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Фотонозои\Обновленная сборка\Rimworld 1.6\ZoologyFramework\checker\"/>
    </mc:Choice>
  </mc:AlternateContent>
  <xr:revisionPtr revIDLastSave="0" documentId="13_ncr:1_{8B95BAD6-79A6-4BEE-B76B-42582C5DFA17}" xr6:coauthVersionLast="47" xr6:coauthVersionMax="47" xr10:uidLastSave="{00000000-0000-0000-0000-000000000000}"/>
  <bookViews>
    <workbookView xWindow="-120" yWindow="-120" windowWidth="29040" windowHeight="15720" tabRatio="823" activeTab="1" xr2:uid="{6F854AE1-A176-497B-BE52-7B1B2A578D65}"/>
  </bookViews>
  <sheets>
    <sheet name="Groups" sheetId="17" r:id="rId1"/>
    <sheet name="Base stats" sheetId="3" r:id="rId2"/>
    <sheet name="Animals" sheetId="1" r:id="rId3"/>
    <sheet name="Animals CE" sheetId="5" r:id="rId4"/>
    <sheet name="Biomes" sheetId="16" r:id="rId5"/>
    <sheet name="EggMilk" sheetId="9" r:id="rId6"/>
    <sheet name="Meat" sheetId="14" r:id="rId7"/>
    <sheet name="Leathers" sheetId="13" r:id="rId8"/>
    <sheet name="LifeStages" sheetId="15" r:id="rId9"/>
    <sheet name="Bionics" sheetId="12" r:id="rId10"/>
  </sheets>
  <externalReferences>
    <externalReference r:id="rId11"/>
  </externalReferences>
  <definedNames>
    <definedName name="_xlnm._FilterDatabase" localSheetId="2" hidden="1">Animals!$A$1:$BR$68</definedName>
    <definedName name="_xlnm._FilterDatabase" localSheetId="1" hidden="1">'Base stats'!$B$1:$X$149</definedName>
    <definedName name="_xlnm._FilterDatabase" localSheetId="6" hidden="1">Meat!$A$1:$I$1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09" i="5" l="1"/>
  <c r="B409" i="5"/>
  <c r="C409" i="5"/>
  <c r="D409" i="5"/>
  <c r="E409" i="5"/>
  <c r="F409" i="5"/>
  <c r="W409" i="5"/>
  <c r="X409" i="5"/>
  <c r="Y409" i="5"/>
  <c r="Z409" i="5"/>
  <c r="AA409" i="5"/>
  <c r="AB409" i="5"/>
  <c r="AC409" i="5"/>
  <c r="A410" i="5"/>
  <c r="D410" i="5" s="1"/>
  <c r="B410" i="5"/>
  <c r="W410" i="5" s="1"/>
  <c r="C410" i="5"/>
  <c r="X410" i="5"/>
  <c r="Z410" i="5"/>
  <c r="AB410" i="5"/>
  <c r="A411" i="5"/>
  <c r="D411" i="5" s="1"/>
  <c r="B411" i="5"/>
  <c r="C411" i="5"/>
  <c r="Z411" i="5"/>
  <c r="AB411" i="5"/>
  <c r="A412" i="5"/>
  <c r="B412" i="5"/>
  <c r="C412" i="5"/>
  <c r="AB412" i="5"/>
  <c r="A413" i="5"/>
  <c r="B413" i="5"/>
  <c r="E413" i="5" s="1"/>
  <c r="C413" i="5"/>
  <c r="D413" i="5"/>
  <c r="Y413" i="5"/>
  <c r="Z413" i="5"/>
  <c r="AA413" i="5"/>
  <c r="AB413" i="5"/>
  <c r="A414" i="5"/>
  <c r="D414" i="5" s="1"/>
  <c r="B414" i="5"/>
  <c r="X414" i="5" s="1"/>
  <c r="C414" i="5"/>
  <c r="E414" i="5"/>
  <c r="W414" i="5"/>
  <c r="AA414" i="5"/>
  <c r="AB414" i="5"/>
  <c r="AC414" i="5"/>
  <c r="A415" i="5"/>
  <c r="D415" i="5" s="1"/>
  <c r="B415" i="5"/>
  <c r="C415" i="5"/>
  <c r="F415" i="5"/>
  <c r="K415" i="5"/>
  <c r="L415" i="5" s="1"/>
  <c r="Y415" i="5"/>
  <c r="Z415" i="5"/>
  <c r="AB415" i="5"/>
  <c r="AC415" i="5"/>
  <c r="A405" i="5"/>
  <c r="B405" i="5"/>
  <c r="Y405" i="5" s="1"/>
  <c r="C405" i="5"/>
  <c r="D405" i="5"/>
  <c r="W405" i="5"/>
  <c r="Z405" i="5"/>
  <c r="AB405" i="5"/>
  <c r="A406" i="5"/>
  <c r="B406" i="5"/>
  <c r="C406" i="5"/>
  <c r="E406" i="5"/>
  <c r="F406" i="5"/>
  <c r="W406" i="5"/>
  <c r="AB406" i="5"/>
  <c r="AC406" i="5"/>
  <c r="A407" i="5"/>
  <c r="B407" i="5"/>
  <c r="C407" i="5"/>
  <c r="AB407" i="5"/>
  <c r="A408" i="5"/>
  <c r="D408" i="5" s="1"/>
  <c r="B408" i="5"/>
  <c r="E408" i="5" s="1"/>
  <c r="C408" i="5"/>
  <c r="W408" i="5"/>
  <c r="X408" i="5"/>
  <c r="Y408" i="5"/>
  <c r="Z408" i="5"/>
  <c r="AA408" i="5"/>
  <c r="AB408" i="5"/>
  <c r="A384" i="5"/>
  <c r="B384" i="5"/>
  <c r="C384" i="5"/>
  <c r="D384" i="5"/>
  <c r="E384" i="5"/>
  <c r="F384" i="5"/>
  <c r="W384" i="5"/>
  <c r="X384" i="5"/>
  <c r="Y384" i="5"/>
  <c r="AA384" i="5"/>
  <c r="AB384" i="5"/>
  <c r="AC384" i="5"/>
  <c r="A385" i="5"/>
  <c r="D385" i="5" s="1"/>
  <c r="B385" i="5"/>
  <c r="C385" i="5"/>
  <c r="E385" i="5"/>
  <c r="F385" i="5"/>
  <c r="W385" i="5"/>
  <c r="X385" i="5"/>
  <c r="Y385" i="5"/>
  <c r="Z385" i="5"/>
  <c r="AA385" i="5"/>
  <c r="AB385" i="5"/>
  <c r="AC385" i="5"/>
  <c r="A386" i="5"/>
  <c r="D386" i="5" s="1"/>
  <c r="B386" i="5"/>
  <c r="C386" i="5"/>
  <c r="AB386" i="5"/>
  <c r="A387" i="5"/>
  <c r="B387" i="5"/>
  <c r="E387" i="5" s="1"/>
  <c r="C387" i="5"/>
  <c r="AB387" i="5"/>
  <c r="A388" i="5"/>
  <c r="D388" i="5" s="1"/>
  <c r="B388" i="5"/>
  <c r="E388" i="5" s="1"/>
  <c r="C388" i="5"/>
  <c r="W388" i="5"/>
  <c r="X388" i="5"/>
  <c r="Z388" i="5"/>
  <c r="AB388" i="5"/>
  <c r="A389" i="5"/>
  <c r="B389" i="5"/>
  <c r="X389" i="5" s="1"/>
  <c r="C389" i="5"/>
  <c r="W389" i="5"/>
  <c r="AB389" i="5"/>
  <c r="A390" i="5"/>
  <c r="B390" i="5"/>
  <c r="C390" i="5"/>
  <c r="E390" i="5"/>
  <c r="F390" i="5"/>
  <c r="W390" i="5"/>
  <c r="X390" i="5"/>
  <c r="Z390" i="5"/>
  <c r="AB390" i="5"/>
  <c r="AC390" i="5"/>
  <c r="A391" i="5"/>
  <c r="D391" i="5" s="1"/>
  <c r="B391" i="5"/>
  <c r="C391" i="5"/>
  <c r="E391" i="5"/>
  <c r="F391" i="5"/>
  <c r="K391" i="5"/>
  <c r="N391" i="5" s="1"/>
  <c r="W391" i="5"/>
  <c r="X391" i="5"/>
  <c r="Y391" i="5"/>
  <c r="Z391" i="5"/>
  <c r="AA391" i="5"/>
  <c r="AB391" i="5"/>
  <c r="AC391" i="5"/>
  <c r="A392" i="5"/>
  <c r="D392" i="5" s="1"/>
  <c r="B392" i="5"/>
  <c r="X392" i="5" s="1"/>
  <c r="C392" i="5"/>
  <c r="W392" i="5"/>
  <c r="Z392" i="5"/>
  <c r="AB392" i="5"/>
  <c r="A393" i="5"/>
  <c r="B393" i="5"/>
  <c r="W393" i="5" s="1"/>
  <c r="C393" i="5"/>
  <c r="E393" i="5"/>
  <c r="AA393" i="5"/>
  <c r="AB393" i="5"/>
  <c r="AC393" i="5"/>
  <c r="A394" i="5"/>
  <c r="D394" i="5" s="1"/>
  <c r="B394" i="5"/>
  <c r="W394" i="5" s="1"/>
  <c r="C394" i="5"/>
  <c r="X394" i="5"/>
  <c r="Y394" i="5"/>
  <c r="Z394" i="5"/>
  <c r="AB394" i="5"/>
  <c r="A395" i="5"/>
  <c r="B395" i="5"/>
  <c r="W395" i="5" s="1"/>
  <c r="C395" i="5"/>
  <c r="D395" i="5"/>
  <c r="E395" i="5"/>
  <c r="X395" i="5"/>
  <c r="Y395" i="5"/>
  <c r="Z395" i="5"/>
  <c r="AA395" i="5"/>
  <c r="AB395" i="5"/>
  <c r="AC395" i="5"/>
  <c r="A396" i="5"/>
  <c r="B396" i="5"/>
  <c r="Y396" i="5" s="1"/>
  <c r="C396" i="5"/>
  <c r="K396" i="5"/>
  <c r="M396" i="5" s="1"/>
  <c r="AB396" i="5"/>
  <c r="A397" i="5"/>
  <c r="D397" i="5" s="1"/>
  <c r="B397" i="5"/>
  <c r="C397" i="5"/>
  <c r="E397" i="5"/>
  <c r="X397" i="5"/>
  <c r="Y397" i="5"/>
  <c r="Z397" i="5"/>
  <c r="AB397" i="5"/>
  <c r="A398" i="5"/>
  <c r="B398" i="5"/>
  <c r="C398" i="5"/>
  <c r="D398" i="5"/>
  <c r="AB398" i="5"/>
  <c r="A399" i="5"/>
  <c r="B399" i="5"/>
  <c r="E399" i="5" s="1"/>
  <c r="C399" i="5"/>
  <c r="K399" i="5"/>
  <c r="L399" i="5" s="1"/>
  <c r="Y399" i="5"/>
  <c r="Z399" i="5"/>
  <c r="AA399" i="5"/>
  <c r="AB399" i="5"/>
  <c r="A400" i="5"/>
  <c r="D400" i="5" s="1"/>
  <c r="B400" i="5"/>
  <c r="E400" i="5" s="1"/>
  <c r="C400" i="5"/>
  <c r="F400" i="5"/>
  <c r="Z400" i="5"/>
  <c r="AA400" i="5"/>
  <c r="AB400" i="5"/>
  <c r="A401" i="5"/>
  <c r="B401" i="5"/>
  <c r="X401" i="5" s="1"/>
  <c r="C401" i="5"/>
  <c r="AB401" i="5"/>
  <c r="A402" i="5"/>
  <c r="B402" i="5"/>
  <c r="C402" i="5"/>
  <c r="D402" i="5"/>
  <c r="E402" i="5"/>
  <c r="F402" i="5"/>
  <c r="W402" i="5"/>
  <c r="X402" i="5"/>
  <c r="Y402" i="5"/>
  <c r="Z402" i="5"/>
  <c r="AB402" i="5"/>
  <c r="AC402" i="5"/>
  <c r="A403" i="5"/>
  <c r="B403" i="5"/>
  <c r="Z403" i="5" s="1"/>
  <c r="C403" i="5"/>
  <c r="Y403" i="5"/>
  <c r="AB403" i="5"/>
  <c r="A404" i="5"/>
  <c r="B404" i="5"/>
  <c r="X404" i="5" s="1"/>
  <c r="C404" i="5"/>
  <c r="AB404" i="5"/>
  <c r="I384" i="1"/>
  <c r="N384" i="1"/>
  <c r="O384" i="1"/>
  <c r="P384" i="1"/>
  <c r="S384" i="1"/>
  <c r="G384" i="5" s="1"/>
  <c r="X384" i="1"/>
  <c r="Y384" i="1" s="1"/>
  <c r="AC384" i="1"/>
  <c r="AD384" i="1"/>
  <c r="AF384" i="1" s="1"/>
  <c r="AI384" i="1"/>
  <c r="AJ384" i="1" s="1"/>
  <c r="AO384" i="1"/>
  <c r="BD384" i="1" s="1"/>
  <c r="AP384" i="1"/>
  <c r="AQ384" i="1"/>
  <c r="AR384" i="1"/>
  <c r="AS384" i="1"/>
  <c r="AT384" i="1"/>
  <c r="AU384" i="1" s="1"/>
  <c r="AV384" i="1"/>
  <c r="AX384" i="1"/>
  <c r="AY384" i="1"/>
  <c r="AZ384" i="1"/>
  <c r="BA384" i="1"/>
  <c r="BB384" i="1"/>
  <c r="BC384" i="1"/>
  <c r="BI384" i="1"/>
  <c r="BJ384" i="1"/>
  <c r="BM384" i="1"/>
  <c r="BO384" i="1"/>
  <c r="BQ384" i="1" s="1"/>
  <c r="BN384" i="1" s="1"/>
  <c r="BT384" i="1"/>
  <c r="AW384" i="1" s="1"/>
  <c r="BV384" i="1"/>
  <c r="BX384" i="1"/>
  <c r="L384" i="1" s="1"/>
  <c r="BY384" i="1"/>
  <c r="BZ384" i="1"/>
  <c r="CA384" i="1"/>
  <c r="CB384" i="1"/>
  <c r="CC384" i="1"/>
  <c r="CE384" i="1"/>
  <c r="CF384" i="1"/>
  <c r="CG384" i="1"/>
  <c r="CH384" i="1"/>
  <c r="CI384" i="1"/>
  <c r="CJ384" i="1"/>
  <c r="I385" i="1"/>
  <c r="N385" i="1"/>
  <c r="O385" i="1"/>
  <c r="P385" i="1"/>
  <c r="S385" i="1"/>
  <c r="V385" i="1" s="1"/>
  <c r="U385" i="1"/>
  <c r="AC385" i="1"/>
  <c r="AD385" i="1"/>
  <c r="AF385" i="1" s="1"/>
  <c r="AI385" i="1"/>
  <c r="AK385" i="1" s="1"/>
  <c r="AN385" i="1"/>
  <c r="AO385" i="1"/>
  <c r="J385" i="1" s="1"/>
  <c r="AQ385" i="1"/>
  <c r="AR385" i="1"/>
  <c r="AS385" i="1"/>
  <c r="AT385" i="1"/>
  <c r="AU385" i="1" s="1"/>
  <c r="AV385" i="1"/>
  <c r="AX385" i="1"/>
  <c r="AY385" i="1"/>
  <c r="AZ385" i="1"/>
  <c r="BA385" i="1"/>
  <c r="BB385" i="1"/>
  <c r="BC385" i="1"/>
  <c r="BD385" i="1"/>
  <c r="BE385" i="1"/>
  <c r="BI385" i="1"/>
  <c r="BJ385" i="1"/>
  <c r="BK385" i="1"/>
  <c r="BL385" i="1"/>
  <c r="BM385" i="1"/>
  <c r="BO385" i="1"/>
  <c r="BQ385" i="1" s="1"/>
  <c r="BT385" i="1"/>
  <c r="AW385" i="1" s="1"/>
  <c r="BV385" i="1"/>
  <c r="BX385" i="1"/>
  <c r="L385" i="1" s="1"/>
  <c r="BY385" i="1"/>
  <c r="BZ385" i="1"/>
  <c r="CA385" i="1"/>
  <c r="CB385" i="1"/>
  <c r="CC385" i="1"/>
  <c r="CE385" i="1"/>
  <c r="CF385" i="1"/>
  <c r="CG385" i="1"/>
  <c r="CH385" i="1"/>
  <c r="CI385" i="1"/>
  <c r="CJ385" i="1"/>
  <c r="I386" i="1"/>
  <c r="J386" i="1"/>
  <c r="BF386" i="1" s="1"/>
  <c r="K386" i="1"/>
  <c r="P386" i="1"/>
  <c r="CA386" i="1" s="1"/>
  <c r="S386" i="1"/>
  <c r="T386" i="1" s="1"/>
  <c r="AC386" i="1"/>
  <c r="AI386" i="1"/>
  <c r="AL386" i="1" s="1"/>
  <c r="AO386" i="1"/>
  <c r="X386" i="1" s="1"/>
  <c r="Z386" i="1" s="1"/>
  <c r="AR386" i="1"/>
  <c r="AS386" i="1"/>
  <c r="AT386" i="1"/>
  <c r="AU386" i="1"/>
  <c r="AV386" i="1"/>
  <c r="AX386" i="1"/>
  <c r="AY386" i="1"/>
  <c r="BA386" i="1"/>
  <c r="BB386" i="1"/>
  <c r="BC386" i="1"/>
  <c r="BE386" i="1"/>
  <c r="BI386" i="1"/>
  <c r="BJ386" i="1"/>
  <c r="BK386" i="1" s="1"/>
  <c r="BL386" i="1"/>
  <c r="BM386" i="1"/>
  <c r="BO386" i="1"/>
  <c r="BQ386" i="1"/>
  <c r="BT386" i="1"/>
  <c r="AW386" i="1" s="1"/>
  <c r="BU386" i="1"/>
  <c r="BV386" i="1"/>
  <c r="BX386" i="1"/>
  <c r="BY386" i="1"/>
  <c r="CB386" i="1"/>
  <c r="CC386" i="1"/>
  <c r="AQ386" i="1" s="1"/>
  <c r="CE386" i="1"/>
  <c r="CF386" i="1"/>
  <c r="CG386" i="1"/>
  <c r="CH386" i="1"/>
  <c r="CI386" i="1"/>
  <c r="CJ386" i="1"/>
  <c r="I387" i="1"/>
  <c r="N387" i="1"/>
  <c r="O387" i="1"/>
  <c r="P387" i="1"/>
  <c r="CA387" i="1" s="1"/>
  <c r="S387" i="1"/>
  <c r="T387" i="1" s="1"/>
  <c r="W387" i="1"/>
  <c r="X387" i="1"/>
  <c r="K387" i="5" s="1"/>
  <c r="AB387" i="1"/>
  <c r="AC387" i="1"/>
  <c r="AO387" i="1"/>
  <c r="AR387" i="1"/>
  <c r="AS387" i="1"/>
  <c r="AT387" i="1"/>
  <c r="AU387" i="1"/>
  <c r="AV387" i="1"/>
  <c r="AW387" i="1"/>
  <c r="AX387" i="1"/>
  <c r="AY387" i="1"/>
  <c r="AZ387" i="1"/>
  <c r="BA387" i="1"/>
  <c r="BB387" i="1"/>
  <c r="BC387" i="1"/>
  <c r="BI387" i="1"/>
  <c r="BJ387" i="1"/>
  <c r="BL387" i="1"/>
  <c r="BM387" i="1"/>
  <c r="BO387" i="1"/>
  <c r="BQ387" i="1" s="1"/>
  <c r="BT387" i="1"/>
  <c r="BV387" i="1"/>
  <c r="BX387" i="1"/>
  <c r="L387" i="1" s="1"/>
  <c r="BY387" i="1"/>
  <c r="BZ387" i="1"/>
  <c r="CB387" i="1"/>
  <c r="CC387" i="1"/>
  <c r="CE387" i="1"/>
  <c r="CF387" i="1"/>
  <c r="CG387" i="1"/>
  <c r="CH387" i="1"/>
  <c r="CI387" i="1"/>
  <c r="CJ387" i="1"/>
  <c r="I388" i="1"/>
  <c r="K388" i="1"/>
  <c r="M388" i="1"/>
  <c r="P388" i="1"/>
  <c r="CA388" i="1" s="1"/>
  <c r="S388" i="1"/>
  <c r="G388" i="5" s="1"/>
  <c r="X388" i="1"/>
  <c r="Y388" i="1" s="1"/>
  <c r="AC388" i="1"/>
  <c r="AD388" i="1"/>
  <c r="O388" i="5" s="1"/>
  <c r="Q388" i="5" s="1"/>
  <c r="AI388" i="1"/>
  <c r="AJ388" i="1" s="1"/>
  <c r="AO388" i="1"/>
  <c r="Q388" i="1" s="1"/>
  <c r="AP388" i="1"/>
  <c r="AQ388" i="1"/>
  <c r="AR388" i="1"/>
  <c r="AS388" i="1"/>
  <c r="AT388" i="1"/>
  <c r="AU388" i="1"/>
  <c r="AV388" i="1"/>
  <c r="AX388" i="1"/>
  <c r="AY388" i="1"/>
  <c r="AZ388" i="1"/>
  <c r="BA388" i="1"/>
  <c r="BB388" i="1"/>
  <c r="BC388" i="1"/>
  <c r="BE388" i="1"/>
  <c r="BI388" i="1"/>
  <c r="BL388" i="1" s="1"/>
  <c r="BJ388" i="1"/>
  <c r="BK388" i="1"/>
  <c r="BM388" i="1"/>
  <c r="BN388" i="1"/>
  <c r="BO388" i="1"/>
  <c r="BQ388" i="1" s="1"/>
  <c r="BT388" i="1"/>
  <c r="AW388" i="1" s="1"/>
  <c r="BV388" i="1"/>
  <c r="BX388" i="1"/>
  <c r="L388" i="1" s="1"/>
  <c r="BY388" i="1"/>
  <c r="CB388" i="1"/>
  <c r="CC388" i="1"/>
  <c r="CE388" i="1"/>
  <c r="CF388" i="1"/>
  <c r="CG388" i="1"/>
  <c r="CH388" i="1"/>
  <c r="CI388" i="1"/>
  <c r="CJ388" i="1"/>
  <c r="I389" i="1"/>
  <c r="N389" i="1"/>
  <c r="O389" i="1"/>
  <c r="P389" i="1"/>
  <c r="AC389" i="1"/>
  <c r="AD389" i="1"/>
  <c r="AH389" i="1" s="1"/>
  <c r="AI389" i="1"/>
  <c r="AJ389" i="1" s="1"/>
  <c r="AN389" i="1"/>
  <c r="AO389" i="1"/>
  <c r="BE389" i="1" s="1"/>
  <c r="AR389" i="1"/>
  <c r="AS389" i="1"/>
  <c r="AT389" i="1"/>
  <c r="AU389" i="1"/>
  <c r="AV389" i="1"/>
  <c r="AX389" i="1"/>
  <c r="AY389" i="1"/>
  <c r="BA389" i="1"/>
  <c r="BB389" i="1"/>
  <c r="BC389" i="1"/>
  <c r="BD389" i="1"/>
  <c r="BI389" i="1"/>
  <c r="BJ389" i="1"/>
  <c r="BK389" i="1"/>
  <c r="BL389" i="1"/>
  <c r="BM389" i="1"/>
  <c r="BO389" i="1"/>
  <c r="BT389" i="1"/>
  <c r="AW389" i="1" s="1"/>
  <c r="BV389" i="1"/>
  <c r="BX389" i="1"/>
  <c r="BY389" i="1"/>
  <c r="BZ389" i="1"/>
  <c r="CA389" i="1"/>
  <c r="CB389" i="1"/>
  <c r="CC389" i="1"/>
  <c r="CE389" i="1"/>
  <c r="CF389" i="1"/>
  <c r="CG389" i="1"/>
  <c r="CH389" i="1"/>
  <c r="CI389" i="1"/>
  <c r="CJ389" i="1"/>
  <c r="I390" i="1"/>
  <c r="J390" i="1"/>
  <c r="CD390" i="1" s="1"/>
  <c r="K390" i="1"/>
  <c r="N390" i="1"/>
  <c r="O390" i="1"/>
  <c r="P390" i="1"/>
  <c r="S390" i="1"/>
  <c r="X390" i="1"/>
  <c r="AB390" i="1" s="1"/>
  <c r="AA390" i="1"/>
  <c r="AC390" i="1"/>
  <c r="AD390" i="1"/>
  <c r="AE390" i="1" s="1"/>
  <c r="AI390" i="1"/>
  <c r="S390" i="5" s="1"/>
  <c r="AO390" i="1"/>
  <c r="BD390" i="1" s="1"/>
  <c r="AP390" i="1"/>
  <c r="AR390" i="1"/>
  <c r="AS390" i="1"/>
  <c r="AT390" i="1"/>
  <c r="AU390" i="1"/>
  <c r="AV390" i="1"/>
  <c r="AX390" i="1"/>
  <c r="AY390" i="1"/>
  <c r="BA390" i="1"/>
  <c r="BB390" i="1"/>
  <c r="BC390" i="1"/>
  <c r="BI390" i="1"/>
  <c r="BJ390" i="1"/>
  <c r="BK390" i="1"/>
  <c r="BM390" i="1"/>
  <c r="BO390" i="1"/>
  <c r="BT390" i="1"/>
  <c r="AW390" i="1" s="1"/>
  <c r="BV390" i="1"/>
  <c r="BX390" i="1"/>
  <c r="BY390" i="1"/>
  <c r="CA390" i="1"/>
  <c r="CB390" i="1"/>
  <c r="CC390" i="1"/>
  <c r="CE390" i="1"/>
  <c r="CF390" i="1"/>
  <c r="CG390" i="1"/>
  <c r="CH390" i="1"/>
  <c r="CI390" i="1"/>
  <c r="CJ390" i="1"/>
  <c r="I391" i="1"/>
  <c r="L391" i="1"/>
  <c r="M391" i="1"/>
  <c r="N391" i="1"/>
  <c r="O391" i="1"/>
  <c r="P391" i="1"/>
  <c r="S391" i="1"/>
  <c r="T391" i="1" s="1"/>
  <c r="X391" i="1"/>
  <c r="Y391" i="1" s="1"/>
  <c r="AC391" i="1"/>
  <c r="AO391" i="1"/>
  <c r="J391" i="1" s="1"/>
  <c r="AQ391" i="1"/>
  <c r="AR391" i="1"/>
  <c r="AS391" i="1"/>
  <c r="AT391" i="1"/>
  <c r="AU391" i="1"/>
  <c r="AV391" i="1"/>
  <c r="AX391" i="1"/>
  <c r="AY391" i="1"/>
  <c r="AZ391" i="1"/>
  <c r="BA391" i="1"/>
  <c r="BB391" i="1"/>
  <c r="BC391" i="1"/>
  <c r="BD391" i="1"/>
  <c r="BE391" i="1"/>
  <c r="BH391" i="1"/>
  <c r="BI391" i="1"/>
  <c r="BL391" i="1" s="1"/>
  <c r="BJ391" i="1"/>
  <c r="BM391" i="1"/>
  <c r="BO391" i="1"/>
  <c r="BQ391" i="1" s="1"/>
  <c r="BS391" i="1"/>
  <c r="BT391" i="1"/>
  <c r="AW391" i="1" s="1"/>
  <c r="BV391" i="1"/>
  <c r="BX391" i="1"/>
  <c r="BY391" i="1"/>
  <c r="BZ391" i="1"/>
  <c r="CA391" i="1"/>
  <c r="CB391" i="1"/>
  <c r="CC391" i="1"/>
  <c r="CE391" i="1"/>
  <c r="CF391" i="1"/>
  <c r="CG391" i="1"/>
  <c r="CH391" i="1"/>
  <c r="CI391" i="1"/>
  <c r="CJ391" i="1"/>
  <c r="I392" i="1"/>
  <c r="BM392" i="1" s="1"/>
  <c r="BQ392" i="1" s="1"/>
  <c r="J392" i="1"/>
  <c r="BF392" i="1" s="1"/>
  <c r="K392" i="1"/>
  <c r="N392" i="1"/>
  <c r="O392" i="1"/>
  <c r="P392" i="1"/>
  <c r="S392" i="1"/>
  <c r="T392" i="1" s="1"/>
  <c r="AC392" i="1"/>
  <c r="AD392" i="1"/>
  <c r="AF392" i="1" s="1"/>
  <c r="AI392" i="1"/>
  <c r="S392" i="5" s="1"/>
  <c r="AO392" i="1"/>
  <c r="X392" i="1" s="1"/>
  <c r="AR392" i="1"/>
  <c r="AS392" i="1"/>
  <c r="AT392" i="1"/>
  <c r="AU392" i="1" s="1"/>
  <c r="AV392" i="1"/>
  <c r="AX392" i="1"/>
  <c r="AY392" i="1"/>
  <c r="AZ392" i="1"/>
  <c r="BA392" i="1"/>
  <c r="BB392" i="1"/>
  <c r="BC392" i="1"/>
  <c r="BE392" i="1"/>
  <c r="BI392" i="1"/>
  <c r="BL392" i="1" s="1"/>
  <c r="BJ392" i="1"/>
  <c r="BK392" i="1"/>
  <c r="BO392" i="1"/>
  <c r="BT392" i="1"/>
  <c r="AW392" i="1" s="1"/>
  <c r="BV392" i="1"/>
  <c r="BX392" i="1"/>
  <c r="BY392" i="1"/>
  <c r="CA392" i="1"/>
  <c r="CB392" i="1"/>
  <c r="CC392" i="1"/>
  <c r="AQ392" i="1" s="1"/>
  <c r="CE392" i="1"/>
  <c r="CF392" i="1"/>
  <c r="CG392" i="1"/>
  <c r="CH392" i="1"/>
  <c r="CI392" i="1"/>
  <c r="CJ392" i="1"/>
  <c r="I393" i="1"/>
  <c r="N393" i="1"/>
  <c r="O393" i="1"/>
  <c r="P393" i="1"/>
  <c r="CA393" i="1" s="1"/>
  <c r="S393" i="1"/>
  <c r="U393" i="1" s="1"/>
  <c r="W393" i="1"/>
  <c r="X393" i="1"/>
  <c r="Y393" i="1" s="1"/>
  <c r="AC393" i="1"/>
  <c r="AI393" i="1"/>
  <c r="AJ393" i="1" s="1"/>
  <c r="AN393" i="1"/>
  <c r="AO393" i="1"/>
  <c r="BE393" i="1" s="1"/>
  <c r="AQ393" i="1"/>
  <c r="AR393" i="1"/>
  <c r="AS393" i="1"/>
  <c r="AT393" i="1"/>
  <c r="AU393" i="1"/>
  <c r="AV393" i="1"/>
  <c r="AW393" i="1"/>
  <c r="AX393" i="1"/>
  <c r="AY393" i="1"/>
  <c r="AZ393" i="1"/>
  <c r="BA393" i="1"/>
  <c r="BB393" i="1"/>
  <c r="BC393" i="1"/>
  <c r="BI393" i="1"/>
  <c r="BJ393" i="1"/>
  <c r="BK393" i="1"/>
  <c r="BL393" i="1"/>
  <c r="BM393" i="1"/>
  <c r="BO393" i="1"/>
  <c r="BT393" i="1"/>
  <c r="BV393" i="1"/>
  <c r="BX393" i="1"/>
  <c r="L393" i="1" s="1"/>
  <c r="BY393" i="1"/>
  <c r="BZ393" i="1"/>
  <c r="CB393" i="1"/>
  <c r="CC393" i="1"/>
  <c r="CE393" i="1"/>
  <c r="CF393" i="1"/>
  <c r="CG393" i="1"/>
  <c r="CH393" i="1"/>
  <c r="CI393" i="1"/>
  <c r="CJ393" i="1"/>
  <c r="I394" i="1"/>
  <c r="K394" i="1"/>
  <c r="M394" i="1"/>
  <c r="N394" i="1"/>
  <c r="O394" i="1"/>
  <c r="P394" i="1"/>
  <c r="CA394" i="1" s="1"/>
  <c r="S394" i="1"/>
  <c r="U394" i="1" s="1"/>
  <c r="X394" i="1"/>
  <c r="AB394" i="1" s="1"/>
  <c r="Y394" i="1"/>
  <c r="AA394" i="1"/>
  <c r="AC394" i="1"/>
  <c r="AD394" i="1"/>
  <c r="AE394" i="1" s="1"/>
  <c r="AI394" i="1"/>
  <c r="AJ394" i="1" s="1"/>
  <c r="AO394" i="1"/>
  <c r="Q394" i="1" s="1"/>
  <c r="R394" i="1" s="1"/>
  <c r="AP394" i="1"/>
  <c r="AQ394" i="1"/>
  <c r="AR394" i="1"/>
  <c r="AS394" i="1"/>
  <c r="AT394" i="1"/>
  <c r="AU394" i="1"/>
  <c r="AV394" i="1"/>
  <c r="AW394" i="1"/>
  <c r="BK394" i="1" s="1"/>
  <c r="AX394" i="1"/>
  <c r="AY394" i="1"/>
  <c r="AZ394" i="1"/>
  <c r="BA394" i="1"/>
  <c r="BB394" i="1"/>
  <c r="BC394" i="1"/>
  <c r="BE394" i="1"/>
  <c r="BI394" i="1"/>
  <c r="BJ394" i="1"/>
  <c r="BM394" i="1"/>
  <c r="BO394" i="1"/>
  <c r="BT394" i="1"/>
  <c r="BV394" i="1"/>
  <c r="BX394" i="1"/>
  <c r="L394" i="1" s="1"/>
  <c r="BY394" i="1"/>
  <c r="BZ394" i="1"/>
  <c r="CB394" i="1"/>
  <c r="CC394" i="1"/>
  <c r="CE394" i="1"/>
  <c r="CF394" i="1"/>
  <c r="CG394" i="1"/>
  <c r="CH394" i="1"/>
  <c r="CI394" i="1"/>
  <c r="CJ394" i="1"/>
  <c r="I395" i="1"/>
  <c r="N395" i="1"/>
  <c r="O395" i="1"/>
  <c r="P395" i="1"/>
  <c r="CA395" i="1" s="1"/>
  <c r="Q395" i="1"/>
  <c r="S395" i="1"/>
  <c r="V395" i="1" s="1"/>
  <c r="X395" i="1"/>
  <c r="Z395" i="1" s="1"/>
  <c r="Y395" i="1"/>
  <c r="AB395" i="1"/>
  <c r="AC395" i="1"/>
  <c r="AI395" i="1"/>
  <c r="AK395" i="1" s="1"/>
  <c r="AN395" i="1"/>
  <c r="AO395" i="1"/>
  <c r="AQ395" i="1" s="1"/>
  <c r="AR395" i="1"/>
  <c r="AS395" i="1"/>
  <c r="AT395" i="1"/>
  <c r="AU395" i="1"/>
  <c r="AV395" i="1"/>
  <c r="AW395" i="1"/>
  <c r="AX395" i="1"/>
  <c r="AY395" i="1"/>
  <c r="AZ395" i="1"/>
  <c r="BA395" i="1"/>
  <c r="BB395" i="1"/>
  <c r="BC395" i="1"/>
  <c r="BI395" i="1"/>
  <c r="BJ395" i="1"/>
  <c r="BK395" i="1"/>
  <c r="BM395" i="1"/>
  <c r="BO395" i="1"/>
  <c r="BT395" i="1"/>
  <c r="BV395" i="1"/>
  <c r="BX395" i="1"/>
  <c r="BY395" i="1"/>
  <c r="BZ395" i="1"/>
  <c r="CB395" i="1"/>
  <c r="CC395" i="1"/>
  <c r="CE395" i="1"/>
  <c r="CF395" i="1"/>
  <c r="CG395" i="1"/>
  <c r="CH395" i="1"/>
  <c r="CI395" i="1"/>
  <c r="CJ395" i="1"/>
  <c r="I396" i="1"/>
  <c r="J396" i="1"/>
  <c r="BF396" i="1" s="1"/>
  <c r="N396" i="1"/>
  <c r="O396" i="1"/>
  <c r="P396" i="1"/>
  <c r="X396" i="1"/>
  <c r="Y396" i="1" s="1"/>
  <c r="AC396" i="1"/>
  <c r="AD396" i="1"/>
  <c r="AF396" i="1" s="1"/>
  <c r="AG396" i="1"/>
  <c r="AI396" i="1"/>
  <c r="AK396" i="1" s="1"/>
  <c r="AO396" i="1"/>
  <c r="AP396" i="1" s="1"/>
  <c r="AR396" i="1"/>
  <c r="AS396" i="1"/>
  <c r="AT396" i="1"/>
  <c r="AU396" i="1" s="1"/>
  <c r="AV396" i="1"/>
  <c r="AW396" i="1"/>
  <c r="AX396" i="1"/>
  <c r="AY396" i="1"/>
  <c r="BA396" i="1"/>
  <c r="BB396" i="1"/>
  <c r="BC396" i="1"/>
  <c r="BI396" i="1"/>
  <c r="BJ396" i="1"/>
  <c r="BK396" i="1"/>
  <c r="BM396" i="1"/>
  <c r="BO396" i="1"/>
  <c r="BT396" i="1"/>
  <c r="BV396" i="1"/>
  <c r="BX396" i="1"/>
  <c r="BY396" i="1"/>
  <c r="CA396" i="1"/>
  <c r="CB396" i="1"/>
  <c r="CC396" i="1"/>
  <c r="CE396" i="1"/>
  <c r="CF396" i="1"/>
  <c r="CG396" i="1"/>
  <c r="CH396" i="1"/>
  <c r="CI396" i="1"/>
  <c r="CJ396" i="1"/>
  <c r="I397" i="1"/>
  <c r="K397" i="1"/>
  <c r="L397" i="1"/>
  <c r="M397" i="1"/>
  <c r="N397" i="1"/>
  <c r="O397" i="1"/>
  <c r="P397" i="1"/>
  <c r="Q397" i="1"/>
  <c r="R397" i="1" s="1"/>
  <c r="S397" i="1"/>
  <c r="V397" i="1" s="1"/>
  <c r="U397" i="1"/>
  <c r="W397" i="1"/>
  <c r="X397" i="1"/>
  <c r="K397" i="5" s="1"/>
  <c r="AA397" i="1"/>
  <c r="AC397" i="1"/>
  <c r="AI397" i="1"/>
  <c r="AL397" i="1" s="1"/>
  <c r="AN397" i="1"/>
  <c r="AO397" i="1"/>
  <c r="AQ397" i="1"/>
  <c r="AR397" i="1"/>
  <c r="AS397" i="1"/>
  <c r="AT397" i="1"/>
  <c r="AU397" i="1"/>
  <c r="AV397" i="1"/>
  <c r="AX397" i="1"/>
  <c r="AY397" i="1"/>
  <c r="AZ397" i="1"/>
  <c r="BA397" i="1"/>
  <c r="BB397" i="1"/>
  <c r="BC397" i="1"/>
  <c r="BD397" i="1"/>
  <c r="BE397" i="1"/>
  <c r="BH397" i="1"/>
  <c r="BI397" i="1"/>
  <c r="BL397" i="1" s="1"/>
  <c r="BJ397" i="1"/>
  <c r="BK397" i="1"/>
  <c r="BM397" i="1"/>
  <c r="BO397" i="1"/>
  <c r="BS397" i="1"/>
  <c r="BT397" i="1"/>
  <c r="AW397" i="1" s="1"/>
  <c r="BV397" i="1"/>
  <c r="BX397" i="1"/>
  <c r="BY397" i="1"/>
  <c r="BZ397" i="1"/>
  <c r="CA397" i="1"/>
  <c r="CB397" i="1"/>
  <c r="CC397" i="1"/>
  <c r="CE397" i="1"/>
  <c r="CF397" i="1"/>
  <c r="CG397" i="1"/>
  <c r="CH397" i="1"/>
  <c r="CI397" i="1"/>
  <c r="CJ397" i="1"/>
  <c r="I398" i="1"/>
  <c r="M398" i="1"/>
  <c r="N398" i="1"/>
  <c r="O398" i="1"/>
  <c r="P398" i="1"/>
  <c r="S398" i="1"/>
  <c r="T398" i="1" s="1"/>
  <c r="X398" i="1"/>
  <c r="AB398" i="1" s="1"/>
  <c r="Z398" i="1"/>
  <c r="AC398" i="1"/>
  <c r="AI398" i="1"/>
  <c r="AJ398" i="1" s="1"/>
  <c r="AL398" i="1"/>
  <c r="AO398" i="1"/>
  <c r="J398" i="1" s="1"/>
  <c r="BG398" i="1" s="1"/>
  <c r="AR398" i="1"/>
  <c r="AS398" i="1"/>
  <c r="AT398" i="1"/>
  <c r="AU398" i="1" s="1"/>
  <c r="AV398" i="1"/>
  <c r="AX398" i="1"/>
  <c r="AY398" i="1"/>
  <c r="BA398" i="1"/>
  <c r="BB398" i="1"/>
  <c r="BC398" i="1"/>
  <c r="BI398" i="1"/>
  <c r="BJ398" i="1"/>
  <c r="BK398" i="1" s="1"/>
  <c r="BM398" i="1"/>
  <c r="BO398" i="1"/>
  <c r="BQ398" i="1"/>
  <c r="BT398" i="1"/>
  <c r="AW398" i="1" s="1"/>
  <c r="BV398" i="1"/>
  <c r="BX398" i="1"/>
  <c r="BY398" i="1"/>
  <c r="CA398" i="1"/>
  <c r="CB398" i="1"/>
  <c r="CC398" i="1"/>
  <c r="CE398" i="1"/>
  <c r="CF398" i="1"/>
  <c r="CG398" i="1"/>
  <c r="CH398" i="1"/>
  <c r="CI398" i="1"/>
  <c r="CJ398" i="1"/>
  <c r="I399" i="1"/>
  <c r="N399" i="1"/>
  <c r="O399" i="1"/>
  <c r="P399" i="1"/>
  <c r="CA399" i="1" s="1"/>
  <c r="X399" i="1"/>
  <c r="AC399" i="1"/>
  <c r="AI399" i="1"/>
  <c r="S399" i="5" s="1"/>
  <c r="AN399" i="1"/>
  <c r="AO399" i="1"/>
  <c r="Q399" i="1" s="1"/>
  <c r="AR399" i="1"/>
  <c r="AS399" i="1"/>
  <c r="AT399" i="1"/>
  <c r="AU399" i="1"/>
  <c r="AV399" i="1"/>
  <c r="AW399" i="1"/>
  <c r="AX399" i="1"/>
  <c r="AY399" i="1"/>
  <c r="BA399" i="1"/>
  <c r="BB399" i="1"/>
  <c r="BC399" i="1"/>
  <c r="BI399" i="1"/>
  <c r="BL399" i="1" s="1"/>
  <c r="BJ399" i="1"/>
  <c r="BK399" i="1"/>
  <c r="BM399" i="1"/>
  <c r="BO399" i="1"/>
  <c r="BT399" i="1"/>
  <c r="BV399" i="1"/>
  <c r="BX399" i="1"/>
  <c r="BY399" i="1"/>
  <c r="BZ399" i="1"/>
  <c r="CB399" i="1"/>
  <c r="CC399" i="1"/>
  <c r="CE399" i="1"/>
  <c r="CF399" i="1"/>
  <c r="CG399" i="1"/>
  <c r="CH399" i="1"/>
  <c r="CI399" i="1"/>
  <c r="CJ399" i="1"/>
  <c r="I400" i="1"/>
  <c r="P400" i="1"/>
  <c r="CA400" i="1" s="1"/>
  <c r="S400" i="1"/>
  <c r="U400" i="1" s="1"/>
  <c r="X400" i="1"/>
  <c r="Z400" i="1" s="1"/>
  <c r="Y400" i="1"/>
  <c r="AA400" i="1"/>
  <c r="AB400" i="1"/>
  <c r="AC400" i="1"/>
  <c r="AI400" i="1"/>
  <c r="AJ400" i="1" s="1"/>
  <c r="AO400" i="1"/>
  <c r="BK400" i="1" s="1"/>
  <c r="AP400" i="1"/>
  <c r="AQ400" i="1"/>
  <c r="AR400" i="1"/>
  <c r="AS400" i="1"/>
  <c r="AT400" i="1"/>
  <c r="AU400" i="1"/>
  <c r="AV400" i="1"/>
  <c r="AX400" i="1"/>
  <c r="AY400" i="1"/>
  <c r="AZ400" i="1"/>
  <c r="BA400" i="1"/>
  <c r="BB400" i="1"/>
  <c r="BC400" i="1"/>
  <c r="BE400" i="1"/>
  <c r="BI400" i="1"/>
  <c r="BJ400" i="1"/>
  <c r="BM400" i="1"/>
  <c r="BO400" i="1"/>
  <c r="BT400" i="1"/>
  <c r="AW400" i="1" s="1"/>
  <c r="BV400" i="1"/>
  <c r="BX400" i="1"/>
  <c r="L400" i="1" s="1"/>
  <c r="BY400" i="1"/>
  <c r="BZ400" i="1"/>
  <c r="CB400" i="1"/>
  <c r="CC400" i="1"/>
  <c r="CE400" i="1"/>
  <c r="CF400" i="1"/>
  <c r="CG400" i="1"/>
  <c r="CH400" i="1"/>
  <c r="CI400" i="1"/>
  <c r="CJ400" i="1"/>
  <c r="I401" i="1"/>
  <c r="L401" i="1"/>
  <c r="N401" i="1"/>
  <c r="O401" i="1"/>
  <c r="P401" i="1"/>
  <c r="AC401" i="1"/>
  <c r="AD401" i="1"/>
  <c r="AH401" i="1" s="1"/>
  <c r="AI401" i="1"/>
  <c r="AJ401" i="1" s="1"/>
  <c r="AN401" i="1"/>
  <c r="AO401" i="1"/>
  <c r="BH401" i="1" s="1"/>
  <c r="AR401" i="1"/>
  <c r="AS401" i="1"/>
  <c r="AT401" i="1"/>
  <c r="AU401" i="1"/>
  <c r="AV401" i="1"/>
  <c r="AW401" i="1"/>
  <c r="AX401" i="1"/>
  <c r="AY401" i="1"/>
  <c r="AZ401" i="1"/>
  <c r="BA401" i="1"/>
  <c r="BB401" i="1"/>
  <c r="BC401" i="1"/>
  <c r="BI401" i="1"/>
  <c r="BJ401" i="1"/>
  <c r="BK401" i="1"/>
  <c r="BM401" i="1"/>
  <c r="BO401" i="1"/>
  <c r="BT401" i="1"/>
  <c r="BV401" i="1"/>
  <c r="BX401" i="1"/>
  <c r="M401" i="1" s="1"/>
  <c r="BY401" i="1"/>
  <c r="BZ401" i="1"/>
  <c r="CA401" i="1"/>
  <c r="CB401" i="1"/>
  <c r="CC401" i="1"/>
  <c r="CE401" i="1"/>
  <c r="CF401" i="1"/>
  <c r="CG401" i="1"/>
  <c r="CH401" i="1"/>
  <c r="CI401" i="1"/>
  <c r="CJ401" i="1"/>
  <c r="I402" i="1"/>
  <c r="N402" i="1"/>
  <c r="O402" i="1"/>
  <c r="P402" i="1"/>
  <c r="S402" i="1"/>
  <c r="T402" i="1" s="1"/>
  <c r="AC402" i="1"/>
  <c r="AD402" i="1"/>
  <c r="AF402" i="1" s="1"/>
  <c r="AI402" i="1"/>
  <c r="AJ402" i="1" s="1"/>
  <c r="AO402" i="1"/>
  <c r="AR402" i="1"/>
  <c r="AS402" i="1"/>
  <c r="AT402" i="1"/>
  <c r="AU402" i="1" s="1"/>
  <c r="AV402" i="1"/>
  <c r="AW402" i="1"/>
  <c r="AX402" i="1"/>
  <c r="AY402" i="1"/>
  <c r="BA402" i="1"/>
  <c r="BB402" i="1"/>
  <c r="BC402" i="1"/>
  <c r="BI402" i="1"/>
  <c r="BJ402" i="1"/>
  <c r="BK402" i="1" s="1"/>
  <c r="BM402" i="1"/>
  <c r="BO402" i="1"/>
  <c r="BQ402" i="1" s="1"/>
  <c r="BN402" i="1" s="1"/>
  <c r="BT402" i="1"/>
  <c r="BV402" i="1"/>
  <c r="BX402" i="1"/>
  <c r="BY402" i="1"/>
  <c r="CA402" i="1"/>
  <c r="CB402" i="1"/>
  <c r="CC402" i="1"/>
  <c r="CE402" i="1"/>
  <c r="CF402" i="1"/>
  <c r="CG402" i="1"/>
  <c r="CH402" i="1"/>
  <c r="CI402" i="1"/>
  <c r="CJ402" i="1"/>
  <c r="I403" i="1"/>
  <c r="L403" i="1"/>
  <c r="M403" i="1"/>
  <c r="P403" i="1"/>
  <c r="S403" i="1"/>
  <c r="G403" i="5" s="1"/>
  <c r="H403" i="5" s="1"/>
  <c r="X403" i="1"/>
  <c r="Y403" i="1" s="1"/>
  <c r="Z403" i="1"/>
  <c r="AA403" i="1"/>
  <c r="AC403" i="1"/>
  <c r="AI403" i="1"/>
  <c r="AJ403" i="1" s="1"/>
  <c r="AN403" i="1"/>
  <c r="AO403" i="1"/>
  <c r="AQ403" i="1" s="1"/>
  <c r="BS403" i="1" s="1"/>
  <c r="AR403" i="1"/>
  <c r="AS403" i="1"/>
  <c r="AT403" i="1"/>
  <c r="AU403" i="1"/>
  <c r="AV403" i="1"/>
  <c r="AX403" i="1"/>
  <c r="AY403" i="1"/>
  <c r="BA403" i="1"/>
  <c r="BB403" i="1"/>
  <c r="BC403" i="1"/>
  <c r="BI403" i="1"/>
  <c r="BJ403" i="1"/>
  <c r="BK403" i="1"/>
  <c r="BL403" i="1"/>
  <c r="BM403" i="1"/>
  <c r="BO403" i="1"/>
  <c r="BQ403" i="1" s="1"/>
  <c r="BT403" i="1"/>
  <c r="AW403" i="1" s="1"/>
  <c r="BV403" i="1"/>
  <c r="BX403" i="1"/>
  <c r="BY403" i="1"/>
  <c r="BZ403" i="1"/>
  <c r="CA403" i="1"/>
  <c r="CB403" i="1"/>
  <c r="CC403" i="1"/>
  <c r="CE403" i="1"/>
  <c r="CF403" i="1"/>
  <c r="CG403" i="1"/>
  <c r="CH403" i="1"/>
  <c r="CI403" i="1"/>
  <c r="CJ403" i="1"/>
  <c r="I404" i="1"/>
  <c r="BM404" i="1" s="1"/>
  <c r="J404" i="1"/>
  <c r="AZ404" i="1" s="1"/>
  <c r="K404" i="1"/>
  <c r="N404" i="1"/>
  <c r="O404" i="1"/>
  <c r="P404" i="1"/>
  <c r="CA404" i="1" s="1"/>
  <c r="S404" i="1"/>
  <c r="T404" i="1" s="1"/>
  <c r="X404" i="1"/>
  <c r="Y404" i="1" s="1"/>
  <c r="AB404" i="1"/>
  <c r="AC404" i="1"/>
  <c r="AI404" i="1"/>
  <c r="S404" i="5" s="1"/>
  <c r="U404" i="5" s="1"/>
  <c r="AK404" i="1"/>
  <c r="AN404" i="1"/>
  <c r="AO404" i="1"/>
  <c r="Q404" i="1" s="1"/>
  <c r="R404" i="1" s="1"/>
  <c r="AR404" i="1"/>
  <c r="AS404" i="1"/>
  <c r="AT404" i="1"/>
  <c r="AU404" i="1" s="1"/>
  <c r="AV404" i="1"/>
  <c r="AX404" i="1"/>
  <c r="AY404" i="1"/>
  <c r="BA404" i="1"/>
  <c r="BB404" i="1"/>
  <c r="BC404" i="1"/>
  <c r="BE404" i="1"/>
  <c r="BH404" i="1"/>
  <c r="BI404" i="1"/>
  <c r="BJ404" i="1"/>
  <c r="BK404" i="1" s="1"/>
  <c r="BL404" i="1"/>
  <c r="BO404" i="1"/>
  <c r="BQ404" i="1"/>
  <c r="BT404" i="1"/>
  <c r="AW404" i="1" s="1"/>
  <c r="BV404" i="1"/>
  <c r="BX404" i="1"/>
  <c r="M404" i="1" s="1"/>
  <c r="BY404" i="1"/>
  <c r="CB404" i="1"/>
  <c r="CC404" i="1"/>
  <c r="AQ404" i="1" s="1"/>
  <c r="BS404" i="1" s="1"/>
  <c r="CE404" i="1"/>
  <c r="CF404" i="1"/>
  <c r="CG404" i="1"/>
  <c r="CH404" i="1"/>
  <c r="CI404" i="1"/>
  <c r="CJ404" i="1"/>
  <c r="I405" i="1"/>
  <c r="K405" i="1"/>
  <c r="L405" i="1"/>
  <c r="M405" i="1"/>
  <c r="N405" i="1"/>
  <c r="O405" i="1"/>
  <c r="P405" i="1"/>
  <c r="CA405" i="1" s="1"/>
  <c r="R405" i="1"/>
  <c r="S405" i="1"/>
  <c r="T405" i="1" s="1"/>
  <c r="X405" i="1"/>
  <c r="AB405" i="1" s="1"/>
  <c r="AC405" i="1"/>
  <c r="AD405" i="1"/>
  <c r="AI405" i="1"/>
  <c r="AJ405" i="1" s="1"/>
  <c r="AO405" i="1"/>
  <c r="Q405" i="1" s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BB405" i="1"/>
  <c r="BC405" i="1"/>
  <c r="BE405" i="1"/>
  <c r="BH405" i="1"/>
  <c r="BI405" i="1"/>
  <c r="BJ405" i="1"/>
  <c r="BM405" i="1"/>
  <c r="BN405" i="1"/>
  <c r="BO405" i="1"/>
  <c r="BQ405" i="1" s="1"/>
  <c r="BS405" i="1"/>
  <c r="BT405" i="1"/>
  <c r="BV405" i="1"/>
  <c r="BX405" i="1"/>
  <c r="BY405" i="1"/>
  <c r="CB405" i="1"/>
  <c r="CC405" i="1"/>
  <c r="CE405" i="1"/>
  <c r="CF405" i="1"/>
  <c r="CG405" i="1"/>
  <c r="CH405" i="1"/>
  <c r="CI405" i="1"/>
  <c r="CJ405" i="1"/>
  <c r="I406" i="1"/>
  <c r="N406" i="1"/>
  <c r="O406" i="1"/>
  <c r="P406" i="1"/>
  <c r="CA406" i="1" s="1"/>
  <c r="Q406" i="1"/>
  <c r="S406" i="1"/>
  <c r="V406" i="1" s="1"/>
  <c r="T406" i="1"/>
  <c r="X406" i="1"/>
  <c r="K406" i="5" s="1"/>
  <c r="L406" i="5" s="1"/>
  <c r="AC406" i="1"/>
  <c r="AI406" i="1"/>
  <c r="AJ406" i="1" s="1"/>
  <c r="AK406" i="1"/>
  <c r="AO406" i="1"/>
  <c r="AR406" i="1"/>
  <c r="AS406" i="1"/>
  <c r="AT406" i="1"/>
  <c r="AU406" i="1"/>
  <c r="AV406" i="1"/>
  <c r="AW406" i="1"/>
  <c r="AX406" i="1"/>
  <c r="AY406" i="1"/>
  <c r="AZ406" i="1"/>
  <c r="BA406" i="1"/>
  <c r="BB406" i="1"/>
  <c r="BC406" i="1"/>
  <c r="BD406" i="1"/>
  <c r="BI406" i="1"/>
  <c r="BJ406" i="1"/>
  <c r="BZ406" i="1" s="1"/>
  <c r="BL406" i="1"/>
  <c r="BM406" i="1"/>
  <c r="BO406" i="1"/>
  <c r="BQ406" i="1" s="1"/>
  <c r="BT406" i="1"/>
  <c r="BV406" i="1"/>
  <c r="BX406" i="1"/>
  <c r="L406" i="1" s="1"/>
  <c r="BY406" i="1"/>
  <c r="CB406" i="1"/>
  <c r="CC406" i="1"/>
  <c r="CE406" i="1"/>
  <c r="CF406" i="1"/>
  <c r="CG406" i="1"/>
  <c r="CH406" i="1"/>
  <c r="CI406" i="1"/>
  <c r="CJ406" i="1"/>
  <c r="I407" i="1"/>
  <c r="P407" i="1"/>
  <c r="CA407" i="1" s="1"/>
  <c r="Q407" i="1"/>
  <c r="S407" i="1"/>
  <c r="G407" i="5" s="1"/>
  <c r="AC407" i="1"/>
  <c r="AO407" i="1"/>
  <c r="J407" i="1" s="1"/>
  <c r="AP407" i="1"/>
  <c r="AR407" i="1"/>
  <c r="AS407" i="1"/>
  <c r="AT407" i="1"/>
  <c r="AU407" i="1" s="1"/>
  <c r="AV407" i="1"/>
  <c r="AX407" i="1"/>
  <c r="AY407" i="1"/>
  <c r="AZ407" i="1"/>
  <c r="BA407" i="1"/>
  <c r="BB407" i="1"/>
  <c r="BC407" i="1"/>
  <c r="BI407" i="1"/>
  <c r="BJ407" i="1"/>
  <c r="BK407" i="1" s="1"/>
  <c r="BL407" i="1"/>
  <c r="BM407" i="1"/>
  <c r="BO407" i="1"/>
  <c r="BQ407" i="1" s="1"/>
  <c r="BT407" i="1"/>
  <c r="AW407" i="1" s="1"/>
  <c r="BV407" i="1"/>
  <c r="BX407" i="1"/>
  <c r="BY407" i="1"/>
  <c r="CB407" i="1"/>
  <c r="CC407" i="1"/>
  <c r="AQ407" i="1" s="1"/>
  <c r="CE407" i="1"/>
  <c r="CF407" i="1"/>
  <c r="CG407" i="1"/>
  <c r="CH407" i="1"/>
  <c r="CI407" i="1"/>
  <c r="CJ407" i="1"/>
  <c r="I408" i="1"/>
  <c r="L408" i="1"/>
  <c r="N408" i="1"/>
  <c r="O408" i="1"/>
  <c r="P408" i="1"/>
  <c r="CA408" i="1" s="1"/>
  <c r="X408" i="1"/>
  <c r="K408" i="5" s="1"/>
  <c r="L408" i="5" s="1"/>
  <c r="AC408" i="1"/>
  <c r="AD408" i="1"/>
  <c r="AH408" i="1" s="1"/>
  <c r="AI408" i="1"/>
  <c r="AL408" i="1" s="1"/>
  <c r="AJ408" i="1"/>
  <c r="AN408" i="1"/>
  <c r="AO408" i="1"/>
  <c r="BH408" i="1" s="1"/>
  <c r="AP408" i="1"/>
  <c r="AQ408" i="1"/>
  <c r="BS408" i="1" s="1"/>
  <c r="AR408" i="1"/>
  <c r="AS408" i="1"/>
  <c r="AT408" i="1"/>
  <c r="AU408" i="1" s="1"/>
  <c r="AV408" i="1"/>
  <c r="AX408" i="1"/>
  <c r="AY408" i="1"/>
  <c r="AZ408" i="1"/>
  <c r="BA408" i="1"/>
  <c r="BB408" i="1"/>
  <c r="BC408" i="1"/>
  <c r="BD408" i="1"/>
  <c r="BE408" i="1"/>
  <c r="BI408" i="1"/>
  <c r="BJ408" i="1"/>
  <c r="BK408" i="1"/>
  <c r="BL408" i="1"/>
  <c r="BM408" i="1"/>
  <c r="BN408" i="1"/>
  <c r="BO408" i="1"/>
  <c r="BQ408" i="1" s="1"/>
  <c r="BT408" i="1"/>
  <c r="AW408" i="1" s="1"/>
  <c r="BV408" i="1"/>
  <c r="BX408" i="1"/>
  <c r="M408" i="1" s="1"/>
  <c r="BY408" i="1"/>
  <c r="BZ408" i="1"/>
  <c r="CB408" i="1"/>
  <c r="CC408" i="1"/>
  <c r="CE408" i="1"/>
  <c r="CF408" i="1"/>
  <c r="CG408" i="1"/>
  <c r="CH408" i="1"/>
  <c r="CI408" i="1"/>
  <c r="CJ408" i="1"/>
  <c r="I409" i="1"/>
  <c r="J409" i="1"/>
  <c r="BF409" i="1" s="1"/>
  <c r="K409" i="1"/>
  <c r="N409" i="1"/>
  <c r="O409" i="1"/>
  <c r="P409" i="1"/>
  <c r="S409" i="1"/>
  <c r="U409" i="1" s="1"/>
  <c r="AA409" i="1"/>
  <c r="AC409" i="1"/>
  <c r="AD409" i="1"/>
  <c r="AE409" i="1" s="1"/>
  <c r="AI409" i="1"/>
  <c r="AM409" i="1" s="1"/>
  <c r="AO409" i="1"/>
  <c r="X409" i="1" s="1"/>
  <c r="Z409" i="1" s="1"/>
  <c r="AP409" i="1"/>
  <c r="AR409" i="1"/>
  <c r="AS409" i="1"/>
  <c r="AT409" i="1"/>
  <c r="AU409" i="1"/>
  <c r="AV409" i="1"/>
  <c r="AX409" i="1"/>
  <c r="AY409" i="1"/>
  <c r="AZ409" i="1"/>
  <c r="BA409" i="1"/>
  <c r="BB409" i="1"/>
  <c r="BC409" i="1"/>
  <c r="BD409" i="1"/>
  <c r="BE409" i="1"/>
  <c r="BI409" i="1"/>
  <c r="BL409" i="1" s="1"/>
  <c r="BJ409" i="1"/>
  <c r="AN409" i="1" s="1"/>
  <c r="BK409" i="1"/>
  <c r="BM409" i="1"/>
  <c r="BO409" i="1"/>
  <c r="BQ409" i="1" s="1"/>
  <c r="BN409" i="1" s="1"/>
  <c r="BT409" i="1"/>
  <c r="AW409" i="1" s="1"/>
  <c r="BV409" i="1"/>
  <c r="BX409" i="1"/>
  <c r="BY409" i="1"/>
  <c r="CA409" i="1"/>
  <c r="CB409" i="1"/>
  <c r="CC409" i="1"/>
  <c r="BZ409" i="1" s="1"/>
  <c r="CE409" i="1"/>
  <c r="CF409" i="1"/>
  <c r="CG409" i="1"/>
  <c r="CH409" i="1"/>
  <c r="CI409" i="1"/>
  <c r="CJ409" i="1"/>
  <c r="I410" i="1"/>
  <c r="BM410" i="1" s="1"/>
  <c r="K410" i="1"/>
  <c r="L410" i="1"/>
  <c r="P410" i="1"/>
  <c r="S410" i="1"/>
  <c r="T410" i="1" s="1"/>
  <c r="V410" i="1"/>
  <c r="X410" i="1"/>
  <c r="Z410" i="1" s="1"/>
  <c r="Y410" i="1"/>
  <c r="AC410" i="1"/>
  <c r="AI410" i="1"/>
  <c r="AJ410" i="1" s="1"/>
  <c r="AO410" i="1"/>
  <c r="AR410" i="1"/>
  <c r="AS410" i="1"/>
  <c r="AT410" i="1"/>
  <c r="AU410" i="1"/>
  <c r="AV410" i="1"/>
  <c r="AX410" i="1"/>
  <c r="AY410" i="1"/>
  <c r="AZ410" i="1"/>
  <c r="BA410" i="1"/>
  <c r="BB410" i="1"/>
  <c r="BC410" i="1"/>
  <c r="BE410" i="1"/>
  <c r="BH410" i="1"/>
  <c r="BI410" i="1"/>
  <c r="BJ410" i="1"/>
  <c r="AN410" i="1" s="1"/>
  <c r="BK410" i="1"/>
  <c r="BL410" i="1"/>
  <c r="BO410" i="1"/>
  <c r="BT410" i="1"/>
  <c r="AW410" i="1" s="1"/>
  <c r="BV410" i="1"/>
  <c r="BX410" i="1"/>
  <c r="M410" i="1" s="1"/>
  <c r="BY410" i="1"/>
  <c r="CA410" i="1"/>
  <c r="CB410" i="1"/>
  <c r="CC410" i="1"/>
  <c r="AQ410" i="1" s="1"/>
  <c r="BS410" i="1" s="1"/>
  <c r="CE410" i="1"/>
  <c r="CF410" i="1"/>
  <c r="CG410" i="1"/>
  <c r="CH410" i="1"/>
  <c r="CI410" i="1"/>
  <c r="CJ410" i="1"/>
  <c r="I411" i="1"/>
  <c r="K411" i="1"/>
  <c r="N411" i="1"/>
  <c r="O411" i="1"/>
  <c r="P411" i="1"/>
  <c r="CA411" i="1" s="1"/>
  <c r="S411" i="1"/>
  <c r="T411" i="1" s="1"/>
  <c r="X411" i="1"/>
  <c r="Y411" i="1" s="1"/>
  <c r="Z411" i="1"/>
  <c r="AC411" i="1"/>
  <c r="AI411" i="1"/>
  <c r="AL411" i="1" s="1"/>
  <c r="AO411" i="1"/>
  <c r="BD411" i="1" s="1"/>
  <c r="AP411" i="1"/>
  <c r="AR411" i="1"/>
  <c r="AS411" i="1"/>
  <c r="AT411" i="1"/>
  <c r="AU411" i="1"/>
  <c r="AV411" i="1"/>
  <c r="AW411" i="1"/>
  <c r="AX411" i="1"/>
  <c r="AY411" i="1"/>
  <c r="BA411" i="1"/>
  <c r="BB411" i="1"/>
  <c r="BC411" i="1"/>
  <c r="BE411" i="1"/>
  <c r="BI411" i="1"/>
  <c r="BJ411" i="1"/>
  <c r="BL411" i="1"/>
  <c r="BM411" i="1"/>
  <c r="BO411" i="1"/>
  <c r="BQ411" i="1"/>
  <c r="BN411" i="1" s="1"/>
  <c r="BT411" i="1"/>
  <c r="BV411" i="1"/>
  <c r="BX411" i="1"/>
  <c r="L411" i="1" s="1"/>
  <c r="BY411" i="1"/>
  <c r="CB411" i="1"/>
  <c r="CC411" i="1"/>
  <c r="AQ411" i="1" s="1"/>
  <c r="CE411" i="1"/>
  <c r="CF411" i="1"/>
  <c r="CG411" i="1"/>
  <c r="CH411" i="1"/>
  <c r="CI411" i="1"/>
  <c r="CJ411" i="1"/>
  <c r="I412" i="1"/>
  <c r="L412" i="1"/>
  <c r="P412" i="1"/>
  <c r="S412" i="1"/>
  <c r="V412" i="1" s="1"/>
  <c r="U412" i="1"/>
  <c r="AC412" i="1"/>
  <c r="AO412" i="1"/>
  <c r="J412" i="1" s="1"/>
  <c r="BF412" i="1" s="1"/>
  <c r="AR412" i="1"/>
  <c r="AS412" i="1"/>
  <c r="AT412" i="1"/>
  <c r="AU412" i="1"/>
  <c r="AV412" i="1"/>
  <c r="AX412" i="1"/>
  <c r="AY412" i="1"/>
  <c r="AZ412" i="1"/>
  <c r="BA412" i="1"/>
  <c r="BB412" i="1"/>
  <c r="BC412" i="1"/>
  <c r="BI412" i="1"/>
  <c r="BL412" i="1" s="1"/>
  <c r="BJ412" i="1"/>
  <c r="BM412" i="1"/>
  <c r="BO412" i="1"/>
  <c r="BT412" i="1"/>
  <c r="AW412" i="1" s="1"/>
  <c r="BV412" i="1"/>
  <c r="BX412" i="1"/>
  <c r="M412" i="1" s="1"/>
  <c r="BY412" i="1"/>
  <c r="BZ412" i="1"/>
  <c r="CA412" i="1"/>
  <c r="CB412" i="1"/>
  <c r="CC412" i="1"/>
  <c r="CE412" i="1"/>
  <c r="CF412" i="1"/>
  <c r="CG412" i="1"/>
  <c r="CH412" i="1"/>
  <c r="CI412" i="1"/>
  <c r="CJ412" i="1"/>
  <c r="I413" i="1"/>
  <c r="N413" i="1"/>
  <c r="O413" i="1"/>
  <c r="P413" i="1"/>
  <c r="CA413" i="1" s="1"/>
  <c r="S413" i="1"/>
  <c r="T413" i="1" s="1"/>
  <c r="V413" i="1"/>
  <c r="X413" i="1"/>
  <c r="AA413" i="1" s="1"/>
  <c r="Z413" i="1"/>
  <c r="AC413" i="1"/>
  <c r="AO413" i="1"/>
  <c r="K413" i="1" s="1"/>
  <c r="AR413" i="1"/>
  <c r="AS413" i="1"/>
  <c r="AT413" i="1"/>
  <c r="AU413" i="1"/>
  <c r="AV413" i="1"/>
  <c r="AX413" i="1"/>
  <c r="AY413" i="1"/>
  <c r="AZ413" i="1"/>
  <c r="BA413" i="1"/>
  <c r="BB413" i="1"/>
  <c r="BC413" i="1"/>
  <c r="BD413" i="1"/>
  <c r="BI413" i="1"/>
  <c r="BJ413" i="1"/>
  <c r="AN413" i="1" s="1"/>
  <c r="BL413" i="1"/>
  <c r="BM413" i="1"/>
  <c r="BO413" i="1"/>
  <c r="BQ413" i="1" s="1"/>
  <c r="BN413" i="1" s="1"/>
  <c r="BT413" i="1"/>
  <c r="AW413" i="1" s="1"/>
  <c r="BV413" i="1"/>
  <c r="BX413" i="1"/>
  <c r="M413" i="1" s="1"/>
  <c r="BY413" i="1"/>
  <c r="CB413" i="1"/>
  <c r="CC413" i="1"/>
  <c r="AQ413" i="1" s="1"/>
  <c r="CE413" i="1"/>
  <c r="CF413" i="1"/>
  <c r="CG413" i="1"/>
  <c r="CH413" i="1"/>
  <c r="CI413" i="1"/>
  <c r="CJ413" i="1"/>
  <c r="I414" i="1"/>
  <c r="N414" i="1"/>
  <c r="O414" i="1"/>
  <c r="P414" i="1"/>
  <c r="S414" i="1"/>
  <c r="T414" i="1" s="1"/>
  <c r="X414" i="1"/>
  <c r="Z414" i="1" s="1"/>
  <c r="AA414" i="1"/>
  <c r="AC414" i="1"/>
  <c r="AI414" i="1"/>
  <c r="AL414" i="1" s="1"/>
  <c r="AN414" i="1"/>
  <c r="AO414" i="1"/>
  <c r="J414" i="1" s="1"/>
  <c r="AR414" i="1"/>
  <c r="AS414" i="1"/>
  <c r="AT414" i="1"/>
  <c r="AU414" i="1"/>
  <c r="AV414" i="1"/>
  <c r="AX414" i="1"/>
  <c r="AY414" i="1"/>
  <c r="AZ414" i="1"/>
  <c r="BA414" i="1"/>
  <c r="BB414" i="1"/>
  <c r="BC414" i="1"/>
  <c r="BI414" i="1"/>
  <c r="BJ414" i="1"/>
  <c r="BK414" i="1"/>
  <c r="BL414" i="1"/>
  <c r="BM414" i="1"/>
  <c r="BO414" i="1"/>
  <c r="BQ414" i="1" s="1"/>
  <c r="BT414" i="1"/>
  <c r="AW414" i="1" s="1"/>
  <c r="BV414" i="1"/>
  <c r="BX414" i="1"/>
  <c r="M414" i="1" s="1"/>
  <c r="BY414" i="1"/>
  <c r="CA414" i="1"/>
  <c r="CB414" i="1"/>
  <c r="CC414" i="1"/>
  <c r="BZ414" i="1" s="1"/>
  <c r="CE414" i="1"/>
  <c r="CF414" i="1"/>
  <c r="CG414" i="1"/>
  <c r="CH414" i="1"/>
  <c r="CI414" i="1"/>
  <c r="CJ414" i="1"/>
  <c r="I415" i="1"/>
  <c r="N415" i="1"/>
  <c r="O415" i="1"/>
  <c r="P415" i="1"/>
  <c r="S415" i="1"/>
  <c r="U415" i="1" s="1"/>
  <c r="X415" i="1"/>
  <c r="Y415" i="1" s="1"/>
  <c r="Z415" i="1"/>
  <c r="AC415" i="1"/>
  <c r="AO415" i="1"/>
  <c r="AD415" i="1" s="1"/>
  <c r="AQ415" i="1"/>
  <c r="AR415" i="1"/>
  <c r="AS415" i="1"/>
  <c r="AT415" i="1"/>
  <c r="AU415" i="1" s="1"/>
  <c r="AV415" i="1"/>
  <c r="AX415" i="1"/>
  <c r="AY415" i="1"/>
  <c r="AZ415" i="1"/>
  <c r="BA415" i="1"/>
  <c r="BB415" i="1"/>
  <c r="BC415" i="1"/>
  <c r="BD415" i="1"/>
  <c r="BI415" i="1"/>
  <c r="BJ415" i="1"/>
  <c r="BL415" i="1"/>
  <c r="BM415" i="1"/>
  <c r="BO415" i="1"/>
  <c r="BQ415" i="1" s="1"/>
  <c r="BT415" i="1"/>
  <c r="AW415" i="1" s="1"/>
  <c r="BV415" i="1"/>
  <c r="BX415" i="1"/>
  <c r="M415" i="1" s="1"/>
  <c r="BY415" i="1"/>
  <c r="BZ415" i="1"/>
  <c r="CA415" i="1"/>
  <c r="CB415" i="1"/>
  <c r="CC415" i="1"/>
  <c r="CE415" i="1"/>
  <c r="CF415" i="1"/>
  <c r="CG415" i="1"/>
  <c r="CH415" i="1"/>
  <c r="CI415" i="1"/>
  <c r="CJ415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384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C397" i="3"/>
  <c r="AR397" i="3" s="1"/>
  <c r="BG397" i="3" s="1"/>
  <c r="F398" i="3"/>
  <c r="BU399" i="3"/>
  <c r="BQ399" i="3"/>
  <c r="BP399" i="3" a="1"/>
  <c r="BP399" i="3" s="1"/>
  <c r="BM399" i="3"/>
  <c r="BI399" i="3"/>
  <c r="BF399" i="3"/>
  <c r="BD399" i="3"/>
  <c r="BC399" i="3"/>
  <c r="BA399" i="3"/>
  <c r="AZ399" i="3"/>
  <c r="AY399" i="3"/>
  <c r="AS399" i="3"/>
  <c r="BH399" i="3" s="1"/>
  <c r="AR399" i="3"/>
  <c r="BG399" i="3" s="1"/>
  <c r="AP399" i="3"/>
  <c r="AQ399" i="3" s="1"/>
  <c r="AO399" i="3"/>
  <c r="T399" i="3"/>
  <c r="S399" i="3"/>
  <c r="AT399" i="3" s="1"/>
  <c r="BJ399" i="3" s="1"/>
  <c r="L399" i="3"/>
  <c r="E399" i="3"/>
  <c r="BU398" i="3"/>
  <c r="BQ398" i="3"/>
  <c r="BM398" i="3"/>
  <c r="BI398" i="3"/>
  <c r="BD398" i="3"/>
  <c r="BC398" i="3"/>
  <c r="BA398" i="3"/>
  <c r="AZ398" i="3"/>
  <c r="AY398" i="3"/>
  <c r="AR398" i="3"/>
  <c r="BG398" i="3" s="1"/>
  <c r="AO398" i="3"/>
  <c r="AH398" i="3"/>
  <c r="AX398" i="3"/>
  <c r="T398" i="3"/>
  <c r="S398" i="3"/>
  <c r="L398" i="3"/>
  <c r="H398" i="3"/>
  <c r="G398" i="3"/>
  <c r="E398" i="3"/>
  <c r="BU397" i="3"/>
  <c r="BQ397" i="3"/>
  <c r="BM397" i="3"/>
  <c r="BI397" i="3"/>
  <c r="BD397" i="3"/>
  <c r="BC397" i="3"/>
  <c r="BA397" i="3"/>
  <c r="AZ397" i="3"/>
  <c r="AY397" i="3"/>
  <c r="AO397" i="3"/>
  <c r="AH397" i="3"/>
  <c r="T397" i="3"/>
  <c r="S397" i="3"/>
  <c r="L397" i="3"/>
  <c r="E397" i="3"/>
  <c r="AH362" i="3"/>
  <c r="BD396" i="3"/>
  <c r="BB396" i="3"/>
  <c r="BA396" i="3"/>
  <c r="AZ396" i="3"/>
  <c r="AY396" i="3"/>
  <c r="AR396" i="3"/>
  <c r="BG396" i="3" s="1"/>
  <c r="AP396" i="3"/>
  <c r="AQ396" i="3" s="1"/>
  <c r="AO396" i="3"/>
  <c r="AH396" i="3"/>
  <c r="T396" i="3"/>
  <c r="S396" i="3"/>
  <c r="J396" i="3"/>
  <c r="F396" i="3"/>
  <c r="E396" i="3"/>
  <c r="AX396" i="3" s="1"/>
  <c r="F395" i="3"/>
  <c r="BU395" i="3"/>
  <c r="BQ395" i="3"/>
  <c r="BM395" i="3"/>
  <c r="BI395" i="3"/>
  <c r="BD395" i="3"/>
  <c r="BC395" i="3"/>
  <c r="BA395" i="3"/>
  <c r="AZ395" i="3"/>
  <c r="AY395" i="3"/>
  <c r="AR395" i="3"/>
  <c r="BG395" i="3" s="1"/>
  <c r="AO395" i="3"/>
  <c r="T395" i="3"/>
  <c r="S395" i="3"/>
  <c r="E395" i="3"/>
  <c r="AX395" i="3" s="1"/>
  <c r="C393" i="3"/>
  <c r="BP393" i="3" a="1"/>
  <c r="BP393" i="3" s="1"/>
  <c r="BD393" i="3"/>
  <c r="BA393" i="3"/>
  <c r="AZ393" i="3"/>
  <c r="AY393" i="3"/>
  <c r="AR393" i="3"/>
  <c r="BG393" i="3" s="1"/>
  <c r="AO393" i="3"/>
  <c r="AH393" i="3"/>
  <c r="T393" i="3"/>
  <c r="S393" i="3"/>
  <c r="G393" i="3"/>
  <c r="E393" i="3"/>
  <c r="BF393" i="3"/>
  <c r="E391" i="3"/>
  <c r="I140" i="17"/>
  <c r="H140" i="17"/>
  <c r="BD391" i="3"/>
  <c r="BB391" i="3"/>
  <c r="BA391" i="3"/>
  <c r="AZ391" i="3"/>
  <c r="AY391" i="3"/>
  <c r="AR391" i="3"/>
  <c r="BG391" i="3" s="1"/>
  <c r="AP391" i="3"/>
  <c r="AQ391" i="3" s="1"/>
  <c r="AO391" i="3"/>
  <c r="AH391" i="3"/>
  <c r="T391" i="3"/>
  <c r="S391" i="3"/>
  <c r="J391" i="3"/>
  <c r="F391" i="3"/>
  <c r="AX391" i="3"/>
  <c r="BU390" i="3"/>
  <c r="BQ390" i="3"/>
  <c r="BM390" i="3"/>
  <c r="BI390" i="3"/>
  <c r="BD390" i="3"/>
  <c r="BC390" i="3"/>
  <c r="BA390" i="3"/>
  <c r="AZ390" i="3"/>
  <c r="AY390" i="3"/>
  <c r="AR390" i="3"/>
  <c r="BG390" i="3" s="1"/>
  <c r="AO390" i="3"/>
  <c r="AH390" i="3"/>
  <c r="T390" i="3"/>
  <c r="S390" i="3"/>
  <c r="E390" i="3"/>
  <c r="AX390" i="3" s="1"/>
  <c r="AH389" i="3"/>
  <c r="F389" i="3"/>
  <c r="BU389" i="3"/>
  <c r="BQ389" i="3"/>
  <c r="BP389" i="3" a="1"/>
  <c r="BP389" i="3" s="1"/>
  <c r="BT389" i="3" s="1"/>
  <c r="BM389" i="3"/>
  <c r="BI389" i="3"/>
  <c r="BF389" i="3"/>
  <c r="BD389" i="3"/>
  <c r="BC389" i="3"/>
  <c r="BA389" i="3"/>
  <c r="AZ389" i="3"/>
  <c r="AY389" i="3"/>
  <c r="AR389" i="3"/>
  <c r="BG389" i="3" s="1"/>
  <c r="AP389" i="3"/>
  <c r="AQ389" i="3" s="1"/>
  <c r="AO389" i="3"/>
  <c r="AX389" i="3"/>
  <c r="T389" i="3"/>
  <c r="S389" i="3"/>
  <c r="AT389" i="3" s="1"/>
  <c r="L389" i="3"/>
  <c r="E389" i="3"/>
  <c r="BU388" i="3"/>
  <c r="BQ388" i="3"/>
  <c r="BM388" i="3"/>
  <c r="BI388" i="3"/>
  <c r="BF388" i="3"/>
  <c r="BD388" i="3"/>
  <c r="BC388" i="3"/>
  <c r="BA388" i="3"/>
  <c r="AZ388" i="3"/>
  <c r="AY388" i="3"/>
  <c r="AR388" i="3"/>
  <c r="BG388" i="3" s="1"/>
  <c r="AP388" i="3"/>
  <c r="AQ388" i="3" s="1"/>
  <c r="AO388" i="3"/>
  <c r="AH388" i="3"/>
  <c r="T388" i="3"/>
  <c r="S388" i="3"/>
  <c r="AT388" i="3" s="1"/>
  <c r="L388" i="3"/>
  <c r="J388" i="3"/>
  <c r="G388" i="3"/>
  <c r="F388" i="3"/>
  <c r="E388" i="3"/>
  <c r="AX388" i="3" s="1"/>
  <c r="BU387" i="3"/>
  <c r="BQ387" i="3"/>
  <c r="BP387" i="3" a="1"/>
  <c r="BP387" i="3" s="1"/>
  <c r="BT387" i="3" s="1"/>
  <c r="BM387" i="3"/>
  <c r="BI387" i="3"/>
  <c r="BF387" i="3"/>
  <c r="BD387" i="3"/>
  <c r="BC387" i="3"/>
  <c r="BA387" i="3"/>
  <c r="AZ387" i="3"/>
  <c r="AY387" i="3"/>
  <c r="AR387" i="3"/>
  <c r="BG387" i="3" s="1"/>
  <c r="AP387" i="3"/>
  <c r="AQ387" i="3" s="1"/>
  <c r="AO387" i="3"/>
  <c r="T387" i="3"/>
  <c r="S387" i="3"/>
  <c r="AT387" i="3" s="1"/>
  <c r="L387" i="3"/>
  <c r="J387" i="3"/>
  <c r="F387" i="3"/>
  <c r="E387" i="3"/>
  <c r="AX387" i="3" s="1"/>
  <c r="AH386" i="3"/>
  <c r="BD386" i="3"/>
  <c r="BA386" i="3"/>
  <c r="AY386" i="3"/>
  <c r="AR386" i="3"/>
  <c r="BG386" i="3" s="1"/>
  <c r="AO386" i="3"/>
  <c r="T386" i="3"/>
  <c r="S386" i="3"/>
  <c r="G386" i="3"/>
  <c r="E386" i="3"/>
  <c r="L384" i="3"/>
  <c r="C384" i="3"/>
  <c r="BU384" i="3"/>
  <c r="BQ384" i="3"/>
  <c r="BP384" i="3" a="1"/>
  <c r="BP384" i="3" s="1"/>
  <c r="BT384" i="3" s="1"/>
  <c r="BM384" i="3"/>
  <c r="BI384" i="3"/>
  <c r="BD384" i="3"/>
  <c r="BC384" i="3"/>
  <c r="BA384" i="3"/>
  <c r="AZ384" i="3"/>
  <c r="AY384" i="3"/>
  <c r="AR384" i="3"/>
  <c r="BG384" i="3" s="1"/>
  <c r="AP384" i="3"/>
  <c r="AO384" i="3"/>
  <c r="AX384" i="3"/>
  <c r="T384" i="3"/>
  <c r="S384" i="3"/>
  <c r="J384" i="3"/>
  <c r="F384" i="3"/>
  <c r="E384" i="3"/>
  <c r="BF384" i="3"/>
  <c r="F383" i="3"/>
  <c r="BU383" i="3"/>
  <c r="BQ383" i="3"/>
  <c r="BM383" i="3"/>
  <c r="BI383" i="3"/>
  <c r="BC383" i="3"/>
  <c r="BA383" i="3"/>
  <c r="AZ383" i="3"/>
  <c r="AY383" i="3"/>
  <c r="AO383" i="3"/>
  <c r="AX383" i="3"/>
  <c r="T383" i="3"/>
  <c r="S383" i="3"/>
  <c r="E383" i="3"/>
  <c r="BF383" i="3"/>
  <c r="BU381" i="3"/>
  <c r="BQ381" i="3"/>
  <c r="BP381" i="3" a="1"/>
  <c r="BP381" i="3" s="1"/>
  <c r="BT381" i="3" s="1"/>
  <c r="BM381" i="3"/>
  <c r="BI381" i="3"/>
  <c r="BD381" i="3"/>
  <c r="BC381" i="3"/>
  <c r="BA381" i="3"/>
  <c r="AZ381" i="3"/>
  <c r="AY381" i="3"/>
  <c r="AR381" i="3"/>
  <c r="BG381" i="3" s="1"/>
  <c r="AP381" i="3"/>
  <c r="AQ381" i="3" s="1"/>
  <c r="AO381" i="3"/>
  <c r="AH381" i="3"/>
  <c r="T381" i="3"/>
  <c r="S381" i="3"/>
  <c r="L381" i="3"/>
  <c r="F381" i="3"/>
  <c r="E381" i="3"/>
  <c r="AX381" i="3" s="1"/>
  <c r="BU380" i="3"/>
  <c r="BQ380" i="3"/>
  <c r="BM380" i="3"/>
  <c r="BI380" i="3"/>
  <c r="BD380" i="3"/>
  <c r="BC380" i="3"/>
  <c r="BA380" i="3"/>
  <c r="AZ380" i="3"/>
  <c r="AY380" i="3"/>
  <c r="AR380" i="3"/>
  <c r="BG380" i="3" s="1"/>
  <c r="AO380" i="3"/>
  <c r="T380" i="3"/>
  <c r="S380" i="3"/>
  <c r="E380" i="3"/>
  <c r="BU379" i="3"/>
  <c r="BQ379" i="3"/>
  <c r="BM379" i="3"/>
  <c r="BI379" i="3"/>
  <c r="BD379" i="3"/>
  <c r="BC379" i="3"/>
  <c r="BA379" i="3"/>
  <c r="AZ379" i="3"/>
  <c r="AY379" i="3"/>
  <c r="AR379" i="3"/>
  <c r="AO379" i="3"/>
  <c r="T379" i="3"/>
  <c r="S379" i="3"/>
  <c r="E379" i="3"/>
  <c r="E377" i="3"/>
  <c r="I30" i="17"/>
  <c r="H30" i="17"/>
  <c r="L377" i="3"/>
  <c r="BU377" i="3"/>
  <c r="BQ377" i="3"/>
  <c r="BM377" i="3"/>
  <c r="BI377" i="3"/>
  <c r="BD377" i="3"/>
  <c r="BC377" i="3"/>
  <c r="BA377" i="3"/>
  <c r="AZ377" i="3"/>
  <c r="AY377" i="3"/>
  <c r="AR377" i="3"/>
  <c r="AO377" i="3"/>
  <c r="T377" i="3"/>
  <c r="S377" i="3"/>
  <c r="AX377" i="3"/>
  <c r="BD376" i="3"/>
  <c r="BA376" i="3"/>
  <c r="AZ376" i="3"/>
  <c r="AY376" i="3"/>
  <c r="AR376" i="3"/>
  <c r="BG376" i="3" s="1"/>
  <c r="AO376" i="3"/>
  <c r="T376" i="3"/>
  <c r="S376" i="3"/>
  <c r="E376" i="3"/>
  <c r="BP376" i="3" s="1" a="1"/>
  <c r="BP376" i="3" s="1"/>
  <c r="BT376" i="3" s="1"/>
  <c r="BU374" i="3"/>
  <c r="BQ374" i="3"/>
  <c r="BM374" i="3"/>
  <c r="BI374" i="3"/>
  <c r="BD374" i="3"/>
  <c r="BC374" i="3"/>
  <c r="BA374" i="3"/>
  <c r="AZ374" i="3"/>
  <c r="AY374" i="3"/>
  <c r="AR374" i="3"/>
  <c r="AO374" i="3"/>
  <c r="T374" i="3"/>
  <c r="S374" i="3"/>
  <c r="E374" i="3"/>
  <c r="AH366" i="3"/>
  <c r="AH369" i="3"/>
  <c r="AH370" i="3"/>
  <c r="C373" i="3"/>
  <c r="BD373" i="3"/>
  <c r="BA373" i="3"/>
  <c r="AZ373" i="3"/>
  <c r="AY373" i="3"/>
  <c r="AR373" i="3"/>
  <c r="BG373" i="3" s="1"/>
  <c r="AP373" i="3"/>
  <c r="AQ373" i="3" s="1"/>
  <c r="AO373" i="3"/>
  <c r="AH373" i="3"/>
  <c r="T373" i="3"/>
  <c r="S373" i="3"/>
  <c r="E373" i="3"/>
  <c r="AS373" i="3" s="1"/>
  <c r="BH373" i="3" s="1"/>
  <c r="BU372" i="3"/>
  <c r="BQ372" i="3"/>
  <c r="BM372" i="3"/>
  <c r="BI372" i="3"/>
  <c r="BD372" i="3"/>
  <c r="BC372" i="3"/>
  <c r="BA372" i="3"/>
  <c r="AZ372" i="3"/>
  <c r="AR372" i="3"/>
  <c r="AO372" i="3"/>
  <c r="AY372" i="3"/>
  <c r="T372" i="3"/>
  <c r="S372" i="3"/>
  <c r="F372" i="3"/>
  <c r="E372" i="3"/>
  <c r="AX372" i="3" s="1"/>
  <c r="BD370" i="3"/>
  <c r="BA370" i="3"/>
  <c r="AZ370" i="3"/>
  <c r="AY370" i="3"/>
  <c r="AR370" i="3"/>
  <c r="AO370" i="3"/>
  <c r="AX370" i="3"/>
  <c r="T370" i="3"/>
  <c r="S370" i="3"/>
  <c r="L370" i="3"/>
  <c r="E370" i="3"/>
  <c r="AP370" i="3" s="1"/>
  <c r="AQ370" i="3" s="1"/>
  <c r="BU378" i="3"/>
  <c r="BQ378" i="3"/>
  <c r="BM378" i="3"/>
  <c r="BI378" i="3"/>
  <c r="BC378" i="3"/>
  <c r="BA378" i="3"/>
  <c r="AZ378" i="3"/>
  <c r="AO378" i="3"/>
  <c r="U378" i="3"/>
  <c r="AY378" i="3" s="1"/>
  <c r="T378" i="3"/>
  <c r="S378" i="3"/>
  <c r="E378" i="3"/>
  <c r="BF378" i="3" s="1"/>
  <c r="BU375" i="3"/>
  <c r="BQ375" i="3"/>
  <c r="BM375" i="3"/>
  <c r="BI375" i="3"/>
  <c r="BD375" i="3"/>
  <c r="BC375" i="3"/>
  <c r="BA375" i="3"/>
  <c r="AZ375" i="3"/>
  <c r="AY375" i="3"/>
  <c r="AR375" i="3"/>
  <c r="AO375" i="3"/>
  <c r="AH375" i="3"/>
  <c r="T375" i="3"/>
  <c r="S375" i="3"/>
  <c r="J375" i="3"/>
  <c r="F375" i="3"/>
  <c r="E375" i="3"/>
  <c r="BU394" i="3"/>
  <c r="BQ394" i="3"/>
  <c r="BM394" i="3"/>
  <c r="BI394" i="3"/>
  <c r="BD394" i="3"/>
  <c r="BC394" i="3"/>
  <c r="BA394" i="3"/>
  <c r="AZ394" i="3"/>
  <c r="AY394" i="3"/>
  <c r="AR394" i="3"/>
  <c r="BG394" i="3" s="1"/>
  <c r="AP394" i="3"/>
  <c r="AQ394" i="3" s="1"/>
  <c r="AO394" i="3"/>
  <c r="T394" i="3"/>
  <c r="S394" i="3"/>
  <c r="J394" i="3"/>
  <c r="F394" i="3"/>
  <c r="E394" i="3"/>
  <c r="AX394" i="3" s="1"/>
  <c r="BD385" i="3"/>
  <c r="BA385" i="3"/>
  <c r="AZ385" i="3"/>
  <c r="AY385" i="3"/>
  <c r="AR385" i="3"/>
  <c r="BG385" i="3" s="1"/>
  <c r="AO385" i="3"/>
  <c r="AH385" i="3"/>
  <c r="T385" i="3"/>
  <c r="S385" i="3"/>
  <c r="F385" i="3"/>
  <c r="E385" i="3"/>
  <c r="BU371" i="3"/>
  <c r="BQ371" i="3"/>
  <c r="BM371" i="3"/>
  <c r="BI371" i="3"/>
  <c r="BD371" i="3"/>
  <c r="BC371" i="3"/>
  <c r="BA371" i="3"/>
  <c r="AZ371" i="3"/>
  <c r="AY371" i="3"/>
  <c r="AR371" i="3"/>
  <c r="AO371" i="3"/>
  <c r="T371" i="3"/>
  <c r="S371" i="3"/>
  <c r="L371" i="3"/>
  <c r="E371" i="3"/>
  <c r="AX371" i="3" s="1"/>
  <c r="C371" i="3"/>
  <c r="C161" i="3"/>
  <c r="BD369" i="3"/>
  <c r="BA369" i="3"/>
  <c r="AZ369" i="3"/>
  <c r="AY369" i="3"/>
  <c r="AR369" i="3"/>
  <c r="AO369" i="3"/>
  <c r="T369" i="3"/>
  <c r="S369" i="3"/>
  <c r="G369" i="3"/>
  <c r="F369" i="3"/>
  <c r="E369" i="3"/>
  <c r="BP369" i="3" s="1" a="1"/>
  <c r="BP369" i="3" s="1"/>
  <c r="C369" i="3"/>
  <c r="L176" i="3"/>
  <c r="L382" i="3"/>
  <c r="BU382" i="3"/>
  <c r="BQ382" i="3"/>
  <c r="BM382" i="3"/>
  <c r="BI382" i="3"/>
  <c r="BD382" i="3"/>
  <c r="BC382" i="3"/>
  <c r="BA382" i="3"/>
  <c r="AZ382" i="3"/>
  <c r="AY382" i="3"/>
  <c r="AR382" i="3"/>
  <c r="AO382" i="3"/>
  <c r="AH382" i="3"/>
  <c r="T382" i="3"/>
  <c r="S382" i="3"/>
  <c r="J382" i="3"/>
  <c r="G382" i="3"/>
  <c r="F382" i="3"/>
  <c r="E382" i="3"/>
  <c r="BD392" i="3"/>
  <c r="AZ392" i="3"/>
  <c r="AY392" i="3"/>
  <c r="AR392" i="3"/>
  <c r="AH392" i="3"/>
  <c r="T392" i="3"/>
  <c r="S392" i="3"/>
  <c r="F392" i="3"/>
  <c r="E392" i="3"/>
  <c r="C392" i="3"/>
  <c r="I93" i="17"/>
  <c r="BU368" i="3"/>
  <c r="BQ368" i="3"/>
  <c r="BM368" i="3"/>
  <c r="BI368" i="3"/>
  <c r="BD368" i="3"/>
  <c r="BC368" i="3"/>
  <c r="BA368" i="3"/>
  <c r="AZ368" i="3"/>
  <c r="AY368" i="3"/>
  <c r="AR368" i="3"/>
  <c r="AO368" i="3"/>
  <c r="AH368" i="3"/>
  <c r="T368" i="3"/>
  <c r="S368" i="3"/>
  <c r="E368" i="3"/>
  <c r="AX368" i="3" s="1"/>
  <c r="C383" i="5"/>
  <c r="A383" i="5"/>
  <c r="C382" i="5"/>
  <c r="A382" i="5"/>
  <c r="C381" i="5"/>
  <c r="A381" i="5"/>
  <c r="C380" i="5"/>
  <c r="A380" i="5"/>
  <c r="C379" i="5"/>
  <c r="A379" i="5"/>
  <c r="C378" i="5"/>
  <c r="A378" i="5"/>
  <c r="BX378" i="1"/>
  <c r="BX379" i="1"/>
  <c r="BX380" i="1"/>
  <c r="BX381" i="1"/>
  <c r="BX382" i="1"/>
  <c r="BX383" i="1"/>
  <c r="B378" i="1"/>
  <c r="AO378" i="1" s="1"/>
  <c r="B379" i="1"/>
  <c r="BB379" i="1" s="1"/>
  <c r="B380" i="1"/>
  <c r="B381" i="1"/>
  <c r="BA381" i="1" s="1"/>
  <c r="B382" i="1"/>
  <c r="B382" i="5" s="1"/>
  <c r="B383" i="1"/>
  <c r="BU367" i="3"/>
  <c r="BQ367" i="3"/>
  <c r="BM367" i="3"/>
  <c r="BI367" i="3"/>
  <c r="BD367" i="3"/>
  <c r="BC367" i="3"/>
  <c r="BA367" i="3"/>
  <c r="AZ367" i="3"/>
  <c r="AY367" i="3"/>
  <c r="AT367" i="3"/>
  <c r="BJ367" i="3" s="1"/>
  <c r="AR367" i="3"/>
  <c r="AO367" i="3"/>
  <c r="AH367" i="3"/>
  <c r="T367" i="3"/>
  <c r="S367" i="3"/>
  <c r="L367" i="3"/>
  <c r="E367" i="3"/>
  <c r="AX367" i="3" s="1"/>
  <c r="J367" i="3"/>
  <c r="F367" i="3"/>
  <c r="E366" i="3"/>
  <c r="I139" i="17"/>
  <c r="H139" i="17"/>
  <c r="BU366" i="3"/>
  <c r="BQ366" i="3"/>
  <c r="BM366" i="3"/>
  <c r="BI366" i="3"/>
  <c r="BD366" i="3"/>
  <c r="BC366" i="3"/>
  <c r="BA366" i="3"/>
  <c r="AZ366" i="3"/>
  <c r="AY366" i="3"/>
  <c r="AR366" i="3"/>
  <c r="BG366" i="3" s="1"/>
  <c r="AO366" i="3"/>
  <c r="AX366" i="3"/>
  <c r="T366" i="3"/>
  <c r="S366" i="3"/>
  <c r="F366" i="3"/>
  <c r="BU365" i="3"/>
  <c r="BQ365" i="3"/>
  <c r="BM365" i="3"/>
  <c r="BI365" i="3"/>
  <c r="BD365" i="3"/>
  <c r="BC365" i="3"/>
  <c r="BA365" i="3"/>
  <c r="AZ365" i="3"/>
  <c r="AY365" i="3"/>
  <c r="AR365" i="3"/>
  <c r="BG365" i="3" s="1"/>
  <c r="AO365" i="3"/>
  <c r="AH365" i="3"/>
  <c r="T365" i="3"/>
  <c r="S365" i="3"/>
  <c r="E365" i="3"/>
  <c r="BP365" i="3" s="1" a="1"/>
  <c r="BP365" i="3" s="1"/>
  <c r="E364" i="3"/>
  <c r="AX364" i="3" s="1"/>
  <c r="I138" i="17"/>
  <c r="H138" i="17"/>
  <c r="F363" i="3"/>
  <c r="F364" i="3"/>
  <c r="BQ364" i="3"/>
  <c r="BF364" i="3"/>
  <c r="BD364" i="3"/>
  <c r="BA364" i="3"/>
  <c r="AZ364" i="3"/>
  <c r="AY364" i="3"/>
  <c r="AR364" i="3"/>
  <c r="BG364" i="3" s="1"/>
  <c r="AP364" i="3"/>
  <c r="AQ364" i="3" s="1"/>
  <c r="AO364" i="3"/>
  <c r="AH364" i="3"/>
  <c r="T364" i="3"/>
  <c r="S364" i="3"/>
  <c r="AT364" i="3" s="1"/>
  <c r="L364" i="3"/>
  <c r="AO3" i="3"/>
  <c r="AR3" i="3"/>
  <c r="AY3" i="3"/>
  <c r="AZ3" i="3"/>
  <c r="BA3" i="3"/>
  <c r="BC3" i="3"/>
  <c r="BD3" i="3"/>
  <c r="BI3" i="3"/>
  <c r="BM3" i="3"/>
  <c r="BQ3" i="3"/>
  <c r="BU3" i="3"/>
  <c r="AO4" i="3"/>
  <c r="AR4" i="3"/>
  <c r="AY4" i="3"/>
  <c r="AZ4" i="3"/>
  <c r="BA4" i="3"/>
  <c r="BC4" i="3"/>
  <c r="BD4" i="3"/>
  <c r="BI4" i="3"/>
  <c r="BM4" i="3"/>
  <c r="BQ4" i="3"/>
  <c r="BU4" i="3"/>
  <c r="AO5" i="3"/>
  <c r="AR5" i="3"/>
  <c r="AY5" i="3"/>
  <c r="AZ5" i="3"/>
  <c r="BA5" i="3"/>
  <c r="BC5" i="3"/>
  <c r="BD5" i="3"/>
  <c r="BI5" i="3"/>
  <c r="BM5" i="3"/>
  <c r="BQ5" i="3"/>
  <c r="BU5" i="3"/>
  <c r="AO6" i="3"/>
  <c r="AR6" i="3"/>
  <c r="AY6" i="3"/>
  <c r="AZ6" i="3"/>
  <c r="BA6" i="3"/>
  <c r="BC6" i="3"/>
  <c r="BD6" i="3"/>
  <c r="BI6" i="3"/>
  <c r="BM6" i="3"/>
  <c r="BQ6" i="3"/>
  <c r="BU6" i="3"/>
  <c r="AO7" i="3"/>
  <c r="AR7" i="3"/>
  <c r="AY7" i="3"/>
  <c r="AZ7" i="3"/>
  <c r="BA7" i="3"/>
  <c r="BC7" i="3"/>
  <c r="BD7" i="3"/>
  <c r="BI7" i="3"/>
  <c r="BM7" i="3"/>
  <c r="BQ7" i="3"/>
  <c r="BU7" i="3"/>
  <c r="AO8" i="3"/>
  <c r="AR8" i="3"/>
  <c r="AY8" i="3"/>
  <c r="AZ8" i="3"/>
  <c r="BA8" i="3"/>
  <c r="BC8" i="3"/>
  <c r="BD8" i="3"/>
  <c r="BI8" i="3"/>
  <c r="BM8" i="3"/>
  <c r="BQ8" i="3"/>
  <c r="BU8" i="3"/>
  <c r="AO9" i="3"/>
  <c r="AR9" i="3"/>
  <c r="AY9" i="3"/>
  <c r="AZ9" i="3"/>
  <c r="BA9" i="3"/>
  <c r="BC9" i="3"/>
  <c r="BD9" i="3"/>
  <c r="BI9" i="3"/>
  <c r="BM9" i="3"/>
  <c r="BQ9" i="3"/>
  <c r="BU9" i="3"/>
  <c r="AO10" i="3"/>
  <c r="AR10" i="3"/>
  <c r="AY10" i="3"/>
  <c r="AZ10" i="3"/>
  <c r="BA10" i="3"/>
  <c r="BC10" i="3"/>
  <c r="BD10" i="3"/>
  <c r="BI10" i="3"/>
  <c r="BM10" i="3"/>
  <c r="BQ10" i="3"/>
  <c r="BU10" i="3"/>
  <c r="AO11" i="3"/>
  <c r="AR11" i="3"/>
  <c r="AY11" i="3"/>
  <c r="AZ11" i="3"/>
  <c r="BA11" i="3"/>
  <c r="BC11" i="3"/>
  <c r="BD11" i="3"/>
  <c r="BI11" i="3"/>
  <c r="BM11" i="3"/>
  <c r="BQ11" i="3"/>
  <c r="BU11" i="3"/>
  <c r="AO12" i="3"/>
  <c r="AR12" i="3"/>
  <c r="AY12" i="3"/>
  <c r="AZ12" i="3"/>
  <c r="BA12" i="3"/>
  <c r="BC12" i="3"/>
  <c r="BD12" i="3"/>
  <c r="BI12" i="3"/>
  <c r="BM12" i="3"/>
  <c r="BQ12" i="3"/>
  <c r="BU12" i="3"/>
  <c r="AO13" i="3"/>
  <c r="AR13" i="3"/>
  <c r="AY13" i="3"/>
  <c r="AZ13" i="3"/>
  <c r="BA13" i="3"/>
  <c r="BC13" i="3"/>
  <c r="BD13" i="3"/>
  <c r="BI13" i="3"/>
  <c r="BM13" i="3"/>
  <c r="BQ13" i="3"/>
  <c r="BU13" i="3"/>
  <c r="AO14" i="3"/>
  <c r="AR14" i="3"/>
  <c r="AY14" i="3"/>
  <c r="AZ14" i="3"/>
  <c r="BA14" i="3"/>
  <c r="BC14" i="3"/>
  <c r="BD14" i="3"/>
  <c r="BI14" i="3"/>
  <c r="BM14" i="3"/>
  <c r="BQ14" i="3"/>
  <c r="BU14" i="3"/>
  <c r="AO15" i="3"/>
  <c r="AR15" i="3"/>
  <c r="AY15" i="3"/>
  <c r="AZ15" i="3"/>
  <c r="BA15" i="3"/>
  <c r="BC15" i="3"/>
  <c r="BD15" i="3"/>
  <c r="BI15" i="3"/>
  <c r="BM15" i="3"/>
  <c r="BQ15" i="3"/>
  <c r="BU15" i="3"/>
  <c r="AO16" i="3"/>
  <c r="AR16" i="3"/>
  <c r="AY16" i="3"/>
  <c r="AZ16" i="3"/>
  <c r="BA16" i="3"/>
  <c r="BC16" i="3"/>
  <c r="BD16" i="3"/>
  <c r="BI16" i="3"/>
  <c r="BM16" i="3"/>
  <c r="BQ16" i="3"/>
  <c r="BU16" i="3"/>
  <c r="AO17" i="3"/>
  <c r="AR17" i="3"/>
  <c r="AY17" i="3"/>
  <c r="AZ17" i="3"/>
  <c r="BA17" i="3"/>
  <c r="BC17" i="3"/>
  <c r="BD17" i="3"/>
  <c r="BI17" i="3"/>
  <c r="BM17" i="3"/>
  <c r="BQ17" i="3"/>
  <c r="BU17" i="3"/>
  <c r="AO18" i="3"/>
  <c r="AR18" i="3"/>
  <c r="AY18" i="3"/>
  <c r="AZ18" i="3"/>
  <c r="BA18" i="3"/>
  <c r="BC18" i="3"/>
  <c r="BD18" i="3"/>
  <c r="BI18" i="3"/>
  <c r="BM18" i="3"/>
  <c r="BQ18" i="3"/>
  <c r="BU18" i="3"/>
  <c r="AO19" i="3"/>
  <c r="AR19" i="3"/>
  <c r="AY19" i="3"/>
  <c r="AZ19" i="3"/>
  <c r="BA19" i="3"/>
  <c r="BC19" i="3"/>
  <c r="BD19" i="3"/>
  <c r="BI19" i="3"/>
  <c r="BM19" i="3"/>
  <c r="BQ19" i="3"/>
  <c r="BU19" i="3"/>
  <c r="AO20" i="3"/>
  <c r="AR20" i="3"/>
  <c r="AY20" i="3"/>
  <c r="AZ20" i="3"/>
  <c r="BA20" i="3"/>
  <c r="BC20" i="3"/>
  <c r="BD20" i="3"/>
  <c r="BI20" i="3"/>
  <c r="BM20" i="3"/>
  <c r="BQ20" i="3"/>
  <c r="BU20" i="3"/>
  <c r="AO21" i="3"/>
  <c r="AR21" i="3"/>
  <c r="AY21" i="3"/>
  <c r="AZ21" i="3"/>
  <c r="BA21" i="3"/>
  <c r="BC21" i="3"/>
  <c r="BD21" i="3"/>
  <c r="BI21" i="3"/>
  <c r="BM21" i="3"/>
  <c r="BQ21" i="3"/>
  <c r="BU21" i="3"/>
  <c r="AO22" i="3"/>
  <c r="AR22" i="3"/>
  <c r="AY22" i="3"/>
  <c r="AZ22" i="3"/>
  <c r="BA22" i="3"/>
  <c r="BC22" i="3"/>
  <c r="BD22" i="3"/>
  <c r="BI22" i="3"/>
  <c r="BM22" i="3"/>
  <c r="BQ22" i="3"/>
  <c r="BU22" i="3"/>
  <c r="AO23" i="3"/>
  <c r="AR23" i="3"/>
  <c r="AY23" i="3"/>
  <c r="AZ23" i="3"/>
  <c r="BA23" i="3"/>
  <c r="BC23" i="3"/>
  <c r="BD23" i="3"/>
  <c r="BI23" i="3"/>
  <c r="BM23" i="3"/>
  <c r="BQ23" i="3"/>
  <c r="BU23" i="3"/>
  <c r="AO24" i="3"/>
  <c r="AR24" i="3"/>
  <c r="AY24" i="3"/>
  <c r="AZ24" i="3"/>
  <c r="BA24" i="3"/>
  <c r="BC24" i="3"/>
  <c r="BD24" i="3"/>
  <c r="BI24" i="3"/>
  <c r="BM24" i="3"/>
  <c r="BQ24" i="3"/>
  <c r="BU24" i="3"/>
  <c r="AO25" i="3"/>
  <c r="AR25" i="3"/>
  <c r="AY25" i="3"/>
  <c r="AZ25" i="3"/>
  <c r="BA25" i="3"/>
  <c r="BD25" i="3"/>
  <c r="AO26" i="3"/>
  <c r="AR26" i="3"/>
  <c r="AY26" i="3"/>
  <c r="AZ26" i="3"/>
  <c r="BA26" i="3"/>
  <c r="BD26" i="3"/>
  <c r="AO27" i="3"/>
  <c r="AR27" i="3"/>
  <c r="AY27" i="3"/>
  <c r="AZ27" i="3"/>
  <c r="BA27" i="3"/>
  <c r="BD27" i="3"/>
  <c r="AO28" i="3"/>
  <c r="AR28" i="3"/>
  <c r="AY28" i="3"/>
  <c r="AZ28" i="3"/>
  <c r="BA28" i="3"/>
  <c r="BC28" i="3"/>
  <c r="BD28" i="3"/>
  <c r="BI28" i="3"/>
  <c r="BM28" i="3"/>
  <c r="BQ28" i="3"/>
  <c r="BU28" i="3"/>
  <c r="AO29" i="3"/>
  <c r="AR29" i="3"/>
  <c r="AY29" i="3"/>
  <c r="AZ29" i="3"/>
  <c r="BA29" i="3"/>
  <c r="BD29" i="3"/>
  <c r="AO30" i="3"/>
  <c r="AR30" i="3"/>
  <c r="AY30" i="3"/>
  <c r="AZ30" i="3"/>
  <c r="BA30" i="3"/>
  <c r="BC30" i="3"/>
  <c r="BD30" i="3"/>
  <c r="BI30" i="3"/>
  <c r="BM30" i="3"/>
  <c r="BQ30" i="3"/>
  <c r="BU30" i="3"/>
  <c r="AO31" i="3"/>
  <c r="AR31" i="3"/>
  <c r="AY31" i="3"/>
  <c r="AZ31" i="3"/>
  <c r="BA31" i="3"/>
  <c r="BC31" i="3"/>
  <c r="BD31" i="3"/>
  <c r="BI31" i="3"/>
  <c r="BM31" i="3"/>
  <c r="BQ31" i="3"/>
  <c r="BU31" i="3"/>
  <c r="AO32" i="3"/>
  <c r="AR32" i="3"/>
  <c r="AY32" i="3"/>
  <c r="AZ32" i="3"/>
  <c r="BA32" i="3"/>
  <c r="BC32" i="3"/>
  <c r="BD32" i="3"/>
  <c r="BI32" i="3"/>
  <c r="BM32" i="3"/>
  <c r="BQ32" i="3"/>
  <c r="BU32" i="3"/>
  <c r="AO33" i="3"/>
  <c r="AR33" i="3"/>
  <c r="AY33" i="3"/>
  <c r="AZ33" i="3"/>
  <c r="BA33" i="3"/>
  <c r="BC33" i="3"/>
  <c r="BD33" i="3"/>
  <c r="BI33" i="3"/>
  <c r="BM33" i="3"/>
  <c r="BQ33" i="3"/>
  <c r="BU33" i="3"/>
  <c r="AO34" i="3"/>
  <c r="AR34" i="3"/>
  <c r="AY34" i="3"/>
  <c r="AZ34" i="3"/>
  <c r="BA34" i="3"/>
  <c r="BC34" i="3"/>
  <c r="BD34" i="3"/>
  <c r="BI34" i="3"/>
  <c r="BM34" i="3"/>
  <c r="BQ34" i="3"/>
  <c r="BU34" i="3"/>
  <c r="AO35" i="3"/>
  <c r="AR35" i="3"/>
  <c r="AY35" i="3"/>
  <c r="AZ35" i="3"/>
  <c r="BA35" i="3"/>
  <c r="BC35" i="3"/>
  <c r="BD35" i="3"/>
  <c r="BI35" i="3"/>
  <c r="BM35" i="3"/>
  <c r="BQ35" i="3"/>
  <c r="BU35" i="3"/>
  <c r="AO36" i="3"/>
  <c r="AR36" i="3"/>
  <c r="AY36" i="3"/>
  <c r="AZ36" i="3"/>
  <c r="BA36" i="3"/>
  <c r="BC36" i="3"/>
  <c r="BD36" i="3"/>
  <c r="BI36" i="3"/>
  <c r="BM36" i="3"/>
  <c r="BQ36" i="3"/>
  <c r="BU36" i="3"/>
  <c r="AO37" i="3"/>
  <c r="AR37" i="3"/>
  <c r="AY37" i="3"/>
  <c r="AZ37" i="3"/>
  <c r="BA37" i="3"/>
  <c r="BC37" i="3"/>
  <c r="BD37" i="3"/>
  <c r="BI37" i="3"/>
  <c r="BM37" i="3"/>
  <c r="BQ37" i="3"/>
  <c r="BU37" i="3"/>
  <c r="AO38" i="3"/>
  <c r="AR38" i="3"/>
  <c r="AY38" i="3"/>
  <c r="AZ38" i="3"/>
  <c r="BA38" i="3"/>
  <c r="BC38" i="3"/>
  <c r="BD38" i="3"/>
  <c r="BI38" i="3"/>
  <c r="BM38" i="3"/>
  <c r="BQ38" i="3"/>
  <c r="BU38" i="3"/>
  <c r="AO39" i="3"/>
  <c r="AR39" i="3"/>
  <c r="AY39" i="3"/>
  <c r="AZ39" i="3"/>
  <c r="BA39" i="3"/>
  <c r="BC39" i="3"/>
  <c r="BD39" i="3"/>
  <c r="BI39" i="3"/>
  <c r="BM39" i="3"/>
  <c r="BQ39" i="3"/>
  <c r="BU39" i="3"/>
  <c r="AO40" i="3"/>
  <c r="AR40" i="3"/>
  <c r="AY40" i="3"/>
  <c r="AZ40" i="3"/>
  <c r="BA40" i="3"/>
  <c r="BC40" i="3"/>
  <c r="BD40" i="3"/>
  <c r="BI40" i="3"/>
  <c r="BM40" i="3"/>
  <c r="BQ40" i="3"/>
  <c r="BU40" i="3"/>
  <c r="AO41" i="3"/>
  <c r="AR41" i="3"/>
  <c r="AY41" i="3"/>
  <c r="AZ41" i="3"/>
  <c r="BA41" i="3"/>
  <c r="BC41" i="3"/>
  <c r="BD41" i="3"/>
  <c r="BI41" i="3"/>
  <c r="BM41" i="3"/>
  <c r="BQ41" i="3"/>
  <c r="BU41" i="3"/>
  <c r="AO42" i="3"/>
  <c r="AR42" i="3"/>
  <c r="AY42" i="3"/>
  <c r="AZ42" i="3"/>
  <c r="BA42" i="3"/>
  <c r="BD42" i="3"/>
  <c r="AO43" i="3"/>
  <c r="AR43" i="3"/>
  <c r="AY43" i="3"/>
  <c r="AZ43" i="3"/>
  <c r="BA43" i="3"/>
  <c r="BD43" i="3"/>
  <c r="AO44" i="3"/>
  <c r="AR44" i="3"/>
  <c r="AY44" i="3"/>
  <c r="AZ44" i="3"/>
  <c r="BA44" i="3"/>
  <c r="BD44" i="3"/>
  <c r="AO45" i="3"/>
  <c r="AR45" i="3"/>
  <c r="AY45" i="3"/>
  <c r="AZ45" i="3"/>
  <c r="BA45" i="3"/>
  <c r="BD45" i="3"/>
  <c r="AO46" i="3"/>
  <c r="AR46" i="3"/>
  <c r="AY46" i="3"/>
  <c r="AZ46" i="3"/>
  <c r="BA46" i="3"/>
  <c r="BD46" i="3"/>
  <c r="AO47" i="3"/>
  <c r="AR47" i="3"/>
  <c r="AY47" i="3"/>
  <c r="AZ47" i="3"/>
  <c r="BA47" i="3"/>
  <c r="BC47" i="3"/>
  <c r="BD47" i="3"/>
  <c r="BI47" i="3"/>
  <c r="BM47" i="3"/>
  <c r="BQ47" i="3"/>
  <c r="BU47" i="3"/>
  <c r="AO48" i="3"/>
  <c r="AR48" i="3"/>
  <c r="AY48" i="3"/>
  <c r="AZ48" i="3"/>
  <c r="BA48" i="3"/>
  <c r="BC48" i="3"/>
  <c r="BD48" i="3"/>
  <c r="BI48" i="3"/>
  <c r="BM48" i="3"/>
  <c r="BQ48" i="3"/>
  <c r="BU48" i="3"/>
  <c r="AO49" i="3"/>
  <c r="AR49" i="3"/>
  <c r="AY49" i="3"/>
  <c r="AZ49" i="3"/>
  <c r="BA49" i="3"/>
  <c r="BD49" i="3"/>
  <c r="AO50" i="3"/>
  <c r="AR50" i="3"/>
  <c r="AY50" i="3"/>
  <c r="AZ50" i="3"/>
  <c r="BA50" i="3"/>
  <c r="BD50" i="3"/>
  <c r="AO51" i="3"/>
  <c r="AR51" i="3"/>
  <c r="AY51" i="3"/>
  <c r="AZ51" i="3"/>
  <c r="BA51" i="3"/>
  <c r="BD51" i="3"/>
  <c r="AO52" i="3"/>
  <c r="AR52" i="3"/>
  <c r="AY52" i="3"/>
  <c r="AZ52" i="3"/>
  <c r="BA52" i="3"/>
  <c r="BD52" i="3"/>
  <c r="AO53" i="3"/>
  <c r="AR53" i="3"/>
  <c r="AY53" i="3"/>
  <c r="AZ53" i="3"/>
  <c r="BA53" i="3"/>
  <c r="BD53" i="3"/>
  <c r="AO54" i="3"/>
  <c r="AR54" i="3"/>
  <c r="AY54" i="3"/>
  <c r="AZ54" i="3"/>
  <c r="BA54" i="3"/>
  <c r="BD54" i="3"/>
  <c r="AO55" i="3"/>
  <c r="AR55" i="3"/>
  <c r="AY55" i="3"/>
  <c r="AZ55" i="3"/>
  <c r="BA55" i="3"/>
  <c r="BC55" i="3"/>
  <c r="BD55" i="3"/>
  <c r="BI55" i="3"/>
  <c r="BM55" i="3"/>
  <c r="BQ55" i="3"/>
  <c r="BU55" i="3"/>
  <c r="AO56" i="3"/>
  <c r="AR56" i="3"/>
  <c r="AY56" i="3"/>
  <c r="AZ56" i="3"/>
  <c r="BA56" i="3"/>
  <c r="BC56" i="3"/>
  <c r="BD56" i="3"/>
  <c r="BI56" i="3"/>
  <c r="BM56" i="3"/>
  <c r="BQ56" i="3"/>
  <c r="BU56" i="3"/>
  <c r="AO57" i="3"/>
  <c r="AR57" i="3"/>
  <c r="AY57" i="3"/>
  <c r="AZ57" i="3"/>
  <c r="BA57" i="3"/>
  <c r="BC57" i="3"/>
  <c r="BD57" i="3"/>
  <c r="BI57" i="3"/>
  <c r="BM57" i="3"/>
  <c r="BQ57" i="3"/>
  <c r="BU57" i="3"/>
  <c r="AO58" i="3"/>
  <c r="AR58" i="3"/>
  <c r="AY58" i="3"/>
  <c r="AZ58" i="3"/>
  <c r="BA58" i="3"/>
  <c r="BC58" i="3"/>
  <c r="BD58" i="3"/>
  <c r="BI58" i="3"/>
  <c r="BM58" i="3"/>
  <c r="BQ58" i="3"/>
  <c r="BU58" i="3"/>
  <c r="AO59" i="3"/>
  <c r="AR59" i="3"/>
  <c r="AY59" i="3"/>
  <c r="AZ59" i="3"/>
  <c r="BA59" i="3"/>
  <c r="BC59" i="3"/>
  <c r="BD59" i="3"/>
  <c r="BI59" i="3"/>
  <c r="BM59" i="3"/>
  <c r="BQ59" i="3"/>
  <c r="BU59" i="3"/>
  <c r="AO60" i="3"/>
  <c r="AR60" i="3"/>
  <c r="AY60" i="3"/>
  <c r="AZ60" i="3"/>
  <c r="BA60" i="3"/>
  <c r="BC60" i="3"/>
  <c r="BD60" i="3"/>
  <c r="BI60" i="3"/>
  <c r="BM60" i="3"/>
  <c r="BQ60" i="3"/>
  <c r="BU60" i="3"/>
  <c r="AO61" i="3"/>
  <c r="AR61" i="3"/>
  <c r="AY61" i="3"/>
  <c r="AZ61" i="3"/>
  <c r="BA61" i="3"/>
  <c r="BC61" i="3"/>
  <c r="BD61" i="3"/>
  <c r="BI61" i="3"/>
  <c r="BM61" i="3"/>
  <c r="BQ61" i="3"/>
  <c r="BU61" i="3"/>
  <c r="AO62" i="3"/>
  <c r="AR62" i="3"/>
  <c r="AY62" i="3"/>
  <c r="AZ62" i="3"/>
  <c r="BA62" i="3"/>
  <c r="BC62" i="3"/>
  <c r="BD62" i="3"/>
  <c r="BI62" i="3"/>
  <c r="BM62" i="3"/>
  <c r="BQ62" i="3"/>
  <c r="BU62" i="3"/>
  <c r="AO63" i="3"/>
  <c r="AR63" i="3"/>
  <c r="AY63" i="3"/>
  <c r="AZ63" i="3"/>
  <c r="BA63" i="3"/>
  <c r="BC63" i="3"/>
  <c r="BD63" i="3"/>
  <c r="BI63" i="3"/>
  <c r="BM63" i="3"/>
  <c r="BQ63" i="3"/>
  <c r="BU63" i="3"/>
  <c r="AO64" i="3"/>
  <c r="AR64" i="3"/>
  <c r="AY64" i="3"/>
  <c r="AZ64" i="3"/>
  <c r="BA64" i="3"/>
  <c r="BC64" i="3"/>
  <c r="BD64" i="3"/>
  <c r="BI64" i="3"/>
  <c r="BM64" i="3"/>
  <c r="BQ64" i="3"/>
  <c r="BU64" i="3"/>
  <c r="AO65" i="3"/>
  <c r="AR65" i="3"/>
  <c r="AY65" i="3"/>
  <c r="AZ65" i="3"/>
  <c r="BA65" i="3"/>
  <c r="BC65" i="3"/>
  <c r="BD65" i="3"/>
  <c r="BI65" i="3"/>
  <c r="BM65" i="3"/>
  <c r="BQ65" i="3"/>
  <c r="BU65" i="3"/>
  <c r="AO66" i="3"/>
  <c r="AR66" i="3"/>
  <c r="AY66" i="3"/>
  <c r="AZ66" i="3"/>
  <c r="BA66" i="3"/>
  <c r="BC66" i="3"/>
  <c r="BD66" i="3"/>
  <c r="BI66" i="3"/>
  <c r="BM66" i="3"/>
  <c r="BQ66" i="3"/>
  <c r="BU66" i="3"/>
  <c r="AO67" i="3"/>
  <c r="AR67" i="3"/>
  <c r="AY67" i="3"/>
  <c r="AZ67" i="3"/>
  <c r="BA67" i="3"/>
  <c r="BC67" i="3"/>
  <c r="BD67" i="3"/>
  <c r="BI67" i="3"/>
  <c r="BM67" i="3"/>
  <c r="BQ67" i="3"/>
  <c r="BU67" i="3"/>
  <c r="AO68" i="3"/>
  <c r="AR68" i="3"/>
  <c r="AY68" i="3"/>
  <c r="AZ68" i="3"/>
  <c r="BA68" i="3"/>
  <c r="BC68" i="3"/>
  <c r="BD68" i="3"/>
  <c r="BI68" i="3"/>
  <c r="BM68" i="3"/>
  <c r="BQ68" i="3"/>
  <c r="BU68" i="3"/>
  <c r="AO69" i="3"/>
  <c r="AR69" i="3"/>
  <c r="AY69" i="3"/>
  <c r="AZ69" i="3"/>
  <c r="BA69" i="3"/>
  <c r="BC69" i="3"/>
  <c r="BD69" i="3"/>
  <c r="BI69" i="3"/>
  <c r="BM69" i="3"/>
  <c r="BQ69" i="3"/>
  <c r="BU69" i="3"/>
  <c r="AO70" i="3"/>
  <c r="AR70" i="3"/>
  <c r="AY70" i="3"/>
  <c r="AZ70" i="3"/>
  <c r="BA70" i="3"/>
  <c r="BC70" i="3"/>
  <c r="BD70" i="3"/>
  <c r="BI70" i="3"/>
  <c r="BM70" i="3"/>
  <c r="BQ70" i="3"/>
  <c r="BU70" i="3"/>
  <c r="AO71" i="3"/>
  <c r="AR71" i="3"/>
  <c r="AY71" i="3"/>
  <c r="AZ71" i="3"/>
  <c r="BA71" i="3"/>
  <c r="BC71" i="3"/>
  <c r="BD71" i="3"/>
  <c r="BI71" i="3"/>
  <c r="BM71" i="3"/>
  <c r="BQ71" i="3"/>
  <c r="BU71" i="3"/>
  <c r="AO72" i="3"/>
  <c r="AR72" i="3"/>
  <c r="AY72" i="3"/>
  <c r="AZ72" i="3"/>
  <c r="BA72" i="3"/>
  <c r="BC72" i="3"/>
  <c r="BD72" i="3"/>
  <c r="BI72" i="3"/>
  <c r="BM72" i="3"/>
  <c r="BQ72" i="3"/>
  <c r="BU72" i="3"/>
  <c r="AO73" i="3"/>
  <c r="AR73" i="3"/>
  <c r="AY73" i="3"/>
  <c r="AZ73" i="3"/>
  <c r="BA73" i="3"/>
  <c r="BC73" i="3"/>
  <c r="BD73" i="3"/>
  <c r="BI73" i="3"/>
  <c r="BM73" i="3"/>
  <c r="BQ73" i="3"/>
  <c r="BU73" i="3"/>
  <c r="AO74" i="3"/>
  <c r="AR74" i="3"/>
  <c r="AY74" i="3"/>
  <c r="AZ74" i="3"/>
  <c r="BA74" i="3"/>
  <c r="BC74" i="3"/>
  <c r="BD74" i="3"/>
  <c r="BI74" i="3"/>
  <c r="BM74" i="3"/>
  <c r="BQ74" i="3"/>
  <c r="BU74" i="3"/>
  <c r="AO75" i="3"/>
  <c r="AR75" i="3"/>
  <c r="AY75" i="3"/>
  <c r="AZ75" i="3"/>
  <c r="BA75" i="3"/>
  <c r="BC75" i="3"/>
  <c r="BD75" i="3"/>
  <c r="BI75" i="3"/>
  <c r="BM75" i="3"/>
  <c r="BQ75" i="3"/>
  <c r="BU75" i="3"/>
  <c r="AO76" i="3"/>
  <c r="AR76" i="3"/>
  <c r="AY76" i="3"/>
  <c r="AZ76" i="3"/>
  <c r="BA76" i="3"/>
  <c r="BC76" i="3"/>
  <c r="BD76" i="3"/>
  <c r="BI76" i="3"/>
  <c r="BM76" i="3"/>
  <c r="BQ76" i="3"/>
  <c r="BU76" i="3"/>
  <c r="AO77" i="3"/>
  <c r="AR77" i="3"/>
  <c r="AY77" i="3"/>
  <c r="AZ77" i="3"/>
  <c r="BA77" i="3"/>
  <c r="BC77" i="3"/>
  <c r="BD77" i="3"/>
  <c r="BI77" i="3"/>
  <c r="BM77" i="3"/>
  <c r="BQ77" i="3"/>
  <c r="BU77" i="3"/>
  <c r="AO78" i="3"/>
  <c r="AR78" i="3"/>
  <c r="AY78" i="3"/>
  <c r="AZ78" i="3"/>
  <c r="BA78" i="3"/>
  <c r="BC78" i="3"/>
  <c r="BD78" i="3"/>
  <c r="BI78" i="3"/>
  <c r="BM78" i="3"/>
  <c r="BQ78" i="3"/>
  <c r="BU78" i="3"/>
  <c r="AO79" i="3"/>
  <c r="AR79" i="3"/>
  <c r="AY79" i="3"/>
  <c r="AZ79" i="3"/>
  <c r="BA79" i="3"/>
  <c r="BD79" i="3"/>
  <c r="AO80" i="3"/>
  <c r="AR80" i="3"/>
  <c r="AY80" i="3"/>
  <c r="AZ80" i="3"/>
  <c r="BA80" i="3"/>
  <c r="BD80" i="3"/>
  <c r="AO81" i="3"/>
  <c r="AR81" i="3"/>
  <c r="AY81" i="3"/>
  <c r="AZ81" i="3"/>
  <c r="BA81" i="3"/>
  <c r="BC81" i="3"/>
  <c r="BD81" i="3"/>
  <c r="BI81" i="3"/>
  <c r="BM81" i="3"/>
  <c r="BQ81" i="3"/>
  <c r="BU81" i="3"/>
  <c r="AO82" i="3"/>
  <c r="AR82" i="3"/>
  <c r="AY82" i="3"/>
  <c r="AZ82" i="3"/>
  <c r="BA82" i="3"/>
  <c r="BC82" i="3"/>
  <c r="BD82" i="3"/>
  <c r="BI82" i="3"/>
  <c r="BM82" i="3"/>
  <c r="BQ82" i="3"/>
  <c r="BU82" i="3"/>
  <c r="AO83" i="3"/>
  <c r="AR83" i="3"/>
  <c r="AY83" i="3"/>
  <c r="AZ83" i="3"/>
  <c r="BA83" i="3"/>
  <c r="BC83" i="3"/>
  <c r="BD83" i="3"/>
  <c r="BI83" i="3"/>
  <c r="BM83" i="3"/>
  <c r="BQ83" i="3"/>
  <c r="BU83" i="3"/>
  <c r="AO84" i="3"/>
  <c r="AR84" i="3"/>
  <c r="AY84" i="3"/>
  <c r="AZ84" i="3"/>
  <c r="BA84" i="3"/>
  <c r="BC84" i="3"/>
  <c r="BD84" i="3"/>
  <c r="BI84" i="3"/>
  <c r="BM84" i="3"/>
  <c r="BQ84" i="3"/>
  <c r="BU84" i="3"/>
  <c r="AO85" i="3"/>
  <c r="AR85" i="3"/>
  <c r="AY85" i="3"/>
  <c r="AZ85" i="3"/>
  <c r="BA85" i="3"/>
  <c r="BC85" i="3"/>
  <c r="BD85" i="3"/>
  <c r="BI85" i="3"/>
  <c r="BM85" i="3"/>
  <c r="BQ85" i="3"/>
  <c r="BU85" i="3"/>
  <c r="AO86" i="3"/>
  <c r="AR86" i="3"/>
  <c r="AY86" i="3"/>
  <c r="AZ86" i="3"/>
  <c r="BA86" i="3"/>
  <c r="BC86" i="3"/>
  <c r="BD86" i="3"/>
  <c r="BI86" i="3"/>
  <c r="BM86" i="3"/>
  <c r="BQ86" i="3"/>
  <c r="BU86" i="3"/>
  <c r="AO87" i="3"/>
  <c r="AR87" i="3"/>
  <c r="AY87" i="3"/>
  <c r="AZ87" i="3"/>
  <c r="BA87" i="3"/>
  <c r="BC87" i="3"/>
  <c r="BD87" i="3"/>
  <c r="BI87" i="3"/>
  <c r="BM87" i="3"/>
  <c r="BQ87" i="3"/>
  <c r="BU87" i="3"/>
  <c r="AO88" i="3"/>
  <c r="AR88" i="3"/>
  <c r="AY88" i="3"/>
  <c r="AZ88" i="3"/>
  <c r="BA88" i="3"/>
  <c r="BD88" i="3"/>
  <c r="AO89" i="3"/>
  <c r="AR89" i="3"/>
  <c r="AY89" i="3"/>
  <c r="AZ89" i="3"/>
  <c r="BA89" i="3"/>
  <c r="BC89" i="3"/>
  <c r="BD89" i="3"/>
  <c r="BI89" i="3"/>
  <c r="BM89" i="3"/>
  <c r="BQ89" i="3"/>
  <c r="BU89" i="3"/>
  <c r="AO90" i="3"/>
  <c r="AR90" i="3"/>
  <c r="AY90" i="3"/>
  <c r="AZ90" i="3"/>
  <c r="BA90" i="3"/>
  <c r="BC90" i="3"/>
  <c r="BD90" i="3"/>
  <c r="BI90" i="3"/>
  <c r="BM90" i="3"/>
  <c r="BQ90" i="3"/>
  <c r="BU90" i="3"/>
  <c r="AO91" i="3"/>
  <c r="AR91" i="3"/>
  <c r="AY91" i="3"/>
  <c r="AZ91" i="3"/>
  <c r="BA91" i="3"/>
  <c r="BC91" i="3"/>
  <c r="BD91" i="3"/>
  <c r="BI91" i="3"/>
  <c r="BM91" i="3"/>
  <c r="BQ91" i="3"/>
  <c r="BU91" i="3"/>
  <c r="AO92" i="3"/>
  <c r="AR92" i="3"/>
  <c r="AY92" i="3"/>
  <c r="AZ92" i="3"/>
  <c r="BA92" i="3"/>
  <c r="BC92" i="3"/>
  <c r="BD92" i="3"/>
  <c r="BI92" i="3"/>
  <c r="BM92" i="3"/>
  <c r="BQ92" i="3"/>
  <c r="BU92" i="3"/>
  <c r="AO93" i="3"/>
  <c r="AR93" i="3"/>
  <c r="AY93" i="3"/>
  <c r="AZ93" i="3"/>
  <c r="BA93" i="3"/>
  <c r="BC93" i="3"/>
  <c r="BD93" i="3"/>
  <c r="BI93" i="3"/>
  <c r="BM93" i="3"/>
  <c r="BQ93" i="3"/>
  <c r="BU93" i="3"/>
  <c r="AO94" i="3"/>
  <c r="AR94" i="3"/>
  <c r="AY94" i="3"/>
  <c r="AZ94" i="3"/>
  <c r="BA94" i="3"/>
  <c r="BC94" i="3"/>
  <c r="BD94" i="3"/>
  <c r="BI94" i="3"/>
  <c r="BM94" i="3"/>
  <c r="BQ94" i="3"/>
  <c r="BU94" i="3"/>
  <c r="AO95" i="3"/>
  <c r="AR95" i="3"/>
  <c r="AY95" i="3"/>
  <c r="AZ95" i="3"/>
  <c r="BA95" i="3"/>
  <c r="BC95" i="3"/>
  <c r="BD95" i="3"/>
  <c r="BI95" i="3"/>
  <c r="BM95" i="3"/>
  <c r="BQ95" i="3"/>
  <c r="BU95" i="3"/>
  <c r="AO96" i="3"/>
  <c r="AR96" i="3"/>
  <c r="AY96" i="3"/>
  <c r="AZ96" i="3"/>
  <c r="BA96" i="3"/>
  <c r="BD96" i="3"/>
  <c r="AO97" i="3"/>
  <c r="AR97" i="3"/>
  <c r="AY97" i="3"/>
  <c r="AZ97" i="3"/>
  <c r="BA97" i="3"/>
  <c r="BD97" i="3"/>
  <c r="AO98" i="3"/>
  <c r="AR98" i="3"/>
  <c r="AY98" i="3"/>
  <c r="AZ98" i="3"/>
  <c r="BA98" i="3"/>
  <c r="BC98" i="3"/>
  <c r="BD98" i="3"/>
  <c r="BI98" i="3"/>
  <c r="BM98" i="3"/>
  <c r="BQ98" i="3"/>
  <c r="BU98" i="3"/>
  <c r="AO99" i="3"/>
  <c r="AR99" i="3"/>
  <c r="AY99" i="3"/>
  <c r="AZ99" i="3"/>
  <c r="BA99" i="3"/>
  <c r="BC99" i="3"/>
  <c r="BD99" i="3"/>
  <c r="BI99" i="3"/>
  <c r="BM99" i="3"/>
  <c r="BQ99" i="3"/>
  <c r="BU99" i="3"/>
  <c r="AO100" i="3"/>
  <c r="AR100" i="3"/>
  <c r="AY100" i="3"/>
  <c r="AZ100" i="3"/>
  <c r="BA100" i="3"/>
  <c r="BC100" i="3"/>
  <c r="BD100" i="3"/>
  <c r="BI100" i="3"/>
  <c r="BM100" i="3"/>
  <c r="BQ100" i="3"/>
  <c r="BU100" i="3"/>
  <c r="AO101" i="3"/>
  <c r="AR101" i="3"/>
  <c r="AY101" i="3"/>
  <c r="AZ101" i="3"/>
  <c r="BA101" i="3"/>
  <c r="BC101" i="3"/>
  <c r="BD101" i="3"/>
  <c r="BI101" i="3"/>
  <c r="BM101" i="3"/>
  <c r="BQ101" i="3"/>
  <c r="BU101" i="3"/>
  <c r="AO102" i="3"/>
  <c r="AR102" i="3"/>
  <c r="AY102" i="3"/>
  <c r="AZ102" i="3"/>
  <c r="BA102" i="3"/>
  <c r="BC102" i="3"/>
  <c r="BD102" i="3"/>
  <c r="BI102" i="3"/>
  <c r="BM102" i="3"/>
  <c r="BQ102" i="3"/>
  <c r="BU102" i="3"/>
  <c r="AO103" i="3"/>
  <c r="AR103" i="3"/>
  <c r="AY103" i="3"/>
  <c r="AZ103" i="3"/>
  <c r="BA103" i="3"/>
  <c r="BC103" i="3"/>
  <c r="BD103" i="3"/>
  <c r="BI103" i="3"/>
  <c r="BM103" i="3"/>
  <c r="BQ103" i="3"/>
  <c r="BU103" i="3"/>
  <c r="AO104" i="3"/>
  <c r="AR104" i="3"/>
  <c r="AY104" i="3"/>
  <c r="AZ104" i="3"/>
  <c r="BA104" i="3"/>
  <c r="BC104" i="3"/>
  <c r="BD104" i="3"/>
  <c r="BI104" i="3"/>
  <c r="BM104" i="3"/>
  <c r="BQ104" i="3"/>
  <c r="BU104" i="3"/>
  <c r="AO105" i="3"/>
  <c r="AR105" i="3"/>
  <c r="AY105" i="3"/>
  <c r="AZ105" i="3"/>
  <c r="BA105" i="3"/>
  <c r="BC105" i="3"/>
  <c r="BD105" i="3"/>
  <c r="BI105" i="3"/>
  <c r="BM105" i="3"/>
  <c r="BQ105" i="3"/>
  <c r="BU105" i="3"/>
  <c r="AO106" i="3"/>
  <c r="AR106" i="3"/>
  <c r="AY106" i="3"/>
  <c r="AZ106" i="3"/>
  <c r="BA106" i="3"/>
  <c r="BC106" i="3"/>
  <c r="BD106" i="3"/>
  <c r="BI106" i="3"/>
  <c r="BM106" i="3"/>
  <c r="BQ106" i="3"/>
  <c r="BU106" i="3"/>
  <c r="AO107" i="3"/>
  <c r="AR107" i="3"/>
  <c r="AY107" i="3"/>
  <c r="AZ107" i="3"/>
  <c r="BA107" i="3"/>
  <c r="BC107" i="3"/>
  <c r="BD107" i="3"/>
  <c r="BI107" i="3"/>
  <c r="BM107" i="3"/>
  <c r="BQ107" i="3"/>
  <c r="BU107" i="3"/>
  <c r="AO108" i="3"/>
  <c r="AR108" i="3"/>
  <c r="AY108" i="3"/>
  <c r="AZ108" i="3"/>
  <c r="BA108" i="3"/>
  <c r="BC108" i="3"/>
  <c r="BD108" i="3"/>
  <c r="BI108" i="3"/>
  <c r="BM108" i="3"/>
  <c r="BQ108" i="3"/>
  <c r="BU108" i="3"/>
  <c r="AO109" i="3"/>
  <c r="AR109" i="3"/>
  <c r="AY109" i="3"/>
  <c r="AZ109" i="3"/>
  <c r="BA109" i="3"/>
  <c r="BC109" i="3"/>
  <c r="BD109" i="3"/>
  <c r="BI109" i="3"/>
  <c r="BM109" i="3"/>
  <c r="BQ109" i="3"/>
  <c r="BU109" i="3"/>
  <c r="AO110" i="3"/>
  <c r="AR110" i="3"/>
  <c r="AY110" i="3"/>
  <c r="AZ110" i="3"/>
  <c r="BA110" i="3"/>
  <c r="BC110" i="3"/>
  <c r="BD110" i="3"/>
  <c r="BI110" i="3"/>
  <c r="BM110" i="3"/>
  <c r="BQ110" i="3"/>
  <c r="BU110" i="3"/>
  <c r="AO111" i="3"/>
  <c r="AR111" i="3"/>
  <c r="AY111" i="3"/>
  <c r="AZ111" i="3"/>
  <c r="BA111" i="3"/>
  <c r="BC111" i="3"/>
  <c r="BD111" i="3"/>
  <c r="BI111" i="3"/>
  <c r="BM111" i="3"/>
  <c r="BQ111" i="3"/>
  <c r="BU111" i="3"/>
  <c r="AO112" i="3"/>
  <c r="AR112" i="3"/>
  <c r="AY112" i="3"/>
  <c r="AZ112" i="3"/>
  <c r="BA112" i="3"/>
  <c r="BD112" i="3"/>
  <c r="AO113" i="3"/>
  <c r="AR113" i="3"/>
  <c r="AY113" i="3"/>
  <c r="AZ113" i="3"/>
  <c r="BA113" i="3"/>
  <c r="BC113" i="3"/>
  <c r="BD113" i="3"/>
  <c r="BI113" i="3"/>
  <c r="BM113" i="3"/>
  <c r="BQ113" i="3"/>
  <c r="BU113" i="3"/>
  <c r="AO114" i="3"/>
  <c r="AR114" i="3"/>
  <c r="AY114" i="3"/>
  <c r="AZ114" i="3"/>
  <c r="BA114" i="3"/>
  <c r="BC114" i="3"/>
  <c r="BD114" i="3"/>
  <c r="BI114" i="3"/>
  <c r="BM114" i="3"/>
  <c r="BQ114" i="3"/>
  <c r="BU114" i="3"/>
  <c r="AO115" i="3"/>
  <c r="AR115" i="3"/>
  <c r="AY115" i="3"/>
  <c r="AZ115" i="3"/>
  <c r="BA115" i="3"/>
  <c r="BC115" i="3"/>
  <c r="BD115" i="3"/>
  <c r="BI115" i="3"/>
  <c r="BM115" i="3"/>
  <c r="BQ115" i="3"/>
  <c r="BU115" i="3"/>
  <c r="AO116" i="3"/>
  <c r="AR116" i="3"/>
  <c r="AY116" i="3"/>
  <c r="AZ116" i="3"/>
  <c r="BA116" i="3"/>
  <c r="BC116" i="3"/>
  <c r="BD116" i="3"/>
  <c r="BI116" i="3"/>
  <c r="BM116" i="3"/>
  <c r="BQ116" i="3"/>
  <c r="BU116" i="3"/>
  <c r="AO117" i="3"/>
  <c r="AR117" i="3"/>
  <c r="AY117" i="3"/>
  <c r="AZ117" i="3"/>
  <c r="BA117" i="3"/>
  <c r="BC117" i="3"/>
  <c r="BD117" i="3"/>
  <c r="BI117" i="3"/>
  <c r="BM117" i="3"/>
  <c r="BQ117" i="3"/>
  <c r="BU117" i="3"/>
  <c r="AO118" i="3"/>
  <c r="AR118" i="3"/>
  <c r="AY118" i="3"/>
  <c r="AZ118" i="3"/>
  <c r="BA118" i="3"/>
  <c r="BC118" i="3"/>
  <c r="BD118" i="3"/>
  <c r="BI118" i="3"/>
  <c r="BM118" i="3"/>
  <c r="BQ118" i="3"/>
  <c r="BU118" i="3"/>
  <c r="AO119" i="3"/>
  <c r="AR119" i="3"/>
  <c r="AY119" i="3"/>
  <c r="AZ119" i="3"/>
  <c r="BA119" i="3"/>
  <c r="BC119" i="3"/>
  <c r="BD119" i="3"/>
  <c r="BI119" i="3"/>
  <c r="BM119" i="3"/>
  <c r="BQ119" i="3"/>
  <c r="BU119" i="3"/>
  <c r="AO120" i="3"/>
  <c r="AR120" i="3"/>
  <c r="AY120" i="3"/>
  <c r="AZ120" i="3"/>
  <c r="BA120" i="3"/>
  <c r="BC120" i="3"/>
  <c r="BD120" i="3"/>
  <c r="BI120" i="3"/>
  <c r="BM120" i="3"/>
  <c r="BQ120" i="3"/>
  <c r="BU120" i="3"/>
  <c r="AO121" i="3"/>
  <c r="AR121" i="3"/>
  <c r="AY121" i="3"/>
  <c r="AZ121" i="3"/>
  <c r="BA121" i="3"/>
  <c r="BC121" i="3"/>
  <c r="BD121" i="3"/>
  <c r="BI121" i="3"/>
  <c r="BM121" i="3"/>
  <c r="BQ121" i="3"/>
  <c r="BU121" i="3"/>
  <c r="AO122" i="3"/>
  <c r="AR122" i="3"/>
  <c r="AY122" i="3"/>
  <c r="AZ122" i="3"/>
  <c r="BA122" i="3"/>
  <c r="BC122" i="3"/>
  <c r="BD122" i="3"/>
  <c r="BI122" i="3"/>
  <c r="BM122" i="3"/>
  <c r="BQ122" i="3"/>
  <c r="BU122" i="3"/>
  <c r="AO123" i="3"/>
  <c r="AR123" i="3"/>
  <c r="AY123" i="3"/>
  <c r="AZ123" i="3"/>
  <c r="BA123" i="3"/>
  <c r="BC123" i="3"/>
  <c r="BD123" i="3"/>
  <c r="BI123" i="3"/>
  <c r="BM123" i="3"/>
  <c r="BQ123" i="3"/>
  <c r="BU123" i="3"/>
  <c r="AO124" i="3"/>
  <c r="AR124" i="3"/>
  <c r="AY124" i="3"/>
  <c r="AZ124" i="3"/>
  <c r="BA124" i="3"/>
  <c r="BC124" i="3"/>
  <c r="BD124" i="3"/>
  <c r="BI124" i="3"/>
  <c r="BM124" i="3"/>
  <c r="BQ124" i="3"/>
  <c r="BU124" i="3"/>
  <c r="AO125" i="3"/>
  <c r="AR125" i="3"/>
  <c r="AY125" i="3"/>
  <c r="AZ125" i="3"/>
  <c r="BA125" i="3"/>
  <c r="BC125" i="3"/>
  <c r="BD125" i="3"/>
  <c r="BI125" i="3"/>
  <c r="BM125" i="3"/>
  <c r="BQ125" i="3"/>
  <c r="BU125" i="3"/>
  <c r="AO126" i="3"/>
  <c r="AR126" i="3"/>
  <c r="AY126" i="3"/>
  <c r="AZ126" i="3"/>
  <c r="BA126" i="3"/>
  <c r="BC126" i="3"/>
  <c r="BD126" i="3"/>
  <c r="BI126" i="3"/>
  <c r="BM126" i="3"/>
  <c r="BQ126" i="3"/>
  <c r="BU126" i="3"/>
  <c r="AO127" i="3"/>
  <c r="AR127" i="3"/>
  <c r="AY127" i="3"/>
  <c r="AZ127" i="3"/>
  <c r="BA127" i="3"/>
  <c r="BD127" i="3"/>
  <c r="AO128" i="3"/>
  <c r="AR128" i="3"/>
  <c r="AY128" i="3"/>
  <c r="AZ128" i="3"/>
  <c r="BA128" i="3"/>
  <c r="BC128" i="3"/>
  <c r="BD128" i="3"/>
  <c r="BI128" i="3"/>
  <c r="BM128" i="3"/>
  <c r="BQ128" i="3"/>
  <c r="BU128" i="3"/>
  <c r="AO129" i="3"/>
  <c r="AR129" i="3"/>
  <c r="AY129" i="3"/>
  <c r="AZ129" i="3"/>
  <c r="BA129" i="3"/>
  <c r="BC129" i="3"/>
  <c r="BD129" i="3"/>
  <c r="BI129" i="3"/>
  <c r="BM129" i="3"/>
  <c r="BQ129" i="3"/>
  <c r="BU129" i="3"/>
  <c r="AO130" i="3"/>
  <c r="AR130" i="3"/>
  <c r="AY130" i="3"/>
  <c r="AZ130" i="3"/>
  <c r="BA130" i="3"/>
  <c r="BC130" i="3"/>
  <c r="BD130" i="3"/>
  <c r="BI130" i="3"/>
  <c r="BM130" i="3"/>
  <c r="BQ130" i="3"/>
  <c r="BU130" i="3"/>
  <c r="AO131" i="3"/>
  <c r="AR131" i="3"/>
  <c r="AY131" i="3"/>
  <c r="AZ131" i="3"/>
  <c r="BA131" i="3"/>
  <c r="BC131" i="3"/>
  <c r="BD131" i="3"/>
  <c r="BI131" i="3"/>
  <c r="BM131" i="3"/>
  <c r="BQ131" i="3"/>
  <c r="BU131" i="3"/>
  <c r="AO132" i="3"/>
  <c r="AR132" i="3"/>
  <c r="AY132" i="3"/>
  <c r="AZ132" i="3"/>
  <c r="BA132" i="3"/>
  <c r="BC132" i="3"/>
  <c r="BD132" i="3"/>
  <c r="BI132" i="3"/>
  <c r="BM132" i="3"/>
  <c r="BQ132" i="3"/>
  <c r="BU132" i="3"/>
  <c r="AO133" i="3"/>
  <c r="AR133" i="3"/>
  <c r="AY133" i="3"/>
  <c r="AZ133" i="3"/>
  <c r="BA133" i="3"/>
  <c r="BC133" i="3"/>
  <c r="BD133" i="3"/>
  <c r="BI133" i="3"/>
  <c r="BM133" i="3"/>
  <c r="BQ133" i="3"/>
  <c r="BU133" i="3"/>
  <c r="AO134" i="3"/>
  <c r="AR134" i="3"/>
  <c r="AY134" i="3"/>
  <c r="AZ134" i="3"/>
  <c r="BA134" i="3"/>
  <c r="BC134" i="3"/>
  <c r="BD134" i="3"/>
  <c r="BI134" i="3"/>
  <c r="BM134" i="3"/>
  <c r="BQ134" i="3"/>
  <c r="BU134" i="3"/>
  <c r="AO135" i="3"/>
  <c r="AR135" i="3"/>
  <c r="AY135" i="3"/>
  <c r="AZ135" i="3"/>
  <c r="BA135" i="3"/>
  <c r="BC135" i="3"/>
  <c r="BD135" i="3"/>
  <c r="BI135" i="3"/>
  <c r="BM135" i="3"/>
  <c r="BQ135" i="3"/>
  <c r="BU135" i="3"/>
  <c r="AO136" i="3"/>
  <c r="AR136" i="3"/>
  <c r="AY136" i="3"/>
  <c r="AZ136" i="3"/>
  <c r="BA136" i="3"/>
  <c r="BC136" i="3"/>
  <c r="BD136" i="3"/>
  <c r="BI136" i="3"/>
  <c r="BM136" i="3"/>
  <c r="BQ136" i="3"/>
  <c r="BU136" i="3"/>
  <c r="AO137" i="3"/>
  <c r="AR137" i="3"/>
  <c r="AY137" i="3"/>
  <c r="AZ137" i="3"/>
  <c r="BA137" i="3"/>
  <c r="BD137" i="3"/>
  <c r="AO138" i="3"/>
  <c r="AR138" i="3"/>
  <c r="AY138" i="3"/>
  <c r="AZ138" i="3"/>
  <c r="BA138" i="3"/>
  <c r="BC138" i="3"/>
  <c r="BD138" i="3"/>
  <c r="BI138" i="3"/>
  <c r="BM138" i="3"/>
  <c r="BQ138" i="3"/>
  <c r="BU138" i="3"/>
  <c r="AO139" i="3"/>
  <c r="AR139" i="3"/>
  <c r="AY139" i="3"/>
  <c r="AZ139" i="3"/>
  <c r="BA139" i="3"/>
  <c r="BC139" i="3"/>
  <c r="BD139" i="3"/>
  <c r="BI139" i="3"/>
  <c r="BM139" i="3"/>
  <c r="BQ139" i="3"/>
  <c r="BU139" i="3"/>
  <c r="AO140" i="3"/>
  <c r="AR140" i="3"/>
  <c r="AY140" i="3"/>
  <c r="AZ140" i="3"/>
  <c r="BA140" i="3"/>
  <c r="BC140" i="3"/>
  <c r="BD140" i="3"/>
  <c r="BI140" i="3"/>
  <c r="BM140" i="3"/>
  <c r="BQ140" i="3"/>
  <c r="BU140" i="3"/>
  <c r="AO141" i="3"/>
  <c r="AR141" i="3"/>
  <c r="AY141" i="3"/>
  <c r="AZ141" i="3"/>
  <c r="BA141" i="3"/>
  <c r="BC141" i="3"/>
  <c r="BD141" i="3"/>
  <c r="BI141" i="3"/>
  <c r="BM141" i="3"/>
  <c r="BQ141" i="3"/>
  <c r="BU141" i="3"/>
  <c r="AO142" i="3"/>
  <c r="AR142" i="3"/>
  <c r="AY142" i="3"/>
  <c r="AZ142" i="3"/>
  <c r="BA142" i="3"/>
  <c r="BC142" i="3"/>
  <c r="BD142" i="3"/>
  <c r="BI142" i="3"/>
  <c r="BM142" i="3"/>
  <c r="BQ142" i="3"/>
  <c r="BU142" i="3"/>
  <c r="AO143" i="3"/>
  <c r="AR143" i="3"/>
  <c r="AY143" i="3"/>
  <c r="AZ143" i="3"/>
  <c r="BA143" i="3"/>
  <c r="BC143" i="3"/>
  <c r="BD143" i="3"/>
  <c r="BI143" i="3"/>
  <c r="BM143" i="3"/>
  <c r="BQ143" i="3"/>
  <c r="BU143" i="3"/>
  <c r="AO144" i="3"/>
  <c r="AR144" i="3"/>
  <c r="AY144" i="3"/>
  <c r="AZ144" i="3"/>
  <c r="BA144" i="3"/>
  <c r="BC144" i="3"/>
  <c r="BD144" i="3"/>
  <c r="BI144" i="3"/>
  <c r="BM144" i="3"/>
  <c r="BQ144" i="3"/>
  <c r="BU144" i="3"/>
  <c r="AO145" i="3"/>
  <c r="AR145" i="3"/>
  <c r="AY145" i="3"/>
  <c r="AZ145" i="3"/>
  <c r="BA145" i="3"/>
  <c r="BC145" i="3"/>
  <c r="BD145" i="3"/>
  <c r="BI145" i="3"/>
  <c r="BM145" i="3"/>
  <c r="BQ145" i="3"/>
  <c r="BU145" i="3"/>
  <c r="AO146" i="3"/>
  <c r="AR146" i="3"/>
  <c r="AY146" i="3"/>
  <c r="AZ146" i="3"/>
  <c r="BA146" i="3"/>
  <c r="BC146" i="3"/>
  <c r="BD146" i="3"/>
  <c r="BI146" i="3"/>
  <c r="BM146" i="3"/>
  <c r="BQ146" i="3"/>
  <c r="BU146" i="3"/>
  <c r="AO147" i="3"/>
  <c r="AR147" i="3"/>
  <c r="AY147" i="3"/>
  <c r="AZ147" i="3"/>
  <c r="BA147" i="3"/>
  <c r="BC147" i="3"/>
  <c r="BD147" i="3"/>
  <c r="BI147" i="3"/>
  <c r="BM147" i="3"/>
  <c r="BQ147" i="3"/>
  <c r="BU147" i="3"/>
  <c r="AO148" i="3"/>
  <c r="AR148" i="3"/>
  <c r="AY148" i="3"/>
  <c r="AZ148" i="3"/>
  <c r="BA148" i="3"/>
  <c r="BC148" i="3"/>
  <c r="BD148" i="3"/>
  <c r="BI148" i="3"/>
  <c r="BM148" i="3"/>
  <c r="BQ148" i="3"/>
  <c r="BU148" i="3"/>
  <c r="AO149" i="3"/>
  <c r="AR149" i="3"/>
  <c r="AY149" i="3"/>
  <c r="AZ149" i="3"/>
  <c r="BA149" i="3"/>
  <c r="BC149" i="3"/>
  <c r="BD149" i="3"/>
  <c r="BI149" i="3"/>
  <c r="BM149" i="3"/>
  <c r="BQ149" i="3"/>
  <c r="BU149" i="3"/>
  <c r="AO150" i="3"/>
  <c r="AR150" i="3"/>
  <c r="AY150" i="3"/>
  <c r="AZ150" i="3"/>
  <c r="BA150" i="3"/>
  <c r="BC150" i="3"/>
  <c r="BD150" i="3"/>
  <c r="BI150" i="3"/>
  <c r="BM150" i="3"/>
  <c r="BQ150" i="3"/>
  <c r="BU150" i="3"/>
  <c r="AO151" i="3"/>
  <c r="AR151" i="3"/>
  <c r="AY151" i="3"/>
  <c r="AZ151" i="3"/>
  <c r="BA151" i="3"/>
  <c r="BC151" i="3"/>
  <c r="BD151" i="3"/>
  <c r="BI151" i="3"/>
  <c r="BM151" i="3"/>
  <c r="BQ151" i="3"/>
  <c r="BU151" i="3"/>
  <c r="AO152" i="3"/>
  <c r="AR152" i="3"/>
  <c r="AY152" i="3"/>
  <c r="AZ152" i="3"/>
  <c r="BA152" i="3"/>
  <c r="BC152" i="3"/>
  <c r="BD152" i="3"/>
  <c r="BI152" i="3"/>
  <c r="BM152" i="3"/>
  <c r="BQ152" i="3"/>
  <c r="BU152" i="3"/>
  <c r="AO153" i="3"/>
  <c r="AR153" i="3"/>
  <c r="AY153" i="3"/>
  <c r="AZ153" i="3"/>
  <c r="BA153" i="3"/>
  <c r="BC153" i="3"/>
  <c r="BD153" i="3"/>
  <c r="BI153" i="3"/>
  <c r="BM153" i="3"/>
  <c r="BQ153" i="3"/>
  <c r="BU153" i="3"/>
  <c r="AO154" i="3"/>
  <c r="AR154" i="3"/>
  <c r="AY154" i="3"/>
  <c r="AZ154" i="3"/>
  <c r="BA154" i="3"/>
  <c r="BC154" i="3"/>
  <c r="BD154" i="3"/>
  <c r="BI154" i="3"/>
  <c r="BM154" i="3"/>
  <c r="BQ154" i="3"/>
  <c r="BU154" i="3"/>
  <c r="AO155" i="3"/>
  <c r="AR155" i="3"/>
  <c r="AY155" i="3"/>
  <c r="AZ155" i="3"/>
  <c r="BA155" i="3"/>
  <c r="BC155" i="3"/>
  <c r="BD155" i="3"/>
  <c r="BI155" i="3"/>
  <c r="BM155" i="3"/>
  <c r="BQ155" i="3"/>
  <c r="BU155" i="3"/>
  <c r="AO156" i="3"/>
  <c r="AR156" i="3"/>
  <c r="AY156" i="3"/>
  <c r="AZ156" i="3"/>
  <c r="BA156" i="3"/>
  <c r="BC156" i="3"/>
  <c r="BD156" i="3"/>
  <c r="BI156" i="3"/>
  <c r="BM156" i="3"/>
  <c r="BQ156" i="3"/>
  <c r="BU156" i="3"/>
  <c r="AO157" i="3"/>
  <c r="AR157" i="3"/>
  <c r="AY157" i="3"/>
  <c r="AZ157" i="3"/>
  <c r="BA157" i="3"/>
  <c r="BC157" i="3"/>
  <c r="BD157" i="3"/>
  <c r="BI157" i="3"/>
  <c r="BM157" i="3"/>
  <c r="BQ157" i="3"/>
  <c r="BU157" i="3"/>
  <c r="AO158" i="3"/>
  <c r="AR158" i="3"/>
  <c r="AY158" i="3"/>
  <c r="AZ158" i="3"/>
  <c r="BA158" i="3"/>
  <c r="BC158" i="3"/>
  <c r="BD158" i="3"/>
  <c r="BI158" i="3"/>
  <c r="BM158" i="3"/>
  <c r="BQ158" i="3"/>
  <c r="BU158" i="3"/>
  <c r="AO159" i="3"/>
  <c r="AR159" i="3"/>
  <c r="AY159" i="3"/>
  <c r="AZ159" i="3"/>
  <c r="BA159" i="3"/>
  <c r="BC159" i="3"/>
  <c r="BD159" i="3"/>
  <c r="BI159" i="3"/>
  <c r="BM159" i="3"/>
  <c r="BQ159" i="3"/>
  <c r="BU159" i="3"/>
  <c r="AO160" i="3"/>
  <c r="AR160" i="3"/>
  <c r="AY160" i="3"/>
  <c r="AZ160" i="3"/>
  <c r="BA160" i="3"/>
  <c r="BC160" i="3"/>
  <c r="BD160" i="3"/>
  <c r="BI160" i="3"/>
  <c r="BM160" i="3"/>
  <c r="BQ160" i="3"/>
  <c r="BU160" i="3"/>
  <c r="AO161" i="3"/>
  <c r="AR161" i="3"/>
  <c r="AY161" i="3"/>
  <c r="AZ161" i="3"/>
  <c r="BA161" i="3"/>
  <c r="BC161" i="3"/>
  <c r="BD161" i="3"/>
  <c r="BI161" i="3"/>
  <c r="BM161" i="3"/>
  <c r="BQ161" i="3"/>
  <c r="BU161" i="3"/>
  <c r="AO162" i="3"/>
  <c r="AR162" i="3"/>
  <c r="AY162" i="3"/>
  <c r="AZ162" i="3"/>
  <c r="BA162" i="3"/>
  <c r="BC162" i="3"/>
  <c r="BD162" i="3"/>
  <c r="BI162" i="3"/>
  <c r="BM162" i="3"/>
  <c r="BQ162" i="3"/>
  <c r="BU162" i="3"/>
  <c r="AO163" i="3"/>
  <c r="AR163" i="3"/>
  <c r="AY163" i="3"/>
  <c r="AZ163" i="3"/>
  <c r="BA163" i="3"/>
  <c r="BC163" i="3"/>
  <c r="BD163" i="3"/>
  <c r="BI163" i="3"/>
  <c r="BM163" i="3"/>
  <c r="BQ163" i="3"/>
  <c r="BU163" i="3"/>
  <c r="AO164" i="3"/>
  <c r="AR164" i="3"/>
  <c r="AY164" i="3"/>
  <c r="AZ164" i="3"/>
  <c r="BA164" i="3"/>
  <c r="BC164" i="3"/>
  <c r="BD164" i="3"/>
  <c r="BI164" i="3"/>
  <c r="BM164" i="3"/>
  <c r="BQ164" i="3"/>
  <c r="BU164" i="3"/>
  <c r="AO165" i="3"/>
  <c r="AR165" i="3"/>
  <c r="AY165" i="3"/>
  <c r="AZ165" i="3"/>
  <c r="BA165" i="3"/>
  <c r="BC165" i="3"/>
  <c r="BD165" i="3"/>
  <c r="BI165" i="3"/>
  <c r="BM165" i="3"/>
  <c r="BQ165" i="3"/>
  <c r="BU165" i="3"/>
  <c r="AO166" i="3"/>
  <c r="AR166" i="3"/>
  <c r="AY166" i="3"/>
  <c r="AZ166" i="3"/>
  <c r="BA166" i="3"/>
  <c r="BC166" i="3"/>
  <c r="BD166" i="3"/>
  <c r="BI166" i="3"/>
  <c r="BM166" i="3"/>
  <c r="BQ166" i="3"/>
  <c r="BU166" i="3"/>
  <c r="AO167" i="3"/>
  <c r="AR167" i="3"/>
  <c r="AY167" i="3"/>
  <c r="AZ167" i="3"/>
  <c r="BA167" i="3"/>
  <c r="BC167" i="3"/>
  <c r="BD167" i="3"/>
  <c r="BI167" i="3"/>
  <c r="BM167" i="3"/>
  <c r="BQ167" i="3"/>
  <c r="BU167" i="3"/>
  <c r="AO168" i="3"/>
  <c r="AR168" i="3"/>
  <c r="AY168" i="3"/>
  <c r="AZ168" i="3"/>
  <c r="BA168" i="3"/>
  <c r="BC168" i="3"/>
  <c r="BD168" i="3"/>
  <c r="BI168" i="3"/>
  <c r="BM168" i="3"/>
  <c r="BQ168" i="3"/>
  <c r="BU168" i="3"/>
  <c r="AO169" i="3"/>
  <c r="AR169" i="3"/>
  <c r="AY169" i="3"/>
  <c r="AZ169" i="3"/>
  <c r="BA169" i="3"/>
  <c r="BD169" i="3"/>
  <c r="BN169" i="3"/>
  <c r="AO170" i="3"/>
  <c r="AR170" i="3"/>
  <c r="AY170" i="3"/>
  <c r="AZ170" i="3"/>
  <c r="BA170" i="3"/>
  <c r="BC170" i="3"/>
  <c r="BD170" i="3"/>
  <c r="BI170" i="3"/>
  <c r="BM170" i="3"/>
  <c r="BQ170" i="3"/>
  <c r="BU170" i="3"/>
  <c r="AO171" i="3"/>
  <c r="AR171" i="3"/>
  <c r="AY171" i="3"/>
  <c r="AZ171" i="3"/>
  <c r="BA171" i="3"/>
  <c r="BC171" i="3"/>
  <c r="BD171" i="3"/>
  <c r="BI171" i="3"/>
  <c r="BM171" i="3"/>
  <c r="BQ171" i="3"/>
  <c r="BU171" i="3"/>
  <c r="AO172" i="3"/>
  <c r="AR172" i="3"/>
  <c r="AY172" i="3"/>
  <c r="AZ172" i="3"/>
  <c r="BA172" i="3"/>
  <c r="BC172" i="3"/>
  <c r="BD172" i="3"/>
  <c r="BI172" i="3"/>
  <c r="BM172" i="3"/>
  <c r="BQ172" i="3"/>
  <c r="BU172" i="3"/>
  <c r="AO173" i="3"/>
  <c r="AR173" i="3"/>
  <c r="AY173" i="3"/>
  <c r="AZ173" i="3"/>
  <c r="BA173" i="3"/>
  <c r="BC173" i="3"/>
  <c r="BD173" i="3"/>
  <c r="BI173" i="3"/>
  <c r="BM173" i="3"/>
  <c r="BQ173" i="3"/>
  <c r="BU173" i="3"/>
  <c r="AO174" i="3"/>
  <c r="AR174" i="3"/>
  <c r="AY174" i="3"/>
  <c r="AZ174" i="3"/>
  <c r="BA174" i="3"/>
  <c r="BD174" i="3"/>
  <c r="AO175" i="3"/>
  <c r="AR175" i="3"/>
  <c r="AY175" i="3"/>
  <c r="AZ175" i="3"/>
  <c r="BA175" i="3"/>
  <c r="BC175" i="3"/>
  <c r="BD175" i="3"/>
  <c r="BI175" i="3"/>
  <c r="BM175" i="3"/>
  <c r="BQ175" i="3"/>
  <c r="BU175" i="3"/>
  <c r="AO176" i="3"/>
  <c r="AR176" i="3"/>
  <c r="AY176" i="3"/>
  <c r="AZ176" i="3"/>
  <c r="BA176" i="3"/>
  <c r="BC176" i="3"/>
  <c r="BD176" i="3"/>
  <c r="BI176" i="3"/>
  <c r="BM176" i="3"/>
  <c r="BQ176" i="3"/>
  <c r="BU176" i="3"/>
  <c r="AO177" i="3"/>
  <c r="AR177" i="3"/>
  <c r="AY177" i="3"/>
  <c r="AZ177" i="3"/>
  <c r="BA177" i="3"/>
  <c r="BC177" i="3"/>
  <c r="BD177" i="3"/>
  <c r="BI177" i="3"/>
  <c r="BM177" i="3"/>
  <c r="BQ177" i="3"/>
  <c r="BU177" i="3"/>
  <c r="AO178" i="3"/>
  <c r="AR178" i="3"/>
  <c r="AY178" i="3"/>
  <c r="AZ178" i="3"/>
  <c r="BA178" i="3"/>
  <c r="BC178" i="3"/>
  <c r="BD178" i="3"/>
  <c r="BI178" i="3"/>
  <c r="BM178" i="3"/>
  <c r="BQ178" i="3"/>
  <c r="BU178" i="3"/>
  <c r="AO179" i="3"/>
  <c r="AR179" i="3"/>
  <c r="AY179" i="3"/>
  <c r="AZ179" i="3"/>
  <c r="BA179" i="3"/>
  <c r="BC179" i="3"/>
  <c r="BD179" i="3"/>
  <c r="BI179" i="3"/>
  <c r="BM179" i="3"/>
  <c r="BQ179" i="3"/>
  <c r="BU179" i="3"/>
  <c r="AO180" i="3"/>
  <c r="AR180" i="3"/>
  <c r="AY180" i="3"/>
  <c r="AZ180" i="3"/>
  <c r="BA180" i="3"/>
  <c r="BC180" i="3"/>
  <c r="BD180" i="3"/>
  <c r="BI180" i="3"/>
  <c r="BM180" i="3"/>
  <c r="BQ180" i="3"/>
  <c r="BU180" i="3"/>
  <c r="AO181" i="3"/>
  <c r="AR181" i="3"/>
  <c r="AY181" i="3"/>
  <c r="AZ181" i="3"/>
  <c r="BA181" i="3"/>
  <c r="BC181" i="3"/>
  <c r="BD181" i="3"/>
  <c r="BI181" i="3"/>
  <c r="BM181" i="3"/>
  <c r="BQ181" i="3"/>
  <c r="BU181" i="3"/>
  <c r="AO182" i="3"/>
  <c r="AR182" i="3"/>
  <c r="AY182" i="3"/>
  <c r="AZ182" i="3"/>
  <c r="BA182" i="3"/>
  <c r="BC182" i="3"/>
  <c r="BD182" i="3"/>
  <c r="BI182" i="3"/>
  <c r="BM182" i="3"/>
  <c r="BQ182" i="3"/>
  <c r="BU182" i="3"/>
  <c r="AO183" i="3"/>
  <c r="AR183" i="3"/>
  <c r="AY183" i="3"/>
  <c r="AZ183" i="3"/>
  <c r="BA183" i="3"/>
  <c r="BC183" i="3"/>
  <c r="BD183" i="3"/>
  <c r="BI183" i="3"/>
  <c r="BM183" i="3"/>
  <c r="BQ183" i="3"/>
  <c r="BU183" i="3"/>
  <c r="AO184" i="3"/>
  <c r="AR184" i="3"/>
  <c r="AY184" i="3"/>
  <c r="AZ184" i="3"/>
  <c r="BA184" i="3"/>
  <c r="BC184" i="3"/>
  <c r="BD184" i="3"/>
  <c r="BI184" i="3"/>
  <c r="BM184" i="3"/>
  <c r="BQ184" i="3"/>
  <c r="BU184" i="3"/>
  <c r="AO185" i="3"/>
  <c r="AR185" i="3"/>
  <c r="AY185" i="3"/>
  <c r="AZ185" i="3"/>
  <c r="BA185" i="3"/>
  <c r="BC185" i="3"/>
  <c r="BD185" i="3"/>
  <c r="BI185" i="3"/>
  <c r="BM185" i="3"/>
  <c r="BQ185" i="3"/>
  <c r="BU185" i="3"/>
  <c r="AO186" i="3"/>
  <c r="AR186" i="3"/>
  <c r="AY186" i="3"/>
  <c r="AZ186" i="3"/>
  <c r="BA186" i="3"/>
  <c r="BC186" i="3"/>
  <c r="BD186" i="3"/>
  <c r="BI186" i="3"/>
  <c r="BM186" i="3"/>
  <c r="BQ186" i="3"/>
  <c r="BU186" i="3"/>
  <c r="AO187" i="3"/>
  <c r="AR187" i="3"/>
  <c r="AY187" i="3"/>
  <c r="AZ187" i="3"/>
  <c r="BA187" i="3"/>
  <c r="BC187" i="3"/>
  <c r="BD187" i="3"/>
  <c r="BI187" i="3"/>
  <c r="BM187" i="3"/>
  <c r="BQ187" i="3"/>
  <c r="BU187" i="3"/>
  <c r="AO188" i="3"/>
  <c r="AR188" i="3"/>
  <c r="AY188" i="3"/>
  <c r="AZ188" i="3"/>
  <c r="BA188" i="3"/>
  <c r="BC188" i="3"/>
  <c r="BD188" i="3"/>
  <c r="BI188" i="3"/>
  <c r="BM188" i="3"/>
  <c r="BQ188" i="3"/>
  <c r="BU188" i="3"/>
  <c r="AO189" i="3"/>
  <c r="AR189" i="3"/>
  <c r="AZ189" i="3"/>
  <c r="BA189" i="3"/>
  <c r="BC189" i="3"/>
  <c r="BD189" i="3"/>
  <c r="BI189" i="3"/>
  <c r="BM189" i="3"/>
  <c r="BQ189" i="3"/>
  <c r="BU189" i="3"/>
  <c r="AO190" i="3"/>
  <c r="AR190" i="3"/>
  <c r="AY190" i="3"/>
  <c r="AZ190" i="3"/>
  <c r="BA190" i="3"/>
  <c r="BD190" i="3"/>
  <c r="AO191" i="3"/>
  <c r="AR191" i="3"/>
  <c r="AY191" i="3"/>
  <c r="BA191" i="3"/>
  <c r="BD191" i="3"/>
  <c r="AO192" i="3"/>
  <c r="AR192" i="3"/>
  <c r="AY192" i="3"/>
  <c r="AZ192" i="3"/>
  <c r="BA192" i="3"/>
  <c r="BD192" i="3"/>
  <c r="AO193" i="3"/>
  <c r="AR193" i="3"/>
  <c r="AY193" i="3"/>
  <c r="AZ193" i="3"/>
  <c r="BA193" i="3"/>
  <c r="BD193" i="3"/>
  <c r="AO194" i="3"/>
  <c r="AR194" i="3"/>
  <c r="AY194" i="3"/>
  <c r="BA194" i="3"/>
  <c r="BD194" i="3"/>
  <c r="AO195" i="3"/>
  <c r="AR195" i="3"/>
  <c r="AY195" i="3"/>
  <c r="BA195" i="3"/>
  <c r="BD195" i="3"/>
  <c r="AO196" i="3"/>
  <c r="AR196" i="3"/>
  <c r="AY196" i="3"/>
  <c r="BA196" i="3"/>
  <c r="BD196" i="3"/>
  <c r="AO197" i="3"/>
  <c r="AR197" i="3"/>
  <c r="AY197" i="3"/>
  <c r="BA197" i="3"/>
  <c r="BD197" i="3"/>
  <c r="AO198" i="3"/>
  <c r="AR198" i="3"/>
  <c r="AY198" i="3"/>
  <c r="BA198" i="3"/>
  <c r="BD198" i="3"/>
  <c r="AO199" i="3"/>
  <c r="AR199" i="3"/>
  <c r="AY199" i="3"/>
  <c r="BA199" i="3"/>
  <c r="BD199" i="3"/>
  <c r="AO200" i="3"/>
  <c r="AR200" i="3"/>
  <c r="AY200" i="3"/>
  <c r="BA200" i="3"/>
  <c r="BD200" i="3"/>
  <c r="AO201" i="3"/>
  <c r="AR201" i="3"/>
  <c r="AY201" i="3"/>
  <c r="BA201" i="3"/>
  <c r="BD201" i="3"/>
  <c r="AO202" i="3"/>
  <c r="AR202" i="3"/>
  <c r="AY202" i="3"/>
  <c r="BA202" i="3"/>
  <c r="BD202" i="3"/>
  <c r="AO203" i="3"/>
  <c r="AR203" i="3"/>
  <c r="AY203" i="3"/>
  <c r="BA203" i="3"/>
  <c r="BD203" i="3"/>
  <c r="AO204" i="3"/>
  <c r="AR204" i="3"/>
  <c r="AY204" i="3"/>
  <c r="BA204" i="3"/>
  <c r="BD204" i="3"/>
  <c r="AO205" i="3"/>
  <c r="AR205" i="3"/>
  <c r="BA205" i="3"/>
  <c r="BD205" i="3"/>
  <c r="AO206" i="3"/>
  <c r="AR206" i="3"/>
  <c r="BA206" i="3"/>
  <c r="BD206" i="3"/>
  <c r="AO207" i="3"/>
  <c r="AR207" i="3"/>
  <c r="BA207" i="3"/>
  <c r="BD207" i="3"/>
  <c r="AO208" i="3"/>
  <c r="AR208" i="3"/>
  <c r="BA208" i="3"/>
  <c r="BD208" i="3"/>
  <c r="AO209" i="3"/>
  <c r="AR209" i="3"/>
  <c r="BA209" i="3"/>
  <c r="BD209" i="3"/>
  <c r="AO210" i="3"/>
  <c r="AR210" i="3"/>
  <c r="BA210" i="3"/>
  <c r="BD210" i="3"/>
  <c r="AO211" i="3"/>
  <c r="AR211" i="3"/>
  <c r="AY211" i="3"/>
  <c r="AZ211" i="3"/>
  <c r="BA211" i="3"/>
  <c r="BC211" i="3"/>
  <c r="BD211" i="3"/>
  <c r="BI211" i="3"/>
  <c r="BM211" i="3"/>
  <c r="BQ211" i="3"/>
  <c r="BU211" i="3"/>
  <c r="AO212" i="3"/>
  <c r="AR212" i="3"/>
  <c r="AY212" i="3"/>
  <c r="BA212" i="3"/>
  <c r="BD212" i="3"/>
  <c r="AO213" i="3"/>
  <c r="AR213" i="3"/>
  <c r="AY213" i="3"/>
  <c r="BA213" i="3"/>
  <c r="BD213" i="3"/>
  <c r="AO214" i="3"/>
  <c r="AR214" i="3"/>
  <c r="AY214" i="3"/>
  <c r="AZ214" i="3"/>
  <c r="BA214" i="3"/>
  <c r="BC214" i="3"/>
  <c r="BD214" i="3"/>
  <c r="BI214" i="3"/>
  <c r="BM214" i="3"/>
  <c r="BQ214" i="3"/>
  <c r="BU214" i="3"/>
  <c r="AO215" i="3"/>
  <c r="AR215" i="3"/>
  <c r="AY215" i="3"/>
  <c r="AZ215" i="3"/>
  <c r="BA215" i="3"/>
  <c r="BC215" i="3"/>
  <c r="BD215" i="3"/>
  <c r="BI215" i="3"/>
  <c r="BM215" i="3"/>
  <c r="BQ215" i="3"/>
  <c r="BU215" i="3"/>
  <c r="AO216" i="3"/>
  <c r="AR216" i="3"/>
  <c r="BA216" i="3"/>
  <c r="BD216" i="3"/>
  <c r="AO217" i="3"/>
  <c r="AR217" i="3"/>
  <c r="AY217" i="3"/>
  <c r="AZ217" i="3"/>
  <c r="BA217" i="3"/>
  <c r="BC217" i="3"/>
  <c r="BD217" i="3"/>
  <c r="BI217" i="3"/>
  <c r="BM217" i="3"/>
  <c r="BQ217" i="3"/>
  <c r="BU217" i="3"/>
  <c r="AO218" i="3"/>
  <c r="AR218" i="3"/>
  <c r="BA218" i="3"/>
  <c r="BD218" i="3"/>
  <c r="AO219" i="3"/>
  <c r="AR219" i="3"/>
  <c r="AY219" i="3"/>
  <c r="AZ219" i="3"/>
  <c r="BA219" i="3"/>
  <c r="BD219" i="3"/>
  <c r="AO220" i="3"/>
  <c r="AR220" i="3"/>
  <c r="AY220" i="3"/>
  <c r="AZ220" i="3"/>
  <c r="BA220" i="3"/>
  <c r="BD220" i="3"/>
  <c r="AO221" i="3"/>
  <c r="AR221" i="3"/>
  <c r="AY221" i="3"/>
  <c r="AZ221" i="3"/>
  <c r="BA221" i="3"/>
  <c r="BD221" i="3"/>
  <c r="AO222" i="3"/>
  <c r="AR222" i="3"/>
  <c r="AY222" i="3"/>
  <c r="AZ222" i="3"/>
  <c r="BA222" i="3"/>
  <c r="BD222" i="3"/>
  <c r="AO223" i="3"/>
  <c r="AR223" i="3"/>
  <c r="AY223" i="3"/>
  <c r="AZ223" i="3"/>
  <c r="BA223" i="3"/>
  <c r="BD223" i="3"/>
  <c r="AO224" i="3"/>
  <c r="AR224" i="3"/>
  <c r="AY224" i="3"/>
  <c r="AZ224" i="3"/>
  <c r="BA224" i="3"/>
  <c r="BD224" i="3"/>
  <c r="AO225" i="3"/>
  <c r="AR225" i="3"/>
  <c r="BA225" i="3"/>
  <c r="BD225" i="3"/>
  <c r="AO226" i="3"/>
  <c r="AR226" i="3"/>
  <c r="AY226" i="3"/>
  <c r="AZ226" i="3"/>
  <c r="BA226" i="3"/>
  <c r="BC226" i="3"/>
  <c r="BD226" i="3"/>
  <c r="BI226" i="3"/>
  <c r="BM226" i="3"/>
  <c r="BQ226" i="3"/>
  <c r="BU226" i="3"/>
  <c r="AO227" i="3"/>
  <c r="AR227" i="3"/>
  <c r="BA227" i="3"/>
  <c r="BD227" i="3"/>
  <c r="AO228" i="3"/>
  <c r="AR228" i="3"/>
  <c r="BA228" i="3"/>
  <c r="BD228" i="3"/>
  <c r="AO229" i="3"/>
  <c r="AR229" i="3"/>
  <c r="BA229" i="3"/>
  <c r="BD229" i="3"/>
  <c r="AO230" i="3"/>
  <c r="AR230" i="3"/>
  <c r="AY230" i="3"/>
  <c r="AZ230" i="3"/>
  <c r="BA230" i="3"/>
  <c r="BC230" i="3"/>
  <c r="BD230" i="3"/>
  <c r="BI230" i="3"/>
  <c r="BM230" i="3"/>
  <c r="BQ230" i="3"/>
  <c r="BU230" i="3"/>
  <c r="AO231" i="3"/>
  <c r="AR231" i="3"/>
  <c r="BA231" i="3"/>
  <c r="BD231" i="3"/>
  <c r="AO232" i="3"/>
  <c r="AR232" i="3"/>
  <c r="BA232" i="3"/>
  <c r="BD232" i="3"/>
  <c r="AO233" i="3"/>
  <c r="AR233" i="3"/>
  <c r="BA233" i="3"/>
  <c r="BD233" i="3"/>
  <c r="AO234" i="3"/>
  <c r="AR234" i="3"/>
  <c r="BA234" i="3"/>
  <c r="BD234" i="3"/>
  <c r="AO235" i="3"/>
  <c r="AR235" i="3"/>
  <c r="BA235" i="3"/>
  <c r="BD235" i="3"/>
  <c r="AO236" i="3"/>
  <c r="AR236" i="3"/>
  <c r="BA236" i="3"/>
  <c r="BD236" i="3"/>
  <c r="AO237" i="3"/>
  <c r="AR237" i="3"/>
  <c r="BA237" i="3"/>
  <c r="BD237" i="3"/>
  <c r="AO238" i="3"/>
  <c r="AR238" i="3"/>
  <c r="BA238" i="3"/>
  <c r="BD238" i="3"/>
  <c r="AO239" i="3"/>
  <c r="AR239" i="3"/>
  <c r="BA239" i="3"/>
  <c r="BD239" i="3"/>
  <c r="AO240" i="3"/>
  <c r="AR240" i="3"/>
  <c r="AY240" i="3"/>
  <c r="AZ240" i="3"/>
  <c r="BA240" i="3"/>
  <c r="BC240" i="3"/>
  <c r="BD240" i="3"/>
  <c r="BI240" i="3"/>
  <c r="BM240" i="3"/>
  <c r="BQ240" i="3"/>
  <c r="BU240" i="3"/>
  <c r="AO241" i="3"/>
  <c r="AR241" i="3"/>
  <c r="AY241" i="3"/>
  <c r="AZ241" i="3"/>
  <c r="BA241" i="3"/>
  <c r="BC241" i="3"/>
  <c r="BD241" i="3"/>
  <c r="BI241" i="3"/>
  <c r="BM241" i="3"/>
  <c r="BQ241" i="3"/>
  <c r="BU241" i="3"/>
  <c r="AO242" i="3"/>
  <c r="AR242" i="3"/>
  <c r="AY242" i="3"/>
  <c r="AZ242" i="3"/>
  <c r="BA242" i="3"/>
  <c r="BC242" i="3"/>
  <c r="BD242" i="3"/>
  <c r="BI242" i="3"/>
  <c r="BM242" i="3"/>
  <c r="BQ242" i="3"/>
  <c r="BU242" i="3"/>
  <c r="AO243" i="3"/>
  <c r="AR243" i="3"/>
  <c r="AY243" i="3"/>
  <c r="AZ243" i="3"/>
  <c r="BA243" i="3"/>
  <c r="BC243" i="3"/>
  <c r="BD243" i="3"/>
  <c r="BI243" i="3"/>
  <c r="BM243" i="3"/>
  <c r="BQ243" i="3"/>
  <c r="BU243" i="3"/>
  <c r="AO244" i="3"/>
  <c r="AR244" i="3"/>
  <c r="AY244" i="3"/>
  <c r="AZ244" i="3"/>
  <c r="BA244" i="3"/>
  <c r="BC244" i="3"/>
  <c r="BD244" i="3"/>
  <c r="BI244" i="3"/>
  <c r="BM244" i="3"/>
  <c r="BQ244" i="3"/>
  <c r="BU244" i="3"/>
  <c r="AO245" i="3"/>
  <c r="AR245" i="3"/>
  <c r="BA245" i="3"/>
  <c r="BD245" i="3"/>
  <c r="AO246" i="3"/>
  <c r="AR246" i="3"/>
  <c r="AY246" i="3"/>
  <c r="BA246" i="3"/>
  <c r="BD246" i="3"/>
  <c r="AO247" i="3"/>
  <c r="AR247" i="3"/>
  <c r="AY247" i="3"/>
  <c r="BA247" i="3"/>
  <c r="BD247" i="3"/>
  <c r="AO248" i="3"/>
  <c r="AR248" i="3"/>
  <c r="AY248" i="3"/>
  <c r="BA248" i="3"/>
  <c r="BD248" i="3"/>
  <c r="AO249" i="3"/>
  <c r="AR249" i="3"/>
  <c r="AY249" i="3"/>
  <c r="BA249" i="3"/>
  <c r="BD249" i="3"/>
  <c r="AO250" i="3"/>
  <c r="AR250" i="3"/>
  <c r="AY250" i="3"/>
  <c r="BA250" i="3"/>
  <c r="BD250" i="3"/>
  <c r="AO251" i="3"/>
  <c r="AR251" i="3"/>
  <c r="BA251" i="3"/>
  <c r="BD251" i="3"/>
  <c r="AO252" i="3"/>
  <c r="AR252" i="3"/>
  <c r="BA252" i="3"/>
  <c r="BD252" i="3"/>
  <c r="AO253" i="3"/>
  <c r="AR253" i="3"/>
  <c r="AY253" i="3"/>
  <c r="AZ253" i="3"/>
  <c r="BA253" i="3"/>
  <c r="BC253" i="3"/>
  <c r="BD253" i="3"/>
  <c r="BI253" i="3"/>
  <c r="BM253" i="3"/>
  <c r="BQ253" i="3"/>
  <c r="BU253" i="3"/>
  <c r="AO254" i="3"/>
  <c r="AR254" i="3"/>
  <c r="AY254" i="3"/>
  <c r="BA254" i="3"/>
  <c r="BD254" i="3"/>
  <c r="AO255" i="3"/>
  <c r="AR255" i="3"/>
  <c r="AY255" i="3"/>
  <c r="BA255" i="3"/>
  <c r="BD255" i="3"/>
  <c r="AO256" i="3"/>
  <c r="AR256" i="3"/>
  <c r="BA256" i="3"/>
  <c r="BD256" i="3"/>
  <c r="AO257" i="3"/>
  <c r="AR257" i="3"/>
  <c r="AY257" i="3"/>
  <c r="BA257" i="3"/>
  <c r="BD257" i="3"/>
  <c r="AO258" i="3"/>
  <c r="AR258" i="3"/>
  <c r="AY258" i="3"/>
  <c r="BA258" i="3"/>
  <c r="BD258" i="3"/>
  <c r="AO259" i="3"/>
  <c r="AR259" i="3"/>
  <c r="AY259" i="3"/>
  <c r="BA259" i="3"/>
  <c r="BD259" i="3"/>
  <c r="AO260" i="3"/>
  <c r="AR260" i="3"/>
  <c r="AY260" i="3"/>
  <c r="BA260" i="3"/>
  <c r="BD260" i="3"/>
  <c r="AO261" i="3"/>
  <c r="AR261" i="3"/>
  <c r="AY261" i="3"/>
  <c r="BA261" i="3"/>
  <c r="BD261" i="3"/>
  <c r="AO262" i="3"/>
  <c r="AR262" i="3"/>
  <c r="AY262" i="3"/>
  <c r="AZ262" i="3"/>
  <c r="BA262" i="3"/>
  <c r="BC262" i="3"/>
  <c r="BD262" i="3"/>
  <c r="BI262" i="3"/>
  <c r="BM262" i="3"/>
  <c r="BQ262" i="3"/>
  <c r="BU262" i="3"/>
  <c r="AO263" i="3"/>
  <c r="AR263" i="3"/>
  <c r="BA263" i="3"/>
  <c r="BD263" i="3"/>
  <c r="AO264" i="3"/>
  <c r="AR264" i="3"/>
  <c r="AY264" i="3"/>
  <c r="BA264" i="3"/>
  <c r="BD264" i="3"/>
  <c r="AO265" i="3"/>
  <c r="AR265" i="3"/>
  <c r="AY265" i="3"/>
  <c r="AZ265" i="3"/>
  <c r="BA265" i="3"/>
  <c r="BD265" i="3"/>
  <c r="AO266" i="3"/>
  <c r="AR266" i="3"/>
  <c r="AY266" i="3"/>
  <c r="AZ266" i="3"/>
  <c r="BA266" i="3"/>
  <c r="BD266" i="3"/>
  <c r="AO267" i="3"/>
  <c r="AR267" i="3"/>
  <c r="AY267" i="3"/>
  <c r="AZ267" i="3"/>
  <c r="BA267" i="3"/>
  <c r="BD267" i="3"/>
  <c r="AO268" i="3"/>
  <c r="AR268" i="3"/>
  <c r="AY268" i="3"/>
  <c r="AZ268" i="3"/>
  <c r="BA268" i="3"/>
  <c r="BC268" i="3"/>
  <c r="BD268" i="3"/>
  <c r="BI268" i="3"/>
  <c r="BM268" i="3"/>
  <c r="BQ268" i="3"/>
  <c r="BU268" i="3"/>
  <c r="AO269" i="3"/>
  <c r="AR269" i="3"/>
  <c r="AY269" i="3"/>
  <c r="BA269" i="3"/>
  <c r="BD269" i="3"/>
  <c r="AO270" i="3"/>
  <c r="AR270" i="3"/>
  <c r="AY270" i="3"/>
  <c r="BA270" i="3"/>
  <c r="BD270" i="3"/>
  <c r="AO271" i="3"/>
  <c r="AR271" i="3"/>
  <c r="AY271" i="3"/>
  <c r="BA271" i="3"/>
  <c r="BD271" i="3"/>
  <c r="AO272" i="3"/>
  <c r="AR272" i="3"/>
  <c r="AY272" i="3"/>
  <c r="BA272" i="3"/>
  <c r="BD272" i="3"/>
  <c r="AO273" i="3"/>
  <c r="AR273" i="3"/>
  <c r="AY273" i="3"/>
  <c r="AZ273" i="3"/>
  <c r="BA273" i="3"/>
  <c r="BD273" i="3"/>
  <c r="AO274" i="3"/>
  <c r="AR274" i="3"/>
  <c r="AY274" i="3"/>
  <c r="AZ274" i="3"/>
  <c r="BA274" i="3"/>
  <c r="BD274" i="3"/>
  <c r="AO275" i="3"/>
  <c r="AR275" i="3"/>
  <c r="AY275" i="3"/>
  <c r="AZ275" i="3"/>
  <c r="BA275" i="3"/>
  <c r="BD275" i="3"/>
  <c r="AO276" i="3"/>
  <c r="AR276" i="3"/>
  <c r="AY276" i="3"/>
  <c r="AZ276" i="3"/>
  <c r="BA276" i="3"/>
  <c r="BD276" i="3"/>
  <c r="AO277" i="3"/>
  <c r="AR277" i="3"/>
  <c r="AY277" i="3"/>
  <c r="AZ277" i="3"/>
  <c r="BA277" i="3"/>
  <c r="BD277" i="3"/>
  <c r="AO278" i="3"/>
  <c r="AR278" i="3"/>
  <c r="AY278" i="3"/>
  <c r="AZ278" i="3"/>
  <c r="BA278" i="3"/>
  <c r="BC278" i="3"/>
  <c r="BD278" i="3"/>
  <c r="BI278" i="3"/>
  <c r="BM278" i="3"/>
  <c r="BQ278" i="3"/>
  <c r="BU278" i="3"/>
  <c r="AO279" i="3"/>
  <c r="AR279" i="3"/>
  <c r="AY279" i="3"/>
  <c r="AZ279" i="3"/>
  <c r="BA279" i="3"/>
  <c r="BC279" i="3"/>
  <c r="BD279" i="3"/>
  <c r="BI279" i="3"/>
  <c r="BM279" i="3"/>
  <c r="BQ279" i="3"/>
  <c r="BU279" i="3"/>
  <c r="AO280" i="3"/>
  <c r="AR280" i="3"/>
  <c r="AY280" i="3"/>
  <c r="AZ280" i="3"/>
  <c r="BA280" i="3"/>
  <c r="BC280" i="3"/>
  <c r="BD280" i="3"/>
  <c r="BI280" i="3"/>
  <c r="BM280" i="3"/>
  <c r="BQ280" i="3"/>
  <c r="BU280" i="3"/>
  <c r="AO281" i="3"/>
  <c r="AR281" i="3"/>
  <c r="AY281" i="3"/>
  <c r="AZ281" i="3"/>
  <c r="BA281" i="3"/>
  <c r="BC281" i="3"/>
  <c r="BD281" i="3"/>
  <c r="BI281" i="3"/>
  <c r="BM281" i="3"/>
  <c r="BQ281" i="3"/>
  <c r="BU281" i="3"/>
  <c r="AO282" i="3"/>
  <c r="AR282" i="3"/>
  <c r="AZ282" i="3"/>
  <c r="BA282" i="3"/>
  <c r="BC282" i="3"/>
  <c r="BD282" i="3"/>
  <c r="BI282" i="3"/>
  <c r="BM282" i="3"/>
  <c r="BQ282" i="3"/>
  <c r="BU282" i="3"/>
  <c r="AO283" i="3"/>
  <c r="AR283" i="3"/>
  <c r="AY283" i="3"/>
  <c r="AZ283" i="3"/>
  <c r="BA283" i="3"/>
  <c r="BC283" i="3"/>
  <c r="BD283" i="3"/>
  <c r="BI283" i="3"/>
  <c r="BM283" i="3"/>
  <c r="BQ283" i="3"/>
  <c r="BU283" i="3"/>
  <c r="AO284" i="3"/>
  <c r="AR284" i="3"/>
  <c r="AY284" i="3"/>
  <c r="AZ284" i="3"/>
  <c r="BA284" i="3"/>
  <c r="BC284" i="3"/>
  <c r="BD284" i="3"/>
  <c r="BI284" i="3"/>
  <c r="BM284" i="3"/>
  <c r="BQ284" i="3"/>
  <c r="BU284" i="3"/>
  <c r="AO285" i="3"/>
  <c r="AR285" i="3"/>
  <c r="AY285" i="3"/>
  <c r="AZ285" i="3"/>
  <c r="BA285" i="3"/>
  <c r="BC285" i="3"/>
  <c r="BD285" i="3"/>
  <c r="BI285" i="3"/>
  <c r="BM285" i="3"/>
  <c r="BQ285" i="3"/>
  <c r="BU285" i="3"/>
  <c r="AO286" i="3"/>
  <c r="AR286" i="3"/>
  <c r="AY286" i="3"/>
  <c r="AZ286" i="3"/>
  <c r="BA286" i="3"/>
  <c r="BC286" i="3"/>
  <c r="BD286" i="3"/>
  <c r="BI286" i="3"/>
  <c r="BM286" i="3"/>
  <c r="BQ286" i="3"/>
  <c r="BU286" i="3"/>
  <c r="AO287" i="3"/>
  <c r="AR287" i="3"/>
  <c r="AY287" i="3"/>
  <c r="AZ287" i="3"/>
  <c r="BA287" i="3"/>
  <c r="BC287" i="3"/>
  <c r="BD287" i="3"/>
  <c r="BI287" i="3"/>
  <c r="BM287" i="3"/>
  <c r="BQ287" i="3"/>
  <c r="BU287" i="3"/>
  <c r="AO288" i="3"/>
  <c r="AR288" i="3"/>
  <c r="AY288" i="3"/>
  <c r="AZ288" i="3"/>
  <c r="BA288" i="3"/>
  <c r="BD288" i="3"/>
  <c r="AO289" i="3"/>
  <c r="AR289" i="3"/>
  <c r="BA289" i="3"/>
  <c r="BD289" i="3"/>
  <c r="AO290" i="3"/>
  <c r="AR290" i="3"/>
  <c r="AY290" i="3"/>
  <c r="AZ290" i="3"/>
  <c r="BA290" i="3"/>
  <c r="BD290" i="3"/>
  <c r="AO291" i="3"/>
  <c r="AR291" i="3"/>
  <c r="AY291" i="3"/>
  <c r="AZ291" i="3"/>
  <c r="BA291" i="3"/>
  <c r="BD291" i="3"/>
  <c r="AO292" i="3"/>
  <c r="AR292" i="3"/>
  <c r="AY292" i="3"/>
  <c r="AZ292" i="3"/>
  <c r="BA292" i="3"/>
  <c r="BD292" i="3"/>
  <c r="AO293" i="3"/>
  <c r="AR293" i="3"/>
  <c r="AY293" i="3"/>
  <c r="AZ293" i="3"/>
  <c r="BA293" i="3"/>
  <c r="BD293" i="3"/>
  <c r="AO294" i="3"/>
  <c r="AR294" i="3"/>
  <c r="AY294" i="3"/>
  <c r="AZ294" i="3"/>
  <c r="BA294" i="3"/>
  <c r="BD294" i="3"/>
  <c r="AO295" i="3"/>
  <c r="AR295" i="3"/>
  <c r="AY295" i="3"/>
  <c r="AZ295" i="3"/>
  <c r="BA295" i="3"/>
  <c r="BD295" i="3"/>
  <c r="AO296" i="3"/>
  <c r="AR296" i="3"/>
  <c r="AY296" i="3"/>
  <c r="AZ296" i="3"/>
  <c r="BA296" i="3"/>
  <c r="BD296" i="3"/>
  <c r="AO297" i="3"/>
  <c r="AR297" i="3"/>
  <c r="AY297" i="3"/>
  <c r="AZ297" i="3"/>
  <c r="BA297" i="3"/>
  <c r="BC297" i="3"/>
  <c r="BD297" i="3"/>
  <c r="BI297" i="3"/>
  <c r="BM297" i="3"/>
  <c r="BQ297" i="3"/>
  <c r="BU297" i="3"/>
  <c r="AO298" i="3"/>
  <c r="AR298" i="3"/>
  <c r="AY298" i="3"/>
  <c r="AZ298" i="3"/>
  <c r="BA298" i="3"/>
  <c r="BC298" i="3"/>
  <c r="BD298" i="3"/>
  <c r="BI298" i="3"/>
  <c r="BM298" i="3"/>
  <c r="BQ298" i="3"/>
  <c r="BU298" i="3"/>
  <c r="AO299" i="3"/>
  <c r="AR299" i="3"/>
  <c r="AY299" i="3"/>
  <c r="AZ299" i="3"/>
  <c r="BA299" i="3"/>
  <c r="BC299" i="3"/>
  <c r="BD299" i="3"/>
  <c r="BI299" i="3"/>
  <c r="BM299" i="3"/>
  <c r="BQ299" i="3"/>
  <c r="BU299" i="3"/>
  <c r="AO300" i="3"/>
  <c r="AR300" i="3"/>
  <c r="AY300" i="3"/>
  <c r="AZ300" i="3"/>
  <c r="BA300" i="3"/>
  <c r="BC300" i="3"/>
  <c r="BD300" i="3"/>
  <c r="BI300" i="3"/>
  <c r="BM300" i="3"/>
  <c r="BQ300" i="3"/>
  <c r="BU300" i="3"/>
  <c r="AO301" i="3"/>
  <c r="AR301" i="3"/>
  <c r="AY301" i="3"/>
  <c r="BA301" i="3"/>
  <c r="BD301" i="3"/>
  <c r="AO302" i="3"/>
  <c r="AR302" i="3"/>
  <c r="AY302" i="3"/>
  <c r="BA302" i="3"/>
  <c r="BD302" i="3"/>
  <c r="AO303" i="3"/>
  <c r="AR303" i="3"/>
  <c r="AY303" i="3"/>
  <c r="AZ303" i="3"/>
  <c r="BA303" i="3"/>
  <c r="BC303" i="3"/>
  <c r="BD303" i="3"/>
  <c r="BI303" i="3"/>
  <c r="BM303" i="3"/>
  <c r="BQ303" i="3"/>
  <c r="BU303" i="3"/>
  <c r="AO304" i="3"/>
  <c r="AR304" i="3"/>
  <c r="AY304" i="3"/>
  <c r="AZ304" i="3"/>
  <c r="BA304" i="3"/>
  <c r="BC304" i="3"/>
  <c r="BD304" i="3"/>
  <c r="BI304" i="3"/>
  <c r="BM304" i="3"/>
  <c r="BQ304" i="3"/>
  <c r="BU304" i="3"/>
  <c r="AO305" i="3"/>
  <c r="AR305" i="3"/>
  <c r="AY305" i="3"/>
  <c r="AZ305" i="3"/>
  <c r="BA305" i="3"/>
  <c r="BC305" i="3"/>
  <c r="BD305" i="3"/>
  <c r="BI305" i="3"/>
  <c r="BM305" i="3"/>
  <c r="BQ305" i="3"/>
  <c r="BU305" i="3"/>
  <c r="AO306" i="3"/>
  <c r="AR306" i="3"/>
  <c r="AY306" i="3"/>
  <c r="AZ306" i="3"/>
  <c r="BA306" i="3"/>
  <c r="BC306" i="3"/>
  <c r="BD306" i="3"/>
  <c r="BI306" i="3"/>
  <c r="BM306" i="3"/>
  <c r="BQ306" i="3"/>
  <c r="BU306" i="3"/>
  <c r="AO307" i="3"/>
  <c r="AR307" i="3"/>
  <c r="AY307" i="3"/>
  <c r="AZ307" i="3"/>
  <c r="BA307" i="3"/>
  <c r="BC307" i="3"/>
  <c r="BD307" i="3"/>
  <c r="BI307" i="3"/>
  <c r="BM307" i="3"/>
  <c r="BQ307" i="3"/>
  <c r="BU307" i="3"/>
  <c r="AO308" i="3"/>
  <c r="AR308" i="3"/>
  <c r="AY308" i="3"/>
  <c r="BA308" i="3"/>
  <c r="BD308" i="3"/>
  <c r="AO309" i="3"/>
  <c r="AR309" i="3"/>
  <c r="BA309" i="3"/>
  <c r="BD309" i="3"/>
  <c r="AO310" i="3"/>
  <c r="AR310" i="3"/>
  <c r="BA310" i="3"/>
  <c r="BD310" i="3"/>
  <c r="AO311" i="3"/>
  <c r="AR311" i="3"/>
  <c r="BA311" i="3"/>
  <c r="BD311" i="3"/>
  <c r="AO312" i="3"/>
  <c r="AR312" i="3"/>
  <c r="AY312" i="3"/>
  <c r="AZ312" i="3"/>
  <c r="BA312" i="3"/>
  <c r="BC312" i="3"/>
  <c r="BD312" i="3"/>
  <c r="BI312" i="3"/>
  <c r="BM312" i="3"/>
  <c r="BQ312" i="3"/>
  <c r="BU312" i="3"/>
  <c r="AO313" i="3"/>
  <c r="AR313" i="3"/>
  <c r="AY313" i="3"/>
  <c r="BA313" i="3"/>
  <c r="BD313" i="3"/>
  <c r="AO314" i="3"/>
  <c r="AR314" i="3"/>
  <c r="AY314" i="3"/>
  <c r="AZ314" i="3"/>
  <c r="BA314" i="3"/>
  <c r="BD314" i="3"/>
  <c r="AO315" i="3"/>
  <c r="AR315" i="3"/>
  <c r="AY315" i="3"/>
  <c r="AZ315" i="3"/>
  <c r="BA315" i="3"/>
  <c r="BD315" i="3"/>
  <c r="AO316" i="3"/>
  <c r="AR316" i="3"/>
  <c r="AY316" i="3"/>
  <c r="AZ316" i="3"/>
  <c r="BA316" i="3"/>
  <c r="BC316" i="3"/>
  <c r="BD316" i="3"/>
  <c r="BI316" i="3"/>
  <c r="BM316" i="3"/>
  <c r="BQ316" i="3"/>
  <c r="BU316" i="3"/>
  <c r="AO317" i="3"/>
  <c r="AR317" i="3"/>
  <c r="AY317" i="3"/>
  <c r="AZ317" i="3"/>
  <c r="BA317" i="3"/>
  <c r="BD317" i="3"/>
  <c r="AO318" i="3"/>
  <c r="AR318" i="3"/>
  <c r="AY318" i="3"/>
  <c r="AZ318" i="3"/>
  <c r="BA318" i="3"/>
  <c r="BD318" i="3"/>
  <c r="AO319" i="3"/>
  <c r="AR319" i="3"/>
  <c r="AY319" i="3"/>
  <c r="AZ319" i="3"/>
  <c r="BA319" i="3"/>
  <c r="BD319" i="3"/>
  <c r="AO320" i="3"/>
  <c r="AR320" i="3"/>
  <c r="AY320" i="3"/>
  <c r="AZ320" i="3"/>
  <c r="BA320" i="3"/>
  <c r="BC320" i="3"/>
  <c r="BD320" i="3"/>
  <c r="BI320" i="3"/>
  <c r="BM320" i="3"/>
  <c r="BQ320" i="3"/>
  <c r="BU320" i="3"/>
  <c r="AO321" i="3"/>
  <c r="AR321" i="3"/>
  <c r="AY321" i="3"/>
  <c r="AZ321" i="3"/>
  <c r="BA321" i="3"/>
  <c r="BC321" i="3"/>
  <c r="BD321" i="3"/>
  <c r="BI321" i="3"/>
  <c r="BM321" i="3"/>
  <c r="BQ321" i="3"/>
  <c r="BU321" i="3"/>
  <c r="AO322" i="3"/>
  <c r="AR322" i="3"/>
  <c r="AY322" i="3"/>
  <c r="BA322" i="3"/>
  <c r="BD322" i="3"/>
  <c r="AO323" i="3"/>
  <c r="AR323" i="3"/>
  <c r="AY323" i="3"/>
  <c r="BA323" i="3"/>
  <c r="BD323" i="3"/>
  <c r="AO324" i="3"/>
  <c r="AR324" i="3"/>
  <c r="AY324" i="3"/>
  <c r="BA324" i="3"/>
  <c r="BD324" i="3"/>
  <c r="AO325" i="3"/>
  <c r="AR325" i="3"/>
  <c r="AY325" i="3"/>
  <c r="BA325" i="3"/>
  <c r="BD325" i="3"/>
  <c r="AO326" i="3"/>
  <c r="AR326" i="3"/>
  <c r="AY326" i="3"/>
  <c r="BA326" i="3"/>
  <c r="BD326" i="3"/>
  <c r="AO327" i="3"/>
  <c r="AR327" i="3"/>
  <c r="AY327" i="3"/>
  <c r="BA327" i="3"/>
  <c r="BD327" i="3"/>
  <c r="AO328" i="3"/>
  <c r="AR328" i="3"/>
  <c r="AY328" i="3"/>
  <c r="AZ328" i="3"/>
  <c r="BA328" i="3"/>
  <c r="BC328" i="3"/>
  <c r="BD328" i="3"/>
  <c r="BI328" i="3"/>
  <c r="BM328" i="3"/>
  <c r="BQ328" i="3"/>
  <c r="BU328" i="3"/>
  <c r="AO329" i="3"/>
  <c r="AR329" i="3"/>
  <c r="AY329" i="3"/>
  <c r="AZ329" i="3"/>
  <c r="BA329" i="3"/>
  <c r="BC329" i="3"/>
  <c r="BD329" i="3"/>
  <c r="BI329" i="3"/>
  <c r="BM329" i="3"/>
  <c r="BQ329" i="3"/>
  <c r="BU329" i="3"/>
  <c r="AO330" i="3"/>
  <c r="AR330" i="3"/>
  <c r="AY330" i="3"/>
  <c r="AZ330" i="3"/>
  <c r="BA330" i="3"/>
  <c r="BC330" i="3"/>
  <c r="BD330" i="3"/>
  <c r="BI330" i="3"/>
  <c r="BM330" i="3"/>
  <c r="BQ330" i="3"/>
  <c r="BU330" i="3"/>
  <c r="AO331" i="3"/>
  <c r="AR331" i="3"/>
  <c r="AY331" i="3"/>
  <c r="AZ331" i="3"/>
  <c r="BA331" i="3"/>
  <c r="BC331" i="3"/>
  <c r="BD331" i="3"/>
  <c r="BI331" i="3"/>
  <c r="BM331" i="3"/>
  <c r="BQ331" i="3"/>
  <c r="BU331" i="3"/>
  <c r="AO332" i="3"/>
  <c r="AR332" i="3"/>
  <c r="AY332" i="3"/>
  <c r="AZ332" i="3"/>
  <c r="BA332" i="3"/>
  <c r="BC332" i="3"/>
  <c r="BD332" i="3"/>
  <c r="BI332" i="3"/>
  <c r="BM332" i="3"/>
  <c r="BQ332" i="3"/>
  <c r="BU332" i="3"/>
  <c r="AO333" i="3"/>
  <c r="AR333" i="3"/>
  <c r="AY333" i="3"/>
  <c r="AZ333" i="3"/>
  <c r="BA333" i="3"/>
  <c r="BC333" i="3"/>
  <c r="BD333" i="3"/>
  <c r="BI333" i="3"/>
  <c r="BM333" i="3"/>
  <c r="BQ333" i="3"/>
  <c r="BU333" i="3"/>
  <c r="AO334" i="3"/>
  <c r="AR334" i="3"/>
  <c r="AY334" i="3"/>
  <c r="AZ334" i="3"/>
  <c r="BA334" i="3"/>
  <c r="BC334" i="3"/>
  <c r="BD334" i="3"/>
  <c r="BI334" i="3"/>
  <c r="BM334" i="3"/>
  <c r="BQ334" i="3"/>
  <c r="BU334" i="3"/>
  <c r="AO335" i="3"/>
  <c r="AR335" i="3"/>
  <c r="AY335" i="3"/>
  <c r="AZ335" i="3"/>
  <c r="BA335" i="3"/>
  <c r="BC335" i="3"/>
  <c r="BD335" i="3"/>
  <c r="BI335" i="3"/>
  <c r="BM335" i="3"/>
  <c r="BQ335" i="3"/>
  <c r="BU335" i="3"/>
  <c r="AO336" i="3"/>
  <c r="AR336" i="3"/>
  <c r="AY336" i="3"/>
  <c r="AZ336" i="3"/>
  <c r="BA336" i="3"/>
  <c r="BD336" i="3"/>
  <c r="BN336" i="3"/>
  <c r="AO337" i="3"/>
  <c r="AR337" i="3"/>
  <c r="AY337" i="3"/>
  <c r="AZ337" i="3"/>
  <c r="BA337" i="3"/>
  <c r="BD337" i="3"/>
  <c r="BN337" i="3"/>
  <c r="AO338" i="3"/>
  <c r="AR338" i="3"/>
  <c r="AY338" i="3"/>
  <c r="AZ338" i="3"/>
  <c r="BA338" i="3"/>
  <c r="BC338" i="3"/>
  <c r="BD338" i="3"/>
  <c r="BI338" i="3"/>
  <c r="BM338" i="3"/>
  <c r="BN338" i="3"/>
  <c r="BQ338" i="3"/>
  <c r="BU338" i="3"/>
  <c r="AO339" i="3"/>
  <c r="AR339" i="3"/>
  <c r="AY339" i="3"/>
  <c r="AZ339" i="3"/>
  <c r="BA339" i="3"/>
  <c r="BC339" i="3"/>
  <c r="BD339" i="3"/>
  <c r="BI339" i="3"/>
  <c r="BM339" i="3"/>
  <c r="BN339" i="3"/>
  <c r="BQ339" i="3"/>
  <c r="BU339" i="3"/>
  <c r="AO340" i="3"/>
  <c r="AR340" i="3"/>
  <c r="AY340" i="3"/>
  <c r="AZ340" i="3"/>
  <c r="BA340" i="3"/>
  <c r="BC340" i="3"/>
  <c r="BD340" i="3"/>
  <c r="BI340" i="3"/>
  <c r="BM340" i="3"/>
  <c r="BN340" i="3"/>
  <c r="BQ340" i="3"/>
  <c r="BU340" i="3"/>
  <c r="AO341" i="3"/>
  <c r="AR341" i="3"/>
  <c r="AY341" i="3"/>
  <c r="AZ341" i="3"/>
  <c r="BA341" i="3"/>
  <c r="BC341" i="3"/>
  <c r="BD341" i="3"/>
  <c r="BI341" i="3"/>
  <c r="BM341" i="3"/>
  <c r="BN341" i="3"/>
  <c r="BQ341" i="3"/>
  <c r="BU341" i="3"/>
  <c r="AO342" i="3"/>
  <c r="AR342" i="3"/>
  <c r="AY342" i="3"/>
  <c r="AZ342" i="3"/>
  <c r="BA342" i="3"/>
  <c r="BC342" i="3"/>
  <c r="BD342" i="3"/>
  <c r="BI342" i="3"/>
  <c r="BM342" i="3"/>
  <c r="BQ342" i="3"/>
  <c r="BU342" i="3"/>
  <c r="AO343" i="3"/>
  <c r="AR343" i="3"/>
  <c r="AY343" i="3"/>
  <c r="AZ343" i="3"/>
  <c r="BA343" i="3"/>
  <c r="BC343" i="3"/>
  <c r="BD343" i="3"/>
  <c r="BI343" i="3"/>
  <c r="BM343" i="3"/>
  <c r="BQ343" i="3"/>
  <c r="BU343" i="3"/>
  <c r="AO344" i="3"/>
  <c r="AR344" i="3"/>
  <c r="AY344" i="3"/>
  <c r="AZ344" i="3"/>
  <c r="BA344" i="3"/>
  <c r="BC344" i="3"/>
  <c r="BD344" i="3"/>
  <c r="BI344" i="3"/>
  <c r="BM344" i="3"/>
  <c r="BQ344" i="3"/>
  <c r="BU344" i="3"/>
  <c r="AO345" i="3"/>
  <c r="AR345" i="3"/>
  <c r="AY345" i="3"/>
  <c r="AZ345" i="3"/>
  <c r="BA345" i="3"/>
  <c r="BC345" i="3"/>
  <c r="BD345" i="3"/>
  <c r="BI345" i="3"/>
  <c r="BM345" i="3"/>
  <c r="BQ345" i="3"/>
  <c r="BU345" i="3"/>
  <c r="AO346" i="3"/>
  <c r="AR346" i="3"/>
  <c r="AY346" i="3"/>
  <c r="AZ346" i="3"/>
  <c r="BA346" i="3"/>
  <c r="BC346" i="3"/>
  <c r="BD346" i="3"/>
  <c r="BI346" i="3"/>
  <c r="BM346" i="3"/>
  <c r="BQ346" i="3"/>
  <c r="BU346" i="3"/>
  <c r="AO347" i="3"/>
  <c r="AR347" i="3"/>
  <c r="AY347" i="3"/>
  <c r="AZ347" i="3"/>
  <c r="BA347" i="3"/>
  <c r="BC347" i="3"/>
  <c r="BD347" i="3"/>
  <c r="BI347" i="3"/>
  <c r="BM347" i="3"/>
  <c r="BQ347" i="3"/>
  <c r="BU347" i="3"/>
  <c r="AO348" i="3"/>
  <c r="AR348" i="3"/>
  <c r="AY348" i="3"/>
  <c r="AZ348" i="3"/>
  <c r="BA348" i="3"/>
  <c r="BC348" i="3"/>
  <c r="BD348" i="3"/>
  <c r="BI348" i="3"/>
  <c r="BM348" i="3"/>
  <c r="BQ348" i="3"/>
  <c r="BU348" i="3"/>
  <c r="AO349" i="3"/>
  <c r="AR349" i="3"/>
  <c r="AY349" i="3"/>
  <c r="AZ349" i="3"/>
  <c r="BA349" i="3"/>
  <c r="BC349" i="3"/>
  <c r="BD349" i="3"/>
  <c r="BI349" i="3"/>
  <c r="BM349" i="3"/>
  <c r="BQ349" i="3"/>
  <c r="BU349" i="3"/>
  <c r="AO350" i="3"/>
  <c r="AR350" i="3"/>
  <c r="AY350" i="3"/>
  <c r="AZ350" i="3"/>
  <c r="BA350" i="3"/>
  <c r="BC350" i="3"/>
  <c r="BD350" i="3"/>
  <c r="BI350" i="3"/>
  <c r="BM350" i="3"/>
  <c r="BN350" i="3"/>
  <c r="BQ350" i="3"/>
  <c r="BU350" i="3"/>
  <c r="AO351" i="3"/>
  <c r="AR351" i="3"/>
  <c r="AY351" i="3"/>
  <c r="AZ351" i="3"/>
  <c r="BA351" i="3"/>
  <c r="BC351" i="3"/>
  <c r="BD351" i="3"/>
  <c r="BI351" i="3"/>
  <c r="BM351" i="3"/>
  <c r="BN351" i="3"/>
  <c r="BQ351" i="3"/>
  <c r="BU351" i="3"/>
  <c r="AO352" i="3"/>
  <c r="AR352" i="3"/>
  <c r="AY352" i="3"/>
  <c r="AZ352" i="3"/>
  <c r="BA352" i="3"/>
  <c r="BC352" i="3"/>
  <c r="BD352" i="3"/>
  <c r="BI352" i="3"/>
  <c r="BM352" i="3"/>
  <c r="BQ352" i="3"/>
  <c r="BU352" i="3"/>
  <c r="AO353" i="3"/>
  <c r="AR353" i="3"/>
  <c r="AY353" i="3"/>
  <c r="AZ353" i="3"/>
  <c r="BA353" i="3"/>
  <c r="BC353" i="3"/>
  <c r="BD353" i="3"/>
  <c r="BI353" i="3"/>
  <c r="BM353" i="3"/>
  <c r="BQ353" i="3"/>
  <c r="BU353" i="3"/>
  <c r="AO354" i="3"/>
  <c r="AR354" i="3"/>
  <c r="AY354" i="3"/>
  <c r="AZ354" i="3"/>
  <c r="BA354" i="3"/>
  <c r="BD354" i="3"/>
  <c r="AO355" i="3"/>
  <c r="AR355" i="3"/>
  <c r="AY355" i="3"/>
  <c r="AZ355" i="3"/>
  <c r="BA355" i="3"/>
  <c r="BD355" i="3"/>
  <c r="AO356" i="3"/>
  <c r="AR356" i="3"/>
  <c r="AY356" i="3"/>
  <c r="AZ356" i="3"/>
  <c r="BA356" i="3"/>
  <c r="BC356" i="3"/>
  <c r="BD356" i="3"/>
  <c r="BI356" i="3"/>
  <c r="BM356" i="3"/>
  <c r="BQ356" i="3"/>
  <c r="BU356" i="3"/>
  <c r="AO357" i="3"/>
  <c r="AR357" i="3"/>
  <c r="AY357" i="3"/>
  <c r="AZ357" i="3"/>
  <c r="BA357" i="3"/>
  <c r="BD357" i="3"/>
  <c r="BN357" i="3"/>
  <c r="AO358" i="3"/>
  <c r="AR358" i="3"/>
  <c r="AY358" i="3"/>
  <c r="AZ358" i="3"/>
  <c r="BA358" i="3"/>
  <c r="BC358" i="3"/>
  <c r="BD358" i="3"/>
  <c r="BI358" i="3"/>
  <c r="BM358" i="3"/>
  <c r="BQ358" i="3"/>
  <c r="BU358" i="3"/>
  <c r="AO359" i="3"/>
  <c r="AR359" i="3"/>
  <c r="AY359" i="3"/>
  <c r="AZ359" i="3"/>
  <c r="BA359" i="3"/>
  <c r="BD359" i="3"/>
  <c r="AO360" i="3"/>
  <c r="AR360" i="3"/>
  <c r="AY360" i="3"/>
  <c r="AZ360" i="3"/>
  <c r="BA360" i="3"/>
  <c r="BC360" i="3"/>
  <c r="BD360" i="3"/>
  <c r="BI360" i="3"/>
  <c r="BM360" i="3"/>
  <c r="BQ360" i="3"/>
  <c r="BU360" i="3"/>
  <c r="AO361" i="3"/>
  <c r="AR361" i="3"/>
  <c r="AY361" i="3"/>
  <c r="AZ361" i="3"/>
  <c r="BA361" i="3"/>
  <c r="BC361" i="3"/>
  <c r="BD361" i="3"/>
  <c r="BI361" i="3"/>
  <c r="BM361" i="3"/>
  <c r="BQ361" i="3"/>
  <c r="BU361" i="3"/>
  <c r="AO362" i="3"/>
  <c r="AP362" i="3"/>
  <c r="AQ362" i="3" s="1"/>
  <c r="AR362" i="3"/>
  <c r="AT362" i="3"/>
  <c r="BJ362" i="3" s="1"/>
  <c r="BR362" i="3" s="1"/>
  <c r="AX362" i="3"/>
  <c r="AY362" i="3"/>
  <c r="AZ362" i="3"/>
  <c r="BA362" i="3"/>
  <c r="BC362" i="3"/>
  <c r="BD362" i="3"/>
  <c r="BB362" i="3" s="1"/>
  <c r="BF362" i="3"/>
  <c r="BI362" i="3"/>
  <c r="BM362" i="3"/>
  <c r="BQ362" i="3"/>
  <c r="BU362" i="3"/>
  <c r="AO363" i="3"/>
  <c r="AR363" i="3"/>
  <c r="AT363" i="3"/>
  <c r="BB363" i="3" s="1"/>
  <c r="AX363" i="3"/>
  <c r="AY363" i="3"/>
  <c r="AZ363" i="3"/>
  <c r="BA363" i="3"/>
  <c r="BD363" i="3"/>
  <c r="T363" i="3"/>
  <c r="S363" i="3"/>
  <c r="E363" i="3"/>
  <c r="AS363" i="3" s="1"/>
  <c r="BH363" i="3" s="1"/>
  <c r="I137" i="17"/>
  <c r="H137" i="17"/>
  <c r="T362" i="3"/>
  <c r="S362" i="3"/>
  <c r="J362" i="3"/>
  <c r="F362" i="3"/>
  <c r="E362" i="3"/>
  <c r="AS362" i="3" s="1"/>
  <c r="BH362" i="3" s="1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AH323" i="3"/>
  <c r="AH324" i="3"/>
  <c r="AH325" i="3"/>
  <c r="AH326" i="3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A174" i="5"/>
  <c r="B174" i="5"/>
  <c r="A175" i="5"/>
  <c r="B175" i="5"/>
  <c r="A176" i="5"/>
  <c r="B176" i="5"/>
  <c r="A177" i="5"/>
  <c r="B177" i="5"/>
  <c r="A178" i="5"/>
  <c r="B178" i="5"/>
  <c r="A179" i="5"/>
  <c r="B179" i="5"/>
  <c r="A180" i="5"/>
  <c r="B180" i="5"/>
  <c r="A181" i="5"/>
  <c r="B181" i="5"/>
  <c r="A182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I3" i="1"/>
  <c r="P3" i="1"/>
  <c r="CA3" i="1" s="1"/>
  <c r="X3" i="1"/>
  <c r="K3" i="5" s="1"/>
  <c r="AC3" i="1"/>
  <c r="AO3" i="1"/>
  <c r="AW3" i="3" s="1"/>
  <c r="AR3" i="1"/>
  <c r="AS3" i="1"/>
  <c r="AT3" i="1"/>
  <c r="AU3" i="1" s="1"/>
  <c r="AV3" i="1"/>
  <c r="BA3" i="1"/>
  <c r="BB3" i="1"/>
  <c r="BM3" i="1"/>
  <c r="BT3" i="1"/>
  <c r="AW3" i="1" s="1"/>
  <c r="BV3" i="1"/>
  <c r="BX3" i="1"/>
  <c r="BY3" i="1"/>
  <c r="I4" i="1"/>
  <c r="P4" i="1"/>
  <c r="X4" i="1"/>
  <c r="K4" i="5" s="1"/>
  <c r="AC4" i="1"/>
  <c r="AO4" i="1"/>
  <c r="AW4" i="3" s="1"/>
  <c r="AR4" i="1"/>
  <c r="AS4" i="1"/>
  <c r="AT4" i="1"/>
  <c r="AU4" i="1" s="1"/>
  <c r="AV4" i="1"/>
  <c r="BA4" i="1"/>
  <c r="BB4" i="1"/>
  <c r="BM4" i="1"/>
  <c r="BT4" i="1"/>
  <c r="AW4" i="1" s="1"/>
  <c r="BV4" i="1"/>
  <c r="BX4" i="1"/>
  <c r="BY4" i="1"/>
  <c r="I5" i="1"/>
  <c r="P5" i="1"/>
  <c r="CA5" i="1" s="1"/>
  <c r="X5" i="1"/>
  <c r="K5" i="5" s="1"/>
  <c r="AC5" i="1"/>
  <c r="AO5" i="1"/>
  <c r="AW5" i="3" s="1"/>
  <c r="AR5" i="1"/>
  <c r="AS5" i="1"/>
  <c r="AT5" i="1"/>
  <c r="AU5" i="1" s="1"/>
  <c r="AV5" i="1"/>
  <c r="BA5" i="1"/>
  <c r="BB5" i="1"/>
  <c r="BM5" i="1"/>
  <c r="BT5" i="1"/>
  <c r="AW5" i="1" s="1"/>
  <c r="BV5" i="1"/>
  <c r="BX5" i="1"/>
  <c r="BY5" i="1"/>
  <c r="I6" i="1"/>
  <c r="P6" i="1"/>
  <c r="CA6" i="1" s="1"/>
  <c r="X6" i="1"/>
  <c r="K6" i="5" s="1"/>
  <c r="L6" i="5" s="1"/>
  <c r="AC6" i="1"/>
  <c r="AO6" i="1"/>
  <c r="AW6" i="3" s="1"/>
  <c r="AR6" i="1"/>
  <c r="AS6" i="1"/>
  <c r="AT6" i="1"/>
  <c r="AU6" i="1" s="1"/>
  <c r="AV6" i="1"/>
  <c r="BA6" i="1"/>
  <c r="BB6" i="1"/>
  <c r="BM6" i="1"/>
  <c r="BT6" i="1"/>
  <c r="AW6" i="1" s="1"/>
  <c r="BV6" i="1"/>
  <c r="BX6" i="1"/>
  <c r="BY6" i="1"/>
  <c r="I7" i="1"/>
  <c r="P7" i="1"/>
  <c r="CA7" i="1" s="1"/>
  <c r="X7" i="1"/>
  <c r="K7" i="5" s="1"/>
  <c r="AC7" i="1"/>
  <c r="AO7" i="1"/>
  <c r="AW7" i="3" s="1"/>
  <c r="AR7" i="1"/>
  <c r="AS7" i="1"/>
  <c r="AT7" i="1"/>
  <c r="AU7" i="1" s="1"/>
  <c r="AV7" i="1"/>
  <c r="BA7" i="1"/>
  <c r="BB7" i="1"/>
  <c r="BM7" i="1"/>
  <c r="BT7" i="1"/>
  <c r="AW7" i="1" s="1"/>
  <c r="BV7" i="1"/>
  <c r="BX7" i="1"/>
  <c r="BY7" i="1"/>
  <c r="I8" i="1"/>
  <c r="P8" i="1"/>
  <c r="CA8" i="1" s="1"/>
  <c r="X8" i="1"/>
  <c r="K8" i="5" s="1"/>
  <c r="AC8" i="1"/>
  <c r="AO8" i="1"/>
  <c r="AW8" i="3" s="1"/>
  <c r="AR8" i="1"/>
  <c r="AS8" i="1"/>
  <c r="AT8" i="1"/>
  <c r="AU8" i="1" s="1"/>
  <c r="AV8" i="1"/>
  <c r="BA8" i="1"/>
  <c r="BB8" i="1"/>
  <c r="BM8" i="1"/>
  <c r="BT8" i="1"/>
  <c r="AW8" i="1" s="1"/>
  <c r="BV8" i="1"/>
  <c r="BX8" i="1"/>
  <c r="BY8" i="1"/>
  <c r="I9" i="1"/>
  <c r="P9" i="1"/>
  <c r="CA9" i="1" s="1"/>
  <c r="X9" i="1"/>
  <c r="K9" i="5" s="1"/>
  <c r="AC9" i="1"/>
  <c r="AO9" i="1"/>
  <c r="AW9" i="3" s="1"/>
  <c r="AR9" i="1"/>
  <c r="AS9" i="1"/>
  <c r="AT9" i="1"/>
  <c r="AU9" i="1" s="1"/>
  <c r="AV9" i="1"/>
  <c r="BA9" i="1"/>
  <c r="BB9" i="1"/>
  <c r="BM9" i="1"/>
  <c r="BT9" i="1"/>
  <c r="AW9" i="1" s="1"/>
  <c r="BV9" i="1"/>
  <c r="BX9" i="1"/>
  <c r="BY9" i="1"/>
  <c r="I10" i="1"/>
  <c r="P10" i="1"/>
  <c r="CA10" i="1" s="1"/>
  <c r="X10" i="1"/>
  <c r="K10" i="5" s="1"/>
  <c r="L10" i="5" s="1"/>
  <c r="AC10" i="1"/>
  <c r="AO10" i="1"/>
  <c r="AW10" i="3" s="1"/>
  <c r="AR10" i="1"/>
  <c r="AS10" i="1"/>
  <c r="AT10" i="1"/>
  <c r="AU10" i="1" s="1"/>
  <c r="AV10" i="1"/>
  <c r="BA10" i="1"/>
  <c r="BB10" i="1"/>
  <c r="BM10" i="1"/>
  <c r="BT10" i="1"/>
  <c r="AW10" i="1" s="1"/>
  <c r="BV10" i="1"/>
  <c r="BX10" i="1"/>
  <c r="BY10" i="1"/>
  <c r="I11" i="1"/>
  <c r="P11" i="1"/>
  <c r="CA11" i="1" s="1"/>
  <c r="X11" i="1"/>
  <c r="K11" i="5" s="1"/>
  <c r="AC11" i="1"/>
  <c r="AO11" i="1"/>
  <c r="AW11" i="3" s="1"/>
  <c r="AR11" i="1"/>
  <c r="AS11" i="1"/>
  <c r="AT11" i="1"/>
  <c r="AU11" i="1" s="1"/>
  <c r="AV11" i="1"/>
  <c r="BA11" i="1"/>
  <c r="BB11" i="1"/>
  <c r="BM11" i="1"/>
  <c r="BT11" i="1"/>
  <c r="AW11" i="1" s="1"/>
  <c r="BV11" i="1"/>
  <c r="BX11" i="1"/>
  <c r="BY11" i="1"/>
  <c r="I12" i="1"/>
  <c r="P12" i="1"/>
  <c r="CA12" i="1" s="1"/>
  <c r="X12" i="1"/>
  <c r="K12" i="5" s="1"/>
  <c r="AC12" i="1"/>
  <c r="AO12" i="1"/>
  <c r="AW12" i="3" s="1"/>
  <c r="AR12" i="1"/>
  <c r="AS12" i="1"/>
  <c r="AT12" i="1"/>
  <c r="AU12" i="1" s="1"/>
  <c r="AV12" i="1"/>
  <c r="BA12" i="1"/>
  <c r="BB12" i="1"/>
  <c r="BM12" i="1"/>
  <c r="BT12" i="1"/>
  <c r="AW12" i="1" s="1"/>
  <c r="BV12" i="1"/>
  <c r="BX12" i="1"/>
  <c r="BY12" i="1"/>
  <c r="I13" i="1"/>
  <c r="P13" i="1"/>
  <c r="CA13" i="1" s="1"/>
  <c r="X13" i="1"/>
  <c r="K13" i="5" s="1"/>
  <c r="AC13" i="1"/>
  <c r="AO13" i="1"/>
  <c r="AW13" i="3" s="1"/>
  <c r="AR13" i="1"/>
  <c r="AS13" i="1"/>
  <c r="AT13" i="1"/>
  <c r="AU13" i="1" s="1"/>
  <c r="AV13" i="1"/>
  <c r="BA13" i="1"/>
  <c r="BB13" i="1"/>
  <c r="BM13" i="1"/>
  <c r="BT13" i="1"/>
  <c r="AW13" i="1" s="1"/>
  <c r="BV13" i="1"/>
  <c r="BX13" i="1"/>
  <c r="BY13" i="1"/>
  <c r="I14" i="1"/>
  <c r="P14" i="1"/>
  <c r="CA14" i="1" s="1"/>
  <c r="X14" i="1"/>
  <c r="K14" i="5" s="1"/>
  <c r="L14" i="5" s="1"/>
  <c r="AC14" i="1"/>
  <c r="AO14" i="1"/>
  <c r="AW14" i="3" s="1"/>
  <c r="AR14" i="1"/>
  <c r="AS14" i="1"/>
  <c r="AT14" i="1"/>
  <c r="AU14" i="1" s="1"/>
  <c r="AV14" i="1"/>
  <c r="BA14" i="1"/>
  <c r="BB14" i="1"/>
  <c r="BM14" i="1"/>
  <c r="BT14" i="1"/>
  <c r="AW14" i="1" s="1"/>
  <c r="BV14" i="1"/>
  <c r="BX14" i="1"/>
  <c r="BY14" i="1"/>
  <c r="I15" i="1"/>
  <c r="P15" i="1"/>
  <c r="CA15" i="1" s="1"/>
  <c r="X15" i="1"/>
  <c r="K15" i="5" s="1"/>
  <c r="AC15" i="1"/>
  <c r="AO15" i="1"/>
  <c r="AW15" i="3" s="1"/>
  <c r="AR15" i="1"/>
  <c r="AS15" i="1"/>
  <c r="AT15" i="1"/>
  <c r="AU15" i="1" s="1"/>
  <c r="AV15" i="1"/>
  <c r="BA15" i="1"/>
  <c r="BB15" i="1"/>
  <c r="BM15" i="1"/>
  <c r="BT15" i="1"/>
  <c r="AW15" i="1" s="1"/>
  <c r="BV15" i="1"/>
  <c r="BX15" i="1"/>
  <c r="BY15" i="1"/>
  <c r="I16" i="1"/>
  <c r="P16" i="1"/>
  <c r="CA16" i="1" s="1"/>
  <c r="X16" i="1"/>
  <c r="K16" i="5" s="1"/>
  <c r="AC16" i="1"/>
  <c r="AO16" i="1"/>
  <c r="AW16" i="3" s="1"/>
  <c r="AR16" i="1"/>
  <c r="AS16" i="1"/>
  <c r="AT16" i="1"/>
  <c r="AU16" i="1" s="1"/>
  <c r="AV16" i="1"/>
  <c r="BA16" i="1"/>
  <c r="BB16" i="1"/>
  <c r="BM16" i="1"/>
  <c r="BT16" i="1"/>
  <c r="AW16" i="1" s="1"/>
  <c r="BV16" i="1"/>
  <c r="BX16" i="1"/>
  <c r="BY16" i="1"/>
  <c r="I17" i="1"/>
  <c r="P17" i="1"/>
  <c r="CA17" i="1" s="1"/>
  <c r="X17" i="1"/>
  <c r="K17" i="5" s="1"/>
  <c r="AC17" i="1"/>
  <c r="AO17" i="1"/>
  <c r="AW17" i="3" s="1"/>
  <c r="AR17" i="1"/>
  <c r="AS17" i="1"/>
  <c r="AT17" i="1"/>
  <c r="AU17" i="1" s="1"/>
  <c r="AV17" i="1"/>
  <c r="BA17" i="1"/>
  <c r="BB17" i="1"/>
  <c r="BM17" i="1"/>
  <c r="BT17" i="1"/>
  <c r="AW17" i="1" s="1"/>
  <c r="BV17" i="1"/>
  <c r="BX17" i="1"/>
  <c r="BY17" i="1"/>
  <c r="I18" i="1"/>
  <c r="P18" i="1"/>
  <c r="CA18" i="1" s="1"/>
  <c r="X18" i="1"/>
  <c r="K18" i="5" s="1"/>
  <c r="L18" i="5" s="1"/>
  <c r="AC18" i="1"/>
  <c r="AO18" i="1"/>
  <c r="AW18" i="3" s="1"/>
  <c r="AR18" i="1"/>
  <c r="AS18" i="1"/>
  <c r="AT18" i="1"/>
  <c r="AU18" i="1" s="1"/>
  <c r="AV18" i="1"/>
  <c r="BA18" i="1"/>
  <c r="BB18" i="1"/>
  <c r="BM18" i="1"/>
  <c r="BT18" i="1"/>
  <c r="AW18" i="1" s="1"/>
  <c r="BV18" i="1"/>
  <c r="BX18" i="1"/>
  <c r="BY18" i="1"/>
  <c r="I19" i="1"/>
  <c r="P19" i="1"/>
  <c r="CA19" i="1" s="1"/>
  <c r="X19" i="1"/>
  <c r="Y19" i="1" s="1"/>
  <c r="AC19" i="1"/>
  <c r="AO19" i="1"/>
  <c r="AW19" i="3" s="1"/>
  <c r="AR19" i="1"/>
  <c r="AS19" i="1"/>
  <c r="AT19" i="1"/>
  <c r="AU19" i="1" s="1"/>
  <c r="AV19" i="1"/>
  <c r="BA19" i="1"/>
  <c r="BB19" i="1"/>
  <c r="BM19" i="1"/>
  <c r="BT19" i="1"/>
  <c r="AW19" i="1" s="1"/>
  <c r="BV19" i="1"/>
  <c r="BX19" i="1"/>
  <c r="BY19" i="1"/>
  <c r="I20" i="1"/>
  <c r="P20" i="1"/>
  <c r="CA20" i="1" s="1"/>
  <c r="X20" i="1"/>
  <c r="K20" i="5" s="1"/>
  <c r="AC20" i="1"/>
  <c r="AO20" i="1"/>
  <c r="AW20" i="3" s="1"/>
  <c r="AR20" i="1"/>
  <c r="AS20" i="1"/>
  <c r="AT20" i="1"/>
  <c r="AU20" i="1" s="1"/>
  <c r="AV20" i="1"/>
  <c r="BA20" i="1"/>
  <c r="BB20" i="1"/>
  <c r="BM20" i="1"/>
  <c r="BT20" i="1"/>
  <c r="AW20" i="1" s="1"/>
  <c r="BV20" i="1"/>
  <c r="BX20" i="1"/>
  <c r="BY20" i="1"/>
  <c r="I21" i="1"/>
  <c r="P21" i="1"/>
  <c r="CA21" i="1" s="1"/>
  <c r="X21" i="1"/>
  <c r="K21" i="5" s="1"/>
  <c r="AC21" i="1"/>
  <c r="AO21" i="1"/>
  <c r="AR21" i="1"/>
  <c r="AS21" i="1"/>
  <c r="AT21" i="1"/>
  <c r="AU21" i="1" s="1"/>
  <c r="AV21" i="1"/>
  <c r="BA21" i="1"/>
  <c r="BB21" i="1"/>
  <c r="BM21" i="1"/>
  <c r="BT21" i="1"/>
  <c r="AW21" i="1" s="1"/>
  <c r="BV21" i="1"/>
  <c r="BX21" i="1"/>
  <c r="BY21" i="1"/>
  <c r="I22" i="1"/>
  <c r="P22" i="1"/>
  <c r="CA22" i="1" s="1"/>
  <c r="X22" i="1"/>
  <c r="Y22" i="1" s="1"/>
  <c r="AC22" i="1"/>
  <c r="AO22" i="1"/>
  <c r="AW22" i="3" s="1"/>
  <c r="AR22" i="1"/>
  <c r="AS22" i="1"/>
  <c r="AT22" i="1"/>
  <c r="AU22" i="1" s="1"/>
  <c r="AV22" i="1"/>
  <c r="BA22" i="1"/>
  <c r="BB22" i="1"/>
  <c r="BM22" i="1"/>
  <c r="BT22" i="1"/>
  <c r="AW22" i="1" s="1"/>
  <c r="BV22" i="1"/>
  <c r="BX22" i="1"/>
  <c r="BY22" i="1"/>
  <c r="I23" i="1"/>
  <c r="P23" i="1"/>
  <c r="CA23" i="1" s="1"/>
  <c r="X23" i="1"/>
  <c r="K23" i="5" s="1"/>
  <c r="AC23" i="1"/>
  <c r="AO23" i="1"/>
  <c r="AW23" i="3" s="1"/>
  <c r="AR23" i="1"/>
  <c r="AS23" i="1"/>
  <c r="AT23" i="1"/>
  <c r="AU23" i="1" s="1"/>
  <c r="AV23" i="1"/>
  <c r="BA23" i="1"/>
  <c r="BB23" i="1"/>
  <c r="BM23" i="1"/>
  <c r="BT23" i="1"/>
  <c r="AW23" i="1" s="1"/>
  <c r="BV23" i="1"/>
  <c r="BX23" i="1"/>
  <c r="BY23" i="1"/>
  <c r="I24" i="1"/>
  <c r="P24" i="1"/>
  <c r="CA24" i="1" s="1"/>
  <c r="X24" i="1"/>
  <c r="Y24" i="1" s="1"/>
  <c r="AC24" i="1"/>
  <c r="AO24" i="1"/>
  <c r="AW24" i="3" s="1"/>
  <c r="AR24" i="1"/>
  <c r="AS24" i="1"/>
  <c r="AT24" i="1"/>
  <c r="AU24" i="1" s="1"/>
  <c r="AV24" i="1"/>
  <c r="BA24" i="1"/>
  <c r="BB24" i="1"/>
  <c r="BM24" i="1"/>
  <c r="BT24" i="1"/>
  <c r="AW24" i="1" s="1"/>
  <c r="BV24" i="1"/>
  <c r="BX24" i="1"/>
  <c r="BY24" i="1"/>
  <c r="I25" i="1"/>
  <c r="P25" i="1"/>
  <c r="CA25" i="1" s="1"/>
  <c r="AC25" i="1"/>
  <c r="AO25" i="1"/>
  <c r="AW25" i="3" s="1"/>
  <c r="AR25" i="1"/>
  <c r="AS25" i="1"/>
  <c r="AT25" i="1"/>
  <c r="AU25" i="1" s="1"/>
  <c r="AV25" i="1"/>
  <c r="BA25" i="1"/>
  <c r="BB25" i="1"/>
  <c r="BM25" i="1"/>
  <c r="BT25" i="1"/>
  <c r="AW25" i="1" s="1"/>
  <c r="BV25" i="1"/>
  <c r="BX25" i="1"/>
  <c r="BY25" i="1"/>
  <c r="I26" i="1"/>
  <c r="P26" i="1"/>
  <c r="CA26" i="1" s="1"/>
  <c r="AC26" i="1"/>
  <c r="AO26" i="1"/>
  <c r="AW26" i="3" s="1"/>
  <c r="AR26" i="1"/>
  <c r="AS26" i="1"/>
  <c r="AT26" i="1"/>
  <c r="AU26" i="1" s="1"/>
  <c r="AV26" i="1"/>
  <c r="BA26" i="1"/>
  <c r="BB26" i="1"/>
  <c r="BM26" i="1"/>
  <c r="BT26" i="1"/>
  <c r="AW26" i="1" s="1"/>
  <c r="BV26" i="1"/>
  <c r="BX26" i="1"/>
  <c r="BY26" i="1"/>
  <c r="I27" i="1"/>
  <c r="P27" i="1"/>
  <c r="AC27" i="1"/>
  <c r="AO27" i="1"/>
  <c r="AW27" i="3" s="1"/>
  <c r="AR27" i="1"/>
  <c r="AS27" i="1"/>
  <c r="AT27" i="1"/>
  <c r="AU27" i="1" s="1"/>
  <c r="AV27" i="1"/>
  <c r="BA27" i="1"/>
  <c r="BB27" i="1"/>
  <c r="BM27" i="1"/>
  <c r="BT27" i="1"/>
  <c r="AW27" i="1" s="1"/>
  <c r="BV27" i="1"/>
  <c r="BX27" i="1"/>
  <c r="BY27" i="1"/>
  <c r="I28" i="1"/>
  <c r="P28" i="1"/>
  <c r="CA28" i="1" s="1"/>
  <c r="X28" i="1"/>
  <c r="K28" i="5" s="1"/>
  <c r="L28" i="5" s="1"/>
  <c r="AC28" i="1"/>
  <c r="AO28" i="1"/>
  <c r="AR28" i="1"/>
  <c r="AS28" i="1"/>
  <c r="AT28" i="1"/>
  <c r="AU28" i="1" s="1"/>
  <c r="AV28" i="1"/>
  <c r="BA28" i="1"/>
  <c r="BB28" i="1"/>
  <c r="BM28" i="1"/>
  <c r="BT28" i="1"/>
  <c r="AW28" i="1" s="1"/>
  <c r="BV28" i="1"/>
  <c r="BX28" i="1"/>
  <c r="BY28" i="1"/>
  <c r="I29" i="1"/>
  <c r="P29" i="1"/>
  <c r="AC29" i="1"/>
  <c r="AO29" i="1"/>
  <c r="AW29" i="3" s="1"/>
  <c r="AR29" i="1"/>
  <c r="AS29" i="1"/>
  <c r="AT29" i="1"/>
  <c r="AU29" i="1" s="1"/>
  <c r="AV29" i="1"/>
  <c r="BA29" i="1"/>
  <c r="BB29" i="1"/>
  <c r="BM29" i="1"/>
  <c r="BT29" i="1"/>
  <c r="AW29" i="1" s="1"/>
  <c r="BV29" i="1"/>
  <c r="BX29" i="1"/>
  <c r="BY29" i="1"/>
  <c r="I30" i="1"/>
  <c r="P30" i="1"/>
  <c r="CA30" i="1" s="1"/>
  <c r="X30" i="1"/>
  <c r="K30" i="5" s="1"/>
  <c r="L30" i="5" s="1"/>
  <c r="AC30" i="1"/>
  <c r="AO30" i="1"/>
  <c r="AW30" i="3" s="1"/>
  <c r="AR30" i="1"/>
  <c r="AS30" i="1"/>
  <c r="AT30" i="1"/>
  <c r="AU30" i="1" s="1"/>
  <c r="AV30" i="1"/>
  <c r="BA30" i="1"/>
  <c r="BB30" i="1"/>
  <c r="BM30" i="1"/>
  <c r="BT30" i="1"/>
  <c r="AW30" i="1" s="1"/>
  <c r="BV30" i="1"/>
  <c r="BX30" i="1"/>
  <c r="BY30" i="1"/>
  <c r="I31" i="1"/>
  <c r="P31" i="1"/>
  <c r="CA31" i="1" s="1"/>
  <c r="X31" i="1"/>
  <c r="AB31" i="1" s="1"/>
  <c r="AC31" i="1"/>
  <c r="AO31" i="1"/>
  <c r="AW31" i="3" s="1"/>
  <c r="AR31" i="1"/>
  <c r="AS31" i="1"/>
  <c r="AT31" i="1"/>
  <c r="AU31" i="1" s="1"/>
  <c r="AV31" i="1"/>
  <c r="BA31" i="1"/>
  <c r="BB31" i="1"/>
  <c r="BM31" i="1"/>
  <c r="BT31" i="1"/>
  <c r="AW31" i="1" s="1"/>
  <c r="BV31" i="1"/>
  <c r="BX31" i="1"/>
  <c r="BY31" i="1"/>
  <c r="I32" i="1"/>
  <c r="P32" i="1"/>
  <c r="X32" i="1"/>
  <c r="K32" i="5" s="1"/>
  <c r="N32" i="5" s="1"/>
  <c r="AC32" i="1"/>
  <c r="AO32" i="1"/>
  <c r="AW32" i="3" s="1"/>
  <c r="AR32" i="1"/>
  <c r="AS32" i="1"/>
  <c r="AT32" i="1"/>
  <c r="AU32" i="1" s="1"/>
  <c r="AV32" i="1"/>
  <c r="BA32" i="1"/>
  <c r="BB32" i="1"/>
  <c r="BM32" i="1"/>
  <c r="BT32" i="1"/>
  <c r="AW32" i="1" s="1"/>
  <c r="BV32" i="1"/>
  <c r="BX32" i="1"/>
  <c r="BY32" i="1"/>
  <c r="I33" i="1"/>
  <c r="P33" i="1"/>
  <c r="CA33" i="1" s="1"/>
  <c r="X33" i="1"/>
  <c r="AC33" i="1"/>
  <c r="AO33" i="1"/>
  <c r="AW33" i="3" s="1"/>
  <c r="AR33" i="1"/>
  <c r="AS33" i="1"/>
  <c r="AT33" i="1"/>
  <c r="AU33" i="1" s="1"/>
  <c r="AV33" i="1"/>
  <c r="BA33" i="1"/>
  <c r="BB33" i="1"/>
  <c r="BM33" i="1"/>
  <c r="BT33" i="1"/>
  <c r="AW33" i="1" s="1"/>
  <c r="BV33" i="1"/>
  <c r="BX33" i="1"/>
  <c r="BY33" i="1"/>
  <c r="I34" i="1"/>
  <c r="P34" i="1"/>
  <c r="CA34" i="1" s="1"/>
  <c r="X34" i="1"/>
  <c r="K34" i="5" s="1"/>
  <c r="AC34" i="1"/>
  <c r="AO34" i="1"/>
  <c r="AW34" i="3" s="1"/>
  <c r="AR34" i="1"/>
  <c r="AS34" i="1"/>
  <c r="AT34" i="1"/>
  <c r="AU34" i="1" s="1"/>
  <c r="AV34" i="1"/>
  <c r="BA34" i="1"/>
  <c r="BB34" i="1"/>
  <c r="BM34" i="1"/>
  <c r="BT34" i="1"/>
  <c r="AW34" i="1" s="1"/>
  <c r="BV34" i="1"/>
  <c r="BX34" i="1"/>
  <c r="BY34" i="1"/>
  <c r="I35" i="1"/>
  <c r="P35" i="1"/>
  <c r="X35" i="1"/>
  <c r="K35" i="5" s="1"/>
  <c r="AC35" i="1"/>
  <c r="AO35" i="1"/>
  <c r="AR35" i="1"/>
  <c r="AS35" i="1"/>
  <c r="AT35" i="1"/>
  <c r="AU35" i="1" s="1"/>
  <c r="AV35" i="1"/>
  <c r="BA35" i="1"/>
  <c r="BB35" i="1"/>
  <c r="BM35" i="1"/>
  <c r="BT35" i="1"/>
  <c r="AW35" i="1" s="1"/>
  <c r="BV35" i="1"/>
  <c r="BX35" i="1"/>
  <c r="BY35" i="1"/>
  <c r="I36" i="1"/>
  <c r="P36" i="1"/>
  <c r="CA36" i="1" s="1"/>
  <c r="X36" i="1"/>
  <c r="AC36" i="1"/>
  <c r="AO36" i="1"/>
  <c r="AW36" i="3" s="1"/>
  <c r="AR36" i="1"/>
  <c r="AS36" i="1"/>
  <c r="AT36" i="1"/>
  <c r="AU36" i="1" s="1"/>
  <c r="AV36" i="1"/>
  <c r="BA36" i="1"/>
  <c r="BB36" i="1"/>
  <c r="BM36" i="1"/>
  <c r="BT36" i="1"/>
  <c r="AW36" i="1" s="1"/>
  <c r="BV36" i="1"/>
  <c r="BX36" i="1"/>
  <c r="BY36" i="1"/>
  <c r="I37" i="1"/>
  <c r="P37" i="1"/>
  <c r="CA37" i="1" s="1"/>
  <c r="X37" i="1"/>
  <c r="AB37" i="1" s="1"/>
  <c r="AC37" i="1"/>
  <c r="AO37" i="1"/>
  <c r="AW37" i="3" s="1"/>
  <c r="AR37" i="1"/>
  <c r="AS37" i="1"/>
  <c r="AT37" i="1"/>
  <c r="AU37" i="1" s="1"/>
  <c r="AV37" i="1"/>
  <c r="BA37" i="1"/>
  <c r="BB37" i="1"/>
  <c r="BM37" i="1"/>
  <c r="BT37" i="1"/>
  <c r="AW37" i="1" s="1"/>
  <c r="BV37" i="1"/>
  <c r="BX37" i="1"/>
  <c r="BY37" i="1"/>
  <c r="I38" i="1"/>
  <c r="P38" i="1"/>
  <c r="CA38" i="1" s="1"/>
  <c r="X38" i="1"/>
  <c r="K38" i="5" s="1"/>
  <c r="M38" i="5" s="1"/>
  <c r="AC38" i="1"/>
  <c r="AO38" i="1"/>
  <c r="AW38" i="3" s="1"/>
  <c r="AR38" i="1"/>
  <c r="AS38" i="1"/>
  <c r="AT38" i="1"/>
  <c r="AU38" i="1" s="1"/>
  <c r="AV38" i="1"/>
  <c r="BA38" i="1"/>
  <c r="BB38" i="1"/>
  <c r="BM38" i="1"/>
  <c r="BT38" i="1"/>
  <c r="AW38" i="1" s="1"/>
  <c r="BV38" i="1"/>
  <c r="BX38" i="1"/>
  <c r="BY38" i="1"/>
  <c r="I39" i="1"/>
  <c r="P39" i="1"/>
  <c r="CA39" i="1" s="1"/>
  <c r="X39" i="1"/>
  <c r="AA39" i="1" s="1"/>
  <c r="AC39" i="1"/>
  <c r="AO39" i="1"/>
  <c r="AR39" i="1"/>
  <c r="AS39" i="1"/>
  <c r="AT39" i="1"/>
  <c r="AU39" i="1" s="1"/>
  <c r="AV39" i="1"/>
  <c r="BA39" i="1"/>
  <c r="BB39" i="1"/>
  <c r="BM39" i="1"/>
  <c r="BT39" i="1"/>
  <c r="AW39" i="1" s="1"/>
  <c r="BV39" i="1"/>
  <c r="BX39" i="1"/>
  <c r="BY39" i="1"/>
  <c r="I40" i="1"/>
  <c r="BM40" i="1" s="1"/>
  <c r="P40" i="1"/>
  <c r="CA40" i="1" s="1"/>
  <c r="X40" i="1"/>
  <c r="AB40" i="1" s="1"/>
  <c r="AC40" i="1"/>
  <c r="AO40" i="1"/>
  <c r="AW40" i="3" s="1"/>
  <c r="AR40" i="1"/>
  <c r="AS40" i="1"/>
  <c r="AT40" i="1"/>
  <c r="AU40" i="1" s="1"/>
  <c r="AV40" i="1"/>
  <c r="BA40" i="1"/>
  <c r="BB40" i="1"/>
  <c r="BT40" i="1"/>
  <c r="AW40" i="1" s="1"/>
  <c r="BV40" i="1"/>
  <c r="BX40" i="1"/>
  <c r="BY40" i="1"/>
  <c r="I41" i="1"/>
  <c r="P41" i="1"/>
  <c r="X41" i="1"/>
  <c r="K41" i="5" s="1"/>
  <c r="L41" i="5" s="1"/>
  <c r="AC41" i="1"/>
  <c r="AO41" i="1"/>
  <c r="AW41" i="3" s="1"/>
  <c r="AR41" i="1"/>
  <c r="AS41" i="1"/>
  <c r="AT41" i="1"/>
  <c r="AU41" i="1" s="1"/>
  <c r="AV41" i="1"/>
  <c r="BA41" i="1"/>
  <c r="BB41" i="1"/>
  <c r="BM41" i="1"/>
  <c r="BT41" i="1"/>
  <c r="AW41" i="1" s="1"/>
  <c r="BV41" i="1"/>
  <c r="BX41" i="1"/>
  <c r="BY41" i="1"/>
  <c r="I42" i="1"/>
  <c r="P42" i="1"/>
  <c r="CA42" i="1" s="1"/>
  <c r="AC42" i="1"/>
  <c r="AO42" i="1"/>
  <c r="AR42" i="1"/>
  <c r="AS42" i="1"/>
  <c r="AT42" i="1"/>
  <c r="AU42" i="1" s="1"/>
  <c r="AV42" i="1"/>
  <c r="BA42" i="1"/>
  <c r="BB42" i="1"/>
  <c r="BM42" i="1"/>
  <c r="BT42" i="1"/>
  <c r="AW42" i="1" s="1"/>
  <c r="BV42" i="1"/>
  <c r="BX42" i="1"/>
  <c r="BY42" i="1"/>
  <c r="I43" i="1"/>
  <c r="P43" i="1"/>
  <c r="CA43" i="1" s="1"/>
  <c r="AC43" i="1"/>
  <c r="AO43" i="1"/>
  <c r="AW43" i="3" s="1"/>
  <c r="AR43" i="1"/>
  <c r="AS43" i="1"/>
  <c r="AT43" i="1"/>
  <c r="AU43" i="1" s="1"/>
  <c r="AV43" i="1"/>
  <c r="BA43" i="1"/>
  <c r="BB43" i="1"/>
  <c r="BM43" i="1"/>
  <c r="BT43" i="1"/>
  <c r="AW43" i="1" s="1"/>
  <c r="BV43" i="1"/>
  <c r="BX43" i="1"/>
  <c r="BY43" i="1"/>
  <c r="I44" i="1"/>
  <c r="P44" i="1"/>
  <c r="CA44" i="1" s="1"/>
  <c r="AC44" i="1"/>
  <c r="AO44" i="1"/>
  <c r="AR44" i="1"/>
  <c r="AS44" i="1"/>
  <c r="AT44" i="1"/>
  <c r="AU44" i="1" s="1"/>
  <c r="AV44" i="1"/>
  <c r="BA44" i="1"/>
  <c r="BB44" i="1"/>
  <c r="BM44" i="1"/>
  <c r="BT44" i="1"/>
  <c r="AW44" i="1" s="1"/>
  <c r="BV44" i="1"/>
  <c r="BX44" i="1"/>
  <c r="BY44" i="1"/>
  <c r="I45" i="1"/>
  <c r="P45" i="1"/>
  <c r="CA45" i="1" s="1"/>
  <c r="AC45" i="1"/>
  <c r="AO45" i="1"/>
  <c r="AW45" i="3" s="1"/>
  <c r="AR45" i="1"/>
  <c r="AS45" i="1"/>
  <c r="AT45" i="1"/>
  <c r="AU45" i="1" s="1"/>
  <c r="AV45" i="1"/>
  <c r="BA45" i="1"/>
  <c r="BB45" i="1"/>
  <c r="BM45" i="1"/>
  <c r="BT45" i="1"/>
  <c r="AW45" i="1" s="1"/>
  <c r="BV45" i="1"/>
  <c r="BX45" i="1"/>
  <c r="BY45" i="1"/>
  <c r="I46" i="1"/>
  <c r="P46" i="1"/>
  <c r="CA46" i="1" s="1"/>
  <c r="AC46" i="1"/>
  <c r="AO46" i="1"/>
  <c r="AW46" i="3" s="1"/>
  <c r="AR46" i="1"/>
  <c r="AS46" i="1"/>
  <c r="AT46" i="1"/>
  <c r="AU46" i="1" s="1"/>
  <c r="AV46" i="1"/>
  <c r="BA46" i="1"/>
  <c r="BB46" i="1"/>
  <c r="BM46" i="1"/>
  <c r="BT46" i="1"/>
  <c r="AW46" i="1" s="1"/>
  <c r="BV46" i="1"/>
  <c r="BX46" i="1"/>
  <c r="BY46" i="1"/>
  <c r="I47" i="1"/>
  <c r="P47" i="1"/>
  <c r="X47" i="1"/>
  <c r="K47" i="5" s="1"/>
  <c r="AC47" i="1"/>
  <c r="AO47" i="1"/>
  <c r="AW47" i="3" s="1"/>
  <c r="AR47" i="1"/>
  <c r="AS47" i="1"/>
  <c r="AT47" i="1"/>
  <c r="AU47" i="1" s="1"/>
  <c r="AV47" i="1"/>
  <c r="BA47" i="1"/>
  <c r="BB47" i="1"/>
  <c r="BM47" i="1"/>
  <c r="BT47" i="1"/>
  <c r="AW47" i="1" s="1"/>
  <c r="BV47" i="1"/>
  <c r="BX47" i="1"/>
  <c r="BY47" i="1"/>
  <c r="I48" i="1"/>
  <c r="P48" i="1"/>
  <c r="X48" i="1"/>
  <c r="K48" i="5" s="1"/>
  <c r="N48" i="5" s="1"/>
  <c r="AC48" i="1"/>
  <c r="AO48" i="1"/>
  <c r="AW48" i="3" s="1"/>
  <c r="AR48" i="1"/>
  <c r="AS48" i="1"/>
  <c r="AT48" i="1"/>
  <c r="AU48" i="1" s="1"/>
  <c r="AV48" i="1"/>
  <c r="BA48" i="1"/>
  <c r="BB48" i="1"/>
  <c r="BM48" i="1"/>
  <c r="BT48" i="1"/>
  <c r="AW48" i="1" s="1"/>
  <c r="BV48" i="1"/>
  <c r="BX48" i="1"/>
  <c r="BY48" i="1"/>
  <c r="BZ48" i="1"/>
  <c r="I49" i="1"/>
  <c r="P49" i="1"/>
  <c r="CA49" i="1" s="1"/>
  <c r="AC49" i="1"/>
  <c r="AO49" i="1"/>
  <c r="AW49" i="3" s="1"/>
  <c r="AR49" i="1"/>
  <c r="AS49" i="1"/>
  <c r="AT49" i="1"/>
  <c r="AU49" i="1" s="1"/>
  <c r="AV49" i="1"/>
  <c r="BA49" i="1"/>
  <c r="BB49" i="1"/>
  <c r="BM49" i="1"/>
  <c r="BT49" i="1"/>
  <c r="AW49" i="1" s="1"/>
  <c r="BV49" i="1"/>
  <c r="BX49" i="1"/>
  <c r="BY49" i="1"/>
  <c r="I50" i="1"/>
  <c r="P50" i="1"/>
  <c r="CA50" i="1" s="1"/>
  <c r="AC50" i="1"/>
  <c r="AO50" i="1"/>
  <c r="AW50" i="3" s="1"/>
  <c r="AR50" i="1"/>
  <c r="AS50" i="1"/>
  <c r="AT50" i="1"/>
  <c r="AU50" i="1" s="1"/>
  <c r="AV50" i="1"/>
  <c r="BA50" i="1"/>
  <c r="BB50" i="1"/>
  <c r="BM50" i="1"/>
  <c r="BT50" i="1"/>
  <c r="AW50" i="1" s="1"/>
  <c r="BV50" i="1"/>
  <c r="BX50" i="1"/>
  <c r="BY50" i="1"/>
  <c r="I51" i="1"/>
  <c r="P51" i="1"/>
  <c r="CA51" i="1" s="1"/>
  <c r="AC51" i="1"/>
  <c r="AO51" i="1"/>
  <c r="AW51" i="3" s="1"/>
  <c r="AR51" i="1"/>
  <c r="AS51" i="1"/>
  <c r="AT51" i="1"/>
  <c r="AU51" i="1" s="1"/>
  <c r="AV51" i="1"/>
  <c r="BA51" i="1"/>
  <c r="BB51" i="1"/>
  <c r="BM51" i="1"/>
  <c r="BT51" i="1"/>
  <c r="AW51" i="1" s="1"/>
  <c r="BV51" i="1"/>
  <c r="BX51" i="1"/>
  <c r="BY51" i="1"/>
  <c r="I52" i="1"/>
  <c r="P52" i="1"/>
  <c r="CA52" i="1" s="1"/>
  <c r="AC52" i="1"/>
  <c r="AO52" i="1"/>
  <c r="AW52" i="3" s="1"/>
  <c r="AR52" i="1"/>
  <c r="AS52" i="1"/>
  <c r="AT52" i="1"/>
  <c r="AU52" i="1" s="1"/>
  <c r="AV52" i="1"/>
  <c r="BA52" i="1"/>
  <c r="BB52" i="1"/>
  <c r="BM52" i="1"/>
  <c r="BT52" i="1"/>
  <c r="AW52" i="1" s="1"/>
  <c r="BV52" i="1"/>
  <c r="BX52" i="1"/>
  <c r="BY52" i="1"/>
  <c r="I53" i="1"/>
  <c r="P53" i="1"/>
  <c r="CA53" i="1" s="1"/>
  <c r="AC53" i="1"/>
  <c r="AO53" i="1"/>
  <c r="AW53" i="3" s="1"/>
  <c r="AR53" i="1"/>
  <c r="AS53" i="1"/>
  <c r="AT53" i="1"/>
  <c r="AU53" i="1" s="1"/>
  <c r="AV53" i="1"/>
  <c r="BA53" i="1"/>
  <c r="BB53" i="1"/>
  <c r="BM53" i="1"/>
  <c r="BT53" i="1"/>
  <c r="AW53" i="1" s="1"/>
  <c r="BV53" i="1"/>
  <c r="BX53" i="1"/>
  <c r="BY53" i="1"/>
  <c r="I54" i="1"/>
  <c r="P54" i="1"/>
  <c r="CA54" i="1" s="1"/>
  <c r="AC54" i="1"/>
  <c r="AO54" i="1"/>
  <c r="AW54" i="3" s="1"/>
  <c r="AR54" i="1"/>
  <c r="AS54" i="1"/>
  <c r="AT54" i="1"/>
  <c r="AU54" i="1" s="1"/>
  <c r="AV54" i="1"/>
  <c r="BA54" i="1"/>
  <c r="BB54" i="1"/>
  <c r="BM54" i="1"/>
  <c r="BT54" i="1"/>
  <c r="AW54" i="1" s="1"/>
  <c r="BV54" i="1"/>
  <c r="BX54" i="1"/>
  <c r="BY54" i="1"/>
  <c r="I55" i="1"/>
  <c r="P55" i="1"/>
  <c r="X55" i="1"/>
  <c r="AC55" i="1"/>
  <c r="AO55" i="1"/>
  <c r="AW55" i="3" s="1"/>
  <c r="AR55" i="1"/>
  <c r="AS55" i="1"/>
  <c r="AT55" i="1"/>
  <c r="AU55" i="1" s="1"/>
  <c r="AV55" i="1"/>
  <c r="BA55" i="1"/>
  <c r="BB55" i="1"/>
  <c r="BM55" i="1"/>
  <c r="BT55" i="1"/>
  <c r="AW55" i="1" s="1"/>
  <c r="BV55" i="1"/>
  <c r="BX55" i="1"/>
  <c r="BY55" i="1"/>
  <c r="I56" i="1"/>
  <c r="P56" i="1"/>
  <c r="CA56" i="1" s="1"/>
  <c r="X56" i="1"/>
  <c r="K56" i="5" s="1"/>
  <c r="AC56" i="1"/>
  <c r="AO56" i="1"/>
  <c r="AW56" i="3" s="1"/>
  <c r="AR56" i="1"/>
  <c r="AS56" i="1"/>
  <c r="AT56" i="1"/>
  <c r="AU56" i="1" s="1"/>
  <c r="AV56" i="1"/>
  <c r="BA56" i="1"/>
  <c r="BB56" i="1"/>
  <c r="BM56" i="1"/>
  <c r="BT56" i="1"/>
  <c r="AW56" i="1" s="1"/>
  <c r="BV56" i="1"/>
  <c r="BX56" i="1"/>
  <c r="BY56" i="1"/>
  <c r="I57" i="1"/>
  <c r="P57" i="1"/>
  <c r="CA57" i="1" s="1"/>
  <c r="X57" i="1"/>
  <c r="K57" i="5" s="1"/>
  <c r="AC57" i="1"/>
  <c r="AO57" i="1"/>
  <c r="AW57" i="3" s="1"/>
  <c r="AR57" i="1"/>
  <c r="AS57" i="1"/>
  <c r="AT57" i="1"/>
  <c r="AU57" i="1" s="1"/>
  <c r="AV57" i="1"/>
  <c r="BA57" i="1"/>
  <c r="BB57" i="1"/>
  <c r="BM57" i="1"/>
  <c r="BT57" i="1"/>
  <c r="AW57" i="1" s="1"/>
  <c r="BV57" i="1"/>
  <c r="BX57" i="1"/>
  <c r="BY57" i="1"/>
  <c r="I58" i="1"/>
  <c r="P58" i="1"/>
  <c r="CA58" i="1" s="1"/>
  <c r="X58" i="1"/>
  <c r="K58" i="5" s="1"/>
  <c r="AC58" i="1"/>
  <c r="AO58" i="1"/>
  <c r="AW58" i="3" s="1"/>
  <c r="AR58" i="1"/>
  <c r="AS58" i="1"/>
  <c r="AT58" i="1"/>
  <c r="AU58" i="1" s="1"/>
  <c r="AV58" i="1"/>
  <c r="BA58" i="1"/>
  <c r="BB58" i="1"/>
  <c r="BM58" i="1"/>
  <c r="BT58" i="1"/>
  <c r="AW58" i="1" s="1"/>
  <c r="BV58" i="1"/>
  <c r="BX58" i="1"/>
  <c r="BY58" i="1"/>
  <c r="I59" i="1"/>
  <c r="P59" i="1"/>
  <c r="CA59" i="1" s="1"/>
  <c r="X59" i="1"/>
  <c r="AA59" i="1" s="1"/>
  <c r="AC59" i="1"/>
  <c r="AO59" i="1"/>
  <c r="AW59" i="3" s="1"/>
  <c r="AR59" i="1"/>
  <c r="AS59" i="1"/>
  <c r="AT59" i="1"/>
  <c r="AU59" i="1" s="1"/>
  <c r="AV59" i="1"/>
  <c r="BA59" i="1"/>
  <c r="BB59" i="1"/>
  <c r="BM59" i="1"/>
  <c r="BT59" i="1"/>
  <c r="AW59" i="1" s="1"/>
  <c r="BV59" i="1"/>
  <c r="BX59" i="1"/>
  <c r="BY59" i="1"/>
  <c r="I60" i="1"/>
  <c r="P60" i="1"/>
  <c r="CA60" i="1" s="1"/>
  <c r="X60" i="1"/>
  <c r="K60" i="5" s="1"/>
  <c r="AC60" i="1"/>
  <c r="AO60" i="1"/>
  <c r="AW60" i="3" s="1"/>
  <c r="AR60" i="1"/>
  <c r="AS60" i="1"/>
  <c r="AT60" i="1"/>
  <c r="AU60" i="1" s="1"/>
  <c r="AV60" i="1"/>
  <c r="BA60" i="1"/>
  <c r="BB60" i="1"/>
  <c r="BM60" i="1"/>
  <c r="BT60" i="1"/>
  <c r="AW60" i="1" s="1"/>
  <c r="BV60" i="1"/>
  <c r="BX60" i="1"/>
  <c r="BY60" i="1"/>
  <c r="I61" i="1"/>
  <c r="P61" i="1"/>
  <c r="X61" i="1"/>
  <c r="AC61" i="1"/>
  <c r="AO61" i="1"/>
  <c r="AW61" i="3" s="1"/>
  <c r="AR61" i="1"/>
  <c r="AS61" i="1"/>
  <c r="AT61" i="1"/>
  <c r="AU61" i="1" s="1"/>
  <c r="AV61" i="1"/>
  <c r="BA61" i="1"/>
  <c r="BB61" i="1"/>
  <c r="BM61" i="1"/>
  <c r="BT61" i="1"/>
  <c r="AW61" i="1" s="1"/>
  <c r="BV61" i="1"/>
  <c r="BX61" i="1"/>
  <c r="BY61" i="1"/>
  <c r="BZ61" i="1"/>
  <c r="I62" i="1"/>
  <c r="P62" i="1"/>
  <c r="CA62" i="1" s="1"/>
  <c r="X62" i="1"/>
  <c r="K62" i="5" s="1"/>
  <c r="AC62" i="1"/>
  <c r="AO62" i="1"/>
  <c r="AW62" i="3" s="1"/>
  <c r="AR62" i="1"/>
  <c r="AS62" i="1"/>
  <c r="AT62" i="1"/>
  <c r="AU62" i="1" s="1"/>
  <c r="AV62" i="1"/>
  <c r="BA62" i="1"/>
  <c r="BB62" i="1"/>
  <c r="BM62" i="1"/>
  <c r="BT62" i="1"/>
  <c r="AW62" i="1" s="1"/>
  <c r="BV62" i="1"/>
  <c r="BX62" i="1"/>
  <c r="BY62" i="1"/>
  <c r="I63" i="1"/>
  <c r="P63" i="1"/>
  <c r="X63" i="1"/>
  <c r="K63" i="5" s="1"/>
  <c r="AC63" i="1"/>
  <c r="AO63" i="1"/>
  <c r="AW63" i="3" s="1"/>
  <c r="AR63" i="1"/>
  <c r="AS63" i="1"/>
  <c r="AT63" i="1"/>
  <c r="AU63" i="1" s="1"/>
  <c r="AV63" i="1"/>
  <c r="BA63" i="1"/>
  <c r="BB63" i="1"/>
  <c r="BM63" i="1"/>
  <c r="BT63" i="1"/>
  <c r="AW63" i="1" s="1"/>
  <c r="BV63" i="1"/>
  <c r="BX63" i="1"/>
  <c r="BY63" i="1"/>
  <c r="I64" i="1"/>
  <c r="P64" i="1"/>
  <c r="CA64" i="1" s="1"/>
  <c r="X64" i="1"/>
  <c r="K64" i="5" s="1"/>
  <c r="N64" i="5" s="1"/>
  <c r="AC64" i="1"/>
  <c r="AO64" i="1"/>
  <c r="AW64" i="3" s="1"/>
  <c r="AR64" i="1"/>
  <c r="AS64" i="1"/>
  <c r="AT64" i="1"/>
  <c r="AU64" i="1" s="1"/>
  <c r="AV64" i="1"/>
  <c r="BA64" i="1"/>
  <c r="BB64" i="1"/>
  <c r="BM64" i="1"/>
  <c r="BT64" i="1"/>
  <c r="AW64" i="1" s="1"/>
  <c r="BV64" i="1"/>
  <c r="BX64" i="1"/>
  <c r="BY64" i="1"/>
  <c r="I65" i="1"/>
  <c r="P65" i="1"/>
  <c r="X65" i="1"/>
  <c r="K65" i="5" s="1"/>
  <c r="L65" i="5" s="1"/>
  <c r="AC65" i="1"/>
  <c r="AO65" i="1"/>
  <c r="AW65" i="3" s="1"/>
  <c r="AR65" i="1"/>
  <c r="AS65" i="1"/>
  <c r="AT65" i="1"/>
  <c r="AU65" i="1" s="1"/>
  <c r="AV65" i="1"/>
  <c r="BA65" i="1"/>
  <c r="BB65" i="1"/>
  <c r="BM65" i="1"/>
  <c r="BT65" i="1"/>
  <c r="AW65" i="1" s="1"/>
  <c r="BV65" i="1"/>
  <c r="BX65" i="1"/>
  <c r="BY65" i="1"/>
  <c r="I66" i="1"/>
  <c r="P66" i="1"/>
  <c r="CA66" i="1" s="1"/>
  <c r="X66" i="1"/>
  <c r="K66" i="5" s="1"/>
  <c r="AC66" i="1"/>
  <c r="AO66" i="1"/>
  <c r="AW66" i="3" s="1"/>
  <c r="AR66" i="1"/>
  <c r="AS66" i="1"/>
  <c r="AT66" i="1"/>
  <c r="AU66" i="1" s="1"/>
  <c r="AV66" i="1"/>
  <c r="BA66" i="1"/>
  <c r="BB66" i="1"/>
  <c r="BM66" i="1"/>
  <c r="BT66" i="1"/>
  <c r="AW66" i="1" s="1"/>
  <c r="BV66" i="1"/>
  <c r="BX66" i="1"/>
  <c r="BY66" i="1"/>
  <c r="I67" i="1"/>
  <c r="P67" i="1"/>
  <c r="CA67" i="1" s="1"/>
  <c r="X67" i="1"/>
  <c r="K67" i="5" s="1"/>
  <c r="AC67" i="1"/>
  <c r="AO67" i="1"/>
  <c r="AW67" i="3" s="1"/>
  <c r="AR67" i="1"/>
  <c r="AS67" i="1"/>
  <c r="AT67" i="1"/>
  <c r="AU67" i="1" s="1"/>
  <c r="AV67" i="1"/>
  <c r="BA67" i="1"/>
  <c r="BB67" i="1"/>
  <c r="BM67" i="1"/>
  <c r="BT67" i="1"/>
  <c r="AW67" i="1" s="1"/>
  <c r="BV67" i="1"/>
  <c r="BX67" i="1"/>
  <c r="BX184" i="1" s="1"/>
  <c r="BY67" i="1"/>
  <c r="I68" i="1"/>
  <c r="P68" i="1"/>
  <c r="CA68" i="1" s="1"/>
  <c r="X68" i="1"/>
  <c r="K68" i="5" s="1"/>
  <c r="AC68" i="1"/>
  <c r="AO68" i="1"/>
  <c r="AW68" i="3" s="1"/>
  <c r="AR68" i="1"/>
  <c r="AS68" i="1"/>
  <c r="AT68" i="1"/>
  <c r="AU68" i="1" s="1"/>
  <c r="AV68" i="1"/>
  <c r="BA68" i="1"/>
  <c r="BB68" i="1"/>
  <c r="BM68" i="1"/>
  <c r="BT68" i="1"/>
  <c r="AW68" i="1" s="1"/>
  <c r="BV68" i="1"/>
  <c r="BX68" i="1"/>
  <c r="BX185" i="1" s="1"/>
  <c r="BY68" i="1"/>
  <c r="I69" i="1"/>
  <c r="P69" i="1"/>
  <c r="CA69" i="1" s="1"/>
  <c r="X69" i="1"/>
  <c r="Y69" i="1" s="1"/>
  <c r="AC69" i="1"/>
  <c r="AO69" i="1"/>
  <c r="AW69" i="3" s="1"/>
  <c r="AR69" i="1"/>
  <c r="AS69" i="1"/>
  <c r="AT69" i="1"/>
  <c r="AU69" i="1" s="1"/>
  <c r="AV69" i="1"/>
  <c r="BA69" i="1"/>
  <c r="BB69" i="1"/>
  <c r="BM69" i="1"/>
  <c r="BT69" i="1"/>
  <c r="AW69" i="1" s="1"/>
  <c r="BV69" i="1"/>
  <c r="BX69" i="1"/>
  <c r="BY69" i="1"/>
  <c r="I70" i="1"/>
  <c r="P70" i="1"/>
  <c r="CA70" i="1" s="1"/>
  <c r="X70" i="1"/>
  <c r="K70" i="5" s="1"/>
  <c r="AC70" i="1"/>
  <c r="AO70" i="1"/>
  <c r="AW70" i="3" s="1"/>
  <c r="AR70" i="1"/>
  <c r="AS70" i="1"/>
  <c r="AT70" i="1"/>
  <c r="AU70" i="1" s="1"/>
  <c r="AV70" i="1"/>
  <c r="BA70" i="1"/>
  <c r="BB70" i="1"/>
  <c r="BM70" i="1"/>
  <c r="BT70" i="1"/>
  <c r="AW70" i="1" s="1"/>
  <c r="BV70" i="1"/>
  <c r="BX70" i="1"/>
  <c r="BY70" i="1"/>
  <c r="I71" i="1"/>
  <c r="BM71" i="1" s="1"/>
  <c r="P71" i="1"/>
  <c r="CA71" i="1" s="1"/>
  <c r="X71" i="1"/>
  <c r="AC71" i="1"/>
  <c r="AO71" i="1"/>
  <c r="AW71" i="3" s="1"/>
  <c r="AR71" i="1"/>
  <c r="AS71" i="1"/>
  <c r="AT71" i="1"/>
  <c r="AU71" i="1" s="1"/>
  <c r="AV71" i="1"/>
  <c r="BA71" i="1"/>
  <c r="BB71" i="1"/>
  <c r="BT71" i="1"/>
  <c r="AW71" i="1" s="1"/>
  <c r="BV71" i="1"/>
  <c r="BX71" i="1"/>
  <c r="BY71" i="1"/>
  <c r="I72" i="1"/>
  <c r="P72" i="1"/>
  <c r="CA72" i="1" s="1"/>
  <c r="X72" i="1"/>
  <c r="K72" i="5" s="1"/>
  <c r="AC72" i="1"/>
  <c r="AO72" i="1"/>
  <c r="AW72" i="3" s="1"/>
  <c r="AR72" i="1"/>
  <c r="AS72" i="1"/>
  <c r="AT72" i="1"/>
  <c r="AU72" i="1" s="1"/>
  <c r="AV72" i="1"/>
  <c r="BA72" i="1"/>
  <c r="BB72" i="1"/>
  <c r="BM72" i="1"/>
  <c r="BT72" i="1"/>
  <c r="AW72" i="1" s="1"/>
  <c r="BV72" i="1"/>
  <c r="BX72" i="1"/>
  <c r="BX186" i="1" s="1"/>
  <c r="BY72" i="1"/>
  <c r="I73" i="1"/>
  <c r="P73" i="1"/>
  <c r="CA73" i="1" s="1"/>
  <c r="X73" i="1"/>
  <c r="K73" i="5" s="1"/>
  <c r="AC73" i="1"/>
  <c r="AO73" i="1"/>
  <c r="AW73" i="3" s="1"/>
  <c r="AR73" i="1"/>
  <c r="AS73" i="1"/>
  <c r="AT73" i="1"/>
  <c r="AU73" i="1" s="1"/>
  <c r="AV73" i="1"/>
  <c r="BA73" i="1"/>
  <c r="BB73" i="1"/>
  <c r="BM73" i="1"/>
  <c r="BT73" i="1"/>
  <c r="AW73" i="1" s="1"/>
  <c r="BV73" i="1"/>
  <c r="BX73" i="1"/>
  <c r="BY73" i="1"/>
  <c r="I74" i="1"/>
  <c r="P74" i="1"/>
  <c r="CA74" i="1" s="1"/>
  <c r="X74" i="1"/>
  <c r="Z74" i="1" s="1"/>
  <c r="AC74" i="1"/>
  <c r="AO74" i="1"/>
  <c r="AW74" i="3" s="1"/>
  <c r="AR74" i="1"/>
  <c r="AS74" i="1"/>
  <c r="AT74" i="1"/>
  <c r="AU74" i="1" s="1"/>
  <c r="AV74" i="1"/>
  <c r="BA74" i="1"/>
  <c r="BB74" i="1"/>
  <c r="BM74" i="1"/>
  <c r="BT74" i="1"/>
  <c r="AW74" i="1" s="1"/>
  <c r="BV74" i="1"/>
  <c r="BX74" i="1"/>
  <c r="BX187" i="1" s="1"/>
  <c r="BY74" i="1"/>
  <c r="I75" i="1"/>
  <c r="P75" i="1"/>
  <c r="CA75" i="1" s="1"/>
  <c r="X75" i="1"/>
  <c r="K75" i="5" s="1"/>
  <c r="N75" i="5" s="1"/>
  <c r="AC75" i="1"/>
  <c r="AO75" i="1"/>
  <c r="AW75" i="3" s="1"/>
  <c r="AR75" i="1"/>
  <c r="AS75" i="1"/>
  <c r="AT75" i="1"/>
  <c r="AU75" i="1" s="1"/>
  <c r="AV75" i="1"/>
  <c r="BA75" i="1"/>
  <c r="BB75" i="1"/>
  <c r="BM75" i="1"/>
  <c r="BT75" i="1"/>
  <c r="AW75" i="1" s="1"/>
  <c r="BV75" i="1"/>
  <c r="BX75" i="1"/>
  <c r="BY75" i="1"/>
  <c r="I76" i="1"/>
  <c r="P76" i="1"/>
  <c r="CA76" i="1" s="1"/>
  <c r="X76" i="1"/>
  <c r="AC76" i="1"/>
  <c r="AO76" i="1"/>
  <c r="AW76" i="3" s="1"/>
  <c r="AR76" i="1"/>
  <c r="AS76" i="1"/>
  <c r="AT76" i="1"/>
  <c r="AU76" i="1" s="1"/>
  <c r="AV76" i="1"/>
  <c r="BA76" i="1"/>
  <c r="BB76" i="1"/>
  <c r="BM76" i="1"/>
  <c r="BT76" i="1"/>
  <c r="AW76" i="1" s="1"/>
  <c r="BV76" i="1"/>
  <c r="BX76" i="1"/>
  <c r="BY76" i="1"/>
  <c r="I77" i="1"/>
  <c r="P77" i="1"/>
  <c r="CA77" i="1" s="1"/>
  <c r="X77" i="1"/>
  <c r="K77" i="5" s="1"/>
  <c r="N77" i="5" s="1"/>
  <c r="AC77" i="1"/>
  <c r="AO77" i="1"/>
  <c r="AW77" i="3" s="1"/>
  <c r="AR77" i="1"/>
  <c r="AS77" i="1"/>
  <c r="AT77" i="1"/>
  <c r="AU77" i="1" s="1"/>
  <c r="AV77" i="1"/>
  <c r="BA77" i="1"/>
  <c r="BB77" i="1"/>
  <c r="BM77" i="1"/>
  <c r="BT77" i="1"/>
  <c r="AW77" i="1" s="1"/>
  <c r="BV77" i="1"/>
  <c r="BX77" i="1"/>
  <c r="BY77" i="1"/>
  <c r="I78" i="1"/>
  <c r="P78" i="1"/>
  <c r="CA78" i="1" s="1"/>
  <c r="X78" i="1"/>
  <c r="Z78" i="1" s="1"/>
  <c r="AC78" i="1"/>
  <c r="AO78" i="1"/>
  <c r="AW78" i="3" s="1"/>
  <c r="AR78" i="1"/>
  <c r="AS78" i="1"/>
  <c r="AT78" i="1"/>
  <c r="AU78" i="1" s="1"/>
  <c r="AV78" i="1"/>
  <c r="BA78" i="1"/>
  <c r="BB78" i="1"/>
  <c r="BM78" i="1"/>
  <c r="BT78" i="1"/>
  <c r="AW78" i="1" s="1"/>
  <c r="BV78" i="1"/>
  <c r="BX78" i="1"/>
  <c r="BX194" i="1" s="1"/>
  <c r="BY78" i="1"/>
  <c r="I79" i="1"/>
  <c r="P79" i="1"/>
  <c r="CA79" i="1" s="1"/>
  <c r="AC79" i="1"/>
  <c r="AO79" i="1"/>
  <c r="AW79" i="3" s="1"/>
  <c r="AR79" i="1"/>
  <c r="AS79" i="1"/>
  <c r="AT79" i="1"/>
  <c r="AU79" i="1" s="1"/>
  <c r="AV79" i="1"/>
  <c r="BA79" i="1"/>
  <c r="BB79" i="1"/>
  <c r="BM79" i="1"/>
  <c r="BT79" i="1"/>
  <c r="AW79" i="1" s="1"/>
  <c r="BV79" i="1"/>
  <c r="BX79" i="1"/>
  <c r="BY79" i="1"/>
  <c r="I80" i="1"/>
  <c r="P80" i="1"/>
  <c r="AC80" i="1"/>
  <c r="AO80" i="1"/>
  <c r="AW80" i="3" s="1"/>
  <c r="AR80" i="1"/>
  <c r="AS80" i="1"/>
  <c r="AT80" i="1"/>
  <c r="AU80" i="1" s="1"/>
  <c r="AV80" i="1"/>
  <c r="BA80" i="1"/>
  <c r="BB80" i="1"/>
  <c r="BM80" i="1"/>
  <c r="BT80" i="1"/>
  <c r="AW80" i="1" s="1"/>
  <c r="BV80" i="1"/>
  <c r="BX80" i="1"/>
  <c r="BY80" i="1"/>
  <c r="I81" i="1"/>
  <c r="P81" i="1"/>
  <c r="CA81" i="1" s="1"/>
  <c r="X81" i="1"/>
  <c r="K81" i="5" s="1"/>
  <c r="AC81" i="1"/>
  <c r="AO81" i="1"/>
  <c r="AW81" i="3" s="1"/>
  <c r="AR81" i="1"/>
  <c r="AS81" i="1"/>
  <c r="AT81" i="1"/>
  <c r="AU81" i="1" s="1"/>
  <c r="AV81" i="1"/>
  <c r="BA81" i="1"/>
  <c r="BB81" i="1"/>
  <c r="BM81" i="1"/>
  <c r="BT81" i="1"/>
  <c r="AW81" i="1" s="1"/>
  <c r="BV81" i="1"/>
  <c r="BX81" i="1"/>
  <c r="BY81" i="1"/>
  <c r="I82" i="1"/>
  <c r="P82" i="1"/>
  <c r="CA82" i="1" s="1"/>
  <c r="X82" i="1"/>
  <c r="AB82" i="1" s="1"/>
  <c r="AC82" i="1"/>
  <c r="AO82" i="1"/>
  <c r="AW82" i="3" s="1"/>
  <c r="AR82" i="1"/>
  <c r="AS82" i="1"/>
  <c r="AT82" i="1"/>
  <c r="AU82" i="1" s="1"/>
  <c r="AV82" i="1"/>
  <c r="BA82" i="1"/>
  <c r="BB82" i="1"/>
  <c r="BM82" i="1"/>
  <c r="BT82" i="1"/>
  <c r="AW82" i="1" s="1"/>
  <c r="BV82" i="1"/>
  <c r="BX82" i="1"/>
  <c r="BY82" i="1"/>
  <c r="I83" i="1"/>
  <c r="P83" i="1"/>
  <c r="CA83" i="1" s="1"/>
  <c r="X83" i="1"/>
  <c r="Z83" i="1" s="1"/>
  <c r="AC83" i="1"/>
  <c r="AO83" i="1"/>
  <c r="AW83" i="3" s="1"/>
  <c r="AR83" i="1"/>
  <c r="AS83" i="1"/>
  <c r="AT83" i="1"/>
  <c r="AU83" i="1" s="1"/>
  <c r="AV83" i="1"/>
  <c r="BA83" i="1"/>
  <c r="BB83" i="1"/>
  <c r="BM83" i="1"/>
  <c r="BT83" i="1"/>
  <c r="AW83" i="1" s="1"/>
  <c r="BV83" i="1"/>
  <c r="BX83" i="1"/>
  <c r="BY83" i="1"/>
  <c r="I84" i="1"/>
  <c r="P84" i="1"/>
  <c r="CA84" i="1" s="1"/>
  <c r="X84" i="1"/>
  <c r="K84" i="5" s="1"/>
  <c r="AC84" i="1"/>
  <c r="AO84" i="1"/>
  <c r="AW84" i="3" s="1"/>
  <c r="AR84" i="1"/>
  <c r="AS84" i="1"/>
  <c r="AT84" i="1"/>
  <c r="AU84" i="1" s="1"/>
  <c r="AV84" i="1"/>
  <c r="BA84" i="1"/>
  <c r="BB84" i="1"/>
  <c r="BM84" i="1"/>
  <c r="BT84" i="1"/>
  <c r="AW84" i="1" s="1"/>
  <c r="BV84" i="1"/>
  <c r="BX84" i="1"/>
  <c r="BY84" i="1"/>
  <c r="I85" i="1"/>
  <c r="BM85" i="1" s="1"/>
  <c r="P85" i="1"/>
  <c r="CA85" i="1" s="1"/>
  <c r="X85" i="1"/>
  <c r="Z85" i="1" s="1"/>
  <c r="AC85" i="1"/>
  <c r="AO85" i="1"/>
  <c r="AR85" i="1"/>
  <c r="AS85" i="1"/>
  <c r="AT85" i="1"/>
  <c r="AU85" i="1" s="1"/>
  <c r="AV85" i="1"/>
  <c r="BA85" i="1"/>
  <c r="BB85" i="1"/>
  <c r="BT85" i="1"/>
  <c r="AW85" i="1" s="1"/>
  <c r="BV85" i="1"/>
  <c r="BX85" i="1"/>
  <c r="BX195" i="1" s="1"/>
  <c r="BY85" i="1"/>
  <c r="I86" i="1"/>
  <c r="BM86" i="1" s="1"/>
  <c r="P86" i="1"/>
  <c r="CA86" i="1" s="1"/>
  <c r="X86" i="1"/>
  <c r="K86" i="5" s="1"/>
  <c r="N86" i="5" s="1"/>
  <c r="AC86" i="1"/>
  <c r="AO86" i="1"/>
  <c r="AW86" i="3" s="1"/>
  <c r="AR86" i="1"/>
  <c r="AS86" i="1"/>
  <c r="AT86" i="1"/>
  <c r="AU86" i="1" s="1"/>
  <c r="AV86" i="1"/>
  <c r="BA86" i="1"/>
  <c r="BB86" i="1"/>
  <c r="BT86" i="1"/>
  <c r="AW86" i="1" s="1"/>
  <c r="BV86" i="1"/>
  <c r="BX86" i="1"/>
  <c r="BY86" i="1"/>
  <c r="I87" i="1"/>
  <c r="BM87" i="1" s="1"/>
  <c r="P87" i="1"/>
  <c r="CA87" i="1" s="1"/>
  <c r="X87" i="1"/>
  <c r="K87" i="5" s="1"/>
  <c r="L87" i="5" s="1"/>
  <c r="AC87" i="1"/>
  <c r="AO87" i="1"/>
  <c r="AW87" i="3" s="1"/>
  <c r="AR87" i="1"/>
  <c r="AS87" i="1"/>
  <c r="AT87" i="1"/>
  <c r="AU87" i="1" s="1"/>
  <c r="AV87" i="1"/>
  <c r="BA87" i="1"/>
  <c r="BB87" i="1"/>
  <c r="BT87" i="1"/>
  <c r="AW87" i="1" s="1"/>
  <c r="BV87" i="1"/>
  <c r="BX87" i="1"/>
  <c r="BX196" i="1" s="1"/>
  <c r="BY87" i="1"/>
  <c r="I88" i="1"/>
  <c r="BM88" i="1" s="1"/>
  <c r="P88" i="1"/>
  <c r="CA88" i="1" s="1"/>
  <c r="AC88" i="1"/>
  <c r="AO88" i="1"/>
  <c r="AW88" i="3" s="1"/>
  <c r="AR88" i="1"/>
  <c r="AS88" i="1"/>
  <c r="AT88" i="1"/>
  <c r="AU88" i="1" s="1"/>
  <c r="AV88" i="1"/>
  <c r="BA88" i="1"/>
  <c r="BB88" i="1"/>
  <c r="BT88" i="1"/>
  <c r="AW88" i="1" s="1"/>
  <c r="BV88" i="1"/>
  <c r="BX88" i="1"/>
  <c r="BY88" i="1"/>
  <c r="I89" i="1"/>
  <c r="P89" i="1"/>
  <c r="CA89" i="1" s="1"/>
  <c r="X89" i="1"/>
  <c r="AC89" i="1"/>
  <c r="AO89" i="1"/>
  <c r="AW89" i="3" s="1"/>
  <c r="AR89" i="1"/>
  <c r="AS89" i="1"/>
  <c r="AT89" i="1"/>
  <c r="AU89" i="1" s="1"/>
  <c r="AV89" i="1"/>
  <c r="BA89" i="1"/>
  <c r="BB89" i="1"/>
  <c r="BM89" i="1"/>
  <c r="BT89" i="1"/>
  <c r="AW89" i="1" s="1"/>
  <c r="BV89" i="1"/>
  <c r="BX89" i="1"/>
  <c r="BY89" i="1"/>
  <c r="I90" i="1"/>
  <c r="P90" i="1"/>
  <c r="CA90" i="1" s="1"/>
  <c r="X90" i="1"/>
  <c r="AC90" i="1"/>
  <c r="AO90" i="1"/>
  <c r="AW90" i="3" s="1"/>
  <c r="AR90" i="1"/>
  <c r="AS90" i="1"/>
  <c r="AT90" i="1"/>
  <c r="AU90" i="1" s="1"/>
  <c r="AV90" i="1"/>
  <c r="BA90" i="1"/>
  <c r="BB90" i="1"/>
  <c r="BM90" i="1"/>
  <c r="BT90" i="1"/>
  <c r="AW90" i="1" s="1"/>
  <c r="BV90" i="1"/>
  <c r="BX90" i="1"/>
  <c r="BY90" i="1"/>
  <c r="I91" i="1"/>
  <c r="BM91" i="1" s="1"/>
  <c r="P91" i="1"/>
  <c r="CA91" i="1" s="1"/>
  <c r="X91" i="1"/>
  <c r="AC91" i="1"/>
  <c r="AO91" i="1"/>
  <c r="AW91" i="3" s="1"/>
  <c r="AR91" i="1"/>
  <c r="AS91" i="1"/>
  <c r="AT91" i="1"/>
  <c r="AU91" i="1" s="1"/>
  <c r="AV91" i="1"/>
  <c r="BA91" i="1"/>
  <c r="BB91" i="1"/>
  <c r="BT91" i="1"/>
  <c r="AW91" i="1" s="1"/>
  <c r="BV91" i="1"/>
  <c r="BX91" i="1"/>
  <c r="BY91" i="1"/>
  <c r="I92" i="1"/>
  <c r="BM92" i="1" s="1"/>
  <c r="P92" i="1"/>
  <c r="CA92" i="1" s="1"/>
  <c r="X92" i="1"/>
  <c r="K92" i="5" s="1"/>
  <c r="AC92" i="1"/>
  <c r="AO92" i="1"/>
  <c r="AW92" i="3" s="1"/>
  <c r="AR92" i="1"/>
  <c r="AS92" i="1"/>
  <c r="AT92" i="1"/>
  <c r="AU92" i="1" s="1"/>
  <c r="AV92" i="1"/>
  <c r="BA92" i="1"/>
  <c r="BB92" i="1"/>
  <c r="BT92" i="1"/>
  <c r="AW92" i="1" s="1"/>
  <c r="BV92" i="1"/>
  <c r="BX92" i="1"/>
  <c r="BY92" i="1"/>
  <c r="I93" i="1"/>
  <c r="P93" i="1"/>
  <c r="CA93" i="1" s="1"/>
  <c r="X93" i="1"/>
  <c r="K93" i="5" s="1"/>
  <c r="AC93" i="1"/>
  <c r="AO93" i="1"/>
  <c r="AR93" i="1"/>
  <c r="AS93" i="1"/>
  <c r="AT93" i="1"/>
  <c r="AU93" i="1" s="1"/>
  <c r="AV93" i="1"/>
  <c r="BA93" i="1"/>
  <c r="BB93" i="1"/>
  <c r="BM93" i="1"/>
  <c r="BT93" i="1"/>
  <c r="AW93" i="1" s="1"/>
  <c r="BV93" i="1"/>
  <c r="BX93" i="1"/>
  <c r="BY93" i="1"/>
  <c r="I94" i="1"/>
  <c r="P94" i="1"/>
  <c r="CA94" i="1" s="1"/>
  <c r="X94" i="1"/>
  <c r="K94" i="5" s="1"/>
  <c r="M94" i="5" s="1"/>
  <c r="AC94" i="1"/>
  <c r="AO94" i="1"/>
  <c r="AW94" i="3" s="1"/>
  <c r="AR94" i="1"/>
  <c r="AS94" i="1"/>
  <c r="AT94" i="1"/>
  <c r="AU94" i="1" s="1"/>
  <c r="AV94" i="1"/>
  <c r="BA94" i="1"/>
  <c r="BB94" i="1"/>
  <c r="BM94" i="1"/>
  <c r="BT94" i="1"/>
  <c r="AW94" i="1" s="1"/>
  <c r="BV94" i="1"/>
  <c r="BX94" i="1"/>
  <c r="BY94" i="1"/>
  <c r="I95" i="1"/>
  <c r="P95" i="1"/>
  <c r="CA95" i="1" s="1"/>
  <c r="X95" i="1"/>
  <c r="K95" i="5" s="1"/>
  <c r="N95" i="5" s="1"/>
  <c r="AC95" i="1"/>
  <c r="AO95" i="1"/>
  <c r="AW95" i="3" s="1"/>
  <c r="AR95" i="1"/>
  <c r="AS95" i="1"/>
  <c r="AT95" i="1"/>
  <c r="AU95" i="1" s="1"/>
  <c r="AV95" i="1"/>
  <c r="BA95" i="1"/>
  <c r="BB95" i="1"/>
  <c r="BM95" i="1"/>
  <c r="BT95" i="1"/>
  <c r="AW95" i="1" s="1"/>
  <c r="BV95" i="1"/>
  <c r="BX95" i="1"/>
  <c r="BY95" i="1"/>
  <c r="I96" i="1"/>
  <c r="P96" i="1"/>
  <c r="CA96" i="1" s="1"/>
  <c r="AC96" i="1"/>
  <c r="AO96" i="1"/>
  <c r="AW96" i="3" s="1"/>
  <c r="AR96" i="1"/>
  <c r="AS96" i="1"/>
  <c r="AT96" i="1"/>
  <c r="AU96" i="1" s="1"/>
  <c r="AV96" i="1"/>
  <c r="BA96" i="1"/>
  <c r="BB96" i="1"/>
  <c r="BM96" i="1"/>
  <c r="BT96" i="1"/>
  <c r="AW96" i="1" s="1"/>
  <c r="BV96" i="1"/>
  <c r="BX96" i="1"/>
  <c r="BX189" i="1" s="1"/>
  <c r="BY96" i="1"/>
  <c r="I97" i="1"/>
  <c r="P97" i="1"/>
  <c r="CA97" i="1" s="1"/>
  <c r="AC97" i="1"/>
  <c r="AO97" i="1"/>
  <c r="AW97" i="3" s="1"/>
  <c r="AR97" i="1"/>
  <c r="AS97" i="1"/>
  <c r="AT97" i="1"/>
  <c r="AU97" i="1" s="1"/>
  <c r="AV97" i="1"/>
  <c r="BA97" i="1"/>
  <c r="BB97" i="1"/>
  <c r="BM97" i="1"/>
  <c r="BT97" i="1"/>
  <c r="AW97" i="1" s="1"/>
  <c r="BV97" i="1"/>
  <c r="BX97" i="1"/>
  <c r="BX190" i="1" s="1"/>
  <c r="BY97" i="1"/>
  <c r="I98" i="1"/>
  <c r="P98" i="1"/>
  <c r="CA98" i="1" s="1"/>
  <c r="X98" i="1"/>
  <c r="K98" i="5" s="1"/>
  <c r="N98" i="5" s="1"/>
  <c r="AC98" i="1"/>
  <c r="AO98" i="1"/>
  <c r="AW98" i="3" s="1"/>
  <c r="AR98" i="1"/>
  <c r="AS98" i="1"/>
  <c r="AT98" i="1"/>
  <c r="AU98" i="1" s="1"/>
  <c r="AV98" i="1"/>
  <c r="BA98" i="1"/>
  <c r="BB98" i="1"/>
  <c r="BM98" i="1"/>
  <c r="BT98" i="1"/>
  <c r="AW98" i="1" s="1"/>
  <c r="BV98" i="1"/>
  <c r="BX98" i="1"/>
  <c r="BY98" i="1"/>
  <c r="I99" i="1"/>
  <c r="P99" i="1"/>
  <c r="X99" i="1"/>
  <c r="K99" i="5" s="1"/>
  <c r="AC99" i="1"/>
  <c r="AO99" i="1"/>
  <c r="AW99" i="3" s="1"/>
  <c r="AR99" i="1"/>
  <c r="AS99" i="1"/>
  <c r="AT99" i="1"/>
  <c r="AU99" i="1" s="1"/>
  <c r="AV99" i="1"/>
  <c r="BA99" i="1"/>
  <c r="BB99" i="1"/>
  <c r="BM99" i="1"/>
  <c r="BT99" i="1"/>
  <c r="AW99" i="1" s="1"/>
  <c r="BV99" i="1"/>
  <c r="BX99" i="1"/>
  <c r="BY99" i="1"/>
  <c r="I100" i="1"/>
  <c r="P100" i="1"/>
  <c r="CA100" i="1" s="1"/>
  <c r="X100" i="1"/>
  <c r="K100" i="5" s="1"/>
  <c r="M100" i="5" s="1"/>
  <c r="AC100" i="1"/>
  <c r="AO100" i="1"/>
  <c r="AW100" i="3" s="1"/>
  <c r="AR100" i="1"/>
  <c r="AS100" i="1"/>
  <c r="AT100" i="1"/>
  <c r="AU100" i="1" s="1"/>
  <c r="AV100" i="1"/>
  <c r="BA100" i="1"/>
  <c r="BB100" i="1"/>
  <c r="BM100" i="1"/>
  <c r="BT100" i="1"/>
  <c r="AW100" i="1" s="1"/>
  <c r="BV100" i="1"/>
  <c r="BX100" i="1"/>
  <c r="BY100" i="1"/>
  <c r="I101" i="1"/>
  <c r="P101" i="1"/>
  <c r="CA101" i="1" s="1"/>
  <c r="X101" i="1"/>
  <c r="K101" i="5" s="1"/>
  <c r="AC101" i="1"/>
  <c r="AO101" i="1"/>
  <c r="AW101" i="3" s="1"/>
  <c r="AR101" i="1"/>
  <c r="AS101" i="1"/>
  <c r="AT101" i="1"/>
  <c r="AU101" i="1" s="1"/>
  <c r="AV101" i="1"/>
  <c r="BA101" i="1"/>
  <c r="BB101" i="1"/>
  <c r="BM101" i="1"/>
  <c r="BT101" i="1"/>
  <c r="AW101" i="1" s="1"/>
  <c r="BV101" i="1"/>
  <c r="BX101" i="1"/>
  <c r="BY101" i="1"/>
  <c r="I102" i="1"/>
  <c r="P102" i="1"/>
  <c r="CA102" i="1" s="1"/>
  <c r="X102" i="1"/>
  <c r="Z102" i="1" s="1"/>
  <c r="AC102" i="1"/>
  <c r="AO102" i="1"/>
  <c r="AW102" i="3" s="1"/>
  <c r="AR102" i="1"/>
  <c r="AS102" i="1"/>
  <c r="AT102" i="1"/>
  <c r="AU102" i="1" s="1"/>
  <c r="AV102" i="1"/>
  <c r="BA102" i="1"/>
  <c r="BB102" i="1"/>
  <c r="BM102" i="1"/>
  <c r="BT102" i="1"/>
  <c r="AW102" i="1" s="1"/>
  <c r="BV102" i="1"/>
  <c r="BX102" i="1"/>
  <c r="BY102" i="1"/>
  <c r="I103" i="1"/>
  <c r="P103" i="1"/>
  <c r="X103" i="1"/>
  <c r="AC103" i="1"/>
  <c r="AO103" i="1"/>
  <c r="AW103" i="3" s="1"/>
  <c r="AR103" i="1"/>
  <c r="AS103" i="1"/>
  <c r="AT103" i="1"/>
  <c r="AU103" i="1" s="1"/>
  <c r="AV103" i="1"/>
  <c r="BA103" i="1"/>
  <c r="BB103" i="1"/>
  <c r="BM103" i="1"/>
  <c r="BT103" i="1"/>
  <c r="AW103" i="1" s="1"/>
  <c r="BV103" i="1"/>
  <c r="BW103" i="1"/>
  <c r="BX103" i="1"/>
  <c r="BY103" i="1"/>
  <c r="I104" i="1"/>
  <c r="P104" i="1"/>
  <c r="X104" i="1"/>
  <c r="K104" i="5" s="1"/>
  <c r="L104" i="5" s="1"/>
  <c r="AC104" i="1"/>
  <c r="AO104" i="1"/>
  <c r="AW104" i="3" s="1"/>
  <c r="AR104" i="1"/>
  <c r="AS104" i="1"/>
  <c r="AT104" i="1"/>
  <c r="AU104" i="1" s="1"/>
  <c r="AV104" i="1"/>
  <c r="BA104" i="1"/>
  <c r="BB104" i="1"/>
  <c r="BM104" i="1"/>
  <c r="BT104" i="1"/>
  <c r="AW104" i="1" s="1"/>
  <c r="BV104" i="1"/>
  <c r="BW104" i="1"/>
  <c r="BX104" i="1"/>
  <c r="BY104" i="1"/>
  <c r="I105" i="1"/>
  <c r="P105" i="1"/>
  <c r="X105" i="1"/>
  <c r="K105" i="5" s="1"/>
  <c r="AC105" i="1"/>
  <c r="AO105" i="1"/>
  <c r="AW105" i="3" s="1"/>
  <c r="AR105" i="1"/>
  <c r="AS105" i="1"/>
  <c r="AT105" i="1"/>
  <c r="AU105" i="1" s="1"/>
  <c r="AV105" i="1"/>
  <c r="BA105" i="1"/>
  <c r="BB105" i="1"/>
  <c r="BM105" i="1"/>
  <c r="BT105" i="1"/>
  <c r="AW105" i="1" s="1"/>
  <c r="BV105" i="1"/>
  <c r="BW105" i="1"/>
  <c r="BX105" i="1"/>
  <c r="BY105" i="1"/>
  <c r="I106" i="1"/>
  <c r="P106" i="1"/>
  <c r="X106" i="1"/>
  <c r="K106" i="5" s="1"/>
  <c r="AC106" i="1"/>
  <c r="AO106" i="1"/>
  <c r="AW106" i="3" s="1"/>
  <c r="AR106" i="1"/>
  <c r="AS106" i="1"/>
  <c r="AT106" i="1"/>
  <c r="AU106" i="1" s="1"/>
  <c r="AV106" i="1"/>
  <c r="BA106" i="1"/>
  <c r="BB106" i="1"/>
  <c r="BM106" i="1"/>
  <c r="BT106" i="1"/>
  <c r="AW106" i="1" s="1"/>
  <c r="BV106" i="1"/>
  <c r="BW106" i="1"/>
  <c r="BX106" i="1"/>
  <c r="BY106" i="1"/>
  <c r="I107" i="1"/>
  <c r="P107" i="1"/>
  <c r="X107" i="1"/>
  <c r="K107" i="5" s="1"/>
  <c r="N107" i="5" s="1"/>
  <c r="AC107" i="1"/>
  <c r="AO107" i="1"/>
  <c r="AW107" i="3" s="1"/>
  <c r="AR107" i="1"/>
  <c r="AS107" i="1"/>
  <c r="AT107" i="1"/>
  <c r="AU107" i="1" s="1"/>
  <c r="AV107" i="1"/>
  <c r="BA107" i="1"/>
  <c r="BB107" i="1"/>
  <c r="BM107" i="1"/>
  <c r="BT107" i="1"/>
  <c r="AW107" i="1" s="1"/>
  <c r="BV107" i="1"/>
  <c r="BW107" i="1"/>
  <c r="BX107" i="1"/>
  <c r="BY107" i="1"/>
  <c r="I108" i="1"/>
  <c r="P108" i="1"/>
  <c r="X108" i="1"/>
  <c r="AC108" i="1"/>
  <c r="AO108" i="1"/>
  <c r="AW108" i="3" s="1"/>
  <c r="AR108" i="1"/>
  <c r="AS108" i="1"/>
  <c r="AT108" i="1"/>
  <c r="AU108" i="1" s="1"/>
  <c r="AV108" i="1"/>
  <c r="BA108" i="1"/>
  <c r="BB108" i="1"/>
  <c r="BM108" i="1"/>
  <c r="BT108" i="1"/>
  <c r="AW108" i="1" s="1"/>
  <c r="BV108" i="1"/>
  <c r="BW108" i="1"/>
  <c r="BX108" i="1"/>
  <c r="BY108" i="1"/>
  <c r="I109" i="1"/>
  <c r="P109" i="1"/>
  <c r="CA109" i="1" s="1"/>
  <c r="X109" i="1"/>
  <c r="K109" i="5" s="1"/>
  <c r="N109" i="5" s="1"/>
  <c r="AC109" i="1"/>
  <c r="AO109" i="1"/>
  <c r="AW109" i="3" s="1"/>
  <c r="AR109" i="1"/>
  <c r="AS109" i="1"/>
  <c r="AT109" i="1"/>
  <c r="AU109" i="1" s="1"/>
  <c r="AV109" i="1"/>
  <c r="BA109" i="1"/>
  <c r="BB109" i="1"/>
  <c r="BM109" i="1"/>
  <c r="BT109" i="1"/>
  <c r="AW109" i="1" s="1"/>
  <c r="BV109" i="1"/>
  <c r="BX109" i="1"/>
  <c r="BY109" i="1"/>
  <c r="I110" i="1"/>
  <c r="P110" i="1"/>
  <c r="CA110" i="1" s="1"/>
  <c r="X110" i="1"/>
  <c r="Y110" i="1" s="1"/>
  <c r="AC110" i="1"/>
  <c r="AO110" i="1"/>
  <c r="AW110" i="3" s="1"/>
  <c r="AR110" i="1"/>
  <c r="AS110" i="1"/>
  <c r="AT110" i="1"/>
  <c r="AU110" i="1" s="1"/>
  <c r="AV110" i="1"/>
  <c r="BA110" i="1"/>
  <c r="BB110" i="1"/>
  <c r="BM110" i="1"/>
  <c r="BT110" i="1"/>
  <c r="AW110" i="1" s="1"/>
  <c r="BV110" i="1"/>
  <c r="BX110" i="1"/>
  <c r="BY110" i="1"/>
  <c r="I111" i="1"/>
  <c r="P111" i="1"/>
  <c r="CA111" i="1" s="1"/>
  <c r="X111" i="1"/>
  <c r="K111" i="5" s="1"/>
  <c r="M111" i="5" s="1"/>
  <c r="AC111" i="1"/>
  <c r="AO111" i="1"/>
  <c r="AW111" i="3" s="1"/>
  <c r="AR111" i="1"/>
  <c r="AS111" i="1"/>
  <c r="AT111" i="1"/>
  <c r="AU111" i="1" s="1"/>
  <c r="AV111" i="1"/>
  <c r="BA111" i="1"/>
  <c r="BB111" i="1"/>
  <c r="BM111" i="1"/>
  <c r="BT111" i="1"/>
  <c r="AW111" i="1" s="1"/>
  <c r="BV111" i="1"/>
  <c r="BX111" i="1"/>
  <c r="BY111" i="1"/>
  <c r="I112" i="1"/>
  <c r="P112" i="1"/>
  <c r="CA112" i="1" s="1"/>
  <c r="AC112" i="1"/>
  <c r="AO112" i="1"/>
  <c r="AR112" i="1"/>
  <c r="AS112" i="1"/>
  <c r="AT112" i="1"/>
  <c r="AU112" i="1" s="1"/>
  <c r="AV112" i="1"/>
  <c r="BA112" i="1"/>
  <c r="BB112" i="1"/>
  <c r="BM112" i="1"/>
  <c r="BT112" i="1"/>
  <c r="AW112" i="1" s="1"/>
  <c r="BV112" i="1"/>
  <c r="BX112" i="1"/>
  <c r="BY112" i="1"/>
  <c r="I113" i="1"/>
  <c r="BM113" i="1" s="1"/>
  <c r="P113" i="1"/>
  <c r="CA113" i="1" s="1"/>
  <c r="X113" i="1"/>
  <c r="AC113" i="1"/>
  <c r="AO113" i="1"/>
  <c r="AW113" i="3" s="1"/>
  <c r="AR113" i="1"/>
  <c r="AS113" i="1"/>
  <c r="AT113" i="1"/>
  <c r="AU113" i="1" s="1"/>
  <c r="AV113" i="1"/>
  <c r="BA113" i="1"/>
  <c r="BB113" i="1"/>
  <c r="BT113" i="1"/>
  <c r="AW113" i="1" s="1"/>
  <c r="BV113" i="1"/>
  <c r="BX113" i="1"/>
  <c r="BY113" i="1"/>
  <c r="I114" i="1"/>
  <c r="P114" i="1"/>
  <c r="CA114" i="1" s="1"/>
  <c r="X114" i="1"/>
  <c r="K114" i="5" s="1"/>
  <c r="AC114" i="1"/>
  <c r="AO114" i="1"/>
  <c r="AW114" i="3" s="1"/>
  <c r="AR114" i="1"/>
  <c r="AS114" i="1"/>
  <c r="AT114" i="1"/>
  <c r="AU114" i="1" s="1"/>
  <c r="AV114" i="1"/>
  <c r="BA114" i="1"/>
  <c r="BB114" i="1"/>
  <c r="BM114" i="1"/>
  <c r="BT114" i="1"/>
  <c r="AW114" i="1" s="1"/>
  <c r="BV114" i="1"/>
  <c r="BX114" i="1"/>
  <c r="BY114" i="1"/>
  <c r="I115" i="1"/>
  <c r="P115" i="1"/>
  <c r="X115" i="1"/>
  <c r="AC115" i="1"/>
  <c r="AO115" i="1"/>
  <c r="AW115" i="3" s="1"/>
  <c r="AR115" i="1"/>
  <c r="AS115" i="1"/>
  <c r="AT115" i="1"/>
  <c r="AU115" i="1" s="1"/>
  <c r="AV115" i="1"/>
  <c r="BA115" i="1"/>
  <c r="BB115" i="1"/>
  <c r="BM115" i="1"/>
  <c r="BT115" i="1"/>
  <c r="AW115" i="1" s="1"/>
  <c r="BV115" i="1"/>
  <c r="BX115" i="1"/>
  <c r="BY115" i="1"/>
  <c r="I116" i="1"/>
  <c r="P116" i="1"/>
  <c r="CA116" i="1" s="1"/>
  <c r="X116" i="1"/>
  <c r="AC116" i="1"/>
  <c r="AO116" i="1"/>
  <c r="AW116" i="3" s="1"/>
  <c r="AR116" i="1"/>
  <c r="AS116" i="1"/>
  <c r="AT116" i="1"/>
  <c r="AU116" i="1" s="1"/>
  <c r="AV116" i="1"/>
  <c r="BA116" i="1"/>
  <c r="BB116" i="1"/>
  <c r="BM116" i="1"/>
  <c r="BT116" i="1"/>
  <c r="AW116" i="1" s="1"/>
  <c r="BV116" i="1"/>
  <c r="BX116" i="1"/>
  <c r="BY116" i="1"/>
  <c r="I117" i="1"/>
  <c r="P117" i="1"/>
  <c r="CA117" i="1" s="1"/>
  <c r="X117" i="1"/>
  <c r="K117" i="5" s="1"/>
  <c r="AC117" i="1"/>
  <c r="AO117" i="1"/>
  <c r="AW117" i="3" s="1"/>
  <c r="AR117" i="1"/>
  <c r="AS117" i="1"/>
  <c r="AT117" i="1"/>
  <c r="AU117" i="1" s="1"/>
  <c r="AV117" i="1"/>
  <c r="BA117" i="1"/>
  <c r="BB117" i="1"/>
  <c r="BM117" i="1"/>
  <c r="BT117" i="1"/>
  <c r="AW117" i="1" s="1"/>
  <c r="BV117" i="1"/>
  <c r="BX117" i="1"/>
  <c r="BY117" i="1"/>
  <c r="I118" i="1"/>
  <c r="BM118" i="1" s="1"/>
  <c r="P118" i="1"/>
  <c r="CA118" i="1" s="1"/>
  <c r="X118" i="1"/>
  <c r="AA118" i="1" s="1"/>
  <c r="AC118" i="1"/>
  <c r="AO118" i="1"/>
  <c r="AW118" i="3" s="1"/>
  <c r="AR118" i="1"/>
  <c r="AS118" i="1"/>
  <c r="AT118" i="1"/>
  <c r="AU118" i="1" s="1"/>
  <c r="AV118" i="1"/>
  <c r="BA118" i="1"/>
  <c r="BB118" i="1"/>
  <c r="BT118" i="1"/>
  <c r="AW118" i="1" s="1"/>
  <c r="BV118" i="1"/>
  <c r="BX118" i="1"/>
  <c r="BY118" i="1"/>
  <c r="I119" i="1"/>
  <c r="P119" i="1"/>
  <c r="CA119" i="1" s="1"/>
  <c r="X119" i="1"/>
  <c r="K119" i="5" s="1"/>
  <c r="AC119" i="1"/>
  <c r="AO119" i="1"/>
  <c r="AW119" i="3" s="1"/>
  <c r="AR119" i="1"/>
  <c r="AS119" i="1"/>
  <c r="AT119" i="1"/>
  <c r="AU119" i="1" s="1"/>
  <c r="AV119" i="1"/>
  <c r="BA119" i="1"/>
  <c r="BB119" i="1"/>
  <c r="BM119" i="1"/>
  <c r="BT119" i="1"/>
  <c r="AW119" i="1" s="1"/>
  <c r="BV119" i="1"/>
  <c r="BX119" i="1"/>
  <c r="BY119" i="1"/>
  <c r="I120" i="1"/>
  <c r="P120" i="1"/>
  <c r="CA120" i="1" s="1"/>
  <c r="X120" i="1"/>
  <c r="AC120" i="1"/>
  <c r="AO120" i="1"/>
  <c r="AW120" i="3" s="1"/>
  <c r="AR120" i="1"/>
  <c r="AS120" i="1"/>
  <c r="AT120" i="1"/>
  <c r="AU120" i="1" s="1"/>
  <c r="AV120" i="1"/>
  <c r="BA120" i="1"/>
  <c r="BB120" i="1"/>
  <c r="BM120" i="1"/>
  <c r="BT120" i="1"/>
  <c r="AW120" i="1" s="1"/>
  <c r="BV120" i="1"/>
  <c r="BX120" i="1"/>
  <c r="BY120" i="1"/>
  <c r="I121" i="1"/>
  <c r="P121" i="1"/>
  <c r="CA121" i="1" s="1"/>
  <c r="X121" i="1"/>
  <c r="AC121" i="1"/>
  <c r="AO121" i="1"/>
  <c r="AW121" i="3" s="1"/>
  <c r="AR121" i="1"/>
  <c r="AS121" i="1"/>
  <c r="AT121" i="1"/>
  <c r="AU121" i="1" s="1"/>
  <c r="AV121" i="1"/>
  <c r="BA121" i="1"/>
  <c r="BB121" i="1"/>
  <c r="BM121" i="1"/>
  <c r="BT121" i="1"/>
  <c r="AW121" i="1" s="1"/>
  <c r="BV121" i="1"/>
  <c r="BX121" i="1"/>
  <c r="BY121" i="1"/>
  <c r="I122" i="1"/>
  <c r="P122" i="1"/>
  <c r="CA122" i="1" s="1"/>
  <c r="X122" i="1"/>
  <c r="AC122" i="1"/>
  <c r="AO122" i="1"/>
  <c r="AW122" i="3" s="1"/>
  <c r="AR122" i="1"/>
  <c r="AS122" i="1"/>
  <c r="AT122" i="1"/>
  <c r="AU122" i="1" s="1"/>
  <c r="AV122" i="1"/>
  <c r="BA122" i="1"/>
  <c r="BB122" i="1"/>
  <c r="BM122" i="1"/>
  <c r="BT122" i="1"/>
  <c r="AW122" i="1" s="1"/>
  <c r="BV122" i="1"/>
  <c r="BX122" i="1"/>
  <c r="BY122" i="1"/>
  <c r="I123" i="1"/>
  <c r="P123" i="1"/>
  <c r="CA123" i="1" s="1"/>
  <c r="X123" i="1"/>
  <c r="K123" i="5" s="1"/>
  <c r="AC123" i="1"/>
  <c r="AO123" i="1"/>
  <c r="AW123" i="3" s="1"/>
  <c r="AR123" i="1"/>
  <c r="AS123" i="1"/>
  <c r="AT123" i="1"/>
  <c r="AU123" i="1" s="1"/>
  <c r="AV123" i="1"/>
  <c r="BA123" i="1"/>
  <c r="BB123" i="1"/>
  <c r="BM123" i="1"/>
  <c r="BT123" i="1"/>
  <c r="AW123" i="1" s="1"/>
  <c r="BV123" i="1"/>
  <c r="BX123" i="1"/>
  <c r="BY123" i="1"/>
  <c r="I124" i="1"/>
  <c r="P124" i="1"/>
  <c r="CA124" i="1" s="1"/>
  <c r="X124" i="1"/>
  <c r="K124" i="5" s="1"/>
  <c r="AC124" i="1"/>
  <c r="AO124" i="1"/>
  <c r="AW124" i="3" s="1"/>
  <c r="AR124" i="1"/>
  <c r="AS124" i="1"/>
  <c r="AT124" i="1"/>
  <c r="AU124" i="1" s="1"/>
  <c r="AV124" i="1"/>
  <c r="BA124" i="1"/>
  <c r="BB124" i="1"/>
  <c r="BM124" i="1"/>
  <c r="BT124" i="1"/>
  <c r="AW124" i="1" s="1"/>
  <c r="BV124" i="1"/>
  <c r="BX124" i="1"/>
  <c r="BY124" i="1"/>
  <c r="I125" i="1"/>
  <c r="P125" i="1"/>
  <c r="CA125" i="1" s="1"/>
  <c r="X125" i="1"/>
  <c r="AB125" i="1" s="1"/>
  <c r="AC125" i="1"/>
  <c r="AO125" i="1"/>
  <c r="AW125" i="3" s="1"/>
  <c r="AR125" i="1"/>
  <c r="AS125" i="1"/>
  <c r="AT125" i="1"/>
  <c r="AU125" i="1" s="1"/>
  <c r="AV125" i="1"/>
  <c r="BA125" i="1"/>
  <c r="BB125" i="1"/>
  <c r="BM125" i="1"/>
  <c r="BT125" i="1"/>
  <c r="AW125" i="1" s="1"/>
  <c r="BV125" i="1"/>
  <c r="BX125" i="1"/>
  <c r="BY125" i="1"/>
  <c r="I126" i="1"/>
  <c r="P126" i="1"/>
  <c r="CA126" i="1" s="1"/>
  <c r="X126" i="1"/>
  <c r="K126" i="5" s="1"/>
  <c r="AC126" i="1"/>
  <c r="AO126" i="1"/>
  <c r="AW126" i="3" s="1"/>
  <c r="AR126" i="1"/>
  <c r="AS126" i="1"/>
  <c r="AT126" i="1"/>
  <c r="AU126" i="1" s="1"/>
  <c r="AV126" i="1"/>
  <c r="BA126" i="1"/>
  <c r="BB126" i="1"/>
  <c r="BM126" i="1"/>
  <c r="BT126" i="1"/>
  <c r="AW126" i="1" s="1"/>
  <c r="BV126" i="1"/>
  <c r="BX126" i="1"/>
  <c r="BY126" i="1"/>
  <c r="I127" i="1"/>
  <c r="P127" i="1"/>
  <c r="AC127" i="1"/>
  <c r="AO127" i="1"/>
  <c r="AW127" i="3" s="1"/>
  <c r="AR127" i="1"/>
  <c r="AS127" i="1"/>
  <c r="AT127" i="1"/>
  <c r="AU127" i="1" s="1"/>
  <c r="AV127" i="1"/>
  <c r="BA127" i="1"/>
  <c r="BB127" i="1"/>
  <c r="BM127" i="1"/>
  <c r="BT127" i="1"/>
  <c r="AW127" i="1" s="1"/>
  <c r="BV127" i="1"/>
  <c r="BW127" i="1"/>
  <c r="BX127" i="1"/>
  <c r="BY127" i="1"/>
  <c r="I128" i="1"/>
  <c r="P128" i="1"/>
  <c r="CA128" i="1" s="1"/>
  <c r="X128" i="1"/>
  <c r="K128" i="5" s="1"/>
  <c r="AC128" i="1"/>
  <c r="AO128" i="1"/>
  <c r="AW128" i="3" s="1"/>
  <c r="AR128" i="1"/>
  <c r="AS128" i="1"/>
  <c r="AT128" i="1"/>
  <c r="AU128" i="1" s="1"/>
  <c r="AV128" i="1"/>
  <c r="BA128" i="1"/>
  <c r="BB128" i="1"/>
  <c r="BM128" i="1"/>
  <c r="BT128" i="1"/>
  <c r="AW128" i="1" s="1"/>
  <c r="BV128" i="1"/>
  <c r="BX128" i="1"/>
  <c r="BY128" i="1"/>
  <c r="I129" i="1"/>
  <c r="P129" i="1"/>
  <c r="CA129" i="1" s="1"/>
  <c r="X129" i="1"/>
  <c r="K129" i="5" s="1"/>
  <c r="AC129" i="1"/>
  <c r="AO129" i="1"/>
  <c r="AW129" i="3" s="1"/>
  <c r="AR129" i="1"/>
  <c r="AS129" i="1"/>
  <c r="AT129" i="1"/>
  <c r="AU129" i="1" s="1"/>
  <c r="AV129" i="1"/>
  <c r="BA129" i="1"/>
  <c r="BB129" i="1"/>
  <c r="BM129" i="1"/>
  <c r="BT129" i="1"/>
  <c r="AW129" i="1" s="1"/>
  <c r="BV129" i="1"/>
  <c r="BX129" i="1"/>
  <c r="BY129" i="1"/>
  <c r="P130" i="1"/>
  <c r="CA130" i="1" s="1"/>
  <c r="X130" i="1"/>
  <c r="K130" i="5" s="1"/>
  <c r="L130" i="5" s="1"/>
  <c r="AC130" i="1"/>
  <c r="AO130" i="1"/>
  <c r="AW130" i="3" s="1"/>
  <c r="AR130" i="1"/>
  <c r="AS130" i="1"/>
  <c r="AT130" i="1"/>
  <c r="AU130" i="1" s="1"/>
  <c r="AV130" i="1"/>
  <c r="BA130" i="1"/>
  <c r="BB130" i="1"/>
  <c r="BT130" i="1"/>
  <c r="AW130" i="1" s="1"/>
  <c r="BV130" i="1"/>
  <c r="BX130" i="1"/>
  <c r="BY130" i="1"/>
  <c r="I131" i="1"/>
  <c r="P131" i="1"/>
  <c r="CA131" i="1" s="1"/>
  <c r="X131" i="1"/>
  <c r="K131" i="5" s="1"/>
  <c r="AC131" i="1"/>
  <c r="AO131" i="1"/>
  <c r="AW131" i="3" s="1"/>
  <c r="AR131" i="1"/>
  <c r="AS131" i="1"/>
  <c r="AT131" i="1"/>
  <c r="AU131" i="1" s="1"/>
  <c r="AV131" i="1"/>
  <c r="BA131" i="1"/>
  <c r="BB131" i="1"/>
  <c r="BM131" i="1"/>
  <c r="BT131" i="1"/>
  <c r="AW131" i="1" s="1"/>
  <c r="BV131" i="1"/>
  <c r="BX131" i="1"/>
  <c r="BY131" i="1"/>
  <c r="I132" i="1"/>
  <c r="P132" i="1"/>
  <c r="CA132" i="1" s="1"/>
  <c r="X132" i="1"/>
  <c r="AC132" i="1"/>
  <c r="AO132" i="1"/>
  <c r="AW132" i="3" s="1"/>
  <c r="AR132" i="1"/>
  <c r="AS132" i="1"/>
  <c r="AT132" i="1"/>
  <c r="AU132" i="1" s="1"/>
  <c r="AV132" i="1"/>
  <c r="BA132" i="1"/>
  <c r="BB132" i="1"/>
  <c r="BM132" i="1"/>
  <c r="BT132" i="1"/>
  <c r="AW132" i="1" s="1"/>
  <c r="BV132" i="1"/>
  <c r="BX132" i="1"/>
  <c r="BY132" i="1"/>
  <c r="I133" i="1"/>
  <c r="P133" i="1"/>
  <c r="CA133" i="1" s="1"/>
  <c r="X133" i="1"/>
  <c r="AC133" i="1"/>
  <c r="AO133" i="1"/>
  <c r="AW133" i="3" s="1"/>
  <c r="AR133" i="1"/>
  <c r="AS133" i="1"/>
  <c r="AT133" i="1"/>
  <c r="AU133" i="1" s="1"/>
  <c r="AV133" i="1"/>
  <c r="BA133" i="1"/>
  <c r="BB133" i="1"/>
  <c r="BM133" i="1"/>
  <c r="BT133" i="1"/>
  <c r="AW133" i="1" s="1"/>
  <c r="BV133" i="1"/>
  <c r="BX133" i="1"/>
  <c r="BY133" i="1"/>
  <c r="I134" i="1"/>
  <c r="P134" i="1"/>
  <c r="CA134" i="1" s="1"/>
  <c r="X134" i="1"/>
  <c r="K134" i="5" s="1"/>
  <c r="L134" i="5" s="1"/>
  <c r="AC134" i="1"/>
  <c r="AO134" i="1"/>
  <c r="AW134" i="3" s="1"/>
  <c r="AR134" i="1"/>
  <c r="AS134" i="1"/>
  <c r="AT134" i="1"/>
  <c r="AU134" i="1" s="1"/>
  <c r="AV134" i="1"/>
  <c r="BA134" i="1"/>
  <c r="BB134" i="1"/>
  <c r="BM134" i="1"/>
  <c r="BT134" i="1"/>
  <c r="AW134" i="1" s="1"/>
  <c r="BV134" i="1"/>
  <c r="BX134" i="1"/>
  <c r="BY134" i="1"/>
  <c r="I135" i="1"/>
  <c r="P135" i="1"/>
  <c r="CA135" i="1" s="1"/>
  <c r="X135" i="1"/>
  <c r="K135" i="5" s="1"/>
  <c r="L135" i="5" s="1"/>
  <c r="AC135" i="1"/>
  <c r="AO135" i="1"/>
  <c r="AW135" i="3" s="1"/>
  <c r="AR135" i="1"/>
  <c r="AS135" i="1"/>
  <c r="AT135" i="1"/>
  <c r="AU135" i="1" s="1"/>
  <c r="AV135" i="1"/>
  <c r="BA135" i="1"/>
  <c r="BB135" i="1"/>
  <c r="BM135" i="1"/>
  <c r="BT135" i="1"/>
  <c r="AW135" i="1" s="1"/>
  <c r="BV135" i="1"/>
  <c r="BX135" i="1"/>
  <c r="BY135" i="1"/>
  <c r="I136" i="1"/>
  <c r="BM136" i="1" s="1"/>
  <c r="P136" i="1"/>
  <c r="CA136" i="1" s="1"/>
  <c r="X136" i="1"/>
  <c r="AC136" i="1"/>
  <c r="AO136" i="1"/>
  <c r="AW136" i="3" s="1"/>
  <c r="AR136" i="1"/>
  <c r="AS136" i="1"/>
  <c r="AT136" i="1"/>
  <c r="AU136" i="1" s="1"/>
  <c r="AV136" i="1"/>
  <c r="BA136" i="1"/>
  <c r="BB136" i="1"/>
  <c r="BT136" i="1"/>
  <c r="AW136" i="1" s="1"/>
  <c r="BV136" i="1"/>
  <c r="BX136" i="1"/>
  <c r="BY136" i="1"/>
  <c r="I137" i="1"/>
  <c r="P137" i="1"/>
  <c r="CA137" i="1" s="1"/>
  <c r="AC137" i="1"/>
  <c r="AO137" i="1"/>
  <c r="AW137" i="3" s="1"/>
  <c r="AR137" i="1"/>
  <c r="AS137" i="1"/>
  <c r="AT137" i="1"/>
  <c r="AU137" i="1" s="1"/>
  <c r="AV137" i="1"/>
  <c r="BA137" i="1"/>
  <c r="BB137" i="1"/>
  <c r="BM137" i="1"/>
  <c r="BT137" i="1"/>
  <c r="AW137" i="1" s="1"/>
  <c r="BV137" i="1"/>
  <c r="BX137" i="1"/>
  <c r="BY137" i="1"/>
  <c r="I138" i="1"/>
  <c r="P138" i="1"/>
  <c r="CA138" i="1" s="1"/>
  <c r="X138" i="1"/>
  <c r="K138" i="5" s="1"/>
  <c r="AC138" i="1"/>
  <c r="AO138" i="1"/>
  <c r="AW138" i="3" s="1"/>
  <c r="AR138" i="1"/>
  <c r="AS138" i="1"/>
  <c r="AT138" i="1"/>
  <c r="AU138" i="1" s="1"/>
  <c r="AV138" i="1"/>
  <c r="BA138" i="1"/>
  <c r="BB138" i="1"/>
  <c r="BM138" i="1"/>
  <c r="BT138" i="1"/>
  <c r="AW138" i="1" s="1"/>
  <c r="BV138" i="1"/>
  <c r="BX138" i="1"/>
  <c r="BY138" i="1"/>
  <c r="I139" i="1"/>
  <c r="P139" i="1"/>
  <c r="CA139" i="1" s="1"/>
  <c r="X139" i="1"/>
  <c r="K139" i="5" s="1"/>
  <c r="L139" i="5" s="1"/>
  <c r="AC139" i="1"/>
  <c r="AO139" i="1"/>
  <c r="AW139" i="3" s="1"/>
  <c r="AR139" i="1"/>
  <c r="AS139" i="1"/>
  <c r="AT139" i="1"/>
  <c r="AU139" i="1" s="1"/>
  <c r="AV139" i="1"/>
  <c r="BA139" i="1"/>
  <c r="BB139" i="1"/>
  <c r="BM139" i="1"/>
  <c r="BT139" i="1"/>
  <c r="AW139" i="1" s="1"/>
  <c r="BV139" i="1"/>
  <c r="BX139" i="1"/>
  <c r="BY139" i="1"/>
  <c r="I140" i="1"/>
  <c r="P140" i="1"/>
  <c r="CA140" i="1" s="1"/>
  <c r="X140" i="1"/>
  <c r="Y140" i="1" s="1"/>
  <c r="AC140" i="1"/>
  <c r="AO140" i="1"/>
  <c r="AW140" i="3" s="1"/>
  <c r="AR140" i="1"/>
  <c r="AS140" i="1"/>
  <c r="AT140" i="1"/>
  <c r="AU140" i="1" s="1"/>
  <c r="AV140" i="1"/>
  <c r="BA140" i="1"/>
  <c r="BB140" i="1"/>
  <c r="BM140" i="1"/>
  <c r="BT140" i="1"/>
  <c r="AW140" i="1" s="1"/>
  <c r="BV140" i="1"/>
  <c r="BX140" i="1"/>
  <c r="BY140" i="1"/>
  <c r="I141" i="1"/>
  <c r="P141" i="1"/>
  <c r="CA141" i="1" s="1"/>
  <c r="X141" i="1"/>
  <c r="K141" i="5" s="1"/>
  <c r="AC141" i="1"/>
  <c r="AO141" i="1"/>
  <c r="AW141" i="3" s="1"/>
  <c r="AR141" i="1"/>
  <c r="AS141" i="1"/>
  <c r="AT141" i="1"/>
  <c r="AU141" i="1" s="1"/>
  <c r="AV141" i="1"/>
  <c r="BA141" i="1"/>
  <c r="BB141" i="1"/>
  <c r="BM141" i="1"/>
  <c r="BT141" i="1"/>
  <c r="AW141" i="1" s="1"/>
  <c r="BV141" i="1"/>
  <c r="BX141" i="1"/>
  <c r="BY141" i="1"/>
  <c r="I142" i="1"/>
  <c r="P142" i="1"/>
  <c r="CA142" i="1" s="1"/>
  <c r="X142" i="1"/>
  <c r="Y142" i="1" s="1"/>
  <c r="AC142" i="1"/>
  <c r="AO142" i="1"/>
  <c r="AW142" i="3" s="1"/>
  <c r="AR142" i="1"/>
  <c r="AS142" i="1"/>
  <c r="AT142" i="1"/>
  <c r="AU142" i="1" s="1"/>
  <c r="AV142" i="1"/>
  <c r="BA142" i="1"/>
  <c r="BB142" i="1"/>
  <c r="BM142" i="1"/>
  <c r="BT142" i="1"/>
  <c r="AW142" i="1" s="1"/>
  <c r="BV142" i="1"/>
  <c r="BX142" i="1"/>
  <c r="BY142" i="1"/>
  <c r="I143" i="1"/>
  <c r="P143" i="1"/>
  <c r="CA143" i="1" s="1"/>
  <c r="X143" i="1"/>
  <c r="K143" i="5" s="1"/>
  <c r="AC143" i="1"/>
  <c r="AO143" i="1"/>
  <c r="AW143" i="3" s="1"/>
  <c r="AR143" i="1"/>
  <c r="AS143" i="1"/>
  <c r="AT143" i="1"/>
  <c r="AU143" i="1" s="1"/>
  <c r="AV143" i="1"/>
  <c r="BA143" i="1"/>
  <c r="BB143" i="1"/>
  <c r="BM143" i="1"/>
  <c r="BT143" i="1"/>
  <c r="AW143" i="1" s="1"/>
  <c r="BV143" i="1"/>
  <c r="BX143" i="1"/>
  <c r="BY143" i="1"/>
  <c r="I144" i="1"/>
  <c r="P144" i="1"/>
  <c r="CA144" i="1" s="1"/>
  <c r="X144" i="1"/>
  <c r="AC144" i="1"/>
  <c r="AO144" i="1"/>
  <c r="AW144" i="3" s="1"/>
  <c r="AR144" i="1"/>
  <c r="AS144" i="1"/>
  <c r="AT144" i="1"/>
  <c r="AU144" i="1" s="1"/>
  <c r="AV144" i="1"/>
  <c r="BA144" i="1"/>
  <c r="BB144" i="1"/>
  <c r="BM144" i="1"/>
  <c r="BT144" i="1"/>
  <c r="AW144" i="1" s="1"/>
  <c r="BV144" i="1"/>
  <c r="BX144" i="1"/>
  <c r="BY144" i="1"/>
  <c r="I145" i="1"/>
  <c r="P145" i="1"/>
  <c r="CA145" i="1" s="1"/>
  <c r="X145" i="1"/>
  <c r="K145" i="5" s="1"/>
  <c r="AC145" i="1"/>
  <c r="AO145" i="1"/>
  <c r="AW145" i="3" s="1"/>
  <c r="AR145" i="1"/>
  <c r="AS145" i="1"/>
  <c r="AT145" i="1"/>
  <c r="AU145" i="1" s="1"/>
  <c r="AV145" i="1"/>
  <c r="BA145" i="1"/>
  <c r="BB145" i="1"/>
  <c r="BM145" i="1"/>
  <c r="BT145" i="1"/>
  <c r="AW145" i="1" s="1"/>
  <c r="BV145" i="1"/>
  <c r="BX145" i="1"/>
  <c r="BY145" i="1"/>
  <c r="I146" i="1"/>
  <c r="P146" i="1"/>
  <c r="CA146" i="1" s="1"/>
  <c r="X146" i="1"/>
  <c r="K146" i="5" s="1"/>
  <c r="AC146" i="1"/>
  <c r="AO146" i="1"/>
  <c r="AW146" i="3" s="1"/>
  <c r="AR146" i="1"/>
  <c r="AS146" i="1"/>
  <c r="AT146" i="1"/>
  <c r="AU146" i="1" s="1"/>
  <c r="AV146" i="1"/>
  <c r="BA146" i="1"/>
  <c r="BB146" i="1"/>
  <c r="BM146" i="1"/>
  <c r="BT146" i="1"/>
  <c r="AW146" i="1" s="1"/>
  <c r="BV146" i="1"/>
  <c r="BX146" i="1"/>
  <c r="BY146" i="1"/>
  <c r="I147" i="1"/>
  <c r="P147" i="1"/>
  <c r="CA147" i="1" s="1"/>
  <c r="X147" i="1"/>
  <c r="AC147" i="1"/>
  <c r="AO147" i="1"/>
  <c r="AW147" i="3" s="1"/>
  <c r="AR147" i="1"/>
  <c r="AS147" i="1"/>
  <c r="AT147" i="1"/>
  <c r="AU147" i="1" s="1"/>
  <c r="AV147" i="1"/>
  <c r="BA147" i="1"/>
  <c r="BB147" i="1"/>
  <c r="BM147" i="1"/>
  <c r="BT147" i="1"/>
  <c r="AW147" i="1" s="1"/>
  <c r="BV147" i="1"/>
  <c r="BX147" i="1"/>
  <c r="BY147" i="1"/>
  <c r="I148" i="1"/>
  <c r="P148" i="1"/>
  <c r="CA148" i="1" s="1"/>
  <c r="X148" i="1"/>
  <c r="AC148" i="1"/>
  <c r="AO148" i="1"/>
  <c r="AW148" i="3" s="1"/>
  <c r="AR148" i="1"/>
  <c r="AS148" i="1"/>
  <c r="AT148" i="1"/>
  <c r="AU148" i="1" s="1"/>
  <c r="AV148" i="1"/>
  <c r="BA148" i="1"/>
  <c r="BB148" i="1"/>
  <c r="BM148" i="1"/>
  <c r="BT148" i="1"/>
  <c r="AW148" i="1" s="1"/>
  <c r="BV148" i="1"/>
  <c r="BX148" i="1"/>
  <c r="BY148" i="1"/>
  <c r="I149" i="1"/>
  <c r="P149" i="1"/>
  <c r="CA149" i="1" s="1"/>
  <c r="X149" i="1"/>
  <c r="K149" i="5" s="1"/>
  <c r="L149" i="5" s="1"/>
  <c r="AC149" i="1"/>
  <c r="AO149" i="1"/>
  <c r="AW149" i="3" s="1"/>
  <c r="AR149" i="1"/>
  <c r="AS149" i="1"/>
  <c r="AT149" i="1"/>
  <c r="AU149" i="1" s="1"/>
  <c r="AV149" i="1"/>
  <c r="BA149" i="1"/>
  <c r="BB149" i="1"/>
  <c r="BM149" i="1"/>
  <c r="BT149" i="1"/>
  <c r="AW149" i="1" s="1"/>
  <c r="BV149" i="1"/>
  <c r="BX149" i="1"/>
  <c r="BY149" i="1"/>
  <c r="I150" i="1"/>
  <c r="P150" i="1"/>
  <c r="CA150" i="1" s="1"/>
  <c r="X150" i="1"/>
  <c r="AC150" i="1"/>
  <c r="AO150" i="1"/>
  <c r="AW150" i="3" s="1"/>
  <c r="AR150" i="1"/>
  <c r="AS150" i="1"/>
  <c r="AT150" i="1"/>
  <c r="AU150" i="1" s="1"/>
  <c r="AV150" i="1"/>
  <c r="BA150" i="1"/>
  <c r="BB150" i="1"/>
  <c r="BM150" i="1"/>
  <c r="BT150" i="1"/>
  <c r="AW150" i="1" s="1"/>
  <c r="BV150" i="1"/>
  <c r="BX150" i="1"/>
  <c r="BY150" i="1"/>
  <c r="I151" i="1"/>
  <c r="P151" i="1"/>
  <c r="CA151" i="1" s="1"/>
  <c r="X151" i="1"/>
  <c r="AA151" i="1" s="1"/>
  <c r="AC151" i="1"/>
  <c r="AO151" i="1"/>
  <c r="AW151" i="3" s="1"/>
  <c r="AR151" i="1"/>
  <c r="AS151" i="1"/>
  <c r="AT151" i="1"/>
  <c r="AU151" i="1" s="1"/>
  <c r="AV151" i="1"/>
  <c r="BA151" i="1"/>
  <c r="BB151" i="1"/>
  <c r="BM151" i="1"/>
  <c r="BT151" i="1"/>
  <c r="AW151" i="1" s="1"/>
  <c r="BV151" i="1"/>
  <c r="BX151" i="1"/>
  <c r="BY151" i="1"/>
  <c r="I152" i="1"/>
  <c r="P152" i="1"/>
  <c r="CA152" i="1" s="1"/>
  <c r="X152" i="1"/>
  <c r="K152" i="5" s="1"/>
  <c r="L152" i="5" s="1"/>
  <c r="AC152" i="1"/>
  <c r="AO152" i="1"/>
  <c r="AW152" i="3" s="1"/>
  <c r="AR152" i="1"/>
  <c r="AS152" i="1"/>
  <c r="AT152" i="1"/>
  <c r="AU152" i="1" s="1"/>
  <c r="AV152" i="1"/>
  <c r="BA152" i="1"/>
  <c r="BB152" i="1"/>
  <c r="BM152" i="1"/>
  <c r="BT152" i="1"/>
  <c r="AW152" i="1" s="1"/>
  <c r="BV152" i="1"/>
  <c r="BX152" i="1"/>
  <c r="BY152" i="1"/>
  <c r="I153" i="1"/>
  <c r="P153" i="1"/>
  <c r="CA153" i="1" s="1"/>
  <c r="X153" i="1"/>
  <c r="AC153" i="1"/>
  <c r="AO153" i="1"/>
  <c r="AW153" i="3" s="1"/>
  <c r="AR153" i="1"/>
  <c r="AS153" i="1"/>
  <c r="AT153" i="1"/>
  <c r="AU153" i="1" s="1"/>
  <c r="AV153" i="1"/>
  <c r="BA153" i="1"/>
  <c r="BB153" i="1"/>
  <c r="BM153" i="1"/>
  <c r="BT153" i="1"/>
  <c r="AW153" i="1" s="1"/>
  <c r="BV153" i="1"/>
  <c r="BX153" i="1"/>
  <c r="BY153" i="1"/>
  <c r="I154" i="1"/>
  <c r="P154" i="1"/>
  <c r="CA154" i="1" s="1"/>
  <c r="X154" i="1"/>
  <c r="AC154" i="1"/>
  <c r="AO154" i="1"/>
  <c r="AW154" i="3" s="1"/>
  <c r="AR154" i="1"/>
  <c r="AS154" i="1"/>
  <c r="AT154" i="1"/>
  <c r="AU154" i="1" s="1"/>
  <c r="AV154" i="1"/>
  <c r="BA154" i="1"/>
  <c r="BB154" i="1"/>
  <c r="BM154" i="1"/>
  <c r="BT154" i="1"/>
  <c r="AW154" i="1" s="1"/>
  <c r="BV154" i="1"/>
  <c r="BX154" i="1"/>
  <c r="BY154" i="1"/>
  <c r="I155" i="1"/>
  <c r="P155" i="1"/>
  <c r="CA155" i="1" s="1"/>
  <c r="X155" i="1"/>
  <c r="K155" i="5" s="1"/>
  <c r="AC155" i="1"/>
  <c r="AO155" i="1"/>
  <c r="AW155" i="3" s="1"/>
  <c r="AR155" i="1"/>
  <c r="AS155" i="1"/>
  <c r="AT155" i="1"/>
  <c r="AU155" i="1" s="1"/>
  <c r="AV155" i="1"/>
  <c r="BA155" i="1"/>
  <c r="BB155" i="1"/>
  <c r="BM155" i="1"/>
  <c r="BT155" i="1"/>
  <c r="AW155" i="1" s="1"/>
  <c r="BV155" i="1"/>
  <c r="BX155" i="1"/>
  <c r="BY155" i="1"/>
  <c r="I156" i="1"/>
  <c r="P156" i="1"/>
  <c r="CA156" i="1" s="1"/>
  <c r="X156" i="1"/>
  <c r="AC156" i="1"/>
  <c r="AO156" i="1"/>
  <c r="AW156" i="3" s="1"/>
  <c r="AR156" i="1"/>
  <c r="AS156" i="1"/>
  <c r="AT156" i="1"/>
  <c r="AU156" i="1" s="1"/>
  <c r="AV156" i="1"/>
  <c r="BA156" i="1"/>
  <c r="BB156" i="1"/>
  <c r="BM156" i="1"/>
  <c r="BT156" i="1"/>
  <c r="AW156" i="1" s="1"/>
  <c r="BV156" i="1"/>
  <c r="BX156" i="1"/>
  <c r="BY156" i="1"/>
  <c r="I157" i="1"/>
  <c r="P157" i="1"/>
  <c r="CA157" i="1" s="1"/>
  <c r="X157" i="1"/>
  <c r="AC157" i="1"/>
  <c r="AO157" i="1"/>
  <c r="AW157" i="3" s="1"/>
  <c r="AR157" i="1"/>
  <c r="AS157" i="1"/>
  <c r="AT157" i="1"/>
  <c r="AU157" i="1" s="1"/>
  <c r="AV157" i="1"/>
  <c r="BA157" i="1"/>
  <c r="BB157" i="1"/>
  <c r="BM157" i="1"/>
  <c r="BT157" i="1"/>
  <c r="AW157" i="1" s="1"/>
  <c r="BV157" i="1"/>
  <c r="BX157" i="1"/>
  <c r="BY157" i="1"/>
  <c r="I158" i="1"/>
  <c r="P158" i="1"/>
  <c r="CA158" i="1" s="1"/>
  <c r="X158" i="1"/>
  <c r="K158" i="5" s="1"/>
  <c r="N158" i="5" s="1"/>
  <c r="AC158" i="1"/>
  <c r="AO158" i="1"/>
  <c r="AW158" i="3" s="1"/>
  <c r="AR158" i="1"/>
  <c r="AS158" i="1"/>
  <c r="AT158" i="1"/>
  <c r="AU158" i="1" s="1"/>
  <c r="AV158" i="1"/>
  <c r="BA158" i="1"/>
  <c r="BB158" i="1"/>
  <c r="BM158" i="1"/>
  <c r="BT158" i="1"/>
  <c r="AW158" i="1" s="1"/>
  <c r="BV158" i="1"/>
  <c r="BX158" i="1"/>
  <c r="BY158" i="1"/>
  <c r="I159" i="1"/>
  <c r="P159" i="1"/>
  <c r="CA159" i="1" s="1"/>
  <c r="X159" i="1"/>
  <c r="AC159" i="1"/>
  <c r="AO159" i="1"/>
  <c r="AW159" i="3" s="1"/>
  <c r="AR159" i="1"/>
  <c r="AS159" i="1"/>
  <c r="AT159" i="1"/>
  <c r="AU159" i="1" s="1"/>
  <c r="AV159" i="1"/>
  <c r="BA159" i="1"/>
  <c r="BB159" i="1"/>
  <c r="BM159" i="1"/>
  <c r="BT159" i="1"/>
  <c r="AW159" i="1" s="1"/>
  <c r="BV159" i="1"/>
  <c r="BX159" i="1"/>
  <c r="BY159" i="1"/>
  <c r="I160" i="1"/>
  <c r="P160" i="1"/>
  <c r="X160" i="1"/>
  <c r="AC160" i="1"/>
  <c r="AO160" i="1"/>
  <c r="AW160" i="3" s="1"/>
  <c r="AR160" i="1"/>
  <c r="AS160" i="1"/>
  <c r="AT160" i="1"/>
  <c r="AU160" i="1" s="1"/>
  <c r="AV160" i="1"/>
  <c r="BA160" i="1"/>
  <c r="BB160" i="1"/>
  <c r="BM160" i="1"/>
  <c r="BT160" i="1"/>
  <c r="AW160" i="1" s="1"/>
  <c r="BV160" i="1"/>
  <c r="BX160" i="1"/>
  <c r="BY160" i="1"/>
  <c r="P161" i="1"/>
  <c r="CA161" i="1" s="1"/>
  <c r="X161" i="1"/>
  <c r="K161" i="5" s="1"/>
  <c r="M161" i="5" s="1"/>
  <c r="AC161" i="1"/>
  <c r="AO161" i="1"/>
  <c r="AR161" i="1"/>
  <c r="AS161" i="1"/>
  <c r="AT161" i="1"/>
  <c r="AU161" i="1" s="1"/>
  <c r="AV161" i="1"/>
  <c r="BA161" i="1"/>
  <c r="BB161" i="1"/>
  <c r="BM161" i="1"/>
  <c r="BT161" i="1"/>
  <c r="AW161" i="1" s="1"/>
  <c r="BV161" i="1"/>
  <c r="BX161" i="1"/>
  <c r="BY161" i="1"/>
  <c r="I162" i="1"/>
  <c r="P162" i="1"/>
  <c r="CA162" i="1" s="1"/>
  <c r="X162" i="1"/>
  <c r="AC162" i="1"/>
  <c r="AO162" i="1"/>
  <c r="AR162" i="1"/>
  <c r="AS162" i="1"/>
  <c r="AT162" i="1"/>
  <c r="AU162" i="1" s="1"/>
  <c r="AV162" i="1"/>
  <c r="BA162" i="1"/>
  <c r="BB162" i="1"/>
  <c r="BM162" i="1"/>
  <c r="BT162" i="1"/>
  <c r="AW162" i="1" s="1"/>
  <c r="BV162" i="1"/>
  <c r="BX162" i="1"/>
  <c r="BY162" i="1"/>
  <c r="I163" i="1"/>
  <c r="P163" i="1"/>
  <c r="CA163" i="1" s="1"/>
  <c r="X163" i="1"/>
  <c r="AC163" i="1"/>
  <c r="AO163" i="1"/>
  <c r="AW163" i="3" s="1"/>
  <c r="AR163" i="1"/>
  <c r="AS163" i="1"/>
  <c r="AT163" i="1"/>
  <c r="AU163" i="1" s="1"/>
  <c r="AV163" i="1"/>
  <c r="BA163" i="1"/>
  <c r="BB163" i="1"/>
  <c r="BM163" i="1"/>
  <c r="BT163" i="1"/>
  <c r="AW163" i="1" s="1"/>
  <c r="BV163" i="1"/>
  <c r="BX163" i="1"/>
  <c r="BY163" i="1"/>
  <c r="I164" i="1"/>
  <c r="P164" i="1"/>
  <c r="CA164" i="1" s="1"/>
  <c r="X164" i="1"/>
  <c r="K164" i="5" s="1"/>
  <c r="AC164" i="1"/>
  <c r="AO164" i="1"/>
  <c r="AW164" i="3" s="1"/>
  <c r="AR164" i="1"/>
  <c r="AS164" i="1"/>
  <c r="AT164" i="1"/>
  <c r="AU164" i="1" s="1"/>
  <c r="AV164" i="1"/>
  <c r="BA164" i="1"/>
  <c r="BB164" i="1"/>
  <c r="BM164" i="1"/>
  <c r="BT164" i="1"/>
  <c r="AW164" i="1" s="1"/>
  <c r="BV164" i="1"/>
  <c r="BX164" i="1"/>
  <c r="BY164" i="1"/>
  <c r="I165" i="1"/>
  <c r="P165" i="1"/>
  <c r="CA165" i="1" s="1"/>
  <c r="X165" i="1"/>
  <c r="K165" i="5" s="1"/>
  <c r="M165" i="5" s="1"/>
  <c r="AC165" i="1"/>
  <c r="AO165" i="1"/>
  <c r="AW165" i="3" s="1"/>
  <c r="AR165" i="1"/>
  <c r="AS165" i="1"/>
  <c r="AT165" i="1"/>
  <c r="AU165" i="1" s="1"/>
  <c r="AV165" i="1"/>
  <c r="BA165" i="1"/>
  <c r="BB165" i="1"/>
  <c r="BM165" i="1"/>
  <c r="BT165" i="1"/>
  <c r="AW165" i="1" s="1"/>
  <c r="BV165" i="1"/>
  <c r="BX165" i="1"/>
  <c r="BY165" i="1"/>
  <c r="I166" i="1"/>
  <c r="P166" i="1"/>
  <c r="CA166" i="1" s="1"/>
  <c r="X166" i="1"/>
  <c r="AC166" i="1"/>
  <c r="AO166" i="1"/>
  <c r="AW166" i="3" s="1"/>
  <c r="AR166" i="1"/>
  <c r="AS166" i="1"/>
  <c r="AT166" i="1"/>
  <c r="AU166" i="1" s="1"/>
  <c r="AV166" i="1"/>
  <c r="BA166" i="1"/>
  <c r="BB166" i="1"/>
  <c r="BM166" i="1"/>
  <c r="BT166" i="1"/>
  <c r="AW166" i="1" s="1"/>
  <c r="BV166" i="1"/>
  <c r="BX166" i="1"/>
  <c r="BY166" i="1"/>
  <c r="I167" i="1"/>
  <c r="P167" i="1"/>
  <c r="X167" i="1"/>
  <c r="K167" i="5" s="1"/>
  <c r="AC167" i="1"/>
  <c r="AO167" i="1"/>
  <c r="AW167" i="3" s="1"/>
  <c r="AR167" i="1"/>
  <c r="AS167" i="1"/>
  <c r="AT167" i="1"/>
  <c r="AU167" i="1" s="1"/>
  <c r="AV167" i="1"/>
  <c r="BA167" i="1"/>
  <c r="BB167" i="1"/>
  <c r="BM167" i="1"/>
  <c r="BT167" i="1"/>
  <c r="AW167" i="1" s="1"/>
  <c r="BV167" i="1"/>
  <c r="BX167" i="1"/>
  <c r="BY167" i="1"/>
  <c r="I168" i="1"/>
  <c r="P168" i="1"/>
  <c r="X168" i="1"/>
  <c r="AC168" i="1"/>
  <c r="AO168" i="1"/>
  <c r="AW168" i="3" s="1"/>
  <c r="AR168" i="1"/>
  <c r="AS168" i="1"/>
  <c r="AT168" i="1"/>
  <c r="AU168" i="1" s="1"/>
  <c r="AV168" i="1"/>
  <c r="BA168" i="1"/>
  <c r="BB168" i="1"/>
  <c r="BM168" i="1"/>
  <c r="BT168" i="1"/>
  <c r="AW168" i="1" s="1"/>
  <c r="BV168" i="1"/>
  <c r="BX168" i="1"/>
  <c r="BY168" i="1"/>
  <c r="I169" i="1"/>
  <c r="P169" i="1"/>
  <c r="AC169" i="1"/>
  <c r="AO169" i="1"/>
  <c r="AW169" i="3" s="1"/>
  <c r="AR169" i="1"/>
  <c r="AS169" i="1"/>
  <c r="AT169" i="1"/>
  <c r="AU169" i="1" s="1"/>
  <c r="AV169" i="1"/>
  <c r="BA169" i="1"/>
  <c r="BB169" i="1"/>
  <c r="BM169" i="1"/>
  <c r="BT169" i="1"/>
  <c r="AW169" i="1" s="1"/>
  <c r="BV169" i="1"/>
  <c r="BX169" i="1"/>
  <c r="BY169" i="1"/>
  <c r="I170" i="1"/>
  <c r="P170" i="1"/>
  <c r="X170" i="1"/>
  <c r="AC170" i="1"/>
  <c r="AO170" i="1"/>
  <c r="AR170" i="1"/>
  <c r="AS170" i="1"/>
  <c r="AT170" i="1"/>
  <c r="AU170" i="1" s="1"/>
  <c r="AV170" i="1"/>
  <c r="BA170" i="1"/>
  <c r="BB170" i="1"/>
  <c r="BM170" i="1"/>
  <c r="BT170" i="1"/>
  <c r="AW170" i="1" s="1"/>
  <c r="BV170" i="1"/>
  <c r="BX170" i="1"/>
  <c r="BY170" i="1"/>
  <c r="I171" i="1"/>
  <c r="P171" i="1"/>
  <c r="X171" i="1"/>
  <c r="AC171" i="1"/>
  <c r="AO171" i="1"/>
  <c r="AW171" i="3" s="1"/>
  <c r="AR171" i="1"/>
  <c r="AS171" i="1"/>
  <c r="AT171" i="1"/>
  <c r="AU171" i="1" s="1"/>
  <c r="AV171" i="1"/>
  <c r="BA171" i="1"/>
  <c r="BB171" i="1"/>
  <c r="BM171" i="1"/>
  <c r="BT171" i="1"/>
  <c r="AW171" i="1" s="1"/>
  <c r="BV171" i="1"/>
  <c r="BX171" i="1"/>
  <c r="BY171" i="1"/>
  <c r="I172" i="1"/>
  <c r="P172" i="1"/>
  <c r="X172" i="1"/>
  <c r="K172" i="5" s="1"/>
  <c r="AC172" i="1"/>
  <c r="AO172" i="1"/>
  <c r="AW172" i="3" s="1"/>
  <c r="AR172" i="1"/>
  <c r="AS172" i="1"/>
  <c r="AT172" i="1"/>
  <c r="AU172" i="1" s="1"/>
  <c r="AV172" i="1"/>
  <c r="BA172" i="1"/>
  <c r="BB172" i="1"/>
  <c r="BM172" i="1"/>
  <c r="BT172" i="1"/>
  <c r="AW172" i="1" s="1"/>
  <c r="BV172" i="1"/>
  <c r="BX172" i="1"/>
  <c r="BY172" i="1"/>
  <c r="I173" i="1"/>
  <c r="P173" i="1"/>
  <c r="CA173" i="1" s="1"/>
  <c r="X173" i="1"/>
  <c r="K173" i="5" s="1"/>
  <c r="N173" i="5" s="1"/>
  <c r="AC173" i="1"/>
  <c r="AO173" i="1"/>
  <c r="AW173" i="3" s="1"/>
  <c r="AR173" i="1"/>
  <c r="AS173" i="1"/>
  <c r="AT173" i="1"/>
  <c r="AU173" i="1" s="1"/>
  <c r="AV173" i="1"/>
  <c r="BA173" i="1"/>
  <c r="BB173" i="1"/>
  <c r="BM173" i="1"/>
  <c r="BT173" i="1"/>
  <c r="AW173" i="1" s="1"/>
  <c r="BV173" i="1"/>
  <c r="BX173" i="1"/>
  <c r="BY173" i="1"/>
  <c r="I174" i="1"/>
  <c r="P174" i="1"/>
  <c r="CA174" i="1" s="1"/>
  <c r="AC174" i="1"/>
  <c r="AO174" i="1"/>
  <c r="AW174" i="3" s="1"/>
  <c r="AR174" i="1"/>
  <c r="AS174" i="1"/>
  <c r="AT174" i="1"/>
  <c r="AU174" i="1" s="1"/>
  <c r="AV174" i="1"/>
  <c r="BA174" i="1"/>
  <c r="BB174" i="1"/>
  <c r="BM174" i="1"/>
  <c r="BT174" i="1"/>
  <c r="AW174" i="1" s="1"/>
  <c r="BV174" i="1"/>
  <c r="BX174" i="1"/>
  <c r="BY174" i="1"/>
  <c r="I175" i="1"/>
  <c r="P175" i="1"/>
  <c r="CA175" i="1" s="1"/>
  <c r="X175" i="1"/>
  <c r="K175" i="5" s="1"/>
  <c r="L175" i="5" s="1"/>
  <c r="AC175" i="1"/>
  <c r="AO175" i="1"/>
  <c r="AW175" i="3" s="1"/>
  <c r="AR175" i="1"/>
  <c r="AS175" i="1"/>
  <c r="AT175" i="1"/>
  <c r="AU175" i="1" s="1"/>
  <c r="AV175" i="1"/>
  <c r="BA175" i="1"/>
  <c r="BB175" i="1"/>
  <c r="BM175" i="1"/>
  <c r="BT175" i="1"/>
  <c r="AW175" i="1" s="1"/>
  <c r="BV175" i="1"/>
  <c r="BX175" i="1"/>
  <c r="BY175" i="1"/>
  <c r="I176" i="1"/>
  <c r="P176" i="1"/>
  <c r="CA176" i="1" s="1"/>
  <c r="X176" i="1"/>
  <c r="AC176" i="1"/>
  <c r="AO176" i="1"/>
  <c r="AW176" i="3" s="1"/>
  <c r="AR176" i="1"/>
  <c r="AS176" i="1"/>
  <c r="AT176" i="1"/>
  <c r="AU176" i="1" s="1"/>
  <c r="AV176" i="1"/>
  <c r="BA176" i="1"/>
  <c r="BB176" i="1"/>
  <c r="BM176" i="1"/>
  <c r="BT176" i="1"/>
  <c r="AW176" i="1" s="1"/>
  <c r="BV176" i="1"/>
  <c r="BX176" i="1"/>
  <c r="BY176" i="1"/>
  <c r="I177" i="1"/>
  <c r="P177" i="1"/>
  <c r="CA177" i="1" s="1"/>
  <c r="X177" i="1"/>
  <c r="K177" i="5" s="1"/>
  <c r="AC177" i="1"/>
  <c r="AO177" i="1"/>
  <c r="AW177" i="3" s="1"/>
  <c r="AR177" i="1"/>
  <c r="AS177" i="1"/>
  <c r="AT177" i="1"/>
  <c r="AU177" i="1" s="1"/>
  <c r="AV177" i="1"/>
  <c r="BA177" i="1"/>
  <c r="BB177" i="1"/>
  <c r="BM177" i="1"/>
  <c r="BT177" i="1"/>
  <c r="AW177" i="1" s="1"/>
  <c r="BV177" i="1"/>
  <c r="BX177" i="1"/>
  <c r="BY177" i="1"/>
  <c r="I178" i="1"/>
  <c r="BM178" i="1" s="1"/>
  <c r="P178" i="1"/>
  <c r="CA178" i="1" s="1"/>
  <c r="X178" i="1"/>
  <c r="K178" i="5" s="1"/>
  <c r="AC178" i="1"/>
  <c r="AO178" i="1"/>
  <c r="AW178" i="3" s="1"/>
  <c r="AR178" i="1"/>
  <c r="AS178" i="1"/>
  <c r="AT178" i="1"/>
  <c r="AU178" i="1" s="1"/>
  <c r="AV178" i="1"/>
  <c r="BA178" i="1"/>
  <c r="BB178" i="1"/>
  <c r="BT178" i="1"/>
  <c r="AW178" i="1" s="1"/>
  <c r="BV178" i="1"/>
  <c r="BX178" i="1"/>
  <c r="BY178" i="1"/>
  <c r="I179" i="1"/>
  <c r="P179" i="1"/>
  <c r="CA179" i="1" s="1"/>
  <c r="X179" i="1"/>
  <c r="AC179" i="1"/>
  <c r="AO179" i="1"/>
  <c r="AW179" i="3" s="1"/>
  <c r="AR179" i="1"/>
  <c r="AS179" i="1"/>
  <c r="AT179" i="1"/>
  <c r="AU179" i="1" s="1"/>
  <c r="AV179" i="1"/>
  <c r="BA179" i="1"/>
  <c r="BB179" i="1"/>
  <c r="BM179" i="1"/>
  <c r="BT179" i="1"/>
  <c r="AW179" i="1" s="1"/>
  <c r="BV179" i="1"/>
  <c r="BX179" i="1"/>
  <c r="BY179" i="1"/>
  <c r="I180" i="1"/>
  <c r="P180" i="1"/>
  <c r="CA180" i="1" s="1"/>
  <c r="X180" i="1"/>
  <c r="AC180" i="1"/>
  <c r="AO180" i="1"/>
  <c r="AW180" i="3" s="1"/>
  <c r="AR180" i="1"/>
  <c r="AS180" i="1"/>
  <c r="AT180" i="1"/>
  <c r="AU180" i="1" s="1"/>
  <c r="AV180" i="1"/>
  <c r="BA180" i="1"/>
  <c r="BB180" i="1"/>
  <c r="BM180" i="1"/>
  <c r="BT180" i="1"/>
  <c r="AW180" i="1" s="1"/>
  <c r="BV180" i="1"/>
  <c r="BX180" i="1"/>
  <c r="BY180" i="1"/>
  <c r="I181" i="1"/>
  <c r="P181" i="1"/>
  <c r="CA181" i="1" s="1"/>
  <c r="X181" i="1"/>
  <c r="K181" i="5" s="1"/>
  <c r="M181" i="5" s="1"/>
  <c r="AC181" i="1"/>
  <c r="AO181" i="1"/>
  <c r="AW181" i="3" s="1"/>
  <c r="AR181" i="1"/>
  <c r="AS181" i="1"/>
  <c r="AT181" i="1"/>
  <c r="AU181" i="1" s="1"/>
  <c r="AV181" i="1"/>
  <c r="BA181" i="1"/>
  <c r="BB181" i="1"/>
  <c r="BM181" i="1"/>
  <c r="BT181" i="1"/>
  <c r="AW181" i="1" s="1"/>
  <c r="BV181" i="1"/>
  <c r="BX181" i="1"/>
  <c r="BY181" i="1"/>
  <c r="I182" i="1"/>
  <c r="P182" i="1"/>
  <c r="CA182" i="1" s="1"/>
  <c r="X182" i="1"/>
  <c r="K182" i="5" s="1"/>
  <c r="N182" i="5" s="1"/>
  <c r="AC182" i="1"/>
  <c r="AO182" i="1"/>
  <c r="AW182" i="3" s="1"/>
  <c r="AR182" i="1"/>
  <c r="AS182" i="1"/>
  <c r="AT182" i="1"/>
  <c r="AU182" i="1" s="1"/>
  <c r="AV182" i="1"/>
  <c r="BA182" i="1"/>
  <c r="BB182" i="1"/>
  <c r="BM182" i="1"/>
  <c r="BT182" i="1"/>
  <c r="AW182" i="1" s="1"/>
  <c r="BV182" i="1"/>
  <c r="BX182" i="1"/>
  <c r="BY182" i="1"/>
  <c r="I183" i="1"/>
  <c r="P183" i="1"/>
  <c r="CA183" i="1" s="1"/>
  <c r="X183" i="1"/>
  <c r="K183" i="5" s="1"/>
  <c r="AC183" i="1"/>
  <c r="AO183" i="1"/>
  <c r="AR183" i="1"/>
  <c r="AS183" i="1"/>
  <c r="AT183" i="1"/>
  <c r="AU183" i="1" s="1"/>
  <c r="AV183" i="1"/>
  <c r="BA183" i="1"/>
  <c r="BB183" i="1"/>
  <c r="BM183" i="1"/>
  <c r="BT183" i="1"/>
  <c r="AW183" i="1" s="1"/>
  <c r="BV183" i="1"/>
  <c r="BY183" i="1"/>
  <c r="I184" i="1"/>
  <c r="P184" i="1"/>
  <c r="CA184" i="1" s="1"/>
  <c r="X184" i="1"/>
  <c r="K184" i="5" s="1"/>
  <c r="AC184" i="1"/>
  <c r="AO184" i="1"/>
  <c r="AR184" i="1"/>
  <c r="AS184" i="1"/>
  <c r="AT184" i="1"/>
  <c r="AU184" i="1" s="1"/>
  <c r="AV184" i="1"/>
  <c r="BA184" i="1"/>
  <c r="BB184" i="1"/>
  <c r="BM184" i="1"/>
  <c r="BT184" i="1"/>
  <c r="AW184" i="1" s="1"/>
  <c r="BV184" i="1"/>
  <c r="BY184" i="1"/>
  <c r="I185" i="1"/>
  <c r="P185" i="1"/>
  <c r="CA185" i="1" s="1"/>
  <c r="X185" i="1"/>
  <c r="AC185" i="1"/>
  <c r="AO185" i="1"/>
  <c r="AR185" i="1"/>
  <c r="AS185" i="1"/>
  <c r="AT185" i="1"/>
  <c r="AU185" i="1" s="1"/>
  <c r="AV185" i="1"/>
  <c r="BA185" i="1"/>
  <c r="BB185" i="1"/>
  <c r="BM185" i="1"/>
  <c r="BT185" i="1"/>
  <c r="AW185" i="1" s="1"/>
  <c r="BV185" i="1"/>
  <c r="BY185" i="1"/>
  <c r="I186" i="1"/>
  <c r="P186" i="1"/>
  <c r="CA186" i="1" s="1"/>
  <c r="X186" i="1"/>
  <c r="AC186" i="1"/>
  <c r="AO186" i="1"/>
  <c r="AR186" i="1"/>
  <c r="AS186" i="1"/>
  <c r="AT186" i="1"/>
  <c r="AU186" i="1" s="1"/>
  <c r="AV186" i="1"/>
  <c r="BA186" i="1"/>
  <c r="BB186" i="1"/>
  <c r="BM186" i="1"/>
  <c r="BT186" i="1"/>
  <c r="AW186" i="1" s="1"/>
  <c r="BV186" i="1"/>
  <c r="BY186" i="1"/>
  <c r="I187" i="1"/>
  <c r="P187" i="1"/>
  <c r="CA187" i="1" s="1"/>
  <c r="X187" i="1"/>
  <c r="K187" i="5" s="1"/>
  <c r="AC187" i="1"/>
  <c r="AO187" i="1"/>
  <c r="AR187" i="1"/>
  <c r="AS187" i="1"/>
  <c r="AT187" i="1"/>
  <c r="AU187" i="1" s="1"/>
  <c r="AV187" i="1"/>
  <c r="BA187" i="1"/>
  <c r="BB187" i="1"/>
  <c r="BM187" i="1"/>
  <c r="BT187" i="1"/>
  <c r="AW187" i="1" s="1"/>
  <c r="BV187" i="1"/>
  <c r="BY187" i="1"/>
  <c r="I188" i="1"/>
  <c r="BM188" i="1" s="1"/>
  <c r="P188" i="1"/>
  <c r="CA188" i="1" s="1"/>
  <c r="X188" i="1"/>
  <c r="Z188" i="1" s="1"/>
  <c r="AC188" i="1"/>
  <c r="AO188" i="1"/>
  <c r="AR188" i="1"/>
  <c r="AS188" i="1"/>
  <c r="AT188" i="1"/>
  <c r="AU188" i="1" s="1"/>
  <c r="AV188" i="1"/>
  <c r="BA188" i="1"/>
  <c r="BB188" i="1"/>
  <c r="BT188" i="1"/>
  <c r="AW188" i="1" s="1"/>
  <c r="BV188" i="1"/>
  <c r="BY188" i="1"/>
  <c r="I189" i="1"/>
  <c r="P189" i="1"/>
  <c r="CA189" i="1" s="1"/>
  <c r="AC189" i="1"/>
  <c r="AO189" i="1"/>
  <c r="AR189" i="1"/>
  <c r="AS189" i="1"/>
  <c r="AT189" i="1"/>
  <c r="AU189" i="1" s="1"/>
  <c r="AV189" i="1"/>
  <c r="BA189" i="1"/>
  <c r="BB189" i="1"/>
  <c r="BM189" i="1"/>
  <c r="BT189" i="1"/>
  <c r="AW189" i="1" s="1"/>
  <c r="BV189" i="1"/>
  <c r="BY189" i="1"/>
  <c r="I190" i="1"/>
  <c r="P190" i="1"/>
  <c r="CA190" i="1" s="1"/>
  <c r="AC190" i="1"/>
  <c r="AO190" i="1"/>
  <c r="AR190" i="1"/>
  <c r="AS190" i="1"/>
  <c r="AT190" i="1"/>
  <c r="AU190" i="1" s="1"/>
  <c r="AV190" i="1"/>
  <c r="BA190" i="1"/>
  <c r="BB190" i="1"/>
  <c r="BM190" i="1"/>
  <c r="BT190" i="1"/>
  <c r="AW190" i="1" s="1"/>
  <c r="BV190" i="1"/>
  <c r="BY190" i="1"/>
  <c r="I191" i="1"/>
  <c r="P191" i="1"/>
  <c r="CA191" i="1" s="1"/>
  <c r="X191" i="1"/>
  <c r="AC191" i="1"/>
  <c r="AO191" i="1"/>
  <c r="AR191" i="1"/>
  <c r="AS191" i="1"/>
  <c r="AT191" i="1"/>
  <c r="AU191" i="1" s="1"/>
  <c r="AV191" i="1"/>
  <c r="BA191" i="1"/>
  <c r="BB191" i="1"/>
  <c r="BM191" i="1"/>
  <c r="BT191" i="1"/>
  <c r="AW191" i="1" s="1"/>
  <c r="BV191" i="1"/>
  <c r="BY191" i="1"/>
  <c r="I192" i="1"/>
  <c r="P192" i="1"/>
  <c r="CA192" i="1" s="1"/>
  <c r="X192" i="1"/>
  <c r="AC192" i="1"/>
  <c r="AO192" i="1"/>
  <c r="AR192" i="1"/>
  <c r="AS192" i="1"/>
  <c r="AT192" i="1"/>
  <c r="AU192" i="1" s="1"/>
  <c r="AV192" i="1"/>
  <c r="BA192" i="1"/>
  <c r="BB192" i="1"/>
  <c r="BM192" i="1"/>
  <c r="BT192" i="1"/>
  <c r="AW192" i="1" s="1"/>
  <c r="BV192" i="1"/>
  <c r="BY192" i="1"/>
  <c r="I193" i="1"/>
  <c r="BM193" i="1" s="1"/>
  <c r="P193" i="1"/>
  <c r="CA193" i="1" s="1"/>
  <c r="X193" i="1"/>
  <c r="K193" i="5" s="1"/>
  <c r="N193" i="5" s="1"/>
  <c r="AC193" i="1"/>
  <c r="AO193" i="1"/>
  <c r="AR193" i="1"/>
  <c r="AS193" i="1"/>
  <c r="AT193" i="1"/>
  <c r="AU193" i="1" s="1"/>
  <c r="AV193" i="1"/>
  <c r="BA193" i="1"/>
  <c r="BB193" i="1"/>
  <c r="BT193" i="1"/>
  <c r="AW193" i="1" s="1"/>
  <c r="BV193" i="1"/>
  <c r="BY193" i="1"/>
  <c r="I194" i="1"/>
  <c r="P194" i="1"/>
  <c r="CA194" i="1" s="1"/>
  <c r="X194" i="1"/>
  <c r="AC194" i="1"/>
  <c r="AO194" i="1"/>
  <c r="AR194" i="1"/>
  <c r="AS194" i="1"/>
  <c r="AT194" i="1"/>
  <c r="AU194" i="1" s="1"/>
  <c r="AV194" i="1"/>
  <c r="BA194" i="1"/>
  <c r="BB194" i="1"/>
  <c r="BM194" i="1"/>
  <c r="BT194" i="1"/>
  <c r="AW194" i="1" s="1"/>
  <c r="BV194" i="1"/>
  <c r="BY194" i="1"/>
  <c r="I195" i="1"/>
  <c r="BM195" i="1" s="1"/>
  <c r="P195" i="1"/>
  <c r="CA195" i="1" s="1"/>
  <c r="X195" i="1"/>
  <c r="AC195" i="1"/>
  <c r="AO195" i="1"/>
  <c r="AR195" i="1"/>
  <c r="AS195" i="1"/>
  <c r="AT195" i="1"/>
  <c r="AU195" i="1" s="1"/>
  <c r="AV195" i="1"/>
  <c r="BA195" i="1"/>
  <c r="BB195" i="1"/>
  <c r="BT195" i="1"/>
  <c r="AW195" i="1" s="1"/>
  <c r="BV195" i="1"/>
  <c r="BY195" i="1"/>
  <c r="I196" i="1"/>
  <c r="BM196" i="1" s="1"/>
  <c r="P196" i="1"/>
  <c r="CA196" i="1" s="1"/>
  <c r="X196" i="1"/>
  <c r="AC196" i="1"/>
  <c r="AO196" i="1"/>
  <c r="AR196" i="1"/>
  <c r="AS196" i="1"/>
  <c r="AT196" i="1"/>
  <c r="AU196" i="1" s="1"/>
  <c r="AV196" i="1"/>
  <c r="BA196" i="1"/>
  <c r="BB196" i="1"/>
  <c r="BT196" i="1"/>
  <c r="AW196" i="1" s="1"/>
  <c r="BV196" i="1"/>
  <c r="BY196" i="1"/>
  <c r="I197" i="1"/>
  <c r="BM197" i="1" s="1"/>
  <c r="P197" i="1"/>
  <c r="CA197" i="1" s="1"/>
  <c r="AC197" i="1"/>
  <c r="AO197" i="1"/>
  <c r="AR197" i="1"/>
  <c r="AS197" i="1"/>
  <c r="AT197" i="1"/>
  <c r="AU197" i="1" s="1"/>
  <c r="AV197" i="1"/>
  <c r="BA197" i="1"/>
  <c r="BB197" i="1"/>
  <c r="BT197" i="1"/>
  <c r="AW197" i="1" s="1"/>
  <c r="BV197" i="1"/>
  <c r="BY197" i="1"/>
  <c r="I198" i="1"/>
  <c r="P198" i="1"/>
  <c r="CA198" i="1" s="1"/>
  <c r="X198" i="1"/>
  <c r="K198" i="5" s="1"/>
  <c r="AC198" i="1"/>
  <c r="AO198" i="1"/>
  <c r="AR198" i="1"/>
  <c r="AS198" i="1"/>
  <c r="AT198" i="1"/>
  <c r="AU198" i="1" s="1"/>
  <c r="AV198" i="1"/>
  <c r="BA198" i="1"/>
  <c r="BB198" i="1"/>
  <c r="BM198" i="1"/>
  <c r="BT198" i="1"/>
  <c r="AW198" i="1" s="1"/>
  <c r="BV198" i="1"/>
  <c r="BY198" i="1"/>
  <c r="I199" i="1"/>
  <c r="P199" i="1"/>
  <c r="X199" i="1"/>
  <c r="K199" i="5" s="1"/>
  <c r="N199" i="5" s="1"/>
  <c r="AC199" i="1"/>
  <c r="AO199" i="1"/>
  <c r="AR199" i="1"/>
  <c r="AS199" i="1"/>
  <c r="AT199" i="1"/>
  <c r="AU199" i="1" s="1"/>
  <c r="AV199" i="1"/>
  <c r="BA199" i="1"/>
  <c r="BB199" i="1"/>
  <c r="BM199" i="1"/>
  <c r="BT199" i="1"/>
  <c r="AW199" i="1" s="1"/>
  <c r="BV199" i="1"/>
  <c r="BX199" i="1"/>
  <c r="BY199" i="1"/>
  <c r="BZ199" i="1"/>
  <c r="I200" i="1"/>
  <c r="P200" i="1"/>
  <c r="X200" i="1"/>
  <c r="AC200" i="1"/>
  <c r="AO200" i="1"/>
  <c r="AR200" i="1"/>
  <c r="AS200" i="1"/>
  <c r="AT200" i="1"/>
  <c r="AU200" i="1" s="1"/>
  <c r="AV200" i="1"/>
  <c r="BA200" i="1"/>
  <c r="BB200" i="1"/>
  <c r="BM200" i="1"/>
  <c r="BT200" i="1"/>
  <c r="AW200" i="1" s="1"/>
  <c r="BV200" i="1"/>
  <c r="BX200" i="1"/>
  <c r="BY200" i="1"/>
  <c r="BZ200" i="1"/>
  <c r="I201" i="1"/>
  <c r="BM201" i="1" s="1"/>
  <c r="P201" i="1"/>
  <c r="X201" i="1"/>
  <c r="K201" i="5" s="1"/>
  <c r="AC201" i="1"/>
  <c r="AO201" i="1"/>
  <c r="AR201" i="1"/>
  <c r="AS201" i="1"/>
  <c r="AT201" i="1"/>
  <c r="AU201" i="1" s="1"/>
  <c r="AV201" i="1"/>
  <c r="BA201" i="1"/>
  <c r="BB201" i="1"/>
  <c r="BT201" i="1"/>
  <c r="AW201" i="1" s="1"/>
  <c r="BV201" i="1"/>
  <c r="BX201" i="1"/>
  <c r="BY201" i="1"/>
  <c r="BZ201" i="1"/>
  <c r="I202" i="1"/>
  <c r="P202" i="1"/>
  <c r="X202" i="1"/>
  <c r="K202" i="5" s="1"/>
  <c r="AC202" i="1"/>
  <c r="AO202" i="1"/>
  <c r="AR202" i="1"/>
  <c r="AS202" i="1"/>
  <c r="AT202" i="1"/>
  <c r="AU202" i="1" s="1"/>
  <c r="AV202" i="1"/>
  <c r="BA202" i="1"/>
  <c r="BB202" i="1"/>
  <c r="BM202" i="1"/>
  <c r="BT202" i="1"/>
  <c r="AW202" i="1" s="1"/>
  <c r="BV202" i="1"/>
  <c r="BX202" i="1"/>
  <c r="BY202" i="1"/>
  <c r="BZ202" i="1"/>
  <c r="I203" i="1"/>
  <c r="P203" i="1"/>
  <c r="X203" i="1"/>
  <c r="AC203" i="1"/>
  <c r="AO203" i="1"/>
  <c r="AR203" i="1"/>
  <c r="AS203" i="1"/>
  <c r="AT203" i="1"/>
  <c r="AU203" i="1" s="1"/>
  <c r="AV203" i="1"/>
  <c r="BA203" i="1"/>
  <c r="BB203" i="1"/>
  <c r="BM203" i="1"/>
  <c r="BT203" i="1"/>
  <c r="AW203" i="1" s="1"/>
  <c r="BV203" i="1"/>
  <c r="BX203" i="1"/>
  <c r="BY203" i="1"/>
  <c r="BZ203" i="1"/>
  <c r="I204" i="1"/>
  <c r="P204" i="1"/>
  <c r="X204" i="1"/>
  <c r="K204" i="5" s="1"/>
  <c r="AC204" i="1"/>
  <c r="AO204" i="1"/>
  <c r="AR204" i="1"/>
  <c r="AS204" i="1"/>
  <c r="AT204" i="1"/>
  <c r="AU204" i="1" s="1"/>
  <c r="AV204" i="1"/>
  <c r="BA204" i="1"/>
  <c r="BB204" i="1"/>
  <c r="BM204" i="1"/>
  <c r="BT204" i="1"/>
  <c r="AW204" i="1" s="1"/>
  <c r="BV204" i="1"/>
  <c r="BX204" i="1"/>
  <c r="BY204" i="1"/>
  <c r="BZ204" i="1"/>
  <c r="I205" i="1"/>
  <c r="P205" i="1"/>
  <c r="X205" i="1"/>
  <c r="AC205" i="1"/>
  <c r="AO205" i="1"/>
  <c r="AR205" i="1"/>
  <c r="AS205" i="1"/>
  <c r="AT205" i="1"/>
  <c r="AU205" i="1" s="1"/>
  <c r="AV205" i="1"/>
  <c r="BA205" i="1"/>
  <c r="BB205" i="1"/>
  <c r="BM205" i="1"/>
  <c r="BT205" i="1"/>
  <c r="AW205" i="1" s="1"/>
  <c r="BV205" i="1"/>
  <c r="BX205" i="1"/>
  <c r="BY205" i="1"/>
  <c r="BZ205" i="1"/>
  <c r="I206" i="1"/>
  <c r="P206" i="1"/>
  <c r="AC206" i="1"/>
  <c r="AO206" i="1"/>
  <c r="AR206" i="1"/>
  <c r="AS206" i="1"/>
  <c r="AT206" i="1"/>
  <c r="AU206" i="1" s="1"/>
  <c r="AV206" i="1"/>
  <c r="BA206" i="1"/>
  <c r="BB206" i="1"/>
  <c r="BM206" i="1"/>
  <c r="BT206" i="1"/>
  <c r="AW206" i="1" s="1"/>
  <c r="BV206" i="1"/>
  <c r="BX206" i="1"/>
  <c r="BY206" i="1"/>
  <c r="BZ206" i="1"/>
  <c r="I207" i="1"/>
  <c r="P207" i="1"/>
  <c r="AC207" i="1"/>
  <c r="AO207" i="1"/>
  <c r="AR207" i="1"/>
  <c r="AS207" i="1"/>
  <c r="AT207" i="1"/>
  <c r="AU207" i="1" s="1"/>
  <c r="AV207" i="1"/>
  <c r="BA207" i="1"/>
  <c r="BB207" i="1"/>
  <c r="BM207" i="1"/>
  <c r="BT207" i="1"/>
  <c r="AW207" i="1" s="1"/>
  <c r="BV207" i="1"/>
  <c r="BX207" i="1"/>
  <c r="BY207" i="1"/>
  <c r="BZ207" i="1"/>
  <c r="I208" i="1"/>
  <c r="P208" i="1"/>
  <c r="AC208" i="1"/>
  <c r="AO208" i="1"/>
  <c r="AR208" i="1"/>
  <c r="AS208" i="1"/>
  <c r="AT208" i="1"/>
  <c r="AU208" i="1" s="1"/>
  <c r="AV208" i="1"/>
  <c r="BA208" i="1"/>
  <c r="BB208" i="1"/>
  <c r="BM208" i="1"/>
  <c r="BT208" i="1"/>
  <c r="AW208" i="1" s="1"/>
  <c r="BV208" i="1"/>
  <c r="BX208" i="1"/>
  <c r="BY208" i="1"/>
  <c r="BZ208" i="1"/>
  <c r="I209" i="1"/>
  <c r="P209" i="1"/>
  <c r="AC209" i="1"/>
  <c r="AO209" i="1"/>
  <c r="AR209" i="1"/>
  <c r="AS209" i="1"/>
  <c r="AT209" i="1"/>
  <c r="AU209" i="1" s="1"/>
  <c r="AV209" i="1"/>
  <c r="BA209" i="1"/>
  <c r="BB209" i="1"/>
  <c r="BM209" i="1"/>
  <c r="BT209" i="1"/>
  <c r="AW209" i="1" s="1"/>
  <c r="BV209" i="1"/>
  <c r="BX209" i="1"/>
  <c r="BY209" i="1"/>
  <c r="BZ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X261" i="1"/>
  <c r="BX262" i="1"/>
  <c r="BX263" i="1"/>
  <c r="BX264" i="1"/>
  <c r="BX265" i="1"/>
  <c r="BX266" i="1"/>
  <c r="BX267" i="1"/>
  <c r="BX268" i="1"/>
  <c r="BX269" i="1"/>
  <c r="BX270" i="1"/>
  <c r="BX271" i="1"/>
  <c r="BX272" i="1"/>
  <c r="BX273" i="1"/>
  <c r="BX274" i="1"/>
  <c r="BX275" i="1"/>
  <c r="BX276" i="1"/>
  <c r="BX277" i="1"/>
  <c r="BX278" i="1"/>
  <c r="BX279" i="1"/>
  <c r="BX280" i="1"/>
  <c r="BX281" i="1"/>
  <c r="BX282" i="1"/>
  <c r="BX283" i="1"/>
  <c r="BX284" i="1"/>
  <c r="BX285" i="1"/>
  <c r="BX286" i="1"/>
  <c r="BX287" i="1"/>
  <c r="BX288" i="1"/>
  <c r="BX289" i="1"/>
  <c r="BX290" i="1"/>
  <c r="BX291" i="1"/>
  <c r="BX292" i="1"/>
  <c r="BX293" i="1"/>
  <c r="BX294" i="1"/>
  <c r="BX295" i="1"/>
  <c r="BX296" i="1"/>
  <c r="BX297" i="1"/>
  <c r="BX298" i="1"/>
  <c r="BX299" i="1"/>
  <c r="BX300" i="1"/>
  <c r="BX301" i="1"/>
  <c r="BX302" i="1"/>
  <c r="BX303" i="1"/>
  <c r="BX304" i="1"/>
  <c r="BX305" i="1"/>
  <c r="BX306" i="1"/>
  <c r="BX307" i="1"/>
  <c r="BX308" i="1"/>
  <c r="BX309" i="1"/>
  <c r="BX310" i="1"/>
  <c r="BX311" i="1"/>
  <c r="BX312" i="1"/>
  <c r="BX313" i="1"/>
  <c r="BX314" i="1"/>
  <c r="BX315" i="1"/>
  <c r="BX316" i="1"/>
  <c r="BX317" i="1"/>
  <c r="BX318" i="1"/>
  <c r="BX319" i="1"/>
  <c r="BX320" i="1"/>
  <c r="BX321" i="1"/>
  <c r="BX322" i="1"/>
  <c r="BX323" i="1"/>
  <c r="BX324" i="1"/>
  <c r="BX325" i="1"/>
  <c r="BX326" i="1"/>
  <c r="BX327" i="1"/>
  <c r="BX328" i="1"/>
  <c r="BX329" i="1"/>
  <c r="BX330" i="1"/>
  <c r="BX331" i="1"/>
  <c r="BX332" i="1"/>
  <c r="BX333" i="1"/>
  <c r="BX334" i="1"/>
  <c r="BX335" i="1"/>
  <c r="BX336" i="1"/>
  <c r="BX337" i="1"/>
  <c r="BX338" i="1"/>
  <c r="BX339" i="1"/>
  <c r="BX340" i="1"/>
  <c r="BX341" i="1"/>
  <c r="BX342" i="1"/>
  <c r="BX343" i="1"/>
  <c r="BX344" i="1"/>
  <c r="BX345" i="1"/>
  <c r="BX346" i="1"/>
  <c r="BX347" i="1"/>
  <c r="BX348" i="1"/>
  <c r="BX349" i="1"/>
  <c r="BX350" i="1"/>
  <c r="BX351" i="1"/>
  <c r="BX352" i="1"/>
  <c r="BX353" i="1"/>
  <c r="BX354" i="1"/>
  <c r="BX355" i="1"/>
  <c r="BX356" i="1"/>
  <c r="BX357" i="1"/>
  <c r="BX358" i="1"/>
  <c r="BX359" i="1"/>
  <c r="BX360" i="1"/>
  <c r="BX361" i="1"/>
  <c r="BX362" i="1"/>
  <c r="BX363" i="1"/>
  <c r="BX364" i="1"/>
  <c r="BX365" i="1"/>
  <c r="BX366" i="1"/>
  <c r="BX367" i="1"/>
  <c r="BX368" i="1"/>
  <c r="BX369" i="1"/>
  <c r="BX370" i="1"/>
  <c r="BX371" i="1"/>
  <c r="BX372" i="1"/>
  <c r="BX373" i="1"/>
  <c r="BX374" i="1"/>
  <c r="BX375" i="1"/>
  <c r="BX376" i="1"/>
  <c r="BX377" i="1"/>
  <c r="BQ2" i="3"/>
  <c r="C334" i="3"/>
  <c r="BG404" i="1" l="1"/>
  <c r="BU392" i="1"/>
  <c r="CD404" i="1"/>
  <c r="CD396" i="1"/>
  <c r="CD398" i="1"/>
  <c r="AK398" i="1"/>
  <c r="W395" i="1"/>
  <c r="G392" i="5"/>
  <c r="I392" i="5" s="1"/>
  <c r="AK410" i="1"/>
  <c r="W392" i="1"/>
  <c r="V392" i="1"/>
  <c r="AM388" i="1"/>
  <c r="AK388" i="1"/>
  <c r="G393" i="5"/>
  <c r="H393" i="5" s="1"/>
  <c r="U413" i="1"/>
  <c r="U406" i="1"/>
  <c r="W398" i="1"/>
  <c r="V398" i="1"/>
  <c r="AJ385" i="1"/>
  <c r="S408" i="5"/>
  <c r="V408" i="5" s="1"/>
  <c r="T415" i="1"/>
  <c r="U398" i="1"/>
  <c r="AM392" i="1"/>
  <c r="S386" i="5"/>
  <c r="V386" i="5" s="1"/>
  <c r="AJ414" i="1"/>
  <c r="AK408" i="1"/>
  <c r="AJ399" i="1"/>
  <c r="AL392" i="1"/>
  <c r="G394" i="5"/>
  <c r="H394" i="5" s="1"/>
  <c r="AE388" i="1"/>
  <c r="O401" i="5"/>
  <c r="P401" i="5" s="1"/>
  <c r="AE385" i="1"/>
  <c r="O385" i="5"/>
  <c r="P385" i="5" s="1"/>
  <c r="L397" i="5"/>
  <c r="M397" i="5"/>
  <c r="N387" i="5"/>
  <c r="M387" i="5"/>
  <c r="L387" i="5"/>
  <c r="Y413" i="1"/>
  <c r="AB408" i="1"/>
  <c r="AB403" i="1"/>
  <c r="Y398" i="1"/>
  <c r="AA395" i="1"/>
  <c r="Z394" i="1"/>
  <c r="Z390" i="1"/>
  <c r="Y387" i="1"/>
  <c r="K403" i="5"/>
  <c r="Y390" i="1"/>
  <c r="K390" i="5"/>
  <c r="K400" i="5"/>
  <c r="AB406" i="1"/>
  <c r="Y397" i="1"/>
  <c r="AB396" i="1"/>
  <c r="AA406" i="1"/>
  <c r="AA396" i="1"/>
  <c r="K404" i="5"/>
  <c r="L404" i="5" s="1"/>
  <c r="K405" i="5"/>
  <c r="K409" i="5"/>
  <c r="M409" i="5" s="1"/>
  <c r="Z406" i="1"/>
  <c r="Z396" i="1"/>
  <c r="AB388" i="1"/>
  <c r="K398" i="5"/>
  <c r="K393" i="5"/>
  <c r="K388" i="5"/>
  <c r="L388" i="5" s="1"/>
  <c r="K384" i="5"/>
  <c r="M384" i="5" s="1"/>
  <c r="K410" i="5"/>
  <c r="AB414" i="1"/>
  <c r="Y406" i="1"/>
  <c r="AA388" i="1"/>
  <c r="AB384" i="1"/>
  <c r="Z388" i="1"/>
  <c r="AA384" i="1"/>
  <c r="K413" i="5"/>
  <c r="L413" i="5" s="1"/>
  <c r="Z384" i="1"/>
  <c r="K394" i="5"/>
  <c r="K411" i="5"/>
  <c r="AB413" i="1"/>
  <c r="N396" i="5"/>
  <c r="K395" i="5"/>
  <c r="L395" i="5" s="1"/>
  <c r="AA398" i="1"/>
  <c r="L396" i="5"/>
  <c r="K414" i="5"/>
  <c r="L414" i="5" s="1"/>
  <c r="AH396" i="1"/>
  <c r="O392" i="5"/>
  <c r="P392" i="5" s="1"/>
  <c r="O389" i="5"/>
  <c r="P389" i="5" s="1"/>
  <c r="AG389" i="1"/>
  <c r="O402" i="5"/>
  <c r="O408" i="5"/>
  <c r="P408" i="5" s="1"/>
  <c r="AF389" i="1"/>
  <c r="O390" i="5"/>
  <c r="O409" i="5"/>
  <c r="AE389" i="1"/>
  <c r="AE384" i="1"/>
  <c r="O384" i="5"/>
  <c r="P384" i="5" s="1"/>
  <c r="AF409" i="1"/>
  <c r="AG401" i="1"/>
  <c r="O396" i="5"/>
  <c r="P396" i="5" s="1"/>
  <c r="AF401" i="1"/>
  <c r="AE401" i="1"/>
  <c r="AH392" i="1"/>
  <c r="AH385" i="1"/>
  <c r="AG392" i="1"/>
  <c r="AG385" i="1"/>
  <c r="AG394" i="1"/>
  <c r="AE392" i="1"/>
  <c r="R385" i="5"/>
  <c r="T390" i="5"/>
  <c r="U390" i="5"/>
  <c r="V390" i="5"/>
  <c r="V399" i="5"/>
  <c r="T399" i="5"/>
  <c r="U392" i="5"/>
  <c r="T392" i="5"/>
  <c r="V392" i="5"/>
  <c r="I388" i="5"/>
  <c r="H388" i="5"/>
  <c r="J388" i="5"/>
  <c r="I407" i="5"/>
  <c r="H407" i="5"/>
  <c r="I384" i="5"/>
  <c r="H384" i="5"/>
  <c r="J384" i="5"/>
  <c r="S409" i="5"/>
  <c r="T409" i="5" s="1"/>
  <c r="AK414" i="1"/>
  <c r="AL410" i="1"/>
  <c r="AJ404" i="1"/>
  <c r="AM403" i="1"/>
  <c r="U391" i="1"/>
  <c r="AL388" i="1"/>
  <c r="T385" i="1"/>
  <c r="G390" i="5"/>
  <c r="H390" i="5" s="1"/>
  <c r="S385" i="5"/>
  <c r="T385" i="5" s="1"/>
  <c r="G410" i="5"/>
  <c r="H410" i="5" s="1"/>
  <c r="AM384" i="1"/>
  <c r="G391" i="5"/>
  <c r="H391" i="5" s="1"/>
  <c r="G386" i="5"/>
  <c r="H386" i="5" s="1"/>
  <c r="S405" i="5"/>
  <c r="T405" i="5" s="1"/>
  <c r="AL384" i="1"/>
  <c r="S403" i="5"/>
  <c r="T403" i="5" s="1"/>
  <c r="S406" i="5"/>
  <c r="T406" i="5" s="1"/>
  <c r="U392" i="1"/>
  <c r="AM389" i="1"/>
  <c r="G402" i="5"/>
  <c r="I402" i="5" s="1"/>
  <c r="S400" i="5"/>
  <c r="T400" i="5" s="1"/>
  <c r="S396" i="5"/>
  <c r="S414" i="5"/>
  <c r="G409" i="5"/>
  <c r="H409" i="5" s="1"/>
  <c r="AM411" i="1"/>
  <c r="V409" i="1"/>
  <c r="W405" i="1"/>
  <c r="T397" i="1"/>
  <c r="U387" i="1"/>
  <c r="S397" i="5"/>
  <c r="T397" i="5" s="1"/>
  <c r="S388" i="5"/>
  <c r="T388" i="5" s="1"/>
  <c r="G385" i="5"/>
  <c r="H385" i="5" s="1"/>
  <c r="G406" i="5"/>
  <c r="H406" i="5" s="1"/>
  <c r="G415" i="5"/>
  <c r="G412" i="5"/>
  <c r="AK411" i="1"/>
  <c r="T409" i="1"/>
  <c r="AL402" i="1"/>
  <c r="AM386" i="1"/>
  <c r="S402" i="5"/>
  <c r="S398" i="5"/>
  <c r="S395" i="5"/>
  <c r="T395" i="5" s="1"/>
  <c r="G405" i="5"/>
  <c r="W404" i="1"/>
  <c r="AM394" i="1"/>
  <c r="S393" i="5"/>
  <c r="T393" i="5" s="1"/>
  <c r="S389" i="5"/>
  <c r="G387" i="5"/>
  <c r="H387" i="5" s="1"/>
  <c r="S384" i="5"/>
  <c r="U414" i="1"/>
  <c r="V407" i="1"/>
  <c r="AM406" i="1"/>
  <c r="V404" i="1"/>
  <c r="AM397" i="1"/>
  <c r="AL394" i="1"/>
  <c r="S401" i="5"/>
  <c r="V401" i="5" s="1"/>
  <c r="AL406" i="1"/>
  <c r="U404" i="1"/>
  <c r="AK397" i="1"/>
  <c r="AK394" i="1"/>
  <c r="W386" i="1"/>
  <c r="G404" i="5"/>
  <c r="H404" i="5" s="1"/>
  <c r="G397" i="5"/>
  <c r="G395" i="5"/>
  <c r="H395" i="5" s="1"/>
  <c r="G414" i="5"/>
  <c r="S410" i="5"/>
  <c r="T410" i="5" s="1"/>
  <c r="V386" i="1"/>
  <c r="G400" i="5"/>
  <c r="H400" i="5" s="1"/>
  <c r="I393" i="5"/>
  <c r="G413" i="5"/>
  <c r="U386" i="1"/>
  <c r="J392" i="5"/>
  <c r="S411" i="5"/>
  <c r="T411" i="5" s="1"/>
  <c r="X403" i="5"/>
  <c r="D403" i="5"/>
  <c r="Z401" i="5"/>
  <c r="D401" i="5"/>
  <c r="H392" i="5"/>
  <c r="Z407" i="5"/>
  <c r="X405" i="5"/>
  <c r="H412" i="5"/>
  <c r="P409" i="5"/>
  <c r="W403" i="5"/>
  <c r="Y401" i="5"/>
  <c r="W401" i="5"/>
  <c r="M398" i="5"/>
  <c r="W397" i="5"/>
  <c r="F395" i="5"/>
  <c r="Z393" i="5"/>
  <c r="D393" i="5"/>
  <c r="M391" i="5"/>
  <c r="Y390" i="5"/>
  <c r="R388" i="5"/>
  <c r="Q385" i="5"/>
  <c r="Z384" i="5"/>
  <c r="E415" i="5"/>
  <c r="Z396" i="5"/>
  <c r="U393" i="5"/>
  <c r="L391" i="5"/>
  <c r="P388" i="5"/>
  <c r="AA387" i="5"/>
  <c r="U408" i="5"/>
  <c r="Z387" i="5"/>
  <c r="T408" i="5"/>
  <c r="O405" i="5"/>
  <c r="P405" i="5" s="1"/>
  <c r="Y387" i="5"/>
  <c r="D404" i="5"/>
  <c r="Q401" i="5"/>
  <c r="X387" i="5"/>
  <c r="D387" i="5"/>
  <c r="D390" i="5"/>
  <c r="D389" i="5"/>
  <c r="W387" i="5"/>
  <c r="D406" i="5"/>
  <c r="W415" i="5"/>
  <c r="Z404" i="5"/>
  <c r="AC403" i="5"/>
  <c r="W404" i="5"/>
  <c r="F403" i="5"/>
  <c r="U402" i="5"/>
  <c r="X399" i="5"/>
  <c r="D399" i="5"/>
  <c r="U386" i="5"/>
  <c r="Z406" i="5"/>
  <c r="AC405" i="5"/>
  <c r="X413" i="5"/>
  <c r="V404" i="5"/>
  <c r="AA403" i="5"/>
  <c r="E403" i="5"/>
  <c r="W399" i="5"/>
  <c r="AC397" i="5"/>
  <c r="F397" i="5"/>
  <c r="Z389" i="5"/>
  <c r="AA388" i="5"/>
  <c r="F388" i="5"/>
  <c r="T386" i="5"/>
  <c r="Y406" i="5"/>
  <c r="F405" i="5"/>
  <c r="J415" i="5"/>
  <c r="Z414" i="5"/>
  <c r="W413" i="5"/>
  <c r="T404" i="5"/>
  <c r="U399" i="5"/>
  <c r="U398" i="5"/>
  <c r="F393" i="5"/>
  <c r="K392" i="5"/>
  <c r="L392" i="5" s="1"/>
  <c r="Y389" i="5"/>
  <c r="L384" i="5"/>
  <c r="X406" i="5"/>
  <c r="AA405" i="5"/>
  <c r="E405" i="5"/>
  <c r="Y414" i="5"/>
  <c r="F414" i="5"/>
  <c r="Z412" i="5"/>
  <c r="F410" i="5"/>
  <c r="Y411" i="5"/>
  <c r="N413" i="5"/>
  <c r="X411" i="5"/>
  <c r="AC410" i="5"/>
  <c r="E410" i="5"/>
  <c r="V409" i="5"/>
  <c r="AA415" i="5"/>
  <c r="O415" i="5"/>
  <c r="F412" i="5"/>
  <c r="W411" i="5"/>
  <c r="U409" i="5"/>
  <c r="N415" i="5"/>
  <c r="AC412" i="5"/>
  <c r="E412" i="5"/>
  <c r="V411" i="5"/>
  <c r="AA410" i="5"/>
  <c r="D412" i="5"/>
  <c r="U411" i="5"/>
  <c r="M415" i="5"/>
  <c r="X415" i="5"/>
  <c r="AA412" i="5"/>
  <c r="Y410" i="5"/>
  <c r="G411" i="5"/>
  <c r="Y412" i="5"/>
  <c r="F411" i="5"/>
  <c r="X412" i="5"/>
  <c r="AC411" i="5"/>
  <c r="E411" i="5"/>
  <c r="J410" i="5"/>
  <c r="F413" i="5"/>
  <c r="W412" i="5"/>
  <c r="I410" i="5"/>
  <c r="AC413" i="5"/>
  <c r="AA411" i="5"/>
  <c r="Y407" i="5"/>
  <c r="X407" i="5"/>
  <c r="F408" i="5"/>
  <c r="W407" i="5"/>
  <c r="U405" i="5"/>
  <c r="AC408" i="5"/>
  <c r="Q408" i="5"/>
  <c r="J407" i="5"/>
  <c r="AA406" i="5"/>
  <c r="N406" i="5"/>
  <c r="M406" i="5"/>
  <c r="N408" i="5"/>
  <c r="M408" i="5"/>
  <c r="F407" i="5"/>
  <c r="AC407" i="5"/>
  <c r="E407" i="5"/>
  <c r="V406" i="5"/>
  <c r="J406" i="5"/>
  <c r="D407" i="5"/>
  <c r="U406" i="5"/>
  <c r="I406" i="5"/>
  <c r="N405" i="5"/>
  <c r="AA407" i="5"/>
  <c r="Y398" i="5"/>
  <c r="W396" i="5"/>
  <c r="Y386" i="5"/>
  <c r="Z398" i="5"/>
  <c r="Z386" i="5"/>
  <c r="F404" i="5"/>
  <c r="X398" i="5"/>
  <c r="Y393" i="5"/>
  <c r="M393" i="5"/>
  <c r="R392" i="5"/>
  <c r="F392" i="5"/>
  <c r="N388" i="5"/>
  <c r="X386" i="5"/>
  <c r="AC404" i="5"/>
  <c r="E404" i="5"/>
  <c r="V403" i="5"/>
  <c r="J403" i="5"/>
  <c r="AA402" i="5"/>
  <c r="Y400" i="5"/>
  <c r="M400" i="5"/>
  <c r="F399" i="5"/>
  <c r="W398" i="5"/>
  <c r="U396" i="5"/>
  <c r="N395" i="5"/>
  <c r="S394" i="5"/>
  <c r="X393" i="5"/>
  <c r="AC392" i="5"/>
  <c r="Q392" i="5"/>
  <c r="E392" i="5"/>
  <c r="J391" i="5"/>
  <c r="AA390" i="5"/>
  <c r="Y388" i="5"/>
  <c r="M388" i="5"/>
  <c r="F387" i="5"/>
  <c r="W386" i="5"/>
  <c r="K386" i="5"/>
  <c r="U403" i="5"/>
  <c r="I403" i="5"/>
  <c r="X400" i="5"/>
  <c r="AC399" i="5"/>
  <c r="AA397" i="5"/>
  <c r="F394" i="5"/>
  <c r="I391" i="5"/>
  <c r="N390" i="5"/>
  <c r="AC387" i="5"/>
  <c r="X396" i="5"/>
  <c r="AA404" i="5"/>
  <c r="R401" i="5"/>
  <c r="F401" i="5"/>
  <c r="W400" i="5"/>
  <c r="N397" i="5"/>
  <c r="AC394" i="5"/>
  <c r="E394" i="5"/>
  <c r="V393" i="5"/>
  <c r="J393" i="5"/>
  <c r="AA392" i="5"/>
  <c r="F389" i="5"/>
  <c r="AC401" i="5"/>
  <c r="E401" i="5"/>
  <c r="J400" i="5"/>
  <c r="R396" i="5"/>
  <c r="F396" i="5"/>
  <c r="AC389" i="5"/>
  <c r="Q389" i="5"/>
  <c r="E389" i="5"/>
  <c r="Y404" i="5"/>
  <c r="M404" i="5"/>
  <c r="U400" i="5"/>
  <c r="I400" i="5"/>
  <c r="N399" i="5"/>
  <c r="G398" i="5"/>
  <c r="AC396" i="5"/>
  <c r="Q396" i="5"/>
  <c r="E396" i="5"/>
  <c r="AA394" i="5"/>
  <c r="O394" i="5"/>
  <c r="Y392" i="5"/>
  <c r="AA401" i="5"/>
  <c r="M399" i="5"/>
  <c r="F398" i="5"/>
  <c r="D396" i="5"/>
  <c r="U395" i="5"/>
  <c r="I395" i="5"/>
  <c r="AA389" i="5"/>
  <c r="F386" i="5"/>
  <c r="AC398" i="5"/>
  <c r="E398" i="5"/>
  <c r="V397" i="5"/>
  <c r="J397" i="5"/>
  <c r="AA396" i="5"/>
  <c r="AC386" i="5"/>
  <c r="E386" i="5"/>
  <c r="V385" i="5"/>
  <c r="U385" i="5"/>
  <c r="N384" i="5"/>
  <c r="AC400" i="5"/>
  <c r="AA398" i="5"/>
  <c r="AC388" i="5"/>
  <c r="AA386" i="5"/>
  <c r="AF415" i="1"/>
  <c r="AG415" i="1"/>
  <c r="AE415" i="1"/>
  <c r="AH415" i="1"/>
  <c r="BN414" i="1"/>
  <c r="BN407" i="1"/>
  <c r="R399" i="1"/>
  <c r="BG407" i="1"/>
  <c r="CD407" i="1"/>
  <c r="BU407" i="1"/>
  <c r="BF407" i="1"/>
  <c r="BN394" i="1"/>
  <c r="BN390" i="1"/>
  <c r="BU414" i="1"/>
  <c r="BF414" i="1"/>
  <c r="CD414" i="1"/>
  <c r="BG414" i="1"/>
  <c r="BP412" i="1" a="1"/>
  <c r="BP412" i="1" s="1"/>
  <c r="BN415" i="1"/>
  <c r="BN410" i="1"/>
  <c r="BQ410" i="1"/>
  <c r="BN396" i="1"/>
  <c r="BK415" i="1"/>
  <c r="AN405" i="1"/>
  <c r="BZ405" i="1"/>
  <c r="L415" i="1"/>
  <c r="BE414" i="1"/>
  <c r="CD412" i="1"/>
  <c r="BE412" i="1"/>
  <c r="AI415" i="1"/>
  <c r="S415" i="5" s="1"/>
  <c r="W415" i="1"/>
  <c r="K415" i="1"/>
  <c r="BP414" i="1" a="1"/>
  <c r="BP414" i="1" s="1"/>
  <c r="BD414" i="1"/>
  <c r="BK413" i="1"/>
  <c r="BD412" i="1"/>
  <c r="AJ411" i="1"/>
  <c r="W411" i="1"/>
  <c r="J411" i="1"/>
  <c r="BZ410" i="1"/>
  <c r="AD410" i="1"/>
  <c r="O410" i="5" s="1"/>
  <c r="AP410" i="1"/>
  <c r="AB410" i="1"/>
  <c r="Q408" i="1"/>
  <c r="AA405" i="1"/>
  <c r="BU404" i="1"/>
  <c r="Y392" i="1"/>
  <c r="AB392" i="1"/>
  <c r="Z392" i="1"/>
  <c r="AA392" i="1"/>
  <c r="T390" i="1"/>
  <c r="U390" i="1"/>
  <c r="V390" i="1"/>
  <c r="W390" i="1"/>
  <c r="V415" i="1"/>
  <c r="J415" i="1"/>
  <c r="AQ414" i="1"/>
  <c r="AD414" i="1"/>
  <c r="O414" i="5" s="1"/>
  <c r="Q414" i="5" s="1"/>
  <c r="Q414" i="1"/>
  <c r="AQ412" i="1"/>
  <c r="AD412" i="1"/>
  <c r="O412" i="5" s="1"/>
  <c r="Q412" i="1"/>
  <c r="BH411" i="1"/>
  <c r="V411" i="1"/>
  <c r="AA410" i="1"/>
  <c r="AQ409" i="1"/>
  <c r="AG408" i="1"/>
  <c r="AD407" i="1"/>
  <c r="O407" i="5" s="1"/>
  <c r="P407" i="5" s="1"/>
  <c r="Z405" i="1"/>
  <c r="BN404" i="1"/>
  <c r="AK401" i="1"/>
  <c r="S401" i="1"/>
  <c r="G401" i="5" s="1"/>
  <c r="BN400" i="1"/>
  <c r="BQ396" i="1"/>
  <c r="BU396" i="1"/>
  <c r="AZ396" i="1"/>
  <c r="BG396" i="1"/>
  <c r="AN412" i="1"/>
  <c r="Q415" i="1"/>
  <c r="L414" i="1"/>
  <c r="BK412" i="1"/>
  <c r="AJ409" i="1"/>
  <c r="AK409" i="1"/>
  <c r="BZ413" i="1"/>
  <c r="BH413" i="1"/>
  <c r="BS413" i="1"/>
  <c r="BH412" i="1"/>
  <c r="AI412" i="1"/>
  <c r="S412" i="5" s="1"/>
  <c r="M411" i="1"/>
  <c r="BS415" i="1"/>
  <c r="BH415" i="1"/>
  <c r="L413" i="1"/>
  <c r="BE415" i="1"/>
  <c r="AP414" i="1"/>
  <c r="AI413" i="1"/>
  <c r="S413" i="5" s="1"/>
  <c r="W413" i="1"/>
  <c r="J413" i="1"/>
  <c r="BQ412" i="1"/>
  <c r="BN412" i="1" s="1"/>
  <c r="AP412" i="1"/>
  <c r="BS411" i="1"/>
  <c r="U411" i="1"/>
  <c r="AM410" i="1"/>
  <c r="CD409" i="1"/>
  <c r="AF408" i="1"/>
  <c r="AD406" i="1"/>
  <c r="O406" i="5" s="1"/>
  <c r="AP406" i="1"/>
  <c r="AQ406" i="1"/>
  <c r="BE406" i="1"/>
  <c r="J406" i="1"/>
  <c r="K406" i="1"/>
  <c r="BH406" i="1"/>
  <c r="BS406" i="1"/>
  <c r="Y405" i="1"/>
  <c r="BF404" i="1"/>
  <c r="Z404" i="1"/>
  <c r="AA404" i="1"/>
  <c r="BD403" i="1"/>
  <c r="V403" i="1"/>
  <c r="T403" i="1"/>
  <c r="U403" i="1"/>
  <c r="W403" i="1"/>
  <c r="Q401" i="1"/>
  <c r="L395" i="1"/>
  <c r="M395" i="1"/>
  <c r="R395" i="1"/>
  <c r="R388" i="1"/>
  <c r="Y409" i="1"/>
  <c r="AB409" i="1"/>
  <c r="W409" i="1"/>
  <c r="AE408" i="1"/>
  <c r="BZ407" i="1"/>
  <c r="AN406" i="1"/>
  <c r="J403" i="1"/>
  <c r="AD403" i="1"/>
  <c r="O403" i="5" s="1"/>
  <c r="AP403" i="1"/>
  <c r="BE403" i="1"/>
  <c r="Q403" i="1"/>
  <c r="BH403" i="1"/>
  <c r="W402" i="1"/>
  <c r="AL401" i="1"/>
  <c r="AM401" i="1"/>
  <c r="Z399" i="1"/>
  <c r="Y399" i="1"/>
  <c r="AA399" i="1"/>
  <c r="AB399" i="1"/>
  <c r="BN397" i="1"/>
  <c r="AQ390" i="1"/>
  <c r="BZ390" i="1"/>
  <c r="V402" i="1"/>
  <c r="AQ398" i="1"/>
  <c r="BZ398" i="1"/>
  <c r="AZ398" i="1"/>
  <c r="BU398" i="1"/>
  <c r="BF398" i="1"/>
  <c r="AD393" i="1"/>
  <c r="O393" i="5" s="1"/>
  <c r="AP393" i="1"/>
  <c r="BD393" i="1"/>
  <c r="J393" i="1"/>
  <c r="K393" i="1"/>
  <c r="BH393" i="1"/>
  <c r="Q393" i="1"/>
  <c r="L392" i="1"/>
  <c r="AJ390" i="1"/>
  <c r="AK390" i="1"/>
  <c r="AL390" i="1"/>
  <c r="AM390" i="1"/>
  <c r="BP407" i="1" a="1"/>
  <c r="BP407" i="1" s="1"/>
  <c r="AP415" i="1"/>
  <c r="AM414" i="1"/>
  <c r="Y414" i="1"/>
  <c r="BE413" i="1"/>
  <c r="AD411" i="1"/>
  <c r="O411" i="5" s="1"/>
  <c r="Q411" i="1"/>
  <c r="W410" i="1"/>
  <c r="J410" i="1"/>
  <c r="AL409" i="1"/>
  <c r="L407" i="1"/>
  <c r="M407" i="1"/>
  <c r="AM405" i="1"/>
  <c r="AQ402" i="1"/>
  <c r="U402" i="1"/>
  <c r="AM398" i="1"/>
  <c r="AQ396" i="1"/>
  <c r="BZ396" i="1"/>
  <c r="BS393" i="1"/>
  <c r="BG392" i="1"/>
  <c r="CD392" i="1"/>
  <c r="AN415" i="1"/>
  <c r="AB415" i="1"/>
  <c r="W414" i="1"/>
  <c r="K414" i="1"/>
  <c r="AD413" i="1"/>
  <c r="O413" i="5" s="1"/>
  <c r="Q413" i="5" s="1"/>
  <c r="X412" i="1"/>
  <c r="K412" i="5" s="1"/>
  <c r="K412" i="1"/>
  <c r="BZ411" i="1"/>
  <c r="AB411" i="1"/>
  <c r="U410" i="1"/>
  <c r="AH409" i="1"/>
  <c r="Y408" i="1"/>
  <c r="Z408" i="1"/>
  <c r="AA408" i="1"/>
  <c r="BD407" i="1"/>
  <c r="BE407" i="1"/>
  <c r="K407" i="1"/>
  <c r="AI407" i="1"/>
  <c r="S407" i="5" s="1"/>
  <c r="X407" i="1"/>
  <c r="K407" i="5" s="1"/>
  <c r="BH407" i="1"/>
  <c r="BS407" i="1"/>
  <c r="T407" i="1"/>
  <c r="U407" i="1"/>
  <c r="W407" i="1"/>
  <c r="AK405" i="1"/>
  <c r="BD402" i="1"/>
  <c r="X402" i="1"/>
  <c r="K402" i="5" s="1"/>
  <c r="M402" i="5" s="1"/>
  <c r="BH402" i="1"/>
  <c r="BS402" i="1"/>
  <c r="K402" i="1"/>
  <c r="AP402" i="1"/>
  <c r="BE402" i="1"/>
  <c r="Q402" i="1"/>
  <c r="AM396" i="1"/>
  <c r="W394" i="1"/>
  <c r="R406" i="1"/>
  <c r="AL405" i="1"/>
  <c r="BL401" i="1"/>
  <c r="AA415" i="1"/>
  <c r="BS414" i="1"/>
  <c r="BH414" i="1"/>
  <c r="V414" i="1"/>
  <c r="AP413" i="1"/>
  <c r="Q413" i="1"/>
  <c r="BU412" i="1"/>
  <c r="W412" i="1"/>
  <c r="AN411" i="1"/>
  <c r="AA411" i="1"/>
  <c r="L409" i="1"/>
  <c r="AG409" i="1"/>
  <c r="J408" i="1"/>
  <c r="K408" i="1"/>
  <c r="AN407" i="1"/>
  <c r="R407" i="1"/>
  <c r="BN406" i="1"/>
  <c r="BK405" i="1"/>
  <c r="AL404" i="1"/>
  <c r="AM404" i="1"/>
  <c r="BN403" i="1"/>
  <c r="K403" i="1"/>
  <c r="AM402" i="1"/>
  <c r="BD400" i="1"/>
  <c r="J400" i="1"/>
  <c r="BH400" i="1"/>
  <c r="BS400" i="1"/>
  <c r="AD400" i="1"/>
  <c r="O400" i="5" s="1"/>
  <c r="Q400" i="1"/>
  <c r="AD399" i="1"/>
  <c r="O399" i="5" s="1"/>
  <c r="P399" i="5" s="1"/>
  <c r="AP399" i="1"/>
  <c r="BD399" i="1"/>
  <c r="J399" i="1"/>
  <c r="S399" i="1"/>
  <c r="G399" i="5" s="1"/>
  <c r="AQ399" i="1"/>
  <c r="BS399" i="1"/>
  <c r="K399" i="1"/>
  <c r="BE399" i="1"/>
  <c r="BH399" i="1"/>
  <c r="L398" i="1"/>
  <c r="AJ396" i="1"/>
  <c r="AL396" i="1"/>
  <c r="T394" i="1"/>
  <c r="V394" i="1"/>
  <c r="BS412" i="1"/>
  <c r="BG412" i="1"/>
  <c r="T412" i="1"/>
  <c r="BK411" i="1"/>
  <c r="BD410" i="1"/>
  <c r="Q410" i="1"/>
  <c r="BU409" i="1"/>
  <c r="BG409" i="1"/>
  <c r="BP409" i="1" s="1" a="1"/>
  <c r="BP409" i="1" s="1"/>
  <c r="S408" i="1"/>
  <c r="G408" i="5" s="1"/>
  <c r="BK406" i="1"/>
  <c r="M406" i="1"/>
  <c r="BL405" i="1"/>
  <c r="AE405" i="1"/>
  <c r="AF405" i="1"/>
  <c r="AG405" i="1"/>
  <c r="AH405" i="1"/>
  <c r="L404" i="1"/>
  <c r="AK402" i="1"/>
  <c r="J402" i="1"/>
  <c r="M400" i="1"/>
  <c r="BQ394" i="1"/>
  <c r="Z393" i="1"/>
  <c r="AA393" i="1"/>
  <c r="AB393" i="1"/>
  <c r="BQ390" i="1"/>
  <c r="AP401" i="1"/>
  <c r="J401" i="1"/>
  <c r="X401" i="1"/>
  <c r="K401" i="5" s="1"/>
  <c r="K401" i="1"/>
  <c r="AQ401" i="1"/>
  <c r="BD401" i="1"/>
  <c r="BE401" i="1"/>
  <c r="BS401" i="1"/>
  <c r="K400" i="1"/>
  <c r="L399" i="1"/>
  <c r="M399" i="1"/>
  <c r="AL399" i="1"/>
  <c r="AK399" i="1"/>
  <c r="AM399" i="1"/>
  <c r="BL395" i="1"/>
  <c r="BU390" i="1"/>
  <c r="AZ390" i="1"/>
  <c r="AF388" i="1"/>
  <c r="AG388" i="1"/>
  <c r="AH388" i="1"/>
  <c r="AD387" i="1"/>
  <c r="O387" i="5" s="1"/>
  <c r="AP387" i="1"/>
  <c r="AQ387" i="1"/>
  <c r="BD387" i="1"/>
  <c r="BE387" i="1"/>
  <c r="J387" i="1"/>
  <c r="K387" i="1"/>
  <c r="AI387" i="1"/>
  <c r="S387" i="5" s="1"/>
  <c r="CD386" i="1"/>
  <c r="L389" i="1"/>
  <c r="M389" i="1"/>
  <c r="AN387" i="1"/>
  <c r="V405" i="1"/>
  <c r="J405" i="1"/>
  <c r="BP404" i="1" a="1"/>
  <c r="BP404" i="1" s="1"/>
  <c r="BD404" i="1"/>
  <c r="AL403" i="1"/>
  <c r="BZ402" i="1"/>
  <c r="AH402" i="1"/>
  <c r="AM400" i="1"/>
  <c r="BN398" i="1"/>
  <c r="Q398" i="1"/>
  <c r="S396" i="1"/>
  <c r="G396" i="5" s="1"/>
  <c r="BE395" i="1"/>
  <c r="T393" i="1"/>
  <c r="V393" i="1"/>
  <c r="AJ392" i="1"/>
  <c r="AK392" i="1"/>
  <c r="BN391" i="1"/>
  <c r="AP389" i="1"/>
  <c r="S389" i="1"/>
  <c r="G389" i="5" s="1"/>
  <c r="AQ389" i="1"/>
  <c r="J389" i="1"/>
  <c r="K389" i="1"/>
  <c r="X389" i="1"/>
  <c r="K389" i="5" s="1"/>
  <c r="L389" i="5" s="1"/>
  <c r="BH389" i="1"/>
  <c r="BS389" i="1"/>
  <c r="Q389" i="1"/>
  <c r="AN388" i="1"/>
  <c r="AN386" i="1"/>
  <c r="BZ386" i="1"/>
  <c r="BP386" i="1" a="1"/>
  <c r="BP386" i="1" s="1"/>
  <c r="Q409" i="1"/>
  <c r="AM408" i="1"/>
  <c r="W406" i="1"/>
  <c r="U405" i="1"/>
  <c r="BZ404" i="1"/>
  <c r="AK403" i="1"/>
  <c r="AN402" i="1"/>
  <c r="AG402" i="1"/>
  <c r="BQ400" i="1"/>
  <c r="AL400" i="1"/>
  <c r="W400" i="1"/>
  <c r="J397" i="1"/>
  <c r="AD397" i="1"/>
  <c r="O397" i="5" s="1"/>
  <c r="AP397" i="1"/>
  <c r="Z397" i="1"/>
  <c r="AB397" i="1"/>
  <c r="BP396" i="1" a="1"/>
  <c r="BP396" i="1" s="1"/>
  <c r="AE396" i="1"/>
  <c r="BD395" i="1"/>
  <c r="K395" i="1"/>
  <c r="AN394" i="1"/>
  <c r="BQ393" i="1"/>
  <c r="AK393" i="1"/>
  <c r="BG390" i="1"/>
  <c r="BP390" i="1" s="1" a="1"/>
  <c r="BP390" i="1" s="1"/>
  <c r="M387" i="1"/>
  <c r="BN385" i="1"/>
  <c r="BD405" i="1"/>
  <c r="AP404" i="1"/>
  <c r="AD404" i="1"/>
  <c r="O404" i="5" s="1"/>
  <c r="L402" i="1"/>
  <c r="BL402" i="1"/>
  <c r="AE402" i="1"/>
  <c r="AK400" i="1"/>
  <c r="AN398" i="1"/>
  <c r="BP398" i="1" a="1"/>
  <c r="BP398" i="1" s="1"/>
  <c r="BL396" i="1"/>
  <c r="Q396" i="1"/>
  <c r="BL394" i="1"/>
  <c r="AF394" i="1"/>
  <c r="AH394" i="1"/>
  <c r="BN393" i="1"/>
  <c r="L390" i="1"/>
  <c r="M390" i="1"/>
  <c r="BF390" i="1"/>
  <c r="BZ388" i="1"/>
  <c r="L386" i="1"/>
  <c r="BG386" i="1"/>
  <c r="T400" i="1"/>
  <c r="V400" i="1"/>
  <c r="BL398" i="1"/>
  <c r="BQ397" i="1"/>
  <c r="L396" i="1"/>
  <c r="AD395" i="1"/>
  <c r="O395" i="5" s="1"/>
  <c r="R395" i="5" s="1"/>
  <c r="AP395" i="1"/>
  <c r="J395" i="1"/>
  <c r="BH395" i="1"/>
  <c r="BS395" i="1"/>
  <c r="AL393" i="1"/>
  <c r="AM393" i="1"/>
  <c r="Z391" i="1"/>
  <c r="AA391" i="1"/>
  <c r="AB391" i="1"/>
  <c r="BS387" i="1"/>
  <c r="Y386" i="1"/>
  <c r="AB386" i="1"/>
  <c r="M409" i="1"/>
  <c r="M402" i="1"/>
  <c r="BQ401" i="1"/>
  <c r="AN400" i="1"/>
  <c r="K398" i="1"/>
  <c r="AJ397" i="1"/>
  <c r="BE396" i="1"/>
  <c r="BQ395" i="1"/>
  <c r="AM395" i="1"/>
  <c r="U395" i="1"/>
  <c r="M393" i="1"/>
  <c r="AN392" i="1"/>
  <c r="BZ392" i="1"/>
  <c r="BP392" i="1" a="1"/>
  <c r="BP392" i="1" s="1"/>
  <c r="BN392" i="1"/>
  <c r="AH390" i="1"/>
  <c r="BQ389" i="1"/>
  <c r="T388" i="1"/>
  <c r="U388" i="1"/>
  <c r="V388" i="1"/>
  <c r="W388" i="1"/>
  <c r="BN387" i="1"/>
  <c r="Z387" i="1"/>
  <c r="AA387" i="1"/>
  <c r="T384" i="1"/>
  <c r="U384" i="1"/>
  <c r="V384" i="1"/>
  <c r="W384" i="1"/>
  <c r="BS409" i="1"/>
  <c r="BH409" i="1"/>
  <c r="BN401" i="1"/>
  <c r="BL400" i="1"/>
  <c r="BQ399" i="1"/>
  <c r="BE398" i="1"/>
  <c r="M396" i="1"/>
  <c r="BN395" i="1"/>
  <c r="T395" i="1"/>
  <c r="V391" i="1"/>
  <c r="W391" i="1"/>
  <c r="BN389" i="1"/>
  <c r="AJ386" i="1"/>
  <c r="AK386" i="1"/>
  <c r="BN399" i="1"/>
  <c r="BH398" i="1"/>
  <c r="BS398" i="1"/>
  <c r="AD398" i="1"/>
  <c r="O398" i="5" s="1"/>
  <c r="AP398" i="1"/>
  <c r="BD398" i="1"/>
  <c r="BD396" i="1"/>
  <c r="BH396" i="1"/>
  <c r="BS396" i="1"/>
  <c r="K396" i="1"/>
  <c r="AJ395" i="1"/>
  <c r="AL395" i="1"/>
  <c r="BF391" i="1"/>
  <c r="BG391" i="1"/>
  <c r="BP391" i="1" s="1" a="1"/>
  <c r="BP391" i="1" s="1"/>
  <c r="CD391" i="1"/>
  <c r="BU391" i="1"/>
  <c r="AF390" i="1"/>
  <c r="AG390" i="1"/>
  <c r="BK387" i="1"/>
  <c r="AZ386" i="1"/>
  <c r="BF385" i="1"/>
  <c r="BG385" i="1"/>
  <c r="BP385" i="1" s="1" a="1"/>
  <c r="BP385" i="1" s="1"/>
  <c r="CD385" i="1"/>
  <c r="BU385" i="1"/>
  <c r="BH387" i="1"/>
  <c r="Q387" i="1"/>
  <c r="BN386" i="1"/>
  <c r="AA386" i="1"/>
  <c r="Q390" i="1"/>
  <c r="Q384" i="1"/>
  <c r="AN396" i="1"/>
  <c r="BS394" i="1"/>
  <c r="BH394" i="1"/>
  <c r="BD392" i="1"/>
  <c r="AP391" i="1"/>
  <c r="AD391" i="1"/>
  <c r="O391" i="5" s="1"/>
  <c r="P391" i="5" s="1"/>
  <c r="BL390" i="1"/>
  <c r="AN390" i="1"/>
  <c r="AL389" i="1"/>
  <c r="BS388" i="1"/>
  <c r="BH388" i="1"/>
  <c r="V387" i="1"/>
  <c r="BD386" i="1"/>
  <c r="AP385" i="1"/>
  <c r="BL384" i="1"/>
  <c r="AN384" i="1"/>
  <c r="Q391" i="1"/>
  <c r="AK389" i="1"/>
  <c r="Q385" i="1"/>
  <c r="BK384" i="1"/>
  <c r="J394" i="1"/>
  <c r="AP392" i="1"/>
  <c r="AN391" i="1"/>
  <c r="J388" i="1"/>
  <c r="AP386" i="1"/>
  <c r="AD386" i="1"/>
  <c r="O386" i="5" s="1"/>
  <c r="Q392" i="1"/>
  <c r="BK391" i="1"/>
  <c r="Q386" i="1"/>
  <c r="AM385" i="1"/>
  <c r="AK384" i="1"/>
  <c r="M384" i="1"/>
  <c r="BD394" i="1"/>
  <c r="BS390" i="1"/>
  <c r="BH390" i="1"/>
  <c r="BD388" i="1"/>
  <c r="AL385" i="1"/>
  <c r="BS384" i="1"/>
  <c r="BH384" i="1"/>
  <c r="M385" i="1"/>
  <c r="K384" i="1"/>
  <c r="BS385" i="1"/>
  <c r="BH385" i="1"/>
  <c r="X385" i="1"/>
  <c r="K385" i="5" s="1"/>
  <c r="L385" i="5" s="1"/>
  <c r="AH384" i="1"/>
  <c r="J384" i="1"/>
  <c r="M392" i="1"/>
  <c r="AI391" i="1"/>
  <c r="S391" i="5" s="1"/>
  <c r="T391" i="5" s="1"/>
  <c r="K391" i="1"/>
  <c r="BE390" i="1"/>
  <c r="M386" i="1"/>
  <c r="W385" i="1"/>
  <c r="K385" i="1"/>
  <c r="BE384" i="1"/>
  <c r="AG384" i="1"/>
  <c r="BS392" i="1"/>
  <c r="BH392" i="1"/>
  <c r="BS386" i="1"/>
  <c r="BH386" i="1"/>
  <c r="AU399" i="3"/>
  <c r="BB399" i="3"/>
  <c r="BN399" i="3" s="1"/>
  <c r="V399" i="3"/>
  <c r="AX399" i="3" s="1"/>
  <c r="BK399" i="3"/>
  <c r="BS399" i="3"/>
  <c r="BO399" i="3"/>
  <c r="BR399" i="3"/>
  <c r="BV399" i="3" s="1"/>
  <c r="BT399" i="3"/>
  <c r="BK398" i="3"/>
  <c r="BS398" i="3"/>
  <c r="AP398" i="3"/>
  <c r="AQ398" i="3" s="1"/>
  <c r="BP398" i="3" a="1"/>
  <c r="BP398" i="3" s="1"/>
  <c r="BT398" i="3" s="1"/>
  <c r="AS398" i="3"/>
  <c r="BH398" i="3" s="1"/>
  <c r="AT398" i="3"/>
  <c r="BJ398" i="3" s="1"/>
  <c r="BF398" i="3"/>
  <c r="BK397" i="3"/>
  <c r="BS397" i="3"/>
  <c r="AP397" i="3"/>
  <c r="AQ397" i="3" s="1"/>
  <c r="BP397" i="3" a="1"/>
  <c r="BP397" i="3" s="1"/>
  <c r="BT397" i="3" s="1"/>
  <c r="AS397" i="3"/>
  <c r="BH397" i="3" s="1"/>
  <c r="AT397" i="3"/>
  <c r="BF397" i="3"/>
  <c r="BK396" i="3"/>
  <c r="BS396" i="3"/>
  <c r="BP396" i="3" a="1"/>
  <c r="BP396" i="3" s="1"/>
  <c r="BT396" i="3" s="1"/>
  <c r="AS396" i="3"/>
  <c r="BH396" i="3" s="1"/>
  <c r="BE396" i="3"/>
  <c r="AT396" i="3"/>
  <c r="BJ396" i="3" s="1"/>
  <c r="BF396" i="3"/>
  <c r="BQ396" i="3"/>
  <c r="AU396" i="3"/>
  <c r="BI396" i="3"/>
  <c r="BK395" i="3"/>
  <c r="BS395" i="3"/>
  <c r="AP395" i="3"/>
  <c r="AQ395" i="3" s="1"/>
  <c r="BP395" i="3" a="1"/>
  <c r="BP395" i="3" s="1"/>
  <c r="BT395" i="3" s="1"/>
  <c r="AS395" i="3"/>
  <c r="BH395" i="3" s="1"/>
  <c r="AT395" i="3"/>
  <c r="BJ395" i="3" s="1"/>
  <c r="BF395" i="3"/>
  <c r="BK393" i="3"/>
  <c r="BS393" i="3"/>
  <c r="AP393" i="3"/>
  <c r="AQ393" i="3" s="1"/>
  <c r="AS393" i="3"/>
  <c r="BH393" i="3" s="1"/>
  <c r="AT393" i="3"/>
  <c r="BQ393" i="3"/>
  <c r="BK391" i="3"/>
  <c r="BS391" i="3"/>
  <c r="BP391" i="3" a="1"/>
  <c r="BP391" i="3" s="1"/>
  <c r="BT391" i="3" s="1"/>
  <c r="AS391" i="3"/>
  <c r="BH391" i="3" s="1"/>
  <c r="BE391" i="3"/>
  <c r="AT391" i="3"/>
  <c r="BJ391" i="3" s="1"/>
  <c r="BF391" i="3"/>
  <c r="BQ391" i="3"/>
  <c r="BI391" i="3"/>
  <c r="BK390" i="3"/>
  <c r="BS390" i="3"/>
  <c r="AP390" i="3"/>
  <c r="AQ390" i="3" s="1"/>
  <c r="BP390" i="3" a="1"/>
  <c r="BP390" i="3" s="1"/>
  <c r="BT390" i="3" s="1"/>
  <c r="AS390" i="3"/>
  <c r="BH390" i="3" s="1"/>
  <c r="AT390" i="3"/>
  <c r="BJ390" i="3" s="1"/>
  <c r="BF390" i="3"/>
  <c r="AU389" i="3"/>
  <c r="BJ389" i="3"/>
  <c r="BB389" i="3"/>
  <c r="BK389" i="3"/>
  <c r="BS389" i="3"/>
  <c r="AS389" i="3"/>
  <c r="BH389" i="3" s="1"/>
  <c r="BJ388" i="3"/>
  <c r="BB388" i="3"/>
  <c r="BK388" i="3"/>
  <c r="BS388" i="3"/>
  <c r="BP388" i="3" a="1"/>
  <c r="BP388" i="3" s="1"/>
  <c r="BT388" i="3" s="1"/>
  <c r="AS388" i="3"/>
  <c r="BH388" i="3" s="1"/>
  <c r="AU388" i="3"/>
  <c r="BJ387" i="3"/>
  <c r="BB387" i="3"/>
  <c r="BK387" i="3"/>
  <c r="BS387" i="3"/>
  <c r="AS387" i="3"/>
  <c r="BH387" i="3" s="1"/>
  <c r="AU387" i="3"/>
  <c r="BK386" i="3"/>
  <c r="BS386" i="3"/>
  <c r="AZ386" i="3"/>
  <c r="AP386" i="3"/>
  <c r="AQ386" i="3" s="1"/>
  <c r="BP386" i="3" a="1"/>
  <c r="BP386" i="3" s="1"/>
  <c r="BT386" i="3" s="1"/>
  <c r="AS386" i="3"/>
  <c r="BH386" i="3" s="1"/>
  <c r="AT386" i="3"/>
  <c r="BB386" i="3" s="1"/>
  <c r="BF386" i="3"/>
  <c r="BQ386" i="3"/>
  <c r="AQ384" i="3"/>
  <c r="BK384" i="3"/>
  <c r="BS384" i="3"/>
  <c r="AS384" i="3"/>
  <c r="BH384" i="3" s="1"/>
  <c r="AT384" i="3"/>
  <c r="AP383" i="3"/>
  <c r="AQ383" i="3" s="1"/>
  <c r="AR383" i="3"/>
  <c r="BG383" i="3" s="1"/>
  <c r="BD383" i="3"/>
  <c r="BP383" i="3" a="1"/>
  <c r="BP383" i="3" s="1"/>
  <c r="BT383" i="3" s="1"/>
  <c r="AS383" i="3"/>
  <c r="BH383" i="3" s="1"/>
  <c r="AT383" i="3"/>
  <c r="BJ383" i="3" s="1"/>
  <c r="BK381" i="3"/>
  <c r="BS381" i="3"/>
  <c r="AS381" i="3"/>
  <c r="BH381" i="3" s="1"/>
  <c r="AT381" i="3"/>
  <c r="AU381" i="3" s="1"/>
  <c r="BF381" i="3"/>
  <c r="BK380" i="3"/>
  <c r="BS380" i="3"/>
  <c r="AU380" i="3"/>
  <c r="AP380" i="3"/>
  <c r="AQ380" i="3" s="1"/>
  <c r="BP380" i="3" a="1"/>
  <c r="BP380" i="3" s="1"/>
  <c r="BT380" i="3" s="1"/>
  <c r="AS380" i="3"/>
  <c r="BH380" i="3" s="1"/>
  <c r="AT380" i="3"/>
  <c r="BF380" i="3"/>
  <c r="BG379" i="3"/>
  <c r="BK379" i="3" s="1"/>
  <c r="BS379" i="3"/>
  <c r="AP379" i="3"/>
  <c r="AQ379" i="3" s="1"/>
  <c r="BP379" i="3" a="1"/>
  <c r="BP379" i="3" s="1"/>
  <c r="BT379" i="3" s="1"/>
  <c r="AS379" i="3"/>
  <c r="BH379" i="3" s="1"/>
  <c r="AT379" i="3"/>
  <c r="AU379" i="3" s="1"/>
  <c r="BF379" i="3"/>
  <c r="BF369" i="3"/>
  <c r="AS365" i="3"/>
  <c r="BH365" i="3" s="1"/>
  <c r="AU363" i="3"/>
  <c r="BQ363" i="3"/>
  <c r="BG368" i="3"/>
  <c r="BG375" i="3"/>
  <c r="BF363" i="3"/>
  <c r="BP362" i="3" a="1"/>
  <c r="BP362" i="3" s="1"/>
  <c r="BT362" i="3" s="1"/>
  <c r="AS368" i="3"/>
  <c r="BH368" i="3" s="1"/>
  <c r="BG369" i="3"/>
  <c r="BK369" i="3" s="1"/>
  <c r="AT369" i="3"/>
  <c r="BJ369" i="3" s="1"/>
  <c r="BR369" i="3" s="1"/>
  <c r="BG371" i="3"/>
  <c r="BG372" i="3"/>
  <c r="BS372" i="3" s="1"/>
  <c r="BG362" i="3"/>
  <c r="BP363" i="3" a="1"/>
  <c r="BP363" i="3" s="1"/>
  <c r="BT363" i="3" s="1"/>
  <c r="AP363" i="3"/>
  <c r="AQ363" i="3" s="1"/>
  <c r="BG363" i="3"/>
  <c r="BK363" i="3" s="1"/>
  <c r="AU362" i="3"/>
  <c r="BT365" i="3"/>
  <c r="AT366" i="3"/>
  <c r="AS366" i="3"/>
  <c r="BH366" i="3" s="1"/>
  <c r="BP366" i="3" a="1"/>
  <c r="BP366" i="3" s="1"/>
  <c r="BT366" i="3" s="1"/>
  <c r="AP366" i="3"/>
  <c r="AQ366" i="3" s="1"/>
  <c r="AA382" i="5" s="1"/>
  <c r="BF366" i="3"/>
  <c r="AX382" i="3"/>
  <c r="AP382" i="3"/>
  <c r="AQ382" i="3" s="1"/>
  <c r="AT385" i="3"/>
  <c r="V385" i="3" s="1"/>
  <c r="AX385" i="3" s="1"/>
  <c r="AS385" i="3"/>
  <c r="BH385" i="3" s="1"/>
  <c r="AP385" i="3"/>
  <c r="AQ385" i="3" s="1"/>
  <c r="BQ385" i="3"/>
  <c r="BP385" i="3" a="1"/>
  <c r="BP385" i="3" s="1"/>
  <c r="BT385" i="3" s="1"/>
  <c r="BF385" i="3"/>
  <c r="BO385" i="3" s="1"/>
  <c r="AS367" i="3"/>
  <c r="BH367" i="3" s="1"/>
  <c r="BP367" i="3" a="1"/>
  <c r="BP367" i="3" s="1"/>
  <c r="BT367" i="3" s="1"/>
  <c r="AP367" i="3"/>
  <c r="AQ367" i="3" s="1"/>
  <c r="BF367" i="3"/>
  <c r="AP365" i="3"/>
  <c r="AQ365" i="3" s="1"/>
  <c r="AX375" i="3"/>
  <c r="AP375" i="3"/>
  <c r="AQ375" i="3" s="1"/>
  <c r="O383" i="1"/>
  <c r="AC382" i="5"/>
  <c r="AT368" i="3"/>
  <c r="BP373" i="3" a="1"/>
  <c r="BP373" i="3" s="1"/>
  <c r="BT373" i="3" s="1"/>
  <c r="BF368" i="3"/>
  <c r="BG370" i="3"/>
  <c r="BI370" i="3" s="1"/>
  <c r="BU370" i="3" s="1"/>
  <c r="S380" i="1"/>
  <c r="G380" i="5" s="1"/>
  <c r="J380" i="5" s="1"/>
  <c r="BG382" i="3"/>
  <c r="BS382" i="3" s="1"/>
  <c r="AP368" i="3"/>
  <c r="BP368" i="3" a="1"/>
  <c r="BP368" i="3" s="1"/>
  <c r="BT368" i="3" s="1"/>
  <c r="BC370" i="3"/>
  <c r="BF370" i="3"/>
  <c r="BP370" i="3" a="1"/>
  <c r="BP370" i="3" s="1"/>
  <c r="BT370" i="3" s="1"/>
  <c r="BG367" i="3"/>
  <c r="BF392" i="3"/>
  <c r="AT370" i="3"/>
  <c r="BQ370" i="3"/>
  <c r="BG374" i="3"/>
  <c r="BK374" i="3" s="1"/>
  <c r="BG377" i="3"/>
  <c r="BK377" i="3" s="1"/>
  <c r="AP377" i="3"/>
  <c r="AQ377" i="3" s="1"/>
  <c r="BP377" i="3" a="1"/>
  <c r="BP377" i="3" s="1"/>
  <c r="AS377" i="3"/>
  <c r="BH377" i="3" s="1"/>
  <c r="AT377" i="3"/>
  <c r="BF377" i="3"/>
  <c r="BK376" i="3"/>
  <c r="BS376" i="3"/>
  <c r="AS376" i="3"/>
  <c r="BH376" i="3" s="1"/>
  <c r="AT376" i="3"/>
  <c r="BF376" i="3"/>
  <c r="BQ376" i="3"/>
  <c r="AP374" i="3"/>
  <c r="AQ374" i="3" s="1"/>
  <c r="BP374" i="3" a="1"/>
  <c r="BP374" i="3" s="1"/>
  <c r="AS374" i="3"/>
  <c r="BH374" i="3" s="1"/>
  <c r="AT374" i="3"/>
  <c r="AU374" i="3" s="1"/>
  <c r="BF374" i="3"/>
  <c r="BI373" i="3"/>
  <c r="BK373" i="3"/>
  <c r="BS373" i="3"/>
  <c r="AT373" i="3"/>
  <c r="BF373" i="3"/>
  <c r="BO373" i="3" s="1"/>
  <c r="BQ373" i="3"/>
  <c r="AU373" i="3"/>
  <c r="AP372" i="3"/>
  <c r="AQ372" i="3" s="1"/>
  <c r="BP372" i="3" a="1"/>
  <c r="BP372" i="3" s="1"/>
  <c r="BT372" i="3" s="1"/>
  <c r="AS372" i="3"/>
  <c r="BH372" i="3" s="1"/>
  <c r="AT372" i="3"/>
  <c r="BJ372" i="3" s="1"/>
  <c r="BF372" i="3"/>
  <c r="BS370" i="3"/>
  <c r="AS370" i="3"/>
  <c r="BH370" i="3" s="1"/>
  <c r="AU370" i="3"/>
  <c r="AR378" i="3"/>
  <c r="BG378" i="3" s="1"/>
  <c r="BD378" i="3"/>
  <c r="BP378" i="3" a="1"/>
  <c r="BP378" i="3" s="1"/>
  <c r="BT378" i="3" s="1"/>
  <c r="AS378" i="3"/>
  <c r="BH378" i="3" s="1"/>
  <c r="AT378" i="3"/>
  <c r="AU378" i="3" s="1"/>
  <c r="BK375" i="3"/>
  <c r="BS375" i="3"/>
  <c r="BP375" i="3" a="1"/>
  <c r="BP375" i="3" s="1"/>
  <c r="BT375" i="3" s="1"/>
  <c r="AS375" i="3"/>
  <c r="BH375" i="3" s="1"/>
  <c r="AT375" i="3"/>
  <c r="AU375" i="3" s="1"/>
  <c r="BF375" i="3"/>
  <c r="BK394" i="3"/>
  <c r="BS394" i="3"/>
  <c r="BP394" i="3" a="1"/>
  <c r="BP394" i="3" s="1"/>
  <c r="BT394" i="3" s="1"/>
  <c r="AS394" i="3"/>
  <c r="BH394" i="3" s="1"/>
  <c r="AT394" i="3"/>
  <c r="BF394" i="3"/>
  <c r="BN385" i="3"/>
  <c r="BK385" i="3"/>
  <c r="BS385" i="3"/>
  <c r="BI385" i="3"/>
  <c r="AU385" i="3"/>
  <c r="BK371" i="3"/>
  <c r="BS371" i="3"/>
  <c r="BP371" i="3" a="1"/>
  <c r="BP371" i="3" s="1"/>
  <c r="BT371" i="3" s="1"/>
  <c r="AS371" i="3"/>
  <c r="BH371" i="3" s="1"/>
  <c r="AT371" i="3"/>
  <c r="BJ371" i="3" s="1"/>
  <c r="BF371" i="3"/>
  <c r="AP369" i="3"/>
  <c r="AQ369" i="3" s="1"/>
  <c r="AS369" i="3"/>
  <c r="BH369" i="3" s="1"/>
  <c r="BT369" i="3" s="1"/>
  <c r="BQ369" i="3"/>
  <c r="BC383" i="1"/>
  <c r="BK382" i="3"/>
  <c r="BA383" i="1"/>
  <c r="AI383" i="1"/>
  <c r="AL383" i="1" s="1"/>
  <c r="CB382" i="1"/>
  <c r="BP382" i="3" a="1"/>
  <c r="BP382" i="3" s="1"/>
  <c r="AS382" i="3"/>
  <c r="BH382" i="3" s="1"/>
  <c r="BE382" i="3"/>
  <c r="AT382" i="3"/>
  <c r="AU382" i="3" s="1"/>
  <c r="BF382" i="3"/>
  <c r="CB383" i="1"/>
  <c r="CJ381" i="1"/>
  <c r="AT383" i="1"/>
  <c r="AU383" i="1" s="1"/>
  <c r="CG381" i="1"/>
  <c r="BA380" i="1"/>
  <c r="AS383" i="1"/>
  <c r="CE381" i="1"/>
  <c r="CJ379" i="1"/>
  <c r="AO392" i="3"/>
  <c r="BA392" i="3"/>
  <c r="AP392" i="3"/>
  <c r="AQ392" i="3" s="1"/>
  <c r="CI383" i="1"/>
  <c r="N383" i="1"/>
  <c r="BV381" i="1"/>
  <c r="BO379" i="1"/>
  <c r="CH383" i="1"/>
  <c r="M383" i="1"/>
  <c r="BM381" i="1"/>
  <c r="AT379" i="1"/>
  <c r="AU379" i="1" s="1"/>
  <c r="BP392" i="3" a="1"/>
  <c r="BP392" i="3" s="1"/>
  <c r="CE383" i="1"/>
  <c r="I383" i="1"/>
  <c r="BI381" i="1"/>
  <c r="BL381" i="1" s="1"/>
  <c r="P379" i="1"/>
  <c r="CA379" i="1" s="1"/>
  <c r="AS392" i="3"/>
  <c r="AY381" i="1"/>
  <c r="AT392" i="3"/>
  <c r="BB392" i="3" s="1"/>
  <c r="BQ392" i="3"/>
  <c r="AS381" i="1"/>
  <c r="BG392" i="3"/>
  <c r="BM383" i="1"/>
  <c r="BI382" i="1"/>
  <c r="BL382" i="1" s="1"/>
  <c r="AC381" i="1"/>
  <c r="BJ383" i="1"/>
  <c r="AS382" i="1"/>
  <c r="S381" i="1"/>
  <c r="V381" i="1" s="1"/>
  <c r="AO382" i="1"/>
  <c r="N381" i="1"/>
  <c r="AQ368" i="3"/>
  <c r="BJ368" i="3"/>
  <c r="BB368" i="3"/>
  <c r="BK368" i="3"/>
  <c r="BS368" i="3"/>
  <c r="BO368" i="3"/>
  <c r="AU368" i="3"/>
  <c r="BD378" i="1"/>
  <c r="CC382" i="1"/>
  <c r="BJ382" i="1"/>
  <c r="AT382" i="1"/>
  <c r="AU382" i="1" s="1"/>
  <c r="I382" i="1"/>
  <c r="AZ381" i="1"/>
  <c r="CF380" i="1"/>
  <c r="BJ380" i="1"/>
  <c r="AR380" i="1"/>
  <c r="P380" i="1"/>
  <c r="CA380" i="1" s="1"/>
  <c r="BY379" i="1"/>
  <c r="BA379" i="1"/>
  <c r="AI379" i="1"/>
  <c r="CC378" i="1"/>
  <c r="AQ378" i="1" s="1"/>
  <c r="BS378" i="1" s="1"/>
  <c r="BI378" i="1"/>
  <c r="BL378" i="1" s="1"/>
  <c r="B378" i="5"/>
  <c r="E378" i="5" s="1"/>
  <c r="CE380" i="1"/>
  <c r="BI380" i="1"/>
  <c r="BL380" i="1" s="1"/>
  <c r="O380" i="1"/>
  <c r="AY379" i="1"/>
  <c r="AC379" i="1"/>
  <c r="CB378" i="1"/>
  <c r="BC378" i="1"/>
  <c r="CG383" i="1"/>
  <c r="BI383" i="1"/>
  <c r="BL383" i="1" s="1"/>
  <c r="AR383" i="1"/>
  <c r="AR382" i="1"/>
  <c r="CI381" i="1"/>
  <c r="BT381" i="1"/>
  <c r="AW381" i="1" s="1"/>
  <c r="AX381" i="1"/>
  <c r="P381" i="1"/>
  <c r="CA381" i="1" s="1"/>
  <c r="CC380" i="1"/>
  <c r="L380" i="1" s="1"/>
  <c r="BC380" i="1"/>
  <c r="N380" i="1"/>
  <c r="BV379" i="1"/>
  <c r="AX379" i="1"/>
  <c r="BB378" i="1"/>
  <c r="AI378" i="1"/>
  <c r="AK378" i="1" s="1"/>
  <c r="CF383" i="1"/>
  <c r="AO383" i="1"/>
  <c r="BY382" i="1"/>
  <c r="X382" i="1"/>
  <c r="CH381" i="1"/>
  <c r="BO381" i="1"/>
  <c r="AV381" i="1"/>
  <c r="O381" i="1"/>
  <c r="CB380" i="1"/>
  <c r="BB380" i="1"/>
  <c r="AO380" i="1"/>
  <c r="I380" i="1"/>
  <c r="BT379" i="1"/>
  <c r="AW379" i="1" s="1"/>
  <c r="AV379" i="1"/>
  <c r="S379" i="1"/>
  <c r="W379" i="1" s="1"/>
  <c r="BY378" i="1"/>
  <c r="BA378" i="1"/>
  <c r="AC378" i="1"/>
  <c r="B381" i="5"/>
  <c r="X381" i="5" s="1"/>
  <c r="AY378" i="1"/>
  <c r="CC383" i="1"/>
  <c r="BB383" i="1"/>
  <c r="CJ382" i="1"/>
  <c r="BV382" i="1"/>
  <c r="BC382" i="1"/>
  <c r="AI382" i="1"/>
  <c r="AL382" i="1" s="1"/>
  <c r="CF381" i="1"/>
  <c r="BJ381" i="1"/>
  <c r="AT381" i="1"/>
  <c r="AU381" i="1" s="1"/>
  <c r="M381" i="1"/>
  <c r="BY380" i="1"/>
  <c r="AZ380" i="1"/>
  <c r="AI380" i="1"/>
  <c r="AM380" i="1" s="1"/>
  <c r="CI379" i="1"/>
  <c r="BM379" i="1"/>
  <c r="AS379" i="1"/>
  <c r="I379" i="1"/>
  <c r="BV378" i="1"/>
  <c r="AX378" i="1"/>
  <c r="CI382" i="1"/>
  <c r="BT382" i="1"/>
  <c r="AW382" i="1" s="1"/>
  <c r="BB382" i="1"/>
  <c r="AY380" i="1"/>
  <c r="CH379" i="1"/>
  <c r="AR379" i="1"/>
  <c r="CJ378" i="1"/>
  <c r="BT378" i="1"/>
  <c r="AW378" i="1" s="1"/>
  <c r="AV378" i="1"/>
  <c r="BY383" i="1"/>
  <c r="AZ383" i="1"/>
  <c r="AC383" i="1"/>
  <c r="CH382" i="1"/>
  <c r="BA382" i="1"/>
  <c r="CC381" i="1"/>
  <c r="L381" i="1" s="1"/>
  <c r="AR381" i="1"/>
  <c r="I381" i="1"/>
  <c r="BV380" i="1"/>
  <c r="AX380" i="1"/>
  <c r="CG379" i="1"/>
  <c r="AO379" i="1"/>
  <c r="CI378" i="1"/>
  <c r="BO378" i="1"/>
  <c r="AT378" i="1"/>
  <c r="AU378" i="1" s="1"/>
  <c r="X378" i="1"/>
  <c r="B380" i="5"/>
  <c r="AC380" i="5" s="1"/>
  <c r="B383" i="5"/>
  <c r="AC383" i="5" s="1"/>
  <c r="AY383" i="1"/>
  <c r="CG382" i="1"/>
  <c r="AY382" i="1"/>
  <c r="S382" i="1"/>
  <c r="CB381" i="1"/>
  <c r="CJ380" i="1"/>
  <c r="BT380" i="1"/>
  <c r="AW380" i="1" s="1"/>
  <c r="AV380" i="1"/>
  <c r="AC380" i="1"/>
  <c r="CF379" i="1"/>
  <c r="BJ379" i="1"/>
  <c r="CH378" i="1"/>
  <c r="BM378" i="1"/>
  <c r="AS378" i="1"/>
  <c r="S378" i="1"/>
  <c r="U378" i="1" s="1"/>
  <c r="BV383" i="1"/>
  <c r="AX383" i="1"/>
  <c r="X383" i="1"/>
  <c r="AB383" i="1" s="1"/>
  <c r="CF382" i="1"/>
  <c r="BO382" i="1"/>
  <c r="AX382" i="1"/>
  <c r="P382" i="1"/>
  <c r="CA382" i="1" s="1"/>
  <c r="BC381" i="1"/>
  <c r="CI380" i="1"/>
  <c r="BO380" i="1"/>
  <c r="CE379" i="1"/>
  <c r="BI379" i="1"/>
  <c r="BL379" i="1" s="1"/>
  <c r="CG378" i="1"/>
  <c r="AR378" i="1"/>
  <c r="P378" i="1"/>
  <c r="CA378" i="1" s="1"/>
  <c r="B379" i="5"/>
  <c r="AC379" i="5" s="1"/>
  <c r="BT383" i="1"/>
  <c r="AW383" i="1" s="1"/>
  <c r="AV383" i="1"/>
  <c r="P383" i="1"/>
  <c r="CA383" i="1" s="1"/>
  <c r="CE382" i="1"/>
  <c r="BM382" i="1"/>
  <c r="AV382" i="1"/>
  <c r="AC382" i="1"/>
  <c r="BB381" i="1"/>
  <c r="AO381" i="1"/>
  <c r="X381" i="1"/>
  <c r="CH380" i="1"/>
  <c r="BM380" i="1"/>
  <c r="AT380" i="1"/>
  <c r="AU380" i="1" s="1"/>
  <c r="X380" i="1"/>
  <c r="AA380" i="1" s="1"/>
  <c r="CC379" i="1"/>
  <c r="L379" i="1" s="1"/>
  <c r="BC379" i="1"/>
  <c r="CF378" i="1"/>
  <c r="I378" i="1"/>
  <c r="CJ383" i="1"/>
  <c r="BO383" i="1"/>
  <c r="BY381" i="1"/>
  <c r="CG380" i="1"/>
  <c r="AS380" i="1"/>
  <c r="CB379" i="1"/>
  <c r="CE378" i="1"/>
  <c r="BJ378" i="1"/>
  <c r="BK378" i="1" s="1"/>
  <c r="W382" i="5"/>
  <c r="X382" i="5"/>
  <c r="Y382" i="5"/>
  <c r="E382" i="5"/>
  <c r="W380" i="5"/>
  <c r="AP378" i="1"/>
  <c r="AB378" i="5" s="1"/>
  <c r="AD378" i="1"/>
  <c r="BX183" i="1"/>
  <c r="M382" i="1"/>
  <c r="Q378" i="1"/>
  <c r="M378" i="1"/>
  <c r="BH378" i="1"/>
  <c r="M379" i="1"/>
  <c r="K378" i="1"/>
  <c r="J378" i="1"/>
  <c r="M380" i="1"/>
  <c r="BE378" i="1"/>
  <c r="BX197" i="1"/>
  <c r="BX191" i="1"/>
  <c r="BX193" i="1"/>
  <c r="BK367" i="3"/>
  <c r="BS367" i="3"/>
  <c r="BO367" i="3"/>
  <c r="BR367" i="3"/>
  <c r="BV367" i="3" s="1"/>
  <c r="BB367" i="3"/>
  <c r="BN367" i="3" s="1"/>
  <c r="AU367" i="3"/>
  <c r="BJ363" i="3"/>
  <c r="BR363" i="3" s="1"/>
  <c r="BK366" i="3"/>
  <c r="F382" i="5" s="1"/>
  <c r="BS366" i="3"/>
  <c r="BO366" i="3"/>
  <c r="AU366" i="3"/>
  <c r="AW185" i="3"/>
  <c r="AW188" i="3"/>
  <c r="BK365" i="3"/>
  <c r="BS365" i="3"/>
  <c r="AT365" i="3"/>
  <c r="BF365" i="3"/>
  <c r="BO365" i="3" s="1"/>
  <c r="AW183" i="3"/>
  <c r="AW191" i="3"/>
  <c r="AW184" i="3"/>
  <c r="AW192" i="3"/>
  <c r="AW193" i="3"/>
  <c r="AW189" i="3"/>
  <c r="AW186" i="3"/>
  <c r="AW190" i="3"/>
  <c r="AW187" i="3"/>
  <c r="AW162" i="3"/>
  <c r="AW42" i="3"/>
  <c r="AW112" i="3"/>
  <c r="AW28" i="3"/>
  <c r="AW39" i="3"/>
  <c r="AW170" i="3"/>
  <c r="AW85" i="3"/>
  <c r="AW35" i="3"/>
  <c r="AW93" i="3"/>
  <c r="AW21" i="3"/>
  <c r="AW44" i="3"/>
  <c r="BK364" i="3"/>
  <c r="BS364" i="3"/>
  <c r="AU364" i="3"/>
  <c r="BJ364" i="3"/>
  <c r="BB364" i="3"/>
  <c r="BC364" i="3" s="1"/>
  <c r="BP364" i="3" a="1"/>
  <c r="BP364" i="3" s="1"/>
  <c r="BT364" i="3" s="1"/>
  <c r="AS364" i="3"/>
  <c r="BH364" i="3" s="1"/>
  <c r="BI364" i="3"/>
  <c r="BD157" i="1"/>
  <c r="BD70" i="1"/>
  <c r="Q163" i="1"/>
  <c r="R163" i="1" s="1"/>
  <c r="BD117" i="1"/>
  <c r="Q99" i="1"/>
  <c r="R99" i="1" s="1"/>
  <c r="BE195" i="1"/>
  <c r="BE164" i="1"/>
  <c r="Q143" i="1"/>
  <c r="R143" i="1" s="1"/>
  <c r="Q65" i="1"/>
  <c r="R65" i="1" s="1"/>
  <c r="Q174" i="1"/>
  <c r="R174" i="1" s="1"/>
  <c r="BD191" i="1"/>
  <c r="BE153" i="1"/>
  <c r="BD129" i="1"/>
  <c r="BE103" i="1"/>
  <c r="Q13" i="1"/>
  <c r="R13" i="1" s="1"/>
  <c r="Q201" i="1"/>
  <c r="R201" i="1" s="1"/>
  <c r="BE124" i="1"/>
  <c r="Q148" i="1"/>
  <c r="R148" i="1" s="1"/>
  <c r="Q78" i="1"/>
  <c r="R78" i="1" s="1"/>
  <c r="Q161" i="1"/>
  <c r="R161" i="1" s="1"/>
  <c r="Q137" i="1"/>
  <c r="R137" i="1" s="1"/>
  <c r="Q62" i="1"/>
  <c r="R62" i="1" s="1"/>
  <c r="Q50" i="1"/>
  <c r="R50" i="1" s="1"/>
  <c r="BD11" i="1"/>
  <c r="Q185" i="1"/>
  <c r="R185" i="1" s="1"/>
  <c r="BE156" i="1"/>
  <c r="BE162" i="1"/>
  <c r="BD63" i="1"/>
  <c r="BD31" i="1"/>
  <c r="BD24" i="1"/>
  <c r="BD4" i="1"/>
  <c r="Q136" i="1"/>
  <c r="R136" i="1" s="1"/>
  <c r="BD182" i="1"/>
  <c r="BE140" i="1"/>
  <c r="BI363" i="3"/>
  <c r="BO363" i="3"/>
  <c r="BS362" i="3"/>
  <c r="BK362" i="3"/>
  <c r="BV362" i="3"/>
  <c r="BN362" i="3"/>
  <c r="BO362" i="3"/>
  <c r="BS363" i="3"/>
  <c r="BE142" i="1"/>
  <c r="BD140" i="1"/>
  <c r="BX192" i="1"/>
  <c r="BX188" i="1"/>
  <c r="BX198" i="1"/>
  <c r="BE191" i="1"/>
  <c r="BE146" i="1"/>
  <c r="BE11" i="1"/>
  <c r="BD93" i="1"/>
  <c r="BE150" i="1"/>
  <c r="Q4" i="1"/>
  <c r="R4" i="1" s="1"/>
  <c r="BE204" i="1"/>
  <c r="BE154" i="1"/>
  <c r="Q76" i="1"/>
  <c r="R76" i="1" s="1"/>
  <c r="BD142" i="1"/>
  <c r="BD103" i="1"/>
  <c r="Q176" i="1"/>
  <c r="R176" i="1" s="1"/>
  <c r="BE151" i="1"/>
  <c r="BD102" i="1"/>
  <c r="Q82" i="1"/>
  <c r="R82" i="1" s="1"/>
  <c r="BE148" i="1"/>
  <c r="Q164" i="1"/>
  <c r="R164" i="1" s="1"/>
  <c r="Q40" i="1"/>
  <c r="R40" i="1" s="1"/>
  <c r="BE23" i="1"/>
  <c r="Q198" i="1"/>
  <c r="R198" i="1" s="1"/>
  <c r="Q189" i="1"/>
  <c r="R189" i="1" s="1"/>
  <c r="Q192" i="1"/>
  <c r="R192" i="1" s="1"/>
  <c r="Q142" i="1"/>
  <c r="R142" i="1" s="1"/>
  <c r="BE186" i="1"/>
  <c r="Q170" i="1"/>
  <c r="R170" i="1" s="1"/>
  <c r="Q24" i="1"/>
  <c r="R24" i="1" s="1"/>
  <c r="Q112" i="1"/>
  <c r="R112" i="1" s="1"/>
  <c r="Q95" i="1"/>
  <c r="R95" i="1" s="1"/>
  <c r="BE69" i="1"/>
  <c r="Q204" i="1"/>
  <c r="R204" i="1" s="1"/>
  <c r="BE107" i="1"/>
  <c r="BE65" i="1"/>
  <c r="Q93" i="1"/>
  <c r="R93" i="1" s="1"/>
  <c r="Q114" i="1"/>
  <c r="R114" i="1" s="1"/>
  <c r="Q73" i="1"/>
  <c r="R73" i="1" s="1"/>
  <c r="Q44" i="1"/>
  <c r="R44" i="1" s="1"/>
  <c r="Q19" i="1"/>
  <c r="R19" i="1" s="1"/>
  <c r="Q14" i="1"/>
  <c r="R14" i="1" s="1"/>
  <c r="BD10" i="1"/>
  <c r="Q196" i="1"/>
  <c r="R196" i="1" s="1"/>
  <c r="Q57" i="1"/>
  <c r="R57" i="1" s="1"/>
  <c r="Q36" i="1"/>
  <c r="R36" i="1" s="1"/>
  <c r="BE178" i="1"/>
  <c r="Z134" i="1"/>
  <c r="BE58" i="1"/>
  <c r="BE41" i="1"/>
  <c r="Q23" i="1"/>
  <c r="R23" i="1" s="1"/>
  <c r="BE4" i="1"/>
  <c r="BD139" i="1"/>
  <c r="BE131" i="1"/>
  <c r="Q107" i="1"/>
  <c r="R107" i="1" s="1"/>
  <c r="BE102" i="1"/>
  <c r="BE66" i="1"/>
  <c r="BD41" i="1"/>
  <c r="Q103" i="1"/>
  <c r="R103" i="1" s="1"/>
  <c r="BE73" i="1"/>
  <c r="BE37" i="1"/>
  <c r="BD73" i="1"/>
  <c r="BD36" i="1"/>
  <c r="BE31" i="1"/>
  <c r="Q206" i="1"/>
  <c r="R206" i="1" s="1"/>
  <c r="Q160" i="1"/>
  <c r="R160" i="1" s="1"/>
  <c r="Q169" i="1"/>
  <c r="R169" i="1" s="1"/>
  <c r="Q100" i="1"/>
  <c r="R100" i="1" s="1"/>
  <c r="BE129" i="1"/>
  <c r="BD126" i="1"/>
  <c r="BE126" i="1"/>
  <c r="Q94" i="1"/>
  <c r="R94" i="1" s="1"/>
  <c r="Q178" i="1"/>
  <c r="R178" i="1" s="1"/>
  <c r="Q81" i="1"/>
  <c r="R81" i="1" s="1"/>
  <c r="BD81" i="1"/>
  <c r="BE81" i="1"/>
  <c r="BE182" i="1"/>
  <c r="Q180" i="1"/>
  <c r="R180" i="1" s="1"/>
  <c r="Q151" i="1"/>
  <c r="R151" i="1" s="1"/>
  <c r="BD127" i="1"/>
  <c r="Q140" i="1"/>
  <c r="R140" i="1" s="1"/>
  <c r="Q113" i="1"/>
  <c r="R113" i="1" s="1"/>
  <c r="BE185" i="1"/>
  <c r="Q129" i="1"/>
  <c r="R129" i="1" s="1"/>
  <c r="Q104" i="1"/>
  <c r="R104" i="1" s="1"/>
  <c r="Q203" i="1"/>
  <c r="R203" i="1" s="1"/>
  <c r="Q171" i="1"/>
  <c r="R171" i="1" s="1"/>
  <c r="Q125" i="1"/>
  <c r="R125" i="1" s="1"/>
  <c r="Q187" i="1"/>
  <c r="R187" i="1" s="1"/>
  <c r="Q167" i="1"/>
  <c r="R167" i="1" s="1"/>
  <c r="Q147" i="1"/>
  <c r="R147" i="1" s="1"/>
  <c r="Q119" i="1"/>
  <c r="R119" i="1" s="1"/>
  <c r="Q105" i="1"/>
  <c r="R105" i="1" s="1"/>
  <c r="Q92" i="1"/>
  <c r="R92" i="1" s="1"/>
  <c r="Q195" i="1"/>
  <c r="R195" i="1" s="1"/>
  <c r="Q194" i="1"/>
  <c r="R194" i="1" s="1"/>
  <c r="Q191" i="1"/>
  <c r="R191" i="1" s="1"/>
  <c r="Q186" i="1"/>
  <c r="R186" i="1" s="1"/>
  <c r="Q182" i="1"/>
  <c r="R182" i="1" s="1"/>
  <c r="Q115" i="1"/>
  <c r="R115" i="1" s="1"/>
  <c r="Q209" i="1"/>
  <c r="R209" i="1" s="1"/>
  <c r="Q205" i="1"/>
  <c r="R205" i="1" s="1"/>
  <c r="Q146" i="1"/>
  <c r="R146" i="1" s="1"/>
  <c r="Q141" i="1"/>
  <c r="R141" i="1" s="1"/>
  <c r="Q134" i="1"/>
  <c r="R134" i="1" s="1"/>
  <c r="Q207" i="1"/>
  <c r="R207" i="1" s="1"/>
  <c r="Q172" i="1"/>
  <c r="R172" i="1" s="1"/>
  <c r="BE139" i="1"/>
  <c r="Q124" i="1"/>
  <c r="R124" i="1" s="1"/>
  <c r="Q120" i="1"/>
  <c r="R120" i="1" s="1"/>
  <c r="Q47" i="1"/>
  <c r="R47" i="1" s="1"/>
  <c r="Q33" i="1"/>
  <c r="R33" i="1" s="1"/>
  <c r="Q5" i="1"/>
  <c r="R5" i="1" s="1"/>
  <c r="K39" i="5"/>
  <c r="L39" i="5" s="1"/>
  <c r="Q69" i="1"/>
  <c r="R69" i="1" s="1"/>
  <c r="Q60" i="1"/>
  <c r="R60" i="1" s="1"/>
  <c r="Q43" i="1"/>
  <c r="R43" i="1" s="1"/>
  <c r="BE24" i="1"/>
  <c r="Q87" i="1"/>
  <c r="R87" i="1" s="1"/>
  <c r="Q74" i="1"/>
  <c r="R74" i="1" s="1"/>
  <c r="Q39" i="1"/>
  <c r="R39" i="1" s="1"/>
  <c r="BE38" i="1"/>
  <c r="BE35" i="1"/>
  <c r="BE10" i="1"/>
  <c r="BD67" i="1"/>
  <c r="Q42" i="1"/>
  <c r="R42" i="1" s="1"/>
  <c r="Q28" i="1"/>
  <c r="R28" i="1" s="1"/>
  <c r="Q86" i="1"/>
  <c r="R86" i="1" s="1"/>
  <c r="Q61" i="1"/>
  <c r="R61" i="1" s="1"/>
  <c r="Q12" i="1"/>
  <c r="R12" i="1" s="1"/>
  <c r="Q96" i="1"/>
  <c r="R96" i="1" s="1"/>
  <c r="Q79" i="1"/>
  <c r="R79" i="1" s="1"/>
  <c r="BD66" i="1"/>
  <c r="Q52" i="1"/>
  <c r="R52" i="1" s="1"/>
  <c r="Q34" i="1"/>
  <c r="R34" i="1" s="1"/>
  <c r="Q18" i="1"/>
  <c r="R18" i="1" s="1"/>
  <c r="Q16" i="1"/>
  <c r="R16" i="1" s="1"/>
  <c r="Q7" i="1"/>
  <c r="R7" i="1" s="1"/>
  <c r="Q6" i="1"/>
  <c r="R6" i="1" s="1"/>
  <c r="Q32" i="1"/>
  <c r="R32" i="1" s="1"/>
  <c r="Q75" i="1"/>
  <c r="R75" i="1" s="1"/>
  <c r="Q67" i="1"/>
  <c r="R67" i="1" s="1"/>
  <c r="Q70" i="1"/>
  <c r="R70" i="1" s="1"/>
  <c r="BD69" i="1"/>
  <c r="BE60" i="1"/>
  <c r="Q55" i="1"/>
  <c r="R55" i="1" s="1"/>
  <c r="Q27" i="1"/>
  <c r="R27" i="1" s="1"/>
  <c r="BD23" i="1"/>
  <c r="BD9" i="1"/>
  <c r="Q3" i="1"/>
  <c r="R3" i="1" s="1"/>
  <c r="M65" i="5"/>
  <c r="Q41" i="1"/>
  <c r="R41" i="1" s="1"/>
  <c r="Q29" i="1"/>
  <c r="R29" i="1" s="1"/>
  <c r="Q21" i="1"/>
  <c r="R21" i="1" s="1"/>
  <c r="Q102" i="1"/>
  <c r="R102" i="1" s="1"/>
  <c r="Q66" i="1"/>
  <c r="R66" i="1" s="1"/>
  <c r="Q58" i="1"/>
  <c r="R58" i="1" s="1"/>
  <c r="Q30" i="1"/>
  <c r="R30" i="1" s="1"/>
  <c r="BE20" i="1"/>
  <c r="Q11" i="1"/>
  <c r="R11" i="1" s="1"/>
  <c r="K59" i="5"/>
  <c r="N59" i="5" s="1"/>
  <c r="L64" i="5"/>
  <c r="K22" i="5"/>
  <c r="M22" i="5" s="1"/>
  <c r="Y16" i="1"/>
  <c r="N81" i="5"/>
  <c r="M81" i="5"/>
  <c r="L81" i="5"/>
  <c r="M70" i="5"/>
  <c r="N70" i="5"/>
  <c r="L70" i="5"/>
  <c r="N56" i="5"/>
  <c r="M56" i="5"/>
  <c r="L56" i="5"/>
  <c r="N3" i="5"/>
  <c r="M3" i="5"/>
  <c r="L3" i="5"/>
  <c r="M58" i="5"/>
  <c r="N58" i="5"/>
  <c r="L58" i="5"/>
  <c r="M21" i="5"/>
  <c r="N21" i="5"/>
  <c r="L21" i="5"/>
  <c r="M4" i="5"/>
  <c r="N4" i="5"/>
  <c r="L4" i="5"/>
  <c r="M34" i="5"/>
  <c r="L34" i="5"/>
  <c r="N34" i="5"/>
  <c r="M17" i="5"/>
  <c r="N17" i="5"/>
  <c r="L17" i="5"/>
  <c r="M184" i="5"/>
  <c r="N184" i="5"/>
  <c r="L184" i="5"/>
  <c r="M92" i="5"/>
  <c r="N92" i="5"/>
  <c r="L92" i="5"/>
  <c r="N15" i="5"/>
  <c r="M15" i="5"/>
  <c r="L15" i="5"/>
  <c r="M12" i="5"/>
  <c r="N12" i="5"/>
  <c r="L12" i="5"/>
  <c r="N172" i="5"/>
  <c r="M172" i="5"/>
  <c r="M202" i="5"/>
  <c r="L202" i="5"/>
  <c r="N202" i="5"/>
  <c r="N23" i="5"/>
  <c r="M23" i="5"/>
  <c r="L23" i="5"/>
  <c r="M9" i="5"/>
  <c r="L9" i="5"/>
  <c r="N9" i="5"/>
  <c r="M5" i="5"/>
  <c r="N5" i="5"/>
  <c r="L5" i="5"/>
  <c r="M8" i="5"/>
  <c r="N8" i="5"/>
  <c r="L8" i="5"/>
  <c r="M62" i="5"/>
  <c r="N62" i="5"/>
  <c r="L62" i="5"/>
  <c r="N57" i="5"/>
  <c r="M57" i="5"/>
  <c r="L57" i="5"/>
  <c r="M20" i="5"/>
  <c r="N20" i="5"/>
  <c r="L20" i="5"/>
  <c r="M128" i="5"/>
  <c r="N128" i="5"/>
  <c r="L128" i="5"/>
  <c r="N68" i="5"/>
  <c r="M68" i="5"/>
  <c r="L68" i="5"/>
  <c r="N47" i="5"/>
  <c r="M47" i="5"/>
  <c r="L47" i="5"/>
  <c r="M13" i="5"/>
  <c r="N13" i="5"/>
  <c r="L13" i="5"/>
  <c r="M93" i="5"/>
  <c r="N93" i="5"/>
  <c r="M16" i="5"/>
  <c r="L16" i="5"/>
  <c r="N16" i="5"/>
  <c r="N11" i="5"/>
  <c r="M11" i="5"/>
  <c r="L11" i="5"/>
  <c r="N35" i="5"/>
  <c r="M35" i="5"/>
  <c r="L35" i="5"/>
  <c r="N7" i="5"/>
  <c r="M7" i="5"/>
  <c r="L7" i="5"/>
  <c r="Z160" i="1"/>
  <c r="K160" i="5"/>
  <c r="N123" i="5"/>
  <c r="M123" i="5"/>
  <c r="Y171" i="1"/>
  <c r="K171" i="5"/>
  <c r="Y157" i="1"/>
  <c r="K157" i="5"/>
  <c r="N157" i="5" s="1"/>
  <c r="AB61" i="1"/>
  <c r="K61" i="5"/>
  <c r="M28" i="5"/>
  <c r="M64" i="5"/>
  <c r="N65" i="5"/>
  <c r="K85" i="5"/>
  <c r="N167" i="5"/>
  <c r="M167" i="5"/>
  <c r="Y159" i="1"/>
  <c r="K159" i="5"/>
  <c r="AA144" i="1"/>
  <c r="K144" i="5"/>
  <c r="AA205" i="1"/>
  <c r="K205" i="5"/>
  <c r="M205" i="5" s="1"/>
  <c r="Z108" i="1"/>
  <c r="K108" i="5"/>
  <c r="M84" i="5"/>
  <c r="N84" i="5"/>
  <c r="L84" i="5"/>
  <c r="N28" i="5"/>
  <c r="K142" i="5"/>
  <c r="M142" i="5" s="1"/>
  <c r="M155" i="5"/>
  <c r="L155" i="5"/>
  <c r="N146" i="5"/>
  <c r="L146" i="5"/>
  <c r="N143" i="5"/>
  <c r="M143" i="5"/>
  <c r="L143" i="5"/>
  <c r="M131" i="5"/>
  <c r="L131" i="5"/>
  <c r="AB122" i="1"/>
  <c r="K122" i="5"/>
  <c r="M122" i="5" s="1"/>
  <c r="Y121" i="1"/>
  <c r="K121" i="5"/>
  <c r="L117" i="5"/>
  <c r="M117" i="5"/>
  <c r="Y103" i="1"/>
  <c r="K103" i="5"/>
  <c r="M101" i="5"/>
  <c r="L101" i="5"/>
  <c r="M66" i="5"/>
  <c r="L66" i="5"/>
  <c r="M41" i="5"/>
  <c r="L94" i="5"/>
  <c r="N101" i="5"/>
  <c r="Y168" i="1"/>
  <c r="K168" i="5"/>
  <c r="Z170" i="1"/>
  <c r="K170" i="5"/>
  <c r="AA148" i="1"/>
  <c r="K148" i="5"/>
  <c r="Y192" i="1"/>
  <c r="K192" i="5"/>
  <c r="M192" i="5" s="1"/>
  <c r="Y180" i="1"/>
  <c r="K180" i="5"/>
  <c r="Y166" i="1"/>
  <c r="K166" i="5"/>
  <c r="N166" i="5" s="1"/>
  <c r="M164" i="5"/>
  <c r="N164" i="5"/>
  <c r="L164" i="5"/>
  <c r="Y154" i="1"/>
  <c r="K154" i="5"/>
  <c r="N154" i="5" s="1"/>
  <c r="AA136" i="1"/>
  <c r="K136" i="5"/>
  <c r="Y116" i="1"/>
  <c r="K116" i="5"/>
  <c r="Z115" i="1"/>
  <c r="K115" i="5"/>
  <c r="N60" i="5"/>
  <c r="M60" i="5"/>
  <c r="K24" i="5"/>
  <c r="N41" i="5"/>
  <c r="M87" i="5"/>
  <c r="N94" i="5"/>
  <c r="K140" i="5"/>
  <c r="N155" i="5"/>
  <c r="M204" i="5"/>
  <c r="N204" i="5"/>
  <c r="N135" i="5"/>
  <c r="M135" i="5"/>
  <c r="N111" i="5"/>
  <c r="L111" i="5"/>
  <c r="AB91" i="1"/>
  <c r="K91" i="5"/>
  <c r="M91" i="5" s="1"/>
  <c r="Z90" i="1"/>
  <c r="K90" i="5"/>
  <c r="K69" i="5"/>
  <c r="K83" i="5"/>
  <c r="N83" i="5" s="1"/>
  <c r="K188" i="5"/>
  <c r="Y153" i="1"/>
  <c r="K153" i="5"/>
  <c r="N153" i="5" s="1"/>
  <c r="M152" i="5"/>
  <c r="N152" i="5"/>
  <c r="N139" i="5"/>
  <c r="M139" i="5"/>
  <c r="L129" i="5"/>
  <c r="M129" i="5"/>
  <c r="M124" i="5"/>
  <c r="N124" i="5"/>
  <c r="L124" i="5"/>
  <c r="Z120" i="1"/>
  <c r="K120" i="5"/>
  <c r="N114" i="5"/>
  <c r="L114" i="5"/>
  <c r="M73" i="5"/>
  <c r="L73" i="5"/>
  <c r="Y55" i="1"/>
  <c r="K55" i="5"/>
  <c r="M55" i="5" s="1"/>
  <c r="K40" i="5"/>
  <c r="M40" i="5" s="1"/>
  <c r="N73" i="5"/>
  <c r="K110" i="5"/>
  <c r="N110" i="5" s="1"/>
  <c r="N129" i="5"/>
  <c r="Y156" i="1"/>
  <c r="K156" i="5"/>
  <c r="Y196" i="1"/>
  <c r="K196" i="5"/>
  <c r="AB179" i="1"/>
  <c r="K179" i="5"/>
  <c r="Y36" i="1"/>
  <c r="K36" i="5"/>
  <c r="M36" i="5" s="1"/>
  <c r="M32" i="5"/>
  <c r="N66" i="5"/>
  <c r="K118" i="5"/>
  <c r="L118" i="5" s="1"/>
  <c r="N131" i="5"/>
  <c r="AA200" i="1"/>
  <c r="K200" i="5"/>
  <c r="N200" i="5" s="1"/>
  <c r="Z191" i="1"/>
  <c r="K191" i="5"/>
  <c r="N191" i="5" s="1"/>
  <c r="N178" i="5"/>
  <c r="M178" i="5"/>
  <c r="AA163" i="1"/>
  <c r="K163" i="5"/>
  <c r="Y150" i="1"/>
  <c r="K150" i="5"/>
  <c r="Z147" i="1"/>
  <c r="K147" i="5"/>
  <c r="L145" i="5"/>
  <c r="M145" i="5"/>
  <c r="N138" i="5"/>
  <c r="L138" i="5"/>
  <c r="Y33" i="1"/>
  <c r="K33" i="5"/>
  <c r="L60" i="5"/>
  <c r="K82" i="5"/>
  <c r="K151" i="5"/>
  <c r="Z195" i="1"/>
  <c r="K195" i="5"/>
  <c r="L195" i="5" s="1"/>
  <c r="Y194" i="1"/>
  <c r="K194" i="5"/>
  <c r="L177" i="5"/>
  <c r="N177" i="5"/>
  <c r="Y162" i="1"/>
  <c r="K162" i="5"/>
  <c r="N162" i="5" s="1"/>
  <c r="M106" i="5"/>
  <c r="N106" i="5"/>
  <c r="L106" i="5"/>
  <c r="M105" i="5"/>
  <c r="N105" i="5"/>
  <c r="M77" i="5"/>
  <c r="L77" i="5"/>
  <c r="AA76" i="1"/>
  <c r="K76" i="5"/>
  <c r="K102" i="5"/>
  <c r="K125" i="5"/>
  <c r="N125" i="5" s="1"/>
  <c r="L167" i="5"/>
  <c r="AA186" i="1"/>
  <c r="K186" i="5"/>
  <c r="L186" i="5" s="1"/>
  <c r="AA185" i="1"/>
  <c r="K185" i="5"/>
  <c r="L185" i="5" s="1"/>
  <c r="Y113" i="1"/>
  <c r="K113" i="5"/>
  <c r="M104" i="5"/>
  <c r="N104" i="5"/>
  <c r="Z89" i="1"/>
  <c r="K89" i="5"/>
  <c r="N72" i="5"/>
  <c r="M72" i="5"/>
  <c r="L72" i="5"/>
  <c r="Y71" i="1"/>
  <c r="K71" i="5"/>
  <c r="N71" i="5" s="1"/>
  <c r="K31" i="5"/>
  <c r="K78" i="5"/>
  <c r="M149" i="5"/>
  <c r="M177" i="5"/>
  <c r="N198" i="5"/>
  <c r="M198" i="5"/>
  <c r="L198" i="5"/>
  <c r="AA203" i="1"/>
  <c r="K203" i="5"/>
  <c r="M203" i="5" s="1"/>
  <c r="AA176" i="1"/>
  <c r="K176" i="5"/>
  <c r="Y133" i="1"/>
  <c r="K133" i="5"/>
  <c r="L133" i="5" s="1"/>
  <c r="Y132" i="1"/>
  <c r="K132" i="5"/>
  <c r="N119" i="5"/>
  <c r="M119" i="5"/>
  <c r="L119" i="5"/>
  <c r="L99" i="5"/>
  <c r="M99" i="5"/>
  <c r="K19" i="5"/>
  <c r="K37" i="5"/>
  <c r="K74" i="5"/>
  <c r="L123" i="5"/>
  <c r="M6" i="5"/>
  <c r="M10" i="5"/>
  <c r="M14" i="5"/>
  <c r="M18" i="5"/>
  <c r="M30" i="5"/>
  <c r="N38" i="5"/>
  <c r="N6" i="5"/>
  <c r="N10" i="5"/>
  <c r="N14" i="5"/>
  <c r="N18" i="5"/>
  <c r="N30" i="5"/>
  <c r="L32" i="5"/>
  <c r="N67" i="5"/>
  <c r="M67" i="5"/>
  <c r="L67" i="5"/>
  <c r="L48" i="5"/>
  <c r="M48" i="5"/>
  <c r="L38" i="5"/>
  <c r="N63" i="5"/>
  <c r="M63" i="5"/>
  <c r="L63" i="5"/>
  <c r="N87" i="5"/>
  <c r="N99" i="5"/>
  <c r="L100" i="5"/>
  <c r="N117" i="5"/>
  <c r="N130" i="5"/>
  <c r="M130" i="5"/>
  <c r="N100" i="5"/>
  <c r="L75" i="5"/>
  <c r="L95" i="5"/>
  <c r="L107" i="5"/>
  <c r="L109" i="5"/>
  <c r="M114" i="5"/>
  <c r="M75" i="5"/>
  <c r="M95" i="5"/>
  <c r="M107" i="5"/>
  <c r="M109" i="5"/>
  <c r="N134" i="5"/>
  <c r="M134" i="5"/>
  <c r="L86" i="5"/>
  <c r="L98" i="5"/>
  <c r="M86" i="5"/>
  <c r="M98" i="5"/>
  <c r="N126" i="5"/>
  <c r="M126" i="5"/>
  <c r="L93" i="5"/>
  <c r="L105" i="5"/>
  <c r="L126" i="5"/>
  <c r="L141" i="5"/>
  <c r="N141" i="5"/>
  <c r="M141" i="5"/>
  <c r="N145" i="5"/>
  <c r="N149" i="5"/>
  <c r="N161" i="5"/>
  <c r="N165" i="5"/>
  <c r="N181" i="5"/>
  <c r="L182" i="5"/>
  <c r="L158" i="5"/>
  <c r="M175" i="5"/>
  <c r="M182" i="5"/>
  <c r="L204" i="5"/>
  <c r="M138" i="5"/>
  <c r="M146" i="5"/>
  <c r="M158" i="5"/>
  <c r="N175" i="5"/>
  <c r="M183" i="5"/>
  <c r="L183" i="5"/>
  <c r="N183" i="5"/>
  <c r="N201" i="5"/>
  <c r="L201" i="5"/>
  <c r="L172" i="5"/>
  <c r="L178" i="5"/>
  <c r="M201" i="5"/>
  <c r="M187" i="5"/>
  <c r="L187" i="5"/>
  <c r="L173" i="5"/>
  <c r="N187" i="5"/>
  <c r="M173" i="5"/>
  <c r="L161" i="5"/>
  <c r="L165" i="5"/>
  <c r="L181" i="5"/>
  <c r="L193" i="5"/>
  <c r="M199" i="5"/>
  <c r="L199" i="5"/>
  <c r="M193" i="5"/>
  <c r="Y15" i="1"/>
  <c r="AA92" i="1"/>
  <c r="Y122" i="1"/>
  <c r="Z154" i="1"/>
  <c r="Y14" i="1"/>
  <c r="AA47" i="1"/>
  <c r="AA154" i="1"/>
  <c r="Z140" i="1"/>
  <c r="AB76" i="1"/>
  <c r="AA192" i="1"/>
  <c r="Y143" i="1"/>
  <c r="AA134" i="1"/>
  <c r="AB121" i="1"/>
  <c r="Y76" i="1"/>
  <c r="AA63" i="1"/>
  <c r="AA9" i="1"/>
  <c r="Z63" i="1"/>
  <c r="Y60" i="1"/>
  <c r="Z11" i="1"/>
  <c r="Y205" i="1"/>
  <c r="AA188" i="1"/>
  <c r="Z15" i="1"/>
  <c r="Y11" i="1"/>
  <c r="AA132" i="1"/>
  <c r="AB153" i="1"/>
  <c r="AA153" i="1"/>
  <c r="Z91" i="1"/>
  <c r="AA160" i="1"/>
  <c r="AA158" i="1"/>
  <c r="Z119" i="1"/>
  <c r="AB113" i="1"/>
  <c r="Z99" i="1"/>
  <c r="Y91" i="1"/>
  <c r="AB58" i="1"/>
  <c r="AB201" i="1"/>
  <c r="AA37" i="1"/>
  <c r="AB30" i="1"/>
  <c r="Z9" i="1"/>
  <c r="Y203" i="1"/>
  <c r="AA30" i="1"/>
  <c r="AA19" i="1"/>
  <c r="Y9" i="1"/>
  <c r="Z128" i="1"/>
  <c r="AA82" i="1"/>
  <c r="Z24" i="1"/>
  <c r="Y98" i="1"/>
  <c r="Z75" i="1"/>
  <c r="Z16" i="1"/>
  <c r="AA10" i="1"/>
  <c r="Y173" i="1"/>
  <c r="Y136" i="1"/>
  <c r="Y38" i="1"/>
  <c r="Y10" i="1"/>
  <c r="Y186" i="1"/>
  <c r="Z148" i="1"/>
  <c r="Z136" i="1"/>
  <c r="Z130" i="1"/>
  <c r="AA122" i="1"/>
  <c r="Z118" i="1"/>
  <c r="AA75" i="1"/>
  <c r="AB68" i="1"/>
  <c r="Y66" i="1"/>
  <c r="Y57" i="1"/>
  <c r="Y20" i="1"/>
  <c r="Y4" i="1"/>
  <c r="AA89" i="1"/>
  <c r="AA178" i="1"/>
  <c r="AA119" i="1"/>
  <c r="AB192" i="1"/>
  <c r="Y165" i="1"/>
  <c r="AB164" i="1"/>
  <c r="Z158" i="1"/>
  <c r="AB134" i="1"/>
  <c r="Z125" i="1"/>
  <c r="Y119" i="1"/>
  <c r="Z93" i="1"/>
  <c r="AB11" i="1"/>
  <c r="AB168" i="1"/>
  <c r="Z149" i="1"/>
  <c r="Z36" i="1"/>
  <c r="AB20" i="1"/>
  <c r="AB4" i="1"/>
  <c r="Y134" i="1"/>
  <c r="AA20" i="1"/>
  <c r="AA12" i="1"/>
  <c r="Y5" i="1"/>
  <c r="AA4" i="1"/>
  <c r="AB186" i="1"/>
  <c r="AB180" i="1"/>
  <c r="AA167" i="1"/>
  <c r="Z66" i="1"/>
  <c r="AA57" i="1"/>
  <c r="Z20" i="1"/>
  <c r="Z4" i="1"/>
  <c r="Y204" i="1"/>
  <c r="Z204" i="1"/>
  <c r="AA204" i="1"/>
  <c r="AA202" i="1"/>
  <c r="AB202" i="1"/>
  <c r="Y202" i="1"/>
  <c r="Y198" i="1"/>
  <c r="Z198" i="1"/>
  <c r="AA196" i="1"/>
  <c r="AB196" i="1"/>
  <c r="AB191" i="1"/>
  <c r="AA183" i="1"/>
  <c r="Y183" i="1"/>
  <c r="Y141" i="1"/>
  <c r="AB141" i="1"/>
  <c r="Z126" i="1"/>
  <c r="AB126" i="1"/>
  <c r="Y126" i="1"/>
  <c r="AA114" i="1"/>
  <c r="Y114" i="1"/>
  <c r="AB107" i="1"/>
  <c r="AA87" i="1"/>
  <c r="Y87" i="1"/>
  <c r="AA84" i="1"/>
  <c r="AB84" i="1"/>
  <c r="Z84" i="1"/>
  <c r="AA81" i="1"/>
  <c r="AB81" i="1"/>
  <c r="Y81" i="1"/>
  <c r="AA18" i="1"/>
  <c r="Y18" i="1"/>
  <c r="Z8" i="1"/>
  <c r="AA8" i="1"/>
  <c r="AB8" i="1"/>
  <c r="Y8" i="1"/>
  <c r="Z3" i="1"/>
  <c r="AA3" i="1"/>
  <c r="AB3" i="1"/>
  <c r="Y3" i="1"/>
  <c r="AB119" i="1"/>
  <c r="Z98" i="1"/>
  <c r="AA66" i="1"/>
  <c r="Z60" i="1"/>
  <c r="AA15" i="1"/>
  <c r="Z14" i="1"/>
  <c r="Z5" i="1"/>
  <c r="AA143" i="1"/>
  <c r="AA142" i="1"/>
  <c r="AB135" i="1"/>
  <c r="Y95" i="1"/>
  <c r="Y86" i="1"/>
  <c r="AB13" i="1"/>
  <c r="AB7" i="1"/>
  <c r="AB115" i="1"/>
  <c r="AA90" i="1"/>
  <c r="AA85" i="1"/>
  <c r="Y83" i="1"/>
  <c r="AA69" i="1"/>
  <c r="AA13" i="1"/>
  <c r="AA7" i="1"/>
  <c r="Z201" i="1"/>
  <c r="AB173" i="1"/>
  <c r="AB171" i="1"/>
  <c r="Z164" i="1"/>
  <c r="Y160" i="1"/>
  <c r="Y155" i="1"/>
  <c r="AA146" i="1"/>
  <c r="AA115" i="1"/>
  <c r="AA106" i="1"/>
  <c r="Z69" i="1"/>
  <c r="Z13" i="1"/>
  <c r="Z7" i="1"/>
  <c r="AA173" i="1"/>
  <c r="AB158" i="1"/>
  <c r="AA152" i="1"/>
  <c r="AA149" i="1"/>
  <c r="Z146" i="1"/>
  <c r="Z106" i="1"/>
  <c r="Y13" i="1"/>
  <c r="AA11" i="1"/>
  <c r="Y7" i="1"/>
  <c r="AB98" i="1"/>
  <c r="AA73" i="1"/>
  <c r="AB60" i="1"/>
  <c r="Z30" i="1"/>
  <c r="AB14" i="1"/>
  <c r="AA98" i="1"/>
  <c r="AA77" i="1"/>
  <c r="Y73" i="1"/>
  <c r="AA60" i="1"/>
  <c r="Z59" i="1"/>
  <c r="Y30" i="1"/>
  <c r="AB15" i="1"/>
  <c r="AA14" i="1"/>
  <c r="AA5" i="1"/>
  <c r="AB176" i="1"/>
  <c r="Y176" i="1"/>
  <c r="Z176" i="1"/>
  <c r="Y161" i="1"/>
  <c r="Z161" i="1"/>
  <c r="AA161" i="1"/>
  <c r="AB161" i="1"/>
  <c r="Y184" i="1"/>
  <c r="AA184" i="1"/>
  <c r="Y187" i="1"/>
  <c r="AA187" i="1"/>
  <c r="AB182" i="1"/>
  <c r="Y182" i="1"/>
  <c r="Z182" i="1"/>
  <c r="AA182" i="1"/>
  <c r="Y109" i="1"/>
  <c r="Z109" i="1"/>
  <c r="AA109" i="1"/>
  <c r="AB109" i="1"/>
  <c r="Y193" i="1"/>
  <c r="Z177" i="1"/>
  <c r="Y177" i="1"/>
  <c r="AA177" i="1"/>
  <c r="AB177" i="1"/>
  <c r="AB200" i="1"/>
  <c r="Y200" i="1"/>
  <c r="Z200" i="1"/>
  <c r="Y185" i="1"/>
  <c r="Z185" i="1"/>
  <c r="AB185" i="1"/>
  <c r="Y179" i="1"/>
  <c r="Z179" i="1"/>
  <c r="AA179" i="1"/>
  <c r="AA180" i="1"/>
  <c r="AA168" i="1"/>
  <c r="Z167" i="1"/>
  <c r="AB166" i="1"/>
  <c r="AA159" i="1"/>
  <c r="Z152" i="1"/>
  <c r="AA141" i="1"/>
  <c r="Z139" i="1"/>
  <c r="AA133" i="1"/>
  <c r="Y28" i="1"/>
  <c r="AB28" i="1"/>
  <c r="Z196" i="1"/>
  <c r="AB183" i="1"/>
  <c r="Y167" i="1"/>
  <c r="AA162" i="1"/>
  <c r="AA157" i="1"/>
  <c r="Y152" i="1"/>
  <c r="AB149" i="1"/>
  <c r="Y148" i="1"/>
  <c r="AB146" i="1"/>
  <c r="AB128" i="1"/>
  <c r="AB204" i="1"/>
  <c r="Z180" i="1"/>
  <c r="Z168" i="1"/>
  <c r="Y147" i="1"/>
  <c r="Z141" i="1"/>
  <c r="AA128" i="1"/>
  <c r="Z122" i="1"/>
  <c r="Y170" i="1"/>
  <c r="AB162" i="1"/>
  <c r="Z157" i="1"/>
  <c r="Z144" i="1"/>
  <c r="Z205" i="1"/>
  <c r="Z183" i="1"/>
  <c r="AA156" i="1"/>
  <c r="AA150" i="1"/>
  <c r="Y149" i="1"/>
  <c r="Y146" i="1"/>
  <c r="Y128" i="1"/>
  <c r="AA201" i="1"/>
  <c r="AB194" i="1"/>
  <c r="AA191" i="1"/>
  <c r="AA164" i="1"/>
  <c r="AB154" i="1"/>
  <c r="AB140" i="1"/>
  <c r="Z131" i="1"/>
  <c r="Z124" i="1"/>
  <c r="Y163" i="1"/>
  <c r="AB156" i="1"/>
  <c r="AB150" i="1"/>
  <c r="AA125" i="1"/>
  <c r="Z121" i="1"/>
  <c r="Y201" i="1"/>
  <c r="AB195" i="1"/>
  <c r="Y191" i="1"/>
  <c r="AB188" i="1"/>
  <c r="Z173" i="1"/>
  <c r="Y164" i="1"/>
  <c r="Y158" i="1"/>
  <c r="Z153" i="1"/>
  <c r="Y151" i="1"/>
  <c r="Z132" i="1"/>
  <c r="AA129" i="1"/>
  <c r="AB118" i="1"/>
  <c r="Y118" i="1"/>
  <c r="AB116" i="1"/>
  <c r="AB114" i="1"/>
  <c r="Z114" i="1"/>
  <c r="AB198" i="1"/>
  <c r="AA195" i="1"/>
  <c r="Z192" i="1"/>
  <c r="Z171" i="1"/>
  <c r="AB155" i="1"/>
  <c r="AB143" i="1"/>
  <c r="AB142" i="1"/>
  <c r="AA140" i="1"/>
  <c r="AA121" i="1"/>
  <c r="Y100" i="1"/>
  <c r="Z100" i="1"/>
  <c r="AA100" i="1"/>
  <c r="AB100" i="1"/>
  <c r="Z203" i="1"/>
  <c r="Z202" i="1"/>
  <c r="AA199" i="1"/>
  <c r="AA198" i="1"/>
  <c r="Z186" i="1"/>
  <c r="AA166" i="1"/>
  <c r="AB160" i="1"/>
  <c r="AA155" i="1"/>
  <c r="AB133" i="1"/>
  <c r="Z116" i="1"/>
  <c r="AA116" i="1"/>
  <c r="Y195" i="1"/>
  <c r="AB167" i="1"/>
  <c r="Z166" i="1"/>
  <c r="Z155" i="1"/>
  <c r="AB152" i="1"/>
  <c r="Z143" i="1"/>
  <c r="AB136" i="1"/>
  <c r="Z133" i="1"/>
  <c r="AA126" i="1"/>
  <c r="AB120" i="1"/>
  <c r="Z111" i="1"/>
  <c r="AA111" i="1"/>
  <c r="Z110" i="1"/>
  <c r="AB106" i="1"/>
  <c r="Y99" i="1"/>
  <c r="Y93" i="1"/>
  <c r="AB75" i="1"/>
  <c r="Z73" i="1"/>
  <c r="AB63" i="1"/>
  <c r="Z57" i="1"/>
  <c r="Y39" i="1"/>
  <c r="Z39" i="1"/>
  <c r="Y90" i="1"/>
  <c r="AB89" i="1"/>
  <c r="Y85" i="1"/>
  <c r="AB36" i="1"/>
  <c r="AA102" i="1"/>
  <c r="Z37" i="1"/>
  <c r="AB35" i="1"/>
  <c r="Y115" i="1"/>
  <c r="Y106" i="1"/>
  <c r="AB87" i="1"/>
  <c r="AB86" i="1"/>
  <c r="Z81" i="1"/>
  <c r="Y75" i="1"/>
  <c r="AB66" i="1"/>
  <c r="Y63" i="1"/>
  <c r="Y56" i="1"/>
  <c r="AB55" i="1"/>
  <c r="Z48" i="1"/>
  <c r="AA35" i="1"/>
  <c r="Z21" i="1"/>
  <c r="Y21" i="1"/>
  <c r="AA21" i="1"/>
  <c r="AB21" i="1"/>
  <c r="AA86" i="1"/>
  <c r="AA83" i="1"/>
  <c r="AB64" i="1"/>
  <c r="AA55" i="1"/>
  <c r="Y40" i="1"/>
  <c r="Z35" i="1"/>
  <c r="Y31" i="1"/>
  <c r="AA31" i="1"/>
  <c r="AA113" i="1"/>
  <c r="AA108" i="1"/>
  <c r="Y107" i="1"/>
  <c r="AB104" i="1"/>
  <c r="Y94" i="1"/>
  <c r="AB92" i="1"/>
  <c r="Z87" i="1"/>
  <c r="Z86" i="1"/>
  <c r="Z82" i="1"/>
  <c r="Z76" i="1"/>
  <c r="Z62" i="1"/>
  <c r="Y35" i="1"/>
  <c r="AA117" i="1"/>
  <c r="AA104" i="1"/>
  <c r="AB103" i="1"/>
  <c r="Y101" i="1"/>
  <c r="Y78" i="1"/>
  <c r="Y74" i="1"/>
  <c r="Z55" i="1"/>
  <c r="Z113" i="1"/>
  <c r="AB108" i="1"/>
  <c r="Z103" i="1"/>
  <c r="Z92" i="1"/>
  <c r="AB83" i="1"/>
  <c r="AB71" i="1"/>
  <c r="AA68" i="1"/>
  <c r="AB65" i="1"/>
  <c r="AB59" i="1"/>
  <c r="AA58" i="1"/>
  <c r="AA24" i="1"/>
  <c r="AB24" i="1"/>
  <c r="Y92" i="1"/>
  <c r="AA91" i="1"/>
  <c r="AA71" i="1"/>
  <c r="Z68" i="1"/>
  <c r="Z58" i="1"/>
  <c r="Y34" i="1"/>
  <c r="AA33" i="1"/>
  <c r="Z33" i="1"/>
  <c r="AA103" i="1"/>
  <c r="AB99" i="1"/>
  <c r="AB93" i="1"/>
  <c r="AB69" i="1"/>
  <c r="Y68" i="1"/>
  <c r="Y58" i="1"/>
  <c r="AB110" i="1"/>
  <c r="AA99" i="1"/>
  <c r="AA93" i="1"/>
  <c r="AB90" i="1"/>
  <c r="AB85" i="1"/>
  <c r="Y84" i="1"/>
  <c r="AB73" i="1"/>
  <c r="Z71" i="1"/>
  <c r="Y61" i="1"/>
  <c r="AB57" i="1"/>
  <c r="AB39" i="1"/>
  <c r="AA36" i="1"/>
  <c r="AB17" i="1"/>
  <c r="AB6" i="1"/>
  <c r="AB18" i="1"/>
  <c r="AA17" i="1"/>
  <c r="AB10" i="1"/>
  <c r="AA6" i="1"/>
  <c r="Z17" i="1"/>
  <c r="Z6" i="1"/>
  <c r="Z18" i="1"/>
  <c r="Y17" i="1"/>
  <c r="AB12" i="1"/>
  <c r="Z10" i="1"/>
  <c r="Y6" i="1"/>
  <c r="AA22" i="1"/>
  <c r="Z19" i="1"/>
  <c r="AB16" i="1"/>
  <c r="Z12" i="1"/>
  <c r="AA16" i="1"/>
  <c r="Y12" i="1"/>
  <c r="AB9" i="1"/>
  <c r="AB5" i="1"/>
  <c r="AB19" i="1"/>
  <c r="Q208" i="1"/>
  <c r="BD204" i="1"/>
  <c r="Q200" i="1"/>
  <c r="Q199" i="1"/>
  <c r="Q197" i="1"/>
  <c r="Z181" i="1"/>
  <c r="AB181" i="1"/>
  <c r="Y181" i="1"/>
  <c r="AA181" i="1"/>
  <c r="Q190" i="1"/>
  <c r="Z199" i="1"/>
  <c r="Y199" i="1"/>
  <c r="AB199" i="1"/>
  <c r="AB205" i="1"/>
  <c r="Z193" i="1"/>
  <c r="AB193" i="1"/>
  <c r="AA194" i="1"/>
  <c r="Q177" i="1"/>
  <c r="Z194" i="1"/>
  <c r="Q183" i="1"/>
  <c r="Q202" i="1"/>
  <c r="BD195" i="1"/>
  <c r="BD184" i="1"/>
  <c r="BE184" i="1"/>
  <c r="BD159" i="1"/>
  <c r="BE159" i="1"/>
  <c r="Q159" i="1"/>
  <c r="Q193" i="1"/>
  <c r="BD186" i="1"/>
  <c r="BD185" i="1"/>
  <c r="Z178" i="1"/>
  <c r="AB178" i="1"/>
  <c r="Y178" i="1"/>
  <c r="Y175" i="1"/>
  <c r="Z175" i="1"/>
  <c r="AB175" i="1"/>
  <c r="AA175" i="1"/>
  <c r="AB203" i="1"/>
  <c r="Q188" i="1"/>
  <c r="Q184" i="1"/>
  <c r="AA193" i="1"/>
  <c r="Q173" i="1"/>
  <c r="Z172" i="1"/>
  <c r="AB172" i="1"/>
  <c r="BD165" i="1"/>
  <c r="BE165" i="1"/>
  <c r="Q165" i="1"/>
  <c r="BD162" i="1"/>
  <c r="Q162" i="1"/>
  <c r="BE157" i="1"/>
  <c r="Q157" i="1"/>
  <c r="Q179" i="1"/>
  <c r="BE166" i="1"/>
  <c r="Q181" i="1"/>
  <c r="BD166" i="1"/>
  <c r="Q175" i="1"/>
  <c r="Q166" i="1"/>
  <c r="Y188" i="1"/>
  <c r="Z165" i="1"/>
  <c r="AA165" i="1"/>
  <c r="AB165" i="1"/>
  <c r="AA172" i="1"/>
  <c r="Z187" i="1"/>
  <c r="AB187" i="1"/>
  <c r="Z184" i="1"/>
  <c r="AB184" i="1"/>
  <c r="Y172" i="1"/>
  <c r="Q168" i="1"/>
  <c r="BD164" i="1"/>
  <c r="Q158" i="1"/>
  <c r="BD154" i="1"/>
  <c r="Q154" i="1"/>
  <c r="AB145" i="1"/>
  <c r="Y145" i="1"/>
  <c r="Z145" i="1"/>
  <c r="AA145" i="1"/>
  <c r="Y138" i="1"/>
  <c r="Z138" i="1"/>
  <c r="AA138" i="1"/>
  <c r="AB138" i="1"/>
  <c r="BD178" i="1"/>
  <c r="AB170" i="1"/>
  <c r="AA170" i="1"/>
  <c r="AA171" i="1"/>
  <c r="BD148" i="1"/>
  <c r="Z163" i="1"/>
  <c r="AB163" i="1"/>
  <c r="BE158" i="1"/>
  <c r="Z159" i="1"/>
  <c r="AB159" i="1"/>
  <c r="BD155" i="1"/>
  <c r="BE155" i="1"/>
  <c r="Q155" i="1"/>
  <c r="BD152" i="1"/>
  <c r="BE152" i="1"/>
  <c r="Q152" i="1"/>
  <c r="BD158" i="1"/>
  <c r="Q132" i="1"/>
  <c r="Z162" i="1"/>
  <c r="AB157" i="1"/>
  <c r="Z156" i="1"/>
  <c r="BD153" i="1"/>
  <c r="AB151" i="1"/>
  <c r="Z150" i="1"/>
  <c r="Q145" i="1"/>
  <c r="Y123" i="1"/>
  <c r="Z123" i="1"/>
  <c r="AA123" i="1"/>
  <c r="AB123" i="1"/>
  <c r="Z151" i="1"/>
  <c r="Q135" i="1"/>
  <c r="Q133" i="1"/>
  <c r="BD133" i="1"/>
  <c r="BE133" i="1"/>
  <c r="Q153" i="1"/>
  <c r="AB147" i="1"/>
  <c r="Q144" i="1"/>
  <c r="Y131" i="1"/>
  <c r="AA131" i="1"/>
  <c r="AB131" i="1"/>
  <c r="AA147" i="1"/>
  <c r="Y139" i="1"/>
  <c r="AA139" i="1"/>
  <c r="AB139" i="1"/>
  <c r="Z117" i="1"/>
  <c r="Y117" i="1"/>
  <c r="AB117" i="1"/>
  <c r="BD156" i="1"/>
  <c r="BD150" i="1"/>
  <c r="AB148" i="1"/>
  <c r="BD146" i="1"/>
  <c r="AB144" i="1"/>
  <c r="Q149" i="1"/>
  <c r="BE128" i="1"/>
  <c r="Q128" i="1"/>
  <c r="BD128" i="1"/>
  <c r="BD151" i="1"/>
  <c r="Y144" i="1"/>
  <c r="Q130" i="1"/>
  <c r="Q156" i="1"/>
  <c r="Q150" i="1"/>
  <c r="Q116" i="1"/>
  <c r="Z142" i="1"/>
  <c r="Q139" i="1"/>
  <c r="Q138" i="1"/>
  <c r="Z135" i="1"/>
  <c r="Y135" i="1"/>
  <c r="AA135" i="1"/>
  <c r="Y120" i="1"/>
  <c r="AA130" i="1"/>
  <c r="AB130" i="1"/>
  <c r="Y130" i="1"/>
  <c r="Q131" i="1"/>
  <c r="Y129" i="1"/>
  <c r="Z129" i="1"/>
  <c r="AB129" i="1"/>
  <c r="Q127" i="1"/>
  <c r="Y125" i="1"/>
  <c r="AA124" i="1"/>
  <c r="AB124" i="1"/>
  <c r="Y124" i="1"/>
  <c r="Q117" i="1"/>
  <c r="BE117" i="1"/>
  <c r="Q121" i="1"/>
  <c r="AB132" i="1"/>
  <c r="BD131" i="1"/>
  <c r="Q118" i="1"/>
  <c r="BD118" i="1"/>
  <c r="BE118" i="1"/>
  <c r="Q122" i="1"/>
  <c r="Q106" i="1"/>
  <c r="BE127" i="1"/>
  <c r="AA120" i="1"/>
  <c r="Q126" i="1"/>
  <c r="Q108" i="1"/>
  <c r="BD124" i="1"/>
  <c r="AB111" i="1"/>
  <c r="Y111" i="1"/>
  <c r="Q123" i="1"/>
  <c r="Q109" i="1"/>
  <c r="AB105" i="1"/>
  <c r="Z105" i="1"/>
  <c r="AA105" i="1"/>
  <c r="Y105" i="1"/>
  <c r="Q101" i="1"/>
  <c r="BD101" i="1"/>
  <c r="BE101" i="1"/>
  <c r="Q111" i="1"/>
  <c r="BD85" i="1"/>
  <c r="Q85" i="1"/>
  <c r="BE85" i="1"/>
  <c r="AB101" i="1"/>
  <c r="AA110" i="1"/>
  <c r="Z101" i="1"/>
  <c r="AA101" i="1"/>
  <c r="Y102" i="1"/>
  <c r="AB102" i="1"/>
  <c r="Q97" i="1"/>
  <c r="Q91" i="1"/>
  <c r="Q90" i="1"/>
  <c r="Z94" i="1"/>
  <c r="AB94" i="1"/>
  <c r="AA94" i="1"/>
  <c r="Y108" i="1"/>
  <c r="BD107" i="1"/>
  <c r="Z107" i="1"/>
  <c r="AA107" i="1"/>
  <c r="Y104" i="1"/>
  <c r="Z104" i="1"/>
  <c r="AB95" i="1"/>
  <c r="Z95" i="1"/>
  <c r="AA95" i="1"/>
  <c r="Q98" i="1"/>
  <c r="Y72" i="1"/>
  <c r="Z72" i="1"/>
  <c r="AB72" i="1"/>
  <c r="AA72" i="1"/>
  <c r="Q110" i="1"/>
  <c r="Q84" i="1"/>
  <c r="BD84" i="1"/>
  <c r="BE84" i="1"/>
  <c r="Q83" i="1"/>
  <c r="Y89" i="1"/>
  <c r="Q72" i="1"/>
  <c r="BD72" i="1"/>
  <c r="BE72" i="1"/>
  <c r="BE93" i="1"/>
  <c r="Q88" i="1"/>
  <c r="Q68" i="1"/>
  <c r="BE68" i="1"/>
  <c r="BD68" i="1"/>
  <c r="Y82" i="1"/>
  <c r="Z67" i="1"/>
  <c r="Y67" i="1"/>
  <c r="AA67" i="1"/>
  <c r="AB67" i="1"/>
  <c r="Q89" i="1"/>
  <c r="AA74" i="1"/>
  <c r="AB74" i="1"/>
  <c r="Y77" i="1"/>
  <c r="Z77" i="1"/>
  <c r="AB77" i="1"/>
  <c r="Y70" i="1"/>
  <c r="Z70" i="1"/>
  <c r="AA70" i="1"/>
  <c r="AB70" i="1"/>
  <c r="Q80" i="1"/>
  <c r="BD76" i="1"/>
  <c r="BE76" i="1"/>
  <c r="Q71" i="1"/>
  <c r="Z64" i="1"/>
  <c r="AA64" i="1"/>
  <c r="BE63" i="1"/>
  <c r="BD59" i="1"/>
  <c r="Q59" i="1"/>
  <c r="BE59" i="1"/>
  <c r="Q77" i="1"/>
  <c r="AB62" i="1"/>
  <c r="Y62" i="1"/>
  <c r="BD60" i="1"/>
  <c r="Z61" i="1"/>
  <c r="AA61" i="1"/>
  <c r="Q51" i="1"/>
  <c r="Q54" i="1"/>
  <c r="Q46" i="1"/>
  <c r="AB78" i="1"/>
  <c r="Q48" i="1"/>
  <c r="R48" i="1" s="1"/>
  <c r="AA78" i="1"/>
  <c r="BE70" i="1"/>
  <c r="BE67" i="1"/>
  <c r="Q63" i="1"/>
  <c r="AA65" i="1"/>
  <c r="Z65" i="1"/>
  <c r="BD65" i="1"/>
  <c r="Y65" i="1"/>
  <c r="AB56" i="1"/>
  <c r="Z56" i="1"/>
  <c r="AA56" i="1"/>
  <c r="Y64" i="1"/>
  <c r="AA62" i="1"/>
  <c r="Q64" i="1"/>
  <c r="Y59" i="1"/>
  <c r="BD58" i="1"/>
  <c r="Q56" i="1"/>
  <c r="Q53" i="1"/>
  <c r="BE64" i="1"/>
  <c r="BD64" i="1"/>
  <c r="Y48" i="1"/>
  <c r="AA48" i="1"/>
  <c r="AB48" i="1"/>
  <c r="AB47" i="1"/>
  <c r="Y47" i="1"/>
  <c r="Z47" i="1"/>
  <c r="AA41" i="1"/>
  <c r="AB41" i="1"/>
  <c r="Y41" i="1"/>
  <c r="Z41" i="1"/>
  <c r="AB38" i="1"/>
  <c r="Z38" i="1"/>
  <c r="AA38" i="1"/>
  <c r="Q37" i="1"/>
  <c r="BD37" i="1"/>
  <c r="Q35" i="1"/>
  <c r="BD35" i="1"/>
  <c r="AB34" i="1"/>
  <c r="Z34" i="1"/>
  <c r="AA34" i="1"/>
  <c r="BD32" i="1"/>
  <c r="Q49" i="1"/>
  <c r="AB33" i="1"/>
  <c r="AB23" i="1"/>
  <c r="Y23" i="1"/>
  <c r="Z23" i="1"/>
  <c r="AA23" i="1"/>
  <c r="Q45" i="1"/>
  <c r="Q26" i="1"/>
  <c r="AA40" i="1"/>
  <c r="BD38" i="1"/>
  <c r="Y37" i="1"/>
  <c r="BE36" i="1"/>
  <c r="Q22" i="1"/>
  <c r="Z40" i="1"/>
  <c r="Q38" i="1"/>
  <c r="Z28" i="1"/>
  <c r="AA28" i="1"/>
  <c r="BE32" i="1"/>
  <c r="Y32" i="1"/>
  <c r="Z32" i="1"/>
  <c r="AA32" i="1"/>
  <c r="AB32" i="1"/>
  <c r="Q31" i="1"/>
  <c r="Q20" i="1"/>
  <c r="Z31" i="1"/>
  <c r="Q17" i="1"/>
  <c r="BE14" i="1"/>
  <c r="BE9" i="1"/>
  <c r="BD20" i="1"/>
  <c r="Q15" i="1"/>
  <c r="Q25" i="1"/>
  <c r="BD14" i="1"/>
  <c r="Z22" i="1"/>
  <c r="AB22" i="1"/>
  <c r="Q9" i="1"/>
  <c r="Q8" i="1"/>
  <c r="Q10" i="1"/>
  <c r="BE8" i="1"/>
  <c r="BD8" i="1"/>
  <c r="H90" i="16"/>
  <c r="H89" i="16"/>
  <c r="H88" i="16"/>
  <c r="H87" i="16"/>
  <c r="H86" i="16"/>
  <c r="H85" i="16"/>
  <c r="H84" i="16"/>
  <c r="H83" i="16"/>
  <c r="H82" i="16"/>
  <c r="H81" i="16"/>
  <c r="H80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K97" i="16"/>
  <c r="K96" i="16"/>
  <c r="K95" i="16"/>
  <c r="K94" i="16"/>
  <c r="K93" i="16"/>
  <c r="K92" i="16"/>
  <c r="K91" i="16"/>
  <c r="K90" i="16"/>
  <c r="K89" i="16"/>
  <c r="K88" i="16"/>
  <c r="K87" i="16"/>
  <c r="K86" i="16"/>
  <c r="K85" i="16"/>
  <c r="L99" i="16"/>
  <c r="L98" i="16"/>
  <c r="L97" i="16"/>
  <c r="L96" i="16"/>
  <c r="L95" i="16"/>
  <c r="L94" i="16"/>
  <c r="L93" i="16"/>
  <c r="L92" i="16"/>
  <c r="L91" i="16"/>
  <c r="L90" i="16"/>
  <c r="L89" i="16"/>
  <c r="L88" i="16"/>
  <c r="L87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P98" i="16"/>
  <c r="P97" i="16"/>
  <c r="P96" i="16"/>
  <c r="P95" i="16"/>
  <c r="P94" i="16"/>
  <c r="P93" i="16"/>
  <c r="P92" i="16"/>
  <c r="P91" i="16"/>
  <c r="P90" i="16"/>
  <c r="P89" i="16"/>
  <c r="P88" i="16"/>
  <c r="P87" i="16"/>
  <c r="P86" i="16"/>
  <c r="I100" i="16"/>
  <c r="I99" i="16"/>
  <c r="I98" i="16"/>
  <c r="I97" i="16"/>
  <c r="I96" i="16"/>
  <c r="I95" i="16"/>
  <c r="I94" i="16"/>
  <c r="I93" i="16"/>
  <c r="I92" i="16"/>
  <c r="I91" i="16"/>
  <c r="I90" i="16"/>
  <c r="Q107" i="16"/>
  <c r="Q106" i="16"/>
  <c r="Q97" i="16"/>
  <c r="Q96" i="16"/>
  <c r="Q105" i="16"/>
  <c r="Q104" i="16"/>
  <c r="Q103" i="16"/>
  <c r="Q102" i="16"/>
  <c r="Q101" i="16"/>
  <c r="Q100" i="16"/>
  <c r="Q99" i="16"/>
  <c r="Q98" i="16"/>
  <c r="Q95" i="16"/>
  <c r="B350" i="1"/>
  <c r="B351" i="1"/>
  <c r="B349" i="1"/>
  <c r="D39" i="16"/>
  <c r="E54" i="16"/>
  <c r="F57" i="16"/>
  <c r="G63" i="16"/>
  <c r="E284" i="3"/>
  <c r="E321" i="3"/>
  <c r="E320" i="3"/>
  <c r="K103" i="17"/>
  <c r="I103" i="17"/>
  <c r="H103" i="17"/>
  <c r="E361" i="3"/>
  <c r="E360" i="3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W359" i="3"/>
  <c r="E353" i="3"/>
  <c r="E352" i="3"/>
  <c r="H359" i="3"/>
  <c r="J355" i="3"/>
  <c r="J356" i="3"/>
  <c r="J354" i="3"/>
  <c r="J353" i="3"/>
  <c r="J352" i="3"/>
  <c r="H335" i="3"/>
  <c r="H348" i="3"/>
  <c r="H331" i="3"/>
  <c r="H332" i="3"/>
  <c r="H333" i="3"/>
  <c r="L356" i="3"/>
  <c r="L355" i="3"/>
  <c r="L354" i="3"/>
  <c r="L337" i="3"/>
  <c r="L340" i="3"/>
  <c r="L341" i="3"/>
  <c r="L344" i="3"/>
  <c r="L347" i="3"/>
  <c r="L348" i="3"/>
  <c r="L357" i="3"/>
  <c r="L349" i="3"/>
  <c r="L350" i="3"/>
  <c r="L351" i="3"/>
  <c r="L352" i="3"/>
  <c r="L353" i="3"/>
  <c r="J359" i="3"/>
  <c r="L338" i="3"/>
  <c r="S349" i="3"/>
  <c r="T349" i="3"/>
  <c r="S350" i="3"/>
  <c r="T350" i="3"/>
  <c r="S351" i="3"/>
  <c r="T351" i="3"/>
  <c r="S352" i="3"/>
  <c r="T352" i="3"/>
  <c r="S353" i="3"/>
  <c r="T353" i="3"/>
  <c r="S354" i="3"/>
  <c r="T354" i="3"/>
  <c r="S355" i="3"/>
  <c r="T355" i="3"/>
  <c r="S356" i="3"/>
  <c r="T356" i="3"/>
  <c r="S357" i="3"/>
  <c r="T357" i="3"/>
  <c r="S358" i="3"/>
  <c r="T358" i="3"/>
  <c r="S359" i="3"/>
  <c r="T359" i="3"/>
  <c r="S360" i="3"/>
  <c r="T360" i="3"/>
  <c r="S361" i="3"/>
  <c r="T361" i="3"/>
  <c r="J349" i="3"/>
  <c r="J350" i="3"/>
  <c r="J351" i="3"/>
  <c r="J357" i="3"/>
  <c r="J358" i="3"/>
  <c r="J360" i="3"/>
  <c r="J361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E359" i="3"/>
  <c r="E358" i="3"/>
  <c r="E357" i="3"/>
  <c r="E356" i="3"/>
  <c r="E355" i="3"/>
  <c r="E354" i="3"/>
  <c r="C355" i="3"/>
  <c r="E348" i="3"/>
  <c r="E347" i="3"/>
  <c r="E351" i="3"/>
  <c r="E350" i="3"/>
  <c r="E349" i="3"/>
  <c r="T348" i="3"/>
  <c r="S348" i="3"/>
  <c r="J348" i="3"/>
  <c r="F348" i="3"/>
  <c r="T347" i="3"/>
  <c r="S347" i="3"/>
  <c r="J347" i="3"/>
  <c r="F347" i="3"/>
  <c r="T346" i="3"/>
  <c r="S346" i="3"/>
  <c r="L346" i="3"/>
  <c r="J346" i="3"/>
  <c r="F346" i="3"/>
  <c r="E346" i="3"/>
  <c r="E329" i="3"/>
  <c r="E345" i="3"/>
  <c r="E344" i="3"/>
  <c r="E343" i="3"/>
  <c r="E342" i="3"/>
  <c r="L336" i="3"/>
  <c r="L329" i="3"/>
  <c r="L339" i="3"/>
  <c r="T345" i="3"/>
  <c r="S345" i="3"/>
  <c r="J345" i="3"/>
  <c r="F345" i="3"/>
  <c r="T344" i="3"/>
  <c r="S344" i="3"/>
  <c r="J344" i="3"/>
  <c r="F344" i="3"/>
  <c r="T343" i="3"/>
  <c r="S343" i="3"/>
  <c r="J343" i="3"/>
  <c r="F343" i="3"/>
  <c r="T342" i="3"/>
  <c r="S342" i="3"/>
  <c r="J342" i="3"/>
  <c r="F342" i="3"/>
  <c r="C341" i="3"/>
  <c r="T341" i="3"/>
  <c r="S341" i="3"/>
  <c r="J341" i="3"/>
  <c r="F341" i="3"/>
  <c r="E341" i="3"/>
  <c r="T340" i="3"/>
  <c r="S340" i="3"/>
  <c r="J340" i="3"/>
  <c r="F340" i="3"/>
  <c r="E340" i="3"/>
  <c r="E339" i="3"/>
  <c r="T339" i="3"/>
  <c r="S339" i="3"/>
  <c r="J339" i="3"/>
  <c r="F339" i="3"/>
  <c r="T338" i="3"/>
  <c r="S338" i="3"/>
  <c r="J338" i="3"/>
  <c r="F338" i="3"/>
  <c r="E338" i="3"/>
  <c r="T337" i="3"/>
  <c r="S337" i="3"/>
  <c r="J337" i="3"/>
  <c r="F337" i="3"/>
  <c r="E337" i="3"/>
  <c r="B352" i="1"/>
  <c r="T336" i="3"/>
  <c r="S336" i="3"/>
  <c r="J336" i="3"/>
  <c r="F336" i="3"/>
  <c r="E336" i="3"/>
  <c r="I125" i="17"/>
  <c r="H125" i="17"/>
  <c r="C336" i="3"/>
  <c r="T335" i="3"/>
  <c r="S335" i="3"/>
  <c r="J335" i="3"/>
  <c r="F335" i="3"/>
  <c r="E335" i="3"/>
  <c r="C335" i="3"/>
  <c r="I394" i="5" l="1"/>
  <c r="V410" i="5"/>
  <c r="J394" i="5"/>
  <c r="V400" i="5"/>
  <c r="H402" i="5"/>
  <c r="V405" i="5"/>
  <c r="J402" i="5"/>
  <c r="Q391" i="5"/>
  <c r="R408" i="5"/>
  <c r="Q405" i="5"/>
  <c r="R389" i="5"/>
  <c r="R384" i="5"/>
  <c r="L412" i="5"/>
  <c r="M412" i="5"/>
  <c r="N412" i="5"/>
  <c r="N414" i="5"/>
  <c r="N392" i="5"/>
  <c r="M395" i="5"/>
  <c r="M410" i="5"/>
  <c r="L410" i="5"/>
  <c r="N410" i="5"/>
  <c r="N389" i="5"/>
  <c r="N409" i="5"/>
  <c r="L411" i="5"/>
  <c r="M411" i="5"/>
  <c r="N411" i="5"/>
  <c r="L394" i="5"/>
  <c r="M394" i="5"/>
  <c r="L393" i="5"/>
  <c r="N393" i="5"/>
  <c r="M392" i="5"/>
  <c r="N402" i="5"/>
  <c r="L398" i="5"/>
  <c r="N398" i="5"/>
  <c r="N404" i="5"/>
  <c r="M414" i="5"/>
  <c r="L400" i="5"/>
  <c r="N400" i="5"/>
  <c r="M385" i="5"/>
  <c r="N385" i="5"/>
  <c r="M413" i="5"/>
  <c r="L402" i="5"/>
  <c r="N394" i="5"/>
  <c r="M390" i="5"/>
  <c r="L390" i="5"/>
  <c r="M389" i="5"/>
  <c r="L409" i="5"/>
  <c r="N403" i="5"/>
  <c r="M403" i="5"/>
  <c r="L403" i="5"/>
  <c r="M405" i="5"/>
  <c r="L405" i="5"/>
  <c r="P411" i="5"/>
  <c r="Q411" i="5"/>
  <c r="R411" i="5"/>
  <c r="P387" i="5"/>
  <c r="Q387" i="5"/>
  <c r="R387" i="5"/>
  <c r="P403" i="5"/>
  <c r="R403" i="5"/>
  <c r="Q403" i="5"/>
  <c r="Q398" i="5"/>
  <c r="R398" i="5"/>
  <c r="P398" i="5"/>
  <c r="P386" i="5"/>
  <c r="Q386" i="5"/>
  <c r="R386" i="5"/>
  <c r="P393" i="5"/>
  <c r="R393" i="5"/>
  <c r="Q393" i="5"/>
  <c r="Q397" i="5"/>
  <c r="R397" i="5"/>
  <c r="P397" i="5"/>
  <c r="P406" i="5"/>
  <c r="Q406" i="5"/>
  <c r="R406" i="5"/>
  <c r="R405" i="5"/>
  <c r="R409" i="5"/>
  <c r="Q409" i="5"/>
  <c r="Q384" i="5"/>
  <c r="R390" i="5"/>
  <c r="P390" i="5"/>
  <c r="Q390" i="5"/>
  <c r="R391" i="5"/>
  <c r="R413" i="5"/>
  <c r="Q400" i="5"/>
  <c r="P400" i="5"/>
  <c r="R400" i="5"/>
  <c r="R399" i="5"/>
  <c r="Q399" i="5"/>
  <c r="P414" i="5"/>
  <c r="P402" i="5"/>
  <c r="Q402" i="5"/>
  <c r="R402" i="5"/>
  <c r="Q407" i="5"/>
  <c r="P395" i="5"/>
  <c r="R414" i="5"/>
  <c r="Q395" i="5"/>
  <c r="P413" i="5"/>
  <c r="V415" i="5"/>
  <c r="T415" i="5"/>
  <c r="U415" i="5"/>
  <c r="J399" i="5"/>
  <c r="H399" i="5"/>
  <c r="J390" i="5"/>
  <c r="V398" i="5"/>
  <c r="T398" i="5"/>
  <c r="H414" i="5"/>
  <c r="I414" i="5"/>
  <c r="J414" i="5"/>
  <c r="H405" i="5"/>
  <c r="J405" i="5"/>
  <c r="I385" i="5"/>
  <c r="U388" i="5"/>
  <c r="V391" i="5"/>
  <c r="I390" i="5"/>
  <c r="H397" i="5"/>
  <c r="I397" i="5"/>
  <c r="T402" i="5"/>
  <c r="V402" i="5"/>
  <c r="I404" i="5"/>
  <c r="J404" i="5"/>
  <c r="J385" i="5"/>
  <c r="J409" i="5"/>
  <c r="U397" i="5"/>
  <c r="U410" i="5"/>
  <c r="I399" i="5"/>
  <c r="I413" i="5"/>
  <c r="H413" i="5"/>
  <c r="J413" i="5"/>
  <c r="U384" i="5"/>
  <c r="T384" i="5"/>
  <c r="V384" i="5"/>
  <c r="J386" i="5"/>
  <c r="I386" i="5"/>
  <c r="J387" i="5"/>
  <c r="I387" i="5"/>
  <c r="U391" i="5"/>
  <c r="T389" i="5"/>
  <c r="U389" i="5"/>
  <c r="V389" i="5"/>
  <c r="J412" i="5"/>
  <c r="I412" i="5"/>
  <c r="T414" i="5"/>
  <c r="U414" i="5"/>
  <c r="V414" i="5"/>
  <c r="J395" i="5"/>
  <c r="I415" i="5"/>
  <c r="H415" i="5"/>
  <c r="T396" i="5"/>
  <c r="V396" i="5"/>
  <c r="V395" i="5"/>
  <c r="I409" i="5"/>
  <c r="V388" i="5"/>
  <c r="I405" i="5"/>
  <c r="T401" i="5"/>
  <c r="U401" i="5"/>
  <c r="W381" i="5"/>
  <c r="L401" i="5"/>
  <c r="M401" i="5"/>
  <c r="F381" i="5"/>
  <c r="E381" i="5"/>
  <c r="N401" i="5"/>
  <c r="AC381" i="5"/>
  <c r="V412" i="5"/>
  <c r="U412" i="5"/>
  <c r="T412" i="5"/>
  <c r="P412" i="5"/>
  <c r="Q412" i="5"/>
  <c r="R412" i="5"/>
  <c r="Q415" i="5"/>
  <c r="R415" i="5"/>
  <c r="P415" i="5"/>
  <c r="P410" i="5"/>
  <c r="Q410" i="5"/>
  <c r="R410" i="5"/>
  <c r="U413" i="5"/>
  <c r="T413" i="5"/>
  <c r="V413" i="5"/>
  <c r="H411" i="5"/>
  <c r="I411" i="5"/>
  <c r="J411" i="5"/>
  <c r="J408" i="5"/>
  <c r="I408" i="5"/>
  <c r="H408" i="5"/>
  <c r="T407" i="5"/>
  <c r="U407" i="5"/>
  <c r="V407" i="5"/>
  <c r="N407" i="5"/>
  <c r="L407" i="5"/>
  <c r="M407" i="5"/>
  <c r="P394" i="5"/>
  <c r="Q394" i="5"/>
  <c r="R394" i="5"/>
  <c r="H396" i="5"/>
  <c r="I396" i="5"/>
  <c r="J396" i="5"/>
  <c r="P404" i="5"/>
  <c r="Q404" i="5"/>
  <c r="R404" i="5"/>
  <c r="L386" i="5"/>
  <c r="N386" i="5"/>
  <c r="M386" i="5"/>
  <c r="V394" i="5"/>
  <c r="T394" i="5"/>
  <c r="U394" i="5"/>
  <c r="H398" i="5"/>
  <c r="I398" i="5"/>
  <c r="J398" i="5"/>
  <c r="V387" i="5"/>
  <c r="U387" i="5"/>
  <c r="T387" i="5"/>
  <c r="J401" i="5"/>
  <c r="H401" i="5"/>
  <c r="I401" i="5"/>
  <c r="H389" i="5"/>
  <c r="I389" i="5"/>
  <c r="J389" i="5"/>
  <c r="AL391" i="1"/>
  <c r="AM391" i="1"/>
  <c r="AJ391" i="1"/>
  <c r="AK391" i="1"/>
  <c r="BF384" i="1"/>
  <c r="BG384" i="1"/>
  <c r="BP384" i="1" s="1" a="1"/>
  <c r="BP384" i="1" s="1"/>
  <c r="CD384" i="1"/>
  <c r="BU384" i="1"/>
  <c r="Y385" i="1"/>
  <c r="Z385" i="1"/>
  <c r="AA385" i="1"/>
  <c r="AB385" i="1"/>
  <c r="R386" i="1"/>
  <c r="R392" i="1"/>
  <c r="AE386" i="1"/>
  <c r="AF386" i="1"/>
  <c r="AG386" i="1"/>
  <c r="AH386" i="1"/>
  <c r="BF388" i="1"/>
  <c r="BG388" i="1"/>
  <c r="BP388" i="1" s="1" a="1"/>
  <c r="BP388" i="1" s="1"/>
  <c r="CD388" i="1"/>
  <c r="BU388" i="1"/>
  <c r="BF394" i="1"/>
  <c r="BU394" i="1"/>
  <c r="BG394" i="1"/>
  <c r="BP394" i="1" s="1" a="1"/>
  <c r="BP394" i="1" s="1"/>
  <c r="CD394" i="1"/>
  <c r="R385" i="1"/>
  <c r="R391" i="1"/>
  <c r="AH391" i="1"/>
  <c r="AE391" i="1"/>
  <c r="AG391" i="1"/>
  <c r="AF391" i="1"/>
  <c r="R384" i="1"/>
  <c r="R390" i="1"/>
  <c r="R387" i="1"/>
  <c r="AF398" i="1"/>
  <c r="AE398" i="1"/>
  <c r="AG398" i="1"/>
  <c r="AH398" i="1"/>
  <c r="BF395" i="1"/>
  <c r="BU395" i="1"/>
  <c r="CD395" i="1"/>
  <c r="BG395" i="1"/>
  <c r="BP395" i="1" s="1" a="1"/>
  <c r="BP395" i="1" s="1"/>
  <c r="AH395" i="1"/>
  <c r="AE395" i="1"/>
  <c r="AF395" i="1"/>
  <c r="AG395" i="1"/>
  <c r="R396" i="1"/>
  <c r="AE404" i="1"/>
  <c r="AF404" i="1"/>
  <c r="AG404" i="1"/>
  <c r="AH404" i="1"/>
  <c r="AH397" i="1"/>
  <c r="AG397" i="1"/>
  <c r="AE397" i="1"/>
  <c r="AF397" i="1"/>
  <c r="BF397" i="1"/>
  <c r="BU397" i="1"/>
  <c r="CD397" i="1"/>
  <c r="BG397" i="1"/>
  <c r="BP397" i="1" s="1" a="1"/>
  <c r="BP397" i="1" s="1"/>
  <c r="R409" i="1"/>
  <c r="R389" i="1"/>
  <c r="Y389" i="1"/>
  <c r="Z389" i="1"/>
  <c r="AA389" i="1"/>
  <c r="AB389" i="1"/>
  <c r="BF389" i="1"/>
  <c r="BG389" i="1"/>
  <c r="BP389" i="1" s="1" a="1"/>
  <c r="BP389" i="1" s="1"/>
  <c r="CD389" i="1"/>
  <c r="BU389" i="1"/>
  <c r="AZ389" i="1"/>
  <c r="V389" i="1"/>
  <c r="W389" i="1"/>
  <c r="T389" i="1"/>
  <c r="U389" i="1"/>
  <c r="T396" i="1"/>
  <c r="U396" i="1"/>
  <c r="V396" i="1"/>
  <c r="W396" i="1"/>
  <c r="R398" i="1"/>
  <c r="BF405" i="1"/>
  <c r="CD405" i="1"/>
  <c r="BU405" i="1"/>
  <c r="BG405" i="1"/>
  <c r="BP405" i="1" s="1" a="1"/>
  <c r="BP405" i="1" s="1"/>
  <c r="AL387" i="1"/>
  <c r="AM387" i="1"/>
  <c r="AJ387" i="1"/>
  <c r="AK387" i="1"/>
  <c r="BU387" i="1"/>
  <c r="BF387" i="1"/>
  <c r="BG387" i="1"/>
  <c r="BP387" i="1" s="1" a="1"/>
  <c r="BP387" i="1" s="1"/>
  <c r="CD387" i="1"/>
  <c r="AE387" i="1"/>
  <c r="AF387" i="1"/>
  <c r="AG387" i="1"/>
  <c r="AH387" i="1"/>
  <c r="Z401" i="1"/>
  <c r="Y401" i="1"/>
  <c r="AB401" i="1"/>
  <c r="AA401" i="1"/>
  <c r="BF401" i="1"/>
  <c r="BU401" i="1"/>
  <c r="CD401" i="1"/>
  <c r="BG401" i="1"/>
  <c r="BP401" i="1" s="1" a="1"/>
  <c r="BP401" i="1" s="1"/>
  <c r="AZ402" i="1"/>
  <c r="BG402" i="1"/>
  <c r="BP402" i="1" s="1" a="1"/>
  <c r="BP402" i="1" s="1"/>
  <c r="BU402" i="1"/>
  <c r="BF402" i="1"/>
  <c r="CD402" i="1"/>
  <c r="V408" i="1"/>
  <c r="W408" i="1"/>
  <c r="U408" i="1"/>
  <c r="T408" i="1"/>
  <c r="R410" i="1"/>
  <c r="T399" i="1"/>
  <c r="V399" i="1"/>
  <c r="U399" i="1"/>
  <c r="W399" i="1"/>
  <c r="BU399" i="1"/>
  <c r="BF399" i="1"/>
  <c r="AZ399" i="1"/>
  <c r="CD399" i="1"/>
  <c r="BG399" i="1"/>
  <c r="BP399" i="1" s="1" a="1"/>
  <c r="BP399" i="1" s="1"/>
  <c r="AF399" i="1"/>
  <c r="AH399" i="1"/>
  <c r="AE399" i="1"/>
  <c r="AG399" i="1"/>
  <c r="R400" i="1"/>
  <c r="AF400" i="1"/>
  <c r="AH400" i="1"/>
  <c r="AE400" i="1"/>
  <c r="AG400" i="1"/>
  <c r="BF400" i="1"/>
  <c r="CD400" i="1"/>
  <c r="BG400" i="1"/>
  <c r="BP400" i="1" s="1" a="1"/>
  <c r="BP400" i="1" s="1"/>
  <c r="BU400" i="1"/>
  <c r="BF408" i="1"/>
  <c r="BG408" i="1"/>
  <c r="BP408" i="1" s="1" a="1"/>
  <c r="BP408" i="1" s="1"/>
  <c r="CD408" i="1"/>
  <c r="BU408" i="1"/>
  <c r="R413" i="1"/>
  <c r="R402" i="1"/>
  <c r="AB402" i="1"/>
  <c r="Z402" i="1"/>
  <c r="AA402" i="1"/>
  <c r="Y402" i="1"/>
  <c r="Y407" i="1"/>
  <c r="Z407" i="1"/>
  <c r="AA407" i="1"/>
  <c r="AB407" i="1"/>
  <c r="AJ407" i="1"/>
  <c r="AK407" i="1"/>
  <c r="AL407" i="1"/>
  <c r="AM407" i="1"/>
  <c r="AB412" i="1"/>
  <c r="Z412" i="1"/>
  <c r="Y412" i="1"/>
  <c r="AA412" i="1"/>
  <c r="AH413" i="1"/>
  <c r="AF413" i="1"/>
  <c r="AE413" i="1"/>
  <c r="AG413" i="1"/>
  <c r="BW410" i="1"/>
  <c r="BF410" i="1"/>
  <c r="CD410" i="1"/>
  <c r="BG410" i="1"/>
  <c r="BP410" i="1" s="1" a="1"/>
  <c r="BP410" i="1" s="1"/>
  <c r="BU410" i="1"/>
  <c r="R411" i="1"/>
  <c r="AF411" i="1"/>
  <c r="AG411" i="1"/>
  <c r="AE411" i="1"/>
  <c r="AH411" i="1"/>
  <c r="R393" i="1"/>
  <c r="BU393" i="1"/>
  <c r="BF393" i="1"/>
  <c r="BW393" i="1"/>
  <c r="CD393" i="1"/>
  <c r="BG393" i="1"/>
  <c r="BP393" i="1" s="1" a="1"/>
  <c r="BP393" i="1" s="1"/>
  <c r="AF393" i="1"/>
  <c r="AH393" i="1"/>
  <c r="AE393" i="1"/>
  <c r="AG393" i="1"/>
  <c r="R403" i="1"/>
  <c r="AH403" i="1"/>
  <c r="AE403" i="1"/>
  <c r="AF403" i="1"/>
  <c r="AG403" i="1"/>
  <c r="BF403" i="1"/>
  <c r="CD403" i="1"/>
  <c r="BU403" i="1"/>
  <c r="AZ403" i="1"/>
  <c r="BG403" i="1"/>
  <c r="BP403" i="1" s="1" a="1"/>
  <c r="BP403" i="1" s="1"/>
  <c r="R401" i="1"/>
  <c r="BF406" i="1"/>
  <c r="BG406" i="1"/>
  <c r="BP406" i="1" s="1" a="1"/>
  <c r="BP406" i="1" s="1"/>
  <c r="CD406" i="1"/>
  <c r="BU406" i="1"/>
  <c r="AE406" i="1"/>
  <c r="AG406" i="1"/>
  <c r="AH406" i="1"/>
  <c r="AF406" i="1"/>
  <c r="BG413" i="1"/>
  <c r="BP413" i="1" s="1" a="1"/>
  <c r="BP413" i="1" s="1"/>
  <c r="CD413" i="1"/>
  <c r="BU413" i="1"/>
  <c r="BF413" i="1"/>
  <c r="AJ413" i="1"/>
  <c r="AK413" i="1"/>
  <c r="AL413" i="1"/>
  <c r="AM413" i="1"/>
  <c r="AJ412" i="1"/>
  <c r="AK412" i="1"/>
  <c r="AM412" i="1"/>
  <c r="AL412" i="1"/>
  <c r="R415" i="1"/>
  <c r="V401" i="1"/>
  <c r="U401" i="1"/>
  <c r="W401" i="1"/>
  <c r="T401" i="1"/>
  <c r="AF407" i="1"/>
  <c r="AG407" i="1"/>
  <c r="AH407" i="1"/>
  <c r="AE407" i="1"/>
  <c r="R412" i="1"/>
  <c r="AH412" i="1"/>
  <c r="AG412" i="1"/>
  <c r="AE412" i="1"/>
  <c r="AF412" i="1"/>
  <c r="R414" i="1"/>
  <c r="AG414" i="1"/>
  <c r="AF414" i="1"/>
  <c r="AH414" i="1"/>
  <c r="AE414" i="1"/>
  <c r="BU415" i="1"/>
  <c r="BF415" i="1"/>
  <c r="BG415" i="1"/>
  <c r="BP415" i="1" s="1" a="1"/>
  <c r="BP415" i="1" s="1"/>
  <c r="CD415" i="1"/>
  <c r="R408" i="1"/>
  <c r="AE410" i="1"/>
  <c r="AG410" i="1"/>
  <c r="AH410" i="1"/>
  <c r="AF410" i="1"/>
  <c r="AZ411" i="1"/>
  <c r="CD411" i="1"/>
  <c r="BG411" i="1"/>
  <c r="BP411" i="1" s="1" a="1"/>
  <c r="BP411" i="1" s="1"/>
  <c r="BF411" i="1"/>
  <c r="BU411" i="1"/>
  <c r="AK415" i="1"/>
  <c r="AM415" i="1"/>
  <c r="AL415" i="1"/>
  <c r="AJ415" i="1"/>
  <c r="X380" i="5"/>
  <c r="BR398" i="3"/>
  <c r="BV398" i="3" s="1"/>
  <c r="BO398" i="3"/>
  <c r="BB398" i="3"/>
  <c r="BN398" i="3" s="1"/>
  <c r="AU398" i="3"/>
  <c r="V397" i="3"/>
  <c r="BJ397" i="3"/>
  <c r="BO397" i="3"/>
  <c r="BB397" i="3"/>
  <c r="AU397" i="3"/>
  <c r="BU396" i="3"/>
  <c r="BR396" i="3"/>
  <c r="BV396" i="3" s="1"/>
  <c r="BN396" i="3"/>
  <c r="BO396" i="3"/>
  <c r="BL396" i="3"/>
  <c r="AU395" i="3"/>
  <c r="BR395" i="3"/>
  <c r="BV395" i="3" s="1"/>
  <c r="BO395" i="3"/>
  <c r="BB395" i="3"/>
  <c r="BN395" i="3" s="1"/>
  <c r="BJ393" i="3"/>
  <c r="V393" i="3"/>
  <c r="BB393" i="3"/>
  <c r="BO393" i="3"/>
  <c r="BT393" i="3"/>
  <c r="AU393" i="3"/>
  <c r="BI393" i="3"/>
  <c r="AU391" i="3"/>
  <c r="BK372" i="3"/>
  <c r="BT382" i="3"/>
  <c r="BV369" i="3"/>
  <c r="BK370" i="3"/>
  <c r="Z382" i="5"/>
  <c r="BN363" i="3"/>
  <c r="BS369" i="3"/>
  <c r="V369" i="3"/>
  <c r="BU373" i="3"/>
  <c r="BN389" i="3"/>
  <c r="BB369" i="3"/>
  <c r="BU391" i="3"/>
  <c r="E379" i="5"/>
  <c r="AA379" i="5"/>
  <c r="Z379" i="5"/>
  <c r="BR391" i="3"/>
  <c r="BV391" i="3" s="1"/>
  <c r="BN391" i="3"/>
  <c r="R407" i="5" s="1"/>
  <c r="BO391" i="3"/>
  <c r="BL391" i="3"/>
  <c r="AU390" i="3"/>
  <c r="BR390" i="3"/>
  <c r="BV390" i="3" s="1"/>
  <c r="BO390" i="3"/>
  <c r="BB390" i="3"/>
  <c r="BN390" i="3" s="1"/>
  <c r="BO389" i="3"/>
  <c r="BR389" i="3"/>
  <c r="BV389" i="3" s="1"/>
  <c r="W380" i="1"/>
  <c r="BO388" i="3"/>
  <c r="BR388" i="3"/>
  <c r="BV388" i="3" s="1"/>
  <c r="BN388" i="3"/>
  <c r="W378" i="5"/>
  <c r="BO387" i="3"/>
  <c r="BR387" i="3"/>
  <c r="BV387" i="3" s="1"/>
  <c r="BN387" i="3"/>
  <c r="BO386" i="3"/>
  <c r="BI386" i="3"/>
  <c r="V386" i="3"/>
  <c r="BJ386" i="3"/>
  <c r="AU386" i="3"/>
  <c r="BJ384" i="3"/>
  <c r="BB384" i="3"/>
  <c r="BO384" i="3"/>
  <c r="AU384" i="3"/>
  <c r="X378" i="5"/>
  <c r="BR383" i="3"/>
  <c r="BV383" i="3" s="1"/>
  <c r="BO383" i="3"/>
  <c r="F378" i="5"/>
  <c r="O378" i="5"/>
  <c r="Q378" i="5" s="1"/>
  <c r="BK383" i="3"/>
  <c r="BS383" i="3"/>
  <c r="BB383" i="3"/>
  <c r="BN383" i="3" s="1"/>
  <c r="AP383" i="1"/>
  <c r="AB383" i="5" s="1"/>
  <c r="AU383" i="3"/>
  <c r="BJ381" i="3"/>
  <c r="BB381" i="3"/>
  <c r="BO381" i="3"/>
  <c r="S383" i="1"/>
  <c r="G383" i="5" s="1"/>
  <c r="AD380" i="1"/>
  <c r="AH380" i="1" s="1"/>
  <c r="BJ380" i="3"/>
  <c r="V380" i="3"/>
  <c r="BO380" i="3"/>
  <c r="BB380" i="3"/>
  <c r="Q383" i="1"/>
  <c r="R383" i="1" s="1"/>
  <c r="BD383" i="1"/>
  <c r="X383" i="5"/>
  <c r="BE379" i="1"/>
  <c r="BJ379" i="3"/>
  <c r="V379" i="3"/>
  <c r="BO379" i="3"/>
  <c r="BB379" i="3"/>
  <c r="BB374" i="3"/>
  <c r="AU371" i="3"/>
  <c r="BM370" i="3"/>
  <c r="BB385" i="3"/>
  <c r="AU369" i="3"/>
  <c r="BS377" i="3"/>
  <c r="BV363" i="3"/>
  <c r="BI369" i="3"/>
  <c r="BJ385" i="3"/>
  <c r="BB371" i="3"/>
  <c r="AL380" i="1"/>
  <c r="BF344" i="3"/>
  <c r="BG344" i="3"/>
  <c r="AP344" i="3"/>
  <c r="AQ344" i="3" s="1"/>
  <c r="AS344" i="3"/>
  <c r="BH344" i="3" s="1"/>
  <c r="AT344" i="3"/>
  <c r="AU344" i="3" s="1"/>
  <c r="BP344" i="3" a="1"/>
  <c r="BP344" i="3" s="1"/>
  <c r="BT344" i="3" s="1"/>
  <c r="AX344" i="3"/>
  <c r="AX355" i="3"/>
  <c r="BQ355" i="3"/>
  <c r="BC355" i="3"/>
  <c r="AP355" i="3"/>
  <c r="AQ355" i="3" s="1"/>
  <c r="BF355" i="3"/>
  <c r="BG355" i="3"/>
  <c r="AS355" i="3"/>
  <c r="BH355" i="3" s="1"/>
  <c r="BO355" i="3" s="1"/>
  <c r="AT355" i="3"/>
  <c r="BJ355" i="3" s="1"/>
  <c r="AU355" i="3"/>
  <c r="BP355" i="3" a="1"/>
  <c r="BP355" i="3" s="1"/>
  <c r="BT355" i="3" s="1"/>
  <c r="BI355" i="3"/>
  <c r="AS361" i="3"/>
  <c r="BH361" i="3" s="1"/>
  <c r="BO361" i="3" s="1"/>
  <c r="BP361" i="3" a="1"/>
  <c r="BP361" i="3" s="1"/>
  <c r="BT361" i="3" s="1"/>
  <c r="AT361" i="3"/>
  <c r="BJ361" i="3" s="1"/>
  <c r="AX361" i="3"/>
  <c r="BF361" i="3"/>
  <c r="AP361" i="3"/>
  <c r="AQ361" i="3" s="1"/>
  <c r="BG361" i="3"/>
  <c r="BF343" i="3"/>
  <c r="BG343" i="3"/>
  <c r="AP343" i="3"/>
  <c r="AQ343" i="3" s="1"/>
  <c r="AS343" i="3"/>
  <c r="BH343" i="3" s="1"/>
  <c r="AT343" i="3"/>
  <c r="BB343" i="3" s="1"/>
  <c r="AX343" i="3"/>
  <c r="BP343" i="3" a="1"/>
  <c r="BP343" i="3" s="1"/>
  <c r="AP329" i="3"/>
  <c r="AQ329" i="3" s="1"/>
  <c r="BG329" i="3"/>
  <c r="AS329" i="3"/>
  <c r="BH329" i="3" s="1"/>
  <c r="AT329" i="3"/>
  <c r="BJ329" i="3" s="1"/>
  <c r="BP329" i="3" a="1"/>
  <c r="BP329" i="3" s="1"/>
  <c r="BT329" i="3" s="1"/>
  <c r="AX329" i="3"/>
  <c r="BF329" i="3"/>
  <c r="AS357" i="3"/>
  <c r="AT357" i="3"/>
  <c r="BJ357" i="3" s="1"/>
  <c r="AX357" i="3"/>
  <c r="BF357" i="3"/>
  <c r="BP357" i="3" a="1"/>
  <c r="BP357" i="3" s="1"/>
  <c r="BT357" i="3" s="1"/>
  <c r="AP357" i="3"/>
  <c r="AQ357" i="3" s="1"/>
  <c r="BQ357" i="3"/>
  <c r="BG357" i="3"/>
  <c r="BF339" i="3"/>
  <c r="AP339" i="3"/>
  <c r="AQ339" i="3" s="1"/>
  <c r="AS339" i="3"/>
  <c r="BH339" i="3" s="1"/>
  <c r="BP339" i="3" a="1"/>
  <c r="BP339" i="3" s="1"/>
  <c r="AT339" i="3"/>
  <c r="BJ339" i="3" s="1"/>
  <c r="AX339" i="3"/>
  <c r="BG339" i="3"/>
  <c r="BF346" i="3"/>
  <c r="AP346" i="3"/>
  <c r="AQ346" i="3" s="1"/>
  <c r="BG346" i="3"/>
  <c r="AS346" i="3"/>
  <c r="BH346" i="3" s="1"/>
  <c r="AT346" i="3"/>
  <c r="BB346" i="3" s="1"/>
  <c r="AX346" i="3"/>
  <c r="BP346" i="3" a="1"/>
  <c r="BP346" i="3" s="1"/>
  <c r="BT346" i="3" s="1"/>
  <c r="BF358" i="3"/>
  <c r="AP358" i="3"/>
  <c r="AQ358" i="3" s="1"/>
  <c r="BG358" i="3"/>
  <c r="AS358" i="3"/>
  <c r="BH358" i="3" s="1"/>
  <c r="AT358" i="3"/>
  <c r="BJ358" i="3" s="1"/>
  <c r="BR358" i="3" s="1"/>
  <c r="BV358" i="3" s="1"/>
  <c r="AX358" i="3"/>
  <c r="BP358" i="3" a="1"/>
  <c r="BP358" i="3" s="1"/>
  <c r="BT358" i="3" s="1"/>
  <c r="BF354" i="3"/>
  <c r="BG354" i="3"/>
  <c r="BI354" i="3" s="1"/>
  <c r="AP354" i="3"/>
  <c r="AQ354" i="3" s="1"/>
  <c r="BP354" i="3" a="1"/>
  <c r="BP354" i="3" s="1"/>
  <c r="BT354" i="3" s="1"/>
  <c r="AS354" i="3"/>
  <c r="BH354" i="3" s="1"/>
  <c r="BO354" i="3" s="1"/>
  <c r="AT354" i="3"/>
  <c r="BJ354" i="3" s="1"/>
  <c r="AU354" i="3"/>
  <c r="AX354" i="3"/>
  <c r="BQ354" i="3"/>
  <c r="BC354" i="3"/>
  <c r="BF335" i="3"/>
  <c r="AP335" i="3"/>
  <c r="AQ335" i="3" s="1"/>
  <c r="BG335" i="3"/>
  <c r="AS335" i="3"/>
  <c r="BH335" i="3" s="1"/>
  <c r="AT335" i="3"/>
  <c r="BJ335" i="3" s="1"/>
  <c r="BR335" i="3" s="1"/>
  <c r="BV335" i="3" s="1"/>
  <c r="AU335" i="3"/>
  <c r="BP335" i="3" a="1"/>
  <c r="BP335" i="3" s="1"/>
  <c r="BT335" i="3" s="1"/>
  <c r="AX335" i="3"/>
  <c r="AP360" i="3"/>
  <c r="AQ360" i="3" s="1"/>
  <c r="BF360" i="3"/>
  <c r="AS360" i="3"/>
  <c r="BH360" i="3" s="1"/>
  <c r="AT360" i="3"/>
  <c r="BJ360" i="3" s="1"/>
  <c r="BP360" i="3" a="1"/>
  <c r="BP360" i="3" s="1"/>
  <c r="BT360" i="3" s="1"/>
  <c r="AX360" i="3"/>
  <c r="BG360" i="3"/>
  <c r="BF349" i="3"/>
  <c r="AP349" i="3"/>
  <c r="AQ349" i="3" s="1"/>
  <c r="AS349" i="3"/>
  <c r="BH349" i="3" s="1"/>
  <c r="BP349" i="3" a="1"/>
  <c r="BP349" i="3" s="1"/>
  <c r="AT349" i="3"/>
  <c r="BB349" i="3" s="1"/>
  <c r="AX349" i="3"/>
  <c r="BG349" i="3"/>
  <c r="AP321" i="3"/>
  <c r="AQ321" i="3" s="1"/>
  <c r="BP321" i="3" a="1"/>
  <c r="BP321" i="3" s="1"/>
  <c r="AS321" i="3"/>
  <c r="BH321" i="3" s="1"/>
  <c r="AT321" i="3"/>
  <c r="BJ321" i="3" s="1"/>
  <c r="BR321" i="3" s="1"/>
  <c r="BV321" i="3" s="1"/>
  <c r="BF321" i="3"/>
  <c r="BG321" i="3"/>
  <c r="AU321" i="3"/>
  <c r="AP284" i="3"/>
  <c r="AQ284" i="3" s="1"/>
  <c r="AS284" i="3"/>
  <c r="BH284" i="3" s="1"/>
  <c r="AT284" i="3"/>
  <c r="BP284" i="3" a="1"/>
  <c r="BP284" i="3" s="1"/>
  <c r="BF284" i="3"/>
  <c r="BG284" i="3"/>
  <c r="AU284" i="3"/>
  <c r="AS336" i="3"/>
  <c r="BH336" i="3" s="1"/>
  <c r="BP336" i="3" a="1"/>
  <c r="BP336" i="3" s="1"/>
  <c r="BT336" i="3" s="1"/>
  <c r="AT336" i="3"/>
  <c r="BJ336" i="3" s="1"/>
  <c r="BQ336" i="3"/>
  <c r="AX336" i="3"/>
  <c r="BF336" i="3"/>
  <c r="BG336" i="3"/>
  <c r="AP336" i="3"/>
  <c r="AQ336" i="3" s="1"/>
  <c r="BB336" i="3"/>
  <c r="BF351" i="3"/>
  <c r="AP351" i="3"/>
  <c r="AQ351" i="3" s="1"/>
  <c r="BG351" i="3"/>
  <c r="AS351" i="3"/>
  <c r="BH351" i="3" s="1"/>
  <c r="BO351" i="3" s="1"/>
  <c r="AT351" i="3"/>
  <c r="BJ351" i="3" s="1"/>
  <c r="BV351" i="3" s="1"/>
  <c r="AU351" i="3"/>
  <c r="BP351" i="3" a="1"/>
  <c r="BP351" i="3" s="1"/>
  <c r="BT351" i="3" s="1"/>
  <c r="AX351" i="3"/>
  <c r="BF352" i="3"/>
  <c r="AP352" i="3"/>
  <c r="AQ352" i="3" s="1"/>
  <c r="BG352" i="3"/>
  <c r="AS352" i="3"/>
  <c r="BH352" i="3" s="1"/>
  <c r="BO352" i="3" s="1"/>
  <c r="AT352" i="3"/>
  <c r="BJ352" i="3" s="1"/>
  <c r="BP352" i="3" a="1"/>
  <c r="BP352" i="3" s="1"/>
  <c r="AU352" i="3"/>
  <c r="AX352" i="3"/>
  <c r="AX338" i="3"/>
  <c r="BF338" i="3"/>
  <c r="AP338" i="3"/>
  <c r="AQ338" i="3" s="1"/>
  <c r="AS338" i="3"/>
  <c r="BH338" i="3" s="1"/>
  <c r="AT338" i="3"/>
  <c r="BB338" i="3" s="1"/>
  <c r="BP338" i="3" a="1"/>
  <c r="BP338" i="3" s="1"/>
  <c r="BT338" i="3" s="1"/>
  <c r="BG338" i="3"/>
  <c r="AS350" i="3"/>
  <c r="BH350" i="3" s="1"/>
  <c r="BO350" i="3" s="1"/>
  <c r="AT350" i="3"/>
  <c r="BJ350" i="3" s="1"/>
  <c r="BV350" i="3" s="1"/>
  <c r="BP350" i="3" a="1"/>
  <c r="BP350" i="3" s="1"/>
  <c r="BT350" i="3" s="1"/>
  <c r="AX350" i="3"/>
  <c r="BF350" i="3"/>
  <c r="BG350" i="3"/>
  <c r="AP350" i="3"/>
  <c r="AQ350" i="3" s="1"/>
  <c r="BF347" i="3"/>
  <c r="BG347" i="3"/>
  <c r="AP347" i="3"/>
  <c r="AQ347" i="3" s="1"/>
  <c r="AS347" i="3"/>
  <c r="BH347" i="3" s="1"/>
  <c r="BP347" i="3" a="1"/>
  <c r="BP347" i="3" s="1"/>
  <c r="BT347" i="3" s="1"/>
  <c r="AT347" i="3"/>
  <c r="BB347" i="3" s="1"/>
  <c r="AX347" i="3"/>
  <c r="AS353" i="3"/>
  <c r="BH353" i="3" s="1"/>
  <c r="BP353" i="3" a="1"/>
  <c r="BP353" i="3" s="1"/>
  <c r="AT353" i="3"/>
  <c r="BJ353" i="3" s="1"/>
  <c r="BR353" i="3" s="1"/>
  <c r="BV353" i="3" s="1"/>
  <c r="AX353" i="3"/>
  <c r="BF353" i="3"/>
  <c r="BG353" i="3"/>
  <c r="AP353" i="3"/>
  <c r="AQ353" i="3" s="1"/>
  <c r="AU353" i="3"/>
  <c r="BB353" i="3"/>
  <c r="BN353" i="3" s="1"/>
  <c r="BF341" i="3"/>
  <c r="AP341" i="3"/>
  <c r="AQ341" i="3" s="1"/>
  <c r="BG341" i="3"/>
  <c r="AS341" i="3"/>
  <c r="BH341" i="3" s="1"/>
  <c r="AT341" i="3"/>
  <c r="BJ341" i="3" s="1"/>
  <c r="AX341" i="3"/>
  <c r="BP341" i="3" a="1"/>
  <c r="BP341" i="3" s="1"/>
  <c r="AS348" i="3"/>
  <c r="BH348" i="3" s="1"/>
  <c r="BP348" i="3" a="1"/>
  <c r="BP348" i="3" s="1"/>
  <c r="AT348" i="3"/>
  <c r="AU348" i="3" s="1"/>
  <c r="AX348" i="3"/>
  <c r="BF348" i="3"/>
  <c r="AP348" i="3"/>
  <c r="AQ348" i="3" s="1"/>
  <c r="BG348" i="3"/>
  <c r="BG342" i="3"/>
  <c r="AP342" i="3"/>
  <c r="AQ342" i="3" s="1"/>
  <c r="AS342" i="3"/>
  <c r="BH342" i="3" s="1"/>
  <c r="BP342" i="3" a="1"/>
  <c r="BP342" i="3" s="1"/>
  <c r="AT342" i="3"/>
  <c r="AU342" i="3" s="1"/>
  <c r="AX342" i="3"/>
  <c r="BF342" i="3"/>
  <c r="BF337" i="3"/>
  <c r="BG337" i="3"/>
  <c r="AP337" i="3"/>
  <c r="AQ337" i="3" s="1"/>
  <c r="BP337" i="3" a="1"/>
  <c r="BP337" i="3" s="1"/>
  <c r="BT337" i="3" s="1"/>
  <c r="AS337" i="3"/>
  <c r="BH337" i="3" s="1"/>
  <c r="BI337" i="3" s="1"/>
  <c r="BQ337" i="3"/>
  <c r="AT337" i="3"/>
  <c r="AD353" i="1" s="1"/>
  <c r="O353" i="5" s="1"/>
  <c r="AU337" i="3"/>
  <c r="AX337" i="3"/>
  <c r="AP345" i="3"/>
  <c r="AQ345" i="3" s="1"/>
  <c r="AS345" i="3"/>
  <c r="BH345" i="3" s="1"/>
  <c r="AT345" i="3"/>
  <c r="BB345" i="3" s="1"/>
  <c r="BP345" i="3" a="1"/>
  <c r="BP345" i="3" s="1"/>
  <c r="AX345" i="3"/>
  <c r="BF345" i="3"/>
  <c r="BG345" i="3"/>
  <c r="BF356" i="3"/>
  <c r="AP356" i="3"/>
  <c r="AQ356" i="3" s="1"/>
  <c r="BG356" i="3"/>
  <c r="AS356" i="3"/>
  <c r="BH356" i="3" s="1"/>
  <c r="AT356" i="3"/>
  <c r="AU356" i="3" s="1"/>
  <c r="BP356" i="3" a="1"/>
  <c r="BP356" i="3" s="1"/>
  <c r="BT356" i="3" s="1"/>
  <c r="AX356" i="3"/>
  <c r="AT340" i="3"/>
  <c r="BJ340" i="3" s="1"/>
  <c r="BR340" i="3" s="1"/>
  <c r="BP340" i="3" a="1"/>
  <c r="BP340" i="3" s="1"/>
  <c r="AX340" i="3"/>
  <c r="BF340" i="3"/>
  <c r="BG340" i="3"/>
  <c r="AP340" i="3"/>
  <c r="AQ340" i="3" s="1"/>
  <c r="AS340" i="3"/>
  <c r="AS359" i="3"/>
  <c r="BH359" i="3" s="1"/>
  <c r="BI359" i="3" s="1"/>
  <c r="BQ359" i="3"/>
  <c r="AT359" i="3"/>
  <c r="BJ359" i="3" s="1"/>
  <c r="BR359" i="3" s="1"/>
  <c r="BV359" i="3" s="1"/>
  <c r="AX359" i="3"/>
  <c r="BF359" i="3"/>
  <c r="BG359" i="3"/>
  <c r="AP359" i="3"/>
  <c r="AQ359" i="3" s="1"/>
  <c r="BP359" i="3" a="1"/>
  <c r="BP359" i="3" s="1"/>
  <c r="BT359" i="3" s="1"/>
  <c r="BF320" i="3"/>
  <c r="BG320" i="3"/>
  <c r="AP320" i="3"/>
  <c r="AQ320" i="3" s="1"/>
  <c r="AS320" i="3"/>
  <c r="BH320" i="3" s="1"/>
  <c r="BP320" i="3" a="1"/>
  <c r="BP320" i="3" s="1"/>
  <c r="AT320" i="3"/>
  <c r="AU320" i="3" s="1"/>
  <c r="BH392" i="3"/>
  <c r="BI392" i="3" s="1"/>
  <c r="AU392" i="3"/>
  <c r="AX369" i="3"/>
  <c r="BN369" i="3"/>
  <c r="U380" i="1"/>
  <c r="T380" i="1"/>
  <c r="V380" i="1"/>
  <c r="BJ366" i="3"/>
  <c r="BR366" i="3" s="1"/>
  <c r="BV366" i="3" s="1"/>
  <c r="BB366" i="3"/>
  <c r="BJ370" i="3"/>
  <c r="BB370" i="3"/>
  <c r="BS374" i="3"/>
  <c r="BT377" i="3"/>
  <c r="BT374" i="3"/>
  <c r="BJ377" i="3"/>
  <c r="BB377" i="3"/>
  <c r="AU377" i="3"/>
  <c r="BO377" i="3"/>
  <c r="AU376" i="3"/>
  <c r="V376" i="3"/>
  <c r="BJ376" i="3"/>
  <c r="BO376" i="3"/>
  <c r="BB376" i="3"/>
  <c r="BI376" i="3"/>
  <c r="BJ374" i="3"/>
  <c r="V374" i="3"/>
  <c r="BO374" i="3"/>
  <c r="BQ379" i="1"/>
  <c r="BN379" i="1" s="1"/>
  <c r="V373" i="3"/>
  <c r="BJ373" i="3"/>
  <c r="BB373" i="3"/>
  <c r="T379" i="1"/>
  <c r="AM382" i="1"/>
  <c r="AU372" i="3"/>
  <c r="BR372" i="3"/>
  <c r="BV372" i="3" s="1"/>
  <c r="BO372" i="3"/>
  <c r="BB372" i="3"/>
  <c r="BN372" i="3" s="1"/>
  <c r="AJ383" i="1"/>
  <c r="Z383" i="5"/>
  <c r="Y380" i="5"/>
  <c r="K380" i="1"/>
  <c r="Y379" i="5"/>
  <c r="E380" i="5"/>
  <c r="AA380" i="5"/>
  <c r="BE380" i="1"/>
  <c r="BO370" i="3"/>
  <c r="Q379" i="1"/>
  <c r="R379" i="1" s="1"/>
  <c r="K379" i="1"/>
  <c r="AD379" i="1"/>
  <c r="O379" i="5" s="1"/>
  <c r="R379" i="5" s="1"/>
  <c r="Q380" i="1"/>
  <c r="R380" i="1" s="1"/>
  <c r="AP379" i="1"/>
  <c r="AB379" i="5" s="1"/>
  <c r="BD379" i="1"/>
  <c r="X379" i="1"/>
  <c r="K379" i="5" s="1"/>
  <c r="J380" i="1"/>
  <c r="BF380" i="1" s="1"/>
  <c r="BH379" i="1"/>
  <c r="AQ379" i="1"/>
  <c r="BS379" i="1" s="1"/>
  <c r="Z380" i="5"/>
  <c r="BJ378" i="3"/>
  <c r="BB378" i="3"/>
  <c r="V378" i="3"/>
  <c r="BO378" i="3"/>
  <c r="BK378" i="3"/>
  <c r="BS378" i="3"/>
  <c r="AK382" i="1"/>
  <c r="I380" i="5"/>
  <c r="AM383" i="1"/>
  <c r="AK380" i="1"/>
  <c r="H380" i="5"/>
  <c r="U381" i="1"/>
  <c r="W381" i="1"/>
  <c r="S383" i="5"/>
  <c r="V383" i="5" s="1"/>
  <c r="BJ375" i="3"/>
  <c r="BB375" i="3"/>
  <c r="BO375" i="3"/>
  <c r="BZ381" i="1"/>
  <c r="BZ383" i="1"/>
  <c r="BJ394" i="3"/>
  <c r="BB394" i="3"/>
  <c r="AN378" i="1"/>
  <c r="BO394" i="3"/>
  <c r="AU394" i="3"/>
  <c r="AN383" i="1"/>
  <c r="AA383" i="1"/>
  <c r="Z380" i="1"/>
  <c r="BV385" i="3"/>
  <c r="BR385" i="3"/>
  <c r="BU385" i="3"/>
  <c r="BZ382" i="1"/>
  <c r="BR371" i="3"/>
  <c r="BV371" i="3" s="1"/>
  <c r="BN371" i="3"/>
  <c r="BO371" i="3"/>
  <c r="BD380" i="1"/>
  <c r="AK383" i="1"/>
  <c r="L378" i="1"/>
  <c r="J381" i="1"/>
  <c r="BG381" i="1" s="1"/>
  <c r="BP381" i="1" s="1" a="1"/>
  <c r="BP381" i="1" s="1"/>
  <c r="BH381" i="1"/>
  <c r="X379" i="5"/>
  <c r="J383" i="1"/>
  <c r="CD383" i="1" s="1"/>
  <c r="BK383" i="1"/>
  <c r="BZ378" i="1"/>
  <c r="W379" i="5"/>
  <c r="BE383" i="1"/>
  <c r="BQ382" i="1"/>
  <c r="BN382" i="1" s="1"/>
  <c r="BQ378" i="1"/>
  <c r="BN378" i="1" s="1"/>
  <c r="E383" i="5"/>
  <c r="AA383" i="5"/>
  <c r="W383" i="5"/>
  <c r="BQ383" i="1"/>
  <c r="BN383" i="1" s="1"/>
  <c r="Y383" i="5"/>
  <c r="F383" i="5"/>
  <c r="BO369" i="3"/>
  <c r="BU369" i="3"/>
  <c r="BQ381" i="1"/>
  <c r="BN381" i="1" s="1"/>
  <c r="BH382" i="1"/>
  <c r="AD382" i="1"/>
  <c r="AQ383" i="1"/>
  <c r="BS383" i="1" s="1"/>
  <c r="J382" i="1"/>
  <c r="BG382" i="1" s="1"/>
  <c r="BP382" i="1" s="1" a="1"/>
  <c r="BP382" i="1" s="1"/>
  <c r="AQ382" i="1"/>
  <c r="BS382" i="1" s="1"/>
  <c r="BD382" i="1"/>
  <c r="BJ382" i="3"/>
  <c r="BB382" i="3"/>
  <c r="F379" i="5"/>
  <c r="G381" i="5"/>
  <c r="J381" i="5" s="1"/>
  <c r="BO382" i="3"/>
  <c r="BL382" i="3"/>
  <c r="Q382" i="1"/>
  <c r="R382" i="1" s="1"/>
  <c r="AW382" i="3"/>
  <c r="K382" i="1"/>
  <c r="BQ380" i="1"/>
  <c r="BN380" i="1" s="1"/>
  <c r="AP382" i="1"/>
  <c r="AB382" i="5" s="1"/>
  <c r="BE382" i="1"/>
  <c r="T381" i="1"/>
  <c r="BK392" i="3"/>
  <c r="BS392" i="3"/>
  <c r="V392" i="3"/>
  <c r="BJ392" i="3"/>
  <c r="BU392" i="3"/>
  <c r="BR368" i="3"/>
  <c r="BV368" i="3" s="1"/>
  <c r="BN368" i="3"/>
  <c r="T382" i="1"/>
  <c r="U382" i="1"/>
  <c r="V382" i="1"/>
  <c r="W382" i="1"/>
  <c r="G382" i="5"/>
  <c r="T378" i="1"/>
  <c r="G378" i="5"/>
  <c r="V378" i="1"/>
  <c r="BK381" i="1"/>
  <c r="AN381" i="1"/>
  <c r="L382" i="1"/>
  <c r="AJ378" i="1"/>
  <c r="S378" i="5"/>
  <c r="AL378" i="1"/>
  <c r="AM378" i="1"/>
  <c r="L383" i="1"/>
  <c r="AC378" i="5"/>
  <c r="Y378" i="5"/>
  <c r="F380" i="5"/>
  <c r="Y380" i="1"/>
  <c r="K380" i="5"/>
  <c r="AB380" i="1"/>
  <c r="Y381" i="5"/>
  <c r="AJ382" i="1"/>
  <c r="S382" i="5"/>
  <c r="BZ379" i="1"/>
  <c r="AN379" i="1"/>
  <c r="BK379" i="1"/>
  <c r="AQ381" i="1"/>
  <c r="BS381" i="1" s="1"/>
  <c r="AK379" i="1"/>
  <c r="AJ379" i="1"/>
  <c r="AL379" i="1"/>
  <c r="AM379" i="1"/>
  <c r="S379" i="5"/>
  <c r="AN382" i="1"/>
  <c r="BK382" i="1"/>
  <c r="Y378" i="1"/>
  <c r="Z378" i="1"/>
  <c r="AA378" i="1"/>
  <c r="AB378" i="1"/>
  <c r="K378" i="5"/>
  <c r="AB382" i="1"/>
  <c r="K382" i="5"/>
  <c r="Y382" i="1"/>
  <c r="Z382" i="1"/>
  <c r="AA382" i="1"/>
  <c r="AA381" i="1"/>
  <c r="Y381" i="1"/>
  <c r="Z381" i="1"/>
  <c r="AB381" i="1"/>
  <c r="K381" i="5"/>
  <c r="V379" i="1"/>
  <c r="G379" i="5"/>
  <c r="U379" i="1"/>
  <c r="Q381" i="1"/>
  <c r="R381" i="1" s="1"/>
  <c r="AP381" i="1"/>
  <c r="AB381" i="5" s="1"/>
  <c r="BD381" i="1"/>
  <c r="BE381" i="1"/>
  <c r="K381" i="1"/>
  <c r="AI381" i="1"/>
  <c r="AJ380" i="1"/>
  <c r="S380" i="5"/>
  <c r="AQ380" i="1"/>
  <c r="BS380" i="1" s="1"/>
  <c r="Z383" i="1"/>
  <c r="K383" i="5"/>
  <c r="Y383" i="1"/>
  <c r="W378" i="1"/>
  <c r="J379" i="1"/>
  <c r="AD383" i="1"/>
  <c r="K383" i="1"/>
  <c r="BK380" i="1"/>
  <c r="AN380" i="1"/>
  <c r="BZ380" i="1"/>
  <c r="BH380" i="1"/>
  <c r="AP380" i="1"/>
  <c r="AB380" i="5" s="1"/>
  <c r="BH383" i="1"/>
  <c r="R378" i="1"/>
  <c r="BU378" i="1"/>
  <c r="BF378" i="1"/>
  <c r="BG378" i="1"/>
  <c r="BP378" i="1" s="1" a="1"/>
  <c r="BP378" i="1" s="1"/>
  <c r="CD378" i="1"/>
  <c r="AZ378" i="1"/>
  <c r="AF378" i="1"/>
  <c r="AG378" i="1"/>
  <c r="AH378" i="1"/>
  <c r="AE378" i="1"/>
  <c r="V365" i="3"/>
  <c r="BJ365" i="3"/>
  <c r="BB365" i="3"/>
  <c r="AU365" i="3"/>
  <c r="BM364" i="3"/>
  <c r="BU364" i="3"/>
  <c r="BO364" i="3"/>
  <c r="BR364" i="3"/>
  <c r="BV364" i="3" s="1"/>
  <c r="BN364" i="3"/>
  <c r="BR361" i="3"/>
  <c r="BV361" i="3" s="1"/>
  <c r="BR351" i="3"/>
  <c r="BO358" i="3"/>
  <c r="BR350" i="3"/>
  <c r="BU363" i="3"/>
  <c r="BO339" i="3"/>
  <c r="I356" i="1"/>
  <c r="N195" i="5"/>
  <c r="N39" i="5"/>
  <c r="L191" i="5"/>
  <c r="L162" i="5"/>
  <c r="N133" i="5"/>
  <c r="L59" i="5"/>
  <c r="M39" i="5"/>
  <c r="N205" i="5"/>
  <c r="L154" i="5"/>
  <c r="N122" i="5"/>
  <c r="M195" i="5"/>
  <c r="N192" i="5"/>
  <c r="M154" i="5"/>
  <c r="M133" i="5"/>
  <c r="M71" i="5"/>
  <c r="M59" i="5"/>
  <c r="M191" i="5"/>
  <c r="L71" i="5"/>
  <c r="N55" i="5"/>
  <c r="M365" i="1"/>
  <c r="M351" i="1"/>
  <c r="M371" i="1"/>
  <c r="M367" i="1"/>
  <c r="M355" i="1"/>
  <c r="B352" i="5"/>
  <c r="AO352" i="1"/>
  <c r="BM352" i="1"/>
  <c r="CI352" i="1"/>
  <c r="AS352" i="1"/>
  <c r="BT352" i="1"/>
  <c r="AW352" i="1" s="1"/>
  <c r="AR352" i="1"/>
  <c r="AV352" i="1"/>
  <c r="CB352" i="1"/>
  <c r="AX352" i="1"/>
  <c r="CC352" i="1"/>
  <c r="L352" i="1" s="1"/>
  <c r="BA352" i="1"/>
  <c r="CF352" i="1"/>
  <c r="BB352" i="1"/>
  <c r="CG352" i="1"/>
  <c r="I352" i="1"/>
  <c r="BC352" i="1"/>
  <c r="CH352" i="1"/>
  <c r="P352" i="1"/>
  <c r="CA352" i="1" s="1"/>
  <c r="BI352" i="1"/>
  <c r="BL352" i="1" s="1"/>
  <c r="CJ352" i="1"/>
  <c r="S352" i="1"/>
  <c r="BJ352" i="1"/>
  <c r="AC352" i="1"/>
  <c r="BO352" i="1"/>
  <c r="AY352" i="1"/>
  <c r="BV352" i="1"/>
  <c r="BY352" i="1"/>
  <c r="CE352" i="1"/>
  <c r="AI352" i="1"/>
  <c r="AT352" i="1"/>
  <c r="AU352" i="1" s="1"/>
  <c r="M352" i="1"/>
  <c r="B377" i="5"/>
  <c r="I377" i="1"/>
  <c r="BM377" i="1"/>
  <c r="X377" i="1"/>
  <c r="BV377" i="1"/>
  <c r="AT377" i="1"/>
  <c r="AU377" i="1" s="1"/>
  <c r="AV377" i="1"/>
  <c r="BA377" i="1"/>
  <c r="BB377" i="1"/>
  <c r="BY377" i="1"/>
  <c r="AC377" i="1"/>
  <c r="P377" i="1"/>
  <c r="CA377" i="1" s="1"/>
  <c r="AO377" i="1"/>
  <c r="BT377" i="1"/>
  <c r="AW377" i="1" s="1"/>
  <c r="AR377" i="1"/>
  <c r="AS377" i="1"/>
  <c r="B376" i="5"/>
  <c r="P376" i="1"/>
  <c r="CA376" i="1" s="1"/>
  <c r="BV376" i="1"/>
  <c r="X376" i="1"/>
  <c r="Y376" i="1" s="1"/>
  <c r="AY376" i="1"/>
  <c r="BY376" i="1"/>
  <c r="I376" i="1"/>
  <c r="AR376" i="1"/>
  <c r="BJ376" i="1"/>
  <c r="CF376" i="1"/>
  <c r="M376" i="1"/>
  <c r="AT376" i="1"/>
  <c r="AU376" i="1" s="1"/>
  <c r="BM376" i="1"/>
  <c r="CH376" i="1"/>
  <c r="AO376" i="1"/>
  <c r="AS376" i="1"/>
  <c r="CB376" i="1"/>
  <c r="AV376" i="1"/>
  <c r="CC376" i="1"/>
  <c r="CE376" i="1"/>
  <c r="BA376" i="1"/>
  <c r="CG376" i="1"/>
  <c r="O376" i="1"/>
  <c r="CJ376" i="1"/>
  <c r="N376" i="1"/>
  <c r="BB376" i="1"/>
  <c r="CI376" i="1"/>
  <c r="BC376" i="1"/>
  <c r="BI376" i="1"/>
  <c r="BL376" i="1" s="1"/>
  <c r="S376" i="1"/>
  <c r="W376" i="1" s="1"/>
  <c r="AI376" i="1"/>
  <c r="BO376" i="1"/>
  <c r="AX376" i="1"/>
  <c r="AC376" i="1"/>
  <c r="BT376" i="1"/>
  <c r="AW376" i="1" s="1"/>
  <c r="B375" i="5"/>
  <c r="AO375" i="1"/>
  <c r="CC375" i="1"/>
  <c r="AS375" i="1"/>
  <c r="BJ375" i="1"/>
  <c r="CF375" i="1"/>
  <c r="P375" i="1"/>
  <c r="CA375" i="1" s="1"/>
  <c r="AX375" i="1"/>
  <c r="AC375" i="1"/>
  <c r="BA375" i="1"/>
  <c r="AY375" i="1"/>
  <c r="CE375" i="1"/>
  <c r="BB375" i="1"/>
  <c r="CG375" i="1"/>
  <c r="I375" i="1"/>
  <c r="BC375" i="1"/>
  <c r="CH375" i="1"/>
  <c r="M375" i="1"/>
  <c r="BI375" i="1"/>
  <c r="BL375" i="1" s="1"/>
  <c r="CI375" i="1"/>
  <c r="S375" i="1"/>
  <c r="BM375" i="1"/>
  <c r="AI375" i="1"/>
  <c r="BO375" i="1"/>
  <c r="AR375" i="1"/>
  <c r="AT375" i="1"/>
  <c r="AU375" i="1" s="1"/>
  <c r="BT375" i="1"/>
  <c r="AW375" i="1" s="1"/>
  <c r="BV375" i="1"/>
  <c r="BY375" i="1"/>
  <c r="AV375" i="1"/>
  <c r="CJ375" i="1"/>
  <c r="CB375" i="1"/>
  <c r="B374" i="5"/>
  <c r="AO374" i="1"/>
  <c r="BJ374" i="1"/>
  <c r="CF374" i="1"/>
  <c r="AS374" i="1"/>
  <c r="BM374" i="1"/>
  <c r="CH374" i="1"/>
  <c r="X374" i="1"/>
  <c r="AY374" i="1"/>
  <c r="BY374" i="1"/>
  <c r="AI374" i="1"/>
  <c r="BB374" i="1"/>
  <c r="CB374" i="1"/>
  <c r="I374" i="1"/>
  <c r="BA374" i="1"/>
  <c r="CI374" i="1"/>
  <c r="BC374" i="1"/>
  <c r="CJ374" i="1"/>
  <c r="P374" i="1"/>
  <c r="CA374" i="1" s="1"/>
  <c r="BI374" i="1"/>
  <c r="BL374" i="1" s="1"/>
  <c r="S374" i="1"/>
  <c r="BO374" i="1"/>
  <c r="CC374" i="1"/>
  <c r="L374" i="1" s="1"/>
  <c r="BT374" i="1"/>
  <c r="AW374" i="1" s="1"/>
  <c r="BV374" i="1"/>
  <c r="AR374" i="1"/>
  <c r="AT374" i="1"/>
  <c r="AU374" i="1" s="1"/>
  <c r="AV374" i="1"/>
  <c r="CE374" i="1"/>
  <c r="AC374" i="1"/>
  <c r="AX374" i="1"/>
  <c r="CG374" i="1"/>
  <c r="M374" i="1"/>
  <c r="B373" i="5"/>
  <c r="AS373" i="1"/>
  <c r="BO373" i="1"/>
  <c r="CH373" i="1"/>
  <c r="AV373" i="1"/>
  <c r="BV373" i="1"/>
  <c r="CJ373" i="1"/>
  <c r="S373" i="1"/>
  <c r="BC373" i="1"/>
  <c r="CB373" i="1"/>
  <c r="AI373" i="1"/>
  <c r="AK373" i="1" s="1"/>
  <c r="BJ373" i="1"/>
  <c r="CE373" i="1"/>
  <c r="BI373" i="1"/>
  <c r="BL373" i="1" s="1"/>
  <c r="AC373" i="1"/>
  <c r="I373" i="1"/>
  <c r="BM373" i="1"/>
  <c r="P373" i="1"/>
  <c r="CA373" i="1" s="1"/>
  <c r="BT373" i="1"/>
  <c r="AW373" i="1" s="1"/>
  <c r="CF373" i="1"/>
  <c r="AO373" i="1"/>
  <c r="BY373" i="1"/>
  <c r="AR373" i="1"/>
  <c r="AY373" i="1"/>
  <c r="AT373" i="1"/>
  <c r="AU373" i="1" s="1"/>
  <c r="AX373" i="1"/>
  <c r="CC373" i="1"/>
  <c r="L373" i="1" s="1"/>
  <c r="BA373" i="1"/>
  <c r="CG373" i="1"/>
  <c r="BB373" i="1"/>
  <c r="CI373" i="1"/>
  <c r="M373" i="1"/>
  <c r="B372" i="5"/>
  <c r="O372" i="1"/>
  <c r="AS372" i="1"/>
  <c r="CF372" i="1"/>
  <c r="S372" i="1"/>
  <c r="V372" i="1" s="1"/>
  <c r="BO372" i="1"/>
  <c r="CH372" i="1"/>
  <c r="BA372" i="1"/>
  <c r="BC372" i="1"/>
  <c r="CB372" i="1"/>
  <c r="M372" i="1"/>
  <c r="AO372" i="1"/>
  <c r="P372" i="1"/>
  <c r="CA372" i="1" s="1"/>
  <c r="BB372" i="1"/>
  <c r="CI372" i="1"/>
  <c r="BT372" i="1"/>
  <c r="AW372" i="1" s="1"/>
  <c r="X372" i="1"/>
  <c r="BI372" i="1"/>
  <c r="BL372" i="1" s="1"/>
  <c r="CJ372" i="1"/>
  <c r="AC372" i="1"/>
  <c r="BJ372" i="1"/>
  <c r="AI372" i="1"/>
  <c r="AM372" i="1" s="1"/>
  <c r="BM372" i="1"/>
  <c r="BV372" i="1"/>
  <c r="AR372" i="1"/>
  <c r="AT372" i="1"/>
  <c r="AU372" i="1" s="1"/>
  <c r="BY372" i="1"/>
  <c r="AV372" i="1"/>
  <c r="I372" i="1"/>
  <c r="AX372" i="1"/>
  <c r="CE372" i="1"/>
  <c r="CC372" i="1"/>
  <c r="L372" i="1" s="1"/>
  <c r="N372" i="1"/>
  <c r="AY372" i="1"/>
  <c r="CG372" i="1"/>
  <c r="B371" i="5"/>
  <c r="AC371" i="1"/>
  <c r="BB371" i="1"/>
  <c r="CB371" i="1"/>
  <c r="AO371" i="1"/>
  <c r="BI371" i="1"/>
  <c r="BL371" i="1" s="1"/>
  <c r="CE371" i="1"/>
  <c r="O371" i="1"/>
  <c r="CJ371" i="1"/>
  <c r="AX371" i="1"/>
  <c r="BV371" i="1"/>
  <c r="S371" i="1"/>
  <c r="AY371" i="1"/>
  <c r="P371" i="1"/>
  <c r="CA371" i="1" s="1"/>
  <c r="BM371" i="1"/>
  <c r="AR371" i="1"/>
  <c r="BY371" i="1"/>
  <c r="BO371" i="1"/>
  <c r="AI371" i="1"/>
  <c r="BT371" i="1"/>
  <c r="AW371" i="1" s="1"/>
  <c r="AS371" i="1"/>
  <c r="CC371" i="1"/>
  <c r="CI371" i="1"/>
  <c r="AT371" i="1"/>
  <c r="AU371" i="1" s="1"/>
  <c r="CF371" i="1"/>
  <c r="BC371" i="1"/>
  <c r="AV371" i="1"/>
  <c r="CG371" i="1"/>
  <c r="BA371" i="1"/>
  <c r="CH371" i="1"/>
  <c r="BJ371" i="1"/>
  <c r="I371" i="1"/>
  <c r="N371" i="1"/>
  <c r="B370" i="5"/>
  <c r="AO370" i="1"/>
  <c r="CG370" i="1"/>
  <c r="AS370" i="1"/>
  <c r="BO370" i="1"/>
  <c r="CI370" i="1"/>
  <c r="P370" i="1"/>
  <c r="CA370" i="1" s="1"/>
  <c r="BA370" i="1"/>
  <c r="AC370" i="1"/>
  <c r="BC370" i="1"/>
  <c r="CC370" i="1"/>
  <c r="L370" i="1" s="1"/>
  <c r="AI370" i="1"/>
  <c r="BI370" i="1"/>
  <c r="BL370" i="1" s="1"/>
  <c r="CE370" i="1"/>
  <c r="M370" i="1"/>
  <c r="BM370" i="1"/>
  <c r="BY370" i="1"/>
  <c r="N370" i="1"/>
  <c r="BT370" i="1"/>
  <c r="AW370" i="1" s="1"/>
  <c r="S370" i="1"/>
  <c r="O370" i="1"/>
  <c r="BV370" i="1"/>
  <c r="AR370" i="1"/>
  <c r="CB370" i="1"/>
  <c r="AY370" i="1"/>
  <c r="AT370" i="1"/>
  <c r="AU370" i="1" s="1"/>
  <c r="CF370" i="1"/>
  <c r="AV370" i="1"/>
  <c r="CH370" i="1"/>
  <c r="AX370" i="1"/>
  <c r="CJ370" i="1"/>
  <c r="BB370" i="1"/>
  <c r="I370" i="1"/>
  <c r="BJ370" i="1"/>
  <c r="B369" i="5"/>
  <c r="O369" i="1"/>
  <c r="AX369" i="1"/>
  <c r="CH369" i="1"/>
  <c r="S369" i="1"/>
  <c r="AZ369" i="1"/>
  <c r="BV369" i="1"/>
  <c r="CJ369" i="1"/>
  <c r="I369" i="1"/>
  <c r="AR369" i="1"/>
  <c r="CB369" i="1"/>
  <c r="AT369" i="1"/>
  <c r="AU369" i="1" s="1"/>
  <c r="BJ369" i="1"/>
  <c r="CE369" i="1"/>
  <c r="M369" i="1"/>
  <c r="AV369" i="1"/>
  <c r="BM369" i="1"/>
  <c r="CF369" i="1"/>
  <c r="N369" i="1"/>
  <c r="P369" i="1"/>
  <c r="CA369" i="1" s="1"/>
  <c r="BI369" i="1"/>
  <c r="BL369" i="1" s="1"/>
  <c r="AC369" i="1"/>
  <c r="BT369" i="1"/>
  <c r="AW369" i="1" s="1"/>
  <c r="X369" i="1"/>
  <c r="BO369" i="1"/>
  <c r="AO369" i="1"/>
  <c r="BY369" i="1"/>
  <c r="AY369" i="1"/>
  <c r="AS369" i="1"/>
  <c r="CG369" i="1"/>
  <c r="CC369" i="1"/>
  <c r="L369" i="1" s="1"/>
  <c r="BB369" i="1"/>
  <c r="CI369" i="1"/>
  <c r="BA369" i="1"/>
  <c r="BC369" i="1"/>
  <c r="B368" i="5"/>
  <c r="AR368" i="1"/>
  <c r="CC368" i="1"/>
  <c r="L368" i="1" s="1"/>
  <c r="I368" i="1"/>
  <c r="AT368" i="1"/>
  <c r="AU368" i="1" s="1"/>
  <c r="BJ368" i="1"/>
  <c r="CF368" i="1"/>
  <c r="S368" i="1"/>
  <c r="T368" i="1" s="1"/>
  <c r="AZ368" i="1"/>
  <c r="BV368" i="1"/>
  <c r="AC368" i="1"/>
  <c r="BB368" i="1"/>
  <c r="BY368" i="1"/>
  <c r="BC368" i="1"/>
  <c r="O368" i="1"/>
  <c r="P368" i="1"/>
  <c r="CA368" i="1" s="1"/>
  <c r="BM368" i="1"/>
  <c r="AO368" i="1"/>
  <c r="BT368" i="1"/>
  <c r="AW368" i="1" s="1"/>
  <c r="X368" i="1"/>
  <c r="BO368" i="1"/>
  <c r="AS368" i="1"/>
  <c r="CB368" i="1"/>
  <c r="CI368" i="1"/>
  <c r="AV368" i="1"/>
  <c r="CE368" i="1"/>
  <c r="CH368" i="1"/>
  <c r="AX368" i="1"/>
  <c r="CG368" i="1"/>
  <c r="AY368" i="1"/>
  <c r="BA368" i="1"/>
  <c r="CJ368" i="1"/>
  <c r="N368" i="1"/>
  <c r="BI368" i="1"/>
  <c r="BL368" i="1" s="1"/>
  <c r="M368" i="1"/>
  <c r="B367" i="5"/>
  <c r="AC367" i="1"/>
  <c r="AV367" i="1"/>
  <c r="CI367" i="1"/>
  <c r="I367" i="1"/>
  <c r="AY367" i="1"/>
  <c r="BV367" i="1"/>
  <c r="N367" i="1"/>
  <c r="BA367" i="1"/>
  <c r="AI367" i="1"/>
  <c r="BI367" i="1"/>
  <c r="BL367" i="1" s="1"/>
  <c r="CC367" i="1"/>
  <c r="AR367" i="1"/>
  <c r="CF367" i="1"/>
  <c r="AS367" i="1"/>
  <c r="BM367" i="1"/>
  <c r="CG367" i="1"/>
  <c r="BJ367" i="1"/>
  <c r="BO367" i="1"/>
  <c r="O367" i="1"/>
  <c r="BT367" i="1"/>
  <c r="AW367" i="1" s="1"/>
  <c r="P367" i="1"/>
  <c r="CA367" i="1" s="1"/>
  <c r="BY367" i="1"/>
  <c r="BB367" i="1"/>
  <c r="X367" i="1"/>
  <c r="Y367" i="1" s="1"/>
  <c r="AO367" i="1"/>
  <c r="CB367" i="1"/>
  <c r="AT367" i="1"/>
  <c r="AU367" i="1" s="1"/>
  <c r="CE367" i="1"/>
  <c r="AX367" i="1"/>
  <c r="CH367" i="1"/>
  <c r="BC367" i="1"/>
  <c r="CJ367" i="1"/>
  <c r="B366" i="5"/>
  <c r="CC366" i="1"/>
  <c r="L366" i="1" s="1"/>
  <c r="I366" i="1"/>
  <c r="AT366" i="1"/>
  <c r="AU366" i="1" s="1"/>
  <c r="BO366" i="1"/>
  <c r="CI366" i="1"/>
  <c r="M366" i="1"/>
  <c r="BV366" i="1"/>
  <c r="N366" i="1"/>
  <c r="AX366" i="1"/>
  <c r="AC366" i="1"/>
  <c r="BC366" i="1"/>
  <c r="CB366" i="1"/>
  <c r="AO366" i="1"/>
  <c r="BI366" i="1"/>
  <c r="BL366" i="1" s="1"/>
  <c r="CF366" i="1"/>
  <c r="AR366" i="1"/>
  <c r="BJ366" i="1"/>
  <c r="CG366" i="1"/>
  <c r="AS366" i="1"/>
  <c r="CE366" i="1"/>
  <c r="AV366" i="1"/>
  <c r="CH366" i="1"/>
  <c r="BA366" i="1"/>
  <c r="AY366" i="1"/>
  <c r="CJ366" i="1"/>
  <c r="BY366" i="1"/>
  <c r="BB366" i="1"/>
  <c r="P366" i="1"/>
  <c r="CA366" i="1" s="1"/>
  <c r="BM366" i="1"/>
  <c r="BT366" i="1"/>
  <c r="AW366" i="1" s="1"/>
  <c r="O366" i="1"/>
  <c r="X366" i="1"/>
  <c r="AA366" i="1" s="1"/>
  <c r="AI366" i="1"/>
  <c r="AM366" i="1" s="1"/>
  <c r="B365" i="5"/>
  <c r="AS365" i="1"/>
  <c r="BM365" i="1"/>
  <c r="CI365" i="1"/>
  <c r="AR365" i="1"/>
  <c r="BO365" i="1"/>
  <c r="BV365" i="1"/>
  <c r="AV365" i="1"/>
  <c r="P365" i="1"/>
  <c r="CA365" i="1" s="1"/>
  <c r="BB365" i="1"/>
  <c r="CE365" i="1"/>
  <c r="AC365" i="1"/>
  <c r="BI365" i="1"/>
  <c r="BL365" i="1" s="1"/>
  <c r="CG365" i="1"/>
  <c r="AI365" i="1"/>
  <c r="BJ365" i="1"/>
  <c r="CH365" i="1"/>
  <c r="BT365" i="1"/>
  <c r="AW365" i="1" s="1"/>
  <c r="I365" i="1"/>
  <c r="CB365" i="1"/>
  <c r="N365" i="1"/>
  <c r="BY365" i="1"/>
  <c r="O365" i="1"/>
  <c r="X365" i="1"/>
  <c r="CC365" i="1"/>
  <c r="AO365" i="1"/>
  <c r="CF365" i="1"/>
  <c r="AT365" i="1"/>
  <c r="AU365" i="1" s="1"/>
  <c r="CJ365" i="1"/>
  <c r="BA365" i="1"/>
  <c r="AX365" i="1"/>
  <c r="AY365" i="1"/>
  <c r="BC365" i="1"/>
  <c r="B364" i="5"/>
  <c r="AS364" i="1"/>
  <c r="BM364" i="1"/>
  <c r="CH364" i="1"/>
  <c r="AC364" i="1"/>
  <c r="BI364" i="1"/>
  <c r="BL364" i="1" s="1"/>
  <c r="CF364" i="1"/>
  <c r="AO364" i="1"/>
  <c r="CI364" i="1"/>
  <c r="AR364" i="1"/>
  <c r="BO364" i="1"/>
  <c r="CJ364" i="1"/>
  <c r="N364" i="1"/>
  <c r="AY364" i="1"/>
  <c r="BY364" i="1"/>
  <c r="P364" i="1"/>
  <c r="CA364" i="1" s="1"/>
  <c r="BA364" i="1"/>
  <c r="CB364" i="1"/>
  <c r="S364" i="1"/>
  <c r="BB364" i="1"/>
  <c r="CC364" i="1"/>
  <c r="L364" i="1" s="1"/>
  <c r="CG364" i="1"/>
  <c r="AT364" i="1"/>
  <c r="AU364" i="1" s="1"/>
  <c r="AX364" i="1"/>
  <c r="AV364" i="1"/>
  <c r="AZ364" i="1"/>
  <c r="BC364" i="1"/>
  <c r="BJ364" i="1"/>
  <c r="BT364" i="1"/>
  <c r="AW364" i="1" s="1"/>
  <c r="I364" i="1"/>
  <c r="BV364" i="1"/>
  <c r="M364" i="1"/>
  <c r="O364" i="1"/>
  <c r="X364" i="1"/>
  <c r="CE364" i="1"/>
  <c r="B363" i="5"/>
  <c r="AX363" i="1"/>
  <c r="BO363" i="1"/>
  <c r="CJ363" i="1"/>
  <c r="AI363" i="1"/>
  <c r="AK363" i="1" s="1"/>
  <c r="CE363" i="1"/>
  <c r="I363" i="1"/>
  <c r="AR363" i="1"/>
  <c r="BJ363" i="1"/>
  <c r="CG363" i="1"/>
  <c r="AS363" i="1"/>
  <c r="CH363" i="1"/>
  <c r="P363" i="1"/>
  <c r="CA363" i="1" s="1"/>
  <c r="AY363" i="1"/>
  <c r="BV363" i="1"/>
  <c r="S363" i="1"/>
  <c r="BA363" i="1"/>
  <c r="BB363" i="1"/>
  <c r="BY363" i="1"/>
  <c r="X363" i="1"/>
  <c r="BC363" i="1"/>
  <c r="CB363" i="1"/>
  <c r="BI363" i="1"/>
  <c r="BL363" i="1" s="1"/>
  <c r="BT363" i="1"/>
  <c r="AW363" i="1" s="1"/>
  <c r="BM363" i="1"/>
  <c r="N363" i="1"/>
  <c r="O363" i="1"/>
  <c r="CC363" i="1"/>
  <c r="AC363" i="1"/>
  <c r="CF363" i="1"/>
  <c r="AO363" i="1"/>
  <c r="CI363" i="1"/>
  <c r="AT363" i="1"/>
  <c r="AU363" i="1" s="1"/>
  <c r="AV363" i="1"/>
  <c r="M363" i="1"/>
  <c r="B362" i="5"/>
  <c r="X362" i="1"/>
  <c r="BC362" i="1"/>
  <c r="CE362" i="1"/>
  <c r="AO362" i="1"/>
  <c r="BM362" i="1"/>
  <c r="CI362" i="1"/>
  <c r="AS362" i="1"/>
  <c r="BT362" i="1"/>
  <c r="AW362" i="1" s="1"/>
  <c r="AT362" i="1"/>
  <c r="AU362" i="1" s="1"/>
  <c r="BV362" i="1"/>
  <c r="N362" i="1"/>
  <c r="AZ362" i="1"/>
  <c r="CB362" i="1"/>
  <c r="O362" i="1"/>
  <c r="BA362" i="1"/>
  <c r="CC362" i="1"/>
  <c r="L362" i="1" s="1"/>
  <c r="P362" i="1"/>
  <c r="CA362" i="1" s="1"/>
  <c r="BB362" i="1"/>
  <c r="CF362" i="1"/>
  <c r="S362" i="1"/>
  <c r="BI362" i="1"/>
  <c r="BL362" i="1" s="1"/>
  <c r="CG362" i="1"/>
  <c r="I362" i="1"/>
  <c r="CH362" i="1"/>
  <c r="AC362" i="1"/>
  <c r="M362" i="1"/>
  <c r="CJ362" i="1"/>
  <c r="AR362" i="1"/>
  <c r="AV362" i="1"/>
  <c r="AX362" i="1"/>
  <c r="AY362" i="1"/>
  <c r="BJ362" i="1"/>
  <c r="BO362" i="1"/>
  <c r="BY362" i="1"/>
  <c r="B361" i="5"/>
  <c r="AO361" i="1"/>
  <c r="S361" i="1" s="1"/>
  <c r="BI361" i="1"/>
  <c r="BL361" i="1" s="1"/>
  <c r="CF361" i="1"/>
  <c r="AC361" i="1"/>
  <c r="BC361" i="1"/>
  <c r="CG361" i="1"/>
  <c r="AR361" i="1"/>
  <c r="BM361" i="1"/>
  <c r="CI361" i="1"/>
  <c r="AS361" i="1"/>
  <c r="BO361" i="1"/>
  <c r="CJ361" i="1"/>
  <c r="AV361" i="1"/>
  <c r="N361" i="1"/>
  <c r="AX361" i="1"/>
  <c r="BY361" i="1"/>
  <c r="O361" i="1"/>
  <c r="AY361" i="1"/>
  <c r="P361" i="1"/>
  <c r="CA361" i="1" s="1"/>
  <c r="AZ361" i="1"/>
  <c r="CB361" i="1"/>
  <c r="BA361" i="1"/>
  <c r="CC361" i="1"/>
  <c r="I361" i="1"/>
  <c r="X361" i="1"/>
  <c r="Z361" i="1" s="1"/>
  <c r="AT361" i="1"/>
  <c r="AU361" i="1" s="1"/>
  <c r="AI361" i="1"/>
  <c r="BB361" i="1"/>
  <c r="BJ361" i="1"/>
  <c r="BT361" i="1"/>
  <c r="AW361" i="1" s="1"/>
  <c r="BV361" i="1"/>
  <c r="CE361" i="1"/>
  <c r="CH361" i="1"/>
  <c r="M361" i="1"/>
  <c r="B360" i="5"/>
  <c r="AR360" i="1"/>
  <c r="BM360" i="1"/>
  <c r="CH360" i="1"/>
  <c r="P360" i="1"/>
  <c r="CA360" i="1" s="1"/>
  <c r="BB360" i="1"/>
  <c r="CE360" i="1"/>
  <c r="AC360" i="1"/>
  <c r="BI360" i="1"/>
  <c r="BL360" i="1" s="1"/>
  <c r="CG360" i="1"/>
  <c r="AI360" i="1"/>
  <c r="BJ360" i="1"/>
  <c r="CI360" i="1"/>
  <c r="AT360" i="1"/>
  <c r="AU360" i="1" s="1"/>
  <c r="BV360" i="1"/>
  <c r="AV360" i="1"/>
  <c r="AX360" i="1"/>
  <c r="BY360" i="1"/>
  <c r="I360" i="1"/>
  <c r="AY360" i="1"/>
  <c r="N360" i="1"/>
  <c r="AZ360" i="1"/>
  <c r="CB360" i="1"/>
  <c r="O360" i="1"/>
  <c r="X360" i="1"/>
  <c r="Y360" i="1" s="1"/>
  <c r="AS360" i="1"/>
  <c r="AO360" i="1"/>
  <c r="S360" i="1" s="1"/>
  <c r="BA360" i="1"/>
  <c r="BC360" i="1"/>
  <c r="BO360" i="1"/>
  <c r="BT360" i="1"/>
  <c r="AW360" i="1" s="1"/>
  <c r="CC360" i="1"/>
  <c r="CF360" i="1"/>
  <c r="CJ360" i="1"/>
  <c r="M360" i="1"/>
  <c r="B359" i="5"/>
  <c r="AS359" i="1"/>
  <c r="BJ359" i="1"/>
  <c r="CG359" i="1"/>
  <c r="N359" i="1"/>
  <c r="AY359" i="1"/>
  <c r="BY359" i="1"/>
  <c r="P359" i="1"/>
  <c r="CA359" i="1" s="1"/>
  <c r="BA359" i="1"/>
  <c r="CB359" i="1"/>
  <c r="X359" i="1"/>
  <c r="AB359" i="1" s="1"/>
  <c r="BB359" i="1"/>
  <c r="CC359" i="1"/>
  <c r="AO359" i="1"/>
  <c r="BI359" i="1"/>
  <c r="BL359" i="1" s="1"/>
  <c r="CH359" i="1"/>
  <c r="AR359" i="1"/>
  <c r="BM359" i="1"/>
  <c r="CI359" i="1"/>
  <c r="AT359" i="1"/>
  <c r="AU359" i="1" s="1"/>
  <c r="BO359" i="1"/>
  <c r="CJ359" i="1"/>
  <c r="BT359" i="1"/>
  <c r="AW359" i="1" s="1"/>
  <c r="I359" i="1"/>
  <c r="AV359" i="1"/>
  <c r="BV359" i="1"/>
  <c r="M359" i="1"/>
  <c r="O359" i="1"/>
  <c r="AI359" i="1"/>
  <c r="AC359" i="1"/>
  <c r="AX359" i="1"/>
  <c r="AZ359" i="1"/>
  <c r="BC359" i="1"/>
  <c r="CE359" i="1"/>
  <c r="CF359" i="1"/>
  <c r="B358" i="5"/>
  <c r="AR358" i="1"/>
  <c r="BM358" i="1"/>
  <c r="CI358" i="1"/>
  <c r="AT358" i="1"/>
  <c r="AU358" i="1" s="1"/>
  <c r="BV358" i="1"/>
  <c r="AX358" i="1"/>
  <c r="BY358" i="1"/>
  <c r="I358" i="1"/>
  <c r="AY358" i="1"/>
  <c r="CB358" i="1"/>
  <c r="P358" i="1"/>
  <c r="CA358" i="1" s="1"/>
  <c r="BB358" i="1"/>
  <c r="CF358" i="1"/>
  <c r="X358" i="1"/>
  <c r="BC358" i="1"/>
  <c r="CG358" i="1"/>
  <c r="AC358" i="1"/>
  <c r="BI358" i="1"/>
  <c r="BL358" i="1" s="1"/>
  <c r="CH358" i="1"/>
  <c r="AI358" i="1"/>
  <c r="BJ358" i="1"/>
  <c r="CJ358" i="1"/>
  <c r="AO358" i="1"/>
  <c r="BO358" i="1"/>
  <c r="O358" i="1"/>
  <c r="N358" i="1"/>
  <c r="AS358" i="1"/>
  <c r="AV358" i="1"/>
  <c r="AZ358" i="1"/>
  <c r="BA358" i="1"/>
  <c r="BT358" i="1"/>
  <c r="AW358" i="1" s="1"/>
  <c r="CC358" i="1"/>
  <c r="CE358" i="1"/>
  <c r="M358" i="1"/>
  <c r="B357" i="5"/>
  <c r="AR357" i="1"/>
  <c r="CG357" i="1"/>
  <c r="AI357" i="1"/>
  <c r="CH357" i="1"/>
  <c r="AS357" i="1"/>
  <c r="BO357" i="1"/>
  <c r="CJ357" i="1"/>
  <c r="AT357" i="1"/>
  <c r="AU357" i="1" s="1"/>
  <c r="BT357" i="1"/>
  <c r="AW357" i="1" s="1"/>
  <c r="AX357" i="1"/>
  <c r="AY357" i="1"/>
  <c r="BY357" i="1"/>
  <c r="N357" i="1"/>
  <c r="BA357" i="1"/>
  <c r="O357" i="1"/>
  <c r="BB357" i="1"/>
  <c r="CB357" i="1"/>
  <c r="P357" i="1"/>
  <c r="CA357" i="1" s="1"/>
  <c r="BC357" i="1"/>
  <c r="CC357" i="1"/>
  <c r="X357" i="1"/>
  <c r="BI357" i="1"/>
  <c r="BL357" i="1" s="1"/>
  <c r="CE357" i="1"/>
  <c r="CF357" i="1"/>
  <c r="CI357" i="1"/>
  <c r="I357" i="1"/>
  <c r="AC357" i="1"/>
  <c r="AO357" i="1"/>
  <c r="AV357" i="1"/>
  <c r="BJ357" i="1"/>
  <c r="BM357" i="1"/>
  <c r="BV357" i="1"/>
  <c r="M357" i="1"/>
  <c r="B356" i="5"/>
  <c r="M356" i="1"/>
  <c r="AV356" i="1"/>
  <c r="BO356" i="1"/>
  <c r="CI356" i="1"/>
  <c r="CF356" i="1"/>
  <c r="AR356" i="1"/>
  <c r="BJ356" i="1"/>
  <c r="CH356" i="1"/>
  <c r="AS356" i="1"/>
  <c r="BM356" i="1"/>
  <c r="CJ356" i="1"/>
  <c r="BV356" i="1"/>
  <c r="N356" i="1"/>
  <c r="AX356" i="1"/>
  <c r="O356" i="1"/>
  <c r="AY356" i="1"/>
  <c r="BY356" i="1"/>
  <c r="P356" i="1"/>
  <c r="CA356" i="1" s="1"/>
  <c r="BA356" i="1"/>
  <c r="X356" i="1"/>
  <c r="BB356" i="1"/>
  <c r="CB356" i="1"/>
  <c r="AC356" i="1"/>
  <c r="BC356" i="1"/>
  <c r="CC356" i="1"/>
  <c r="BT356" i="1"/>
  <c r="AW356" i="1" s="1"/>
  <c r="CG356" i="1"/>
  <c r="CE356" i="1"/>
  <c r="AI356" i="1"/>
  <c r="AM356" i="1" s="1"/>
  <c r="AO356" i="1"/>
  <c r="AT356" i="1"/>
  <c r="AU356" i="1" s="1"/>
  <c r="BI356" i="1"/>
  <c r="BL356" i="1" s="1"/>
  <c r="B355" i="5"/>
  <c r="AT355" i="1"/>
  <c r="AU355" i="1" s="1"/>
  <c r="BT355" i="1"/>
  <c r="AW355" i="1" s="1"/>
  <c r="P355" i="1"/>
  <c r="CA355" i="1" s="1"/>
  <c r="BA355" i="1"/>
  <c r="CE355" i="1"/>
  <c r="AC355" i="1"/>
  <c r="BC355" i="1"/>
  <c r="CG355" i="1"/>
  <c r="AI355" i="1"/>
  <c r="BI355" i="1"/>
  <c r="BL355" i="1" s="1"/>
  <c r="CH355" i="1"/>
  <c r="BM355" i="1"/>
  <c r="CJ355" i="1"/>
  <c r="AR355" i="1"/>
  <c r="BO355" i="1"/>
  <c r="AS355" i="1"/>
  <c r="BV355" i="1"/>
  <c r="I355" i="1"/>
  <c r="AV355" i="1"/>
  <c r="BY355" i="1"/>
  <c r="N355" i="1"/>
  <c r="AX355" i="1"/>
  <c r="CB355" i="1"/>
  <c r="AY355" i="1"/>
  <c r="BB355" i="1"/>
  <c r="BJ355" i="1"/>
  <c r="CC355" i="1"/>
  <c r="L355" i="1" s="1"/>
  <c r="CF355" i="1"/>
  <c r="CI355" i="1"/>
  <c r="O355" i="1"/>
  <c r="X355" i="1"/>
  <c r="AO355" i="1"/>
  <c r="B354" i="5"/>
  <c r="AT354" i="1"/>
  <c r="AU354" i="1" s="1"/>
  <c r="BT354" i="1"/>
  <c r="AW354" i="1" s="1"/>
  <c r="CJ354" i="1"/>
  <c r="M354" i="1"/>
  <c r="AV354" i="1"/>
  <c r="BY354" i="1"/>
  <c r="I354" i="1"/>
  <c r="AY354" i="1"/>
  <c r="CB354" i="1"/>
  <c r="N354" i="1"/>
  <c r="BA354" i="1"/>
  <c r="CC354" i="1"/>
  <c r="L354" i="1" s="1"/>
  <c r="P354" i="1"/>
  <c r="CA354" i="1" s="1"/>
  <c r="BC354" i="1"/>
  <c r="CF354" i="1"/>
  <c r="X354" i="1"/>
  <c r="BI354" i="1"/>
  <c r="BL354" i="1" s="1"/>
  <c r="CG354" i="1"/>
  <c r="AC354" i="1"/>
  <c r="BJ354" i="1"/>
  <c r="CH354" i="1"/>
  <c r="AI354" i="1"/>
  <c r="BM354" i="1"/>
  <c r="CI354" i="1"/>
  <c r="AO354" i="1"/>
  <c r="BO354" i="1"/>
  <c r="AR354" i="1"/>
  <c r="BV354" i="1"/>
  <c r="AS354" i="1"/>
  <c r="O354" i="1"/>
  <c r="AX354" i="1"/>
  <c r="BB354" i="1"/>
  <c r="CE354" i="1"/>
  <c r="B353" i="5"/>
  <c r="BO353" i="1"/>
  <c r="CJ353" i="1"/>
  <c r="I353" i="1"/>
  <c r="BV353" i="1"/>
  <c r="AI353" i="1"/>
  <c r="CH353" i="1"/>
  <c r="BJ353" i="1"/>
  <c r="AR353" i="1"/>
  <c r="BM353" i="1"/>
  <c r="AT353" i="1"/>
  <c r="AU353" i="1" s="1"/>
  <c r="AV353" i="1"/>
  <c r="BY353" i="1"/>
  <c r="AX353" i="1"/>
  <c r="CB353" i="1"/>
  <c r="AY353" i="1"/>
  <c r="CC353" i="1"/>
  <c r="P353" i="1"/>
  <c r="CA353" i="1" s="1"/>
  <c r="BA353" i="1"/>
  <c r="CE353" i="1"/>
  <c r="S353" i="1"/>
  <c r="V353" i="1" s="1"/>
  <c r="BB353" i="1"/>
  <c r="CF353" i="1"/>
  <c r="CG353" i="1"/>
  <c r="CI353" i="1"/>
  <c r="AC353" i="1"/>
  <c r="AO353" i="1"/>
  <c r="AS353" i="1"/>
  <c r="BC353" i="1"/>
  <c r="BI353" i="1"/>
  <c r="BL353" i="1" s="1"/>
  <c r="BT353" i="1"/>
  <c r="AW353" i="1" s="1"/>
  <c r="M353" i="1"/>
  <c r="B349" i="5"/>
  <c r="AS349" i="1"/>
  <c r="BM349" i="1"/>
  <c r="I349" i="1"/>
  <c r="BT349" i="1"/>
  <c r="AW349" i="1" s="1"/>
  <c r="P349" i="1"/>
  <c r="CA349" i="1" s="1"/>
  <c r="BB349" i="1"/>
  <c r="CF349" i="1"/>
  <c r="X349" i="1"/>
  <c r="Z349" i="1" s="1"/>
  <c r="AC349" i="1"/>
  <c r="AR349" i="1"/>
  <c r="BV349" i="1"/>
  <c r="AT349" i="1"/>
  <c r="AU349" i="1" s="1"/>
  <c r="AV349" i="1"/>
  <c r="BY349" i="1"/>
  <c r="AO349" i="1"/>
  <c r="BA349" i="1"/>
  <c r="B351" i="5"/>
  <c r="AR351" i="1"/>
  <c r="CC351" i="1"/>
  <c r="L351" i="1" s="1"/>
  <c r="AT351" i="1"/>
  <c r="AU351" i="1" s="1"/>
  <c r="BJ351" i="1"/>
  <c r="CF351" i="1"/>
  <c r="O351" i="1"/>
  <c r="AZ351" i="1"/>
  <c r="S351" i="1"/>
  <c r="T351" i="1" s="1"/>
  <c r="BB351" i="1"/>
  <c r="CE351" i="1"/>
  <c r="X351" i="1"/>
  <c r="BC351" i="1"/>
  <c r="CG351" i="1"/>
  <c r="AO351" i="1"/>
  <c r="CI351" i="1"/>
  <c r="AS351" i="1"/>
  <c r="BM351" i="1"/>
  <c r="CJ351" i="1"/>
  <c r="BO351" i="1"/>
  <c r="AV351" i="1"/>
  <c r="BT351" i="1"/>
  <c r="AW351" i="1" s="1"/>
  <c r="BV351" i="1"/>
  <c r="I351" i="1"/>
  <c r="AX351" i="1"/>
  <c r="N351" i="1"/>
  <c r="P351" i="1"/>
  <c r="CA351" i="1" s="1"/>
  <c r="AY351" i="1"/>
  <c r="AC351" i="1"/>
  <c r="BA351" i="1"/>
  <c r="BI351" i="1"/>
  <c r="BL351" i="1" s="1"/>
  <c r="BY351" i="1"/>
  <c r="CB351" i="1"/>
  <c r="CH351" i="1"/>
  <c r="B350" i="5"/>
  <c r="AR350" i="1"/>
  <c r="CG350" i="1"/>
  <c r="AT350" i="1"/>
  <c r="AU350" i="1" s="1"/>
  <c r="AS350" i="1"/>
  <c r="BV350" i="1"/>
  <c r="AV350" i="1"/>
  <c r="BY350" i="1"/>
  <c r="I350" i="1"/>
  <c r="AX350" i="1"/>
  <c r="CC350" i="1"/>
  <c r="O350" i="1"/>
  <c r="BA350" i="1"/>
  <c r="P350" i="1"/>
  <c r="CA350" i="1" s="1"/>
  <c r="BB350" i="1"/>
  <c r="CH350" i="1"/>
  <c r="X350" i="1"/>
  <c r="CJ350" i="1"/>
  <c r="AC350" i="1"/>
  <c r="BM350" i="1"/>
  <c r="AO350" i="1"/>
  <c r="AY350" i="1"/>
  <c r="BT350" i="1"/>
  <c r="AW350" i="1" s="1"/>
  <c r="N170" i="5"/>
  <c r="L170" i="5"/>
  <c r="M170" i="5"/>
  <c r="M83" i="5"/>
  <c r="L83" i="5"/>
  <c r="L22" i="5"/>
  <c r="N22" i="5"/>
  <c r="L122" i="5"/>
  <c r="L192" i="5"/>
  <c r="L110" i="5"/>
  <c r="M162" i="5"/>
  <c r="L55" i="5"/>
  <c r="M110" i="5"/>
  <c r="N194" i="5"/>
  <c r="M194" i="5"/>
  <c r="L194" i="5"/>
  <c r="N150" i="5"/>
  <c r="L150" i="5"/>
  <c r="M188" i="5"/>
  <c r="N188" i="5"/>
  <c r="L188" i="5"/>
  <c r="M103" i="5"/>
  <c r="N103" i="5"/>
  <c r="L103" i="5"/>
  <c r="M74" i="5"/>
  <c r="N74" i="5"/>
  <c r="L74" i="5"/>
  <c r="M176" i="5"/>
  <c r="N176" i="5"/>
  <c r="L176" i="5"/>
  <c r="M151" i="5"/>
  <c r="L151" i="5"/>
  <c r="N151" i="5"/>
  <c r="N24" i="5"/>
  <c r="M24" i="5"/>
  <c r="L24" i="5"/>
  <c r="M144" i="5"/>
  <c r="N144" i="5"/>
  <c r="L144" i="5"/>
  <c r="L157" i="5"/>
  <c r="M157" i="5"/>
  <c r="M160" i="5"/>
  <c r="L160" i="5"/>
  <c r="N160" i="5"/>
  <c r="N203" i="5"/>
  <c r="N37" i="5"/>
  <c r="M37" i="5"/>
  <c r="L37" i="5"/>
  <c r="M89" i="5"/>
  <c r="N89" i="5"/>
  <c r="L89" i="5"/>
  <c r="M82" i="5"/>
  <c r="L82" i="5"/>
  <c r="N82" i="5"/>
  <c r="N163" i="5"/>
  <c r="M163" i="5"/>
  <c r="L163" i="5"/>
  <c r="N36" i="5"/>
  <c r="L36" i="5"/>
  <c r="N69" i="5"/>
  <c r="M69" i="5"/>
  <c r="L69" i="5"/>
  <c r="N19" i="5"/>
  <c r="M19" i="5"/>
  <c r="L19" i="5"/>
  <c r="M90" i="5"/>
  <c r="L90" i="5"/>
  <c r="N90" i="5"/>
  <c r="M168" i="5"/>
  <c r="N168" i="5"/>
  <c r="L168" i="5"/>
  <c r="N159" i="5"/>
  <c r="L159" i="5"/>
  <c r="M159" i="5"/>
  <c r="N171" i="5"/>
  <c r="L171" i="5"/>
  <c r="M171" i="5"/>
  <c r="L203" i="5"/>
  <c r="N33" i="5"/>
  <c r="M33" i="5"/>
  <c r="L33" i="5"/>
  <c r="L179" i="5"/>
  <c r="N179" i="5"/>
  <c r="M179" i="5"/>
  <c r="L153" i="5"/>
  <c r="M153" i="5"/>
  <c r="N115" i="5"/>
  <c r="L115" i="5"/>
  <c r="M115" i="5"/>
  <c r="N121" i="5"/>
  <c r="L121" i="5"/>
  <c r="M121" i="5"/>
  <c r="M120" i="5"/>
  <c r="N120" i="5"/>
  <c r="L120" i="5"/>
  <c r="N91" i="5"/>
  <c r="L91" i="5"/>
  <c r="N180" i="5"/>
  <c r="M180" i="5"/>
  <c r="L180" i="5"/>
  <c r="N142" i="5"/>
  <c r="L142" i="5"/>
  <c r="M150" i="5"/>
  <c r="M113" i="5"/>
  <c r="N113" i="5"/>
  <c r="L113" i="5"/>
  <c r="L196" i="5"/>
  <c r="M196" i="5"/>
  <c r="N196" i="5"/>
  <c r="M116" i="5"/>
  <c r="N116" i="5"/>
  <c r="L116" i="5"/>
  <c r="M78" i="5"/>
  <c r="L78" i="5"/>
  <c r="N78" i="5"/>
  <c r="N85" i="5"/>
  <c r="L85" i="5"/>
  <c r="M85" i="5"/>
  <c r="N31" i="5"/>
  <c r="M31" i="5"/>
  <c r="L31" i="5"/>
  <c r="N185" i="5"/>
  <c r="M185" i="5"/>
  <c r="M200" i="5"/>
  <c r="L200" i="5"/>
  <c r="M136" i="5"/>
  <c r="N136" i="5"/>
  <c r="L136" i="5"/>
  <c r="M132" i="5"/>
  <c r="N132" i="5"/>
  <c r="L132" i="5"/>
  <c r="L125" i="5"/>
  <c r="M125" i="5"/>
  <c r="M140" i="5"/>
  <c r="N140" i="5"/>
  <c r="L140" i="5"/>
  <c r="M186" i="5"/>
  <c r="N186" i="5"/>
  <c r="M102" i="5"/>
  <c r="L102" i="5"/>
  <c r="N102" i="5"/>
  <c r="N147" i="5"/>
  <c r="M147" i="5"/>
  <c r="L147" i="5"/>
  <c r="N40" i="5"/>
  <c r="L40" i="5"/>
  <c r="M108" i="5"/>
  <c r="N108" i="5"/>
  <c r="L108" i="5"/>
  <c r="L205" i="5"/>
  <c r="M166" i="5"/>
  <c r="L166" i="5"/>
  <c r="N76" i="5"/>
  <c r="L76" i="5"/>
  <c r="M76" i="5"/>
  <c r="N118" i="5"/>
  <c r="M118" i="5"/>
  <c r="M156" i="5"/>
  <c r="N156" i="5"/>
  <c r="L156" i="5"/>
  <c r="M148" i="5"/>
  <c r="N148" i="5"/>
  <c r="L148" i="5"/>
  <c r="L61" i="5"/>
  <c r="N61" i="5"/>
  <c r="M61" i="5"/>
  <c r="M377" i="1"/>
  <c r="BC377" i="1"/>
  <c r="BI377" i="1"/>
  <c r="BL377" i="1" s="1"/>
  <c r="CB377" i="1"/>
  <c r="BJ377" i="1"/>
  <c r="CC377" i="1"/>
  <c r="CE377" i="1"/>
  <c r="N377" i="1"/>
  <c r="CF377" i="1"/>
  <c r="O377" i="1"/>
  <c r="AY377" i="1"/>
  <c r="BO377" i="1"/>
  <c r="CG377" i="1"/>
  <c r="CH377" i="1"/>
  <c r="CI377" i="1"/>
  <c r="S377" i="1"/>
  <c r="G377" i="5" s="1"/>
  <c r="CJ377" i="1"/>
  <c r="AI377" i="1"/>
  <c r="S377" i="5" s="1"/>
  <c r="AX377" i="1"/>
  <c r="R38" i="1"/>
  <c r="R45" i="1"/>
  <c r="R49" i="1"/>
  <c r="R35" i="1"/>
  <c r="R53" i="1"/>
  <c r="R56" i="1"/>
  <c r="R64" i="1"/>
  <c r="R63" i="1"/>
  <c r="R46" i="1"/>
  <c r="R54" i="1"/>
  <c r="R51" i="1"/>
  <c r="R77" i="1"/>
  <c r="R59" i="1"/>
  <c r="R71" i="1"/>
  <c r="R80" i="1"/>
  <c r="R89" i="1"/>
  <c r="R68" i="1"/>
  <c r="R88" i="1"/>
  <c r="R72" i="1"/>
  <c r="R83" i="1"/>
  <c r="R84" i="1"/>
  <c r="R110" i="1"/>
  <c r="R98" i="1"/>
  <c r="R90" i="1"/>
  <c r="R91" i="1"/>
  <c r="R97" i="1"/>
  <c r="R85" i="1"/>
  <c r="R111" i="1"/>
  <c r="R101" i="1"/>
  <c r="R109" i="1"/>
  <c r="R123" i="1"/>
  <c r="R108" i="1"/>
  <c r="R126" i="1"/>
  <c r="R106" i="1"/>
  <c r="R122" i="1"/>
  <c r="R118" i="1"/>
  <c r="R121" i="1"/>
  <c r="R117" i="1"/>
  <c r="R127" i="1"/>
  <c r="R131" i="1"/>
  <c r="R138" i="1"/>
  <c r="R139" i="1"/>
  <c r="R116" i="1"/>
  <c r="R150" i="1"/>
  <c r="R156" i="1"/>
  <c r="R130" i="1"/>
  <c r="R128" i="1"/>
  <c r="R149" i="1"/>
  <c r="R144" i="1"/>
  <c r="R153" i="1"/>
  <c r="R133" i="1"/>
  <c r="R135" i="1"/>
  <c r="R145" i="1"/>
  <c r="R132" i="1"/>
  <c r="R152" i="1"/>
  <c r="R155" i="1"/>
  <c r="R154" i="1"/>
  <c r="R158" i="1"/>
  <c r="R168" i="1"/>
  <c r="R166" i="1"/>
  <c r="R175" i="1"/>
  <c r="R181" i="1"/>
  <c r="R179" i="1"/>
  <c r="R157" i="1"/>
  <c r="R162" i="1"/>
  <c r="R165" i="1"/>
  <c r="R173" i="1"/>
  <c r="R184" i="1"/>
  <c r="R188" i="1"/>
  <c r="R193" i="1"/>
  <c r="R159" i="1"/>
  <c r="R202" i="1"/>
  <c r="R183" i="1"/>
  <c r="R177" i="1"/>
  <c r="R190" i="1"/>
  <c r="R197" i="1"/>
  <c r="R199" i="1"/>
  <c r="R200" i="1"/>
  <c r="R208" i="1"/>
  <c r="R10" i="1"/>
  <c r="R8" i="1"/>
  <c r="R9" i="1"/>
  <c r="R25" i="1"/>
  <c r="R15" i="1"/>
  <c r="R17" i="1"/>
  <c r="R20" i="1"/>
  <c r="R31" i="1"/>
  <c r="R22" i="1"/>
  <c r="R26" i="1"/>
  <c r="R37" i="1"/>
  <c r="AD373" i="1"/>
  <c r="O373" i="5" s="1"/>
  <c r="AD352" i="1"/>
  <c r="O352" i="5" s="1"/>
  <c r="T334" i="3"/>
  <c r="S334" i="3"/>
  <c r="L327" i="3"/>
  <c r="L7" i="3"/>
  <c r="L6" i="3"/>
  <c r="J334" i="3"/>
  <c r="F334" i="3"/>
  <c r="E334" i="3"/>
  <c r="CF350" i="1" s="1"/>
  <c r="E331" i="3"/>
  <c r="E333" i="3"/>
  <c r="C332" i="3"/>
  <c r="T333" i="3"/>
  <c r="S333" i="3"/>
  <c r="J333" i="3"/>
  <c r="F333" i="3"/>
  <c r="B348" i="1"/>
  <c r="T332" i="3"/>
  <c r="S332" i="3"/>
  <c r="L332" i="3"/>
  <c r="J332" i="3"/>
  <c r="F332" i="3"/>
  <c r="E332" i="3"/>
  <c r="B347" i="1"/>
  <c r="T331" i="3"/>
  <c r="S331" i="3"/>
  <c r="J331" i="3"/>
  <c r="F331" i="3"/>
  <c r="BR397" i="3" l="1"/>
  <c r="BV397" i="3" s="1"/>
  <c r="AX397" i="3"/>
  <c r="BN397" i="3"/>
  <c r="BU393" i="3"/>
  <c r="AX393" i="3"/>
  <c r="BN393" i="3"/>
  <c r="BV393" i="3"/>
  <c r="BR393" i="3"/>
  <c r="AU336" i="3"/>
  <c r="BT341" i="3"/>
  <c r="BU354" i="3"/>
  <c r="BU359" i="3"/>
  <c r="BT342" i="3"/>
  <c r="BT392" i="3"/>
  <c r="AD357" i="1"/>
  <c r="O357" i="5" s="1"/>
  <c r="Q357" i="5" s="1"/>
  <c r="BB359" i="3"/>
  <c r="BN359" i="3" s="1"/>
  <c r="BB329" i="3"/>
  <c r="BN329" i="3" s="1"/>
  <c r="BO344" i="3"/>
  <c r="BU379" i="1"/>
  <c r="W383" i="1"/>
  <c r="V383" i="1"/>
  <c r="U383" i="1"/>
  <c r="T383" i="1"/>
  <c r="BV386" i="3"/>
  <c r="BR386" i="3"/>
  <c r="AX386" i="3"/>
  <c r="BN386" i="3"/>
  <c r="BU386" i="3"/>
  <c r="BR384" i="3"/>
  <c r="BV384" i="3" s="1"/>
  <c r="BN384" i="3"/>
  <c r="R378" i="5"/>
  <c r="O380" i="5"/>
  <c r="Q380" i="5" s="1"/>
  <c r="P378" i="5"/>
  <c r="AG380" i="1"/>
  <c r="AE380" i="1"/>
  <c r="AF380" i="1"/>
  <c r="BR381" i="3"/>
  <c r="BV381" i="3" s="1"/>
  <c r="BN381" i="3"/>
  <c r="I383" i="5"/>
  <c r="H383" i="5"/>
  <c r="AX380" i="3"/>
  <c r="BN380" i="3"/>
  <c r="BV380" i="3"/>
  <c r="BR380" i="3"/>
  <c r="AX379" i="3"/>
  <c r="BN379" i="3"/>
  <c r="BR379" i="3"/>
  <c r="BV379" i="3" s="1"/>
  <c r="BN377" i="3"/>
  <c r="AU360" i="3"/>
  <c r="AU358" i="3"/>
  <c r="BO329" i="3"/>
  <c r="BT284" i="3"/>
  <c r="BO360" i="3"/>
  <c r="BT343" i="3"/>
  <c r="BT320" i="3"/>
  <c r="BT348" i="3"/>
  <c r="BO349" i="3"/>
  <c r="BB341" i="3"/>
  <c r="AD370" i="1"/>
  <c r="O370" i="5" s="1"/>
  <c r="BO392" i="3"/>
  <c r="BO342" i="3"/>
  <c r="BB360" i="3"/>
  <c r="AU329" i="3"/>
  <c r="BB361" i="3"/>
  <c r="BN361" i="3" s="1"/>
  <c r="BO341" i="3"/>
  <c r="BO353" i="3"/>
  <c r="BT352" i="3"/>
  <c r="BB355" i="3"/>
  <c r="BN355" i="3" s="1"/>
  <c r="CE350" i="1"/>
  <c r="CI350" i="1"/>
  <c r="BR370" i="3"/>
  <c r="BV370" i="3" s="1"/>
  <c r="AU350" i="3"/>
  <c r="BO338" i="3"/>
  <c r="BT339" i="3"/>
  <c r="BO350" i="1"/>
  <c r="BO337" i="3"/>
  <c r="AU341" i="3"/>
  <c r="BB350" i="3"/>
  <c r="BB351" i="3"/>
  <c r="BO346" i="3"/>
  <c r="BO343" i="3"/>
  <c r="BT353" i="3"/>
  <c r="BT349" i="3"/>
  <c r="BB354" i="3"/>
  <c r="BB358" i="3"/>
  <c r="BN358" i="3" s="1"/>
  <c r="BN370" i="3"/>
  <c r="BB357" i="3"/>
  <c r="BI350" i="1"/>
  <c r="BL350" i="1" s="1"/>
  <c r="AZ350" i="1"/>
  <c r="BJ350" i="1"/>
  <c r="BZ350" i="1" s="1"/>
  <c r="BT345" i="3"/>
  <c r="BB352" i="3"/>
  <c r="BN352" i="3" s="1"/>
  <c r="BB321" i="3"/>
  <c r="BB335" i="3"/>
  <c r="BN335" i="3" s="1"/>
  <c r="AU359" i="3"/>
  <c r="AD356" i="1"/>
  <c r="O356" i="5" s="1"/>
  <c r="Q356" i="5" s="1"/>
  <c r="N350" i="1"/>
  <c r="AI364" i="1"/>
  <c r="AM364" i="1" s="1"/>
  <c r="X371" i="1"/>
  <c r="BO320" i="3"/>
  <c r="AU339" i="3"/>
  <c r="AU361" i="3"/>
  <c r="BB339" i="3"/>
  <c r="BV340" i="3"/>
  <c r="BO347" i="3"/>
  <c r="BO321" i="3"/>
  <c r="BC350" i="1"/>
  <c r="M350" i="1"/>
  <c r="S350" i="1"/>
  <c r="BB340" i="3"/>
  <c r="CB350" i="1"/>
  <c r="BU381" i="1"/>
  <c r="BO348" i="3"/>
  <c r="BT321" i="3"/>
  <c r="BO335" i="3"/>
  <c r="S349" i="1"/>
  <c r="U349" i="1" s="1"/>
  <c r="CE349" i="1"/>
  <c r="BC349" i="1"/>
  <c r="AX349" i="1"/>
  <c r="CG349" i="1"/>
  <c r="M349" i="1"/>
  <c r="AY349" i="1"/>
  <c r="BI349" i="1"/>
  <c r="BL349" i="1" s="1"/>
  <c r="CB349" i="1"/>
  <c r="CH349" i="1"/>
  <c r="CI349" i="1"/>
  <c r="BO349" i="1"/>
  <c r="BJ349" i="1"/>
  <c r="N349" i="1"/>
  <c r="AZ349" i="1"/>
  <c r="CC349" i="1"/>
  <c r="L349" i="1" s="1"/>
  <c r="CJ349" i="1"/>
  <c r="O349" i="1"/>
  <c r="BR377" i="3"/>
  <c r="BV377" i="3" s="1"/>
  <c r="O382" i="5"/>
  <c r="Q382" i="5" s="1"/>
  <c r="BO284" i="3"/>
  <c r="BM354" i="3"/>
  <c r="BO345" i="3"/>
  <c r="BO359" i="3"/>
  <c r="BO356" i="3"/>
  <c r="BU337" i="3"/>
  <c r="M379" i="5"/>
  <c r="BN366" i="3"/>
  <c r="BF332" i="3"/>
  <c r="BG332" i="3"/>
  <c r="AP332" i="3"/>
  <c r="AQ332" i="3" s="1"/>
  <c r="AS332" i="3"/>
  <c r="BH332" i="3" s="1"/>
  <c r="BO332" i="3" s="1"/>
  <c r="AT332" i="3"/>
  <c r="AU332" i="3" s="1"/>
  <c r="AX332" i="3"/>
  <c r="BP332" i="3" a="1"/>
  <c r="BP332" i="3" s="1"/>
  <c r="BT332" i="3" s="1"/>
  <c r="AS333" i="3"/>
  <c r="BH333" i="3" s="1"/>
  <c r="BP333" i="3" a="1"/>
  <c r="BP333" i="3" s="1"/>
  <c r="BT333" i="3" s="1"/>
  <c r="AT333" i="3"/>
  <c r="BB333" i="3" s="1"/>
  <c r="AX333" i="3"/>
  <c r="BF333" i="3"/>
  <c r="AP333" i="3"/>
  <c r="AQ333" i="3" s="1"/>
  <c r="BG333" i="3"/>
  <c r="AX331" i="3"/>
  <c r="BF331" i="3"/>
  <c r="AP331" i="3"/>
  <c r="AQ331" i="3" s="1"/>
  <c r="AS331" i="3"/>
  <c r="BH331" i="3" s="1"/>
  <c r="BP331" i="3" a="1"/>
  <c r="BP331" i="3" s="1"/>
  <c r="BT331" i="3" s="1"/>
  <c r="AT331" i="3"/>
  <c r="BB331" i="3" s="1"/>
  <c r="BG331" i="3"/>
  <c r="BF334" i="3"/>
  <c r="AP334" i="3"/>
  <c r="AQ334" i="3" s="1"/>
  <c r="BG334" i="3"/>
  <c r="AS334" i="3"/>
  <c r="BH334" i="3" s="1"/>
  <c r="AT334" i="3"/>
  <c r="BB334" i="3" s="1"/>
  <c r="AX334" i="3"/>
  <c r="BP334" i="3" a="1"/>
  <c r="BP334" i="3" s="1"/>
  <c r="BT334" i="3" s="1"/>
  <c r="BB320" i="3"/>
  <c r="BJ320" i="3"/>
  <c r="BR320" i="3" s="1"/>
  <c r="BV320" i="3" s="1"/>
  <c r="BK320" i="3"/>
  <c r="BS320" i="3"/>
  <c r="BS359" i="3"/>
  <c r="BK359" i="3"/>
  <c r="AU340" i="3"/>
  <c r="BH340" i="3"/>
  <c r="BO340" i="3" s="1"/>
  <c r="BS340" i="3"/>
  <c r="BK340" i="3"/>
  <c r="BB356" i="3"/>
  <c r="BJ356" i="3"/>
  <c r="BS356" i="3"/>
  <c r="BK356" i="3"/>
  <c r="F372" i="5" s="1"/>
  <c r="BS345" i="3"/>
  <c r="BK345" i="3"/>
  <c r="AU345" i="3"/>
  <c r="BJ345" i="3"/>
  <c r="BB337" i="3"/>
  <c r="BJ337" i="3"/>
  <c r="BK337" i="3"/>
  <c r="BS337" i="3"/>
  <c r="BB342" i="3"/>
  <c r="BJ342" i="3"/>
  <c r="BK342" i="3"/>
  <c r="BS342" i="3"/>
  <c r="BS348" i="3"/>
  <c r="BK348" i="3"/>
  <c r="BB348" i="3"/>
  <c r="BJ348" i="3"/>
  <c r="BR341" i="3"/>
  <c r="BV341" i="3"/>
  <c r="BK341" i="3"/>
  <c r="BS341" i="3"/>
  <c r="BK353" i="3"/>
  <c r="BS353" i="3"/>
  <c r="AU347" i="3"/>
  <c r="BJ347" i="3"/>
  <c r="BS347" i="3"/>
  <c r="BK347" i="3"/>
  <c r="BS350" i="3"/>
  <c r="BK350" i="3"/>
  <c r="BK338" i="3"/>
  <c r="BS338" i="3"/>
  <c r="AU338" i="3"/>
  <c r="BJ338" i="3"/>
  <c r="BR352" i="3"/>
  <c r="BV352" i="3"/>
  <c r="BK352" i="3"/>
  <c r="BS352" i="3"/>
  <c r="BS351" i="3"/>
  <c r="BK351" i="3"/>
  <c r="BK336" i="3"/>
  <c r="F352" i="5" s="1"/>
  <c r="BS336" i="3"/>
  <c r="BV336" i="3"/>
  <c r="BR336" i="3"/>
  <c r="BI336" i="3"/>
  <c r="BU336" i="3" s="1"/>
  <c r="BO336" i="3"/>
  <c r="BS284" i="3"/>
  <c r="BK284" i="3"/>
  <c r="BB284" i="3"/>
  <c r="BJ284" i="3"/>
  <c r="BR284" i="3" s="1"/>
  <c r="BV284" i="3" s="1"/>
  <c r="BK321" i="3"/>
  <c r="BS321" i="3"/>
  <c r="BS349" i="3"/>
  <c r="BK349" i="3"/>
  <c r="AU349" i="3"/>
  <c r="BJ349" i="3"/>
  <c r="BS360" i="3"/>
  <c r="BK360" i="3"/>
  <c r="BR360" i="3"/>
  <c r="BV360" i="3" s="1"/>
  <c r="BN360" i="3"/>
  <c r="BS335" i="3"/>
  <c r="BK335" i="3"/>
  <c r="F351" i="5" s="1"/>
  <c r="BR354" i="3"/>
  <c r="BV354" i="3" s="1"/>
  <c r="BN354" i="3"/>
  <c r="BK354" i="3"/>
  <c r="BS354" i="3"/>
  <c r="BK358" i="3"/>
  <c r="BS358" i="3"/>
  <c r="AU346" i="3"/>
  <c r="BJ346" i="3"/>
  <c r="BS346" i="3"/>
  <c r="BK346" i="3"/>
  <c r="F362" i="5" s="1"/>
  <c r="BS339" i="3"/>
  <c r="BK339" i="3"/>
  <c r="F355" i="5" s="1"/>
  <c r="BR339" i="3"/>
  <c r="BV339" i="3"/>
  <c r="BS357" i="3"/>
  <c r="BK357" i="3"/>
  <c r="BV357" i="3"/>
  <c r="BR357" i="3"/>
  <c r="AU357" i="3"/>
  <c r="BH357" i="3"/>
  <c r="BR329" i="3"/>
  <c r="BV329" i="3" s="1"/>
  <c r="BK329" i="3"/>
  <c r="BS329" i="3"/>
  <c r="AU343" i="3"/>
  <c r="BJ343" i="3"/>
  <c r="BS343" i="3"/>
  <c r="BK343" i="3"/>
  <c r="F359" i="5" s="1"/>
  <c r="BS361" i="3"/>
  <c r="BK361" i="3"/>
  <c r="BU355" i="3"/>
  <c r="BM355" i="3"/>
  <c r="BR355" i="3"/>
  <c r="BV355" i="3"/>
  <c r="BK355" i="3"/>
  <c r="F371" i="5" s="1"/>
  <c r="BS355" i="3"/>
  <c r="BB344" i="3"/>
  <c r="BJ344" i="3"/>
  <c r="BS344" i="3"/>
  <c r="BK344" i="3"/>
  <c r="CD380" i="1"/>
  <c r="BG380" i="1"/>
  <c r="BP380" i="1" s="1" a="1"/>
  <c r="BP380" i="1" s="1"/>
  <c r="BU376" i="3"/>
  <c r="BV376" i="3"/>
  <c r="BR376" i="3"/>
  <c r="AX376" i="3"/>
  <c r="BN376" i="3"/>
  <c r="BU380" i="1"/>
  <c r="AX374" i="3"/>
  <c r="BN374" i="3"/>
  <c r="BV374" i="3"/>
  <c r="BR374" i="3"/>
  <c r="BV373" i="3"/>
  <c r="BR373" i="3"/>
  <c r="AX373" i="3"/>
  <c r="BN373" i="3"/>
  <c r="BF381" i="1"/>
  <c r="Q379" i="5"/>
  <c r="P379" i="5"/>
  <c r="AG379" i="1"/>
  <c r="AF379" i="1"/>
  <c r="AH379" i="1"/>
  <c r="Y379" i="1"/>
  <c r="Z379" i="1"/>
  <c r="L379" i="5"/>
  <c r="AB379" i="1"/>
  <c r="AA379" i="1"/>
  <c r="AE379" i="1"/>
  <c r="AX378" i="3"/>
  <c r="BN378" i="3"/>
  <c r="BR378" i="3"/>
  <c r="BV378" i="3" s="1"/>
  <c r="T383" i="5"/>
  <c r="U383" i="5"/>
  <c r="BR375" i="3"/>
  <c r="BV375" i="3" s="1"/>
  <c r="BN375" i="3"/>
  <c r="AF382" i="1"/>
  <c r="BR394" i="3"/>
  <c r="BV394" i="3" s="1"/>
  <c r="BN394" i="3"/>
  <c r="AG382" i="1"/>
  <c r="BG383" i="1"/>
  <c r="BP383" i="1" s="1" a="1"/>
  <c r="BP383" i="1" s="1"/>
  <c r="AE382" i="1"/>
  <c r="BU383" i="1"/>
  <c r="CD382" i="1"/>
  <c r="AZ382" i="1"/>
  <c r="BF383" i="1"/>
  <c r="CD381" i="1"/>
  <c r="H381" i="5"/>
  <c r="I381" i="5"/>
  <c r="AH382" i="1"/>
  <c r="BR382" i="3"/>
  <c r="BV382" i="3" s="1"/>
  <c r="BN382" i="3"/>
  <c r="BF382" i="1"/>
  <c r="BU382" i="1"/>
  <c r="BW382" i="1"/>
  <c r="BV392" i="3"/>
  <c r="BR392" i="3"/>
  <c r="AX392" i="3"/>
  <c r="BN392" i="3"/>
  <c r="AH383" i="1"/>
  <c r="O383" i="5"/>
  <c r="AE383" i="1"/>
  <c r="AF383" i="1"/>
  <c r="AG383" i="1"/>
  <c r="BF379" i="1"/>
  <c r="BG379" i="1"/>
  <c r="BP379" i="1" s="1" a="1"/>
  <c r="BP379" i="1" s="1"/>
  <c r="BW379" i="1" s="1"/>
  <c r="CD379" i="1"/>
  <c r="AZ379" i="1"/>
  <c r="N383" i="5"/>
  <c r="L383" i="5"/>
  <c r="M383" i="5"/>
  <c r="V380" i="5"/>
  <c r="U380" i="5"/>
  <c r="T380" i="5"/>
  <c r="AL381" i="1"/>
  <c r="AK381" i="1"/>
  <c r="AJ381" i="1"/>
  <c r="AM381" i="1"/>
  <c r="S381" i="5"/>
  <c r="U381" i="5" s="1"/>
  <c r="J379" i="5"/>
  <c r="I379" i="5"/>
  <c r="H379" i="5"/>
  <c r="N381" i="5"/>
  <c r="L381" i="5"/>
  <c r="M381" i="5"/>
  <c r="N382" i="5"/>
  <c r="L382" i="5"/>
  <c r="M382" i="5"/>
  <c r="N378" i="5"/>
  <c r="M378" i="5"/>
  <c r="L378" i="5"/>
  <c r="V379" i="5"/>
  <c r="U379" i="5"/>
  <c r="T379" i="5"/>
  <c r="V382" i="5"/>
  <c r="U382" i="5"/>
  <c r="T382" i="5"/>
  <c r="M380" i="5"/>
  <c r="L380" i="5"/>
  <c r="N380" i="5"/>
  <c r="V378" i="5"/>
  <c r="T378" i="5"/>
  <c r="U378" i="5"/>
  <c r="J378" i="5"/>
  <c r="I378" i="5"/>
  <c r="H378" i="5"/>
  <c r="J382" i="5"/>
  <c r="I382" i="5"/>
  <c r="H382" i="5"/>
  <c r="BR365" i="3"/>
  <c r="BV365" i="3" s="1"/>
  <c r="AX365" i="3"/>
  <c r="AD381" i="1" s="1"/>
  <c r="BN365" i="3"/>
  <c r="BZ374" i="1"/>
  <c r="BE350" i="1"/>
  <c r="AP351" i="1"/>
  <c r="AB351" i="5" s="1"/>
  <c r="J353" i="1"/>
  <c r="BF353" i="1" s="1"/>
  <c r="BH354" i="1"/>
  <c r="Q355" i="1"/>
  <c r="R355" i="1" s="1"/>
  <c r="Q356" i="1"/>
  <c r="R356" i="1" s="1"/>
  <c r="Q357" i="1"/>
  <c r="R357" i="1" s="1"/>
  <c r="BH358" i="1"/>
  <c r="BH359" i="1"/>
  <c r="Q360" i="1"/>
  <c r="R360" i="1" s="1"/>
  <c r="BE361" i="1"/>
  <c r="K362" i="1"/>
  <c r="AP363" i="1"/>
  <c r="AB363" i="5" s="1"/>
  <c r="AP364" i="1"/>
  <c r="AB364" i="5" s="1"/>
  <c r="J365" i="1"/>
  <c r="BF365" i="1" s="1"/>
  <c r="K366" i="1"/>
  <c r="BH367" i="1"/>
  <c r="BE368" i="1"/>
  <c r="Q369" i="1"/>
  <c r="R369" i="1" s="1"/>
  <c r="J371" i="1"/>
  <c r="AZ371" i="1" s="1"/>
  <c r="J372" i="1"/>
  <c r="BF372" i="1" s="1"/>
  <c r="X373" i="1"/>
  <c r="Z373" i="1" s="1"/>
  <c r="AP374" i="1"/>
  <c r="AB374" i="5" s="1"/>
  <c r="BD375" i="1"/>
  <c r="AD376" i="1"/>
  <c r="AF376" i="1" s="1"/>
  <c r="Q377" i="1"/>
  <c r="R377" i="1" s="1"/>
  <c r="BQ377" i="1"/>
  <c r="BN377" i="1" s="1"/>
  <c r="BH377" i="1"/>
  <c r="BQ352" i="1"/>
  <c r="BN352" i="1" s="1"/>
  <c r="S358" i="1"/>
  <c r="W358" i="1" s="1"/>
  <c r="S359" i="1"/>
  <c r="W359" i="1" s="1"/>
  <c r="BZ368" i="1"/>
  <c r="BQ370" i="1"/>
  <c r="BN370" i="1" s="1"/>
  <c r="BZ366" i="1"/>
  <c r="BH372" i="1"/>
  <c r="BQ364" i="1"/>
  <c r="BN364" i="1" s="1"/>
  <c r="AI362" i="1"/>
  <c r="AK362" i="1" s="1"/>
  <c r="BH362" i="1"/>
  <c r="BZ363" i="1"/>
  <c r="S357" i="1"/>
  <c r="BQ371" i="1"/>
  <c r="BN371" i="1" s="1"/>
  <c r="X375" i="1"/>
  <c r="AA375" i="1" s="1"/>
  <c r="BQ359" i="1"/>
  <c r="BN359" i="1" s="1"/>
  <c r="E356" i="5"/>
  <c r="S356" i="1"/>
  <c r="W356" i="1" s="1"/>
  <c r="BZ360" i="1"/>
  <c r="BZ354" i="1"/>
  <c r="BQ361" i="1"/>
  <c r="BN361" i="1" s="1"/>
  <c r="BZ364" i="1"/>
  <c r="BZ357" i="1"/>
  <c r="BQ355" i="1"/>
  <c r="BN355" i="1" s="1"/>
  <c r="AP377" i="1"/>
  <c r="AB377" i="5" s="1"/>
  <c r="AQ357" i="1"/>
  <c r="BS357" i="1" s="1"/>
  <c r="AD377" i="1"/>
  <c r="AH377" i="1" s="1"/>
  <c r="K377" i="1"/>
  <c r="AQ361" i="1"/>
  <c r="BS361" i="1" s="1"/>
  <c r="J377" i="1"/>
  <c r="AZ377" i="1" s="1"/>
  <c r="BE377" i="1"/>
  <c r="BQ363" i="1"/>
  <c r="BN363" i="1" s="1"/>
  <c r="BD377" i="1"/>
  <c r="BQ351" i="1"/>
  <c r="BN351" i="1" s="1"/>
  <c r="BQ356" i="1"/>
  <c r="BN356" i="1" s="1"/>
  <c r="AQ356" i="1"/>
  <c r="BS356" i="1" s="1"/>
  <c r="BQ367" i="1"/>
  <c r="BN367" i="1" s="1"/>
  <c r="BH375" i="1"/>
  <c r="J360" i="1"/>
  <c r="BG360" i="1" s="1"/>
  <c r="BQ362" i="1"/>
  <c r="BN362" i="1" s="1"/>
  <c r="BQ366" i="1"/>
  <c r="BN366" i="1" s="1"/>
  <c r="BQ375" i="1"/>
  <c r="BN375" i="1" s="1"/>
  <c r="J376" i="1"/>
  <c r="AZ376" i="1" s="1"/>
  <c r="BH351" i="1"/>
  <c r="BQ372" i="1"/>
  <c r="BN372" i="1" s="1"/>
  <c r="BQ354" i="1"/>
  <c r="BN354" i="1" s="1"/>
  <c r="BQ374" i="1"/>
  <c r="BN374" i="1" s="1"/>
  <c r="BQ353" i="1"/>
  <c r="BN353" i="1" s="1"/>
  <c r="AQ376" i="1"/>
  <c r="BS376" i="1" s="1"/>
  <c r="J350" i="1"/>
  <c r="BG350" i="1" s="1"/>
  <c r="BH369" i="1"/>
  <c r="Q371" i="1"/>
  <c r="R371" i="1" s="1"/>
  <c r="BQ349" i="1"/>
  <c r="BN349" i="1" s="1"/>
  <c r="BZ355" i="1"/>
  <c r="BH357" i="1"/>
  <c r="Q359" i="1"/>
  <c r="R359" i="1" s="1"/>
  <c r="AQ359" i="1"/>
  <c r="BS359" i="1" s="1"/>
  <c r="L361" i="1"/>
  <c r="AQ365" i="1"/>
  <c r="BS365" i="1" s="1"/>
  <c r="BQ368" i="1"/>
  <c r="BN368" i="1" s="1"/>
  <c r="J373" i="1"/>
  <c r="AZ373" i="1" s="1"/>
  <c r="J357" i="1"/>
  <c r="BF357" i="1" s="1"/>
  <c r="BZ372" i="1"/>
  <c r="BZ358" i="1"/>
  <c r="BP360" i="1" a="1"/>
  <c r="BP360" i="1" s="1"/>
  <c r="Q364" i="1"/>
  <c r="R364" i="1" s="1"/>
  <c r="BQ350" i="1"/>
  <c r="BN350" i="1" s="1"/>
  <c r="AQ354" i="1"/>
  <c r="BS354" i="1" s="1"/>
  <c r="Q354" i="1"/>
  <c r="R354" i="1" s="1"/>
  <c r="Q375" i="1"/>
  <c r="R375" i="1" s="1"/>
  <c r="BQ369" i="1"/>
  <c r="BN369" i="1" s="1"/>
  <c r="BQ376" i="1"/>
  <c r="BN376" i="1" s="1"/>
  <c r="AQ367" i="1"/>
  <c r="BS367" i="1" s="1"/>
  <c r="J369" i="1"/>
  <c r="BG369" i="1" s="1"/>
  <c r="AQ371" i="1"/>
  <c r="BS371" i="1" s="1"/>
  <c r="M348" i="1"/>
  <c r="U350" i="1"/>
  <c r="T350" i="1"/>
  <c r="V350" i="1"/>
  <c r="L356" i="1"/>
  <c r="AQ360" i="1"/>
  <c r="BS360" i="1" s="1"/>
  <c r="AQ363" i="1"/>
  <c r="BS363" i="1" s="1"/>
  <c r="U363" i="1"/>
  <c r="W363" i="1"/>
  <c r="V363" i="1"/>
  <c r="BH363" i="1"/>
  <c r="Z364" i="1"/>
  <c r="Y364" i="1"/>
  <c r="AA364" i="1"/>
  <c r="L367" i="1"/>
  <c r="AK367" i="1"/>
  <c r="AJ367" i="1"/>
  <c r="Q368" i="1"/>
  <c r="R368" i="1" s="1"/>
  <c r="BD371" i="1"/>
  <c r="BH355" i="1"/>
  <c r="J368" i="1"/>
  <c r="Q350" i="1"/>
  <c r="R350" i="1" s="1"/>
  <c r="J351" i="1"/>
  <c r="K351" i="5"/>
  <c r="M351" i="5" s="1"/>
  <c r="AA351" i="1"/>
  <c r="Y351" i="1"/>
  <c r="AB351" i="1"/>
  <c r="Z351" i="1"/>
  <c r="S355" i="5"/>
  <c r="U355" i="5" s="1"/>
  <c r="AJ355" i="1"/>
  <c r="AM355" i="1"/>
  <c r="AK355" i="1"/>
  <c r="AL355" i="1"/>
  <c r="AK359" i="1"/>
  <c r="AM359" i="1"/>
  <c r="J362" i="1"/>
  <c r="BF362" i="1" s="1"/>
  <c r="Y362" i="1"/>
  <c r="AB362" i="1"/>
  <c r="AA362" i="1"/>
  <c r="AQ364" i="1"/>
  <c r="BS364" i="1" s="1"/>
  <c r="BK369" i="1"/>
  <c r="AN369" i="1"/>
  <c r="Z372" i="1"/>
  <c r="AA372" i="1"/>
  <c r="AN375" i="1"/>
  <c r="BK375" i="1"/>
  <c r="BD352" i="1"/>
  <c r="BE352" i="1"/>
  <c r="BH350" i="1"/>
  <c r="BH373" i="1"/>
  <c r="V349" i="1"/>
  <c r="S354" i="5"/>
  <c r="U354" i="5" s="1"/>
  <c r="AK354" i="1"/>
  <c r="AJ354" i="1"/>
  <c r="AM354" i="1"/>
  <c r="AL354" i="1"/>
  <c r="K355" i="1"/>
  <c r="BD355" i="1"/>
  <c r="Z356" i="1"/>
  <c r="AA356" i="1"/>
  <c r="AB357" i="1"/>
  <c r="Y357" i="1"/>
  <c r="BE358" i="1"/>
  <c r="BD358" i="1"/>
  <c r="K358" i="1"/>
  <c r="BZ359" i="1"/>
  <c r="BP369" i="1" a="1"/>
  <c r="BP369" i="1" s="1"/>
  <c r="AB369" i="1"/>
  <c r="AA369" i="1"/>
  <c r="BQ373" i="1"/>
  <c r="BN373" i="1" s="1"/>
  <c r="L376" i="1"/>
  <c r="J355" i="1"/>
  <c r="L360" i="1"/>
  <c r="Q362" i="1"/>
  <c r="R362" i="1" s="1"/>
  <c r="Q373" i="1"/>
  <c r="R373" i="1" s="1"/>
  <c r="BH353" i="1"/>
  <c r="Y355" i="1"/>
  <c r="Z355" i="1"/>
  <c r="AA355" i="1"/>
  <c r="BK356" i="1"/>
  <c r="AN356" i="1"/>
  <c r="L359" i="1"/>
  <c r="AN359" i="1"/>
  <c r="BK359" i="1"/>
  <c r="AN361" i="1"/>
  <c r="BK361" i="1"/>
  <c r="BZ361" i="1"/>
  <c r="U364" i="1"/>
  <c r="V364" i="1"/>
  <c r="BQ365" i="1"/>
  <c r="BN365" i="1" s="1"/>
  <c r="K370" i="1"/>
  <c r="AP370" i="1"/>
  <c r="AB370" i="5" s="1"/>
  <c r="U371" i="1"/>
  <c r="T371" i="1"/>
  <c r="AQ373" i="1"/>
  <c r="BS373" i="1" s="1"/>
  <c r="J358" i="1"/>
  <c r="Q372" i="1"/>
  <c r="R372" i="1" s="1"/>
  <c r="J374" i="1"/>
  <c r="Q353" i="1"/>
  <c r="R353" i="1" s="1"/>
  <c r="AN353" i="1"/>
  <c r="BK353" i="1"/>
  <c r="BK354" i="1"/>
  <c r="AN354" i="1"/>
  <c r="BQ357" i="1"/>
  <c r="BN357" i="1" s="1"/>
  <c r="AN358" i="1"/>
  <c r="BK358" i="1"/>
  <c r="BK367" i="1"/>
  <c r="AN367" i="1"/>
  <c r="Y368" i="1"/>
  <c r="Z368" i="1"/>
  <c r="AA368" i="1"/>
  <c r="AQ352" i="1"/>
  <c r="BS352" i="1" s="1"/>
  <c r="J370" i="1"/>
  <c r="L363" i="1"/>
  <c r="BE349" i="1"/>
  <c r="BD349" i="1"/>
  <c r="K349" i="1"/>
  <c r="L358" i="1"/>
  <c r="AQ358" i="1"/>
  <c r="BS358" i="1" s="1"/>
  <c r="AL358" i="1"/>
  <c r="AK358" i="1"/>
  <c r="K360" i="1"/>
  <c r="AP360" i="1"/>
  <c r="AB360" i="5" s="1"/>
  <c r="BQ360" i="1"/>
  <c r="BN360" i="1" s="1"/>
  <c r="AK361" i="1"/>
  <c r="AJ361" i="1"/>
  <c r="AM361" i="1"/>
  <c r="AN362" i="1"/>
  <c r="BK362" i="1"/>
  <c r="Q363" i="1"/>
  <c r="R363" i="1" s="1"/>
  <c r="BK365" i="1"/>
  <c r="AN365" i="1"/>
  <c r="Q352" i="1"/>
  <c r="R352" i="1" s="1"/>
  <c r="W352" i="1"/>
  <c r="T352" i="1"/>
  <c r="Q370" i="1"/>
  <c r="R370" i="1" s="1"/>
  <c r="AK353" i="1"/>
  <c r="AJ353" i="1"/>
  <c r="AM353" i="1"/>
  <c r="BH356" i="1"/>
  <c r="V362" i="1"/>
  <c r="W362" i="1"/>
  <c r="J363" i="1"/>
  <c r="BF363" i="1" s="1"/>
  <c r="AK365" i="1"/>
  <c r="AM365" i="1"/>
  <c r="BH370" i="1"/>
  <c r="AQ370" i="1"/>
  <c r="BS370" i="1" s="1"/>
  <c r="BE372" i="1"/>
  <c r="K372" i="1"/>
  <c r="AP372" i="1"/>
  <c r="AB372" i="5" s="1"/>
  <c r="J366" i="1"/>
  <c r="BZ367" i="1"/>
  <c r="J352" i="1"/>
  <c r="BZ353" i="1"/>
  <c r="Q349" i="1"/>
  <c r="R349" i="1" s="1"/>
  <c r="AQ350" i="1"/>
  <c r="BS350" i="1" s="1"/>
  <c r="AQ349" i="1"/>
  <c r="BS349" i="1" s="1"/>
  <c r="AQ355" i="1"/>
  <c r="BS355" i="1" s="1"/>
  <c r="BD365" i="1"/>
  <c r="BE365" i="1"/>
  <c r="BZ373" i="1"/>
  <c r="BK373" i="1"/>
  <c r="AN373" i="1"/>
  <c r="Q374" i="1"/>
  <c r="R374" i="1" s="1"/>
  <c r="AQ374" i="1"/>
  <c r="BS374" i="1" s="1"/>
  <c r="BZ375" i="1"/>
  <c r="BZ376" i="1"/>
  <c r="Q366" i="1"/>
  <c r="R366" i="1" s="1"/>
  <c r="Q367" i="1"/>
  <c r="R367" i="1" s="1"/>
  <c r="L371" i="1"/>
  <c r="J349" i="1"/>
  <c r="BK351" i="1"/>
  <c r="AN351" i="1"/>
  <c r="Y354" i="1"/>
  <c r="AB354" i="1"/>
  <c r="BH360" i="1"/>
  <c r="BK360" i="1"/>
  <c r="AN360" i="1"/>
  <c r="BH361" i="1"/>
  <c r="Y363" i="1"/>
  <c r="AB363" i="1"/>
  <c r="AQ366" i="1"/>
  <c r="BS366" i="1" s="1"/>
  <c r="BZ369" i="1"/>
  <c r="AN371" i="1"/>
  <c r="BK371" i="1"/>
  <c r="AJ371" i="1"/>
  <c r="AM371" i="1"/>
  <c r="BH374" i="1"/>
  <c r="AL374" i="1"/>
  <c r="AK374" i="1"/>
  <c r="T375" i="1"/>
  <c r="U375" i="1"/>
  <c r="AP376" i="1"/>
  <c r="AB376" i="5" s="1"/>
  <c r="K376" i="1"/>
  <c r="X370" i="1"/>
  <c r="BZ371" i="1"/>
  <c r="BZ351" i="1"/>
  <c r="L365" i="1"/>
  <c r="AB350" i="1"/>
  <c r="Y350" i="1"/>
  <c r="AA350" i="1"/>
  <c r="AL357" i="1"/>
  <c r="AJ357" i="1"/>
  <c r="AK357" i="1"/>
  <c r="AA365" i="1"/>
  <c r="Y365" i="1"/>
  <c r="BH366" i="1"/>
  <c r="AQ368" i="1"/>
  <c r="BS368" i="1" s="1"/>
  <c r="S352" i="5"/>
  <c r="U352" i="5" s="1"/>
  <c r="AK352" i="1"/>
  <c r="AM352" i="1"/>
  <c r="AL352" i="1"/>
  <c r="AJ352" i="1"/>
  <c r="BH365" i="1"/>
  <c r="BH349" i="1"/>
  <c r="AQ351" i="1"/>
  <c r="BS351" i="1" s="1"/>
  <c r="BH368" i="1"/>
  <c r="U369" i="1"/>
  <c r="T369" i="1"/>
  <c r="W369" i="1"/>
  <c r="BH376" i="1"/>
  <c r="L357" i="1"/>
  <c r="BH371" i="1"/>
  <c r="J364" i="1"/>
  <c r="L350" i="1"/>
  <c r="Q351" i="1"/>
  <c r="R351" i="1" s="1"/>
  <c r="BE354" i="1"/>
  <c r="BZ356" i="1"/>
  <c r="K358" i="5"/>
  <c r="N358" i="5" s="1"/>
  <c r="AB358" i="1"/>
  <c r="AA358" i="1"/>
  <c r="Y358" i="1"/>
  <c r="Z358" i="1"/>
  <c r="BQ358" i="1"/>
  <c r="BN358" i="1" s="1"/>
  <c r="Q361" i="1"/>
  <c r="R361" i="1" s="1"/>
  <c r="Q365" i="1"/>
  <c r="R365" i="1" s="1"/>
  <c r="T373" i="1"/>
  <c r="W373" i="1"/>
  <c r="AA374" i="1"/>
  <c r="Y374" i="1"/>
  <c r="BZ365" i="1"/>
  <c r="Q376" i="1"/>
  <c r="R376" i="1" s="1"/>
  <c r="B347" i="5"/>
  <c r="AC347" i="1"/>
  <c r="BB347" i="1"/>
  <c r="CC347" i="1"/>
  <c r="AR347" i="1"/>
  <c r="BI347" i="1"/>
  <c r="BL347" i="1" s="1"/>
  <c r="CF347" i="1"/>
  <c r="BV347" i="1"/>
  <c r="AV347" i="1"/>
  <c r="I347" i="1"/>
  <c r="BY347" i="1"/>
  <c r="M347" i="1"/>
  <c r="AX347" i="1"/>
  <c r="N347" i="1"/>
  <c r="AY347" i="1"/>
  <c r="CB347" i="1"/>
  <c r="P347" i="1"/>
  <c r="CA347" i="1" s="1"/>
  <c r="BA347" i="1"/>
  <c r="CG347" i="1"/>
  <c r="S347" i="1"/>
  <c r="BC347" i="1"/>
  <c r="CH347" i="1"/>
  <c r="X347" i="1"/>
  <c r="BJ347" i="1"/>
  <c r="CI347" i="1"/>
  <c r="AO347" i="1"/>
  <c r="BM347" i="1"/>
  <c r="CJ347" i="1"/>
  <c r="AS347" i="1"/>
  <c r="BO347" i="1"/>
  <c r="AT347" i="1"/>
  <c r="AU347" i="1" s="1"/>
  <c r="BT347" i="1"/>
  <c r="AW347" i="1" s="1"/>
  <c r="O347" i="1"/>
  <c r="AZ347" i="1"/>
  <c r="CE347" i="1"/>
  <c r="B348" i="5"/>
  <c r="P348" i="1"/>
  <c r="CA348" i="1" s="1"/>
  <c r="BO348" i="1"/>
  <c r="CI348" i="1"/>
  <c r="S348" i="1"/>
  <c r="AY348" i="1"/>
  <c r="BV348" i="1"/>
  <c r="AV348" i="1"/>
  <c r="N348" i="1"/>
  <c r="AX348" i="1"/>
  <c r="BY348" i="1"/>
  <c r="O348" i="1"/>
  <c r="AZ348" i="1"/>
  <c r="BA348" i="1"/>
  <c r="CB348" i="1"/>
  <c r="X348" i="1"/>
  <c r="AB348" i="1" s="1"/>
  <c r="BB348" i="1"/>
  <c r="CC348" i="1"/>
  <c r="L348" i="1" s="1"/>
  <c r="AI348" i="1"/>
  <c r="AM348" i="1" s="1"/>
  <c r="CF348" i="1"/>
  <c r="AO348" i="1"/>
  <c r="BI348" i="1"/>
  <c r="BL348" i="1" s="1"/>
  <c r="CG348" i="1"/>
  <c r="AR348" i="1"/>
  <c r="BJ348" i="1"/>
  <c r="CH348" i="1"/>
  <c r="AS348" i="1"/>
  <c r="CJ348" i="1"/>
  <c r="I348" i="1"/>
  <c r="AT348" i="1"/>
  <c r="AU348" i="1" s="1"/>
  <c r="BM348" i="1"/>
  <c r="BT348" i="1"/>
  <c r="AW348" i="1" s="1"/>
  <c r="AC348" i="1"/>
  <c r="BC348" i="1"/>
  <c r="CE348" i="1"/>
  <c r="K350" i="1"/>
  <c r="AP350" i="1"/>
  <c r="AB350" i="5" s="1"/>
  <c r="BD350" i="1"/>
  <c r="K350" i="5"/>
  <c r="Z350" i="1"/>
  <c r="G350" i="5"/>
  <c r="W350" i="1"/>
  <c r="AC350" i="5"/>
  <c r="Y350" i="5"/>
  <c r="W350" i="5"/>
  <c r="X350" i="5"/>
  <c r="K351" i="1"/>
  <c r="BD351" i="1"/>
  <c r="BE351" i="1"/>
  <c r="G351" i="5"/>
  <c r="U351" i="1"/>
  <c r="V351" i="1"/>
  <c r="W351" i="1"/>
  <c r="AC351" i="5"/>
  <c r="Z351" i="5"/>
  <c r="Y351" i="5"/>
  <c r="X351" i="5"/>
  <c r="E351" i="5"/>
  <c r="AA351" i="5"/>
  <c r="W351" i="5"/>
  <c r="AP349" i="1"/>
  <c r="AB349" i="5" s="1"/>
  <c r="BZ349" i="1"/>
  <c r="BK349" i="1"/>
  <c r="AN349" i="1"/>
  <c r="AA349" i="1"/>
  <c r="AB349" i="1"/>
  <c r="K349" i="5"/>
  <c r="Y349" i="1"/>
  <c r="G349" i="5"/>
  <c r="Y349" i="5"/>
  <c r="X349" i="5"/>
  <c r="W349" i="5"/>
  <c r="AC349" i="5"/>
  <c r="BD353" i="1"/>
  <c r="AP353" i="1"/>
  <c r="AB353" i="5" s="1"/>
  <c r="BE353" i="1"/>
  <c r="K353" i="1"/>
  <c r="G353" i="5"/>
  <c r="H353" i="5" s="1"/>
  <c r="U353" i="1"/>
  <c r="T353" i="1"/>
  <c r="W353" i="1"/>
  <c r="L353" i="1"/>
  <c r="AQ353" i="1"/>
  <c r="BS353" i="1" s="1"/>
  <c r="S353" i="5"/>
  <c r="AL353" i="1"/>
  <c r="Y353" i="5"/>
  <c r="X353" i="5"/>
  <c r="W353" i="5"/>
  <c r="AC353" i="5"/>
  <c r="AA353" i="5"/>
  <c r="Z353" i="5"/>
  <c r="E353" i="5"/>
  <c r="J354" i="1"/>
  <c r="K354" i="1"/>
  <c r="AP354" i="1"/>
  <c r="AB354" i="5" s="1"/>
  <c r="BD354" i="1"/>
  <c r="K354" i="5"/>
  <c r="AA354" i="1"/>
  <c r="Z354" i="1"/>
  <c r="AC354" i="5"/>
  <c r="AA354" i="5"/>
  <c r="Z354" i="5"/>
  <c r="Y354" i="5"/>
  <c r="W354" i="5"/>
  <c r="E354" i="5"/>
  <c r="X354" i="5"/>
  <c r="AP355" i="1"/>
  <c r="AB355" i="5" s="1"/>
  <c r="BE355" i="1"/>
  <c r="K355" i="5"/>
  <c r="AB355" i="1"/>
  <c r="BK355" i="1"/>
  <c r="AN355" i="1"/>
  <c r="AC355" i="5"/>
  <c r="Z355" i="5"/>
  <c r="Y355" i="5"/>
  <c r="X355" i="5"/>
  <c r="E355" i="5"/>
  <c r="AA355" i="5"/>
  <c r="W355" i="5"/>
  <c r="J356" i="1"/>
  <c r="BD356" i="1"/>
  <c r="K356" i="1"/>
  <c r="BE356" i="1"/>
  <c r="AP356" i="1"/>
  <c r="AB356" i="5" s="1"/>
  <c r="S356" i="5"/>
  <c r="AL356" i="1"/>
  <c r="AJ356" i="1"/>
  <c r="AK356" i="1"/>
  <c r="K356" i="5"/>
  <c r="AB356" i="1"/>
  <c r="Y356" i="1"/>
  <c r="X356" i="5"/>
  <c r="W356" i="5"/>
  <c r="AC356" i="5"/>
  <c r="Y356" i="5"/>
  <c r="AN357" i="1"/>
  <c r="BK357" i="1"/>
  <c r="BD357" i="1"/>
  <c r="K357" i="1"/>
  <c r="BE357" i="1"/>
  <c r="AP357" i="1"/>
  <c r="AB357" i="5" s="1"/>
  <c r="K357" i="5"/>
  <c r="AA357" i="1"/>
  <c r="Z357" i="1"/>
  <c r="S357" i="5"/>
  <c r="AM357" i="1"/>
  <c r="AC357" i="5"/>
  <c r="AA357" i="5"/>
  <c r="Z357" i="5"/>
  <c r="X357" i="5"/>
  <c r="W357" i="5"/>
  <c r="Y357" i="5"/>
  <c r="E357" i="5"/>
  <c r="Q358" i="1"/>
  <c r="R358" i="1" s="1"/>
  <c r="AP358" i="1"/>
  <c r="AB358" i="5" s="1"/>
  <c r="S358" i="5"/>
  <c r="AM358" i="1"/>
  <c r="AJ358" i="1"/>
  <c r="AA358" i="5"/>
  <c r="Z358" i="5"/>
  <c r="Y358" i="5"/>
  <c r="W358" i="5"/>
  <c r="AC358" i="5"/>
  <c r="X358" i="5"/>
  <c r="E358" i="5"/>
  <c r="S359" i="5"/>
  <c r="AJ359" i="1"/>
  <c r="AL359" i="1"/>
  <c r="J359" i="1"/>
  <c r="BE359" i="1"/>
  <c r="K359" i="1"/>
  <c r="BD359" i="1"/>
  <c r="AP359" i="1"/>
  <c r="AB359" i="5" s="1"/>
  <c r="Y359" i="1"/>
  <c r="K359" i="5"/>
  <c r="AA359" i="1"/>
  <c r="Z359" i="1"/>
  <c r="W359" i="5"/>
  <c r="E359" i="5"/>
  <c r="AC359" i="5"/>
  <c r="Z359" i="5"/>
  <c r="Y359" i="5"/>
  <c r="AA359" i="5"/>
  <c r="X359" i="5"/>
  <c r="BD360" i="1"/>
  <c r="BE360" i="1"/>
  <c r="Z360" i="1"/>
  <c r="K360" i="5"/>
  <c r="AB360" i="1"/>
  <c r="AA360" i="1"/>
  <c r="S360" i="5"/>
  <c r="AJ360" i="1"/>
  <c r="AK360" i="1"/>
  <c r="AL360" i="1"/>
  <c r="AM360" i="1"/>
  <c r="Z360" i="5"/>
  <c r="Y360" i="5"/>
  <c r="X360" i="5"/>
  <c r="W360" i="5"/>
  <c r="E360" i="5"/>
  <c r="AC360" i="5"/>
  <c r="AA360" i="5"/>
  <c r="S361" i="5"/>
  <c r="AL361" i="1"/>
  <c r="K361" i="5"/>
  <c r="AB361" i="1"/>
  <c r="Y361" i="1"/>
  <c r="AA361" i="1"/>
  <c r="J361" i="1"/>
  <c r="AP361" i="1"/>
  <c r="AB361" i="5" s="1"/>
  <c r="BD361" i="1"/>
  <c r="K361" i="1"/>
  <c r="AC361" i="5"/>
  <c r="AA361" i="5"/>
  <c r="Z361" i="5"/>
  <c r="X361" i="5"/>
  <c r="W361" i="5"/>
  <c r="Y361" i="5"/>
  <c r="E361" i="5"/>
  <c r="T362" i="1"/>
  <c r="G362" i="5"/>
  <c r="U362" i="1"/>
  <c r="BZ362" i="1"/>
  <c r="AQ362" i="1"/>
  <c r="BS362" i="1" s="1"/>
  <c r="AP362" i="1"/>
  <c r="AB362" i="5" s="1"/>
  <c r="BE362" i="1"/>
  <c r="BD362" i="1"/>
  <c r="K362" i="5"/>
  <c r="Z362" i="1"/>
  <c r="AA362" i="5"/>
  <c r="Z362" i="5"/>
  <c r="Y362" i="5"/>
  <c r="W362" i="5"/>
  <c r="X362" i="5"/>
  <c r="E362" i="5"/>
  <c r="AC362" i="5"/>
  <c r="K363" i="1"/>
  <c r="BE363" i="1"/>
  <c r="BD363" i="1"/>
  <c r="K363" i="5"/>
  <c r="AA363" i="1"/>
  <c r="Z363" i="1"/>
  <c r="G363" i="5"/>
  <c r="T363" i="1"/>
  <c r="AN363" i="1"/>
  <c r="BK363" i="1"/>
  <c r="AM363" i="1"/>
  <c r="S363" i="5"/>
  <c r="AJ363" i="1"/>
  <c r="AL363" i="1"/>
  <c r="W363" i="5"/>
  <c r="E363" i="5"/>
  <c r="AC363" i="5"/>
  <c r="Z363" i="5"/>
  <c r="Y363" i="5"/>
  <c r="AA363" i="5"/>
  <c r="X363" i="5"/>
  <c r="AB364" i="1"/>
  <c r="K364" i="5"/>
  <c r="AN364" i="1"/>
  <c r="BK364" i="1"/>
  <c r="W364" i="1"/>
  <c r="G364" i="5"/>
  <c r="T364" i="1"/>
  <c r="BH364" i="1"/>
  <c r="BE364" i="1"/>
  <c r="BD364" i="1"/>
  <c r="K364" i="1"/>
  <c r="Z364" i="5"/>
  <c r="Y364" i="5"/>
  <c r="X364" i="5"/>
  <c r="W364" i="5"/>
  <c r="E364" i="5"/>
  <c r="AC364" i="5"/>
  <c r="AA364" i="5"/>
  <c r="K365" i="1"/>
  <c r="AP365" i="1"/>
  <c r="AB365" i="5" s="1"/>
  <c r="K365" i="5"/>
  <c r="Z365" i="1"/>
  <c r="AB365" i="1"/>
  <c r="S365" i="5"/>
  <c r="AL365" i="1"/>
  <c r="AJ365" i="1"/>
  <c r="AC365" i="5"/>
  <c r="AA365" i="5"/>
  <c r="Z365" i="5"/>
  <c r="X365" i="5"/>
  <c r="W365" i="5"/>
  <c r="Y365" i="5"/>
  <c r="E365" i="5"/>
  <c r="AK366" i="1"/>
  <c r="S366" i="5"/>
  <c r="AJ366" i="1"/>
  <c r="AL366" i="1"/>
  <c r="K366" i="5"/>
  <c r="N366" i="5" s="1"/>
  <c r="AB366" i="1"/>
  <c r="Z366" i="1"/>
  <c r="Y366" i="1"/>
  <c r="BK366" i="1"/>
  <c r="AN366" i="1"/>
  <c r="AP366" i="1"/>
  <c r="AB366" i="5" s="1"/>
  <c r="BD366" i="1"/>
  <c r="BE366" i="1"/>
  <c r="AA366" i="5"/>
  <c r="Z366" i="5"/>
  <c r="Y366" i="5"/>
  <c r="W366" i="5"/>
  <c r="F366" i="5"/>
  <c r="E366" i="5"/>
  <c r="AC366" i="5"/>
  <c r="X366" i="5"/>
  <c r="J367" i="1"/>
  <c r="BD367" i="1"/>
  <c r="BE367" i="1"/>
  <c r="AP367" i="1"/>
  <c r="AB367" i="5" s="1"/>
  <c r="K367" i="1"/>
  <c r="K367" i="5"/>
  <c r="Z367" i="1"/>
  <c r="AA367" i="1"/>
  <c r="AB367" i="1"/>
  <c r="S367" i="5"/>
  <c r="AM367" i="1"/>
  <c r="AL367" i="1"/>
  <c r="W367" i="5"/>
  <c r="F367" i="5"/>
  <c r="E367" i="5"/>
  <c r="AC367" i="5"/>
  <c r="Z367" i="5"/>
  <c r="Y367" i="5"/>
  <c r="AA367" i="5"/>
  <c r="X367" i="5"/>
  <c r="K368" i="5"/>
  <c r="AB368" i="1"/>
  <c r="K368" i="1"/>
  <c r="BD368" i="1"/>
  <c r="AP368" i="1"/>
  <c r="AB368" i="5" s="1"/>
  <c r="G368" i="5"/>
  <c r="V368" i="1"/>
  <c r="U368" i="1"/>
  <c r="W368" i="1"/>
  <c r="BK368" i="1"/>
  <c r="AN368" i="1"/>
  <c r="Z368" i="5"/>
  <c r="Y368" i="5"/>
  <c r="X368" i="5"/>
  <c r="W368" i="5"/>
  <c r="E368" i="5"/>
  <c r="AC368" i="5"/>
  <c r="AA368" i="5"/>
  <c r="F368" i="5"/>
  <c r="AQ369" i="1"/>
  <c r="BS369" i="1" s="1"/>
  <c r="K369" i="1"/>
  <c r="BE369" i="1"/>
  <c r="AP369" i="1"/>
  <c r="AB369" i="5" s="1"/>
  <c r="BD369" i="1"/>
  <c r="K369" i="5"/>
  <c r="L369" i="5" s="1"/>
  <c r="Y369" i="1"/>
  <c r="Z369" i="1"/>
  <c r="G369" i="5"/>
  <c r="V369" i="1"/>
  <c r="AC369" i="5"/>
  <c r="AA369" i="5"/>
  <c r="Z369" i="5"/>
  <c r="X369" i="5"/>
  <c r="W369" i="5"/>
  <c r="Y369" i="5"/>
  <c r="E369" i="5"/>
  <c r="BZ370" i="1"/>
  <c r="BK370" i="1"/>
  <c r="AN370" i="1"/>
  <c r="T370" i="1"/>
  <c r="U370" i="1"/>
  <c r="G370" i="5"/>
  <c r="W370" i="1"/>
  <c r="V370" i="1"/>
  <c r="AK370" i="1"/>
  <c r="S370" i="5"/>
  <c r="AL370" i="1"/>
  <c r="AJ370" i="1"/>
  <c r="AM370" i="1"/>
  <c r="BD370" i="1"/>
  <c r="BE370" i="1"/>
  <c r="AA370" i="5"/>
  <c r="Z370" i="5"/>
  <c r="Y370" i="5"/>
  <c r="W370" i="5"/>
  <c r="AC370" i="5"/>
  <c r="X370" i="5"/>
  <c r="E370" i="5"/>
  <c r="S371" i="5"/>
  <c r="AL371" i="1"/>
  <c r="AK371" i="1"/>
  <c r="G371" i="5"/>
  <c r="V371" i="1"/>
  <c r="W371" i="1"/>
  <c r="AP371" i="1"/>
  <c r="AB371" i="5" s="1"/>
  <c r="K371" i="1"/>
  <c r="BE371" i="1"/>
  <c r="W371" i="5"/>
  <c r="E371" i="5"/>
  <c r="AC371" i="5"/>
  <c r="Z371" i="5"/>
  <c r="Y371" i="5"/>
  <c r="AA371" i="5"/>
  <c r="X371" i="5"/>
  <c r="S372" i="5"/>
  <c r="AK372" i="1"/>
  <c r="AJ372" i="1"/>
  <c r="AL372" i="1"/>
  <c r="BK372" i="1"/>
  <c r="AN372" i="1"/>
  <c r="K372" i="5"/>
  <c r="M372" i="5" s="1"/>
  <c r="AB372" i="1"/>
  <c r="Y372" i="1"/>
  <c r="AQ372" i="1"/>
  <c r="BS372" i="1" s="1"/>
  <c r="BD372" i="1"/>
  <c r="G372" i="5"/>
  <c r="T372" i="1"/>
  <c r="U372" i="1"/>
  <c r="W372" i="1"/>
  <c r="Z372" i="5"/>
  <c r="Y372" i="5"/>
  <c r="X372" i="5"/>
  <c r="W372" i="5"/>
  <c r="E372" i="5"/>
  <c r="AC372" i="5"/>
  <c r="AA372" i="5"/>
  <c r="K373" i="1"/>
  <c r="AP373" i="1"/>
  <c r="AB373" i="5" s="1"/>
  <c r="BD373" i="1"/>
  <c r="BE373" i="1"/>
  <c r="S373" i="5"/>
  <c r="AL373" i="1"/>
  <c r="AJ373" i="1"/>
  <c r="AM373" i="1"/>
  <c r="G373" i="5"/>
  <c r="V373" i="1"/>
  <c r="U373" i="1"/>
  <c r="AC373" i="5"/>
  <c r="AA373" i="5"/>
  <c r="Z373" i="5"/>
  <c r="X373" i="5"/>
  <c r="W373" i="5"/>
  <c r="F373" i="5"/>
  <c r="Y373" i="5"/>
  <c r="E373" i="5"/>
  <c r="G374" i="5"/>
  <c r="W374" i="1"/>
  <c r="U374" i="1"/>
  <c r="T374" i="1"/>
  <c r="V374" i="1"/>
  <c r="S374" i="5"/>
  <c r="V374" i="5" s="1"/>
  <c r="AJ374" i="1"/>
  <c r="AM374" i="1"/>
  <c r="K374" i="5"/>
  <c r="AB374" i="1"/>
  <c r="Z374" i="1"/>
  <c r="BK374" i="1"/>
  <c r="AN374" i="1"/>
  <c r="BE374" i="1"/>
  <c r="BD374" i="1"/>
  <c r="K374" i="1"/>
  <c r="AA374" i="5"/>
  <c r="Z374" i="5"/>
  <c r="Y374" i="5"/>
  <c r="W374" i="5"/>
  <c r="AC374" i="5"/>
  <c r="X374" i="5"/>
  <c r="E374" i="5"/>
  <c r="S375" i="5"/>
  <c r="AJ375" i="1"/>
  <c r="AL375" i="1"/>
  <c r="AK375" i="1"/>
  <c r="AM375" i="1"/>
  <c r="G375" i="5"/>
  <c r="W375" i="1"/>
  <c r="V375" i="1"/>
  <c r="L375" i="1"/>
  <c r="AQ375" i="1"/>
  <c r="BS375" i="1" s="1"/>
  <c r="J375" i="1"/>
  <c r="AZ375" i="1" s="1"/>
  <c r="K375" i="1"/>
  <c r="AP375" i="1"/>
  <c r="AB375" i="5" s="1"/>
  <c r="BE375" i="1"/>
  <c r="W375" i="5"/>
  <c r="E375" i="5"/>
  <c r="AC375" i="5"/>
  <c r="Z375" i="5"/>
  <c r="Y375" i="5"/>
  <c r="AA375" i="5"/>
  <c r="X375" i="5"/>
  <c r="S376" i="5"/>
  <c r="AL376" i="1"/>
  <c r="AM376" i="1"/>
  <c r="AJ376" i="1"/>
  <c r="AK376" i="1"/>
  <c r="T376" i="1"/>
  <c r="G376" i="5"/>
  <c r="V376" i="1"/>
  <c r="U376" i="1"/>
  <c r="BD376" i="1"/>
  <c r="BE376" i="1"/>
  <c r="BK376" i="1"/>
  <c r="AN376" i="1"/>
  <c r="K376" i="5"/>
  <c r="AB376" i="1"/>
  <c r="AA376" i="1"/>
  <c r="Z376" i="1"/>
  <c r="Z376" i="5"/>
  <c r="Y376" i="5"/>
  <c r="X376" i="5"/>
  <c r="W376" i="5"/>
  <c r="E376" i="5"/>
  <c r="AC376" i="5"/>
  <c r="AA376" i="5"/>
  <c r="F376" i="5"/>
  <c r="K377" i="5"/>
  <c r="N377" i="5" s="1"/>
  <c r="Y377" i="1"/>
  <c r="AB377" i="1"/>
  <c r="AA377" i="1"/>
  <c r="Z377" i="1"/>
  <c r="AC377" i="5"/>
  <c r="AA377" i="5"/>
  <c r="Z377" i="5"/>
  <c r="Y377" i="5"/>
  <c r="X377" i="5"/>
  <c r="W377" i="5"/>
  <c r="F377" i="5"/>
  <c r="E377" i="5"/>
  <c r="BZ352" i="1"/>
  <c r="AN352" i="1"/>
  <c r="BK352" i="1"/>
  <c r="G352" i="5"/>
  <c r="V352" i="1"/>
  <c r="U352" i="1"/>
  <c r="BH352" i="1"/>
  <c r="AP352" i="1"/>
  <c r="AB352" i="5" s="1"/>
  <c r="K352" i="1"/>
  <c r="E352" i="5"/>
  <c r="AC352" i="5"/>
  <c r="AA352" i="5"/>
  <c r="Y352" i="5"/>
  <c r="X352" i="5"/>
  <c r="Z352" i="5"/>
  <c r="W352" i="5"/>
  <c r="Z356" i="5"/>
  <c r="AA356" i="5"/>
  <c r="V377" i="5"/>
  <c r="U377" i="5"/>
  <c r="T377" i="5"/>
  <c r="J377" i="5"/>
  <c r="I377" i="5"/>
  <c r="H377" i="5"/>
  <c r="Q373" i="5"/>
  <c r="R373" i="5"/>
  <c r="P373" i="5"/>
  <c r="R352" i="5"/>
  <c r="Q352" i="5"/>
  <c r="P352" i="5"/>
  <c r="Q353" i="5"/>
  <c r="R353" i="5"/>
  <c r="P353" i="5"/>
  <c r="AD360" i="1"/>
  <c r="AD361" i="1"/>
  <c r="AD359" i="1"/>
  <c r="AD364" i="1"/>
  <c r="W360" i="1"/>
  <c r="U360" i="1"/>
  <c r="V360" i="1"/>
  <c r="AD363" i="1"/>
  <c r="T361" i="1"/>
  <c r="W361" i="1"/>
  <c r="U361" i="1"/>
  <c r="AE352" i="1"/>
  <c r="AF352" i="1"/>
  <c r="AD351" i="1"/>
  <c r="S354" i="1"/>
  <c r="S355" i="1"/>
  <c r="AI351" i="1"/>
  <c r="S351" i="5" s="1"/>
  <c r="T360" i="1"/>
  <c r="V361" i="1"/>
  <c r="AG353" i="1"/>
  <c r="AH353" i="1"/>
  <c r="AE353" i="1"/>
  <c r="AF353" i="1"/>
  <c r="F357" i="5"/>
  <c r="F369" i="5"/>
  <c r="AE373" i="1"/>
  <c r="AH373" i="1"/>
  <c r="AG373" i="1"/>
  <c r="AF373" i="1"/>
  <c r="F375" i="5"/>
  <c r="AD368" i="1"/>
  <c r="AD372" i="1"/>
  <c r="S365" i="1"/>
  <c r="F365" i="5"/>
  <c r="AD374" i="1"/>
  <c r="AD358" i="1"/>
  <c r="AJ377" i="1"/>
  <c r="AK377" i="1"/>
  <c r="U377" i="1"/>
  <c r="T377" i="1"/>
  <c r="AQ377" i="1"/>
  <c r="BS377" i="1" s="1"/>
  <c r="L377" i="1"/>
  <c r="AD355" i="1"/>
  <c r="O355" i="5" s="1"/>
  <c r="AD354" i="1"/>
  <c r="O354" i="5" s="1"/>
  <c r="S366" i="1"/>
  <c r="AI368" i="1"/>
  <c r="AD362" i="1"/>
  <c r="AI369" i="1"/>
  <c r="AD369" i="1"/>
  <c r="O369" i="5" s="1"/>
  <c r="AD371" i="1"/>
  <c r="O371" i="5" s="1"/>
  <c r="AD367" i="1"/>
  <c r="O367" i="5" s="1"/>
  <c r="AL377" i="1"/>
  <c r="AM377" i="1"/>
  <c r="V377" i="1"/>
  <c r="W377" i="1"/>
  <c r="BZ377" i="1"/>
  <c r="BK377" i="1"/>
  <c r="AN377" i="1"/>
  <c r="AG352" i="1"/>
  <c r="AH352" i="1"/>
  <c r="AD375" i="1"/>
  <c r="O375" i="5" s="1"/>
  <c r="AD365" i="1"/>
  <c r="O365" i="5" s="1"/>
  <c r="S367" i="1"/>
  <c r="AD366" i="1"/>
  <c r="O366" i="5" s="1"/>
  <c r="F370" i="5"/>
  <c r="F374" i="5"/>
  <c r="F361" i="5"/>
  <c r="F353" i="5"/>
  <c r="F360" i="5"/>
  <c r="F356" i="5"/>
  <c r="F354" i="5"/>
  <c r="F358" i="5"/>
  <c r="F363" i="5"/>
  <c r="F364" i="5"/>
  <c r="S364" i="5"/>
  <c r="X353" i="1"/>
  <c r="K353" i="5" s="1"/>
  <c r="AA349" i="5"/>
  <c r="X352" i="1"/>
  <c r="Z350" i="5"/>
  <c r="E349" i="5"/>
  <c r="AI349" i="1"/>
  <c r="E350" i="5"/>
  <c r="BU365" i="1" l="1"/>
  <c r="AK364" i="1"/>
  <c r="AE356" i="1"/>
  <c r="R356" i="5"/>
  <c r="AG356" i="1"/>
  <c r="AG370" i="1"/>
  <c r="AE370" i="1"/>
  <c r="AF356" i="1"/>
  <c r="P357" i="5"/>
  <c r="R357" i="5"/>
  <c r="AH357" i="1"/>
  <c r="AE357" i="1"/>
  <c r="AF357" i="1"/>
  <c r="AG357" i="1"/>
  <c r="P356" i="5"/>
  <c r="AJ364" i="1"/>
  <c r="AL364" i="1"/>
  <c r="K371" i="5"/>
  <c r="M371" i="5" s="1"/>
  <c r="W349" i="1"/>
  <c r="BO334" i="3"/>
  <c r="R370" i="5"/>
  <c r="T349" i="1"/>
  <c r="AH356" i="1"/>
  <c r="Z371" i="1"/>
  <c r="AA371" i="1"/>
  <c r="Y371" i="1"/>
  <c r="AB371" i="1"/>
  <c r="R380" i="5"/>
  <c r="P370" i="5"/>
  <c r="P380" i="5"/>
  <c r="AH370" i="1"/>
  <c r="AF370" i="1"/>
  <c r="Q370" i="5"/>
  <c r="P382" i="5"/>
  <c r="R382" i="5"/>
  <c r="BP350" i="1" a="1"/>
  <c r="BP350" i="1" s="1"/>
  <c r="BK350" i="1"/>
  <c r="AN350" i="1"/>
  <c r="BO357" i="3"/>
  <c r="BI357" i="3"/>
  <c r="BU357" i="3" s="1"/>
  <c r="BR346" i="3"/>
  <c r="BV346" i="3" s="1"/>
  <c r="BN346" i="3"/>
  <c r="BR338" i="3"/>
  <c r="BV338" i="3"/>
  <c r="BR349" i="3"/>
  <c r="BV349" i="3" s="1"/>
  <c r="BN349" i="3"/>
  <c r="BR347" i="3"/>
  <c r="BV347" i="3" s="1"/>
  <c r="BN347" i="3"/>
  <c r="AH381" i="1"/>
  <c r="AE381" i="1"/>
  <c r="AF381" i="1"/>
  <c r="AG381" i="1"/>
  <c r="O381" i="5"/>
  <c r="BN344" i="3"/>
  <c r="BR344" i="3"/>
  <c r="BV344" i="3" s="1"/>
  <c r="BT340" i="3"/>
  <c r="G356" i="5" s="1"/>
  <c r="H356" i="5" s="1"/>
  <c r="BO333" i="3"/>
  <c r="BO331" i="3"/>
  <c r="BN343" i="3"/>
  <c r="BR343" i="3"/>
  <c r="BV343" i="3" s="1"/>
  <c r="BR348" i="3"/>
  <c r="BV348" i="3" s="1"/>
  <c r="BN348" i="3"/>
  <c r="BR342" i="3"/>
  <c r="BV342" i="3" s="1"/>
  <c r="BN342" i="3"/>
  <c r="BV337" i="3"/>
  <c r="BR337" i="3"/>
  <c r="BN345" i="3"/>
  <c r="BR345" i="3"/>
  <c r="BV345" i="3" s="1"/>
  <c r="BR356" i="3"/>
  <c r="BV356" i="3" s="1"/>
  <c r="BN356" i="3"/>
  <c r="AU334" i="3"/>
  <c r="BJ334" i="3"/>
  <c r="BK334" i="3"/>
  <c r="BS334" i="3"/>
  <c r="BK331" i="3"/>
  <c r="BS331" i="3"/>
  <c r="AU331" i="3"/>
  <c r="BJ331" i="3"/>
  <c r="BN331" i="3" s="1"/>
  <c r="BS333" i="3"/>
  <c r="BK333" i="3"/>
  <c r="AU333" i="3"/>
  <c r="BJ333" i="3"/>
  <c r="BR333" i="3" s="1"/>
  <c r="BV333" i="3" s="1"/>
  <c r="BB332" i="3"/>
  <c r="BJ332" i="3"/>
  <c r="BK332" i="3"/>
  <c r="BS332" i="3"/>
  <c r="BU361" i="1"/>
  <c r="CD377" i="1"/>
  <c r="T356" i="1"/>
  <c r="AJ362" i="1"/>
  <c r="V359" i="1"/>
  <c r="V356" i="1"/>
  <c r="AM362" i="1"/>
  <c r="U356" i="1"/>
  <c r="BU353" i="1"/>
  <c r="AL362" i="1"/>
  <c r="BG372" i="1"/>
  <c r="BP372" i="1" s="1" a="1"/>
  <c r="BP372" i="1" s="1"/>
  <c r="AZ372" i="1"/>
  <c r="AG377" i="1"/>
  <c r="BU372" i="1"/>
  <c r="CD350" i="1"/>
  <c r="P383" i="5"/>
  <c r="R383" i="5"/>
  <c r="Q383" i="5"/>
  <c r="V381" i="5"/>
  <c r="T381" i="5"/>
  <c r="CD372" i="1"/>
  <c r="BG353" i="1"/>
  <c r="BP353" i="1" s="1" a="1"/>
  <c r="BP353" i="1" s="1"/>
  <c r="CD353" i="1"/>
  <c r="U359" i="1"/>
  <c r="T359" i="1"/>
  <c r="BU362" i="1"/>
  <c r="BG365" i="1"/>
  <c r="BP365" i="1" s="1" a="1"/>
  <c r="BP365" i="1" s="1"/>
  <c r="CD365" i="1"/>
  <c r="BU371" i="1"/>
  <c r="BF371" i="1"/>
  <c r="BG371" i="1"/>
  <c r="BP371" i="1" s="1" a="1"/>
  <c r="BP371" i="1" s="1"/>
  <c r="CD371" i="1"/>
  <c r="BU373" i="1"/>
  <c r="AZ365" i="1"/>
  <c r="O377" i="5"/>
  <c r="P377" i="5" s="1"/>
  <c r="O376" i="5"/>
  <c r="P376" i="5" s="1"/>
  <c r="Y373" i="1"/>
  <c r="AB373" i="1"/>
  <c r="AA373" i="1"/>
  <c r="AZ353" i="1"/>
  <c r="AE376" i="1"/>
  <c r="AH376" i="1"/>
  <c r="AG376" i="1"/>
  <c r="J348" i="1"/>
  <c r="BG348" i="1" s="1"/>
  <c r="BP348" i="1" s="1" a="1"/>
  <c r="BP348" i="1" s="1"/>
  <c r="Q347" i="1"/>
  <c r="R347" i="1" s="1"/>
  <c r="BG377" i="1"/>
  <c r="BP377" i="1" s="1" a="1"/>
  <c r="BP377" i="1" s="1"/>
  <c r="BF377" i="1"/>
  <c r="Z375" i="1"/>
  <c r="AB375" i="1"/>
  <c r="L351" i="5"/>
  <c r="Y375" i="1"/>
  <c r="AA350" i="5"/>
  <c r="G365" i="5"/>
  <c r="H365" i="5" s="1"/>
  <c r="O372" i="5"/>
  <c r="R372" i="5" s="1"/>
  <c r="S369" i="5"/>
  <c r="V369" i="5" s="1"/>
  <c r="O358" i="5"/>
  <c r="Q358" i="5" s="1"/>
  <c r="O368" i="5"/>
  <c r="P368" i="5" s="1"/>
  <c r="BU350" i="1"/>
  <c r="CD360" i="1"/>
  <c r="BU360" i="1"/>
  <c r="AD349" i="1"/>
  <c r="AH349" i="1" s="1"/>
  <c r="BF350" i="1"/>
  <c r="BF360" i="1"/>
  <c r="T364" i="5"/>
  <c r="S362" i="5"/>
  <c r="Z349" i="5"/>
  <c r="K375" i="5"/>
  <c r="L375" i="5" s="1"/>
  <c r="S368" i="5"/>
  <c r="U368" i="5" s="1"/>
  <c r="G359" i="5"/>
  <c r="K352" i="5"/>
  <c r="M352" i="5" s="1"/>
  <c r="G358" i="5"/>
  <c r="G357" i="5"/>
  <c r="I357" i="5" s="1"/>
  <c r="G361" i="5"/>
  <c r="G360" i="5"/>
  <c r="V357" i="1"/>
  <c r="BU377" i="1"/>
  <c r="T358" i="1"/>
  <c r="U358" i="1"/>
  <c r="V358" i="1"/>
  <c r="BF376" i="1"/>
  <c r="W357" i="1"/>
  <c r="CD376" i="1"/>
  <c r="T357" i="1"/>
  <c r="BG376" i="1"/>
  <c r="BP376" i="1" s="1" a="1"/>
  <c r="BP376" i="1" s="1"/>
  <c r="BU376" i="1"/>
  <c r="V355" i="5"/>
  <c r="T355" i="5"/>
  <c r="U357" i="1"/>
  <c r="V354" i="5"/>
  <c r="CD363" i="1"/>
  <c r="N351" i="5"/>
  <c r="BZ348" i="1"/>
  <c r="AF377" i="1"/>
  <c r="AE377" i="1"/>
  <c r="AI347" i="1"/>
  <c r="AK347" i="1" s="1"/>
  <c r="AD348" i="1"/>
  <c r="AG348" i="1" s="1"/>
  <c r="T352" i="5"/>
  <c r="V352" i="5"/>
  <c r="K370" i="5"/>
  <c r="L370" i="5" s="1"/>
  <c r="BQ348" i="1"/>
  <c r="BN348" i="1" s="1"/>
  <c r="BG373" i="1"/>
  <c r="BP373" i="1" s="1" a="1"/>
  <c r="BP373" i="1" s="1"/>
  <c r="AZ357" i="1"/>
  <c r="T354" i="5"/>
  <c r="CD373" i="1"/>
  <c r="BU369" i="1"/>
  <c r="BU357" i="1"/>
  <c r="AD347" i="1"/>
  <c r="AG347" i="1" s="1"/>
  <c r="G355" i="5"/>
  <c r="I355" i="5" s="1"/>
  <c r="CD369" i="1"/>
  <c r="BF373" i="1"/>
  <c r="BG357" i="1"/>
  <c r="BP357" i="1" s="1" a="1"/>
  <c r="BP357" i="1" s="1"/>
  <c r="CD357" i="1"/>
  <c r="BF369" i="1"/>
  <c r="CD355" i="1"/>
  <c r="BF355" i="1"/>
  <c r="BU355" i="1"/>
  <c r="AZ355" i="1"/>
  <c r="BG355" i="1"/>
  <c r="BP355" i="1" s="1" a="1"/>
  <c r="BP355" i="1" s="1"/>
  <c r="BU368" i="1"/>
  <c r="BG368" i="1"/>
  <c r="BP368" i="1" s="1" a="1"/>
  <c r="BP368" i="1" s="1"/>
  <c r="CD368" i="1"/>
  <c r="BF368" i="1"/>
  <c r="J370" i="5"/>
  <c r="I370" i="5"/>
  <c r="H370" i="5"/>
  <c r="Q348" i="1"/>
  <c r="R348" i="1" s="1"/>
  <c r="K347" i="1"/>
  <c r="BE347" i="1"/>
  <c r="N359" i="5"/>
  <c r="M359" i="5"/>
  <c r="L359" i="5"/>
  <c r="L347" i="1"/>
  <c r="AQ347" i="1"/>
  <c r="BS347" i="1" s="1"/>
  <c r="BG364" i="1"/>
  <c r="BP364" i="1" s="1" a="1"/>
  <c r="BP364" i="1" s="1"/>
  <c r="CD364" i="1"/>
  <c r="BU364" i="1"/>
  <c r="BF364" i="1"/>
  <c r="BU358" i="1"/>
  <c r="CD358" i="1"/>
  <c r="BF358" i="1"/>
  <c r="BG358" i="1"/>
  <c r="BP358" i="1" s="1" a="1"/>
  <c r="BP358" i="1" s="1"/>
  <c r="H364" i="5"/>
  <c r="J364" i="5"/>
  <c r="I364" i="5"/>
  <c r="J347" i="1"/>
  <c r="Y370" i="1"/>
  <c r="Z370" i="1"/>
  <c r="AB370" i="1"/>
  <c r="AA370" i="1"/>
  <c r="BG363" i="1"/>
  <c r="BP363" i="1" s="1" a="1"/>
  <c r="BP363" i="1" s="1"/>
  <c r="BU363" i="1"/>
  <c r="AZ363" i="1"/>
  <c r="AZ370" i="1"/>
  <c r="BF370" i="1"/>
  <c r="BG370" i="1"/>
  <c r="BP370" i="1" s="1" a="1"/>
  <c r="BP370" i="1" s="1"/>
  <c r="CD370" i="1"/>
  <c r="BU370" i="1"/>
  <c r="BH348" i="1"/>
  <c r="J362" i="5"/>
  <c r="I362" i="5"/>
  <c r="H362" i="5"/>
  <c r="M349" i="5"/>
  <c r="N349" i="5"/>
  <c r="L349" i="5"/>
  <c r="AN347" i="1"/>
  <c r="BK347" i="1"/>
  <c r="H376" i="5"/>
  <c r="J376" i="5"/>
  <c r="I376" i="5"/>
  <c r="M360" i="5"/>
  <c r="N360" i="5"/>
  <c r="L360" i="5"/>
  <c r="M364" i="5"/>
  <c r="N364" i="5"/>
  <c r="L364" i="5"/>
  <c r="V363" i="5"/>
  <c r="U363" i="5"/>
  <c r="T363" i="5"/>
  <c r="L358" i="5"/>
  <c r="BF354" i="1"/>
  <c r="CD354" i="1"/>
  <c r="BG354" i="1"/>
  <c r="BP354" i="1" s="1" a="1"/>
  <c r="BP354" i="1" s="1"/>
  <c r="AZ354" i="1"/>
  <c r="AZ352" i="1"/>
  <c r="CD352" i="1"/>
  <c r="BF352" i="1"/>
  <c r="BU352" i="1"/>
  <c r="BG352" i="1"/>
  <c r="BP352" i="1" s="1" a="1"/>
  <c r="BP352" i="1" s="1"/>
  <c r="CD361" i="1"/>
  <c r="BF361" i="1"/>
  <c r="BG361" i="1" s="1"/>
  <c r="BP361" i="1" s="1" a="1"/>
  <c r="BP361" i="1" s="1"/>
  <c r="M358" i="5"/>
  <c r="AQ348" i="1"/>
  <c r="BS348" i="1" s="1"/>
  <c r="W347" i="1"/>
  <c r="T347" i="1"/>
  <c r="BU354" i="1"/>
  <c r="BU349" i="1"/>
  <c r="BF349" i="1"/>
  <c r="CD349" i="1"/>
  <c r="BG349" i="1"/>
  <c r="BP349" i="1" s="1" a="1"/>
  <c r="BP349" i="1" s="1"/>
  <c r="CD362" i="1"/>
  <c r="BG362" i="1"/>
  <c r="BP362" i="1" s="1" a="1"/>
  <c r="BP362" i="1" s="1"/>
  <c r="BZ347" i="1"/>
  <c r="AB347" i="1"/>
  <c r="Y347" i="1"/>
  <c r="V366" i="5"/>
  <c r="U366" i="5"/>
  <c r="T366" i="5"/>
  <c r="CD356" i="1"/>
  <c r="BG356" i="1"/>
  <c r="BP356" i="1" s="1" a="1"/>
  <c r="BP356" i="1" s="1"/>
  <c r="T370" i="5"/>
  <c r="V370" i="5"/>
  <c r="U370" i="5"/>
  <c r="BU367" i="1"/>
  <c r="CD367" i="1"/>
  <c r="AZ367" i="1"/>
  <c r="BU366" i="1"/>
  <c r="BF366" i="1"/>
  <c r="BG366" i="1"/>
  <c r="BP366" i="1" s="1" a="1"/>
  <c r="BP366" i="1" s="1"/>
  <c r="CD366" i="1"/>
  <c r="AZ366" i="1"/>
  <c r="U348" i="1"/>
  <c r="T348" i="1"/>
  <c r="W348" i="1"/>
  <c r="BQ347" i="1"/>
  <c r="BN347" i="1" s="1"/>
  <c r="BG374" i="1"/>
  <c r="BP374" i="1" s="1" a="1"/>
  <c r="BP374" i="1" s="1"/>
  <c r="AZ374" i="1"/>
  <c r="BF374" i="1"/>
  <c r="CD374" i="1"/>
  <c r="BU374" i="1"/>
  <c r="BU351" i="1"/>
  <c r="CD351" i="1"/>
  <c r="BG351" i="1"/>
  <c r="BP351" i="1" s="1" a="1"/>
  <c r="BP351" i="1" s="1"/>
  <c r="BF351" i="1"/>
  <c r="H352" i="5"/>
  <c r="J352" i="5"/>
  <c r="I352" i="5"/>
  <c r="L377" i="5"/>
  <c r="M377" i="5"/>
  <c r="L376" i="5"/>
  <c r="N376" i="5"/>
  <c r="M376" i="5"/>
  <c r="T376" i="5"/>
  <c r="V376" i="5"/>
  <c r="U376" i="5"/>
  <c r="BF375" i="1"/>
  <c r="CD375" i="1"/>
  <c r="BU375" i="1"/>
  <c r="BG375" i="1"/>
  <c r="BP375" i="1" s="1" a="1"/>
  <c r="BP375" i="1" s="1"/>
  <c r="I375" i="5"/>
  <c r="H375" i="5"/>
  <c r="J375" i="5"/>
  <c r="V375" i="5"/>
  <c r="U375" i="5"/>
  <c r="T375" i="5"/>
  <c r="M374" i="5"/>
  <c r="N374" i="5"/>
  <c r="L374" i="5"/>
  <c r="U374" i="5"/>
  <c r="T374" i="5"/>
  <c r="J374" i="5"/>
  <c r="I374" i="5"/>
  <c r="H374" i="5"/>
  <c r="J373" i="5"/>
  <c r="H373" i="5"/>
  <c r="I373" i="5"/>
  <c r="V373" i="5"/>
  <c r="T373" i="5"/>
  <c r="U373" i="5"/>
  <c r="J372" i="5"/>
  <c r="I372" i="5"/>
  <c r="H372" i="5"/>
  <c r="N372" i="5"/>
  <c r="L372" i="5"/>
  <c r="V372" i="5"/>
  <c r="U372" i="5"/>
  <c r="T372" i="5"/>
  <c r="J371" i="5"/>
  <c r="H371" i="5"/>
  <c r="I371" i="5"/>
  <c r="V371" i="5"/>
  <c r="U371" i="5"/>
  <c r="T371" i="5"/>
  <c r="J369" i="5"/>
  <c r="H369" i="5"/>
  <c r="I369" i="5"/>
  <c r="N369" i="5"/>
  <c r="M369" i="5"/>
  <c r="H368" i="5"/>
  <c r="J368" i="5"/>
  <c r="I368" i="5"/>
  <c r="M368" i="5"/>
  <c r="N368" i="5"/>
  <c r="L368" i="5"/>
  <c r="V367" i="5"/>
  <c r="U367" i="5"/>
  <c r="T367" i="5"/>
  <c r="N367" i="5"/>
  <c r="M367" i="5"/>
  <c r="L367" i="5"/>
  <c r="BF367" i="1"/>
  <c r="BG367" i="1"/>
  <c r="BP367" i="1" s="1" a="1"/>
  <c r="BP367" i="1" s="1"/>
  <c r="M366" i="5"/>
  <c r="L366" i="5"/>
  <c r="V365" i="5"/>
  <c r="T365" i="5"/>
  <c r="U365" i="5"/>
  <c r="N365" i="5"/>
  <c r="M365" i="5"/>
  <c r="L365" i="5"/>
  <c r="I363" i="5"/>
  <c r="H363" i="5"/>
  <c r="J363" i="5"/>
  <c r="N363" i="5"/>
  <c r="M363" i="5"/>
  <c r="L363" i="5"/>
  <c r="L362" i="5"/>
  <c r="N362" i="5"/>
  <c r="M362" i="5"/>
  <c r="M361" i="5"/>
  <c r="N361" i="5"/>
  <c r="L361" i="5"/>
  <c r="V361" i="5"/>
  <c r="T361" i="5"/>
  <c r="U361" i="5"/>
  <c r="U360" i="5"/>
  <c r="T360" i="5"/>
  <c r="V360" i="5"/>
  <c r="CD359" i="1"/>
  <c r="BG359" i="1"/>
  <c r="BP359" i="1" s="1" a="1"/>
  <c r="BP359" i="1" s="1"/>
  <c r="BU359" i="1"/>
  <c r="BF359" i="1"/>
  <c r="V359" i="5"/>
  <c r="U359" i="5"/>
  <c r="T359" i="5"/>
  <c r="V358" i="5"/>
  <c r="U358" i="5"/>
  <c r="T358" i="5"/>
  <c r="V357" i="5"/>
  <c r="T357" i="5"/>
  <c r="U357" i="5"/>
  <c r="M357" i="5"/>
  <c r="N357" i="5"/>
  <c r="L357" i="5"/>
  <c r="N356" i="5"/>
  <c r="L356" i="5"/>
  <c r="M356" i="5"/>
  <c r="U356" i="5"/>
  <c r="T356" i="5"/>
  <c r="V356" i="5"/>
  <c r="AZ356" i="1"/>
  <c r="BF356" i="1"/>
  <c r="BU356" i="1"/>
  <c r="N355" i="5"/>
  <c r="M355" i="5"/>
  <c r="L355" i="5"/>
  <c r="N354" i="5"/>
  <c r="M354" i="5"/>
  <c r="L354" i="5"/>
  <c r="V353" i="5"/>
  <c r="U353" i="5"/>
  <c r="T353" i="5"/>
  <c r="J353" i="5"/>
  <c r="I353" i="5"/>
  <c r="J349" i="5"/>
  <c r="I349" i="5"/>
  <c r="H349" i="5"/>
  <c r="J351" i="5"/>
  <c r="I351" i="5"/>
  <c r="H351" i="5"/>
  <c r="J350" i="5"/>
  <c r="I350" i="5"/>
  <c r="H350" i="5"/>
  <c r="N350" i="5"/>
  <c r="M350" i="5"/>
  <c r="L350" i="5"/>
  <c r="BF348" i="1"/>
  <c r="CD348" i="1"/>
  <c r="BK348" i="1"/>
  <c r="AN348" i="1"/>
  <c r="BD348" i="1"/>
  <c r="K348" i="1"/>
  <c r="BE348" i="1"/>
  <c r="BU348" i="1" s="1"/>
  <c r="AP348" i="1"/>
  <c r="AB348" i="5" s="1"/>
  <c r="S348" i="5"/>
  <c r="AK348" i="1"/>
  <c r="AJ348" i="1"/>
  <c r="AL348" i="1"/>
  <c r="K348" i="5"/>
  <c r="Y348" i="1"/>
  <c r="AA348" i="1"/>
  <c r="Z348" i="1"/>
  <c r="G348" i="5"/>
  <c r="V348" i="1"/>
  <c r="F348" i="5"/>
  <c r="E348" i="5"/>
  <c r="AC348" i="5"/>
  <c r="AA348" i="5"/>
  <c r="Y348" i="5"/>
  <c r="X348" i="5"/>
  <c r="Z348" i="5"/>
  <c r="W348" i="5"/>
  <c r="BH347" i="1"/>
  <c r="AP347" i="1"/>
  <c r="AB347" i="5" s="1"/>
  <c r="BD347" i="1"/>
  <c r="K347" i="5"/>
  <c r="Z347" i="1"/>
  <c r="AA347" i="1"/>
  <c r="G347" i="5"/>
  <c r="V347" i="1"/>
  <c r="U347" i="1"/>
  <c r="AC347" i="5"/>
  <c r="Z347" i="5"/>
  <c r="Y347" i="5"/>
  <c r="X347" i="5"/>
  <c r="E347" i="5"/>
  <c r="AA347" i="5"/>
  <c r="W347" i="5"/>
  <c r="U351" i="5"/>
  <c r="T351" i="5"/>
  <c r="T354" i="1"/>
  <c r="G354" i="5"/>
  <c r="Q365" i="5"/>
  <c r="R365" i="5"/>
  <c r="P365" i="5"/>
  <c r="P371" i="5"/>
  <c r="R371" i="5"/>
  <c r="Q371" i="5"/>
  <c r="P367" i="5"/>
  <c r="R367" i="5"/>
  <c r="Q367" i="5"/>
  <c r="O374" i="5"/>
  <c r="AE359" i="1"/>
  <c r="O359" i="5"/>
  <c r="AF360" i="1"/>
  <c r="O360" i="5"/>
  <c r="R375" i="5"/>
  <c r="Q375" i="5"/>
  <c r="P375" i="5"/>
  <c r="R354" i="5"/>
  <c r="Q354" i="5"/>
  <c r="P354" i="5"/>
  <c r="O363" i="5"/>
  <c r="Q369" i="5"/>
  <c r="R369" i="5"/>
  <c r="P369" i="5"/>
  <c r="P355" i="5"/>
  <c r="R355" i="5"/>
  <c r="Q355" i="5"/>
  <c r="O351" i="5"/>
  <c r="AF361" i="1"/>
  <c r="O361" i="5"/>
  <c r="R366" i="5"/>
  <c r="Q366" i="5"/>
  <c r="P366" i="5"/>
  <c r="L353" i="5"/>
  <c r="M353" i="5"/>
  <c r="O362" i="5"/>
  <c r="AG364" i="1"/>
  <c r="O364" i="5"/>
  <c r="V351" i="5"/>
  <c r="AG361" i="1"/>
  <c r="AE360" i="1"/>
  <c r="AE361" i="1"/>
  <c r="AG360" i="1"/>
  <c r="AF359" i="1"/>
  <c r="AH360" i="1"/>
  <c r="AH361" i="1"/>
  <c r="AH359" i="1"/>
  <c r="AG359" i="1"/>
  <c r="AD350" i="1"/>
  <c r="AE350" i="1" s="1"/>
  <c r="W354" i="1"/>
  <c r="G367" i="5"/>
  <c r="AL351" i="1"/>
  <c r="AM351" i="1"/>
  <c r="AJ351" i="1"/>
  <c r="AK351" i="1"/>
  <c r="G366" i="5"/>
  <c r="T365" i="1"/>
  <c r="U365" i="1"/>
  <c r="V365" i="1"/>
  <c r="AL349" i="1"/>
  <c r="AK349" i="1"/>
  <c r="AM349" i="1"/>
  <c r="AJ349" i="1"/>
  <c r="AE374" i="1"/>
  <c r="AH374" i="1"/>
  <c r="AG374" i="1"/>
  <c r="AF374" i="1"/>
  <c r="AF364" i="1"/>
  <c r="AH364" i="1"/>
  <c r="AE364" i="1"/>
  <c r="AA352" i="1"/>
  <c r="AB352" i="1"/>
  <c r="Y352" i="1"/>
  <c r="Z352" i="1"/>
  <c r="W355" i="1"/>
  <c r="V355" i="1"/>
  <c r="T355" i="1"/>
  <c r="U355" i="1"/>
  <c r="AG363" i="1"/>
  <c r="AH363" i="1"/>
  <c r="AF363" i="1"/>
  <c r="AE363" i="1"/>
  <c r="AE358" i="1"/>
  <c r="AF358" i="1"/>
  <c r="AG358" i="1"/>
  <c r="AH358" i="1"/>
  <c r="U354" i="1"/>
  <c r="AF351" i="1"/>
  <c r="AH351" i="1"/>
  <c r="AG351" i="1"/>
  <c r="AE351" i="1"/>
  <c r="AF368" i="1"/>
  <c r="AE368" i="1"/>
  <c r="AH368" i="1"/>
  <c r="AG368" i="1"/>
  <c r="V354" i="1"/>
  <c r="AH347" i="1"/>
  <c r="AI350" i="1"/>
  <c r="F350" i="5"/>
  <c r="Y353" i="1"/>
  <c r="Z353" i="1"/>
  <c r="AA353" i="1"/>
  <c r="AB353" i="1"/>
  <c r="AE366" i="1"/>
  <c r="AF366" i="1"/>
  <c r="AH366" i="1"/>
  <c r="AG366" i="1"/>
  <c r="W367" i="1"/>
  <c r="T367" i="1"/>
  <c r="AE365" i="1"/>
  <c r="AF365" i="1"/>
  <c r="AG365" i="1"/>
  <c r="AH365" i="1"/>
  <c r="AE375" i="1"/>
  <c r="AH375" i="1"/>
  <c r="AF375" i="1"/>
  <c r="AG375" i="1"/>
  <c r="AG367" i="1"/>
  <c r="AH367" i="1"/>
  <c r="AE367" i="1"/>
  <c r="AF367" i="1"/>
  <c r="AH371" i="1"/>
  <c r="AE371" i="1"/>
  <c r="AF371" i="1"/>
  <c r="AG371" i="1"/>
  <c r="AE369" i="1"/>
  <c r="AH369" i="1"/>
  <c r="AF369" i="1"/>
  <c r="AG369" i="1"/>
  <c r="AM369" i="1"/>
  <c r="AJ369" i="1"/>
  <c r="AH362" i="1"/>
  <c r="AE362" i="1"/>
  <c r="AF362" i="1"/>
  <c r="AG362" i="1"/>
  <c r="AJ368" i="1"/>
  <c r="AK368" i="1"/>
  <c r="AL368" i="1"/>
  <c r="AM368" i="1"/>
  <c r="T366" i="1"/>
  <c r="V366" i="1"/>
  <c r="W366" i="1"/>
  <c r="U366" i="1"/>
  <c r="AE354" i="1"/>
  <c r="AF354" i="1"/>
  <c r="AG354" i="1"/>
  <c r="AH354" i="1"/>
  <c r="AE355" i="1"/>
  <c r="AF355" i="1"/>
  <c r="AG355" i="1"/>
  <c r="AH355" i="1"/>
  <c r="W365" i="1"/>
  <c r="AE372" i="1"/>
  <c r="AF372" i="1"/>
  <c r="AG372" i="1"/>
  <c r="AH372" i="1"/>
  <c r="U367" i="1"/>
  <c r="V367" i="1"/>
  <c r="AK369" i="1"/>
  <c r="AL369" i="1"/>
  <c r="F347" i="5"/>
  <c r="V364" i="5"/>
  <c r="U364" i="5"/>
  <c r="O347" i="5"/>
  <c r="F349" i="5"/>
  <c r="O349" i="5"/>
  <c r="AE349" i="1" l="1"/>
  <c r="N371" i="5"/>
  <c r="K373" i="5"/>
  <c r="M373" i="5" s="1"/>
  <c r="L371" i="5"/>
  <c r="AF347" i="1"/>
  <c r="AE347" i="1"/>
  <c r="BR334" i="3"/>
  <c r="BV334" i="3" s="1"/>
  <c r="BN334" i="3"/>
  <c r="R381" i="5"/>
  <c r="P381" i="5"/>
  <c r="Q381" i="5"/>
  <c r="BN333" i="3"/>
  <c r="BR332" i="3"/>
  <c r="BV332" i="3" s="1"/>
  <c r="BN332" i="3"/>
  <c r="BR331" i="3"/>
  <c r="BV331" i="3" s="1"/>
  <c r="Q347" i="5" s="1"/>
  <c r="I356" i="5"/>
  <c r="AJ347" i="1"/>
  <c r="AF349" i="1"/>
  <c r="AM347" i="1"/>
  <c r="AL347" i="1"/>
  <c r="I365" i="5"/>
  <c r="AH348" i="1"/>
  <c r="AF348" i="1"/>
  <c r="R377" i="5"/>
  <c r="O348" i="5"/>
  <c r="P348" i="5" s="1"/>
  <c r="AE348" i="1"/>
  <c r="AG349" i="1"/>
  <c r="R376" i="5"/>
  <c r="Q377" i="5"/>
  <c r="Q376" i="5"/>
  <c r="T369" i="5"/>
  <c r="V368" i="5"/>
  <c r="H355" i="5"/>
  <c r="T368" i="5"/>
  <c r="U369" i="5"/>
  <c r="R358" i="5"/>
  <c r="Q372" i="5"/>
  <c r="P372" i="5"/>
  <c r="Q368" i="5"/>
  <c r="P358" i="5"/>
  <c r="R368" i="5"/>
  <c r="M370" i="5"/>
  <c r="L352" i="5"/>
  <c r="N370" i="5"/>
  <c r="M375" i="5"/>
  <c r="H357" i="5"/>
  <c r="I366" i="5"/>
  <c r="H366" i="5"/>
  <c r="I367" i="5"/>
  <c r="H367" i="5"/>
  <c r="H359" i="5"/>
  <c r="I359" i="5"/>
  <c r="S350" i="5"/>
  <c r="U350" i="5" s="1"/>
  <c r="S349" i="5"/>
  <c r="S347" i="5"/>
  <c r="I360" i="5"/>
  <c r="H360" i="5"/>
  <c r="I361" i="5"/>
  <c r="H361" i="5"/>
  <c r="T362" i="5"/>
  <c r="U362" i="5"/>
  <c r="V362" i="5"/>
  <c r="H358" i="5"/>
  <c r="I358" i="5"/>
  <c r="BF347" i="1"/>
  <c r="BG347" i="1"/>
  <c r="BP347" i="1" s="1" a="1"/>
  <c r="BP347" i="1" s="1"/>
  <c r="CD347" i="1"/>
  <c r="BU347" i="1"/>
  <c r="T348" i="5"/>
  <c r="V348" i="5"/>
  <c r="U348" i="5"/>
  <c r="I347" i="5"/>
  <c r="H347" i="5"/>
  <c r="J347" i="5"/>
  <c r="N347" i="5"/>
  <c r="L347" i="5"/>
  <c r="M347" i="5"/>
  <c r="H348" i="5"/>
  <c r="J348" i="5"/>
  <c r="I348" i="5"/>
  <c r="M348" i="5"/>
  <c r="L348" i="5"/>
  <c r="N348" i="5"/>
  <c r="I354" i="5"/>
  <c r="H354" i="5"/>
  <c r="P349" i="5"/>
  <c r="P347" i="5"/>
  <c r="P359" i="5"/>
  <c r="Q359" i="5"/>
  <c r="R359" i="5"/>
  <c r="R374" i="5"/>
  <c r="P374" i="5"/>
  <c r="Q374" i="5"/>
  <c r="P351" i="5"/>
  <c r="R351" i="5"/>
  <c r="Q351" i="5"/>
  <c r="AF350" i="1"/>
  <c r="O350" i="5"/>
  <c r="Q364" i="5"/>
  <c r="R364" i="5"/>
  <c r="P364" i="5"/>
  <c r="R362" i="5"/>
  <c r="P362" i="5"/>
  <c r="Q362" i="5"/>
  <c r="Q361" i="5"/>
  <c r="R361" i="5"/>
  <c r="P361" i="5"/>
  <c r="Q360" i="5"/>
  <c r="R360" i="5"/>
  <c r="P360" i="5"/>
  <c r="P363" i="5"/>
  <c r="R363" i="5"/>
  <c r="Q363" i="5"/>
  <c r="AG350" i="1"/>
  <c r="AH350" i="1"/>
  <c r="AL350" i="1"/>
  <c r="AJ350" i="1"/>
  <c r="AK350" i="1"/>
  <c r="AM350" i="1"/>
  <c r="Q349" i="5"/>
  <c r="R347" i="5"/>
  <c r="R349" i="5"/>
  <c r="L373" i="5" l="1"/>
  <c r="R348" i="5"/>
  <c r="Q348" i="5"/>
  <c r="V350" i="5"/>
  <c r="T347" i="5"/>
  <c r="V347" i="5"/>
  <c r="U347" i="5"/>
  <c r="V349" i="5"/>
  <c r="U349" i="5"/>
  <c r="T349" i="5"/>
  <c r="T350" i="5"/>
  <c r="R350" i="5"/>
  <c r="Q350" i="5"/>
  <c r="P350" i="5"/>
  <c r="B346" i="1"/>
  <c r="T330" i="3"/>
  <c r="S330" i="3"/>
  <c r="J330" i="3"/>
  <c r="F330" i="3"/>
  <c r="E330" i="3"/>
  <c r="E305" i="3"/>
  <c r="E304" i="3"/>
  <c r="E303" i="3"/>
  <c r="E124" i="3"/>
  <c r="E214" i="3"/>
  <c r="E215" i="3"/>
  <c r="AH300" i="3"/>
  <c r="AH299" i="3"/>
  <c r="AH298" i="3"/>
  <c r="Q94" i="16"/>
  <c r="I109" i="17"/>
  <c r="H109" i="17"/>
  <c r="E293" i="3"/>
  <c r="E318" i="3"/>
  <c r="E317" i="3"/>
  <c r="E315" i="3"/>
  <c r="E313" i="3"/>
  <c r="E316" i="3"/>
  <c r="E326" i="3"/>
  <c r="E325" i="3"/>
  <c r="E324" i="3"/>
  <c r="E323" i="3"/>
  <c r="E322" i="3"/>
  <c r="E274" i="3"/>
  <c r="E273" i="3"/>
  <c r="H79" i="16"/>
  <c r="I89" i="16"/>
  <c r="O77" i="16"/>
  <c r="O76" i="16"/>
  <c r="Q93" i="16"/>
  <c r="Q92" i="16"/>
  <c r="P85" i="16"/>
  <c r="P84" i="16"/>
  <c r="Q91" i="16"/>
  <c r="H78" i="16"/>
  <c r="J89" i="16"/>
  <c r="I88" i="16"/>
  <c r="L86" i="16"/>
  <c r="K84" i="16"/>
  <c r="M76" i="16"/>
  <c r="N43" i="16"/>
  <c r="O75" i="16"/>
  <c r="P83" i="16"/>
  <c r="Q90" i="16"/>
  <c r="R49" i="16"/>
  <c r="R48" i="16"/>
  <c r="Q89" i="16"/>
  <c r="P82" i="16"/>
  <c r="O74" i="16"/>
  <c r="H77" i="16"/>
  <c r="I87" i="16"/>
  <c r="J88" i="16"/>
  <c r="K83" i="16"/>
  <c r="L85" i="16"/>
  <c r="M75" i="16"/>
  <c r="N42" i="16"/>
  <c r="O73" i="16"/>
  <c r="P81" i="16"/>
  <c r="Q88" i="16"/>
  <c r="R47" i="16"/>
  <c r="H76" i="16"/>
  <c r="I86" i="16"/>
  <c r="J87" i="16"/>
  <c r="K82" i="16"/>
  <c r="L84" i="16"/>
  <c r="M74" i="16"/>
  <c r="N41" i="16"/>
  <c r="R46" i="16"/>
  <c r="Q87" i="16"/>
  <c r="P80" i="16"/>
  <c r="O72" i="16"/>
  <c r="Q86" i="16"/>
  <c r="N40" i="16"/>
  <c r="N39" i="16"/>
  <c r="M73" i="16"/>
  <c r="M72" i="16"/>
  <c r="L83" i="16"/>
  <c r="L82" i="16"/>
  <c r="J86" i="16"/>
  <c r="J85" i="16"/>
  <c r="J84" i="16"/>
  <c r="N38" i="16"/>
  <c r="M71" i="16"/>
  <c r="L81" i="16"/>
  <c r="J83" i="16"/>
  <c r="K81" i="16"/>
  <c r="M70" i="16"/>
  <c r="L80" i="16"/>
  <c r="L79" i="16"/>
  <c r="L78" i="16"/>
  <c r="K80" i="16"/>
  <c r="J82" i="16"/>
  <c r="M69" i="16"/>
  <c r="O71" i="16"/>
  <c r="P79" i="16"/>
  <c r="J81" i="16"/>
  <c r="K79" i="16"/>
  <c r="M68" i="16"/>
  <c r="Q85" i="16"/>
  <c r="P78" i="16"/>
  <c r="O70" i="16"/>
  <c r="B23" i="16"/>
  <c r="C23" i="16"/>
  <c r="D38" i="16"/>
  <c r="E53" i="16"/>
  <c r="F56" i="16"/>
  <c r="G62" i="16"/>
  <c r="H75" i="16"/>
  <c r="I85" i="16"/>
  <c r="J80" i="16"/>
  <c r="K78" i="16"/>
  <c r="L77" i="16"/>
  <c r="M67" i="16"/>
  <c r="N37" i="16"/>
  <c r="O69" i="16"/>
  <c r="P77" i="16"/>
  <c r="R45" i="16"/>
  <c r="Q84" i="16"/>
  <c r="E301" i="3"/>
  <c r="O68" i="16"/>
  <c r="P76" i="16"/>
  <c r="Q83" i="16"/>
  <c r="Q82" i="16"/>
  <c r="P75" i="16"/>
  <c r="O67" i="16"/>
  <c r="N36" i="16"/>
  <c r="H74" i="16"/>
  <c r="G61" i="16"/>
  <c r="E52" i="16"/>
  <c r="F55" i="16"/>
  <c r="M66" i="16"/>
  <c r="L76" i="16"/>
  <c r="K77" i="16"/>
  <c r="J79" i="16"/>
  <c r="I84" i="16"/>
  <c r="F54" i="16"/>
  <c r="G60" i="16"/>
  <c r="H73" i="16"/>
  <c r="I83" i="16"/>
  <c r="O66" i="16"/>
  <c r="P74" i="16"/>
  <c r="Q81" i="16"/>
  <c r="Q80" i="16"/>
  <c r="Q79" i="16"/>
  <c r="Q78" i="16"/>
  <c r="J78" i="16"/>
  <c r="J77" i="16"/>
  <c r="K76" i="16"/>
  <c r="K75" i="16"/>
  <c r="L75" i="16"/>
  <c r="L74" i="16"/>
  <c r="M65" i="16"/>
  <c r="M64" i="16"/>
  <c r="N35" i="16"/>
  <c r="N34" i="16"/>
  <c r="Q77" i="16"/>
  <c r="Q76" i="16"/>
  <c r="L73" i="16"/>
  <c r="H72" i="16"/>
  <c r="I82" i="16"/>
  <c r="K74" i="16"/>
  <c r="J76" i="16"/>
  <c r="K73" i="16"/>
  <c r="L72" i="16"/>
  <c r="N33" i="16"/>
  <c r="M63" i="16"/>
  <c r="Q75" i="16"/>
  <c r="P73" i="16"/>
  <c r="O65" i="16"/>
  <c r="O64" i="16"/>
  <c r="Q74" i="16"/>
  <c r="P72" i="16"/>
  <c r="O63" i="16"/>
  <c r="P71" i="16"/>
  <c r="R44" i="16"/>
  <c r="Q73" i="16"/>
  <c r="Q72" i="16"/>
  <c r="J75" i="16"/>
  <c r="N32" i="16"/>
  <c r="M62" i="16"/>
  <c r="L71" i="16"/>
  <c r="L70" i="16"/>
  <c r="K72" i="16"/>
  <c r="J74" i="16"/>
  <c r="K71" i="16"/>
  <c r="J73" i="16"/>
  <c r="H71" i="16"/>
  <c r="I81" i="16"/>
  <c r="I80" i="16"/>
  <c r="H70" i="16"/>
  <c r="G59" i="16"/>
  <c r="F53" i="16"/>
  <c r="E51" i="16"/>
  <c r="D37" i="16"/>
  <c r="C22" i="16"/>
  <c r="B22" i="16"/>
  <c r="G58" i="16"/>
  <c r="F52" i="16"/>
  <c r="E50" i="16"/>
  <c r="D36" i="16"/>
  <c r="C21" i="16"/>
  <c r="B21" i="16"/>
  <c r="G57" i="16"/>
  <c r="G56" i="16"/>
  <c r="F51" i="16"/>
  <c r="F50" i="16"/>
  <c r="E49" i="16"/>
  <c r="E48" i="16"/>
  <c r="D35" i="16"/>
  <c r="D34" i="16"/>
  <c r="C20" i="16"/>
  <c r="C19" i="16"/>
  <c r="B20" i="16"/>
  <c r="B19" i="16"/>
  <c r="B12" i="16"/>
  <c r="C12" i="16"/>
  <c r="D25" i="16"/>
  <c r="E39" i="16"/>
  <c r="F40" i="16"/>
  <c r="G46" i="16"/>
  <c r="G55" i="16"/>
  <c r="F49" i="16"/>
  <c r="E47" i="16"/>
  <c r="D33" i="16"/>
  <c r="C18" i="16"/>
  <c r="B18" i="16"/>
  <c r="P70" i="16"/>
  <c r="F48" i="16"/>
  <c r="G54" i="16"/>
  <c r="H69" i="16"/>
  <c r="I79" i="16"/>
  <c r="J72" i="16"/>
  <c r="K70" i="16"/>
  <c r="L69" i="16"/>
  <c r="M61" i="16"/>
  <c r="R43" i="16"/>
  <c r="Q71" i="16"/>
  <c r="P69" i="16"/>
  <c r="O62" i="16"/>
  <c r="O61" i="16"/>
  <c r="P68" i="16"/>
  <c r="H68" i="16"/>
  <c r="I78" i="16"/>
  <c r="J71" i="16"/>
  <c r="K69" i="16"/>
  <c r="L68" i="16"/>
  <c r="M60" i="16"/>
  <c r="H67" i="16"/>
  <c r="H66" i="16"/>
  <c r="I77" i="16"/>
  <c r="I76" i="16"/>
  <c r="J70" i="16"/>
  <c r="K68" i="16"/>
  <c r="K67" i="16"/>
  <c r="L67" i="16"/>
  <c r="L66" i="16"/>
  <c r="M59" i="16"/>
  <c r="M58" i="16"/>
  <c r="O60" i="16"/>
  <c r="O59" i="16"/>
  <c r="P67" i="16"/>
  <c r="P66" i="16"/>
  <c r="R42" i="16"/>
  <c r="R41" i="16"/>
  <c r="Q70" i="16"/>
  <c r="Q69" i="16"/>
  <c r="Q68" i="16"/>
  <c r="Q67" i="16"/>
  <c r="J69" i="16"/>
  <c r="K66" i="16"/>
  <c r="M57" i="16"/>
  <c r="N31" i="16"/>
  <c r="H65" i="16"/>
  <c r="H64" i="16"/>
  <c r="I75" i="16"/>
  <c r="I74" i="16"/>
  <c r="J68" i="16"/>
  <c r="J67" i="16"/>
  <c r="K65" i="16"/>
  <c r="K64" i="16"/>
  <c r="L65" i="16"/>
  <c r="L64" i="16"/>
  <c r="M56" i="16"/>
  <c r="M55" i="16"/>
  <c r="R40" i="16"/>
  <c r="R39" i="16"/>
  <c r="Q66" i="16"/>
  <c r="Q65" i="16"/>
  <c r="P65" i="16"/>
  <c r="P64" i="16"/>
  <c r="O58" i="16"/>
  <c r="O57" i="16"/>
  <c r="J66" i="16"/>
  <c r="L63" i="16"/>
  <c r="M54" i="16"/>
  <c r="N30" i="16"/>
  <c r="O56" i="16"/>
  <c r="P63" i="16"/>
  <c r="Q64" i="16"/>
  <c r="Q63" i="16"/>
  <c r="B17" i="16"/>
  <c r="B16" i="16"/>
  <c r="C17" i="16"/>
  <c r="C16" i="16"/>
  <c r="D32" i="16"/>
  <c r="D31" i="16"/>
  <c r="E46" i="16"/>
  <c r="E45" i="16"/>
  <c r="F47" i="16"/>
  <c r="F46" i="16"/>
  <c r="G53" i="16"/>
  <c r="G52" i="16"/>
  <c r="H63" i="16"/>
  <c r="H62" i="16"/>
  <c r="I73" i="16"/>
  <c r="I72" i="16"/>
  <c r="J65" i="16"/>
  <c r="J64" i="16"/>
  <c r="K63" i="16"/>
  <c r="K62" i="16"/>
  <c r="L62" i="16"/>
  <c r="L61" i="16"/>
  <c r="M53" i="16"/>
  <c r="M52" i="16"/>
  <c r="N29" i="16"/>
  <c r="N28" i="16"/>
  <c r="O55" i="16"/>
  <c r="O54" i="16"/>
  <c r="P62" i="16"/>
  <c r="P61" i="16"/>
  <c r="Q62" i="16"/>
  <c r="Q61" i="16"/>
  <c r="R38" i="16"/>
  <c r="R37" i="16"/>
  <c r="R36" i="16"/>
  <c r="Q60" i="16"/>
  <c r="P60" i="16"/>
  <c r="N27" i="16"/>
  <c r="O53" i="16"/>
  <c r="M51" i="16"/>
  <c r="L60" i="16"/>
  <c r="K61" i="16"/>
  <c r="J63" i="16"/>
  <c r="I71" i="16"/>
  <c r="H61" i="16"/>
  <c r="G51" i="16"/>
  <c r="F45" i="16"/>
  <c r="E44" i="16"/>
  <c r="D30" i="16"/>
  <c r="B15" i="16"/>
  <c r="C15" i="16"/>
  <c r="D29" i="16"/>
  <c r="E43" i="16"/>
  <c r="F44" i="16"/>
  <c r="G50" i="16"/>
  <c r="H60" i="16"/>
  <c r="I70" i="16"/>
  <c r="J62" i="16"/>
  <c r="K60" i="16"/>
  <c r="L59" i="16"/>
  <c r="N26" i="16"/>
  <c r="M50" i="16"/>
  <c r="Q59" i="16"/>
  <c r="P59" i="16"/>
  <c r="O52" i="16"/>
  <c r="J61" i="16"/>
  <c r="K59" i="16"/>
  <c r="L58" i="16"/>
  <c r="M49" i="16"/>
  <c r="O51" i="16"/>
  <c r="P58" i="16"/>
  <c r="Q58" i="16"/>
  <c r="L57" i="16"/>
  <c r="L56" i="16"/>
  <c r="R35" i="16"/>
  <c r="Q57" i="16"/>
  <c r="P57" i="16"/>
  <c r="O50" i="16"/>
  <c r="N25" i="16"/>
  <c r="M48" i="16"/>
  <c r="L55" i="16"/>
  <c r="K58" i="16"/>
  <c r="I69" i="16"/>
  <c r="H59" i="16"/>
  <c r="G49" i="16"/>
  <c r="F43" i="16"/>
  <c r="E42" i="16"/>
  <c r="D28" i="16"/>
  <c r="C14" i="16"/>
  <c r="B14" i="16"/>
  <c r="J60" i="16"/>
  <c r="J59" i="16"/>
  <c r="K57" i="16"/>
  <c r="L54" i="16"/>
  <c r="M47" i="16"/>
  <c r="N24" i="16"/>
  <c r="Q56" i="16"/>
  <c r="Q55" i="16"/>
  <c r="P56" i="16"/>
  <c r="P55" i="16"/>
  <c r="O49" i="16"/>
  <c r="O48" i="16"/>
  <c r="M46" i="16"/>
  <c r="M45" i="16"/>
  <c r="L53" i="16"/>
  <c r="L52" i="16"/>
  <c r="K56" i="16"/>
  <c r="K55" i="16"/>
  <c r="J58" i="16"/>
  <c r="J57" i="16"/>
  <c r="I68" i="16"/>
  <c r="I67" i="16"/>
  <c r="H57" i="16"/>
  <c r="H58" i="16"/>
  <c r="D27" i="16"/>
  <c r="E41" i="16"/>
  <c r="F42" i="16"/>
  <c r="G48" i="16"/>
  <c r="H56" i="16"/>
  <c r="I66" i="16"/>
  <c r="J56" i="16"/>
  <c r="K54" i="16"/>
  <c r="L51" i="16"/>
  <c r="M44" i="16"/>
  <c r="N23" i="16"/>
  <c r="O47" i="16"/>
  <c r="P54" i="16"/>
  <c r="Q54" i="16"/>
  <c r="Q53" i="16"/>
  <c r="P53" i="16"/>
  <c r="O46" i="16"/>
  <c r="M43" i="16"/>
  <c r="L50" i="16"/>
  <c r="K53" i="16"/>
  <c r="J55" i="16"/>
  <c r="G47" i="16"/>
  <c r="F41" i="16"/>
  <c r="E40" i="16"/>
  <c r="D26" i="16"/>
  <c r="C13" i="16"/>
  <c r="B13" i="16"/>
  <c r="R34" i="16"/>
  <c r="Q52" i="16"/>
  <c r="P52" i="16"/>
  <c r="O45" i="16"/>
  <c r="I65" i="16"/>
  <c r="H55" i="16"/>
  <c r="J54" i="16"/>
  <c r="K52" i="16"/>
  <c r="L49" i="16"/>
  <c r="M42" i="16"/>
  <c r="N22" i="16"/>
  <c r="M41" i="16"/>
  <c r="M40" i="16"/>
  <c r="L48" i="16"/>
  <c r="K51" i="16"/>
  <c r="J53" i="16"/>
  <c r="G45" i="16"/>
  <c r="F39" i="16"/>
  <c r="E38" i="16"/>
  <c r="B11" i="16"/>
  <c r="C11" i="16"/>
  <c r="D24" i="16"/>
  <c r="D23" i="16"/>
  <c r="E37" i="16"/>
  <c r="F38" i="16"/>
  <c r="G44" i="16"/>
  <c r="H54" i="16"/>
  <c r="I64" i="16"/>
  <c r="O44" i="16"/>
  <c r="P51" i="16"/>
  <c r="Q51" i="16"/>
  <c r="F37" i="16"/>
  <c r="G43" i="16"/>
  <c r="I63" i="16"/>
  <c r="H53" i="16"/>
  <c r="H52" i="16"/>
  <c r="H51" i="16"/>
  <c r="I62" i="16"/>
  <c r="I61" i="16"/>
  <c r="J52" i="16"/>
  <c r="J51" i="16"/>
  <c r="K50" i="16"/>
  <c r="K49" i="16"/>
  <c r="L47" i="16"/>
  <c r="L46" i="16"/>
  <c r="M39" i="16"/>
  <c r="M38" i="16"/>
  <c r="R33" i="16"/>
  <c r="Q50" i="16"/>
  <c r="P50" i="16"/>
  <c r="O43" i="16"/>
  <c r="R32" i="16"/>
  <c r="Q49" i="16"/>
  <c r="P49" i="16"/>
  <c r="O42" i="16"/>
  <c r="Q48" i="16"/>
  <c r="Q47" i="16"/>
  <c r="H50" i="16"/>
  <c r="I60" i="16"/>
  <c r="J50" i="16"/>
  <c r="K48" i="16"/>
  <c r="R31" i="16"/>
  <c r="L45" i="16"/>
  <c r="M37" i="16"/>
  <c r="O41" i="16"/>
  <c r="Q46" i="16"/>
  <c r="P48" i="16"/>
  <c r="O40" i="16"/>
  <c r="P47" i="16"/>
  <c r="R30" i="16"/>
  <c r="Q45" i="16"/>
  <c r="I87" i="17"/>
  <c r="H87" i="17"/>
  <c r="I86" i="17"/>
  <c r="H86" i="17"/>
  <c r="I90" i="17"/>
  <c r="H90" i="17"/>
  <c r="I91" i="17"/>
  <c r="H91" i="17"/>
  <c r="I92" i="17"/>
  <c r="H92" i="17"/>
  <c r="E225" i="3"/>
  <c r="AH237" i="3"/>
  <c r="T237" i="3"/>
  <c r="S237" i="3"/>
  <c r="J237" i="3"/>
  <c r="F237" i="3"/>
  <c r="E237" i="3"/>
  <c r="AH235" i="3"/>
  <c r="T235" i="3"/>
  <c r="S235" i="3"/>
  <c r="J235" i="3"/>
  <c r="F235" i="3"/>
  <c r="E235" i="3"/>
  <c r="E262" i="3"/>
  <c r="E261" i="3"/>
  <c r="E260" i="3"/>
  <c r="E259" i="3"/>
  <c r="I94" i="17"/>
  <c r="H94" i="17"/>
  <c r="E265" i="3"/>
  <c r="E255" i="3"/>
  <c r="E288" i="3"/>
  <c r="K107" i="17"/>
  <c r="I107" i="17"/>
  <c r="H107" i="17"/>
  <c r="E263" i="3"/>
  <c r="T263" i="3"/>
  <c r="S263" i="3"/>
  <c r="F261" i="3"/>
  <c r="F260" i="3"/>
  <c r="T261" i="3"/>
  <c r="S261" i="3"/>
  <c r="T260" i="3"/>
  <c r="S260" i="3"/>
  <c r="F254" i="3"/>
  <c r="E254" i="3"/>
  <c r="F253" i="3"/>
  <c r="T254" i="3"/>
  <c r="S254" i="3"/>
  <c r="F250" i="3"/>
  <c r="E250" i="3"/>
  <c r="E251" i="3"/>
  <c r="AH250" i="3"/>
  <c r="T250" i="3"/>
  <c r="S250" i="3"/>
  <c r="E230" i="3"/>
  <c r="AH230" i="3"/>
  <c r="T230" i="3"/>
  <c r="S230" i="3"/>
  <c r="J230" i="3"/>
  <c r="F230" i="3"/>
  <c r="I115" i="17"/>
  <c r="E268" i="3"/>
  <c r="F268" i="3"/>
  <c r="V268" i="3"/>
  <c r="T268" i="3"/>
  <c r="S268" i="3"/>
  <c r="F255" i="3"/>
  <c r="AH255" i="3"/>
  <c r="T255" i="3"/>
  <c r="S255" i="3"/>
  <c r="AH252" i="3"/>
  <c r="F252" i="3"/>
  <c r="T252" i="3"/>
  <c r="S252" i="3"/>
  <c r="E252" i="3"/>
  <c r="AH253" i="3"/>
  <c r="T253" i="3"/>
  <c r="S253" i="3"/>
  <c r="E253" i="3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210" i="1"/>
  <c r="E200" i="3"/>
  <c r="E194" i="3"/>
  <c r="E195" i="3"/>
  <c r="E196" i="3"/>
  <c r="E198" i="3"/>
  <c r="AH312" i="3"/>
  <c r="AH308" i="3"/>
  <c r="AH307" i="3"/>
  <c r="AH297" i="3"/>
  <c r="AH288" i="3"/>
  <c r="AH282" i="3"/>
  <c r="AH284" i="3"/>
  <c r="E285" i="3"/>
  <c r="K108" i="17"/>
  <c r="I108" i="17"/>
  <c r="H108" i="17"/>
  <c r="T285" i="3"/>
  <c r="S285" i="3"/>
  <c r="G285" i="3"/>
  <c r="AH294" i="3"/>
  <c r="F294" i="3"/>
  <c r="T294" i="3"/>
  <c r="S294" i="3"/>
  <c r="G294" i="3"/>
  <c r="E294" i="3"/>
  <c r="AH200" i="3"/>
  <c r="T200" i="3"/>
  <c r="S200" i="3"/>
  <c r="T201" i="3"/>
  <c r="S201" i="3"/>
  <c r="E201" i="3"/>
  <c r="AH197" i="3"/>
  <c r="T197" i="3"/>
  <c r="S197" i="3"/>
  <c r="E197" i="3"/>
  <c r="T329" i="3"/>
  <c r="S329" i="3"/>
  <c r="J329" i="3"/>
  <c r="F329" i="3"/>
  <c r="AH291" i="3"/>
  <c r="T291" i="3"/>
  <c r="S291" i="3"/>
  <c r="G291" i="3"/>
  <c r="E291" i="3"/>
  <c r="AH267" i="3"/>
  <c r="T267" i="3"/>
  <c r="S267" i="3"/>
  <c r="E267" i="3"/>
  <c r="AH244" i="3"/>
  <c r="T244" i="3"/>
  <c r="S244" i="3"/>
  <c r="J244" i="3"/>
  <c r="F244" i="3"/>
  <c r="E244" i="3"/>
  <c r="AH303" i="3"/>
  <c r="T303" i="3"/>
  <c r="S303" i="3"/>
  <c r="J303" i="3"/>
  <c r="G303" i="3"/>
  <c r="F303" i="3"/>
  <c r="E302" i="3"/>
  <c r="AH321" i="3"/>
  <c r="AH313" i="3"/>
  <c r="AH317" i="3"/>
  <c r="T317" i="3"/>
  <c r="S317" i="3"/>
  <c r="T288" i="3"/>
  <c r="S288" i="3"/>
  <c r="AH318" i="3"/>
  <c r="T318" i="3"/>
  <c r="S318" i="3"/>
  <c r="E210" i="3"/>
  <c r="E206" i="3"/>
  <c r="E208" i="3"/>
  <c r="E218" i="3"/>
  <c r="AH247" i="3"/>
  <c r="E247" i="3"/>
  <c r="F138" i="3"/>
  <c r="AH293" i="3"/>
  <c r="AH243" i="3"/>
  <c r="J243" i="3"/>
  <c r="F243" i="3"/>
  <c r="E243" i="3"/>
  <c r="E314" i="3"/>
  <c r="AH314" i="3"/>
  <c r="L314" i="3"/>
  <c r="F314" i="3"/>
  <c r="AH315" i="3"/>
  <c r="E312" i="3"/>
  <c r="K106" i="17"/>
  <c r="I106" i="17"/>
  <c r="H106" i="17"/>
  <c r="E258" i="3"/>
  <c r="I117" i="17"/>
  <c r="H117" i="17"/>
  <c r="F214" i="3"/>
  <c r="AH214" i="3"/>
  <c r="E211" i="3"/>
  <c r="F211" i="3"/>
  <c r="AH211" i="3"/>
  <c r="E240" i="3"/>
  <c r="E242" i="3"/>
  <c r="E241" i="3"/>
  <c r="I85" i="17"/>
  <c r="H85" i="17"/>
  <c r="I81" i="17"/>
  <c r="H81" i="17"/>
  <c r="AH265" i="3"/>
  <c r="F259" i="3"/>
  <c r="I95" i="17"/>
  <c r="H95" i="17"/>
  <c r="J245" i="3"/>
  <c r="F245" i="3"/>
  <c r="AH245" i="3"/>
  <c r="E245" i="3"/>
  <c r="E217" i="3"/>
  <c r="I82" i="17"/>
  <c r="AH242" i="3"/>
  <c r="AH241" i="3"/>
  <c r="AH240" i="3"/>
  <c r="AH217" i="3"/>
  <c r="J217" i="3"/>
  <c r="F217" i="3"/>
  <c r="E277" i="3"/>
  <c r="E276" i="3"/>
  <c r="E275" i="3"/>
  <c r="E307" i="3"/>
  <c r="I114" i="17"/>
  <c r="H114" i="17"/>
  <c r="AH216" i="3"/>
  <c r="J216" i="3"/>
  <c r="F216" i="3"/>
  <c r="E216" i="3"/>
  <c r="F251" i="3"/>
  <c r="F301" i="3"/>
  <c r="AH296" i="3"/>
  <c r="L296" i="3"/>
  <c r="E296" i="3"/>
  <c r="AH327" i="3"/>
  <c r="E327" i="3"/>
  <c r="J327" i="3"/>
  <c r="F327" i="3"/>
  <c r="AH281" i="3"/>
  <c r="AH280" i="3"/>
  <c r="L280" i="3"/>
  <c r="G280" i="3"/>
  <c r="E280" i="3"/>
  <c r="AH215" i="3"/>
  <c r="J215" i="3"/>
  <c r="F215" i="3"/>
  <c r="L284" i="3"/>
  <c r="AH220" i="3"/>
  <c r="J220" i="3"/>
  <c r="F220" i="3"/>
  <c r="E220" i="3"/>
  <c r="U282" i="3"/>
  <c r="AY282" i="3" s="1"/>
  <c r="L282" i="3"/>
  <c r="G282" i="3"/>
  <c r="E282" i="3"/>
  <c r="AH199" i="3"/>
  <c r="E199" i="3"/>
  <c r="AH198" i="3"/>
  <c r="AH304" i="3"/>
  <c r="J304" i="3"/>
  <c r="F304" i="3"/>
  <c r="AH306" i="3"/>
  <c r="J306" i="3"/>
  <c r="G306" i="3"/>
  <c r="F306" i="3"/>
  <c r="E306" i="3"/>
  <c r="E228" i="3"/>
  <c r="E229" i="3"/>
  <c r="AH229" i="3"/>
  <c r="F229" i="3"/>
  <c r="J307" i="3"/>
  <c r="F307" i="3"/>
  <c r="V297" i="3"/>
  <c r="G297" i="3"/>
  <c r="F297" i="3"/>
  <c r="E297" i="3"/>
  <c r="E213" i="3"/>
  <c r="AH213" i="3"/>
  <c r="E257" i="3"/>
  <c r="I118" i="17"/>
  <c r="H118" i="17"/>
  <c r="AH328" i="3"/>
  <c r="L328" i="3"/>
  <c r="J328" i="3"/>
  <c r="G328" i="3"/>
  <c r="F328" i="3"/>
  <c r="E328" i="3"/>
  <c r="C328" i="3"/>
  <c r="E300" i="3"/>
  <c r="E299" i="3"/>
  <c r="G298" i="3"/>
  <c r="E298" i="3"/>
  <c r="AH266" i="3"/>
  <c r="AH264" i="3"/>
  <c r="E266" i="3"/>
  <c r="G81" i="3"/>
  <c r="L5" i="16"/>
  <c r="N7" i="16"/>
  <c r="N8" i="16"/>
  <c r="N9" i="16"/>
  <c r="N10" i="16"/>
  <c r="AH246" i="3"/>
  <c r="E246" i="3"/>
  <c r="E264" i="3"/>
  <c r="AH286" i="3"/>
  <c r="G286" i="3"/>
  <c r="E286" i="3"/>
  <c r="AH316" i="3"/>
  <c r="V316" i="3"/>
  <c r="L316" i="3"/>
  <c r="G316" i="3"/>
  <c r="AH319" i="3"/>
  <c r="L319" i="3"/>
  <c r="G319" i="3"/>
  <c r="E319" i="3"/>
  <c r="K105" i="17"/>
  <c r="I105" i="17"/>
  <c r="H105" i="17"/>
  <c r="AH210" i="3"/>
  <c r="AH209" i="3"/>
  <c r="J209" i="3"/>
  <c r="F209" i="3"/>
  <c r="E209" i="3"/>
  <c r="AH208" i="3"/>
  <c r="AH207" i="3"/>
  <c r="J207" i="3"/>
  <c r="F207" i="3"/>
  <c r="E207" i="3"/>
  <c r="N4" i="16"/>
  <c r="N5" i="16"/>
  <c r="I10" i="16"/>
  <c r="H10" i="16"/>
  <c r="K6" i="16"/>
  <c r="J6" i="16"/>
  <c r="J45" i="16"/>
  <c r="K43" i="16"/>
  <c r="K38" i="16"/>
  <c r="K39" i="16"/>
  <c r="K40" i="16"/>
  <c r="K41" i="16"/>
  <c r="K42" i="16"/>
  <c r="J40" i="16"/>
  <c r="J41" i="16"/>
  <c r="J42" i="16"/>
  <c r="J43" i="16"/>
  <c r="J44" i="16"/>
  <c r="L36" i="16"/>
  <c r="L37" i="16"/>
  <c r="L38" i="16"/>
  <c r="L39" i="16"/>
  <c r="L40" i="16"/>
  <c r="M32" i="16"/>
  <c r="O34" i="16"/>
  <c r="O33" i="16"/>
  <c r="P40" i="16"/>
  <c r="Q39" i="16"/>
  <c r="I50" i="16"/>
  <c r="I51" i="16"/>
  <c r="I52" i="16"/>
  <c r="H43" i="16"/>
  <c r="H42" i="16"/>
  <c r="H41" i="16"/>
  <c r="D19" i="16"/>
  <c r="C9" i="16"/>
  <c r="B9" i="16"/>
  <c r="K25" i="16"/>
  <c r="M16" i="16"/>
  <c r="M17" i="16"/>
  <c r="M9" i="16"/>
  <c r="M11" i="16"/>
  <c r="M13" i="16"/>
  <c r="M26" i="16"/>
  <c r="M25" i="16"/>
  <c r="M24" i="16"/>
  <c r="M23" i="16"/>
  <c r="M22" i="16"/>
  <c r="AH295" i="3"/>
  <c r="L295" i="3"/>
  <c r="G295" i="3"/>
  <c r="E295" i="3"/>
  <c r="J324" i="3"/>
  <c r="F324" i="3"/>
  <c r="J323" i="3"/>
  <c r="F323" i="3"/>
  <c r="J322" i="3"/>
  <c r="F322" i="3"/>
  <c r="J325" i="3"/>
  <c r="F325" i="3"/>
  <c r="J326" i="3"/>
  <c r="F326" i="3"/>
  <c r="E308" i="3"/>
  <c r="L302" i="3"/>
  <c r="G302" i="3"/>
  <c r="AH302" i="3"/>
  <c r="L313" i="3"/>
  <c r="F313" i="3"/>
  <c r="AH249" i="3"/>
  <c r="E249" i="3"/>
  <c r="AH305" i="3"/>
  <c r="J305" i="3"/>
  <c r="G305" i="3"/>
  <c r="F305" i="3"/>
  <c r="E227" i="3"/>
  <c r="J227" i="3"/>
  <c r="F227" i="3"/>
  <c r="I83" i="17"/>
  <c r="H83" i="17"/>
  <c r="E238" i="3"/>
  <c r="AH227" i="3"/>
  <c r="AH238" i="3"/>
  <c r="J238" i="3"/>
  <c r="F238" i="3"/>
  <c r="AH225" i="3"/>
  <c r="AH292" i="3"/>
  <c r="G292" i="3"/>
  <c r="E292" i="3"/>
  <c r="AH290" i="3"/>
  <c r="L262" i="3"/>
  <c r="F262" i="3"/>
  <c r="G289" i="3"/>
  <c r="AH223" i="3"/>
  <c r="J223" i="3"/>
  <c r="F223" i="3"/>
  <c r="E223" i="3"/>
  <c r="AH222" i="3"/>
  <c r="E222" i="3"/>
  <c r="AH221" i="3"/>
  <c r="E221" i="3"/>
  <c r="E248" i="3"/>
  <c r="I72" i="17"/>
  <c r="G290" i="3"/>
  <c r="E290" i="3"/>
  <c r="I79" i="17"/>
  <c r="H79" i="17"/>
  <c r="E212" i="3"/>
  <c r="AH212" i="3"/>
  <c r="I80" i="17"/>
  <c r="H80" i="17"/>
  <c r="G281" i="3"/>
  <c r="L281" i="3"/>
  <c r="E281" i="3"/>
  <c r="AH279" i="3"/>
  <c r="AH283" i="3"/>
  <c r="L283" i="3"/>
  <c r="G283" i="3"/>
  <c r="E283" i="3"/>
  <c r="AH277" i="3"/>
  <c r="L277" i="3"/>
  <c r="F277" i="3"/>
  <c r="AH276" i="3"/>
  <c r="L276" i="3"/>
  <c r="F276" i="3"/>
  <c r="AH275" i="3"/>
  <c r="L275" i="3"/>
  <c r="F275" i="3"/>
  <c r="AH234" i="3"/>
  <c r="J234" i="3"/>
  <c r="F234" i="3"/>
  <c r="E234" i="3"/>
  <c r="AH232" i="3"/>
  <c r="J232" i="3"/>
  <c r="F232" i="3"/>
  <c r="E232" i="3"/>
  <c r="AH233" i="3"/>
  <c r="J233" i="3"/>
  <c r="F233" i="3"/>
  <c r="E233" i="3"/>
  <c r="AH239" i="3"/>
  <c r="J239" i="3"/>
  <c r="F239" i="3"/>
  <c r="E239" i="3"/>
  <c r="AH236" i="3"/>
  <c r="J236" i="3"/>
  <c r="F236" i="3"/>
  <c r="E236" i="3"/>
  <c r="J242" i="3"/>
  <c r="F242" i="3"/>
  <c r="J241" i="3"/>
  <c r="F241" i="3"/>
  <c r="J240" i="3"/>
  <c r="F240" i="3"/>
  <c r="E171" i="3"/>
  <c r="E168" i="3"/>
  <c r="AW399" i="3" l="1"/>
  <c r="AV399" i="3"/>
  <c r="BR415" i="1" s="1"/>
  <c r="BE399" i="3"/>
  <c r="BL399" i="3" s="1"/>
  <c r="AW397" i="3"/>
  <c r="AV397" i="3"/>
  <c r="BR413" i="1" s="1"/>
  <c r="AW398" i="3"/>
  <c r="AV398" i="3"/>
  <c r="BR414" i="1" s="1"/>
  <c r="BE398" i="3"/>
  <c r="BL398" i="3" s="1"/>
  <c r="BE397" i="3"/>
  <c r="BL397" i="3" s="1"/>
  <c r="AW396" i="3"/>
  <c r="BC396" i="3"/>
  <c r="BM396" i="3" s="1"/>
  <c r="AW395" i="3"/>
  <c r="AV395" i="3"/>
  <c r="BR411" i="1" s="1"/>
  <c r="BE395" i="3"/>
  <c r="BL395" i="3" s="1"/>
  <c r="BC393" i="3"/>
  <c r="BM393" i="3" s="1"/>
  <c r="BE393" i="3"/>
  <c r="BL393" i="3" s="1"/>
  <c r="AW393" i="3"/>
  <c r="AW389" i="3"/>
  <c r="AV389" i="3"/>
  <c r="BR405" i="1" s="1"/>
  <c r="AW390" i="3"/>
  <c r="AV390" i="3"/>
  <c r="BR406" i="1" s="1"/>
  <c r="BE389" i="3"/>
  <c r="BL389" i="3" s="1"/>
  <c r="BE390" i="3"/>
  <c r="BL390" i="3" s="1"/>
  <c r="AW388" i="3"/>
  <c r="AV388" i="3"/>
  <c r="BR404" i="1" s="1"/>
  <c r="BE388" i="3"/>
  <c r="BL388" i="3" s="1"/>
  <c r="AW387" i="3"/>
  <c r="BE387" i="3"/>
  <c r="BL387" i="3" s="1"/>
  <c r="AW384" i="3"/>
  <c r="AW386" i="3"/>
  <c r="AV386" i="3"/>
  <c r="BR402" i="1" s="1"/>
  <c r="BE384" i="3"/>
  <c r="BL384" i="3" s="1"/>
  <c r="BC386" i="3"/>
  <c r="BM386" i="3" s="1"/>
  <c r="BE386" i="3"/>
  <c r="BL386" i="3" s="1"/>
  <c r="BE383" i="3"/>
  <c r="BL383" i="3" s="1"/>
  <c r="AW383" i="3"/>
  <c r="AV381" i="3"/>
  <c r="BR397" i="1" s="1"/>
  <c r="BE381" i="3"/>
  <c r="BL381" i="3" s="1"/>
  <c r="AW381" i="3"/>
  <c r="AV380" i="3"/>
  <c r="BR396" i="1" s="1"/>
  <c r="BE380" i="3"/>
  <c r="BL380" i="3" s="1"/>
  <c r="AW380" i="3"/>
  <c r="AV377" i="3"/>
  <c r="BR393" i="1" s="1"/>
  <c r="H393" i="1" s="1"/>
  <c r="AV379" i="3"/>
  <c r="BR395" i="1" s="1"/>
  <c r="BE379" i="3"/>
  <c r="BL379" i="3" s="1"/>
  <c r="BE377" i="3"/>
  <c r="BL377" i="3" s="1"/>
  <c r="AW379" i="3"/>
  <c r="AW377" i="3"/>
  <c r="AX316" i="3"/>
  <c r="AX268" i="3"/>
  <c r="M345" i="1"/>
  <c r="BF168" i="3"/>
  <c r="AP168" i="3"/>
  <c r="AQ168" i="3" s="1"/>
  <c r="BG168" i="3"/>
  <c r="AS168" i="3"/>
  <c r="BH168" i="3" s="1"/>
  <c r="AT168" i="3"/>
  <c r="AX168" i="3"/>
  <c r="BB168" i="3"/>
  <c r="BP168" i="3" a="1"/>
  <c r="BP168" i="3" s="1"/>
  <c r="BT168" i="3" s="1"/>
  <c r="AC168" i="5"/>
  <c r="Y168" i="5"/>
  <c r="BI168" i="1"/>
  <c r="BL168" i="1" s="1"/>
  <c r="CG168" i="1"/>
  <c r="BJ168" i="1"/>
  <c r="CH168" i="1"/>
  <c r="CI168" i="1"/>
  <c r="BO168" i="1"/>
  <c r="BQ168" i="1" s="1"/>
  <c r="BN168" i="1" s="1"/>
  <c r="CJ168" i="1"/>
  <c r="AX168" i="1"/>
  <c r="AY168" i="1"/>
  <c r="J168" i="1"/>
  <c r="AZ168" i="1"/>
  <c r="CB168" i="1"/>
  <c r="CC168" i="1"/>
  <c r="AQ168" i="1" s="1"/>
  <c r="BS168" i="1" s="1"/>
  <c r="S168" i="1"/>
  <c r="CE168" i="1"/>
  <c r="BC168" i="1"/>
  <c r="CF168" i="1"/>
  <c r="X168" i="5"/>
  <c r="W168" i="5"/>
  <c r="BE168" i="3"/>
  <c r="BL168" i="3" s="1"/>
  <c r="BD168" i="1"/>
  <c r="BH168" i="1"/>
  <c r="AP168" i="1"/>
  <c r="AB168" i="5" s="1"/>
  <c r="BE168" i="1"/>
  <c r="K168" i="1"/>
  <c r="M168" i="1"/>
  <c r="BF171" i="3"/>
  <c r="AP171" i="3"/>
  <c r="AQ171" i="3" s="1"/>
  <c r="AS171" i="3"/>
  <c r="BH171" i="3" s="1"/>
  <c r="BO171" i="3" s="1"/>
  <c r="AX171" i="3"/>
  <c r="BP171" i="3" a="1"/>
  <c r="BP171" i="3" s="1"/>
  <c r="BT171" i="3" s="1"/>
  <c r="AT171" i="3"/>
  <c r="AC171" i="5"/>
  <c r="Y171" i="5"/>
  <c r="X171" i="5"/>
  <c r="W171" i="5"/>
  <c r="S171" i="1"/>
  <c r="CC171" i="1"/>
  <c r="AQ171" i="1" s="1"/>
  <c r="BS171" i="1" s="1"/>
  <c r="CE171" i="1"/>
  <c r="BC171" i="1"/>
  <c r="CF171" i="1"/>
  <c r="AI171" i="1"/>
  <c r="BI171" i="1"/>
  <c r="BL171" i="1" s="1"/>
  <c r="CG171" i="1"/>
  <c r="BJ171" i="1"/>
  <c r="CH171" i="1"/>
  <c r="CI171" i="1"/>
  <c r="BO171" i="1"/>
  <c r="BQ171" i="1" s="1"/>
  <c r="BN171" i="1" s="1"/>
  <c r="CJ171" i="1"/>
  <c r="AX171" i="1"/>
  <c r="J171" i="1"/>
  <c r="AY171" i="1"/>
  <c r="AZ171" i="1"/>
  <c r="CB171" i="1"/>
  <c r="BG171" i="3"/>
  <c r="BB171" i="3"/>
  <c r="M171" i="1"/>
  <c r="BH171" i="1"/>
  <c r="BE171" i="3"/>
  <c r="BL171" i="3" s="1"/>
  <c r="BE171" i="1"/>
  <c r="K171" i="1"/>
  <c r="BD171" i="1"/>
  <c r="AP171" i="1"/>
  <c r="AB171" i="5" s="1"/>
  <c r="AP236" i="3"/>
  <c r="AQ236" i="3" s="1"/>
  <c r="AS236" i="3"/>
  <c r="BH236" i="3" s="1"/>
  <c r="BO236" i="3" s="1"/>
  <c r="AT236" i="3"/>
  <c r="AX236" i="3"/>
  <c r="BF236" i="3"/>
  <c r="BP236" i="3" a="1"/>
  <c r="BP236" i="3" s="1"/>
  <c r="BT236" i="3" s="1"/>
  <c r="BB236" i="3"/>
  <c r="BG236" i="3"/>
  <c r="AP239" i="3"/>
  <c r="AQ239" i="3" s="1"/>
  <c r="AS239" i="3"/>
  <c r="BH239" i="3" s="1"/>
  <c r="AT239" i="3"/>
  <c r="BJ239" i="3" s="1"/>
  <c r="AX239" i="3"/>
  <c r="BF239" i="3"/>
  <c r="BO239" i="3" s="1"/>
  <c r="BG239" i="3"/>
  <c r="BP239" i="3" a="1"/>
  <c r="BP239" i="3" s="1"/>
  <c r="BT239" i="3" s="1"/>
  <c r="BB239" i="3"/>
  <c r="AP233" i="3"/>
  <c r="AQ233" i="3" s="1"/>
  <c r="AS233" i="3"/>
  <c r="BH233" i="3" s="1"/>
  <c r="BO233" i="3" s="1"/>
  <c r="AT233" i="3"/>
  <c r="BJ233" i="3" s="1"/>
  <c r="AX233" i="3"/>
  <c r="BB233" i="3"/>
  <c r="BF233" i="3"/>
  <c r="BG233" i="3"/>
  <c r="BP233" i="3" a="1"/>
  <c r="BP233" i="3" s="1"/>
  <c r="BT233" i="3" s="1"/>
  <c r="AU233" i="3"/>
  <c r="AS232" i="3"/>
  <c r="BH232" i="3" s="1"/>
  <c r="BO232" i="3" s="1"/>
  <c r="AT232" i="3"/>
  <c r="BJ232" i="3" s="1"/>
  <c r="AX232" i="3"/>
  <c r="BB232" i="3"/>
  <c r="BF232" i="3"/>
  <c r="BG232" i="3"/>
  <c r="BP232" i="3" a="1"/>
  <c r="BP232" i="3" s="1"/>
  <c r="BT232" i="3" s="1"/>
  <c r="AP232" i="3"/>
  <c r="AQ232" i="3" s="1"/>
  <c r="AS234" i="3"/>
  <c r="BH234" i="3" s="1"/>
  <c r="AT234" i="3"/>
  <c r="AX234" i="3"/>
  <c r="BB234" i="3"/>
  <c r="BF234" i="3"/>
  <c r="BG234" i="3"/>
  <c r="BP234" i="3" a="1"/>
  <c r="BP234" i="3" s="1"/>
  <c r="BT234" i="3" s="1"/>
  <c r="AP234" i="3"/>
  <c r="AQ234" i="3" s="1"/>
  <c r="BP283" i="3" a="1"/>
  <c r="BP283" i="3" s="1"/>
  <c r="BT283" i="3" s="1"/>
  <c r="BF283" i="3"/>
  <c r="AS283" i="3"/>
  <c r="BH283" i="3" s="1"/>
  <c r="AT283" i="3"/>
  <c r="BJ283" i="3" s="1"/>
  <c r="BR283" i="3" s="1"/>
  <c r="BV283" i="3" s="1"/>
  <c r="BG283" i="3"/>
  <c r="AU283" i="3"/>
  <c r="BF281" i="3"/>
  <c r="BG281" i="3"/>
  <c r="BP281" i="3" a="1"/>
  <c r="BP281" i="3" s="1"/>
  <c r="BT281" i="3" s="1"/>
  <c r="AS281" i="3"/>
  <c r="BH281" i="3" s="1"/>
  <c r="AT281" i="3"/>
  <c r="BJ281" i="3" s="1"/>
  <c r="BR281" i="3" s="1"/>
  <c r="BV281" i="3" s="1"/>
  <c r="AS212" i="3"/>
  <c r="BH212" i="3" s="1"/>
  <c r="AT212" i="3"/>
  <c r="AX212" i="3"/>
  <c r="BE212" i="3"/>
  <c r="AP212" i="3"/>
  <c r="AQ212" i="3" s="1"/>
  <c r="BF212" i="3"/>
  <c r="BP212" i="3" a="1"/>
  <c r="BP212" i="3" s="1"/>
  <c r="BT212" i="3" s="1"/>
  <c r="BG212" i="3"/>
  <c r="BB212" i="3"/>
  <c r="BF290" i="3"/>
  <c r="BG290" i="3"/>
  <c r="BP290" i="3" a="1"/>
  <c r="BP290" i="3" s="1"/>
  <c r="AP290" i="3"/>
  <c r="AQ290" i="3" s="1"/>
  <c r="BQ290" i="3"/>
  <c r="AS290" i="3"/>
  <c r="AT290" i="3"/>
  <c r="BJ290" i="3" s="1"/>
  <c r="AT248" i="3"/>
  <c r="BJ248" i="3" s="1"/>
  <c r="BF248" i="3"/>
  <c r="BG248" i="3"/>
  <c r="BP248" i="3" a="1"/>
  <c r="BP248" i="3" s="1"/>
  <c r="BT248" i="3" s="1"/>
  <c r="AP248" i="3"/>
  <c r="AQ248" i="3" s="1"/>
  <c r="AS248" i="3"/>
  <c r="BH248" i="3" s="1"/>
  <c r="BE221" i="3"/>
  <c r="AP221" i="3"/>
  <c r="AQ221" i="3" s="1"/>
  <c r="BP221" i="3" a="1"/>
  <c r="BP221" i="3" s="1"/>
  <c r="BT221" i="3" s="1"/>
  <c r="AX221" i="3"/>
  <c r="BB221" i="3"/>
  <c r="BF221" i="3"/>
  <c r="BG221" i="3"/>
  <c r="BQ221" i="3"/>
  <c r="AS221" i="3"/>
  <c r="BH221" i="3" s="1"/>
  <c r="BI221" i="3" s="1"/>
  <c r="BU221" i="3" s="1"/>
  <c r="AT221" i="3"/>
  <c r="BJ221" i="3" s="1"/>
  <c r="AU221" i="3"/>
  <c r="AT222" i="3"/>
  <c r="BJ222" i="3" s="1"/>
  <c r="BQ222" i="3"/>
  <c r="BB222" i="3"/>
  <c r="AS222" i="3"/>
  <c r="BH222" i="3" s="1"/>
  <c r="AU222" i="3"/>
  <c r="AX222" i="3"/>
  <c r="BE222" i="3"/>
  <c r="BF222" i="3"/>
  <c r="BG222" i="3"/>
  <c r="AP222" i="3"/>
  <c r="AQ222" i="3" s="1"/>
  <c r="BP222" i="3" a="1"/>
  <c r="BP222" i="3" s="1"/>
  <c r="BT222" i="3" s="1"/>
  <c r="AP223" i="3"/>
  <c r="AQ223" i="3" s="1"/>
  <c r="BG223" i="3"/>
  <c r="BP223" i="3" a="1"/>
  <c r="BP223" i="3" s="1"/>
  <c r="AS223" i="3"/>
  <c r="BQ223" i="3"/>
  <c r="AT223" i="3"/>
  <c r="BJ223" i="3" s="1"/>
  <c r="AX223" i="3"/>
  <c r="BB223" i="3"/>
  <c r="BE223" i="3"/>
  <c r="BF223" i="3"/>
  <c r="BQ292" i="3"/>
  <c r="BF292" i="3"/>
  <c r="BG292" i="3"/>
  <c r="BP292" i="3" a="1"/>
  <c r="BP292" i="3" s="1"/>
  <c r="AP292" i="3"/>
  <c r="AQ292" i="3" s="1"/>
  <c r="AS292" i="3"/>
  <c r="AT292" i="3"/>
  <c r="BJ292" i="3" s="1"/>
  <c r="BB292" i="3"/>
  <c r="AP238" i="3"/>
  <c r="AQ238" i="3" s="1"/>
  <c r="AS238" i="3"/>
  <c r="BH238" i="3" s="1"/>
  <c r="AT238" i="3"/>
  <c r="BJ238" i="3" s="1"/>
  <c r="AX238" i="3"/>
  <c r="BB238" i="3"/>
  <c r="BF238" i="3"/>
  <c r="BG238" i="3"/>
  <c r="BP238" i="3" a="1"/>
  <c r="BP238" i="3" s="1"/>
  <c r="BT238" i="3" s="1"/>
  <c r="BP227" i="3" a="1"/>
  <c r="BP227" i="3" s="1"/>
  <c r="BT227" i="3" s="1"/>
  <c r="AX227" i="3"/>
  <c r="BG227" i="3"/>
  <c r="AT227" i="3"/>
  <c r="BJ227" i="3" s="1"/>
  <c r="BE227" i="3"/>
  <c r="BF227" i="3"/>
  <c r="AP227" i="3"/>
  <c r="AQ227" i="3" s="1"/>
  <c r="AS227" i="3"/>
  <c r="BH227" i="3" s="1"/>
  <c r="BB227" i="3"/>
  <c r="AU249" i="3"/>
  <c r="BF249" i="3"/>
  <c r="BG249" i="3"/>
  <c r="BP249" i="3" a="1"/>
  <c r="BP249" i="3" s="1"/>
  <c r="AP249" i="3"/>
  <c r="AQ249" i="3" s="1"/>
  <c r="AS249" i="3"/>
  <c r="BH249" i="3" s="1"/>
  <c r="AT249" i="3"/>
  <c r="BP308" i="3" a="1"/>
  <c r="BP308" i="3" s="1"/>
  <c r="BT308" i="3" s="1"/>
  <c r="AS308" i="3"/>
  <c r="BH308" i="3" s="1"/>
  <c r="AT308" i="3"/>
  <c r="AU308" i="3"/>
  <c r="AX308" i="3"/>
  <c r="BF308" i="3"/>
  <c r="BG308" i="3"/>
  <c r="AP308" i="3"/>
  <c r="AQ308" i="3" s="1"/>
  <c r="BQ295" i="3"/>
  <c r="BP295" i="3" a="1"/>
  <c r="BP295" i="3" s="1"/>
  <c r="AP295" i="3"/>
  <c r="AQ295" i="3" s="1"/>
  <c r="AS295" i="3"/>
  <c r="AT295" i="3"/>
  <c r="BF295" i="3"/>
  <c r="BG295" i="3"/>
  <c r="BI295" i="3" s="1"/>
  <c r="BC295" i="3"/>
  <c r="AP207" i="3"/>
  <c r="AQ207" i="3" s="1"/>
  <c r="AS207" i="3"/>
  <c r="BH207" i="3" s="1"/>
  <c r="AT207" i="3"/>
  <c r="BJ207" i="3" s="1"/>
  <c r="BP207" i="3" a="1"/>
  <c r="BP207" i="3" s="1"/>
  <c r="BT207" i="3" s="1"/>
  <c r="BF207" i="3"/>
  <c r="BG207" i="3"/>
  <c r="BP209" i="3" a="1"/>
  <c r="BP209" i="3" s="1"/>
  <c r="BT209" i="3" s="1"/>
  <c r="AP209" i="3"/>
  <c r="AQ209" i="3" s="1"/>
  <c r="AS209" i="3"/>
  <c r="BH209" i="3" s="1"/>
  <c r="AT209" i="3"/>
  <c r="BJ209" i="3" s="1"/>
  <c r="AU209" i="3"/>
  <c r="BB209" i="3"/>
  <c r="BF209" i="3"/>
  <c r="BG209" i="3"/>
  <c r="BG319" i="3"/>
  <c r="BP319" i="3" a="1"/>
  <c r="BP319" i="3" s="1"/>
  <c r="BT319" i="3" s="1"/>
  <c r="AP319" i="3"/>
  <c r="AQ319" i="3" s="1"/>
  <c r="BQ319" i="3"/>
  <c r="AS319" i="3"/>
  <c r="BH319" i="3" s="1"/>
  <c r="AT319" i="3"/>
  <c r="BF319" i="3"/>
  <c r="BI319" i="3"/>
  <c r="BU319" i="3" s="1"/>
  <c r="BF286" i="3"/>
  <c r="AT286" i="3"/>
  <c r="BJ286" i="3" s="1"/>
  <c r="AU286" i="3"/>
  <c r="BP286" i="3" a="1"/>
  <c r="BP286" i="3" s="1"/>
  <c r="BT286" i="3" s="1"/>
  <c r="AS286" i="3"/>
  <c r="BH286" i="3" s="1"/>
  <c r="BG286" i="3"/>
  <c r="AX264" i="3"/>
  <c r="BF264" i="3"/>
  <c r="BG264" i="3"/>
  <c r="BP264" i="3" a="1"/>
  <c r="BP264" i="3" s="1"/>
  <c r="BT264" i="3" s="1"/>
  <c r="AP264" i="3"/>
  <c r="AQ264" i="3" s="1"/>
  <c r="AT264" i="3"/>
  <c r="AU264" i="3" s="1"/>
  <c r="AS264" i="3"/>
  <c r="BH264" i="3" s="1"/>
  <c r="BF246" i="3"/>
  <c r="BG246" i="3"/>
  <c r="BP246" i="3" a="1"/>
  <c r="BP246" i="3" s="1"/>
  <c r="BT246" i="3" s="1"/>
  <c r="AP246" i="3"/>
  <c r="AQ246" i="3" s="1"/>
  <c r="AS246" i="3"/>
  <c r="BH246" i="3" s="1"/>
  <c r="AT246" i="3"/>
  <c r="AU246" i="3" s="1"/>
  <c r="AP266" i="3"/>
  <c r="AQ266" i="3" s="1"/>
  <c r="BQ266" i="3"/>
  <c r="AS266" i="3"/>
  <c r="AT266" i="3"/>
  <c r="BF266" i="3"/>
  <c r="BP266" i="3" a="1"/>
  <c r="BP266" i="3" s="1"/>
  <c r="BT266" i="3" s="1"/>
  <c r="BG266" i="3"/>
  <c r="AT298" i="3"/>
  <c r="BJ298" i="3" s="1"/>
  <c r="BR298" i="3" s="1"/>
  <c r="BV298" i="3" s="1"/>
  <c r="BP298" i="3" a="1"/>
  <c r="BP298" i="3" s="1"/>
  <c r="BT298" i="3" s="1"/>
  <c r="AP298" i="3"/>
  <c r="AQ298" i="3" s="1"/>
  <c r="AS298" i="3"/>
  <c r="BH298" i="3" s="1"/>
  <c r="AU298" i="3"/>
  <c r="AX298" i="3"/>
  <c r="BF298" i="3"/>
  <c r="BG298" i="3"/>
  <c r="BB298" i="3"/>
  <c r="BN298" i="3" s="1"/>
  <c r="BF299" i="3"/>
  <c r="BP299" i="3" a="1"/>
  <c r="BP299" i="3" s="1"/>
  <c r="BT299" i="3" s="1"/>
  <c r="AP299" i="3"/>
  <c r="AQ299" i="3" s="1"/>
  <c r="AS299" i="3"/>
  <c r="BH299" i="3" s="1"/>
  <c r="AT299" i="3"/>
  <c r="BJ299" i="3" s="1"/>
  <c r="AX299" i="3"/>
  <c r="BG299" i="3"/>
  <c r="BB299" i="3"/>
  <c r="AU299" i="3"/>
  <c r="AS300" i="3"/>
  <c r="BH300" i="3" s="1"/>
  <c r="BP300" i="3" a="1"/>
  <c r="BP300" i="3" s="1"/>
  <c r="BT300" i="3" s="1"/>
  <c r="AX300" i="3"/>
  <c r="BF300" i="3"/>
  <c r="AP300" i="3"/>
  <c r="AQ300" i="3" s="1"/>
  <c r="AT300" i="3"/>
  <c r="BB300" i="3" s="1"/>
  <c r="BG300" i="3"/>
  <c r="BF328" i="3"/>
  <c r="BG328" i="3"/>
  <c r="AP328" i="3"/>
  <c r="AQ328" i="3" s="1"/>
  <c r="AS328" i="3"/>
  <c r="BH328" i="3" s="1"/>
  <c r="BO328" i="3" s="1"/>
  <c r="BP328" i="3" a="1"/>
  <c r="BP328" i="3" s="1"/>
  <c r="BT328" i="3" s="1"/>
  <c r="AT328" i="3"/>
  <c r="AX328" i="3"/>
  <c r="BB328" i="3"/>
  <c r="AT257" i="3"/>
  <c r="AX257" i="3"/>
  <c r="BF257" i="3"/>
  <c r="BG257" i="3"/>
  <c r="BP257" i="3" a="1"/>
  <c r="BP257" i="3" s="1"/>
  <c r="AP257" i="3"/>
  <c r="AQ257" i="3" s="1"/>
  <c r="AS257" i="3"/>
  <c r="BH257" i="3" s="1"/>
  <c r="BO257" i="3" s="1"/>
  <c r="AU257" i="3"/>
  <c r="AS213" i="3"/>
  <c r="BH213" i="3" s="1"/>
  <c r="AT213" i="3"/>
  <c r="AX213" i="3"/>
  <c r="BE213" i="3"/>
  <c r="AP213" i="3"/>
  <c r="AQ213" i="3" s="1"/>
  <c r="BF213" i="3"/>
  <c r="BG213" i="3"/>
  <c r="BP213" i="3" a="1"/>
  <c r="BP213" i="3" s="1"/>
  <c r="BB213" i="3"/>
  <c r="AP297" i="3"/>
  <c r="AQ297" i="3" s="1"/>
  <c r="AT297" i="3"/>
  <c r="BB297" i="3" s="1"/>
  <c r="BP297" i="3" a="1"/>
  <c r="BP297" i="3" s="1"/>
  <c r="BT297" i="3" s="1"/>
  <c r="BF297" i="3"/>
  <c r="BG297" i="3"/>
  <c r="AS297" i="3"/>
  <c r="BH297" i="3" s="1"/>
  <c r="AX297" i="3"/>
  <c r="BF229" i="3"/>
  <c r="BP229" i="3" a="1"/>
  <c r="BP229" i="3" s="1"/>
  <c r="BT229" i="3" s="1"/>
  <c r="AS229" i="3"/>
  <c r="BH229" i="3" s="1"/>
  <c r="BG229" i="3"/>
  <c r="AP229" i="3"/>
  <c r="AQ229" i="3" s="1"/>
  <c r="AT229" i="3"/>
  <c r="AX229" i="3"/>
  <c r="BB229" i="3"/>
  <c r="AX228" i="3"/>
  <c r="BG228" i="3"/>
  <c r="BF228" i="3"/>
  <c r="BP228" i="3" a="1"/>
  <c r="BP228" i="3" s="1"/>
  <c r="BT228" i="3" s="1"/>
  <c r="AP228" i="3"/>
  <c r="AQ228" i="3" s="1"/>
  <c r="AS228" i="3"/>
  <c r="BH228" i="3" s="1"/>
  <c r="AT228" i="3"/>
  <c r="BB228" i="3"/>
  <c r="BF306" i="3"/>
  <c r="BG306" i="3"/>
  <c r="AP306" i="3"/>
  <c r="AQ306" i="3" s="1"/>
  <c r="AS306" i="3"/>
  <c r="BH306" i="3" s="1"/>
  <c r="AT306" i="3"/>
  <c r="AU306" i="3"/>
  <c r="BP306" i="3" a="1"/>
  <c r="BP306" i="3" s="1"/>
  <c r="BT306" i="3" s="1"/>
  <c r="AX306" i="3"/>
  <c r="BF199" i="3"/>
  <c r="BG199" i="3"/>
  <c r="BP199" i="3" a="1"/>
  <c r="BP199" i="3" s="1"/>
  <c r="BT199" i="3" s="1"/>
  <c r="AS199" i="3"/>
  <c r="BH199" i="3" s="1"/>
  <c r="AT199" i="3"/>
  <c r="BB199" i="3" s="1"/>
  <c r="AP199" i="3"/>
  <c r="AQ199" i="3" s="1"/>
  <c r="BF282" i="3"/>
  <c r="BP282" i="3" a="1"/>
  <c r="BP282" i="3" s="1"/>
  <c r="AS282" i="3"/>
  <c r="BH282" i="3" s="1"/>
  <c r="BO282" i="3" s="1"/>
  <c r="AT282" i="3"/>
  <c r="BJ282" i="3" s="1"/>
  <c r="AU282" i="3"/>
  <c r="BG282" i="3"/>
  <c r="BF220" i="3"/>
  <c r="AS220" i="3"/>
  <c r="BQ220" i="3"/>
  <c r="AX220" i="3"/>
  <c r="BE220" i="3"/>
  <c r="AT220" i="3"/>
  <c r="BJ220" i="3" s="1"/>
  <c r="BB220" i="3"/>
  <c r="BG220" i="3"/>
  <c r="BP220" i="3" a="1"/>
  <c r="BP220" i="3" s="1"/>
  <c r="AP220" i="3"/>
  <c r="AQ220" i="3" s="1"/>
  <c r="AS280" i="3"/>
  <c r="BH280" i="3" s="1"/>
  <c r="AT280" i="3"/>
  <c r="BB280" i="3" s="1"/>
  <c r="BP280" i="3" a="1"/>
  <c r="BP280" i="3" s="1"/>
  <c r="BT280" i="3" s="1"/>
  <c r="BF280" i="3"/>
  <c r="BG280" i="3"/>
  <c r="BF327" i="3"/>
  <c r="BG327" i="3"/>
  <c r="BP327" i="3" a="1"/>
  <c r="BP327" i="3" s="1"/>
  <c r="BT327" i="3" s="1"/>
  <c r="AP327" i="3"/>
  <c r="AQ327" i="3" s="1"/>
  <c r="AS327" i="3"/>
  <c r="BH327" i="3" s="1"/>
  <c r="BO327" i="3" s="1"/>
  <c r="AT327" i="3"/>
  <c r="AX327" i="3"/>
  <c r="BB327" i="3"/>
  <c r="AP296" i="3"/>
  <c r="AQ296" i="3" s="1"/>
  <c r="BF296" i="3"/>
  <c r="BG296" i="3"/>
  <c r="BP296" i="3" a="1"/>
  <c r="BP296" i="3" s="1"/>
  <c r="BT296" i="3" s="1"/>
  <c r="AS296" i="3"/>
  <c r="BH296" i="3" s="1"/>
  <c r="AT296" i="3"/>
  <c r="BJ296" i="3" s="1"/>
  <c r="BB296" i="3"/>
  <c r="BC296" i="3"/>
  <c r="BQ296" i="3"/>
  <c r="BB216" i="3"/>
  <c r="BF216" i="3"/>
  <c r="AP216" i="3"/>
  <c r="AQ216" i="3" s="1"/>
  <c r="BE216" i="3"/>
  <c r="BG216" i="3"/>
  <c r="BP216" i="3" a="1"/>
  <c r="BP216" i="3" s="1"/>
  <c r="BT216" i="3" s="1"/>
  <c r="AS216" i="3"/>
  <c r="BH216" i="3" s="1"/>
  <c r="AT216" i="3"/>
  <c r="BJ216" i="3" s="1"/>
  <c r="AU216" i="3"/>
  <c r="AX216" i="3"/>
  <c r="AP307" i="3"/>
  <c r="AQ307" i="3" s="1"/>
  <c r="BG307" i="3"/>
  <c r="AS307" i="3"/>
  <c r="BH307" i="3" s="1"/>
  <c r="AT307" i="3"/>
  <c r="AU307" i="3" s="1"/>
  <c r="AX307" i="3"/>
  <c r="BP307" i="3" a="1"/>
  <c r="BP307" i="3" s="1"/>
  <c r="BT307" i="3" s="1"/>
  <c r="BF307" i="3"/>
  <c r="AX275" i="3"/>
  <c r="BF275" i="3"/>
  <c r="BP275" i="3" a="1"/>
  <c r="BP275" i="3" s="1"/>
  <c r="BT275" i="3" s="1"/>
  <c r="BQ275" i="3"/>
  <c r="AP275" i="3"/>
  <c r="AQ275" i="3" s="1"/>
  <c r="AT275" i="3"/>
  <c r="BJ275" i="3" s="1"/>
  <c r="AS275" i="3"/>
  <c r="BH275" i="3" s="1"/>
  <c r="BC275" i="3"/>
  <c r="BG275" i="3"/>
  <c r="BI275" i="3" s="1"/>
  <c r="BB275" i="3"/>
  <c r="AU275" i="3"/>
  <c r="AT276" i="3"/>
  <c r="BQ276" i="3"/>
  <c r="AU276" i="3"/>
  <c r="AX276" i="3"/>
  <c r="BC276" i="3"/>
  <c r="BF276" i="3"/>
  <c r="AS276" i="3"/>
  <c r="BH276" i="3" s="1"/>
  <c r="BP276" i="3" a="1"/>
  <c r="BP276" i="3" s="1"/>
  <c r="BT276" i="3" s="1"/>
  <c r="BG276" i="3"/>
  <c r="BI276" i="3" s="1"/>
  <c r="AP276" i="3"/>
  <c r="AQ276" i="3" s="1"/>
  <c r="BC277" i="3"/>
  <c r="BF277" i="3"/>
  <c r="AP277" i="3"/>
  <c r="AQ277" i="3" s="1"/>
  <c r="BG277" i="3"/>
  <c r="BP277" i="3" a="1"/>
  <c r="BP277" i="3" s="1"/>
  <c r="BT277" i="3" s="1"/>
  <c r="AS277" i="3"/>
  <c r="BH277" i="3" s="1"/>
  <c r="BQ277" i="3"/>
  <c r="AT277" i="3"/>
  <c r="BJ277" i="3" s="1"/>
  <c r="AU277" i="3"/>
  <c r="AX277" i="3"/>
  <c r="AT217" i="3"/>
  <c r="BP217" i="3" a="1"/>
  <c r="BP217" i="3" s="1"/>
  <c r="BT217" i="3" s="1"/>
  <c r="BB217" i="3"/>
  <c r="AS217" i="3"/>
  <c r="BH217" i="3" s="1"/>
  <c r="BE217" i="3"/>
  <c r="BF217" i="3"/>
  <c r="BG217" i="3"/>
  <c r="AP217" i="3"/>
  <c r="AQ217" i="3" s="1"/>
  <c r="AX217" i="3"/>
  <c r="BB245" i="3"/>
  <c r="BF245" i="3"/>
  <c r="BG245" i="3"/>
  <c r="AP245" i="3"/>
  <c r="AQ245" i="3" s="1"/>
  <c r="BP245" i="3" a="1"/>
  <c r="BP245" i="3" s="1"/>
  <c r="BT245" i="3" s="1"/>
  <c r="AS245" i="3"/>
  <c r="BH245" i="3" s="1"/>
  <c r="BO245" i="3" s="1"/>
  <c r="AT245" i="3"/>
  <c r="BJ245" i="3" s="1"/>
  <c r="AU245" i="3"/>
  <c r="AX245" i="3"/>
  <c r="AP241" i="3"/>
  <c r="AQ241" i="3" s="1"/>
  <c r="BF241" i="3"/>
  <c r="BG241" i="3"/>
  <c r="AS241" i="3"/>
  <c r="BH241" i="3" s="1"/>
  <c r="AT241" i="3"/>
  <c r="BJ241" i="3" s="1"/>
  <c r="AX241" i="3"/>
  <c r="BP241" i="3" a="1"/>
  <c r="BP241" i="3" s="1"/>
  <c r="BT241" i="3" s="1"/>
  <c r="BB241" i="3"/>
  <c r="BE241" i="3"/>
  <c r="AS242" i="3"/>
  <c r="BH242" i="3" s="1"/>
  <c r="AT242" i="3"/>
  <c r="BJ242" i="3" s="1"/>
  <c r="BP242" i="3" a="1"/>
  <c r="BP242" i="3" s="1"/>
  <c r="BT242" i="3" s="1"/>
  <c r="AX242" i="3"/>
  <c r="BE242" i="3"/>
  <c r="AP242" i="3"/>
  <c r="AQ242" i="3" s="1"/>
  <c r="BF242" i="3"/>
  <c r="BG242" i="3"/>
  <c r="BB242" i="3"/>
  <c r="AP240" i="3"/>
  <c r="AQ240" i="3" s="1"/>
  <c r="BE240" i="3"/>
  <c r="BF240" i="3"/>
  <c r="AS240" i="3"/>
  <c r="BH240" i="3" s="1"/>
  <c r="BG240" i="3"/>
  <c r="AT240" i="3"/>
  <c r="BJ240" i="3" s="1"/>
  <c r="AX240" i="3"/>
  <c r="BP240" i="3" a="1"/>
  <c r="BP240" i="3" s="1"/>
  <c r="BT240" i="3" s="1"/>
  <c r="BB240" i="3"/>
  <c r="AP211" i="3"/>
  <c r="AQ211" i="3" s="1"/>
  <c r="BF211" i="3"/>
  <c r="BG211" i="3"/>
  <c r="AS211" i="3"/>
  <c r="BH211" i="3" s="1"/>
  <c r="AT211" i="3"/>
  <c r="BJ211" i="3" s="1"/>
  <c r="AU211" i="3"/>
  <c r="BP211" i="3" a="1"/>
  <c r="BP211" i="3" s="1"/>
  <c r="BT211" i="3" s="1"/>
  <c r="AX211" i="3"/>
  <c r="BB211" i="3"/>
  <c r="AS258" i="3"/>
  <c r="BH258" i="3" s="1"/>
  <c r="AT258" i="3"/>
  <c r="BJ258" i="3" s="1"/>
  <c r="AX258" i="3"/>
  <c r="BF258" i="3"/>
  <c r="BG258" i="3"/>
  <c r="AP258" i="3"/>
  <c r="AQ258" i="3" s="1"/>
  <c r="BP258" i="3" a="1"/>
  <c r="BP258" i="3" s="1"/>
  <c r="BT258" i="3" s="1"/>
  <c r="BB258" i="3"/>
  <c r="BF312" i="3"/>
  <c r="AP312" i="3"/>
  <c r="AQ312" i="3" s="1"/>
  <c r="BP312" i="3" a="1"/>
  <c r="BP312" i="3" s="1"/>
  <c r="BT312" i="3" s="1"/>
  <c r="AS312" i="3"/>
  <c r="BH312" i="3" s="1"/>
  <c r="AT312" i="3"/>
  <c r="AU312" i="3" s="1"/>
  <c r="BG312" i="3"/>
  <c r="AS314" i="3"/>
  <c r="AT314" i="3"/>
  <c r="BJ314" i="3" s="1"/>
  <c r="BF314" i="3"/>
  <c r="BG314" i="3"/>
  <c r="BP314" i="3" a="1"/>
  <c r="BP314" i="3" s="1"/>
  <c r="AP314" i="3"/>
  <c r="AQ314" i="3" s="1"/>
  <c r="BQ314" i="3"/>
  <c r="AT243" i="3"/>
  <c r="BJ243" i="3" s="1"/>
  <c r="AU243" i="3"/>
  <c r="BP243" i="3" a="1"/>
  <c r="BP243" i="3" s="1"/>
  <c r="AX243" i="3"/>
  <c r="BE243" i="3"/>
  <c r="AP243" i="3"/>
  <c r="AQ243" i="3" s="1"/>
  <c r="BF243" i="3"/>
  <c r="AS243" i="3"/>
  <c r="BH243" i="3" s="1"/>
  <c r="BG243" i="3"/>
  <c r="BB243" i="3"/>
  <c r="BF247" i="3"/>
  <c r="BG247" i="3"/>
  <c r="BP247" i="3" a="1"/>
  <c r="BP247" i="3" s="1"/>
  <c r="BT247" i="3" s="1"/>
  <c r="AP247" i="3"/>
  <c r="AQ247" i="3" s="1"/>
  <c r="AS247" i="3"/>
  <c r="BH247" i="3" s="1"/>
  <c r="AT247" i="3"/>
  <c r="BJ247" i="3" s="1"/>
  <c r="BB247" i="3"/>
  <c r="AU247" i="3"/>
  <c r="AS218" i="3"/>
  <c r="BH218" i="3" s="1"/>
  <c r="BE218" i="3"/>
  <c r="BF218" i="3"/>
  <c r="AP218" i="3"/>
  <c r="AQ218" i="3" s="1"/>
  <c r="AT218" i="3"/>
  <c r="AX218" i="3"/>
  <c r="BP218" i="3" a="1"/>
  <c r="BP218" i="3" s="1"/>
  <c r="BT218" i="3" s="1"/>
  <c r="BG218" i="3"/>
  <c r="BB218" i="3"/>
  <c r="AP208" i="3"/>
  <c r="AQ208" i="3" s="1"/>
  <c r="AS208" i="3"/>
  <c r="BH208" i="3" s="1"/>
  <c r="AT208" i="3"/>
  <c r="AX208" i="3"/>
  <c r="BB208" i="3"/>
  <c r="BP208" i="3" a="1"/>
  <c r="BP208" i="3" s="1"/>
  <c r="BT208" i="3" s="1"/>
  <c r="BE208" i="3"/>
  <c r="BF208" i="3"/>
  <c r="BG208" i="3"/>
  <c r="AS206" i="3"/>
  <c r="BH206" i="3" s="1"/>
  <c r="AT206" i="3"/>
  <c r="BJ206" i="3" s="1"/>
  <c r="AX206" i="3"/>
  <c r="BB206" i="3"/>
  <c r="BE206" i="3"/>
  <c r="BF206" i="3"/>
  <c r="AP206" i="3"/>
  <c r="AQ206" i="3" s="1"/>
  <c r="BG206" i="3"/>
  <c r="BP206" i="3" a="1"/>
  <c r="BP206" i="3" s="1"/>
  <c r="BT206" i="3" s="1"/>
  <c r="BP210" i="3" a="1"/>
  <c r="BP210" i="3" s="1"/>
  <c r="BT210" i="3" s="1"/>
  <c r="AP210" i="3"/>
  <c r="AQ210" i="3" s="1"/>
  <c r="AS210" i="3"/>
  <c r="BH210" i="3" s="1"/>
  <c r="AT210" i="3"/>
  <c r="AX210" i="3"/>
  <c r="BG210" i="3"/>
  <c r="BE210" i="3"/>
  <c r="BF210" i="3"/>
  <c r="BB210" i="3"/>
  <c r="BG302" i="3"/>
  <c r="AP302" i="3"/>
  <c r="AQ302" i="3" s="1"/>
  <c r="AT302" i="3"/>
  <c r="BJ302" i="3" s="1"/>
  <c r="AX302" i="3"/>
  <c r="BF302" i="3"/>
  <c r="BP302" i="3" a="1"/>
  <c r="BP302" i="3" s="1"/>
  <c r="BT302" i="3" s="1"/>
  <c r="AS302" i="3"/>
  <c r="BH302" i="3" s="1"/>
  <c r="BO302" i="3" s="1"/>
  <c r="AU302" i="3"/>
  <c r="BB244" i="3"/>
  <c r="BE244" i="3"/>
  <c r="AP244" i="3"/>
  <c r="AQ244" i="3" s="1"/>
  <c r="BF244" i="3"/>
  <c r="BG244" i="3"/>
  <c r="AS244" i="3"/>
  <c r="BH244" i="3" s="1"/>
  <c r="AT244" i="3"/>
  <c r="BJ244" i="3" s="1"/>
  <c r="AX244" i="3"/>
  <c r="BP244" i="3" a="1"/>
  <c r="BP244" i="3" s="1"/>
  <c r="BT244" i="3" s="1"/>
  <c r="AP267" i="3"/>
  <c r="AQ267" i="3" s="1"/>
  <c r="BP267" i="3" a="1"/>
  <c r="BP267" i="3" s="1"/>
  <c r="BT267" i="3" s="1"/>
  <c r="AS267" i="3"/>
  <c r="BQ267" i="3"/>
  <c r="AT267" i="3"/>
  <c r="BJ267" i="3" s="1"/>
  <c r="BF267" i="3"/>
  <c r="BB267" i="3"/>
  <c r="BG267" i="3"/>
  <c r="BQ291" i="3"/>
  <c r="AU291" i="3"/>
  <c r="BF291" i="3"/>
  <c r="BG291" i="3"/>
  <c r="BP291" i="3" a="1"/>
  <c r="BP291" i="3" s="1"/>
  <c r="BT291" i="3" s="1"/>
  <c r="AP291" i="3"/>
  <c r="AQ291" i="3" s="1"/>
  <c r="AS291" i="3"/>
  <c r="BH291" i="3" s="1"/>
  <c r="BO291" i="3" s="1"/>
  <c r="AT291" i="3"/>
  <c r="BJ291" i="3" s="1"/>
  <c r="BB291" i="3"/>
  <c r="BI291" i="3"/>
  <c r="BU291" i="3" s="1"/>
  <c r="BF197" i="3"/>
  <c r="BP197" i="3" a="1"/>
  <c r="BP197" i="3" s="1"/>
  <c r="BT197" i="3" s="1"/>
  <c r="AP197" i="3"/>
  <c r="AQ197" i="3" s="1"/>
  <c r="AT197" i="3"/>
  <c r="BJ197" i="3" s="1"/>
  <c r="AS197" i="3"/>
  <c r="BH197" i="3" s="1"/>
  <c r="BO197" i="3" s="1"/>
  <c r="BG197" i="3"/>
  <c r="AU197" i="3"/>
  <c r="BF201" i="3"/>
  <c r="BG201" i="3"/>
  <c r="AP201" i="3"/>
  <c r="AQ201" i="3" s="1"/>
  <c r="BP201" i="3" a="1"/>
  <c r="BP201" i="3" s="1"/>
  <c r="BT201" i="3" s="1"/>
  <c r="AS201" i="3"/>
  <c r="BH201" i="3" s="1"/>
  <c r="AT201" i="3"/>
  <c r="BJ201" i="3" s="1"/>
  <c r="AX201" i="3"/>
  <c r="BC294" i="3"/>
  <c r="AP294" i="3"/>
  <c r="AQ294" i="3" s="1"/>
  <c r="AS294" i="3"/>
  <c r="AT294" i="3"/>
  <c r="BF294" i="3"/>
  <c r="BG294" i="3"/>
  <c r="BP294" i="3" a="1"/>
  <c r="BP294" i="3" s="1"/>
  <c r="BQ294" i="3"/>
  <c r="AU285" i="3"/>
  <c r="BF285" i="3"/>
  <c r="AP285" i="3"/>
  <c r="AQ285" i="3" s="1"/>
  <c r="BP285" i="3" a="1"/>
  <c r="BP285" i="3" s="1"/>
  <c r="AS285" i="3"/>
  <c r="BH285" i="3" s="1"/>
  <c r="BO285" i="3" s="1"/>
  <c r="AT285" i="3"/>
  <c r="BJ285" i="3" s="1"/>
  <c r="BR285" i="3" s="1"/>
  <c r="BV285" i="3" s="1"/>
  <c r="BG285" i="3"/>
  <c r="AT198" i="3"/>
  <c r="BF198" i="3"/>
  <c r="BG198" i="3"/>
  <c r="BP198" i="3" a="1"/>
  <c r="BP198" i="3" s="1"/>
  <c r="BT198" i="3" s="1"/>
  <c r="AP198" i="3"/>
  <c r="AQ198" i="3" s="1"/>
  <c r="AS198" i="3"/>
  <c r="BH198" i="3" s="1"/>
  <c r="AU198" i="3"/>
  <c r="BF196" i="3"/>
  <c r="AP196" i="3"/>
  <c r="AQ196" i="3" s="1"/>
  <c r="BP196" i="3" a="1"/>
  <c r="BP196" i="3" s="1"/>
  <c r="BT196" i="3" s="1"/>
  <c r="AS196" i="3"/>
  <c r="BH196" i="3" s="1"/>
  <c r="BO196" i="3" s="1"/>
  <c r="AT196" i="3"/>
  <c r="BJ196" i="3" s="1"/>
  <c r="BG196" i="3"/>
  <c r="BP195" i="3" a="1"/>
  <c r="BP195" i="3" s="1"/>
  <c r="BT195" i="3" s="1"/>
  <c r="AP195" i="3"/>
  <c r="AQ195" i="3" s="1"/>
  <c r="AS195" i="3"/>
  <c r="BH195" i="3" s="1"/>
  <c r="AT195" i="3"/>
  <c r="BF195" i="3"/>
  <c r="BG195" i="3"/>
  <c r="BB195" i="3"/>
  <c r="BP194" i="3" a="1"/>
  <c r="BP194" i="3" s="1"/>
  <c r="BT194" i="3" s="1"/>
  <c r="AP194" i="3"/>
  <c r="AQ194" i="3" s="1"/>
  <c r="AS194" i="3"/>
  <c r="BH194" i="3" s="1"/>
  <c r="AT194" i="3"/>
  <c r="BJ194" i="3" s="1"/>
  <c r="BF194" i="3"/>
  <c r="BG194" i="3"/>
  <c r="BB194" i="3"/>
  <c r="AS200" i="3"/>
  <c r="BH200" i="3" s="1"/>
  <c r="AT200" i="3"/>
  <c r="BJ200" i="3" s="1"/>
  <c r="AX200" i="3"/>
  <c r="BB200" i="3"/>
  <c r="BF200" i="3"/>
  <c r="AP200" i="3"/>
  <c r="AQ200" i="3" s="1"/>
  <c r="BP200" i="3" a="1"/>
  <c r="BP200" i="3" s="1"/>
  <c r="BG200" i="3"/>
  <c r="AU200" i="3"/>
  <c r="BF253" i="3"/>
  <c r="AP253" i="3"/>
  <c r="AQ253" i="3" s="1"/>
  <c r="AS253" i="3"/>
  <c r="BH253" i="3" s="1"/>
  <c r="AT253" i="3"/>
  <c r="BP253" i="3" a="1"/>
  <c r="BP253" i="3" s="1"/>
  <c r="BT253" i="3" s="1"/>
  <c r="AX253" i="3"/>
  <c r="BB253" i="3"/>
  <c r="BG253" i="3"/>
  <c r="AP252" i="3"/>
  <c r="AQ252" i="3" s="1"/>
  <c r="AS252" i="3"/>
  <c r="BH252" i="3" s="1"/>
  <c r="AT252" i="3"/>
  <c r="BJ252" i="3" s="1"/>
  <c r="BR252" i="3" s="1"/>
  <c r="BV252" i="3" s="1"/>
  <c r="AU252" i="3"/>
  <c r="AX252" i="3"/>
  <c r="BF252" i="3"/>
  <c r="BG252" i="3"/>
  <c r="BP252" i="3" a="1"/>
  <c r="BP252" i="3" s="1"/>
  <c r="BT252" i="3" s="1"/>
  <c r="BB252" i="3"/>
  <c r="BN252" i="3" s="1"/>
  <c r="BF268" i="3"/>
  <c r="BG268" i="3"/>
  <c r="AP268" i="3"/>
  <c r="AQ268" i="3" s="1"/>
  <c r="AS268" i="3"/>
  <c r="BH268" i="3" s="1"/>
  <c r="BO268" i="3" s="1"/>
  <c r="BP268" i="3" a="1"/>
  <c r="BP268" i="3" s="1"/>
  <c r="BT268" i="3" s="1"/>
  <c r="AT268" i="3"/>
  <c r="AU268" i="3"/>
  <c r="AX230" i="3"/>
  <c r="BE230" i="3"/>
  <c r="BF230" i="3"/>
  <c r="AP230" i="3"/>
  <c r="AQ230" i="3" s="1"/>
  <c r="AS230" i="3"/>
  <c r="BH230" i="3" s="1"/>
  <c r="BP230" i="3" a="1"/>
  <c r="BP230" i="3" s="1"/>
  <c r="AT230" i="3"/>
  <c r="BG230" i="3"/>
  <c r="BB230" i="3"/>
  <c r="AP251" i="3"/>
  <c r="AQ251" i="3" s="1"/>
  <c r="AS251" i="3"/>
  <c r="BH251" i="3" s="1"/>
  <c r="AT251" i="3"/>
  <c r="AU251" i="3" s="1"/>
  <c r="AX251" i="3"/>
  <c r="BF251" i="3"/>
  <c r="BO251" i="3" s="1"/>
  <c r="BG251" i="3"/>
  <c r="BP251" i="3" a="1"/>
  <c r="BP251" i="3" s="1"/>
  <c r="BT251" i="3" s="1"/>
  <c r="AT250" i="3"/>
  <c r="AX250" i="3"/>
  <c r="BF250" i="3"/>
  <c r="BG250" i="3"/>
  <c r="BP250" i="3" a="1"/>
  <c r="BP250" i="3" s="1"/>
  <c r="BT250" i="3" s="1"/>
  <c r="AP250" i="3"/>
  <c r="AQ250" i="3" s="1"/>
  <c r="AS250" i="3"/>
  <c r="BH250" i="3" s="1"/>
  <c r="BO250" i="3" s="1"/>
  <c r="BB250" i="3"/>
  <c r="AS254" i="3"/>
  <c r="BH254" i="3" s="1"/>
  <c r="BO254" i="3" s="1"/>
  <c r="AT254" i="3"/>
  <c r="AX254" i="3"/>
  <c r="BF254" i="3"/>
  <c r="BG254" i="3"/>
  <c r="BP254" i="3" a="1"/>
  <c r="BP254" i="3" s="1"/>
  <c r="BT254" i="3" s="1"/>
  <c r="AP254" i="3"/>
  <c r="AQ254" i="3" s="1"/>
  <c r="BB254" i="3"/>
  <c r="AS263" i="3"/>
  <c r="BH263" i="3" s="1"/>
  <c r="AT263" i="3"/>
  <c r="BJ263" i="3" s="1"/>
  <c r="BF263" i="3"/>
  <c r="BP263" i="3" a="1"/>
  <c r="BP263" i="3" s="1"/>
  <c r="BT263" i="3" s="1"/>
  <c r="AP263" i="3"/>
  <c r="AQ263" i="3" s="1"/>
  <c r="BG263" i="3"/>
  <c r="AU263" i="3"/>
  <c r="BB263" i="3"/>
  <c r="BG288" i="3"/>
  <c r="AP288" i="3"/>
  <c r="AQ288" i="3" s="1"/>
  <c r="AT288" i="3"/>
  <c r="BJ288" i="3" s="1"/>
  <c r="BR288" i="3" s="1"/>
  <c r="BV288" i="3" s="1"/>
  <c r="BP288" i="3" a="1"/>
  <c r="BP288" i="3" s="1"/>
  <c r="BT288" i="3" s="1"/>
  <c r="BQ288" i="3"/>
  <c r="AS288" i="3"/>
  <c r="BH288" i="3" s="1"/>
  <c r="BF288" i="3"/>
  <c r="AU288" i="3"/>
  <c r="BB288" i="3"/>
  <c r="AS255" i="3"/>
  <c r="BH255" i="3" s="1"/>
  <c r="AT255" i="3"/>
  <c r="BJ255" i="3" s="1"/>
  <c r="BR255" i="3" s="1"/>
  <c r="BV255" i="3" s="1"/>
  <c r="AX255" i="3"/>
  <c r="BF255" i="3"/>
  <c r="BP255" i="3" a="1"/>
  <c r="BP255" i="3" s="1"/>
  <c r="BT255" i="3" s="1"/>
  <c r="AP255" i="3"/>
  <c r="AQ255" i="3" s="1"/>
  <c r="BG255" i="3"/>
  <c r="AU265" i="3"/>
  <c r="AX265" i="3"/>
  <c r="BF265" i="3"/>
  <c r="BG265" i="3"/>
  <c r="AP265" i="3"/>
  <c r="AQ265" i="3" s="1"/>
  <c r="AT265" i="3"/>
  <c r="BJ265" i="3" s="1"/>
  <c r="BP265" i="3" a="1"/>
  <c r="BP265" i="3" s="1"/>
  <c r="BQ265" i="3"/>
  <c r="AS265" i="3"/>
  <c r="BH265" i="3" s="1"/>
  <c r="BI265" i="3" s="1"/>
  <c r="BU265" i="3" s="1"/>
  <c r="BB265" i="3"/>
  <c r="AP259" i="3"/>
  <c r="AQ259" i="3" s="1"/>
  <c r="AS259" i="3"/>
  <c r="BH259" i="3" s="1"/>
  <c r="BO259" i="3" s="1"/>
  <c r="AT259" i="3"/>
  <c r="AX259" i="3"/>
  <c r="BB259" i="3"/>
  <c r="BF259" i="3"/>
  <c r="BP259" i="3" a="1"/>
  <c r="BP259" i="3" s="1"/>
  <c r="BG259" i="3"/>
  <c r="BG260" i="3"/>
  <c r="BP260" i="3" a="1"/>
  <c r="BP260" i="3" s="1"/>
  <c r="BT260" i="3" s="1"/>
  <c r="AP260" i="3"/>
  <c r="AQ260" i="3" s="1"/>
  <c r="AS260" i="3"/>
  <c r="BH260" i="3" s="1"/>
  <c r="AT260" i="3"/>
  <c r="AX260" i="3"/>
  <c r="BB260" i="3"/>
  <c r="BF260" i="3"/>
  <c r="BF261" i="3"/>
  <c r="BG261" i="3"/>
  <c r="AP261" i="3"/>
  <c r="AQ261" i="3" s="1"/>
  <c r="BP261" i="3" a="1"/>
  <c r="BP261" i="3" s="1"/>
  <c r="AS261" i="3"/>
  <c r="BH261" i="3" s="1"/>
  <c r="BO261" i="3" s="1"/>
  <c r="AT261" i="3"/>
  <c r="BJ261" i="3" s="1"/>
  <c r="AX261" i="3"/>
  <c r="BB261" i="3"/>
  <c r="BF262" i="3"/>
  <c r="AP262" i="3"/>
  <c r="AQ262" i="3" s="1"/>
  <c r="BP262" i="3" a="1"/>
  <c r="BP262" i="3" s="1"/>
  <c r="BT262" i="3" s="1"/>
  <c r="AS262" i="3"/>
  <c r="BH262" i="3" s="1"/>
  <c r="AT262" i="3"/>
  <c r="BJ262" i="3" s="1"/>
  <c r="BR262" i="3" s="1"/>
  <c r="BV262" i="3" s="1"/>
  <c r="AX262" i="3"/>
  <c r="BG262" i="3"/>
  <c r="AU262" i="3"/>
  <c r="BB262" i="3"/>
  <c r="BN262" i="3" s="1"/>
  <c r="AP235" i="3"/>
  <c r="AQ235" i="3" s="1"/>
  <c r="AS235" i="3"/>
  <c r="BH235" i="3" s="1"/>
  <c r="AT235" i="3"/>
  <c r="AX235" i="3"/>
  <c r="BB235" i="3"/>
  <c r="BF235" i="3"/>
  <c r="BG235" i="3"/>
  <c r="BP235" i="3" a="1"/>
  <c r="BP235" i="3" s="1"/>
  <c r="BT235" i="3" s="1"/>
  <c r="AS237" i="3"/>
  <c r="BH237" i="3" s="1"/>
  <c r="AT237" i="3"/>
  <c r="AX237" i="3"/>
  <c r="BF237" i="3"/>
  <c r="BG237" i="3"/>
  <c r="BP237" i="3" a="1"/>
  <c r="BP237" i="3" s="1"/>
  <c r="BT237" i="3" s="1"/>
  <c r="AP237" i="3"/>
  <c r="AQ237" i="3" s="1"/>
  <c r="BB237" i="3"/>
  <c r="BG225" i="3"/>
  <c r="BF225" i="3"/>
  <c r="BP225" i="3" a="1"/>
  <c r="BP225" i="3" s="1"/>
  <c r="BT225" i="3" s="1"/>
  <c r="AP225" i="3"/>
  <c r="AQ225" i="3" s="1"/>
  <c r="AS225" i="3"/>
  <c r="BH225" i="3" s="1"/>
  <c r="AT225" i="3"/>
  <c r="BJ225" i="3" s="1"/>
  <c r="AX225" i="3"/>
  <c r="BE225" i="3"/>
  <c r="BB225" i="3"/>
  <c r="BF301" i="3"/>
  <c r="AS301" i="3"/>
  <c r="BH301" i="3" s="1"/>
  <c r="BO301" i="3" s="1"/>
  <c r="AP301" i="3"/>
  <c r="AQ301" i="3" s="1"/>
  <c r="AT301" i="3"/>
  <c r="BB301" i="3" s="1"/>
  <c r="AX301" i="3"/>
  <c r="BP301" i="3" a="1"/>
  <c r="BP301" i="3" s="1"/>
  <c r="BT301" i="3" s="1"/>
  <c r="BG301" i="3"/>
  <c r="AP273" i="3"/>
  <c r="AQ273" i="3" s="1"/>
  <c r="BQ273" i="3"/>
  <c r="AS273" i="3"/>
  <c r="BH273" i="3" s="1"/>
  <c r="BO273" i="3" s="1"/>
  <c r="AT273" i="3"/>
  <c r="BJ273" i="3" s="1"/>
  <c r="AU273" i="3"/>
  <c r="BP273" i="3" a="1"/>
  <c r="BP273" i="3" s="1"/>
  <c r="BT273" i="3" s="1"/>
  <c r="BF273" i="3"/>
  <c r="BG273" i="3"/>
  <c r="BC273" i="3"/>
  <c r="BI273" i="3"/>
  <c r="BB273" i="3"/>
  <c r="BF274" i="3"/>
  <c r="BG274" i="3"/>
  <c r="BI274" i="3" s="1"/>
  <c r="AP274" i="3"/>
  <c r="AQ274" i="3" s="1"/>
  <c r="AS274" i="3"/>
  <c r="BH274" i="3" s="1"/>
  <c r="BO274" i="3" s="1"/>
  <c r="BP274" i="3" a="1"/>
  <c r="BP274" i="3" s="1"/>
  <c r="AT274" i="3"/>
  <c r="AU274" i="3"/>
  <c r="BQ274" i="3"/>
  <c r="BC274" i="3"/>
  <c r="AX322" i="3"/>
  <c r="BF322" i="3"/>
  <c r="BG322" i="3"/>
  <c r="AP322" i="3"/>
  <c r="AQ322" i="3" s="1"/>
  <c r="BP322" i="3" a="1"/>
  <c r="BP322" i="3" s="1"/>
  <c r="BT322" i="3" s="1"/>
  <c r="AS322" i="3"/>
  <c r="BH322" i="3" s="1"/>
  <c r="BO322" i="3" s="1"/>
  <c r="AT322" i="3"/>
  <c r="AU322" i="3"/>
  <c r="AS323" i="3"/>
  <c r="BH323" i="3" s="1"/>
  <c r="AT323" i="3"/>
  <c r="BJ323" i="3" s="1"/>
  <c r="AX323" i="3"/>
  <c r="BF323" i="3"/>
  <c r="BG323" i="3"/>
  <c r="AP323" i="3"/>
  <c r="AQ323" i="3" s="1"/>
  <c r="BP323" i="3" a="1"/>
  <c r="BP323" i="3" s="1"/>
  <c r="BT323" i="3" s="1"/>
  <c r="AP324" i="3"/>
  <c r="AQ324" i="3" s="1"/>
  <c r="AS324" i="3"/>
  <c r="BH324" i="3" s="1"/>
  <c r="BO324" i="3" s="1"/>
  <c r="AT324" i="3"/>
  <c r="AU324" i="3" s="1"/>
  <c r="AX324" i="3"/>
  <c r="BF324" i="3"/>
  <c r="BP324" i="3" a="1"/>
  <c r="BP324" i="3" s="1"/>
  <c r="BT324" i="3" s="1"/>
  <c r="BG324" i="3"/>
  <c r="AP325" i="3"/>
  <c r="AQ325" i="3" s="1"/>
  <c r="AS325" i="3"/>
  <c r="BH325" i="3" s="1"/>
  <c r="BO325" i="3" s="1"/>
  <c r="AT325" i="3"/>
  <c r="BB325" i="3" s="1"/>
  <c r="AX325" i="3"/>
  <c r="BF325" i="3"/>
  <c r="BP325" i="3" a="1"/>
  <c r="BP325" i="3" s="1"/>
  <c r="BG325" i="3"/>
  <c r="BG326" i="3"/>
  <c r="AP326" i="3"/>
  <c r="AQ326" i="3" s="1"/>
  <c r="BP326" i="3" a="1"/>
  <c r="BP326" i="3" s="1"/>
  <c r="BT326" i="3" s="1"/>
  <c r="AS326" i="3"/>
  <c r="BH326" i="3" s="1"/>
  <c r="AT326" i="3"/>
  <c r="BJ326" i="3" s="1"/>
  <c r="BR326" i="3" s="1"/>
  <c r="BV326" i="3" s="1"/>
  <c r="AU326" i="3"/>
  <c r="AX326" i="3"/>
  <c r="BF326" i="3"/>
  <c r="BB326" i="3"/>
  <c r="BN326" i="3" s="1"/>
  <c r="BF316" i="3"/>
  <c r="BG316" i="3"/>
  <c r="AP316" i="3"/>
  <c r="AQ316" i="3" s="1"/>
  <c r="AS316" i="3"/>
  <c r="BH316" i="3" s="1"/>
  <c r="BO316" i="3" s="1"/>
  <c r="AT316" i="3"/>
  <c r="BJ316" i="3" s="1"/>
  <c r="BR316" i="3" s="1"/>
  <c r="BV316" i="3" s="1"/>
  <c r="BP316" i="3" a="1"/>
  <c r="BP316" i="3" s="1"/>
  <c r="BT316" i="3" s="1"/>
  <c r="AU316" i="3"/>
  <c r="BB316" i="3"/>
  <c r="BN316" i="3" s="1"/>
  <c r="AS313" i="3"/>
  <c r="BH313" i="3" s="1"/>
  <c r="BO313" i="3" s="1"/>
  <c r="AT313" i="3"/>
  <c r="BB313" i="3"/>
  <c r="BF313" i="3"/>
  <c r="BP313" i="3" a="1"/>
  <c r="BP313" i="3" s="1"/>
  <c r="BT313" i="3" s="1"/>
  <c r="BG313" i="3"/>
  <c r="BQ315" i="3"/>
  <c r="AP315" i="3"/>
  <c r="AQ315" i="3" s="1"/>
  <c r="AS315" i="3"/>
  <c r="BH315" i="3" s="1"/>
  <c r="BO315" i="3" s="1"/>
  <c r="AT315" i="3"/>
  <c r="BJ315" i="3" s="1"/>
  <c r="BF315" i="3"/>
  <c r="BG315" i="3"/>
  <c r="BI315" i="3" s="1"/>
  <c r="BP315" i="3" a="1"/>
  <c r="BP315" i="3" s="1"/>
  <c r="BC315" i="3"/>
  <c r="BB315" i="3"/>
  <c r="AS317" i="3"/>
  <c r="BH317" i="3" s="1"/>
  <c r="BO317" i="3" s="1"/>
  <c r="AT317" i="3"/>
  <c r="BJ317" i="3" s="1"/>
  <c r="BF317" i="3"/>
  <c r="BG317" i="3"/>
  <c r="BI317" i="3" s="1"/>
  <c r="BP317" i="3" a="1"/>
  <c r="BP317" i="3" s="1"/>
  <c r="BT317" i="3" s="1"/>
  <c r="BQ317" i="3"/>
  <c r="AP317" i="3"/>
  <c r="AQ317" i="3" s="1"/>
  <c r="BC317" i="3"/>
  <c r="AP318" i="3"/>
  <c r="AQ318" i="3" s="1"/>
  <c r="BP318" i="3" a="1"/>
  <c r="BP318" i="3" s="1"/>
  <c r="BT318" i="3" s="1"/>
  <c r="BQ318" i="3"/>
  <c r="AS318" i="3"/>
  <c r="BH318" i="3" s="1"/>
  <c r="AT318" i="3"/>
  <c r="AU318" i="3"/>
  <c r="BC318" i="3"/>
  <c r="BF318" i="3"/>
  <c r="BG318" i="3"/>
  <c r="BI318" i="3" s="1"/>
  <c r="AP293" i="3"/>
  <c r="AQ293" i="3" s="1"/>
  <c r="BB293" i="3"/>
  <c r="BF293" i="3"/>
  <c r="BG293" i="3"/>
  <c r="BP293" i="3" a="1"/>
  <c r="BP293" i="3" s="1"/>
  <c r="AS293" i="3"/>
  <c r="BH293" i="3" s="1"/>
  <c r="BQ293" i="3"/>
  <c r="AT293" i="3"/>
  <c r="BJ293" i="3" s="1"/>
  <c r="BC293" i="3"/>
  <c r="BI293" i="3"/>
  <c r="AS215" i="3"/>
  <c r="BH215" i="3" s="1"/>
  <c r="AT215" i="3"/>
  <c r="BJ215" i="3" s="1"/>
  <c r="AP215" i="3"/>
  <c r="AQ215" i="3" s="1"/>
  <c r="BP215" i="3" a="1"/>
  <c r="BP215" i="3" s="1"/>
  <c r="BT215" i="3" s="1"/>
  <c r="AX215" i="3"/>
  <c r="BE215" i="3"/>
  <c r="BF215" i="3"/>
  <c r="BG215" i="3"/>
  <c r="BB215" i="3"/>
  <c r="BE214" i="3"/>
  <c r="AP214" i="3"/>
  <c r="AQ214" i="3" s="1"/>
  <c r="BF214" i="3"/>
  <c r="AS214" i="3"/>
  <c r="BH214" i="3" s="1"/>
  <c r="AX214" i="3"/>
  <c r="BP214" i="3" a="1"/>
  <c r="BP214" i="3" s="1"/>
  <c r="BT214" i="3" s="1"/>
  <c r="AT214" i="3"/>
  <c r="BJ214" i="3" s="1"/>
  <c r="BB214" i="3"/>
  <c r="BG214" i="3"/>
  <c r="AU214" i="3"/>
  <c r="BF124" i="3"/>
  <c r="AP124" i="3"/>
  <c r="AQ124" i="3" s="1"/>
  <c r="AS124" i="3"/>
  <c r="BH124" i="3" s="1"/>
  <c r="BO124" i="3" s="1"/>
  <c r="AT124" i="3"/>
  <c r="BB124" i="3" s="1"/>
  <c r="BP124" i="3" a="1"/>
  <c r="BP124" i="3" s="1"/>
  <c r="BT124" i="3" s="1"/>
  <c r="AX124" i="3"/>
  <c r="BI124" i="1"/>
  <c r="BL124" i="1" s="1"/>
  <c r="CG124" i="1"/>
  <c r="BJ124" i="1"/>
  <c r="CH124" i="1"/>
  <c r="CI124" i="1"/>
  <c r="BO124" i="1"/>
  <c r="BQ124" i="1" s="1"/>
  <c r="BN124" i="1" s="1"/>
  <c r="CJ124" i="1"/>
  <c r="AX124" i="1"/>
  <c r="N124" i="1"/>
  <c r="AY124" i="1"/>
  <c r="O124" i="1"/>
  <c r="AZ124" i="1"/>
  <c r="CB124" i="1"/>
  <c r="CC124" i="1"/>
  <c r="S124" i="1"/>
  <c r="CE124" i="1"/>
  <c r="BC124" i="1"/>
  <c r="CF124" i="1"/>
  <c r="W124" i="5"/>
  <c r="BG124" i="3"/>
  <c r="AC124" i="5"/>
  <c r="M124" i="1"/>
  <c r="Y124" i="5"/>
  <c r="X124" i="5"/>
  <c r="BE124" i="3"/>
  <c r="BL124" i="3" s="1"/>
  <c r="K124" i="1"/>
  <c r="BH124" i="1"/>
  <c r="J124" i="1"/>
  <c r="AP124" i="1"/>
  <c r="AB124" i="5" s="1"/>
  <c r="AU303" i="3"/>
  <c r="AX303" i="3"/>
  <c r="BF303" i="3"/>
  <c r="AP303" i="3"/>
  <c r="AQ303" i="3" s="1"/>
  <c r="BG303" i="3"/>
  <c r="AS303" i="3"/>
  <c r="BH303" i="3" s="1"/>
  <c r="BO303" i="3" s="1"/>
  <c r="AT303" i="3"/>
  <c r="BJ303" i="3" s="1"/>
  <c r="BR303" i="3" s="1"/>
  <c r="BV303" i="3" s="1"/>
  <c r="BP303" i="3" a="1"/>
  <c r="BP303" i="3" s="1"/>
  <c r="AP304" i="3"/>
  <c r="AQ304" i="3" s="1"/>
  <c r="BG304" i="3"/>
  <c r="AT304" i="3"/>
  <c r="BJ304" i="3" s="1"/>
  <c r="BR304" i="3" s="1"/>
  <c r="BV304" i="3" s="1"/>
  <c r="BP304" i="3" a="1"/>
  <c r="BP304" i="3" s="1"/>
  <c r="BT304" i="3" s="1"/>
  <c r="BF304" i="3"/>
  <c r="AS304" i="3"/>
  <c r="BH304" i="3" s="1"/>
  <c r="BO304" i="3" s="1"/>
  <c r="AU304" i="3"/>
  <c r="AX304" i="3"/>
  <c r="BB304" i="3"/>
  <c r="BN304" i="3" s="1"/>
  <c r="AX305" i="3"/>
  <c r="BF305" i="3"/>
  <c r="BG305" i="3"/>
  <c r="AP305" i="3"/>
  <c r="AQ305" i="3" s="1"/>
  <c r="BP305" i="3" a="1"/>
  <c r="BP305" i="3" s="1"/>
  <c r="BT305" i="3" s="1"/>
  <c r="AS305" i="3"/>
  <c r="BH305" i="3" s="1"/>
  <c r="AT305" i="3"/>
  <c r="BJ305" i="3" s="1"/>
  <c r="AX330" i="3"/>
  <c r="BP330" i="3" a="1"/>
  <c r="BP330" i="3" s="1"/>
  <c r="BT330" i="3" s="1"/>
  <c r="BF330" i="3"/>
  <c r="AP330" i="3"/>
  <c r="AQ330" i="3" s="1"/>
  <c r="BG330" i="3"/>
  <c r="AS330" i="3"/>
  <c r="BH330" i="3" s="1"/>
  <c r="BO330" i="3" s="1"/>
  <c r="AT330" i="3"/>
  <c r="AU330" i="3" s="1"/>
  <c r="AV376" i="3"/>
  <c r="BR392" i="1" s="1"/>
  <c r="BC376" i="3"/>
  <c r="BM376" i="3" s="1"/>
  <c r="BE376" i="3"/>
  <c r="BL376" i="3" s="1"/>
  <c r="AW376" i="3"/>
  <c r="AV374" i="3"/>
  <c r="BR390" i="1" s="1"/>
  <c r="BE374" i="3"/>
  <c r="BL374" i="3" s="1"/>
  <c r="AW374" i="3"/>
  <c r="BE373" i="3"/>
  <c r="BL373" i="3" s="1"/>
  <c r="AV373" i="3"/>
  <c r="BR389" i="1" s="1"/>
  <c r="BE372" i="3"/>
  <c r="BL372" i="3" s="1"/>
  <c r="BC373" i="3"/>
  <c r="BM373" i="3" s="1"/>
  <c r="AW373" i="3"/>
  <c r="AW372" i="3"/>
  <c r="BE370" i="3"/>
  <c r="BL370" i="3" s="1"/>
  <c r="AW370" i="3"/>
  <c r="AV378" i="3"/>
  <c r="BR394" i="1" s="1"/>
  <c r="AW378" i="3"/>
  <c r="BE378" i="3"/>
  <c r="BL378" i="3" s="1"/>
  <c r="BE375" i="3"/>
  <c r="BL375" i="3" s="1"/>
  <c r="AW375" i="3"/>
  <c r="BE394" i="3"/>
  <c r="BL394" i="3" s="1"/>
  <c r="AV375" i="3"/>
  <c r="BR391" i="1" s="1"/>
  <c r="AW394" i="3"/>
  <c r="BC385" i="3"/>
  <c r="BM385" i="3" s="1"/>
  <c r="BE385" i="3"/>
  <c r="BL385" i="3" s="1"/>
  <c r="AW385" i="3"/>
  <c r="AV385" i="3"/>
  <c r="BR401" i="1" s="1"/>
  <c r="AV371" i="3"/>
  <c r="BR387" i="1" s="1"/>
  <c r="AV392" i="3"/>
  <c r="BR408" i="1" s="1"/>
  <c r="BE371" i="3"/>
  <c r="BL371" i="3" s="1"/>
  <c r="BE392" i="3"/>
  <c r="BL392" i="3" s="1"/>
  <c r="BC392" i="3"/>
  <c r="BM392" i="3" s="1"/>
  <c r="AW392" i="3"/>
  <c r="AW371" i="3"/>
  <c r="AW161" i="3"/>
  <c r="BE369" i="3"/>
  <c r="BL369" i="3" s="1"/>
  <c r="AW369" i="3"/>
  <c r="AV369" i="3"/>
  <c r="BR385" i="1" s="1"/>
  <c r="BC369" i="3"/>
  <c r="BM369" i="3" s="1"/>
  <c r="AW368" i="3"/>
  <c r="BE368" i="3"/>
  <c r="BL368" i="3" s="1"/>
  <c r="AV368" i="3"/>
  <c r="BR384" i="1" s="1"/>
  <c r="AW367" i="3"/>
  <c r="AV367" i="3"/>
  <c r="BR383" i="1" s="1"/>
  <c r="BE367" i="3"/>
  <c r="BE366" i="3"/>
  <c r="BL366" i="3" s="1"/>
  <c r="AW366" i="3"/>
  <c r="AW365" i="3"/>
  <c r="AV365" i="3"/>
  <c r="BR381" i="1" s="1"/>
  <c r="BE365" i="3"/>
  <c r="BL365" i="3" s="1"/>
  <c r="AW348" i="3"/>
  <c r="AW347" i="3"/>
  <c r="AW353" i="3"/>
  <c r="AW358" i="3"/>
  <c r="AW356" i="3"/>
  <c r="AW354" i="3"/>
  <c r="AW357" i="3"/>
  <c r="AW360" i="3"/>
  <c r="AW359" i="3"/>
  <c r="AW361" i="3"/>
  <c r="AW364" i="3"/>
  <c r="AW355" i="3"/>
  <c r="AW350" i="3"/>
  <c r="AW352" i="3"/>
  <c r="AW349" i="3"/>
  <c r="AW351" i="3"/>
  <c r="AW363" i="3"/>
  <c r="AW362" i="3"/>
  <c r="AV364" i="3"/>
  <c r="BR380" i="1" s="1"/>
  <c r="BE364" i="3"/>
  <c r="BL364" i="3" s="1"/>
  <c r="BC363" i="3"/>
  <c r="BE363" i="3"/>
  <c r="BL363" i="3" s="1"/>
  <c r="BE362" i="3"/>
  <c r="BL362" i="3" s="1"/>
  <c r="AV354" i="3"/>
  <c r="BR370" i="1" s="1"/>
  <c r="AV343" i="3"/>
  <c r="BR359" i="1" s="1"/>
  <c r="BE335" i="3"/>
  <c r="BL335" i="3" s="1"/>
  <c r="BE343" i="3"/>
  <c r="BL343" i="3" s="1"/>
  <c r="BE353" i="3"/>
  <c r="BL353" i="3" s="1"/>
  <c r="AV341" i="3"/>
  <c r="BR357" i="1" s="1"/>
  <c r="BC336" i="3"/>
  <c r="BM336" i="3" s="1"/>
  <c r="AV345" i="3"/>
  <c r="BE360" i="3"/>
  <c r="BL360" i="3" s="1"/>
  <c r="AV334" i="3"/>
  <c r="BR350" i="1" s="1"/>
  <c r="AV340" i="3"/>
  <c r="BR356" i="1" s="1"/>
  <c r="AV349" i="3"/>
  <c r="BE348" i="3"/>
  <c r="BL348" i="3" s="1"/>
  <c r="BE355" i="3"/>
  <c r="BL355" i="3" s="1"/>
  <c r="AV347" i="3"/>
  <c r="BR363" i="1" s="1"/>
  <c r="AV352" i="3"/>
  <c r="BR368" i="1" s="1"/>
  <c r="AV344" i="3"/>
  <c r="BR360" i="1" s="1"/>
  <c r="AV355" i="3"/>
  <c r="BE333" i="3"/>
  <c r="BL333" i="3" s="1"/>
  <c r="BE340" i="3"/>
  <c r="BL340" i="3" s="1"/>
  <c r="BE344" i="3"/>
  <c r="BL344" i="3" s="1"/>
  <c r="BE361" i="3"/>
  <c r="BL361" i="3" s="1"/>
  <c r="AV353" i="3"/>
  <c r="BR369" i="1" s="1"/>
  <c r="BC337" i="3"/>
  <c r="BM337" i="3" s="1"/>
  <c r="BE349" i="3"/>
  <c r="BL349" i="3" s="1"/>
  <c r="BE356" i="3"/>
  <c r="BL356" i="3" s="1"/>
  <c r="BC357" i="3"/>
  <c r="BM357" i="3" s="1"/>
  <c r="AV339" i="3"/>
  <c r="BE336" i="3"/>
  <c r="BL336" i="3" s="1"/>
  <c r="AV360" i="3"/>
  <c r="BR376" i="1" s="1"/>
  <c r="AV346" i="3"/>
  <c r="BR362" i="1" s="1"/>
  <c r="BE337" i="3"/>
  <c r="BL337" i="3" s="1"/>
  <c r="BE341" i="3"/>
  <c r="BL341" i="3" s="1"/>
  <c r="BE345" i="3"/>
  <c r="BL345" i="3" s="1"/>
  <c r="BE350" i="3"/>
  <c r="BL350" i="3" s="1"/>
  <c r="BE357" i="3"/>
  <c r="BL357" i="3" s="1"/>
  <c r="AV335" i="3"/>
  <c r="BR351" i="1" s="1"/>
  <c r="AV350" i="3"/>
  <c r="AV342" i="3"/>
  <c r="AV351" i="3"/>
  <c r="BE354" i="3"/>
  <c r="BL354" i="3" s="1"/>
  <c r="BE346" i="3"/>
  <c r="BL346" i="3" s="1"/>
  <c r="BE351" i="3"/>
  <c r="BL351" i="3" s="1"/>
  <c r="BE358" i="3"/>
  <c r="BL358" i="3" s="1"/>
  <c r="AV338" i="3"/>
  <c r="AV348" i="3"/>
  <c r="BR364" i="1" s="1"/>
  <c r="BE334" i="3"/>
  <c r="BL334" i="3" s="1"/>
  <c r="BE338" i="3"/>
  <c r="BL338" i="3" s="1"/>
  <c r="BE342" i="3"/>
  <c r="BL342" i="3" s="1"/>
  <c r="AV356" i="3"/>
  <c r="BR372" i="1" s="1"/>
  <c r="BE352" i="3"/>
  <c r="BL352" i="3" s="1"/>
  <c r="BC359" i="3"/>
  <c r="BM359" i="3" s="1"/>
  <c r="AV361" i="3"/>
  <c r="BE339" i="3"/>
  <c r="BL339" i="3" s="1"/>
  <c r="BE347" i="3"/>
  <c r="BL347" i="3" s="1"/>
  <c r="BE359" i="3"/>
  <c r="BL359" i="3" s="1"/>
  <c r="AV333" i="3"/>
  <c r="BR349" i="1" s="1"/>
  <c r="AV332" i="3"/>
  <c r="BR348" i="1" s="1"/>
  <c r="AV331" i="3"/>
  <c r="BR347" i="1" s="1"/>
  <c r="BE332" i="3"/>
  <c r="BL332" i="3" s="1"/>
  <c r="BE331" i="3"/>
  <c r="BL331" i="3" s="1"/>
  <c r="M235" i="1"/>
  <c r="M282" i="1"/>
  <c r="M270" i="1"/>
  <c r="M258" i="1"/>
  <c r="M307" i="1"/>
  <c r="M256" i="1"/>
  <c r="M319" i="1"/>
  <c r="M315" i="1"/>
  <c r="M291" i="1"/>
  <c r="M279" i="1"/>
  <c r="M267" i="1"/>
  <c r="M219" i="1"/>
  <c r="M338" i="1"/>
  <c r="M326" i="1"/>
  <c r="M242" i="1"/>
  <c r="M230" i="1"/>
  <c r="M313" i="1"/>
  <c r="M265" i="1"/>
  <c r="M241" i="1"/>
  <c r="M259" i="1"/>
  <c r="M336" i="1"/>
  <c r="M288" i="1"/>
  <c r="M264" i="1"/>
  <c r="M263" i="1"/>
  <c r="M274" i="1"/>
  <c r="M321" i="1"/>
  <c r="M285" i="1"/>
  <c r="M261" i="1"/>
  <c r="M260" i="1"/>
  <c r="M212" i="1"/>
  <c r="M247" i="1"/>
  <c r="B210" i="5"/>
  <c r="M210" i="1"/>
  <c r="BV210" i="1"/>
  <c r="P210" i="1"/>
  <c r="CA210" i="1" s="1"/>
  <c r="BB210" i="1"/>
  <c r="CC210" i="1"/>
  <c r="L210" i="1" s="1"/>
  <c r="S210" i="1"/>
  <c r="V210" i="1" s="1"/>
  <c r="BC210" i="1"/>
  <c r="CE210" i="1"/>
  <c r="AS210" i="1"/>
  <c r="BM210" i="1"/>
  <c r="CI210" i="1"/>
  <c r="O210" i="1"/>
  <c r="BA210" i="1"/>
  <c r="CB210" i="1"/>
  <c r="AO210" i="1"/>
  <c r="AY210" i="1"/>
  <c r="CJ210" i="1"/>
  <c r="BO210" i="1"/>
  <c r="AC210" i="1"/>
  <c r="BY210" i="1"/>
  <c r="AR210" i="1"/>
  <c r="AT210" i="1"/>
  <c r="AU210" i="1" s="1"/>
  <c r="CF210" i="1"/>
  <c r="CG210" i="1"/>
  <c r="AV210" i="1"/>
  <c r="CH210" i="1"/>
  <c r="AX210" i="1"/>
  <c r="BI210" i="1"/>
  <c r="BL210" i="1" s="1"/>
  <c r="BJ210" i="1"/>
  <c r="BT210" i="1"/>
  <c r="AW210" i="1" s="1"/>
  <c r="I210" i="1"/>
  <c r="N210" i="1"/>
  <c r="B345" i="5"/>
  <c r="AT345" i="1"/>
  <c r="AU345" i="1" s="1"/>
  <c r="BM345" i="1"/>
  <c r="CG345" i="1"/>
  <c r="AX345" i="1"/>
  <c r="BT345" i="1"/>
  <c r="AW345" i="1" s="1"/>
  <c r="CI345" i="1"/>
  <c r="I345" i="1"/>
  <c r="AZ345" i="1"/>
  <c r="AC345" i="1"/>
  <c r="BC345" i="1"/>
  <c r="AR345" i="1"/>
  <c r="AS345" i="1"/>
  <c r="BY345" i="1"/>
  <c r="AV345" i="1"/>
  <c r="AY345" i="1"/>
  <c r="CB345" i="1"/>
  <c r="BA345" i="1"/>
  <c r="CC345" i="1"/>
  <c r="L345" i="1" s="1"/>
  <c r="CF345" i="1"/>
  <c r="CH345" i="1"/>
  <c r="BI345" i="1"/>
  <c r="BL345" i="1" s="1"/>
  <c r="CJ345" i="1"/>
  <c r="P345" i="1"/>
  <c r="CA345" i="1" s="1"/>
  <c r="BJ345" i="1"/>
  <c r="AI345" i="1"/>
  <c r="BO345" i="1"/>
  <c r="AO345" i="1"/>
  <c r="BV345" i="1"/>
  <c r="CE345" i="1"/>
  <c r="BB345" i="1"/>
  <c r="B344" i="5"/>
  <c r="AO344" i="1"/>
  <c r="AW344" i="3" s="1"/>
  <c r="AS344" i="1"/>
  <c r="AV344" i="1"/>
  <c r="BV344" i="1"/>
  <c r="AC344" i="1"/>
  <c r="BY344" i="1"/>
  <c r="AR344" i="1"/>
  <c r="AT344" i="1"/>
  <c r="AU344" i="1" s="1"/>
  <c r="BA344" i="1"/>
  <c r="BB344" i="1"/>
  <c r="I344" i="1"/>
  <c r="BM344" i="1"/>
  <c r="P344" i="1"/>
  <c r="CA344" i="1" s="1"/>
  <c r="BT344" i="1"/>
  <c r="AW344" i="1" s="1"/>
  <c r="B343" i="5"/>
  <c r="AO343" i="1"/>
  <c r="AW343" i="3" s="1"/>
  <c r="BI343" i="1"/>
  <c r="BL343" i="1" s="1"/>
  <c r="AS343" i="1"/>
  <c r="BT343" i="1"/>
  <c r="AW343" i="1" s="1"/>
  <c r="BM343" i="1"/>
  <c r="P343" i="1"/>
  <c r="CA343" i="1" s="1"/>
  <c r="AC343" i="1"/>
  <c r="BV343" i="1"/>
  <c r="AR343" i="1"/>
  <c r="AT343" i="1"/>
  <c r="AU343" i="1" s="1"/>
  <c r="BY343" i="1"/>
  <c r="AY343" i="1"/>
  <c r="AZ343" i="1"/>
  <c r="BA343" i="1"/>
  <c r="BB343" i="1"/>
  <c r="I343" i="1"/>
  <c r="AV343" i="1"/>
  <c r="B342" i="5"/>
  <c r="P342" i="1"/>
  <c r="CA342" i="1" s="1"/>
  <c r="AZ342" i="1"/>
  <c r="BY342" i="1"/>
  <c r="AC342" i="1"/>
  <c r="BB342" i="1"/>
  <c r="CC342" i="1"/>
  <c r="L342" i="1" s="1"/>
  <c r="AO342" i="1"/>
  <c r="BI342" i="1"/>
  <c r="BL342" i="1" s="1"/>
  <c r="CF342" i="1"/>
  <c r="AT342" i="1"/>
  <c r="AU342" i="1" s="1"/>
  <c r="BM342" i="1"/>
  <c r="CI342" i="1"/>
  <c r="N342" i="1"/>
  <c r="BJ342" i="1"/>
  <c r="O342" i="1"/>
  <c r="S342" i="1"/>
  <c r="BO342" i="1"/>
  <c r="AI342" i="1"/>
  <c r="BT342" i="1"/>
  <c r="AW342" i="1" s="1"/>
  <c r="AR342" i="1"/>
  <c r="BV342" i="1"/>
  <c r="AV342" i="1"/>
  <c r="CB342" i="1"/>
  <c r="CE342" i="1"/>
  <c r="AX342" i="1"/>
  <c r="CG342" i="1"/>
  <c r="AY342" i="1"/>
  <c r="CH342" i="1"/>
  <c r="I342" i="1"/>
  <c r="BA342" i="1"/>
  <c r="CJ342" i="1"/>
  <c r="M342" i="1"/>
  <c r="BC342" i="1"/>
  <c r="AS342" i="1"/>
  <c r="B341" i="5"/>
  <c r="O341" i="1"/>
  <c r="AY341" i="1"/>
  <c r="CB341" i="1"/>
  <c r="AC341" i="1"/>
  <c r="BB341" i="1"/>
  <c r="CE341" i="1"/>
  <c r="AO341" i="1"/>
  <c r="BI341" i="1"/>
  <c r="BL341" i="1" s="1"/>
  <c r="CG341" i="1"/>
  <c r="AT341" i="1"/>
  <c r="AU341" i="1" s="1"/>
  <c r="BO341" i="1"/>
  <c r="CJ341" i="1"/>
  <c r="M341" i="1"/>
  <c r="BJ341" i="1"/>
  <c r="N341" i="1"/>
  <c r="BM341" i="1"/>
  <c r="P341" i="1"/>
  <c r="CA341" i="1" s="1"/>
  <c r="BT341" i="1"/>
  <c r="AW341" i="1" s="1"/>
  <c r="AI341" i="1"/>
  <c r="AL341" i="1" s="1"/>
  <c r="BV341" i="1"/>
  <c r="AR341" i="1"/>
  <c r="CC341" i="1"/>
  <c r="AV341" i="1"/>
  <c r="CF341" i="1"/>
  <c r="CH341" i="1"/>
  <c r="AX341" i="1"/>
  <c r="CI341" i="1"/>
  <c r="BA341" i="1"/>
  <c r="I341" i="1"/>
  <c r="BC341" i="1"/>
  <c r="BY341" i="1"/>
  <c r="AS341" i="1"/>
  <c r="B340" i="5"/>
  <c r="M340" i="1"/>
  <c r="AZ340" i="1"/>
  <c r="BY340" i="1"/>
  <c r="AC340" i="1"/>
  <c r="BB340" i="1"/>
  <c r="CC340" i="1"/>
  <c r="L340" i="1" s="1"/>
  <c r="AO340" i="1"/>
  <c r="X340" i="1" s="1"/>
  <c r="BI340" i="1"/>
  <c r="BL340" i="1" s="1"/>
  <c r="CF340" i="1"/>
  <c r="AT340" i="1"/>
  <c r="AU340" i="1" s="1"/>
  <c r="BM340" i="1"/>
  <c r="CI340" i="1"/>
  <c r="BJ340" i="1"/>
  <c r="I340" i="1"/>
  <c r="P340" i="1"/>
  <c r="CA340" i="1" s="1"/>
  <c r="BO340" i="1"/>
  <c r="AI340" i="1"/>
  <c r="BT340" i="1"/>
  <c r="AW340" i="1" s="1"/>
  <c r="AR340" i="1"/>
  <c r="BV340" i="1"/>
  <c r="AS340" i="1"/>
  <c r="CB340" i="1"/>
  <c r="AV340" i="1"/>
  <c r="CE340" i="1"/>
  <c r="AX340" i="1"/>
  <c r="CG340" i="1"/>
  <c r="AY340" i="1"/>
  <c r="CH340" i="1"/>
  <c r="BA340" i="1"/>
  <c r="CJ340" i="1"/>
  <c r="BC340" i="1"/>
  <c r="B339" i="5"/>
  <c r="AX339" i="1"/>
  <c r="BV339" i="1"/>
  <c r="M339" i="1"/>
  <c r="AZ339" i="1"/>
  <c r="BY339" i="1"/>
  <c r="S339" i="1"/>
  <c r="BB339" i="1"/>
  <c r="CC339" i="1"/>
  <c r="L339" i="1" s="1"/>
  <c r="AO339" i="1"/>
  <c r="AW339" i="3" s="1"/>
  <c r="BI339" i="1"/>
  <c r="BL339" i="1" s="1"/>
  <c r="CG339" i="1"/>
  <c r="BC339" i="1"/>
  <c r="CJ339" i="1"/>
  <c r="I339" i="1"/>
  <c r="BJ339" i="1"/>
  <c r="P339" i="1"/>
  <c r="BM339" i="1"/>
  <c r="X339" i="1"/>
  <c r="BO339" i="1"/>
  <c r="AC339" i="1"/>
  <c r="BT339" i="1"/>
  <c r="AW339" i="1" s="1"/>
  <c r="AR339" i="1"/>
  <c r="AS339" i="1"/>
  <c r="CB339" i="1"/>
  <c r="AT339" i="1"/>
  <c r="AU339" i="1" s="1"/>
  <c r="CE339" i="1"/>
  <c r="AV339" i="1"/>
  <c r="CF339" i="1"/>
  <c r="AY339" i="1"/>
  <c r="CH339" i="1"/>
  <c r="BA339" i="1"/>
  <c r="CI339" i="1"/>
  <c r="B338" i="5"/>
  <c r="I338" i="1"/>
  <c r="AV338" i="1"/>
  <c r="BT338" i="1"/>
  <c r="AW338" i="1" s="1"/>
  <c r="CJ338" i="1"/>
  <c r="P338" i="1"/>
  <c r="CA338" i="1" s="1"/>
  <c r="AY338" i="1"/>
  <c r="S338" i="1"/>
  <c r="BA338" i="1"/>
  <c r="AO338" i="1"/>
  <c r="AW338" i="3" s="1"/>
  <c r="CE338" i="1"/>
  <c r="BC338" i="1"/>
  <c r="CH338" i="1"/>
  <c r="J338" i="1"/>
  <c r="BI338" i="1"/>
  <c r="BL338" i="1" s="1"/>
  <c r="CI338" i="1"/>
  <c r="BJ338" i="1"/>
  <c r="AC338" i="1"/>
  <c r="BM338" i="1"/>
  <c r="AI338" i="1"/>
  <c r="AM338" i="1" s="1"/>
  <c r="BO338" i="1"/>
  <c r="AR338" i="1"/>
  <c r="BV338" i="1"/>
  <c r="AS338" i="1"/>
  <c r="AT338" i="1"/>
  <c r="AU338" i="1" s="1"/>
  <c r="BY338" i="1"/>
  <c r="CB338" i="1"/>
  <c r="AX338" i="1"/>
  <c r="CC338" i="1"/>
  <c r="AZ338" i="1"/>
  <c r="CF338" i="1"/>
  <c r="BB338" i="1"/>
  <c r="CG338" i="1"/>
  <c r="B337" i="5"/>
  <c r="BV337" i="1"/>
  <c r="P337" i="1"/>
  <c r="CA337" i="1" s="1"/>
  <c r="AY337" i="1"/>
  <c r="BY337" i="1"/>
  <c r="AC337" i="1"/>
  <c r="BB337" i="1"/>
  <c r="CB337" i="1"/>
  <c r="AO337" i="1"/>
  <c r="AW337" i="3" s="1"/>
  <c r="BI337" i="1"/>
  <c r="BL337" i="1" s="1"/>
  <c r="CF337" i="1"/>
  <c r="CJ337" i="1"/>
  <c r="I337" i="1"/>
  <c r="BJ337" i="1"/>
  <c r="S337" i="1"/>
  <c r="BM337" i="1"/>
  <c r="AI337" i="1"/>
  <c r="BO337" i="1"/>
  <c r="BT337" i="1"/>
  <c r="AW337" i="1" s="1"/>
  <c r="AR337" i="1"/>
  <c r="AS337" i="1"/>
  <c r="AT337" i="1"/>
  <c r="AU337" i="1" s="1"/>
  <c r="CC337" i="1"/>
  <c r="L337" i="1" s="1"/>
  <c r="AV337" i="1"/>
  <c r="CE337" i="1"/>
  <c r="AX337" i="1"/>
  <c r="CG337" i="1"/>
  <c r="BA337" i="1"/>
  <c r="CH337" i="1"/>
  <c r="BC337" i="1"/>
  <c r="CI337" i="1"/>
  <c r="M337" i="1"/>
  <c r="B336" i="5"/>
  <c r="AT336" i="1"/>
  <c r="AU336" i="1" s="1"/>
  <c r="BO336" i="1"/>
  <c r="CJ336" i="1"/>
  <c r="BV336" i="1"/>
  <c r="I336" i="1"/>
  <c r="AX336" i="1"/>
  <c r="N336" i="1"/>
  <c r="AY336" i="1"/>
  <c r="BY336" i="1"/>
  <c r="S336" i="1"/>
  <c r="BC336" i="1"/>
  <c r="CE336" i="1"/>
  <c r="BB336" i="1"/>
  <c r="CI336" i="1"/>
  <c r="BI336" i="1"/>
  <c r="BL336" i="1" s="1"/>
  <c r="BJ336" i="1"/>
  <c r="O336" i="1"/>
  <c r="BM336" i="1"/>
  <c r="P336" i="1"/>
  <c r="CA336" i="1" s="1"/>
  <c r="BT336" i="1"/>
  <c r="AW336" i="1" s="1"/>
  <c r="AC336" i="1"/>
  <c r="AO336" i="1"/>
  <c r="CB336" i="1"/>
  <c r="AR336" i="1"/>
  <c r="CC336" i="1"/>
  <c r="AS336" i="1"/>
  <c r="CF336" i="1"/>
  <c r="AV336" i="1"/>
  <c r="CG336" i="1"/>
  <c r="BA336" i="1"/>
  <c r="CH336" i="1"/>
  <c r="B335" i="5"/>
  <c r="AS335" i="1"/>
  <c r="BM335" i="1"/>
  <c r="CH335" i="1"/>
  <c r="BT335" i="1"/>
  <c r="AW335" i="1" s="1"/>
  <c r="CJ335" i="1"/>
  <c r="I335" i="1"/>
  <c r="AV335" i="1"/>
  <c r="BV335" i="1"/>
  <c r="M335" i="1"/>
  <c r="AX335" i="1"/>
  <c r="P335" i="1"/>
  <c r="BB335" i="1"/>
  <c r="CB335" i="1"/>
  <c r="AT335" i="1"/>
  <c r="AU335" i="1" s="1"/>
  <c r="CE335" i="1"/>
  <c r="AY335" i="1"/>
  <c r="CF335" i="1"/>
  <c r="BA335" i="1"/>
  <c r="CG335" i="1"/>
  <c r="BC335" i="1"/>
  <c r="CI335" i="1"/>
  <c r="BI335" i="1"/>
  <c r="BL335" i="1" s="1"/>
  <c r="BJ335" i="1"/>
  <c r="N335" i="1"/>
  <c r="O335" i="1"/>
  <c r="BO335" i="1"/>
  <c r="BQ335" i="1" s="1"/>
  <c r="BN335" i="1" s="1"/>
  <c r="S335" i="1"/>
  <c r="AC335" i="1"/>
  <c r="BY335" i="1"/>
  <c r="AO335" i="1"/>
  <c r="AW335" i="3" s="1"/>
  <c r="BZ335" i="1"/>
  <c r="AR335" i="1"/>
  <c r="CC335" i="1"/>
  <c r="L335" i="1" s="1"/>
  <c r="B334" i="5"/>
  <c r="AR334" i="1"/>
  <c r="BJ334" i="1"/>
  <c r="CH334" i="1"/>
  <c r="AT334" i="1"/>
  <c r="AU334" i="1" s="1"/>
  <c r="BO334" i="1"/>
  <c r="CJ334" i="1"/>
  <c r="AV334" i="1"/>
  <c r="BT334" i="1"/>
  <c r="AW334" i="1" s="1"/>
  <c r="I334" i="1"/>
  <c r="BV334" i="1"/>
  <c r="P334" i="1"/>
  <c r="AZ334" i="1"/>
  <c r="CB334" i="1"/>
  <c r="X334" i="1"/>
  <c r="BY334" i="1"/>
  <c r="AC334" i="1"/>
  <c r="CC334" i="1"/>
  <c r="AO334" i="1"/>
  <c r="AW334" i="3" s="1"/>
  <c r="CE334" i="1"/>
  <c r="AS334" i="1"/>
  <c r="CF334" i="1"/>
  <c r="AX334" i="1"/>
  <c r="CG334" i="1"/>
  <c r="AY334" i="1"/>
  <c r="CI334" i="1"/>
  <c r="BA334" i="1"/>
  <c r="BB334" i="1"/>
  <c r="BC334" i="1"/>
  <c r="BI334" i="1"/>
  <c r="BL334" i="1" s="1"/>
  <c r="M334" i="1"/>
  <c r="BM334" i="1"/>
  <c r="S334" i="1"/>
  <c r="T334" i="1" s="1"/>
  <c r="B333" i="5"/>
  <c r="AR333" i="1"/>
  <c r="BJ333" i="1"/>
  <c r="CG333" i="1"/>
  <c r="AT333" i="1"/>
  <c r="AU333" i="1" s="1"/>
  <c r="BO333" i="1"/>
  <c r="CI333" i="1"/>
  <c r="BT333" i="1"/>
  <c r="AW333" i="1" s="1"/>
  <c r="CJ333" i="1"/>
  <c r="AV333" i="1"/>
  <c r="BV333" i="1"/>
  <c r="M333" i="1"/>
  <c r="AY333" i="1"/>
  <c r="I333" i="1"/>
  <c r="BI333" i="1"/>
  <c r="BL333" i="1" s="1"/>
  <c r="J333" i="1"/>
  <c r="BM333" i="1"/>
  <c r="P333" i="1"/>
  <c r="CA333" i="1" s="1"/>
  <c r="S333" i="1"/>
  <c r="BY333" i="1"/>
  <c r="AC333" i="1"/>
  <c r="CB333" i="1"/>
  <c r="AO333" i="1"/>
  <c r="AW333" i="3" s="1"/>
  <c r="CC333" i="1"/>
  <c r="L333" i="1" s="1"/>
  <c r="AS333" i="1"/>
  <c r="CE333" i="1"/>
  <c r="CF333" i="1"/>
  <c r="AX333" i="1"/>
  <c r="CH333" i="1"/>
  <c r="BA333" i="1"/>
  <c r="BB333" i="1"/>
  <c r="BC333" i="1"/>
  <c r="B332" i="5"/>
  <c r="AR332" i="1"/>
  <c r="BI332" i="1"/>
  <c r="BL332" i="1" s="1"/>
  <c r="CF332" i="1"/>
  <c r="AT332" i="1"/>
  <c r="AU332" i="1" s="1"/>
  <c r="BM332" i="1"/>
  <c r="CH332" i="1"/>
  <c r="AV332" i="1"/>
  <c r="BO332" i="1"/>
  <c r="CI332" i="1"/>
  <c r="I332" i="1"/>
  <c r="BT332" i="1"/>
  <c r="AW332" i="1" s="1"/>
  <c r="CJ332" i="1"/>
  <c r="N332" i="1"/>
  <c r="AY332" i="1"/>
  <c r="O332" i="1"/>
  <c r="BA332" i="1"/>
  <c r="BY332" i="1"/>
  <c r="BB332" i="1"/>
  <c r="BC332" i="1"/>
  <c r="BJ332" i="1"/>
  <c r="BK332" i="1" s="1"/>
  <c r="M332" i="1"/>
  <c r="BV332" i="1"/>
  <c r="P332" i="1"/>
  <c r="CA332" i="1" s="1"/>
  <c r="AC332" i="1"/>
  <c r="AI332" i="1"/>
  <c r="AJ332" i="1" s="1"/>
  <c r="CB332" i="1"/>
  <c r="AO332" i="1"/>
  <c r="AW332" i="3" s="1"/>
  <c r="CC332" i="1"/>
  <c r="AS332" i="1"/>
  <c r="CE332" i="1"/>
  <c r="AX332" i="1"/>
  <c r="CG332" i="1"/>
  <c r="B331" i="5"/>
  <c r="AS331" i="1"/>
  <c r="BJ331" i="1"/>
  <c r="CG331" i="1"/>
  <c r="BO331" i="1"/>
  <c r="CI331" i="1"/>
  <c r="AV331" i="1"/>
  <c r="BT331" i="1"/>
  <c r="AW331" i="1" s="1"/>
  <c r="CJ331" i="1"/>
  <c r="I331" i="1"/>
  <c r="BV331" i="1"/>
  <c r="P331" i="1"/>
  <c r="AY331" i="1"/>
  <c r="BY331" i="1"/>
  <c r="S331" i="1"/>
  <c r="BA331" i="1"/>
  <c r="BZ331" i="1"/>
  <c r="AC331" i="1"/>
  <c r="CB331" i="1"/>
  <c r="AI331" i="1"/>
  <c r="CC331" i="1"/>
  <c r="L331" i="1" s="1"/>
  <c r="AO331" i="1"/>
  <c r="AW331" i="3" s="1"/>
  <c r="CE331" i="1"/>
  <c r="AR331" i="1"/>
  <c r="CF331" i="1"/>
  <c r="AT331" i="1"/>
  <c r="AU331" i="1" s="1"/>
  <c r="CH331" i="1"/>
  <c r="AX331" i="1"/>
  <c r="BB331" i="1"/>
  <c r="BC331" i="1"/>
  <c r="BI331" i="1"/>
  <c r="BL331" i="1" s="1"/>
  <c r="BM331" i="1"/>
  <c r="M331" i="1"/>
  <c r="B330" i="5"/>
  <c r="AO330" i="1"/>
  <c r="AD330" i="1" s="1"/>
  <c r="BI330" i="1"/>
  <c r="BL330" i="1" s="1"/>
  <c r="CG330" i="1"/>
  <c r="AS330" i="1"/>
  <c r="BM330" i="1"/>
  <c r="CI330" i="1"/>
  <c r="AT330" i="1"/>
  <c r="AU330" i="1" s="1"/>
  <c r="BO330" i="1"/>
  <c r="CJ330" i="1"/>
  <c r="I330" i="1"/>
  <c r="AV330" i="1"/>
  <c r="BT330" i="1"/>
  <c r="AW330" i="1" s="1"/>
  <c r="O330" i="1"/>
  <c r="AX330" i="1"/>
  <c r="P330" i="1"/>
  <c r="CA330" i="1" s="1"/>
  <c r="AY330" i="1"/>
  <c r="BY330" i="1"/>
  <c r="BA330" i="1"/>
  <c r="BB330" i="1"/>
  <c r="BC330" i="1"/>
  <c r="BJ330" i="1"/>
  <c r="N330" i="1"/>
  <c r="BV330" i="1"/>
  <c r="S330" i="1"/>
  <c r="X330" i="1"/>
  <c r="CB330" i="1"/>
  <c r="AC330" i="1"/>
  <c r="CC330" i="1"/>
  <c r="AI330" i="1"/>
  <c r="CE330" i="1"/>
  <c r="AR330" i="1"/>
  <c r="CF330" i="1"/>
  <c r="CH330" i="1"/>
  <c r="AZ330" i="1"/>
  <c r="M330" i="1"/>
  <c r="B329" i="5"/>
  <c r="O329" i="1"/>
  <c r="CG329" i="1"/>
  <c r="AR329" i="1"/>
  <c r="BM329" i="1"/>
  <c r="AS329" i="1"/>
  <c r="I329" i="1"/>
  <c r="AT329" i="1"/>
  <c r="AU329" i="1" s="1"/>
  <c r="BT329" i="1"/>
  <c r="AW329" i="1" s="1"/>
  <c r="AV329" i="1"/>
  <c r="N329" i="1"/>
  <c r="BY329" i="1"/>
  <c r="X329" i="1"/>
  <c r="AB329" i="1" s="1"/>
  <c r="CC329" i="1"/>
  <c r="L329" i="1" s="1"/>
  <c r="AC329" i="1"/>
  <c r="AO329" i="1"/>
  <c r="AZ329" i="1"/>
  <c r="BA329" i="1"/>
  <c r="BB329" i="1"/>
  <c r="BV329" i="1"/>
  <c r="P329" i="1"/>
  <c r="CA329" i="1" s="1"/>
  <c r="S329" i="1"/>
  <c r="B328" i="5"/>
  <c r="N328" i="1"/>
  <c r="AY328" i="1"/>
  <c r="CB328" i="1"/>
  <c r="P328" i="1"/>
  <c r="CA328" i="1" s="1"/>
  <c r="BC328" i="1"/>
  <c r="CG328" i="1"/>
  <c r="AI328" i="1"/>
  <c r="BJ328" i="1"/>
  <c r="CI328" i="1"/>
  <c r="AO328" i="1"/>
  <c r="BM328" i="1"/>
  <c r="CJ328" i="1"/>
  <c r="AR328" i="1"/>
  <c r="BO328" i="1"/>
  <c r="AT328" i="1"/>
  <c r="AU328" i="1" s="1"/>
  <c r="BV328" i="1"/>
  <c r="BB328" i="1"/>
  <c r="BI328" i="1"/>
  <c r="BL328" i="1" s="1"/>
  <c r="BT328" i="1"/>
  <c r="AW328" i="1" s="1"/>
  <c r="I328" i="1"/>
  <c r="BY328" i="1"/>
  <c r="M328" i="1"/>
  <c r="CC328" i="1"/>
  <c r="L328" i="1" s="1"/>
  <c r="O328" i="1"/>
  <c r="CE328" i="1"/>
  <c r="AC328" i="1"/>
  <c r="CF328" i="1"/>
  <c r="AS328" i="1"/>
  <c r="CH328" i="1"/>
  <c r="AV328" i="1"/>
  <c r="AX328" i="1"/>
  <c r="BA328" i="1"/>
  <c r="B327" i="5"/>
  <c r="M327" i="1"/>
  <c r="AX327" i="1"/>
  <c r="BY327" i="1"/>
  <c r="N327" i="1"/>
  <c r="BA327" i="1"/>
  <c r="CC327" i="1"/>
  <c r="L327" i="1" s="1"/>
  <c r="O327" i="1"/>
  <c r="BB327" i="1"/>
  <c r="CE327" i="1"/>
  <c r="P327" i="1"/>
  <c r="CA327" i="1" s="1"/>
  <c r="BC327" i="1"/>
  <c r="CF327" i="1"/>
  <c r="AI327" i="1"/>
  <c r="BJ327" i="1"/>
  <c r="CH327" i="1"/>
  <c r="AO327" i="1"/>
  <c r="S327" i="1" s="1"/>
  <c r="BM327" i="1"/>
  <c r="CI327" i="1"/>
  <c r="I327" i="1"/>
  <c r="CB327" i="1"/>
  <c r="AC327" i="1"/>
  <c r="CG327" i="1"/>
  <c r="AR327" i="1"/>
  <c r="CJ327" i="1"/>
  <c r="AS327" i="1"/>
  <c r="AT327" i="1"/>
  <c r="AU327" i="1" s="1"/>
  <c r="AV327" i="1"/>
  <c r="AY327" i="1"/>
  <c r="BI327" i="1"/>
  <c r="BL327" i="1" s="1"/>
  <c r="BO327" i="1"/>
  <c r="BT327" i="1"/>
  <c r="AW327" i="1" s="1"/>
  <c r="BV327" i="1"/>
  <c r="B326" i="5"/>
  <c r="AV326" i="1"/>
  <c r="BV326" i="1"/>
  <c r="AR326" i="1"/>
  <c r="BM326" i="1"/>
  <c r="CJ326" i="1"/>
  <c r="AT326" i="1"/>
  <c r="AU326" i="1" s="1"/>
  <c r="BT326" i="1"/>
  <c r="AW326" i="1" s="1"/>
  <c r="BY326" i="1"/>
  <c r="N326" i="1"/>
  <c r="AY326" i="1"/>
  <c r="CC326" i="1"/>
  <c r="O326" i="1"/>
  <c r="BA326" i="1"/>
  <c r="CE326" i="1"/>
  <c r="AS326" i="1"/>
  <c r="CI326" i="1"/>
  <c r="AX326" i="1"/>
  <c r="BB326" i="1"/>
  <c r="BC326" i="1"/>
  <c r="BI326" i="1"/>
  <c r="BL326" i="1" s="1"/>
  <c r="BJ326" i="1"/>
  <c r="BO326" i="1"/>
  <c r="I326" i="1"/>
  <c r="P326" i="1"/>
  <c r="CB326" i="1"/>
  <c r="S326" i="1"/>
  <c r="CF326" i="1"/>
  <c r="AC326" i="1"/>
  <c r="CG326" i="1"/>
  <c r="AO326" i="1"/>
  <c r="CH326" i="1"/>
  <c r="B325" i="5"/>
  <c r="I325" i="1"/>
  <c r="BO325" i="1"/>
  <c r="CJ325" i="1"/>
  <c r="S325" i="1"/>
  <c r="BA325" i="1"/>
  <c r="CE325" i="1"/>
  <c r="AC325" i="1"/>
  <c r="BC325" i="1"/>
  <c r="CG325" i="1"/>
  <c r="AO325" i="1"/>
  <c r="BI325" i="1"/>
  <c r="BL325" i="1" s="1"/>
  <c r="CH325" i="1"/>
  <c r="AR325" i="1"/>
  <c r="BJ325" i="1"/>
  <c r="CI325" i="1"/>
  <c r="AT325" i="1"/>
  <c r="AU325" i="1" s="1"/>
  <c r="BT325" i="1"/>
  <c r="AW325" i="1" s="1"/>
  <c r="AV325" i="1"/>
  <c r="BV325" i="1"/>
  <c r="BB325" i="1"/>
  <c r="BM325" i="1"/>
  <c r="M325" i="1"/>
  <c r="N325" i="1"/>
  <c r="BY325" i="1"/>
  <c r="O325" i="1"/>
  <c r="CB325" i="1"/>
  <c r="P325" i="1"/>
  <c r="CA325" i="1" s="1"/>
  <c r="CC325" i="1"/>
  <c r="X325" i="1"/>
  <c r="Z325" i="1" s="1"/>
  <c r="CF325" i="1"/>
  <c r="AS325" i="1"/>
  <c r="AX325" i="1"/>
  <c r="AY325" i="1"/>
  <c r="AZ325" i="1"/>
  <c r="B324" i="5"/>
  <c r="I324" i="1"/>
  <c r="AV324" i="1"/>
  <c r="BV324" i="1"/>
  <c r="AT324" i="1"/>
  <c r="AU324" i="1" s="1"/>
  <c r="P324" i="1"/>
  <c r="CA324" i="1" s="1"/>
  <c r="BB324" i="1"/>
  <c r="X324" i="1"/>
  <c r="AO324" i="1"/>
  <c r="BM324" i="1"/>
  <c r="AR324" i="1"/>
  <c r="AC324" i="1"/>
  <c r="AS324" i="1"/>
  <c r="BA324" i="1"/>
  <c r="BT324" i="1"/>
  <c r="AW324" i="1" s="1"/>
  <c r="BY324" i="1"/>
  <c r="B323" i="5"/>
  <c r="AT323" i="1"/>
  <c r="AU323" i="1" s="1"/>
  <c r="AC323" i="1"/>
  <c r="AO323" i="1"/>
  <c r="K323" i="1" s="1"/>
  <c r="BY323" i="1"/>
  <c r="BA323" i="1"/>
  <c r="BB323" i="1"/>
  <c r="I323" i="1"/>
  <c r="BT323" i="1"/>
  <c r="AW323" i="1" s="1"/>
  <c r="P323" i="1"/>
  <c r="CA323" i="1" s="1"/>
  <c r="BV323" i="1"/>
  <c r="AR323" i="1"/>
  <c r="AS323" i="1"/>
  <c r="AV323" i="1"/>
  <c r="BM323" i="1"/>
  <c r="B322" i="5"/>
  <c r="AS322" i="1"/>
  <c r="BJ322" i="1"/>
  <c r="CE322" i="1"/>
  <c r="P322" i="1"/>
  <c r="CA322" i="1" s="1"/>
  <c r="AY322" i="1"/>
  <c r="M322" i="1"/>
  <c r="AX322" i="1"/>
  <c r="BY322" i="1"/>
  <c r="N322" i="1"/>
  <c r="AZ322" i="1"/>
  <c r="X322" i="1"/>
  <c r="BC322" i="1"/>
  <c r="CC322" i="1"/>
  <c r="AO322" i="1"/>
  <c r="CG322" i="1"/>
  <c r="AR322" i="1"/>
  <c r="BM322" i="1"/>
  <c r="CH322" i="1"/>
  <c r="AT322" i="1"/>
  <c r="AU322" i="1" s="1"/>
  <c r="BO322" i="1"/>
  <c r="CI322" i="1"/>
  <c r="AV322" i="1"/>
  <c r="BV322" i="1"/>
  <c r="I322" i="1"/>
  <c r="BT322" i="1"/>
  <c r="AW322" i="1" s="1"/>
  <c r="CB322" i="1"/>
  <c r="CF322" i="1"/>
  <c r="O322" i="1"/>
  <c r="CJ322" i="1"/>
  <c r="S322" i="1"/>
  <c r="AC322" i="1"/>
  <c r="BA322" i="1"/>
  <c r="BB322" i="1"/>
  <c r="BI322" i="1"/>
  <c r="BL322" i="1" s="1"/>
  <c r="B321" i="5"/>
  <c r="AS321" i="1"/>
  <c r="BM321" i="1"/>
  <c r="CI321" i="1"/>
  <c r="O321" i="1"/>
  <c r="BA321" i="1"/>
  <c r="CB321" i="1"/>
  <c r="AO321" i="1"/>
  <c r="BO321" i="1"/>
  <c r="AR321" i="1"/>
  <c r="BT321" i="1"/>
  <c r="AW321" i="1" s="1"/>
  <c r="AV321" i="1"/>
  <c r="AX321" i="1"/>
  <c r="BY321" i="1"/>
  <c r="I321" i="1"/>
  <c r="AZ321" i="1"/>
  <c r="CE321" i="1"/>
  <c r="BB321" i="1"/>
  <c r="CF321" i="1"/>
  <c r="N321" i="1"/>
  <c r="BC321" i="1"/>
  <c r="CG321" i="1"/>
  <c r="S321" i="1"/>
  <c r="BJ321" i="1"/>
  <c r="CJ321" i="1"/>
  <c r="AC321" i="1"/>
  <c r="BI321" i="1"/>
  <c r="BL321" i="1" s="1"/>
  <c r="BV321" i="1"/>
  <c r="CC321" i="1"/>
  <c r="L321" i="1" s="1"/>
  <c r="CH321" i="1"/>
  <c r="P321" i="1"/>
  <c r="CA321" i="1" s="1"/>
  <c r="AT321" i="1"/>
  <c r="AU321" i="1" s="1"/>
  <c r="AY321" i="1"/>
  <c r="B320" i="5"/>
  <c r="I320" i="1"/>
  <c r="BM320" i="1"/>
  <c r="CH320" i="1"/>
  <c r="AC320" i="1"/>
  <c r="BC320" i="1"/>
  <c r="O320" i="1"/>
  <c r="BB320" i="1"/>
  <c r="CC320" i="1"/>
  <c r="P320" i="1"/>
  <c r="CA320" i="1" s="1"/>
  <c r="CE320" i="1"/>
  <c r="BI320" i="1"/>
  <c r="BL320" i="1" s="1"/>
  <c r="CG320" i="1"/>
  <c r="AO320" i="1"/>
  <c r="BJ320" i="1"/>
  <c r="CI320" i="1"/>
  <c r="AS320" i="1"/>
  <c r="BO320" i="1"/>
  <c r="AT320" i="1"/>
  <c r="AU320" i="1" s="1"/>
  <c r="BT320" i="1"/>
  <c r="AW320" i="1" s="1"/>
  <c r="AV320" i="1"/>
  <c r="BV320" i="1"/>
  <c r="AX320" i="1"/>
  <c r="M320" i="1"/>
  <c r="AY320" i="1"/>
  <c r="BY320" i="1"/>
  <c r="N320" i="1"/>
  <c r="BA320" i="1"/>
  <c r="CB320" i="1"/>
  <c r="S320" i="1"/>
  <c r="AR320" i="1"/>
  <c r="CF320" i="1"/>
  <c r="CJ320" i="1"/>
  <c r="B319" i="5"/>
  <c r="BT319" i="1"/>
  <c r="AW319" i="1" s="1"/>
  <c r="I319" i="1"/>
  <c r="S319" i="1"/>
  <c r="BB319" i="1"/>
  <c r="CE319" i="1"/>
  <c r="AO319" i="1"/>
  <c r="AI319" i="1" s="1"/>
  <c r="BI319" i="1"/>
  <c r="BL319" i="1" s="1"/>
  <c r="AC319" i="1"/>
  <c r="BV319" i="1"/>
  <c r="AR319" i="1"/>
  <c r="AT319" i="1"/>
  <c r="AU319" i="1" s="1"/>
  <c r="CB319" i="1"/>
  <c r="AV319" i="1"/>
  <c r="CC319" i="1"/>
  <c r="L319" i="1" s="1"/>
  <c r="AY319" i="1"/>
  <c r="CG319" i="1"/>
  <c r="BA319" i="1"/>
  <c r="CH319" i="1"/>
  <c r="BC319" i="1"/>
  <c r="CI319" i="1"/>
  <c r="N319" i="1"/>
  <c r="BJ319" i="1"/>
  <c r="CJ319" i="1"/>
  <c r="O319" i="1"/>
  <c r="BM319" i="1"/>
  <c r="P319" i="1"/>
  <c r="CA319" i="1" s="1"/>
  <c r="BO319" i="1"/>
  <c r="BY319" i="1"/>
  <c r="CF319" i="1"/>
  <c r="AS319" i="1"/>
  <c r="AX319" i="1"/>
  <c r="B318" i="5"/>
  <c r="O318" i="1"/>
  <c r="AY318" i="1"/>
  <c r="AT318" i="1"/>
  <c r="AU318" i="1" s="1"/>
  <c r="BO318" i="1"/>
  <c r="CI318" i="1"/>
  <c r="I318" i="1"/>
  <c r="AV318" i="1"/>
  <c r="BV318" i="1"/>
  <c r="S318" i="1"/>
  <c r="BB318" i="1"/>
  <c r="CB318" i="1"/>
  <c r="AC318" i="1"/>
  <c r="CE318" i="1"/>
  <c r="X318" i="1"/>
  <c r="BT318" i="1"/>
  <c r="AW318" i="1" s="1"/>
  <c r="AO318" i="1"/>
  <c r="AS318" i="1"/>
  <c r="CC318" i="1"/>
  <c r="AZ318" i="1"/>
  <c r="CG318" i="1"/>
  <c r="BA318" i="1"/>
  <c r="CH318" i="1"/>
  <c r="BC318" i="1"/>
  <c r="CJ318" i="1"/>
  <c r="BI318" i="1"/>
  <c r="BL318" i="1" s="1"/>
  <c r="N318" i="1"/>
  <c r="BJ318" i="1"/>
  <c r="P318" i="1"/>
  <c r="CA318" i="1" s="1"/>
  <c r="BM318" i="1"/>
  <c r="AR318" i="1"/>
  <c r="AX318" i="1"/>
  <c r="BY318" i="1"/>
  <c r="CF318" i="1"/>
  <c r="M318" i="1"/>
  <c r="B317" i="5"/>
  <c r="S317" i="1"/>
  <c r="BA317" i="1"/>
  <c r="AS317" i="1"/>
  <c r="BM317" i="1"/>
  <c r="CI317" i="1"/>
  <c r="I317" i="1"/>
  <c r="AV317" i="1"/>
  <c r="BT317" i="1"/>
  <c r="AW317" i="1" s="1"/>
  <c r="O317" i="1"/>
  <c r="AZ317" i="1"/>
  <c r="CB317" i="1"/>
  <c r="X317" i="1"/>
  <c r="Y317" i="1" s="1"/>
  <c r="BC317" i="1"/>
  <c r="CE317" i="1"/>
  <c r="P317" i="1"/>
  <c r="CA317" i="1" s="1"/>
  <c r="BO317" i="1"/>
  <c r="BQ317" i="1" s="1"/>
  <c r="BN317" i="1" s="1"/>
  <c r="AC317" i="1"/>
  <c r="BV317" i="1"/>
  <c r="AO317" i="1"/>
  <c r="AR317" i="1"/>
  <c r="BY317" i="1"/>
  <c r="AT317" i="1"/>
  <c r="AU317" i="1" s="1"/>
  <c r="CC317" i="1"/>
  <c r="AX317" i="1"/>
  <c r="CG317" i="1"/>
  <c r="AY317" i="1"/>
  <c r="CH317" i="1"/>
  <c r="BB317" i="1"/>
  <c r="CJ317" i="1"/>
  <c r="M317" i="1"/>
  <c r="BI317" i="1"/>
  <c r="BL317" i="1" s="1"/>
  <c r="N317" i="1"/>
  <c r="BJ317" i="1"/>
  <c r="CF317" i="1"/>
  <c r="B316" i="5"/>
  <c r="AC316" i="1"/>
  <c r="BB316" i="1"/>
  <c r="CE316" i="1"/>
  <c r="AR316" i="1"/>
  <c r="BJ316" i="1"/>
  <c r="CI316" i="1"/>
  <c r="AT316" i="1"/>
  <c r="AU316" i="1" s="1"/>
  <c r="BO316" i="1"/>
  <c r="I316" i="1"/>
  <c r="AX316" i="1"/>
  <c r="BY316" i="1"/>
  <c r="P316" i="1"/>
  <c r="AZ316" i="1"/>
  <c r="CC316" i="1"/>
  <c r="M316" i="1"/>
  <c r="BM316" i="1"/>
  <c r="S316" i="1"/>
  <c r="BT316" i="1"/>
  <c r="AW316" i="1" s="1"/>
  <c r="X316" i="1"/>
  <c r="BV316" i="1"/>
  <c r="AO316" i="1"/>
  <c r="AS316" i="1"/>
  <c r="CB316" i="1"/>
  <c r="AV316" i="1"/>
  <c r="CG316" i="1"/>
  <c r="CH316" i="1"/>
  <c r="AY316" i="1"/>
  <c r="CJ316" i="1"/>
  <c r="BA316" i="1"/>
  <c r="BC316" i="1"/>
  <c r="BI316" i="1"/>
  <c r="BL316" i="1" s="1"/>
  <c r="CF316" i="1"/>
  <c r="B315" i="5"/>
  <c r="P315" i="1"/>
  <c r="CA315" i="1" s="1"/>
  <c r="BA315" i="1"/>
  <c r="CC315" i="1"/>
  <c r="AZ315" i="1"/>
  <c r="CE315" i="1"/>
  <c r="S315" i="1"/>
  <c r="BC315" i="1"/>
  <c r="CG315" i="1"/>
  <c r="AS315" i="1"/>
  <c r="BO315" i="1"/>
  <c r="BV315" i="1"/>
  <c r="BB315" i="1"/>
  <c r="BI315" i="1"/>
  <c r="BL315" i="1" s="1"/>
  <c r="BJ315" i="1"/>
  <c r="BM315" i="1"/>
  <c r="I315" i="1"/>
  <c r="BT315" i="1"/>
  <c r="AW315" i="1" s="1"/>
  <c r="AC315" i="1"/>
  <c r="AO315" i="1"/>
  <c r="BY315" i="1"/>
  <c r="AR315" i="1"/>
  <c r="CB315" i="1"/>
  <c r="AT315" i="1"/>
  <c r="AU315" i="1" s="1"/>
  <c r="CF315" i="1"/>
  <c r="AV315" i="1"/>
  <c r="CH315" i="1"/>
  <c r="AX315" i="1"/>
  <c r="CI315" i="1"/>
  <c r="AY315" i="1"/>
  <c r="CJ315" i="1"/>
  <c r="B314" i="5"/>
  <c r="O314" i="1"/>
  <c r="AY314" i="1"/>
  <c r="AV314" i="1"/>
  <c r="BT314" i="1"/>
  <c r="AW314" i="1" s="1"/>
  <c r="CJ314" i="1"/>
  <c r="M314" i="1"/>
  <c r="AX314" i="1"/>
  <c r="AI314" i="1"/>
  <c r="CC314" i="1"/>
  <c r="L314" i="1" s="1"/>
  <c r="BI314" i="1"/>
  <c r="BL314" i="1" s="1"/>
  <c r="CF314" i="1"/>
  <c r="BA314" i="1"/>
  <c r="CE314" i="1"/>
  <c r="BB314" i="1"/>
  <c r="CG314" i="1"/>
  <c r="BC314" i="1"/>
  <c r="CH314" i="1"/>
  <c r="I314" i="1"/>
  <c r="CI314" i="1"/>
  <c r="N314" i="1"/>
  <c r="BJ314" i="1"/>
  <c r="P314" i="1"/>
  <c r="BM314" i="1"/>
  <c r="AC314" i="1"/>
  <c r="BO314" i="1"/>
  <c r="AO314" i="1"/>
  <c r="BV314" i="1"/>
  <c r="AR314" i="1"/>
  <c r="AS314" i="1"/>
  <c r="BY314" i="1"/>
  <c r="AT314" i="1"/>
  <c r="AU314" i="1" s="1"/>
  <c r="BZ314" i="1"/>
  <c r="CB314" i="1"/>
  <c r="B313" i="5"/>
  <c r="S313" i="1"/>
  <c r="U313" i="1" s="1"/>
  <c r="AY313" i="1"/>
  <c r="BY313" i="1"/>
  <c r="AR313" i="1"/>
  <c r="BM313" i="1"/>
  <c r="CJ313" i="1"/>
  <c r="AT313" i="1"/>
  <c r="AU313" i="1" s="1"/>
  <c r="BT313" i="1"/>
  <c r="AW313" i="1" s="1"/>
  <c r="AV313" i="1"/>
  <c r="AZ313" i="1"/>
  <c r="CC313" i="1"/>
  <c r="L313" i="1" s="1"/>
  <c r="AC313" i="1"/>
  <c r="BB313" i="1"/>
  <c r="CF313" i="1"/>
  <c r="AS313" i="1"/>
  <c r="CG313" i="1"/>
  <c r="CH313" i="1"/>
  <c r="AX313" i="1"/>
  <c r="CI313" i="1"/>
  <c r="BA313" i="1"/>
  <c r="BC313" i="1"/>
  <c r="BI313" i="1"/>
  <c r="BL313" i="1" s="1"/>
  <c r="I313" i="1"/>
  <c r="BJ313" i="1"/>
  <c r="P313" i="1"/>
  <c r="CA313" i="1" s="1"/>
  <c r="BO313" i="1"/>
  <c r="X313" i="1"/>
  <c r="AB313" i="1" s="1"/>
  <c r="BV313" i="1"/>
  <c r="AI313" i="1"/>
  <c r="AO313" i="1"/>
  <c r="CB313" i="1"/>
  <c r="CE313" i="1"/>
  <c r="B312" i="5"/>
  <c r="S312" i="1"/>
  <c r="W312" i="1" s="1"/>
  <c r="BA312" i="1"/>
  <c r="CB312" i="1"/>
  <c r="AO312" i="1"/>
  <c r="BJ312" i="1"/>
  <c r="CH312" i="1"/>
  <c r="AS312" i="1"/>
  <c r="BO312" i="1"/>
  <c r="CJ312" i="1"/>
  <c r="BV312" i="1"/>
  <c r="I312" i="1"/>
  <c r="AX312" i="1"/>
  <c r="BY312" i="1"/>
  <c r="O312" i="1"/>
  <c r="AZ312" i="1"/>
  <c r="CC312" i="1"/>
  <c r="P312" i="1"/>
  <c r="CA312" i="1" s="1"/>
  <c r="X312" i="1"/>
  <c r="AC312" i="1"/>
  <c r="CE312" i="1"/>
  <c r="AR312" i="1"/>
  <c r="CF312" i="1"/>
  <c r="AT312" i="1"/>
  <c r="AU312" i="1" s="1"/>
  <c r="CG312" i="1"/>
  <c r="AV312" i="1"/>
  <c r="CI312" i="1"/>
  <c r="AY312" i="1"/>
  <c r="BB312" i="1"/>
  <c r="BC312" i="1"/>
  <c r="BI312" i="1"/>
  <c r="BL312" i="1" s="1"/>
  <c r="BM312" i="1"/>
  <c r="N312" i="1"/>
  <c r="BT312" i="1"/>
  <c r="AW312" i="1" s="1"/>
  <c r="M312" i="1"/>
  <c r="B311" i="5"/>
  <c r="CB311" i="1"/>
  <c r="AO311" i="1"/>
  <c r="CE311" i="1"/>
  <c r="AS311" i="1"/>
  <c r="BJ311" i="1"/>
  <c r="CG311" i="1"/>
  <c r="AV311" i="1"/>
  <c r="BO311" i="1"/>
  <c r="CI311" i="1"/>
  <c r="N311" i="1"/>
  <c r="AX311" i="1"/>
  <c r="BV311" i="1"/>
  <c r="O311" i="1"/>
  <c r="AY311" i="1"/>
  <c r="P311" i="1"/>
  <c r="CA311" i="1" s="1"/>
  <c r="AZ311" i="1"/>
  <c r="BY311" i="1"/>
  <c r="BC311" i="1"/>
  <c r="BI311" i="1"/>
  <c r="BL311" i="1" s="1"/>
  <c r="I311" i="1"/>
  <c r="BM311" i="1"/>
  <c r="M311" i="1"/>
  <c r="BT311" i="1"/>
  <c r="AW311" i="1" s="1"/>
  <c r="X311" i="1"/>
  <c r="AC311" i="1"/>
  <c r="AI311" i="1"/>
  <c r="AR311" i="1"/>
  <c r="CC311" i="1"/>
  <c r="AT311" i="1"/>
  <c r="AU311" i="1" s="1"/>
  <c r="CF311" i="1"/>
  <c r="CH311" i="1"/>
  <c r="BA311" i="1"/>
  <c r="CJ311" i="1"/>
  <c r="BB311" i="1"/>
  <c r="B310" i="5"/>
  <c r="BO310" i="1"/>
  <c r="CI310" i="1"/>
  <c r="AO310" i="1"/>
  <c r="AI310" i="1" s="1"/>
  <c r="BJ310" i="1"/>
  <c r="CG310" i="1"/>
  <c r="AS310" i="1"/>
  <c r="BM310" i="1"/>
  <c r="CJ310" i="1"/>
  <c r="AV310" i="1"/>
  <c r="BV310" i="1"/>
  <c r="AX310" i="1"/>
  <c r="BY310" i="1"/>
  <c r="I310" i="1"/>
  <c r="AY310" i="1"/>
  <c r="M310" i="1"/>
  <c r="BA310" i="1"/>
  <c r="CB310" i="1"/>
  <c r="AC310" i="1"/>
  <c r="CF310" i="1"/>
  <c r="AR310" i="1"/>
  <c r="CH310" i="1"/>
  <c r="AT310" i="1"/>
  <c r="AU310" i="1" s="1"/>
  <c r="BB310" i="1"/>
  <c r="BC310" i="1"/>
  <c r="BI310" i="1"/>
  <c r="BL310" i="1" s="1"/>
  <c r="BT310" i="1"/>
  <c r="AW310" i="1" s="1"/>
  <c r="P310" i="1"/>
  <c r="CA310" i="1" s="1"/>
  <c r="CC310" i="1"/>
  <c r="S310" i="1"/>
  <c r="CE310" i="1"/>
  <c r="B309" i="5"/>
  <c r="AR309" i="1"/>
  <c r="P309" i="1"/>
  <c r="CA309" i="1" s="1"/>
  <c r="BA309" i="1"/>
  <c r="AC309" i="1"/>
  <c r="AO309" i="1"/>
  <c r="AW309" i="3" s="1"/>
  <c r="BM309" i="1"/>
  <c r="AS309" i="1"/>
  <c r="AT309" i="1"/>
  <c r="AU309" i="1" s="1"/>
  <c r="BT309" i="1"/>
  <c r="AW309" i="1" s="1"/>
  <c r="BB309" i="1"/>
  <c r="BV309" i="1"/>
  <c r="BY309" i="1"/>
  <c r="I309" i="1"/>
  <c r="AV309" i="1"/>
  <c r="B308" i="5"/>
  <c r="X308" i="1"/>
  <c r="BC308" i="1"/>
  <c r="CE308" i="1"/>
  <c r="AR308" i="1"/>
  <c r="BO308" i="1"/>
  <c r="CJ308" i="1"/>
  <c r="AT308" i="1"/>
  <c r="AU308" i="1" s="1"/>
  <c r="BV308" i="1"/>
  <c r="I308" i="1"/>
  <c r="AX308" i="1"/>
  <c r="BY308" i="1"/>
  <c r="N308" i="1"/>
  <c r="AZ308" i="1"/>
  <c r="CB308" i="1"/>
  <c r="O308" i="1"/>
  <c r="BA308" i="1"/>
  <c r="CC308" i="1"/>
  <c r="P308" i="1"/>
  <c r="CA308" i="1" s="1"/>
  <c r="BB308" i="1"/>
  <c r="CF308" i="1"/>
  <c r="BM308" i="1"/>
  <c r="BT308" i="1"/>
  <c r="AW308" i="1" s="1"/>
  <c r="M308" i="1"/>
  <c r="S308" i="1"/>
  <c r="CG308" i="1"/>
  <c r="AC308" i="1"/>
  <c r="CH308" i="1"/>
  <c r="AO308" i="1"/>
  <c r="CI308" i="1"/>
  <c r="AS308" i="1"/>
  <c r="AV308" i="1"/>
  <c r="AY308" i="1"/>
  <c r="BI308" i="1"/>
  <c r="BL308" i="1" s="1"/>
  <c r="BJ308" i="1"/>
  <c r="B307" i="5"/>
  <c r="P307" i="1"/>
  <c r="CA307" i="1" s="1"/>
  <c r="BC307" i="1"/>
  <c r="CE307" i="1"/>
  <c r="O307" i="1"/>
  <c r="BI307" i="1"/>
  <c r="BL307" i="1" s="1"/>
  <c r="CG307" i="1"/>
  <c r="AC307" i="1"/>
  <c r="BM307" i="1"/>
  <c r="CI307" i="1"/>
  <c r="AR307" i="1"/>
  <c r="BT307" i="1"/>
  <c r="AW307" i="1" s="1"/>
  <c r="AT307" i="1"/>
  <c r="AU307" i="1" s="1"/>
  <c r="AV307" i="1"/>
  <c r="BY307" i="1"/>
  <c r="AX307" i="1"/>
  <c r="S307" i="1"/>
  <c r="CF307" i="1"/>
  <c r="AO307" i="1"/>
  <c r="CH307" i="1"/>
  <c r="AS307" i="1"/>
  <c r="CJ307" i="1"/>
  <c r="AY307" i="1"/>
  <c r="BA307" i="1"/>
  <c r="BB307" i="1"/>
  <c r="BJ307" i="1"/>
  <c r="BO307" i="1"/>
  <c r="BV307" i="1"/>
  <c r="I307" i="1"/>
  <c r="CB307" i="1"/>
  <c r="N307" i="1"/>
  <c r="CC307" i="1"/>
  <c r="B306" i="5"/>
  <c r="S306" i="1"/>
  <c r="BA306" i="1"/>
  <c r="BY306" i="1"/>
  <c r="I306" i="1"/>
  <c r="AX306" i="1"/>
  <c r="BV306" i="1"/>
  <c r="N306" i="1"/>
  <c r="AY306" i="1"/>
  <c r="O306" i="1"/>
  <c r="AZ306" i="1"/>
  <c r="CB306" i="1"/>
  <c r="X306" i="1"/>
  <c r="BC306" i="1"/>
  <c r="CE306" i="1"/>
  <c r="CG306" i="1"/>
  <c r="AO306" i="1"/>
  <c r="AI306" i="1" s="1"/>
  <c r="BI306" i="1"/>
  <c r="BL306" i="1" s="1"/>
  <c r="CH306" i="1"/>
  <c r="AR306" i="1"/>
  <c r="BJ306" i="1"/>
  <c r="CI306" i="1"/>
  <c r="AV306" i="1"/>
  <c r="BB306" i="1"/>
  <c r="BM306" i="1"/>
  <c r="BO306" i="1"/>
  <c r="BT306" i="1"/>
  <c r="AW306" i="1" s="1"/>
  <c r="CC306" i="1"/>
  <c r="P306" i="1"/>
  <c r="CA306" i="1" s="1"/>
  <c r="CF306" i="1"/>
  <c r="AC306" i="1"/>
  <c r="CJ306" i="1"/>
  <c r="AS306" i="1"/>
  <c r="AT306" i="1"/>
  <c r="AU306" i="1" s="1"/>
  <c r="M306" i="1"/>
  <c r="B305" i="5"/>
  <c r="P305" i="1"/>
  <c r="CA305" i="1" s="1"/>
  <c r="BB305" i="1"/>
  <c r="CB305" i="1"/>
  <c r="AT305" i="1"/>
  <c r="AU305" i="1" s="1"/>
  <c r="BT305" i="1"/>
  <c r="AW305" i="1" s="1"/>
  <c r="AV305" i="1"/>
  <c r="BV305" i="1"/>
  <c r="M305" i="1"/>
  <c r="AY305" i="1"/>
  <c r="O305" i="1"/>
  <c r="BC305" i="1"/>
  <c r="CE305" i="1"/>
  <c r="AC305" i="1"/>
  <c r="BI305" i="1"/>
  <c r="BL305" i="1" s="1"/>
  <c r="CF305" i="1"/>
  <c r="AI305" i="1"/>
  <c r="AJ305" i="1" s="1"/>
  <c r="BJ305" i="1"/>
  <c r="CG305" i="1"/>
  <c r="BO305" i="1"/>
  <c r="BY305" i="1"/>
  <c r="I305" i="1"/>
  <c r="CC305" i="1"/>
  <c r="N305" i="1"/>
  <c r="CH305" i="1"/>
  <c r="AO305" i="1"/>
  <c r="CI305" i="1"/>
  <c r="AR305" i="1"/>
  <c r="CJ305" i="1"/>
  <c r="AS305" i="1"/>
  <c r="AX305" i="1"/>
  <c r="BA305" i="1"/>
  <c r="BM305" i="1"/>
  <c r="B304" i="5"/>
  <c r="M304" i="1"/>
  <c r="AV304" i="1"/>
  <c r="AC304" i="1"/>
  <c r="BB304" i="1"/>
  <c r="CB304" i="1"/>
  <c r="BM304" i="1"/>
  <c r="CH304" i="1"/>
  <c r="AO304" i="1"/>
  <c r="S304" i="1" s="1"/>
  <c r="BO304" i="1"/>
  <c r="CI304" i="1"/>
  <c r="AR304" i="1"/>
  <c r="BT304" i="1"/>
  <c r="AW304" i="1" s="1"/>
  <c r="CJ304" i="1"/>
  <c r="AT304" i="1"/>
  <c r="AU304" i="1" s="1"/>
  <c r="AX304" i="1"/>
  <c r="I304" i="1"/>
  <c r="AY304" i="1"/>
  <c r="N304" i="1"/>
  <c r="BA304" i="1"/>
  <c r="CC304" i="1"/>
  <c r="BY304" i="1"/>
  <c r="CE304" i="1"/>
  <c r="O304" i="1"/>
  <c r="CF304" i="1"/>
  <c r="P304" i="1"/>
  <c r="CA304" i="1" s="1"/>
  <c r="CG304" i="1"/>
  <c r="AI304" i="1"/>
  <c r="AS304" i="1"/>
  <c r="BC304" i="1"/>
  <c r="BI304" i="1"/>
  <c r="BL304" i="1" s="1"/>
  <c r="BJ304" i="1"/>
  <c r="BV304" i="1"/>
  <c r="B303" i="5"/>
  <c r="AR303" i="1"/>
  <c r="BA303" i="1"/>
  <c r="AV303" i="1"/>
  <c r="BB303" i="1"/>
  <c r="BM303" i="1"/>
  <c r="BV303" i="1"/>
  <c r="I303" i="1"/>
  <c r="BY303" i="1"/>
  <c r="P303" i="1"/>
  <c r="CA303" i="1" s="1"/>
  <c r="AC303" i="1"/>
  <c r="BT303" i="1"/>
  <c r="AW303" i="1" s="1"/>
  <c r="AO303" i="1"/>
  <c r="BH303" i="1" s="1"/>
  <c r="AS303" i="1"/>
  <c r="AT303" i="1"/>
  <c r="AU303" i="1" s="1"/>
  <c r="B302" i="5"/>
  <c r="S302" i="1"/>
  <c r="BB302" i="1"/>
  <c r="CB302" i="1"/>
  <c r="AS302" i="1"/>
  <c r="CG302" i="1"/>
  <c r="I302" i="1"/>
  <c r="AZ302" i="1"/>
  <c r="CC302" i="1"/>
  <c r="N302" i="1"/>
  <c r="BA302" i="1"/>
  <c r="CE302" i="1"/>
  <c r="O302" i="1"/>
  <c r="BC302" i="1"/>
  <c r="CF302" i="1"/>
  <c r="AC302" i="1"/>
  <c r="BJ302" i="1"/>
  <c r="CI302" i="1"/>
  <c r="AR302" i="1"/>
  <c r="BO302" i="1"/>
  <c r="AT302" i="1"/>
  <c r="AU302" i="1" s="1"/>
  <c r="BT302" i="1"/>
  <c r="AW302" i="1" s="1"/>
  <c r="BV302" i="1"/>
  <c r="AX302" i="1"/>
  <c r="AY302" i="1"/>
  <c r="BI302" i="1"/>
  <c r="BL302" i="1" s="1"/>
  <c r="BM302" i="1"/>
  <c r="BY302" i="1"/>
  <c r="CH302" i="1"/>
  <c r="CJ302" i="1"/>
  <c r="P302" i="1"/>
  <c r="CA302" i="1" s="1"/>
  <c r="AO302" i="1"/>
  <c r="AV302" i="1"/>
  <c r="M302" i="1"/>
  <c r="B301" i="5"/>
  <c r="P301" i="1"/>
  <c r="CA301" i="1" s="1"/>
  <c r="BA301" i="1"/>
  <c r="CB301" i="1"/>
  <c r="BI301" i="1"/>
  <c r="BL301" i="1" s="1"/>
  <c r="CG301" i="1"/>
  <c r="AO301" i="1"/>
  <c r="BM301" i="1"/>
  <c r="AR301" i="1"/>
  <c r="BO301" i="1"/>
  <c r="AS301" i="1"/>
  <c r="BT301" i="1"/>
  <c r="AW301" i="1" s="1"/>
  <c r="AV301" i="1"/>
  <c r="AY301" i="1"/>
  <c r="CC301" i="1"/>
  <c r="I301" i="1"/>
  <c r="AZ301" i="1"/>
  <c r="CE301" i="1"/>
  <c r="N301" i="1"/>
  <c r="BB301" i="1"/>
  <c r="CF301" i="1"/>
  <c r="BC301" i="1"/>
  <c r="BJ301" i="1"/>
  <c r="BV301" i="1"/>
  <c r="BY301" i="1"/>
  <c r="CH301" i="1"/>
  <c r="O301" i="1"/>
  <c r="CI301" i="1"/>
  <c r="S301" i="1"/>
  <c r="CJ301" i="1"/>
  <c r="AC301" i="1"/>
  <c r="AT301" i="1"/>
  <c r="AU301" i="1" s="1"/>
  <c r="AX301" i="1"/>
  <c r="M301" i="1"/>
  <c r="B300" i="5"/>
  <c r="I300" i="1"/>
  <c r="BA300" i="1"/>
  <c r="P300" i="1"/>
  <c r="CA300" i="1" s="1"/>
  <c r="AC300" i="1"/>
  <c r="BM300" i="1"/>
  <c r="AO300" i="1"/>
  <c r="AR300" i="1"/>
  <c r="BT300" i="1"/>
  <c r="AW300" i="1" s="1"/>
  <c r="AT300" i="1"/>
  <c r="AU300" i="1" s="1"/>
  <c r="BB300" i="1"/>
  <c r="BV300" i="1"/>
  <c r="BY300" i="1"/>
  <c r="AS300" i="1"/>
  <c r="AV300" i="1"/>
  <c r="B299" i="5"/>
  <c r="S299" i="1"/>
  <c r="AZ299" i="1"/>
  <c r="BY299" i="1"/>
  <c r="AO299" i="1"/>
  <c r="CE299" i="1"/>
  <c r="AI299" i="1"/>
  <c r="BJ299" i="1"/>
  <c r="CI299" i="1"/>
  <c r="AR299" i="1"/>
  <c r="BM299" i="1"/>
  <c r="CJ299" i="1"/>
  <c r="AS299" i="1"/>
  <c r="BO299" i="1"/>
  <c r="AV299" i="1"/>
  <c r="BV299" i="1"/>
  <c r="I299" i="1"/>
  <c r="AX299" i="1"/>
  <c r="N299" i="1"/>
  <c r="AY299" i="1"/>
  <c r="CB299" i="1"/>
  <c r="O299" i="1"/>
  <c r="BA299" i="1"/>
  <c r="CC299" i="1"/>
  <c r="X299" i="1"/>
  <c r="Z299" i="1" s="1"/>
  <c r="BC299" i="1"/>
  <c r="CG299" i="1"/>
  <c r="AC299" i="1"/>
  <c r="AT299" i="1"/>
  <c r="AU299" i="1" s="1"/>
  <c r="BB299" i="1"/>
  <c r="BI299" i="1"/>
  <c r="BL299" i="1" s="1"/>
  <c r="BT299" i="1"/>
  <c r="AW299" i="1" s="1"/>
  <c r="CF299" i="1"/>
  <c r="CH299" i="1"/>
  <c r="P299" i="1"/>
  <c r="CA299" i="1" s="1"/>
  <c r="M299" i="1"/>
  <c r="B298" i="5"/>
  <c r="P298" i="1"/>
  <c r="BB298" i="1"/>
  <c r="CB298" i="1"/>
  <c r="AR298" i="1"/>
  <c r="BI298" i="1"/>
  <c r="BL298" i="1" s="1"/>
  <c r="CG298" i="1"/>
  <c r="I298" i="1"/>
  <c r="AV298" i="1"/>
  <c r="AZ298" i="1"/>
  <c r="CC298" i="1"/>
  <c r="L298" i="1" s="1"/>
  <c r="J298" i="1"/>
  <c r="BA298" i="1"/>
  <c r="CE298" i="1"/>
  <c r="M298" i="1"/>
  <c r="BC298" i="1"/>
  <c r="CF298" i="1"/>
  <c r="O298" i="1"/>
  <c r="CI298" i="1"/>
  <c r="S298" i="1"/>
  <c r="BJ298" i="1"/>
  <c r="CJ298" i="1"/>
  <c r="AC298" i="1"/>
  <c r="BM298" i="1"/>
  <c r="AO298" i="1"/>
  <c r="BO298" i="1"/>
  <c r="AS298" i="1"/>
  <c r="BT298" i="1"/>
  <c r="AW298" i="1" s="1"/>
  <c r="AX298" i="1"/>
  <c r="N298" i="1"/>
  <c r="AV258" i="3" s="1"/>
  <c r="AT298" i="1"/>
  <c r="AU298" i="1" s="1"/>
  <c r="AY298" i="1"/>
  <c r="BV298" i="1"/>
  <c r="BY298" i="1"/>
  <c r="CH298" i="1"/>
  <c r="B297" i="5"/>
  <c r="X297" i="1"/>
  <c r="BB297" i="1"/>
  <c r="CC297" i="1"/>
  <c r="BJ297" i="1"/>
  <c r="CH297" i="1"/>
  <c r="I297" i="1"/>
  <c r="AT297" i="1"/>
  <c r="AU297" i="1" s="1"/>
  <c r="BT297" i="1"/>
  <c r="AW297" i="1" s="1"/>
  <c r="CJ297" i="1"/>
  <c r="S297" i="1"/>
  <c r="BI297" i="1"/>
  <c r="BL297" i="1" s="1"/>
  <c r="AC297" i="1"/>
  <c r="BM297" i="1"/>
  <c r="AO297" i="1"/>
  <c r="BV297" i="1"/>
  <c r="AR297" i="1"/>
  <c r="AS297" i="1"/>
  <c r="BY297" i="1"/>
  <c r="AV297" i="1"/>
  <c r="CB297" i="1"/>
  <c r="AX297" i="1"/>
  <c r="CE297" i="1"/>
  <c r="M297" i="1"/>
  <c r="BA297" i="1"/>
  <c r="CG297" i="1"/>
  <c r="CF297" i="1"/>
  <c r="CI297" i="1"/>
  <c r="P297" i="1"/>
  <c r="AI297" i="1"/>
  <c r="AK297" i="1" s="1"/>
  <c r="AY297" i="1"/>
  <c r="BC297" i="1"/>
  <c r="BO297" i="1"/>
  <c r="B296" i="5"/>
  <c r="AI296" i="1"/>
  <c r="AL296" i="1" s="1"/>
  <c r="BC296" i="1"/>
  <c r="CC296" i="1"/>
  <c r="I296" i="1"/>
  <c r="AS296" i="1"/>
  <c r="BM296" i="1"/>
  <c r="CH296" i="1"/>
  <c r="AV296" i="1"/>
  <c r="BV296" i="1"/>
  <c r="AO296" i="1"/>
  <c r="BT296" i="1"/>
  <c r="AW296" i="1" s="1"/>
  <c r="AR296" i="1"/>
  <c r="AT296" i="1"/>
  <c r="AU296" i="1" s="1"/>
  <c r="BY296" i="1"/>
  <c r="AX296" i="1"/>
  <c r="CB296" i="1"/>
  <c r="M296" i="1"/>
  <c r="AY296" i="1"/>
  <c r="CE296" i="1"/>
  <c r="BA296" i="1"/>
  <c r="CF296" i="1"/>
  <c r="P296" i="1"/>
  <c r="BB296" i="1"/>
  <c r="CG296" i="1"/>
  <c r="S296" i="1"/>
  <c r="BI296" i="1"/>
  <c r="BL296" i="1" s="1"/>
  <c r="CI296" i="1"/>
  <c r="AC296" i="1"/>
  <c r="BJ296" i="1"/>
  <c r="BO296" i="1"/>
  <c r="CJ296" i="1"/>
  <c r="X296" i="1"/>
  <c r="AB296" i="1" s="1"/>
  <c r="B295" i="5"/>
  <c r="I295" i="1"/>
  <c r="BT295" i="1"/>
  <c r="AW295" i="1" s="1"/>
  <c r="AR295" i="1"/>
  <c r="AV295" i="1"/>
  <c r="BB295" i="1"/>
  <c r="BM295" i="1"/>
  <c r="BV295" i="1"/>
  <c r="BY295" i="1"/>
  <c r="P295" i="1"/>
  <c r="CA295" i="1" s="1"/>
  <c r="AC295" i="1"/>
  <c r="AO295" i="1"/>
  <c r="AS295" i="1"/>
  <c r="AT295" i="1"/>
  <c r="AU295" i="1" s="1"/>
  <c r="BA295" i="1"/>
  <c r="B294" i="5"/>
  <c r="AV294" i="1"/>
  <c r="BT294" i="1"/>
  <c r="AW294" i="1" s="1"/>
  <c r="O294" i="1"/>
  <c r="AZ294" i="1"/>
  <c r="CB294" i="1"/>
  <c r="AC294" i="1"/>
  <c r="BC294" i="1"/>
  <c r="CF294" i="1"/>
  <c r="AX294" i="1"/>
  <c r="CE294" i="1"/>
  <c r="AY294" i="1"/>
  <c r="CG294" i="1"/>
  <c r="BA294" i="1"/>
  <c r="CH294" i="1"/>
  <c r="I294" i="1"/>
  <c r="BB294" i="1"/>
  <c r="CI294" i="1"/>
  <c r="N294" i="1"/>
  <c r="BI294" i="1"/>
  <c r="BL294" i="1" s="1"/>
  <c r="CJ294" i="1"/>
  <c r="P294" i="1"/>
  <c r="CA294" i="1" s="1"/>
  <c r="BJ294" i="1"/>
  <c r="S294" i="1"/>
  <c r="BM294" i="1"/>
  <c r="AO294" i="1"/>
  <c r="AI294" i="1" s="1"/>
  <c r="BO294" i="1"/>
  <c r="AR294" i="1"/>
  <c r="BV294" i="1"/>
  <c r="AS294" i="1"/>
  <c r="AT294" i="1"/>
  <c r="AU294" i="1" s="1"/>
  <c r="BY294" i="1"/>
  <c r="CC294" i="1"/>
  <c r="M294" i="1"/>
  <c r="B293" i="5"/>
  <c r="AV293" i="1"/>
  <c r="BO293" i="1"/>
  <c r="CI293" i="1"/>
  <c r="P293" i="1"/>
  <c r="CA293" i="1" s="1"/>
  <c r="BA293" i="1"/>
  <c r="BY293" i="1"/>
  <c r="AO293" i="1"/>
  <c r="CC293" i="1"/>
  <c r="N293" i="1"/>
  <c r="BC293" i="1"/>
  <c r="CG293" i="1"/>
  <c r="O293" i="1"/>
  <c r="CH293" i="1"/>
  <c r="S293" i="1"/>
  <c r="BI293" i="1"/>
  <c r="BL293" i="1" s="1"/>
  <c r="CJ293" i="1"/>
  <c r="AC293" i="1"/>
  <c r="BJ293" i="1"/>
  <c r="AR293" i="1"/>
  <c r="BM293" i="1"/>
  <c r="AS293" i="1"/>
  <c r="BT293" i="1"/>
  <c r="AW293" i="1" s="1"/>
  <c r="AT293" i="1"/>
  <c r="AU293" i="1" s="1"/>
  <c r="BV293" i="1"/>
  <c r="AX293" i="1"/>
  <c r="AY293" i="1"/>
  <c r="CB293" i="1"/>
  <c r="AZ293" i="1"/>
  <c r="CE293" i="1"/>
  <c r="I293" i="1"/>
  <c r="BB293" i="1"/>
  <c r="CF293" i="1"/>
  <c r="M293" i="1"/>
  <c r="B292" i="5"/>
  <c r="I292" i="1"/>
  <c r="AT292" i="1"/>
  <c r="AU292" i="1" s="1"/>
  <c r="BT292" i="1"/>
  <c r="AW292" i="1" s="1"/>
  <c r="CJ292" i="1"/>
  <c r="P292" i="1"/>
  <c r="CA292" i="1" s="1"/>
  <c r="BA292" i="1"/>
  <c r="AI292" i="1"/>
  <c r="BI292" i="1"/>
  <c r="BL292" i="1" s="1"/>
  <c r="CE292" i="1"/>
  <c r="AC292" i="1"/>
  <c r="BM292" i="1"/>
  <c r="BO292" i="1"/>
  <c r="AO292" i="1"/>
  <c r="BV292" i="1"/>
  <c r="AR292" i="1"/>
  <c r="AS292" i="1"/>
  <c r="BY292" i="1"/>
  <c r="AV292" i="1"/>
  <c r="CB292" i="1"/>
  <c r="AX292" i="1"/>
  <c r="CC292" i="1"/>
  <c r="L292" i="1" s="1"/>
  <c r="AY292" i="1"/>
  <c r="CF292" i="1"/>
  <c r="M292" i="1"/>
  <c r="BB292" i="1"/>
  <c r="CG292" i="1"/>
  <c r="BC292" i="1"/>
  <c r="CH292" i="1"/>
  <c r="BJ292" i="1"/>
  <c r="CI292" i="1"/>
  <c r="S292" i="1"/>
  <c r="B291" i="5"/>
  <c r="AV291" i="1"/>
  <c r="BV291" i="1"/>
  <c r="X291" i="1"/>
  <c r="BB291" i="1"/>
  <c r="CB291" i="1"/>
  <c r="AC291" i="1"/>
  <c r="AO291" i="1"/>
  <c r="BJ291" i="1"/>
  <c r="CF291" i="1"/>
  <c r="AT291" i="1"/>
  <c r="AU291" i="1" s="1"/>
  <c r="BY291" i="1"/>
  <c r="AX291" i="1"/>
  <c r="CC291" i="1"/>
  <c r="L291" i="1" s="1"/>
  <c r="AY291" i="1"/>
  <c r="CE291" i="1"/>
  <c r="BA291" i="1"/>
  <c r="CG291" i="1"/>
  <c r="BC291" i="1"/>
  <c r="CH291" i="1"/>
  <c r="I291" i="1"/>
  <c r="BI291" i="1"/>
  <c r="BL291" i="1" s="1"/>
  <c r="CI291" i="1"/>
  <c r="P291" i="1"/>
  <c r="CA291" i="1" s="1"/>
  <c r="CJ291" i="1"/>
  <c r="S291" i="1"/>
  <c r="BM291" i="1"/>
  <c r="AI291" i="1"/>
  <c r="BO291" i="1"/>
  <c r="AR291" i="1"/>
  <c r="BT291" i="1"/>
  <c r="AW291" i="1" s="1"/>
  <c r="AS291" i="1"/>
  <c r="B290" i="5"/>
  <c r="M290" i="1"/>
  <c r="BT290" i="1"/>
  <c r="AW290" i="1" s="1"/>
  <c r="CJ290" i="1"/>
  <c r="AC290" i="1"/>
  <c r="BA290" i="1"/>
  <c r="AI290" i="1"/>
  <c r="BB290" i="1"/>
  <c r="CB290" i="1"/>
  <c r="AR290" i="1"/>
  <c r="CE290" i="1"/>
  <c r="BY290" i="1"/>
  <c r="AV290" i="1"/>
  <c r="CC290" i="1"/>
  <c r="AX290" i="1"/>
  <c r="CF290" i="1"/>
  <c r="AY290" i="1"/>
  <c r="CG290" i="1"/>
  <c r="AZ290" i="1"/>
  <c r="CH290" i="1"/>
  <c r="I290" i="1"/>
  <c r="BM290" i="1" s="1"/>
  <c r="BC290" i="1"/>
  <c r="CI290" i="1"/>
  <c r="P290" i="1"/>
  <c r="CA290" i="1" s="1"/>
  <c r="BI290" i="1"/>
  <c r="BL290" i="1" s="1"/>
  <c r="S290" i="1"/>
  <c r="BJ290" i="1"/>
  <c r="X290" i="1"/>
  <c r="Y290" i="1" s="1"/>
  <c r="AO290" i="1"/>
  <c r="BO290" i="1"/>
  <c r="AS290" i="1"/>
  <c r="BV290" i="1"/>
  <c r="AT290" i="1"/>
  <c r="AU290" i="1" s="1"/>
  <c r="B289" i="5"/>
  <c r="AV289" i="1"/>
  <c r="BV289" i="1"/>
  <c r="P289" i="1"/>
  <c r="CA289" i="1" s="1"/>
  <c r="BA289" i="1"/>
  <c r="CC289" i="1"/>
  <c r="L289" i="1" s="1"/>
  <c r="S289" i="1"/>
  <c r="BB289" i="1"/>
  <c r="CE289" i="1"/>
  <c r="AC289" i="1"/>
  <c r="BC289" i="1"/>
  <c r="CF289" i="1"/>
  <c r="AI289" i="1"/>
  <c r="BI289" i="1"/>
  <c r="BL289" i="1" s="1"/>
  <c r="CG289" i="1"/>
  <c r="AS289" i="1"/>
  <c r="BO289" i="1"/>
  <c r="CJ289" i="1"/>
  <c r="BY289" i="1"/>
  <c r="I289" i="1"/>
  <c r="CB289" i="1"/>
  <c r="AO289" i="1"/>
  <c r="J289" i="1" s="1"/>
  <c r="CH289" i="1"/>
  <c r="AR289" i="1"/>
  <c r="CI289" i="1"/>
  <c r="AT289" i="1"/>
  <c r="AU289" i="1" s="1"/>
  <c r="AX289" i="1"/>
  <c r="AY289" i="1"/>
  <c r="AZ289" i="1"/>
  <c r="BJ289" i="1"/>
  <c r="BZ289" i="1" s="1"/>
  <c r="BM289" i="1"/>
  <c r="BT289" i="1"/>
  <c r="AW289" i="1" s="1"/>
  <c r="M289" i="1"/>
  <c r="B288" i="5"/>
  <c r="AR288" i="1"/>
  <c r="CH288" i="1"/>
  <c r="BV288" i="1"/>
  <c r="AX288" i="1"/>
  <c r="I288" i="1"/>
  <c r="AY288" i="1"/>
  <c r="BY288" i="1"/>
  <c r="P288" i="1"/>
  <c r="CA288" i="1" s="1"/>
  <c r="BA288" i="1"/>
  <c r="CB288" i="1"/>
  <c r="AI288" i="1"/>
  <c r="AL288" i="1" s="1"/>
  <c r="BI288" i="1"/>
  <c r="BL288" i="1" s="1"/>
  <c r="CF288" i="1"/>
  <c r="AT288" i="1"/>
  <c r="AU288" i="1" s="1"/>
  <c r="CI288" i="1"/>
  <c r="AV288" i="1"/>
  <c r="CJ288" i="1"/>
  <c r="BB288" i="1"/>
  <c r="BC288" i="1"/>
  <c r="BJ288" i="1"/>
  <c r="BM288" i="1"/>
  <c r="BO288" i="1"/>
  <c r="BT288" i="1"/>
  <c r="AW288" i="1" s="1"/>
  <c r="S288" i="1"/>
  <c r="AC288" i="1"/>
  <c r="CC288" i="1"/>
  <c r="AO288" i="1"/>
  <c r="CE288" i="1"/>
  <c r="AS288" i="1"/>
  <c r="CG288" i="1"/>
  <c r="B287" i="5"/>
  <c r="AO287" i="1"/>
  <c r="BI287" i="1"/>
  <c r="BL287" i="1" s="1"/>
  <c r="CE287" i="1"/>
  <c r="BO287" i="1"/>
  <c r="CI287" i="1"/>
  <c r="AV287" i="1"/>
  <c r="BT287" i="1"/>
  <c r="AW287" i="1" s="1"/>
  <c r="CJ287" i="1"/>
  <c r="I287" i="1"/>
  <c r="BV287" i="1"/>
  <c r="M287" i="1"/>
  <c r="AX287" i="1"/>
  <c r="AC287" i="1"/>
  <c r="BB287" i="1"/>
  <c r="CB287" i="1"/>
  <c r="BM287" i="1"/>
  <c r="P287" i="1"/>
  <c r="CA287" i="1" s="1"/>
  <c r="S287" i="1"/>
  <c r="BY287" i="1"/>
  <c r="AI287" i="1"/>
  <c r="AM287" i="1" s="1"/>
  <c r="AR287" i="1"/>
  <c r="CC287" i="1"/>
  <c r="L287" i="1" s="1"/>
  <c r="AS287" i="1"/>
  <c r="CF287" i="1"/>
  <c r="AT287" i="1"/>
  <c r="AU287" i="1" s="1"/>
  <c r="CG287" i="1"/>
  <c r="AY287" i="1"/>
  <c r="CH287" i="1"/>
  <c r="BA287" i="1"/>
  <c r="BC287" i="1"/>
  <c r="BJ287" i="1"/>
  <c r="B286" i="5"/>
  <c r="AC286" i="1"/>
  <c r="BA286" i="1"/>
  <c r="CC286" i="1"/>
  <c r="AR286" i="1"/>
  <c r="BI286" i="1"/>
  <c r="BL286" i="1" s="1"/>
  <c r="O286" i="1"/>
  <c r="AY286" i="1"/>
  <c r="CE286" i="1"/>
  <c r="AI286" i="1"/>
  <c r="BJ286" i="1"/>
  <c r="CI286" i="1"/>
  <c r="AO286" i="1"/>
  <c r="BM286" i="1"/>
  <c r="CJ286" i="1"/>
  <c r="AS286" i="1"/>
  <c r="BO286" i="1"/>
  <c r="AT286" i="1"/>
  <c r="AU286" i="1" s="1"/>
  <c r="BT286" i="1"/>
  <c r="AW286" i="1" s="1"/>
  <c r="M286" i="1"/>
  <c r="BY286" i="1"/>
  <c r="S286" i="1"/>
  <c r="T286" i="1" s="1"/>
  <c r="CH286" i="1"/>
  <c r="AV286" i="1"/>
  <c r="AX286" i="1"/>
  <c r="AZ286" i="1"/>
  <c r="BB286" i="1"/>
  <c r="BC286" i="1"/>
  <c r="BV286" i="1"/>
  <c r="I286" i="1"/>
  <c r="N286" i="1"/>
  <c r="AV301" i="3" s="1"/>
  <c r="CB286" i="1"/>
  <c r="P286" i="1"/>
  <c r="CA286" i="1" s="1"/>
  <c r="CF286" i="1"/>
  <c r="CG286" i="1"/>
  <c r="B285" i="5"/>
  <c r="AI285" i="1"/>
  <c r="BI285" i="1"/>
  <c r="BL285" i="1" s="1"/>
  <c r="CF285" i="1"/>
  <c r="AS285" i="1"/>
  <c r="BM285" i="1"/>
  <c r="CI285" i="1"/>
  <c r="AT285" i="1"/>
  <c r="AU285" i="1" s="1"/>
  <c r="BV285" i="1"/>
  <c r="I285" i="1"/>
  <c r="AY285" i="1"/>
  <c r="CC285" i="1"/>
  <c r="BA285" i="1"/>
  <c r="CE285" i="1"/>
  <c r="N285" i="1"/>
  <c r="BB285" i="1"/>
  <c r="CG285" i="1"/>
  <c r="O285" i="1"/>
  <c r="BC285" i="1"/>
  <c r="CH285" i="1"/>
  <c r="AO285" i="1"/>
  <c r="BO285" i="1"/>
  <c r="AX285" i="1"/>
  <c r="BJ285" i="1"/>
  <c r="BT285" i="1"/>
  <c r="AW285" i="1" s="1"/>
  <c r="BY285" i="1"/>
  <c r="CB285" i="1"/>
  <c r="CJ285" i="1"/>
  <c r="P285" i="1"/>
  <c r="CA285" i="1" s="1"/>
  <c r="AC285" i="1"/>
  <c r="AR285" i="1"/>
  <c r="AV285" i="1"/>
  <c r="B284" i="5"/>
  <c r="AO284" i="1"/>
  <c r="CE284" i="1"/>
  <c r="AT284" i="1"/>
  <c r="AU284" i="1" s="1"/>
  <c r="BM284" i="1"/>
  <c r="CH284" i="1"/>
  <c r="O284" i="1"/>
  <c r="BB284" i="1"/>
  <c r="CF284" i="1"/>
  <c r="P284" i="1"/>
  <c r="CA284" i="1" s="1"/>
  <c r="BC284" i="1"/>
  <c r="CG284" i="1"/>
  <c r="AR284" i="1"/>
  <c r="BO284" i="1"/>
  <c r="AS284" i="1"/>
  <c r="BT284" i="1"/>
  <c r="AW284" i="1" s="1"/>
  <c r="BV284" i="1"/>
  <c r="AV284" i="1"/>
  <c r="I284" i="1"/>
  <c r="AY284" i="1"/>
  <c r="CB284" i="1"/>
  <c r="BI284" i="1"/>
  <c r="BL284" i="1" s="1"/>
  <c r="BJ284" i="1"/>
  <c r="BY284" i="1"/>
  <c r="CC284" i="1"/>
  <c r="N284" i="1"/>
  <c r="CI284" i="1"/>
  <c r="S284" i="1"/>
  <c r="CJ284" i="1"/>
  <c r="AC284" i="1"/>
  <c r="AX284" i="1"/>
  <c r="BA284" i="1"/>
  <c r="M284" i="1"/>
  <c r="B283" i="5"/>
  <c r="AO283" i="1"/>
  <c r="CE283" i="1"/>
  <c r="AS283" i="1"/>
  <c r="CH283" i="1"/>
  <c r="AT283" i="1"/>
  <c r="AU283" i="1" s="1"/>
  <c r="BT283" i="1"/>
  <c r="AW283" i="1" s="1"/>
  <c r="AV283" i="1"/>
  <c r="BV283" i="1"/>
  <c r="I283" i="1"/>
  <c r="AY283" i="1"/>
  <c r="CB283" i="1"/>
  <c r="P283" i="1"/>
  <c r="CA283" i="1" s="1"/>
  <c r="BA283" i="1"/>
  <c r="CC283" i="1"/>
  <c r="L283" i="1" s="1"/>
  <c r="S283" i="1"/>
  <c r="BB283" i="1"/>
  <c r="CF283" i="1"/>
  <c r="AC283" i="1"/>
  <c r="BC283" i="1"/>
  <c r="CG283" i="1"/>
  <c r="AI283" i="1"/>
  <c r="AL283" i="1" s="1"/>
  <c r="BM283" i="1"/>
  <c r="BJ283" i="1"/>
  <c r="BO283" i="1"/>
  <c r="BY283" i="1"/>
  <c r="CI283" i="1"/>
  <c r="CJ283" i="1"/>
  <c r="AR283" i="1"/>
  <c r="AX283" i="1"/>
  <c r="BI283" i="1"/>
  <c r="BL283" i="1" s="1"/>
  <c r="M283" i="1"/>
  <c r="B282" i="5"/>
  <c r="AC282" i="1"/>
  <c r="BI282" i="1"/>
  <c r="BL282" i="1" s="1"/>
  <c r="CG282" i="1"/>
  <c r="AR282" i="1"/>
  <c r="BO282" i="1"/>
  <c r="CJ282" i="1"/>
  <c r="N282" i="1"/>
  <c r="BB282" i="1"/>
  <c r="CH282" i="1"/>
  <c r="O282" i="1"/>
  <c r="BC282" i="1"/>
  <c r="CI282" i="1"/>
  <c r="P282" i="1"/>
  <c r="BJ282" i="1"/>
  <c r="AI282" i="1"/>
  <c r="BT282" i="1"/>
  <c r="AW282" i="1" s="1"/>
  <c r="AO282" i="1"/>
  <c r="BV282" i="1"/>
  <c r="AS282" i="1"/>
  <c r="AT282" i="1"/>
  <c r="AU282" i="1" s="1"/>
  <c r="BY282" i="1"/>
  <c r="AV282" i="1"/>
  <c r="CB282" i="1"/>
  <c r="AY282" i="1"/>
  <c r="CE282" i="1"/>
  <c r="X282" i="1"/>
  <c r="Z282" i="1" s="1"/>
  <c r="AX282" i="1"/>
  <c r="BA282" i="1"/>
  <c r="BM282" i="1"/>
  <c r="CC282" i="1"/>
  <c r="CF282" i="1"/>
  <c r="I282" i="1"/>
  <c r="B281" i="5"/>
  <c r="P281" i="1"/>
  <c r="CA281" i="1" s="1"/>
  <c r="BB281" i="1"/>
  <c r="CC281" i="1"/>
  <c r="AO281" i="1"/>
  <c r="BJ281" i="1"/>
  <c r="CG281" i="1"/>
  <c r="AR281" i="1"/>
  <c r="BT281" i="1"/>
  <c r="AW281" i="1" s="1"/>
  <c r="AS281" i="1"/>
  <c r="BV281" i="1"/>
  <c r="AT281" i="1"/>
  <c r="AU281" i="1" s="1"/>
  <c r="AV281" i="1"/>
  <c r="AX281" i="1"/>
  <c r="CB281" i="1"/>
  <c r="I281" i="1"/>
  <c r="AY281" i="1"/>
  <c r="CE281" i="1"/>
  <c r="M281" i="1"/>
  <c r="BA281" i="1"/>
  <c r="CF281" i="1"/>
  <c r="N281" i="1"/>
  <c r="BC281" i="1"/>
  <c r="CH281" i="1"/>
  <c r="O281" i="1"/>
  <c r="BI281" i="1"/>
  <c r="BL281" i="1" s="1"/>
  <c r="AC281" i="1"/>
  <c r="BM281" i="1"/>
  <c r="CJ281" i="1"/>
  <c r="AI281" i="1"/>
  <c r="BO281" i="1"/>
  <c r="BY281" i="1"/>
  <c r="CI281" i="1"/>
  <c r="B280" i="5"/>
  <c r="S280" i="1"/>
  <c r="AZ280" i="1"/>
  <c r="CB280" i="1"/>
  <c r="AO280" i="1"/>
  <c r="AW280" i="3" s="1"/>
  <c r="BC280" i="1"/>
  <c r="CF280" i="1"/>
  <c r="M280" i="1"/>
  <c r="AX280" i="1"/>
  <c r="CC280" i="1"/>
  <c r="L280" i="1" s="1"/>
  <c r="N280" i="1"/>
  <c r="AY280" i="1"/>
  <c r="CE280" i="1"/>
  <c r="O280" i="1"/>
  <c r="BA280" i="1"/>
  <c r="CG280" i="1"/>
  <c r="X280" i="1"/>
  <c r="AA280" i="1" s="1"/>
  <c r="BI280" i="1"/>
  <c r="BL280" i="1" s="1"/>
  <c r="CI280" i="1"/>
  <c r="AC280" i="1"/>
  <c r="BJ280" i="1"/>
  <c r="CJ280" i="1"/>
  <c r="AR280" i="1"/>
  <c r="BM280" i="1"/>
  <c r="AS280" i="1"/>
  <c r="BO280" i="1"/>
  <c r="AT280" i="1"/>
  <c r="AU280" i="1" s="1"/>
  <c r="BT280" i="1"/>
  <c r="AW280" i="1" s="1"/>
  <c r="BV280" i="1"/>
  <c r="AV280" i="1"/>
  <c r="BB280" i="1"/>
  <c r="BY280" i="1"/>
  <c r="CH280" i="1"/>
  <c r="I280" i="1"/>
  <c r="P280" i="1"/>
  <c r="CA280" i="1" s="1"/>
  <c r="B279" i="5"/>
  <c r="AS279" i="1"/>
  <c r="P279" i="1"/>
  <c r="BB279" i="1"/>
  <c r="CC279" i="1"/>
  <c r="AO279" i="1"/>
  <c r="BI279" i="1"/>
  <c r="BL279" i="1" s="1"/>
  <c r="CG279" i="1"/>
  <c r="AR279" i="1"/>
  <c r="BO279" i="1"/>
  <c r="AT279" i="1"/>
  <c r="AU279" i="1" s="1"/>
  <c r="BT279" i="1"/>
  <c r="AW279" i="1" s="1"/>
  <c r="BV279" i="1"/>
  <c r="AX279" i="1"/>
  <c r="BY279" i="1"/>
  <c r="AY279" i="1"/>
  <c r="CB279" i="1"/>
  <c r="AZ279" i="1"/>
  <c r="CE279" i="1"/>
  <c r="BA279" i="1"/>
  <c r="CF279" i="1"/>
  <c r="I279" i="1"/>
  <c r="BC279" i="1"/>
  <c r="CH279" i="1"/>
  <c r="J279" i="1"/>
  <c r="CD279" i="1" s="1"/>
  <c r="CI279" i="1"/>
  <c r="S279" i="1"/>
  <c r="T279" i="1" s="1"/>
  <c r="BJ279" i="1"/>
  <c r="CJ279" i="1"/>
  <c r="AC279" i="1"/>
  <c r="AV279" i="1"/>
  <c r="BM279" i="1"/>
  <c r="B278" i="5"/>
  <c r="AR278" i="1"/>
  <c r="CF278" i="1"/>
  <c r="AX278" i="1"/>
  <c r="BV278" i="1"/>
  <c r="M278" i="1"/>
  <c r="BA278" i="1"/>
  <c r="CB278" i="1"/>
  <c r="AV278" i="1"/>
  <c r="BY278" i="1"/>
  <c r="AY278" i="1"/>
  <c r="CC278" i="1"/>
  <c r="L278" i="1" s="1"/>
  <c r="I278" i="1"/>
  <c r="BB278" i="1"/>
  <c r="CG278" i="1"/>
  <c r="J278" i="1"/>
  <c r="BC278" i="1"/>
  <c r="CH278" i="1"/>
  <c r="P278" i="1"/>
  <c r="CI278" i="1"/>
  <c r="S278" i="1"/>
  <c r="BI278" i="1"/>
  <c r="BL278" i="1" s="1"/>
  <c r="CJ278" i="1"/>
  <c r="AC278" i="1"/>
  <c r="BJ278" i="1"/>
  <c r="AO278" i="1"/>
  <c r="BM278" i="1"/>
  <c r="AS278" i="1"/>
  <c r="BO278" i="1"/>
  <c r="AT278" i="1"/>
  <c r="AU278" i="1" s="1"/>
  <c r="AZ278" i="1"/>
  <c r="BT278" i="1"/>
  <c r="AW278" i="1" s="1"/>
  <c r="CE278" i="1"/>
  <c r="B277" i="5"/>
  <c r="AR277" i="1"/>
  <c r="BI277" i="1"/>
  <c r="BL277" i="1" s="1"/>
  <c r="CF277" i="1"/>
  <c r="AT277" i="1"/>
  <c r="AU277" i="1" s="1"/>
  <c r="BM277" i="1"/>
  <c r="CJ277" i="1"/>
  <c r="BV277" i="1"/>
  <c r="I277" i="1"/>
  <c r="AZ277" i="1"/>
  <c r="CE277" i="1"/>
  <c r="J277" i="1"/>
  <c r="BW277" i="1" s="1"/>
  <c r="BA277" i="1"/>
  <c r="CG277" i="1"/>
  <c r="P277" i="1"/>
  <c r="BB277" i="1"/>
  <c r="CH277" i="1"/>
  <c r="AC277" i="1"/>
  <c r="BJ277" i="1"/>
  <c r="AO277" i="1"/>
  <c r="BO277" i="1"/>
  <c r="AS277" i="1"/>
  <c r="BT277" i="1"/>
  <c r="AW277" i="1" s="1"/>
  <c r="AV277" i="1"/>
  <c r="BY277" i="1"/>
  <c r="AX277" i="1"/>
  <c r="CB277" i="1"/>
  <c r="CI277" i="1"/>
  <c r="S277" i="1"/>
  <c r="AY277" i="1"/>
  <c r="BC277" i="1"/>
  <c r="CC277" i="1"/>
  <c r="M277" i="1"/>
  <c r="B276" i="5"/>
  <c r="AI276" i="1"/>
  <c r="BI276" i="1"/>
  <c r="BL276" i="1" s="1"/>
  <c r="CF276" i="1"/>
  <c r="X276" i="1"/>
  <c r="AB276" i="1" s="1"/>
  <c r="CG276" i="1"/>
  <c r="AR276" i="1"/>
  <c r="BM276" i="1"/>
  <c r="CJ276" i="1"/>
  <c r="P276" i="1"/>
  <c r="BJ276" i="1"/>
  <c r="S276" i="1"/>
  <c r="AC276" i="1"/>
  <c r="BO276" i="1"/>
  <c r="AS276" i="1"/>
  <c r="BV276" i="1"/>
  <c r="AT276" i="1"/>
  <c r="AU276" i="1" s="1"/>
  <c r="AV276" i="1"/>
  <c r="BY276" i="1"/>
  <c r="AX276" i="1"/>
  <c r="CB276" i="1"/>
  <c r="AY276" i="1"/>
  <c r="CC276" i="1"/>
  <c r="BA276" i="1"/>
  <c r="CE276" i="1"/>
  <c r="BB276" i="1"/>
  <c r="CH276" i="1"/>
  <c r="I276" i="1"/>
  <c r="AO276" i="1"/>
  <c r="BC276" i="1"/>
  <c r="BT276" i="1"/>
  <c r="AW276" i="1" s="1"/>
  <c r="CI276" i="1"/>
  <c r="M276" i="1"/>
  <c r="B275" i="5"/>
  <c r="AC275" i="1"/>
  <c r="BB275" i="1"/>
  <c r="CC275" i="1"/>
  <c r="N275" i="1"/>
  <c r="AX275" i="1"/>
  <c r="BY275" i="1"/>
  <c r="S275" i="1"/>
  <c r="BA275" i="1"/>
  <c r="CE275" i="1"/>
  <c r="AR275" i="1"/>
  <c r="BO275" i="1"/>
  <c r="AS275" i="1"/>
  <c r="BT275" i="1"/>
  <c r="AW275" i="1" s="1"/>
  <c r="AT275" i="1"/>
  <c r="AU275" i="1" s="1"/>
  <c r="BV275" i="1"/>
  <c r="AV275" i="1"/>
  <c r="CB275" i="1"/>
  <c r="I275" i="1"/>
  <c r="AY275" i="1"/>
  <c r="CF275" i="1"/>
  <c r="M275" i="1"/>
  <c r="AZ275" i="1"/>
  <c r="CG275" i="1"/>
  <c r="O275" i="1"/>
  <c r="BC275" i="1"/>
  <c r="CH275" i="1"/>
  <c r="P275" i="1"/>
  <c r="CA275" i="1" s="1"/>
  <c r="BI275" i="1"/>
  <c r="BL275" i="1" s="1"/>
  <c r="CI275" i="1"/>
  <c r="X275" i="1"/>
  <c r="BJ275" i="1"/>
  <c r="CJ275" i="1"/>
  <c r="AO275" i="1"/>
  <c r="BM275" i="1"/>
  <c r="B274" i="5"/>
  <c r="AO274" i="1"/>
  <c r="BC274" i="1"/>
  <c r="CF274" i="1"/>
  <c r="AV274" i="1"/>
  <c r="BV274" i="1"/>
  <c r="O274" i="1"/>
  <c r="AY274" i="1"/>
  <c r="CB274" i="1"/>
  <c r="CC274" i="1"/>
  <c r="L274" i="1" s="1"/>
  <c r="AX274" i="1"/>
  <c r="CE274" i="1"/>
  <c r="I274" i="1"/>
  <c r="AZ274" i="1"/>
  <c r="CG274" i="1"/>
  <c r="N274" i="1"/>
  <c r="BA274" i="1"/>
  <c r="CH274" i="1"/>
  <c r="P274" i="1"/>
  <c r="CA274" i="1" s="1"/>
  <c r="BB274" i="1"/>
  <c r="CI274" i="1"/>
  <c r="S274" i="1"/>
  <c r="BI274" i="1"/>
  <c r="BL274" i="1" s="1"/>
  <c r="CJ274" i="1"/>
  <c r="X274" i="1"/>
  <c r="AB274" i="1" s="1"/>
  <c r="BJ274" i="1"/>
  <c r="AC274" i="1"/>
  <c r="BM274" i="1"/>
  <c r="AR274" i="1"/>
  <c r="BO274" i="1"/>
  <c r="AS274" i="1"/>
  <c r="BT274" i="1"/>
  <c r="AW274" i="1" s="1"/>
  <c r="AT274" i="1"/>
  <c r="AU274" i="1" s="1"/>
  <c r="BY274" i="1"/>
  <c r="B273" i="5"/>
  <c r="BM273" i="1"/>
  <c r="P273" i="1"/>
  <c r="CA273" i="1" s="1"/>
  <c r="AC273" i="1"/>
  <c r="BY273" i="1"/>
  <c r="AS273" i="1"/>
  <c r="BV273" i="1"/>
  <c r="I273" i="1"/>
  <c r="AO273" i="1"/>
  <c r="AR273" i="1"/>
  <c r="AT273" i="1"/>
  <c r="AU273" i="1" s="1"/>
  <c r="AV273" i="1"/>
  <c r="BA273" i="1"/>
  <c r="BB273" i="1"/>
  <c r="BT273" i="1"/>
  <c r="AW273" i="1" s="1"/>
  <c r="B272" i="5"/>
  <c r="O272" i="1"/>
  <c r="BT272" i="1"/>
  <c r="AW272" i="1" s="1"/>
  <c r="CJ272" i="1"/>
  <c r="M272" i="1"/>
  <c r="AV272" i="1"/>
  <c r="BV272" i="1"/>
  <c r="AT272" i="1"/>
  <c r="AU272" i="1" s="1"/>
  <c r="BO272" i="1"/>
  <c r="N272" i="1"/>
  <c r="AY272" i="1"/>
  <c r="P272" i="1"/>
  <c r="CA272" i="1" s="1"/>
  <c r="BC272" i="1"/>
  <c r="CG272" i="1"/>
  <c r="S272" i="1"/>
  <c r="CH272" i="1"/>
  <c r="X272" i="1"/>
  <c r="BI272" i="1"/>
  <c r="BL272" i="1" s="1"/>
  <c r="CI272" i="1"/>
  <c r="AC272" i="1"/>
  <c r="BJ272" i="1"/>
  <c r="AI272" i="1"/>
  <c r="AK272" i="1" s="1"/>
  <c r="AO272" i="1"/>
  <c r="BM272" i="1"/>
  <c r="AR272" i="1"/>
  <c r="AS272" i="1"/>
  <c r="BY272" i="1"/>
  <c r="CB272" i="1"/>
  <c r="AX272" i="1"/>
  <c r="CC272" i="1"/>
  <c r="I272" i="1"/>
  <c r="BA272" i="1"/>
  <c r="CE272" i="1"/>
  <c r="BB272" i="1"/>
  <c r="CF272" i="1"/>
  <c r="B271" i="5"/>
  <c r="S271" i="1"/>
  <c r="AZ271" i="1"/>
  <c r="CB271" i="1"/>
  <c r="BV271" i="1"/>
  <c r="AI271" i="1"/>
  <c r="BJ271" i="1"/>
  <c r="CJ271" i="1"/>
  <c r="AS271" i="1"/>
  <c r="BT271" i="1"/>
  <c r="AW271" i="1" s="1"/>
  <c r="O271" i="1"/>
  <c r="BA271" i="1"/>
  <c r="CF271" i="1"/>
  <c r="N271" i="1"/>
  <c r="BI271" i="1"/>
  <c r="BL271" i="1" s="1"/>
  <c r="P271" i="1"/>
  <c r="CA271" i="1" s="1"/>
  <c r="BM271" i="1"/>
  <c r="X271" i="1"/>
  <c r="BO271" i="1"/>
  <c r="AC271" i="1"/>
  <c r="AO271" i="1"/>
  <c r="BY271" i="1"/>
  <c r="AR271" i="1"/>
  <c r="CC271" i="1"/>
  <c r="AT271" i="1"/>
  <c r="AU271" i="1" s="1"/>
  <c r="CE271" i="1"/>
  <c r="AV271" i="1"/>
  <c r="CG271" i="1"/>
  <c r="AX271" i="1"/>
  <c r="CH271" i="1"/>
  <c r="AY271" i="1"/>
  <c r="CI271" i="1"/>
  <c r="BB271" i="1"/>
  <c r="I271" i="1"/>
  <c r="BC271" i="1"/>
  <c r="M271" i="1"/>
  <c r="B270" i="5"/>
  <c r="P270" i="1"/>
  <c r="CA270" i="1" s="1"/>
  <c r="AZ270" i="1"/>
  <c r="CB270" i="1"/>
  <c r="AO270" i="1"/>
  <c r="BM270" i="1"/>
  <c r="CJ270" i="1"/>
  <c r="AT270" i="1"/>
  <c r="AU270" i="1" s="1"/>
  <c r="AX270" i="1"/>
  <c r="CC270" i="1"/>
  <c r="O270" i="1"/>
  <c r="BB270" i="1"/>
  <c r="CG270" i="1"/>
  <c r="AR270" i="1"/>
  <c r="BT270" i="1"/>
  <c r="AW270" i="1" s="1"/>
  <c r="BC270" i="1"/>
  <c r="BI270" i="1"/>
  <c r="BL270" i="1" s="1"/>
  <c r="I270" i="1"/>
  <c r="BJ270" i="1"/>
  <c r="N270" i="1"/>
  <c r="BO270" i="1"/>
  <c r="S270" i="1"/>
  <c r="BV270" i="1"/>
  <c r="X270" i="1"/>
  <c r="AC270" i="1"/>
  <c r="BY270" i="1"/>
  <c r="AI270" i="1"/>
  <c r="CE270" i="1"/>
  <c r="AS270" i="1"/>
  <c r="CF270" i="1"/>
  <c r="AV270" i="1"/>
  <c r="CH270" i="1"/>
  <c r="AY270" i="1"/>
  <c r="CI270" i="1"/>
  <c r="BA270" i="1"/>
  <c r="B269" i="5"/>
  <c r="X269" i="1"/>
  <c r="BA269" i="1"/>
  <c r="AI269" i="1"/>
  <c r="BI269" i="1"/>
  <c r="BL269" i="1" s="1"/>
  <c r="CF269" i="1"/>
  <c r="AR269" i="1"/>
  <c r="CH269" i="1"/>
  <c r="O269" i="1"/>
  <c r="BB269" i="1"/>
  <c r="CG269" i="1"/>
  <c r="S269" i="1"/>
  <c r="BJ269" i="1"/>
  <c r="CJ269" i="1"/>
  <c r="AS269" i="1"/>
  <c r="BT269" i="1"/>
  <c r="AW269" i="1" s="1"/>
  <c r="M269" i="1"/>
  <c r="AY269" i="1"/>
  <c r="CC269" i="1"/>
  <c r="AT269" i="1"/>
  <c r="AU269" i="1" s="1"/>
  <c r="CE269" i="1"/>
  <c r="CI269" i="1"/>
  <c r="AV269" i="1"/>
  <c r="AX269" i="1"/>
  <c r="AZ269" i="1"/>
  <c r="BC269" i="1"/>
  <c r="BM269" i="1"/>
  <c r="I269" i="1"/>
  <c r="BO269" i="1"/>
  <c r="N269" i="1"/>
  <c r="BV269" i="1"/>
  <c r="P269" i="1"/>
  <c r="CA269" i="1" s="1"/>
  <c r="AC269" i="1"/>
  <c r="BY269" i="1"/>
  <c r="AO269" i="1"/>
  <c r="CB269" i="1"/>
  <c r="B268" i="5"/>
  <c r="AO268" i="1"/>
  <c r="AW391" i="3" s="1"/>
  <c r="BC268" i="1"/>
  <c r="CE268" i="1"/>
  <c r="S268" i="1"/>
  <c r="BB268" i="1"/>
  <c r="CF268" i="1"/>
  <c r="AR268" i="1"/>
  <c r="BJ268" i="1"/>
  <c r="CH268" i="1"/>
  <c r="AT268" i="1"/>
  <c r="AU268" i="1" s="1"/>
  <c r="BV268" i="1"/>
  <c r="AV268" i="1"/>
  <c r="BY268" i="1"/>
  <c r="AY268" i="1"/>
  <c r="CC268" i="1"/>
  <c r="L268" i="1" s="1"/>
  <c r="AC268" i="1"/>
  <c r="BO268" i="1"/>
  <c r="I268" i="1"/>
  <c r="BT268" i="1"/>
  <c r="AW268" i="1" s="1"/>
  <c r="M268" i="1"/>
  <c r="P268" i="1"/>
  <c r="CA268" i="1" s="1"/>
  <c r="CB268" i="1"/>
  <c r="AS268" i="1"/>
  <c r="CG268" i="1"/>
  <c r="CI268" i="1"/>
  <c r="CJ268" i="1"/>
  <c r="AX268" i="1"/>
  <c r="AZ268" i="1"/>
  <c r="BA268" i="1"/>
  <c r="BI268" i="1"/>
  <c r="BL268" i="1" s="1"/>
  <c r="BM268" i="1"/>
  <c r="B267" i="5"/>
  <c r="AC267" i="1"/>
  <c r="BB267" i="1"/>
  <c r="CE267" i="1"/>
  <c r="AX267" i="1"/>
  <c r="BY267" i="1"/>
  <c r="J267" i="1"/>
  <c r="AZ267" i="1"/>
  <c r="CC267" i="1"/>
  <c r="CB267" i="1"/>
  <c r="AY267" i="1"/>
  <c r="CG267" i="1"/>
  <c r="P267" i="1"/>
  <c r="CA267" i="1" s="1"/>
  <c r="BI267" i="1"/>
  <c r="BL267" i="1" s="1"/>
  <c r="CJ267" i="1"/>
  <c r="AO267" i="1"/>
  <c r="AS267" i="1"/>
  <c r="BV267" i="1"/>
  <c r="AT267" i="1"/>
  <c r="AU267" i="1" s="1"/>
  <c r="AV267" i="1"/>
  <c r="BA267" i="1"/>
  <c r="BC267" i="1"/>
  <c r="BJ267" i="1"/>
  <c r="BM267" i="1"/>
  <c r="BO267" i="1"/>
  <c r="BT267" i="1"/>
  <c r="AW267" i="1" s="1"/>
  <c r="I267" i="1"/>
  <c r="S267" i="1"/>
  <c r="CF267" i="1"/>
  <c r="AI267" i="1"/>
  <c r="CH267" i="1"/>
  <c r="AR267" i="1"/>
  <c r="CI267" i="1"/>
  <c r="B266" i="5"/>
  <c r="AC266" i="1"/>
  <c r="BB266" i="1"/>
  <c r="CB266" i="1"/>
  <c r="AX266" i="1"/>
  <c r="AR266" i="1"/>
  <c r="AT266" i="1"/>
  <c r="AU266" i="1" s="1"/>
  <c r="BO266" i="1"/>
  <c r="CJ266" i="1"/>
  <c r="BV266" i="1"/>
  <c r="BA266" i="1"/>
  <c r="CF266" i="1"/>
  <c r="I266" i="1"/>
  <c r="CH266" i="1"/>
  <c r="S266" i="1"/>
  <c r="BM266" i="1"/>
  <c r="AS266" i="1"/>
  <c r="BY266" i="1"/>
  <c r="AY266" i="1"/>
  <c r="CC266" i="1"/>
  <c r="L266" i="1" s="1"/>
  <c r="BI266" i="1"/>
  <c r="BL266" i="1" s="1"/>
  <c r="BJ266" i="1"/>
  <c r="BT266" i="1"/>
  <c r="AW266" i="1" s="1"/>
  <c r="M266" i="1"/>
  <c r="CE266" i="1"/>
  <c r="P266" i="1"/>
  <c r="CA266" i="1" s="1"/>
  <c r="CG266" i="1"/>
  <c r="AI266" i="1"/>
  <c r="CI266" i="1"/>
  <c r="AO266" i="1"/>
  <c r="AV266" i="1"/>
  <c r="AZ266" i="1"/>
  <c r="BC266" i="1"/>
  <c r="B265" i="5"/>
  <c r="O265" i="1"/>
  <c r="AZ265" i="1"/>
  <c r="CB265" i="1"/>
  <c r="AO265" i="1"/>
  <c r="BM265" i="1"/>
  <c r="CJ265" i="1"/>
  <c r="N265" i="1"/>
  <c r="BA265" i="1"/>
  <c r="CE265" i="1"/>
  <c r="S265" i="1"/>
  <c r="BC265" i="1"/>
  <c r="CG265" i="1"/>
  <c r="AI265" i="1"/>
  <c r="BJ265" i="1"/>
  <c r="BK265" i="1" s="1"/>
  <c r="CI265" i="1"/>
  <c r="AT265" i="1"/>
  <c r="AU265" i="1" s="1"/>
  <c r="CF265" i="1"/>
  <c r="AX265" i="1"/>
  <c r="BI265" i="1"/>
  <c r="BL265" i="1" s="1"/>
  <c r="P265" i="1"/>
  <c r="CA265" i="1" s="1"/>
  <c r="BV265" i="1"/>
  <c r="AR265" i="1"/>
  <c r="BY265" i="1"/>
  <c r="BO265" i="1"/>
  <c r="BT265" i="1"/>
  <c r="AW265" i="1" s="1"/>
  <c r="CC265" i="1"/>
  <c r="L265" i="1" s="1"/>
  <c r="CH265" i="1"/>
  <c r="I265" i="1"/>
  <c r="AC265" i="1"/>
  <c r="AS265" i="1"/>
  <c r="AV265" i="1"/>
  <c r="AY265" i="1"/>
  <c r="BB265" i="1"/>
  <c r="B264" i="5"/>
  <c r="P264" i="1"/>
  <c r="CA264" i="1" s="1"/>
  <c r="AX264" i="1"/>
  <c r="AC264" i="1"/>
  <c r="BB264" i="1"/>
  <c r="CE264" i="1"/>
  <c r="I264" i="1"/>
  <c r="AV264" i="1"/>
  <c r="BV264" i="1"/>
  <c r="O264" i="1"/>
  <c r="AY264" i="1"/>
  <c r="BY264" i="1"/>
  <c r="X264" i="1"/>
  <c r="BA264" i="1"/>
  <c r="CC264" i="1"/>
  <c r="L264" i="1" s="1"/>
  <c r="AR264" i="1"/>
  <c r="AT264" i="1"/>
  <c r="AU264" i="1" s="1"/>
  <c r="CF264" i="1"/>
  <c r="AZ264" i="1"/>
  <c r="CI264" i="1"/>
  <c r="N264" i="1"/>
  <c r="BJ264" i="1"/>
  <c r="AI264" i="1"/>
  <c r="BO264" i="1"/>
  <c r="BT264" i="1"/>
  <c r="AW264" i="1" s="1"/>
  <c r="CB264" i="1"/>
  <c r="CG264" i="1"/>
  <c r="S264" i="1"/>
  <c r="CH264" i="1"/>
  <c r="AO264" i="1"/>
  <c r="CJ264" i="1"/>
  <c r="AS264" i="1"/>
  <c r="BC264" i="1"/>
  <c r="BI264" i="1"/>
  <c r="BL264" i="1" s="1"/>
  <c r="BM264" i="1"/>
  <c r="B263" i="5"/>
  <c r="O263" i="1"/>
  <c r="AZ263" i="1"/>
  <c r="BY263" i="1"/>
  <c r="N263" i="1"/>
  <c r="BA263" i="1"/>
  <c r="CC263" i="1"/>
  <c r="L263" i="1" s="1"/>
  <c r="AS263" i="1"/>
  <c r="BO263" i="1"/>
  <c r="AV263" i="1"/>
  <c r="BV263" i="1"/>
  <c r="AX263" i="1"/>
  <c r="I263" i="1"/>
  <c r="AY263" i="1"/>
  <c r="CB263" i="1"/>
  <c r="BT263" i="1"/>
  <c r="AW263" i="1" s="1"/>
  <c r="AC263" i="1"/>
  <c r="CE263" i="1"/>
  <c r="AT263" i="1"/>
  <c r="AU263" i="1" s="1"/>
  <c r="CH263" i="1"/>
  <c r="BJ263" i="1"/>
  <c r="CF263" i="1"/>
  <c r="CG263" i="1"/>
  <c r="CI263" i="1"/>
  <c r="P263" i="1"/>
  <c r="CA263" i="1" s="1"/>
  <c r="CJ263" i="1"/>
  <c r="S263" i="1"/>
  <c r="AO263" i="1"/>
  <c r="AR263" i="1"/>
  <c r="BB263" i="1"/>
  <c r="BC263" i="1"/>
  <c r="BI263" i="1"/>
  <c r="BL263" i="1" s="1"/>
  <c r="BM263" i="1"/>
  <c r="B262" i="5"/>
  <c r="AC262" i="1"/>
  <c r="BA262" i="1"/>
  <c r="BY262" i="1"/>
  <c r="AX262" i="1"/>
  <c r="BV262" i="1"/>
  <c r="AS262" i="1"/>
  <c r="CG262" i="1"/>
  <c r="BO262" i="1"/>
  <c r="CI262" i="1"/>
  <c r="AV262" i="1"/>
  <c r="CJ262" i="1"/>
  <c r="BT262" i="1"/>
  <c r="AW262" i="1" s="1"/>
  <c r="BC262" i="1"/>
  <c r="I262" i="1"/>
  <c r="BJ262" i="1"/>
  <c r="AI262" i="1"/>
  <c r="AT262" i="1"/>
  <c r="AU262" i="1" s="1"/>
  <c r="CE262" i="1"/>
  <c r="AZ262" i="1"/>
  <c r="CH262" i="1"/>
  <c r="CB262" i="1"/>
  <c r="CC262" i="1"/>
  <c r="L262" i="1" s="1"/>
  <c r="CF262" i="1"/>
  <c r="P262" i="1"/>
  <c r="CA262" i="1" s="1"/>
  <c r="S262" i="1"/>
  <c r="AO262" i="1"/>
  <c r="AR262" i="1"/>
  <c r="AY262" i="1"/>
  <c r="BB262" i="1"/>
  <c r="BI262" i="1"/>
  <c r="BL262" i="1" s="1"/>
  <c r="BM262" i="1"/>
  <c r="M262" i="1"/>
  <c r="B261" i="5"/>
  <c r="P261" i="1"/>
  <c r="CA261" i="1" s="1"/>
  <c r="AY261" i="1"/>
  <c r="AS261" i="1"/>
  <c r="BO261" i="1"/>
  <c r="CJ261" i="1"/>
  <c r="S261" i="1"/>
  <c r="BB261" i="1"/>
  <c r="CE261" i="1"/>
  <c r="AI261" i="1"/>
  <c r="BI261" i="1"/>
  <c r="BL261" i="1" s="1"/>
  <c r="CG261" i="1"/>
  <c r="AO261" i="1"/>
  <c r="BJ261" i="1"/>
  <c r="CH261" i="1"/>
  <c r="AR261" i="1"/>
  <c r="BM261" i="1"/>
  <c r="CI261" i="1"/>
  <c r="AT261" i="1"/>
  <c r="AU261" i="1" s="1"/>
  <c r="CC261" i="1"/>
  <c r="L261" i="1" s="1"/>
  <c r="AV261" i="1"/>
  <c r="BA261" i="1"/>
  <c r="BV261" i="1"/>
  <c r="I261" i="1"/>
  <c r="BY261" i="1"/>
  <c r="CB261" i="1"/>
  <c r="CF261" i="1"/>
  <c r="AC261" i="1"/>
  <c r="AX261" i="1"/>
  <c r="BC261" i="1"/>
  <c r="BT261" i="1"/>
  <c r="AW261" i="1" s="1"/>
  <c r="B260" i="5"/>
  <c r="N260" i="1"/>
  <c r="AV260" i="1"/>
  <c r="BV260" i="1"/>
  <c r="O260" i="1"/>
  <c r="S260" i="1"/>
  <c r="T260" i="1" s="1"/>
  <c r="BA260" i="1"/>
  <c r="CE260" i="1"/>
  <c r="AT260" i="1"/>
  <c r="AU260" i="1" s="1"/>
  <c r="BT260" i="1"/>
  <c r="AW260" i="1" s="1"/>
  <c r="AX260" i="1"/>
  <c r="BY260" i="1"/>
  <c r="I260" i="1"/>
  <c r="AY260" i="1"/>
  <c r="CB260" i="1"/>
  <c r="P260" i="1"/>
  <c r="AZ260" i="1"/>
  <c r="CC260" i="1"/>
  <c r="BI260" i="1"/>
  <c r="BL260" i="1" s="1"/>
  <c r="BM260" i="1"/>
  <c r="AC260" i="1"/>
  <c r="AI260" i="1"/>
  <c r="CF260" i="1"/>
  <c r="AS260" i="1"/>
  <c r="CI260" i="1"/>
  <c r="CJ260" i="1"/>
  <c r="BB260" i="1"/>
  <c r="BC260" i="1"/>
  <c r="BJ260" i="1"/>
  <c r="BO260" i="1"/>
  <c r="CG260" i="1"/>
  <c r="CH260" i="1"/>
  <c r="X260" i="1"/>
  <c r="AO260" i="1"/>
  <c r="AR260" i="1"/>
  <c r="B259" i="5"/>
  <c r="I259" i="1"/>
  <c r="BV259" i="1"/>
  <c r="N259" i="1"/>
  <c r="AX259" i="1"/>
  <c r="AC259" i="1"/>
  <c r="BI259" i="1"/>
  <c r="BL259" i="1" s="1"/>
  <c r="CH259" i="1"/>
  <c r="AR259" i="1"/>
  <c r="BM259" i="1"/>
  <c r="CJ259" i="1"/>
  <c r="AS259" i="1"/>
  <c r="BO259" i="1"/>
  <c r="AT259" i="1"/>
  <c r="AU259" i="1" s="1"/>
  <c r="BT259" i="1"/>
  <c r="AW259" i="1" s="1"/>
  <c r="AV259" i="1"/>
  <c r="CF259" i="1"/>
  <c r="AZ259" i="1"/>
  <c r="CI259" i="1"/>
  <c r="BB259" i="1"/>
  <c r="BC259" i="1"/>
  <c r="O259" i="1"/>
  <c r="BY259" i="1"/>
  <c r="P259" i="1"/>
  <c r="CA259" i="1" s="1"/>
  <c r="CB259" i="1"/>
  <c r="S259" i="1"/>
  <c r="CC259" i="1"/>
  <c r="L259" i="1" s="1"/>
  <c r="AO259" i="1"/>
  <c r="AY259" i="1"/>
  <c r="BA259" i="1"/>
  <c r="BJ259" i="1"/>
  <c r="CE259" i="1"/>
  <c r="CG259" i="1"/>
  <c r="B258" i="5"/>
  <c r="J258" i="1"/>
  <c r="AX258" i="1"/>
  <c r="BV258" i="1"/>
  <c r="P258" i="1"/>
  <c r="CA258" i="1" s="1"/>
  <c r="AY258" i="1"/>
  <c r="AI258" i="1"/>
  <c r="CG258" i="1"/>
  <c r="BY258" i="1"/>
  <c r="I258" i="1"/>
  <c r="BA258" i="1"/>
  <c r="CC258" i="1"/>
  <c r="S258" i="1"/>
  <c r="BB258" i="1"/>
  <c r="CE258" i="1"/>
  <c r="AC258" i="1"/>
  <c r="BC258" i="1"/>
  <c r="CF258" i="1"/>
  <c r="BM258" i="1"/>
  <c r="BT258" i="1"/>
  <c r="AW258" i="1" s="1"/>
  <c r="AR258" i="1"/>
  <c r="CB258" i="1"/>
  <c r="AS258" i="1"/>
  <c r="CH258" i="1"/>
  <c r="AV258" i="1"/>
  <c r="AZ258" i="1"/>
  <c r="BI258" i="1"/>
  <c r="BL258" i="1" s="1"/>
  <c r="CI258" i="1"/>
  <c r="CJ258" i="1"/>
  <c r="AO258" i="1"/>
  <c r="AT258" i="1"/>
  <c r="AU258" i="1" s="1"/>
  <c r="BJ258" i="1"/>
  <c r="BO258" i="1"/>
  <c r="B257" i="5"/>
  <c r="AV257" i="1"/>
  <c r="BV257" i="1"/>
  <c r="AX257" i="1"/>
  <c r="AT257" i="1"/>
  <c r="AU257" i="1" s="1"/>
  <c r="BY257" i="1"/>
  <c r="AC257" i="1"/>
  <c r="BJ257" i="1"/>
  <c r="CI257" i="1"/>
  <c r="AI257" i="1"/>
  <c r="BM257" i="1"/>
  <c r="CJ257" i="1"/>
  <c r="AO257" i="1"/>
  <c r="BO257" i="1"/>
  <c r="AR257" i="1"/>
  <c r="BT257" i="1"/>
  <c r="AW257" i="1" s="1"/>
  <c r="AS257" i="1"/>
  <c r="P257" i="1"/>
  <c r="CA257" i="1" s="1"/>
  <c r="CF257" i="1"/>
  <c r="AY257" i="1"/>
  <c r="CH257" i="1"/>
  <c r="BA257" i="1"/>
  <c r="BB257" i="1"/>
  <c r="CB257" i="1"/>
  <c r="CC257" i="1"/>
  <c r="AZ257" i="1"/>
  <c r="BC257" i="1"/>
  <c r="BI257" i="1"/>
  <c r="BL257" i="1" s="1"/>
  <c r="CE257" i="1"/>
  <c r="CG257" i="1"/>
  <c r="I257" i="1"/>
  <c r="S257" i="1"/>
  <c r="M257" i="1"/>
  <c r="B256" i="5"/>
  <c r="AS256" i="1"/>
  <c r="BM256" i="1"/>
  <c r="CH256" i="1"/>
  <c r="AT256" i="1"/>
  <c r="AU256" i="1" s="1"/>
  <c r="BO256" i="1"/>
  <c r="CI256" i="1"/>
  <c r="I256" i="1"/>
  <c r="BA256" i="1"/>
  <c r="CE256" i="1"/>
  <c r="AV256" i="1"/>
  <c r="BY256" i="1"/>
  <c r="AX256" i="1"/>
  <c r="AY256" i="1"/>
  <c r="CB256" i="1"/>
  <c r="AZ256" i="1"/>
  <c r="CC256" i="1"/>
  <c r="AR256" i="1"/>
  <c r="BC256" i="1"/>
  <c r="BJ256" i="1"/>
  <c r="BT256" i="1"/>
  <c r="AW256" i="1" s="1"/>
  <c r="S256" i="1"/>
  <c r="CF256" i="1"/>
  <c r="AC256" i="1"/>
  <c r="CG256" i="1"/>
  <c r="AI256" i="1"/>
  <c r="CJ256" i="1"/>
  <c r="P256" i="1"/>
  <c r="CA256" i="1" s="1"/>
  <c r="AO256" i="1"/>
  <c r="BB256" i="1"/>
  <c r="BI256" i="1"/>
  <c r="BL256" i="1" s="1"/>
  <c r="BV256" i="1"/>
  <c r="B255" i="5"/>
  <c r="AI255" i="1"/>
  <c r="BI255" i="1"/>
  <c r="BL255" i="1" s="1"/>
  <c r="CF255" i="1"/>
  <c r="AO255" i="1"/>
  <c r="BJ255" i="1"/>
  <c r="CG255" i="1"/>
  <c r="AC255" i="1"/>
  <c r="BO255" i="1"/>
  <c r="AY255" i="1"/>
  <c r="CC255" i="1"/>
  <c r="BA255" i="1"/>
  <c r="CE255" i="1"/>
  <c r="I255" i="1"/>
  <c r="BB255" i="1"/>
  <c r="CH255" i="1"/>
  <c r="P255" i="1"/>
  <c r="CA255" i="1" s="1"/>
  <c r="BC255" i="1"/>
  <c r="CI255" i="1"/>
  <c r="S255" i="1"/>
  <c r="BM255" i="1"/>
  <c r="CJ255" i="1"/>
  <c r="AX255" i="1"/>
  <c r="BV255" i="1"/>
  <c r="BY255" i="1"/>
  <c r="AS255" i="1"/>
  <c r="AT255" i="1"/>
  <c r="AU255" i="1" s="1"/>
  <c r="AV255" i="1"/>
  <c r="BT255" i="1"/>
  <c r="AW255" i="1" s="1"/>
  <c r="CB255" i="1"/>
  <c r="AR255" i="1"/>
  <c r="M255" i="1"/>
  <c r="B254" i="5"/>
  <c r="P254" i="1"/>
  <c r="CA254" i="1" s="1"/>
  <c r="BA254" i="1"/>
  <c r="CB254" i="1"/>
  <c r="AC254" i="1"/>
  <c r="BB254" i="1"/>
  <c r="CC254" i="1"/>
  <c r="BV254" i="1"/>
  <c r="AI254" i="1"/>
  <c r="BI254" i="1"/>
  <c r="BL254" i="1" s="1"/>
  <c r="CI254" i="1"/>
  <c r="AO254" i="1"/>
  <c r="BJ254" i="1"/>
  <c r="CJ254" i="1"/>
  <c r="AR254" i="1"/>
  <c r="BM254" i="1"/>
  <c r="AS254" i="1"/>
  <c r="BO254" i="1"/>
  <c r="AT254" i="1"/>
  <c r="AU254" i="1" s="1"/>
  <c r="BT254" i="1"/>
  <c r="AW254" i="1" s="1"/>
  <c r="BY254" i="1"/>
  <c r="I254" i="1"/>
  <c r="CE254" i="1"/>
  <c r="M254" i="1"/>
  <c r="CF254" i="1"/>
  <c r="N254" i="1"/>
  <c r="CG254" i="1"/>
  <c r="AX254" i="1"/>
  <c r="AY254" i="1"/>
  <c r="O254" i="1"/>
  <c r="AV254" i="1"/>
  <c r="BC254" i="1"/>
  <c r="CH254" i="1"/>
  <c r="B253" i="5"/>
  <c r="BA253" i="1"/>
  <c r="AR253" i="1"/>
  <c r="BV253" i="1"/>
  <c r="AV253" i="1"/>
  <c r="BB253" i="1"/>
  <c r="BM253" i="1"/>
  <c r="BT253" i="1"/>
  <c r="AW253" i="1" s="1"/>
  <c r="AT253" i="1"/>
  <c r="AU253" i="1" s="1"/>
  <c r="BY253" i="1"/>
  <c r="P253" i="1"/>
  <c r="CA253" i="1" s="1"/>
  <c r="AC253" i="1"/>
  <c r="AO253" i="1"/>
  <c r="I253" i="1"/>
  <c r="AS253" i="1"/>
  <c r="B252" i="5"/>
  <c r="AR252" i="1"/>
  <c r="BJ252" i="1"/>
  <c r="CH252" i="1"/>
  <c r="AS252" i="1"/>
  <c r="BM252" i="1"/>
  <c r="CI252" i="1"/>
  <c r="M252" i="1"/>
  <c r="AZ252" i="1"/>
  <c r="CB252" i="1"/>
  <c r="BB252" i="1"/>
  <c r="CJ252" i="1"/>
  <c r="S252" i="1"/>
  <c r="BY252" i="1"/>
  <c r="AV252" i="1"/>
  <c r="CC252" i="1"/>
  <c r="AX252" i="1"/>
  <c r="CE252" i="1"/>
  <c r="AY252" i="1"/>
  <c r="CF252" i="1"/>
  <c r="BA252" i="1"/>
  <c r="CG252" i="1"/>
  <c r="AT252" i="1"/>
  <c r="AU252" i="1" s="1"/>
  <c r="BC252" i="1"/>
  <c r="BI252" i="1"/>
  <c r="BL252" i="1" s="1"/>
  <c r="BO252" i="1"/>
  <c r="BT252" i="1"/>
  <c r="AW252" i="1" s="1"/>
  <c r="BV252" i="1"/>
  <c r="I252" i="1"/>
  <c r="P252" i="1"/>
  <c r="CA252" i="1" s="1"/>
  <c r="AC252" i="1"/>
  <c r="AO252" i="1"/>
  <c r="B251" i="5"/>
  <c r="AI251" i="1"/>
  <c r="BC251" i="1"/>
  <c r="CE251" i="1"/>
  <c r="AO251" i="1"/>
  <c r="CF251" i="1"/>
  <c r="N251" i="1"/>
  <c r="AX251" i="1"/>
  <c r="BV251" i="1"/>
  <c r="P251" i="1"/>
  <c r="CA251" i="1" s="1"/>
  <c r="BI251" i="1"/>
  <c r="BL251" i="1" s="1"/>
  <c r="CJ251" i="1"/>
  <c r="AR251" i="1"/>
  <c r="BO251" i="1"/>
  <c r="AT251" i="1"/>
  <c r="AU251" i="1" s="1"/>
  <c r="AV251" i="1"/>
  <c r="CB251" i="1"/>
  <c r="AY251" i="1"/>
  <c r="CC251" i="1"/>
  <c r="L251" i="1" s="1"/>
  <c r="I251" i="1"/>
  <c r="AZ251" i="1"/>
  <c r="CG251" i="1"/>
  <c r="M251" i="1"/>
  <c r="BA251" i="1"/>
  <c r="CH251" i="1"/>
  <c r="O251" i="1"/>
  <c r="BB251" i="1"/>
  <c r="CI251" i="1"/>
  <c r="AC251" i="1"/>
  <c r="AS251" i="1"/>
  <c r="BJ251" i="1"/>
  <c r="BZ251" i="1" s="1"/>
  <c r="BM251" i="1"/>
  <c r="BT251" i="1"/>
  <c r="AW251" i="1" s="1"/>
  <c r="BY251" i="1"/>
  <c r="S251" i="1"/>
  <c r="B250" i="5"/>
  <c r="AR250" i="1"/>
  <c r="BI250" i="1"/>
  <c r="BL250" i="1" s="1"/>
  <c r="CF250" i="1"/>
  <c r="AS250" i="1"/>
  <c r="BJ250" i="1"/>
  <c r="CG250" i="1"/>
  <c r="M250" i="1"/>
  <c r="BA250" i="1"/>
  <c r="BY250" i="1"/>
  <c r="AT250" i="1"/>
  <c r="AU250" i="1" s="1"/>
  <c r="BV250" i="1"/>
  <c r="AY250" i="1"/>
  <c r="CB250" i="1"/>
  <c r="BB250" i="1"/>
  <c r="CE250" i="1"/>
  <c r="CI250" i="1"/>
  <c r="P250" i="1"/>
  <c r="CA250" i="1" s="1"/>
  <c r="CJ250" i="1"/>
  <c r="AC250" i="1"/>
  <c r="BM250" i="1"/>
  <c r="AI250" i="1"/>
  <c r="BO250" i="1"/>
  <c r="AO250" i="1"/>
  <c r="BT250" i="1"/>
  <c r="AW250" i="1" s="1"/>
  <c r="I250" i="1"/>
  <c r="AV250" i="1"/>
  <c r="AX250" i="1"/>
  <c r="AZ250" i="1"/>
  <c r="BC250" i="1"/>
  <c r="CC250" i="1"/>
  <c r="CH250" i="1"/>
  <c r="B249" i="5"/>
  <c r="AR249" i="1"/>
  <c r="BI249" i="1"/>
  <c r="BL249" i="1" s="1"/>
  <c r="CF249" i="1"/>
  <c r="AS249" i="1"/>
  <c r="BJ249" i="1"/>
  <c r="CG249" i="1"/>
  <c r="P249" i="1"/>
  <c r="CA249" i="1" s="1"/>
  <c r="BA249" i="1"/>
  <c r="BY249" i="1"/>
  <c r="AX249" i="1"/>
  <c r="CB249" i="1"/>
  <c r="BC249" i="1"/>
  <c r="CH249" i="1"/>
  <c r="S249" i="1"/>
  <c r="CJ249" i="1"/>
  <c r="AO249" i="1"/>
  <c r="AW249" i="3" s="1"/>
  <c r="BO249" i="1"/>
  <c r="BT249" i="1"/>
  <c r="AW249" i="1" s="1"/>
  <c r="AT249" i="1"/>
  <c r="AU249" i="1" s="1"/>
  <c r="BV249" i="1"/>
  <c r="AV249" i="1"/>
  <c r="CE249" i="1"/>
  <c r="CI249" i="1"/>
  <c r="I249" i="1"/>
  <c r="AC249" i="1"/>
  <c r="AY249" i="1"/>
  <c r="BB249" i="1"/>
  <c r="BM249" i="1"/>
  <c r="CC249" i="1"/>
  <c r="M249" i="1"/>
  <c r="B248" i="5"/>
  <c r="AC248" i="1"/>
  <c r="BC248" i="1"/>
  <c r="CE248" i="1"/>
  <c r="AO248" i="1"/>
  <c r="BI248" i="1"/>
  <c r="BL248" i="1" s="1"/>
  <c r="CF248" i="1"/>
  <c r="N248" i="1"/>
  <c r="AX248" i="1"/>
  <c r="BV248" i="1"/>
  <c r="AZ248" i="1"/>
  <c r="CG248" i="1"/>
  <c r="P248" i="1"/>
  <c r="CA248" i="1" s="1"/>
  <c r="BJ248" i="1"/>
  <c r="CJ248" i="1"/>
  <c r="X248" i="1"/>
  <c r="BM248" i="1"/>
  <c r="AS248" i="1"/>
  <c r="BT248" i="1"/>
  <c r="AW248" i="1" s="1"/>
  <c r="AT248" i="1"/>
  <c r="AU248" i="1" s="1"/>
  <c r="BY248" i="1"/>
  <c r="AV248" i="1"/>
  <c r="CB248" i="1"/>
  <c r="AY248" i="1"/>
  <c r="CC248" i="1"/>
  <c r="BO248" i="1"/>
  <c r="CH248" i="1"/>
  <c r="CI248" i="1"/>
  <c r="I248" i="1"/>
  <c r="O248" i="1"/>
  <c r="S248" i="1"/>
  <c r="AR248" i="1"/>
  <c r="BA248" i="1"/>
  <c r="BB248" i="1"/>
  <c r="M248" i="1"/>
  <c r="B247" i="5"/>
  <c r="X247" i="1"/>
  <c r="BB247" i="1"/>
  <c r="CE247" i="1"/>
  <c r="AC247" i="1"/>
  <c r="BC247" i="1"/>
  <c r="CF247" i="1"/>
  <c r="I247" i="1"/>
  <c r="AV247" i="1"/>
  <c r="BV247" i="1"/>
  <c r="O247" i="1"/>
  <c r="BI247" i="1"/>
  <c r="BL247" i="1" s="1"/>
  <c r="CJ247" i="1"/>
  <c r="AO247" i="1"/>
  <c r="BO247" i="1"/>
  <c r="AS247" i="1"/>
  <c r="CB247" i="1"/>
  <c r="AX247" i="1"/>
  <c r="CC247" i="1"/>
  <c r="L247" i="1" s="1"/>
  <c r="AY247" i="1"/>
  <c r="CG247" i="1"/>
  <c r="AZ247" i="1"/>
  <c r="CH247" i="1"/>
  <c r="N247" i="1"/>
  <c r="BA247" i="1"/>
  <c r="CI247" i="1"/>
  <c r="BJ247" i="1"/>
  <c r="BM247" i="1"/>
  <c r="BT247" i="1"/>
  <c r="AW247" i="1" s="1"/>
  <c r="BY247" i="1"/>
  <c r="P247" i="1"/>
  <c r="CA247" i="1" s="1"/>
  <c r="S247" i="1"/>
  <c r="AR247" i="1"/>
  <c r="AT247" i="1"/>
  <c r="AU247" i="1" s="1"/>
  <c r="B246" i="5"/>
  <c r="AR246" i="1"/>
  <c r="BM246" i="1"/>
  <c r="CI246" i="1"/>
  <c r="AX246" i="1"/>
  <c r="CB246" i="1"/>
  <c r="AY246" i="1"/>
  <c r="CC246" i="1"/>
  <c r="AO246" i="1"/>
  <c r="BO246" i="1"/>
  <c r="I246" i="1"/>
  <c r="BI246" i="1"/>
  <c r="BL246" i="1" s="1"/>
  <c r="AC246" i="1"/>
  <c r="BV246" i="1"/>
  <c r="AI246" i="1"/>
  <c r="AS246" i="1"/>
  <c r="BY246" i="1"/>
  <c r="CF246" i="1"/>
  <c r="AV246" i="1"/>
  <c r="CG246" i="1"/>
  <c r="BA246" i="1"/>
  <c r="CH246" i="1"/>
  <c r="BB246" i="1"/>
  <c r="CJ246" i="1"/>
  <c r="BC246" i="1"/>
  <c r="P246" i="1"/>
  <c r="CA246" i="1" s="1"/>
  <c r="S246" i="1"/>
  <c r="V246" i="1" s="1"/>
  <c r="AT246" i="1"/>
  <c r="AU246" i="1" s="1"/>
  <c r="BJ246" i="1"/>
  <c r="BT246" i="1"/>
  <c r="AW246" i="1" s="1"/>
  <c r="CE246" i="1"/>
  <c r="M246" i="1"/>
  <c r="B245" i="5"/>
  <c r="AI245" i="1"/>
  <c r="AK245" i="1" s="1"/>
  <c r="CE245" i="1"/>
  <c r="AR245" i="1"/>
  <c r="BJ245" i="1"/>
  <c r="CI245" i="1"/>
  <c r="AS245" i="1"/>
  <c r="BM245" i="1"/>
  <c r="CJ245" i="1"/>
  <c r="M245" i="1"/>
  <c r="BA245" i="1"/>
  <c r="CB245" i="1"/>
  <c r="BC245" i="1"/>
  <c r="S245" i="1"/>
  <c r="U245" i="1" s="1"/>
  <c r="BO245" i="1"/>
  <c r="AC245" i="1"/>
  <c r="BT245" i="1"/>
  <c r="AW245" i="1" s="1"/>
  <c r="AO245" i="1"/>
  <c r="BV245" i="1"/>
  <c r="AT245" i="1"/>
  <c r="AU245" i="1" s="1"/>
  <c r="AV245" i="1"/>
  <c r="BY245" i="1"/>
  <c r="AX245" i="1"/>
  <c r="CC245" i="1"/>
  <c r="AY245" i="1"/>
  <c r="CF245" i="1"/>
  <c r="AZ245" i="1"/>
  <c r="CG245" i="1"/>
  <c r="I245" i="1"/>
  <c r="BB245" i="1"/>
  <c r="CH245" i="1"/>
  <c r="P245" i="1"/>
  <c r="CA245" i="1" s="1"/>
  <c r="BI245" i="1"/>
  <c r="BL245" i="1" s="1"/>
  <c r="B244" i="5"/>
  <c r="AO244" i="1"/>
  <c r="BI244" i="1"/>
  <c r="BL244" i="1" s="1"/>
  <c r="CF244" i="1"/>
  <c r="AC244" i="1"/>
  <c r="CG244" i="1"/>
  <c r="AI244" i="1"/>
  <c r="BJ244" i="1"/>
  <c r="AN244" i="1" s="1"/>
  <c r="CH244" i="1"/>
  <c r="I244" i="1"/>
  <c r="AX244" i="1"/>
  <c r="BY244" i="1"/>
  <c r="M244" i="1"/>
  <c r="BM244" i="1"/>
  <c r="AR244" i="1"/>
  <c r="BV244" i="1"/>
  <c r="AS244" i="1"/>
  <c r="AT244" i="1"/>
  <c r="AU244" i="1" s="1"/>
  <c r="AV244" i="1"/>
  <c r="CB244" i="1"/>
  <c r="CC244" i="1"/>
  <c r="AY244" i="1"/>
  <c r="CE244" i="1"/>
  <c r="BA244" i="1"/>
  <c r="CI244" i="1"/>
  <c r="BB244" i="1"/>
  <c r="CJ244" i="1"/>
  <c r="BC244" i="1"/>
  <c r="P244" i="1"/>
  <c r="CA244" i="1" s="1"/>
  <c r="S244" i="1"/>
  <c r="BO244" i="1"/>
  <c r="BT244" i="1"/>
  <c r="AW244" i="1" s="1"/>
  <c r="B243" i="5"/>
  <c r="AI243" i="1"/>
  <c r="BI243" i="1"/>
  <c r="BL243" i="1" s="1"/>
  <c r="CF243" i="1"/>
  <c r="AY243" i="1"/>
  <c r="CB243" i="1"/>
  <c r="N243" i="1"/>
  <c r="BA243" i="1"/>
  <c r="CC243" i="1"/>
  <c r="AS243" i="1"/>
  <c r="BT243" i="1"/>
  <c r="AW243" i="1" s="1"/>
  <c r="O243" i="1"/>
  <c r="BM243" i="1"/>
  <c r="AO243" i="1"/>
  <c r="AR243" i="1"/>
  <c r="BY243" i="1"/>
  <c r="AT243" i="1"/>
  <c r="AU243" i="1" s="1"/>
  <c r="CE243" i="1"/>
  <c r="AV243" i="1"/>
  <c r="CG243" i="1"/>
  <c r="AX243" i="1"/>
  <c r="CH243" i="1"/>
  <c r="BB243" i="1"/>
  <c r="CI243" i="1"/>
  <c r="BC243" i="1"/>
  <c r="CJ243" i="1"/>
  <c r="I243" i="1"/>
  <c r="BJ243" i="1"/>
  <c r="BO243" i="1"/>
  <c r="BV243" i="1"/>
  <c r="P243" i="1"/>
  <c r="CA243" i="1" s="1"/>
  <c r="AC243" i="1"/>
  <c r="M243" i="1"/>
  <c r="B242" i="5"/>
  <c r="BC242" i="1"/>
  <c r="CE242" i="1"/>
  <c r="I242" i="1"/>
  <c r="BT242" i="1"/>
  <c r="AW242" i="1" s="1"/>
  <c r="N242" i="1"/>
  <c r="AV242" i="1"/>
  <c r="BV242" i="1"/>
  <c r="O242" i="1"/>
  <c r="AX242" i="1"/>
  <c r="AI242" i="1"/>
  <c r="BI242" i="1"/>
  <c r="BL242" i="1" s="1"/>
  <c r="CG242" i="1"/>
  <c r="S242" i="1"/>
  <c r="AO242" i="1"/>
  <c r="AR242" i="1"/>
  <c r="BY242" i="1"/>
  <c r="AS242" i="1"/>
  <c r="CB242" i="1"/>
  <c r="AT242" i="1"/>
  <c r="AU242" i="1" s="1"/>
  <c r="CC242" i="1"/>
  <c r="AY242" i="1"/>
  <c r="CF242" i="1"/>
  <c r="AZ242" i="1"/>
  <c r="CH242" i="1"/>
  <c r="BA242" i="1"/>
  <c r="CI242" i="1"/>
  <c r="BB242" i="1"/>
  <c r="CJ242" i="1"/>
  <c r="P242" i="1"/>
  <c r="CA242" i="1" s="1"/>
  <c r="BJ242" i="1"/>
  <c r="X242" i="1"/>
  <c r="Z242" i="1" s="1"/>
  <c r="AC242" i="1"/>
  <c r="BM242" i="1"/>
  <c r="BO242" i="1"/>
  <c r="B241" i="5"/>
  <c r="AS241" i="1"/>
  <c r="AO241" i="1"/>
  <c r="BJ241" i="1"/>
  <c r="CG241" i="1"/>
  <c r="AT241" i="1"/>
  <c r="AU241" i="1" s="1"/>
  <c r="BO241" i="1"/>
  <c r="BT241" i="1"/>
  <c r="AW241" i="1" s="1"/>
  <c r="AV241" i="1"/>
  <c r="BV241" i="1"/>
  <c r="AX241" i="1"/>
  <c r="I241" i="1"/>
  <c r="BB241" i="1"/>
  <c r="CE241" i="1"/>
  <c r="BI241" i="1"/>
  <c r="BL241" i="1" s="1"/>
  <c r="P241" i="1"/>
  <c r="CA241" i="1" s="1"/>
  <c r="BY241" i="1"/>
  <c r="S241" i="1"/>
  <c r="CB241" i="1"/>
  <c r="AC241" i="1"/>
  <c r="CC241" i="1"/>
  <c r="L241" i="1" s="1"/>
  <c r="AR241" i="1"/>
  <c r="CF241" i="1"/>
  <c r="AY241" i="1"/>
  <c r="CH241" i="1"/>
  <c r="AZ241" i="1"/>
  <c r="CI241" i="1"/>
  <c r="BA241" i="1"/>
  <c r="CJ241" i="1"/>
  <c r="BC241" i="1"/>
  <c r="BM241" i="1"/>
  <c r="B240" i="5"/>
  <c r="AO240" i="1"/>
  <c r="CE240" i="1"/>
  <c r="I240" i="1"/>
  <c r="AZ240" i="1"/>
  <c r="AY240" i="1"/>
  <c r="CB240" i="1"/>
  <c r="BA240" i="1"/>
  <c r="CC240" i="1"/>
  <c r="BB240" i="1"/>
  <c r="CF240" i="1"/>
  <c r="P240" i="1"/>
  <c r="CA240" i="1" s="1"/>
  <c r="BC240" i="1"/>
  <c r="CG240" i="1"/>
  <c r="AS240" i="1"/>
  <c r="BO240" i="1"/>
  <c r="AC240" i="1"/>
  <c r="BY240" i="1"/>
  <c r="CJ240" i="1"/>
  <c r="AV240" i="1"/>
  <c r="AX240" i="1"/>
  <c r="BI240" i="1"/>
  <c r="BL240" i="1" s="1"/>
  <c r="BJ240" i="1"/>
  <c r="BM240" i="1"/>
  <c r="BT240" i="1"/>
  <c r="AW240" i="1" s="1"/>
  <c r="BV240" i="1"/>
  <c r="S240" i="1"/>
  <c r="V240" i="1" s="1"/>
  <c r="CH240" i="1"/>
  <c r="CI240" i="1"/>
  <c r="AR240" i="1"/>
  <c r="AT240" i="1"/>
  <c r="AU240" i="1" s="1"/>
  <c r="M240" i="1"/>
  <c r="B239" i="5"/>
  <c r="BC239" i="1"/>
  <c r="CC239" i="1"/>
  <c r="L239" i="1" s="1"/>
  <c r="AV239" i="1"/>
  <c r="BO239" i="1"/>
  <c r="AO239" i="1"/>
  <c r="BI239" i="1"/>
  <c r="BL239" i="1" s="1"/>
  <c r="CI239" i="1"/>
  <c r="AR239" i="1"/>
  <c r="BJ239" i="1"/>
  <c r="CJ239" i="1"/>
  <c r="AS239" i="1"/>
  <c r="BM239" i="1"/>
  <c r="AT239" i="1"/>
  <c r="AU239" i="1" s="1"/>
  <c r="BT239" i="1"/>
  <c r="AW239" i="1" s="1"/>
  <c r="AX239" i="1"/>
  <c r="AZ239" i="1"/>
  <c r="CB239" i="1"/>
  <c r="BA239" i="1"/>
  <c r="BV239" i="1"/>
  <c r="I239" i="1"/>
  <c r="M239" i="1"/>
  <c r="BY239" i="1"/>
  <c r="P239" i="1"/>
  <c r="CA239" i="1" s="1"/>
  <c r="CE239" i="1"/>
  <c r="S239" i="1"/>
  <c r="CF239" i="1"/>
  <c r="AC239" i="1"/>
  <c r="CG239" i="1"/>
  <c r="CH239" i="1"/>
  <c r="AY239" i="1"/>
  <c r="BB239" i="1"/>
  <c r="B238" i="5"/>
  <c r="S238" i="1"/>
  <c r="BC238" i="1"/>
  <c r="CE238" i="1"/>
  <c r="AO238" i="1"/>
  <c r="BM238" i="1"/>
  <c r="CI238" i="1"/>
  <c r="AT238" i="1"/>
  <c r="AU238" i="1" s="1"/>
  <c r="AX238" i="1"/>
  <c r="CB238" i="1"/>
  <c r="AY238" i="1"/>
  <c r="CC238" i="1"/>
  <c r="L238" i="1" s="1"/>
  <c r="BA238" i="1"/>
  <c r="CF238" i="1"/>
  <c r="I238" i="1"/>
  <c r="BB238" i="1"/>
  <c r="CG238" i="1"/>
  <c r="P238" i="1"/>
  <c r="CA238" i="1" s="1"/>
  <c r="BJ238" i="1"/>
  <c r="CJ238" i="1"/>
  <c r="AR238" i="1"/>
  <c r="BT238" i="1"/>
  <c r="AW238" i="1" s="1"/>
  <c r="BV238" i="1"/>
  <c r="CH238" i="1"/>
  <c r="M238" i="1"/>
  <c r="AC238" i="1"/>
  <c r="AS238" i="1"/>
  <c r="AV238" i="1"/>
  <c r="BI238" i="1"/>
  <c r="BL238" i="1" s="1"/>
  <c r="BO238" i="1"/>
  <c r="BY238" i="1"/>
  <c r="B237" i="5"/>
  <c r="O237" i="1"/>
  <c r="BA237" i="1"/>
  <c r="I237" i="1"/>
  <c r="AY237" i="1"/>
  <c r="CB237" i="1"/>
  <c r="BB237" i="1"/>
  <c r="CE237" i="1"/>
  <c r="AC237" i="1"/>
  <c r="BI237" i="1"/>
  <c r="BL237" i="1" s="1"/>
  <c r="CH237" i="1"/>
  <c r="AI237" i="1"/>
  <c r="BJ237" i="1"/>
  <c r="CI237" i="1"/>
  <c r="AO237" i="1"/>
  <c r="BM237" i="1"/>
  <c r="CJ237" i="1"/>
  <c r="AR237" i="1"/>
  <c r="BO237" i="1"/>
  <c r="AT237" i="1"/>
  <c r="AU237" i="1" s="1"/>
  <c r="BV237" i="1"/>
  <c r="AV237" i="1"/>
  <c r="BY237" i="1"/>
  <c r="BT237" i="1"/>
  <c r="AW237" i="1" s="1"/>
  <c r="CF237" i="1"/>
  <c r="CG237" i="1"/>
  <c r="N237" i="1"/>
  <c r="P237" i="1"/>
  <c r="CA237" i="1" s="1"/>
  <c r="AS237" i="1"/>
  <c r="AX237" i="1"/>
  <c r="BC237" i="1"/>
  <c r="CC237" i="1"/>
  <c r="M237" i="1"/>
  <c r="B236" i="5"/>
  <c r="AX236" i="1"/>
  <c r="AS236" i="1"/>
  <c r="BT236" i="1"/>
  <c r="AW236" i="1" s="1"/>
  <c r="AC236" i="1"/>
  <c r="BM236" i="1"/>
  <c r="CJ236" i="1"/>
  <c r="AT236" i="1"/>
  <c r="AU236" i="1" s="1"/>
  <c r="AV236" i="1"/>
  <c r="BY236" i="1"/>
  <c r="AY236" i="1"/>
  <c r="CB236" i="1"/>
  <c r="AZ236" i="1"/>
  <c r="CC236" i="1"/>
  <c r="I236" i="1"/>
  <c r="BB236" i="1"/>
  <c r="CF236" i="1"/>
  <c r="M236" i="1"/>
  <c r="BC236" i="1"/>
  <c r="CG236" i="1"/>
  <c r="P236" i="1"/>
  <c r="CA236" i="1" s="1"/>
  <c r="BI236" i="1"/>
  <c r="BL236" i="1" s="1"/>
  <c r="CH236" i="1"/>
  <c r="BJ236" i="1"/>
  <c r="CE236" i="1"/>
  <c r="CI236" i="1"/>
  <c r="S236" i="1"/>
  <c r="AO236" i="1"/>
  <c r="AR236" i="1"/>
  <c r="BA236" i="1"/>
  <c r="BO236" i="1"/>
  <c r="BV236" i="1"/>
  <c r="B235" i="5"/>
  <c r="AT235" i="1"/>
  <c r="AU235" i="1" s="1"/>
  <c r="BO235" i="1"/>
  <c r="CI235" i="1"/>
  <c r="S235" i="1"/>
  <c r="V235" i="1" s="1"/>
  <c r="BC235" i="1"/>
  <c r="CE235" i="1"/>
  <c r="AX235" i="1"/>
  <c r="BY235" i="1"/>
  <c r="I235" i="1"/>
  <c r="BA235" i="1"/>
  <c r="CC235" i="1"/>
  <c r="J235" i="1"/>
  <c r="BB235" i="1"/>
  <c r="CF235" i="1"/>
  <c r="P235" i="1"/>
  <c r="CA235" i="1" s="1"/>
  <c r="BI235" i="1"/>
  <c r="BL235" i="1" s="1"/>
  <c r="CG235" i="1"/>
  <c r="AC235" i="1"/>
  <c r="BJ235" i="1"/>
  <c r="CH235" i="1"/>
  <c r="AO235" i="1"/>
  <c r="BM235" i="1"/>
  <c r="AR235" i="1"/>
  <c r="BT235" i="1"/>
  <c r="AW235" i="1" s="1"/>
  <c r="AS235" i="1"/>
  <c r="BV235" i="1"/>
  <c r="AV235" i="1"/>
  <c r="AI235" i="1"/>
  <c r="CB235" i="1"/>
  <c r="CJ235" i="1"/>
  <c r="AY235" i="1"/>
  <c r="AZ235" i="1"/>
  <c r="B234" i="5"/>
  <c r="AS234" i="1"/>
  <c r="BM234" i="1"/>
  <c r="CH234" i="1"/>
  <c r="AY234" i="1"/>
  <c r="BY234" i="1"/>
  <c r="S234" i="1"/>
  <c r="U234" i="1" s="1"/>
  <c r="CG234" i="1"/>
  <c r="AO234" i="1"/>
  <c r="BO234" i="1"/>
  <c r="AR234" i="1"/>
  <c r="BT234" i="1"/>
  <c r="AW234" i="1" s="1"/>
  <c r="AT234" i="1"/>
  <c r="AU234" i="1" s="1"/>
  <c r="BV234" i="1"/>
  <c r="AV234" i="1"/>
  <c r="AZ234" i="1"/>
  <c r="CB234" i="1"/>
  <c r="BA234" i="1"/>
  <c r="CC234" i="1"/>
  <c r="I234" i="1"/>
  <c r="BB234" i="1"/>
  <c r="CE234" i="1"/>
  <c r="P234" i="1"/>
  <c r="CA234" i="1" s="1"/>
  <c r="BC234" i="1"/>
  <c r="CF234" i="1"/>
  <c r="AC234" i="1"/>
  <c r="AI234" i="1"/>
  <c r="AX234" i="1"/>
  <c r="BI234" i="1"/>
  <c r="BL234" i="1" s="1"/>
  <c r="BJ234" i="1"/>
  <c r="CI234" i="1"/>
  <c r="CJ234" i="1"/>
  <c r="M234" i="1"/>
  <c r="B233" i="5"/>
  <c r="AC233" i="1"/>
  <c r="BI233" i="1"/>
  <c r="BL233" i="1" s="1"/>
  <c r="CF233" i="1"/>
  <c r="AO233" i="1"/>
  <c r="BM233" i="1"/>
  <c r="CI233" i="1"/>
  <c r="AS233" i="1"/>
  <c r="BV233" i="1"/>
  <c r="AX233" i="1"/>
  <c r="AY233" i="1"/>
  <c r="CB233" i="1"/>
  <c r="I233" i="1"/>
  <c r="AZ233" i="1"/>
  <c r="CC233" i="1"/>
  <c r="BA233" i="1"/>
  <c r="CE233" i="1"/>
  <c r="P233" i="1"/>
  <c r="BC233" i="1"/>
  <c r="CH233" i="1"/>
  <c r="S233" i="1"/>
  <c r="V233" i="1" s="1"/>
  <c r="BJ233" i="1"/>
  <c r="CJ233" i="1"/>
  <c r="X233" i="1"/>
  <c r="BO233" i="1"/>
  <c r="AR233" i="1"/>
  <c r="BT233" i="1"/>
  <c r="AW233" i="1" s="1"/>
  <c r="M233" i="1"/>
  <c r="AT233" i="1"/>
  <c r="AU233" i="1" s="1"/>
  <c r="AV233" i="1"/>
  <c r="BB233" i="1"/>
  <c r="BY233" i="1"/>
  <c r="CG233" i="1"/>
  <c r="B232" i="5"/>
  <c r="X232" i="1"/>
  <c r="BB232" i="1"/>
  <c r="CE232" i="1"/>
  <c r="AZ232" i="1"/>
  <c r="CC232" i="1"/>
  <c r="L232" i="1" s="1"/>
  <c r="AY232" i="1"/>
  <c r="CF232" i="1"/>
  <c r="S232" i="1"/>
  <c r="BI232" i="1"/>
  <c r="BL232" i="1" s="1"/>
  <c r="CI232" i="1"/>
  <c r="AC232" i="1"/>
  <c r="BJ232" i="1"/>
  <c r="CJ232" i="1"/>
  <c r="AO232" i="1"/>
  <c r="BM232" i="1"/>
  <c r="BO232" i="1"/>
  <c r="AS232" i="1"/>
  <c r="BV232" i="1"/>
  <c r="AT232" i="1"/>
  <c r="AU232" i="1" s="1"/>
  <c r="AV232" i="1"/>
  <c r="BY232" i="1"/>
  <c r="AX232" i="1"/>
  <c r="CB232" i="1"/>
  <c r="P232" i="1"/>
  <c r="BC232" i="1"/>
  <c r="BT232" i="1"/>
  <c r="AW232" i="1" s="1"/>
  <c r="CG232" i="1"/>
  <c r="CH232" i="1"/>
  <c r="I232" i="1"/>
  <c r="AR232" i="1"/>
  <c r="BA232" i="1"/>
  <c r="M232" i="1"/>
  <c r="B231" i="5"/>
  <c r="AT231" i="1"/>
  <c r="AU231" i="1" s="1"/>
  <c r="P231" i="1"/>
  <c r="AZ231" i="1"/>
  <c r="CB231" i="1"/>
  <c r="AS231" i="1"/>
  <c r="BT231" i="1"/>
  <c r="AW231" i="1" s="1"/>
  <c r="AC231" i="1"/>
  <c r="BJ231" i="1"/>
  <c r="CJ231" i="1"/>
  <c r="AR231" i="1"/>
  <c r="BV231" i="1"/>
  <c r="AV231" i="1"/>
  <c r="BY231" i="1"/>
  <c r="AX231" i="1"/>
  <c r="CC231" i="1"/>
  <c r="I231" i="1"/>
  <c r="BA231" i="1"/>
  <c r="CF231" i="1"/>
  <c r="M231" i="1"/>
  <c r="BB231" i="1"/>
  <c r="CG231" i="1"/>
  <c r="S231" i="1"/>
  <c r="BC231" i="1"/>
  <c r="CH231" i="1"/>
  <c r="X231" i="1"/>
  <c r="Y231" i="1" s="1"/>
  <c r="BI231" i="1"/>
  <c r="BL231" i="1" s="1"/>
  <c r="CI231" i="1"/>
  <c r="AI231" i="1"/>
  <c r="AO231" i="1"/>
  <c r="AY231" i="1"/>
  <c r="BM231" i="1"/>
  <c r="BO231" i="1"/>
  <c r="CE231" i="1"/>
  <c r="B230" i="5"/>
  <c r="AS230" i="1"/>
  <c r="BM230" i="1"/>
  <c r="CI230" i="1"/>
  <c r="I230" i="1"/>
  <c r="BV230" i="1"/>
  <c r="AV230" i="1"/>
  <c r="P230" i="1"/>
  <c r="CA230" i="1" s="1"/>
  <c r="BB230" i="1"/>
  <c r="CF230" i="1"/>
  <c r="AX230" i="1"/>
  <c r="CC230" i="1"/>
  <c r="L230" i="1" s="1"/>
  <c r="AY230" i="1"/>
  <c r="CE230" i="1"/>
  <c r="BA230" i="1"/>
  <c r="CG230" i="1"/>
  <c r="BC230" i="1"/>
  <c r="CH230" i="1"/>
  <c r="S230" i="1"/>
  <c r="BJ230" i="1"/>
  <c r="AC230" i="1"/>
  <c r="AI230" i="1"/>
  <c r="BO230" i="1"/>
  <c r="AO230" i="1"/>
  <c r="BT230" i="1"/>
  <c r="AW230" i="1" s="1"/>
  <c r="CJ230" i="1"/>
  <c r="AR230" i="1"/>
  <c r="AT230" i="1"/>
  <c r="AU230" i="1" s="1"/>
  <c r="BI230" i="1"/>
  <c r="BL230" i="1" s="1"/>
  <c r="CB230" i="1"/>
  <c r="BY230" i="1"/>
  <c r="B229" i="5"/>
  <c r="BT229" i="1"/>
  <c r="AW229" i="1" s="1"/>
  <c r="CJ229" i="1"/>
  <c r="AS229" i="1"/>
  <c r="BO229" i="1"/>
  <c r="AT229" i="1"/>
  <c r="AU229" i="1" s="1"/>
  <c r="BV229" i="1"/>
  <c r="AC229" i="1"/>
  <c r="BM229" i="1"/>
  <c r="AX229" i="1"/>
  <c r="CC229" i="1"/>
  <c r="L229" i="1" s="1"/>
  <c r="BA229" i="1"/>
  <c r="CG229" i="1"/>
  <c r="BB229" i="1"/>
  <c r="CH229" i="1"/>
  <c r="I229" i="1"/>
  <c r="BC229" i="1"/>
  <c r="CI229" i="1"/>
  <c r="J229" i="1"/>
  <c r="BF229" i="1" s="1"/>
  <c r="BI229" i="1"/>
  <c r="BL229" i="1" s="1"/>
  <c r="S229" i="1"/>
  <c r="V229" i="1" s="1"/>
  <c r="AO229" i="1"/>
  <c r="AR229" i="1"/>
  <c r="BY229" i="1"/>
  <c r="AV229" i="1"/>
  <c r="CB229" i="1"/>
  <c r="AZ229" i="1"/>
  <c r="BJ229" i="1"/>
  <c r="CE229" i="1"/>
  <c r="CF229" i="1"/>
  <c r="P229" i="1"/>
  <c r="CA229" i="1" s="1"/>
  <c r="AY229" i="1"/>
  <c r="M229" i="1"/>
  <c r="B228" i="5"/>
  <c r="AO228" i="1"/>
  <c r="P228" i="1"/>
  <c r="BA228" i="1"/>
  <c r="BB228" i="1"/>
  <c r="AR228" i="1"/>
  <c r="BV228" i="1"/>
  <c r="AT228" i="1"/>
  <c r="AU228" i="1" s="1"/>
  <c r="I228" i="1"/>
  <c r="X228" i="1"/>
  <c r="AC228" i="1"/>
  <c r="BT228" i="1"/>
  <c r="AW228" i="1" s="1"/>
  <c r="AS228" i="1"/>
  <c r="BY228" i="1"/>
  <c r="AV228" i="1"/>
  <c r="BM228" i="1"/>
  <c r="B227" i="5"/>
  <c r="AR227" i="1"/>
  <c r="BY227" i="1"/>
  <c r="AV227" i="1"/>
  <c r="BB227" i="1"/>
  <c r="I227" i="1"/>
  <c r="P227" i="1"/>
  <c r="CA227" i="1" s="1"/>
  <c r="BM227" i="1"/>
  <c r="AC227" i="1"/>
  <c r="BT227" i="1"/>
  <c r="AW227" i="1" s="1"/>
  <c r="AO227" i="1"/>
  <c r="BV227" i="1"/>
  <c r="AS227" i="1"/>
  <c r="AT227" i="1"/>
  <c r="AU227" i="1" s="1"/>
  <c r="BA227" i="1"/>
  <c r="B226" i="5"/>
  <c r="AR226" i="1"/>
  <c r="AT226" i="1"/>
  <c r="AU226" i="1" s="1"/>
  <c r="BM226" i="1"/>
  <c r="P226" i="1"/>
  <c r="CA226" i="1" s="1"/>
  <c r="I226" i="1"/>
  <c r="AC226" i="1"/>
  <c r="AO226" i="1"/>
  <c r="BV226" i="1"/>
  <c r="AS226" i="1"/>
  <c r="AV226" i="1"/>
  <c r="BY226" i="1"/>
  <c r="BA226" i="1"/>
  <c r="BB226" i="1"/>
  <c r="BT226" i="1"/>
  <c r="AW226" i="1" s="1"/>
  <c r="B225" i="5"/>
  <c r="AR225" i="1"/>
  <c r="BI225" i="1"/>
  <c r="BL225" i="1" s="1"/>
  <c r="CF225" i="1"/>
  <c r="AI225" i="1"/>
  <c r="CG225" i="1"/>
  <c r="AO225" i="1"/>
  <c r="BJ225" i="1"/>
  <c r="CH225" i="1"/>
  <c r="AC225" i="1"/>
  <c r="BM225" i="1"/>
  <c r="AZ225" i="1"/>
  <c r="CE225" i="1"/>
  <c r="M225" i="1"/>
  <c r="BC225" i="1"/>
  <c r="P225" i="1"/>
  <c r="CA225" i="1" s="1"/>
  <c r="S225" i="1"/>
  <c r="BO225" i="1"/>
  <c r="AS225" i="1"/>
  <c r="BT225" i="1"/>
  <c r="AW225" i="1" s="1"/>
  <c r="AV225" i="1"/>
  <c r="BY225" i="1"/>
  <c r="AX225" i="1"/>
  <c r="CB225" i="1"/>
  <c r="AY225" i="1"/>
  <c r="CC225" i="1"/>
  <c r="BV225" i="1"/>
  <c r="CJ225" i="1"/>
  <c r="I225" i="1"/>
  <c r="AT225" i="1"/>
  <c r="AU225" i="1" s="1"/>
  <c r="BA225" i="1"/>
  <c r="BB225" i="1"/>
  <c r="CI225" i="1"/>
  <c r="B224" i="5"/>
  <c r="I224" i="1"/>
  <c r="P224" i="1"/>
  <c r="CA224" i="1" s="1"/>
  <c r="BA224" i="1"/>
  <c r="AT224" i="1"/>
  <c r="AU224" i="1" s="1"/>
  <c r="BV224" i="1"/>
  <c r="BB224" i="1"/>
  <c r="AC224" i="1"/>
  <c r="BM224" i="1"/>
  <c r="AO224" i="1"/>
  <c r="AR224" i="1"/>
  <c r="BT224" i="1"/>
  <c r="AW224" i="1" s="1"/>
  <c r="AS224" i="1"/>
  <c r="AV224" i="1"/>
  <c r="BY224" i="1"/>
  <c r="B223" i="5"/>
  <c r="X223" i="1"/>
  <c r="BA223" i="1"/>
  <c r="AT223" i="1"/>
  <c r="AU223" i="1" s="1"/>
  <c r="BT223" i="1"/>
  <c r="AW223" i="1" s="1"/>
  <c r="I223" i="1"/>
  <c r="P223" i="1"/>
  <c r="CA223" i="1" s="1"/>
  <c r="AC223" i="1"/>
  <c r="BM223" i="1"/>
  <c r="AO223" i="1"/>
  <c r="BV223" i="1"/>
  <c r="AR223" i="1"/>
  <c r="AS223" i="1"/>
  <c r="BY223" i="1"/>
  <c r="AV223" i="1"/>
  <c r="BB223" i="1"/>
  <c r="B222" i="5"/>
  <c r="AR222" i="1"/>
  <c r="AS222" i="1"/>
  <c r="BM222" i="1"/>
  <c r="I222" i="1"/>
  <c r="BB222" i="1"/>
  <c r="BT222" i="1"/>
  <c r="AW222" i="1" s="1"/>
  <c r="AC222" i="1"/>
  <c r="BV222" i="1"/>
  <c r="AO222" i="1"/>
  <c r="AT222" i="1"/>
  <c r="AU222" i="1" s="1"/>
  <c r="BY222" i="1"/>
  <c r="AV222" i="1"/>
  <c r="BA222" i="1"/>
  <c r="P222" i="1"/>
  <c r="CA222" i="1" s="1"/>
  <c r="B221" i="5"/>
  <c r="AO221" i="1"/>
  <c r="BT221" i="1"/>
  <c r="AW221" i="1" s="1"/>
  <c r="P221" i="1"/>
  <c r="CA221" i="1" s="1"/>
  <c r="BA221" i="1"/>
  <c r="AC221" i="1"/>
  <c r="BV221" i="1"/>
  <c r="AR221" i="1"/>
  <c r="AS221" i="1"/>
  <c r="BY221" i="1"/>
  <c r="AT221" i="1"/>
  <c r="AU221" i="1" s="1"/>
  <c r="AV221" i="1"/>
  <c r="I221" i="1"/>
  <c r="BB221" i="1"/>
  <c r="BM221" i="1"/>
  <c r="B220" i="5"/>
  <c r="BY220" i="1"/>
  <c r="P220" i="1"/>
  <c r="CA220" i="1" s="1"/>
  <c r="AO220" i="1"/>
  <c r="I220" i="1"/>
  <c r="AV220" i="1"/>
  <c r="BM220" i="1"/>
  <c r="AC220" i="1"/>
  <c r="BT220" i="1"/>
  <c r="AW220" i="1" s="1"/>
  <c r="BV220" i="1"/>
  <c r="AR220" i="1"/>
  <c r="AS220" i="1"/>
  <c r="AT220" i="1"/>
  <c r="AU220" i="1" s="1"/>
  <c r="BA220" i="1"/>
  <c r="BB220" i="1"/>
  <c r="B219" i="5"/>
  <c r="AC219" i="1"/>
  <c r="BB219" i="1"/>
  <c r="CE219" i="1"/>
  <c r="AT219" i="1"/>
  <c r="AU219" i="1" s="1"/>
  <c r="BT219" i="1"/>
  <c r="AW219" i="1" s="1"/>
  <c r="BV219" i="1"/>
  <c r="I219" i="1"/>
  <c r="AZ219" i="1"/>
  <c r="CC219" i="1"/>
  <c r="L219" i="1" s="1"/>
  <c r="AS219" i="1"/>
  <c r="BO219" i="1"/>
  <c r="BA219" i="1"/>
  <c r="CJ219" i="1"/>
  <c r="AI219" i="1"/>
  <c r="CB219" i="1"/>
  <c r="AV219" i="1"/>
  <c r="CH219" i="1"/>
  <c r="AX219" i="1"/>
  <c r="CI219" i="1"/>
  <c r="AY219" i="1"/>
  <c r="BC219" i="1"/>
  <c r="BI219" i="1"/>
  <c r="BL219" i="1" s="1"/>
  <c r="BJ219" i="1"/>
  <c r="BM219" i="1"/>
  <c r="P219" i="1"/>
  <c r="CA219" i="1" s="1"/>
  <c r="S219" i="1"/>
  <c r="BY219" i="1"/>
  <c r="AO219" i="1"/>
  <c r="AR219" i="1"/>
  <c r="CF219" i="1"/>
  <c r="CG219" i="1"/>
  <c r="B218" i="5"/>
  <c r="I218" i="1"/>
  <c r="BY218" i="1"/>
  <c r="BB218" i="1"/>
  <c r="AC218" i="1"/>
  <c r="AS218" i="1"/>
  <c r="P218" i="1"/>
  <c r="CA218" i="1" s="1"/>
  <c r="BA218" i="1"/>
  <c r="AT218" i="1"/>
  <c r="AU218" i="1" s="1"/>
  <c r="BT218" i="1"/>
  <c r="AW218" i="1" s="1"/>
  <c r="BV218" i="1"/>
  <c r="AO218" i="1"/>
  <c r="AR218" i="1"/>
  <c r="AV218" i="1"/>
  <c r="BM218" i="1"/>
  <c r="B217" i="5"/>
  <c r="AV217" i="1"/>
  <c r="BT217" i="1"/>
  <c r="AW217" i="1" s="1"/>
  <c r="BV217" i="1"/>
  <c r="P217" i="1"/>
  <c r="CA217" i="1" s="1"/>
  <c r="BA217" i="1"/>
  <c r="AT217" i="1"/>
  <c r="AU217" i="1" s="1"/>
  <c r="AC217" i="1"/>
  <c r="BB217" i="1"/>
  <c r="I217" i="1"/>
  <c r="BM217" i="1"/>
  <c r="AO217" i="1"/>
  <c r="BY217" i="1"/>
  <c r="AR217" i="1"/>
  <c r="AS217" i="1"/>
  <c r="B216" i="5"/>
  <c r="AR216" i="1"/>
  <c r="BM216" i="1"/>
  <c r="P216" i="1"/>
  <c r="CA216" i="1" s="1"/>
  <c r="AT216" i="1"/>
  <c r="AU216" i="1" s="1"/>
  <c r="BV216" i="1"/>
  <c r="I216" i="1"/>
  <c r="BB216" i="1"/>
  <c r="AO216" i="1"/>
  <c r="AS216" i="1"/>
  <c r="AV216" i="1"/>
  <c r="BA216" i="1"/>
  <c r="BT216" i="1"/>
  <c r="AW216" i="1" s="1"/>
  <c r="AC216" i="1"/>
  <c r="BY216" i="1"/>
  <c r="B215" i="5"/>
  <c r="P215" i="1"/>
  <c r="CA215" i="1" s="1"/>
  <c r="BB215" i="1"/>
  <c r="AT215" i="1"/>
  <c r="AU215" i="1" s="1"/>
  <c r="BV215" i="1"/>
  <c r="BA215" i="1"/>
  <c r="AS215" i="1"/>
  <c r="BT215" i="1"/>
  <c r="AW215" i="1" s="1"/>
  <c r="BM215" i="1"/>
  <c r="I215" i="1"/>
  <c r="BY215" i="1"/>
  <c r="AC215" i="1"/>
  <c r="AO215" i="1"/>
  <c r="AR215" i="1"/>
  <c r="AV215" i="1"/>
  <c r="B214" i="5"/>
  <c r="BY214" i="1"/>
  <c r="AC214" i="1"/>
  <c r="AT214" i="1"/>
  <c r="AU214" i="1" s="1"/>
  <c r="BT214" i="1"/>
  <c r="AW214" i="1" s="1"/>
  <c r="P214" i="1"/>
  <c r="CA214" i="1" s="1"/>
  <c r="AR214" i="1"/>
  <c r="AV214" i="1"/>
  <c r="BA214" i="1"/>
  <c r="BB214" i="1"/>
  <c r="BM214" i="1"/>
  <c r="I214" i="1"/>
  <c r="BV214" i="1"/>
  <c r="AO214" i="1"/>
  <c r="AS214" i="1"/>
  <c r="B213" i="5"/>
  <c r="BV213" i="1"/>
  <c r="AV213" i="1"/>
  <c r="BY213" i="1"/>
  <c r="P213" i="1"/>
  <c r="CA213" i="1" s="1"/>
  <c r="AT213" i="1"/>
  <c r="AU213" i="1" s="1"/>
  <c r="BT213" i="1"/>
  <c r="AW213" i="1" s="1"/>
  <c r="AC213" i="1"/>
  <c r="AO213" i="1"/>
  <c r="AR213" i="1"/>
  <c r="AS213" i="1"/>
  <c r="BA213" i="1"/>
  <c r="BB213" i="1"/>
  <c r="BM213" i="1"/>
  <c r="I213" i="1"/>
  <c r="B212" i="5"/>
  <c r="BM212" i="1"/>
  <c r="CI212" i="1"/>
  <c r="AR212" i="1"/>
  <c r="BJ212" i="1"/>
  <c r="AN212" i="1" s="1"/>
  <c r="CH212" i="1"/>
  <c r="AS212" i="1"/>
  <c r="CJ212" i="1"/>
  <c r="AX212" i="1"/>
  <c r="AO212" i="1"/>
  <c r="BI212" i="1"/>
  <c r="BL212" i="1" s="1"/>
  <c r="CG212" i="1"/>
  <c r="N212" i="1"/>
  <c r="CE212" i="1"/>
  <c r="BB212" i="1"/>
  <c r="BC212" i="1"/>
  <c r="I212" i="1"/>
  <c r="BO212" i="1"/>
  <c r="O212" i="1"/>
  <c r="BT212" i="1"/>
  <c r="AW212" i="1" s="1"/>
  <c r="P212" i="1"/>
  <c r="CA212" i="1" s="1"/>
  <c r="BV212" i="1"/>
  <c r="S212" i="1"/>
  <c r="AC212" i="1"/>
  <c r="BY212" i="1"/>
  <c r="AT212" i="1"/>
  <c r="AU212" i="1" s="1"/>
  <c r="CB212" i="1"/>
  <c r="AV212" i="1"/>
  <c r="CC212" i="1"/>
  <c r="AY212" i="1"/>
  <c r="BA212" i="1"/>
  <c r="CF212" i="1"/>
  <c r="B211" i="5"/>
  <c r="I211" i="1"/>
  <c r="BO211" i="1"/>
  <c r="CJ211" i="1"/>
  <c r="S211" i="1"/>
  <c r="BC211" i="1"/>
  <c r="CF211" i="1"/>
  <c r="AC211" i="1"/>
  <c r="CG211" i="1"/>
  <c r="AT211" i="1"/>
  <c r="AU211" i="1" s="1"/>
  <c r="BT211" i="1"/>
  <c r="AW211" i="1" s="1"/>
  <c r="BB211" i="1"/>
  <c r="CE211" i="1"/>
  <c r="BA211" i="1"/>
  <c r="AO211" i="1"/>
  <c r="BY211" i="1"/>
  <c r="AV211" i="1"/>
  <c r="CH211" i="1"/>
  <c r="CI211" i="1"/>
  <c r="AX211" i="1"/>
  <c r="AY211" i="1"/>
  <c r="BI211" i="1"/>
  <c r="BL211" i="1" s="1"/>
  <c r="M211" i="1"/>
  <c r="BJ211" i="1"/>
  <c r="N211" i="1"/>
  <c r="BM211" i="1"/>
  <c r="O211" i="1"/>
  <c r="BV211" i="1"/>
  <c r="P211" i="1"/>
  <c r="CA211" i="1" s="1"/>
  <c r="AR211" i="1"/>
  <c r="AS211" i="1"/>
  <c r="CB211" i="1"/>
  <c r="CC211" i="1"/>
  <c r="L211" i="1" s="1"/>
  <c r="B346" i="5"/>
  <c r="AI346" i="1"/>
  <c r="BC346" i="1"/>
  <c r="CF346" i="1"/>
  <c r="AR346" i="1"/>
  <c r="BJ346" i="1"/>
  <c r="CH346" i="1"/>
  <c r="O346" i="1"/>
  <c r="AX346" i="1"/>
  <c r="P346" i="1"/>
  <c r="CA346" i="1" s="1"/>
  <c r="BB346" i="1"/>
  <c r="CI346" i="1"/>
  <c r="S346" i="1"/>
  <c r="T346" i="1" s="1"/>
  <c r="BI346" i="1"/>
  <c r="BL346" i="1" s="1"/>
  <c r="CJ346" i="1"/>
  <c r="X346" i="1"/>
  <c r="BM346" i="1"/>
  <c r="AC346" i="1"/>
  <c r="BO346" i="1"/>
  <c r="AO346" i="1"/>
  <c r="AW346" i="3" s="1"/>
  <c r="BT346" i="1"/>
  <c r="AW346" i="1" s="1"/>
  <c r="AT346" i="1"/>
  <c r="AU346" i="1" s="1"/>
  <c r="BY346" i="1"/>
  <c r="AV346" i="1"/>
  <c r="CB346" i="1"/>
  <c r="I346" i="1"/>
  <c r="AY346" i="1"/>
  <c r="CC346" i="1"/>
  <c r="M346" i="1"/>
  <c r="AZ346" i="1"/>
  <c r="CE346" i="1"/>
  <c r="N346" i="1"/>
  <c r="AV330" i="3" s="1"/>
  <c r="BA346" i="1"/>
  <c r="CG346" i="1"/>
  <c r="AS346" i="1"/>
  <c r="BV346" i="1"/>
  <c r="M273" i="1"/>
  <c r="M295" i="1"/>
  <c r="M303" i="1"/>
  <c r="BC295" i="1"/>
  <c r="BI295" i="1"/>
  <c r="BL295" i="1" s="1"/>
  <c r="AI295" i="1"/>
  <c r="S295" i="5" s="1"/>
  <c r="CB295" i="1"/>
  <c r="CE295" i="1"/>
  <c r="AZ295" i="1"/>
  <c r="BI303" i="1"/>
  <c r="BL303" i="1" s="1"/>
  <c r="BJ303" i="1"/>
  <c r="AI303" i="1"/>
  <c r="S303" i="5" s="1"/>
  <c r="U303" i="5" s="1"/>
  <c r="BO303" i="1"/>
  <c r="CE303" i="1"/>
  <c r="CG303" i="1"/>
  <c r="CH303" i="1"/>
  <c r="BC303" i="1"/>
  <c r="CJ303" i="1"/>
  <c r="CF323" i="1"/>
  <c r="CG323" i="1"/>
  <c r="CI323" i="1"/>
  <c r="BJ323" i="1"/>
  <c r="CB323" i="1"/>
  <c r="AY323" i="1"/>
  <c r="N323" i="1"/>
  <c r="CG273" i="1"/>
  <c r="CJ273" i="1"/>
  <c r="BJ273" i="1"/>
  <c r="BO273" i="1"/>
  <c r="O253" i="1"/>
  <c r="CJ253" i="1"/>
  <c r="AY253" i="1"/>
  <c r="N295" i="1"/>
  <c r="BJ295" i="1"/>
  <c r="CF295" i="1"/>
  <c r="O295" i="1"/>
  <c r="CG295" i="1"/>
  <c r="CH295" i="1"/>
  <c r="BO295" i="1"/>
  <c r="CI295" i="1"/>
  <c r="AX295" i="1"/>
  <c r="CJ295" i="1"/>
  <c r="AY295" i="1"/>
  <c r="CC295" i="1"/>
  <c r="N303" i="1"/>
  <c r="AX303" i="1"/>
  <c r="O303" i="1"/>
  <c r="AY303" i="1"/>
  <c r="AZ303" i="1"/>
  <c r="CB303" i="1"/>
  <c r="CC303" i="1"/>
  <c r="CF303" i="1"/>
  <c r="CI303" i="1"/>
  <c r="AZ323" i="1"/>
  <c r="CJ323" i="1"/>
  <c r="BC323" i="1"/>
  <c r="M323" i="1"/>
  <c r="CC323" i="1"/>
  <c r="O323" i="1"/>
  <c r="BI323" i="1"/>
  <c r="BL323" i="1" s="1"/>
  <c r="CE323" i="1"/>
  <c r="AI323" i="1"/>
  <c r="S323" i="5" s="1"/>
  <c r="AX323" i="1"/>
  <c r="BO323" i="1"/>
  <c r="CH323" i="1"/>
  <c r="N273" i="1"/>
  <c r="AY273" i="1"/>
  <c r="O273" i="1"/>
  <c r="AZ273" i="1"/>
  <c r="CB273" i="1"/>
  <c r="AI273" i="1"/>
  <c r="S273" i="5" s="1"/>
  <c r="BC273" i="1"/>
  <c r="CC273" i="1"/>
  <c r="CE273" i="1"/>
  <c r="BI273" i="1"/>
  <c r="BL273" i="1" s="1"/>
  <c r="CF273" i="1"/>
  <c r="CH273" i="1"/>
  <c r="CI273" i="1"/>
  <c r="AX273" i="1"/>
  <c r="CB253" i="1"/>
  <c r="AI253" i="1"/>
  <c r="S253" i="5" s="1"/>
  <c r="CC253" i="1"/>
  <c r="BC253" i="1"/>
  <c r="CE253" i="1"/>
  <c r="BI253" i="1"/>
  <c r="BL253" i="1" s="1"/>
  <c r="CF253" i="1"/>
  <c r="BJ253" i="1"/>
  <c r="AN253" i="1" s="1"/>
  <c r="CG253" i="1"/>
  <c r="CH253" i="1"/>
  <c r="BO253" i="1"/>
  <c r="CI253" i="1"/>
  <c r="M253" i="1"/>
  <c r="N253" i="1"/>
  <c r="AX253" i="1"/>
  <c r="AZ253" i="1"/>
  <c r="W198" i="3"/>
  <c r="W324" i="3"/>
  <c r="W323" i="3"/>
  <c r="W252" i="3"/>
  <c r="AD328" i="1"/>
  <c r="W254" i="3"/>
  <c r="W245" i="3"/>
  <c r="W247" i="3"/>
  <c r="AD320" i="1"/>
  <c r="O320" i="5" s="1"/>
  <c r="W263" i="3"/>
  <c r="W237" i="3"/>
  <c r="AD336" i="1"/>
  <c r="W209" i="3"/>
  <c r="W327" i="3"/>
  <c r="W216" i="3"/>
  <c r="BI216" i="3" s="1"/>
  <c r="W201" i="3"/>
  <c r="W235" i="3"/>
  <c r="W210" i="3"/>
  <c r="W239" i="3"/>
  <c r="W234" i="3"/>
  <c r="W212" i="3"/>
  <c r="BU212" i="3" s="1"/>
  <c r="W325" i="3"/>
  <c r="W249" i="3"/>
  <c r="W233" i="3"/>
  <c r="W246" i="3"/>
  <c r="W199" i="3"/>
  <c r="W236" i="3"/>
  <c r="W232" i="3"/>
  <c r="BM232" i="3" s="1"/>
  <c r="W322" i="3"/>
  <c r="W257" i="3"/>
  <c r="W251" i="3"/>
  <c r="U237" i="3"/>
  <c r="AY237" i="3" s="1"/>
  <c r="U235" i="3"/>
  <c r="AY235" i="3" s="1"/>
  <c r="AD331" i="1"/>
  <c r="AD332" i="1"/>
  <c r="O332" i="5" s="1"/>
  <c r="W250" i="3"/>
  <c r="W260" i="3"/>
  <c r="W261" i="3"/>
  <c r="U263" i="3"/>
  <c r="AY263" i="3" s="1"/>
  <c r="AD307" i="1"/>
  <c r="O307" i="5" s="1"/>
  <c r="W255" i="3"/>
  <c r="U252" i="3"/>
  <c r="AY252" i="3" s="1"/>
  <c r="W200" i="3"/>
  <c r="AD254" i="1"/>
  <c r="AD304" i="1"/>
  <c r="O304" i="5" s="1"/>
  <c r="AD319" i="1"/>
  <c r="O319" i="5" s="1"/>
  <c r="AD314" i="1"/>
  <c r="O314" i="5" s="1"/>
  <c r="W197" i="3"/>
  <c r="AD341" i="1"/>
  <c r="AD342" i="1"/>
  <c r="AD305" i="1"/>
  <c r="O305" i="5" s="1"/>
  <c r="AD284" i="1"/>
  <c r="O284" i="5" s="1"/>
  <c r="AD237" i="1"/>
  <c r="AD261" i="1"/>
  <c r="AD285" i="1"/>
  <c r="O285" i="5" s="1"/>
  <c r="AD265" i="1"/>
  <c r="O265" i="5" s="1"/>
  <c r="AD243" i="1"/>
  <c r="O243" i="5" s="1"/>
  <c r="AD255" i="1"/>
  <c r="W258" i="3"/>
  <c r="U245" i="3"/>
  <c r="AY245" i="3" s="1"/>
  <c r="W213" i="3"/>
  <c r="W301" i="3"/>
  <c r="W229" i="3"/>
  <c r="BC229" i="3" s="1"/>
  <c r="U216" i="3"/>
  <c r="AY216" i="3" s="1"/>
  <c r="U251" i="3"/>
  <c r="AY251" i="3" s="1"/>
  <c r="U229" i="3"/>
  <c r="AY229" i="3" s="1"/>
  <c r="U225" i="3"/>
  <c r="AY225" i="3" s="1"/>
  <c r="W207" i="3"/>
  <c r="W238" i="3"/>
  <c r="BM238" i="3" s="1"/>
  <c r="W227" i="3"/>
  <c r="W225" i="3"/>
  <c r="BM225" i="3" s="1"/>
  <c r="U208" i="3"/>
  <c r="AY208" i="3" s="1"/>
  <c r="W208" i="3"/>
  <c r="U210" i="3"/>
  <c r="AY210" i="3" s="1"/>
  <c r="U209" i="3"/>
  <c r="AY209" i="3" s="1"/>
  <c r="U207" i="3"/>
  <c r="AY207" i="3" s="1"/>
  <c r="U227" i="3"/>
  <c r="AY227" i="3" s="1"/>
  <c r="U238" i="3"/>
  <c r="AY238" i="3" s="1"/>
  <c r="U234" i="3"/>
  <c r="AY234" i="3" s="1"/>
  <c r="U232" i="3"/>
  <c r="AY232" i="3" s="1"/>
  <c r="U233" i="3"/>
  <c r="AY233" i="3" s="1"/>
  <c r="U239" i="3"/>
  <c r="AY239" i="3" s="1"/>
  <c r="U236" i="3"/>
  <c r="AY236" i="3" s="1"/>
  <c r="E272" i="3"/>
  <c r="E271" i="3"/>
  <c r="BJ343" i="1" s="1"/>
  <c r="E171" i="5"/>
  <c r="AH274" i="3"/>
  <c r="H96" i="17"/>
  <c r="I96" i="17"/>
  <c r="C58" i="3"/>
  <c r="I75" i="17"/>
  <c r="H75" i="17"/>
  <c r="F228" i="3"/>
  <c r="AH228" i="3"/>
  <c r="AH287" i="3"/>
  <c r="G287" i="3"/>
  <c r="E287" i="3"/>
  <c r="M329" i="1" s="1"/>
  <c r="I5" i="17"/>
  <c r="I4" i="17"/>
  <c r="I84" i="17"/>
  <c r="I73" i="17"/>
  <c r="H73" i="17"/>
  <c r="I2" i="17"/>
  <c r="E105" i="3"/>
  <c r="H392" i="1" l="1"/>
  <c r="BW392" i="1"/>
  <c r="BW391" i="1"/>
  <c r="H391" i="1"/>
  <c r="H395" i="1"/>
  <c r="BW395" i="1"/>
  <c r="H402" i="1"/>
  <c r="BW402" i="1"/>
  <c r="H406" i="1"/>
  <c r="BW406" i="1"/>
  <c r="H389" i="1"/>
  <c r="BW389" i="1"/>
  <c r="H384" i="1"/>
  <c r="BW384" i="1"/>
  <c r="H405" i="1"/>
  <c r="BW405" i="1"/>
  <c r="BW408" i="1"/>
  <c r="H408" i="1"/>
  <c r="H396" i="1"/>
  <c r="BW396" i="1"/>
  <c r="H414" i="1"/>
  <c r="BW414" i="1"/>
  <c r="H387" i="1"/>
  <c r="BW387" i="1"/>
  <c r="H401" i="1"/>
  <c r="BW401" i="1"/>
  <c r="H394" i="1"/>
  <c r="BW394" i="1"/>
  <c r="H413" i="1"/>
  <c r="BW413" i="1"/>
  <c r="BW385" i="1"/>
  <c r="H385" i="1"/>
  <c r="H390" i="1"/>
  <c r="BW390" i="1"/>
  <c r="H397" i="1"/>
  <c r="BW397" i="1"/>
  <c r="BW404" i="1"/>
  <c r="H404" i="1"/>
  <c r="H411" i="1"/>
  <c r="BW411" i="1"/>
  <c r="H415" i="1"/>
  <c r="BW415" i="1"/>
  <c r="BC391" i="3"/>
  <c r="BM391" i="3" s="1"/>
  <c r="BU171" i="1"/>
  <c r="AW225" i="3"/>
  <c r="AW216" i="3"/>
  <c r="M344" i="1"/>
  <c r="S344" i="1"/>
  <c r="U344" i="1" s="1"/>
  <c r="CJ344" i="1"/>
  <c r="BC344" i="1"/>
  <c r="BJ344" i="1"/>
  <c r="CB344" i="1"/>
  <c r="CG344" i="1"/>
  <c r="BO344" i="1"/>
  <c r="AX344" i="1"/>
  <c r="AY344" i="1"/>
  <c r="BI344" i="1"/>
  <c r="BL344" i="1" s="1"/>
  <c r="CF329" i="1"/>
  <c r="CH343" i="1"/>
  <c r="CG343" i="1"/>
  <c r="CI344" i="1"/>
  <c r="AQ124" i="1"/>
  <c r="BS124" i="1" s="1"/>
  <c r="L124" i="1"/>
  <c r="BO329" i="1"/>
  <c r="CH344" i="1"/>
  <c r="CE344" i="1"/>
  <c r="S343" i="1"/>
  <c r="W343" i="1" s="1"/>
  <c r="CC344" i="1"/>
  <c r="AY329" i="1"/>
  <c r="AI329" i="1"/>
  <c r="AL329" i="1" s="1"/>
  <c r="CF344" i="1"/>
  <c r="BC329" i="1"/>
  <c r="AZ344" i="1"/>
  <c r="BI329" i="1"/>
  <c r="BL329" i="1" s="1"/>
  <c r="BJ329" i="1"/>
  <c r="CI329" i="1"/>
  <c r="CJ329" i="1"/>
  <c r="CE329" i="1"/>
  <c r="CB329" i="1"/>
  <c r="AX329" i="1"/>
  <c r="CH329" i="1"/>
  <c r="CJ343" i="1"/>
  <c r="CF343" i="1"/>
  <c r="BC343" i="1"/>
  <c r="BO343" i="1"/>
  <c r="CB343" i="1"/>
  <c r="CI343" i="1"/>
  <c r="CE343" i="1"/>
  <c r="M343" i="1"/>
  <c r="AX343" i="1"/>
  <c r="CC343" i="1"/>
  <c r="L343" i="1" s="1"/>
  <c r="BJ274" i="3"/>
  <c r="BR274" i="3" s="1"/>
  <c r="BV274" i="3" s="1"/>
  <c r="BB274" i="3"/>
  <c r="BT303" i="3"/>
  <c r="AU225" i="3"/>
  <c r="BB207" i="3"/>
  <c r="BO323" i="3"/>
  <c r="BO201" i="3"/>
  <c r="AU206" i="3"/>
  <c r="AU242" i="3"/>
  <c r="BO277" i="3"/>
  <c r="BO286" i="3"/>
  <c r="AU207" i="3"/>
  <c r="BO238" i="3"/>
  <c r="BO281" i="3"/>
  <c r="BB283" i="3"/>
  <c r="BO249" i="3"/>
  <c r="BU168" i="1"/>
  <c r="AU293" i="3"/>
  <c r="BB317" i="3"/>
  <c r="BT325" i="3"/>
  <c r="BT274" i="3"/>
  <c r="AU261" i="3"/>
  <c r="AU255" i="3"/>
  <c r="BB196" i="3"/>
  <c r="BT282" i="3"/>
  <c r="BO297" i="3"/>
  <c r="AI302" i="1"/>
  <c r="AU317" i="3"/>
  <c r="AU315" i="3"/>
  <c r="BO235" i="3"/>
  <c r="BO260" i="3"/>
  <c r="BB255" i="3"/>
  <c r="BN255" i="3" s="1"/>
  <c r="BO263" i="3"/>
  <c r="BO252" i="3"/>
  <c r="BT200" i="3"/>
  <c r="BO194" i="3"/>
  <c r="AU196" i="3"/>
  <c r="BO211" i="3"/>
  <c r="AU241" i="3"/>
  <c r="BO296" i="3"/>
  <c r="BO264" i="3"/>
  <c r="BT249" i="3"/>
  <c r="BB290" i="3"/>
  <c r="AU239" i="3"/>
  <c r="L168" i="1"/>
  <c r="AU305" i="3"/>
  <c r="AU323" i="3"/>
  <c r="BO300" i="3"/>
  <c r="BB305" i="3"/>
  <c r="BT315" i="3"/>
  <c r="BB323" i="3"/>
  <c r="BN323" i="3" s="1"/>
  <c r="BO265" i="3"/>
  <c r="BB197" i="3"/>
  <c r="BO207" i="3"/>
  <c r="AU238" i="3"/>
  <c r="AV124" i="3"/>
  <c r="BO305" i="3"/>
  <c r="AU215" i="3"/>
  <c r="BT261" i="3"/>
  <c r="BT265" i="3"/>
  <c r="BT230" i="3"/>
  <c r="BT285" i="3"/>
  <c r="BB302" i="3"/>
  <c r="BN302" i="3" s="1"/>
  <c r="BO247" i="3"/>
  <c r="BT243" i="3"/>
  <c r="AU258" i="3"/>
  <c r="BB277" i="3"/>
  <c r="BO199" i="3"/>
  <c r="BO306" i="3"/>
  <c r="BO298" i="3"/>
  <c r="AU319" i="3"/>
  <c r="AU227" i="3"/>
  <c r="AU248" i="3"/>
  <c r="BO326" i="3"/>
  <c r="BO237" i="3"/>
  <c r="BT259" i="3"/>
  <c r="BB201" i="3"/>
  <c r="BN201" i="3" s="1"/>
  <c r="AU244" i="3"/>
  <c r="BN327" i="3"/>
  <c r="BT257" i="3"/>
  <c r="BO209" i="3"/>
  <c r="BB248" i="3"/>
  <c r="BO283" i="3"/>
  <c r="BO234" i="3"/>
  <c r="BO168" i="3"/>
  <c r="BO312" i="3"/>
  <c r="BO258" i="3"/>
  <c r="BO275" i="3"/>
  <c r="BO307" i="3"/>
  <c r="BB282" i="3"/>
  <c r="BO229" i="3"/>
  <c r="BT213" i="3"/>
  <c r="BO246" i="3"/>
  <c r="BO248" i="3"/>
  <c r="AU281" i="3"/>
  <c r="AU232" i="3"/>
  <c r="L171" i="1"/>
  <c r="BO200" i="3"/>
  <c r="AD327" i="1"/>
  <c r="O327" i="5" s="1"/>
  <c r="P327" i="5" s="1"/>
  <c r="BB303" i="3"/>
  <c r="BN303" i="3" s="1"/>
  <c r="BO318" i="3"/>
  <c r="BO262" i="3"/>
  <c r="BO255" i="3"/>
  <c r="BO253" i="3"/>
  <c r="AU194" i="3"/>
  <c r="BO195" i="3"/>
  <c r="BO198" i="3"/>
  <c r="BB285" i="3"/>
  <c r="AU201" i="3"/>
  <c r="BB314" i="3"/>
  <c r="AU240" i="3"/>
  <c r="BO276" i="3"/>
  <c r="AU296" i="3"/>
  <c r="BO280" i="3"/>
  <c r="BO228" i="3"/>
  <c r="BO299" i="3"/>
  <c r="BB286" i="3"/>
  <c r="BO319" i="3"/>
  <c r="BO308" i="3"/>
  <c r="BB281" i="3"/>
  <c r="BR305" i="3"/>
  <c r="BV305" i="3" s="1"/>
  <c r="BN305" i="3"/>
  <c r="CD124" i="1"/>
  <c r="BU124" i="1"/>
  <c r="BM293" i="3"/>
  <c r="BU293" i="3"/>
  <c r="BU318" i="3"/>
  <c r="BM318" i="3"/>
  <c r="BU315" i="3"/>
  <c r="BM315" i="3"/>
  <c r="BR323" i="3"/>
  <c r="BV323" i="3" s="1"/>
  <c r="BU273" i="3"/>
  <c r="BM273" i="3"/>
  <c r="BN265" i="3"/>
  <c r="BR265" i="3"/>
  <c r="BV265" i="3" s="1"/>
  <c r="BN244" i="3"/>
  <c r="BR244" i="3"/>
  <c r="BV244" i="3" s="1"/>
  <c r="BR302" i="3"/>
  <c r="BV302" i="3" s="1"/>
  <c r="BR314" i="3"/>
  <c r="BV314" i="3"/>
  <c r="BR258" i="3"/>
  <c r="BN258" i="3"/>
  <c r="BV258" i="3"/>
  <c r="BR241" i="3"/>
  <c r="BV241" i="3" s="1"/>
  <c r="BN241" i="3"/>
  <c r="BN277" i="3"/>
  <c r="BR277" i="3"/>
  <c r="BV277" i="3" s="1"/>
  <c r="BM276" i="3"/>
  <c r="BU276" i="3"/>
  <c r="BS275" i="3"/>
  <c r="BK275" i="3"/>
  <c r="BN275" i="3"/>
  <c r="BR275" i="3"/>
  <c r="BV275" i="3" s="1"/>
  <c r="BN238" i="3"/>
  <c r="BR238" i="3"/>
  <c r="BV238" i="3" s="1"/>
  <c r="BR290" i="3"/>
  <c r="BV290" i="3"/>
  <c r="BR232" i="3"/>
  <c r="BV232" i="3" s="1"/>
  <c r="BN232" i="3"/>
  <c r="BM275" i="3"/>
  <c r="BU275" i="3"/>
  <c r="AS105" i="3"/>
  <c r="BH105" i="3" s="1"/>
  <c r="AT105" i="3"/>
  <c r="BJ105" i="3" s="1"/>
  <c r="BF105" i="3"/>
  <c r="AP105" i="3"/>
  <c r="AQ105" i="3" s="1"/>
  <c r="BG105" i="3"/>
  <c r="AX105" i="3"/>
  <c r="BP105" i="3" a="1"/>
  <c r="BP105" i="3" s="1"/>
  <c r="BT105" i="3" s="1"/>
  <c r="BE105" i="3"/>
  <c r="BB105" i="3"/>
  <c r="AX105" i="1"/>
  <c r="AY105" i="1"/>
  <c r="AZ105" i="1"/>
  <c r="CB105" i="1"/>
  <c r="S105" i="1"/>
  <c r="CC105" i="1"/>
  <c r="AQ105" i="1" s="1"/>
  <c r="BS105" i="1" s="1"/>
  <c r="BC105" i="1"/>
  <c r="CE105" i="1"/>
  <c r="BI105" i="1"/>
  <c r="BL105" i="1" s="1"/>
  <c r="CF105" i="1"/>
  <c r="BJ105" i="1"/>
  <c r="CG105" i="1"/>
  <c r="CH105" i="1"/>
  <c r="BO105" i="1"/>
  <c r="BQ105" i="1" s="1"/>
  <c r="BN105" i="1" s="1"/>
  <c r="CI105" i="1"/>
  <c r="CJ105" i="1"/>
  <c r="AC105" i="5"/>
  <c r="M105" i="1"/>
  <c r="X105" i="5"/>
  <c r="W105" i="5"/>
  <c r="Y105" i="5"/>
  <c r="J105" i="1"/>
  <c r="K105" i="1"/>
  <c r="BD105" i="1"/>
  <c r="BE105" i="1"/>
  <c r="BH105" i="1"/>
  <c r="AP105" i="1"/>
  <c r="AB105" i="5" s="1"/>
  <c r="AS287" i="3"/>
  <c r="BH287" i="3" s="1"/>
  <c r="BO287" i="3" s="1"/>
  <c r="BP287" i="3" a="1"/>
  <c r="BP287" i="3" s="1"/>
  <c r="BT287" i="3" s="1"/>
  <c r="AT287" i="3"/>
  <c r="BJ287" i="3" s="1"/>
  <c r="BR287" i="3" s="1"/>
  <c r="BV287" i="3" s="1"/>
  <c r="BF287" i="3"/>
  <c r="BG287" i="3"/>
  <c r="AU287" i="3"/>
  <c r="Z378" i="5"/>
  <c r="AA378" i="5"/>
  <c r="AP271" i="3"/>
  <c r="AQ271" i="3" s="1"/>
  <c r="AS271" i="3"/>
  <c r="BH271" i="3" s="1"/>
  <c r="AT271" i="3"/>
  <c r="BP271" i="3" a="1"/>
  <c r="BP271" i="3" s="1"/>
  <c r="BT271" i="3" s="1"/>
  <c r="BF271" i="3"/>
  <c r="BG271" i="3"/>
  <c r="BB271" i="3"/>
  <c r="AP272" i="3"/>
  <c r="AQ272" i="3" s="1"/>
  <c r="AS272" i="3"/>
  <c r="BH272" i="3" s="1"/>
  <c r="AT272" i="3"/>
  <c r="BJ272" i="3" s="1"/>
  <c r="BR272" i="3" s="1"/>
  <c r="BV272" i="3" s="1"/>
  <c r="BF272" i="3"/>
  <c r="BG272" i="3"/>
  <c r="BP272" i="3" a="1"/>
  <c r="BP272" i="3" s="1"/>
  <c r="BT272" i="3" s="1"/>
  <c r="BB330" i="3"/>
  <c r="BJ330" i="3"/>
  <c r="BS330" i="3"/>
  <c r="BK330" i="3"/>
  <c r="BK305" i="3"/>
  <c r="BS305" i="3"/>
  <c r="BK304" i="3"/>
  <c r="BS304" i="3"/>
  <c r="BS303" i="3"/>
  <c r="BK303" i="3"/>
  <c r="BG124" i="1"/>
  <c r="BF124" i="1"/>
  <c r="BK124" i="3"/>
  <c r="BS124" i="3"/>
  <c r="U124" i="1"/>
  <c r="V124" i="1"/>
  <c r="G124" i="5"/>
  <c r="W124" i="1"/>
  <c r="T124" i="1"/>
  <c r="BZ124" i="1"/>
  <c r="BP124" i="1" a="1"/>
  <c r="BP124" i="1" s="1"/>
  <c r="BK124" i="1"/>
  <c r="AN124" i="1"/>
  <c r="AU124" i="3"/>
  <c r="BJ124" i="3"/>
  <c r="BR124" i="3" s="1"/>
  <c r="BV124" i="3" s="1"/>
  <c r="BK214" i="3"/>
  <c r="BS214" i="3"/>
  <c r="BN214" i="3"/>
  <c r="BR214" i="3"/>
  <c r="BV214" i="3" s="1"/>
  <c r="BL214" i="3"/>
  <c r="BO214" i="3"/>
  <c r="BK215" i="3"/>
  <c r="BS215" i="3"/>
  <c r="BV215" i="3"/>
  <c r="BN215" i="3"/>
  <c r="BR215" i="3"/>
  <c r="BO215" i="3"/>
  <c r="BL215" i="3"/>
  <c r="BR293" i="3"/>
  <c r="BV293" i="3"/>
  <c r="BT293" i="3"/>
  <c r="BO293" i="3"/>
  <c r="BK293" i="3"/>
  <c r="BS293" i="3"/>
  <c r="BK318" i="3"/>
  <c r="BS318" i="3"/>
  <c r="BB318" i="3"/>
  <c r="BJ318" i="3"/>
  <c r="BM317" i="3"/>
  <c r="BU317" i="3"/>
  <c r="BK317" i="3"/>
  <c r="BS317" i="3"/>
  <c r="BV317" i="3"/>
  <c r="BR317" i="3"/>
  <c r="BK315" i="3"/>
  <c r="BS315" i="3"/>
  <c r="BV315" i="3"/>
  <c r="BR315" i="3"/>
  <c r="BS313" i="3"/>
  <c r="BK313" i="3"/>
  <c r="AU313" i="3"/>
  <c r="BJ313" i="3"/>
  <c r="BK316" i="3"/>
  <c r="BS316" i="3"/>
  <c r="BS326" i="3"/>
  <c r="BK326" i="3"/>
  <c r="BK325" i="3"/>
  <c r="BS325" i="3"/>
  <c r="AU325" i="3"/>
  <c r="BJ325" i="3"/>
  <c r="BR325" i="3" s="1"/>
  <c r="BV325" i="3" s="1"/>
  <c r="BS324" i="3"/>
  <c r="BK324" i="3"/>
  <c r="BB324" i="3"/>
  <c r="BJ324" i="3"/>
  <c r="BS323" i="3"/>
  <c r="BK323" i="3"/>
  <c r="BB322" i="3"/>
  <c r="BJ322" i="3"/>
  <c r="BS322" i="3"/>
  <c r="BK322" i="3"/>
  <c r="BU274" i="3"/>
  <c r="BM274" i="3"/>
  <c r="BK274" i="3"/>
  <c r="BS274" i="3"/>
  <c r="BS273" i="3"/>
  <c r="BK273" i="3"/>
  <c r="BR273" i="3"/>
  <c r="BV273" i="3" s="1"/>
  <c r="BS301" i="3"/>
  <c r="BK301" i="3"/>
  <c r="AU301" i="3"/>
  <c r="BJ301" i="3"/>
  <c r="BR225" i="3"/>
  <c r="BV225" i="3" s="1"/>
  <c r="BN225" i="3"/>
  <c r="BO225" i="3"/>
  <c r="BL225" i="3"/>
  <c r="BS225" i="3"/>
  <c r="BK225" i="3"/>
  <c r="BS237" i="3"/>
  <c r="BK237" i="3"/>
  <c r="AU237" i="3"/>
  <c r="BJ237" i="3"/>
  <c r="BK235" i="3"/>
  <c r="BS235" i="3"/>
  <c r="AU235" i="3"/>
  <c r="BJ235" i="3"/>
  <c r="BS262" i="3"/>
  <c r="BK262" i="3"/>
  <c r="BR261" i="3"/>
  <c r="BV261" i="3" s="1"/>
  <c r="BN261" i="3"/>
  <c r="BS261" i="3"/>
  <c r="BK261" i="3"/>
  <c r="AU260" i="3"/>
  <c r="BJ260" i="3"/>
  <c r="BS260" i="3"/>
  <c r="BK260" i="3"/>
  <c r="BK259" i="3"/>
  <c r="BS259" i="3"/>
  <c r="AU259" i="3"/>
  <c r="BJ259" i="3"/>
  <c r="BK265" i="3"/>
  <c r="BS265" i="3"/>
  <c r="BS255" i="3"/>
  <c r="BK255" i="3"/>
  <c r="BI288" i="3"/>
  <c r="BU288" i="3" s="1"/>
  <c r="BO288" i="3"/>
  <c r="BS288" i="3"/>
  <c r="BK288" i="3"/>
  <c r="BK263" i="3"/>
  <c r="BS263" i="3"/>
  <c r="BV263" i="3"/>
  <c r="BR263" i="3"/>
  <c r="BK254" i="3"/>
  <c r="BS254" i="3"/>
  <c r="AU254" i="3"/>
  <c r="BJ254" i="3"/>
  <c r="BK250" i="3"/>
  <c r="BS250" i="3"/>
  <c r="AU250" i="3"/>
  <c r="BJ250" i="3"/>
  <c r="BS251" i="3"/>
  <c r="BK251" i="3"/>
  <c r="BB251" i="3"/>
  <c r="BJ251" i="3"/>
  <c r="BS230" i="3"/>
  <c r="BK230" i="3"/>
  <c r="AU230" i="3"/>
  <c r="BJ230" i="3"/>
  <c r="BO230" i="3"/>
  <c r="BL230" i="3"/>
  <c r="BB268" i="3"/>
  <c r="BJ268" i="3"/>
  <c r="BS268" i="3"/>
  <c r="BK268" i="3"/>
  <c r="BS252" i="3"/>
  <c r="BK252" i="3"/>
  <c r="BK253" i="3"/>
  <c r="BS253" i="3"/>
  <c r="AU253" i="3"/>
  <c r="BJ253" i="3"/>
  <c r="BK200" i="3"/>
  <c r="BS200" i="3"/>
  <c r="BR200" i="3"/>
  <c r="BV200" i="3"/>
  <c r="BN200" i="3"/>
  <c r="BK194" i="3"/>
  <c r="BS194" i="3"/>
  <c r="BV194" i="3"/>
  <c r="BR194" i="3"/>
  <c r="BS195" i="3"/>
  <c r="BK195" i="3"/>
  <c r="AU195" i="3"/>
  <c r="BJ195" i="3"/>
  <c r="BK196" i="3"/>
  <c r="BS196" i="3"/>
  <c r="BR196" i="3"/>
  <c r="BV196" i="3"/>
  <c r="BK198" i="3"/>
  <c r="BS198" i="3"/>
  <c r="BB198" i="3"/>
  <c r="BJ198" i="3"/>
  <c r="BK285" i="3"/>
  <c r="F318" i="5" s="1"/>
  <c r="BS285" i="3"/>
  <c r="BI294" i="3"/>
  <c r="BS294" i="3"/>
  <c r="BK294" i="3"/>
  <c r="BB294" i="3"/>
  <c r="BJ294" i="3"/>
  <c r="AU294" i="3"/>
  <c r="X332" i="1" s="1"/>
  <c r="BH294" i="3"/>
  <c r="BV201" i="3"/>
  <c r="BR201" i="3"/>
  <c r="BK201" i="3"/>
  <c r="BS201" i="3"/>
  <c r="BK197" i="3"/>
  <c r="BS197" i="3"/>
  <c r="BR197" i="3"/>
  <c r="BV197" i="3"/>
  <c r="BR291" i="3"/>
  <c r="BV291" i="3"/>
  <c r="BK291" i="3"/>
  <c r="BS291" i="3"/>
  <c r="BS267" i="3"/>
  <c r="BK267" i="3"/>
  <c r="BR267" i="3"/>
  <c r="BV267" i="3"/>
  <c r="AU267" i="3"/>
  <c r="BH267" i="3"/>
  <c r="BO244" i="3"/>
  <c r="BL244" i="3"/>
  <c r="BS244" i="3"/>
  <c r="BK244" i="3"/>
  <c r="BS302" i="3"/>
  <c r="BK302" i="3"/>
  <c r="BK210" i="3"/>
  <c r="BS210" i="3"/>
  <c r="AU210" i="3"/>
  <c r="BJ210" i="3"/>
  <c r="BL210" i="3"/>
  <c r="BO210" i="3"/>
  <c r="BK206" i="3"/>
  <c r="BS206" i="3"/>
  <c r="BV206" i="3"/>
  <c r="BR206" i="3"/>
  <c r="BN206" i="3"/>
  <c r="BO206" i="3"/>
  <c r="BL206" i="3"/>
  <c r="BS208" i="3"/>
  <c r="BK208" i="3"/>
  <c r="AU208" i="3"/>
  <c r="BJ208" i="3"/>
  <c r="BL208" i="3"/>
  <c r="BO208" i="3"/>
  <c r="BK218" i="3"/>
  <c r="BS218" i="3"/>
  <c r="AU218" i="3"/>
  <c r="BJ218" i="3"/>
  <c r="BO218" i="3"/>
  <c r="BL218" i="3"/>
  <c r="BR247" i="3"/>
  <c r="BV247" i="3"/>
  <c r="BK247" i="3"/>
  <c r="F310" i="5" s="1"/>
  <c r="BS247" i="3"/>
  <c r="BS243" i="3"/>
  <c r="BK243" i="3"/>
  <c r="BO243" i="3"/>
  <c r="BL243" i="3"/>
  <c r="BN243" i="3"/>
  <c r="BR243" i="3"/>
  <c r="BV243" i="3" s="1"/>
  <c r="BS314" i="3"/>
  <c r="BK314" i="3"/>
  <c r="AU314" i="3"/>
  <c r="BH314" i="3"/>
  <c r="BI314" i="3" s="1"/>
  <c r="BU314" i="3" s="1"/>
  <c r="BS312" i="3"/>
  <c r="BK312" i="3"/>
  <c r="BB312" i="3"/>
  <c r="BJ312" i="3"/>
  <c r="BR312" i="3" s="1"/>
  <c r="BV312" i="3" s="1"/>
  <c r="BS258" i="3"/>
  <c r="BK258" i="3"/>
  <c r="BN211" i="3"/>
  <c r="BR211" i="3"/>
  <c r="BV211" i="3" s="1"/>
  <c r="BK211" i="3"/>
  <c r="F296" i="5" s="1"/>
  <c r="BS211" i="3"/>
  <c r="BR240" i="3"/>
  <c r="BV240" i="3"/>
  <c r="BN240" i="3"/>
  <c r="BK240" i="3"/>
  <c r="BS240" i="3"/>
  <c r="BO240" i="3"/>
  <c r="BL240" i="3"/>
  <c r="BS242" i="3"/>
  <c r="BK242" i="3"/>
  <c r="BR242" i="3"/>
  <c r="BV242" i="3"/>
  <c r="BN242" i="3"/>
  <c r="BO242" i="3"/>
  <c r="BL242" i="3"/>
  <c r="BL241" i="3"/>
  <c r="BO241" i="3"/>
  <c r="BK241" i="3"/>
  <c r="BS241" i="3"/>
  <c r="BR245" i="3"/>
  <c r="BN245" i="3"/>
  <c r="BV245" i="3"/>
  <c r="BS245" i="3"/>
  <c r="BK245" i="3"/>
  <c r="BS217" i="3"/>
  <c r="BK217" i="3"/>
  <c r="BL217" i="3"/>
  <c r="BO217" i="3"/>
  <c r="AU217" i="3"/>
  <c r="BJ217" i="3"/>
  <c r="BI277" i="3"/>
  <c r="BK277" i="3"/>
  <c r="BS277" i="3"/>
  <c r="BK276" i="3"/>
  <c r="BS276" i="3"/>
  <c r="BB276" i="3"/>
  <c r="BJ276" i="3"/>
  <c r="BB307" i="3"/>
  <c r="BJ307" i="3"/>
  <c r="BK307" i="3"/>
  <c r="F290" i="5" s="1"/>
  <c r="BS307" i="3"/>
  <c r="BR216" i="3"/>
  <c r="BV216" i="3" s="1"/>
  <c r="BN216" i="3"/>
  <c r="BL216" i="3"/>
  <c r="BO216" i="3"/>
  <c r="BK216" i="3"/>
  <c r="BS216" i="3"/>
  <c r="BR296" i="3"/>
  <c r="BV296" i="3"/>
  <c r="BI296" i="3"/>
  <c r="BM296" i="3" s="1"/>
  <c r="BK296" i="3"/>
  <c r="F285" i="5" s="1"/>
  <c r="BS296" i="3"/>
  <c r="AU327" i="3"/>
  <c r="BJ327" i="3"/>
  <c r="BR327" i="3" s="1"/>
  <c r="BV327" i="3" s="1"/>
  <c r="BS327" i="3"/>
  <c r="BK327" i="3"/>
  <c r="F281" i="5" s="1"/>
  <c r="BS280" i="3"/>
  <c r="BK280" i="3"/>
  <c r="AU280" i="3"/>
  <c r="BJ280" i="3"/>
  <c r="BS220" i="3"/>
  <c r="BK220" i="3"/>
  <c r="BR220" i="3"/>
  <c r="BV220" i="3" s="1"/>
  <c r="BN220" i="3"/>
  <c r="AU220" i="3"/>
  <c r="BH220" i="3"/>
  <c r="BI220" i="3" s="1"/>
  <c r="BU220" i="3" s="1"/>
  <c r="BK282" i="3"/>
  <c r="BS282" i="3"/>
  <c r="BR282" i="3"/>
  <c r="BV282" i="3"/>
  <c r="AU199" i="3"/>
  <c r="BJ199" i="3"/>
  <c r="BK199" i="3"/>
  <c r="BS199" i="3"/>
  <c r="BB306" i="3"/>
  <c r="BJ306" i="3"/>
  <c r="BS306" i="3"/>
  <c r="BK306" i="3"/>
  <c r="AU228" i="3"/>
  <c r="BJ228" i="3"/>
  <c r="BK228" i="3"/>
  <c r="BS228" i="3"/>
  <c r="AU229" i="3"/>
  <c r="BJ229" i="3"/>
  <c r="BK229" i="3"/>
  <c r="BS229" i="3"/>
  <c r="BK297" i="3"/>
  <c r="BS297" i="3"/>
  <c r="AU297" i="3"/>
  <c r="BJ297" i="3"/>
  <c r="BS213" i="3"/>
  <c r="BK213" i="3"/>
  <c r="F315" i="5" s="1"/>
  <c r="AU213" i="3"/>
  <c r="BJ213" i="3"/>
  <c r="BO213" i="3"/>
  <c r="BL213" i="3"/>
  <c r="BK257" i="3"/>
  <c r="BS257" i="3"/>
  <c r="BB257" i="3"/>
  <c r="BJ257" i="3"/>
  <c r="AU328" i="3"/>
  <c r="BJ328" i="3"/>
  <c r="BS328" i="3"/>
  <c r="BK328" i="3"/>
  <c r="BS300" i="3"/>
  <c r="BK300" i="3"/>
  <c r="AU300" i="3"/>
  <c r="BJ300" i="3"/>
  <c r="BS299" i="3"/>
  <c r="BK299" i="3"/>
  <c r="BN299" i="3"/>
  <c r="BR299" i="3"/>
  <c r="BV299" i="3" s="1"/>
  <c r="BK298" i="3"/>
  <c r="BS298" i="3"/>
  <c r="BS266" i="3"/>
  <c r="BK266" i="3"/>
  <c r="F265" i="5" s="1"/>
  <c r="BB266" i="3"/>
  <c r="BJ266" i="3"/>
  <c r="AU266" i="3"/>
  <c r="X265" i="1" s="1"/>
  <c r="BH266" i="3"/>
  <c r="BB246" i="3"/>
  <c r="BJ246" i="3"/>
  <c r="BS246" i="3"/>
  <c r="BK246" i="3"/>
  <c r="BB264" i="3"/>
  <c r="BJ264" i="3"/>
  <c r="BK264" i="3"/>
  <c r="BS264" i="3"/>
  <c r="BK286" i="3"/>
  <c r="BS286" i="3"/>
  <c r="BR286" i="3"/>
  <c r="BV286" i="3" s="1"/>
  <c r="BB319" i="3"/>
  <c r="BJ319" i="3"/>
  <c r="BR319" i="3" s="1"/>
  <c r="BV319" i="3" s="1"/>
  <c r="BK319" i="3"/>
  <c r="BS319" i="3"/>
  <c r="BK209" i="3"/>
  <c r="BS209" i="3"/>
  <c r="BR209" i="3"/>
  <c r="BV209" i="3"/>
  <c r="BK207" i="3"/>
  <c r="BS207" i="3"/>
  <c r="BV207" i="3"/>
  <c r="BR207" i="3"/>
  <c r="BK295" i="3"/>
  <c r="BS295" i="3"/>
  <c r="BB295" i="3"/>
  <c r="BJ295" i="3"/>
  <c r="AU295" i="3"/>
  <c r="BH295" i="3"/>
  <c r="BO295" i="3" s="1"/>
  <c r="BU295" i="3"/>
  <c r="BM295" i="3"/>
  <c r="BS308" i="3"/>
  <c r="BK308" i="3"/>
  <c r="BB308" i="3"/>
  <c r="BJ308" i="3"/>
  <c r="BB249" i="3"/>
  <c r="BJ249" i="3"/>
  <c r="BS249" i="3"/>
  <c r="BK249" i="3"/>
  <c r="BO227" i="3"/>
  <c r="BL227" i="3"/>
  <c r="BN227" i="3"/>
  <c r="BR227" i="3"/>
  <c r="BV227" i="3" s="1"/>
  <c r="BK227" i="3"/>
  <c r="BS227" i="3"/>
  <c r="BK238" i="3"/>
  <c r="BS238" i="3"/>
  <c r="BR292" i="3"/>
  <c r="BV292" i="3"/>
  <c r="AU292" i="3"/>
  <c r="BH292" i="3"/>
  <c r="BT292" i="3" s="1"/>
  <c r="BK292" i="3"/>
  <c r="BS292" i="3"/>
  <c r="BN223" i="3"/>
  <c r="BR223" i="3"/>
  <c r="BV223" i="3" s="1"/>
  <c r="AU223" i="3"/>
  <c r="BH223" i="3"/>
  <c r="BI223" i="3" s="1"/>
  <c r="BU223" i="3" s="1"/>
  <c r="BK223" i="3"/>
  <c r="F241" i="5" s="1"/>
  <c r="BS223" i="3"/>
  <c r="BK222" i="3"/>
  <c r="BS222" i="3"/>
  <c r="BI222" i="3"/>
  <c r="BU222" i="3" s="1"/>
  <c r="BL222" i="3"/>
  <c r="BO222" i="3"/>
  <c r="BN222" i="3"/>
  <c r="BR222" i="3"/>
  <c r="BV222" i="3"/>
  <c r="BR221" i="3"/>
  <c r="BV221" i="3" s="1"/>
  <c r="BN221" i="3"/>
  <c r="BO221" i="3"/>
  <c r="BL221" i="3"/>
  <c r="BS221" i="3"/>
  <c r="BK221" i="3"/>
  <c r="BS248" i="3"/>
  <c r="BK248" i="3"/>
  <c r="BV248" i="3"/>
  <c r="BR248" i="3"/>
  <c r="AU290" i="3"/>
  <c r="BH290" i="3"/>
  <c r="BT290" i="3" s="1"/>
  <c r="BS290" i="3"/>
  <c r="BK290" i="3"/>
  <c r="BS212" i="3"/>
  <c r="BK212" i="3"/>
  <c r="AU212" i="3"/>
  <c r="BJ212" i="3"/>
  <c r="BO212" i="3"/>
  <c r="BL212" i="3"/>
  <c r="BS281" i="3"/>
  <c r="BK281" i="3"/>
  <c r="BK283" i="3"/>
  <c r="BS283" i="3"/>
  <c r="BK234" i="3"/>
  <c r="BS234" i="3"/>
  <c r="AU234" i="3"/>
  <c r="BJ234" i="3"/>
  <c r="BS232" i="3"/>
  <c r="BK232" i="3"/>
  <c r="BK233" i="3"/>
  <c r="BS233" i="3"/>
  <c r="BR233" i="3"/>
  <c r="BV233" i="3" s="1"/>
  <c r="BN233" i="3"/>
  <c r="BK239" i="3"/>
  <c r="BS239" i="3"/>
  <c r="BR239" i="3"/>
  <c r="BV239" i="3"/>
  <c r="BN239" i="3"/>
  <c r="BS236" i="3"/>
  <c r="BK236" i="3"/>
  <c r="AU236" i="3"/>
  <c r="BJ236" i="3"/>
  <c r="BS171" i="3"/>
  <c r="BK171" i="3"/>
  <c r="BG171" i="1"/>
  <c r="BW171" i="1"/>
  <c r="CD171" i="1"/>
  <c r="BF171" i="1"/>
  <c r="BK171" i="1"/>
  <c r="AN171" i="1"/>
  <c r="BP171" i="1" a="1"/>
  <c r="BP171" i="1" s="1"/>
  <c r="BZ171" i="1"/>
  <c r="CA171" i="1"/>
  <c r="S171" i="5"/>
  <c r="AJ171" i="1"/>
  <c r="AK171" i="1"/>
  <c r="AL171" i="1"/>
  <c r="AM171" i="1"/>
  <c r="G171" i="5"/>
  <c r="V171" i="1"/>
  <c r="W171" i="1"/>
  <c r="T171" i="1"/>
  <c r="U171" i="1"/>
  <c r="AU171" i="3"/>
  <c r="BJ171" i="3"/>
  <c r="G168" i="5"/>
  <c r="V168" i="1"/>
  <c r="T168" i="1"/>
  <c r="U168" i="1"/>
  <c r="W168" i="1"/>
  <c r="BG168" i="1"/>
  <c r="BP168" i="1" s="1" a="1"/>
  <c r="BP168" i="1" s="1"/>
  <c r="CD168" i="1"/>
  <c r="BF168" i="1"/>
  <c r="BW168" i="1"/>
  <c r="AN168" i="1"/>
  <c r="BK168" i="1"/>
  <c r="CA168" i="1"/>
  <c r="BZ168" i="1"/>
  <c r="AU168" i="3"/>
  <c r="BJ168" i="3"/>
  <c r="BK168" i="3"/>
  <c r="BS168" i="3"/>
  <c r="AW226" i="3"/>
  <c r="AW244" i="3"/>
  <c r="AW282" i="3"/>
  <c r="Q339" i="1"/>
  <c r="R339" i="1" s="1"/>
  <c r="AW254" i="3"/>
  <c r="AI339" i="1"/>
  <c r="AL339" i="1" s="1"/>
  <c r="AW318" i="3"/>
  <c r="AW221" i="3"/>
  <c r="AW253" i="3"/>
  <c r="AW317" i="3"/>
  <c r="BH323" i="1"/>
  <c r="AW276" i="3"/>
  <c r="AD302" i="1"/>
  <c r="AF302" i="1" s="1"/>
  <c r="AW234" i="3"/>
  <c r="AW287" i="3"/>
  <c r="AW263" i="3"/>
  <c r="BQ323" i="1"/>
  <c r="BN323" i="1" s="1"/>
  <c r="J323" i="1"/>
  <c r="BG323" i="1" s="1"/>
  <c r="BP323" i="1" s="1" a="1"/>
  <c r="BP323" i="1" s="1"/>
  <c r="S323" i="1"/>
  <c r="U323" i="1" s="1"/>
  <c r="AW247" i="3"/>
  <c r="AW293" i="3"/>
  <c r="AW242" i="3"/>
  <c r="AW274" i="3"/>
  <c r="AP323" i="1"/>
  <c r="AB323" i="5" s="1"/>
  <c r="AV315" i="3"/>
  <c r="AQ295" i="1"/>
  <c r="BS295" i="1" s="1"/>
  <c r="AW245" i="3"/>
  <c r="AW222" i="3"/>
  <c r="AV196" i="3"/>
  <c r="AW236" i="3"/>
  <c r="AW264" i="3"/>
  <c r="AW270" i="3"/>
  <c r="AW316" i="3"/>
  <c r="AW290" i="3"/>
  <c r="AW298" i="3"/>
  <c r="AW313" i="3"/>
  <c r="AW232" i="3"/>
  <c r="AW277" i="3"/>
  <c r="AW283" i="3"/>
  <c r="AW301" i="3"/>
  <c r="AW324" i="3"/>
  <c r="BW383" i="1"/>
  <c r="BM363" i="3"/>
  <c r="N379" i="5" s="1"/>
  <c r="BL367" i="3"/>
  <c r="J383" i="5" s="1"/>
  <c r="BW381" i="1"/>
  <c r="BW380" i="1"/>
  <c r="AW275" i="3"/>
  <c r="BZ210" i="1"/>
  <c r="AD335" i="1"/>
  <c r="AF335" i="1" s="1"/>
  <c r="AW328" i="3"/>
  <c r="AW246" i="3"/>
  <c r="AW271" i="3"/>
  <c r="AQ323" i="1"/>
  <c r="BS323" i="1" s="1"/>
  <c r="AW217" i="3"/>
  <c r="AW220" i="3"/>
  <c r="AW233" i="3"/>
  <c r="AW279" i="3"/>
  <c r="AW230" i="3"/>
  <c r="AW235" i="3"/>
  <c r="AW273" i="3"/>
  <c r="AW306" i="3"/>
  <c r="AW223" i="3"/>
  <c r="AW267" i="3"/>
  <c r="AI274" i="1"/>
  <c r="AJ274" i="1" s="1"/>
  <c r="AI335" i="1"/>
  <c r="AK335" i="1" s="1"/>
  <c r="AI334" i="1"/>
  <c r="S334" i="5" s="1"/>
  <c r="AW265" i="3"/>
  <c r="AW329" i="3"/>
  <c r="AW285" i="3"/>
  <c r="AW297" i="3"/>
  <c r="AW238" i="3"/>
  <c r="AW229" i="3"/>
  <c r="AW272" i="3"/>
  <c r="AW278" i="3"/>
  <c r="AW308" i="3"/>
  <c r="AW291" i="3"/>
  <c r="AW260" i="3"/>
  <c r="AW262" i="3"/>
  <c r="AW266" i="3"/>
  <c r="AW269" i="3"/>
  <c r="AW286" i="3"/>
  <c r="AW288" i="3"/>
  <c r="AW296" i="3"/>
  <c r="AI298" i="1"/>
  <c r="AL298" i="1" s="1"/>
  <c r="AW248" i="3"/>
  <c r="AW292" i="3"/>
  <c r="AW231" i="3"/>
  <c r="AW299" i="3"/>
  <c r="AW310" i="3"/>
  <c r="AW251" i="3"/>
  <c r="AW304" i="3"/>
  <c r="AW327" i="3"/>
  <c r="AW330" i="3"/>
  <c r="S282" i="1"/>
  <c r="T282" i="1" s="1"/>
  <c r="AW257" i="3"/>
  <c r="AW289" i="3"/>
  <c r="AW302" i="3"/>
  <c r="AW325" i="3"/>
  <c r="AW326" i="3"/>
  <c r="AW305" i="3"/>
  <c r="AW252" i="3"/>
  <c r="AW258" i="3"/>
  <c r="AW300" i="3"/>
  <c r="S332" i="1"/>
  <c r="V332" i="1" s="1"/>
  <c r="AW228" i="3"/>
  <c r="AW241" i="3"/>
  <c r="AW211" i="3"/>
  <c r="AW195" i="3"/>
  <c r="AW212" i="3"/>
  <c r="AW196" i="3"/>
  <c r="AW213" i="3"/>
  <c r="AW202" i="3"/>
  <c r="AW214" i="3"/>
  <c r="AW203" i="3"/>
  <c r="AW215" i="3"/>
  <c r="AW204" i="3"/>
  <c r="AW218" i="3"/>
  <c r="AW205" i="3"/>
  <c r="AW219" i="3"/>
  <c r="AW206" i="3"/>
  <c r="AW255" i="3"/>
  <c r="AW207" i="3"/>
  <c r="AW256" i="3"/>
  <c r="AW208" i="3"/>
  <c r="AW261" i="3"/>
  <c r="AW209" i="3"/>
  <c r="AW284" i="3"/>
  <c r="AW198" i="3"/>
  <c r="AW307" i="3"/>
  <c r="AW201" i="3"/>
  <c r="AW319" i="3"/>
  <c r="AW199" i="3"/>
  <c r="AW320" i="3"/>
  <c r="AW200" i="3"/>
  <c r="AW336" i="3"/>
  <c r="AW197" i="3"/>
  <c r="AW210" i="3"/>
  <c r="AW194" i="3"/>
  <c r="AW224" i="3"/>
  <c r="AW227" i="3"/>
  <c r="BC290" i="3"/>
  <c r="AW237" i="3"/>
  <c r="BC221" i="3"/>
  <c r="BM221" i="3" s="1"/>
  <c r="AW239" i="3"/>
  <c r="BC222" i="3"/>
  <c r="AW240" i="3"/>
  <c r="BC292" i="3"/>
  <c r="AW243" i="3"/>
  <c r="S250" i="1"/>
  <c r="G250" i="5" s="1"/>
  <c r="AW250" i="3"/>
  <c r="BC319" i="3"/>
  <c r="BM319" i="3" s="1"/>
  <c r="AW259" i="3"/>
  <c r="BC220" i="3"/>
  <c r="BM220" i="3" s="1"/>
  <c r="AW268" i="3"/>
  <c r="S281" i="1"/>
  <c r="V281" i="1" s="1"/>
  <c r="AW281" i="3"/>
  <c r="BC265" i="3"/>
  <c r="BM265" i="3" s="1"/>
  <c r="AW294" i="3"/>
  <c r="BH295" i="1"/>
  <c r="AW295" i="3"/>
  <c r="S303" i="1"/>
  <c r="U303" i="1" s="1"/>
  <c r="AW303" i="3"/>
  <c r="AD311" i="1"/>
  <c r="AF311" i="1" s="1"/>
  <c r="AW311" i="3"/>
  <c r="AI312" i="1"/>
  <c r="AJ312" i="1" s="1"/>
  <c r="AW312" i="3"/>
  <c r="BC291" i="3"/>
  <c r="BM291" i="3" s="1"/>
  <c r="AW314" i="3"/>
  <c r="J315" i="1"/>
  <c r="BF315" i="1" s="1"/>
  <c r="AW315" i="3"/>
  <c r="BC288" i="3"/>
  <c r="BM288" i="3" s="1"/>
  <c r="AW321" i="3"/>
  <c r="AI322" i="1"/>
  <c r="AL322" i="1" s="1"/>
  <c r="AW322" i="3"/>
  <c r="BE323" i="1"/>
  <c r="AW323" i="3"/>
  <c r="S340" i="1"/>
  <c r="V340" i="1" s="1"/>
  <c r="AW340" i="3"/>
  <c r="S341" i="1"/>
  <c r="W341" i="1" s="1"/>
  <c r="AW341" i="3"/>
  <c r="BC267" i="3"/>
  <c r="AW342" i="3"/>
  <c r="S345" i="1"/>
  <c r="T345" i="1" s="1"/>
  <c r="AW345" i="3"/>
  <c r="BI227" i="3"/>
  <c r="BU227" i="3"/>
  <c r="AZ227" i="3"/>
  <c r="BC227" i="3"/>
  <c r="BM301" i="3"/>
  <c r="BQ301" i="3"/>
  <c r="AZ301" i="3"/>
  <c r="BU301" i="3"/>
  <c r="BC301" i="3"/>
  <c r="BI301" i="3"/>
  <c r="BQ258" i="3"/>
  <c r="BI258" i="3"/>
  <c r="BM258" i="3"/>
  <c r="BU258" i="3"/>
  <c r="AZ258" i="3"/>
  <c r="BC258" i="3"/>
  <c r="BM255" i="3"/>
  <c r="AZ255" i="3"/>
  <c r="BQ261" i="3"/>
  <c r="AZ261" i="3"/>
  <c r="BU261" i="3"/>
  <c r="BC261" i="3"/>
  <c r="BI261" i="3"/>
  <c r="BM261" i="3"/>
  <c r="BI260" i="3"/>
  <c r="BM260" i="3"/>
  <c r="BQ260" i="3"/>
  <c r="BU260" i="3"/>
  <c r="AZ260" i="3"/>
  <c r="BC260" i="3"/>
  <c r="AZ250" i="3"/>
  <c r="BI250" i="3"/>
  <c r="BI251" i="3"/>
  <c r="BU251" i="3"/>
  <c r="AZ257" i="3"/>
  <c r="BC257" i="3"/>
  <c r="AZ322" i="3"/>
  <c r="BQ322" i="3"/>
  <c r="BC322" i="3"/>
  <c r="BU322" i="3"/>
  <c r="BI322" i="3"/>
  <c r="BM322" i="3"/>
  <c r="AZ236" i="3"/>
  <c r="BM236" i="3"/>
  <c r="BC246" i="3"/>
  <c r="BM246" i="3"/>
  <c r="BQ246" i="3"/>
  <c r="BI233" i="3"/>
  <c r="BU233" i="3"/>
  <c r="BC249" i="3"/>
  <c r="BM249" i="3"/>
  <c r="AZ249" i="3"/>
  <c r="BU325" i="3"/>
  <c r="BQ325" i="3"/>
  <c r="AZ325" i="3"/>
  <c r="BC325" i="3"/>
  <c r="BI325" i="3"/>
  <c r="BM325" i="3"/>
  <c r="BU234" i="3"/>
  <c r="BC234" i="3"/>
  <c r="BQ239" i="3"/>
  <c r="BC239" i="3"/>
  <c r="BQ235" i="3"/>
  <c r="AZ235" i="3"/>
  <c r="BI327" i="3"/>
  <c r="BC327" i="3"/>
  <c r="BM327" i="3"/>
  <c r="BQ327" i="3"/>
  <c r="AZ327" i="3"/>
  <c r="BU327" i="3"/>
  <c r="AZ237" i="3"/>
  <c r="BI237" i="3"/>
  <c r="BU237" i="3"/>
  <c r="BI263" i="3"/>
  <c r="BM263" i="3"/>
  <c r="BU263" i="3"/>
  <c r="BU247" i="3"/>
  <c r="BC247" i="3"/>
  <c r="BM247" i="3"/>
  <c r="BQ247" i="3"/>
  <c r="AZ245" i="3"/>
  <c r="BQ245" i="3"/>
  <c r="BU245" i="3"/>
  <c r="BC245" i="3"/>
  <c r="BI245" i="3"/>
  <c r="BM245" i="3"/>
  <c r="BU254" i="3"/>
  <c r="AZ254" i="3"/>
  <c r="BC254" i="3"/>
  <c r="BQ254" i="3"/>
  <c r="AZ252" i="3"/>
  <c r="BM252" i="3"/>
  <c r="BQ252" i="3"/>
  <c r="AZ323" i="3"/>
  <c r="BU323" i="3"/>
  <c r="BC323" i="3"/>
  <c r="BI323" i="3"/>
  <c r="BM323" i="3"/>
  <c r="BQ323" i="3"/>
  <c r="BM324" i="3"/>
  <c r="BC324" i="3"/>
  <c r="BI324" i="3"/>
  <c r="BQ324" i="3"/>
  <c r="BU324" i="3"/>
  <c r="AZ324" i="3"/>
  <c r="BI208" i="3"/>
  <c r="BM208" i="3"/>
  <c r="BQ208" i="3"/>
  <c r="AZ208" i="3"/>
  <c r="BU208" i="3"/>
  <c r="BC208" i="3"/>
  <c r="AZ225" i="3"/>
  <c r="BQ225" i="3"/>
  <c r="BC225" i="3"/>
  <c r="BU225" i="3"/>
  <c r="BI225" i="3"/>
  <c r="BM227" i="3"/>
  <c r="BQ227" i="3"/>
  <c r="BI238" i="3"/>
  <c r="AZ238" i="3"/>
  <c r="BQ238" i="3"/>
  <c r="BC238" i="3"/>
  <c r="BU238" i="3"/>
  <c r="AZ207" i="3"/>
  <c r="BC207" i="3"/>
  <c r="BI207" i="3"/>
  <c r="BM207" i="3"/>
  <c r="BQ207" i="3"/>
  <c r="BU207" i="3"/>
  <c r="BI229" i="3"/>
  <c r="BM229" i="3"/>
  <c r="AZ229" i="3"/>
  <c r="BQ229" i="3"/>
  <c r="BU229" i="3"/>
  <c r="BI213" i="3"/>
  <c r="BM213" i="3"/>
  <c r="BQ213" i="3"/>
  <c r="AZ213" i="3"/>
  <c r="BU213" i="3"/>
  <c r="BC213" i="3"/>
  <c r="BM197" i="3"/>
  <c r="AZ197" i="3"/>
  <c r="BQ197" i="3"/>
  <c r="BC197" i="3"/>
  <c r="BU197" i="3"/>
  <c r="BI197" i="3"/>
  <c r="BI200" i="3"/>
  <c r="BM200" i="3"/>
  <c r="AZ200" i="3"/>
  <c r="BQ200" i="3"/>
  <c r="BU200" i="3"/>
  <c r="BC200" i="3"/>
  <c r="BC255" i="3"/>
  <c r="BI255" i="3"/>
  <c r="BQ255" i="3"/>
  <c r="BU255" i="3"/>
  <c r="BU250" i="3"/>
  <c r="BC250" i="3"/>
  <c r="BM250" i="3"/>
  <c r="BQ250" i="3"/>
  <c r="BM251" i="3"/>
  <c r="BQ251" i="3"/>
  <c r="AZ251" i="3"/>
  <c r="BC251" i="3"/>
  <c r="BU257" i="3"/>
  <c r="BI257" i="3"/>
  <c r="BM257" i="3"/>
  <c r="BQ257" i="3"/>
  <c r="AZ232" i="3"/>
  <c r="BQ232" i="3"/>
  <c r="BU232" i="3"/>
  <c r="BC232" i="3"/>
  <c r="BI232" i="3"/>
  <c r="BQ236" i="3"/>
  <c r="BU236" i="3"/>
  <c r="BC236" i="3"/>
  <c r="BI236" i="3"/>
  <c r="BC199" i="3"/>
  <c r="BI199" i="3"/>
  <c r="BM199" i="3"/>
  <c r="AZ199" i="3"/>
  <c r="BQ199" i="3"/>
  <c r="BU199" i="3"/>
  <c r="BU246" i="3"/>
  <c r="AZ246" i="3"/>
  <c r="BI246" i="3"/>
  <c r="BC233" i="3"/>
  <c r="BM233" i="3"/>
  <c r="BQ233" i="3"/>
  <c r="AZ233" i="3"/>
  <c r="BQ249" i="3"/>
  <c r="BU249" i="3"/>
  <c r="BI249" i="3"/>
  <c r="BC212" i="3"/>
  <c r="BI212" i="3"/>
  <c r="BM212" i="3"/>
  <c r="BQ212" i="3"/>
  <c r="AZ212" i="3"/>
  <c r="BI234" i="3"/>
  <c r="BM234" i="3"/>
  <c r="AZ234" i="3"/>
  <c r="BQ234" i="3"/>
  <c r="BI239" i="3"/>
  <c r="BM239" i="3"/>
  <c r="AZ239" i="3"/>
  <c r="BU239" i="3"/>
  <c r="BQ210" i="3"/>
  <c r="AZ210" i="3"/>
  <c r="BU210" i="3"/>
  <c r="BC210" i="3"/>
  <c r="BI210" i="3"/>
  <c r="BM210" i="3"/>
  <c r="BI235" i="3"/>
  <c r="BM235" i="3"/>
  <c r="BC235" i="3"/>
  <c r="BU235" i="3"/>
  <c r="BI201" i="3"/>
  <c r="BM201" i="3"/>
  <c r="BQ201" i="3"/>
  <c r="AZ201" i="3"/>
  <c r="BU201" i="3"/>
  <c r="BC201" i="3"/>
  <c r="AZ216" i="3"/>
  <c r="BQ216" i="3"/>
  <c r="BC216" i="3"/>
  <c r="BU216" i="3"/>
  <c r="BM216" i="3"/>
  <c r="BM209" i="3"/>
  <c r="AZ209" i="3"/>
  <c r="BQ209" i="3"/>
  <c r="BC209" i="3"/>
  <c r="BU209" i="3"/>
  <c r="BI209" i="3"/>
  <c r="BC237" i="3"/>
  <c r="BM237" i="3"/>
  <c r="BQ237" i="3"/>
  <c r="BQ263" i="3"/>
  <c r="AZ263" i="3"/>
  <c r="BC263" i="3"/>
  <c r="BI247" i="3"/>
  <c r="AZ247" i="3"/>
  <c r="BM254" i="3"/>
  <c r="BI254" i="3"/>
  <c r="BI252" i="3"/>
  <c r="BC252" i="3"/>
  <c r="BU252" i="3"/>
  <c r="BQ198" i="3"/>
  <c r="BU198" i="3"/>
  <c r="AZ198" i="3"/>
  <c r="BC198" i="3"/>
  <c r="BI198" i="3"/>
  <c r="BM198" i="3"/>
  <c r="AV312" i="3"/>
  <c r="AV313" i="3"/>
  <c r="AV295" i="3"/>
  <c r="AV291" i="3"/>
  <c r="AV197" i="3"/>
  <c r="AV306" i="3"/>
  <c r="AV264" i="3"/>
  <c r="AV318" i="3"/>
  <c r="AV296" i="3"/>
  <c r="AV199" i="3"/>
  <c r="AV320" i="3"/>
  <c r="AV255" i="3"/>
  <c r="X250" i="1"/>
  <c r="AA250" i="1" s="1"/>
  <c r="AV284" i="3"/>
  <c r="AV198" i="3"/>
  <c r="AV265" i="3"/>
  <c r="AV200" i="3"/>
  <c r="AV303" i="3"/>
  <c r="AV317" i="3"/>
  <c r="AV293" i="3"/>
  <c r="AV267" i="3"/>
  <c r="AV322" i="3"/>
  <c r="AV254" i="3"/>
  <c r="BD295" i="1"/>
  <c r="AV194" i="3"/>
  <c r="BD323" i="1"/>
  <c r="K295" i="1"/>
  <c r="AI315" i="1"/>
  <c r="AL315" i="1" s="1"/>
  <c r="AV305" i="3"/>
  <c r="AV319" i="3"/>
  <c r="AV260" i="3"/>
  <c r="AV282" i="3"/>
  <c r="AQ312" i="1"/>
  <c r="BS312" i="1" s="1"/>
  <c r="AV286" i="3"/>
  <c r="AV299" i="3"/>
  <c r="AV261" i="3"/>
  <c r="AV321" i="3"/>
  <c r="AP295" i="1"/>
  <c r="AB295" i="5" s="1"/>
  <c r="AV288" i="3"/>
  <c r="BZ340" i="1"/>
  <c r="AV324" i="3"/>
  <c r="BE295" i="1"/>
  <c r="BD346" i="1"/>
  <c r="BE330" i="3"/>
  <c r="BL330" i="3" s="1"/>
  <c r="BE195" i="3"/>
  <c r="BL195" i="3" s="1"/>
  <c r="J212" i="1"/>
  <c r="BF212" i="1" s="1"/>
  <c r="BE196" i="3"/>
  <c r="BL196" i="3" s="1"/>
  <c r="Q219" i="1"/>
  <c r="R219" i="1" s="1"/>
  <c r="Q221" i="1"/>
  <c r="R221" i="1" s="1"/>
  <c r="Q222" i="1"/>
  <c r="R222" i="1" s="1"/>
  <c r="J225" i="1"/>
  <c r="CD225" i="1" s="1"/>
  <c r="Q228" i="1"/>
  <c r="R228" i="1" s="1"/>
  <c r="BH229" i="1"/>
  <c r="BE308" i="3"/>
  <c r="BL308" i="3" s="1"/>
  <c r="J230" i="1"/>
  <c r="BG230" i="1" s="1"/>
  <c r="BP230" i="1" s="1" a="1"/>
  <c r="BP230" i="1" s="1"/>
  <c r="BE228" i="3"/>
  <c r="BL228" i="3" s="1"/>
  <c r="Q231" i="1"/>
  <c r="R231" i="1" s="1"/>
  <c r="J232" i="1"/>
  <c r="BG232" i="1" s="1"/>
  <c r="BP232" i="1" s="1" a="1"/>
  <c r="BP232" i="1" s="1"/>
  <c r="J233" i="1"/>
  <c r="BG233" i="1" s="1"/>
  <c r="BP233" i="1" s="1" a="1"/>
  <c r="BP233" i="1" s="1"/>
  <c r="BH234" i="1"/>
  <c r="BE236" i="3"/>
  <c r="BL236" i="3" s="1"/>
  <c r="BH235" i="1"/>
  <c r="BE237" i="3"/>
  <c r="BL237" i="3" s="1"/>
  <c r="BD236" i="1"/>
  <c r="Q237" i="1"/>
  <c r="R237" i="1" s="1"/>
  <c r="BE290" i="3"/>
  <c r="Q238" i="1"/>
  <c r="R238" i="1" s="1"/>
  <c r="BE248" i="3"/>
  <c r="BL248" i="3" s="1"/>
  <c r="J239" i="1"/>
  <c r="CD239" i="1" s="1"/>
  <c r="J240" i="1"/>
  <c r="BG240" i="1" s="1"/>
  <c r="BP240" i="1" s="1" a="1"/>
  <c r="BP240" i="1" s="1"/>
  <c r="Q241" i="1"/>
  <c r="R241" i="1" s="1"/>
  <c r="BC223" i="3"/>
  <c r="BM223" i="3" s="1"/>
  <c r="BE262" i="3"/>
  <c r="BL262" i="3" s="1"/>
  <c r="J243" i="1"/>
  <c r="CD243" i="1" s="1"/>
  <c r="BE292" i="3"/>
  <c r="BL292" i="3" s="1"/>
  <c r="AP244" i="1"/>
  <c r="AB244" i="5" s="1"/>
  <c r="BH245" i="1"/>
  <c r="BE238" i="3"/>
  <c r="BL238" i="3" s="1"/>
  <c r="J246" i="1"/>
  <c r="BG246" i="1" s="1"/>
  <c r="BP246" i="1" s="1" a="1"/>
  <c r="BP246" i="1" s="1"/>
  <c r="BE305" i="3"/>
  <c r="BL305" i="3" s="1"/>
  <c r="BH248" i="1"/>
  <c r="BE283" i="3"/>
  <c r="BL283" i="3" s="1"/>
  <c r="Q249" i="1"/>
  <c r="R249" i="1" s="1"/>
  <c r="BE249" i="3"/>
  <c r="BL249" i="3" s="1"/>
  <c r="BH250" i="1"/>
  <c r="BE277" i="3"/>
  <c r="BL277" i="3" s="1"/>
  <c r="BE313" i="3"/>
  <c r="BL313" i="3" s="1"/>
  <c r="BE302" i="3"/>
  <c r="BL302" i="3" s="1"/>
  <c r="Q253" i="1"/>
  <c r="R253" i="1" s="1"/>
  <c r="BE326" i="3"/>
  <c r="BL326" i="3" s="1"/>
  <c r="BD254" i="1"/>
  <c r="BE295" i="3"/>
  <c r="BL295" i="3" s="1"/>
  <c r="J255" i="1"/>
  <c r="BF255" i="1" s="1"/>
  <c r="BE207" i="3"/>
  <c r="BL207" i="3" s="1"/>
  <c r="Q257" i="1"/>
  <c r="R257" i="1" s="1"/>
  <c r="BE234" i="3"/>
  <c r="BL234" i="3" s="1"/>
  <c r="BE235" i="3"/>
  <c r="BL235" i="3" s="1"/>
  <c r="J259" i="1"/>
  <c r="CD259" i="1" s="1"/>
  <c r="BE319" i="3"/>
  <c r="BL319" i="3" s="1"/>
  <c r="BH260" i="1"/>
  <c r="BE316" i="3"/>
  <c r="BL316" i="3" s="1"/>
  <c r="Q261" i="1"/>
  <c r="R261" i="1" s="1"/>
  <c r="BE209" i="3"/>
  <c r="BL209" i="3" s="1"/>
  <c r="BE264" i="3"/>
  <c r="BL264" i="3" s="1"/>
  <c r="BE286" i="3"/>
  <c r="BL286" i="3" s="1"/>
  <c r="BE266" i="3"/>
  <c r="BL266" i="3" s="1"/>
  <c r="BC266" i="3"/>
  <c r="BH266" i="1"/>
  <c r="BE232" i="3"/>
  <c r="BL232" i="3" s="1"/>
  <c r="BE233" i="3"/>
  <c r="BL233" i="3" s="1"/>
  <c r="BH268" i="1"/>
  <c r="Q269" i="1"/>
  <c r="R269" i="1" s="1"/>
  <c r="BE298" i="3"/>
  <c r="BL298" i="3" s="1"/>
  <c r="Q270" i="1"/>
  <c r="R270" i="1" s="1"/>
  <c r="BE299" i="3"/>
  <c r="BL299" i="3" s="1"/>
  <c r="J271" i="1"/>
  <c r="CD271" i="1" s="1"/>
  <c r="BE300" i="3"/>
  <c r="BL300" i="3" s="1"/>
  <c r="J272" i="1"/>
  <c r="BG272" i="1" s="1"/>
  <c r="BP272" i="1" s="1" a="1"/>
  <c r="BP272" i="1" s="1"/>
  <c r="BE328" i="3"/>
  <c r="BL328" i="3" s="1"/>
  <c r="Q273" i="1"/>
  <c r="R273" i="1" s="1"/>
  <c r="BE325" i="3"/>
  <c r="BL325" i="3" s="1"/>
  <c r="Q274" i="1"/>
  <c r="R274" i="1" s="1"/>
  <c r="BE281" i="3"/>
  <c r="BL281" i="3" s="1"/>
  <c r="Q275" i="1"/>
  <c r="R275" i="1" s="1"/>
  <c r="BE284" i="3"/>
  <c r="BL284" i="3" s="1"/>
  <c r="BH276" i="1"/>
  <c r="BH277" i="1"/>
  <c r="BE257" i="3"/>
  <c r="BL257" i="3" s="1"/>
  <c r="AP278" i="1"/>
  <c r="AB278" i="5" s="1"/>
  <c r="BE273" i="3"/>
  <c r="BL273" i="3" s="1"/>
  <c r="Q279" i="1"/>
  <c r="R279" i="1" s="1"/>
  <c r="BE274" i="3"/>
  <c r="BL274" i="3" s="1"/>
  <c r="Q280" i="1"/>
  <c r="R280" i="1" s="1"/>
  <c r="BE280" i="3"/>
  <c r="BL280" i="3" s="1"/>
  <c r="Q281" i="1"/>
  <c r="R281" i="1" s="1"/>
  <c r="BE327" i="3"/>
  <c r="BL327" i="3" s="1"/>
  <c r="Q282" i="1"/>
  <c r="R282" i="1" s="1"/>
  <c r="BE297" i="3"/>
  <c r="BL297" i="3" s="1"/>
  <c r="BH283" i="1"/>
  <c r="BE229" i="3"/>
  <c r="BL229" i="3" s="1"/>
  <c r="J284" i="1"/>
  <c r="BF284" i="1" s="1"/>
  <c r="BE198" i="3"/>
  <c r="BL198" i="3" s="1"/>
  <c r="BH285" i="1"/>
  <c r="BE296" i="3"/>
  <c r="BL296" i="3" s="1"/>
  <c r="BH286" i="1"/>
  <c r="BE301" i="3"/>
  <c r="BL301" i="3" s="1"/>
  <c r="J287" i="1"/>
  <c r="AZ287" i="1" s="1"/>
  <c r="BE251" i="3"/>
  <c r="BL251" i="3" s="1"/>
  <c r="Q288" i="1"/>
  <c r="R288" i="1" s="1"/>
  <c r="BH289" i="1"/>
  <c r="BE239" i="3"/>
  <c r="BL239" i="3" s="1"/>
  <c r="Q290" i="1"/>
  <c r="R290" i="1" s="1"/>
  <c r="BE307" i="3"/>
  <c r="BL307" i="3" s="1"/>
  <c r="J292" i="1"/>
  <c r="AZ292" i="1" s="1"/>
  <c r="BE245" i="3"/>
  <c r="BL245" i="3" s="1"/>
  <c r="AP293" i="1"/>
  <c r="AB293" i="5" s="1"/>
  <c r="BE259" i="3"/>
  <c r="BL259" i="3" s="1"/>
  <c r="BH294" i="1"/>
  <c r="BE265" i="3"/>
  <c r="BL265" i="3" s="1"/>
  <c r="Q295" i="1"/>
  <c r="R295" i="1" s="1"/>
  <c r="BE322" i="3"/>
  <c r="BL322" i="3" s="1"/>
  <c r="J296" i="1"/>
  <c r="AZ296" i="1" s="1"/>
  <c r="BE211" i="3"/>
  <c r="BL211" i="3" s="1"/>
  <c r="BH298" i="1"/>
  <c r="BE258" i="3"/>
  <c r="BL258" i="3" s="1"/>
  <c r="J299" i="1"/>
  <c r="CD299" i="1" s="1"/>
  <c r="BE312" i="3"/>
  <c r="BL312" i="3" s="1"/>
  <c r="BH301" i="1"/>
  <c r="BE260" i="3"/>
  <c r="BL260" i="3" s="1"/>
  <c r="BE261" i="3"/>
  <c r="BL261" i="3" s="1"/>
  <c r="Q303" i="1"/>
  <c r="R303" i="1" s="1"/>
  <c r="BE323" i="3"/>
  <c r="BL323" i="3" s="1"/>
  <c r="BE304" i="1"/>
  <c r="BC314" i="3"/>
  <c r="BE314" i="3"/>
  <c r="J305" i="1"/>
  <c r="AZ305" i="1" s="1"/>
  <c r="BE315" i="3"/>
  <c r="BL315" i="3" s="1"/>
  <c r="BE320" i="3"/>
  <c r="BL320" i="3" s="1"/>
  <c r="J307" i="1"/>
  <c r="BG307" i="1" s="1"/>
  <c r="BP307" i="1" s="1" a="1"/>
  <c r="BP307" i="1" s="1"/>
  <c r="BE201" i="3"/>
  <c r="BL201" i="3" s="1"/>
  <c r="K308" i="1"/>
  <c r="BE321" i="3"/>
  <c r="BL321" i="3" s="1"/>
  <c r="J310" i="1"/>
  <c r="AZ310" i="1" s="1"/>
  <c r="BE247" i="3"/>
  <c r="BL247" i="3" s="1"/>
  <c r="BH311" i="1"/>
  <c r="BE329" i="3"/>
  <c r="BL329" i="3" s="1"/>
  <c r="J312" i="1"/>
  <c r="CD312" i="1" s="1"/>
  <c r="BE282" i="3"/>
  <c r="BL282" i="3" s="1"/>
  <c r="BH313" i="1"/>
  <c r="BE253" i="3"/>
  <c r="BL253" i="3" s="1"/>
  <c r="K314" i="1"/>
  <c r="BE291" i="3"/>
  <c r="BL291" i="3" s="1"/>
  <c r="BD315" i="1"/>
  <c r="BE316" i="1"/>
  <c r="Q317" i="1"/>
  <c r="R317" i="1" s="1"/>
  <c r="BE304" i="3"/>
  <c r="BL304" i="3" s="1"/>
  <c r="AP318" i="1"/>
  <c r="AB318" i="5" s="1"/>
  <c r="BE285" i="3"/>
  <c r="BL285" i="3" s="1"/>
  <c r="BH319" i="1"/>
  <c r="BE199" i="3"/>
  <c r="BL199" i="3" s="1"/>
  <c r="BH320" i="1"/>
  <c r="BE200" i="3"/>
  <c r="BL200" i="3" s="1"/>
  <c r="Q321" i="1"/>
  <c r="R321" i="1" s="1"/>
  <c r="BE288" i="3"/>
  <c r="BL288" i="3" s="1"/>
  <c r="BE306" i="3"/>
  <c r="BL306" i="3" s="1"/>
  <c r="Q323" i="1"/>
  <c r="R323" i="1" s="1"/>
  <c r="BE324" i="3"/>
  <c r="BL324" i="3" s="1"/>
  <c r="J325" i="1"/>
  <c r="BF325" i="1" s="1"/>
  <c r="BE303" i="3"/>
  <c r="BL303" i="3" s="1"/>
  <c r="K326" i="1"/>
  <c r="BE254" i="3"/>
  <c r="BL254" i="3" s="1"/>
  <c r="J327" i="1"/>
  <c r="AZ327" i="1" s="1"/>
  <c r="BE317" i="3"/>
  <c r="BL317" i="3" s="1"/>
  <c r="BE293" i="3"/>
  <c r="BL293" i="3" s="1"/>
  <c r="BH329" i="1"/>
  <c r="BE287" i="3"/>
  <c r="BL287" i="3" s="1"/>
  <c r="Q330" i="1"/>
  <c r="R330" i="1" s="1"/>
  <c r="BE268" i="3"/>
  <c r="BL268" i="3" s="1"/>
  <c r="J331" i="1"/>
  <c r="BF331" i="1" s="1"/>
  <c r="BE263" i="3"/>
  <c r="BL263" i="3" s="1"/>
  <c r="BH332" i="1"/>
  <c r="BE294" i="3"/>
  <c r="BH333" i="1"/>
  <c r="BE246" i="3"/>
  <c r="BL246" i="3" s="1"/>
  <c r="BH334" i="1"/>
  <c r="Q335" i="1"/>
  <c r="R335" i="1" s="1"/>
  <c r="BE255" i="3"/>
  <c r="BL255" i="3" s="1"/>
  <c r="Q336" i="1"/>
  <c r="R336" i="1" s="1"/>
  <c r="BE197" i="3"/>
  <c r="BL197" i="3" s="1"/>
  <c r="BH337" i="1"/>
  <c r="BE250" i="3"/>
  <c r="BL250" i="3" s="1"/>
  <c r="BH338" i="1"/>
  <c r="BE252" i="3"/>
  <c r="BL252" i="3" s="1"/>
  <c r="J339" i="1"/>
  <c r="CD339" i="1" s="1"/>
  <c r="Q340" i="1"/>
  <c r="R340" i="1" s="1"/>
  <c r="BE276" i="3"/>
  <c r="BL276" i="3" s="1"/>
  <c r="J341" i="1"/>
  <c r="BF341" i="1" s="1"/>
  <c r="BE318" i="3"/>
  <c r="BL318" i="3" s="1"/>
  <c r="Q342" i="1"/>
  <c r="R342" i="1" s="1"/>
  <c r="BE267" i="3"/>
  <c r="BL267" i="3" s="1"/>
  <c r="BH343" i="1"/>
  <c r="BE271" i="3"/>
  <c r="BL271" i="3" s="1"/>
  <c r="Q344" i="1"/>
  <c r="R344" i="1" s="1"/>
  <c r="BE272" i="3"/>
  <c r="BL272" i="3" s="1"/>
  <c r="BH345" i="1"/>
  <c r="BE275" i="3"/>
  <c r="BL275" i="3" s="1"/>
  <c r="J210" i="1"/>
  <c r="AZ210" i="1" s="1"/>
  <c r="BE194" i="3"/>
  <c r="BL194" i="3" s="1"/>
  <c r="AV262" i="3"/>
  <c r="AV298" i="3"/>
  <c r="AV297" i="3"/>
  <c r="AV314" i="3"/>
  <c r="AV281" i="3"/>
  <c r="AV327" i="3"/>
  <c r="AV329" i="3"/>
  <c r="AV304" i="3"/>
  <c r="AV268" i="3"/>
  <c r="AV326" i="3"/>
  <c r="AV316" i="3"/>
  <c r="AV300" i="3"/>
  <c r="AV280" i="3"/>
  <c r="AV201" i="3"/>
  <c r="AV283" i="3"/>
  <c r="AV294" i="3"/>
  <c r="AV325" i="3"/>
  <c r="AV323" i="3"/>
  <c r="AV328" i="3"/>
  <c r="AV285" i="3"/>
  <c r="AV287" i="3"/>
  <c r="AV195" i="3"/>
  <c r="AV292" i="3"/>
  <c r="AV266" i="3"/>
  <c r="AV290" i="3"/>
  <c r="AV259" i="3"/>
  <c r="BQ303" i="1"/>
  <c r="BN303" i="1" s="1"/>
  <c r="BQ273" i="1"/>
  <c r="BN273" i="1" s="1"/>
  <c r="BQ210" i="1"/>
  <c r="BN210" i="1" s="1"/>
  <c r="S285" i="1"/>
  <c r="T285" i="1" s="1"/>
  <c r="AQ253" i="1"/>
  <c r="BS253" i="1" s="1"/>
  <c r="BQ295" i="1"/>
  <c r="BN295" i="1" s="1"/>
  <c r="BE253" i="1"/>
  <c r="AI241" i="1"/>
  <c r="AM241" i="1" s="1"/>
  <c r="AD258" i="1"/>
  <c r="AE258" i="1" s="1"/>
  <c r="AD334" i="1"/>
  <c r="AH334" i="1" s="1"/>
  <c r="K253" i="1"/>
  <c r="BZ285" i="1"/>
  <c r="S243" i="1"/>
  <c r="T243" i="1" s="1"/>
  <c r="BD253" i="1"/>
  <c r="AP253" i="1"/>
  <c r="AB253" i="5" s="1"/>
  <c r="AI325" i="1"/>
  <c r="AM325" i="1" s="1"/>
  <c r="BQ321" i="1"/>
  <c r="BN321" i="1" s="1"/>
  <c r="AI326" i="1"/>
  <c r="AL326" i="1" s="1"/>
  <c r="BZ322" i="1"/>
  <c r="AD325" i="1"/>
  <c r="AE325" i="1" s="1"/>
  <c r="Q316" i="1"/>
  <c r="R316" i="1" s="1"/>
  <c r="S305" i="1"/>
  <c r="T305" i="1" s="1"/>
  <c r="AI316" i="1"/>
  <c r="AM316" i="1" s="1"/>
  <c r="AD301" i="1"/>
  <c r="AG301" i="1" s="1"/>
  <c r="Q329" i="1"/>
  <c r="R329" i="1" s="1"/>
  <c r="AI301" i="1"/>
  <c r="AK301" i="1" s="1"/>
  <c r="BQ339" i="1"/>
  <c r="BN339" i="1" s="1"/>
  <c r="BQ259" i="1"/>
  <c r="BN259" i="1" s="1"/>
  <c r="AI280" i="1"/>
  <c r="AJ280" i="1" s="1"/>
  <c r="AI321" i="1"/>
  <c r="AK321" i="1" s="1"/>
  <c r="BQ283" i="1"/>
  <c r="BN283" i="1" s="1"/>
  <c r="BZ344" i="1"/>
  <c r="BZ337" i="1"/>
  <c r="BZ234" i="1"/>
  <c r="AI239" i="1"/>
  <c r="AK239" i="1" s="1"/>
  <c r="AI247" i="1"/>
  <c r="AL247" i="1" s="1"/>
  <c r="BZ279" i="1"/>
  <c r="BD273" i="1"/>
  <c r="AP273" i="1"/>
  <c r="AB273" i="5" s="1"/>
  <c r="BE273" i="1"/>
  <c r="AQ273" i="1"/>
  <c r="BS273" i="1" s="1"/>
  <c r="K273" i="1"/>
  <c r="BH273" i="1"/>
  <c r="J273" i="1"/>
  <c r="BF273" i="1" s="1"/>
  <c r="AI240" i="1"/>
  <c r="AL240" i="1" s="1"/>
  <c r="AI318" i="1"/>
  <c r="AL318" i="1" s="1"/>
  <c r="Q235" i="1"/>
  <c r="R235" i="1" s="1"/>
  <c r="AI308" i="1"/>
  <c r="AJ308" i="1" s="1"/>
  <c r="AD235" i="1"/>
  <c r="AF235" i="1" s="1"/>
  <c r="BZ336" i="1"/>
  <c r="BQ278" i="1"/>
  <c r="BN278" i="1" s="1"/>
  <c r="BZ256" i="1"/>
  <c r="S254" i="1"/>
  <c r="V254" i="1" s="1"/>
  <c r="BZ298" i="1"/>
  <c r="BZ328" i="1"/>
  <c r="BQ236" i="1"/>
  <c r="BN236" i="1" s="1"/>
  <c r="BZ262" i="1"/>
  <c r="BZ269" i="1"/>
  <c r="BQ232" i="1"/>
  <c r="BN232" i="1" s="1"/>
  <c r="BZ243" i="1"/>
  <c r="BZ246" i="1"/>
  <c r="BZ264" i="1"/>
  <c r="BZ307" i="1"/>
  <c r="BZ275" i="1"/>
  <c r="BQ287" i="1"/>
  <c r="BN287" i="1" s="1"/>
  <c r="S328" i="1"/>
  <c r="U328" i="1" s="1"/>
  <c r="BQ229" i="1"/>
  <c r="BN229" i="1" s="1"/>
  <c r="BQ243" i="1"/>
  <c r="BN243" i="1" s="1"/>
  <c r="BZ259" i="1"/>
  <c r="AI317" i="1"/>
  <c r="AJ317" i="1" s="1"/>
  <c r="AI284" i="1"/>
  <c r="AJ284" i="1" s="1"/>
  <c r="AI275" i="1"/>
  <c r="AM275" i="1" s="1"/>
  <c r="BZ240" i="1"/>
  <c r="BZ255" i="1"/>
  <c r="BQ256" i="1"/>
  <c r="BN256" i="1" s="1"/>
  <c r="BQ314" i="1"/>
  <c r="BN314" i="1" s="1"/>
  <c r="AQ257" i="1"/>
  <c r="BS257" i="1" s="1"/>
  <c r="BZ329" i="1"/>
  <c r="BZ245" i="1"/>
  <c r="BQ286" i="1"/>
  <c r="BN286" i="1" s="1"/>
  <c r="BQ244" i="1"/>
  <c r="BN244" i="1" s="1"/>
  <c r="BQ268" i="1"/>
  <c r="BN268" i="1" s="1"/>
  <c r="BQ334" i="1"/>
  <c r="BN334" i="1" s="1"/>
  <c r="BQ270" i="1"/>
  <c r="BN270" i="1" s="1"/>
  <c r="BQ253" i="1"/>
  <c r="BN253" i="1" s="1"/>
  <c r="BZ302" i="1"/>
  <c r="BZ277" i="1"/>
  <c r="AI233" i="1"/>
  <c r="AM233" i="1" s="1"/>
  <c r="BQ231" i="1"/>
  <c r="BN231" i="1" s="1"/>
  <c r="BZ250" i="1"/>
  <c r="BZ284" i="1"/>
  <c r="BZ311" i="1"/>
  <c r="BH253" i="1"/>
  <c r="J253" i="1"/>
  <c r="CD253" i="1" s="1"/>
  <c r="K303" i="1"/>
  <c r="J303" i="1"/>
  <c r="BG303" i="1" s="1"/>
  <c r="BP303" i="1" s="1" a="1"/>
  <c r="BP303" i="1" s="1"/>
  <c r="S237" i="1"/>
  <c r="V237" i="1" s="1"/>
  <c r="AI333" i="1"/>
  <c r="AM333" i="1" s="1"/>
  <c r="S311" i="1"/>
  <c r="V311" i="1" s="1"/>
  <c r="AI248" i="1"/>
  <c r="AK248" i="1" s="1"/>
  <c r="BE303" i="1"/>
  <c r="J334" i="1"/>
  <c r="BG334" i="1" s="1"/>
  <c r="BP334" i="1" s="1" a="1"/>
  <c r="BP334" i="1" s="1"/>
  <c r="AQ334" i="1"/>
  <c r="BS334" i="1" s="1"/>
  <c r="AQ303" i="1"/>
  <c r="BS303" i="1" s="1"/>
  <c r="AP303" i="1"/>
  <c r="AB303" i="5" s="1"/>
  <c r="BD303" i="1"/>
  <c r="AQ271" i="1"/>
  <c r="BS271" i="1" s="1"/>
  <c r="BQ237" i="1"/>
  <c r="BN237" i="1" s="1"/>
  <c r="BQ242" i="1"/>
  <c r="BN242" i="1" s="1"/>
  <c r="BZ252" i="1"/>
  <c r="BQ308" i="1"/>
  <c r="BN308" i="1" s="1"/>
  <c r="BZ230" i="1"/>
  <c r="BZ286" i="1"/>
  <c r="BQ301" i="1"/>
  <c r="BN301" i="1" s="1"/>
  <c r="BZ325" i="1"/>
  <c r="CA276" i="1"/>
  <c r="BQ260" i="1"/>
  <c r="BN260" i="1" s="1"/>
  <c r="BZ312" i="1"/>
  <c r="BQ238" i="1"/>
  <c r="BN238" i="1" s="1"/>
  <c r="BQ346" i="1"/>
  <c r="BN346" i="1" s="1"/>
  <c r="BZ241" i="1"/>
  <c r="BZ272" i="1"/>
  <c r="BZ333" i="1"/>
  <c r="AQ254" i="1"/>
  <c r="BS254" i="1" s="1"/>
  <c r="BZ290" i="1"/>
  <c r="BZ305" i="1"/>
  <c r="CA314" i="1"/>
  <c r="BZ341" i="1"/>
  <c r="J295" i="1"/>
  <c r="BF295" i="1" s="1"/>
  <c r="Q271" i="1"/>
  <c r="R271" i="1" s="1"/>
  <c r="J275" i="1"/>
  <c r="BF275" i="1" s="1"/>
  <c r="BQ245" i="1"/>
  <c r="BN245" i="1" s="1"/>
  <c r="BQ250" i="1"/>
  <c r="BN250" i="1" s="1"/>
  <c r="BQ240" i="1"/>
  <c r="BN240" i="1" s="1"/>
  <c r="BQ276" i="1"/>
  <c r="BN276" i="1" s="1"/>
  <c r="BQ302" i="1"/>
  <c r="BN302" i="1" s="1"/>
  <c r="BQ277" i="1"/>
  <c r="BN277" i="1" s="1"/>
  <c r="AQ285" i="1"/>
  <c r="BS285" i="1" s="1"/>
  <c r="BQ293" i="1"/>
  <c r="BN293" i="1" s="1"/>
  <c r="BQ285" i="1"/>
  <c r="BN285" i="1" s="1"/>
  <c r="BQ275" i="1"/>
  <c r="BN275" i="1" s="1"/>
  <c r="BQ288" i="1"/>
  <c r="BN288" i="1" s="1"/>
  <c r="BQ332" i="1"/>
  <c r="BN332" i="1" s="1"/>
  <c r="BQ315" i="1"/>
  <c r="BN315" i="1" s="1"/>
  <c r="BQ212" i="1"/>
  <c r="BN212" i="1" s="1"/>
  <c r="AQ235" i="1"/>
  <c r="BS235" i="1" s="1"/>
  <c r="BQ305" i="1"/>
  <c r="BN305" i="1" s="1"/>
  <c r="BQ340" i="1"/>
  <c r="BN340" i="1" s="1"/>
  <c r="BH307" i="1"/>
  <c r="AQ326" i="1"/>
  <c r="BS326" i="1" s="1"/>
  <c r="J250" i="1"/>
  <c r="BF250" i="1" s="1"/>
  <c r="AQ286" i="1"/>
  <c r="BS286" i="1" s="1"/>
  <c r="J288" i="1"/>
  <c r="CD288" i="1" s="1"/>
  <c r="J293" i="1"/>
  <c r="BF293" i="1" s="1"/>
  <c r="J283" i="1"/>
  <c r="BF283" i="1" s="1"/>
  <c r="BQ311" i="1"/>
  <c r="BN311" i="1" s="1"/>
  <c r="J254" i="1"/>
  <c r="BF254" i="1" s="1"/>
  <c r="Q277" i="1"/>
  <c r="R277" i="1" s="1"/>
  <c r="J269" i="1"/>
  <c r="BF269" i="1" s="1"/>
  <c r="BG269" i="1" s="1"/>
  <c r="BP269" i="1" s="1" a="1"/>
  <c r="BP269" i="1" s="1"/>
  <c r="BQ267" i="1"/>
  <c r="BN267" i="1" s="1"/>
  <c r="BQ316" i="1"/>
  <c r="BN316" i="1" s="1"/>
  <c r="BQ262" i="1"/>
  <c r="BN262" i="1" s="1"/>
  <c r="BQ299" i="1"/>
  <c r="BN299" i="1" s="1"/>
  <c r="BH239" i="1"/>
  <c r="Q308" i="1"/>
  <c r="R308" i="1" s="1"/>
  <c r="Q309" i="1"/>
  <c r="R309" i="1" s="1"/>
  <c r="BQ233" i="1"/>
  <c r="BN233" i="1" s="1"/>
  <c r="AI236" i="1"/>
  <c r="AL236" i="1" s="1"/>
  <c r="AQ268" i="1"/>
  <c r="BS268" i="1" s="1"/>
  <c r="BQ291" i="1"/>
  <c r="BN291" i="1" s="1"/>
  <c r="BQ251" i="1"/>
  <c r="BN251" i="1" s="1"/>
  <c r="AQ296" i="1"/>
  <c r="BS296" i="1" s="1"/>
  <c r="BQ326" i="1"/>
  <c r="BN326" i="1" s="1"/>
  <c r="BQ336" i="1"/>
  <c r="BN336" i="1" s="1"/>
  <c r="BQ338" i="1"/>
  <c r="BN338" i="1" s="1"/>
  <c r="BQ258" i="1"/>
  <c r="BN258" i="1" s="1"/>
  <c r="J234" i="1"/>
  <c r="CD234" i="1" s="1"/>
  <c r="BQ290" i="1"/>
  <c r="BN290" i="1" s="1"/>
  <c r="Q298" i="1"/>
  <c r="R298" i="1" s="1"/>
  <c r="BQ319" i="1"/>
  <c r="BN319" i="1" s="1"/>
  <c r="BQ328" i="1"/>
  <c r="BN328" i="1" s="1"/>
  <c r="BH325" i="1"/>
  <c r="BQ333" i="1"/>
  <c r="BN333" i="1" s="1"/>
  <c r="J308" i="1"/>
  <c r="CD308" i="1" s="1"/>
  <c r="AQ242" i="1"/>
  <c r="BS242" i="1" s="1"/>
  <c r="Q287" i="1"/>
  <c r="R287" i="1" s="1"/>
  <c r="BK308" i="1"/>
  <c r="BQ318" i="1"/>
  <c r="BN318" i="1" s="1"/>
  <c r="BQ343" i="1"/>
  <c r="BN343" i="1" s="1"/>
  <c r="AQ225" i="1"/>
  <c r="BS225" i="1" s="1"/>
  <c r="Q227" i="1"/>
  <c r="R227" i="1" s="1"/>
  <c r="BH246" i="1"/>
  <c r="AQ270" i="1"/>
  <c r="BS270" i="1" s="1"/>
  <c r="BQ289" i="1"/>
  <c r="BN289" i="1" s="1"/>
  <c r="BQ337" i="1"/>
  <c r="BN337" i="1" s="1"/>
  <c r="AI268" i="1"/>
  <c r="AK268" i="1" s="1"/>
  <c r="AI249" i="1"/>
  <c r="AK249" i="1" s="1"/>
  <c r="S314" i="1"/>
  <c r="T314" i="1" s="1"/>
  <c r="BQ235" i="1"/>
  <c r="BN235" i="1" s="1"/>
  <c r="BQ272" i="1"/>
  <c r="BN272" i="1" s="1"/>
  <c r="BH274" i="1"/>
  <c r="Q314" i="1"/>
  <c r="R314" i="1" s="1"/>
  <c r="BQ252" i="1"/>
  <c r="BN252" i="1" s="1"/>
  <c r="AQ267" i="1"/>
  <c r="BS267" i="1" s="1"/>
  <c r="AQ280" i="1"/>
  <c r="BS280" i="1" s="1"/>
  <c r="BQ284" i="1"/>
  <c r="BN284" i="1" s="1"/>
  <c r="AQ301" i="1"/>
  <c r="BS301" i="1" s="1"/>
  <c r="BH312" i="1"/>
  <c r="BQ211" i="1"/>
  <c r="BN211" i="1" s="1"/>
  <c r="BQ248" i="1"/>
  <c r="BN248" i="1" s="1"/>
  <c r="BQ265" i="1"/>
  <c r="BN265" i="1" s="1"/>
  <c r="AQ288" i="1"/>
  <c r="BS288" i="1" s="1"/>
  <c r="BQ294" i="1"/>
  <c r="BN294" i="1" s="1"/>
  <c r="BQ312" i="1"/>
  <c r="BN312" i="1" s="1"/>
  <c r="BQ266" i="1"/>
  <c r="BN266" i="1" s="1"/>
  <c r="BZ270" i="1"/>
  <c r="Q276" i="1"/>
  <c r="R276" i="1" s="1"/>
  <c r="BZ301" i="1"/>
  <c r="BQ313" i="1"/>
  <c r="BN313" i="1" s="1"/>
  <c r="BH317" i="1"/>
  <c r="BQ331" i="1"/>
  <c r="BN331" i="1" s="1"/>
  <c r="Q334" i="1"/>
  <c r="R334" i="1" s="1"/>
  <c r="CA334" i="1"/>
  <c r="J345" i="1"/>
  <c r="CD345" i="1" s="1"/>
  <c r="J231" i="1"/>
  <c r="CD231" i="1" s="1"/>
  <c r="BH233" i="1"/>
  <c r="BQ234" i="1"/>
  <c r="BN234" i="1" s="1"/>
  <c r="BQ239" i="1"/>
  <c r="BN239" i="1" s="1"/>
  <c r="AQ240" i="1"/>
  <c r="BS240" i="1" s="1"/>
  <c r="Q246" i="1"/>
  <c r="R246" i="1" s="1"/>
  <c r="BQ254" i="1"/>
  <c r="BN254" i="1" s="1"/>
  <c r="BZ263" i="1"/>
  <c r="BQ263" i="1"/>
  <c r="BN263" i="1" s="1"/>
  <c r="BQ280" i="1"/>
  <c r="BN280" i="1" s="1"/>
  <c r="BH284" i="1"/>
  <c r="BQ297" i="1"/>
  <c r="BN297" i="1" s="1"/>
  <c r="Q300" i="1"/>
  <c r="R300" i="1" s="1"/>
  <c r="BQ310" i="1"/>
  <c r="BN310" i="1" s="1"/>
  <c r="AQ317" i="1"/>
  <c r="BS317" i="1" s="1"/>
  <c r="BH318" i="1"/>
  <c r="BZ327" i="1"/>
  <c r="BH335" i="1"/>
  <c r="Q345" i="1"/>
  <c r="R345" i="1" s="1"/>
  <c r="BZ225" i="1"/>
  <c r="BQ269" i="1"/>
  <c r="BN269" i="1" s="1"/>
  <c r="BZ271" i="1"/>
  <c r="BZ291" i="1"/>
  <c r="BZ292" i="1"/>
  <c r="BQ304" i="1"/>
  <c r="BN304" i="1" s="1"/>
  <c r="AQ325" i="1"/>
  <c r="BS325" i="1" s="1"/>
  <c r="AQ330" i="1"/>
  <c r="BS330" i="1" s="1"/>
  <c r="AQ335" i="1"/>
  <c r="BS335" i="1" s="1"/>
  <c r="BH231" i="1"/>
  <c r="J281" i="1"/>
  <c r="BG281" i="1" s="1"/>
  <c r="BP281" i="1" s="1" a="1"/>
  <c r="BP281" i="1" s="1"/>
  <c r="J311" i="1"/>
  <c r="CD311" i="1" s="1"/>
  <c r="J329" i="1"/>
  <c r="CD329" i="1" s="1"/>
  <c r="BQ225" i="1"/>
  <c r="BN225" i="1" s="1"/>
  <c r="AQ238" i="1"/>
  <c r="BS238" i="1" s="1"/>
  <c r="Q239" i="1"/>
  <c r="R239" i="1" s="1"/>
  <c r="BZ239" i="1"/>
  <c r="BQ247" i="1"/>
  <c r="BN247" i="1" s="1"/>
  <c r="BQ274" i="1"/>
  <c r="BN274" i="1" s="1"/>
  <c r="BH281" i="1"/>
  <c r="AQ282" i="1"/>
  <c r="BS282" i="1" s="1"/>
  <c r="BQ296" i="1"/>
  <c r="BN296" i="1" s="1"/>
  <c r="BZ304" i="1"/>
  <c r="L312" i="1"/>
  <c r="BH314" i="1"/>
  <c r="BZ321" i="1"/>
  <c r="BQ219" i="1"/>
  <c r="BN219" i="1" s="1"/>
  <c r="Q223" i="1"/>
  <c r="R223" i="1" s="1"/>
  <c r="BZ237" i="1"/>
  <c r="AQ244" i="1"/>
  <c r="BS244" i="1" s="1"/>
  <c r="Q268" i="1"/>
  <c r="R268" i="1" s="1"/>
  <c r="BH269" i="1"/>
  <c r="CA277" i="1"/>
  <c r="BQ282" i="1"/>
  <c r="BN282" i="1" s="1"/>
  <c r="BZ296" i="1"/>
  <c r="BH315" i="1"/>
  <c r="Q327" i="1"/>
  <c r="R327" i="1" s="1"/>
  <c r="BQ255" i="1"/>
  <c r="BN255" i="1" s="1"/>
  <c r="BQ322" i="1"/>
  <c r="BN322" i="1" s="1"/>
  <c r="AQ219" i="1"/>
  <c r="BS219" i="1" s="1"/>
  <c r="BH237" i="1"/>
  <c r="AQ243" i="1"/>
  <c r="BS243" i="1" s="1"/>
  <c r="AQ249" i="1"/>
  <c r="BS249" i="1" s="1"/>
  <c r="BQ249" i="1"/>
  <c r="BN249" i="1" s="1"/>
  <c r="BZ249" i="1"/>
  <c r="Q259" i="1"/>
  <c r="R259" i="1" s="1"/>
  <c r="BQ306" i="1"/>
  <c r="BN306" i="1" s="1"/>
  <c r="Q325" i="1"/>
  <c r="R325" i="1" s="1"/>
  <c r="BZ326" i="1"/>
  <c r="AQ336" i="1"/>
  <c r="BS336" i="1" s="1"/>
  <c r="AQ233" i="1"/>
  <c r="BS233" i="1" s="1"/>
  <c r="BH240" i="1"/>
  <c r="BH326" i="1"/>
  <c r="AQ329" i="1"/>
  <c r="BS329" i="1" s="1"/>
  <c r="BZ345" i="1"/>
  <c r="BZ318" i="1"/>
  <c r="BQ344" i="1"/>
  <c r="BN344" i="1" s="1"/>
  <c r="AQ212" i="1"/>
  <c r="BS212" i="1" s="1"/>
  <c r="AQ231" i="1"/>
  <c r="BS231" i="1" s="1"/>
  <c r="J236" i="1"/>
  <c r="CD236" i="1" s="1"/>
  <c r="AQ237" i="1"/>
  <c r="BS237" i="1" s="1"/>
  <c r="J244" i="1"/>
  <c r="BF244" i="1" s="1"/>
  <c r="BZ258" i="1"/>
  <c r="BQ261" i="1"/>
  <c r="BN261" i="1" s="1"/>
  <c r="BQ264" i="1"/>
  <c r="BN264" i="1" s="1"/>
  <c r="AQ279" i="1"/>
  <c r="BS279" i="1" s="1"/>
  <c r="BQ281" i="1"/>
  <c r="BN281" i="1" s="1"/>
  <c r="AQ281" i="1"/>
  <c r="BS281" i="1" s="1"/>
  <c r="AQ284" i="1"/>
  <c r="BS284" i="1" s="1"/>
  <c r="BH287" i="1"/>
  <c r="Q293" i="1"/>
  <c r="R293" i="1" s="1"/>
  <c r="BK294" i="1"/>
  <c r="CA298" i="1"/>
  <c r="BH308" i="1"/>
  <c r="BZ310" i="1"/>
  <c r="AQ311" i="1"/>
  <c r="BS311" i="1" s="1"/>
  <c r="AQ320" i="1"/>
  <c r="BS320" i="1" s="1"/>
  <c r="AQ338" i="1"/>
  <c r="BS338" i="1" s="1"/>
  <c r="BZ338" i="1"/>
  <c r="CA339" i="1"/>
  <c r="BZ232" i="1"/>
  <c r="BQ246" i="1"/>
  <c r="BN246" i="1" s="1"/>
  <c r="L301" i="1"/>
  <c r="Z232" i="1"/>
  <c r="Y232" i="1"/>
  <c r="AA232" i="1"/>
  <c r="BD251" i="1"/>
  <c r="AP251" i="1"/>
  <c r="AB251" i="5" s="1"/>
  <c r="AM256" i="1"/>
  <c r="AJ256" i="1"/>
  <c r="AL256" i="1"/>
  <c r="AP211" i="1"/>
  <c r="AB211" i="5" s="1"/>
  <c r="BD211" i="1"/>
  <c r="AB228" i="1"/>
  <c r="AA228" i="1"/>
  <c r="G230" i="5"/>
  <c r="I230" i="5" s="1"/>
  <c r="T230" i="1"/>
  <c r="W230" i="1"/>
  <c r="U230" i="1"/>
  <c r="V230" i="1"/>
  <c r="CA233" i="1"/>
  <c r="BK233" i="1"/>
  <c r="AN233" i="1"/>
  <c r="BZ233" i="1"/>
  <c r="BE241" i="1"/>
  <c r="K241" i="1"/>
  <c r="AP241" i="1"/>
  <c r="AB241" i="5" s="1"/>
  <c r="AN247" i="1"/>
  <c r="BK247" i="1"/>
  <c r="Q251" i="1"/>
  <c r="R251" i="1" s="1"/>
  <c r="AJ251" i="1"/>
  <c r="AM251" i="1"/>
  <c r="AL251" i="1"/>
  <c r="AP258" i="1"/>
  <c r="AB258" i="5" s="1"/>
  <c r="BE258" i="1"/>
  <c r="BU258" i="1" s="1"/>
  <c r="BD258" i="1"/>
  <c r="K262" i="1"/>
  <c r="BD262" i="1"/>
  <c r="BE262" i="1"/>
  <c r="K263" i="1"/>
  <c r="AP263" i="1"/>
  <c r="AB263" i="5" s="1"/>
  <c r="BD263" i="1"/>
  <c r="BE264" i="1"/>
  <c r="BD264" i="1"/>
  <c r="K264" i="1"/>
  <c r="AJ267" i="1"/>
  <c r="AK267" i="1"/>
  <c r="AL267" i="1"/>
  <c r="T271" i="1"/>
  <c r="U271" i="1"/>
  <c r="V271" i="1"/>
  <c r="AQ272" i="1"/>
  <c r="BS272" i="1" s="1"/>
  <c r="AQ276" i="1"/>
  <c r="BS276" i="1" s="1"/>
  <c r="AL286" i="1"/>
  <c r="AJ286" i="1"/>
  <c r="AK286" i="1"/>
  <c r="AN288" i="1"/>
  <c r="BK288" i="1"/>
  <c r="K306" i="1"/>
  <c r="AP306" i="1"/>
  <c r="AB306" i="5" s="1"/>
  <c r="BE306" i="1"/>
  <c r="J313" i="1"/>
  <c r="CD313" i="1" s="1"/>
  <c r="Z318" i="1"/>
  <c r="AB318" i="1"/>
  <c r="Y318" i="1"/>
  <c r="BE322" i="1"/>
  <c r="K322" i="1"/>
  <c r="BD322" i="1"/>
  <c r="BD328" i="1"/>
  <c r="AP328" i="1"/>
  <c r="AB328" i="5" s="1"/>
  <c r="BZ308" i="1"/>
  <c r="L249" i="1"/>
  <c r="L285" i="1"/>
  <c r="BH321" i="1"/>
  <c r="BH299" i="1"/>
  <c r="BH241" i="1"/>
  <c r="Q326" i="1"/>
  <c r="R326" i="1" s="1"/>
  <c r="BH243" i="1"/>
  <c r="L279" i="1"/>
  <c r="J268" i="1"/>
  <c r="L271" i="1"/>
  <c r="BH270" i="1"/>
  <c r="L330" i="1"/>
  <c r="AM260" i="1"/>
  <c r="AJ260" i="1"/>
  <c r="AQ346" i="1"/>
  <c r="BS346" i="1" s="1"/>
  <c r="T211" i="1"/>
  <c r="V211" i="1"/>
  <c r="J346" i="1"/>
  <c r="AL346" i="1"/>
  <c r="AM346" i="1"/>
  <c r="BK235" i="1"/>
  <c r="AN235" i="1"/>
  <c r="BK238" i="1"/>
  <c r="AN238" i="1"/>
  <c r="BD242" i="1"/>
  <c r="K247" i="1"/>
  <c r="AP247" i="1"/>
  <c r="AB247" i="5" s="1"/>
  <c r="BE247" i="1"/>
  <c r="AJ250" i="1"/>
  <c r="AL250" i="1"/>
  <c r="J251" i="1"/>
  <c r="CD251" i="1" s="1"/>
  <c r="BZ254" i="1"/>
  <c r="U256" i="1"/>
  <c r="T256" i="1"/>
  <c r="BK257" i="1"/>
  <c r="AN257" i="1"/>
  <c r="AQ260" i="1"/>
  <c r="BS260" i="1" s="1"/>
  <c r="T263" i="1"/>
  <c r="U263" i="1"/>
  <c r="AP266" i="1"/>
  <c r="AB266" i="5" s="1"/>
  <c r="K266" i="1"/>
  <c r="G268" i="5"/>
  <c r="J268" i="5" s="1"/>
  <c r="W268" i="1"/>
  <c r="T268" i="1"/>
  <c r="U268" i="1"/>
  <c r="V268" i="1"/>
  <c r="AB272" i="1"/>
  <c r="Z272" i="1"/>
  <c r="W278" i="1"/>
  <c r="T278" i="1"/>
  <c r="V278" i="1"/>
  <c r="BF289" i="1"/>
  <c r="CD289" i="1"/>
  <c r="BG289" i="1"/>
  <c r="BP289" i="1" s="1" a="1"/>
  <c r="BP289" i="1" s="1"/>
  <c r="BE289" i="1"/>
  <c r="BU289" i="1" s="1"/>
  <c r="BD289" i="1"/>
  <c r="K289" i="1"/>
  <c r="AP291" i="1"/>
  <c r="AB291" i="5" s="1"/>
  <c r="BE291" i="1"/>
  <c r="K291" i="1"/>
  <c r="AL292" i="1"/>
  <c r="AJ292" i="1"/>
  <c r="AK292" i="1"/>
  <c r="V296" i="1"/>
  <c r="U296" i="1"/>
  <c r="K297" i="1"/>
  <c r="AQ297" i="1"/>
  <c r="BS297" i="1" s="1"/>
  <c r="BZ299" i="1"/>
  <c r="BK299" i="1"/>
  <c r="AN299" i="1"/>
  <c r="AQ306" i="1"/>
  <c r="BS306" i="1" s="1"/>
  <c r="BD313" i="1"/>
  <c r="BE313" i="1"/>
  <c r="K320" i="1"/>
  <c r="AP320" i="1"/>
  <c r="AB320" i="5" s="1"/>
  <c r="U331" i="1"/>
  <c r="V331" i="1"/>
  <c r="AN331" i="1"/>
  <c r="BK331" i="1"/>
  <c r="BG333" i="1"/>
  <c r="BP333" i="1" s="1" a="1"/>
  <c r="BP333" i="1" s="1"/>
  <c r="BW333" i="1"/>
  <c r="CD333" i="1"/>
  <c r="BF333" i="1"/>
  <c r="G344" i="5"/>
  <c r="I344" i="5" s="1"/>
  <c r="W344" i="1"/>
  <c r="J211" i="1"/>
  <c r="BH212" i="1"/>
  <c r="L260" i="1"/>
  <c r="BH249" i="1"/>
  <c r="J285" i="1"/>
  <c r="J274" i="1"/>
  <c r="BH264" i="1"/>
  <c r="J241" i="1"/>
  <c r="Q242" i="1"/>
  <c r="R242" i="1" s="1"/>
  <c r="J326" i="1"/>
  <c r="BH328" i="1"/>
  <c r="Q233" i="1"/>
  <c r="R233" i="1" s="1"/>
  <c r="J294" i="1"/>
  <c r="BH342" i="1"/>
  <c r="K232" i="1"/>
  <c r="BD232" i="1"/>
  <c r="BE232" i="1"/>
  <c r="AN219" i="1"/>
  <c r="BK219" i="1"/>
  <c r="CA232" i="1"/>
  <c r="Y346" i="1"/>
  <c r="AA346" i="1"/>
  <c r="AI232" i="1"/>
  <c r="Q346" i="1"/>
  <c r="R346" i="1" s="1"/>
  <c r="W212" i="1"/>
  <c r="V212" i="1"/>
  <c r="U212" i="1"/>
  <c r="AB223" i="1"/>
  <c r="AA223" i="1"/>
  <c r="Z223" i="1"/>
  <c r="AN231" i="1"/>
  <c r="BK231" i="1"/>
  <c r="AP234" i="1"/>
  <c r="AB234" i="5" s="1"/>
  <c r="K234" i="1"/>
  <c r="G242" i="5"/>
  <c r="J242" i="5" s="1"/>
  <c r="V242" i="1"/>
  <c r="U242" i="1"/>
  <c r="W242" i="1"/>
  <c r="T242" i="1"/>
  <c r="S243" i="5"/>
  <c r="T243" i="5" s="1"/>
  <c r="AJ243" i="1"/>
  <c r="AK243" i="1"/>
  <c r="AL243" i="1"/>
  <c r="AM243" i="1"/>
  <c r="BK248" i="1"/>
  <c r="Q250" i="1"/>
  <c r="R250" i="1" s="1"/>
  <c r="BD252" i="1"/>
  <c r="AP252" i="1"/>
  <c r="AB252" i="5" s="1"/>
  <c r="BE252" i="1"/>
  <c r="K252" i="1"/>
  <c r="AQ255" i="1"/>
  <c r="BS255" i="1" s="1"/>
  <c r="AP259" i="1"/>
  <c r="AB259" i="5" s="1"/>
  <c r="BD259" i="1"/>
  <c r="Q263" i="1"/>
  <c r="R263" i="1" s="1"/>
  <c r="T264" i="1"/>
  <c r="W264" i="1"/>
  <c r="V264" i="1"/>
  <c r="K265" i="1"/>
  <c r="BD265" i="1"/>
  <c r="BE265" i="1"/>
  <c r="BE267" i="1"/>
  <c r="BU267" i="1" s="1"/>
  <c r="AP267" i="1"/>
  <c r="AB267" i="5" s="1"/>
  <c r="BD267" i="1"/>
  <c r="K267" i="1"/>
  <c r="AP279" i="1"/>
  <c r="AB279" i="5" s="1"/>
  <c r="BD279" i="1"/>
  <c r="AP282" i="1"/>
  <c r="AB282" i="5" s="1"/>
  <c r="K282" i="1"/>
  <c r="BD282" i="1"/>
  <c r="AQ294" i="1"/>
  <c r="BS294" i="1" s="1"/>
  <c r="AM299" i="1"/>
  <c r="AJ299" i="1"/>
  <c r="BH306" i="1"/>
  <c r="AN307" i="1"/>
  <c r="BK307" i="1"/>
  <c r="Q311" i="1"/>
  <c r="R311" i="1" s="1"/>
  <c r="AA312" i="1"/>
  <c r="Y312" i="1"/>
  <c r="Z312" i="1"/>
  <c r="AL313" i="1"/>
  <c r="AM313" i="1"/>
  <c r="AJ313" i="1"/>
  <c r="AQ314" i="1"/>
  <c r="BS314" i="1" s="1"/>
  <c r="Z316" i="1"/>
  <c r="AA316" i="1"/>
  <c r="L320" i="1"/>
  <c r="BQ325" i="1"/>
  <c r="BN325" i="1" s="1"/>
  <c r="U335" i="1"/>
  <c r="W335" i="1"/>
  <c r="V335" i="1"/>
  <c r="BG338" i="1"/>
  <c r="BP338" i="1" s="1" a="1"/>
  <c r="BP338" i="1" s="1"/>
  <c r="BW338" i="1"/>
  <c r="BF338" i="1"/>
  <c r="AN339" i="1"/>
  <c r="BK339" i="1"/>
  <c r="Q210" i="1"/>
  <c r="R210" i="1" s="1"/>
  <c r="BH211" i="1"/>
  <c r="Q272" i="1"/>
  <c r="R272" i="1" s="1"/>
  <c r="J320" i="1"/>
  <c r="L225" i="1"/>
  <c r="J249" i="1"/>
  <c r="Q285" i="1"/>
  <c r="R285" i="1" s="1"/>
  <c r="L311" i="1"/>
  <c r="Q240" i="1"/>
  <c r="R240" i="1" s="1"/>
  <c r="BH242" i="1"/>
  <c r="L243" i="1"/>
  <c r="BZ339" i="1"/>
  <c r="Q232" i="1"/>
  <c r="R232" i="1" s="1"/>
  <c r="J328" i="1"/>
  <c r="L270" i="1"/>
  <c r="Q294" i="1"/>
  <c r="R294" i="1" s="1"/>
  <c r="J342" i="1"/>
  <c r="AJ230" i="1"/>
  <c r="AM230" i="1"/>
  <c r="AL244" i="1"/>
  <c r="AM244" i="1"/>
  <c r="AJ244" i="1"/>
  <c r="BD260" i="1"/>
  <c r="AP260" i="1"/>
  <c r="AB260" i="5" s="1"/>
  <c r="K260" i="1"/>
  <c r="BE260" i="1"/>
  <c r="BK266" i="1"/>
  <c r="AN266" i="1"/>
  <c r="AD346" i="1"/>
  <c r="AG346" i="1" s="1"/>
  <c r="BZ211" i="1"/>
  <c r="BD212" i="1"/>
  <c r="AP212" i="1"/>
  <c r="AB212" i="5" s="1"/>
  <c r="AP238" i="1"/>
  <c r="AB238" i="5" s="1"/>
  <c r="BE238" i="1"/>
  <c r="L242" i="1"/>
  <c r="L245" i="1"/>
  <c r="AQ245" i="1"/>
  <c r="BS245" i="1" s="1"/>
  <c r="J245" i="1"/>
  <c r="Q248" i="1"/>
  <c r="R248" i="1" s="1"/>
  <c r="AQ248" i="1"/>
  <c r="BS248" i="1" s="1"/>
  <c r="G251" i="5"/>
  <c r="I251" i="5" s="1"/>
  <c r="V251" i="1"/>
  <c r="T251" i="1"/>
  <c r="U251" i="1"/>
  <c r="W251" i="1"/>
  <c r="AN256" i="1"/>
  <c r="BK256" i="1"/>
  <c r="AQ259" i="1"/>
  <c r="BS259" i="1" s="1"/>
  <c r="CA260" i="1"/>
  <c r="BD261" i="1"/>
  <c r="BE261" i="1"/>
  <c r="AQ264" i="1"/>
  <c r="BS264" i="1" s="1"/>
  <c r="BH272" i="1"/>
  <c r="T272" i="1"/>
  <c r="V272" i="1"/>
  <c r="W272" i="1"/>
  <c r="L277" i="1"/>
  <c r="AQ277" i="1"/>
  <c r="BS277" i="1" s="1"/>
  <c r="AP277" i="1"/>
  <c r="AB277" i="5" s="1"/>
  <c r="BD277" i="1"/>
  <c r="BE277" i="1"/>
  <c r="BU277" i="1" s="1"/>
  <c r="CA278" i="1"/>
  <c r="BD280" i="1"/>
  <c r="BE280" i="1"/>
  <c r="G287" i="5"/>
  <c r="I287" i="5" s="1"/>
  <c r="V287" i="1"/>
  <c r="U287" i="1"/>
  <c r="W287" i="1"/>
  <c r="T287" i="1"/>
  <c r="K290" i="1"/>
  <c r="AP290" i="1"/>
  <c r="AB290" i="5" s="1"/>
  <c r="BD290" i="1"/>
  <c r="L293" i="1"/>
  <c r="AQ293" i="1"/>
  <c r="BS293" i="1" s="1"/>
  <c r="Q318" i="1"/>
  <c r="R318" i="1" s="1"/>
  <c r="Q319" i="1"/>
  <c r="R319" i="1" s="1"/>
  <c r="BK319" i="1"/>
  <c r="BQ320" i="1"/>
  <c r="BN320" i="1" s="1"/>
  <c r="BH322" i="1"/>
  <c r="AB322" i="1"/>
  <c r="Z322" i="1"/>
  <c r="AQ327" i="1"/>
  <c r="BS327" i="1" s="1"/>
  <c r="S328" i="5"/>
  <c r="T328" i="5" s="1"/>
  <c r="AM328" i="1"/>
  <c r="AJ328" i="1"/>
  <c r="AL328" i="1"/>
  <c r="AK328" i="1"/>
  <c r="BE330" i="1"/>
  <c r="BD330" i="1"/>
  <c r="K330" i="1"/>
  <c r="AP330" i="1"/>
  <c r="AB330" i="5" s="1"/>
  <c r="Y334" i="1"/>
  <c r="AB334" i="1"/>
  <c r="Z334" i="1"/>
  <c r="AQ337" i="1"/>
  <c r="BS337" i="1" s="1"/>
  <c r="L338" i="1"/>
  <c r="BQ341" i="1"/>
  <c r="BN341" i="1" s="1"/>
  <c r="BQ342" i="1"/>
  <c r="BN342" i="1" s="1"/>
  <c r="J343" i="1"/>
  <c r="BF343" i="1" s="1"/>
  <c r="BH247" i="1"/>
  <c r="BZ332" i="1"/>
  <c r="BH225" i="1"/>
  <c r="BZ238" i="1"/>
  <c r="BH210" i="1"/>
  <c r="L276" i="1"/>
  <c r="BH259" i="1"/>
  <c r="L325" i="1"/>
  <c r="J290" i="1"/>
  <c r="J280" i="1"/>
  <c r="BH340" i="1"/>
  <c r="BD230" i="1"/>
  <c r="BE230" i="1"/>
  <c r="T241" i="1"/>
  <c r="W241" i="1"/>
  <c r="V241" i="1"/>
  <c r="T248" i="1"/>
  <c r="W248" i="1"/>
  <c r="V248" i="1"/>
  <c r="W252" i="1"/>
  <c r="V252" i="1"/>
  <c r="Q211" i="1"/>
  <c r="R211" i="1" s="1"/>
  <c r="L212" i="1"/>
  <c r="K219" i="1"/>
  <c r="BE219" i="1"/>
  <c r="AP219" i="1"/>
  <c r="AB219" i="5" s="1"/>
  <c r="BD219" i="1"/>
  <c r="Q230" i="1"/>
  <c r="R230" i="1" s="1"/>
  <c r="AQ232" i="1"/>
  <c r="BS232" i="1" s="1"/>
  <c r="AK235" i="1"/>
  <c r="AJ235" i="1"/>
  <c r="AL235" i="1"/>
  <c r="U239" i="1"/>
  <c r="W239" i="1"/>
  <c r="L244" i="1"/>
  <c r="Q245" i="1"/>
  <c r="R245" i="1" s="1"/>
  <c r="Q247" i="1"/>
  <c r="R247" i="1" s="1"/>
  <c r="AQ250" i="1"/>
  <c r="BS250" i="1" s="1"/>
  <c r="L254" i="1"/>
  <c r="L255" i="1"/>
  <c r="G259" i="5"/>
  <c r="J259" i="5" s="1"/>
  <c r="U259" i="1"/>
  <c r="V259" i="1"/>
  <c r="T259" i="1"/>
  <c r="W259" i="1"/>
  <c r="AQ262" i="1"/>
  <c r="BS262" i="1" s="1"/>
  <c r="AQ265" i="1"/>
  <c r="BS265" i="1" s="1"/>
  <c r="W266" i="1"/>
  <c r="V266" i="1"/>
  <c r="K268" i="1"/>
  <c r="BD268" i="1"/>
  <c r="BE268" i="1"/>
  <c r="U275" i="1"/>
  <c r="V275" i="1"/>
  <c r="W275" i="1"/>
  <c r="BK279" i="1"/>
  <c r="AN279" i="1"/>
  <c r="AK282" i="1"/>
  <c r="AL282" i="1"/>
  <c r="AM282" i="1"/>
  <c r="W283" i="1"/>
  <c r="U283" i="1"/>
  <c r="T283" i="1"/>
  <c r="T289" i="1"/>
  <c r="U289" i="1"/>
  <c r="L296" i="1"/>
  <c r="CA296" i="1"/>
  <c r="BD302" i="1"/>
  <c r="K302" i="1"/>
  <c r="Q305" i="1"/>
  <c r="R305" i="1" s="1"/>
  <c r="AQ305" i="1"/>
  <c r="BS305" i="1" s="1"/>
  <c r="J306" i="1"/>
  <c r="AP312" i="1"/>
  <c r="AB312" i="5" s="1"/>
  <c r="K312" i="1"/>
  <c r="U316" i="1"/>
  <c r="W316" i="1"/>
  <c r="V316" i="1"/>
  <c r="J318" i="1"/>
  <c r="J319" i="1"/>
  <c r="AZ319" i="1" s="1"/>
  <c r="Q320" i="1"/>
  <c r="R320" i="1" s="1"/>
  <c r="BQ327" i="1"/>
  <c r="BN327" i="1" s="1"/>
  <c r="U329" i="1"/>
  <c r="W329" i="1"/>
  <c r="BQ329" i="1"/>
  <c r="BN329" i="1" s="1"/>
  <c r="CA331" i="1"/>
  <c r="AZ333" i="1"/>
  <c r="K336" i="1"/>
  <c r="G336" i="5"/>
  <c r="H336" i="5" s="1"/>
  <c r="T336" i="1"/>
  <c r="U336" i="1"/>
  <c r="W336" i="1"/>
  <c r="V336" i="1"/>
  <c r="BH341" i="1"/>
  <c r="AQ341" i="1"/>
  <c r="BS341" i="1" s="1"/>
  <c r="BH344" i="1"/>
  <c r="AQ345" i="1"/>
  <c r="BS345" i="1" s="1"/>
  <c r="J247" i="1"/>
  <c r="L346" i="1"/>
  <c r="J286" i="1"/>
  <c r="J242" i="1"/>
  <c r="BH290" i="1"/>
  <c r="Q255" i="1"/>
  <c r="R255" i="1" s="1"/>
  <c r="Q341" i="1"/>
  <c r="R341" i="1" s="1"/>
  <c r="BH244" i="1"/>
  <c r="BH280" i="1"/>
  <c r="J340" i="1"/>
  <c r="L294" i="1"/>
  <c r="L235" i="1"/>
  <c r="BH346" i="1"/>
  <c r="BE213" i="1"/>
  <c r="BD213" i="1"/>
  <c r="AN229" i="1"/>
  <c r="BK229" i="1"/>
  <c r="AQ239" i="1"/>
  <c r="BS239" i="1" s="1"/>
  <c r="K240" i="1"/>
  <c r="AP240" i="1"/>
  <c r="AB240" i="5" s="1"/>
  <c r="BE240" i="1"/>
  <c r="BD240" i="1"/>
  <c r="Q243" i="1"/>
  <c r="R243" i="1" s="1"/>
  <c r="Q244" i="1"/>
  <c r="R244" i="1" s="1"/>
  <c r="AK254" i="1"/>
  <c r="AJ254" i="1"/>
  <c r="AL254" i="1"/>
  <c r="U258" i="1"/>
  <c r="T258" i="1"/>
  <c r="V258" i="1"/>
  <c r="J263" i="1"/>
  <c r="AJ265" i="1"/>
  <c r="AL265" i="1"/>
  <c r="AM265" i="1"/>
  <c r="K271" i="1"/>
  <c r="BD271" i="1"/>
  <c r="AP271" i="1"/>
  <c r="AB271" i="5" s="1"/>
  <c r="BE271" i="1"/>
  <c r="CA279" i="1"/>
  <c r="AL281" i="1"/>
  <c r="AJ281" i="1"/>
  <c r="AN282" i="1"/>
  <c r="BK282" i="1"/>
  <c r="AL285" i="1"/>
  <c r="AM285" i="1"/>
  <c r="AJ285" i="1"/>
  <c r="K288" i="1"/>
  <c r="AP288" i="1"/>
  <c r="AB288" i="5" s="1"/>
  <c r="AN289" i="1"/>
  <c r="BK289" i="1"/>
  <c r="AQ289" i="1"/>
  <c r="BS289" i="1" s="1"/>
  <c r="AJ291" i="1"/>
  <c r="AK291" i="1"/>
  <c r="K296" i="1"/>
  <c r="AP296" i="1"/>
  <c r="AB296" i="5" s="1"/>
  <c r="BE296" i="1"/>
  <c r="BU296" i="1" s="1"/>
  <c r="L297" i="1"/>
  <c r="BE301" i="1"/>
  <c r="K301" i="1"/>
  <c r="BH304" i="1"/>
  <c r="BZ306" i="1"/>
  <c r="Y306" i="1"/>
  <c r="Z306" i="1"/>
  <c r="AQ315" i="1"/>
  <c r="BS315" i="1" s="1"/>
  <c r="BH330" i="1"/>
  <c r="Q331" i="1"/>
  <c r="R331" i="1" s="1"/>
  <c r="Q332" i="1"/>
  <c r="R332" i="1" s="1"/>
  <c r="AQ333" i="1"/>
  <c r="BS333" i="1" s="1"/>
  <c r="L334" i="1"/>
  <c r="BH339" i="1"/>
  <c r="L341" i="1"/>
  <c r="BZ247" i="1"/>
  <c r="Q284" i="1"/>
  <c r="R284" i="1" s="1"/>
  <c r="J344" i="1"/>
  <c r="BH261" i="1"/>
  <c r="BH238" i="1"/>
  <c r="J335" i="1"/>
  <c r="Q252" i="1"/>
  <c r="R252" i="1" s="1"/>
  <c r="Q218" i="1"/>
  <c r="R218" i="1" s="1"/>
  <c r="BH302" i="1"/>
  <c r="BH255" i="1"/>
  <c r="Q291" i="1"/>
  <c r="R291" i="1" s="1"/>
  <c r="J257" i="1"/>
  <c r="L306" i="1"/>
  <c r="BD215" i="1"/>
  <c r="BE215" i="1"/>
  <c r="BZ236" i="1"/>
  <c r="AJ237" i="1"/>
  <c r="AM237" i="1"/>
  <c r="AL237" i="1"/>
  <c r="BK268" i="1"/>
  <c r="AN268" i="1"/>
  <c r="AQ211" i="1"/>
  <c r="BS211" i="1" s="1"/>
  <c r="W219" i="1"/>
  <c r="V219" i="1"/>
  <c r="T219" i="1"/>
  <c r="AJ219" i="1"/>
  <c r="AK219" i="1"/>
  <c r="Q224" i="1"/>
  <c r="R224" i="1" s="1"/>
  <c r="K225" i="1"/>
  <c r="BD225" i="1"/>
  <c r="S231" i="5"/>
  <c r="U231" i="5" s="1"/>
  <c r="AL231" i="1"/>
  <c r="AM231" i="1"/>
  <c r="AJ231" i="1"/>
  <c r="AK231" i="1"/>
  <c r="AP233" i="1"/>
  <c r="AB233" i="5" s="1"/>
  <c r="BD233" i="1"/>
  <c r="G236" i="5"/>
  <c r="H236" i="5" s="1"/>
  <c r="W236" i="1"/>
  <c r="V236" i="1"/>
  <c r="T236" i="1"/>
  <c r="U236" i="1"/>
  <c r="AQ241" i="1"/>
  <c r="BS241" i="1" s="1"/>
  <c r="BD246" i="1"/>
  <c r="AP246" i="1"/>
  <c r="AB246" i="5" s="1"/>
  <c r="BE246" i="1"/>
  <c r="K246" i="1"/>
  <c r="AN250" i="1"/>
  <c r="BK250" i="1"/>
  <c r="L252" i="1"/>
  <c r="AQ252" i="1"/>
  <c r="BS252" i="1" s="1"/>
  <c r="K256" i="1"/>
  <c r="BD256" i="1"/>
  <c r="AP256" i="1"/>
  <c r="AB256" i="5" s="1"/>
  <c r="BE256" i="1"/>
  <c r="AQ256" i="1"/>
  <c r="BS256" i="1" s="1"/>
  <c r="AQ258" i="1"/>
  <c r="BS258" i="1" s="1"/>
  <c r="J260" i="1"/>
  <c r="AK261" i="1"/>
  <c r="AJ261" i="1"/>
  <c r="AL261" i="1"/>
  <c r="BD270" i="1"/>
  <c r="AP276" i="1"/>
  <c r="AB276" i="5" s="1"/>
  <c r="BD276" i="1"/>
  <c r="G277" i="5"/>
  <c r="J277" i="5" s="1"/>
  <c r="W277" i="1"/>
  <c r="V277" i="1"/>
  <c r="T277" i="1"/>
  <c r="U277" i="1"/>
  <c r="T280" i="1"/>
  <c r="U280" i="1"/>
  <c r="V280" i="1"/>
  <c r="CA282" i="1"/>
  <c r="T284" i="1"/>
  <c r="V284" i="1"/>
  <c r="W284" i="1"/>
  <c r="AN290" i="1"/>
  <c r="BK290" i="1"/>
  <c r="BE298" i="1"/>
  <c r="BU298" i="1" s="1"/>
  <c r="AP298" i="1"/>
  <c r="AB298" i="5" s="1"/>
  <c r="K298" i="1"/>
  <c r="T301" i="1"/>
  <c r="W301" i="1"/>
  <c r="V301" i="1"/>
  <c r="K308" i="5"/>
  <c r="L308" i="5" s="1"/>
  <c r="AA308" i="1"/>
  <c r="AB308" i="1"/>
  <c r="Z308" i="1"/>
  <c r="Y308" i="1"/>
  <c r="AN315" i="1"/>
  <c r="BK315" i="1"/>
  <c r="CA335" i="1"/>
  <c r="AP337" i="1"/>
  <c r="AB337" i="5" s="1"/>
  <c r="BD337" i="1"/>
  <c r="BE337" i="1"/>
  <c r="K338" i="1"/>
  <c r="BD338" i="1"/>
  <c r="AP338" i="1"/>
  <c r="AB338" i="5" s="1"/>
  <c r="AQ210" i="1"/>
  <c r="BS210" i="1" s="1"/>
  <c r="Q236" i="1"/>
  <c r="R236" i="1" s="1"/>
  <c r="Q225" i="1"/>
  <c r="R225" i="1" s="1"/>
  <c r="BH297" i="1"/>
  <c r="L250" i="1"/>
  <c r="Q215" i="1"/>
  <c r="R215" i="1" s="1"/>
  <c r="J336" i="1"/>
  <c r="BH265" i="1"/>
  <c r="BH254" i="1"/>
  <c r="Q302" i="1"/>
  <c r="R302" i="1" s="1"/>
  <c r="BH219" i="1"/>
  <c r="BZ315" i="1"/>
  <c r="BZ244" i="1"/>
  <c r="L257" i="1"/>
  <c r="J282" i="1"/>
  <c r="BZ235" i="1"/>
  <c r="BZ268" i="1"/>
  <c r="BQ271" i="1"/>
  <c r="BN271" i="1" s="1"/>
  <c r="BK271" i="1"/>
  <c r="AN271" i="1"/>
  <c r="AP272" i="1"/>
  <c r="AB272" i="5" s="1"/>
  <c r="K272" i="1"/>
  <c r="BZ274" i="1"/>
  <c r="BK274" i="1"/>
  <c r="AN274" i="1"/>
  <c r="AP274" i="1"/>
  <c r="AB274" i="5" s="1"/>
  <c r="BE274" i="1"/>
  <c r="BD274" i="1"/>
  <c r="K274" i="1"/>
  <c r="BK285" i="1"/>
  <c r="AN285" i="1"/>
  <c r="G290" i="5"/>
  <c r="H290" i="5" s="1"/>
  <c r="V290" i="1"/>
  <c r="W290" i="1"/>
  <c r="T290" i="1"/>
  <c r="U290" i="1"/>
  <c r="V291" i="1"/>
  <c r="W291" i="1"/>
  <c r="AQ291" i="1"/>
  <c r="BS291" i="1" s="1"/>
  <c r="BD292" i="1"/>
  <c r="Q297" i="1"/>
  <c r="R297" i="1" s="1"/>
  <c r="BQ298" i="1"/>
  <c r="BN298" i="1" s="1"/>
  <c r="G299" i="5"/>
  <c r="J299" i="5" s="1"/>
  <c r="U299" i="1"/>
  <c r="T299" i="1"/>
  <c r="W299" i="1"/>
  <c r="V299" i="1"/>
  <c r="V308" i="1"/>
  <c r="W308" i="1"/>
  <c r="AN313" i="1"/>
  <c r="BK313" i="1"/>
  <c r="AQ316" i="1"/>
  <c r="BS316" i="1" s="1"/>
  <c r="BD319" i="1"/>
  <c r="BE319" i="1"/>
  <c r="BD321" i="1"/>
  <c r="K324" i="5"/>
  <c r="L324" i="5" s="1"/>
  <c r="AA324" i="1"/>
  <c r="Y324" i="1"/>
  <c r="Z324" i="1"/>
  <c r="AB324" i="1"/>
  <c r="AN327" i="1"/>
  <c r="BK327" i="1"/>
  <c r="BK330" i="1"/>
  <c r="AN330" i="1"/>
  <c r="AQ331" i="1"/>
  <c r="BS331" i="1" s="1"/>
  <c r="Q333" i="1"/>
  <c r="R333" i="1" s="1"/>
  <c r="BD340" i="1"/>
  <c r="K340" i="1"/>
  <c r="BE341" i="1"/>
  <c r="K341" i="1"/>
  <c r="AP342" i="1"/>
  <c r="AB342" i="5" s="1"/>
  <c r="BE342" i="1"/>
  <c r="K342" i="1"/>
  <c r="AK345" i="1"/>
  <c r="AM345" i="1"/>
  <c r="J248" i="1"/>
  <c r="L284" i="1"/>
  <c r="J261" i="1"/>
  <c r="J297" i="1"/>
  <c r="Q214" i="1"/>
  <c r="R214" i="1" s="1"/>
  <c r="Q310" i="1"/>
  <c r="R310" i="1" s="1"/>
  <c r="J252" i="1"/>
  <c r="BH288" i="1"/>
  <c r="BH336" i="1"/>
  <c r="J265" i="1"/>
  <c r="Q254" i="1"/>
  <c r="R254" i="1" s="1"/>
  <c r="J302" i="1"/>
  <c r="J219" i="1"/>
  <c r="Q315" i="1"/>
  <c r="R315" i="1" s="1"/>
  <c r="Q256" i="1"/>
  <c r="R256" i="1" s="1"/>
  <c r="BH292" i="1"/>
  <c r="L258" i="1"/>
  <c r="BH282" i="1"/>
  <c r="Q306" i="1"/>
  <c r="R306" i="1" s="1"/>
  <c r="L246" i="1"/>
  <c r="AQ246" i="1"/>
  <c r="BS246" i="1" s="1"/>
  <c r="G247" i="5"/>
  <c r="J247" i="5" s="1"/>
  <c r="U247" i="1"/>
  <c r="V247" i="1"/>
  <c r="W247" i="1"/>
  <c r="T247" i="1"/>
  <c r="CD250" i="1"/>
  <c r="AQ251" i="1"/>
  <c r="BS251" i="1" s="1"/>
  <c r="BK252" i="1"/>
  <c r="AN252" i="1"/>
  <c r="BK263" i="1"/>
  <c r="AN263" i="1"/>
  <c r="S264" i="5"/>
  <c r="T264" i="5" s="1"/>
  <c r="AM264" i="1"/>
  <c r="AK264" i="1"/>
  <c r="AL264" i="1"/>
  <c r="AJ264" i="1"/>
  <c r="BZ267" i="1"/>
  <c r="G225" i="5"/>
  <c r="H225" i="5" s="1"/>
  <c r="T225" i="1"/>
  <c r="V225" i="1"/>
  <c r="U225" i="1"/>
  <c r="W225" i="1"/>
  <c r="AL225" i="1"/>
  <c r="AK225" i="1"/>
  <c r="BQ230" i="1"/>
  <c r="BN230" i="1" s="1"/>
  <c r="AQ230" i="1"/>
  <c r="BS230" i="1" s="1"/>
  <c r="CA231" i="1"/>
  <c r="CD235" i="1"/>
  <c r="BF235" i="1"/>
  <c r="BG235" i="1"/>
  <c r="BP235" i="1" s="1" a="1"/>
  <c r="BP235" i="1" s="1"/>
  <c r="BW235" i="1"/>
  <c r="L240" i="1"/>
  <c r="BQ241" i="1"/>
  <c r="BN241" i="1" s="1"/>
  <c r="AQ247" i="1"/>
  <c r="BS247" i="1" s="1"/>
  <c r="K249" i="1"/>
  <c r="K255" i="1"/>
  <c r="BE255" i="1"/>
  <c r="AP255" i="1"/>
  <c r="AB255" i="5" s="1"/>
  <c r="BD255" i="1"/>
  <c r="K257" i="1"/>
  <c r="BE257" i="1"/>
  <c r="AP257" i="1"/>
  <c r="AB257" i="5" s="1"/>
  <c r="BD257" i="1"/>
  <c r="BZ261" i="1"/>
  <c r="AQ261" i="1"/>
  <c r="BS261" i="1" s="1"/>
  <c r="BH263" i="1"/>
  <c r="Q265" i="1"/>
  <c r="R265" i="1" s="1"/>
  <c r="W265" i="1"/>
  <c r="V265" i="1"/>
  <c r="J266" i="1"/>
  <c r="BH267" i="1"/>
  <c r="AK270" i="1"/>
  <c r="AJ270" i="1"/>
  <c r="AL270" i="1"/>
  <c r="AB271" i="1"/>
  <c r="AA271" i="1"/>
  <c r="S271" i="5"/>
  <c r="V271" i="5" s="1"/>
  <c r="AL271" i="1"/>
  <c r="AM271" i="1"/>
  <c r="AK271" i="1"/>
  <c r="AJ271" i="1"/>
  <c r="L272" i="1"/>
  <c r="L281" i="1"/>
  <c r="K283" i="1"/>
  <c r="AP283" i="1"/>
  <c r="AB283" i="5" s="1"/>
  <c r="BD283" i="1"/>
  <c r="BE283" i="1"/>
  <c r="K284" i="1"/>
  <c r="AP284" i="1"/>
  <c r="AB284" i="5" s="1"/>
  <c r="L286" i="1"/>
  <c r="V293" i="1"/>
  <c r="U293" i="1"/>
  <c r="BW298" i="1"/>
  <c r="BF298" i="1"/>
  <c r="CD298" i="1"/>
  <c r="BG298" i="1"/>
  <c r="BP298" i="1" s="1" a="1"/>
  <c r="BP298" i="1" s="1"/>
  <c r="AN306" i="1"/>
  <c r="BK306" i="1"/>
  <c r="AQ307" i="1"/>
  <c r="BS307" i="1" s="1"/>
  <c r="BQ307" i="1"/>
  <c r="BN307" i="1" s="1"/>
  <c r="W310" i="1"/>
  <c r="V310" i="1"/>
  <c r="Q312" i="1"/>
  <c r="R312" i="1" s="1"/>
  <c r="AQ313" i="1"/>
  <c r="BS313" i="1" s="1"/>
  <c r="AQ318" i="1"/>
  <c r="BS318" i="1" s="1"/>
  <c r="W322" i="1"/>
  <c r="V322" i="1"/>
  <c r="G326" i="5"/>
  <c r="H326" i="5" s="1"/>
  <c r="V326" i="1"/>
  <c r="U326" i="1"/>
  <c r="W326" i="1"/>
  <c r="T326" i="1"/>
  <c r="S327" i="5"/>
  <c r="T327" i="5" s="1"/>
  <c r="AM327" i="1"/>
  <c r="AK327" i="1"/>
  <c r="AL327" i="1"/>
  <c r="AJ327" i="1"/>
  <c r="BQ330" i="1"/>
  <c r="BN330" i="1" s="1"/>
  <c r="S331" i="5"/>
  <c r="T331" i="5" s="1"/>
  <c r="AK331" i="1"/>
  <c r="AL331" i="1"/>
  <c r="AJ331" i="1"/>
  <c r="AM331" i="1"/>
  <c r="U338" i="1"/>
  <c r="W338" i="1"/>
  <c r="AQ340" i="1"/>
  <c r="BS340" i="1" s="1"/>
  <c r="AL342" i="1"/>
  <c r="AJ342" i="1"/>
  <c r="AQ342" i="1"/>
  <c r="BS342" i="1" s="1"/>
  <c r="AP210" i="1"/>
  <c r="AB210" i="5" s="1"/>
  <c r="BD210" i="1"/>
  <c r="BE210" i="1"/>
  <c r="BH296" i="1"/>
  <c r="J322" i="1"/>
  <c r="BH310" i="1"/>
  <c r="BH252" i="1"/>
  <c r="BZ288" i="1"/>
  <c r="L336" i="1"/>
  <c r="Q217" i="1"/>
  <c r="R217" i="1" s="1"/>
  <c r="Q266" i="1"/>
  <c r="R266" i="1" s="1"/>
  <c r="L267" i="1"/>
  <c r="J256" i="1"/>
  <c r="Q292" i="1"/>
  <c r="R292" i="1" s="1"/>
  <c r="BH257" i="1"/>
  <c r="BE286" i="1"/>
  <c r="K286" i="1"/>
  <c r="BD286" i="1"/>
  <c r="AP294" i="1"/>
  <c r="AB294" i="5" s="1"/>
  <c r="BD294" i="1"/>
  <c r="BE294" i="1"/>
  <c r="K294" i="1"/>
  <c r="AQ298" i="1"/>
  <c r="BS298" i="1" s="1"/>
  <c r="AQ299" i="1"/>
  <c r="BS299" i="1" s="1"/>
  <c r="BE307" i="1"/>
  <c r="BD307" i="1"/>
  <c r="K307" i="1"/>
  <c r="L310" i="1"/>
  <c r="AQ310" i="1"/>
  <c r="BS310" i="1" s="1"/>
  <c r="J316" i="1"/>
  <c r="CA316" i="1"/>
  <c r="V320" i="1"/>
  <c r="W320" i="1"/>
  <c r="AQ321" i="1"/>
  <c r="BS321" i="1" s="1"/>
  <c r="J321" i="1"/>
  <c r="CD321" i="1" s="1"/>
  <c r="Q324" i="1"/>
  <c r="R324" i="1" s="1"/>
  <c r="BK325" i="1"/>
  <c r="AN325" i="1"/>
  <c r="AL337" i="1"/>
  <c r="AK337" i="1"/>
  <c r="AQ339" i="1"/>
  <c r="BS339" i="1" s="1"/>
  <c r="AP343" i="1"/>
  <c r="AB343" i="5" s="1"/>
  <c r="BD343" i="1"/>
  <c r="K343" i="1"/>
  <c r="AN344" i="1"/>
  <c r="BK344" i="1"/>
  <c r="BQ345" i="1"/>
  <c r="BN345" i="1" s="1"/>
  <c r="L248" i="1"/>
  <c r="Q322" i="1"/>
  <c r="R322" i="1" s="1"/>
  <c r="J237" i="1"/>
  <c r="BH262" i="1"/>
  <c r="Q216" i="1"/>
  <c r="R216" i="1" s="1"/>
  <c r="BZ266" i="1"/>
  <c r="J314" i="1"/>
  <c r="BZ231" i="1"/>
  <c r="L315" i="1"/>
  <c r="BH256" i="1"/>
  <c r="Q258" i="1"/>
  <c r="R258" i="1" s="1"/>
  <c r="L318" i="1"/>
  <c r="AN346" i="1"/>
  <c r="BK346" i="1"/>
  <c r="BK232" i="1"/>
  <c r="AN232" i="1"/>
  <c r="AP245" i="1"/>
  <c r="AB245" i="5" s="1"/>
  <c r="BD245" i="1"/>
  <c r="U261" i="1"/>
  <c r="G261" i="5"/>
  <c r="W261" i="1"/>
  <c r="V261" i="1"/>
  <c r="T261" i="1"/>
  <c r="BK272" i="1"/>
  <c r="AN272" i="1"/>
  <c r="AJ276" i="1"/>
  <c r="AK276" i="1"/>
  <c r="AL276" i="1"/>
  <c r="BK278" i="1"/>
  <c r="AN278" i="1"/>
  <c r="BZ346" i="1"/>
  <c r="BZ219" i="1"/>
  <c r="AQ229" i="1"/>
  <c r="BS229" i="1" s="1"/>
  <c r="K233" i="5"/>
  <c r="M233" i="5" s="1"/>
  <c r="AB233" i="1"/>
  <c r="Y233" i="1"/>
  <c r="Z233" i="1"/>
  <c r="AA233" i="1"/>
  <c r="BH236" i="1"/>
  <c r="J238" i="1"/>
  <c r="AN246" i="1"/>
  <c r="BK246" i="1"/>
  <c r="V249" i="1"/>
  <c r="U249" i="1"/>
  <c r="W249" i="1"/>
  <c r="BQ257" i="1"/>
  <c r="BN257" i="1" s="1"/>
  <c r="BK258" i="1"/>
  <c r="AN258" i="1"/>
  <c r="AM262" i="1"/>
  <c r="AL262" i="1"/>
  <c r="AJ262" i="1"/>
  <c r="AQ278" i="1"/>
  <c r="BS278" i="1" s="1"/>
  <c r="BZ281" i="1"/>
  <c r="BE285" i="1"/>
  <c r="AP285" i="1"/>
  <c r="AB285" i="5" s="1"/>
  <c r="BD285" i="1"/>
  <c r="BZ287" i="1"/>
  <c r="L288" i="1"/>
  <c r="BH291" i="1"/>
  <c r="BQ292" i="1"/>
  <c r="BN292" i="1" s="1"/>
  <c r="BZ293" i="1"/>
  <c r="BH293" i="1"/>
  <c r="BK298" i="1"/>
  <c r="AN298" i="1"/>
  <c r="AN305" i="1"/>
  <c r="BK305" i="1"/>
  <c r="K310" i="1"/>
  <c r="BD310" i="1"/>
  <c r="AP310" i="1"/>
  <c r="AB310" i="5" s="1"/>
  <c r="BE310" i="1"/>
  <c r="BZ313" i="1"/>
  <c r="Q313" i="1"/>
  <c r="R313" i="1" s="1"/>
  <c r="BZ316" i="1"/>
  <c r="L317" i="1"/>
  <c r="T319" i="1"/>
  <c r="U319" i="1"/>
  <c r="CA326" i="1"/>
  <c r="L332" i="1"/>
  <c r="AQ332" i="1"/>
  <c r="BS332" i="1" s="1"/>
  <c r="AN336" i="1"/>
  <c r="BK336" i="1"/>
  <c r="AN338" i="1"/>
  <c r="BK338" i="1"/>
  <c r="U342" i="1"/>
  <c r="W342" i="1"/>
  <c r="BD344" i="1"/>
  <c r="K344" i="1"/>
  <c r="AP344" i="1"/>
  <c r="AB344" i="5" s="1"/>
  <c r="Q296" i="1"/>
  <c r="R296" i="1" s="1"/>
  <c r="L237" i="1"/>
  <c r="Q262" i="1"/>
  <c r="R262" i="1" s="1"/>
  <c r="Q299" i="1"/>
  <c r="R299" i="1" s="1"/>
  <c r="Q264" i="1"/>
  <c r="R264" i="1" s="1"/>
  <c r="J337" i="1"/>
  <c r="BZ229" i="1"/>
  <c r="J301" i="1"/>
  <c r="Q278" i="1"/>
  <c r="R278" i="1" s="1"/>
  <c r="L231" i="1"/>
  <c r="BH279" i="1"/>
  <c r="Q220" i="1"/>
  <c r="R220" i="1" s="1"/>
  <c r="J304" i="1"/>
  <c r="L305" i="1"/>
  <c r="L282" i="1"/>
  <c r="BZ330" i="1"/>
  <c r="Q283" i="1"/>
  <c r="R283" i="1" s="1"/>
  <c r="BD229" i="1"/>
  <c r="BK230" i="1"/>
  <c r="AN230" i="1"/>
  <c r="BH232" i="1"/>
  <c r="L233" i="1"/>
  <c r="K235" i="1"/>
  <c r="BE235" i="1"/>
  <c r="BU235" i="1" s="1"/>
  <c r="AP235" i="1"/>
  <c r="AB235" i="5" s="1"/>
  <c r="AN241" i="1"/>
  <c r="BK241" i="1"/>
  <c r="AN245" i="1"/>
  <c r="AP250" i="1"/>
  <c r="AB250" i="5" s="1"/>
  <c r="AL255" i="1"/>
  <c r="AJ255" i="1"/>
  <c r="BZ257" i="1"/>
  <c r="S258" i="5"/>
  <c r="U258" i="5" s="1"/>
  <c r="AJ258" i="1"/>
  <c r="AM258" i="1"/>
  <c r="AK258" i="1"/>
  <c r="AL258" i="1"/>
  <c r="BK259" i="1"/>
  <c r="AN259" i="1"/>
  <c r="AQ263" i="1"/>
  <c r="BS263" i="1" s="1"/>
  <c r="AQ266" i="1"/>
  <c r="BS266" i="1" s="1"/>
  <c r="V269" i="1"/>
  <c r="W269" i="1"/>
  <c r="T274" i="1"/>
  <c r="U274" i="1"/>
  <c r="V274" i="1"/>
  <c r="AQ274" i="1"/>
  <c r="BS274" i="1" s="1"/>
  <c r="BQ279" i="1"/>
  <c r="BN279" i="1" s="1"/>
  <c r="BZ280" i="1"/>
  <c r="BK280" i="1"/>
  <c r="AN280" i="1"/>
  <c r="BK284" i="1"/>
  <c r="AN284" i="1"/>
  <c r="Q286" i="1"/>
  <c r="R286" i="1" s="1"/>
  <c r="Q289" i="1"/>
  <c r="R289" i="1" s="1"/>
  <c r="J291" i="1"/>
  <c r="BF291" i="1" s="1"/>
  <c r="V292" i="1"/>
  <c r="W292" i="1"/>
  <c r="AQ292" i="1"/>
  <c r="BS292" i="1" s="1"/>
  <c r="G294" i="5"/>
  <c r="I294" i="5" s="1"/>
  <c r="W294" i="1"/>
  <c r="V294" i="1"/>
  <c r="U294" i="1"/>
  <c r="T294" i="1"/>
  <c r="CA297" i="1"/>
  <c r="U298" i="1"/>
  <c r="W298" i="1"/>
  <c r="AK304" i="1"/>
  <c r="AL304" i="1"/>
  <c r="AM304" i="1"/>
  <c r="U307" i="1"/>
  <c r="W307" i="1"/>
  <c r="T307" i="1"/>
  <c r="L316" i="1"/>
  <c r="BZ317" i="1"/>
  <c r="W317" i="1"/>
  <c r="V317" i="1"/>
  <c r="AQ319" i="1"/>
  <c r="BS319" i="1" s="1"/>
  <c r="Q328" i="1"/>
  <c r="R328" i="1" s="1"/>
  <c r="AQ328" i="1"/>
  <c r="BS328" i="1" s="1"/>
  <c r="AM329" i="1"/>
  <c r="AJ330" i="1"/>
  <c r="AL330" i="1"/>
  <c r="AK330" i="1"/>
  <c r="BD334" i="1"/>
  <c r="BE334" i="1"/>
  <c r="AP335" i="1"/>
  <c r="AB335" i="5" s="1"/>
  <c r="BD335" i="1"/>
  <c r="K335" i="1"/>
  <c r="U337" i="1"/>
  <c r="W337" i="1"/>
  <c r="Q338" i="1"/>
  <c r="R338" i="1" s="1"/>
  <c r="AB339" i="1"/>
  <c r="Y339" i="1"/>
  <c r="AA339" i="1"/>
  <c r="V339" i="1"/>
  <c r="U339" i="1"/>
  <c r="T339" i="1"/>
  <c r="Q260" i="1"/>
  <c r="R260" i="1" s="1"/>
  <c r="J262" i="1"/>
  <c r="BZ334" i="1"/>
  <c r="L299" i="1"/>
  <c r="J264" i="1"/>
  <c r="Q337" i="1"/>
  <c r="R337" i="1" s="1"/>
  <c r="Q229" i="1"/>
  <c r="R229" i="1" s="1"/>
  <c r="Q301" i="1"/>
  <c r="R301" i="1" s="1"/>
  <c r="BH230" i="1"/>
  <c r="BZ278" i="1"/>
  <c r="L326" i="1"/>
  <c r="L256" i="1"/>
  <c r="Q304" i="1"/>
  <c r="R304" i="1" s="1"/>
  <c r="BH271" i="1"/>
  <c r="L307" i="1"/>
  <c r="BZ282" i="1"/>
  <c r="J330" i="1"/>
  <c r="Q343" i="1"/>
  <c r="R343" i="1" s="1"/>
  <c r="AP346" i="1"/>
  <c r="AB346" i="5" s="1"/>
  <c r="BE346" i="1"/>
  <c r="K346" i="1"/>
  <c r="K346" i="5"/>
  <c r="Z346" i="1"/>
  <c r="AB346" i="1"/>
  <c r="G346" i="5"/>
  <c r="U346" i="1"/>
  <c r="W346" i="1"/>
  <c r="V346" i="1"/>
  <c r="AK346" i="1"/>
  <c r="S346" i="5"/>
  <c r="AJ346" i="1"/>
  <c r="AC346" i="5"/>
  <c r="AA346" i="5"/>
  <c r="Z346" i="5"/>
  <c r="Y346" i="5"/>
  <c r="W346" i="5"/>
  <c r="E346" i="5"/>
  <c r="X346" i="5"/>
  <c r="BK211" i="1"/>
  <c r="AN211" i="1"/>
  <c r="K211" i="1"/>
  <c r="BE211" i="1"/>
  <c r="G211" i="5"/>
  <c r="W211" i="1"/>
  <c r="U211" i="1"/>
  <c r="Y211" i="5"/>
  <c r="X211" i="5"/>
  <c r="W211" i="5"/>
  <c r="AC211" i="5"/>
  <c r="G212" i="5"/>
  <c r="T212" i="1"/>
  <c r="Q212" i="1"/>
  <c r="R212" i="1" s="1"/>
  <c r="K212" i="1"/>
  <c r="BE212" i="1"/>
  <c r="BZ212" i="1"/>
  <c r="BK212" i="1"/>
  <c r="AC212" i="5"/>
  <c r="Y212" i="5"/>
  <c r="X212" i="5"/>
  <c r="W212" i="5"/>
  <c r="Q213" i="1"/>
  <c r="R213" i="1" s="1"/>
  <c r="G219" i="5"/>
  <c r="U219" i="1"/>
  <c r="S219" i="5"/>
  <c r="AL219" i="1"/>
  <c r="AM219" i="1"/>
  <c r="Y219" i="5"/>
  <c r="X219" i="5"/>
  <c r="W219" i="5"/>
  <c r="AC219" i="5"/>
  <c r="BE222" i="1"/>
  <c r="BD222" i="1"/>
  <c r="K223" i="5"/>
  <c r="Y223" i="1"/>
  <c r="AN225" i="1"/>
  <c r="BK225" i="1"/>
  <c r="BE225" i="1"/>
  <c r="AP225" i="1"/>
  <c r="AB225" i="5" s="1"/>
  <c r="S225" i="5"/>
  <c r="AJ225" i="1"/>
  <c r="AM225" i="1"/>
  <c r="AC225" i="5"/>
  <c r="Y225" i="5"/>
  <c r="X225" i="5"/>
  <c r="W225" i="5"/>
  <c r="Q226" i="1"/>
  <c r="R226" i="1" s="1"/>
  <c r="K228" i="5"/>
  <c r="Z228" i="1"/>
  <c r="Y228" i="1"/>
  <c r="AP229" i="1"/>
  <c r="AB229" i="5" s="1"/>
  <c r="BE229" i="1"/>
  <c r="BU229" i="1" s="1"/>
  <c r="K229" i="1"/>
  <c r="W229" i="1"/>
  <c r="G229" i="5"/>
  <c r="T229" i="1"/>
  <c r="U229" i="1"/>
  <c r="CD229" i="1"/>
  <c r="BW229" i="1"/>
  <c r="BG229" i="1"/>
  <c r="BP229" i="1" s="1" a="1"/>
  <c r="BP229" i="1" s="1"/>
  <c r="AC229" i="5"/>
  <c r="Y229" i="5"/>
  <c r="X229" i="5"/>
  <c r="W229" i="5"/>
  <c r="AP230" i="1"/>
  <c r="AB230" i="5" s="1"/>
  <c r="K230" i="1"/>
  <c r="S230" i="5"/>
  <c r="AK230" i="1"/>
  <c r="AL230" i="1"/>
  <c r="AC230" i="5"/>
  <c r="Y230" i="5"/>
  <c r="X230" i="5"/>
  <c r="W230" i="5"/>
  <c r="AP231" i="1"/>
  <c r="AB231" i="5" s="1"/>
  <c r="K231" i="1"/>
  <c r="BE231" i="1"/>
  <c r="BD231" i="1"/>
  <c r="K231" i="5"/>
  <c r="AB231" i="1"/>
  <c r="Z231" i="1"/>
  <c r="AA231" i="1"/>
  <c r="G231" i="5"/>
  <c r="U231" i="1"/>
  <c r="W231" i="1"/>
  <c r="V231" i="1"/>
  <c r="T231" i="1"/>
  <c r="Y231" i="5"/>
  <c r="X231" i="5"/>
  <c r="W231" i="5"/>
  <c r="E231" i="5"/>
  <c r="AC231" i="5"/>
  <c r="AA231" i="5"/>
  <c r="Z231" i="5"/>
  <c r="AP232" i="1"/>
  <c r="AB232" i="5" s="1"/>
  <c r="G232" i="5"/>
  <c r="W232" i="1"/>
  <c r="V232" i="1"/>
  <c r="U232" i="1"/>
  <c r="T232" i="1"/>
  <c r="K232" i="5"/>
  <c r="AB232" i="1"/>
  <c r="AC232" i="5"/>
  <c r="AA232" i="5"/>
  <c r="Z232" i="5"/>
  <c r="Y232" i="5"/>
  <c r="X232" i="5"/>
  <c r="W232" i="5"/>
  <c r="E232" i="5"/>
  <c r="T233" i="1"/>
  <c r="W233" i="1"/>
  <c r="U233" i="1"/>
  <c r="G233" i="5"/>
  <c r="K233" i="1"/>
  <c r="BE233" i="1"/>
  <c r="AC233" i="5"/>
  <c r="AA233" i="5"/>
  <c r="Z233" i="5"/>
  <c r="Y233" i="5"/>
  <c r="X233" i="5"/>
  <c r="W233" i="5"/>
  <c r="E233" i="5"/>
  <c r="BK234" i="1"/>
  <c r="AN234" i="1"/>
  <c r="S234" i="5"/>
  <c r="AK234" i="1"/>
  <c r="AJ234" i="1"/>
  <c r="AM234" i="1"/>
  <c r="AL234" i="1"/>
  <c r="L234" i="1"/>
  <c r="AQ234" i="1"/>
  <c r="BS234" i="1" s="1"/>
  <c r="Q234" i="1"/>
  <c r="R234" i="1" s="1"/>
  <c r="BE234" i="1"/>
  <c r="BD234" i="1"/>
  <c r="V234" i="1"/>
  <c r="G234" i="5"/>
  <c r="T234" i="1"/>
  <c r="W234" i="1"/>
  <c r="E234" i="5"/>
  <c r="AC234" i="5"/>
  <c r="Z234" i="5"/>
  <c r="Y234" i="5"/>
  <c r="X234" i="5"/>
  <c r="W234" i="5"/>
  <c r="S235" i="5"/>
  <c r="AM235" i="1"/>
  <c r="BD235" i="1"/>
  <c r="U235" i="1"/>
  <c r="W235" i="1"/>
  <c r="G235" i="5"/>
  <c r="T235" i="1"/>
  <c r="Y235" i="5"/>
  <c r="X235" i="5"/>
  <c r="W235" i="5"/>
  <c r="E235" i="5"/>
  <c r="AC235" i="5"/>
  <c r="Z235" i="5"/>
  <c r="AP236" i="1"/>
  <c r="AB236" i="5" s="1"/>
  <c r="BE236" i="1"/>
  <c r="K236" i="1"/>
  <c r="BK236" i="1"/>
  <c r="AN236" i="1"/>
  <c r="L236" i="1"/>
  <c r="AQ236" i="1"/>
  <c r="BS236" i="1" s="1"/>
  <c r="AC236" i="5"/>
  <c r="AA236" i="5"/>
  <c r="Z236" i="5"/>
  <c r="Y236" i="5"/>
  <c r="X236" i="5"/>
  <c r="W236" i="5"/>
  <c r="E236" i="5"/>
  <c r="AP237" i="1"/>
  <c r="AB237" i="5" s="1"/>
  <c r="BD237" i="1"/>
  <c r="K237" i="1"/>
  <c r="BE237" i="1"/>
  <c r="AN237" i="1"/>
  <c r="BK237" i="1"/>
  <c r="S237" i="5"/>
  <c r="AK237" i="1"/>
  <c r="AC237" i="5"/>
  <c r="Y237" i="5"/>
  <c r="X237" i="5"/>
  <c r="W237" i="5"/>
  <c r="E237" i="5"/>
  <c r="K238" i="1"/>
  <c r="BD238" i="1"/>
  <c r="V238" i="1"/>
  <c r="T238" i="1"/>
  <c r="G238" i="5"/>
  <c r="W238" i="1"/>
  <c r="U238" i="1"/>
  <c r="AC238" i="5"/>
  <c r="Y238" i="5"/>
  <c r="X238" i="5"/>
  <c r="W238" i="5"/>
  <c r="V239" i="1"/>
  <c r="G239" i="5"/>
  <c r="T239" i="1"/>
  <c r="AN239" i="1"/>
  <c r="BK239" i="1"/>
  <c r="AP239" i="1"/>
  <c r="AB239" i="5" s="1"/>
  <c r="BE239" i="1"/>
  <c r="BD239" i="1"/>
  <c r="K239" i="1"/>
  <c r="Y239" i="5"/>
  <c r="X239" i="5"/>
  <c r="W239" i="5"/>
  <c r="E239" i="5"/>
  <c r="AC239" i="5"/>
  <c r="AA239" i="5"/>
  <c r="Z239" i="5"/>
  <c r="G240" i="5"/>
  <c r="U240" i="1"/>
  <c r="T240" i="1"/>
  <c r="W240" i="1"/>
  <c r="BK240" i="1"/>
  <c r="AN240" i="1"/>
  <c r="AC240" i="5"/>
  <c r="AA240" i="5"/>
  <c r="Z240" i="5"/>
  <c r="Y240" i="5"/>
  <c r="X240" i="5"/>
  <c r="W240" i="5"/>
  <c r="E240" i="5"/>
  <c r="G241" i="5"/>
  <c r="U241" i="1"/>
  <c r="BD241" i="1"/>
  <c r="AC241" i="5"/>
  <c r="AA241" i="5"/>
  <c r="Z241" i="5"/>
  <c r="Y241" i="5"/>
  <c r="X241" i="5"/>
  <c r="W241" i="5"/>
  <c r="E241" i="5"/>
  <c r="K242" i="5"/>
  <c r="AA242" i="1"/>
  <c r="AB242" i="1"/>
  <c r="Y242" i="1"/>
  <c r="BZ242" i="1"/>
  <c r="AN242" i="1"/>
  <c r="BK242" i="1"/>
  <c r="AP242" i="1"/>
  <c r="AB242" i="5" s="1"/>
  <c r="K242" i="1"/>
  <c r="BE242" i="1"/>
  <c r="AK242" i="1"/>
  <c r="S242" i="5"/>
  <c r="AM242" i="1"/>
  <c r="AJ242" i="1"/>
  <c r="AL242" i="1"/>
  <c r="E242" i="5"/>
  <c r="AC242" i="5"/>
  <c r="Y242" i="5"/>
  <c r="X242" i="5"/>
  <c r="W242" i="5"/>
  <c r="AN243" i="1"/>
  <c r="BK243" i="1"/>
  <c r="AP243" i="1"/>
  <c r="AB243" i="5" s="1"/>
  <c r="K243" i="1"/>
  <c r="BD243" i="1"/>
  <c r="BE243" i="1"/>
  <c r="Y243" i="5"/>
  <c r="X243" i="5"/>
  <c r="W243" i="5"/>
  <c r="E243" i="5"/>
  <c r="AC243" i="5"/>
  <c r="G244" i="5"/>
  <c r="T244" i="1"/>
  <c r="V244" i="1"/>
  <c r="W244" i="1"/>
  <c r="U244" i="1"/>
  <c r="BK244" i="1"/>
  <c r="S244" i="5"/>
  <c r="AK244" i="1"/>
  <c r="K244" i="1"/>
  <c r="BE244" i="1"/>
  <c r="BD244" i="1"/>
  <c r="AC244" i="5"/>
  <c r="AA244" i="5"/>
  <c r="Z244" i="5"/>
  <c r="Y244" i="5"/>
  <c r="X244" i="5"/>
  <c r="W244" i="5"/>
  <c r="E244" i="5"/>
  <c r="BK245" i="1"/>
  <c r="BE245" i="1"/>
  <c r="K245" i="1"/>
  <c r="V245" i="1"/>
  <c r="G245" i="5"/>
  <c r="T245" i="1"/>
  <c r="W245" i="1"/>
  <c r="AJ245" i="1"/>
  <c r="S245" i="5"/>
  <c r="AM245" i="1"/>
  <c r="AL245" i="1"/>
  <c r="AC245" i="5"/>
  <c r="Z245" i="5"/>
  <c r="Y245" i="5"/>
  <c r="X245" i="5"/>
  <c r="W245" i="5"/>
  <c r="E245" i="5"/>
  <c r="U246" i="1"/>
  <c r="G246" i="5"/>
  <c r="W246" i="1"/>
  <c r="T246" i="1"/>
  <c r="S246" i="5"/>
  <c r="AJ246" i="1"/>
  <c r="AM246" i="1"/>
  <c r="AL246" i="1"/>
  <c r="AK246" i="1"/>
  <c r="E246" i="5"/>
  <c r="AC246" i="5"/>
  <c r="AA246" i="5"/>
  <c r="Z246" i="5"/>
  <c r="Y246" i="5"/>
  <c r="X246" i="5"/>
  <c r="W246" i="5"/>
  <c r="BD247" i="1"/>
  <c r="K247" i="5"/>
  <c r="Y247" i="1"/>
  <c r="AA247" i="1"/>
  <c r="AB247" i="1"/>
  <c r="Z247" i="1"/>
  <c r="Y247" i="5"/>
  <c r="X247" i="5"/>
  <c r="W247" i="5"/>
  <c r="E247" i="5"/>
  <c r="AC247" i="5"/>
  <c r="AA247" i="5"/>
  <c r="Z247" i="5"/>
  <c r="G248" i="5"/>
  <c r="U248" i="1"/>
  <c r="Y248" i="1"/>
  <c r="Z248" i="1"/>
  <c r="AA248" i="1"/>
  <c r="K248" i="5"/>
  <c r="AB248" i="1"/>
  <c r="BZ248" i="1"/>
  <c r="AN248" i="1"/>
  <c r="AP248" i="1"/>
  <c r="AB248" i="5" s="1"/>
  <c r="BE248" i="1"/>
  <c r="K248" i="1"/>
  <c r="BD248" i="1"/>
  <c r="AC248" i="5"/>
  <c r="Y248" i="5"/>
  <c r="X248" i="5"/>
  <c r="W248" i="5"/>
  <c r="E248" i="5"/>
  <c r="BE249" i="1"/>
  <c r="AP249" i="1"/>
  <c r="AB249" i="5" s="1"/>
  <c r="BD249" i="1"/>
  <c r="G249" i="5"/>
  <c r="T249" i="1"/>
  <c r="BK249" i="1"/>
  <c r="AN249" i="1"/>
  <c r="AC249" i="5"/>
  <c r="AA249" i="5"/>
  <c r="Z249" i="5"/>
  <c r="Y249" i="5"/>
  <c r="X249" i="5"/>
  <c r="W249" i="5"/>
  <c r="E249" i="5"/>
  <c r="K250" i="1"/>
  <c r="BD250" i="1"/>
  <c r="BE250" i="1"/>
  <c r="S250" i="5"/>
  <c r="AM250" i="1"/>
  <c r="AK250" i="1"/>
  <c r="E250" i="5"/>
  <c r="AC250" i="5"/>
  <c r="AA250" i="5"/>
  <c r="Z250" i="5"/>
  <c r="Y250" i="5"/>
  <c r="X250" i="5"/>
  <c r="W250" i="5"/>
  <c r="BK251" i="1"/>
  <c r="AN251" i="1"/>
  <c r="BH251" i="1"/>
  <c r="BE251" i="1"/>
  <c r="K251" i="1"/>
  <c r="S251" i="5"/>
  <c r="AK251" i="1"/>
  <c r="Y251" i="5"/>
  <c r="X251" i="5"/>
  <c r="W251" i="5"/>
  <c r="AC251" i="5"/>
  <c r="U252" i="1"/>
  <c r="G252" i="5"/>
  <c r="T252" i="1"/>
  <c r="AC252" i="5"/>
  <c r="Y252" i="5"/>
  <c r="X252" i="5"/>
  <c r="W252" i="5"/>
  <c r="AC253" i="5"/>
  <c r="Y253" i="5"/>
  <c r="X253" i="5"/>
  <c r="W253" i="5"/>
  <c r="BK254" i="1"/>
  <c r="AN254" i="1"/>
  <c r="K254" i="1"/>
  <c r="BE254" i="1"/>
  <c r="AP254" i="1"/>
  <c r="AB254" i="5" s="1"/>
  <c r="S254" i="5"/>
  <c r="AM254" i="1"/>
  <c r="E254" i="5"/>
  <c r="AC254" i="5"/>
  <c r="Y254" i="5"/>
  <c r="X254" i="5"/>
  <c r="W254" i="5"/>
  <c r="T255" i="1"/>
  <c r="G255" i="5"/>
  <c r="W255" i="1"/>
  <c r="U255" i="1"/>
  <c r="V255" i="1"/>
  <c r="AN255" i="1"/>
  <c r="BK255" i="1"/>
  <c r="S255" i="5"/>
  <c r="AM255" i="1"/>
  <c r="AK255" i="1"/>
  <c r="Y255" i="5"/>
  <c r="X255" i="5"/>
  <c r="W255" i="5"/>
  <c r="E255" i="5"/>
  <c r="AC255" i="5"/>
  <c r="Z255" i="5"/>
  <c r="S256" i="5"/>
  <c r="AK256" i="1"/>
  <c r="V256" i="1"/>
  <c r="G256" i="5"/>
  <c r="W256" i="1"/>
  <c r="AC256" i="5"/>
  <c r="AA256" i="5"/>
  <c r="Z256" i="5"/>
  <c r="Y256" i="5"/>
  <c r="X256" i="5"/>
  <c r="W256" i="5"/>
  <c r="E256" i="5"/>
  <c r="G257" i="5"/>
  <c r="V257" i="1"/>
  <c r="W257" i="1"/>
  <c r="U257" i="1"/>
  <c r="T257" i="1"/>
  <c r="S257" i="5"/>
  <c r="AK257" i="1"/>
  <c r="AJ257" i="1"/>
  <c r="AM257" i="1"/>
  <c r="AL257" i="1"/>
  <c r="Y257" i="5"/>
  <c r="AC257" i="5"/>
  <c r="Z257" i="5"/>
  <c r="X257" i="5"/>
  <c r="W257" i="5"/>
  <c r="E257" i="5"/>
  <c r="BH258" i="1"/>
  <c r="K258" i="1"/>
  <c r="G258" i="5"/>
  <c r="W258" i="1"/>
  <c r="BF258" i="1"/>
  <c r="BW258" i="1"/>
  <c r="BG258" i="1"/>
  <c r="BP258" i="1" s="1" a="1"/>
  <c r="BP258" i="1" s="1"/>
  <c r="CD258" i="1"/>
  <c r="AC258" i="5"/>
  <c r="Y258" i="5"/>
  <c r="W258" i="5"/>
  <c r="E258" i="5"/>
  <c r="Z258" i="5"/>
  <c r="X258" i="5"/>
  <c r="BE259" i="1"/>
  <c r="K259" i="1"/>
  <c r="AC259" i="5"/>
  <c r="Y259" i="5"/>
  <c r="X259" i="5"/>
  <c r="W259" i="5"/>
  <c r="Y260" i="1"/>
  <c r="AA260" i="1"/>
  <c r="K260" i="5"/>
  <c r="AB260" i="1"/>
  <c r="Z260" i="1"/>
  <c r="BZ260" i="1"/>
  <c r="AN260" i="1"/>
  <c r="BK260" i="1"/>
  <c r="S260" i="5"/>
  <c r="AL260" i="1"/>
  <c r="AK260" i="1"/>
  <c r="G260" i="5"/>
  <c r="U260" i="1"/>
  <c r="W260" i="1"/>
  <c r="V260" i="1"/>
  <c r="AC260" i="5"/>
  <c r="Y260" i="5"/>
  <c r="X260" i="5"/>
  <c r="W260" i="5"/>
  <c r="E260" i="5"/>
  <c r="AN261" i="1"/>
  <c r="BK261" i="1"/>
  <c r="AP261" i="1"/>
  <c r="AB261" i="5" s="1"/>
  <c r="K261" i="1"/>
  <c r="S261" i="5"/>
  <c r="AM261" i="1"/>
  <c r="Y261" i="5"/>
  <c r="Z261" i="5"/>
  <c r="X261" i="5"/>
  <c r="W261" i="5"/>
  <c r="E261" i="5"/>
  <c r="AC261" i="5"/>
  <c r="AP262" i="1"/>
  <c r="AB262" i="5" s="1"/>
  <c r="G262" i="5"/>
  <c r="V262" i="1"/>
  <c r="U262" i="1"/>
  <c r="T262" i="1"/>
  <c r="W262" i="1"/>
  <c r="S262" i="5"/>
  <c r="AK262" i="1"/>
  <c r="AN262" i="1"/>
  <c r="BK262" i="1"/>
  <c r="AC262" i="5"/>
  <c r="Y262" i="5"/>
  <c r="AA262" i="5"/>
  <c r="Z262" i="5"/>
  <c r="X262" i="5"/>
  <c r="W262" i="5"/>
  <c r="E262" i="5"/>
  <c r="BE263" i="1"/>
  <c r="V263" i="1"/>
  <c r="G263" i="5"/>
  <c r="W263" i="1"/>
  <c r="AC263" i="5"/>
  <c r="Y263" i="5"/>
  <c r="X263" i="5"/>
  <c r="W263" i="5"/>
  <c r="AP264" i="1"/>
  <c r="AB264" i="5" s="1"/>
  <c r="G264" i="5"/>
  <c r="U264" i="1"/>
  <c r="BK264" i="1"/>
  <c r="AN264" i="1"/>
  <c r="AA264" i="1"/>
  <c r="K264" i="5"/>
  <c r="Z264" i="1"/>
  <c r="AB264" i="1"/>
  <c r="Y264" i="1"/>
  <c r="Y264" i="5"/>
  <c r="X264" i="5"/>
  <c r="W264" i="5"/>
  <c r="E264" i="5"/>
  <c r="AC264" i="5"/>
  <c r="BZ265" i="1"/>
  <c r="AN265" i="1"/>
  <c r="S265" i="5"/>
  <c r="AK265" i="1"/>
  <c r="T265" i="1"/>
  <c r="G265" i="5"/>
  <c r="U265" i="1"/>
  <c r="AP265" i="1"/>
  <c r="AB265" i="5" s="1"/>
  <c r="Y265" i="5"/>
  <c r="AC265" i="5"/>
  <c r="AA265" i="5"/>
  <c r="Z265" i="5"/>
  <c r="X265" i="5"/>
  <c r="W265" i="5"/>
  <c r="E265" i="5"/>
  <c r="BE266" i="1"/>
  <c r="BD266" i="1"/>
  <c r="S266" i="5"/>
  <c r="AK266" i="1"/>
  <c r="AM266" i="1"/>
  <c r="AL266" i="1"/>
  <c r="AJ266" i="1"/>
  <c r="U266" i="1"/>
  <c r="G266" i="5"/>
  <c r="T266" i="1"/>
  <c r="AC266" i="5"/>
  <c r="Y266" i="5"/>
  <c r="W266" i="5"/>
  <c r="E266" i="5"/>
  <c r="Z266" i="5"/>
  <c r="X266" i="5"/>
  <c r="S267" i="5"/>
  <c r="AM267" i="1"/>
  <c r="U267" i="1"/>
  <c r="W267" i="1"/>
  <c r="V267" i="1"/>
  <c r="T267" i="1"/>
  <c r="G267" i="5"/>
  <c r="AN267" i="1"/>
  <c r="BK267" i="1"/>
  <c r="Q267" i="1"/>
  <c r="R267" i="1" s="1"/>
  <c r="BG267" i="1"/>
  <c r="BP267" i="1" s="1" a="1"/>
  <c r="BP267" i="1" s="1"/>
  <c r="CD267" i="1"/>
  <c r="BF267" i="1"/>
  <c r="BW267" i="1"/>
  <c r="AC267" i="5"/>
  <c r="Z267" i="5"/>
  <c r="Y267" i="5"/>
  <c r="X267" i="5"/>
  <c r="W267" i="5"/>
  <c r="E267" i="5"/>
  <c r="AP268" i="1"/>
  <c r="AB268" i="5" s="1"/>
  <c r="AC268" i="5"/>
  <c r="AA268" i="5"/>
  <c r="Z268" i="5"/>
  <c r="Y268" i="5"/>
  <c r="X268" i="5"/>
  <c r="W268" i="5"/>
  <c r="E268" i="5"/>
  <c r="K269" i="1"/>
  <c r="BE269" i="1"/>
  <c r="AP269" i="1"/>
  <c r="AB269" i="5" s="1"/>
  <c r="BD269" i="1"/>
  <c r="L269" i="1"/>
  <c r="AQ269" i="1"/>
  <c r="BS269" i="1" s="1"/>
  <c r="AN269" i="1"/>
  <c r="BK269" i="1"/>
  <c r="G269" i="5"/>
  <c r="T269" i="1"/>
  <c r="U269" i="1"/>
  <c r="S269" i="5"/>
  <c r="AL269" i="1"/>
  <c r="AK269" i="1"/>
  <c r="AJ269" i="1"/>
  <c r="AM269" i="1"/>
  <c r="K269" i="5"/>
  <c r="Y269" i="1"/>
  <c r="Z269" i="1"/>
  <c r="AB269" i="1"/>
  <c r="AA269" i="1"/>
  <c r="Y269" i="5"/>
  <c r="X269" i="5"/>
  <c r="W269" i="5"/>
  <c r="E269" i="5"/>
  <c r="AC269" i="5"/>
  <c r="S270" i="5"/>
  <c r="AM270" i="1"/>
  <c r="Y270" i="1"/>
  <c r="Z270" i="1"/>
  <c r="AB270" i="1"/>
  <c r="AA270" i="1"/>
  <c r="K270" i="5"/>
  <c r="G270" i="5"/>
  <c r="T270" i="1"/>
  <c r="W270" i="1"/>
  <c r="U270" i="1"/>
  <c r="V270" i="1"/>
  <c r="BK270" i="1"/>
  <c r="AN270" i="1"/>
  <c r="J270" i="1"/>
  <c r="BE270" i="1"/>
  <c r="K270" i="1"/>
  <c r="AP270" i="1"/>
  <c r="AB270" i="5" s="1"/>
  <c r="AC270" i="5"/>
  <c r="Y270" i="5"/>
  <c r="W270" i="5"/>
  <c r="X270" i="5"/>
  <c r="E270" i="5"/>
  <c r="K271" i="5"/>
  <c r="Z271" i="1"/>
  <c r="Y271" i="1"/>
  <c r="G271" i="5"/>
  <c r="W271" i="1"/>
  <c r="AC271" i="5"/>
  <c r="W271" i="5"/>
  <c r="F271" i="5"/>
  <c r="E271" i="5"/>
  <c r="Y271" i="5"/>
  <c r="X271" i="5"/>
  <c r="BD272" i="1"/>
  <c r="BE272" i="1"/>
  <c r="S272" i="5"/>
  <c r="AM272" i="1"/>
  <c r="AJ272" i="1"/>
  <c r="AL272" i="1"/>
  <c r="K272" i="5"/>
  <c r="M272" i="5" s="1"/>
  <c r="AA272" i="1"/>
  <c r="Y272" i="1"/>
  <c r="G272" i="5"/>
  <c r="U272" i="1"/>
  <c r="E272" i="5"/>
  <c r="AC272" i="5"/>
  <c r="Y272" i="5"/>
  <c r="X272" i="5"/>
  <c r="W272" i="5"/>
  <c r="Y273" i="5"/>
  <c r="X273" i="5"/>
  <c r="AC273" i="5"/>
  <c r="W273" i="5"/>
  <c r="Y274" i="1"/>
  <c r="K274" i="5"/>
  <c r="Z274" i="1"/>
  <c r="AA274" i="1"/>
  <c r="G274" i="5"/>
  <c r="W274" i="1"/>
  <c r="AC274" i="5"/>
  <c r="Y274" i="5"/>
  <c r="W274" i="5"/>
  <c r="X274" i="5"/>
  <c r="E274" i="5"/>
  <c r="BH275" i="1"/>
  <c r="BE275" i="1"/>
  <c r="K275" i="1"/>
  <c r="AP275" i="1"/>
  <c r="AB275" i="5" s="1"/>
  <c r="BD275" i="1"/>
  <c r="BK275" i="1"/>
  <c r="AN275" i="1"/>
  <c r="K275" i="5"/>
  <c r="AB275" i="1"/>
  <c r="AA275" i="1"/>
  <c r="Z275" i="1"/>
  <c r="Y275" i="1"/>
  <c r="G275" i="5"/>
  <c r="T275" i="1"/>
  <c r="L275" i="1"/>
  <c r="AQ275" i="1"/>
  <c r="BS275" i="1" s="1"/>
  <c r="AC275" i="5"/>
  <c r="E275" i="5"/>
  <c r="Y275" i="5"/>
  <c r="X275" i="5"/>
  <c r="W275" i="5"/>
  <c r="J276" i="1"/>
  <c r="BE276" i="1"/>
  <c r="K276" i="1"/>
  <c r="G276" i="5"/>
  <c r="T276" i="1"/>
  <c r="U276" i="1"/>
  <c r="V276" i="1"/>
  <c r="W276" i="1"/>
  <c r="BZ276" i="1"/>
  <c r="BK276" i="1"/>
  <c r="AN276" i="1"/>
  <c r="K276" i="5"/>
  <c r="M276" i="5" s="1"/>
  <c r="Y276" i="1"/>
  <c r="Z276" i="1"/>
  <c r="AA276" i="1"/>
  <c r="S276" i="5"/>
  <c r="AM276" i="1"/>
  <c r="E276" i="5"/>
  <c r="AC276" i="5"/>
  <c r="AA276" i="5"/>
  <c r="Z276" i="5"/>
  <c r="Y276" i="5"/>
  <c r="X276" i="5"/>
  <c r="W276" i="5"/>
  <c r="K277" i="1"/>
  <c r="AN277" i="1"/>
  <c r="BK277" i="1"/>
  <c r="BF277" i="1"/>
  <c r="BG277" i="1"/>
  <c r="BP277" i="1" s="1" a="1"/>
  <c r="BP277" i="1" s="1"/>
  <c r="CD277" i="1"/>
  <c r="Y277" i="5"/>
  <c r="X277" i="5"/>
  <c r="W277" i="5"/>
  <c r="AC277" i="5"/>
  <c r="BH278" i="1"/>
  <c r="BE278" i="1"/>
  <c r="BU278" i="1" s="1"/>
  <c r="BD278" i="1"/>
  <c r="K278" i="1"/>
  <c r="G278" i="5"/>
  <c r="U278" i="1"/>
  <c r="BG278" i="1"/>
  <c r="BP278" i="1" s="1" a="1"/>
  <c r="BP278" i="1" s="1"/>
  <c r="BW278" i="1"/>
  <c r="CD278" i="1"/>
  <c r="BF278" i="1"/>
  <c r="AC278" i="5"/>
  <c r="Y278" i="5"/>
  <c r="W278" i="5"/>
  <c r="X278" i="5"/>
  <c r="E278" i="5"/>
  <c r="U279" i="1"/>
  <c r="G279" i="5"/>
  <c r="V279" i="1"/>
  <c r="W279" i="1"/>
  <c r="BW279" i="1"/>
  <c r="BF279" i="1"/>
  <c r="BG279" i="1"/>
  <c r="BP279" i="1" s="1" a="1"/>
  <c r="BP279" i="1" s="1"/>
  <c r="K279" i="1"/>
  <c r="BE279" i="1"/>
  <c r="BU279" i="1" s="1"/>
  <c r="AC279" i="5"/>
  <c r="Y279" i="5"/>
  <c r="W279" i="5"/>
  <c r="X279" i="5"/>
  <c r="Y280" i="1"/>
  <c r="K280" i="5"/>
  <c r="Z280" i="1"/>
  <c r="AB280" i="1"/>
  <c r="K280" i="1"/>
  <c r="AP280" i="1"/>
  <c r="AB280" i="5" s="1"/>
  <c r="G280" i="5"/>
  <c r="W280" i="1"/>
  <c r="F280" i="5"/>
  <c r="E280" i="5"/>
  <c r="AC280" i="5"/>
  <c r="Y280" i="5"/>
  <c r="X280" i="5"/>
  <c r="W280" i="5"/>
  <c r="CD281" i="1"/>
  <c r="AK281" i="1"/>
  <c r="AM281" i="1"/>
  <c r="S281" i="5"/>
  <c r="AN281" i="1"/>
  <c r="BK281" i="1"/>
  <c r="K281" i="1"/>
  <c r="BD281" i="1"/>
  <c r="AP281" i="1"/>
  <c r="AB281" i="5" s="1"/>
  <c r="BE281" i="1"/>
  <c r="Y281" i="5"/>
  <c r="X281" i="5"/>
  <c r="W281" i="5"/>
  <c r="AA281" i="5"/>
  <c r="Z281" i="5"/>
  <c r="E281" i="5"/>
  <c r="AC281" i="5"/>
  <c r="K282" i="5"/>
  <c r="AB282" i="1"/>
  <c r="Y282" i="1"/>
  <c r="AA282" i="1"/>
  <c r="BE282" i="1"/>
  <c r="S282" i="5"/>
  <c r="AJ282" i="1"/>
  <c r="AC282" i="5"/>
  <c r="Y282" i="5"/>
  <c r="W282" i="5"/>
  <c r="X282" i="5"/>
  <c r="E282" i="5"/>
  <c r="BK283" i="1"/>
  <c r="AN283" i="1"/>
  <c r="S283" i="5"/>
  <c r="AM283" i="1"/>
  <c r="AK283" i="1"/>
  <c r="AJ283" i="1"/>
  <c r="G283" i="5"/>
  <c r="V283" i="1"/>
  <c r="BZ283" i="1"/>
  <c r="AQ283" i="1"/>
  <c r="BS283" i="1" s="1"/>
  <c r="AC283" i="5"/>
  <c r="Z283" i="5"/>
  <c r="Y283" i="5"/>
  <c r="AA283" i="5"/>
  <c r="X283" i="5"/>
  <c r="W283" i="5"/>
  <c r="E283" i="5"/>
  <c r="G284" i="5"/>
  <c r="U284" i="1"/>
  <c r="BE284" i="1"/>
  <c r="BD284" i="1"/>
  <c r="E284" i="5"/>
  <c r="AC284" i="5"/>
  <c r="W284" i="5"/>
  <c r="AA284" i="5"/>
  <c r="Z284" i="5"/>
  <c r="Y284" i="5"/>
  <c r="X284" i="5"/>
  <c r="K285" i="1"/>
  <c r="S285" i="5"/>
  <c r="AK285" i="1"/>
  <c r="Y285" i="5"/>
  <c r="X285" i="5"/>
  <c r="W285" i="5"/>
  <c r="AC285" i="5"/>
  <c r="E285" i="5"/>
  <c r="G286" i="5"/>
  <c r="V286" i="1"/>
  <c r="U286" i="1"/>
  <c r="W286" i="1"/>
  <c r="AP286" i="1"/>
  <c r="AB286" i="5" s="1"/>
  <c r="BK286" i="1"/>
  <c r="AN286" i="1"/>
  <c r="S286" i="5"/>
  <c r="AM286" i="1"/>
  <c r="AC286" i="5"/>
  <c r="Y286" i="5"/>
  <c r="W286" i="5"/>
  <c r="X286" i="5"/>
  <c r="E286" i="5"/>
  <c r="AN287" i="1"/>
  <c r="BK287" i="1"/>
  <c r="AL287" i="1"/>
  <c r="S287" i="5"/>
  <c r="AK287" i="1"/>
  <c r="AJ287" i="1"/>
  <c r="AQ287" i="1"/>
  <c r="BS287" i="1" s="1"/>
  <c r="BD287" i="1"/>
  <c r="BE287" i="1"/>
  <c r="BU287" i="1" s="1"/>
  <c r="AP287" i="1"/>
  <c r="AB287" i="5" s="1"/>
  <c r="K287" i="1"/>
  <c r="AC287" i="5"/>
  <c r="Z287" i="5"/>
  <c r="Y287" i="5"/>
  <c r="AA287" i="5"/>
  <c r="X287" i="5"/>
  <c r="W287" i="5"/>
  <c r="E287" i="5"/>
  <c r="BE288" i="1"/>
  <c r="BU288" i="1" s="1"/>
  <c r="BD288" i="1"/>
  <c r="G288" i="5"/>
  <c r="W288" i="1"/>
  <c r="V288" i="1"/>
  <c r="U288" i="1"/>
  <c r="T288" i="1"/>
  <c r="S288" i="5"/>
  <c r="AK288" i="1"/>
  <c r="AM288" i="1"/>
  <c r="AJ288" i="1"/>
  <c r="E288" i="5"/>
  <c r="AC288" i="5"/>
  <c r="AA288" i="5"/>
  <c r="Z288" i="5"/>
  <c r="Y288" i="5"/>
  <c r="X288" i="5"/>
  <c r="W288" i="5"/>
  <c r="AP289" i="1"/>
  <c r="AB289" i="5" s="1"/>
  <c r="AK289" i="1"/>
  <c r="S289" i="5"/>
  <c r="AJ289" i="1"/>
  <c r="AL289" i="1"/>
  <c r="AM289" i="1"/>
  <c r="G289" i="5"/>
  <c r="V289" i="1"/>
  <c r="W289" i="1"/>
  <c r="Y289" i="5"/>
  <c r="X289" i="5"/>
  <c r="W289" i="5"/>
  <c r="AC289" i="5"/>
  <c r="Z289" i="5"/>
  <c r="E289" i="5"/>
  <c r="BE290" i="1"/>
  <c r="Z290" i="1"/>
  <c r="AB290" i="1"/>
  <c r="AA290" i="1"/>
  <c r="K290" i="5"/>
  <c r="L290" i="1"/>
  <c r="AQ290" i="1"/>
  <c r="BS290" i="1" s="1"/>
  <c r="S290" i="5"/>
  <c r="AM290" i="1"/>
  <c r="AJ290" i="1"/>
  <c r="AK290" i="1"/>
  <c r="AL290" i="1"/>
  <c r="AC290" i="5"/>
  <c r="AA290" i="5"/>
  <c r="Z290" i="5"/>
  <c r="Y290" i="5"/>
  <c r="W290" i="5"/>
  <c r="X290" i="5"/>
  <c r="E290" i="5"/>
  <c r="S291" i="5"/>
  <c r="AM291" i="1"/>
  <c r="AL291" i="1"/>
  <c r="U291" i="1"/>
  <c r="G291" i="5"/>
  <c r="T291" i="1"/>
  <c r="AN291" i="1"/>
  <c r="BK291" i="1"/>
  <c r="BD291" i="1"/>
  <c r="Y291" i="1"/>
  <c r="AB291" i="1"/>
  <c r="Z291" i="1"/>
  <c r="K291" i="5"/>
  <c r="AA291" i="1"/>
  <c r="AC291" i="5"/>
  <c r="Z291" i="5"/>
  <c r="Y291" i="5"/>
  <c r="E291" i="5"/>
  <c r="X291" i="5"/>
  <c r="W291" i="5"/>
  <c r="AA291" i="5"/>
  <c r="G292" i="5"/>
  <c r="T292" i="1"/>
  <c r="U292" i="1"/>
  <c r="AN292" i="1"/>
  <c r="BK292" i="1"/>
  <c r="K292" i="1"/>
  <c r="AP292" i="1"/>
  <c r="AB292" i="5" s="1"/>
  <c r="BE292" i="1"/>
  <c r="S292" i="5"/>
  <c r="AM292" i="1"/>
  <c r="E292" i="5"/>
  <c r="AC292" i="5"/>
  <c r="X292" i="5"/>
  <c r="AA292" i="5"/>
  <c r="Z292" i="5"/>
  <c r="Y292" i="5"/>
  <c r="W292" i="5"/>
  <c r="AN293" i="1"/>
  <c r="BK293" i="1"/>
  <c r="G293" i="5"/>
  <c r="T293" i="1"/>
  <c r="W293" i="1"/>
  <c r="BE293" i="1"/>
  <c r="BU293" i="1" s="1"/>
  <c r="BD293" i="1"/>
  <c r="K293" i="1"/>
  <c r="Y293" i="5"/>
  <c r="X293" i="5"/>
  <c r="W293" i="5"/>
  <c r="AC293" i="5"/>
  <c r="BZ294" i="1"/>
  <c r="AN294" i="1"/>
  <c r="AC294" i="5"/>
  <c r="AA294" i="5"/>
  <c r="Z294" i="5"/>
  <c r="Y294" i="5"/>
  <c r="W294" i="5"/>
  <c r="E294" i="5"/>
  <c r="X294" i="5"/>
  <c r="AC295" i="5"/>
  <c r="Y295" i="5"/>
  <c r="X295" i="5"/>
  <c r="W295" i="5"/>
  <c r="K296" i="5"/>
  <c r="Z296" i="1"/>
  <c r="AA296" i="1"/>
  <c r="Y296" i="1"/>
  <c r="AN296" i="1"/>
  <c r="BK296" i="1"/>
  <c r="W296" i="1"/>
  <c r="G296" i="5"/>
  <c r="T296" i="1"/>
  <c r="BD296" i="1"/>
  <c r="S296" i="5"/>
  <c r="AM296" i="1"/>
  <c r="AJ296" i="1"/>
  <c r="AK296" i="1"/>
  <c r="E296" i="5"/>
  <c r="AC296" i="5"/>
  <c r="AA296" i="5"/>
  <c r="X296" i="5"/>
  <c r="Z296" i="5"/>
  <c r="Y296" i="5"/>
  <c r="W296" i="5"/>
  <c r="AL297" i="1"/>
  <c r="S297" i="5"/>
  <c r="AM297" i="1"/>
  <c r="AJ297" i="1"/>
  <c r="AP297" i="1"/>
  <c r="AB297" i="5" s="1"/>
  <c r="BE297" i="1"/>
  <c r="BD297" i="1"/>
  <c r="G297" i="5"/>
  <c r="T297" i="1"/>
  <c r="W297" i="1"/>
  <c r="U297" i="1"/>
  <c r="V297" i="1"/>
  <c r="BZ297" i="1"/>
  <c r="AN297" i="1"/>
  <c r="BK297" i="1"/>
  <c r="K297" i="5"/>
  <c r="Y297" i="1"/>
  <c r="Z297" i="1"/>
  <c r="AA297" i="1"/>
  <c r="AB297" i="1"/>
  <c r="Y297" i="5"/>
  <c r="X297" i="5"/>
  <c r="W297" i="5"/>
  <c r="AA297" i="5"/>
  <c r="AC297" i="5"/>
  <c r="Z297" i="5"/>
  <c r="E297" i="5"/>
  <c r="BD298" i="1"/>
  <c r="V298" i="1"/>
  <c r="G298" i="5"/>
  <c r="T298" i="1"/>
  <c r="AC298" i="5"/>
  <c r="AA298" i="5"/>
  <c r="Z298" i="5"/>
  <c r="Y298" i="5"/>
  <c r="W298" i="5"/>
  <c r="E298" i="5"/>
  <c r="X298" i="5"/>
  <c r="AA299" i="1"/>
  <c r="Y299" i="1"/>
  <c r="K299" i="5"/>
  <c r="AB299" i="1"/>
  <c r="AK299" i="1"/>
  <c r="S299" i="5"/>
  <c r="U299" i="5" s="1"/>
  <c r="AL299" i="1"/>
  <c r="BE299" i="1"/>
  <c r="BD299" i="1"/>
  <c r="K299" i="1"/>
  <c r="AP299" i="1"/>
  <c r="AB299" i="5" s="1"/>
  <c r="AC299" i="5"/>
  <c r="Z299" i="5"/>
  <c r="Y299" i="5"/>
  <c r="X299" i="5"/>
  <c r="E299" i="5"/>
  <c r="AA299" i="5"/>
  <c r="W299" i="5"/>
  <c r="G301" i="5"/>
  <c r="H301" i="5" s="1"/>
  <c r="U301" i="1"/>
  <c r="BK301" i="1"/>
  <c r="AN301" i="1"/>
  <c r="AP301" i="1"/>
  <c r="AB301" i="5" s="1"/>
  <c r="BD301" i="1"/>
  <c r="Y301" i="5"/>
  <c r="X301" i="5"/>
  <c r="W301" i="5"/>
  <c r="AC301" i="5"/>
  <c r="AA301" i="5"/>
  <c r="Z301" i="5"/>
  <c r="E301" i="5"/>
  <c r="AP302" i="1"/>
  <c r="AB302" i="5" s="1"/>
  <c r="BE302" i="1"/>
  <c r="AN302" i="1"/>
  <c r="BK302" i="1"/>
  <c r="L302" i="1"/>
  <c r="AQ302" i="1"/>
  <c r="BS302" i="1" s="1"/>
  <c r="G302" i="5"/>
  <c r="U302" i="1"/>
  <c r="W302" i="1"/>
  <c r="V302" i="1"/>
  <c r="T302" i="1"/>
  <c r="AC302" i="5"/>
  <c r="AA302" i="5"/>
  <c r="Z302" i="5"/>
  <c r="Y302" i="5"/>
  <c r="W302" i="5"/>
  <c r="E302" i="5"/>
  <c r="X302" i="5"/>
  <c r="AC303" i="5"/>
  <c r="Z303" i="5"/>
  <c r="Y303" i="5"/>
  <c r="X303" i="5"/>
  <c r="E303" i="5"/>
  <c r="AA303" i="5"/>
  <c r="W303" i="5"/>
  <c r="BK304" i="1"/>
  <c r="AN304" i="1"/>
  <c r="S304" i="5"/>
  <c r="AJ304" i="1"/>
  <c r="L304" i="1"/>
  <c r="AQ304" i="1"/>
  <c r="BS304" i="1" s="1"/>
  <c r="AP304" i="1"/>
  <c r="AB304" i="5" s="1"/>
  <c r="K304" i="1"/>
  <c r="BD304" i="1"/>
  <c r="E304" i="5"/>
  <c r="AC304" i="5"/>
  <c r="AA304" i="5"/>
  <c r="Y304" i="5"/>
  <c r="X304" i="5"/>
  <c r="Z304" i="5"/>
  <c r="W304" i="5"/>
  <c r="BH305" i="1"/>
  <c r="BE305" i="1"/>
  <c r="AP305" i="1"/>
  <c r="AB305" i="5" s="1"/>
  <c r="BD305" i="1"/>
  <c r="K305" i="1"/>
  <c r="AK305" i="1"/>
  <c r="S305" i="5"/>
  <c r="AL305" i="1"/>
  <c r="AM305" i="1"/>
  <c r="Y305" i="5"/>
  <c r="X305" i="5"/>
  <c r="W305" i="5"/>
  <c r="AC305" i="5"/>
  <c r="E305" i="5"/>
  <c r="BD306" i="1"/>
  <c r="K306" i="5"/>
  <c r="L306" i="5" s="1"/>
  <c r="AA306" i="1"/>
  <c r="AB306" i="1"/>
  <c r="G306" i="5"/>
  <c r="U306" i="1"/>
  <c r="T306" i="1"/>
  <c r="V306" i="1"/>
  <c r="W306" i="1"/>
  <c r="AC306" i="5"/>
  <c r="Y306" i="5"/>
  <c r="W306" i="5"/>
  <c r="E306" i="5"/>
  <c r="X306" i="5"/>
  <c r="Q307" i="1"/>
  <c r="R307" i="1" s="1"/>
  <c r="AP307" i="1"/>
  <c r="AB307" i="5" s="1"/>
  <c r="G307" i="5"/>
  <c r="V307" i="1"/>
  <c r="AC307" i="5"/>
  <c r="Y307" i="5"/>
  <c r="X307" i="5"/>
  <c r="W307" i="5"/>
  <c r="AN308" i="1"/>
  <c r="BD308" i="1"/>
  <c r="BE308" i="1"/>
  <c r="AP308" i="1"/>
  <c r="AB308" i="5" s="1"/>
  <c r="G308" i="5"/>
  <c r="T308" i="1"/>
  <c r="U308" i="1"/>
  <c r="L308" i="1"/>
  <c r="AQ308" i="1"/>
  <c r="BS308" i="1" s="1"/>
  <c r="E308" i="5"/>
  <c r="AC308" i="5"/>
  <c r="Y308" i="5"/>
  <c r="X308" i="5"/>
  <c r="W308" i="5"/>
  <c r="G310" i="5"/>
  <c r="T310" i="1"/>
  <c r="U310" i="1"/>
  <c r="BK310" i="1"/>
  <c r="AN310" i="1"/>
  <c r="AC310" i="5"/>
  <c r="AA310" i="5"/>
  <c r="Z310" i="5"/>
  <c r="Y310" i="5"/>
  <c r="W310" i="5"/>
  <c r="E310" i="5"/>
  <c r="X310" i="5"/>
  <c r="S311" i="5"/>
  <c r="AK311" i="1"/>
  <c r="AJ311" i="1"/>
  <c r="AM311" i="1"/>
  <c r="AL311" i="1"/>
  <c r="AB311" i="1"/>
  <c r="Z311" i="1"/>
  <c r="AA311" i="1"/>
  <c r="Y311" i="1"/>
  <c r="K311" i="5"/>
  <c r="BK311" i="1"/>
  <c r="AN311" i="1"/>
  <c r="BE311" i="1"/>
  <c r="AP311" i="1"/>
  <c r="AB311" i="5" s="1"/>
  <c r="BD311" i="1"/>
  <c r="K311" i="1"/>
  <c r="AC311" i="5"/>
  <c r="Z311" i="5"/>
  <c r="Y311" i="5"/>
  <c r="X311" i="5"/>
  <c r="E311" i="5"/>
  <c r="AA311" i="5"/>
  <c r="W311" i="5"/>
  <c r="K312" i="5"/>
  <c r="L312" i="5" s="1"/>
  <c r="AB312" i="1"/>
  <c r="AN312" i="1"/>
  <c r="BK312" i="1"/>
  <c r="BE312" i="1"/>
  <c r="BD312" i="1"/>
  <c r="G312" i="5"/>
  <c r="U312" i="1"/>
  <c r="V312" i="1"/>
  <c r="T312" i="1"/>
  <c r="E312" i="5"/>
  <c r="AC312" i="5"/>
  <c r="Y312" i="5"/>
  <c r="X312" i="5"/>
  <c r="W312" i="5"/>
  <c r="AP313" i="1"/>
  <c r="AB313" i="5" s="1"/>
  <c r="K313" i="1"/>
  <c r="S313" i="5"/>
  <c r="AK313" i="1"/>
  <c r="Y313" i="1"/>
  <c r="K313" i="5"/>
  <c r="M313" i="5" s="1"/>
  <c r="AA313" i="1"/>
  <c r="Z313" i="1"/>
  <c r="G313" i="5"/>
  <c r="W313" i="1"/>
  <c r="T313" i="1"/>
  <c r="V313" i="1"/>
  <c r="Y313" i="5"/>
  <c r="X313" i="5"/>
  <c r="W313" i="5"/>
  <c r="AC313" i="5"/>
  <c r="Z313" i="5"/>
  <c r="E313" i="5"/>
  <c r="BD314" i="1"/>
  <c r="AP314" i="1"/>
  <c r="AB314" i="5" s="1"/>
  <c r="BE314" i="1"/>
  <c r="AN314" i="1"/>
  <c r="BK314" i="1"/>
  <c r="S314" i="5"/>
  <c r="AL314" i="1"/>
  <c r="AK314" i="1"/>
  <c r="AJ314" i="1"/>
  <c r="AM314" i="1"/>
  <c r="AC314" i="5"/>
  <c r="Y314" i="5"/>
  <c r="W314" i="5"/>
  <c r="E314" i="5"/>
  <c r="X314" i="5"/>
  <c r="K315" i="1"/>
  <c r="BE315" i="1"/>
  <c r="AP315" i="1"/>
  <c r="AB315" i="5" s="1"/>
  <c r="U315" i="1"/>
  <c r="G315" i="5"/>
  <c r="V315" i="1"/>
  <c r="T315" i="1"/>
  <c r="W315" i="1"/>
  <c r="AC315" i="5"/>
  <c r="Z315" i="5"/>
  <c r="Y315" i="5"/>
  <c r="X315" i="5"/>
  <c r="E315" i="5"/>
  <c r="W315" i="5"/>
  <c r="AA315" i="5"/>
  <c r="BH316" i="1"/>
  <c r="AP316" i="1"/>
  <c r="AB316" i="5" s="1"/>
  <c r="BD316" i="1"/>
  <c r="K316" i="1"/>
  <c r="K316" i="5"/>
  <c r="AB316" i="1"/>
  <c r="Y316" i="1"/>
  <c r="G316" i="5"/>
  <c r="T316" i="1"/>
  <c r="BK316" i="1"/>
  <c r="AN316" i="1"/>
  <c r="E316" i="5"/>
  <c r="AC316" i="5"/>
  <c r="AA316" i="5"/>
  <c r="Y316" i="5"/>
  <c r="X316" i="5"/>
  <c r="Z316" i="5"/>
  <c r="W316" i="5"/>
  <c r="AN317" i="1"/>
  <c r="BK317" i="1"/>
  <c r="J317" i="1"/>
  <c r="BG317" i="1" s="1"/>
  <c r="BP317" i="1" s="1" a="1"/>
  <c r="BP317" i="1" s="1"/>
  <c r="K317" i="1"/>
  <c r="BE317" i="1"/>
  <c r="BD317" i="1"/>
  <c r="AP317" i="1"/>
  <c r="AB317" i="5" s="1"/>
  <c r="K317" i="5"/>
  <c r="AB317" i="1"/>
  <c r="Z317" i="1"/>
  <c r="AA317" i="1"/>
  <c r="G317" i="5"/>
  <c r="T317" i="1"/>
  <c r="U317" i="1"/>
  <c r="Y317" i="5"/>
  <c r="X317" i="5"/>
  <c r="W317" i="5"/>
  <c r="AC317" i="5"/>
  <c r="AA317" i="5"/>
  <c r="Z317" i="5"/>
  <c r="E317" i="5"/>
  <c r="AN318" i="1"/>
  <c r="BK318" i="1"/>
  <c r="BE318" i="1"/>
  <c r="BD318" i="1"/>
  <c r="K318" i="1"/>
  <c r="K318" i="5"/>
  <c r="AA318" i="1"/>
  <c r="G318" i="5"/>
  <c r="V318" i="1"/>
  <c r="U318" i="1"/>
  <c r="T318" i="1"/>
  <c r="W318" i="1"/>
  <c r="AC318" i="5"/>
  <c r="AA318" i="5"/>
  <c r="Z318" i="5"/>
  <c r="Y318" i="5"/>
  <c r="W318" i="5"/>
  <c r="E318" i="5"/>
  <c r="X318" i="5"/>
  <c r="BZ319" i="1"/>
  <c r="AN319" i="1"/>
  <c r="AP319" i="1"/>
  <c r="AB319" i="5" s="1"/>
  <c r="K319" i="1"/>
  <c r="G319" i="5"/>
  <c r="W319" i="1"/>
  <c r="V319" i="1"/>
  <c r="AC319" i="5"/>
  <c r="Z319" i="5"/>
  <c r="Y319" i="5"/>
  <c r="X319" i="5"/>
  <c r="E319" i="5"/>
  <c r="AA319" i="5"/>
  <c r="W319" i="5"/>
  <c r="G320" i="5"/>
  <c r="U320" i="1"/>
  <c r="T320" i="1"/>
  <c r="BZ320" i="1"/>
  <c r="AN320" i="1"/>
  <c r="BK320" i="1"/>
  <c r="BD320" i="1"/>
  <c r="BE320" i="1"/>
  <c r="AC320" i="5"/>
  <c r="Y320" i="5"/>
  <c r="X320" i="5"/>
  <c r="W320" i="5"/>
  <c r="BK321" i="1"/>
  <c r="AN321" i="1"/>
  <c r="G321" i="5"/>
  <c r="U321" i="1"/>
  <c r="T321" i="1"/>
  <c r="V321" i="1"/>
  <c r="W321" i="1"/>
  <c r="AP321" i="1"/>
  <c r="AB321" i="5" s="1"/>
  <c r="K321" i="1"/>
  <c r="BE321" i="1"/>
  <c r="Y321" i="5"/>
  <c r="X321" i="5"/>
  <c r="W321" i="5"/>
  <c r="AC321" i="5"/>
  <c r="E321" i="5"/>
  <c r="G322" i="5"/>
  <c r="T322" i="1"/>
  <c r="U322" i="1"/>
  <c r="AP322" i="1"/>
  <c r="AB322" i="5" s="1"/>
  <c r="L322" i="1"/>
  <c r="AQ322" i="1"/>
  <c r="BS322" i="1" s="1"/>
  <c r="K322" i="5"/>
  <c r="L322" i="5" s="1"/>
  <c r="Y322" i="1"/>
  <c r="AA322" i="1"/>
  <c r="AN322" i="1"/>
  <c r="BK322" i="1"/>
  <c r="AC322" i="5"/>
  <c r="AA322" i="5"/>
  <c r="Z322" i="5"/>
  <c r="Y322" i="5"/>
  <c r="W322" i="5"/>
  <c r="E322" i="5"/>
  <c r="X322" i="5"/>
  <c r="AC323" i="5"/>
  <c r="Z323" i="5"/>
  <c r="Y323" i="5"/>
  <c r="X323" i="5"/>
  <c r="E323" i="5"/>
  <c r="AA323" i="5"/>
  <c r="W323" i="5"/>
  <c r="Y325" i="1"/>
  <c r="K325" i="5"/>
  <c r="AA325" i="1"/>
  <c r="AB325" i="1"/>
  <c r="BE325" i="1"/>
  <c r="K325" i="1"/>
  <c r="BD325" i="1"/>
  <c r="AP325" i="1"/>
  <c r="AB325" i="5" s="1"/>
  <c r="V325" i="1"/>
  <c r="G325" i="5"/>
  <c r="T325" i="1"/>
  <c r="W325" i="1"/>
  <c r="U325" i="1"/>
  <c r="Y325" i="5"/>
  <c r="X325" i="5"/>
  <c r="W325" i="5"/>
  <c r="AC325" i="5"/>
  <c r="AA325" i="5"/>
  <c r="Z325" i="5"/>
  <c r="E325" i="5"/>
  <c r="AP326" i="1"/>
  <c r="AB326" i="5" s="1"/>
  <c r="BE326" i="1"/>
  <c r="BD326" i="1"/>
  <c r="AN326" i="1"/>
  <c r="BK326" i="1"/>
  <c r="AC326" i="5"/>
  <c r="AA326" i="5"/>
  <c r="Z326" i="5"/>
  <c r="Y326" i="5"/>
  <c r="W326" i="5"/>
  <c r="E326" i="5"/>
  <c r="X326" i="5"/>
  <c r="BF327" i="1"/>
  <c r="BH327" i="1"/>
  <c r="AP327" i="1"/>
  <c r="AB327" i="5" s="1"/>
  <c r="BE327" i="1"/>
  <c r="BU327" i="1" s="1"/>
  <c r="BD327" i="1"/>
  <c r="K327" i="1"/>
  <c r="AC327" i="5"/>
  <c r="Y327" i="5"/>
  <c r="X327" i="5"/>
  <c r="E327" i="5"/>
  <c r="W327" i="5"/>
  <c r="BE328" i="1"/>
  <c r="K328" i="1"/>
  <c r="AN328" i="1"/>
  <c r="BK328" i="1"/>
  <c r="E328" i="5"/>
  <c r="AC328" i="5"/>
  <c r="Y328" i="5"/>
  <c r="X328" i="5"/>
  <c r="W328" i="5"/>
  <c r="G329" i="5"/>
  <c r="T329" i="1"/>
  <c r="V329" i="1"/>
  <c r="AN329" i="1"/>
  <c r="BK329" i="1"/>
  <c r="AP329" i="1"/>
  <c r="AB329" i="5" s="1"/>
  <c r="K329" i="1"/>
  <c r="BE329" i="1"/>
  <c r="BD329" i="1"/>
  <c r="K329" i="5"/>
  <c r="M329" i="5" s="1"/>
  <c r="AA329" i="1"/>
  <c r="Y329" i="1"/>
  <c r="Z329" i="1"/>
  <c r="S329" i="5"/>
  <c r="AK329" i="1"/>
  <c r="AJ329" i="1"/>
  <c r="Y329" i="5"/>
  <c r="X329" i="5"/>
  <c r="W329" i="5"/>
  <c r="AC329" i="5"/>
  <c r="S330" i="5"/>
  <c r="AM330" i="1"/>
  <c r="K330" i="5"/>
  <c r="AB330" i="1"/>
  <c r="Z330" i="1"/>
  <c r="AA330" i="1"/>
  <c r="Y330" i="1"/>
  <c r="U330" i="1"/>
  <c r="G330" i="5"/>
  <c r="T330" i="1"/>
  <c r="W330" i="1"/>
  <c r="V330" i="1"/>
  <c r="AC330" i="5"/>
  <c r="AA330" i="5"/>
  <c r="Z330" i="5"/>
  <c r="Y330" i="5"/>
  <c r="W330" i="5"/>
  <c r="E330" i="5"/>
  <c r="X330" i="5"/>
  <c r="BH331" i="1"/>
  <c r="BE331" i="1"/>
  <c r="AP331" i="1"/>
  <c r="AB331" i="5" s="1"/>
  <c r="BD331" i="1"/>
  <c r="K331" i="1"/>
  <c r="T331" i="1"/>
  <c r="G331" i="5"/>
  <c r="W331" i="1"/>
  <c r="AC331" i="5"/>
  <c r="Z331" i="5"/>
  <c r="Y331" i="5"/>
  <c r="X331" i="5"/>
  <c r="E331" i="5"/>
  <c r="AA331" i="5"/>
  <c r="W331" i="5"/>
  <c r="J332" i="1"/>
  <c r="BD332" i="1"/>
  <c r="AP332" i="1"/>
  <c r="AB332" i="5" s="1"/>
  <c r="K332" i="1"/>
  <c r="BE332" i="1"/>
  <c r="S332" i="5"/>
  <c r="AL332" i="1"/>
  <c r="AM332" i="1"/>
  <c r="AK332" i="1"/>
  <c r="AN332" i="1"/>
  <c r="F332" i="5"/>
  <c r="E332" i="5"/>
  <c r="AC332" i="5"/>
  <c r="Y332" i="5"/>
  <c r="X332" i="5"/>
  <c r="W332" i="5"/>
  <c r="AP333" i="1"/>
  <c r="AB333" i="5" s="1"/>
  <c r="K333" i="1"/>
  <c r="BD333" i="1"/>
  <c r="BE333" i="1"/>
  <c r="BU333" i="1" s="1"/>
  <c r="G333" i="5"/>
  <c r="V333" i="1"/>
  <c r="T333" i="1"/>
  <c r="W333" i="1"/>
  <c r="U333" i="1"/>
  <c r="BK333" i="1"/>
  <c r="AN333" i="1"/>
  <c r="Y333" i="5"/>
  <c r="X333" i="5"/>
  <c r="W333" i="5"/>
  <c r="AC333" i="5"/>
  <c r="AA333" i="5"/>
  <c r="Z333" i="5"/>
  <c r="E333" i="5"/>
  <c r="G334" i="5"/>
  <c r="V334" i="1"/>
  <c r="W334" i="1"/>
  <c r="U334" i="1"/>
  <c r="AP334" i="1"/>
  <c r="AB334" i="5" s="1"/>
  <c r="K334" i="1"/>
  <c r="K334" i="5"/>
  <c r="AA334" i="1"/>
  <c r="BK334" i="1"/>
  <c r="AN334" i="1"/>
  <c r="AC334" i="5"/>
  <c r="AA334" i="5"/>
  <c r="Z334" i="5"/>
  <c r="Y334" i="5"/>
  <c r="W334" i="5"/>
  <c r="E334" i="5"/>
  <c r="X334" i="5"/>
  <c r="BE335" i="1"/>
  <c r="G335" i="5"/>
  <c r="T335" i="1"/>
  <c r="AN335" i="1"/>
  <c r="BK335" i="1"/>
  <c r="AC335" i="5"/>
  <c r="Z335" i="5"/>
  <c r="Y335" i="5"/>
  <c r="X335" i="5"/>
  <c r="E335" i="5"/>
  <c r="AA335" i="5"/>
  <c r="W335" i="5"/>
  <c r="AP336" i="1"/>
  <c r="AB336" i="5" s="1"/>
  <c r="BD336" i="1"/>
  <c r="BE336" i="1"/>
  <c r="AC336" i="5"/>
  <c r="Y336" i="5"/>
  <c r="X336" i="5"/>
  <c r="W336" i="5"/>
  <c r="S337" i="5"/>
  <c r="U337" i="5" s="1"/>
  <c r="AJ337" i="1"/>
  <c r="AM337" i="1"/>
  <c r="G337" i="5"/>
  <c r="V337" i="1"/>
  <c r="T337" i="1"/>
  <c r="BK337" i="1"/>
  <c r="AN337" i="1"/>
  <c r="K337" i="1"/>
  <c r="Y337" i="5"/>
  <c r="X337" i="5"/>
  <c r="W337" i="5"/>
  <c r="AC337" i="5"/>
  <c r="AA337" i="5"/>
  <c r="Z337" i="5"/>
  <c r="E337" i="5"/>
  <c r="S338" i="5"/>
  <c r="AK338" i="1"/>
  <c r="AL338" i="1"/>
  <c r="AJ338" i="1"/>
  <c r="CD338" i="1"/>
  <c r="BE338" i="1"/>
  <c r="BU338" i="1" s="1"/>
  <c r="G338" i="5"/>
  <c r="V338" i="1"/>
  <c r="T338" i="1"/>
  <c r="AC338" i="5"/>
  <c r="AA338" i="5"/>
  <c r="Z338" i="5"/>
  <c r="Y338" i="5"/>
  <c r="W338" i="5"/>
  <c r="E338" i="5"/>
  <c r="X338" i="5"/>
  <c r="BF339" i="1"/>
  <c r="K339" i="5"/>
  <c r="Z339" i="1"/>
  <c r="AP339" i="1"/>
  <c r="AB339" i="5" s="1"/>
  <c r="BD339" i="1"/>
  <c r="BE339" i="1"/>
  <c r="K339" i="1"/>
  <c r="G339" i="5"/>
  <c r="W339" i="1"/>
  <c r="AC339" i="5"/>
  <c r="Z339" i="5"/>
  <c r="Y339" i="5"/>
  <c r="X339" i="5"/>
  <c r="E339" i="5"/>
  <c r="AA339" i="5"/>
  <c r="W339" i="5"/>
  <c r="S340" i="5"/>
  <c r="AJ340" i="1"/>
  <c r="AK340" i="1"/>
  <c r="AM340" i="1"/>
  <c r="AL340" i="1"/>
  <c r="AN340" i="1"/>
  <c r="BK340" i="1"/>
  <c r="AP340" i="1"/>
  <c r="AB340" i="5" s="1"/>
  <c r="BE340" i="1"/>
  <c r="E340" i="5"/>
  <c r="AC340" i="5"/>
  <c r="AA340" i="5"/>
  <c r="Y340" i="5"/>
  <c r="X340" i="5"/>
  <c r="Z340" i="5"/>
  <c r="W340" i="5"/>
  <c r="S341" i="5"/>
  <c r="AM341" i="1"/>
  <c r="AK341" i="1"/>
  <c r="AJ341" i="1"/>
  <c r="AN341" i="1"/>
  <c r="BK341" i="1"/>
  <c r="AP341" i="1"/>
  <c r="AB341" i="5" s="1"/>
  <c r="BD341" i="1"/>
  <c r="Y341" i="5"/>
  <c r="X341" i="5"/>
  <c r="W341" i="5"/>
  <c r="AC341" i="5"/>
  <c r="E341" i="5"/>
  <c r="S342" i="5"/>
  <c r="AM342" i="1"/>
  <c r="AK342" i="1"/>
  <c r="G342" i="5"/>
  <c r="V342" i="1"/>
  <c r="T342" i="1"/>
  <c r="BZ342" i="1"/>
  <c r="BK342" i="1"/>
  <c r="AN342" i="1"/>
  <c r="BD342" i="1"/>
  <c r="AC342" i="5"/>
  <c r="AA342" i="5"/>
  <c r="Z342" i="5"/>
  <c r="Y342" i="5"/>
  <c r="W342" i="5"/>
  <c r="E342" i="5"/>
  <c r="X342" i="5"/>
  <c r="AN343" i="1"/>
  <c r="BK343" i="1"/>
  <c r="AQ343" i="1"/>
  <c r="BS343" i="1" s="1"/>
  <c r="BE343" i="1"/>
  <c r="G343" i="5"/>
  <c r="V343" i="1"/>
  <c r="U343" i="1"/>
  <c r="AC343" i="5"/>
  <c r="Y343" i="5"/>
  <c r="X343" i="5"/>
  <c r="W343" i="5"/>
  <c r="L344" i="1"/>
  <c r="AQ344" i="1"/>
  <c r="BS344" i="1" s="1"/>
  <c r="BE344" i="1"/>
  <c r="AC344" i="5"/>
  <c r="Y344" i="5"/>
  <c r="X344" i="5"/>
  <c r="W344" i="5"/>
  <c r="BE345" i="1"/>
  <c r="K345" i="1"/>
  <c r="AP345" i="1"/>
  <c r="AB345" i="5" s="1"/>
  <c r="BD345" i="1"/>
  <c r="S345" i="5"/>
  <c r="AL345" i="1"/>
  <c r="AJ345" i="1"/>
  <c r="BK345" i="1"/>
  <c r="AN345" i="1"/>
  <c r="Y345" i="5"/>
  <c r="X345" i="5"/>
  <c r="W345" i="5"/>
  <c r="AC345" i="5"/>
  <c r="AA345" i="5"/>
  <c r="Z345" i="5"/>
  <c r="E345" i="5"/>
  <c r="AN210" i="1"/>
  <c r="BK210" i="1"/>
  <c r="K210" i="1"/>
  <c r="U210" i="1"/>
  <c r="W210" i="1"/>
  <c r="G210" i="5"/>
  <c r="T210" i="1"/>
  <c r="AC210" i="5"/>
  <c r="Y210" i="5"/>
  <c r="X210" i="5"/>
  <c r="W210" i="5"/>
  <c r="AJ315" i="1"/>
  <c r="S315" i="5"/>
  <c r="AJ319" i="1"/>
  <c r="U253" i="5"/>
  <c r="T253" i="5"/>
  <c r="V253" i="5"/>
  <c r="T273" i="5"/>
  <c r="U273" i="5"/>
  <c r="V273" i="5"/>
  <c r="V323" i="5"/>
  <c r="U323" i="5"/>
  <c r="T323" i="5"/>
  <c r="V303" i="5"/>
  <c r="T303" i="5"/>
  <c r="V295" i="5"/>
  <c r="U295" i="5"/>
  <c r="T295" i="5"/>
  <c r="AF237" i="1"/>
  <c r="O237" i="5"/>
  <c r="R265" i="5"/>
  <c r="Q265" i="5"/>
  <c r="P265" i="5"/>
  <c r="Q284" i="5"/>
  <c r="R284" i="5"/>
  <c r="P284" i="5"/>
  <c r="R243" i="5"/>
  <c r="Q243" i="5"/>
  <c r="P243" i="5"/>
  <c r="AH342" i="1"/>
  <c r="O342" i="5"/>
  <c r="P307" i="5"/>
  <c r="R307" i="5"/>
  <c r="Q307" i="5"/>
  <c r="AH331" i="1"/>
  <c r="O331" i="5"/>
  <c r="R327" i="5"/>
  <c r="AG341" i="1"/>
  <c r="O341" i="5"/>
  <c r="AG328" i="1"/>
  <c r="O328" i="5"/>
  <c r="Q314" i="5"/>
  <c r="R314" i="5"/>
  <c r="P314" i="5"/>
  <c r="R305" i="5"/>
  <c r="P305" i="5"/>
  <c r="Q305" i="5"/>
  <c r="AG336" i="1"/>
  <c r="O336" i="5"/>
  <c r="Q285" i="5"/>
  <c r="R285" i="5"/>
  <c r="P285" i="5"/>
  <c r="Q304" i="5"/>
  <c r="R304" i="5"/>
  <c r="P304" i="5"/>
  <c r="R332" i="5"/>
  <c r="Q332" i="5"/>
  <c r="P332" i="5"/>
  <c r="AF255" i="1"/>
  <c r="O255" i="5"/>
  <c r="P319" i="5"/>
  <c r="Q319" i="5"/>
  <c r="R319" i="5"/>
  <c r="AG254" i="1"/>
  <c r="O254" i="5"/>
  <c r="Q320" i="5"/>
  <c r="P320" i="5"/>
  <c r="R320" i="5"/>
  <c r="AG261" i="1"/>
  <c r="O261" i="5"/>
  <c r="AD337" i="1"/>
  <c r="BK273" i="1"/>
  <c r="BZ273" i="1"/>
  <c r="AN273" i="1"/>
  <c r="L323" i="1"/>
  <c r="AJ253" i="1"/>
  <c r="AK253" i="1"/>
  <c r="AL253" i="1"/>
  <c r="AM253" i="1"/>
  <c r="L303" i="1"/>
  <c r="L295" i="1"/>
  <c r="AM273" i="1"/>
  <c r="AJ273" i="1"/>
  <c r="AK273" i="1"/>
  <c r="AL273" i="1"/>
  <c r="BZ295" i="1"/>
  <c r="AK295" i="1"/>
  <c r="AJ295" i="1"/>
  <c r="AL295" i="1"/>
  <c r="AM295" i="1"/>
  <c r="AJ323" i="1"/>
  <c r="AM323" i="1"/>
  <c r="AD339" i="1"/>
  <c r="AG339" i="1" s="1"/>
  <c r="AN323" i="1"/>
  <c r="BZ323" i="1"/>
  <c r="BK323" i="1"/>
  <c r="L253" i="1"/>
  <c r="L273" i="1"/>
  <c r="AL303" i="1"/>
  <c r="AJ303" i="1"/>
  <c r="AK303" i="1"/>
  <c r="AM303" i="1"/>
  <c r="CD273" i="1"/>
  <c r="BG273" i="1"/>
  <c r="BP273" i="1" s="1" a="1"/>
  <c r="BP273" i="1" s="1"/>
  <c r="AN303" i="1"/>
  <c r="BZ303" i="1"/>
  <c r="BK303" i="1"/>
  <c r="AL323" i="1"/>
  <c r="AK323" i="1"/>
  <c r="BK253" i="1"/>
  <c r="BZ253" i="1"/>
  <c r="AN295" i="1"/>
  <c r="BK295" i="1"/>
  <c r="Z340" i="1"/>
  <c r="AA340" i="1"/>
  <c r="AB340" i="1"/>
  <c r="Y340" i="1"/>
  <c r="AK310" i="1"/>
  <c r="AJ310" i="1"/>
  <c r="J366" i="5"/>
  <c r="U282" i="1"/>
  <c r="V282" i="1"/>
  <c r="AL280" i="1"/>
  <c r="AL302" i="1"/>
  <c r="AK302" i="1"/>
  <c r="AJ302" i="1"/>
  <c r="AM302" i="1"/>
  <c r="AM274" i="1"/>
  <c r="AL274" i="1"/>
  <c r="AK274" i="1"/>
  <c r="AJ294" i="1"/>
  <c r="AK294" i="1"/>
  <c r="AM294" i="1"/>
  <c r="AL294" i="1"/>
  <c r="U341" i="1"/>
  <c r="V341" i="1"/>
  <c r="AD326" i="1"/>
  <c r="AF330" i="1"/>
  <c r="AE330" i="1"/>
  <c r="AG330" i="1"/>
  <c r="AH330" i="1"/>
  <c r="AJ241" i="1"/>
  <c r="AK241" i="1"/>
  <c r="AJ326" i="1"/>
  <c r="AK326" i="1"/>
  <c r="AD313" i="1"/>
  <c r="T304" i="1"/>
  <c r="W304" i="1"/>
  <c r="U304" i="1"/>
  <c r="V304" i="1"/>
  <c r="AJ306" i="1"/>
  <c r="AM306" i="1"/>
  <c r="AL306" i="1"/>
  <c r="AK306" i="1"/>
  <c r="AD338" i="1"/>
  <c r="W305" i="1"/>
  <c r="AL310" i="1"/>
  <c r="AM310" i="1"/>
  <c r="AE255" i="1"/>
  <c r="AG255" i="1"/>
  <c r="AG243" i="1"/>
  <c r="AE243" i="1"/>
  <c r="AH243" i="1"/>
  <c r="AH237" i="1"/>
  <c r="AE237" i="1"/>
  <c r="AF305" i="1"/>
  <c r="AG305" i="1"/>
  <c r="AF319" i="1"/>
  <c r="AG319" i="1"/>
  <c r="AF304" i="1"/>
  <c r="AG304" i="1"/>
  <c r="AH304" i="1"/>
  <c r="AF254" i="1"/>
  <c r="AH254" i="1"/>
  <c r="AE254" i="1"/>
  <c r="AH307" i="1"/>
  <c r="AF307" i="1"/>
  <c r="AG307" i="1"/>
  <c r="AK333" i="1"/>
  <c r="X256" i="1"/>
  <c r="X246" i="1"/>
  <c r="X245" i="1"/>
  <c r="AA245" i="1" s="1"/>
  <c r="AK315" i="1"/>
  <c r="AM319" i="1"/>
  <c r="AK319" i="1"/>
  <c r="AL319" i="1"/>
  <c r="X283" i="1"/>
  <c r="K283" i="5" s="1"/>
  <c r="X286" i="1"/>
  <c r="X315" i="1"/>
  <c r="K315" i="5" s="1"/>
  <c r="AM298" i="1"/>
  <c r="X298" i="1"/>
  <c r="AB298" i="1" s="1"/>
  <c r="AG265" i="1"/>
  <c r="AF265" i="1"/>
  <c r="AH265" i="1"/>
  <c r="AH327" i="1"/>
  <c r="AE285" i="1"/>
  <c r="AH285" i="1"/>
  <c r="AF285" i="1"/>
  <c r="AF261" i="1"/>
  <c r="AH261" i="1"/>
  <c r="AG284" i="1"/>
  <c r="AE284" i="1"/>
  <c r="AF284" i="1"/>
  <c r="AE305" i="1"/>
  <c r="AH305" i="1"/>
  <c r="AG342" i="1"/>
  <c r="AE342" i="1"/>
  <c r="AH341" i="1"/>
  <c r="AE341" i="1"/>
  <c r="X336" i="1"/>
  <c r="Y336" i="1" s="1"/>
  <c r="AG314" i="1"/>
  <c r="AE314" i="1"/>
  <c r="AF314" i="1"/>
  <c r="AH319" i="1"/>
  <c r="AE319" i="1"/>
  <c r="X320" i="1"/>
  <c r="K320" i="5" s="1"/>
  <c r="X302" i="1"/>
  <c r="Z302" i="1" s="1"/>
  <c r="X301" i="1"/>
  <c r="X337" i="1"/>
  <c r="AF332" i="1"/>
  <c r="AE332" i="1"/>
  <c r="AH332" i="1"/>
  <c r="AG332" i="1"/>
  <c r="AF331" i="1"/>
  <c r="AG331" i="1"/>
  <c r="X287" i="1"/>
  <c r="X277" i="1"/>
  <c r="K277" i="5" s="1"/>
  <c r="X295" i="1"/>
  <c r="X266" i="1"/>
  <c r="X234" i="1"/>
  <c r="K234" i="5" s="1"/>
  <c r="X267" i="1"/>
  <c r="X249" i="1"/>
  <c r="X273" i="1"/>
  <c r="K273" i="5" s="1"/>
  <c r="X236" i="1"/>
  <c r="X289" i="1"/>
  <c r="X258" i="1"/>
  <c r="X281" i="1"/>
  <c r="X261" i="1"/>
  <c r="AH336" i="1"/>
  <c r="AE336" i="1"/>
  <c r="X331" i="1"/>
  <c r="K331" i="5" s="1"/>
  <c r="AE320" i="1"/>
  <c r="AG320" i="1"/>
  <c r="X310" i="1"/>
  <c r="X292" i="1"/>
  <c r="K292" i="5" s="1"/>
  <c r="X326" i="1"/>
  <c r="AF328" i="1"/>
  <c r="AE328" i="1"/>
  <c r="X303" i="1"/>
  <c r="X323" i="1"/>
  <c r="X244" i="1"/>
  <c r="X255" i="1"/>
  <c r="X335" i="1"/>
  <c r="X257" i="1"/>
  <c r="X262" i="1"/>
  <c r="X307" i="1"/>
  <c r="X288" i="1"/>
  <c r="K288" i="5" s="1"/>
  <c r="X235" i="1"/>
  <c r="K235" i="5" s="1"/>
  <c r="X338" i="1"/>
  <c r="K338" i="5" s="1"/>
  <c r="X284" i="1"/>
  <c r="W345" i="1"/>
  <c r="AM315" i="1"/>
  <c r="U281" i="1"/>
  <c r="V305" i="1"/>
  <c r="AH255" i="1"/>
  <c r="AF243" i="1"/>
  <c r="AE265" i="1"/>
  <c r="AE327" i="1"/>
  <c r="U327" i="1"/>
  <c r="V327" i="1"/>
  <c r="W327" i="1"/>
  <c r="T327" i="1"/>
  <c r="AG285" i="1"/>
  <c r="AE261" i="1"/>
  <c r="AG237" i="1"/>
  <c r="AH284" i="1"/>
  <c r="AF342" i="1"/>
  <c r="AF341" i="1"/>
  <c r="AH314" i="1"/>
  <c r="W332" i="1"/>
  <c r="AE304" i="1"/>
  <c r="AE307" i="1"/>
  <c r="AE331" i="1"/>
  <c r="X319" i="1"/>
  <c r="K319" i="5" s="1"/>
  <c r="X333" i="1"/>
  <c r="AF336" i="1"/>
  <c r="AH320" i="1"/>
  <c r="AF320" i="1"/>
  <c r="AH328" i="1"/>
  <c r="AM321" i="1"/>
  <c r="BW364" i="1"/>
  <c r="BW350" i="1"/>
  <c r="BW360" i="1"/>
  <c r="BW356" i="1"/>
  <c r="BW369" i="1"/>
  <c r="BW351" i="1"/>
  <c r="BW347" i="1"/>
  <c r="BW372" i="1"/>
  <c r="BW357" i="1"/>
  <c r="BW368" i="1"/>
  <c r="BW349" i="1"/>
  <c r="BR354" i="1"/>
  <c r="BR355" i="1"/>
  <c r="BW362" i="1"/>
  <c r="BW376" i="1"/>
  <c r="BW348" i="1"/>
  <c r="BR377" i="1"/>
  <c r="BR371" i="1"/>
  <c r="BR361" i="1"/>
  <c r="BW359" i="1"/>
  <c r="BW363" i="1"/>
  <c r="N373" i="5"/>
  <c r="N375" i="5"/>
  <c r="BW370" i="1"/>
  <c r="J367" i="5"/>
  <c r="J365" i="5"/>
  <c r="F346" i="5"/>
  <c r="V288" i="3"/>
  <c r="J361" i="5"/>
  <c r="N353" i="5"/>
  <c r="J357" i="5"/>
  <c r="J359" i="5"/>
  <c r="J355" i="5"/>
  <c r="J360" i="5"/>
  <c r="J356" i="5"/>
  <c r="F313" i="5"/>
  <c r="F302" i="5"/>
  <c r="BR358" i="1"/>
  <c r="N352" i="5"/>
  <c r="F258" i="5"/>
  <c r="F236" i="5"/>
  <c r="F239" i="5"/>
  <c r="F242" i="5"/>
  <c r="F257" i="5"/>
  <c r="F266" i="5"/>
  <c r="F267" i="5"/>
  <c r="F248" i="5"/>
  <c r="F232" i="5"/>
  <c r="F254" i="5"/>
  <c r="F264" i="5"/>
  <c r="F256" i="5"/>
  <c r="F255" i="5"/>
  <c r="F303" i="5"/>
  <c r="F270" i="5"/>
  <c r="F333" i="5"/>
  <c r="F247" i="5"/>
  <c r="F250" i="5"/>
  <c r="F240" i="5"/>
  <c r="F276" i="5"/>
  <c r="F286" i="5"/>
  <c r="F268" i="5"/>
  <c r="F262" i="5"/>
  <c r="F283" i="5"/>
  <c r="F288" i="5"/>
  <c r="F287" i="5"/>
  <c r="F291" i="5"/>
  <c r="F234" i="5"/>
  <c r="F312" i="5"/>
  <c r="F292" i="5"/>
  <c r="F297" i="5"/>
  <c r="S298" i="5"/>
  <c r="U298" i="5" s="1"/>
  <c r="F306" i="5"/>
  <c r="F304" i="5"/>
  <c r="F316" i="5"/>
  <c r="F305" i="5"/>
  <c r="F308" i="5"/>
  <c r="F321" i="5"/>
  <c r="V318" i="3"/>
  <c r="G341" i="5"/>
  <c r="V314" i="3"/>
  <c r="F327" i="5"/>
  <c r="F335" i="5"/>
  <c r="F330" i="5"/>
  <c r="F334" i="5"/>
  <c r="V294" i="3"/>
  <c r="F331" i="5"/>
  <c r="V263" i="3"/>
  <c r="F235" i="5"/>
  <c r="V197" i="3"/>
  <c r="F301" i="5"/>
  <c r="F326" i="5"/>
  <c r="F339" i="5"/>
  <c r="F337" i="5"/>
  <c r="F311" i="5"/>
  <c r="F338" i="5"/>
  <c r="F342" i="5"/>
  <c r="F325" i="5"/>
  <c r="X342" i="1"/>
  <c r="X304" i="1"/>
  <c r="X314" i="1"/>
  <c r="X321" i="1"/>
  <c r="F341" i="5"/>
  <c r="X341" i="1"/>
  <c r="F275" i="5"/>
  <c r="F319" i="5"/>
  <c r="V285" i="3"/>
  <c r="V247" i="3"/>
  <c r="F314" i="5"/>
  <c r="V267" i="3"/>
  <c r="V291" i="3"/>
  <c r="F328" i="5"/>
  <c r="AA272" i="5"/>
  <c r="X327" i="1"/>
  <c r="V317" i="3"/>
  <c r="F345" i="5"/>
  <c r="F340" i="5"/>
  <c r="X268" i="1"/>
  <c r="F298" i="5"/>
  <c r="V293" i="3"/>
  <c r="X328" i="1"/>
  <c r="X305" i="1"/>
  <c r="V315" i="3"/>
  <c r="K340" i="5"/>
  <c r="F282" i="5"/>
  <c r="F299" i="5"/>
  <c r="F246" i="5"/>
  <c r="F245" i="5"/>
  <c r="F284" i="5"/>
  <c r="F294" i="5"/>
  <c r="F317" i="5"/>
  <c r="X285" i="1"/>
  <c r="V266" i="3"/>
  <c r="F322" i="5"/>
  <c r="F260" i="5"/>
  <c r="F243" i="5"/>
  <c r="F323" i="5"/>
  <c r="X345" i="1"/>
  <c r="F249" i="5"/>
  <c r="F261" i="5"/>
  <c r="F244" i="5"/>
  <c r="V296" i="3"/>
  <c r="V199" i="3"/>
  <c r="V198" i="3"/>
  <c r="F274" i="5"/>
  <c r="F269" i="5"/>
  <c r="F289" i="5"/>
  <c r="W271" i="3"/>
  <c r="F231" i="5"/>
  <c r="F237" i="5"/>
  <c r="F272" i="5"/>
  <c r="V246" i="3"/>
  <c r="V209" i="3"/>
  <c r="V207" i="3"/>
  <c r="F233" i="5"/>
  <c r="X241" i="1"/>
  <c r="K241" i="5" s="1"/>
  <c r="V295" i="3"/>
  <c r="X254" i="1"/>
  <c r="V249" i="3"/>
  <c r="X237" i="1"/>
  <c r="V292" i="3"/>
  <c r="X243" i="1"/>
  <c r="X240" i="1"/>
  <c r="X239" i="1"/>
  <c r="V290" i="3"/>
  <c r="E329" i="5"/>
  <c r="E168" i="5"/>
  <c r="E344" i="5"/>
  <c r="E343" i="5"/>
  <c r="AI343" i="1"/>
  <c r="W272" i="3"/>
  <c r="AA344" i="5"/>
  <c r="AI344" i="1"/>
  <c r="F171" i="5"/>
  <c r="E279" i="5"/>
  <c r="AI168" i="1"/>
  <c r="Z278" i="5"/>
  <c r="E230" i="5"/>
  <c r="AI279" i="1"/>
  <c r="X279" i="1"/>
  <c r="AI278" i="1"/>
  <c r="X278" i="1"/>
  <c r="U228" i="3"/>
  <c r="AY228" i="3" s="1"/>
  <c r="W228" i="3"/>
  <c r="AJ298" i="1" l="1"/>
  <c r="T344" i="1"/>
  <c r="V344" i="1"/>
  <c r="BU250" i="1"/>
  <c r="AM280" i="1"/>
  <c r="T323" i="1"/>
  <c r="AK280" i="1"/>
  <c r="W323" i="1"/>
  <c r="AL249" i="1"/>
  <c r="AK339" i="1"/>
  <c r="AM334" i="1"/>
  <c r="AK318" i="1"/>
  <c r="AJ339" i="1"/>
  <c r="CD323" i="1"/>
  <c r="AK233" i="1"/>
  <c r="T328" i="1"/>
  <c r="AL241" i="1"/>
  <c r="BF323" i="1"/>
  <c r="BU308" i="1"/>
  <c r="W254" i="1"/>
  <c r="AK334" i="1"/>
  <c r="AM339" i="1"/>
  <c r="AJ334" i="1"/>
  <c r="AM318" i="1"/>
  <c r="AJ321" i="1"/>
  <c r="AJ333" i="1"/>
  <c r="AJ318" i="1"/>
  <c r="W281" i="1"/>
  <c r="T341" i="1"/>
  <c r="V285" i="1"/>
  <c r="AJ249" i="1"/>
  <c r="AM249" i="1"/>
  <c r="BG296" i="1"/>
  <c r="BP296" i="1" s="1" a="1"/>
  <c r="BP296" i="1" s="1"/>
  <c r="T332" i="1"/>
  <c r="AL325" i="1"/>
  <c r="W328" i="1"/>
  <c r="AM326" i="1"/>
  <c r="V323" i="1"/>
  <c r="V328" i="1"/>
  <c r="AL233" i="1"/>
  <c r="AL334" i="1"/>
  <c r="W285" i="1"/>
  <c r="AK325" i="1"/>
  <c r="AM248" i="1"/>
  <c r="U285" i="1"/>
  <c r="BU329" i="1"/>
  <c r="AL248" i="1"/>
  <c r="BU225" i="1"/>
  <c r="BF271" i="1"/>
  <c r="BG271" i="1" s="1"/>
  <c r="BP271" i="1" s="1" a="1"/>
  <c r="BP271" i="1" s="1"/>
  <c r="BZ343" i="1"/>
  <c r="T343" i="1"/>
  <c r="BM222" i="3"/>
  <c r="G254" i="5"/>
  <c r="AL333" i="1"/>
  <c r="BO272" i="3"/>
  <c r="BB287" i="3"/>
  <c r="BT223" i="3"/>
  <c r="BN322" i="3"/>
  <c r="AU105" i="3"/>
  <c r="BL314" i="3"/>
  <c r="AL321" i="1"/>
  <c r="BL294" i="3"/>
  <c r="BM314" i="3"/>
  <c r="BL290" i="3"/>
  <c r="BT295" i="3"/>
  <c r="BN325" i="3"/>
  <c r="AU272" i="3"/>
  <c r="BB272" i="3"/>
  <c r="BO271" i="3"/>
  <c r="AG327" i="1"/>
  <c r="AF327" i="1"/>
  <c r="Q327" i="5"/>
  <c r="BU281" i="1"/>
  <c r="BU212" i="1"/>
  <c r="BU230" i="1"/>
  <c r="CD210" i="1"/>
  <c r="L105" i="1"/>
  <c r="AZ281" i="1"/>
  <c r="CD212" i="1"/>
  <c r="AF325" i="1"/>
  <c r="AH335" i="1"/>
  <c r="BU311" i="1"/>
  <c r="CD315" i="1"/>
  <c r="U311" i="1"/>
  <c r="S335" i="5"/>
  <c r="T335" i="5" s="1"/>
  <c r="AJ239" i="1"/>
  <c r="V250" i="1"/>
  <c r="W311" i="1"/>
  <c r="AJ325" i="1"/>
  <c r="BU269" i="1"/>
  <c r="W250" i="1"/>
  <c r="AJ322" i="1"/>
  <c r="AL335" i="1"/>
  <c r="BF308" i="1"/>
  <c r="U332" i="1"/>
  <c r="AL268" i="1"/>
  <c r="U250" i="1"/>
  <c r="CD334" i="1"/>
  <c r="T303" i="1"/>
  <c r="K250" i="5"/>
  <c r="L250" i="5" s="1"/>
  <c r="T250" i="1"/>
  <c r="AM335" i="1"/>
  <c r="AK322" i="1"/>
  <c r="V345" i="1"/>
  <c r="T311" i="1"/>
  <c r="AG258" i="1"/>
  <c r="AM247" i="1"/>
  <c r="CD295" i="1"/>
  <c r="V303" i="1"/>
  <c r="BG295" i="1"/>
  <c r="BP295" i="1" s="1" a="1"/>
  <c r="BP295" i="1" s="1"/>
  <c r="BF303" i="1"/>
  <c r="AM322" i="1"/>
  <c r="V314" i="1"/>
  <c r="BU295" i="1"/>
  <c r="BU273" i="1"/>
  <c r="AK247" i="1"/>
  <c r="AJ335" i="1"/>
  <c r="O258" i="5"/>
  <c r="P258" i="5" s="1"/>
  <c r="U305" i="1"/>
  <c r="AJ233" i="1"/>
  <c r="BF334" i="1"/>
  <c r="BU303" i="1"/>
  <c r="BG288" i="1"/>
  <c r="BP288" i="1" s="1" a="1"/>
  <c r="BP288" i="1" s="1"/>
  <c r="AJ247" i="1"/>
  <c r="AK308" i="1"/>
  <c r="CD307" i="1"/>
  <c r="O301" i="5"/>
  <c r="P301" i="5" s="1"/>
  <c r="BF307" i="1"/>
  <c r="U237" i="1"/>
  <c r="U254" i="1"/>
  <c r="U345" i="1"/>
  <c r="AJ268" i="1"/>
  <c r="W303" i="1"/>
  <c r="BF311" i="1"/>
  <c r="BG311" i="1" s="1"/>
  <c r="BP311" i="1" s="1" a="1"/>
  <c r="BP311" i="1" s="1"/>
  <c r="AM308" i="1"/>
  <c r="O335" i="5"/>
  <c r="P335" i="5" s="1"/>
  <c r="BG275" i="1"/>
  <c r="BP275" i="1" s="1" a="1"/>
  <c r="BP275" i="1" s="1"/>
  <c r="BG236" i="1"/>
  <c r="BP236" i="1" s="1" a="1"/>
  <c r="BP236" i="1" s="1"/>
  <c r="BG231" i="1"/>
  <c r="BP231" i="1" s="1" a="1"/>
  <c r="BP231" i="1" s="1"/>
  <c r="CD275" i="1"/>
  <c r="BF231" i="1"/>
  <c r="CD303" i="1"/>
  <c r="K237" i="5"/>
  <c r="BN124" i="3"/>
  <c r="BG339" i="1"/>
  <c r="BP339" i="1" s="1" a="1"/>
  <c r="BP339" i="1" s="1"/>
  <c r="BU323" i="1"/>
  <c r="BU243" i="1"/>
  <c r="CD269" i="1"/>
  <c r="AK298" i="1"/>
  <c r="BU296" i="3"/>
  <c r="BO290" i="3"/>
  <c r="BI290" i="3"/>
  <c r="BU290" i="3" s="1"/>
  <c r="BO292" i="3"/>
  <c r="BI292" i="3"/>
  <c r="BU292" i="3" s="1"/>
  <c r="BO266" i="3"/>
  <c r="BI266" i="3"/>
  <c r="BU266" i="3" s="1"/>
  <c r="BO267" i="3"/>
  <c r="BI267" i="3"/>
  <c r="BU267" i="3" s="1"/>
  <c r="BR268" i="3"/>
  <c r="BV268" i="3" s="1"/>
  <c r="BN268" i="3"/>
  <c r="J168" i="5"/>
  <c r="I168" i="5"/>
  <c r="H168" i="5"/>
  <c r="BR171" i="3"/>
  <c r="BV171" i="3" s="1"/>
  <c r="BN171" i="3"/>
  <c r="BR236" i="3"/>
  <c r="BV236" i="3" s="1"/>
  <c r="BN236" i="3"/>
  <c r="BR212" i="3"/>
  <c r="BV212" i="3" s="1"/>
  <c r="BN212" i="3"/>
  <c r="BL223" i="3"/>
  <c r="BO223" i="3"/>
  <c r="BR249" i="3"/>
  <c r="BV249" i="3"/>
  <c r="BR246" i="3"/>
  <c r="BV246" i="3"/>
  <c r="BR266" i="3"/>
  <c r="BV266" i="3"/>
  <c r="BN300" i="3"/>
  <c r="BR300" i="3"/>
  <c r="BV300" i="3" s="1"/>
  <c r="BN328" i="3"/>
  <c r="BR328" i="3"/>
  <c r="BV328" i="3" s="1"/>
  <c r="BN257" i="3"/>
  <c r="BR257" i="3"/>
  <c r="BV257" i="3" s="1"/>
  <c r="BN229" i="3"/>
  <c r="BR229" i="3"/>
  <c r="BV229" i="3" s="1"/>
  <c r="BN228" i="3"/>
  <c r="BR228" i="3"/>
  <c r="BV228" i="3" s="1"/>
  <c r="BT220" i="3"/>
  <c r="BO220" i="3"/>
  <c r="BL220" i="3"/>
  <c r="BN217" i="3"/>
  <c r="BR217" i="3"/>
  <c r="BV217" i="3" s="1"/>
  <c r="BT314" i="3"/>
  <c r="BO314" i="3"/>
  <c r="BR208" i="3"/>
  <c r="BV208" i="3" s="1"/>
  <c r="BN208" i="3"/>
  <c r="BN210" i="3"/>
  <c r="BR210" i="3"/>
  <c r="BV210" i="3" s="1"/>
  <c r="BT294" i="3"/>
  <c r="BO294" i="3"/>
  <c r="BR294" i="3"/>
  <c r="BV294" i="3"/>
  <c r="BV198" i="3"/>
  <c r="BR198" i="3"/>
  <c r="BN251" i="3"/>
  <c r="BR251" i="3"/>
  <c r="BV251" i="3" s="1"/>
  <c r="BR250" i="3"/>
  <c r="BV250" i="3" s="1"/>
  <c r="BN250" i="3"/>
  <c r="BR254" i="3"/>
  <c r="BV254" i="3" s="1"/>
  <c r="BN254" i="3"/>
  <c r="BR259" i="3"/>
  <c r="BV259" i="3" s="1"/>
  <c r="BN259" i="3"/>
  <c r="BR260" i="3"/>
  <c r="BV260" i="3" s="1"/>
  <c r="BN260" i="3"/>
  <c r="BR235" i="3"/>
  <c r="BV235" i="3" s="1"/>
  <c r="BN235" i="3"/>
  <c r="BN324" i="3"/>
  <c r="BR324" i="3"/>
  <c r="BV324" i="3" s="1"/>
  <c r="BV318" i="3"/>
  <c r="BR318" i="3"/>
  <c r="H124" i="5"/>
  <c r="J124" i="5"/>
  <c r="I124" i="5"/>
  <c r="BF105" i="1"/>
  <c r="BG105" i="1"/>
  <c r="BP105" i="1" s="1" a="1"/>
  <c r="BP105" i="1" s="1"/>
  <c r="CD105" i="1"/>
  <c r="BU105" i="1"/>
  <c r="BN168" i="3"/>
  <c r="BR168" i="3"/>
  <c r="BV168" i="3" s="1"/>
  <c r="J171" i="5"/>
  <c r="I171" i="5"/>
  <c r="H171" i="5"/>
  <c r="V171" i="5"/>
  <c r="T171" i="5"/>
  <c r="U171" i="5"/>
  <c r="BR234" i="3"/>
  <c r="BV234" i="3" s="1"/>
  <c r="BN234" i="3"/>
  <c r="BN308" i="3"/>
  <c r="BR308" i="3"/>
  <c r="BV308" i="3" s="1"/>
  <c r="BR295" i="3"/>
  <c r="BV295" i="3"/>
  <c r="BR264" i="3"/>
  <c r="BV264" i="3" s="1"/>
  <c r="BN264" i="3"/>
  <c r="BR213" i="3"/>
  <c r="BV213" i="3" s="1"/>
  <c r="BN213" i="3"/>
  <c r="BR297" i="3"/>
  <c r="BV297" i="3" s="1"/>
  <c r="BN297" i="3"/>
  <c r="BN306" i="3"/>
  <c r="BR306" i="3"/>
  <c r="BV306" i="3" s="1"/>
  <c r="BR199" i="3"/>
  <c r="BV199" i="3"/>
  <c r="BR280" i="3"/>
  <c r="BV280" i="3" s="1"/>
  <c r="BR307" i="3"/>
  <c r="BV307" i="3" s="1"/>
  <c r="BN307" i="3"/>
  <c r="BR276" i="3"/>
  <c r="BN276" i="3"/>
  <c r="BV276" i="3"/>
  <c r="BU277" i="3"/>
  <c r="BM277" i="3"/>
  <c r="BN218" i="3"/>
  <c r="BR218" i="3"/>
  <c r="BV218" i="3" s="1"/>
  <c r="BU294" i="3"/>
  <c r="BM294" i="3"/>
  <c r="BV195" i="3"/>
  <c r="BR195" i="3"/>
  <c r="BN253" i="3"/>
  <c r="BR253" i="3"/>
  <c r="BV253" i="3" s="1"/>
  <c r="BN230" i="3"/>
  <c r="BR230" i="3"/>
  <c r="BV230" i="3" s="1"/>
  <c r="BN237" i="3"/>
  <c r="BR237" i="3"/>
  <c r="BV237" i="3" s="1"/>
  <c r="BN301" i="3"/>
  <c r="BR301" i="3"/>
  <c r="BV301" i="3" s="1"/>
  <c r="BR322" i="3"/>
  <c r="BV322" i="3" s="1"/>
  <c r="BR313" i="3"/>
  <c r="BV313" i="3" s="1"/>
  <c r="BN330" i="3"/>
  <c r="BR330" i="3"/>
  <c r="BV330" i="3" s="1"/>
  <c r="BS272" i="3"/>
  <c r="BK272" i="3"/>
  <c r="BK271" i="3"/>
  <c r="BS271" i="3"/>
  <c r="AU271" i="3"/>
  <c r="BJ271" i="3"/>
  <c r="BR271" i="3" s="1"/>
  <c r="BV271" i="3" s="1"/>
  <c r="BS287" i="3"/>
  <c r="BK287" i="3"/>
  <c r="CA105" i="1"/>
  <c r="BK105" i="1"/>
  <c r="BZ105" i="1"/>
  <c r="AN105" i="1"/>
  <c r="T105" i="1"/>
  <c r="U105" i="1"/>
  <c r="G105" i="5"/>
  <c r="V105" i="1"/>
  <c r="W105" i="1"/>
  <c r="BK105" i="3"/>
  <c r="BS105" i="3"/>
  <c r="BN105" i="3"/>
  <c r="BR105" i="3"/>
  <c r="BV105" i="3" s="1"/>
  <c r="BL105" i="3"/>
  <c r="BO105" i="3"/>
  <c r="W314" i="1"/>
  <c r="AK240" i="1"/>
  <c r="U314" i="1"/>
  <c r="AM240" i="1"/>
  <c r="AK312" i="1"/>
  <c r="AM312" i="1"/>
  <c r="AL239" i="1"/>
  <c r="W237" i="1"/>
  <c r="T237" i="1"/>
  <c r="W282" i="1"/>
  <c r="T340" i="1"/>
  <c r="W340" i="1"/>
  <c r="U340" i="1"/>
  <c r="AL308" i="1"/>
  <c r="AL312" i="1"/>
  <c r="AM317" i="1"/>
  <c r="AL275" i="1"/>
  <c r="T254" i="1"/>
  <c r="AM268" i="1"/>
  <c r="BU339" i="1"/>
  <c r="BF281" i="1"/>
  <c r="BU233" i="1"/>
  <c r="AK275" i="1"/>
  <c r="AE302" i="1"/>
  <c r="AH302" i="1"/>
  <c r="AG302" i="1"/>
  <c r="AJ275" i="1"/>
  <c r="AJ240" i="1"/>
  <c r="BF296" i="1"/>
  <c r="AM239" i="1"/>
  <c r="AG334" i="1"/>
  <c r="AF334" i="1"/>
  <c r="T281" i="1"/>
  <c r="BU259" i="1"/>
  <c r="AZ307" i="1"/>
  <c r="BG315" i="1"/>
  <c r="BP315" i="1" s="1" a="1"/>
  <c r="BP315" i="1" s="1"/>
  <c r="AZ212" i="1"/>
  <c r="BU334" i="1"/>
  <c r="BU275" i="1"/>
  <c r="BU231" i="1"/>
  <c r="BG212" i="1"/>
  <c r="BP212" i="1" s="1" a="1"/>
  <c r="BP212" i="1" s="1"/>
  <c r="AJ248" i="1"/>
  <c r="BU315" i="1"/>
  <c r="BG250" i="1"/>
  <c r="BP250" i="1" s="1" a="1"/>
  <c r="BP250" i="1" s="1"/>
  <c r="BU271" i="1"/>
  <c r="CD233" i="1"/>
  <c r="BF243" i="1"/>
  <c r="BU255" i="1"/>
  <c r="BG239" i="1"/>
  <c r="BP239" i="1" s="1" a="1"/>
  <c r="BP239" i="1" s="1"/>
  <c r="BF329" i="1"/>
  <c r="BG329" i="1" s="1"/>
  <c r="BP329" i="1" s="1" a="1"/>
  <c r="BP329" i="1" s="1"/>
  <c r="BF239" i="1"/>
  <c r="V243" i="1"/>
  <c r="BU312" i="1"/>
  <c r="CD284" i="1"/>
  <c r="BF259" i="1"/>
  <c r="BG331" i="1"/>
  <c r="BP331" i="1" s="1" a="1"/>
  <c r="BP331" i="1" s="1"/>
  <c r="AL317" i="1"/>
  <c r="BG308" i="1"/>
  <c r="BP308" i="1" s="1" a="1"/>
  <c r="BP308" i="1" s="1"/>
  <c r="BU210" i="1"/>
  <c r="BG255" i="1"/>
  <c r="BP255" i="1" s="1" a="1"/>
  <c r="BP255" i="1" s="1"/>
  <c r="BG287" i="1"/>
  <c r="BP287" i="1" s="1" a="1"/>
  <c r="BP287" i="1" s="1"/>
  <c r="AZ331" i="1"/>
  <c r="BG259" i="1"/>
  <c r="BP259" i="1" s="1" a="1"/>
  <c r="BP259" i="1" s="1"/>
  <c r="BU234" i="1"/>
  <c r="CD283" i="1"/>
  <c r="AK317" i="1"/>
  <c r="CD293" i="1"/>
  <c r="BG293" i="1"/>
  <c r="BP293" i="1" s="1" a="1"/>
  <c r="BP293" i="1" s="1"/>
  <c r="BU284" i="1"/>
  <c r="BG284" i="1"/>
  <c r="BP284" i="1" s="1" a="1"/>
  <c r="BP284" i="1" s="1"/>
  <c r="W243" i="1"/>
  <c r="U243" i="1"/>
  <c r="BU331" i="1"/>
  <c r="BF230" i="1"/>
  <c r="BU236" i="1"/>
  <c r="AZ288" i="1"/>
  <c r="BU246" i="1"/>
  <c r="BU239" i="1"/>
  <c r="BF288" i="1"/>
  <c r="AZ255" i="1"/>
  <c r="AL316" i="1"/>
  <c r="AK316" i="1"/>
  <c r="BU345" i="1"/>
  <c r="AJ316" i="1"/>
  <c r="BF236" i="1"/>
  <c r="BG243" i="1"/>
  <c r="BP243" i="1" s="1" a="1"/>
  <c r="BP243" i="1" s="1"/>
  <c r="BW246" i="1"/>
  <c r="CD246" i="1"/>
  <c r="CD327" i="1"/>
  <c r="AZ230" i="1"/>
  <c r="AZ243" i="1"/>
  <c r="BU307" i="1"/>
  <c r="BG283" i="1"/>
  <c r="BP283" i="1" s="1" a="1"/>
  <c r="BP283" i="1" s="1"/>
  <c r="BG327" i="1"/>
  <c r="BP327" i="1" s="1" a="1"/>
  <c r="BP327" i="1" s="1"/>
  <c r="CD230" i="1"/>
  <c r="BG210" i="1"/>
  <c r="BP210" i="1" s="1" a="1"/>
  <c r="BP210" i="1" s="1"/>
  <c r="BF246" i="1"/>
  <c r="BG225" i="1"/>
  <c r="BP225" i="1" s="1" a="1"/>
  <c r="BP225" i="1" s="1"/>
  <c r="BU232" i="1"/>
  <c r="CD255" i="1"/>
  <c r="CD331" i="1"/>
  <c r="AZ284" i="1"/>
  <c r="AH311" i="1"/>
  <c r="AG311" i="1"/>
  <c r="AE311" i="1"/>
  <c r="BR311" i="1" s="1"/>
  <c r="AE335" i="1"/>
  <c r="AZ283" i="1"/>
  <c r="AL301" i="1"/>
  <c r="AK236" i="1"/>
  <c r="BG345" i="1"/>
  <c r="BP345" i="1" s="1" a="1"/>
  <c r="BP345" i="1" s="1"/>
  <c r="BU244" i="1"/>
  <c r="AZ244" i="1"/>
  <c r="CD244" i="1"/>
  <c r="V328" i="5"/>
  <c r="AF258" i="1"/>
  <c r="AG335" i="1"/>
  <c r="AE334" i="1"/>
  <c r="BF287" i="1"/>
  <c r="BG234" i="1"/>
  <c r="BP234" i="1" s="1" a="1"/>
  <c r="BP234" i="1" s="1"/>
  <c r="BF310" i="1"/>
  <c r="BG310" i="1"/>
  <c r="BP310" i="1" s="1" a="1"/>
  <c r="BP310" i="1" s="1"/>
  <c r="BF345" i="1"/>
  <c r="BF305" i="1"/>
  <c r="BG253" i="1"/>
  <c r="BP253" i="1" s="1" a="1"/>
  <c r="BP253" i="1" s="1"/>
  <c r="AM236" i="1"/>
  <c r="BF253" i="1"/>
  <c r="AJ236" i="1"/>
  <c r="BG254" i="1"/>
  <c r="BP254" i="1" s="1" a="1"/>
  <c r="BP254" i="1" s="1"/>
  <c r="AM301" i="1"/>
  <c r="CD254" i="1"/>
  <c r="H230" i="5"/>
  <c r="BG305" i="1"/>
  <c r="BP305" i="1" s="1" a="1"/>
  <c r="BP305" i="1" s="1"/>
  <c r="AK284" i="1"/>
  <c r="AL284" i="1"/>
  <c r="BU325" i="1"/>
  <c r="J230" i="5"/>
  <c r="AM284" i="1"/>
  <c r="BU292" i="1"/>
  <c r="BU254" i="1"/>
  <c r="BG244" i="1"/>
  <c r="BP244" i="1" s="1" a="1"/>
  <c r="BP244" i="1" s="1"/>
  <c r="AZ254" i="1"/>
  <c r="BF272" i="1"/>
  <c r="AJ301" i="1"/>
  <c r="BG292" i="1"/>
  <c r="BP292" i="1" s="1" a="1"/>
  <c r="BP292" i="1" s="1"/>
  <c r="CD240" i="1"/>
  <c r="BF312" i="1"/>
  <c r="BG312" i="1" s="1"/>
  <c r="BP312" i="1" s="1" a="1"/>
  <c r="BP312" i="1" s="1"/>
  <c r="BG325" i="1"/>
  <c r="BP325" i="1" s="1" a="1"/>
  <c r="BP325" i="1" s="1"/>
  <c r="CD305" i="1"/>
  <c r="BF292" i="1"/>
  <c r="BF299" i="1"/>
  <c r="BG299" i="1" s="1"/>
  <c r="BP299" i="1" s="1" a="1"/>
  <c r="BP299" i="1" s="1"/>
  <c r="CD292" i="1"/>
  <c r="BU299" i="1"/>
  <c r="BU272" i="1"/>
  <c r="BU253" i="1"/>
  <c r="AZ272" i="1"/>
  <c r="BU305" i="1"/>
  <c r="CD272" i="1"/>
  <c r="BU310" i="1"/>
  <c r="BU283" i="1"/>
  <c r="CD296" i="1"/>
  <c r="BU240" i="1"/>
  <c r="CD310" i="1"/>
  <c r="CD325" i="1"/>
  <c r="BF225" i="1"/>
  <c r="AZ246" i="1"/>
  <c r="BF234" i="1"/>
  <c r="BF240" i="1"/>
  <c r="BF232" i="1"/>
  <c r="BF233" i="1"/>
  <c r="CD232" i="1"/>
  <c r="J344" i="5"/>
  <c r="H344" i="5"/>
  <c r="BF313" i="1"/>
  <c r="CD287" i="1"/>
  <c r="BF210" i="1"/>
  <c r="BU341" i="1"/>
  <c r="V243" i="5"/>
  <c r="AH258" i="1"/>
  <c r="AH235" i="1"/>
  <c r="AE235" i="1"/>
  <c r="AG235" i="1"/>
  <c r="AE301" i="1"/>
  <c r="AH325" i="1"/>
  <c r="AG325" i="1"/>
  <c r="BC228" i="3"/>
  <c r="BU228" i="3"/>
  <c r="AZ272" i="3"/>
  <c r="BI272" i="3"/>
  <c r="BM272" i="3"/>
  <c r="BQ272" i="3"/>
  <c r="BU272" i="3"/>
  <c r="BC272" i="3"/>
  <c r="BQ271" i="3"/>
  <c r="AZ271" i="3"/>
  <c r="BI228" i="3"/>
  <c r="BM228" i="3"/>
  <c r="AZ228" i="3"/>
  <c r="BQ228" i="3"/>
  <c r="BU271" i="3"/>
  <c r="BC271" i="3"/>
  <c r="BI271" i="3"/>
  <c r="BM271" i="3"/>
  <c r="AF301" i="1"/>
  <c r="AH301" i="1"/>
  <c r="AB250" i="1"/>
  <c r="Y250" i="1"/>
  <c r="Z250" i="1"/>
  <c r="AZ341" i="1"/>
  <c r="BG341" i="1"/>
  <c r="BP341" i="1" s="1" a="1"/>
  <c r="BP341" i="1" s="1"/>
  <c r="CD341" i="1"/>
  <c r="BN249" i="3"/>
  <c r="AX249" i="3"/>
  <c r="BN197" i="3"/>
  <c r="AX197" i="3"/>
  <c r="AX295" i="3"/>
  <c r="BN295" i="3"/>
  <c r="AX207" i="3"/>
  <c r="BN207" i="3"/>
  <c r="BN198" i="3"/>
  <c r="AX198" i="3"/>
  <c r="AX317" i="3"/>
  <c r="BN317" i="3"/>
  <c r="BN290" i="3"/>
  <c r="AX290" i="3"/>
  <c r="BN209" i="3"/>
  <c r="AX209" i="3"/>
  <c r="AX199" i="3"/>
  <c r="BN199" i="3"/>
  <c r="BN266" i="3"/>
  <c r="AX266" i="3"/>
  <c r="AX315" i="3"/>
  <c r="BN315" i="3"/>
  <c r="AX291" i="3"/>
  <c r="BN291" i="3"/>
  <c r="AX314" i="3"/>
  <c r="BN314" i="3"/>
  <c r="BN246" i="3"/>
  <c r="AX246" i="3"/>
  <c r="AX296" i="3"/>
  <c r="BN296" i="3"/>
  <c r="BN267" i="3"/>
  <c r="AX267" i="3"/>
  <c r="AX263" i="3"/>
  <c r="BN263" i="3"/>
  <c r="BN293" i="3"/>
  <c r="AX293" i="3"/>
  <c r="AD310" i="1"/>
  <c r="O310" i="5" s="1"/>
  <c r="Q310" i="5" s="1"/>
  <c r="AX247" i="3"/>
  <c r="BN247" i="3"/>
  <c r="BN318" i="3"/>
  <c r="AX318" i="3"/>
  <c r="AX292" i="3"/>
  <c r="BN292" i="3"/>
  <c r="AX285" i="3"/>
  <c r="BN285" i="3"/>
  <c r="BN294" i="3"/>
  <c r="AX294" i="3"/>
  <c r="AX288" i="3"/>
  <c r="AD321" i="1" s="1"/>
  <c r="BN288" i="3"/>
  <c r="S316" i="5"/>
  <c r="T316" i="5" s="1"/>
  <c r="Z272" i="5"/>
  <c r="Z344" i="5"/>
  <c r="S333" i="5"/>
  <c r="T333" i="5" s="1"/>
  <c r="U328" i="5"/>
  <c r="S312" i="5"/>
  <c r="G323" i="5"/>
  <c r="G303" i="5"/>
  <c r="Z343" i="5"/>
  <c r="AA343" i="5"/>
  <c r="H341" i="5"/>
  <c r="I341" i="5"/>
  <c r="I250" i="5"/>
  <c r="H250" i="5"/>
  <c r="AA230" i="5"/>
  <c r="Z230" i="5"/>
  <c r="S339" i="5"/>
  <c r="U339" i="5" s="1"/>
  <c r="S239" i="5"/>
  <c r="T239" i="5" s="1"/>
  <c r="S306" i="5"/>
  <c r="AA279" i="5"/>
  <c r="Z279" i="5"/>
  <c r="U335" i="5"/>
  <c r="T298" i="5"/>
  <c r="G311" i="5"/>
  <c r="S233" i="5"/>
  <c r="S240" i="5"/>
  <c r="U240" i="5" s="1"/>
  <c r="S232" i="5"/>
  <c r="T232" i="5" s="1"/>
  <c r="G281" i="5"/>
  <c r="G305" i="5"/>
  <c r="H305" i="5" s="1"/>
  <c r="S322" i="5"/>
  <c r="S236" i="5"/>
  <c r="S275" i="5"/>
  <c r="S280" i="5"/>
  <c r="T280" i="5" s="1"/>
  <c r="S284" i="5"/>
  <c r="S310" i="5"/>
  <c r="S317" i="5"/>
  <c r="S274" i="5"/>
  <c r="S318" i="5"/>
  <c r="U318" i="5" s="1"/>
  <c r="AA278" i="5"/>
  <c r="G314" i="5"/>
  <c r="S308" i="5"/>
  <c r="K345" i="5"/>
  <c r="L345" i="5" s="1"/>
  <c r="S249" i="5"/>
  <c r="S326" i="5"/>
  <c r="S241" i="5"/>
  <c r="K304" i="5"/>
  <c r="M304" i="5" s="1"/>
  <c r="K254" i="5"/>
  <c r="M254" i="5" s="1"/>
  <c r="K268" i="5"/>
  <c r="L268" i="5" s="1"/>
  <c r="S268" i="5"/>
  <c r="S247" i="5"/>
  <c r="S294" i="5"/>
  <c r="S248" i="5"/>
  <c r="G328" i="5"/>
  <c r="S325" i="5"/>
  <c r="AA168" i="5"/>
  <c r="Z168" i="5"/>
  <c r="AA171" i="5"/>
  <c r="Z171" i="5"/>
  <c r="J290" i="5"/>
  <c r="BG313" i="1"/>
  <c r="BP313" i="1" s="1" a="1"/>
  <c r="BP313" i="1" s="1"/>
  <c r="CD319" i="1"/>
  <c r="BF319" i="1"/>
  <c r="AK232" i="1"/>
  <c r="BU313" i="1"/>
  <c r="I326" i="5"/>
  <c r="H287" i="5"/>
  <c r="AL232" i="1"/>
  <c r="I299" i="5"/>
  <c r="I242" i="5"/>
  <c r="H299" i="5"/>
  <c r="H294" i="5"/>
  <c r="J287" i="5"/>
  <c r="I268" i="5"/>
  <c r="H277" i="5"/>
  <c r="AM232" i="1"/>
  <c r="N308" i="5"/>
  <c r="BU346" i="1"/>
  <c r="I336" i="5"/>
  <c r="CD291" i="1"/>
  <c r="AF346" i="1"/>
  <c r="O346" i="5"/>
  <c r="P346" i="5" s="1"/>
  <c r="BU319" i="1"/>
  <c r="Z336" i="1"/>
  <c r="H268" i="5"/>
  <c r="Y315" i="1"/>
  <c r="T271" i="5"/>
  <c r="I236" i="5"/>
  <c r="Y283" i="1"/>
  <c r="I225" i="5"/>
  <c r="I259" i="5"/>
  <c r="BG251" i="1"/>
  <c r="BP251" i="1" s="1" a="1"/>
  <c r="BP251" i="1" s="1"/>
  <c r="L233" i="5"/>
  <c r="V327" i="5"/>
  <c r="H259" i="5"/>
  <c r="BF251" i="1"/>
  <c r="U271" i="5"/>
  <c r="AE346" i="1"/>
  <c r="BR346" i="1" s="1"/>
  <c r="V231" i="5"/>
  <c r="V331" i="5"/>
  <c r="N324" i="5"/>
  <c r="V264" i="5"/>
  <c r="U243" i="5"/>
  <c r="M324" i="5"/>
  <c r="J326" i="5"/>
  <c r="BF321" i="1"/>
  <c r="BG321" i="1" s="1"/>
  <c r="BP321" i="1" s="1" a="1"/>
  <c r="BP321" i="1" s="1"/>
  <c r="AH346" i="1"/>
  <c r="J225" i="5"/>
  <c r="U327" i="5"/>
  <c r="J294" i="5"/>
  <c r="BU291" i="1"/>
  <c r="AJ232" i="1"/>
  <c r="U331" i="5"/>
  <c r="I277" i="5"/>
  <c r="H242" i="5"/>
  <c r="BU343" i="1"/>
  <c r="BG319" i="1"/>
  <c r="BP319" i="1" s="1" a="1"/>
  <c r="BP319" i="1" s="1"/>
  <c r="M308" i="5"/>
  <c r="I247" i="5"/>
  <c r="J236" i="5"/>
  <c r="J336" i="5"/>
  <c r="T258" i="5"/>
  <c r="BU238" i="1"/>
  <c r="V258" i="5"/>
  <c r="H251" i="5"/>
  <c r="BU321" i="1"/>
  <c r="J251" i="5"/>
  <c r="N233" i="5"/>
  <c r="BR325" i="1"/>
  <c r="BR330" i="1"/>
  <c r="I290" i="5"/>
  <c r="U264" i="5"/>
  <c r="H247" i="5"/>
  <c r="T231" i="5"/>
  <c r="BU251" i="1"/>
  <c r="J210" i="5"/>
  <c r="H210" i="5"/>
  <c r="I210" i="5"/>
  <c r="BU332" i="1"/>
  <c r="AZ332" i="1"/>
  <c r="H331" i="5"/>
  <c r="J331" i="5"/>
  <c r="I331" i="5"/>
  <c r="I330" i="5"/>
  <c r="H330" i="5"/>
  <c r="J330" i="5"/>
  <c r="J322" i="5"/>
  <c r="I322" i="5"/>
  <c r="H322" i="5"/>
  <c r="H315" i="5"/>
  <c r="J315" i="5"/>
  <c r="I315" i="5"/>
  <c r="J312" i="5"/>
  <c r="I312" i="5"/>
  <c r="H312" i="5"/>
  <c r="N311" i="5"/>
  <c r="M311" i="5"/>
  <c r="L311" i="5"/>
  <c r="H298" i="5"/>
  <c r="J298" i="5"/>
  <c r="I298" i="5"/>
  <c r="U297" i="5"/>
  <c r="V297" i="5"/>
  <c r="T297" i="5"/>
  <c r="H296" i="5"/>
  <c r="J296" i="5"/>
  <c r="I296" i="5"/>
  <c r="N291" i="5"/>
  <c r="M291" i="5"/>
  <c r="L291" i="5"/>
  <c r="H291" i="5"/>
  <c r="J291" i="5"/>
  <c r="I291" i="5"/>
  <c r="N290" i="5"/>
  <c r="L290" i="5"/>
  <c r="M290" i="5"/>
  <c r="T289" i="5"/>
  <c r="V289" i="5"/>
  <c r="U289" i="5"/>
  <c r="T287" i="5"/>
  <c r="U287" i="5"/>
  <c r="V287" i="5"/>
  <c r="T283" i="5"/>
  <c r="V283" i="5"/>
  <c r="U283" i="5"/>
  <c r="T281" i="5"/>
  <c r="V281" i="5"/>
  <c r="U281" i="5"/>
  <c r="M280" i="5"/>
  <c r="L280" i="5"/>
  <c r="N280" i="5"/>
  <c r="H279" i="5"/>
  <c r="J279" i="5"/>
  <c r="I279" i="5"/>
  <c r="BG276" i="1"/>
  <c r="BP276" i="1" s="1" a="1"/>
  <c r="BP276" i="1" s="1"/>
  <c r="BU276" i="1"/>
  <c r="BF276" i="1"/>
  <c r="CD276" i="1"/>
  <c r="AZ276" i="1"/>
  <c r="N274" i="5"/>
  <c r="M274" i="5"/>
  <c r="L274" i="5"/>
  <c r="BF270" i="1"/>
  <c r="BG270" i="1" s="1"/>
  <c r="BP270" i="1" s="1" a="1"/>
  <c r="BP270" i="1" s="1"/>
  <c r="BU270" i="1"/>
  <c r="CD270" i="1"/>
  <c r="N270" i="5"/>
  <c r="M270" i="5"/>
  <c r="L270" i="5"/>
  <c r="T269" i="5"/>
  <c r="V269" i="5"/>
  <c r="U269" i="5"/>
  <c r="J267" i="5"/>
  <c r="I267" i="5"/>
  <c r="H267" i="5"/>
  <c r="J266" i="5"/>
  <c r="I266" i="5"/>
  <c r="H266" i="5"/>
  <c r="H265" i="5"/>
  <c r="J265" i="5"/>
  <c r="I265" i="5"/>
  <c r="N264" i="5"/>
  <c r="M264" i="5"/>
  <c r="L264" i="5"/>
  <c r="I263" i="5"/>
  <c r="H263" i="5"/>
  <c r="J263" i="5"/>
  <c r="M260" i="5"/>
  <c r="L260" i="5"/>
  <c r="N260" i="5"/>
  <c r="H257" i="5"/>
  <c r="I257" i="5"/>
  <c r="J257" i="5"/>
  <c r="H256" i="5"/>
  <c r="J256" i="5"/>
  <c r="I256" i="5"/>
  <c r="J255" i="5"/>
  <c r="I255" i="5"/>
  <c r="H255" i="5"/>
  <c r="H252" i="5"/>
  <c r="J252" i="5"/>
  <c r="I252" i="5"/>
  <c r="N248" i="5"/>
  <c r="L248" i="5"/>
  <c r="M248" i="5"/>
  <c r="I246" i="5"/>
  <c r="J246" i="5"/>
  <c r="H246" i="5"/>
  <c r="V245" i="5"/>
  <c r="U245" i="5"/>
  <c r="T245" i="5"/>
  <c r="I245" i="5"/>
  <c r="H245" i="5"/>
  <c r="J245" i="5"/>
  <c r="H240" i="5"/>
  <c r="J240" i="5"/>
  <c r="I240" i="5"/>
  <c r="J239" i="5"/>
  <c r="I239" i="5"/>
  <c r="H239" i="5"/>
  <c r="I238" i="5"/>
  <c r="H238" i="5"/>
  <c r="J238" i="5"/>
  <c r="J235" i="5"/>
  <c r="I235" i="5"/>
  <c r="H235" i="5"/>
  <c r="H234" i="5"/>
  <c r="I234" i="5"/>
  <c r="J234" i="5"/>
  <c r="J229" i="5"/>
  <c r="I229" i="5"/>
  <c r="H229" i="5"/>
  <c r="T346" i="5"/>
  <c r="V346" i="5"/>
  <c r="U346" i="5"/>
  <c r="BF330" i="1"/>
  <c r="BG330" i="1"/>
  <c r="BP330" i="1" s="1" a="1"/>
  <c r="BP330" i="1" s="1"/>
  <c r="CD330" i="1"/>
  <c r="BU330" i="1"/>
  <c r="CD264" i="1"/>
  <c r="BF264" i="1"/>
  <c r="BG264" i="1"/>
  <c r="BP264" i="1" s="1" a="1"/>
  <c r="BP264" i="1" s="1"/>
  <c r="BU264" i="1"/>
  <c r="BF262" i="1"/>
  <c r="BU262" i="1"/>
  <c r="CD262" i="1"/>
  <c r="BG262" i="1"/>
  <c r="BP262" i="1" s="1" a="1"/>
  <c r="BP262" i="1" s="1"/>
  <c r="BG291" i="1"/>
  <c r="BP291" i="1" s="1" a="1"/>
  <c r="BP291" i="1" s="1"/>
  <c r="AZ291" i="1"/>
  <c r="CD304" i="1"/>
  <c r="BG304" i="1"/>
  <c r="BP304" i="1" s="1" a="1"/>
  <c r="BP304" i="1" s="1"/>
  <c r="BF304" i="1"/>
  <c r="BU304" i="1"/>
  <c r="AZ304" i="1"/>
  <c r="BG301" i="1"/>
  <c r="BP301" i="1" s="1" a="1"/>
  <c r="BP301" i="1" s="1"/>
  <c r="BF301" i="1"/>
  <c r="CD301" i="1"/>
  <c r="BU301" i="1"/>
  <c r="BU337" i="1"/>
  <c r="BG337" i="1"/>
  <c r="BP337" i="1" s="1" a="1"/>
  <c r="BP337" i="1" s="1"/>
  <c r="BF337" i="1"/>
  <c r="CD337" i="1"/>
  <c r="AZ337" i="1"/>
  <c r="BW238" i="1"/>
  <c r="CD238" i="1"/>
  <c r="BF238" i="1"/>
  <c r="BG238" i="1"/>
  <c r="BP238" i="1" s="1" a="1"/>
  <c r="BP238" i="1" s="1"/>
  <c r="AZ238" i="1"/>
  <c r="H261" i="5"/>
  <c r="J261" i="5"/>
  <c r="I261" i="5"/>
  <c r="BU314" i="1"/>
  <c r="BF314" i="1"/>
  <c r="BG314" i="1"/>
  <c r="BP314" i="1" s="1" a="1"/>
  <c r="BP314" i="1" s="1"/>
  <c r="CD314" i="1"/>
  <c r="AZ314" i="1"/>
  <c r="BF237" i="1"/>
  <c r="BG237" i="1"/>
  <c r="BP237" i="1" s="1" a="1"/>
  <c r="BP237" i="1" s="1"/>
  <c r="CD237" i="1"/>
  <c r="BU237" i="1"/>
  <c r="AZ237" i="1"/>
  <c r="CD316" i="1"/>
  <c r="BG316" i="1"/>
  <c r="BP316" i="1" s="1" a="1"/>
  <c r="BP316" i="1" s="1"/>
  <c r="BF316" i="1"/>
  <c r="BU316" i="1"/>
  <c r="BF256" i="1"/>
  <c r="BG256" i="1"/>
  <c r="BP256" i="1" s="1" a="1"/>
  <c r="BP256" i="1" s="1"/>
  <c r="BU256" i="1"/>
  <c r="CD256" i="1"/>
  <c r="BG322" i="1"/>
  <c r="BP322" i="1" s="1" a="1"/>
  <c r="BP322" i="1" s="1"/>
  <c r="CD322" i="1"/>
  <c r="BU322" i="1"/>
  <c r="BF322" i="1"/>
  <c r="BU266" i="1"/>
  <c r="BG266" i="1"/>
  <c r="BP266" i="1" s="1" a="1"/>
  <c r="BP266" i="1" s="1"/>
  <c r="CD266" i="1"/>
  <c r="BF266" i="1"/>
  <c r="BF219" i="1"/>
  <c r="CD219" i="1"/>
  <c r="BU219" i="1"/>
  <c r="BG219" i="1"/>
  <c r="BP219" i="1" s="1" a="1"/>
  <c r="BP219" i="1" s="1"/>
  <c r="BG302" i="1"/>
  <c r="BP302" i="1" s="1" a="1"/>
  <c r="BP302" i="1" s="1"/>
  <c r="CD302" i="1"/>
  <c r="BF302" i="1"/>
  <c r="BU302" i="1"/>
  <c r="BG265" i="1"/>
  <c r="BP265" i="1" s="1" a="1"/>
  <c r="BP265" i="1" s="1"/>
  <c r="CD265" i="1"/>
  <c r="BU265" i="1"/>
  <c r="BF265" i="1"/>
  <c r="BF252" i="1"/>
  <c r="BU252" i="1"/>
  <c r="BG252" i="1"/>
  <c r="BP252" i="1" s="1" a="1"/>
  <c r="BP252" i="1" s="1"/>
  <c r="CD252" i="1"/>
  <c r="CD297" i="1"/>
  <c r="BG297" i="1"/>
  <c r="BP297" i="1" s="1" a="1"/>
  <c r="BP297" i="1" s="1"/>
  <c r="BF297" i="1"/>
  <c r="BU297" i="1"/>
  <c r="AZ297" i="1"/>
  <c r="BG261" i="1"/>
  <c r="BP261" i="1" s="1" a="1"/>
  <c r="BP261" i="1" s="1"/>
  <c r="BU261" i="1"/>
  <c r="BF261" i="1"/>
  <c r="CD261" i="1"/>
  <c r="AZ261" i="1"/>
  <c r="CD248" i="1"/>
  <c r="BU248" i="1"/>
  <c r="BF248" i="1"/>
  <c r="BG248" i="1" s="1"/>
  <c r="BP248" i="1" s="1" a="1"/>
  <c r="BP248" i="1" s="1"/>
  <c r="CD282" i="1"/>
  <c r="BU282" i="1"/>
  <c r="BF282" i="1"/>
  <c r="BG282" i="1"/>
  <c r="BP282" i="1" s="1" a="1"/>
  <c r="BP282" i="1" s="1"/>
  <c r="AZ282" i="1"/>
  <c r="BF336" i="1"/>
  <c r="BU336" i="1"/>
  <c r="BG336" i="1"/>
  <c r="BP336" i="1" s="1" a="1"/>
  <c r="BP336" i="1" s="1"/>
  <c r="CD336" i="1"/>
  <c r="AZ336" i="1"/>
  <c r="CD260" i="1"/>
  <c r="BU260" i="1"/>
  <c r="BF260" i="1"/>
  <c r="BG260" i="1" s="1"/>
  <c r="BP260" i="1" s="1" a="1"/>
  <c r="BP260" i="1" s="1"/>
  <c r="CD257" i="1"/>
  <c r="BF257" i="1"/>
  <c r="BU257" i="1"/>
  <c r="BG257" i="1"/>
  <c r="BP257" i="1" s="1" a="1"/>
  <c r="BP257" i="1" s="1"/>
  <c r="BF335" i="1"/>
  <c r="BG335" i="1"/>
  <c r="BP335" i="1" s="1" a="1"/>
  <c r="BP335" i="1" s="1"/>
  <c r="CD335" i="1"/>
  <c r="BU335" i="1"/>
  <c r="AZ335" i="1"/>
  <c r="BG344" i="1"/>
  <c r="BP344" i="1" s="1" a="1"/>
  <c r="BP344" i="1" s="1"/>
  <c r="BU344" i="1"/>
  <c r="CD344" i="1"/>
  <c r="BF344" i="1"/>
  <c r="BF263" i="1"/>
  <c r="CD263" i="1"/>
  <c r="BG263" i="1"/>
  <c r="BP263" i="1" s="1" a="1"/>
  <c r="BP263" i="1" s="1"/>
  <c r="BU263" i="1"/>
  <c r="BG340" i="1"/>
  <c r="BP340" i="1" s="1" a="1"/>
  <c r="BP340" i="1" s="1"/>
  <c r="BU340" i="1"/>
  <c r="CD340" i="1"/>
  <c r="BF340" i="1"/>
  <c r="CD242" i="1"/>
  <c r="BU242" i="1"/>
  <c r="BF242" i="1"/>
  <c r="BG242" i="1" s="1"/>
  <c r="BP242" i="1" s="1" a="1"/>
  <c r="BP242" i="1" s="1"/>
  <c r="BU286" i="1"/>
  <c r="BF286" i="1"/>
  <c r="BG286" i="1" s="1"/>
  <c r="BP286" i="1" s="1" a="1"/>
  <c r="BP286" i="1" s="1"/>
  <c r="CD286" i="1"/>
  <c r="BF247" i="1"/>
  <c r="BG247" i="1"/>
  <c r="BP247" i="1" s="1" a="1"/>
  <c r="BP247" i="1" s="1"/>
  <c r="CD247" i="1"/>
  <c r="BU247" i="1"/>
  <c r="BU318" i="1"/>
  <c r="BG318" i="1"/>
  <c r="BP318" i="1" s="1" a="1"/>
  <c r="BP318" i="1" s="1"/>
  <c r="CD318" i="1"/>
  <c r="BF318" i="1"/>
  <c r="BF306" i="1"/>
  <c r="BG306" i="1"/>
  <c r="BP306" i="1" s="1" a="1"/>
  <c r="BP306" i="1" s="1"/>
  <c r="BU306" i="1"/>
  <c r="CD306" i="1"/>
  <c r="BG280" i="1"/>
  <c r="BP280" i="1" s="1" a="1"/>
  <c r="BP280" i="1" s="1"/>
  <c r="BF280" i="1"/>
  <c r="BU280" i="1"/>
  <c r="CD280" i="1"/>
  <c r="BU290" i="1"/>
  <c r="BW290" i="1"/>
  <c r="BF290" i="1"/>
  <c r="BG290" i="1"/>
  <c r="BP290" i="1" s="1" a="1"/>
  <c r="BP290" i="1" s="1"/>
  <c r="CD290" i="1"/>
  <c r="BG343" i="1"/>
  <c r="BP343" i="1" s="1" a="1"/>
  <c r="BP343" i="1" s="1"/>
  <c r="CD343" i="1"/>
  <c r="BG245" i="1"/>
  <c r="BP245" i="1" s="1" a="1"/>
  <c r="BP245" i="1" s="1"/>
  <c r="BU245" i="1"/>
  <c r="CD245" i="1"/>
  <c r="BF245" i="1"/>
  <c r="BG342" i="1"/>
  <c r="BP342" i="1" s="1" a="1"/>
  <c r="BP342" i="1" s="1"/>
  <c r="CD342" i="1"/>
  <c r="BU342" i="1"/>
  <c r="BF342" i="1"/>
  <c r="CD328" i="1"/>
  <c r="BF328" i="1"/>
  <c r="BU328" i="1"/>
  <c r="BG328" i="1"/>
  <c r="BP328" i="1" s="1" a="1"/>
  <c r="BP328" i="1" s="1"/>
  <c r="AZ328" i="1"/>
  <c r="BU249" i="1"/>
  <c r="BF249" i="1"/>
  <c r="CD249" i="1"/>
  <c r="BG249" i="1"/>
  <c r="BP249" i="1" s="1" a="1"/>
  <c r="BP249" i="1" s="1"/>
  <c r="AZ249" i="1"/>
  <c r="BU320" i="1"/>
  <c r="BF320" i="1"/>
  <c r="BG320" i="1"/>
  <c r="BP320" i="1" s="1" a="1"/>
  <c r="BP320" i="1" s="1"/>
  <c r="CD320" i="1"/>
  <c r="AZ320" i="1"/>
  <c r="BU294" i="1"/>
  <c r="CD294" i="1"/>
  <c r="BF294" i="1"/>
  <c r="BG294" i="1"/>
  <c r="BP294" i="1" s="1" a="1"/>
  <c r="BP294" i="1" s="1"/>
  <c r="BF326" i="1"/>
  <c r="BU326" i="1"/>
  <c r="CD326" i="1"/>
  <c r="BG326" i="1"/>
  <c r="BP326" i="1" s="1" a="1"/>
  <c r="BP326" i="1" s="1"/>
  <c r="AZ326" i="1"/>
  <c r="CD241" i="1"/>
  <c r="BF241" i="1"/>
  <c r="BU241" i="1"/>
  <c r="BG241" i="1"/>
  <c r="BP241" i="1" s="1" a="1"/>
  <c r="BP241" i="1" s="1"/>
  <c r="CD274" i="1"/>
  <c r="BF274" i="1"/>
  <c r="BG274" i="1"/>
  <c r="BP274" i="1" s="1" a="1"/>
  <c r="BP274" i="1" s="1"/>
  <c r="BU274" i="1"/>
  <c r="BG285" i="1"/>
  <c r="BP285" i="1" s="1" a="1"/>
  <c r="BP285" i="1" s="1"/>
  <c r="CD285" i="1"/>
  <c r="BF285" i="1"/>
  <c r="BU285" i="1"/>
  <c r="AZ285" i="1"/>
  <c r="BF211" i="1"/>
  <c r="BU211" i="1"/>
  <c r="BG211" i="1"/>
  <c r="BP211" i="1" s="1" a="1"/>
  <c r="BP211" i="1" s="1"/>
  <c r="CD211" i="1"/>
  <c r="AZ211" i="1"/>
  <c r="CD346" i="1"/>
  <c r="BF346" i="1"/>
  <c r="BG346" i="1"/>
  <c r="BP346" i="1" s="1" a="1"/>
  <c r="BP346" i="1" s="1"/>
  <c r="BF268" i="1"/>
  <c r="BG268" i="1"/>
  <c r="BP268" i="1" s="1" a="1"/>
  <c r="BP268" i="1" s="1"/>
  <c r="CD268" i="1"/>
  <c r="BU268" i="1"/>
  <c r="V345" i="5"/>
  <c r="U345" i="5"/>
  <c r="T345" i="5"/>
  <c r="H343" i="5"/>
  <c r="J343" i="5"/>
  <c r="I343" i="5"/>
  <c r="J342" i="5"/>
  <c r="H342" i="5"/>
  <c r="I342" i="5"/>
  <c r="V342" i="5"/>
  <c r="U342" i="5"/>
  <c r="T342" i="5"/>
  <c r="V341" i="5"/>
  <c r="U341" i="5"/>
  <c r="T341" i="5"/>
  <c r="U340" i="5"/>
  <c r="T340" i="5"/>
  <c r="V340" i="5"/>
  <c r="H339" i="5"/>
  <c r="J339" i="5"/>
  <c r="I339" i="5"/>
  <c r="N339" i="5"/>
  <c r="M339" i="5"/>
  <c r="L339" i="5"/>
  <c r="I338" i="5"/>
  <c r="J338" i="5"/>
  <c r="H338" i="5"/>
  <c r="V338" i="5"/>
  <c r="U338" i="5"/>
  <c r="T338" i="5"/>
  <c r="J337" i="5"/>
  <c r="H337" i="5"/>
  <c r="I337" i="5"/>
  <c r="V337" i="5"/>
  <c r="T337" i="5"/>
  <c r="J335" i="5"/>
  <c r="I335" i="5"/>
  <c r="H335" i="5"/>
  <c r="N334" i="5"/>
  <c r="M334" i="5"/>
  <c r="L334" i="5"/>
  <c r="J334" i="5"/>
  <c r="I334" i="5"/>
  <c r="H334" i="5"/>
  <c r="J333" i="5"/>
  <c r="H333" i="5"/>
  <c r="I333" i="5"/>
  <c r="T332" i="5"/>
  <c r="V332" i="5"/>
  <c r="U332" i="5"/>
  <c r="BF332" i="1"/>
  <c r="BG332" i="1"/>
  <c r="BP332" i="1" s="1" a="1"/>
  <c r="BP332" i="1" s="1"/>
  <c r="CD332" i="1"/>
  <c r="N330" i="5"/>
  <c r="M330" i="5"/>
  <c r="L330" i="5"/>
  <c r="V330" i="5"/>
  <c r="U330" i="5"/>
  <c r="T330" i="5"/>
  <c r="V329" i="5"/>
  <c r="T329" i="5"/>
  <c r="U329" i="5"/>
  <c r="L329" i="5"/>
  <c r="N329" i="5"/>
  <c r="J329" i="5"/>
  <c r="H329" i="5"/>
  <c r="I329" i="5"/>
  <c r="J325" i="5"/>
  <c r="H325" i="5"/>
  <c r="I325" i="5"/>
  <c r="L325" i="5"/>
  <c r="N325" i="5"/>
  <c r="M325" i="5"/>
  <c r="N322" i="5"/>
  <c r="M322" i="5"/>
  <c r="H321" i="5"/>
  <c r="I321" i="5"/>
  <c r="J321" i="5"/>
  <c r="H320" i="5"/>
  <c r="J320" i="5"/>
  <c r="I320" i="5"/>
  <c r="I319" i="5"/>
  <c r="H319" i="5"/>
  <c r="J319" i="5"/>
  <c r="J318" i="5"/>
  <c r="H318" i="5"/>
  <c r="I318" i="5"/>
  <c r="N318" i="5"/>
  <c r="M318" i="5"/>
  <c r="L318" i="5"/>
  <c r="J317" i="5"/>
  <c r="H317" i="5"/>
  <c r="I317" i="5"/>
  <c r="L317" i="5"/>
  <c r="N317" i="5"/>
  <c r="M317" i="5"/>
  <c r="BF317" i="1"/>
  <c r="BU317" i="1"/>
  <c r="CD317" i="1"/>
  <c r="H316" i="5"/>
  <c r="I316" i="5"/>
  <c r="J316" i="5"/>
  <c r="M316" i="5"/>
  <c r="N316" i="5"/>
  <c r="L316" i="5"/>
  <c r="V314" i="5"/>
  <c r="U314" i="5"/>
  <c r="T314" i="5"/>
  <c r="I313" i="5"/>
  <c r="J313" i="5"/>
  <c r="H313" i="5"/>
  <c r="L313" i="5"/>
  <c r="N313" i="5"/>
  <c r="U313" i="5"/>
  <c r="V313" i="5"/>
  <c r="T313" i="5"/>
  <c r="M312" i="5"/>
  <c r="N312" i="5"/>
  <c r="T311" i="5"/>
  <c r="V311" i="5"/>
  <c r="U311" i="5"/>
  <c r="J310" i="5"/>
  <c r="I310" i="5"/>
  <c r="H310" i="5"/>
  <c r="J308" i="5"/>
  <c r="I308" i="5"/>
  <c r="H308" i="5"/>
  <c r="H307" i="5"/>
  <c r="I307" i="5"/>
  <c r="J307" i="5"/>
  <c r="I306" i="5"/>
  <c r="H306" i="5"/>
  <c r="J306" i="5"/>
  <c r="M306" i="5"/>
  <c r="N306" i="5"/>
  <c r="V305" i="5"/>
  <c r="U305" i="5"/>
  <c r="T305" i="5"/>
  <c r="T304" i="5"/>
  <c r="U304" i="5"/>
  <c r="V304" i="5"/>
  <c r="H302" i="5"/>
  <c r="J302" i="5"/>
  <c r="I302" i="5"/>
  <c r="J301" i="5"/>
  <c r="I301" i="5"/>
  <c r="V299" i="5"/>
  <c r="T299" i="5"/>
  <c r="L299" i="5"/>
  <c r="N299" i="5"/>
  <c r="M299" i="5"/>
  <c r="N297" i="5"/>
  <c r="L297" i="5"/>
  <c r="M297" i="5"/>
  <c r="J297" i="5"/>
  <c r="H297" i="5"/>
  <c r="I297" i="5"/>
  <c r="V296" i="5"/>
  <c r="U296" i="5"/>
  <c r="T296" i="5"/>
  <c r="M296" i="5"/>
  <c r="N296" i="5"/>
  <c r="L296" i="5"/>
  <c r="J293" i="5"/>
  <c r="I293" i="5"/>
  <c r="H293" i="5"/>
  <c r="T292" i="5"/>
  <c r="U292" i="5"/>
  <c r="V292" i="5"/>
  <c r="H292" i="5"/>
  <c r="J292" i="5"/>
  <c r="I292" i="5"/>
  <c r="V291" i="5"/>
  <c r="U291" i="5"/>
  <c r="T291" i="5"/>
  <c r="V290" i="5"/>
  <c r="U290" i="5"/>
  <c r="T290" i="5"/>
  <c r="J289" i="5"/>
  <c r="I289" i="5"/>
  <c r="H289" i="5"/>
  <c r="T288" i="5"/>
  <c r="U288" i="5"/>
  <c r="V288" i="5"/>
  <c r="J288" i="5"/>
  <c r="H288" i="5"/>
  <c r="I288" i="5"/>
  <c r="T286" i="5"/>
  <c r="V286" i="5"/>
  <c r="U286" i="5"/>
  <c r="J286" i="5"/>
  <c r="I286" i="5"/>
  <c r="H286" i="5"/>
  <c r="T285" i="5"/>
  <c r="V285" i="5"/>
  <c r="U285" i="5"/>
  <c r="H284" i="5"/>
  <c r="J284" i="5"/>
  <c r="I284" i="5"/>
  <c r="H283" i="5"/>
  <c r="J283" i="5"/>
  <c r="I283" i="5"/>
  <c r="V282" i="5"/>
  <c r="U282" i="5"/>
  <c r="T282" i="5"/>
  <c r="N282" i="5"/>
  <c r="M282" i="5"/>
  <c r="L282" i="5"/>
  <c r="H280" i="5"/>
  <c r="J280" i="5"/>
  <c r="I280" i="5"/>
  <c r="J278" i="5"/>
  <c r="I278" i="5"/>
  <c r="H278" i="5"/>
  <c r="T276" i="5"/>
  <c r="V276" i="5"/>
  <c r="U276" i="5"/>
  <c r="L276" i="5"/>
  <c r="N276" i="5"/>
  <c r="J276" i="5"/>
  <c r="I276" i="5"/>
  <c r="H276" i="5"/>
  <c r="J275" i="5"/>
  <c r="I275" i="5"/>
  <c r="H275" i="5"/>
  <c r="N275" i="5"/>
  <c r="M275" i="5"/>
  <c r="L275" i="5"/>
  <c r="J274" i="5"/>
  <c r="I274" i="5"/>
  <c r="H274" i="5"/>
  <c r="I272" i="5"/>
  <c r="H272" i="5"/>
  <c r="J272" i="5"/>
  <c r="L272" i="5"/>
  <c r="N272" i="5"/>
  <c r="T272" i="5"/>
  <c r="V272" i="5"/>
  <c r="U272" i="5"/>
  <c r="I271" i="5"/>
  <c r="J271" i="5"/>
  <c r="H271" i="5"/>
  <c r="N271" i="5"/>
  <c r="M271" i="5"/>
  <c r="L271" i="5"/>
  <c r="J270" i="5"/>
  <c r="I270" i="5"/>
  <c r="H270" i="5"/>
  <c r="V270" i="5"/>
  <c r="U270" i="5"/>
  <c r="T270" i="5"/>
  <c r="N269" i="5"/>
  <c r="M269" i="5"/>
  <c r="L269" i="5"/>
  <c r="H269" i="5"/>
  <c r="J269" i="5"/>
  <c r="I269" i="5"/>
  <c r="V267" i="5"/>
  <c r="U267" i="5"/>
  <c r="T267" i="5"/>
  <c r="V266" i="5"/>
  <c r="U266" i="5"/>
  <c r="T266" i="5"/>
  <c r="U265" i="5"/>
  <c r="T265" i="5"/>
  <c r="V265" i="5"/>
  <c r="I264" i="5"/>
  <c r="H264" i="5"/>
  <c r="J264" i="5"/>
  <c r="V262" i="5"/>
  <c r="U262" i="5"/>
  <c r="T262" i="5"/>
  <c r="J262" i="5"/>
  <c r="I262" i="5"/>
  <c r="H262" i="5"/>
  <c r="T261" i="5"/>
  <c r="V261" i="5"/>
  <c r="U261" i="5"/>
  <c r="H260" i="5"/>
  <c r="J260" i="5"/>
  <c r="I260" i="5"/>
  <c r="T260" i="5"/>
  <c r="V260" i="5"/>
  <c r="U260" i="5"/>
  <c r="J258" i="5"/>
  <c r="H258" i="5"/>
  <c r="I258" i="5"/>
  <c r="V257" i="5"/>
  <c r="U257" i="5"/>
  <c r="T257" i="5"/>
  <c r="T256" i="5"/>
  <c r="V256" i="5"/>
  <c r="U256" i="5"/>
  <c r="V255" i="5"/>
  <c r="U255" i="5"/>
  <c r="T255" i="5"/>
  <c r="V254" i="5"/>
  <c r="T254" i="5"/>
  <c r="U254" i="5"/>
  <c r="V251" i="5"/>
  <c r="T251" i="5"/>
  <c r="U251" i="5"/>
  <c r="V250" i="5"/>
  <c r="U250" i="5"/>
  <c r="T250" i="5"/>
  <c r="J249" i="5"/>
  <c r="H249" i="5"/>
  <c r="I249" i="5"/>
  <c r="I248" i="5"/>
  <c r="H248" i="5"/>
  <c r="J248" i="5"/>
  <c r="N247" i="5"/>
  <c r="M247" i="5"/>
  <c r="L247" i="5"/>
  <c r="T246" i="5"/>
  <c r="V246" i="5"/>
  <c r="U246" i="5"/>
  <c r="T244" i="5"/>
  <c r="V244" i="5"/>
  <c r="U244" i="5"/>
  <c r="H244" i="5"/>
  <c r="J244" i="5"/>
  <c r="I244" i="5"/>
  <c r="V242" i="5"/>
  <c r="T242" i="5"/>
  <c r="U242" i="5"/>
  <c r="N242" i="5"/>
  <c r="M242" i="5"/>
  <c r="L242" i="5"/>
  <c r="H241" i="5"/>
  <c r="J241" i="5"/>
  <c r="I241" i="5"/>
  <c r="V237" i="5"/>
  <c r="T237" i="5"/>
  <c r="U237" i="5"/>
  <c r="V235" i="5"/>
  <c r="U235" i="5"/>
  <c r="T235" i="5"/>
  <c r="V234" i="5"/>
  <c r="T234" i="5"/>
  <c r="U234" i="5"/>
  <c r="J233" i="5"/>
  <c r="I233" i="5"/>
  <c r="H233" i="5"/>
  <c r="M232" i="5"/>
  <c r="L232" i="5"/>
  <c r="N232" i="5"/>
  <c r="J232" i="5"/>
  <c r="I232" i="5"/>
  <c r="H232" i="5"/>
  <c r="H231" i="5"/>
  <c r="J231" i="5"/>
  <c r="I231" i="5"/>
  <c r="N231" i="5"/>
  <c r="M231" i="5"/>
  <c r="L231" i="5"/>
  <c r="V230" i="5"/>
  <c r="T230" i="5"/>
  <c r="U230" i="5"/>
  <c r="L228" i="5"/>
  <c r="M228" i="5"/>
  <c r="N228" i="5"/>
  <c r="V225" i="5"/>
  <c r="U225" i="5"/>
  <c r="T225" i="5"/>
  <c r="M223" i="5"/>
  <c r="L223" i="5"/>
  <c r="N223" i="5"/>
  <c r="V219" i="5"/>
  <c r="U219" i="5"/>
  <c r="T219" i="5"/>
  <c r="H219" i="5"/>
  <c r="J219" i="5"/>
  <c r="I219" i="5"/>
  <c r="J212" i="5"/>
  <c r="I212" i="5"/>
  <c r="H212" i="5"/>
  <c r="H211" i="5"/>
  <c r="J211" i="5"/>
  <c r="I211" i="5"/>
  <c r="J346" i="5"/>
  <c r="I346" i="5"/>
  <c r="H346" i="5"/>
  <c r="L346" i="5"/>
  <c r="N346" i="5"/>
  <c r="M346" i="5"/>
  <c r="J354" i="5"/>
  <c r="H254" i="5"/>
  <c r="I254" i="5"/>
  <c r="U334" i="5"/>
  <c r="T334" i="5"/>
  <c r="T315" i="5"/>
  <c r="V315" i="5"/>
  <c r="Z288" i="1"/>
  <c r="L340" i="5"/>
  <c r="L237" i="5"/>
  <c r="M241" i="5"/>
  <c r="L241" i="5"/>
  <c r="K321" i="5"/>
  <c r="Z262" i="1"/>
  <c r="K262" i="5"/>
  <c r="AB336" i="1"/>
  <c r="K336" i="5"/>
  <c r="Z286" i="1"/>
  <c r="K286" i="5"/>
  <c r="AA246" i="1"/>
  <c r="K246" i="5"/>
  <c r="O334" i="5"/>
  <c r="AB323" i="1"/>
  <c r="K323" i="5"/>
  <c r="AA289" i="1"/>
  <c r="K289" i="5"/>
  <c r="AB266" i="1"/>
  <c r="K266" i="5"/>
  <c r="O325" i="5"/>
  <c r="AB240" i="1"/>
  <c r="K240" i="5"/>
  <c r="Z284" i="1"/>
  <c r="K284" i="5"/>
  <c r="AA257" i="1"/>
  <c r="K257" i="5"/>
  <c r="M320" i="5"/>
  <c r="N320" i="5"/>
  <c r="L320" i="5"/>
  <c r="Z256" i="1"/>
  <c r="K256" i="5"/>
  <c r="AF339" i="1"/>
  <c r="O339" i="5"/>
  <c r="O311" i="5"/>
  <c r="R255" i="5"/>
  <c r="Q255" i="5"/>
  <c r="P255" i="5"/>
  <c r="AB258" i="1"/>
  <c r="K258" i="5"/>
  <c r="AB303" i="1"/>
  <c r="K303" i="5"/>
  <c r="N331" i="5"/>
  <c r="M331" i="5"/>
  <c r="L331" i="5"/>
  <c r="AA236" i="1"/>
  <c r="K236" i="5"/>
  <c r="AB295" i="1"/>
  <c r="K295" i="5"/>
  <c r="AB337" i="1"/>
  <c r="K337" i="5"/>
  <c r="AF313" i="1"/>
  <c r="O313" i="5"/>
  <c r="P331" i="5"/>
  <c r="Q331" i="5"/>
  <c r="R331" i="5"/>
  <c r="Z333" i="1"/>
  <c r="K333" i="5"/>
  <c r="AB315" i="1"/>
  <c r="N338" i="5"/>
  <c r="M338" i="5"/>
  <c r="L338" i="5"/>
  <c r="AA335" i="1"/>
  <c r="K335" i="5"/>
  <c r="N283" i="5"/>
  <c r="M283" i="5"/>
  <c r="L283" i="5"/>
  <c r="R261" i="5"/>
  <c r="Q261" i="5"/>
  <c r="P261" i="5"/>
  <c r="R336" i="5"/>
  <c r="Q336" i="5"/>
  <c r="P336" i="5"/>
  <c r="N234" i="5"/>
  <c r="L234" i="5"/>
  <c r="M234" i="5"/>
  <c r="K332" i="5"/>
  <c r="AA315" i="1"/>
  <c r="L273" i="5"/>
  <c r="N273" i="5"/>
  <c r="M273" i="5"/>
  <c r="M277" i="5"/>
  <c r="L277" i="5"/>
  <c r="N277" i="5"/>
  <c r="Z301" i="1"/>
  <c r="K301" i="5"/>
  <c r="R328" i="5"/>
  <c r="Q328" i="5"/>
  <c r="P328" i="5"/>
  <c r="N319" i="5"/>
  <c r="M319" i="5"/>
  <c r="L319" i="5"/>
  <c r="Z315" i="1"/>
  <c r="AA256" i="1"/>
  <c r="N235" i="5"/>
  <c r="M235" i="5"/>
  <c r="L235" i="5"/>
  <c r="AB255" i="1"/>
  <c r="K255" i="5"/>
  <c r="Z298" i="1"/>
  <c r="K298" i="5"/>
  <c r="AA326" i="1"/>
  <c r="K326" i="5"/>
  <c r="AB261" i="1"/>
  <c r="K261" i="5"/>
  <c r="AB249" i="1"/>
  <c r="K249" i="5"/>
  <c r="AA287" i="1"/>
  <c r="K287" i="5"/>
  <c r="AA302" i="1"/>
  <c r="K302" i="5"/>
  <c r="O302" i="5"/>
  <c r="Z266" i="1"/>
  <c r="N288" i="5"/>
  <c r="M288" i="5"/>
  <c r="L288" i="5"/>
  <c r="Y244" i="1"/>
  <c r="K244" i="5"/>
  <c r="O326" i="5"/>
  <c r="Q341" i="5"/>
  <c r="R341" i="5"/>
  <c r="P341" i="5"/>
  <c r="R342" i="5"/>
  <c r="Q342" i="5"/>
  <c r="P342" i="5"/>
  <c r="R237" i="5"/>
  <c r="Q237" i="5"/>
  <c r="P237" i="5"/>
  <c r="Y310" i="1"/>
  <c r="K310" i="5"/>
  <c r="N292" i="5"/>
  <c r="M292" i="5"/>
  <c r="L292" i="5"/>
  <c r="Z281" i="1"/>
  <c r="K281" i="5"/>
  <c r="Z267" i="1"/>
  <c r="K267" i="5"/>
  <c r="N315" i="5"/>
  <c r="M315" i="5"/>
  <c r="L315" i="5"/>
  <c r="AF337" i="1"/>
  <c r="O337" i="5"/>
  <c r="R254" i="5"/>
  <c r="Q254" i="5"/>
  <c r="P254" i="5"/>
  <c r="O235" i="5"/>
  <c r="Y307" i="1"/>
  <c r="K307" i="5"/>
  <c r="Y245" i="1"/>
  <c r="K245" i="5"/>
  <c r="O338" i="5"/>
  <c r="O330" i="5"/>
  <c r="Y266" i="1"/>
  <c r="Y302" i="1"/>
  <c r="AB310" i="1"/>
  <c r="Y288" i="1"/>
  <c r="AA337" i="1"/>
  <c r="AH339" i="1"/>
  <c r="AA336" i="1"/>
  <c r="Y298" i="1"/>
  <c r="AA323" i="1"/>
  <c r="Y281" i="1"/>
  <c r="Z307" i="1"/>
  <c r="AE339" i="1"/>
  <c r="Y267" i="1"/>
  <c r="AG310" i="1"/>
  <c r="AB301" i="1"/>
  <c r="AA301" i="1"/>
  <c r="Z246" i="1"/>
  <c r="Y286" i="1"/>
  <c r="AA244" i="1"/>
  <c r="Y257" i="1"/>
  <c r="Z244" i="1"/>
  <c r="AH313" i="1"/>
  <c r="Y338" i="1"/>
  <c r="Z273" i="1"/>
  <c r="AE313" i="1"/>
  <c r="Z338" i="1"/>
  <c r="AB288" i="1"/>
  <c r="Z335" i="1"/>
  <c r="AA288" i="1"/>
  <c r="Z323" i="1"/>
  <c r="Y323" i="1"/>
  <c r="AB281" i="1"/>
  <c r="Y236" i="1"/>
  <c r="AA295" i="1"/>
  <c r="Y295" i="1"/>
  <c r="AH337" i="1"/>
  <c r="AA249" i="1"/>
  <c r="Y301" i="1"/>
  <c r="Y335" i="1"/>
  <c r="AG337" i="1"/>
  <c r="AA303" i="1"/>
  <c r="Z295" i="1"/>
  <c r="AE337" i="1"/>
  <c r="AA284" i="1"/>
  <c r="Z261" i="1"/>
  <c r="Y256" i="1"/>
  <c r="AB302" i="1"/>
  <c r="AA298" i="1"/>
  <c r="AA255" i="1"/>
  <c r="AB256" i="1"/>
  <c r="AG313" i="1"/>
  <c r="AA281" i="1"/>
  <c r="Z289" i="1"/>
  <c r="AA266" i="1"/>
  <c r="Z255" i="1"/>
  <c r="Y303" i="1"/>
  <c r="Y258" i="1"/>
  <c r="Z249" i="1"/>
  <c r="Z320" i="1"/>
  <c r="Z303" i="1"/>
  <c r="AB236" i="1"/>
  <c r="AB267" i="1"/>
  <c r="Y320" i="1"/>
  <c r="AB331" i="1"/>
  <c r="AA267" i="1"/>
  <c r="Y249" i="1"/>
  <c r="AA262" i="1"/>
  <c r="Z236" i="1"/>
  <c r="Y273" i="1"/>
  <c r="Y262" i="1"/>
  <c r="Z326" i="1"/>
  <c r="AA261" i="1"/>
  <c r="AB262" i="1"/>
  <c r="AB273" i="1"/>
  <c r="Y326" i="1"/>
  <c r="Y261" i="1"/>
  <c r="AA273" i="1"/>
  <c r="AB326" i="1"/>
  <c r="AB244" i="1"/>
  <c r="AA243" i="1"/>
  <c r="AB243" i="1"/>
  <c r="Y243" i="1"/>
  <c r="Z243" i="1"/>
  <c r="Z328" i="1"/>
  <c r="Z342" i="1"/>
  <c r="Y342" i="1"/>
  <c r="BR342" i="1" s="1"/>
  <c r="AA342" i="1"/>
  <c r="AB342" i="1"/>
  <c r="AM278" i="1"/>
  <c r="AJ278" i="1"/>
  <c r="AK278" i="1"/>
  <c r="AL278" i="1"/>
  <c r="AA285" i="1"/>
  <c r="Y285" i="1"/>
  <c r="Z285" i="1"/>
  <c r="AB285" i="1"/>
  <c r="AG326" i="1"/>
  <c r="AH326" i="1"/>
  <c r="AE326" i="1"/>
  <c r="AF326" i="1"/>
  <c r="Y289" i="1"/>
  <c r="AB289" i="1"/>
  <c r="AB279" i="1"/>
  <c r="Y279" i="1"/>
  <c r="Z279" i="1"/>
  <c r="AA279" i="1"/>
  <c r="AB237" i="1"/>
  <c r="Z237" i="1"/>
  <c r="Y237" i="1"/>
  <c r="AA237" i="1"/>
  <c r="Y241" i="1"/>
  <c r="AA241" i="1"/>
  <c r="AB241" i="1"/>
  <c r="Z241" i="1"/>
  <c r="Y321" i="1"/>
  <c r="Z321" i="1"/>
  <c r="AA321" i="1"/>
  <c r="AB321" i="1"/>
  <c r="AB335" i="1"/>
  <c r="Y255" i="1"/>
  <c r="AF338" i="1"/>
  <c r="AE338" i="1"/>
  <c r="AH338" i="1"/>
  <c r="AG338" i="1"/>
  <c r="AA341" i="1"/>
  <c r="AB341" i="1"/>
  <c r="Y341" i="1"/>
  <c r="BR341" i="1" s="1"/>
  <c r="Z341" i="1"/>
  <c r="Z265" i="1"/>
  <c r="AB265" i="1"/>
  <c r="AA265" i="1"/>
  <c r="Y265" i="1"/>
  <c r="AM344" i="1"/>
  <c r="AJ344" i="1"/>
  <c r="AL344" i="1"/>
  <c r="AK344" i="1"/>
  <c r="AJ168" i="1"/>
  <c r="AL168" i="1"/>
  <c r="AK168" i="1"/>
  <c r="AM168" i="1"/>
  <c r="AB254" i="1"/>
  <c r="Y254" i="1"/>
  <c r="Z254" i="1"/>
  <c r="AA254" i="1"/>
  <c r="AA268" i="1"/>
  <c r="Z268" i="1"/>
  <c r="AB268" i="1"/>
  <c r="Y268" i="1"/>
  <c r="Y327" i="1"/>
  <c r="BR327" i="1" s="1"/>
  <c r="AA327" i="1"/>
  <c r="AB327" i="1"/>
  <c r="Z327" i="1"/>
  <c r="AJ279" i="1"/>
  <c r="AK279" i="1"/>
  <c r="AL279" i="1"/>
  <c r="AA239" i="1"/>
  <c r="Z239" i="1"/>
  <c r="AB239" i="1"/>
  <c r="Y240" i="1"/>
  <c r="AB345" i="1"/>
  <c r="Y345" i="1"/>
  <c r="Y328" i="1"/>
  <c r="AB328" i="1"/>
  <c r="AA328" i="1"/>
  <c r="AA332" i="1"/>
  <c r="AB332" i="1"/>
  <c r="Z304" i="1"/>
  <c r="AA304" i="1"/>
  <c r="AA319" i="1"/>
  <c r="AB319" i="1"/>
  <c r="AB284" i="1"/>
  <c r="Y284" i="1"/>
  <c r="Y235" i="1"/>
  <c r="Z235" i="1"/>
  <c r="AA235" i="1"/>
  <c r="AA307" i="1"/>
  <c r="AB307" i="1"/>
  <c r="Z257" i="1"/>
  <c r="AB257" i="1"/>
  <c r="Y292" i="1"/>
  <c r="Z292" i="1"/>
  <c r="AB292" i="1"/>
  <c r="Z310" i="1"/>
  <c r="AA310" i="1"/>
  <c r="Y331" i="1"/>
  <c r="Z331" i="1"/>
  <c r="AA331" i="1"/>
  <c r="AA258" i="1"/>
  <c r="Z258" i="1"/>
  <c r="AB234" i="1"/>
  <c r="Y234" i="1"/>
  <c r="Z234" i="1"/>
  <c r="AA234" i="1"/>
  <c r="Z277" i="1"/>
  <c r="AA277" i="1"/>
  <c r="AB277" i="1"/>
  <c r="Z287" i="1"/>
  <c r="AB287" i="1"/>
  <c r="Y287" i="1"/>
  <c r="Z337" i="1"/>
  <c r="Y337" i="1"/>
  <c r="AB320" i="1"/>
  <c r="AA320" i="1"/>
  <c r="AA286" i="1"/>
  <c r="AB286" i="1"/>
  <c r="Z283" i="1"/>
  <c r="AA283" i="1"/>
  <c r="AB283" i="1"/>
  <c r="Z245" i="1"/>
  <c r="AB245" i="1"/>
  <c r="Y246" i="1"/>
  <c r="AB246" i="1"/>
  <c r="X344" i="1"/>
  <c r="AK343" i="1"/>
  <c r="AL343" i="1"/>
  <c r="AJ343" i="1"/>
  <c r="AM343" i="1"/>
  <c r="X343" i="1"/>
  <c r="AA343" i="1" s="1"/>
  <c r="AB304" i="1"/>
  <c r="Y304" i="1"/>
  <c r="Q335" i="5"/>
  <c r="AA338" i="1"/>
  <c r="AB338" i="1"/>
  <c r="AB235" i="1"/>
  <c r="AA292" i="1"/>
  <c r="Y277" i="1"/>
  <c r="X230" i="1"/>
  <c r="K230" i="5" s="1"/>
  <c r="Q258" i="5"/>
  <c r="AB278" i="1"/>
  <c r="Y278" i="1"/>
  <c r="Z278" i="1"/>
  <c r="AA278" i="1"/>
  <c r="AM279" i="1"/>
  <c r="Y239" i="1"/>
  <c r="Z240" i="1"/>
  <c r="AA240" i="1"/>
  <c r="Z345" i="1"/>
  <c r="AA345" i="1"/>
  <c r="AB305" i="1"/>
  <c r="Y305" i="1"/>
  <c r="Z305" i="1"/>
  <c r="AA305" i="1"/>
  <c r="Y332" i="1"/>
  <c r="BR332" i="1" s="1"/>
  <c r="Z332" i="1"/>
  <c r="Z314" i="1"/>
  <c r="Y314" i="1"/>
  <c r="BR314" i="1" s="1"/>
  <c r="AA314" i="1"/>
  <c r="AB314" i="1"/>
  <c r="AA333" i="1"/>
  <c r="Y333" i="1"/>
  <c r="AB333" i="1"/>
  <c r="Y319" i="1"/>
  <c r="Z319" i="1"/>
  <c r="BW358" i="1"/>
  <c r="BW355" i="1"/>
  <c r="BW361" i="1"/>
  <c r="BW354" i="1"/>
  <c r="BW371" i="1"/>
  <c r="BW377" i="1"/>
  <c r="S321" i="5"/>
  <c r="J358" i="5"/>
  <c r="V335" i="5"/>
  <c r="G282" i="5"/>
  <c r="G237" i="5"/>
  <c r="S319" i="5"/>
  <c r="U319" i="5" s="1"/>
  <c r="V298" i="5"/>
  <c r="U315" i="5"/>
  <c r="V334" i="5"/>
  <c r="R335" i="5"/>
  <c r="K328" i="5"/>
  <c r="G304" i="5"/>
  <c r="G345" i="5"/>
  <c r="G327" i="5"/>
  <c r="G243" i="5"/>
  <c r="S302" i="5"/>
  <c r="G285" i="5"/>
  <c r="J341" i="5"/>
  <c r="M250" i="5"/>
  <c r="N340" i="5"/>
  <c r="G340" i="5"/>
  <c r="S301" i="5"/>
  <c r="F230" i="5"/>
  <c r="F343" i="5"/>
  <c r="F344" i="5"/>
  <c r="F329" i="5"/>
  <c r="F279" i="5"/>
  <c r="F278" i="5"/>
  <c r="K327" i="5"/>
  <c r="K341" i="5"/>
  <c r="G332" i="5"/>
  <c r="N250" i="5"/>
  <c r="AD318" i="1"/>
  <c r="O318" i="5" s="1"/>
  <c r="K305" i="5"/>
  <c r="M340" i="5"/>
  <c r="K285" i="5"/>
  <c r="AD333" i="1"/>
  <c r="O333" i="5" s="1"/>
  <c r="F168" i="5"/>
  <c r="AD249" i="1"/>
  <c r="O249" i="5" s="1"/>
  <c r="M237" i="5"/>
  <c r="S278" i="5"/>
  <c r="R258" i="5" l="1"/>
  <c r="R310" i="5"/>
  <c r="P310" i="5"/>
  <c r="R301" i="5"/>
  <c r="Q301" i="5"/>
  <c r="N345" i="5"/>
  <c r="K342" i="5"/>
  <c r="BM267" i="3"/>
  <c r="BW311" i="1"/>
  <c r="BR335" i="1"/>
  <c r="BW335" i="1" s="1"/>
  <c r="BW330" i="1"/>
  <c r="U232" i="5"/>
  <c r="V316" i="5"/>
  <c r="AE321" i="1"/>
  <c r="BR321" i="1" s="1"/>
  <c r="BW321" i="1" s="1"/>
  <c r="AH321" i="1"/>
  <c r="BM292" i="3"/>
  <c r="AE310" i="1"/>
  <c r="BM290" i="3"/>
  <c r="BM266" i="3"/>
  <c r="K265" i="5"/>
  <c r="I105" i="5"/>
  <c r="J105" i="5"/>
  <c r="H105" i="5"/>
  <c r="V333" i="5"/>
  <c r="U333" i="5"/>
  <c r="M268" i="5"/>
  <c r="U239" i="5"/>
  <c r="U316" i="5"/>
  <c r="N254" i="5"/>
  <c r="AF310" i="1"/>
  <c r="AH310" i="1"/>
  <c r="BW325" i="1"/>
  <c r="I305" i="5"/>
  <c r="AF321" i="1"/>
  <c r="O321" i="5"/>
  <c r="Q321" i="5" s="1"/>
  <c r="AG321" i="1"/>
  <c r="T318" i="5"/>
  <c r="V339" i="5"/>
  <c r="T319" i="5"/>
  <c r="V318" i="5"/>
  <c r="T339" i="5"/>
  <c r="V232" i="5"/>
  <c r="J314" i="5"/>
  <c r="J311" i="5"/>
  <c r="V239" i="5"/>
  <c r="R346" i="5"/>
  <c r="Q346" i="5"/>
  <c r="L254" i="5"/>
  <c r="L304" i="5"/>
  <c r="M345" i="5"/>
  <c r="V319" i="5"/>
  <c r="V240" i="5"/>
  <c r="T240" i="5"/>
  <c r="K239" i="5"/>
  <c r="J327" i="5"/>
  <c r="T278" i="5"/>
  <c r="V321" i="5"/>
  <c r="U321" i="5"/>
  <c r="T321" i="5"/>
  <c r="I243" i="5"/>
  <c r="H243" i="5"/>
  <c r="V301" i="5"/>
  <c r="U301" i="5"/>
  <c r="T301" i="5"/>
  <c r="H237" i="5"/>
  <c r="I237" i="5"/>
  <c r="U274" i="5"/>
  <c r="V274" i="5"/>
  <c r="T274" i="5"/>
  <c r="H281" i="5"/>
  <c r="I281" i="5"/>
  <c r="T306" i="5"/>
  <c r="V306" i="5"/>
  <c r="U306" i="5"/>
  <c r="H340" i="5"/>
  <c r="I340" i="5"/>
  <c r="S344" i="5"/>
  <c r="V317" i="5"/>
  <c r="U317" i="5"/>
  <c r="T317" i="5"/>
  <c r="U241" i="5"/>
  <c r="T241" i="5"/>
  <c r="V241" i="5"/>
  <c r="V310" i="5"/>
  <c r="U310" i="5"/>
  <c r="T310" i="5"/>
  <c r="T326" i="5"/>
  <c r="V326" i="5"/>
  <c r="U326" i="5"/>
  <c r="V284" i="5"/>
  <c r="U284" i="5"/>
  <c r="T284" i="5"/>
  <c r="V325" i="5"/>
  <c r="T325" i="5"/>
  <c r="U325" i="5"/>
  <c r="V233" i="5"/>
  <c r="T233" i="5"/>
  <c r="U233" i="5"/>
  <c r="H303" i="5"/>
  <c r="I303" i="5"/>
  <c r="H304" i="5"/>
  <c r="I304" i="5"/>
  <c r="H328" i="5"/>
  <c r="I328" i="5"/>
  <c r="V249" i="5"/>
  <c r="U249" i="5"/>
  <c r="T249" i="5"/>
  <c r="V275" i="5"/>
  <c r="T275" i="5"/>
  <c r="U275" i="5"/>
  <c r="H311" i="5"/>
  <c r="I311" i="5"/>
  <c r="V248" i="5"/>
  <c r="U248" i="5"/>
  <c r="T248" i="5"/>
  <c r="S168" i="5"/>
  <c r="I285" i="5"/>
  <c r="H285" i="5"/>
  <c r="T294" i="5"/>
  <c r="V294" i="5"/>
  <c r="U294" i="5"/>
  <c r="V236" i="5"/>
  <c r="T236" i="5"/>
  <c r="U236" i="5"/>
  <c r="I323" i="5"/>
  <c r="H323" i="5"/>
  <c r="U247" i="5"/>
  <c r="T247" i="5"/>
  <c r="V247" i="5"/>
  <c r="T308" i="5"/>
  <c r="U308" i="5"/>
  <c r="V308" i="5"/>
  <c r="S279" i="5"/>
  <c r="H327" i="5"/>
  <c r="I327" i="5"/>
  <c r="J332" i="5"/>
  <c r="V280" i="5"/>
  <c r="T268" i="5"/>
  <c r="U268" i="5"/>
  <c r="V268" i="5"/>
  <c r="I314" i="5"/>
  <c r="H314" i="5"/>
  <c r="U322" i="5"/>
  <c r="V322" i="5"/>
  <c r="T322" i="5"/>
  <c r="V312" i="5"/>
  <c r="T312" i="5"/>
  <c r="U312" i="5"/>
  <c r="H332" i="5"/>
  <c r="I332" i="5"/>
  <c r="I282" i="5"/>
  <c r="H282" i="5"/>
  <c r="U280" i="5"/>
  <c r="V302" i="5"/>
  <c r="U302" i="5"/>
  <c r="T302" i="5"/>
  <c r="H345" i="5"/>
  <c r="I345" i="5"/>
  <c r="S343" i="5"/>
  <c r="BW346" i="1"/>
  <c r="M328" i="5"/>
  <c r="N328" i="5"/>
  <c r="L328" i="5"/>
  <c r="N305" i="5"/>
  <c r="M305" i="5"/>
  <c r="L305" i="5"/>
  <c r="N327" i="5"/>
  <c r="M327" i="5"/>
  <c r="L327" i="5"/>
  <c r="N341" i="5"/>
  <c r="L341" i="5"/>
  <c r="M341" i="5"/>
  <c r="BW342" i="1"/>
  <c r="L285" i="5"/>
  <c r="M285" i="5"/>
  <c r="N285" i="5"/>
  <c r="L230" i="5"/>
  <c r="N230" i="5"/>
  <c r="M230" i="5"/>
  <c r="M245" i="5"/>
  <c r="N245" i="5"/>
  <c r="L245" i="5"/>
  <c r="Q337" i="5"/>
  <c r="R337" i="5"/>
  <c r="P337" i="5"/>
  <c r="N326" i="5"/>
  <c r="M326" i="5"/>
  <c r="L326" i="5"/>
  <c r="M332" i="5"/>
  <c r="N332" i="5"/>
  <c r="L332" i="5"/>
  <c r="N236" i="5"/>
  <c r="M236" i="5"/>
  <c r="L236" i="5"/>
  <c r="K243" i="5"/>
  <c r="N284" i="5"/>
  <c r="M284" i="5"/>
  <c r="L284" i="5"/>
  <c r="K314" i="5"/>
  <c r="M307" i="5"/>
  <c r="N307" i="5"/>
  <c r="L307" i="5"/>
  <c r="N335" i="5"/>
  <c r="M335" i="5"/>
  <c r="L335" i="5"/>
  <c r="P334" i="5"/>
  <c r="R334" i="5"/>
  <c r="Q334" i="5"/>
  <c r="K278" i="5"/>
  <c r="R326" i="5"/>
  <c r="Q326" i="5"/>
  <c r="P326" i="5"/>
  <c r="R302" i="5"/>
  <c r="Q302" i="5"/>
  <c r="P302" i="5"/>
  <c r="N301" i="5"/>
  <c r="L301" i="5"/>
  <c r="M301" i="5"/>
  <c r="P311" i="5"/>
  <c r="R311" i="5"/>
  <c r="Q311" i="5"/>
  <c r="L240" i="5"/>
  <c r="M240" i="5"/>
  <c r="N246" i="5"/>
  <c r="L246" i="5"/>
  <c r="M246" i="5"/>
  <c r="Q318" i="5"/>
  <c r="P318" i="5"/>
  <c r="R318" i="5"/>
  <c r="Z344" i="1"/>
  <c r="K344" i="5"/>
  <c r="N310" i="5"/>
  <c r="M310" i="5"/>
  <c r="L310" i="5"/>
  <c r="N244" i="5"/>
  <c r="M244" i="5"/>
  <c r="L244" i="5"/>
  <c r="L302" i="5"/>
  <c r="N302" i="5"/>
  <c r="M302" i="5"/>
  <c r="P339" i="5"/>
  <c r="Q339" i="5"/>
  <c r="R339" i="5"/>
  <c r="M267" i="5"/>
  <c r="L267" i="5"/>
  <c r="N267" i="5"/>
  <c r="N298" i="5"/>
  <c r="M298" i="5"/>
  <c r="L298" i="5"/>
  <c r="L303" i="5"/>
  <c r="N303" i="5"/>
  <c r="M303" i="5"/>
  <c r="K279" i="5"/>
  <c r="N286" i="5"/>
  <c r="M286" i="5"/>
  <c r="L286" i="5"/>
  <c r="P249" i="5"/>
  <c r="Q249" i="5"/>
  <c r="R249" i="5"/>
  <c r="N287" i="5"/>
  <c r="M287" i="5"/>
  <c r="L287" i="5"/>
  <c r="R313" i="5"/>
  <c r="P313" i="5"/>
  <c r="Q313" i="5"/>
  <c r="M256" i="5"/>
  <c r="L256" i="5"/>
  <c r="N256" i="5"/>
  <c r="Q325" i="5"/>
  <c r="R325" i="5"/>
  <c r="P325" i="5"/>
  <c r="L281" i="5"/>
  <c r="N281" i="5"/>
  <c r="M281" i="5"/>
  <c r="N255" i="5"/>
  <c r="M255" i="5"/>
  <c r="L255" i="5"/>
  <c r="N266" i="5"/>
  <c r="L266" i="5"/>
  <c r="M266" i="5"/>
  <c r="M336" i="5"/>
  <c r="N336" i="5"/>
  <c r="L336" i="5"/>
  <c r="R235" i="5"/>
  <c r="Q235" i="5"/>
  <c r="P235" i="5"/>
  <c r="N249" i="5"/>
  <c r="L249" i="5"/>
  <c r="M249" i="5"/>
  <c r="L333" i="5"/>
  <c r="N333" i="5"/>
  <c r="M333" i="5"/>
  <c r="L337" i="5"/>
  <c r="N337" i="5"/>
  <c r="M337" i="5"/>
  <c r="Q333" i="5"/>
  <c r="R333" i="5"/>
  <c r="P333" i="5"/>
  <c r="L289" i="5"/>
  <c r="N289" i="5"/>
  <c r="M289" i="5"/>
  <c r="N262" i="5"/>
  <c r="M262" i="5"/>
  <c r="L262" i="5"/>
  <c r="AB343" i="1"/>
  <c r="K343" i="5"/>
  <c r="R330" i="5"/>
  <c r="Q330" i="5"/>
  <c r="P330" i="5"/>
  <c r="L261" i="5"/>
  <c r="M261" i="5"/>
  <c r="N261" i="5"/>
  <c r="M295" i="5"/>
  <c r="N295" i="5"/>
  <c r="L295" i="5"/>
  <c r="N258" i="5"/>
  <c r="L258" i="5"/>
  <c r="M258" i="5"/>
  <c r="BR326" i="1"/>
  <c r="BW326" i="1" s="1"/>
  <c r="Q338" i="5"/>
  <c r="P338" i="5"/>
  <c r="R338" i="5"/>
  <c r="L257" i="5"/>
  <c r="N257" i="5"/>
  <c r="M257" i="5"/>
  <c r="N323" i="5"/>
  <c r="M323" i="5"/>
  <c r="L323" i="5"/>
  <c r="N321" i="5"/>
  <c r="M321" i="5"/>
  <c r="L321" i="5"/>
  <c r="AA344" i="1"/>
  <c r="AF249" i="1"/>
  <c r="AE249" i="1"/>
  <c r="AH249" i="1"/>
  <c r="AG249" i="1"/>
  <c r="AE333" i="1"/>
  <c r="AF333" i="1"/>
  <c r="AH333" i="1"/>
  <c r="AG333" i="1"/>
  <c r="AA230" i="1"/>
  <c r="BW327" i="1"/>
  <c r="BW314" i="1"/>
  <c r="BW332" i="1"/>
  <c r="BW341" i="1"/>
  <c r="AB230" i="1"/>
  <c r="Z230" i="1"/>
  <c r="AE318" i="1"/>
  <c r="BR318" i="1" s="1"/>
  <c r="AF318" i="1"/>
  <c r="AG318" i="1"/>
  <c r="AH318" i="1"/>
  <c r="Y230" i="1"/>
  <c r="Y343" i="1"/>
  <c r="Z343" i="1"/>
  <c r="AB344" i="1"/>
  <c r="Y344" i="1"/>
  <c r="V278" i="5"/>
  <c r="U278" i="5"/>
  <c r="E106" i="3"/>
  <c r="I3" i="17"/>
  <c r="I64" i="17"/>
  <c r="H64" i="17"/>
  <c r="I63" i="17"/>
  <c r="I38" i="17"/>
  <c r="I37" i="17"/>
  <c r="I36" i="17"/>
  <c r="I35" i="17"/>
  <c r="H63" i="17"/>
  <c r="I56" i="17"/>
  <c r="H56" i="17"/>
  <c r="I111" i="17"/>
  <c r="H111" i="17"/>
  <c r="I55" i="17"/>
  <c r="H55" i="17"/>
  <c r="I54" i="17"/>
  <c r="H54" i="17"/>
  <c r="I53" i="17"/>
  <c r="H53" i="17"/>
  <c r="I110" i="17"/>
  <c r="H110" i="17"/>
  <c r="I52" i="17"/>
  <c r="H52" i="17"/>
  <c r="I51" i="17"/>
  <c r="H51" i="17"/>
  <c r="I50" i="17"/>
  <c r="H50" i="17"/>
  <c r="I49" i="17"/>
  <c r="H49" i="17"/>
  <c r="I48" i="17"/>
  <c r="H48" i="17"/>
  <c r="I47" i="17"/>
  <c r="H47" i="17"/>
  <c r="I46" i="17"/>
  <c r="H46" i="17"/>
  <c r="I45" i="17"/>
  <c r="H45" i="17"/>
  <c r="I44" i="17"/>
  <c r="H44" i="17"/>
  <c r="I43" i="17"/>
  <c r="H43" i="17"/>
  <c r="I42" i="17"/>
  <c r="H42" i="17"/>
  <c r="I39" i="17"/>
  <c r="H39" i="17"/>
  <c r="I41" i="17"/>
  <c r="H41" i="17"/>
  <c r="I40" i="17"/>
  <c r="H40" i="17"/>
  <c r="H38" i="17"/>
  <c r="H37" i="17"/>
  <c r="H36" i="17"/>
  <c r="H35" i="17"/>
  <c r="I31" i="17"/>
  <c r="H31" i="17"/>
  <c r="I29" i="17"/>
  <c r="H29" i="17"/>
  <c r="I15" i="17"/>
  <c r="H15" i="17"/>
  <c r="I14" i="17"/>
  <c r="H14" i="17"/>
  <c r="I104" i="17"/>
  <c r="H104" i="17"/>
  <c r="I20" i="17"/>
  <c r="H20" i="17"/>
  <c r="I19" i="17"/>
  <c r="H19" i="17"/>
  <c r="I32" i="17"/>
  <c r="H32" i="17"/>
  <c r="I25" i="17"/>
  <c r="H25" i="17"/>
  <c r="I24" i="17"/>
  <c r="H24" i="17"/>
  <c r="I23" i="17"/>
  <c r="H23" i="17"/>
  <c r="I22" i="17"/>
  <c r="H22" i="17"/>
  <c r="I18" i="17"/>
  <c r="H18" i="17"/>
  <c r="E226" i="3"/>
  <c r="AH226" i="3"/>
  <c r="J226" i="3"/>
  <c r="F226" i="3"/>
  <c r="AH224" i="3"/>
  <c r="E224" i="3"/>
  <c r="AH256" i="3"/>
  <c r="E256" i="3"/>
  <c r="E219" i="3"/>
  <c r="AH218" i="3"/>
  <c r="AH219" i="3"/>
  <c r="J219" i="3"/>
  <c r="F219" i="3"/>
  <c r="AH289" i="3"/>
  <c r="L289" i="3"/>
  <c r="E289" i="3"/>
  <c r="J205" i="3"/>
  <c r="F205" i="3"/>
  <c r="AH231" i="3"/>
  <c r="J231" i="3"/>
  <c r="F231" i="3"/>
  <c r="E231" i="3"/>
  <c r="I76" i="17"/>
  <c r="AH311" i="3"/>
  <c r="G279" i="3"/>
  <c r="E279" i="3"/>
  <c r="G278" i="3"/>
  <c r="E278" i="3"/>
  <c r="E309" i="3"/>
  <c r="E310" i="3"/>
  <c r="AH205" i="3"/>
  <c r="AH206" i="3"/>
  <c r="AH196" i="3"/>
  <c r="AH195" i="3"/>
  <c r="AH194" i="3"/>
  <c r="AH190" i="3"/>
  <c r="AH181" i="3"/>
  <c r="AH178" i="3"/>
  <c r="AH177" i="3"/>
  <c r="AH176" i="3"/>
  <c r="AH175" i="3"/>
  <c r="AH174" i="3"/>
  <c r="AH166" i="3"/>
  <c r="AH165" i="3"/>
  <c r="AH164" i="3"/>
  <c r="AH163" i="3"/>
  <c r="AH159" i="3"/>
  <c r="AH158" i="3"/>
  <c r="AH157" i="3"/>
  <c r="AH156" i="3"/>
  <c r="AH155" i="3"/>
  <c r="AH154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7" i="3"/>
  <c r="AH136" i="3"/>
  <c r="AH135" i="3"/>
  <c r="AH134" i="3"/>
  <c r="AH133" i="3"/>
  <c r="AH130" i="3"/>
  <c r="AH129" i="3"/>
  <c r="AH127" i="3"/>
  <c r="AH126" i="3"/>
  <c r="AH125" i="3"/>
  <c r="AH124" i="3"/>
  <c r="AH122" i="3"/>
  <c r="AH120" i="3"/>
  <c r="AH119" i="3"/>
  <c r="AH112" i="3"/>
  <c r="AH111" i="3"/>
  <c r="AH109" i="3"/>
  <c r="AH108" i="3"/>
  <c r="AH107" i="3"/>
  <c r="AH106" i="3"/>
  <c r="AH104" i="3"/>
  <c r="AH103" i="3"/>
  <c r="AH102" i="3"/>
  <c r="AH100" i="3"/>
  <c r="AH99" i="3"/>
  <c r="AH97" i="3"/>
  <c r="AH96" i="3"/>
  <c r="AH93" i="3"/>
  <c r="AH92" i="3"/>
  <c r="AH90" i="3"/>
  <c r="AH89" i="3"/>
  <c r="AH88" i="3"/>
  <c r="AH86" i="3"/>
  <c r="AH80" i="3"/>
  <c r="AH79" i="3"/>
  <c r="AH76" i="3"/>
  <c r="AH73" i="3"/>
  <c r="AH72" i="3"/>
  <c r="AH71" i="3"/>
  <c r="AH70" i="3"/>
  <c r="AH69" i="3"/>
  <c r="AH68" i="3"/>
  <c r="AH66" i="3"/>
  <c r="AH65" i="3"/>
  <c r="AH64" i="3"/>
  <c r="AH63" i="3"/>
  <c r="AH62" i="3"/>
  <c r="AH59" i="3"/>
  <c r="AH58" i="3"/>
  <c r="AH57" i="3"/>
  <c r="AH50" i="3"/>
  <c r="AH49" i="3"/>
  <c r="AH46" i="3"/>
  <c r="AH38" i="3"/>
  <c r="AH37" i="3"/>
  <c r="AH36" i="3"/>
  <c r="AH29" i="3"/>
  <c r="AH24" i="3"/>
  <c r="AH22" i="3"/>
  <c r="AH16" i="3"/>
  <c r="AH15" i="3"/>
  <c r="AH7" i="3"/>
  <c r="AH5" i="3"/>
  <c r="AH2" i="3"/>
  <c r="W248" i="3"/>
  <c r="W313" i="3"/>
  <c r="W302" i="3"/>
  <c r="W326" i="3"/>
  <c r="W264" i="3"/>
  <c r="W259" i="3"/>
  <c r="E311" i="3"/>
  <c r="E205" i="3"/>
  <c r="AI229" i="1"/>
  <c r="AI238" i="1"/>
  <c r="AI252" i="1"/>
  <c r="E253" i="5"/>
  <c r="S253" i="1"/>
  <c r="AI259" i="1"/>
  <c r="AI263" i="1"/>
  <c r="S273" i="1"/>
  <c r="AI277" i="1"/>
  <c r="AI293" i="1"/>
  <c r="S295" i="1"/>
  <c r="AI307" i="1"/>
  <c r="AI320" i="1"/>
  <c r="E320" i="5"/>
  <c r="AI336" i="1"/>
  <c r="E107" i="3"/>
  <c r="I74" i="17"/>
  <c r="E270" i="3"/>
  <c r="E269" i="3"/>
  <c r="E204" i="3"/>
  <c r="E203" i="3"/>
  <c r="E202" i="3"/>
  <c r="I78" i="17"/>
  <c r="I77" i="17"/>
  <c r="E185" i="3"/>
  <c r="E187" i="3"/>
  <c r="I59" i="16"/>
  <c r="I58" i="16"/>
  <c r="I57" i="16"/>
  <c r="I56" i="16"/>
  <c r="I55" i="16"/>
  <c r="I54" i="16"/>
  <c r="I53" i="16"/>
  <c r="J49" i="16"/>
  <c r="H49" i="16"/>
  <c r="J48" i="16"/>
  <c r="H48" i="16"/>
  <c r="P46" i="16"/>
  <c r="K47" i="16"/>
  <c r="J47" i="16"/>
  <c r="I49" i="16"/>
  <c r="H47" i="16"/>
  <c r="P45" i="16"/>
  <c r="K46" i="16"/>
  <c r="J46" i="16"/>
  <c r="I48" i="16"/>
  <c r="H46" i="16"/>
  <c r="P44" i="16"/>
  <c r="K45" i="16"/>
  <c r="I47" i="16"/>
  <c r="H45" i="16"/>
  <c r="Q44" i="16"/>
  <c r="P43" i="16"/>
  <c r="K44" i="16"/>
  <c r="I46" i="16"/>
  <c r="H44" i="16"/>
  <c r="Q43" i="16"/>
  <c r="P42" i="16"/>
  <c r="L44" i="16"/>
  <c r="I45" i="16"/>
  <c r="Q42" i="16"/>
  <c r="P41" i="16"/>
  <c r="L43" i="16"/>
  <c r="I44" i="16"/>
  <c r="Q41" i="16"/>
  <c r="L42" i="16"/>
  <c r="I43" i="16"/>
  <c r="G42" i="16"/>
  <c r="Q40" i="16"/>
  <c r="L41" i="16"/>
  <c r="I42" i="16"/>
  <c r="G41" i="16"/>
  <c r="P39" i="16"/>
  <c r="O39" i="16"/>
  <c r="J39" i="16"/>
  <c r="I41" i="16"/>
  <c r="G40" i="16"/>
  <c r="P38" i="16"/>
  <c r="O38" i="16"/>
  <c r="J38" i="16"/>
  <c r="I40" i="16"/>
  <c r="H40" i="16"/>
  <c r="G39" i="16"/>
  <c r="Q38" i="16"/>
  <c r="P37" i="16"/>
  <c r="O37" i="16"/>
  <c r="K37" i="16"/>
  <c r="J37" i="16"/>
  <c r="I39" i="16"/>
  <c r="H39" i="16"/>
  <c r="G38" i="16"/>
  <c r="Q37" i="16"/>
  <c r="P36" i="16"/>
  <c r="O36" i="16"/>
  <c r="M36" i="16"/>
  <c r="K36" i="16"/>
  <c r="J36" i="16"/>
  <c r="I38" i="16"/>
  <c r="H38" i="16"/>
  <c r="G37" i="16"/>
  <c r="Q36" i="16"/>
  <c r="P35" i="16"/>
  <c r="O35" i="16"/>
  <c r="M35" i="16"/>
  <c r="K35" i="16"/>
  <c r="J35" i="16"/>
  <c r="I37" i="16"/>
  <c r="H37" i="16"/>
  <c r="G36" i="16"/>
  <c r="F36" i="16"/>
  <c r="E36" i="16"/>
  <c r="Q35" i="16"/>
  <c r="P34" i="16"/>
  <c r="M34" i="16"/>
  <c r="L35" i="16"/>
  <c r="K34" i="16"/>
  <c r="J34" i="16"/>
  <c r="I36" i="16"/>
  <c r="H36" i="16"/>
  <c r="G35" i="16"/>
  <c r="F35" i="16"/>
  <c r="E35" i="16"/>
  <c r="Q34" i="16"/>
  <c r="P33" i="16"/>
  <c r="M33" i="16"/>
  <c r="L34" i="16"/>
  <c r="K33" i="16"/>
  <c r="J33" i="16"/>
  <c r="G34" i="16"/>
  <c r="F34" i="16"/>
  <c r="E34" i="16"/>
  <c r="Q33" i="16"/>
  <c r="P32" i="16"/>
  <c r="O32" i="16"/>
  <c r="L33" i="16"/>
  <c r="K32" i="16"/>
  <c r="J32" i="16"/>
  <c r="I34" i="16"/>
  <c r="H34" i="16"/>
  <c r="G33" i="16"/>
  <c r="F33" i="16"/>
  <c r="E33" i="16"/>
  <c r="Q32" i="16"/>
  <c r="P31" i="16"/>
  <c r="O31" i="16"/>
  <c r="M31" i="16"/>
  <c r="L32" i="16"/>
  <c r="K31" i="16"/>
  <c r="J31" i="16"/>
  <c r="G32" i="16"/>
  <c r="F32" i="16"/>
  <c r="E32" i="16"/>
  <c r="Q31" i="16"/>
  <c r="P30" i="16"/>
  <c r="O30" i="16"/>
  <c r="M30" i="16"/>
  <c r="L31" i="16"/>
  <c r="K30" i="16"/>
  <c r="J30" i="16"/>
  <c r="I32" i="16"/>
  <c r="H32" i="16"/>
  <c r="G31" i="16"/>
  <c r="F31" i="16"/>
  <c r="E31" i="16"/>
  <c r="Q30" i="16"/>
  <c r="P29" i="16"/>
  <c r="O29" i="16"/>
  <c r="M29" i="16"/>
  <c r="L30" i="16"/>
  <c r="K29" i="16"/>
  <c r="J29" i="16"/>
  <c r="G30" i="16"/>
  <c r="F30" i="16"/>
  <c r="E30" i="16"/>
  <c r="R29" i="16"/>
  <c r="Q29" i="16"/>
  <c r="P28" i="16"/>
  <c r="O28" i="16"/>
  <c r="M28" i="16"/>
  <c r="L29" i="16"/>
  <c r="K28" i="16"/>
  <c r="J28" i="16"/>
  <c r="G29" i="16"/>
  <c r="F29" i="16"/>
  <c r="R28" i="16"/>
  <c r="Q28" i="16"/>
  <c r="P27" i="16"/>
  <c r="O27" i="16"/>
  <c r="M27" i="16"/>
  <c r="L28" i="16"/>
  <c r="K27" i="16"/>
  <c r="J27" i="16"/>
  <c r="G28" i="16"/>
  <c r="F28" i="16"/>
  <c r="R27" i="16"/>
  <c r="Q27" i="16"/>
  <c r="P26" i="16"/>
  <c r="O26" i="16"/>
  <c r="L27" i="16"/>
  <c r="K26" i="16"/>
  <c r="J26" i="16"/>
  <c r="I28" i="16"/>
  <c r="H28" i="16"/>
  <c r="G27" i="16"/>
  <c r="F27" i="16"/>
  <c r="R26" i="16"/>
  <c r="Q26" i="16"/>
  <c r="P25" i="16"/>
  <c r="O25" i="16"/>
  <c r="L26" i="16"/>
  <c r="J25" i="16"/>
  <c r="I27" i="16"/>
  <c r="H27" i="16"/>
  <c r="E26" i="16"/>
  <c r="R25" i="16"/>
  <c r="Q25" i="16"/>
  <c r="P24" i="16"/>
  <c r="O24" i="16"/>
  <c r="L25" i="16"/>
  <c r="K24" i="16"/>
  <c r="J24" i="16"/>
  <c r="I26" i="16"/>
  <c r="H26" i="16"/>
  <c r="R24" i="16"/>
  <c r="Q24" i="16"/>
  <c r="P23" i="16"/>
  <c r="O23" i="16"/>
  <c r="L24" i="16"/>
  <c r="K23" i="16"/>
  <c r="J23" i="16"/>
  <c r="I25" i="16"/>
  <c r="H25" i="16"/>
  <c r="G24" i="16"/>
  <c r="F24" i="16"/>
  <c r="R23" i="16"/>
  <c r="Q23" i="16"/>
  <c r="P22" i="16"/>
  <c r="O22" i="16"/>
  <c r="L23" i="16"/>
  <c r="K22" i="16"/>
  <c r="J22" i="16"/>
  <c r="I24" i="16"/>
  <c r="H24" i="16"/>
  <c r="R22" i="16"/>
  <c r="Q22" i="16"/>
  <c r="P21" i="16"/>
  <c r="O21" i="16"/>
  <c r="M21" i="16"/>
  <c r="L22" i="16"/>
  <c r="K21" i="16"/>
  <c r="J21" i="16"/>
  <c r="I23" i="16"/>
  <c r="H23" i="16"/>
  <c r="D22" i="16"/>
  <c r="R21" i="16"/>
  <c r="Q21" i="16"/>
  <c r="P20" i="16"/>
  <c r="O20" i="16"/>
  <c r="M20" i="16"/>
  <c r="L21" i="16"/>
  <c r="K20" i="16"/>
  <c r="J20" i="16"/>
  <c r="I22" i="16"/>
  <c r="H22" i="16"/>
  <c r="D21" i="16"/>
  <c r="R20" i="16"/>
  <c r="Q20" i="16"/>
  <c r="P19" i="16"/>
  <c r="O19" i="16"/>
  <c r="M19" i="16"/>
  <c r="L20" i="16"/>
  <c r="K19" i="16"/>
  <c r="J19" i="16"/>
  <c r="I21" i="16"/>
  <c r="H21" i="16"/>
  <c r="E20" i="16"/>
  <c r="D20" i="16"/>
  <c r="R19" i="16"/>
  <c r="Q19" i="16"/>
  <c r="P18" i="16"/>
  <c r="O18" i="16"/>
  <c r="M18" i="16"/>
  <c r="L19" i="16"/>
  <c r="K18" i="16"/>
  <c r="J18" i="16"/>
  <c r="I20" i="16"/>
  <c r="H20" i="16"/>
  <c r="G19" i="16"/>
  <c r="F19" i="16"/>
  <c r="E19" i="16"/>
  <c r="R18" i="16"/>
  <c r="Q18" i="16"/>
  <c r="P17" i="16"/>
  <c r="O17" i="16"/>
  <c r="N21" i="16"/>
  <c r="L18" i="16"/>
  <c r="K17" i="16"/>
  <c r="J17" i="16"/>
  <c r="I19" i="16"/>
  <c r="H19" i="16"/>
  <c r="G18" i="16"/>
  <c r="F18" i="16"/>
  <c r="E18" i="16"/>
  <c r="D18" i="16"/>
  <c r="R17" i="16"/>
  <c r="Q17" i="16"/>
  <c r="P16" i="16"/>
  <c r="O16" i="16"/>
  <c r="N20" i="16"/>
  <c r="L17" i="16"/>
  <c r="K16" i="16"/>
  <c r="J16" i="16"/>
  <c r="I18" i="16"/>
  <c r="H18" i="16"/>
  <c r="G17" i="16"/>
  <c r="F17" i="16"/>
  <c r="E17" i="16"/>
  <c r="D17" i="16"/>
  <c r="R16" i="16"/>
  <c r="Q16" i="16"/>
  <c r="P15" i="16"/>
  <c r="O15" i="16"/>
  <c r="N19" i="16"/>
  <c r="M15" i="16"/>
  <c r="L16" i="16"/>
  <c r="K15" i="16"/>
  <c r="J15" i="16"/>
  <c r="I17" i="16"/>
  <c r="H17" i="16"/>
  <c r="G16" i="16"/>
  <c r="F16" i="16"/>
  <c r="E16" i="16"/>
  <c r="D16" i="16"/>
  <c r="R15" i="16"/>
  <c r="Q15" i="16"/>
  <c r="P14" i="16"/>
  <c r="O14" i="16"/>
  <c r="N18" i="16"/>
  <c r="M14" i="16"/>
  <c r="L15" i="16"/>
  <c r="K14" i="16"/>
  <c r="J14" i="16"/>
  <c r="I16" i="16"/>
  <c r="H16" i="16"/>
  <c r="G15" i="16"/>
  <c r="F15" i="16"/>
  <c r="E15" i="16"/>
  <c r="D15" i="16"/>
  <c r="R14" i="16"/>
  <c r="Q14" i="16"/>
  <c r="P13" i="16"/>
  <c r="O13" i="16"/>
  <c r="N17" i="16"/>
  <c r="L14" i="16"/>
  <c r="K13" i="16"/>
  <c r="J13" i="16"/>
  <c r="I15" i="16"/>
  <c r="H15" i="16"/>
  <c r="G14" i="16"/>
  <c r="F14" i="16"/>
  <c r="E14" i="16"/>
  <c r="R13" i="16"/>
  <c r="Q13" i="16"/>
  <c r="P12" i="16"/>
  <c r="O12" i="16"/>
  <c r="N16" i="16"/>
  <c r="M12" i="16"/>
  <c r="L13" i="16"/>
  <c r="K12" i="16"/>
  <c r="J12" i="16"/>
  <c r="I14" i="16"/>
  <c r="H14" i="16"/>
  <c r="G13" i="16"/>
  <c r="F13" i="16"/>
  <c r="R12" i="16"/>
  <c r="Q12" i="16"/>
  <c r="P11" i="16"/>
  <c r="O11" i="16"/>
  <c r="N15" i="16"/>
  <c r="L12" i="16"/>
  <c r="K11" i="16"/>
  <c r="J11" i="16"/>
  <c r="I13" i="16"/>
  <c r="H13" i="16"/>
  <c r="G12" i="16"/>
  <c r="F12" i="16"/>
  <c r="E12" i="16"/>
  <c r="R11" i="16"/>
  <c r="Q11" i="16"/>
  <c r="P10" i="16"/>
  <c r="O10" i="16"/>
  <c r="N14" i="16"/>
  <c r="M10" i="16"/>
  <c r="L11" i="16"/>
  <c r="K10" i="16"/>
  <c r="J10" i="16"/>
  <c r="I12" i="16"/>
  <c r="H12" i="16"/>
  <c r="G11" i="16"/>
  <c r="F11" i="16"/>
  <c r="R10" i="16"/>
  <c r="Q10" i="16"/>
  <c r="N13" i="16"/>
  <c r="L10" i="16"/>
  <c r="J9" i="16"/>
  <c r="I11" i="16"/>
  <c r="H11" i="16"/>
  <c r="G10" i="16"/>
  <c r="F10" i="16"/>
  <c r="E10" i="16"/>
  <c r="D10" i="16"/>
  <c r="C10" i="16"/>
  <c r="B10" i="16"/>
  <c r="R9" i="16"/>
  <c r="Q9" i="16"/>
  <c r="P9" i="16"/>
  <c r="O9" i="16"/>
  <c r="N12" i="16"/>
  <c r="M8" i="16"/>
  <c r="L9" i="16"/>
  <c r="K9" i="16"/>
  <c r="I9" i="16"/>
  <c r="H9" i="16"/>
  <c r="G9" i="16"/>
  <c r="F9" i="16"/>
  <c r="E9" i="16"/>
  <c r="R8" i="16"/>
  <c r="Q8" i="16"/>
  <c r="P8" i="16"/>
  <c r="O8" i="16"/>
  <c r="N11" i="16"/>
  <c r="M7" i="16"/>
  <c r="L8" i="16"/>
  <c r="K8" i="16"/>
  <c r="J8" i="16"/>
  <c r="I8" i="16"/>
  <c r="H8" i="16"/>
  <c r="G8" i="16"/>
  <c r="F8" i="16"/>
  <c r="E8" i="16"/>
  <c r="C8" i="16"/>
  <c r="B8" i="16"/>
  <c r="R7" i="16"/>
  <c r="Q7" i="16"/>
  <c r="P7" i="16"/>
  <c r="O7" i="16"/>
  <c r="M6" i="16"/>
  <c r="L7" i="16"/>
  <c r="J7" i="16"/>
  <c r="I7" i="16"/>
  <c r="H7" i="16"/>
  <c r="G7" i="16"/>
  <c r="F7" i="16"/>
  <c r="E7" i="16"/>
  <c r="C7" i="16"/>
  <c r="B7" i="16"/>
  <c r="R6" i="16"/>
  <c r="Q6" i="16"/>
  <c r="P6" i="16"/>
  <c r="O6" i="16"/>
  <c r="N6" i="16"/>
  <c r="M5" i="16"/>
  <c r="K7" i="16"/>
  <c r="I6" i="16"/>
  <c r="H6" i="16"/>
  <c r="G6" i="16"/>
  <c r="F6" i="16"/>
  <c r="E6" i="16"/>
  <c r="C6" i="16"/>
  <c r="B6" i="16"/>
  <c r="S5" i="16"/>
  <c r="R5" i="16"/>
  <c r="Q5" i="16"/>
  <c r="P5" i="16"/>
  <c r="O5" i="16"/>
  <c r="L6" i="16"/>
  <c r="K5" i="16"/>
  <c r="J5" i="16"/>
  <c r="I5" i="16"/>
  <c r="H5" i="16"/>
  <c r="G5" i="16"/>
  <c r="F5" i="16"/>
  <c r="E5" i="16"/>
  <c r="C5" i="16"/>
  <c r="B5" i="16"/>
  <c r="S4" i="16"/>
  <c r="R4" i="16"/>
  <c r="Q4" i="16"/>
  <c r="P4" i="16"/>
  <c r="O4" i="16"/>
  <c r="M4" i="16"/>
  <c r="L4" i="16"/>
  <c r="K4" i="16"/>
  <c r="J4" i="16"/>
  <c r="I4" i="16"/>
  <c r="H4" i="16"/>
  <c r="G4" i="16"/>
  <c r="F4" i="16"/>
  <c r="E4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E193" i="3"/>
  <c r="E192" i="3"/>
  <c r="E191" i="3"/>
  <c r="E190" i="3"/>
  <c r="E189" i="3"/>
  <c r="E188" i="3"/>
  <c r="E186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0" i="3"/>
  <c r="E169" i="3"/>
  <c r="E167" i="3"/>
  <c r="E166" i="3"/>
  <c r="E165" i="3"/>
  <c r="E164" i="3"/>
  <c r="E163" i="3"/>
  <c r="E162" i="3"/>
  <c r="E161" i="3"/>
  <c r="BE161" i="3" s="1"/>
  <c r="E16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M183" i="1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51" i="3"/>
  <c r="E152" i="3"/>
  <c r="E153" i="3"/>
  <c r="E154" i="3"/>
  <c r="E155" i="3"/>
  <c r="E156" i="3"/>
  <c r="E157" i="3"/>
  <c r="E158" i="3"/>
  <c r="E159" i="3"/>
  <c r="E150" i="3"/>
  <c r="E141" i="3"/>
  <c r="E142" i="3"/>
  <c r="E143" i="3"/>
  <c r="E144" i="3"/>
  <c r="E145" i="3"/>
  <c r="E146" i="3"/>
  <c r="E147" i="3"/>
  <c r="E148" i="3"/>
  <c r="E149" i="3"/>
  <c r="E140" i="3"/>
  <c r="I40" i="9"/>
  <c r="H40" i="9" s="1"/>
  <c r="D40" i="9" s="1"/>
  <c r="G40" i="9"/>
  <c r="C40" i="9" s="1"/>
  <c r="E40" i="9"/>
  <c r="I39" i="9"/>
  <c r="E39" i="9" s="1"/>
  <c r="C39" i="9"/>
  <c r="K104" i="17"/>
  <c r="L192" i="3"/>
  <c r="F192" i="3"/>
  <c r="L193" i="3"/>
  <c r="F193" i="3"/>
  <c r="G192" i="3"/>
  <c r="J190" i="3"/>
  <c r="F190" i="3"/>
  <c r="W191" i="3"/>
  <c r="V191" i="3"/>
  <c r="L191" i="3"/>
  <c r="G191" i="3"/>
  <c r="L188" i="3"/>
  <c r="J188" i="3"/>
  <c r="G188" i="3"/>
  <c r="F188" i="3"/>
  <c r="U189" i="3"/>
  <c r="AY189" i="3" s="1"/>
  <c r="G189" i="3"/>
  <c r="G186" i="3"/>
  <c r="L186" i="3"/>
  <c r="J185" i="3"/>
  <c r="F185" i="3"/>
  <c r="I71" i="17"/>
  <c r="V183" i="3"/>
  <c r="J183" i="3"/>
  <c r="F183" i="3"/>
  <c r="L182" i="3"/>
  <c r="G182" i="3"/>
  <c r="G181" i="3"/>
  <c r="L180" i="3"/>
  <c r="G179" i="3"/>
  <c r="L179" i="3"/>
  <c r="C37" i="9"/>
  <c r="D37" i="9"/>
  <c r="E37" i="9"/>
  <c r="C38" i="9"/>
  <c r="D38" i="9"/>
  <c r="E38" i="9"/>
  <c r="L178" i="3"/>
  <c r="G178" i="3"/>
  <c r="F178" i="3"/>
  <c r="J178" i="3"/>
  <c r="V177" i="3"/>
  <c r="G177" i="3"/>
  <c r="G176" i="3"/>
  <c r="J176" i="3"/>
  <c r="F176" i="3"/>
  <c r="G175" i="3"/>
  <c r="G174" i="3"/>
  <c r="W174" i="3"/>
  <c r="V174" i="3"/>
  <c r="L173" i="3"/>
  <c r="N342" i="5" l="1"/>
  <c r="L342" i="5"/>
  <c r="M342" i="5"/>
  <c r="BH217" i="1"/>
  <c r="BE270" i="3"/>
  <c r="J217" i="1"/>
  <c r="AC217" i="5"/>
  <c r="K217" i="1"/>
  <c r="Y217" i="5"/>
  <c r="AP217" i="1"/>
  <c r="AB217" i="5" s="1"/>
  <c r="X217" i="5"/>
  <c r="BD217" i="1"/>
  <c r="W217" i="5"/>
  <c r="BE217" i="1"/>
  <c r="J226" i="1"/>
  <c r="BE256" i="3"/>
  <c r="BE226" i="1"/>
  <c r="AC226" i="5"/>
  <c r="AP226" i="1"/>
  <c r="AB226" i="5" s="1"/>
  <c r="Y226" i="5"/>
  <c r="K226" i="1"/>
  <c r="X226" i="5"/>
  <c r="W226" i="5"/>
  <c r="BH226" i="1"/>
  <c r="BD226" i="1"/>
  <c r="AA260" i="5"/>
  <c r="Z260" i="5"/>
  <c r="K213" i="1"/>
  <c r="BH213" i="1"/>
  <c r="AP213" i="1"/>
  <c r="AB213" i="5" s="1"/>
  <c r="AC213" i="5"/>
  <c r="Y213" i="5"/>
  <c r="X213" i="5"/>
  <c r="W213" i="5"/>
  <c r="J213" i="1"/>
  <c r="AZ213" i="1" s="1"/>
  <c r="BE202" i="3"/>
  <c r="K309" i="1"/>
  <c r="Y309" i="5"/>
  <c r="AP309" i="1"/>
  <c r="AB309" i="5" s="1"/>
  <c r="X309" i="5"/>
  <c r="W309" i="5"/>
  <c r="BD309" i="1"/>
  <c r="AC309" i="5"/>
  <c r="BE309" i="3"/>
  <c r="BH309" i="1"/>
  <c r="J309" i="1"/>
  <c r="BE309" i="1"/>
  <c r="X214" i="5"/>
  <c r="AP214" i="1"/>
  <c r="AB214" i="5" s="1"/>
  <c r="W214" i="5"/>
  <c r="BD214" i="1"/>
  <c r="BE214" i="1"/>
  <c r="K214" i="1"/>
  <c r="BH214" i="1"/>
  <c r="BE203" i="3"/>
  <c r="Y214" i="5"/>
  <c r="J214" i="1"/>
  <c r="AC214" i="5"/>
  <c r="AP223" i="1"/>
  <c r="AB223" i="5" s="1"/>
  <c r="BD223" i="1"/>
  <c r="K223" i="1"/>
  <c r="BH223" i="1"/>
  <c r="Y223" i="5"/>
  <c r="X223" i="5"/>
  <c r="AC223" i="5"/>
  <c r="J223" i="1"/>
  <c r="BE278" i="3"/>
  <c r="BE223" i="1"/>
  <c r="W223" i="5"/>
  <c r="X222" i="5"/>
  <c r="BH222" i="1"/>
  <c r="AC222" i="5"/>
  <c r="Y222" i="5"/>
  <c r="BE289" i="3"/>
  <c r="J222" i="1"/>
  <c r="AP222" i="1"/>
  <c r="AB222" i="5" s="1"/>
  <c r="W222" i="5"/>
  <c r="K222" i="1"/>
  <c r="AA243" i="5"/>
  <c r="Z243" i="5"/>
  <c r="J215" i="1"/>
  <c r="AZ215" i="1" s="1"/>
  <c r="AP215" i="1"/>
  <c r="AB215" i="5" s="1"/>
  <c r="Y215" i="5"/>
  <c r="X215" i="5"/>
  <c r="K215" i="1"/>
  <c r="W215" i="5"/>
  <c r="BE204" i="3"/>
  <c r="BH215" i="1"/>
  <c r="AC215" i="5"/>
  <c r="L265" i="5"/>
  <c r="M265" i="5"/>
  <c r="AA289" i="5"/>
  <c r="AA234" i="5"/>
  <c r="AA258" i="5"/>
  <c r="AA267" i="5"/>
  <c r="AA266" i="5"/>
  <c r="AA257" i="5"/>
  <c r="AA235" i="5"/>
  <c r="AA245" i="5"/>
  <c r="BD221" i="1"/>
  <c r="AC221" i="5"/>
  <c r="Y221" i="5"/>
  <c r="X221" i="5"/>
  <c r="W221" i="5"/>
  <c r="BE231" i="3"/>
  <c r="J221" i="1"/>
  <c r="K221" i="1"/>
  <c r="AP221" i="1"/>
  <c r="AB221" i="5" s="1"/>
  <c r="BH221" i="1"/>
  <c r="BE221" i="1"/>
  <c r="Z242" i="5"/>
  <c r="AA242" i="5"/>
  <c r="Z332" i="5"/>
  <c r="AA327" i="5"/>
  <c r="Z328" i="5"/>
  <c r="AA341" i="5"/>
  <c r="Z341" i="5"/>
  <c r="AA285" i="5"/>
  <c r="AA254" i="5"/>
  <c r="Z285" i="5"/>
  <c r="Z305" i="5"/>
  <c r="AA332" i="5"/>
  <c r="Z327" i="5"/>
  <c r="AA305" i="5"/>
  <c r="AA328" i="5"/>
  <c r="Z254" i="5"/>
  <c r="BE269" i="3"/>
  <c r="BH216" i="1"/>
  <c r="BE216" i="1"/>
  <c r="AC216" i="5"/>
  <c r="K216" i="1"/>
  <c r="J216" i="1"/>
  <c r="Y216" i="5"/>
  <c r="AP216" i="1"/>
  <c r="AB216" i="5" s="1"/>
  <c r="X216" i="5"/>
  <c r="BD216" i="1"/>
  <c r="W216" i="5"/>
  <c r="J224" i="1"/>
  <c r="BH224" i="1"/>
  <c r="AC224" i="5"/>
  <c r="Y224" i="5"/>
  <c r="X224" i="5"/>
  <c r="W224" i="5"/>
  <c r="K224" i="1"/>
  <c r="BD224" i="1"/>
  <c r="BE224" i="1"/>
  <c r="AP224" i="1"/>
  <c r="AB224" i="5" s="1"/>
  <c r="AA261" i="5"/>
  <c r="AA255" i="5"/>
  <c r="Z282" i="5"/>
  <c r="AA282" i="5"/>
  <c r="AC324" i="5"/>
  <c r="BH324" i="1"/>
  <c r="Y324" i="5"/>
  <c r="X324" i="5"/>
  <c r="W324" i="5"/>
  <c r="AP324" i="1"/>
  <c r="AB324" i="5" s="1"/>
  <c r="BE279" i="3"/>
  <c r="J324" i="1"/>
  <c r="BE324" i="1"/>
  <c r="BD324" i="1"/>
  <c r="K324" i="1"/>
  <c r="BH228" i="1"/>
  <c r="BE228" i="1"/>
  <c r="AC228" i="5"/>
  <c r="Y228" i="5"/>
  <c r="X228" i="5"/>
  <c r="W228" i="5"/>
  <c r="K228" i="1"/>
  <c r="J228" i="1"/>
  <c r="AP228" i="1"/>
  <c r="AB228" i="5" s="1"/>
  <c r="BD228" i="1"/>
  <c r="AA314" i="5"/>
  <c r="Z314" i="5"/>
  <c r="AA237" i="5"/>
  <c r="Z237" i="5"/>
  <c r="AP218" i="1"/>
  <c r="AB218" i="5" s="1"/>
  <c r="BE218" i="1"/>
  <c r="AC218" i="5"/>
  <c r="BE205" i="3"/>
  <c r="Y218" i="5"/>
  <c r="BH218" i="1"/>
  <c r="X218" i="5"/>
  <c r="W218" i="5"/>
  <c r="K218" i="1"/>
  <c r="BD218" i="1"/>
  <c r="J218" i="1"/>
  <c r="AZ218" i="1" s="1"/>
  <c r="BE220" i="1"/>
  <c r="W220" i="5"/>
  <c r="BE311" i="3"/>
  <c r="AP220" i="1"/>
  <c r="AB220" i="5" s="1"/>
  <c r="BH220" i="1"/>
  <c r="J220" i="1"/>
  <c r="AC220" i="5"/>
  <c r="K220" i="1"/>
  <c r="X220" i="5"/>
  <c r="Y220" i="5"/>
  <c r="BD220" i="1"/>
  <c r="AP300" i="1"/>
  <c r="AB300" i="5" s="1"/>
  <c r="BE310" i="3"/>
  <c r="K300" i="1"/>
  <c r="BD300" i="1"/>
  <c r="BH300" i="1"/>
  <c r="BE300" i="1"/>
  <c r="J300" i="1"/>
  <c r="AC300" i="5"/>
  <c r="Y300" i="5"/>
  <c r="X300" i="5"/>
  <c r="W300" i="5"/>
  <c r="X227" i="5"/>
  <c r="W227" i="5"/>
  <c r="AC227" i="5"/>
  <c r="K227" i="1"/>
  <c r="BH227" i="1"/>
  <c r="AP227" i="1"/>
  <c r="AB227" i="5" s="1"/>
  <c r="BD227" i="1"/>
  <c r="BE227" i="1"/>
  <c r="J227" i="1"/>
  <c r="Y227" i="5"/>
  <c r="Z269" i="5"/>
  <c r="Z271" i="5"/>
  <c r="Z270" i="5"/>
  <c r="AA270" i="5"/>
  <c r="AA271" i="5"/>
  <c r="AA286" i="5"/>
  <c r="Z286" i="5"/>
  <c r="AA269" i="5"/>
  <c r="BC213" i="1"/>
  <c r="CE213" i="1"/>
  <c r="O213" i="1"/>
  <c r="S213" i="1"/>
  <c r="CJ213" i="1"/>
  <c r="CG213" i="1"/>
  <c r="CH213" i="1"/>
  <c r="CC213" i="1"/>
  <c r="AQ213" i="1" s="1"/>
  <c r="BS213" i="1" s="1"/>
  <c r="AY213" i="1"/>
  <c r="BO213" i="1"/>
  <c r="BQ213" i="1" s="1"/>
  <c r="BN213" i="1" s="1"/>
  <c r="CI213" i="1"/>
  <c r="BI213" i="1"/>
  <c r="BL213" i="1" s="1"/>
  <c r="BJ213" i="1"/>
  <c r="N213" i="1"/>
  <c r="AX213" i="1"/>
  <c r="CB213" i="1"/>
  <c r="CF213" i="1"/>
  <c r="M213" i="1"/>
  <c r="CG214" i="1"/>
  <c r="CI214" i="1"/>
  <c r="CC214" i="1"/>
  <c r="M214" i="1"/>
  <c r="BC214" i="1"/>
  <c r="N214" i="1"/>
  <c r="CF214" i="1"/>
  <c r="AY214" i="1"/>
  <c r="CB214" i="1"/>
  <c r="AX214" i="1"/>
  <c r="S214" i="1"/>
  <c r="O214" i="1"/>
  <c r="CE214" i="1"/>
  <c r="BI214" i="1"/>
  <c r="BL214" i="1" s="1"/>
  <c r="BJ214" i="1"/>
  <c r="CJ214" i="1"/>
  <c r="CH214" i="1"/>
  <c r="BO214" i="1"/>
  <c r="BQ214" i="1" s="1"/>
  <c r="BN214" i="1" s="1"/>
  <c r="AX215" i="1"/>
  <c r="CI215" i="1"/>
  <c r="CF215" i="1"/>
  <c r="N215" i="1"/>
  <c r="BO215" i="1"/>
  <c r="BQ215" i="1" s="1"/>
  <c r="BN215" i="1" s="1"/>
  <c r="BC215" i="1"/>
  <c r="O215" i="1"/>
  <c r="CJ215" i="1"/>
  <c r="BJ215" i="1"/>
  <c r="CE215" i="1"/>
  <c r="CC215" i="1"/>
  <c r="AQ215" i="1" s="1"/>
  <c r="BS215" i="1" s="1"/>
  <c r="S215" i="1"/>
  <c r="AY215" i="1"/>
  <c r="M215" i="1"/>
  <c r="CB215" i="1"/>
  <c r="BI215" i="1"/>
  <c r="BL215" i="1" s="1"/>
  <c r="CG215" i="1"/>
  <c r="CH215" i="1"/>
  <c r="M216" i="1"/>
  <c r="CF216" i="1"/>
  <c r="CG216" i="1"/>
  <c r="CI216" i="1"/>
  <c r="AZ216" i="1"/>
  <c r="CE216" i="1"/>
  <c r="CB216" i="1"/>
  <c r="CH216" i="1"/>
  <c r="CC216" i="1"/>
  <c r="BC216" i="1"/>
  <c r="CJ216" i="1"/>
  <c r="BO216" i="1"/>
  <c r="BQ216" i="1" s="1"/>
  <c r="BN216" i="1" s="1"/>
  <c r="S216" i="1"/>
  <c r="AX216" i="1"/>
  <c r="BI216" i="1"/>
  <c r="BL216" i="1" s="1"/>
  <c r="AY216" i="1"/>
  <c r="BJ216" i="1"/>
  <c r="CI217" i="1"/>
  <c r="BI217" i="1"/>
  <c r="BL217" i="1" s="1"/>
  <c r="AZ217" i="1"/>
  <c r="BJ217" i="1"/>
  <c r="CG217" i="1"/>
  <c r="M217" i="1"/>
  <c r="BO217" i="1"/>
  <c r="BQ217" i="1" s="1"/>
  <c r="BN217" i="1" s="1"/>
  <c r="S217" i="1"/>
  <c r="CB217" i="1"/>
  <c r="CC217" i="1"/>
  <c r="CJ217" i="1"/>
  <c r="CE217" i="1"/>
  <c r="AX217" i="1"/>
  <c r="CF217" i="1"/>
  <c r="AY217" i="1"/>
  <c r="CH217" i="1"/>
  <c r="BC217" i="1"/>
  <c r="BC218" i="1"/>
  <c r="AI218" i="1"/>
  <c r="M218" i="1"/>
  <c r="BO218" i="1"/>
  <c r="BQ218" i="1" s="1"/>
  <c r="BN218" i="1" s="1"/>
  <c r="CH218" i="1"/>
  <c r="CJ218" i="1"/>
  <c r="S218" i="1"/>
  <c r="CC218" i="1"/>
  <c r="AY218" i="1"/>
  <c r="BI218" i="1"/>
  <c r="BL218" i="1" s="1"/>
  <c r="AX218" i="1"/>
  <c r="CF218" i="1"/>
  <c r="CB218" i="1"/>
  <c r="CG218" i="1"/>
  <c r="CI218" i="1"/>
  <c r="BJ218" i="1"/>
  <c r="CE218" i="1"/>
  <c r="BC220" i="1"/>
  <c r="AX220" i="1"/>
  <c r="AY220" i="1"/>
  <c r="BI220" i="1"/>
  <c r="BL220" i="1" s="1"/>
  <c r="CF220" i="1"/>
  <c r="CG220" i="1"/>
  <c r="CB220" i="1"/>
  <c r="CJ220" i="1"/>
  <c r="S220" i="1"/>
  <c r="CI220" i="1"/>
  <c r="CE220" i="1"/>
  <c r="CC220" i="1"/>
  <c r="M220" i="1"/>
  <c r="BO220" i="1"/>
  <c r="BQ220" i="1" s="1"/>
  <c r="BN220" i="1" s="1"/>
  <c r="AZ220" i="1"/>
  <c r="AI220" i="1"/>
  <c r="BJ220" i="1"/>
  <c r="CH220" i="1"/>
  <c r="AI300" i="1"/>
  <c r="CH300" i="1"/>
  <c r="AX300" i="1"/>
  <c r="CJ300" i="1"/>
  <c r="S300" i="1"/>
  <c r="CB300" i="1"/>
  <c r="M300" i="1"/>
  <c r="BJ300" i="1"/>
  <c r="BI300" i="1"/>
  <c r="BL300" i="1" s="1"/>
  <c r="BO300" i="1"/>
  <c r="BQ300" i="1" s="1"/>
  <c r="BN300" i="1" s="1"/>
  <c r="CC300" i="1"/>
  <c r="AQ300" i="1" s="1"/>
  <c r="BS300" i="1" s="1"/>
  <c r="CF300" i="1"/>
  <c r="AY300" i="1"/>
  <c r="CG300" i="1"/>
  <c r="CE300" i="1"/>
  <c r="BC300" i="1"/>
  <c r="CI300" i="1"/>
  <c r="AZ300" i="1"/>
  <c r="BC309" i="1"/>
  <c r="BI309" i="1"/>
  <c r="BL309" i="1" s="1"/>
  <c r="BJ309" i="1"/>
  <c r="CJ309" i="1"/>
  <c r="CC309" i="1"/>
  <c r="CB309" i="1"/>
  <c r="AI309" i="1"/>
  <c r="CI309" i="1"/>
  <c r="CE309" i="1"/>
  <c r="AZ309" i="1"/>
  <c r="BO309" i="1"/>
  <c r="BQ309" i="1" s="1"/>
  <c r="BN309" i="1" s="1"/>
  <c r="CH309" i="1"/>
  <c r="AX309" i="1"/>
  <c r="AY309" i="1"/>
  <c r="M309" i="1"/>
  <c r="CG309" i="1"/>
  <c r="S309" i="1"/>
  <c r="CF309" i="1"/>
  <c r="BO223" i="1"/>
  <c r="BQ223" i="1" s="1"/>
  <c r="BN223" i="1" s="1"/>
  <c r="CJ223" i="1"/>
  <c r="M223" i="1"/>
  <c r="AZ223" i="1"/>
  <c r="CI223" i="1"/>
  <c r="BI223" i="1"/>
  <c r="BL223" i="1" s="1"/>
  <c r="AX223" i="1"/>
  <c r="S223" i="1"/>
  <c r="CF223" i="1"/>
  <c r="CC223" i="1"/>
  <c r="CB223" i="1"/>
  <c r="AY223" i="1"/>
  <c r="N223" i="1"/>
  <c r="CE223" i="1"/>
  <c r="CH223" i="1"/>
  <c r="BJ223" i="1"/>
  <c r="CG223" i="1"/>
  <c r="BC223" i="1"/>
  <c r="O223" i="1"/>
  <c r="BI324" i="1"/>
  <c r="BL324" i="1" s="1"/>
  <c r="AZ324" i="1"/>
  <c r="AY324" i="1"/>
  <c r="CB324" i="1"/>
  <c r="CI324" i="1"/>
  <c r="CE324" i="1"/>
  <c r="CJ324" i="1"/>
  <c r="S324" i="1"/>
  <c r="M324" i="1"/>
  <c r="CF324" i="1"/>
  <c r="O324" i="1"/>
  <c r="N324" i="1"/>
  <c r="BC324" i="1"/>
  <c r="AX324" i="1"/>
  <c r="BJ324" i="1"/>
  <c r="CG324" i="1"/>
  <c r="BO324" i="1"/>
  <c r="BQ324" i="1" s="1"/>
  <c r="BN324" i="1" s="1"/>
  <c r="CC324" i="1"/>
  <c r="CH324" i="1"/>
  <c r="M221" i="1"/>
  <c r="CJ221" i="1"/>
  <c r="CC221" i="1"/>
  <c r="AQ221" i="1" s="1"/>
  <c r="BS221" i="1" s="1"/>
  <c r="S221" i="1"/>
  <c r="AY221" i="1"/>
  <c r="BC221" i="1"/>
  <c r="CI221" i="1"/>
  <c r="CF221" i="1"/>
  <c r="CE221" i="1"/>
  <c r="BI221" i="1"/>
  <c r="BL221" i="1" s="1"/>
  <c r="AI221" i="1"/>
  <c r="CG221" i="1"/>
  <c r="CB221" i="1"/>
  <c r="AX221" i="1"/>
  <c r="BO221" i="1"/>
  <c r="BQ221" i="1" s="1"/>
  <c r="BN221" i="1" s="1"/>
  <c r="BJ221" i="1"/>
  <c r="CH221" i="1"/>
  <c r="AZ221" i="1"/>
  <c r="AX222" i="1"/>
  <c r="CB222" i="1"/>
  <c r="BC222" i="1"/>
  <c r="CG222" i="1"/>
  <c r="AZ222" i="1"/>
  <c r="CC222" i="1"/>
  <c r="AQ222" i="1" s="1"/>
  <c r="BS222" i="1" s="1"/>
  <c r="S222" i="1"/>
  <c r="CF222" i="1"/>
  <c r="AI222" i="1"/>
  <c r="BO222" i="1"/>
  <c r="BQ222" i="1" s="1"/>
  <c r="BN222" i="1" s="1"/>
  <c r="BJ222" i="1"/>
  <c r="CH222" i="1"/>
  <c r="CJ222" i="1"/>
  <c r="BI222" i="1"/>
  <c r="BL222" i="1" s="1"/>
  <c r="AY222" i="1"/>
  <c r="CI222" i="1"/>
  <c r="CE222" i="1"/>
  <c r="M222" i="1"/>
  <c r="N222" i="1"/>
  <c r="O222" i="1"/>
  <c r="CF224" i="1"/>
  <c r="BJ224" i="1"/>
  <c r="CG224" i="1"/>
  <c r="CB224" i="1"/>
  <c r="BC224" i="1"/>
  <c r="BO224" i="1"/>
  <c r="BQ224" i="1" s="1"/>
  <c r="BN224" i="1" s="1"/>
  <c r="BI224" i="1"/>
  <c r="BL224" i="1" s="1"/>
  <c r="AY224" i="1"/>
  <c r="CJ224" i="1"/>
  <c r="CC224" i="1"/>
  <c r="CE224" i="1"/>
  <c r="CI224" i="1"/>
  <c r="M224" i="1"/>
  <c r="AX224" i="1"/>
  <c r="S224" i="1"/>
  <c r="CH224" i="1"/>
  <c r="AZ224" i="1"/>
  <c r="CI226" i="1"/>
  <c r="CG226" i="1"/>
  <c r="BC226" i="1"/>
  <c r="CB226" i="1"/>
  <c r="AX226" i="1"/>
  <c r="BJ226" i="1"/>
  <c r="AI226" i="1"/>
  <c r="CJ226" i="1"/>
  <c r="BO226" i="1"/>
  <c r="BQ226" i="1" s="1"/>
  <c r="BN226" i="1" s="1"/>
  <c r="CF226" i="1"/>
  <c r="CH226" i="1"/>
  <c r="CE226" i="1"/>
  <c r="AY226" i="1"/>
  <c r="S226" i="1"/>
  <c r="CC226" i="1"/>
  <c r="BI226" i="1"/>
  <c r="BL226" i="1" s="1"/>
  <c r="M226" i="1"/>
  <c r="BJ227" i="1"/>
  <c r="CI227" i="1"/>
  <c r="AZ227" i="1"/>
  <c r="CJ227" i="1"/>
  <c r="S227" i="1"/>
  <c r="AY227" i="1"/>
  <c r="CC227" i="1"/>
  <c r="CE227" i="1"/>
  <c r="CB227" i="1"/>
  <c r="AX227" i="1"/>
  <c r="CH227" i="1"/>
  <c r="M227" i="1"/>
  <c r="BC227" i="1"/>
  <c r="CG227" i="1"/>
  <c r="BI227" i="1"/>
  <c r="BL227" i="1" s="1"/>
  <c r="BO227" i="1"/>
  <c r="BQ227" i="1" s="1"/>
  <c r="BN227" i="1" s="1"/>
  <c r="CF227" i="1"/>
  <c r="CH228" i="1"/>
  <c r="CI228" i="1"/>
  <c r="AZ228" i="1"/>
  <c r="CG228" i="1"/>
  <c r="S228" i="1"/>
  <c r="AX228" i="1"/>
  <c r="BI228" i="1"/>
  <c r="BL228" i="1" s="1"/>
  <c r="CF228" i="1"/>
  <c r="AI228" i="1"/>
  <c r="BJ228" i="1"/>
  <c r="CC228" i="1"/>
  <c r="AQ228" i="1" s="1"/>
  <c r="BS228" i="1" s="1"/>
  <c r="CB228" i="1"/>
  <c r="M228" i="1"/>
  <c r="AY228" i="1"/>
  <c r="BC228" i="1"/>
  <c r="CJ228" i="1"/>
  <c r="CE228" i="1"/>
  <c r="BO228" i="1"/>
  <c r="BQ228" i="1" s="1"/>
  <c r="BN228" i="1" s="1"/>
  <c r="AX174" i="3"/>
  <c r="AX191" i="3"/>
  <c r="M193" i="1"/>
  <c r="M191" i="1"/>
  <c r="M188" i="1"/>
  <c r="Z381" i="5"/>
  <c r="AA381" i="5"/>
  <c r="AZ191" i="3"/>
  <c r="BQ191" i="3"/>
  <c r="BF140" i="3"/>
  <c r="BG140" i="3"/>
  <c r="BP140" i="3" a="1"/>
  <c r="BP140" i="3" s="1"/>
  <c r="BT140" i="3" s="1"/>
  <c r="AS140" i="3"/>
  <c r="BH140" i="3" s="1"/>
  <c r="AT140" i="3"/>
  <c r="AU140" i="3" s="1"/>
  <c r="AZ140" i="1"/>
  <c r="CB140" i="1"/>
  <c r="S140" i="1"/>
  <c r="CC140" i="1"/>
  <c r="AQ140" i="1" s="1"/>
  <c r="BS140" i="1" s="1"/>
  <c r="CE140" i="1"/>
  <c r="BC140" i="1"/>
  <c r="CF140" i="1"/>
  <c r="AI140" i="1"/>
  <c r="BI140" i="1"/>
  <c r="BL140" i="1" s="1"/>
  <c r="CG140" i="1"/>
  <c r="BJ140" i="1"/>
  <c r="CH140" i="1"/>
  <c r="CI140" i="1"/>
  <c r="BO140" i="1"/>
  <c r="BQ140" i="1" s="1"/>
  <c r="BN140" i="1" s="1"/>
  <c r="CJ140" i="1"/>
  <c r="O140" i="1"/>
  <c r="AY140" i="1"/>
  <c r="AX140" i="1"/>
  <c r="N140" i="1"/>
  <c r="M140" i="1"/>
  <c r="W140" i="5"/>
  <c r="BE140" i="3"/>
  <c r="BL140" i="3" s="1"/>
  <c r="AC140" i="5"/>
  <c r="BH140" i="1"/>
  <c r="Y140" i="5"/>
  <c r="X140" i="5"/>
  <c r="J140" i="1"/>
  <c r="K140" i="1"/>
  <c r="AP140" i="1"/>
  <c r="AB140" i="5" s="1"/>
  <c r="BP149" i="3" a="1"/>
  <c r="BP149" i="3" s="1"/>
  <c r="BT149" i="3" s="1"/>
  <c r="AS149" i="3"/>
  <c r="BH149" i="3" s="1"/>
  <c r="BO149" i="3" s="1"/>
  <c r="AT149" i="3"/>
  <c r="BJ149" i="3" s="1"/>
  <c r="BF149" i="3"/>
  <c r="X149" i="5"/>
  <c r="AC149" i="5"/>
  <c r="Y149" i="5"/>
  <c r="O149" i="1"/>
  <c r="AY149" i="1"/>
  <c r="S149" i="1"/>
  <c r="CC149" i="1"/>
  <c r="AQ149" i="1" s="1"/>
  <c r="BS149" i="1" s="1"/>
  <c r="BC149" i="1"/>
  <c r="CF149" i="1"/>
  <c r="AI149" i="1"/>
  <c r="BI149" i="1"/>
  <c r="BL149" i="1" s="1"/>
  <c r="CG149" i="1"/>
  <c r="BJ149" i="1"/>
  <c r="CH149" i="1"/>
  <c r="CI149" i="1"/>
  <c r="CB149" i="1"/>
  <c r="CE149" i="1"/>
  <c r="AX149" i="1"/>
  <c r="CJ149" i="1"/>
  <c r="AZ149" i="1"/>
  <c r="N149" i="1"/>
  <c r="BO149" i="1"/>
  <c r="BQ149" i="1" s="1"/>
  <c r="BN149" i="1" s="1"/>
  <c r="M149" i="1"/>
  <c r="W149" i="5"/>
  <c r="BG149" i="3"/>
  <c r="K149" i="1"/>
  <c r="BE149" i="3"/>
  <c r="J149" i="1"/>
  <c r="BH149" i="1"/>
  <c r="BE149" i="1"/>
  <c r="BD149" i="1"/>
  <c r="AP149" i="1"/>
  <c r="AB149" i="5" s="1"/>
  <c r="BG148" i="3"/>
  <c r="AS148" i="3"/>
  <c r="BH148" i="3" s="1"/>
  <c r="BP148" i="3" a="1"/>
  <c r="BP148" i="3" s="1"/>
  <c r="BT148" i="3" s="1"/>
  <c r="AT148" i="3"/>
  <c r="BJ148" i="3" s="1"/>
  <c r="BR148" i="3" s="1"/>
  <c r="BV148" i="3" s="1"/>
  <c r="BF148" i="3"/>
  <c r="N148" i="1"/>
  <c r="AX148" i="1"/>
  <c r="AZ148" i="1"/>
  <c r="CB148" i="1"/>
  <c r="CE148" i="1"/>
  <c r="BC148" i="1"/>
  <c r="CF148" i="1"/>
  <c r="AI148" i="1"/>
  <c r="BI148" i="1"/>
  <c r="BL148" i="1" s="1"/>
  <c r="CG148" i="1"/>
  <c r="BJ148" i="1"/>
  <c r="CH148" i="1"/>
  <c r="BO148" i="1"/>
  <c r="BQ148" i="1" s="1"/>
  <c r="BN148" i="1" s="1"/>
  <c r="CC148" i="1"/>
  <c r="AQ148" i="1" s="1"/>
  <c r="BS148" i="1" s="1"/>
  <c r="CI148" i="1"/>
  <c r="CJ148" i="1"/>
  <c r="AY148" i="1"/>
  <c r="O148" i="1"/>
  <c r="S148" i="1"/>
  <c r="AC148" i="5"/>
  <c r="X148" i="5"/>
  <c r="BE148" i="3"/>
  <c r="BL148" i="3" s="1"/>
  <c r="Y148" i="5"/>
  <c r="W148" i="5"/>
  <c r="AU148" i="3"/>
  <c r="M148" i="1"/>
  <c r="K148" i="1"/>
  <c r="BH148" i="1"/>
  <c r="AP148" i="1"/>
  <c r="AB148" i="5" s="1"/>
  <c r="J148" i="1"/>
  <c r="AS147" i="3"/>
  <c r="BH147" i="3" s="1"/>
  <c r="BF147" i="3"/>
  <c r="BG147" i="3"/>
  <c r="AT147" i="3"/>
  <c r="BJ147" i="3" s="1"/>
  <c r="BR147" i="3" s="1"/>
  <c r="BV147" i="3" s="1"/>
  <c r="BP147" i="3" a="1"/>
  <c r="BP147" i="3" s="1"/>
  <c r="BT147" i="3" s="1"/>
  <c r="AC147" i="5"/>
  <c r="Y147" i="5"/>
  <c r="X147" i="5"/>
  <c r="W147" i="5"/>
  <c r="BO147" i="1"/>
  <c r="BQ147" i="1" s="1"/>
  <c r="BN147" i="1" s="1"/>
  <c r="CJ147" i="1"/>
  <c r="N147" i="1"/>
  <c r="AX147" i="1"/>
  <c r="O147" i="1"/>
  <c r="AY147" i="1"/>
  <c r="S147" i="1"/>
  <c r="CC147" i="1"/>
  <c r="AQ147" i="1" s="1"/>
  <c r="BS147" i="1" s="1"/>
  <c r="CE147" i="1"/>
  <c r="BC147" i="1"/>
  <c r="CF147" i="1"/>
  <c r="AI147" i="1"/>
  <c r="BI147" i="1"/>
  <c r="BL147" i="1" s="1"/>
  <c r="CG147" i="1"/>
  <c r="CI147" i="1"/>
  <c r="BJ147" i="1"/>
  <c r="CB147" i="1"/>
  <c r="CH147" i="1"/>
  <c r="AZ147" i="1"/>
  <c r="M147" i="1"/>
  <c r="J147" i="1"/>
  <c r="K147" i="1"/>
  <c r="BE147" i="1"/>
  <c r="BE147" i="3"/>
  <c r="BD147" i="1"/>
  <c r="BH147" i="1"/>
  <c r="AP147" i="1"/>
  <c r="AB147" i="5" s="1"/>
  <c r="BF146" i="3"/>
  <c r="BP146" i="3" a="1"/>
  <c r="BP146" i="3" s="1"/>
  <c r="BT146" i="3" s="1"/>
  <c r="AS146" i="3"/>
  <c r="BH146" i="3" s="1"/>
  <c r="AT146" i="3"/>
  <c r="BJ146" i="3" s="1"/>
  <c r="BR146" i="3" s="1"/>
  <c r="BV146" i="3" s="1"/>
  <c r="CI146" i="1"/>
  <c r="BO146" i="1"/>
  <c r="BQ146" i="1" s="1"/>
  <c r="BN146" i="1" s="1"/>
  <c r="CJ146" i="1"/>
  <c r="N146" i="1"/>
  <c r="AX146" i="1"/>
  <c r="O146" i="1"/>
  <c r="AY146" i="1"/>
  <c r="AZ146" i="1"/>
  <c r="CB146" i="1"/>
  <c r="S146" i="1"/>
  <c r="CC146" i="1"/>
  <c r="AQ146" i="1" s="1"/>
  <c r="BS146" i="1" s="1"/>
  <c r="CE146" i="1"/>
  <c r="BC146" i="1"/>
  <c r="CF146" i="1"/>
  <c r="BJ146" i="1"/>
  <c r="CH146" i="1"/>
  <c r="BI146" i="1"/>
  <c r="BL146" i="1" s="1"/>
  <c r="AI146" i="1"/>
  <c r="CG146" i="1"/>
  <c r="M146" i="1"/>
  <c r="AC146" i="5"/>
  <c r="X146" i="5"/>
  <c r="BG146" i="3"/>
  <c r="W146" i="5"/>
  <c r="Y146" i="5"/>
  <c r="BH146" i="1"/>
  <c r="J146" i="1"/>
  <c r="BE146" i="3"/>
  <c r="K146" i="1"/>
  <c r="AP146" i="1"/>
  <c r="AB146" i="5" s="1"/>
  <c r="AT145" i="3"/>
  <c r="BB145" i="3" s="1"/>
  <c r="BP145" i="3" a="1"/>
  <c r="BP145" i="3" s="1"/>
  <c r="BT145" i="3" s="1"/>
  <c r="BF145" i="3"/>
  <c r="AS145" i="3"/>
  <c r="BH145" i="3" s="1"/>
  <c r="X145" i="5"/>
  <c r="W145" i="5"/>
  <c r="BJ145" i="1"/>
  <c r="CH145" i="1"/>
  <c r="CI145" i="1"/>
  <c r="BO145" i="1"/>
  <c r="BQ145" i="1" s="1"/>
  <c r="BN145" i="1" s="1"/>
  <c r="CJ145" i="1"/>
  <c r="N145" i="1"/>
  <c r="AX145" i="1"/>
  <c r="O145" i="1"/>
  <c r="AY145" i="1"/>
  <c r="AZ145" i="1"/>
  <c r="CB145" i="1"/>
  <c r="S145" i="1"/>
  <c r="CC145" i="1"/>
  <c r="AQ145" i="1" s="1"/>
  <c r="BS145" i="1" s="1"/>
  <c r="CE145" i="1"/>
  <c r="AI145" i="1"/>
  <c r="BI145" i="1"/>
  <c r="BL145" i="1" s="1"/>
  <c r="CG145" i="1"/>
  <c r="CF145" i="1"/>
  <c r="BC145" i="1"/>
  <c r="AC145" i="5"/>
  <c r="M145" i="1"/>
  <c r="BG145" i="3"/>
  <c r="Y145" i="5"/>
  <c r="AP145" i="1"/>
  <c r="AB145" i="5" s="1"/>
  <c r="L145" i="1"/>
  <c r="BE145" i="3"/>
  <c r="BD145" i="1"/>
  <c r="BH145" i="1"/>
  <c r="J145" i="1"/>
  <c r="BE145" i="1"/>
  <c r="K145" i="1"/>
  <c r="BF144" i="3"/>
  <c r="AT144" i="3"/>
  <c r="BJ144" i="3" s="1"/>
  <c r="BR144" i="3" s="1"/>
  <c r="BV144" i="3" s="1"/>
  <c r="BP144" i="3" a="1"/>
  <c r="BP144" i="3" s="1"/>
  <c r="BT144" i="3" s="1"/>
  <c r="BG144" i="3"/>
  <c r="AS144" i="3"/>
  <c r="BH144" i="3" s="1"/>
  <c r="AC144" i="5"/>
  <c r="Y144" i="5"/>
  <c r="AI144" i="1"/>
  <c r="BI144" i="1"/>
  <c r="BL144" i="1" s="1"/>
  <c r="CG144" i="1"/>
  <c r="BJ144" i="1"/>
  <c r="CH144" i="1"/>
  <c r="CI144" i="1"/>
  <c r="BO144" i="1"/>
  <c r="BQ144" i="1" s="1"/>
  <c r="BN144" i="1" s="1"/>
  <c r="CJ144" i="1"/>
  <c r="N144" i="1"/>
  <c r="AX144" i="1"/>
  <c r="O144" i="1"/>
  <c r="AY144" i="1"/>
  <c r="AZ144" i="1"/>
  <c r="CB144" i="1"/>
  <c r="S144" i="1"/>
  <c r="CC144" i="1"/>
  <c r="AQ144" i="1" s="1"/>
  <c r="BS144" i="1" s="1"/>
  <c r="BC144" i="1"/>
  <c r="CF144" i="1"/>
  <c r="CE144" i="1"/>
  <c r="M144" i="1"/>
  <c r="X144" i="5"/>
  <c r="BE144" i="3"/>
  <c r="BL144" i="3" s="1"/>
  <c r="W144" i="5"/>
  <c r="BH144" i="1"/>
  <c r="AP144" i="1"/>
  <c r="AB144" i="5" s="1"/>
  <c r="BE144" i="1"/>
  <c r="J144" i="1"/>
  <c r="K144" i="1"/>
  <c r="BD144" i="1"/>
  <c r="BF143" i="3"/>
  <c r="BP143" i="3" a="1"/>
  <c r="BP143" i="3" s="1"/>
  <c r="BT143" i="3" s="1"/>
  <c r="AS143" i="3"/>
  <c r="BH143" i="3" s="1"/>
  <c r="AT143" i="3"/>
  <c r="BJ143" i="3" s="1"/>
  <c r="BR143" i="3" s="1"/>
  <c r="BV143" i="3" s="1"/>
  <c r="BC143" i="1"/>
  <c r="CF143" i="1"/>
  <c r="AI143" i="1"/>
  <c r="BI143" i="1"/>
  <c r="BL143" i="1" s="1"/>
  <c r="CG143" i="1"/>
  <c r="BJ143" i="1"/>
  <c r="CH143" i="1"/>
  <c r="CI143" i="1"/>
  <c r="BO143" i="1"/>
  <c r="BQ143" i="1" s="1"/>
  <c r="BN143" i="1" s="1"/>
  <c r="CJ143" i="1"/>
  <c r="N143" i="1"/>
  <c r="AX143" i="1"/>
  <c r="O143" i="1"/>
  <c r="AY143" i="1"/>
  <c r="AZ143" i="1"/>
  <c r="CB143" i="1"/>
  <c r="CE143" i="1"/>
  <c r="S143" i="1"/>
  <c r="CC143" i="1"/>
  <c r="AQ143" i="1" s="1"/>
  <c r="BS143" i="1" s="1"/>
  <c r="BG143" i="3"/>
  <c r="M143" i="1"/>
  <c r="AC143" i="5"/>
  <c r="BE143" i="3"/>
  <c r="BL143" i="3" s="1"/>
  <c r="X143" i="5"/>
  <c r="W143" i="5"/>
  <c r="Y143" i="5"/>
  <c r="BE143" i="1"/>
  <c r="J143" i="1"/>
  <c r="BD143" i="1"/>
  <c r="K143" i="1"/>
  <c r="AP143" i="1"/>
  <c r="AB143" i="5" s="1"/>
  <c r="BH143" i="1"/>
  <c r="AS142" i="3"/>
  <c r="BH142" i="3" s="1"/>
  <c r="BP142" i="3" a="1"/>
  <c r="BP142" i="3" s="1"/>
  <c r="BT142" i="3" s="1"/>
  <c r="AT142" i="3"/>
  <c r="BJ142" i="3" s="1"/>
  <c r="BF142" i="3"/>
  <c r="BG142" i="3"/>
  <c r="CE142" i="1"/>
  <c r="BC142" i="1"/>
  <c r="CF142" i="1"/>
  <c r="AI142" i="1"/>
  <c r="BI142" i="1"/>
  <c r="BL142" i="1" s="1"/>
  <c r="CG142" i="1"/>
  <c r="BJ142" i="1"/>
  <c r="CH142" i="1"/>
  <c r="CI142" i="1"/>
  <c r="BO142" i="1"/>
  <c r="BQ142" i="1" s="1"/>
  <c r="BN142" i="1" s="1"/>
  <c r="CJ142" i="1"/>
  <c r="N142" i="1"/>
  <c r="AX142" i="1"/>
  <c r="O142" i="1"/>
  <c r="AY142" i="1"/>
  <c r="S142" i="1"/>
  <c r="CC142" i="1"/>
  <c r="AQ142" i="1" s="1"/>
  <c r="BS142" i="1" s="1"/>
  <c r="AZ142" i="1"/>
  <c r="CB142" i="1"/>
  <c r="M142" i="1"/>
  <c r="X142" i="5"/>
  <c r="W142" i="5"/>
  <c r="AC142" i="5"/>
  <c r="AP142" i="1"/>
  <c r="AB142" i="5" s="1"/>
  <c r="Y142" i="5"/>
  <c r="J142" i="1"/>
  <c r="BU142" i="1" s="1"/>
  <c r="BH142" i="1"/>
  <c r="BE142" i="3"/>
  <c r="K142" i="1"/>
  <c r="BP141" i="3" a="1"/>
  <c r="BP141" i="3" s="1"/>
  <c r="BT141" i="3" s="1"/>
  <c r="AS141" i="3"/>
  <c r="BH141" i="3" s="1"/>
  <c r="BF141" i="3"/>
  <c r="AT141" i="3"/>
  <c r="BJ141" i="3" s="1"/>
  <c r="BR141" i="3" s="1"/>
  <c r="BV141" i="3" s="1"/>
  <c r="S141" i="1"/>
  <c r="CC141" i="1"/>
  <c r="AQ141" i="1" s="1"/>
  <c r="BS141" i="1" s="1"/>
  <c r="CE141" i="1"/>
  <c r="BC141" i="1"/>
  <c r="CF141" i="1"/>
  <c r="AI141" i="1"/>
  <c r="BI141" i="1"/>
  <c r="BL141" i="1" s="1"/>
  <c r="CG141" i="1"/>
  <c r="BJ141" i="1"/>
  <c r="CH141" i="1"/>
  <c r="CI141" i="1"/>
  <c r="BO141" i="1"/>
  <c r="BQ141" i="1" s="1"/>
  <c r="BN141" i="1" s="1"/>
  <c r="CJ141" i="1"/>
  <c r="N141" i="1"/>
  <c r="AX141" i="1"/>
  <c r="AZ141" i="1"/>
  <c r="CB141" i="1"/>
  <c r="O141" i="1"/>
  <c r="AY141" i="1"/>
  <c r="AC141" i="5"/>
  <c r="M141" i="1"/>
  <c r="BG141" i="3"/>
  <c r="W141" i="5"/>
  <c r="K141" i="1"/>
  <c r="X141" i="5"/>
  <c r="BE141" i="3"/>
  <c r="AP141" i="1"/>
  <c r="AB141" i="5" s="1"/>
  <c r="BE141" i="1"/>
  <c r="Y141" i="5"/>
  <c r="BH141" i="1"/>
  <c r="J141" i="1"/>
  <c r="BD141" i="1"/>
  <c r="AS150" i="3"/>
  <c r="BH150" i="3" s="1"/>
  <c r="BF150" i="3"/>
  <c r="BG150" i="3"/>
  <c r="AT150" i="3"/>
  <c r="AU150" i="3" s="1"/>
  <c r="BP150" i="3" a="1"/>
  <c r="BP150" i="3" s="1"/>
  <c r="BT150" i="3" s="1"/>
  <c r="N150" i="1"/>
  <c r="AY150" i="1"/>
  <c r="BC150" i="1"/>
  <c r="CF150" i="1"/>
  <c r="CI150" i="1"/>
  <c r="AX150" i="1"/>
  <c r="CB150" i="1"/>
  <c r="AZ150" i="1"/>
  <c r="CC150" i="1"/>
  <c r="AQ150" i="1" s="1"/>
  <c r="BS150" i="1" s="1"/>
  <c r="O150" i="1"/>
  <c r="CE150" i="1"/>
  <c r="CG150" i="1"/>
  <c r="S150" i="1"/>
  <c r="BI150" i="1"/>
  <c r="BL150" i="1" s="1"/>
  <c r="CH150" i="1"/>
  <c r="BJ150" i="1"/>
  <c r="CJ150" i="1"/>
  <c r="BO150" i="1"/>
  <c r="BQ150" i="1" s="1"/>
  <c r="BN150" i="1" s="1"/>
  <c r="AC150" i="5"/>
  <c r="M150" i="1"/>
  <c r="W150" i="5"/>
  <c r="X150" i="5"/>
  <c r="BE150" i="3"/>
  <c r="BL150" i="3" s="1"/>
  <c r="Y150" i="5"/>
  <c r="K150" i="1"/>
  <c r="J150" i="1"/>
  <c r="AP150" i="1"/>
  <c r="AB150" i="5" s="1"/>
  <c r="BH150" i="1"/>
  <c r="AS159" i="3"/>
  <c r="BH159" i="3" s="1"/>
  <c r="AT159" i="3"/>
  <c r="BJ159" i="3" s="1"/>
  <c r="BR159" i="3" s="1"/>
  <c r="BV159" i="3" s="1"/>
  <c r="BP159" i="3" a="1"/>
  <c r="BP159" i="3" s="1"/>
  <c r="BF159" i="3"/>
  <c r="AC159" i="5"/>
  <c r="Y159" i="5"/>
  <c r="X159" i="5"/>
  <c r="W159" i="5"/>
  <c r="CI159" i="1"/>
  <c r="BO159" i="1"/>
  <c r="BQ159" i="1" s="1"/>
  <c r="BN159" i="1" s="1"/>
  <c r="CJ159" i="1"/>
  <c r="AX159" i="1"/>
  <c r="N159" i="1"/>
  <c r="AY159" i="1"/>
  <c r="O159" i="1"/>
  <c r="AZ159" i="1"/>
  <c r="CB159" i="1"/>
  <c r="CC159" i="1"/>
  <c r="AQ159" i="1" s="1"/>
  <c r="BS159" i="1" s="1"/>
  <c r="S159" i="1"/>
  <c r="CE159" i="1"/>
  <c r="BC159" i="1"/>
  <c r="CF159" i="1"/>
  <c r="BI159" i="1"/>
  <c r="BL159" i="1" s="1"/>
  <c r="CG159" i="1"/>
  <c r="BJ159" i="1"/>
  <c r="CH159" i="1"/>
  <c r="M159" i="1"/>
  <c r="BG159" i="3"/>
  <c r="BE159" i="3"/>
  <c r="BH159" i="1"/>
  <c r="J159" i="1"/>
  <c r="AP159" i="1"/>
  <c r="AB159" i="5" s="1"/>
  <c r="K159" i="1"/>
  <c r="BF158" i="3"/>
  <c r="BP158" i="3" a="1"/>
  <c r="BP158" i="3" s="1"/>
  <c r="BT158" i="3" s="1"/>
  <c r="AS158" i="3"/>
  <c r="BH158" i="3" s="1"/>
  <c r="AT158" i="3"/>
  <c r="BJ158" i="3" s="1"/>
  <c r="BR158" i="3" s="1"/>
  <c r="BV158" i="3" s="1"/>
  <c r="O158" i="1"/>
  <c r="BI158" i="1"/>
  <c r="BL158" i="1" s="1"/>
  <c r="CG158" i="1"/>
  <c r="BJ158" i="1"/>
  <c r="CH158" i="1"/>
  <c r="CI158" i="1"/>
  <c r="BO158" i="1"/>
  <c r="BQ158" i="1" s="1"/>
  <c r="BN158" i="1" s="1"/>
  <c r="CJ158" i="1"/>
  <c r="AX158" i="1"/>
  <c r="AY158" i="1"/>
  <c r="N158" i="1"/>
  <c r="AZ158" i="1"/>
  <c r="CB158" i="1"/>
  <c r="CC158" i="1"/>
  <c r="AQ158" i="1" s="1"/>
  <c r="BS158" i="1" s="1"/>
  <c r="S158" i="1"/>
  <c r="CE158" i="1"/>
  <c r="BC158" i="1"/>
  <c r="CF158" i="1"/>
  <c r="AC158" i="5"/>
  <c r="BG158" i="3"/>
  <c r="M158" i="1"/>
  <c r="Y158" i="5"/>
  <c r="X158" i="5"/>
  <c r="W158" i="5"/>
  <c r="BE158" i="3"/>
  <c r="BH158" i="1"/>
  <c r="AP158" i="1"/>
  <c r="AB158" i="5" s="1"/>
  <c r="K158" i="1"/>
  <c r="J158" i="1"/>
  <c r="BF157" i="3"/>
  <c r="BG157" i="3"/>
  <c r="AS157" i="3"/>
  <c r="BH157" i="3" s="1"/>
  <c r="BP157" i="3" a="1"/>
  <c r="BP157" i="3" s="1"/>
  <c r="BT157" i="3" s="1"/>
  <c r="AT157" i="3"/>
  <c r="BB157" i="3" s="1"/>
  <c r="X157" i="5"/>
  <c r="W157" i="5"/>
  <c r="AX157" i="1"/>
  <c r="O157" i="1"/>
  <c r="CC157" i="1"/>
  <c r="AQ157" i="1" s="1"/>
  <c r="BS157" i="1" s="1"/>
  <c r="CE157" i="1"/>
  <c r="S157" i="1"/>
  <c r="BC157" i="1"/>
  <c r="CF157" i="1"/>
  <c r="BI157" i="1"/>
  <c r="BL157" i="1" s="1"/>
  <c r="CG157" i="1"/>
  <c r="BJ157" i="1"/>
  <c r="CH157" i="1"/>
  <c r="CI157" i="1"/>
  <c r="BO157" i="1"/>
  <c r="BQ157" i="1" s="1"/>
  <c r="BN157" i="1" s="1"/>
  <c r="CJ157" i="1"/>
  <c r="AY157" i="1"/>
  <c r="N157" i="1"/>
  <c r="AZ157" i="1"/>
  <c r="CB157" i="1"/>
  <c r="AC157" i="5"/>
  <c r="BE157" i="3"/>
  <c r="BL157" i="3" s="1"/>
  <c r="Y157" i="5"/>
  <c r="J157" i="1"/>
  <c r="K157" i="1"/>
  <c r="AP157" i="1"/>
  <c r="AB157" i="5" s="1"/>
  <c r="BH157" i="1"/>
  <c r="M157" i="1"/>
  <c r="BF156" i="3"/>
  <c r="AS156" i="3"/>
  <c r="BH156" i="3" s="1"/>
  <c r="BO156" i="3" s="1"/>
  <c r="AT156" i="3"/>
  <c r="BJ156" i="3" s="1"/>
  <c r="BR156" i="3" s="1"/>
  <c r="BV156" i="3" s="1"/>
  <c r="BP156" i="3" a="1"/>
  <c r="BP156" i="3" s="1"/>
  <c r="AU156" i="3"/>
  <c r="BB156" i="3"/>
  <c r="AC156" i="5"/>
  <c r="Y156" i="5"/>
  <c r="AX156" i="1"/>
  <c r="N156" i="1"/>
  <c r="AY156" i="1"/>
  <c r="O156" i="1"/>
  <c r="AZ156" i="1"/>
  <c r="CB156" i="1"/>
  <c r="CC156" i="1"/>
  <c r="AQ156" i="1" s="1"/>
  <c r="BS156" i="1" s="1"/>
  <c r="S156" i="1"/>
  <c r="CE156" i="1"/>
  <c r="BC156" i="1"/>
  <c r="CF156" i="1"/>
  <c r="BI156" i="1"/>
  <c r="BL156" i="1" s="1"/>
  <c r="CG156" i="1"/>
  <c r="BJ156" i="1"/>
  <c r="CH156" i="1"/>
  <c r="CI156" i="1"/>
  <c r="BO156" i="1"/>
  <c r="BQ156" i="1" s="1"/>
  <c r="BN156" i="1" s="1"/>
  <c r="CJ156" i="1"/>
  <c r="M156" i="1"/>
  <c r="BG156" i="3"/>
  <c r="X156" i="5"/>
  <c r="BE156" i="3"/>
  <c r="W156" i="5"/>
  <c r="AP156" i="1"/>
  <c r="AB156" i="5" s="1"/>
  <c r="BH156" i="1"/>
  <c r="K156" i="1"/>
  <c r="J156" i="1"/>
  <c r="BF155" i="3"/>
  <c r="AS155" i="3"/>
  <c r="BH155" i="3" s="1"/>
  <c r="BP155" i="3" a="1"/>
  <c r="BP155" i="3" s="1"/>
  <c r="AT155" i="3"/>
  <c r="BJ155" i="3" s="1"/>
  <c r="BR155" i="3" s="1"/>
  <c r="BV155" i="3" s="1"/>
  <c r="CI155" i="1"/>
  <c r="BO155" i="1"/>
  <c r="BQ155" i="1" s="1"/>
  <c r="BN155" i="1" s="1"/>
  <c r="AX155" i="1"/>
  <c r="N155" i="1"/>
  <c r="AY155" i="1"/>
  <c r="O155" i="1"/>
  <c r="AZ155" i="1"/>
  <c r="CB155" i="1"/>
  <c r="CC155" i="1"/>
  <c r="AQ155" i="1" s="1"/>
  <c r="BS155" i="1" s="1"/>
  <c r="S155" i="1"/>
  <c r="CE155" i="1"/>
  <c r="BC155" i="1"/>
  <c r="CF155" i="1"/>
  <c r="BI155" i="1"/>
  <c r="BL155" i="1" s="1"/>
  <c r="CG155" i="1"/>
  <c r="BJ155" i="1"/>
  <c r="CH155" i="1"/>
  <c r="CJ155" i="1"/>
  <c r="W155" i="5"/>
  <c r="AC155" i="5"/>
  <c r="BG155" i="3"/>
  <c r="X155" i="5"/>
  <c r="Y155" i="5"/>
  <c r="AU155" i="3"/>
  <c r="BB155" i="3"/>
  <c r="BE155" i="3"/>
  <c r="K155" i="1"/>
  <c r="M155" i="1"/>
  <c r="J155" i="1"/>
  <c r="BH155" i="1"/>
  <c r="AP155" i="1"/>
  <c r="AB155" i="5" s="1"/>
  <c r="BP154" i="3" a="1"/>
  <c r="BP154" i="3" s="1"/>
  <c r="BT154" i="3" s="1"/>
  <c r="BB154" i="3"/>
  <c r="BF154" i="3"/>
  <c r="BG154" i="3"/>
  <c r="AS154" i="3"/>
  <c r="BH154" i="3" s="1"/>
  <c r="BO154" i="3" s="1"/>
  <c r="AT154" i="3"/>
  <c r="BJ154" i="3" s="1"/>
  <c r="BR154" i="3" s="1"/>
  <c r="BV154" i="3" s="1"/>
  <c r="AU154" i="3"/>
  <c r="BI154" i="1"/>
  <c r="BL154" i="1" s="1"/>
  <c r="CG154" i="1"/>
  <c r="BC154" i="1"/>
  <c r="CH154" i="1"/>
  <c r="BJ154" i="1"/>
  <c r="CI154" i="1"/>
  <c r="CJ154" i="1"/>
  <c r="BO154" i="1"/>
  <c r="BQ154" i="1" s="1"/>
  <c r="BN154" i="1" s="1"/>
  <c r="AX154" i="1"/>
  <c r="N154" i="1"/>
  <c r="AY154" i="1"/>
  <c r="CB154" i="1"/>
  <c r="O154" i="1"/>
  <c r="AZ154" i="1"/>
  <c r="CC154" i="1"/>
  <c r="AQ154" i="1" s="1"/>
  <c r="BS154" i="1" s="1"/>
  <c r="CE154" i="1"/>
  <c r="S154" i="1"/>
  <c r="CF154" i="1"/>
  <c r="W154" i="5"/>
  <c r="BE154" i="3"/>
  <c r="Y154" i="5"/>
  <c r="X154" i="5"/>
  <c r="AC154" i="5"/>
  <c r="K154" i="1"/>
  <c r="BH154" i="1"/>
  <c r="AP154" i="1"/>
  <c r="AB154" i="5" s="1"/>
  <c r="J154" i="1"/>
  <c r="M154" i="1"/>
  <c r="AS153" i="3"/>
  <c r="BH153" i="3" s="1"/>
  <c r="BO153" i="3" s="1"/>
  <c r="AT153" i="3"/>
  <c r="AU153" i="3" s="1"/>
  <c r="BP153" i="3" a="1"/>
  <c r="BP153" i="3" s="1"/>
  <c r="BF153" i="3"/>
  <c r="BG153" i="3"/>
  <c r="S153" i="1"/>
  <c r="CE153" i="1"/>
  <c r="N153" i="1"/>
  <c r="AZ153" i="1"/>
  <c r="CB153" i="1"/>
  <c r="O153" i="1"/>
  <c r="CC153" i="1"/>
  <c r="AQ153" i="1" s="1"/>
  <c r="BS153" i="1" s="1"/>
  <c r="CF153" i="1"/>
  <c r="BC153" i="1"/>
  <c r="CG153" i="1"/>
  <c r="BI153" i="1"/>
  <c r="BL153" i="1" s="1"/>
  <c r="CH153" i="1"/>
  <c r="BJ153" i="1"/>
  <c r="CI153" i="1"/>
  <c r="CJ153" i="1"/>
  <c r="BO153" i="1"/>
  <c r="BQ153" i="1" s="1"/>
  <c r="BN153" i="1" s="1"/>
  <c r="AX153" i="1"/>
  <c r="AY153" i="1"/>
  <c r="AC153" i="5"/>
  <c r="M153" i="1"/>
  <c r="W153" i="5"/>
  <c r="Y153" i="5"/>
  <c r="BE153" i="3"/>
  <c r="X153" i="5"/>
  <c r="J153" i="1"/>
  <c r="BU153" i="1" s="1"/>
  <c r="AP153" i="1"/>
  <c r="AB153" i="5" s="1"/>
  <c r="BH153" i="1"/>
  <c r="K153" i="1"/>
  <c r="BF152" i="3"/>
  <c r="BG152" i="3"/>
  <c r="BP152" i="3" a="1"/>
  <c r="BP152" i="3" s="1"/>
  <c r="BT152" i="3" s="1"/>
  <c r="AS152" i="3"/>
  <c r="BH152" i="3" s="1"/>
  <c r="AT152" i="3"/>
  <c r="AU152" i="3" s="1"/>
  <c r="AX152" i="1"/>
  <c r="O152" i="1"/>
  <c r="AZ152" i="1"/>
  <c r="CB152" i="1"/>
  <c r="AY152" i="1"/>
  <c r="CC152" i="1"/>
  <c r="AQ152" i="1" s="1"/>
  <c r="BS152" i="1" s="1"/>
  <c r="CE152" i="1"/>
  <c r="N152" i="1"/>
  <c r="CF152" i="1"/>
  <c r="BC152" i="1"/>
  <c r="CG152" i="1"/>
  <c r="S152" i="1"/>
  <c r="BI152" i="1"/>
  <c r="BL152" i="1" s="1"/>
  <c r="CH152" i="1"/>
  <c r="BJ152" i="1"/>
  <c r="CI152" i="1"/>
  <c r="CJ152" i="1"/>
  <c r="BO152" i="1"/>
  <c r="BQ152" i="1" s="1"/>
  <c r="BN152" i="1" s="1"/>
  <c r="Y152" i="5"/>
  <c r="AC152" i="5"/>
  <c r="W152" i="5"/>
  <c r="BE152" i="3"/>
  <c r="BL152" i="3" s="1"/>
  <c r="X152" i="5"/>
  <c r="K152" i="1"/>
  <c r="M152" i="1"/>
  <c r="J152" i="1"/>
  <c r="BH152" i="1"/>
  <c r="AP152" i="1"/>
  <c r="AB152" i="5" s="1"/>
  <c r="BF151" i="3"/>
  <c r="AS151" i="3"/>
  <c r="BH151" i="3" s="1"/>
  <c r="BP151" i="3" a="1"/>
  <c r="BP151" i="3" s="1"/>
  <c r="BT151" i="3" s="1"/>
  <c r="AT151" i="3"/>
  <c r="BJ151" i="3" s="1"/>
  <c r="BR151" i="3" s="1"/>
  <c r="BV151" i="3" s="1"/>
  <c r="BG151" i="3"/>
  <c r="AC151" i="5"/>
  <c r="BJ151" i="1"/>
  <c r="CH151" i="1"/>
  <c r="AX151" i="1"/>
  <c r="O151" i="1"/>
  <c r="CE151" i="1"/>
  <c r="CF151" i="1"/>
  <c r="S151" i="1"/>
  <c r="BC151" i="1"/>
  <c r="CG151" i="1"/>
  <c r="BI151" i="1"/>
  <c r="BL151" i="1" s="1"/>
  <c r="CI151" i="1"/>
  <c r="CJ151" i="1"/>
  <c r="BO151" i="1"/>
  <c r="BQ151" i="1" s="1"/>
  <c r="BN151" i="1" s="1"/>
  <c r="AY151" i="1"/>
  <c r="CB151" i="1"/>
  <c r="N151" i="1"/>
  <c r="AV151" i="3" s="1"/>
  <c r="AZ151" i="1"/>
  <c r="CC151" i="1"/>
  <c r="AQ151" i="1" s="1"/>
  <c r="BS151" i="1" s="1"/>
  <c r="W151" i="5"/>
  <c r="BB151" i="3"/>
  <c r="Y151" i="5"/>
  <c r="X151" i="5"/>
  <c r="BE151" i="3"/>
  <c r="BL151" i="3" s="1"/>
  <c r="K151" i="1"/>
  <c r="BH151" i="1"/>
  <c r="AP151" i="1"/>
  <c r="AB151" i="5" s="1"/>
  <c r="M151" i="1"/>
  <c r="J151" i="1"/>
  <c r="AY2" i="1"/>
  <c r="BP2" i="3" a="1"/>
  <c r="BP2" i="3" s="1"/>
  <c r="BF3" i="3"/>
  <c r="BG3" i="3"/>
  <c r="AS3" i="3"/>
  <c r="BH3" i="3" s="1"/>
  <c r="AT3" i="3"/>
  <c r="BJ3" i="3" s="1"/>
  <c r="BR3" i="3" s="1"/>
  <c r="BV3" i="3" s="1"/>
  <c r="BP3" i="3" a="1"/>
  <c r="BP3" i="3" s="1"/>
  <c r="BT3" i="3" s="1"/>
  <c r="X3" i="5"/>
  <c r="AX3" i="1"/>
  <c r="N3" i="1"/>
  <c r="AY3" i="1"/>
  <c r="O3" i="1"/>
  <c r="AZ3" i="1"/>
  <c r="CB3" i="1"/>
  <c r="CC3" i="1"/>
  <c r="AQ3" i="1" s="1"/>
  <c r="BS3" i="1" s="1"/>
  <c r="AC3" i="5"/>
  <c r="S3" i="1"/>
  <c r="CE3" i="1"/>
  <c r="Y3" i="5"/>
  <c r="BC3" i="1"/>
  <c r="CF3" i="1"/>
  <c r="W3" i="5"/>
  <c r="BI3" i="1"/>
  <c r="BL3" i="1" s="1"/>
  <c r="CG3" i="1"/>
  <c r="BJ3" i="1"/>
  <c r="CH3" i="1"/>
  <c r="CI3" i="1"/>
  <c r="BO3" i="1"/>
  <c r="BQ3" i="1" s="1"/>
  <c r="BN3" i="1" s="1"/>
  <c r="CJ3" i="1"/>
  <c r="M3" i="1"/>
  <c r="BE3" i="3"/>
  <c r="BL3" i="3" s="1"/>
  <c r="AP3" i="1"/>
  <c r="AB3" i="5" s="1"/>
  <c r="K3" i="1"/>
  <c r="BD3" i="1"/>
  <c r="J3" i="1"/>
  <c r="BH3" i="1"/>
  <c r="BE3" i="1"/>
  <c r="AT4" i="3"/>
  <c r="BJ4" i="3" s="1"/>
  <c r="BR4" i="3" s="1"/>
  <c r="BV4" i="3" s="1"/>
  <c r="AU4" i="3"/>
  <c r="BP4" i="3" a="1"/>
  <c r="BP4" i="3" s="1"/>
  <c r="BT4" i="3" s="1"/>
  <c r="BG4" i="3"/>
  <c r="AS4" i="3"/>
  <c r="BH4" i="3" s="1"/>
  <c r="BF4" i="3"/>
  <c r="O4" i="1"/>
  <c r="AZ4" i="1"/>
  <c r="CB4" i="1"/>
  <c r="CC4" i="1"/>
  <c r="AQ4" i="1" s="1"/>
  <c r="BS4" i="1" s="1"/>
  <c r="S4" i="1"/>
  <c r="CE4" i="1"/>
  <c r="BC4" i="1"/>
  <c r="CF4" i="1"/>
  <c r="BI4" i="1"/>
  <c r="BL4" i="1" s="1"/>
  <c r="CG4" i="1"/>
  <c r="BJ4" i="1"/>
  <c r="CH4" i="1"/>
  <c r="CI4" i="1"/>
  <c r="BO4" i="1"/>
  <c r="BQ4" i="1" s="1"/>
  <c r="BN4" i="1" s="1"/>
  <c r="CJ4" i="1"/>
  <c r="AX4" i="1"/>
  <c r="N4" i="1"/>
  <c r="AY4" i="1"/>
  <c r="AC4" i="5"/>
  <c r="M4" i="1"/>
  <c r="Y4" i="5"/>
  <c r="W4" i="5"/>
  <c r="J4" i="1"/>
  <c r="AP4" i="1"/>
  <c r="AB4" i="5" s="1"/>
  <c r="X4" i="5"/>
  <c r="BH4" i="1"/>
  <c r="BE4" i="3"/>
  <c r="K4" i="1"/>
  <c r="AX5" i="3"/>
  <c r="BP5" i="3" a="1"/>
  <c r="BP5" i="3" s="1"/>
  <c r="AP5" i="3"/>
  <c r="AQ5" i="3" s="1"/>
  <c r="BG5" i="3"/>
  <c r="AS5" i="3"/>
  <c r="BH5" i="3" s="1"/>
  <c r="BO5" i="3" s="1"/>
  <c r="AT5" i="3"/>
  <c r="BJ5" i="3" s="1"/>
  <c r="BF5" i="3"/>
  <c r="AC5" i="5"/>
  <c r="Y5" i="5"/>
  <c r="BC5" i="1"/>
  <c r="CF5" i="1"/>
  <c r="X5" i="5"/>
  <c r="BI5" i="1"/>
  <c r="BL5" i="1" s="1"/>
  <c r="CG5" i="1"/>
  <c r="AI5" i="1"/>
  <c r="BJ5" i="1"/>
  <c r="CH5" i="1"/>
  <c r="CI5" i="1"/>
  <c r="BO5" i="1"/>
  <c r="BQ5" i="1" s="1"/>
  <c r="BN5" i="1" s="1"/>
  <c r="CJ5" i="1"/>
  <c r="AX5" i="1"/>
  <c r="N5" i="1"/>
  <c r="AY5" i="1"/>
  <c r="CB5" i="1"/>
  <c r="O5" i="1"/>
  <c r="CC5" i="1"/>
  <c r="AQ5" i="1" s="1"/>
  <c r="BS5" i="1" s="1"/>
  <c r="CE5" i="1"/>
  <c r="W5" i="5"/>
  <c r="M5" i="1"/>
  <c r="BH5" i="1"/>
  <c r="BE5" i="3"/>
  <c r="BD5" i="1"/>
  <c r="BE5" i="1"/>
  <c r="K5" i="1"/>
  <c r="AP5" i="1"/>
  <c r="AB5" i="5" s="1"/>
  <c r="J5" i="1"/>
  <c r="AZ5" i="1" s="1"/>
  <c r="AP6" i="3"/>
  <c r="AQ6" i="3" s="1"/>
  <c r="BF6" i="3"/>
  <c r="BG6" i="3"/>
  <c r="AS6" i="3"/>
  <c r="BH6" i="3" s="1"/>
  <c r="AX6" i="3"/>
  <c r="BP6" i="3" a="1"/>
  <c r="BP6" i="3" s="1"/>
  <c r="BT6" i="3" s="1"/>
  <c r="AT6" i="3"/>
  <c r="BJ6" i="3" s="1"/>
  <c r="AU6" i="3"/>
  <c r="W6" i="5"/>
  <c r="X6" i="5"/>
  <c r="AC6" i="5"/>
  <c r="Y6" i="5"/>
  <c r="BE6" i="3"/>
  <c r="BP7" i="3" a="1"/>
  <c r="BP7" i="3" s="1"/>
  <c r="AS7" i="3"/>
  <c r="BH7" i="3" s="1"/>
  <c r="AT7" i="3"/>
  <c r="BJ7" i="3" s="1"/>
  <c r="AX7" i="3"/>
  <c r="BF7" i="3"/>
  <c r="BG7" i="3"/>
  <c r="AP7" i="3"/>
  <c r="AQ7" i="3" s="1"/>
  <c r="AC7" i="5"/>
  <c r="CE7" i="1"/>
  <c r="BC7" i="1"/>
  <c r="CF7" i="1"/>
  <c r="BI7" i="1"/>
  <c r="BL7" i="1" s="1"/>
  <c r="CG7" i="1"/>
  <c r="AI7" i="1"/>
  <c r="BJ7" i="1"/>
  <c r="CH7" i="1"/>
  <c r="CI7" i="1"/>
  <c r="BO7" i="1"/>
  <c r="BQ7" i="1" s="1"/>
  <c r="BN7" i="1" s="1"/>
  <c r="CJ7" i="1"/>
  <c r="AX7" i="1"/>
  <c r="N7" i="1"/>
  <c r="AY7" i="1"/>
  <c r="CB7" i="1"/>
  <c r="O7" i="1"/>
  <c r="CC7" i="1"/>
  <c r="AQ7" i="1" s="1"/>
  <c r="BS7" i="1" s="1"/>
  <c r="M7" i="1"/>
  <c r="Y7" i="5"/>
  <c r="BD7" i="1"/>
  <c r="BE7" i="3"/>
  <c r="BL7" i="3" s="1"/>
  <c r="W7" i="5"/>
  <c r="X7" i="5"/>
  <c r="BE7" i="1"/>
  <c r="AP7" i="1"/>
  <c r="AB7" i="5" s="1"/>
  <c r="K7" i="1"/>
  <c r="BH7" i="1"/>
  <c r="J7" i="1"/>
  <c r="AZ7" i="1" s="1"/>
  <c r="L7" i="1"/>
  <c r="AS8" i="3"/>
  <c r="BH8" i="3" s="1"/>
  <c r="AT8" i="3"/>
  <c r="BJ8" i="3" s="1"/>
  <c r="BF8" i="3"/>
  <c r="AP8" i="3"/>
  <c r="AQ8" i="3" s="1"/>
  <c r="BG8" i="3"/>
  <c r="BP8" i="3" a="1"/>
  <c r="BP8" i="3" s="1"/>
  <c r="AX8" i="3"/>
  <c r="AI8" i="1"/>
  <c r="BJ8" i="1"/>
  <c r="CH8" i="1"/>
  <c r="CI8" i="1"/>
  <c r="BO8" i="1"/>
  <c r="BQ8" i="1" s="1"/>
  <c r="BN8" i="1" s="1"/>
  <c r="CJ8" i="1"/>
  <c r="AX8" i="1"/>
  <c r="N8" i="1"/>
  <c r="AY8" i="1"/>
  <c r="CB8" i="1"/>
  <c r="O8" i="1"/>
  <c r="CC8" i="1"/>
  <c r="AQ8" i="1" s="1"/>
  <c r="BS8" i="1" s="1"/>
  <c r="CE8" i="1"/>
  <c r="BC8" i="1"/>
  <c r="CF8" i="1"/>
  <c r="BI8" i="1"/>
  <c r="BL8" i="1" s="1"/>
  <c r="CG8" i="1"/>
  <c r="AC8" i="5"/>
  <c r="Y8" i="5"/>
  <c r="X8" i="5"/>
  <c r="AP8" i="1"/>
  <c r="AB8" i="5" s="1"/>
  <c r="BE8" i="3"/>
  <c r="BL8" i="3" s="1"/>
  <c r="W8" i="5"/>
  <c r="M8" i="1"/>
  <c r="BH8" i="1"/>
  <c r="K8" i="1"/>
  <c r="J8" i="1"/>
  <c r="AZ8" i="1" s="1"/>
  <c r="BP9" i="3" a="1"/>
  <c r="BP9" i="3" s="1"/>
  <c r="BT9" i="3" s="1"/>
  <c r="AS9" i="3"/>
  <c r="BH9" i="3" s="1"/>
  <c r="BO9" i="3" s="1"/>
  <c r="AT9" i="3"/>
  <c r="BJ9" i="3" s="1"/>
  <c r="AU9" i="3"/>
  <c r="AX9" i="3"/>
  <c r="BG9" i="3"/>
  <c r="BF9" i="3"/>
  <c r="AP9" i="3"/>
  <c r="AQ9" i="3" s="1"/>
  <c r="BO9" i="1"/>
  <c r="BQ9" i="1" s="1"/>
  <c r="BN9" i="1" s="1"/>
  <c r="CJ9" i="1"/>
  <c r="N9" i="1"/>
  <c r="AX9" i="1"/>
  <c r="O9" i="1"/>
  <c r="AY9" i="1"/>
  <c r="CB9" i="1"/>
  <c r="CC9" i="1"/>
  <c r="AQ9" i="1" s="1"/>
  <c r="BS9" i="1" s="1"/>
  <c r="S9" i="1"/>
  <c r="CE9" i="1"/>
  <c r="BC9" i="1"/>
  <c r="CF9" i="1"/>
  <c r="BI9" i="1"/>
  <c r="BL9" i="1" s="1"/>
  <c r="CG9" i="1"/>
  <c r="AI9" i="1"/>
  <c r="BJ9" i="1"/>
  <c r="CH9" i="1"/>
  <c r="CI9" i="1"/>
  <c r="AC9" i="5"/>
  <c r="W9" i="5"/>
  <c r="X9" i="5"/>
  <c r="Y9" i="5"/>
  <c r="BE9" i="3"/>
  <c r="AP9" i="1"/>
  <c r="AB9" i="5" s="1"/>
  <c r="J9" i="1"/>
  <c r="AZ9" i="1" s="1"/>
  <c r="K9" i="1"/>
  <c r="BH9" i="1"/>
  <c r="M9" i="1"/>
  <c r="AX10" i="3"/>
  <c r="BP10" i="3" a="1"/>
  <c r="BP10" i="3" s="1"/>
  <c r="BT10" i="3" s="1"/>
  <c r="BB10" i="3"/>
  <c r="BG10" i="3"/>
  <c r="AP10" i="3"/>
  <c r="AQ10" i="3" s="1"/>
  <c r="BF10" i="3"/>
  <c r="AT10" i="3"/>
  <c r="BJ10" i="3" s="1"/>
  <c r="AS10" i="3"/>
  <c r="BH10" i="3" s="1"/>
  <c r="N10" i="1"/>
  <c r="AX10" i="1"/>
  <c r="O10" i="1"/>
  <c r="AY10" i="1"/>
  <c r="CB10" i="1"/>
  <c r="CC10" i="1"/>
  <c r="S10" i="1"/>
  <c r="CE10" i="1"/>
  <c r="BC10" i="1"/>
  <c r="CF10" i="1"/>
  <c r="BI10" i="1"/>
  <c r="BL10" i="1" s="1"/>
  <c r="CG10" i="1"/>
  <c r="AI10" i="1"/>
  <c r="BJ10" i="1"/>
  <c r="CH10" i="1"/>
  <c r="CI10" i="1"/>
  <c r="BO10" i="1"/>
  <c r="BQ10" i="1" s="1"/>
  <c r="BN10" i="1" s="1"/>
  <c r="CJ10" i="1"/>
  <c r="Y10" i="5"/>
  <c r="W10" i="5"/>
  <c r="AC10" i="5"/>
  <c r="X10" i="5"/>
  <c r="BE10" i="3"/>
  <c r="BH10" i="1"/>
  <c r="K10" i="1"/>
  <c r="J10" i="1"/>
  <c r="AZ10" i="1" s="1"/>
  <c r="AP10" i="1"/>
  <c r="AB10" i="5" s="1"/>
  <c r="M10" i="1"/>
  <c r="AP11" i="3"/>
  <c r="AQ11" i="3" s="1"/>
  <c r="BF11" i="3"/>
  <c r="BG11" i="3"/>
  <c r="AX11" i="3"/>
  <c r="BP11" i="3" a="1"/>
  <c r="BP11" i="3" s="1"/>
  <c r="AS11" i="3"/>
  <c r="BH11" i="3" s="1"/>
  <c r="BO11" i="3" s="1"/>
  <c r="AT11" i="3"/>
  <c r="BJ11" i="3" s="1"/>
  <c r="N11" i="1"/>
  <c r="AY11" i="1"/>
  <c r="CB11" i="1"/>
  <c r="O11" i="1"/>
  <c r="CC11" i="1"/>
  <c r="AQ11" i="1" s="1"/>
  <c r="BS11" i="1" s="1"/>
  <c r="CE11" i="1"/>
  <c r="BC11" i="1"/>
  <c r="CF11" i="1"/>
  <c r="BI11" i="1"/>
  <c r="BL11" i="1" s="1"/>
  <c r="CG11" i="1"/>
  <c r="X11" i="5"/>
  <c r="AI11" i="1"/>
  <c r="BJ11" i="1"/>
  <c r="CH11" i="1"/>
  <c r="W11" i="5"/>
  <c r="CI11" i="1"/>
  <c r="BO11" i="1"/>
  <c r="BQ11" i="1" s="1"/>
  <c r="BN11" i="1" s="1"/>
  <c r="CJ11" i="1"/>
  <c r="AX11" i="1"/>
  <c r="AC11" i="5"/>
  <c r="M11" i="1"/>
  <c r="Y11" i="5"/>
  <c r="J11" i="1"/>
  <c r="AZ11" i="1" s="1"/>
  <c r="BE11" i="3"/>
  <c r="BH11" i="1"/>
  <c r="K11" i="1"/>
  <c r="AP11" i="1"/>
  <c r="AB11" i="5" s="1"/>
  <c r="AX12" i="3"/>
  <c r="AS12" i="3"/>
  <c r="BH12" i="3" s="1"/>
  <c r="AT12" i="3"/>
  <c r="BF12" i="3"/>
  <c r="BG12" i="3"/>
  <c r="AP12" i="3"/>
  <c r="AQ12" i="3" s="1"/>
  <c r="BP12" i="3" a="1"/>
  <c r="BP12" i="3" s="1"/>
  <c r="BT12" i="3" s="1"/>
  <c r="AC12" i="5"/>
  <c r="Y12" i="5"/>
  <c r="BC12" i="1"/>
  <c r="CF12" i="1"/>
  <c r="BI12" i="1"/>
  <c r="BL12" i="1" s="1"/>
  <c r="CG12" i="1"/>
  <c r="AI12" i="1"/>
  <c r="BJ12" i="1"/>
  <c r="CH12" i="1"/>
  <c r="CI12" i="1"/>
  <c r="BO12" i="1"/>
  <c r="BQ12" i="1" s="1"/>
  <c r="BN12" i="1" s="1"/>
  <c r="CJ12" i="1"/>
  <c r="AX12" i="1"/>
  <c r="N12" i="1"/>
  <c r="AY12" i="1"/>
  <c r="CB12" i="1"/>
  <c r="O12" i="1"/>
  <c r="CC12" i="1"/>
  <c r="AQ12" i="1" s="1"/>
  <c r="BS12" i="1" s="1"/>
  <c r="CE12" i="1"/>
  <c r="M12" i="1"/>
  <c r="X12" i="5"/>
  <c r="W12" i="5"/>
  <c r="BH12" i="1"/>
  <c r="BE12" i="1"/>
  <c r="BE12" i="3"/>
  <c r="BL12" i="3" s="1"/>
  <c r="J12" i="1"/>
  <c r="AZ12" i="1" s="1"/>
  <c r="K12" i="1"/>
  <c r="BD12" i="1"/>
  <c r="AP12" i="1"/>
  <c r="AB12" i="5" s="1"/>
  <c r="AP13" i="3"/>
  <c r="AQ13" i="3" s="1"/>
  <c r="BF13" i="3"/>
  <c r="BG13" i="3"/>
  <c r="AS13" i="3"/>
  <c r="BH13" i="3" s="1"/>
  <c r="BO13" i="3" s="1"/>
  <c r="AT13" i="3"/>
  <c r="BJ13" i="3" s="1"/>
  <c r="BP13" i="3" a="1"/>
  <c r="BP13" i="3" s="1"/>
  <c r="BT13" i="3" s="1"/>
  <c r="AU13" i="3"/>
  <c r="AX13" i="3"/>
  <c r="AC13" i="5"/>
  <c r="X13" i="5"/>
  <c r="W13" i="5"/>
  <c r="CI13" i="1"/>
  <c r="BO13" i="1"/>
  <c r="BQ13" i="1" s="1"/>
  <c r="BN13" i="1" s="1"/>
  <c r="CJ13" i="1"/>
  <c r="Y13" i="5"/>
  <c r="AX13" i="1"/>
  <c r="N13" i="1"/>
  <c r="AY13" i="1"/>
  <c r="CB13" i="1"/>
  <c r="O13" i="1"/>
  <c r="CC13" i="1"/>
  <c r="CE13" i="1"/>
  <c r="BC13" i="1"/>
  <c r="CF13" i="1"/>
  <c r="BI13" i="1"/>
  <c r="BL13" i="1" s="1"/>
  <c r="CG13" i="1"/>
  <c r="AI13" i="1"/>
  <c r="BJ13" i="1"/>
  <c r="CH13" i="1"/>
  <c r="M13" i="1"/>
  <c r="BE13" i="3"/>
  <c r="BE13" i="1"/>
  <c r="BH13" i="1"/>
  <c r="BD13" i="1"/>
  <c r="AP13" i="1"/>
  <c r="AB13" i="5" s="1"/>
  <c r="J13" i="1"/>
  <c r="AZ13" i="1" s="1"/>
  <c r="K13" i="1"/>
  <c r="BP14" i="3" a="1"/>
  <c r="BP14" i="3" s="1"/>
  <c r="BT14" i="3" s="1"/>
  <c r="BG14" i="3"/>
  <c r="AS14" i="3"/>
  <c r="BH14" i="3" s="1"/>
  <c r="BF14" i="3"/>
  <c r="AT14" i="3"/>
  <c r="BJ14" i="3" s="1"/>
  <c r="X14" i="5"/>
  <c r="BO14" i="1"/>
  <c r="BQ14" i="1" s="1"/>
  <c r="BN14" i="1" s="1"/>
  <c r="CJ14" i="1"/>
  <c r="N14" i="1"/>
  <c r="AX14" i="1"/>
  <c r="O14" i="1"/>
  <c r="AY14" i="1"/>
  <c r="AZ14" i="1"/>
  <c r="CB14" i="1"/>
  <c r="S14" i="1"/>
  <c r="CC14" i="1"/>
  <c r="AQ14" i="1" s="1"/>
  <c r="BS14" i="1" s="1"/>
  <c r="CE14" i="1"/>
  <c r="BC14" i="1"/>
  <c r="CF14" i="1"/>
  <c r="AI14" i="1"/>
  <c r="BI14" i="1"/>
  <c r="BL14" i="1" s="1"/>
  <c r="CG14" i="1"/>
  <c r="BJ14" i="1"/>
  <c r="CH14" i="1"/>
  <c r="Y14" i="5"/>
  <c r="CI14" i="1"/>
  <c r="AC14" i="5"/>
  <c r="W14" i="5"/>
  <c r="AP14" i="1"/>
  <c r="AB14" i="5" s="1"/>
  <c r="BE14" i="3"/>
  <c r="M14" i="1"/>
  <c r="BH14" i="1"/>
  <c r="K14" i="1"/>
  <c r="J14" i="1"/>
  <c r="AS15" i="3"/>
  <c r="BH15" i="3" s="1"/>
  <c r="AT15" i="3"/>
  <c r="BJ15" i="3" s="1"/>
  <c r="BR15" i="3" s="1"/>
  <c r="BV15" i="3" s="1"/>
  <c r="BG15" i="3"/>
  <c r="BP15" i="3" a="1"/>
  <c r="BP15" i="3" s="1"/>
  <c r="BT15" i="3" s="1"/>
  <c r="BF15" i="3"/>
  <c r="Y15" i="5"/>
  <c r="X15" i="5"/>
  <c r="N15" i="1"/>
  <c r="AX15" i="1"/>
  <c r="O15" i="1"/>
  <c r="AY15" i="1"/>
  <c r="AZ15" i="1"/>
  <c r="CB15" i="1"/>
  <c r="S15" i="1"/>
  <c r="CC15" i="1"/>
  <c r="AQ15" i="1" s="1"/>
  <c r="BS15" i="1" s="1"/>
  <c r="CE15" i="1"/>
  <c r="BC15" i="1"/>
  <c r="CF15" i="1"/>
  <c r="AC15" i="5"/>
  <c r="AI15" i="1"/>
  <c r="BI15" i="1"/>
  <c r="BL15" i="1" s="1"/>
  <c r="CG15" i="1"/>
  <c r="W15" i="5"/>
  <c r="BJ15" i="1"/>
  <c r="CH15" i="1"/>
  <c r="CI15" i="1"/>
  <c r="BO15" i="1"/>
  <c r="BQ15" i="1" s="1"/>
  <c r="BN15" i="1" s="1"/>
  <c r="CJ15" i="1"/>
  <c r="K15" i="1"/>
  <c r="BE15" i="3"/>
  <c r="BL15" i="3" s="1"/>
  <c r="AP15" i="1"/>
  <c r="AB15" i="5" s="1"/>
  <c r="M15" i="1"/>
  <c r="BE15" i="1"/>
  <c r="J15" i="1"/>
  <c r="BD15" i="1"/>
  <c r="BH15" i="1"/>
  <c r="BF16" i="3"/>
  <c r="BG16" i="3"/>
  <c r="AS16" i="3"/>
  <c r="BH16" i="3" s="1"/>
  <c r="BO16" i="3" s="1"/>
  <c r="AT16" i="3"/>
  <c r="BJ16" i="3" s="1"/>
  <c r="BR16" i="3" s="1"/>
  <c r="BV16" i="3" s="1"/>
  <c r="BB16" i="3"/>
  <c r="BP16" i="3" a="1"/>
  <c r="BP16" i="3" s="1"/>
  <c r="BT16" i="3" s="1"/>
  <c r="N16" i="1"/>
  <c r="AX16" i="1"/>
  <c r="O16" i="1"/>
  <c r="AY16" i="1"/>
  <c r="AZ16" i="1"/>
  <c r="CB16" i="1"/>
  <c r="S16" i="1"/>
  <c r="CC16" i="1"/>
  <c r="CE16" i="1"/>
  <c r="BC16" i="1"/>
  <c r="CF16" i="1"/>
  <c r="AI16" i="1"/>
  <c r="BI16" i="1"/>
  <c r="BL16" i="1" s="1"/>
  <c r="CG16" i="1"/>
  <c r="BJ16" i="1"/>
  <c r="CH16" i="1"/>
  <c r="CI16" i="1"/>
  <c r="BO16" i="1"/>
  <c r="BQ16" i="1" s="1"/>
  <c r="BN16" i="1" s="1"/>
  <c r="CJ16" i="1"/>
  <c r="AC16" i="5"/>
  <c r="X16" i="5"/>
  <c r="W16" i="5"/>
  <c r="BE16" i="1"/>
  <c r="BE16" i="3"/>
  <c r="Y16" i="5"/>
  <c r="K16" i="1"/>
  <c r="J16" i="1"/>
  <c r="CD16" i="1" s="1"/>
  <c r="BD16" i="1"/>
  <c r="M16" i="1"/>
  <c r="AP16" i="1"/>
  <c r="AB16" i="5" s="1"/>
  <c r="BH16" i="1"/>
  <c r="BP17" i="3" a="1"/>
  <c r="BP17" i="3" s="1"/>
  <c r="BT17" i="3" s="1"/>
  <c r="AS17" i="3"/>
  <c r="BH17" i="3" s="1"/>
  <c r="AT17" i="3"/>
  <c r="BJ17" i="3" s="1"/>
  <c r="BR17" i="3" s="1"/>
  <c r="BV17" i="3" s="1"/>
  <c r="AU17" i="3"/>
  <c r="BF17" i="3"/>
  <c r="BG17" i="3"/>
  <c r="Y17" i="5"/>
  <c r="N17" i="1"/>
  <c r="AY17" i="1"/>
  <c r="O17" i="1"/>
  <c r="AZ17" i="1"/>
  <c r="CB17" i="1"/>
  <c r="CC17" i="1"/>
  <c r="AQ17" i="1" s="1"/>
  <c r="BS17" i="1" s="1"/>
  <c r="S17" i="1"/>
  <c r="CE17" i="1"/>
  <c r="AC17" i="5"/>
  <c r="BC17" i="1"/>
  <c r="CF17" i="1"/>
  <c r="X17" i="5"/>
  <c r="BI17" i="1"/>
  <c r="BL17" i="1" s="1"/>
  <c r="CG17" i="1"/>
  <c r="BJ17" i="1"/>
  <c r="CH17" i="1"/>
  <c r="CI17" i="1"/>
  <c r="BO17" i="1"/>
  <c r="BQ17" i="1" s="1"/>
  <c r="BN17" i="1" s="1"/>
  <c r="CJ17" i="1"/>
  <c r="AX17" i="1"/>
  <c r="W17" i="5"/>
  <c r="BD17" i="1"/>
  <c r="BE17" i="3"/>
  <c r="J17" i="1"/>
  <c r="K17" i="1"/>
  <c r="BH17" i="1"/>
  <c r="BE17" i="1"/>
  <c r="AP17" i="1"/>
  <c r="AB17" i="5" s="1"/>
  <c r="M17" i="1"/>
  <c r="AS18" i="3"/>
  <c r="BH18" i="3" s="1"/>
  <c r="AT18" i="3"/>
  <c r="BJ18" i="3" s="1"/>
  <c r="BR18" i="3" s="1"/>
  <c r="BV18" i="3" s="1"/>
  <c r="BP18" i="3" a="1"/>
  <c r="BP18" i="3" s="1"/>
  <c r="BF18" i="3"/>
  <c r="BG18" i="3"/>
  <c r="CC18" i="1"/>
  <c r="AQ18" i="1" s="1"/>
  <c r="BS18" i="1" s="1"/>
  <c r="S18" i="1"/>
  <c r="CE18" i="1"/>
  <c r="BC18" i="1"/>
  <c r="CF18" i="1"/>
  <c r="BI18" i="1"/>
  <c r="BL18" i="1" s="1"/>
  <c r="CG18" i="1"/>
  <c r="BJ18" i="1"/>
  <c r="CH18" i="1"/>
  <c r="CI18" i="1"/>
  <c r="BO18" i="1"/>
  <c r="BQ18" i="1" s="1"/>
  <c r="BN18" i="1" s="1"/>
  <c r="CJ18" i="1"/>
  <c r="AX18" i="1"/>
  <c r="N18" i="1"/>
  <c r="AY18" i="1"/>
  <c r="O18" i="1"/>
  <c r="AZ18" i="1"/>
  <c r="CB18" i="1"/>
  <c r="AC18" i="5"/>
  <c r="X18" i="5"/>
  <c r="Y18" i="5"/>
  <c r="BE18" i="3"/>
  <c r="BL18" i="3" s="1"/>
  <c r="W18" i="5"/>
  <c r="BE18" i="1"/>
  <c r="BH18" i="1"/>
  <c r="J18" i="1"/>
  <c r="K18" i="1"/>
  <c r="M18" i="1"/>
  <c r="AP18" i="1"/>
  <c r="AB18" i="5" s="1"/>
  <c r="BD18" i="1"/>
  <c r="AS19" i="3"/>
  <c r="BH19" i="3" s="1"/>
  <c r="AT19" i="3"/>
  <c r="AU19" i="3"/>
  <c r="BP19" i="3" a="1"/>
  <c r="BP19" i="3" s="1"/>
  <c r="BT19" i="3" s="1"/>
  <c r="BF19" i="3"/>
  <c r="BG19" i="3"/>
  <c r="BC19" i="1"/>
  <c r="CF19" i="1"/>
  <c r="AC19" i="5"/>
  <c r="BI19" i="1"/>
  <c r="BL19" i="1" s="1"/>
  <c r="CG19" i="1"/>
  <c r="BJ19" i="1"/>
  <c r="CH19" i="1"/>
  <c r="CI19" i="1"/>
  <c r="BO19" i="1"/>
  <c r="BQ19" i="1" s="1"/>
  <c r="BN19" i="1" s="1"/>
  <c r="CJ19" i="1"/>
  <c r="AX19" i="1"/>
  <c r="N19" i="1"/>
  <c r="AY19" i="1"/>
  <c r="O19" i="1"/>
  <c r="AZ19" i="1"/>
  <c r="CB19" i="1"/>
  <c r="CC19" i="1"/>
  <c r="AQ19" i="1" s="1"/>
  <c r="BS19" i="1" s="1"/>
  <c r="S19" i="1"/>
  <c r="CE19" i="1"/>
  <c r="Y19" i="5"/>
  <c r="W19" i="5"/>
  <c r="X19" i="5"/>
  <c r="BE19" i="3"/>
  <c r="J19" i="1"/>
  <c r="K19" i="1"/>
  <c r="AP19" i="1"/>
  <c r="AB19" i="5" s="1"/>
  <c r="BD19" i="1"/>
  <c r="BH19" i="1"/>
  <c r="BE19" i="1"/>
  <c r="M19" i="1"/>
  <c r="BF20" i="3"/>
  <c r="AT20" i="3"/>
  <c r="BP20" i="3" a="1"/>
  <c r="BP20" i="3" s="1"/>
  <c r="BT20" i="3" s="1"/>
  <c r="BG20" i="3"/>
  <c r="AS20" i="3"/>
  <c r="BH20" i="3" s="1"/>
  <c r="BJ20" i="1"/>
  <c r="CH20" i="1"/>
  <c r="CI20" i="1"/>
  <c r="BO20" i="1"/>
  <c r="BQ20" i="1" s="1"/>
  <c r="BN20" i="1" s="1"/>
  <c r="CJ20" i="1"/>
  <c r="AX20" i="1"/>
  <c r="N20" i="1"/>
  <c r="AY20" i="1"/>
  <c r="O20" i="1"/>
  <c r="AZ20" i="1"/>
  <c r="CB20" i="1"/>
  <c r="CC20" i="1"/>
  <c r="AQ20" i="1" s="1"/>
  <c r="BS20" i="1" s="1"/>
  <c r="S20" i="1"/>
  <c r="CE20" i="1"/>
  <c r="BC20" i="1"/>
  <c r="CF20" i="1"/>
  <c r="BI20" i="1"/>
  <c r="BL20" i="1" s="1"/>
  <c r="CG20" i="1"/>
  <c r="X20" i="5"/>
  <c r="AC20" i="5"/>
  <c r="BE20" i="3"/>
  <c r="BL20" i="3" s="1"/>
  <c r="Y20" i="5"/>
  <c r="W20" i="5"/>
  <c r="AP20" i="1"/>
  <c r="AB20" i="5" s="1"/>
  <c r="J20" i="1"/>
  <c r="BH20" i="1"/>
  <c r="M20" i="1"/>
  <c r="K20" i="1"/>
  <c r="AT21" i="3"/>
  <c r="BJ21" i="3" s="1"/>
  <c r="AU21" i="3"/>
  <c r="AX21" i="3"/>
  <c r="BB21" i="3"/>
  <c r="BF21" i="3"/>
  <c r="BG21" i="3"/>
  <c r="AP21" i="3"/>
  <c r="AQ21" i="3" s="1"/>
  <c r="AS21" i="3"/>
  <c r="BH21" i="3" s="1"/>
  <c r="BP21" i="3" a="1"/>
  <c r="BP21" i="3" s="1"/>
  <c r="BT21" i="3" s="1"/>
  <c r="AX21" i="1"/>
  <c r="N21" i="1"/>
  <c r="AY21" i="1"/>
  <c r="CB21" i="1"/>
  <c r="O21" i="1"/>
  <c r="CC21" i="1"/>
  <c r="AQ21" i="1" s="1"/>
  <c r="BS21" i="1" s="1"/>
  <c r="CE21" i="1"/>
  <c r="BC21" i="1"/>
  <c r="CF21" i="1"/>
  <c r="BI21" i="1"/>
  <c r="BL21" i="1" s="1"/>
  <c r="CG21" i="1"/>
  <c r="AI21" i="1"/>
  <c r="BJ21" i="1"/>
  <c r="CH21" i="1"/>
  <c r="CI21" i="1"/>
  <c r="BO21" i="1"/>
  <c r="BQ21" i="1" s="1"/>
  <c r="BN21" i="1" s="1"/>
  <c r="CJ21" i="1"/>
  <c r="BE21" i="3"/>
  <c r="BL21" i="3" s="1"/>
  <c r="M21" i="1"/>
  <c r="AC21" i="5"/>
  <c r="Y21" i="5"/>
  <c r="X21" i="5"/>
  <c r="W21" i="5"/>
  <c r="BE21" i="1"/>
  <c r="AP21" i="1"/>
  <c r="AB21" i="5" s="1"/>
  <c r="BD21" i="1"/>
  <c r="K21" i="1"/>
  <c r="BH21" i="1"/>
  <c r="J21" i="1"/>
  <c r="AZ21" i="1" s="1"/>
  <c r="AP22" i="3"/>
  <c r="AQ22" i="3" s="1"/>
  <c r="BF22" i="3"/>
  <c r="BG22" i="3"/>
  <c r="AS22" i="3"/>
  <c r="BH22" i="3" s="1"/>
  <c r="BO22" i="3" s="1"/>
  <c r="AT22" i="3"/>
  <c r="BJ22" i="3" s="1"/>
  <c r="BP22" i="3" a="1"/>
  <c r="BP22" i="3" s="1"/>
  <c r="AX22" i="3"/>
  <c r="AX22" i="1"/>
  <c r="N22" i="1"/>
  <c r="AY22" i="1"/>
  <c r="CB22" i="1"/>
  <c r="O22" i="1"/>
  <c r="CC22" i="1"/>
  <c r="AQ22" i="1" s="1"/>
  <c r="BS22" i="1" s="1"/>
  <c r="CE22" i="1"/>
  <c r="BC22" i="1"/>
  <c r="CF22" i="1"/>
  <c r="BI22" i="1"/>
  <c r="BL22" i="1" s="1"/>
  <c r="CG22" i="1"/>
  <c r="AI22" i="1"/>
  <c r="BJ22" i="1"/>
  <c r="CH22" i="1"/>
  <c r="CI22" i="1"/>
  <c r="BO22" i="1"/>
  <c r="BQ22" i="1" s="1"/>
  <c r="BN22" i="1" s="1"/>
  <c r="CJ22" i="1"/>
  <c r="M22" i="1"/>
  <c r="AC22" i="5"/>
  <c r="X22" i="5"/>
  <c r="Y22" i="5"/>
  <c r="W22" i="5"/>
  <c r="BE22" i="3"/>
  <c r="BH22" i="1"/>
  <c r="J22" i="1"/>
  <c r="AZ22" i="1" s="1"/>
  <c r="K22" i="1"/>
  <c r="BE22" i="1"/>
  <c r="AP22" i="1"/>
  <c r="AB22" i="5" s="1"/>
  <c r="BD22" i="1"/>
  <c r="BG23" i="3"/>
  <c r="AS23" i="3"/>
  <c r="BH23" i="3" s="1"/>
  <c r="BO23" i="3" s="1"/>
  <c r="AT23" i="3"/>
  <c r="BB23" i="3" s="1"/>
  <c r="BF23" i="3"/>
  <c r="BP23" i="3" a="1"/>
  <c r="BP23" i="3" s="1"/>
  <c r="BT23" i="3" s="1"/>
  <c r="AX23" i="3"/>
  <c r="AP23" i="3"/>
  <c r="AQ23" i="3" s="1"/>
  <c r="X23" i="5"/>
  <c r="W23" i="5"/>
  <c r="AZ23" i="1"/>
  <c r="CB23" i="1"/>
  <c r="S23" i="1"/>
  <c r="CC23" i="1"/>
  <c r="AQ23" i="1" s="1"/>
  <c r="BS23" i="1" s="1"/>
  <c r="CE23" i="1"/>
  <c r="BC23" i="1"/>
  <c r="CF23" i="1"/>
  <c r="AI23" i="1"/>
  <c r="BI23" i="1"/>
  <c r="BL23" i="1" s="1"/>
  <c r="CG23" i="1"/>
  <c r="BJ23" i="1"/>
  <c r="CH23" i="1"/>
  <c r="CI23" i="1"/>
  <c r="BO23" i="1"/>
  <c r="BQ23" i="1" s="1"/>
  <c r="BN23" i="1" s="1"/>
  <c r="CJ23" i="1"/>
  <c r="N23" i="1"/>
  <c r="AX23" i="1"/>
  <c r="O23" i="1"/>
  <c r="AY23" i="1"/>
  <c r="AC23" i="5"/>
  <c r="Y23" i="5"/>
  <c r="BE23" i="3"/>
  <c r="K23" i="1"/>
  <c r="BH23" i="1"/>
  <c r="M23" i="1"/>
  <c r="AP23" i="1"/>
  <c r="AB23" i="5" s="1"/>
  <c r="J23" i="1"/>
  <c r="AP24" i="3"/>
  <c r="AQ24" i="3" s="1"/>
  <c r="BF24" i="3"/>
  <c r="BG24" i="3"/>
  <c r="AS24" i="3"/>
  <c r="BH24" i="3" s="1"/>
  <c r="BP24" i="3" a="1"/>
  <c r="BP24" i="3" s="1"/>
  <c r="BT24" i="3" s="1"/>
  <c r="AT24" i="3"/>
  <c r="BJ24" i="3" s="1"/>
  <c r="AX24" i="3"/>
  <c r="BB24" i="3"/>
  <c r="Y24" i="5"/>
  <c r="S24" i="1"/>
  <c r="CC24" i="1"/>
  <c r="AQ24" i="1" s="1"/>
  <c r="BS24" i="1" s="1"/>
  <c r="CE24" i="1"/>
  <c r="BC24" i="1"/>
  <c r="CF24" i="1"/>
  <c r="AI24" i="1"/>
  <c r="BI24" i="1"/>
  <c r="BL24" i="1" s="1"/>
  <c r="CG24" i="1"/>
  <c r="BJ24" i="1"/>
  <c r="CH24" i="1"/>
  <c r="CI24" i="1"/>
  <c r="BO24" i="1"/>
  <c r="BQ24" i="1" s="1"/>
  <c r="BN24" i="1" s="1"/>
  <c r="CJ24" i="1"/>
  <c r="AC24" i="5"/>
  <c r="N24" i="1"/>
  <c r="AX24" i="1"/>
  <c r="O24" i="1"/>
  <c r="AY24" i="1"/>
  <c r="AZ24" i="1"/>
  <c r="CB24" i="1"/>
  <c r="X24" i="5"/>
  <c r="BE24" i="3"/>
  <c r="W24" i="5"/>
  <c r="J24" i="1"/>
  <c r="AP24" i="1"/>
  <c r="AB24" i="5" s="1"/>
  <c r="K24" i="1"/>
  <c r="M24" i="1"/>
  <c r="BH24" i="1"/>
  <c r="BP25" i="3" a="1"/>
  <c r="BP25" i="3" s="1"/>
  <c r="BT25" i="3" s="1"/>
  <c r="BF25" i="3"/>
  <c r="AP25" i="3"/>
  <c r="AQ25" i="3" s="1"/>
  <c r="BG25" i="3"/>
  <c r="AS25" i="3"/>
  <c r="BH25" i="3" s="1"/>
  <c r="BI25" i="3"/>
  <c r="BQ25" i="3"/>
  <c r="AX25" i="3"/>
  <c r="BC25" i="3"/>
  <c r="BM25" i="3" s="1"/>
  <c r="AT25" i="3"/>
  <c r="AU25" i="3"/>
  <c r="AC25" i="5"/>
  <c r="CI25" i="1"/>
  <c r="BO25" i="1"/>
  <c r="BQ25" i="1" s="1"/>
  <c r="BN25" i="1" s="1"/>
  <c r="CJ25" i="1"/>
  <c r="Y25" i="5"/>
  <c r="X25" i="5"/>
  <c r="W25" i="5"/>
  <c r="AX25" i="1"/>
  <c r="AY25" i="1"/>
  <c r="CB25" i="1"/>
  <c r="CC25" i="1"/>
  <c r="AQ25" i="1" s="1"/>
  <c r="BS25" i="1" s="1"/>
  <c r="CE25" i="1"/>
  <c r="S25" i="1"/>
  <c r="BC25" i="1"/>
  <c r="CF25" i="1"/>
  <c r="BI25" i="1"/>
  <c r="BL25" i="1" s="1"/>
  <c r="CG25" i="1"/>
  <c r="AI25" i="1"/>
  <c r="BJ25" i="1"/>
  <c r="CH25" i="1"/>
  <c r="M25" i="1"/>
  <c r="AP25" i="1"/>
  <c r="AB25" i="5" s="1"/>
  <c r="BD25" i="1"/>
  <c r="BE25" i="3"/>
  <c r="BL25" i="3" s="1"/>
  <c r="BH25" i="1"/>
  <c r="J25" i="1"/>
  <c r="K25" i="1"/>
  <c r="BE25" i="1"/>
  <c r="AT26" i="3"/>
  <c r="BJ26" i="3" s="1"/>
  <c r="BG26" i="3"/>
  <c r="AP26" i="3"/>
  <c r="AQ26" i="3" s="1"/>
  <c r="AS26" i="3"/>
  <c r="BH26" i="3" s="1"/>
  <c r="BI26" i="3" s="1"/>
  <c r="BU26" i="3" s="1"/>
  <c r="BB26" i="3"/>
  <c r="BP26" i="3" a="1"/>
  <c r="BP26" i="3" s="1"/>
  <c r="BT26" i="3" s="1"/>
  <c r="BF26" i="3"/>
  <c r="BC26" i="3" s="1"/>
  <c r="BQ26" i="3"/>
  <c r="AX26" i="1"/>
  <c r="AY26" i="1"/>
  <c r="N26" i="1"/>
  <c r="AZ26" i="1"/>
  <c r="CB26" i="1"/>
  <c r="O26" i="1"/>
  <c r="CC26" i="1"/>
  <c r="AQ26" i="1" s="1"/>
  <c r="BS26" i="1" s="1"/>
  <c r="CE26" i="1"/>
  <c r="BC26" i="1"/>
  <c r="CF26" i="1"/>
  <c r="AI26" i="1"/>
  <c r="BI26" i="1"/>
  <c r="BL26" i="1" s="1"/>
  <c r="CG26" i="1"/>
  <c r="BJ26" i="1"/>
  <c r="CH26" i="1"/>
  <c r="CI26" i="1"/>
  <c r="BO26" i="1"/>
  <c r="BQ26" i="1" s="1"/>
  <c r="BN26" i="1" s="1"/>
  <c r="CJ26" i="1"/>
  <c r="BE26" i="3"/>
  <c r="BL26" i="3" s="1"/>
  <c r="AC26" i="5"/>
  <c r="X26" i="5"/>
  <c r="W26" i="5"/>
  <c r="Y26" i="5"/>
  <c r="BE26" i="1"/>
  <c r="AP26" i="1"/>
  <c r="AB26" i="5" s="1"/>
  <c r="J26" i="1"/>
  <c r="M26" i="1"/>
  <c r="BH26" i="1"/>
  <c r="K26" i="1"/>
  <c r="BD26" i="1"/>
  <c r="AS27" i="3"/>
  <c r="BH27" i="3" s="1"/>
  <c r="BI27" i="3"/>
  <c r="AT27" i="3"/>
  <c r="BJ27" i="3" s="1"/>
  <c r="AP27" i="3"/>
  <c r="AQ27" i="3" s="1"/>
  <c r="AU27" i="3"/>
  <c r="BP27" i="3" a="1"/>
  <c r="BP27" i="3" s="1"/>
  <c r="BC27" i="3"/>
  <c r="BQ27" i="3"/>
  <c r="BF27" i="3"/>
  <c r="BG27" i="3"/>
  <c r="AC27" i="5"/>
  <c r="X27" i="5"/>
  <c r="W27" i="5"/>
  <c r="Y27" i="5"/>
  <c r="CE27" i="1"/>
  <c r="BC27" i="1"/>
  <c r="CF27" i="1"/>
  <c r="AI27" i="1"/>
  <c r="BI27" i="1"/>
  <c r="BL27" i="1" s="1"/>
  <c r="CG27" i="1"/>
  <c r="BJ27" i="1"/>
  <c r="CH27" i="1"/>
  <c r="CI27" i="1"/>
  <c r="BO27" i="1"/>
  <c r="BQ27" i="1" s="1"/>
  <c r="BN27" i="1" s="1"/>
  <c r="CJ27" i="1"/>
  <c r="AX27" i="1"/>
  <c r="AY27" i="1"/>
  <c r="AZ27" i="1"/>
  <c r="CB27" i="1"/>
  <c r="CC27" i="1"/>
  <c r="AQ27" i="1" s="1"/>
  <c r="BS27" i="1" s="1"/>
  <c r="M27" i="1"/>
  <c r="J27" i="1"/>
  <c r="BH27" i="1"/>
  <c r="BE27" i="1"/>
  <c r="BE27" i="3"/>
  <c r="BL27" i="3" s="1"/>
  <c r="BD27" i="1"/>
  <c r="K27" i="1"/>
  <c r="AP27" i="1"/>
  <c r="AB27" i="5" s="1"/>
  <c r="AP28" i="3"/>
  <c r="AQ28" i="3" s="1"/>
  <c r="BF28" i="3"/>
  <c r="BG28" i="3"/>
  <c r="AT28" i="3"/>
  <c r="BJ28" i="3" s="1"/>
  <c r="AX28" i="3"/>
  <c r="BP28" i="3" a="1"/>
  <c r="BP28" i="3" s="1"/>
  <c r="AS28" i="3"/>
  <c r="BH28" i="3" s="1"/>
  <c r="BB28" i="3"/>
  <c r="CI28" i="1"/>
  <c r="BO28" i="1"/>
  <c r="BQ28" i="1" s="1"/>
  <c r="BN28" i="1" s="1"/>
  <c r="CJ28" i="1"/>
  <c r="AX28" i="1"/>
  <c r="AY28" i="1"/>
  <c r="AZ28" i="1"/>
  <c r="CB28" i="1"/>
  <c r="CC28" i="1"/>
  <c r="AQ28" i="1" s="1"/>
  <c r="BS28" i="1" s="1"/>
  <c r="S28" i="1"/>
  <c r="CE28" i="1"/>
  <c r="BC28" i="1"/>
  <c r="CF28" i="1"/>
  <c r="BI28" i="1"/>
  <c r="BL28" i="1" s="1"/>
  <c r="CG28" i="1"/>
  <c r="BJ28" i="1"/>
  <c r="CH28" i="1"/>
  <c r="BE28" i="3"/>
  <c r="M28" i="1"/>
  <c r="X28" i="5"/>
  <c r="AC28" i="5"/>
  <c r="Y28" i="5"/>
  <c r="W28" i="5"/>
  <c r="BD28" i="1"/>
  <c r="BE28" i="1"/>
  <c r="AP28" i="1"/>
  <c r="AB28" i="5" s="1"/>
  <c r="J28" i="1"/>
  <c r="K28" i="1"/>
  <c r="BH28" i="1"/>
  <c r="BP29" i="3" a="1"/>
  <c r="BP29" i="3" s="1"/>
  <c r="BT29" i="3" s="1"/>
  <c r="AS29" i="3"/>
  <c r="BH29" i="3" s="1"/>
  <c r="AT29" i="3"/>
  <c r="BJ29" i="3" s="1"/>
  <c r="BI29" i="3" s="1"/>
  <c r="BU29" i="3" s="1"/>
  <c r="AX29" i="3"/>
  <c r="BF29" i="3"/>
  <c r="BG29" i="3"/>
  <c r="BQ29" i="3"/>
  <c r="AP29" i="3"/>
  <c r="AQ29" i="3" s="1"/>
  <c r="AX29" i="1"/>
  <c r="N29" i="1"/>
  <c r="AY29" i="1"/>
  <c r="CB29" i="1"/>
  <c r="O29" i="1"/>
  <c r="CC29" i="1"/>
  <c r="AQ29" i="1" s="1"/>
  <c r="BS29" i="1" s="1"/>
  <c r="CE29" i="1"/>
  <c r="S29" i="1"/>
  <c r="BC29" i="1"/>
  <c r="CF29" i="1"/>
  <c r="AC29" i="5"/>
  <c r="BI29" i="1"/>
  <c r="BL29" i="1" s="1"/>
  <c r="CG29" i="1"/>
  <c r="Y29" i="5"/>
  <c r="AI29" i="1"/>
  <c r="BJ29" i="1"/>
  <c r="CH29" i="1"/>
  <c r="X29" i="5"/>
  <c r="CI29" i="1"/>
  <c r="BO29" i="1"/>
  <c r="BQ29" i="1" s="1"/>
  <c r="BN29" i="1" s="1"/>
  <c r="CJ29" i="1"/>
  <c r="W29" i="5"/>
  <c r="M29" i="1"/>
  <c r="AP29" i="1"/>
  <c r="AB29" i="5" s="1"/>
  <c r="BD29" i="1"/>
  <c r="BE29" i="3"/>
  <c r="BH29" i="1"/>
  <c r="BE29" i="1"/>
  <c r="K29" i="1"/>
  <c r="J29" i="1"/>
  <c r="AZ29" i="1" s="1"/>
  <c r="AT30" i="3"/>
  <c r="BJ30" i="3" s="1"/>
  <c r="AU30" i="3"/>
  <c r="AP30" i="3"/>
  <c r="AQ30" i="3" s="1"/>
  <c r="AS30" i="3"/>
  <c r="BH30" i="3" s="1"/>
  <c r="AX30" i="3"/>
  <c r="BB30" i="3"/>
  <c r="BF30" i="3"/>
  <c r="BG30" i="3"/>
  <c r="BP30" i="3" a="1"/>
  <c r="BP30" i="3" s="1"/>
  <c r="BT30" i="3" s="1"/>
  <c r="N30" i="1"/>
  <c r="AX30" i="1"/>
  <c r="O30" i="1"/>
  <c r="AY30" i="1"/>
  <c r="CB30" i="1"/>
  <c r="CC30" i="1"/>
  <c r="AQ30" i="1" s="1"/>
  <c r="BS30" i="1" s="1"/>
  <c r="S30" i="1"/>
  <c r="CE30" i="1"/>
  <c r="BC30" i="1"/>
  <c r="CF30" i="1"/>
  <c r="BI30" i="1"/>
  <c r="BL30" i="1" s="1"/>
  <c r="CG30" i="1"/>
  <c r="AI30" i="1"/>
  <c r="BJ30" i="1"/>
  <c r="CH30" i="1"/>
  <c r="CI30" i="1"/>
  <c r="BO30" i="1"/>
  <c r="BQ30" i="1" s="1"/>
  <c r="BN30" i="1" s="1"/>
  <c r="CJ30" i="1"/>
  <c r="W30" i="5"/>
  <c r="X30" i="5"/>
  <c r="Y30" i="5"/>
  <c r="BE30" i="3"/>
  <c r="AC30" i="5"/>
  <c r="BD30" i="1"/>
  <c r="J30" i="1"/>
  <c r="AZ30" i="1" s="1"/>
  <c r="AP30" i="1"/>
  <c r="AB30" i="5" s="1"/>
  <c r="BE30" i="1"/>
  <c r="M30" i="1"/>
  <c r="K30" i="1"/>
  <c r="BH30" i="1"/>
  <c r="BF31" i="3"/>
  <c r="BG31" i="3"/>
  <c r="AP31" i="3"/>
  <c r="AQ31" i="3" s="1"/>
  <c r="BP31" i="3" a="1"/>
  <c r="BP31" i="3" s="1"/>
  <c r="BT31" i="3" s="1"/>
  <c r="BB31" i="3"/>
  <c r="AS31" i="3"/>
  <c r="BH31" i="3" s="1"/>
  <c r="BO31" i="3" s="1"/>
  <c r="AU31" i="3"/>
  <c r="AT31" i="3"/>
  <c r="BJ31" i="3" s="1"/>
  <c r="BR31" i="3" s="1"/>
  <c r="BV31" i="3" s="1"/>
  <c r="CC31" i="1"/>
  <c r="AQ31" i="1" s="1"/>
  <c r="BS31" i="1" s="1"/>
  <c r="S31" i="1"/>
  <c r="CE31" i="1"/>
  <c r="BC31" i="1"/>
  <c r="CF31" i="1"/>
  <c r="BI31" i="1"/>
  <c r="BL31" i="1" s="1"/>
  <c r="CG31" i="1"/>
  <c r="AC31" i="5"/>
  <c r="BJ31" i="1"/>
  <c r="CH31" i="1"/>
  <c r="CI31" i="1"/>
  <c r="BO31" i="1"/>
  <c r="BQ31" i="1" s="1"/>
  <c r="BN31" i="1" s="1"/>
  <c r="CJ31" i="1"/>
  <c r="AX31" i="1"/>
  <c r="N31" i="1"/>
  <c r="AY31" i="1"/>
  <c r="O31" i="1"/>
  <c r="AZ31" i="1"/>
  <c r="CB31" i="1"/>
  <c r="Y31" i="5"/>
  <c r="X31" i="5"/>
  <c r="BE31" i="3"/>
  <c r="BL31" i="3" s="1"/>
  <c r="AP31" i="1"/>
  <c r="AB31" i="5" s="1"/>
  <c r="BH31" i="1"/>
  <c r="J31" i="1"/>
  <c r="W31" i="5"/>
  <c r="K31" i="1"/>
  <c r="M31" i="1"/>
  <c r="AP32" i="3"/>
  <c r="AQ32" i="3" s="1"/>
  <c r="BF32" i="3"/>
  <c r="BG32" i="3"/>
  <c r="AX32" i="3"/>
  <c r="AS32" i="3"/>
  <c r="BH32" i="3" s="1"/>
  <c r="AT32" i="3"/>
  <c r="BB32" i="3" s="1"/>
  <c r="BP32" i="3" a="1"/>
  <c r="BP32" i="3" s="1"/>
  <c r="BC32" i="1"/>
  <c r="CF32" i="1"/>
  <c r="BI32" i="1"/>
  <c r="BL32" i="1" s="1"/>
  <c r="CG32" i="1"/>
  <c r="BJ32" i="1"/>
  <c r="CH32" i="1"/>
  <c r="CI32" i="1"/>
  <c r="BO32" i="1"/>
  <c r="BQ32" i="1" s="1"/>
  <c r="BN32" i="1" s="1"/>
  <c r="CJ32" i="1"/>
  <c r="AX32" i="1"/>
  <c r="N32" i="1"/>
  <c r="AY32" i="1"/>
  <c r="O32" i="1"/>
  <c r="AZ32" i="1"/>
  <c r="CB32" i="1"/>
  <c r="CC32" i="1"/>
  <c r="AQ32" i="1" s="1"/>
  <c r="BS32" i="1" s="1"/>
  <c r="S32" i="1"/>
  <c r="CE32" i="1"/>
  <c r="X32" i="5"/>
  <c r="Y32" i="5"/>
  <c r="W32" i="5"/>
  <c r="BH32" i="1"/>
  <c r="BE32" i="3"/>
  <c r="AC32" i="5"/>
  <c r="K32" i="1"/>
  <c r="J32" i="1"/>
  <c r="AP32" i="1"/>
  <c r="AB32" i="5" s="1"/>
  <c r="M32" i="1"/>
  <c r="BG33" i="3"/>
  <c r="AS33" i="3"/>
  <c r="BH33" i="3" s="1"/>
  <c r="BO33" i="3" s="1"/>
  <c r="BP33" i="3" a="1"/>
  <c r="BP33" i="3" s="1"/>
  <c r="BT33" i="3" s="1"/>
  <c r="AT33" i="3"/>
  <c r="BJ33" i="3" s="1"/>
  <c r="AX33" i="3"/>
  <c r="BF33" i="3"/>
  <c r="AP33" i="3"/>
  <c r="AQ33" i="3" s="1"/>
  <c r="AI33" i="1"/>
  <c r="BI33" i="1"/>
  <c r="BL33" i="1" s="1"/>
  <c r="CG33" i="1"/>
  <c r="BJ33" i="1"/>
  <c r="CH33" i="1"/>
  <c r="CI33" i="1"/>
  <c r="BO33" i="1"/>
  <c r="BQ33" i="1" s="1"/>
  <c r="BN33" i="1" s="1"/>
  <c r="CJ33" i="1"/>
  <c r="N33" i="1"/>
  <c r="AX33" i="1"/>
  <c r="O33" i="1"/>
  <c r="AY33" i="1"/>
  <c r="AZ33" i="1"/>
  <c r="CB33" i="1"/>
  <c r="S33" i="1"/>
  <c r="CC33" i="1"/>
  <c r="CE33" i="1"/>
  <c r="BC33" i="1"/>
  <c r="CF33" i="1"/>
  <c r="X33" i="5"/>
  <c r="M33" i="1"/>
  <c r="AC33" i="5"/>
  <c r="W33" i="5"/>
  <c r="K33" i="1"/>
  <c r="Y33" i="5"/>
  <c r="BE33" i="3"/>
  <c r="J33" i="1"/>
  <c r="BH33" i="1"/>
  <c r="BD33" i="1"/>
  <c r="BE33" i="1"/>
  <c r="AP33" i="1"/>
  <c r="AB33" i="5" s="1"/>
  <c r="BP34" i="3" a="1"/>
  <c r="BP34" i="3" s="1"/>
  <c r="BT34" i="3" s="1"/>
  <c r="AS34" i="3"/>
  <c r="BH34" i="3" s="1"/>
  <c r="BF34" i="3"/>
  <c r="BG34" i="3"/>
  <c r="AP34" i="3"/>
  <c r="AT34" i="3"/>
  <c r="BJ34" i="3" s="1"/>
  <c r="AX34" i="3"/>
  <c r="AX34" i="1"/>
  <c r="AY34" i="1"/>
  <c r="CB34" i="1"/>
  <c r="CC34" i="1"/>
  <c r="AQ34" i="1" s="1"/>
  <c r="BS34" i="1" s="1"/>
  <c r="S34" i="1"/>
  <c r="CE34" i="1"/>
  <c r="BC34" i="1"/>
  <c r="CF34" i="1"/>
  <c r="BI34" i="1"/>
  <c r="BL34" i="1" s="1"/>
  <c r="CG34" i="1"/>
  <c r="AI34" i="1"/>
  <c r="BJ34" i="1"/>
  <c r="CH34" i="1"/>
  <c r="CI34" i="1"/>
  <c r="BO34" i="1"/>
  <c r="CJ34" i="1"/>
  <c r="Y34" i="5"/>
  <c r="M34" i="1"/>
  <c r="AC34" i="5"/>
  <c r="AP34" i="1"/>
  <c r="AB34" i="5" s="1"/>
  <c r="BE34" i="3"/>
  <c r="BL34" i="3" s="1"/>
  <c r="BH34" i="1"/>
  <c r="W34" i="5"/>
  <c r="X34" i="5"/>
  <c r="BE34" i="1"/>
  <c r="J34" i="1"/>
  <c r="BG34" i="1" s="1"/>
  <c r="BQ34" i="1"/>
  <c r="BN34" i="1" s="1"/>
  <c r="K34" i="1"/>
  <c r="BD34" i="1"/>
  <c r="AT35" i="3"/>
  <c r="BJ35" i="3" s="1"/>
  <c r="BP35" i="3" a="1"/>
  <c r="BP35" i="3" s="1"/>
  <c r="BT35" i="3" s="1"/>
  <c r="BB35" i="3"/>
  <c r="BG35" i="3"/>
  <c r="AP35" i="3"/>
  <c r="AQ35" i="3" s="1"/>
  <c r="AS35" i="3"/>
  <c r="BH35" i="3" s="1"/>
  <c r="AX35" i="3"/>
  <c r="BF35" i="3"/>
  <c r="N35" i="1"/>
  <c r="AX35" i="1"/>
  <c r="O35" i="1"/>
  <c r="AY35" i="1"/>
  <c r="AZ35" i="1"/>
  <c r="CB35" i="1"/>
  <c r="S35" i="1"/>
  <c r="CC35" i="1"/>
  <c r="AQ35" i="1" s="1"/>
  <c r="BS35" i="1" s="1"/>
  <c r="CE35" i="1"/>
  <c r="BC35" i="1"/>
  <c r="CF35" i="1"/>
  <c r="AI35" i="1"/>
  <c r="BI35" i="1"/>
  <c r="BL35" i="1" s="1"/>
  <c r="CG35" i="1"/>
  <c r="BJ35" i="1"/>
  <c r="CH35" i="1"/>
  <c r="CI35" i="1"/>
  <c r="X35" i="5"/>
  <c r="BO35" i="1"/>
  <c r="BQ35" i="1" s="1"/>
  <c r="BN35" i="1" s="1"/>
  <c r="CJ35" i="1"/>
  <c r="W35" i="5"/>
  <c r="AC35" i="5"/>
  <c r="BE35" i="3"/>
  <c r="BL35" i="3" s="1"/>
  <c r="M35" i="1"/>
  <c r="Y35" i="5"/>
  <c r="AP35" i="1"/>
  <c r="AB35" i="5" s="1"/>
  <c r="K35" i="1"/>
  <c r="J35" i="1"/>
  <c r="BH35" i="1"/>
  <c r="BP36" i="3" a="1"/>
  <c r="BP36" i="3" s="1"/>
  <c r="BT36" i="3" s="1"/>
  <c r="AS36" i="3"/>
  <c r="BH36" i="3" s="1"/>
  <c r="AT36" i="3"/>
  <c r="BJ36" i="3" s="1"/>
  <c r="AU36" i="3"/>
  <c r="BF36" i="3"/>
  <c r="BG36" i="3"/>
  <c r="AP36" i="3"/>
  <c r="AQ36" i="3" s="1"/>
  <c r="AX36" i="3"/>
  <c r="N36" i="1"/>
  <c r="AX36" i="1"/>
  <c r="O36" i="1"/>
  <c r="AY36" i="1"/>
  <c r="AZ36" i="1"/>
  <c r="CB36" i="1"/>
  <c r="S36" i="1"/>
  <c r="CC36" i="1"/>
  <c r="AQ36" i="1" s="1"/>
  <c r="BS36" i="1" s="1"/>
  <c r="CE36" i="1"/>
  <c r="BC36" i="1"/>
  <c r="CF36" i="1"/>
  <c r="AI36" i="1"/>
  <c r="BI36" i="1"/>
  <c r="BL36" i="1" s="1"/>
  <c r="CG36" i="1"/>
  <c r="AC36" i="5"/>
  <c r="BJ36" i="1"/>
  <c r="CH36" i="1"/>
  <c r="Y36" i="5"/>
  <c r="CI36" i="1"/>
  <c r="BO36" i="1"/>
  <c r="BQ36" i="1" s="1"/>
  <c r="BN36" i="1" s="1"/>
  <c r="CJ36" i="1"/>
  <c r="W36" i="5"/>
  <c r="X36" i="5"/>
  <c r="AP36" i="1"/>
  <c r="AB36" i="5" s="1"/>
  <c r="J36" i="1"/>
  <c r="BE36" i="3"/>
  <c r="BH36" i="1"/>
  <c r="M36" i="1"/>
  <c r="K36" i="1"/>
  <c r="BG37" i="3"/>
  <c r="AS37" i="3"/>
  <c r="BH37" i="3" s="1"/>
  <c r="AP37" i="3"/>
  <c r="AQ37" i="3" s="1"/>
  <c r="BF37" i="3"/>
  <c r="AX37" i="3"/>
  <c r="AT37" i="3"/>
  <c r="BJ37" i="3" s="1"/>
  <c r="AU37" i="3"/>
  <c r="BP37" i="3" a="1"/>
  <c r="BP37" i="3" s="1"/>
  <c r="BT37" i="3" s="1"/>
  <c r="AC37" i="5"/>
  <c r="W37" i="5"/>
  <c r="O37" i="1"/>
  <c r="AY37" i="1"/>
  <c r="AZ37" i="1"/>
  <c r="CB37" i="1"/>
  <c r="S37" i="1"/>
  <c r="CC37" i="1"/>
  <c r="CE37" i="1"/>
  <c r="BC37" i="1"/>
  <c r="CF37" i="1"/>
  <c r="X37" i="5"/>
  <c r="AI37" i="1"/>
  <c r="BI37" i="1"/>
  <c r="BL37" i="1" s="1"/>
  <c r="CG37" i="1"/>
  <c r="BJ37" i="1"/>
  <c r="CH37" i="1"/>
  <c r="BO37" i="1"/>
  <c r="BQ37" i="1" s="1"/>
  <c r="BN37" i="1" s="1"/>
  <c r="CJ37" i="1"/>
  <c r="N37" i="1"/>
  <c r="AX37" i="1"/>
  <c r="CI37" i="1"/>
  <c r="Y37" i="5"/>
  <c r="BE37" i="3"/>
  <c r="K37" i="1"/>
  <c r="AP37" i="1"/>
  <c r="AB37" i="5" s="1"/>
  <c r="J37" i="1"/>
  <c r="M37" i="1"/>
  <c r="BH37" i="1"/>
  <c r="BP38" i="3" a="1"/>
  <c r="BP38" i="3" s="1"/>
  <c r="BT38" i="3" s="1"/>
  <c r="BB38" i="3"/>
  <c r="AU38" i="3"/>
  <c r="BF38" i="3"/>
  <c r="BG38" i="3"/>
  <c r="AP38" i="3"/>
  <c r="AQ38" i="3" s="1"/>
  <c r="AS38" i="3"/>
  <c r="BH38" i="3" s="1"/>
  <c r="AT38" i="3"/>
  <c r="BJ38" i="3" s="1"/>
  <c r="AX38" i="3"/>
  <c r="AZ38" i="1"/>
  <c r="CB38" i="1"/>
  <c r="S38" i="1"/>
  <c r="CC38" i="1"/>
  <c r="AQ38" i="1" s="1"/>
  <c r="BS38" i="1" s="1"/>
  <c r="CE38" i="1"/>
  <c r="BC38" i="1"/>
  <c r="CF38" i="1"/>
  <c r="BJ38" i="1"/>
  <c r="CH38" i="1"/>
  <c r="CI38" i="1"/>
  <c r="N38" i="1"/>
  <c r="AX38" i="1"/>
  <c r="O38" i="1"/>
  <c r="AY38" i="1"/>
  <c r="CG38" i="1"/>
  <c r="CJ38" i="1"/>
  <c r="BI38" i="1"/>
  <c r="BL38" i="1" s="1"/>
  <c r="BO38" i="1"/>
  <c r="BQ38" i="1" s="1"/>
  <c r="BN38" i="1" s="1"/>
  <c r="AI38" i="1"/>
  <c r="M38" i="1"/>
  <c r="AC38" i="5"/>
  <c r="Y38" i="5"/>
  <c r="K38" i="1"/>
  <c r="X38" i="5"/>
  <c r="BE38" i="3"/>
  <c r="BL38" i="3" s="1"/>
  <c r="W38" i="5"/>
  <c r="AP38" i="1"/>
  <c r="AB38" i="5" s="1"/>
  <c r="J38" i="1"/>
  <c r="BH38" i="1"/>
  <c r="AT39" i="3"/>
  <c r="BB39" i="3" s="1"/>
  <c r="AX39" i="3"/>
  <c r="AP39" i="3"/>
  <c r="AQ39" i="3" s="1"/>
  <c r="BG39" i="3"/>
  <c r="BF39" i="3"/>
  <c r="AS39" i="3"/>
  <c r="BH39" i="3" s="1"/>
  <c r="BP39" i="3" a="1"/>
  <c r="BP39" i="3" s="1"/>
  <c r="BT39" i="3" s="1"/>
  <c r="W39" i="5"/>
  <c r="AC39" i="5"/>
  <c r="S39" i="1"/>
  <c r="CC39" i="1"/>
  <c r="AQ39" i="1" s="1"/>
  <c r="BS39" i="1" s="1"/>
  <c r="Y39" i="5"/>
  <c r="CE39" i="1"/>
  <c r="X39" i="5"/>
  <c r="BC39" i="1"/>
  <c r="CF39" i="1"/>
  <c r="AI39" i="1"/>
  <c r="BI39" i="1"/>
  <c r="BL39" i="1" s="1"/>
  <c r="CG39" i="1"/>
  <c r="CI39" i="1"/>
  <c r="BO39" i="1"/>
  <c r="BQ39" i="1" s="1"/>
  <c r="BN39" i="1" s="1"/>
  <c r="CJ39" i="1"/>
  <c r="N39" i="1"/>
  <c r="AX39" i="1"/>
  <c r="O39" i="1"/>
  <c r="AY39" i="1"/>
  <c r="AZ39" i="1"/>
  <c r="CB39" i="1"/>
  <c r="BJ39" i="1"/>
  <c r="CH39" i="1"/>
  <c r="M39" i="1"/>
  <c r="BE39" i="3"/>
  <c r="BL39" i="3" s="1"/>
  <c r="BH39" i="1"/>
  <c r="BD39" i="1"/>
  <c r="J39" i="1"/>
  <c r="K39" i="1"/>
  <c r="AP39" i="1"/>
  <c r="AB39" i="5" s="1"/>
  <c r="BE39" i="1"/>
  <c r="AP40" i="3"/>
  <c r="AQ40" i="3" s="1"/>
  <c r="BF40" i="3"/>
  <c r="BG40" i="3"/>
  <c r="AS40" i="3"/>
  <c r="BH40" i="3" s="1"/>
  <c r="BO40" i="3" s="1"/>
  <c r="AT40" i="3"/>
  <c r="BJ40" i="3" s="1"/>
  <c r="BP40" i="3" a="1"/>
  <c r="BP40" i="3" s="1"/>
  <c r="BT40" i="3" s="1"/>
  <c r="AX40" i="3"/>
  <c r="CF40" i="1"/>
  <c r="AI40" i="1"/>
  <c r="BI40" i="1"/>
  <c r="BL40" i="1" s="1"/>
  <c r="CH40" i="1"/>
  <c r="BJ40" i="1"/>
  <c r="N40" i="1"/>
  <c r="AX40" i="1"/>
  <c r="O40" i="1"/>
  <c r="AY40" i="1"/>
  <c r="CB40" i="1"/>
  <c r="AZ40" i="1"/>
  <c r="CC40" i="1"/>
  <c r="AQ40" i="1" s="1"/>
  <c r="BS40" i="1" s="1"/>
  <c r="S40" i="1"/>
  <c r="CE40" i="1"/>
  <c r="CG40" i="1"/>
  <c r="CI40" i="1"/>
  <c r="CJ40" i="1"/>
  <c r="BC40" i="1"/>
  <c r="BO40" i="1"/>
  <c r="BQ40" i="1" s="1"/>
  <c r="BN40" i="1" s="1"/>
  <c r="AC40" i="5"/>
  <c r="X40" i="5"/>
  <c r="Y40" i="5"/>
  <c r="AP40" i="1"/>
  <c r="AB40" i="5" s="1"/>
  <c r="W40" i="5"/>
  <c r="J40" i="1"/>
  <c r="BE40" i="3"/>
  <c r="BE40" i="1"/>
  <c r="BD40" i="1"/>
  <c r="K40" i="1"/>
  <c r="M40" i="1"/>
  <c r="BH40" i="1"/>
  <c r="AX41" i="3"/>
  <c r="BF41" i="3"/>
  <c r="AU41" i="3"/>
  <c r="AT41" i="3"/>
  <c r="BJ41" i="3" s="1"/>
  <c r="BP41" i="3" a="1"/>
  <c r="BP41" i="3" s="1"/>
  <c r="BT41" i="3" s="1"/>
  <c r="BG41" i="3"/>
  <c r="AP41" i="3"/>
  <c r="AQ41" i="3" s="1"/>
  <c r="AS41" i="3"/>
  <c r="BH41" i="3" s="1"/>
  <c r="BO41" i="3" s="1"/>
  <c r="Y41" i="5"/>
  <c r="X41" i="5"/>
  <c r="AI41" i="1"/>
  <c r="BI41" i="1"/>
  <c r="BL41" i="1" s="1"/>
  <c r="CG41" i="1"/>
  <c r="CI41" i="1"/>
  <c r="N41" i="1"/>
  <c r="AX41" i="1"/>
  <c r="AZ41" i="1"/>
  <c r="CB41" i="1"/>
  <c r="AC41" i="5"/>
  <c r="S41" i="1"/>
  <c r="CC41" i="1"/>
  <c r="AQ41" i="1" s="1"/>
  <c r="BS41" i="1" s="1"/>
  <c r="CE41" i="1"/>
  <c r="BC41" i="1"/>
  <c r="CF41" i="1"/>
  <c r="CH41" i="1"/>
  <c r="AY41" i="1"/>
  <c r="CJ41" i="1"/>
  <c r="O41" i="1"/>
  <c r="BJ41" i="1"/>
  <c r="BO41" i="1"/>
  <c r="BQ41" i="1" s="1"/>
  <c r="BN41" i="1" s="1"/>
  <c r="M41" i="1"/>
  <c r="W41" i="5"/>
  <c r="J41" i="1"/>
  <c r="AP41" i="1"/>
  <c r="AB41" i="5" s="1"/>
  <c r="BH41" i="1"/>
  <c r="K41" i="1"/>
  <c r="BE41" i="3"/>
  <c r="BQ42" i="3"/>
  <c r="BB42" i="3"/>
  <c r="AS42" i="3"/>
  <c r="BH42" i="3" s="1"/>
  <c r="BI42" i="3" s="1"/>
  <c r="BF42" i="3"/>
  <c r="BG42" i="3"/>
  <c r="AP42" i="3"/>
  <c r="AQ42" i="3" s="1"/>
  <c r="BP42" i="3" a="1"/>
  <c r="BP42" i="3" s="1"/>
  <c r="AT42" i="3"/>
  <c r="BJ42" i="3" s="1"/>
  <c r="N42" i="1"/>
  <c r="CC42" i="1"/>
  <c r="AQ42" i="1" s="1"/>
  <c r="BS42" i="1" s="1"/>
  <c r="O42" i="1"/>
  <c r="CE42" i="1"/>
  <c r="BI42" i="1"/>
  <c r="BL42" i="1" s="1"/>
  <c r="CG42" i="1"/>
  <c r="AI42" i="1"/>
  <c r="BJ42" i="1"/>
  <c r="CH42" i="1"/>
  <c r="AY42" i="1"/>
  <c r="CI42" i="1"/>
  <c r="CJ42" i="1"/>
  <c r="BC42" i="1"/>
  <c r="BO42" i="1"/>
  <c r="BQ42" i="1" s="1"/>
  <c r="BN42" i="1" s="1"/>
  <c r="CB42" i="1"/>
  <c r="AX42" i="1"/>
  <c r="CF42" i="1"/>
  <c r="BC42" i="3"/>
  <c r="M42" i="1"/>
  <c r="W42" i="5"/>
  <c r="AC42" i="5"/>
  <c r="AP42" i="1"/>
  <c r="AB42" i="5" s="1"/>
  <c r="BE42" i="3"/>
  <c r="Y42" i="5"/>
  <c r="X42" i="5"/>
  <c r="BD42" i="1"/>
  <c r="K42" i="1"/>
  <c r="BE42" i="1"/>
  <c r="J42" i="1"/>
  <c r="AZ42" i="1" s="1"/>
  <c r="BH42" i="1"/>
  <c r="BB43" i="3"/>
  <c r="BF43" i="3"/>
  <c r="BC43" i="3" s="1"/>
  <c r="BG43" i="3"/>
  <c r="BP43" i="3" a="1"/>
  <c r="BP43" i="3" s="1"/>
  <c r="AT43" i="3"/>
  <c r="BJ43" i="3" s="1"/>
  <c r="AP43" i="3"/>
  <c r="AQ43" i="3" s="1"/>
  <c r="BQ43" i="3"/>
  <c r="AS43" i="3"/>
  <c r="AY43" i="1"/>
  <c r="CB43" i="1"/>
  <c r="O43" i="1"/>
  <c r="CE43" i="1"/>
  <c r="AI43" i="1"/>
  <c r="BJ43" i="1"/>
  <c r="CH43" i="1"/>
  <c r="AC43" i="5"/>
  <c r="CG43" i="1"/>
  <c r="CI43" i="1"/>
  <c r="BC43" i="1"/>
  <c r="CJ43" i="1"/>
  <c r="N43" i="1"/>
  <c r="BI43" i="1"/>
  <c r="BL43" i="1" s="1"/>
  <c r="BO43" i="1"/>
  <c r="BQ43" i="1" s="1"/>
  <c r="BN43" i="1" s="1"/>
  <c r="CC43" i="1"/>
  <c r="AQ43" i="1" s="1"/>
  <c r="BS43" i="1" s="1"/>
  <c r="AX43" i="1"/>
  <c r="CF43" i="1"/>
  <c r="M43" i="1"/>
  <c r="Y43" i="5"/>
  <c r="X43" i="5"/>
  <c r="J43" i="1"/>
  <c r="AZ43" i="1" s="1"/>
  <c r="W43" i="5"/>
  <c r="BE43" i="3"/>
  <c r="BD43" i="1"/>
  <c r="AP43" i="1"/>
  <c r="AB43" i="5" s="1"/>
  <c r="BH43" i="1"/>
  <c r="BE43" i="1"/>
  <c r="K43" i="1"/>
  <c r="BG44" i="3"/>
  <c r="BF44" i="3"/>
  <c r="BP44" i="3" a="1"/>
  <c r="BP44" i="3" s="1"/>
  <c r="BT44" i="3" s="1"/>
  <c r="AP44" i="3"/>
  <c r="AQ44" i="3" s="1"/>
  <c r="BQ44" i="3"/>
  <c r="AS44" i="3"/>
  <c r="BH44" i="3" s="1"/>
  <c r="BI44" i="3"/>
  <c r="AT44" i="3"/>
  <c r="BJ44" i="3" s="1"/>
  <c r="BI44" i="1"/>
  <c r="BL44" i="1" s="1"/>
  <c r="CG44" i="1"/>
  <c r="AY44" i="1"/>
  <c r="CB44" i="1"/>
  <c r="N44" i="1"/>
  <c r="CC44" i="1"/>
  <c r="CE44" i="1"/>
  <c r="AX44" i="1"/>
  <c r="CF44" i="1"/>
  <c r="CH44" i="1"/>
  <c r="CI44" i="1"/>
  <c r="O44" i="1"/>
  <c r="BC44" i="1"/>
  <c r="CJ44" i="1"/>
  <c r="BJ44" i="1"/>
  <c r="AI44" i="1"/>
  <c r="BO44" i="1"/>
  <c r="W44" i="5"/>
  <c r="Y44" i="5"/>
  <c r="BC44" i="3"/>
  <c r="M44" i="1"/>
  <c r="X44" i="5"/>
  <c r="AC44" i="5"/>
  <c r="BE44" i="1"/>
  <c r="AP44" i="1"/>
  <c r="AB44" i="5" s="1"/>
  <c r="BH44" i="1"/>
  <c r="BE44" i="3"/>
  <c r="BL44" i="3" s="1"/>
  <c r="J44" i="1"/>
  <c r="AZ44" i="1" s="1"/>
  <c r="BQ44" i="1"/>
  <c r="BN44" i="1" s="1"/>
  <c r="K44" i="1"/>
  <c r="BD44" i="1"/>
  <c r="BF45" i="3"/>
  <c r="BG45" i="3"/>
  <c r="AP45" i="3"/>
  <c r="AQ45" i="3" s="1"/>
  <c r="BQ45" i="3"/>
  <c r="BB45" i="3"/>
  <c r="AS45" i="3"/>
  <c r="AT45" i="3"/>
  <c r="BJ45" i="3" s="1"/>
  <c r="BP45" i="3" a="1"/>
  <c r="BP45" i="3" s="1"/>
  <c r="N45" i="1"/>
  <c r="CC45" i="1"/>
  <c r="AQ45" i="1" s="1"/>
  <c r="BS45" i="1" s="1"/>
  <c r="AI45" i="1"/>
  <c r="BJ45" i="1"/>
  <c r="CH45" i="1"/>
  <c r="AX45" i="1"/>
  <c r="CB45" i="1"/>
  <c r="AY45" i="1"/>
  <c r="CE45" i="1"/>
  <c r="CF45" i="1"/>
  <c r="CG45" i="1"/>
  <c r="O45" i="1"/>
  <c r="BC45" i="1"/>
  <c r="CI45" i="1"/>
  <c r="BI45" i="1"/>
  <c r="BL45" i="1" s="1"/>
  <c r="CJ45" i="1"/>
  <c r="BO45" i="1"/>
  <c r="BQ45" i="1" s="1"/>
  <c r="BN45" i="1" s="1"/>
  <c r="AC45" i="5"/>
  <c r="X45" i="5"/>
  <c r="W45" i="5"/>
  <c r="BD45" i="1"/>
  <c r="BC45" i="3"/>
  <c r="BE45" i="3"/>
  <c r="Y45" i="5"/>
  <c r="K45" i="1"/>
  <c r="AP45" i="1"/>
  <c r="AB45" i="5" s="1"/>
  <c r="J45" i="1"/>
  <c r="AZ45" i="1" s="1"/>
  <c r="BH45" i="1"/>
  <c r="M45" i="1"/>
  <c r="BE45" i="1"/>
  <c r="AS46" i="3"/>
  <c r="BH46" i="3" s="1"/>
  <c r="BO46" i="3" s="1"/>
  <c r="AT46" i="3"/>
  <c r="BJ46" i="3" s="1"/>
  <c r="AU46" i="3"/>
  <c r="BP46" i="3" a="1"/>
  <c r="BP46" i="3" s="1"/>
  <c r="BF46" i="3"/>
  <c r="BQ46" i="3"/>
  <c r="AP46" i="3"/>
  <c r="AQ46" i="3" s="1"/>
  <c r="BG46" i="3"/>
  <c r="AY46" i="1"/>
  <c r="CB46" i="1"/>
  <c r="AI46" i="1"/>
  <c r="BJ46" i="1"/>
  <c r="CH46" i="1"/>
  <c r="BO46" i="1"/>
  <c r="BQ46" i="1" s="1"/>
  <c r="BN46" i="1" s="1"/>
  <c r="CC46" i="1"/>
  <c r="AQ46" i="1" s="1"/>
  <c r="BS46" i="1" s="1"/>
  <c r="AX46" i="1"/>
  <c r="CE46" i="1"/>
  <c r="CF46" i="1"/>
  <c r="CG46" i="1"/>
  <c r="N46" i="1"/>
  <c r="BC46" i="1"/>
  <c r="CI46" i="1"/>
  <c r="O46" i="1"/>
  <c r="BI46" i="1"/>
  <c r="BL46" i="1" s="1"/>
  <c r="CJ46" i="1"/>
  <c r="AC46" i="5"/>
  <c r="M46" i="1"/>
  <c r="X46" i="5"/>
  <c r="W46" i="5"/>
  <c r="BE46" i="3"/>
  <c r="Y46" i="5"/>
  <c r="BC46" i="3"/>
  <c r="AP46" i="1"/>
  <c r="AB46" i="5" s="1"/>
  <c r="BD46" i="1"/>
  <c r="K46" i="1"/>
  <c r="BE46" i="1"/>
  <c r="BH46" i="1"/>
  <c r="J46" i="1"/>
  <c r="AZ46" i="1" s="1"/>
  <c r="AP47" i="3"/>
  <c r="AQ47" i="3" s="1"/>
  <c r="BF47" i="3"/>
  <c r="AS47" i="3"/>
  <c r="BH47" i="3" s="1"/>
  <c r="AT47" i="3"/>
  <c r="AX47" i="3"/>
  <c r="BP47" i="3" a="1"/>
  <c r="BP47" i="3" s="1"/>
  <c r="BT47" i="3" s="1"/>
  <c r="BG47" i="3"/>
  <c r="X47" i="5"/>
  <c r="BC47" i="1"/>
  <c r="CF47" i="1"/>
  <c r="N47" i="1"/>
  <c r="AY47" i="1"/>
  <c r="CB47" i="1"/>
  <c r="O47" i="1"/>
  <c r="CH47" i="1"/>
  <c r="BI47" i="1"/>
  <c r="BL47" i="1" s="1"/>
  <c r="CI47" i="1"/>
  <c r="BJ47" i="1"/>
  <c r="CJ47" i="1"/>
  <c r="AI47" i="1"/>
  <c r="BO47" i="1"/>
  <c r="BQ47" i="1" s="1"/>
  <c r="BN47" i="1" s="1"/>
  <c r="CC47" i="1"/>
  <c r="AQ47" i="1" s="1"/>
  <c r="BS47" i="1" s="1"/>
  <c r="AX47" i="1"/>
  <c r="CE47" i="1"/>
  <c r="CG47" i="1"/>
  <c r="M47" i="1"/>
  <c r="AC47" i="5"/>
  <c r="W47" i="5"/>
  <c r="BD47" i="1"/>
  <c r="BE47" i="3"/>
  <c r="BL47" i="3" s="1"/>
  <c r="J47" i="1"/>
  <c r="AZ47" i="1" s="1"/>
  <c r="Y47" i="5"/>
  <c r="K47" i="1"/>
  <c r="BE47" i="1"/>
  <c r="AP47" i="1"/>
  <c r="AB47" i="5" s="1"/>
  <c r="BH47" i="1"/>
  <c r="AP48" i="3"/>
  <c r="AQ48" i="3" s="1"/>
  <c r="BF48" i="3"/>
  <c r="BG48" i="3"/>
  <c r="AT48" i="3"/>
  <c r="BP48" i="3" a="1"/>
  <c r="BP48" i="3" s="1"/>
  <c r="AS48" i="3"/>
  <c r="BH48" i="3" s="1"/>
  <c r="BO48" i="3" s="1"/>
  <c r="AU48" i="3"/>
  <c r="AX48" i="3"/>
  <c r="AC48" i="5"/>
  <c r="Y48" i="5"/>
  <c r="CH48" i="1"/>
  <c r="AX48" i="1"/>
  <c r="AY48" i="1"/>
  <c r="N48" i="1"/>
  <c r="CB48" i="1"/>
  <c r="O48" i="1"/>
  <c r="CC48" i="1"/>
  <c r="AQ48" i="1" s="1"/>
  <c r="BS48" i="1" s="1"/>
  <c r="BC48" i="1"/>
  <c r="CE48" i="1"/>
  <c r="BI48" i="1"/>
  <c r="BL48" i="1" s="1"/>
  <c r="CF48" i="1"/>
  <c r="BJ48" i="1"/>
  <c r="CG48" i="1"/>
  <c r="AI48" i="1"/>
  <c r="CI48" i="1"/>
  <c r="BO48" i="1"/>
  <c r="BQ48" i="1" s="1"/>
  <c r="BN48" i="1" s="1"/>
  <c r="CJ48" i="1"/>
  <c r="X48" i="5"/>
  <c r="W48" i="5"/>
  <c r="BE48" i="1"/>
  <c r="BE48" i="3"/>
  <c r="BL48" i="3" s="1"/>
  <c r="BH48" i="1"/>
  <c r="BD48" i="1"/>
  <c r="AP48" i="1"/>
  <c r="AB48" i="5" s="1"/>
  <c r="J48" i="1"/>
  <c r="AZ48" i="1" s="1"/>
  <c r="K48" i="1"/>
  <c r="M48" i="1"/>
  <c r="AS49" i="3"/>
  <c r="BH49" i="3" s="1"/>
  <c r="BO49" i="3" s="1"/>
  <c r="BB49" i="3"/>
  <c r="BF49" i="3"/>
  <c r="BP49" i="3" a="1"/>
  <c r="BP49" i="3" s="1"/>
  <c r="BT49" i="3" s="1"/>
  <c r="BI49" i="3"/>
  <c r="AT49" i="3"/>
  <c r="BJ49" i="3" s="1"/>
  <c r="BG49" i="3"/>
  <c r="BQ49" i="3"/>
  <c r="AP49" i="3"/>
  <c r="AQ49" i="3" s="1"/>
  <c r="X49" i="5"/>
  <c r="W49" i="5"/>
  <c r="O49" i="1"/>
  <c r="CE49" i="1"/>
  <c r="AC49" i="5"/>
  <c r="N49" i="1"/>
  <c r="CF49" i="1"/>
  <c r="BC49" i="1"/>
  <c r="CG49" i="1"/>
  <c r="BI49" i="1"/>
  <c r="BL49" i="1" s="1"/>
  <c r="CH49" i="1"/>
  <c r="AI49" i="1"/>
  <c r="BJ49" i="1"/>
  <c r="CI49" i="1"/>
  <c r="CJ49" i="1"/>
  <c r="BO49" i="1"/>
  <c r="AX49" i="1"/>
  <c r="AY49" i="1"/>
  <c r="CB49" i="1"/>
  <c r="CC49" i="1"/>
  <c r="AQ49" i="1" s="1"/>
  <c r="BS49" i="1" s="1"/>
  <c r="M49" i="1"/>
  <c r="Y49" i="5"/>
  <c r="BE49" i="1"/>
  <c r="J49" i="1"/>
  <c r="AZ49" i="1" s="1"/>
  <c r="BC49" i="3"/>
  <c r="BE49" i="3"/>
  <c r="K49" i="1"/>
  <c r="BQ49" i="1"/>
  <c r="BN49" i="1" s="1"/>
  <c r="BD49" i="1"/>
  <c r="BH49" i="1"/>
  <c r="AP49" i="1"/>
  <c r="AB49" i="5" s="1"/>
  <c r="AP50" i="3"/>
  <c r="AQ50" i="3" s="1"/>
  <c r="BG50" i="3"/>
  <c r="BC50" i="3"/>
  <c r="BI50" i="3"/>
  <c r="BU50" i="3" s="1"/>
  <c r="BP50" i="3" a="1"/>
  <c r="BP50" i="3" s="1"/>
  <c r="BF50" i="3"/>
  <c r="BQ50" i="3"/>
  <c r="AS50" i="3"/>
  <c r="AT50" i="3"/>
  <c r="BJ50" i="3" s="1"/>
  <c r="N50" i="1"/>
  <c r="CC50" i="1"/>
  <c r="AQ50" i="1" s="1"/>
  <c r="BS50" i="1" s="1"/>
  <c r="AX50" i="1"/>
  <c r="AY50" i="1"/>
  <c r="CB50" i="1"/>
  <c r="CE50" i="1"/>
  <c r="O50" i="1"/>
  <c r="CF50" i="1"/>
  <c r="BC50" i="1"/>
  <c r="CG50" i="1"/>
  <c r="BI50" i="1"/>
  <c r="BL50" i="1" s="1"/>
  <c r="CH50" i="1"/>
  <c r="AI50" i="1"/>
  <c r="BJ50" i="1"/>
  <c r="CI50" i="1"/>
  <c r="CJ50" i="1"/>
  <c r="BO50" i="1"/>
  <c r="BQ50" i="1" s="1"/>
  <c r="BN50" i="1" s="1"/>
  <c r="AC50" i="5"/>
  <c r="M50" i="1"/>
  <c r="X50" i="5"/>
  <c r="BE50" i="3"/>
  <c r="W50" i="5"/>
  <c r="BH50" i="1"/>
  <c r="AP50" i="1"/>
  <c r="AB50" i="5" s="1"/>
  <c r="Y50" i="5"/>
  <c r="K50" i="1"/>
  <c r="BE50" i="1"/>
  <c r="BD50" i="1"/>
  <c r="J50" i="1"/>
  <c r="AZ50" i="1" s="1"/>
  <c r="BF51" i="3"/>
  <c r="BB51" i="3"/>
  <c r="BG51" i="3"/>
  <c r="AU51" i="3"/>
  <c r="BP51" i="3" a="1"/>
  <c r="BP51" i="3" s="1"/>
  <c r="BT51" i="3" s="1"/>
  <c r="AP51" i="3"/>
  <c r="AQ51" i="3" s="1"/>
  <c r="AS51" i="3"/>
  <c r="BH51" i="3" s="1"/>
  <c r="BQ51" i="3"/>
  <c r="BI51" i="3"/>
  <c r="BU51" i="3" s="1"/>
  <c r="AT51" i="3"/>
  <c r="BJ51" i="3" s="1"/>
  <c r="Y51" i="5"/>
  <c r="AC51" i="5"/>
  <c r="X51" i="5"/>
  <c r="W51" i="5"/>
  <c r="N51" i="1"/>
  <c r="CC51" i="1"/>
  <c r="AQ51" i="1" s="1"/>
  <c r="BS51" i="1" s="1"/>
  <c r="O51" i="1"/>
  <c r="CE51" i="1"/>
  <c r="BC51" i="1"/>
  <c r="CF51" i="1"/>
  <c r="BI51" i="1"/>
  <c r="BL51" i="1" s="1"/>
  <c r="CG51" i="1"/>
  <c r="AI51" i="1"/>
  <c r="BJ51" i="1"/>
  <c r="CH51" i="1"/>
  <c r="CI51" i="1"/>
  <c r="BO51" i="1"/>
  <c r="BQ51" i="1" s="1"/>
  <c r="BN51" i="1" s="1"/>
  <c r="CJ51" i="1"/>
  <c r="AX51" i="1"/>
  <c r="AY51" i="1"/>
  <c r="CB51" i="1"/>
  <c r="BE51" i="3"/>
  <c r="BC51" i="3"/>
  <c r="BM51" i="3" s="1"/>
  <c r="BD51" i="1"/>
  <c r="M51" i="1"/>
  <c r="BE51" i="1"/>
  <c r="AP51" i="1"/>
  <c r="AB51" i="5" s="1"/>
  <c r="K51" i="1"/>
  <c r="J51" i="1"/>
  <c r="AZ51" i="1" s="1"/>
  <c r="BH51" i="1"/>
  <c r="BC52" i="3"/>
  <c r="BF52" i="3"/>
  <c r="BG52" i="3"/>
  <c r="BI52" i="3" s="1"/>
  <c r="BQ52" i="3"/>
  <c r="AP52" i="3"/>
  <c r="AQ52" i="3" s="1"/>
  <c r="BP52" i="3" a="1"/>
  <c r="BP52" i="3" s="1"/>
  <c r="AT52" i="3"/>
  <c r="AS52" i="3"/>
  <c r="BH52" i="3" s="1"/>
  <c r="AU52" i="3"/>
  <c r="AI52" i="1"/>
  <c r="BJ52" i="1"/>
  <c r="CH52" i="1"/>
  <c r="CI52" i="1"/>
  <c r="BO52" i="1"/>
  <c r="BQ52" i="1" s="1"/>
  <c r="BN52" i="1" s="1"/>
  <c r="CJ52" i="1"/>
  <c r="AX52" i="1"/>
  <c r="AY52" i="1"/>
  <c r="CB52" i="1"/>
  <c r="N52" i="1"/>
  <c r="CC52" i="1"/>
  <c r="AQ52" i="1" s="1"/>
  <c r="BS52" i="1" s="1"/>
  <c r="O52" i="1"/>
  <c r="CE52" i="1"/>
  <c r="BC52" i="1"/>
  <c r="CF52" i="1"/>
  <c r="BI52" i="1"/>
  <c r="BL52" i="1" s="1"/>
  <c r="CG52" i="1"/>
  <c r="AC52" i="5"/>
  <c r="M52" i="1"/>
  <c r="BE52" i="3"/>
  <c r="BL52" i="3" s="1"/>
  <c r="Y52" i="5"/>
  <c r="X52" i="5"/>
  <c r="W52" i="5"/>
  <c r="K52" i="1"/>
  <c r="J52" i="1"/>
  <c r="AZ52" i="1" s="1"/>
  <c r="BE52" i="1"/>
  <c r="BH52" i="1"/>
  <c r="AP52" i="1"/>
  <c r="AB52" i="5" s="1"/>
  <c r="BD52" i="1"/>
  <c r="AS53" i="3"/>
  <c r="BH53" i="3" s="1"/>
  <c r="BP53" i="3" a="1"/>
  <c r="BP53" i="3" s="1"/>
  <c r="BT53" i="3" s="1"/>
  <c r="AT53" i="3"/>
  <c r="BJ53" i="3" s="1"/>
  <c r="AU53" i="3"/>
  <c r="BQ53" i="3"/>
  <c r="BF53" i="3"/>
  <c r="BC53" i="3" s="1"/>
  <c r="AP53" i="3"/>
  <c r="AQ53" i="3" s="1"/>
  <c r="BG53" i="3"/>
  <c r="AC53" i="5"/>
  <c r="Y53" i="5"/>
  <c r="X53" i="5"/>
  <c r="AX53" i="1"/>
  <c r="AY53" i="1"/>
  <c r="CB53" i="1"/>
  <c r="N53" i="1"/>
  <c r="CC53" i="1"/>
  <c r="AQ53" i="1" s="1"/>
  <c r="BS53" i="1" s="1"/>
  <c r="O53" i="1"/>
  <c r="CE53" i="1"/>
  <c r="BC53" i="1"/>
  <c r="CF53" i="1"/>
  <c r="BI53" i="1"/>
  <c r="BL53" i="1" s="1"/>
  <c r="CG53" i="1"/>
  <c r="AI53" i="1"/>
  <c r="BJ53" i="1"/>
  <c r="CH53" i="1"/>
  <c r="CI53" i="1"/>
  <c r="BO53" i="1"/>
  <c r="BQ53" i="1" s="1"/>
  <c r="BN53" i="1" s="1"/>
  <c r="CJ53" i="1"/>
  <c r="W53" i="5"/>
  <c r="BE53" i="3"/>
  <c r="BL53" i="3" s="1"/>
  <c r="J53" i="1"/>
  <c r="AZ53" i="1" s="1"/>
  <c r="BE53" i="1"/>
  <c r="AP53" i="1"/>
  <c r="AB53" i="5" s="1"/>
  <c r="M53" i="1"/>
  <c r="BH53" i="1"/>
  <c r="BD53" i="1"/>
  <c r="K53" i="1"/>
  <c r="AT54" i="3"/>
  <c r="BQ54" i="3"/>
  <c r="AP54" i="3"/>
  <c r="AQ54" i="3" s="1"/>
  <c r="BP54" i="3" a="1"/>
  <c r="BP54" i="3" s="1"/>
  <c r="AS54" i="3"/>
  <c r="BH54" i="3" s="1"/>
  <c r="BO54" i="3" s="1"/>
  <c r="BG54" i="3"/>
  <c r="BF54" i="3"/>
  <c r="N54" i="1"/>
  <c r="CC54" i="1"/>
  <c r="AQ54" i="1" s="1"/>
  <c r="BS54" i="1" s="1"/>
  <c r="O54" i="1"/>
  <c r="CE54" i="1"/>
  <c r="BC54" i="1"/>
  <c r="CF54" i="1"/>
  <c r="BI54" i="1"/>
  <c r="BL54" i="1" s="1"/>
  <c r="CG54" i="1"/>
  <c r="AI54" i="1"/>
  <c r="BJ54" i="1"/>
  <c r="CH54" i="1"/>
  <c r="CI54" i="1"/>
  <c r="BO54" i="1"/>
  <c r="BQ54" i="1" s="1"/>
  <c r="BN54" i="1" s="1"/>
  <c r="CJ54" i="1"/>
  <c r="AX54" i="1"/>
  <c r="AY54" i="1"/>
  <c r="CB54" i="1"/>
  <c r="AC54" i="5"/>
  <c r="Y54" i="5"/>
  <c r="X54" i="5"/>
  <c r="BC54" i="3"/>
  <c r="BE54" i="3"/>
  <c r="W54" i="5"/>
  <c r="K54" i="1"/>
  <c r="AP54" i="1"/>
  <c r="AB54" i="5" s="1"/>
  <c r="BH54" i="1"/>
  <c r="BD54" i="1"/>
  <c r="BE54" i="1"/>
  <c r="M54" i="1"/>
  <c r="J54" i="1"/>
  <c r="AZ54" i="1" s="1"/>
  <c r="AT55" i="3"/>
  <c r="BB55" i="3" s="1"/>
  <c r="BF55" i="3"/>
  <c r="AS55" i="3"/>
  <c r="BH55" i="3" s="1"/>
  <c r="BO55" i="3" s="1"/>
  <c r="BG55" i="3"/>
  <c r="BP55" i="3" a="1"/>
  <c r="BP55" i="3" s="1"/>
  <c r="BT55" i="3" s="1"/>
  <c r="AC55" i="5"/>
  <c r="CE55" i="1"/>
  <c r="BC55" i="1"/>
  <c r="CF55" i="1"/>
  <c r="AI55" i="1"/>
  <c r="BI55" i="1"/>
  <c r="BL55" i="1" s="1"/>
  <c r="CG55" i="1"/>
  <c r="BJ55" i="1"/>
  <c r="CH55" i="1"/>
  <c r="CI55" i="1"/>
  <c r="BO55" i="1"/>
  <c r="BQ55" i="1" s="1"/>
  <c r="BN55" i="1" s="1"/>
  <c r="CJ55" i="1"/>
  <c r="N55" i="1"/>
  <c r="AX55" i="1"/>
  <c r="O55" i="1"/>
  <c r="AY55" i="1"/>
  <c r="AZ55" i="1"/>
  <c r="CB55" i="1"/>
  <c r="S55" i="1"/>
  <c r="CC55" i="1"/>
  <c r="W55" i="5"/>
  <c r="Y55" i="5"/>
  <c r="M55" i="1"/>
  <c r="X55" i="5"/>
  <c r="BE55" i="3"/>
  <c r="BD55" i="1"/>
  <c r="BE55" i="1"/>
  <c r="AP55" i="1"/>
  <c r="AB55" i="5" s="1"/>
  <c r="J55" i="1"/>
  <c r="BH55" i="1"/>
  <c r="K55" i="1"/>
  <c r="BP56" i="3" a="1"/>
  <c r="BP56" i="3" s="1"/>
  <c r="BT56" i="3" s="1"/>
  <c r="BF56" i="3"/>
  <c r="AS56" i="3"/>
  <c r="BH56" i="3" s="1"/>
  <c r="AT56" i="3"/>
  <c r="BJ56" i="3" s="1"/>
  <c r="BR56" i="3" s="1"/>
  <c r="BV56" i="3" s="1"/>
  <c r="BG56" i="3"/>
  <c r="BC56" i="1"/>
  <c r="CF56" i="1"/>
  <c r="AI56" i="1"/>
  <c r="BI56" i="1"/>
  <c r="BL56" i="1" s="1"/>
  <c r="CG56" i="1"/>
  <c r="BJ56" i="1"/>
  <c r="CH56" i="1"/>
  <c r="CI56" i="1"/>
  <c r="BO56" i="1"/>
  <c r="BQ56" i="1" s="1"/>
  <c r="BN56" i="1" s="1"/>
  <c r="CJ56" i="1"/>
  <c r="N56" i="1"/>
  <c r="AX56" i="1"/>
  <c r="O56" i="1"/>
  <c r="AY56" i="1"/>
  <c r="AZ56" i="1"/>
  <c r="CB56" i="1"/>
  <c r="S56" i="1"/>
  <c r="CC56" i="1"/>
  <c r="AQ56" i="1" s="1"/>
  <c r="BS56" i="1" s="1"/>
  <c r="CE56" i="1"/>
  <c r="M56" i="1"/>
  <c r="X56" i="5"/>
  <c r="W56" i="5"/>
  <c r="AC56" i="5"/>
  <c r="Y56" i="5"/>
  <c r="BH56" i="1"/>
  <c r="K56" i="1"/>
  <c r="BE56" i="3"/>
  <c r="AP56" i="1"/>
  <c r="AB56" i="5" s="1"/>
  <c r="J56" i="1"/>
  <c r="CD56" i="1" s="1"/>
  <c r="L56" i="1"/>
  <c r="BE56" i="1"/>
  <c r="BD56" i="1"/>
  <c r="BG57" i="3"/>
  <c r="BF57" i="3"/>
  <c r="BP57" i="3" a="1"/>
  <c r="BP57" i="3" s="1"/>
  <c r="BT57" i="3" s="1"/>
  <c r="AS57" i="3"/>
  <c r="BH57" i="3" s="1"/>
  <c r="BO57" i="3" s="1"/>
  <c r="AT57" i="3"/>
  <c r="BJ57" i="3" s="1"/>
  <c r="BR57" i="3" s="1"/>
  <c r="BV57" i="3" s="1"/>
  <c r="AI57" i="1"/>
  <c r="BI57" i="1"/>
  <c r="BL57" i="1" s="1"/>
  <c r="CG57" i="1"/>
  <c r="BJ57" i="1"/>
  <c r="CH57" i="1"/>
  <c r="CI57" i="1"/>
  <c r="BO57" i="1"/>
  <c r="BQ57" i="1" s="1"/>
  <c r="BN57" i="1" s="1"/>
  <c r="CJ57" i="1"/>
  <c r="N57" i="1"/>
  <c r="AX57" i="1"/>
  <c r="O57" i="1"/>
  <c r="AY57" i="1"/>
  <c r="AZ57" i="1"/>
  <c r="CB57" i="1"/>
  <c r="S57" i="1"/>
  <c r="CC57" i="1"/>
  <c r="AQ57" i="1" s="1"/>
  <c r="BS57" i="1" s="1"/>
  <c r="CE57" i="1"/>
  <c r="BC57" i="1"/>
  <c r="CF57" i="1"/>
  <c r="AC57" i="5"/>
  <c r="W57" i="5"/>
  <c r="Y57" i="5"/>
  <c r="BE57" i="1"/>
  <c r="BE57" i="3"/>
  <c r="X57" i="5"/>
  <c r="J57" i="1"/>
  <c r="AP57" i="1"/>
  <c r="AB57" i="5" s="1"/>
  <c r="BD57" i="1"/>
  <c r="M57" i="1"/>
  <c r="BH57" i="1"/>
  <c r="K57" i="1"/>
  <c r="AT58" i="3"/>
  <c r="BJ58" i="3" s="1"/>
  <c r="BR58" i="3" s="1"/>
  <c r="BV58" i="3" s="1"/>
  <c r="BF58" i="3"/>
  <c r="BG58" i="3"/>
  <c r="AU58" i="3"/>
  <c r="BP58" i="3" a="1"/>
  <c r="BP58" i="3" s="1"/>
  <c r="BT58" i="3" s="1"/>
  <c r="AS58" i="3"/>
  <c r="BH58" i="3" s="1"/>
  <c r="BB58" i="3"/>
  <c r="BJ58" i="1"/>
  <c r="CH58" i="1"/>
  <c r="CI58" i="1"/>
  <c r="BO58" i="1"/>
  <c r="BQ58" i="1" s="1"/>
  <c r="BN58" i="1" s="1"/>
  <c r="CJ58" i="1"/>
  <c r="N58" i="1"/>
  <c r="AX58" i="1"/>
  <c r="O58" i="1"/>
  <c r="AY58" i="1"/>
  <c r="AZ58" i="1"/>
  <c r="CB58" i="1"/>
  <c r="S58" i="1"/>
  <c r="CC58" i="1"/>
  <c r="AQ58" i="1" s="1"/>
  <c r="BS58" i="1" s="1"/>
  <c r="CE58" i="1"/>
  <c r="BC58" i="1"/>
  <c r="CF58" i="1"/>
  <c r="AI58" i="1"/>
  <c r="BI58" i="1"/>
  <c r="BL58" i="1" s="1"/>
  <c r="CG58" i="1"/>
  <c r="Y58" i="5"/>
  <c r="W58" i="5"/>
  <c r="X58" i="5"/>
  <c r="AC58" i="5"/>
  <c r="K58" i="1"/>
  <c r="AP58" i="1"/>
  <c r="AB58" i="5" s="1"/>
  <c r="BE58" i="3"/>
  <c r="BH58" i="1"/>
  <c r="J58" i="1"/>
  <c r="M58" i="1"/>
  <c r="BF59" i="3"/>
  <c r="BG59" i="3"/>
  <c r="BP59" i="3" a="1"/>
  <c r="BP59" i="3" s="1"/>
  <c r="BT59" i="3" s="1"/>
  <c r="AT59" i="3"/>
  <c r="BJ59" i="3" s="1"/>
  <c r="BR59" i="3" s="1"/>
  <c r="BV59" i="3" s="1"/>
  <c r="AS59" i="3"/>
  <c r="BH59" i="3" s="1"/>
  <c r="X59" i="5"/>
  <c r="CI59" i="1"/>
  <c r="BO59" i="1"/>
  <c r="BQ59" i="1" s="1"/>
  <c r="BN59" i="1" s="1"/>
  <c r="CJ59" i="1"/>
  <c r="N59" i="1"/>
  <c r="AX59" i="1"/>
  <c r="O59" i="1"/>
  <c r="AY59" i="1"/>
  <c r="AZ59" i="1"/>
  <c r="CB59" i="1"/>
  <c r="S59" i="1"/>
  <c r="CC59" i="1"/>
  <c r="CE59" i="1"/>
  <c r="BC59" i="1"/>
  <c r="CF59" i="1"/>
  <c r="AI59" i="1"/>
  <c r="BI59" i="1"/>
  <c r="BL59" i="1" s="1"/>
  <c r="CG59" i="1"/>
  <c r="BJ59" i="1"/>
  <c r="CH59" i="1"/>
  <c r="AC59" i="5"/>
  <c r="Y59" i="5"/>
  <c r="W59" i="5"/>
  <c r="BH59" i="1"/>
  <c r="BE59" i="3"/>
  <c r="BL59" i="3" s="1"/>
  <c r="K59" i="1"/>
  <c r="AP59" i="1"/>
  <c r="AB59" i="5" s="1"/>
  <c r="J59" i="1"/>
  <c r="M59" i="1"/>
  <c r="BF60" i="3"/>
  <c r="BG60" i="3"/>
  <c r="BP60" i="3" a="1"/>
  <c r="BP60" i="3" s="1"/>
  <c r="BT60" i="3" s="1"/>
  <c r="AS60" i="3"/>
  <c r="BH60" i="3" s="1"/>
  <c r="BO60" i="3" s="1"/>
  <c r="AT60" i="3"/>
  <c r="BB60" i="3" s="1"/>
  <c r="AC60" i="5"/>
  <c r="Y60" i="5"/>
  <c r="BO60" i="1"/>
  <c r="BQ60" i="1" s="1"/>
  <c r="BN60" i="1" s="1"/>
  <c r="CJ60" i="1"/>
  <c r="N60" i="1"/>
  <c r="AX60" i="1"/>
  <c r="O60" i="1"/>
  <c r="AY60" i="1"/>
  <c r="AZ60" i="1"/>
  <c r="CB60" i="1"/>
  <c r="S60" i="1"/>
  <c r="CC60" i="1"/>
  <c r="AQ60" i="1" s="1"/>
  <c r="BS60" i="1" s="1"/>
  <c r="CE60" i="1"/>
  <c r="BC60" i="1"/>
  <c r="CF60" i="1"/>
  <c r="AI60" i="1"/>
  <c r="BI60" i="1"/>
  <c r="BL60" i="1" s="1"/>
  <c r="CG60" i="1"/>
  <c r="BJ60" i="1"/>
  <c r="CH60" i="1"/>
  <c r="CI60" i="1"/>
  <c r="X60" i="5"/>
  <c r="M60" i="1"/>
  <c r="W60" i="5"/>
  <c r="BE60" i="3"/>
  <c r="BL60" i="3" s="1"/>
  <c r="AP60" i="1"/>
  <c r="AB60" i="5" s="1"/>
  <c r="BH60" i="1"/>
  <c r="J60" i="1"/>
  <c r="K60" i="1"/>
  <c r="AT61" i="3"/>
  <c r="BF61" i="3"/>
  <c r="AP61" i="3"/>
  <c r="AQ61" i="3" s="1"/>
  <c r="BG61" i="3"/>
  <c r="AS61" i="3"/>
  <c r="BH61" i="3" s="1"/>
  <c r="BO61" i="3" s="1"/>
  <c r="BP61" i="3" a="1"/>
  <c r="BP61" i="3" s="1"/>
  <c r="BT61" i="3" s="1"/>
  <c r="AU61" i="3"/>
  <c r="AX61" i="3"/>
  <c r="X61" i="5"/>
  <c r="AC61" i="5"/>
  <c r="W61" i="5"/>
  <c r="CJ61" i="1"/>
  <c r="N61" i="1"/>
  <c r="AX61" i="1"/>
  <c r="O61" i="1"/>
  <c r="AY61" i="1"/>
  <c r="AZ61" i="1"/>
  <c r="S61" i="1"/>
  <c r="CB61" i="1"/>
  <c r="CC61" i="1"/>
  <c r="AQ61" i="1" s="1"/>
  <c r="BS61" i="1" s="1"/>
  <c r="BC61" i="1"/>
  <c r="CE61" i="1"/>
  <c r="AI61" i="1"/>
  <c r="BI61" i="1"/>
  <c r="BL61" i="1" s="1"/>
  <c r="CF61" i="1"/>
  <c r="BJ61" i="1"/>
  <c r="CG61" i="1"/>
  <c r="CH61" i="1"/>
  <c r="BO61" i="1"/>
  <c r="BQ61" i="1" s="1"/>
  <c r="BN61" i="1" s="1"/>
  <c r="CI61" i="1"/>
  <c r="Y61" i="5"/>
  <c r="M61" i="1"/>
  <c r="BE61" i="3"/>
  <c r="BL61" i="3" s="1"/>
  <c r="BH61" i="1"/>
  <c r="K61" i="1"/>
  <c r="J61" i="1"/>
  <c r="AP61" i="1"/>
  <c r="AB61" i="5" s="1"/>
  <c r="BE61" i="1"/>
  <c r="BD61" i="1"/>
  <c r="AT62" i="3"/>
  <c r="BJ62" i="3" s="1"/>
  <c r="BR62" i="3" s="1"/>
  <c r="BV62" i="3" s="1"/>
  <c r="BF62" i="3"/>
  <c r="AS62" i="3"/>
  <c r="BH62" i="3" s="1"/>
  <c r="BP62" i="3" a="1"/>
  <c r="BP62" i="3" s="1"/>
  <c r="BT62" i="3" s="1"/>
  <c r="BB62" i="3"/>
  <c r="BG62" i="3"/>
  <c r="Y183" i="5"/>
  <c r="X183" i="5"/>
  <c r="AC183" i="5"/>
  <c r="W183" i="5"/>
  <c r="AX62" i="1"/>
  <c r="N62" i="1"/>
  <c r="AY62" i="1"/>
  <c r="O62" i="1"/>
  <c r="AZ62" i="1"/>
  <c r="CB62" i="1"/>
  <c r="CC62" i="1"/>
  <c r="AQ62" i="1" s="1"/>
  <c r="BS62" i="1" s="1"/>
  <c r="S62" i="1"/>
  <c r="CE62" i="1"/>
  <c r="BC62" i="1"/>
  <c r="CF62" i="1"/>
  <c r="BI62" i="1"/>
  <c r="BL62" i="1" s="1"/>
  <c r="CG62" i="1"/>
  <c r="BJ62" i="1"/>
  <c r="CH62" i="1"/>
  <c r="CI62" i="1"/>
  <c r="BO62" i="1"/>
  <c r="BQ62" i="1" s="1"/>
  <c r="BN62" i="1" s="1"/>
  <c r="CJ62" i="1"/>
  <c r="CJ183" i="1"/>
  <c r="BO183" i="1"/>
  <c r="BQ183" i="1" s="1"/>
  <c r="BN183" i="1" s="1"/>
  <c r="AX183" i="1"/>
  <c r="N183" i="1"/>
  <c r="AY183" i="1"/>
  <c r="CB183" i="1"/>
  <c r="O183" i="1"/>
  <c r="AZ183" i="1"/>
  <c r="CC183" i="1"/>
  <c r="AQ183" i="1" s="1"/>
  <c r="BS183" i="1" s="1"/>
  <c r="CE183" i="1"/>
  <c r="S183" i="1"/>
  <c r="CF183" i="1"/>
  <c r="BC183" i="1"/>
  <c r="CG183" i="1"/>
  <c r="BI183" i="1"/>
  <c r="BL183" i="1" s="1"/>
  <c r="CH183" i="1"/>
  <c r="BJ183" i="1"/>
  <c r="CI183" i="1"/>
  <c r="AC62" i="5"/>
  <c r="M62" i="1"/>
  <c r="W62" i="5"/>
  <c r="BE62" i="3"/>
  <c r="BL62" i="3" s="1"/>
  <c r="X62" i="5"/>
  <c r="Y62" i="5"/>
  <c r="J183" i="1"/>
  <c r="BE183" i="1"/>
  <c r="AP62" i="1"/>
  <c r="AB62" i="5" s="1"/>
  <c r="BH183" i="1"/>
  <c r="AP183" i="1"/>
  <c r="AB183" i="5" s="1"/>
  <c r="K183" i="1"/>
  <c r="J62" i="1"/>
  <c r="BE62" i="1"/>
  <c r="BD62" i="1"/>
  <c r="BH62" i="1"/>
  <c r="K62" i="1"/>
  <c r="BD183" i="1"/>
  <c r="BG63" i="3"/>
  <c r="BP63" i="3" a="1"/>
  <c r="BP63" i="3" s="1"/>
  <c r="BT63" i="3" s="1"/>
  <c r="BB63" i="3"/>
  <c r="AS63" i="3"/>
  <c r="BH63" i="3" s="1"/>
  <c r="BO63" i="3" s="1"/>
  <c r="AT63" i="3"/>
  <c r="BJ63" i="3" s="1"/>
  <c r="AX63" i="3"/>
  <c r="AP63" i="3"/>
  <c r="AQ63" i="3" s="1"/>
  <c r="AU63" i="3"/>
  <c r="BF63" i="3"/>
  <c r="AC63" i="5"/>
  <c r="Y63" i="5"/>
  <c r="W63" i="5"/>
  <c r="X63" i="5"/>
  <c r="N63" i="1"/>
  <c r="AY63" i="1"/>
  <c r="O63" i="1"/>
  <c r="AZ63" i="1"/>
  <c r="CB63" i="1"/>
  <c r="CC63" i="1"/>
  <c r="AQ63" i="1" s="1"/>
  <c r="BS63" i="1" s="1"/>
  <c r="CE63" i="1"/>
  <c r="BC63" i="1"/>
  <c r="CF63" i="1"/>
  <c r="AI63" i="1"/>
  <c r="BI63" i="1"/>
  <c r="BL63" i="1" s="1"/>
  <c r="CG63" i="1"/>
  <c r="BJ63" i="1"/>
  <c r="CH63" i="1"/>
  <c r="CI63" i="1"/>
  <c r="BO63" i="1"/>
  <c r="BQ63" i="1" s="1"/>
  <c r="BN63" i="1" s="1"/>
  <c r="CJ63" i="1"/>
  <c r="AX63" i="1"/>
  <c r="K63" i="1"/>
  <c r="BE63" i="3"/>
  <c r="AP63" i="1"/>
  <c r="AB63" i="5" s="1"/>
  <c r="J63" i="1"/>
  <c r="M63" i="1"/>
  <c r="BH63" i="1"/>
  <c r="AX64" i="3"/>
  <c r="AP64" i="3"/>
  <c r="AQ64" i="3" s="1"/>
  <c r="BF64" i="3"/>
  <c r="AS64" i="3"/>
  <c r="BH64" i="3" s="1"/>
  <c r="AT64" i="3"/>
  <c r="BJ64" i="3" s="1"/>
  <c r="AU64" i="3"/>
  <c r="BP64" i="3" a="1"/>
  <c r="BP64" i="3" s="1"/>
  <c r="BB64" i="3"/>
  <c r="BG64" i="3"/>
  <c r="CC64" i="1"/>
  <c r="AQ64" i="1" s="1"/>
  <c r="BS64" i="1" s="1"/>
  <c r="CE64" i="1"/>
  <c r="BC64" i="1"/>
  <c r="CF64" i="1"/>
  <c r="AI64" i="1"/>
  <c r="BI64" i="1"/>
  <c r="BL64" i="1" s="1"/>
  <c r="CG64" i="1"/>
  <c r="BJ64" i="1"/>
  <c r="CH64" i="1"/>
  <c r="CI64" i="1"/>
  <c r="BO64" i="1"/>
  <c r="BQ64" i="1" s="1"/>
  <c r="BN64" i="1" s="1"/>
  <c r="CJ64" i="1"/>
  <c r="AX64" i="1"/>
  <c r="N64" i="1"/>
  <c r="AY64" i="1"/>
  <c r="O64" i="1"/>
  <c r="AZ64" i="1"/>
  <c r="CB64" i="1"/>
  <c r="W64" i="5"/>
  <c r="M64" i="1"/>
  <c r="AC64" i="5"/>
  <c r="X64" i="5"/>
  <c r="Y64" i="5"/>
  <c r="AP64" i="1"/>
  <c r="AB64" i="5" s="1"/>
  <c r="BE64" i="3"/>
  <c r="K64" i="1"/>
  <c r="J64" i="1"/>
  <c r="BH64" i="1"/>
  <c r="AU65" i="3"/>
  <c r="AS65" i="3"/>
  <c r="BH65" i="3" s="1"/>
  <c r="AT65" i="3"/>
  <c r="BJ65" i="3" s="1"/>
  <c r="AX65" i="3"/>
  <c r="BB65" i="3"/>
  <c r="BF65" i="3"/>
  <c r="BG65" i="3"/>
  <c r="AP65" i="3"/>
  <c r="AQ65" i="3" s="1"/>
  <c r="BP65" i="3" a="1"/>
  <c r="BP65" i="3" s="1"/>
  <c r="BT65" i="3" s="1"/>
  <c r="AC65" i="5"/>
  <c r="X65" i="5"/>
  <c r="Y65" i="5"/>
  <c r="BC65" i="1"/>
  <c r="CF65" i="1"/>
  <c r="AI65" i="1"/>
  <c r="BI65" i="1"/>
  <c r="BL65" i="1" s="1"/>
  <c r="CG65" i="1"/>
  <c r="BJ65" i="1"/>
  <c r="CH65" i="1"/>
  <c r="CI65" i="1"/>
  <c r="BO65" i="1"/>
  <c r="BQ65" i="1" s="1"/>
  <c r="BN65" i="1" s="1"/>
  <c r="CJ65" i="1"/>
  <c r="AX65" i="1"/>
  <c r="N65" i="1"/>
  <c r="AY65" i="1"/>
  <c r="O65" i="1"/>
  <c r="AZ65" i="1"/>
  <c r="CB65" i="1"/>
  <c r="CC65" i="1"/>
  <c r="AQ65" i="1" s="1"/>
  <c r="BS65" i="1" s="1"/>
  <c r="CE65" i="1"/>
  <c r="M65" i="1"/>
  <c r="W65" i="5"/>
  <c r="AP65" i="1"/>
  <c r="AB65" i="5" s="1"/>
  <c r="BE65" i="3"/>
  <c r="BL65" i="3" s="1"/>
  <c r="J65" i="1"/>
  <c r="K65" i="1"/>
  <c r="BH65" i="1"/>
  <c r="BG66" i="3"/>
  <c r="AS66" i="3"/>
  <c r="BH66" i="3" s="1"/>
  <c r="AT66" i="3"/>
  <c r="BJ66" i="3" s="1"/>
  <c r="BP66" i="3" a="1"/>
  <c r="BP66" i="3" s="1"/>
  <c r="BF66" i="3"/>
  <c r="AP66" i="3"/>
  <c r="AQ66" i="3" s="1"/>
  <c r="AU66" i="3"/>
  <c r="AX66" i="3"/>
  <c r="BB66" i="3"/>
  <c r="BJ66" i="1"/>
  <c r="CH66" i="1"/>
  <c r="CI66" i="1"/>
  <c r="BO66" i="1"/>
  <c r="BQ66" i="1" s="1"/>
  <c r="BN66" i="1" s="1"/>
  <c r="CJ66" i="1"/>
  <c r="AX66" i="1"/>
  <c r="N66" i="1"/>
  <c r="AY66" i="1"/>
  <c r="O66" i="1"/>
  <c r="AZ66" i="1"/>
  <c r="CB66" i="1"/>
  <c r="CC66" i="1"/>
  <c r="AQ66" i="1" s="1"/>
  <c r="BS66" i="1" s="1"/>
  <c r="CE66" i="1"/>
  <c r="BC66" i="1"/>
  <c r="CF66" i="1"/>
  <c r="AI66" i="1"/>
  <c r="BI66" i="1"/>
  <c r="BL66" i="1" s="1"/>
  <c r="CG66" i="1"/>
  <c r="AC66" i="5"/>
  <c r="M66" i="1"/>
  <c r="X66" i="5"/>
  <c r="Y66" i="5"/>
  <c r="W66" i="5"/>
  <c r="J66" i="1"/>
  <c r="BE66" i="3"/>
  <c r="BL66" i="3" s="1"/>
  <c r="K66" i="1"/>
  <c r="AP66" i="1"/>
  <c r="AB66" i="5" s="1"/>
  <c r="BH66" i="1"/>
  <c r="BF67" i="3"/>
  <c r="AP67" i="3"/>
  <c r="AQ67" i="3" s="1"/>
  <c r="BG67" i="3"/>
  <c r="AX67" i="3"/>
  <c r="AT67" i="3"/>
  <c r="AU67" i="3"/>
  <c r="AS67" i="3"/>
  <c r="BH67" i="3" s="1"/>
  <c r="BO67" i="3" s="1"/>
  <c r="BP67" i="3" a="1"/>
  <c r="BP67" i="3" s="1"/>
  <c r="BT67" i="3" s="1"/>
  <c r="AC67" i="5"/>
  <c r="AX67" i="1"/>
  <c r="N67" i="1"/>
  <c r="AY67" i="1"/>
  <c r="CB67" i="1"/>
  <c r="O67" i="1"/>
  <c r="CC67" i="1"/>
  <c r="AQ67" i="1" s="1"/>
  <c r="BS67" i="1" s="1"/>
  <c r="CE67" i="1"/>
  <c r="BC67" i="1"/>
  <c r="CF67" i="1"/>
  <c r="BI67" i="1"/>
  <c r="BL67" i="1" s="1"/>
  <c r="CG67" i="1"/>
  <c r="AI67" i="1"/>
  <c r="BJ67" i="1"/>
  <c r="CH67" i="1"/>
  <c r="CI67" i="1"/>
  <c r="BO67" i="1"/>
  <c r="BQ67" i="1" s="1"/>
  <c r="BN67" i="1" s="1"/>
  <c r="CJ67" i="1"/>
  <c r="AX184" i="1"/>
  <c r="CB184" i="1"/>
  <c r="N184" i="1"/>
  <c r="AY184" i="1"/>
  <c r="CC184" i="1"/>
  <c r="AQ184" i="1" s="1"/>
  <c r="BS184" i="1" s="1"/>
  <c r="O184" i="1"/>
  <c r="CE184" i="1"/>
  <c r="CF184" i="1"/>
  <c r="BC184" i="1"/>
  <c r="CG184" i="1"/>
  <c r="BI184" i="1"/>
  <c r="BL184" i="1" s="1"/>
  <c r="CH184" i="1"/>
  <c r="AI184" i="1"/>
  <c r="BJ184" i="1"/>
  <c r="CI184" i="1"/>
  <c r="CJ184" i="1"/>
  <c r="BO184" i="1"/>
  <c r="BQ184" i="1" s="1"/>
  <c r="BN184" i="1" s="1"/>
  <c r="Y67" i="5"/>
  <c r="M184" i="1"/>
  <c r="AC184" i="5"/>
  <c r="Y184" i="5"/>
  <c r="X184" i="5"/>
  <c r="BE67" i="3"/>
  <c r="W67" i="5"/>
  <c r="BH184" i="1"/>
  <c r="AP67" i="1"/>
  <c r="AB67" i="5" s="1"/>
  <c r="W184" i="5"/>
  <c r="X67" i="5"/>
  <c r="J184" i="1"/>
  <c r="AZ184" i="1" s="1"/>
  <c r="K184" i="1"/>
  <c r="AP184" i="1"/>
  <c r="AB184" i="5" s="1"/>
  <c r="BH67" i="1"/>
  <c r="J67" i="1"/>
  <c r="AZ67" i="1" s="1"/>
  <c r="M67" i="1"/>
  <c r="K67" i="1"/>
  <c r="AP68" i="3"/>
  <c r="AQ68" i="3" s="1"/>
  <c r="BF68" i="3"/>
  <c r="AX68" i="3"/>
  <c r="BG68" i="3"/>
  <c r="AS68" i="3"/>
  <c r="BH68" i="3" s="1"/>
  <c r="BP68" i="3" a="1"/>
  <c r="BP68" i="3" s="1"/>
  <c r="BT68" i="3" s="1"/>
  <c r="AT68" i="3"/>
  <c r="BJ68" i="3" s="1"/>
  <c r="AC185" i="5"/>
  <c r="X185" i="5"/>
  <c r="Y185" i="5"/>
  <c r="N68" i="1"/>
  <c r="AX68" i="1"/>
  <c r="O68" i="1"/>
  <c r="AY68" i="1"/>
  <c r="CB68" i="1"/>
  <c r="CC68" i="1"/>
  <c r="AQ68" i="1" s="1"/>
  <c r="BS68" i="1" s="1"/>
  <c r="S68" i="1"/>
  <c r="CE68" i="1"/>
  <c r="BC68" i="1"/>
  <c r="CF68" i="1"/>
  <c r="BI68" i="1"/>
  <c r="BL68" i="1" s="1"/>
  <c r="CG68" i="1"/>
  <c r="AI68" i="1"/>
  <c r="BJ68" i="1"/>
  <c r="CH68" i="1"/>
  <c r="CI68" i="1"/>
  <c r="BO68" i="1"/>
  <c r="BQ68" i="1" s="1"/>
  <c r="BN68" i="1" s="1"/>
  <c r="CJ68" i="1"/>
  <c r="CE185" i="1"/>
  <c r="S185" i="1"/>
  <c r="CF185" i="1"/>
  <c r="BC185" i="1"/>
  <c r="CG185" i="1"/>
  <c r="BI185" i="1"/>
  <c r="BL185" i="1" s="1"/>
  <c r="CH185" i="1"/>
  <c r="AI185" i="1"/>
  <c r="BJ185" i="1"/>
  <c r="CI185" i="1"/>
  <c r="CJ185" i="1"/>
  <c r="BO185" i="1"/>
  <c r="BQ185" i="1" s="1"/>
  <c r="BN185" i="1" s="1"/>
  <c r="N185" i="1"/>
  <c r="AX185" i="1"/>
  <c r="CB185" i="1"/>
  <c r="O185" i="1"/>
  <c r="AY185" i="1"/>
  <c r="CC185" i="1"/>
  <c r="AQ185" i="1" s="1"/>
  <c r="BS185" i="1" s="1"/>
  <c r="AC68" i="5"/>
  <c r="W185" i="5"/>
  <c r="M185" i="1"/>
  <c r="W68" i="5"/>
  <c r="X68" i="5"/>
  <c r="M68" i="1"/>
  <c r="BE68" i="3"/>
  <c r="K185" i="1"/>
  <c r="Y68" i="5"/>
  <c r="J185" i="1"/>
  <c r="AZ185" i="1" s="1"/>
  <c r="AP185" i="1"/>
  <c r="AB185" i="5" s="1"/>
  <c r="BH185" i="1"/>
  <c r="J68" i="1"/>
  <c r="AZ68" i="1" s="1"/>
  <c r="K68" i="1"/>
  <c r="AP68" i="1"/>
  <c r="AB68" i="5" s="1"/>
  <c r="BH68" i="1"/>
  <c r="BP69" i="3" a="1"/>
  <c r="BP69" i="3" s="1"/>
  <c r="BT69" i="3" s="1"/>
  <c r="AS69" i="3"/>
  <c r="BH69" i="3" s="1"/>
  <c r="AT69" i="3"/>
  <c r="BJ69" i="3" s="1"/>
  <c r="AX69" i="3"/>
  <c r="BG69" i="3"/>
  <c r="AP69" i="3"/>
  <c r="AQ69" i="3" s="1"/>
  <c r="BF69" i="3"/>
  <c r="O69" i="1"/>
  <c r="AY69" i="1"/>
  <c r="CB69" i="1"/>
  <c r="CC69" i="1"/>
  <c r="S69" i="1"/>
  <c r="CE69" i="1"/>
  <c r="BC69" i="1"/>
  <c r="CF69" i="1"/>
  <c r="BI69" i="1"/>
  <c r="BL69" i="1" s="1"/>
  <c r="CG69" i="1"/>
  <c r="AI69" i="1"/>
  <c r="BJ69" i="1"/>
  <c r="CH69" i="1"/>
  <c r="CI69" i="1"/>
  <c r="BO69" i="1"/>
  <c r="BQ69" i="1" s="1"/>
  <c r="BN69" i="1" s="1"/>
  <c r="CJ69" i="1"/>
  <c r="N69" i="1"/>
  <c r="AX69" i="1"/>
  <c r="W69" i="5"/>
  <c r="M69" i="1"/>
  <c r="AC69" i="5"/>
  <c r="X69" i="5"/>
  <c r="Y69" i="5"/>
  <c r="AP69" i="1"/>
  <c r="AB69" i="5" s="1"/>
  <c r="BE69" i="3"/>
  <c r="BH69" i="1"/>
  <c r="J69" i="1"/>
  <c r="BU69" i="1" s="1"/>
  <c r="K69" i="1"/>
  <c r="AT70" i="3"/>
  <c r="BJ70" i="3" s="1"/>
  <c r="AU70" i="3"/>
  <c r="AX70" i="3"/>
  <c r="BF70" i="3"/>
  <c r="BG70" i="3"/>
  <c r="AP70" i="3"/>
  <c r="AQ70" i="3" s="1"/>
  <c r="AS70" i="3"/>
  <c r="BH70" i="3" s="1"/>
  <c r="BP70" i="3" a="1"/>
  <c r="BP70" i="3" s="1"/>
  <c r="BT70" i="3" s="1"/>
  <c r="S70" i="1"/>
  <c r="CE70" i="1"/>
  <c r="BC70" i="1"/>
  <c r="CF70" i="1"/>
  <c r="BI70" i="1"/>
  <c r="BL70" i="1" s="1"/>
  <c r="CG70" i="1"/>
  <c r="AI70" i="1"/>
  <c r="BJ70" i="1"/>
  <c r="CH70" i="1"/>
  <c r="CI70" i="1"/>
  <c r="BO70" i="1"/>
  <c r="BQ70" i="1" s="1"/>
  <c r="BN70" i="1" s="1"/>
  <c r="CJ70" i="1"/>
  <c r="N70" i="1"/>
  <c r="AX70" i="1"/>
  <c r="O70" i="1"/>
  <c r="AY70" i="1"/>
  <c r="CB70" i="1"/>
  <c r="CC70" i="1"/>
  <c r="W70" i="5"/>
  <c r="X70" i="5"/>
  <c r="AC70" i="5"/>
  <c r="Y70" i="5"/>
  <c r="BE70" i="3"/>
  <c r="BL70" i="3" s="1"/>
  <c r="K70" i="1"/>
  <c r="BH70" i="1"/>
  <c r="M70" i="1"/>
  <c r="J70" i="1"/>
  <c r="AZ70" i="1" s="1"/>
  <c r="AP70" i="1"/>
  <c r="AB70" i="5" s="1"/>
  <c r="AP71" i="3"/>
  <c r="AQ71" i="3" s="1"/>
  <c r="BF71" i="3"/>
  <c r="BG71" i="3"/>
  <c r="AS71" i="3"/>
  <c r="BH71" i="3" s="1"/>
  <c r="AT71" i="3"/>
  <c r="BJ71" i="3" s="1"/>
  <c r="BP71" i="3" a="1"/>
  <c r="BP71" i="3" s="1"/>
  <c r="BT71" i="3" s="1"/>
  <c r="AX71" i="3"/>
  <c r="X71" i="5"/>
  <c r="BI71" i="1"/>
  <c r="BL71" i="1" s="1"/>
  <c r="CH71" i="1"/>
  <c r="AI71" i="1"/>
  <c r="BJ71" i="1"/>
  <c r="CI71" i="1"/>
  <c r="BO71" i="1"/>
  <c r="BQ71" i="1" s="1"/>
  <c r="BN71" i="1" s="1"/>
  <c r="CJ71" i="1"/>
  <c r="N71" i="1"/>
  <c r="AX71" i="1"/>
  <c r="CB71" i="1"/>
  <c r="O71" i="1"/>
  <c r="AY71" i="1"/>
  <c r="CC71" i="1"/>
  <c r="AQ71" i="1" s="1"/>
  <c r="BS71" i="1" s="1"/>
  <c r="CE71" i="1"/>
  <c r="S71" i="1"/>
  <c r="CF71" i="1"/>
  <c r="BC71" i="1"/>
  <c r="CG71" i="1"/>
  <c r="CB193" i="1"/>
  <c r="N193" i="1"/>
  <c r="AX193" i="1"/>
  <c r="CC193" i="1"/>
  <c r="O193" i="1"/>
  <c r="AY193" i="1"/>
  <c r="CE193" i="1"/>
  <c r="CF193" i="1"/>
  <c r="S193" i="1"/>
  <c r="CG193" i="1"/>
  <c r="BC193" i="1"/>
  <c r="CH193" i="1"/>
  <c r="BI193" i="1"/>
  <c r="BL193" i="1" s="1"/>
  <c r="CI193" i="1"/>
  <c r="AI193" i="1"/>
  <c r="BJ193" i="1"/>
  <c r="CJ193" i="1"/>
  <c r="BO193" i="1"/>
  <c r="BQ193" i="1" s="1"/>
  <c r="BN193" i="1" s="1"/>
  <c r="AC193" i="5"/>
  <c r="M71" i="1"/>
  <c r="AC71" i="5"/>
  <c r="BE71" i="1"/>
  <c r="Y71" i="5"/>
  <c r="X193" i="5"/>
  <c r="W193" i="5"/>
  <c r="AP193" i="1"/>
  <c r="AB193" i="5" s="1"/>
  <c r="BE71" i="3"/>
  <c r="W71" i="5"/>
  <c r="Y193" i="5"/>
  <c r="BD193" i="1"/>
  <c r="BE193" i="1"/>
  <c r="J193" i="1"/>
  <c r="AZ193" i="1" s="1"/>
  <c r="K193" i="1"/>
  <c r="BD71" i="1"/>
  <c r="BH71" i="1"/>
  <c r="J71" i="1"/>
  <c r="AZ71" i="1" s="1"/>
  <c r="BH193" i="1"/>
  <c r="AP71" i="1"/>
  <c r="AB71" i="5" s="1"/>
  <c r="K71" i="1"/>
  <c r="BB72" i="3"/>
  <c r="BP72" i="3" a="1"/>
  <c r="BP72" i="3" s="1"/>
  <c r="BT72" i="3" s="1"/>
  <c r="AS72" i="3"/>
  <c r="BH72" i="3" s="1"/>
  <c r="AT72" i="3"/>
  <c r="AP72" i="3"/>
  <c r="AQ72" i="3" s="1"/>
  <c r="AX72" i="3"/>
  <c r="BG72" i="3"/>
  <c r="BF72" i="3"/>
  <c r="W186" i="5"/>
  <c r="Y72" i="5"/>
  <c r="AC72" i="5"/>
  <c r="AX72" i="1"/>
  <c r="N72" i="1"/>
  <c r="AY72" i="1"/>
  <c r="CB72" i="1"/>
  <c r="O72" i="1"/>
  <c r="CC72" i="1"/>
  <c r="AQ72" i="1" s="1"/>
  <c r="BS72" i="1" s="1"/>
  <c r="CE72" i="1"/>
  <c r="BC72" i="1"/>
  <c r="CF72" i="1"/>
  <c r="BI72" i="1"/>
  <c r="BL72" i="1" s="1"/>
  <c r="CG72" i="1"/>
  <c r="AI72" i="1"/>
  <c r="BJ72" i="1"/>
  <c r="CH72" i="1"/>
  <c r="CI72" i="1"/>
  <c r="BO72" i="1"/>
  <c r="BQ72" i="1" s="1"/>
  <c r="BN72" i="1" s="1"/>
  <c r="CJ72" i="1"/>
  <c r="AI186" i="1"/>
  <c r="BJ186" i="1"/>
  <c r="CI186" i="1"/>
  <c r="CJ186" i="1"/>
  <c r="BO186" i="1"/>
  <c r="BQ186" i="1" s="1"/>
  <c r="BN186" i="1" s="1"/>
  <c r="AX186" i="1"/>
  <c r="CB186" i="1"/>
  <c r="N186" i="1"/>
  <c r="AY186" i="1"/>
  <c r="CC186" i="1"/>
  <c r="AQ186" i="1" s="1"/>
  <c r="BS186" i="1" s="1"/>
  <c r="O186" i="1"/>
  <c r="CE186" i="1"/>
  <c r="CF186" i="1"/>
  <c r="BC186" i="1"/>
  <c r="CG186" i="1"/>
  <c r="BI186" i="1"/>
  <c r="BL186" i="1" s="1"/>
  <c r="CH186" i="1"/>
  <c r="X72" i="5"/>
  <c r="AC186" i="5"/>
  <c r="X186" i="5"/>
  <c r="AP186" i="1"/>
  <c r="AB186" i="5" s="1"/>
  <c r="W72" i="5"/>
  <c r="Y186" i="5"/>
  <c r="BE72" i="3"/>
  <c r="BL72" i="3" s="1"/>
  <c r="L72" i="1"/>
  <c r="BH186" i="1"/>
  <c r="K186" i="1"/>
  <c r="J186" i="1"/>
  <c r="AZ186" i="1" s="1"/>
  <c r="M186" i="1"/>
  <c r="J72" i="1"/>
  <c r="AZ72" i="1" s="1"/>
  <c r="AP72" i="1"/>
  <c r="AB72" i="5" s="1"/>
  <c r="BH72" i="1"/>
  <c r="K72" i="1"/>
  <c r="M72" i="1"/>
  <c r="AT73" i="3"/>
  <c r="BJ73" i="3" s="1"/>
  <c r="AU73" i="3"/>
  <c r="AX73" i="3"/>
  <c r="BB73" i="3"/>
  <c r="BP73" i="3" a="1"/>
  <c r="BP73" i="3" s="1"/>
  <c r="BT73" i="3" s="1"/>
  <c r="AS73" i="3"/>
  <c r="BH73" i="3" s="1"/>
  <c r="BF73" i="3"/>
  <c r="BG73" i="3"/>
  <c r="AP73" i="3"/>
  <c r="AQ73" i="3" s="1"/>
  <c r="AC73" i="5"/>
  <c r="X73" i="5"/>
  <c r="W73" i="5"/>
  <c r="AX73" i="1"/>
  <c r="N73" i="1"/>
  <c r="AY73" i="1"/>
  <c r="O73" i="1"/>
  <c r="AZ73" i="1"/>
  <c r="CB73" i="1"/>
  <c r="CC73" i="1"/>
  <c r="AQ73" i="1" s="1"/>
  <c r="BS73" i="1" s="1"/>
  <c r="CE73" i="1"/>
  <c r="BC73" i="1"/>
  <c r="CF73" i="1"/>
  <c r="AI73" i="1"/>
  <c r="BI73" i="1"/>
  <c r="BL73" i="1" s="1"/>
  <c r="CG73" i="1"/>
  <c r="BJ73" i="1"/>
  <c r="CH73" i="1"/>
  <c r="CI73" i="1"/>
  <c r="BO73" i="1"/>
  <c r="BQ73" i="1" s="1"/>
  <c r="BN73" i="1" s="1"/>
  <c r="CJ73" i="1"/>
  <c r="Y73" i="5"/>
  <c r="M73" i="1"/>
  <c r="BH73" i="1"/>
  <c r="BE73" i="3"/>
  <c r="J73" i="1"/>
  <c r="AP73" i="1"/>
  <c r="AB73" i="5" s="1"/>
  <c r="K73" i="1"/>
  <c r="BF74" i="3"/>
  <c r="BG74" i="3"/>
  <c r="AU74" i="3"/>
  <c r="BB74" i="3"/>
  <c r="AT74" i="3"/>
  <c r="BJ74" i="3" s="1"/>
  <c r="BR74" i="3" s="1"/>
  <c r="BV74" i="3" s="1"/>
  <c r="BP74" i="3" a="1"/>
  <c r="BP74" i="3" s="1"/>
  <c r="BT74" i="3" s="1"/>
  <c r="AS74" i="3"/>
  <c r="BH74" i="3" s="1"/>
  <c r="AC187" i="5"/>
  <c r="O74" i="1"/>
  <c r="AZ74" i="1"/>
  <c r="CB74" i="1"/>
  <c r="CC74" i="1"/>
  <c r="AQ74" i="1" s="1"/>
  <c r="BS74" i="1" s="1"/>
  <c r="S74" i="1"/>
  <c r="CE74" i="1"/>
  <c r="BC74" i="1"/>
  <c r="CF74" i="1"/>
  <c r="BI74" i="1"/>
  <c r="BL74" i="1" s="1"/>
  <c r="CG74" i="1"/>
  <c r="BJ74" i="1"/>
  <c r="CH74" i="1"/>
  <c r="CI74" i="1"/>
  <c r="BO74" i="1"/>
  <c r="BQ74" i="1" s="1"/>
  <c r="BN74" i="1" s="1"/>
  <c r="CJ74" i="1"/>
  <c r="AX74" i="1"/>
  <c r="N74" i="1"/>
  <c r="AY74" i="1"/>
  <c r="AX187" i="1"/>
  <c r="N187" i="1"/>
  <c r="AY187" i="1"/>
  <c r="CB187" i="1"/>
  <c r="O187" i="1"/>
  <c r="AZ187" i="1"/>
  <c r="CC187" i="1"/>
  <c r="AQ187" i="1" s="1"/>
  <c r="BS187" i="1" s="1"/>
  <c r="CE187" i="1"/>
  <c r="S187" i="1"/>
  <c r="CF187" i="1"/>
  <c r="BC187" i="1"/>
  <c r="CG187" i="1"/>
  <c r="BI187" i="1"/>
  <c r="BL187" i="1" s="1"/>
  <c r="CH187" i="1"/>
  <c r="BJ187" i="1"/>
  <c r="CI187" i="1"/>
  <c r="CJ187" i="1"/>
  <c r="BO187" i="1"/>
  <c r="BQ187" i="1" s="1"/>
  <c r="BN187" i="1" s="1"/>
  <c r="Y187" i="5"/>
  <c r="AC74" i="5"/>
  <c r="X74" i="5"/>
  <c r="W187" i="5"/>
  <c r="Y74" i="5"/>
  <c r="AP74" i="1"/>
  <c r="AB74" i="5" s="1"/>
  <c r="BE74" i="3"/>
  <c r="BL74" i="3" s="1"/>
  <c r="BH74" i="1"/>
  <c r="W74" i="5"/>
  <c r="BD187" i="1"/>
  <c r="M74" i="1"/>
  <c r="AP187" i="1"/>
  <c r="AB187" i="5" s="1"/>
  <c r="BE187" i="1"/>
  <c r="BH187" i="1"/>
  <c r="X187" i="5"/>
  <c r="J187" i="1"/>
  <c r="BE74" i="1"/>
  <c r="M187" i="1"/>
  <c r="K74" i="1"/>
  <c r="K187" i="1"/>
  <c r="BD74" i="1"/>
  <c r="J74" i="1"/>
  <c r="BP75" i="3" a="1"/>
  <c r="BP75" i="3" s="1"/>
  <c r="BT75" i="3" s="1"/>
  <c r="AS75" i="3"/>
  <c r="BH75" i="3" s="1"/>
  <c r="AT75" i="3"/>
  <c r="BJ75" i="3" s="1"/>
  <c r="BG75" i="3"/>
  <c r="AX75" i="3"/>
  <c r="BF75" i="3"/>
  <c r="AC75" i="5"/>
  <c r="X75" i="5"/>
  <c r="W75" i="5"/>
  <c r="Y75" i="5"/>
  <c r="S75" i="1"/>
  <c r="CE75" i="1"/>
  <c r="BC75" i="1"/>
  <c r="CF75" i="1"/>
  <c r="BI75" i="1"/>
  <c r="BL75" i="1" s="1"/>
  <c r="CG75" i="1"/>
  <c r="BJ75" i="1"/>
  <c r="CH75" i="1"/>
  <c r="CI75" i="1"/>
  <c r="BO75" i="1"/>
  <c r="BQ75" i="1" s="1"/>
  <c r="BN75" i="1" s="1"/>
  <c r="CJ75" i="1"/>
  <c r="AX75" i="1"/>
  <c r="N75" i="1"/>
  <c r="AY75" i="1"/>
  <c r="O75" i="1"/>
  <c r="AZ75" i="1"/>
  <c r="CB75" i="1"/>
  <c r="CC75" i="1"/>
  <c r="AQ75" i="1" s="1"/>
  <c r="BS75" i="1" s="1"/>
  <c r="M75" i="1"/>
  <c r="AP75" i="1"/>
  <c r="AB75" i="5" s="1"/>
  <c r="BE75" i="3"/>
  <c r="BL75" i="3" s="1"/>
  <c r="BE75" i="1"/>
  <c r="K75" i="1"/>
  <c r="J75" i="1"/>
  <c r="BD75" i="1"/>
  <c r="BH75" i="1"/>
  <c r="AX76" i="3"/>
  <c r="AS76" i="3"/>
  <c r="BH76" i="3" s="1"/>
  <c r="AT76" i="3"/>
  <c r="BJ76" i="3" s="1"/>
  <c r="BP76" i="3" a="1"/>
  <c r="BP76" i="3" s="1"/>
  <c r="BT76" i="3" s="1"/>
  <c r="BB76" i="3"/>
  <c r="BF76" i="3"/>
  <c r="AP76" i="3"/>
  <c r="AQ76" i="3" s="1"/>
  <c r="BG76" i="3"/>
  <c r="BI76" i="1"/>
  <c r="BL76" i="1" s="1"/>
  <c r="CG76" i="1"/>
  <c r="AI76" i="1"/>
  <c r="BJ76" i="1"/>
  <c r="CH76" i="1"/>
  <c r="CI76" i="1"/>
  <c r="BO76" i="1"/>
  <c r="BQ76" i="1" s="1"/>
  <c r="BN76" i="1" s="1"/>
  <c r="CJ76" i="1"/>
  <c r="N76" i="1"/>
  <c r="AX76" i="1"/>
  <c r="O76" i="1"/>
  <c r="AY76" i="1"/>
  <c r="CB76" i="1"/>
  <c r="CC76" i="1"/>
  <c r="AQ76" i="1" s="1"/>
  <c r="BS76" i="1" s="1"/>
  <c r="S76" i="1"/>
  <c r="CE76" i="1"/>
  <c r="BC76" i="1"/>
  <c r="CF76" i="1"/>
  <c r="AC76" i="5"/>
  <c r="Y76" i="5"/>
  <c r="BE76" i="3"/>
  <c r="W76" i="5"/>
  <c r="X76" i="5"/>
  <c r="J76" i="1"/>
  <c r="AP76" i="1"/>
  <c r="AB76" i="5" s="1"/>
  <c r="M76" i="1"/>
  <c r="K76" i="1"/>
  <c r="BH76" i="1"/>
  <c r="BF77" i="3"/>
  <c r="AP77" i="3"/>
  <c r="AQ77" i="3" s="1"/>
  <c r="BG77" i="3"/>
  <c r="BP77" i="3" a="1"/>
  <c r="BP77" i="3" s="1"/>
  <c r="BT77" i="3" s="1"/>
  <c r="AS77" i="3"/>
  <c r="BH77" i="3" s="1"/>
  <c r="AT77" i="3"/>
  <c r="BB77" i="3" s="1"/>
  <c r="AX77" i="3"/>
  <c r="X77" i="5"/>
  <c r="AC77" i="5"/>
  <c r="Y77" i="5"/>
  <c r="CI77" i="1"/>
  <c r="BO77" i="1"/>
  <c r="BQ77" i="1" s="1"/>
  <c r="BN77" i="1" s="1"/>
  <c r="CJ77" i="1"/>
  <c r="N77" i="1"/>
  <c r="AX77" i="1"/>
  <c r="O77" i="1"/>
  <c r="AY77" i="1"/>
  <c r="CB77" i="1"/>
  <c r="CC77" i="1"/>
  <c r="AQ77" i="1" s="1"/>
  <c r="BS77" i="1" s="1"/>
  <c r="S77" i="1"/>
  <c r="CE77" i="1"/>
  <c r="BC77" i="1"/>
  <c r="CF77" i="1"/>
  <c r="BI77" i="1"/>
  <c r="BL77" i="1" s="1"/>
  <c r="CG77" i="1"/>
  <c r="AI77" i="1"/>
  <c r="BJ77" i="1"/>
  <c r="CH77" i="1"/>
  <c r="W77" i="5"/>
  <c r="BH77" i="1"/>
  <c r="BE77" i="3"/>
  <c r="BD77" i="1"/>
  <c r="AP77" i="1"/>
  <c r="AB77" i="5" s="1"/>
  <c r="BE77" i="1"/>
  <c r="M77" i="1"/>
  <c r="K77" i="1"/>
  <c r="J77" i="1"/>
  <c r="AZ77" i="1" s="1"/>
  <c r="AP78" i="3"/>
  <c r="AQ78" i="3" s="1"/>
  <c r="BF78" i="3"/>
  <c r="BG78" i="3"/>
  <c r="AX78" i="3"/>
  <c r="BB78" i="3"/>
  <c r="AS78" i="3"/>
  <c r="BH78" i="3" s="1"/>
  <c r="AT78" i="3"/>
  <c r="BJ78" i="3" s="1"/>
  <c r="BP78" i="3" a="1"/>
  <c r="BP78" i="3" s="1"/>
  <c r="BT78" i="3" s="1"/>
  <c r="N78" i="1"/>
  <c r="AX78" i="1"/>
  <c r="O78" i="1"/>
  <c r="AY78" i="1"/>
  <c r="CB78" i="1"/>
  <c r="CC78" i="1"/>
  <c r="AQ78" i="1" s="1"/>
  <c r="BS78" i="1" s="1"/>
  <c r="S78" i="1"/>
  <c r="CE78" i="1"/>
  <c r="BC78" i="1"/>
  <c r="CF78" i="1"/>
  <c r="BI78" i="1"/>
  <c r="BL78" i="1" s="1"/>
  <c r="CG78" i="1"/>
  <c r="AI78" i="1"/>
  <c r="BJ78" i="1"/>
  <c r="CH78" i="1"/>
  <c r="CI78" i="1"/>
  <c r="BO78" i="1"/>
  <c r="BQ78" i="1" s="1"/>
  <c r="BN78" i="1" s="1"/>
  <c r="CJ78" i="1"/>
  <c r="N194" i="1"/>
  <c r="AX194" i="1"/>
  <c r="CB194" i="1"/>
  <c r="O194" i="1"/>
  <c r="AY194" i="1"/>
  <c r="CC194" i="1"/>
  <c r="AQ194" i="1" s="1"/>
  <c r="BS194" i="1" s="1"/>
  <c r="CE194" i="1"/>
  <c r="S194" i="1"/>
  <c r="CF194" i="1"/>
  <c r="BC194" i="1"/>
  <c r="CG194" i="1"/>
  <c r="BI194" i="1"/>
  <c r="BL194" i="1" s="1"/>
  <c r="AI194" i="1"/>
  <c r="BJ194" i="1"/>
  <c r="CI194" i="1"/>
  <c r="CJ194" i="1"/>
  <c r="BO194" i="1"/>
  <c r="BQ194" i="1" s="1"/>
  <c r="BN194" i="1" s="1"/>
  <c r="CH194" i="1"/>
  <c r="M194" i="1"/>
  <c r="AC78" i="5"/>
  <c r="AC194" i="5"/>
  <c r="X194" i="5"/>
  <c r="Y78" i="5"/>
  <c r="W78" i="5"/>
  <c r="Y194" i="5"/>
  <c r="BE78" i="1"/>
  <c r="X78" i="5"/>
  <c r="BE78" i="3"/>
  <c r="BL78" i="3" s="1"/>
  <c r="W194" i="5"/>
  <c r="K194" i="1"/>
  <c r="J78" i="1"/>
  <c r="AZ78" i="1" s="1"/>
  <c r="BH194" i="1"/>
  <c r="J194" i="1"/>
  <c r="AZ194" i="1" s="1"/>
  <c r="BD194" i="1"/>
  <c r="BE194" i="1"/>
  <c r="AP78" i="1"/>
  <c r="AB78" i="5" s="1"/>
  <c r="BD78" i="1"/>
  <c r="AP194" i="1"/>
  <c r="AB194" i="5" s="1"/>
  <c r="M78" i="1"/>
  <c r="K78" i="1"/>
  <c r="BH78" i="1"/>
  <c r="BF79" i="3"/>
  <c r="BG79" i="3"/>
  <c r="AS79" i="3"/>
  <c r="BP79" i="3" a="1"/>
  <c r="BP79" i="3" s="1"/>
  <c r="AT79" i="3"/>
  <c r="BJ79" i="3" s="1"/>
  <c r="AP79" i="3"/>
  <c r="AQ79" i="3" s="1"/>
  <c r="BB79" i="3"/>
  <c r="BQ79" i="3"/>
  <c r="AC79" i="5"/>
  <c r="AY79" i="1"/>
  <c r="N79" i="1"/>
  <c r="AZ79" i="1"/>
  <c r="CB79" i="1"/>
  <c r="O79" i="1"/>
  <c r="CC79" i="1"/>
  <c r="AQ79" i="1" s="1"/>
  <c r="BS79" i="1" s="1"/>
  <c r="CE79" i="1"/>
  <c r="BC79" i="1"/>
  <c r="CF79" i="1"/>
  <c r="AI79" i="1"/>
  <c r="BI79" i="1"/>
  <c r="BL79" i="1" s="1"/>
  <c r="CG79" i="1"/>
  <c r="BJ79" i="1"/>
  <c r="CH79" i="1"/>
  <c r="CI79" i="1"/>
  <c r="BO79" i="1"/>
  <c r="BQ79" i="1" s="1"/>
  <c r="BN79" i="1" s="1"/>
  <c r="CJ79" i="1"/>
  <c r="AX79" i="1"/>
  <c r="Y79" i="5"/>
  <c r="M79" i="1"/>
  <c r="X79" i="5"/>
  <c r="BC79" i="3"/>
  <c r="W79" i="5"/>
  <c r="BE79" i="3"/>
  <c r="K79" i="1"/>
  <c r="BH79" i="1"/>
  <c r="BE79" i="1"/>
  <c r="J79" i="1"/>
  <c r="AP79" i="1"/>
  <c r="AB79" i="5" s="1"/>
  <c r="BD79" i="1"/>
  <c r="BI80" i="3"/>
  <c r="AS80" i="3"/>
  <c r="BH80" i="3" s="1"/>
  <c r="BO80" i="3" s="1"/>
  <c r="AT80" i="3"/>
  <c r="BJ80" i="3" s="1"/>
  <c r="BB80" i="3"/>
  <c r="BP80" i="3" a="1"/>
  <c r="BP80" i="3" s="1"/>
  <c r="BT80" i="3" s="1"/>
  <c r="AP80" i="3"/>
  <c r="AQ80" i="3" s="1"/>
  <c r="BQ80" i="3"/>
  <c r="AU80" i="3"/>
  <c r="BG80" i="3"/>
  <c r="BC80" i="3"/>
  <c r="BF80" i="3"/>
  <c r="BC80" i="1"/>
  <c r="CF80" i="1"/>
  <c r="AI80" i="1"/>
  <c r="BI80" i="1"/>
  <c r="BL80" i="1" s="1"/>
  <c r="CG80" i="1"/>
  <c r="BJ80" i="1"/>
  <c r="CH80" i="1"/>
  <c r="CI80" i="1"/>
  <c r="BO80" i="1"/>
  <c r="BQ80" i="1" s="1"/>
  <c r="BN80" i="1" s="1"/>
  <c r="CJ80" i="1"/>
  <c r="AX80" i="1"/>
  <c r="AY80" i="1"/>
  <c r="AZ80" i="1"/>
  <c r="CB80" i="1"/>
  <c r="J80" i="1"/>
  <c r="CC80" i="1"/>
  <c r="AQ80" i="1" s="1"/>
  <c r="BS80" i="1" s="1"/>
  <c r="CE80" i="1"/>
  <c r="Y80" i="5"/>
  <c r="AC80" i="5"/>
  <c r="X80" i="5"/>
  <c r="BE80" i="3"/>
  <c r="BL80" i="3" s="1"/>
  <c r="W80" i="5"/>
  <c r="BE80" i="1"/>
  <c r="BD80" i="1"/>
  <c r="K80" i="1"/>
  <c r="AP80" i="1"/>
  <c r="AB80" i="5" s="1"/>
  <c r="M80" i="1"/>
  <c r="BH80" i="1"/>
  <c r="AS81" i="3"/>
  <c r="BH81" i="3" s="1"/>
  <c r="BO81" i="3" s="1"/>
  <c r="AT81" i="3"/>
  <c r="BB81" i="3" s="1"/>
  <c r="AX81" i="3"/>
  <c r="BP81" i="3" a="1"/>
  <c r="BP81" i="3" s="1"/>
  <c r="BT81" i="3" s="1"/>
  <c r="BF81" i="3"/>
  <c r="BG81" i="3"/>
  <c r="AP81" i="3"/>
  <c r="AQ81" i="3" s="1"/>
  <c r="CI81" i="1"/>
  <c r="BO81" i="1"/>
  <c r="BQ81" i="1" s="1"/>
  <c r="BN81" i="1" s="1"/>
  <c r="CJ81" i="1"/>
  <c r="AX81" i="1"/>
  <c r="AY81" i="1"/>
  <c r="AZ81" i="1"/>
  <c r="CB81" i="1"/>
  <c r="S81" i="1"/>
  <c r="CC81" i="1"/>
  <c r="AQ81" i="1" s="1"/>
  <c r="BS81" i="1" s="1"/>
  <c r="CE81" i="1"/>
  <c r="BC81" i="1"/>
  <c r="CF81" i="1"/>
  <c r="AI81" i="1"/>
  <c r="BI81" i="1"/>
  <c r="BL81" i="1" s="1"/>
  <c r="CG81" i="1"/>
  <c r="BJ81" i="1"/>
  <c r="CH81" i="1"/>
  <c r="M81" i="1"/>
  <c r="X81" i="5"/>
  <c r="AC81" i="5"/>
  <c r="Y81" i="5"/>
  <c r="BE81" i="3"/>
  <c r="W81" i="5"/>
  <c r="AP81" i="1"/>
  <c r="AB81" i="5" s="1"/>
  <c r="K81" i="1"/>
  <c r="J81" i="1"/>
  <c r="BH81" i="1"/>
  <c r="AS82" i="3"/>
  <c r="BH82" i="3" s="1"/>
  <c r="BO82" i="3" s="1"/>
  <c r="AT82" i="3"/>
  <c r="BJ82" i="3" s="1"/>
  <c r="BR82" i="3" s="1"/>
  <c r="BV82" i="3" s="1"/>
  <c r="AU82" i="3"/>
  <c r="BB82" i="3"/>
  <c r="BF82" i="3"/>
  <c r="BG82" i="3"/>
  <c r="BP82" i="3" a="1"/>
  <c r="BP82" i="3" s="1"/>
  <c r="AX82" i="1"/>
  <c r="N82" i="1"/>
  <c r="AY82" i="1"/>
  <c r="O82" i="1"/>
  <c r="AZ82" i="1"/>
  <c r="CB82" i="1"/>
  <c r="CC82" i="1"/>
  <c r="AQ82" i="1" s="1"/>
  <c r="BS82" i="1" s="1"/>
  <c r="S82" i="1"/>
  <c r="CE82" i="1"/>
  <c r="BC82" i="1"/>
  <c r="CF82" i="1"/>
  <c r="BI82" i="1"/>
  <c r="BL82" i="1" s="1"/>
  <c r="CG82" i="1"/>
  <c r="BJ82" i="1"/>
  <c r="CH82" i="1"/>
  <c r="CI82" i="1"/>
  <c r="BO82" i="1"/>
  <c r="BQ82" i="1" s="1"/>
  <c r="BN82" i="1" s="1"/>
  <c r="CJ82" i="1"/>
  <c r="AC82" i="5"/>
  <c r="X82" i="5"/>
  <c r="W82" i="5"/>
  <c r="Y82" i="5"/>
  <c r="AP82" i="1"/>
  <c r="AB82" i="5" s="1"/>
  <c r="BH82" i="1"/>
  <c r="J82" i="1"/>
  <c r="BE82" i="3"/>
  <c r="BE82" i="1"/>
  <c r="K82" i="1"/>
  <c r="M82" i="1"/>
  <c r="BD82" i="1"/>
  <c r="AS83" i="3"/>
  <c r="BH83" i="3" s="1"/>
  <c r="AT83" i="3"/>
  <c r="BJ83" i="3" s="1"/>
  <c r="BR83" i="3" s="1"/>
  <c r="BV83" i="3" s="1"/>
  <c r="AU83" i="3"/>
  <c r="BG83" i="3"/>
  <c r="BP83" i="3" a="1"/>
  <c r="BP83" i="3" s="1"/>
  <c r="BF83" i="3"/>
  <c r="X83" i="5"/>
  <c r="AX83" i="1"/>
  <c r="N83" i="1"/>
  <c r="AY83" i="1"/>
  <c r="O83" i="1"/>
  <c r="AZ83" i="1"/>
  <c r="CB83" i="1"/>
  <c r="CC83" i="1"/>
  <c r="AQ83" i="1" s="1"/>
  <c r="BS83" i="1" s="1"/>
  <c r="S83" i="1"/>
  <c r="CE83" i="1"/>
  <c r="BC83" i="1"/>
  <c r="CF83" i="1"/>
  <c r="BI83" i="1"/>
  <c r="BL83" i="1" s="1"/>
  <c r="CG83" i="1"/>
  <c r="BJ83" i="1"/>
  <c r="CH83" i="1"/>
  <c r="CI83" i="1"/>
  <c r="BO83" i="1"/>
  <c r="BQ83" i="1" s="1"/>
  <c r="BN83" i="1" s="1"/>
  <c r="CJ83" i="1"/>
  <c r="AC83" i="5"/>
  <c r="W83" i="5"/>
  <c r="Y83" i="5"/>
  <c r="BE83" i="3"/>
  <c r="BE83" i="1"/>
  <c r="J83" i="1"/>
  <c r="BH83" i="1"/>
  <c r="M83" i="1"/>
  <c r="K83" i="1"/>
  <c r="AP83" i="1"/>
  <c r="AB83" i="5" s="1"/>
  <c r="BD83" i="1"/>
  <c r="AS84" i="3"/>
  <c r="BH84" i="3" s="1"/>
  <c r="BO84" i="3" s="1"/>
  <c r="AT84" i="3"/>
  <c r="BJ84" i="3" s="1"/>
  <c r="BR84" i="3" s="1"/>
  <c r="BV84" i="3" s="1"/>
  <c r="BP84" i="3" a="1"/>
  <c r="BP84" i="3" s="1"/>
  <c r="BF84" i="3"/>
  <c r="BG84" i="3"/>
  <c r="Y84" i="5"/>
  <c r="AC84" i="5"/>
  <c r="O84" i="1"/>
  <c r="AZ84" i="1"/>
  <c r="CB84" i="1"/>
  <c r="CC84" i="1"/>
  <c r="AQ84" i="1" s="1"/>
  <c r="BS84" i="1" s="1"/>
  <c r="S84" i="1"/>
  <c r="CE84" i="1"/>
  <c r="BC84" i="1"/>
  <c r="CF84" i="1"/>
  <c r="BI84" i="1"/>
  <c r="BL84" i="1" s="1"/>
  <c r="CG84" i="1"/>
  <c r="BJ84" i="1"/>
  <c r="CH84" i="1"/>
  <c r="CI84" i="1"/>
  <c r="BO84" i="1"/>
  <c r="BQ84" i="1" s="1"/>
  <c r="BN84" i="1" s="1"/>
  <c r="CJ84" i="1"/>
  <c r="AX84" i="1"/>
  <c r="N84" i="1"/>
  <c r="AY84" i="1"/>
  <c r="CE191" i="1"/>
  <c r="S191" i="1"/>
  <c r="CF191" i="1"/>
  <c r="BC191" i="1"/>
  <c r="CG191" i="1"/>
  <c r="BI191" i="1"/>
  <c r="BL191" i="1" s="1"/>
  <c r="CH191" i="1"/>
  <c r="BJ191" i="1"/>
  <c r="CI191" i="1"/>
  <c r="CJ191" i="1"/>
  <c r="BO191" i="1"/>
  <c r="BQ191" i="1" s="1"/>
  <c r="BN191" i="1" s="1"/>
  <c r="AX191" i="1"/>
  <c r="N191" i="1"/>
  <c r="AY191" i="1"/>
  <c r="CB191" i="1"/>
  <c r="O191" i="1"/>
  <c r="AZ191" i="1"/>
  <c r="CC191" i="1"/>
  <c r="W84" i="5"/>
  <c r="AC191" i="5"/>
  <c r="M84" i="1"/>
  <c r="X84" i="5"/>
  <c r="X191" i="5"/>
  <c r="W191" i="5"/>
  <c r="AU84" i="3"/>
  <c r="Y191" i="5"/>
  <c r="BE84" i="3"/>
  <c r="J191" i="1"/>
  <c r="BH191" i="1"/>
  <c r="AP191" i="1"/>
  <c r="AB191" i="5" s="1"/>
  <c r="K191" i="1"/>
  <c r="AP84" i="1"/>
  <c r="AB84" i="5" s="1"/>
  <c r="J84" i="1"/>
  <c r="K84" i="1"/>
  <c r="BH84" i="1"/>
  <c r="AU85" i="3"/>
  <c r="BP85" i="3" a="1"/>
  <c r="BP85" i="3" s="1"/>
  <c r="BT85" i="3" s="1"/>
  <c r="BF85" i="3"/>
  <c r="BG85" i="3"/>
  <c r="AS85" i="3"/>
  <c r="BH85" i="3" s="1"/>
  <c r="AT85" i="3"/>
  <c r="BJ85" i="3" s="1"/>
  <c r="BR85" i="3" s="1"/>
  <c r="BV85" i="3" s="1"/>
  <c r="BB85" i="3"/>
  <c r="AC195" i="5"/>
  <c r="Y195" i="5"/>
  <c r="X195" i="5"/>
  <c r="AC85" i="5"/>
  <c r="W195" i="5"/>
  <c r="X85" i="5"/>
  <c r="W85" i="5"/>
  <c r="S85" i="1"/>
  <c r="CF85" i="1"/>
  <c r="BC85" i="1"/>
  <c r="CG85" i="1"/>
  <c r="BI85" i="1"/>
  <c r="BL85" i="1" s="1"/>
  <c r="CH85" i="1"/>
  <c r="BJ85" i="1"/>
  <c r="CI85" i="1"/>
  <c r="BO85" i="1"/>
  <c r="BQ85" i="1" s="1"/>
  <c r="BN85" i="1" s="1"/>
  <c r="CJ85" i="1"/>
  <c r="AX85" i="1"/>
  <c r="N85" i="1"/>
  <c r="AY85" i="1"/>
  <c r="CB85" i="1"/>
  <c r="O85" i="1"/>
  <c r="AZ85" i="1"/>
  <c r="CC85" i="1"/>
  <c r="AQ85" i="1" s="1"/>
  <c r="BS85" i="1" s="1"/>
  <c r="CE85" i="1"/>
  <c r="S195" i="1"/>
  <c r="CG195" i="1"/>
  <c r="BC195" i="1"/>
  <c r="CH195" i="1"/>
  <c r="BI195" i="1"/>
  <c r="BL195" i="1" s="1"/>
  <c r="CI195" i="1"/>
  <c r="BJ195" i="1"/>
  <c r="CJ195" i="1"/>
  <c r="BO195" i="1"/>
  <c r="BQ195" i="1" s="1"/>
  <c r="BN195" i="1" s="1"/>
  <c r="AX195" i="1"/>
  <c r="CB195" i="1"/>
  <c r="N195" i="1"/>
  <c r="AY195" i="1"/>
  <c r="CC195" i="1"/>
  <c r="AQ195" i="1" s="1"/>
  <c r="BS195" i="1" s="1"/>
  <c r="O195" i="1"/>
  <c r="AZ195" i="1"/>
  <c r="CE195" i="1"/>
  <c r="CF195" i="1"/>
  <c r="BE85" i="3"/>
  <c r="Y85" i="5"/>
  <c r="J195" i="1"/>
  <c r="AP195" i="1"/>
  <c r="AB195" i="5" s="1"/>
  <c r="K195" i="1"/>
  <c r="BH195" i="1"/>
  <c r="AP85" i="1"/>
  <c r="AB85" i="5" s="1"/>
  <c r="M85" i="1"/>
  <c r="M195" i="1"/>
  <c r="BH85" i="1"/>
  <c r="K85" i="1"/>
  <c r="J85" i="1"/>
  <c r="BF86" i="3"/>
  <c r="BG86" i="3"/>
  <c r="AS86" i="3"/>
  <c r="BH86" i="3" s="1"/>
  <c r="BO86" i="3" s="1"/>
  <c r="AT86" i="3"/>
  <c r="BP86" i="3" a="1"/>
  <c r="BP86" i="3" s="1"/>
  <c r="BT86" i="3" s="1"/>
  <c r="AI86" i="1"/>
  <c r="BI86" i="1"/>
  <c r="BL86" i="1" s="1"/>
  <c r="CH86" i="1"/>
  <c r="BJ86" i="1"/>
  <c r="CI86" i="1"/>
  <c r="BO86" i="1"/>
  <c r="BQ86" i="1" s="1"/>
  <c r="BN86" i="1" s="1"/>
  <c r="CJ86" i="1"/>
  <c r="N86" i="1"/>
  <c r="AX86" i="1"/>
  <c r="O86" i="1"/>
  <c r="AY86" i="1"/>
  <c r="CB86" i="1"/>
  <c r="AZ86" i="1"/>
  <c r="CC86" i="1"/>
  <c r="AQ86" i="1" s="1"/>
  <c r="BS86" i="1" s="1"/>
  <c r="S86" i="1"/>
  <c r="CE86" i="1"/>
  <c r="CF86" i="1"/>
  <c r="BC86" i="1"/>
  <c r="CG86" i="1"/>
  <c r="AC86" i="5"/>
  <c r="M86" i="1"/>
  <c r="K86" i="1"/>
  <c r="Y86" i="5"/>
  <c r="BH86" i="1"/>
  <c r="BE86" i="3"/>
  <c r="BL86" i="3" s="1"/>
  <c r="X86" i="5"/>
  <c r="W86" i="5"/>
  <c r="AU86" i="3"/>
  <c r="BE86" i="1"/>
  <c r="AP86" i="1"/>
  <c r="AB86" i="5" s="1"/>
  <c r="BD86" i="1"/>
  <c r="J86" i="1"/>
  <c r="AS87" i="3"/>
  <c r="BH87" i="3" s="1"/>
  <c r="BF87" i="3"/>
  <c r="BP87" i="3" a="1"/>
  <c r="BP87" i="3" s="1"/>
  <c r="BT87" i="3" s="1"/>
  <c r="AT87" i="3"/>
  <c r="BJ87" i="3" s="1"/>
  <c r="BR87" i="3" s="1"/>
  <c r="BV87" i="3" s="1"/>
  <c r="AU87" i="3"/>
  <c r="AC87" i="5"/>
  <c r="Y87" i="5"/>
  <c r="X87" i="5"/>
  <c r="W87" i="5"/>
  <c r="BO87" i="1"/>
  <c r="BQ87" i="1" s="1"/>
  <c r="BN87" i="1" s="1"/>
  <c r="CJ87" i="1"/>
  <c r="N87" i="1"/>
  <c r="AX87" i="1"/>
  <c r="O87" i="1"/>
  <c r="AY87" i="1"/>
  <c r="CB87" i="1"/>
  <c r="AZ87" i="1"/>
  <c r="CC87" i="1"/>
  <c r="AQ87" i="1" s="1"/>
  <c r="BS87" i="1" s="1"/>
  <c r="S87" i="1"/>
  <c r="CE87" i="1"/>
  <c r="CF87" i="1"/>
  <c r="BC87" i="1"/>
  <c r="CG87" i="1"/>
  <c r="AI87" i="1"/>
  <c r="BI87" i="1"/>
  <c r="BL87" i="1" s="1"/>
  <c r="CH87" i="1"/>
  <c r="BJ87" i="1"/>
  <c r="CI87" i="1"/>
  <c r="BJ196" i="1"/>
  <c r="CJ196" i="1"/>
  <c r="BO196" i="1"/>
  <c r="BQ196" i="1" s="1"/>
  <c r="BN196" i="1" s="1"/>
  <c r="O196" i="1"/>
  <c r="AY196" i="1"/>
  <c r="CC196" i="1"/>
  <c r="AQ196" i="1" s="1"/>
  <c r="BS196" i="1" s="1"/>
  <c r="AZ196" i="1"/>
  <c r="CE196" i="1"/>
  <c r="S196" i="1"/>
  <c r="CF196" i="1"/>
  <c r="CG196" i="1"/>
  <c r="BC196" i="1"/>
  <c r="CH196" i="1"/>
  <c r="AI196" i="1"/>
  <c r="BI196" i="1"/>
  <c r="BL196" i="1" s="1"/>
  <c r="CI196" i="1"/>
  <c r="AX196" i="1"/>
  <c r="N196" i="1"/>
  <c r="CB196" i="1"/>
  <c r="BG87" i="3"/>
  <c r="AC196" i="5"/>
  <c r="W196" i="5"/>
  <c r="X196" i="5"/>
  <c r="BE87" i="3"/>
  <c r="BL87" i="3" s="1"/>
  <c r="BH196" i="1"/>
  <c r="BE196" i="1"/>
  <c r="J87" i="1"/>
  <c r="Y196" i="5"/>
  <c r="AP196" i="1"/>
  <c r="AB196" i="5" s="1"/>
  <c r="BE87" i="1"/>
  <c r="K196" i="1"/>
  <c r="K87" i="1"/>
  <c r="J196" i="1"/>
  <c r="AP87" i="1"/>
  <c r="AB87" i="5" s="1"/>
  <c r="BD87" i="1"/>
  <c r="BH87" i="1"/>
  <c r="BD196" i="1"/>
  <c r="M87" i="1"/>
  <c r="M196" i="1"/>
  <c r="BP88" i="3" a="1"/>
  <c r="BP88" i="3" s="1"/>
  <c r="BT88" i="3" s="1"/>
  <c r="BB88" i="3"/>
  <c r="BF88" i="3"/>
  <c r="BC88" i="3" s="1"/>
  <c r="BG88" i="3"/>
  <c r="AT88" i="3"/>
  <c r="BJ88" i="3" s="1"/>
  <c r="AS88" i="3"/>
  <c r="BQ88" i="3"/>
  <c r="AC197" i="5"/>
  <c r="Y197" i="5"/>
  <c r="X197" i="5"/>
  <c r="AX88" i="1"/>
  <c r="N88" i="1"/>
  <c r="AY88" i="1"/>
  <c r="CB88" i="1"/>
  <c r="O88" i="1"/>
  <c r="AZ88" i="1"/>
  <c r="CC88" i="1"/>
  <c r="AQ88" i="1" s="1"/>
  <c r="BS88" i="1" s="1"/>
  <c r="CE88" i="1"/>
  <c r="S88" i="1"/>
  <c r="CF88" i="1"/>
  <c r="BC88" i="1"/>
  <c r="CG88" i="1"/>
  <c r="AI88" i="1"/>
  <c r="BI88" i="1"/>
  <c r="BL88" i="1" s="1"/>
  <c r="CH88" i="1"/>
  <c r="BJ88" i="1"/>
  <c r="CI88" i="1"/>
  <c r="BO88" i="1"/>
  <c r="BQ88" i="1" s="1"/>
  <c r="BN88" i="1" s="1"/>
  <c r="CJ88" i="1"/>
  <c r="AX197" i="1"/>
  <c r="CB197" i="1"/>
  <c r="N197" i="1"/>
  <c r="AY197" i="1"/>
  <c r="CC197" i="1"/>
  <c r="AQ197" i="1" s="1"/>
  <c r="BS197" i="1" s="1"/>
  <c r="O197" i="1"/>
  <c r="AZ197" i="1"/>
  <c r="CE197" i="1"/>
  <c r="CF197" i="1"/>
  <c r="BC197" i="1"/>
  <c r="CH197" i="1"/>
  <c r="AI197" i="1"/>
  <c r="BI197" i="1"/>
  <c r="BL197" i="1" s="1"/>
  <c r="CI197" i="1"/>
  <c r="BJ197" i="1"/>
  <c r="CJ197" i="1"/>
  <c r="BO197" i="1"/>
  <c r="BQ197" i="1" s="1"/>
  <c r="BN197" i="1" s="1"/>
  <c r="S197" i="1"/>
  <c r="CG197" i="1"/>
  <c r="W197" i="5"/>
  <c r="M88" i="1"/>
  <c r="AC88" i="5"/>
  <c r="Y88" i="5"/>
  <c r="W88" i="5"/>
  <c r="BE88" i="3"/>
  <c r="X88" i="5"/>
  <c r="K88" i="1"/>
  <c r="BH88" i="1"/>
  <c r="J197" i="1"/>
  <c r="M197" i="1"/>
  <c r="K197" i="1"/>
  <c r="AP197" i="1"/>
  <c r="AB197" i="5" s="1"/>
  <c r="BD197" i="1"/>
  <c r="BE197" i="1"/>
  <c r="BH197" i="1"/>
  <c r="AP88" i="1"/>
  <c r="AB88" i="5" s="1"/>
  <c r="BD88" i="1"/>
  <c r="BE88" i="1"/>
  <c r="J88" i="1"/>
  <c r="AP89" i="3"/>
  <c r="AQ89" i="3" s="1"/>
  <c r="AS89" i="3"/>
  <c r="BH89" i="3" s="1"/>
  <c r="BP89" i="3" a="1"/>
  <c r="BP89" i="3" s="1"/>
  <c r="BT89" i="3" s="1"/>
  <c r="AT89" i="3"/>
  <c r="BF89" i="3"/>
  <c r="BG89" i="3"/>
  <c r="Y192" i="5"/>
  <c r="AC89" i="5"/>
  <c r="Y89" i="5"/>
  <c r="X89" i="5"/>
  <c r="O89" i="1"/>
  <c r="AZ89" i="1"/>
  <c r="CB89" i="1"/>
  <c r="CC89" i="1"/>
  <c r="AQ89" i="1" s="1"/>
  <c r="BS89" i="1" s="1"/>
  <c r="S89" i="1"/>
  <c r="CE89" i="1"/>
  <c r="BC89" i="1"/>
  <c r="CF89" i="1"/>
  <c r="BI89" i="1"/>
  <c r="BL89" i="1" s="1"/>
  <c r="CG89" i="1"/>
  <c r="CI89" i="1"/>
  <c r="BO89" i="1"/>
  <c r="BQ89" i="1" s="1"/>
  <c r="BN89" i="1" s="1"/>
  <c r="CJ89" i="1"/>
  <c r="AX89" i="1"/>
  <c r="N89" i="1"/>
  <c r="AY89" i="1"/>
  <c r="CH89" i="1"/>
  <c r="BJ89" i="1"/>
  <c r="BI192" i="1"/>
  <c r="BL192" i="1" s="1"/>
  <c r="CH192" i="1"/>
  <c r="BJ192" i="1"/>
  <c r="CI192" i="1"/>
  <c r="CJ192" i="1"/>
  <c r="BO192" i="1"/>
  <c r="BQ192" i="1" s="1"/>
  <c r="BN192" i="1" s="1"/>
  <c r="AX192" i="1"/>
  <c r="N192" i="1"/>
  <c r="AY192" i="1"/>
  <c r="CB192" i="1"/>
  <c r="O192" i="1"/>
  <c r="AZ192" i="1"/>
  <c r="CC192" i="1"/>
  <c r="CE192" i="1"/>
  <c r="S192" i="1"/>
  <c r="CF192" i="1"/>
  <c r="BC192" i="1"/>
  <c r="CG192" i="1"/>
  <c r="W89" i="5"/>
  <c r="M89" i="1"/>
  <c r="X192" i="5"/>
  <c r="AC192" i="5"/>
  <c r="W192" i="5"/>
  <c r="BB89" i="3"/>
  <c r="AP192" i="1"/>
  <c r="AB192" i="5" s="1"/>
  <c r="BE89" i="3"/>
  <c r="BL89" i="3" s="1"/>
  <c r="BE192" i="1"/>
  <c r="BH89" i="1"/>
  <c r="BD192" i="1"/>
  <c r="K89" i="1"/>
  <c r="BE89" i="1"/>
  <c r="BD89" i="1"/>
  <c r="J89" i="1"/>
  <c r="M192" i="1"/>
  <c r="K192" i="1"/>
  <c r="J192" i="1"/>
  <c r="BH192" i="1"/>
  <c r="AP89" i="1"/>
  <c r="AB89" i="5" s="1"/>
  <c r="BF90" i="3"/>
  <c r="BG90" i="3"/>
  <c r="AP90" i="3"/>
  <c r="AQ90" i="3" s="1"/>
  <c r="AS90" i="3"/>
  <c r="BH90" i="3" s="1"/>
  <c r="BO90" i="3" s="1"/>
  <c r="AU90" i="3"/>
  <c r="AX90" i="3"/>
  <c r="AT90" i="3"/>
  <c r="BJ90" i="3" s="1"/>
  <c r="BP90" i="3" a="1"/>
  <c r="BP90" i="3" s="1"/>
  <c r="S90" i="1"/>
  <c r="CE90" i="1"/>
  <c r="BC90" i="1"/>
  <c r="CF90" i="1"/>
  <c r="BI90" i="1"/>
  <c r="BL90" i="1" s="1"/>
  <c r="CG90" i="1"/>
  <c r="BJ90" i="1"/>
  <c r="CH90" i="1"/>
  <c r="CI90" i="1"/>
  <c r="AX90" i="1"/>
  <c r="N90" i="1"/>
  <c r="AY90" i="1"/>
  <c r="O90" i="1"/>
  <c r="AZ90" i="1"/>
  <c r="CB90" i="1"/>
  <c r="CC90" i="1"/>
  <c r="AQ90" i="1" s="1"/>
  <c r="BS90" i="1" s="1"/>
  <c r="BO90" i="1"/>
  <c r="BQ90" i="1" s="1"/>
  <c r="BN90" i="1" s="1"/>
  <c r="CJ90" i="1"/>
  <c r="AC90" i="5"/>
  <c r="X90" i="5"/>
  <c r="W90" i="5"/>
  <c r="BE90" i="1"/>
  <c r="Y90" i="5"/>
  <c r="BE90" i="3"/>
  <c r="J90" i="1"/>
  <c r="AP90" i="1"/>
  <c r="AB90" i="5" s="1"/>
  <c r="BD90" i="1"/>
  <c r="BH90" i="1"/>
  <c r="K90" i="1"/>
  <c r="M90" i="1"/>
  <c r="BF91" i="3"/>
  <c r="AS91" i="3"/>
  <c r="BH91" i="3" s="1"/>
  <c r="BO91" i="3" s="1"/>
  <c r="BP91" i="3" a="1"/>
  <c r="BP91" i="3" s="1"/>
  <c r="BT91" i="3" s="1"/>
  <c r="AT91" i="3"/>
  <c r="AP91" i="3"/>
  <c r="AQ91" i="3" s="1"/>
  <c r="AX91" i="3"/>
  <c r="W188" i="5"/>
  <c r="AC91" i="5"/>
  <c r="Y188" i="5"/>
  <c r="X188" i="5"/>
  <c r="BJ91" i="1"/>
  <c r="CI91" i="1"/>
  <c r="BO91" i="1"/>
  <c r="BQ91" i="1" s="1"/>
  <c r="BN91" i="1" s="1"/>
  <c r="CJ91" i="1"/>
  <c r="AY91" i="1"/>
  <c r="CB91" i="1"/>
  <c r="AZ91" i="1"/>
  <c r="CC91" i="1"/>
  <c r="AQ91" i="1" s="1"/>
  <c r="BS91" i="1" s="1"/>
  <c r="S91" i="1"/>
  <c r="CE91" i="1"/>
  <c r="CF91" i="1"/>
  <c r="BC91" i="1"/>
  <c r="CG91" i="1"/>
  <c r="AI91" i="1"/>
  <c r="BI91" i="1"/>
  <c r="BL91" i="1" s="1"/>
  <c r="CH91" i="1"/>
  <c r="AX91" i="1"/>
  <c r="AZ188" i="1"/>
  <c r="CE188" i="1"/>
  <c r="S188" i="1"/>
  <c r="CF188" i="1"/>
  <c r="CG188" i="1"/>
  <c r="BC188" i="1"/>
  <c r="CH188" i="1"/>
  <c r="AI188" i="1"/>
  <c r="BI188" i="1"/>
  <c r="BL188" i="1" s="1"/>
  <c r="CI188" i="1"/>
  <c r="BJ188" i="1"/>
  <c r="CJ188" i="1"/>
  <c r="BO188" i="1"/>
  <c r="BQ188" i="1" s="1"/>
  <c r="BN188" i="1" s="1"/>
  <c r="AX188" i="1"/>
  <c r="CB188" i="1"/>
  <c r="AY188" i="1"/>
  <c r="CC188" i="1"/>
  <c r="BG91" i="3"/>
  <c r="Y91" i="5"/>
  <c r="AC188" i="5"/>
  <c r="M91" i="1"/>
  <c r="K91" i="1"/>
  <c r="BE91" i="3"/>
  <c r="BL91" i="3" s="1"/>
  <c r="BH188" i="1"/>
  <c r="BE188" i="1"/>
  <c r="BB91" i="3"/>
  <c r="X91" i="5"/>
  <c r="W91" i="5"/>
  <c r="AP188" i="1"/>
  <c r="AB188" i="5" s="1"/>
  <c r="J188" i="1"/>
  <c r="BD188" i="1"/>
  <c r="K188" i="1"/>
  <c r="BH91" i="1"/>
  <c r="BD91" i="1"/>
  <c r="BE91" i="1"/>
  <c r="J91" i="1"/>
  <c r="AP91" i="1"/>
  <c r="AB91" i="5" s="1"/>
  <c r="AS92" i="3"/>
  <c r="BH92" i="3" s="1"/>
  <c r="BO92" i="3" s="1"/>
  <c r="BP92" i="3" a="1"/>
  <c r="BP92" i="3" s="1"/>
  <c r="BT92" i="3" s="1"/>
  <c r="AT92" i="3"/>
  <c r="AP92" i="3"/>
  <c r="AX92" i="3"/>
  <c r="BG92" i="3"/>
  <c r="BF92" i="3"/>
  <c r="AX92" i="1"/>
  <c r="CB92" i="1"/>
  <c r="CE92" i="1"/>
  <c r="S92" i="1"/>
  <c r="CF92" i="1"/>
  <c r="BI92" i="1"/>
  <c r="BL92" i="1" s="1"/>
  <c r="CH92" i="1"/>
  <c r="AI92" i="1"/>
  <c r="BJ92" i="1"/>
  <c r="CI92" i="1"/>
  <c r="BC92" i="1"/>
  <c r="BO92" i="1"/>
  <c r="BQ92" i="1" s="1"/>
  <c r="BN92" i="1" s="1"/>
  <c r="CC92" i="1"/>
  <c r="AQ92" i="1" s="1"/>
  <c r="BS92" i="1" s="1"/>
  <c r="CG92" i="1"/>
  <c r="CJ92" i="1"/>
  <c r="AY92" i="1"/>
  <c r="M92" i="1"/>
  <c r="W92" i="5"/>
  <c r="K92" i="1"/>
  <c r="X92" i="5"/>
  <c r="BB92" i="3"/>
  <c r="BE92" i="3"/>
  <c r="BL92" i="3" s="1"/>
  <c r="AC92" i="5"/>
  <c r="Y92" i="5"/>
  <c r="AP92" i="1"/>
  <c r="AB92" i="5" s="1"/>
  <c r="BD92" i="1"/>
  <c r="BE92" i="1"/>
  <c r="J92" i="1"/>
  <c r="AZ92" i="1" s="1"/>
  <c r="BH92" i="1"/>
  <c r="BF93" i="3"/>
  <c r="AP93" i="3"/>
  <c r="AQ93" i="3" s="1"/>
  <c r="BG93" i="3"/>
  <c r="AS93" i="3"/>
  <c r="BH93" i="3" s="1"/>
  <c r="AU93" i="3"/>
  <c r="AT93" i="3"/>
  <c r="BJ93" i="3" s="1"/>
  <c r="BR93" i="3" s="1"/>
  <c r="BV93" i="3" s="1"/>
  <c r="AX93" i="3"/>
  <c r="BP93" i="3" a="1"/>
  <c r="BP93" i="3" s="1"/>
  <c r="BT93" i="3" s="1"/>
  <c r="AZ93" i="1"/>
  <c r="CB93" i="1"/>
  <c r="S93" i="1"/>
  <c r="CC93" i="1"/>
  <c r="AQ93" i="1" s="1"/>
  <c r="BS93" i="1" s="1"/>
  <c r="BC93" i="1"/>
  <c r="CF93" i="1"/>
  <c r="AI93" i="1"/>
  <c r="BI93" i="1"/>
  <c r="BL93" i="1" s="1"/>
  <c r="CG93" i="1"/>
  <c r="CI93" i="1"/>
  <c r="BO93" i="1"/>
  <c r="BQ93" i="1" s="1"/>
  <c r="BN93" i="1" s="1"/>
  <c r="CJ93" i="1"/>
  <c r="N93" i="1"/>
  <c r="AX93" i="1"/>
  <c r="O93" i="1"/>
  <c r="AY93" i="1"/>
  <c r="CE93" i="1"/>
  <c r="CH93" i="1"/>
  <c r="BJ93" i="1"/>
  <c r="AC93" i="5"/>
  <c r="BE93" i="3"/>
  <c r="Y93" i="5"/>
  <c r="W93" i="5"/>
  <c r="BB93" i="3"/>
  <c r="BN93" i="3" s="1"/>
  <c r="AP93" i="1"/>
  <c r="AB93" i="5" s="1"/>
  <c r="X93" i="5"/>
  <c r="J93" i="1"/>
  <c r="BU93" i="1" s="1"/>
  <c r="K93" i="1"/>
  <c r="BH93" i="1"/>
  <c r="M93" i="1"/>
  <c r="BF94" i="3"/>
  <c r="AP94" i="3"/>
  <c r="AQ94" i="3" s="1"/>
  <c r="BG94" i="3"/>
  <c r="AX94" i="3"/>
  <c r="BP94" i="3" a="1"/>
  <c r="BP94" i="3" s="1"/>
  <c r="BT94" i="3" s="1"/>
  <c r="AS94" i="3"/>
  <c r="BH94" i="3" s="1"/>
  <c r="AT94" i="3"/>
  <c r="BJ94" i="3" s="1"/>
  <c r="BR94" i="3" s="1"/>
  <c r="BV94" i="3" s="1"/>
  <c r="AU94" i="3"/>
  <c r="W198" i="5"/>
  <c r="S94" i="1"/>
  <c r="CC94" i="1"/>
  <c r="AQ94" i="1" s="1"/>
  <c r="BS94" i="1" s="1"/>
  <c r="CE94" i="1"/>
  <c r="AI94" i="1"/>
  <c r="BI94" i="1"/>
  <c r="BL94" i="1" s="1"/>
  <c r="CG94" i="1"/>
  <c r="BJ94" i="1"/>
  <c r="CH94" i="1"/>
  <c r="BO94" i="1"/>
  <c r="BQ94" i="1" s="1"/>
  <c r="BN94" i="1" s="1"/>
  <c r="CJ94" i="1"/>
  <c r="N94" i="1"/>
  <c r="AX94" i="1"/>
  <c r="O94" i="1"/>
  <c r="AY94" i="1"/>
  <c r="AZ94" i="1"/>
  <c r="CB94" i="1"/>
  <c r="CI94" i="1"/>
  <c r="BC94" i="1"/>
  <c r="CF94" i="1"/>
  <c r="AZ198" i="1"/>
  <c r="CC198" i="1"/>
  <c r="AQ198" i="1" s="1"/>
  <c r="BS198" i="1" s="1"/>
  <c r="S198" i="1"/>
  <c r="CE198" i="1"/>
  <c r="CF198" i="1"/>
  <c r="BC198" i="1"/>
  <c r="CG198" i="1"/>
  <c r="AI198" i="1"/>
  <c r="BI198" i="1"/>
  <c r="BL198" i="1" s="1"/>
  <c r="CH198" i="1"/>
  <c r="CJ198" i="1"/>
  <c r="BO198" i="1"/>
  <c r="BQ198" i="1" s="1"/>
  <c r="BN198" i="1" s="1"/>
  <c r="N198" i="1"/>
  <c r="AX198" i="1"/>
  <c r="O198" i="1"/>
  <c r="AY198" i="1"/>
  <c r="CB198" i="1"/>
  <c r="BJ198" i="1"/>
  <c r="CI198" i="1"/>
  <c r="AC198" i="5"/>
  <c r="M94" i="1"/>
  <c r="Y94" i="5"/>
  <c r="X198" i="5"/>
  <c r="BD94" i="1"/>
  <c r="BE94" i="3"/>
  <c r="Y198" i="5"/>
  <c r="W94" i="5"/>
  <c r="K198" i="1"/>
  <c r="BH94" i="1"/>
  <c r="AC94" i="5"/>
  <c r="X94" i="5"/>
  <c r="AP198" i="1"/>
  <c r="AB198" i="5" s="1"/>
  <c r="K94" i="1"/>
  <c r="AP94" i="1"/>
  <c r="AB94" i="5" s="1"/>
  <c r="BD198" i="1"/>
  <c r="BE198" i="1"/>
  <c r="J94" i="1"/>
  <c r="CD94" i="1" s="1"/>
  <c r="BE94" i="1"/>
  <c r="J198" i="1"/>
  <c r="BB94" i="3"/>
  <c r="BN94" i="3" s="1"/>
  <c r="M198" i="1"/>
  <c r="BH198" i="1"/>
  <c r="AS95" i="3"/>
  <c r="BH95" i="3" s="1"/>
  <c r="AT95" i="3"/>
  <c r="BJ95" i="3" s="1"/>
  <c r="BR95" i="3" s="1"/>
  <c r="BV95" i="3" s="1"/>
  <c r="BP95" i="3" a="1"/>
  <c r="BP95" i="3" s="1"/>
  <c r="BT95" i="3" s="1"/>
  <c r="BF95" i="3"/>
  <c r="BG95" i="3"/>
  <c r="AP95" i="3"/>
  <c r="AQ95" i="3" s="1"/>
  <c r="AX95" i="3"/>
  <c r="X95" i="5"/>
  <c r="CE95" i="1"/>
  <c r="CI95" i="1"/>
  <c r="O95" i="1"/>
  <c r="AY95" i="1"/>
  <c r="AZ95" i="1"/>
  <c r="CB95" i="1"/>
  <c r="S95" i="1"/>
  <c r="AX95" i="1"/>
  <c r="CC95" i="1"/>
  <c r="AQ95" i="1" s="1"/>
  <c r="BS95" i="1" s="1"/>
  <c r="CF95" i="1"/>
  <c r="N95" i="1"/>
  <c r="CG95" i="1"/>
  <c r="BC95" i="1"/>
  <c r="CH95" i="1"/>
  <c r="BI95" i="1"/>
  <c r="BL95" i="1" s="1"/>
  <c r="CJ95" i="1"/>
  <c r="BJ95" i="1"/>
  <c r="AI95" i="1"/>
  <c r="BO95" i="1"/>
  <c r="BQ95" i="1" s="1"/>
  <c r="BN95" i="1" s="1"/>
  <c r="AC95" i="5"/>
  <c r="M95" i="1"/>
  <c r="Y95" i="5"/>
  <c r="BE95" i="3"/>
  <c r="BL95" i="3" s="1"/>
  <c r="K95" i="1"/>
  <c r="W95" i="5"/>
  <c r="BD95" i="1"/>
  <c r="BE95" i="1"/>
  <c r="BH95" i="1"/>
  <c r="BB95" i="3"/>
  <c r="BN95" i="3" s="1"/>
  <c r="J95" i="1"/>
  <c r="AP95" i="1"/>
  <c r="AB95" i="5" s="1"/>
  <c r="AP96" i="3"/>
  <c r="AQ96" i="3" s="1"/>
  <c r="BP96" i="3" a="1"/>
  <c r="BP96" i="3" s="1"/>
  <c r="BQ96" i="3"/>
  <c r="AS96" i="3"/>
  <c r="AT96" i="3"/>
  <c r="BF96" i="3"/>
  <c r="BC96" i="3" s="1"/>
  <c r="BG96" i="3"/>
  <c r="AC96" i="5"/>
  <c r="Y96" i="5"/>
  <c r="AY96" i="1"/>
  <c r="CB96" i="1"/>
  <c r="N96" i="1"/>
  <c r="CC96" i="1"/>
  <c r="AQ96" i="1" s="1"/>
  <c r="BS96" i="1" s="1"/>
  <c r="BI96" i="1"/>
  <c r="BL96" i="1" s="1"/>
  <c r="CE96" i="1"/>
  <c r="AX96" i="1"/>
  <c r="CF96" i="1"/>
  <c r="CG96" i="1"/>
  <c r="CH96" i="1"/>
  <c r="O96" i="1"/>
  <c r="BC96" i="1"/>
  <c r="CI96" i="1"/>
  <c r="BJ96" i="1"/>
  <c r="CJ96" i="1"/>
  <c r="AI96" i="1"/>
  <c r="BO96" i="1"/>
  <c r="BQ96" i="1" s="1"/>
  <c r="BN96" i="1" s="1"/>
  <c r="CI189" i="1"/>
  <c r="BO189" i="1"/>
  <c r="BQ189" i="1" s="1"/>
  <c r="BN189" i="1" s="1"/>
  <c r="CJ189" i="1"/>
  <c r="AX189" i="1"/>
  <c r="AY189" i="1"/>
  <c r="CB189" i="1"/>
  <c r="N189" i="1"/>
  <c r="CC189" i="1"/>
  <c r="AQ189" i="1" s="1"/>
  <c r="BS189" i="1" s="1"/>
  <c r="O189" i="1"/>
  <c r="CE189" i="1"/>
  <c r="BC189" i="1"/>
  <c r="CF189" i="1"/>
  <c r="BI189" i="1"/>
  <c r="BL189" i="1" s="1"/>
  <c r="CG189" i="1"/>
  <c r="AI189" i="1"/>
  <c r="BJ189" i="1"/>
  <c r="CH189" i="1"/>
  <c r="X96" i="5"/>
  <c r="AC189" i="5"/>
  <c r="W96" i="5"/>
  <c r="Y189" i="5"/>
  <c r="X189" i="5"/>
  <c r="BH189" i="1"/>
  <c r="BH96" i="1"/>
  <c r="J96" i="1"/>
  <c r="AZ96" i="1" s="1"/>
  <c r="BE96" i="3"/>
  <c r="W189" i="5"/>
  <c r="J189" i="1"/>
  <c r="AZ189" i="1" s="1"/>
  <c r="BE189" i="1"/>
  <c r="K96" i="1"/>
  <c r="K189" i="1"/>
  <c r="AP189" i="1"/>
  <c r="AB189" i="5" s="1"/>
  <c r="BD189" i="1"/>
  <c r="M96" i="1"/>
  <c r="BE96" i="1"/>
  <c r="M189" i="1"/>
  <c r="AP96" i="1"/>
  <c r="AB96" i="5" s="1"/>
  <c r="BD96" i="1"/>
  <c r="BG97" i="3"/>
  <c r="AP97" i="3"/>
  <c r="AQ97" i="3" s="1"/>
  <c r="BC97" i="3"/>
  <c r="BF97" i="3"/>
  <c r="BP97" i="3" a="1"/>
  <c r="BP97" i="3" s="1"/>
  <c r="AS97" i="3"/>
  <c r="BQ97" i="3"/>
  <c r="AT97" i="3"/>
  <c r="BJ97" i="3" s="1"/>
  <c r="X190" i="5"/>
  <c r="X97" i="5"/>
  <c r="W97" i="5"/>
  <c r="W190" i="5"/>
  <c r="O97" i="1"/>
  <c r="BI97" i="1"/>
  <c r="BL97" i="1" s="1"/>
  <c r="CG97" i="1"/>
  <c r="AI97" i="1"/>
  <c r="CJ97" i="1"/>
  <c r="BO97" i="1"/>
  <c r="BQ97" i="1" s="1"/>
  <c r="BN97" i="1" s="1"/>
  <c r="AX97" i="1"/>
  <c r="CB97" i="1"/>
  <c r="AY97" i="1"/>
  <c r="CC97" i="1"/>
  <c r="AQ97" i="1" s="1"/>
  <c r="BS97" i="1" s="1"/>
  <c r="CE97" i="1"/>
  <c r="N97" i="1"/>
  <c r="CF97" i="1"/>
  <c r="BC97" i="1"/>
  <c r="CH97" i="1"/>
  <c r="BJ97" i="1"/>
  <c r="CI97" i="1"/>
  <c r="AX190" i="1"/>
  <c r="CB190" i="1"/>
  <c r="AY190" i="1"/>
  <c r="CC190" i="1"/>
  <c r="AQ190" i="1" s="1"/>
  <c r="BS190" i="1" s="1"/>
  <c r="N190" i="1"/>
  <c r="CE190" i="1"/>
  <c r="O190" i="1"/>
  <c r="CF190" i="1"/>
  <c r="BC190" i="1"/>
  <c r="CG190" i="1"/>
  <c r="BI190" i="1"/>
  <c r="BL190" i="1" s="1"/>
  <c r="CH190" i="1"/>
  <c r="AI190" i="1"/>
  <c r="BJ190" i="1"/>
  <c r="CI190" i="1"/>
  <c r="CJ190" i="1"/>
  <c r="BO190" i="1"/>
  <c r="BQ190" i="1" s="1"/>
  <c r="BN190" i="1" s="1"/>
  <c r="AC97" i="5"/>
  <c r="M190" i="1"/>
  <c r="AC190" i="5"/>
  <c r="BE97" i="3"/>
  <c r="Y190" i="5"/>
  <c r="Y97" i="5"/>
  <c r="BI97" i="3"/>
  <c r="BH97" i="1"/>
  <c r="BD190" i="1"/>
  <c r="AP190" i="1"/>
  <c r="AB190" i="5" s="1"/>
  <c r="K190" i="1"/>
  <c r="BE190" i="1"/>
  <c r="BH190" i="1"/>
  <c r="J190" i="1"/>
  <c r="AZ190" i="1" s="1"/>
  <c r="J97" i="1"/>
  <c r="AZ97" i="1" s="1"/>
  <c r="K97" i="1"/>
  <c r="AP97" i="1"/>
  <c r="AB97" i="5" s="1"/>
  <c r="BE97" i="1"/>
  <c r="BD97" i="1"/>
  <c r="M97" i="1"/>
  <c r="AT98" i="3"/>
  <c r="AX98" i="3"/>
  <c r="BP98" i="3" a="1"/>
  <c r="BP98" i="3" s="1"/>
  <c r="BT98" i="3" s="1"/>
  <c r="BF98" i="3"/>
  <c r="BG98" i="3"/>
  <c r="AP98" i="3"/>
  <c r="AQ98" i="3" s="1"/>
  <c r="AS98" i="3"/>
  <c r="BH98" i="3" s="1"/>
  <c r="BO98" i="3" s="1"/>
  <c r="BO98" i="1"/>
  <c r="BQ98" i="1" s="1"/>
  <c r="BN98" i="1" s="1"/>
  <c r="CJ98" i="1"/>
  <c r="AX98" i="1"/>
  <c r="AY98" i="1"/>
  <c r="CB98" i="1"/>
  <c r="AZ98" i="1"/>
  <c r="CC98" i="1"/>
  <c r="AQ98" i="1" s="1"/>
  <c r="BS98" i="1" s="1"/>
  <c r="S98" i="1"/>
  <c r="CE98" i="1"/>
  <c r="CF98" i="1"/>
  <c r="BC98" i="1"/>
  <c r="CG98" i="1"/>
  <c r="AI98" i="1"/>
  <c r="BI98" i="1"/>
  <c r="BL98" i="1" s="1"/>
  <c r="CH98" i="1"/>
  <c r="BJ98" i="1"/>
  <c r="CI98" i="1"/>
  <c r="AC98" i="5"/>
  <c r="X98" i="5"/>
  <c r="Y98" i="5"/>
  <c r="W98" i="5"/>
  <c r="BE98" i="3"/>
  <c r="AU98" i="3"/>
  <c r="AP98" i="1"/>
  <c r="AB98" i="5" s="1"/>
  <c r="BD98" i="1"/>
  <c r="BE98" i="1"/>
  <c r="M98" i="1"/>
  <c r="J98" i="1"/>
  <c r="BH98" i="1"/>
  <c r="K98" i="1"/>
  <c r="BP99" i="3" a="1"/>
  <c r="BP99" i="3" s="1"/>
  <c r="BT99" i="3" s="1"/>
  <c r="BF99" i="3"/>
  <c r="BG99" i="3"/>
  <c r="AS99" i="3"/>
  <c r="BH99" i="3" s="1"/>
  <c r="BO99" i="3" s="1"/>
  <c r="AT99" i="3"/>
  <c r="AU99" i="3" s="1"/>
  <c r="AC99" i="5"/>
  <c r="Y99" i="5"/>
  <c r="X99" i="5"/>
  <c r="W99" i="5"/>
  <c r="S99" i="1"/>
  <c r="CC99" i="1"/>
  <c r="AQ99" i="1" s="1"/>
  <c r="BS99" i="1" s="1"/>
  <c r="CE99" i="1"/>
  <c r="BC99" i="1"/>
  <c r="CF99" i="1"/>
  <c r="AI99" i="1"/>
  <c r="BI99" i="1"/>
  <c r="BL99" i="1" s="1"/>
  <c r="CG99" i="1"/>
  <c r="BJ99" i="1"/>
  <c r="CH99" i="1"/>
  <c r="CI99" i="1"/>
  <c r="BO99" i="1"/>
  <c r="BQ99" i="1" s="1"/>
  <c r="BN99" i="1" s="1"/>
  <c r="CJ99" i="1"/>
  <c r="N99" i="1"/>
  <c r="AX99" i="1"/>
  <c r="O99" i="1"/>
  <c r="AY99" i="1"/>
  <c r="AZ99" i="1"/>
  <c r="CB99" i="1"/>
  <c r="BE99" i="3"/>
  <c r="BL99" i="3" s="1"/>
  <c r="AP99" i="1"/>
  <c r="AB99" i="5" s="1"/>
  <c r="BD99" i="1"/>
  <c r="BE99" i="1"/>
  <c r="BH99" i="1"/>
  <c r="J99" i="1"/>
  <c r="K99" i="1"/>
  <c r="M99" i="1"/>
  <c r="BB100" i="3"/>
  <c r="AS100" i="3"/>
  <c r="BH100" i="3" s="1"/>
  <c r="BO100" i="3" s="1"/>
  <c r="AT100" i="3"/>
  <c r="BJ100" i="3" s="1"/>
  <c r="BP100" i="3" a="1"/>
  <c r="BP100" i="3" s="1"/>
  <c r="BT100" i="3" s="1"/>
  <c r="AU100" i="3"/>
  <c r="BF100" i="3"/>
  <c r="BG100" i="3"/>
  <c r="CE100" i="1"/>
  <c r="BC100" i="1"/>
  <c r="CF100" i="1"/>
  <c r="AI100" i="1"/>
  <c r="BI100" i="1"/>
  <c r="BL100" i="1" s="1"/>
  <c r="CG100" i="1"/>
  <c r="BJ100" i="1"/>
  <c r="CH100" i="1"/>
  <c r="CI100" i="1"/>
  <c r="BO100" i="1"/>
  <c r="BQ100" i="1" s="1"/>
  <c r="BN100" i="1" s="1"/>
  <c r="CJ100" i="1"/>
  <c r="N100" i="1"/>
  <c r="AX100" i="1"/>
  <c r="O100" i="1"/>
  <c r="AY100" i="1"/>
  <c r="AZ100" i="1"/>
  <c r="CB100" i="1"/>
  <c r="S100" i="1"/>
  <c r="CC100" i="1"/>
  <c r="AQ100" i="1" s="1"/>
  <c r="BS100" i="1" s="1"/>
  <c r="AC100" i="5"/>
  <c r="W100" i="5"/>
  <c r="Y100" i="5"/>
  <c r="BE100" i="3"/>
  <c r="X100" i="5"/>
  <c r="BD100" i="1"/>
  <c r="BE100" i="1"/>
  <c r="J100" i="1"/>
  <c r="AP100" i="1"/>
  <c r="AB100" i="5" s="1"/>
  <c r="BH100" i="1"/>
  <c r="K100" i="1"/>
  <c r="M100" i="1"/>
  <c r="BE101" i="3"/>
  <c r="BF101" i="3"/>
  <c r="AT101" i="3"/>
  <c r="BJ101" i="3" s="1"/>
  <c r="BP101" i="3" a="1"/>
  <c r="BP101" i="3" s="1"/>
  <c r="AP101" i="3"/>
  <c r="AQ101" i="3" s="1"/>
  <c r="AS101" i="3"/>
  <c r="BH101" i="3" s="1"/>
  <c r="AC101" i="5"/>
  <c r="Y101" i="5"/>
  <c r="X101" i="5"/>
  <c r="BO101" i="1"/>
  <c r="BQ101" i="1" s="1"/>
  <c r="BN101" i="1" s="1"/>
  <c r="CJ101" i="1"/>
  <c r="AX101" i="1"/>
  <c r="AY101" i="1"/>
  <c r="CB101" i="1"/>
  <c r="CC101" i="1"/>
  <c r="AQ101" i="1" s="1"/>
  <c r="BS101" i="1" s="1"/>
  <c r="CE101" i="1"/>
  <c r="S101" i="1"/>
  <c r="BC101" i="1"/>
  <c r="CF101" i="1"/>
  <c r="BI101" i="1"/>
  <c r="BL101" i="1" s="1"/>
  <c r="CG101" i="1"/>
  <c r="BJ101" i="1"/>
  <c r="CH101" i="1"/>
  <c r="CI101" i="1"/>
  <c r="W101" i="5"/>
  <c r="M101" i="1"/>
  <c r="BG101" i="3"/>
  <c r="AP101" i="1"/>
  <c r="AB101" i="5" s="1"/>
  <c r="BH101" i="1"/>
  <c r="J101" i="1"/>
  <c r="AZ101" i="1" s="1"/>
  <c r="K101" i="1"/>
  <c r="AT102" i="3"/>
  <c r="BJ102" i="3" s="1"/>
  <c r="AU102" i="3"/>
  <c r="BP102" i="3" a="1"/>
  <c r="BP102" i="3" s="1"/>
  <c r="BT102" i="3" s="1"/>
  <c r="BE102" i="3"/>
  <c r="BF102" i="3"/>
  <c r="BG102" i="3"/>
  <c r="AP102" i="3"/>
  <c r="AQ102" i="3" s="1"/>
  <c r="AS102" i="3"/>
  <c r="BH102" i="3" s="1"/>
  <c r="AY102" i="1"/>
  <c r="CB102" i="1"/>
  <c r="CC102" i="1"/>
  <c r="AQ102" i="1" s="1"/>
  <c r="BS102" i="1" s="1"/>
  <c r="CE102" i="1"/>
  <c r="S102" i="1"/>
  <c r="BC102" i="1"/>
  <c r="CF102" i="1"/>
  <c r="BI102" i="1"/>
  <c r="BL102" i="1" s="1"/>
  <c r="CG102" i="1"/>
  <c r="BJ102" i="1"/>
  <c r="CH102" i="1"/>
  <c r="CI102" i="1"/>
  <c r="BO102" i="1"/>
  <c r="BQ102" i="1" s="1"/>
  <c r="BN102" i="1" s="1"/>
  <c r="CJ102" i="1"/>
  <c r="AX102" i="1"/>
  <c r="AC102" i="5"/>
  <c r="BB102" i="3"/>
  <c r="M102" i="1"/>
  <c r="W102" i="5"/>
  <c r="AP102" i="1"/>
  <c r="AB102" i="5" s="1"/>
  <c r="X102" i="5"/>
  <c r="Y102" i="5"/>
  <c r="BH102" i="1"/>
  <c r="K102" i="1"/>
  <c r="J102" i="1"/>
  <c r="AZ102" i="1" s="1"/>
  <c r="AP103" i="3"/>
  <c r="AQ103" i="3" s="1"/>
  <c r="BF103" i="3"/>
  <c r="AS103" i="3"/>
  <c r="BH103" i="3" s="1"/>
  <c r="BP103" i="3" a="1"/>
  <c r="BP103" i="3" s="1"/>
  <c r="BT103" i="3" s="1"/>
  <c r="AT103" i="3"/>
  <c r="AX103" i="3"/>
  <c r="BE103" i="3"/>
  <c r="AC103" i="5"/>
  <c r="BC103" i="1"/>
  <c r="CE103" i="1"/>
  <c r="AI103" i="1"/>
  <c r="BI103" i="1"/>
  <c r="BL103" i="1" s="1"/>
  <c r="CF103" i="1"/>
  <c r="BJ103" i="1"/>
  <c r="CG103" i="1"/>
  <c r="CH103" i="1"/>
  <c r="BO103" i="1"/>
  <c r="BQ103" i="1" s="1"/>
  <c r="BN103" i="1" s="1"/>
  <c r="CI103" i="1"/>
  <c r="CJ103" i="1"/>
  <c r="AX103" i="1"/>
  <c r="AY103" i="1"/>
  <c r="AZ103" i="1"/>
  <c r="S103" i="1"/>
  <c r="CB103" i="1"/>
  <c r="CC103" i="1"/>
  <c r="AQ103" i="1" s="1"/>
  <c r="BS103" i="1" s="1"/>
  <c r="Y103" i="5"/>
  <c r="W103" i="5"/>
  <c r="BB103" i="3"/>
  <c r="BG103" i="3"/>
  <c r="X103" i="5"/>
  <c r="J103" i="1"/>
  <c r="M103" i="1"/>
  <c r="AP103" i="1"/>
  <c r="AB103" i="5" s="1"/>
  <c r="K103" i="1"/>
  <c r="BH103" i="1"/>
  <c r="BE104" i="3"/>
  <c r="AX104" i="3"/>
  <c r="BB104" i="3"/>
  <c r="BF104" i="3"/>
  <c r="BP104" i="3" a="1"/>
  <c r="BP104" i="3" s="1"/>
  <c r="BT104" i="3" s="1"/>
  <c r="AT104" i="3"/>
  <c r="BJ104" i="3" s="1"/>
  <c r="AP104" i="3"/>
  <c r="AQ104" i="3" s="1"/>
  <c r="AS104" i="3"/>
  <c r="BH104" i="3" s="1"/>
  <c r="CH104" i="1"/>
  <c r="BO104" i="1"/>
  <c r="BQ104" i="1" s="1"/>
  <c r="BN104" i="1" s="1"/>
  <c r="CI104" i="1"/>
  <c r="CJ104" i="1"/>
  <c r="AX104" i="1"/>
  <c r="AY104" i="1"/>
  <c r="AZ104" i="1"/>
  <c r="CB104" i="1"/>
  <c r="S104" i="1"/>
  <c r="CC104" i="1"/>
  <c r="AQ104" i="1" s="1"/>
  <c r="BS104" i="1" s="1"/>
  <c r="BC104" i="1"/>
  <c r="CE104" i="1"/>
  <c r="BI104" i="1"/>
  <c r="BL104" i="1" s="1"/>
  <c r="CF104" i="1"/>
  <c r="BJ104" i="1"/>
  <c r="CG104" i="1"/>
  <c r="M104" i="1"/>
  <c r="BG104" i="3"/>
  <c r="AC104" i="5"/>
  <c r="W104" i="5"/>
  <c r="X104" i="5"/>
  <c r="Y104" i="5"/>
  <c r="J104" i="1"/>
  <c r="AP104" i="1"/>
  <c r="AB104" i="5" s="1"/>
  <c r="AU104" i="3"/>
  <c r="K104" i="1"/>
  <c r="BE104" i="1"/>
  <c r="BH104" i="1"/>
  <c r="BD104" i="1"/>
  <c r="BE108" i="3"/>
  <c r="BF108" i="3"/>
  <c r="AP108" i="3"/>
  <c r="AQ108" i="3" s="1"/>
  <c r="BG108" i="3"/>
  <c r="AS108" i="3"/>
  <c r="BH108" i="3" s="1"/>
  <c r="AT108" i="3"/>
  <c r="AX108" i="3"/>
  <c r="BP108" i="3" a="1"/>
  <c r="BP108" i="3" s="1"/>
  <c r="BT108" i="3" s="1"/>
  <c r="AC108" i="5"/>
  <c r="Y108" i="5"/>
  <c r="CC108" i="1"/>
  <c r="AQ108" i="1" s="1"/>
  <c r="BS108" i="1" s="1"/>
  <c r="BC108" i="1"/>
  <c r="CE108" i="1"/>
  <c r="AI108" i="1"/>
  <c r="BI108" i="1"/>
  <c r="BL108" i="1" s="1"/>
  <c r="CF108" i="1"/>
  <c r="BJ108" i="1"/>
  <c r="CG108" i="1"/>
  <c r="CH108" i="1"/>
  <c r="BO108" i="1"/>
  <c r="BQ108" i="1" s="1"/>
  <c r="BN108" i="1" s="1"/>
  <c r="CI108" i="1"/>
  <c r="CJ108" i="1"/>
  <c r="AX108" i="1"/>
  <c r="AY108" i="1"/>
  <c r="AZ108" i="1"/>
  <c r="S108" i="1"/>
  <c r="CB108" i="1"/>
  <c r="BB108" i="3"/>
  <c r="X108" i="5"/>
  <c r="M108" i="1"/>
  <c r="AP108" i="1"/>
  <c r="AB108" i="5" s="1"/>
  <c r="W108" i="5"/>
  <c r="BH108" i="1"/>
  <c r="BE108" i="1"/>
  <c r="J108" i="1"/>
  <c r="K108" i="1"/>
  <c r="BD108" i="1"/>
  <c r="BG109" i="3"/>
  <c r="AS109" i="3"/>
  <c r="BH109" i="3" s="1"/>
  <c r="BO109" i="3" s="1"/>
  <c r="BP109" i="3" a="1"/>
  <c r="BP109" i="3" s="1"/>
  <c r="BT109" i="3" s="1"/>
  <c r="AT109" i="3"/>
  <c r="BJ109" i="3" s="1"/>
  <c r="AU109" i="3"/>
  <c r="BF109" i="3"/>
  <c r="X109" i="5"/>
  <c r="W109" i="5"/>
  <c r="CE109" i="1"/>
  <c r="BC109" i="1"/>
  <c r="CF109" i="1"/>
  <c r="AI109" i="1"/>
  <c r="BI109" i="1"/>
  <c r="BL109" i="1" s="1"/>
  <c r="CG109" i="1"/>
  <c r="BJ109" i="1"/>
  <c r="CH109" i="1"/>
  <c r="CI109" i="1"/>
  <c r="BO109" i="1"/>
  <c r="BQ109" i="1" s="1"/>
  <c r="BN109" i="1" s="1"/>
  <c r="CJ109" i="1"/>
  <c r="N109" i="1"/>
  <c r="AX109" i="1"/>
  <c r="O109" i="1"/>
  <c r="AY109" i="1"/>
  <c r="AZ109" i="1"/>
  <c r="CB109" i="1"/>
  <c r="S109" i="1"/>
  <c r="CC109" i="1"/>
  <c r="AQ109" i="1" s="1"/>
  <c r="BS109" i="1" s="1"/>
  <c r="AC109" i="5"/>
  <c r="M109" i="1"/>
  <c r="Y109" i="5"/>
  <c r="BB109" i="3"/>
  <c r="BD109" i="1"/>
  <c r="BE109" i="3"/>
  <c r="J109" i="1"/>
  <c r="K109" i="1"/>
  <c r="BH109" i="1"/>
  <c r="BE109" i="1"/>
  <c r="AP109" i="1"/>
  <c r="AB109" i="5" s="1"/>
  <c r="AT110" i="3"/>
  <c r="AU110" i="3" s="1"/>
  <c r="BP110" i="3" a="1"/>
  <c r="BP110" i="3" s="1"/>
  <c r="BF110" i="3"/>
  <c r="BG110" i="3"/>
  <c r="AP110" i="3"/>
  <c r="AQ110" i="3" s="1"/>
  <c r="AS110" i="3"/>
  <c r="BH110" i="3" s="1"/>
  <c r="BO110" i="3" s="1"/>
  <c r="AI110" i="1"/>
  <c r="BJ110" i="1"/>
  <c r="CH110" i="1"/>
  <c r="CI110" i="1"/>
  <c r="BO110" i="1"/>
  <c r="BQ110" i="1" s="1"/>
  <c r="BN110" i="1" s="1"/>
  <c r="CJ110" i="1"/>
  <c r="AX110" i="1"/>
  <c r="N110" i="1"/>
  <c r="AY110" i="1"/>
  <c r="CB110" i="1"/>
  <c r="O110" i="1"/>
  <c r="CC110" i="1"/>
  <c r="AQ110" i="1" s="1"/>
  <c r="BS110" i="1" s="1"/>
  <c r="CE110" i="1"/>
  <c r="BC110" i="1"/>
  <c r="CF110" i="1"/>
  <c r="BI110" i="1"/>
  <c r="BL110" i="1" s="1"/>
  <c r="CG110" i="1"/>
  <c r="AC110" i="5"/>
  <c r="M110" i="1"/>
  <c r="W110" i="5"/>
  <c r="K110" i="1"/>
  <c r="Y110" i="5"/>
  <c r="X110" i="5"/>
  <c r="BE110" i="3"/>
  <c r="BL110" i="3" s="1"/>
  <c r="BH110" i="1"/>
  <c r="J110" i="1"/>
  <c r="BD110" i="1"/>
  <c r="AP110" i="1"/>
  <c r="AB110" i="5" s="1"/>
  <c r="BE110" i="1"/>
  <c r="BF111" i="3"/>
  <c r="AP111" i="3"/>
  <c r="AQ111" i="3" s="1"/>
  <c r="BG111" i="3"/>
  <c r="AS111" i="3"/>
  <c r="BH111" i="3" s="1"/>
  <c r="AT111" i="3"/>
  <c r="BJ111" i="3" s="1"/>
  <c r="BP111" i="3" a="1"/>
  <c r="BP111" i="3" s="1"/>
  <c r="BT111" i="3" s="1"/>
  <c r="AC111" i="5"/>
  <c r="Y111" i="5"/>
  <c r="X111" i="5"/>
  <c r="W111" i="5"/>
  <c r="AX111" i="1"/>
  <c r="N111" i="1"/>
  <c r="AY111" i="1"/>
  <c r="CB111" i="1"/>
  <c r="O111" i="1"/>
  <c r="CC111" i="1"/>
  <c r="AQ111" i="1" s="1"/>
  <c r="BS111" i="1" s="1"/>
  <c r="CE111" i="1"/>
  <c r="BC111" i="1"/>
  <c r="CF111" i="1"/>
  <c r="BI111" i="1"/>
  <c r="BL111" i="1" s="1"/>
  <c r="CG111" i="1"/>
  <c r="AI111" i="1"/>
  <c r="BJ111" i="1"/>
  <c r="CH111" i="1"/>
  <c r="CI111" i="1"/>
  <c r="BO111" i="1"/>
  <c r="BQ111" i="1" s="1"/>
  <c r="BN111" i="1" s="1"/>
  <c r="CJ111" i="1"/>
  <c r="BB111" i="3"/>
  <c r="AP111" i="1"/>
  <c r="AB111" i="5" s="1"/>
  <c r="K111" i="1"/>
  <c r="BE111" i="3"/>
  <c r="BL111" i="3" s="1"/>
  <c r="J111" i="1"/>
  <c r="AZ111" i="1" s="1"/>
  <c r="BE111" i="1"/>
  <c r="M111" i="1"/>
  <c r="BD111" i="1"/>
  <c r="BH111" i="1"/>
  <c r="AP112" i="3"/>
  <c r="AQ112" i="3" s="1"/>
  <c r="BP112" i="3" a="1"/>
  <c r="BP112" i="3" s="1"/>
  <c r="AS112" i="3"/>
  <c r="AT112" i="3"/>
  <c r="BJ112" i="3" s="1"/>
  <c r="BQ112" i="3"/>
  <c r="BF112" i="3"/>
  <c r="AY112" i="1"/>
  <c r="CB112" i="1"/>
  <c r="N112" i="1"/>
  <c r="CC112" i="1"/>
  <c r="AQ112" i="1" s="1"/>
  <c r="BS112" i="1" s="1"/>
  <c r="O112" i="1"/>
  <c r="CE112" i="1"/>
  <c r="BC112" i="1"/>
  <c r="CF112" i="1"/>
  <c r="BI112" i="1"/>
  <c r="BL112" i="1" s="1"/>
  <c r="CG112" i="1"/>
  <c r="AI112" i="1"/>
  <c r="BJ112" i="1"/>
  <c r="CH112" i="1"/>
  <c r="CI112" i="1"/>
  <c r="BO112" i="1"/>
  <c r="BQ112" i="1" s="1"/>
  <c r="BN112" i="1" s="1"/>
  <c r="CJ112" i="1"/>
  <c r="AX112" i="1"/>
  <c r="BG112" i="3"/>
  <c r="M112" i="1"/>
  <c r="AC112" i="5"/>
  <c r="BE112" i="3"/>
  <c r="X112" i="5"/>
  <c r="AP112" i="1"/>
  <c r="AB112" i="5" s="1"/>
  <c r="BC112" i="3"/>
  <c r="W112" i="5"/>
  <c r="Y112" i="5"/>
  <c r="BE112" i="1"/>
  <c r="BD112" i="1"/>
  <c r="J112" i="1"/>
  <c r="AZ112" i="1" s="1"/>
  <c r="K112" i="1"/>
  <c r="BH112" i="1"/>
  <c r="BP113" i="3" a="1"/>
  <c r="BP113" i="3" s="1"/>
  <c r="BT113" i="3" s="1"/>
  <c r="BF113" i="3"/>
  <c r="AT113" i="3"/>
  <c r="BB113" i="3" s="1"/>
  <c r="AP113" i="3"/>
  <c r="AQ113" i="3" s="1"/>
  <c r="AS113" i="3"/>
  <c r="BH113" i="3" s="1"/>
  <c r="AC113" i="5"/>
  <c r="Y113" i="5"/>
  <c r="X113" i="5"/>
  <c r="BC113" i="1"/>
  <c r="CG113" i="1"/>
  <c r="AI113" i="1"/>
  <c r="BI113" i="1"/>
  <c r="BL113" i="1" s="1"/>
  <c r="CH113" i="1"/>
  <c r="BJ113" i="1"/>
  <c r="CI113" i="1"/>
  <c r="BO113" i="1"/>
  <c r="BQ113" i="1" s="1"/>
  <c r="BN113" i="1" s="1"/>
  <c r="CJ113" i="1"/>
  <c r="AX113" i="1"/>
  <c r="AY113" i="1"/>
  <c r="CB113" i="1"/>
  <c r="AZ113" i="1"/>
  <c r="CC113" i="1"/>
  <c r="AQ113" i="1" s="1"/>
  <c r="BS113" i="1" s="1"/>
  <c r="S113" i="1"/>
  <c r="CE113" i="1"/>
  <c r="CF113" i="1"/>
  <c r="W113" i="5"/>
  <c r="BG113" i="3"/>
  <c r="BE113" i="3"/>
  <c r="BD113" i="1"/>
  <c r="J113" i="1"/>
  <c r="BH113" i="1"/>
  <c r="BE113" i="1"/>
  <c r="AP113" i="1"/>
  <c r="AB113" i="5" s="1"/>
  <c r="M113" i="1"/>
  <c r="K113" i="1"/>
  <c r="BF114" i="3"/>
  <c r="BP114" i="3" a="1"/>
  <c r="BP114" i="3" s="1"/>
  <c r="BT114" i="3" s="1"/>
  <c r="AT114" i="3"/>
  <c r="BB114" i="3" s="1"/>
  <c r="AS114" i="3"/>
  <c r="BH114" i="3" s="1"/>
  <c r="BO114" i="3" s="1"/>
  <c r="CI114" i="1"/>
  <c r="BO114" i="1"/>
  <c r="BQ114" i="1" s="1"/>
  <c r="BN114" i="1" s="1"/>
  <c r="CJ114" i="1"/>
  <c r="AX114" i="1"/>
  <c r="N114" i="1"/>
  <c r="AY114" i="1"/>
  <c r="O114" i="1"/>
  <c r="AZ114" i="1"/>
  <c r="CB114" i="1"/>
  <c r="CC114" i="1"/>
  <c r="AQ114" i="1" s="1"/>
  <c r="BS114" i="1" s="1"/>
  <c r="S114" i="1"/>
  <c r="CE114" i="1"/>
  <c r="BC114" i="1"/>
  <c r="CF114" i="1"/>
  <c r="BI114" i="1"/>
  <c r="BL114" i="1" s="1"/>
  <c r="CG114" i="1"/>
  <c r="BJ114" i="1"/>
  <c r="CH114" i="1"/>
  <c r="X114" i="5"/>
  <c r="M114" i="1"/>
  <c r="AC114" i="5"/>
  <c r="BG114" i="3"/>
  <c r="W114" i="5"/>
  <c r="AP114" i="1"/>
  <c r="AB114" i="5" s="1"/>
  <c r="Y114" i="5"/>
  <c r="BE114" i="3"/>
  <c r="BL114" i="3" s="1"/>
  <c r="BD114" i="1"/>
  <c r="BH114" i="1"/>
  <c r="BE114" i="1"/>
  <c r="K114" i="1"/>
  <c r="J114" i="1"/>
  <c r="AS115" i="3"/>
  <c r="BH115" i="3" s="1"/>
  <c r="AT115" i="3"/>
  <c r="BJ115" i="3" s="1"/>
  <c r="BP115" i="3" a="1"/>
  <c r="BP115" i="3" s="1"/>
  <c r="BT115" i="3" s="1"/>
  <c r="AX115" i="3"/>
  <c r="BF115" i="3"/>
  <c r="AP115" i="3"/>
  <c r="AQ115" i="3" s="1"/>
  <c r="AC115" i="5"/>
  <c r="AX115" i="1"/>
  <c r="N115" i="1"/>
  <c r="AY115" i="1"/>
  <c r="O115" i="1"/>
  <c r="AZ115" i="1"/>
  <c r="CB115" i="1"/>
  <c r="CC115" i="1"/>
  <c r="AQ115" i="1" s="1"/>
  <c r="BS115" i="1" s="1"/>
  <c r="S115" i="1"/>
  <c r="CE115" i="1"/>
  <c r="BC115" i="1"/>
  <c r="CF115" i="1"/>
  <c r="BI115" i="1"/>
  <c r="BL115" i="1" s="1"/>
  <c r="CG115" i="1"/>
  <c r="BJ115" i="1"/>
  <c r="CH115" i="1"/>
  <c r="CI115" i="1"/>
  <c r="BO115" i="1"/>
  <c r="BQ115" i="1" s="1"/>
  <c r="BN115" i="1" s="1"/>
  <c r="CJ115" i="1"/>
  <c r="BG115" i="3"/>
  <c r="M115" i="1"/>
  <c r="Y115" i="5"/>
  <c r="X115" i="5"/>
  <c r="W115" i="5"/>
  <c r="BD115" i="1"/>
  <c r="BE115" i="3"/>
  <c r="BL115" i="3" s="1"/>
  <c r="BE115" i="1"/>
  <c r="BH115" i="1"/>
  <c r="K115" i="1"/>
  <c r="J115" i="1"/>
  <c r="AP115" i="1"/>
  <c r="AB115" i="5" s="1"/>
  <c r="BF116" i="3"/>
  <c r="AP116" i="3"/>
  <c r="AQ116" i="3" s="1"/>
  <c r="BG116" i="3"/>
  <c r="AS116" i="3"/>
  <c r="BH116" i="3" s="1"/>
  <c r="BO116" i="3" s="1"/>
  <c r="BP116" i="3" a="1"/>
  <c r="BP116" i="3" s="1"/>
  <c r="BT116" i="3" s="1"/>
  <c r="AT116" i="3"/>
  <c r="BJ116" i="3" s="1"/>
  <c r="AX116" i="1"/>
  <c r="N116" i="1"/>
  <c r="AY116" i="1"/>
  <c r="CB116" i="1"/>
  <c r="O116" i="1"/>
  <c r="CC116" i="1"/>
  <c r="AQ116" i="1" s="1"/>
  <c r="BS116" i="1" s="1"/>
  <c r="CE116" i="1"/>
  <c r="BC116" i="1"/>
  <c r="CF116" i="1"/>
  <c r="BI116" i="1"/>
  <c r="BL116" i="1" s="1"/>
  <c r="CG116" i="1"/>
  <c r="AI116" i="1"/>
  <c r="BJ116" i="1"/>
  <c r="CH116" i="1"/>
  <c r="CI116" i="1"/>
  <c r="BO116" i="1"/>
  <c r="BQ116" i="1" s="1"/>
  <c r="BN116" i="1" s="1"/>
  <c r="CJ116" i="1"/>
  <c r="M116" i="1"/>
  <c r="X116" i="5"/>
  <c r="W116" i="5"/>
  <c r="Y116" i="5"/>
  <c r="AC116" i="5"/>
  <c r="BE116" i="3"/>
  <c r="BL116" i="3" s="1"/>
  <c r="J116" i="1"/>
  <c r="AZ116" i="1" s="1"/>
  <c r="BH116" i="1"/>
  <c r="BD116" i="1"/>
  <c r="AP116" i="1"/>
  <c r="AB116" i="5" s="1"/>
  <c r="BE116" i="1"/>
  <c r="K116" i="1"/>
  <c r="BF117" i="3"/>
  <c r="AP117" i="3"/>
  <c r="AQ117" i="3" s="1"/>
  <c r="BG117" i="3"/>
  <c r="AS117" i="3"/>
  <c r="BH117" i="3" s="1"/>
  <c r="BO117" i="3" s="1"/>
  <c r="AT117" i="3"/>
  <c r="BJ117" i="3" s="1"/>
  <c r="BR117" i="3" s="1"/>
  <c r="BV117" i="3" s="1"/>
  <c r="AU117" i="3"/>
  <c r="BP117" i="3" a="1"/>
  <c r="BP117" i="3" s="1"/>
  <c r="AX117" i="3"/>
  <c r="CC117" i="1"/>
  <c r="AQ117" i="1" s="1"/>
  <c r="BS117" i="1" s="1"/>
  <c r="S117" i="1"/>
  <c r="CE117" i="1"/>
  <c r="BC117" i="1"/>
  <c r="CF117" i="1"/>
  <c r="BI117" i="1"/>
  <c r="BL117" i="1" s="1"/>
  <c r="CG117" i="1"/>
  <c r="BJ117" i="1"/>
  <c r="CH117" i="1"/>
  <c r="CI117" i="1"/>
  <c r="BO117" i="1"/>
  <c r="BQ117" i="1" s="1"/>
  <c r="BN117" i="1" s="1"/>
  <c r="CJ117" i="1"/>
  <c r="AX117" i="1"/>
  <c r="N117" i="1"/>
  <c r="AY117" i="1"/>
  <c r="O117" i="1"/>
  <c r="AZ117" i="1"/>
  <c r="CB117" i="1"/>
  <c r="W117" i="5"/>
  <c r="AC117" i="5"/>
  <c r="M117" i="1"/>
  <c r="X117" i="5"/>
  <c r="Y117" i="5"/>
  <c r="BE117" i="3"/>
  <c r="AP117" i="1"/>
  <c r="AB117" i="5" s="1"/>
  <c r="J117" i="1"/>
  <c r="K117" i="1"/>
  <c r="BH117" i="1"/>
  <c r="BF118" i="3"/>
  <c r="AP118" i="3"/>
  <c r="AQ118" i="3" s="1"/>
  <c r="BG118" i="3"/>
  <c r="AS118" i="3"/>
  <c r="BH118" i="3" s="1"/>
  <c r="AT118" i="3"/>
  <c r="AU118" i="3" s="1"/>
  <c r="AX118" i="3"/>
  <c r="BP118" i="3" a="1"/>
  <c r="BP118" i="3" s="1"/>
  <c r="BC118" i="1"/>
  <c r="CG118" i="1"/>
  <c r="AI118" i="1"/>
  <c r="BI118" i="1"/>
  <c r="BL118" i="1" s="1"/>
  <c r="CH118" i="1"/>
  <c r="BJ118" i="1"/>
  <c r="CI118" i="1"/>
  <c r="BO118" i="1"/>
  <c r="BQ118" i="1" s="1"/>
  <c r="BN118" i="1" s="1"/>
  <c r="CJ118" i="1"/>
  <c r="AX118" i="1"/>
  <c r="N118" i="1"/>
  <c r="AY118" i="1"/>
  <c r="CB118" i="1"/>
  <c r="O118" i="1"/>
  <c r="AZ118" i="1"/>
  <c r="CC118" i="1"/>
  <c r="AQ118" i="1" s="1"/>
  <c r="BS118" i="1" s="1"/>
  <c r="CE118" i="1"/>
  <c r="CF118" i="1"/>
  <c r="X118" i="5"/>
  <c r="Y118" i="5"/>
  <c r="W118" i="5"/>
  <c r="BE118" i="3"/>
  <c r="BL118" i="3" s="1"/>
  <c r="J118" i="1"/>
  <c r="AC118" i="5"/>
  <c r="BH118" i="1"/>
  <c r="AP118" i="1"/>
  <c r="AB118" i="5" s="1"/>
  <c r="M118" i="1"/>
  <c r="K118" i="1"/>
  <c r="AS119" i="3"/>
  <c r="BH119" i="3" s="1"/>
  <c r="AT119" i="3"/>
  <c r="BJ119" i="3" s="1"/>
  <c r="BR119" i="3" s="1"/>
  <c r="BV119" i="3" s="1"/>
  <c r="BP119" i="3" a="1"/>
  <c r="BP119" i="3" s="1"/>
  <c r="BT119" i="3" s="1"/>
  <c r="BF119" i="3"/>
  <c r="BG119" i="3"/>
  <c r="BJ119" i="1"/>
  <c r="CH119" i="1"/>
  <c r="CI119" i="1"/>
  <c r="BO119" i="1"/>
  <c r="BQ119" i="1" s="1"/>
  <c r="BN119" i="1" s="1"/>
  <c r="CJ119" i="1"/>
  <c r="N119" i="1"/>
  <c r="AX119" i="1"/>
  <c r="O119" i="1"/>
  <c r="AY119" i="1"/>
  <c r="AZ119" i="1"/>
  <c r="CB119" i="1"/>
  <c r="S119" i="1"/>
  <c r="CC119" i="1"/>
  <c r="AQ119" i="1" s="1"/>
  <c r="BS119" i="1" s="1"/>
  <c r="CE119" i="1"/>
  <c r="BC119" i="1"/>
  <c r="CF119" i="1"/>
  <c r="AI119" i="1"/>
  <c r="BI119" i="1"/>
  <c r="BL119" i="1" s="1"/>
  <c r="CG119" i="1"/>
  <c r="AC119" i="5"/>
  <c r="M119" i="1"/>
  <c r="X119" i="5"/>
  <c r="Y119" i="5"/>
  <c r="W119" i="5"/>
  <c r="BH119" i="1"/>
  <c r="BE119" i="3"/>
  <c r="BE119" i="1"/>
  <c r="BB119" i="3"/>
  <c r="BD119" i="1"/>
  <c r="AP119" i="1"/>
  <c r="AB119" i="5" s="1"/>
  <c r="K119" i="1"/>
  <c r="J119" i="1"/>
  <c r="BF120" i="3"/>
  <c r="BG120" i="3"/>
  <c r="AT120" i="3"/>
  <c r="AU120" i="3" s="1"/>
  <c r="BP120" i="3" a="1"/>
  <c r="BP120" i="3" s="1"/>
  <c r="BT120" i="3" s="1"/>
  <c r="AS120" i="3"/>
  <c r="BH120" i="3" s="1"/>
  <c r="AC120" i="5"/>
  <c r="Y120" i="5"/>
  <c r="BO120" i="1"/>
  <c r="BQ120" i="1" s="1"/>
  <c r="BN120" i="1" s="1"/>
  <c r="CJ120" i="1"/>
  <c r="AX120" i="1"/>
  <c r="N120" i="1"/>
  <c r="AY120" i="1"/>
  <c r="O120" i="1"/>
  <c r="AZ120" i="1"/>
  <c r="CB120" i="1"/>
  <c r="CC120" i="1"/>
  <c r="AQ120" i="1" s="1"/>
  <c r="BS120" i="1" s="1"/>
  <c r="S120" i="1"/>
  <c r="CE120" i="1"/>
  <c r="BC120" i="1"/>
  <c r="CF120" i="1"/>
  <c r="BI120" i="1"/>
  <c r="BL120" i="1" s="1"/>
  <c r="CG120" i="1"/>
  <c r="BJ120" i="1"/>
  <c r="CH120" i="1"/>
  <c r="CI120" i="1"/>
  <c r="M120" i="1"/>
  <c r="X120" i="5"/>
  <c r="BH120" i="1"/>
  <c r="K120" i="1"/>
  <c r="J120" i="1"/>
  <c r="W120" i="5"/>
  <c r="AP120" i="1"/>
  <c r="AB120" i="5" s="1"/>
  <c r="BE120" i="3"/>
  <c r="BE120" i="1"/>
  <c r="BD120" i="1"/>
  <c r="BF121" i="3"/>
  <c r="BG121" i="3"/>
  <c r="AS121" i="3"/>
  <c r="BH121" i="3" s="1"/>
  <c r="BP121" i="3" a="1"/>
  <c r="BP121" i="3" s="1"/>
  <c r="BT121" i="3" s="1"/>
  <c r="AT121" i="3"/>
  <c r="AU121" i="3" s="1"/>
  <c r="X121" i="5"/>
  <c r="W121" i="5"/>
  <c r="N121" i="1"/>
  <c r="AX121" i="1"/>
  <c r="O121" i="1"/>
  <c r="AY121" i="1"/>
  <c r="AZ121" i="1"/>
  <c r="CB121" i="1"/>
  <c r="S121" i="1"/>
  <c r="CC121" i="1"/>
  <c r="AQ121" i="1" s="1"/>
  <c r="BS121" i="1" s="1"/>
  <c r="CE121" i="1"/>
  <c r="BC121" i="1"/>
  <c r="CF121" i="1"/>
  <c r="AI121" i="1"/>
  <c r="BI121" i="1"/>
  <c r="BL121" i="1" s="1"/>
  <c r="CG121" i="1"/>
  <c r="BJ121" i="1"/>
  <c r="CH121" i="1"/>
  <c r="CI121" i="1"/>
  <c r="BO121" i="1"/>
  <c r="BQ121" i="1" s="1"/>
  <c r="BN121" i="1" s="1"/>
  <c r="CJ121" i="1"/>
  <c r="AC121" i="5"/>
  <c r="BE121" i="3"/>
  <c r="Y121" i="5"/>
  <c r="AP121" i="1"/>
  <c r="AB121" i="5" s="1"/>
  <c r="M121" i="1"/>
  <c r="BD121" i="1"/>
  <c r="BE121" i="1"/>
  <c r="J121" i="1"/>
  <c r="K121" i="1"/>
  <c r="BH121" i="1"/>
  <c r="AS122" i="3"/>
  <c r="BH122" i="3" s="1"/>
  <c r="AT122" i="3"/>
  <c r="BB122" i="3" s="1"/>
  <c r="AX122" i="3"/>
  <c r="BP122" i="3" a="1"/>
  <c r="BP122" i="3" s="1"/>
  <c r="BT122" i="3" s="1"/>
  <c r="BG122" i="3"/>
  <c r="BF122" i="3"/>
  <c r="AP122" i="3"/>
  <c r="AY122" i="1"/>
  <c r="CB122" i="1"/>
  <c r="CC122" i="1"/>
  <c r="AQ122" i="1" s="1"/>
  <c r="BS122" i="1" s="1"/>
  <c r="S122" i="1"/>
  <c r="CE122" i="1"/>
  <c r="BC122" i="1"/>
  <c r="CF122" i="1"/>
  <c r="BI122" i="1"/>
  <c r="BL122" i="1" s="1"/>
  <c r="CG122" i="1"/>
  <c r="AI122" i="1"/>
  <c r="BJ122" i="1"/>
  <c r="CH122" i="1"/>
  <c r="CI122" i="1"/>
  <c r="BO122" i="1"/>
  <c r="BQ122" i="1" s="1"/>
  <c r="BN122" i="1" s="1"/>
  <c r="CJ122" i="1"/>
  <c r="AX122" i="1"/>
  <c r="AC122" i="5"/>
  <c r="W122" i="5"/>
  <c r="X122" i="5"/>
  <c r="AP122" i="1"/>
  <c r="AB122" i="5" s="1"/>
  <c r="Y122" i="5"/>
  <c r="BD122" i="1"/>
  <c r="BE122" i="3"/>
  <c r="BL122" i="3" s="1"/>
  <c r="J122" i="1"/>
  <c r="M122" i="1"/>
  <c r="K122" i="1"/>
  <c r="BH122" i="1"/>
  <c r="BE122" i="1"/>
  <c r="BF123" i="3"/>
  <c r="AS123" i="3"/>
  <c r="BH123" i="3" s="1"/>
  <c r="BP123" i="3" a="1"/>
  <c r="BP123" i="3" s="1"/>
  <c r="AT123" i="3"/>
  <c r="BJ123" i="3" s="1"/>
  <c r="BR123" i="3" s="1"/>
  <c r="BV123" i="3" s="1"/>
  <c r="AC123" i="5"/>
  <c r="Y123" i="5"/>
  <c r="X123" i="5"/>
  <c r="W123" i="5"/>
  <c r="S123" i="1"/>
  <c r="CE123" i="1"/>
  <c r="BC123" i="1"/>
  <c r="CF123" i="1"/>
  <c r="BI123" i="1"/>
  <c r="BL123" i="1" s="1"/>
  <c r="CG123" i="1"/>
  <c r="BJ123" i="1"/>
  <c r="CH123" i="1"/>
  <c r="CI123" i="1"/>
  <c r="BO123" i="1"/>
  <c r="BQ123" i="1" s="1"/>
  <c r="BN123" i="1" s="1"/>
  <c r="CJ123" i="1"/>
  <c r="AX123" i="1"/>
  <c r="N123" i="1"/>
  <c r="AY123" i="1"/>
  <c r="O123" i="1"/>
  <c r="AZ123" i="1"/>
  <c r="CB123" i="1"/>
  <c r="CC123" i="1"/>
  <c r="AQ123" i="1" s="1"/>
  <c r="BS123" i="1" s="1"/>
  <c r="M123" i="1"/>
  <c r="BG123" i="3"/>
  <c r="BE123" i="3"/>
  <c r="BL123" i="3" s="1"/>
  <c r="J123" i="1"/>
  <c r="BH123" i="1"/>
  <c r="BE123" i="1"/>
  <c r="BD123" i="1"/>
  <c r="K123" i="1"/>
  <c r="AP123" i="1"/>
  <c r="AB123" i="5" s="1"/>
  <c r="AS125" i="3"/>
  <c r="BH125" i="3" s="1"/>
  <c r="AT125" i="3"/>
  <c r="AX125" i="3"/>
  <c r="BP125" i="3" a="1"/>
  <c r="BP125" i="3" s="1"/>
  <c r="BB125" i="3"/>
  <c r="BF125" i="3"/>
  <c r="BO125" i="3" s="1"/>
  <c r="AP125" i="3"/>
  <c r="AQ125" i="3" s="1"/>
  <c r="AC125" i="5"/>
  <c r="Y125" i="5"/>
  <c r="X125" i="5"/>
  <c r="BO125" i="1"/>
  <c r="BQ125" i="1" s="1"/>
  <c r="BN125" i="1" s="1"/>
  <c r="CJ125" i="1"/>
  <c r="AX125" i="1"/>
  <c r="N125" i="1"/>
  <c r="AY125" i="1"/>
  <c r="CB125" i="1"/>
  <c r="O125" i="1"/>
  <c r="CC125" i="1"/>
  <c r="AQ125" i="1" s="1"/>
  <c r="BS125" i="1" s="1"/>
  <c r="CE125" i="1"/>
  <c r="BC125" i="1"/>
  <c r="CF125" i="1"/>
  <c r="BI125" i="1"/>
  <c r="BL125" i="1" s="1"/>
  <c r="CG125" i="1"/>
  <c r="AI125" i="1"/>
  <c r="BJ125" i="1"/>
  <c r="CH125" i="1"/>
  <c r="CI125" i="1"/>
  <c r="BG125" i="3"/>
  <c r="M125" i="1"/>
  <c r="W125" i="5"/>
  <c r="BE125" i="3"/>
  <c r="BH125" i="1"/>
  <c r="BE125" i="1"/>
  <c r="K125" i="1"/>
  <c r="J125" i="1"/>
  <c r="AZ125" i="1" s="1"/>
  <c r="BD125" i="1"/>
  <c r="AP125" i="1"/>
  <c r="AB125" i="5" s="1"/>
  <c r="BF126" i="3"/>
  <c r="AP126" i="3"/>
  <c r="AQ126" i="3" s="1"/>
  <c r="AT126" i="3"/>
  <c r="BJ126" i="3" s="1"/>
  <c r="AX126" i="3"/>
  <c r="AS126" i="3"/>
  <c r="BH126" i="3" s="1"/>
  <c r="BO126" i="3" s="1"/>
  <c r="BP126" i="3" a="1"/>
  <c r="BP126" i="3" s="1"/>
  <c r="BT126" i="3" s="1"/>
  <c r="N126" i="1"/>
  <c r="AX126" i="1"/>
  <c r="O126" i="1"/>
  <c r="AY126" i="1"/>
  <c r="AZ126" i="1"/>
  <c r="CB126" i="1"/>
  <c r="S126" i="1"/>
  <c r="CC126" i="1"/>
  <c r="AQ126" i="1" s="1"/>
  <c r="BS126" i="1" s="1"/>
  <c r="CE126" i="1"/>
  <c r="BC126" i="1"/>
  <c r="CF126" i="1"/>
  <c r="AI126" i="1"/>
  <c r="BI126" i="1"/>
  <c r="BL126" i="1" s="1"/>
  <c r="CG126" i="1"/>
  <c r="BJ126" i="1"/>
  <c r="CH126" i="1"/>
  <c r="CI126" i="1"/>
  <c r="BO126" i="1"/>
  <c r="BQ126" i="1" s="1"/>
  <c r="BN126" i="1" s="1"/>
  <c r="CJ126" i="1"/>
  <c r="BB126" i="3"/>
  <c r="AC126" i="5"/>
  <c r="BG126" i="3"/>
  <c r="W126" i="5"/>
  <c r="K126" i="1"/>
  <c r="BH126" i="1"/>
  <c r="Y126" i="5"/>
  <c r="M126" i="1"/>
  <c r="X126" i="5"/>
  <c r="AP126" i="1"/>
  <c r="AB126" i="5" s="1"/>
  <c r="BE126" i="3"/>
  <c r="J126" i="1"/>
  <c r="AP127" i="3"/>
  <c r="AQ127" i="3" s="1"/>
  <c r="BP127" i="3" a="1"/>
  <c r="BP127" i="3" s="1"/>
  <c r="AS127" i="3"/>
  <c r="BH127" i="3" s="1"/>
  <c r="BQ127" i="3"/>
  <c r="AT127" i="3"/>
  <c r="BJ127" i="3" s="1"/>
  <c r="BR127" i="3" s="1"/>
  <c r="BV127" i="3" s="1"/>
  <c r="AX127" i="3"/>
  <c r="BF127" i="3"/>
  <c r="BC127" i="3" s="1"/>
  <c r="BE127" i="3"/>
  <c r="AC127" i="5"/>
  <c r="CB127" i="1"/>
  <c r="CC127" i="1"/>
  <c r="AQ127" i="1" s="1"/>
  <c r="BS127" i="1" s="1"/>
  <c r="S127" i="1"/>
  <c r="BC127" i="1"/>
  <c r="CE127" i="1"/>
  <c r="BI127" i="1"/>
  <c r="BL127" i="1" s="1"/>
  <c r="CF127" i="1"/>
  <c r="BJ127" i="1"/>
  <c r="CG127" i="1"/>
  <c r="CH127" i="1"/>
  <c r="BO127" i="1"/>
  <c r="BQ127" i="1" s="1"/>
  <c r="BN127" i="1" s="1"/>
  <c r="CI127" i="1"/>
  <c r="CJ127" i="1"/>
  <c r="AX127" i="1"/>
  <c r="AY127" i="1"/>
  <c r="AZ127" i="1"/>
  <c r="BB127" i="3"/>
  <c r="BN127" i="3" s="1"/>
  <c r="Y127" i="5"/>
  <c r="BG127" i="3"/>
  <c r="X127" i="5"/>
  <c r="W127" i="5"/>
  <c r="K127" i="1"/>
  <c r="AP127" i="1"/>
  <c r="AB127" i="5" s="1"/>
  <c r="J127" i="1"/>
  <c r="M127" i="1"/>
  <c r="BH127" i="1"/>
  <c r="BB128" i="3"/>
  <c r="BF128" i="3"/>
  <c r="BG128" i="3"/>
  <c r="AS128" i="3"/>
  <c r="BH128" i="3" s="1"/>
  <c r="AT128" i="3"/>
  <c r="BJ128" i="3" s="1"/>
  <c r="BP128" i="3" a="1"/>
  <c r="BP128" i="3" s="1"/>
  <c r="BT128" i="3" s="1"/>
  <c r="AU128" i="3"/>
  <c r="S128" i="1"/>
  <c r="CE128" i="1"/>
  <c r="BC128" i="1"/>
  <c r="CF128" i="1"/>
  <c r="BI128" i="1"/>
  <c r="BL128" i="1" s="1"/>
  <c r="CG128" i="1"/>
  <c r="BJ128" i="1"/>
  <c r="CH128" i="1"/>
  <c r="CI128" i="1"/>
  <c r="BO128" i="1"/>
  <c r="BQ128" i="1" s="1"/>
  <c r="BN128" i="1" s="1"/>
  <c r="CJ128" i="1"/>
  <c r="AX128" i="1"/>
  <c r="N128" i="1"/>
  <c r="AY128" i="1"/>
  <c r="O128" i="1"/>
  <c r="AZ128" i="1"/>
  <c r="CB128" i="1"/>
  <c r="CC128" i="1"/>
  <c r="AQ128" i="1" s="1"/>
  <c r="BS128" i="1" s="1"/>
  <c r="AC128" i="5"/>
  <c r="BE128" i="3"/>
  <c r="X128" i="5"/>
  <c r="Y128" i="5"/>
  <c r="K128" i="1"/>
  <c r="W128" i="5"/>
  <c r="BH128" i="1"/>
  <c r="J128" i="1"/>
  <c r="M128" i="1"/>
  <c r="AP128" i="1"/>
  <c r="AB128" i="5" s="1"/>
  <c r="AP129" i="3"/>
  <c r="AQ129" i="3" s="1"/>
  <c r="BP129" i="3" a="1"/>
  <c r="BP129" i="3" s="1"/>
  <c r="BT129" i="3" s="1"/>
  <c r="AS129" i="3"/>
  <c r="BH129" i="3" s="1"/>
  <c r="BO129" i="3" s="1"/>
  <c r="AT129" i="3"/>
  <c r="BJ129" i="3" s="1"/>
  <c r="BR129" i="3" s="1"/>
  <c r="BV129" i="3" s="1"/>
  <c r="AX129" i="3"/>
  <c r="BF129" i="3"/>
  <c r="BI129" i="1"/>
  <c r="BL129" i="1" s="1"/>
  <c r="CG129" i="1"/>
  <c r="AI129" i="1"/>
  <c r="BJ129" i="1"/>
  <c r="CH129" i="1"/>
  <c r="CI129" i="1"/>
  <c r="BO129" i="1"/>
  <c r="BQ129" i="1" s="1"/>
  <c r="BN129" i="1" s="1"/>
  <c r="CJ129" i="1"/>
  <c r="N129" i="1"/>
  <c r="AX129" i="1"/>
  <c r="O129" i="1"/>
  <c r="AY129" i="1"/>
  <c r="CB129" i="1"/>
  <c r="CC129" i="1"/>
  <c r="AQ129" i="1" s="1"/>
  <c r="BS129" i="1" s="1"/>
  <c r="S129" i="1"/>
  <c r="CE129" i="1"/>
  <c r="BC129" i="1"/>
  <c r="CF129" i="1"/>
  <c r="X129" i="5"/>
  <c r="AC129" i="5"/>
  <c r="M129" i="1"/>
  <c r="BG129" i="3"/>
  <c r="Y129" i="5"/>
  <c r="W129" i="5"/>
  <c r="BE129" i="3"/>
  <c r="BH129" i="1"/>
  <c r="AU129" i="3"/>
  <c r="BB129" i="3"/>
  <c r="BN129" i="3" s="1"/>
  <c r="J129" i="1"/>
  <c r="BU129" i="1" s="1"/>
  <c r="AP129" i="1"/>
  <c r="AB129" i="5" s="1"/>
  <c r="K129" i="1"/>
  <c r="BF130" i="3"/>
  <c r="BG130" i="3"/>
  <c r="AP130" i="3"/>
  <c r="AQ130" i="3" s="1"/>
  <c r="AS130" i="3"/>
  <c r="BH130" i="3" s="1"/>
  <c r="AX130" i="3"/>
  <c r="BP130" i="3" a="1"/>
  <c r="BP130" i="3" s="1"/>
  <c r="BT130" i="3" s="1"/>
  <c r="AT130" i="3"/>
  <c r="BJ130" i="1"/>
  <c r="CI130" i="1"/>
  <c r="BO130" i="1"/>
  <c r="CJ130" i="1"/>
  <c r="N130" i="1"/>
  <c r="AX130" i="1"/>
  <c r="O130" i="1"/>
  <c r="AY130" i="1"/>
  <c r="CB130" i="1"/>
  <c r="AZ130" i="1"/>
  <c r="CC130" i="1"/>
  <c r="AQ130" i="1" s="1"/>
  <c r="BS130" i="1" s="1"/>
  <c r="S130" i="1"/>
  <c r="CE130" i="1"/>
  <c r="CF130" i="1"/>
  <c r="BC130" i="1"/>
  <c r="CG130" i="1"/>
  <c r="AI130" i="1"/>
  <c r="BI130" i="1"/>
  <c r="BL130" i="1" s="1"/>
  <c r="CH130" i="1"/>
  <c r="Y130" i="5"/>
  <c r="W130" i="5"/>
  <c r="BE130" i="3"/>
  <c r="BL130" i="3" s="1"/>
  <c r="X130" i="5"/>
  <c r="AU130" i="3"/>
  <c r="AC130" i="5"/>
  <c r="BD130" i="1"/>
  <c r="AP130" i="1"/>
  <c r="AB130" i="5" s="1"/>
  <c r="M130" i="1"/>
  <c r="BE130" i="1"/>
  <c r="J130" i="1"/>
  <c r="BH130" i="1"/>
  <c r="K130" i="1"/>
  <c r="BF131" i="3"/>
  <c r="BG131" i="3"/>
  <c r="AP131" i="3"/>
  <c r="AQ131" i="3" s="1"/>
  <c r="AS131" i="3"/>
  <c r="BH131" i="3" s="1"/>
  <c r="BO131" i="3" s="1"/>
  <c r="AT131" i="3"/>
  <c r="BP131" i="3" a="1"/>
  <c r="BP131" i="3" s="1"/>
  <c r="BT131" i="3" s="1"/>
  <c r="AX131" i="3"/>
  <c r="BO131" i="1"/>
  <c r="BQ131" i="1" s="1"/>
  <c r="BN131" i="1" s="1"/>
  <c r="CJ131" i="1"/>
  <c r="N131" i="1"/>
  <c r="AX131" i="1"/>
  <c r="O131" i="1"/>
  <c r="AY131" i="1"/>
  <c r="AZ131" i="1"/>
  <c r="CB131" i="1"/>
  <c r="S131" i="1"/>
  <c r="CC131" i="1"/>
  <c r="AQ131" i="1" s="1"/>
  <c r="BS131" i="1" s="1"/>
  <c r="CE131" i="1"/>
  <c r="BC131" i="1"/>
  <c r="CF131" i="1"/>
  <c r="AI131" i="1"/>
  <c r="BI131" i="1"/>
  <c r="BL131" i="1" s="1"/>
  <c r="CG131" i="1"/>
  <c r="BJ131" i="1"/>
  <c r="CH131" i="1"/>
  <c r="CI131" i="1"/>
  <c r="AC131" i="5"/>
  <c r="M131" i="1"/>
  <c r="W131" i="5"/>
  <c r="BE131" i="3"/>
  <c r="BL131" i="3" s="1"/>
  <c r="AU131" i="3"/>
  <c r="X131" i="5"/>
  <c r="BH131" i="1"/>
  <c r="J131" i="1"/>
  <c r="BU131" i="1" s="1"/>
  <c r="Y131" i="5"/>
  <c r="K131" i="1"/>
  <c r="AP131" i="1"/>
  <c r="AB131" i="5" s="1"/>
  <c r="BP132" i="3" a="1"/>
  <c r="BP132" i="3" s="1"/>
  <c r="AS132" i="3"/>
  <c r="BH132" i="3" s="1"/>
  <c r="BO132" i="3" s="1"/>
  <c r="AT132" i="3"/>
  <c r="BJ132" i="3" s="1"/>
  <c r="BR132" i="3" s="1"/>
  <c r="BV132" i="3" s="1"/>
  <c r="BF132" i="3"/>
  <c r="AC132" i="5"/>
  <c r="Y132" i="5"/>
  <c r="AX132" i="1"/>
  <c r="N132" i="1"/>
  <c r="AY132" i="1"/>
  <c r="O132" i="1"/>
  <c r="AZ132" i="1"/>
  <c r="CB132" i="1"/>
  <c r="CC132" i="1"/>
  <c r="AQ132" i="1" s="1"/>
  <c r="BS132" i="1" s="1"/>
  <c r="S132" i="1"/>
  <c r="CE132" i="1"/>
  <c r="BC132" i="1"/>
  <c r="CF132" i="1"/>
  <c r="BI132" i="1"/>
  <c r="BL132" i="1" s="1"/>
  <c r="CG132" i="1"/>
  <c r="BJ132" i="1"/>
  <c r="CH132" i="1"/>
  <c r="CI132" i="1"/>
  <c r="BO132" i="1"/>
  <c r="BQ132" i="1" s="1"/>
  <c r="BN132" i="1" s="1"/>
  <c r="CJ132" i="1"/>
  <c r="M132" i="1"/>
  <c r="W132" i="5"/>
  <c r="BG132" i="3"/>
  <c r="X132" i="5"/>
  <c r="AU132" i="3"/>
  <c r="BE132" i="3"/>
  <c r="BH132" i="1"/>
  <c r="BE132" i="1"/>
  <c r="K132" i="1"/>
  <c r="BD132" i="1"/>
  <c r="J132" i="1"/>
  <c r="AP132" i="1"/>
  <c r="AB132" i="5" s="1"/>
  <c r="BG133" i="3"/>
  <c r="AP133" i="3"/>
  <c r="AQ133" i="3" s="1"/>
  <c r="AS133" i="3"/>
  <c r="BH133" i="3" s="1"/>
  <c r="AT133" i="3"/>
  <c r="BB133" i="3" s="1"/>
  <c r="BF133" i="3"/>
  <c r="BP133" i="3" a="1"/>
  <c r="BP133" i="3" s="1"/>
  <c r="BT133" i="3" s="1"/>
  <c r="X133" i="5"/>
  <c r="W133" i="5"/>
  <c r="N133" i="1"/>
  <c r="AY133" i="1"/>
  <c r="O133" i="1"/>
  <c r="AZ133" i="1"/>
  <c r="CB133" i="1"/>
  <c r="CC133" i="1"/>
  <c r="AQ133" i="1" s="1"/>
  <c r="BS133" i="1" s="1"/>
  <c r="S133" i="1"/>
  <c r="CE133" i="1"/>
  <c r="BC133" i="1"/>
  <c r="CF133" i="1"/>
  <c r="BI133" i="1"/>
  <c r="BL133" i="1" s="1"/>
  <c r="CG133" i="1"/>
  <c r="BJ133" i="1"/>
  <c r="CH133" i="1"/>
  <c r="CI133" i="1"/>
  <c r="BO133" i="1"/>
  <c r="BQ133" i="1" s="1"/>
  <c r="BN133" i="1" s="1"/>
  <c r="CJ133" i="1"/>
  <c r="AX133" i="1"/>
  <c r="AC133" i="5"/>
  <c r="M133" i="1"/>
  <c r="Y133" i="5"/>
  <c r="BE133" i="3"/>
  <c r="J133" i="1"/>
  <c r="BH133" i="1"/>
  <c r="K133" i="1"/>
  <c r="AP133" i="1"/>
  <c r="AB133" i="5" s="1"/>
  <c r="AP134" i="3"/>
  <c r="AQ134" i="3" s="1"/>
  <c r="BP134" i="3" a="1"/>
  <c r="BP134" i="3" s="1"/>
  <c r="BT134" i="3" s="1"/>
  <c r="AS134" i="3"/>
  <c r="BH134" i="3" s="1"/>
  <c r="AT134" i="3"/>
  <c r="BJ134" i="3" s="1"/>
  <c r="BR134" i="3" s="1"/>
  <c r="BV134" i="3" s="1"/>
  <c r="BF134" i="3"/>
  <c r="CC134" i="1"/>
  <c r="AQ134" i="1" s="1"/>
  <c r="BS134" i="1" s="1"/>
  <c r="S134" i="1"/>
  <c r="CE134" i="1"/>
  <c r="BC134" i="1"/>
  <c r="CF134" i="1"/>
  <c r="BI134" i="1"/>
  <c r="BL134" i="1" s="1"/>
  <c r="CG134" i="1"/>
  <c r="BJ134" i="1"/>
  <c r="CH134" i="1"/>
  <c r="CI134" i="1"/>
  <c r="BO134" i="1"/>
  <c r="BQ134" i="1" s="1"/>
  <c r="BN134" i="1" s="1"/>
  <c r="CJ134" i="1"/>
  <c r="AX134" i="1"/>
  <c r="N134" i="1"/>
  <c r="AY134" i="1"/>
  <c r="O134" i="1"/>
  <c r="AZ134" i="1"/>
  <c r="CB134" i="1"/>
  <c r="BG134" i="3"/>
  <c r="AC134" i="5"/>
  <c r="X134" i="5"/>
  <c r="W134" i="5"/>
  <c r="Y134" i="5"/>
  <c r="BE134" i="3"/>
  <c r="BL134" i="3" s="1"/>
  <c r="AP134" i="1"/>
  <c r="AB134" i="5" s="1"/>
  <c r="AU134" i="3"/>
  <c r="BD134" i="1"/>
  <c r="J134" i="1"/>
  <c r="M134" i="1"/>
  <c r="BH134" i="1"/>
  <c r="BE134" i="1"/>
  <c r="K134" i="1"/>
  <c r="BB135" i="3"/>
  <c r="AP135" i="3"/>
  <c r="AQ135" i="3" s="1"/>
  <c r="BF135" i="3"/>
  <c r="AT135" i="3"/>
  <c r="BJ135" i="3" s="1"/>
  <c r="BP135" i="3" a="1"/>
  <c r="BP135" i="3" s="1"/>
  <c r="BT135" i="3" s="1"/>
  <c r="AS135" i="3"/>
  <c r="BH135" i="3" s="1"/>
  <c r="AU135" i="3"/>
  <c r="AX135" i="3"/>
  <c r="BG135" i="3"/>
  <c r="AC135" i="5"/>
  <c r="Y135" i="5"/>
  <c r="X135" i="5"/>
  <c r="W135" i="5"/>
  <c r="BI135" i="1"/>
  <c r="BL135" i="1" s="1"/>
  <c r="CG135" i="1"/>
  <c r="AI135" i="1"/>
  <c r="BJ135" i="1"/>
  <c r="CH135" i="1"/>
  <c r="CI135" i="1"/>
  <c r="BO135" i="1"/>
  <c r="BQ135" i="1" s="1"/>
  <c r="BN135" i="1" s="1"/>
  <c r="CJ135" i="1"/>
  <c r="AX135" i="1"/>
  <c r="N135" i="1"/>
  <c r="AY135" i="1"/>
  <c r="CB135" i="1"/>
  <c r="O135" i="1"/>
  <c r="CC135" i="1"/>
  <c r="AQ135" i="1" s="1"/>
  <c r="BS135" i="1" s="1"/>
  <c r="CE135" i="1"/>
  <c r="BC135" i="1"/>
  <c r="CF135" i="1"/>
  <c r="M135" i="1"/>
  <c r="BE135" i="3"/>
  <c r="BL135" i="3" s="1"/>
  <c r="J135" i="1"/>
  <c r="AZ135" i="1" s="1"/>
  <c r="BH135" i="1"/>
  <c r="AP135" i="1"/>
  <c r="AB135" i="5" s="1"/>
  <c r="K135" i="1"/>
  <c r="BD135" i="1"/>
  <c r="BE135" i="1"/>
  <c r="BF136" i="3"/>
  <c r="AP136" i="3"/>
  <c r="AQ136" i="3" s="1"/>
  <c r="AX136" i="3"/>
  <c r="BP136" i="3" a="1"/>
  <c r="BP136" i="3" s="1"/>
  <c r="BT136" i="3" s="1"/>
  <c r="BG136" i="3"/>
  <c r="AS136" i="3"/>
  <c r="BH136" i="3" s="1"/>
  <c r="BO136" i="3" s="1"/>
  <c r="AT136" i="3"/>
  <c r="BJ136" i="3" s="1"/>
  <c r="BJ136" i="1"/>
  <c r="CI136" i="1"/>
  <c r="BO136" i="1"/>
  <c r="BQ136" i="1" s="1"/>
  <c r="BN136" i="1" s="1"/>
  <c r="CJ136" i="1"/>
  <c r="N136" i="1"/>
  <c r="AX136" i="1"/>
  <c r="O136" i="1"/>
  <c r="AY136" i="1"/>
  <c r="CB136" i="1"/>
  <c r="AZ136" i="1"/>
  <c r="CC136" i="1"/>
  <c r="AQ136" i="1" s="1"/>
  <c r="BS136" i="1" s="1"/>
  <c r="S136" i="1"/>
  <c r="CE136" i="1"/>
  <c r="CF136" i="1"/>
  <c r="BC136" i="1"/>
  <c r="CG136" i="1"/>
  <c r="AI136" i="1"/>
  <c r="BI136" i="1"/>
  <c r="BL136" i="1" s="1"/>
  <c r="CH136" i="1"/>
  <c r="M136" i="1"/>
  <c r="AC136" i="5"/>
  <c r="W136" i="5"/>
  <c r="BB136" i="3"/>
  <c r="AU136" i="3"/>
  <c r="X136" i="5"/>
  <c r="BE136" i="3"/>
  <c r="Y136" i="5"/>
  <c r="BD136" i="1"/>
  <c r="BH136" i="1"/>
  <c r="J136" i="1"/>
  <c r="AP136" i="1"/>
  <c r="AB136" i="5" s="1"/>
  <c r="BE136" i="1"/>
  <c r="K136" i="1"/>
  <c r="BG137" i="3"/>
  <c r="AP137" i="3"/>
  <c r="AQ137" i="3" s="1"/>
  <c r="BQ137" i="3"/>
  <c r="AT137" i="3"/>
  <c r="AU137" i="3"/>
  <c r="BF137" i="3"/>
  <c r="BC137" i="3" s="1"/>
  <c r="BP137" i="3" a="1"/>
  <c r="BP137" i="3" s="1"/>
  <c r="BT137" i="3" s="1"/>
  <c r="AS137" i="3"/>
  <c r="BH137" i="3" s="1"/>
  <c r="AC137" i="5"/>
  <c r="Y137" i="5"/>
  <c r="X137" i="5"/>
  <c r="AX137" i="1"/>
  <c r="AY137" i="1"/>
  <c r="N137" i="1"/>
  <c r="AV393" i="3" s="1"/>
  <c r="BR409" i="1" s="1"/>
  <c r="AZ137" i="1"/>
  <c r="CB137" i="1"/>
  <c r="O137" i="1"/>
  <c r="CC137" i="1"/>
  <c r="AQ137" i="1" s="1"/>
  <c r="BS137" i="1" s="1"/>
  <c r="CE137" i="1"/>
  <c r="BC137" i="1"/>
  <c r="CF137" i="1"/>
  <c r="AI137" i="1"/>
  <c r="BI137" i="1"/>
  <c r="BL137" i="1" s="1"/>
  <c r="CG137" i="1"/>
  <c r="BJ137" i="1"/>
  <c r="CH137" i="1"/>
  <c r="CI137" i="1"/>
  <c r="BO137" i="1"/>
  <c r="BQ137" i="1" s="1"/>
  <c r="BN137" i="1" s="1"/>
  <c r="CJ137" i="1"/>
  <c r="W137" i="5"/>
  <c r="BE137" i="3"/>
  <c r="BL137" i="3" s="1"/>
  <c r="BI137" i="3"/>
  <c r="BD137" i="1"/>
  <c r="J137" i="1"/>
  <c r="M137" i="1"/>
  <c r="AP137" i="1"/>
  <c r="AB137" i="5" s="1"/>
  <c r="BE137" i="1"/>
  <c r="K137" i="1"/>
  <c r="BH137" i="1"/>
  <c r="AS138" i="3"/>
  <c r="BH138" i="3" s="1"/>
  <c r="BF138" i="3"/>
  <c r="BG138" i="3"/>
  <c r="BP138" i="3" a="1"/>
  <c r="BP138" i="3" s="1"/>
  <c r="BT138" i="3" s="1"/>
  <c r="AT138" i="3"/>
  <c r="J138" i="1"/>
  <c r="AX138" i="1"/>
  <c r="N138" i="1"/>
  <c r="AY138" i="1"/>
  <c r="O138" i="1"/>
  <c r="AZ138" i="1"/>
  <c r="CB138" i="1"/>
  <c r="CC138" i="1"/>
  <c r="AQ138" i="1" s="1"/>
  <c r="BS138" i="1" s="1"/>
  <c r="S138" i="1"/>
  <c r="CE138" i="1"/>
  <c r="BC138" i="1"/>
  <c r="CF138" i="1"/>
  <c r="BI138" i="1"/>
  <c r="BL138" i="1" s="1"/>
  <c r="CG138" i="1"/>
  <c r="BJ138" i="1"/>
  <c r="CH138" i="1"/>
  <c r="CI138" i="1"/>
  <c r="BO138" i="1"/>
  <c r="BQ138" i="1" s="1"/>
  <c r="BN138" i="1" s="1"/>
  <c r="CJ138" i="1"/>
  <c r="M138" i="1"/>
  <c r="AC138" i="5"/>
  <c r="Y138" i="5"/>
  <c r="AP138" i="1"/>
  <c r="AB138" i="5" s="1"/>
  <c r="W138" i="5"/>
  <c r="X138" i="5"/>
  <c r="AU138" i="3"/>
  <c r="BH138" i="1"/>
  <c r="BE138" i="1"/>
  <c r="BE138" i="3"/>
  <c r="BL138" i="3" s="1"/>
  <c r="BD138" i="1"/>
  <c r="K138" i="1"/>
  <c r="AT139" i="3"/>
  <c r="BJ139" i="3" s="1"/>
  <c r="BB139" i="3"/>
  <c r="BF139" i="3"/>
  <c r="BG139" i="3"/>
  <c r="AS139" i="3"/>
  <c r="BH139" i="3" s="1"/>
  <c r="BP139" i="3" a="1"/>
  <c r="BP139" i="3" s="1"/>
  <c r="BT139" i="3" s="1"/>
  <c r="AC139" i="5"/>
  <c r="O139" i="1"/>
  <c r="AY139" i="1"/>
  <c r="AZ139" i="1"/>
  <c r="CB139" i="1"/>
  <c r="S139" i="1"/>
  <c r="CC139" i="1"/>
  <c r="AQ139" i="1" s="1"/>
  <c r="BS139" i="1" s="1"/>
  <c r="CE139" i="1"/>
  <c r="BC139" i="1"/>
  <c r="CF139" i="1"/>
  <c r="AI139" i="1"/>
  <c r="BI139" i="1"/>
  <c r="BL139" i="1" s="1"/>
  <c r="CG139" i="1"/>
  <c r="BJ139" i="1"/>
  <c r="CH139" i="1"/>
  <c r="CI139" i="1"/>
  <c r="BO139" i="1"/>
  <c r="BQ139" i="1" s="1"/>
  <c r="BN139" i="1" s="1"/>
  <c r="CJ139" i="1"/>
  <c r="N139" i="1"/>
  <c r="AX139" i="1"/>
  <c r="M139" i="1"/>
  <c r="Y139" i="5"/>
  <c r="W139" i="5"/>
  <c r="AP139" i="1"/>
  <c r="AB139" i="5" s="1"/>
  <c r="X139" i="5"/>
  <c r="BE139" i="3"/>
  <c r="AU139" i="3"/>
  <c r="K139" i="1"/>
  <c r="BH139" i="1"/>
  <c r="J139" i="1"/>
  <c r="BU139" i="1" s="1"/>
  <c r="AX160" i="3"/>
  <c r="BP160" i="3" a="1"/>
  <c r="BP160" i="3" s="1"/>
  <c r="BT160" i="3" s="1"/>
  <c r="BG160" i="3"/>
  <c r="AS160" i="3"/>
  <c r="BH160" i="3" s="1"/>
  <c r="BO160" i="3" s="1"/>
  <c r="AT160" i="3"/>
  <c r="BJ160" i="3" s="1"/>
  <c r="BF160" i="3"/>
  <c r="AP160" i="3"/>
  <c r="AQ160" i="3" s="1"/>
  <c r="AX160" i="1"/>
  <c r="AY160" i="1"/>
  <c r="J160" i="1"/>
  <c r="AZ160" i="1"/>
  <c r="CB160" i="1"/>
  <c r="CC160" i="1"/>
  <c r="AQ160" i="1" s="1"/>
  <c r="BS160" i="1" s="1"/>
  <c r="S160" i="1"/>
  <c r="CE160" i="1"/>
  <c r="BC160" i="1"/>
  <c r="CF160" i="1"/>
  <c r="BI160" i="1"/>
  <c r="BL160" i="1" s="1"/>
  <c r="CG160" i="1"/>
  <c r="BJ160" i="1"/>
  <c r="CH160" i="1"/>
  <c r="CI160" i="1"/>
  <c r="BO160" i="1"/>
  <c r="BQ160" i="1" s="1"/>
  <c r="BN160" i="1" s="1"/>
  <c r="CJ160" i="1"/>
  <c r="AC160" i="5"/>
  <c r="X160" i="5"/>
  <c r="BE160" i="3"/>
  <c r="BL160" i="3" s="1"/>
  <c r="Y160" i="5"/>
  <c r="W160" i="5"/>
  <c r="K160" i="1"/>
  <c r="M160" i="1"/>
  <c r="AP160" i="1"/>
  <c r="AB160" i="5" s="1"/>
  <c r="BE160" i="1"/>
  <c r="BH160" i="1"/>
  <c r="BD160" i="1"/>
  <c r="BF161" i="3"/>
  <c r="BP161" i="3" a="1"/>
  <c r="BP161" i="3" s="1"/>
  <c r="BT161" i="3" s="1"/>
  <c r="AX161" i="3"/>
  <c r="AS161" i="3"/>
  <c r="BH161" i="3" s="1"/>
  <c r="Y161" i="5"/>
  <c r="AC161" i="5"/>
  <c r="O161" i="1"/>
  <c r="AZ161" i="1"/>
  <c r="CB161" i="1"/>
  <c r="CC161" i="1"/>
  <c r="AQ161" i="1" s="1"/>
  <c r="BS161" i="1" s="1"/>
  <c r="S161" i="1"/>
  <c r="CE161" i="1"/>
  <c r="BC161" i="1"/>
  <c r="CF161" i="1"/>
  <c r="BI161" i="1"/>
  <c r="BL161" i="1" s="1"/>
  <c r="CG161" i="1"/>
  <c r="BJ161" i="1"/>
  <c r="CH161" i="1"/>
  <c r="CI161" i="1"/>
  <c r="BO161" i="1"/>
  <c r="BQ161" i="1" s="1"/>
  <c r="BN161" i="1" s="1"/>
  <c r="CJ161" i="1"/>
  <c r="AX161" i="1"/>
  <c r="N161" i="1"/>
  <c r="AY161" i="1"/>
  <c r="W161" i="5"/>
  <c r="BG161" i="3"/>
  <c r="X161" i="5"/>
  <c r="BD161" i="1"/>
  <c r="BE161" i="1"/>
  <c r="M161" i="1"/>
  <c r="BH161" i="1"/>
  <c r="AP161" i="1"/>
  <c r="AB161" i="5" s="1"/>
  <c r="J161" i="1"/>
  <c r="K161" i="1"/>
  <c r="AS162" i="3"/>
  <c r="BH162" i="3" s="1"/>
  <c r="BP162" i="3" a="1"/>
  <c r="BP162" i="3" s="1"/>
  <c r="BT162" i="3" s="1"/>
  <c r="AT162" i="3"/>
  <c r="AX162" i="3"/>
  <c r="BG162" i="3"/>
  <c r="AP162" i="3"/>
  <c r="AQ162" i="3" s="1"/>
  <c r="BF162" i="3"/>
  <c r="BC162" i="1"/>
  <c r="CF162" i="1"/>
  <c r="BI162" i="1"/>
  <c r="BL162" i="1" s="1"/>
  <c r="CG162" i="1"/>
  <c r="AI162" i="1"/>
  <c r="BJ162" i="1"/>
  <c r="CH162" i="1"/>
  <c r="CI162" i="1"/>
  <c r="BO162" i="1"/>
  <c r="BQ162" i="1" s="1"/>
  <c r="BN162" i="1" s="1"/>
  <c r="CJ162" i="1"/>
  <c r="AX162" i="1"/>
  <c r="N162" i="1"/>
  <c r="AY162" i="1"/>
  <c r="CB162" i="1"/>
  <c r="O162" i="1"/>
  <c r="CC162" i="1"/>
  <c r="AQ162" i="1" s="1"/>
  <c r="BS162" i="1" s="1"/>
  <c r="CE162" i="1"/>
  <c r="BE162" i="3"/>
  <c r="M162" i="1"/>
  <c r="AC162" i="5"/>
  <c r="X162" i="5"/>
  <c r="Y162" i="5"/>
  <c r="AU162" i="3"/>
  <c r="AP162" i="1"/>
  <c r="AB162" i="5" s="1"/>
  <c r="W162" i="5"/>
  <c r="J162" i="1"/>
  <c r="AZ162" i="1" s="1"/>
  <c r="BH162" i="1"/>
  <c r="K162" i="1"/>
  <c r="BF163" i="3"/>
  <c r="BG163" i="3"/>
  <c r="AP163" i="3"/>
  <c r="AQ163" i="3" s="1"/>
  <c r="AS163" i="3"/>
  <c r="BH163" i="3" s="1"/>
  <c r="BO163" i="3" s="1"/>
  <c r="BP163" i="3" a="1"/>
  <c r="BP163" i="3" s="1"/>
  <c r="BT163" i="3" s="1"/>
  <c r="AT163" i="3"/>
  <c r="BJ163" i="3" s="1"/>
  <c r="BR163" i="3" s="1"/>
  <c r="BV163" i="3" s="1"/>
  <c r="AC163" i="5"/>
  <c r="BJ163" i="1"/>
  <c r="CH163" i="1"/>
  <c r="CI163" i="1"/>
  <c r="BO163" i="1"/>
  <c r="BQ163" i="1" s="1"/>
  <c r="BN163" i="1" s="1"/>
  <c r="CJ163" i="1"/>
  <c r="AX163" i="1"/>
  <c r="N163" i="1"/>
  <c r="AY163" i="1"/>
  <c r="O163" i="1"/>
  <c r="AZ163" i="1"/>
  <c r="CB163" i="1"/>
  <c r="CC163" i="1"/>
  <c r="AQ163" i="1" s="1"/>
  <c r="BS163" i="1" s="1"/>
  <c r="S163" i="1"/>
  <c r="CE163" i="1"/>
  <c r="BC163" i="1"/>
  <c r="CF163" i="1"/>
  <c r="BI163" i="1"/>
  <c r="BL163" i="1" s="1"/>
  <c r="CG163" i="1"/>
  <c r="M163" i="1"/>
  <c r="Y163" i="5"/>
  <c r="BE163" i="3"/>
  <c r="BL163" i="3" s="1"/>
  <c r="W163" i="5"/>
  <c r="AU163" i="3"/>
  <c r="X163" i="5"/>
  <c r="BB163" i="3"/>
  <c r="BE163" i="1"/>
  <c r="BD163" i="1"/>
  <c r="K163" i="1"/>
  <c r="AP163" i="1"/>
  <c r="AB163" i="5" s="1"/>
  <c r="BH163" i="1"/>
  <c r="J163" i="1"/>
  <c r="AS164" i="3"/>
  <c r="BH164" i="3" s="1"/>
  <c r="AT164" i="3"/>
  <c r="AU164" i="3"/>
  <c r="BP164" i="3" a="1"/>
  <c r="BP164" i="3" s="1"/>
  <c r="BT164" i="3" s="1"/>
  <c r="AX164" i="3"/>
  <c r="BF164" i="3"/>
  <c r="AP164" i="3"/>
  <c r="AQ164" i="3" s="1"/>
  <c r="BG164" i="3"/>
  <c r="BO164" i="1"/>
  <c r="BQ164" i="1" s="1"/>
  <c r="BN164" i="1" s="1"/>
  <c r="CJ164" i="1"/>
  <c r="J164" i="1"/>
  <c r="AZ164" i="1" s="1"/>
  <c r="AX164" i="1"/>
  <c r="N164" i="1"/>
  <c r="AY164" i="1"/>
  <c r="CB164" i="1"/>
  <c r="O164" i="1"/>
  <c r="CC164" i="1"/>
  <c r="AQ164" i="1" s="1"/>
  <c r="BS164" i="1" s="1"/>
  <c r="CE164" i="1"/>
  <c r="BC164" i="1"/>
  <c r="CF164" i="1"/>
  <c r="BI164" i="1"/>
  <c r="BL164" i="1" s="1"/>
  <c r="CG164" i="1"/>
  <c r="AI164" i="1"/>
  <c r="BJ164" i="1"/>
  <c r="CH164" i="1"/>
  <c r="CI164" i="1"/>
  <c r="AC164" i="5"/>
  <c r="M164" i="1"/>
  <c r="X164" i="5"/>
  <c r="Y164" i="5"/>
  <c r="W164" i="5"/>
  <c r="BE164" i="3"/>
  <c r="K164" i="1"/>
  <c r="AP164" i="1"/>
  <c r="AB164" i="5" s="1"/>
  <c r="BH164" i="1"/>
  <c r="AX165" i="3"/>
  <c r="BP165" i="3" a="1"/>
  <c r="BP165" i="3" s="1"/>
  <c r="BT165" i="3" s="1"/>
  <c r="BF165" i="3"/>
  <c r="AS165" i="3"/>
  <c r="BH165" i="3" s="1"/>
  <c r="AT165" i="3"/>
  <c r="BJ165" i="3" s="1"/>
  <c r="BG165" i="3"/>
  <c r="AP165" i="3"/>
  <c r="AQ165" i="3" s="1"/>
  <c r="N165" i="1"/>
  <c r="AX165" i="1"/>
  <c r="O165" i="1"/>
  <c r="AY165" i="1"/>
  <c r="CB165" i="1"/>
  <c r="CC165" i="1"/>
  <c r="AQ165" i="1" s="1"/>
  <c r="BS165" i="1" s="1"/>
  <c r="S165" i="1"/>
  <c r="CE165" i="1"/>
  <c r="BC165" i="1"/>
  <c r="CF165" i="1"/>
  <c r="BI165" i="1"/>
  <c r="BL165" i="1" s="1"/>
  <c r="CG165" i="1"/>
  <c r="AI165" i="1"/>
  <c r="BJ165" i="1"/>
  <c r="CH165" i="1"/>
  <c r="CI165" i="1"/>
  <c r="BO165" i="1"/>
  <c r="BQ165" i="1" s="1"/>
  <c r="BN165" i="1" s="1"/>
  <c r="CJ165" i="1"/>
  <c r="W165" i="5"/>
  <c r="BB165" i="3"/>
  <c r="AC165" i="5"/>
  <c r="BE165" i="3"/>
  <c r="BL165" i="3" s="1"/>
  <c r="X165" i="5"/>
  <c r="Y165" i="5"/>
  <c r="J165" i="1"/>
  <c r="AZ165" i="1" s="1"/>
  <c r="K165" i="1"/>
  <c r="BH165" i="1"/>
  <c r="M165" i="1"/>
  <c r="AP165" i="1"/>
  <c r="AB165" i="5" s="1"/>
  <c r="AX166" i="3"/>
  <c r="BP166" i="3" a="1"/>
  <c r="BP166" i="3" s="1"/>
  <c r="BT166" i="3" s="1"/>
  <c r="BB166" i="3"/>
  <c r="AP166" i="3"/>
  <c r="AQ166" i="3" s="1"/>
  <c r="BF166" i="3"/>
  <c r="AS166" i="3"/>
  <c r="BH166" i="3" s="1"/>
  <c r="AT166" i="3"/>
  <c r="BJ166" i="3" s="1"/>
  <c r="BG166" i="3"/>
  <c r="N166" i="1"/>
  <c r="AX166" i="1"/>
  <c r="O166" i="1"/>
  <c r="AY166" i="1"/>
  <c r="AZ166" i="1"/>
  <c r="CB166" i="1"/>
  <c r="S166" i="1"/>
  <c r="CC166" i="1"/>
  <c r="AQ166" i="1" s="1"/>
  <c r="BS166" i="1" s="1"/>
  <c r="CE166" i="1"/>
  <c r="BC166" i="1"/>
  <c r="CF166" i="1"/>
  <c r="AI166" i="1"/>
  <c r="BI166" i="1"/>
  <c r="BL166" i="1" s="1"/>
  <c r="CG166" i="1"/>
  <c r="BJ166" i="1"/>
  <c r="CH166" i="1"/>
  <c r="CI166" i="1"/>
  <c r="BO166" i="1"/>
  <c r="BQ166" i="1" s="1"/>
  <c r="BN166" i="1" s="1"/>
  <c r="CJ166" i="1"/>
  <c r="M166" i="1"/>
  <c r="AC166" i="5"/>
  <c r="W166" i="5"/>
  <c r="X166" i="5"/>
  <c r="BE166" i="3"/>
  <c r="BL166" i="3" s="1"/>
  <c r="Y166" i="5"/>
  <c r="K166" i="1"/>
  <c r="AP166" i="1"/>
  <c r="AB166" i="5" s="1"/>
  <c r="J166" i="1"/>
  <c r="BH166" i="1"/>
  <c r="AX167" i="3"/>
  <c r="BB167" i="3"/>
  <c r="BF167" i="3"/>
  <c r="AS167" i="3"/>
  <c r="BH167" i="3" s="1"/>
  <c r="AT167" i="3"/>
  <c r="BP167" i="3" a="1"/>
  <c r="BP167" i="3" s="1"/>
  <c r="AP167" i="3"/>
  <c r="AQ167" i="3" s="1"/>
  <c r="CC167" i="1"/>
  <c r="AQ167" i="1" s="1"/>
  <c r="BS167" i="1" s="1"/>
  <c r="S167" i="1"/>
  <c r="CE167" i="1"/>
  <c r="BC167" i="1"/>
  <c r="CF167" i="1"/>
  <c r="BI167" i="1"/>
  <c r="BL167" i="1" s="1"/>
  <c r="CG167" i="1"/>
  <c r="BJ167" i="1"/>
  <c r="CH167" i="1"/>
  <c r="CI167" i="1"/>
  <c r="BO167" i="1"/>
  <c r="BQ167" i="1" s="1"/>
  <c r="BN167" i="1" s="1"/>
  <c r="CJ167" i="1"/>
  <c r="AX167" i="1"/>
  <c r="AY167" i="1"/>
  <c r="J167" i="1"/>
  <c r="AZ167" i="1"/>
  <c r="CB167" i="1"/>
  <c r="AC167" i="5"/>
  <c r="M167" i="1"/>
  <c r="BG167" i="3"/>
  <c r="X167" i="5"/>
  <c r="W167" i="5"/>
  <c r="K167" i="1"/>
  <c r="Y167" i="5"/>
  <c r="BD167" i="1"/>
  <c r="BE167" i="3"/>
  <c r="BH167" i="1"/>
  <c r="BE167" i="1"/>
  <c r="AP167" i="1"/>
  <c r="AB167" i="5" s="1"/>
  <c r="AP169" i="3"/>
  <c r="AQ169" i="3" s="1"/>
  <c r="BF169" i="3"/>
  <c r="BG169" i="3"/>
  <c r="AS169" i="3"/>
  <c r="BH169" i="3" s="1"/>
  <c r="BO169" i="3" s="1"/>
  <c r="BP169" i="3" a="1"/>
  <c r="BP169" i="3" s="1"/>
  <c r="BT169" i="3" s="1"/>
  <c r="AT169" i="3"/>
  <c r="BJ169" i="3" s="1"/>
  <c r="BQ169" i="3"/>
  <c r="AU169" i="3"/>
  <c r="X169" i="1" s="1"/>
  <c r="AX169" i="3"/>
  <c r="BC169" i="3"/>
  <c r="X169" i="5"/>
  <c r="W169" i="5"/>
  <c r="AX169" i="1"/>
  <c r="AY169" i="1"/>
  <c r="AZ169" i="1"/>
  <c r="CB169" i="1"/>
  <c r="J169" i="1"/>
  <c r="CC169" i="1"/>
  <c r="AQ169" i="1" s="1"/>
  <c r="BS169" i="1" s="1"/>
  <c r="CE169" i="1"/>
  <c r="BC169" i="1"/>
  <c r="CF169" i="1"/>
  <c r="AI169" i="1"/>
  <c r="BI169" i="1"/>
  <c r="BL169" i="1" s="1"/>
  <c r="CG169" i="1"/>
  <c r="BJ169" i="1"/>
  <c r="CH169" i="1"/>
  <c r="CI169" i="1"/>
  <c r="BO169" i="1"/>
  <c r="BQ169" i="1" s="1"/>
  <c r="BN169" i="1" s="1"/>
  <c r="CJ169" i="1"/>
  <c r="M169" i="1"/>
  <c r="AC169" i="5"/>
  <c r="AP169" i="1"/>
  <c r="AB169" i="5" s="1"/>
  <c r="BE169" i="3"/>
  <c r="Y169" i="5"/>
  <c r="BB169" i="3"/>
  <c r="BE169" i="1"/>
  <c r="K169" i="1"/>
  <c r="BH169" i="1"/>
  <c r="BD169" i="1"/>
  <c r="AX170" i="3"/>
  <c r="BP170" i="3" a="1"/>
  <c r="BP170" i="3" s="1"/>
  <c r="BT170" i="3" s="1"/>
  <c r="BB170" i="3"/>
  <c r="BE170" i="3"/>
  <c r="BG170" i="3"/>
  <c r="AS170" i="3"/>
  <c r="BH170" i="3" s="1"/>
  <c r="AT170" i="3"/>
  <c r="BJ170" i="3" s="1"/>
  <c r="AP170" i="3"/>
  <c r="AQ170" i="3" s="1"/>
  <c r="BF170" i="3"/>
  <c r="AY170" i="1"/>
  <c r="J170" i="1"/>
  <c r="AZ170" i="1"/>
  <c r="CB170" i="1"/>
  <c r="CC170" i="1"/>
  <c r="AQ170" i="1" s="1"/>
  <c r="BS170" i="1" s="1"/>
  <c r="S170" i="1"/>
  <c r="CE170" i="1"/>
  <c r="BC170" i="1"/>
  <c r="CF170" i="1"/>
  <c r="BI170" i="1"/>
  <c r="BL170" i="1" s="1"/>
  <c r="CG170" i="1"/>
  <c r="BJ170" i="1"/>
  <c r="CH170" i="1"/>
  <c r="CI170" i="1"/>
  <c r="BO170" i="1"/>
  <c r="BQ170" i="1" s="1"/>
  <c r="BN170" i="1" s="1"/>
  <c r="CJ170" i="1"/>
  <c r="AX170" i="1"/>
  <c r="AC170" i="5"/>
  <c r="BE170" i="1"/>
  <c r="Y170" i="5"/>
  <c r="X170" i="5"/>
  <c r="AU170" i="3"/>
  <c r="BD170" i="1"/>
  <c r="W170" i="5"/>
  <c r="BH170" i="1"/>
  <c r="K170" i="1"/>
  <c r="M170" i="1"/>
  <c r="AP170" i="1"/>
  <c r="AB170" i="5" s="1"/>
  <c r="AP172" i="3"/>
  <c r="AQ172" i="3" s="1"/>
  <c r="AS172" i="3"/>
  <c r="BH172" i="3" s="1"/>
  <c r="AT172" i="3"/>
  <c r="BJ172" i="3" s="1"/>
  <c r="BR172" i="3" s="1"/>
  <c r="BV172" i="3" s="1"/>
  <c r="BP172" i="3" a="1"/>
  <c r="BP172" i="3" s="1"/>
  <c r="BT172" i="3" s="1"/>
  <c r="AX172" i="3"/>
  <c r="BF172" i="3"/>
  <c r="BC172" i="1"/>
  <c r="CF172" i="1"/>
  <c r="AI172" i="1"/>
  <c r="BI172" i="1"/>
  <c r="BL172" i="1" s="1"/>
  <c r="CG172" i="1"/>
  <c r="BJ172" i="1"/>
  <c r="CH172" i="1"/>
  <c r="CI172" i="1"/>
  <c r="BO172" i="1"/>
  <c r="BQ172" i="1" s="1"/>
  <c r="BN172" i="1" s="1"/>
  <c r="CJ172" i="1"/>
  <c r="AX172" i="1"/>
  <c r="J172" i="1"/>
  <c r="AY172" i="1"/>
  <c r="AZ172" i="1"/>
  <c r="CB172" i="1"/>
  <c r="S172" i="1"/>
  <c r="CC172" i="1"/>
  <c r="AQ172" i="1" s="1"/>
  <c r="BS172" i="1" s="1"/>
  <c r="CE172" i="1"/>
  <c r="BB172" i="3"/>
  <c r="W172" i="5"/>
  <c r="AC172" i="5"/>
  <c r="M172" i="1"/>
  <c r="BG172" i="3"/>
  <c r="Y172" i="5"/>
  <c r="AP172" i="1"/>
  <c r="AB172" i="5" s="1"/>
  <c r="BE172" i="3"/>
  <c r="BL172" i="3" s="1"/>
  <c r="X172" i="5"/>
  <c r="K172" i="1"/>
  <c r="BH172" i="1"/>
  <c r="BE172" i="1"/>
  <c r="BD172" i="1"/>
  <c r="BF173" i="3"/>
  <c r="BP173" i="3" a="1"/>
  <c r="BP173" i="3" s="1"/>
  <c r="BT173" i="3" s="1"/>
  <c r="AS173" i="3"/>
  <c r="BH173" i="3" s="1"/>
  <c r="AT173" i="3"/>
  <c r="Y173" i="5"/>
  <c r="X173" i="5"/>
  <c r="AC173" i="5"/>
  <c r="BJ173" i="1"/>
  <c r="CH173" i="1"/>
  <c r="CI173" i="1"/>
  <c r="BO173" i="1"/>
  <c r="BQ173" i="1" s="1"/>
  <c r="BN173" i="1" s="1"/>
  <c r="CJ173" i="1"/>
  <c r="AX173" i="1"/>
  <c r="N173" i="1"/>
  <c r="AY173" i="1"/>
  <c r="O173" i="1"/>
  <c r="AZ173" i="1"/>
  <c r="CB173" i="1"/>
  <c r="CC173" i="1"/>
  <c r="AQ173" i="1" s="1"/>
  <c r="BS173" i="1" s="1"/>
  <c r="S173" i="1"/>
  <c r="CE173" i="1"/>
  <c r="BC173" i="1"/>
  <c r="CF173" i="1"/>
  <c r="BI173" i="1"/>
  <c r="BL173" i="1" s="1"/>
  <c r="CG173" i="1"/>
  <c r="BG173" i="3"/>
  <c r="E173" i="5" s="1"/>
  <c r="W173" i="5"/>
  <c r="M173" i="1"/>
  <c r="AU173" i="3"/>
  <c r="K173" i="1"/>
  <c r="BE173" i="3"/>
  <c r="BL173" i="3" s="1"/>
  <c r="BD173" i="1"/>
  <c r="BH173" i="1"/>
  <c r="AP173" i="1"/>
  <c r="AB173" i="5" s="1"/>
  <c r="J173" i="1"/>
  <c r="BE173" i="1"/>
  <c r="BF174" i="3"/>
  <c r="BG174" i="3"/>
  <c r="BI174" i="3" s="1"/>
  <c r="AP174" i="3"/>
  <c r="AQ174" i="3" s="1"/>
  <c r="AS174" i="3"/>
  <c r="BH174" i="3" s="1"/>
  <c r="BP174" i="3" a="1"/>
  <c r="BP174" i="3" s="1"/>
  <c r="BT174" i="3" s="1"/>
  <c r="AT174" i="3"/>
  <c r="BJ174" i="3" s="1"/>
  <c r="BQ174" i="3"/>
  <c r="AU174" i="3"/>
  <c r="AX174" i="1"/>
  <c r="AY174" i="1"/>
  <c r="CB174" i="1"/>
  <c r="CC174" i="1"/>
  <c r="AQ174" i="1" s="1"/>
  <c r="BS174" i="1" s="1"/>
  <c r="CE174" i="1"/>
  <c r="S174" i="1"/>
  <c r="BC174" i="1"/>
  <c r="CF174" i="1"/>
  <c r="BI174" i="1"/>
  <c r="BL174" i="1" s="1"/>
  <c r="CG174" i="1"/>
  <c r="AI174" i="1"/>
  <c r="BJ174" i="1"/>
  <c r="CH174" i="1"/>
  <c r="CI174" i="1"/>
  <c r="BO174" i="1"/>
  <c r="BQ174" i="1" s="1"/>
  <c r="BN174" i="1" s="1"/>
  <c r="CJ174" i="1"/>
  <c r="AC174" i="5"/>
  <c r="BC174" i="3"/>
  <c r="M174" i="1"/>
  <c r="BE174" i="3"/>
  <c r="BL174" i="3" s="1"/>
  <c r="Y174" i="5"/>
  <c r="X174" i="5"/>
  <c r="W174" i="5"/>
  <c r="BE174" i="1"/>
  <c r="J174" i="1"/>
  <c r="AZ174" i="1" s="1"/>
  <c r="BD174" i="1"/>
  <c r="AP174" i="1"/>
  <c r="AB174" i="5" s="1"/>
  <c r="K174" i="1"/>
  <c r="BH174" i="1"/>
  <c r="BP175" i="3" a="1"/>
  <c r="BP175" i="3" s="1"/>
  <c r="BF175" i="3"/>
  <c r="AP175" i="3"/>
  <c r="AQ175" i="3" s="1"/>
  <c r="BG175" i="3"/>
  <c r="AS175" i="3"/>
  <c r="BH175" i="3" s="1"/>
  <c r="BO175" i="3" s="1"/>
  <c r="AT175" i="3"/>
  <c r="BJ175" i="3" s="1"/>
  <c r="AU175" i="3"/>
  <c r="AC175" i="5"/>
  <c r="O175" i="1"/>
  <c r="AZ175" i="1"/>
  <c r="CB175" i="1"/>
  <c r="CC175" i="1"/>
  <c r="AQ175" i="1" s="1"/>
  <c r="BS175" i="1" s="1"/>
  <c r="S175" i="1"/>
  <c r="CE175" i="1"/>
  <c r="BC175" i="1"/>
  <c r="CF175" i="1"/>
  <c r="BI175" i="1"/>
  <c r="BL175" i="1" s="1"/>
  <c r="CG175" i="1"/>
  <c r="BJ175" i="1"/>
  <c r="CH175" i="1"/>
  <c r="CI175" i="1"/>
  <c r="BO175" i="1"/>
  <c r="BQ175" i="1" s="1"/>
  <c r="BN175" i="1" s="1"/>
  <c r="CJ175" i="1"/>
  <c r="AX175" i="1"/>
  <c r="N175" i="1"/>
  <c r="AY175" i="1"/>
  <c r="M175" i="1"/>
  <c r="Y175" i="5"/>
  <c r="X175" i="5"/>
  <c r="BH175" i="1"/>
  <c r="W175" i="5"/>
  <c r="BE175" i="3"/>
  <c r="AP175" i="1"/>
  <c r="AB175" i="5" s="1"/>
  <c r="BE175" i="1"/>
  <c r="BD175" i="1"/>
  <c r="J175" i="1"/>
  <c r="K175" i="1"/>
  <c r="BF176" i="3"/>
  <c r="BG176" i="3"/>
  <c r="E176" i="5" s="1"/>
  <c r="AP176" i="3"/>
  <c r="AQ176" i="3" s="1"/>
  <c r="AT176" i="3"/>
  <c r="AX176" i="3"/>
  <c r="BP176" i="3" a="1"/>
  <c r="BP176" i="3" s="1"/>
  <c r="BT176" i="3" s="1"/>
  <c r="AS176" i="3"/>
  <c r="BH176" i="3" s="1"/>
  <c r="Y176" i="5"/>
  <c r="X176" i="5"/>
  <c r="W176" i="5"/>
  <c r="BC176" i="1"/>
  <c r="CF176" i="1"/>
  <c r="BI176" i="1"/>
  <c r="BL176" i="1" s="1"/>
  <c r="CG176" i="1"/>
  <c r="AI176" i="1"/>
  <c r="BJ176" i="1"/>
  <c r="CH176" i="1"/>
  <c r="CI176" i="1"/>
  <c r="BO176" i="1"/>
  <c r="BQ176" i="1" s="1"/>
  <c r="BN176" i="1" s="1"/>
  <c r="CJ176" i="1"/>
  <c r="AX176" i="1"/>
  <c r="N176" i="1"/>
  <c r="AY176" i="1"/>
  <c r="CB176" i="1"/>
  <c r="O176" i="1"/>
  <c r="CC176" i="1"/>
  <c r="AQ176" i="1" s="1"/>
  <c r="BS176" i="1" s="1"/>
  <c r="CE176" i="1"/>
  <c r="AC176" i="5"/>
  <c r="BE176" i="1"/>
  <c r="K176" i="1"/>
  <c r="BD176" i="1"/>
  <c r="BE176" i="3"/>
  <c r="BL176" i="3" s="1"/>
  <c r="AU176" i="3"/>
  <c r="J176" i="1"/>
  <c r="AZ176" i="1" s="1"/>
  <c r="AP176" i="1"/>
  <c r="AB176" i="5" s="1"/>
  <c r="BH176" i="1"/>
  <c r="M176" i="1"/>
  <c r="BF177" i="3"/>
  <c r="BG177" i="3"/>
  <c r="AP177" i="3"/>
  <c r="AQ177" i="3" s="1"/>
  <c r="AS177" i="3"/>
  <c r="BH177" i="3" s="1"/>
  <c r="AT177" i="3"/>
  <c r="AU177" i="3" s="1"/>
  <c r="BP177" i="3" a="1"/>
  <c r="BP177" i="3" s="1"/>
  <c r="AX177" i="3"/>
  <c r="CI177" i="1"/>
  <c r="BO177" i="1"/>
  <c r="BQ177" i="1" s="1"/>
  <c r="BN177" i="1" s="1"/>
  <c r="CJ177" i="1"/>
  <c r="AX177" i="1"/>
  <c r="N177" i="1"/>
  <c r="AY177" i="1"/>
  <c r="CB177" i="1"/>
  <c r="O177" i="1"/>
  <c r="CC177" i="1"/>
  <c r="AQ177" i="1" s="1"/>
  <c r="BS177" i="1" s="1"/>
  <c r="CE177" i="1"/>
  <c r="BC177" i="1"/>
  <c r="CF177" i="1"/>
  <c r="BI177" i="1"/>
  <c r="BL177" i="1" s="1"/>
  <c r="CG177" i="1"/>
  <c r="AI177" i="1"/>
  <c r="BJ177" i="1"/>
  <c r="CH177" i="1"/>
  <c r="X177" i="5"/>
  <c r="M177" i="1"/>
  <c r="AC177" i="5"/>
  <c r="W177" i="5"/>
  <c r="BE177" i="3"/>
  <c r="BL177" i="3" s="1"/>
  <c r="Y177" i="5"/>
  <c r="BH177" i="1"/>
  <c r="BD177" i="1"/>
  <c r="K177" i="1"/>
  <c r="J177" i="1"/>
  <c r="AZ177" i="1" s="1"/>
  <c r="BE177" i="1"/>
  <c r="AP177" i="1"/>
  <c r="AB177" i="5" s="1"/>
  <c r="AP178" i="3"/>
  <c r="AQ178" i="3" s="1"/>
  <c r="BG178" i="3"/>
  <c r="AS178" i="3"/>
  <c r="BH178" i="3" s="1"/>
  <c r="BO178" i="3" s="1"/>
  <c r="AT178" i="3"/>
  <c r="AU178" i="3" s="1"/>
  <c r="AX178" i="3"/>
  <c r="BP178" i="3" a="1"/>
  <c r="BP178" i="3" s="1"/>
  <c r="BT178" i="3" s="1"/>
  <c r="BF178" i="3"/>
  <c r="X178" i="5"/>
  <c r="W178" i="5"/>
  <c r="AC178" i="5"/>
  <c r="Y178" i="5"/>
  <c r="N178" i="1"/>
  <c r="AX178" i="1"/>
  <c r="CB178" i="1"/>
  <c r="O178" i="1"/>
  <c r="AY178" i="1"/>
  <c r="CC178" i="1"/>
  <c r="AQ178" i="1" s="1"/>
  <c r="BS178" i="1" s="1"/>
  <c r="CE178" i="1"/>
  <c r="S178" i="1"/>
  <c r="CF178" i="1"/>
  <c r="BC178" i="1"/>
  <c r="CG178" i="1"/>
  <c r="BI178" i="1"/>
  <c r="BL178" i="1" s="1"/>
  <c r="CH178" i="1"/>
  <c r="AI178" i="1"/>
  <c r="BJ178" i="1"/>
  <c r="CI178" i="1"/>
  <c r="BO178" i="1"/>
  <c r="BQ178" i="1" s="1"/>
  <c r="BN178" i="1" s="1"/>
  <c r="CJ178" i="1"/>
  <c r="M178" i="1"/>
  <c r="BE178" i="3"/>
  <c r="AP178" i="1"/>
  <c r="AB178" i="5" s="1"/>
  <c r="K178" i="1"/>
  <c r="BH178" i="1"/>
  <c r="J178" i="1"/>
  <c r="AZ178" i="1" s="1"/>
  <c r="AT179" i="3"/>
  <c r="AU179" i="3" s="1"/>
  <c r="BF179" i="3"/>
  <c r="BP179" i="3" a="1"/>
  <c r="BP179" i="3" s="1"/>
  <c r="AS179" i="3"/>
  <c r="BH179" i="3" s="1"/>
  <c r="BO179" i="3" s="1"/>
  <c r="N179" i="1"/>
  <c r="AY179" i="1"/>
  <c r="O179" i="1"/>
  <c r="AZ179" i="1"/>
  <c r="CB179" i="1"/>
  <c r="CC179" i="1"/>
  <c r="AQ179" i="1" s="1"/>
  <c r="BS179" i="1" s="1"/>
  <c r="S179" i="1"/>
  <c r="CE179" i="1"/>
  <c r="BC179" i="1"/>
  <c r="CF179" i="1"/>
  <c r="BI179" i="1"/>
  <c r="BL179" i="1" s="1"/>
  <c r="CG179" i="1"/>
  <c r="BJ179" i="1"/>
  <c r="CH179" i="1"/>
  <c r="CI179" i="1"/>
  <c r="BO179" i="1"/>
  <c r="BQ179" i="1" s="1"/>
  <c r="BN179" i="1" s="1"/>
  <c r="CJ179" i="1"/>
  <c r="AX179" i="1"/>
  <c r="AC179" i="5"/>
  <c r="BG179" i="3"/>
  <c r="E179" i="5" s="1"/>
  <c r="Y179" i="5"/>
  <c r="X179" i="5"/>
  <c r="BE179" i="3"/>
  <c r="W179" i="5"/>
  <c r="K179" i="1"/>
  <c r="M179" i="1"/>
  <c r="AP179" i="1"/>
  <c r="AB179" i="5" s="1"/>
  <c r="J179" i="1"/>
  <c r="BH179" i="1"/>
  <c r="BE179" i="1"/>
  <c r="BD179" i="1"/>
  <c r="BF180" i="3"/>
  <c r="BG180" i="3"/>
  <c r="AS180" i="3"/>
  <c r="BH180" i="3" s="1"/>
  <c r="BO180" i="3" s="1"/>
  <c r="BP180" i="3" a="1"/>
  <c r="BP180" i="3" s="1"/>
  <c r="BT180" i="3" s="1"/>
  <c r="AT180" i="3"/>
  <c r="BJ180" i="3" s="1"/>
  <c r="BR180" i="3" s="1"/>
  <c r="BV180" i="3" s="1"/>
  <c r="AU180" i="3"/>
  <c r="AC180" i="5"/>
  <c r="Y180" i="5"/>
  <c r="AZ180" i="1"/>
  <c r="CB180" i="1"/>
  <c r="S180" i="1"/>
  <c r="CC180" i="1"/>
  <c r="AQ180" i="1" s="1"/>
  <c r="BS180" i="1" s="1"/>
  <c r="CE180" i="1"/>
  <c r="BC180" i="1"/>
  <c r="CF180" i="1"/>
  <c r="AI180" i="1"/>
  <c r="BI180" i="1"/>
  <c r="BL180" i="1" s="1"/>
  <c r="CG180" i="1"/>
  <c r="BJ180" i="1"/>
  <c r="CH180" i="1"/>
  <c r="CI180" i="1"/>
  <c r="BO180" i="1"/>
  <c r="BQ180" i="1" s="1"/>
  <c r="BN180" i="1" s="1"/>
  <c r="CJ180" i="1"/>
  <c r="N180" i="1"/>
  <c r="AX180" i="1"/>
  <c r="O180" i="1"/>
  <c r="AY180" i="1"/>
  <c r="W180" i="5"/>
  <c r="X180" i="5"/>
  <c r="BB180" i="3"/>
  <c r="BE180" i="1"/>
  <c r="BE180" i="3"/>
  <c r="M180" i="1"/>
  <c r="K180" i="1"/>
  <c r="AP180" i="1"/>
  <c r="AB180" i="5" s="1"/>
  <c r="BD180" i="1"/>
  <c r="BH180" i="1"/>
  <c r="J180" i="1"/>
  <c r="AT181" i="3"/>
  <c r="BJ181" i="3" s="1"/>
  <c r="BR181" i="3" s="1"/>
  <c r="BV181" i="3" s="1"/>
  <c r="BF181" i="3"/>
  <c r="BP181" i="3" a="1"/>
  <c r="BP181" i="3" s="1"/>
  <c r="BT181" i="3" s="1"/>
  <c r="AS181" i="3"/>
  <c r="BH181" i="3" s="1"/>
  <c r="S181" i="1"/>
  <c r="CC181" i="1"/>
  <c r="AQ181" i="1" s="1"/>
  <c r="BS181" i="1" s="1"/>
  <c r="CE181" i="1"/>
  <c r="BC181" i="1"/>
  <c r="CF181" i="1"/>
  <c r="AI181" i="1"/>
  <c r="BI181" i="1"/>
  <c r="BL181" i="1" s="1"/>
  <c r="CG181" i="1"/>
  <c r="BJ181" i="1"/>
  <c r="CH181" i="1"/>
  <c r="CI181" i="1"/>
  <c r="BO181" i="1"/>
  <c r="BQ181" i="1" s="1"/>
  <c r="BN181" i="1" s="1"/>
  <c r="CJ181" i="1"/>
  <c r="N181" i="1"/>
  <c r="AX181" i="1"/>
  <c r="O181" i="1"/>
  <c r="AY181" i="1"/>
  <c r="AZ181" i="1"/>
  <c r="CB181" i="1"/>
  <c r="M181" i="1"/>
  <c r="AC181" i="5"/>
  <c r="BG181" i="3"/>
  <c r="E181" i="5" s="1"/>
  <c r="Y181" i="5"/>
  <c r="BE181" i="3"/>
  <c r="BL181" i="3" s="1"/>
  <c r="X181" i="5"/>
  <c r="W181" i="5"/>
  <c r="AP181" i="1"/>
  <c r="AB181" i="5" s="1"/>
  <c r="BE181" i="1"/>
  <c r="K181" i="1"/>
  <c r="BD181" i="1"/>
  <c r="J181" i="1"/>
  <c r="BH181" i="1"/>
  <c r="BF182" i="3"/>
  <c r="AP182" i="3"/>
  <c r="AQ182" i="3" s="1"/>
  <c r="BG182" i="3"/>
  <c r="E182" i="5" s="1"/>
  <c r="AS182" i="3"/>
  <c r="BH182" i="3" s="1"/>
  <c r="AT182" i="3"/>
  <c r="BJ182" i="3" s="1"/>
  <c r="BR182" i="3" s="1"/>
  <c r="BV182" i="3" s="1"/>
  <c r="BP182" i="3" a="1"/>
  <c r="BP182" i="3" s="1"/>
  <c r="BT182" i="3" s="1"/>
  <c r="AU182" i="3"/>
  <c r="AX182" i="3"/>
  <c r="AI182" i="1"/>
  <c r="BI182" i="1"/>
  <c r="BL182" i="1" s="1"/>
  <c r="CG182" i="1"/>
  <c r="BJ182" i="1"/>
  <c r="CH182" i="1"/>
  <c r="CI182" i="1"/>
  <c r="BO182" i="1"/>
  <c r="BQ182" i="1" s="1"/>
  <c r="BN182" i="1" s="1"/>
  <c r="CJ182" i="1"/>
  <c r="AX182" i="1"/>
  <c r="AY182" i="1"/>
  <c r="AZ182" i="1"/>
  <c r="CB182" i="1"/>
  <c r="S182" i="1"/>
  <c r="CC182" i="1"/>
  <c r="AQ182" i="1" s="1"/>
  <c r="BS182" i="1" s="1"/>
  <c r="CE182" i="1"/>
  <c r="BC182" i="1"/>
  <c r="CF182" i="1"/>
  <c r="AC182" i="5"/>
  <c r="W182" i="5"/>
  <c r="BE182" i="3"/>
  <c r="BL182" i="3" s="1"/>
  <c r="Y182" i="5"/>
  <c r="X182" i="5"/>
  <c r="K182" i="1"/>
  <c r="J182" i="1"/>
  <c r="BH182" i="1"/>
  <c r="AP182" i="1"/>
  <c r="AB182" i="5" s="1"/>
  <c r="M182" i="1"/>
  <c r="AS183" i="3"/>
  <c r="BH183" i="3" s="1"/>
  <c r="BP183" i="3" a="1"/>
  <c r="BP183" i="3" s="1"/>
  <c r="BT183" i="3" s="1"/>
  <c r="AT183" i="3"/>
  <c r="BJ183" i="3" s="1"/>
  <c r="AX183" i="3"/>
  <c r="BG183" i="3"/>
  <c r="AP183" i="3"/>
  <c r="AQ183" i="3" s="1"/>
  <c r="BF183" i="3"/>
  <c r="AC199" i="5"/>
  <c r="CC199" i="1"/>
  <c r="AQ199" i="1" s="1"/>
  <c r="BS199" i="1" s="1"/>
  <c r="BC199" i="1"/>
  <c r="CE199" i="1"/>
  <c r="AI199" i="1"/>
  <c r="BI199" i="1"/>
  <c r="BL199" i="1" s="1"/>
  <c r="CF199" i="1"/>
  <c r="BJ199" i="1"/>
  <c r="CG199" i="1"/>
  <c r="CH199" i="1"/>
  <c r="CJ199" i="1"/>
  <c r="N199" i="1"/>
  <c r="AX199" i="1"/>
  <c r="O199" i="1"/>
  <c r="AY199" i="1"/>
  <c r="AZ199" i="1"/>
  <c r="S199" i="1"/>
  <c r="CB199" i="1"/>
  <c r="CI199" i="1"/>
  <c r="BO199" i="1"/>
  <c r="BQ199" i="1" s="1"/>
  <c r="BN199" i="1" s="1"/>
  <c r="Y199" i="5"/>
  <c r="W199" i="5"/>
  <c r="M199" i="1"/>
  <c r="BE183" i="3"/>
  <c r="BL183" i="3" s="1"/>
  <c r="X199" i="5"/>
  <c r="AP199" i="1"/>
  <c r="AB199" i="5" s="1"/>
  <c r="BD199" i="1"/>
  <c r="BE199" i="1"/>
  <c r="J199" i="1"/>
  <c r="BH199" i="1"/>
  <c r="K199" i="1"/>
  <c r="BE184" i="3"/>
  <c r="BF184" i="3"/>
  <c r="AP184" i="3"/>
  <c r="AQ184" i="3" s="1"/>
  <c r="AS184" i="3"/>
  <c r="BH184" i="3" s="1"/>
  <c r="BP184" i="3" a="1"/>
  <c r="BP184" i="3" s="1"/>
  <c r="BT184" i="3" s="1"/>
  <c r="AT184" i="3"/>
  <c r="BJ184" i="3" s="1"/>
  <c r="AX184" i="3"/>
  <c r="X200" i="5"/>
  <c r="W200" i="5"/>
  <c r="Y200" i="5"/>
  <c r="AI200" i="1"/>
  <c r="BJ200" i="1"/>
  <c r="CG200" i="1"/>
  <c r="CH200" i="1"/>
  <c r="BO200" i="1"/>
  <c r="BQ200" i="1" s="1"/>
  <c r="BN200" i="1" s="1"/>
  <c r="CI200" i="1"/>
  <c r="CJ200" i="1"/>
  <c r="AX200" i="1"/>
  <c r="AY200" i="1"/>
  <c r="CB200" i="1"/>
  <c r="S200" i="1"/>
  <c r="CC200" i="1"/>
  <c r="AQ200" i="1" s="1"/>
  <c r="BS200" i="1" s="1"/>
  <c r="BC200" i="1"/>
  <c r="CE200" i="1"/>
  <c r="BI200" i="1"/>
  <c r="BL200" i="1" s="1"/>
  <c r="CF200" i="1"/>
  <c r="AC200" i="5"/>
  <c r="BG184" i="3"/>
  <c r="E200" i="5" s="1"/>
  <c r="BB184" i="3"/>
  <c r="BE200" i="1"/>
  <c r="AU184" i="3"/>
  <c r="J200" i="1"/>
  <c r="AZ200" i="1" s="1"/>
  <c r="M200" i="1"/>
  <c r="K200" i="1"/>
  <c r="BH200" i="1"/>
  <c r="AP200" i="1"/>
  <c r="AB200" i="5" s="1"/>
  <c r="BD200" i="1"/>
  <c r="BF186" i="3"/>
  <c r="BG186" i="3"/>
  <c r="E202" i="5" s="1"/>
  <c r="AT186" i="3"/>
  <c r="BJ186" i="3" s="1"/>
  <c r="BP186" i="3" a="1"/>
  <c r="BP186" i="3" s="1"/>
  <c r="BT186" i="3" s="1"/>
  <c r="AS186" i="3"/>
  <c r="BH186" i="3" s="1"/>
  <c r="BO186" i="3" s="1"/>
  <c r="X202" i="5"/>
  <c r="W202" i="5"/>
  <c r="BO202" i="1"/>
  <c r="BQ202" i="1" s="1"/>
  <c r="BN202" i="1" s="1"/>
  <c r="CI202" i="1"/>
  <c r="CJ202" i="1"/>
  <c r="N202" i="1"/>
  <c r="AX202" i="1"/>
  <c r="O202" i="1"/>
  <c r="AY202" i="1"/>
  <c r="S202" i="1"/>
  <c r="CB202" i="1"/>
  <c r="CC202" i="1"/>
  <c r="AQ202" i="1" s="1"/>
  <c r="BS202" i="1" s="1"/>
  <c r="BC202" i="1"/>
  <c r="CE202" i="1"/>
  <c r="AI202" i="1"/>
  <c r="BI202" i="1"/>
  <c r="BL202" i="1" s="1"/>
  <c r="CF202" i="1"/>
  <c r="CG202" i="1"/>
  <c r="CH202" i="1"/>
  <c r="AZ202" i="1"/>
  <c r="BJ202" i="1"/>
  <c r="AC202" i="5"/>
  <c r="M202" i="1"/>
  <c r="BE186" i="3"/>
  <c r="BL186" i="3" s="1"/>
  <c r="Y202" i="5"/>
  <c r="BH202" i="1"/>
  <c r="BE202" i="1"/>
  <c r="K202" i="1"/>
  <c r="J202" i="1"/>
  <c r="BD202" i="1"/>
  <c r="AP202" i="1"/>
  <c r="AB202" i="5" s="1"/>
  <c r="BF188" i="3"/>
  <c r="BG188" i="3"/>
  <c r="AP188" i="3"/>
  <c r="AQ188" i="3" s="1"/>
  <c r="AS188" i="3"/>
  <c r="BH188" i="3" s="1"/>
  <c r="AT188" i="3"/>
  <c r="BJ188" i="3" s="1"/>
  <c r="AX188" i="3"/>
  <c r="BP188" i="3" a="1"/>
  <c r="BP188" i="3" s="1"/>
  <c r="BT188" i="3" s="1"/>
  <c r="Y204" i="5"/>
  <c r="AX204" i="1"/>
  <c r="N204" i="1"/>
  <c r="O204" i="1"/>
  <c r="AY204" i="1"/>
  <c r="AZ204" i="1"/>
  <c r="S204" i="1"/>
  <c r="CC204" i="1"/>
  <c r="AQ204" i="1" s="1"/>
  <c r="BS204" i="1" s="1"/>
  <c r="BC204" i="1"/>
  <c r="CE204" i="1"/>
  <c r="BI204" i="1"/>
  <c r="BL204" i="1" s="1"/>
  <c r="CF204" i="1"/>
  <c r="BJ204" i="1"/>
  <c r="CG204" i="1"/>
  <c r="BO204" i="1"/>
  <c r="BQ204" i="1" s="1"/>
  <c r="BN204" i="1" s="1"/>
  <c r="CH204" i="1"/>
  <c r="CB204" i="1"/>
  <c r="CI204" i="1"/>
  <c r="CJ204" i="1"/>
  <c r="X204" i="5"/>
  <c r="AC204" i="5"/>
  <c r="W204" i="5"/>
  <c r="K204" i="1"/>
  <c r="BE188" i="3"/>
  <c r="BL188" i="3" s="1"/>
  <c r="BB188" i="3"/>
  <c r="AP204" i="1"/>
  <c r="AB204" i="5" s="1"/>
  <c r="BH204" i="1"/>
  <c r="M204" i="1"/>
  <c r="J204" i="1"/>
  <c r="BF189" i="3"/>
  <c r="AP189" i="3"/>
  <c r="AQ189" i="3" s="1"/>
  <c r="BG189" i="3"/>
  <c r="AS189" i="3"/>
  <c r="BH189" i="3" s="1"/>
  <c r="AT189" i="3"/>
  <c r="BJ189" i="3" s="1"/>
  <c r="BR189" i="3" s="1"/>
  <c r="BV189" i="3" s="1"/>
  <c r="AU189" i="3"/>
  <c r="BB189" i="3"/>
  <c r="BP189" i="3" a="1"/>
  <c r="BP189" i="3" s="1"/>
  <c r="AX205" i="1"/>
  <c r="N205" i="1"/>
  <c r="AY205" i="1"/>
  <c r="O205" i="1"/>
  <c r="AZ205" i="1"/>
  <c r="CB205" i="1"/>
  <c r="BC205" i="1"/>
  <c r="CE205" i="1"/>
  <c r="BJ205" i="1"/>
  <c r="BI205" i="1"/>
  <c r="BL205" i="1" s="1"/>
  <c r="CF205" i="1"/>
  <c r="CG205" i="1"/>
  <c r="CH205" i="1"/>
  <c r="BO205" i="1"/>
  <c r="BQ205" i="1" s="1"/>
  <c r="BN205" i="1" s="1"/>
  <c r="CJ205" i="1"/>
  <c r="S205" i="1"/>
  <c r="CC205" i="1"/>
  <c r="AQ205" i="1" s="1"/>
  <c r="BS205" i="1" s="1"/>
  <c r="CI205" i="1"/>
  <c r="AC205" i="5"/>
  <c r="K205" i="1"/>
  <c r="BE189" i="3"/>
  <c r="X205" i="5"/>
  <c r="Y205" i="5"/>
  <c r="W205" i="5"/>
  <c r="M205" i="1"/>
  <c r="AP205" i="1"/>
  <c r="AB205" i="5" s="1"/>
  <c r="BD205" i="1"/>
  <c r="BE205" i="1"/>
  <c r="J205" i="1"/>
  <c r="BH205" i="1"/>
  <c r="AP190" i="3"/>
  <c r="AQ190" i="3" s="1"/>
  <c r="BG190" i="3"/>
  <c r="E206" i="5" s="1"/>
  <c r="AS190" i="3"/>
  <c r="AT190" i="3"/>
  <c r="BJ190" i="3" s="1"/>
  <c r="BP190" i="3" a="1"/>
  <c r="BP190" i="3" s="1"/>
  <c r="AX190" i="3"/>
  <c r="BQ190" i="3"/>
  <c r="BE190" i="3"/>
  <c r="BF190" i="3"/>
  <c r="BB190" i="3"/>
  <c r="CC206" i="1"/>
  <c r="AQ206" i="1" s="1"/>
  <c r="BS206" i="1" s="1"/>
  <c r="S206" i="1"/>
  <c r="BC206" i="1"/>
  <c r="CE206" i="1"/>
  <c r="BI206" i="1"/>
  <c r="BL206" i="1" s="1"/>
  <c r="CF206" i="1"/>
  <c r="BJ206" i="1"/>
  <c r="CG206" i="1"/>
  <c r="BO206" i="1"/>
  <c r="BQ206" i="1" s="1"/>
  <c r="BN206" i="1" s="1"/>
  <c r="CI206" i="1"/>
  <c r="CJ206" i="1"/>
  <c r="AX206" i="1"/>
  <c r="CB206" i="1"/>
  <c r="CH206" i="1"/>
  <c r="AZ206" i="1"/>
  <c r="AY206" i="1"/>
  <c r="AC206" i="5"/>
  <c r="Y206" i="5"/>
  <c r="BC190" i="3"/>
  <c r="X206" i="5"/>
  <c r="W206" i="5"/>
  <c r="M206" i="1"/>
  <c r="BE206" i="1"/>
  <c r="BD206" i="1"/>
  <c r="K206" i="1"/>
  <c r="BH206" i="1"/>
  <c r="AP206" i="1"/>
  <c r="AB206" i="5" s="1"/>
  <c r="J206" i="1"/>
  <c r="BF191" i="3"/>
  <c r="BP191" i="3" a="1"/>
  <c r="BP191" i="3" s="1"/>
  <c r="BT191" i="3" s="1"/>
  <c r="AS191" i="3"/>
  <c r="BH191" i="3" s="1"/>
  <c r="AT191" i="3"/>
  <c r="AP191" i="3"/>
  <c r="AQ191" i="3" s="1"/>
  <c r="AC207" i="5"/>
  <c r="Y207" i="5"/>
  <c r="W207" i="5"/>
  <c r="X207" i="5"/>
  <c r="AI207" i="1"/>
  <c r="BJ207" i="1"/>
  <c r="CG207" i="1"/>
  <c r="CH207" i="1"/>
  <c r="BO207" i="1"/>
  <c r="BQ207" i="1" s="1"/>
  <c r="BN207" i="1" s="1"/>
  <c r="CI207" i="1"/>
  <c r="AX207" i="1"/>
  <c r="N207" i="1"/>
  <c r="AY207" i="1"/>
  <c r="CB207" i="1"/>
  <c r="CC207" i="1"/>
  <c r="AQ207" i="1" s="1"/>
  <c r="BS207" i="1" s="1"/>
  <c r="CE207" i="1"/>
  <c r="CF207" i="1"/>
  <c r="BC207" i="1"/>
  <c r="CJ207" i="1"/>
  <c r="O207" i="1"/>
  <c r="S207" i="1"/>
  <c r="BI207" i="1"/>
  <c r="BL207" i="1" s="1"/>
  <c r="BG191" i="3"/>
  <c r="AU191" i="3"/>
  <c r="BE191" i="3"/>
  <c r="BE207" i="1"/>
  <c r="M207" i="1"/>
  <c r="J207" i="1"/>
  <c r="AZ207" i="1" s="1"/>
  <c r="BH207" i="1"/>
  <c r="BD207" i="1"/>
  <c r="K207" i="1"/>
  <c r="AP207" i="1"/>
  <c r="AB207" i="5" s="1"/>
  <c r="AT192" i="3"/>
  <c r="AD208" i="1" s="1"/>
  <c r="BF192" i="3"/>
  <c r="BG192" i="3"/>
  <c r="AP192" i="3"/>
  <c r="AQ192" i="3" s="1"/>
  <c r="BQ192" i="3"/>
  <c r="AS192" i="3"/>
  <c r="BH192" i="3" s="1"/>
  <c r="BP192" i="3" a="1"/>
  <c r="BP192" i="3" s="1"/>
  <c r="CJ208" i="1"/>
  <c r="AY208" i="1"/>
  <c r="N208" i="1"/>
  <c r="CB208" i="1"/>
  <c r="CC208" i="1"/>
  <c r="AQ208" i="1" s="1"/>
  <c r="BS208" i="1" s="1"/>
  <c r="O208" i="1"/>
  <c r="BC208" i="1"/>
  <c r="CE208" i="1"/>
  <c r="AX208" i="1"/>
  <c r="BI208" i="1"/>
  <c r="BL208" i="1" s="1"/>
  <c r="CF208" i="1"/>
  <c r="CG208" i="1"/>
  <c r="CH208" i="1"/>
  <c r="BJ208" i="1"/>
  <c r="AI208" i="1"/>
  <c r="BO208" i="1"/>
  <c r="BQ208" i="1" s="1"/>
  <c r="BN208" i="1" s="1"/>
  <c r="CI208" i="1"/>
  <c r="AC208" i="5"/>
  <c r="X208" i="5"/>
  <c r="BE192" i="3"/>
  <c r="BE208" i="1"/>
  <c r="Y208" i="5"/>
  <c r="BC192" i="3"/>
  <c r="W208" i="5"/>
  <c r="BH208" i="1"/>
  <c r="AP208" i="1"/>
  <c r="AB208" i="5" s="1"/>
  <c r="M208" i="1"/>
  <c r="BD208" i="1"/>
  <c r="K208" i="1"/>
  <c r="J208" i="1"/>
  <c r="AZ208" i="1" s="1"/>
  <c r="AS193" i="3"/>
  <c r="BH193" i="3" s="1"/>
  <c r="AT193" i="3"/>
  <c r="BJ193" i="3" s="1"/>
  <c r="AU193" i="3"/>
  <c r="BP193" i="3" a="1"/>
  <c r="BP193" i="3" s="1"/>
  <c r="BT193" i="3" s="1"/>
  <c r="AP193" i="3"/>
  <c r="AQ193" i="3" s="1"/>
  <c r="BQ193" i="3"/>
  <c r="BF193" i="3"/>
  <c r="AC209" i="5"/>
  <c r="Y209" i="5"/>
  <c r="X209" i="5"/>
  <c r="AX209" i="1"/>
  <c r="AY209" i="1"/>
  <c r="N209" i="1"/>
  <c r="BC209" i="1"/>
  <c r="CE209" i="1"/>
  <c r="BI209" i="1"/>
  <c r="BL209" i="1" s="1"/>
  <c r="BJ209" i="1"/>
  <c r="CF209" i="1"/>
  <c r="CG209" i="1"/>
  <c r="AI209" i="1"/>
  <c r="CB209" i="1"/>
  <c r="CC209" i="1"/>
  <c r="AQ209" i="1" s="1"/>
  <c r="BS209" i="1" s="1"/>
  <c r="CH209" i="1"/>
  <c r="CI209" i="1"/>
  <c r="CJ209" i="1"/>
  <c r="O209" i="1"/>
  <c r="BO209" i="1"/>
  <c r="BQ209" i="1" s="1"/>
  <c r="BN209" i="1" s="1"/>
  <c r="W209" i="5"/>
  <c r="BG193" i="3"/>
  <c r="BB193" i="3"/>
  <c r="M209" i="1"/>
  <c r="BE193" i="3"/>
  <c r="BL193" i="3" s="1"/>
  <c r="BI193" i="3"/>
  <c r="BE209" i="1"/>
  <c r="BC193" i="3"/>
  <c r="K209" i="1"/>
  <c r="J209" i="1"/>
  <c r="AZ209" i="1" s="1"/>
  <c r="AP209" i="1"/>
  <c r="AB209" i="5" s="1"/>
  <c r="BD209" i="1"/>
  <c r="BH209" i="1"/>
  <c r="BP187" i="3" a="1"/>
  <c r="BP187" i="3" s="1"/>
  <c r="AS187" i="3"/>
  <c r="BH187" i="3" s="1"/>
  <c r="AT187" i="3"/>
  <c r="BJ187" i="3" s="1"/>
  <c r="BF187" i="3"/>
  <c r="BG187" i="3"/>
  <c r="BO203" i="1"/>
  <c r="BQ203" i="1" s="1"/>
  <c r="BN203" i="1" s="1"/>
  <c r="CI203" i="1"/>
  <c r="CJ203" i="1"/>
  <c r="J203" i="1"/>
  <c r="AX203" i="1"/>
  <c r="N203" i="1"/>
  <c r="AY203" i="1"/>
  <c r="CB203" i="1"/>
  <c r="S203" i="1"/>
  <c r="CC203" i="1"/>
  <c r="AQ203" i="1" s="1"/>
  <c r="BS203" i="1" s="1"/>
  <c r="BC203" i="1"/>
  <c r="CE203" i="1"/>
  <c r="BI203" i="1"/>
  <c r="BL203" i="1" s="1"/>
  <c r="CF203" i="1"/>
  <c r="CH203" i="1"/>
  <c r="AZ203" i="1"/>
  <c r="O203" i="1"/>
  <c r="BJ203" i="1"/>
  <c r="CG203" i="1"/>
  <c r="W203" i="5"/>
  <c r="AC203" i="5"/>
  <c r="M203" i="1"/>
  <c r="BB187" i="3"/>
  <c r="Y203" i="5"/>
  <c r="X203" i="5"/>
  <c r="BE187" i="3"/>
  <c r="BL187" i="3" s="1"/>
  <c r="BE203" i="1"/>
  <c r="K203" i="1"/>
  <c r="AP203" i="1"/>
  <c r="AB203" i="5" s="1"/>
  <c r="BH203" i="1"/>
  <c r="BD203" i="1"/>
  <c r="AS185" i="3"/>
  <c r="BH185" i="3" s="1"/>
  <c r="AT185" i="3"/>
  <c r="BJ185" i="3" s="1"/>
  <c r="BP185" i="3" a="1"/>
  <c r="BP185" i="3" s="1"/>
  <c r="BT185" i="3" s="1"/>
  <c r="AX185" i="3"/>
  <c r="AP185" i="3"/>
  <c r="AQ185" i="3" s="1"/>
  <c r="BF185" i="3"/>
  <c r="BO201" i="1"/>
  <c r="BQ201" i="1" s="1"/>
  <c r="BN201" i="1" s="1"/>
  <c r="CI201" i="1"/>
  <c r="CJ201" i="1"/>
  <c r="AX201" i="1"/>
  <c r="AZ201" i="1"/>
  <c r="CB201" i="1"/>
  <c r="S201" i="1"/>
  <c r="CC201" i="1"/>
  <c r="AQ201" i="1" s="1"/>
  <c r="BS201" i="1" s="1"/>
  <c r="CE201" i="1"/>
  <c r="BC201" i="1"/>
  <c r="CF201" i="1"/>
  <c r="AI201" i="1"/>
  <c r="BI201" i="1"/>
  <c r="BL201" i="1" s="1"/>
  <c r="CG201" i="1"/>
  <c r="CH201" i="1"/>
  <c r="AY201" i="1"/>
  <c r="J201" i="1"/>
  <c r="BJ201" i="1"/>
  <c r="BG185" i="3"/>
  <c r="AC201" i="5"/>
  <c r="Y201" i="5"/>
  <c r="X201" i="5"/>
  <c r="BB185" i="3"/>
  <c r="BN185" i="3" s="1"/>
  <c r="W201" i="5"/>
  <c r="BE185" i="3"/>
  <c r="AP201" i="1"/>
  <c r="AB201" i="5" s="1"/>
  <c r="K201" i="1"/>
  <c r="BE201" i="1"/>
  <c r="M201" i="1"/>
  <c r="BH201" i="1"/>
  <c r="BD201" i="1"/>
  <c r="BF202" i="3"/>
  <c r="AP202" i="3"/>
  <c r="AQ202" i="3" s="1"/>
  <c r="BP202" i="3" a="1"/>
  <c r="BP202" i="3" s="1"/>
  <c r="BT202" i="3" s="1"/>
  <c r="AU202" i="3"/>
  <c r="AX202" i="3"/>
  <c r="AS202" i="3"/>
  <c r="BH202" i="3" s="1"/>
  <c r="AT202" i="3"/>
  <c r="BJ202" i="3" s="1"/>
  <c r="BB202" i="3"/>
  <c r="BN202" i="3" s="1"/>
  <c r="BG202" i="3"/>
  <c r="E213" i="5" s="1"/>
  <c r="AS203" i="3"/>
  <c r="BH203" i="3" s="1"/>
  <c r="BO203" i="3" s="1"/>
  <c r="AT203" i="3"/>
  <c r="AX203" i="3"/>
  <c r="BB203" i="3"/>
  <c r="BF203" i="3"/>
  <c r="AP203" i="3"/>
  <c r="AQ203" i="3" s="1"/>
  <c r="BP203" i="3" a="1"/>
  <c r="BP203" i="3" s="1"/>
  <c r="BT203" i="3" s="1"/>
  <c r="BG203" i="3"/>
  <c r="AP204" i="3"/>
  <c r="AQ204" i="3" s="1"/>
  <c r="AS204" i="3"/>
  <c r="BH204" i="3" s="1"/>
  <c r="AT204" i="3"/>
  <c r="AX204" i="3"/>
  <c r="BP204" i="3" a="1"/>
  <c r="BP204" i="3" s="1"/>
  <c r="BT204" i="3" s="1"/>
  <c r="BF204" i="3"/>
  <c r="BG204" i="3"/>
  <c r="AU204" i="3"/>
  <c r="BG269" i="3"/>
  <c r="AP269" i="3"/>
  <c r="AQ269" i="3" s="1"/>
  <c r="BP269" i="3" a="1"/>
  <c r="BP269" i="3" s="1"/>
  <c r="BT269" i="3" s="1"/>
  <c r="AS269" i="3"/>
  <c r="BH269" i="3" s="1"/>
  <c r="AT269" i="3"/>
  <c r="AU269" i="3"/>
  <c r="BF269" i="3"/>
  <c r="BF270" i="3"/>
  <c r="BP270" i="3" a="1"/>
  <c r="BP270" i="3" s="1"/>
  <c r="BT270" i="3" s="1"/>
  <c r="AP270" i="3"/>
  <c r="AQ270" i="3" s="1"/>
  <c r="AS270" i="3"/>
  <c r="BH270" i="3" s="1"/>
  <c r="AT270" i="3"/>
  <c r="BJ270" i="3" s="1"/>
  <c r="BG270" i="3"/>
  <c r="AU270" i="3"/>
  <c r="BB270" i="3"/>
  <c r="BE107" i="3"/>
  <c r="AP107" i="3"/>
  <c r="AQ107" i="3" s="1"/>
  <c r="BF107" i="3"/>
  <c r="BG107" i="3"/>
  <c r="AT107" i="3"/>
  <c r="BJ107" i="3" s="1"/>
  <c r="AX107" i="3"/>
  <c r="BP107" i="3" a="1"/>
  <c r="BP107" i="3" s="1"/>
  <c r="BT107" i="3" s="1"/>
  <c r="AS107" i="3"/>
  <c r="BH107" i="3" s="1"/>
  <c r="AU107" i="3"/>
  <c r="AZ107" i="1"/>
  <c r="S107" i="1"/>
  <c r="CB107" i="1"/>
  <c r="CC107" i="1"/>
  <c r="AQ107" i="1" s="1"/>
  <c r="BS107" i="1" s="1"/>
  <c r="BC107" i="1"/>
  <c r="CE107" i="1"/>
  <c r="AI107" i="1"/>
  <c r="BI107" i="1"/>
  <c r="BL107" i="1" s="1"/>
  <c r="CF107" i="1"/>
  <c r="BJ107" i="1"/>
  <c r="CG107" i="1"/>
  <c r="CH107" i="1"/>
  <c r="BO107" i="1"/>
  <c r="BQ107" i="1" s="1"/>
  <c r="BN107" i="1" s="1"/>
  <c r="CI107" i="1"/>
  <c r="CJ107" i="1"/>
  <c r="AX107" i="1"/>
  <c r="AY107" i="1"/>
  <c r="BB107" i="3"/>
  <c r="AC107" i="5"/>
  <c r="W107" i="5"/>
  <c r="X107" i="5"/>
  <c r="M107" i="1"/>
  <c r="Y107" i="5"/>
  <c r="J107" i="1"/>
  <c r="AP107" i="1"/>
  <c r="AB107" i="5" s="1"/>
  <c r="BH107" i="1"/>
  <c r="K107" i="1"/>
  <c r="AP205" i="3"/>
  <c r="AQ205" i="3" s="1"/>
  <c r="AS205" i="3"/>
  <c r="BH205" i="3" s="1"/>
  <c r="AT205" i="3"/>
  <c r="BJ205" i="3" s="1"/>
  <c r="AU205" i="3"/>
  <c r="BF205" i="3"/>
  <c r="BP205" i="3" a="1"/>
  <c r="BP205" i="3" s="1"/>
  <c r="BT205" i="3" s="1"/>
  <c r="BG205" i="3"/>
  <c r="E218" i="5" s="1"/>
  <c r="BB205" i="3"/>
  <c r="BF311" i="3"/>
  <c r="BG311" i="3"/>
  <c r="BP311" i="3" a="1"/>
  <c r="BP311" i="3" s="1"/>
  <c r="BT311" i="3" s="1"/>
  <c r="AP311" i="3"/>
  <c r="AQ311" i="3" s="1"/>
  <c r="AS311" i="3"/>
  <c r="BH311" i="3" s="1"/>
  <c r="AT311" i="3"/>
  <c r="AX311" i="3"/>
  <c r="BB311" i="3"/>
  <c r="BG310" i="3"/>
  <c r="AP310" i="3"/>
  <c r="AQ310" i="3" s="1"/>
  <c r="BP310" i="3" a="1"/>
  <c r="BP310" i="3" s="1"/>
  <c r="BT310" i="3" s="1"/>
  <c r="AS310" i="3"/>
  <c r="BH310" i="3" s="1"/>
  <c r="BO310" i="3" s="1"/>
  <c r="AT310" i="3"/>
  <c r="BJ310" i="3" s="1"/>
  <c r="BR310" i="3" s="1"/>
  <c r="BV310" i="3" s="1"/>
  <c r="AX310" i="3"/>
  <c r="BB310" i="3"/>
  <c r="BN310" i="3" s="1"/>
  <c r="BF310" i="3"/>
  <c r="BP309" i="3" a="1"/>
  <c r="BP309" i="3" s="1"/>
  <c r="BT309" i="3" s="1"/>
  <c r="AP309" i="3"/>
  <c r="AQ309" i="3" s="1"/>
  <c r="AS309" i="3"/>
  <c r="BH309" i="3" s="1"/>
  <c r="AT309" i="3"/>
  <c r="BJ309" i="3" s="1"/>
  <c r="AX309" i="3"/>
  <c r="BF309" i="3"/>
  <c r="BG309" i="3"/>
  <c r="E309" i="5" s="1"/>
  <c r="BB309" i="3"/>
  <c r="BF278" i="3"/>
  <c r="BG278" i="3"/>
  <c r="E223" i="5" s="1"/>
  <c r="AS278" i="3"/>
  <c r="BH278" i="3" s="1"/>
  <c r="AT278" i="3"/>
  <c r="AU278" i="3" s="1"/>
  <c r="BP278" i="3" a="1"/>
  <c r="BP278" i="3" s="1"/>
  <c r="BT278" i="3" s="1"/>
  <c r="BF279" i="3"/>
  <c r="AS279" i="3"/>
  <c r="BH279" i="3" s="1"/>
  <c r="BO279" i="3" s="1"/>
  <c r="BP279" i="3" a="1"/>
  <c r="BP279" i="3" s="1"/>
  <c r="BT279" i="3" s="1"/>
  <c r="AT279" i="3"/>
  <c r="BB279" i="3"/>
  <c r="BG279" i="3"/>
  <c r="AS231" i="3"/>
  <c r="BH231" i="3" s="1"/>
  <c r="BO231" i="3" s="1"/>
  <c r="AT231" i="3"/>
  <c r="BJ231" i="3" s="1"/>
  <c r="AX231" i="3"/>
  <c r="BF231" i="3"/>
  <c r="BG231" i="3"/>
  <c r="E221" i="5" s="1"/>
  <c r="BP231" i="3" a="1"/>
  <c r="BP231" i="3" s="1"/>
  <c r="BT231" i="3" s="1"/>
  <c r="AP231" i="3"/>
  <c r="AQ231" i="3" s="1"/>
  <c r="BB231" i="3"/>
  <c r="BG289" i="3"/>
  <c r="BP289" i="3" a="1"/>
  <c r="BP289" i="3" s="1"/>
  <c r="BT289" i="3" s="1"/>
  <c r="AS289" i="3"/>
  <c r="BH289" i="3" s="1"/>
  <c r="AT289" i="3"/>
  <c r="AU289" i="3" s="1"/>
  <c r="BF289" i="3"/>
  <c r="AS219" i="3"/>
  <c r="BQ219" i="3"/>
  <c r="AX219" i="3"/>
  <c r="BE219" i="3"/>
  <c r="BF219" i="3"/>
  <c r="BC219" i="3" s="1"/>
  <c r="BG219" i="3"/>
  <c r="E224" i="5" s="1"/>
  <c r="BP219" i="3" a="1"/>
  <c r="BP219" i="3" s="1"/>
  <c r="AP219" i="3"/>
  <c r="AQ219" i="3" s="1"/>
  <c r="AT219" i="3"/>
  <c r="BJ219" i="3" s="1"/>
  <c r="BB219" i="3"/>
  <c r="AS256" i="3"/>
  <c r="BH256" i="3" s="1"/>
  <c r="BO256" i="3" s="1"/>
  <c r="AT256" i="3"/>
  <c r="BJ256" i="3" s="1"/>
  <c r="BF256" i="3"/>
  <c r="BG256" i="3"/>
  <c r="BP256" i="3" a="1"/>
  <c r="BP256" i="3" s="1"/>
  <c r="BT256" i="3" s="1"/>
  <c r="AP256" i="3"/>
  <c r="AQ256" i="3" s="1"/>
  <c r="BB256" i="3"/>
  <c r="AU256" i="3"/>
  <c r="AP224" i="3"/>
  <c r="AQ224" i="3" s="1"/>
  <c r="BQ224" i="3"/>
  <c r="AT224" i="3"/>
  <c r="BJ224" i="3" s="1"/>
  <c r="BP224" i="3" a="1"/>
  <c r="BP224" i="3" s="1"/>
  <c r="BE224" i="3"/>
  <c r="BF224" i="3"/>
  <c r="BC224" i="3" s="1"/>
  <c r="AS224" i="3"/>
  <c r="AX224" i="3"/>
  <c r="BB224" i="3"/>
  <c r="BG224" i="3"/>
  <c r="E227" i="5" s="1"/>
  <c r="AP226" i="3"/>
  <c r="AQ226" i="3" s="1"/>
  <c r="BF226" i="3"/>
  <c r="BE226" i="3"/>
  <c r="BG226" i="3"/>
  <c r="E228" i="5" s="1"/>
  <c r="AS226" i="3"/>
  <c r="BH226" i="3" s="1"/>
  <c r="AT226" i="3"/>
  <c r="BJ226" i="3" s="1"/>
  <c r="BP226" i="3" a="1"/>
  <c r="BP226" i="3" s="1"/>
  <c r="BT226" i="3" s="1"/>
  <c r="AX226" i="3"/>
  <c r="BB226" i="3"/>
  <c r="AT106" i="3"/>
  <c r="BJ106" i="3" s="1"/>
  <c r="AX106" i="3"/>
  <c r="BP106" i="3" a="1"/>
  <c r="BP106" i="3" s="1"/>
  <c r="BT106" i="3" s="1"/>
  <c r="BB106" i="3"/>
  <c r="AP106" i="3"/>
  <c r="AQ106" i="3" s="1"/>
  <c r="BF106" i="3"/>
  <c r="AS106" i="3"/>
  <c r="BH106" i="3" s="1"/>
  <c r="BG106" i="3"/>
  <c r="BE106" i="3"/>
  <c r="AX106" i="1"/>
  <c r="J106" i="1"/>
  <c r="AY106" i="1"/>
  <c r="AZ106" i="1"/>
  <c r="S106" i="1"/>
  <c r="CB106" i="1"/>
  <c r="CC106" i="1"/>
  <c r="AQ106" i="1" s="1"/>
  <c r="BS106" i="1" s="1"/>
  <c r="BC106" i="1"/>
  <c r="CE106" i="1"/>
  <c r="AI106" i="1"/>
  <c r="BI106" i="1"/>
  <c r="BL106" i="1" s="1"/>
  <c r="CF106" i="1"/>
  <c r="BJ106" i="1"/>
  <c r="CG106" i="1"/>
  <c r="CH106" i="1"/>
  <c r="BO106" i="1"/>
  <c r="BQ106" i="1" s="1"/>
  <c r="BN106" i="1" s="1"/>
  <c r="CI106" i="1"/>
  <c r="CJ106" i="1"/>
  <c r="Y106" i="5"/>
  <c r="AC106" i="5"/>
  <c r="X106" i="5"/>
  <c r="W106" i="5"/>
  <c r="AU106" i="3"/>
  <c r="AP106" i="1"/>
  <c r="AB106" i="5" s="1"/>
  <c r="BD106" i="1"/>
  <c r="M106" i="1"/>
  <c r="BE106" i="1"/>
  <c r="K106" i="1"/>
  <c r="BH106" i="1"/>
  <c r="R321" i="5"/>
  <c r="P321" i="5"/>
  <c r="BC259" i="3"/>
  <c r="BI259" i="3"/>
  <c r="BM259" i="3"/>
  <c r="BU264" i="3"/>
  <c r="AZ264" i="3"/>
  <c r="BQ264" i="3"/>
  <c r="AZ326" i="3"/>
  <c r="BI326" i="3"/>
  <c r="BM326" i="3"/>
  <c r="BQ326" i="3"/>
  <c r="BQ302" i="3"/>
  <c r="BU302" i="3"/>
  <c r="AZ302" i="3"/>
  <c r="BC302" i="3"/>
  <c r="BI302" i="3"/>
  <c r="BM302" i="3"/>
  <c r="BQ313" i="3"/>
  <c r="AZ313" i="3"/>
  <c r="BU313" i="3"/>
  <c r="BC313" i="3"/>
  <c r="BI313" i="3"/>
  <c r="BM313" i="3"/>
  <c r="BM248" i="3"/>
  <c r="BQ248" i="3"/>
  <c r="AZ248" i="3"/>
  <c r="AZ259" i="3"/>
  <c r="BQ259" i="3"/>
  <c r="BU259" i="3"/>
  <c r="BC264" i="3"/>
  <c r="BI264" i="3"/>
  <c r="BM264" i="3"/>
  <c r="BC326" i="3"/>
  <c r="BU326" i="3"/>
  <c r="BI248" i="3"/>
  <c r="BU248" i="3"/>
  <c r="BC248" i="3"/>
  <c r="L239" i="5"/>
  <c r="M239" i="5"/>
  <c r="U343" i="5"/>
  <c r="T343" i="5"/>
  <c r="V343" i="5"/>
  <c r="V344" i="5"/>
  <c r="T344" i="5"/>
  <c r="U344" i="5"/>
  <c r="T279" i="5"/>
  <c r="V279" i="5"/>
  <c r="U279" i="5"/>
  <c r="Z295" i="5"/>
  <c r="AA295" i="5"/>
  <c r="V168" i="5"/>
  <c r="U168" i="5"/>
  <c r="T168" i="5"/>
  <c r="M279" i="5"/>
  <c r="L279" i="5"/>
  <c r="N279" i="5"/>
  <c r="L243" i="5"/>
  <c r="M243" i="5"/>
  <c r="N343" i="5"/>
  <c r="M343" i="5"/>
  <c r="L343" i="5"/>
  <c r="M314" i="5"/>
  <c r="N314" i="5"/>
  <c r="L314" i="5"/>
  <c r="N278" i="5"/>
  <c r="M278" i="5"/>
  <c r="L278" i="5"/>
  <c r="M344" i="5"/>
  <c r="N344" i="5"/>
  <c r="L344" i="5"/>
  <c r="CB6" i="1"/>
  <c r="N6" i="1"/>
  <c r="BI6" i="1"/>
  <c r="BL6" i="1" s="1"/>
  <c r="BJ6" i="1"/>
  <c r="CE6" i="1"/>
  <c r="CF6" i="1"/>
  <c r="AX6" i="1"/>
  <c r="CG6" i="1"/>
  <c r="AI6" i="1"/>
  <c r="S6" i="5" s="1"/>
  <c r="AY6" i="1"/>
  <c r="BO6" i="1"/>
  <c r="BQ6" i="1" s="1"/>
  <c r="BN6" i="1" s="1"/>
  <c r="CH6" i="1"/>
  <c r="CI6" i="1"/>
  <c r="CJ6" i="1"/>
  <c r="J6" i="1"/>
  <c r="BC6" i="1"/>
  <c r="K6" i="1"/>
  <c r="BD6" i="1"/>
  <c r="M6" i="1"/>
  <c r="AP6" i="1"/>
  <c r="AB6" i="5" s="1"/>
  <c r="BE6" i="1"/>
  <c r="O6" i="1"/>
  <c r="BH6" i="1"/>
  <c r="CC6" i="1"/>
  <c r="BW318" i="1"/>
  <c r="AJ320" i="1"/>
  <c r="AK320" i="1"/>
  <c r="AL320" i="1"/>
  <c r="AM320" i="1"/>
  <c r="W253" i="1"/>
  <c r="U253" i="1"/>
  <c r="V253" i="1"/>
  <c r="T253" i="1"/>
  <c r="U273" i="1"/>
  <c r="T273" i="1"/>
  <c r="V273" i="1"/>
  <c r="W273" i="1"/>
  <c r="AJ336" i="1"/>
  <c r="AK336" i="1"/>
  <c r="AM336" i="1"/>
  <c r="AL336" i="1"/>
  <c r="AJ229" i="1"/>
  <c r="AM229" i="1"/>
  <c r="AK229" i="1"/>
  <c r="AL229" i="1"/>
  <c r="AL307" i="1"/>
  <c r="AK307" i="1"/>
  <c r="AM307" i="1"/>
  <c r="AJ307" i="1"/>
  <c r="AM277" i="1"/>
  <c r="AL277" i="1"/>
  <c r="AJ277" i="1"/>
  <c r="AK277" i="1"/>
  <c r="AL252" i="1"/>
  <c r="AM252" i="1"/>
  <c r="AJ252" i="1"/>
  <c r="AK252" i="1"/>
  <c r="AL293" i="1"/>
  <c r="AK293" i="1"/>
  <c r="AJ293" i="1"/>
  <c r="AM293" i="1"/>
  <c r="V295" i="1"/>
  <c r="U295" i="1"/>
  <c r="AM238" i="1"/>
  <c r="AJ238" i="1"/>
  <c r="AL238" i="1"/>
  <c r="AM259" i="1"/>
  <c r="AK238" i="1"/>
  <c r="X293" i="1"/>
  <c r="K293" i="5" s="1"/>
  <c r="X263" i="1"/>
  <c r="K263" i="5" s="1"/>
  <c r="X253" i="1"/>
  <c r="X252" i="1"/>
  <c r="X251" i="1"/>
  <c r="K251" i="5" s="1"/>
  <c r="X238" i="1"/>
  <c r="T295" i="1"/>
  <c r="W295" i="1"/>
  <c r="AJ263" i="1"/>
  <c r="AK263" i="1"/>
  <c r="AL263" i="1"/>
  <c r="AM263" i="1"/>
  <c r="AJ259" i="1"/>
  <c r="AK259" i="1"/>
  <c r="AL259" i="1"/>
  <c r="AD26" i="1"/>
  <c r="O26" i="5" s="1"/>
  <c r="AD27" i="1"/>
  <c r="O27" i="5" s="1"/>
  <c r="AD42" i="1"/>
  <c r="O42" i="5" s="1"/>
  <c r="AD43" i="1"/>
  <c r="AD44" i="1"/>
  <c r="O44" i="5" s="1"/>
  <c r="AD45" i="1"/>
  <c r="AD46" i="1"/>
  <c r="O46" i="5" s="1"/>
  <c r="AD49" i="1"/>
  <c r="O49" i="5" s="1"/>
  <c r="AD50" i="1"/>
  <c r="O50" i="5" s="1"/>
  <c r="AD52" i="1"/>
  <c r="O52" i="5" s="1"/>
  <c r="AD53" i="1"/>
  <c r="O53" i="5" s="1"/>
  <c r="AD54" i="1"/>
  <c r="O54" i="5" s="1"/>
  <c r="AD79" i="1"/>
  <c r="O79" i="5" s="1"/>
  <c r="AD80" i="1"/>
  <c r="O80" i="5" s="1"/>
  <c r="AD101" i="1"/>
  <c r="O101" i="5" s="1"/>
  <c r="AD102" i="1"/>
  <c r="O102" i="5" s="1"/>
  <c r="AD110" i="1"/>
  <c r="O110" i="5" s="1"/>
  <c r="AD116" i="1"/>
  <c r="O116" i="5" s="1"/>
  <c r="AD137" i="1"/>
  <c r="O137" i="5" s="1"/>
  <c r="AD209" i="1"/>
  <c r="O209" i="5" s="1"/>
  <c r="U231" i="3"/>
  <c r="AY231" i="3" s="1"/>
  <c r="E226" i="5"/>
  <c r="S336" i="5"/>
  <c r="S320" i="5"/>
  <c r="S307" i="5"/>
  <c r="E263" i="5"/>
  <c r="AD212" i="1"/>
  <c r="AD211" i="1"/>
  <c r="O211" i="5" s="1"/>
  <c r="AD210" i="1"/>
  <c r="O210" i="5" s="1"/>
  <c r="AD226" i="1"/>
  <c r="E252" i="5"/>
  <c r="W256" i="3"/>
  <c r="E293" i="5"/>
  <c r="E307" i="5"/>
  <c r="E219" i="5"/>
  <c r="S293" i="5"/>
  <c r="U205" i="3"/>
  <c r="AY205" i="3" s="1"/>
  <c r="W206" i="3"/>
  <c r="W289" i="3"/>
  <c r="S277" i="5"/>
  <c r="S263" i="5"/>
  <c r="T263" i="5" s="1"/>
  <c r="E295" i="5"/>
  <c r="E251" i="5"/>
  <c r="U289" i="3"/>
  <c r="AY289" i="3" s="1"/>
  <c r="U206" i="3"/>
  <c r="AY206" i="3" s="1"/>
  <c r="E238" i="5"/>
  <c r="E336" i="5"/>
  <c r="E277" i="5"/>
  <c r="E273" i="5"/>
  <c r="E259" i="5"/>
  <c r="E324" i="5"/>
  <c r="E229" i="5"/>
  <c r="U256" i="3"/>
  <c r="AY256" i="3" s="1"/>
  <c r="W205" i="3"/>
  <c r="AI227" i="1"/>
  <c r="X259" i="1"/>
  <c r="AI211" i="1"/>
  <c r="W195" i="3"/>
  <c r="AI213" i="1"/>
  <c r="W202" i="3"/>
  <c r="E214" i="5"/>
  <c r="AI214" i="1"/>
  <c r="W203" i="3"/>
  <c r="E215" i="5"/>
  <c r="AI215" i="1"/>
  <c r="W204" i="3"/>
  <c r="W269" i="3"/>
  <c r="W270" i="3"/>
  <c r="F320" i="5"/>
  <c r="F253" i="5"/>
  <c r="U310" i="3"/>
  <c r="AY310" i="3" s="1"/>
  <c r="E225" i="5"/>
  <c r="E222" i="5"/>
  <c r="E220" i="5"/>
  <c r="E300" i="5"/>
  <c r="W308" i="3"/>
  <c r="W311" i="3"/>
  <c r="U309" i="3"/>
  <c r="AY309" i="3" s="1"/>
  <c r="E211" i="5"/>
  <c r="W218" i="3"/>
  <c r="W231" i="3"/>
  <c r="W309" i="3"/>
  <c r="U218" i="3"/>
  <c r="AY218" i="3" s="1"/>
  <c r="AI224" i="1"/>
  <c r="AI223" i="1"/>
  <c r="W310" i="3"/>
  <c r="AI212" i="1"/>
  <c r="W196" i="3"/>
  <c r="AI210" i="1"/>
  <c r="E212" i="5"/>
  <c r="E210" i="5"/>
  <c r="W194" i="3"/>
  <c r="U311" i="3"/>
  <c r="AY311" i="3" s="1"/>
  <c r="V248" i="3"/>
  <c r="AI216" i="1"/>
  <c r="E216" i="5"/>
  <c r="AI217" i="1"/>
  <c r="E217" i="5"/>
  <c r="S177" i="1"/>
  <c r="E205" i="5"/>
  <c r="E207" i="5"/>
  <c r="H39" i="9"/>
  <c r="D39" i="9" s="1"/>
  <c r="E208" i="5"/>
  <c r="E209" i="5"/>
  <c r="E204" i="5"/>
  <c r="AI204" i="1"/>
  <c r="S209" i="1"/>
  <c r="S208" i="1"/>
  <c r="AI206" i="1"/>
  <c r="E201" i="5"/>
  <c r="E180" i="5"/>
  <c r="AI173" i="1"/>
  <c r="E203" i="5"/>
  <c r="AI175" i="1"/>
  <c r="E177" i="5"/>
  <c r="E178" i="5"/>
  <c r="E172" i="5"/>
  <c r="E169" i="5"/>
  <c r="E175" i="5"/>
  <c r="E199" i="5"/>
  <c r="X174" i="1"/>
  <c r="AI170" i="1"/>
  <c r="E170" i="5"/>
  <c r="H409" i="1" l="1"/>
  <c r="BW409" i="1"/>
  <c r="L207" i="1"/>
  <c r="L157" i="1"/>
  <c r="BM26" i="3"/>
  <c r="BM49" i="3"/>
  <c r="BM50" i="3"/>
  <c r="AU231" i="3"/>
  <c r="BO59" i="3"/>
  <c r="BT54" i="3"/>
  <c r="BB53" i="3"/>
  <c r="BT11" i="3"/>
  <c r="BB159" i="3"/>
  <c r="AU159" i="3"/>
  <c r="AU147" i="3"/>
  <c r="BO309" i="3"/>
  <c r="S169" i="1"/>
  <c r="AI203" i="1"/>
  <c r="AU226" i="3"/>
  <c r="BO204" i="3"/>
  <c r="AU192" i="3"/>
  <c r="BT132" i="3"/>
  <c r="AU127" i="3"/>
  <c r="BO119" i="3"/>
  <c r="BT90" i="3"/>
  <c r="BO77" i="3"/>
  <c r="BL76" i="3"/>
  <c r="BB69" i="3"/>
  <c r="BO68" i="3"/>
  <c r="AU62" i="3"/>
  <c r="BO58" i="3"/>
  <c r="BT159" i="3"/>
  <c r="BO141" i="3"/>
  <c r="BO145" i="3"/>
  <c r="AI324" i="1"/>
  <c r="BL129" i="3"/>
  <c r="AU160" i="3"/>
  <c r="BO138" i="3"/>
  <c r="BL136" i="3"/>
  <c r="BO205" i="3"/>
  <c r="BO202" i="3"/>
  <c r="AU185" i="3"/>
  <c r="AU187" i="3"/>
  <c r="BO193" i="3"/>
  <c r="BL192" i="3"/>
  <c r="AU181" i="3"/>
  <c r="BO113" i="3"/>
  <c r="AU101" i="3"/>
  <c r="BO95" i="3"/>
  <c r="BO89" i="3"/>
  <c r="BL57" i="3"/>
  <c r="BB57" i="3"/>
  <c r="BL56" i="3"/>
  <c r="BB50" i="3"/>
  <c r="BI46" i="3"/>
  <c r="BU46" i="3" s="1"/>
  <c r="BO44" i="3"/>
  <c r="BB40" i="3"/>
  <c r="BO37" i="3"/>
  <c r="AU34" i="3"/>
  <c r="BO30" i="3"/>
  <c r="BO18" i="3"/>
  <c r="AU8" i="3"/>
  <c r="BO151" i="3"/>
  <c r="E174" i="5"/>
  <c r="BB175" i="3"/>
  <c r="BO174" i="3"/>
  <c r="BO164" i="3"/>
  <c r="BL90" i="3"/>
  <c r="S176" i="1"/>
  <c r="BO278" i="3"/>
  <c r="BT175" i="3"/>
  <c r="AU165" i="3"/>
  <c r="BO130" i="3"/>
  <c r="BO128" i="3"/>
  <c r="AD218" i="1"/>
  <c r="AD169" i="1"/>
  <c r="O169" i="5" s="1"/>
  <c r="AD51" i="1"/>
  <c r="O51" i="5" s="1"/>
  <c r="BO311" i="3"/>
  <c r="BO269" i="3"/>
  <c r="BL185" i="3"/>
  <c r="AU188" i="3"/>
  <c r="BB186" i="3"/>
  <c r="BB182" i="3"/>
  <c r="BN182" i="3" s="1"/>
  <c r="BO182" i="3"/>
  <c r="BL180" i="3"/>
  <c r="BL178" i="3"/>
  <c r="BO173" i="3"/>
  <c r="AU172" i="3"/>
  <c r="BL169" i="3"/>
  <c r="BL167" i="3"/>
  <c r="BL128" i="3"/>
  <c r="AU126" i="3"/>
  <c r="BL125" i="3"/>
  <c r="BL120" i="3"/>
  <c r="BB116" i="3"/>
  <c r="AU115" i="3"/>
  <c r="BL113" i="3"/>
  <c r="BB112" i="3"/>
  <c r="AU111" i="3"/>
  <c r="BL109" i="3"/>
  <c r="BB101" i="3"/>
  <c r="BT101" i="3"/>
  <c r="BL100" i="3"/>
  <c r="AU75" i="3"/>
  <c r="BO72" i="3"/>
  <c r="BL63" i="3"/>
  <c r="AU59" i="3"/>
  <c r="BB41" i="3"/>
  <c r="AU40" i="3"/>
  <c r="BL33" i="3"/>
  <c r="AU18" i="3"/>
  <c r="BB17" i="3"/>
  <c r="BB14" i="3"/>
  <c r="BO148" i="3"/>
  <c r="BO76" i="3"/>
  <c r="AU68" i="3"/>
  <c r="BU49" i="3"/>
  <c r="BB141" i="3"/>
  <c r="BL142" i="3"/>
  <c r="BO181" i="3"/>
  <c r="BT127" i="3"/>
  <c r="BL69" i="3"/>
  <c r="AU42" i="3"/>
  <c r="BB36" i="3"/>
  <c r="AU33" i="3"/>
  <c r="BB29" i="3"/>
  <c r="BC29" i="3" s="1"/>
  <c r="BM29" i="3" s="1"/>
  <c r="BO28" i="3"/>
  <c r="BU25" i="3"/>
  <c r="BL24" i="3"/>
  <c r="BO12" i="3"/>
  <c r="BB9" i="3"/>
  <c r="BT5" i="3"/>
  <c r="BO157" i="3"/>
  <c r="BO147" i="3"/>
  <c r="AI205" i="1"/>
  <c r="AD112" i="1"/>
  <c r="O112" i="5" s="1"/>
  <c r="BO289" i="3"/>
  <c r="AU309" i="3"/>
  <c r="AU310" i="3"/>
  <c r="BL189" i="3"/>
  <c r="BO183" i="3"/>
  <c r="BT177" i="3"/>
  <c r="BO176" i="3"/>
  <c r="BL175" i="3"/>
  <c r="BN172" i="3"/>
  <c r="BO172" i="3"/>
  <c r="BT167" i="3"/>
  <c r="AU166" i="3"/>
  <c r="BL164" i="3"/>
  <c r="BL139" i="3"/>
  <c r="BO135" i="3"/>
  <c r="BB134" i="3"/>
  <c r="BL133" i="3"/>
  <c r="BT125" i="3"/>
  <c r="BT123" i="3"/>
  <c r="BL119" i="3"/>
  <c r="BT118" i="3"/>
  <c r="BB117" i="3"/>
  <c r="BN117" i="3" s="1"/>
  <c r="BO115" i="3"/>
  <c r="BO111" i="3"/>
  <c r="BL98" i="3"/>
  <c r="BL82" i="3"/>
  <c r="AU76" i="3"/>
  <c r="BO75" i="3"/>
  <c r="BL73" i="3"/>
  <c r="BL71" i="3"/>
  <c r="AU71" i="3"/>
  <c r="BO70" i="3"/>
  <c r="BB59" i="3"/>
  <c r="AU57" i="3"/>
  <c r="AU56" i="3"/>
  <c r="BL51" i="3"/>
  <c r="AU49" i="3"/>
  <c r="BT48" i="3"/>
  <c r="AU44" i="3"/>
  <c r="BL42" i="3"/>
  <c r="BO39" i="3"/>
  <c r="AU35" i="3"/>
  <c r="BT28" i="3"/>
  <c r="BO25" i="3"/>
  <c r="AU24" i="3"/>
  <c r="BL6" i="3"/>
  <c r="BL132" i="3"/>
  <c r="AU123" i="3"/>
  <c r="BO120" i="3"/>
  <c r="BL117" i="3"/>
  <c r="AU95" i="3"/>
  <c r="BO94" i="3"/>
  <c r="BB90" i="3"/>
  <c r="BB87" i="3"/>
  <c r="BL67" i="3"/>
  <c r="BO66" i="3"/>
  <c r="BI54" i="3"/>
  <c r="BU54" i="3" s="1"/>
  <c r="BL46" i="3"/>
  <c r="BT42" i="3"/>
  <c r="BL37" i="3"/>
  <c r="BB37" i="3"/>
  <c r="BL36" i="3"/>
  <c r="BT32" i="3"/>
  <c r="AU29" i="3"/>
  <c r="BB27" i="3"/>
  <c r="BL146" i="3"/>
  <c r="AI179" i="1"/>
  <c r="BO270" i="3"/>
  <c r="BO188" i="3"/>
  <c r="BL179" i="3"/>
  <c r="BT179" i="3"/>
  <c r="BO177" i="3"/>
  <c r="BO167" i="3"/>
  <c r="BO166" i="3"/>
  <c r="BB132" i="3"/>
  <c r="BL126" i="3"/>
  <c r="BO123" i="3"/>
  <c r="BL121" i="3"/>
  <c r="BT117" i="3"/>
  <c r="BT110" i="3"/>
  <c r="BL94" i="3"/>
  <c r="BO87" i="3"/>
  <c r="BB84" i="3"/>
  <c r="BL83" i="3"/>
  <c r="BT82" i="3"/>
  <c r="AU78" i="3"/>
  <c r="BB75" i="3"/>
  <c r="BO74" i="3"/>
  <c r="BB71" i="3"/>
  <c r="BO65" i="3"/>
  <c r="BO47" i="3"/>
  <c r="BB44" i="3"/>
  <c r="AU28" i="3"/>
  <c r="BT22" i="3"/>
  <c r="BL4" i="3"/>
  <c r="BL154" i="3"/>
  <c r="BO185" i="3"/>
  <c r="BO187" i="3"/>
  <c r="BB183" i="3"/>
  <c r="BB174" i="3"/>
  <c r="BO139" i="3"/>
  <c r="BO121" i="3"/>
  <c r="BB97" i="3"/>
  <c r="BL84" i="3"/>
  <c r="BL81" i="3"/>
  <c r="BL54" i="3"/>
  <c r="BB46" i="3"/>
  <c r="BB34" i="3"/>
  <c r="BO32" i="3"/>
  <c r="BB22" i="3"/>
  <c r="BB18" i="3"/>
  <c r="BL159" i="3"/>
  <c r="BL141" i="3"/>
  <c r="BB144" i="3"/>
  <c r="BL145" i="3"/>
  <c r="BB146" i="3"/>
  <c r="BT187" i="3"/>
  <c r="BT192" i="3"/>
  <c r="AU186" i="3"/>
  <c r="AU183" i="3"/>
  <c r="BB181" i="3"/>
  <c r="BO165" i="3"/>
  <c r="BB160" i="3"/>
  <c r="BO137" i="3"/>
  <c r="BO133" i="3"/>
  <c r="BB123" i="3"/>
  <c r="BO122" i="3"/>
  <c r="AU119" i="3"/>
  <c r="BO118" i="3"/>
  <c r="AU116" i="3"/>
  <c r="BT84" i="3"/>
  <c r="BB83" i="3"/>
  <c r="BO78" i="3"/>
  <c r="BL77" i="3"/>
  <c r="BO73" i="3"/>
  <c r="BB70" i="3"/>
  <c r="AU69" i="3"/>
  <c r="BB68" i="3"/>
  <c r="BL58" i="3"/>
  <c r="BB56" i="3"/>
  <c r="BM54" i="3"/>
  <c r="AU54" i="3"/>
  <c r="BT46" i="3"/>
  <c r="BL40" i="3"/>
  <c r="BB33" i="3"/>
  <c r="BO29" i="3"/>
  <c r="BT27" i="3"/>
  <c r="AU22" i="3"/>
  <c r="BO21" i="3"/>
  <c r="BL17" i="3"/>
  <c r="BB13" i="3"/>
  <c r="BT8" i="3"/>
  <c r="BO152" i="3"/>
  <c r="AU146" i="3"/>
  <c r="BL149" i="3"/>
  <c r="BO134" i="3"/>
  <c r="BB115" i="3"/>
  <c r="L80" i="1"/>
  <c r="L11" i="1"/>
  <c r="L100" i="1"/>
  <c r="L99" i="1"/>
  <c r="AV289" i="3"/>
  <c r="L208" i="1"/>
  <c r="L136" i="1"/>
  <c r="L42" i="1"/>
  <c r="L61" i="1"/>
  <c r="AV383" i="3"/>
  <c r="BR399" i="1" s="1"/>
  <c r="AV36" i="3"/>
  <c r="AV24" i="3"/>
  <c r="L20" i="1"/>
  <c r="L142" i="1"/>
  <c r="L175" i="1"/>
  <c r="L45" i="1"/>
  <c r="L160" i="1"/>
  <c r="L174" i="1"/>
  <c r="L40" i="1"/>
  <c r="L32" i="1"/>
  <c r="L122" i="1"/>
  <c r="L119" i="1"/>
  <c r="L84" i="1"/>
  <c r="L178" i="1"/>
  <c r="AV38" i="3"/>
  <c r="L50" i="1"/>
  <c r="L108" i="1"/>
  <c r="AV14" i="3"/>
  <c r="L95" i="1"/>
  <c r="L112" i="1"/>
  <c r="L184" i="1"/>
  <c r="L23" i="1"/>
  <c r="L121" i="1"/>
  <c r="L22" i="1"/>
  <c r="L65" i="1"/>
  <c r="AV21" i="3"/>
  <c r="BU113" i="1"/>
  <c r="BU61" i="1"/>
  <c r="BU203" i="1"/>
  <c r="L203" i="1"/>
  <c r="L182" i="1"/>
  <c r="L137" i="1"/>
  <c r="L129" i="1"/>
  <c r="L106" i="1"/>
  <c r="AV187" i="3"/>
  <c r="L128" i="1"/>
  <c r="L127" i="1"/>
  <c r="L67" i="1"/>
  <c r="L47" i="1"/>
  <c r="BU25" i="1"/>
  <c r="L12" i="1"/>
  <c r="L197" i="1"/>
  <c r="L83" i="1"/>
  <c r="L81" i="1"/>
  <c r="L194" i="1"/>
  <c r="L62" i="1"/>
  <c r="L146" i="1"/>
  <c r="L179" i="1"/>
  <c r="L118" i="1"/>
  <c r="AV89" i="3"/>
  <c r="L133" i="1"/>
  <c r="L116" i="1"/>
  <c r="L54" i="1"/>
  <c r="L39" i="1"/>
  <c r="L143" i="1"/>
  <c r="L87" i="1"/>
  <c r="AV35" i="3"/>
  <c r="AV51" i="3"/>
  <c r="AV157" i="3"/>
  <c r="AV144" i="3"/>
  <c r="AV123" i="3"/>
  <c r="AV78" i="3"/>
  <c r="AV17" i="3"/>
  <c r="AV116" i="3"/>
  <c r="AV72" i="3"/>
  <c r="AV49" i="3"/>
  <c r="AV86" i="3"/>
  <c r="AZ69" i="1"/>
  <c r="L35" i="1"/>
  <c r="L167" i="1"/>
  <c r="L104" i="1"/>
  <c r="L186" i="1"/>
  <c r="L51" i="1"/>
  <c r="L26" i="1"/>
  <c r="L147" i="1"/>
  <c r="AV189" i="3"/>
  <c r="L166" i="1"/>
  <c r="L172" i="1"/>
  <c r="L161" i="1"/>
  <c r="L102" i="1"/>
  <c r="BU99" i="1"/>
  <c r="L94" i="1"/>
  <c r="L29" i="1"/>
  <c r="L9" i="1"/>
  <c r="L204" i="1"/>
  <c r="L130" i="1"/>
  <c r="L125" i="1"/>
  <c r="BU80" i="1"/>
  <c r="AV68" i="3"/>
  <c r="L155" i="1"/>
  <c r="L126" i="1"/>
  <c r="L77" i="1"/>
  <c r="L73" i="1"/>
  <c r="AV46" i="3"/>
  <c r="AV22" i="3"/>
  <c r="L200" i="1"/>
  <c r="L93" i="1"/>
  <c r="L88" i="1"/>
  <c r="L185" i="1"/>
  <c r="L58" i="1"/>
  <c r="L36" i="1"/>
  <c r="L162" i="1"/>
  <c r="L180" i="1"/>
  <c r="L176" i="1"/>
  <c r="L164" i="1"/>
  <c r="L135" i="1"/>
  <c r="L96" i="1"/>
  <c r="L183" i="1"/>
  <c r="L52" i="1"/>
  <c r="AV31" i="3"/>
  <c r="AV3" i="3"/>
  <c r="L139" i="1"/>
  <c r="L89" i="1"/>
  <c r="L170" i="1"/>
  <c r="L91" i="1"/>
  <c r="L195" i="1"/>
  <c r="L57" i="1"/>
  <c r="AV44" i="3"/>
  <c r="L18" i="1"/>
  <c r="L151" i="1"/>
  <c r="AV97" i="3"/>
  <c r="AV82" i="3"/>
  <c r="AV191" i="3"/>
  <c r="AV177" i="3"/>
  <c r="AV162" i="3"/>
  <c r="AV132" i="3"/>
  <c r="AV120" i="3"/>
  <c r="AV149" i="3"/>
  <c r="BU172" i="1"/>
  <c r="AV115" i="3"/>
  <c r="AV125" i="3"/>
  <c r="AV110" i="3"/>
  <c r="AV29" i="3"/>
  <c r="AV179" i="3"/>
  <c r="AV175" i="3"/>
  <c r="AV166" i="3"/>
  <c r="AV138" i="3"/>
  <c r="AV130" i="3"/>
  <c r="AZ129" i="1"/>
  <c r="AV100" i="3"/>
  <c r="BU96" i="1"/>
  <c r="AV50" i="3"/>
  <c r="AV279" i="3"/>
  <c r="AV129" i="3"/>
  <c r="AV84" i="3"/>
  <c r="AV60" i="3"/>
  <c r="AV59" i="3"/>
  <c r="AV57" i="3"/>
  <c r="BU39" i="1"/>
  <c r="AV155" i="3"/>
  <c r="AV146" i="3"/>
  <c r="BU55" i="1"/>
  <c r="AV11" i="3"/>
  <c r="AV158" i="3"/>
  <c r="AV180" i="3"/>
  <c r="BU137" i="1"/>
  <c r="AV7" i="3"/>
  <c r="BU167" i="1"/>
  <c r="AV139" i="3"/>
  <c r="AV70" i="3"/>
  <c r="AV181" i="3"/>
  <c r="L86" i="1"/>
  <c r="AV178" i="3"/>
  <c r="L117" i="1"/>
  <c r="L30" i="1"/>
  <c r="AV188" i="3"/>
  <c r="L202" i="1"/>
  <c r="L138" i="1"/>
  <c r="AV93" i="3"/>
  <c r="L92" i="1"/>
  <c r="L85" i="1"/>
  <c r="L79" i="1"/>
  <c r="L75" i="1"/>
  <c r="AV75" i="3"/>
  <c r="AV65" i="3"/>
  <c r="L49" i="1"/>
  <c r="AV45" i="3"/>
  <c r="L41" i="1"/>
  <c r="AV41" i="3"/>
  <c r="AV30" i="3"/>
  <c r="AV154" i="3"/>
  <c r="AV143" i="3"/>
  <c r="L107" i="1"/>
  <c r="AV164" i="3"/>
  <c r="AV121" i="3"/>
  <c r="AV109" i="3"/>
  <c r="L98" i="1"/>
  <c r="L64" i="1"/>
  <c r="AV56" i="3"/>
  <c r="AV47" i="3"/>
  <c r="AV186" i="3"/>
  <c r="AV193" i="3"/>
  <c r="L169" i="1"/>
  <c r="AV136" i="3"/>
  <c r="BU135" i="1"/>
  <c r="AV126" i="3"/>
  <c r="AV119" i="3"/>
  <c r="AV112" i="3"/>
  <c r="AV111" i="3"/>
  <c r="AV83" i="3"/>
  <c r="L74" i="1"/>
  <c r="AV62" i="3"/>
  <c r="L43" i="1"/>
  <c r="L24" i="1"/>
  <c r="L21" i="1"/>
  <c r="AV183" i="3"/>
  <c r="AV173" i="3"/>
  <c r="AV165" i="3"/>
  <c r="AV133" i="3"/>
  <c r="L132" i="1"/>
  <c r="L110" i="1"/>
  <c r="AV90" i="3"/>
  <c r="AV39" i="3"/>
  <c r="AV15" i="3"/>
  <c r="L205" i="1"/>
  <c r="L181" i="1"/>
  <c r="BU106" i="1"/>
  <c r="L177" i="1"/>
  <c r="BU169" i="1"/>
  <c r="L163" i="1"/>
  <c r="AV163" i="3"/>
  <c r="AV134" i="3"/>
  <c r="L131" i="1"/>
  <c r="BU122" i="1"/>
  <c r="L115" i="1"/>
  <c r="L190" i="1"/>
  <c r="AV85" i="3"/>
  <c r="AV77" i="3"/>
  <c r="AV76" i="3"/>
  <c r="AV69" i="3"/>
  <c r="L68" i="1"/>
  <c r="AV64" i="3"/>
  <c r="AV63" i="3"/>
  <c r="L53" i="1"/>
  <c r="AV53" i="3"/>
  <c r="L46" i="1"/>
  <c r="AV37" i="3"/>
  <c r="AZ34" i="1"/>
  <c r="L31" i="1"/>
  <c r="AV23" i="3"/>
  <c r="AV148" i="3"/>
  <c r="L201" i="1"/>
  <c r="L206" i="1"/>
  <c r="L173" i="1"/>
  <c r="AV137" i="3"/>
  <c r="L111" i="1"/>
  <c r="L189" i="1"/>
  <c r="L198" i="1"/>
  <c r="L78" i="1"/>
  <c r="L187" i="1"/>
  <c r="L71" i="1"/>
  <c r="L34" i="1"/>
  <c r="AV26" i="3"/>
  <c r="BU17" i="1"/>
  <c r="BU201" i="1"/>
  <c r="L209" i="1"/>
  <c r="L199" i="1"/>
  <c r="AV131" i="3"/>
  <c r="AV128" i="3"/>
  <c r="BU123" i="1"/>
  <c r="L103" i="1"/>
  <c r="L97" i="1"/>
  <c r="AV95" i="3"/>
  <c r="L76" i="1"/>
  <c r="L63" i="1"/>
  <c r="AV61" i="3"/>
  <c r="AV52" i="3"/>
  <c r="AV40" i="3"/>
  <c r="L38" i="1"/>
  <c r="AV33" i="3"/>
  <c r="L28" i="1"/>
  <c r="AV18" i="3"/>
  <c r="AV150" i="3"/>
  <c r="AV161" i="3"/>
  <c r="AV135" i="3"/>
  <c r="L114" i="1"/>
  <c r="AV114" i="3"/>
  <c r="L113" i="1"/>
  <c r="L90" i="1"/>
  <c r="AV74" i="3"/>
  <c r="AV71" i="3"/>
  <c r="AV67" i="3"/>
  <c r="L66" i="1"/>
  <c r="L48" i="1"/>
  <c r="AV48" i="3"/>
  <c r="AV43" i="3"/>
  <c r="L25" i="1"/>
  <c r="L19" i="1"/>
  <c r="L17" i="1"/>
  <c r="AV13" i="3"/>
  <c r="AV10" i="3"/>
  <c r="L156" i="1"/>
  <c r="AV156" i="3"/>
  <c r="AV145" i="3"/>
  <c r="AV192" i="3"/>
  <c r="L165" i="1"/>
  <c r="BU160" i="1"/>
  <c r="L134" i="1"/>
  <c r="L123" i="1"/>
  <c r="L120" i="1"/>
  <c r="AV118" i="3"/>
  <c r="AV117" i="3"/>
  <c r="L109" i="1"/>
  <c r="L101" i="1"/>
  <c r="AV99" i="3"/>
  <c r="AV96" i="3"/>
  <c r="AV94" i="3"/>
  <c r="AV88" i="3"/>
  <c r="L196" i="1"/>
  <c r="AV87" i="3"/>
  <c r="L82" i="1"/>
  <c r="AV73" i="3"/>
  <c r="L60" i="1"/>
  <c r="BU53" i="1"/>
  <c r="L27" i="1"/>
  <c r="L15" i="1"/>
  <c r="L158" i="1"/>
  <c r="AV141" i="3"/>
  <c r="BL96" i="3"/>
  <c r="BT45" i="3"/>
  <c r="BT43" i="3"/>
  <c r="BT112" i="3"/>
  <c r="BT97" i="3"/>
  <c r="BT79" i="3"/>
  <c r="BT190" i="3"/>
  <c r="BT96" i="3"/>
  <c r="BL50" i="3"/>
  <c r="BT224" i="3"/>
  <c r="BT50" i="3"/>
  <c r="BL79" i="3"/>
  <c r="BL43" i="3"/>
  <c r="BN91" i="3"/>
  <c r="BR174" i="3"/>
  <c r="BV174" i="3" s="1"/>
  <c r="BN174" i="3"/>
  <c r="BO161" i="3"/>
  <c r="BL161" i="3"/>
  <c r="CD122" i="1"/>
  <c r="AZ122" i="1"/>
  <c r="AQ188" i="1"/>
  <c r="BS188" i="1" s="1"/>
  <c r="L188" i="1"/>
  <c r="AQ192" i="1"/>
  <c r="BS192" i="1" s="1"/>
  <c r="L192" i="1"/>
  <c r="AQ191" i="1"/>
  <c r="BS191" i="1" s="1"/>
  <c r="L191" i="1"/>
  <c r="BJ72" i="3"/>
  <c r="AU72" i="3"/>
  <c r="AQ193" i="1"/>
  <c r="BS193" i="1" s="1"/>
  <c r="L193" i="1"/>
  <c r="AQ70" i="1"/>
  <c r="BS70" i="1" s="1"/>
  <c r="L70" i="1"/>
  <c r="AQ69" i="1"/>
  <c r="BS69" i="1" s="1"/>
  <c r="L69" i="1"/>
  <c r="BJ67" i="3"/>
  <c r="BB67" i="3"/>
  <c r="BJ61" i="3"/>
  <c r="BB61" i="3"/>
  <c r="BJ60" i="3"/>
  <c r="BR60" i="3" s="1"/>
  <c r="BV60" i="3" s="1"/>
  <c r="AU60" i="3"/>
  <c r="AQ59" i="1"/>
  <c r="BS59" i="1" s="1"/>
  <c r="L59" i="1"/>
  <c r="AQ55" i="1"/>
  <c r="BS55" i="1" s="1"/>
  <c r="L55" i="1"/>
  <c r="BJ55" i="3"/>
  <c r="AU55" i="3"/>
  <c r="BJ54" i="3"/>
  <c r="BB54" i="3"/>
  <c r="BO53" i="3"/>
  <c r="BI53" i="3"/>
  <c r="BM53" i="3" s="1"/>
  <c r="BJ52" i="3"/>
  <c r="BB52" i="3"/>
  <c r="BH50" i="3"/>
  <c r="BO50" i="3" s="1"/>
  <c r="AU50" i="3"/>
  <c r="BJ48" i="3"/>
  <c r="BB48" i="3"/>
  <c r="BJ47" i="3"/>
  <c r="AU47" i="3"/>
  <c r="BB47" i="3"/>
  <c r="BH45" i="3"/>
  <c r="AU45" i="3"/>
  <c r="AQ44" i="1"/>
  <c r="BS44" i="1" s="1"/>
  <c r="L44" i="1"/>
  <c r="BH43" i="3"/>
  <c r="AU43" i="3"/>
  <c r="BJ39" i="3"/>
  <c r="AU39" i="3"/>
  <c r="AQ37" i="1"/>
  <c r="BS37" i="1" s="1"/>
  <c r="L37" i="1"/>
  <c r="AQ33" i="1"/>
  <c r="BS33" i="1" s="1"/>
  <c r="L33" i="1"/>
  <c r="BJ32" i="3"/>
  <c r="AU32" i="3"/>
  <c r="BF25" i="1"/>
  <c r="AZ25" i="1"/>
  <c r="BJ25" i="3"/>
  <c r="BB25" i="3"/>
  <c r="BJ23" i="3"/>
  <c r="AU23" i="3"/>
  <c r="BJ20" i="3"/>
  <c r="BR20" i="3" s="1"/>
  <c r="BV20" i="3" s="1"/>
  <c r="AU20" i="3"/>
  <c r="BB20" i="3"/>
  <c r="BJ19" i="3"/>
  <c r="BB19" i="3"/>
  <c r="AQ16" i="1"/>
  <c r="BS16" i="1" s="1"/>
  <c r="L16" i="1"/>
  <c r="AQ13" i="1"/>
  <c r="BS13" i="1" s="1"/>
  <c r="L13" i="1"/>
  <c r="BJ12" i="3"/>
  <c r="AU12" i="3"/>
  <c r="BB12" i="3"/>
  <c r="AQ10" i="1"/>
  <c r="BS10" i="1" s="1"/>
  <c r="L10" i="1"/>
  <c r="BO142" i="3"/>
  <c r="L144" i="1"/>
  <c r="BK227" i="1"/>
  <c r="AN227" i="1"/>
  <c r="BZ227" i="1"/>
  <c r="AM226" i="1"/>
  <c r="AJ226" i="1"/>
  <c r="S226" i="5"/>
  <c r="AL226" i="1"/>
  <c r="AK226" i="1"/>
  <c r="AM222" i="1"/>
  <c r="AL222" i="1"/>
  <c r="S222" i="5"/>
  <c r="AJ222" i="1"/>
  <c r="AK222" i="1"/>
  <c r="T300" i="1"/>
  <c r="W300" i="1"/>
  <c r="V300" i="1"/>
  <c r="G300" i="5"/>
  <c r="U300" i="1"/>
  <c r="AN218" i="1"/>
  <c r="BK218" i="1"/>
  <c r="BZ218" i="1"/>
  <c r="BL279" i="3"/>
  <c r="BO27" i="3"/>
  <c r="BU22" i="1"/>
  <c r="BO19" i="3"/>
  <c r="AU15" i="3"/>
  <c r="L14" i="1"/>
  <c r="BT153" i="3"/>
  <c r="AV159" i="3"/>
  <c r="BK226" i="1"/>
  <c r="AN226" i="1"/>
  <c r="BZ226" i="1"/>
  <c r="BZ223" i="1"/>
  <c r="AN223" i="1"/>
  <c r="BK223" i="1"/>
  <c r="W217" i="1"/>
  <c r="V217" i="1"/>
  <c r="U217" i="1"/>
  <c r="T217" i="1"/>
  <c r="G217" i="5"/>
  <c r="V216" i="1"/>
  <c r="G216" i="5"/>
  <c r="U216" i="1"/>
  <c r="T216" i="1"/>
  <c r="W216" i="1"/>
  <c r="BL311" i="3"/>
  <c r="BL278" i="3"/>
  <c r="BF214" i="1"/>
  <c r="BG214" i="1"/>
  <c r="BP214" i="1" s="1" a="1"/>
  <c r="BP214" i="1" s="1"/>
  <c r="BU214" i="1"/>
  <c r="CD214" i="1"/>
  <c r="BL23" i="3"/>
  <c r="BT18" i="3"/>
  <c r="BL14" i="3"/>
  <c r="BL11" i="3"/>
  <c r="BB11" i="3"/>
  <c r="AU10" i="3"/>
  <c r="BO4" i="3"/>
  <c r="L3" i="1"/>
  <c r="AV152" i="3"/>
  <c r="BL155" i="3"/>
  <c r="BO159" i="3"/>
  <c r="AU141" i="3"/>
  <c r="BO143" i="3"/>
  <c r="BO146" i="3"/>
  <c r="L224" i="1"/>
  <c r="AQ224" i="1"/>
  <c r="BS224" i="1" s="1"/>
  <c r="U222" i="1"/>
  <c r="W222" i="1"/>
  <c r="G222" i="5"/>
  <c r="V222" i="1"/>
  <c r="T222" i="1"/>
  <c r="G324" i="5"/>
  <c r="T324" i="1"/>
  <c r="U324" i="1"/>
  <c r="V324" i="1"/>
  <c r="W324" i="1"/>
  <c r="U220" i="1"/>
  <c r="G220" i="5"/>
  <c r="T220" i="1"/>
  <c r="V220" i="1"/>
  <c r="W220" i="1"/>
  <c r="AJ218" i="1"/>
  <c r="AL218" i="1"/>
  <c r="AK218" i="1"/>
  <c r="S218" i="5"/>
  <c r="AM218" i="1"/>
  <c r="BL310" i="3"/>
  <c r="BF221" i="1"/>
  <c r="BG221" i="1"/>
  <c r="BP221" i="1" s="1" a="1"/>
  <c r="BP221" i="1" s="1"/>
  <c r="CD221" i="1"/>
  <c r="BU221" i="1"/>
  <c r="BG223" i="1"/>
  <c r="BP223" i="1" s="1" a="1"/>
  <c r="BP223" i="1" s="1"/>
  <c r="BF223" i="1"/>
  <c r="BU223" i="1"/>
  <c r="CD223" i="1"/>
  <c r="L213" i="1"/>
  <c r="BO69" i="3"/>
  <c r="BO62" i="3"/>
  <c r="BU56" i="1"/>
  <c r="BO56" i="3"/>
  <c r="BL55" i="3"/>
  <c r="AV55" i="3"/>
  <c r="BL49" i="3"/>
  <c r="BL45" i="3"/>
  <c r="BU42" i="1"/>
  <c r="BO42" i="3"/>
  <c r="BO34" i="3"/>
  <c r="BL30" i="3"/>
  <c r="BL29" i="3"/>
  <c r="BO26" i="3"/>
  <c r="BO24" i="3"/>
  <c r="BO20" i="3"/>
  <c r="BB15" i="3"/>
  <c r="AU14" i="3"/>
  <c r="AV8" i="3"/>
  <c r="BB3" i="3"/>
  <c r="AU149" i="3"/>
  <c r="BO140" i="3"/>
  <c r="U228" i="1"/>
  <c r="W228" i="1"/>
  <c r="T228" i="1"/>
  <c r="V228" i="1"/>
  <c r="G228" i="5"/>
  <c r="T214" i="1"/>
  <c r="G214" i="5"/>
  <c r="W214" i="1"/>
  <c r="V214" i="1"/>
  <c r="U214" i="1"/>
  <c r="CD224" i="1"/>
  <c r="BW224" i="1"/>
  <c r="BU224" i="1"/>
  <c r="BF224" i="1"/>
  <c r="BG224" i="1"/>
  <c r="BP224" i="1" s="1" a="1"/>
  <c r="BP224" i="1" s="1"/>
  <c r="BL269" i="3"/>
  <c r="BL231" i="3"/>
  <c r="BL203" i="3"/>
  <c r="BB8" i="3"/>
  <c r="BB5" i="3"/>
  <c r="AU3" i="3"/>
  <c r="BL156" i="3"/>
  <c r="BO150" i="3"/>
  <c r="BO144" i="3"/>
  <c r="L226" i="1"/>
  <c r="AQ226" i="1"/>
  <c r="BS226" i="1" s="1"/>
  <c r="AM221" i="1"/>
  <c r="AJ221" i="1"/>
  <c r="S221" i="5"/>
  <c r="AK221" i="1"/>
  <c r="AL221" i="1"/>
  <c r="L324" i="1"/>
  <c r="AQ324" i="1"/>
  <c r="BS324" i="1" s="1"/>
  <c r="AV278" i="3"/>
  <c r="AK309" i="1"/>
  <c r="AJ309" i="1"/>
  <c r="S309" i="5"/>
  <c r="AM309" i="1"/>
  <c r="AL309" i="1"/>
  <c r="AJ300" i="1"/>
  <c r="AL300" i="1"/>
  <c r="AK300" i="1"/>
  <c r="AM300" i="1"/>
  <c r="S300" i="5"/>
  <c r="AV204" i="3"/>
  <c r="W213" i="1"/>
  <c r="G213" i="5"/>
  <c r="T213" i="1"/>
  <c r="V213" i="1"/>
  <c r="U213" i="1"/>
  <c r="CD222" i="1"/>
  <c r="BF222" i="1"/>
  <c r="BG222" i="1" s="1"/>
  <c r="BP222" i="1" s="1" a="1"/>
  <c r="BP222" i="1" s="1"/>
  <c r="BU222" i="1"/>
  <c r="AV142" i="3"/>
  <c r="L148" i="1"/>
  <c r="L149" i="1"/>
  <c r="V226" i="1"/>
  <c r="G226" i="5"/>
  <c r="T226" i="1"/>
  <c r="U226" i="1"/>
  <c r="W226" i="1"/>
  <c r="BK217" i="1"/>
  <c r="AN217" i="1"/>
  <c r="BZ217" i="1"/>
  <c r="L216" i="1"/>
  <c r="AQ216" i="1"/>
  <c r="BS216" i="1" s="1"/>
  <c r="BF227" i="1"/>
  <c r="BG227" i="1"/>
  <c r="BP227" i="1" s="1" a="1"/>
  <c r="BP227" i="1" s="1"/>
  <c r="CD227" i="1"/>
  <c r="BU227" i="1"/>
  <c r="L215" i="1"/>
  <c r="BL289" i="3"/>
  <c r="AV19" i="3"/>
  <c r="AV16" i="3"/>
  <c r="BO14" i="3"/>
  <c r="BO10" i="3"/>
  <c r="AV9" i="3"/>
  <c r="BT156" i="3"/>
  <c r="BL158" i="3"/>
  <c r="BB143" i="3"/>
  <c r="L227" i="1"/>
  <c r="AQ227" i="1"/>
  <c r="BS227" i="1" s="1"/>
  <c r="G309" i="5"/>
  <c r="V309" i="1"/>
  <c r="T309" i="1"/>
  <c r="U309" i="1"/>
  <c r="W309" i="1"/>
  <c r="L309" i="1"/>
  <c r="AQ309" i="1"/>
  <c r="BS309" i="1" s="1"/>
  <c r="BK220" i="1"/>
  <c r="AN220" i="1"/>
  <c r="BZ220" i="1"/>
  <c r="AV202" i="3"/>
  <c r="BL205" i="3"/>
  <c r="BF215" i="1"/>
  <c r="CD215" i="1"/>
  <c r="BG215" i="1"/>
  <c r="BP215" i="1" s="1" a="1"/>
  <c r="BP215" i="1" s="1"/>
  <c r="BU215" i="1"/>
  <c r="AV79" i="3"/>
  <c r="BU78" i="1"/>
  <c r="BO71" i="3"/>
  <c r="BL68" i="3"/>
  <c r="AV66" i="3"/>
  <c r="BT66" i="3"/>
  <c r="BL64" i="3"/>
  <c r="AV58" i="3"/>
  <c r="AV54" i="3"/>
  <c r="BO51" i="3"/>
  <c r="AV42" i="3"/>
  <c r="BL41" i="3"/>
  <c r="BO38" i="3"/>
  <c r="BO36" i="3"/>
  <c r="BO35" i="3"/>
  <c r="BP34" i="1" a="1"/>
  <c r="BP34" i="1" s="1"/>
  <c r="BL32" i="3"/>
  <c r="AV32" i="3"/>
  <c r="BL28" i="3"/>
  <c r="AU26" i="3"/>
  <c r="BL22" i="3"/>
  <c r="AV20" i="3"/>
  <c r="BL19" i="3"/>
  <c r="BO17" i="3"/>
  <c r="BL16" i="3"/>
  <c r="AU16" i="3"/>
  <c r="BO15" i="3"/>
  <c r="BL13" i="3"/>
  <c r="AU11" i="3"/>
  <c r="BL10" i="3"/>
  <c r="BO8" i="3"/>
  <c r="AU7" i="3"/>
  <c r="BB6" i="3"/>
  <c r="AV5" i="3"/>
  <c r="AV4" i="3"/>
  <c r="BB4" i="3"/>
  <c r="BO3" i="3"/>
  <c r="L152" i="1"/>
  <c r="AV153" i="3"/>
  <c r="L159" i="1"/>
  <c r="L150" i="1"/>
  <c r="L141" i="1"/>
  <c r="AU142" i="3"/>
  <c r="AU143" i="3"/>
  <c r="AU144" i="3"/>
  <c r="BB148" i="3"/>
  <c r="AV140" i="3"/>
  <c r="BK324" i="1"/>
  <c r="BZ324" i="1"/>
  <c r="AN324" i="1"/>
  <c r="L223" i="1"/>
  <c r="AQ223" i="1"/>
  <c r="BS223" i="1" s="1"/>
  <c r="AL220" i="1"/>
  <c r="S220" i="5"/>
  <c r="AK220" i="1"/>
  <c r="AM220" i="1"/>
  <c r="AJ220" i="1"/>
  <c r="AN213" i="1"/>
  <c r="BZ213" i="1"/>
  <c r="BK213" i="1"/>
  <c r="L300" i="1"/>
  <c r="BU217" i="1"/>
  <c r="CD217" i="1"/>
  <c r="BF217" i="1"/>
  <c r="BG217" i="1"/>
  <c r="BP217" i="1" s="1" a="1"/>
  <c r="BP217" i="1" s="1"/>
  <c r="L5" i="1"/>
  <c r="L153" i="1"/>
  <c r="AU158" i="3"/>
  <c r="AV147" i="3"/>
  <c r="BB149" i="3"/>
  <c r="L140" i="1"/>
  <c r="W227" i="1"/>
  <c r="U227" i="1"/>
  <c r="T227" i="1"/>
  <c r="G227" i="5"/>
  <c r="V227" i="1"/>
  <c r="BZ309" i="1"/>
  <c r="AN309" i="1"/>
  <c r="BK309" i="1"/>
  <c r="L218" i="1"/>
  <c r="AQ218" i="1"/>
  <c r="BS218" i="1" s="1"/>
  <c r="T215" i="1"/>
  <c r="G215" i="5"/>
  <c r="U215" i="1"/>
  <c r="W215" i="1"/>
  <c r="V215" i="1"/>
  <c r="AV203" i="3"/>
  <c r="L228" i="1"/>
  <c r="L221" i="1"/>
  <c r="BF309" i="1"/>
  <c r="CD309" i="1"/>
  <c r="BU309" i="1"/>
  <c r="BG309" i="1"/>
  <c r="BP309" i="1" s="1" a="1"/>
  <c r="BP309" i="1" s="1"/>
  <c r="BW309" i="1"/>
  <c r="BL202" i="3"/>
  <c r="BL270" i="3"/>
  <c r="AV12" i="3"/>
  <c r="BO7" i="3"/>
  <c r="L4" i="1"/>
  <c r="L154" i="1"/>
  <c r="BB147" i="3"/>
  <c r="T224" i="1"/>
  <c r="G224" i="5"/>
  <c r="V224" i="1"/>
  <c r="W224" i="1"/>
  <c r="U224" i="1"/>
  <c r="T223" i="1"/>
  <c r="U223" i="1"/>
  <c r="W223" i="1"/>
  <c r="V223" i="1"/>
  <c r="G223" i="5"/>
  <c r="BZ300" i="1"/>
  <c r="AN300" i="1"/>
  <c r="BK300" i="1"/>
  <c r="G218" i="5"/>
  <c r="T218" i="1"/>
  <c r="U218" i="1"/>
  <c r="V218" i="1"/>
  <c r="W218" i="1"/>
  <c r="BK216" i="1"/>
  <c r="BZ216" i="1"/>
  <c r="AN216" i="1"/>
  <c r="BW300" i="1"/>
  <c r="BG300" i="1"/>
  <c r="BP300" i="1" s="1" a="1"/>
  <c r="BP300" i="1" s="1"/>
  <c r="BU300" i="1"/>
  <c r="BF300" i="1"/>
  <c r="CD300" i="1"/>
  <c r="CD220" i="1"/>
  <c r="BF220" i="1"/>
  <c r="BW220" i="1"/>
  <c r="BU220" i="1"/>
  <c r="BG220" i="1"/>
  <c r="BP220" i="1" s="1" a="1"/>
  <c r="BP220" i="1" s="1"/>
  <c r="BL256" i="3"/>
  <c r="BL9" i="3"/>
  <c r="L8" i="1"/>
  <c r="BT7" i="3"/>
  <c r="BO6" i="3"/>
  <c r="BL5" i="3"/>
  <c r="AU151" i="3"/>
  <c r="BB158" i="3"/>
  <c r="BO158" i="3"/>
  <c r="BU143" i="1"/>
  <c r="BZ228" i="1"/>
  <c r="CA228" i="1"/>
  <c r="BK228" i="1"/>
  <c r="AN228" i="1"/>
  <c r="AN224" i="1"/>
  <c r="BK224" i="1"/>
  <c r="BZ224" i="1"/>
  <c r="BK222" i="1"/>
  <c r="BZ222" i="1"/>
  <c r="AN222" i="1"/>
  <c r="BF218" i="1"/>
  <c r="BG218" i="1"/>
  <c r="BP218" i="1" s="1" a="1"/>
  <c r="BP218" i="1" s="1"/>
  <c r="CD218" i="1"/>
  <c r="BU218" i="1"/>
  <c r="BG228" i="1"/>
  <c r="BP228" i="1" s="1" a="1"/>
  <c r="BP228" i="1" s="1"/>
  <c r="BU228" i="1"/>
  <c r="CD228" i="1"/>
  <c r="BF228" i="1"/>
  <c r="BF216" i="1"/>
  <c r="CD216" i="1"/>
  <c r="BG216" i="1"/>
  <c r="BP216" i="1" s="1" a="1"/>
  <c r="BP216" i="1" s="1"/>
  <c r="BU216" i="1"/>
  <c r="L222" i="1"/>
  <c r="BL309" i="3"/>
  <c r="CD213" i="1"/>
  <c r="BG213" i="1"/>
  <c r="BP213" i="1" s="1" a="1"/>
  <c r="BP213" i="1" s="1"/>
  <c r="BU213" i="1"/>
  <c r="BF213" i="1"/>
  <c r="AZ226" i="1"/>
  <c r="BG226" i="1"/>
  <c r="BP226" i="1" s="1" a="1"/>
  <c r="BP226" i="1" s="1"/>
  <c r="BF226" i="1"/>
  <c r="BU226" i="1"/>
  <c r="CD226" i="1"/>
  <c r="BB7" i="3"/>
  <c r="AU5" i="3"/>
  <c r="BL153" i="3"/>
  <c r="BB142" i="3"/>
  <c r="BL147" i="3"/>
  <c r="AK228" i="1"/>
  <c r="S228" i="5"/>
  <c r="AM228" i="1"/>
  <c r="AL228" i="1"/>
  <c r="AJ228" i="1"/>
  <c r="BZ221" i="1"/>
  <c r="BK221" i="1"/>
  <c r="AN221" i="1"/>
  <c r="W221" i="1"/>
  <c r="G221" i="5"/>
  <c r="T221" i="1"/>
  <c r="V221" i="1"/>
  <c r="U221" i="1"/>
  <c r="L220" i="1"/>
  <c r="AQ220" i="1"/>
  <c r="BS220" i="1" s="1"/>
  <c r="L217" i="1"/>
  <c r="AQ217" i="1"/>
  <c r="BS217" i="1" s="1"/>
  <c r="AN215" i="1"/>
  <c r="BK215" i="1"/>
  <c r="BZ215" i="1"/>
  <c r="BZ214" i="1"/>
  <c r="BK214" i="1"/>
  <c r="AN214" i="1"/>
  <c r="L214" i="1"/>
  <c r="AQ214" i="1"/>
  <c r="BS214" i="1" s="1"/>
  <c r="BU324" i="1"/>
  <c r="BG324" i="1"/>
  <c r="BP324" i="1" s="1" a="1"/>
  <c r="BP324" i="1" s="1"/>
  <c r="BF324" i="1"/>
  <c r="CD324" i="1"/>
  <c r="BL204" i="3"/>
  <c r="AZ214" i="1"/>
  <c r="BN226" i="3"/>
  <c r="BR226" i="3"/>
  <c r="BV226" i="3" s="1"/>
  <c r="BR256" i="3"/>
  <c r="BV256" i="3"/>
  <c r="BR309" i="3"/>
  <c r="BV309" i="3" s="1"/>
  <c r="BN309" i="3"/>
  <c r="CD107" i="1"/>
  <c r="BU107" i="1"/>
  <c r="BF209" i="1"/>
  <c r="CD209" i="1"/>
  <c r="BU209" i="1"/>
  <c r="BG209" i="1"/>
  <c r="BP209" i="1" s="1" a="1"/>
  <c r="BP209" i="1" s="1"/>
  <c r="BU193" i="3"/>
  <c r="BM193" i="3"/>
  <c r="BG208" i="1"/>
  <c r="BP208" i="1" s="1" a="1"/>
  <c r="BP208" i="1" s="1"/>
  <c r="BF208" i="1"/>
  <c r="CD208" i="1"/>
  <c r="BU208" i="1"/>
  <c r="CD207" i="1"/>
  <c r="BF207" i="1"/>
  <c r="BU207" i="1"/>
  <c r="BG207" i="1"/>
  <c r="BP207" i="1" s="1" a="1"/>
  <c r="BP207" i="1" s="1"/>
  <c r="CD206" i="1"/>
  <c r="BF206" i="1"/>
  <c r="BG206" i="1"/>
  <c r="BP206" i="1" s="1" a="1"/>
  <c r="BP206" i="1" s="1"/>
  <c r="BU206" i="1"/>
  <c r="BF205" i="1"/>
  <c r="BG205" i="1"/>
  <c r="BP205" i="1" s="1" a="1"/>
  <c r="BP205" i="1" s="1"/>
  <c r="BU205" i="1"/>
  <c r="CD205" i="1"/>
  <c r="BF204" i="1"/>
  <c r="BU204" i="1"/>
  <c r="BG204" i="1"/>
  <c r="BP204" i="1" s="1" a="1"/>
  <c r="BP204" i="1" s="1"/>
  <c r="CD204" i="1"/>
  <c r="BV188" i="3"/>
  <c r="BN188" i="3"/>
  <c r="BR188" i="3"/>
  <c r="CD202" i="1"/>
  <c r="BU202" i="1"/>
  <c r="BF202" i="1"/>
  <c r="BG202" i="1" s="1"/>
  <c r="BP202" i="1" s="1" a="1"/>
  <c r="BP202" i="1" s="1"/>
  <c r="BR186" i="3"/>
  <c r="BV186" i="3"/>
  <c r="BF200" i="1"/>
  <c r="CD200" i="1"/>
  <c r="BG200" i="1"/>
  <c r="BP200" i="1" s="1" a="1"/>
  <c r="BP200" i="1" s="1"/>
  <c r="BU200" i="1"/>
  <c r="BG199" i="1"/>
  <c r="BP199" i="1" s="1" a="1"/>
  <c r="BP199" i="1" s="1"/>
  <c r="BF199" i="1"/>
  <c r="CD199" i="1"/>
  <c r="BU199" i="1"/>
  <c r="BR183" i="3"/>
  <c r="BV183" i="3" s="1"/>
  <c r="BN183" i="3"/>
  <c r="CD182" i="1"/>
  <c r="BG182" i="1"/>
  <c r="BP182" i="1" s="1" a="1"/>
  <c r="BP182" i="1" s="1"/>
  <c r="BU182" i="1"/>
  <c r="BF182" i="1"/>
  <c r="BF181" i="1"/>
  <c r="BG181" i="1" s="1"/>
  <c r="BP181" i="1" s="1" a="1"/>
  <c r="BP181" i="1" s="1"/>
  <c r="CD181" i="1"/>
  <c r="BU181" i="1"/>
  <c r="BF180" i="1"/>
  <c r="BG180" i="1" s="1"/>
  <c r="BP180" i="1" s="1" a="1"/>
  <c r="BP180" i="1" s="1"/>
  <c r="BU180" i="1"/>
  <c r="CD180" i="1"/>
  <c r="BF179" i="1"/>
  <c r="BG179" i="1"/>
  <c r="BP179" i="1" s="1" a="1"/>
  <c r="BP179" i="1" s="1"/>
  <c r="BU179" i="1"/>
  <c r="CD179" i="1"/>
  <c r="CD178" i="1"/>
  <c r="BU178" i="1"/>
  <c r="BF178" i="1"/>
  <c r="BG178" i="1"/>
  <c r="BP178" i="1" s="1" a="1"/>
  <c r="BP178" i="1" s="1"/>
  <c r="BU177" i="1"/>
  <c r="BG177" i="1"/>
  <c r="BP177" i="1" s="1" a="1"/>
  <c r="BP177" i="1" s="1"/>
  <c r="CD177" i="1"/>
  <c r="BF177" i="1"/>
  <c r="BF176" i="1"/>
  <c r="CD176" i="1"/>
  <c r="BU176" i="1"/>
  <c r="BG176" i="1"/>
  <c r="BP176" i="1" s="1" a="1"/>
  <c r="BP176" i="1" s="1"/>
  <c r="BF175" i="1"/>
  <c r="BU175" i="1"/>
  <c r="BG175" i="1"/>
  <c r="BP175" i="1" s="1" a="1"/>
  <c r="BP175" i="1" s="1"/>
  <c r="CD175" i="1"/>
  <c r="BF174" i="1"/>
  <c r="CD174" i="1"/>
  <c r="BU174" i="1"/>
  <c r="BG174" i="1"/>
  <c r="BP174" i="1" s="1" a="1"/>
  <c r="BP174" i="1" s="1"/>
  <c r="CD173" i="1"/>
  <c r="BF173" i="1"/>
  <c r="BG173" i="1" s="1"/>
  <c r="BP173" i="1" s="1" a="1"/>
  <c r="BP173" i="1" s="1"/>
  <c r="BU173" i="1"/>
  <c r="CD166" i="1"/>
  <c r="BF166" i="1"/>
  <c r="BG166" i="1" s="1"/>
  <c r="BP166" i="1" s="1" a="1"/>
  <c r="BP166" i="1" s="1"/>
  <c r="BU166" i="1"/>
  <c r="BU165" i="1"/>
  <c r="BF165" i="1"/>
  <c r="BG165" i="1"/>
  <c r="BP165" i="1" s="1" a="1"/>
  <c r="BP165" i="1" s="1"/>
  <c r="CD165" i="1"/>
  <c r="BF163" i="1"/>
  <c r="CD163" i="1"/>
  <c r="BG163" i="1"/>
  <c r="BP163" i="1" s="1" a="1"/>
  <c r="BP163" i="1" s="1"/>
  <c r="BU163" i="1"/>
  <c r="BG162" i="1"/>
  <c r="BP162" i="1" s="1" a="1"/>
  <c r="BP162" i="1" s="1"/>
  <c r="BF162" i="1"/>
  <c r="BU162" i="1"/>
  <c r="CD162" i="1"/>
  <c r="BU161" i="1"/>
  <c r="CD161" i="1"/>
  <c r="BF161" i="1"/>
  <c r="BG161" i="1" s="1"/>
  <c r="BP161" i="1" s="1" a="1"/>
  <c r="BP161" i="1" s="1"/>
  <c r="BR139" i="3"/>
  <c r="BV139" i="3"/>
  <c r="BM137" i="3"/>
  <c r="BU137" i="3"/>
  <c r="CD136" i="1"/>
  <c r="BU136" i="1"/>
  <c r="BG136" i="1"/>
  <c r="BP136" i="1" s="1" a="1"/>
  <c r="BP136" i="1" s="1"/>
  <c r="BF136" i="1"/>
  <c r="BN136" i="3"/>
  <c r="BR136" i="3"/>
  <c r="BV136" i="3" s="1"/>
  <c r="BU134" i="1"/>
  <c r="CD134" i="1"/>
  <c r="BF134" i="1"/>
  <c r="BG134" i="1" s="1"/>
  <c r="BP134" i="1" s="1" a="1"/>
  <c r="BP134" i="1" s="1"/>
  <c r="BF133" i="1"/>
  <c r="BG133" i="1" s="1"/>
  <c r="BP133" i="1" s="1" a="1"/>
  <c r="BP133" i="1" s="1"/>
  <c r="CD133" i="1"/>
  <c r="BU133" i="1"/>
  <c r="BF132" i="1"/>
  <c r="CD132" i="1"/>
  <c r="BG132" i="1"/>
  <c r="BP132" i="1" s="1" a="1"/>
  <c r="BP132" i="1" s="1"/>
  <c r="BU132" i="1"/>
  <c r="BU130" i="1"/>
  <c r="CD130" i="1"/>
  <c r="BF130" i="1"/>
  <c r="BG130" i="1" s="1"/>
  <c r="BP130" i="1" s="1" a="1"/>
  <c r="BP130" i="1" s="1"/>
  <c r="BU128" i="1"/>
  <c r="BF128" i="1"/>
  <c r="BG128" i="1"/>
  <c r="BP128" i="1" s="1" a="1"/>
  <c r="BP128" i="1" s="1"/>
  <c r="CD128" i="1"/>
  <c r="BG127" i="1"/>
  <c r="BP127" i="1" s="1" a="1"/>
  <c r="BP127" i="1" s="1"/>
  <c r="BF127" i="1"/>
  <c r="BU127" i="1"/>
  <c r="CD127" i="1"/>
  <c r="BG126" i="1"/>
  <c r="BP126" i="1" s="1" a="1"/>
  <c r="BP126" i="1" s="1"/>
  <c r="CD126" i="1"/>
  <c r="BU126" i="1"/>
  <c r="BF126" i="1"/>
  <c r="BF125" i="1"/>
  <c r="BU125" i="1"/>
  <c r="BG125" i="1"/>
  <c r="BP125" i="1" s="1" a="1"/>
  <c r="BP125" i="1" s="1"/>
  <c r="CD125" i="1"/>
  <c r="BG121" i="1"/>
  <c r="BP121" i="1" s="1" a="1"/>
  <c r="BP121" i="1" s="1"/>
  <c r="BF121" i="1"/>
  <c r="CD121" i="1"/>
  <c r="BU121" i="1"/>
  <c r="BG120" i="1"/>
  <c r="CD120" i="1"/>
  <c r="BF120" i="1"/>
  <c r="BU120" i="1"/>
  <c r="CD119" i="1"/>
  <c r="BF119" i="1"/>
  <c r="BG119" i="1" s="1"/>
  <c r="BP119" i="1" s="1" a="1"/>
  <c r="BP119" i="1" s="1"/>
  <c r="BU119" i="1"/>
  <c r="BG118" i="1"/>
  <c r="BP118" i="1" s="1" a="1"/>
  <c r="BP118" i="1" s="1"/>
  <c r="BF118" i="1"/>
  <c r="BU118" i="1"/>
  <c r="CD118" i="1"/>
  <c r="CD117" i="1"/>
  <c r="BF117" i="1"/>
  <c r="BU117" i="1"/>
  <c r="BG117" i="1"/>
  <c r="BP117" i="1" s="1" a="1"/>
  <c r="BP117" i="1" s="1"/>
  <c r="CD116" i="1"/>
  <c r="BU116" i="1"/>
  <c r="BF116" i="1"/>
  <c r="BG116" i="1"/>
  <c r="BP116" i="1" s="1" a="1"/>
  <c r="BP116" i="1" s="1"/>
  <c r="BF115" i="1"/>
  <c r="BG115" i="1"/>
  <c r="BP115" i="1" s="1" a="1"/>
  <c r="BP115" i="1" s="1"/>
  <c r="BU115" i="1"/>
  <c r="CD115" i="1"/>
  <c r="BR115" i="3"/>
  <c r="BV115" i="3" s="1"/>
  <c r="BN115" i="3"/>
  <c r="BU114" i="1"/>
  <c r="BF114" i="1"/>
  <c r="BG114" i="1"/>
  <c r="BP114" i="1" s="1" a="1"/>
  <c r="BP114" i="1" s="1"/>
  <c r="CD114" i="1"/>
  <c r="BG113" i="1"/>
  <c r="BP113" i="1" s="1" a="1"/>
  <c r="BP113" i="1" s="1"/>
  <c r="CD113" i="1"/>
  <c r="BF113" i="1"/>
  <c r="CD112" i="1"/>
  <c r="BG112" i="1"/>
  <c r="BP112" i="1" s="1" a="1"/>
  <c r="BP112" i="1" s="1"/>
  <c r="BU112" i="1"/>
  <c r="BF112" i="1"/>
  <c r="BG111" i="1"/>
  <c r="BP111" i="1" s="1" a="1"/>
  <c r="BP111" i="1" s="1"/>
  <c r="BU111" i="1"/>
  <c r="BF111" i="1"/>
  <c r="CD111" i="1"/>
  <c r="CD109" i="1"/>
  <c r="BF109" i="1"/>
  <c r="BG109" i="1" s="1"/>
  <c r="BP109" i="1" s="1" a="1"/>
  <c r="BP109" i="1" s="1"/>
  <c r="BU109" i="1"/>
  <c r="CD108" i="1"/>
  <c r="BG108" i="1"/>
  <c r="BP108" i="1" s="1" a="1"/>
  <c r="BP108" i="1" s="1"/>
  <c r="BU108" i="1"/>
  <c r="BF108" i="1"/>
  <c r="BR104" i="3"/>
  <c r="BV104" i="3" s="1"/>
  <c r="BN104" i="3"/>
  <c r="BG103" i="1"/>
  <c r="BP103" i="1" s="1" a="1"/>
  <c r="BP103" i="1" s="1"/>
  <c r="BU103" i="1"/>
  <c r="BF102" i="1"/>
  <c r="CD102" i="1"/>
  <c r="BU102" i="1"/>
  <c r="BG102" i="1"/>
  <c r="BP102" i="1" s="1" a="1"/>
  <c r="BP102" i="1" s="1"/>
  <c r="BG101" i="1"/>
  <c r="BP101" i="1" s="1" a="1"/>
  <c r="BP101" i="1" s="1"/>
  <c r="CD101" i="1"/>
  <c r="BU101" i="1"/>
  <c r="BF101" i="1"/>
  <c r="BR101" i="3"/>
  <c r="BV101" i="3"/>
  <c r="BG100" i="1"/>
  <c r="BU100" i="1"/>
  <c r="CD100" i="1"/>
  <c r="BF100" i="1"/>
  <c r="BF98" i="1"/>
  <c r="BU98" i="1"/>
  <c r="BG98" i="1"/>
  <c r="BP98" i="1" s="1" a="1"/>
  <c r="BP98" i="1" s="1"/>
  <c r="CD98" i="1"/>
  <c r="CD97" i="1"/>
  <c r="BG97" i="1"/>
  <c r="BP97" i="1" s="1" a="1"/>
  <c r="BP97" i="1" s="1"/>
  <c r="BF97" i="1"/>
  <c r="BU97" i="1"/>
  <c r="BG190" i="1"/>
  <c r="BP190" i="1" s="1" a="1"/>
  <c r="BP190" i="1" s="1"/>
  <c r="CD190" i="1"/>
  <c r="BF190" i="1"/>
  <c r="BU190" i="1"/>
  <c r="BM97" i="3"/>
  <c r="BU97" i="3"/>
  <c r="BF189" i="1"/>
  <c r="BU189" i="1"/>
  <c r="BG189" i="1"/>
  <c r="BP189" i="1" s="1" a="1"/>
  <c r="BP189" i="1" s="1"/>
  <c r="CD189" i="1"/>
  <c r="BG95" i="1"/>
  <c r="BP95" i="1" s="1" a="1"/>
  <c r="BP95" i="1" s="1"/>
  <c r="BU95" i="1"/>
  <c r="BF95" i="1"/>
  <c r="CD95" i="1"/>
  <c r="CD198" i="1"/>
  <c r="BF198" i="1"/>
  <c r="BG198" i="1" s="1"/>
  <c r="BP198" i="1" s="1" a="1"/>
  <c r="BP198" i="1" s="1"/>
  <c r="BU198" i="1"/>
  <c r="CD92" i="1"/>
  <c r="BF92" i="1"/>
  <c r="BU92" i="1"/>
  <c r="BG92" i="1"/>
  <c r="BP92" i="1" s="1" a="1"/>
  <c r="BP92" i="1" s="1"/>
  <c r="BF91" i="1"/>
  <c r="BG91" i="1"/>
  <c r="BP91" i="1" s="1" a="1"/>
  <c r="BP91" i="1" s="1"/>
  <c r="CD91" i="1"/>
  <c r="BU91" i="1"/>
  <c r="BG188" i="1"/>
  <c r="BP188" i="1" s="1" a="1"/>
  <c r="BP188" i="1" s="1"/>
  <c r="BU188" i="1"/>
  <c r="CD188" i="1"/>
  <c r="BF188" i="1"/>
  <c r="CD90" i="1"/>
  <c r="BF90" i="1"/>
  <c r="BU90" i="1"/>
  <c r="BG90" i="1"/>
  <c r="BP90" i="1" s="1" a="1"/>
  <c r="BP90" i="1" s="1"/>
  <c r="BF192" i="1"/>
  <c r="BG192" i="1"/>
  <c r="BP192" i="1" s="1" a="1"/>
  <c r="BP192" i="1" s="1"/>
  <c r="BU192" i="1"/>
  <c r="CD192" i="1"/>
  <c r="CD89" i="1"/>
  <c r="BG89" i="1"/>
  <c r="BP89" i="1" s="1" a="1"/>
  <c r="BP89" i="1" s="1"/>
  <c r="BF89" i="1"/>
  <c r="BU89" i="1"/>
  <c r="BU88" i="1"/>
  <c r="BF88" i="1"/>
  <c r="BG88" i="1"/>
  <c r="BP88" i="1" s="1" a="1"/>
  <c r="BP88" i="1" s="1"/>
  <c r="CD88" i="1"/>
  <c r="CD197" i="1"/>
  <c r="BU197" i="1"/>
  <c r="BG197" i="1"/>
  <c r="BP197" i="1" s="1" a="1"/>
  <c r="BP197" i="1" s="1"/>
  <c r="BF197" i="1"/>
  <c r="BF196" i="1"/>
  <c r="BG196" i="1" s="1"/>
  <c r="BP196" i="1" s="1" a="1"/>
  <c r="BP196" i="1" s="1"/>
  <c r="BU196" i="1"/>
  <c r="CD196" i="1"/>
  <c r="BG86" i="1"/>
  <c r="BP86" i="1" s="1" a="1"/>
  <c r="BP86" i="1" s="1"/>
  <c r="CD86" i="1"/>
  <c r="BU86" i="1"/>
  <c r="BF86" i="1"/>
  <c r="BG85" i="1"/>
  <c r="BP85" i="1" s="1" a="1"/>
  <c r="BP85" i="1" s="1"/>
  <c r="CD85" i="1"/>
  <c r="BU85" i="1"/>
  <c r="BF85" i="1"/>
  <c r="BG195" i="1"/>
  <c r="BP195" i="1" s="1" a="1"/>
  <c r="BP195" i="1" s="1"/>
  <c r="BU195" i="1"/>
  <c r="CD195" i="1"/>
  <c r="BF195" i="1"/>
  <c r="CD84" i="1"/>
  <c r="BU84" i="1"/>
  <c r="BG84" i="1"/>
  <c r="BP84" i="1" s="1" a="1"/>
  <c r="BP84" i="1" s="1"/>
  <c r="BF84" i="1"/>
  <c r="BF191" i="1"/>
  <c r="BG191" i="1"/>
  <c r="BP191" i="1" s="1" a="1"/>
  <c r="BP191" i="1" s="1"/>
  <c r="CD191" i="1"/>
  <c r="BU191" i="1"/>
  <c r="BF83" i="1"/>
  <c r="BG83" i="1" s="1"/>
  <c r="BP83" i="1" s="1" a="1"/>
  <c r="BP83" i="1" s="1"/>
  <c r="BU83" i="1"/>
  <c r="CD83" i="1"/>
  <c r="BF81" i="1"/>
  <c r="CD81" i="1"/>
  <c r="BU81" i="1"/>
  <c r="BG81" i="1"/>
  <c r="BP81" i="1" s="1" a="1"/>
  <c r="BP81" i="1" s="1"/>
  <c r="CD194" i="1"/>
  <c r="BF194" i="1"/>
  <c r="BG194" i="1"/>
  <c r="BP194" i="1" s="1" a="1"/>
  <c r="BP194" i="1" s="1"/>
  <c r="BU194" i="1"/>
  <c r="BU77" i="1"/>
  <c r="BG77" i="1"/>
  <c r="BP77" i="1" s="1" a="1"/>
  <c r="BP77" i="1" s="1"/>
  <c r="BF77" i="1"/>
  <c r="CD77" i="1"/>
  <c r="BF76" i="1"/>
  <c r="BU76" i="1"/>
  <c r="CD75" i="1"/>
  <c r="BF75" i="1"/>
  <c r="BU75" i="1"/>
  <c r="BG75" i="1"/>
  <c r="BP75" i="1" s="1" a="1"/>
  <c r="BP75" i="1" s="1"/>
  <c r="BG74" i="1"/>
  <c r="BP74" i="1" s="1" a="1"/>
  <c r="BP74" i="1" s="1"/>
  <c r="CD74" i="1"/>
  <c r="BU74" i="1"/>
  <c r="BF74" i="1"/>
  <c r="BF187" i="1"/>
  <c r="BU187" i="1"/>
  <c r="CD187" i="1"/>
  <c r="BG187" i="1"/>
  <c r="BP187" i="1" s="1" a="1"/>
  <c r="BP187" i="1" s="1"/>
  <c r="BG72" i="1"/>
  <c r="BP72" i="1" s="1" a="1"/>
  <c r="BP72" i="1" s="1"/>
  <c r="BU72" i="1"/>
  <c r="BF72" i="1"/>
  <c r="CD72" i="1"/>
  <c r="BU186" i="1"/>
  <c r="BF186" i="1"/>
  <c r="CD186" i="1"/>
  <c r="BG186" i="1"/>
  <c r="BP186" i="1" s="1" a="1"/>
  <c r="BP186" i="1" s="1"/>
  <c r="BF71" i="1"/>
  <c r="CD71" i="1"/>
  <c r="BU71" i="1"/>
  <c r="BG71" i="1"/>
  <c r="BP71" i="1" s="1" a="1"/>
  <c r="BP71" i="1" s="1"/>
  <c r="BU193" i="1"/>
  <c r="BF193" i="1"/>
  <c r="CD193" i="1"/>
  <c r="BG193" i="1"/>
  <c r="BP193" i="1" s="1" a="1"/>
  <c r="BP193" i="1" s="1"/>
  <c r="BF70" i="1"/>
  <c r="CD70" i="1"/>
  <c r="BG70" i="1"/>
  <c r="BP70" i="1" s="1" a="1"/>
  <c r="BP70" i="1" s="1"/>
  <c r="BU70" i="1"/>
  <c r="BF68" i="1"/>
  <c r="CD68" i="1"/>
  <c r="BG68" i="1"/>
  <c r="BP68" i="1" s="1" a="1"/>
  <c r="BP68" i="1" s="1"/>
  <c r="BU68" i="1"/>
  <c r="BG185" i="1"/>
  <c r="BP185" i="1" s="1" a="1"/>
  <c r="BP185" i="1" s="1"/>
  <c r="BF185" i="1"/>
  <c r="CD185" i="1"/>
  <c r="BU185" i="1"/>
  <c r="BU67" i="1"/>
  <c r="CD67" i="1"/>
  <c r="BG67" i="1"/>
  <c r="BP67" i="1" s="1" a="1"/>
  <c r="BP67" i="1" s="1"/>
  <c r="BF67" i="1"/>
  <c r="CD184" i="1"/>
  <c r="BF184" i="1"/>
  <c r="BU184" i="1"/>
  <c r="BG184" i="1"/>
  <c r="BP184" i="1" s="1" a="1"/>
  <c r="BP184" i="1" s="1"/>
  <c r="BF65" i="1"/>
  <c r="BG65" i="1" s="1"/>
  <c r="BP65" i="1" s="1" a="1"/>
  <c r="BP65" i="1" s="1"/>
  <c r="CD65" i="1"/>
  <c r="BU65" i="1"/>
  <c r="BU64" i="1"/>
  <c r="CD64" i="1"/>
  <c r="BF63" i="1"/>
  <c r="BU63" i="1"/>
  <c r="BG63" i="1"/>
  <c r="BP63" i="1" s="1" a="1"/>
  <c r="BP63" i="1" s="1"/>
  <c r="CD63" i="1"/>
  <c r="CD62" i="1"/>
  <c r="BG62" i="1"/>
  <c r="BP62" i="1" s="1" a="1"/>
  <c r="BP62" i="1" s="1"/>
  <c r="BU62" i="1"/>
  <c r="BF62" i="1"/>
  <c r="BF60" i="1"/>
  <c r="BG60" i="1" s="1"/>
  <c r="BP60" i="1" s="1" a="1"/>
  <c r="BP60" i="1" s="1"/>
  <c r="CD60" i="1"/>
  <c r="BU60" i="1"/>
  <c r="BF59" i="1"/>
  <c r="BG59" i="1" s="1"/>
  <c r="BP59" i="1" s="1" a="1"/>
  <c r="BP59" i="1" s="1"/>
  <c r="CD59" i="1"/>
  <c r="BU59" i="1"/>
  <c r="BF58" i="1"/>
  <c r="BG58" i="1" s="1"/>
  <c r="BP58" i="1" s="1" a="1"/>
  <c r="BP58" i="1" s="1"/>
  <c r="CD58" i="1"/>
  <c r="BU58" i="1"/>
  <c r="BG57" i="1"/>
  <c r="BP57" i="1" s="1" a="1"/>
  <c r="BP57" i="1" s="1"/>
  <c r="BU57" i="1"/>
  <c r="CD54" i="1"/>
  <c r="BU54" i="1"/>
  <c r="BF54" i="1"/>
  <c r="BG54" i="1"/>
  <c r="BP54" i="1" s="1" a="1"/>
  <c r="BP54" i="1" s="1"/>
  <c r="BU52" i="3"/>
  <c r="BM52" i="3"/>
  <c r="BF51" i="1"/>
  <c r="BU51" i="1"/>
  <c r="BG51" i="1"/>
  <c r="BP51" i="1" s="1" a="1"/>
  <c r="BP51" i="1" s="1"/>
  <c r="CD51" i="1"/>
  <c r="BF50" i="1"/>
  <c r="BU50" i="1"/>
  <c r="CD50" i="1"/>
  <c r="BG50" i="1"/>
  <c r="BP50" i="1" s="1" a="1"/>
  <c r="BP50" i="1" s="1"/>
  <c r="BG48" i="1"/>
  <c r="BP48" i="1" s="1" a="1"/>
  <c r="BP48" i="1" s="1"/>
  <c r="CD48" i="1"/>
  <c r="BF48" i="1"/>
  <c r="BU48" i="1"/>
  <c r="CD46" i="1"/>
  <c r="BU46" i="1"/>
  <c r="BG46" i="1"/>
  <c r="BP46" i="1" s="1" a="1"/>
  <c r="BP46" i="1" s="1"/>
  <c r="BF46" i="1"/>
  <c r="BF45" i="1"/>
  <c r="BG45" i="1"/>
  <c r="BP45" i="1" s="1" a="1"/>
  <c r="BP45" i="1" s="1"/>
  <c r="BU45" i="1"/>
  <c r="CD45" i="1"/>
  <c r="BU44" i="1"/>
  <c r="BG44" i="1"/>
  <c r="BP44" i="1" s="1" a="1"/>
  <c r="BP44" i="1" s="1"/>
  <c r="BF44" i="1"/>
  <c r="CD44" i="1"/>
  <c r="BF43" i="1"/>
  <c r="BG43" i="1"/>
  <c r="BP43" i="1" s="1" a="1"/>
  <c r="BP43" i="1" s="1"/>
  <c r="CD43" i="1"/>
  <c r="BU43" i="1"/>
  <c r="CD41" i="1"/>
  <c r="CD38" i="1"/>
  <c r="BU38" i="1"/>
  <c r="BF38" i="1"/>
  <c r="BG38" i="1" s="1"/>
  <c r="BP38" i="1" s="1" a="1"/>
  <c r="BP38" i="1" s="1"/>
  <c r="CD37" i="1"/>
  <c r="BU37" i="1"/>
  <c r="BF37" i="1"/>
  <c r="BG37" i="1" s="1"/>
  <c r="BP37" i="1" s="1" a="1"/>
  <c r="BP37" i="1" s="1"/>
  <c r="CD36" i="1"/>
  <c r="BU36" i="1"/>
  <c r="BF36" i="1"/>
  <c r="BG36" i="1" s="1"/>
  <c r="BP36" i="1" s="1" a="1"/>
  <c r="BP36" i="1" s="1"/>
  <c r="CD35" i="1"/>
  <c r="BF35" i="1"/>
  <c r="BG35" i="1" s="1"/>
  <c r="BP35" i="1" s="1" a="1"/>
  <c r="BP35" i="1" s="1"/>
  <c r="BU35" i="1"/>
  <c r="BU32" i="1"/>
  <c r="BF32" i="1"/>
  <c r="CD32" i="1"/>
  <c r="BG32" i="1"/>
  <c r="BP32" i="1" s="1" a="1"/>
  <c r="BP32" i="1" s="1"/>
  <c r="BG30" i="1"/>
  <c r="BP30" i="1" s="1" a="1"/>
  <c r="BP30" i="1" s="1"/>
  <c r="BU30" i="1"/>
  <c r="BF30" i="1"/>
  <c r="CD30" i="1"/>
  <c r="BU29" i="1"/>
  <c r="CD29" i="1"/>
  <c r="BF29" i="1"/>
  <c r="BG29" i="1"/>
  <c r="BP29" i="1" s="1" a="1"/>
  <c r="BP29" i="1" s="1"/>
  <c r="BF27" i="1"/>
  <c r="BG27" i="1"/>
  <c r="BP27" i="1" s="1" a="1"/>
  <c r="BP27" i="1" s="1"/>
  <c r="BU27" i="1"/>
  <c r="CD27" i="1"/>
  <c r="BW27" i="1"/>
  <c r="BF26" i="1"/>
  <c r="BG26" i="1"/>
  <c r="BP26" i="1" s="1" a="1"/>
  <c r="BP26" i="1" s="1"/>
  <c r="CD26" i="1"/>
  <c r="BU26" i="1"/>
  <c r="BF24" i="1"/>
  <c r="BG24" i="1" s="1"/>
  <c r="BP24" i="1" s="1" a="1"/>
  <c r="BP24" i="1" s="1"/>
  <c r="BU24" i="1"/>
  <c r="CD24" i="1"/>
  <c r="BF23" i="1"/>
  <c r="BG23" i="1" s="1"/>
  <c r="BP23" i="1" s="1" a="1"/>
  <c r="BP23" i="1" s="1"/>
  <c r="BU23" i="1"/>
  <c r="CD23" i="1"/>
  <c r="CD21" i="1"/>
  <c r="BG21" i="1"/>
  <c r="BP21" i="1" s="1" a="1"/>
  <c r="BP21" i="1" s="1"/>
  <c r="BF21" i="1"/>
  <c r="BU21" i="1"/>
  <c r="BF20" i="1"/>
  <c r="BG20" i="1" s="1"/>
  <c r="BP20" i="1" s="1" a="1"/>
  <c r="BP20" i="1" s="1"/>
  <c r="CD20" i="1"/>
  <c r="BU20" i="1"/>
  <c r="BU19" i="1"/>
  <c r="CD19" i="1"/>
  <c r="BF19" i="1"/>
  <c r="BG19" i="1" s="1"/>
  <c r="BP19" i="1" s="1" a="1"/>
  <c r="BP19" i="1" s="1"/>
  <c r="BU15" i="1"/>
  <c r="BF15" i="1"/>
  <c r="BG15" i="1" s="1"/>
  <c r="BP15" i="1" s="1" a="1"/>
  <c r="BP15" i="1" s="1"/>
  <c r="CD15" i="1"/>
  <c r="BU14" i="1"/>
  <c r="BF14" i="1"/>
  <c r="BG14" i="1" s="1"/>
  <c r="BP14" i="1" s="1" a="1"/>
  <c r="BP14" i="1" s="1"/>
  <c r="CD14" i="1"/>
  <c r="BF13" i="1"/>
  <c r="CD13" i="1"/>
  <c r="BG13" i="1"/>
  <c r="BP13" i="1" s="1" a="1"/>
  <c r="BP13" i="1" s="1"/>
  <c r="BU13" i="1"/>
  <c r="BG12" i="1"/>
  <c r="BP12" i="1" s="1" a="1"/>
  <c r="BP12" i="1" s="1"/>
  <c r="BU12" i="1"/>
  <c r="BG9" i="1"/>
  <c r="BP9" i="1" s="1" a="1"/>
  <c r="BP9" i="1" s="1"/>
  <c r="BU9" i="1"/>
  <c r="CD9" i="1"/>
  <c r="BF9" i="1"/>
  <c r="CD8" i="1"/>
  <c r="BU8" i="1"/>
  <c r="BF8" i="1"/>
  <c r="BG8" i="1"/>
  <c r="BP8" i="1" s="1" a="1"/>
  <c r="BP8" i="1" s="1"/>
  <c r="CD7" i="1"/>
  <c r="BG7" i="1"/>
  <c r="BP7" i="1" s="1" a="1"/>
  <c r="BP7" i="1" s="1"/>
  <c r="BU7" i="1"/>
  <c r="BF7" i="1"/>
  <c r="BU151" i="1"/>
  <c r="BF151" i="1"/>
  <c r="BG151" i="1" s="1"/>
  <c r="BP151" i="1" s="1" a="1"/>
  <c r="BP151" i="1" s="1"/>
  <c r="CD151" i="1"/>
  <c r="BF152" i="1"/>
  <c r="BG152" i="1" s="1"/>
  <c r="BP152" i="1" s="1" a="1"/>
  <c r="BP152" i="1" s="1"/>
  <c r="BU152" i="1"/>
  <c r="CD152" i="1"/>
  <c r="BF154" i="1"/>
  <c r="BG154" i="1" s="1"/>
  <c r="BP154" i="1" s="1" a="1"/>
  <c r="BP154" i="1" s="1"/>
  <c r="BU154" i="1"/>
  <c r="CD154" i="1"/>
  <c r="CD155" i="1"/>
  <c r="BF155" i="1"/>
  <c r="BG155" i="1" s="1"/>
  <c r="BP155" i="1" s="1" a="1"/>
  <c r="BP155" i="1" s="1"/>
  <c r="BU155" i="1"/>
  <c r="CD156" i="1"/>
  <c r="BF156" i="1"/>
  <c r="BG156" i="1" s="1"/>
  <c r="BP156" i="1" s="1" a="1"/>
  <c r="BP156" i="1" s="1"/>
  <c r="BU156" i="1"/>
  <c r="CD157" i="1"/>
  <c r="BF157" i="1"/>
  <c r="BG157" i="1" s="1"/>
  <c r="BP157" i="1" s="1" a="1"/>
  <c r="BP157" i="1" s="1"/>
  <c r="BU157" i="1"/>
  <c r="BF158" i="1"/>
  <c r="BG158" i="1" s="1"/>
  <c r="BP158" i="1" s="1" a="1"/>
  <c r="BP158" i="1" s="1"/>
  <c r="BU158" i="1"/>
  <c r="CD158" i="1"/>
  <c r="BF159" i="1"/>
  <c r="BG159" i="1" s="1"/>
  <c r="BP159" i="1" s="1" a="1"/>
  <c r="BP159" i="1" s="1"/>
  <c r="CD159" i="1"/>
  <c r="BU159" i="1"/>
  <c r="BF141" i="1"/>
  <c r="BG141" i="1" s="1"/>
  <c r="BP141" i="1" s="1" a="1"/>
  <c r="BP141" i="1" s="1"/>
  <c r="BU141" i="1"/>
  <c r="CD141" i="1"/>
  <c r="CD143" i="1"/>
  <c r="BF143" i="1"/>
  <c r="BG143" i="1" s="1"/>
  <c r="BP143" i="1" s="1" a="1"/>
  <c r="BP143" i="1" s="1"/>
  <c r="BF144" i="1"/>
  <c r="BG144" i="1" s="1"/>
  <c r="BP144" i="1" s="1" a="1"/>
  <c r="BP144" i="1" s="1"/>
  <c r="BU144" i="1"/>
  <c r="CD144" i="1"/>
  <c r="BF145" i="1"/>
  <c r="BG145" i="1" s="1"/>
  <c r="BP145" i="1" s="1" a="1"/>
  <c r="BP145" i="1" s="1"/>
  <c r="BU145" i="1"/>
  <c r="CD145" i="1"/>
  <c r="BU146" i="1"/>
  <c r="CD146" i="1"/>
  <c r="BF146" i="1"/>
  <c r="BG146" i="1" s="1"/>
  <c r="BP146" i="1" s="1" a="1"/>
  <c r="BP146" i="1" s="1"/>
  <c r="CD147" i="1"/>
  <c r="BU147" i="1"/>
  <c r="BF148" i="1"/>
  <c r="BG148" i="1" s="1"/>
  <c r="BP148" i="1" s="1" a="1"/>
  <c r="BP148" i="1" s="1"/>
  <c r="BU148" i="1"/>
  <c r="CD148" i="1"/>
  <c r="BF149" i="1"/>
  <c r="BG149" i="1" s="1"/>
  <c r="BP149" i="1" s="1" a="1"/>
  <c r="BP149" i="1" s="1"/>
  <c r="CD149" i="1"/>
  <c r="BU149" i="1"/>
  <c r="BF140" i="1"/>
  <c r="BG140" i="1" s="1"/>
  <c r="BP140" i="1" s="1" a="1"/>
  <c r="BP140" i="1" s="1"/>
  <c r="CD140" i="1"/>
  <c r="BU140" i="1"/>
  <c r="CA106" i="1"/>
  <c r="BK106" i="1"/>
  <c r="AN106" i="1"/>
  <c r="BZ106" i="1"/>
  <c r="S106" i="5"/>
  <c r="AM106" i="1"/>
  <c r="AL106" i="1"/>
  <c r="AJ106" i="1"/>
  <c r="AK106" i="1"/>
  <c r="T106" i="1"/>
  <c r="G106" i="5"/>
  <c r="V106" i="1"/>
  <c r="W106" i="1"/>
  <c r="U106" i="1"/>
  <c r="BG106" i="1"/>
  <c r="BP106" i="1" s="1" a="1"/>
  <c r="BP106" i="1" s="1"/>
  <c r="CD106" i="1"/>
  <c r="BF106" i="1"/>
  <c r="BK106" i="3"/>
  <c r="BS106" i="3"/>
  <c r="BL106" i="3"/>
  <c r="BO106" i="3"/>
  <c r="BN106" i="3"/>
  <c r="BR106" i="3"/>
  <c r="BV106" i="3" s="1"/>
  <c r="BO226" i="3"/>
  <c r="BL226" i="3"/>
  <c r="BK226" i="3"/>
  <c r="BS226" i="3"/>
  <c r="BS224" i="3"/>
  <c r="BK224" i="3"/>
  <c r="AU224" i="3"/>
  <c r="BH224" i="3"/>
  <c r="BI224" i="3" s="1"/>
  <c r="BU224" i="3" s="1"/>
  <c r="BR224" i="3"/>
  <c r="BV224" i="3" s="1"/>
  <c r="BN224" i="3"/>
  <c r="BK256" i="3"/>
  <c r="BS256" i="3"/>
  <c r="BR219" i="3"/>
  <c r="BV219" i="3" s="1"/>
  <c r="BN219" i="3"/>
  <c r="BS219" i="3"/>
  <c r="BK219" i="3"/>
  <c r="AU219" i="3"/>
  <c r="BH219" i="3"/>
  <c r="BI219" i="3" s="1"/>
  <c r="BU219" i="3" s="1"/>
  <c r="BB289" i="3"/>
  <c r="BJ289" i="3"/>
  <c r="BK289" i="3"/>
  <c r="BS289" i="3"/>
  <c r="BS231" i="3"/>
  <c r="BK231" i="3"/>
  <c r="BN231" i="3"/>
  <c r="BR231" i="3"/>
  <c r="BV231" i="3" s="1"/>
  <c r="BK279" i="3"/>
  <c r="BS279" i="3"/>
  <c r="AU279" i="3"/>
  <c r="BJ279" i="3"/>
  <c r="BR279" i="3" s="1"/>
  <c r="BV279" i="3" s="1"/>
  <c r="BB278" i="3"/>
  <c r="BJ278" i="3"/>
  <c r="BK278" i="3"/>
  <c r="BS278" i="3"/>
  <c r="BS309" i="3"/>
  <c r="BK309" i="3"/>
  <c r="BS310" i="3"/>
  <c r="BK310" i="3"/>
  <c r="AU311" i="3"/>
  <c r="BJ311" i="3"/>
  <c r="BK311" i="3"/>
  <c r="BS311" i="3"/>
  <c r="BS205" i="3"/>
  <c r="BK205" i="3"/>
  <c r="BV205" i="3"/>
  <c r="BR205" i="3"/>
  <c r="BF107" i="1"/>
  <c r="BG107" i="1"/>
  <c r="BP107" i="1" s="1" a="1"/>
  <c r="BP107" i="1" s="1"/>
  <c r="AN107" i="1"/>
  <c r="BZ107" i="1"/>
  <c r="CA107" i="1"/>
  <c r="BK107" i="1"/>
  <c r="S107" i="5"/>
  <c r="AJ107" i="1"/>
  <c r="AK107" i="1"/>
  <c r="AL107" i="1"/>
  <c r="AM107" i="1"/>
  <c r="G107" i="5"/>
  <c r="T107" i="1"/>
  <c r="V107" i="1"/>
  <c r="W107" i="1"/>
  <c r="U107" i="1"/>
  <c r="BL107" i="3"/>
  <c r="BO107" i="3"/>
  <c r="BN107" i="3"/>
  <c r="BR107" i="3"/>
  <c r="BV107" i="3" s="1"/>
  <c r="BK107" i="3"/>
  <c r="BS107" i="3"/>
  <c r="BS270" i="3"/>
  <c r="BK270" i="3"/>
  <c r="BR270" i="3"/>
  <c r="BV270" i="3"/>
  <c r="BB269" i="3"/>
  <c r="BJ269" i="3"/>
  <c r="BR269" i="3" s="1"/>
  <c r="BV269" i="3" s="1"/>
  <c r="BS269" i="3"/>
  <c r="BK269" i="3"/>
  <c r="BS204" i="3"/>
  <c r="BK204" i="3"/>
  <c r="BB204" i="3"/>
  <c r="BJ204" i="3"/>
  <c r="BS203" i="3"/>
  <c r="BK203" i="3"/>
  <c r="AU203" i="3"/>
  <c r="BJ203" i="3"/>
  <c r="BK202" i="3"/>
  <c r="BS202" i="3"/>
  <c r="BV202" i="3"/>
  <c r="BR202" i="3"/>
  <c r="BK185" i="3"/>
  <c r="BS185" i="3"/>
  <c r="AN201" i="1"/>
  <c r="CA201" i="1"/>
  <c r="BK201" i="1"/>
  <c r="BW201" i="1"/>
  <c r="BG201" i="1"/>
  <c r="BP201" i="1" s="1" a="1"/>
  <c r="BP201" i="1" s="1"/>
  <c r="CD201" i="1"/>
  <c r="BF201" i="1"/>
  <c r="S201" i="5"/>
  <c r="AJ201" i="1"/>
  <c r="AK201" i="1"/>
  <c r="AM201" i="1"/>
  <c r="AL201" i="1"/>
  <c r="G201" i="5"/>
  <c r="V201" i="1"/>
  <c r="T201" i="1"/>
  <c r="U201" i="1"/>
  <c r="W201" i="1"/>
  <c r="BR185" i="3"/>
  <c r="BV185" i="3"/>
  <c r="BK203" i="1"/>
  <c r="AN203" i="1"/>
  <c r="CA203" i="1"/>
  <c r="G203" i="5"/>
  <c r="U203" i="1"/>
  <c r="T203" i="1"/>
  <c r="W203" i="1"/>
  <c r="V203" i="1"/>
  <c r="BF203" i="1"/>
  <c r="CD203" i="1"/>
  <c r="BW203" i="1"/>
  <c r="BG203" i="1"/>
  <c r="BP203" i="1" s="1" a="1"/>
  <c r="BP203" i="1" s="1"/>
  <c r="BK187" i="3"/>
  <c r="BS187" i="3"/>
  <c r="BR187" i="3"/>
  <c r="BV187" i="3"/>
  <c r="BK193" i="3"/>
  <c r="BS193" i="3"/>
  <c r="S209" i="5"/>
  <c r="AK209" i="1"/>
  <c r="AJ209" i="1"/>
  <c r="AM209" i="1"/>
  <c r="AL209" i="1"/>
  <c r="AN209" i="1"/>
  <c r="BK209" i="1"/>
  <c r="CA209" i="1"/>
  <c r="BR193" i="3"/>
  <c r="BV193" i="3"/>
  <c r="S208" i="5"/>
  <c r="AK208" i="1"/>
  <c r="AJ208" i="1"/>
  <c r="AM208" i="1"/>
  <c r="AL208" i="1"/>
  <c r="BK208" i="1"/>
  <c r="AN208" i="1"/>
  <c r="CA208" i="1"/>
  <c r="BI192" i="3"/>
  <c r="BM192" i="3" s="1"/>
  <c r="BO192" i="3"/>
  <c r="BS192" i="3"/>
  <c r="BK192" i="3"/>
  <c r="BB192" i="3"/>
  <c r="BJ192" i="3"/>
  <c r="BS191" i="3"/>
  <c r="BK191" i="3"/>
  <c r="G207" i="5"/>
  <c r="U207" i="1"/>
  <c r="W207" i="1"/>
  <c r="V207" i="1"/>
  <c r="T207" i="1"/>
  <c r="AN207" i="1"/>
  <c r="BK207" i="1"/>
  <c r="CA207" i="1"/>
  <c r="S207" i="5"/>
  <c r="AM207" i="1"/>
  <c r="AK207" i="1"/>
  <c r="AL207" i="1"/>
  <c r="AJ207" i="1"/>
  <c r="BB191" i="3"/>
  <c r="BC191" i="3" s="1"/>
  <c r="BJ191" i="3"/>
  <c r="BO191" i="3"/>
  <c r="BL191" i="3"/>
  <c r="AN206" i="1"/>
  <c r="CA206" i="1"/>
  <c r="BK206" i="1"/>
  <c r="G206" i="5"/>
  <c r="U206" i="1"/>
  <c r="T206" i="1"/>
  <c r="V206" i="1"/>
  <c r="W206" i="1"/>
  <c r="BR190" i="3"/>
  <c r="BV190" i="3" s="1"/>
  <c r="BN190" i="3"/>
  <c r="AU190" i="3"/>
  <c r="BH190" i="3"/>
  <c r="BI190" i="3" s="1"/>
  <c r="BU190" i="3" s="1"/>
  <c r="BK190" i="3"/>
  <c r="BS190" i="3"/>
  <c r="G205" i="5"/>
  <c r="T205" i="1"/>
  <c r="U205" i="1"/>
  <c r="V205" i="1"/>
  <c r="W205" i="1"/>
  <c r="CA205" i="1"/>
  <c r="AN205" i="1"/>
  <c r="BK205" i="1"/>
  <c r="BT189" i="3"/>
  <c r="BO189" i="3"/>
  <c r="BS189" i="3"/>
  <c r="BK189" i="3"/>
  <c r="AN204" i="1"/>
  <c r="BK204" i="1"/>
  <c r="CA204" i="1"/>
  <c r="W204" i="1"/>
  <c r="G204" i="5"/>
  <c r="V204" i="1"/>
  <c r="U204" i="1"/>
  <c r="T204" i="1"/>
  <c r="BK188" i="3"/>
  <c r="BS188" i="3"/>
  <c r="CA202" i="1"/>
  <c r="BK202" i="1"/>
  <c r="AN202" i="1"/>
  <c r="S202" i="5"/>
  <c r="AL202" i="1"/>
  <c r="AM202" i="1"/>
  <c r="AK202" i="1"/>
  <c r="AJ202" i="1"/>
  <c r="G202" i="5"/>
  <c r="T202" i="1"/>
  <c r="V202" i="1"/>
  <c r="W202" i="1"/>
  <c r="U202" i="1"/>
  <c r="BS186" i="3"/>
  <c r="BK186" i="3"/>
  <c r="BS184" i="3"/>
  <c r="BK184" i="3"/>
  <c r="G200" i="5"/>
  <c r="T200" i="1"/>
  <c r="V200" i="1"/>
  <c r="W200" i="1"/>
  <c r="U200" i="1"/>
  <c r="BK200" i="1"/>
  <c r="AN200" i="1"/>
  <c r="CA200" i="1"/>
  <c r="AJ200" i="1"/>
  <c r="S200" i="5"/>
  <c r="AK200" i="1"/>
  <c r="AL200" i="1"/>
  <c r="AM200" i="1"/>
  <c r="BR184" i="3"/>
  <c r="BV184" i="3" s="1"/>
  <c r="BN184" i="3"/>
  <c r="BL184" i="3"/>
  <c r="BO184" i="3"/>
  <c r="W199" i="1"/>
  <c r="G199" i="5"/>
  <c r="T199" i="1"/>
  <c r="U199" i="1"/>
  <c r="V199" i="1"/>
  <c r="BK199" i="1"/>
  <c r="AN199" i="1"/>
  <c r="CA199" i="1"/>
  <c r="AK199" i="1"/>
  <c r="AM199" i="1"/>
  <c r="S199" i="5"/>
  <c r="AL199" i="1"/>
  <c r="AJ199" i="1"/>
  <c r="BK183" i="3"/>
  <c r="BS183" i="3"/>
  <c r="G182" i="5"/>
  <c r="V182" i="1"/>
  <c r="U182" i="1"/>
  <c r="T182" i="1"/>
  <c r="W182" i="1"/>
  <c r="BK182" i="1"/>
  <c r="BZ182" i="1"/>
  <c r="AN182" i="1"/>
  <c r="S182" i="5"/>
  <c r="AL182" i="1"/>
  <c r="AM182" i="1"/>
  <c r="AJ182" i="1"/>
  <c r="AK182" i="1"/>
  <c r="BS182" i="3"/>
  <c r="BK182" i="3"/>
  <c r="BK181" i="3"/>
  <c r="BS181" i="3"/>
  <c r="AN181" i="1"/>
  <c r="BZ181" i="1"/>
  <c r="BK181" i="1"/>
  <c r="S181" i="5"/>
  <c r="AK181" i="1"/>
  <c r="AM181" i="1"/>
  <c r="AJ181" i="1"/>
  <c r="AL181" i="1"/>
  <c r="G181" i="5"/>
  <c r="U181" i="1"/>
  <c r="W181" i="1"/>
  <c r="T181" i="1"/>
  <c r="V181" i="1"/>
  <c r="AN180" i="1"/>
  <c r="BZ180" i="1"/>
  <c r="BK180" i="1"/>
  <c r="S180" i="5"/>
  <c r="AM180" i="1"/>
  <c r="AK180" i="1"/>
  <c r="AJ180" i="1"/>
  <c r="AL180" i="1"/>
  <c r="W180" i="1"/>
  <c r="G180" i="5"/>
  <c r="V180" i="1"/>
  <c r="U180" i="1"/>
  <c r="T180" i="1"/>
  <c r="BS180" i="3"/>
  <c r="BK180" i="3"/>
  <c r="BS179" i="3"/>
  <c r="BK179" i="3"/>
  <c r="BZ179" i="1"/>
  <c r="AN179" i="1"/>
  <c r="BK179" i="1"/>
  <c r="W179" i="1"/>
  <c r="U179" i="1"/>
  <c r="T179" i="1"/>
  <c r="G179" i="5"/>
  <c r="V179" i="1"/>
  <c r="BB179" i="3"/>
  <c r="BJ179" i="3"/>
  <c r="BR179" i="3" s="1"/>
  <c r="BV179" i="3" s="1"/>
  <c r="AN178" i="1"/>
  <c r="BK178" i="1"/>
  <c r="BZ178" i="1"/>
  <c r="S178" i="5"/>
  <c r="AK178" i="1"/>
  <c r="AL178" i="1"/>
  <c r="AJ178" i="1"/>
  <c r="AM178" i="1"/>
  <c r="G178" i="5"/>
  <c r="U178" i="1"/>
  <c r="W178" i="1"/>
  <c r="T178" i="1"/>
  <c r="V178" i="1"/>
  <c r="BB178" i="3"/>
  <c r="BJ178" i="3"/>
  <c r="BK178" i="3"/>
  <c r="BS178" i="3"/>
  <c r="AN177" i="1"/>
  <c r="BZ177" i="1"/>
  <c r="BK177" i="1"/>
  <c r="S177" i="5"/>
  <c r="AK177" i="1"/>
  <c r="AM177" i="1"/>
  <c r="AJ177" i="1"/>
  <c r="AL177" i="1"/>
  <c r="BB177" i="3"/>
  <c r="BJ177" i="3"/>
  <c r="BS177" i="3"/>
  <c r="BK177" i="3"/>
  <c r="AV176" i="3"/>
  <c r="BR398" i="1" s="1"/>
  <c r="AV382" i="3"/>
  <c r="BK176" i="1"/>
  <c r="AN176" i="1"/>
  <c r="BZ176" i="1"/>
  <c r="S176" i="5"/>
  <c r="AJ176" i="1"/>
  <c r="AM176" i="1"/>
  <c r="AL176" i="1"/>
  <c r="AK176" i="1"/>
  <c r="BB176" i="3"/>
  <c r="BJ176" i="3"/>
  <c r="BS176" i="3"/>
  <c r="BK176" i="3"/>
  <c r="AN175" i="1"/>
  <c r="BZ175" i="1"/>
  <c r="BK175" i="1"/>
  <c r="G175" i="5"/>
  <c r="U175" i="1"/>
  <c r="V175" i="1"/>
  <c r="W175" i="1"/>
  <c r="T175" i="1"/>
  <c r="BR175" i="3"/>
  <c r="BV175" i="3"/>
  <c r="BS175" i="3"/>
  <c r="BK175" i="3"/>
  <c r="AN174" i="1"/>
  <c r="BZ174" i="1"/>
  <c r="BK174" i="1"/>
  <c r="AK174" i="1"/>
  <c r="S174" i="5"/>
  <c r="AM174" i="1"/>
  <c r="AJ174" i="1"/>
  <c r="AL174" i="1"/>
  <c r="G174" i="5"/>
  <c r="T174" i="1"/>
  <c r="U174" i="1"/>
  <c r="W174" i="1"/>
  <c r="V174" i="1"/>
  <c r="BU174" i="3"/>
  <c r="BM174" i="3"/>
  <c r="BS174" i="3"/>
  <c r="BK174" i="3"/>
  <c r="BS173" i="3"/>
  <c r="BK173" i="3"/>
  <c r="G173" i="5"/>
  <c r="V173" i="1"/>
  <c r="U173" i="1"/>
  <c r="T173" i="1"/>
  <c r="W173" i="1"/>
  <c r="AN173" i="1"/>
  <c r="BZ173" i="1"/>
  <c r="BK173" i="1"/>
  <c r="BB173" i="3"/>
  <c r="BJ173" i="3"/>
  <c r="BR173" i="3" s="1"/>
  <c r="BV173" i="3" s="1"/>
  <c r="BK172" i="3"/>
  <c r="BS172" i="3"/>
  <c r="W172" i="1"/>
  <c r="G172" i="5"/>
  <c r="T172" i="1"/>
  <c r="U172" i="1"/>
  <c r="V172" i="1"/>
  <c r="BW172" i="1"/>
  <c r="BG172" i="1"/>
  <c r="BP172" i="1" s="1" a="1"/>
  <c r="BP172" i="1" s="1"/>
  <c r="CD172" i="1"/>
  <c r="BF172" i="1"/>
  <c r="AN172" i="1"/>
  <c r="BK172" i="1"/>
  <c r="CA172" i="1"/>
  <c r="BZ172" i="1"/>
  <c r="AJ172" i="1"/>
  <c r="S172" i="5"/>
  <c r="AL172" i="1"/>
  <c r="AM172" i="1"/>
  <c r="AK172" i="1"/>
  <c r="BK170" i="1"/>
  <c r="BZ170" i="1"/>
  <c r="AN170" i="1"/>
  <c r="CA170" i="1"/>
  <c r="G170" i="5"/>
  <c r="V170" i="1"/>
  <c r="W170" i="1"/>
  <c r="U170" i="1"/>
  <c r="T170" i="1"/>
  <c r="BW170" i="1"/>
  <c r="CD170" i="1"/>
  <c r="BF170" i="1"/>
  <c r="BG170" i="1"/>
  <c r="BP170" i="1" s="1" a="1"/>
  <c r="BP170" i="1" s="1"/>
  <c r="BU170" i="1"/>
  <c r="BN170" i="3"/>
  <c r="BR170" i="3"/>
  <c r="BV170" i="3" s="1"/>
  <c r="BO170" i="3"/>
  <c r="BL170" i="3"/>
  <c r="BS170" i="3"/>
  <c r="BK170" i="3"/>
  <c r="AN169" i="1"/>
  <c r="CA169" i="1"/>
  <c r="BK169" i="1"/>
  <c r="BZ169" i="1"/>
  <c r="AJ169" i="1"/>
  <c r="S169" i="5"/>
  <c r="AK169" i="1"/>
  <c r="AM169" i="1"/>
  <c r="AL169" i="1"/>
  <c r="BG169" i="1"/>
  <c r="BP169" i="1" s="1" a="1"/>
  <c r="BP169" i="1" s="1"/>
  <c r="BF169" i="1"/>
  <c r="CD169" i="1"/>
  <c r="BW169" i="1"/>
  <c r="BR169" i="3"/>
  <c r="BV169" i="3"/>
  <c r="BI169" i="3"/>
  <c r="BU169" i="3" s="1"/>
  <c r="BS169" i="3"/>
  <c r="BK169" i="3"/>
  <c r="BK167" i="3"/>
  <c r="BS167" i="3"/>
  <c r="BF167" i="1"/>
  <c r="BG167" i="1"/>
  <c r="BP167" i="1" s="1" a="1"/>
  <c r="BP167" i="1" s="1"/>
  <c r="BW167" i="1"/>
  <c r="CD167" i="1"/>
  <c r="AN167" i="1"/>
  <c r="BZ167" i="1"/>
  <c r="BK167" i="1"/>
  <c r="CA167" i="1"/>
  <c r="T167" i="1"/>
  <c r="G167" i="5"/>
  <c r="W167" i="1"/>
  <c r="V167" i="1"/>
  <c r="U167" i="1"/>
  <c r="AU167" i="3"/>
  <c r="BJ167" i="3"/>
  <c r="AN166" i="1"/>
  <c r="BK166" i="1"/>
  <c r="BZ166" i="1"/>
  <c r="S166" i="5"/>
  <c r="AK166" i="1"/>
  <c r="AJ166" i="1"/>
  <c r="AL166" i="1"/>
  <c r="AM166" i="1"/>
  <c r="W166" i="1"/>
  <c r="G166" i="5"/>
  <c r="T166" i="1"/>
  <c r="V166" i="1"/>
  <c r="U166" i="1"/>
  <c r="BK166" i="3"/>
  <c r="BS166" i="3"/>
  <c r="BR166" i="3"/>
  <c r="BV166" i="3"/>
  <c r="BN166" i="3"/>
  <c r="AN165" i="1"/>
  <c r="BK165" i="1"/>
  <c r="BZ165" i="1"/>
  <c r="S165" i="5"/>
  <c r="AM165" i="1"/>
  <c r="AL165" i="1"/>
  <c r="AJ165" i="1"/>
  <c r="AK165" i="1"/>
  <c r="G165" i="5"/>
  <c r="W165" i="1"/>
  <c r="U165" i="1"/>
  <c r="V165" i="1"/>
  <c r="T165" i="1"/>
  <c r="BS165" i="3"/>
  <c r="BK165" i="3"/>
  <c r="BR165" i="3"/>
  <c r="BV165" i="3" s="1"/>
  <c r="BN165" i="3"/>
  <c r="BK164" i="1"/>
  <c r="BZ164" i="1"/>
  <c r="AN164" i="1"/>
  <c r="S164" i="5"/>
  <c r="AJ164" i="1"/>
  <c r="AK164" i="1"/>
  <c r="AL164" i="1"/>
  <c r="AM164" i="1"/>
  <c r="CD164" i="1"/>
  <c r="BW164" i="1"/>
  <c r="BG164" i="1"/>
  <c r="BP164" i="1" s="1" a="1"/>
  <c r="BP164" i="1" s="1"/>
  <c r="BF164" i="1"/>
  <c r="BU164" i="1"/>
  <c r="BK164" i="3"/>
  <c r="BS164" i="3"/>
  <c r="BB164" i="3"/>
  <c r="BJ164" i="3"/>
  <c r="G163" i="5"/>
  <c r="V163" i="1"/>
  <c r="U163" i="1"/>
  <c r="W163" i="1"/>
  <c r="T163" i="1"/>
  <c r="AN163" i="1"/>
  <c r="BZ163" i="1"/>
  <c r="BK163" i="1"/>
  <c r="BK163" i="3"/>
  <c r="BS163" i="3"/>
  <c r="AN162" i="1"/>
  <c r="BK162" i="1"/>
  <c r="BZ162" i="1"/>
  <c r="S162" i="5"/>
  <c r="AM162" i="1"/>
  <c r="AL162" i="1"/>
  <c r="AJ162" i="1"/>
  <c r="AK162" i="1"/>
  <c r="BS162" i="3"/>
  <c r="BK162" i="3"/>
  <c r="BB162" i="3"/>
  <c r="BJ162" i="3"/>
  <c r="BL162" i="3"/>
  <c r="BO162" i="3"/>
  <c r="BK161" i="3"/>
  <c r="BS161" i="3"/>
  <c r="BZ161" i="1"/>
  <c r="BK161" i="1"/>
  <c r="AN161" i="1"/>
  <c r="G161" i="5"/>
  <c r="T161" i="1"/>
  <c r="V161" i="1"/>
  <c r="W161" i="1"/>
  <c r="U161" i="1"/>
  <c r="BZ160" i="1"/>
  <c r="AN160" i="1"/>
  <c r="CA160" i="1"/>
  <c r="BK160" i="1"/>
  <c r="G160" i="5"/>
  <c r="W160" i="1"/>
  <c r="U160" i="1"/>
  <c r="T160" i="1"/>
  <c r="V160" i="1"/>
  <c r="BW160" i="1"/>
  <c r="CD160" i="1"/>
  <c r="BF160" i="1"/>
  <c r="BG160" i="1"/>
  <c r="BP160" i="1" s="1" a="1"/>
  <c r="BP160" i="1" s="1"/>
  <c r="BR160" i="3"/>
  <c r="BN160" i="3"/>
  <c r="BV160" i="3"/>
  <c r="BK160" i="3"/>
  <c r="BS160" i="3"/>
  <c r="CD139" i="1"/>
  <c r="BF139" i="1"/>
  <c r="BG139" i="1" s="1"/>
  <c r="BP139" i="1" s="1" a="1"/>
  <c r="BP139" i="1" s="1"/>
  <c r="BK139" i="1"/>
  <c r="AN139" i="1"/>
  <c r="BZ139" i="1"/>
  <c r="AL139" i="1"/>
  <c r="S139" i="5"/>
  <c r="AJ139" i="1"/>
  <c r="AK139" i="1"/>
  <c r="AM139" i="1"/>
  <c r="T139" i="1"/>
  <c r="G139" i="5"/>
  <c r="V139" i="1"/>
  <c r="W139" i="1"/>
  <c r="U139" i="1"/>
  <c r="BS139" i="3"/>
  <c r="BK139" i="3"/>
  <c r="BZ138" i="1"/>
  <c r="AN138" i="1"/>
  <c r="BK138" i="1"/>
  <c r="G138" i="5"/>
  <c r="W138" i="1"/>
  <c r="U138" i="1"/>
  <c r="V138" i="1"/>
  <c r="T138" i="1"/>
  <c r="BW138" i="1"/>
  <c r="CD138" i="1"/>
  <c r="BU138" i="1"/>
  <c r="BF138" i="1"/>
  <c r="BG138" i="1"/>
  <c r="BP138" i="1" s="1" a="1"/>
  <c r="BP138" i="1" s="1"/>
  <c r="BB138" i="3"/>
  <c r="BJ138" i="3"/>
  <c r="BR138" i="3" s="1"/>
  <c r="BV138" i="3" s="1"/>
  <c r="BK138" i="3"/>
  <c r="BS138" i="3"/>
  <c r="BF137" i="1"/>
  <c r="BG137" i="1"/>
  <c r="BP137" i="1" s="1" a="1"/>
  <c r="BP137" i="1" s="1"/>
  <c r="CD137" i="1"/>
  <c r="AN137" i="1"/>
  <c r="BK137" i="1"/>
  <c r="BZ137" i="1"/>
  <c r="S137" i="5"/>
  <c r="AK137" i="1"/>
  <c r="AM137" i="1"/>
  <c r="AL137" i="1"/>
  <c r="AJ137" i="1"/>
  <c r="BB137" i="3"/>
  <c r="BJ137" i="3"/>
  <c r="BS137" i="3"/>
  <c r="BK137" i="3"/>
  <c r="S136" i="5"/>
  <c r="AM136" i="1"/>
  <c r="AJ136" i="1"/>
  <c r="AK136" i="1"/>
  <c r="AL136" i="1"/>
  <c r="G136" i="5"/>
  <c r="W136" i="1"/>
  <c r="U136" i="1"/>
  <c r="T136" i="1"/>
  <c r="V136" i="1"/>
  <c r="BK136" i="1"/>
  <c r="AN136" i="1"/>
  <c r="BZ136" i="1"/>
  <c r="BK136" i="3"/>
  <c r="BS136" i="3"/>
  <c r="BF135" i="1"/>
  <c r="BG135" i="1"/>
  <c r="BP135" i="1" s="1" a="1"/>
  <c r="BP135" i="1" s="1"/>
  <c r="CD135" i="1"/>
  <c r="AN135" i="1"/>
  <c r="BK135" i="1"/>
  <c r="BZ135" i="1"/>
  <c r="S135" i="5"/>
  <c r="AL135" i="1"/>
  <c r="AJ135" i="1"/>
  <c r="AK135" i="1"/>
  <c r="AM135" i="1"/>
  <c r="BK135" i="3"/>
  <c r="BS135" i="3"/>
  <c r="BR135" i="3"/>
  <c r="BV135" i="3"/>
  <c r="BN135" i="3"/>
  <c r="BK134" i="3"/>
  <c r="BS134" i="3"/>
  <c r="BK134" i="1"/>
  <c r="BZ134" i="1"/>
  <c r="AN134" i="1"/>
  <c r="G134" i="5"/>
  <c r="V134" i="1"/>
  <c r="T134" i="1"/>
  <c r="U134" i="1"/>
  <c r="W134" i="1"/>
  <c r="AN133" i="1"/>
  <c r="BZ133" i="1"/>
  <c r="BK133" i="1"/>
  <c r="U133" i="1"/>
  <c r="G133" i="5"/>
  <c r="T133" i="1"/>
  <c r="V133" i="1"/>
  <c r="W133" i="1"/>
  <c r="AU133" i="3"/>
  <c r="BJ133" i="3"/>
  <c r="BK133" i="3"/>
  <c r="BS133" i="3"/>
  <c r="BS132" i="3"/>
  <c r="BK132" i="3"/>
  <c r="BK132" i="1"/>
  <c r="BZ132" i="1"/>
  <c r="AN132" i="1"/>
  <c r="G132" i="5"/>
  <c r="W132" i="1"/>
  <c r="U132" i="1"/>
  <c r="T132" i="1"/>
  <c r="V132" i="1"/>
  <c r="CD131" i="1"/>
  <c r="BG131" i="1"/>
  <c r="BP131" i="1" s="1" a="1"/>
  <c r="BP131" i="1" s="1"/>
  <c r="BF131" i="1"/>
  <c r="BK131" i="1"/>
  <c r="BZ131" i="1"/>
  <c r="AN131" i="1"/>
  <c r="AJ131" i="1"/>
  <c r="S131" i="5"/>
  <c r="AK131" i="1"/>
  <c r="AM131" i="1"/>
  <c r="AL131" i="1"/>
  <c r="V131" i="1"/>
  <c r="U131" i="1"/>
  <c r="W131" i="1"/>
  <c r="G131" i="5"/>
  <c r="T131" i="1"/>
  <c r="BB131" i="3"/>
  <c r="BJ131" i="3"/>
  <c r="BK131" i="3"/>
  <c r="BS131" i="3"/>
  <c r="S130" i="5"/>
  <c r="AK130" i="1"/>
  <c r="AJ130" i="1"/>
  <c r="AL130" i="1"/>
  <c r="AM130" i="1"/>
  <c r="U130" i="1"/>
  <c r="G130" i="5"/>
  <c r="W130" i="1"/>
  <c r="V130" i="1"/>
  <c r="T130" i="1"/>
  <c r="BZ130" i="1"/>
  <c r="BK130" i="1"/>
  <c r="AN130" i="1"/>
  <c r="BB130" i="3"/>
  <c r="BJ130" i="3"/>
  <c r="BS130" i="3"/>
  <c r="BK130" i="3"/>
  <c r="CD129" i="1"/>
  <c r="BF129" i="1"/>
  <c r="BG129" i="1"/>
  <c r="BP129" i="1" s="1" a="1"/>
  <c r="BP129" i="1" s="1"/>
  <c r="BK129" i="3"/>
  <c r="BS129" i="3"/>
  <c r="G129" i="5"/>
  <c r="U129" i="1"/>
  <c r="W129" i="1"/>
  <c r="V129" i="1"/>
  <c r="T129" i="1"/>
  <c r="BK129" i="1"/>
  <c r="AN129" i="1"/>
  <c r="BZ129" i="1"/>
  <c r="AJ129" i="1"/>
  <c r="S129" i="5"/>
  <c r="AK129" i="1"/>
  <c r="AL129" i="1"/>
  <c r="AM129" i="1"/>
  <c r="BK128" i="1"/>
  <c r="AN128" i="1"/>
  <c r="BZ128" i="1"/>
  <c r="G128" i="5"/>
  <c r="T128" i="1"/>
  <c r="W128" i="1"/>
  <c r="U128" i="1"/>
  <c r="V128" i="1"/>
  <c r="BR128" i="3"/>
  <c r="BV128" i="3"/>
  <c r="BK128" i="3"/>
  <c r="BS128" i="3"/>
  <c r="BS127" i="3"/>
  <c r="BK127" i="3"/>
  <c r="BK127" i="1"/>
  <c r="AN127" i="1"/>
  <c r="BZ127" i="1"/>
  <c r="CA127" i="1"/>
  <c r="T127" i="1"/>
  <c r="G127" i="5"/>
  <c r="U127" i="1"/>
  <c r="V127" i="1"/>
  <c r="W127" i="1"/>
  <c r="BI127" i="3"/>
  <c r="BU127" i="3" s="1"/>
  <c r="BL127" i="3"/>
  <c r="BO127" i="3"/>
  <c r="BS126" i="3"/>
  <c r="BK126" i="3"/>
  <c r="BZ126" i="1"/>
  <c r="BK126" i="1"/>
  <c r="AN126" i="1"/>
  <c r="S126" i="5"/>
  <c r="AK126" i="1"/>
  <c r="AJ126" i="1"/>
  <c r="AL126" i="1"/>
  <c r="AM126" i="1"/>
  <c r="W126" i="1"/>
  <c r="U126" i="1"/>
  <c r="G126" i="5"/>
  <c r="T126" i="1"/>
  <c r="V126" i="1"/>
  <c r="BN126" i="3"/>
  <c r="BR126" i="3"/>
  <c r="BV126" i="3" s="1"/>
  <c r="BS125" i="3"/>
  <c r="BK125" i="3"/>
  <c r="BZ125" i="1"/>
  <c r="BK125" i="1"/>
  <c r="AN125" i="1"/>
  <c r="AJ125" i="1"/>
  <c r="S125" i="5"/>
  <c r="AM125" i="1"/>
  <c r="AL125" i="1"/>
  <c r="AK125" i="1"/>
  <c r="AU125" i="3"/>
  <c r="BJ125" i="3"/>
  <c r="BF123" i="1"/>
  <c r="BG123" i="1"/>
  <c r="BP123" i="1" s="1" a="1"/>
  <c r="BP123" i="1" s="1"/>
  <c r="CD123" i="1"/>
  <c r="BK123" i="3"/>
  <c r="BS123" i="3"/>
  <c r="BZ123" i="1"/>
  <c r="BK123" i="1"/>
  <c r="AN123" i="1"/>
  <c r="V123" i="1"/>
  <c r="G123" i="5"/>
  <c r="U123" i="1"/>
  <c r="W123" i="1"/>
  <c r="T123" i="1"/>
  <c r="BF122" i="1"/>
  <c r="BG122" i="1"/>
  <c r="BP122" i="1" s="1" a="1"/>
  <c r="BP122" i="1" s="1"/>
  <c r="BK122" i="1"/>
  <c r="AN122" i="1"/>
  <c r="BZ122" i="1"/>
  <c r="AL122" i="1"/>
  <c r="AK122" i="1"/>
  <c r="S122" i="5"/>
  <c r="AM122" i="1"/>
  <c r="AJ122" i="1"/>
  <c r="G122" i="5"/>
  <c r="T122" i="1"/>
  <c r="V122" i="1"/>
  <c r="W122" i="1"/>
  <c r="U122" i="1"/>
  <c r="BK122" i="3"/>
  <c r="BS122" i="3"/>
  <c r="AU122" i="3"/>
  <c r="BJ122" i="3"/>
  <c r="BZ121" i="1"/>
  <c r="AN121" i="1"/>
  <c r="BK121" i="1"/>
  <c r="AM121" i="1"/>
  <c r="S121" i="5"/>
  <c r="AJ121" i="1"/>
  <c r="AK121" i="1"/>
  <c r="AL121" i="1"/>
  <c r="G121" i="5"/>
  <c r="W121" i="1"/>
  <c r="T121" i="1"/>
  <c r="U121" i="1"/>
  <c r="V121" i="1"/>
  <c r="BB121" i="3"/>
  <c r="BJ121" i="3"/>
  <c r="BR121" i="3" s="1"/>
  <c r="BV121" i="3" s="1"/>
  <c r="BK121" i="3"/>
  <c r="BS121" i="3"/>
  <c r="BK120" i="1"/>
  <c r="AN120" i="1"/>
  <c r="BZ120" i="1"/>
  <c r="BP120" i="1" a="1"/>
  <c r="BP120" i="1" s="1"/>
  <c r="G120" i="5"/>
  <c r="T120" i="1"/>
  <c r="U120" i="1"/>
  <c r="V120" i="1"/>
  <c r="W120" i="1"/>
  <c r="BB120" i="3"/>
  <c r="BJ120" i="3"/>
  <c r="BR120" i="3" s="1"/>
  <c r="BV120" i="3" s="1"/>
  <c r="BK120" i="3"/>
  <c r="BS120" i="3"/>
  <c r="S119" i="5"/>
  <c r="AJ119" i="1"/>
  <c r="AK119" i="1"/>
  <c r="AL119" i="1"/>
  <c r="AM119" i="1"/>
  <c r="G119" i="5"/>
  <c r="V119" i="1"/>
  <c r="T119" i="1"/>
  <c r="W119" i="1"/>
  <c r="U119" i="1"/>
  <c r="AN119" i="1"/>
  <c r="BK119" i="1"/>
  <c r="BZ119" i="1"/>
  <c r="BK119" i="3"/>
  <c r="BS119" i="3"/>
  <c r="BK118" i="1"/>
  <c r="BZ118" i="1"/>
  <c r="AN118" i="1"/>
  <c r="S118" i="5"/>
  <c r="AJ118" i="1"/>
  <c r="AM118" i="1"/>
  <c r="AK118" i="1"/>
  <c r="AL118" i="1"/>
  <c r="BB118" i="3"/>
  <c r="BJ118" i="3"/>
  <c r="BK118" i="3"/>
  <c r="BS118" i="3"/>
  <c r="BZ117" i="1"/>
  <c r="AN117" i="1"/>
  <c r="BK117" i="1"/>
  <c r="G117" i="5"/>
  <c r="V117" i="1"/>
  <c r="W117" i="1"/>
  <c r="T117" i="1"/>
  <c r="U117" i="1"/>
  <c r="BK117" i="3"/>
  <c r="BS117" i="3"/>
  <c r="BK116" i="1"/>
  <c r="BZ116" i="1"/>
  <c r="AN116" i="1"/>
  <c r="S116" i="5"/>
  <c r="AJ116" i="1"/>
  <c r="AL116" i="1"/>
  <c r="AM116" i="1"/>
  <c r="AK116" i="1"/>
  <c r="BV116" i="3"/>
  <c r="BR116" i="3"/>
  <c r="BS116" i="3"/>
  <c r="BK116" i="3"/>
  <c r="BK115" i="3"/>
  <c r="BS115" i="3"/>
  <c r="BK115" i="1"/>
  <c r="CA115" i="1"/>
  <c r="AN115" i="1"/>
  <c r="BZ115" i="1"/>
  <c r="G115" i="5"/>
  <c r="U115" i="1"/>
  <c r="V115" i="1"/>
  <c r="W115" i="1"/>
  <c r="T115" i="1"/>
  <c r="BK114" i="3"/>
  <c r="BS114" i="3"/>
  <c r="BZ114" i="1"/>
  <c r="AN114" i="1"/>
  <c r="BK114" i="1"/>
  <c r="G114" i="5"/>
  <c r="W114" i="1"/>
  <c r="T114" i="1"/>
  <c r="U114" i="1"/>
  <c r="V114" i="1"/>
  <c r="AU114" i="3"/>
  <c r="BJ114" i="3"/>
  <c r="BR114" i="3" s="1"/>
  <c r="BV114" i="3" s="1"/>
  <c r="BK113" i="3"/>
  <c r="BS113" i="3"/>
  <c r="G113" i="5"/>
  <c r="W113" i="1"/>
  <c r="T113" i="1"/>
  <c r="V113" i="1"/>
  <c r="U113" i="1"/>
  <c r="BK113" i="1"/>
  <c r="BZ113" i="1"/>
  <c r="AN113" i="1"/>
  <c r="AJ113" i="1"/>
  <c r="S113" i="5"/>
  <c r="AL113" i="1"/>
  <c r="AK113" i="1"/>
  <c r="AM113" i="1"/>
  <c r="AU113" i="3"/>
  <c r="BJ113" i="3"/>
  <c r="BK112" i="3"/>
  <c r="BS112" i="3"/>
  <c r="AN112" i="1"/>
  <c r="BK112" i="1"/>
  <c r="BZ112" i="1"/>
  <c r="AK112" i="1"/>
  <c r="S112" i="5"/>
  <c r="AL112" i="1"/>
  <c r="AJ112" i="1"/>
  <c r="AM112" i="1"/>
  <c r="BV112" i="3"/>
  <c r="BR112" i="3"/>
  <c r="AU112" i="3"/>
  <c r="BH112" i="3"/>
  <c r="BI112" i="3" s="1"/>
  <c r="BU112" i="3" s="1"/>
  <c r="BK111" i="1"/>
  <c r="AN111" i="1"/>
  <c r="BZ111" i="1"/>
  <c r="S111" i="5"/>
  <c r="AJ111" i="1"/>
  <c r="AL111" i="1"/>
  <c r="AK111" i="1"/>
  <c r="AM111" i="1"/>
  <c r="BR111" i="3"/>
  <c r="BV111" i="3" s="1"/>
  <c r="BK111" i="3"/>
  <c r="BS111" i="3"/>
  <c r="AZ110" i="1"/>
  <c r="CD110" i="1"/>
  <c r="BU110" i="1"/>
  <c r="BF110" i="1"/>
  <c r="BG110" i="1"/>
  <c r="BP110" i="1" s="1" a="1"/>
  <c r="BP110" i="1" s="1"/>
  <c r="BK110" i="1"/>
  <c r="BZ110" i="1"/>
  <c r="AN110" i="1"/>
  <c r="AJ110" i="1"/>
  <c r="S110" i="5"/>
  <c r="AM110" i="1"/>
  <c r="AK110" i="1"/>
  <c r="AL110" i="1"/>
  <c r="BS110" i="3"/>
  <c r="BK110" i="3"/>
  <c r="BB110" i="3"/>
  <c r="BJ110" i="3"/>
  <c r="G109" i="5"/>
  <c r="T109" i="1"/>
  <c r="U109" i="1"/>
  <c r="V109" i="1"/>
  <c r="W109" i="1"/>
  <c r="BK109" i="1"/>
  <c r="BZ109" i="1"/>
  <c r="AN109" i="1"/>
  <c r="AL109" i="1"/>
  <c r="S109" i="5"/>
  <c r="AM109" i="1"/>
  <c r="AJ109" i="1"/>
  <c r="AK109" i="1"/>
  <c r="BV109" i="3"/>
  <c r="BR109" i="3"/>
  <c r="BS109" i="3"/>
  <c r="BK109" i="3"/>
  <c r="G108" i="5"/>
  <c r="T108" i="1"/>
  <c r="W108" i="1"/>
  <c r="V108" i="1"/>
  <c r="U108" i="1"/>
  <c r="BZ108" i="1"/>
  <c r="CA108" i="1"/>
  <c r="BK108" i="1"/>
  <c r="AN108" i="1"/>
  <c r="S108" i="5"/>
  <c r="AK108" i="1"/>
  <c r="AL108" i="1"/>
  <c r="AM108" i="1"/>
  <c r="AJ108" i="1"/>
  <c r="AU108" i="3"/>
  <c r="BJ108" i="3"/>
  <c r="BO108" i="3"/>
  <c r="BL108" i="3"/>
  <c r="BK108" i="3"/>
  <c r="BS108" i="3"/>
  <c r="BF104" i="1"/>
  <c r="BU104" i="1"/>
  <c r="CD104" i="1"/>
  <c r="BG104" i="1"/>
  <c r="BP104" i="1" s="1" a="1"/>
  <c r="BP104" i="1" s="1"/>
  <c r="BS104" i="3"/>
  <c r="BK104" i="3"/>
  <c r="AN104" i="1"/>
  <c r="BK104" i="1"/>
  <c r="CA104" i="1"/>
  <c r="BZ104" i="1"/>
  <c r="G104" i="5"/>
  <c r="V104" i="1"/>
  <c r="W104" i="1"/>
  <c r="T104" i="1"/>
  <c r="U104" i="1"/>
  <c r="BL104" i="3"/>
  <c r="BO104" i="3"/>
  <c r="BF103" i="1"/>
  <c r="CD103" i="1"/>
  <c r="BK103" i="3"/>
  <c r="BS103" i="3"/>
  <c r="G103" i="5"/>
  <c r="U103" i="1"/>
  <c r="T103" i="1"/>
  <c r="W103" i="1"/>
  <c r="V103" i="1"/>
  <c r="BK103" i="1"/>
  <c r="BZ103" i="1"/>
  <c r="AN103" i="1"/>
  <c r="CA103" i="1"/>
  <c r="AK103" i="1"/>
  <c r="S103" i="5"/>
  <c r="AL103" i="1"/>
  <c r="AM103" i="1"/>
  <c r="AJ103" i="1"/>
  <c r="AU103" i="3"/>
  <c r="BJ103" i="3"/>
  <c r="BL103" i="3"/>
  <c r="BO103" i="3"/>
  <c r="AN102" i="1"/>
  <c r="BK102" i="1"/>
  <c r="BZ102" i="1"/>
  <c r="G102" i="5"/>
  <c r="W102" i="1"/>
  <c r="T102" i="1"/>
  <c r="U102" i="1"/>
  <c r="V102" i="1"/>
  <c r="BO102" i="3"/>
  <c r="BL102" i="3"/>
  <c r="BS102" i="3"/>
  <c r="BK102" i="3"/>
  <c r="BV102" i="3"/>
  <c r="BR102" i="3"/>
  <c r="BK101" i="3"/>
  <c r="BS101" i="3"/>
  <c r="BK101" i="1"/>
  <c r="AN101" i="1"/>
  <c r="BZ101" i="1"/>
  <c r="G101" i="5"/>
  <c r="V101" i="1"/>
  <c r="W101" i="1"/>
  <c r="T101" i="1"/>
  <c r="U101" i="1"/>
  <c r="BO101" i="3"/>
  <c r="BL101" i="3"/>
  <c r="G100" i="5"/>
  <c r="W100" i="1"/>
  <c r="T100" i="1"/>
  <c r="U100" i="1"/>
  <c r="V100" i="1"/>
  <c r="BZ100" i="1"/>
  <c r="AN100" i="1"/>
  <c r="BK100" i="1"/>
  <c r="BP100" i="1" a="1"/>
  <c r="BP100" i="1" s="1"/>
  <c r="S100" i="5"/>
  <c r="AL100" i="1"/>
  <c r="AJ100" i="1"/>
  <c r="AK100" i="1"/>
  <c r="AM100" i="1"/>
  <c r="BS100" i="3"/>
  <c r="BK100" i="3"/>
  <c r="BR100" i="3"/>
  <c r="BV100" i="3"/>
  <c r="BF99" i="1"/>
  <c r="BG99" i="1"/>
  <c r="BP99" i="1" s="1" a="1"/>
  <c r="BP99" i="1" s="1"/>
  <c r="CD99" i="1"/>
  <c r="BZ99" i="1"/>
  <c r="BK99" i="1"/>
  <c r="CA99" i="1"/>
  <c r="AN99" i="1"/>
  <c r="S99" i="5"/>
  <c r="AL99" i="1"/>
  <c r="AJ99" i="1"/>
  <c r="AK99" i="1"/>
  <c r="AM99" i="1"/>
  <c r="G99" i="5"/>
  <c r="T99" i="1"/>
  <c r="U99" i="1"/>
  <c r="V99" i="1"/>
  <c r="W99" i="1"/>
  <c r="BB99" i="3"/>
  <c r="BJ99" i="3"/>
  <c r="BR99" i="3" s="1"/>
  <c r="BV99" i="3" s="1"/>
  <c r="BS99" i="3"/>
  <c r="BK99" i="3"/>
  <c r="BK98" i="1"/>
  <c r="AN98" i="1"/>
  <c r="BZ98" i="1"/>
  <c r="AK98" i="1"/>
  <c r="AJ98" i="1"/>
  <c r="AL98" i="1"/>
  <c r="AM98" i="1"/>
  <c r="S98" i="5"/>
  <c r="G98" i="5"/>
  <c r="T98" i="1"/>
  <c r="W98" i="1"/>
  <c r="V98" i="1"/>
  <c r="U98" i="1"/>
  <c r="BS98" i="3"/>
  <c r="BK98" i="3"/>
  <c r="BB98" i="3"/>
  <c r="BJ98" i="3"/>
  <c r="BZ190" i="1"/>
  <c r="BK190" i="1"/>
  <c r="AN190" i="1"/>
  <c r="AJ190" i="1"/>
  <c r="S190" i="5"/>
  <c r="AL190" i="1"/>
  <c r="AM190" i="1"/>
  <c r="AK190" i="1"/>
  <c r="AN97" i="1"/>
  <c r="BK97" i="1"/>
  <c r="BZ97" i="1"/>
  <c r="S97" i="5"/>
  <c r="AL97" i="1"/>
  <c r="AJ97" i="1"/>
  <c r="AM97" i="1"/>
  <c r="AK97" i="1"/>
  <c r="BR97" i="3"/>
  <c r="BV97" i="3"/>
  <c r="AU97" i="3"/>
  <c r="BH97" i="3"/>
  <c r="BS97" i="3"/>
  <c r="BK97" i="3"/>
  <c r="CD96" i="1"/>
  <c r="BF96" i="1"/>
  <c r="BG96" i="1"/>
  <c r="BP96" i="1" s="1" a="1"/>
  <c r="BP96" i="1" s="1"/>
  <c r="AN189" i="1"/>
  <c r="BK189" i="1"/>
  <c r="BZ189" i="1"/>
  <c r="AK189" i="1"/>
  <c r="AJ189" i="1"/>
  <c r="AL189" i="1"/>
  <c r="S189" i="5"/>
  <c r="AM189" i="1"/>
  <c r="S96" i="5"/>
  <c r="AL96" i="1"/>
  <c r="AK96" i="1"/>
  <c r="AJ96" i="1"/>
  <c r="AM96" i="1"/>
  <c r="AN96" i="1"/>
  <c r="BK96" i="1"/>
  <c r="BZ96" i="1"/>
  <c r="BK96" i="3"/>
  <c r="BS96" i="3"/>
  <c r="BB96" i="3"/>
  <c r="BJ96" i="3"/>
  <c r="AU96" i="3"/>
  <c r="BH96" i="3"/>
  <c r="S95" i="5"/>
  <c r="AK95" i="1"/>
  <c r="AM95" i="1"/>
  <c r="AJ95" i="1"/>
  <c r="AL95" i="1"/>
  <c r="AN95" i="1"/>
  <c r="BK95" i="1"/>
  <c r="BZ95" i="1"/>
  <c r="G95" i="5"/>
  <c r="T95" i="1"/>
  <c r="W95" i="1"/>
  <c r="U95" i="1"/>
  <c r="V95" i="1"/>
  <c r="BK95" i="3"/>
  <c r="BS95" i="3"/>
  <c r="BF94" i="1"/>
  <c r="BG94" i="1" s="1"/>
  <c r="BP94" i="1" s="1" a="1"/>
  <c r="BP94" i="1" s="1"/>
  <c r="BU94" i="1"/>
  <c r="AN198" i="1"/>
  <c r="BK198" i="1"/>
  <c r="BZ198" i="1"/>
  <c r="S198" i="5"/>
  <c r="AK198" i="1"/>
  <c r="AL198" i="1"/>
  <c r="AM198" i="1"/>
  <c r="AJ198" i="1"/>
  <c r="G198" i="5"/>
  <c r="U198" i="1"/>
  <c r="T198" i="1"/>
  <c r="W198" i="1"/>
  <c r="V198" i="1"/>
  <c r="AN94" i="1"/>
  <c r="BZ94" i="1"/>
  <c r="BK94" i="1"/>
  <c r="S94" i="5"/>
  <c r="AM94" i="1"/>
  <c r="AL94" i="1"/>
  <c r="AJ94" i="1"/>
  <c r="AK94" i="1"/>
  <c r="G94" i="5"/>
  <c r="U94" i="1"/>
  <c r="T94" i="1"/>
  <c r="V94" i="1"/>
  <c r="W94" i="1"/>
  <c r="BK94" i="3"/>
  <c r="BS94" i="3"/>
  <c r="CD93" i="1"/>
  <c r="BF93" i="1"/>
  <c r="BG93" i="1" s="1"/>
  <c r="BP93" i="1" s="1" a="1"/>
  <c r="BP93" i="1" s="1"/>
  <c r="BK93" i="1"/>
  <c r="BZ93" i="1"/>
  <c r="AN93" i="1"/>
  <c r="S93" i="5"/>
  <c r="AM93" i="1"/>
  <c r="AK93" i="1"/>
  <c r="AJ93" i="1"/>
  <c r="AL93" i="1"/>
  <c r="G93" i="5"/>
  <c r="W93" i="1"/>
  <c r="U93" i="1"/>
  <c r="T93" i="1"/>
  <c r="V93" i="1"/>
  <c r="BL93" i="3"/>
  <c r="BO93" i="3"/>
  <c r="BS93" i="3"/>
  <c r="BK93" i="3"/>
  <c r="BK92" i="1"/>
  <c r="BZ92" i="1"/>
  <c r="AN92" i="1"/>
  <c r="AM92" i="1"/>
  <c r="AL92" i="1"/>
  <c r="AK92" i="1"/>
  <c r="S92" i="5"/>
  <c r="AJ92" i="1"/>
  <c r="G92" i="5"/>
  <c r="T92" i="1"/>
  <c r="U92" i="1"/>
  <c r="V92" i="1"/>
  <c r="W92" i="1"/>
  <c r="BS92" i="3"/>
  <c r="BK92" i="3"/>
  <c r="AU92" i="3"/>
  <c r="BJ92" i="3"/>
  <c r="BS91" i="3"/>
  <c r="BK91" i="3"/>
  <c r="AN188" i="1"/>
  <c r="BK188" i="1"/>
  <c r="BZ188" i="1"/>
  <c r="S188" i="5"/>
  <c r="AJ188" i="1"/>
  <c r="AK188" i="1"/>
  <c r="AL188" i="1"/>
  <c r="AM188" i="1"/>
  <c r="G188" i="5"/>
  <c r="U188" i="1"/>
  <c r="T188" i="1"/>
  <c r="W188" i="1"/>
  <c r="V188" i="1"/>
  <c r="S91" i="5"/>
  <c r="AK91" i="1"/>
  <c r="AL91" i="1"/>
  <c r="AJ91" i="1"/>
  <c r="AM91" i="1"/>
  <c r="G91" i="5"/>
  <c r="W91" i="1"/>
  <c r="T91" i="1"/>
  <c r="U91" i="1"/>
  <c r="V91" i="1"/>
  <c r="BZ91" i="1"/>
  <c r="BK91" i="1"/>
  <c r="AN91" i="1"/>
  <c r="AU91" i="3"/>
  <c r="BJ91" i="3"/>
  <c r="BR91" i="3" s="1"/>
  <c r="BV91" i="3" s="1"/>
  <c r="AN90" i="1"/>
  <c r="BK90" i="1"/>
  <c r="BZ90" i="1"/>
  <c r="G90" i="5"/>
  <c r="U90" i="1"/>
  <c r="V90" i="1"/>
  <c r="W90" i="1"/>
  <c r="T90" i="1"/>
  <c r="BV90" i="3"/>
  <c r="BR90" i="3"/>
  <c r="BN90" i="3"/>
  <c r="BS90" i="3"/>
  <c r="BK90" i="3"/>
  <c r="G192" i="5"/>
  <c r="T192" i="1"/>
  <c r="V192" i="1"/>
  <c r="W192" i="1"/>
  <c r="U192" i="1"/>
  <c r="BK192" i="1"/>
  <c r="BZ192" i="1"/>
  <c r="AN192" i="1"/>
  <c r="BK89" i="1"/>
  <c r="BZ89" i="1"/>
  <c r="AN89" i="1"/>
  <c r="G89" i="5"/>
  <c r="T89" i="1"/>
  <c r="V89" i="1"/>
  <c r="W89" i="1"/>
  <c r="U89" i="1"/>
  <c r="BS89" i="3"/>
  <c r="BK89" i="3"/>
  <c r="AU89" i="3"/>
  <c r="BJ89" i="3"/>
  <c r="BR89" i="3" s="1"/>
  <c r="BV89" i="3" s="1"/>
  <c r="G197" i="5"/>
  <c r="V197" i="1"/>
  <c r="W197" i="1"/>
  <c r="T197" i="1"/>
  <c r="U197" i="1"/>
  <c r="AN197" i="1"/>
  <c r="BK197" i="1"/>
  <c r="BZ197" i="1"/>
  <c r="AK197" i="1"/>
  <c r="S197" i="5"/>
  <c r="AJ197" i="1"/>
  <c r="AM197" i="1"/>
  <c r="AL197" i="1"/>
  <c r="AN88" i="1"/>
  <c r="BZ88" i="1"/>
  <c r="BK88" i="1"/>
  <c r="S88" i="5"/>
  <c r="AK88" i="1"/>
  <c r="AJ88" i="1"/>
  <c r="AL88" i="1"/>
  <c r="AM88" i="1"/>
  <c r="G88" i="5"/>
  <c r="T88" i="1"/>
  <c r="U88" i="1"/>
  <c r="V88" i="1"/>
  <c r="W88" i="1"/>
  <c r="AU88" i="3"/>
  <c r="BH88" i="3"/>
  <c r="BI88" i="3" s="1"/>
  <c r="BR88" i="3"/>
  <c r="BV88" i="3"/>
  <c r="BK88" i="3"/>
  <c r="BS88" i="3"/>
  <c r="BU87" i="1"/>
  <c r="CD87" i="1"/>
  <c r="BF87" i="1"/>
  <c r="BG87" i="1" s="1"/>
  <c r="BP87" i="1" s="1" a="1"/>
  <c r="BP87" i="1" s="1"/>
  <c r="BS87" i="3"/>
  <c r="BK87" i="3"/>
  <c r="AK196" i="1"/>
  <c r="AL196" i="1"/>
  <c r="S196" i="5"/>
  <c r="AM196" i="1"/>
  <c r="AJ196" i="1"/>
  <c r="G196" i="5"/>
  <c r="V196" i="1"/>
  <c r="U196" i="1"/>
  <c r="W196" i="1"/>
  <c r="T196" i="1"/>
  <c r="AN196" i="1"/>
  <c r="BZ196" i="1"/>
  <c r="BK196" i="1"/>
  <c r="BK87" i="1"/>
  <c r="AN87" i="1"/>
  <c r="BZ87" i="1"/>
  <c r="S87" i="5"/>
  <c r="AJ87" i="1"/>
  <c r="AK87" i="1"/>
  <c r="AL87" i="1"/>
  <c r="AM87" i="1"/>
  <c r="G87" i="5"/>
  <c r="T87" i="1"/>
  <c r="V87" i="1"/>
  <c r="U87" i="1"/>
  <c r="W87" i="1"/>
  <c r="G86" i="5"/>
  <c r="T86" i="1"/>
  <c r="U86" i="1"/>
  <c r="W86" i="1"/>
  <c r="V86" i="1"/>
  <c r="AN86" i="1"/>
  <c r="BZ86" i="1"/>
  <c r="BK86" i="1"/>
  <c r="S86" i="5"/>
  <c r="AM86" i="1"/>
  <c r="AJ86" i="1"/>
  <c r="AK86" i="1"/>
  <c r="AL86" i="1"/>
  <c r="BB86" i="3"/>
  <c r="BJ86" i="3"/>
  <c r="BR86" i="3" s="1"/>
  <c r="BV86" i="3" s="1"/>
  <c r="BS86" i="3"/>
  <c r="BK86" i="3"/>
  <c r="BK195" i="1"/>
  <c r="BZ195" i="1"/>
  <c r="AN195" i="1"/>
  <c r="V195" i="1"/>
  <c r="G195" i="5"/>
  <c r="T195" i="1"/>
  <c r="U195" i="1"/>
  <c r="W195" i="1"/>
  <c r="BK85" i="1"/>
  <c r="BZ85" i="1"/>
  <c r="AN85" i="1"/>
  <c r="G85" i="5"/>
  <c r="U85" i="1"/>
  <c r="T85" i="1"/>
  <c r="V85" i="1"/>
  <c r="W85" i="1"/>
  <c r="BL85" i="3"/>
  <c r="BO85" i="3"/>
  <c r="BK85" i="3"/>
  <c r="BS85" i="3"/>
  <c r="BZ191" i="1"/>
  <c r="AN191" i="1"/>
  <c r="BK191" i="1"/>
  <c r="T191" i="1"/>
  <c r="G191" i="5"/>
  <c r="V191" i="1"/>
  <c r="W191" i="1"/>
  <c r="U191" i="1"/>
  <c r="BK84" i="1"/>
  <c r="BZ84" i="1"/>
  <c r="AN84" i="1"/>
  <c r="G84" i="5"/>
  <c r="V84" i="1"/>
  <c r="W84" i="1"/>
  <c r="U84" i="1"/>
  <c r="T84" i="1"/>
  <c r="BK84" i="3"/>
  <c r="BS84" i="3"/>
  <c r="BZ83" i="1"/>
  <c r="BK83" i="1"/>
  <c r="AN83" i="1"/>
  <c r="U83" i="1"/>
  <c r="G83" i="5"/>
  <c r="T83" i="1"/>
  <c r="V83" i="1"/>
  <c r="W83" i="1"/>
  <c r="BK83" i="3"/>
  <c r="BS83" i="3"/>
  <c r="BT83" i="3"/>
  <c r="BO83" i="3"/>
  <c r="BU82" i="1"/>
  <c r="BF82" i="1"/>
  <c r="BG82" i="1"/>
  <c r="BP82" i="1" s="1" a="1"/>
  <c r="BP82" i="1" s="1"/>
  <c r="CD82" i="1"/>
  <c r="BZ82" i="1"/>
  <c r="AN82" i="1"/>
  <c r="BK82" i="1"/>
  <c r="G82" i="5"/>
  <c r="T82" i="1"/>
  <c r="W82" i="1"/>
  <c r="U82" i="1"/>
  <c r="V82" i="1"/>
  <c r="BS82" i="3"/>
  <c r="BK82" i="3"/>
  <c r="BK81" i="1"/>
  <c r="AN81" i="1"/>
  <c r="BZ81" i="1"/>
  <c r="AJ81" i="1"/>
  <c r="AL81" i="1"/>
  <c r="AM81" i="1"/>
  <c r="AK81" i="1"/>
  <c r="S81" i="5"/>
  <c r="G81" i="5"/>
  <c r="W81" i="1"/>
  <c r="V81" i="1"/>
  <c r="T81" i="1"/>
  <c r="U81" i="1"/>
  <c r="BK81" i="3"/>
  <c r="BS81" i="3"/>
  <c r="AU81" i="3"/>
  <c r="BJ81" i="3"/>
  <c r="BF80" i="1"/>
  <c r="BW80" i="1"/>
  <c r="CD80" i="1"/>
  <c r="BG80" i="1"/>
  <c r="BP80" i="1" s="1" a="1"/>
  <c r="BP80" i="1" s="1"/>
  <c r="BK80" i="1"/>
  <c r="AN80" i="1"/>
  <c r="BZ80" i="1"/>
  <c r="CA80" i="1"/>
  <c r="AJ80" i="1"/>
  <c r="AK80" i="1"/>
  <c r="AM80" i="1"/>
  <c r="AL80" i="1"/>
  <c r="S80" i="5"/>
  <c r="BK80" i="3"/>
  <c r="BS80" i="3"/>
  <c r="BR80" i="3"/>
  <c r="BV80" i="3"/>
  <c r="BU80" i="3"/>
  <c r="BM80" i="3"/>
  <c r="CD79" i="1"/>
  <c r="BF79" i="1"/>
  <c r="BG79" i="1"/>
  <c r="BP79" i="1" s="1" a="1"/>
  <c r="BP79" i="1" s="1"/>
  <c r="BU79" i="1"/>
  <c r="BK79" i="1"/>
  <c r="BZ79" i="1"/>
  <c r="AN79" i="1"/>
  <c r="S79" i="5"/>
  <c r="AJ79" i="1"/>
  <c r="AK79" i="1"/>
  <c r="AL79" i="1"/>
  <c r="AM79" i="1"/>
  <c r="BR79" i="3"/>
  <c r="BV79" i="3"/>
  <c r="AU79" i="3"/>
  <c r="BH79" i="3"/>
  <c r="BS79" i="3"/>
  <c r="BK79" i="3"/>
  <c r="BF78" i="1"/>
  <c r="BG78" i="1"/>
  <c r="BP78" i="1" s="1" a="1"/>
  <c r="BP78" i="1" s="1"/>
  <c r="CD78" i="1"/>
  <c r="AN194" i="1"/>
  <c r="BK194" i="1"/>
  <c r="BZ194" i="1"/>
  <c r="S194" i="5"/>
  <c r="AL194" i="1"/>
  <c r="AJ194" i="1"/>
  <c r="AK194" i="1"/>
  <c r="AM194" i="1"/>
  <c r="V194" i="1"/>
  <c r="G194" i="5"/>
  <c r="U194" i="1"/>
  <c r="W194" i="1"/>
  <c r="T194" i="1"/>
  <c r="BZ78" i="1"/>
  <c r="BK78" i="1"/>
  <c r="AN78" i="1"/>
  <c r="S78" i="5"/>
  <c r="AK78" i="1"/>
  <c r="AL78" i="1"/>
  <c r="AM78" i="1"/>
  <c r="AJ78" i="1"/>
  <c r="T78" i="1"/>
  <c r="U78" i="1"/>
  <c r="W78" i="1"/>
  <c r="G78" i="5"/>
  <c r="V78" i="1"/>
  <c r="BV78" i="3"/>
  <c r="BR78" i="3"/>
  <c r="BN78" i="3"/>
  <c r="BS78" i="3"/>
  <c r="BK78" i="3"/>
  <c r="BK77" i="1"/>
  <c r="BZ77" i="1"/>
  <c r="AN77" i="1"/>
  <c r="AJ77" i="1"/>
  <c r="AM77" i="1"/>
  <c r="S77" i="5"/>
  <c r="AK77" i="1"/>
  <c r="AL77" i="1"/>
  <c r="G77" i="5"/>
  <c r="U77" i="1"/>
  <c r="V77" i="1"/>
  <c r="W77" i="1"/>
  <c r="T77" i="1"/>
  <c r="AU77" i="3"/>
  <c r="BJ77" i="3"/>
  <c r="BS77" i="3"/>
  <c r="BK77" i="3"/>
  <c r="AZ76" i="1"/>
  <c r="BG76" i="1"/>
  <c r="BP76" i="1" s="1" a="1"/>
  <c r="BP76" i="1" s="1"/>
  <c r="CD76" i="1"/>
  <c r="G76" i="5"/>
  <c r="T76" i="1"/>
  <c r="W76" i="1"/>
  <c r="V76" i="1"/>
  <c r="U76" i="1"/>
  <c r="AN76" i="1"/>
  <c r="BZ76" i="1"/>
  <c r="BK76" i="1"/>
  <c r="S76" i="5"/>
  <c r="AJ76" i="1"/>
  <c r="AK76" i="1"/>
  <c r="AM76" i="1"/>
  <c r="AL76" i="1"/>
  <c r="BK76" i="3"/>
  <c r="BS76" i="3"/>
  <c r="BN76" i="3"/>
  <c r="BR76" i="3"/>
  <c r="BV76" i="3" s="1"/>
  <c r="BZ75" i="1"/>
  <c r="AN75" i="1"/>
  <c r="BK75" i="1"/>
  <c r="W75" i="1"/>
  <c r="G75" i="5"/>
  <c r="T75" i="1"/>
  <c r="U75" i="1"/>
  <c r="V75" i="1"/>
  <c r="BS75" i="3"/>
  <c r="BK75" i="3"/>
  <c r="BN75" i="3"/>
  <c r="BR75" i="3"/>
  <c r="BV75" i="3" s="1"/>
  <c r="AN187" i="1"/>
  <c r="BZ187" i="1"/>
  <c r="BK187" i="1"/>
  <c r="G187" i="5"/>
  <c r="T187" i="1"/>
  <c r="W187" i="1"/>
  <c r="U187" i="1"/>
  <c r="V187" i="1"/>
  <c r="BZ74" i="1"/>
  <c r="BK74" i="1"/>
  <c r="AN74" i="1"/>
  <c r="G74" i="5"/>
  <c r="T74" i="1"/>
  <c r="W74" i="1"/>
  <c r="U74" i="1"/>
  <c r="V74" i="1"/>
  <c r="BS74" i="3"/>
  <c r="BK74" i="3"/>
  <c r="BF73" i="1"/>
  <c r="BU73" i="1"/>
  <c r="CD73" i="1"/>
  <c r="BG73" i="1"/>
  <c r="BP73" i="1" s="1" a="1"/>
  <c r="BP73" i="1" s="1"/>
  <c r="BK73" i="1"/>
  <c r="BZ73" i="1"/>
  <c r="AN73" i="1"/>
  <c r="S73" i="5"/>
  <c r="AK73" i="1"/>
  <c r="AL73" i="1"/>
  <c r="AM73" i="1"/>
  <c r="AJ73" i="1"/>
  <c r="BK73" i="3"/>
  <c r="BS73" i="3"/>
  <c r="BR73" i="3"/>
  <c r="BV73" i="3" s="1"/>
  <c r="BN73" i="3"/>
  <c r="BZ186" i="1"/>
  <c r="BK186" i="1"/>
  <c r="AN186" i="1"/>
  <c r="S186" i="5"/>
  <c r="AJ186" i="1"/>
  <c r="AL186" i="1"/>
  <c r="AK186" i="1"/>
  <c r="AM186" i="1"/>
  <c r="AN72" i="1"/>
  <c r="BZ72" i="1"/>
  <c r="BK72" i="1"/>
  <c r="S72" i="5"/>
  <c r="AK72" i="1"/>
  <c r="AL72" i="1"/>
  <c r="AM72" i="1"/>
  <c r="AJ72" i="1"/>
  <c r="BK72" i="3"/>
  <c r="BS72" i="3"/>
  <c r="BN72" i="3"/>
  <c r="BR72" i="3"/>
  <c r="BV72" i="3" s="1"/>
  <c r="AN193" i="1"/>
  <c r="BK193" i="1"/>
  <c r="BZ193" i="1"/>
  <c r="S193" i="5"/>
  <c r="AL193" i="1"/>
  <c r="AJ193" i="1"/>
  <c r="AM193" i="1"/>
  <c r="AK193" i="1"/>
  <c r="G193" i="5"/>
  <c r="T193" i="1"/>
  <c r="U193" i="1"/>
  <c r="W193" i="1"/>
  <c r="V193" i="1"/>
  <c r="G71" i="5"/>
  <c r="V71" i="1"/>
  <c r="W71" i="1"/>
  <c r="T71" i="1"/>
  <c r="U71" i="1"/>
  <c r="AN71" i="1"/>
  <c r="BK71" i="1"/>
  <c r="BZ71" i="1"/>
  <c r="S71" i="5"/>
  <c r="AL71" i="1"/>
  <c r="AM71" i="1"/>
  <c r="AJ71" i="1"/>
  <c r="AK71" i="1"/>
  <c r="BN71" i="3"/>
  <c r="BR71" i="3"/>
  <c r="BV71" i="3" s="1"/>
  <c r="BS71" i="3"/>
  <c r="BK71" i="3"/>
  <c r="BK70" i="1"/>
  <c r="AN70" i="1"/>
  <c r="BZ70" i="1"/>
  <c r="S70" i="5"/>
  <c r="AM70" i="1"/>
  <c r="AJ70" i="1"/>
  <c r="AK70" i="1"/>
  <c r="AL70" i="1"/>
  <c r="G70" i="5"/>
  <c r="T70" i="1"/>
  <c r="V70" i="1"/>
  <c r="U70" i="1"/>
  <c r="W70" i="1"/>
  <c r="BK70" i="3"/>
  <c r="BS70" i="3"/>
  <c r="BN70" i="3"/>
  <c r="BR70" i="3"/>
  <c r="BV70" i="3" s="1"/>
  <c r="CD69" i="1"/>
  <c r="BG69" i="1"/>
  <c r="BP69" i="1" s="1" a="1"/>
  <c r="BP69" i="1" s="1"/>
  <c r="BF69" i="1"/>
  <c r="AN69" i="1"/>
  <c r="BK69" i="1"/>
  <c r="BZ69" i="1"/>
  <c r="S69" i="5"/>
  <c r="AL69" i="1"/>
  <c r="AK69" i="1"/>
  <c r="AM69" i="1"/>
  <c r="AJ69" i="1"/>
  <c r="G69" i="5"/>
  <c r="V69" i="1"/>
  <c r="U69" i="1"/>
  <c r="W69" i="1"/>
  <c r="T69" i="1"/>
  <c r="BK69" i="3"/>
  <c r="BS69" i="3"/>
  <c r="BV69" i="3"/>
  <c r="BN69" i="3"/>
  <c r="BR69" i="3"/>
  <c r="AN185" i="1"/>
  <c r="BZ185" i="1"/>
  <c r="BK185" i="1"/>
  <c r="AL185" i="1"/>
  <c r="S185" i="5"/>
  <c r="AM185" i="1"/>
  <c r="AK185" i="1"/>
  <c r="AJ185" i="1"/>
  <c r="T185" i="1"/>
  <c r="G185" i="5"/>
  <c r="V185" i="1"/>
  <c r="U185" i="1"/>
  <c r="W185" i="1"/>
  <c r="BK68" i="1"/>
  <c r="BZ68" i="1"/>
  <c r="AN68" i="1"/>
  <c r="AK68" i="1"/>
  <c r="S68" i="5"/>
  <c r="AJ68" i="1"/>
  <c r="AM68" i="1"/>
  <c r="AL68" i="1"/>
  <c r="G68" i="5"/>
  <c r="T68" i="1"/>
  <c r="U68" i="1"/>
  <c r="V68" i="1"/>
  <c r="W68" i="1"/>
  <c r="BR68" i="3"/>
  <c r="BV68" i="3" s="1"/>
  <c r="BN68" i="3"/>
  <c r="BS68" i="3"/>
  <c r="BK68" i="3"/>
  <c r="BK184" i="1"/>
  <c r="BZ184" i="1"/>
  <c r="AN184" i="1"/>
  <c r="S184" i="5"/>
  <c r="AL184" i="1"/>
  <c r="AJ184" i="1"/>
  <c r="AK184" i="1"/>
  <c r="AM184" i="1"/>
  <c r="BK67" i="1"/>
  <c r="BZ67" i="1"/>
  <c r="AN67" i="1"/>
  <c r="S67" i="5"/>
  <c r="AM67" i="1"/>
  <c r="AK67" i="1"/>
  <c r="AL67" i="1"/>
  <c r="AJ67" i="1"/>
  <c r="BR67" i="3"/>
  <c r="BV67" i="3"/>
  <c r="BN67" i="3"/>
  <c r="BS67" i="3"/>
  <c r="BK67" i="3"/>
  <c r="BU66" i="1"/>
  <c r="BF66" i="1"/>
  <c r="BG66" i="1" s="1"/>
  <c r="BP66" i="1" s="1" a="1"/>
  <c r="BP66" i="1" s="1"/>
  <c r="CD66" i="1"/>
  <c r="AK66" i="1"/>
  <c r="AJ66" i="1"/>
  <c r="S66" i="5"/>
  <c r="AL66" i="1"/>
  <c r="AM66" i="1"/>
  <c r="BK66" i="1"/>
  <c r="BZ66" i="1"/>
  <c r="AN66" i="1"/>
  <c r="BR66" i="3"/>
  <c r="BN66" i="3"/>
  <c r="BV66" i="3"/>
  <c r="BK66" i="3"/>
  <c r="BS66" i="3"/>
  <c r="AN65" i="1"/>
  <c r="BK65" i="1"/>
  <c r="CA65" i="1"/>
  <c r="BZ65" i="1"/>
  <c r="S65" i="5"/>
  <c r="AL65" i="1"/>
  <c r="AM65" i="1"/>
  <c r="AJ65" i="1"/>
  <c r="AK65" i="1"/>
  <c r="BK65" i="3"/>
  <c r="BS65" i="3"/>
  <c r="BR65" i="3"/>
  <c r="BV65" i="3" s="1"/>
  <c r="BN65" i="3"/>
  <c r="BG64" i="1"/>
  <c r="BP64" i="1" s="1" a="1"/>
  <c r="BP64" i="1" s="1"/>
  <c r="BF64" i="1"/>
  <c r="AN64" i="1"/>
  <c r="BK64" i="1"/>
  <c r="BZ64" i="1"/>
  <c r="S64" i="5"/>
  <c r="AL64" i="1"/>
  <c r="AJ64" i="1"/>
  <c r="AK64" i="1"/>
  <c r="AM64" i="1"/>
  <c r="BK64" i="3"/>
  <c r="BS64" i="3"/>
  <c r="BN64" i="3"/>
  <c r="BR64" i="3"/>
  <c r="BV64" i="3" s="1"/>
  <c r="BT64" i="3"/>
  <c r="BO64" i="3"/>
  <c r="BK63" i="1"/>
  <c r="CA63" i="1"/>
  <c r="BZ63" i="1"/>
  <c r="AN63" i="1"/>
  <c r="S63" i="5"/>
  <c r="AM63" i="1"/>
  <c r="AK63" i="1"/>
  <c r="AJ63" i="1"/>
  <c r="AL63" i="1"/>
  <c r="BN63" i="3"/>
  <c r="BR63" i="3"/>
  <c r="BV63" i="3"/>
  <c r="BS63" i="3"/>
  <c r="BK63" i="3"/>
  <c r="BG183" i="1"/>
  <c r="BP183" i="1" s="1" a="1"/>
  <c r="BP183" i="1" s="1"/>
  <c r="BU183" i="1"/>
  <c r="CD183" i="1"/>
  <c r="BF183" i="1"/>
  <c r="AN183" i="1"/>
  <c r="BK183" i="1"/>
  <c r="BZ183" i="1"/>
  <c r="G183" i="5"/>
  <c r="W183" i="1"/>
  <c r="T183" i="1"/>
  <c r="V183" i="1"/>
  <c r="U183" i="1"/>
  <c r="AN62" i="1"/>
  <c r="BZ62" i="1"/>
  <c r="BK62" i="1"/>
  <c r="U62" i="1"/>
  <c r="G62" i="5"/>
  <c r="W62" i="1"/>
  <c r="V62" i="1"/>
  <c r="T62" i="1"/>
  <c r="BS62" i="3"/>
  <c r="BK62" i="3"/>
  <c r="CD61" i="1"/>
  <c r="BF61" i="1"/>
  <c r="BG61" i="1" s="1"/>
  <c r="BP61" i="1" s="1" a="1"/>
  <c r="BP61" i="1" s="1"/>
  <c r="BK61" i="1"/>
  <c r="CA61" i="1"/>
  <c r="AN61" i="1"/>
  <c r="AK61" i="1"/>
  <c r="S61" i="5"/>
  <c r="AM61" i="1"/>
  <c r="AL61" i="1"/>
  <c r="AJ61" i="1"/>
  <c r="G61" i="5"/>
  <c r="W61" i="1"/>
  <c r="T61" i="1"/>
  <c r="U61" i="1"/>
  <c r="V61" i="1"/>
  <c r="BS61" i="3"/>
  <c r="BK61" i="3"/>
  <c r="BN61" i="3"/>
  <c r="BR61" i="3"/>
  <c r="BV61" i="3" s="1"/>
  <c r="BZ60" i="1"/>
  <c r="AN60" i="1"/>
  <c r="BK60" i="1"/>
  <c r="AM60" i="1"/>
  <c r="AJ60" i="1"/>
  <c r="S60" i="5"/>
  <c r="AK60" i="1"/>
  <c r="AL60" i="1"/>
  <c r="G60" i="5"/>
  <c r="U60" i="1"/>
  <c r="T60" i="1"/>
  <c r="W60" i="1"/>
  <c r="V60" i="1"/>
  <c r="BS60" i="3"/>
  <c r="BK60" i="3"/>
  <c r="BZ59" i="1"/>
  <c r="BK59" i="1"/>
  <c r="AN59" i="1"/>
  <c r="AK59" i="1"/>
  <c r="AJ59" i="1"/>
  <c r="S59" i="5"/>
  <c r="AL59" i="1"/>
  <c r="AM59" i="1"/>
  <c r="G59" i="5"/>
  <c r="U59" i="1"/>
  <c r="V59" i="1"/>
  <c r="W59" i="1"/>
  <c r="T59" i="1"/>
  <c r="BS59" i="3"/>
  <c r="BK59" i="3"/>
  <c r="S58" i="5"/>
  <c r="AL58" i="1"/>
  <c r="AJ58" i="1"/>
  <c r="AK58" i="1"/>
  <c r="AM58" i="1"/>
  <c r="U58" i="1"/>
  <c r="V58" i="1"/>
  <c r="T58" i="1"/>
  <c r="G58" i="5"/>
  <c r="W58" i="1"/>
  <c r="BK58" i="1"/>
  <c r="AN58" i="1"/>
  <c r="BZ58" i="1"/>
  <c r="BS58" i="3"/>
  <c r="BK58" i="3"/>
  <c r="BF57" i="1"/>
  <c r="CD57" i="1"/>
  <c r="G57" i="5"/>
  <c r="T57" i="1"/>
  <c r="W57" i="1"/>
  <c r="U57" i="1"/>
  <c r="V57" i="1"/>
  <c r="BZ57" i="1"/>
  <c r="BK57" i="1"/>
  <c r="AN57" i="1"/>
  <c r="S57" i="5"/>
  <c r="AL57" i="1"/>
  <c r="AJ57" i="1"/>
  <c r="AK57" i="1"/>
  <c r="AM57" i="1"/>
  <c r="BK57" i="3"/>
  <c r="BS57" i="3"/>
  <c r="BG56" i="1"/>
  <c r="BP56" i="1" s="1" a="1"/>
  <c r="BP56" i="1" s="1"/>
  <c r="BF56" i="1"/>
  <c r="G56" i="5"/>
  <c r="V56" i="1"/>
  <c r="W56" i="1"/>
  <c r="T56" i="1"/>
  <c r="U56" i="1"/>
  <c r="BK56" i="1"/>
  <c r="AN56" i="1"/>
  <c r="BZ56" i="1"/>
  <c r="S56" i="5"/>
  <c r="AM56" i="1"/>
  <c r="AL56" i="1"/>
  <c r="AJ56" i="1"/>
  <c r="AK56" i="1"/>
  <c r="BK56" i="3"/>
  <c r="BS56" i="3"/>
  <c r="BF55" i="1"/>
  <c r="BG55" i="1" s="1"/>
  <c r="BP55" i="1" s="1" a="1"/>
  <c r="BP55" i="1" s="1"/>
  <c r="CD55" i="1"/>
  <c r="G55" i="5"/>
  <c r="U55" i="1"/>
  <c r="W55" i="1"/>
  <c r="T55" i="1"/>
  <c r="V55" i="1"/>
  <c r="CA55" i="1"/>
  <c r="BK55" i="1"/>
  <c r="AN55" i="1"/>
  <c r="BZ55" i="1"/>
  <c r="S55" i="5"/>
  <c r="AK55" i="1"/>
  <c r="AL55" i="1"/>
  <c r="AM55" i="1"/>
  <c r="AJ55" i="1"/>
  <c r="BS55" i="3"/>
  <c r="BK55" i="3"/>
  <c r="BR55" i="3"/>
  <c r="BV55" i="3"/>
  <c r="BK54" i="1"/>
  <c r="AN54" i="1"/>
  <c r="BZ54" i="1"/>
  <c r="S54" i="5"/>
  <c r="AM54" i="1"/>
  <c r="AJ54" i="1"/>
  <c r="AL54" i="1"/>
  <c r="AK54" i="1"/>
  <c r="BK54" i="3"/>
  <c r="BS54" i="3"/>
  <c r="BV54" i="3"/>
  <c r="BR54" i="3"/>
  <c r="BF53" i="1"/>
  <c r="CD53" i="1"/>
  <c r="BG53" i="1"/>
  <c r="BP53" i="1" s="1" a="1"/>
  <c r="BP53" i="1" s="1"/>
  <c r="AN53" i="1"/>
  <c r="BK53" i="1"/>
  <c r="BZ53" i="1"/>
  <c r="S53" i="5"/>
  <c r="AJ53" i="1"/>
  <c r="AK53" i="1"/>
  <c r="AL53" i="1"/>
  <c r="AM53" i="1"/>
  <c r="BK53" i="3"/>
  <c r="BS53" i="3"/>
  <c r="BR53" i="3"/>
  <c r="BV53" i="3"/>
  <c r="BF52" i="1"/>
  <c r="BG52" i="1"/>
  <c r="BP52" i="1" s="1" a="1"/>
  <c r="BP52" i="1" s="1"/>
  <c r="CD52" i="1"/>
  <c r="BU52" i="1"/>
  <c r="AN52" i="1"/>
  <c r="BZ52" i="1"/>
  <c r="BK52" i="1"/>
  <c r="S52" i="5"/>
  <c r="AK52" i="1"/>
  <c r="AM52" i="1"/>
  <c r="AL52" i="1"/>
  <c r="AJ52" i="1"/>
  <c r="BT52" i="3"/>
  <c r="BO52" i="3"/>
  <c r="BR52" i="3"/>
  <c r="BV52" i="3"/>
  <c r="BS52" i="3"/>
  <c r="BK52" i="3"/>
  <c r="AN51" i="1"/>
  <c r="BK51" i="1"/>
  <c r="BZ51" i="1"/>
  <c r="AL51" i="1"/>
  <c r="AK51" i="1"/>
  <c r="AJ51" i="1"/>
  <c r="AM51" i="1"/>
  <c r="S51" i="5"/>
  <c r="BV51" i="3"/>
  <c r="BR51" i="3"/>
  <c r="BS51" i="3"/>
  <c r="BK51" i="3"/>
  <c r="AN50" i="1"/>
  <c r="BZ50" i="1"/>
  <c r="BK50" i="1"/>
  <c r="S50" i="5"/>
  <c r="AM50" i="1"/>
  <c r="AK50" i="1"/>
  <c r="AL50" i="1"/>
  <c r="AJ50" i="1"/>
  <c r="BR50" i="3"/>
  <c r="BV50" i="3"/>
  <c r="BS50" i="3"/>
  <c r="BK50" i="3"/>
  <c r="BF49" i="1"/>
  <c r="BG49" i="1"/>
  <c r="BP49" i="1" s="1" a="1"/>
  <c r="BP49" i="1" s="1"/>
  <c r="BU49" i="1"/>
  <c r="CD49" i="1"/>
  <c r="AN49" i="1"/>
  <c r="BZ49" i="1"/>
  <c r="BK49" i="1"/>
  <c r="AJ49" i="1"/>
  <c r="AK49" i="1"/>
  <c r="S49" i="5"/>
  <c r="AM49" i="1"/>
  <c r="AL49" i="1"/>
  <c r="BS49" i="3"/>
  <c r="BK49" i="3"/>
  <c r="BR49" i="3"/>
  <c r="BV49" i="3"/>
  <c r="AJ48" i="1"/>
  <c r="AK48" i="1"/>
  <c r="AL48" i="1"/>
  <c r="AM48" i="1"/>
  <c r="S48" i="5"/>
  <c r="CA48" i="1"/>
  <c r="BK48" i="1"/>
  <c r="AN48" i="1"/>
  <c r="BN48" i="3"/>
  <c r="BR48" i="3"/>
  <c r="BV48" i="3" s="1"/>
  <c r="BS48" i="3"/>
  <c r="BK48" i="3"/>
  <c r="BG47" i="1"/>
  <c r="BP47" i="1" s="1" a="1"/>
  <c r="BP47" i="1" s="1"/>
  <c r="BF47" i="1"/>
  <c r="CD47" i="1"/>
  <c r="BU47" i="1"/>
  <c r="S47" i="5"/>
  <c r="AM47" i="1"/>
  <c r="AK47" i="1"/>
  <c r="AL47" i="1"/>
  <c r="AJ47" i="1"/>
  <c r="AN47" i="1"/>
  <c r="CA47" i="1"/>
  <c r="BZ47" i="1"/>
  <c r="BK47" i="1"/>
  <c r="BS47" i="3"/>
  <c r="BK47" i="3"/>
  <c r="BN47" i="3"/>
  <c r="BR47" i="3"/>
  <c r="BV47" i="3" s="1"/>
  <c r="BK46" i="1"/>
  <c r="AN46" i="1"/>
  <c r="BZ46" i="1"/>
  <c r="AK46" i="1"/>
  <c r="S46" i="5"/>
  <c r="AL46" i="1"/>
  <c r="AJ46" i="1"/>
  <c r="AM46" i="1"/>
  <c r="BK46" i="3"/>
  <c r="BS46" i="3"/>
  <c r="BR46" i="3"/>
  <c r="BV46" i="3"/>
  <c r="AN45" i="1"/>
  <c r="BZ45" i="1"/>
  <c r="BK45" i="1"/>
  <c r="S45" i="5"/>
  <c r="AK45" i="1"/>
  <c r="AM45" i="1"/>
  <c r="AL45" i="1"/>
  <c r="AJ45" i="1"/>
  <c r="BR45" i="3"/>
  <c r="BV45" i="3"/>
  <c r="BI45" i="3"/>
  <c r="BU45" i="3" s="1"/>
  <c r="BO45" i="3"/>
  <c r="BK45" i="3"/>
  <c r="BS45" i="3"/>
  <c r="S44" i="5"/>
  <c r="AM44" i="1"/>
  <c r="AK44" i="1"/>
  <c r="AL44" i="1"/>
  <c r="AJ44" i="1"/>
  <c r="AN44" i="1"/>
  <c r="BK44" i="1"/>
  <c r="BZ44" i="1"/>
  <c r="BV44" i="3"/>
  <c r="BR44" i="3"/>
  <c r="BU44" i="3"/>
  <c r="BM44" i="3"/>
  <c r="BS44" i="3"/>
  <c r="BK44" i="3"/>
  <c r="AN43" i="1"/>
  <c r="BK43" i="1"/>
  <c r="BZ43" i="1"/>
  <c r="AM43" i="1"/>
  <c r="AJ43" i="1"/>
  <c r="AK43" i="1"/>
  <c r="S43" i="5"/>
  <c r="AL43" i="1"/>
  <c r="BV43" i="3"/>
  <c r="BR43" i="3"/>
  <c r="BS43" i="3"/>
  <c r="BK43" i="3"/>
  <c r="BF42" i="1"/>
  <c r="BG42" i="1"/>
  <c r="BP42" i="1" s="1" a="1"/>
  <c r="BP42" i="1" s="1"/>
  <c r="CD42" i="1"/>
  <c r="BZ42" i="1"/>
  <c r="AN42" i="1"/>
  <c r="BK42" i="1"/>
  <c r="S42" i="5"/>
  <c r="AJ42" i="1"/>
  <c r="AL42" i="1"/>
  <c r="AK42" i="1"/>
  <c r="AM42" i="1"/>
  <c r="BR42" i="3"/>
  <c r="BV42" i="3"/>
  <c r="BU42" i="3"/>
  <c r="BM42" i="3"/>
  <c r="BS42" i="3"/>
  <c r="BK42" i="3"/>
  <c r="BF41" i="1"/>
  <c r="BG41" i="1" s="1"/>
  <c r="BP41" i="1" s="1" a="1"/>
  <c r="BP41" i="1" s="1"/>
  <c r="BU41" i="1"/>
  <c r="BK41" i="1"/>
  <c r="BZ41" i="1"/>
  <c r="CA41" i="1"/>
  <c r="AN41" i="1"/>
  <c r="G41" i="5"/>
  <c r="W41" i="1"/>
  <c r="T41" i="1"/>
  <c r="V41" i="1"/>
  <c r="U41" i="1"/>
  <c r="S41" i="5"/>
  <c r="AJ41" i="1"/>
  <c r="AM41" i="1"/>
  <c r="AL41" i="1"/>
  <c r="AK41" i="1"/>
  <c r="BK41" i="3"/>
  <c r="BS41" i="3"/>
  <c r="BR41" i="3"/>
  <c r="BV41" i="3" s="1"/>
  <c r="BN41" i="3"/>
  <c r="BF40" i="1"/>
  <c r="BG40" i="1" s="1"/>
  <c r="BP40" i="1" s="1" a="1"/>
  <c r="BP40" i="1" s="1"/>
  <c r="CD40" i="1"/>
  <c r="BU40" i="1"/>
  <c r="V40" i="1"/>
  <c r="T40" i="1"/>
  <c r="G40" i="5"/>
  <c r="U40" i="1"/>
  <c r="W40" i="1"/>
  <c r="BK40" i="1"/>
  <c r="AN40" i="1"/>
  <c r="BZ40" i="1"/>
  <c r="AJ40" i="1"/>
  <c r="S40" i="5"/>
  <c r="AL40" i="1"/>
  <c r="AK40" i="1"/>
  <c r="AM40" i="1"/>
  <c r="BN40" i="3"/>
  <c r="BR40" i="3"/>
  <c r="BV40" i="3" s="1"/>
  <c r="BS40" i="3"/>
  <c r="BK40" i="3"/>
  <c r="BG39" i="1"/>
  <c r="BP39" i="1" s="1" a="1"/>
  <c r="BP39" i="1" s="1"/>
  <c r="BF39" i="1"/>
  <c r="CD39" i="1"/>
  <c r="BK39" i="1"/>
  <c r="BZ39" i="1"/>
  <c r="AN39" i="1"/>
  <c r="S39" i="5"/>
  <c r="AM39" i="1"/>
  <c r="AL39" i="1"/>
  <c r="AJ39" i="1"/>
  <c r="AK39" i="1"/>
  <c r="G39" i="5"/>
  <c r="T39" i="1"/>
  <c r="V39" i="1"/>
  <c r="W39" i="1"/>
  <c r="U39" i="1"/>
  <c r="BK39" i="3"/>
  <c r="BS39" i="3"/>
  <c r="BN39" i="3"/>
  <c r="BR39" i="3"/>
  <c r="BV39" i="3" s="1"/>
  <c r="AJ38" i="1"/>
  <c r="S38" i="5"/>
  <c r="AM38" i="1"/>
  <c r="AL38" i="1"/>
  <c r="AK38" i="1"/>
  <c r="BK38" i="1"/>
  <c r="AN38" i="1"/>
  <c r="BZ38" i="1"/>
  <c r="G38" i="5"/>
  <c r="U38" i="1"/>
  <c r="T38" i="1"/>
  <c r="V38" i="1"/>
  <c r="W38" i="1"/>
  <c r="BR38" i="3"/>
  <c r="BV38" i="3" s="1"/>
  <c r="BN38" i="3"/>
  <c r="BS38" i="3"/>
  <c r="BK38" i="3"/>
  <c r="AN37" i="1"/>
  <c r="BK37" i="1"/>
  <c r="BZ37" i="1"/>
  <c r="AK37" i="1"/>
  <c r="S37" i="5"/>
  <c r="AL37" i="1"/>
  <c r="AM37" i="1"/>
  <c r="AJ37" i="1"/>
  <c r="G37" i="5"/>
  <c r="T37" i="1"/>
  <c r="W37" i="1"/>
  <c r="U37" i="1"/>
  <c r="V37" i="1"/>
  <c r="BR37" i="3"/>
  <c r="BV37" i="3" s="1"/>
  <c r="BN37" i="3"/>
  <c r="BS37" i="3"/>
  <c r="BK37" i="3"/>
  <c r="AN36" i="1"/>
  <c r="BK36" i="1"/>
  <c r="BZ36" i="1"/>
  <c r="S36" i="5"/>
  <c r="AM36" i="1"/>
  <c r="AK36" i="1"/>
  <c r="AL36" i="1"/>
  <c r="AJ36" i="1"/>
  <c r="V36" i="1"/>
  <c r="G36" i="5"/>
  <c r="T36" i="1"/>
  <c r="U36" i="1"/>
  <c r="W36" i="1"/>
  <c r="BK36" i="3"/>
  <c r="BS36" i="3"/>
  <c r="BV36" i="3"/>
  <c r="BR36" i="3"/>
  <c r="BN36" i="3"/>
  <c r="BK35" i="1"/>
  <c r="CA35" i="1"/>
  <c r="AN35" i="1"/>
  <c r="BZ35" i="1"/>
  <c r="AJ35" i="1"/>
  <c r="S35" i="5"/>
  <c r="AL35" i="1"/>
  <c r="AK35" i="1"/>
  <c r="AM35" i="1"/>
  <c r="G35" i="5"/>
  <c r="T35" i="1"/>
  <c r="U35" i="1"/>
  <c r="V35" i="1"/>
  <c r="W35" i="1"/>
  <c r="BS35" i="3"/>
  <c r="BK35" i="3"/>
  <c r="BV35" i="3"/>
  <c r="BN35" i="3"/>
  <c r="BR35" i="3"/>
  <c r="BF34" i="1"/>
  <c r="CD34" i="1"/>
  <c r="BU34" i="1"/>
  <c r="BK34" i="1"/>
  <c r="AN34" i="1"/>
  <c r="BZ34" i="1"/>
  <c r="S34" i="5"/>
  <c r="AL34" i="1"/>
  <c r="AK34" i="1"/>
  <c r="AJ34" i="1"/>
  <c r="AM34" i="1"/>
  <c r="G34" i="5"/>
  <c r="U34" i="1"/>
  <c r="W34" i="1"/>
  <c r="T34" i="1"/>
  <c r="V34" i="1"/>
  <c r="BN34" i="3"/>
  <c r="BR34" i="3"/>
  <c r="BV34" i="3" s="1"/>
  <c r="BK34" i="3"/>
  <c r="BS34" i="3"/>
  <c r="CD33" i="1"/>
  <c r="BF33" i="1"/>
  <c r="BU33" i="1"/>
  <c r="BG33" i="1"/>
  <c r="BP33" i="1" s="1" a="1"/>
  <c r="BP33" i="1" s="1"/>
  <c r="G33" i="5"/>
  <c r="V33" i="1"/>
  <c r="W33" i="1"/>
  <c r="U33" i="1"/>
  <c r="T33" i="1"/>
  <c r="BK33" i="1"/>
  <c r="BZ33" i="1"/>
  <c r="AN33" i="1"/>
  <c r="S33" i="5"/>
  <c r="AJ33" i="1"/>
  <c r="AL33" i="1"/>
  <c r="AM33" i="1"/>
  <c r="AK33" i="1"/>
  <c r="BR33" i="3"/>
  <c r="BV33" i="3" s="1"/>
  <c r="BN33" i="3"/>
  <c r="BS33" i="3"/>
  <c r="BK33" i="3"/>
  <c r="G32" i="5"/>
  <c r="U32" i="1"/>
  <c r="T32" i="1"/>
  <c r="V32" i="1"/>
  <c r="W32" i="1"/>
  <c r="BK32" i="1"/>
  <c r="BZ32" i="1"/>
  <c r="AN32" i="1"/>
  <c r="CA32" i="1"/>
  <c r="BN32" i="3"/>
  <c r="BR32" i="3"/>
  <c r="BV32" i="3"/>
  <c r="BS32" i="3"/>
  <c r="BK32" i="3"/>
  <c r="BF31" i="1"/>
  <c r="BG31" i="1" s="1"/>
  <c r="BP31" i="1" s="1" a="1"/>
  <c r="BP31" i="1" s="1"/>
  <c r="BU31" i="1"/>
  <c r="CD31" i="1"/>
  <c r="BK31" i="1"/>
  <c r="AN31" i="1"/>
  <c r="BZ31" i="1"/>
  <c r="V31" i="1"/>
  <c r="T31" i="1"/>
  <c r="G31" i="5"/>
  <c r="U31" i="1"/>
  <c r="W31" i="1"/>
  <c r="BS31" i="3"/>
  <c r="BK31" i="3"/>
  <c r="AN30" i="1"/>
  <c r="BZ30" i="1"/>
  <c r="BK30" i="1"/>
  <c r="AL30" i="1"/>
  <c r="S30" i="5"/>
  <c r="AK30" i="1"/>
  <c r="AJ30" i="1"/>
  <c r="AM30" i="1"/>
  <c r="T30" i="1"/>
  <c r="G30" i="5"/>
  <c r="U30" i="1"/>
  <c r="W30" i="1"/>
  <c r="V30" i="1"/>
  <c r="BK30" i="3"/>
  <c r="BS30" i="3"/>
  <c r="BR30" i="3"/>
  <c r="BV30" i="3" s="1"/>
  <c r="BN30" i="3"/>
  <c r="BK29" i="1"/>
  <c r="CA29" i="1"/>
  <c r="AN29" i="1"/>
  <c r="BZ29" i="1"/>
  <c r="AJ29" i="1"/>
  <c r="AK29" i="1"/>
  <c r="S29" i="5"/>
  <c r="AL29" i="1"/>
  <c r="AM29" i="1"/>
  <c r="W29" i="1"/>
  <c r="T29" i="1"/>
  <c r="G29" i="5"/>
  <c r="V29" i="1"/>
  <c r="U29" i="1"/>
  <c r="BK29" i="3"/>
  <c r="BS29" i="3"/>
  <c r="BR29" i="3"/>
  <c r="BV29" i="3" s="1"/>
  <c r="BN29" i="3"/>
  <c r="BF28" i="1"/>
  <c r="BG28" i="1"/>
  <c r="BP28" i="1" s="1" a="1"/>
  <c r="BP28" i="1" s="1"/>
  <c r="CD28" i="1"/>
  <c r="BU28" i="1"/>
  <c r="BK28" i="1"/>
  <c r="AN28" i="1"/>
  <c r="BZ28" i="1"/>
  <c r="U28" i="1"/>
  <c r="G28" i="5"/>
  <c r="V28" i="1"/>
  <c r="T28" i="1"/>
  <c r="W28" i="1"/>
  <c r="BR28" i="3"/>
  <c r="BV28" i="3" s="1"/>
  <c r="BN28" i="3"/>
  <c r="BS28" i="3"/>
  <c r="BK28" i="3"/>
  <c r="BZ27" i="1"/>
  <c r="CA27" i="1"/>
  <c r="AN27" i="1"/>
  <c r="BK27" i="1"/>
  <c r="S27" i="5"/>
  <c r="AK27" i="1"/>
  <c r="AL27" i="1"/>
  <c r="AJ27" i="1"/>
  <c r="AM27" i="1"/>
  <c r="BK27" i="3"/>
  <c r="BS27" i="3"/>
  <c r="BV27" i="3"/>
  <c r="BR27" i="3"/>
  <c r="BU27" i="3"/>
  <c r="BM27" i="3"/>
  <c r="BK26" i="1"/>
  <c r="BZ26" i="1"/>
  <c r="AN26" i="1"/>
  <c r="AJ26" i="1"/>
  <c r="AL26" i="1"/>
  <c r="S26" i="5"/>
  <c r="AK26" i="1"/>
  <c r="AM26" i="1"/>
  <c r="BK26" i="3"/>
  <c r="BS26" i="3"/>
  <c r="BR26" i="3"/>
  <c r="BV26" i="3"/>
  <c r="BG25" i="1"/>
  <c r="BP25" i="1" s="1" a="1"/>
  <c r="BP25" i="1" s="1"/>
  <c r="CD25" i="1"/>
  <c r="BK25" i="1"/>
  <c r="AN25" i="1"/>
  <c r="BZ25" i="1"/>
  <c r="S25" i="5"/>
  <c r="AM25" i="1"/>
  <c r="AJ25" i="1"/>
  <c r="AK25" i="1"/>
  <c r="AL25" i="1"/>
  <c r="T25" i="1"/>
  <c r="W25" i="1"/>
  <c r="V25" i="1"/>
  <c r="U25" i="1"/>
  <c r="G25" i="5"/>
  <c r="BV25" i="3"/>
  <c r="BR25" i="3"/>
  <c r="BN25" i="3"/>
  <c r="BK25" i="3"/>
  <c r="BS25" i="3"/>
  <c r="AN24" i="1"/>
  <c r="BK24" i="1"/>
  <c r="BZ24" i="1"/>
  <c r="S24" i="5"/>
  <c r="AM24" i="1"/>
  <c r="AL24" i="1"/>
  <c r="AK24" i="1"/>
  <c r="AJ24" i="1"/>
  <c r="W24" i="1"/>
  <c r="G24" i="5"/>
  <c r="U24" i="1"/>
  <c r="T24" i="1"/>
  <c r="V24" i="1"/>
  <c r="BN24" i="3"/>
  <c r="BR24" i="3"/>
  <c r="BV24" i="3" s="1"/>
  <c r="BS24" i="3"/>
  <c r="BK24" i="3"/>
  <c r="AN23" i="1"/>
  <c r="BZ23" i="1"/>
  <c r="BK23" i="1"/>
  <c r="S23" i="5"/>
  <c r="AL23" i="1"/>
  <c r="AM23" i="1"/>
  <c r="AJ23" i="1"/>
  <c r="AK23" i="1"/>
  <c r="U23" i="1"/>
  <c r="G23" i="5"/>
  <c r="W23" i="1"/>
  <c r="T23" i="1"/>
  <c r="V23" i="1"/>
  <c r="BN23" i="3"/>
  <c r="BV23" i="3"/>
  <c r="BR23" i="3"/>
  <c r="BK23" i="3"/>
  <c r="BS23" i="3"/>
  <c r="CD22" i="1"/>
  <c r="BF22" i="1"/>
  <c r="BG22" i="1"/>
  <c r="BP22" i="1" s="1" a="1"/>
  <c r="BP22" i="1" s="1"/>
  <c r="AN22" i="1"/>
  <c r="BZ22" i="1"/>
  <c r="BK22" i="1"/>
  <c r="AJ22" i="1"/>
  <c r="S22" i="5"/>
  <c r="AL22" i="1"/>
  <c r="AM22" i="1"/>
  <c r="AK22" i="1"/>
  <c r="BR22" i="3"/>
  <c r="BN22" i="3"/>
  <c r="BV22" i="3"/>
  <c r="BS22" i="3"/>
  <c r="BK22" i="3"/>
  <c r="BK21" i="1"/>
  <c r="AN21" i="1"/>
  <c r="BZ21" i="1"/>
  <c r="S21" i="5"/>
  <c r="AM21" i="1"/>
  <c r="AK21" i="1"/>
  <c r="AJ21" i="1"/>
  <c r="AL21" i="1"/>
  <c r="BK21" i="3"/>
  <c r="BS21" i="3"/>
  <c r="BN21" i="3"/>
  <c r="BR21" i="3"/>
  <c r="BV21" i="3"/>
  <c r="G20" i="5"/>
  <c r="V20" i="1"/>
  <c r="T20" i="1"/>
  <c r="U20" i="1"/>
  <c r="W20" i="1"/>
  <c r="BK20" i="1"/>
  <c r="BZ20" i="1"/>
  <c r="AN20" i="1"/>
  <c r="BS20" i="3"/>
  <c r="BK20" i="3"/>
  <c r="W19" i="1"/>
  <c r="G19" i="5"/>
  <c r="U19" i="1"/>
  <c r="T19" i="1"/>
  <c r="V19" i="1"/>
  <c r="BZ19" i="1"/>
  <c r="AN19" i="1"/>
  <c r="BK19" i="1"/>
  <c r="BK19" i="3"/>
  <c r="BS19" i="3"/>
  <c r="BV19" i="3"/>
  <c r="BR19" i="3"/>
  <c r="BG18" i="1"/>
  <c r="BP18" i="1" s="1" a="1"/>
  <c r="BP18" i="1" s="1"/>
  <c r="BU18" i="1"/>
  <c r="CD18" i="1"/>
  <c r="BF18" i="1"/>
  <c r="BK18" i="1"/>
  <c r="BZ18" i="1"/>
  <c r="AN18" i="1"/>
  <c r="G18" i="5"/>
  <c r="W18" i="1"/>
  <c r="T18" i="1"/>
  <c r="U18" i="1"/>
  <c r="V18" i="1"/>
  <c r="BK18" i="3"/>
  <c r="BS18" i="3"/>
  <c r="BG17" i="1"/>
  <c r="BP17" i="1" s="1" a="1"/>
  <c r="BP17" i="1" s="1"/>
  <c r="CD17" i="1"/>
  <c r="BF17" i="1"/>
  <c r="BK17" i="1"/>
  <c r="BZ17" i="1"/>
  <c r="AN17" i="1"/>
  <c r="G17" i="5"/>
  <c r="W17" i="1"/>
  <c r="T17" i="1"/>
  <c r="V17" i="1"/>
  <c r="U17" i="1"/>
  <c r="BK17" i="3"/>
  <c r="BS17" i="3"/>
  <c r="BF16" i="1"/>
  <c r="BG16" i="1" s="1"/>
  <c r="BP16" i="1" s="1" a="1"/>
  <c r="BP16" i="1" s="1"/>
  <c r="BU16" i="1"/>
  <c r="BK16" i="1"/>
  <c r="BZ16" i="1"/>
  <c r="AN16" i="1"/>
  <c r="S16" i="5"/>
  <c r="AK16" i="1"/>
  <c r="AM16" i="1"/>
  <c r="AL16" i="1"/>
  <c r="AJ16" i="1"/>
  <c r="U16" i="1"/>
  <c r="G16" i="5"/>
  <c r="T16" i="1"/>
  <c r="V16" i="1"/>
  <c r="W16" i="1"/>
  <c r="BS16" i="3"/>
  <c r="BK16" i="3"/>
  <c r="AN15" i="1"/>
  <c r="BK15" i="1"/>
  <c r="BZ15" i="1"/>
  <c r="S15" i="5"/>
  <c r="AK15" i="1"/>
  <c r="AM15" i="1"/>
  <c r="AJ15" i="1"/>
  <c r="AL15" i="1"/>
  <c r="T15" i="1"/>
  <c r="G15" i="5"/>
  <c r="V15" i="1"/>
  <c r="U15" i="1"/>
  <c r="W15" i="1"/>
  <c r="BK15" i="3"/>
  <c r="BS15" i="3"/>
  <c r="BZ14" i="1"/>
  <c r="AN14" i="1"/>
  <c r="BK14" i="1"/>
  <c r="AL14" i="1"/>
  <c r="AM14" i="1"/>
  <c r="AJ14" i="1"/>
  <c r="S14" i="5"/>
  <c r="AK14" i="1"/>
  <c r="W14" i="1"/>
  <c r="G14" i="5"/>
  <c r="U14" i="1"/>
  <c r="V14" i="1"/>
  <c r="T14" i="1"/>
  <c r="BR14" i="3"/>
  <c r="BV14" i="3"/>
  <c r="BS14" i="3"/>
  <c r="BK14" i="3"/>
  <c r="AN13" i="1"/>
  <c r="BK13" i="1"/>
  <c r="BZ13" i="1"/>
  <c r="S13" i="5"/>
  <c r="AJ13" i="1"/>
  <c r="AK13" i="1"/>
  <c r="AM13" i="1"/>
  <c r="AL13" i="1"/>
  <c r="BR13" i="3"/>
  <c r="BV13" i="3" s="1"/>
  <c r="BN13" i="3"/>
  <c r="BS13" i="3"/>
  <c r="BK13" i="3"/>
  <c r="CD12" i="1"/>
  <c r="BF12" i="1"/>
  <c r="BK12" i="1"/>
  <c r="BZ12" i="1"/>
  <c r="AN12" i="1"/>
  <c r="AJ12" i="1"/>
  <c r="AK12" i="1"/>
  <c r="S12" i="5"/>
  <c r="AL12" i="1"/>
  <c r="AM12" i="1"/>
  <c r="BK12" i="3"/>
  <c r="BS12" i="3"/>
  <c r="BN12" i="3"/>
  <c r="BR12" i="3"/>
  <c r="BV12" i="3"/>
  <c r="BF11" i="1"/>
  <c r="CD11" i="1"/>
  <c r="BG11" i="1"/>
  <c r="BP11" i="1" s="1" a="1"/>
  <c r="BP11" i="1" s="1"/>
  <c r="BU11" i="1"/>
  <c r="BK11" i="1"/>
  <c r="AN11" i="1"/>
  <c r="BZ11" i="1"/>
  <c r="S11" i="5"/>
  <c r="AJ11" i="1"/>
  <c r="AL11" i="1"/>
  <c r="AM11" i="1"/>
  <c r="AK11" i="1"/>
  <c r="BR11" i="3"/>
  <c r="BN11" i="3"/>
  <c r="BV11" i="3"/>
  <c r="BS11" i="3"/>
  <c r="BK11" i="3"/>
  <c r="BG10" i="1"/>
  <c r="BP10" i="1" s="1" a="1"/>
  <c r="BP10" i="1" s="1"/>
  <c r="BF10" i="1"/>
  <c r="CD10" i="1"/>
  <c r="BU10" i="1"/>
  <c r="BK10" i="1"/>
  <c r="AN10" i="1"/>
  <c r="BZ10" i="1"/>
  <c r="S10" i="5"/>
  <c r="AM10" i="1"/>
  <c r="AL10" i="1"/>
  <c r="AJ10" i="1"/>
  <c r="AK10" i="1"/>
  <c r="U10" i="1"/>
  <c r="G10" i="5"/>
  <c r="V10" i="1"/>
  <c r="T10" i="1"/>
  <c r="W10" i="1"/>
  <c r="BN10" i="3"/>
  <c r="BR10" i="3"/>
  <c r="BV10" i="3" s="1"/>
  <c r="BK10" i="3"/>
  <c r="BS10" i="3"/>
  <c r="AN9" i="1"/>
  <c r="BZ9" i="1"/>
  <c r="BK9" i="1"/>
  <c r="AJ9" i="1"/>
  <c r="AK9" i="1"/>
  <c r="S9" i="5"/>
  <c r="AL9" i="1"/>
  <c r="AM9" i="1"/>
  <c r="G9" i="5"/>
  <c r="T9" i="1"/>
  <c r="U9" i="1"/>
  <c r="V9" i="1"/>
  <c r="W9" i="1"/>
  <c r="BK9" i="3"/>
  <c r="BS9" i="3"/>
  <c r="BN9" i="3"/>
  <c r="BR9" i="3"/>
  <c r="BV9" i="3" s="1"/>
  <c r="AN8" i="1"/>
  <c r="BZ8" i="1"/>
  <c r="BK8" i="1"/>
  <c r="AL8" i="1"/>
  <c r="AM8" i="1"/>
  <c r="S8" i="5"/>
  <c r="AJ8" i="1"/>
  <c r="AK8" i="1"/>
  <c r="BS8" i="3"/>
  <c r="BK8" i="3"/>
  <c r="BR8" i="3"/>
  <c r="BV8" i="3" s="1"/>
  <c r="BN8" i="3"/>
  <c r="AN7" i="1"/>
  <c r="BK7" i="1"/>
  <c r="BZ7" i="1"/>
  <c r="S7" i="5"/>
  <c r="AL7" i="1"/>
  <c r="AK7" i="1"/>
  <c r="AJ7" i="1"/>
  <c r="AM7" i="1"/>
  <c r="BS7" i="3"/>
  <c r="BK7" i="3"/>
  <c r="BN7" i="3"/>
  <c r="BR7" i="3"/>
  <c r="BV7" i="3" s="1"/>
  <c r="BR6" i="3"/>
  <c r="BV6" i="3" s="1"/>
  <c r="BN6" i="3"/>
  <c r="BS6" i="3"/>
  <c r="BK6" i="3"/>
  <c r="BU5" i="1"/>
  <c r="BF5" i="1"/>
  <c r="BG5" i="1"/>
  <c r="BP5" i="1" s="1" a="1"/>
  <c r="BP5" i="1" s="1"/>
  <c r="CD5" i="1"/>
  <c r="BK5" i="1"/>
  <c r="BZ5" i="1"/>
  <c r="AN5" i="1"/>
  <c r="S5" i="5"/>
  <c r="AK5" i="1"/>
  <c r="AM5" i="1"/>
  <c r="AL5" i="1"/>
  <c r="AJ5" i="1"/>
  <c r="BN5" i="3"/>
  <c r="BR5" i="3"/>
  <c r="BV5" i="3" s="1"/>
  <c r="BK5" i="3"/>
  <c r="BS5" i="3"/>
  <c r="BU4" i="1"/>
  <c r="CD4" i="1"/>
  <c r="BF4" i="1"/>
  <c r="BG4" i="1" s="1"/>
  <c r="BP4" i="1" s="1" a="1"/>
  <c r="BP4" i="1" s="1"/>
  <c r="AN4" i="1"/>
  <c r="BZ4" i="1"/>
  <c r="BK4" i="1"/>
  <c r="CA4" i="1"/>
  <c r="G4" i="5"/>
  <c r="T4" i="1"/>
  <c r="V4" i="1"/>
  <c r="U4" i="1"/>
  <c r="W4" i="1"/>
  <c r="BS4" i="3"/>
  <c r="BK4" i="3"/>
  <c r="BF3" i="1"/>
  <c r="BG3" i="1"/>
  <c r="BP3" i="1" s="1" a="1"/>
  <c r="BP3" i="1" s="1"/>
  <c r="CD3" i="1"/>
  <c r="BU3" i="1"/>
  <c r="BZ3" i="1"/>
  <c r="BK3" i="1"/>
  <c r="AN3" i="1"/>
  <c r="V3" i="1"/>
  <c r="T3" i="1"/>
  <c r="G3" i="5"/>
  <c r="W3" i="1"/>
  <c r="U3" i="1"/>
  <c r="BS3" i="3"/>
  <c r="BK3" i="3"/>
  <c r="W151" i="1"/>
  <c r="G151" i="5"/>
  <c r="T151" i="1"/>
  <c r="U151" i="1"/>
  <c r="V151" i="1"/>
  <c r="BK151" i="1"/>
  <c r="BZ151" i="1"/>
  <c r="AN151" i="1"/>
  <c r="BS151" i="3"/>
  <c r="BK151" i="3"/>
  <c r="BZ152" i="1"/>
  <c r="AN152" i="1"/>
  <c r="BK152" i="1"/>
  <c r="G152" i="5"/>
  <c r="T152" i="1"/>
  <c r="V152" i="1"/>
  <c r="W152" i="1"/>
  <c r="U152" i="1"/>
  <c r="BB152" i="3"/>
  <c r="BJ152" i="3"/>
  <c r="BR152" i="3" s="1"/>
  <c r="BV152" i="3" s="1"/>
  <c r="BK152" i="3"/>
  <c r="BS152" i="3"/>
  <c r="CD153" i="1"/>
  <c r="BF153" i="1"/>
  <c r="BG153" i="1" s="1"/>
  <c r="BP153" i="1" s="1" a="1"/>
  <c r="BP153" i="1" s="1"/>
  <c r="AN153" i="1"/>
  <c r="BZ153" i="1"/>
  <c r="BK153" i="1"/>
  <c r="G153" i="5"/>
  <c r="V153" i="1"/>
  <c r="W153" i="1"/>
  <c r="T153" i="1"/>
  <c r="U153" i="1"/>
  <c r="BK153" i="3"/>
  <c r="BS153" i="3"/>
  <c r="BB153" i="3"/>
  <c r="BJ153" i="3"/>
  <c r="BR153" i="3" s="1"/>
  <c r="BV153" i="3" s="1"/>
  <c r="G154" i="5"/>
  <c r="T154" i="1"/>
  <c r="W154" i="1"/>
  <c r="V154" i="1"/>
  <c r="U154" i="1"/>
  <c r="AN154" i="1"/>
  <c r="BK154" i="1"/>
  <c r="BZ154" i="1"/>
  <c r="BK154" i="3"/>
  <c r="BS154" i="3"/>
  <c r="BK155" i="3"/>
  <c r="BS155" i="3"/>
  <c r="BK155" i="1"/>
  <c r="BZ155" i="1"/>
  <c r="AN155" i="1"/>
  <c r="G155" i="5"/>
  <c r="W155" i="1"/>
  <c r="V155" i="1"/>
  <c r="T155" i="1"/>
  <c r="U155" i="1"/>
  <c r="BT155" i="3"/>
  <c r="BO155" i="3"/>
  <c r="BS156" i="3"/>
  <c r="BK156" i="3"/>
  <c r="BK156" i="1"/>
  <c r="BZ156" i="1"/>
  <c r="AN156" i="1"/>
  <c r="G156" i="5"/>
  <c r="T156" i="1"/>
  <c r="V156" i="1"/>
  <c r="U156" i="1"/>
  <c r="W156" i="1"/>
  <c r="AN157" i="1"/>
  <c r="BZ157" i="1"/>
  <c r="BK157" i="1"/>
  <c r="G157" i="5"/>
  <c r="U157" i="1"/>
  <c r="T157" i="1"/>
  <c r="W157" i="1"/>
  <c r="V157" i="1"/>
  <c r="AU157" i="3"/>
  <c r="BJ157" i="3"/>
  <c r="BR157" i="3" s="1"/>
  <c r="BV157" i="3" s="1"/>
  <c r="BS157" i="3"/>
  <c r="BK157" i="3"/>
  <c r="BK158" i="3"/>
  <c r="BS158" i="3"/>
  <c r="U158" i="1"/>
  <c r="G158" i="5"/>
  <c r="T158" i="1"/>
  <c r="W158" i="1"/>
  <c r="V158" i="1"/>
  <c r="BZ158" i="1"/>
  <c r="BK158" i="1"/>
  <c r="AN158" i="1"/>
  <c r="BK159" i="3"/>
  <c r="BS159" i="3"/>
  <c r="BK159" i="1"/>
  <c r="BZ159" i="1"/>
  <c r="AN159" i="1"/>
  <c r="G159" i="5"/>
  <c r="U159" i="1"/>
  <c r="V159" i="1"/>
  <c r="T159" i="1"/>
  <c r="W159" i="1"/>
  <c r="BF150" i="1"/>
  <c r="BG150" i="1" s="1"/>
  <c r="BP150" i="1" s="1" a="1"/>
  <c r="BP150" i="1" s="1"/>
  <c r="BU150" i="1"/>
  <c r="CD150" i="1"/>
  <c r="BK150" i="1"/>
  <c r="AN150" i="1"/>
  <c r="BZ150" i="1"/>
  <c r="G150" i="5"/>
  <c r="V150" i="1"/>
  <c r="U150" i="1"/>
  <c r="T150" i="1"/>
  <c r="W150" i="1"/>
  <c r="BB150" i="3"/>
  <c r="BJ150" i="3"/>
  <c r="BK150" i="3"/>
  <c r="BS150" i="3"/>
  <c r="BK141" i="3"/>
  <c r="BS141" i="3"/>
  <c r="BK141" i="1"/>
  <c r="AN141" i="1"/>
  <c r="BZ141" i="1"/>
  <c r="S141" i="5"/>
  <c r="AL141" i="1"/>
  <c r="AJ141" i="1"/>
  <c r="AM141" i="1"/>
  <c r="AK141" i="1"/>
  <c r="G141" i="5"/>
  <c r="U141" i="1"/>
  <c r="T141" i="1"/>
  <c r="W141" i="1"/>
  <c r="V141" i="1"/>
  <c r="CD142" i="1"/>
  <c r="BF142" i="1"/>
  <c r="BG142" i="1" s="1"/>
  <c r="BP142" i="1" s="1" a="1"/>
  <c r="BP142" i="1" s="1"/>
  <c r="G142" i="5"/>
  <c r="W142" i="1"/>
  <c r="V142" i="1"/>
  <c r="T142" i="1"/>
  <c r="U142" i="1"/>
  <c r="BK142" i="1"/>
  <c r="AN142" i="1"/>
  <c r="BZ142" i="1"/>
  <c r="AK142" i="1"/>
  <c r="S142" i="5"/>
  <c r="AJ142" i="1"/>
  <c r="AM142" i="1"/>
  <c r="AL142" i="1"/>
  <c r="BS142" i="3"/>
  <c r="BK142" i="3"/>
  <c r="BR142" i="3"/>
  <c r="BV142" i="3"/>
  <c r="BK143" i="3"/>
  <c r="BS143" i="3"/>
  <c r="V143" i="1"/>
  <c r="G143" i="5"/>
  <c r="W143" i="1"/>
  <c r="T143" i="1"/>
  <c r="U143" i="1"/>
  <c r="AN143" i="1"/>
  <c r="BZ143" i="1"/>
  <c r="BK143" i="1"/>
  <c r="S143" i="5"/>
  <c r="AJ143" i="1"/>
  <c r="AL143" i="1"/>
  <c r="AK143" i="1"/>
  <c r="AM143" i="1"/>
  <c r="G144" i="5"/>
  <c r="T144" i="1"/>
  <c r="W144" i="1"/>
  <c r="V144" i="1"/>
  <c r="U144" i="1"/>
  <c r="BZ144" i="1"/>
  <c r="BK144" i="1"/>
  <c r="AN144" i="1"/>
  <c r="AJ144" i="1"/>
  <c r="S144" i="5"/>
  <c r="AK144" i="1"/>
  <c r="AM144" i="1"/>
  <c r="AL144" i="1"/>
  <c r="BS144" i="3"/>
  <c r="BK144" i="3"/>
  <c r="BK145" i="3"/>
  <c r="BS145" i="3"/>
  <c r="S145" i="5"/>
  <c r="AK145" i="1"/>
  <c r="AL145" i="1"/>
  <c r="AJ145" i="1"/>
  <c r="AM145" i="1"/>
  <c r="G145" i="5"/>
  <c r="W145" i="1"/>
  <c r="V145" i="1"/>
  <c r="U145" i="1"/>
  <c r="T145" i="1"/>
  <c r="BK145" i="1"/>
  <c r="BZ145" i="1"/>
  <c r="AN145" i="1"/>
  <c r="AU145" i="3"/>
  <c r="BJ145" i="3"/>
  <c r="BR145" i="3" s="1"/>
  <c r="BV145" i="3" s="1"/>
  <c r="BS146" i="3"/>
  <c r="BK146" i="3"/>
  <c r="S146" i="5"/>
  <c r="AJ146" i="1"/>
  <c r="AL146" i="1"/>
  <c r="AM146" i="1"/>
  <c r="AK146" i="1"/>
  <c r="BK146" i="1"/>
  <c r="BZ146" i="1"/>
  <c r="AN146" i="1"/>
  <c r="G146" i="5"/>
  <c r="W146" i="1"/>
  <c r="T146" i="1"/>
  <c r="V146" i="1"/>
  <c r="U146" i="1"/>
  <c r="BF147" i="1"/>
  <c r="BG147" i="1" s="1"/>
  <c r="BP147" i="1" s="1" a="1"/>
  <c r="BP147" i="1" s="1"/>
  <c r="AN147" i="1"/>
  <c r="BK147" i="1"/>
  <c r="BZ147" i="1"/>
  <c r="AM147" i="1"/>
  <c r="S147" i="5"/>
  <c r="AL147" i="1"/>
  <c r="AJ147" i="1"/>
  <c r="AK147" i="1"/>
  <c r="G147" i="5"/>
  <c r="T147" i="1"/>
  <c r="W147" i="1"/>
  <c r="U147" i="1"/>
  <c r="V147" i="1"/>
  <c r="BK147" i="3"/>
  <c r="BS147" i="3"/>
  <c r="U148" i="1"/>
  <c r="G148" i="5"/>
  <c r="T148" i="1"/>
  <c r="V148" i="1"/>
  <c r="W148" i="1"/>
  <c r="BK148" i="1"/>
  <c r="BZ148" i="1"/>
  <c r="AN148" i="1"/>
  <c r="S148" i="5"/>
  <c r="AJ148" i="1"/>
  <c r="AM148" i="1"/>
  <c r="AL148" i="1"/>
  <c r="AK148" i="1"/>
  <c r="BK148" i="3"/>
  <c r="BS148" i="3"/>
  <c r="BK149" i="3"/>
  <c r="BS149" i="3"/>
  <c r="BZ149" i="1"/>
  <c r="BK149" i="1"/>
  <c r="AN149" i="1"/>
  <c r="S149" i="5"/>
  <c r="AM149" i="1"/>
  <c r="AK149" i="1"/>
  <c r="AL149" i="1"/>
  <c r="AJ149" i="1"/>
  <c r="G149" i="5"/>
  <c r="U149" i="1"/>
  <c r="W149" i="1"/>
  <c r="T149" i="1"/>
  <c r="V149" i="1"/>
  <c r="BR149" i="3"/>
  <c r="BV149" i="3"/>
  <c r="BK140" i="1"/>
  <c r="AN140" i="1"/>
  <c r="BZ140" i="1"/>
  <c r="S140" i="5"/>
  <c r="AK140" i="1"/>
  <c r="AJ140" i="1"/>
  <c r="AM140" i="1"/>
  <c r="AL140" i="1"/>
  <c r="G140" i="5"/>
  <c r="W140" i="1"/>
  <c r="T140" i="1"/>
  <c r="U140" i="1"/>
  <c r="V140" i="1"/>
  <c r="BB140" i="3"/>
  <c r="BJ140" i="3"/>
  <c r="BR140" i="3" s="1"/>
  <c r="BV140" i="3" s="1"/>
  <c r="BK140" i="3"/>
  <c r="BS140" i="3"/>
  <c r="BI310" i="3"/>
  <c r="AZ310" i="3"/>
  <c r="BQ310" i="3"/>
  <c r="BU310" i="3"/>
  <c r="BC310" i="3"/>
  <c r="BM310" i="3"/>
  <c r="BI309" i="3"/>
  <c r="BM309" i="3"/>
  <c r="BQ309" i="3"/>
  <c r="BU309" i="3"/>
  <c r="AZ309" i="3"/>
  <c r="BC309" i="3"/>
  <c r="BI231" i="3"/>
  <c r="BC231" i="3"/>
  <c r="AZ311" i="3"/>
  <c r="BU311" i="3"/>
  <c r="BC311" i="3"/>
  <c r="BI311" i="3"/>
  <c r="BM311" i="3"/>
  <c r="BQ311" i="3"/>
  <c r="BI308" i="3"/>
  <c r="BM308" i="3"/>
  <c r="BC308" i="3"/>
  <c r="BU308" i="3"/>
  <c r="BI270" i="3"/>
  <c r="BQ270" i="3"/>
  <c r="BQ269" i="3"/>
  <c r="BU269" i="3"/>
  <c r="AZ269" i="3"/>
  <c r="BC269" i="3"/>
  <c r="BU289" i="3"/>
  <c r="BC289" i="3"/>
  <c r="BI289" i="3"/>
  <c r="BI256" i="3"/>
  <c r="BQ256" i="3"/>
  <c r="BU256" i="3"/>
  <c r="BC256" i="3"/>
  <c r="AZ194" i="3"/>
  <c r="BQ194" i="3"/>
  <c r="BU194" i="3"/>
  <c r="BC194" i="3"/>
  <c r="BI194" i="3"/>
  <c r="BM194" i="3"/>
  <c r="BI196" i="3"/>
  <c r="BM196" i="3"/>
  <c r="BQ196" i="3"/>
  <c r="AZ196" i="3"/>
  <c r="BU196" i="3"/>
  <c r="BC196" i="3"/>
  <c r="BM231" i="3"/>
  <c r="AZ231" i="3"/>
  <c r="BQ231" i="3"/>
  <c r="BU231" i="3"/>
  <c r="BQ218" i="3"/>
  <c r="BU218" i="3"/>
  <c r="AZ218" i="3"/>
  <c r="BC218" i="3"/>
  <c r="BI218" i="3"/>
  <c r="BM218" i="3"/>
  <c r="AZ308" i="3"/>
  <c r="BQ308" i="3"/>
  <c r="BC270" i="3"/>
  <c r="BM270" i="3"/>
  <c r="BU270" i="3"/>
  <c r="AZ270" i="3"/>
  <c r="BI269" i="3"/>
  <c r="BM269" i="3"/>
  <c r="AZ204" i="3"/>
  <c r="BC204" i="3"/>
  <c r="BI204" i="3"/>
  <c r="BM204" i="3"/>
  <c r="BQ204" i="3"/>
  <c r="BU204" i="3"/>
  <c r="BM203" i="3"/>
  <c r="AZ203" i="3"/>
  <c r="BQ203" i="3"/>
  <c r="BU203" i="3"/>
  <c r="BC203" i="3"/>
  <c r="BI203" i="3"/>
  <c r="BM202" i="3"/>
  <c r="BQ202" i="3"/>
  <c r="AZ202" i="3"/>
  <c r="BU202" i="3"/>
  <c r="BC202" i="3"/>
  <c r="BI202" i="3"/>
  <c r="BC195" i="3"/>
  <c r="BI195" i="3"/>
  <c r="BM195" i="3"/>
  <c r="BQ195" i="3"/>
  <c r="AZ195" i="3"/>
  <c r="BU195" i="3"/>
  <c r="BI205" i="3"/>
  <c r="BM205" i="3"/>
  <c r="BQ205" i="3"/>
  <c r="BU205" i="3"/>
  <c r="AZ205" i="3"/>
  <c r="BC205" i="3"/>
  <c r="BM289" i="3"/>
  <c r="AZ289" i="3"/>
  <c r="BQ289" i="3"/>
  <c r="AZ206" i="3"/>
  <c r="BQ206" i="3"/>
  <c r="BC206" i="3"/>
  <c r="BU206" i="3"/>
  <c r="BI206" i="3"/>
  <c r="BM206" i="3"/>
  <c r="BM256" i="3"/>
  <c r="AZ256" i="3"/>
  <c r="AV6" i="3"/>
  <c r="AD238" i="1"/>
  <c r="O238" i="5" s="1"/>
  <c r="R238" i="5" s="1"/>
  <c r="BN248" i="3"/>
  <c r="AX248" i="3"/>
  <c r="S259" i="5"/>
  <c r="T259" i="5" s="1"/>
  <c r="S229" i="5"/>
  <c r="U229" i="5" s="1"/>
  <c r="U307" i="5"/>
  <c r="T307" i="5"/>
  <c r="V320" i="5"/>
  <c r="U320" i="5"/>
  <c r="T320" i="5"/>
  <c r="U336" i="5"/>
  <c r="T336" i="5"/>
  <c r="U277" i="5"/>
  <c r="T277" i="5"/>
  <c r="T293" i="5"/>
  <c r="U293" i="5"/>
  <c r="AA227" i="5"/>
  <c r="Z227" i="5"/>
  <c r="AA228" i="5"/>
  <c r="Z228" i="5"/>
  <c r="AA273" i="5"/>
  <c r="Z273" i="5"/>
  <c r="AA293" i="5"/>
  <c r="Z293" i="5"/>
  <c r="AA226" i="5"/>
  <c r="Z226" i="5"/>
  <c r="U263" i="5"/>
  <c r="S252" i="5"/>
  <c r="AA252" i="5"/>
  <c r="Z252" i="5"/>
  <c r="AA309" i="5"/>
  <c r="Z309" i="5"/>
  <c r="AA229" i="5"/>
  <c r="Z229" i="5"/>
  <c r="AA213" i="5"/>
  <c r="Z213" i="5"/>
  <c r="AA219" i="5"/>
  <c r="Z219" i="5"/>
  <c r="AA263" i="5"/>
  <c r="Z263" i="5"/>
  <c r="AA238" i="5"/>
  <c r="Z238" i="5"/>
  <c r="AA215" i="5"/>
  <c r="Z215" i="5"/>
  <c r="AA225" i="5"/>
  <c r="Z225" i="5"/>
  <c r="AA320" i="5"/>
  <c r="Z320" i="5"/>
  <c r="Z300" i="5"/>
  <c r="AA300" i="5"/>
  <c r="AA210" i="5"/>
  <c r="Z210" i="5"/>
  <c r="AA253" i="5"/>
  <c r="Z253" i="5"/>
  <c r="AA221" i="5"/>
  <c r="Z221" i="5"/>
  <c r="S238" i="5"/>
  <c r="AA212" i="5"/>
  <c r="Z212" i="5"/>
  <c r="AA216" i="5"/>
  <c r="Z216" i="5"/>
  <c r="AA336" i="5"/>
  <c r="Z336" i="5"/>
  <c r="G253" i="5"/>
  <c r="G273" i="5"/>
  <c r="AA224" i="5"/>
  <c r="Z224" i="5"/>
  <c r="AA217" i="5"/>
  <c r="Z217" i="5"/>
  <c r="AA218" i="5"/>
  <c r="Z218" i="5"/>
  <c r="AA214" i="5"/>
  <c r="Z214" i="5"/>
  <c r="AA307" i="5"/>
  <c r="Z307" i="5"/>
  <c r="Z277" i="5"/>
  <c r="AA277" i="5"/>
  <c r="G295" i="5"/>
  <c r="Z220" i="5"/>
  <c r="AA220" i="5"/>
  <c r="AA211" i="5"/>
  <c r="Z211" i="5"/>
  <c r="AA259" i="5"/>
  <c r="Z259" i="5"/>
  <c r="AA200" i="5"/>
  <c r="Z200" i="5"/>
  <c r="AA176" i="5"/>
  <c r="Z176" i="5"/>
  <c r="AA208" i="5"/>
  <c r="Z208" i="5"/>
  <c r="AA172" i="5"/>
  <c r="Z172" i="5"/>
  <c r="AA204" i="5"/>
  <c r="Z204" i="5"/>
  <c r="AA170" i="5"/>
  <c r="Z170" i="5"/>
  <c r="AA177" i="5"/>
  <c r="Z177" i="5"/>
  <c r="AA199" i="5"/>
  <c r="Z199" i="5"/>
  <c r="AA174" i="5"/>
  <c r="Z174" i="5"/>
  <c r="AA178" i="5"/>
  <c r="Z178" i="5"/>
  <c r="AA206" i="5"/>
  <c r="Z206" i="5"/>
  <c r="AA209" i="5"/>
  <c r="Z209" i="5"/>
  <c r="AA175" i="5"/>
  <c r="Z175" i="5"/>
  <c r="AA207" i="5"/>
  <c r="Z207" i="5"/>
  <c r="AA169" i="5"/>
  <c r="Z169" i="5"/>
  <c r="AL217" i="1"/>
  <c r="AK216" i="1"/>
  <c r="AJ212" i="1"/>
  <c r="V6" i="5"/>
  <c r="U6" i="5"/>
  <c r="T6" i="5"/>
  <c r="Z252" i="1"/>
  <c r="K252" i="5"/>
  <c r="Q112" i="5"/>
  <c r="R112" i="5"/>
  <c r="P112" i="5"/>
  <c r="R102" i="5"/>
  <c r="P102" i="5"/>
  <c r="Q102" i="5"/>
  <c r="P49" i="5"/>
  <c r="Q49" i="5"/>
  <c r="R49" i="5"/>
  <c r="P52" i="5"/>
  <c r="R52" i="5"/>
  <c r="Q52" i="5"/>
  <c r="R101" i="5"/>
  <c r="Q101" i="5"/>
  <c r="P101" i="5"/>
  <c r="AH212" i="1"/>
  <c r="O212" i="5"/>
  <c r="Q110" i="5"/>
  <c r="R110" i="5"/>
  <c r="P110" i="5"/>
  <c r="AG226" i="1"/>
  <c r="O226" i="5"/>
  <c r="Q46" i="5"/>
  <c r="R46" i="5"/>
  <c r="P46" i="5"/>
  <c r="R44" i="5"/>
  <c r="Q44" i="5"/>
  <c r="P44" i="5"/>
  <c r="N263" i="5"/>
  <c r="M263" i="5"/>
  <c r="L263" i="5"/>
  <c r="AG43" i="1"/>
  <c r="O43" i="5"/>
  <c r="AH218" i="1"/>
  <c r="O218" i="5"/>
  <c r="R209" i="5"/>
  <c r="Q209" i="5"/>
  <c r="P209" i="5"/>
  <c r="Q80" i="5"/>
  <c r="R80" i="5"/>
  <c r="P80" i="5"/>
  <c r="R42" i="5"/>
  <c r="P42" i="5"/>
  <c r="Q42" i="5"/>
  <c r="N293" i="5"/>
  <c r="M293" i="5"/>
  <c r="L293" i="5"/>
  <c r="R50" i="5"/>
  <c r="Q50" i="5"/>
  <c r="P50" i="5"/>
  <c r="AA253" i="1"/>
  <c r="K253" i="5"/>
  <c r="AH45" i="1"/>
  <c r="O45" i="5"/>
  <c r="AH208" i="1"/>
  <c r="O208" i="5"/>
  <c r="R79" i="5"/>
  <c r="P79" i="5"/>
  <c r="Q79" i="5"/>
  <c r="Q27" i="5"/>
  <c r="R27" i="5"/>
  <c r="P27" i="5"/>
  <c r="P116" i="5"/>
  <c r="R116" i="5"/>
  <c r="Q116" i="5"/>
  <c r="Q51" i="5"/>
  <c r="R51" i="5"/>
  <c r="P51" i="5"/>
  <c r="Q210" i="5"/>
  <c r="P210" i="5"/>
  <c r="R210" i="5"/>
  <c r="P54" i="5"/>
  <c r="R54" i="5"/>
  <c r="Q54" i="5"/>
  <c r="R26" i="5"/>
  <c r="P26" i="5"/>
  <c r="Q26" i="5"/>
  <c r="AB238" i="1"/>
  <c r="K238" i="5"/>
  <c r="Q169" i="5"/>
  <c r="R169" i="5"/>
  <c r="P169" i="5"/>
  <c r="P211" i="5"/>
  <c r="R211" i="5"/>
  <c r="Q211" i="5"/>
  <c r="R137" i="5"/>
  <c r="Q137" i="5"/>
  <c r="P137" i="5"/>
  <c r="Q53" i="5"/>
  <c r="R53" i="5"/>
  <c r="P53" i="5"/>
  <c r="Z238" i="1"/>
  <c r="N251" i="5"/>
  <c r="L251" i="5"/>
  <c r="M251" i="5"/>
  <c r="AA238" i="1"/>
  <c r="Y238" i="1"/>
  <c r="AA252" i="1"/>
  <c r="BG6" i="1"/>
  <c r="BP6" i="1" s="1" a="1"/>
  <c r="BP6" i="1" s="1"/>
  <c r="BU6" i="1"/>
  <c r="Y251" i="1"/>
  <c r="L6" i="1"/>
  <c r="AQ6" i="1"/>
  <c r="BS6" i="1" s="1"/>
  <c r="AB253" i="1"/>
  <c r="Z253" i="1"/>
  <c r="AK6" i="1"/>
  <c r="AM6" i="1"/>
  <c r="AZ6" i="1"/>
  <c r="BF6" i="1"/>
  <c r="CD6" i="1"/>
  <c r="AJ6" i="1"/>
  <c r="AL6" i="1"/>
  <c r="BZ6" i="1"/>
  <c r="BK6" i="1"/>
  <c r="AN6" i="1"/>
  <c r="T169" i="1"/>
  <c r="U169" i="1"/>
  <c r="V169" i="1"/>
  <c r="W169" i="1"/>
  <c r="AH51" i="1"/>
  <c r="AE51" i="1"/>
  <c r="AG51" i="1"/>
  <c r="AJ213" i="1"/>
  <c r="AK213" i="1"/>
  <c r="AL213" i="1"/>
  <c r="AM213" i="1"/>
  <c r="AF110" i="1"/>
  <c r="AG110" i="1"/>
  <c r="AG50" i="1"/>
  <c r="AH50" i="1"/>
  <c r="AF50" i="1"/>
  <c r="Y253" i="1"/>
  <c r="AK173" i="1"/>
  <c r="AL173" i="1"/>
  <c r="AM173" i="1"/>
  <c r="AJ173" i="1"/>
  <c r="AJ170" i="1"/>
  <c r="AK170" i="1"/>
  <c r="AM170" i="1"/>
  <c r="AL170" i="1"/>
  <c r="AG102" i="1"/>
  <c r="AF102" i="1"/>
  <c r="AH102" i="1"/>
  <c r="AK205" i="1"/>
  <c r="AJ205" i="1"/>
  <c r="AL205" i="1"/>
  <c r="AM205" i="1"/>
  <c r="AL215" i="1"/>
  <c r="AK215" i="1"/>
  <c r="AM215" i="1"/>
  <c r="AJ215" i="1"/>
  <c r="AF101" i="1"/>
  <c r="AH101" i="1"/>
  <c r="AE101" i="1"/>
  <c r="AA251" i="1"/>
  <c r="AK179" i="1"/>
  <c r="AM179" i="1"/>
  <c r="AJ179" i="1"/>
  <c r="W177" i="1"/>
  <c r="T177" i="1"/>
  <c r="U177" i="1"/>
  <c r="V177" i="1"/>
  <c r="AB259" i="1"/>
  <c r="Y259" i="1"/>
  <c r="Z259" i="1"/>
  <c r="AA259" i="1"/>
  <c r="AK227" i="1"/>
  <c r="AJ227" i="1"/>
  <c r="AM227" i="1"/>
  <c r="AL227" i="1"/>
  <c r="AF44" i="1"/>
  <c r="AE44" i="1"/>
  <c r="AH44" i="1"/>
  <c r="AL175" i="1"/>
  <c r="AJ175" i="1"/>
  <c r="AM175" i="1"/>
  <c r="AK175" i="1"/>
  <c r="T209" i="1"/>
  <c r="W209" i="1"/>
  <c r="V209" i="1"/>
  <c r="Z174" i="1"/>
  <c r="Y174" i="1"/>
  <c r="AA174" i="1"/>
  <c r="AB174" i="1"/>
  <c r="AF80" i="1"/>
  <c r="AH80" i="1"/>
  <c r="AE80" i="1"/>
  <c r="AG80" i="1"/>
  <c r="Y252" i="1"/>
  <c r="W176" i="1"/>
  <c r="V176" i="1"/>
  <c r="T176" i="1"/>
  <c r="U176" i="1"/>
  <c r="AJ204" i="1"/>
  <c r="AL204" i="1"/>
  <c r="AJ214" i="1"/>
  <c r="AK214" i="1"/>
  <c r="AL214" i="1"/>
  <c r="AM214" i="1"/>
  <c r="AJ206" i="1"/>
  <c r="AL206" i="1"/>
  <c r="AK206" i="1"/>
  <c r="AM206" i="1"/>
  <c r="AL210" i="1"/>
  <c r="AJ210" i="1"/>
  <c r="AG169" i="1"/>
  <c r="AF169" i="1"/>
  <c r="AH169" i="1"/>
  <c r="AH26" i="1"/>
  <c r="AE26" i="1"/>
  <c r="AF26" i="1"/>
  <c r="AB252" i="1"/>
  <c r="AG53" i="1"/>
  <c r="AF53" i="1"/>
  <c r="AE53" i="1"/>
  <c r="Z169" i="1"/>
  <c r="Y169" i="1"/>
  <c r="AB169" i="1"/>
  <c r="AF116" i="1"/>
  <c r="AE116" i="1"/>
  <c r="AG116" i="1"/>
  <c r="AH116" i="1"/>
  <c r="T208" i="1"/>
  <c r="V208" i="1"/>
  <c r="U208" i="1"/>
  <c r="W208" i="1"/>
  <c r="AL203" i="1"/>
  <c r="AJ203" i="1"/>
  <c r="AK217" i="1"/>
  <c r="AJ216" i="1"/>
  <c r="AL216" i="1"/>
  <c r="AM216" i="1"/>
  <c r="AL212" i="1"/>
  <c r="AM212" i="1"/>
  <c r="AJ223" i="1"/>
  <c r="AL223" i="1"/>
  <c r="AM223" i="1"/>
  <c r="AL324" i="1"/>
  <c r="AM324" i="1"/>
  <c r="AM224" i="1"/>
  <c r="AJ211" i="1"/>
  <c r="AM211" i="1"/>
  <c r="AL211" i="1"/>
  <c r="AH226" i="1"/>
  <c r="AE226" i="1"/>
  <c r="AE110" i="1"/>
  <c r="AH110" i="1"/>
  <c r="AE45" i="1"/>
  <c r="AG45" i="1"/>
  <c r="Z251" i="1"/>
  <c r="AB251" i="1"/>
  <c r="AB263" i="1"/>
  <c r="Y263" i="1"/>
  <c r="Z263" i="1"/>
  <c r="AA263" i="1"/>
  <c r="AB293" i="1"/>
  <c r="Y293" i="1"/>
  <c r="Z293" i="1"/>
  <c r="AL179" i="1"/>
  <c r="AA169" i="1"/>
  <c r="U209" i="1"/>
  <c r="X210" i="1"/>
  <c r="X212" i="1"/>
  <c r="K212" i="5" s="1"/>
  <c r="AK212" i="1"/>
  <c r="X300" i="1"/>
  <c r="Z300" i="1" s="1"/>
  <c r="X309" i="1"/>
  <c r="AB309" i="1" s="1"/>
  <c r="X221" i="1"/>
  <c r="X225" i="1"/>
  <c r="X220" i="1"/>
  <c r="K220" i="5" s="1"/>
  <c r="X229" i="1"/>
  <c r="X217" i="1"/>
  <c r="X216" i="1"/>
  <c r="X215" i="1"/>
  <c r="X214" i="1"/>
  <c r="X213" i="1"/>
  <c r="X211" i="1"/>
  <c r="Y211" i="1" s="1"/>
  <c r="AK211" i="1"/>
  <c r="X218" i="1"/>
  <c r="X222" i="1"/>
  <c r="AA222" i="1" s="1"/>
  <c r="X219" i="1"/>
  <c r="X226" i="1"/>
  <c r="K226" i="5" s="1"/>
  <c r="AG218" i="1"/>
  <c r="AE218" i="1"/>
  <c r="AE210" i="1"/>
  <c r="AF210" i="1"/>
  <c r="AG210" i="1"/>
  <c r="AH210" i="1"/>
  <c r="AE211" i="1"/>
  <c r="AG211" i="1"/>
  <c r="AH211" i="1"/>
  <c r="AG212" i="1"/>
  <c r="AE212" i="1"/>
  <c r="AF209" i="1"/>
  <c r="AE209" i="1"/>
  <c r="AG209" i="1"/>
  <c r="AE208" i="1"/>
  <c r="AG208" i="1"/>
  <c r="AF137" i="1"/>
  <c r="AE137" i="1"/>
  <c r="AH137" i="1"/>
  <c r="AG112" i="1"/>
  <c r="AF112" i="1"/>
  <c r="AH112" i="1"/>
  <c r="AH79" i="1"/>
  <c r="AE79" i="1"/>
  <c r="AG79" i="1"/>
  <c r="AH54" i="1"/>
  <c r="AE54" i="1"/>
  <c r="AG54" i="1"/>
  <c r="AF54" i="1"/>
  <c r="AG52" i="1"/>
  <c r="AF52" i="1"/>
  <c r="AH52" i="1"/>
  <c r="AE49" i="1"/>
  <c r="AH49" i="1"/>
  <c r="AG49" i="1"/>
  <c r="AH46" i="1"/>
  <c r="AG46" i="1"/>
  <c r="AF46" i="1"/>
  <c r="AG44" i="1"/>
  <c r="AE43" i="1"/>
  <c r="AH43" i="1"/>
  <c r="AH42" i="1"/>
  <c r="AG42" i="1"/>
  <c r="AF42" i="1"/>
  <c r="AG27" i="1"/>
  <c r="AH27" i="1"/>
  <c r="AE27" i="1"/>
  <c r="AG26" i="1"/>
  <c r="AA293" i="1"/>
  <c r="AK204" i="1"/>
  <c r="AM204" i="1"/>
  <c r="AM203" i="1"/>
  <c r="AK203" i="1"/>
  <c r="AM217" i="1"/>
  <c r="AJ217" i="1"/>
  <c r="AM210" i="1"/>
  <c r="AK210" i="1"/>
  <c r="AK223" i="1"/>
  <c r="AK324" i="1"/>
  <c r="AJ324" i="1"/>
  <c r="AL224" i="1"/>
  <c r="AJ224" i="1"/>
  <c r="AK224" i="1"/>
  <c r="AF226" i="1"/>
  <c r="AF218" i="1"/>
  <c r="AF211" i="1"/>
  <c r="AF212" i="1"/>
  <c r="AH209" i="1"/>
  <c r="AF208" i="1"/>
  <c r="AE169" i="1"/>
  <c r="AG137" i="1"/>
  <c r="AE112" i="1"/>
  <c r="AE102" i="1"/>
  <c r="AG101" i="1"/>
  <c r="AD97" i="1"/>
  <c r="O97" i="5" s="1"/>
  <c r="AD190" i="1"/>
  <c r="O190" i="5" s="1"/>
  <c r="AD96" i="1"/>
  <c r="O96" i="5" s="1"/>
  <c r="AD189" i="1"/>
  <c r="O189" i="5" s="1"/>
  <c r="AD88" i="1"/>
  <c r="O88" i="5" s="1"/>
  <c r="AD197" i="1"/>
  <c r="O197" i="5" s="1"/>
  <c r="AF79" i="1"/>
  <c r="AH53" i="1"/>
  <c r="AE52" i="1"/>
  <c r="AF51" i="1"/>
  <c r="AE50" i="1"/>
  <c r="AF49" i="1"/>
  <c r="AE46" i="1"/>
  <c r="AF45" i="1"/>
  <c r="AF43" i="1"/>
  <c r="AE42" i="1"/>
  <c r="AF27" i="1"/>
  <c r="G177" i="5"/>
  <c r="S214" i="5"/>
  <c r="S213" i="5"/>
  <c r="V256" i="3"/>
  <c r="S175" i="5"/>
  <c r="V336" i="5"/>
  <c r="F219" i="5"/>
  <c r="F263" i="5"/>
  <c r="F226" i="5"/>
  <c r="V263" i="5"/>
  <c r="F307" i="5"/>
  <c r="V307" i="5"/>
  <c r="F252" i="5"/>
  <c r="V277" i="5"/>
  <c r="V293" i="5"/>
  <c r="F293" i="5"/>
  <c r="F227" i="5"/>
  <c r="BR301" i="1"/>
  <c r="F229" i="5"/>
  <c r="BR302" i="1"/>
  <c r="F238" i="5"/>
  <c r="F221" i="5"/>
  <c r="F223" i="5"/>
  <c r="V195" i="3"/>
  <c r="F295" i="5"/>
  <c r="F251" i="5"/>
  <c r="F218" i="5"/>
  <c r="F273" i="5"/>
  <c r="F277" i="5"/>
  <c r="F324" i="5"/>
  <c r="F259" i="5"/>
  <c r="F336" i="5"/>
  <c r="F224" i="5"/>
  <c r="F214" i="5"/>
  <c r="X227" i="1"/>
  <c r="K227" i="5" s="1"/>
  <c r="F222" i="5"/>
  <c r="F309" i="5"/>
  <c r="F211" i="5"/>
  <c r="F300" i="5"/>
  <c r="F220" i="5"/>
  <c r="V205" i="3"/>
  <c r="F212" i="5"/>
  <c r="F215" i="5"/>
  <c r="F213" i="5"/>
  <c r="F228" i="5"/>
  <c r="F225" i="5"/>
  <c r="F170" i="5"/>
  <c r="F174" i="5"/>
  <c r="F175" i="5"/>
  <c r="F173" i="5"/>
  <c r="F177" i="5"/>
  <c r="F181" i="5"/>
  <c r="F203" i="5"/>
  <c r="F179" i="5"/>
  <c r="F180" i="5"/>
  <c r="F206" i="5"/>
  <c r="F216" i="5"/>
  <c r="X224" i="1"/>
  <c r="V194" i="3"/>
  <c r="S223" i="5"/>
  <c r="V196" i="3"/>
  <c r="F217" i="5"/>
  <c r="F210" i="5"/>
  <c r="F205" i="5"/>
  <c r="F207" i="5"/>
  <c r="F202" i="5"/>
  <c r="F208" i="5"/>
  <c r="F209" i="5"/>
  <c r="G209" i="5"/>
  <c r="F204" i="5"/>
  <c r="F176" i="5"/>
  <c r="X209" i="1"/>
  <c r="K209" i="5" s="1"/>
  <c r="X208" i="1"/>
  <c r="K208" i="5" s="1"/>
  <c r="V193" i="3"/>
  <c r="V192" i="3"/>
  <c r="X206" i="1"/>
  <c r="K206" i="5" s="1"/>
  <c r="F201" i="5"/>
  <c r="F172" i="5"/>
  <c r="F200" i="5"/>
  <c r="F178" i="5"/>
  <c r="F199" i="5"/>
  <c r="F182" i="5"/>
  <c r="G169" i="5"/>
  <c r="K169" i="5"/>
  <c r="F169" i="5"/>
  <c r="BW398" i="1" l="1"/>
  <c r="H398" i="1"/>
  <c r="H399" i="1"/>
  <c r="BW399" i="1"/>
  <c r="BU53" i="3"/>
  <c r="BM190" i="3"/>
  <c r="BM112" i="3"/>
  <c r="BU192" i="3"/>
  <c r="BM169" i="3"/>
  <c r="BM46" i="3"/>
  <c r="BM224" i="3"/>
  <c r="BM45" i="3"/>
  <c r="BM219" i="3"/>
  <c r="BM127" i="3"/>
  <c r="BO96" i="3"/>
  <c r="BI96" i="3"/>
  <c r="BU88" i="3"/>
  <c r="BM88" i="3"/>
  <c r="BR191" i="3"/>
  <c r="BV191" i="3" s="1"/>
  <c r="BN191" i="3"/>
  <c r="BI191" i="3"/>
  <c r="J221" i="5"/>
  <c r="I221" i="5"/>
  <c r="H221" i="5"/>
  <c r="V228" i="5"/>
  <c r="U228" i="5"/>
  <c r="T228" i="5"/>
  <c r="J218" i="5"/>
  <c r="I218" i="5"/>
  <c r="H218" i="5"/>
  <c r="H223" i="5"/>
  <c r="I223" i="5"/>
  <c r="J223" i="5"/>
  <c r="H224" i="5"/>
  <c r="J224" i="5"/>
  <c r="I224" i="5"/>
  <c r="H215" i="5"/>
  <c r="J215" i="5"/>
  <c r="I215" i="5"/>
  <c r="H227" i="5"/>
  <c r="J227" i="5"/>
  <c r="I227" i="5"/>
  <c r="V220" i="5"/>
  <c r="T220" i="5"/>
  <c r="U220" i="5"/>
  <c r="J309" i="5"/>
  <c r="H309" i="5"/>
  <c r="I309" i="5"/>
  <c r="I226" i="5"/>
  <c r="H226" i="5"/>
  <c r="J226" i="5"/>
  <c r="I213" i="5"/>
  <c r="H213" i="5"/>
  <c r="J213" i="5"/>
  <c r="V300" i="5"/>
  <c r="U300" i="5"/>
  <c r="T300" i="5"/>
  <c r="T309" i="5"/>
  <c r="V309" i="5"/>
  <c r="U309" i="5"/>
  <c r="V221" i="5"/>
  <c r="U221" i="5"/>
  <c r="T221" i="5"/>
  <c r="J214" i="5"/>
  <c r="I214" i="5"/>
  <c r="H214" i="5"/>
  <c r="I228" i="5"/>
  <c r="J228" i="5"/>
  <c r="H228" i="5"/>
  <c r="U218" i="5"/>
  <c r="V218" i="5"/>
  <c r="T218" i="5"/>
  <c r="H220" i="5"/>
  <c r="J220" i="5"/>
  <c r="I220" i="5"/>
  <c r="H324" i="5"/>
  <c r="J324" i="5"/>
  <c r="I324" i="5"/>
  <c r="I222" i="5"/>
  <c r="J222" i="5"/>
  <c r="H222" i="5"/>
  <c r="H216" i="5"/>
  <c r="J216" i="5"/>
  <c r="I216" i="5"/>
  <c r="H217" i="5"/>
  <c r="J217" i="5"/>
  <c r="I217" i="5"/>
  <c r="J300" i="5"/>
  <c r="I300" i="5"/>
  <c r="H300" i="5"/>
  <c r="U222" i="5"/>
  <c r="V222" i="5"/>
  <c r="T222" i="5"/>
  <c r="V226" i="5"/>
  <c r="T226" i="5"/>
  <c r="U226" i="5"/>
  <c r="BO43" i="3"/>
  <c r="BI43" i="3"/>
  <c r="T148" i="5"/>
  <c r="V148" i="5"/>
  <c r="U148" i="5"/>
  <c r="H148" i="5"/>
  <c r="J148" i="5"/>
  <c r="I148" i="5"/>
  <c r="V147" i="5"/>
  <c r="U147" i="5"/>
  <c r="T147" i="5"/>
  <c r="T145" i="5"/>
  <c r="V145" i="5"/>
  <c r="U145" i="5"/>
  <c r="T144" i="5"/>
  <c r="V144" i="5"/>
  <c r="U144" i="5"/>
  <c r="J143" i="5"/>
  <c r="I143" i="5"/>
  <c r="H143" i="5"/>
  <c r="U142" i="5"/>
  <c r="T142" i="5"/>
  <c r="V142" i="5"/>
  <c r="I142" i="5"/>
  <c r="J142" i="5"/>
  <c r="H142" i="5"/>
  <c r="H141" i="5"/>
  <c r="J141" i="5"/>
  <c r="I141" i="5"/>
  <c r="T141" i="5"/>
  <c r="U141" i="5"/>
  <c r="V141" i="5"/>
  <c r="BR150" i="3"/>
  <c r="BV150" i="3" s="1"/>
  <c r="I158" i="5"/>
  <c r="J158" i="5"/>
  <c r="H158" i="5"/>
  <c r="H157" i="5"/>
  <c r="I157" i="5"/>
  <c r="J157" i="5"/>
  <c r="J151" i="5"/>
  <c r="I151" i="5"/>
  <c r="H151" i="5"/>
  <c r="J3" i="5"/>
  <c r="I3" i="5"/>
  <c r="H3" i="5"/>
  <c r="V8" i="5"/>
  <c r="T8" i="5"/>
  <c r="U8" i="5"/>
  <c r="T9" i="5"/>
  <c r="V9" i="5"/>
  <c r="U9" i="5"/>
  <c r="H10" i="5"/>
  <c r="J10" i="5"/>
  <c r="I10" i="5"/>
  <c r="T12" i="5"/>
  <c r="U12" i="5"/>
  <c r="V12" i="5"/>
  <c r="J14" i="5"/>
  <c r="I14" i="5"/>
  <c r="H14" i="5"/>
  <c r="V14" i="5"/>
  <c r="U14" i="5"/>
  <c r="T14" i="5"/>
  <c r="J15" i="5"/>
  <c r="I15" i="5"/>
  <c r="H15" i="5"/>
  <c r="H16" i="5"/>
  <c r="J16" i="5"/>
  <c r="I16" i="5"/>
  <c r="I19" i="5"/>
  <c r="J19" i="5"/>
  <c r="H19" i="5"/>
  <c r="U22" i="5"/>
  <c r="T22" i="5"/>
  <c r="V22" i="5"/>
  <c r="J23" i="5"/>
  <c r="H23" i="5"/>
  <c r="I23" i="5"/>
  <c r="H24" i="5"/>
  <c r="I24" i="5"/>
  <c r="J24" i="5"/>
  <c r="H25" i="5"/>
  <c r="J25" i="5"/>
  <c r="I25" i="5"/>
  <c r="U26" i="5"/>
  <c r="V26" i="5"/>
  <c r="T26" i="5"/>
  <c r="J28" i="5"/>
  <c r="I28" i="5"/>
  <c r="H28" i="5"/>
  <c r="H29" i="5"/>
  <c r="I29" i="5"/>
  <c r="J29" i="5"/>
  <c r="T29" i="5"/>
  <c r="V29" i="5"/>
  <c r="U29" i="5"/>
  <c r="H30" i="5"/>
  <c r="I30" i="5"/>
  <c r="J30" i="5"/>
  <c r="T30" i="5"/>
  <c r="V30" i="5"/>
  <c r="U30" i="5"/>
  <c r="H31" i="5"/>
  <c r="J31" i="5"/>
  <c r="I31" i="5"/>
  <c r="V35" i="5"/>
  <c r="U35" i="5"/>
  <c r="T35" i="5"/>
  <c r="J36" i="5"/>
  <c r="H36" i="5"/>
  <c r="I36" i="5"/>
  <c r="V37" i="5"/>
  <c r="U37" i="5"/>
  <c r="T37" i="5"/>
  <c r="T38" i="5"/>
  <c r="V38" i="5"/>
  <c r="U38" i="5"/>
  <c r="V40" i="5"/>
  <c r="U40" i="5"/>
  <c r="T40" i="5"/>
  <c r="H40" i="5"/>
  <c r="J40" i="5"/>
  <c r="I40" i="5"/>
  <c r="T42" i="5"/>
  <c r="V42" i="5"/>
  <c r="U42" i="5"/>
  <c r="U43" i="5"/>
  <c r="V43" i="5"/>
  <c r="T43" i="5"/>
  <c r="T46" i="5"/>
  <c r="V46" i="5"/>
  <c r="U46" i="5"/>
  <c r="V48" i="5"/>
  <c r="U48" i="5"/>
  <c r="T48" i="5"/>
  <c r="U49" i="5"/>
  <c r="V49" i="5"/>
  <c r="T49" i="5"/>
  <c r="U51" i="5"/>
  <c r="V51" i="5"/>
  <c r="T51" i="5"/>
  <c r="T52" i="5"/>
  <c r="V52" i="5"/>
  <c r="U52" i="5"/>
  <c r="J55" i="5"/>
  <c r="I55" i="5"/>
  <c r="H55" i="5"/>
  <c r="I58" i="5"/>
  <c r="H58" i="5"/>
  <c r="J58" i="5"/>
  <c r="T59" i="5"/>
  <c r="U59" i="5"/>
  <c r="V59" i="5"/>
  <c r="V60" i="5"/>
  <c r="U60" i="5"/>
  <c r="T60" i="5"/>
  <c r="H61" i="5"/>
  <c r="I61" i="5"/>
  <c r="J61" i="5"/>
  <c r="T61" i="5"/>
  <c r="U61" i="5"/>
  <c r="V61" i="5"/>
  <c r="I62" i="5"/>
  <c r="J62" i="5"/>
  <c r="H62" i="5"/>
  <c r="U66" i="5"/>
  <c r="T66" i="5"/>
  <c r="V66" i="5"/>
  <c r="T68" i="5"/>
  <c r="V68" i="5"/>
  <c r="U68" i="5"/>
  <c r="J185" i="5"/>
  <c r="H185" i="5"/>
  <c r="I185" i="5"/>
  <c r="T185" i="5"/>
  <c r="V185" i="5"/>
  <c r="U185" i="5"/>
  <c r="I193" i="5"/>
  <c r="H193" i="5"/>
  <c r="J193" i="5"/>
  <c r="H187" i="5"/>
  <c r="I187" i="5"/>
  <c r="J187" i="5"/>
  <c r="J75" i="5"/>
  <c r="H75" i="5"/>
  <c r="I75" i="5"/>
  <c r="BR77" i="3"/>
  <c r="BV77" i="3" s="1"/>
  <c r="BN77" i="3"/>
  <c r="V77" i="5"/>
  <c r="U77" i="5"/>
  <c r="T77" i="5"/>
  <c r="H78" i="5"/>
  <c r="I78" i="5"/>
  <c r="J78" i="5"/>
  <c r="J194" i="5"/>
  <c r="H194" i="5"/>
  <c r="I194" i="5"/>
  <c r="V80" i="5"/>
  <c r="T80" i="5"/>
  <c r="U80" i="5"/>
  <c r="BN81" i="3"/>
  <c r="BR81" i="3"/>
  <c r="BV81" i="3" s="1"/>
  <c r="V81" i="5"/>
  <c r="T81" i="5"/>
  <c r="U81" i="5"/>
  <c r="J83" i="5"/>
  <c r="I83" i="5"/>
  <c r="H83" i="5"/>
  <c r="I84" i="5"/>
  <c r="J84" i="5"/>
  <c r="H84" i="5"/>
  <c r="J191" i="5"/>
  <c r="I191" i="5"/>
  <c r="H191" i="5"/>
  <c r="J85" i="5"/>
  <c r="I85" i="5"/>
  <c r="H85" i="5"/>
  <c r="H195" i="5"/>
  <c r="J195" i="5"/>
  <c r="I195" i="5"/>
  <c r="U86" i="5"/>
  <c r="V86" i="5"/>
  <c r="T86" i="5"/>
  <c r="V196" i="5"/>
  <c r="T196" i="5"/>
  <c r="U196" i="5"/>
  <c r="BO88" i="3"/>
  <c r="BL88" i="3"/>
  <c r="T197" i="5"/>
  <c r="V197" i="5"/>
  <c r="U197" i="5"/>
  <c r="J90" i="5"/>
  <c r="I90" i="5"/>
  <c r="H90" i="5"/>
  <c r="J188" i="5"/>
  <c r="H188" i="5"/>
  <c r="I188" i="5"/>
  <c r="BN92" i="3"/>
  <c r="BR92" i="3"/>
  <c r="BV92" i="3" s="1"/>
  <c r="V92" i="5"/>
  <c r="U92" i="5"/>
  <c r="T92" i="5"/>
  <c r="J198" i="5"/>
  <c r="H198" i="5"/>
  <c r="I198" i="5"/>
  <c r="T198" i="5"/>
  <c r="V198" i="5"/>
  <c r="U198" i="5"/>
  <c r="J95" i="5"/>
  <c r="H95" i="5"/>
  <c r="I95" i="5"/>
  <c r="U189" i="5"/>
  <c r="V189" i="5"/>
  <c r="T189" i="5"/>
  <c r="BL97" i="3"/>
  <c r="BO97" i="3"/>
  <c r="T190" i="5"/>
  <c r="V190" i="5"/>
  <c r="U190" i="5"/>
  <c r="BR98" i="3"/>
  <c r="BV98" i="3" s="1"/>
  <c r="BN98" i="3"/>
  <c r="T98" i="5"/>
  <c r="V98" i="5"/>
  <c r="U98" i="5"/>
  <c r="J100" i="5"/>
  <c r="H100" i="5"/>
  <c r="I100" i="5"/>
  <c r="H101" i="5"/>
  <c r="J101" i="5"/>
  <c r="I101" i="5"/>
  <c r="BR103" i="3"/>
  <c r="BV103" i="3" s="1"/>
  <c r="BN103" i="3"/>
  <c r="T103" i="5"/>
  <c r="U103" i="5"/>
  <c r="V103" i="5"/>
  <c r="U109" i="5"/>
  <c r="V109" i="5"/>
  <c r="T109" i="5"/>
  <c r="BR110" i="3"/>
  <c r="BV110" i="3"/>
  <c r="V110" i="5"/>
  <c r="U110" i="5"/>
  <c r="T110" i="5"/>
  <c r="V112" i="5"/>
  <c r="U112" i="5"/>
  <c r="T112" i="5"/>
  <c r="T113" i="5"/>
  <c r="U113" i="5"/>
  <c r="V113" i="5"/>
  <c r="I114" i="5"/>
  <c r="H114" i="5"/>
  <c r="J114" i="5"/>
  <c r="I115" i="5"/>
  <c r="J115" i="5"/>
  <c r="H115" i="5"/>
  <c r="T116" i="5"/>
  <c r="V116" i="5"/>
  <c r="U116" i="5"/>
  <c r="H117" i="5"/>
  <c r="J117" i="5"/>
  <c r="I117" i="5"/>
  <c r="I119" i="5"/>
  <c r="J119" i="5"/>
  <c r="H119" i="5"/>
  <c r="H121" i="5"/>
  <c r="J121" i="5"/>
  <c r="I121" i="5"/>
  <c r="T121" i="5"/>
  <c r="U121" i="5"/>
  <c r="V121" i="5"/>
  <c r="BR122" i="3"/>
  <c r="BV122" i="3" s="1"/>
  <c r="BN122" i="3"/>
  <c r="U122" i="5"/>
  <c r="T122" i="5"/>
  <c r="V122" i="5"/>
  <c r="I123" i="5"/>
  <c r="J123" i="5"/>
  <c r="H123" i="5"/>
  <c r="T125" i="5"/>
  <c r="V125" i="5"/>
  <c r="U125" i="5"/>
  <c r="J126" i="5"/>
  <c r="I126" i="5"/>
  <c r="H126" i="5"/>
  <c r="U126" i="5"/>
  <c r="V126" i="5"/>
  <c r="T126" i="5"/>
  <c r="H127" i="5"/>
  <c r="I127" i="5"/>
  <c r="J127" i="5"/>
  <c r="T129" i="5"/>
  <c r="U129" i="5"/>
  <c r="V129" i="5"/>
  <c r="H129" i="5"/>
  <c r="J129" i="5"/>
  <c r="I129" i="5"/>
  <c r="J130" i="5"/>
  <c r="I130" i="5"/>
  <c r="H130" i="5"/>
  <c r="BN131" i="3"/>
  <c r="BR131" i="3"/>
  <c r="BV131" i="3" s="1"/>
  <c r="H131" i="5"/>
  <c r="I131" i="5"/>
  <c r="J131" i="5"/>
  <c r="V131" i="5"/>
  <c r="T131" i="5"/>
  <c r="U131" i="5"/>
  <c r="H133" i="5"/>
  <c r="J133" i="5"/>
  <c r="I133" i="5"/>
  <c r="BV137" i="3"/>
  <c r="BR137" i="3"/>
  <c r="I139" i="5"/>
  <c r="H139" i="5"/>
  <c r="J139" i="5"/>
  <c r="U139" i="5"/>
  <c r="T139" i="5"/>
  <c r="V139" i="5"/>
  <c r="BN162" i="3"/>
  <c r="BR162" i="3"/>
  <c r="BV162" i="3" s="1"/>
  <c r="T165" i="5"/>
  <c r="U165" i="5"/>
  <c r="V165" i="5"/>
  <c r="J166" i="5"/>
  <c r="I166" i="5"/>
  <c r="H166" i="5"/>
  <c r="J167" i="5"/>
  <c r="H167" i="5"/>
  <c r="I167" i="5"/>
  <c r="T169" i="5"/>
  <c r="V169" i="5"/>
  <c r="U169" i="5"/>
  <c r="V172" i="5"/>
  <c r="T172" i="5"/>
  <c r="U172" i="5"/>
  <c r="I172" i="5"/>
  <c r="J172" i="5"/>
  <c r="H172" i="5"/>
  <c r="T174" i="5"/>
  <c r="V174" i="5"/>
  <c r="U174" i="5"/>
  <c r="BN176" i="3"/>
  <c r="BR176" i="3"/>
  <c r="BV176" i="3" s="1"/>
  <c r="BR177" i="3"/>
  <c r="BV177" i="3" s="1"/>
  <c r="BN177" i="3"/>
  <c r="H179" i="5"/>
  <c r="J179" i="5"/>
  <c r="I179" i="5"/>
  <c r="H180" i="5"/>
  <c r="I180" i="5"/>
  <c r="J180" i="5"/>
  <c r="T199" i="5"/>
  <c r="U199" i="5"/>
  <c r="V199" i="5"/>
  <c r="I199" i="5"/>
  <c r="H199" i="5"/>
  <c r="J199" i="5"/>
  <c r="U200" i="5"/>
  <c r="T200" i="5"/>
  <c r="V200" i="5"/>
  <c r="H204" i="5"/>
  <c r="I204" i="5"/>
  <c r="J204" i="5"/>
  <c r="H203" i="5"/>
  <c r="I203" i="5"/>
  <c r="J203" i="5"/>
  <c r="BR203" i="3"/>
  <c r="BV203" i="3"/>
  <c r="BN203" i="3"/>
  <c r="BN204" i="3"/>
  <c r="BR204" i="3"/>
  <c r="BV204" i="3"/>
  <c r="BN311" i="3"/>
  <c r="BR311" i="3"/>
  <c r="BV311" i="3" s="1"/>
  <c r="BR278" i="3"/>
  <c r="BV278" i="3" s="1"/>
  <c r="BR289" i="3"/>
  <c r="BV289" i="3" s="1"/>
  <c r="BT219" i="3"/>
  <c r="BO219" i="3"/>
  <c r="BL219" i="3"/>
  <c r="BL224" i="3"/>
  <c r="BO224" i="3"/>
  <c r="J106" i="5"/>
  <c r="I106" i="5"/>
  <c r="H106" i="5"/>
  <c r="J140" i="5"/>
  <c r="I140" i="5"/>
  <c r="H140" i="5"/>
  <c r="U140" i="5"/>
  <c r="T140" i="5"/>
  <c r="V140" i="5"/>
  <c r="J149" i="5"/>
  <c r="H149" i="5"/>
  <c r="I149" i="5"/>
  <c r="U149" i="5"/>
  <c r="V149" i="5"/>
  <c r="T149" i="5"/>
  <c r="J147" i="5"/>
  <c r="I147" i="5"/>
  <c r="H147" i="5"/>
  <c r="J146" i="5"/>
  <c r="I146" i="5"/>
  <c r="H146" i="5"/>
  <c r="U146" i="5"/>
  <c r="T146" i="5"/>
  <c r="V146" i="5"/>
  <c r="J145" i="5"/>
  <c r="I145" i="5"/>
  <c r="H145" i="5"/>
  <c r="H144" i="5"/>
  <c r="J144" i="5"/>
  <c r="I144" i="5"/>
  <c r="V143" i="5"/>
  <c r="U143" i="5"/>
  <c r="T143" i="5"/>
  <c r="J150" i="5"/>
  <c r="I150" i="5"/>
  <c r="H150" i="5"/>
  <c r="J159" i="5"/>
  <c r="I159" i="5"/>
  <c r="H159" i="5"/>
  <c r="J156" i="5"/>
  <c r="I156" i="5"/>
  <c r="H156" i="5"/>
  <c r="J155" i="5"/>
  <c r="H155" i="5"/>
  <c r="I155" i="5"/>
  <c r="H154" i="5"/>
  <c r="J154" i="5"/>
  <c r="I154" i="5"/>
  <c r="J153" i="5"/>
  <c r="I153" i="5"/>
  <c r="H153" i="5"/>
  <c r="J152" i="5"/>
  <c r="H152" i="5"/>
  <c r="I152" i="5"/>
  <c r="J4" i="5"/>
  <c r="I4" i="5"/>
  <c r="H4" i="5"/>
  <c r="V5" i="5"/>
  <c r="U5" i="5"/>
  <c r="T5" i="5"/>
  <c r="V7" i="5"/>
  <c r="U7" i="5"/>
  <c r="T7" i="5"/>
  <c r="J9" i="5"/>
  <c r="I9" i="5"/>
  <c r="H9" i="5"/>
  <c r="U10" i="5"/>
  <c r="T10" i="5"/>
  <c r="V10" i="5"/>
  <c r="T11" i="5"/>
  <c r="V11" i="5"/>
  <c r="U11" i="5"/>
  <c r="V13" i="5"/>
  <c r="T13" i="5"/>
  <c r="U13" i="5"/>
  <c r="T15" i="5"/>
  <c r="V15" i="5"/>
  <c r="U15" i="5"/>
  <c r="V16" i="5"/>
  <c r="U16" i="5"/>
  <c r="T16" i="5"/>
  <c r="J17" i="5"/>
  <c r="I17" i="5"/>
  <c r="H17" i="5"/>
  <c r="J18" i="5"/>
  <c r="H18" i="5"/>
  <c r="I18" i="5"/>
  <c r="J20" i="5"/>
  <c r="I20" i="5"/>
  <c r="H20" i="5"/>
  <c r="T21" i="5"/>
  <c r="U21" i="5"/>
  <c r="V21" i="5"/>
  <c r="V23" i="5"/>
  <c r="T23" i="5"/>
  <c r="U23" i="5"/>
  <c r="V24" i="5"/>
  <c r="U24" i="5"/>
  <c r="T24" i="5"/>
  <c r="V25" i="5"/>
  <c r="U25" i="5"/>
  <c r="T25" i="5"/>
  <c r="V27" i="5"/>
  <c r="U27" i="5"/>
  <c r="T27" i="5"/>
  <c r="I32" i="5"/>
  <c r="J32" i="5"/>
  <c r="H32" i="5"/>
  <c r="V33" i="5"/>
  <c r="T33" i="5"/>
  <c r="U33" i="5"/>
  <c r="I33" i="5"/>
  <c r="H33" i="5"/>
  <c r="J33" i="5"/>
  <c r="H34" i="5"/>
  <c r="J34" i="5"/>
  <c r="I34" i="5"/>
  <c r="T34" i="5"/>
  <c r="V34" i="5"/>
  <c r="U34" i="5"/>
  <c r="J35" i="5"/>
  <c r="H35" i="5"/>
  <c r="I35" i="5"/>
  <c r="V36" i="5"/>
  <c r="T36" i="5"/>
  <c r="U36" i="5"/>
  <c r="J37" i="5"/>
  <c r="H37" i="5"/>
  <c r="I37" i="5"/>
  <c r="H38" i="5"/>
  <c r="I38" i="5"/>
  <c r="J38" i="5"/>
  <c r="I39" i="5"/>
  <c r="J39" i="5"/>
  <c r="H39" i="5"/>
  <c r="V39" i="5"/>
  <c r="T39" i="5"/>
  <c r="U39" i="5"/>
  <c r="U41" i="5"/>
  <c r="V41" i="5"/>
  <c r="T41" i="5"/>
  <c r="J41" i="5"/>
  <c r="H41" i="5"/>
  <c r="I41" i="5"/>
  <c r="V44" i="5"/>
  <c r="T44" i="5"/>
  <c r="U44" i="5"/>
  <c r="V45" i="5"/>
  <c r="T45" i="5"/>
  <c r="U45" i="5"/>
  <c r="V47" i="5"/>
  <c r="T47" i="5"/>
  <c r="U47" i="5"/>
  <c r="T50" i="5"/>
  <c r="U50" i="5"/>
  <c r="V50" i="5"/>
  <c r="T53" i="5"/>
  <c r="U53" i="5"/>
  <c r="V53" i="5"/>
  <c r="U54" i="5"/>
  <c r="T54" i="5"/>
  <c r="V54" i="5"/>
  <c r="V55" i="5"/>
  <c r="U55" i="5"/>
  <c r="T55" i="5"/>
  <c r="U56" i="5"/>
  <c r="V56" i="5"/>
  <c r="T56" i="5"/>
  <c r="I56" i="5"/>
  <c r="J56" i="5"/>
  <c r="H56" i="5"/>
  <c r="U57" i="5"/>
  <c r="V57" i="5"/>
  <c r="T57" i="5"/>
  <c r="J57" i="5"/>
  <c r="H57" i="5"/>
  <c r="I57" i="5"/>
  <c r="T58" i="5"/>
  <c r="V58" i="5"/>
  <c r="U58" i="5"/>
  <c r="H59" i="5"/>
  <c r="I59" i="5"/>
  <c r="J59" i="5"/>
  <c r="H60" i="5"/>
  <c r="J60" i="5"/>
  <c r="I60" i="5"/>
  <c r="H183" i="5"/>
  <c r="I183" i="5"/>
  <c r="J183" i="5"/>
  <c r="T63" i="5"/>
  <c r="U63" i="5"/>
  <c r="V63" i="5"/>
  <c r="U64" i="5"/>
  <c r="V64" i="5"/>
  <c r="T64" i="5"/>
  <c r="V65" i="5"/>
  <c r="T65" i="5"/>
  <c r="U65" i="5"/>
  <c r="T67" i="5"/>
  <c r="U67" i="5"/>
  <c r="V67" i="5"/>
  <c r="V184" i="5"/>
  <c r="U184" i="5"/>
  <c r="T184" i="5"/>
  <c r="I68" i="5"/>
  <c r="J68" i="5"/>
  <c r="H68" i="5"/>
  <c r="J69" i="5"/>
  <c r="I69" i="5"/>
  <c r="H69" i="5"/>
  <c r="V69" i="5"/>
  <c r="T69" i="5"/>
  <c r="U69" i="5"/>
  <c r="H70" i="5"/>
  <c r="J70" i="5"/>
  <c r="I70" i="5"/>
  <c r="T70" i="5"/>
  <c r="U70" i="5"/>
  <c r="V70" i="5"/>
  <c r="U71" i="5"/>
  <c r="T71" i="5"/>
  <c r="V71" i="5"/>
  <c r="H71" i="5"/>
  <c r="I71" i="5"/>
  <c r="J71" i="5"/>
  <c r="U193" i="5"/>
  <c r="T193" i="5"/>
  <c r="V193" i="5"/>
  <c r="V72" i="5"/>
  <c r="T72" i="5"/>
  <c r="U72" i="5"/>
  <c r="V186" i="5"/>
  <c r="U186" i="5"/>
  <c r="T186" i="5"/>
  <c r="T73" i="5"/>
  <c r="U73" i="5"/>
  <c r="V73" i="5"/>
  <c r="J74" i="5"/>
  <c r="I74" i="5"/>
  <c r="H74" i="5"/>
  <c r="T76" i="5"/>
  <c r="V76" i="5"/>
  <c r="U76" i="5"/>
  <c r="I76" i="5"/>
  <c r="H76" i="5"/>
  <c r="J76" i="5"/>
  <c r="J77" i="5"/>
  <c r="H77" i="5"/>
  <c r="I77" i="5"/>
  <c r="U78" i="5"/>
  <c r="T78" i="5"/>
  <c r="V78" i="5"/>
  <c r="T194" i="5"/>
  <c r="V194" i="5"/>
  <c r="U194" i="5"/>
  <c r="BI79" i="3"/>
  <c r="BO79" i="3"/>
  <c r="U79" i="5"/>
  <c r="T79" i="5"/>
  <c r="V79" i="5"/>
  <c r="H81" i="5"/>
  <c r="J81" i="5"/>
  <c r="I81" i="5"/>
  <c r="J82" i="5"/>
  <c r="I82" i="5"/>
  <c r="H82" i="5"/>
  <c r="J86" i="5"/>
  <c r="I86" i="5"/>
  <c r="H86" i="5"/>
  <c r="H87" i="5"/>
  <c r="I87" i="5"/>
  <c r="J87" i="5"/>
  <c r="V87" i="5"/>
  <c r="T87" i="5"/>
  <c r="U87" i="5"/>
  <c r="H196" i="5"/>
  <c r="J196" i="5"/>
  <c r="I196" i="5"/>
  <c r="H88" i="5"/>
  <c r="J88" i="5"/>
  <c r="I88" i="5"/>
  <c r="V88" i="5"/>
  <c r="T88" i="5"/>
  <c r="U88" i="5"/>
  <c r="J197" i="5"/>
  <c r="I197" i="5"/>
  <c r="H197" i="5"/>
  <c r="J89" i="5"/>
  <c r="I89" i="5"/>
  <c r="H89" i="5"/>
  <c r="J192" i="5"/>
  <c r="I192" i="5"/>
  <c r="H192" i="5"/>
  <c r="J91" i="5"/>
  <c r="H91" i="5"/>
  <c r="I91" i="5"/>
  <c r="U91" i="5"/>
  <c r="T91" i="5"/>
  <c r="V91" i="5"/>
  <c r="V188" i="5"/>
  <c r="U188" i="5"/>
  <c r="T188" i="5"/>
  <c r="I92" i="5"/>
  <c r="J92" i="5"/>
  <c r="H92" i="5"/>
  <c r="J93" i="5"/>
  <c r="H93" i="5"/>
  <c r="I93" i="5"/>
  <c r="V93" i="5"/>
  <c r="U93" i="5"/>
  <c r="T93" i="5"/>
  <c r="J94" i="5"/>
  <c r="I94" i="5"/>
  <c r="H94" i="5"/>
  <c r="V94" i="5"/>
  <c r="U94" i="5"/>
  <c r="T94" i="5"/>
  <c r="V95" i="5"/>
  <c r="T95" i="5"/>
  <c r="U95" i="5"/>
  <c r="BV96" i="3"/>
  <c r="BR96" i="3"/>
  <c r="U96" i="5"/>
  <c r="V96" i="5"/>
  <c r="T96" i="5"/>
  <c r="V97" i="5"/>
  <c r="T97" i="5"/>
  <c r="U97" i="5"/>
  <c r="I98" i="5"/>
  <c r="J98" i="5"/>
  <c r="H98" i="5"/>
  <c r="I99" i="5"/>
  <c r="H99" i="5"/>
  <c r="J99" i="5"/>
  <c r="V99" i="5"/>
  <c r="U99" i="5"/>
  <c r="T99" i="5"/>
  <c r="V100" i="5"/>
  <c r="U100" i="5"/>
  <c r="T100" i="5"/>
  <c r="J102" i="5"/>
  <c r="I102" i="5"/>
  <c r="H102" i="5"/>
  <c r="J103" i="5"/>
  <c r="H103" i="5"/>
  <c r="I103" i="5"/>
  <c r="J104" i="5"/>
  <c r="I104" i="5"/>
  <c r="H104" i="5"/>
  <c r="BR108" i="3"/>
  <c r="BV108" i="3" s="1"/>
  <c r="BN108" i="3"/>
  <c r="U108" i="5"/>
  <c r="T108" i="5"/>
  <c r="V108" i="5"/>
  <c r="H108" i="5"/>
  <c r="J108" i="5"/>
  <c r="I108" i="5"/>
  <c r="I109" i="5"/>
  <c r="H109" i="5"/>
  <c r="J109" i="5"/>
  <c r="T111" i="5"/>
  <c r="U111" i="5"/>
  <c r="V111" i="5"/>
  <c r="BO112" i="3"/>
  <c r="BL112" i="3"/>
  <c r="BR113" i="3"/>
  <c r="BV113" i="3" s="1"/>
  <c r="H113" i="5"/>
  <c r="J113" i="5"/>
  <c r="I113" i="5"/>
  <c r="BR118" i="3"/>
  <c r="BV118" i="3" s="1"/>
  <c r="BN118" i="3"/>
  <c r="V118" i="5"/>
  <c r="T118" i="5"/>
  <c r="U118" i="5"/>
  <c r="V119" i="5"/>
  <c r="U119" i="5"/>
  <c r="T119" i="5"/>
  <c r="J120" i="5"/>
  <c r="I120" i="5"/>
  <c r="H120" i="5"/>
  <c r="I122" i="5"/>
  <c r="H122" i="5"/>
  <c r="J122" i="5"/>
  <c r="BR125" i="3"/>
  <c r="BV125" i="3" s="1"/>
  <c r="BN125" i="3"/>
  <c r="J128" i="5"/>
  <c r="H128" i="5"/>
  <c r="I128" i="5"/>
  <c r="BN130" i="3"/>
  <c r="BR130" i="3"/>
  <c r="BV130" i="3" s="1"/>
  <c r="T130" i="5"/>
  <c r="V130" i="5"/>
  <c r="U130" i="5"/>
  <c r="J132" i="5"/>
  <c r="H132" i="5"/>
  <c r="I132" i="5"/>
  <c r="BR133" i="3"/>
  <c r="BV133" i="3" s="1"/>
  <c r="I134" i="5"/>
  <c r="H134" i="5"/>
  <c r="J134" i="5"/>
  <c r="U135" i="5"/>
  <c r="V135" i="5"/>
  <c r="T135" i="5"/>
  <c r="J136" i="5"/>
  <c r="I136" i="5"/>
  <c r="H136" i="5"/>
  <c r="U136" i="5"/>
  <c r="V136" i="5"/>
  <c r="T136" i="5"/>
  <c r="U137" i="5"/>
  <c r="V137" i="5"/>
  <c r="T137" i="5"/>
  <c r="J138" i="5"/>
  <c r="I138" i="5"/>
  <c r="H138" i="5"/>
  <c r="J160" i="5"/>
  <c r="H160" i="5"/>
  <c r="I160" i="5"/>
  <c r="I161" i="5"/>
  <c r="H161" i="5"/>
  <c r="J161" i="5"/>
  <c r="V162" i="5"/>
  <c r="T162" i="5"/>
  <c r="U162" i="5"/>
  <c r="J163" i="5"/>
  <c r="I163" i="5"/>
  <c r="H163" i="5"/>
  <c r="BN164" i="3"/>
  <c r="BR164" i="3"/>
  <c r="BV164" i="3" s="1"/>
  <c r="U164" i="5"/>
  <c r="T164" i="5"/>
  <c r="V164" i="5"/>
  <c r="J165" i="5"/>
  <c r="I165" i="5"/>
  <c r="H165" i="5"/>
  <c r="V166" i="5"/>
  <c r="T166" i="5"/>
  <c r="U166" i="5"/>
  <c r="BR167" i="3"/>
  <c r="BV167" i="3" s="1"/>
  <c r="BN167" i="3"/>
  <c r="H170" i="5"/>
  <c r="J170" i="5"/>
  <c r="I170" i="5"/>
  <c r="J173" i="5"/>
  <c r="I173" i="5"/>
  <c r="H173" i="5"/>
  <c r="I174" i="5"/>
  <c r="J174" i="5"/>
  <c r="H174" i="5"/>
  <c r="I175" i="5"/>
  <c r="H175" i="5"/>
  <c r="J175" i="5"/>
  <c r="U176" i="5"/>
  <c r="T176" i="5"/>
  <c r="V176" i="5"/>
  <c r="U177" i="5"/>
  <c r="T177" i="5"/>
  <c r="V177" i="5"/>
  <c r="BR178" i="3"/>
  <c r="BV178" i="3" s="1"/>
  <c r="BN178" i="3"/>
  <c r="J178" i="5"/>
  <c r="H178" i="5"/>
  <c r="I178" i="5"/>
  <c r="V178" i="5"/>
  <c r="T178" i="5"/>
  <c r="U178" i="5"/>
  <c r="V180" i="5"/>
  <c r="U180" i="5"/>
  <c r="T180" i="5"/>
  <c r="H181" i="5"/>
  <c r="J181" i="5"/>
  <c r="I181" i="5"/>
  <c r="T181" i="5"/>
  <c r="V181" i="5"/>
  <c r="U181" i="5"/>
  <c r="T182" i="5"/>
  <c r="V182" i="5"/>
  <c r="U182" i="5"/>
  <c r="J182" i="5"/>
  <c r="I182" i="5"/>
  <c r="H182" i="5"/>
  <c r="I200" i="5"/>
  <c r="J200" i="5"/>
  <c r="H200" i="5"/>
  <c r="I202" i="5"/>
  <c r="J202" i="5"/>
  <c r="H202" i="5"/>
  <c r="V202" i="5"/>
  <c r="T202" i="5"/>
  <c r="U202" i="5"/>
  <c r="I205" i="5"/>
  <c r="H205" i="5"/>
  <c r="J205" i="5"/>
  <c r="BO190" i="3"/>
  <c r="BL190" i="3"/>
  <c r="I206" i="5"/>
  <c r="H206" i="5"/>
  <c r="J206" i="5"/>
  <c r="T207" i="5"/>
  <c r="V207" i="5"/>
  <c r="U207" i="5"/>
  <c r="H207" i="5"/>
  <c r="J207" i="5"/>
  <c r="I207" i="5"/>
  <c r="BV192" i="3"/>
  <c r="BR192" i="3"/>
  <c r="V208" i="5"/>
  <c r="U208" i="5"/>
  <c r="T208" i="5"/>
  <c r="T209" i="5"/>
  <c r="U209" i="5"/>
  <c r="V209" i="5"/>
  <c r="H201" i="5"/>
  <c r="J201" i="5"/>
  <c r="I201" i="5"/>
  <c r="V201" i="5"/>
  <c r="T201" i="5"/>
  <c r="U201" i="5"/>
  <c r="I107" i="5"/>
  <c r="H107" i="5"/>
  <c r="J107" i="5"/>
  <c r="U107" i="5"/>
  <c r="V107" i="5"/>
  <c r="T107" i="5"/>
  <c r="U106" i="5"/>
  <c r="T106" i="5"/>
  <c r="V106" i="5"/>
  <c r="U259" i="5"/>
  <c r="AH238" i="1"/>
  <c r="AF238" i="1"/>
  <c r="Q238" i="5"/>
  <c r="P238" i="5"/>
  <c r="AE238" i="1"/>
  <c r="AG238" i="1"/>
  <c r="AX193" i="3"/>
  <c r="BN193" i="3"/>
  <c r="AX205" i="3"/>
  <c r="BN205" i="3"/>
  <c r="AX256" i="3"/>
  <c r="BN256" i="3"/>
  <c r="BN192" i="3"/>
  <c r="AX192" i="3"/>
  <c r="BN196" i="3"/>
  <c r="AX196" i="3"/>
  <c r="BN195" i="3"/>
  <c r="AX195" i="3"/>
  <c r="AX194" i="3"/>
  <c r="BN194" i="3"/>
  <c r="V229" i="5"/>
  <c r="V259" i="5"/>
  <c r="T229" i="5"/>
  <c r="U214" i="5"/>
  <c r="T214" i="5"/>
  <c r="T223" i="5"/>
  <c r="H177" i="5"/>
  <c r="I177" i="5"/>
  <c r="T175" i="5"/>
  <c r="U175" i="5"/>
  <c r="I209" i="5"/>
  <c r="H209" i="5"/>
  <c r="H169" i="5"/>
  <c r="I169" i="5"/>
  <c r="U213" i="5"/>
  <c r="T213" i="5"/>
  <c r="H253" i="5"/>
  <c r="I253" i="5"/>
  <c r="S204" i="5"/>
  <c r="G176" i="5"/>
  <c r="V252" i="5"/>
  <c r="T252" i="5"/>
  <c r="U252" i="5"/>
  <c r="S203" i="5"/>
  <c r="S205" i="5"/>
  <c r="S206" i="5"/>
  <c r="S227" i="5"/>
  <c r="S173" i="5"/>
  <c r="S216" i="5"/>
  <c r="T216" i="5" s="1"/>
  <c r="S170" i="5"/>
  <c r="S179" i="5"/>
  <c r="I295" i="5"/>
  <c r="H295" i="5"/>
  <c r="S324" i="5"/>
  <c r="S217" i="5"/>
  <c r="V217" i="5" s="1"/>
  <c r="S224" i="5"/>
  <c r="T238" i="5"/>
  <c r="U238" i="5"/>
  <c r="V238" i="5"/>
  <c r="H273" i="5"/>
  <c r="I273" i="5"/>
  <c r="Y212" i="1"/>
  <c r="AB212" i="1"/>
  <c r="Z309" i="1"/>
  <c r="Y222" i="1"/>
  <c r="AB222" i="1"/>
  <c r="AA212" i="1"/>
  <c r="L169" i="5"/>
  <c r="AA220" i="1"/>
  <c r="Q88" i="5"/>
  <c r="P88" i="5"/>
  <c r="R88" i="5"/>
  <c r="Z220" i="1"/>
  <c r="Z212" i="1"/>
  <c r="N226" i="5"/>
  <c r="M226" i="5"/>
  <c r="L226" i="5"/>
  <c r="AA210" i="1"/>
  <c r="K210" i="5"/>
  <c r="M208" i="5"/>
  <c r="L208" i="5"/>
  <c r="N220" i="5"/>
  <c r="L220" i="5"/>
  <c r="M220" i="5"/>
  <c r="M209" i="5"/>
  <c r="L209" i="5"/>
  <c r="AA213" i="1"/>
  <c r="K213" i="5"/>
  <c r="R189" i="5"/>
  <c r="P189" i="5"/>
  <c r="Q189" i="5"/>
  <c r="R197" i="5"/>
  <c r="Q197" i="5"/>
  <c r="P197" i="5"/>
  <c r="L253" i="5"/>
  <c r="N253" i="5"/>
  <c r="M253" i="5"/>
  <c r="AB214" i="1"/>
  <c r="K214" i="5"/>
  <c r="R96" i="5"/>
  <c r="P96" i="5"/>
  <c r="Q96" i="5"/>
  <c r="AB215" i="1"/>
  <c r="K215" i="5"/>
  <c r="AA221" i="1"/>
  <c r="K221" i="5"/>
  <c r="Q212" i="5"/>
  <c r="P212" i="5"/>
  <c r="R212" i="5"/>
  <c r="AA225" i="1"/>
  <c r="K225" i="5"/>
  <c r="Y219" i="1"/>
  <c r="K219" i="5"/>
  <c r="Q190" i="5"/>
  <c r="P190" i="5"/>
  <c r="R190" i="5"/>
  <c r="Q97" i="5"/>
  <c r="R97" i="5"/>
  <c r="P97" i="5"/>
  <c r="Z219" i="1"/>
  <c r="Z222" i="1"/>
  <c r="K222" i="5"/>
  <c r="R218" i="5"/>
  <c r="P218" i="5"/>
  <c r="Q218" i="5"/>
  <c r="M206" i="5"/>
  <c r="L206" i="5"/>
  <c r="AB216" i="1"/>
  <c r="K216" i="5"/>
  <c r="AA309" i="1"/>
  <c r="K309" i="5"/>
  <c r="AA218" i="1"/>
  <c r="K218" i="5"/>
  <c r="K259" i="5"/>
  <c r="Y217" i="1"/>
  <c r="K217" i="5"/>
  <c r="AA300" i="1"/>
  <c r="K300" i="5"/>
  <c r="Q208" i="5"/>
  <c r="R208" i="5"/>
  <c r="P208" i="5"/>
  <c r="Q43" i="5"/>
  <c r="R43" i="5"/>
  <c r="P43" i="5"/>
  <c r="AB224" i="1"/>
  <c r="AB218" i="1"/>
  <c r="M238" i="5"/>
  <c r="N238" i="5"/>
  <c r="L238" i="5"/>
  <c r="N252" i="5"/>
  <c r="L252" i="5"/>
  <c r="M252" i="5"/>
  <c r="M227" i="5"/>
  <c r="L227" i="5"/>
  <c r="AB211" i="1"/>
  <c r="K211" i="5"/>
  <c r="AA229" i="1"/>
  <c r="K229" i="5"/>
  <c r="P45" i="5"/>
  <c r="Q45" i="5"/>
  <c r="R45" i="5"/>
  <c r="K174" i="5"/>
  <c r="AB220" i="1"/>
  <c r="L212" i="5"/>
  <c r="N212" i="5"/>
  <c r="M212" i="5"/>
  <c r="R226" i="5"/>
  <c r="Q226" i="5"/>
  <c r="P226" i="5"/>
  <c r="Z210" i="1"/>
  <c r="Y300" i="1"/>
  <c r="Y210" i="1"/>
  <c r="Y309" i="1"/>
  <c r="AA211" i="1"/>
  <c r="AB300" i="1"/>
  <c r="AB210" i="1"/>
  <c r="Z211" i="1"/>
  <c r="AA215" i="1"/>
  <c r="Z229" i="1"/>
  <c r="AB229" i="1"/>
  <c r="Y229" i="1"/>
  <c r="Y220" i="1"/>
  <c r="Y215" i="1"/>
  <c r="Z214" i="1"/>
  <c r="Y221" i="1"/>
  <c r="Y218" i="1"/>
  <c r="AA216" i="1"/>
  <c r="Z218" i="1"/>
  <c r="Y216" i="1"/>
  <c r="Z216" i="1"/>
  <c r="Z213" i="1"/>
  <c r="Y214" i="1"/>
  <c r="AA214" i="1"/>
  <c r="Y213" i="1"/>
  <c r="AB225" i="1"/>
  <c r="Z225" i="1"/>
  <c r="Y225" i="1"/>
  <c r="AB213" i="1"/>
  <c r="Z215" i="1"/>
  <c r="Z221" i="1"/>
  <c r="AB221" i="1"/>
  <c r="AA206" i="1"/>
  <c r="AB206" i="1"/>
  <c r="Y206" i="1"/>
  <c r="Z206" i="1"/>
  <c r="AB227" i="1"/>
  <c r="AA227" i="1"/>
  <c r="Y227" i="1"/>
  <c r="Z227" i="1"/>
  <c r="AB219" i="1"/>
  <c r="AA208" i="1"/>
  <c r="Y208" i="1"/>
  <c r="Z208" i="1"/>
  <c r="AB208" i="1"/>
  <c r="AA219" i="1"/>
  <c r="Z209" i="1"/>
  <c r="Y209" i="1"/>
  <c r="AB209" i="1"/>
  <c r="AA209" i="1"/>
  <c r="AF190" i="1"/>
  <c r="AH190" i="1"/>
  <c r="AF97" i="1"/>
  <c r="AH97" i="1"/>
  <c r="Z224" i="1"/>
  <c r="AA224" i="1"/>
  <c r="Y226" i="1"/>
  <c r="Z226" i="1"/>
  <c r="AA226" i="1"/>
  <c r="AB226" i="1"/>
  <c r="Z217" i="1"/>
  <c r="AB217" i="1"/>
  <c r="AA217" i="1"/>
  <c r="Y224" i="1"/>
  <c r="AG197" i="1"/>
  <c r="AE197" i="1"/>
  <c r="AF197" i="1"/>
  <c r="AE88" i="1"/>
  <c r="AH88" i="1"/>
  <c r="AF88" i="1"/>
  <c r="AH189" i="1"/>
  <c r="AE189" i="1"/>
  <c r="AG189" i="1"/>
  <c r="AG96" i="1"/>
  <c r="AF96" i="1"/>
  <c r="AE96" i="1"/>
  <c r="AG190" i="1"/>
  <c r="AE190" i="1"/>
  <c r="AG97" i="1"/>
  <c r="AE97" i="1"/>
  <c r="AH197" i="1"/>
  <c r="AG88" i="1"/>
  <c r="AF189" i="1"/>
  <c r="AH96" i="1"/>
  <c r="BW302" i="1"/>
  <c r="BW301" i="1"/>
  <c r="S215" i="5"/>
  <c r="V213" i="5"/>
  <c r="V214" i="5"/>
  <c r="V175" i="5"/>
  <c r="G208" i="5"/>
  <c r="S211" i="5"/>
  <c r="S210" i="5"/>
  <c r="S212" i="5"/>
  <c r="V212" i="5" s="1"/>
  <c r="K224" i="5"/>
  <c r="V223" i="5"/>
  <c r="U223" i="5"/>
  <c r="N169" i="5"/>
  <c r="M169" i="5"/>
  <c r="E167" i="5"/>
  <c r="AI167" i="1"/>
  <c r="C123" i="3"/>
  <c r="C132" i="3"/>
  <c r="V164" i="3"/>
  <c r="U164" i="3"/>
  <c r="BU43" i="3" l="1"/>
  <c r="BM43" i="3"/>
  <c r="BU79" i="3"/>
  <c r="BM79" i="3"/>
  <c r="BU96" i="3"/>
  <c r="BM96" i="3"/>
  <c r="BM191" i="3"/>
  <c r="BU191" i="3"/>
  <c r="V216" i="5"/>
  <c r="U217" i="5"/>
  <c r="U216" i="5"/>
  <c r="T217" i="5"/>
  <c r="U324" i="5"/>
  <c r="T324" i="5"/>
  <c r="V324" i="5"/>
  <c r="I208" i="5"/>
  <c r="H208" i="5"/>
  <c r="I176" i="5"/>
  <c r="H176" i="5"/>
  <c r="V179" i="5"/>
  <c r="U179" i="5"/>
  <c r="T179" i="5"/>
  <c r="V204" i="5"/>
  <c r="U204" i="5"/>
  <c r="T204" i="5"/>
  <c r="V170" i="5"/>
  <c r="U170" i="5"/>
  <c r="T170" i="5"/>
  <c r="U210" i="5"/>
  <c r="V210" i="5"/>
  <c r="T210" i="5"/>
  <c r="U212" i="5"/>
  <c r="V173" i="5"/>
  <c r="U173" i="5"/>
  <c r="T173" i="5"/>
  <c r="V211" i="5"/>
  <c r="U211" i="5"/>
  <c r="T211" i="5"/>
  <c r="T212" i="5"/>
  <c r="T227" i="5"/>
  <c r="V227" i="5"/>
  <c r="U227" i="5"/>
  <c r="T215" i="5"/>
  <c r="V215" i="5"/>
  <c r="U215" i="5"/>
  <c r="U206" i="5"/>
  <c r="V206" i="5"/>
  <c r="T206" i="5"/>
  <c r="V205" i="5"/>
  <c r="U205" i="5"/>
  <c r="T205" i="5"/>
  <c r="V224" i="5"/>
  <c r="U224" i="5"/>
  <c r="T224" i="5"/>
  <c r="U203" i="5"/>
  <c r="T203" i="5"/>
  <c r="V203" i="5"/>
  <c r="S167" i="5"/>
  <c r="AA167" i="5"/>
  <c r="Z167" i="5"/>
  <c r="L259" i="5"/>
  <c r="M259" i="5"/>
  <c r="N225" i="5"/>
  <c r="L225" i="5"/>
  <c r="M225" i="5"/>
  <c r="N214" i="5"/>
  <c r="M214" i="5"/>
  <c r="L214" i="5"/>
  <c r="N218" i="5"/>
  <c r="M218" i="5"/>
  <c r="L218" i="5"/>
  <c r="N222" i="5"/>
  <c r="M222" i="5"/>
  <c r="L222" i="5"/>
  <c r="N309" i="5"/>
  <c r="M309" i="5"/>
  <c r="L309" i="5"/>
  <c r="M211" i="5"/>
  <c r="N211" i="5"/>
  <c r="L211" i="5"/>
  <c r="N216" i="5"/>
  <c r="L216" i="5"/>
  <c r="M216" i="5"/>
  <c r="N221" i="5"/>
  <c r="M221" i="5"/>
  <c r="L221" i="5"/>
  <c r="M174" i="5"/>
  <c r="N174" i="5"/>
  <c r="L174" i="5"/>
  <c r="L224" i="5"/>
  <c r="M224" i="5"/>
  <c r="M215" i="5"/>
  <c r="N215" i="5"/>
  <c r="L215" i="5"/>
  <c r="M300" i="5"/>
  <c r="N300" i="5"/>
  <c r="L300" i="5"/>
  <c r="N229" i="5"/>
  <c r="L229" i="5"/>
  <c r="M229" i="5"/>
  <c r="N217" i="5"/>
  <c r="L217" i="5"/>
  <c r="M217" i="5"/>
  <c r="M219" i="5"/>
  <c r="N219" i="5"/>
  <c r="L219" i="5"/>
  <c r="L210" i="5"/>
  <c r="N210" i="5"/>
  <c r="M210" i="5"/>
  <c r="N213" i="5"/>
  <c r="M213" i="5"/>
  <c r="L213" i="5"/>
  <c r="AM167" i="1"/>
  <c r="AL167" i="1"/>
  <c r="AK167" i="1"/>
  <c r="AJ167" i="1"/>
  <c r="F167" i="5"/>
  <c r="V165" i="3"/>
  <c r="G166" i="3"/>
  <c r="C166" i="3"/>
  <c r="C36" i="9"/>
  <c r="D36" i="9"/>
  <c r="E36" i="9"/>
  <c r="G165" i="3"/>
  <c r="L165" i="3"/>
  <c r="J165" i="3"/>
  <c r="F165" i="3"/>
  <c r="E35" i="9"/>
  <c r="D35" i="9"/>
  <c r="C35" i="9"/>
  <c r="F164" i="3"/>
  <c r="J164" i="3"/>
  <c r="L25" i="3"/>
  <c r="G25" i="3"/>
  <c r="G163" i="3"/>
  <c r="AI163" i="1"/>
  <c r="C34" i="9"/>
  <c r="D34" i="9"/>
  <c r="E34" i="9"/>
  <c r="G162" i="3"/>
  <c r="L162" i="3"/>
  <c r="J162" i="3"/>
  <c r="F162" i="3"/>
  <c r="T167" i="5" l="1"/>
  <c r="U167" i="5"/>
  <c r="AM163" i="1"/>
  <c r="AL163" i="1"/>
  <c r="AJ163" i="1"/>
  <c r="AK163" i="1"/>
  <c r="V167" i="5"/>
  <c r="E163" i="5"/>
  <c r="E164" i="5"/>
  <c r="S163" i="5"/>
  <c r="E166" i="5"/>
  <c r="E165" i="5"/>
  <c r="E162" i="5"/>
  <c r="S164" i="1"/>
  <c r="S162" i="1"/>
  <c r="V37" i="3"/>
  <c r="T163" i="5" l="1"/>
  <c r="U163" i="5"/>
  <c r="AA162" i="5"/>
  <c r="Z162" i="5"/>
  <c r="AA165" i="5"/>
  <c r="Z165" i="5"/>
  <c r="AA163" i="5"/>
  <c r="Z163" i="5"/>
  <c r="U162" i="1"/>
  <c r="W162" i="1"/>
  <c r="V162" i="1"/>
  <c r="T162" i="1"/>
  <c r="T164" i="1"/>
  <c r="V164" i="1"/>
  <c r="W164" i="1"/>
  <c r="U164" i="1"/>
  <c r="F163" i="5"/>
  <c r="V163" i="5"/>
  <c r="F164" i="5"/>
  <c r="E161" i="5"/>
  <c r="F166" i="5"/>
  <c r="F165" i="5"/>
  <c r="F162" i="5"/>
  <c r="AI161" i="1"/>
  <c r="L161" i="3"/>
  <c r="I161" i="1" s="1"/>
  <c r="BC2" i="3"/>
  <c r="G162" i="5" l="1"/>
  <c r="G164" i="5"/>
  <c r="AA164" i="5"/>
  <c r="Z164" i="5"/>
  <c r="AA166" i="5"/>
  <c r="Z166" i="5"/>
  <c r="AJ161" i="1"/>
  <c r="AM161" i="1"/>
  <c r="AL161" i="1"/>
  <c r="AK161" i="1"/>
  <c r="F161" i="5"/>
  <c r="AI101" i="1"/>
  <c r="AI102" i="1"/>
  <c r="AI114" i="1"/>
  <c r="S116" i="1"/>
  <c r="AI117" i="1"/>
  <c r="S118" i="1"/>
  <c r="AI123" i="1"/>
  <c r="AI128" i="1"/>
  <c r="AI133" i="1"/>
  <c r="AI134" i="1"/>
  <c r="AI138" i="1"/>
  <c r="AI150" i="1"/>
  <c r="AI158" i="1"/>
  <c r="BI2" i="3"/>
  <c r="S161" i="5" l="1"/>
  <c r="T161" i="5" s="1"/>
  <c r="H164" i="5"/>
  <c r="I164" i="5"/>
  <c r="H162" i="5"/>
  <c r="I162" i="5"/>
  <c r="AJ158" i="1"/>
  <c r="AL133" i="1"/>
  <c r="AK133" i="1"/>
  <c r="AM133" i="1"/>
  <c r="AJ133" i="1"/>
  <c r="T118" i="1"/>
  <c r="U118" i="1"/>
  <c r="V118" i="1"/>
  <c r="W118" i="1"/>
  <c r="AM138" i="1"/>
  <c r="AJ138" i="1"/>
  <c r="AK138" i="1"/>
  <c r="AL138" i="1"/>
  <c r="AL117" i="1"/>
  <c r="AJ117" i="1"/>
  <c r="AK117" i="1"/>
  <c r="AM117" i="1"/>
  <c r="AJ128" i="1"/>
  <c r="AL128" i="1"/>
  <c r="AM128" i="1"/>
  <c r="AK128" i="1"/>
  <c r="AK134" i="1"/>
  <c r="AJ134" i="1"/>
  <c r="AL134" i="1"/>
  <c r="AM134" i="1"/>
  <c r="AL123" i="1"/>
  <c r="AM123" i="1"/>
  <c r="AJ123" i="1"/>
  <c r="AK123" i="1"/>
  <c r="T116" i="1"/>
  <c r="U116" i="1"/>
  <c r="V116" i="1"/>
  <c r="W116" i="1"/>
  <c r="AJ114" i="1"/>
  <c r="AL114" i="1"/>
  <c r="AM114" i="1"/>
  <c r="AK114" i="1"/>
  <c r="AL101" i="1"/>
  <c r="AM101" i="1"/>
  <c r="AJ101" i="1"/>
  <c r="AK101" i="1"/>
  <c r="AI183" i="1"/>
  <c r="AI62" i="1"/>
  <c r="AL150" i="1"/>
  <c r="AL158" i="1"/>
  <c r="AM158" i="1"/>
  <c r="AI192" i="1"/>
  <c r="AI89" i="1"/>
  <c r="AK158" i="1"/>
  <c r="AJ150" i="1"/>
  <c r="AK150" i="1"/>
  <c r="AM150" i="1"/>
  <c r="AK102" i="1"/>
  <c r="AJ102" i="1"/>
  <c r="AL102" i="1"/>
  <c r="AM102" i="1"/>
  <c r="E123" i="5"/>
  <c r="E158" i="5"/>
  <c r="E150" i="5"/>
  <c r="E140" i="5"/>
  <c r="E138" i="5"/>
  <c r="E134" i="5"/>
  <c r="E133" i="5"/>
  <c r="E131" i="5"/>
  <c r="E130" i="5"/>
  <c r="E128" i="5"/>
  <c r="E122" i="5"/>
  <c r="E119" i="5"/>
  <c r="E118" i="5"/>
  <c r="E117" i="5"/>
  <c r="E116" i="5"/>
  <c r="E114" i="5"/>
  <c r="E109" i="5"/>
  <c r="E102" i="5"/>
  <c r="E101" i="5"/>
  <c r="E100" i="5"/>
  <c r="E99" i="5"/>
  <c r="E98" i="5"/>
  <c r="E93" i="5"/>
  <c r="E81" i="5"/>
  <c r="E77" i="5"/>
  <c r="E76" i="5"/>
  <c r="E60" i="5"/>
  <c r="E57" i="5"/>
  <c r="E56" i="5"/>
  <c r="E55" i="5"/>
  <c r="E59" i="5"/>
  <c r="E58" i="5"/>
  <c r="S65" i="1"/>
  <c r="S73" i="1"/>
  <c r="E65" i="5"/>
  <c r="E73" i="5"/>
  <c r="U161" i="5" l="1"/>
  <c r="V161" i="5"/>
  <c r="S89" i="5"/>
  <c r="V89" i="5" s="1"/>
  <c r="S150" i="5"/>
  <c r="S123" i="5"/>
  <c r="S101" i="5"/>
  <c r="S158" i="5"/>
  <c r="V158" i="5" s="1"/>
  <c r="G116" i="5"/>
  <c r="S183" i="5"/>
  <c r="V183" i="5" s="1"/>
  <c r="S62" i="5"/>
  <c r="V62" i="5" s="1"/>
  <c r="S102" i="5"/>
  <c r="S117" i="5"/>
  <c r="G118" i="5"/>
  <c r="S114" i="5"/>
  <c r="S138" i="5"/>
  <c r="S128" i="5"/>
  <c r="E183" i="5"/>
  <c r="E62" i="5"/>
  <c r="E192" i="5"/>
  <c r="E89" i="5"/>
  <c r="E198" i="5"/>
  <c r="E94" i="5"/>
  <c r="T65" i="1"/>
  <c r="AK192" i="1"/>
  <c r="S192" i="5"/>
  <c r="AM192" i="1"/>
  <c r="T73" i="1"/>
  <c r="U73" i="1"/>
  <c r="V73" i="1"/>
  <c r="W73" i="1"/>
  <c r="AM183" i="1"/>
  <c r="AL183" i="1"/>
  <c r="AL62" i="1"/>
  <c r="AK62" i="1"/>
  <c r="AM62" i="1"/>
  <c r="AJ62" i="1"/>
  <c r="AJ183" i="1"/>
  <c r="AK183" i="1"/>
  <c r="AJ89" i="1"/>
  <c r="AK89" i="1"/>
  <c r="AL89" i="1"/>
  <c r="AM89" i="1"/>
  <c r="V65" i="1"/>
  <c r="AJ192" i="1"/>
  <c r="AL192" i="1"/>
  <c r="U65" i="1"/>
  <c r="W65" i="1"/>
  <c r="F102" i="5"/>
  <c r="F118" i="5"/>
  <c r="F123" i="5"/>
  <c r="F114" i="5"/>
  <c r="F140" i="5"/>
  <c r="F93" i="5"/>
  <c r="F58" i="5"/>
  <c r="F117" i="5"/>
  <c r="F100" i="5"/>
  <c r="F158" i="5"/>
  <c r="F98" i="5"/>
  <c r="F128" i="5"/>
  <c r="F56" i="5"/>
  <c r="F109" i="5"/>
  <c r="F122" i="5"/>
  <c r="F76" i="5"/>
  <c r="F81" i="5"/>
  <c r="F138" i="5"/>
  <c r="F131" i="5"/>
  <c r="F57" i="5"/>
  <c r="F55" i="5"/>
  <c r="F101" i="5"/>
  <c r="F133" i="5"/>
  <c r="F59" i="5"/>
  <c r="S134" i="5"/>
  <c r="F134" i="5"/>
  <c r="S133" i="5"/>
  <c r="F116" i="5"/>
  <c r="F60" i="5"/>
  <c r="F77" i="5"/>
  <c r="F150" i="5"/>
  <c r="F130" i="5"/>
  <c r="F119" i="5"/>
  <c r="F99" i="5"/>
  <c r="F73" i="5"/>
  <c r="F65" i="5"/>
  <c r="U62" i="5" l="1"/>
  <c r="T62" i="5"/>
  <c r="U89" i="5"/>
  <c r="T89" i="5"/>
  <c r="T183" i="5"/>
  <c r="T158" i="5"/>
  <c r="V114" i="5"/>
  <c r="T114" i="5"/>
  <c r="H118" i="5"/>
  <c r="T133" i="5"/>
  <c r="V133" i="5"/>
  <c r="U133" i="5"/>
  <c r="U183" i="5"/>
  <c r="T117" i="5"/>
  <c r="V117" i="5"/>
  <c r="U117" i="5"/>
  <c r="G73" i="5"/>
  <c r="V134" i="5"/>
  <c r="U134" i="5"/>
  <c r="T134" i="5"/>
  <c r="V102" i="5"/>
  <c r="U102" i="5"/>
  <c r="T102" i="5"/>
  <c r="G65" i="5"/>
  <c r="I65" i="5" s="1"/>
  <c r="I116" i="5"/>
  <c r="H116" i="5"/>
  <c r="U101" i="5"/>
  <c r="V101" i="5"/>
  <c r="T101" i="5"/>
  <c r="T128" i="5"/>
  <c r="V128" i="5"/>
  <c r="U128" i="5"/>
  <c r="V123" i="5"/>
  <c r="T123" i="5"/>
  <c r="U138" i="5"/>
  <c r="T138" i="5"/>
  <c r="V138" i="5"/>
  <c r="V150" i="5"/>
  <c r="T150" i="5"/>
  <c r="F183" i="5"/>
  <c r="F62" i="5"/>
  <c r="F198" i="5"/>
  <c r="F94" i="5"/>
  <c r="F192" i="5"/>
  <c r="F89" i="5"/>
  <c r="T192" i="5"/>
  <c r="V192" i="5"/>
  <c r="U192" i="5"/>
  <c r="W29" i="3"/>
  <c r="V29" i="3"/>
  <c r="BM2" i="3"/>
  <c r="H65" i="5" l="1"/>
  <c r="I73" i="5"/>
  <c r="H73" i="5"/>
  <c r="V137" i="3"/>
  <c r="V79" i="3"/>
  <c r="V116" i="3"/>
  <c r="V110" i="3"/>
  <c r="V102" i="3"/>
  <c r="V101" i="3"/>
  <c r="V40" i="3"/>
  <c r="V130" i="3"/>
  <c r="F80" i="3"/>
  <c r="K43" i="17"/>
  <c r="K42" i="17"/>
  <c r="AZ2" i="3"/>
  <c r="AP376" i="3" l="1"/>
  <c r="AQ376" i="3" s="1"/>
  <c r="AP88" i="3"/>
  <c r="AQ88" i="3" s="1"/>
  <c r="AP86" i="3"/>
  <c r="AQ86" i="3" s="1"/>
  <c r="AP87" i="3"/>
  <c r="AQ87" i="3" s="1"/>
  <c r="AX102" i="3"/>
  <c r="BN102" i="3"/>
  <c r="AX101" i="3"/>
  <c r="BN101" i="3"/>
  <c r="AX79" i="3"/>
  <c r="BN79" i="3"/>
  <c r="BN110" i="3"/>
  <c r="AX110" i="3"/>
  <c r="AX116" i="3"/>
  <c r="BN116" i="3"/>
  <c r="BN137" i="3"/>
  <c r="AX137" i="3"/>
  <c r="E106" i="5"/>
  <c r="E103" i="5"/>
  <c r="E107" i="5"/>
  <c r="E108" i="5"/>
  <c r="AI105" i="1"/>
  <c r="E105" i="5"/>
  <c r="AI104" i="1"/>
  <c r="E104" i="5"/>
  <c r="AI127" i="1"/>
  <c r="E127" i="5"/>
  <c r="S80" i="1"/>
  <c r="E80" i="5"/>
  <c r="X80" i="1"/>
  <c r="I9" i="12"/>
  <c r="AA80" i="5" l="1"/>
  <c r="Z80" i="5"/>
  <c r="AL127" i="1"/>
  <c r="AK127" i="1"/>
  <c r="AM127" i="1"/>
  <c r="AJ127" i="1"/>
  <c r="AM104" i="1"/>
  <c r="AJ104" i="1"/>
  <c r="AL104" i="1"/>
  <c r="AK104" i="1"/>
  <c r="AK105" i="1"/>
  <c r="AL105" i="1"/>
  <c r="AJ105" i="1"/>
  <c r="AM105" i="1"/>
  <c r="AA80" i="1"/>
  <c r="AB80" i="1"/>
  <c r="Y80" i="1"/>
  <c r="Z80" i="1"/>
  <c r="V80" i="1"/>
  <c r="U80" i="1"/>
  <c r="W80" i="1"/>
  <c r="T80" i="1"/>
  <c r="X127" i="1"/>
  <c r="K127" i="5" s="1"/>
  <c r="F80" i="5"/>
  <c r="F106" i="5"/>
  <c r="F108" i="5"/>
  <c r="K80" i="5"/>
  <c r="F127" i="5"/>
  <c r="F105" i="5"/>
  <c r="F103" i="5"/>
  <c r="F104" i="5"/>
  <c r="F107" i="5"/>
  <c r="V51" i="3"/>
  <c r="V80" i="3"/>
  <c r="U2" i="3"/>
  <c r="AY2" i="3" s="1"/>
  <c r="AX80" i="3" l="1"/>
  <c r="BN80" i="3"/>
  <c r="BN51" i="3"/>
  <c r="AX51" i="3"/>
  <c r="S105" i="5"/>
  <c r="S127" i="5"/>
  <c r="S104" i="5"/>
  <c r="L80" i="5"/>
  <c r="M127" i="5"/>
  <c r="L127" i="5"/>
  <c r="Z127" i="1"/>
  <c r="AB127" i="1"/>
  <c r="AA127" i="1"/>
  <c r="Y127" i="1"/>
  <c r="G80" i="5"/>
  <c r="M80" i="5"/>
  <c r="N80" i="5"/>
  <c r="G1" i="5"/>
  <c r="BU2" i="3"/>
  <c r="I80" i="5" l="1"/>
  <c r="H80" i="5"/>
  <c r="U104" i="5"/>
  <c r="T104" i="5"/>
  <c r="V104" i="5"/>
  <c r="U127" i="5"/>
  <c r="V127" i="5"/>
  <c r="T127" i="5"/>
  <c r="V105" i="5"/>
  <c r="U105" i="5"/>
  <c r="T105" i="5"/>
  <c r="AI160" i="1"/>
  <c r="E160" i="5"/>
  <c r="S160" i="5" l="1"/>
  <c r="T160" i="5" s="1"/>
  <c r="AM160" i="1"/>
  <c r="AJ160" i="1"/>
  <c r="AL160" i="1"/>
  <c r="AK160" i="1"/>
  <c r="F160" i="5"/>
  <c r="J1" i="5"/>
  <c r="U160" i="5" l="1"/>
  <c r="V160" i="5"/>
  <c r="C2" i="5"/>
  <c r="E126" i="5" l="1"/>
  <c r="E33" i="5"/>
  <c r="V43" i="3"/>
  <c r="K37" i="17"/>
  <c r="K36" i="17"/>
  <c r="AP85" i="3" s="1"/>
  <c r="AQ85" i="3" s="1"/>
  <c r="K14" i="17"/>
  <c r="AN118" i="3"/>
  <c r="K35" i="17"/>
  <c r="AP83" i="3" s="1"/>
  <c r="AQ83" i="3" s="1"/>
  <c r="K20" i="17"/>
  <c r="AP132" i="3" l="1"/>
  <c r="AQ132" i="3" s="1"/>
  <c r="AP74" i="3"/>
  <c r="AQ74" i="3" s="1"/>
  <c r="AP286" i="3"/>
  <c r="AQ286" i="3" s="1"/>
  <c r="AP121" i="3"/>
  <c r="AQ121" i="3" s="1"/>
  <c r="AP138" i="3"/>
  <c r="AQ138" i="3" s="1"/>
  <c r="AP179" i="3"/>
  <c r="AQ179" i="3" s="1"/>
  <c r="Z179" i="5" s="1"/>
  <c r="AP82" i="3"/>
  <c r="AQ82" i="3" s="1"/>
  <c r="AX43" i="3"/>
  <c r="BN43" i="3"/>
  <c r="AA264" i="5"/>
  <c r="Z264" i="5"/>
  <c r="AA179" i="5"/>
  <c r="S45" i="1"/>
  <c r="E45" i="5"/>
  <c r="AI18" i="1"/>
  <c r="E18" i="5"/>
  <c r="E40" i="5"/>
  <c r="S64" i="1"/>
  <c r="E64" i="5"/>
  <c r="S66" i="1"/>
  <c r="E66" i="5"/>
  <c r="AI83" i="1"/>
  <c r="E83" i="5"/>
  <c r="E35" i="5"/>
  <c r="AI17" i="1"/>
  <c r="E17" i="5"/>
  <c r="E38" i="5"/>
  <c r="AI20" i="1"/>
  <c r="E20" i="5"/>
  <c r="S53" i="1"/>
  <c r="E53" i="5"/>
  <c r="S12" i="1"/>
  <c r="E12" i="5"/>
  <c r="S21" i="1"/>
  <c r="E21" i="5"/>
  <c r="E29" i="5"/>
  <c r="E95" i="5"/>
  <c r="E61" i="5"/>
  <c r="E10" i="5"/>
  <c r="S49" i="1"/>
  <c r="E49" i="5"/>
  <c r="E129" i="5"/>
  <c r="S22" i="1"/>
  <c r="E22" i="5"/>
  <c r="S50" i="1"/>
  <c r="E50" i="5"/>
  <c r="E121" i="5"/>
  <c r="E41" i="5"/>
  <c r="S125" i="1"/>
  <c r="E125" i="5"/>
  <c r="E23" i="5"/>
  <c r="E69" i="5"/>
  <c r="AI82" i="1"/>
  <c r="E82" i="5"/>
  <c r="S48" i="1"/>
  <c r="E48" i="5"/>
  <c r="E24" i="5"/>
  <c r="F33" i="5"/>
  <c r="S44" i="1"/>
  <c r="E44" i="5"/>
  <c r="E37" i="5"/>
  <c r="AI32" i="1"/>
  <c r="E32" i="5"/>
  <c r="S47" i="1"/>
  <c r="E47" i="5"/>
  <c r="S54" i="1"/>
  <c r="E54" i="5"/>
  <c r="E34" i="5"/>
  <c r="S27" i="1"/>
  <c r="X27" i="1"/>
  <c r="E27" i="5"/>
  <c r="S42" i="1"/>
  <c r="E42" i="5"/>
  <c r="E36" i="5"/>
  <c r="F126" i="5"/>
  <c r="E191" i="5" l="1"/>
  <c r="E84" i="5"/>
  <c r="E72" i="5"/>
  <c r="E186" i="5"/>
  <c r="E195" i="5"/>
  <c r="E85" i="5"/>
  <c r="E97" i="5"/>
  <c r="E190" i="5"/>
  <c r="E96" i="5"/>
  <c r="E189" i="5"/>
  <c r="E67" i="5"/>
  <c r="E184" i="5"/>
  <c r="E87" i="5"/>
  <c r="E196" i="5"/>
  <c r="E68" i="5"/>
  <c r="E185" i="5"/>
  <c r="E88" i="5"/>
  <c r="E197" i="5"/>
  <c r="T49" i="1"/>
  <c r="AB27" i="1"/>
  <c r="AA27" i="1"/>
  <c r="W48" i="1"/>
  <c r="V48" i="1"/>
  <c r="U48" i="1"/>
  <c r="T48" i="1"/>
  <c r="AK17" i="1"/>
  <c r="AL17" i="1"/>
  <c r="AM17" i="1"/>
  <c r="AJ17" i="1"/>
  <c r="U27" i="1"/>
  <c r="V27" i="1"/>
  <c r="W27" i="1"/>
  <c r="AM32" i="1"/>
  <c r="AK32" i="1"/>
  <c r="AL32" i="1"/>
  <c r="AJ82" i="1"/>
  <c r="AL82" i="1"/>
  <c r="AK82" i="1"/>
  <c r="AM82" i="1"/>
  <c r="W47" i="1"/>
  <c r="U47" i="1"/>
  <c r="T47" i="1"/>
  <c r="S186" i="1"/>
  <c r="V186" i="1" s="1"/>
  <c r="S72" i="1"/>
  <c r="AJ18" i="1"/>
  <c r="AK18" i="1"/>
  <c r="U12" i="1"/>
  <c r="AI85" i="1"/>
  <c r="AI195" i="1"/>
  <c r="U44" i="1"/>
  <c r="V44" i="1"/>
  <c r="T44" i="1"/>
  <c r="W44" i="1"/>
  <c r="AJ83" i="1"/>
  <c r="AL83" i="1"/>
  <c r="AM83" i="1"/>
  <c r="AK83" i="1"/>
  <c r="U45" i="1"/>
  <c r="V45" i="1"/>
  <c r="S189" i="1"/>
  <c r="S96" i="1"/>
  <c r="T50" i="1"/>
  <c r="W50" i="1"/>
  <c r="U50" i="1"/>
  <c r="U53" i="1"/>
  <c r="V53" i="1"/>
  <c r="W53" i="1"/>
  <c r="V66" i="1"/>
  <c r="W66" i="1"/>
  <c r="S190" i="1"/>
  <c r="S97" i="1"/>
  <c r="W22" i="1"/>
  <c r="T22" i="1"/>
  <c r="U22" i="1"/>
  <c r="AJ20" i="1"/>
  <c r="AK20" i="1"/>
  <c r="AL20" i="1"/>
  <c r="V54" i="1"/>
  <c r="W54" i="1"/>
  <c r="U54" i="1"/>
  <c r="T54" i="1"/>
  <c r="U64" i="1"/>
  <c r="T64" i="1"/>
  <c r="W64" i="1"/>
  <c r="V125" i="1"/>
  <c r="AI191" i="1"/>
  <c r="AI84" i="1"/>
  <c r="S67" i="1"/>
  <c r="S184" i="1"/>
  <c r="V50" i="1"/>
  <c r="U49" i="1"/>
  <c r="U21" i="1"/>
  <c r="T21" i="1"/>
  <c r="V64" i="1"/>
  <c r="AJ32" i="1"/>
  <c r="V22" i="1"/>
  <c r="T53" i="1"/>
  <c r="AM20" i="1"/>
  <c r="T42" i="1"/>
  <c r="U42" i="1"/>
  <c r="V42" i="1"/>
  <c r="W42" i="1"/>
  <c r="Y27" i="1"/>
  <c r="Z27" i="1"/>
  <c r="T27" i="1"/>
  <c r="V47" i="1"/>
  <c r="T125" i="1"/>
  <c r="W125" i="1"/>
  <c r="U125" i="1"/>
  <c r="V49" i="1"/>
  <c r="W49" i="1"/>
  <c r="V21" i="1"/>
  <c r="W21" i="1"/>
  <c r="T12" i="1"/>
  <c r="V12" i="1"/>
  <c r="W12" i="1"/>
  <c r="T66" i="1"/>
  <c r="U66" i="1"/>
  <c r="AM18" i="1"/>
  <c r="AL18" i="1"/>
  <c r="T45" i="1"/>
  <c r="W45" i="1"/>
  <c r="G42" i="5"/>
  <c r="S20" i="5"/>
  <c r="G27" i="5"/>
  <c r="G48" i="5"/>
  <c r="G21" i="5"/>
  <c r="G125" i="5"/>
  <c r="G50" i="5"/>
  <c r="G47" i="5"/>
  <c r="G12" i="5"/>
  <c r="K27" i="5"/>
  <c r="X49" i="1"/>
  <c r="X54" i="1"/>
  <c r="X42" i="1"/>
  <c r="F37" i="5"/>
  <c r="F121" i="5"/>
  <c r="F22" i="5"/>
  <c r="F21" i="5"/>
  <c r="F38" i="5"/>
  <c r="F83" i="5"/>
  <c r="F47" i="5"/>
  <c r="F129" i="5"/>
  <c r="F40" i="5"/>
  <c r="F12" i="5"/>
  <c r="F17" i="5"/>
  <c r="F36" i="5"/>
  <c r="F42" i="5"/>
  <c r="F10" i="5"/>
  <c r="F27" i="5"/>
  <c r="F24" i="5"/>
  <c r="F125" i="5"/>
  <c r="F53" i="5"/>
  <c r="F35" i="5"/>
  <c r="F34" i="5"/>
  <c r="F69" i="5"/>
  <c r="X50" i="1"/>
  <c r="F95" i="5"/>
  <c r="X53" i="1"/>
  <c r="K53" i="5" s="1"/>
  <c r="F54" i="5"/>
  <c r="F82" i="5"/>
  <c r="F64" i="5"/>
  <c r="F45" i="5"/>
  <c r="F32" i="5"/>
  <c r="F48" i="5"/>
  <c r="F23" i="5"/>
  <c r="F29" i="5"/>
  <c r="F20" i="5"/>
  <c r="X45" i="1"/>
  <c r="K45" i="5" s="1"/>
  <c r="F49" i="5"/>
  <c r="F66" i="5"/>
  <c r="F44" i="5"/>
  <c r="F41" i="5"/>
  <c r="F61" i="5"/>
  <c r="X44" i="1"/>
  <c r="K44" i="5" s="1"/>
  <c r="F50" i="5"/>
  <c r="F18" i="5"/>
  <c r="V112" i="3"/>
  <c r="V27" i="3"/>
  <c r="V26" i="3"/>
  <c r="V97" i="3"/>
  <c r="V96" i="3"/>
  <c r="V46" i="3"/>
  <c r="V50" i="3"/>
  <c r="V52" i="3"/>
  <c r="V53" i="3"/>
  <c r="V54" i="3"/>
  <c r="V88" i="3"/>
  <c r="V49" i="3"/>
  <c r="V45" i="3"/>
  <c r="V44" i="3"/>
  <c r="V42" i="3"/>
  <c r="K64" i="17"/>
  <c r="AP4" i="3" s="1"/>
  <c r="AQ4" i="3" s="1"/>
  <c r="W137" i="3"/>
  <c r="W112" i="3"/>
  <c r="W97" i="3"/>
  <c r="W96" i="3"/>
  <c r="W54" i="3"/>
  <c r="W51" i="3"/>
  <c r="W42" i="3"/>
  <c r="V129" i="3"/>
  <c r="V125" i="3"/>
  <c r="V113" i="3"/>
  <c r="V111" i="3"/>
  <c r="V91" i="3"/>
  <c r="V73" i="3"/>
  <c r="V69" i="3"/>
  <c r="V68" i="3"/>
  <c r="V66" i="3"/>
  <c r="V65" i="3"/>
  <c r="V39" i="3"/>
  <c r="V36" i="3"/>
  <c r="V35" i="3"/>
  <c r="V33" i="3"/>
  <c r="V25" i="3"/>
  <c r="V22" i="3"/>
  <c r="V21" i="3"/>
  <c r="V13" i="3"/>
  <c r="V12" i="3"/>
  <c r="V11" i="3"/>
  <c r="V9" i="3"/>
  <c r="V8" i="3"/>
  <c r="V7" i="3"/>
  <c r="V6" i="3"/>
  <c r="U159" i="3"/>
  <c r="U158" i="3"/>
  <c r="U157" i="3"/>
  <c r="U156" i="3"/>
  <c r="U155" i="3"/>
  <c r="U154" i="3"/>
  <c r="U153" i="3"/>
  <c r="U152" i="3"/>
  <c r="U151" i="3"/>
  <c r="U150" i="3"/>
  <c r="U132" i="3"/>
  <c r="U123" i="3"/>
  <c r="U120" i="3"/>
  <c r="U118" i="3"/>
  <c r="U114" i="3"/>
  <c r="U84" i="3"/>
  <c r="U75" i="3"/>
  <c r="U74" i="3"/>
  <c r="U28" i="3"/>
  <c r="U20" i="3"/>
  <c r="U19" i="3"/>
  <c r="U18" i="3"/>
  <c r="U17" i="3"/>
  <c r="U11" i="3"/>
  <c r="U8" i="3"/>
  <c r="U7" i="3"/>
  <c r="U6" i="3"/>
  <c r="U5" i="3"/>
  <c r="U4" i="3"/>
  <c r="U3" i="3"/>
  <c r="K38" i="17"/>
  <c r="K15" i="17"/>
  <c r="K19" i="17"/>
  <c r="K63" i="17"/>
  <c r="I21" i="17"/>
  <c r="H21" i="17"/>
  <c r="I62" i="17"/>
  <c r="J62" i="17"/>
  <c r="I17" i="17"/>
  <c r="H17" i="17"/>
  <c r="H57" i="17"/>
  <c r="I57" i="17"/>
  <c r="I33" i="17"/>
  <c r="H33" i="17"/>
  <c r="I58" i="17"/>
  <c r="AA313" i="5" s="1"/>
  <c r="I16" i="17"/>
  <c r="G119" i="3"/>
  <c r="F44" i="3"/>
  <c r="F41" i="3"/>
  <c r="L134" i="3"/>
  <c r="L133" i="3"/>
  <c r="L131" i="3"/>
  <c r="L130" i="3"/>
  <c r="I130" i="1" s="1"/>
  <c r="BM130" i="1" s="1"/>
  <c r="BQ130" i="1" s="1"/>
  <c r="BN130" i="1" s="1"/>
  <c r="L128" i="3"/>
  <c r="F160" i="3"/>
  <c r="L160" i="3"/>
  <c r="L158" i="3"/>
  <c r="L150" i="3"/>
  <c r="C159" i="3"/>
  <c r="C157" i="3"/>
  <c r="C156" i="3"/>
  <c r="C155" i="3"/>
  <c r="C154" i="3"/>
  <c r="C153" i="3"/>
  <c r="C152" i="3"/>
  <c r="C151" i="3"/>
  <c r="G152" i="3"/>
  <c r="G153" i="3"/>
  <c r="G154" i="3"/>
  <c r="G155" i="3"/>
  <c r="G156" i="3"/>
  <c r="G157" i="3"/>
  <c r="G158" i="3"/>
  <c r="G159" i="3"/>
  <c r="G151" i="3"/>
  <c r="G150" i="3"/>
  <c r="L140" i="3"/>
  <c r="C149" i="3"/>
  <c r="C148" i="3"/>
  <c r="C147" i="3"/>
  <c r="C146" i="3"/>
  <c r="C145" i="3"/>
  <c r="C144" i="3"/>
  <c r="C143" i="3"/>
  <c r="C142" i="3"/>
  <c r="C141" i="3"/>
  <c r="C139" i="3"/>
  <c r="G141" i="3"/>
  <c r="G142" i="3"/>
  <c r="G143" i="3"/>
  <c r="G144" i="3"/>
  <c r="G145" i="3"/>
  <c r="G146" i="3"/>
  <c r="G147" i="3"/>
  <c r="G148" i="3"/>
  <c r="G149" i="3"/>
  <c r="G140" i="3"/>
  <c r="G139" i="3"/>
  <c r="C137" i="3"/>
  <c r="C136" i="3"/>
  <c r="C135" i="3"/>
  <c r="L118" i="3"/>
  <c r="L117" i="3"/>
  <c r="C124" i="3"/>
  <c r="C120" i="3"/>
  <c r="C115" i="3"/>
  <c r="C113" i="3"/>
  <c r="C112" i="3"/>
  <c r="C111" i="3"/>
  <c r="C110" i="3"/>
  <c r="F95" i="3"/>
  <c r="L100" i="3"/>
  <c r="L99" i="3"/>
  <c r="L97" i="3"/>
  <c r="L95" i="3"/>
  <c r="L94" i="3"/>
  <c r="L93" i="3"/>
  <c r="L82" i="3"/>
  <c r="L83" i="3"/>
  <c r="L84" i="3"/>
  <c r="L85" i="3"/>
  <c r="L81" i="3"/>
  <c r="C92" i="3"/>
  <c r="C91" i="3"/>
  <c r="L61" i="3"/>
  <c r="C79" i="3"/>
  <c r="C78" i="3"/>
  <c r="C75" i="3"/>
  <c r="C74" i="3"/>
  <c r="C70" i="3"/>
  <c r="C63" i="3"/>
  <c r="F61" i="3"/>
  <c r="L59" i="3"/>
  <c r="L60" i="3"/>
  <c r="L58" i="3"/>
  <c r="L55" i="3"/>
  <c r="G57" i="3"/>
  <c r="F48" i="3"/>
  <c r="F47" i="3"/>
  <c r="C52" i="3"/>
  <c r="C51" i="3"/>
  <c r="G58" i="3"/>
  <c r="G59" i="3"/>
  <c r="G60" i="3"/>
  <c r="G62" i="3"/>
  <c r="F63" i="3"/>
  <c r="G63" i="3"/>
  <c r="J63" i="3"/>
  <c r="L63" i="3"/>
  <c r="F64" i="3"/>
  <c r="G64" i="3"/>
  <c r="J64" i="3"/>
  <c r="L64" i="3"/>
  <c r="F65" i="3"/>
  <c r="G65" i="3"/>
  <c r="J65" i="3"/>
  <c r="L65" i="3"/>
  <c r="F66" i="3"/>
  <c r="G66" i="3"/>
  <c r="J66" i="3"/>
  <c r="L66" i="3"/>
  <c r="L44" i="3"/>
  <c r="L37" i="3"/>
  <c r="L41" i="3"/>
  <c r="L40" i="3"/>
  <c r="C43" i="3"/>
  <c r="C39" i="3"/>
  <c r="C31" i="3"/>
  <c r="C30" i="3"/>
  <c r="C28" i="3"/>
  <c r="C26" i="3"/>
  <c r="G23" i="3"/>
  <c r="G16" i="3"/>
  <c r="G15" i="3"/>
  <c r="L20" i="3"/>
  <c r="C16" i="3"/>
  <c r="C15" i="3"/>
  <c r="C14" i="3"/>
  <c r="C13" i="3"/>
  <c r="C11" i="3"/>
  <c r="C9" i="3"/>
  <c r="C6" i="3"/>
  <c r="C3" i="3"/>
  <c r="C2" i="3"/>
  <c r="E29" i="16"/>
  <c r="E28" i="16"/>
  <c r="E27" i="16"/>
  <c r="E25" i="16"/>
  <c r="E24" i="16"/>
  <c r="E23" i="16"/>
  <c r="E21" i="16"/>
  <c r="E22" i="16"/>
  <c r="E13" i="16"/>
  <c r="E11" i="16"/>
  <c r="G113" i="3"/>
  <c r="I35" i="16"/>
  <c r="I33" i="16"/>
  <c r="I31" i="16"/>
  <c r="I30" i="16"/>
  <c r="I29" i="16"/>
  <c r="H35" i="16"/>
  <c r="H33" i="16"/>
  <c r="H31" i="16"/>
  <c r="H30" i="16"/>
  <c r="H29" i="16"/>
  <c r="G26" i="16"/>
  <c r="G25" i="16"/>
  <c r="G23" i="16"/>
  <c r="G20" i="16"/>
  <c r="G22" i="16"/>
  <c r="G21" i="16"/>
  <c r="F20" i="16"/>
  <c r="F25" i="16"/>
  <c r="F26" i="16"/>
  <c r="F23" i="16"/>
  <c r="F22" i="16"/>
  <c r="F21" i="16"/>
  <c r="AA201" i="5" l="1"/>
  <c r="Z201" i="5"/>
  <c r="AX111" i="3"/>
  <c r="BN111" i="3"/>
  <c r="AX113" i="3"/>
  <c r="BN113" i="3"/>
  <c r="AQ122" i="3"/>
  <c r="AQ34" i="3"/>
  <c r="AQ92" i="3"/>
  <c r="AA182" i="5"/>
  <c r="Z182" i="5"/>
  <c r="AP187" i="3"/>
  <c r="AQ187" i="3" s="1"/>
  <c r="AP120" i="3"/>
  <c r="AQ120" i="3" s="1"/>
  <c r="AP62" i="3"/>
  <c r="AQ62" i="3" s="1"/>
  <c r="AP114" i="3"/>
  <c r="AQ114" i="3" s="1"/>
  <c r="AP278" i="3"/>
  <c r="AQ278" i="3" s="1"/>
  <c r="AP279" i="3"/>
  <c r="AQ279" i="3" s="1"/>
  <c r="AP123" i="3"/>
  <c r="AQ123" i="3" s="1"/>
  <c r="AP75" i="3"/>
  <c r="AQ75" i="3" s="1"/>
  <c r="AP161" i="3"/>
  <c r="AQ161" i="3" s="1"/>
  <c r="AP18" i="3"/>
  <c r="AQ18" i="3" s="1"/>
  <c r="AP180" i="3"/>
  <c r="AQ180" i="3" s="1"/>
  <c r="AP289" i="3"/>
  <c r="AQ289" i="3" s="1"/>
  <c r="AP139" i="3"/>
  <c r="AQ139" i="3" s="1"/>
  <c r="AP100" i="3"/>
  <c r="AQ100" i="3" s="1"/>
  <c r="AP55" i="3"/>
  <c r="AQ55" i="3" s="1"/>
  <c r="AP181" i="3"/>
  <c r="AQ181" i="3" s="1"/>
  <c r="AP59" i="3"/>
  <c r="AQ59" i="3" s="1"/>
  <c r="AP60" i="3"/>
  <c r="AQ60" i="3" s="1"/>
  <c r="AP186" i="3"/>
  <c r="AQ186" i="3" s="1"/>
  <c r="AP109" i="3"/>
  <c r="AQ109" i="3" s="1"/>
  <c r="AP56" i="3"/>
  <c r="AQ56" i="3" s="1"/>
  <c r="AP57" i="3"/>
  <c r="AQ57" i="3" s="1"/>
  <c r="AP99" i="3"/>
  <c r="AQ99" i="3" s="1"/>
  <c r="AP119" i="3"/>
  <c r="AQ119" i="3" s="1"/>
  <c r="AP84" i="3"/>
  <c r="AQ84" i="3" s="1"/>
  <c r="AP173" i="3"/>
  <c r="AQ173" i="3" s="1"/>
  <c r="AP128" i="3"/>
  <c r="AQ128" i="3" s="1"/>
  <c r="AP378" i="3"/>
  <c r="AQ378" i="3" s="1"/>
  <c r="AP3" i="3"/>
  <c r="AQ3" i="3" s="1"/>
  <c r="AP156" i="3"/>
  <c r="AQ156" i="3" s="1"/>
  <c r="AP151" i="3"/>
  <c r="AQ151" i="3" s="1"/>
  <c r="AP155" i="3"/>
  <c r="AQ155" i="3" s="1"/>
  <c r="AP157" i="3"/>
  <c r="AQ157" i="3" s="1"/>
  <c r="AP19" i="3"/>
  <c r="AQ19" i="3" s="1"/>
  <c r="AP153" i="3"/>
  <c r="AQ153" i="3" s="1"/>
  <c r="AP20" i="3"/>
  <c r="AQ20" i="3" s="1"/>
  <c r="AP159" i="3"/>
  <c r="AQ159" i="3" s="1"/>
  <c r="AP154" i="3"/>
  <c r="AQ154" i="3" s="1"/>
  <c r="AP152" i="3"/>
  <c r="AQ152" i="3" s="1"/>
  <c r="AP17" i="3"/>
  <c r="AQ17" i="3" s="1"/>
  <c r="AP150" i="3"/>
  <c r="AQ150" i="3" s="1"/>
  <c r="AP158" i="3"/>
  <c r="AQ158" i="3" s="1"/>
  <c r="AP313" i="3"/>
  <c r="AQ313" i="3" s="1"/>
  <c r="AP287" i="3"/>
  <c r="AQ287" i="3" s="1"/>
  <c r="AP145" i="3"/>
  <c r="AQ145" i="3" s="1"/>
  <c r="AP142" i="3"/>
  <c r="AQ142" i="3" s="1"/>
  <c r="AP14" i="3"/>
  <c r="AQ14" i="3" s="1"/>
  <c r="AP140" i="3"/>
  <c r="AQ140" i="3" s="1"/>
  <c r="AP146" i="3"/>
  <c r="AQ146" i="3" s="1"/>
  <c r="AP144" i="3"/>
  <c r="AQ144" i="3" s="1"/>
  <c r="AP141" i="3"/>
  <c r="AQ141" i="3" s="1"/>
  <c r="AP143" i="3"/>
  <c r="AQ143" i="3" s="1"/>
  <c r="AP15" i="3"/>
  <c r="AQ15" i="3" s="1"/>
  <c r="AP147" i="3"/>
  <c r="AQ147" i="3" s="1"/>
  <c r="AP58" i="3"/>
  <c r="AQ58" i="3" s="1"/>
  <c r="AP149" i="3"/>
  <c r="AQ149" i="3" s="1"/>
  <c r="AP16" i="3"/>
  <c r="AQ16" i="3" s="1"/>
  <c r="AP148" i="3"/>
  <c r="AQ148" i="3" s="1"/>
  <c r="AP371" i="3"/>
  <c r="AQ371" i="3" s="1"/>
  <c r="AP280" i="3"/>
  <c r="AQ280" i="3" s="1"/>
  <c r="AP282" i="3"/>
  <c r="AQ282" i="3" s="1"/>
  <c r="AP281" i="3"/>
  <c r="AQ281" i="3" s="1"/>
  <c r="AP283" i="3"/>
  <c r="AQ283" i="3" s="1"/>
  <c r="U186" i="1"/>
  <c r="BN97" i="3"/>
  <c r="AX97" i="3"/>
  <c r="AX44" i="3"/>
  <c r="BN44" i="3"/>
  <c r="BN27" i="3"/>
  <c r="AX27" i="3"/>
  <c r="AX45" i="3"/>
  <c r="BN45" i="3"/>
  <c r="AX112" i="3"/>
  <c r="BN112" i="3"/>
  <c r="BN26" i="3"/>
  <c r="AX26" i="3"/>
  <c r="AX42" i="3"/>
  <c r="BN42" i="3"/>
  <c r="AX54" i="3"/>
  <c r="BN54" i="3"/>
  <c r="AX53" i="3"/>
  <c r="BN53" i="3"/>
  <c r="BN52" i="3"/>
  <c r="AX52" i="3"/>
  <c r="BN49" i="3"/>
  <c r="AX49" i="3"/>
  <c r="BN88" i="3"/>
  <c r="AX88" i="3"/>
  <c r="BN50" i="3"/>
  <c r="AX50" i="3"/>
  <c r="AX46" i="3"/>
  <c r="BN46" i="3"/>
  <c r="AX96" i="3"/>
  <c r="BN96" i="3"/>
  <c r="W186" i="1"/>
  <c r="H12" i="5"/>
  <c r="I12" i="5"/>
  <c r="H47" i="5"/>
  <c r="I47" i="5"/>
  <c r="H50" i="5"/>
  <c r="I50" i="5"/>
  <c r="H125" i="5"/>
  <c r="I125" i="5"/>
  <c r="I42" i="5"/>
  <c r="H42" i="5"/>
  <c r="H21" i="5"/>
  <c r="I21" i="5"/>
  <c r="I48" i="5"/>
  <c r="H48" i="5"/>
  <c r="I27" i="5"/>
  <c r="H27" i="5"/>
  <c r="T20" i="5"/>
  <c r="K49" i="5"/>
  <c r="L49" i="5" s="1"/>
  <c r="Z321" i="5"/>
  <c r="AA321" i="5"/>
  <c r="G72" i="5"/>
  <c r="I72" i="5" s="1"/>
  <c r="G184" i="5"/>
  <c r="H184" i="5" s="1"/>
  <c r="S83" i="5"/>
  <c r="G64" i="5"/>
  <c r="S18" i="5"/>
  <c r="S84" i="5"/>
  <c r="T84" i="5" s="1"/>
  <c r="S191" i="5"/>
  <c r="T191" i="5" s="1"/>
  <c r="S82" i="5"/>
  <c r="S195" i="5"/>
  <c r="T195" i="5" s="1"/>
  <c r="S32" i="5"/>
  <c r="S85" i="5"/>
  <c r="U85" i="5" s="1"/>
  <c r="G66" i="5"/>
  <c r="G97" i="5"/>
  <c r="I97" i="5" s="1"/>
  <c r="S17" i="5"/>
  <c r="G190" i="5"/>
  <c r="H190" i="5" s="1"/>
  <c r="AA203" i="5"/>
  <c r="Z203" i="5"/>
  <c r="F72" i="5"/>
  <c r="F186" i="5"/>
  <c r="F191" i="5"/>
  <c r="F84" i="5"/>
  <c r="F67" i="5"/>
  <c r="F184" i="5"/>
  <c r="F68" i="5"/>
  <c r="F185" i="5"/>
  <c r="F96" i="5"/>
  <c r="F189" i="5"/>
  <c r="F195" i="5"/>
  <c r="F85" i="5"/>
  <c r="F88" i="5"/>
  <c r="F197" i="5"/>
  <c r="F87" i="5"/>
  <c r="F196" i="5"/>
  <c r="F97" i="5"/>
  <c r="F190" i="5"/>
  <c r="T67" i="1"/>
  <c r="G67" i="5"/>
  <c r="U189" i="1"/>
  <c r="T186" i="1"/>
  <c r="G186" i="5"/>
  <c r="L27" i="5"/>
  <c r="M45" i="5"/>
  <c r="L45" i="5"/>
  <c r="M44" i="5"/>
  <c r="L44" i="5"/>
  <c r="L53" i="5"/>
  <c r="AB42" i="1"/>
  <c r="V189" i="1"/>
  <c r="AA44" i="1"/>
  <c r="Z44" i="1"/>
  <c r="AA53" i="1"/>
  <c r="Z53" i="1"/>
  <c r="U190" i="1"/>
  <c r="V190" i="1"/>
  <c r="W190" i="1"/>
  <c r="T190" i="1"/>
  <c r="T184" i="1"/>
  <c r="V184" i="1"/>
  <c r="U184" i="1"/>
  <c r="W184" i="1"/>
  <c r="AL195" i="1"/>
  <c r="AK195" i="1"/>
  <c r="AJ195" i="1"/>
  <c r="AM195" i="1"/>
  <c r="AA50" i="1"/>
  <c r="Y50" i="1"/>
  <c r="Z50" i="1"/>
  <c r="AB50" i="1"/>
  <c r="W67" i="1"/>
  <c r="V67" i="1"/>
  <c r="U67" i="1"/>
  <c r="AK85" i="1"/>
  <c r="AL85" i="1"/>
  <c r="AM85" i="1"/>
  <c r="AJ85" i="1"/>
  <c r="AA54" i="1"/>
  <c r="AB54" i="1"/>
  <c r="Z54" i="1"/>
  <c r="Y54" i="1"/>
  <c r="AJ84" i="1"/>
  <c r="AK84" i="1"/>
  <c r="AL84" i="1"/>
  <c r="AM84" i="1"/>
  <c r="AJ191" i="1"/>
  <c r="AL191" i="1"/>
  <c r="V72" i="1"/>
  <c r="U72" i="1"/>
  <c r="T72" i="1"/>
  <c r="W72" i="1"/>
  <c r="W96" i="1"/>
  <c r="U96" i="1"/>
  <c r="V96" i="1"/>
  <c r="T96" i="1"/>
  <c r="Z45" i="1"/>
  <c r="Y45" i="1"/>
  <c r="AA45" i="1"/>
  <c r="AB45" i="1"/>
  <c r="T97" i="1"/>
  <c r="W97" i="1"/>
  <c r="V97" i="1"/>
  <c r="U97" i="1"/>
  <c r="W189" i="1"/>
  <c r="T189" i="1"/>
  <c r="X97" i="1"/>
  <c r="X190" i="1"/>
  <c r="Y53" i="1"/>
  <c r="AB53" i="1"/>
  <c r="X88" i="1"/>
  <c r="K88" i="5" s="1"/>
  <c r="X197" i="1"/>
  <c r="K197" i="5" s="1"/>
  <c r="AB49" i="1"/>
  <c r="AM191" i="1"/>
  <c r="AK191" i="1"/>
  <c r="Y44" i="1"/>
  <c r="AB44" i="1"/>
  <c r="X96" i="1"/>
  <c r="X189" i="1"/>
  <c r="AA42" i="1"/>
  <c r="Y42" i="1"/>
  <c r="Z42" i="1"/>
  <c r="Y49" i="1"/>
  <c r="Z49" i="1"/>
  <c r="AA49" i="1"/>
  <c r="V20" i="5"/>
  <c r="G22" i="5"/>
  <c r="G44" i="5"/>
  <c r="K50" i="5"/>
  <c r="G54" i="5"/>
  <c r="G45" i="5"/>
  <c r="M53" i="5"/>
  <c r="M27" i="5"/>
  <c r="N27" i="5"/>
  <c r="G49" i="5"/>
  <c r="H49" i="5" s="1"/>
  <c r="G53" i="5"/>
  <c r="G189" i="5"/>
  <c r="E11" i="5"/>
  <c r="E75" i="5"/>
  <c r="AI75" i="1"/>
  <c r="E115" i="5"/>
  <c r="AI115" i="1"/>
  <c r="E146" i="5"/>
  <c r="AI3" i="1"/>
  <c r="E13" i="5"/>
  <c r="S13" i="1"/>
  <c r="AI120" i="1"/>
  <c r="E120" i="5"/>
  <c r="E147" i="5"/>
  <c r="E151" i="5"/>
  <c r="AI151" i="1"/>
  <c r="AI4" i="1"/>
  <c r="E4" i="5"/>
  <c r="AI132" i="1"/>
  <c r="E26" i="5"/>
  <c r="S26" i="1"/>
  <c r="AI90" i="1"/>
  <c r="E135" i="5"/>
  <c r="S135" i="1"/>
  <c r="AI155" i="1"/>
  <c r="E155" i="5"/>
  <c r="S7" i="1"/>
  <c r="AI19" i="1"/>
  <c r="E28" i="5"/>
  <c r="AI28" i="1"/>
  <c r="E136" i="5"/>
  <c r="E139" i="5"/>
  <c r="AI156" i="1"/>
  <c r="E156" i="5"/>
  <c r="U123" i="5"/>
  <c r="S8" i="1"/>
  <c r="E8" i="5"/>
  <c r="BF2" i="3"/>
  <c r="BA2" i="3"/>
  <c r="BD2" i="3"/>
  <c r="E30" i="5"/>
  <c r="E92" i="5"/>
  <c r="E137" i="5"/>
  <c r="S137" i="1"/>
  <c r="E141" i="5"/>
  <c r="E157" i="5"/>
  <c r="AI157" i="1"/>
  <c r="S11" i="1"/>
  <c r="E3" i="5"/>
  <c r="E31" i="5"/>
  <c r="AI31" i="1"/>
  <c r="E51" i="5"/>
  <c r="S51" i="1"/>
  <c r="E63" i="5"/>
  <c r="S63" i="1"/>
  <c r="S110" i="1"/>
  <c r="E110" i="5"/>
  <c r="E142" i="5"/>
  <c r="E159" i="5"/>
  <c r="AI159" i="1"/>
  <c r="U150" i="5"/>
  <c r="E6" i="5"/>
  <c r="S6" i="1"/>
  <c r="E39" i="5"/>
  <c r="E52" i="5"/>
  <c r="S52" i="1"/>
  <c r="E70" i="5"/>
  <c r="E111" i="5"/>
  <c r="S111" i="1"/>
  <c r="E143" i="5"/>
  <c r="E43" i="5"/>
  <c r="S43" i="1"/>
  <c r="E112" i="5"/>
  <c r="S112" i="1"/>
  <c r="E144" i="5"/>
  <c r="U20" i="5"/>
  <c r="E9" i="5"/>
  <c r="S46" i="1"/>
  <c r="E113" i="5"/>
  <c r="E145" i="5"/>
  <c r="K54" i="5"/>
  <c r="E14" i="5"/>
  <c r="S79" i="1"/>
  <c r="E79" i="5"/>
  <c r="E124" i="5"/>
  <c r="AI124" i="1"/>
  <c r="E148" i="5"/>
  <c r="AI152" i="1"/>
  <c r="E152" i="5"/>
  <c r="E15" i="5"/>
  <c r="E149" i="5"/>
  <c r="AI153" i="1"/>
  <c r="E153" i="5"/>
  <c r="U114" i="5"/>
  <c r="K42" i="5"/>
  <c r="E16" i="5"/>
  <c r="E154" i="5"/>
  <c r="AI154" i="1"/>
  <c r="I118" i="5"/>
  <c r="U158" i="5"/>
  <c r="S5" i="1"/>
  <c r="E5" i="5"/>
  <c r="AR2" i="3"/>
  <c r="BG2" i="3" s="1"/>
  <c r="V30" i="3"/>
  <c r="L153" i="3"/>
  <c r="L139" i="3"/>
  <c r="L141" i="3"/>
  <c r="L144" i="3"/>
  <c r="L145" i="3"/>
  <c r="L152" i="3"/>
  <c r="L147" i="3"/>
  <c r="L149" i="3"/>
  <c r="L75" i="3"/>
  <c r="L115" i="3"/>
  <c r="L31" i="3"/>
  <c r="L148" i="3"/>
  <c r="L154" i="3"/>
  <c r="L39" i="3"/>
  <c r="L156" i="3"/>
  <c r="L19" i="3"/>
  <c r="L159" i="3"/>
  <c r="L142" i="3"/>
  <c r="L143" i="3"/>
  <c r="L151" i="3"/>
  <c r="L146" i="3"/>
  <c r="Z84" i="5"/>
  <c r="L157" i="3"/>
  <c r="L155" i="3"/>
  <c r="Z192" i="5"/>
  <c r="AS2" i="3"/>
  <c r="BH2" i="3" s="1"/>
  <c r="Z88" i="5"/>
  <c r="Z196" i="5"/>
  <c r="Z68" i="5"/>
  <c r="Z72" i="5"/>
  <c r="Z96" i="5"/>
  <c r="AP2" i="3"/>
  <c r="AO2" i="3"/>
  <c r="F28" i="3"/>
  <c r="L14" i="3"/>
  <c r="L15" i="3"/>
  <c r="L16" i="3"/>
  <c r="L132" i="3"/>
  <c r="U84" i="5" l="1"/>
  <c r="V191" i="5"/>
  <c r="M49" i="5"/>
  <c r="I184" i="5"/>
  <c r="H72" i="5"/>
  <c r="T85" i="5"/>
  <c r="U195" i="5"/>
  <c r="I190" i="5"/>
  <c r="I53" i="5"/>
  <c r="H53" i="5"/>
  <c r="H54" i="5"/>
  <c r="I54" i="5"/>
  <c r="I22" i="5"/>
  <c r="H22" i="5"/>
  <c r="I66" i="5"/>
  <c r="H66" i="5"/>
  <c r="AA306" i="5"/>
  <c r="Z306" i="5"/>
  <c r="V84" i="5"/>
  <c r="Z275" i="5"/>
  <c r="AA275" i="5"/>
  <c r="AA308" i="5"/>
  <c r="Z308" i="5"/>
  <c r="K189" i="5"/>
  <c r="L189" i="5" s="1"/>
  <c r="V32" i="5"/>
  <c r="U32" i="5"/>
  <c r="T32" i="5"/>
  <c r="AA329" i="5"/>
  <c r="Z329" i="5"/>
  <c r="AA251" i="5"/>
  <c r="Z251" i="5"/>
  <c r="K96" i="5"/>
  <c r="L96" i="5" s="1"/>
  <c r="V195" i="5"/>
  <c r="AA280" i="5"/>
  <c r="Z280" i="5"/>
  <c r="V85" i="5"/>
  <c r="G96" i="5"/>
  <c r="Z312" i="5"/>
  <c r="AA312" i="5"/>
  <c r="I49" i="5"/>
  <c r="T82" i="5"/>
  <c r="V82" i="5"/>
  <c r="U82" i="5"/>
  <c r="Z222" i="5"/>
  <c r="AA222" i="5"/>
  <c r="Z248" i="5"/>
  <c r="AA248" i="5"/>
  <c r="U191" i="5"/>
  <c r="AA274" i="5"/>
  <c r="Z274" i="5"/>
  <c r="I44" i="5"/>
  <c r="H44" i="5"/>
  <c r="AA223" i="5"/>
  <c r="Z223" i="5"/>
  <c r="V18" i="5"/>
  <c r="U18" i="5"/>
  <c r="T18" i="5"/>
  <c r="AA324" i="5"/>
  <c r="Z324" i="5"/>
  <c r="H97" i="5"/>
  <c r="I64" i="5"/>
  <c r="H64" i="5"/>
  <c r="I45" i="5"/>
  <c r="H45" i="5"/>
  <c r="T17" i="5"/>
  <c r="V17" i="5"/>
  <c r="U17" i="5"/>
  <c r="T83" i="5"/>
  <c r="U83" i="5"/>
  <c r="V83" i="5"/>
  <c r="AA160" i="5"/>
  <c r="Z160" i="5"/>
  <c r="AA108" i="5"/>
  <c r="Z108" i="5"/>
  <c r="Z21" i="5"/>
  <c r="AA21" i="5"/>
  <c r="AA40" i="5"/>
  <c r="Z40" i="5"/>
  <c r="AA32" i="5"/>
  <c r="Z32" i="5"/>
  <c r="Z38" i="5"/>
  <c r="AA38" i="5"/>
  <c r="Z47" i="5"/>
  <c r="AA47" i="5"/>
  <c r="Z22" i="5"/>
  <c r="AA22" i="5"/>
  <c r="AA64" i="5"/>
  <c r="Z64" i="5"/>
  <c r="Z10" i="5"/>
  <c r="AA10" i="5"/>
  <c r="Z34" i="5"/>
  <c r="AA34" i="5"/>
  <c r="Z35" i="5"/>
  <c r="AA35" i="5"/>
  <c r="AA104" i="5"/>
  <c r="Z104" i="5"/>
  <c r="AA76" i="5"/>
  <c r="Z76" i="5"/>
  <c r="AA116" i="5"/>
  <c r="Z116" i="5"/>
  <c r="Z29" i="5"/>
  <c r="AA29" i="5"/>
  <c r="Z37" i="5"/>
  <c r="AA37" i="5"/>
  <c r="Z184" i="5"/>
  <c r="AA67" i="5"/>
  <c r="Z23" i="5"/>
  <c r="AA23" i="5"/>
  <c r="Z41" i="5"/>
  <c r="AA41" i="5"/>
  <c r="Z12" i="5"/>
  <c r="AA12" i="5"/>
  <c r="AA24" i="5"/>
  <c r="Z24" i="5"/>
  <c r="Z55" i="5"/>
  <c r="AA55" i="5"/>
  <c r="AA56" i="5"/>
  <c r="Z56" i="5"/>
  <c r="AA140" i="5"/>
  <c r="Z140" i="5"/>
  <c r="Z33" i="5"/>
  <c r="AA33" i="5"/>
  <c r="AA48" i="5"/>
  <c r="Z48" i="5"/>
  <c r="Z27" i="5"/>
  <c r="AA27" i="5"/>
  <c r="AA36" i="5"/>
  <c r="Z36" i="5"/>
  <c r="AA44" i="5"/>
  <c r="Z44" i="5"/>
  <c r="AA100" i="5"/>
  <c r="Z100" i="5"/>
  <c r="Z17" i="5"/>
  <c r="AA17" i="5"/>
  <c r="AA128" i="5"/>
  <c r="Z128" i="5"/>
  <c r="AA20" i="5"/>
  <c r="Z20" i="5"/>
  <c r="Z59" i="5"/>
  <c r="AA59" i="5"/>
  <c r="AA8" i="5"/>
  <c r="Z8" i="5"/>
  <c r="AA4" i="5"/>
  <c r="Z4" i="5"/>
  <c r="Z5" i="5"/>
  <c r="AA5" i="5"/>
  <c r="Z18" i="5"/>
  <c r="AA18" i="5"/>
  <c r="AA180" i="5"/>
  <c r="Z180" i="5"/>
  <c r="AA60" i="5"/>
  <c r="Z60" i="5"/>
  <c r="AA189" i="5"/>
  <c r="Z189" i="5"/>
  <c r="AA96" i="5"/>
  <c r="AA102" i="5"/>
  <c r="Z102" i="5"/>
  <c r="AA42" i="5"/>
  <c r="Z42" i="5"/>
  <c r="AA81" i="5"/>
  <c r="Z81" i="5"/>
  <c r="AA126" i="5"/>
  <c r="Z126" i="5"/>
  <c r="AA133" i="5"/>
  <c r="Z133" i="5"/>
  <c r="AA186" i="5"/>
  <c r="Z186" i="5"/>
  <c r="AA72" i="5"/>
  <c r="AA97" i="5"/>
  <c r="Z97" i="5"/>
  <c r="AA190" i="5"/>
  <c r="Z190" i="5"/>
  <c r="AA103" i="5"/>
  <c r="Z103" i="5"/>
  <c r="AA45" i="5"/>
  <c r="Z45" i="5"/>
  <c r="AA53" i="5"/>
  <c r="Z53" i="5"/>
  <c r="AA66" i="5"/>
  <c r="Z66" i="5"/>
  <c r="AA93" i="5"/>
  <c r="Z93" i="5"/>
  <c r="AA105" i="5"/>
  <c r="Z105" i="5"/>
  <c r="AA77" i="5"/>
  <c r="Z77" i="5"/>
  <c r="AA198" i="5"/>
  <c r="AA94" i="5"/>
  <c r="Z198" i="5"/>
  <c r="Z94" i="5"/>
  <c r="AA106" i="5"/>
  <c r="Z106" i="5"/>
  <c r="AA101" i="5"/>
  <c r="Z101" i="5"/>
  <c r="AA185" i="5"/>
  <c r="Z185" i="5"/>
  <c r="AA68" i="5"/>
  <c r="AA87" i="5"/>
  <c r="Z87" i="5"/>
  <c r="AA196" i="5"/>
  <c r="AA197" i="5"/>
  <c r="Z197" i="5"/>
  <c r="AA88" i="5"/>
  <c r="AA127" i="5"/>
  <c r="Z127" i="5"/>
  <c r="AA134" i="5"/>
  <c r="Z134" i="5"/>
  <c r="AA98" i="5"/>
  <c r="Z98" i="5"/>
  <c r="AA122" i="5"/>
  <c r="Z122" i="5"/>
  <c r="AA129" i="5"/>
  <c r="Z129" i="5"/>
  <c r="AA130" i="5"/>
  <c r="Z130" i="5"/>
  <c r="AA54" i="5"/>
  <c r="Z54" i="5"/>
  <c r="Z67" i="5"/>
  <c r="AA184" i="5"/>
  <c r="AA61" i="5"/>
  <c r="Z61" i="5"/>
  <c r="AA49" i="5"/>
  <c r="Z49" i="5"/>
  <c r="AA89" i="5"/>
  <c r="Z89" i="5"/>
  <c r="AA192" i="5"/>
  <c r="AA50" i="5"/>
  <c r="Z50" i="5"/>
  <c r="AA65" i="5"/>
  <c r="Z65" i="5"/>
  <c r="AA73" i="5"/>
  <c r="Z73" i="5"/>
  <c r="AA95" i="5"/>
  <c r="Z95" i="5"/>
  <c r="AA107" i="5"/>
  <c r="Z107" i="5"/>
  <c r="AA118" i="5"/>
  <c r="Z118" i="5"/>
  <c r="AA117" i="5"/>
  <c r="Z117" i="5"/>
  <c r="AA125" i="5"/>
  <c r="Z125" i="5"/>
  <c r="AA131" i="5"/>
  <c r="Z131" i="5"/>
  <c r="AA119" i="5"/>
  <c r="Z119" i="5"/>
  <c r="AA57" i="5"/>
  <c r="Z57" i="5"/>
  <c r="AA69" i="5"/>
  <c r="Z69" i="5"/>
  <c r="AA58" i="5"/>
  <c r="Z58" i="5"/>
  <c r="AA191" i="5"/>
  <c r="Z191" i="5"/>
  <c r="AA84" i="5"/>
  <c r="AA85" i="5"/>
  <c r="Z85" i="5"/>
  <c r="AA195" i="5"/>
  <c r="Z195" i="5"/>
  <c r="AA138" i="5"/>
  <c r="Z138" i="5"/>
  <c r="AA109" i="5"/>
  <c r="Z109" i="5"/>
  <c r="AA62" i="5"/>
  <c r="Z62" i="5"/>
  <c r="AA183" i="5"/>
  <c r="Z183" i="5"/>
  <c r="AA114" i="5"/>
  <c r="Z114" i="5"/>
  <c r="AA150" i="5"/>
  <c r="Z150" i="5"/>
  <c r="AA123" i="5"/>
  <c r="Z123" i="5"/>
  <c r="AA83" i="5"/>
  <c r="Z83" i="5"/>
  <c r="AA99" i="5"/>
  <c r="Z99" i="5"/>
  <c r="AA158" i="5"/>
  <c r="Z158" i="5"/>
  <c r="AA121" i="5"/>
  <c r="Z121" i="5"/>
  <c r="E187" i="5"/>
  <c r="E74" i="5"/>
  <c r="E91" i="5"/>
  <c r="E188" i="5"/>
  <c r="E194" i="5"/>
  <c r="E78" i="5"/>
  <c r="AA161" i="5"/>
  <c r="Z161" i="5"/>
  <c r="AA173" i="5"/>
  <c r="Z173" i="5"/>
  <c r="AA82" i="5"/>
  <c r="Z82" i="5"/>
  <c r="AA181" i="5"/>
  <c r="Z181" i="5"/>
  <c r="AA202" i="5"/>
  <c r="Z202" i="5"/>
  <c r="AA205" i="5"/>
  <c r="Z205" i="5"/>
  <c r="H186" i="5"/>
  <c r="I186" i="5"/>
  <c r="AL153" i="1"/>
  <c r="AK124" i="1"/>
  <c r="U110" i="1"/>
  <c r="AK157" i="1"/>
  <c r="AL156" i="1"/>
  <c r="AL155" i="1"/>
  <c r="AL151" i="1"/>
  <c r="AM3" i="1"/>
  <c r="I189" i="5"/>
  <c r="H189" i="5"/>
  <c r="H67" i="5"/>
  <c r="I67" i="5"/>
  <c r="L42" i="5"/>
  <c r="M50" i="5"/>
  <c r="N50" i="5"/>
  <c r="L50" i="5"/>
  <c r="L54" i="5"/>
  <c r="M197" i="5"/>
  <c r="L197" i="5"/>
  <c r="M88" i="5"/>
  <c r="L88" i="5"/>
  <c r="AJ31" i="1"/>
  <c r="AK31" i="1"/>
  <c r="AL31" i="1"/>
  <c r="AM31" i="1"/>
  <c r="T13" i="1"/>
  <c r="U13" i="1"/>
  <c r="V13" i="1"/>
  <c r="W13" i="1"/>
  <c r="AJ115" i="1"/>
  <c r="AK115" i="1"/>
  <c r="AL115" i="1"/>
  <c r="AM115" i="1"/>
  <c r="AB190" i="1"/>
  <c r="Y190" i="1"/>
  <c r="Z190" i="1"/>
  <c r="AA190" i="1"/>
  <c r="T11" i="1"/>
  <c r="V26" i="1"/>
  <c r="T26" i="1"/>
  <c r="W26" i="1"/>
  <c r="U26" i="1"/>
  <c r="Z97" i="1"/>
  <c r="AB97" i="1"/>
  <c r="AA97" i="1"/>
  <c r="Y97" i="1"/>
  <c r="U63" i="1"/>
  <c r="W63" i="1"/>
  <c r="V63" i="1"/>
  <c r="T63" i="1"/>
  <c r="U137" i="1"/>
  <c r="V137" i="1"/>
  <c r="T137" i="1"/>
  <c r="W137" i="1"/>
  <c r="U8" i="1"/>
  <c r="V8" i="1"/>
  <c r="W8" i="1"/>
  <c r="AM75" i="1"/>
  <c r="AJ75" i="1"/>
  <c r="AK75" i="1"/>
  <c r="W46" i="1"/>
  <c r="T46" i="1"/>
  <c r="V46" i="1"/>
  <c r="U46" i="1"/>
  <c r="V52" i="1"/>
  <c r="T52" i="1"/>
  <c r="U52" i="1"/>
  <c r="W52" i="1"/>
  <c r="AM132" i="1"/>
  <c r="AL132" i="1"/>
  <c r="AJ132" i="1"/>
  <c r="AK132" i="1"/>
  <c r="AM152" i="1"/>
  <c r="AJ152" i="1"/>
  <c r="AJ154" i="1"/>
  <c r="AK154" i="1"/>
  <c r="AL154" i="1"/>
  <c r="AM154" i="1"/>
  <c r="T51" i="1"/>
  <c r="W51" i="1"/>
  <c r="U51" i="1"/>
  <c r="V51" i="1"/>
  <c r="AM159" i="1"/>
  <c r="AL159" i="1"/>
  <c r="AJ159" i="1"/>
  <c r="AK159" i="1"/>
  <c r="V135" i="1"/>
  <c r="U135" i="1"/>
  <c r="T135" i="1"/>
  <c r="W135" i="1"/>
  <c r="Z197" i="1"/>
  <c r="AB197" i="1"/>
  <c r="AA197" i="1"/>
  <c r="Y197" i="1"/>
  <c r="Z96" i="1"/>
  <c r="AA96" i="1"/>
  <c r="Y88" i="1"/>
  <c r="AB88" i="1"/>
  <c r="T43" i="1"/>
  <c r="U43" i="1"/>
  <c r="V111" i="1"/>
  <c r="W111" i="1"/>
  <c r="T111" i="1"/>
  <c r="U111" i="1"/>
  <c r="AM19" i="1"/>
  <c r="AL19" i="1"/>
  <c r="AJ19" i="1"/>
  <c r="AK19" i="1"/>
  <c r="AK90" i="1"/>
  <c r="AL90" i="1"/>
  <c r="AM90" i="1"/>
  <c r="AJ90" i="1"/>
  <c r="AK152" i="1"/>
  <c r="AL152" i="1"/>
  <c r="AM124" i="1"/>
  <c r="AJ124" i="1"/>
  <c r="U112" i="1"/>
  <c r="T110" i="1"/>
  <c r="AJ157" i="1"/>
  <c r="AL157" i="1"/>
  <c r="T8" i="1"/>
  <c r="AM155" i="1"/>
  <c r="AJ155" i="1"/>
  <c r="AK155" i="1"/>
  <c r="AJ151" i="1"/>
  <c r="AK151" i="1"/>
  <c r="AB189" i="1"/>
  <c r="Z88" i="1"/>
  <c r="AA88" i="1"/>
  <c r="AL124" i="1"/>
  <c r="AM157" i="1"/>
  <c r="AM151" i="1"/>
  <c r="AL75" i="1"/>
  <c r="T5" i="1"/>
  <c r="U5" i="1"/>
  <c r="V5" i="1"/>
  <c r="W5" i="1"/>
  <c r="AJ153" i="1"/>
  <c r="AK153" i="1"/>
  <c r="AM153" i="1"/>
  <c r="T79" i="1"/>
  <c r="U79" i="1"/>
  <c r="V79" i="1"/>
  <c r="W79" i="1"/>
  <c r="AI74" i="1"/>
  <c r="AI187" i="1"/>
  <c r="V112" i="1"/>
  <c r="W112" i="1"/>
  <c r="T112" i="1"/>
  <c r="V43" i="1"/>
  <c r="W43" i="1"/>
  <c r="U6" i="1"/>
  <c r="V6" i="1"/>
  <c r="W6" i="1"/>
  <c r="T6" i="1"/>
  <c r="W110" i="1"/>
  <c r="V110" i="1"/>
  <c r="W11" i="1"/>
  <c r="U11" i="1"/>
  <c r="V11" i="1"/>
  <c r="AJ156" i="1"/>
  <c r="AK156" i="1"/>
  <c r="AM156" i="1"/>
  <c r="AM28" i="1"/>
  <c r="AJ28" i="1"/>
  <c r="AK28" i="1"/>
  <c r="AL28" i="1"/>
  <c r="T7" i="1"/>
  <c r="U7" i="1"/>
  <c r="V7" i="1"/>
  <c r="W7" i="1"/>
  <c r="AL4" i="1"/>
  <c r="AM4" i="1"/>
  <c r="AJ4" i="1"/>
  <c r="AK4" i="1"/>
  <c r="AJ120" i="1"/>
  <c r="AK120" i="1"/>
  <c r="AL120" i="1"/>
  <c r="AM120" i="1"/>
  <c r="AL3" i="1"/>
  <c r="AJ3" i="1"/>
  <c r="AK3" i="1"/>
  <c r="Y189" i="1"/>
  <c r="Z189" i="1"/>
  <c r="AA189" i="1"/>
  <c r="Y96" i="1"/>
  <c r="AB96" i="1"/>
  <c r="E132" i="5"/>
  <c r="E86" i="5"/>
  <c r="E46" i="5"/>
  <c r="E7" i="5"/>
  <c r="E19" i="5"/>
  <c r="E90" i="5"/>
  <c r="M54" i="5"/>
  <c r="K97" i="5"/>
  <c r="F52" i="5"/>
  <c r="F16" i="5"/>
  <c r="M42" i="5"/>
  <c r="F148" i="5"/>
  <c r="F145" i="5"/>
  <c r="G46" i="5"/>
  <c r="X46" i="1"/>
  <c r="F8" i="5"/>
  <c r="F28" i="5"/>
  <c r="F147" i="5"/>
  <c r="F146" i="5"/>
  <c r="F124" i="5"/>
  <c r="F9" i="5"/>
  <c r="G112" i="5"/>
  <c r="X112" i="1"/>
  <c r="G111" i="5"/>
  <c r="F92" i="5"/>
  <c r="F15" i="5"/>
  <c r="F152" i="5"/>
  <c r="S154" i="5"/>
  <c r="S152" i="5"/>
  <c r="G137" i="5"/>
  <c r="X137" i="1"/>
  <c r="F151" i="5"/>
  <c r="E25" i="5"/>
  <c r="X25" i="1"/>
  <c r="F149" i="5"/>
  <c r="F143" i="5"/>
  <c r="F63" i="5"/>
  <c r="F51" i="5"/>
  <c r="F137" i="5"/>
  <c r="G43" i="5"/>
  <c r="X43" i="1"/>
  <c r="F70" i="5"/>
  <c r="F31" i="5"/>
  <c r="F43" i="5"/>
  <c r="F111" i="5"/>
  <c r="F110" i="5"/>
  <c r="F3" i="5"/>
  <c r="F141" i="5"/>
  <c r="F136" i="5"/>
  <c r="G135" i="5"/>
  <c r="F26" i="5"/>
  <c r="F5" i="5"/>
  <c r="F153" i="5"/>
  <c r="F14" i="5"/>
  <c r="G52" i="5"/>
  <c r="X52" i="1"/>
  <c r="F6" i="5"/>
  <c r="G110" i="5"/>
  <c r="F13" i="5"/>
  <c r="F112" i="5"/>
  <c r="S157" i="5"/>
  <c r="T157" i="5" s="1"/>
  <c r="S28" i="5"/>
  <c r="F155" i="5"/>
  <c r="F142" i="5"/>
  <c r="G63" i="5"/>
  <c r="F157" i="5"/>
  <c r="F139" i="5"/>
  <c r="F135" i="5"/>
  <c r="F75" i="5"/>
  <c r="S124" i="5"/>
  <c r="T124" i="5" s="1"/>
  <c r="F79" i="5"/>
  <c r="F154" i="5"/>
  <c r="G79" i="5"/>
  <c r="X79" i="1"/>
  <c r="F113" i="5"/>
  <c r="F144" i="5"/>
  <c r="F39" i="5"/>
  <c r="S159" i="5"/>
  <c r="G26" i="5"/>
  <c r="X26" i="1"/>
  <c r="G13" i="5"/>
  <c r="F159" i="5"/>
  <c r="G51" i="5"/>
  <c r="X51" i="1"/>
  <c r="F30" i="5"/>
  <c r="F156" i="5"/>
  <c r="F120" i="5"/>
  <c r="S115" i="5"/>
  <c r="S31" i="5"/>
  <c r="S156" i="5"/>
  <c r="T156" i="5" s="1"/>
  <c r="F4" i="5"/>
  <c r="F115" i="5"/>
  <c r="F11" i="5"/>
  <c r="BO2" i="3"/>
  <c r="BK2" i="3"/>
  <c r="BS2" i="3"/>
  <c r="AQ2" i="3"/>
  <c r="Z188" i="5"/>
  <c r="M189" i="5" l="1"/>
  <c r="I26" i="5"/>
  <c r="H26" i="5"/>
  <c r="T28" i="5"/>
  <c r="H137" i="5"/>
  <c r="I137" i="5"/>
  <c r="T159" i="5"/>
  <c r="H52" i="5"/>
  <c r="I52" i="5"/>
  <c r="I111" i="5"/>
  <c r="H111" i="5"/>
  <c r="I46" i="5"/>
  <c r="H46" i="5"/>
  <c r="T152" i="5"/>
  <c r="H51" i="5"/>
  <c r="I51" i="5"/>
  <c r="I112" i="5"/>
  <c r="H112" i="5"/>
  <c r="I135" i="5"/>
  <c r="H135" i="5"/>
  <c r="T154" i="5"/>
  <c r="I43" i="5"/>
  <c r="H43" i="5"/>
  <c r="H63" i="5"/>
  <c r="U31" i="5"/>
  <c r="T31" i="5"/>
  <c r="H13" i="5"/>
  <c r="I13" i="5"/>
  <c r="T115" i="5"/>
  <c r="I79" i="5"/>
  <c r="H79" i="5"/>
  <c r="S3" i="5"/>
  <c r="V3" i="5" s="1"/>
  <c r="S4" i="5"/>
  <c r="S75" i="5"/>
  <c r="G8" i="5"/>
  <c r="S19" i="5"/>
  <c r="S132" i="5"/>
  <c r="S74" i="5"/>
  <c r="T74" i="5" s="1"/>
  <c r="G6" i="5"/>
  <c r="S155" i="5"/>
  <c r="T155" i="5" s="1"/>
  <c r="S151" i="5"/>
  <c r="U151" i="5" s="1"/>
  <c r="S153" i="5"/>
  <c r="T153" i="5" s="1"/>
  <c r="S90" i="5"/>
  <c r="G5" i="5"/>
  <c r="H96" i="5"/>
  <c r="I96" i="5"/>
  <c r="G7" i="5"/>
  <c r="G11" i="5"/>
  <c r="S120" i="5"/>
  <c r="AA16" i="5"/>
  <c r="Z16" i="5"/>
  <c r="Z39" i="5"/>
  <c r="AA39" i="5"/>
  <c r="AA144" i="5"/>
  <c r="Z144" i="5"/>
  <c r="Z15" i="5"/>
  <c r="AA15" i="5"/>
  <c r="AA152" i="5"/>
  <c r="Z152" i="5"/>
  <c r="AA148" i="5"/>
  <c r="Z148" i="5"/>
  <c r="Z43" i="5"/>
  <c r="AA43" i="5"/>
  <c r="AA136" i="5"/>
  <c r="Z136" i="5"/>
  <c r="Z31" i="5"/>
  <c r="AA31" i="5"/>
  <c r="AA92" i="5"/>
  <c r="Z92" i="5"/>
  <c r="Z25" i="5"/>
  <c r="AA25" i="5"/>
  <c r="Z19" i="5"/>
  <c r="AA19" i="5"/>
  <c r="Z63" i="5"/>
  <c r="AA63" i="5"/>
  <c r="Z13" i="5"/>
  <c r="AA13" i="5"/>
  <c r="Z51" i="5"/>
  <c r="AA51" i="5"/>
  <c r="Z26" i="5"/>
  <c r="AA26" i="5"/>
  <c r="AA132" i="5"/>
  <c r="Z132" i="5"/>
  <c r="Z11" i="5"/>
  <c r="AA11" i="5"/>
  <c r="AA112" i="5"/>
  <c r="Z112" i="5"/>
  <c r="AA120" i="5"/>
  <c r="Z120" i="5"/>
  <c r="AA156" i="5"/>
  <c r="Z156" i="5"/>
  <c r="AA124" i="5"/>
  <c r="Z124" i="5"/>
  <c r="AA28" i="5"/>
  <c r="Z28" i="5"/>
  <c r="Z6" i="5"/>
  <c r="AA6" i="5"/>
  <c r="Z30" i="5"/>
  <c r="AA30" i="5"/>
  <c r="AA52" i="5"/>
  <c r="Z52" i="5"/>
  <c r="Z14" i="5"/>
  <c r="AA14" i="5"/>
  <c r="Z7" i="5"/>
  <c r="AA7" i="5"/>
  <c r="Z3" i="5"/>
  <c r="AA3" i="5"/>
  <c r="Z9" i="5"/>
  <c r="AA9" i="5"/>
  <c r="AA193" i="5"/>
  <c r="Z193" i="5"/>
  <c r="AA71" i="5"/>
  <c r="Z71" i="5"/>
  <c r="AA159" i="5"/>
  <c r="Z159" i="5"/>
  <c r="AA146" i="5"/>
  <c r="Z146" i="5"/>
  <c r="AA149" i="5"/>
  <c r="Z149" i="5"/>
  <c r="AA115" i="5"/>
  <c r="Z115" i="5"/>
  <c r="AA154" i="5"/>
  <c r="Z154" i="5"/>
  <c r="AA147" i="5"/>
  <c r="Z147" i="5"/>
  <c r="AA91" i="5"/>
  <c r="Z91" i="5"/>
  <c r="AA188" i="5"/>
  <c r="AA79" i="5"/>
  <c r="Z79" i="5"/>
  <c r="AA142" i="5"/>
  <c r="Z142" i="5"/>
  <c r="AA111" i="5"/>
  <c r="Z111" i="5"/>
  <c r="AA75" i="5"/>
  <c r="Z75" i="5"/>
  <c r="AA74" i="5"/>
  <c r="Z74" i="5"/>
  <c r="AA187" i="5"/>
  <c r="Z187" i="5"/>
  <c r="AA157" i="5"/>
  <c r="Z157" i="5"/>
  <c r="AA153" i="5"/>
  <c r="Z153" i="5"/>
  <c r="AA143" i="5"/>
  <c r="Z143" i="5"/>
  <c r="AA135" i="5"/>
  <c r="Z135" i="5"/>
  <c r="AA110" i="5"/>
  <c r="Z110" i="5"/>
  <c r="AA137" i="5"/>
  <c r="Z137" i="5"/>
  <c r="AA86" i="5"/>
  <c r="Z86" i="5"/>
  <c r="AA113" i="5"/>
  <c r="Z113" i="5"/>
  <c r="AA141" i="5"/>
  <c r="Z141" i="5"/>
  <c r="AA139" i="5"/>
  <c r="Z139" i="5"/>
  <c r="AA70" i="5"/>
  <c r="Z70" i="5"/>
  <c r="AA145" i="5"/>
  <c r="Z145" i="5"/>
  <c r="AA90" i="5"/>
  <c r="Z90" i="5"/>
  <c r="AA46" i="5"/>
  <c r="Z46" i="5"/>
  <c r="AA194" i="5"/>
  <c r="AA78" i="5"/>
  <c r="Z194" i="5"/>
  <c r="Z78" i="5"/>
  <c r="AA151" i="5"/>
  <c r="Z151" i="5"/>
  <c r="AA155" i="5"/>
  <c r="Z155" i="5"/>
  <c r="F194" i="5"/>
  <c r="F78" i="5"/>
  <c r="F187" i="5"/>
  <c r="F74" i="5"/>
  <c r="F91" i="5"/>
  <c r="F188" i="5"/>
  <c r="E71" i="5"/>
  <c r="E193" i="5"/>
  <c r="AJ187" i="1"/>
  <c r="S187" i="5"/>
  <c r="I110" i="5"/>
  <c r="H110" i="5"/>
  <c r="K190" i="5"/>
  <c r="M190" i="5" s="1"/>
  <c r="N97" i="5"/>
  <c r="L97" i="5"/>
  <c r="M97" i="5"/>
  <c r="M96" i="5"/>
  <c r="AB46" i="1"/>
  <c r="Y46" i="1"/>
  <c r="AA46" i="1"/>
  <c r="Z46" i="1"/>
  <c r="Z52" i="1"/>
  <c r="Y52" i="1"/>
  <c r="AA52" i="1"/>
  <c r="AB52" i="1"/>
  <c r="AB112" i="1"/>
  <c r="Y112" i="1"/>
  <c r="Z112" i="1"/>
  <c r="AA112" i="1"/>
  <c r="Y51" i="1"/>
  <c r="AA51" i="1"/>
  <c r="AB51" i="1"/>
  <c r="Z51" i="1"/>
  <c r="AA79" i="1"/>
  <c r="Z79" i="1"/>
  <c r="Y79" i="1"/>
  <c r="Z26" i="1"/>
  <c r="Y26" i="1"/>
  <c r="AA26" i="1"/>
  <c r="AB26" i="1"/>
  <c r="Z43" i="1"/>
  <c r="AA43" i="1"/>
  <c r="AB43" i="1"/>
  <c r="Y43" i="1"/>
  <c r="Y137" i="1"/>
  <c r="Z137" i="1"/>
  <c r="AA137" i="1"/>
  <c r="AB137" i="1"/>
  <c r="AM187" i="1"/>
  <c r="AB79" i="1"/>
  <c r="AB25" i="1"/>
  <c r="Y25" i="1"/>
  <c r="Z25" i="1"/>
  <c r="AA25" i="1"/>
  <c r="AL187" i="1"/>
  <c r="AK187" i="1"/>
  <c r="AM74" i="1"/>
  <c r="AJ74" i="1"/>
  <c r="AK74" i="1"/>
  <c r="AL74" i="1"/>
  <c r="F46" i="5"/>
  <c r="F90" i="5"/>
  <c r="F132" i="5"/>
  <c r="F86" i="5"/>
  <c r="F19" i="5"/>
  <c r="F7" i="5"/>
  <c r="K79" i="5"/>
  <c r="V157" i="5"/>
  <c r="V115" i="5"/>
  <c r="K137" i="5"/>
  <c r="V154" i="5"/>
  <c r="V28" i="5"/>
  <c r="V124" i="5"/>
  <c r="K51" i="5"/>
  <c r="V156" i="5"/>
  <c r="K26" i="5"/>
  <c r="V159" i="5"/>
  <c r="U159" i="5"/>
  <c r="U124" i="5"/>
  <c r="V152" i="5"/>
  <c r="K112" i="5"/>
  <c r="V31" i="5"/>
  <c r="U156" i="5"/>
  <c r="U157" i="5"/>
  <c r="U152" i="5"/>
  <c r="K46" i="5"/>
  <c r="U28" i="5"/>
  <c r="I63" i="5"/>
  <c r="U115" i="5"/>
  <c r="K43" i="5"/>
  <c r="U154" i="5"/>
  <c r="K52" i="5"/>
  <c r="F25" i="5"/>
  <c r="K25" i="5"/>
  <c r="BT2" i="3"/>
  <c r="D12" i="16"/>
  <c r="D7" i="16"/>
  <c r="D8" i="16"/>
  <c r="D5" i="16"/>
  <c r="B4" i="16"/>
  <c r="B3" i="16"/>
  <c r="B2" i="16"/>
  <c r="D6" i="16"/>
  <c r="D11" i="16"/>
  <c r="D9" i="16"/>
  <c r="D13" i="16"/>
  <c r="D4" i="16"/>
  <c r="D14" i="16"/>
  <c r="C3" i="16"/>
  <c r="C2" i="16"/>
  <c r="C4" i="16"/>
  <c r="T3" i="5" l="1"/>
  <c r="V155" i="5"/>
  <c r="V74" i="5"/>
  <c r="U74" i="5"/>
  <c r="U3" i="5"/>
  <c r="V153" i="5"/>
  <c r="V151" i="5"/>
  <c r="T151" i="5"/>
  <c r="U155" i="5"/>
  <c r="U153" i="5"/>
  <c r="T120" i="5"/>
  <c r="V120" i="5"/>
  <c r="U120" i="5"/>
  <c r="T132" i="5"/>
  <c r="V132" i="5"/>
  <c r="U132" i="5"/>
  <c r="H11" i="5"/>
  <c r="I11" i="5"/>
  <c r="V19" i="5"/>
  <c r="U19" i="5"/>
  <c r="T19" i="5"/>
  <c r="I7" i="5"/>
  <c r="H7" i="5"/>
  <c r="H8" i="5"/>
  <c r="I8" i="5"/>
  <c r="V75" i="5"/>
  <c r="T75" i="5"/>
  <c r="U75" i="5"/>
  <c r="T4" i="5"/>
  <c r="V4" i="5"/>
  <c r="U4" i="5"/>
  <c r="H5" i="5"/>
  <c r="I5" i="5"/>
  <c r="U90" i="5"/>
  <c r="T90" i="5"/>
  <c r="V90" i="5"/>
  <c r="I6" i="5"/>
  <c r="H6" i="5"/>
  <c r="F71" i="5"/>
  <c r="F193" i="5"/>
  <c r="U187" i="5"/>
  <c r="V187" i="5"/>
  <c r="T187" i="5"/>
  <c r="N190" i="5"/>
  <c r="L190" i="5"/>
  <c r="L26" i="5"/>
  <c r="L46" i="5"/>
  <c r="N52" i="5"/>
  <c r="M52" i="5"/>
  <c r="L52" i="5"/>
  <c r="L51" i="5"/>
  <c r="M51" i="5"/>
  <c r="L25" i="5"/>
  <c r="L43" i="5"/>
  <c r="L79" i="5"/>
  <c r="M112" i="5"/>
  <c r="L112" i="5"/>
  <c r="L137" i="5"/>
  <c r="M137" i="5"/>
  <c r="BX2" i="1"/>
  <c r="M79" i="5"/>
  <c r="M43" i="5"/>
  <c r="M46" i="5"/>
  <c r="M25" i="5"/>
  <c r="N25" i="5"/>
  <c r="M26" i="5"/>
  <c r="K1" i="5"/>
  <c r="H2" i="9"/>
  <c r="L92" i="3"/>
  <c r="L86" i="3"/>
  <c r="L52" i="3"/>
  <c r="L51" i="3"/>
  <c r="L35" i="3"/>
  <c r="L36" i="3"/>
  <c r="L29" i="3"/>
  <c r="L122" i="3"/>
  <c r="L34" i="3"/>
  <c r="L32" i="3"/>
  <c r="L30" i="3"/>
  <c r="L73" i="3"/>
  <c r="L72" i="3"/>
  <c r="L67" i="3"/>
  <c r="L129" i="3"/>
  <c r="L71" i="3"/>
  <c r="L70" i="3"/>
  <c r="L69" i="3"/>
  <c r="L68" i="3"/>
  <c r="L10" i="3"/>
  <c r="L11" i="3"/>
  <c r="L8" i="3"/>
  <c r="L9" i="3"/>
  <c r="L5" i="3"/>
  <c r="G18" i="3"/>
  <c r="F136" i="3"/>
  <c r="G136" i="3"/>
  <c r="G135" i="3"/>
  <c r="G134" i="3"/>
  <c r="G133" i="3"/>
  <c r="G131" i="3"/>
  <c r="G129" i="3"/>
  <c r="G128" i="3"/>
  <c r="F126" i="3"/>
  <c r="J127" i="3"/>
  <c r="F127" i="3"/>
  <c r="J126" i="3"/>
  <c r="J129" i="3"/>
  <c r="F129" i="3"/>
  <c r="J124" i="3"/>
  <c r="F124" i="3"/>
  <c r="F122" i="3"/>
  <c r="J122" i="3"/>
  <c r="J118" i="3"/>
  <c r="F118" i="3"/>
  <c r="F113" i="3"/>
  <c r="J113" i="3"/>
  <c r="F91" i="3"/>
  <c r="F92" i="3"/>
  <c r="F90" i="3"/>
  <c r="J90" i="3"/>
  <c r="J91" i="3"/>
  <c r="J92" i="3"/>
  <c r="J103" i="3"/>
  <c r="J104" i="3"/>
  <c r="J105" i="3"/>
  <c r="J108" i="3"/>
  <c r="F103" i="3"/>
  <c r="F104" i="3"/>
  <c r="F105" i="3"/>
  <c r="F108" i="3"/>
  <c r="I32" i="9"/>
  <c r="H32" i="9"/>
  <c r="G32" i="9"/>
  <c r="C32" i="9" s="1"/>
  <c r="H31" i="9"/>
  <c r="D31" i="9" s="1"/>
  <c r="G121" i="3"/>
  <c r="G120" i="3"/>
  <c r="G118" i="3"/>
  <c r="G117" i="3"/>
  <c r="G116" i="3"/>
  <c r="G115" i="3"/>
  <c r="G114" i="3"/>
  <c r="C29" i="9"/>
  <c r="G112" i="3"/>
  <c r="G111" i="3"/>
  <c r="G110" i="3"/>
  <c r="G109" i="3"/>
  <c r="G100" i="3"/>
  <c r="G99" i="3"/>
  <c r="G97" i="3"/>
  <c r="G96" i="3"/>
  <c r="G94" i="3"/>
  <c r="G93" i="3"/>
  <c r="G92" i="3"/>
  <c r="G91" i="3"/>
  <c r="G90" i="3"/>
  <c r="G89" i="3"/>
  <c r="F6" i="3"/>
  <c r="F7" i="3"/>
  <c r="F8" i="3"/>
  <c r="F9" i="3"/>
  <c r="F10" i="3"/>
  <c r="F11" i="3"/>
  <c r="F5" i="3"/>
  <c r="J5" i="3"/>
  <c r="J6" i="3"/>
  <c r="J7" i="3"/>
  <c r="J8" i="3"/>
  <c r="J9" i="3"/>
  <c r="J10" i="3"/>
  <c r="J11" i="3"/>
  <c r="F32" i="3"/>
  <c r="F33" i="3"/>
  <c r="F34" i="3"/>
  <c r="J32" i="3"/>
  <c r="J33" i="3"/>
  <c r="J34" i="3"/>
  <c r="J67" i="3"/>
  <c r="J68" i="3"/>
  <c r="J69" i="3"/>
  <c r="J70" i="3"/>
  <c r="J71" i="3"/>
  <c r="J72" i="3"/>
  <c r="J73" i="3"/>
  <c r="F67" i="3"/>
  <c r="F68" i="3"/>
  <c r="F69" i="3"/>
  <c r="F70" i="3"/>
  <c r="F71" i="3"/>
  <c r="F72" i="3"/>
  <c r="F73" i="3"/>
  <c r="G88" i="3"/>
  <c r="G87" i="3"/>
  <c r="G86" i="3"/>
  <c r="G137" i="3"/>
  <c r="G85" i="3"/>
  <c r="G84" i="3"/>
  <c r="G83" i="3"/>
  <c r="G82" i="3"/>
  <c r="F79" i="3"/>
  <c r="G78" i="3"/>
  <c r="G76" i="3"/>
  <c r="G73" i="3"/>
  <c r="G72" i="3"/>
  <c r="G71" i="3"/>
  <c r="G70" i="3"/>
  <c r="G69" i="3"/>
  <c r="G68" i="3"/>
  <c r="G67" i="3"/>
  <c r="H14" i="9"/>
  <c r="F27" i="3"/>
  <c r="G56" i="3"/>
  <c r="G53" i="3"/>
  <c r="G54" i="3"/>
  <c r="G51" i="3"/>
  <c r="G52" i="3"/>
  <c r="G50" i="3"/>
  <c r="G49" i="3"/>
  <c r="G46" i="3"/>
  <c r="G45" i="3"/>
  <c r="G43" i="3"/>
  <c r="G42" i="3"/>
  <c r="H130" i="3"/>
  <c r="G130" i="3"/>
  <c r="G40" i="3"/>
  <c r="H40" i="3"/>
  <c r="G39" i="3"/>
  <c r="G38" i="3"/>
  <c r="G132" i="3"/>
  <c r="G123" i="3"/>
  <c r="G74" i="3"/>
  <c r="G37" i="3"/>
  <c r="G36" i="3"/>
  <c r="G35" i="3"/>
  <c r="G32" i="3"/>
  <c r="G30" i="3"/>
  <c r="G31" i="3"/>
  <c r="G29" i="3"/>
  <c r="G11" i="3"/>
  <c r="F26" i="3"/>
  <c r="G26" i="3"/>
  <c r="G24" i="3"/>
  <c r="G22" i="3"/>
  <c r="G21" i="3"/>
  <c r="G20" i="3"/>
  <c r="G19" i="3"/>
  <c r="G17" i="3"/>
  <c r="G14" i="3"/>
  <c r="G13" i="3"/>
  <c r="F125" i="3"/>
  <c r="G125" i="3"/>
  <c r="H125" i="3"/>
  <c r="G12" i="3"/>
  <c r="F12" i="3"/>
  <c r="H6" i="9"/>
  <c r="D6" i="9" s="1"/>
  <c r="G9" i="3"/>
  <c r="G10" i="3"/>
  <c r="G8" i="3"/>
  <c r="G7" i="3"/>
  <c r="G6" i="3"/>
  <c r="G5" i="3"/>
  <c r="G4" i="3"/>
  <c r="G3" i="3"/>
  <c r="G2" i="3"/>
  <c r="E3" i="9"/>
  <c r="C4" i="9"/>
  <c r="E4" i="9"/>
  <c r="C5" i="9"/>
  <c r="D5" i="9"/>
  <c r="E5" i="9"/>
  <c r="C6" i="9"/>
  <c r="E6" i="9"/>
  <c r="C7" i="9"/>
  <c r="D7" i="9"/>
  <c r="E7" i="9"/>
  <c r="C8" i="9"/>
  <c r="D8" i="9"/>
  <c r="E8" i="9"/>
  <c r="C9" i="9"/>
  <c r="E11" i="9"/>
  <c r="C12" i="9"/>
  <c r="E12" i="9"/>
  <c r="C13" i="9"/>
  <c r="D13" i="9"/>
  <c r="E13" i="9"/>
  <c r="C14" i="9"/>
  <c r="E14" i="9"/>
  <c r="C15" i="9"/>
  <c r="E15" i="9"/>
  <c r="C16" i="9"/>
  <c r="D16" i="9"/>
  <c r="E16" i="9"/>
  <c r="C17" i="9"/>
  <c r="D17" i="9"/>
  <c r="E17" i="9"/>
  <c r="D18" i="9"/>
  <c r="E18" i="9"/>
  <c r="D19" i="9"/>
  <c r="E19" i="9"/>
  <c r="C20" i="9"/>
  <c r="D20" i="9"/>
  <c r="E20" i="9"/>
  <c r="C21" i="9"/>
  <c r="D21" i="9"/>
  <c r="E21" i="9"/>
  <c r="C22" i="9"/>
  <c r="D22" i="9"/>
  <c r="E22" i="9"/>
  <c r="C23" i="9"/>
  <c r="D23" i="9"/>
  <c r="E23" i="9"/>
  <c r="C24" i="9"/>
  <c r="E24" i="9"/>
  <c r="C25" i="9"/>
  <c r="D25" i="9"/>
  <c r="E25" i="9"/>
  <c r="C26" i="9"/>
  <c r="D26" i="9"/>
  <c r="E26" i="9"/>
  <c r="C27" i="9"/>
  <c r="D27" i="9"/>
  <c r="E27" i="9"/>
  <c r="C28" i="9"/>
  <c r="D28" i="9"/>
  <c r="E28" i="9"/>
  <c r="D29" i="9"/>
  <c r="E29" i="9"/>
  <c r="C30" i="9"/>
  <c r="D30" i="9"/>
  <c r="E30" i="9"/>
  <c r="C31" i="9"/>
  <c r="E31" i="9"/>
  <c r="C33" i="9"/>
  <c r="D33" i="9"/>
  <c r="E33" i="9"/>
  <c r="L326" i="3" l="1"/>
  <c r="L324" i="3"/>
  <c r="L323" i="3"/>
  <c r="L322" i="3"/>
  <c r="L325" i="3"/>
  <c r="D32" i="9"/>
  <c r="E32" i="9"/>
  <c r="X5" i="15"/>
  <c r="W5" i="15"/>
  <c r="X4" i="15"/>
  <c r="W4" i="15"/>
  <c r="X3" i="15"/>
  <c r="W3" i="15"/>
  <c r="W2" i="15"/>
  <c r="X2" i="15"/>
  <c r="Q3" i="15"/>
  <c r="R3" i="15"/>
  <c r="Q4" i="15"/>
  <c r="R4" i="15"/>
  <c r="Q5" i="15"/>
  <c r="R5" i="15"/>
  <c r="R2" i="15"/>
  <c r="Q2" i="15"/>
  <c r="P3" i="15"/>
  <c r="P4" i="15"/>
  <c r="P5" i="15"/>
  <c r="P2" i="15"/>
  <c r="O5" i="15"/>
  <c r="O4" i="15"/>
  <c r="O3" i="15"/>
  <c r="O2" i="15"/>
  <c r="H2" i="15"/>
  <c r="H3" i="15"/>
  <c r="H4" i="15"/>
  <c r="H5" i="15"/>
  <c r="I3" i="15"/>
  <c r="I4" i="15"/>
  <c r="I5" i="15"/>
  <c r="I2" i="15"/>
  <c r="T3" i="15"/>
  <c r="T4" i="15"/>
  <c r="T5" i="15"/>
  <c r="T2" i="15"/>
  <c r="N5" i="15"/>
  <c r="L3" i="15"/>
  <c r="L4" i="15"/>
  <c r="L5" i="15"/>
  <c r="L2" i="15"/>
  <c r="M3" i="15"/>
  <c r="M4" i="15"/>
  <c r="M5" i="15"/>
  <c r="M2" i="15"/>
  <c r="N2" i="15"/>
  <c r="N3" i="15"/>
  <c r="N4" i="15"/>
  <c r="B3" i="15"/>
  <c r="C3" i="15" s="1"/>
  <c r="B4" i="15"/>
  <c r="C4" i="15" s="1"/>
  <c r="B5" i="15"/>
  <c r="C5" i="15" s="1"/>
  <c r="B2" i="15"/>
  <c r="E2" i="15" s="1"/>
  <c r="D2" i="9"/>
  <c r="D4" i="9"/>
  <c r="G19" i="9"/>
  <c r="C19" i="9" s="1"/>
  <c r="G18" i="9"/>
  <c r="C18" i="9" s="1"/>
  <c r="E2" i="9"/>
  <c r="I24" i="12"/>
  <c r="J24" i="12"/>
  <c r="K24" i="12"/>
  <c r="M24" i="12"/>
  <c r="Q24" i="12"/>
  <c r="I25" i="12"/>
  <c r="J25" i="12"/>
  <c r="K25" i="12"/>
  <c r="M25" i="12"/>
  <c r="Q25" i="12"/>
  <c r="I26" i="12"/>
  <c r="J26" i="12"/>
  <c r="K26" i="12"/>
  <c r="M26" i="12"/>
  <c r="Q26" i="12"/>
  <c r="I27" i="12"/>
  <c r="J27" i="12"/>
  <c r="K27" i="12"/>
  <c r="M27" i="12"/>
  <c r="Q27" i="12"/>
  <c r="I28" i="12"/>
  <c r="J28" i="12"/>
  <c r="K28" i="12"/>
  <c r="M28" i="12"/>
  <c r="Q28" i="12"/>
  <c r="I29" i="12"/>
  <c r="J29" i="12"/>
  <c r="K29" i="12"/>
  <c r="M29" i="12"/>
  <c r="I30" i="12"/>
  <c r="J30" i="12"/>
  <c r="K30" i="12"/>
  <c r="M30" i="12"/>
  <c r="I31" i="12"/>
  <c r="J31" i="12"/>
  <c r="K31" i="12"/>
  <c r="M31" i="12"/>
  <c r="I32" i="12"/>
  <c r="J32" i="12"/>
  <c r="K32" i="12"/>
  <c r="M32" i="12"/>
  <c r="I33" i="12"/>
  <c r="J33" i="12"/>
  <c r="R33" i="12" s="1"/>
  <c r="K33" i="12"/>
  <c r="M33" i="12"/>
  <c r="I34" i="12"/>
  <c r="J34" i="12"/>
  <c r="K34" i="12"/>
  <c r="M34" i="12"/>
  <c r="Q23" i="12"/>
  <c r="M23" i="12"/>
  <c r="K23" i="12"/>
  <c r="J23" i="12"/>
  <c r="I23" i="12"/>
  <c r="Q4" i="12"/>
  <c r="Q5" i="12"/>
  <c r="Q6" i="12"/>
  <c r="Q7" i="12"/>
  <c r="Q8" i="12"/>
  <c r="Q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3" i="12"/>
  <c r="K3" i="12"/>
  <c r="R8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I4" i="12"/>
  <c r="J4" i="12"/>
  <c r="I5" i="12"/>
  <c r="J5" i="12"/>
  <c r="I6" i="12"/>
  <c r="J6" i="12"/>
  <c r="R6" i="12" s="1"/>
  <c r="I7" i="12"/>
  <c r="J7" i="12"/>
  <c r="I8" i="12"/>
  <c r="J8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J3" i="12"/>
  <c r="R3" i="12" s="1"/>
  <c r="I3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H34" i="12"/>
  <c r="F34" i="12"/>
  <c r="C34" i="12"/>
  <c r="H33" i="12"/>
  <c r="F33" i="12"/>
  <c r="C33" i="12"/>
  <c r="H32" i="12"/>
  <c r="F32" i="12"/>
  <c r="C32" i="12"/>
  <c r="H31" i="12"/>
  <c r="F31" i="12"/>
  <c r="C31" i="12"/>
  <c r="H30" i="12"/>
  <c r="F30" i="12"/>
  <c r="C30" i="12"/>
  <c r="H29" i="12"/>
  <c r="F29" i="12"/>
  <c r="C29" i="12"/>
  <c r="H28" i="12"/>
  <c r="F28" i="12"/>
  <c r="C28" i="12"/>
  <c r="H27" i="12"/>
  <c r="F27" i="12"/>
  <c r="C27" i="12"/>
  <c r="H26" i="12"/>
  <c r="F26" i="12"/>
  <c r="C26" i="12"/>
  <c r="H25" i="12"/>
  <c r="F25" i="12"/>
  <c r="C25" i="12"/>
  <c r="H24" i="12"/>
  <c r="F24" i="12"/>
  <c r="C24" i="12"/>
  <c r="H23" i="12"/>
  <c r="F23" i="12"/>
  <c r="C2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E3" i="12"/>
  <c r="F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1" i="5"/>
  <c r="R20" i="12" l="1"/>
  <c r="R19" i="12"/>
  <c r="R13" i="12"/>
  <c r="R7" i="12"/>
  <c r="R14" i="12"/>
  <c r="R24" i="12"/>
  <c r="L33" i="12"/>
  <c r="R34" i="12"/>
  <c r="R18" i="12"/>
  <c r="R12" i="12"/>
  <c r="R11" i="12"/>
  <c r="L27" i="12"/>
  <c r="P27" i="12" s="1"/>
  <c r="R15" i="12"/>
  <c r="R9" i="12"/>
  <c r="R32" i="12"/>
  <c r="O33" i="12"/>
  <c r="N33" i="12"/>
  <c r="Q33" i="12" s="1"/>
  <c r="L26" i="12"/>
  <c r="N26" i="12" s="1"/>
  <c r="O26" i="12" s="1"/>
  <c r="R17" i="12"/>
  <c r="R5" i="12"/>
  <c r="R16" i="12"/>
  <c r="R10" i="12"/>
  <c r="R4" i="12"/>
  <c r="U4" i="15"/>
  <c r="R30" i="12"/>
  <c r="G14" i="12"/>
  <c r="L9" i="12"/>
  <c r="R23" i="12"/>
  <c r="L24" i="12"/>
  <c r="R28" i="12"/>
  <c r="R26" i="12"/>
  <c r="L30" i="12"/>
  <c r="L29" i="12"/>
  <c r="P29" i="12" s="1"/>
  <c r="L32" i="12"/>
  <c r="N32" i="12" s="1"/>
  <c r="Q32" i="12" s="1"/>
  <c r="N27" i="12"/>
  <c r="O27" i="12" s="1"/>
  <c r="R29" i="12"/>
  <c r="L18" i="12"/>
  <c r="L6" i="12"/>
  <c r="L25" i="12"/>
  <c r="P25" i="12" s="1"/>
  <c r="R27" i="12"/>
  <c r="L31" i="12"/>
  <c r="O31" i="12" s="1"/>
  <c r="V4" i="15"/>
  <c r="K5" i="15"/>
  <c r="K3" i="15"/>
  <c r="U5" i="15"/>
  <c r="V5" i="15" s="1"/>
  <c r="U2" i="15"/>
  <c r="V2" i="15" s="1"/>
  <c r="J2" i="15" s="1"/>
  <c r="G2" i="15"/>
  <c r="K2" i="15"/>
  <c r="K4" i="15"/>
  <c r="G5" i="15"/>
  <c r="G4" i="15"/>
  <c r="G3" i="15"/>
  <c r="U3" i="15"/>
  <c r="V3" i="15" s="1"/>
  <c r="E4" i="15"/>
  <c r="D4" i="15"/>
  <c r="E5" i="15"/>
  <c r="E3" i="15"/>
  <c r="D5" i="15"/>
  <c r="D3" i="15"/>
  <c r="C2" i="15"/>
  <c r="D2" i="15"/>
  <c r="O32" i="12"/>
  <c r="N25" i="12"/>
  <c r="O25" i="12" s="1"/>
  <c r="N29" i="12"/>
  <c r="Q29" i="12" s="1"/>
  <c r="N30" i="12"/>
  <c r="Q30" i="12" s="1"/>
  <c r="O30" i="12"/>
  <c r="P30" i="12"/>
  <c r="N31" i="12"/>
  <c r="Q31" i="12" s="1"/>
  <c r="P31" i="12"/>
  <c r="N24" i="12"/>
  <c r="O24" i="12" s="1"/>
  <c r="P24" i="12"/>
  <c r="L34" i="12"/>
  <c r="R31" i="12"/>
  <c r="L28" i="12"/>
  <c r="R25" i="12"/>
  <c r="P32" i="12"/>
  <c r="P26" i="12"/>
  <c r="P33" i="12"/>
  <c r="L23" i="12"/>
  <c r="L20" i="12"/>
  <c r="L14" i="12"/>
  <c r="L8" i="12"/>
  <c r="L19" i="12"/>
  <c r="L13" i="12"/>
  <c r="L7" i="12"/>
  <c r="G20" i="12"/>
  <c r="G25" i="12"/>
  <c r="G27" i="12"/>
  <c r="L12" i="12"/>
  <c r="O12" i="12" s="1"/>
  <c r="G18" i="12"/>
  <c r="L17" i="12"/>
  <c r="L11" i="12"/>
  <c r="O11" i="12" s="1"/>
  <c r="L5" i="12"/>
  <c r="G16" i="12"/>
  <c r="L15" i="12"/>
  <c r="O15" i="12" s="1"/>
  <c r="L16" i="12"/>
  <c r="L10" i="12"/>
  <c r="L4" i="12"/>
  <c r="G23" i="12"/>
  <c r="L3" i="12"/>
  <c r="G33" i="12"/>
  <c r="G8" i="12"/>
  <c r="G6" i="12"/>
  <c r="G30" i="12"/>
  <c r="G4" i="12"/>
  <c r="G17" i="12"/>
  <c r="G5" i="12"/>
  <c r="G15" i="12"/>
  <c r="G3" i="12"/>
  <c r="G32" i="12"/>
  <c r="G13" i="12"/>
  <c r="G12" i="12"/>
  <c r="G7" i="12"/>
  <c r="G19" i="12"/>
  <c r="G11" i="12"/>
  <c r="G28" i="12"/>
  <c r="G10" i="12"/>
  <c r="G9" i="12"/>
  <c r="G24" i="12"/>
  <c r="G31" i="12"/>
  <c r="G34" i="12"/>
  <c r="G26" i="12"/>
  <c r="G29" i="12"/>
  <c r="O29" i="12" l="1"/>
  <c r="P7" i="12"/>
  <c r="N7" i="12"/>
  <c r="O7" i="12" s="1"/>
  <c r="N16" i="12"/>
  <c r="Q16" i="12" s="1"/>
  <c r="P16" i="12"/>
  <c r="P13" i="12"/>
  <c r="N13" i="12"/>
  <c r="Q13" i="12" s="1"/>
  <c r="O13" i="12"/>
  <c r="P4" i="12"/>
  <c r="N4" i="12"/>
  <c r="O4" i="12" s="1"/>
  <c r="N19" i="12"/>
  <c r="Q19" i="12" s="1"/>
  <c r="P19" i="12"/>
  <c r="P6" i="12"/>
  <c r="N6" i="12"/>
  <c r="O6" i="12" s="1"/>
  <c r="P10" i="12"/>
  <c r="N10" i="12"/>
  <c r="Q10" i="12" s="1"/>
  <c r="P15" i="12"/>
  <c r="N15" i="12"/>
  <c r="Q15" i="12" s="1"/>
  <c r="P8" i="12"/>
  <c r="N8" i="12"/>
  <c r="O8" i="12" s="1"/>
  <c r="N18" i="12"/>
  <c r="Q18" i="12" s="1"/>
  <c r="O18" i="12"/>
  <c r="P18" i="12"/>
  <c r="O16" i="12"/>
  <c r="P14" i="12"/>
  <c r="N14" i="12"/>
  <c r="Q14" i="12" s="1"/>
  <c r="O14" i="12"/>
  <c r="P20" i="12"/>
  <c r="N20" i="12"/>
  <c r="Q20" i="12" s="1"/>
  <c r="O20" i="12"/>
  <c r="N12" i="12"/>
  <c r="Q12" i="12" s="1"/>
  <c r="P12" i="12"/>
  <c r="N11" i="12"/>
  <c r="Q11" i="12" s="1"/>
  <c r="P11" i="12"/>
  <c r="P5" i="12"/>
  <c r="N5" i="12"/>
  <c r="O5" i="12" s="1"/>
  <c r="P17" i="12"/>
  <c r="N17" i="12"/>
  <c r="Q17" i="12" s="1"/>
  <c r="O17" i="12"/>
  <c r="P3" i="12"/>
  <c r="N3" i="12"/>
  <c r="O3" i="12" s="1"/>
  <c r="N9" i="12"/>
  <c r="Q9" i="12" s="1"/>
  <c r="O9" i="12"/>
  <c r="P9" i="12"/>
  <c r="O10" i="12"/>
  <c r="O19" i="12"/>
  <c r="J4" i="15"/>
  <c r="J5" i="15"/>
  <c r="J3" i="15"/>
  <c r="N28" i="12"/>
  <c r="O28" i="12" s="1"/>
  <c r="P28" i="12"/>
  <c r="P34" i="12"/>
  <c r="N34" i="12"/>
  <c r="Q34" i="12" s="1"/>
  <c r="O34" i="12"/>
  <c r="P23" i="12"/>
  <c r="N23" i="12"/>
  <c r="O23" i="12" s="1"/>
  <c r="H15" i="9" l="1"/>
  <c r="D15" i="9" s="1"/>
  <c r="D14" i="9"/>
  <c r="H24" i="9"/>
  <c r="D24" i="9" s="1"/>
  <c r="G11" i="9"/>
  <c r="C11" i="9" s="1"/>
  <c r="G10" i="9"/>
  <c r="C10" i="9" s="1"/>
  <c r="H11" i="9"/>
  <c r="D11" i="9" s="1"/>
  <c r="I10" i="9"/>
  <c r="E10" i="9" s="1"/>
  <c r="I9" i="9"/>
  <c r="E9" i="9" s="1"/>
  <c r="H3" i="9"/>
  <c r="D3" i="9" s="1"/>
  <c r="G2" i="9"/>
  <c r="C2" i="9" s="1"/>
  <c r="G3" i="9"/>
  <c r="C3" i="9" s="1"/>
  <c r="D12" i="9" l="1"/>
  <c r="H10" i="9"/>
  <c r="D10" i="9" s="1"/>
  <c r="H9" i="9"/>
  <c r="D9" i="9" s="1"/>
  <c r="V1" i="5" l="1"/>
  <c r="O1" i="5"/>
  <c r="R1" i="5"/>
  <c r="S1" i="5"/>
  <c r="F1" i="5" l="1"/>
  <c r="D1" i="5"/>
  <c r="B1" i="5"/>
  <c r="A1" i="5"/>
  <c r="S5" i="3" l="1"/>
  <c r="AD5" i="1" s="1"/>
  <c r="S136" i="3"/>
  <c r="AD136" i="1" s="1"/>
  <c r="S101" i="3"/>
  <c r="S70" i="3"/>
  <c r="AD70" i="1" s="1"/>
  <c r="S50" i="3"/>
  <c r="S135" i="3"/>
  <c r="AD135" i="1" s="1"/>
  <c r="S100" i="3"/>
  <c r="S34" i="3"/>
  <c r="AD34" i="1" s="1"/>
  <c r="S98" i="3"/>
  <c r="AD98" i="1" s="1"/>
  <c r="S111" i="3"/>
  <c r="AD111" i="1" s="1"/>
  <c r="S10" i="3"/>
  <c r="AD10" i="1" s="1"/>
  <c r="S46" i="3"/>
  <c r="S94" i="3"/>
  <c r="S243" i="3"/>
  <c r="AD316" i="1" s="1"/>
  <c r="S320" i="3"/>
  <c r="T215" i="3"/>
  <c r="S306" i="3"/>
  <c r="AD322" i="1" s="1"/>
  <c r="T298" i="3"/>
  <c r="T246" i="3"/>
  <c r="T209" i="3"/>
  <c r="T314" i="3"/>
  <c r="T315" i="3"/>
  <c r="T258" i="3"/>
  <c r="S296" i="3"/>
  <c r="S220" i="3"/>
  <c r="T307" i="3"/>
  <c r="T227" i="3"/>
  <c r="T277" i="3"/>
  <c r="S276" i="3"/>
  <c r="AD340" i="1" s="1"/>
  <c r="T275" i="3"/>
  <c r="S239" i="3"/>
  <c r="AD289" i="1" s="1"/>
  <c r="S242" i="3"/>
  <c r="AD233" i="1" s="1"/>
  <c r="T286" i="3"/>
  <c r="T210" i="3"/>
  <c r="T295" i="3"/>
  <c r="S324" i="3"/>
  <c r="AD323" i="1" s="1"/>
  <c r="T199" i="3"/>
  <c r="T304" i="3"/>
  <c r="T312" i="3"/>
  <c r="T211" i="3"/>
  <c r="T327" i="3"/>
  <c r="S215" i="3"/>
  <c r="AD276" i="1" s="1"/>
  <c r="T229" i="3"/>
  <c r="S298" i="3"/>
  <c r="AD269" i="1" s="1"/>
  <c r="S246" i="3"/>
  <c r="S209" i="3"/>
  <c r="T325" i="3"/>
  <c r="S227" i="3"/>
  <c r="AD246" i="1" s="1"/>
  <c r="T292" i="3"/>
  <c r="S277" i="3"/>
  <c r="AD250" i="1" s="1"/>
  <c r="S275" i="3"/>
  <c r="AD345" i="1" s="1"/>
  <c r="T233" i="3"/>
  <c r="S300" i="3"/>
  <c r="AD271" i="1" s="1"/>
  <c r="S286" i="3"/>
  <c r="S210" i="3"/>
  <c r="S295" i="3"/>
  <c r="T245" i="3"/>
  <c r="S251" i="3"/>
  <c r="AD287" i="1" s="1"/>
  <c r="T280" i="3"/>
  <c r="S249" i="3"/>
  <c r="T225" i="3"/>
  <c r="S212" i="3"/>
  <c r="AD236" i="1" s="1"/>
  <c r="S241" i="3"/>
  <c r="AD232" i="1" s="1"/>
  <c r="S282" i="3"/>
  <c r="S297" i="3"/>
  <c r="AD282" i="1" s="1"/>
  <c r="S213" i="3"/>
  <c r="AD315" i="1" s="1"/>
  <c r="S322" i="3"/>
  <c r="AD295" i="1" s="1"/>
  <c r="T328" i="3"/>
  <c r="S312" i="3"/>
  <c r="S211" i="3"/>
  <c r="AD296" i="1" s="1"/>
  <c r="T217" i="3"/>
  <c r="T296" i="3"/>
  <c r="S327" i="3"/>
  <c r="AD281" i="1" s="1"/>
  <c r="T220" i="3"/>
  <c r="S229" i="3"/>
  <c r="AD283" i="1" s="1"/>
  <c r="T323" i="3"/>
  <c r="S325" i="3"/>
  <c r="AD273" i="1" s="1"/>
  <c r="T276" i="3"/>
  <c r="T239" i="3"/>
  <c r="T242" i="3"/>
  <c r="S217" i="3"/>
  <c r="AD291" i="1" s="1"/>
  <c r="T284" i="3"/>
  <c r="T198" i="3"/>
  <c r="T324" i="3"/>
  <c r="S323" i="3"/>
  <c r="AD303" i="1" s="1"/>
  <c r="S292" i="3"/>
  <c r="T283" i="3"/>
  <c r="S233" i="3"/>
  <c r="AD267" i="1" s="1"/>
  <c r="S247" i="3"/>
  <c r="T249" i="3"/>
  <c r="T290" i="3"/>
  <c r="T212" i="3"/>
  <c r="S283" i="3"/>
  <c r="T232" i="3"/>
  <c r="T241" i="3"/>
  <c r="S207" i="3"/>
  <c r="T322" i="3"/>
  <c r="T221" i="3"/>
  <c r="T305" i="3"/>
  <c r="T262" i="3"/>
  <c r="T223" i="3"/>
  <c r="T222" i="3"/>
  <c r="S328" i="3"/>
  <c r="AD272" i="1" s="1"/>
  <c r="T266" i="3"/>
  <c r="T208" i="3"/>
  <c r="T321" i="3"/>
  <c r="S314" i="3"/>
  <c r="S315" i="3"/>
  <c r="S258" i="3"/>
  <c r="AD298" i="1" s="1"/>
  <c r="T265" i="3"/>
  <c r="T301" i="3"/>
  <c r="S284" i="3"/>
  <c r="S198" i="3"/>
  <c r="S307" i="3"/>
  <c r="AD290" i="1" s="1"/>
  <c r="T300" i="3"/>
  <c r="S321" i="3"/>
  <c r="T247" i="3"/>
  <c r="S265" i="3"/>
  <c r="AD294" i="1" s="1"/>
  <c r="T251" i="3"/>
  <c r="S301" i="3"/>
  <c r="AD286" i="1" s="1"/>
  <c r="T293" i="3"/>
  <c r="S293" i="3"/>
  <c r="T243" i="3"/>
  <c r="T320" i="3"/>
  <c r="T306" i="3"/>
  <c r="S266" i="3"/>
  <c r="S316" i="3"/>
  <c r="AD260" i="1" s="1"/>
  <c r="S208" i="3"/>
  <c r="S238" i="3"/>
  <c r="AD245" i="1" s="1"/>
  <c r="S281" i="3"/>
  <c r="S236" i="3"/>
  <c r="AD234" i="1" s="1"/>
  <c r="T207" i="3"/>
  <c r="S245" i="3"/>
  <c r="AD292" i="1" s="1"/>
  <c r="T216" i="3"/>
  <c r="S280" i="3"/>
  <c r="T282" i="3"/>
  <c r="S199" i="3"/>
  <c r="S304" i="3"/>
  <c r="AD317" i="1" s="1"/>
  <c r="T297" i="3"/>
  <c r="T213" i="3"/>
  <c r="T299" i="3"/>
  <c r="S290" i="3"/>
  <c r="S232" i="3"/>
  <c r="AD266" i="1" s="1"/>
  <c r="S216" i="3"/>
  <c r="AD288" i="1" s="1"/>
  <c r="S299" i="3"/>
  <c r="AD270" i="1" s="1"/>
  <c r="S225" i="3"/>
  <c r="AD244" i="1" s="1"/>
  <c r="S221" i="3"/>
  <c r="T234" i="3"/>
  <c r="T214" i="3"/>
  <c r="S234" i="3"/>
  <c r="AD257" i="1" s="1"/>
  <c r="T240" i="3"/>
  <c r="S214" i="3"/>
  <c r="AD297" i="1" s="1"/>
  <c r="T316" i="3"/>
  <c r="S305" i="3"/>
  <c r="AD247" i="1" s="1"/>
  <c r="T238" i="3"/>
  <c r="S262" i="3"/>
  <c r="AD242" i="1" s="1"/>
  <c r="S223" i="3"/>
  <c r="S222" i="3"/>
  <c r="T281" i="3"/>
  <c r="T236" i="3"/>
  <c r="S240" i="3"/>
  <c r="AD231" i="1" s="1"/>
  <c r="S272" i="3"/>
  <c r="S171" i="3"/>
  <c r="AD171" i="1" s="1"/>
  <c r="S274" i="3"/>
  <c r="S287" i="3"/>
  <c r="S168" i="3"/>
  <c r="AD168" i="1" s="1"/>
  <c r="S271" i="3"/>
  <c r="S273" i="3"/>
  <c r="T271" i="3"/>
  <c r="T273" i="3"/>
  <c r="T228" i="3"/>
  <c r="S228" i="3"/>
  <c r="AD230" i="1" s="1"/>
  <c r="T272" i="3"/>
  <c r="T171" i="3"/>
  <c r="T274" i="3"/>
  <c r="T287" i="3"/>
  <c r="T168" i="3"/>
  <c r="T224" i="3"/>
  <c r="S218" i="3"/>
  <c r="S279" i="3"/>
  <c r="T226" i="3"/>
  <c r="S224" i="3"/>
  <c r="AD227" i="1" s="1"/>
  <c r="S204" i="3"/>
  <c r="AD215" i="1" s="1"/>
  <c r="O215" i="5" s="1"/>
  <c r="S231" i="3"/>
  <c r="AD221" i="1" s="1"/>
  <c r="S302" i="3"/>
  <c r="AD252" i="1" s="1"/>
  <c r="T188" i="3"/>
  <c r="T187" i="3"/>
  <c r="S186" i="3"/>
  <c r="T182" i="3"/>
  <c r="T176" i="3"/>
  <c r="T173" i="3"/>
  <c r="S169" i="3"/>
  <c r="S226" i="3"/>
  <c r="AD228" i="1" s="1"/>
  <c r="T278" i="3"/>
  <c r="S278" i="3"/>
  <c r="T310" i="3"/>
  <c r="T194" i="3"/>
  <c r="T269" i="3"/>
  <c r="T289" i="3"/>
  <c r="T326" i="3"/>
  <c r="T193" i="3"/>
  <c r="T174" i="3"/>
  <c r="T170" i="3"/>
  <c r="S195" i="3"/>
  <c r="S270" i="3"/>
  <c r="S256" i="3"/>
  <c r="S319" i="3"/>
  <c r="S193" i="3"/>
  <c r="T181" i="3"/>
  <c r="T178" i="3"/>
  <c r="T175" i="3"/>
  <c r="S174" i="3"/>
  <c r="AD174" i="1" s="1"/>
  <c r="S172" i="3"/>
  <c r="AD172" i="1" s="1"/>
  <c r="S311" i="3"/>
  <c r="AD220" i="1" s="1"/>
  <c r="S313" i="3"/>
  <c r="S259" i="3"/>
  <c r="AD293" i="1" s="1"/>
  <c r="S191" i="3"/>
  <c r="AD207" i="1" s="1"/>
  <c r="T203" i="3"/>
  <c r="T311" i="3"/>
  <c r="T313" i="3"/>
  <c r="T259" i="3"/>
  <c r="S190" i="3"/>
  <c r="AD206" i="1" s="1"/>
  <c r="T186" i="3"/>
  <c r="S177" i="3"/>
  <c r="AD177" i="1" s="1"/>
  <c r="S310" i="3"/>
  <c r="AD300" i="1" s="1"/>
  <c r="S203" i="3"/>
  <c r="AD214" i="1" s="1"/>
  <c r="T190" i="3"/>
  <c r="T177" i="3"/>
  <c r="T195" i="3"/>
  <c r="T270" i="3"/>
  <c r="T256" i="3"/>
  <c r="T319" i="3"/>
  <c r="T189" i="3"/>
  <c r="S181" i="3"/>
  <c r="T180" i="3"/>
  <c r="S178" i="3"/>
  <c r="AD178" i="1" s="1"/>
  <c r="S175" i="3"/>
  <c r="T172" i="3"/>
  <c r="S194" i="3"/>
  <c r="S269" i="3"/>
  <c r="S289" i="3"/>
  <c r="S326" i="3"/>
  <c r="AD253" i="1" s="1"/>
  <c r="S192" i="3"/>
  <c r="S185" i="3"/>
  <c r="AD201" i="1" s="1"/>
  <c r="S170" i="3"/>
  <c r="AD170" i="1" s="1"/>
  <c r="T219" i="3"/>
  <c r="S196" i="3"/>
  <c r="S205" i="3"/>
  <c r="S308" i="3"/>
  <c r="AD229" i="1" s="1"/>
  <c r="S264" i="3"/>
  <c r="S189" i="3"/>
  <c r="S180" i="3"/>
  <c r="S219" i="3"/>
  <c r="T196" i="3"/>
  <c r="T205" i="3"/>
  <c r="T308" i="3"/>
  <c r="T264" i="3"/>
  <c r="T184" i="3"/>
  <c r="T309" i="3"/>
  <c r="S202" i="3"/>
  <c r="AD213" i="1" s="1"/>
  <c r="O213" i="5" s="1"/>
  <c r="S206" i="3"/>
  <c r="S248" i="3"/>
  <c r="S257" i="3"/>
  <c r="AD277" i="1" s="1"/>
  <c r="S184" i="3"/>
  <c r="AD200" i="1" s="1"/>
  <c r="T183" i="3"/>
  <c r="T179" i="3"/>
  <c r="S179" i="3"/>
  <c r="T204" i="3"/>
  <c r="T231" i="3"/>
  <c r="T302" i="3"/>
  <c r="T192" i="3"/>
  <c r="S188" i="3"/>
  <c r="AD204" i="1" s="1"/>
  <c r="S187" i="3"/>
  <c r="T185" i="3"/>
  <c r="S182" i="3"/>
  <c r="AD182" i="1" s="1"/>
  <c r="S176" i="3"/>
  <c r="AD176" i="1" s="1"/>
  <c r="S173" i="3"/>
  <c r="T169" i="3"/>
  <c r="S309" i="3"/>
  <c r="AD309" i="1" s="1"/>
  <c r="T202" i="3"/>
  <c r="T206" i="3"/>
  <c r="T248" i="3"/>
  <c r="T257" i="3"/>
  <c r="T191" i="3"/>
  <c r="S183" i="3"/>
  <c r="AD199" i="1" s="1"/>
  <c r="T218" i="3"/>
  <c r="T279" i="3"/>
  <c r="S7" i="3"/>
  <c r="AD7" i="1" s="1"/>
  <c r="S13" i="3"/>
  <c r="AD13" i="1" s="1"/>
  <c r="S25" i="3"/>
  <c r="AD25" i="1" s="1"/>
  <c r="S37" i="3"/>
  <c r="AD37" i="1" s="1"/>
  <c r="S43" i="3"/>
  <c r="S49" i="3"/>
  <c r="S67" i="3"/>
  <c r="S73" i="3"/>
  <c r="AD73" i="1" s="1"/>
  <c r="S79" i="3"/>
  <c r="S85" i="3"/>
  <c r="S97" i="3"/>
  <c r="S103" i="3"/>
  <c r="AD103" i="1" s="1"/>
  <c r="S115" i="3"/>
  <c r="AD115" i="1" s="1"/>
  <c r="S127" i="3"/>
  <c r="AD127" i="1" s="1"/>
  <c r="S63" i="3"/>
  <c r="AD63" i="1" s="1"/>
  <c r="S76" i="3"/>
  <c r="AD76" i="1" s="1"/>
  <c r="T82" i="3"/>
  <c r="S102" i="3"/>
  <c r="S122" i="3"/>
  <c r="AD122" i="1" s="1"/>
  <c r="T167" i="3"/>
  <c r="S38" i="3"/>
  <c r="AD38" i="1" s="1"/>
  <c r="S51" i="3"/>
  <c r="S64" i="3"/>
  <c r="AD64" i="1" s="1"/>
  <c r="T70" i="3"/>
  <c r="S77" i="3"/>
  <c r="AD77" i="1" s="1"/>
  <c r="S110" i="3"/>
  <c r="S162" i="3"/>
  <c r="AD162" i="1" s="1"/>
  <c r="S12" i="3"/>
  <c r="AD12" i="1" s="1"/>
  <c r="S32" i="3"/>
  <c r="AD32" i="1" s="1"/>
  <c r="S45" i="3"/>
  <c r="T64" i="3"/>
  <c r="S71" i="3"/>
  <c r="S84" i="3"/>
  <c r="S104" i="3"/>
  <c r="AD104" i="1" s="1"/>
  <c r="S117" i="3"/>
  <c r="AD117" i="1" s="1"/>
  <c r="T136" i="3"/>
  <c r="T162" i="3"/>
  <c r="S8" i="3"/>
  <c r="AD8" i="1" s="1"/>
  <c r="S21" i="3"/>
  <c r="AD21" i="1" s="1"/>
  <c r="S47" i="3"/>
  <c r="AD47" i="1" s="1"/>
  <c r="S80" i="3"/>
  <c r="S93" i="3"/>
  <c r="AD93" i="1" s="1"/>
  <c r="S106" i="3"/>
  <c r="AD106" i="1" s="1"/>
  <c r="S132" i="3"/>
  <c r="S165" i="3"/>
  <c r="AD165" i="1" s="1"/>
  <c r="S28" i="3"/>
  <c r="AD28" i="1" s="1"/>
  <c r="S41" i="3"/>
  <c r="AD41" i="1" s="1"/>
  <c r="S54" i="3"/>
  <c r="S87" i="3"/>
  <c r="S126" i="3"/>
  <c r="AD126" i="1" s="1"/>
  <c r="S9" i="3"/>
  <c r="AD9" i="1" s="1"/>
  <c r="S22" i="3"/>
  <c r="AD22" i="1" s="1"/>
  <c r="S48" i="3"/>
  <c r="AD48" i="1" s="1"/>
  <c r="S68" i="3"/>
  <c r="S42" i="3"/>
  <c r="S75" i="3"/>
  <c r="AD75" i="1" s="1"/>
  <c r="S88" i="3"/>
  <c r="T94" i="3"/>
  <c r="S134" i="3"/>
  <c r="S160" i="3"/>
  <c r="AD160" i="1" s="1"/>
  <c r="T166" i="3"/>
  <c r="S23" i="3"/>
  <c r="AD23" i="1" s="1"/>
  <c r="T62" i="3"/>
  <c r="V62" i="3" s="1"/>
  <c r="S69" i="3"/>
  <c r="AD69" i="1" s="1"/>
  <c r="T88" i="3"/>
  <c r="S95" i="3"/>
  <c r="AD95" i="1" s="1"/>
  <c r="S108" i="3"/>
  <c r="AD108" i="1" s="1"/>
  <c r="T160" i="3"/>
  <c r="S167" i="3"/>
  <c r="AD167" i="1" s="1"/>
  <c r="S125" i="3"/>
  <c r="AD125" i="1" s="1"/>
  <c r="S6" i="3"/>
  <c r="AD6" i="1" s="1"/>
  <c r="T161" i="3"/>
  <c r="T6" i="3"/>
  <c r="S27" i="3"/>
  <c r="S66" i="3"/>
  <c r="AD66" i="1" s="1"/>
  <c r="S116" i="3"/>
  <c r="S131" i="3"/>
  <c r="AD131" i="1" s="1"/>
  <c r="S11" i="3"/>
  <c r="AD11" i="1" s="1"/>
  <c r="T100" i="3"/>
  <c r="T131" i="3"/>
  <c r="T148" i="3"/>
  <c r="S164" i="3"/>
  <c r="AD164" i="1" s="1"/>
  <c r="T124" i="3"/>
  <c r="S52" i="3"/>
  <c r="S86" i="3"/>
  <c r="S118" i="3"/>
  <c r="AD118" i="1" s="1"/>
  <c r="T133" i="3"/>
  <c r="T151" i="3"/>
  <c r="S78" i="3"/>
  <c r="T156" i="3"/>
  <c r="S24" i="3"/>
  <c r="AD24" i="1" s="1"/>
  <c r="S44" i="3"/>
  <c r="S96" i="3"/>
  <c r="S33" i="3"/>
  <c r="AD33" i="1" s="1"/>
  <c r="S72" i="3"/>
  <c r="S166" i="3"/>
  <c r="AD166" i="1" s="1"/>
  <c r="S53" i="3"/>
  <c r="S105" i="3"/>
  <c r="AD105" i="1" s="1"/>
  <c r="S137" i="3"/>
  <c r="S39" i="3"/>
  <c r="AD39" i="1" s="1"/>
  <c r="T76" i="3"/>
  <c r="S92" i="3"/>
  <c r="AD92" i="1" s="1"/>
  <c r="S107" i="3"/>
  <c r="AD107" i="1" s="1"/>
  <c r="S124" i="3"/>
  <c r="AD124" i="1" s="1"/>
  <c r="S26" i="3"/>
  <c r="S65" i="3"/>
  <c r="AD65" i="1" s="1"/>
  <c r="S81" i="3"/>
  <c r="AD81" i="1" s="1"/>
  <c r="S112" i="3"/>
  <c r="S129" i="3"/>
  <c r="AD129" i="1" s="1"/>
  <c r="S114" i="3"/>
  <c r="S161" i="3"/>
  <c r="T154" i="3"/>
  <c r="T118" i="3"/>
  <c r="T153" i="3"/>
  <c r="T106" i="3"/>
  <c r="T165" i="3"/>
  <c r="T149" i="3"/>
  <c r="T145" i="3"/>
  <c r="T164" i="3"/>
  <c r="T143" i="3"/>
  <c r="T163" i="3"/>
  <c r="T157" i="3"/>
  <c r="T142" i="3"/>
  <c r="T155" i="3"/>
  <c r="T130" i="3"/>
  <c r="T112" i="3"/>
  <c r="T57" i="3"/>
  <c r="T51" i="3"/>
  <c r="T45" i="3"/>
  <c r="T39" i="3"/>
  <c r="T33" i="3"/>
  <c r="T27" i="3"/>
  <c r="T21" i="3"/>
  <c r="T15" i="3"/>
  <c r="T9" i="3"/>
  <c r="T159" i="3"/>
  <c r="T147" i="3"/>
  <c r="T141" i="3"/>
  <c r="T135" i="3"/>
  <c r="T129" i="3"/>
  <c r="T123" i="3"/>
  <c r="T117" i="3"/>
  <c r="T111" i="3"/>
  <c r="T105" i="3"/>
  <c r="T99" i="3"/>
  <c r="T93" i="3"/>
  <c r="T87" i="3"/>
  <c r="T81" i="3"/>
  <c r="T75" i="3"/>
  <c r="T69" i="3"/>
  <c r="T63" i="3"/>
  <c r="T56" i="3"/>
  <c r="T50" i="3"/>
  <c r="T44" i="3"/>
  <c r="T38" i="3"/>
  <c r="T32" i="3"/>
  <c r="T26" i="3"/>
  <c r="T20" i="3"/>
  <c r="T14" i="3"/>
  <c r="T158" i="3"/>
  <c r="T152" i="3"/>
  <c r="T146" i="3"/>
  <c r="T140" i="3"/>
  <c r="T134" i="3"/>
  <c r="T128" i="3"/>
  <c r="V128" i="3" s="1"/>
  <c r="T122" i="3"/>
  <c r="T116" i="3"/>
  <c r="T110" i="3"/>
  <c r="T104" i="3"/>
  <c r="T98" i="3"/>
  <c r="T92" i="3"/>
  <c r="T86" i="3"/>
  <c r="T80" i="3"/>
  <c r="T74" i="3"/>
  <c r="T68" i="3"/>
  <c r="T8" i="3"/>
  <c r="T5" i="3"/>
  <c r="T2" i="3"/>
  <c r="T61" i="3"/>
  <c r="T55" i="3"/>
  <c r="T49" i="3"/>
  <c r="T43" i="3"/>
  <c r="T37" i="3"/>
  <c r="T31" i="3"/>
  <c r="V31" i="3" s="1"/>
  <c r="T25" i="3"/>
  <c r="T19" i="3"/>
  <c r="T13" i="3"/>
  <c r="T139" i="3"/>
  <c r="T127" i="3"/>
  <c r="T121" i="3"/>
  <c r="T115" i="3"/>
  <c r="T109" i="3"/>
  <c r="T103" i="3"/>
  <c r="T97" i="3"/>
  <c r="T91" i="3"/>
  <c r="T85" i="3"/>
  <c r="T79" i="3"/>
  <c r="T73" i="3"/>
  <c r="T67" i="3"/>
  <c r="T60" i="3"/>
  <c r="T54" i="3"/>
  <c r="T48" i="3"/>
  <c r="T42" i="3"/>
  <c r="T36" i="3"/>
  <c r="T30" i="3"/>
  <c r="T24" i="3"/>
  <c r="T18" i="3"/>
  <c r="T12" i="3"/>
  <c r="T4" i="3"/>
  <c r="T150" i="3"/>
  <c r="T144" i="3"/>
  <c r="T138" i="3"/>
  <c r="T132" i="3"/>
  <c r="T126" i="3"/>
  <c r="T120" i="3"/>
  <c r="T114" i="3"/>
  <c r="T108" i="3"/>
  <c r="T102" i="3"/>
  <c r="T96" i="3"/>
  <c r="T90" i="3"/>
  <c r="T84" i="3"/>
  <c r="T78" i="3"/>
  <c r="T72" i="3"/>
  <c r="T66" i="3"/>
  <c r="T7" i="3"/>
  <c r="T59" i="3"/>
  <c r="T53" i="3"/>
  <c r="T47" i="3"/>
  <c r="T41" i="3"/>
  <c r="T35" i="3"/>
  <c r="T29" i="3"/>
  <c r="T23" i="3"/>
  <c r="T17" i="3"/>
  <c r="T11" i="3"/>
  <c r="T137" i="3"/>
  <c r="T125" i="3"/>
  <c r="T119" i="3"/>
  <c r="T113" i="3"/>
  <c r="T107" i="3"/>
  <c r="T101" i="3"/>
  <c r="T95" i="3"/>
  <c r="T89" i="3"/>
  <c r="T83" i="3"/>
  <c r="T77" i="3"/>
  <c r="T71" i="3"/>
  <c r="T65" i="3"/>
  <c r="T3" i="3"/>
  <c r="T58" i="3"/>
  <c r="T52" i="3"/>
  <c r="T46" i="3"/>
  <c r="T40" i="3"/>
  <c r="T34" i="3"/>
  <c r="T28" i="3"/>
  <c r="T22" i="3"/>
  <c r="T16" i="3"/>
  <c r="T10" i="3"/>
  <c r="AT161" i="3" l="1"/>
  <c r="AD161" i="1" s="1"/>
  <c r="AX62" i="3"/>
  <c r="BN62" i="3"/>
  <c r="BN31" i="3"/>
  <c r="AX31" i="3"/>
  <c r="BN128" i="3"/>
  <c r="AX128" i="3"/>
  <c r="AF293" i="1"/>
  <c r="AG6" i="1"/>
  <c r="AD263" i="1"/>
  <c r="AE263" i="1" s="1"/>
  <c r="AH214" i="1"/>
  <c r="O214" i="5"/>
  <c r="AF287" i="1"/>
  <c r="AG104" i="1"/>
  <c r="AF28" i="1"/>
  <c r="R213" i="5"/>
  <c r="Q213" i="5"/>
  <c r="P213" i="5"/>
  <c r="AH297" i="1"/>
  <c r="AE126" i="1"/>
  <c r="AE107" i="1"/>
  <c r="AG92" i="1"/>
  <c r="AG231" i="1"/>
  <c r="AH39" i="1"/>
  <c r="AH69" i="1"/>
  <c r="P215" i="5"/>
  <c r="R215" i="5"/>
  <c r="Q215" i="5"/>
  <c r="AH236" i="1"/>
  <c r="AH316" i="1"/>
  <c r="AD239" i="1"/>
  <c r="AE239" i="1" s="1"/>
  <c r="AD240" i="1"/>
  <c r="AH240" i="1" s="1"/>
  <c r="AD224" i="1"/>
  <c r="AF224" i="1" s="1"/>
  <c r="AD241" i="1"/>
  <c r="AF241" i="1" s="1"/>
  <c r="AD268" i="1"/>
  <c r="AE268" i="1" s="1"/>
  <c r="AG22" i="1"/>
  <c r="AE22" i="1"/>
  <c r="AH22" i="1"/>
  <c r="AF22" i="1"/>
  <c r="AF129" i="1"/>
  <c r="AH129" i="1"/>
  <c r="AG129" i="1"/>
  <c r="AE129" i="1"/>
  <c r="AH115" i="1"/>
  <c r="AG115" i="1"/>
  <c r="AE115" i="1"/>
  <c r="AF115" i="1"/>
  <c r="AF7" i="1"/>
  <c r="AH7" i="1"/>
  <c r="AH176" i="1"/>
  <c r="AG176" i="1"/>
  <c r="AE176" i="1"/>
  <c r="AF176" i="1"/>
  <c r="AF242" i="1"/>
  <c r="AG242" i="1"/>
  <c r="AH288" i="1"/>
  <c r="AE288" i="1"/>
  <c r="AF288" i="1"/>
  <c r="AG288" i="1"/>
  <c r="AG286" i="1"/>
  <c r="AF286" i="1"/>
  <c r="AH286" i="1"/>
  <c r="AE286" i="1"/>
  <c r="AG246" i="1"/>
  <c r="AE246" i="1"/>
  <c r="AF246" i="1"/>
  <c r="AH246" i="1"/>
  <c r="AG77" i="1"/>
  <c r="AH77" i="1"/>
  <c r="AH200" i="1"/>
  <c r="AF200" i="1"/>
  <c r="AE200" i="1"/>
  <c r="AG200" i="1"/>
  <c r="AH166" i="1"/>
  <c r="AF166" i="1"/>
  <c r="AG166" i="1"/>
  <c r="AE166" i="1"/>
  <c r="AE160" i="1"/>
  <c r="AF160" i="1"/>
  <c r="AH160" i="1"/>
  <c r="AG160" i="1"/>
  <c r="AE103" i="1"/>
  <c r="AF103" i="1"/>
  <c r="AG103" i="1"/>
  <c r="AH103" i="1"/>
  <c r="AH182" i="1"/>
  <c r="AE182" i="1"/>
  <c r="AG182" i="1"/>
  <c r="AF182" i="1"/>
  <c r="AE277" i="1"/>
  <c r="AF277" i="1"/>
  <c r="AH277" i="1"/>
  <c r="AG277" i="1"/>
  <c r="AG266" i="1"/>
  <c r="AF266" i="1"/>
  <c r="AE266" i="1"/>
  <c r="AH266" i="1"/>
  <c r="AG234" i="1"/>
  <c r="AE234" i="1"/>
  <c r="AF234" i="1"/>
  <c r="AH234" i="1"/>
  <c r="AH117" i="1"/>
  <c r="AF117" i="1"/>
  <c r="AH64" i="1"/>
  <c r="AF64" i="1"/>
  <c r="AE64" i="1"/>
  <c r="AH220" i="1"/>
  <c r="AF220" i="1"/>
  <c r="AE220" i="1"/>
  <c r="AG220" i="1"/>
  <c r="AE168" i="1"/>
  <c r="AF168" i="1"/>
  <c r="AG168" i="1"/>
  <c r="AH168" i="1"/>
  <c r="AH247" i="1"/>
  <c r="AF247" i="1"/>
  <c r="AE247" i="1"/>
  <c r="AG247" i="1"/>
  <c r="AG294" i="1"/>
  <c r="AE294" i="1"/>
  <c r="AF294" i="1"/>
  <c r="AH294" i="1"/>
  <c r="AE296" i="1"/>
  <c r="AH296" i="1"/>
  <c r="AG296" i="1"/>
  <c r="AF296" i="1"/>
  <c r="AF111" i="1"/>
  <c r="AH111" i="1"/>
  <c r="AE111" i="1"/>
  <c r="AG111" i="1"/>
  <c r="AF105" i="1"/>
  <c r="AE105" i="1"/>
  <c r="AH105" i="1"/>
  <c r="AG105" i="1"/>
  <c r="AE8" i="1"/>
  <c r="AF8" i="1"/>
  <c r="AG8" i="1"/>
  <c r="AH8" i="1"/>
  <c r="AE33" i="1"/>
  <c r="AF33" i="1"/>
  <c r="AG33" i="1"/>
  <c r="AH33" i="1"/>
  <c r="AF229" i="1"/>
  <c r="AE229" i="1"/>
  <c r="AH229" i="1"/>
  <c r="AG229" i="1"/>
  <c r="AE300" i="1"/>
  <c r="AG300" i="1"/>
  <c r="AH300" i="1"/>
  <c r="AF300" i="1"/>
  <c r="AF172" i="1"/>
  <c r="AE172" i="1"/>
  <c r="AH172" i="1"/>
  <c r="AH245" i="1"/>
  <c r="AF245" i="1"/>
  <c r="AE245" i="1"/>
  <c r="AG245" i="1"/>
  <c r="AH291" i="1"/>
  <c r="AF291" i="1"/>
  <c r="AG291" i="1"/>
  <c r="AE291" i="1"/>
  <c r="AG98" i="1"/>
  <c r="AH98" i="1"/>
  <c r="AE98" i="1"/>
  <c r="AF98" i="1"/>
  <c r="AH127" i="1"/>
  <c r="AF127" i="1"/>
  <c r="AF164" i="1"/>
  <c r="AE164" i="1"/>
  <c r="AG164" i="1"/>
  <c r="AH164" i="1"/>
  <c r="AE167" i="1"/>
  <c r="AG167" i="1"/>
  <c r="AH167" i="1"/>
  <c r="AF167" i="1"/>
  <c r="AG38" i="1"/>
  <c r="AH38" i="1"/>
  <c r="AF38" i="1"/>
  <c r="AE38" i="1"/>
  <c r="AG178" i="1"/>
  <c r="AF178" i="1"/>
  <c r="AF174" i="1"/>
  <c r="AG174" i="1"/>
  <c r="AE174" i="1"/>
  <c r="AH174" i="1"/>
  <c r="AE233" i="1"/>
  <c r="AG233" i="1"/>
  <c r="AF233" i="1"/>
  <c r="AH233" i="1"/>
  <c r="AH65" i="1"/>
  <c r="AE65" i="1"/>
  <c r="AF65" i="1"/>
  <c r="AG65" i="1"/>
  <c r="AG199" i="1"/>
  <c r="AH199" i="1"/>
  <c r="AE199" i="1"/>
  <c r="AF199" i="1"/>
  <c r="AG165" i="1"/>
  <c r="AH165" i="1"/>
  <c r="AF165" i="1"/>
  <c r="AE165" i="1"/>
  <c r="AE204" i="1"/>
  <c r="AG204" i="1"/>
  <c r="AF204" i="1"/>
  <c r="AH204" i="1"/>
  <c r="AF177" i="1"/>
  <c r="AH177" i="1"/>
  <c r="AE177" i="1"/>
  <c r="AG177" i="1"/>
  <c r="AE124" i="1"/>
  <c r="AF124" i="1"/>
  <c r="AH124" i="1"/>
  <c r="AG124" i="1"/>
  <c r="AH75" i="1"/>
  <c r="AG75" i="1"/>
  <c r="AD193" i="1"/>
  <c r="AD71" i="1"/>
  <c r="AH171" i="1"/>
  <c r="AE171" i="1"/>
  <c r="AG171" i="1"/>
  <c r="AF171" i="1"/>
  <c r="AF260" i="1"/>
  <c r="AH260" i="1"/>
  <c r="AG260" i="1"/>
  <c r="AE260" i="1"/>
  <c r="AG272" i="1"/>
  <c r="AF272" i="1"/>
  <c r="AH272" i="1"/>
  <c r="AE272" i="1"/>
  <c r="AE118" i="1"/>
  <c r="AF118" i="1"/>
  <c r="AG118" i="1"/>
  <c r="AH118" i="1"/>
  <c r="AE13" i="1"/>
  <c r="AG13" i="1"/>
  <c r="AH13" i="1"/>
  <c r="AF13" i="1"/>
  <c r="AE122" i="1"/>
  <c r="AH122" i="1"/>
  <c r="AD67" i="1"/>
  <c r="AD184" i="1"/>
  <c r="AF206" i="1"/>
  <c r="AE206" i="1"/>
  <c r="AH206" i="1"/>
  <c r="AG206" i="1"/>
  <c r="AF257" i="1"/>
  <c r="AE257" i="1"/>
  <c r="AH257" i="1"/>
  <c r="AG257" i="1"/>
  <c r="AE290" i="1"/>
  <c r="AH290" i="1"/>
  <c r="AF290" i="1"/>
  <c r="AG290" i="1"/>
  <c r="AE315" i="1"/>
  <c r="AF315" i="1"/>
  <c r="AG315" i="1"/>
  <c r="AH315" i="1"/>
  <c r="AG276" i="1"/>
  <c r="AE276" i="1"/>
  <c r="AF276" i="1"/>
  <c r="AH276" i="1"/>
  <c r="AE135" i="1"/>
  <c r="AF135" i="1"/>
  <c r="AG135" i="1"/>
  <c r="AH135" i="1"/>
  <c r="AD186" i="1"/>
  <c r="AE186" i="1" s="1"/>
  <c r="AD72" i="1"/>
  <c r="AE108" i="1"/>
  <c r="AG108" i="1"/>
  <c r="AH108" i="1"/>
  <c r="AF108" i="1"/>
  <c r="AF11" i="1"/>
  <c r="AH11" i="1"/>
  <c r="AE11" i="1"/>
  <c r="AG11" i="1"/>
  <c r="AD185" i="1"/>
  <c r="AD68" i="1"/>
  <c r="AH93" i="1"/>
  <c r="AG93" i="1"/>
  <c r="AE93" i="1"/>
  <c r="AF252" i="1"/>
  <c r="AE252" i="1"/>
  <c r="AG252" i="1"/>
  <c r="AH252" i="1"/>
  <c r="AE273" i="1"/>
  <c r="AH273" i="1"/>
  <c r="AF273" i="1"/>
  <c r="AG273" i="1"/>
  <c r="AE282" i="1"/>
  <c r="AG282" i="1"/>
  <c r="AF282" i="1"/>
  <c r="AH282" i="1"/>
  <c r="AF271" i="1"/>
  <c r="AG271" i="1"/>
  <c r="AH271" i="1"/>
  <c r="AE271" i="1"/>
  <c r="AE340" i="1"/>
  <c r="AF340" i="1"/>
  <c r="AG340" i="1"/>
  <c r="AH340" i="1"/>
  <c r="AE322" i="1"/>
  <c r="AF322" i="1"/>
  <c r="AG322" i="1"/>
  <c r="AH322" i="1"/>
  <c r="AF23" i="1"/>
  <c r="AG23" i="1"/>
  <c r="AH23" i="1"/>
  <c r="AE23" i="1"/>
  <c r="AG125" i="1"/>
  <c r="AE125" i="1"/>
  <c r="AF125" i="1"/>
  <c r="AH125" i="1"/>
  <c r="AE24" i="1"/>
  <c r="AG24" i="1"/>
  <c r="AF24" i="1"/>
  <c r="AE106" i="1"/>
  <c r="AF106" i="1"/>
  <c r="AG106" i="1"/>
  <c r="AH106" i="1"/>
  <c r="AH95" i="1"/>
  <c r="AF95" i="1"/>
  <c r="AE95" i="1"/>
  <c r="AG95" i="1"/>
  <c r="AE170" i="1"/>
  <c r="AF170" i="1"/>
  <c r="AG170" i="1"/>
  <c r="AH170" i="1"/>
  <c r="AD194" i="1"/>
  <c r="AD78" i="1"/>
  <c r="AF131" i="1"/>
  <c r="AG131" i="1"/>
  <c r="AH131" i="1"/>
  <c r="AE131" i="1"/>
  <c r="AF48" i="1"/>
  <c r="AE48" i="1"/>
  <c r="AG48" i="1"/>
  <c r="AH48" i="1"/>
  <c r="AG32" i="1"/>
  <c r="AF32" i="1"/>
  <c r="AE32" i="1"/>
  <c r="AH32" i="1"/>
  <c r="AG201" i="1"/>
  <c r="AH201" i="1"/>
  <c r="AF201" i="1"/>
  <c r="AE201" i="1"/>
  <c r="AH230" i="1"/>
  <c r="AF230" i="1"/>
  <c r="AG230" i="1"/>
  <c r="AE230" i="1"/>
  <c r="AH267" i="1"/>
  <c r="AE267" i="1"/>
  <c r="AF267" i="1"/>
  <c r="AG267" i="1"/>
  <c r="AE70" i="1"/>
  <c r="AF70" i="1"/>
  <c r="AG70" i="1"/>
  <c r="AH70" i="1"/>
  <c r="AE12" i="1"/>
  <c r="AF12" i="1"/>
  <c r="AG12" i="1"/>
  <c r="AH12" i="1"/>
  <c r="AE76" i="1"/>
  <c r="AG76" i="1"/>
  <c r="AF76" i="1"/>
  <c r="AF37" i="1"/>
  <c r="AG37" i="1"/>
  <c r="AE37" i="1"/>
  <c r="AH37" i="1"/>
  <c r="AE283" i="1"/>
  <c r="AG283" i="1"/>
  <c r="AH283" i="1"/>
  <c r="AF283" i="1"/>
  <c r="AG232" i="1"/>
  <c r="AF232" i="1"/>
  <c r="AE232" i="1"/>
  <c r="AH232" i="1"/>
  <c r="AG345" i="1"/>
  <c r="AH345" i="1"/>
  <c r="AE345" i="1"/>
  <c r="AF345" i="1"/>
  <c r="AE66" i="1"/>
  <c r="AF66" i="1"/>
  <c r="AG66" i="1"/>
  <c r="AH66" i="1"/>
  <c r="AG9" i="1"/>
  <c r="AH9" i="1"/>
  <c r="AF9" i="1"/>
  <c r="AE9" i="1"/>
  <c r="AF162" i="1"/>
  <c r="AE162" i="1"/>
  <c r="AG162" i="1"/>
  <c r="AH162" i="1"/>
  <c r="AF63" i="1"/>
  <c r="AE63" i="1"/>
  <c r="AH63" i="1"/>
  <c r="AG63" i="1"/>
  <c r="AH25" i="1"/>
  <c r="AF25" i="1"/>
  <c r="AE25" i="1"/>
  <c r="AG25" i="1"/>
  <c r="AH253" i="1"/>
  <c r="AG253" i="1"/>
  <c r="AF253" i="1"/>
  <c r="AE253" i="1"/>
  <c r="AE227" i="1"/>
  <c r="AG227" i="1"/>
  <c r="AH227" i="1"/>
  <c r="AF227" i="1"/>
  <c r="AE240" i="1"/>
  <c r="AF240" i="1"/>
  <c r="AG240" i="1"/>
  <c r="AE244" i="1"/>
  <c r="AF244" i="1"/>
  <c r="AG244" i="1"/>
  <c r="AH244" i="1"/>
  <c r="AG250" i="1"/>
  <c r="AF250" i="1"/>
  <c r="AE250" i="1"/>
  <c r="AH250" i="1"/>
  <c r="AG136" i="1"/>
  <c r="AH136" i="1"/>
  <c r="AF136" i="1"/>
  <c r="AE136" i="1"/>
  <c r="AF207" i="1"/>
  <c r="AG207" i="1"/>
  <c r="AE207" i="1"/>
  <c r="AH207" i="1"/>
  <c r="AH228" i="1"/>
  <c r="AE228" i="1"/>
  <c r="AG228" i="1"/>
  <c r="AF228" i="1"/>
  <c r="AG270" i="1"/>
  <c r="AE270" i="1"/>
  <c r="AH270" i="1"/>
  <c r="AF270" i="1"/>
  <c r="AE298" i="1"/>
  <c r="AG298" i="1"/>
  <c r="AH298" i="1"/>
  <c r="AF298" i="1"/>
  <c r="AG186" i="1"/>
  <c r="AG69" i="1"/>
  <c r="AF69" i="1"/>
  <c r="AF126" i="1"/>
  <c r="AG126" i="1"/>
  <c r="AH126" i="1"/>
  <c r="AF93" i="1"/>
  <c r="AE117" i="1"/>
  <c r="AG117" i="1"/>
  <c r="AF104" i="1"/>
  <c r="AH104" i="1"/>
  <c r="AG122" i="1"/>
  <c r="AF122" i="1"/>
  <c r="AH76" i="1"/>
  <c r="AG127" i="1"/>
  <c r="AE127" i="1"/>
  <c r="AE73" i="1"/>
  <c r="AF73" i="1"/>
  <c r="AE309" i="1"/>
  <c r="AF309" i="1"/>
  <c r="AE178" i="1"/>
  <c r="AH178" i="1"/>
  <c r="AH221" i="1"/>
  <c r="AE221" i="1"/>
  <c r="AG221" i="1"/>
  <c r="AF297" i="1"/>
  <c r="AG297" i="1"/>
  <c r="AE297" i="1"/>
  <c r="AF292" i="1"/>
  <c r="AG292" i="1"/>
  <c r="AH292" i="1"/>
  <c r="AE292" i="1"/>
  <c r="AE303" i="1"/>
  <c r="AF303" i="1"/>
  <c r="AF295" i="1"/>
  <c r="AH295" i="1"/>
  <c r="AF289" i="1"/>
  <c r="AG289" i="1"/>
  <c r="AE289" i="1"/>
  <c r="AH289" i="1"/>
  <c r="AH81" i="1"/>
  <c r="AF81" i="1"/>
  <c r="AE81" i="1"/>
  <c r="AG81" i="1"/>
  <c r="AF107" i="1"/>
  <c r="AH107" i="1"/>
  <c r="AG107" i="1"/>
  <c r="AH92" i="1"/>
  <c r="AF92" i="1"/>
  <c r="AE92" i="1"/>
  <c r="AE39" i="1"/>
  <c r="AF39" i="1"/>
  <c r="AF186" i="1"/>
  <c r="AH186" i="1"/>
  <c r="AH24" i="1"/>
  <c r="AF6" i="1"/>
  <c r="AH6" i="1"/>
  <c r="AE6" i="1"/>
  <c r="AE69" i="1"/>
  <c r="AE75" i="1"/>
  <c r="AF75" i="1"/>
  <c r="AG41" i="1"/>
  <c r="AH41" i="1"/>
  <c r="AF41" i="1"/>
  <c r="AE41" i="1"/>
  <c r="AE28" i="1"/>
  <c r="AH28" i="1"/>
  <c r="AG28" i="1"/>
  <c r="AH47" i="1"/>
  <c r="AF47" i="1"/>
  <c r="AH21" i="1"/>
  <c r="AG21" i="1"/>
  <c r="AE21" i="1"/>
  <c r="AF21" i="1"/>
  <c r="AE104" i="1"/>
  <c r="AE77" i="1"/>
  <c r="AF77" i="1"/>
  <c r="AG64" i="1"/>
  <c r="AH73" i="1"/>
  <c r="AG73" i="1"/>
  <c r="AE7" i="1"/>
  <c r="AG7" i="1"/>
  <c r="AH309" i="1"/>
  <c r="AG309" i="1"/>
  <c r="AF213" i="1"/>
  <c r="AG213" i="1"/>
  <c r="AE213" i="1"/>
  <c r="AG214" i="1"/>
  <c r="AE214" i="1"/>
  <c r="AE293" i="1"/>
  <c r="AG293" i="1"/>
  <c r="AF221" i="1"/>
  <c r="AE215" i="1"/>
  <c r="AF215" i="1"/>
  <c r="AG215" i="1"/>
  <c r="AE231" i="1"/>
  <c r="AF231" i="1"/>
  <c r="AH231" i="1"/>
  <c r="AE242" i="1"/>
  <c r="AH242" i="1"/>
  <c r="AG239" i="1"/>
  <c r="AH317" i="1"/>
  <c r="AG317" i="1"/>
  <c r="AE317" i="1"/>
  <c r="AG303" i="1"/>
  <c r="AH303" i="1"/>
  <c r="AH281" i="1"/>
  <c r="AF281" i="1"/>
  <c r="AE281" i="1"/>
  <c r="AG281" i="1"/>
  <c r="AE295" i="1"/>
  <c r="AG295" i="1"/>
  <c r="AG236" i="1"/>
  <c r="AE236" i="1"/>
  <c r="AE287" i="1"/>
  <c r="AH269" i="1"/>
  <c r="AG269" i="1"/>
  <c r="AF269" i="1"/>
  <c r="AE269" i="1"/>
  <c r="AG323" i="1"/>
  <c r="AF323" i="1"/>
  <c r="AH323" i="1"/>
  <c r="AE323" i="1"/>
  <c r="AF316" i="1"/>
  <c r="AG316" i="1"/>
  <c r="AE316" i="1"/>
  <c r="AH10" i="1"/>
  <c r="AF10" i="1"/>
  <c r="AE10" i="1"/>
  <c r="AG10" i="1"/>
  <c r="AG34" i="1"/>
  <c r="AH34" i="1"/>
  <c r="AE34" i="1"/>
  <c r="AE5" i="1"/>
  <c r="AG5" i="1"/>
  <c r="AH5" i="1"/>
  <c r="AF5" i="1"/>
  <c r="AG39" i="1"/>
  <c r="AG47" i="1"/>
  <c r="AE47" i="1"/>
  <c r="AH213" i="1"/>
  <c r="AF214" i="1"/>
  <c r="AH293" i="1"/>
  <c r="AG172" i="1"/>
  <c r="AH215" i="1"/>
  <c r="AF239" i="1"/>
  <c r="AF317" i="1"/>
  <c r="AF236" i="1"/>
  <c r="AH287" i="1"/>
  <c r="AG287" i="1"/>
  <c r="AD94" i="1"/>
  <c r="AD198" i="1"/>
  <c r="AF34" i="1"/>
  <c r="V273" i="3"/>
  <c r="V274" i="3"/>
  <c r="V114" i="3"/>
  <c r="V85" i="3"/>
  <c r="O174" i="5"/>
  <c r="V287" i="3"/>
  <c r="V320" i="3"/>
  <c r="V86" i="3"/>
  <c r="O34" i="5"/>
  <c r="O309" i="5"/>
  <c r="V175" i="3"/>
  <c r="V278" i="3"/>
  <c r="V281" i="3"/>
  <c r="V100" i="3"/>
  <c r="O32" i="5"/>
  <c r="X294" i="1"/>
  <c r="K294" i="5" s="1"/>
  <c r="V173" i="3"/>
  <c r="V180" i="3"/>
  <c r="V272" i="3"/>
  <c r="V283" i="3"/>
  <c r="V312" i="3"/>
  <c r="V87" i="3"/>
  <c r="O199" i="5"/>
  <c r="V189" i="3"/>
  <c r="V181" i="3"/>
  <c r="X207" i="1"/>
  <c r="O260" i="5"/>
  <c r="V321" i="3"/>
  <c r="O269" i="5"/>
  <c r="V179" i="3"/>
  <c r="O300" i="5"/>
  <c r="V84" i="3"/>
  <c r="O290" i="5"/>
  <c r="V286" i="3"/>
  <c r="V187" i="3"/>
  <c r="V280" i="3"/>
  <c r="V134" i="3"/>
  <c r="V186" i="3"/>
  <c r="V284" i="3"/>
  <c r="V282" i="3"/>
  <c r="V289" i="3"/>
  <c r="V313" i="3"/>
  <c r="V319" i="3"/>
  <c r="V279" i="3"/>
  <c r="O270" i="5"/>
  <c r="V132" i="3"/>
  <c r="O64" i="5"/>
  <c r="V269" i="3"/>
  <c r="O220" i="5"/>
  <c r="V271" i="3"/>
  <c r="O242" i="5"/>
  <c r="O41" i="5"/>
  <c r="V270" i="3"/>
  <c r="O281" i="5"/>
  <c r="AE241" i="1" l="1"/>
  <c r="AG224" i="1"/>
  <c r="AH224" i="1"/>
  <c r="AE224" i="1"/>
  <c r="AE161" i="1"/>
  <c r="AF161" i="1"/>
  <c r="AH161" i="1"/>
  <c r="AG161" i="1"/>
  <c r="AU161" i="3"/>
  <c r="BB161" i="3"/>
  <c r="BJ161" i="3"/>
  <c r="AH239" i="1"/>
  <c r="BN289" i="3"/>
  <c r="AX289" i="3"/>
  <c r="AX173" i="3"/>
  <c r="BN173" i="3"/>
  <c r="AX186" i="3"/>
  <c r="BN186" i="3"/>
  <c r="AX274" i="3"/>
  <c r="BN274" i="3"/>
  <c r="BN85" i="3"/>
  <c r="AX85" i="3"/>
  <c r="AX284" i="3"/>
  <c r="BN284" i="3"/>
  <c r="AX134" i="3"/>
  <c r="BN134" i="3"/>
  <c r="AX181" i="3"/>
  <c r="BN181" i="3"/>
  <c r="BN281" i="3"/>
  <c r="AX281" i="3"/>
  <c r="AX273" i="3"/>
  <c r="BN273" i="3"/>
  <c r="AX282" i="3"/>
  <c r="BN282" i="3"/>
  <c r="AX271" i="3"/>
  <c r="BN271" i="3"/>
  <c r="BN269" i="3"/>
  <c r="AX269" i="3"/>
  <c r="AX280" i="3"/>
  <c r="BN280" i="3"/>
  <c r="BN278" i="3"/>
  <c r="AX278" i="3"/>
  <c r="BN100" i="3"/>
  <c r="AX100" i="3"/>
  <c r="BN189" i="3"/>
  <c r="AX189" i="3"/>
  <c r="BN187" i="3"/>
  <c r="AX187" i="3"/>
  <c r="AX175" i="3"/>
  <c r="BN175" i="3"/>
  <c r="BN87" i="3"/>
  <c r="AX87" i="3"/>
  <c r="AX286" i="3"/>
  <c r="BN286" i="3"/>
  <c r="BN312" i="3"/>
  <c r="AX312" i="3"/>
  <c r="AX272" i="3"/>
  <c r="BN272" i="3"/>
  <c r="AX320" i="3"/>
  <c r="BN320" i="3"/>
  <c r="AX84" i="3"/>
  <c r="BN84" i="3"/>
  <c r="BN86" i="3"/>
  <c r="AX86" i="3"/>
  <c r="AX319" i="3"/>
  <c r="BN319" i="3"/>
  <c r="AX313" i="3"/>
  <c r="BN313" i="3"/>
  <c r="BN179" i="3"/>
  <c r="AX179" i="3"/>
  <c r="AX180" i="3"/>
  <c r="BN180" i="3"/>
  <c r="BN287" i="3"/>
  <c r="AX287" i="3"/>
  <c r="AX132" i="3"/>
  <c r="BN132" i="3"/>
  <c r="BN321" i="3"/>
  <c r="AX321" i="3"/>
  <c r="BN279" i="3"/>
  <c r="AX279" i="3"/>
  <c r="AX283" i="3"/>
  <c r="BN283" i="3"/>
  <c r="AX270" i="3"/>
  <c r="BN270" i="3"/>
  <c r="AX114" i="3"/>
  <c r="BN114" i="3"/>
  <c r="AG241" i="1"/>
  <c r="AH241" i="1"/>
  <c r="AG263" i="1"/>
  <c r="AH268" i="1"/>
  <c r="AG268" i="1"/>
  <c r="AF268" i="1"/>
  <c r="AH263" i="1"/>
  <c r="AF263" i="1"/>
  <c r="O94" i="5"/>
  <c r="P94" i="5" s="1"/>
  <c r="P281" i="5"/>
  <c r="P270" i="5"/>
  <c r="P41" i="5"/>
  <c r="P32" i="5"/>
  <c r="P34" i="5"/>
  <c r="P199" i="5"/>
  <c r="P269" i="5"/>
  <c r="P309" i="5"/>
  <c r="P174" i="5"/>
  <c r="P220" i="5"/>
  <c r="P242" i="5"/>
  <c r="P64" i="5"/>
  <c r="P290" i="5"/>
  <c r="P300" i="5"/>
  <c r="P260" i="5"/>
  <c r="O292" i="5"/>
  <c r="O244" i="5"/>
  <c r="O118" i="5"/>
  <c r="O106" i="5"/>
  <c r="O95" i="5"/>
  <c r="O122" i="5"/>
  <c r="O124" i="5"/>
  <c r="O177" i="5"/>
  <c r="O291" i="5"/>
  <c r="O296" i="5"/>
  <c r="O6" i="5"/>
  <c r="O115" i="5"/>
  <c r="O241" i="5"/>
  <c r="O227" i="5"/>
  <c r="O70" i="5"/>
  <c r="O108" i="5"/>
  <c r="O92" i="5"/>
  <c r="O107" i="5"/>
  <c r="O38" i="5"/>
  <c r="O178" i="5"/>
  <c r="O245" i="5"/>
  <c r="O294" i="5"/>
  <c r="O129" i="5"/>
  <c r="O72" i="5"/>
  <c r="O228" i="5"/>
  <c r="O253" i="5"/>
  <c r="O37" i="5"/>
  <c r="O267" i="5"/>
  <c r="O81" i="5"/>
  <c r="O167" i="5"/>
  <c r="O172" i="5"/>
  <c r="O247" i="5"/>
  <c r="O10" i="5"/>
  <c r="O323" i="5"/>
  <c r="O186" i="5"/>
  <c r="O224" i="5"/>
  <c r="O207" i="5"/>
  <c r="O25" i="5"/>
  <c r="O76" i="5"/>
  <c r="O230" i="5"/>
  <c r="O161" i="5"/>
  <c r="O24" i="5"/>
  <c r="O13" i="5"/>
  <c r="O125" i="5"/>
  <c r="O168" i="5"/>
  <c r="O234" i="5"/>
  <c r="O246" i="5"/>
  <c r="O68" i="5"/>
  <c r="O184" i="5"/>
  <c r="O71" i="5"/>
  <c r="O8" i="5"/>
  <c r="O63" i="5"/>
  <c r="O12" i="5"/>
  <c r="O221" i="5"/>
  <c r="O322" i="5"/>
  <c r="O23" i="5"/>
  <c r="O9" i="5"/>
  <c r="O126" i="5"/>
  <c r="O229" i="5"/>
  <c r="O266" i="5"/>
  <c r="O286" i="5"/>
  <c r="O185" i="5"/>
  <c r="O67" i="5"/>
  <c r="O193" i="5"/>
  <c r="O240" i="5"/>
  <c r="O66" i="5"/>
  <c r="O162" i="5"/>
  <c r="O47" i="5"/>
  <c r="O201" i="5"/>
  <c r="O340" i="5"/>
  <c r="O135" i="5"/>
  <c r="O289" i="5"/>
  <c r="O204" i="5"/>
  <c r="R214" i="5"/>
  <c r="P214" i="5"/>
  <c r="Q214" i="5"/>
  <c r="O277" i="5"/>
  <c r="O288" i="5"/>
  <c r="O198" i="5"/>
  <c r="O136" i="5"/>
  <c r="O21" i="5"/>
  <c r="O22" i="5"/>
  <c r="O271" i="5"/>
  <c r="O276" i="5"/>
  <c r="O295" i="5"/>
  <c r="O165" i="5"/>
  <c r="O104" i="5"/>
  <c r="O182" i="5"/>
  <c r="O239" i="5"/>
  <c r="O316" i="5"/>
  <c r="O345" i="5"/>
  <c r="O69" i="5"/>
  <c r="O48" i="5"/>
  <c r="O282" i="5"/>
  <c r="O315" i="5"/>
  <c r="O272" i="5"/>
  <c r="O233" i="5"/>
  <c r="O28" i="5"/>
  <c r="O103" i="5"/>
  <c r="O293" i="5"/>
  <c r="O78" i="5"/>
  <c r="O5" i="5"/>
  <c r="O232" i="5"/>
  <c r="O131" i="5"/>
  <c r="O273" i="5"/>
  <c r="O164" i="5"/>
  <c r="O263" i="5"/>
  <c r="O160" i="5"/>
  <c r="O194" i="5"/>
  <c r="O250" i="5"/>
  <c r="O283" i="5"/>
  <c r="O39" i="5"/>
  <c r="O252" i="5"/>
  <c r="O231" i="5"/>
  <c r="O317" i="5"/>
  <c r="O171" i="5"/>
  <c r="O297" i="5"/>
  <c r="O33" i="5"/>
  <c r="O111" i="5"/>
  <c r="O166" i="5"/>
  <c r="O200" i="5"/>
  <c r="O303" i="5"/>
  <c r="O236" i="5"/>
  <c r="O93" i="5"/>
  <c r="O257" i="5"/>
  <c r="O73" i="5"/>
  <c r="O105" i="5"/>
  <c r="O287" i="5"/>
  <c r="O117" i="5"/>
  <c r="O176" i="5"/>
  <c r="O77" i="5"/>
  <c r="M294" i="5"/>
  <c r="N294" i="5"/>
  <c r="L294" i="5"/>
  <c r="O268" i="5"/>
  <c r="O298" i="5"/>
  <c r="O65" i="5"/>
  <c r="O11" i="5"/>
  <c r="O170" i="5"/>
  <c r="O206" i="5"/>
  <c r="O75" i="5"/>
  <c r="O98" i="5"/>
  <c r="O7" i="5"/>
  <c r="O127" i="5"/>
  <c r="AH71" i="1"/>
  <c r="AF71" i="1"/>
  <c r="AE71" i="1"/>
  <c r="AG71" i="1"/>
  <c r="AG193" i="1"/>
  <c r="AH193" i="1"/>
  <c r="AE193" i="1"/>
  <c r="AF193" i="1"/>
  <c r="AB294" i="1"/>
  <c r="Y294" i="1"/>
  <c r="Z294" i="1"/>
  <c r="AA294" i="1"/>
  <c r="AG68" i="1"/>
  <c r="AH68" i="1"/>
  <c r="AE68" i="1"/>
  <c r="AF68" i="1"/>
  <c r="AH72" i="1"/>
  <c r="AE72" i="1"/>
  <c r="AF72" i="1"/>
  <c r="AG72" i="1"/>
  <c r="AF184" i="1"/>
  <c r="AH184" i="1"/>
  <c r="AE184" i="1"/>
  <c r="AG184" i="1"/>
  <c r="AH185" i="1"/>
  <c r="AG185" i="1"/>
  <c r="AF185" i="1"/>
  <c r="AE185" i="1"/>
  <c r="AF67" i="1"/>
  <c r="AE67" i="1"/>
  <c r="AG67" i="1"/>
  <c r="AH67" i="1"/>
  <c r="AB207" i="1"/>
  <c r="AA207" i="1"/>
  <c r="Y207" i="1"/>
  <c r="Z207" i="1"/>
  <c r="AG78" i="1"/>
  <c r="AH78" i="1"/>
  <c r="AE78" i="1"/>
  <c r="AF78" i="1"/>
  <c r="AH194" i="1"/>
  <c r="AE194" i="1"/>
  <c r="AF194" i="1"/>
  <c r="AG194" i="1"/>
  <c r="AE198" i="1"/>
  <c r="AG198" i="1"/>
  <c r="Q242" i="5"/>
  <c r="Q220" i="5"/>
  <c r="Q270" i="5"/>
  <c r="Q290" i="5"/>
  <c r="Q300" i="5"/>
  <c r="Q269" i="5"/>
  <c r="Q260" i="5"/>
  <c r="Q199" i="5"/>
  <c r="Q174" i="5"/>
  <c r="AF198" i="1"/>
  <c r="AH198" i="1"/>
  <c r="AE94" i="1"/>
  <c r="AG94" i="1"/>
  <c r="AH94" i="1"/>
  <c r="AF94" i="1"/>
  <c r="Q281" i="5"/>
  <c r="Q41" i="5"/>
  <c r="Q64" i="5"/>
  <c r="Q32" i="5"/>
  <c r="Q309" i="5"/>
  <c r="Q34" i="5"/>
  <c r="AD279" i="1"/>
  <c r="O279" i="5" s="1"/>
  <c r="AD278" i="1"/>
  <c r="O278" i="5" s="1"/>
  <c r="R34" i="5"/>
  <c r="R270" i="5"/>
  <c r="R281" i="5"/>
  <c r="R41" i="5"/>
  <c r="R290" i="5"/>
  <c r="R269" i="5"/>
  <c r="R309" i="5"/>
  <c r="R32" i="5"/>
  <c r="AD251" i="1"/>
  <c r="O251" i="5" s="1"/>
  <c r="AD225" i="1"/>
  <c r="O225" i="5" s="1"/>
  <c r="R64" i="5"/>
  <c r="AD280" i="1"/>
  <c r="O280" i="5" s="1"/>
  <c r="R260" i="5"/>
  <c r="AD114" i="1"/>
  <c r="O114" i="5" s="1"/>
  <c r="AD179" i="1"/>
  <c r="O179" i="5" s="1"/>
  <c r="R199" i="5"/>
  <c r="AD344" i="1"/>
  <c r="O344" i="5" s="1"/>
  <c r="AD132" i="1"/>
  <c r="O132" i="5" s="1"/>
  <c r="AD203" i="1"/>
  <c r="O203" i="5" s="1"/>
  <c r="AD180" i="1"/>
  <c r="O180" i="5" s="1"/>
  <c r="AD219" i="1"/>
  <c r="O219" i="5" s="1"/>
  <c r="AD86" i="1"/>
  <c r="O86" i="5" s="1"/>
  <c r="AD329" i="1"/>
  <c r="O329" i="5" s="1"/>
  <c r="AD181" i="1"/>
  <c r="O181" i="5" s="1"/>
  <c r="R220" i="5"/>
  <c r="AD264" i="1"/>
  <c r="O264" i="5" s="1"/>
  <c r="AD262" i="1"/>
  <c r="O262" i="5" s="1"/>
  <c r="AD274" i="1"/>
  <c r="O274" i="5" s="1"/>
  <c r="R242" i="5"/>
  <c r="AD312" i="1"/>
  <c r="O312" i="5" s="1"/>
  <c r="AD205" i="1"/>
  <c r="O205" i="5" s="1"/>
  <c r="AD248" i="1"/>
  <c r="O248" i="5" s="1"/>
  <c r="AD223" i="1"/>
  <c r="O223" i="5" s="1"/>
  <c r="R174" i="5"/>
  <c r="AD324" i="1"/>
  <c r="O324" i="5" s="1"/>
  <c r="AD222" i="1"/>
  <c r="O222" i="5" s="1"/>
  <c r="K207" i="5"/>
  <c r="AD299" i="1"/>
  <c r="O299" i="5" s="1"/>
  <c r="AD306" i="1"/>
  <c r="O306" i="5" s="1"/>
  <c r="AD259" i="1"/>
  <c r="O259" i="5" s="1"/>
  <c r="AD134" i="1"/>
  <c r="O134" i="5" s="1"/>
  <c r="AD343" i="1"/>
  <c r="O343" i="5" s="1"/>
  <c r="R300" i="5"/>
  <c r="AD308" i="1"/>
  <c r="O308" i="5" s="1"/>
  <c r="AD256" i="1"/>
  <c r="O256" i="5" s="1"/>
  <c r="AD217" i="1"/>
  <c r="O217" i="5" s="1"/>
  <c r="AD216" i="1"/>
  <c r="O216" i="5" s="1"/>
  <c r="AD275" i="1"/>
  <c r="O275" i="5" s="1"/>
  <c r="AD202" i="1"/>
  <c r="O202" i="5" s="1"/>
  <c r="AD100" i="1"/>
  <c r="O100" i="5" s="1"/>
  <c r="AD173" i="1"/>
  <c r="O173" i="5" s="1"/>
  <c r="AD175" i="1"/>
  <c r="O175" i="5" s="1"/>
  <c r="S31" i="3"/>
  <c r="AD31" i="1" s="1"/>
  <c r="S89" i="3"/>
  <c r="S163" i="3"/>
  <c r="S133" i="3"/>
  <c r="S91" i="3"/>
  <c r="S113" i="3"/>
  <c r="AD113" i="1" s="1"/>
  <c r="S2" i="3"/>
  <c r="AT2" i="3" s="1"/>
  <c r="S62" i="3"/>
  <c r="S3" i="3"/>
  <c r="S4" i="3"/>
  <c r="S83" i="3"/>
  <c r="S128" i="3"/>
  <c r="AD128" i="1" s="1"/>
  <c r="S121" i="3"/>
  <c r="S17" i="3"/>
  <c r="S19" i="3"/>
  <c r="BR161" i="3" l="1"/>
  <c r="BV161" i="3" s="1"/>
  <c r="BN161" i="3"/>
  <c r="R94" i="5"/>
  <c r="Q94" i="5"/>
  <c r="L207" i="5"/>
  <c r="R312" i="5"/>
  <c r="P312" i="5"/>
  <c r="Q312" i="5"/>
  <c r="R248" i="5"/>
  <c r="Q248" i="5"/>
  <c r="P248" i="5"/>
  <c r="AF31" i="1"/>
  <c r="Q202" i="5"/>
  <c r="P202" i="5"/>
  <c r="R202" i="5"/>
  <c r="R134" i="5"/>
  <c r="Q134" i="5"/>
  <c r="P134" i="5"/>
  <c r="R219" i="5"/>
  <c r="P219" i="5"/>
  <c r="Q219" i="5"/>
  <c r="Q7" i="5"/>
  <c r="R7" i="5"/>
  <c r="P7" i="5"/>
  <c r="R77" i="5"/>
  <c r="Q77" i="5"/>
  <c r="P77" i="5"/>
  <c r="P111" i="5"/>
  <c r="Q111" i="5"/>
  <c r="R111" i="5"/>
  <c r="P263" i="5"/>
  <c r="Q263" i="5"/>
  <c r="R263" i="5"/>
  <c r="P315" i="5"/>
  <c r="R315" i="5"/>
  <c r="Q315" i="5"/>
  <c r="Q165" i="5"/>
  <c r="R165" i="5"/>
  <c r="P165" i="5"/>
  <c r="Q67" i="5"/>
  <c r="R67" i="5"/>
  <c r="P67" i="5"/>
  <c r="R8" i="5"/>
  <c r="Q8" i="5"/>
  <c r="P8" i="5"/>
  <c r="Q76" i="5"/>
  <c r="R76" i="5"/>
  <c r="P76" i="5"/>
  <c r="P37" i="5"/>
  <c r="Q37" i="5"/>
  <c r="R37" i="5"/>
  <c r="Q70" i="5"/>
  <c r="P70" i="5"/>
  <c r="R70" i="5"/>
  <c r="R118" i="5"/>
  <c r="Q118" i="5"/>
  <c r="P118" i="5"/>
  <c r="P275" i="5"/>
  <c r="R275" i="5"/>
  <c r="Q275" i="5"/>
  <c r="R256" i="5"/>
  <c r="Q256" i="5"/>
  <c r="P256" i="5"/>
  <c r="Q98" i="5"/>
  <c r="R98" i="5"/>
  <c r="P98" i="5"/>
  <c r="R176" i="5"/>
  <c r="Q176" i="5"/>
  <c r="P176" i="5"/>
  <c r="P33" i="5"/>
  <c r="R33" i="5"/>
  <c r="Q33" i="5"/>
  <c r="R164" i="5"/>
  <c r="Q164" i="5"/>
  <c r="P164" i="5"/>
  <c r="R282" i="5"/>
  <c r="Q282" i="5"/>
  <c r="P282" i="5"/>
  <c r="P295" i="5"/>
  <c r="R295" i="5"/>
  <c r="Q295" i="5"/>
  <c r="R185" i="5"/>
  <c r="P185" i="5"/>
  <c r="Q185" i="5"/>
  <c r="R71" i="5"/>
  <c r="Q71" i="5"/>
  <c r="P71" i="5"/>
  <c r="Q25" i="5"/>
  <c r="R25" i="5"/>
  <c r="P25" i="5"/>
  <c r="Q253" i="5"/>
  <c r="R253" i="5"/>
  <c r="P253" i="5"/>
  <c r="R227" i="5"/>
  <c r="Q227" i="5"/>
  <c r="P227" i="5"/>
  <c r="P244" i="5"/>
  <c r="R244" i="5"/>
  <c r="Q244" i="5"/>
  <c r="R274" i="5"/>
  <c r="Q274" i="5"/>
  <c r="P274" i="5"/>
  <c r="R180" i="5"/>
  <c r="Q180" i="5"/>
  <c r="P180" i="5"/>
  <c r="R75" i="5"/>
  <c r="P75" i="5"/>
  <c r="Q75" i="5"/>
  <c r="Q117" i="5"/>
  <c r="R117" i="5"/>
  <c r="P117" i="5"/>
  <c r="R297" i="5"/>
  <c r="Q297" i="5"/>
  <c r="P297" i="5"/>
  <c r="R273" i="5"/>
  <c r="Q273" i="5"/>
  <c r="P273" i="5"/>
  <c r="P48" i="5"/>
  <c r="Q48" i="5"/>
  <c r="R48" i="5"/>
  <c r="Q276" i="5"/>
  <c r="R276" i="5"/>
  <c r="P276" i="5"/>
  <c r="Q204" i="5"/>
  <c r="P204" i="5"/>
  <c r="R204" i="5"/>
  <c r="R286" i="5"/>
  <c r="P286" i="5"/>
  <c r="Q286" i="5"/>
  <c r="R184" i="5"/>
  <c r="Q184" i="5"/>
  <c r="P184" i="5"/>
  <c r="P207" i="5"/>
  <c r="R207" i="5"/>
  <c r="Q207" i="5"/>
  <c r="Q228" i="5"/>
  <c r="P228" i="5"/>
  <c r="R228" i="5"/>
  <c r="Q241" i="5"/>
  <c r="P241" i="5"/>
  <c r="R241" i="5"/>
  <c r="Q292" i="5"/>
  <c r="R292" i="5"/>
  <c r="P292" i="5"/>
  <c r="R259" i="5"/>
  <c r="Q259" i="5"/>
  <c r="P259" i="5"/>
  <c r="R262" i="5"/>
  <c r="Q262" i="5"/>
  <c r="P262" i="5"/>
  <c r="R206" i="5"/>
  <c r="Q206" i="5"/>
  <c r="P206" i="5"/>
  <c r="P287" i="5"/>
  <c r="R287" i="5"/>
  <c r="Q287" i="5"/>
  <c r="R171" i="5"/>
  <c r="P171" i="5"/>
  <c r="Q171" i="5"/>
  <c r="Q131" i="5"/>
  <c r="R131" i="5"/>
  <c r="P131" i="5"/>
  <c r="Q69" i="5"/>
  <c r="R69" i="5"/>
  <c r="P69" i="5"/>
  <c r="P271" i="5"/>
  <c r="R271" i="5"/>
  <c r="Q271" i="5"/>
  <c r="Q289" i="5"/>
  <c r="R289" i="5"/>
  <c r="P289" i="5"/>
  <c r="R266" i="5"/>
  <c r="Q266" i="5"/>
  <c r="P266" i="5"/>
  <c r="R68" i="5"/>
  <c r="Q68" i="5"/>
  <c r="P68" i="5"/>
  <c r="P224" i="5"/>
  <c r="R224" i="5"/>
  <c r="Q224" i="5"/>
  <c r="Q72" i="5"/>
  <c r="R72" i="5"/>
  <c r="P72" i="5"/>
  <c r="P115" i="5"/>
  <c r="R115" i="5"/>
  <c r="Q115" i="5"/>
  <c r="R181" i="5"/>
  <c r="P181" i="5"/>
  <c r="Q181" i="5"/>
  <c r="R344" i="5"/>
  <c r="Q344" i="5"/>
  <c r="P344" i="5"/>
  <c r="R278" i="5"/>
  <c r="Q278" i="5"/>
  <c r="P278" i="5"/>
  <c r="Q170" i="5"/>
  <c r="R170" i="5"/>
  <c r="P170" i="5"/>
  <c r="Q105" i="5"/>
  <c r="R105" i="5"/>
  <c r="P105" i="5"/>
  <c r="R317" i="5"/>
  <c r="Q317" i="5"/>
  <c r="P317" i="5"/>
  <c r="P232" i="5"/>
  <c r="Q232" i="5"/>
  <c r="R232" i="5"/>
  <c r="Q345" i="5"/>
  <c r="R345" i="5"/>
  <c r="P345" i="5"/>
  <c r="R22" i="5"/>
  <c r="P22" i="5"/>
  <c r="Q22" i="5"/>
  <c r="Q135" i="5"/>
  <c r="R135" i="5"/>
  <c r="P135" i="5"/>
  <c r="R229" i="5"/>
  <c r="P229" i="5"/>
  <c r="Q229" i="5"/>
  <c r="R246" i="5"/>
  <c r="Q246" i="5"/>
  <c r="P246" i="5"/>
  <c r="R186" i="5"/>
  <c r="Q186" i="5"/>
  <c r="P186" i="5"/>
  <c r="R129" i="5"/>
  <c r="P129" i="5"/>
  <c r="Q129" i="5"/>
  <c r="R6" i="5"/>
  <c r="Q6" i="5"/>
  <c r="P6" i="5"/>
  <c r="P324" i="5"/>
  <c r="R324" i="5"/>
  <c r="Q324" i="5"/>
  <c r="P205" i="5"/>
  <c r="R205" i="5"/>
  <c r="Q205" i="5"/>
  <c r="R264" i="5"/>
  <c r="Q264" i="5"/>
  <c r="P264" i="5"/>
  <c r="Q11" i="5"/>
  <c r="R11" i="5"/>
  <c r="P11" i="5"/>
  <c r="R73" i="5"/>
  <c r="Q73" i="5"/>
  <c r="P73" i="5"/>
  <c r="R231" i="5"/>
  <c r="P231" i="5"/>
  <c r="Q231" i="5"/>
  <c r="Q5" i="5"/>
  <c r="R5" i="5"/>
  <c r="P5" i="5"/>
  <c r="Q316" i="5"/>
  <c r="P316" i="5"/>
  <c r="R316" i="5"/>
  <c r="Q21" i="5"/>
  <c r="R21" i="5"/>
  <c r="P21" i="5"/>
  <c r="R340" i="5"/>
  <c r="Q340" i="5"/>
  <c r="P340" i="5"/>
  <c r="R126" i="5"/>
  <c r="Q126" i="5"/>
  <c r="P126" i="5"/>
  <c r="P234" i="5"/>
  <c r="R234" i="5"/>
  <c r="Q234" i="5"/>
  <c r="P323" i="5"/>
  <c r="Q323" i="5"/>
  <c r="R323" i="5"/>
  <c r="P294" i="5"/>
  <c r="R294" i="5"/>
  <c r="Q294" i="5"/>
  <c r="P296" i="5"/>
  <c r="R296" i="5"/>
  <c r="Q296" i="5"/>
  <c r="R222" i="5"/>
  <c r="Q222" i="5"/>
  <c r="P222" i="5"/>
  <c r="Q329" i="5"/>
  <c r="R329" i="5"/>
  <c r="P329" i="5"/>
  <c r="R114" i="5"/>
  <c r="Q114" i="5"/>
  <c r="P114" i="5"/>
  <c r="Q280" i="5"/>
  <c r="R280" i="5"/>
  <c r="P280" i="5"/>
  <c r="R65" i="5"/>
  <c r="P65" i="5"/>
  <c r="Q65" i="5"/>
  <c r="Q257" i="5"/>
  <c r="P257" i="5"/>
  <c r="R257" i="5"/>
  <c r="R252" i="5"/>
  <c r="Q252" i="5"/>
  <c r="P252" i="5"/>
  <c r="Q78" i="5"/>
  <c r="P78" i="5"/>
  <c r="R78" i="5"/>
  <c r="R239" i="5"/>
  <c r="P239" i="5"/>
  <c r="Q239" i="5"/>
  <c r="R136" i="5"/>
  <c r="Q136" i="5"/>
  <c r="P136" i="5"/>
  <c r="R201" i="5"/>
  <c r="Q201" i="5"/>
  <c r="P201" i="5"/>
  <c r="Q9" i="5"/>
  <c r="R9" i="5"/>
  <c r="P9" i="5"/>
  <c r="R168" i="5"/>
  <c r="Q168" i="5"/>
  <c r="P168" i="5"/>
  <c r="R10" i="5"/>
  <c r="P10" i="5"/>
  <c r="Q10" i="5"/>
  <c r="Q245" i="5"/>
  <c r="P245" i="5"/>
  <c r="R245" i="5"/>
  <c r="P291" i="5"/>
  <c r="R291" i="5"/>
  <c r="Q291" i="5"/>
  <c r="R223" i="5"/>
  <c r="P223" i="5"/>
  <c r="Q223" i="5"/>
  <c r="P299" i="5"/>
  <c r="R299" i="5"/>
  <c r="Q299" i="5"/>
  <c r="Q86" i="5"/>
  <c r="R86" i="5"/>
  <c r="P86" i="5"/>
  <c r="P132" i="5"/>
  <c r="R132" i="5"/>
  <c r="Q132" i="5"/>
  <c r="R225" i="5"/>
  <c r="P225" i="5"/>
  <c r="Q225" i="5"/>
  <c r="Q298" i="5"/>
  <c r="R298" i="5"/>
  <c r="P298" i="5"/>
  <c r="Q93" i="5"/>
  <c r="R93" i="5"/>
  <c r="P93" i="5"/>
  <c r="Q39" i="5"/>
  <c r="P39" i="5"/>
  <c r="R39" i="5"/>
  <c r="R293" i="5"/>
  <c r="Q293" i="5"/>
  <c r="P293" i="5"/>
  <c r="P198" i="5"/>
  <c r="R198" i="5"/>
  <c r="Q198" i="5"/>
  <c r="Q47" i="5"/>
  <c r="P47" i="5"/>
  <c r="R47" i="5"/>
  <c r="Q23" i="5"/>
  <c r="R23" i="5"/>
  <c r="P23" i="5"/>
  <c r="Q125" i="5"/>
  <c r="P125" i="5"/>
  <c r="R125" i="5"/>
  <c r="Q247" i="5"/>
  <c r="R247" i="5"/>
  <c r="P247" i="5"/>
  <c r="P178" i="5"/>
  <c r="R178" i="5"/>
  <c r="Q178" i="5"/>
  <c r="R177" i="5"/>
  <c r="Q177" i="5"/>
  <c r="P177" i="5"/>
  <c r="R308" i="5"/>
  <c r="Q308" i="5"/>
  <c r="P308" i="5"/>
  <c r="P343" i="5"/>
  <c r="R343" i="5"/>
  <c r="Q343" i="5"/>
  <c r="Q268" i="5"/>
  <c r="P268" i="5"/>
  <c r="R268" i="5"/>
  <c r="P236" i="5"/>
  <c r="R236" i="5"/>
  <c r="Q236" i="5"/>
  <c r="P283" i="5"/>
  <c r="R283" i="5"/>
  <c r="Q283" i="5"/>
  <c r="P103" i="5"/>
  <c r="R103" i="5"/>
  <c r="Q103" i="5"/>
  <c r="Q162" i="5"/>
  <c r="R162" i="5"/>
  <c r="P162" i="5"/>
  <c r="R322" i="5"/>
  <c r="P322" i="5"/>
  <c r="Q322" i="5"/>
  <c r="Q13" i="5"/>
  <c r="R13" i="5"/>
  <c r="P13" i="5"/>
  <c r="Q172" i="5"/>
  <c r="R172" i="5"/>
  <c r="P172" i="5"/>
  <c r="R38" i="5"/>
  <c r="Q38" i="5"/>
  <c r="P38" i="5"/>
  <c r="R124" i="5"/>
  <c r="Q124" i="5"/>
  <c r="P124" i="5"/>
  <c r="R100" i="5"/>
  <c r="Q100" i="5"/>
  <c r="P100" i="5"/>
  <c r="P306" i="5"/>
  <c r="R306" i="5"/>
  <c r="Q306" i="5"/>
  <c r="P279" i="5"/>
  <c r="R279" i="5"/>
  <c r="Q279" i="5"/>
  <c r="P303" i="5"/>
  <c r="Q303" i="5"/>
  <c r="R303" i="5"/>
  <c r="R250" i="5"/>
  <c r="Q250" i="5"/>
  <c r="P250" i="5"/>
  <c r="R28" i="5"/>
  <c r="Q28" i="5"/>
  <c r="P28" i="5"/>
  <c r="Q288" i="5"/>
  <c r="R288" i="5"/>
  <c r="P288" i="5"/>
  <c r="R66" i="5"/>
  <c r="Q66" i="5"/>
  <c r="P66" i="5"/>
  <c r="R221" i="5"/>
  <c r="Q221" i="5"/>
  <c r="P221" i="5"/>
  <c r="R24" i="5"/>
  <c r="Q24" i="5"/>
  <c r="P24" i="5"/>
  <c r="R167" i="5"/>
  <c r="P167" i="5"/>
  <c r="Q167" i="5"/>
  <c r="P107" i="5"/>
  <c r="Q107" i="5"/>
  <c r="R107" i="5"/>
  <c r="R122" i="5"/>
  <c r="Q122" i="5"/>
  <c r="P122" i="5"/>
  <c r="Q216" i="5"/>
  <c r="R216" i="5"/>
  <c r="P216" i="5"/>
  <c r="R175" i="5"/>
  <c r="P175" i="5"/>
  <c r="Q175" i="5"/>
  <c r="R173" i="5"/>
  <c r="Q173" i="5"/>
  <c r="P173" i="5"/>
  <c r="Q203" i="5"/>
  <c r="R203" i="5"/>
  <c r="P203" i="5"/>
  <c r="Q200" i="5"/>
  <c r="R200" i="5"/>
  <c r="P200" i="5"/>
  <c r="P194" i="5"/>
  <c r="R194" i="5"/>
  <c r="Q194" i="5"/>
  <c r="R233" i="5"/>
  <c r="Q233" i="5"/>
  <c r="P233" i="5"/>
  <c r="R182" i="5"/>
  <c r="Q182" i="5"/>
  <c r="P182" i="5"/>
  <c r="Q277" i="5"/>
  <c r="P277" i="5"/>
  <c r="R277" i="5"/>
  <c r="P240" i="5"/>
  <c r="R240" i="5"/>
  <c r="Q240" i="5"/>
  <c r="R12" i="5"/>
  <c r="Q12" i="5"/>
  <c r="P12" i="5"/>
  <c r="Q161" i="5"/>
  <c r="R161" i="5"/>
  <c r="P161" i="5"/>
  <c r="R81" i="5"/>
  <c r="Q81" i="5"/>
  <c r="P81" i="5"/>
  <c r="Q92" i="5"/>
  <c r="P92" i="5"/>
  <c r="R92" i="5"/>
  <c r="P95" i="5"/>
  <c r="Q95" i="5"/>
  <c r="R95" i="5"/>
  <c r="R217" i="5"/>
  <c r="Q217" i="5"/>
  <c r="P217" i="5"/>
  <c r="R179" i="5"/>
  <c r="Q179" i="5"/>
  <c r="P179" i="5"/>
  <c r="Q251" i="5"/>
  <c r="R251" i="5"/>
  <c r="P251" i="5"/>
  <c r="P127" i="5"/>
  <c r="R127" i="5"/>
  <c r="Q127" i="5"/>
  <c r="Q166" i="5"/>
  <c r="R166" i="5"/>
  <c r="P166" i="5"/>
  <c r="R160" i="5"/>
  <c r="Q160" i="5"/>
  <c r="P160" i="5"/>
  <c r="Q272" i="5"/>
  <c r="P272" i="5"/>
  <c r="R272" i="5"/>
  <c r="Q104" i="5"/>
  <c r="P104" i="5"/>
  <c r="R104" i="5"/>
  <c r="R193" i="5"/>
  <c r="P193" i="5"/>
  <c r="Q193" i="5"/>
  <c r="Q63" i="5"/>
  <c r="P63" i="5"/>
  <c r="R63" i="5"/>
  <c r="Q230" i="5"/>
  <c r="R230" i="5"/>
  <c r="P230" i="5"/>
  <c r="P267" i="5"/>
  <c r="Q267" i="5"/>
  <c r="R267" i="5"/>
  <c r="Q108" i="5"/>
  <c r="R108" i="5"/>
  <c r="P108" i="5"/>
  <c r="R106" i="5"/>
  <c r="Q106" i="5"/>
  <c r="P106" i="5"/>
  <c r="AE216" i="1"/>
  <c r="AH216" i="1"/>
  <c r="AF216" i="1"/>
  <c r="AG216" i="1"/>
  <c r="AF113" i="1"/>
  <c r="AE113" i="1"/>
  <c r="AH113" i="1"/>
  <c r="AG113" i="1"/>
  <c r="AD91" i="1"/>
  <c r="AG91" i="1" s="1"/>
  <c r="AD188" i="1"/>
  <c r="AF175" i="1"/>
  <c r="AG175" i="1"/>
  <c r="AE175" i="1"/>
  <c r="AH175" i="1"/>
  <c r="AF217" i="1"/>
  <c r="AH217" i="1"/>
  <c r="AE217" i="1"/>
  <c r="AG217" i="1"/>
  <c r="AE308" i="1"/>
  <c r="AG308" i="1"/>
  <c r="AF308" i="1"/>
  <c r="AH308" i="1"/>
  <c r="AH343" i="1"/>
  <c r="AF343" i="1"/>
  <c r="AE343" i="1"/>
  <c r="AG343" i="1"/>
  <c r="AD196" i="1"/>
  <c r="O196" i="5" s="1"/>
  <c r="AD87" i="1"/>
  <c r="O87" i="5" s="1"/>
  <c r="AG100" i="1"/>
  <c r="AE100" i="1"/>
  <c r="AH100" i="1"/>
  <c r="AF100" i="1"/>
  <c r="AH279" i="1"/>
  <c r="AE279" i="1"/>
  <c r="AF279" i="1"/>
  <c r="AG279" i="1"/>
  <c r="AF306" i="1"/>
  <c r="AH306" i="1"/>
  <c r="AE306" i="1"/>
  <c r="AG306" i="1"/>
  <c r="AE173" i="1"/>
  <c r="AG173" i="1"/>
  <c r="AH173" i="1"/>
  <c r="AF173" i="1"/>
  <c r="AE203" i="1"/>
  <c r="AH203" i="1"/>
  <c r="AF203" i="1"/>
  <c r="AG203" i="1"/>
  <c r="AH128" i="1"/>
  <c r="AF128" i="1"/>
  <c r="AG128" i="1"/>
  <c r="AE128" i="1"/>
  <c r="AH248" i="1"/>
  <c r="AG248" i="1"/>
  <c r="AF248" i="1"/>
  <c r="AE248" i="1"/>
  <c r="AE251" i="1"/>
  <c r="AF251" i="1"/>
  <c r="AG251" i="1"/>
  <c r="AH251" i="1"/>
  <c r="AH179" i="1"/>
  <c r="AE179" i="1"/>
  <c r="AF179" i="1"/>
  <c r="AG179" i="1"/>
  <c r="AF202" i="1"/>
  <c r="AH202" i="1"/>
  <c r="AE202" i="1"/>
  <c r="AG202" i="1"/>
  <c r="AG134" i="1"/>
  <c r="AF134" i="1"/>
  <c r="AE134" i="1"/>
  <c r="AH134" i="1"/>
  <c r="AD195" i="1"/>
  <c r="O195" i="5" s="1"/>
  <c r="AD85" i="1"/>
  <c r="O85" i="5" s="1"/>
  <c r="AF274" i="1"/>
  <c r="AH274" i="1"/>
  <c r="AG274" i="1"/>
  <c r="AE274" i="1"/>
  <c r="AF180" i="1"/>
  <c r="AE180" i="1"/>
  <c r="AG180" i="1"/>
  <c r="AH180" i="1"/>
  <c r="AH259" i="1"/>
  <c r="AE259" i="1"/>
  <c r="AF259" i="1"/>
  <c r="AG259" i="1"/>
  <c r="AF222" i="1"/>
  <c r="AG222" i="1"/>
  <c r="AH222" i="1"/>
  <c r="AE222" i="1"/>
  <c r="AG223" i="1"/>
  <c r="AF223" i="1"/>
  <c r="AE223" i="1"/>
  <c r="AH223" i="1"/>
  <c r="AF181" i="1"/>
  <c r="AH181" i="1"/>
  <c r="AE181" i="1"/>
  <c r="AG181" i="1"/>
  <c r="AE344" i="1"/>
  <c r="AH344" i="1"/>
  <c r="AF344" i="1"/>
  <c r="AG344" i="1"/>
  <c r="AG278" i="1"/>
  <c r="AF278" i="1"/>
  <c r="AH278" i="1"/>
  <c r="AE278" i="1"/>
  <c r="AD183" i="1"/>
  <c r="AD62" i="1"/>
  <c r="AG324" i="1"/>
  <c r="AF324" i="1"/>
  <c r="AE324" i="1"/>
  <c r="AH324" i="1"/>
  <c r="AF205" i="1"/>
  <c r="AH205" i="1"/>
  <c r="AG205" i="1"/>
  <c r="AE205" i="1"/>
  <c r="AF264" i="1"/>
  <c r="AE264" i="1"/>
  <c r="AG264" i="1"/>
  <c r="AH264" i="1"/>
  <c r="AD191" i="1"/>
  <c r="O191" i="5" s="1"/>
  <c r="AD84" i="1"/>
  <c r="O84" i="5" s="1"/>
  <c r="AF312" i="1"/>
  <c r="AG312" i="1"/>
  <c r="AH312" i="1"/>
  <c r="AE312" i="1"/>
  <c r="AE329" i="1"/>
  <c r="AH329" i="1"/>
  <c r="AG329" i="1"/>
  <c r="AF329" i="1"/>
  <c r="AF114" i="1"/>
  <c r="AG114" i="1"/>
  <c r="AH114" i="1"/>
  <c r="AE114" i="1"/>
  <c r="AF280" i="1"/>
  <c r="AH280" i="1"/>
  <c r="AE280" i="1"/>
  <c r="AG280" i="1"/>
  <c r="AF275" i="1"/>
  <c r="AE275" i="1"/>
  <c r="AG275" i="1"/>
  <c r="AH275" i="1"/>
  <c r="AE299" i="1"/>
  <c r="AF299" i="1"/>
  <c r="AG299" i="1"/>
  <c r="AH299" i="1"/>
  <c r="AH86" i="1"/>
  <c r="AE86" i="1"/>
  <c r="AG86" i="1"/>
  <c r="AF86" i="1"/>
  <c r="AF132" i="1"/>
  <c r="AH132" i="1"/>
  <c r="AE132" i="1"/>
  <c r="AG132" i="1"/>
  <c r="AE31" i="1"/>
  <c r="AH31" i="1"/>
  <c r="AG31" i="1"/>
  <c r="AG225" i="1"/>
  <c r="AE225" i="1"/>
  <c r="AF225" i="1"/>
  <c r="AH225" i="1"/>
  <c r="AE262" i="1"/>
  <c r="AF262" i="1"/>
  <c r="AH262" i="1"/>
  <c r="AG262" i="1"/>
  <c r="AG256" i="1"/>
  <c r="AH256" i="1"/>
  <c r="AE256" i="1"/>
  <c r="AF256" i="1"/>
  <c r="AH219" i="1"/>
  <c r="AF219" i="1"/>
  <c r="AE219" i="1"/>
  <c r="AG219" i="1"/>
  <c r="BJ2" i="3"/>
  <c r="BR2" i="3" s="1"/>
  <c r="BB2" i="3"/>
  <c r="V2" i="3"/>
  <c r="AU2" i="3"/>
  <c r="V121" i="3"/>
  <c r="M207" i="5"/>
  <c r="N207" i="5"/>
  <c r="V17" i="3"/>
  <c r="V163" i="3"/>
  <c r="V133" i="3"/>
  <c r="V89" i="3"/>
  <c r="V19" i="3"/>
  <c r="V4" i="3"/>
  <c r="V3" i="3"/>
  <c r="V83" i="3"/>
  <c r="S119" i="3"/>
  <c r="S109" i="3"/>
  <c r="S30" i="3"/>
  <c r="AD30" i="1" s="1"/>
  <c r="S29" i="3"/>
  <c r="AD29" i="1" s="1"/>
  <c r="S35" i="3"/>
  <c r="AD35" i="1" s="1"/>
  <c r="S61" i="3"/>
  <c r="AD61" i="1" s="1"/>
  <c r="S130" i="3"/>
  <c r="AD130" i="1" s="1"/>
  <c r="S40" i="3"/>
  <c r="AD40" i="1" s="1"/>
  <c r="S82" i="3"/>
  <c r="S138" i="3"/>
  <c r="S18" i="3"/>
  <c r="S74" i="3"/>
  <c r="S123" i="3"/>
  <c r="S120" i="3"/>
  <c r="S56" i="3"/>
  <c r="S59" i="3"/>
  <c r="S36" i="3"/>
  <c r="AD36" i="1" s="1"/>
  <c r="S90" i="3"/>
  <c r="AD90" i="1" s="1"/>
  <c r="S60" i="3"/>
  <c r="AX17" i="3" l="1"/>
  <c r="BN17" i="3"/>
  <c r="BN121" i="3"/>
  <c r="AX121" i="3"/>
  <c r="AX83" i="3"/>
  <c r="BN83" i="3"/>
  <c r="BN4" i="3"/>
  <c r="AX4" i="3"/>
  <c r="BN3" i="3"/>
  <c r="AX3" i="3"/>
  <c r="AD3" i="1" s="1"/>
  <c r="O3" i="5" s="1"/>
  <c r="AX19" i="3"/>
  <c r="BN19" i="3"/>
  <c r="AX89" i="3"/>
  <c r="BN89" i="3"/>
  <c r="AX133" i="3"/>
  <c r="BN133" i="3"/>
  <c r="AX163" i="3"/>
  <c r="BN163" i="3"/>
  <c r="AE91" i="1"/>
  <c r="P87" i="5"/>
  <c r="R87" i="5"/>
  <c r="Q87" i="5"/>
  <c r="O31" i="5"/>
  <c r="Q196" i="5"/>
  <c r="R196" i="5"/>
  <c r="P196" i="5"/>
  <c r="R84" i="5"/>
  <c r="Q84" i="5"/>
  <c r="P84" i="5"/>
  <c r="Q85" i="5"/>
  <c r="R85" i="5"/>
  <c r="P85" i="5"/>
  <c r="O128" i="5"/>
  <c r="Q191" i="5"/>
  <c r="P191" i="5"/>
  <c r="R191" i="5"/>
  <c r="O62" i="5"/>
  <c r="R195" i="5"/>
  <c r="Q195" i="5"/>
  <c r="P195" i="5"/>
  <c r="O183" i="5"/>
  <c r="O188" i="5"/>
  <c r="O91" i="5"/>
  <c r="O113" i="5"/>
  <c r="AF196" i="1"/>
  <c r="AG196" i="1"/>
  <c r="AH196" i="1"/>
  <c r="AE196" i="1"/>
  <c r="AF61" i="1"/>
  <c r="AH61" i="1"/>
  <c r="AE61" i="1"/>
  <c r="AH62" i="1"/>
  <c r="AG62" i="1"/>
  <c r="AE62" i="1"/>
  <c r="AF62" i="1"/>
  <c r="AE183" i="1"/>
  <c r="AG183" i="1"/>
  <c r="AH183" i="1"/>
  <c r="AF183" i="1"/>
  <c r="AF130" i="1"/>
  <c r="AE130" i="1"/>
  <c r="AH130" i="1"/>
  <c r="AG130" i="1"/>
  <c r="AF40" i="1"/>
  <c r="AE40" i="1"/>
  <c r="AE90" i="1"/>
  <c r="AH90" i="1"/>
  <c r="AF90" i="1"/>
  <c r="AG90" i="1"/>
  <c r="AE85" i="1"/>
  <c r="AH85" i="1"/>
  <c r="AF85" i="1"/>
  <c r="AG85" i="1"/>
  <c r="AH36" i="1"/>
  <c r="AE36" i="1"/>
  <c r="AF36" i="1"/>
  <c r="AG36" i="1"/>
  <c r="AF35" i="1"/>
  <c r="AG35" i="1"/>
  <c r="AH35" i="1"/>
  <c r="AE35" i="1"/>
  <c r="AF195" i="1"/>
  <c r="AH195" i="1"/>
  <c r="AE195" i="1"/>
  <c r="AG195" i="1"/>
  <c r="AE188" i="1"/>
  <c r="AF188" i="1"/>
  <c r="AH188" i="1"/>
  <c r="AG188" i="1"/>
  <c r="AE29" i="1"/>
  <c r="AF29" i="1"/>
  <c r="AG29" i="1"/>
  <c r="AH29" i="1"/>
  <c r="AF30" i="1"/>
  <c r="AG30" i="1"/>
  <c r="AE30" i="1"/>
  <c r="AH30" i="1"/>
  <c r="AE84" i="1"/>
  <c r="AF84" i="1"/>
  <c r="AH84" i="1"/>
  <c r="AG84" i="1"/>
  <c r="AF91" i="1"/>
  <c r="AH91" i="1"/>
  <c r="AE191" i="1"/>
  <c r="AG191" i="1"/>
  <c r="AH191" i="1"/>
  <c r="AF191" i="1"/>
  <c r="AE87" i="1"/>
  <c r="AF87" i="1"/>
  <c r="AH87" i="1"/>
  <c r="AG87" i="1"/>
  <c r="AH40" i="1"/>
  <c r="AG40" i="1"/>
  <c r="AG61" i="1"/>
  <c r="V138" i="3"/>
  <c r="V82" i="3"/>
  <c r="V18" i="3"/>
  <c r="AD133" i="1"/>
  <c r="O133" i="5" s="1"/>
  <c r="AD83" i="1"/>
  <c r="O83" i="5" s="1"/>
  <c r="V120" i="3"/>
  <c r="V60" i="3"/>
  <c r="V74" i="3"/>
  <c r="AD4" i="1"/>
  <c r="O4" i="5" s="1"/>
  <c r="AD121" i="1"/>
  <c r="O121" i="5" s="1"/>
  <c r="V59" i="3"/>
  <c r="X29" i="1"/>
  <c r="AD163" i="1"/>
  <c r="O163" i="5" s="1"/>
  <c r="AX2" i="3"/>
  <c r="BN2" i="3"/>
  <c r="V56" i="3"/>
  <c r="V109" i="3"/>
  <c r="AD19" i="1"/>
  <c r="O19" i="5" s="1"/>
  <c r="AD17" i="1"/>
  <c r="O17" i="5" s="1"/>
  <c r="V119" i="3"/>
  <c r="BV2" i="3"/>
  <c r="V123" i="3"/>
  <c r="S57" i="3"/>
  <c r="S152" i="3"/>
  <c r="S20" i="3"/>
  <c r="S155" i="3"/>
  <c r="S156" i="3"/>
  <c r="S158" i="3"/>
  <c r="S157" i="3"/>
  <c r="S159" i="3"/>
  <c r="S154" i="3"/>
  <c r="S153" i="3"/>
  <c r="S150" i="3"/>
  <c r="S151" i="3"/>
  <c r="S139" i="3"/>
  <c r="S140" i="3"/>
  <c r="S141" i="3"/>
  <c r="S142" i="3"/>
  <c r="S143" i="3"/>
  <c r="S144" i="3"/>
  <c r="S145" i="3"/>
  <c r="S146" i="3"/>
  <c r="S14" i="3"/>
  <c r="S147" i="3"/>
  <c r="S15" i="3"/>
  <c r="S148" i="3"/>
  <c r="S16" i="3"/>
  <c r="S149" i="3"/>
  <c r="S99" i="3"/>
  <c r="S55" i="3"/>
  <c r="S58" i="3"/>
  <c r="AX109" i="3" l="1"/>
  <c r="BN109" i="3"/>
  <c r="AX18" i="3"/>
  <c r="BN18" i="3"/>
  <c r="AX82" i="3"/>
  <c r="BN82" i="3"/>
  <c r="BN138" i="3"/>
  <c r="AX138" i="3"/>
  <c r="AX123" i="3"/>
  <c r="BN123" i="3"/>
  <c r="AX59" i="3"/>
  <c r="AD59" i="1" s="1"/>
  <c r="O59" i="5" s="1"/>
  <c r="BN59" i="3"/>
  <c r="BN120" i="3"/>
  <c r="AX120" i="3"/>
  <c r="AX56" i="3"/>
  <c r="BN56" i="3"/>
  <c r="BN119" i="3"/>
  <c r="AX119" i="3"/>
  <c r="BN74" i="3"/>
  <c r="AX74" i="3"/>
  <c r="AX60" i="3"/>
  <c r="BN60" i="3"/>
  <c r="P83" i="5"/>
  <c r="Q83" i="5"/>
  <c r="R83" i="5"/>
  <c r="O130" i="5"/>
  <c r="Q3" i="5"/>
  <c r="R3" i="5"/>
  <c r="P3" i="5"/>
  <c r="Q183" i="5"/>
  <c r="R183" i="5"/>
  <c r="P183" i="5"/>
  <c r="Q113" i="5"/>
  <c r="R113" i="5"/>
  <c r="P113" i="5"/>
  <c r="R163" i="5"/>
  <c r="P163" i="5"/>
  <c r="Q163" i="5"/>
  <c r="O30" i="5"/>
  <c r="O36" i="5"/>
  <c r="P62" i="5"/>
  <c r="R62" i="5"/>
  <c r="Q62" i="5"/>
  <c r="R4" i="5"/>
  <c r="Q4" i="5"/>
  <c r="P4" i="5"/>
  <c r="O90" i="5"/>
  <c r="O40" i="5"/>
  <c r="Q121" i="5"/>
  <c r="P121" i="5"/>
  <c r="R121" i="5"/>
  <c r="O29" i="5"/>
  <c r="O35" i="5"/>
  <c r="R31" i="5"/>
  <c r="P31" i="5"/>
  <c r="Q31" i="5"/>
  <c r="Q17" i="5"/>
  <c r="R17" i="5"/>
  <c r="P17" i="5"/>
  <c r="P91" i="5"/>
  <c r="R91" i="5"/>
  <c r="Q91" i="5"/>
  <c r="R133" i="5"/>
  <c r="Q133" i="5"/>
  <c r="P133" i="5"/>
  <c r="R188" i="5"/>
  <c r="Q188" i="5"/>
  <c r="P188" i="5"/>
  <c r="R128" i="5"/>
  <c r="P128" i="5"/>
  <c r="Q128" i="5"/>
  <c r="Q19" i="5"/>
  <c r="R19" i="5"/>
  <c r="P19" i="5"/>
  <c r="O61" i="5"/>
  <c r="AB29" i="1"/>
  <c r="Y29" i="1"/>
  <c r="AG17" i="1"/>
  <c r="AE17" i="1"/>
  <c r="AH17" i="1"/>
  <c r="AF17" i="1"/>
  <c r="AF19" i="1"/>
  <c r="AH19" i="1"/>
  <c r="AE19" i="1"/>
  <c r="AG19" i="1"/>
  <c r="AH133" i="1"/>
  <c r="AE133" i="1"/>
  <c r="AF133" i="1"/>
  <c r="AG133" i="1"/>
  <c r="AH121" i="1"/>
  <c r="AF121" i="1"/>
  <c r="AG121" i="1"/>
  <c r="AE121" i="1"/>
  <c r="AG83" i="1"/>
  <c r="AE83" i="1"/>
  <c r="AH83" i="1"/>
  <c r="AF83" i="1"/>
  <c r="AE3" i="1"/>
  <c r="AF3" i="1"/>
  <c r="AH3" i="1"/>
  <c r="AG3" i="1"/>
  <c r="AH163" i="1"/>
  <c r="AE163" i="1"/>
  <c r="AG163" i="1"/>
  <c r="AF163" i="1"/>
  <c r="AD192" i="1"/>
  <c r="O192" i="5" s="1"/>
  <c r="AD89" i="1"/>
  <c r="O89" i="5" s="1"/>
  <c r="AE4" i="1"/>
  <c r="AF4" i="1"/>
  <c r="AG4" i="1"/>
  <c r="AH4" i="1"/>
  <c r="AA29" i="1"/>
  <c r="Z29" i="1"/>
  <c r="V149" i="3"/>
  <c r="V147" i="3"/>
  <c r="V150" i="3"/>
  <c r="V14" i="3"/>
  <c r="V153" i="3"/>
  <c r="AD82" i="1"/>
  <c r="O82" i="5" s="1"/>
  <c r="V55" i="3"/>
  <c r="V146" i="3"/>
  <c r="V154" i="3"/>
  <c r="V58" i="3"/>
  <c r="V145" i="3"/>
  <c r="V159" i="3"/>
  <c r="AD109" i="1"/>
  <c r="O109" i="5" s="1"/>
  <c r="V144" i="3"/>
  <c r="V157" i="3"/>
  <c r="AD120" i="1"/>
  <c r="O120" i="5" s="1"/>
  <c r="V143" i="3"/>
  <c r="V158" i="3"/>
  <c r="V142" i="3"/>
  <c r="V156" i="3"/>
  <c r="AD119" i="1"/>
  <c r="O119" i="5" s="1"/>
  <c r="AD138" i="1"/>
  <c r="O138" i="5" s="1"/>
  <c r="V99" i="3"/>
  <c r="V141" i="3"/>
  <c r="V155" i="3"/>
  <c r="AD56" i="1"/>
  <c r="O56" i="5" s="1"/>
  <c r="K29" i="5"/>
  <c r="AD18" i="1"/>
  <c r="O18" i="5" s="1"/>
  <c r="V140" i="3"/>
  <c r="V20" i="3"/>
  <c r="AD123" i="1"/>
  <c r="O123" i="5" s="1"/>
  <c r="V16" i="3"/>
  <c r="V139" i="3"/>
  <c r="V152" i="3"/>
  <c r="V148" i="3"/>
  <c r="V57" i="3"/>
  <c r="AD60" i="1"/>
  <c r="O60" i="5" s="1"/>
  <c r="V15" i="3"/>
  <c r="V151" i="3"/>
  <c r="AX142" i="3" l="1"/>
  <c r="BN142" i="3"/>
  <c r="AX55" i="3"/>
  <c r="BN55" i="3"/>
  <c r="AX20" i="3"/>
  <c r="BN20" i="3"/>
  <c r="BN143" i="3"/>
  <c r="AX143" i="3"/>
  <c r="BN152" i="3"/>
  <c r="AX152" i="3"/>
  <c r="AX158" i="3"/>
  <c r="BN158" i="3"/>
  <c r="BN140" i="3"/>
  <c r="AX140" i="3"/>
  <c r="BN153" i="3"/>
  <c r="AX153" i="3"/>
  <c r="AX151" i="3"/>
  <c r="BN151" i="3"/>
  <c r="BN14" i="3"/>
  <c r="AX14" i="3"/>
  <c r="BN15" i="3"/>
  <c r="AX15" i="3"/>
  <c r="AX157" i="3"/>
  <c r="BN157" i="3"/>
  <c r="BN150" i="3"/>
  <c r="AX150" i="3"/>
  <c r="AX147" i="3"/>
  <c r="BN147" i="3"/>
  <c r="AX144" i="3"/>
  <c r="BN144" i="3"/>
  <c r="BN155" i="3"/>
  <c r="AX155" i="3"/>
  <c r="AX149" i="3"/>
  <c r="BN149" i="3"/>
  <c r="AX57" i="3"/>
  <c r="BN57" i="3"/>
  <c r="AX141" i="3"/>
  <c r="BN141" i="3"/>
  <c r="AX159" i="3"/>
  <c r="BN159" i="3"/>
  <c r="AX148" i="3"/>
  <c r="BN148" i="3"/>
  <c r="BN99" i="3"/>
  <c r="AX99" i="3"/>
  <c r="BN145" i="3"/>
  <c r="AX145" i="3"/>
  <c r="AX58" i="3"/>
  <c r="BN58" i="3"/>
  <c r="AX154" i="3"/>
  <c r="BN154" i="3"/>
  <c r="AX139" i="3"/>
  <c r="BN139" i="3"/>
  <c r="BN16" i="3"/>
  <c r="AX16" i="3"/>
  <c r="AX156" i="3"/>
  <c r="BN156" i="3"/>
  <c r="AX146" i="3"/>
  <c r="BN146" i="3"/>
  <c r="L29" i="5"/>
  <c r="Q60" i="5"/>
  <c r="P60" i="5"/>
  <c r="R60" i="5"/>
  <c r="R18" i="5"/>
  <c r="P18" i="5"/>
  <c r="Q18" i="5"/>
  <c r="R82" i="5"/>
  <c r="Q82" i="5"/>
  <c r="P82" i="5"/>
  <c r="P123" i="5"/>
  <c r="Q123" i="5"/>
  <c r="R123" i="5"/>
  <c r="Q35" i="5"/>
  <c r="P35" i="5"/>
  <c r="R35" i="5"/>
  <c r="Q59" i="5"/>
  <c r="R59" i="5"/>
  <c r="P59" i="5"/>
  <c r="Q29" i="5"/>
  <c r="R29" i="5"/>
  <c r="P29" i="5"/>
  <c r="P120" i="5"/>
  <c r="Q120" i="5"/>
  <c r="R120" i="5"/>
  <c r="Q61" i="5"/>
  <c r="P61" i="5"/>
  <c r="R61" i="5"/>
  <c r="P36" i="5"/>
  <c r="R36" i="5"/>
  <c r="Q36" i="5"/>
  <c r="Q109" i="5"/>
  <c r="P109" i="5"/>
  <c r="R109" i="5"/>
  <c r="R30" i="5"/>
  <c r="Q30" i="5"/>
  <c r="P30" i="5"/>
  <c r="R56" i="5"/>
  <c r="Q56" i="5"/>
  <c r="P56" i="5"/>
  <c r="R130" i="5"/>
  <c r="Q130" i="5"/>
  <c r="P130" i="5"/>
  <c r="R138" i="5"/>
  <c r="Q138" i="5"/>
  <c r="P138" i="5"/>
  <c r="P119" i="5"/>
  <c r="Q119" i="5"/>
  <c r="R119" i="5"/>
  <c r="R89" i="5"/>
  <c r="Q89" i="5"/>
  <c r="P89" i="5"/>
  <c r="R40" i="5"/>
  <c r="P40" i="5"/>
  <c r="Q40" i="5"/>
  <c r="Q192" i="5"/>
  <c r="P192" i="5"/>
  <c r="R192" i="5"/>
  <c r="R90" i="5"/>
  <c r="P90" i="5"/>
  <c r="Q90" i="5"/>
  <c r="AF123" i="1"/>
  <c r="AG123" i="1"/>
  <c r="AH123" i="1"/>
  <c r="AE123" i="1"/>
  <c r="BR123" i="1" s="1"/>
  <c r="AG60" i="1"/>
  <c r="AF60" i="1"/>
  <c r="AH60" i="1"/>
  <c r="AE60" i="1"/>
  <c r="AH59" i="1"/>
  <c r="AE59" i="1"/>
  <c r="AG59" i="1"/>
  <c r="AF59" i="1"/>
  <c r="AH109" i="1"/>
  <c r="AF109" i="1"/>
  <c r="AG109" i="1"/>
  <c r="AE109" i="1"/>
  <c r="AF120" i="1"/>
  <c r="AG120" i="1"/>
  <c r="AH120" i="1"/>
  <c r="AE120" i="1"/>
  <c r="AF89" i="1"/>
  <c r="AH89" i="1"/>
  <c r="AE89" i="1"/>
  <c r="AG89" i="1"/>
  <c r="AD74" i="1"/>
  <c r="O74" i="5" s="1"/>
  <c r="AD187" i="1"/>
  <c r="O187" i="5" s="1"/>
  <c r="AH192" i="1"/>
  <c r="AG192" i="1"/>
  <c r="AE192" i="1"/>
  <c r="AF192" i="1"/>
  <c r="AH119" i="1"/>
  <c r="AE119" i="1"/>
  <c r="AF119" i="1"/>
  <c r="AG119" i="1"/>
  <c r="AF138" i="1"/>
  <c r="AH138" i="1"/>
  <c r="AG138" i="1"/>
  <c r="AE138" i="1"/>
  <c r="AG56" i="1"/>
  <c r="AH56" i="1"/>
  <c r="AE56" i="1"/>
  <c r="AF56" i="1"/>
  <c r="AF18" i="1"/>
  <c r="AG18" i="1"/>
  <c r="AH18" i="1"/>
  <c r="AE18" i="1"/>
  <c r="AE82" i="1"/>
  <c r="AF82" i="1"/>
  <c r="AG82" i="1"/>
  <c r="AH82" i="1"/>
  <c r="AD151" i="1"/>
  <c r="O151" i="5" s="1"/>
  <c r="AD146" i="1"/>
  <c r="O146" i="5" s="1"/>
  <c r="AD57" i="1"/>
  <c r="O57" i="5" s="1"/>
  <c r="M29" i="5"/>
  <c r="N29" i="5"/>
  <c r="AD159" i="1"/>
  <c r="O159" i="5" s="1"/>
  <c r="AD153" i="1"/>
  <c r="O153" i="5" s="1"/>
  <c r="AD155" i="1"/>
  <c r="O155" i="5" s="1"/>
  <c r="AD147" i="1"/>
  <c r="O147" i="5" s="1"/>
  <c r="AD143" i="1"/>
  <c r="O143" i="5" s="1"/>
  <c r="AD55" i="1"/>
  <c r="O55" i="5" s="1"/>
  <c r="AD15" i="1"/>
  <c r="O15" i="5" s="1"/>
  <c r="AD145" i="1"/>
  <c r="O145" i="5" s="1"/>
  <c r="AD149" i="1"/>
  <c r="O149" i="5" s="1"/>
  <c r="AD139" i="1"/>
  <c r="O139" i="5" s="1"/>
  <c r="AD141" i="1"/>
  <c r="O141" i="5" s="1"/>
  <c r="AD157" i="1"/>
  <c r="O157" i="5" s="1"/>
  <c r="AD14" i="1"/>
  <c r="O14" i="5" s="1"/>
  <c r="AD16" i="1"/>
  <c r="O16" i="5" s="1"/>
  <c r="AD20" i="1"/>
  <c r="O20" i="5" s="1"/>
  <c r="AD156" i="1"/>
  <c r="O156" i="5" s="1"/>
  <c r="AD58" i="1"/>
  <c r="O58" i="5" s="1"/>
  <c r="AD154" i="1"/>
  <c r="O154" i="5" s="1"/>
  <c r="AD152" i="1"/>
  <c r="O152" i="5" s="1"/>
  <c r="AD148" i="1"/>
  <c r="O148" i="5" s="1"/>
  <c r="AD99" i="1"/>
  <c r="O99" i="5" s="1"/>
  <c r="AD150" i="1"/>
  <c r="O150" i="5" s="1"/>
  <c r="AD140" i="1"/>
  <c r="O140" i="5" s="1"/>
  <c r="AD158" i="1"/>
  <c r="O158" i="5" s="1"/>
  <c r="AD144" i="1"/>
  <c r="O144" i="5" s="1"/>
  <c r="AD142" i="1"/>
  <c r="O142" i="5" s="1"/>
  <c r="BR260" i="1"/>
  <c r="BR253" i="1"/>
  <c r="BR269" i="1"/>
  <c r="BR274" i="1"/>
  <c r="BR308" i="1"/>
  <c r="BR303" i="1"/>
  <c r="BR293" i="1"/>
  <c r="BR180" i="1"/>
  <c r="BR275" i="1"/>
  <c r="BR298" i="1"/>
  <c r="BR213" i="1"/>
  <c r="BR271" i="1"/>
  <c r="BR242" i="1"/>
  <c r="BR294" i="1"/>
  <c r="BR215" i="1"/>
  <c r="BR222" i="1"/>
  <c r="BR273" i="1"/>
  <c r="BR280" i="1"/>
  <c r="BR248" i="1"/>
  <c r="BR282" i="1"/>
  <c r="BR306" i="1"/>
  <c r="BR181" i="1"/>
  <c r="BR223" i="1"/>
  <c r="BR175" i="1"/>
  <c r="BR251" i="1"/>
  <c r="BR324" i="1"/>
  <c r="BR176" i="1"/>
  <c r="BR259" i="1"/>
  <c r="BR329" i="1"/>
  <c r="BR264" i="1"/>
  <c r="BR317" i="1"/>
  <c r="BR179" i="1"/>
  <c r="BR299" i="1"/>
  <c r="BR177" i="1"/>
  <c r="BR295" i="1"/>
  <c r="BR312" i="1"/>
  <c r="BR323" i="1"/>
  <c r="BR286" i="1"/>
  <c r="BR322" i="1"/>
  <c r="BR247" i="1"/>
  <c r="BR270" i="1"/>
  <c r="BR263" i="1"/>
  <c r="BR272" i="1"/>
  <c r="BR178" i="1"/>
  <c r="BM2" i="1"/>
  <c r="BR281" i="1"/>
  <c r="BR214" i="1"/>
  <c r="B2" i="5"/>
  <c r="BJ2" i="1"/>
  <c r="P2" i="1"/>
  <c r="CA2" i="1" s="1"/>
  <c r="AT2" i="1"/>
  <c r="AU2" i="1" s="1"/>
  <c r="A171" i="1"/>
  <c r="A171" i="5" s="1"/>
  <c r="A168" i="1"/>
  <c r="A168" i="5" s="1"/>
  <c r="A191" i="1"/>
  <c r="A191" i="5" s="1"/>
  <c r="A193" i="1"/>
  <c r="A193" i="5" s="1"/>
  <c r="A205" i="1"/>
  <c r="A205" i="5" s="1"/>
  <c r="A203" i="1"/>
  <c r="A203" i="5" s="1"/>
  <c r="A201" i="1"/>
  <c r="A201" i="5" s="1"/>
  <c r="A200" i="1"/>
  <c r="A200" i="5" s="1"/>
  <c r="A207" i="1"/>
  <c r="A207" i="5" s="1"/>
  <c r="A126" i="1"/>
  <c r="A126" i="5" s="1"/>
  <c r="A18" i="1"/>
  <c r="A18" i="5" s="1"/>
  <c r="A71" i="1"/>
  <c r="A71" i="5" s="1"/>
  <c r="A163" i="1"/>
  <c r="A163" i="5" s="1"/>
  <c r="A196" i="1"/>
  <c r="A196" i="5" s="1"/>
  <c r="A164" i="1"/>
  <c r="A164" i="5" s="1"/>
  <c r="CC2" i="1"/>
  <c r="L2" i="1" s="1"/>
  <c r="A165" i="1"/>
  <c r="A165" i="5" s="1"/>
  <c r="BR166" i="1"/>
  <c r="A170" i="1"/>
  <c r="A170" i="5" s="1"/>
  <c r="A167" i="1"/>
  <c r="A167" i="5" s="1"/>
  <c r="A77" i="1"/>
  <c r="A77" i="5" s="1"/>
  <c r="A198" i="1"/>
  <c r="A198" i="5" s="1"/>
  <c r="A172" i="1"/>
  <c r="A172" i="5" s="1"/>
  <c r="A185" i="1"/>
  <c r="A185" i="5" s="1"/>
  <c r="A199" i="1"/>
  <c r="A199" i="5" s="1"/>
  <c r="A173" i="1"/>
  <c r="A173" i="5" s="1"/>
  <c r="A202" i="1"/>
  <c r="A202" i="5" s="1"/>
  <c r="A150" i="1"/>
  <c r="A150" i="5" s="1"/>
  <c r="A84" i="1"/>
  <c r="A84" i="5" s="1"/>
  <c r="A81" i="1"/>
  <c r="A81" i="5" s="1"/>
  <c r="A76" i="1"/>
  <c r="A76" i="5" s="1"/>
  <c r="A35" i="1"/>
  <c r="A35" i="5" s="1"/>
  <c r="A19" i="1"/>
  <c r="A19" i="5" s="1"/>
  <c r="A21" i="1"/>
  <c r="A21" i="5" s="1"/>
  <c r="A166" i="1"/>
  <c r="A166" i="5" s="1"/>
  <c r="X2" i="1"/>
  <c r="A130" i="1"/>
  <c r="A130" i="5" s="1"/>
  <c r="A169" i="1"/>
  <c r="A169" i="5" s="1"/>
  <c r="A208" i="1"/>
  <c r="A208" i="5" s="1"/>
  <c r="A204" i="1"/>
  <c r="A204" i="5" s="1"/>
  <c r="A37" i="1"/>
  <c r="A37" i="5" s="1"/>
  <c r="A183" i="1"/>
  <c r="A183" i="5" s="1"/>
  <c r="A209" i="1"/>
  <c r="A209" i="5" s="1"/>
  <c r="A94" i="1"/>
  <c r="A94" i="5" s="1"/>
  <c r="BR69" i="1"/>
  <c r="A24" i="1"/>
  <c r="A24" i="5" s="1"/>
  <c r="A103" i="1"/>
  <c r="A103" i="5" s="1"/>
  <c r="A68" i="1"/>
  <c r="A68" i="5" s="1"/>
  <c r="A106" i="1"/>
  <c r="A106" i="5" s="1"/>
  <c r="A36" i="1"/>
  <c r="A36" i="5" s="1"/>
  <c r="A33" i="1"/>
  <c r="A33" i="5" s="1"/>
  <c r="A41" i="1"/>
  <c r="A41" i="5" s="1"/>
  <c r="A162" i="1"/>
  <c r="A162" i="5" s="1"/>
  <c r="BR210" i="1"/>
  <c r="A131" i="1"/>
  <c r="A131" i="5" s="1"/>
  <c r="A40" i="1"/>
  <c r="A40" i="5" s="1"/>
  <c r="BR319" i="1"/>
  <c r="A161" i="1"/>
  <c r="A161" i="5" s="1"/>
  <c r="A107" i="1"/>
  <c r="A107" i="5" s="1"/>
  <c r="A89" i="1"/>
  <c r="A89" i="5" s="1"/>
  <c r="A121" i="1"/>
  <c r="A121" i="5" s="1"/>
  <c r="A134" i="1"/>
  <c r="A134" i="5" s="1"/>
  <c r="BR254" i="1"/>
  <c r="BR320" i="1"/>
  <c r="A123" i="1"/>
  <c r="A123" i="5" s="1"/>
  <c r="A73" i="1"/>
  <c r="A73" i="5" s="1"/>
  <c r="A192" i="1"/>
  <c r="A192" i="5" s="1"/>
  <c r="A65" i="1"/>
  <c r="A65" i="5" s="1"/>
  <c r="A5" i="1"/>
  <c r="A5" i="5" s="1"/>
  <c r="A59" i="1"/>
  <c r="A59" i="5" s="1"/>
  <c r="A109" i="1"/>
  <c r="A109" i="5" s="1"/>
  <c r="A57" i="1"/>
  <c r="A57" i="5" s="1"/>
  <c r="A10" i="1"/>
  <c r="A10" i="5" s="1"/>
  <c r="A140" i="1"/>
  <c r="A140" i="5" s="1"/>
  <c r="A129" i="1"/>
  <c r="A129" i="5" s="1"/>
  <c r="A93" i="1"/>
  <c r="A93" i="5" s="1"/>
  <c r="A61" i="1"/>
  <c r="A61" i="5" s="1"/>
  <c r="A29" i="1"/>
  <c r="A29" i="5" s="1"/>
  <c r="A4" i="1"/>
  <c r="A4" i="5" s="1"/>
  <c r="A138" i="1"/>
  <c r="A138" i="5" s="1"/>
  <c r="A160" i="1"/>
  <c r="A160" i="5" s="1"/>
  <c r="A117" i="1"/>
  <c r="A117" i="5" s="1"/>
  <c r="A56" i="1"/>
  <c r="A56" i="5" s="1"/>
  <c r="A108" i="1"/>
  <c r="A108" i="5" s="1"/>
  <c r="A104" i="1"/>
  <c r="A104" i="5" s="1"/>
  <c r="A128" i="1"/>
  <c r="A128" i="5" s="1"/>
  <c r="A90" i="1"/>
  <c r="A90" i="5" s="1"/>
  <c r="A102" i="1"/>
  <c r="A102" i="5" s="1"/>
  <c r="BR285" i="1"/>
  <c r="A116" i="1"/>
  <c r="A116" i="5" s="1"/>
  <c r="A195" i="1"/>
  <c r="A195" i="5" s="1"/>
  <c r="A66" i="1"/>
  <c r="A66" i="5" s="1"/>
  <c r="BR243" i="1"/>
  <c r="A133" i="1"/>
  <c r="A133" i="5" s="1"/>
  <c r="A74" i="1"/>
  <c r="A74" i="5" s="1"/>
  <c r="A127" i="1"/>
  <c r="A127" i="5" s="1"/>
  <c r="A101" i="1"/>
  <c r="A101" i="5" s="1"/>
  <c r="A34" i="1"/>
  <c r="A34" i="5" s="1"/>
  <c r="AO2" i="1"/>
  <c r="AW2" i="3" s="1"/>
  <c r="A95" i="1"/>
  <c r="A95" i="5" s="1"/>
  <c r="A62" i="1"/>
  <c r="A62" i="5" s="1"/>
  <c r="BR237" i="1"/>
  <c r="A96" i="1"/>
  <c r="A96" i="5" s="1"/>
  <c r="A186" i="1"/>
  <c r="A186" i="5" s="1"/>
  <c r="A143" i="1"/>
  <c r="A143" i="5" s="1"/>
  <c r="A69" i="1"/>
  <c r="A69" i="5" s="1"/>
  <c r="BR307" i="1"/>
  <c r="A20" i="1"/>
  <c r="A20" i="5" s="1"/>
  <c r="A55" i="1"/>
  <c r="A55" i="5" s="1"/>
  <c r="BR336" i="1"/>
  <c r="BR305" i="1"/>
  <c r="A72" i="1"/>
  <c r="A72" i="5" s="1"/>
  <c r="BR328" i="1"/>
  <c r="A122" i="1"/>
  <c r="A122" i="5" s="1"/>
  <c r="BR212" i="1"/>
  <c r="A38" i="1"/>
  <c r="A38" i="5" s="1"/>
  <c r="A98" i="1"/>
  <c r="A98" i="5" s="1"/>
  <c r="A67" i="1"/>
  <c r="A67" i="5" s="1"/>
  <c r="S2" i="1"/>
  <c r="T2" i="1" s="1"/>
  <c r="A99" i="1"/>
  <c r="A99" i="5" s="1"/>
  <c r="A75" i="1"/>
  <c r="A75" i="5" s="1"/>
  <c r="A64" i="1"/>
  <c r="A64" i="5" s="1"/>
  <c r="A153" i="1"/>
  <c r="A153" i="5" s="1"/>
  <c r="A60" i="1"/>
  <c r="A60" i="5" s="1"/>
  <c r="BI2" i="1"/>
  <c r="BL2" i="1" s="1"/>
  <c r="A105" i="1"/>
  <c r="A105" i="5" s="1"/>
  <c r="A197" i="1"/>
  <c r="A197" i="5" s="1"/>
  <c r="A148" i="1"/>
  <c r="A148" i="5" s="1"/>
  <c r="A158" i="1"/>
  <c r="A158" i="5" s="1"/>
  <c r="BR304" i="1"/>
  <c r="A85" i="1"/>
  <c r="A85" i="5" s="1"/>
  <c r="A86" i="1"/>
  <c r="A86" i="5" s="1"/>
  <c r="A47" i="1"/>
  <c r="A47" i="5" s="1"/>
  <c r="A136" i="1"/>
  <c r="A136" i="5" s="1"/>
  <c r="A79" i="1"/>
  <c r="A79" i="5" s="1"/>
  <c r="A132" i="1"/>
  <c r="A132" i="5" s="1"/>
  <c r="A39" i="1"/>
  <c r="A39" i="5" s="1"/>
  <c r="A12" i="1"/>
  <c r="A12" i="5" s="1"/>
  <c r="A145" i="1"/>
  <c r="A145" i="5" s="1"/>
  <c r="A88" i="1"/>
  <c r="A88" i="5" s="1"/>
  <c r="A146" i="1"/>
  <c r="A146" i="5" s="1"/>
  <c r="A48" i="1"/>
  <c r="A48" i="5" s="1"/>
  <c r="A3" i="1"/>
  <c r="A3" i="5" s="1"/>
  <c r="A9" i="1"/>
  <c r="A9" i="5" s="1"/>
  <c r="A100" i="1"/>
  <c r="A100" i="5" s="1"/>
  <c r="BR265" i="1"/>
  <c r="A32" i="1"/>
  <c r="A32" i="5" s="1"/>
  <c r="A22" i="1"/>
  <c r="A22" i="5" s="1"/>
  <c r="A54" i="1"/>
  <c r="A54" i="5" s="1"/>
  <c r="A58" i="1"/>
  <c r="A58" i="5" s="1"/>
  <c r="BT2" i="1"/>
  <c r="AW2" i="1" s="1"/>
  <c r="A120" i="1"/>
  <c r="A120" i="5" s="1"/>
  <c r="A113" i="1"/>
  <c r="A113" i="5" s="1"/>
  <c r="A124" i="1"/>
  <c r="A124" i="5" s="1"/>
  <c r="A52" i="1"/>
  <c r="A52" i="5" s="1"/>
  <c r="A189" i="1"/>
  <c r="A189" i="5" s="1"/>
  <c r="A206" i="1"/>
  <c r="A206" i="5" s="1"/>
  <c r="A23" i="1"/>
  <c r="A23" i="5" s="1"/>
  <c r="A125" i="1"/>
  <c r="A125" i="5" s="1"/>
  <c r="A119" i="1"/>
  <c r="A119" i="5" s="1"/>
  <c r="A8" i="1"/>
  <c r="A8" i="5" s="1"/>
  <c r="A46" i="1"/>
  <c r="A46" i="5" s="1"/>
  <c r="A63" i="1"/>
  <c r="A63" i="5" s="1"/>
  <c r="A118" i="1"/>
  <c r="A118" i="5" s="1"/>
  <c r="A87" i="1"/>
  <c r="A87" i="5" s="1"/>
  <c r="BR284" i="1"/>
  <c r="A16" i="1"/>
  <c r="A16" i="5" s="1"/>
  <c r="A27" i="1"/>
  <c r="A27" i="5" s="1"/>
  <c r="A91" i="1"/>
  <c r="A91" i="5" s="1"/>
  <c r="A190" i="1"/>
  <c r="A190" i="5" s="1"/>
  <c r="A184" i="1"/>
  <c r="A184" i="5" s="1"/>
  <c r="BR211" i="1"/>
  <c r="A111" i="1"/>
  <c r="A111" i="5" s="1"/>
  <c r="A135" i="1"/>
  <c r="A135" i="5" s="1"/>
  <c r="A82" i="1"/>
  <c r="A82" i="5" s="1"/>
  <c r="A151" i="1"/>
  <c r="A151" i="5" s="1"/>
  <c r="A6" i="1"/>
  <c r="A6" i="5" s="1"/>
  <c r="A110" i="1"/>
  <c r="A110" i="5" s="1"/>
  <c r="A83" i="1"/>
  <c r="A83" i="5" s="1"/>
  <c r="A25" i="1"/>
  <c r="A25" i="5" s="1"/>
  <c r="A50" i="1"/>
  <c r="A50" i="5" s="1"/>
  <c r="A147" i="1"/>
  <c r="A147" i="5" s="1"/>
  <c r="A80" i="1"/>
  <c r="A80" i="5" s="1"/>
  <c r="A42" i="1"/>
  <c r="A42" i="5" s="1"/>
  <c r="A141" i="1"/>
  <c r="A141" i="5" s="1"/>
  <c r="A142" i="1"/>
  <c r="A142" i="5" s="1"/>
  <c r="A97" i="1"/>
  <c r="A97" i="5" s="1"/>
  <c r="A139" i="1"/>
  <c r="A139" i="5" s="1"/>
  <c r="A44" i="1"/>
  <c r="A44" i="5" s="1"/>
  <c r="A137" i="1"/>
  <c r="A137" i="5" s="1"/>
  <c r="A53" i="1"/>
  <c r="A53" i="5" s="1"/>
  <c r="A14" i="1"/>
  <c r="A14" i="5" s="1"/>
  <c r="A28" i="1"/>
  <c r="A28" i="5" s="1"/>
  <c r="A149" i="1"/>
  <c r="A149" i="5" s="1"/>
  <c r="A115" i="1"/>
  <c r="A115" i="5" s="1"/>
  <c r="A92" i="1"/>
  <c r="A92" i="5" s="1"/>
  <c r="A144" i="1"/>
  <c r="A144" i="5" s="1"/>
  <c r="A157" i="1"/>
  <c r="A157" i="5" s="1"/>
  <c r="A152" i="1"/>
  <c r="A152" i="5" s="1"/>
  <c r="A45" i="1"/>
  <c r="A45" i="5" s="1"/>
  <c r="A49" i="1"/>
  <c r="A49" i="5" s="1"/>
  <c r="A13" i="1"/>
  <c r="A13" i="5" s="1"/>
  <c r="A188" i="1"/>
  <c r="A188" i="5" s="1"/>
  <c r="A7" i="1"/>
  <c r="A7" i="5" s="1"/>
  <c r="A154" i="1"/>
  <c r="A154" i="5" s="1"/>
  <c r="M2" i="1"/>
  <c r="BV2" i="1"/>
  <c r="BY2" i="1"/>
  <c r="AZ2" i="1"/>
  <c r="N2" i="1"/>
  <c r="CI2" i="1"/>
  <c r="BR134" i="1"/>
  <c r="CJ2" i="1"/>
  <c r="BR10" i="1"/>
  <c r="CF2" i="1"/>
  <c r="AR2" i="1"/>
  <c r="CG2" i="1"/>
  <c r="CH2" i="1"/>
  <c r="O2" i="1"/>
  <c r="CB2" i="1"/>
  <c r="BO2" i="1"/>
  <c r="BQ2" i="1" s="1"/>
  <c r="CE2" i="1"/>
  <c r="AX2" i="1"/>
  <c r="I2" i="1"/>
  <c r="BC2" i="1"/>
  <c r="BR163" i="1"/>
  <c r="AV2" i="1"/>
  <c r="BB2" i="1"/>
  <c r="AS2" i="1"/>
  <c r="BA2" i="1"/>
  <c r="AC2" i="1"/>
  <c r="A11" i="1"/>
  <c r="A11" i="5" s="1"/>
  <c r="A15" i="1"/>
  <c r="A15" i="5" s="1"/>
  <c r="A30" i="1"/>
  <c r="A30" i="5" s="1"/>
  <c r="A51" i="1"/>
  <c r="A51" i="5" s="1"/>
  <c r="A17" i="1"/>
  <c r="A17" i="5" s="1"/>
  <c r="A26" i="1"/>
  <c r="A26" i="5" s="1"/>
  <c r="A159" i="1"/>
  <c r="A159" i="5" s="1"/>
  <c r="A112" i="1"/>
  <c r="A112" i="5" s="1"/>
  <c r="A194" i="1"/>
  <c r="A194" i="5" s="1"/>
  <c r="A78" i="1"/>
  <c r="A78" i="5" s="1"/>
  <c r="A155" i="1"/>
  <c r="A155" i="5" s="1"/>
  <c r="A156" i="1"/>
  <c r="A156" i="5" s="1"/>
  <c r="A187" i="1"/>
  <c r="A187" i="5" s="1"/>
  <c r="A70" i="1"/>
  <c r="A70" i="5" s="1"/>
  <c r="A43" i="1"/>
  <c r="A43" i="5" s="1"/>
  <c r="A114" i="1"/>
  <c r="A114" i="5" s="1"/>
  <c r="A2" i="1"/>
  <c r="A31" i="1"/>
  <c r="A31" i="5" s="1"/>
  <c r="N400" i="1" l="1"/>
  <c r="AV384" i="3" s="1"/>
  <c r="BR400" i="1" s="1"/>
  <c r="O386" i="1"/>
  <c r="N388" i="1"/>
  <c r="AV372" i="3" s="1"/>
  <c r="BR388" i="1" s="1"/>
  <c r="O407" i="1"/>
  <c r="N403" i="1"/>
  <c r="N412" i="1"/>
  <c r="N386" i="1"/>
  <c r="AV370" i="3" s="1"/>
  <c r="BR386" i="1" s="1"/>
  <c r="O388" i="1"/>
  <c r="O403" i="1"/>
  <c r="N407" i="1"/>
  <c r="O410" i="1"/>
  <c r="N410" i="1"/>
  <c r="AV394" i="3" s="1"/>
  <c r="BR410" i="1" s="1"/>
  <c r="H410" i="1" s="1"/>
  <c r="O412" i="1"/>
  <c r="O400" i="1"/>
  <c r="D382" i="5"/>
  <c r="D378" i="5"/>
  <c r="D381" i="5"/>
  <c r="D380" i="5"/>
  <c r="D383" i="5"/>
  <c r="D379" i="5"/>
  <c r="O379" i="1"/>
  <c r="N230" i="1"/>
  <c r="O382" i="1"/>
  <c r="O230" i="1"/>
  <c r="N379" i="1"/>
  <c r="O378" i="1"/>
  <c r="N382" i="1"/>
  <c r="N378" i="1"/>
  <c r="N283" i="1"/>
  <c r="N296" i="1"/>
  <c r="N292" i="1"/>
  <c r="O296" i="1"/>
  <c r="O292" i="1"/>
  <c r="O283" i="1"/>
  <c r="D9" i="5"/>
  <c r="D159" i="5"/>
  <c r="D31" i="5"/>
  <c r="D15" i="5"/>
  <c r="D17" i="5"/>
  <c r="D7" i="5"/>
  <c r="D70" i="5"/>
  <c r="D30" i="5"/>
  <c r="D144" i="5"/>
  <c r="D97" i="5"/>
  <c r="D82" i="5"/>
  <c r="D118" i="5"/>
  <c r="D120" i="5"/>
  <c r="D88" i="5"/>
  <c r="D75" i="5"/>
  <c r="D55" i="5"/>
  <c r="D160" i="5"/>
  <c r="D109" i="5"/>
  <c r="D103" i="5"/>
  <c r="D169" i="5"/>
  <c r="D76" i="5"/>
  <c r="D170" i="5"/>
  <c r="D200" i="5"/>
  <c r="D63" i="5"/>
  <c r="D145" i="5"/>
  <c r="D99" i="5"/>
  <c r="D20" i="5"/>
  <c r="D34" i="5"/>
  <c r="D59" i="5"/>
  <c r="D24" i="5"/>
  <c r="D130" i="5"/>
  <c r="D81" i="5"/>
  <c r="D201" i="5"/>
  <c r="D142" i="5"/>
  <c r="D115" i="5"/>
  <c r="D141" i="5"/>
  <c r="D135" i="5"/>
  <c r="D46" i="5"/>
  <c r="D58" i="5"/>
  <c r="D12" i="5"/>
  <c r="D158" i="5"/>
  <c r="D101" i="5"/>
  <c r="D102" i="5"/>
  <c r="D138" i="5"/>
  <c r="D5" i="5"/>
  <c r="D89" i="5"/>
  <c r="D84" i="5"/>
  <c r="D165" i="5"/>
  <c r="D203" i="5"/>
  <c r="D171" i="5"/>
  <c r="D51" i="5"/>
  <c r="D157" i="5"/>
  <c r="D187" i="5"/>
  <c r="D92" i="5"/>
  <c r="D156" i="5"/>
  <c r="D11" i="5"/>
  <c r="D155" i="5"/>
  <c r="D149" i="5"/>
  <c r="D42" i="5"/>
  <c r="D111" i="5"/>
  <c r="D8" i="5"/>
  <c r="D54" i="5"/>
  <c r="D39" i="5"/>
  <c r="D148" i="5"/>
  <c r="D67" i="5"/>
  <c r="D69" i="5"/>
  <c r="D127" i="5"/>
  <c r="D4" i="5"/>
  <c r="D107" i="5"/>
  <c r="D94" i="5"/>
  <c r="D150" i="5"/>
  <c r="D43" i="5"/>
  <c r="D139" i="5"/>
  <c r="D154" i="5"/>
  <c r="D28" i="5"/>
  <c r="D80" i="5"/>
  <c r="D119" i="5"/>
  <c r="D22" i="5"/>
  <c r="D132" i="5"/>
  <c r="D98" i="5"/>
  <c r="D29" i="5"/>
  <c r="D65" i="5"/>
  <c r="D161" i="5"/>
  <c r="D202" i="5"/>
  <c r="D146" i="5"/>
  <c r="D143" i="5"/>
  <c r="D74" i="5"/>
  <c r="D90" i="5"/>
  <c r="D61" i="5"/>
  <c r="D192" i="5"/>
  <c r="D209" i="5"/>
  <c r="D173" i="5"/>
  <c r="D164" i="5"/>
  <c r="D205" i="5"/>
  <c r="D113" i="5"/>
  <c r="D78" i="5"/>
  <c r="D14" i="5"/>
  <c r="D125" i="5"/>
  <c r="D79" i="5"/>
  <c r="D194" i="5"/>
  <c r="D188" i="5"/>
  <c r="D53" i="5"/>
  <c r="D50" i="5"/>
  <c r="D190" i="5"/>
  <c r="D23" i="5"/>
  <c r="D136" i="5"/>
  <c r="D105" i="5"/>
  <c r="D186" i="5"/>
  <c r="D133" i="5"/>
  <c r="D128" i="5"/>
  <c r="D93" i="5"/>
  <c r="D73" i="5"/>
  <c r="D162" i="5"/>
  <c r="D183" i="5"/>
  <c r="D199" i="5"/>
  <c r="D196" i="5"/>
  <c r="D191" i="5"/>
  <c r="D151" i="5"/>
  <c r="D147" i="5"/>
  <c r="D184" i="5"/>
  <c r="D32" i="5"/>
  <c r="D197" i="5"/>
  <c r="D38" i="5"/>
  <c r="D112" i="5"/>
  <c r="D13" i="5"/>
  <c r="D137" i="5"/>
  <c r="D25" i="5"/>
  <c r="D91" i="5"/>
  <c r="D206" i="5"/>
  <c r="D100" i="5"/>
  <c r="D47" i="5"/>
  <c r="D122" i="5"/>
  <c r="D96" i="5"/>
  <c r="D104" i="5"/>
  <c r="D129" i="5"/>
  <c r="D123" i="5"/>
  <c r="D41" i="5"/>
  <c r="D37" i="5"/>
  <c r="D185" i="5"/>
  <c r="D163" i="5"/>
  <c r="D49" i="5"/>
  <c r="D83" i="5"/>
  <c r="D108" i="5"/>
  <c r="D140" i="5"/>
  <c r="D33" i="5"/>
  <c r="D166" i="5"/>
  <c r="D172" i="5"/>
  <c r="D71" i="5"/>
  <c r="D27" i="5"/>
  <c r="D189" i="5"/>
  <c r="D60" i="5"/>
  <c r="D229" i="5"/>
  <c r="D26" i="5"/>
  <c r="D45" i="5"/>
  <c r="D110" i="5"/>
  <c r="D16" i="5"/>
  <c r="D52" i="5"/>
  <c r="D3" i="5"/>
  <c r="D86" i="5"/>
  <c r="D153" i="5"/>
  <c r="D72" i="5"/>
  <c r="D62" i="5"/>
  <c r="D66" i="5"/>
  <c r="D56" i="5"/>
  <c r="D10" i="5"/>
  <c r="D40" i="5"/>
  <c r="D36" i="5"/>
  <c r="D204" i="5"/>
  <c r="D21" i="5"/>
  <c r="D198" i="5"/>
  <c r="D18" i="5"/>
  <c r="D168" i="5"/>
  <c r="D114" i="5"/>
  <c r="D152" i="5"/>
  <c r="D44" i="5"/>
  <c r="D6" i="5"/>
  <c r="D124" i="5"/>
  <c r="D48" i="5"/>
  <c r="D85" i="5"/>
  <c r="D95" i="5"/>
  <c r="D195" i="5"/>
  <c r="D117" i="5"/>
  <c r="D57" i="5"/>
  <c r="D134" i="5"/>
  <c r="D106" i="5"/>
  <c r="D19" i="5"/>
  <c r="D77" i="5"/>
  <c r="D126" i="5"/>
  <c r="D87" i="5"/>
  <c r="D64" i="5"/>
  <c r="D116" i="5"/>
  <c r="D121" i="5"/>
  <c r="D131" i="5"/>
  <c r="D68" i="5"/>
  <c r="D208" i="5"/>
  <c r="D35" i="5"/>
  <c r="D167" i="5"/>
  <c r="D207" i="5"/>
  <c r="D193" i="5"/>
  <c r="D377" i="5"/>
  <c r="D371" i="5"/>
  <c r="D349" i="5"/>
  <c r="D372" i="5"/>
  <c r="D302" i="5"/>
  <c r="D217" i="5"/>
  <c r="D211" i="5"/>
  <c r="D287" i="5"/>
  <c r="D249" i="5"/>
  <c r="D182" i="5"/>
  <c r="D272" i="5"/>
  <c r="D338" i="5"/>
  <c r="D354" i="5"/>
  <c r="D308" i="5"/>
  <c r="D312" i="5"/>
  <c r="D347" i="5"/>
  <c r="D369" i="5"/>
  <c r="D352" i="5"/>
  <c r="D348" i="5"/>
  <c r="D230" i="5"/>
  <c r="D242" i="5"/>
  <c r="D263" i="5"/>
  <c r="D304" i="5"/>
  <c r="D355" i="5"/>
  <c r="D296" i="5"/>
  <c r="D246" i="5"/>
  <c r="D357" i="5"/>
  <c r="D247" i="5"/>
  <c r="D344" i="5"/>
  <c r="D341" i="5"/>
  <c r="D288" i="5"/>
  <c r="D299" i="5"/>
  <c r="D212" i="5"/>
  <c r="D323" i="5"/>
  <c r="D314" i="5"/>
  <c r="D367" i="5"/>
  <c r="D337" i="5"/>
  <c r="D350" i="5"/>
  <c r="D336" i="5"/>
  <c r="D376" i="5"/>
  <c r="D343" i="5"/>
  <c r="D282" i="5"/>
  <c r="D240" i="5"/>
  <c r="D317" i="5"/>
  <c r="D332" i="5"/>
  <c r="D364" i="5"/>
  <c r="D300" i="5"/>
  <c r="D346" i="5"/>
  <c r="D284" i="5"/>
  <c r="D356" i="5"/>
  <c r="D318" i="5"/>
  <c r="D298" i="5"/>
  <c r="D322" i="5"/>
  <c r="D291" i="5"/>
  <c r="D329" i="5"/>
  <c r="D313" i="5"/>
  <c r="D295" i="5"/>
  <c r="D307" i="5"/>
  <c r="D269" i="5"/>
  <c r="D374" i="5"/>
  <c r="D342" i="5"/>
  <c r="D340" i="5"/>
  <c r="D303" i="5"/>
  <c r="D265" i="5"/>
  <c r="D330" i="5"/>
  <c r="D258" i="5"/>
  <c r="D273" i="5"/>
  <c r="D325" i="5"/>
  <c r="D368" i="5"/>
  <c r="D359" i="5"/>
  <c r="D319" i="5"/>
  <c r="D358" i="5"/>
  <c r="D213" i="5"/>
  <c r="D351" i="5"/>
  <c r="D370" i="5"/>
  <c r="D275" i="5"/>
  <c r="D328" i="5"/>
  <c r="D264" i="5"/>
  <c r="D353" i="5"/>
  <c r="D326" i="5"/>
  <c r="D375" i="5"/>
  <c r="D361" i="5"/>
  <c r="D292" i="5"/>
  <c r="D333" i="5"/>
  <c r="D315" i="5"/>
  <c r="D309" i="5"/>
  <c r="D327" i="5"/>
  <c r="D316" i="5"/>
  <c r="D362" i="5"/>
  <c r="D363" i="5"/>
  <c r="D266" i="5"/>
  <c r="D228" i="5"/>
  <c r="D253" i="5"/>
  <c r="D339" i="5"/>
  <c r="D331" i="5"/>
  <c r="D306" i="5"/>
  <c r="D320" i="5"/>
  <c r="D286" i="5"/>
  <c r="D245" i="5"/>
  <c r="D285" i="5"/>
  <c r="D227" i="5"/>
  <c r="D274" i="5"/>
  <c r="D224" i="5"/>
  <c r="D311" i="5"/>
  <c r="D175" i="5"/>
  <c r="D223" i="5"/>
  <c r="D324" i="5"/>
  <c r="D297" i="5"/>
  <c r="D215" i="5"/>
  <c r="D254" i="5"/>
  <c r="D225" i="5"/>
  <c r="D233" i="5"/>
  <c r="D180" i="5"/>
  <c r="D373" i="5"/>
  <c r="D334" i="5"/>
  <c r="D293" i="5"/>
  <c r="D241" i="5"/>
  <c r="D179" i="5"/>
  <c r="D260" i="5"/>
  <c r="D267" i="5"/>
  <c r="D280" i="5"/>
  <c r="D234" i="5"/>
  <c r="D294" i="5"/>
  <c r="D222" i="5"/>
  <c r="D219" i="5"/>
  <c r="D261" i="5"/>
  <c r="D305" i="5"/>
  <c r="D271" i="5"/>
  <c r="D232" i="5"/>
  <c r="D216" i="5"/>
  <c r="D360" i="5"/>
  <c r="D335" i="5"/>
  <c r="D238" i="5"/>
  <c r="D178" i="5"/>
  <c r="D235" i="5"/>
  <c r="D176" i="5"/>
  <c r="D259" i="5"/>
  <c r="D236" i="5"/>
  <c r="D278" i="5"/>
  <c r="D268" i="5"/>
  <c r="D277" i="5"/>
  <c r="D256" i="5"/>
  <c r="D231" i="5"/>
  <c r="D257" i="5"/>
  <c r="D243" i="5"/>
  <c r="D321" i="5"/>
  <c r="D366" i="5"/>
  <c r="D218" i="5"/>
  <c r="D214" i="5"/>
  <c r="D221" i="5"/>
  <c r="D210" i="5"/>
  <c r="D270" i="5"/>
  <c r="D250" i="5"/>
  <c r="D301" i="5"/>
  <c r="D174" i="5"/>
  <c r="D276" i="5"/>
  <c r="D289" i="5"/>
  <c r="D345" i="5"/>
  <c r="D310" i="5"/>
  <c r="D248" i="5"/>
  <c r="D177" i="5"/>
  <c r="D262" i="5"/>
  <c r="D255" i="5"/>
  <c r="D251" i="5"/>
  <c r="D365" i="5"/>
  <c r="D281" i="5"/>
  <c r="D239" i="5"/>
  <c r="D237" i="5"/>
  <c r="D220" i="5"/>
  <c r="D244" i="5"/>
  <c r="D226" i="5"/>
  <c r="D181" i="5"/>
  <c r="D283" i="5"/>
  <c r="D290" i="5"/>
  <c r="D252" i="5"/>
  <c r="D279" i="5"/>
  <c r="BE2" i="3"/>
  <c r="BL2" i="3" s="1"/>
  <c r="R151" i="5"/>
  <c r="Q151" i="5"/>
  <c r="P151" i="5"/>
  <c r="Q149" i="5"/>
  <c r="R149" i="5"/>
  <c r="P149" i="5"/>
  <c r="R155" i="5"/>
  <c r="Q155" i="5"/>
  <c r="P155" i="5"/>
  <c r="P99" i="5"/>
  <c r="R99" i="5"/>
  <c r="Q99" i="5"/>
  <c r="Q148" i="5"/>
  <c r="P148" i="5"/>
  <c r="R148" i="5"/>
  <c r="R16" i="5"/>
  <c r="Q16" i="5"/>
  <c r="P16" i="5"/>
  <c r="Q153" i="5"/>
  <c r="R153" i="5"/>
  <c r="P153" i="5"/>
  <c r="R142" i="5"/>
  <c r="Q142" i="5"/>
  <c r="P142" i="5"/>
  <c r="R144" i="5"/>
  <c r="Q144" i="5"/>
  <c r="P144" i="5"/>
  <c r="Q145" i="5"/>
  <c r="R145" i="5"/>
  <c r="P145" i="5"/>
  <c r="R14" i="5"/>
  <c r="Q14" i="5"/>
  <c r="P14" i="5"/>
  <c r="R159" i="5"/>
  <c r="P159" i="5"/>
  <c r="Q159" i="5"/>
  <c r="Q158" i="5"/>
  <c r="R158" i="5"/>
  <c r="P158" i="5"/>
  <c r="P152" i="5"/>
  <c r="R152" i="5"/>
  <c r="Q152" i="5"/>
  <c r="Q15" i="5"/>
  <c r="R15" i="5"/>
  <c r="P15" i="5"/>
  <c r="Q154" i="5"/>
  <c r="R154" i="5"/>
  <c r="P154" i="5"/>
  <c r="Q55" i="5"/>
  <c r="P55" i="5"/>
  <c r="R55" i="5"/>
  <c r="Q157" i="5"/>
  <c r="R157" i="5"/>
  <c r="P157" i="5"/>
  <c r="Q187" i="5"/>
  <c r="R187" i="5"/>
  <c r="P187" i="5"/>
  <c r="R20" i="5"/>
  <c r="Q20" i="5"/>
  <c r="P20" i="5"/>
  <c r="R140" i="5"/>
  <c r="P140" i="5"/>
  <c r="Q140" i="5"/>
  <c r="R58" i="5"/>
  <c r="Q58" i="5"/>
  <c r="P58" i="5"/>
  <c r="R141" i="5"/>
  <c r="Q141" i="5"/>
  <c r="P141" i="5"/>
  <c r="R143" i="5"/>
  <c r="P143" i="5"/>
  <c r="Q143" i="5"/>
  <c r="R57" i="5"/>
  <c r="P57" i="5"/>
  <c r="Q57" i="5"/>
  <c r="Q74" i="5"/>
  <c r="P74" i="5"/>
  <c r="R74" i="5"/>
  <c r="Q150" i="5"/>
  <c r="R150" i="5"/>
  <c r="P150" i="5"/>
  <c r="Q139" i="5"/>
  <c r="R139" i="5"/>
  <c r="P139" i="5"/>
  <c r="R146" i="5"/>
  <c r="P146" i="5"/>
  <c r="Q146" i="5"/>
  <c r="R156" i="5"/>
  <c r="Q156" i="5"/>
  <c r="P156" i="5"/>
  <c r="R147" i="5"/>
  <c r="Q147" i="5"/>
  <c r="P147" i="5"/>
  <c r="AF144" i="1"/>
  <c r="AE144" i="1"/>
  <c r="BR144" i="1" s="1"/>
  <c r="AG144" i="1"/>
  <c r="AH144" i="1"/>
  <c r="AE145" i="1"/>
  <c r="BR145" i="1" s="1"/>
  <c r="AF145" i="1"/>
  <c r="AG145" i="1"/>
  <c r="AH145" i="1"/>
  <c r="AF14" i="1"/>
  <c r="AH14" i="1"/>
  <c r="AG14" i="1"/>
  <c r="AE14" i="1"/>
  <c r="BR14" i="1" s="1"/>
  <c r="AF159" i="1"/>
  <c r="AE159" i="1"/>
  <c r="BR159" i="1" s="1"/>
  <c r="AG159" i="1"/>
  <c r="AH159" i="1"/>
  <c r="AF158" i="1"/>
  <c r="AG158" i="1"/>
  <c r="AE158" i="1"/>
  <c r="BR158" i="1" s="1"/>
  <c r="AH158" i="1"/>
  <c r="AF152" i="1"/>
  <c r="AG152" i="1"/>
  <c r="AH152" i="1"/>
  <c r="AE152" i="1"/>
  <c r="BR152" i="1" s="1"/>
  <c r="AH15" i="1"/>
  <c r="AF15" i="1"/>
  <c r="AE15" i="1"/>
  <c r="BR15" i="1" s="1"/>
  <c r="AG15" i="1"/>
  <c r="AE154" i="1"/>
  <c r="BR154" i="1" s="1"/>
  <c r="AF154" i="1"/>
  <c r="AH154" i="1"/>
  <c r="AG154" i="1"/>
  <c r="AG55" i="1"/>
  <c r="AH55" i="1"/>
  <c r="AF55" i="1"/>
  <c r="AE55" i="1"/>
  <c r="BR55" i="1" s="1"/>
  <c r="AE157" i="1"/>
  <c r="AH157" i="1"/>
  <c r="AG157" i="1"/>
  <c r="AF157" i="1"/>
  <c r="AE187" i="1"/>
  <c r="AH187" i="1"/>
  <c r="AG187" i="1"/>
  <c r="AF187" i="1"/>
  <c r="AF140" i="1"/>
  <c r="AH140" i="1"/>
  <c r="AE140" i="1"/>
  <c r="AG140" i="1"/>
  <c r="AH58" i="1"/>
  <c r="AG58" i="1"/>
  <c r="AE58" i="1"/>
  <c r="BR58" i="1" s="1"/>
  <c r="AF58" i="1"/>
  <c r="AF141" i="1"/>
  <c r="AH141" i="1"/>
  <c r="AE141" i="1"/>
  <c r="AG141" i="1"/>
  <c r="AF143" i="1"/>
  <c r="AG143" i="1"/>
  <c r="AH143" i="1"/>
  <c r="AE143" i="1"/>
  <c r="BR143" i="1" s="1"/>
  <c r="AG57" i="1"/>
  <c r="AH57" i="1"/>
  <c r="AE57" i="1"/>
  <c r="BR57" i="1" s="1"/>
  <c r="AF57" i="1"/>
  <c r="AF74" i="1"/>
  <c r="AH74" i="1"/>
  <c r="AE74" i="1"/>
  <c r="AG74" i="1"/>
  <c r="AE150" i="1"/>
  <c r="AF150" i="1"/>
  <c r="AH150" i="1"/>
  <c r="AG150" i="1"/>
  <c r="AF139" i="1"/>
  <c r="AE139" i="1"/>
  <c r="BR139" i="1" s="1"/>
  <c r="AG139" i="1"/>
  <c r="AH139" i="1"/>
  <c r="AE146" i="1"/>
  <c r="AG146" i="1"/>
  <c r="AH146" i="1"/>
  <c r="AF146" i="1"/>
  <c r="AH156" i="1"/>
  <c r="AF156" i="1"/>
  <c r="AG156" i="1"/>
  <c r="AE156" i="1"/>
  <c r="BR156" i="1" s="1"/>
  <c r="AF147" i="1"/>
  <c r="AH147" i="1"/>
  <c r="AE147" i="1"/>
  <c r="BR147" i="1" s="1"/>
  <c r="AG147" i="1"/>
  <c r="AG99" i="1"/>
  <c r="AF99" i="1"/>
  <c r="AE99" i="1"/>
  <c r="BR99" i="1" s="1"/>
  <c r="AH99" i="1"/>
  <c r="AF20" i="1"/>
  <c r="AG20" i="1"/>
  <c r="AH20" i="1"/>
  <c r="AE20" i="1"/>
  <c r="BR20" i="1" s="1"/>
  <c r="AG151" i="1"/>
  <c r="AH151" i="1"/>
  <c r="AE151" i="1"/>
  <c r="BR151" i="1" s="1"/>
  <c r="AF151" i="1"/>
  <c r="AG142" i="1"/>
  <c r="AE142" i="1"/>
  <c r="AH142" i="1"/>
  <c r="AF142" i="1"/>
  <c r="AF149" i="1"/>
  <c r="AG149" i="1"/>
  <c r="AH149" i="1"/>
  <c r="AE149" i="1"/>
  <c r="BR149" i="1" s="1"/>
  <c r="AE155" i="1"/>
  <c r="AF155" i="1"/>
  <c r="AG155" i="1"/>
  <c r="AH155" i="1"/>
  <c r="AG148" i="1"/>
  <c r="AE148" i="1"/>
  <c r="AF148" i="1"/>
  <c r="AH148" i="1"/>
  <c r="AH16" i="1"/>
  <c r="AE16" i="1"/>
  <c r="BR16" i="1" s="1"/>
  <c r="AG16" i="1"/>
  <c r="AF16" i="1"/>
  <c r="AH153" i="1"/>
  <c r="AF153" i="1"/>
  <c r="AG153" i="1"/>
  <c r="AE153" i="1"/>
  <c r="N170" i="1"/>
  <c r="O277" i="1"/>
  <c r="N171" i="1"/>
  <c r="N168" i="1"/>
  <c r="N340" i="1"/>
  <c r="N200" i="1"/>
  <c r="N276" i="1"/>
  <c r="N288" i="1"/>
  <c r="O226" i="1"/>
  <c r="O333" i="1"/>
  <c r="O340" i="1"/>
  <c r="N246" i="1"/>
  <c r="N232" i="1"/>
  <c r="N375" i="1"/>
  <c r="N245" i="1"/>
  <c r="O28" i="1"/>
  <c r="O261" i="1"/>
  <c r="N101" i="1"/>
  <c r="N182" i="1"/>
  <c r="O206" i="1"/>
  <c r="O188" i="1"/>
  <c r="O287" i="1"/>
  <c r="O288" i="1"/>
  <c r="N172" i="1"/>
  <c r="O255" i="1"/>
  <c r="O219" i="1"/>
  <c r="N278" i="1"/>
  <c r="N28" i="1"/>
  <c r="AV28" i="3" s="1"/>
  <c r="N227" i="1"/>
  <c r="O338" i="1"/>
  <c r="O375" i="1"/>
  <c r="O218" i="1"/>
  <c r="N104" i="1"/>
  <c r="N113" i="1"/>
  <c r="N206" i="1"/>
  <c r="O228" i="1"/>
  <c r="N334" i="1"/>
  <c r="N333" i="1"/>
  <c r="O309" i="1"/>
  <c r="N224" i="1"/>
  <c r="N315" i="1"/>
  <c r="O316" i="1"/>
  <c r="O257" i="1"/>
  <c r="N216" i="1"/>
  <c r="O220" i="1"/>
  <c r="N279" i="1"/>
  <c r="N102" i="1"/>
  <c r="N235" i="1"/>
  <c r="O315" i="1"/>
  <c r="N343" i="1"/>
  <c r="O201" i="1"/>
  <c r="O113" i="1"/>
  <c r="N201" i="1"/>
  <c r="O182" i="1"/>
  <c r="O262" i="1"/>
  <c r="N217" i="1"/>
  <c r="N337" i="1"/>
  <c r="O122" i="1"/>
  <c r="N310" i="1"/>
  <c r="N240" i="1"/>
  <c r="N91" i="1"/>
  <c r="O168" i="1"/>
  <c r="N160" i="1"/>
  <c r="O289" i="1"/>
  <c r="O229" i="1"/>
  <c r="O337" i="1"/>
  <c r="N169" i="1"/>
  <c r="N238" i="1"/>
  <c r="N352" i="1"/>
  <c r="N34" i="1"/>
  <c r="O34" i="1"/>
  <c r="O224" i="1"/>
  <c r="O172" i="1"/>
  <c r="O339" i="1"/>
  <c r="O241" i="1"/>
  <c r="N234" i="1"/>
  <c r="N255" i="1"/>
  <c r="O250" i="1"/>
  <c r="O345" i="1"/>
  <c r="O246" i="1"/>
  <c r="O290" i="1"/>
  <c r="N252" i="1"/>
  <c r="O27" i="1"/>
  <c r="O279" i="1"/>
  <c r="N249" i="1"/>
  <c r="O232" i="1"/>
  <c r="O92" i="1"/>
  <c r="N80" i="1"/>
  <c r="N236" i="1"/>
  <c r="N231" i="1"/>
  <c r="N220" i="1"/>
  <c r="O256" i="1"/>
  <c r="N244" i="1"/>
  <c r="N262" i="1"/>
  <c r="N268" i="1"/>
  <c r="O344" i="1"/>
  <c r="O234" i="1"/>
  <c r="O170" i="1"/>
  <c r="N297" i="1"/>
  <c r="O174" i="1"/>
  <c r="N291" i="1"/>
  <c r="N261" i="1"/>
  <c r="N313" i="1"/>
  <c r="O80" i="1"/>
  <c r="N92" i="1"/>
  <c r="N107" i="1"/>
  <c r="O297" i="1"/>
  <c r="O108" i="1"/>
  <c r="N103" i="1"/>
  <c r="O291" i="1"/>
  <c r="N289" i="1"/>
  <c r="N25" i="1"/>
  <c r="N290" i="1"/>
  <c r="N258" i="1"/>
  <c r="O276" i="1"/>
  <c r="N277" i="1"/>
  <c r="O343" i="1"/>
  <c r="N241" i="1"/>
  <c r="O258" i="1"/>
  <c r="O107" i="1"/>
  <c r="N257" i="1"/>
  <c r="N27" i="1"/>
  <c r="N338" i="1"/>
  <c r="N256" i="1"/>
  <c r="O106" i="1"/>
  <c r="O266" i="1"/>
  <c r="O171" i="1"/>
  <c r="O252" i="1"/>
  <c r="N225" i="1"/>
  <c r="O167" i="1"/>
  <c r="N233" i="1"/>
  <c r="O231" i="1"/>
  <c r="O169" i="1"/>
  <c r="O310" i="1"/>
  <c r="N267" i="1"/>
  <c r="O334" i="1"/>
  <c r="N287" i="1"/>
  <c r="N373" i="1"/>
  <c r="N228" i="1"/>
  <c r="O267" i="1"/>
  <c r="N344" i="1"/>
  <c r="N174" i="1"/>
  <c r="O240" i="1"/>
  <c r="N167" i="1"/>
  <c r="O221" i="1"/>
  <c r="N105" i="1"/>
  <c r="O233" i="1"/>
  <c r="O227" i="1"/>
  <c r="N221" i="1"/>
  <c r="N266" i="1"/>
  <c r="AV232" i="3" s="1"/>
  <c r="N309" i="1"/>
  <c r="N331" i="1"/>
  <c r="O244" i="1"/>
  <c r="O278" i="1"/>
  <c r="N300" i="1"/>
  <c r="O300" i="1"/>
  <c r="N374" i="1"/>
  <c r="N339" i="1"/>
  <c r="O101" i="1"/>
  <c r="O313" i="1"/>
  <c r="O235" i="1"/>
  <c r="N81" i="1"/>
  <c r="O102" i="1"/>
  <c r="N188" i="1"/>
  <c r="N219" i="1"/>
  <c r="N122" i="1"/>
  <c r="AV122" i="3" s="1"/>
  <c r="O352" i="1"/>
  <c r="O25" i="1"/>
  <c r="N106" i="1"/>
  <c r="N345" i="1"/>
  <c r="N229" i="1"/>
  <c r="O268" i="1"/>
  <c r="O331" i="1"/>
  <c r="O217" i="1"/>
  <c r="O245" i="1"/>
  <c r="O105" i="1"/>
  <c r="O373" i="1"/>
  <c r="O353" i="1"/>
  <c r="O249" i="1"/>
  <c r="N316" i="1"/>
  <c r="O238" i="1"/>
  <c r="O91" i="1"/>
  <c r="N226" i="1"/>
  <c r="O160" i="1"/>
  <c r="O104" i="1"/>
  <c r="O127" i="1"/>
  <c r="N250" i="1"/>
  <c r="N108" i="1"/>
  <c r="O239" i="1"/>
  <c r="N239" i="1"/>
  <c r="O103" i="1"/>
  <c r="O81" i="1"/>
  <c r="O236" i="1"/>
  <c r="N127" i="1"/>
  <c r="O200" i="1"/>
  <c r="O225" i="1"/>
  <c r="N218" i="1"/>
  <c r="N353" i="1"/>
  <c r="O374" i="1"/>
  <c r="O98" i="1"/>
  <c r="O216" i="1"/>
  <c r="N98" i="1"/>
  <c r="BR185" i="1"/>
  <c r="BR68" i="1"/>
  <c r="BW123" i="1"/>
  <c r="BW178" i="1"/>
  <c r="BW299" i="1"/>
  <c r="BW306" i="1"/>
  <c r="BW265" i="1"/>
  <c r="BW212" i="1"/>
  <c r="BW319" i="1"/>
  <c r="BW272" i="1"/>
  <c r="BW179" i="1"/>
  <c r="BW275" i="1"/>
  <c r="BW263" i="1"/>
  <c r="BW317" i="1"/>
  <c r="BW282" i="1"/>
  <c r="BW180" i="1"/>
  <c r="BW328" i="1"/>
  <c r="BW237" i="1"/>
  <c r="BW243" i="1"/>
  <c r="BW320" i="1"/>
  <c r="BW264" i="1"/>
  <c r="BW248" i="1"/>
  <c r="BW293" i="1"/>
  <c r="BW254" i="1"/>
  <c r="BW270" i="1"/>
  <c r="BW329" i="1"/>
  <c r="BW280" i="1"/>
  <c r="BW303" i="1"/>
  <c r="BW284" i="1"/>
  <c r="BW305" i="1"/>
  <c r="BW214" i="1"/>
  <c r="BW247" i="1"/>
  <c r="BW259" i="1"/>
  <c r="BW273" i="1"/>
  <c r="BW308" i="1"/>
  <c r="BW134" i="1"/>
  <c r="BW336" i="1"/>
  <c r="BW322" i="1"/>
  <c r="BW176" i="1"/>
  <c r="BW222" i="1"/>
  <c r="BW274" i="1"/>
  <c r="BW10" i="1"/>
  <c r="BW304" i="1"/>
  <c r="BW285" i="1"/>
  <c r="BW286" i="1"/>
  <c r="BW324" i="1"/>
  <c r="BW215" i="1"/>
  <c r="BW163" i="1"/>
  <c r="BW166" i="1"/>
  <c r="BW323" i="1"/>
  <c r="BW251" i="1"/>
  <c r="BW294" i="1"/>
  <c r="BW269" i="1"/>
  <c r="BW307" i="1"/>
  <c r="BW69" i="1"/>
  <c r="BW281" i="1"/>
  <c r="BW312" i="1"/>
  <c r="BW175" i="1"/>
  <c r="BW242" i="1"/>
  <c r="BW253" i="1"/>
  <c r="BW295" i="1"/>
  <c r="BW223" i="1"/>
  <c r="BW271" i="1"/>
  <c r="BW260" i="1"/>
  <c r="BW211" i="1"/>
  <c r="BW210" i="1"/>
  <c r="BW177" i="1"/>
  <c r="BW181" i="1"/>
  <c r="BW213" i="1"/>
  <c r="A15" i="14"/>
  <c r="D15" i="14" s="1"/>
  <c r="E15" i="14" s="1"/>
  <c r="A69" i="14"/>
  <c r="D69" i="14" s="1"/>
  <c r="E69" i="14" s="1"/>
  <c r="AC2" i="5"/>
  <c r="BR366" i="1"/>
  <c r="BR367" i="1"/>
  <c r="Y2" i="5"/>
  <c r="BN2" i="1"/>
  <c r="BH2" i="1"/>
  <c r="BZ2" i="1"/>
  <c r="J323" i="5"/>
  <c r="J285" i="5"/>
  <c r="J303" i="5"/>
  <c r="J253" i="5"/>
  <c r="J80" i="5"/>
  <c r="J273" i="5"/>
  <c r="N46" i="5"/>
  <c r="J250" i="5"/>
  <c r="J304" i="5"/>
  <c r="N268" i="5"/>
  <c r="J282" i="5"/>
  <c r="N259" i="5"/>
  <c r="J45" i="5"/>
  <c r="J281" i="5"/>
  <c r="J176" i="5"/>
  <c r="J243" i="5"/>
  <c r="N127" i="5"/>
  <c r="N239" i="5"/>
  <c r="N227" i="5"/>
  <c r="J345" i="5"/>
  <c r="J46" i="5"/>
  <c r="J26" i="5"/>
  <c r="J49" i="5"/>
  <c r="J65" i="5"/>
  <c r="J190" i="5"/>
  <c r="N49" i="5"/>
  <c r="N237" i="5"/>
  <c r="N243" i="5"/>
  <c r="J8" i="5"/>
  <c r="J184" i="5"/>
  <c r="BR133" i="1"/>
  <c r="BR24" i="1"/>
  <c r="BR204" i="1"/>
  <c r="BR36" i="1"/>
  <c r="BR109" i="1"/>
  <c r="BR38" i="1"/>
  <c r="BR18" i="1"/>
  <c r="BR54" i="1"/>
  <c r="BR161" i="1"/>
  <c r="BR129" i="1"/>
  <c r="BR75" i="1"/>
  <c r="BR6" i="1"/>
  <c r="BR142" i="1"/>
  <c r="BR33" i="1"/>
  <c r="BR136" i="1"/>
  <c r="BR47" i="1"/>
  <c r="BR4" i="1"/>
  <c r="BR202" i="1"/>
  <c r="BR77" i="1"/>
  <c r="BR137" i="1"/>
  <c r="BR9" i="1"/>
  <c r="BR61" i="1"/>
  <c r="BR65" i="1"/>
  <c r="BR125" i="1"/>
  <c r="BR199" i="1"/>
  <c r="BR130" i="1"/>
  <c r="BR66" i="1"/>
  <c r="BR22" i="1"/>
  <c r="BR73" i="1"/>
  <c r="BR114" i="1"/>
  <c r="BR29" i="1"/>
  <c r="BR90" i="1"/>
  <c r="BR100" i="1"/>
  <c r="BR52" i="1"/>
  <c r="BR131" i="1"/>
  <c r="BR21" i="1"/>
  <c r="BR126" i="1"/>
  <c r="BR32" i="1"/>
  <c r="BR3" i="1"/>
  <c r="BR5" i="1"/>
  <c r="BR59" i="1"/>
  <c r="BR93" i="1"/>
  <c r="BR209" i="1"/>
  <c r="BR60" i="1"/>
  <c r="BR63" i="1"/>
  <c r="BR121" i="1"/>
  <c r="BR12" i="1"/>
  <c r="BR95" i="1"/>
  <c r="BR17" i="1"/>
  <c r="BR111" i="1"/>
  <c r="BR135" i="1"/>
  <c r="BR164" i="1"/>
  <c r="BR82" i="1"/>
  <c r="BR40" i="1"/>
  <c r="BR173" i="1"/>
  <c r="BR203" i="1"/>
  <c r="BR207" i="1"/>
  <c r="BR132" i="1"/>
  <c r="BR7" i="1"/>
  <c r="BR48" i="1"/>
  <c r="BR37" i="1"/>
  <c r="BR41" i="1"/>
  <c r="BR19" i="1"/>
  <c r="BR115" i="1"/>
  <c r="BR64" i="1"/>
  <c r="BR128" i="1"/>
  <c r="BR205" i="1"/>
  <c r="BR35" i="1"/>
  <c r="AV2" i="3"/>
  <c r="BR112" i="1"/>
  <c r="BR8" i="1"/>
  <c r="BR31" i="1"/>
  <c r="BR124" i="1"/>
  <c r="BR39" i="1"/>
  <c r="BR117" i="1"/>
  <c r="BR116" i="1"/>
  <c r="BR49" i="1"/>
  <c r="BR119" i="1"/>
  <c r="BR162" i="1"/>
  <c r="BR118" i="1"/>
  <c r="BR208" i="1"/>
  <c r="BR43" i="1"/>
  <c r="BR86" i="1"/>
  <c r="BR56" i="1"/>
  <c r="BR76" i="1"/>
  <c r="BR120" i="1"/>
  <c r="J254" i="5"/>
  <c r="BR23" i="1"/>
  <c r="BR110" i="1"/>
  <c r="BR30" i="1"/>
  <c r="BR70" i="1"/>
  <c r="BR138" i="1"/>
  <c r="BR165" i="1"/>
  <c r="BR79" i="1"/>
  <c r="BR13" i="1"/>
  <c r="A49" i="14"/>
  <c r="B49" i="14" s="1"/>
  <c r="F49" i="14" s="1"/>
  <c r="BR46" i="1"/>
  <c r="BR44" i="1"/>
  <c r="BR42" i="1"/>
  <c r="BR83" i="1"/>
  <c r="BR51" i="1"/>
  <c r="J295" i="5"/>
  <c r="BR45" i="1"/>
  <c r="BR53" i="1"/>
  <c r="N241" i="5"/>
  <c r="BR50" i="1"/>
  <c r="U2" i="1"/>
  <c r="W2" i="1"/>
  <c r="V2" i="1"/>
  <c r="A39" i="14"/>
  <c r="B39" i="14" s="1"/>
  <c r="F39" i="14" s="1"/>
  <c r="A23" i="14"/>
  <c r="D23" i="14" s="1"/>
  <c r="E23" i="14" s="1"/>
  <c r="BR26" i="1"/>
  <c r="BR11" i="1"/>
  <c r="A117" i="14"/>
  <c r="D117" i="14" s="1"/>
  <c r="E117" i="14" s="1"/>
  <c r="A114" i="14"/>
  <c r="B114" i="14" s="1"/>
  <c r="F114" i="14" s="1"/>
  <c r="BR141" i="1"/>
  <c r="A51" i="14"/>
  <c r="D51" i="14" s="1"/>
  <c r="E51" i="14" s="1"/>
  <c r="A38" i="14"/>
  <c r="D38" i="14" s="1"/>
  <c r="E38" i="14" s="1"/>
  <c r="A99" i="14"/>
  <c r="B99" i="14" s="1"/>
  <c r="F99" i="14" s="1"/>
  <c r="G2" i="5"/>
  <c r="BR148" i="1"/>
  <c r="Z2" i="1"/>
  <c r="K2" i="5"/>
  <c r="L2" i="5" s="1"/>
  <c r="Y2" i="1"/>
  <c r="N240" i="5"/>
  <c r="N304" i="5"/>
  <c r="J177" i="5"/>
  <c r="J340" i="5"/>
  <c r="J305" i="5"/>
  <c r="A54" i="14"/>
  <c r="A22" i="14"/>
  <c r="A116" i="14"/>
  <c r="A58" i="14"/>
  <c r="B32" i="9"/>
  <c r="B30" i="9"/>
  <c r="F27" i="9"/>
  <c r="F35" i="9"/>
  <c r="F29" i="9"/>
  <c r="B37" i="9"/>
  <c r="B34" i="9"/>
  <c r="F38" i="9"/>
  <c r="F37" i="9"/>
  <c r="F28" i="9"/>
  <c r="F30" i="9"/>
  <c r="B31" i="9"/>
  <c r="B33" i="9"/>
  <c r="F31" i="9"/>
  <c r="B38" i="9"/>
  <c r="A2" i="5"/>
  <c r="D2" i="5" s="1"/>
  <c r="F34" i="9"/>
  <c r="F36" i="9"/>
  <c r="B35" i="9"/>
  <c r="B29" i="9"/>
  <c r="B36" i="9"/>
  <c r="F33" i="9"/>
  <c r="F32" i="9"/>
  <c r="B27" i="9"/>
  <c r="B28" i="9"/>
  <c r="A2" i="14"/>
  <c r="A107" i="14"/>
  <c r="A42" i="14"/>
  <c r="A27" i="14"/>
  <c r="A79" i="14"/>
  <c r="A46" i="14"/>
  <c r="A52" i="14"/>
  <c r="A112" i="14"/>
  <c r="A100" i="14"/>
  <c r="A88" i="14"/>
  <c r="A14" i="14"/>
  <c r="A6" i="9"/>
  <c r="A9" i="14"/>
  <c r="A67" i="14"/>
  <c r="A16" i="9"/>
  <c r="A16" i="14"/>
  <c r="A5" i="9"/>
  <c r="A8" i="14"/>
  <c r="A26" i="14"/>
  <c r="A105" i="14"/>
  <c r="A75" i="14"/>
  <c r="A55" i="14"/>
  <c r="A12" i="14"/>
  <c r="A60" i="14"/>
  <c r="A98" i="14"/>
  <c r="A74" i="14"/>
  <c r="A23" i="9"/>
  <c r="A90" i="14"/>
  <c r="A78" i="14"/>
  <c r="A11" i="14"/>
  <c r="A8" i="9"/>
  <c r="A45" i="14"/>
  <c r="A103" i="14"/>
  <c r="A31" i="14"/>
  <c r="A53" i="14"/>
  <c r="Q2" i="1"/>
  <c r="AD2" i="1"/>
  <c r="AI2" i="1"/>
  <c r="BE2" i="1"/>
  <c r="J2" i="1"/>
  <c r="BD2" i="1"/>
  <c r="K2" i="1"/>
  <c r="AP2" i="1"/>
  <c r="AB2" i="5" s="1"/>
  <c r="A108" i="14"/>
  <c r="A17" i="14"/>
  <c r="A30" i="14"/>
  <c r="A24" i="9"/>
  <c r="A91" i="14"/>
  <c r="A111" i="14"/>
  <c r="A47" i="14"/>
  <c r="A106" i="14"/>
  <c r="A19" i="9"/>
  <c r="A70" i="14"/>
  <c r="A104" i="14"/>
  <c r="A13" i="14"/>
  <c r="A28" i="14"/>
  <c r="A43" i="14"/>
  <c r="A44" i="14"/>
  <c r="A50" i="14"/>
  <c r="A82" i="14"/>
  <c r="A9" i="9"/>
  <c r="A32" i="14"/>
  <c r="A15" i="9"/>
  <c r="A66" i="14"/>
  <c r="A21" i="9"/>
  <c r="A72" i="14"/>
  <c r="A13" i="9"/>
  <c r="A64" i="14"/>
  <c r="A97" i="14"/>
  <c r="A25" i="9"/>
  <c r="A92" i="14"/>
  <c r="A25" i="14"/>
  <c r="A83" i="14"/>
  <c r="A3" i="9"/>
  <c r="A6" i="14"/>
  <c r="A87" i="14"/>
  <c r="A85" i="14"/>
  <c r="A115" i="14"/>
  <c r="A102" i="14"/>
  <c r="A95" i="14"/>
  <c r="A37" i="14"/>
  <c r="A56" i="14"/>
  <c r="A101" i="14"/>
  <c r="A19" i="14"/>
  <c r="A80" i="14"/>
  <c r="A110" i="14"/>
  <c r="A63" i="14"/>
  <c r="A12" i="9"/>
  <c r="A86" i="14"/>
  <c r="A61" i="14"/>
  <c r="A41" i="14"/>
  <c r="A48" i="14"/>
  <c r="A18" i="9"/>
  <c r="A96" i="14"/>
  <c r="A7" i="14"/>
  <c r="A4" i="9"/>
  <c r="A3" i="14"/>
  <c r="A62" i="14"/>
  <c r="A20" i="14"/>
  <c r="A89" i="14"/>
  <c r="A94" i="14"/>
  <c r="N224" i="5"/>
  <c r="A109" i="14"/>
  <c r="A24" i="14"/>
  <c r="A4" i="14"/>
  <c r="A93" i="14"/>
  <c r="A7" i="9"/>
  <c r="A10" i="14"/>
  <c r="A57" i="14"/>
  <c r="A2" i="9"/>
  <c r="A5" i="14"/>
  <c r="A29" i="14"/>
  <c r="A22" i="9"/>
  <c r="A73" i="14"/>
  <c r="A76" i="14"/>
  <c r="A26" i="9"/>
  <c r="A113" i="14"/>
  <c r="A59" i="14"/>
  <c r="A10" i="9"/>
  <c r="A33" i="14"/>
  <c r="A11" i="9"/>
  <c r="A34" i="14"/>
  <c r="A14" i="9"/>
  <c r="A65" i="14"/>
  <c r="A68" i="14"/>
  <c r="A17" i="9"/>
  <c r="A118" i="14"/>
  <c r="N265" i="5"/>
  <c r="A21" i="14"/>
  <c r="A39" i="9"/>
  <c r="AQ2" i="1"/>
  <c r="BS2" i="1" s="1"/>
  <c r="A84" i="14"/>
  <c r="A20" i="9"/>
  <c r="A71" i="14"/>
  <c r="A77" i="14"/>
  <c r="A40" i="14"/>
  <c r="A36" i="14"/>
  <c r="AB2" i="1"/>
  <c r="AA2" i="1"/>
  <c r="A81" i="14"/>
  <c r="A40" i="9"/>
  <c r="A35" i="14"/>
  <c r="A18" i="14"/>
  <c r="J237" i="5"/>
  <c r="J328" i="5"/>
  <c r="AN2" i="1"/>
  <c r="E2" i="5"/>
  <c r="BK2" i="1"/>
  <c r="X2" i="5"/>
  <c r="W2" i="5"/>
  <c r="AA2" i="5"/>
  <c r="F2" i="5"/>
  <c r="Z2" i="5"/>
  <c r="BW386" i="1" l="1"/>
  <c r="H386" i="1"/>
  <c r="AV396" i="3"/>
  <c r="BR412" i="1" s="1"/>
  <c r="AV387" i="3"/>
  <c r="BR403" i="1" s="1"/>
  <c r="H388" i="1"/>
  <c r="BW388" i="1"/>
  <c r="H400" i="1"/>
  <c r="BW400" i="1"/>
  <c r="AV391" i="3"/>
  <c r="BR407" i="1" s="1"/>
  <c r="H407" i="1" s="1"/>
  <c r="AV226" i="3"/>
  <c r="B15" i="14"/>
  <c r="F15" i="14" s="1"/>
  <c r="AV309" i="3"/>
  <c r="AV209" i="3"/>
  <c r="AV207" i="3"/>
  <c r="AV272" i="3"/>
  <c r="BR344" i="1" s="1"/>
  <c r="AV108" i="3"/>
  <c r="AV206" i="3"/>
  <c r="AV257" i="3"/>
  <c r="AV251" i="3"/>
  <c r="BR287" i="1" s="1"/>
  <c r="AV311" i="3"/>
  <c r="BR220" i="1" s="1"/>
  <c r="H220" i="1" s="1"/>
  <c r="B69" i="14"/>
  <c r="F69" i="14" s="1"/>
  <c r="AV256" i="3"/>
  <c r="BR226" i="1" s="1"/>
  <c r="C69" i="14"/>
  <c r="G69" i="14" s="1"/>
  <c r="H69" i="14" s="1"/>
  <c r="AV307" i="3"/>
  <c r="BR290" i="1" s="1"/>
  <c r="H290" i="1" s="1"/>
  <c r="AV363" i="3"/>
  <c r="BR379" i="1" s="1"/>
  <c r="H379" i="1" s="1"/>
  <c r="AV228" i="3"/>
  <c r="BR230" i="1" s="1"/>
  <c r="BW230" i="1" s="1"/>
  <c r="AV211" i="3"/>
  <c r="BR296" i="1" s="1"/>
  <c r="BW296" i="1" s="1"/>
  <c r="AV205" i="3"/>
  <c r="BR218" i="1" s="1"/>
  <c r="AV362" i="3"/>
  <c r="BR378" i="1" s="1"/>
  <c r="H378" i="1" s="1"/>
  <c r="H383" i="1"/>
  <c r="H381" i="1"/>
  <c r="H380" i="1"/>
  <c r="AV245" i="3"/>
  <c r="BR292" i="1" s="1"/>
  <c r="BW292" i="1" s="1"/>
  <c r="AV246" i="3"/>
  <c r="BR333" i="1" s="1"/>
  <c r="H333" i="1" s="1"/>
  <c r="AV229" i="3"/>
  <c r="BR283" i="1" s="1"/>
  <c r="BW283" i="1" s="1"/>
  <c r="AV366" i="3"/>
  <c r="BR382" i="1" s="1"/>
  <c r="H382" i="1" s="1"/>
  <c r="AV244" i="3"/>
  <c r="AV235" i="3"/>
  <c r="BR258" i="1" s="1"/>
  <c r="H258" i="1" s="1"/>
  <c r="AV231" i="3"/>
  <c r="BR221" i="1" s="1"/>
  <c r="AV27" i="3"/>
  <c r="BR27" i="1" s="1"/>
  <c r="H27" i="1" s="1"/>
  <c r="AV167" i="3"/>
  <c r="AV337" i="3"/>
  <c r="BR353" i="1" s="1"/>
  <c r="BW353" i="1" s="1"/>
  <c r="AV233" i="3"/>
  <c r="AV275" i="3"/>
  <c r="BR345" i="1" s="1"/>
  <c r="AV234" i="3"/>
  <c r="BR257" i="1" s="1"/>
  <c r="AV210" i="3"/>
  <c r="AV92" i="3"/>
  <c r="BR92" i="1" s="1"/>
  <c r="AV213" i="3"/>
  <c r="BR315" i="1" s="1"/>
  <c r="AV239" i="3"/>
  <c r="BR289" i="1" s="1"/>
  <c r="AV174" i="3"/>
  <c r="BR174" i="1" s="1"/>
  <c r="AV185" i="3"/>
  <c r="BR201" i="1" s="1"/>
  <c r="H201" i="1" s="1"/>
  <c r="AV308" i="3"/>
  <c r="BR229" i="1" s="1"/>
  <c r="H229" i="1" s="1"/>
  <c r="AV217" i="3"/>
  <c r="BR291" i="1" s="1"/>
  <c r="AV214" i="3"/>
  <c r="AV277" i="3"/>
  <c r="BR250" i="1" s="1"/>
  <c r="AV253" i="3"/>
  <c r="AV276" i="3"/>
  <c r="BR340" i="1" s="1"/>
  <c r="AV252" i="3"/>
  <c r="BR338" i="1" s="1"/>
  <c r="H338" i="1" s="1"/>
  <c r="AV127" i="3"/>
  <c r="BR127" i="1" s="1"/>
  <c r="H127" i="1" s="1"/>
  <c r="AV243" i="3"/>
  <c r="BR316" i="1" s="1"/>
  <c r="AV34" i="3"/>
  <c r="AV218" i="3"/>
  <c r="BR225" i="1" s="1"/>
  <c r="AV250" i="3"/>
  <c r="BR337" i="1" s="1"/>
  <c r="AV216" i="3"/>
  <c r="BR288" i="1" s="1"/>
  <c r="AV169" i="3"/>
  <c r="BR169" i="1" s="1"/>
  <c r="H169" i="1" s="1"/>
  <c r="AV182" i="3"/>
  <c r="AV215" i="3"/>
  <c r="BR276" i="1" s="1"/>
  <c r="AV81" i="3"/>
  <c r="BR81" i="1" s="1"/>
  <c r="AV357" i="3"/>
  <c r="BR373" i="1" s="1"/>
  <c r="AV240" i="3"/>
  <c r="AV101" i="3"/>
  <c r="BR101" i="1" s="1"/>
  <c r="AV184" i="3"/>
  <c r="BR200" i="1" s="1"/>
  <c r="AV212" i="3"/>
  <c r="BR236" i="1" s="1"/>
  <c r="AV224" i="3"/>
  <c r="BR227" i="1" s="1"/>
  <c r="AV208" i="3"/>
  <c r="BR256" i="1" s="1"/>
  <c r="AV25" i="3"/>
  <c r="BR25" i="1" s="1"/>
  <c r="AV80" i="3"/>
  <c r="BR80" i="1" s="1"/>
  <c r="H80" i="1" s="1"/>
  <c r="AV236" i="3"/>
  <c r="AV219" i="3"/>
  <c r="BR224" i="1" s="1"/>
  <c r="H224" i="1" s="1"/>
  <c r="AV168" i="3"/>
  <c r="BR168" i="1" s="1"/>
  <c r="H168" i="1" s="1"/>
  <c r="AV160" i="3"/>
  <c r="BR160" i="1" s="1"/>
  <c r="H160" i="1" s="1"/>
  <c r="AV273" i="3"/>
  <c r="BR278" i="1" s="1"/>
  <c r="H278" i="1" s="1"/>
  <c r="AV238" i="3"/>
  <c r="BR245" i="1" s="1"/>
  <c r="AV171" i="3"/>
  <c r="BR171" i="1" s="1"/>
  <c r="H171" i="1" s="1"/>
  <c r="AV105" i="3"/>
  <c r="BR105" i="1" s="1"/>
  <c r="H105" i="1" s="1"/>
  <c r="AV271" i="3"/>
  <c r="BR343" i="1" s="1"/>
  <c r="AV359" i="3"/>
  <c r="BR375" i="1" s="1"/>
  <c r="AV106" i="3"/>
  <c r="BR106" i="1" s="1"/>
  <c r="H106" i="1" s="1"/>
  <c r="AV358" i="3"/>
  <c r="BR374" i="1" s="1"/>
  <c r="AV103" i="3"/>
  <c r="AV249" i="3"/>
  <c r="BR249" i="1" s="1"/>
  <c r="AV91" i="3"/>
  <c r="AV230" i="3"/>
  <c r="BR334" i="1" s="1"/>
  <c r="AV241" i="3"/>
  <c r="BR232" i="1" s="1"/>
  <c r="AV170" i="3"/>
  <c r="BR170" i="1" s="1"/>
  <c r="H170" i="1" s="1"/>
  <c r="AV222" i="3"/>
  <c r="BR240" i="1" s="1"/>
  <c r="AV237" i="3"/>
  <c r="AV172" i="3"/>
  <c r="BR172" i="1" s="1"/>
  <c r="H172" i="1" s="1"/>
  <c r="AV227" i="3"/>
  <c r="BR246" i="1" s="1"/>
  <c r="H246" i="1" s="1"/>
  <c r="AV310" i="3"/>
  <c r="BR300" i="1" s="1"/>
  <c r="H300" i="1" s="1"/>
  <c r="AV242" i="3"/>
  <c r="BR233" i="1" s="1"/>
  <c r="AV220" i="3"/>
  <c r="AV247" i="3"/>
  <c r="BR310" i="1" s="1"/>
  <c r="AV102" i="3"/>
  <c r="BR102" i="1" s="1"/>
  <c r="AV190" i="3"/>
  <c r="BR206" i="1" s="1"/>
  <c r="AV98" i="3"/>
  <c r="BR98" i="1" s="1"/>
  <c r="AV221" i="3"/>
  <c r="BR239" i="1" s="1"/>
  <c r="AV223" i="3"/>
  <c r="BR241" i="1" s="1"/>
  <c r="AV107" i="3"/>
  <c r="BR107" i="1" s="1"/>
  <c r="H107" i="1" s="1"/>
  <c r="AV302" i="3"/>
  <c r="BR252" i="1" s="1"/>
  <c r="AV274" i="3"/>
  <c r="BR279" i="1" s="1"/>
  <c r="H279" i="1" s="1"/>
  <c r="AV113" i="3"/>
  <c r="BR113" i="1" s="1"/>
  <c r="AV225" i="3"/>
  <c r="AV336" i="3"/>
  <c r="AV104" i="3"/>
  <c r="BR104" i="1" s="1"/>
  <c r="H104" i="1" s="1"/>
  <c r="AV263" i="3"/>
  <c r="BR331" i="1" s="1"/>
  <c r="AV248" i="3"/>
  <c r="BR238" i="1" s="1"/>
  <c r="H238" i="1" s="1"/>
  <c r="AV270" i="3"/>
  <c r="BR217" i="1" s="1"/>
  <c r="AV269" i="3"/>
  <c r="BR216" i="1" s="1"/>
  <c r="BR150" i="1"/>
  <c r="H150" i="1" s="1"/>
  <c r="BR153" i="1"/>
  <c r="BW153" i="1" s="1"/>
  <c r="BR140" i="1"/>
  <c r="BW140" i="1" s="1"/>
  <c r="H294" i="1"/>
  <c r="H306" i="1"/>
  <c r="BR146" i="1"/>
  <c r="H146" i="1" s="1"/>
  <c r="H213" i="1"/>
  <c r="H260" i="1"/>
  <c r="H175" i="1"/>
  <c r="H215" i="1"/>
  <c r="H274" i="1"/>
  <c r="H293" i="1"/>
  <c r="H237" i="1"/>
  <c r="H275" i="1"/>
  <c r="H265" i="1"/>
  <c r="J97" i="5"/>
  <c r="H251" i="1"/>
  <c r="H324" i="1"/>
  <c r="H303" i="1"/>
  <c r="H138" i="1"/>
  <c r="H181" i="1"/>
  <c r="H271" i="1"/>
  <c r="H312" i="1"/>
  <c r="H222" i="1"/>
  <c r="H273" i="1"/>
  <c r="H248" i="1"/>
  <c r="H328" i="1"/>
  <c r="H368" i="1"/>
  <c r="H360" i="1"/>
  <c r="H372" i="1"/>
  <c r="H376" i="1"/>
  <c r="H356" i="1"/>
  <c r="H364" i="1"/>
  <c r="H351" i="1"/>
  <c r="H359" i="1"/>
  <c r="H348" i="1"/>
  <c r="H347" i="1"/>
  <c r="H350" i="1"/>
  <c r="H362" i="1"/>
  <c r="H363" i="1"/>
  <c r="H369" i="1"/>
  <c r="H349" i="1"/>
  <c r="H357" i="1"/>
  <c r="H370" i="1"/>
  <c r="H358" i="1"/>
  <c r="H355" i="1"/>
  <c r="H346" i="1"/>
  <c r="H330" i="1"/>
  <c r="H311" i="1"/>
  <c r="H354" i="1"/>
  <c r="H361" i="1"/>
  <c r="H325" i="1"/>
  <c r="H371" i="1"/>
  <c r="H377" i="1"/>
  <c r="H342" i="1"/>
  <c r="H314" i="1"/>
  <c r="H332" i="1"/>
  <c r="H341" i="1"/>
  <c r="H326" i="1"/>
  <c r="H335" i="1"/>
  <c r="H321" i="1"/>
  <c r="H327" i="1"/>
  <c r="H318" i="1"/>
  <c r="H301" i="1"/>
  <c r="H302" i="1"/>
  <c r="H203" i="1"/>
  <c r="H223" i="1"/>
  <c r="H281" i="1"/>
  <c r="H286" i="1"/>
  <c r="H264" i="1"/>
  <c r="H179" i="1"/>
  <c r="H299" i="1"/>
  <c r="H177" i="1"/>
  <c r="H323" i="1"/>
  <c r="H176" i="1"/>
  <c r="H259" i="1"/>
  <c r="H280" i="1"/>
  <c r="H180" i="1"/>
  <c r="H322" i="1"/>
  <c r="H247" i="1"/>
  <c r="H329" i="1"/>
  <c r="H272" i="1"/>
  <c r="H295" i="1"/>
  <c r="H69" i="1"/>
  <c r="H166" i="1"/>
  <c r="H285" i="1"/>
  <c r="H282" i="1"/>
  <c r="H178" i="1"/>
  <c r="H307" i="1"/>
  <c r="H163" i="1"/>
  <c r="H304" i="1"/>
  <c r="H336" i="1"/>
  <c r="H214" i="1"/>
  <c r="H270" i="1"/>
  <c r="H319" i="1"/>
  <c r="H298" i="1"/>
  <c r="H164" i="1"/>
  <c r="H210" i="1"/>
  <c r="H253" i="1"/>
  <c r="H320" i="1"/>
  <c r="H317" i="1"/>
  <c r="H123" i="1"/>
  <c r="H269" i="1"/>
  <c r="H305" i="1"/>
  <c r="H243" i="1"/>
  <c r="H263" i="1"/>
  <c r="H211" i="1"/>
  <c r="H242" i="1"/>
  <c r="H10" i="1"/>
  <c r="H134" i="1"/>
  <c r="H254" i="1"/>
  <c r="H212" i="1"/>
  <c r="H308" i="1"/>
  <c r="H284" i="1"/>
  <c r="J67" i="5"/>
  <c r="BR157" i="1"/>
  <c r="H157" i="1" s="1"/>
  <c r="BR155" i="1"/>
  <c r="H155" i="1" s="1"/>
  <c r="H99" i="1"/>
  <c r="BW99" i="1"/>
  <c r="H20" i="1"/>
  <c r="BW20" i="1"/>
  <c r="H148" i="1"/>
  <c r="BW148" i="1"/>
  <c r="BW110" i="1"/>
  <c r="H110" i="1"/>
  <c r="BW120" i="1"/>
  <c r="H120" i="1"/>
  <c r="H162" i="1"/>
  <c r="BW162" i="1"/>
  <c r="BW205" i="1"/>
  <c r="H205" i="1"/>
  <c r="H207" i="1"/>
  <c r="BW207" i="1"/>
  <c r="H95" i="1"/>
  <c r="BW95" i="1"/>
  <c r="H59" i="1"/>
  <c r="BW59" i="1"/>
  <c r="BW52" i="1"/>
  <c r="H52" i="1"/>
  <c r="BW100" i="1"/>
  <c r="H100" i="1"/>
  <c r="H65" i="1"/>
  <c r="BW65" i="1"/>
  <c r="H136" i="1"/>
  <c r="BW136" i="1"/>
  <c r="H38" i="1"/>
  <c r="BW38" i="1"/>
  <c r="H156" i="1"/>
  <c r="BW156" i="1"/>
  <c r="BW26" i="1"/>
  <c r="H26" i="1"/>
  <c r="BW79" i="1"/>
  <c r="H79" i="1"/>
  <c r="H143" i="1"/>
  <c r="BW143" i="1"/>
  <c r="H119" i="1"/>
  <c r="BW119" i="1"/>
  <c r="H12" i="1"/>
  <c r="BW12" i="1"/>
  <c r="BW5" i="1"/>
  <c r="H5" i="1"/>
  <c r="BR94" i="1"/>
  <c r="BR198" i="1"/>
  <c r="BW147" i="1"/>
  <c r="H147" i="1"/>
  <c r="BW109" i="1"/>
  <c r="H109" i="1"/>
  <c r="BW42" i="1"/>
  <c r="H42" i="1"/>
  <c r="BW43" i="1"/>
  <c r="H43" i="1"/>
  <c r="H128" i="1"/>
  <c r="BW128" i="1"/>
  <c r="H139" i="1"/>
  <c r="BW139" i="1"/>
  <c r="H44" i="1"/>
  <c r="BW44" i="1"/>
  <c r="H165" i="1"/>
  <c r="BW165" i="1"/>
  <c r="H23" i="1"/>
  <c r="BW23" i="1"/>
  <c r="BW49" i="1"/>
  <c r="H49" i="1"/>
  <c r="H64" i="1"/>
  <c r="BW64" i="1"/>
  <c r="H173" i="1"/>
  <c r="BW173" i="1"/>
  <c r="BR196" i="1"/>
  <c r="BR87" i="1"/>
  <c r="BR74" i="1"/>
  <c r="BR187" i="1"/>
  <c r="H126" i="1"/>
  <c r="BW126" i="1"/>
  <c r="BW90" i="1"/>
  <c r="H90" i="1"/>
  <c r="BW36" i="1"/>
  <c r="H36" i="1"/>
  <c r="H116" i="1"/>
  <c r="BW116" i="1"/>
  <c r="H115" i="1"/>
  <c r="BW115" i="1"/>
  <c r="BW40" i="1"/>
  <c r="H40" i="1"/>
  <c r="BW121" i="1"/>
  <c r="H121" i="1"/>
  <c r="BW55" i="1"/>
  <c r="H55" i="1"/>
  <c r="BR71" i="1"/>
  <c r="BR193" i="1"/>
  <c r="BR197" i="1"/>
  <c r="BR88" i="1"/>
  <c r="BW29" i="1"/>
  <c r="H29" i="1"/>
  <c r="H61" i="1"/>
  <c r="BW61" i="1"/>
  <c r="H75" i="1"/>
  <c r="BW75" i="1"/>
  <c r="H204" i="1"/>
  <c r="BW204" i="1"/>
  <c r="BW367" i="1"/>
  <c r="H367" i="1"/>
  <c r="H151" i="1"/>
  <c r="BW151" i="1"/>
  <c r="BW45" i="1"/>
  <c r="H45" i="1"/>
  <c r="BW16" i="1"/>
  <c r="H16" i="1"/>
  <c r="H76" i="1"/>
  <c r="BW76" i="1"/>
  <c r="BW208" i="1"/>
  <c r="H208" i="1"/>
  <c r="H117" i="1"/>
  <c r="BW117" i="1"/>
  <c r="H19" i="1"/>
  <c r="BW19" i="1"/>
  <c r="BW82" i="1"/>
  <c r="H82" i="1"/>
  <c r="BW3" i="1"/>
  <c r="H3" i="1"/>
  <c r="BR67" i="1"/>
  <c r="BR184" i="1"/>
  <c r="H9" i="1"/>
  <c r="BW9" i="1"/>
  <c r="H144" i="1"/>
  <c r="BW144" i="1"/>
  <c r="BW24" i="1"/>
  <c r="H24" i="1"/>
  <c r="H141" i="1"/>
  <c r="BW141" i="1"/>
  <c r="H46" i="1"/>
  <c r="BW46" i="1"/>
  <c r="H70" i="1"/>
  <c r="BW70" i="1"/>
  <c r="BW39" i="1"/>
  <c r="H39" i="1"/>
  <c r="H41" i="1"/>
  <c r="BW41" i="1"/>
  <c r="BR191" i="1"/>
  <c r="BR84" i="1"/>
  <c r="H60" i="1"/>
  <c r="BW60" i="1"/>
  <c r="H21" i="1"/>
  <c r="BW21" i="1"/>
  <c r="H114" i="1"/>
  <c r="BW114" i="1"/>
  <c r="BW137" i="1"/>
  <c r="H137" i="1"/>
  <c r="BW129" i="1"/>
  <c r="H129" i="1"/>
  <c r="BW14" i="1"/>
  <c r="H14" i="1"/>
  <c r="H159" i="1"/>
  <c r="BW159" i="1"/>
  <c r="BW56" i="1"/>
  <c r="H56" i="1"/>
  <c r="BW124" i="1"/>
  <c r="H124" i="1"/>
  <c r="BW37" i="1"/>
  <c r="H37" i="1"/>
  <c r="BR97" i="1"/>
  <c r="BR190" i="1"/>
  <c r="H73" i="1"/>
  <c r="BW73" i="1"/>
  <c r="BR183" i="1"/>
  <c r="BR62" i="1"/>
  <c r="BW33" i="1"/>
  <c r="H33" i="1"/>
  <c r="H161" i="1"/>
  <c r="BW161" i="1"/>
  <c r="H133" i="1"/>
  <c r="BW133" i="1"/>
  <c r="BW366" i="1"/>
  <c r="H366" i="1"/>
  <c r="H50" i="1"/>
  <c r="BW50" i="1"/>
  <c r="H30" i="1"/>
  <c r="BW30" i="1"/>
  <c r="H51" i="1"/>
  <c r="BW51" i="1"/>
  <c r="H15" i="1"/>
  <c r="BW15" i="1"/>
  <c r="BW86" i="1"/>
  <c r="H86" i="1"/>
  <c r="BW31" i="1"/>
  <c r="H31" i="1"/>
  <c r="H48" i="1"/>
  <c r="BW48" i="1"/>
  <c r="H22" i="1"/>
  <c r="BW22" i="1"/>
  <c r="BW77" i="1"/>
  <c r="H77" i="1"/>
  <c r="BW54" i="1"/>
  <c r="H54" i="1"/>
  <c r="H11" i="1"/>
  <c r="BW11" i="1"/>
  <c r="BW118" i="1"/>
  <c r="H118" i="1"/>
  <c r="H8" i="1"/>
  <c r="BW8" i="1"/>
  <c r="BW7" i="1"/>
  <c r="H7" i="1"/>
  <c r="H135" i="1"/>
  <c r="BW135" i="1"/>
  <c r="BR192" i="1"/>
  <c r="BR89" i="1"/>
  <c r="H66" i="1"/>
  <c r="BW66" i="1"/>
  <c r="H202" i="1"/>
  <c r="BW202" i="1"/>
  <c r="H13" i="1"/>
  <c r="BW13" i="1"/>
  <c r="BW57" i="1"/>
  <c r="H57" i="1"/>
  <c r="H132" i="1"/>
  <c r="BW132" i="1"/>
  <c r="H63" i="1"/>
  <c r="BW63" i="1"/>
  <c r="BW209" i="1"/>
  <c r="H209" i="1"/>
  <c r="H130" i="1"/>
  <c r="BW130" i="1"/>
  <c r="H4" i="1"/>
  <c r="BW4" i="1"/>
  <c r="H142" i="1"/>
  <c r="BW142" i="1"/>
  <c r="BW53" i="1"/>
  <c r="H53" i="1"/>
  <c r="H112" i="1"/>
  <c r="BW112" i="1"/>
  <c r="H83" i="1"/>
  <c r="BW83" i="1"/>
  <c r="BR186" i="1"/>
  <c r="BR72" i="1"/>
  <c r="H152" i="1"/>
  <c r="BW152" i="1"/>
  <c r="BR189" i="1"/>
  <c r="BR96" i="1"/>
  <c r="BW111" i="1"/>
  <c r="H111" i="1"/>
  <c r="BW158" i="1"/>
  <c r="H158" i="1"/>
  <c r="H58" i="1"/>
  <c r="BW58" i="1"/>
  <c r="H199" i="1"/>
  <c r="BW199" i="1"/>
  <c r="BW47" i="1"/>
  <c r="H47" i="1"/>
  <c r="BW6" i="1"/>
  <c r="H6" i="1"/>
  <c r="BW68" i="1"/>
  <c r="H68" i="1"/>
  <c r="BR78" i="1"/>
  <c r="BR194" i="1"/>
  <c r="H149" i="1"/>
  <c r="BW149" i="1"/>
  <c r="BW145" i="1"/>
  <c r="H145" i="1"/>
  <c r="BW35" i="1"/>
  <c r="H35" i="1"/>
  <c r="H154" i="1"/>
  <c r="BW154" i="1"/>
  <c r="BW17" i="1"/>
  <c r="H17" i="1"/>
  <c r="BW93" i="1"/>
  <c r="H93" i="1"/>
  <c r="H32" i="1"/>
  <c r="BW32" i="1"/>
  <c r="BW131" i="1"/>
  <c r="H131" i="1"/>
  <c r="H125" i="1"/>
  <c r="BW125" i="1"/>
  <c r="BR195" i="1"/>
  <c r="BR85" i="1"/>
  <c r="H153" i="1"/>
  <c r="H18" i="1"/>
  <c r="BW18" i="1"/>
  <c r="H185" i="1"/>
  <c r="BW185" i="1"/>
  <c r="C49" i="14"/>
  <c r="G49" i="14" s="1"/>
  <c r="L7" i="9" s="1"/>
  <c r="N7" i="9" s="1"/>
  <c r="J54" i="5"/>
  <c r="BR365" i="1"/>
  <c r="BR352" i="1"/>
  <c r="BR313" i="1"/>
  <c r="BR339" i="1"/>
  <c r="C51" i="14"/>
  <c r="G51" i="14" s="1"/>
  <c r="H51" i="14" s="1"/>
  <c r="B23" i="14"/>
  <c r="F23" i="14" s="1"/>
  <c r="D49" i="14"/>
  <c r="E49" i="14" s="1"/>
  <c r="C99" i="14"/>
  <c r="G99" i="14" s="1"/>
  <c r="B117" i="14"/>
  <c r="F117" i="14" s="1"/>
  <c r="C38" i="14"/>
  <c r="G38" i="14" s="1"/>
  <c r="H38" i="14" s="1"/>
  <c r="D99" i="14"/>
  <c r="E99" i="14" s="1"/>
  <c r="D114" i="14"/>
  <c r="E114" i="14" s="1"/>
  <c r="N88" i="5"/>
  <c r="N45" i="5"/>
  <c r="J11" i="5"/>
  <c r="N189" i="5"/>
  <c r="J12" i="5"/>
  <c r="J162" i="5"/>
  <c r="N209" i="5"/>
  <c r="J209" i="5"/>
  <c r="N79" i="5"/>
  <c r="J52" i="5"/>
  <c r="N26" i="5"/>
  <c r="N42" i="5"/>
  <c r="J111" i="5"/>
  <c r="J73" i="5"/>
  <c r="J22" i="5"/>
  <c r="J169" i="5"/>
  <c r="J110" i="5"/>
  <c r="J66" i="5"/>
  <c r="N54" i="5"/>
  <c r="J43" i="5"/>
  <c r="J13" i="5"/>
  <c r="N53" i="5"/>
  <c r="J64" i="5"/>
  <c r="J116" i="5"/>
  <c r="J5" i="5"/>
  <c r="J79" i="5"/>
  <c r="N51" i="5"/>
  <c r="N43" i="5"/>
  <c r="J6" i="5"/>
  <c r="N137" i="5"/>
  <c r="J137" i="5"/>
  <c r="J208" i="5"/>
  <c r="J21" i="5"/>
  <c r="N208" i="5"/>
  <c r="J53" i="5"/>
  <c r="J50" i="5"/>
  <c r="J42" i="5"/>
  <c r="J7" i="5"/>
  <c r="J118" i="5"/>
  <c r="J125" i="5"/>
  <c r="J96" i="5"/>
  <c r="J112" i="5"/>
  <c r="J51" i="5"/>
  <c r="J135" i="5"/>
  <c r="J63" i="5"/>
  <c r="J164" i="5"/>
  <c r="J48" i="5"/>
  <c r="J27" i="5"/>
  <c r="J72" i="5"/>
  <c r="J44" i="5"/>
  <c r="N44" i="5"/>
  <c r="J47" i="5"/>
  <c r="BR235" i="1"/>
  <c r="H235" i="1" s="1"/>
  <c r="M2" i="5"/>
  <c r="D39" i="14"/>
  <c r="E39" i="14" s="1"/>
  <c r="B51" i="14"/>
  <c r="F51" i="14" s="1"/>
  <c r="N2" i="5"/>
  <c r="B38" i="14"/>
  <c r="F38" i="14" s="1"/>
  <c r="BR228" i="1"/>
  <c r="BR267" i="1"/>
  <c r="H267" i="1" s="1"/>
  <c r="BR277" i="1"/>
  <c r="H277" i="1" s="1"/>
  <c r="C15" i="14"/>
  <c r="G15" i="14" s="1"/>
  <c r="H15" i="14" s="1"/>
  <c r="BR108" i="1"/>
  <c r="H108" i="1" s="1"/>
  <c r="BR34" i="1"/>
  <c r="BR234" i="1"/>
  <c r="J2" i="5"/>
  <c r="I2" i="5"/>
  <c r="H2" i="5"/>
  <c r="BR262" i="1"/>
  <c r="BR103" i="1"/>
  <c r="H103" i="1" s="1"/>
  <c r="C39" i="14"/>
  <c r="G39" i="14" s="1"/>
  <c r="BR28" i="1"/>
  <c r="C77" i="14"/>
  <c r="G77" i="14" s="1"/>
  <c r="B77" i="14"/>
  <c r="F77" i="14" s="1"/>
  <c r="D77" i="14"/>
  <c r="E77" i="14" s="1"/>
  <c r="F10" i="9"/>
  <c r="B10" i="9"/>
  <c r="F18" i="9"/>
  <c r="B18" i="9"/>
  <c r="C41" i="14"/>
  <c r="G41" i="14" s="1"/>
  <c r="B41" i="14"/>
  <c r="F41" i="14" s="1"/>
  <c r="D41" i="14"/>
  <c r="E41" i="14" s="1"/>
  <c r="C101" i="14"/>
  <c r="G101" i="14" s="1"/>
  <c r="D101" i="14"/>
  <c r="E101" i="14" s="1"/>
  <c r="B101" i="14"/>
  <c r="F101" i="14" s="1"/>
  <c r="C37" i="14"/>
  <c r="G37" i="14" s="1"/>
  <c r="B37" i="14"/>
  <c r="F37" i="14" s="1"/>
  <c r="D37" i="14"/>
  <c r="E37" i="14" s="1"/>
  <c r="B25" i="9"/>
  <c r="F25" i="9"/>
  <c r="B82" i="14"/>
  <c r="F82" i="14" s="1"/>
  <c r="C82" i="14"/>
  <c r="G82" i="14" s="1"/>
  <c r="D82" i="14"/>
  <c r="E82" i="14" s="1"/>
  <c r="B111" i="14"/>
  <c r="F111" i="14" s="1"/>
  <c r="D111" i="14"/>
  <c r="E111" i="14" s="1"/>
  <c r="C111" i="14"/>
  <c r="G111" i="14" s="1"/>
  <c r="D12" i="14"/>
  <c r="E12" i="14" s="1"/>
  <c r="B12" i="14"/>
  <c r="F12" i="14" s="1"/>
  <c r="C12" i="14"/>
  <c r="G12" i="14" s="1"/>
  <c r="L6" i="9" s="1"/>
  <c r="N6" i="9" s="1"/>
  <c r="B52" i="14"/>
  <c r="F52" i="14" s="1"/>
  <c r="D52" i="14"/>
  <c r="E52" i="14" s="1"/>
  <c r="C52" i="14"/>
  <c r="G52" i="14" s="1"/>
  <c r="Q3" i="9" s="1"/>
  <c r="T3" i="9" s="1"/>
  <c r="U3" i="9" s="1"/>
  <c r="D48" i="14"/>
  <c r="E48" i="14" s="1"/>
  <c r="B48" i="14"/>
  <c r="F48" i="14" s="1"/>
  <c r="C48" i="14"/>
  <c r="G48" i="14" s="1"/>
  <c r="C80" i="14"/>
  <c r="G80" i="14" s="1"/>
  <c r="D80" i="14"/>
  <c r="E80" i="14" s="1"/>
  <c r="B80" i="14"/>
  <c r="F80" i="14" s="1"/>
  <c r="B32" i="14"/>
  <c r="F32" i="14" s="1"/>
  <c r="D32" i="14"/>
  <c r="E32" i="14" s="1"/>
  <c r="C32" i="14"/>
  <c r="G32" i="14" s="1"/>
  <c r="C23" i="14"/>
  <c r="G23" i="14" s="1"/>
  <c r="H23" i="14" s="1"/>
  <c r="C13" i="14"/>
  <c r="G13" i="14" s="1"/>
  <c r="Q2" i="9" s="1"/>
  <c r="T2" i="9" s="1"/>
  <c r="U2" i="9" s="1"/>
  <c r="B13" i="14"/>
  <c r="F13" i="14" s="1"/>
  <c r="D13" i="14"/>
  <c r="E13" i="14" s="1"/>
  <c r="B30" i="14"/>
  <c r="F30" i="14" s="1"/>
  <c r="D30" i="14"/>
  <c r="E30" i="14" s="1"/>
  <c r="C30" i="14"/>
  <c r="G30" i="14" s="1"/>
  <c r="C103" i="14"/>
  <c r="G103" i="14" s="1"/>
  <c r="D103" i="14"/>
  <c r="E103" i="14" s="1"/>
  <c r="B103" i="14"/>
  <c r="F103" i="14" s="1"/>
  <c r="C90" i="14"/>
  <c r="G90" i="14" s="1"/>
  <c r="D90" i="14"/>
  <c r="E90" i="14" s="1"/>
  <c r="B90" i="14"/>
  <c r="F90" i="14" s="1"/>
  <c r="B57" i="14"/>
  <c r="F57" i="14" s="1"/>
  <c r="C57" i="14"/>
  <c r="G57" i="14" s="1"/>
  <c r="D57" i="14"/>
  <c r="E57" i="14" s="1"/>
  <c r="C4" i="14"/>
  <c r="G4" i="14" s="1"/>
  <c r="B4" i="14"/>
  <c r="F4" i="14" s="1"/>
  <c r="D4" i="14"/>
  <c r="E4" i="14" s="1"/>
  <c r="BR268" i="1"/>
  <c r="B9" i="9"/>
  <c r="F9" i="9"/>
  <c r="B50" i="14"/>
  <c r="F50" i="14" s="1"/>
  <c r="D50" i="14"/>
  <c r="E50" i="14" s="1"/>
  <c r="C50" i="14"/>
  <c r="G50" i="14" s="1"/>
  <c r="B47" i="14"/>
  <c r="F47" i="14" s="1"/>
  <c r="D47" i="14"/>
  <c r="E47" i="14" s="1"/>
  <c r="C47" i="14"/>
  <c r="G47" i="14" s="1"/>
  <c r="C17" i="14"/>
  <c r="G17" i="14" s="1"/>
  <c r="D17" i="14"/>
  <c r="E17" i="14" s="1"/>
  <c r="B17" i="14"/>
  <c r="F17" i="14" s="1"/>
  <c r="BU2" i="1"/>
  <c r="BG2" i="1"/>
  <c r="BP2" i="1" s="1" a="1"/>
  <c r="BP2" i="1" s="1"/>
  <c r="BF2" i="1"/>
  <c r="CD2" i="1"/>
  <c r="B23" i="9"/>
  <c r="F23" i="9"/>
  <c r="D98" i="14"/>
  <c r="E98" i="14" s="1"/>
  <c r="B98" i="14"/>
  <c r="F98" i="14" s="1"/>
  <c r="C98" i="14"/>
  <c r="G98" i="14" s="1"/>
  <c r="B26" i="14"/>
  <c r="F26" i="14" s="1"/>
  <c r="C26" i="14"/>
  <c r="G26" i="14" s="1"/>
  <c r="D26" i="14"/>
  <c r="E26" i="14" s="1"/>
  <c r="C8" i="14"/>
  <c r="G8" i="14" s="1"/>
  <c r="D8" i="14"/>
  <c r="E8" i="14" s="1"/>
  <c r="B8" i="14"/>
  <c r="F8" i="14" s="1"/>
  <c r="B88" i="14"/>
  <c r="F88" i="14" s="1"/>
  <c r="D88" i="14"/>
  <c r="E88" i="14" s="1"/>
  <c r="C88" i="14"/>
  <c r="G88" i="14" s="1"/>
  <c r="B59" i="14"/>
  <c r="F59" i="14" s="1"/>
  <c r="D59" i="14"/>
  <c r="E59" i="14" s="1"/>
  <c r="C59" i="14"/>
  <c r="G59" i="14" s="1"/>
  <c r="C62" i="14"/>
  <c r="G62" i="14" s="1"/>
  <c r="D62" i="14"/>
  <c r="E62" i="14" s="1"/>
  <c r="B62" i="14"/>
  <c r="F62" i="14" s="1"/>
  <c r="F12" i="9"/>
  <c r="B12" i="9"/>
  <c r="B19" i="14"/>
  <c r="F19" i="14" s="1"/>
  <c r="D19" i="14"/>
  <c r="E19" i="14" s="1"/>
  <c r="C19" i="14"/>
  <c r="G19" i="14" s="1"/>
  <c r="B6" i="14"/>
  <c r="F6" i="14" s="1"/>
  <c r="C6" i="14"/>
  <c r="G6" i="14" s="1"/>
  <c r="D6" i="14"/>
  <c r="E6" i="14" s="1"/>
  <c r="B66" i="14"/>
  <c r="F66" i="14" s="1"/>
  <c r="D66" i="14"/>
  <c r="E66" i="14" s="1"/>
  <c r="C66" i="14"/>
  <c r="G66" i="14" s="1"/>
  <c r="C74" i="14"/>
  <c r="G74" i="14" s="1"/>
  <c r="B74" i="14"/>
  <c r="F74" i="14" s="1"/>
  <c r="D74" i="14"/>
  <c r="E74" i="14" s="1"/>
  <c r="B60" i="14"/>
  <c r="F60" i="14" s="1"/>
  <c r="C60" i="14"/>
  <c r="G60" i="14" s="1"/>
  <c r="D60" i="14"/>
  <c r="E60" i="14" s="1"/>
  <c r="F5" i="9"/>
  <c r="B5" i="9"/>
  <c r="C2" i="14"/>
  <c r="G2" i="14" s="1"/>
  <c r="D2" i="14"/>
  <c r="E2" i="14" s="1"/>
  <c r="B2" i="14"/>
  <c r="F2" i="14" s="1"/>
  <c r="BR266" i="1"/>
  <c r="B36" i="14"/>
  <c r="F36" i="14" s="1"/>
  <c r="D36" i="14"/>
  <c r="E36" i="14" s="1"/>
  <c r="C36" i="14"/>
  <c r="G36" i="14" s="1"/>
  <c r="B17" i="9"/>
  <c r="F17" i="9"/>
  <c r="D65" i="14"/>
  <c r="E65" i="14" s="1"/>
  <c r="C65" i="14"/>
  <c r="G65" i="14" s="1"/>
  <c r="B65" i="14"/>
  <c r="F65" i="14" s="1"/>
  <c r="C10" i="14"/>
  <c r="G10" i="14" s="1"/>
  <c r="B10" i="14"/>
  <c r="F10" i="14" s="1"/>
  <c r="D10" i="14"/>
  <c r="E10" i="14" s="1"/>
  <c r="B20" i="14"/>
  <c r="F20" i="14" s="1"/>
  <c r="D20" i="14"/>
  <c r="E20" i="14" s="1"/>
  <c r="C20" i="14"/>
  <c r="G20" i="14" s="1"/>
  <c r="BR219" i="1"/>
  <c r="D63" i="14"/>
  <c r="E63" i="14" s="1"/>
  <c r="B63" i="14"/>
  <c r="F63" i="14" s="1"/>
  <c r="C63" i="14"/>
  <c r="G63" i="14" s="1"/>
  <c r="D31" i="14"/>
  <c r="E31" i="14" s="1"/>
  <c r="C31" i="14"/>
  <c r="G31" i="14" s="1"/>
  <c r="B31" i="14"/>
  <c r="F31" i="14" s="1"/>
  <c r="C45" i="14"/>
  <c r="G45" i="14" s="1"/>
  <c r="B45" i="14"/>
  <c r="F45" i="14" s="1"/>
  <c r="D45" i="14"/>
  <c r="E45" i="14" s="1"/>
  <c r="B58" i="14"/>
  <c r="F58" i="14" s="1"/>
  <c r="D58" i="14"/>
  <c r="E58" i="14" s="1"/>
  <c r="C58" i="14"/>
  <c r="G58" i="14" s="1"/>
  <c r="C68" i="14"/>
  <c r="G68" i="14" s="1"/>
  <c r="B68" i="14"/>
  <c r="F68" i="14" s="1"/>
  <c r="D68" i="14"/>
  <c r="E68" i="14" s="1"/>
  <c r="B34" i="14"/>
  <c r="F34" i="14" s="1"/>
  <c r="D34" i="14"/>
  <c r="E34" i="14" s="1"/>
  <c r="C34" i="14"/>
  <c r="G34" i="14" s="1"/>
  <c r="N112" i="5"/>
  <c r="B73" i="14"/>
  <c r="F73" i="14" s="1"/>
  <c r="C73" i="14"/>
  <c r="G73" i="14" s="1"/>
  <c r="D73" i="14"/>
  <c r="E73" i="14" s="1"/>
  <c r="BR167" i="1"/>
  <c r="H167" i="1" s="1"/>
  <c r="B102" i="14"/>
  <c r="F102" i="14" s="1"/>
  <c r="D102" i="14"/>
  <c r="E102" i="14" s="1"/>
  <c r="C102" i="14"/>
  <c r="G102" i="14" s="1"/>
  <c r="C115" i="14"/>
  <c r="G115" i="14" s="1"/>
  <c r="B115" i="14"/>
  <c r="F115" i="14" s="1"/>
  <c r="D115" i="14"/>
  <c r="E115" i="14" s="1"/>
  <c r="D85" i="14"/>
  <c r="E85" i="14" s="1"/>
  <c r="C85" i="14"/>
  <c r="G85" i="14" s="1"/>
  <c r="B85" i="14"/>
  <c r="F85" i="14" s="1"/>
  <c r="B3" i="9"/>
  <c r="F3" i="9"/>
  <c r="F15" i="9"/>
  <c r="B15" i="9"/>
  <c r="D91" i="14"/>
  <c r="E91" i="14" s="1"/>
  <c r="B91" i="14"/>
  <c r="F91" i="14" s="1"/>
  <c r="C91" i="14"/>
  <c r="G91" i="14" s="1"/>
  <c r="C55" i="14"/>
  <c r="G55" i="14" s="1"/>
  <c r="B55" i="14"/>
  <c r="F55" i="14" s="1"/>
  <c r="D55" i="14"/>
  <c r="E55" i="14" s="1"/>
  <c r="B9" i="14"/>
  <c r="F9" i="14" s="1"/>
  <c r="D9" i="14"/>
  <c r="E9" i="14" s="1"/>
  <c r="C9" i="14"/>
  <c r="G9" i="14" s="1"/>
  <c r="D46" i="14"/>
  <c r="E46" i="14" s="1"/>
  <c r="C46" i="14"/>
  <c r="G46" i="14" s="1"/>
  <c r="B46" i="14"/>
  <c r="F46" i="14" s="1"/>
  <c r="BR309" i="1"/>
  <c r="H309" i="1" s="1"/>
  <c r="BR231" i="1"/>
  <c r="C18" i="14"/>
  <c r="G18" i="14" s="1"/>
  <c r="B18" i="14"/>
  <c r="F18" i="14" s="1"/>
  <c r="D18" i="14"/>
  <c r="E18" i="14" s="1"/>
  <c r="N206" i="5"/>
  <c r="F14" i="9"/>
  <c r="B14" i="9"/>
  <c r="D113" i="14"/>
  <c r="E113" i="14" s="1"/>
  <c r="C113" i="14"/>
  <c r="G113" i="14" s="1"/>
  <c r="B113" i="14"/>
  <c r="F113" i="14" s="1"/>
  <c r="B26" i="9"/>
  <c r="F26" i="9"/>
  <c r="B22" i="9"/>
  <c r="F22" i="9"/>
  <c r="F7" i="9"/>
  <c r="B7" i="9"/>
  <c r="C94" i="14"/>
  <c r="G94" i="14" s="1"/>
  <c r="D94" i="14"/>
  <c r="E94" i="14" s="1"/>
  <c r="B94" i="14"/>
  <c r="F94" i="14" s="1"/>
  <c r="F4" i="9"/>
  <c r="B4" i="9"/>
  <c r="BR261" i="1"/>
  <c r="BR255" i="1"/>
  <c r="B83" i="14"/>
  <c r="F83" i="14" s="1"/>
  <c r="C83" i="14"/>
  <c r="G83" i="14" s="1"/>
  <c r="D83" i="14"/>
  <c r="E83" i="14" s="1"/>
  <c r="C104" i="14"/>
  <c r="G104" i="14" s="1"/>
  <c r="B104" i="14"/>
  <c r="F104" i="14" s="1"/>
  <c r="D104" i="14"/>
  <c r="E104" i="14" s="1"/>
  <c r="S2" i="5"/>
  <c r="AL2" i="1"/>
  <c r="AK2" i="1"/>
  <c r="AJ2" i="1"/>
  <c r="AM2" i="1"/>
  <c r="B8" i="9"/>
  <c r="F8" i="9"/>
  <c r="C16" i="14"/>
  <c r="G16" i="14" s="1"/>
  <c r="B16" i="14"/>
  <c r="F16" i="14" s="1"/>
  <c r="D16" i="14"/>
  <c r="E16" i="14" s="1"/>
  <c r="B16" i="9"/>
  <c r="F16" i="9"/>
  <c r="F6" i="9"/>
  <c r="B6" i="9"/>
  <c r="C100" i="14"/>
  <c r="G100" i="14" s="1"/>
  <c r="B100" i="14"/>
  <c r="F100" i="14" s="1"/>
  <c r="D100" i="14"/>
  <c r="E100" i="14" s="1"/>
  <c r="C114" i="14"/>
  <c r="G114" i="14" s="1"/>
  <c r="BR182" i="1"/>
  <c r="C40" i="14"/>
  <c r="G40" i="14" s="1"/>
  <c r="D40" i="14"/>
  <c r="E40" i="14" s="1"/>
  <c r="B40" i="14"/>
  <c r="F40" i="14" s="1"/>
  <c r="C71" i="14"/>
  <c r="G71" i="14" s="1"/>
  <c r="B71" i="14"/>
  <c r="F71" i="14" s="1"/>
  <c r="D71" i="14"/>
  <c r="E71" i="14" s="1"/>
  <c r="B11" i="9"/>
  <c r="F11" i="9"/>
  <c r="C76" i="14"/>
  <c r="G76" i="14" s="1"/>
  <c r="D76" i="14"/>
  <c r="E76" i="14" s="1"/>
  <c r="B76" i="14"/>
  <c r="F76" i="14" s="1"/>
  <c r="B93" i="14"/>
  <c r="F93" i="14" s="1"/>
  <c r="C93" i="14"/>
  <c r="G93" i="14" s="1"/>
  <c r="D93" i="14"/>
  <c r="E93" i="14" s="1"/>
  <c r="B24" i="14"/>
  <c r="F24" i="14" s="1"/>
  <c r="C24" i="14"/>
  <c r="G24" i="14" s="1"/>
  <c r="D24" i="14"/>
  <c r="E24" i="14" s="1"/>
  <c r="C61" i="14"/>
  <c r="G61" i="14" s="1"/>
  <c r="D61" i="14"/>
  <c r="E61" i="14" s="1"/>
  <c r="B61" i="14"/>
  <c r="F61" i="14" s="1"/>
  <c r="C110" i="14"/>
  <c r="G110" i="14" s="1"/>
  <c r="D110" i="14"/>
  <c r="E110" i="14" s="1"/>
  <c r="B110" i="14"/>
  <c r="F110" i="14" s="1"/>
  <c r="C56" i="14"/>
  <c r="G56" i="14" s="1"/>
  <c r="D56" i="14"/>
  <c r="E56" i="14" s="1"/>
  <c r="B56" i="14"/>
  <c r="F56" i="14" s="1"/>
  <c r="C97" i="14"/>
  <c r="G97" i="14" s="1"/>
  <c r="D97" i="14"/>
  <c r="E97" i="14" s="1"/>
  <c r="B97" i="14"/>
  <c r="F97" i="14" s="1"/>
  <c r="C72" i="14"/>
  <c r="G72" i="14" s="1"/>
  <c r="B72" i="14"/>
  <c r="F72" i="14" s="1"/>
  <c r="D72" i="14"/>
  <c r="E72" i="14" s="1"/>
  <c r="B44" i="14"/>
  <c r="F44" i="14" s="1"/>
  <c r="D44" i="14"/>
  <c r="E44" i="14" s="1"/>
  <c r="C44" i="14"/>
  <c r="G44" i="14" s="1"/>
  <c r="Q6" i="9" s="1"/>
  <c r="T6" i="9" s="1"/>
  <c r="U6" i="9" s="1"/>
  <c r="F24" i="9"/>
  <c r="B24" i="9"/>
  <c r="AE2" i="1"/>
  <c r="AG2" i="1"/>
  <c r="AH2" i="1"/>
  <c r="AF2" i="1"/>
  <c r="O2" i="5"/>
  <c r="D53" i="14"/>
  <c r="E53" i="14" s="1"/>
  <c r="B53" i="14"/>
  <c r="F53" i="14" s="1"/>
  <c r="C53" i="14"/>
  <c r="G53" i="14" s="1"/>
  <c r="B11" i="14"/>
  <c r="F11" i="14" s="1"/>
  <c r="C11" i="14"/>
  <c r="G11" i="14" s="1"/>
  <c r="D11" i="14"/>
  <c r="E11" i="14" s="1"/>
  <c r="D67" i="14"/>
  <c r="E67" i="14" s="1"/>
  <c r="C67" i="14"/>
  <c r="G67" i="14" s="1"/>
  <c r="B67" i="14"/>
  <c r="F67" i="14" s="1"/>
  <c r="B14" i="14"/>
  <c r="F14" i="14" s="1"/>
  <c r="C14" i="14"/>
  <c r="G14" i="14" s="1"/>
  <c r="D14" i="14"/>
  <c r="E14" i="14" s="1"/>
  <c r="B116" i="14"/>
  <c r="F116" i="14" s="1"/>
  <c r="C116" i="14"/>
  <c r="G116" i="14" s="1"/>
  <c r="D116" i="14"/>
  <c r="E116" i="14" s="1"/>
  <c r="B35" i="14"/>
  <c r="F35" i="14" s="1"/>
  <c r="D35" i="14"/>
  <c r="E35" i="14" s="1"/>
  <c r="C35" i="14"/>
  <c r="G35" i="14" s="1"/>
  <c r="D81" i="14"/>
  <c r="E81" i="14" s="1"/>
  <c r="B81" i="14"/>
  <c r="F81" i="14" s="1"/>
  <c r="C81" i="14"/>
  <c r="G81" i="14" s="1"/>
  <c r="B20" i="9"/>
  <c r="F20" i="9"/>
  <c r="C21" i="14"/>
  <c r="G21" i="14" s="1"/>
  <c r="B21" i="14"/>
  <c r="F21" i="14" s="1"/>
  <c r="D21" i="14"/>
  <c r="E21" i="14" s="1"/>
  <c r="D29" i="14"/>
  <c r="E29" i="14" s="1"/>
  <c r="C29" i="14"/>
  <c r="G29" i="14" s="1"/>
  <c r="B29" i="14"/>
  <c r="F29" i="14" s="1"/>
  <c r="C109" i="14"/>
  <c r="G109" i="14" s="1"/>
  <c r="D109" i="14"/>
  <c r="E109" i="14" s="1"/>
  <c r="B109" i="14"/>
  <c r="F109" i="14" s="1"/>
  <c r="C89" i="14"/>
  <c r="G89" i="14" s="1"/>
  <c r="D89" i="14"/>
  <c r="E89" i="14" s="1"/>
  <c r="B89" i="14"/>
  <c r="F89" i="14" s="1"/>
  <c r="D7" i="14"/>
  <c r="E7" i="14" s="1"/>
  <c r="B7" i="14"/>
  <c r="F7" i="14" s="1"/>
  <c r="C7" i="14"/>
  <c r="G7" i="14" s="1"/>
  <c r="F21" i="9"/>
  <c r="B21" i="9"/>
  <c r="C70" i="14"/>
  <c r="G70" i="14" s="1"/>
  <c r="B70" i="14"/>
  <c r="F70" i="14" s="1"/>
  <c r="D70" i="14"/>
  <c r="E70" i="14" s="1"/>
  <c r="C108" i="14"/>
  <c r="G108" i="14" s="1"/>
  <c r="D108" i="14"/>
  <c r="E108" i="14" s="1"/>
  <c r="B108" i="14"/>
  <c r="F108" i="14" s="1"/>
  <c r="R2" i="1"/>
  <c r="B75" i="14"/>
  <c r="F75" i="14" s="1"/>
  <c r="C75" i="14"/>
  <c r="G75" i="14" s="1"/>
  <c r="D75" i="14"/>
  <c r="E75" i="14" s="1"/>
  <c r="C79" i="14"/>
  <c r="G79" i="14" s="1"/>
  <c r="D79" i="14"/>
  <c r="E79" i="14" s="1"/>
  <c r="B79" i="14"/>
  <c r="F79" i="14" s="1"/>
  <c r="B27" i="14"/>
  <c r="F27" i="14" s="1"/>
  <c r="D27" i="14"/>
  <c r="E27" i="14" s="1"/>
  <c r="C27" i="14"/>
  <c r="G27" i="14" s="1"/>
  <c r="C42" i="14"/>
  <c r="G42" i="14" s="1"/>
  <c r="Q5" i="9" s="1"/>
  <c r="T5" i="9" s="1"/>
  <c r="U5" i="9" s="1"/>
  <c r="D42" i="14"/>
  <c r="E42" i="14" s="1"/>
  <c r="B42" i="14"/>
  <c r="F42" i="14" s="1"/>
  <c r="F40" i="9"/>
  <c r="B40" i="9"/>
  <c r="B84" i="14"/>
  <c r="F84" i="14" s="1"/>
  <c r="D84" i="14"/>
  <c r="E84" i="14" s="1"/>
  <c r="C84" i="14"/>
  <c r="G84" i="14" s="1"/>
  <c r="C118" i="14"/>
  <c r="G118" i="14" s="1"/>
  <c r="D118" i="14"/>
  <c r="E118" i="14" s="1"/>
  <c r="B118" i="14"/>
  <c r="F118" i="14" s="1"/>
  <c r="B5" i="14"/>
  <c r="F5" i="14" s="1"/>
  <c r="D5" i="14"/>
  <c r="E5" i="14" s="1"/>
  <c r="C5" i="14"/>
  <c r="G5" i="14" s="1"/>
  <c r="D3" i="14"/>
  <c r="E3" i="14" s="1"/>
  <c r="C3" i="14"/>
  <c r="G3" i="14" s="1"/>
  <c r="B3" i="14"/>
  <c r="F3" i="14" s="1"/>
  <c r="BR297" i="1"/>
  <c r="B96" i="14"/>
  <c r="F96" i="14" s="1"/>
  <c r="C96" i="14"/>
  <c r="G96" i="14" s="1"/>
  <c r="D96" i="14"/>
  <c r="E96" i="14" s="1"/>
  <c r="C25" i="14"/>
  <c r="G25" i="14" s="1"/>
  <c r="B25" i="14"/>
  <c r="F25" i="14" s="1"/>
  <c r="D25" i="14"/>
  <c r="E25" i="14" s="1"/>
  <c r="B64" i="14"/>
  <c r="F64" i="14" s="1"/>
  <c r="C64" i="14"/>
  <c r="G64" i="14" s="1"/>
  <c r="D64" i="14"/>
  <c r="E64" i="14" s="1"/>
  <c r="F19" i="9"/>
  <c r="B19" i="9"/>
  <c r="C107" i="14"/>
  <c r="G107" i="14" s="1"/>
  <c r="B107" i="14"/>
  <c r="F107" i="14" s="1"/>
  <c r="D107" i="14"/>
  <c r="E107" i="14" s="1"/>
  <c r="B22" i="14"/>
  <c r="F22" i="14" s="1"/>
  <c r="D22" i="14"/>
  <c r="E22" i="14" s="1"/>
  <c r="C22" i="14"/>
  <c r="G22" i="14" s="1"/>
  <c r="BR122" i="1"/>
  <c r="D86" i="14"/>
  <c r="E86" i="14" s="1"/>
  <c r="B86" i="14"/>
  <c r="F86" i="14" s="1"/>
  <c r="C86" i="14"/>
  <c r="G86" i="14" s="1"/>
  <c r="B95" i="14"/>
  <c r="F95" i="14" s="1"/>
  <c r="C95" i="14"/>
  <c r="G95" i="14" s="1"/>
  <c r="D95" i="14"/>
  <c r="E95" i="14" s="1"/>
  <c r="B13" i="9"/>
  <c r="F13" i="9"/>
  <c r="C43" i="14"/>
  <c r="G43" i="14" s="1"/>
  <c r="L2" i="9" s="1"/>
  <c r="N2" i="9" s="1"/>
  <c r="B43" i="14"/>
  <c r="F43" i="14" s="1"/>
  <c r="D43" i="14"/>
  <c r="E43" i="14" s="1"/>
  <c r="C117" i="14"/>
  <c r="G117" i="14" s="1"/>
  <c r="H117" i="14" s="1"/>
  <c r="B78" i="14"/>
  <c r="F78" i="14" s="1"/>
  <c r="D78" i="14"/>
  <c r="E78" i="14" s="1"/>
  <c r="C78" i="14"/>
  <c r="G78" i="14" s="1"/>
  <c r="C112" i="14"/>
  <c r="G112" i="14" s="1"/>
  <c r="B112" i="14"/>
  <c r="F112" i="14" s="1"/>
  <c r="D112" i="14"/>
  <c r="E112" i="14" s="1"/>
  <c r="F39" i="9"/>
  <c r="B39" i="9"/>
  <c r="C33" i="14"/>
  <c r="G33" i="14" s="1"/>
  <c r="B33" i="14"/>
  <c r="F33" i="14" s="1"/>
  <c r="D33" i="14"/>
  <c r="E33" i="14" s="1"/>
  <c r="F2" i="9"/>
  <c r="B2" i="9"/>
  <c r="BR244" i="1"/>
  <c r="C87" i="14"/>
  <c r="G87" i="14" s="1"/>
  <c r="D87" i="14"/>
  <c r="E87" i="14" s="1"/>
  <c r="B87" i="14"/>
  <c r="F87" i="14" s="1"/>
  <c r="B92" i="14"/>
  <c r="F92" i="14" s="1"/>
  <c r="C92" i="14"/>
  <c r="G92" i="14" s="1"/>
  <c r="D92" i="14"/>
  <c r="E92" i="14" s="1"/>
  <c r="D28" i="14"/>
  <c r="E28" i="14" s="1"/>
  <c r="B28" i="14"/>
  <c r="F28" i="14" s="1"/>
  <c r="C28" i="14"/>
  <c r="G28" i="14" s="1"/>
  <c r="Q4" i="9" s="1"/>
  <c r="T4" i="9" s="1"/>
  <c r="U4" i="9" s="1"/>
  <c r="B106" i="14"/>
  <c r="F106" i="14" s="1"/>
  <c r="C106" i="14"/>
  <c r="G106" i="14" s="1"/>
  <c r="D106" i="14"/>
  <c r="E106" i="14" s="1"/>
  <c r="C105" i="14"/>
  <c r="G105" i="14" s="1"/>
  <c r="B105" i="14"/>
  <c r="F105" i="14" s="1"/>
  <c r="D105" i="14"/>
  <c r="E105" i="14" s="1"/>
  <c r="C54" i="14"/>
  <c r="G54" i="14" s="1"/>
  <c r="B54" i="14"/>
  <c r="F54" i="14" s="1"/>
  <c r="D54" i="14"/>
  <c r="E54" i="14" s="1"/>
  <c r="H403" i="1" l="1"/>
  <c r="BW403" i="1"/>
  <c r="BW412" i="1"/>
  <c r="H412" i="1"/>
  <c r="BW407" i="1"/>
  <c r="I15" i="14"/>
  <c r="J15" i="14" s="1"/>
  <c r="H292" i="1"/>
  <c r="I69" i="14"/>
  <c r="J69" i="14" s="1"/>
  <c r="H296" i="1"/>
  <c r="H140" i="1"/>
  <c r="H230" i="1"/>
  <c r="BW378" i="1"/>
  <c r="H283" i="1"/>
  <c r="BW315" i="1"/>
  <c r="H315" i="1"/>
  <c r="H353" i="1"/>
  <c r="BW150" i="1"/>
  <c r="H113" i="1"/>
  <c r="BW113" i="1"/>
  <c r="BW146" i="1"/>
  <c r="BW155" i="1"/>
  <c r="H49" i="14"/>
  <c r="I49" i="14" s="1"/>
  <c r="J49" i="14" s="1"/>
  <c r="BW157" i="1"/>
  <c r="J189" i="5"/>
  <c r="J186" i="5"/>
  <c r="N96" i="5"/>
  <c r="N197" i="5"/>
  <c r="BR2" i="1"/>
  <c r="H2" i="1" s="1"/>
  <c r="H244" i="1"/>
  <c r="BW244" i="1"/>
  <c r="H200" i="1"/>
  <c r="BW200" i="1"/>
  <c r="H234" i="1"/>
  <c r="BW234" i="1"/>
  <c r="BW250" i="1"/>
  <c r="H250" i="1"/>
  <c r="H216" i="1"/>
  <c r="BW216" i="1"/>
  <c r="H337" i="1"/>
  <c r="BW337" i="1"/>
  <c r="H195" i="1"/>
  <c r="BW195" i="1"/>
  <c r="H78" i="1"/>
  <c r="BW78" i="1"/>
  <c r="H89" i="1"/>
  <c r="BW89" i="1"/>
  <c r="H190" i="1"/>
  <c r="BW190" i="1"/>
  <c r="BW291" i="1"/>
  <c r="H291" i="1"/>
  <c r="BR91" i="1"/>
  <c r="BR188" i="1"/>
  <c r="BW245" i="1"/>
  <c r="H245" i="1"/>
  <c r="H192" i="1"/>
  <c r="BW192" i="1"/>
  <c r="H97" i="1"/>
  <c r="BW97" i="1"/>
  <c r="H231" i="1"/>
  <c r="BW231" i="1"/>
  <c r="BW81" i="1"/>
  <c r="H81" i="1"/>
  <c r="H266" i="1"/>
  <c r="BW266" i="1"/>
  <c r="H252" i="1"/>
  <c r="BW252" i="1"/>
  <c r="BW25" i="1"/>
  <c r="H25" i="1"/>
  <c r="BW102" i="1"/>
  <c r="H102" i="1"/>
  <c r="BW249" i="1"/>
  <c r="H249" i="1"/>
  <c r="BW226" i="1"/>
  <c r="H226" i="1"/>
  <c r="H268" i="1"/>
  <c r="BW268" i="1"/>
  <c r="BW98" i="1"/>
  <c r="H98" i="1"/>
  <c r="BW256" i="1"/>
  <c r="H256" i="1"/>
  <c r="BW228" i="1"/>
  <c r="H228" i="1"/>
  <c r="H339" i="1"/>
  <c r="BW339" i="1"/>
  <c r="H374" i="1"/>
  <c r="BW374" i="1"/>
  <c r="H84" i="1"/>
  <c r="BW84" i="1"/>
  <c r="H184" i="1"/>
  <c r="BW184" i="1"/>
  <c r="BW122" i="1"/>
  <c r="H122" i="1"/>
  <c r="BW232" i="1"/>
  <c r="H232" i="1"/>
  <c r="BW288" i="1"/>
  <c r="H288" i="1"/>
  <c r="BW34" i="1"/>
  <c r="H34" i="1"/>
  <c r="H218" i="1"/>
  <c r="BW218" i="1"/>
  <c r="H206" i="1"/>
  <c r="BW206" i="1"/>
  <c r="H313" i="1"/>
  <c r="BW313" i="1"/>
  <c r="H191" i="1"/>
  <c r="BW191" i="1"/>
  <c r="BW67" i="1"/>
  <c r="H67" i="1"/>
  <c r="H261" i="1"/>
  <c r="BW261" i="1"/>
  <c r="H221" i="1"/>
  <c r="BW221" i="1"/>
  <c r="BW343" i="1"/>
  <c r="H343" i="1"/>
  <c r="BW262" i="1"/>
  <c r="H262" i="1"/>
  <c r="BW316" i="1"/>
  <c r="H316" i="1"/>
  <c r="H352" i="1"/>
  <c r="BW352" i="1"/>
  <c r="BW233" i="1"/>
  <c r="H233" i="1"/>
  <c r="H101" i="1"/>
  <c r="BW101" i="1"/>
  <c r="BW239" i="1"/>
  <c r="H239" i="1"/>
  <c r="H227" i="1"/>
  <c r="BW227" i="1"/>
  <c r="H174" i="1"/>
  <c r="BW174" i="1"/>
  <c r="BW334" i="1"/>
  <c r="H334" i="1"/>
  <c r="H96" i="1"/>
  <c r="BW96" i="1"/>
  <c r="H88" i="1"/>
  <c r="BW88" i="1"/>
  <c r="BW92" i="1"/>
  <c r="H92" i="1"/>
  <c r="H345" i="1"/>
  <c r="BW345" i="1"/>
  <c r="BW375" i="1"/>
  <c r="H375" i="1"/>
  <c r="H189" i="1"/>
  <c r="BW189" i="1"/>
  <c r="H62" i="1"/>
  <c r="BW62" i="1"/>
  <c r="H197" i="1"/>
  <c r="BW197" i="1"/>
  <c r="BW198" i="1"/>
  <c r="H198" i="1"/>
  <c r="H219" i="1"/>
  <c r="BW219" i="1"/>
  <c r="H241" i="1"/>
  <c r="BW241" i="1"/>
  <c r="BW236" i="1"/>
  <c r="H236" i="1"/>
  <c r="H287" i="1"/>
  <c r="BW287" i="1"/>
  <c r="BW183" i="1"/>
  <c r="H183" i="1"/>
  <c r="BW193" i="1"/>
  <c r="H193" i="1"/>
  <c r="H187" i="1"/>
  <c r="BW187" i="1"/>
  <c r="H94" i="1"/>
  <c r="BW94" i="1"/>
  <c r="BW182" i="1"/>
  <c r="H182" i="1"/>
  <c r="H340" i="1"/>
  <c r="BW340" i="1"/>
  <c r="H365" i="1"/>
  <c r="BW365" i="1"/>
  <c r="H71" i="1"/>
  <c r="BW71" i="1"/>
  <c r="BW74" i="1"/>
  <c r="H74" i="1"/>
  <c r="H297" i="1"/>
  <c r="BW297" i="1"/>
  <c r="BW240" i="1"/>
  <c r="H240" i="1"/>
  <c r="H217" i="1"/>
  <c r="BW217" i="1"/>
  <c r="BW276" i="1"/>
  <c r="H276" i="1"/>
  <c r="BW344" i="1"/>
  <c r="H344" i="1"/>
  <c r="H28" i="1"/>
  <c r="BW28" i="1"/>
  <c r="BW331" i="1"/>
  <c r="H331" i="1"/>
  <c r="H72" i="1"/>
  <c r="BW72" i="1"/>
  <c r="H87" i="1"/>
  <c r="BW87" i="1"/>
  <c r="H255" i="1"/>
  <c r="BW255" i="1"/>
  <c r="H225" i="1"/>
  <c r="BW225" i="1"/>
  <c r="BW289" i="1"/>
  <c r="H289" i="1"/>
  <c r="H310" i="1"/>
  <c r="BW310" i="1"/>
  <c r="BW257" i="1"/>
  <c r="H257" i="1"/>
  <c r="BW373" i="1"/>
  <c r="H373" i="1"/>
  <c r="H85" i="1"/>
  <c r="BW85" i="1"/>
  <c r="H194" i="1"/>
  <c r="BW194" i="1"/>
  <c r="H186" i="1"/>
  <c r="BW186" i="1"/>
  <c r="H196" i="1"/>
  <c r="BW196" i="1"/>
  <c r="L3" i="9"/>
  <c r="N3" i="9" s="1"/>
  <c r="I23" i="14"/>
  <c r="J23" i="14" s="1"/>
  <c r="I117" i="14"/>
  <c r="J117" i="14" s="1"/>
  <c r="H99" i="14"/>
  <c r="I99" i="14" s="1"/>
  <c r="J99" i="14" s="1"/>
  <c r="H114" i="14"/>
  <c r="I114" i="14" s="1"/>
  <c r="J114" i="14" s="1"/>
  <c r="H39" i="14"/>
  <c r="I39" i="14" s="1"/>
  <c r="J39" i="14" s="1"/>
  <c r="I51" i="14"/>
  <c r="J51" i="14" s="1"/>
  <c r="I38" i="14"/>
  <c r="J38" i="14" s="1"/>
  <c r="H27" i="14"/>
  <c r="I27" i="14" s="1"/>
  <c r="J27" i="14" s="1"/>
  <c r="H5" i="14"/>
  <c r="I5" i="14" s="1"/>
  <c r="J5" i="14" s="1"/>
  <c r="H77" i="14"/>
  <c r="I77" i="14" s="1"/>
  <c r="J77" i="14" s="1"/>
  <c r="H26" i="14"/>
  <c r="I26" i="14" s="1"/>
  <c r="J26" i="14" s="1"/>
  <c r="H59" i="14"/>
  <c r="I59" i="14" s="1"/>
  <c r="J59" i="14" s="1"/>
  <c r="H56" i="14"/>
  <c r="I56" i="14" s="1"/>
  <c r="J56" i="14" s="1"/>
  <c r="H72" i="14"/>
  <c r="I72" i="14" s="1"/>
  <c r="J72" i="14" s="1"/>
  <c r="H8" i="14"/>
  <c r="I8" i="14" s="1"/>
  <c r="J8" i="14" s="1"/>
  <c r="H9" i="14"/>
  <c r="I9" i="14" s="1"/>
  <c r="J9" i="14" s="1"/>
  <c r="H95" i="14"/>
  <c r="I95" i="14" s="1"/>
  <c r="J95" i="14" s="1"/>
  <c r="H33" i="14"/>
  <c r="I33" i="14" s="1"/>
  <c r="J33" i="14" s="1"/>
  <c r="H107" i="14"/>
  <c r="I107" i="14" s="1"/>
  <c r="J107" i="14" s="1"/>
  <c r="H79" i="14"/>
  <c r="I79" i="14" s="1"/>
  <c r="J79" i="14" s="1"/>
  <c r="H62" i="14"/>
  <c r="I62" i="14" s="1"/>
  <c r="J62" i="14" s="1"/>
  <c r="H73" i="14"/>
  <c r="I73" i="14" s="1"/>
  <c r="J73" i="14" s="1"/>
  <c r="H12" i="14"/>
  <c r="I12" i="14" s="1"/>
  <c r="J12" i="14" s="1"/>
  <c r="H108" i="14"/>
  <c r="I108" i="14" s="1"/>
  <c r="J108" i="14" s="1"/>
  <c r="H16" i="14"/>
  <c r="I16" i="14" s="1"/>
  <c r="J16" i="14" s="1"/>
  <c r="H46" i="14"/>
  <c r="I46" i="14" s="1"/>
  <c r="J46" i="14" s="1"/>
  <c r="H4" i="14"/>
  <c r="I4" i="14" s="1"/>
  <c r="J4" i="14" s="1"/>
  <c r="H109" i="14"/>
  <c r="I109" i="14" s="1"/>
  <c r="J109" i="14" s="1"/>
  <c r="H21" i="14"/>
  <c r="I21" i="14" s="1"/>
  <c r="J21" i="14" s="1"/>
  <c r="H6" i="14"/>
  <c r="I6" i="14" s="1"/>
  <c r="J6" i="14" s="1"/>
  <c r="H57" i="14"/>
  <c r="I57" i="14" s="1"/>
  <c r="J57" i="14" s="1"/>
  <c r="H37" i="14"/>
  <c r="I37" i="14" s="1"/>
  <c r="J37" i="14" s="1"/>
  <c r="H106" i="14"/>
  <c r="I106" i="14" s="1"/>
  <c r="J106" i="14" s="1"/>
  <c r="H100" i="14"/>
  <c r="I100" i="14" s="1"/>
  <c r="J100" i="14" s="1"/>
  <c r="H64" i="14"/>
  <c r="I64" i="14" s="1"/>
  <c r="J64" i="14" s="1"/>
  <c r="H31" i="14"/>
  <c r="I31" i="14" s="1"/>
  <c r="J31" i="14" s="1"/>
  <c r="Q10" i="9"/>
  <c r="T10" i="9" s="1"/>
  <c r="U10" i="9" s="1"/>
  <c r="H74" i="14"/>
  <c r="I74" i="14" s="1"/>
  <c r="J74" i="14" s="1"/>
  <c r="H32" i="14"/>
  <c r="I32" i="14" s="1"/>
  <c r="J32" i="14" s="1"/>
  <c r="H52" i="14"/>
  <c r="I52" i="14" s="1"/>
  <c r="J52" i="14" s="1"/>
  <c r="H22" i="14"/>
  <c r="I22" i="14" s="1"/>
  <c r="J22" i="14" s="1"/>
  <c r="H7" i="14"/>
  <c r="I7" i="14" s="1"/>
  <c r="J7" i="14" s="1"/>
  <c r="H93" i="14"/>
  <c r="I93" i="14" s="1"/>
  <c r="J93" i="14" s="1"/>
  <c r="H40" i="14"/>
  <c r="I40" i="14" s="1"/>
  <c r="J40" i="14" s="1"/>
  <c r="H66" i="14"/>
  <c r="I66" i="14" s="1"/>
  <c r="J66" i="14" s="1"/>
  <c r="H103" i="14"/>
  <c r="I103" i="14" s="1"/>
  <c r="J103" i="14" s="1"/>
  <c r="H71" i="14"/>
  <c r="I71" i="14" s="1"/>
  <c r="J71" i="14" s="1"/>
  <c r="H18" i="14"/>
  <c r="I18" i="14" s="1"/>
  <c r="J18" i="14" s="1"/>
  <c r="H68" i="14"/>
  <c r="I68" i="14" s="1"/>
  <c r="J68" i="14" s="1"/>
  <c r="H58" i="14"/>
  <c r="I58" i="14" s="1"/>
  <c r="J58" i="14" s="1"/>
  <c r="H35" i="14"/>
  <c r="I35" i="14" s="1"/>
  <c r="J35" i="14" s="1"/>
  <c r="H17" i="14"/>
  <c r="I17" i="14" s="1"/>
  <c r="J17" i="14" s="1"/>
  <c r="H48" i="14"/>
  <c r="I48" i="14" s="1"/>
  <c r="J48" i="14" s="1"/>
  <c r="H29" i="14"/>
  <c r="I29" i="14" s="1"/>
  <c r="J29" i="14" s="1"/>
  <c r="H55" i="14"/>
  <c r="I55" i="14" s="1"/>
  <c r="J55" i="14" s="1"/>
  <c r="H3" i="14"/>
  <c r="I3" i="14" s="1"/>
  <c r="J3" i="14" s="1"/>
  <c r="H81" i="14"/>
  <c r="I81" i="14" s="1"/>
  <c r="J81" i="14" s="1"/>
  <c r="H67" i="14"/>
  <c r="I67" i="14" s="1"/>
  <c r="J67" i="14" s="1"/>
  <c r="H83" i="14"/>
  <c r="I83" i="14" s="1"/>
  <c r="J83" i="14" s="1"/>
  <c r="H113" i="14"/>
  <c r="I113" i="14" s="1"/>
  <c r="J113" i="14" s="1"/>
  <c r="H102" i="14"/>
  <c r="I102" i="14" s="1"/>
  <c r="J102" i="14" s="1"/>
  <c r="H20" i="14"/>
  <c r="I20" i="14" s="1"/>
  <c r="J20" i="14" s="1"/>
  <c r="L8" i="9"/>
  <c r="N8" i="9" s="1"/>
  <c r="H60" i="14"/>
  <c r="I60" i="14" s="1"/>
  <c r="J60" i="14" s="1"/>
  <c r="H98" i="14"/>
  <c r="I98" i="14" s="1"/>
  <c r="J98" i="14" s="1"/>
  <c r="L5" i="9"/>
  <c r="N5" i="9" s="1"/>
  <c r="L9" i="9"/>
  <c r="N9" i="9" s="1"/>
  <c r="Q8" i="9"/>
  <c r="T8" i="9" s="1"/>
  <c r="U8" i="9" s="1"/>
  <c r="H47" i="14"/>
  <c r="I47" i="14" s="1"/>
  <c r="J47" i="14" s="1"/>
  <c r="H90" i="14"/>
  <c r="I90" i="14" s="1"/>
  <c r="J90" i="14" s="1"/>
  <c r="H11" i="14"/>
  <c r="I11" i="14" s="1"/>
  <c r="J11" i="14" s="1"/>
  <c r="H97" i="14"/>
  <c r="I97" i="14" s="1"/>
  <c r="J97" i="14" s="1"/>
  <c r="H24" i="14"/>
  <c r="I24" i="14" s="1"/>
  <c r="J24" i="14" s="1"/>
  <c r="T2" i="5"/>
  <c r="V2" i="5"/>
  <c r="U2" i="5"/>
  <c r="H94" i="14"/>
  <c r="I94" i="14" s="1"/>
  <c r="J94" i="14" s="1"/>
  <c r="H34" i="14"/>
  <c r="I34" i="14" s="1"/>
  <c r="J34" i="14" s="1"/>
  <c r="H45" i="14"/>
  <c r="I45" i="14" s="1"/>
  <c r="J45" i="14" s="1"/>
  <c r="Q7" i="9"/>
  <c r="T7" i="9" s="1"/>
  <c r="U7" i="9" s="1"/>
  <c r="H13" i="14"/>
  <c r="I13" i="14" s="1"/>
  <c r="J13" i="14" s="1"/>
  <c r="H80" i="14"/>
  <c r="I80" i="14" s="1"/>
  <c r="J80" i="14" s="1"/>
  <c r="H111" i="14"/>
  <c r="I111" i="14" s="1"/>
  <c r="J111" i="14" s="1"/>
  <c r="H82" i="14"/>
  <c r="I82" i="14" s="1"/>
  <c r="J82" i="14" s="1"/>
  <c r="H112" i="14"/>
  <c r="I112" i="14" s="1"/>
  <c r="J112" i="14" s="1"/>
  <c r="H54" i="14"/>
  <c r="I54" i="14" s="1"/>
  <c r="J54" i="14" s="1"/>
  <c r="H105" i="14"/>
  <c r="I105" i="14" s="1"/>
  <c r="J105" i="14" s="1"/>
  <c r="H43" i="14"/>
  <c r="I43" i="14" s="1"/>
  <c r="J43" i="14" s="1"/>
  <c r="H118" i="14"/>
  <c r="I118" i="14" s="1"/>
  <c r="J118" i="14" s="1"/>
  <c r="H116" i="14"/>
  <c r="I116" i="14" s="1"/>
  <c r="J116" i="14" s="1"/>
  <c r="H53" i="14"/>
  <c r="I53" i="14" s="1"/>
  <c r="J53" i="14" s="1"/>
  <c r="H104" i="14"/>
  <c r="I104" i="14" s="1"/>
  <c r="J104" i="14" s="1"/>
  <c r="H63" i="14"/>
  <c r="I63" i="14" s="1"/>
  <c r="J63" i="14" s="1"/>
  <c r="H19" i="14"/>
  <c r="I19" i="14" s="1"/>
  <c r="J19" i="14" s="1"/>
  <c r="H88" i="14"/>
  <c r="I88" i="14" s="1"/>
  <c r="J88" i="14" s="1"/>
  <c r="H50" i="14"/>
  <c r="I50" i="14" s="1"/>
  <c r="J50" i="14" s="1"/>
  <c r="H87" i="14"/>
  <c r="I87" i="14" s="1"/>
  <c r="J87" i="14" s="1"/>
  <c r="H96" i="14"/>
  <c r="I96" i="14" s="1"/>
  <c r="J96" i="14" s="1"/>
  <c r="H42" i="14"/>
  <c r="I42" i="14" s="1"/>
  <c r="J42" i="14" s="1"/>
  <c r="H110" i="14"/>
  <c r="I110" i="14" s="1"/>
  <c r="J110" i="14" s="1"/>
  <c r="H76" i="14"/>
  <c r="I76" i="14" s="1"/>
  <c r="J76" i="14" s="1"/>
  <c r="H84" i="14"/>
  <c r="I84" i="14" s="1"/>
  <c r="J84" i="14" s="1"/>
  <c r="H44" i="14"/>
  <c r="I44" i="14" s="1"/>
  <c r="J44" i="14" s="1"/>
  <c r="H85" i="14"/>
  <c r="I85" i="14" s="1"/>
  <c r="J85" i="14" s="1"/>
  <c r="Q9" i="9"/>
  <c r="T9" i="9" s="1"/>
  <c r="U9" i="9" s="1"/>
  <c r="L4" i="9"/>
  <c r="N4" i="9" s="1"/>
  <c r="P2" i="5"/>
  <c r="R2" i="5"/>
  <c r="Q2" i="5"/>
  <c r="H14" i="14"/>
  <c r="I14" i="14" s="1"/>
  <c r="J14" i="14" s="1"/>
  <c r="H92" i="14"/>
  <c r="I92" i="14" s="1"/>
  <c r="J92" i="14" s="1"/>
  <c r="H86" i="14"/>
  <c r="I86" i="14" s="1"/>
  <c r="J86" i="14" s="1"/>
  <c r="H75" i="14"/>
  <c r="I75" i="14" s="1"/>
  <c r="J75" i="14" s="1"/>
  <c r="H89" i="14"/>
  <c r="I89" i="14" s="1"/>
  <c r="J89" i="14" s="1"/>
  <c r="H61" i="14"/>
  <c r="I61" i="14" s="1"/>
  <c r="J61" i="14" s="1"/>
  <c r="H65" i="14"/>
  <c r="I65" i="14" s="1"/>
  <c r="J65" i="14" s="1"/>
  <c r="H36" i="14"/>
  <c r="I36" i="14" s="1"/>
  <c r="J36" i="14" s="1"/>
  <c r="H101" i="14"/>
  <c r="I101" i="14" s="1"/>
  <c r="J101" i="14" s="1"/>
  <c r="H28" i="14"/>
  <c r="I28" i="14" s="1"/>
  <c r="J28" i="14" s="1"/>
  <c r="H78" i="14"/>
  <c r="I78" i="14" s="1"/>
  <c r="J78" i="14" s="1"/>
  <c r="H25" i="14"/>
  <c r="I25" i="14" s="1"/>
  <c r="J25" i="14" s="1"/>
  <c r="H70" i="14"/>
  <c r="I70" i="14" s="1"/>
  <c r="J70" i="14" s="1"/>
  <c r="H91" i="14"/>
  <c r="I91" i="14" s="1"/>
  <c r="J91" i="14" s="1"/>
  <c r="H115" i="14"/>
  <c r="I115" i="14" s="1"/>
  <c r="J115" i="14" s="1"/>
  <c r="H10" i="14"/>
  <c r="I10" i="14" s="1"/>
  <c r="J10" i="14" s="1"/>
  <c r="H2" i="14"/>
  <c r="I2" i="14" s="1"/>
  <c r="J2" i="14" s="1"/>
  <c r="H30" i="14"/>
  <c r="I30" i="14" s="1"/>
  <c r="J30" i="14" s="1"/>
  <c r="H41" i="14"/>
  <c r="I41" i="14" s="1"/>
  <c r="J41" i="14" s="1"/>
  <c r="H91" i="1" l="1"/>
  <c r="BW91" i="1"/>
  <c r="BW188" i="1"/>
  <c r="H188" i="1"/>
  <c r="BW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143E5596-AB74-4D41-957F-8A6217E8D94B}">
      <text>
        <r>
          <rPr>
            <b/>
            <sz val="9"/>
            <color indexed="81"/>
            <rFont val="Tahoma"/>
            <family val="2"/>
            <charset val="204"/>
          </rPr>
          <t>2 = always high price (as in very trainable animals), 1 = average price as minimal possible (as in intermediate trainable animals), 0 = no minimal price</t>
        </r>
      </text>
    </comment>
    <comment ref="U1" authorId="0" shapeId="0" xr:uid="{55B843A6-F55C-4559-B481-2FF99751A4E3}">
      <text>
        <r>
          <rPr>
            <b/>
            <sz val="9"/>
            <color indexed="81"/>
            <rFont val="Tahoma"/>
            <family val="2"/>
            <charset val="204"/>
          </rPr>
          <t>1 - with bite
2 - with ramming
3 - with strike</t>
        </r>
      </text>
    </comment>
    <comment ref="AM1" authorId="0" shapeId="0" xr:uid="{BA18201F-2B9C-498D-AD66-B322EDE7B59B}">
      <text>
        <r>
          <rPr>
            <b/>
            <sz val="9"/>
            <color indexed="81"/>
            <rFont val="Tahoma"/>
            <family val="2"/>
            <charset val="204"/>
          </rPr>
          <t>1 = Carnivora, 2 = Primates, 0 = No (manual input)</t>
        </r>
      </text>
    </comment>
    <comment ref="BF1" authorId="0" shapeId="0" xr:uid="{85290215-234A-44BE-9FB9-3598BE59A2F3}">
      <text>
        <r>
          <rPr>
            <b/>
            <sz val="9"/>
            <color indexed="81"/>
            <rFont val="Tahoma"/>
            <family val="2"/>
            <charset val="204"/>
          </rPr>
          <t>0 - sharp teeth
1 - sharp beak or blunt teeth
2 - blunt beak</t>
        </r>
      </text>
    </comment>
    <comment ref="H2" authorId="0" shapeId="0" xr:uid="{B890C109-DC27-495D-8236-0CBDD9C200CC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2" authorId="0" shapeId="0" xr:uid="{5B46CB4E-716B-41CB-B3ED-EF81C0D02E42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2" authorId="0" shapeId="0" xr:uid="{D850EB4C-5E30-4BF2-875E-408401E9E2EC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2" authorId="0" shapeId="0" xr:uid="{E202EA52-009B-4F47-A348-0C3999E5F98C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3" authorId="0" shapeId="0" xr:uid="{D7F2FEDD-E0B3-4028-B933-930DF86BD878}">
      <text>
        <r>
          <rPr>
            <b/>
            <sz val="9"/>
            <color indexed="81"/>
            <rFont val="Tahoma"/>
            <family val="2"/>
            <charset val="204"/>
          </rPr>
          <t>https://www.clausiuspress.com/assets/default/article/2025/03/13/article_1741838515.pdf</t>
        </r>
      </text>
    </comment>
    <comment ref="I3" authorId="0" shapeId="0" xr:uid="{229E25CD-A8FA-4AD1-B379-23D284821BF3}">
      <text>
        <r>
          <rPr>
            <b/>
            <sz val="9"/>
            <color indexed="81"/>
            <rFont val="Tahoma"/>
            <family val="2"/>
            <charset val="204"/>
          </rPr>
          <t>https://www.clausiuspress.com/assets/default/article/2025/03/13/article_1741838515.pdf</t>
        </r>
      </text>
    </comment>
    <comment ref="J3" authorId="0" shapeId="0" xr:uid="{4B49684B-BA94-432D-94F9-B210F6D35CD2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H4" authorId="0" shapeId="0" xr:uid="{4FC6BF8F-E2CF-4CBD-8FE8-64AE25C2703D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4" authorId="0" shapeId="0" xr:uid="{1F501F4B-5F28-42C7-ABE5-69D42BC5023B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4" authorId="0" shapeId="0" xr:uid="{D887A5C4-681B-4C26-A644-89EE96A23732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4" authorId="0" shapeId="0" xr:uid="{0196FCA4-963F-400F-9A8C-AEAEAC2A242C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5" authorId="0" shapeId="0" xr:uid="{E1F84C22-A760-4B98-9BAA-FC3A89DE4236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5" authorId="0" shapeId="0" xr:uid="{23CA8B1E-2A0F-4048-9620-58D639674B44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5" authorId="0" shapeId="0" xr:uid="{47A1F660-0B0F-47FE-A02A-90E244886554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5" authorId="0" shapeId="0" xr:uid="{0F319FD2-4719-4778-802E-6CF043161C8E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6" authorId="0" shapeId="0" xr:uid="{E415AAC6-9C45-42C3-883B-4980A295209F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I6" authorId="0" shapeId="0" xr:uid="{6DC2BDE9-4C51-4F55-BF39-AF2CE1DFC156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J6" authorId="0" shapeId="0" xr:uid="{EF73A374-2FF5-4A97-8AF5-71C0A9FF160D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7" authorId="0" shapeId="0" xr:uid="{F912420C-5CF1-4593-A288-B5A186E2E4BC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I7" authorId="0" shapeId="0" xr:uid="{694EE173-EA6E-4741-BA02-08337E3CD0CB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J7" authorId="0" shapeId="0" xr:uid="{2F9BF747-7C9A-48CE-90B0-21CC71754FB1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8" authorId="0" shapeId="0" xr:uid="{490F8496-B6ED-48C3-BA11-5B65F95D2DD9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I8" authorId="0" shapeId="0" xr:uid="{30FD9737-D297-46C9-B2AA-BF5E5D39965D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J8" authorId="0" shapeId="0" xr:uid="{C023346C-359D-44DC-877B-5AD0386FCEE9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9" authorId="0" shapeId="0" xr:uid="{8F0C93AE-E42A-4E31-B19E-9F4B23CE205B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I9" authorId="0" shapeId="0" xr:uid="{7D73FC5F-B11A-4FAC-ACEB-1F15E63C24E7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J9" authorId="0" shapeId="0" xr:uid="{2A892369-F558-4B77-B9FA-FD73F6EC87A4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0" authorId="0" shapeId="0" xr:uid="{257983C0-0CA6-48E6-8777-505505944ADB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I10" authorId="0" shapeId="0" xr:uid="{0242B611-D4FD-4012-A1C9-71DEB3D8E82F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J10" authorId="0" shapeId="0" xr:uid="{A3DCE1FF-FF9E-4BA5-88EE-028C1CA9A3D6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1" authorId="0" shapeId="0" xr:uid="{96AB9A78-6B4D-493B-8C1E-CCF17476945D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I11" authorId="0" shapeId="0" xr:uid="{73348F37-B42C-40DE-BE46-DD3C79312A9E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J11" authorId="0" shapeId="0" xr:uid="{970F1206-E95B-4967-9C94-97BE1CD2061B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2" authorId="0" shapeId="0" xr:uid="{6DAC8EB9-B9A7-4A7B-BB0F-229541C836AE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I12" authorId="0" shapeId="0" xr:uid="{747F2CA3-1452-46C5-A771-D9F7F7E4D0BC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J12" authorId="0" shapeId="0" xr:uid="{3ACA566F-0893-4170-ABB4-7AF09E2C3CFC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3" authorId="0" shapeId="0" xr:uid="{BEA3385A-F5C5-4E5A-8290-270D4AC86D8E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I13" authorId="0" shapeId="0" xr:uid="{BCAE82BA-1D1E-4EF0-882A-6BB6A1795E12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J13" authorId="0" shapeId="0" xr:uid="{EA9528E2-0A94-4C57-A5E3-08F9B25D5230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4" authorId="0" shapeId="0" xr:uid="{37276859-C861-4F0F-A06C-A7B3D98290A5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4" authorId="0" shapeId="0" xr:uid="{4A6EFB08-5480-4D8F-8E3E-41C297EF83A1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4" authorId="0" shapeId="0" xr:uid="{3FA389FB-B6C5-435F-83A2-2E6D0C613CF2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14" authorId="0" shapeId="0" xr:uid="{13AB8442-30E7-4938-908C-E942016424C2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15" authorId="0" shapeId="0" xr:uid="{EA04B2D0-0947-46DF-B707-E127877D0A5F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5" authorId="0" shapeId="0" xr:uid="{C6860C9E-59F4-4916-A56A-5CFBBA24A73C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5" authorId="0" shapeId="0" xr:uid="{AA442784-30B1-4002-B3DD-3787520CFB5E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15" authorId="0" shapeId="0" xr:uid="{41ACD014-602D-4E58-8A16-AC9B3AD0DD62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16" authorId="0" shapeId="0" xr:uid="{D79A80F7-5CC8-49A1-8870-084C43146BB4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16" authorId="0" shapeId="0" xr:uid="{455512E1-F046-4CBF-8DA5-85D6BCF31A3F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16" authorId="0" shapeId="0" xr:uid="{76FBD9B2-D577-47A6-8343-F49F3D36AA2A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16" authorId="0" shapeId="0" xr:uid="{3EED5F0B-8F54-495F-8792-1BC86D4F58D6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17" authorId="0" shapeId="0" xr:uid="{C2AE0534-F4EE-4025-8967-90E6D0445331}">
      <text>
        <r>
          <rPr>
            <b/>
            <sz val="9"/>
            <color indexed="81"/>
            <rFont val="Tahoma"/>
            <family val="2"/>
            <charset val="204"/>
          </rPr>
          <t>Chen et al. (2014) https://doi.org/10.1016/j.msec.2013.11.024</t>
        </r>
      </text>
    </comment>
    <comment ref="I17" authorId="0" shapeId="0" xr:uid="{598FF299-9B67-4947-8B76-828D629C9771}">
      <text>
        <r>
          <rPr>
            <b/>
            <sz val="9"/>
            <color indexed="81"/>
            <rFont val="Tahoma"/>
            <family val="2"/>
            <charset val="204"/>
          </rPr>
          <t>Chen et al. (2014) https://doi.org/10.1016/j.msec.2013.11.024</t>
        </r>
      </text>
    </comment>
    <comment ref="J17" authorId="0" shapeId="0" xr:uid="{91EFA61C-CC95-42E6-A506-402BC182C944}">
      <text>
        <r>
          <rPr>
            <b/>
            <sz val="9"/>
            <color indexed="81"/>
            <rFont val="Tahoma"/>
            <family val="2"/>
            <charset val="204"/>
          </rPr>
          <t>Rodriguez-Palomo et al. (2025) https://doi.org/10.1002/adfm.202526169?urlappend=%3Futm_source%3Dresearchgate.net%26utm_medium%3Darticle</t>
        </r>
      </text>
    </comment>
    <comment ref="K17" authorId="0" shapeId="0" xr:uid="{7B616749-484F-4D63-BF96-A32FEB267B10}">
      <text>
        <r>
          <rPr>
            <b/>
            <sz val="9"/>
            <color indexed="81"/>
            <rFont val="Tahoma"/>
            <family val="2"/>
            <charset val="204"/>
          </rPr>
          <t>https://doi.org/10.1002/1097-0010(200002)80:3%3C390::AID-JSFA540%3E3.0.CO;2-G</t>
        </r>
      </text>
    </comment>
    <comment ref="H18" authorId="0" shapeId="0" xr:uid="{4B0CAC55-87DE-41F3-8DC7-254705EFCA96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8" authorId="0" shapeId="0" xr:uid="{35702B15-0274-4339-BB48-AA450F578B66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8" authorId="0" shapeId="0" xr:uid="{3DBF5523-F8EE-45CB-80C3-DD3F98887D74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18" authorId="0" shapeId="0" xr:uid="{A4D89042-C905-4871-868C-4FA7322F8A53}">
      <text>
        <r>
          <rPr>
            <b/>
            <sz val="9"/>
            <color indexed="81"/>
            <rFont val="Tahoma"/>
            <family val="2"/>
            <charset val="204"/>
          </rPr>
          <t>https://doi.org/10.1111/j.1095-8312.1989.tb00489.x</t>
        </r>
      </text>
    </comment>
    <comment ref="H19" authorId="0" shapeId="0" xr:uid="{06B3B05F-069D-464A-972A-FD0B6E52E0A5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9" authorId="0" shapeId="0" xr:uid="{1DA06119-2A21-48AD-B0DD-3A395544CD23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9" authorId="0" shapeId="0" xr:uid="{F670D16F-0EFA-40C4-A5FE-1D898CB8968A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19" authorId="0" shapeId="0" xr:uid="{B710DB8F-43B4-4B9C-97ED-C612C332F599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20" authorId="0" shapeId="0" xr:uid="{2E00F18D-33BA-4AEA-8C52-41572EB62AAE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20" authorId="0" shapeId="0" xr:uid="{E8C95AA5-AB19-4E4E-86A6-7817088E8850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20" authorId="0" shapeId="0" xr:uid="{B9F9D495-228A-4C57-8DD1-42CBF19D1382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20" authorId="0" shapeId="0" xr:uid="{C1A80098-1DDB-483C-B714-F0ADDE0D67F4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21" authorId="0" shapeId="0" xr:uid="{8A3423D5-A1F0-4F24-9A94-B7AE50DB4FC2}">
      <text>
        <r>
          <rPr>
            <b/>
            <sz val="9"/>
            <color indexed="81"/>
            <rFont val="Tahoma"/>
            <family val="2"/>
            <charset val="204"/>
          </rPr>
          <t>Greven et al. (1995) https://doi.org/10.1002/jmor.1052240103</t>
        </r>
      </text>
    </comment>
    <comment ref="I21" authorId="0" shapeId="0" xr:uid="{B4B456ED-583E-44E4-BF70-107B462DC4BE}">
      <text>
        <r>
          <rPr>
            <b/>
            <sz val="9"/>
            <color indexed="81"/>
            <rFont val="Tahoma"/>
            <family val="2"/>
            <charset val="204"/>
          </rPr>
          <t>Greven et al. (1995) https://doi.org/10.1002/jmor.1052240103</t>
        </r>
      </text>
    </comment>
    <comment ref="J21" authorId="0" shapeId="0" xr:uid="{88C9BD0E-B73D-4FCF-AFCE-A40E2DCEB2B8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22" authorId="0" shapeId="0" xr:uid="{578A179E-4CB9-4E27-9149-A5DD8218B28E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22" authorId="0" shapeId="0" xr:uid="{D8D5D36C-B517-4109-B806-E7202B4E9210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22" authorId="0" shapeId="0" xr:uid="{91062A94-53F5-4EA3-8C03-4ACB494712CA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23" authorId="0" shapeId="0" xr:uid="{66A746CB-A316-414A-8F9F-EA0848E95ACC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23" authorId="0" shapeId="0" xr:uid="{1F8028F4-42BF-4ED1-93D6-E63085F98BAE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23" authorId="0" shapeId="0" xr:uid="{845D6558-3071-4405-A5F2-B3E4B71F48D9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24" authorId="0" shapeId="0" xr:uid="{D64C8B5B-83CD-4E71-815C-BA53CCD6A0DA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24" authorId="0" shapeId="0" xr:uid="{5F06C5DB-254F-4F93-A360-E174D8275ED7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24" authorId="0" shapeId="0" xr:uid="{5E7632EB-90E2-4925-8522-CFAAD1BC10C7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25" authorId="0" shapeId="0" xr:uid="{126063F6-82E0-4942-8693-02918DF1623B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25" authorId="0" shapeId="0" xr:uid="{3FE2C9A9-ABA6-4AF0-A860-FD361BE0D16A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25" authorId="0" shapeId="0" xr:uid="{72FC9FFD-743A-487B-8B28-24A41CCBF956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26" authorId="0" shapeId="0" xr:uid="{43064BB7-99F3-4CF6-AF70-E1A6B68009C1}">
      <text>
        <r>
          <rPr>
            <b/>
            <sz val="9"/>
            <color indexed="81"/>
            <rFont val="Tahoma"/>
            <family val="2"/>
            <charset val="204"/>
          </rPr>
          <t>Bauer et al. (1992) https://doi.org/10.1080/02541858.1993.11448317</t>
        </r>
      </text>
    </comment>
    <comment ref="I26" authorId="0" shapeId="0" xr:uid="{E294E72F-DAD5-4874-A69F-ABC9D8269F70}">
      <text>
        <r>
          <rPr>
            <b/>
            <sz val="9"/>
            <color indexed="81"/>
            <rFont val="Tahoma"/>
            <family val="2"/>
            <charset val="204"/>
          </rPr>
          <t>Bauer et al. (1992) https://doi.org/10.1080/02541858.1993.11448317</t>
        </r>
      </text>
    </comment>
    <comment ref="J26" authorId="0" shapeId="0" xr:uid="{C8C62A9B-B088-4F8C-B750-1DD60985D91E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27" authorId="0" shapeId="0" xr:uid="{477605CC-2245-4A3F-A48B-E4D885B0615F}">
      <text>
        <r>
          <rPr>
            <b/>
            <sz val="9"/>
            <color indexed="81"/>
            <rFont val="Tahoma"/>
            <family val="2"/>
            <charset val="204"/>
          </rPr>
          <t>Bauer et al. (1992) https://doi.org/10.1080/02541858.1993.11448317</t>
        </r>
      </text>
    </comment>
    <comment ref="I27" authorId="0" shapeId="0" xr:uid="{361A3F29-BDA1-43DC-A1EE-BC6218761A78}">
      <text>
        <r>
          <rPr>
            <b/>
            <sz val="9"/>
            <color indexed="81"/>
            <rFont val="Tahoma"/>
            <family val="2"/>
            <charset val="204"/>
          </rPr>
          <t>Bauer et al. (1992) https://doi.org/10.1080/02541858.1993.11448317</t>
        </r>
      </text>
    </comment>
    <comment ref="J27" authorId="0" shapeId="0" xr:uid="{8249C007-155B-4DC0-B5FB-DD813CB42D7D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28" authorId="0" shapeId="0" xr:uid="{B5C3FFFC-AEF1-45E4-962D-0509C79C7148}">
      <text>
        <r>
          <rPr>
            <b/>
            <sz val="9"/>
            <color indexed="81"/>
            <rFont val="Tahoma"/>
            <family val="2"/>
            <charset val="204"/>
          </rPr>
          <t>Bauer et al. (1992) https://doi.org/10.1080/02541858.1993.11448317</t>
        </r>
      </text>
    </comment>
    <comment ref="I28" authorId="0" shapeId="0" xr:uid="{A84796D9-04BF-4DFA-BB4F-E6F38A55D57A}">
      <text>
        <r>
          <rPr>
            <b/>
            <sz val="9"/>
            <color indexed="81"/>
            <rFont val="Tahoma"/>
            <family val="2"/>
            <charset val="204"/>
          </rPr>
          <t>Bauer et al. (1992) https://doi.org/10.1080/02541858.1993.11448317</t>
        </r>
      </text>
    </comment>
    <comment ref="J28" authorId="0" shapeId="0" xr:uid="{97191D54-1C0A-4E54-95B7-8CD7894C74B3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29" authorId="0" shapeId="0" xr:uid="{DBFB8459-EE6F-4B24-8BF4-1123C54E8FC6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29" authorId="0" shapeId="0" xr:uid="{EEE1C654-7C4A-4A2B-9926-B7A62B8CEFA2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29" authorId="0" shapeId="0" xr:uid="{0ED3336C-A7A7-4807-815D-010A8914BA35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30" authorId="0" shapeId="0" xr:uid="{2DF2C8AF-060A-4867-8CC3-A740F4572404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30" authorId="0" shapeId="0" xr:uid="{F50C79B0-205E-4F5A-8991-E49093673CB3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30" authorId="0" shapeId="0" xr:uid="{B3E3FC6A-34B6-45AF-B305-57CBE22BA71F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31" authorId="0" shapeId="0" xr:uid="{0291F300-1DFD-40E3-9B55-2F6AE2B45693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31" authorId="0" shapeId="0" xr:uid="{F6105E04-C906-43A1-917B-C1F43FD92DB3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31" authorId="0" shapeId="0" xr:uid="{2AE61BF8-1052-49F3-9AEB-FC6C23BD7DA2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32" authorId="0" shapeId="0" xr:uid="{5D0B1022-756F-443E-8157-8EBBC67B0F71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32" authorId="0" shapeId="0" xr:uid="{AA63E4AF-A20F-4B89-8AE6-25BEB06154DA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32" authorId="0" shapeId="0" xr:uid="{A611D13E-FB1C-4B03-A204-0E2F9640CB34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33" authorId="0" shapeId="0" xr:uid="{5256ACA4-F66B-43AE-A550-C7080F7F70CB}">
      <text>
        <r>
          <rPr>
            <b/>
            <sz val="9"/>
            <color indexed="81"/>
            <rFont val="Tahoma"/>
            <family val="2"/>
            <charset val="204"/>
          </rPr>
          <t>Wang et al. (2016) https://doi.org/10.1016/j.actbio.2016.05.028</t>
        </r>
      </text>
    </comment>
    <comment ref="I33" authorId="0" shapeId="0" xr:uid="{C722E1E4-9E3F-4A18-9B2F-7BB0E49DF4AB}">
      <text>
        <r>
          <rPr>
            <b/>
            <sz val="9"/>
            <color indexed="81"/>
            <rFont val="Tahoma"/>
            <family val="2"/>
            <charset val="204"/>
          </rPr>
          <t>Wang et al. (2016) https://doi.org/10.1016/j.actbio.2016.05.028</t>
        </r>
      </text>
    </comment>
    <comment ref="J33" authorId="0" shapeId="0" xr:uid="{32CE6007-A7CB-41B0-9AA3-67E7C10616D3}">
      <text>
        <r>
          <rPr>
            <b/>
            <sz val="9"/>
            <color indexed="81"/>
            <rFont val="Tahoma"/>
            <family val="2"/>
            <charset val="204"/>
          </rPr>
          <t>Alheit (2022) https://doi.org/10.13140/RG.2.2.10216.55042</t>
        </r>
      </text>
    </comment>
    <comment ref="K33" authorId="0" shapeId="0" xr:uid="{9BB1A9A1-4465-4DB0-A6F3-C896F63D5630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34" authorId="0" shapeId="0" xr:uid="{F6EFA057-D090-49E9-8BBB-258A82A64833}">
      <text>
        <r>
          <rPr>
            <b/>
            <sz val="9"/>
            <color indexed="81"/>
            <rFont val="Tahoma"/>
            <family val="2"/>
            <charset val="204"/>
          </rPr>
          <t>Assimed to be strong as a spider silk https://pmc.ncbi.nlm.nih.gov/articles/PMC8346794</t>
        </r>
      </text>
    </comment>
    <comment ref="I34" authorId="0" shapeId="0" xr:uid="{F6E4468A-D19B-4480-B135-171D4490F4F9}">
      <text>
        <r>
          <rPr>
            <b/>
            <sz val="9"/>
            <color indexed="81"/>
            <rFont val="Tahoma"/>
            <family val="2"/>
            <charset val="204"/>
          </rPr>
          <t>Assimed to be strong as a spider silk https://pmc.ncbi.nlm.nih.gov/articles/PMC8346794</t>
        </r>
      </text>
    </comment>
    <comment ref="J34" authorId="0" shapeId="0" xr:uid="{5B6CEE26-CA33-4FBC-A622-A52BF64959A7}">
      <text>
        <r>
          <rPr>
            <b/>
            <sz val="9"/>
            <color indexed="81"/>
            <rFont val="Tahoma"/>
            <family val="2"/>
            <charset val="204"/>
          </rPr>
          <t>https://textileengineering.net/spider-silk-types-properties-production-applications/</t>
        </r>
      </text>
    </comment>
    <comment ref="H35" authorId="0" shapeId="0" xr:uid="{7BB33831-ED0A-4110-82AE-F3076FBDDEE9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35" authorId="0" shapeId="0" xr:uid="{18F6AB83-2D6B-41F5-8E3E-C444A120AD67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35" authorId="0" shapeId="0" xr:uid="{D4B07114-3349-4308-9208-C6398E36694F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35" authorId="0" shapeId="0" xr:uid="{8990B688-29EB-4E66-95FC-53B6CAE9A915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36" authorId="0" shapeId="0" xr:uid="{12A7320C-9189-468A-8B70-0AE63055A4D1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36" authorId="0" shapeId="0" xr:uid="{875618D5-C788-4BD5-AFD4-F2903CDB8BA7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36" authorId="0" shapeId="0" xr:uid="{F88A4CEA-D512-4537-A7E1-B12F0956F791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36" authorId="0" shapeId="0" xr:uid="{BF65CD05-C422-4E55-B2F3-F49EB147BE47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37" authorId="0" shapeId="0" xr:uid="{664C4E19-9D15-40BE-B808-F14DA7A9FC7A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37" authorId="0" shapeId="0" xr:uid="{DA150DDE-06DE-4686-801C-88ECCF129D06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37" authorId="0" shapeId="0" xr:uid="{73CBB27A-D0EC-4921-9F73-C908D0807AF9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37" authorId="0" shapeId="0" xr:uid="{7B9268A9-2165-4CB9-8839-66CCDEE73244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38" authorId="0" shapeId="0" xr:uid="{7CFBCFE5-8489-460A-BC73-DA7A2BE50524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38" authorId="0" shapeId="0" xr:uid="{BA284EFF-5CC0-49D7-A71B-14110C5807C9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38" authorId="0" shapeId="0" xr:uid="{BC9C17CC-E619-46BC-B847-C82830635530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38" authorId="0" shapeId="0" xr:uid="{34610B95-7BEE-4890-BE3A-EC376896BCCB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39" authorId="0" shapeId="0" xr:uid="{3A2684DD-B727-4EC9-AFD3-36360D189B3E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39" authorId="0" shapeId="0" xr:uid="{5F6D626A-FF93-4001-882F-A2DA1787187B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39" authorId="0" shapeId="0" xr:uid="{6CB413CA-7FB3-4385-9843-3C44CD6915EE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40" authorId="0" shapeId="0" xr:uid="{C669FED6-BDAB-482D-97A1-AC59804231A6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40" authorId="0" shapeId="0" xr:uid="{07435881-9833-4BAC-9EE9-0E87A909AE1B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40" authorId="0" shapeId="0" xr:uid="{7E612382-2DBD-4F15-BED4-A801A515E406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41" authorId="0" shapeId="0" xr:uid="{98A03FA4-76A6-4CC8-AF94-3ECE2C6F882D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41" authorId="0" shapeId="0" xr:uid="{A8F63515-DC99-4C75-AE75-2901C08E1C28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41" authorId="0" shapeId="0" xr:uid="{1ADF3014-6475-47D4-BD83-7E730F4DD443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41" authorId="0" shapeId="0" xr:uid="{086908EB-D925-4C8A-82BA-36B01817633D}">
      <text>
        <r>
          <rPr>
            <b/>
            <sz val="9"/>
            <color indexed="81"/>
            <rFont val="Tahoma"/>
            <family val="2"/>
            <charset val="204"/>
          </rPr>
          <t>https://doi.org/10.1113/expphysiol.1964.sp001695</t>
        </r>
      </text>
    </comment>
    <comment ref="H42" authorId="0" shapeId="0" xr:uid="{4E166573-EDFE-46E4-82BE-D6D5BB755499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42" authorId="0" shapeId="0" xr:uid="{8A04505E-96EB-491C-B5A9-DE30A8F6F914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42" authorId="0" shapeId="0" xr:uid="{D466378E-838F-44D4-9EBE-3DBA9FA0FC41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42" authorId="0" shapeId="0" xr:uid="{AEB77306-E6D0-4E40-B4E9-DA16D1D22BCB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43" authorId="0" shapeId="0" xr:uid="{3B5DCD97-680B-47C9-B488-6AB27499C1C9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43" authorId="0" shapeId="0" xr:uid="{16CBE941-98CF-46A2-A46A-EED33B13F258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43" authorId="0" shapeId="0" xr:uid="{6A893BD4-397A-4E35-929B-987AEFCC9A35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43" authorId="0" shapeId="0" xr:uid="{0C69D73F-FC8C-4D63-9DD0-6CBC8CC0A81E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44" authorId="0" shapeId="0" xr:uid="{902CD4BF-94BB-4147-B42F-64A50C5B9D62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44" authorId="0" shapeId="0" xr:uid="{37C7A1A4-4311-4FC0-8524-75B79755D3ED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44" authorId="0" shapeId="0" xr:uid="{7004403C-F367-442D-85B6-8CF171F21B77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45" authorId="0" shapeId="0" xr:uid="{511454C4-0DB0-4611-B103-78633CD8D8EF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45" authorId="0" shapeId="0" xr:uid="{DFC02037-5A2A-4B3D-ADBF-45C5D7B271E3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45" authorId="0" shapeId="0" xr:uid="{50B5CF14-884E-41D5-A36A-078B6B5251C4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46" authorId="0" shapeId="0" xr:uid="{13694B25-37A4-4E89-982F-0E245A59B74B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46" authorId="0" shapeId="0" xr:uid="{0651341C-7A07-4A3C-B953-75C0B5765721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46" authorId="0" shapeId="0" xr:uid="{15E3D6D8-B1A7-49E6-9D41-A84A38A96F62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47" authorId="0" shapeId="0" xr:uid="{7C591131-A3C0-458B-9A8B-3BE038FEE101}">
      <text>
        <r>
          <rPr>
            <b/>
            <sz val="9"/>
            <color indexed="81"/>
            <rFont val="Tahoma"/>
            <family val="2"/>
            <charset val="204"/>
          </rPr>
          <t>Shadwick et al. (1992) http://www.jstor.org/stable/57137</t>
        </r>
      </text>
    </comment>
    <comment ref="I47" authorId="0" shapeId="0" xr:uid="{BBE2DCAB-D457-433D-84EB-75943BA21BFC}">
      <text>
        <r>
          <rPr>
            <b/>
            <sz val="9"/>
            <color indexed="81"/>
            <rFont val="Tahoma"/>
            <family val="2"/>
            <charset val="204"/>
          </rPr>
          <t>Shadwick et al. (1992) http://www.jstor.org/stable/57137</t>
        </r>
      </text>
    </comment>
    <comment ref="J47" authorId="0" shapeId="0" xr:uid="{64A4D6E0-24A6-41EB-85E2-F909CD54330D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48" authorId="0" shapeId="0" xr:uid="{CE348EDF-474C-43C8-99B7-57A1D808D377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48" authorId="0" shapeId="0" xr:uid="{5B39FFF1-11A0-43DB-8A57-3FC5CB4BD73C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48" authorId="0" shapeId="0" xr:uid="{802007C6-7E9C-4BF8-98F8-028A91C8766F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49" authorId="0" shapeId="0" xr:uid="{A152E190-AE6F-4AB5-9F84-69D9E3E19349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49" authorId="0" shapeId="0" xr:uid="{14454E5E-12EE-4351-B075-5BBFA1B2E386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49" authorId="0" shapeId="0" xr:uid="{13DFC100-29DA-40BE-8B34-423DE7D1B072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50" authorId="0" shapeId="0" xr:uid="{80837C37-EC57-405C-A994-A50F35DBACEF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50" authorId="0" shapeId="0" xr:uid="{6DD2E652-77E0-4482-8357-45427FA401A2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50" authorId="0" shapeId="0" xr:uid="{8A11E7A9-D7F1-4F70-8387-CC8C947A9556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51" authorId="0" shapeId="0" xr:uid="{A9905682-458D-45FF-95DD-DDA00CC46E39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51" authorId="0" shapeId="0" xr:uid="{BC600AAA-0812-439D-A4FA-AAE85AC33ECE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51" authorId="0" shapeId="0" xr:uid="{8259F5A7-ABA4-40C8-82C9-BD8BA7C31FDE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52" authorId="0" shapeId="0" xr:uid="{0B07C7B8-540C-4F19-8B13-68CAEC9D79CC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52" authorId="0" shapeId="0" xr:uid="{28F53DA1-611B-4CA3-9BE9-0F8415861FC1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52" authorId="0" shapeId="0" xr:uid="{ECFCCF6C-F65C-46E4-98E9-96E3373C137B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53" authorId="0" shapeId="0" xr:uid="{B6447CB8-2B80-4785-8C98-9F35276E38F0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53" authorId="0" shapeId="0" xr:uid="{B93BF55F-9C90-48AA-AECD-D0C9C712EE29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53" authorId="0" shapeId="0" xr:uid="{26B24086-53CE-4EBD-80D6-D39F4AB733B2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54" authorId="0" shapeId="0" xr:uid="{BCFEB809-25C8-4FB6-8742-7D03F1F3A1FF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54" authorId="0" shapeId="0" xr:uid="{4CF06D75-00E5-4BF1-B57D-4B108C092C79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54" authorId="0" shapeId="0" xr:uid="{620FE320-66EB-40B5-8F3D-10B0CE19DD66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55" authorId="0" shapeId="0" xr:uid="{E51B6790-2B3C-4F59-A356-0C856F00EA8A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55" authorId="0" shapeId="0" xr:uid="{0F1BC56A-045F-41BD-9AFC-99E249E45736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55" authorId="0" shapeId="0" xr:uid="{EE23A889-61D3-4597-8309-5B3993903939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56" authorId="0" shapeId="0" xr:uid="{7EF14363-45CA-4B95-87E4-6FFDA44CEA0E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56" authorId="0" shapeId="0" xr:uid="{343D996D-01B0-4F36-871E-A1AE5E60A3CA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56" authorId="0" shapeId="0" xr:uid="{CA4FA8D3-DD3E-4A3E-A0B5-44688B23F890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57" authorId="0" shapeId="0" xr:uid="{857D2D75-2BD6-4DB0-A579-C9414DBE383A}">
      <text>
        <r>
          <rPr>
            <b/>
            <sz val="9"/>
            <color indexed="81"/>
            <rFont val="Tahoma"/>
            <family val="2"/>
            <charset val="204"/>
          </rPr>
          <t>Chen et al. (2014) https://doi.org/10.1016/j.msec.2013.11.024</t>
        </r>
      </text>
    </comment>
    <comment ref="I57" authorId="0" shapeId="0" xr:uid="{BA2C0461-B237-4CFB-823D-7F55A95B6E6B}">
      <text>
        <r>
          <rPr>
            <b/>
            <sz val="9"/>
            <color indexed="81"/>
            <rFont val="Tahoma"/>
            <family val="2"/>
            <charset val="204"/>
          </rPr>
          <t>Chen et al. (2014) https://doi.org/10.1016/j.msec.2013.11.024</t>
        </r>
      </text>
    </comment>
    <comment ref="J57" authorId="0" shapeId="0" xr:uid="{3A83D3A4-5179-4E38-8557-A7761536D881}">
      <text>
        <r>
          <rPr>
            <b/>
            <sz val="9"/>
            <color indexed="81"/>
            <rFont val="Tahoma"/>
            <family val="2"/>
            <charset val="204"/>
          </rPr>
          <t>Rodriguez-Palomo et al. (2025) https://doi.org/10.1002/adfm.202526169?urlappend=%3Futm_source%3Dresearchgate.net%26utm_medium%3Darticle</t>
        </r>
      </text>
    </comment>
    <comment ref="H58" authorId="0" shapeId="0" xr:uid="{E10463C7-59CB-4DD4-B5B2-3FACB1EBB8C3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58" authorId="0" shapeId="0" xr:uid="{C83A1F53-E01C-4048-99E4-A20A256E2F03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58" authorId="0" shapeId="0" xr:uid="{C3D079C3-53A3-4614-A5B6-A78E28A5410C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58" authorId="0" shapeId="0" xr:uid="{E3B90C36-FEEC-462A-8296-7BCA44F2C425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59" authorId="0" shapeId="0" xr:uid="{A2B4F09B-D9F9-4F9E-A00D-BBE5C72C4A23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59" authorId="0" shapeId="0" xr:uid="{72BDA7F9-558D-4D8D-B2A9-D07247EBB522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59" authorId="0" shapeId="0" xr:uid="{687B4AA9-3EC2-4988-A41D-9530119EA274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60" authorId="0" shapeId="0" xr:uid="{68960A50-BA29-4E92-98D0-BB8BF003E99D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60" authorId="0" shapeId="0" xr:uid="{1D674016-7476-46C8-8F72-32115F8E52EF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60" authorId="0" shapeId="0" xr:uid="{2C35E329-FCFE-4949-85E4-40EBED390E25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61" authorId="0" shapeId="0" xr:uid="{C4DE8E30-2406-4C3A-B43C-4FBBACC68BE6}">
      <text>
        <r>
          <rPr>
            <b/>
            <sz val="9"/>
            <color indexed="81"/>
            <rFont val="Tahoma"/>
            <family val="2"/>
            <charset val="204"/>
          </rPr>
          <t>Assimed to be strong as a spider silk https://pmc.ncbi.nlm.nih.gov/articles/PMC8346794</t>
        </r>
      </text>
    </comment>
    <comment ref="I61" authorId="0" shapeId="0" xr:uid="{594A106C-664C-44EC-AB31-4BDE662D83A4}">
      <text>
        <r>
          <rPr>
            <b/>
            <sz val="9"/>
            <color indexed="81"/>
            <rFont val="Tahoma"/>
            <family val="2"/>
            <charset val="204"/>
          </rPr>
          <t>Assimed to be strong as a spider silk https://pmc.ncbi.nlm.nih.gov/articles/PMC8346794</t>
        </r>
      </text>
    </comment>
    <comment ref="J61" authorId="0" shapeId="0" xr:uid="{298628E5-07A7-44FC-9003-C1ED9AEAEE1B}">
      <text>
        <r>
          <rPr>
            <b/>
            <sz val="9"/>
            <color indexed="81"/>
            <rFont val="Tahoma"/>
            <family val="2"/>
            <charset val="204"/>
          </rPr>
          <t>https://textileengineering.net/spider-silk-types-properties-production-applications/</t>
        </r>
      </text>
    </comment>
    <comment ref="H62" authorId="0" shapeId="0" xr:uid="{8D7501EC-A008-4851-B041-C76EA051CAEE}">
      <text>
        <r>
          <rPr>
            <b/>
            <sz val="9"/>
            <color indexed="81"/>
            <rFont val="Tahoma"/>
            <family val="2"/>
            <charset val="204"/>
          </rPr>
          <t>Xu &amp; Zhang (1995) https://doi.org/10.1016/0010-4361(95)93675-A</t>
        </r>
      </text>
    </comment>
    <comment ref="I62" authorId="0" shapeId="0" xr:uid="{444EE269-F105-4449-899D-550BDE3F8175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Zhang et al. (2012) https://pdfs.semanticscholar.org/f80e/fe1af2dab9c9935f84661ce7ae493d4b744d.pdf</t>
        </r>
      </text>
    </comment>
    <comment ref="J62" authorId="0" shapeId="0" xr:uid="{6A8F492A-62DD-43A6-B3DB-B921A0E6C572}">
      <text>
        <r>
          <rPr>
            <b/>
            <sz val="9"/>
            <color indexed="81"/>
            <rFont val="Tahoma"/>
            <family val="2"/>
            <charset val="204"/>
          </rPr>
          <t>Zhang et al. (2012) https://pdfs.semanticscholar.org/f80e/fe1af2dab9c9935f84661ce7ae493d4b744d.pdf</t>
        </r>
      </text>
    </comment>
    <comment ref="K62" authorId="0" shapeId="0" xr:uid="{599E9279-2502-4C27-859F-408A4030CC00}">
      <text>
        <r>
          <rPr>
            <b/>
            <sz val="9"/>
            <color indexed="81"/>
            <rFont val="Tahoma"/>
            <family val="2"/>
            <charset val="204"/>
          </rPr>
          <t>Zhang et al. (2012) https://pdfs.semanticscholar.org/f80e/fe1af2dab9c9935f84661ce7ae493d4b744d.pdf</t>
        </r>
      </text>
    </comment>
    <comment ref="H63" authorId="0" shapeId="0" xr:uid="{EA8F803B-6D92-4688-B23B-7F06709BEC31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63" authorId="0" shapeId="0" xr:uid="{D93330CD-3C8E-4728-A2F1-0D6214CD49E8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63" authorId="0" shapeId="0" xr:uid="{D03473E6-9DA8-4A8B-8168-F8184769EA8A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63" authorId="0" shapeId="0" xr:uid="{81551D02-0614-43D3-AC77-DB7B996E67BB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64" authorId="0" shapeId="0" xr:uid="{D845D894-D47F-4FDE-B155-0E0455EAFA20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64" authorId="0" shapeId="0" xr:uid="{70A639DE-3ECC-4F72-AF44-A1C63F9F4BE3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64" authorId="0" shapeId="0" xr:uid="{106D1BB9-6853-41CB-ADBA-188C8D09650F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64" authorId="0" shapeId="0" xr:uid="{86092DDD-B584-48FA-851C-03B979442274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71" authorId="0" shapeId="0" xr:uid="{8F53261A-B9C9-4E71-8C7C-E0571C89BF43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71" authorId="0" shapeId="0" xr:uid="{0EFAFE1A-519D-4DD1-A585-FFE96ED5625A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71" authorId="0" shapeId="0" xr:uid="{51CB5972-D374-4E8A-A993-CFEB1BDBD1CE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71" authorId="0" shapeId="0" xr:uid="{FDF47229-06FB-43EA-AEA2-974CBDFD9E2A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72" authorId="0" shapeId="0" xr:uid="{EA7373E7-0B53-45A7-9548-FFBAAC644089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72" authorId="0" shapeId="0" xr:uid="{BF7ECF63-EF20-4F20-AACB-FA9768A253F5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72" authorId="0" shapeId="0" xr:uid="{19F174A5-1041-4151-B487-4BB75E5E82A7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72" authorId="0" shapeId="0" xr:uid="{F53F12E8-B836-4081-A3F4-B904ED654F89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M72" authorId="0" shapeId="0" xr:uid="{2831AF31-50AC-43BF-95E9-125D0D64BEDE}">
      <text>
        <r>
          <rPr>
            <b/>
            <sz val="9"/>
            <color indexed="81"/>
            <rFont val="Tahoma"/>
            <family val="2"/>
            <charset val="204"/>
          </rPr>
          <t>Not as strong as typical Arthropods for balance</t>
        </r>
      </text>
    </comment>
    <comment ref="H73" authorId="0" shapeId="0" xr:uid="{D6D833D6-8C6B-41CE-B623-92812AD95BEA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I73" authorId="0" shapeId="0" xr:uid="{7EC6321C-3419-44F8-91E6-FFD14C8A1541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J73" authorId="0" shapeId="0" xr:uid="{54F8A44E-4540-4952-8D20-8F1A86A7F292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K73" authorId="0" shapeId="0" xr:uid="{F60E1332-01B8-458B-9BE0-D50FBA5A2F94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74" authorId="0" shapeId="0" xr:uid="{01A9C140-6671-4E4A-B2D0-2785312A62D0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74" authorId="0" shapeId="0" xr:uid="{AE78A90E-2911-418D-8BEF-7C41D594F9C4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74" authorId="0" shapeId="0" xr:uid="{6052F380-8C30-4796-9260-336CCA382177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74" authorId="0" shapeId="0" xr:uid="{1C53C781-8BE1-4D71-B9CB-F623CC06A503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75" authorId="0" shapeId="0" xr:uid="{081CCF57-7F1A-44D6-AAD4-590D808BE9E3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I75" authorId="0" shapeId="0" xr:uid="{E1FB5262-3D71-40B5-B896-B4BAB0D5F109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J75" authorId="0" shapeId="0" xr:uid="{073AD5F2-0850-4988-91C9-97F7E74030E7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K75" authorId="0" shapeId="0" xr:uid="{816FE348-E666-4523-8865-38212E3B3807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76" authorId="0" shapeId="0" xr:uid="{DB6A1D72-149A-4561-8A53-7187E695315C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76" authorId="0" shapeId="0" xr:uid="{2D1C96BF-33E2-48E2-8786-D3F737AE4E22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76" authorId="0" shapeId="0" xr:uid="{CDD62653-BA23-4B0F-8BAA-4FF6B8C958BE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76" authorId="0" shapeId="0" xr:uid="{810725A5-CBC7-412A-B94C-46E13246A1B9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77" authorId="0" shapeId="0" xr:uid="{9B7C69BB-3470-4A28-8731-80E9C2A1E78A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77" authorId="0" shapeId="0" xr:uid="{1516E00B-3C3F-43D1-9D37-6A33ABCC0815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77" authorId="0" shapeId="0" xr:uid="{4CF7811D-F2CB-4AF9-9157-1D88EE6FAEAD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77" authorId="0" shapeId="0" xr:uid="{F9978AB9-70CA-4ED4-B2DE-D98D805A6613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78" authorId="0" shapeId="0" xr:uid="{FBF0E28C-102D-4085-A32A-6AA2E3E86D50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78" authorId="0" shapeId="0" xr:uid="{72F21019-93AF-43D7-9EE4-24817D75D4AC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78" authorId="0" shapeId="0" xr:uid="{4C5E7CE5-FA46-49E3-B2FB-83F0DF5F72A4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78" authorId="0" shapeId="0" xr:uid="{BA1B2046-87CD-465E-89B6-3E9B1C79EC3D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79" authorId="0" shapeId="0" xr:uid="{33120504-D2D6-4967-85E5-B0E9DE496C52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I79" authorId="0" shapeId="0" xr:uid="{FC6C129C-3671-4733-BD09-A712F70CD40D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J79" authorId="0" shapeId="0" xr:uid="{76BD8706-8633-44B5-8304-2677DC36C65C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K79" authorId="0" shapeId="0" xr:uid="{2D17DABC-6221-4F97-8CCC-E4C3BFD24BF0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80" authorId="0" shapeId="0" xr:uid="{C1158690-73C1-4D91-A218-CE29BF83AF71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I80" authorId="0" shapeId="0" xr:uid="{45F9300A-A4C2-49A1-B32C-9ECC376CA18A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J80" authorId="0" shapeId="0" xr:uid="{16C9F78B-5463-4EAD-B744-75A47B086A9A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K80" authorId="0" shapeId="0" xr:uid="{1C9EEF4F-680E-44EA-A457-46FD2DE8E6E3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81" authorId="0" shapeId="0" xr:uid="{C023256A-32E6-457C-A121-F7A5AE328999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I81" authorId="0" shapeId="0" xr:uid="{1B4AA6C4-802F-4218-A5CB-0CC12A49110E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J81" authorId="0" shapeId="0" xr:uid="{58D08D6B-4A61-4491-A67B-61198E2B7A5C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K81" authorId="0" shapeId="0" xr:uid="{B3B16FB3-2475-4271-BE9E-78FA6564D49E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82" authorId="0" shapeId="0" xr:uid="{DC209CAE-A9AA-4512-8039-1DF564A1CB31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82" authorId="0" shapeId="0" xr:uid="{420FDF58-BD4F-42E0-A57D-0F3059E20922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82" authorId="0" shapeId="0" xr:uid="{9E353DDA-5966-43C4-B665-1D920D25C4B5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82" authorId="0" shapeId="0" xr:uid="{97DD1E88-99E2-4F13-9FE9-CDB527962560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83" authorId="0" shapeId="0" xr:uid="{3877C088-635F-4C0D-8A0C-C4B4C3694AEC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I83" authorId="0" shapeId="0" xr:uid="{2AF4E433-752D-4517-B8E4-3CBA6CF5D896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J83" authorId="0" shapeId="0" xr:uid="{F731C9AF-465E-429B-92D1-49E83B382966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K83" authorId="0" shapeId="0" xr:uid="{19AEC7D3-75C6-4556-B21B-0C95727EBB10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84" authorId="0" shapeId="0" xr:uid="{AC9BE18F-8824-431A-AAFC-526C3531DB5A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84" authorId="0" shapeId="0" xr:uid="{2D24B965-D60C-4155-9AB7-344F8D9BD3C1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84" authorId="0" shapeId="0" xr:uid="{EC628287-206A-497C-9437-9C218549CDEF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84" authorId="0" shapeId="0" xr:uid="{688C22A0-2E89-46F0-AE31-549167872B00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85" authorId="0" shapeId="0" xr:uid="{9AFCE816-A3C2-4D0A-87B4-8B04E0412F41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I85" authorId="0" shapeId="0" xr:uid="{52D4A994-19C8-4A09-BA97-81C0A0E53821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J85" authorId="0" shapeId="0" xr:uid="{8FA00FED-5DCC-47E6-8F96-C64D70DA6810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K85" authorId="0" shapeId="0" xr:uid="{B472D79A-C476-4AFB-9AA3-571289304552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86" authorId="0" shapeId="0" xr:uid="{2E47AD16-5992-490C-AC29-40AB069B701A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86" authorId="0" shapeId="0" xr:uid="{24470695-C7CC-43A5-987E-A775D6679994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86" authorId="0" shapeId="0" xr:uid="{5D0682AB-21D7-4DB0-977F-DC1670FFB4E7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87" authorId="0" shapeId="0" xr:uid="{A9CF8294-AAC1-4506-99E9-F0E8C4FB5403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87" authorId="0" shapeId="0" xr:uid="{7B0BD585-5204-40D8-AB02-E3414BC4C599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87" authorId="0" shapeId="0" xr:uid="{7F1AF98C-D172-4BA3-B509-5A292C41C276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88" authorId="0" shapeId="0" xr:uid="{AF4726DA-B910-4B1C-AE98-A79CC93DC30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I88" authorId="0" shapeId="0" xr:uid="{785669AD-E319-49C6-8130-5E5AFA3C37A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J88" authorId="0" shapeId="0" xr:uid="{75B86BA2-E7E3-463A-AC4A-B4A7F6D119C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H89" authorId="0" shapeId="0" xr:uid="{71535678-F4E3-4F76-9E96-C34AA94ADA0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I89" authorId="0" shapeId="0" xr:uid="{E3A76E12-5B9A-4671-B6F2-B8EA12AEB19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J89" authorId="0" shapeId="0" xr:uid="{6596AF98-6AE0-470A-AF3A-20B9F7D0308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H90" authorId="0" shapeId="0" xr:uid="{58868D16-457D-451C-9E04-5797F6EC4EB4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90" authorId="0" shapeId="0" xr:uid="{C73328D1-7ADD-4280-9228-1163BE5E42F7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90" authorId="0" shapeId="0" xr:uid="{7449922C-2D38-4529-AAB9-8E5612CEA5A2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91" authorId="0" shapeId="0" xr:uid="{49B0C849-109A-4684-BCE4-E7EB66A2DD91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91" authorId="0" shapeId="0" xr:uid="{F2F95DD9-9C17-442C-A30D-1F430DB218E9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91" authorId="0" shapeId="0" xr:uid="{6F3E460F-9F59-475E-95CC-A649C7626C4C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92" authorId="0" shapeId="0" xr:uid="{29DED5F4-208F-4689-9326-83E665DACAF7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92" authorId="0" shapeId="0" xr:uid="{ADECEE7A-7635-47E6-8486-FBDAE0165137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92" authorId="0" shapeId="0" xr:uid="{A26F27FB-7297-46E5-8AED-4EB0676B7A11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93" authorId="0" shapeId="0" xr:uid="{A7E8E74D-E87E-429C-BA2F-2C13279A3351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93" authorId="0" shapeId="0" xr:uid="{30314E78-4914-4E1D-9B23-6B576E182D22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93" authorId="0" shapeId="0" xr:uid="{5ABCD39E-CF37-46C5-B0EF-4BB4D22B13F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H94" authorId="0" shapeId="0" xr:uid="{208FE519-01B5-4DC4-B68A-E40C3E0918DB}">
      <text>
        <r>
          <rPr>
            <b/>
            <sz val="9"/>
            <color indexed="81"/>
            <rFont val="Tahoma"/>
            <family val="2"/>
            <charset val="204"/>
          </rPr>
          <t>https://www.nature.com/articles/s42003-020-1064-4
https://www.facebook.com/physorg/posts/a-common-soil-fungus-marquandomyces-marquandii-can-form-durable-multilayered-hyd/1263214265833959</t>
        </r>
      </text>
    </comment>
    <comment ref="I94" authorId="0" shapeId="0" xr:uid="{A43FF8F7-E814-481C-8BE7-2F7E3F8C1C02}">
      <text>
        <r>
          <rPr>
            <b/>
            <sz val="9"/>
            <color indexed="81"/>
            <rFont val="Tahoma"/>
            <family val="2"/>
            <charset val="204"/>
          </rPr>
          <t>https://www.nature.com/articles/s42003-020-1064-4
https://www.facebook.com/physorg/posts/a-common-soil-fungus-marquandomyces-marquandii-can-form-durable-multilayered-hyd/1263214265833959</t>
        </r>
      </text>
    </comment>
    <comment ref="J94" authorId="0" shapeId="0" xr:uid="{6EA8725B-4DCE-4FD0-ABE6-6F2A8F9D483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K94" authorId="0" shapeId="0" xr:uid="{E5A4950F-F38B-4DE9-BD71-589D1DFEA9A0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H95" authorId="0" shapeId="0" xr:uid="{E6343C70-852E-4715-98D6-F5EC80B79C12}">
      <text>
        <r>
          <rPr>
            <b/>
            <sz val="9"/>
            <color indexed="81"/>
            <rFont val="Tahoma"/>
            <family val="2"/>
            <charset val="204"/>
          </rPr>
          <t>https://www.nature.com/articles/s42003-020-1064-4
https://www.facebook.com/physorg/posts/a-common-soil-fungus-marquandomyces-marquandii-can-form-durable-multilayered-hyd/1263214265833959</t>
        </r>
      </text>
    </comment>
    <comment ref="I95" authorId="0" shapeId="0" xr:uid="{D931975E-556B-485C-8D3E-A07D1F69186E}">
      <text>
        <r>
          <rPr>
            <b/>
            <sz val="9"/>
            <color indexed="81"/>
            <rFont val="Tahoma"/>
            <family val="2"/>
            <charset val="204"/>
          </rPr>
          <t>https://www.nature.com/articles/s42003-020-1064-4
https://www.facebook.com/physorg/posts/a-common-soil-fungus-marquandomyces-marquandii-can-form-durable-multilayered-hyd/1263214265833959</t>
        </r>
      </text>
    </comment>
    <comment ref="J95" authorId="0" shapeId="0" xr:uid="{EFC6EC02-558D-4A63-AF55-B29C2F9EC59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K95" authorId="0" shapeId="0" xr:uid="{0E83686B-AF4F-4846-AE0A-1009A2CC66E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H96" authorId="0" shapeId="0" xr:uid="{460B7ADA-6B4A-4BC1-8606-4A9F30C53784}">
      <text>
        <r>
          <rPr>
            <b/>
            <sz val="9"/>
            <color indexed="81"/>
            <rFont val="Tahoma"/>
            <family val="2"/>
            <charset val="204"/>
          </rPr>
          <t>https://www.nature.com/articles/s42003-020-1064-4
https://www.facebook.com/physorg/posts/a-common-soil-fungus-marquandomyces-marquandii-can-form-durable-multilayered-hyd/1263214265833959</t>
        </r>
      </text>
    </comment>
    <comment ref="I96" authorId="0" shapeId="0" xr:uid="{DE1C9279-4FDC-4D7C-9F69-969FDD435C47}">
      <text>
        <r>
          <rPr>
            <b/>
            <sz val="9"/>
            <color indexed="81"/>
            <rFont val="Tahoma"/>
            <family val="2"/>
            <charset val="204"/>
          </rPr>
          <t>https://www.nature.com/articles/s42003-020-1064-4
https://www.facebook.com/physorg/posts/a-common-soil-fungus-marquandomyces-marquandii-can-form-durable-multilayered-hyd/1263214265833959</t>
        </r>
      </text>
    </comment>
    <comment ref="J96" authorId="0" shapeId="0" xr:uid="{E2BC1EE3-57A2-4AA1-9973-7BCF2B7C7EC7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K96" authorId="0" shapeId="0" xr:uid="{C90502E9-92FF-4682-A619-27FA7C61FE8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H97" authorId="0" shapeId="0" xr:uid="{5D7355A2-F2B2-4AD2-A041-D64B3C4B9D54}">
      <text>
        <r>
          <rPr>
            <b/>
            <sz val="9"/>
            <color indexed="81"/>
            <rFont val="Tahoma"/>
            <family val="2"/>
            <charset val="204"/>
          </rPr>
          <t>Assimed to be strong as a spider silk https://pmc.ncbi.nlm.nih.gov/articles/PMC8346794</t>
        </r>
      </text>
    </comment>
    <comment ref="I97" authorId="0" shapeId="0" xr:uid="{B68FE6B6-4CBA-4CE1-8F4A-AC18A21EEA53}">
      <text>
        <r>
          <rPr>
            <b/>
            <sz val="9"/>
            <color indexed="81"/>
            <rFont val="Tahoma"/>
            <family val="2"/>
            <charset val="204"/>
          </rPr>
          <t>Assimed to be strong as a spider silk https://pmc.ncbi.nlm.nih.gov/articles/PMC8346794</t>
        </r>
      </text>
    </comment>
    <comment ref="J97" authorId="0" shapeId="0" xr:uid="{C5FACA68-9D6A-49AE-B5F1-A94DDAC58CF3}">
      <text>
        <r>
          <rPr>
            <b/>
            <sz val="9"/>
            <color indexed="81"/>
            <rFont val="Tahoma"/>
            <family val="2"/>
            <charset val="204"/>
          </rPr>
          <t>https://textileengineering.net/spider-silk-types-properties-production-applications/</t>
        </r>
      </text>
    </comment>
    <comment ref="H98" authorId="0" shapeId="0" xr:uid="{89CE34B7-32C9-4A81-8333-88C1EB60CA31}">
      <text>
        <r>
          <rPr>
            <b/>
            <sz val="9"/>
            <color indexed="81"/>
            <rFont val="Tahoma"/>
            <family val="2"/>
            <charset val="204"/>
          </rPr>
          <t>Assimed to be strong as a spider silk https://pmc.ncbi.nlm.nih.gov/articles/PMC8346794</t>
        </r>
      </text>
    </comment>
    <comment ref="I98" authorId="0" shapeId="0" xr:uid="{5BFEBE91-32E6-4E07-9A6F-5AE6126A2EF5}">
      <text>
        <r>
          <rPr>
            <b/>
            <sz val="9"/>
            <color indexed="81"/>
            <rFont val="Tahoma"/>
            <family val="2"/>
            <charset val="204"/>
          </rPr>
          <t>Assimed to be strong as a spider silk https://pmc.ncbi.nlm.nih.gov/articles/PMC8346794</t>
        </r>
      </text>
    </comment>
    <comment ref="J98" authorId="0" shapeId="0" xr:uid="{CFBCA3B5-749C-4934-9D6F-08487F9069C2}">
      <text>
        <r>
          <rPr>
            <b/>
            <sz val="9"/>
            <color indexed="81"/>
            <rFont val="Tahoma"/>
            <family val="2"/>
            <charset val="204"/>
          </rPr>
          <t>https://textileengineering.net/spider-silk-types-properties-production-applications/</t>
        </r>
      </text>
    </comment>
    <comment ref="H99" authorId="0" shapeId="0" xr:uid="{44ABEC93-BED0-4A64-A28E-216BEC0842E4}">
      <text>
        <r>
          <rPr>
            <b/>
            <sz val="9"/>
            <color indexed="81"/>
            <rFont val="Tahoma"/>
            <family val="2"/>
            <charset val="204"/>
          </rPr>
          <t>Assimed to be strong as a spider silk https://pmc.ncbi.nlm.nih.gov/articles/PMC8346794</t>
        </r>
      </text>
    </comment>
    <comment ref="I99" authorId="0" shapeId="0" xr:uid="{D22D892D-49CD-459D-9EF2-F65C46AB6EB0}">
      <text>
        <r>
          <rPr>
            <b/>
            <sz val="9"/>
            <color indexed="81"/>
            <rFont val="Tahoma"/>
            <family val="2"/>
            <charset val="204"/>
          </rPr>
          <t>Assimed to be strong as a spider silk https://pmc.ncbi.nlm.nih.gov/articles/PMC8346794</t>
        </r>
      </text>
    </comment>
    <comment ref="J99" authorId="0" shapeId="0" xr:uid="{742BDE6A-14F1-4CFC-83C8-C8070E20CC87}">
      <text>
        <r>
          <rPr>
            <b/>
            <sz val="9"/>
            <color indexed="81"/>
            <rFont val="Tahoma"/>
            <family val="2"/>
            <charset val="204"/>
          </rPr>
          <t>https://textileengineering.net/spider-silk-types-properties-production-applications/</t>
        </r>
      </text>
    </comment>
    <comment ref="H100" authorId="0" shapeId="0" xr:uid="{314F43FF-548C-44A0-9EAA-9D28CDA6F0AB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00" authorId="0" shapeId="0" xr:uid="{3939269E-EA21-4532-8312-60D0976D2531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00" authorId="0" shapeId="0" xr:uid="{3DE9D03E-A419-40B7-AFEA-3E906BAED6B9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01" authorId="0" shapeId="0" xr:uid="{38C70C63-F232-44D6-86A0-CF42C6A63DCA}">
      <text>
        <r>
          <rPr>
            <b/>
            <sz val="9"/>
            <color indexed="81"/>
            <rFont val="Tahoma"/>
            <family val="2"/>
            <charset val="204"/>
          </rPr>
          <t>Assimed to be strong as a spider silk https://pmc.ncbi.nlm.nih.gov/articles/PMC8346794</t>
        </r>
      </text>
    </comment>
    <comment ref="I101" authorId="0" shapeId="0" xr:uid="{D6B7EF8E-4C2C-421E-BDF4-5E697E992EDD}">
      <text>
        <r>
          <rPr>
            <b/>
            <sz val="9"/>
            <color indexed="81"/>
            <rFont val="Tahoma"/>
            <family val="2"/>
            <charset val="204"/>
          </rPr>
          <t>Assimed to be strong as a spider silk https://pmc.ncbi.nlm.nih.gov/articles/PMC8346794</t>
        </r>
      </text>
    </comment>
    <comment ref="J101" authorId="0" shapeId="0" xr:uid="{3A42F2AB-8419-4AD3-B5BD-B47636521B4D}">
      <text>
        <r>
          <rPr>
            <b/>
            <sz val="9"/>
            <color indexed="81"/>
            <rFont val="Tahoma"/>
            <family val="2"/>
            <charset val="204"/>
          </rPr>
          <t>https://textileengineering.net/spider-silk-types-properties-production-applications/</t>
        </r>
      </text>
    </comment>
    <comment ref="H102" authorId="0" shapeId="0" xr:uid="{1975E4D5-3D87-4243-B3A5-6E74E23DE3C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I102" authorId="0" shapeId="0" xr:uid="{308908C6-CD8D-4CF5-8643-AB172C0DD67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J102" authorId="0" shapeId="0" xr:uid="{0113DACA-C11D-4489-95A5-AF91E2358D3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H103" authorId="0" shapeId="0" xr:uid="{9D231B82-CFDF-4CA7-94CB-8237E32A9C81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03" authorId="0" shapeId="0" xr:uid="{A2B2A10C-7A5A-4FD0-9979-B8FBC9A30606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03" authorId="0" shapeId="0" xr:uid="{B0E1116B-02AC-425C-AC75-F47D2B53958C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103" authorId="0" shapeId="0" xr:uid="{6C0F9E04-FF3A-4F85-A211-A16DF87B3D38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104" authorId="0" shapeId="0" xr:uid="{E401B919-0EE1-4271-A74A-11E8D676BC07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04" authorId="0" shapeId="0" xr:uid="{AD53B4D9-2FE5-4EB7-892B-FC85A8A3106E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04" authorId="0" shapeId="0" xr:uid="{801C48E5-9366-4E71-A93A-BAE2745C9603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104" authorId="0" shapeId="0" xr:uid="{2EAC1D8E-1E81-487B-A14B-7BC3273B5C25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105" authorId="0" shapeId="0" xr:uid="{B76BFE07-E714-4497-9F66-7EF814A474C4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05" authorId="0" shapeId="0" xr:uid="{90663705-48D1-41E0-9D94-F81D3D4966B1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05" authorId="0" shapeId="0" xr:uid="{1C225C67-ACB2-4B3B-A870-ACA3E33B7074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105" authorId="0" shapeId="0" xr:uid="{3A4E9552-CE48-4BD2-8CEA-270804281CED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106" authorId="0" shapeId="0" xr:uid="{816EACA8-0365-49BB-BFC1-B3B3A890E657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06" authorId="0" shapeId="0" xr:uid="{27A6EAD1-7E5C-4F6B-B0ED-15EF66F39A55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06" authorId="0" shapeId="0" xr:uid="{310E4625-D0AE-4C61-917E-3BB89504A5D1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106" authorId="0" shapeId="0" xr:uid="{F07FD6D3-7032-42A7-9001-44BC95A0831C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107" authorId="0" shapeId="0" xr:uid="{9C988AB1-A0EC-4909-9880-DD726FA0F8D1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07" authorId="0" shapeId="0" xr:uid="{B6A049F0-8BFA-4B38-87CD-47C4B2DDC08C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07" authorId="0" shapeId="0" xr:uid="{128A0E00-AD19-4077-AD90-1FD8BA3F705A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107" authorId="0" shapeId="0" xr:uid="{6330ED74-C601-443C-B916-667A028669AA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108" authorId="0" shapeId="0" xr:uid="{5105170B-0460-4849-9F34-CF95310FCAA6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08" authorId="0" shapeId="0" xr:uid="{0480C0D3-E254-4D84-AA46-D804EAEB2717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08" authorId="0" shapeId="0" xr:uid="{031BA1D8-E7AA-48CB-AF49-5D10CCE553CB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108" authorId="0" shapeId="0" xr:uid="{C6A593DC-5F7C-4CA8-ABA1-0C415BEB9ADF}">
      <text>
        <r>
          <rPr>
            <b/>
            <sz val="9"/>
            <color indexed="81"/>
            <rFont val="Tahoma"/>
            <family val="2"/>
            <charset val="204"/>
          </rPr>
          <t>https://doi.org/10.2307/2406182</t>
        </r>
      </text>
    </comment>
    <comment ref="H109" authorId="0" shapeId="0" xr:uid="{D8A03DFD-874D-453B-A2C0-A31F60DC5DDB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09" authorId="0" shapeId="0" xr:uid="{5ABD0691-9234-4989-B496-D96F87DA949D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09" authorId="0" shapeId="0" xr:uid="{6CBA2004-08C8-4DB5-A006-E35B6F17C4A0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10" authorId="0" shapeId="0" xr:uid="{CDF6A971-455C-4784-AD5F-41C9505A9384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10" authorId="0" shapeId="0" xr:uid="{2BBE7926-F1E9-46C0-9B83-A095E727E771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10" authorId="0" shapeId="0" xr:uid="{10962CA5-91D3-48EC-885F-0514EBD13391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11" authorId="0" shapeId="0" xr:uid="{555D3B1E-F737-450A-8DCD-764DA16FC1EB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11" authorId="0" shapeId="0" xr:uid="{FEE08D44-10EB-43BE-A90B-CD65B6F0B9DE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11" authorId="0" shapeId="0" xr:uid="{695B7B2A-006F-4FA4-A605-4599DFD358C0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12" authorId="0" shapeId="0" xr:uid="{79A348C4-E204-4D84-ABB9-3A0A8159B315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12" authorId="0" shapeId="0" xr:uid="{664F5FCD-A1EE-4CE6-A22C-A27D47BE9DCA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12" authorId="0" shapeId="0" xr:uid="{235EDAF5-D94B-4431-9269-23913FA5F4E0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13" authorId="0" shapeId="0" xr:uid="{8027F46B-E8A7-43AD-9B7C-47EE2D5DAEB7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13" authorId="0" shapeId="0" xr:uid="{2D43D147-DBC7-40D0-B7BA-507E97458758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13" authorId="0" shapeId="0" xr:uid="{133D3512-9691-4F2C-95E5-83DE278BF1FD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14" authorId="0" shapeId="0" xr:uid="{40FA5F2C-6859-4384-AC38-2692B7F79C10}">
      <text>
        <r>
          <rPr>
            <b/>
            <sz val="9"/>
            <color indexed="81"/>
            <rFont val="Tahoma"/>
            <family val="2"/>
            <charset val="204"/>
          </rPr>
          <t>Chen et al. (2014) https://doi.org/10.1016/j.msec.2013.11.024</t>
        </r>
      </text>
    </comment>
    <comment ref="I114" authorId="0" shapeId="0" xr:uid="{7F80AAB1-7594-44F0-A4CC-715F3B847047}">
      <text>
        <r>
          <rPr>
            <b/>
            <sz val="9"/>
            <color indexed="81"/>
            <rFont val="Tahoma"/>
            <family val="2"/>
            <charset val="204"/>
          </rPr>
          <t>Chen et al. (2014) https://doi.org/10.1016/j.msec.2013.11.024</t>
        </r>
      </text>
    </comment>
    <comment ref="J114" authorId="0" shapeId="0" xr:uid="{DE856381-9FBD-4709-A2C3-C5CEC5161800}">
      <text>
        <r>
          <rPr>
            <b/>
            <sz val="9"/>
            <color indexed="81"/>
            <rFont val="Tahoma"/>
            <family val="2"/>
            <charset val="204"/>
          </rPr>
          <t>Rodriguez-Palomo et al. (2025) https://doi.org/10.1002/adfm.202526169?urlappend=%3Futm_source%3Dresearchgate.net%26utm_medium%3Darticle</t>
        </r>
      </text>
    </comment>
    <comment ref="K114" authorId="0" shapeId="0" xr:uid="{6B104260-688B-454B-867B-ED7FF33A501D}">
      <text>
        <r>
          <rPr>
            <b/>
            <sz val="9"/>
            <color indexed="81"/>
            <rFont val="Tahoma"/>
            <family val="2"/>
            <charset val="204"/>
          </rPr>
          <t>https://doi.org/10.1002/1097-0010(200002)80:3%3C390::AID-JSFA540%3E3.0.CO;2-G</t>
        </r>
      </text>
    </comment>
    <comment ref="H115" authorId="0" shapeId="0" xr:uid="{4E740A12-09B1-4942-9035-CB7D96218D0F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I115" authorId="0" shapeId="0" xr:uid="{55B5CC4C-4DF0-4ACD-80F7-C25DF988200B}">
      <text>
        <r>
          <rPr>
            <b/>
            <sz val="9"/>
            <color indexed="81"/>
            <rFont val="Tahoma"/>
            <family val="2"/>
            <charset val="204"/>
          </rPr>
          <t>Calculated from Young's Modulus, see Borrell (2004) https://doi.org/10.1016/j.jinsphys.2004.09.012</t>
        </r>
      </text>
    </comment>
    <comment ref="J115" authorId="0" shapeId="0" xr:uid="{A7B084A8-36D5-437D-80B0-2B4CF89EAF09}">
      <text>
        <r>
          <rPr>
            <b/>
            <sz val="9"/>
            <color indexed="81"/>
            <rFont val="Tahoma"/>
            <family val="2"/>
            <charset val="204"/>
          </rPr>
          <t>Borrell (2004) https://doi.org/10.1016/j.jinsphys.2004.09.012</t>
        </r>
      </text>
    </comment>
    <comment ref="K115" authorId="0" shapeId="0" xr:uid="{DB317AA3-B6B8-4505-B578-8D4D90AAF9EC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116" authorId="0" shapeId="0" xr:uid="{87DB8CDF-CE10-48B7-BEB0-0D9E5B1111BE}">
      <text>
        <r>
          <rPr>
            <b/>
            <sz val="9"/>
            <color indexed="81"/>
            <rFont val="Tahoma"/>
            <family val="2"/>
            <charset val="204"/>
          </rPr>
          <t>https://asm.matweb.com/search/specificmaterial.asp?bassnum=ma7075t6</t>
        </r>
      </text>
    </comment>
    <comment ref="I116" authorId="0" shapeId="0" xr:uid="{8BB6C462-3843-41B7-BAA0-6DEDECFD04FE}">
      <text>
        <r>
          <rPr>
            <b/>
            <sz val="9"/>
            <color indexed="81"/>
            <rFont val="Tahoma"/>
            <family val="2"/>
            <charset val="204"/>
          </rPr>
          <t>https://asm.matweb.com/search/specificmaterial.asp?bassnum=ma7075t6</t>
        </r>
      </text>
    </comment>
    <comment ref="J116" authorId="0" shapeId="0" xr:uid="{29F20F91-C71F-4DF4-8108-0B164C90C3C6}">
      <text>
        <r>
          <rPr>
            <b/>
            <sz val="9"/>
            <color indexed="81"/>
            <rFont val="Tahoma"/>
            <family val="2"/>
            <charset val="204"/>
          </rPr>
          <t>https://asm.matweb.com/search/specificmaterial.asp?bassnum=ma7075t6</t>
        </r>
      </text>
    </comment>
    <comment ref="K116" authorId="0" shapeId="0" xr:uid="{1D0E2A2C-F2BE-4D81-85BE-BACC44B37B3A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117" authorId="0" shapeId="0" xr:uid="{1EF8371A-7CC2-4AE6-9FCE-D52C906B58F2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17" authorId="0" shapeId="0" xr:uid="{8B6DD1BE-DCB1-4C2C-9EEA-05663DED150F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17" authorId="0" shapeId="0" xr:uid="{3C22D0C1-340C-4724-AE46-BDFD44C69399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18" authorId="0" shapeId="0" xr:uid="{CCD7AFFC-1DB0-488B-BF86-DB658A1F901C}">
      <text>
        <r>
          <rPr>
            <b/>
            <sz val="9"/>
            <color indexed="81"/>
            <rFont val="Tahoma"/>
            <family val="2"/>
            <charset val="204"/>
          </rPr>
          <t>https://www.nature.com/articles/s42003-020-1064-4
https://www.facebook.com/physorg/posts/a-common-soil-fungus-marquandomyces-marquandii-can-form-durable-multilayered-hyd/1263214265833959</t>
        </r>
      </text>
    </comment>
    <comment ref="I118" authorId="0" shapeId="0" xr:uid="{39145F7A-ED73-4BB6-AD52-7DED58EFBFB8}">
      <text>
        <r>
          <rPr>
            <b/>
            <sz val="9"/>
            <color indexed="81"/>
            <rFont val="Tahoma"/>
            <family val="2"/>
            <charset val="204"/>
          </rPr>
          <t>https://www.nature.com/articles/s42003-020-1064-4
https://www.facebook.com/physorg/posts/a-common-soil-fungus-marquandomyces-marquandii-can-form-durable-multilayered-hyd/1263214265833959</t>
        </r>
      </text>
    </comment>
    <comment ref="J118" authorId="0" shapeId="0" xr:uid="{44C35639-389E-41B1-B46C-78FC5ECE97E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H119" authorId="0" shapeId="0" xr:uid="{AD0D798A-81CF-4183-B356-834ACACD7E9F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19" authorId="0" shapeId="0" xr:uid="{86FE193E-C586-42E7-B8E6-B05435215438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19" authorId="0" shapeId="0" xr:uid="{0D5ADDE2-C642-4676-9522-09282D8EE82C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20" authorId="0" shapeId="0" xr:uid="{09C3B56A-4122-4928-A20B-8C600D7F3881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20" authorId="0" shapeId="0" xr:uid="{F835FAFA-F19F-4146-B8B8-2131272B7636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20" authorId="0" shapeId="0" xr:uid="{86685D20-EE03-420B-81C9-B4A4830F50BC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21" authorId="0" shapeId="0" xr:uid="{00DF7B81-1825-4E16-8C43-F1E2C21FB9B3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21" authorId="0" shapeId="0" xr:uid="{62AF052F-3573-4813-8376-7CB070F2463C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21" authorId="0" shapeId="0" xr:uid="{A1069B21-4B72-4941-BCE4-E4D37D3FF3C8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22" authorId="0" shapeId="0" xr:uid="{7D4F8C02-D0B1-4E29-B2E0-F8D045BB15F6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22" authorId="0" shapeId="0" xr:uid="{C093CCB1-22F1-4BF4-84BB-F6DD7BD5D8D5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22" authorId="0" shapeId="0" xr:uid="{B26AFFA9-40DA-452C-AA95-869EC21D6217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23" authorId="0" shapeId="0" xr:uid="{424664A1-9FBF-49D1-83EC-F250D51F84A4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23" authorId="0" shapeId="0" xr:uid="{BB8FEF70-495D-40FF-8358-B321EC3D7985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23" authorId="0" shapeId="0" xr:uid="{0804A123-ECB1-4429-B4AB-551C2ECD8698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24" authorId="0" shapeId="0" xr:uid="{34078424-A187-45C3-A839-451E8C5B2247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24" authorId="0" shapeId="0" xr:uid="{979FF911-5959-43A8-B0BE-85A9CCF61AED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24" authorId="0" shapeId="0" xr:uid="{DA2DA780-4F84-408C-8D22-DE6247159CB2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25" authorId="0" shapeId="0" xr:uid="{8C082DA0-8A8F-459C-8ED0-939B1891230F}">
      <text>
        <r>
          <rPr>
            <b/>
            <sz val="9"/>
            <color indexed="81"/>
            <rFont val="Tahoma"/>
            <family val="2"/>
            <charset val="204"/>
          </rPr>
          <t>Chen et al. (2014) https://doi.org/10.1016/j.msec.2013.11.024</t>
        </r>
      </text>
    </comment>
    <comment ref="I125" authorId="0" shapeId="0" xr:uid="{86763629-5095-418A-B767-EBB7A773575D}">
      <text>
        <r>
          <rPr>
            <b/>
            <sz val="9"/>
            <color indexed="81"/>
            <rFont val="Tahoma"/>
            <family val="2"/>
            <charset val="204"/>
          </rPr>
          <t>Chen et al. (2014) https://doi.org/10.1016/j.msec.2013.11.024</t>
        </r>
      </text>
    </comment>
    <comment ref="J125" authorId="0" shapeId="0" xr:uid="{BD3DCDDD-099F-4423-B161-41E322A66EE6}">
      <text>
        <r>
          <rPr>
            <b/>
            <sz val="9"/>
            <color indexed="81"/>
            <rFont val="Tahoma"/>
            <family val="2"/>
            <charset val="204"/>
          </rPr>
          <t>Rodriguez-Palomo et al. (2025) https://doi.org/10.1002/adfm.202526169?urlappend=%3Futm_source%3Dresearchgate.net%26utm_medium%3Darticle</t>
        </r>
      </text>
    </comment>
    <comment ref="K125" authorId="0" shapeId="0" xr:uid="{64AAA7F9-72A1-4977-AE66-847539BA4D3B}">
      <text>
        <r>
          <rPr>
            <b/>
            <sz val="9"/>
            <color indexed="81"/>
            <rFont val="Tahoma"/>
            <family val="2"/>
            <charset val="204"/>
          </rPr>
          <t>https://doi.org/10.1002/1097-0010(200002)80:3%3C390::AID-JSFA540%3E3.0.CO;2-G</t>
        </r>
      </text>
    </comment>
    <comment ref="H126" authorId="0" shapeId="0" xr:uid="{98316BF2-4527-428F-A9E3-5DC0D025CBB9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26" authorId="0" shapeId="0" xr:uid="{F202192E-3D65-491B-8894-BB40A9E11683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26" authorId="0" shapeId="0" xr:uid="{7488AB22-C651-4F61-8069-E0FEAA420770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27" authorId="0" shapeId="0" xr:uid="{2673C4DA-C7C2-417F-A49E-29C14F387982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27" authorId="0" shapeId="0" xr:uid="{9A6AF616-8741-4E11-9408-C50A39536661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27" authorId="0" shapeId="0" xr:uid="{B812B260-F0E3-4015-82B0-269FCB960517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28" authorId="0" shapeId="0" xr:uid="{59A38129-9CF8-4453-A457-1D340F9349C4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28" authorId="0" shapeId="0" xr:uid="{5C0ADC90-1649-46E0-A7E1-AC82C66A54E6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28" authorId="0" shapeId="0" xr:uid="{FAA3260E-5C7B-45FE-A086-EF3C939A8385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29" authorId="0" shapeId="0" xr:uid="{305545D6-36E0-4659-8CA9-91DECF891AEC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29" authorId="0" shapeId="0" xr:uid="{7A440301-7E69-4778-A2CA-F04DE6D52D42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29" authorId="0" shapeId="0" xr:uid="{347CA63E-31B5-42F4-B028-6F9CEA3385FB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30" authorId="0" shapeId="0" xr:uid="{2D94FF1E-2E18-4C0D-9CDE-D53BAF143573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30" authorId="0" shapeId="0" xr:uid="{12C87520-8232-48F4-B13F-2F1EBE245EC2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30" authorId="0" shapeId="0" xr:uid="{66512030-6756-4443-AF7B-9A18224210C8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31" authorId="0" shapeId="0" xr:uid="{27A2F646-5E6F-429F-9A63-6C10F89CEC0E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31" authorId="0" shapeId="0" xr:uid="{A52AB963-B8AB-4EC0-8EDF-F77F9D4D3D4F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31" authorId="0" shapeId="0" xr:uid="{7D5C7F6B-DF01-40DD-893A-20BC6D970299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32" authorId="0" shapeId="0" xr:uid="{858DA981-16F1-498F-A93D-6CA47575FF78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32" authorId="0" shapeId="0" xr:uid="{A6771EA0-FC52-4817-9D6E-FA5CDA3D13BE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32" authorId="0" shapeId="0" xr:uid="{39FDAD14-CBA2-4CEA-AF27-E9E45582C916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33" authorId="0" shapeId="0" xr:uid="{AE3EAE2D-DD8E-4B84-93FA-0846385BF094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33" authorId="0" shapeId="0" xr:uid="{88845F0D-F691-4CBE-8BF0-E43EF0C0549C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33" authorId="0" shapeId="0" xr:uid="{833D2E18-4D50-40F6-A5A4-11FA455C7663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K133" authorId="0" shapeId="0" xr:uid="{D7D426DE-A4AD-48BC-8E62-26EFC98AFD83}">
      <text>
        <r>
          <rPr>
            <b/>
            <sz val="9"/>
            <color indexed="81"/>
            <rFont val="Tahoma"/>
            <family val="2"/>
            <charset val="204"/>
          </rPr>
          <t>https://doi.org/10.1002/1097-0010(200002)80:3%3C390::AID-JSFA540%3E3.0.CO;2-G</t>
        </r>
      </text>
    </comment>
    <comment ref="H134" authorId="0" shapeId="0" xr:uid="{AEFC7CE8-1968-4FAD-8378-614D535BCDAA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34" authorId="0" shapeId="0" xr:uid="{E17D15C9-0555-4C1C-A20A-96C1670AD896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34" authorId="0" shapeId="0" xr:uid="{2F83A990-59C2-415C-B845-7FD64DA331AD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35" authorId="0" shapeId="0" xr:uid="{15F47E48-3F1B-4ACC-8C09-0459735CF32F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I135" authorId="0" shapeId="0" xr:uid="{28BA82AB-2502-49F5-B894-A7A38B528C52}">
      <text>
        <r>
          <rPr>
            <b/>
            <sz val="9"/>
            <color indexed="81"/>
            <rFont val="Tahoma"/>
            <family val="2"/>
            <charset val="204"/>
          </rPr>
          <t>https://zslpublications.onlinelibrary.wiley.com/doi/10.1111/j.1469-7998.1988.tb04991.x</t>
        </r>
      </text>
    </comment>
    <comment ref="J135" authorId="0" shapeId="0" xr:uid="{0F1B4336-9201-47A5-AB63-0811C90D373D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36" authorId="0" shapeId="0" xr:uid="{5BA20419-96C6-4696-B02E-D53B15768E70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I136" authorId="0" shapeId="0" xr:uid="{FB217286-11E7-45B9-AB85-12815EC1519D}">
      <text>
        <r>
          <rPr>
            <b/>
            <sz val="9"/>
            <color indexed="81"/>
            <rFont val="Tahoma"/>
            <family val="2"/>
            <charset val="204"/>
          </rPr>
          <t>Sherman et al. (2015) https://doi.org/10.1016/j.jmbbm.2015.05.023</t>
        </r>
      </text>
    </comment>
    <comment ref="J136" authorId="0" shapeId="0" xr:uid="{2101BB4B-B06F-4002-953C-71B0A4947611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37" authorId="0" shapeId="0" xr:uid="{C7470C92-9441-4BD1-AE6B-FD18D23C8B77}">
      <text>
        <r>
          <rPr>
            <b/>
            <sz val="9"/>
            <color indexed="81"/>
            <rFont val="Tahoma"/>
            <family val="2"/>
            <charset val="204"/>
          </rPr>
          <t>Wang et al. (2016) https://doi.org/10.1016/j.actbio.2016.05.028</t>
        </r>
      </text>
    </comment>
    <comment ref="I137" authorId="0" shapeId="0" xr:uid="{846173CE-A96D-4ABC-9F62-C77F29A458C4}">
      <text>
        <r>
          <rPr>
            <b/>
            <sz val="9"/>
            <color indexed="81"/>
            <rFont val="Tahoma"/>
            <family val="2"/>
            <charset val="204"/>
          </rPr>
          <t>Wang et al. (2016) https://doi.org/10.1016/j.actbio.2016.05.028</t>
        </r>
      </text>
    </comment>
    <comment ref="J137" authorId="0" shapeId="0" xr:uid="{C20F652F-3184-462E-B428-03CFBCAC81DD}">
      <text>
        <r>
          <rPr>
            <b/>
            <sz val="9"/>
            <color indexed="81"/>
            <rFont val="Tahoma"/>
            <family val="2"/>
            <charset val="204"/>
          </rPr>
          <t>Alheit (2022) https://doi.org/10.13140/RG.2.2.10216.55042</t>
        </r>
      </text>
    </comment>
    <comment ref="K137" authorId="0" shapeId="0" xr:uid="{3FF1B4FB-DB5A-4E48-9C4F-52C87F3EAEBA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  <comment ref="H138" authorId="0" shapeId="0" xr:uid="{033FCF05-1B77-4684-B2DE-53F32D8BA0FC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I138" authorId="0" shapeId="0" xr:uid="{931A86BF-1D63-40AE-A6B9-97581FF912AC}">
      <text>
        <r>
          <rPr>
            <b/>
            <sz val="9"/>
            <color indexed="81"/>
            <rFont val="Tahoma"/>
            <family val="2"/>
            <charset val="204"/>
          </rPr>
          <t>Annaidha et al. (2011) https://doi.org/10.1016/j.jmbbm.2011.08.016
Shadwick et al. (1992) http://www.jstor.org/stable/57137
Sherman et al. (2015) https://doi.org/10.1016/j.jmbbm.2015.05.023
Schick et al. (2020) https://www.researchgate.net/publication/337841766_Maximum_tensile_stress_and_strain_of_skin_of_the_domestic_pig-differences_concerning_pigs_from_organic_and_non-organic_farming</t>
        </r>
      </text>
    </comment>
    <comment ref="J138" authorId="0" shapeId="0" xr:uid="{0668265E-70AE-42D7-947F-4F0EE0192F19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39" authorId="0" shapeId="0" xr:uid="{FA70F39A-64FF-42A5-9B53-C5DAC6ED6FA8}">
      <text>
        <r>
          <rPr>
            <b/>
            <sz val="9"/>
            <color indexed="81"/>
            <rFont val="Tahoma"/>
            <family val="2"/>
            <charset val="204"/>
          </rPr>
          <t>Shadwick et al. (1992) http://www.jstor.org/stable/57137</t>
        </r>
      </text>
    </comment>
    <comment ref="I139" authorId="0" shapeId="0" xr:uid="{45210BDA-0EA1-4B68-8387-6D5231378A89}">
      <text>
        <r>
          <rPr>
            <b/>
            <sz val="9"/>
            <color indexed="81"/>
            <rFont val="Tahoma"/>
            <family val="2"/>
            <charset val="204"/>
          </rPr>
          <t>Shadwick et al. (1992) http://www.jstor.org/stable/57137</t>
        </r>
      </text>
    </comment>
    <comment ref="J139" authorId="0" shapeId="0" xr:uid="{D56932F0-51F5-4B38-810B-A62D2F291E08}">
      <text>
        <r>
          <rPr>
            <b/>
            <sz val="9"/>
            <color indexed="81"/>
            <rFont val="Tahoma"/>
            <family val="2"/>
            <charset val="204"/>
          </rPr>
          <t>Omojola et al. (2023) https://doi.org/10.62050/ljsir2023.v1n1.166</t>
        </r>
      </text>
    </comment>
    <comment ref="H140" authorId="0" shapeId="0" xr:uid="{A84393E4-5DA5-47CC-986C-277D5191FE16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I140" authorId="0" shapeId="0" xr:uid="{28634F60-1FEB-4CD7-A430-78CD6F194146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J140" authorId="0" shapeId="0" xr:uid="{37341E55-E19A-454E-8E94-5415BAB011C9}">
      <text>
        <r>
          <rPr>
            <b/>
            <sz val="9"/>
            <color indexed="81"/>
            <rFont val="Tahoma"/>
            <family val="2"/>
            <charset val="204"/>
          </rPr>
          <t>Dai &amp; Yang (2010) https://doi.org/10.1016/S1672-6529(09)60187-6</t>
        </r>
      </text>
    </comment>
    <comment ref="K140" authorId="0" shapeId="0" xr:uid="{5175A161-1B48-44C0-9F1B-2B6EF656A3F3}">
      <text>
        <r>
          <rPr>
            <b/>
            <sz val="9"/>
            <color indexed="81"/>
            <rFont val="Tahoma"/>
            <family val="2"/>
            <charset val="204"/>
          </rPr>
          <t>Taken the same as in turtle from Zhang et al. (2012) https://pdfs.semanticscholar.org/f80e/fe1af2dab9c9935f84661ce7ae493d4b744d.pdf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" authorId="0" shapeId="0" xr:uid="{6FA08D23-8CA2-4B8E-AFD2-BF69239F89AD}">
      <text>
        <r>
          <rPr>
            <b/>
            <sz val="9"/>
            <color indexed="81"/>
            <rFont val="Tahoma"/>
            <family val="2"/>
            <charset val="204"/>
          </rPr>
          <t>For extra long-lived specimens used ratio average-maximum lifespan observed in humans https://genomics.senescence.info/species/entry.php?species=Homo_sapiens</t>
        </r>
      </text>
    </comment>
    <comment ref="O1" authorId="0" shapeId="0" xr:uid="{4EA3BD7F-3D9B-4F5F-A309-E29671898464}">
      <text>
        <r>
          <rPr>
            <b/>
            <sz val="9"/>
            <color indexed="81"/>
            <rFont val="Tahoma"/>
            <family val="2"/>
            <charset val="204"/>
          </rPr>
          <t>2 = fully domestic, 1 = domestic, but feral phenotype, 0 = wild</t>
        </r>
      </text>
    </comment>
    <comment ref="AA1" authorId="0" shapeId="0" xr:uid="{1D47CA1D-CEFD-4ECA-A6F7-77C783F6993B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J1" authorId="0" shapeId="0" xr:uid="{DC133D4C-7626-4CBA-8E19-6148AC561A00}">
      <text>
        <r>
          <rPr>
            <b/>
            <sz val="9"/>
            <color indexed="81"/>
            <rFont val="Tahoma"/>
            <family val="2"/>
            <charset val="204"/>
          </rPr>
          <t>Costal spawn</t>
        </r>
      </text>
    </comment>
    <comment ref="AL1" authorId="0" shapeId="0" xr:uid="{12DC062A-A6DE-4798-852C-13FC88844480}">
      <text>
        <r>
          <rPr>
            <b/>
            <sz val="9"/>
            <color indexed="81"/>
            <rFont val="Tahoma"/>
            <family val="2"/>
            <charset val="204"/>
          </rPr>
          <t>Maximum wildness</t>
        </r>
      </text>
    </comment>
    <comment ref="AM1" authorId="0" shapeId="0" xr:uid="{970A86EC-D4D0-49C9-9DB6-92F285D30742}">
      <text>
        <r>
          <rPr>
            <b/>
            <sz val="9"/>
            <color indexed="81"/>
            <rFont val="Tahoma"/>
            <family val="2"/>
            <charset val="204"/>
          </rPr>
          <t>Reduced wild spawn chance</t>
        </r>
      </text>
    </comment>
    <comment ref="AP1" authorId="0" shapeId="0" xr:uid="{FEACF9AE-3D3A-43A8-8177-E3714CE1452B}">
      <text>
        <r>
          <rPr>
            <b/>
            <sz val="9"/>
            <color indexed="81"/>
            <rFont val="Tahoma"/>
            <family val="2"/>
            <charset val="204"/>
          </rPr>
          <t>https://doi.org/10.1007/s00114-007-0234-2</t>
        </r>
      </text>
    </comment>
    <comment ref="AT1" authorId="0" shapeId="0" xr:uid="{CC759638-1EA3-4B71-BEDB-C90129CB9C89}">
      <text>
        <r>
          <rPr>
            <b/>
            <sz val="9"/>
            <color indexed="81"/>
            <rFont val="Tahoma"/>
            <family val="2"/>
            <charset val="204"/>
          </rPr>
          <t>For birds see https://zslpublications.onlinelibrary.wiley.com/doi/10.1111/jzo.12966</t>
        </r>
      </text>
    </comment>
    <comment ref="BD1" authorId="0" shapeId="0" xr:uid="{9120885F-4B4D-4347-B238-F3C6C0899077}">
      <text>
        <r>
          <rPr>
            <b/>
            <sz val="9"/>
            <color indexed="81"/>
            <rFont val="Tahoma"/>
            <family val="2"/>
            <charset val="204"/>
          </rPr>
          <t>Maher et al. (2022) https://doi.org/10.1038/s41467-022-32028-2</t>
        </r>
      </text>
    </comment>
    <comment ref="BE1" authorId="0" shapeId="0" xr:uid="{0697CFCA-6122-4C18-8D8A-C9E03ED5F856}">
      <text>
        <r>
          <rPr>
            <b/>
            <sz val="9"/>
            <color indexed="81"/>
            <rFont val="Tahoma"/>
            <family val="2"/>
            <charset val="204"/>
          </rPr>
          <t>Kilbourne &amp; Hoffman (2013) https://doi.org/10.1371/journal.pone.0078392</t>
        </r>
      </text>
    </comment>
    <comment ref="BF1" authorId="0" shapeId="0" xr:uid="{5BCF419A-F971-4BE6-BAA9-108BE3154A95}">
      <text>
        <r>
          <rPr>
            <b/>
            <sz val="9"/>
            <color indexed="81"/>
            <rFont val="Tahoma"/>
            <family val="2"/>
            <charset val="204"/>
          </rPr>
          <t>Kilbourne &amp; Hoffman (2013) https://doi.org/10.1371/journal.pone.0078392</t>
        </r>
      </text>
    </comment>
    <comment ref="BP1" authorId="0" shapeId="0" xr:uid="{64CC0E99-9F18-4CD8-8BC1-4AA465374948}">
      <text>
        <r>
          <rPr>
            <b/>
            <sz val="9"/>
            <color indexed="81"/>
            <rFont val="Tahoma"/>
            <family val="2"/>
            <charset val="204"/>
          </rPr>
          <t>For claws: the sharpness is 1/2 of predicted teeth sharpness.</t>
        </r>
      </text>
    </comment>
    <comment ref="BR1" authorId="0" shapeId="0" xr:uid="{10513EA8-F5D2-412D-9393-8CC1BA46F913}">
      <text>
        <r>
          <rPr>
            <b/>
            <sz val="9"/>
            <color indexed="81"/>
            <rFont val="Tahoma"/>
            <family val="2"/>
            <charset val="204"/>
          </rPr>
          <t>The surface area of two teeth.</t>
        </r>
      </text>
    </comment>
    <comment ref="U2" authorId="0" shapeId="0" xr:uid="{4B6FE2C7-4292-4159-B25F-A303C45A607E}">
      <text>
        <r>
          <rPr>
            <b/>
            <sz val="9"/>
            <color indexed="81"/>
            <rFont val="Tahoma"/>
            <family val="2"/>
            <charset val="204"/>
          </rPr>
          <t>https://boneclones.com/product/polar-bear-claw-KO-048</t>
        </r>
      </text>
    </comment>
    <comment ref="U3" authorId="0" shapeId="0" xr:uid="{982D8E2C-320D-4AFE-895E-49EE7923103E}">
      <text>
        <r>
          <rPr>
            <b/>
            <sz val="9"/>
            <color indexed="81"/>
            <rFont val="Tahoma"/>
            <family val="2"/>
            <charset val="204"/>
          </rPr>
          <t>https://www.wildgrizzlybear.com/Grizzly-Bear-Claws.html</t>
        </r>
      </text>
    </comment>
    <comment ref="U4" authorId="0" shapeId="0" xr:uid="{F72E0994-07A4-42B8-A2DB-29F0D7C26B7E}">
      <text>
        <r>
          <rPr>
            <b/>
            <sz val="9"/>
            <color indexed="81"/>
            <rFont val="Tahoma"/>
            <family val="2"/>
            <charset val="204"/>
          </rPr>
          <t>https://boneclones.com/product/raccoon-claw-KO-056</t>
        </r>
      </text>
    </comment>
    <comment ref="U5" authorId="0" shapeId="0" xr:uid="{744A8FE5-A8BC-4BB0-878A-71D0E57DE9BF}">
      <text>
        <r>
          <rPr>
            <b/>
            <sz val="9"/>
            <color indexed="81"/>
            <rFont val="Tahoma"/>
            <family val="2"/>
            <charset val="204"/>
          </rPr>
          <t>https://www.researchgate.net/figure/Fig1-Right-phalanges-of-an-adult-ostrich-anatomical-specimen-Clockwise-from-top_fig1_50351251</t>
        </r>
      </text>
    </comment>
    <comment ref="V5" authorId="0" shapeId="0" xr:uid="{FEBF4678-EE56-425A-909C-DDE3222DB99C}">
      <text>
        <r>
          <rPr>
            <b/>
            <sz val="9"/>
            <color indexed="81"/>
            <rFont val="Tahoma"/>
            <family val="2"/>
            <charset val="204"/>
          </rPr>
          <t>https://www.scielo.br/j/pvb/a/7vH3B9ZwyW9fPGPn9Qf6DDf/?lang=en</t>
        </r>
      </text>
    </comment>
    <comment ref="L6" authorId="0" shapeId="0" xr:uid="{DB4F6A6F-1729-449B-82D1-E5A25437E81B}">
      <text>
        <r>
          <rPr>
            <b/>
            <sz val="9"/>
            <color indexed="81"/>
            <rFont val="Tahoma"/>
            <family val="2"/>
            <charset val="204"/>
          </rPr>
          <t>Extrapolated from ostrich.</t>
        </r>
      </text>
    </comment>
    <comment ref="U6" authorId="0" shapeId="0" xr:uid="{5FDAE53B-04A1-4E94-B440-AFD3058F66C7}">
      <text>
        <r>
          <rPr>
            <b/>
            <sz val="9"/>
            <color indexed="81"/>
            <rFont val="Tahoma"/>
            <family val="2"/>
            <charset val="204"/>
          </rPr>
          <t>https://www.rainforestrescue.org.au/explore-the-rainforest/save-the-cassowary/biology-physiology
https://creaturefacts.wordpress.com/2015/05/18/a-bird-with-a-kick-southern-cassowary/</t>
        </r>
      </text>
    </comment>
    <comment ref="V6" authorId="0" shapeId="0" xr:uid="{132107E5-9F41-4793-B95D-50B5FDDB661C}">
      <text>
        <r>
          <rPr>
            <b/>
            <sz val="9"/>
            <color indexed="81"/>
            <rFont val="Tahoma"/>
            <family val="2"/>
            <charset val="204"/>
          </rPr>
          <t>https://en.wikipedia.org/wiki/Southern_cassowary#cite_note-Davies-6</t>
        </r>
      </text>
    </comment>
    <comment ref="L7" authorId="0" shapeId="0" xr:uid="{5F076B03-9842-4084-A0EC-CC0E7A6F7EDE}">
      <text>
        <r>
          <rPr>
            <b/>
            <sz val="9"/>
            <color indexed="81"/>
            <rFont val="Tahoma"/>
            <family val="2"/>
            <charset val="204"/>
          </rPr>
          <t>Extrapolated from ostrich.</t>
        </r>
      </text>
    </comment>
    <comment ref="U7" authorId="0" shapeId="0" xr:uid="{782306FA-FFA5-4706-ACA8-C7A1E49C16B3}">
      <text>
        <r>
          <rPr>
            <b/>
            <sz val="9"/>
            <color indexed="81"/>
            <rFont val="Tahoma"/>
            <family val="2"/>
            <charset val="204"/>
          </rPr>
          <t>Speculative (foot + claw = 15 cm)</t>
        </r>
      </text>
    </comment>
    <comment ref="V7" authorId="0" shapeId="0" xr:uid="{1FBFD79C-5282-47EB-BB01-96DE2B32EAEC}">
      <text>
        <r>
          <rPr>
            <b/>
            <sz val="9"/>
            <color indexed="81"/>
            <rFont val="Tahoma"/>
            <family val="2"/>
            <charset val="204"/>
          </rPr>
          <t>https://en.wikipedia.org/wiki/Emu</t>
        </r>
      </text>
    </comment>
    <comment ref="A8" authorId="0" shapeId="0" xr:uid="{C14FF190-9269-4276-8BE0-13B255EB81D6}">
      <text>
        <r>
          <rPr>
            <b/>
            <sz val="9"/>
            <color indexed="81"/>
            <rFont val="Tahoma"/>
            <family val="2"/>
            <charset val="204"/>
          </rPr>
          <t>Wild</t>
        </r>
      </text>
    </comment>
    <comment ref="L8" authorId="0" shapeId="0" xr:uid="{D60D0BD7-15F5-4279-8A09-C451300ED128}">
      <text>
        <r>
          <rPr>
            <b/>
            <sz val="9"/>
            <color indexed="81"/>
            <rFont val="Tahoma"/>
            <family val="2"/>
            <charset val="204"/>
          </rPr>
          <t>Speed of Ring-necked Pheasants.</t>
        </r>
      </text>
    </comment>
    <comment ref="U8" authorId="0" shapeId="0" xr:uid="{CB61FB33-483C-4DA5-863B-BA39B3A1E9D9}">
      <text>
        <r>
          <rPr>
            <b/>
            <sz val="9"/>
            <color indexed="81"/>
            <rFont val="Tahoma"/>
            <family val="2"/>
            <charset val="204"/>
          </rPr>
          <t>https://www.eveningtribune.com/story/sports/outdoors/2023/05/26/how-the-length-of-gobbler-spurs-can-help-age-a-wild-turkey/70251932007/#:~:text=At%20three%20years%20of%20age,their%20genetics%20and%20life%20history.</t>
        </r>
      </text>
    </comment>
    <comment ref="V8" authorId="0" shapeId="0" xr:uid="{C857E7F3-9B1D-484B-A6D9-1B6B0EBB40A4}">
      <text>
        <r>
          <rPr>
            <b/>
            <sz val="9"/>
            <color indexed="81"/>
            <rFont val="Tahoma"/>
            <family val="2"/>
            <charset val="204"/>
          </rPr>
          <t>https://scispace.com/pdf/morphological-studies-on-the-upper-beak-of-turkey-meleagris-138lm69uie.pdf</t>
        </r>
      </text>
    </comment>
    <comment ref="A9" authorId="0" shapeId="0" xr:uid="{A1C189F2-55A2-4103-A7EE-AE4904555E92}">
      <text>
        <r>
          <rPr>
            <b/>
            <sz val="9"/>
            <color indexed="81"/>
            <rFont val="Tahoma"/>
            <family val="2"/>
            <charset val="204"/>
          </rPr>
          <t>Adler</t>
        </r>
      </text>
    </comment>
    <comment ref="L9" authorId="0" shapeId="0" xr:uid="{B85AC9A6-98F8-4BBB-82E6-57FD41A27C71}">
      <text>
        <r>
          <rPr>
            <b/>
            <sz val="9"/>
            <color indexed="81"/>
            <rFont val="Tahoma"/>
            <family val="2"/>
            <charset val="204"/>
          </rPr>
          <t>Speed of Wood Duck.</t>
        </r>
      </text>
    </comment>
    <comment ref="V9" authorId="0" shapeId="0" xr:uid="{90027EE0-F979-48CA-BC3B-7BE5EF4FE485}">
      <text>
        <r>
          <rPr>
            <b/>
            <sz val="9"/>
            <color indexed="81"/>
            <rFont val="Tahoma"/>
            <family val="2"/>
            <charset val="204"/>
          </rPr>
          <t>https://www.sciencedirect.com/science/article/pii/S1056617123000454#:~:text=Beak%20Measurement%20Methods,-The%20frozen%20heads&amp;text=Beak%20length%202%20(BL2):,upper%20beak%20into%20the%20skull.&amp;text=Beak%20height%20(BH):%20from,bottom%20of%20the%20inferior%20mandible.</t>
        </r>
      </text>
    </comment>
    <comment ref="A10" authorId="0" shapeId="0" xr:uid="{471A57D4-E841-42E0-B6DE-AF0CCBADD161}">
      <text>
        <r>
          <rPr>
            <b/>
            <sz val="9"/>
            <color indexed="81"/>
            <rFont val="Tahoma"/>
            <family val="2"/>
            <charset val="204"/>
          </rPr>
          <t>Wild</t>
        </r>
      </text>
    </comment>
    <comment ref="L10" authorId="0" shapeId="0" xr:uid="{640EE9C1-4BE4-4A11-9A58-7929CBA18BC6}">
      <text>
        <r>
          <rPr>
            <b/>
            <sz val="9"/>
            <color indexed="81"/>
            <rFont val="Tahoma"/>
            <family val="2"/>
            <charset val="204"/>
          </rPr>
          <t>Speed of Wood Duck.</t>
        </r>
      </text>
    </comment>
    <comment ref="V10" authorId="0" shapeId="0" xr:uid="{A967B9F2-BB86-418B-A791-4A9D2353469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A11" authorId="0" shapeId="0" xr:uid="{BE1500E2-5A9B-4055-809C-C02D4D06BE7D}">
      <text>
        <r>
          <rPr>
            <b/>
            <sz val="9"/>
            <color indexed="81"/>
            <rFont val="Tahoma"/>
            <family val="2"/>
            <charset val="204"/>
          </rPr>
          <t>Moskovskaya</t>
        </r>
      </text>
    </comment>
    <comment ref="L11" authorId="0" shapeId="0" xr:uid="{B99C905E-93F0-473D-A49D-1102CBD6B3C0}">
      <text>
        <r>
          <rPr>
            <b/>
            <sz val="9"/>
            <color indexed="81"/>
            <rFont val="Tahoma"/>
            <family val="2"/>
            <charset val="204"/>
          </rPr>
          <t>Speed of Ring-necked Pheasants.</t>
        </r>
      </text>
    </comment>
    <comment ref="U11" authorId="0" shapeId="0" xr:uid="{61D9F4C1-45C6-4B8D-BBC4-538116B1B890}">
      <text>
        <r>
          <rPr>
            <b/>
            <sz val="9"/>
            <color indexed="81"/>
            <rFont val="Tahoma"/>
            <family val="2"/>
            <charset val="204"/>
          </rPr>
          <t>https://pmc.ncbi.nlm.nih.gov/articles/PMC11200594/</t>
        </r>
      </text>
    </comment>
    <comment ref="V11" authorId="0" shapeId="0" xr:uid="{8CFA7C5B-38EB-4CE1-879B-5C76AD7F45F1}">
      <text>
        <r>
          <rPr>
            <b/>
            <sz val="9"/>
            <color indexed="81"/>
            <rFont val="Tahoma"/>
            <family val="2"/>
            <charset val="204"/>
          </rPr>
          <t>https://www.sciencedirect.com/science/article/pii/S0032579124002451</t>
        </r>
      </text>
    </comment>
    <comment ref="V12" authorId="0" shapeId="0" xr:uid="{50F902ED-7FD4-4F69-A2C4-3130B3C8E442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https://www.researchgate.net/publication/296261474_Radiographic_studies_on_the_development_of_teeth_in_camels#:~:text=teeth%20camel%20cm.)-,1.,roots%20started%20differentiating%20with%20wide</t>
        </r>
      </text>
    </comment>
    <comment ref="L13" authorId="0" shapeId="0" xr:uid="{9C55EC17-4354-4B13-BBF8-2A8900D434BC}">
      <text>
        <r>
          <rPr>
            <b/>
            <sz val="9"/>
            <color indexed="81"/>
            <rFont val="Tahoma"/>
            <family val="2"/>
            <charset val="204"/>
          </rPr>
          <t>Speed of Lama guanacoe.</t>
        </r>
      </text>
    </comment>
    <comment ref="V13" authorId="0" shapeId="0" xr:uid="{A6073E31-CC42-43F8-89F6-0F74856C4A91}">
      <text>
        <r>
          <rPr>
            <b/>
            <sz val="9"/>
            <color indexed="81"/>
            <rFont val="Tahoma"/>
            <family val="2"/>
            <charset val="204"/>
          </rPr>
          <t>https://alpacasofmontana.com/blogs/alpaca-husbandry/the-anatomy-of-alpaca-teeth?srsltid=AfmBOoqj6zzy31qkQ1hi8udougDc_36aP9ML88wTijixSK1cZcUJF5S4</t>
        </r>
      </text>
    </comment>
    <comment ref="L17" authorId="0" shapeId="0" xr:uid="{2806B32C-1AEC-4FC4-90B3-3325F6899C7C}">
      <text>
        <r>
          <rPr>
            <b/>
            <sz val="9"/>
            <color indexed="81"/>
            <rFont val="Tahoma"/>
            <family val="2"/>
            <charset val="204"/>
          </rPr>
          <t>Speed of Panthera pardus.</t>
        </r>
      </text>
    </comment>
    <comment ref="U17" authorId="0" shapeId="0" xr:uid="{A979D7B5-8FC8-444B-B398-7B2FCE477053}">
      <text>
        <r>
          <rPr>
            <b/>
            <sz val="9"/>
            <color indexed="81"/>
            <rFont val="Tahoma"/>
            <family val="2"/>
            <charset val="204"/>
          </rPr>
          <t>https://boneclones.com/product/cougar-claw-KO-053</t>
        </r>
      </text>
    </comment>
    <comment ref="U18" authorId="0" shapeId="0" xr:uid="{7CCEEB9B-AEF0-427A-8A32-43D410438D2C}">
      <text>
        <r>
          <rPr>
            <b/>
            <sz val="9"/>
            <color indexed="81"/>
            <rFont val="Tahoma"/>
            <family val="2"/>
            <charset val="204"/>
          </rPr>
          <t>https://www.skullsunlimited.com/products/replica-jaguar-claw-ko-072?srsltid=AfmBOoo4xuy3sH-kcDhcJAykX-trLLeU-hzr-7gxTQl4RHbo1vEvpacM</t>
        </r>
      </text>
    </comment>
    <comment ref="U19" authorId="0" shapeId="0" xr:uid="{6E2063C8-1C0F-4035-8966-25416BAAD657}">
      <text>
        <r>
          <rPr>
            <b/>
            <sz val="9"/>
            <color indexed="81"/>
            <rFont val="Tahoma"/>
            <family val="2"/>
            <charset val="204"/>
          </rPr>
          <t>https://boneclones.com/product/russian-lynx-claw-KO-058</t>
        </r>
      </text>
    </comment>
    <comment ref="U20" authorId="0" shapeId="0" xr:uid="{2B79776E-AF76-48AA-A57C-6003F5F81A18}">
      <text>
        <r>
          <rPr>
            <b/>
            <sz val="9"/>
            <color indexed="81"/>
            <rFont val="Tahoma"/>
            <family val="2"/>
            <charset val="204"/>
          </rPr>
          <t>https://www.skullsunlimited.com/products/real-domestic-cat-claw-2cm-cw-16</t>
        </r>
      </text>
    </comment>
    <comment ref="V21" authorId="0" shapeId="0" xr:uid="{E2DF414B-0B68-4513-ADD6-9749E1813BBA}">
      <text>
        <r>
          <rPr>
            <b/>
            <sz val="9"/>
            <color indexed="81"/>
            <rFont val="Tahoma"/>
            <family val="2"/>
            <charset val="204"/>
          </rPr>
          <t>https://nedp.com.au/articles/canine-teeth-bridle-teeth</t>
        </r>
      </text>
    </comment>
    <comment ref="L22" authorId="0" shapeId="0" xr:uid="{7071E738-1239-42E3-A791-981E8BE52D08}">
      <text>
        <r>
          <rPr>
            <b/>
            <sz val="9"/>
            <color indexed="81"/>
            <rFont val="Tahoma"/>
            <family val="2"/>
            <charset val="204"/>
          </rPr>
          <t>Speed of Equus zebra.</t>
        </r>
      </text>
    </comment>
    <comment ref="V22" authorId="0" shapeId="0" xr:uid="{BED146B9-F3A4-48B6-8FE0-6DE97D0AB9BC}">
      <text>
        <r>
          <rPr>
            <b/>
            <sz val="9"/>
            <color indexed="81"/>
            <rFont val="Tahoma"/>
            <family val="2"/>
            <charset val="204"/>
          </rPr>
          <t>https://nedp.com.au/articles/canine-teeth-bridle-teeth</t>
        </r>
      </text>
    </comment>
    <comment ref="V23" authorId="0" shapeId="0" xr:uid="{524EAC12-5AEF-4F9E-AF82-AF73F0AB57D8}">
      <text>
        <r>
          <rPr>
            <b/>
            <sz val="9"/>
            <color indexed="81"/>
            <rFont val="Tahoma"/>
            <family val="2"/>
            <charset val="204"/>
          </rPr>
          <t>https://doi.org/10.1177/089875641102800205</t>
        </r>
      </text>
    </comment>
    <comment ref="L24" authorId="0" shapeId="0" xr:uid="{FFBB0849-E48B-447B-909F-4230812F4B8E}">
      <text>
        <r>
          <rPr>
            <b/>
            <sz val="9"/>
            <color indexed="81"/>
            <rFont val="Tahoma"/>
            <family val="2"/>
            <charset val="204"/>
          </rPr>
          <t xml:space="preserve">Speed of </t>
        </r>
        <r>
          <rPr>
            <b/>
            <i/>
            <sz val="9"/>
            <color indexed="81"/>
            <rFont val="Tahoma"/>
            <family val="2"/>
            <charset val="204"/>
          </rPr>
          <t>Lepus europeus</t>
        </r>
      </text>
    </comment>
    <comment ref="V24" authorId="0" shapeId="0" xr:uid="{F217C502-0354-4471-BF6B-7E3D93FED922}">
      <text>
        <r>
          <rPr>
            <b/>
            <sz val="9"/>
            <color indexed="81"/>
            <rFont val="Tahoma"/>
            <family val="2"/>
            <charset val="204"/>
          </rPr>
          <t>https://doi.org/10.1177/089875641102800205</t>
        </r>
      </text>
    </comment>
    <comment ref="V25" authorId="0" shapeId="0" xr:uid="{1C086AD3-F440-4B06-913A-EB1E4919175D}">
      <text>
        <r>
          <rPr>
            <b/>
            <sz val="9"/>
            <color indexed="81"/>
            <rFont val="Tahoma"/>
            <family val="2"/>
            <charset val="204"/>
          </rPr>
          <t>https://rhinoresourcecenter.com/wp-content/uploads/2006/12/1271802712.pdf</t>
        </r>
      </text>
    </comment>
    <comment ref="W25" authorId="0" shapeId="0" xr:uid="{3C279AC4-8240-42B7-BF52-DCBF03813135}">
      <text>
        <r>
          <rPr>
            <b/>
            <sz val="9"/>
            <color indexed="81"/>
            <rFont val="Tahoma"/>
            <family val="2"/>
            <charset val="204"/>
          </rPr>
          <t>https://rhinoresourcecenter.com/wp-content/uploads/2025/06/1291428227.pdf</t>
        </r>
      </text>
    </comment>
    <comment ref="L26" authorId="0" shapeId="0" xr:uid="{C094CECB-0123-44E7-B93F-39DF765ED844}">
      <text>
        <r>
          <rPr>
            <b/>
            <sz val="9"/>
            <color indexed="81"/>
            <rFont val="Tahoma"/>
            <family val="2"/>
            <charset val="204"/>
          </rPr>
          <t>Speed of Elephas maximus (more realistic)</t>
        </r>
      </text>
    </comment>
    <comment ref="W26" authorId="0" shapeId="0" xr:uid="{67BFE7DC-A42A-4244-AABB-4A92D99C60A9}">
      <text>
        <r>
          <rPr>
            <b/>
            <sz val="9"/>
            <color indexed="81"/>
            <rFont val="Tahoma"/>
            <family val="2"/>
            <charset val="204"/>
          </rPr>
          <t>https://pmc.ncbi.nlm.nih.gov/articles/PMC6102531/</t>
        </r>
      </text>
    </comment>
    <comment ref="L27" authorId="0" shapeId="0" xr:uid="{79306FD2-CC61-4CFE-8D85-AAD5FBC8B3DB}">
      <text>
        <r>
          <rPr>
            <b/>
            <sz val="9"/>
            <color indexed="81"/>
            <rFont val="Tahoma"/>
            <family val="2"/>
            <charset val="204"/>
          </rPr>
          <t>Speed reported for Loxodonta africana.</t>
        </r>
      </text>
    </comment>
    <comment ref="W27" authorId="0" shapeId="0" xr:uid="{5DF698A6-F2DE-4CCE-8321-EA7B4F9D182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8" authorId="0" shapeId="0" xr:uid="{9453BEBD-CFC8-41AC-880E-1372A08D7D74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L28" authorId="0" shapeId="0" xr:uid="{0EA7C4C6-99C1-4858-927C-CCEEA7925F10}">
      <text>
        <r>
          <rPr>
            <b/>
            <sz val="9"/>
            <color indexed="81"/>
            <rFont val="Tahoma"/>
            <family val="2"/>
            <charset val="204"/>
          </rPr>
          <t>Speed of Elephas maximus.</t>
        </r>
      </text>
    </comment>
    <comment ref="U28" authorId="0" shapeId="0" xr:uid="{7D0415ED-3ED8-4156-89A0-EC0598C7D63B}">
      <text>
        <r>
          <rPr>
            <b/>
            <sz val="9"/>
            <color indexed="81"/>
            <rFont val="Tahoma"/>
            <family val="2"/>
            <charset val="204"/>
          </rPr>
          <t>https://a-z-animals.com/slideshows/this-prehistoric-ground-sloth-weighed-4-tons-and-had-7-inch-claws/</t>
        </r>
      </text>
    </comment>
    <comment ref="V28" authorId="0" shapeId="0" xr:uid="{0AB4A49B-54ED-4743-93A6-72E07FFDAEFB}">
      <text>
        <r>
          <rPr>
            <b/>
            <sz val="9"/>
            <color indexed="81"/>
            <rFont val="Tahoma"/>
            <family val="2"/>
            <charset val="204"/>
          </rPr>
          <t>https://www.app.pan.pl/archive/published/app46/app46-173.pdf</t>
        </r>
      </text>
    </comment>
    <comment ref="L29" authorId="0" shapeId="0" xr:uid="{082CFA70-F503-4A2A-9C27-A20D408ACB0D}">
      <text>
        <r>
          <rPr>
            <b/>
            <sz val="9"/>
            <color indexed="81"/>
            <rFont val="Tahoma"/>
            <family val="2"/>
            <charset val="204"/>
          </rPr>
          <t>Extrapolated from aerobic speed.</t>
        </r>
      </text>
    </comment>
    <comment ref="V29" authorId="0" shapeId="0" xr:uid="{CC09F2F2-BE8F-4476-91B8-ABA94793EC74}">
      <text>
        <r>
          <rPr>
            <b/>
            <sz val="9"/>
            <color indexed="81"/>
            <rFont val="Tahoma"/>
            <family val="2"/>
            <charset val="204"/>
          </rPr>
          <t>https://www.activestudy.info/cherep-i-zubnaya-sistema-kabana/</t>
        </r>
      </text>
    </comment>
    <comment ref="W29" authorId="0" shapeId="0" xr:uid="{E50C290B-D7E8-4B83-B898-72E6B021E1A7}">
      <text>
        <r>
          <rPr>
            <b/>
            <sz val="9"/>
            <color indexed="81"/>
            <rFont val="Tahoma"/>
            <family val="2"/>
            <charset val="204"/>
          </rPr>
          <t>https://silvabalcanica.wordpress.com/wp-content/uploads/2013/11/2010_9.pdf</t>
        </r>
      </text>
    </comment>
    <comment ref="A30" authorId="0" shapeId="0" xr:uid="{C09F2DB0-BB8A-4522-BAB7-C22D720A888A}">
      <text>
        <r>
          <rPr>
            <b/>
            <sz val="9"/>
            <color indexed="81"/>
            <rFont val="Tahoma"/>
            <family val="2"/>
            <charset val="204"/>
          </rPr>
          <t>Estonian Bacon</t>
        </r>
      </text>
    </comment>
    <comment ref="L30" authorId="0" shapeId="0" xr:uid="{AB20CE92-2DC9-4D98-A484-38DCAD8D73D2}">
      <text>
        <r>
          <rPr>
            <b/>
            <sz val="9"/>
            <color indexed="81"/>
            <rFont val="Tahoma"/>
            <family val="2"/>
            <charset val="204"/>
          </rPr>
          <t>Extrapolated from aerobic speed.</t>
        </r>
      </text>
    </comment>
    <comment ref="V30" authorId="0" shapeId="0" xr:uid="{CD99CC90-3325-4C1D-B92D-0C768EDF39F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2" authorId="0" shapeId="0" xr:uid="{3E652403-1C34-4AF8-8DDB-09D6C9AFD9B2}">
      <text>
        <r>
          <rPr>
            <b/>
            <sz val="9"/>
            <color indexed="81"/>
            <rFont val="Tahoma"/>
            <family val="2"/>
            <charset val="204"/>
          </rPr>
          <t>Scaled from smaller lizard.</t>
        </r>
      </text>
    </comment>
    <comment ref="U32" authorId="0" shapeId="0" xr:uid="{F84C7284-B4C4-4A08-959D-BB7637A694A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2" authorId="0" shapeId="0" xr:uid="{19457100-4145-427B-BE82-A7592190D971}">
      <text>
        <r>
          <rPr>
            <b/>
            <sz val="9"/>
            <color indexed="81"/>
            <rFont val="Tahoma"/>
            <family val="2"/>
            <charset val="204"/>
          </rPr>
          <t>Speculative (many small teeth)</t>
        </r>
      </text>
    </comment>
    <comment ref="G33" authorId="0" shapeId="0" xr:uid="{745660E7-8E9C-4508-A070-A234DD05A084}">
      <text>
        <r>
          <rPr>
            <b/>
            <sz val="9"/>
            <color indexed="81"/>
            <rFont val="Tahoma"/>
            <family val="2"/>
            <charset val="204"/>
          </rPr>
          <t>https://www.khaosok.com/national-park/king-cobra/</t>
        </r>
      </text>
    </comment>
    <comment ref="V33" authorId="0" shapeId="0" xr:uid="{9A649259-CE1A-48F4-866D-F9AA6B08075D}">
      <text>
        <r>
          <rPr>
            <b/>
            <sz val="9"/>
            <color indexed="81"/>
            <rFont val="Tahoma"/>
            <family val="2"/>
            <charset val="204"/>
          </rPr>
          <t>https://nationalzoo.si.edu/animals/king-cobra</t>
        </r>
      </text>
    </comment>
    <comment ref="L34" authorId="0" shapeId="0" xr:uid="{54E6BD56-BA2F-400F-A81C-2A15D2632649}">
      <text>
        <r>
          <rPr>
            <b/>
            <sz val="9"/>
            <color indexed="81"/>
            <rFont val="Tahoma"/>
            <family val="2"/>
            <charset val="204"/>
          </rPr>
          <t>Scaled to larger one.</t>
        </r>
      </text>
    </comment>
    <comment ref="V34" authorId="0" shapeId="0" xr:uid="{3A034605-83CF-4008-9741-543BE6317AE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5" authorId="0" shapeId="0" xr:uid="{02ED9629-4662-454E-8F1A-EF7B4E7D0E3B}">
      <text>
        <r>
          <rPr>
            <b/>
            <sz val="9"/>
            <color indexed="81"/>
            <rFont val="Tahoma"/>
            <family val="2"/>
            <charset val="204"/>
          </rPr>
          <t>Extrapolated from aerobic speed.</t>
        </r>
      </text>
    </comment>
    <comment ref="V35" authorId="0" shapeId="0" xr:uid="{458A8BEA-CEBD-4887-8B1D-22279DDD281F}">
      <text>
        <r>
          <rPr>
            <b/>
            <sz val="9"/>
            <color indexed="81"/>
            <rFont val="Tahoma"/>
            <family val="2"/>
            <charset val="204"/>
          </rPr>
          <t>http://www.ratbehavior.org/Teeth.htm#:~:text=The%20rat's%20incisors%20are%20the,from%20wearing%20their%20teeth%20away.</t>
        </r>
      </text>
    </comment>
    <comment ref="V36" authorId="0" shapeId="0" xr:uid="{ACFC6CE1-B545-4EE8-8F82-CF3601D54B97}">
      <text>
        <r>
          <rPr>
            <b/>
            <sz val="9"/>
            <color indexed="81"/>
            <rFont val="Tahoma"/>
            <family val="2"/>
            <charset val="204"/>
          </rPr>
          <t>Speculative (= those of rat)</t>
        </r>
      </text>
    </comment>
    <comment ref="V37" authorId="0" shapeId="0" xr:uid="{FA100F94-BBA1-4600-A1A3-56D227CD6E4D}">
      <text>
        <r>
          <rPr>
            <b/>
            <sz val="9"/>
            <color indexed="81"/>
            <rFont val="Tahoma"/>
            <family val="2"/>
            <charset val="204"/>
          </rPr>
          <t>Speculative (= those of rat)</t>
        </r>
      </text>
    </comment>
    <comment ref="V38" authorId="0" shapeId="0" xr:uid="{7DB3B884-1686-4586-BC44-07CCC6898618}">
      <text>
        <r>
          <rPr>
            <b/>
            <sz val="9"/>
            <color indexed="81"/>
            <rFont val="Tahoma"/>
            <family val="2"/>
            <charset val="204"/>
          </rPr>
          <t>https://a-z-animals.com/blog/chinchilla-teeth-everything-you-need-to-know/</t>
        </r>
      </text>
    </comment>
    <comment ref="V39" authorId="0" shapeId="0" xr:uid="{859C8328-75CF-45A3-BB81-10663CF391C6}">
      <text>
        <r>
          <rPr>
            <b/>
            <sz val="9"/>
            <color indexed="81"/>
            <rFont val="Tahoma"/>
            <family val="2"/>
            <charset val="204"/>
          </rPr>
          <t>https://a-z-animals.com/animals/capybara/capybara-teeth-everything-you-need-to-know/</t>
        </r>
      </text>
    </comment>
    <comment ref="V40" authorId="0" shapeId="0" xr:uid="{1423A32A-716E-4865-B355-668FC70A302C}">
      <text>
        <r>
          <rPr>
            <b/>
            <sz val="9"/>
            <color indexed="81"/>
            <rFont val="Tahoma"/>
            <family val="2"/>
            <charset val="204"/>
          </rPr>
          <t>https://littlemedicalschool.com/ottawa/blog/why-do-beavers-eat-wood/#:~:text=Beavers'%20teeth%20are%20golden%2Dorange,through%20hard%20objects%20like%20wood.</t>
        </r>
      </text>
    </comment>
    <comment ref="AN40" authorId="0" shapeId="0" xr:uid="{25BA098E-0F12-46A3-B3AD-F44840EB48F8}">
      <text>
        <r>
          <rPr>
            <b/>
            <sz val="9"/>
            <color indexed="81"/>
            <rFont val="Tahoma"/>
            <family val="2"/>
            <charset val="204"/>
          </rPr>
          <t>https://nationalzoo.si.edu/animals/beaver</t>
        </r>
      </text>
    </comment>
    <comment ref="F41" authorId="0" shapeId="0" xr:uid="{414F5370-5D83-4511-B3FB-0D84DE4C354A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41" authorId="0" shapeId="0" xr:uid="{63754809-82B0-43B7-B8A2-5CE8E4B07F3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42" authorId="0" shapeId="0" xr:uid="{A7313FFD-F1AA-477B-A4C6-3B1A4BD16F52}">
      <text>
        <r>
          <rPr>
            <b/>
            <sz val="9"/>
            <color indexed="81"/>
            <rFont val="Tahoma"/>
            <family val="2"/>
            <charset val="204"/>
          </rPr>
          <t>https://www.ibs.bialowieza.pl/g2/pdf/1357.pdf
Body mass and measurements of the European bison
during postnatal development</t>
        </r>
      </text>
    </comment>
    <comment ref="A43" authorId="0" shapeId="0" xr:uid="{C393D330-1CB7-4200-B11C-23490D2AB18B}">
      <text>
        <r>
          <rPr>
            <b/>
            <sz val="9"/>
            <color indexed="81"/>
            <rFont val="Tahoma"/>
            <family val="2"/>
            <charset val="204"/>
          </rPr>
          <t>Brown Swiss cattle</t>
        </r>
      </text>
    </comment>
    <comment ref="L43" authorId="0" shapeId="0" xr:uid="{AD5ED500-B54B-4771-BB40-E724FF818A5D}">
      <text>
        <r>
          <rPr>
            <b/>
            <sz val="9"/>
            <color indexed="81"/>
            <rFont val="Tahoma"/>
            <family val="2"/>
            <charset val="204"/>
          </rPr>
          <t>Speed of Bos sauveli</t>
        </r>
      </text>
    </comment>
    <comment ref="W43" authorId="0" shapeId="0" xr:uid="{0C346EC8-1F3E-4A58-B497-7BB195DAA427}">
      <text>
        <r>
          <rPr>
            <b/>
            <sz val="9"/>
            <color indexed="81"/>
            <rFont val="Tahoma"/>
            <family val="2"/>
            <charset val="204"/>
          </rPr>
          <t>https://www.thecattlesite.com/articles/4237/how-much-do-horns-grow-through-the-feedlot-phase/</t>
        </r>
      </text>
    </comment>
    <comment ref="F44" authorId="0" shapeId="0" xr:uid="{E05265C9-DC5F-4093-A4BE-E83C763C82FB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W44" authorId="0" shapeId="0" xr:uid="{0990AD3F-5E9D-4021-81EC-0F72C8FA86F2}">
      <text>
        <r>
          <rPr>
            <b/>
            <sz val="9"/>
            <color indexed="81"/>
            <rFont val="Tahoma"/>
            <family val="2"/>
            <charset val="204"/>
          </rPr>
          <t>Speculative.</t>
        </r>
      </text>
    </comment>
    <comment ref="L45" authorId="0" shapeId="0" xr:uid="{D7C0DDF5-F33C-4563-A18B-806612540E12}">
      <text>
        <r>
          <rPr>
            <b/>
            <sz val="9"/>
            <color indexed="81"/>
            <rFont val="Tahoma"/>
            <family val="2"/>
            <charset val="204"/>
          </rPr>
          <t>Speed of Bos sauveli</t>
        </r>
      </text>
    </comment>
    <comment ref="W45" authorId="0" shapeId="0" xr:uid="{16F18521-35DF-4140-974C-C1A564AF358D}">
      <text>
        <r>
          <rPr>
            <b/>
            <sz val="9"/>
            <color indexed="81"/>
            <rFont val="Tahoma"/>
            <family val="2"/>
            <charset val="204"/>
          </rPr>
          <t>https://biology.stackexchange.com/questions/60285/whose-horns-are-these</t>
        </r>
      </text>
    </comment>
    <comment ref="W46" authorId="0" shapeId="0" xr:uid="{13FB7C0E-1CD6-4C79-8C50-D8DEF54DB72E}">
      <text>
        <r>
          <rPr>
            <b/>
            <sz val="9"/>
            <color indexed="81"/>
            <rFont val="Tahoma"/>
            <family val="2"/>
            <charset val="204"/>
          </rPr>
          <t>https://www.zoology.dp.ua/z_09_209.html</t>
        </r>
      </text>
    </comment>
    <comment ref="F47" authorId="0" shapeId="0" xr:uid="{9A16988C-BAE3-4754-A915-5A0A3A52A518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L47" authorId="0" shapeId="0" xr:uid="{A9E93BB3-46C8-4B52-8A7B-15775A033CBF}">
      <text>
        <r>
          <rPr>
            <b/>
            <sz val="9"/>
            <color indexed="81"/>
            <rFont val="Tahoma"/>
            <family val="2"/>
            <charset val="204"/>
          </rPr>
          <t>Speed of Bos sauveli</t>
        </r>
      </text>
    </comment>
    <comment ref="V47" authorId="0" shapeId="0" xr:uid="{7AC9A158-6EFE-4001-BD6D-B49B5D80EDA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48" authorId="0" shapeId="0" xr:uid="{BF742D77-A0FB-46DF-AA5D-ED8665EC89CF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L48" authorId="0" shapeId="0" xr:uid="{3535F219-3AC8-4E4B-87E0-5F65BD848703}">
      <text>
        <r>
          <rPr>
            <b/>
            <sz val="9"/>
            <color indexed="81"/>
            <rFont val="Tahoma"/>
            <family val="2"/>
            <charset val="204"/>
          </rPr>
          <t>Speed of Bos sauveli</t>
        </r>
      </text>
    </comment>
    <comment ref="V48" authorId="0" shapeId="0" xr:uid="{03ED2A8A-1903-4D82-A853-0362D533DB9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49" authorId="0" shapeId="0" xr:uid="{7E5976C8-92D0-4460-B1C2-FDC49F583E73}">
      <text>
        <r>
          <rPr>
            <b/>
            <sz val="9"/>
            <color indexed="81"/>
            <rFont val="Tahoma"/>
            <family val="2"/>
            <charset val="204"/>
          </rPr>
          <t>http://www.kgau.ru/vestnik/2021_9/content/17.pdf
ВЛИЯНИЕ УГЛЕВОДНО-ВИТАМИННО-МИНЕРАЛЬНОГО КОРМОВОГО КОНЦЕНТРАТА
НА ПАНТЫ ДОМАШНЕГО СЕВЕРНОГО ОЛЕНЯ</t>
        </r>
      </text>
    </comment>
    <comment ref="L50" authorId="0" shapeId="0" xr:uid="{30A7F30D-F9A5-4766-A26B-4244A7D18CCE}">
      <text>
        <r>
          <rPr>
            <b/>
            <sz val="9"/>
            <color indexed="81"/>
            <rFont val="Tahoma"/>
            <family val="2"/>
            <charset val="204"/>
          </rPr>
          <t>Speed of Capra caucasia.</t>
        </r>
      </text>
    </comment>
    <comment ref="W50" authorId="0" shapeId="0" xr:uid="{773D8084-8131-451B-AC42-351BF515E9E2}">
      <text>
        <r>
          <rPr>
            <b/>
            <sz val="9"/>
            <color indexed="81"/>
            <rFont val="Tahoma"/>
            <family val="2"/>
            <charset val="204"/>
          </rPr>
          <t>https://besjournals.onlinelibrary.wiley.com/doi/full/10.1111/j.1365-2656.2007.01254.x</t>
        </r>
      </text>
    </comment>
    <comment ref="A51" authorId="0" shapeId="0" xr:uid="{2D0DAFD7-8F6B-482C-977C-E31F3D35A639}">
      <text>
        <r>
          <rPr>
            <b/>
            <sz val="9"/>
            <color indexed="81"/>
            <rFont val="Tahoma"/>
            <family val="2"/>
            <charset val="204"/>
          </rPr>
          <t>Saanen</t>
        </r>
      </text>
    </comment>
    <comment ref="L51" authorId="0" shapeId="0" xr:uid="{E5166A58-5BB0-4AC3-AE52-5E574D8EF46A}">
      <text>
        <r>
          <rPr>
            <b/>
            <sz val="9"/>
            <color indexed="81"/>
            <rFont val="Tahoma"/>
            <family val="2"/>
            <charset val="204"/>
          </rPr>
          <t>Extrapolated from aerobic speed.</t>
        </r>
      </text>
    </comment>
    <comment ref="W51" authorId="0" shapeId="0" xr:uid="{76BAF493-117E-4D52-8CC7-573321A664C5}">
      <text>
        <r>
          <rPr>
            <b/>
            <sz val="9"/>
            <color indexed="81"/>
            <rFont val="Tahoma"/>
            <family val="2"/>
            <charset val="204"/>
          </rPr>
          <t>https://www.skullsunlimited.com/products/real-domestic-goat-horn-single?srsltid=AfmBOooHpwLTeVUPOVEdc7Ca_ah8k4FtjeL6L4pRg9eLqUbDQMNsNC-J</t>
        </r>
      </text>
    </comment>
    <comment ref="A52" authorId="0" shapeId="0" xr:uid="{2485608E-B457-45DF-9472-C230F0171312}">
      <text>
        <r>
          <rPr>
            <b/>
            <sz val="9"/>
            <color indexed="81"/>
            <rFont val="Tahoma"/>
            <family val="2"/>
            <charset val="204"/>
          </rPr>
          <t>Merino</t>
        </r>
      </text>
    </comment>
    <comment ref="L52" authorId="0" shapeId="0" xr:uid="{252B11AD-1EC8-47D1-897A-E616C2F568D1}">
      <text>
        <r>
          <rPr>
            <b/>
            <sz val="9"/>
            <color indexed="81"/>
            <rFont val="Tahoma"/>
            <family val="2"/>
            <charset val="204"/>
          </rPr>
          <t>Extrapolated from aerobic speed.</t>
        </r>
      </text>
    </comment>
    <comment ref="W52" authorId="0" shapeId="0" xr:uid="{0791E118-882A-426B-A43C-6AE453FE16EF}">
      <text>
        <r>
          <rPr>
            <b/>
            <sz val="9"/>
            <color indexed="81"/>
            <rFont val="Tahoma"/>
            <family val="2"/>
            <charset val="204"/>
          </rPr>
          <t>https://analyticalsciencejournals.onlinelibrary.wiley.com/doi/abs/10.1002/jemt.22681</t>
        </r>
      </text>
    </comment>
    <comment ref="W53" authorId="0" shapeId="0" xr:uid="{91944C59-0D5B-4A6D-B2C2-011D709A0E3E}">
      <text>
        <r>
          <rPr>
            <b/>
            <sz val="9"/>
            <color indexed="81"/>
            <rFont val="Tahoma"/>
            <family val="2"/>
            <charset val="204"/>
          </rPr>
          <t>https://nsojournals.onlinelibrary.wiley.com/doi/full/10.2981/wlb.2000.031</t>
        </r>
      </text>
    </comment>
    <comment ref="W54" authorId="0" shapeId="0" xr:uid="{174E84DA-FD7B-42C2-A522-5DB1F230C246}">
      <text>
        <r>
          <rPr>
            <b/>
            <sz val="9"/>
            <color indexed="81"/>
            <rFont val="Tahoma"/>
            <family val="2"/>
            <charset val="204"/>
          </rPr>
          <t>https://academic.oup.com/mspecies/article/doi/10.2307/0.490.1/2600714</t>
        </r>
      </text>
    </comment>
    <comment ref="F61" authorId="0" shapeId="0" xr:uid="{A1065B87-0F06-4387-8BB2-23023B2FE1D8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61" authorId="0" shapeId="0" xr:uid="{FD61A81B-6823-4B67-9E19-2CAD14CD1520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62" authorId="0" shapeId="0" xr:uid="{F1A44344-2E80-4E19-AE31-E5331E44A109}">
      <text>
        <r>
          <rPr>
            <b/>
            <sz val="9"/>
            <color indexed="81"/>
            <rFont val="Tahoma"/>
            <family val="2"/>
            <charset val="204"/>
          </rPr>
          <t>Minimum reported for bears.</t>
        </r>
      </text>
    </comment>
    <comment ref="U62" authorId="0" shapeId="0" xr:uid="{3E123FC1-83BE-4BCB-A8E9-CC98C6071C9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63" authorId="0" shapeId="0" xr:uid="{F2E6DD21-3A4B-4A51-AB0D-08D373E3216B}">
      <text>
        <r>
          <rPr>
            <b/>
            <sz val="9"/>
            <color indexed="81"/>
            <rFont val="Tahoma"/>
            <family val="2"/>
            <charset val="204"/>
          </rPr>
          <t>Speed of Ring-necked Pheasants.</t>
        </r>
      </text>
    </comment>
    <comment ref="U63" authorId="0" shapeId="0" xr:uid="{04D692CD-841F-4273-8B14-8E2D77E7EE4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63" authorId="0" shapeId="0" xr:uid="{D73719A6-B522-47B8-AA4B-3B6CCC464F0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64" authorId="0" shapeId="0" xr:uid="{56D5A4EF-9EB5-4F28-B69E-67162F0BBCDE}">
      <text>
        <r>
          <rPr>
            <b/>
            <sz val="9"/>
            <color indexed="81"/>
            <rFont val="Tahoma"/>
            <family val="2"/>
            <charset val="204"/>
          </rPr>
          <t>Speed of Ring-necked Pheasants.</t>
        </r>
      </text>
    </comment>
    <comment ref="U64" authorId="0" shapeId="0" xr:uid="{803310DF-8B85-4E17-B44C-1AD3914C465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64" authorId="0" shapeId="0" xr:uid="{06530DDC-888F-45A3-B0ED-3B0DC32198D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65" authorId="0" shapeId="0" xr:uid="{BF6F64FE-EADF-414F-BDDE-45BEAF456085}">
      <text>
        <r>
          <rPr>
            <b/>
            <sz val="9"/>
            <color indexed="81"/>
            <rFont val="Tahoma"/>
            <family val="2"/>
            <charset val="204"/>
          </rPr>
          <t>Speed of Ring-necked Pheasants.</t>
        </r>
      </text>
    </comment>
    <comment ref="U65" authorId="0" shapeId="0" xr:uid="{45F417F8-E3A0-4D07-B7FB-70CC2BB6CAC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65" authorId="0" shapeId="0" xr:uid="{308A6564-AC2E-452D-959D-DB5875690310}">
      <text>
        <r>
          <rPr>
            <b/>
            <sz val="9"/>
            <color indexed="81"/>
            <rFont val="Tahoma"/>
            <family val="2"/>
            <charset val="204"/>
          </rPr>
          <t>https://en.wikipedia.org/wiki/Common_raven</t>
        </r>
      </text>
    </comment>
    <comment ref="L66" authorId="0" shapeId="0" xr:uid="{6D5030F6-1A19-48B8-9E32-FD61FE9C5113}">
      <text>
        <r>
          <rPr>
            <b/>
            <sz val="9"/>
            <color indexed="81"/>
            <rFont val="Tahoma"/>
            <family val="2"/>
            <charset val="204"/>
          </rPr>
          <t>Speed of Ring-necked Pheasants.</t>
        </r>
      </text>
    </comment>
    <comment ref="U66" authorId="0" shapeId="0" xr:uid="{F09B8DC7-A164-445F-8B4B-873CE90254C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66" authorId="0" shapeId="0" xr:uid="{956BD3E7-FB63-4339-9396-258FC59CB0A8}">
      <text>
        <r>
          <rPr>
            <b/>
            <sz val="9"/>
            <color indexed="81"/>
            <rFont val="Tahoma"/>
            <family val="2"/>
            <charset val="204"/>
          </rPr>
          <t>https://skullsite.com/skullpage/ara-macao-scarlet-macaw/</t>
        </r>
      </text>
    </comment>
    <comment ref="A67" authorId="0" shapeId="0" xr:uid="{F8EC69AC-DA15-4CBC-886A-23E21548BBAB}">
      <text>
        <r>
          <rPr>
            <b/>
            <sz val="9"/>
            <color indexed="81"/>
            <rFont val="Tahoma"/>
            <family val="2"/>
            <charset val="204"/>
          </rPr>
          <t>Wild</t>
        </r>
      </text>
    </comment>
    <comment ref="L67" authorId="0" shapeId="0" xr:uid="{C0AE26AA-DA75-4CEF-85EA-3569FDF9F267}">
      <text>
        <r>
          <rPr>
            <b/>
            <sz val="9"/>
            <color indexed="81"/>
            <rFont val="Tahoma"/>
            <family val="2"/>
            <charset val="204"/>
          </rPr>
          <t>Speed of Ring-necked Pheasants.</t>
        </r>
      </text>
    </comment>
    <comment ref="U67" authorId="0" shapeId="0" xr:uid="{DB1377AA-9205-406D-809F-142DE922779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67" authorId="0" shapeId="0" xr:uid="{636B0133-82AA-4C7B-AFE2-99A4888EBDC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68" authorId="0" shapeId="0" xr:uid="{EC96AAE6-F2C1-41AF-9D61-50AA54E31DFF}">
      <text>
        <r>
          <rPr>
            <b/>
            <sz val="9"/>
            <color indexed="81"/>
            <rFont val="Tahoma"/>
            <family val="2"/>
            <charset val="204"/>
          </rPr>
          <t>Speed of Wood Duck.</t>
        </r>
      </text>
    </comment>
    <comment ref="V68" authorId="0" shapeId="0" xr:uid="{E233C930-87DA-4711-808E-5C46A3873E43}">
      <text>
        <r>
          <rPr>
            <b/>
            <sz val="9"/>
            <color indexed="81"/>
            <rFont val="Tahoma"/>
            <family val="2"/>
            <charset val="204"/>
          </rPr>
          <t>https://www.sciencedirect.com/science/article/pii/S1056617123000454#:~:text=Beak%20Measurement%20Methods,-The%20frozen%20heads&amp;text=Beak%20length%202%20(BL2):,upper%20beak%20into%20the%20skull.&amp;text=Beak%20height%20(BH):%20from,bottom%20of%20the%20inferior%20mandible.</t>
        </r>
      </text>
    </comment>
    <comment ref="L69" authorId="0" shapeId="0" xr:uid="{37FEFF47-CB31-43F5-B632-E89889387671}">
      <text>
        <r>
          <rPr>
            <b/>
            <sz val="9"/>
            <color indexed="81"/>
            <rFont val="Tahoma"/>
            <family val="2"/>
            <charset val="204"/>
          </rPr>
          <t>Speed of Wood Duck.</t>
        </r>
      </text>
    </comment>
    <comment ref="V69" authorId="0" shapeId="0" xr:uid="{68A7AB01-3908-4EA2-A35C-4FAB5CA7F22D}">
      <text>
        <r>
          <rPr>
            <b/>
            <sz val="9"/>
            <color indexed="81"/>
            <rFont val="Tahoma"/>
            <family val="2"/>
            <charset val="204"/>
          </rPr>
          <t>http://blascozumeta.com/specie_files/01220_ENG_Ardea_cinerea_aranzadi.pdf</t>
        </r>
      </text>
    </comment>
    <comment ref="L70" authorId="0" shapeId="0" xr:uid="{D9BAC95F-DC63-4A6E-BD4C-080DE80CABD9}">
      <text>
        <r>
          <rPr>
            <b/>
            <sz val="9"/>
            <color indexed="81"/>
            <rFont val="Tahoma"/>
            <family val="2"/>
            <charset val="204"/>
          </rPr>
          <t>Speed of Wood Duck.</t>
        </r>
      </text>
    </comment>
    <comment ref="V70" authorId="0" shapeId="0" xr:uid="{CCE582D2-AD63-4BEF-9D6C-1CAE431D240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71" authorId="0" shapeId="0" xr:uid="{AC1F175C-A744-496D-9AA6-E1A19DDB85D7}">
      <text>
        <r>
          <rPr>
            <b/>
            <sz val="9"/>
            <color indexed="81"/>
            <rFont val="Tahoma"/>
            <family val="2"/>
            <charset val="204"/>
          </rPr>
          <t>Speed of Wood Duck.</t>
        </r>
      </text>
    </comment>
    <comment ref="V71" authorId="0" shapeId="0" xr:uid="{1EC71452-5E43-4FE5-A32A-24A50A24F478}">
      <text>
        <r>
          <rPr>
            <b/>
            <sz val="9"/>
            <color indexed="81"/>
            <rFont val="Tahoma"/>
            <family val="2"/>
            <charset val="204"/>
          </rPr>
          <t>https://en.wikipedia.org/wiki/Emperor_penguin</t>
        </r>
      </text>
    </comment>
    <comment ref="AN71" authorId="0" shapeId="0" xr:uid="{5F15E877-75BA-455C-A904-A8DB819EDE61}">
      <text>
        <r>
          <rPr>
            <b/>
            <sz val="9"/>
            <color indexed="81"/>
            <rFont val="Tahoma"/>
            <family val="2"/>
            <charset val="204"/>
          </rPr>
          <t>https://www.pinguins.info/Engels/Voortsnel_eng.html</t>
        </r>
      </text>
    </comment>
    <comment ref="L72" authorId="0" shapeId="0" xr:uid="{6E181433-40C0-4E86-9989-CB0293E412A7}">
      <text>
        <r>
          <rPr>
            <b/>
            <sz val="9"/>
            <color indexed="81"/>
            <rFont val="Tahoma"/>
            <family val="2"/>
            <charset val="204"/>
          </rPr>
          <t>Speed of Ring-necked Pheasants.</t>
        </r>
      </text>
    </comment>
    <comment ref="U72" authorId="0" shapeId="0" xr:uid="{30729DCB-F490-483B-AC62-ED691068562B}">
      <text>
        <r>
          <rPr>
            <b/>
            <sz val="9"/>
            <color indexed="81"/>
            <rFont val="Tahoma"/>
            <family val="2"/>
            <charset val="204"/>
          </rPr>
          <t>https://birdsoftheworld.org/bow/appendix/ACT1060554/APP1006216</t>
        </r>
      </text>
    </comment>
    <comment ref="V72" authorId="0" shapeId="0" xr:uid="{7007A1C7-FA74-44AE-AF0E-188502E72DA4}">
      <text>
        <r>
          <rPr>
            <b/>
            <sz val="9"/>
            <color indexed="81"/>
            <rFont val="Tahoma"/>
            <family val="2"/>
            <charset val="204"/>
          </rPr>
          <t>https://birdsoftheworld.org/bow/appendix/ACT1060554/APP1006216</t>
        </r>
      </text>
    </comment>
    <comment ref="L73" authorId="0" shapeId="0" xr:uid="{72D2D315-41E8-4BDA-9583-8C6056A0421A}">
      <text>
        <r>
          <rPr>
            <b/>
            <sz val="9"/>
            <color indexed="81"/>
            <rFont val="Tahoma"/>
            <family val="2"/>
            <charset val="204"/>
          </rPr>
          <t>Speed of Ring-necked Pheasants.</t>
        </r>
      </text>
    </comment>
    <comment ref="U73" authorId="0" shapeId="0" xr:uid="{8DDC1C4A-DB45-48D6-8FE9-37D1623A413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73" authorId="0" shapeId="0" xr:uid="{8CC343D3-46E9-4E91-B1C3-558134BFBB6B}">
      <text>
        <r>
          <rPr>
            <b/>
            <sz val="9"/>
            <color indexed="81"/>
            <rFont val="Tahoma"/>
            <family val="2"/>
            <charset val="204"/>
          </rPr>
          <t>https://skullsite.com/skullpage/gyps-africanus-white-backed-vulture/</t>
        </r>
      </text>
    </comment>
    <comment ref="U74" authorId="0" shapeId="0" xr:uid="{DE8C231E-10C8-4983-B85B-A2E95D5109EF}">
      <text>
        <r>
          <rPr>
            <b/>
            <sz val="9"/>
            <color indexed="81"/>
            <rFont val="Tahoma"/>
            <family val="2"/>
            <charset val="204"/>
          </rPr>
          <t>https://boneclones.com/product/siberian-tiger-claw-KO-071</t>
        </r>
      </text>
    </comment>
    <comment ref="U75" authorId="0" shapeId="0" xr:uid="{AA43B348-BEEE-45EA-88FA-DEAA2BA62EAD}">
      <text>
        <r>
          <rPr>
            <b/>
            <sz val="9"/>
            <color indexed="81"/>
            <rFont val="Tahoma"/>
            <family val="2"/>
            <charset val="204"/>
          </rPr>
          <t>https://boneclones.com/product/siberian-tiger-claw-KO-071</t>
        </r>
      </text>
    </comment>
    <comment ref="V75" authorId="0" shapeId="0" xr:uid="{3062FE67-0B43-4A79-9F07-348B1DB22B07}">
      <text>
        <r>
          <rPr>
            <b/>
            <sz val="9"/>
            <color indexed="81"/>
            <rFont val="Tahoma"/>
            <family val="2"/>
            <charset val="204"/>
          </rPr>
          <t>https://ielc.libguides.com/sdzg/factsheets/extinctsaber-toothedcat/characteristics</t>
        </r>
      </text>
    </comment>
    <comment ref="F76" authorId="0" shapeId="0" xr:uid="{61D0A606-8FE2-4AC6-AAFD-E8FE2204BB69}">
      <text>
        <r>
          <rPr>
            <b/>
            <sz val="9"/>
            <color indexed="81"/>
            <rFont val="Tahoma"/>
            <family val="2"/>
            <charset val="204"/>
          </rPr>
          <t>Formal</t>
        </r>
      </text>
    </comment>
    <comment ref="J76" authorId="0" shapeId="0" xr:uid="{746C188C-D090-4FD9-8658-F44F0E0DF05E}">
      <text>
        <r>
          <rPr>
            <b/>
            <sz val="9"/>
            <color indexed="81"/>
            <rFont val="Tahoma"/>
            <family val="2"/>
            <charset val="204"/>
          </rPr>
          <t>Formal</t>
        </r>
      </text>
    </comment>
    <comment ref="V76" authorId="0" shapeId="0" xr:uid="{CCAC8785-D7F2-423A-84AF-04FDE43F812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77" authorId="0" shapeId="0" xr:uid="{612C5CD4-C5FB-47B7-BFCA-27815C3479D4}">
      <text>
        <r>
          <rPr>
            <b/>
            <sz val="9"/>
            <color indexed="81"/>
            <rFont val="Tahoma"/>
            <family val="2"/>
            <charset val="204"/>
          </rPr>
          <t>Formal</t>
        </r>
      </text>
    </comment>
    <comment ref="J77" authorId="0" shapeId="0" xr:uid="{50E770B8-A675-4704-AE7B-292025750362}">
      <text>
        <r>
          <rPr>
            <b/>
            <sz val="9"/>
            <color indexed="81"/>
            <rFont val="Tahoma"/>
            <family val="2"/>
            <charset val="204"/>
          </rPr>
          <t>Formal</t>
        </r>
      </text>
    </comment>
    <comment ref="V77" authorId="0" shapeId="0" xr:uid="{0C02CCDB-D462-4E89-8939-7A1D553141E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78" authorId="0" shapeId="0" xr:uid="{28B5AC5A-8E26-4ABA-A4A1-15C6387D7719}">
      <text>
        <r>
          <rPr>
            <b/>
            <sz val="9"/>
            <color indexed="81"/>
            <rFont val="Tahoma"/>
            <family val="2"/>
            <charset val="204"/>
          </rPr>
          <t>https://africafreak.com/hippo-teeth</t>
        </r>
      </text>
    </comment>
    <comment ref="L79" authorId="0" shapeId="0" xr:uid="{E28E97C4-251C-4752-A893-1BD58FB926AC}">
      <text>
        <r>
          <rPr>
            <b/>
            <sz val="9"/>
            <color indexed="81"/>
            <rFont val="Tahoma"/>
            <family val="2"/>
            <charset val="204"/>
          </rPr>
          <t>Speed of Elephas maximus (more realistic)</t>
        </r>
      </text>
    </comment>
    <comment ref="W79" authorId="0" shapeId="0" xr:uid="{21FF9D23-D865-4803-93DF-7FFA745B87FC}">
      <text>
        <r>
          <rPr>
            <b/>
            <sz val="9"/>
            <color indexed="81"/>
            <rFont val="Tahoma"/>
            <family val="2"/>
            <charset val="204"/>
          </rPr>
          <t>https://exhibitions.nysm.nysed.gov/cohoesmastodon/phone/explore---more.html#:~:text=The%20average%20length%20of%20a,them%20only%2035%20inches%20long.</t>
        </r>
      </text>
    </comment>
    <comment ref="L80" authorId="0" shapeId="0" xr:uid="{70A61FDE-BC02-44DE-B683-CF0464419D0B}">
      <text>
        <r>
          <rPr>
            <b/>
            <sz val="9"/>
            <color indexed="81"/>
            <rFont val="Tahoma"/>
            <family val="2"/>
            <charset val="204"/>
          </rPr>
          <t>Speed reported for Loxodonta africana.</t>
        </r>
      </text>
    </comment>
    <comment ref="W80" authorId="0" shapeId="0" xr:uid="{0040A3A9-ACDC-4F78-AC69-D5DBAFABBCB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81" authorId="0" shapeId="0" xr:uid="{A5EB454B-A102-49FB-9077-82EF5CF2B97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81" authorId="0" shapeId="0" xr:uid="{05FACECA-A8BC-4A03-B655-BA5538BA8545}">
      <text>
        <r>
          <rPr>
            <b/>
            <sz val="9"/>
            <color indexed="81"/>
            <rFont val="Tahoma"/>
            <family val="2"/>
            <charset val="204"/>
          </rPr>
          <t>Speculative (many small teeth)</t>
        </r>
      </text>
    </comment>
    <comment ref="U82" authorId="0" shapeId="0" xr:uid="{07B6779E-C2BA-47CE-9DE3-404372A5A977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83" authorId="0" shapeId="0" xr:uid="{0E81C827-E91D-4824-B7C4-880E7C7B5077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84" authorId="0" shapeId="0" xr:uid="{9BC90B56-90C5-4C73-AD36-BC08F7F8D45F}">
      <text>
        <r>
          <rPr>
            <b/>
            <sz val="9"/>
            <color indexed="81"/>
            <rFont val="Tahoma"/>
            <family val="2"/>
            <charset val="204"/>
          </rPr>
          <t>https://boneclones.com/product/american-badger-claw-KO-060</t>
        </r>
      </text>
    </comment>
    <comment ref="U85" authorId="0" shapeId="0" xr:uid="{47B1BCAE-86B4-4146-BF0D-475EC423E1E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AN85" authorId="0" shapeId="0" xr:uid="{AE637B3D-A4F8-4950-A5AA-BC68A8B542BC}">
      <text>
        <r>
          <rPr>
            <b/>
            <sz val="9"/>
            <color indexed="81"/>
            <rFont val="Tahoma"/>
            <family val="2"/>
            <charset val="204"/>
          </rPr>
          <t>https://www.facebook.com/groups/1674922199480437/posts/3469328323373140/</t>
        </r>
      </text>
    </comment>
    <comment ref="AN86" authorId="0" shapeId="0" xr:uid="{74849E3A-8A42-4965-A1ED-846ADB8DE3A9}">
      <text>
        <r>
          <rPr>
            <b/>
            <sz val="9"/>
            <color indexed="81"/>
            <rFont val="Tahoma"/>
            <family val="2"/>
            <charset val="204"/>
          </rPr>
          <t>https://housecomputer.ru/books/nature/mir_morja/st012.shtml.htm</t>
        </r>
      </text>
    </comment>
    <comment ref="AN87" authorId="0" shapeId="0" xr:uid="{6FB22FEE-33CE-4EA4-8B77-3D7F574CD16B}">
      <text>
        <r>
          <rPr>
            <b/>
            <sz val="9"/>
            <color indexed="81"/>
            <rFont val="Tahoma"/>
            <family val="2"/>
            <charset val="204"/>
          </rPr>
          <t>https://housecomputer.ru/books/nature/mir_morja/st012.shtml.htm</t>
        </r>
      </text>
    </comment>
    <comment ref="W88" authorId="0" shapeId="0" xr:uid="{57F6EDD9-4103-4D06-8CCD-8CFCF09557A1}">
      <text>
        <r>
          <rPr>
            <b/>
            <sz val="9"/>
            <color indexed="81"/>
            <rFont val="Tahoma"/>
            <family val="2"/>
            <charset val="204"/>
          </rPr>
          <t>https://animaldiversity.org/accounts/Odobenus_rosmarus/</t>
        </r>
      </text>
    </comment>
    <comment ref="AN88" authorId="0" shapeId="0" xr:uid="{A55A7A13-6DF7-4761-ADDF-AD5331919DFC}">
      <text>
        <r>
          <rPr>
            <b/>
            <sz val="9"/>
            <color indexed="81"/>
            <rFont val="Tahoma"/>
            <family val="2"/>
            <charset val="204"/>
          </rPr>
          <t>https://housecomputer.ru/books/nature/mir_morja/st012.shtml.htm</t>
        </r>
      </text>
    </comment>
    <comment ref="U90" authorId="0" shapeId="0" xr:uid="{6E260429-A9B5-4C98-AF5E-A5F2B83BDA3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90" authorId="0" shapeId="0" xr:uid="{C4807468-3E30-499B-BF57-AA77F34AC341}">
      <text>
        <r>
          <rPr>
            <b/>
            <sz val="9"/>
            <color indexed="81"/>
            <rFont val="Tahoma"/>
            <family val="2"/>
            <charset val="204"/>
          </rPr>
          <t>Speculative (many small teeth)</t>
        </r>
      </text>
    </comment>
    <comment ref="D91" authorId="0" shapeId="0" xr:uid="{BC3C31AC-E1AF-4521-9847-2677A2BBA0EC}">
      <text>
        <r>
          <rPr>
            <b/>
            <sz val="9"/>
            <color indexed="81"/>
            <rFont val="Tahoma"/>
            <family val="2"/>
            <charset val="204"/>
          </rPr>
          <t>Length is taken from Wilkinson &amp; Rhodes (1997) https://doi.org/10.2307/3802596
Mass estimated based on the data from Platt et al. (2018) http://dx.doi.org/10.1656/058.017.0403</t>
        </r>
      </text>
    </comment>
    <comment ref="V91" authorId="0" shapeId="0" xr:uid="{32AE0FF4-D208-46E5-B1FE-F8CEF43A4579}">
      <text>
        <r>
          <rPr>
            <b/>
            <sz val="9"/>
            <color indexed="81"/>
            <rFont val="Tahoma"/>
            <family val="2"/>
            <charset val="204"/>
          </rPr>
          <t>https://www.skullsunlimited.com/products/alligator-tooth-1</t>
        </r>
      </text>
    </comment>
    <comment ref="AN91" authorId="0" shapeId="0" xr:uid="{157C5BFF-37D3-48A4-B4C9-F21C79D138DE}">
      <text>
        <r>
          <rPr>
            <b/>
            <sz val="9"/>
            <color indexed="81"/>
            <rFont val="Tahoma"/>
            <family val="2"/>
            <charset val="204"/>
          </rPr>
          <t>https://julseth.com/crocodiles-in-san-blas/</t>
        </r>
      </text>
    </comment>
    <comment ref="L92" authorId="0" shapeId="0" xr:uid="{8AB40346-806A-4FD9-B6C3-1CC211778CE1}">
      <text>
        <r>
          <rPr>
            <b/>
            <sz val="9"/>
            <color indexed="81"/>
            <rFont val="Tahoma"/>
            <family val="2"/>
            <charset val="204"/>
          </rPr>
          <t>Scaled to larger one.</t>
        </r>
      </text>
    </comment>
    <comment ref="V92" authorId="0" shapeId="0" xr:uid="{5A2262FB-0668-46DE-A57B-7B81FF27E55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AN92" authorId="0" shapeId="0" xr:uid="{47E8B131-BA58-4A2E-B87F-0E07316F6469}">
      <text>
        <r>
          <rPr>
            <b/>
            <sz val="9"/>
            <color indexed="81"/>
            <rFont val="Tahoma"/>
            <family val="2"/>
            <charset val="204"/>
          </rPr>
          <t>https://oliveridleyproject.org/ufaqs/how-fast-can-a-sea-turtle-swim/</t>
        </r>
      </text>
    </comment>
    <comment ref="V93" authorId="0" shapeId="0" xr:uid="{21ACE38A-20A5-4233-988F-1B7113517FA1}">
      <text>
        <r>
          <rPr>
            <b/>
            <sz val="9"/>
            <color indexed="81"/>
            <rFont val="Tahoma"/>
            <family val="2"/>
            <charset val="204"/>
          </rPr>
          <t>https://onlinelibrary.wiley.com/doi/10.1111/vru.12475</t>
        </r>
      </text>
    </comment>
    <comment ref="V94" authorId="0" shapeId="0" xr:uid="{43B0EA39-444F-449A-8C23-C7AFEA3B3FD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95" authorId="0" shapeId="0" xr:uid="{7D60F452-CEFA-4798-9ACE-BB81FB79ED5F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95" authorId="0" shapeId="0" xr:uid="{10AA4A3D-DF05-4330-9B41-E43F8240989A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Speculative</t>
        </r>
      </text>
    </comment>
    <comment ref="W96" authorId="0" shapeId="0" xr:uid="{411B84C6-2BBC-4561-ACB1-4F069C5CC33C}">
      <text>
        <r>
          <rPr>
            <b/>
            <sz val="9"/>
            <color indexed="81"/>
            <rFont val="Tahoma"/>
            <family val="2"/>
            <charset val="204"/>
          </rPr>
          <t>https://alcesjournal.org/index.php/alces/article/view/629</t>
        </r>
      </text>
    </comment>
    <comment ref="W97" authorId="0" shapeId="0" xr:uid="{9F64DAD1-6D69-4F8C-90F3-C3A5E9402325}">
      <text>
        <r>
          <rPr>
            <b/>
            <sz val="9"/>
            <color indexed="81"/>
            <rFont val="Tahoma"/>
            <family val="2"/>
            <charset val="204"/>
          </rPr>
          <t>https://www.fao.org/4/ah759e/AH759E19.htm</t>
        </r>
      </text>
    </comment>
    <comment ref="F98" authorId="0" shapeId="0" xr:uid="{0F3A1678-9484-45CE-BAB8-194FB3B206DA}">
      <text>
        <r>
          <rPr>
            <b/>
            <sz val="9"/>
            <color indexed="81"/>
            <rFont val="Tahoma"/>
            <family val="2"/>
            <charset val="204"/>
          </rPr>
          <t>Formal</t>
        </r>
      </text>
    </comment>
    <comment ref="J98" authorId="0" shapeId="0" xr:uid="{C4D142B3-D91D-4AA8-9B53-8C845DCE2A6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98" authorId="0" shapeId="0" xr:uid="{FBA3E7A4-5D09-4845-8B39-5637F03E3B91}">
      <text>
        <r>
          <rPr>
            <b/>
            <sz val="9"/>
            <color indexed="81"/>
            <rFont val="Tahoma"/>
            <family val="2"/>
            <charset val="204"/>
          </rPr>
          <t>Speculative (many small teeth)</t>
        </r>
      </text>
    </comment>
    <comment ref="F101" authorId="0" shapeId="0" xr:uid="{9E67D4B2-EE43-4FD2-A1FB-C8FA2EDA9760}">
      <text>
        <r>
          <rPr>
            <b/>
            <sz val="9"/>
            <color indexed="81"/>
            <rFont val="Tahoma"/>
            <family val="2"/>
            <charset val="204"/>
          </rPr>
          <t>Formal</t>
        </r>
      </text>
    </comment>
    <comment ref="J101" authorId="0" shapeId="0" xr:uid="{5C675C75-1169-452B-8B76-FF7FBEB8DDBA}">
      <text>
        <r>
          <rPr>
            <b/>
            <sz val="9"/>
            <color indexed="81"/>
            <rFont val="Tahoma"/>
            <family val="2"/>
            <charset val="204"/>
          </rPr>
          <t>Formal</t>
        </r>
      </text>
    </comment>
    <comment ref="U101" authorId="0" shapeId="0" xr:uid="{42765798-8AF1-48CD-872D-B60DDACA6F47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102" authorId="0" shapeId="0" xr:uid="{BB97600D-829B-4E7B-9C59-9F53E8B2B2EA}">
      <text>
        <r>
          <rPr>
            <b/>
            <sz val="9"/>
            <color indexed="81"/>
            <rFont val="Tahoma"/>
            <family val="2"/>
            <charset val="204"/>
          </rPr>
          <t>Formal</t>
        </r>
      </text>
    </comment>
    <comment ref="J102" authorId="0" shapeId="0" xr:uid="{00C9C39E-3472-45A1-8509-7EE90A98BFD1}">
      <text>
        <r>
          <rPr>
            <b/>
            <sz val="9"/>
            <color indexed="81"/>
            <rFont val="Tahoma"/>
            <family val="2"/>
            <charset val="204"/>
          </rPr>
          <t>Formal</t>
        </r>
      </text>
    </comment>
    <comment ref="U102" authorId="0" shapeId="0" xr:uid="{A989F01D-7DBB-49DF-8B72-649B5D5EB2C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03" authorId="0" shapeId="0" xr:uid="{B13A372E-122A-468D-ACC2-A28492C287F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104" authorId="0" shapeId="0" xr:uid="{1B5C469B-203E-408F-AE80-30B063B28DC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04" authorId="0" shapeId="0" xr:uid="{C68CB0D7-0521-44BF-9E1C-1C2E4E082E5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105" authorId="0" shapeId="0" xr:uid="{C5D8709F-F36B-4123-AA3C-8EA2C5EB729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05" authorId="0" shapeId="0" xr:uid="{EC321AF3-A270-452D-BB8D-AC85F009AFE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06" authorId="0" shapeId="0" xr:uid="{2BA2928A-2983-47A7-90CD-C5800A1BCE2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07" authorId="0" shapeId="0" xr:uid="{9AC83AE0-43D0-41F7-9660-E1DE9E13508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08" authorId="0" shapeId="0" xr:uid="{583A707F-8325-4678-AC46-D116A818945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11" authorId="0" shapeId="0" xr:uid="{3D4F2D7A-B6A6-4330-A74F-D55645F5666C}">
      <text>
        <r>
          <rPr>
            <b/>
            <sz val="9"/>
            <color indexed="81"/>
            <rFont val="Tahoma"/>
            <family val="2"/>
            <charset val="204"/>
          </rPr>
          <t>https://nedp.com.au/articles/canine-teeth-bridle-teeth</t>
        </r>
      </text>
    </comment>
    <comment ref="W112" authorId="0" shapeId="0" xr:uid="{311D6277-A2EB-437A-875B-38C7D5C932FA}">
      <text>
        <r>
          <rPr>
            <b/>
            <sz val="9"/>
            <color indexed="81"/>
            <rFont val="Tahoma"/>
            <family val="2"/>
            <charset val="204"/>
          </rPr>
          <t>https://qmro.qmul.ac.uk/xmlui/bitstream/handle/123456789/93155/Hone%20Allometry%20asymmetry%20and%20sexual%202023%20Accepted.pdf?sequence=2&amp;isAllowed=y</t>
        </r>
      </text>
    </comment>
    <comment ref="V113" authorId="0" shapeId="0" xr:uid="{DC7FD0EF-85D1-4677-B4B9-53E27F8BCD38}">
      <text>
        <r>
          <rPr>
            <b/>
            <sz val="9"/>
            <color indexed="81"/>
            <rFont val="Tahoma"/>
            <family val="2"/>
            <charset val="204"/>
          </rPr>
          <t>https://www.reddit.com/r/Naturewasmetal/comments/q0ve3z/a_sarcosuchus_tooth_compared_to_a_nile_crocodile/</t>
        </r>
      </text>
    </comment>
    <comment ref="AN113" authorId="0" shapeId="0" xr:uid="{837BCC9D-B224-446B-8284-1A751BE27340}">
      <text>
        <r>
          <rPr>
            <b/>
            <sz val="9"/>
            <color indexed="81"/>
            <rFont val="Tahoma"/>
            <family val="2"/>
            <charset val="204"/>
          </rPr>
          <t>https://julseth.com/crocodiles-in-san-blas/</t>
        </r>
      </text>
    </comment>
    <comment ref="U114" authorId="0" shapeId="0" xr:uid="{988ECD5F-CEE7-4BB5-9298-F1031623D67D}">
      <text>
        <r>
          <rPr>
            <b/>
            <sz val="9"/>
            <color indexed="81"/>
            <rFont val="Tahoma"/>
            <family val="2"/>
            <charset val="204"/>
          </rPr>
          <t>https://boneclones.com/product/cheetah-front-claw-KO-069</t>
        </r>
      </text>
    </comment>
    <comment ref="U115" authorId="0" shapeId="0" xr:uid="{A48BD4A0-B065-4164-8251-D7A24A6D5CA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15" authorId="0" shapeId="0" xr:uid="{B9693635-97B2-4E17-A7B1-09C1CDE58E2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116" authorId="0" shapeId="0" xr:uid="{94039732-6CB0-4D03-B0F7-4201999312F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117" authorId="0" shapeId="0" xr:uid="{0140CEFD-E6D0-4FF2-89C6-205A2B53065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17" authorId="0" shapeId="0" xr:uid="{F2F38D18-8A69-443E-81F6-3D16CD399AB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118" authorId="0" shapeId="0" xr:uid="{B4EDA43E-9DD1-4AF9-BDC7-E92E2F946408}">
      <text>
        <r>
          <rPr>
            <b/>
            <sz val="9"/>
            <color indexed="81"/>
            <rFont val="Tahoma"/>
            <family val="2"/>
            <charset val="204"/>
          </rPr>
          <t>https://platypus.asn.au/platypus-venom-and-spurs/</t>
        </r>
      </text>
    </comment>
    <comment ref="V118" authorId="0" shapeId="0" xr:uid="{DAFB593F-105B-4255-9C2E-032F3B2A350A}">
      <text>
        <r>
          <rPr>
            <b/>
            <sz val="9"/>
            <color indexed="81"/>
            <rFont val="Tahoma"/>
            <family val="2"/>
            <charset val="204"/>
          </rPr>
          <t>https://www.dimensions.com/element/platypus-ornithorhynchus-anatinus</t>
        </r>
      </text>
    </comment>
    <comment ref="AN118" authorId="0" shapeId="0" xr:uid="{F4525A5E-2FC5-4526-985E-96A7BBFD0972}">
      <text>
        <r>
          <rPr>
            <b/>
            <sz val="9"/>
            <color indexed="81"/>
            <rFont val="Tahoma"/>
            <family val="2"/>
            <charset val="204"/>
          </rPr>
          <t>https://journals.biologists.com/jeb/article/200/20/2647/34249/Energetics-of-Swimming-by-the-Platypus</t>
        </r>
      </text>
    </comment>
    <comment ref="U120" authorId="0" shapeId="0" xr:uid="{4A19BEFC-BE13-4980-B95E-7C617812F7A7}">
      <text>
        <r>
          <rPr>
            <b/>
            <sz val="9"/>
            <color indexed="81"/>
            <rFont val="Tahoma"/>
            <family val="2"/>
            <charset val="204"/>
          </rPr>
          <t>https://fishcreekalaska.com/products/black-bear-claw</t>
        </r>
      </text>
    </comment>
    <comment ref="L122" authorId="0" shapeId="0" xr:uid="{6493734B-0CA6-45EE-B975-4B1A8F1EEEC6}">
      <text>
        <r>
          <rPr>
            <b/>
            <sz val="9"/>
            <color indexed="81"/>
            <rFont val="Tahoma"/>
            <family val="2"/>
            <charset val="204"/>
          </rPr>
          <t>Scaled to larger one.</t>
        </r>
      </text>
    </comment>
    <comment ref="V122" authorId="0" shapeId="0" xr:uid="{989286C8-8C91-4ED2-A6ED-4F0915E56AF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D123" authorId="0" shapeId="0" xr:uid="{BAC548A9-627A-4A57-9268-35AB06DAA688}">
      <text>
        <r>
          <rPr>
            <b/>
            <sz val="9"/>
            <color indexed="81"/>
            <rFont val="Tahoma"/>
            <family val="2"/>
            <charset val="204"/>
          </rPr>
          <t>Changes in home range size of African lions in relation to pride size
and prey biomass in a semi-arid savanna</t>
        </r>
      </text>
    </comment>
    <comment ref="U123" authorId="0" shapeId="0" xr:uid="{6AE014F8-8ADE-4E05-BC69-3A6F40CB8E43}">
      <text>
        <r>
          <rPr>
            <b/>
            <sz val="9"/>
            <color indexed="81"/>
            <rFont val="Tahoma"/>
            <family val="2"/>
            <charset val="204"/>
          </rPr>
          <t>https://boneclones.com/product/african-lion-claw-KO-050</t>
        </r>
      </text>
    </comment>
    <comment ref="U124" authorId="0" shapeId="0" xr:uid="{9A7F5162-5626-4B49-93A5-8AC3A5F90BB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24" authorId="0" shapeId="0" xr:uid="{92F6D9F8-2981-4C51-9957-2B25DAB3083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25" authorId="0" shapeId="0" xr:uid="{D4412AA9-306A-40CA-B5D9-7A389CBA33B8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https://www.researchgate.net/publication/296261474_Radiographic_studies_on_the_development_of_teeth_in_camels#:~:text=teeth%20camel%20cm.)-,1.,roots%20started%20differentiating%20with%20wide</t>
        </r>
      </text>
    </comment>
    <comment ref="V126" authorId="0" shapeId="0" xr:uid="{D7DB2A54-6B61-4EBB-8857-C7F2A65195E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127" authorId="0" shapeId="0" xr:uid="{09A975BC-0E6C-435B-9768-FC806A28FB8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27" authorId="0" shapeId="0" xr:uid="{9E2C47FA-603C-4816-BAE8-796BF4353EE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127" authorId="0" shapeId="0" xr:uid="{87250CAD-29E9-48C7-AC5C-A87ACCBC989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128" authorId="0" shapeId="0" xr:uid="{23F757E2-745F-43FD-954D-FEAEB50F88C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129" authorId="0" shapeId="0" xr:uid="{8E8E08B9-541C-4ABF-979B-64E20182CE5D}">
      <text>
        <r>
          <rPr>
            <b/>
            <sz val="9"/>
            <color indexed="81"/>
            <rFont val="Tahoma"/>
            <family val="2"/>
            <charset val="204"/>
          </rPr>
          <t>Speed of Wood Duck.</t>
        </r>
      </text>
    </comment>
    <comment ref="V129" authorId="0" shapeId="0" xr:uid="{C5A3BC3F-BFFE-4147-A9D5-30C11FACDD78}">
      <text>
        <r>
          <rPr>
            <b/>
            <sz val="9"/>
            <color indexed="81"/>
            <rFont val="Tahoma"/>
            <family val="2"/>
            <charset val="204"/>
          </rPr>
          <t>https://www.sciencedirect.com/science/article/pii/S1056617123000454#:~:text=Beak%20Measurement%20Methods,-The%20frozen%20heads&amp;text=Beak%20length%202%20(BL2):,upper%20beak%20into%20the%20skull.&amp;text=Beak%20height%20(BH):%20from,bottom%20of%20the%20inferior%20mandible.</t>
        </r>
      </text>
    </comment>
    <comment ref="V130" authorId="0" shapeId="0" xr:uid="{C391C82B-EC23-4963-A207-361B74BEA6AD}">
      <text>
        <r>
          <rPr>
            <b/>
            <sz val="9"/>
            <color indexed="81"/>
            <rFont val="Tahoma"/>
            <family val="2"/>
            <charset val="204"/>
          </rPr>
          <t>https://littlemedicalschool.com/ottawa/blog/why-do-beavers-eat-wood/#:~:text=Beavers'%20teeth%20are%20golden%2Dorange,through%20hard%20objects%20like%20wood.</t>
        </r>
      </text>
    </comment>
    <comment ref="AN130" authorId="0" shapeId="0" xr:uid="{0C46B7A2-F3C3-4ED7-934B-6C94C6B39E90}">
      <text>
        <r>
          <rPr>
            <b/>
            <sz val="9"/>
            <color indexed="81"/>
            <rFont val="Tahoma"/>
            <family val="2"/>
            <charset val="204"/>
          </rPr>
          <t>https://nationalzoo.si.edu/animals/beaver</t>
        </r>
      </text>
    </comment>
    <comment ref="V131" authorId="0" shapeId="0" xr:uid="{4796AA4C-FF29-433B-ABE3-E90AC98ABB7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132" authorId="0" shapeId="0" xr:uid="{6F7ECEDC-0839-4F1C-952E-0ADEE7BC7005}">
      <text>
        <r>
          <rPr>
            <b/>
            <sz val="9"/>
            <color indexed="81"/>
            <rFont val="Tahoma"/>
            <family val="2"/>
            <charset val="204"/>
          </rPr>
          <t>https://www.skullsunlimited.com/products/replica-jaguar-claw-ko-072?srsltid=AfmBOoo4xuy3sH-kcDhcJAykX-trLLeU-hzr-7gxTQl4RHbo1vEvpacM</t>
        </r>
      </text>
    </comment>
    <comment ref="V135" authorId="0" shapeId="0" xr:uid="{72613A21-7AA6-4EEA-A54A-95D4E8F2B0B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36" authorId="0" shapeId="0" xr:uid="{0920960D-D991-4F78-8BD8-3F99A6684D7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AN136" authorId="0" shapeId="0" xr:uid="{F863A3E3-9626-4DA2-99A5-E136441DAFFB}">
      <text>
        <r>
          <rPr>
            <b/>
            <sz val="9"/>
            <color indexed="81"/>
            <rFont val="Tahoma"/>
            <family val="2"/>
            <charset val="204"/>
          </rPr>
          <t>https://factanimal.com/green-anaconda/</t>
        </r>
      </text>
    </comment>
    <comment ref="W137" authorId="0" shapeId="0" xr:uid="{62A47C97-5312-4E28-A3B4-B934EA809AFC}">
      <text>
        <r>
          <rPr>
            <b/>
            <sz val="9"/>
            <color indexed="81"/>
            <rFont val="Tahoma"/>
            <family val="2"/>
            <charset val="204"/>
          </rPr>
          <t>https://www.wwfindia.org/about_wwf/priority_species/indian_elephant/about_asian_elephant/</t>
        </r>
      </text>
    </comment>
    <comment ref="F138" authorId="0" shapeId="0" xr:uid="{2A9C1AF1-C236-4788-8410-1B49EF8A2012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U138" authorId="0" shapeId="0" xr:uid="{04E9C8CE-155C-4357-8C7D-CF1FDBDAA15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150" authorId="0" shapeId="0" xr:uid="{8FC3299D-66D0-4DA4-ACEF-7A9247D0A21D}">
      <text>
        <r>
          <rPr>
            <b/>
            <sz val="9"/>
            <color indexed="81"/>
            <rFont val="Tahoma"/>
            <family val="2"/>
            <charset val="204"/>
          </rPr>
          <t>https://www.skullsunlimited.com/products/real-domestic-cat-claw-2cm-cw-16</t>
        </r>
      </text>
    </comment>
    <comment ref="F160" authorId="0" shapeId="0" xr:uid="{A40EBA31-2C71-4241-81E9-FA7589346791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160" authorId="0" shapeId="0" xr:uid="{EA6F727E-626C-4E9C-9780-E75D307AADB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161" authorId="0" shapeId="0" xr:uid="{32A4F638-919D-479B-BA06-AA19C2915B0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61" authorId="0" shapeId="0" xr:uid="{88951EEE-6E60-474A-8643-E1017573C59B}">
      <text>
        <r>
          <rPr>
            <b/>
            <sz val="9"/>
            <color indexed="81"/>
            <rFont val="Tahoma"/>
            <family val="2"/>
            <charset val="204"/>
          </rPr>
          <t>https://ielc.libguides.com/sdzg/factsheets/extinctsaber-toothedcat/characteristics</t>
        </r>
      </text>
    </comment>
    <comment ref="L162" authorId="0" shapeId="0" xr:uid="{B01AF067-C767-4295-A515-F9E11E907A60}">
      <text>
        <r>
          <rPr>
            <b/>
            <sz val="9"/>
            <color indexed="81"/>
            <rFont val="Tahoma"/>
            <family val="2"/>
            <charset val="204"/>
          </rPr>
          <t>Speed of Ring-necked Pheasants.</t>
        </r>
      </text>
    </comment>
    <comment ref="U162" authorId="0" shapeId="0" xr:uid="{1B9F27DB-266A-4005-A946-69F45C50CF9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62" authorId="0" shapeId="0" xr:uid="{5C8FF651-0CB9-4F56-8720-1FE60369D95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163" authorId="0" shapeId="0" xr:uid="{9C1DA4A3-8F1B-42A4-9D91-B0A49AED6F13}">
      <text>
        <r>
          <rPr>
            <b/>
            <sz val="9"/>
            <color indexed="81"/>
            <rFont val="Tahoma"/>
            <family val="2"/>
            <charset val="204"/>
          </rPr>
          <t xml:space="preserve">Speed of </t>
        </r>
        <r>
          <rPr>
            <b/>
            <i/>
            <sz val="9"/>
            <color indexed="81"/>
            <rFont val="Tahoma"/>
            <family val="2"/>
            <charset val="204"/>
          </rPr>
          <t>Gorilla</t>
        </r>
      </text>
    </comment>
    <comment ref="U164" authorId="0" shapeId="0" xr:uid="{B046CCCB-1341-4E8B-9407-40340D9BD3A6}">
      <text>
        <r>
          <rPr>
            <b/>
            <sz val="9"/>
            <color indexed="81"/>
            <rFont val="Tahoma"/>
            <family val="2"/>
            <charset val="204"/>
          </rPr>
          <t>https://pmc.ncbi.nlm.nih.gov/articles/PMC11200594/</t>
        </r>
      </text>
    </comment>
    <comment ref="V164" authorId="0" shapeId="0" xr:uid="{623EF0DC-B29D-4822-8CA1-A6EEF67435B1}">
      <text>
        <r>
          <rPr>
            <b/>
            <sz val="9"/>
            <color indexed="81"/>
            <rFont val="Tahoma"/>
            <family val="2"/>
            <charset val="204"/>
          </rPr>
          <t>https://www.sciencedirect.com/science/article/pii/S0032579124002451</t>
        </r>
      </text>
    </comment>
    <comment ref="L165" authorId="0" shapeId="0" xr:uid="{FE96DE54-BD0B-4ACA-887F-8B776C59C7DC}">
      <text>
        <r>
          <rPr>
            <b/>
            <sz val="9"/>
            <color indexed="81"/>
            <rFont val="Tahoma"/>
            <family val="2"/>
            <charset val="204"/>
          </rPr>
          <t>Speed of Wood Duck.</t>
        </r>
      </text>
    </comment>
    <comment ref="V165" authorId="0" shapeId="0" xr:uid="{D3D9986F-5C24-492A-A5B9-883D0411CE42}">
      <text>
        <r>
          <rPr>
            <b/>
            <sz val="9"/>
            <color indexed="81"/>
            <rFont val="Tahoma"/>
            <family val="2"/>
            <charset val="204"/>
          </rPr>
          <t>https://digitalcommons.unl.edu/cgi/viewcontent.cgi?article=1021&amp;context=bioscicranes</t>
        </r>
      </text>
    </comment>
    <comment ref="V166" authorId="0" shapeId="0" xr:uid="{12B60663-7DB5-49D0-A987-909ED5CA59E9}">
      <text>
        <r>
          <rPr>
            <b/>
            <sz val="9"/>
            <color indexed="81"/>
            <rFont val="Tahoma"/>
            <family val="2"/>
            <charset val="204"/>
          </rPr>
          <t>https://doi.org/10.1177/089875641102800205</t>
        </r>
      </text>
    </comment>
    <comment ref="U173" authorId="0" shapeId="0" xr:uid="{06A64C97-2D28-4D91-89C8-83E56408F0B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74" authorId="0" shapeId="0" xr:uid="{CDA49529-A665-418E-A8FA-3E33590EB00D}">
      <text>
        <r>
          <rPr>
            <b/>
            <sz val="9"/>
            <color indexed="81"/>
            <rFont val="Tahoma"/>
            <family val="2"/>
            <charset val="204"/>
          </rPr>
          <t>https://rhinoresourcecenter.com/wp-content/uploads/2006/12/1271802712.pdf</t>
        </r>
      </text>
    </comment>
    <comment ref="W174" authorId="0" shapeId="0" xr:uid="{A4461601-D25B-442B-8C34-62147E3DFA82}">
      <text>
        <r>
          <rPr>
            <b/>
            <sz val="9"/>
            <color indexed="81"/>
            <rFont val="Tahoma"/>
            <family val="2"/>
            <charset val="204"/>
          </rPr>
          <t>https://www.worldwildlife.org/species/black-rhino</t>
        </r>
      </text>
    </comment>
    <comment ref="L175" authorId="0" shapeId="0" xr:uid="{D178476F-E37C-42FE-B6B2-2EE6EC589D5D}">
      <text>
        <r>
          <rPr>
            <b/>
            <sz val="9"/>
            <color indexed="81"/>
            <rFont val="Tahoma"/>
            <family val="2"/>
            <charset val="204"/>
          </rPr>
          <t>Speed of</t>
        </r>
        <r>
          <rPr>
            <b/>
            <i/>
            <sz val="9"/>
            <color indexed="81"/>
            <rFont val="Tahoma"/>
            <family val="2"/>
            <charset val="204"/>
          </rPr>
          <t xml:space="preserve"> Gorilla gorilla</t>
        </r>
      </text>
    </comment>
    <comment ref="L176" authorId="0" shapeId="0" xr:uid="{F49D04E6-AC11-4D61-9C43-7F18B65F4FBC}">
      <text>
        <r>
          <rPr>
            <b/>
            <sz val="9"/>
            <color indexed="81"/>
            <rFont val="Tahoma"/>
            <family val="2"/>
            <charset val="204"/>
          </rPr>
          <t>Extrapolated from ostrich.</t>
        </r>
      </text>
    </comment>
    <comment ref="U176" authorId="0" shapeId="0" xr:uid="{C34AB290-0739-4E80-97CB-554C844E0C64}">
      <text>
        <r>
          <rPr>
            <b/>
            <sz val="9"/>
            <color indexed="81"/>
            <rFont val="Tahoma"/>
            <family val="2"/>
            <charset val="204"/>
          </rPr>
          <t>https://www.researchgate.net/figure/Fig1-Right-phalanges-of-an-adult-ostrich-anatomical-specimen-Clockwise-from-top_fig1_50351251</t>
        </r>
      </text>
    </comment>
    <comment ref="V176" authorId="0" shapeId="0" xr:uid="{796C6BDB-8032-4D78-BB81-88B8C4904750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77" authorId="0" shapeId="0" xr:uid="{04D29B49-AA7E-48F2-9D68-62C8201242DD}">
      <text>
        <r>
          <rPr>
            <b/>
            <sz val="9"/>
            <color indexed="81"/>
            <rFont val="Tahoma"/>
            <family val="2"/>
            <charset val="204"/>
          </rPr>
          <t>https://nedp.com.au/articles/canine-teeth-bridle-teeth</t>
        </r>
      </text>
    </comment>
    <comment ref="L178" authorId="0" shapeId="0" xr:uid="{E4A44409-11F1-4AC5-B971-287F4D1E3EFF}">
      <text>
        <r>
          <rPr>
            <b/>
            <sz val="9"/>
            <color indexed="81"/>
            <rFont val="Tahoma"/>
            <family val="2"/>
            <charset val="204"/>
          </rPr>
          <t>Speed of Wood Duck.</t>
        </r>
      </text>
    </comment>
    <comment ref="V178" authorId="0" shapeId="0" xr:uid="{03C6C65B-B53A-41BC-8318-D69187F7DDAE}">
      <text>
        <r>
          <rPr>
            <b/>
            <sz val="9"/>
            <color indexed="81"/>
            <rFont val="Tahoma"/>
            <family val="2"/>
            <charset val="204"/>
          </rPr>
          <t>https://en.wikipedia.org/wiki/Emperor_penguin</t>
        </r>
      </text>
    </comment>
    <comment ref="AN178" authorId="0" shapeId="0" xr:uid="{967CF113-FB35-4A0D-91BC-0F747C52F9B8}">
      <text>
        <r>
          <rPr>
            <b/>
            <sz val="9"/>
            <color indexed="81"/>
            <rFont val="Tahoma"/>
            <family val="2"/>
            <charset val="204"/>
          </rPr>
          <t>https://www.pinguins.info/Engels/Voortsnel_eng.html</t>
        </r>
      </text>
    </comment>
    <comment ref="U179" authorId="0" shapeId="0" xr:uid="{7942828F-76EB-4184-9B93-43050274BF5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182" authorId="0" shapeId="0" xr:uid="{82269834-8621-49A5-B7A5-41CAC3AF758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82" authorId="0" shapeId="0" xr:uid="{B750B832-975C-4EF8-B721-52464DB87BBE}">
      <text>
        <r>
          <rPr>
            <b/>
            <sz val="9"/>
            <color indexed="81"/>
            <rFont val="Tahoma"/>
            <family val="2"/>
            <charset val="204"/>
          </rPr>
          <t>Speculative (few small teeth)</t>
        </r>
      </text>
    </comment>
    <comment ref="V183" authorId="0" shapeId="0" xr:uid="{E2F6B0DC-809B-40CE-A684-BDF471DF2DDD}">
      <text>
        <r>
          <rPr>
            <b/>
            <sz val="9"/>
            <color indexed="81"/>
            <rFont val="Tahoma"/>
            <family val="2"/>
            <charset val="204"/>
          </rPr>
          <t>https://nationalzoo.si.edu/animals/king-cobra</t>
        </r>
      </text>
    </comment>
    <comment ref="V184" authorId="0" shapeId="0" xr:uid="{5A5DC59A-175F-4605-9339-9AF8EF7E845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85" authorId="0" shapeId="0" xr:uid="{07DE41E9-3222-4CDD-8642-C97436189DF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AN185" authorId="0" shapeId="0" xr:uid="{6F939C96-EE7D-4339-AD2B-64777DC542B0}">
      <text>
        <r>
          <rPr>
            <b/>
            <sz val="9"/>
            <color indexed="81"/>
            <rFont val="Tahoma"/>
            <family val="2"/>
            <charset val="204"/>
          </rPr>
          <t>https://julseth.com/crocodiles-in-san-blas/</t>
        </r>
      </text>
    </comment>
    <comment ref="U187" authorId="0" shapeId="0" xr:uid="{CDE2F386-0104-4548-B0B1-0C371423FAA7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188" authorId="0" shapeId="0" xr:uid="{5F4ED6B5-E322-41B8-812A-A068DD84B56A}">
      <text>
        <r>
          <rPr>
            <b/>
            <sz val="9"/>
            <color indexed="81"/>
            <rFont val="Tahoma"/>
            <family val="2"/>
            <charset val="204"/>
          </rPr>
          <t>Scaled from smaller lizard.</t>
        </r>
      </text>
    </comment>
    <comment ref="U188" authorId="0" shapeId="0" xr:uid="{ADF6083D-8A2F-44A6-A243-A2C7342D3CF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88" authorId="0" shapeId="0" xr:uid="{43738EEC-8D4E-4350-8EF5-FC896CA722B3}">
      <text>
        <r>
          <rPr>
            <b/>
            <sz val="9"/>
            <color indexed="81"/>
            <rFont val="Tahoma"/>
            <family val="2"/>
            <charset val="204"/>
          </rPr>
          <t>Speculative (many small teeth)</t>
        </r>
      </text>
    </comment>
    <comment ref="U189" authorId="0" shapeId="0" xr:uid="{F76A93D9-456F-43EA-AEA8-26DA39B3DD62}">
      <text>
        <r>
          <rPr>
            <b/>
            <sz val="9"/>
            <color indexed="81"/>
            <rFont val="Tahoma"/>
            <family val="2"/>
            <charset val="204"/>
          </rPr>
          <t>https://boneclones.com/product/african-lion-claw-KO-050</t>
        </r>
      </text>
    </comment>
    <comment ref="U190" authorId="0" shapeId="0" xr:uid="{E3732877-86C3-4BB6-81EE-E9636AE9A8C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190" authorId="0" shapeId="0" xr:uid="{36B288E7-565A-4758-85C5-9CF519CD35C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190" authorId="0" shapeId="0" xr:uid="{42CDF13D-57C8-4B05-97D7-0F3448582D9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191" authorId="0" shapeId="0" xr:uid="{C77D6F63-6E6A-4923-99AA-FCE0B190C832}">
      <text>
        <r>
          <rPr>
            <b/>
            <sz val="9"/>
            <color indexed="81"/>
            <rFont val="Tahoma"/>
            <family val="2"/>
            <charset val="204"/>
          </rPr>
          <t>Extrapolated from aerobic speed.</t>
        </r>
      </text>
    </comment>
    <comment ref="V191" authorId="0" shapeId="0" xr:uid="{BA866703-6BBC-4EB0-9497-BB8A568864F1}">
      <text>
        <r>
          <rPr>
            <b/>
            <sz val="9"/>
            <color indexed="81"/>
            <rFont val="Tahoma"/>
            <family val="2"/>
            <charset val="204"/>
          </rPr>
          <t>https://www.activestudy.info/cherep-i-zubnaya-sistema-kabana/</t>
        </r>
      </text>
    </comment>
    <comment ref="W191" authorId="0" shapeId="0" xr:uid="{999CDCCF-11CF-4571-88D2-19D42D097BE0}">
      <text>
        <r>
          <rPr>
            <b/>
            <sz val="9"/>
            <color indexed="81"/>
            <rFont val="Tahoma"/>
            <family val="2"/>
            <charset val="204"/>
          </rPr>
          <t>https://silvabalcanica.wordpress.com/wp-content/uploads/2013/11/2010_9.pdf</t>
        </r>
      </text>
    </comment>
    <comment ref="F192" authorId="0" shapeId="0" xr:uid="{D4A82DF5-A3CD-4F61-83F2-18FD74A6B8EB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W192" authorId="0" shapeId="0" xr:uid="{00C42BC2-D995-47BD-9C02-F91C8A7926D2}">
      <text>
        <r>
          <rPr>
            <b/>
            <sz val="9"/>
            <color indexed="81"/>
            <rFont val="Tahoma"/>
            <family val="2"/>
            <charset val="204"/>
          </rPr>
          <t>https://nsojournals.onlinelibrary.wiley.com/doi/full/10.2981/wlb.2000.031</t>
        </r>
      </text>
    </comment>
    <comment ref="F193" authorId="0" shapeId="0" xr:uid="{32A61008-549C-4F85-B08C-7354854AE7B1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W193" authorId="0" shapeId="0" xr:uid="{D166742E-8901-41BB-9164-FA305ABB15E5}">
      <text>
        <r>
          <rPr>
            <b/>
            <sz val="9"/>
            <color indexed="81"/>
            <rFont val="Tahoma"/>
            <family val="2"/>
            <charset val="204"/>
          </rPr>
          <t>Speculative.</t>
        </r>
      </text>
    </comment>
    <comment ref="V200" authorId="0" shapeId="0" xr:uid="{B01D9816-E9DB-49B3-A32E-2B642A6F31C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01" authorId="0" shapeId="0" xr:uid="{624A68EC-E9B8-4A16-8A87-0E813676DDD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02" authorId="0" shapeId="0" xr:uid="{F64A2DD3-63BD-4BD2-B32A-D3B8F57BE8E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03" authorId="0" shapeId="0" xr:uid="{7C0A89BA-6A2D-409D-8544-AA71C0DF5C5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04" authorId="0" shapeId="0" xr:uid="{574D0F03-E6E3-477E-9863-61110004684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06" authorId="0" shapeId="0" xr:uid="{D9CA768F-44CD-4CC1-A9FE-7B6D43681B3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08" authorId="0" shapeId="0" xr:uid="{131897CA-7AED-4769-A470-2B833E1DA47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10" authorId="0" shapeId="0" xr:uid="{ECA0B8A9-9597-4B55-984E-2F5D990549D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211" authorId="0" shapeId="0" xr:uid="{868F24D1-75F2-40F9-B655-03C2B0CA5CC2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11" authorId="0" shapeId="0" xr:uid="{87272019-0771-4396-8A6E-94895D86D50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12" authorId="0" shapeId="0" xr:uid="{3076DCEB-BB88-47B6-B524-9A1CBA97B4D0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12" authorId="0" shapeId="0" xr:uid="{AF7333A9-C182-46E5-BB2C-E6F7E716887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13" authorId="0" shapeId="0" xr:uid="{9A08AB08-489B-4DA8-B235-A73106E13A3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13" authorId="0" shapeId="0" xr:uid="{70803365-B971-457C-930D-19FA04FA825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214" authorId="0" shapeId="0" xr:uid="{F161C8B3-5F7F-41CC-B171-EE6B72E1C8E8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14" authorId="0" shapeId="0" xr:uid="{95203FA1-9E00-42F9-9869-A54315A7CE7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15" authorId="0" shapeId="0" xr:uid="{A40F9145-39E4-4F34-8F96-0E391ABFDE4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15" authorId="0" shapeId="0" xr:uid="{1DBD6C7A-073B-49FB-AB9B-8C0FFDBC56B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16" authorId="0" shapeId="0" xr:uid="{1FBBB2BF-A28C-4436-905C-6F9989EB958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17" authorId="0" shapeId="0" xr:uid="{11709560-D5C5-4055-968F-F23070A0370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18" authorId="0" shapeId="0" xr:uid="{119F865E-1511-4632-A44B-63314797D4C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19" authorId="0" shapeId="0" xr:uid="{FEA5A404-440F-4E5F-9F87-EF03B6C07AA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19" authorId="0" shapeId="0" xr:uid="{4B35B451-54AD-4B2F-982F-6FEA39A730C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219" authorId="0" shapeId="0" xr:uid="{BE11B6D1-9DB8-4A6D-9400-7AA3BEAC832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20" authorId="0" shapeId="0" xr:uid="{E2528EB6-BF2B-4AD3-AF15-0A5115387D9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20" authorId="0" shapeId="0" xr:uid="{437FFBE1-4501-42DD-870B-E04546CAD89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220" authorId="0" shapeId="0" xr:uid="{6B6ECEB9-F9DE-4DF6-9EED-C3210C6EBE1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21" authorId="0" shapeId="0" xr:uid="{80805376-8C89-42C1-AD3E-5949EC498D3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21" authorId="0" shapeId="0" xr:uid="{4910E178-902F-4320-BDF6-230647CD139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221" authorId="0" shapeId="0" xr:uid="{C9E2B2AE-A132-4C60-9B59-E7B0BE282CC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22" authorId="0" shapeId="0" xr:uid="{A3F99638-291C-4526-8EA2-9CF27EB219C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22" authorId="0" shapeId="0" xr:uid="{DD27DD6E-E2B0-4125-BB01-73DDF0483B0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222" authorId="0" shapeId="0" xr:uid="{8B373850-BD1B-4EED-B6C9-2EC7637A3BC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23" authorId="0" shapeId="0" xr:uid="{2C411C14-ED03-4499-BB22-A3D5071F22D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23" authorId="0" shapeId="0" xr:uid="{8CB68B8C-60F6-41C9-9785-8652CD72B6C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223" authorId="0" shapeId="0" xr:uid="{4591E49E-9C20-4D2D-A5E5-92C7FBC92C6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24" authorId="0" shapeId="0" xr:uid="{F6BFDEA7-547A-4540-A811-C889498BF8B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24" authorId="0" shapeId="0" xr:uid="{A81B4302-8797-418B-B5A4-126BF553A3D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224" authorId="0" shapeId="0" xr:uid="{D5A16BAC-F2B5-4F23-AEAA-F956094EBA5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25" authorId="0" shapeId="0" xr:uid="{725C68CE-C12B-4236-A54E-849D11BD9F4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26" authorId="0" shapeId="0" xr:uid="{1712790F-5D77-41A5-9428-3B713E559D9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27" authorId="0" shapeId="0" xr:uid="{80324B76-9850-46EA-A879-942079871C3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228" authorId="0" shapeId="0" xr:uid="{15AF356D-E772-43B3-BAF8-49367CC033A3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28" authorId="0" shapeId="0" xr:uid="{60901748-F703-46A9-827C-B0A1AF43F98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229" authorId="0" shapeId="0" xr:uid="{B686C825-5A67-4FF2-8F76-D78D4818ADC2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29" authorId="0" shapeId="0" xr:uid="{BB5A202A-6845-4D93-BC63-BD6E45C5A04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30" authorId="0" shapeId="0" xr:uid="{E42CA70F-7A84-476A-817F-A3D8E5D66AC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31" authorId="0" shapeId="0" xr:uid="{2BBA3119-86EC-46D1-BD66-25290A903E3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32" authorId="0" shapeId="0" xr:uid="{1217075C-718B-4F4A-831E-5E9E310A1C1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33" authorId="0" shapeId="0" xr:uid="{51592A3D-3EE4-420B-BC10-A8916BD26BC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34" authorId="0" shapeId="0" xr:uid="{E8D13088-C93F-462A-8F53-C2DB62096DD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35" authorId="0" shapeId="0" xr:uid="{6D6B5870-B76E-46B6-BD29-BE672E9781A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36" authorId="0" shapeId="0" xr:uid="{A0E1FEAC-1D58-4060-9188-5F88D3A86C6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37" authorId="0" shapeId="0" xr:uid="{29BD8327-DF1C-4700-969A-229B3C51FFB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38" authorId="0" shapeId="0" xr:uid="{E82D7DFB-2E9D-4A34-9274-D3A7B074C1C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39" authorId="0" shapeId="0" xr:uid="{DFB5C7E7-D90F-404D-ACCE-F9F1AD91C78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40" authorId="0" shapeId="0" xr:uid="{5D539C38-8316-4EC7-A106-FEFB9226D46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41" authorId="0" shapeId="0" xr:uid="{C2299E19-F0BA-49F5-9951-1900AB2535D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41" authorId="0" shapeId="0" xr:uid="{D1D37432-F9F2-4165-AE5C-289833AED7F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42" authorId="0" shapeId="0" xr:uid="{EB1C39CF-3B8F-4563-BF72-FC81C86F091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42" authorId="0" shapeId="0" xr:uid="{9BE43871-C7CA-4D81-86AB-D8563F4A31D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43" authorId="0" shapeId="0" xr:uid="{1FE6A3B4-5A90-4121-8842-7A4C4D7DCCD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43" authorId="0" shapeId="0" xr:uid="{CBBB3CAC-D13D-430E-B6CE-903A49CC3227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44" authorId="0" shapeId="0" xr:uid="{A07204FB-26CF-41E3-9410-285AD8E9CA47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44" authorId="0" shapeId="0" xr:uid="{7005E53A-5494-4FD1-AE1A-46F6A7D9412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45" authorId="0" shapeId="0" xr:uid="{84A51E64-45EF-4427-A290-D10EC7E5767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46" authorId="0" shapeId="0" xr:uid="{9B7E2D54-17FE-479C-8DDB-CE03F55EBF17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47" authorId="0" shapeId="0" xr:uid="{72748C73-E553-48FE-B863-4BFD93202D6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48" authorId="0" shapeId="0" xr:uid="{4EC0925D-385C-4A48-B995-92AC6D8ED26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49" authorId="0" shapeId="0" xr:uid="{8C8E2496-68B4-4E73-BB5B-F1875DF8A02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250" authorId="0" shapeId="0" xr:uid="{777AE7CD-F696-4BF0-A155-EB0A2443B654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50" authorId="0" shapeId="0" xr:uid="{62DE06E9-495B-42A7-B79B-19FAD48AB02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251" authorId="0" shapeId="0" xr:uid="{60BBAD68-49F9-431E-A0D5-759D39274ABD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51" authorId="0" shapeId="0" xr:uid="{37AF9A06-6CE5-4011-9319-D54D20E87A6A}">
      <text>
        <r>
          <rPr>
            <b/>
            <sz val="9"/>
            <color indexed="81"/>
            <rFont val="Tahoma"/>
            <family val="2"/>
            <charset val="204"/>
          </rPr>
          <t>Speculative (many small teeth)</t>
        </r>
      </text>
    </comment>
    <comment ref="F252" authorId="0" shapeId="0" xr:uid="{81630E6A-AE9B-4FA1-99C6-EC4CC2920659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52" authorId="0" shapeId="0" xr:uid="{6EB3F0DB-2875-4C48-A35E-6D846ACC2251}">
      <text>
        <r>
          <rPr>
            <b/>
            <sz val="9"/>
            <color indexed="81"/>
            <rFont val="Tahoma"/>
            <family val="2"/>
            <charset val="204"/>
          </rPr>
          <t>Speculative (many small teeth)</t>
        </r>
      </text>
    </comment>
    <comment ref="F253" authorId="0" shapeId="0" xr:uid="{220B0B55-4509-40BA-A3DC-2AF0DC7AE05E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J253" authorId="0" shapeId="0" xr:uid="{F6C7888B-72DE-4BD8-BF3A-7A0A2362830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53" authorId="0" shapeId="0" xr:uid="{4582C46D-7360-4AB0-A4EF-83432D9D3237}">
      <text>
        <r>
          <rPr>
            <b/>
            <sz val="9"/>
            <color indexed="81"/>
            <rFont val="Tahoma"/>
            <family val="2"/>
            <charset val="204"/>
          </rPr>
          <t>Speculative (many small teeth)</t>
        </r>
      </text>
    </comment>
    <comment ref="F254" authorId="0" shapeId="0" xr:uid="{C46CE90E-FDBD-4B09-BBCD-3B870EC9B894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54" authorId="0" shapeId="0" xr:uid="{C8280DFF-A907-48A6-925E-962C9182943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255" authorId="0" shapeId="0" xr:uid="{A761ABF8-A37C-4512-9AF2-9FA708469BBC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55" authorId="0" shapeId="0" xr:uid="{A55A6699-D375-45AD-9260-82987B517AA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259" authorId="0" shapeId="0" xr:uid="{C7F09FBD-B92E-439A-B1E4-020C418F7F9A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59" authorId="0" shapeId="0" xr:uid="{C85DDCF4-1B29-405F-A876-47F3D830E60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260" authorId="0" shapeId="0" xr:uid="{646A806E-D955-467A-8BDA-3FB7B856AC9D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60" authorId="0" shapeId="0" xr:uid="{0570916F-0DB9-4EBB-8D5B-DFD2CC2F6FA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261" authorId="0" shapeId="0" xr:uid="{BCDF2E36-BDB3-4C72-A8DF-F3C9AC4D0A18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61" authorId="0" shapeId="0" xr:uid="{61F67A2A-3C08-41BA-BC55-34C3C6A8A27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262" authorId="0" shapeId="0" xr:uid="{950EB80C-69DC-42F1-9EFE-311463BCB437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62" authorId="0" shapeId="0" xr:uid="{17E8E3C6-E6CF-4BC2-9E38-7E34022D435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64" authorId="0" shapeId="0" xr:uid="{46B55BF1-1EF0-4606-ABA7-82F0519C537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65" authorId="0" shapeId="0" xr:uid="{21F5AC44-070A-461B-B465-3A41126E2B2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65" authorId="0" shapeId="0" xr:uid="{EDC150D5-EC97-460F-955C-A8E354E2AE8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265" authorId="0" shapeId="0" xr:uid="{3BB25521-61D2-4484-8B9E-01C6D1A55A1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268" authorId="0" shapeId="0" xr:uid="{AA7048F1-2D8B-4F49-8FD4-3457AC263A15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G268" authorId="0" shapeId="0" xr:uid="{F236B208-6D1F-4343-8D41-439EE61AB4B2}">
      <text>
        <r>
          <rPr>
            <b/>
            <sz val="9"/>
            <color indexed="81"/>
            <rFont val="Tahoma"/>
            <family val="2"/>
            <charset val="204"/>
          </rPr>
          <t>https://www.khaosok.com/national-park/king-cobra/</t>
        </r>
      </text>
    </comment>
    <comment ref="V268" authorId="0" shapeId="0" xr:uid="{92B7A0AB-9F5E-49C3-8DE1-F30F3B24D384}">
      <text>
        <r>
          <rPr>
            <b/>
            <sz val="9"/>
            <color indexed="81"/>
            <rFont val="Tahoma"/>
            <family val="2"/>
            <charset val="204"/>
          </rPr>
          <t>https://nationalzoo.si.edu/animals/king-cobra</t>
        </r>
      </text>
    </comment>
    <comment ref="U269" authorId="0" shapeId="0" xr:uid="{76CC94CF-DE11-4A44-B51F-B74A75A0996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70" authorId="0" shapeId="0" xr:uid="{65BB38E0-91D2-47C2-AA1A-CD233F28128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71" authorId="0" shapeId="0" xr:uid="{9B1ED3BB-F878-4584-BA33-DD0F8106451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72" authorId="0" shapeId="0" xr:uid="{5FC2C49E-D843-4766-9F34-F1CCA518BE3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273" authorId="0" shapeId="0" xr:uid="{63183D74-05F2-4AA4-B80C-8A2EB152D6A0}">
      <text>
        <r>
          <rPr>
            <b/>
            <sz val="9"/>
            <color indexed="81"/>
            <rFont val="Tahoma"/>
            <family val="2"/>
            <charset val="204"/>
          </rPr>
          <t>Speed reported for Loxodonta africana.</t>
        </r>
      </text>
    </comment>
    <comment ref="U273" authorId="0" shapeId="0" xr:uid="{B89DE64D-B9AD-4D5D-9CFB-11D27566584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73" authorId="0" shapeId="0" xr:uid="{F43ABCDE-613B-4529-B3C8-7C652E6F4B7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274" authorId="0" shapeId="0" xr:uid="{803F98E4-CB4C-485D-A974-766BD49F38C2}">
      <text>
        <r>
          <rPr>
            <b/>
            <sz val="9"/>
            <color indexed="81"/>
            <rFont val="Tahoma"/>
            <family val="2"/>
            <charset val="204"/>
          </rPr>
          <t>Speed reported for Loxodonta africana.</t>
        </r>
      </text>
    </comment>
    <comment ref="U274" authorId="0" shapeId="0" xr:uid="{40E2072E-6A02-437B-AE2A-49AB5B31A38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74" authorId="0" shapeId="0" xr:uid="{7858FB9F-7009-449E-B9A5-2E550D8BC27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75" authorId="0" shapeId="0" xr:uid="{8874A36F-A113-4F30-A6E3-32B8C0B4F049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75" authorId="0" shapeId="0" xr:uid="{ECDE3163-B158-4D5B-8968-F261942E610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275" authorId="0" shapeId="0" xr:uid="{7519B755-92D2-44FD-9645-19F503D917A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76" authorId="0" shapeId="0" xr:uid="{E973F1A0-137D-45B4-8ACC-CABE62BC6249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76" authorId="0" shapeId="0" xr:uid="{9A930C3C-AD56-4978-902D-91D0FC5E2BF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276" authorId="0" shapeId="0" xr:uid="{1CBC5D3A-D81D-4DCD-9AAB-64EDC24282D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77" authorId="0" shapeId="0" xr:uid="{FA3A04CD-576F-4AC4-82C0-98923B7EB853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277" authorId="0" shapeId="0" xr:uid="{116B40BD-A28A-4316-A136-F8FE4E9D180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277" authorId="0" shapeId="0" xr:uid="{F862C8B7-EAEC-4C94-BB57-DE0D968A528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278" authorId="0" shapeId="0" xr:uid="{58D3E679-5C3C-440E-A071-89450C3D836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79" authorId="0" shapeId="0" xr:uid="{4AAA60DC-2E89-4F8A-8300-78B25F455D2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80" authorId="0" shapeId="0" xr:uid="{713D69A0-BB5B-40E9-88A3-D3C702F7872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81" authorId="0" shapeId="0" xr:uid="{F128FA2D-9CAD-4897-ABBB-1CF904AD08B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82" authorId="0" shapeId="0" xr:uid="{672DE0C0-77A8-4A04-B3E4-98A51D06A22D}">
      <text>
        <r>
          <rPr>
            <b/>
            <sz val="9"/>
            <color indexed="81"/>
            <rFont val="Tahoma"/>
            <family val="2"/>
            <charset val="204"/>
          </rPr>
          <t>https://www.skullsunlimited.com/products/real-domestic-cat-claw-2cm-cw-16</t>
        </r>
      </text>
    </comment>
    <comment ref="U283" authorId="0" shapeId="0" xr:uid="{8C84FC60-3672-4645-863A-FCF75D8EB42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84" authorId="0" shapeId="0" xr:uid="{644C7F9B-0538-4206-A594-530E1FA8504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285" authorId="0" shapeId="0" xr:uid="{26221105-1EC9-4F6C-ABCE-7E5957265E2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288" authorId="0" shapeId="0" xr:uid="{DE23299B-C9EC-4B7E-AAD1-6634D97475C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290" authorId="0" shapeId="0" xr:uid="{EE2369EA-293B-4A67-8A6E-5F74894B0513}">
      <text>
        <r>
          <rPr>
            <b/>
            <sz val="9"/>
            <color indexed="81"/>
            <rFont val="Tahoma"/>
            <family val="2"/>
            <charset val="204"/>
          </rPr>
          <t>Speed of Bos sauveli</t>
        </r>
      </text>
    </comment>
    <comment ref="W290" authorId="0" shapeId="0" xr:uid="{945DB4EB-4A61-4FB0-ACA9-77385C0B1C49}">
      <text>
        <r>
          <rPr>
            <b/>
            <sz val="9"/>
            <color indexed="81"/>
            <rFont val="Tahoma"/>
            <family val="2"/>
            <charset val="204"/>
          </rPr>
          <t>https://www.thecattlesite.com/articles/4237/how-much-do-horns-grow-through-the-feedlot-phase/</t>
        </r>
      </text>
    </comment>
    <comment ref="L291" authorId="0" shapeId="0" xr:uid="{E8FB4CB6-DD16-4004-80BE-1EF56B1E29C3}">
      <text>
        <r>
          <rPr>
            <b/>
            <sz val="9"/>
            <color indexed="81"/>
            <rFont val="Tahoma"/>
            <family val="2"/>
            <charset val="204"/>
          </rPr>
          <t>Speed of Bos sauveli</t>
        </r>
      </text>
    </comment>
    <comment ref="W291" authorId="0" shapeId="0" xr:uid="{D33900F0-E82B-49D1-8C36-B800EECFFCB7}">
      <text>
        <r>
          <rPr>
            <b/>
            <sz val="9"/>
            <color indexed="81"/>
            <rFont val="Tahoma"/>
            <family val="2"/>
            <charset val="204"/>
          </rPr>
          <t>https://www.thecattlesite.com/articles/4237/how-much-do-horns-grow-through-the-feedlot-phase/</t>
        </r>
      </text>
    </comment>
    <comment ref="L292" authorId="0" shapeId="0" xr:uid="{3974B28C-0175-4A4B-993E-F71074032B82}">
      <text>
        <r>
          <rPr>
            <b/>
            <sz val="9"/>
            <color indexed="81"/>
            <rFont val="Tahoma"/>
            <family val="2"/>
            <charset val="204"/>
          </rPr>
          <t>Speed of Bos sauveli</t>
        </r>
      </text>
    </comment>
    <comment ref="W292" authorId="0" shapeId="0" xr:uid="{B8899059-A709-409E-9CF3-C8346217DDAA}">
      <text>
        <r>
          <rPr>
            <b/>
            <sz val="9"/>
            <color indexed="81"/>
            <rFont val="Tahoma"/>
            <family val="2"/>
            <charset val="204"/>
          </rPr>
          <t>https://biology.stackexchange.com/questions/60285/whose-horns-are-these</t>
        </r>
      </text>
    </comment>
    <comment ref="L293" authorId="0" shapeId="0" xr:uid="{112048D1-7874-4557-ABE0-7D449E629E6F}">
      <text>
        <r>
          <rPr>
            <b/>
            <sz val="9"/>
            <color indexed="81"/>
            <rFont val="Tahoma"/>
            <family val="2"/>
            <charset val="204"/>
          </rPr>
          <t>Speed of Capra caucasia.</t>
        </r>
      </text>
    </comment>
    <comment ref="W293" authorId="0" shapeId="0" xr:uid="{8BCE6D81-6C57-4310-ABF9-960557E2353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294" authorId="0" shapeId="0" xr:uid="{9472F985-BE11-4A82-B4E3-11E90716F133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L294" authorId="0" shapeId="0" xr:uid="{23200EF8-2592-4744-B0BD-DB5CB46B79D2}">
      <text>
        <r>
          <rPr>
            <b/>
            <sz val="9"/>
            <color indexed="81"/>
            <rFont val="Tahoma"/>
            <family val="2"/>
            <charset val="204"/>
          </rPr>
          <t>Speed of Bos sauveli</t>
        </r>
      </text>
    </comment>
    <comment ref="W294" authorId="0" shapeId="0" xr:uid="{736B24B7-20E4-4269-BE9F-F8380454B141}">
      <text>
        <r>
          <rPr>
            <b/>
            <sz val="9"/>
            <color indexed="81"/>
            <rFont val="Tahoma"/>
            <family val="2"/>
            <charset val="204"/>
          </rPr>
          <t>https://www.thecattlesite.com/articles/4237/how-much-do-horns-grow-through-the-feedlot-phase/</t>
        </r>
      </text>
    </comment>
    <comment ref="L295" authorId="0" shapeId="0" xr:uid="{228FEB7C-EBEC-4BFF-8D74-C8607BF9B95F}">
      <text>
        <r>
          <rPr>
            <b/>
            <sz val="9"/>
            <color indexed="81"/>
            <rFont val="Tahoma"/>
            <family val="2"/>
            <charset val="204"/>
          </rPr>
          <t>Extrapolated from aerobic speed.</t>
        </r>
      </text>
    </comment>
    <comment ref="W295" authorId="0" shapeId="0" xr:uid="{4479E156-3E51-41A1-AE82-239B3C7E8ED0}">
      <text>
        <r>
          <rPr>
            <b/>
            <sz val="9"/>
            <color indexed="81"/>
            <rFont val="Tahoma"/>
            <family val="2"/>
            <charset val="204"/>
          </rPr>
          <t>https://analyticalsciencejournals.onlinelibrary.wiley.com/doi/abs/10.1002/jemt.22681</t>
        </r>
      </text>
    </comment>
    <comment ref="L296" authorId="0" shapeId="0" xr:uid="{5097AD0C-DEE6-4509-8E00-4CE3F784C09A}">
      <text>
        <r>
          <rPr>
            <b/>
            <sz val="9"/>
            <color indexed="81"/>
            <rFont val="Tahoma"/>
            <family val="2"/>
            <charset val="204"/>
          </rPr>
          <t>Extrapolated from aerobic speed.</t>
        </r>
      </text>
    </comment>
    <comment ref="W296" authorId="0" shapeId="0" xr:uid="{FEF322E2-517B-4B7B-9C1B-0919DBBA61BE}">
      <text>
        <r>
          <rPr>
            <b/>
            <sz val="9"/>
            <color indexed="81"/>
            <rFont val="Tahoma"/>
            <family val="2"/>
            <charset val="204"/>
          </rPr>
          <t>https://analyticalsciencejournals.onlinelibrary.wiley.com/doi/abs/10.1002/jemt.22681</t>
        </r>
      </text>
    </comment>
    <comment ref="V297" authorId="0" shapeId="0" xr:uid="{AA6A5BB2-F0C4-436B-BCB0-8B933014B7F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98" authorId="0" shapeId="0" xr:uid="{7CAB7FCB-85F8-4E42-8F8B-17AF23161DF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299" authorId="0" shapeId="0" xr:uid="{B94CE11A-310E-400C-8453-CEFD33DE5C2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00" authorId="0" shapeId="0" xr:uid="{77775C37-A434-49A2-AA6F-2FC2835FF49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301" authorId="0" shapeId="0" xr:uid="{F37149C7-A135-4BFB-8CCC-BF9E48B0099F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U301" authorId="0" shapeId="0" xr:uid="{97C09A8A-D1C9-422B-ACAC-2AD5959C1C9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01" authorId="0" shapeId="0" xr:uid="{F0C8A845-519D-4D09-B204-30125D082352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Speculative</t>
        </r>
      </text>
    </comment>
    <comment ref="L302" authorId="0" shapeId="0" xr:uid="{4DB4F67C-3B58-4DDB-8FFE-A026B366A58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02" authorId="0" shapeId="0" xr:uid="{28786BE8-69A9-4FA3-BE6E-A06AE184C480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02" authorId="0" shapeId="0" xr:uid="{7843B7F4-C0D1-4FFA-AE6D-2F49E668D3A7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03" authorId="0" shapeId="0" xr:uid="{8EF5EA25-9896-4636-B4A0-478D53F34C7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03" authorId="0" shapeId="0" xr:uid="{75376474-7F0C-4A1C-A372-0FE76EE53B4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04" authorId="0" shapeId="0" xr:uid="{AEA23226-647B-4F90-859B-8709507775F7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04" authorId="0" shapeId="0" xr:uid="{92D51B67-A0EA-49CE-9A02-BB5EB2BE135C}">
      <text>
        <r>
          <rPr>
            <b/>
            <sz val="9"/>
            <color indexed="81"/>
            <rFont val="Tahoma"/>
            <family val="2"/>
            <charset val="204"/>
          </rPr>
          <t>Speculative (many small teeth)</t>
        </r>
      </text>
    </comment>
    <comment ref="U305" authorId="0" shapeId="0" xr:uid="{69A51073-B225-4642-884F-77FE6B3F39D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05" authorId="0" shapeId="0" xr:uid="{FCAD25B2-BF6D-4C3E-87F0-D1CD54D32BF3}">
      <text>
        <r>
          <rPr>
            <b/>
            <sz val="9"/>
            <color indexed="81"/>
            <rFont val="Tahoma"/>
            <family val="2"/>
            <charset val="204"/>
          </rPr>
          <t>Speculative (many small teeth)</t>
        </r>
      </text>
    </comment>
    <comment ref="U306" authorId="0" shapeId="0" xr:uid="{4379C169-5C64-406D-99D7-BA752555D58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06" authorId="0" shapeId="0" xr:uid="{D3BE2989-C19F-4934-9B1B-C3C8EA99A77D}">
      <text>
        <r>
          <rPr>
            <b/>
            <sz val="9"/>
            <color indexed="81"/>
            <rFont val="Tahoma"/>
            <family val="2"/>
            <charset val="204"/>
          </rPr>
          <t>Speculative (many small teeth)</t>
        </r>
      </text>
    </comment>
    <comment ref="V307" authorId="0" shapeId="0" xr:uid="{6DC1944D-68AA-4629-8E7F-BB51CBA1B5AB}">
      <text>
        <r>
          <rPr>
            <b/>
            <sz val="9"/>
            <color indexed="81"/>
            <rFont val="Tahoma"/>
            <family val="2"/>
            <charset val="204"/>
          </rPr>
          <t>https://www.reddit.com/r/Naturewasmetal/comments/q0ve3z/a_sarcosuchus_tooth_compared_to_a_nile_crocodile/</t>
        </r>
      </text>
    </comment>
    <comment ref="AN307" authorId="0" shapeId="0" xr:uid="{F843AE14-5465-4A4D-9B31-3E912FF2862D}">
      <text>
        <r>
          <rPr>
            <b/>
            <sz val="9"/>
            <color indexed="81"/>
            <rFont val="Tahoma"/>
            <family val="2"/>
            <charset val="204"/>
          </rPr>
          <t>https://julseth.com/crocodiles-in-san-blas/</t>
        </r>
      </text>
    </comment>
    <comment ref="U308" authorId="0" shapeId="0" xr:uid="{98FFFDE5-C31E-45E1-8C30-F8806F569D90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08" authorId="0" shapeId="0" xr:uid="{DD721E4E-A22D-4C3A-9005-B9AED91AE7F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09" authorId="0" shapeId="0" xr:uid="{CD25AC0C-3856-40D4-B5A1-CD0FB485D21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10" authorId="0" shapeId="0" xr:uid="{2E5E34B6-E0DB-4DF2-9E7E-B45193177F1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11" authorId="0" shapeId="0" xr:uid="{0D89DF7C-62E7-4EDF-BFF1-DD9986D1248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313" authorId="0" shapeId="0" xr:uid="{4B203D75-814E-49E8-A988-31E93C13F643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F314" authorId="0" shapeId="0" xr:uid="{519598B9-1549-400D-8295-65E517CE08F4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W314" authorId="0" shapeId="0" xr:uid="{EC11CE36-9AA3-43C1-936B-DB684176AD77}">
      <text>
        <r>
          <rPr>
            <b/>
            <sz val="9"/>
            <color indexed="81"/>
            <rFont val="Tahoma"/>
            <family val="2"/>
            <charset val="204"/>
          </rPr>
          <t>Speculative.</t>
        </r>
      </text>
    </comment>
    <comment ref="L315" authorId="0" shapeId="0" xr:uid="{DF1682F1-80CE-47EC-8791-E9A3D24BC34C}">
      <text>
        <r>
          <rPr>
            <b/>
            <sz val="9"/>
            <color indexed="81"/>
            <rFont val="Tahoma"/>
            <family val="2"/>
            <charset val="204"/>
          </rPr>
          <t>Speed of Capra caucasia.</t>
        </r>
      </text>
    </comment>
    <comment ref="W315" authorId="0" shapeId="0" xr:uid="{34217D2A-600F-4022-AD62-10F8AF2B84B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16" authorId="0" shapeId="0" xr:uid="{0785468B-D8F5-4C54-8C11-3AE7EABA9342}">
      <text>
        <r>
          <rPr>
            <b/>
            <sz val="9"/>
            <color indexed="81"/>
            <rFont val="Tahoma"/>
            <family val="2"/>
            <charset val="204"/>
          </rPr>
          <t>http://www.ratbehavior.org/Teeth.htm#:~:text=The%20rat's%20incisors%20are%20the,from%20wearing%20their%20teeth%20away.</t>
        </r>
      </text>
    </comment>
    <comment ref="L317" authorId="0" shapeId="0" xr:uid="{EDB4B7BB-A34D-4B55-9751-076321412EA0}">
      <text>
        <r>
          <rPr>
            <b/>
            <sz val="9"/>
            <color indexed="81"/>
            <rFont val="Tahoma"/>
            <family val="2"/>
            <charset val="204"/>
          </rPr>
          <t>Speed of Capra caucasia.</t>
        </r>
      </text>
    </comment>
    <comment ref="W317" authorId="0" shapeId="0" xr:uid="{90C7B410-9C32-4A79-8D2D-0119CD5E7B3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318" authorId="0" shapeId="0" xr:uid="{5BB350A2-984B-48E7-8B3D-B30D3EFDC5A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19" authorId="0" shapeId="0" xr:uid="{119C82E7-16D6-4DF3-8D25-0B8D74F106A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20" authorId="0" shapeId="0" xr:uid="{3278C536-3F00-420E-AE75-F980341F58F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21" authorId="0" shapeId="0" xr:uid="{6B855065-F24F-478F-B8A9-6D27790F6FB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22" authorId="0" shapeId="0" xr:uid="{AE3B8D4E-EB4D-43CC-8D60-34BA0FBCEDD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22" authorId="0" shapeId="0" xr:uid="{C4297E89-4008-4854-B0A2-A29A1F38E2D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23" authorId="0" shapeId="0" xr:uid="{C137096E-9FB7-40BA-855A-E54FD947CCF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23" authorId="0" shapeId="0" xr:uid="{3A4232A4-3652-456D-AFE1-89E52E20618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24" authorId="0" shapeId="0" xr:uid="{2D605F7D-E0D3-4545-968A-5C56B1BD925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24" authorId="0" shapeId="0" xr:uid="{3D78F938-AB05-4CC3-92D1-9AD3BA24907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25" authorId="0" shapeId="0" xr:uid="{3B2292C3-A75D-45CE-99DF-970634588A2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25" authorId="0" shapeId="0" xr:uid="{B7008E5E-F21F-4A82-9F35-8999943BA4B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26" authorId="0" shapeId="0" xr:uid="{23D8EC85-F23F-47BC-ACE5-B2D1B5C7873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26" authorId="0" shapeId="0" xr:uid="{3A68EA6F-C536-49E0-83B9-80E29C1281F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27" authorId="0" shapeId="0" xr:uid="{10F94ACC-2118-4546-A8DC-FF387C41D33B}">
      <text>
        <r>
          <rPr>
            <b/>
            <sz val="9"/>
            <color indexed="81"/>
            <rFont val="Tahoma"/>
            <family val="2"/>
            <charset val="204"/>
          </rPr>
          <t>Extrapolated from ostrich.</t>
        </r>
      </text>
    </comment>
    <comment ref="U327" authorId="0" shapeId="0" xr:uid="{D65C8198-D3CF-4802-A15A-F606C2C0363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27" authorId="0" shapeId="0" xr:uid="{7EB7DF81-5409-4856-A0C9-6F463AA513B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28" authorId="0" shapeId="0" xr:uid="{424E4D54-3144-4EE6-A2BF-B1B68855F407}">
      <text>
        <r>
          <rPr>
            <b/>
            <sz val="9"/>
            <color indexed="81"/>
            <rFont val="Tahoma"/>
            <family val="2"/>
            <charset val="204"/>
          </rPr>
          <t>Speed of Wood Duck.</t>
        </r>
      </text>
    </comment>
    <comment ref="V328" authorId="0" shapeId="0" xr:uid="{7442DB46-1774-4070-92E9-8069BDECA6C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29" authorId="0" shapeId="0" xr:uid="{CB4CF1B6-EF5B-4C08-862B-66165124AF1B}">
      <text>
        <r>
          <rPr>
            <b/>
            <sz val="9"/>
            <color indexed="81"/>
            <rFont val="Tahoma"/>
            <family val="2"/>
            <charset val="204"/>
          </rPr>
          <t xml:space="preserve">Speed of </t>
        </r>
        <r>
          <rPr>
            <b/>
            <i/>
            <sz val="9"/>
            <color indexed="81"/>
            <rFont val="Tahoma"/>
            <family val="2"/>
            <charset val="204"/>
          </rPr>
          <t>V. mongoliensis</t>
        </r>
      </text>
    </comment>
    <comment ref="U329" authorId="0" shapeId="0" xr:uid="{BBE6E40D-40D9-46C7-8362-32D2EBE3DE99}">
      <text>
        <r>
          <rPr>
            <b/>
            <sz val="9"/>
            <color indexed="81"/>
            <rFont val="Tahoma"/>
            <family val="2"/>
            <charset val="204"/>
          </rPr>
          <t>https://www.futura-sciences.com/en/this-dinosaur-had-claws-twice-as-long-as-a-velociraptors-scientists-had-never-seen-anything-like-it_20295/</t>
        </r>
      </text>
    </comment>
    <comment ref="V329" authorId="0" shapeId="0" xr:uid="{C9C8FB0D-C01F-4E38-A223-FA08A176A9A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30" authorId="0" shapeId="0" xr:uid="{72AC9859-3E8E-4CE8-A770-A60ADE3C54AE}">
      <text>
        <r>
          <rPr>
            <b/>
            <sz val="9"/>
            <color indexed="81"/>
            <rFont val="Tahoma"/>
            <family val="2"/>
            <charset val="204"/>
          </rPr>
          <t>https://anatomypubs.onlinelibrary.wiley.com/doi/10.1002/ar.a.20206</t>
        </r>
      </text>
    </comment>
    <comment ref="L331" authorId="0" shapeId="0" xr:uid="{C1E5D80D-25C9-4AF3-9D09-670C483743F2}">
      <text>
        <r>
          <rPr>
            <b/>
            <sz val="9"/>
            <color indexed="81"/>
            <rFont val="Tahoma"/>
            <family val="2"/>
            <charset val="204"/>
          </rPr>
          <t xml:space="preserve">Speed of </t>
        </r>
        <r>
          <rPr>
            <b/>
            <i/>
            <sz val="9"/>
            <color indexed="81"/>
            <rFont val="Tahoma"/>
            <family val="2"/>
            <charset val="204"/>
          </rPr>
          <t>A. fragilis</t>
        </r>
        <r>
          <rPr>
            <b/>
            <sz val="9"/>
            <color indexed="81"/>
            <rFont val="Tahoma"/>
            <family val="2"/>
            <charset val="204"/>
          </rPr>
          <t>.</t>
        </r>
      </text>
    </comment>
    <comment ref="U331" authorId="0" shapeId="0" xr:uid="{A079C1AC-A74B-46A8-A0D5-FEA42358C9B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31" authorId="0" shapeId="0" xr:uid="{9E1B4A44-0D88-4061-8C81-9A5D13890FD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32" authorId="0" shapeId="0" xr:uid="{17981286-2585-4DB2-B829-47B3673F295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33" authorId="0" shapeId="0" xr:uid="{502CEB96-DE53-4822-AB79-1337265C577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33" authorId="0" shapeId="0" xr:uid="{58B09D5F-5639-4EB1-BF87-17A42E9E079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C334" authorId="0" shapeId="0" xr:uid="{A4393C37-3575-4A2E-9EA3-3A242C09A3CD}">
      <text>
        <r>
          <rPr>
            <b/>
            <sz val="9"/>
            <color indexed="81"/>
            <rFont val="Tahoma"/>
            <family val="2"/>
            <charset val="204"/>
          </rPr>
          <t xml:space="preserve">The forecast is based on the ratio of the average and maximum known sizes ​​for </t>
        </r>
        <r>
          <rPr>
            <b/>
            <i/>
            <sz val="9"/>
            <color indexed="81"/>
            <rFont val="Tahoma"/>
            <family val="2"/>
            <charset val="204"/>
          </rPr>
          <t>Tyrannosaurus.</t>
        </r>
      </text>
    </comment>
    <comment ref="L334" authorId="0" shapeId="0" xr:uid="{186CF0C2-D573-41C3-8207-CE0A33BF56FD}">
      <text>
        <r>
          <rPr>
            <b/>
            <sz val="9"/>
            <color indexed="81"/>
            <rFont val="Tahoma"/>
            <family val="2"/>
            <charset val="204"/>
          </rPr>
          <t xml:space="preserve">Speed of </t>
        </r>
        <r>
          <rPr>
            <b/>
            <i/>
            <sz val="9"/>
            <color indexed="81"/>
            <rFont val="Tahoma"/>
            <family val="2"/>
            <charset val="204"/>
          </rPr>
          <t>T. rex</t>
        </r>
        <r>
          <rPr>
            <b/>
            <sz val="9"/>
            <color indexed="81"/>
            <rFont val="Tahoma"/>
            <family val="2"/>
            <charset val="204"/>
          </rPr>
          <t>.</t>
        </r>
      </text>
    </comment>
    <comment ref="U334" authorId="0" shapeId="0" xr:uid="{41DD6EE9-B498-4201-A685-8193D2F10787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34" authorId="0" shapeId="0" xr:uid="{AA01C001-A7FD-49AD-86CF-1992AEEC236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35" authorId="0" shapeId="0" xr:uid="{428AA432-93A6-4F89-9761-EF80851E84FF}">
      <text>
        <r>
          <rPr>
            <b/>
            <sz val="9"/>
            <color indexed="81"/>
            <rFont val="Tahoma"/>
            <family val="2"/>
            <charset val="204"/>
          </rPr>
          <t xml:space="preserve">Speed of </t>
        </r>
        <r>
          <rPr>
            <b/>
            <i/>
            <sz val="9"/>
            <color indexed="81"/>
            <rFont val="Tahoma"/>
            <family val="2"/>
            <charset val="204"/>
          </rPr>
          <t>A. fragilis</t>
        </r>
        <r>
          <rPr>
            <b/>
            <sz val="9"/>
            <color indexed="81"/>
            <rFont val="Tahoma"/>
            <family val="2"/>
            <charset val="204"/>
          </rPr>
          <t>.</t>
        </r>
      </text>
    </comment>
    <comment ref="U335" authorId="0" shapeId="0" xr:uid="{C9F3B280-B9FA-4D20-9757-7702CBFDB50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35" authorId="0" shapeId="0" xr:uid="{02086141-B9EC-45F2-B978-4F52E8A3BBE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336" authorId="0" shapeId="0" xr:uid="{D53939E5-0C5E-402C-9FC5-95F3FE54BA7E}">
      <text>
        <r>
          <rPr>
            <b/>
            <sz val="9"/>
            <color indexed="81"/>
            <rFont val="Tahoma"/>
            <family val="2"/>
            <charset val="204"/>
          </rPr>
          <t>https://www.facts.app/dinosaur/ankylosaurus</t>
        </r>
      </text>
    </comment>
    <comment ref="W337" authorId="0" shapeId="0" xr:uid="{80E8C173-1251-4323-8CBC-6327CBDEF0E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42" authorId="0" shapeId="0" xr:uid="{F8A7DCE5-8E2C-4970-A092-95F018588810}">
      <text>
        <r>
          <rPr>
            <b/>
            <sz val="9"/>
            <color indexed="81"/>
            <rFont val="Tahoma"/>
            <family val="2"/>
            <charset val="204"/>
          </rPr>
          <t xml:space="preserve">Speed of </t>
        </r>
        <r>
          <rPr>
            <b/>
            <i/>
            <sz val="9"/>
            <color indexed="81"/>
            <rFont val="Tahoma"/>
            <family val="2"/>
            <charset val="204"/>
          </rPr>
          <t>V. mongoliensis</t>
        </r>
      </text>
    </comment>
    <comment ref="U342" authorId="0" shapeId="0" xr:uid="{FC0D4CC8-2421-4FFF-91C6-72602C24741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42" authorId="0" shapeId="0" xr:uid="{2DA7BFEA-A3A5-4A54-B92F-39A64615F0A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43" authorId="0" shapeId="0" xr:uid="{F7530926-FF6E-4C74-AEEA-5B1409A55451}">
      <text>
        <r>
          <rPr>
            <b/>
            <sz val="9"/>
            <color indexed="81"/>
            <rFont val="Tahoma"/>
            <family val="2"/>
            <charset val="204"/>
          </rPr>
          <t xml:space="preserve">Speed of </t>
        </r>
        <r>
          <rPr>
            <b/>
            <i/>
            <sz val="9"/>
            <color indexed="81"/>
            <rFont val="Tahoma"/>
            <family val="2"/>
            <charset val="204"/>
          </rPr>
          <t>V. mongoliensis</t>
        </r>
      </text>
    </comment>
    <comment ref="U343" authorId="0" shapeId="0" xr:uid="{D315455A-6FB8-4404-9C6C-26DCDD5991D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43" authorId="0" shapeId="0" xr:uid="{7827D9EE-5241-4F86-83F2-1821FC36393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44" authorId="0" shapeId="0" xr:uid="{61550320-D38E-458E-9428-89C8B9DEBB4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44" authorId="0" shapeId="0" xr:uid="{50C06A2D-1E3D-4DAA-AFAB-FB53895CE2F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45" authorId="0" shapeId="0" xr:uid="{D41E629F-A821-489B-8605-31A6D0F22C1C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45" authorId="0" shapeId="0" xr:uid="{8A75FE46-1442-4BAE-9209-08FC49935F3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46" authorId="0" shapeId="0" xr:uid="{C9FFAC42-8B52-4702-9E1B-C30BB116FE08}">
      <text>
        <r>
          <rPr>
            <b/>
            <sz val="9"/>
            <color indexed="81"/>
            <rFont val="Tahoma"/>
            <family val="2"/>
            <charset val="204"/>
          </rPr>
          <t xml:space="preserve">Speed of </t>
        </r>
        <r>
          <rPr>
            <b/>
            <i/>
            <sz val="9"/>
            <color indexed="81"/>
            <rFont val="Tahoma"/>
            <family val="2"/>
            <charset val="204"/>
          </rPr>
          <t>Coelophysis bauri</t>
        </r>
      </text>
    </comment>
    <comment ref="U346" authorId="0" shapeId="0" xr:uid="{640A7222-0CBB-4630-9DBF-FBB25586510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46" authorId="0" shapeId="0" xr:uid="{339AF3D2-83F8-44C9-8DE8-19DCC9F1CB1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47" authorId="0" shapeId="0" xr:uid="{5253A24C-E14B-4F13-92BB-BEAC0065F6B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48" authorId="0" shapeId="0" xr:uid="{525C8D6D-8B91-4922-BCAC-28AAAA498DB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48" authorId="0" shapeId="0" xr:uid="{95E35FE1-A665-4005-9B22-D1BD4BBBE96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49" authorId="0" shapeId="0" xr:uid="{C1C917EE-9D3B-4FE8-803B-E2508C58A16F}">
      <text>
        <r>
          <rPr>
            <b/>
            <sz val="9"/>
            <color indexed="81"/>
            <rFont val="Tahoma"/>
            <family val="2"/>
            <charset val="204"/>
          </rPr>
          <t>https://www.peoplescollection.wales/items/985256</t>
        </r>
      </text>
    </comment>
    <comment ref="V349" authorId="0" shapeId="0" xr:uid="{EC422AE4-9D28-4298-8F94-15AFCFE9DA1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52" authorId="0" shapeId="0" xr:uid="{416F71D6-4E2A-4340-B149-C15415BB9CA7}">
      <text>
        <r>
          <rPr>
            <b/>
            <sz val="9"/>
            <color indexed="81"/>
            <rFont val="Tahoma"/>
            <family val="2"/>
            <charset val="204"/>
          </rPr>
          <t>https://www.nationalgeographic.com/science/article/deinocheirus-exposed-meet-the-body-behind-the-terrible-hand</t>
        </r>
      </text>
    </comment>
    <comment ref="V352" authorId="0" shapeId="0" xr:uid="{EC5F4E07-E600-44EE-8F1C-137C028FBB0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53" authorId="0" shapeId="0" xr:uid="{7B8FF3CA-C5F2-4895-B101-3521149D0C12}">
      <text>
        <r>
          <rPr>
            <b/>
            <sz val="9"/>
            <color indexed="81"/>
            <rFont val="Tahoma"/>
            <family val="2"/>
            <charset val="204"/>
          </rPr>
          <t>https://www.nationalgeographic.com/adventure/article/151226-animals-dinosaurs-claws-ancient-science-paleontology</t>
        </r>
      </text>
    </comment>
    <comment ref="V353" authorId="0" shapeId="0" xr:uid="{69D6BF5C-CAE9-49B8-A5EC-A30C3E6D30E0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54" authorId="0" shapeId="0" xr:uid="{D47BF58B-4ACF-4F6D-AEA8-31A8EA6F41F2}">
      <text>
        <r>
          <rPr>
            <b/>
            <sz val="9"/>
            <color indexed="81"/>
            <rFont val="Tahoma"/>
            <family val="2"/>
            <charset val="204"/>
          </rPr>
          <t>https://jakosfossils.com/products/top-quality-pachycephalosaurus-dinosaur-tooth-565-inches?srsltid=AfmBOor9xSIhamTCNLeBGY3Ef7ofPU1k6PuEatxjtrpivXsJsR9Jl6No</t>
        </r>
      </text>
    </comment>
    <comment ref="W354" authorId="0" shapeId="0" xr:uid="{043DB021-035C-4565-8517-FAAD4000A520}">
      <text>
        <r>
          <rPr>
            <b/>
            <sz val="9"/>
            <color indexed="81"/>
            <rFont val="Tahoma"/>
            <family val="2"/>
            <charset val="204"/>
          </rPr>
          <t>https://www.totaldino.com/dino/pachycephalosaurus</t>
        </r>
      </text>
    </comment>
    <comment ref="V355" authorId="0" shapeId="0" xr:uid="{1C97D4D4-83C4-4693-8719-711B496CE14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355" authorId="0" shapeId="0" xr:uid="{9DF17E1D-8D5A-4023-B664-D5C545E26087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56" authorId="0" shapeId="0" xr:uid="{AADFF61C-2361-4DD5-888A-CAA7928F4576}">
      <text>
        <r>
          <rPr>
            <b/>
            <sz val="9"/>
            <color indexed="81"/>
            <rFont val="Tahoma"/>
            <family val="2"/>
            <charset val="204"/>
          </rPr>
          <t>Speed of Dilophosaurus</t>
        </r>
      </text>
    </comment>
    <comment ref="V356" authorId="0" shapeId="0" xr:uid="{B2054DD9-50E9-437F-93DE-F9D31010A470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357" authorId="0" shapeId="0" xr:uid="{AFC8A2B0-FE56-4F16-B407-41692B35E168}">
      <text>
        <r>
          <rPr>
            <b/>
            <sz val="9"/>
            <color indexed="81"/>
            <rFont val="Tahoma"/>
            <family val="2"/>
            <charset val="204"/>
          </rPr>
          <t>https://www.theprehistoricstore.com/products/stegosaurus-life-sized-thagomizer-tail-spike</t>
        </r>
      </text>
    </comment>
    <comment ref="V358" authorId="0" shapeId="0" xr:uid="{1E67089E-2E57-479C-A078-7FB5654A0E93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59" authorId="0" shapeId="0" xr:uid="{A05AB6E2-E5A6-43E4-AE46-065A9D4F580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359" authorId="0" shapeId="0" xr:uid="{67F69C75-4D93-479F-9E77-76489E885DB9}">
      <text>
        <r>
          <rPr>
            <b/>
            <sz val="9"/>
            <color indexed="81"/>
            <rFont val="Tahoma"/>
            <family val="2"/>
            <charset val="204"/>
          </rPr>
          <t>https://sites.google.com/view/dr-zachi-evenor/triceratops</t>
        </r>
      </text>
    </comment>
    <comment ref="V360" authorId="0" shapeId="0" xr:uid="{31768212-EBD6-4834-8FCD-300B7CD15B30}">
      <text>
        <r>
          <rPr>
            <b/>
            <sz val="9"/>
            <color indexed="81"/>
            <rFont val="Tahoma"/>
            <family val="2"/>
            <charset val="204"/>
          </rPr>
          <t>https://education.nationalgeographic.org/resource/quetzalcoatlus-flight/</t>
        </r>
      </text>
    </comment>
    <comment ref="V361" authorId="0" shapeId="0" xr:uid="{AB1E8BCD-5905-4550-A9B6-DDE710E49CD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62" authorId="0" shapeId="0" xr:uid="{5F1F2A31-53A8-42DA-AECC-A611164F152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363" authorId="0" shapeId="0" xr:uid="{3676B3A0-8049-4C1B-8DDB-7C0545FC7D9D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363" authorId="0" shapeId="0" xr:uid="{775B2DB1-795E-4F3D-A167-5AE33346108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363" authorId="0" shapeId="0" xr:uid="{4B8DFB7C-65D6-45DE-AAC9-FAC252795C77}">
      <text>
        <r>
          <rPr>
            <b/>
            <sz val="9"/>
            <color indexed="81"/>
            <rFont val="Tahoma"/>
            <family val="2"/>
            <charset val="204"/>
          </rPr>
          <t>https://doi.org/10.1088%2F0031-9120%2F36%2F5%2F308</t>
        </r>
      </text>
    </comment>
    <comment ref="F364" authorId="0" shapeId="0" xr:uid="{59ED18E6-D0FC-452E-AA25-55A5DD7BE500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L364" authorId="0" shapeId="0" xr:uid="{B999522C-1AD3-4B02-8D5B-1C794896EB9D}">
      <text>
        <r>
          <rPr>
            <b/>
            <sz val="9"/>
            <color indexed="81"/>
            <rFont val="Tahoma"/>
            <family val="2"/>
            <charset val="204"/>
          </rPr>
          <t>Extrapolated from aerobic speed.</t>
        </r>
      </text>
    </comment>
    <comment ref="V364" authorId="0" shapeId="0" xr:uid="{121EFE73-3759-426C-BAB5-54E9FE7158F5}">
      <text>
        <r>
          <rPr>
            <b/>
            <sz val="9"/>
            <color indexed="81"/>
            <rFont val="Tahoma"/>
            <family val="2"/>
            <charset val="204"/>
          </rPr>
          <t>https://www.instagram.com/p/DWcGJfGjpyF/?img_index=6&amp;hl=hu</t>
        </r>
      </text>
    </comment>
    <comment ref="F366" authorId="0" shapeId="0" xr:uid="{C7B0AF13-23AA-4A6C-8991-0D888FBAD02D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366" authorId="0" shapeId="0" xr:uid="{640D665B-2FE3-4181-B275-D4126AFE186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67" authorId="0" shapeId="0" xr:uid="{03E65106-AA01-42FC-A62E-F4D4B4BEBE21}">
      <text>
        <r>
          <rPr>
            <b/>
            <sz val="9"/>
            <color indexed="81"/>
            <rFont val="Tahoma"/>
            <family val="2"/>
            <charset val="204"/>
          </rPr>
          <t>Extrapolated from ostrich.</t>
        </r>
      </text>
    </comment>
    <comment ref="U367" authorId="0" shapeId="0" xr:uid="{BF8A7A70-159B-4D6A-88B7-95CAD030C4E8}">
      <text>
        <r>
          <rPr>
            <b/>
            <sz val="9"/>
            <color indexed="81"/>
            <rFont val="Tahoma"/>
            <family val="2"/>
            <charset val="204"/>
          </rPr>
          <t>https://flmnhbulletin.com/index.php/flmnh/article/download/flmnh-vol45-no4-pp201-230/vol45-no4/1140</t>
        </r>
      </text>
    </comment>
    <comment ref="V367" authorId="0" shapeId="0" xr:uid="{EDC3E0F5-AEB9-429C-B447-3B4EAE94F8AA}">
      <text>
        <r>
          <rPr>
            <b/>
            <sz val="9"/>
            <color indexed="81"/>
            <rFont val="Tahoma"/>
            <family val="2"/>
            <charset val="204"/>
          </rPr>
          <t>https://flmnhbulletin.com/index.php/flmnh/article/download/flmnh-vol45-no4-pp201-230/vol45-no4/1140</t>
        </r>
      </text>
    </comment>
    <comment ref="V368" authorId="0" shapeId="0" xr:uid="{B451E63A-1CCD-443F-9FFE-0ABDB2F73FE0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AN368" authorId="0" shapeId="0" xr:uid="{4C51B43D-8184-492B-93B2-85EA0A62FA86}">
      <text>
        <r>
          <rPr>
            <b/>
            <sz val="9"/>
            <color indexed="81"/>
            <rFont val="Tahoma"/>
            <family val="2"/>
            <charset val="204"/>
          </rPr>
          <t>https://factanimal.com/green-anaconda/</t>
        </r>
      </text>
    </comment>
    <comment ref="L369" authorId="0" shapeId="0" xr:uid="{A97CB2AA-687D-4EDA-B420-25EECEDC0E50}">
      <text>
        <r>
          <rPr>
            <b/>
            <sz val="9"/>
            <color indexed="81"/>
            <rFont val="Tahoma"/>
            <family val="2"/>
            <charset val="204"/>
          </rPr>
          <t>Speed of Elephas maximus (more realistic)</t>
        </r>
      </text>
    </comment>
    <comment ref="W369" authorId="0" shapeId="0" xr:uid="{E0A09075-DD8B-43A5-A226-B95A1CC9522C}">
      <text>
        <r>
          <rPr>
            <b/>
            <sz val="9"/>
            <color indexed="81"/>
            <rFont val="Tahoma"/>
            <family val="2"/>
            <charset val="204"/>
          </rPr>
          <t>https://pmc.ncbi.nlm.nih.gov/articles/PMC6102531/</t>
        </r>
      </text>
    </comment>
    <comment ref="V370" authorId="0" shapeId="0" xr:uid="{F8E411BC-EBB6-47CC-8F75-D5DF56033BD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370" authorId="0" shapeId="0" xr:uid="{671340AD-3A9D-44C4-9B3E-CE9CE2666D89}">
      <text>
        <r>
          <rPr>
            <b/>
            <sz val="9"/>
            <color indexed="81"/>
            <rFont val="Tahoma"/>
            <family val="2"/>
            <charset val="204"/>
          </rPr>
          <t>https://www.facebook.com/61564265753930/posts/-it-had-a-single-horn-six-feet-long-growing-from-its-foreheadit-weighed-5-tons-s/122188915460475525/</t>
        </r>
      </text>
    </comment>
    <comment ref="U371" authorId="0" shapeId="0" xr:uid="{5BE80DD8-B505-448C-9736-F06350761AA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71" authorId="0" shapeId="0" xr:uid="{914601C1-12BE-425C-8A12-4E90EDC11BEA}">
      <text>
        <r>
          <rPr>
            <b/>
            <sz val="9"/>
            <color indexed="81"/>
            <rFont val="Tahoma"/>
            <family val="2"/>
            <charset val="204"/>
          </rPr>
          <t>https://ielc.libguides.com/sdzg/factsheets/extinctsaber-toothedcat/characteristics</t>
        </r>
      </text>
    </comment>
    <comment ref="F372" authorId="0" shapeId="0" xr:uid="{2F6F3992-3638-4383-80D4-30AC321E6DC4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U372" authorId="0" shapeId="0" xr:uid="{A0890924-CC02-4E13-93F7-46750C2F371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72" authorId="0" shapeId="0" xr:uid="{8EAE5257-050B-44C2-BF96-BF83052441D6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373" authorId="0" shapeId="0" xr:uid="{6E49BE39-5D7D-4BCD-AAF3-D7B704187A44}">
      <text>
        <r>
          <rPr>
            <b/>
            <sz val="9"/>
            <color indexed="81"/>
            <rFont val="Tahoma"/>
            <family val="2"/>
            <charset val="204"/>
          </rPr>
          <t>https://gizmodo.com/fishermen-find-10-000-year-old-skull-and-antlers-of-ext-1828894847</t>
        </r>
      </text>
    </comment>
    <comment ref="U374" authorId="0" shapeId="0" xr:uid="{611BE11B-7EF0-45BF-80A2-63D13DABC67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75" authorId="0" shapeId="0" xr:uid="{42E7D66A-59AB-4CFA-A6F1-B0345E75599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75" authorId="0" shapeId="0" xr:uid="{9B02044C-9F72-4444-A969-083B29241D5A}">
      <text>
        <r>
          <rPr>
            <b/>
            <sz val="9"/>
            <color indexed="81"/>
            <rFont val="Tahoma"/>
            <family val="2"/>
            <charset val="204"/>
          </rPr>
          <t>https://twilightbeasts.org/2014/10/08/the-dragon-down-under/</t>
        </r>
      </text>
    </comment>
    <comment ref="W376" authorId="0" shapeId="0" xr:uid="{5A1CFB58-C012-4F51-9EDD-26F3366FACC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AN376" authorId="0" shapeId="0" xr:uid="{ACCFEE07-6064-4CCA-AF83-281371D1D2F7}">
      <text>
        <r>
          <rPr>
            <b/>
            <sz val="9"/>
            <color indexed="81"/>
            <rFont val="Tahoma"/>
            <family val="2"/>
            <charset val="204"/>
          </rPr>
          <t>https://housecomputer.ru/books/nature/mir_morja/st012.shtml.htm</t>
        </r>
      </text>
    </comment>
    <comment ref="V377" authorId="0" shapeId="0" xr:uid="{9928552F-07D9-4391-BFCA-0DBE589B5CB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78" authorId="0" shapeId="0" xr:uid="{D8C21F26-54C5-4DE4-AA30-AE00C100C06E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381" authorId="0" shapeId="0" xr:uid="{C3AECB02-D1A1-4530-99EA-AA2437A8873E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L381" authorId="0" shapeId="0" xr:uid="{3B19E342-EDFF-4CB7-A21D-EB0C90CA1C9A}">
      <text>
        <r>
          <rPr>
            <b/>
            <sz val="9"/>
            <color indexed="81"/>
            <rFont val="Tahoma"/>
            <family val="2"/>
            <charset val="204"/>
          </rPr>
          <t>Extrapolated from aerobic speed.</t>
        </r>
      </text>
    </comment>
    <comment ref="V381" authorId="0" shapeId="0" xr:uid="{9E1D718A-FE21-4012-A861-D1626CD207F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82" authorId="0" shapeId="0" xr:uid="{8AF734C3-17A2-42B5-A4A0-6345510E67E7}">
      <text>
        <r>
          <rPr>
            <b/>
            <sz val="9"/>
            <color indexed="81"/>
            <rFont val="Tahoma"/>
            <family val="2"/>
            <charset val="204"/>
          </rPr>
          <t>Extrapolated from ostrich.</t>
        </r>
      </text>
    </comment>
    <comment ref="U382" authorId="0" shapeId="0" xr:uid="{4B400B7E-1A67-41CF-B687-04BA2434EAA9}">
      <text>
        <r>
          <rPr>
            <b/>
            <sz val="9"/>
            <color indexed="81"/>
            <rFont val="Tahoma"/>
            <family val="2"/>
            <charset val="204"/>
          </rPr>
          <t>https://www.researchgate.net/figure/Fig1-Right-phalanges-of-an-adult-ostrich-anatomical-specimen-Clockwise-from-top_fig1_50351251</t>
        </r>
      </text>
    </comment>
    <comment ref="V382" authorId="0" shapeId="0" xr:uid="{724F96A4-382D-4908-B7C1-CAF10F46737B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383" authorId="0" shapeId="0" xr:uid="{A9C79AB1-2CF7-4C88-8D15-3016BD74096E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383" authorId="0" shapeId="0" xr:uid="{CD1A5265-89C0-46A1-B604-215EF3B64CF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84" authorId="0" shapeId="0" xr:uid="{230BD3EF-B19E-46C2-AEDC-606729CEA98F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385" authorId="0" shapeId="0" xr:uid="{8403936C-D40A-424C-9221-23F4790B3ED1}">
      <text>
        <r>
          <rPr>
            <b/>
            <sz val="9"/>
            <color indexed="81"/>
            <rFont val="Tahoma"/>
            <family val="2"/>
            <charset val="204"/>
          </rPr>
          <t>https://www.gbif.org/species/144098872</t>
        </r>
      </text>
    </comment>
    <comment ref="W386" authorId="0" shapeId="0" xr:uid="{324C49CB-E98F-4DB0-9A21-19A14DCCE42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87" authorId="0" shapeId="0" xr:uid="{7788FFC0-3730-4DB1-A61A-ECD2D00FC42A}">
      <text>
        <r>
          <rPr>
            <b/>
            <sz val="9"/>
            <color indexed="81"/>
            <rFont val="Tahoma"/>
            <family val="2"/>
            <charset val="204"/>
          </rPr>
          <t>Scaled to larger one.</t>
        </r>
      </text>
    </comment>
    <comment ref="V387" authorId="0" shapeId="0" xr:uid="{CC0D7E4B-E143-43E5-B621-EFB293C47690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L388" authorId="0" shapeId="0" xr:uid="{9703E4E4-C512-4D10-9729-17B718536253}">
      <text>
        <r>
          <rPr>
            <b/>
            <sz val="9"/>
            <color indexed="81"/>
            <rFont val="Tahoma"/>
            <family val="2"/>
            <charset val="204"/>
          </rPr>
          <t>Speed of Wood Duck.</t>
        </r>
      </text>
    </comment>
    <comment ref="V388" authorId="0" shapeId="0" xr:uid="{5BE9DA7A-6D43-4E2E-98E4-D05FC3141654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AN388" authorId="0" shapeId="0" xr:uid="{817AF445-1F71-4D1F-90A9-30D2EB21A3DB}">
      <text>
        <r>
          <rPr>
            <b/>
            <sz val="9"/>
            <color indexed="81"/>
            <rFont val="Tahoma"/>
            <family val="2"/>
            <charset val="204"/>
          </rPr>
          <t>https://www.pinguins.info/Engels/Voortsnel_eng.html</t>
        </r>
      </text>
    </comment>
    <comment ref="F389" authorId="0" shapeId="0" xr:uid="{694F6D85-1F12-4003-B8E2-9750475D3DEC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389" authorId="0" shapeId="0" xr:uid="{36B6C89B-CA0E-441D-82AF-F29D7ED3A33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90" authorId="0" shapeId="0" xr:uid="{5DD43FD1-30A3-4A3D-9C37-9E9E98ADF9D9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AN390" authorId="0" shapeId="0" xr:uid="{5F3234B6-82DB-495C-8F0F-CA5187BE1EB5}">
      <text>
        <r>
          <rPr>
            <b/>
            <sz val="9"/>
            <color indexed="81"/>
            <rFont val="Tahoma"/>
            <family val="2"/>
            <charset val="204"/>
          </rPr>
          <t>https://factanimal.com/green-anaconda/</t>
        </r>
      </text>
    </comment>
    <comment ref="U391" authorId="0" shapeId="0" xr:uid="{80066C7E-CAFB-44F6-81E5-B9A9F8ADD5A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91" authorId="0" shapeId="0" xr:uid="{F73A55E7-046D-4486-B75C-CAC2369AE8D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C392" authorId="0" shapeId="0" xr:uid="{FFAE5868-B3C1-4364-B91C-1D4F5728C118}">
      <text>
        <r>
          <rPr>
            <b/>
            <sz val="9"/>
            <color indexed="81"/>
            <rFont val="Tahoma"/>
            <family val="2"/>
            <charset val="204"/>
          </rPr>
          <t>Species probably reached similar sizes to the American mastodon.</t>
        </r>
      </text>
    </comment>
    <comment ref="L392" authorId="0" shapeId="0" xr:uid="{1E272A96-CA75-4396-858B-11BB21D7BF0D}">
      <text>
        <r>
          <rPr>
            <b/>
            <sz val="9"/>
            <color indexed="81"/>
            <rFont val="Tahoma"/>
            <family val="2"/>
            <charset val="204"/>
          </rPr>
          <t>Speed of Elephas maximus (more realistic)</t>
        </r>
      </text>
    </comment>
    <comment ref="W392" authorId="0" shapeId="0" xr:uid="{79354462-306D-4E62-9B90-64DC64A1DC45}">
      <text>
        <r>
          <rPr>
            <b/>
            <sz val="9"/>
            <color indexed="81"/>
            <rFont val="Tahoma"/>
            <family val="2"/>
            <charset val="204"/>
          </rPr>
          <t>https://exhibitions.nysm.nysed.gov/cohoesmastodon/phone/explore---more.html#:~:text=The%20average%20length%20of%20a,them%20only%2035%20inches%20long.</t>
        </r>
      </text>
    </comment>
    <comment ref="W393" authorId="0" shapeId="0" xr:uid="{C205FF73-2F08-465E-A868-C29C7C9FDA4D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94" authorId="0" shapeId="0" xr:uid="{FF20AB21-ADB8-479D-9D92-622B6ADF2CDB}">
      <text>
        <r>
          <rPr>
            <b/>
            <sz val="9"/>
            <color indexed="81"/>
            <rFont val="Tahoma"/>
            <family val="2"/>
            <charset val="204"/>
          </rPr>
          <t>https://pmc.ncbi.nlm.nih.gov/articles/PMC4331287/</t>
        </r>
      </text>
    </comment>
    <comment ref="AN394" authorId="0" shapeId="0" xr:uid="{06FAF3CE-2EFF-4089-940B-CCA0DA8A4B11}">
      <text>
        <r>
          <rPr>
            <b/>
            <sz val="9"/>
            <color indexed="81"/>
            <rFont val="Tahoma"/>
            <family val="2"/>
            <charset val="204"/>
          </rPr>
          <t>https://julseth.com/crocodiles-in-san-blas/</t>
        </r>
      </text>
    </comment>
    <comment ref="F395" authorId="0" shapeId="0" xr:uid="{BE704674-C6E5-44D9-8222-961166856BB0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395" authorId="0" shapeId="0" xr:uid="{F95E4A27-FE23-41CE-A66E-2103C138C907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U396" authorId="0" shapeId="0" xr:uid="{E0D2F65E-E97B-4DC5-93CB-0FEEF59EBF01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V396" authorId="0" shapeId="0" xr:uid="{0C4CB20C-60B9-41B8-B276-EC23DDF15D28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W396" authorId="0" shapeId="0" xr:uid="{68C9B7C1-EF11-4D66-B4FE-0F7832B48B50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F398" authorId="0" shapeId="0" xr:uid="{1904544A-371C-4B48-8C22-93411EAD75FA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https://www.researchgate.net/publication/228627888_Allometric_relationship_between_the_length_of_pregnancy_and_body_weight_in_mammals</t>
        </r>
      </text>
    </comment>
    <comment ref="V398" authorId="0" shapeId="0" xr:uid="{F3675637-1430-4496-817B-7C6766F952C5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AN398" authorId="0" shapeId="0" xr:uid="{615BC3F5-A85E-49AA-9904-7E585472694D}">
      <text>
        <r>
          <rPr>
            <b/>
            <sz val="9"/>
            <color indexed="81"/>
            <rFont val="Tahoma"/>
            <family val="2"/>
            <charset val="204"/>
          </rPr>
          <t>https://nationalzoo.si.edu/animals/beaver</t>
        </r>
      </text>
    </comment>
    <comment ref="U399" authorId="0" shapeId="0" xr:uid="{A059104E-CD87-4058-AA0F-E368DD84BD8A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AN399" authorId="0" shapeId="0" xr:uid="{89FCAB1F-2ED1-4285-951F-5FF480BEC956}">
      <text>
        <r>
          <rPr>
            <b/>
            <sz val="9"/>
            <color indexed="81"/>
            <rFont val="Tahoma"/>
            <family val="2"/>
            <charset val="204"/>
          </rPr>
          <t>https://www.facebook.com/groups/1674922199480437/posts/3469328323373140/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" authorId="0" shapeId="0" xr:uid="{245CA86A-41E3-4506-9272-2736B6FB4B38}">
      <text>
        <r>
          <rPr>
            <b/>
            <sz val="9"/>
            <color indexed="81"/>
            <rFont val="Tahoma"/>
            <family val="2"/>
            <charset val="204"/>
          </rPr>
          <t>The maximum aerobic speed is assumed to be approximately 2 times less than the maximum speed.
See Garland (1983) https://doi.org/10.1111/j.1469-7998.1983.tb02087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1" authorId="0" shapeId="0" xr:uid="{F3828718-FD33-460A-9DFE-EA5B1C1C7FA0}">
      <text>
        <r>
          <rPr>
            <b/>
            <sz val="9"/>
            <color indexed="81"/>
            <rFont val="Tahoma"/>
            <family val="2"/>
            <charset val="204"/>
          </rPr>
          <t>Calculated as ramming force / 1000.</t>
        </r>
      </text>
    </comment>
    <comment ref="R1" authorId="0" shapeId="0" xr:uid="{55B5E9DB-2AB6-4ECF-B497-DF5682ECE2AE}">
      <text>
        <r>
          <rPr>
            <b/>
            <sz val="9"/>
            <color indexed="81"/>
            <rFont val="Tahoma"/>
            <family val="2"/>
            <charset val="204"/>
          </rPr>
          <t>Based on the speed scaling constants from https://biology.ucr.edu/people/faculty/Garland/Garl1983_JZL.pdf</t>
        </r>
      </text>
    </comment>
    <comment ref="S1" authorId="0" shapeId="0" xr:uid="{CE11729F-C406-4CD8-9DE7-A00DFAC3D013}">
      <text>
        <r>
          <rPr>
            <b/>
            <sz val="9"/>
            <color indexed="81"/>
            <rFont val="Tahoma"/>
            <family val="2"/>
            <charset val="204"/>
          </rPr>
          <t>Calculated as predicted kicking/punching force / 1000.</t>
        </r>
      </text>
    </comment>
    <comment ref="T1" authorId="0" shapeId="0" xr:uid="{AF9890D9-71E7-499D-8CE9-D50D7CB62758}">
      <text>
        <r>
          <rPr>
            <b/>
            <sz val="9"/>
            <color indexed="81"/>
            <rFont val="Tahoma"/>
            <family val="2"/>
            <charset val="204"/>
          </rPr>
          <t>Based on the speed scaling constants from https://biology.ucr.edu/people/faculty/Garland/Garl1983_JZL.pdf</t>
        </r>
      </text>
    </comment>
    <comment ref="X1" authorId="0" shapeId="0" xr:uid="{D3ABE7ED-F097-4526-B9A3-9A4D1A9E5D99}">
      <text>
        <r>
          <rPr>
            <b/>
            <sz val="9"/>
            <color indexed="81"/>
            <rFont val="Tahoma"/>
            <family val="2"/>
            <charset val="204"/>
          </rPr>
          <t>Calculated as (predicted kicking/punching force + ramming force) / 1000.
-20% for farm animals. Larger animals do not strike with ramming acceleration.</t>
        </r>
      </text>
    </comment>
    <comment ref="Y1" authorId="0" shapeId="0" xr:uid="{9683FDB4-A69F-40CA-BC4B-EE208D24B825}">
      <text>
        <r>
          <rPr>
            <b/>
            <sz val="9"/>
            <color indexed="81"/>
            <rFont val="Tahoma"/>
            <family val="2"/>
            <charset val="204"/>
          </rPr>
          <t>Based on the speed scaling constants from https://biology.ucr.edu/people/faculty/Garland/Garl1983_JZL.pdf</t>
        </r>
      </text>
    </comment>
    <comment ref="AD1" authorId="0" shapeId="0" xr:uid="{7383A52B-4FAB-4562-AE04-BF64DBBE9558}">
      <text>
        <r>
          <rPr>
            <b/>
            <sz val="9"/>
            <color indexed="81"/>
            <rFont val="Tahoma"/>
            <family val="2"/>
            <charset val="204"/>
          </rPr>
          <t>Calculated as (predicted bite force + ramming force) / 1000
+ 0.5 for carnivores, large rodents and primates, as well as +0.15 for small rodents, because their predicted bite damage too low at smal sizes. Larger animals do not bite with ramming acceleration.</t>
        </r>
      </text>
    </comment>
    <comment ref="AI1" authorId="0" shapeId="0" xr:uid="{19ED305C-9A76-4ECD-9AF2-9AE4DFD4619C}">
      <text>
        <r>
          <rPr>
            <b/>
            <sz val="9"/>
            <color indexed="81"/>
            <rFont val="Tahoma"/>
            <family val="2"/>
            <charset val="204"/>
          </rPr>
          <t>Calculated as (predicted kicking/punching force + ramming force) / 1000.
Larger animals do not punch with ramming acceleration.</t>
        </r>
      </text>
    </comment>
    <comment ref="A8" authorId="0" shapeId="0" xr:uid="{83528E66-4532-430E-A881-3AEE78F72A20}">
      <text>
        <r>
          <rPr>
            <b/>
            <sz val="9"/>
            <color indexed="81"/>
            <rFont val="Tahoma"/>
            <family val="2"/>
            <charset val="204"/>
          </rPr>
          <t>Wild</t>
        </r>
      </text>
    </comment>
    <comment ref="A9" authorId="0" shapeId="0" xr:uid="{3A28D722-7596-44B6-A3AB-461896361040}">
      <text>
        <r>
          <rPr>
            <b/>
            <sz val="9"/>
            <color indexed="81"/>
            <rFont val="Tahoma"/>
            <family val="2"/>
            <charset val="204"/>
          </rPr>
          <t>Adler</t>
        </r>
      </text>
    </comment>
    <comment ref="A10" authorId="0" shapeId="0" xr:uid="{209D90DE-C736-4C33-AF30-30D512812124}">
      <text>
        <r>
          <rPr>
            <b/>
            <sz val="9"/>
            <color indexed="81"/>
            <rFont val="Tahoma"/>
            <family val="2"/>
            <charset val="204"/>
          </rPr>
          <t>Wild</t>
        </r>
      </text>
    </comment>
    <comment ref="A11" authorId="0" shapeId="0" xr:uid="{BEB51A43-FF5C-4908-964C-2D2C0FEA59A9}">
      <text>
        <r>
          <rPr>
            <b/>
            <sz val="9"/>
            <color indexed="81"/>
            <rFont val="Tahoma"/>
            <family val="2"/>
            <charset val="204"/>
          </rPr>
          <t>Moskovskaya</t>
        </r>
      </text>
    </comment>
    <comment ref="A30" authorId="0" shapeId="0" xr:uid="{0F1F835F-948A-4EE2-965F-71821D8D9B29}">
      <text>
        <r>
          <rPr>
            <b/>
            <sz val="9"/>
            <color indexed="81"/>
            <rFont val="Tahoma"/>
            <family val="2"/>
            <charset val="204"/>
          </rPr>
          <t>Estonian Bacon</t>
        </r>
      </text>
    </comment>
    <comment ref="A43" authorId="0" shapeId="0" xr:uid="{584BDEF1-2D98-41F6-BCCA-9DD593364F55}">
      <text>
        <r>
          <rPr>
            <b/>
            <sz val="9"/>
            <color indexed="81"/>
            <rFont val="Tahoma"/>
            <family val="2"/>
            <charset val="204"/>
          </rPr>
          <t>Brown Swiss cattle</t>
        </r>
      </text>
    </comment>
    <comment ref="A51" authorId="0" shapeId="0" xr:uid="{80DBDB5E-0864-45F9-827B-AD962B1295B5}">
      <text>
        <r>
          <rPr>
            <b/>
            <sz val="9"/>
            <color indexed="81"/>
            <rFont val="Tahoma"/>
            <family val="2"/>
            <charset val="204"/>
          </rPr>
          <t>Saanen</t>
        </r>
      </text>
    </comment>
    <comment ref="A52" authorId="0" shapeId="0" xr:uid="{1440E1EE-6CB4-4458-B56E-87B627C495EA}">
      <text>
        <r>
          <rPr>
            <b/>
            <sz val="9"/>
            <color indexed="81"/>
            <rFont val="Tahoma"/>
            <family val="2"/>
            <charset val="204"/>
          </rPr>
          <t>Merino</t>
        </r>
      </text>
    </comment>
    <comment ref="A67" authorId="0" shapeId="0" xr:uid="{2172DA0F-BDE7-4290-A1B0-BABE4999C636}">
      <text>
        <r>
          <rPr>
            <b/>
            <sz val="9"/>
            <color indexed="81"/>
            <rFont val="Tahoma"/>
            <family val="2"/>
            <charset val="204"/>
          </rPr>
          <t>Wild</t>
        </r>
      </text>
    </comment>
    <comment ref="A162" authorId="0" shapeId="0" xr:uid="{3FB92122-C5FB-4232-8730-C1555B6BE1E3}">
      <text>
        <r>
          <rPr>
            <b/>
            <sz val="9"/>
            <color indexed="81"/>
            <rFont val="Tahoma"/>
            <family val="2"/>
            <charset val="204"/>
          </rPr>
          <t>Wild</t>
        </r>
      </text>
    </comment>
    <comment ref="A184" authorId="0" shapeId="0" xr:uid="{0012BD28-0D3A-418B-B30F-B01D5CDEB43E}">
      <text>
        <r>
          <rPr>
            <b/>
            <sz val="9"/>
            <color indexed="81"/>
            <rFont val="Tahoma"/>
            <family val="2"/>
            <charset val="204"/>
          </rPr>
          <t>Wild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" authorId="0" shapeId="0" xr:uid="{05CBBD60-E66F-4615-B35C-5BA49C369000}">
      <text>
        <r>
          <rPr>
            <b/>
            <sz val="9"/>
            <color indexed="81"/>
            <rFont val="Tahoma"/>
            <family val="2"/>
            <charset val="204"/>
          </rPr>
          <t>Adjusted CE formula.
Original:
=ROUNDUP(pressure * area)^0.9 / 21;0)
Adjusted:
=MROUND(pressure * area * 5%)^0.9 / 21 + 0.5;0.1)</t>
        </r>
      </text>
    </comment>
    <comment ref="E1" authorId="0" shapeId="0" xr:uid="{BC275B91-3F76-4E9F-994B-8EC31CB76AAC}">
      <text>
        <r>
          <rPr>
            <b/>
            <sz val="9"/>
            <color indexed="81"/>
            <rFont val="Tahoma"/>
            <family val="2"/>
            <charset val="204"/>
          </rPr>
          <t>Adjusted CE formula.
Original:
=ROUND(energy * 0.01; 3)
Adjusted:
=MROUND(energy * 0.01; 0.01)</t>
        </r>
      </text>
    </comment>
    <comment ref="F1" authorId="0" shapeId="0" xr:uid="{F5EBD1AA-381A-4864-A2D2-C3F122486D03}">
      <text>
        <r>
          <rPr>
            <b/>
            <sz val="9"/>
            <color indexed="81"/>
            <rFont val="Tahoma"/>
            <family val="2"/>
            <charset val="204"/>
          </rPr>
          <t xml:space="preserve">Adjusted CE formula.
Original:
=ROUND(mass^0.25 / (speed * 10) * 150; 2)
Adjusted: =MROUND(mass_head^0.25 / (speed_head * 10) * 150 + 0.5; 0.05)
</t>
        </r>
      </text>
    </comment>
    <comment ref="G1" authorId="0" shapeId="0" xr:uid="{CED50420-A40D-4A73-A4EE-46EF056E2600}">
      <text>
        <r>
          <rPr>
            <b/>
            <sz val="9"/>
            <color indexed="81"/>
            <rFont val="Tahoma"/>
            <family val="2"/>
            <charset val="204"/>
          </rPr>
          <t>Adjusted CE formula.
Original:
Blunt attack power=ROUNDUP(pressure * area)^0.9 / 21;0)
Sharp attack power=ROUNDUP(((blade)^0.4 * energy^0.73)^0.6;0)
Adjusted:
Blunt attack power=MROUND(pressure * area)^0.9 / 21 + 0.5;0.1)
Sharp attack power=MROUND(((MIN(10;blade))^0.4 * energy^0.73)^0.6;0.1)</t>
        </r>
      </text>
    </comment>
    <comment ref="H1" authorId="0" shapeId="0" xr:uid="{26BC9A7C-8FC1-45E9-AC2E-BE51F4AE3524}">
      <text>
        <r>
          <rPr>
            <b/>
            <sz val="9"/>
            <color indexed="81"/>
            <rFont val="Tahoma"/>
            <family val="2"/>
            <charset val="204"/>
          </rPr>
          <t>Adjusted CE formula.
Original:
=ROUND(energy * 0.01; 3)
Adjusted:
=MROUND(energy * 0.01; 0.01)</t>
        </r>
      </text>
    </comment>
    <comment ref="I1" authorId="0" shapeId="0" xr:uid="{4870E38D-102D-410D-8AF3-F137890A636F}">
      <text>
        <r>
          <rPr>
            <b/>
            <sz val="9"/>
            <color indexed="81"/>
            <rFont val="Tahoma"/>
            <family val="2"/>
            <charset val="204"/>
          </rPr>
          <t>Adjusted CE formula.
Original:
=ROUND(energy * 0.01; 3)
Adjusted:
=MROUND(energy * 0.01; 0.01)</t>
        </r>
      </text>
    </comment>
    <comment ref="J1" authorId="0" shapeId="0" xr:uid="{BA064D71-4A01-4AF7-913D-4A4E44BE7723}">
      <text>
        <r>
          <rPr>
            <b/>
            <sz val="9"/>
            <color indexed="81"/>
            <rFont val="Tahoma"/>
            <family val="2"/>
            <charset val="204"/>
          </rPr>
          <t>Adjusted CE formula.
Original:
=ROUND(mass^0.25 / (speed * 10) * 150; 2)
Adjusted: MROUND(mass_hindlimbs^0.25 / (speed_hindlimb * 10) * attack_interval_mult * 150 + 0.5,0.05)</t>
        </r>
      </text>
    </comment>
    <comment ref="K1" authorId="0" shapeId="0" xr:uid="{BF62D9C2-6B39-4E34-B90E-15B51D20935A}">
      <text>
        <r>
          <rPr>
            <b/>
            <sz val="9"/>
            <color indexed="81"/>
            <rFont val="Tahoma"/>
            <family val="2"/>
            <charset val="204"/>
          </rPr>
          <t>Adjusted CE formula.
Original:
Blunt attack power=ROUNDUP(pressure * area)^0.9 / 21;0)
Sharp attack power=ROUNDUP(((blade)^0.4 * energy^0.73)^0.6;0)
Adjusted:
Blunt attack power=MROUND(pressure * area)^0.9 / 21 + 0.5;0.1)
Sharp attack power=MROUND(((MIN(12;blade))^0.4 * energy^0.73)^0.6;0.1).</t>
        </r>
      </text>
    </comment>
    <comment ref="L1" authorId="0" shapeId="0" xr:uid="{25EF672B-281D-4A8E-8E5F-6195CF7A7D2F}">
      <text>
        <r>
          <rPr>
            <b/>
            <sz val="9"/>
            <color indexed="81"/>
            <rFont val="Tahoma"/>
            <family val="2"/>
            <charset val="204"/>
          </rPr>
          <t>Adjusted CE formula.
Original:
=ROUND(energy * 0.01; 3)
Adjusted:
=MROUND(energy * 0.01; 0.01)</t>
        </r>
      </text>
    </comment>
    <comment ref="M1" authorId="0" shapeId="0" xr:uid="{322B60D8-3FD4-40AD-9980-7BCD7CB46E78}">
      <text>
        <r>
          <rPr>
            <b/>
            <sz val="9"/>
            <color indexed="81"/>
            <rFont val="Tahoma"/>
            <family val="2"/>
            <charset val="204"/>
          </rPr>
          <t>Adjusted CE formula.
Original:
=ROUND(energy * 0.01; 3)
Adjusted:
=MROUND(energy * 0.01; 0.01)</t>
        </r>
      </text>
    </comment>
    <comment ref="N1" authorId="0" shapeId="0" xr:uid="{DFBCDC3B-90F8-4A2D-B078-FBAC3B66FE58}">
      <text>
        <r>
          <rPr>
            <b/>
            <sz val="9"/>
            <color indexed="81"/>
            <rFont val="Tahoma"/>
            <family val="2"/>
            <charset val="204"/>
          </rPr>
          <t>Adjusted CE formula.
Original:
=ROUND(mass^0.25 / (speed * 10) * 150; 2)
Adjusted: MROUND(mass_head^0.25 / (speed_horn * 10) * attack_interval_mult * 150 + (blade^(1/100)) + 0.5,0.05)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" authorId="0" shapeId="0" xr:uid="{A4055772-1C34-4055-AE1A-C94035536125}">
      <text>
        <r>
          <rPr>
            <b/>
            <sz val="9"/>
            <color indexed="81"/>
            <rFont val="Tahoma"/>
            <family val="2"/>
            <charset val="204"/>
          </rPr>
          <t>https://aszk.org.au/wp-content/uploads/2020/06/Ostrich-Struthio-camelus-Murrells-E.-2017.pdf</t>
        </r>
      </text>
    </comment>
    <comment ref="H2" authorId="0" shapeId="0" xr:uid="{897383F1-777F-49AC-A072-F782615D86AD}">
      <text>
        <r>
          <rPr>
            <b/>
            <sz val="9"/>
            <color indexed="81"/>
            <rFont val="Tahoma"/>
            <family val="2"/>
            <charset val="204"/>
          </rPr>
          <t>https://earthlife.net/how-often-ostriches-lay-eggs/</t>
        </r>
      </text>
    </comment>
    <comment ref="I2" authorId="0" shapeId="0" xr:uid="{86A0CC2D-CF73-4446-A859-716AAE9D1E70}">
      <text>
        <r>
          <rPr>
            <b/>
            <sz val="9"/>
            <color indexed="81"/>
            <rFont val="Tahoma"/>
            <family val="2"/>
            <charset val="204"/>
          </rPr>
          <t>https://www.biodiversityexplorer.info/birds/struthionidae/struthio_camelus.htm</t>
        </r>
      </text>
    </comment>
    <comment ref="G3" authorId="0" shapeId="0" xr:uid="{64A8409A-241E-4DF9-8AC5-8647D24248F6}">
      <text>
        <r>
          <rPr>
            <b/>
            <sz val="9"/>
            <color indexed="81"/>
            <rFont val="Tahoma"/>
            <family val="2"/>
            <charset val="204"/>
          </rPr>
          <t>https://aszk.org.au/wp-content/uploads/2020/06/Southern-Cassowary-Casuarius-casuarius-johnsonii-Biggs-J.-2013.pdf</t>
        </r>
      </text>
    </comment>
    <comment ref="H3" authorId="0" shapeId="0" xr:uid="{E8511235-E800-496B-A531-7D2997DE9527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https://www.researchgate.net/publication/294615640_Artificial_hatching_of_cassowary_egg</t>
        </r>
      </text>
    </comment>
    <comment ref="G4" authorId="0" shapeId="0" xr:uid="{71725FDC-5774-4687-9035-8C4936B51A56}">
      <text>
        <r>
          <rPr>
            <b/>
            <sz val="9"/>
            <color indexed="81"/>
            <rFont val="Tahoma"/>
            <family val="2"/>
            <charset val="204"/>
          </rPr>
          <t>https://www.glacierrockfarms.com/wp-content/uploads/2012/07/Emu.pdf</t>
        </r>
      </text>
    </comment>
    <comment ref="H4" authorId="0" shapeId="0" xr:uid="{FA4B8150-F373-4B23-AAA7-E03DF7AE664D}">
      <text>
        <r>
          <rPr>
            <b/>
            <sz val="9"/>
            <color indexed="81"/>
            <rFont val="Tahoma"/>
            <family val="2"/>
            <charset val="204"/>
          </rPr>
          <t>https://www.nature-watch.com/images/Ostrich%20and%20Emu%20Eggs%20Article.pdf</t>
        </r>
      </text>
    </comment>
    <comment ref="I4" authorId="0" shapeId="0" xr:uid="{B5F7DCA9-B704-49DB-96A0-A0E138514499}">
      <text>
        <r>
          <rPr>
            <b/>
            <sz val="9"/>
            <color indexed="81"/>
            <rFont val="Tahoma"/>
            <family val="2"/>
            <charset val="204"/>
          </rPr>
          <t>https://link.springer.com/article/10.1007/s00265-021-03110-4</t>
        </r>
      </text>
    </comment>
    <comment ref="G5" authorId="0" shapeId="0" xr:uid="{F3BB7ECC-7F45-4B98-BD95-4F300AC0F971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https://genomics.senescence.info/species/entry.php?species=Meleagris_gallopavo</t>
        </r>
      </text>
    </comment>
    <comment ref="H5" authorId="0" shapeId="0" xr:uid="{42CF360B-5879-4F15-9F54-1A2E90778103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https://genomics.senescence.info/species/entry.php?species=Meleagris_gallopavo</t>
        </r>
      </text>
    </comment>
    <comment ref="I5" authorId="0" shapeId="0" xr:uid="{EAE67E1C-7487-433B-8681-5612C960155B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https://genomics.senescence.info/species/entry.php?species=Meleagris_gallopavo</t>
        </r>
      </text>
    </comment>
    <comment ref="G6" authorId="0" shapeId="0" xr:uid="{86A6F087-CBFA-42ED-9B43-6A0D43763023}">
      <text>
        <r>
          <rPr>
            <b/>
            <sz val="9"/>
            <color indexed="81"/>
            <rFont val="Tahoma"/>
            <family val="2"/>
            <charset val="204"/>
          </rPr>
          <t>https://saltinmycoffee.com/how-to-hatch-goose-eggs/</t>
        </r>
      </text>
    </comment>
    <comment ref="H6" authorId="0" shapeId="0" xr:uid="{C4FF07E3-DA0A-44D5-8BF2-BA75774493FF}">
      <text>
        <r>
          <rPr>
            <b/>
            <sz val="9"/>
            <color indexed="81"/>
            <rFont val="Tahoma"/>
            <family val="2"/>
            <charset val="204"/>
          </rPr>
          <t>https://www.fao.org/4/ah759e/AH759E23.htm</t>
        </r>
      </text>
    </comment>
    <comment ref="G7" authorId="0" shapeId="0" xr:uid="{6F249E48-7591-488B-B6A6-3AD35AFC18B3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https://genomics.senescence.info/species/entry.php?species=Anas_platyrhynchos</t>
        </r>
      </text>
    </comment>
    <comment ref="H7" authorId="0" shapeId="0" xr:uid="{D26194F9-6381-480A-83D0-BACAE16AAB7B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https://genomics.senescence.info/species/entry.php?species=Anas_platyrhynchos</t>
        </r>
      </text>
    </comment>
    <comment ref="G8" authorId="0" shapeId="0" xr:uid="{68DA3EFE-37FA-49CF-9ECF-C26C2854D3CF}">
      <text>
        <r>
          <rPr>
            <b/>
            <sz val="9"/>
            <color indexed="81"/>
            <rFont val="Tahoma"/>
            <family val="2"/>
            <charset val="204"/>
          </rPr>
          <t>https://www.purinamills.com/chicken-feed/education/detail/hatching-eggs-at-home-a-21-day-guide-for-baby-chicks</t>
        </r>
      </text>
    </comment>
    <comment ref="H8" authorId="0" shapeId="0" xr:uid="{ADF3F43D-6868-45BC-91B6-3FBF679D6F6D}">
      <text>
        <r>
          <rPr>
            <b/>
            <sz val="9"/>
            <color indexed="81"/>
            <rFont val="Tahoma"/>
            <family val="2"/>
            <charset val="204"/>
          </rPr>
          <t>https://www.fao.org/4/ah759e/AH759E22.htm#TopOfPage</t>
        </r>
      </text>
    </comment>
    <comment ref="G9" authorId="0" shapeId="0" xr:uid="{A808809A-5B86-4089-95B9-345BF6E427C8}">
      <text>
        <r>
          <rPr>
            <b/>
            <sz val="9"/>
            <color indexed="81"/>
            <rFont val="Tahoma"/>
            <family val="2"/>
            <charset val="204"/>
          </rPr>
          <t>https://library.iucn-isg.org/documents/1987/Miller_1987_Zoo_Biology.pdf</t>
        </r>
      </text>
    </comment>
    <comment ref="I9" authorId="0" shapeId="0" xr:uid="{EF655BAE-7DAC-43CC-9506-53F0366FFC6F}">
      <text>
        <r>
          <rPr>
            <b/>
            <sz val="9"/>
            <color indexed="81"/>
            <rFont val="Tahoma"/>
            <family val="2"/>
            <charset val="204"/>
          </rPr>
          <t>https://www.cabidigitallibrary.org/doi/full/10.1079/cabicompendium.28477</t>
        </r>
      </text>
    </comment>
    <comment ref="G10" authorId="0" shapeId="0" xr:uid="{6B50E6CE-E571-45EC-A9F4-946ADE91EF79}">
      <text>
        <r>
          <rPr>
            <b/>
            <sz val="9"/>
            <color indexed="81"/>
            <rFont val="Tahoma"/>
            <family val="2"/>
            <charset val="204"/>
          </rPr>
          <t>https://www.sciencedirect.com/science/article/abs/pii/S0306456523000098</t>
        </r>
      </text>
    </comment>
    <comment ref="I10" authorId="0" shapeId="0" xr:uid="{093EDFD8-94B3-4BB0-8A31-372C98ACD5B5}">
      <text>
        <r>
          <rPr>
            <b/>
            <sz val="9"/>
            <color indexed="81"/>
            <rFont val="Tahoma"/>
            <family val="2"/>
            <charset val="204"/>
          </rPr>
          <t>https://www.sciencedirect.com/science/article/abs/pii/S0306456523000098?utm_source=chatgpt.com</t>
        </r>
      </text>
    </comment>
    <comment ref="G11" authorId="0" shapeId="0" xr:uid="{F2DEFC09-5BA3-45BA-AA27-FDD2B9F56640}">
      <text>
        <r>
          <rPr>
            <b/>
            <sz val="9"/>
            <color indexed="81"/>
            <rFont val="Tahoma"/>
            <family val="2"/>
            <charset val="204"/>
          </rPr>
          <t>https://iucn-tftsg.org/wp-content/uploads/file/Accounts/crm_5_086_emys_v1_2015.pdf</t>
        </r>
      </text>
    </comment>
    <comment ref="I11" authorId="0" shapeId="0" xr:uid="{2DFF466B-99DD-437A-B965-E9EB4B66D3C8}">
      <text>
        <r>
          <rPr>
            <b/>
            <sz val="9"/>
            <color indexed="81"/>
            <rFont val="Tahoma"/>
            <family val="2"/>
            <charset val="204"/>
          </rPr>
          <t>https://iucn-tftsg.org/wp-content/uploads/file/Accounts/crm_5_086_emys_v1_2015.pdf</t>
        </r>
      </text>
    </comment>
    <comment ref="G12" authorId="0" shapeId="0" xr:uid="{94FE02B3-DE08-4E97-9AC9-8AAD6E8D1A43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https://genomics.senescence.info/species/entry.php?species=Passer_domesticus</t>
        </r>
      </text>
    </comment>
    <comment ref="H12" authorId="0" shapeId="0" xr:uid="{DC5BD38C-C955-4F03-A027-6D245E7994D3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https://genomics.senescence.info/species/entry.php?species=Passer_domesticus</t>
        </r>
      </text>
    </comment>
    <comment ref="I12" authorId="0" shapeId="0" xr:uid="{998906AB-B121-4124-BFB5-9C2F7013D8BC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https://genomics.senescence.info/species/entry.php?species=Passer_domesticus</t>
        </r>
      </text>
    </comment>
    <comment ref="G13" authorId="0" shapeId="0" xr:uid="{33AB89B9-3030-4843-BB3B-D9406B0D9A37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https://genomics.senescence.info/species/entry.php?species=Sialia_sialis</t>
        </r>
      </text>
    </comment>
    <comment ref="H13" authorId="0" shapeId="0" xr:uid="{99059DEB-BB9E-4AC6-98B6-BF4316F6098C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https://genomics.senescence.info/species/entry.php?species=Sialia_sialis</t>
        </r>
      </text>
    </comment>
    <comment ref="I13" authorId="0" shapeId="0" xr:uid="{1C21A604-A390-45C4-A116-CC7EE1F481E7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https://genomics.senescence.info/species/entry.php?species=Sialia_sialis</t>
        </r>
      </text>
    </comment>
    <comment ref="G14" authorId="0" shapeId="0" xr:uid="{F7D2D356-B464-43A6-B0D7-730890156BF2}">
      <text>
        <r>
          <rPr>
            <b/>
            <sz val="9"/>
            <color indexed="81"/>
            <rFont val="Tahoma"/>
            <family val="2"/>
            <charset val="204"/>
          </rPr>
          <t>https://bioone.org/journals/acta-ornithologica/volume-48/issue-2/000164513X678865/Breeding-Biology-and-Fledgling-Survival-in-a-Carrion-Crow-Corvus/10.3161/000164513X678865.short</t>
        </r>
      </text>
    </comment>
    <comment ref="H14" authorId="0" shapeId="0" xr:uid="{D2E0D3F9-1CE0-4F07-855B-79EE77EEAA2C}">
      <text>
        <r>
          <rPr>
            <b/>
            <sz val="9"/>
            <color indexed="81"/>
            <rFont val="Tahoma"/>
            <family val="2"/>
            <charset val="204"/>
          </rPr>
          <t>https://bioone.org/journals/acta-ornithologica/volume-48/issue-2/000164513X678865/Breeding-Biology-and-Fledgling-Survival-in-a-Carrion-Crow-Corvus/10.3161/000164513X678865.short</t>
        </r>
      </text>
    </comment>
    <comment ref="I14" authorId="0" shapeId="0" xr:uid="{2E41DE4F-27BB-4451-AE69-A61713298F4D}">
      <text>
        <r>
          <rPr>
            <b/>
            <sz val="9"/>
            <color indexed="81"/>
            <rFont val="Tahoma"/>
            <family val="2"/>
            <charset val="204"/>
          </rPr>
          <t>https://bioone.org/journals/acta-ornithologica/volume-48/issue-2/000164513X678865/Breeding-Biology-and-Fledgling-Survival-in-a-Carrion-Crow-Corvus/10.3161/000164513X678865.short</t>
        </r>
      </text>
    </comment>
    <comment ref="G15" authorId="0" shapeId="0" xr:uid="{86555C3B-91E7-4454-825A-53381B33BC81}">
      <text>
        <r>
          <rPr>
            <b/>
            <sz val="9"/>
            <color indexed="81"/>
            <rFont val="Tahoma"/>
            <family val="2"/>
            <charset val="204"/>
          </rPr>
          <t>https://watchbird-ojs-tamu.tdl.org/watchbird/index.php/watchbird/article/view/2151</t>
        </r>
      </text>
    </comment>
    <comment ref="I15" authorId="0" shapeId="0" xr:uid="{55CD0277-120F-4CBC-A7AF-6AFD6F2AD433}">
      <text>
        <r>
          <rPr>
            <b/>
            <sz val="9"/>
            <color indexed="81"/>
            <rFont val="Tahoma"/>
            <family val="2"/>
            <charset val="204"/>
          </rPr>
          <t>https://ufdcimages.uflib.ufl.edu/AA/00/03/45/72/00001/ecologybreedingb00iigo.pdf</t>
        </r>
      </text>
    </comment>
    <comment ref="G16" authorId="0" shapeId="0" xr:uid="{BAF0FE64-D74E-4DD0-86C1-7E03D741FF22}">
      <text>
        <r>
          <rPr>
            <b/>
            <sz val="9"/>
            <color indexed="81"/>
            <rFont val="Tahoma"/>
            <family val="2"/>
            <charset val="204"/>
          </rPr>
          <t>https://meyerhatchery.zendesk.com/hc/en-us/articles/4425127725197-Guide-To-Incubating-and-Hatching-Coturnix-Quail-Eggs</t>
        </r>
      </text>
    </comment>
    <comment ref="H16" authorId="0" shapeId="0" xr:uid="{06AD7D96-29BC-4972-A2ED-E368B5B8ECA0}">
      <text>
        <r>
          <rPr>
            <b/>
            <sz val="9"/>
            <color indexed="81"/>
            <rFont val="Tahoma"/>
            <family val="2"/>
            <charset val="204"/>
          </rPr>
          <t>https://poultrykeeper.com/keeping-quail/quail-eggs/</t>
        </r>
      </text>
    </comment>
    <comment ref="I16" authorId="0" shapeId="0" xr:uid="{E13844E6-6275-422F-A031-FEE6933EA7A5}">
      <text>
        <r>
          <rPr>
            <b/>
            <sz val="9"/>
            <color indexed="81"/>
            <rFont val="Tahoma"/>
            <family val="2"/>
            <charset val="204"/>
          </rPr>
          <t>https://poultrykeeper.com/keeping-quail/quail-eggs/</t>
        </r>
      </text>
    </comment>
    <comment ref="G17" authorId="0" shapeId="0" xr:uid="{5C8694B6-379A-4F06-B7A1-A1A855FD2876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https://genomics.senescence.info/species/entry.php?species=Cygnus_olor</t>
        </r>
      </text>
    </comment>
    <comment ref="H17" authorId="0" shapeId="0" xr:uid="{24C0E6EB-F847-4186-B7CA-2515AFEA67E3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https://genomics.senescence.info/species/entry.php?species=Cygnus_olor</t>
        </r>
      </text>
    </comment>
    <comment ref="I17" authorId="0" shapeId="0" xr:uid="{3D34855E-672A-40BB-856B-E3288417F3BF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https://genomics.senescence.info/species/entry.php?species=Cygnus_olor</t>
        </r>
      </text>
    </comment>
    <comment ref="G18" authorId="0" shapeId="0" xr:uid="{DEFA0797-F3C4-404E-A7C9-5AC3BC2B7F7A}">
      <text>
        <r>
          <rPr>
            <b/>
            <sz val="9"/>
            <color indexed="81"/>
            <rFont val="Tahoma"/>
            <family val="2"/>
            <charset val="204"/>
          </rPr>
          <t>https://www.raco.cat/index.php/Mzoologica/article/download/90352/169187/</t>
        </r>
      </text>
    </comment>
    <comment ref="H18" authorId="0" shapeId="0" xr:uid="{281BF865-7686-4119-8D39-02779E9971F6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https://www.researchgate.net/publication/271832546_Breeding_Biology_of_Grey_Heron_Ardea_cinerea_in_Siahkeshim_Protected_Area_Northern_Iran</t>
        </r>
      </text>
    </comment>
    <comment ref="I18" authorId="0" shapeId="0" xr:uid="{B6606A15-F9C5-4B89-BE6D-E86AA4D63D91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https://www.researchgate.net/publication/271832546_Breeding_Biology_of_Grey_Heron_Ardea_cinerea_in_Siahkeshim_Protected_Area_Northern_Iran</t>
        </r>
      </text>
    </comment>
    <comment ref="G19" authorId="0" shapeId="0" xr:uid="{5DA9CF6C-F3BC-4B4E-9E0D-8A5378ADB423}">
      <text>
        <r>
          <rPr>
            <b/>
            <sz val="9"/>
            <color indexed="81"/>
            <rFont val="Tahoma"/>
            <family val="2"/>
            <charset val="204"/>
          </rPr>
          <t>https://bio-protocol.org/exchange/minidetail?id=10971181&amp;type=30</t>
        </r>
      </text>
    </comment>
    <comment ref="H19" authorId="0" shapeId="0" xr:uid="{ECCDBF53-D5E9-4784-8AAF-BBEDCBD63E20}">
      <text>
        <r>
          <rPr>
            <b/>
            <sz val="9"/>
            <color indexed="81"/>
            <rFont val="Tahoma"/>
            <family val="2"/>
            <charset val="204"/>
          </rPr>
          <t>https://thepopularflamingo.com/blogs/posts/how-many-chicks-does-a-flamingo-have-per-year?srsltid=AfmBOopxD8weq7imnKs01aYlELxse7wkdSg1inzJP1Q1XCARCpEId49y</t>
        </r>
      </text>
    </comment>
    <comment ref="I19" authorId="0" shapeId="0" xr:uid="{EDAD08D1-1D53-4178-9858-5A9CE28223D1}">
      <text>
        <r>
          <rPr>
            <b/>
            <sz val="9"/>
            <color indexed="81"/>
            <rFont val="Tahoma"/>
            <family val="2"/>
            <charset val="204"/>
          </rPr>
          <t>https://thepopularflamingo.com/blogs/posts/how-many-chicks-does-a-flamingo-have-per-year?srsltid=AfmBOopxD8weq7imnKs01aYlELxse7wkdSg1inzJP1Q1XCARCpEId49y</t>
        </r>
      </text>
    </comment>
    <comment ref="G20" authorId="0" shapeId="0" xr:uid="{D1B7FC87-9DBB-4F7D-8DE0-D09141DD6450}">
      <text>
        <r>
          <rPr>
            <b/>
            <sz val="9"/>
            <color indexed="81"/>
            <rFont val="Tahoma"/>
            <family val="2"/>
            <charset val="204"/>
          </rPr>
          <t>https://www.guinnessworldrecords.com/world-records/540367-longest-egg-incubation-for-a-penguin</t>
        </r>
      </text>
    </comment>
    <comment ref="H20" authorId="0" shapeId="0" xr:uid="{6B8570E9-F974-4DCF-942F-591A8DD2227D}">
      <text>
        <r>
          <rPr>
            <b/>
            <sz val="9"/>
            <color indexed="81"/>
            <rFont val="Tahoma"/>
            <family val="2"/>
            <charset val="204"/>
          </rPr>
          <t>https://collections.museumsvictoria.com.au/species/17497</t>
        </r>
      </text>
    </comment>
    <comment ref="I20" authorId="0" shapeId="0" xr:uid="{F863F5A6-8EF6-493B-BA40-CEF51F015BBE}">
      <text>
        <r>
          <rPr>
            <b/>
            <sz val="9"/>
            <color indexed="81"/>
            <rFont val="Tahoma"/>
            <family val="2"/>
            <charset val="204"/>
          </rPr>
          <t>https://collections.museumsvictoria.com.au/species/17497</t>
        </r>
      </text>
    </comment>
    <comment ref="G21" authorId="0" shapeId="0" xr:uid="{A34AEF0A-C8B4-4504-84F1-B8392A42E62D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https://genomics.senescence.info/species/entry.php?species=Pavo_cristatus</t>
        </r>
      </text>
    </comment>
    <comment ref="H21" authorId="0" shapeId="0" xr:uid="{EFA96ACA-7BD5-4F01-8656-44A2E2988498}">
      <text>
        <r>
          <rPr>
            <b/>
            <sz val="9"/>
            <color indexed="81"/>
            <rFont val="Tahoma"/>
            <family val="2"/>
            <charset val="204"/>
          </rPr>
          <t>https://www.banglajol.info/index.php/JSciTR/article/view/77370/51204?utm_source=chatgpt.com</t>
        </r>
      </text>
    </comment>
    <comment ref="I21" authorId="0" shapeId="0" xr:uid="{842CE288-FD34-46BD-BACB-156871202135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https://genomics.senescence.info/species/entry.php?species=Pavo_cristatus</t>
        </r>
      </text>
    </comment>
    <comment ref="G22" authorId="0" shapeId="0" xr:uid="{60FF23DE-FAFD-4C42-B5D5-1D40644F157F}">
      <text>
        <r>
          <rPr>
            <b/>
            <sz val="9"/>
            <color indexed="81"/>
            <rFont val="Tahoma"/>
            <family val="2"/>
            <charset val="204"/>
          </rPr>
          <t>https://animalia.bio/white-backed-vulture</t>
        </r>
      </text>
    </comment>
    <comment ref="H22" authorId="0" shapeId="0" xr:uid="{2504E2F8-55B5-4D6C-95A3-313528360250}">
      <text>
        <r>
          <rPr>
            <b/>
            <sz val="9"/>
            <color indexed="81"/>
            <rFont val="Tahoma"/>
            <family val="2"/>
            <charset val="204"/>
          </rPr>
          <t>https://c4cfund.org/en/projects/african-vultures/</t>
        </r>
      </text>
    </comment>
    <comment ref="I22" authorId="0" shapeId="0" xr:uid="{3CD6CCE1-213F-4852-9995-AFD55A68D1CF}">
      <text>
        <r>
          <rPr>
            <b/>
            <sz val="9"/>
            <color indexed="81"/>
            <rFont val="Tahoma"/>
            <family val="2"/>
            <charset val="204"/>
          </rPr>
          <t>https://c4cfund.org/en/projects/african-vultures/</t>
        </r>
      </text>
    </comment>
    <comment ref="G23" authorId="0" shapeId="0" xr:uid="{0BB131D4-FA8A-466E-8689-4D181D5FACE7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https://genomics.senescence.info/species/entry.php?species=Varanus_komodoensis</t>
        </r>
      </text>
    </comment>
    <comment ref="H23" authorId="0" shapeId="0" xr:uid="{398606E7-FDFA-487C-ADFD-6285B3CEAAA4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https://genomics.senescence.info/species/entry.php?species=Varanus_komodoensis</t>
        </r>
      </text>
    </comment>
    <comment ref="I23" authorId="0" shapeId="0" xr:uid="{133ED7AA-CF23-4C9B-A69C-132FC1C66AE1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https://genomics.senescence.info/species/entry.php?species=Varanus_komodoensis</t>
        </r>
      </text>
    </comment>
    <comment ref="G24" authorId="0" shapeId="0" xr:uid="{331E4E90-B9EB-4DD9-87CA-30E3B3BD7EFA}">
      <text>
        <r>
          <rPr>
            <b/>
            <sz val="9"/>
            <color indexed="81"/>
            <rFont val="Tahoma"/>
            <family val="2"/>
            <charset val="204"/>
          </rPr>
          <t>https://pmc.ncbi.nlm.nih.gov/articles/PMC10886190/</t>
        </r>
      </text>
    </comment>
    <comment ref="I24" authorId="0" shapeId="0" xr:uid="{EB8C17E9-FAA2-4AC4-881A-75A11BD1527B}">
      <text>
        <r>
          <rPr>
            <b/>
            <sz val="9"/>
            <color indexed="81"/>
            <rFont val="Tahoma"/>
            <family val="2"/>
            <charset val="204"/>
          </rPr>
          <t>https://seafwa.org/sites/default/files/journal-articles/JOANEN-407.pdf</t>
        </r>
      </text>
    </comment>
    <comment ref="G25" authorId="0" shapeId="0" xr:uid="{2F51021E-5A6C-46C6-9CE7-7454D398DFDF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https://genomics.senescence.info/species/entry.php?species=Chelonia_mydas</t>
        </r>
      </text>
    </comment>
    <comment ref="H25" authorId="0" shapeId="0" xr:uid="{662FCC0E-519F-4866-B6A2-98F05C0D1799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https://genomics.senescence.info/species/entry.php?species=Chelonia_mydas</t>
        </r>
      </text>
    </comment>
    <comment ref="I25" authorId="0" shapeId="0" xr:uid="{BA14EC49-5DF5-4117-A151-F1C5C9BC71FE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https://genomics.senescence.info/species/entry.php?species=Chelonia_mydas</t>
        </r>
      </text>
    </comment>
    <comment ref="G29" authorId="0" shapeId="0" xr:uid="{3A00502E-BC9D-4210-A125-5165C38DA796}">
      <text>
        <r>
          <rPr>
            <b/>
            <sz val="9"/>
            <color indexed="81"/>
            <rFont val="Tahoma"/>
            <family val="2"/>
            <charset val="204"/>
          </rPr>
          <t>https://www.researchgate.net/publication/277555857_Incubation_Period_of_Crocodylus_Porosus</t>
        </r>
      </text>
    </comment>
    <comment ref="H29" authorId="0" shapeId="0" xr:uid="{1A9FBAA2-4269-4EFE-A357-85C2E4D5C434}">
      <text>
        <r>
          <rPr>
            <b/>
            <sz val="9"/>
            <color indexed="81"/>
            <rFont val="Tahoma"/>
            <family val="2"/>
            <charset val="204"/>
          </rPr>
          <t>https://journals.plos.org/plosone/article?id=10.1371/journal.pone.0100276</t>
        </r>
      </text>
    </comment>
    <comment ref="I29" authorId="0" shapeId="0" xr:uid="{219054DD-A21F-470C-96C0-0DB98D54EA32}">
      <text>
        <r>
          <rPr>
            <b/>
            <sz val="9"/>
            <color indexed="81"/>
            <rFont val="Tahoma"/>
            <family val="2"/>
            <charset val="204"/>
          </rPr>
          <t>https://journals.plos.org/plosone/article?id=10.1371/journal.pone.0100276</t>
        </r>
      </text>
    </comment>
    <comment ref="G30" authorId="0" shapeId="0" xr:uid="{F104BEDB-539E-4483-8EDE-F27B490F475B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https://genomics.senescence.info/species/entry.php?species=Ornithorhynchus_anatinus</t>
        </r>
      </text>
    </comment>
    <comment ref="H30" authorId="0" shapeId="0" xr:uid="{5D696CE0-FB5D-42CB-BB91-CAFF0EE3FC33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https://genomics.senescence.info/species/entry.php?species=Ornithorhynchus_anatinus</t>
        </r>
      </text>
    </comment>
    <comment ref="I30" authorId="0" shapeId="0" xr:uid="{7BA29975-E928-4090-8ECF-04D58928F027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https://genomics.senescence.info/species/entry.php?species=Ornithorhynchus_anatinus</t>
        </r>
      </text>
    </comment>
    <comment ref="G31" authorId="0" shapeId="0" xr:uid="{1C12517C-BD84-4823-A3EF-8C0BCBF9E8DA}">
      <text>
        <r>
          <rPr>
            <b/>
            <sz val="9"/>
            <color indexed="81"/>
            <rFont val="Tahoma"/>
            <family val="2"/>
            <charset val="204"/>
          </rPr>
          <t>https://www.exmoorzoo.co.uk/animal/african-spurred-tortoise/</t>
        </r>
      </text>
    </comment>
    <comment ref="H31" authorId="0" shapeId="0" xr:uid="{03DAF644-09E3-4185-BA2D-A49250620EBE}">
      <text>
        <r>
          <rPr>
            <b/>
            <sz val="9"/>
            <color indexed="81"/>
            <rFont val="Tahoma"/>
            <family val="2"/>
            <charset val="204"/>
          </rPr>
          <t>https://www.iucnredlist.org/species/pdf/1006958</t>
        </r>
      </text>
    </comment>
    <comment ref="I31" authorId="0" shapeId="0" xr:uid="{62EED7C3-1AE5-483E-AE24-6991CBA0489E}">
      <text>
        <r>
          <rPr>
            <b/>
            <sz val="9"/>
            <color indexed="81"/>
            <rFont val="Tahoma"/>
            <family val="2"/>
            <charset val="204"/>
          </rPr>
          <t>https://www.iucnredlist.org/species/pdf/1006958</t>
        </r>
      </text>
    </comment>
    <comment ref="G32" authorId="0" shapeId="0" xr:uid="{F0D77D2D-16EA-4B81-A0E7-754CCB16C933}">
      <text>
        <r>
          <rPr>
            <b/>
            <sz val="9"/>
            <color indexed="81"/>
            <rFont val="Tahoma"/>
            <family val="2"/>
            <charset val="204"/>
          </rPr>
          <t>https://www.helodermahorridum.com/info-husbandry</t>
        </r>
      </text>
    </comment>
    <comment ref="H32" authorId="0" shapeId="0" xr:uid="{F9CB0A48-F547-4560-BE21-EEA8B07AFD68}">
      <text>
        <r>
          <rPr>
            <b/>
            <sz val="9"/>
            <color indexed="81"/>
            <rFont val="Tahoma"/>
            <family val="2"/>
            <charset val="204"/>
          </rPr>
          <t>http://www.zoocentral.dk/uploads/4/9/7/5/49755431/mexican-beaded-lizard-heloderma-horridum.pdf</t>
        </r>
      </text>
    </comment>
    <comment ref="I32" authorId="0" shapeId="0" xr:uid="{A4146A8C-D07C-4129-88CA-7EDCE29E0A6C}">
      <text>
        <r>
          <rPr>
            <b/>
            <sz val="9"/>
            <color indexed="81"/>
            <rFont val="Tahoma"/>
            <family val="2"/>
            <charset val="204"/>
          </rPr>
          <t>http://www.zoocentral.dk/uploads/4/9/7/5/49755431/mexican-beaded-lizard-heloderma-horridum.pdf</t>
        </r>
      </text>
    </comment>
    <comment ref="G33" authorId="0" shapeId="0" xr:uid="{18D023D8-FE81-4EF6-A067-6477AB392DC8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https://genomics.senescence.info/species/entry.php?species=Branta_canadensis</t>
        </r>
      </text>
    </comment>
    <comment ref="H33" authorId="0" shapeId="0" xr:uid="{D4A71734-DB04-497D-8220-589793CD279E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https://genomics.senescence.info/species/entry.php?species=Branta_canadensis</t>
        </r>
      </text>
    </comment>
    <comment ref="I33" authorId="0" shapeId="0" xr:uid="{546FC364-7CF4-48CC-97C6-F84A3B70B2C7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https://genomics.senescence.info/species/entry.php?species=Branta_canadensis</t>
        </r>
      </text>
    </comment>
    <comment ref="G34" authorId="0" shapeId="0" xr:uid="{EE7F86EA-A766-4CF9-8E1A-FDAE0256BFF1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https://genomics.senescence.info/species/entry.php?species=Phasianus_colchicus</t>
        </r>
      </text>
    </comment>
    <comment ref="H34" authorId="0" shapeId="0" xr:uid="{74B79A3C-9040-4A49-9D79-F2E14276BD2F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https://genomics.senescence.info/species/entry.php?species=Phasianus_colchicus</t>
        </r>
      </text>
    </comment>
    <comment ref="I34" authorId="0" shapeId="0" xr:uid="{3182EAD7-9F48-4B6A-9B27-EF06368EF5C7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https://genomics.senescence.info/species/entry.php?species=Phasianus_colchicus</t>
        </r>
      </text>
    </comment>
    <comment ref="G36" authorId="0" shapeId="0" xr:uid="{2151EC4C-CC0B-43AF-B800-A3605948B353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https://genomics.senescence.info/species/entry.php?species=Grus_japonensis</t>
        </r>
      </text>
    </comment>
    <comment ref="H36" authorId="0" shapeId="0" xr:uid="{6FBF1C20-43D7-4544-89ED-EFB5175E56CB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https://genomics.senescence.info/species/entry.php?species=Grus_japonensis</t>
        </r>
      </text>
    </comment>
    <comment ref="I36" authorId="0" shapeId="0" xr:uid="{6A7EE429-A260-4822-8C53-36B21D167B3A}">
      <text>
        <r>
          <rPr>
            <b/>
            <sz val="9"/>
            <color indexed="81"/>
            <rFont val="Tahoma"/>
            <family val="2"/>
            <charset val="204"/>
          </rPr>
          <t>https://genomics.senescence.info/species/entry.php?species=Grus_japonensis</t>
        </r>
      </text>
    </comment>
    <comment ref="G37" authorId="0" shapeId="0" xr:uid="{AFA0881E-17DF-4F81-A617-C3F060BA2C32}">
      <text>
        <r>
          <rPr>
            <b/>
            <sz val="9"/>
            <color indexed="81"/>
            <rFont val="Tahoma"/>
            <family val="2"/>
            <charset val="204"/>
          </rPr>
          <t>Speculative</t>
        </r>
      </text>
    </comment>
    <comment ref="H37" authorId="0" shapeId="0" xr:uid="{F6A3A2CF-A673-467A-B1AC-B6509A5F07E1}">
      <text>
        <r>
          <rPr>
            <b/>
            <sz val="9"/>
            <color indexed="81"/>
            <rFont val="Tahoma"/>
            <family val="2"/>
            <charset val="204"/>
          </rPr>
          <t>https://daily.jstor.org/many-people-take-wreck-ecosystem/</t>
        </r>
      </text>
    </comment>
    <comment ref="I37" authorId="0" shapeId="0" xr:uid="{F3C3938E-2F4C-4006-BEF1-662A9948AC09}">
      <text>
        <r>
          <rPr>
            <b/>
            <sz val="9"/>
            <color indexed="81"/>
            <rFont val="Tahoma"/>
            <family val="2"/>
            <charset val="204"/>
          </rPr>
          <t>https://www.science.org/doi/10.1126/science.287.5461.2250</t>
        </r>
      </text>
    </comment>
    <comment ref="G38" authorId="0" shapeId="0" xr:uid="{9C8D2376-A47B-409E-B05F-EF690358F75D}">
      <text>
        <r>
          <rPr>
            <b/>
            <sz val="9"/>
            <color indexed="81"/>
            <rFont val="Tahoma"/>
            <family val="2"/>
            <charset val="204"/>
          </rPr>
          <t>https://birdsoftheworld.org/bow/species/rocpen3/cur/introduction</t>
        </r>
      </text>
    </comment>
    <comment ref="H38" authorId="0" shapeId="0" xr:uid="{B1F73F37-3607-4ADB-A574-1EF8F596ED47}">
      <text>
        <r>
          <rPr>
            <b/>
            <sz val="9"/>
            <color indexed="81"/>
            <rFont val="Tahoma"/>
            <family val="2"/>
            <charset val="204"/>
          </rPr>
          <t>https://birdsoftheworld.org/bow/species/rocpen3/cur/introduction</t>
        </r>
      </text>
    </comment>
    <comment ref="I38" authorId="0" shapeId="0" xr:uid="{A9CCD9D7-5C01-49C9-B658-956E1C68F68E}">
      <text>
        <r>
          <rPr>
            <b/>
            <sz val="9"/>
            <color indexed="81"/>
            <rFont val="Tahoma"/>
            <family val="2"/>
            <charset val="204"/>
          </rPr>
          <t>https://birdsoftheworld.org/bow/species/rocpen3/cur/introduction</t>
        </r>
      </text>
    </comment>
    <comment ref="G39" authorId="0" shapeId="0" xr:uid="{EBC2E5DB-805F-44B9-AC1B-A2D8CDAD6D75}">
      <text>
        <r>
          <rPr>
            <b/>
            <sz val="9"/>
            <color indexed="81"/>
            <rFont val="Tahoma"/>
            <family val="2"/>
            <charset val="204"/>
          </rPr>
          <t>https://library.iucn-isg.org/documents/1987/Miller_1987_Zoo_Biology.pdf</t>
        </r>
      </text>
    </comment>
    <comment ref="I39" authorId="0" shapeId="0" xr:uid="{6DF2E035-0AF2-4F10-8FB3-05982904323E}">
      <text>
        <r>
          <rPr>
            <b/>
            <sz val="9"/>
            <color indexed="81"/>
            <rFont val="Tahoma"/>
            <family val="2"/>
            <charset val="204"/>
          </rPr>
          <t>https://www.cabidigitallibrary.org/doi/full/10.1079/cabicompendium.28477</t>
        </r>
      </text>
    </comment>
    <comment ref="G40" authorId="0" shapeId="0" xr:uid="{43E5C456-09D0-434C-B033-25CA83F8B17B}">
      <text>
        <r>
          <rPr>
            <b/>
            <sz val="9"/>
            <color indexed="81"/>
            <rFont val="Tahoma"/>
            <family val="2"/>
            <charset val="204"/>
          </rPr>
          <t>https://www.sciencedirect.com/science/article/abs/pii/S0306456523000098</t>
        </r>
      </text>
    </comment>
    <comment ref="I40" authorId="0" shapeId="0" xr:uid="{448DCD75-C114-4E23-A754-186ED0BE33E9}">
      <text>
        <r>
          <rPr>
            <b/>
            <sz val="9"/>
            <color indexed="81"/>
            <rFont val="Tahoma"/>
            <family val="2"/>
            <charset val="204"/>
          </rPr>
          <t>https://www.sciencedirect.com/science/article/abs/pii/S0306456523000098?utm_source=chatgpt.com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<sst xmlns="http://schemas.openxmlformats.org/spreadsheetml/2006/main" count="11733" uniqueCount="2184">
  <si>
    <t>Common name</t>
  </si>
  <si>
    <t>Latin name</t>
  </si>
  <si>
    <t>MoveSpeed</t>
  </si>
  <si>
    <t>ComfyTemperatureMin</t>
  </si>
  <si>
    <t>ComfyTemperatureMax</t>
  </si>
  <si>
    <t>Market value</t>
  </si>
  <si>
    <t>Head damage</t>
  </si>
  <si>
    <t>Head attack interval</t>
  </si>
  <si>
    <t>Poke/leg claws damage</t>
  </si>
  <si>
    <t>Poke/leg claws attack interval</t>
  </si>
  <si>
    <t>Bite damage</t>
  </si>
  <si>
    <t>Bite attack interval</t>
  </si>
  <si>
    <t>Paw claw/punch damage</t>
  </si>
  <si>
    <t>Paw claw/punch attack interval</t>
  </si>
  <si>
    <t>baseHealthScale</t>
  </si>
  <si>
    <t>baseHungerRate</t>
  </si>
  <si>
    <t>baseBodySize</t>
  </si>
  <si>
    <t>Adult age</t>
  </si>
  <si>
    <t>Juv age (years)</t>
  </si>
  <si>
    <t>Wildness</t>
  </si>
  <si>
    <t>Gestation period (days)</t>
  </si>
  <si>
    <t>Lifespan (years)</t>
  </si>
  <si>
    <t>Litter size</t>
  </si>
  <si>
    <t>FilthRate</t>
  </si>
  <si>
    <t>roamMtbDays</t>
  </si>
  <si>
    <t>manhunterOnTameFailChance</t>
  </si>
  <si>
    <t>manhunterOnDamageChance</t>
  </si>
  <si>
    <t>maxPreyBodySize</t>
  </si>
  <si>
    <t>ecoSystemWeight</t>
  </si>
  <si>
    <t>Combat power</t>
  </si>
  <si>
    <t>ToxicEnvironmentResistance</t>
  </si>
  <si>
    <t>Eco system number</t>
  </si>
  <si>
    <t>Toxic eco system number</t>
  </si>
  <si>
    <t>Predicted ramming force (N)</t>
  </si>
  <si>
    <t>Predicted punch/kick force (N)</t>
  </si>
  <si>
    <t>Predicted bite force (N)</t>
  </si>
  <si>
    <t>Skill group</t>
  </si>
  <si>
    <t>Diet</t>
  </si>
  <si>
    <t>Ostrich</t>
  </si>
  <si>
    <t>Struthio camelus</t>
  </si>
  <si>
    <t>Standard</t>
  </si>
  <si>
    <t>Bird</t>
  </si>
  <si>
    <t>Herbivore</t>
  </si>
  <si>
    <t>Cassowary</t>
  </si>
  <si>
    <t>Casuarius casuarius</t>
  </si>
  <si>
    <t>No</t>
  </si>
  <si>
    <t>Emu</t>
  </si>
  <si>
    <t>Dromaius novaehollandiae</t>
  </si>
  <si>
    <t>Turkey</t>
  </si>
  <si>
    <t>Goose</t>
  </si>
  <si>
    <t>Duck</t>
  </si>
  <si>
    <t>Chicken</t>
  </si>
  <si>
    <t>Gallus gallus</t>
  </si>
  <si>
    <t>Omnivore</t>
  </si>
  <si>
    <t>Warg</t>
  </si>
  <si>
    <t>Canid</t>
  </si>
  <si>
    <t>Carnivore</t>
  </si>
  <si>
    <t>Spotted Hyena</t>
  </si>
  <si>
    <t>Crocuta crocuta</t>
  </si>
  <si>
    <t>Wolf</t>
  </si>
  <si>
    <t>Rottweiler</t>
  </si>
  <si>
    <t>German shepherd</t>
  </si>
  <si>
    <t>Husky</t>
  </si>
  <si>
    <t>Labrador</t>
  </si>
  <si>
    <t>Coyote</t>
  </si>
  <si>
    <t>Red fox</t>
  </si>
  <si>
    <t>Vulpes vulpes</t>
  </si>
  <si>
    <t>Arctic fox</t>
  </si>
  <si>
    <t>Vulpes lagopus</t>
  </si>
  <si>
    <t>Yorkshire terrier</t>
  </si>
  <si>
    <t>Elephant</t>
  </si>
  <si>
    <t>Loxodonta africana</t>
  </si>
  <si>
    <t>Tiger</t>
  </si>
  <si>
    <t>Panthera tigris</t>
  </si>
  <si>
    <t>Felid</t>
  </si>
  <si>
    <t>Lion</t>
  </si>
  <si>
    <t>Panthera leo</t>
  </si>
  <si>
    <t>Jaguar</t>
  </si>
  <si>
    <t>Panthera onca</t>
  </si>
  <si>
    <t>Cougar</t>
  </si>
  <si>
    <t>Puma concolor</t>
  </si>
  <si>
    <t>Panthera pardus</t>
  </si>
  <si>
    <t>Lynx</t>
  </si>
  <si>
    <t>Lynx lynx</t>
  </si>
  <si>
    <t>Cat</t>
  </si>
  <si>
    <t>Felis catus</t>
  </si>
  <si>
    <t>Camel</t>
  </si>
  <si>
    <t>Camelus bactrianus</t>
  </si>
  <si>
    <t>Dromedary</t>
  </si>
  <si>
    <t>Camelus dromedarius</t>
  </si>
  <si>
    <t>Horse</t>
  </si>
  <si>
    <t>Equus caballus</t>
  </si>
  <si>
    <t>Zebra</t>
  </si>
  <si>
    <t>Equus burchellii</t>
  </si>
  <si>
    <t>Tapir</t>
  </si>
  <si>
    <t>Tapirus bairdii</t>
  </si>
  <si>
    <t>Donkey</t>
  </si>
  <si>
    <t>Equus africanus</t>
  </si>
  <si>
    <t>Alpaca</t>
  </si>
  <si>
    <t>Lama pacos</t>
  </si>
  <si>
    <t>Iguana</t>
  </si>
  <si>
    <t>Iguana iguana</t>
  </si>
  <si>
    <t>Mustelid</t>
  </si>
  <si>
    <t>Badger</t>
  </si>
  <si>
    <t>Meles meles</t>
  </si>
  <si>
    <t>Boar</t>
  </si>
  <si>
    <t>Sus scrofa</t>
  </si>
  <si>
    <t>Pig</t>
  </si>
  <si>
    <t>Gorilla</t>
  </si>
  <si>
    <t>Gorilla gorilla</t>
  </si>
  <si>
    <t>Primate</t>
  </si>
  <si>
    <t>Mandrill</t>
  </si>
  <si>
    <t>Mandrillus sphinx</t>
  </si>
  <si>
    <t>Monkey</t>
  </si>
  <si>
    <t>Thrumbo</t>
  </si>
  <si>
    <t>Thrumbo magnificus</t>
  </si>
  <si>
    <t>Rhinoceros</t>
  </si>
  <si>
    <t>Capybara</t>
  </si>
  <si>
    <t>Hydrochaeris hydrochaeris</t>
  </si>
  <si>
    <t>Alphabeaver</t>
  </si>
  <si>
    <t>Castor nocivus</t>
  </si>
  <si>
    <t>Boomrat</t>
  </si>
  <si>
    <t>Boomerifer explosivus</t>
  </si>
  <si>
    <t>Waste rat</t>
  </si>
  <si>
    <t>Rattus macrosordidus</t>
  </si>
  <si>
    <t>Hare</t>
  </si>
  <si>
    <t>Lepus timidus</t>
  </si>
  <si>
    <t>Guinea pig</t>
  </si>
  <si>
    <t>Cavia porcellus</t>
  </si>
  <si>
    <t>Chinchilla</t>
  </si>
  <si>
    <t>Chinchilla lanigera</t>
  </si>
  <si>
    <t>Squirrel</t>
  </si>
  <si>
    <t>Sciurus vulgaris</t>
  </si>
  <si>
    <t>Rat</t>
  </si>
  <si>
    <t>Rattus norvegicus</t>
  </si>
  <si>
    <t>Giraffe</t>
  </si>
  <si>
    <t>Giraffa camelopardalis</t>
  </si>
  <si>
    <t>Bison</t>
  </si>
  <si>
    <t>Bison bison</t>
  </si>
  <si>
    <t>Cow</t>
  </si>
  <si>
    <t>Bos taurus</t>
  </si>
  <si>
    <t>Moose</t>
  </si>
  <si>
    <t>Alces alces</t>
  </si>
  <si>
    <t>Muffalo</t>
  </si>
  <si>
    <t>Pseudobison sargentus</t>
  </si>
  <si>
    <t>Yak</t>
  </si>
  <si>
    <t>Bos grunniens</t>
  </si>
  <si>
    <t>Wildebeest</t>
  </si>
  <si>
    <t>Connochaetes taurinus</t>
  </si>
  <si>
    <t>Elk</t>
  </si>
  <si>
    <t>Cervus elaphus</t>
  </si>
  <si>
    <t>Boomalope</t>
  </si>
  <si>
    <t>Bombaria proliferans</t>
  </si>
  <si>
    <t>Caribou</t>
  </si>
  <si>
    <t>Rangifer tarandus</t>
  </si>
  <si>
    <t>Ibex</t>
  </si>
  <si>
    <t>Capra ibex</t>
  </si>
  <si>
    <t>Goat</t>
  </si>
  <si>
    <t>Capra hircus</t>
  </si>
  <si>
    <t>Sheep</t>
  </si>
  <si>
    <t>Ovis aries</t>
  </si>
  <si>
    <t>Deer</t>
  </si>
  <si>
    <t>Gazelle</t>
  </si>
  <si>
    <t>Gazella gazella</t>
  </si>
  <si>
    <t>Megasloth</t>
  </si>
  <si>
    <t>Megatherium americanum</t>
  </si>
  <si>
    <t>Cobra</t>
  </si>
  <si>
    <t>Ophiophagus hannah</t>
  </si>
  <si>
    <t>Snake</t>
  </si>
  <si>
    <t>Tortoise</t>
  </si>
  <si>
    <t>Manouria emys</t>
  </si>
  <si>
    <t>Turtle</t>
  </si>
  <si>
    <t>Polar bear</t>
  </si>
  <si>
    <t>Ursus maritimus</t>
  </si>
  <si>
    <t>&lt;li&gt;Bear_Polar&lt;/li&gt;</t>
  </si>
  <si>
    <t>Grizzly</t>
  </si>
  <si>
    <t>Ursus arctos</t>
  </si>
  <si>
    <t>Raccoon</t>
  </si>
  <si>
    <t>Procyon lotor</t>
  </si>
  <si>
    <t>Hippopotamus amphibius</t>
  </si>
  <si>
    <t>Penguin</t>
  </si>
  <si>
    <t>Aptenodytes forsteri</t>
  </si>
  <si>
    <t>Seal</t>
  </si>
  <si>
    <t>Phoca vitulina</t>
  </si>
  <si>
    <t>Walrus</t>
  </si>
  <si>
    <t>Odobenus rosmarus</t>
  </si>
  <si>
    <t>Alligator</t>
  </si>
  <si>
    <t>Alligator mississippiensis</t>
  </si>
  <si>
    <t>Panda</t>
  </si>
  <si>
    <t>Ailuropoda melanoleuca</t>
  </si>
  <si>
    <t>Porcupine</t>
  </si>
  <si>
    <t>Wolverine</t>
  </si>
  <si>
    <t>Mink</t>
  </si>
  <si>
    <t>Swan</t>
  </si>
  <si>
    <t>Sparrow</t>
  </si>
  <si>
    <t>Crow</t>
  </si>
  <si>
    <t>Bluebird</t>
  </si>
  <si>
    <t>Quail</t>
  </si>
  <si>
    <t>SeaLion</t>
  </si>
  <si>
    <t>StoneCrab</t>
  </si>
  <si>
    <t>Otter</t>
  </si>
  <si>
    <t>Heron</t>
  </si>
  <si>
    <t>Bullfrog</t>
  </si>
  <si>
    <t>Wolf_Great</t>
  </si>
  <si>
    <t>Muskox</t>
  </si>
  <si>
    <t>Macaw</t>
  </si>
  <si>
    <t>Peacock</t>
  </si>
  <si>
    <t>SeaTurtle</t>
  </si>
  <si>
    <t>Flamingo</t>
  </si>
  <si>
    <t>Hippo</t>
  </si>
  <si>
    <t>ColossusToad</t>
  </si>
  <si>
    <t>MonitorLizard</t>
  </si>
  <si>
    <t>Vulture</t>
  </si>
  <si>
    <t>Armadillo</t>
  </si>
  <si>
    <t>Cygnus olor</t>
  </si>
  <si>
    <t>Passer domesticus</t>
  </si>
  <si>
    <t>Coturnix coturnix</t>
  </si>
  <si>
    <t>Zalophus californianus</t>
  </si>
  <si>
    <t>Menippe mercenaria</t>
  </si>
  <si>
    <t>Lutra lutra</t>
  </si>
  <si>
    <t>Ardea cinerea</t>
  </si>
  <si>
    <t>Lithobates catesbeianus</t>
  </si>
  <si>
    <t>Ovibos moschatus</t>
  </si>
  <si>
    <t>Ara macao</t>
  </si>
  <si>
    <t>Pavo cristatus</t>
  </si>
  <si>
    <t>Chelonia mydas</t>
  </si>
  <si>
    <t>Gyps africanus</t>
  </si>
  <si>
    <t>Acinonyx jubatus</t>
  </si>
  <si>
    <t>Ursus americanus</t>
  </si>
  <si>
    <t>Odocoileus hemionus</t>
  </si>
  <si>
    <t>Elephas maximus</t>
  </si>
  <si>
    <t>Body mass (kg)</t>
  </si>
  <si>
    <t>Species</t>
  </si>
  <si>
    <t>Source</t>
  </si>
  <si>
    <t>Punch energy (j)</t>
  </si>
  <si>
    <t>Leopard</t>
  </si>
  <si>
    <t>Lemur</t>
  </si>
  <si>
    <t>Phoenicopterus roseus</t>
  </si>
  <si>
    <t>Megascarab</t>
  </si>
  <si>
    <t>Megaspider</t>
  </si>
  <si>
    <t>Spelopede</t>
  </si>
  <si>
    <t>Body surface area (cm^2)</t>
  </si>
  <si>
    <t>Bite energy (j)</t>
  </si>
  <si>
    <t>Ramming energy (j)</t>
  </si>
  <si>
    <t>Ailurus fulgens</t>
  </si>
  <si>
    <t>Gulo gulo</t>
  </si>
  <si>
    <t>Crocodylus porosus</t>
  </si>
  <si>
    <t>Lemur catta</t>
  </si>
  <si>
    <t>Force (N)</t>
  </si>
  <si>
    <t>Teeth size (cm)</t>
  </si>
  <si>
    <t>Claw size (cm)</t>
  </si>
  <si>
    <t>Horn or tusk size (cm)</t>
  </si>
  <si>
    <t>Horn or tusk surface area (cm^2)</t>
  </si>
  <si>
    <t>Bite pressure (kPa)</t>
  </si>
  <si>
    <t>Horn or tusk pressure (kPa)</t>
  </si>
  <si>
    <t>Ramming pressure (kPa)</t>
  </si>
  <si>
    <t>Claw/Punch surface area (cm^2)</t>
  </si>
  <si>
    <t>Claw/Punch pressure (kPa)</t>
  </si>
  <si>
    <t>Mass (kg)</t>
  </si>
  <si>
    <t>Varanus komodoensis</t>
  </si>
  <si>
    <t>Erethizon dorsatum</t>
  </si>
  <si>
    <t>Teeth surface area (cm^2)</t>
  </si>
  <si>
    <t>Macaca mulatta</t>
  </si>
  <si>
    <t>Canis tyrannus</t>
  </si>
  <si>
    <t>Horn/Antler/Tusks damage</t>
  </si>
  <si>
    <t>Horn/Antler/Tusks attack interval</t>
  </si>
  <si>
    <t>V punch</t>
  </si>
  <si>
    <t>M punch</t>
  </si>
  <si>
    <t>Horn/Tusk energy (j)</t>
  </si>
  <si>
    <t>PrairieDog</t>
  </si>
  <si>
    <t>Cynomys ludovicianus</t>
  </si>
  <si>
    <t>Cat_Scimitar</t>
  </si>
  <si>
    <t>Homotherium serum</t>
  </si>
  <si>
    <t>Megavole</t>
  </si>
  <si>
    <t>Gigantomyini giganteus</t>
  </si>
  <si>
    <t>BogHound</t>
  </si>
  <si>
    <t>Canis sordidus</t>
  </si>
  <si>
    <t>Mastodon</t>
  </si>
  <si>
    <t>Mammut americanum</t>
  </si>
  <si>
    <t>Aenocyon dirus</t>
  </si>
  <si>
    <t>AlphaThrumbo</t>
  </si>
  <si>
    <t>Mustela vison</t>
  </si>
  <si>
    <t>Frog</t>
  </si>
  <si>
    <t>LavaSnail</t>
  </si>
  <si>
    <t>Megaachatina magnus</t>
  </si>
  <si>
    <t>HermitCrab</t>
  </si>
  <si>
    <t>Coenobita perlatus</t>
  </si>
  <si>
    <t>Queen</t>
  </si>
  <si>
    <t>Locust</t>
  </si>
  <si>
    <t>Larva</t>
  </si>
  <si>
    <t>Corvus corone</t>
  </si>
  <si>
    <t>MeleeDodgeChance</t>
  </si>
  <si>
    <t>MeleeCritChance</t>
  </si>
  <si>
    <t>MeleeParryChance</t>
  </si>
  <si>
    <t>Stun</t>
  </si>
  <si>
    <t>Skin mass (kg)</t>
  </si>
  <si>
    <t>Skin thickness (mm)</t>
  </si>
  <si>
    <t>Eggs/year</t>
  </si>
  <si>
    <t>Clutch size</t>
  </si>
  <si>
    <t>Incubation time real life (days)</t>
  </si>
  <si>
    <t>Name</t>
  </si>
  <si>
    <t>Macrobufo giganteus</t>
  </si>
  <si>
    <t>XML name</t>
  </si>
  <si>
    <t xml:space="preserve">herdAnimal </t>
  </si>
  <si>
    <t xml:space="preserve">herdMigrationAllowed </t>
  </si>
  <si>
    <t xml:space="preserve">petness </t>
  </si>
  <si>
    <t xml:space="preserve">nuzzleMtbHours </t>
  </si>
  <si>
    <t xml:space="preserve">trainability </t>
  </si>
  <si>
    <t xml:space="preserve">predator </t>
  </si>
  <si>
    <t xml:space="preserve">nameOnTameChance </t>
  </si>
  <si>
    <t xml:space="preserve">wildGroupSize </t>
  </si>
  <si>
    <t>2~6</t>
  </si>
  <si>
    <t>Damage</t>
  </si>
  <si>
    <t>Attack interval</t>
  </si>
  <si>
    <t>Type</t>
  </si>
  <si>
    <t>Arm</t>
  </si>
  <si>
    <t>Leg</t>
  </si>
  <si>
    <t>Jaw</t>
  </si>
  <si>
    <t>Weapon</t>
  </si>
  <si>
    <t>Size</t>
  </si>
  <si>
    <t>User mass</t>
  </si>
  <si>
    <t>Adjuster</t>
  </si>
  <si>
    <t>Bionics</t>
  </si>
  <si>
    <t>Archotech</t>
  </si>
  <si>
    <t>CE Damage</t>
  </si>
  <si>
    <t>Surface area (cm^2)</t>
  </si>
  <si>
    <t>Energy (j)</t>
  </si>
  <si>
    <t>CE Blade size (cm)</t>
  </si>
  <si>
    <t>V punch (m/s)</t>
  </si>
  <si>
    <t>Pressure (kPa)</t>
  </si>
  <si>
    <t>M punch (kg)</t>
  </si>
  <si>
    <t>CE Attack interval</t>
  </si>
  <si>
    <t>CE Sharp AP</t>
  </si>
  <si>
    <t>CE  Blunt AP</t>
  </si>
  <si>
    <t>CE Blunt AP</t>
  </si>
  <si>
    <t>BionicArm_VerySmall</t>
  </si>
  <si>
    <t>BionicArm_Small</t>
  </si>
  <si>
    <t>BionicArm_Medium</t>
  </si>
  <si>
    <t>BionicArm_Large</t>
  </si>
  <si>
    <t>BionicArm_VeryLarge</t>
  </si>
  <si>
    <t>BionicArm_Huge</t>
  </si>
  <si>
    <t>BionicLeg_VerySmall</t>
  </si>
  <si>
    <t>BionicLeg_Small</t>
  </si>
  <si>
    <t>BionicLeg_Medium</t>
  </si>
  <si>
    <t>BionicLeg_Large</t>
  </si>
  <si>
    <t>BionicLeg_VeryLarge</t>
  </si>
  <si>
    <t>BionicLeg_Huge</t>
  </si>
  <si>
    <t>BionicJaw_VerySmall</t>
  </si>
  <si>
    <t>BionicJaw_Small</t>
  </si>
  <si>
    <t>BionicJaw_Medium</t>
  </si>
  <si>
    <t>BionicJaw_Large</t>
  </si>
  <si>
    <t>BionicJaw_VeryLarge</t>
  </si>
  <si>
    <t>BionicJaw_Huge</t>
  </si>
  <si>
    <t>ArchotechArm_VerySmall</t>
  </si>
  <si>
    <t>ArchotechArm_Small</t>
  </si>
  <si>
    <t>ArchotechArm_Medium</t>
  </si>
  <si>
    <t>ArchotechArm_Large</t>
  </si>
  <si>
    <t>ArchotechArm_VeryLarge</t>
  </si>
  <si>
    <t>ArchotechArm_Huge</t>
  </si>
  <si>
    <t>ArchotechLeg_VerySmall</t>
  </si>
  <si>
    <t>ArchotechLeg_Small</t>
  </si>
  <si>
    <t>ArchotechLeg_Medium</t>
  </si>
  <si>
    <t>ArchotechLeg_Large</t>
  </si>
  <si>
    <t>ArchotechLeg_VeryLarge</t>
  </si>
  <si>
    <t>ArchotechLeg_Huge</t>
  </si>
  <si>
    <t>Leather_Squirrel</t>
  </si>
  <si>
    <t>MarketValue</t>
  </si>
  <si>
    <t>Beauty</t>
  </si>
  <si>
    <t>StuffPower_Armor_Sharp</t>
  </si>
  <si>
    <t>StuffPower_Armor_Blunt</t>
  </si>
  <si>
    <t>StuffPower_Insulation_Cold</t>
  </si>
  <si>
    <t>StuffPower_Insulation_Heat</t>
  </si>
  <si>
    <t>Leather_AlphaThrumbo</t>
  </si>
  <si>
    <t>Leather_Armadillo</t>
  </si>
  <si>
    <t>Leather_Bear</t>
  </si>
  <si>
    <t>Leather_Bird</t>
  </si>
  <si>
    <t>Leather_Bluefur</t>
  </si>
  <si>
    <t>Leather_Camel</t>
  </si>
  <si>
    <t>Leather_Chinchilla</t>
  </si>
  <si>
    <t>Leather_Dog</t>
  </si>
  <si>
    <t>Leather_Elephant</t>
  </si>
  <si>
    <t>Leather_Fox</t>
  </si>
  <si>
    <t>Leather_Heavy</t>
  </si>
  <si>
    <t>Leather_Hippo</t>
  </si>
  <si>
    <t>Leather_Human</t>
  </si>
  <si>
    <t>Leather_Light</t>
  </si>
  <si>
    <t>Leather_Lizard</t>
  </si>
  <si>
    <t>Leather_Mastodon</t>
  </si>
  <si>
    <t>Leather_Mink</t>
  </si>
  <si>
    <t>Leather_Panthera</t>
  </si>
  <si>
    <t>Leather_Patch</t>
  </si>
  <si>
    <t>Leather_Pig</t>
  </si>
  <si>
    <t>Leather_Plain</t>
  </si>
  <si>
    <t>Leather_Rhinoceros</t>
  </si>
  <si>
    <t>Leather_Sealskin</t>
  </si>
  <si>
    <t>Leather_Thrumbo</t>
  </si>
  <si>
    <t>Leather_Wolf</t>
  </si>
  <si>
    <t>Foodtype</t>
  </si>
  <si>
    <t>3~10</t>
  </si>
  <si>
    <t>3~8</t>
  </si>
  <si>
    <t>1~6</t>
  </si>
  <si>
    <t>5~15</t>
  </si>
  <si>
    <t>TradeTags</t>
  </si>
  <si>
    <t>BodySize</t>
  </si>
  <si>
    <t>Hunger</t>
  </si>
  <si>
    <t>AdultYears</t>
  </si>
  <si>
    <t>GrowthDays</t>
  </si>
  <si>
    <t>Meat yield</t>
  </si>
  <si>
    <t>TotalNutrition consumed</t>
  </si>
  <si>
    <t>Food consumption (Nutrition/day)</t>
  </si>
  <si>
    <t>Profitability (meat/nutr)</t>
  </si>
  <si>
    <t>Milk fraction</t>
  </si>
  <si>
    <t>Milk yield</t>
  </si>
  <si>
    <t>eggLayIntervalDays</t>
  </si>
  <si>
    <t>eggCountRange</t>
  </si>
  <si>
    <t>Def name</t>
  </si>
  <si>
    <t>hatcherDaystoHatch</t>
  </si>
  <si>
    <t>Parrent abstract</t>
  </si>
  <si>
    <t>BaseBear</t>
  </si>
  <si>
    <t>CanArriveManhunter</t>
  </si>
  <si>
    <t>Beetle</t>
  </si>
  <si>
    <t>Crab</t>
  </si>
  <si>
    <t>Titanocoleus ferox</t>
  </si>
  <si>
    <t>Cryptomorphus serpentinus</t>
  </si>
  <si>
    <t>Gigarachne bellator</t>
  </si>
  <si>
    <t>Imperatombis regina</t>
  </si>
  <si>
    <t>Imperatombis juvenis</t>
  </si>
  <si>
    <t>Voracilocus devastans</t>
  </si>
  <si>
    <t>Profitability (nutr/nutr)</t>
  </si>
  <si>
    <t>marketValueFactor</t>
  </si>
  <si>
    <t>healthScaleFactor</t>
  </si>
  <si>
    <t>hungerRateFactor</t>
  </si>
  <si>
    <t>bodySizeFactor</t>
  </si>
  <si>
    <t>foodMaxFactor</t>
  </si>
  <si>
    <t>meleeDamageFactor</t>
  </si>
  <si>
    <t>SpeedFactor</t>
  </si>
  <si>
    <t>AnimalBabyTiny</t>
  </si>
  <si>
    <t>Life stage</t>
  </si>
  <si>
    <t>ArmorRating_Sharp</t>
  </si>
  <si>
    <t>ArmorRating_Blunt</t>
  </si>
  <si>
    <t>meleeDamageFactor(CE)</t>
  </si>
  <si>
    <t>ArmorPenetration_Sharp(CE)</t>
  </si>
  <si>
    <t>ArmorPenetration_Blunt(CE)</t>
  </si>
  <si>
    <t>MeleeAttackIntervalFactor(CE)</t>
  </si>
  <si>
    <t>MeleeAttackIntervalFactor</t>
  </si>
  <si>
    <t>Ramming pressure</t>
  </si>
  <si>
    <t>AnimalAdult or EusocialInsectAdult</t>
  </si>
  <si>
    <t>AnimalJuvenile or EusocialInsectJuvenile</t>
  </si>
  <si>
    <t>AnimalBaby or EusocialInsectLarva</t>
  </si>
  <si>
    <t>Parrent Pawn kind abstract</t>
  </si>
  <si>
    <t>BearBase</t>
  </si>
  <si>
    <t>ArmorDurability</t>
  </si>
  <si>
    <t>1~3</t>
  </si>
  <si>
    <t>Kalisk</t>
  </si>
  <si>
    <t>Kaliscus invictus</t>
  </si>
  <si>
    <t>Leather_Kalisk</t>
  </si>
  <si>
    <t>Toxalope</t>
  </si>
  <si>
    <t>IndianElephant</t>
  </si>
  <si>
    <t>Crocodile</t>
  </si>
  <si>
    <t>Cheetah</t>
  </si>
  <si>
    <t>Boombat</t>
  </si>
  <si>
    <t>Vombatus explosivus</t>
  </si>
  <si>
    <t>Kangaroo</t>
  </si>
  <si>
    <t>Phascolarctos cinereus</t>
  </si>
  <si>
    <t>Koala</t>
  </si>
  <si>
    <t>Platypus</t>
  </si>
  <si>
    <t>Ornithorhynchus anatinus</t>
  </si>
  <si>
    <t>Black bear</t>
  </si>
  <si>
    <t>Centrochelys sulcata</t>
  </si>
  <si>
    <t>Desert tortoise</t>
  </si>
  <si>
    <t>Desert Tortoise</t>
  </si>
  <si>
    <t>Gila Monster</t>
  </si>
  <si>
    <t>Crotalus adamanteus</t>
  </si>
  <si>
    <t>Rattlesnake</t>
  </si>
  <si>
    <t>Megascorpion</t>
  </si>
  <si>
    <t>Red Panda</t>
  </si>
  <si>
    <t>Beaver</t>
  </si>
  <si>
    <t>Hedgehog</t>
  </si>
  <si>
    <t>Anaconda</t>
  </si>
  <si>
    <t>MegaWolverine</t>
  </si>
  <si>
    <t>Branta canadensis</t>
  </si>
  <si>
    <t>Castor fiber</t>
  </si>
  <si>
    <t>Erinaceus europaeus</t>
  </si>
  <si>
    <t>Eunectes murinus</t>
  </si>
  <si>
    <t>Gulo ferox</t>
  </si>
  <si>
    <t>Gigascorpio bellator</t>
  </si>
  <si>
    <t>Fennec fox</t>
  </si>
  <si>
    <t>Vulpes zerda</t>
  </si>
  <si>
    <t>Beagle</t>
  </si>
  <si>
    <t>Chihuahua</t>
  </si>
  <si>
    <t>Corgi</t>
  </si>
  <si>
    <t>Poodle</t>
  </si>
  <si>
    <t>Pug</t>
  </si>
  <si>
    <t>Shih-Tzu</t>
  </si>
  <si>
    <t>Great dane</t>
  </si>
  <si>
    <t>French bulldog</t>
  </si>
  <si>
    <t>2~4</t>
  </si>
  <si>
    <t>Gestation (days)</t>
  </si>
  <si>
    <t>Age of first reproduction (years)</t>
  </si>
  <si>
    <t>https://genomics.senescence.info/species/entry.php?species=Ursus_maritimus</t>
  </si>
  <si>
    <t>https://genomics.senescence.info/species/entry.php?species=Ursus_arctos</t>
  </si>
  <si>
    <t>https://genomics.senescence.info/species/entry.php?species=Procyon_lotor</t>
  </si>
  <si>
    <t>https://genomics.senescence.info/species/entry.php?species=Struthio_camelus</t>
  </si>
  <si>
    <t>https://genomics.senescence.info/species/entry.php?species=Casuarius_casuarius</t>
  </si>
  <si>
    <t>https://genomics.senescence.info/species/entry.php?species=Dromaius_novaehollandiae</t>
  </si>
  <si>
    <t>https://genomics.senescence.info/species/entry.php?species=Meleagris_gallopavo</t>
  </si>
  <si>
    <t>https://genomics.senescence.info/species/entry.php?species=Anas_platyrhynchos</t>
  </si>
  <si>
    <t>https://genomics.senescence.info/species/entry.php?species=Canis_familiaris</t>
  </si>
  <si>
    <t>https://genomics.senescence.info/species/entry.php?species=Puma_concolor</t>
  </si>
  <si>
    <t>https://genomics.senescence.info/species/entry.php?species=Lynx_lynx</t>
  </si>
  <si>
    <t>https://genomics.senescence.info/species/entry.php?species=Felis_catus</t>
  </si>
  <si>
    <t>https://genomics.senescence.info/species/entry.php?species=Equus_caballus</t>
  </si>
  <si>
    <t>https://genomics.senescence.info/species/entry.php?species=Lepus_timidus</t>
  </si>
  <si>
    <t>https://genomics.senescence.info/species/entry.php?species=Loxodonta_africana</t>
  </si>
  <si>
    <t>https://genomics.senescence.info/species/entry.php?species=Anser_anser and https://www.fao.org/4/ah759e/AH759E23.htm</t>
  </si>
  <si>
    <t>https://www.fao.org/4/ah759e/AH759E22.htm#TopOfPage and https://genomics.senescence.info/species/entry.php?species=Gallus_gallus</t>
  </si>
  <si>
    <t>https://genomics.senescence.info/species/entry.php?species=Camelus_dromedarius and https://www.fao.org/4/ah759e/AH759E17.htm</t>
  </si>
  <si>
    <t>https://genomics.senescence.info/species/entry.php?species=Camelus_bactrianus</t>
  </si>
  <si>
    <t>https://genomics.senescence.info/species/entry.php?species=Vicugna_pacos</t>
  </si>
  <si>
    <t>https://genomics.senescence.info/species/entry.php?species=Sus_scrofa</t>
  </si>
  <si>
    <t>https://genomics.senescence.info/species/entry.php?species=Macaca_mulatta</t>
  </si>
  <si>
    <t>https://genomics.senescence.info/species/entry.php?species=Iguana_iguana</t>
  </si>
  <si>
    <t>https://genomics.senescence.info/species/entry.php?species=Ophiophagus_hannah</t>
  </si>
  <si>
    <t>https://genomics.senescence.info/species/entry.php?species=Rattus_norvegicus</t>
  </si>
  <si>
    <t>https://genomics.senescence.info/species/entry.php?species=Equus_asinus</t>
  </si>
  <si>
    <t>https://genomics.senescence.info/species/entry.php?species=Sciurus_vulgaris</t>
  </si>
  <si>
    <t>https://genomics.senescence.info/species/entry.php?species=Cavia_porcellus</t>
  </si>
  <si>
    <t>https://genomics.senescence.info/species/entry.php?species=Chinchilla_lanigera</t>
  </si>
  <si>
    <t>Speculative</t>
  </si>
  <si>
    <t>https://genomics.senescence.info/species/entry.php?species=Bison_bison</t>
  </si>
  <si>
    <t>https://genomics.senescence.info/species/entry.php?species=Bos_taurus</t>
  </si>
  <si>
    <t>https://genomics.senescence.info/species/entry.php?species=Bos_grunniens</t>
  </si>
  <si>
    <t>https://genomics.senescence.info/species/entry.php?species=Cervus_elaphus</t>
  </si>
  <si>
    <t>Sus scrofa (domestic)</t>
  </si>
  <si>
    <t>https://www.fao.org/4/ah759e/AH759E10.htm and https://genomics.senescence.info/species/entry.php?species=Sus_scrofa</t>
  </si>
  <si>
    <t>https://rad-reptiles.com/rad-blog/f/species-highlight-asian-giant-tortoise , lifespan speculative</t>
  </si>
  <si>
    <t>https://genomics.senescence.info/species/entry.php?species=Rangifer_tarandus</t>
  </si>
  <si>
    <t>https://genomics.senescence.info/species/entry.php?species=Capra_ibex</t>
  </si>
  <si>
    <t>https://genomics.senescence.info/species/entry.php?species=Capra_hircus</t>
  </si>
  <si>
    <t>https://genomics.senescence.info/species/entry.php?species=Ovis_aries</t>
  </si>
  <si>
    <t>https://genomics.senescence.info/species/entry.php?species=Odocoileus_virginianus</t>
  </si>
  <si>
    <t>https://genomics.senescence.info/species/entry.php?species=Gazella_gazella</t>
  </si>
  <si>
    <t>https://genomics.senescence.info/species/entry.php?species=Canis_lupus</t>
  </si>
  <si>
    <t>https://genomics.senescence.info/species/entry.php?species=Vulpes_vulpes</t>
  </si>
  <si>
    <t>https://genomics.senescence.info/species/entry.php?species=Panthera_tigris</t>
  </si>
  <si>
    <t>https://genomics.senescence.info/species/entry.php?species=Panthera_leo</t>
  </si>
  <si>
    <t>https://genomics.senescence.info/species/entry.php?species=Panthera_onca and https://www.gbif.org/species/196366998</t>
  </si>
  <si>
    <t>https://genomics.senescence.info/species/entry.php?species=Hydrochoerus_hydrochaeris</t>
  </si>
  <si>
    <t>https://genomics.senescence.info/species/entry.php?species=Castor_fiber and https://genomics.senescence.info/species/entry.php?species=Castor_canadensis</t>
  </si>
  <si>
    <t>https://genomics.senescence.info/species/entry.php?species=Vulpes_lagopus</t>
  </si>
  <si>
    <t>https://genomics.senescence.info/species/entry.php?species=Vulpes_zerda</t>
  </si>
  <si>
    <t>https://genomics.senescence.info/species/entry.php?species=Ailuropoda_melanoleuca</t>
  </si>
  <si>
    <t>Sialia sialis</t>
  </si>
  <si>
    <t>https://genomics.senescence.info/species/entry.php?species=Sialia_sialis</t>
  </si>
  <si>
    <t>https://genomics.senescence.info/species/entry.php?species=Corvus_corone</t>
  </si>
  <si>
    <t>https://genomics.senescence.info/species/entry.php?species=Coturnix_coturnix</t>
  </si>
  <si>
    <t>https://genomics.senescence.info/species/entry.php?species=Cygnus_olor</t>
  </si>
  <si>
    <t>https://genomics.senescence.info/species/entry.php?species=Ardea_cinerea</t>
  </si>
  <si>
    <t>https://genomics.senescence.info/species/entry.php?species=Phoenicopterus_roseus</t>
  </si>
  <si>
    <t>https://genomics.senescence.info/species/entry.php?species=Aptenodytes_forsteri</t>
  </si>
  <si>
    <t>https://genomics.senescence.info/species/entry.php?species=Pavo_cristatus</t>
  </si>
  <si>
    <t>https://genomics.senescence.info/species/entry.php?species=Gyps_africanus</t>
  </si>
  <si>
    <t>https://genomics.senescence.info/species/entry.php?species=Passer_domesticus</t>
  </si>
  <si>
    <t>https://animaldiversity.org/accounts/Ara_macao/ and https://genomics.senescence.info/species/entry.php?species=Ara_macao</t>
  </si>
  <si>
    <t>https://genomics.senescence.info/species/entry.php?species=Lithobates_catesbeianus</t>
  </si>
  <si>
    <t>https://genomics.senescence.info/species/entry.php?species=Hippopotamus_amphibius</t>
  </si>
  <si>
    <t>https://genomics.senescence.info/species/entry.php?species=Gulo_gulo</t>
  </si>
  <si>
    <t>https://genomics.senescence.info/species/entry.php?species=Meles_meles</t>
  </si>
  <si>
    <t>https://genomics.senescence.info/species/entry.php?species=Lutra_lutra</t>
  </si>
  <si>
    <t>https://genomics.senescence.info/species/entry.php?species=Zalophus_californianus</t>
  </si>
  <si>
    <t>https://genomics.senescence.info/species/entry.php?species=Phoca_vitulina</t>
  </si>
  <si>
    <t>https://genomics.senescence.info/species/entry.php?species=Odobenus_rosmarus</t>
  </si>
  <si>
    <t>https://genomics.senescence.info/species/entry.php?species=Gorilla_gorilla</t>
  </si>
  <si>
    <t>https://genomics.senescence.info/species/entry.php?species=Varanus_komodoensis</t>
  </si>
  <si>
    <t>https://genomics.senescence.info/species/entry.php?species=Alligator_mississippiensis</t>
  </si>
  <si>
    <t>https://genomics.senescence.info/species/entry.php?species=Chelonia_mydas</t>
  </si>
  <si>
    <t>https://genomics.senescence.info/species/entry.php?species=Cynomys_ludovicianus</t>
  </si>
  <si>
    <t>https://genomics.senescence.info/species/entry.php?species=Alces_alces</t>
  </si>
  <si>
    <t>https://genomics.senescence.info/species/entry.php?species=Ovibos_moschatus</t>
  </si>
  <si>
    <t>https://genomics.senescence.info/species/entry.php?species=Neovison_vison</t>
  </si>
  <si>
    <t>https://genomics.senescence.info/species/entry.php?species=Elephas_maximus</t>
  </si>
  <si>
    <t>https://genomics.senescence.info/species/entry.php?species=Panthera_pardus</t>
  </si>
  <si>
    <t>https://genomics.senescence.info/species/entry.php?species=Canis_latrans</t>
  </si>
  <si>
    <t>https://genomics.senescence.info/species/entry.php?species=Giraffa_camelopardalis</t>
  </si>
  <si>
    <t>https://genomics.senescence.info/species/entry.php?species=Connochaetes_taurinus</t>
  </si>
  <si>
    <t>https://genomics.senescence.info/species/entry.php?species=Erethizon_dorsatus</t>
  </si>
  <si>
    <t>https://genomics.senescence.info/species/entry.php?species=Acinonyx_jubatus</t>
  </si>
  <si>
    <t>https://animaldiversity.org/accounts/Menippe_mercenaria/</t>
  </si>
  <si>
    <t>https://animaldiversity.org/accounts/Coenobita_perlatus/</t>
  </si>
  <si>
    <t>https://genomics.senescence.info/species/entry.php?species=Phascolarctos_cinereus</t>
  </si>
  <si>
    <t>https://genomics.senescence.info/species/entry.php?species=Ornithorhynchus_anatinus</t>
  </si>
  <si>
    <t>https://genomics.senescence.info/species/entry.php?species=Ursus_americanus</t>
  </si>
  <si>
    <t>https://genomics.senescence.info/species/entry.php?species=Crocuta_crocuta</t>
  </si>
  <si>
    <t>https://genomics.senescence.info/species/entry.php?species=Centrochelys_sulcata</t>
  </si>
  <si>
    <t>https://genomics.senescence.info/species/entry.php?species=Ailurus_fulgens</t>
  </si>
  <si>
    <t>https://genomics.senescence.info/species/entry.php?species=Branta_canadensis</t>
  </si>
  <si>
    <t>https://genomics.senescence.info/species/entry.php?species=Equus_quagga</t>
  </si>
  <si>
    <t>https://genomics.senescence.info/species/entry.php?species=Erinaceus_europaeus</t>
  </si>
  <si>
    <t>https://genomics.senescence.info/species/entry.php?species=Lemur_catta</t>
  </si>
  <si>
    <t>https://genomics.senescence.info/species/entry.php?species=Vombatus_ursinus</t>
  </si>
  <si>
    <t>Macropus rufus</t>
  </si>
  <si>
    <t>https://genomics.senescence.info/species/entry.php?species=Macropus_rufus</t>
  </si>
  <si>
    <t>https://genomics.senescence.info/species/entry.php?species=Mandrillus_sphinx</t>
  </si>
  <si>
    <t>Heloderma horridum</t>
  </si>
  <si>
    <t>https://genomics.senescence.info/species/entry.php?species=Heloderma_suspectum and http://www.zoocentral.dk/uploads/4/9/7/5/49755431/mexican-beaded-lizard-heloderma-horridum.pdf</t>
  </si>
  <si>
    <t>https://genomics.senescence.info/species/entry.php?species=Crotalus_adamanteus and https://animaldiversity.org/accounts/Crotalus_adamanteus/</t>
  </si>
  <si>
    <t>https://genomics.senescence.info/species/entry.php?species=Eunectes_murinus and https://animaldiversity.org/accounts/Eunectes_murinus/</t>
  </si>
  <si>
    <t>https://genomics.senescence.info/species/entry.php?species=Tapirella_bairdii</t>
  </si>
  <si>
    <t>Wool type</t>
  </si>
  <si>
    <t>Wool_Alpaca</t>
  </si>
  <si>
    <t>Wool_Sheep</t>
  </si>
  <si>
    <t>Wool_Megasloth</t>
  </si>
  <si>
    <t>Wool_Bison</t>
  </si>
  <si>
    <t>Wool_Muffalo</t>
  </si>
  <si>
    <t>Wool_Muskox</t>
  </si>
  <si>
    <t>Wool_Mastodon</t>
  </si>
  <si>
    <t>Wool_Camel</t>
  </si>
  <si>
    <t>Wool fraction</t>
  </si>
  <si>
    <t>Wool yield per 10 days</t>
  </si>
  <si>
    <t>Wool yield per day</t>
  </si>
  <si>
    <t>waterCellCost</t>
  </si>
  <si>
    <t>moveSpeedFactorByTerrainTag (water)</t>
  </si>
  <si>
    <t>waterSeeker</t>
  </si>
  <si>
    <t>Swimming speed (Km/h)</t>
  </si>
  <si>
    <t>MiscMammals</t>
  </si>
  <si>
    <t>Speed</t>
  </si>
  <si>
    <t>https://biology.ucr.edu/people/faculty/Garland/Garl1983_JZL.pdf</t>
  </si>
  <si>
    <t>https://journals.biologists.com/jeb/article/219/20/3301/15422/Preferred-gait-and-walk-run-transition-speeds-in</t>
  </si>
  <si>
    <t>https://www.jstor.org/stable/4158661</t>
  </si>
  <si>
    <t>https://www.sciencedirect.com/science/article/pii/S1751731125000503</t>
  </si>
  <si>
    <t>https://www.sciencedirect.com/science/article/abs/pii/0034568781900748</t>
  </si>
  <si>
    <t>https://timesofindia.indiatimes.com/etimes/trending/how-fast-is-the-king-cobra-heres-the-surprising-truth-about-the-speed-of-most-venomous-snake/articleshow/121753765.cms</t>
  </si>
  <si>
    <t>https://pubmed.ncbi.nlm.nih.gov/18840659/</t>
  </si>
  <si>
    <t>https://www.guinnessworldrecords.com/world-records/77951-fastest-tortoise</t>
  </si>
  <si>
    <t>https://www.youtube.com/watch?v=hJfKM03W2sQ</t>
  </si>
  <si>
    <t>https://www.researchgate.net/publication/222210405_Design_of_the_mammalian_respiratory_system_III_Scaling_maximum_aerobic_capacity_to_body_mass_Wild_and_domestic_mammals</t>
  </si>
  <si>
    <t>https://www.science.org/content/article/galloping-sea-lions-could-inspire-land-sea-robots</t>
  </si>
  <si>
    <t>https://nationalzoo.si.edu/animals/komodo-dragon</t>
  </si>
  <si>
    <t>WildGoose</t>
  </si>
  <si>
    <t>Head Blunt AP</t>
  </si>
  <si>
    <t>Poke/leg claws Blunt AP</t>
  </si>
  <si>
    <t>Poke/leg claws Sharp AP</t>
  </si>
  <si>
    <t>Horn/Antler/Tusks Blunt AP</t>
  </si>
  <si>
    <t>Horn/Antler/Tusks Sharp AP</t>
  </si>
  <si>
    <t>Bite Blunt AP</t>
  </si>
  <si>
    <t>Bite Sharp AP</t>
  </si>
  <si>
    <t>Paw claw/punch Blunt AP</t>
  </si>
  <si>
    <t>Paw claw/punch Sharp AP</t>
  </si>
  <si>
    <t>Poke/leg claws linkedBodyPartsGroup</t>
  </si>
  <si>
    <t>Poke/leg claws label</t>
  </si>
  <si>
    <t>Horn/Antler/Tusks linkedBodyPartsGroup</t>
  </si>
  <si>
    <t>Horn/Antler/Tusks label</t>
  </si>
  <si>
    <t>Horn/Antler/Tusks Male only</t>
  </si>
  <si>
    <t>Bite linkedBodyPartsGroup</t>
  </si>
  <si>
    <t>Bite label</t>
  </si>
  <si>
    <t>Paw claw/punch linkedBodyPartsGroup</t>
  </si>
  <si>
    <t>Paw claw/punch label</t>
  </si>
  <si>
    <t>Poke/leg claws capacities</t>
  </si>
  <si>
    <t>Horn/Antler/Tusks capacities</t>
  </si>
  <si>
    <t>Bite capacities</t>
  </si>
  <si>
    <t>Snail</t>
  </si>
  <si>
    <t>Paw claw/punch capacities</t>
  </si>
  <si>
    <t>LeatherDef</t>
  </si>
  <si>
    <t>canFishForFood</t>
  </si>
  <si>
    <t>Body</t>
  </si>
  <si>
    <t>Body shape</t>
  </si>
  <si>
    <t>AiredaleTerrier</t>
  </si>
  <si>
    <t>specialTrainables</t>
  </si>
  <si>
    <t xml:space="preserve"> Tundra</t>
  </si>
  <si>
    <t>Costal</t>
  </si>
  <si>
    <t>Pinniped</t>
  </si>
  <si>
    <t>&lt;li&gt;Bear_Grizzly&lt;/li&gt;</t>
  </si>
  <si>
    <t>&lt;li&gt;Raccoon&lt;/li&gt;</t>
  </si>
  <si>
    <t>None</t>
  </si>
  <si>
    <t>&lt;li&gt;Ostrich&lt;/li&gt;</t>
  </si>
  <si>
    <t>BigBirdThingBase</t>
  </si>
  <si>
    <t>BigBirdKindBase</t>
  </si>
  <si>
    <t>&lt;li&gt;Cassowary&lt;/li&gt;</t>
  </si>
  <si>
    <t>&lt;li&gt;Emu&lt;/li&gt;</t>
  </si>
  <si>
    <t>&lt;li&gt;Turkey&lt;/li&gt;</t>
  </si>
  <si>
    <t>&lt;li&gt;Goose&lt;/li&gt;</t>
  </si>
  <si>
    <t>&lt;li&gt;Duck&lt;/li&gt;</t>
  </si>
  <si>
    <t>&lt;li&gt;Chicken&lt;/li&gt;</t>
  </si>
  <si>
    <t>&lt;li&gt;Dromedary&lt;/li&gt;</t>
  </si>
  <si>
    <t>&lt;li&gt;Alpaca&lt;/li&gt;</t>
  </si>
  <si>
    <t>&lt;li&gt;YorkshireTerrier&lt;/li&gt;</t>
  </si>
  <si>
    <t>&lt;li&gt;LabradorRetriever&lt;/li&gt;</t>
  </si>
  <si>
    <t>&lt;li&gt;Husky&lt;/li&gt;</t>
  </si>
  <si>
    <t>&lt;li&gt;Cougar&lt;/li&gt;</t>
  </si>
  <si>
    <t>BigCatThingBase</t>
  </si>
  <si>
    <t>BigCatKindBase</t>
  </si>
  <si>
    <t>&lt;li&gt;Panther&lt;/li&gt;</t>
  </si>
  <si>
    <t>&lt;li&gt;Lynx&lt;/li&gt;</t>
  </si>
  <si>
    <t>&lt;li&gt;Cat&lt;/li&gt;</t>
  </si>
  <si>
    <t>&lt;li&gt;Horse&lt;/li&gt;</t>
  </si>
  <si>
    <t>&lt;li&gt;Donkey&lt;/li&gt;</t>
  </si>
  <si>
    <t>&lt;li&gt;Hare&lt;/li&gt;</t>
  </si>
  <si>
    <t>BaseHare</t>
  </si>
  <si>
    <t>HareBase</t>
  </si>
  <si>
    <t>&lt;li&gt;Snowhare&lt;/li&gt;</t>
  </si>
  <si>
    <t>&lt;li&gt;Rhinoceros&lt;/li&gt;</t>
  </si>
  <si>
    <t>&lt;li&gt;Elephant&lt;/li&gt;</t>
  </si>
  <si>
    <t>&lt;li&gt;Thrumbo&lt;/li&gt;</t>
  </si>
  <si>
    <t>&lt;li&gt;Megasloth&lt;/li&gt;</t>
  </si>
  <si>
    <t>&lt;li&gt;WildBoar&lt;/li&gt;</t>
  </si>
  <si>
    <t>&lt;li&gt;Pig&lt;/li&gt;</t>
  </si>
  <si>
    <t>&lt;li&gt;Monkey&lt;/li&gt;</t>
  </si>
  <si>
    <t>&lt;li&gt;Iguana&lt;/li&gt;</t>
  </si>
  <si>
    <t>&lt;li&gt;Cobra&lt;/li&gt;</t>
  </si>
  <si>
    <t>&lt;li&gt;Tortoise&lt;/li&gt;</t>
  </si>
  <si>
    <t>&lt;li&gt;Rat&lt;/li&gt;</t>
  </si>
  <si>
    <t>&lt;li&gt;Squirrel&lt;/li&gt;</t>
  </si>
  <si>
    <t>&lt;li&gt;GuineaPig&lt;/li&gt;</t>
  </si>
  <si>
    <t>&lt;li&gt;Chinchilla&lt;/li&gt;</t>
  </si>
  <si>
    <t>&lt;li&gt;Capybara&lt;/li&gt;</t>
  </si>
  <si>
    <t>&lt;li&gt;Alphabeaver&lt;/li&gt;</t>
  </si>
  <si>
    <t>&lt;li&gt;Boomrat&lt;/li&gt;</t>
  </si>
  <si>
    <t>&lt;li&gt;Bison&lt;/li&gt;</t>
  </si>
  <si>
    <t>&lt;li&gt;Cow&lt;/li&gt;</t>
  </si>
  <si>
    <t>&lt;li&gt;Muffalo&lt;/li&gt;</t>
  </si>
  <si>
    <t>&lt;li&gt;Yak&lt;/li&gt;</t>
  </si>
  <si>
    <t>&lt;li&gt;Elk&lt;/li&gt;</t>
  </si>
  <si>
    <t>&lt;li&gt;Boomalope&lt;/li&gt;</t>
  </si>
  <si>
    <t>&lt;li&gt;Toxalope&lt;/li&gt;</t>
  </si>
  <si>
    <t>&lt;li&gt;Caribou&lt;/li&gt;</t>
  </si>
  <si>
    <t>&lt;li&gt;Ibex&lt;/li&gt;</t>
  </si>
  <si>
    <t>&lt;li&gt;Goat&lt;/li&gt;</t>
  </si>
  <si>
    <t>&lt;li&gt;Sheep&lt;/li&gt;</t>
  </si>
  <si>
    <t>&lt;li&gt;Deer&lt;/li&gt;</t>
  </si>
  <si>
    <t>&lt;li&gt;Gazelle&lt;/li&gt;</t>
  </si>
  <si>
    <t>&lt;li&gt;Warg&lt;/li&gt;</t>
  </si>
  <si>
    <t>&lt;li&gt;Wolf_Timber&lt;/li&gt;</t>
  </si>
  <si>
    <t>ThingBaseWolf</t>
  </si>
  <si>
    <t>AnimalKindBaseWolf</t>
  </si>
  <si>
    <t xml:space="preserve">&lt;li&gt;Wolf_Arctic&lt;/li&gt; </t>
  </si>
  <si>
    <t>&lt;li&gt;Fox_Red&lt;/li&gt;</t>
  </si>
  <si>
    <t>ThingBaseFox</t>
  </si>
  <si>
    <t>AnimalKindBaseFox</t>
  </si>
  <si>
    <t xml:space="preserve">&lt;li&gt;Fox_Arctic&lt;/li&gt; </t>
  </si>
  <si>
    <t xml:space="preserve">&lt;li&gt;Fox_Fennec&lt;/li&gt; </t>
  </si>
  <si>
    <t>&lt;li&gt;WasteRat&lt;/li&gt;</t>
  </si>
  <si>
    <t>&lt;li&gt;Panda&lt;/li&gt;</t>
  </si>
  <si>
    <t>&lt;li&gt;Sparrow&lt;/li&gt;</t>
  </si>
  <si>
    <t>SmallBirdThingBase</t>
  </si>
  <si>
    <t>&lt;li&gt;Bluebird&lt;/li&gt;</t>
  </si>
  <si>
    <t>&lt;li&gt;Crow&lt;/li&gt;</t>
  </si>
  <si>
    <t>&lt;li&gt;Macaw&lt;/li&gt;</t>
  </si>
  <si>
    <t>&lt;li&gt;Quail&lt;/li&gt;</t>
  </si>
  <si>
    <t>&lt;li&gt;Swan&lt;/li&gt;</t>
  </si>
  <si>
    <t>&lt;li&gt;Heron&lt;/li&gt;</t>
  </si>
  <si>
    <t>&lt;li&gt;Flamingo&lt;/li&gt;</t>
  </si>
  <si>
    <t>&lt;li&gt;Penguin&lt;/li&gt;</t>
  </si>
  <si>
    <t>&lt;li&gt;Peacock&lt;/li&gt;</t>
  </si>
  <si>
    <t>&lt;li&gt;Vulture&lt;/li&gt;</t>
  </si>
  <si>
    <t>&lt;li&gt;Tiger&lt;/li&gt;</t>
  </si>
  <si>
    <t>&lt;li&gt;Cat_Scimitar&lt;/li&gt;</t>
  </si>
  <si>
    <t>&lt;li&gt;Bullfrog&lt;/li&gt;</t>
  </si>
  <si>
    <t>&lt;li&gt;ColossusToad&lt;/li&gt;</t>
  </si>
  <si>
    <t>&lt;li&gt;Hippo&lt;/li&gt;</t>
  </si>
  <si>
    <t>&lt;li&gt;Mastodon&lt;/li&gt;</t>
  </si>
  <si>
    <t>&lt;li&gt;AlphaThrumbo&lt;/li&gt;</t>
  </si>
  <si>
    <t>&lt;li&gt;Armadillo&lt;/li&gt;</t>
  </si>
  <si>
    <t>&lt;li&gt;Wolverine&lt;/li&gt;</t>
  </si>
  <si>
    <t>&lt;li&gt;Mink&lt;/li&gt;</t>
  </si>
  <si>
    <t>&lt;li&gt;Badger&lt;/li&gt;</t>
  </si>
  <si>
    <t>&lt;li&gt;Otter&lt;/li&gt;</t>
  </si>
  <si>
    <t>&lt;li&gt;SeaLion&lt;/li&gt;</t>
  </si>
  <si>
    <t>&lt;li&gt;Seal&lt;/li&gt;</t>
  </si>
  <si>
    <t>&lt;li&gt;Walrus&lt;/li&gt;</t>
  </si>
  <si>
    <t>&lt;li&gt;Gorilla&lt;/li&gt;</t>
  </si>
  <si>
    <t>&lt;li&gt;MonitorLizard&lt;/li&gt;</t>
  </si>
  <si>
    <t>&lt;li&gt;Alligator&lt;/li&gt;</t>
  </si>
  <si>
    <t>&lt;li&gt;SeaTurtle&lt;/li&gt;</t>
  </si>
  <si>
    <t>&lt;li&gt;PrairieDog&lt;/li&gt;</t>
  </si>
  <si>
    <t>&lt;li&gt;Porcupine&lt;/li&gt;</t>
  </si>
  <si>
    <t>&lt;li&gt;Megavole&lt;/li&gt;</t>
  </si>
  <si>
    <t>&lt;li&gt;Moose&lt;/li&gt;</t>
  </si>
  <si>
    <t>&lt;li&gt;Muskox&lt;/li&gt;</t>
  </si>
  <si>
    <t>&lt;li&gt;LavaSnail&lt;/li&gt;</t>
  </si>
  <si>
    <t>&lt;li&gt;BogHound&lt;/li&gt;</t>
  </si>
  <si>
    <t>&lt;li&gt;Wolf_Great&lt;/li&gt;</t>
  </si>
  <si>
    <t>&lt;li&gt;StoneCrab&lt;/li&gt;</t>
  </si>
  <si>
    <t>&lt;li&gt;HermitCrab&lt;/li&gt;</t>
  </si>
  <si>
    <t>&lt;li&gt;Megascarab&lt;/li&gt;</t>
  </si>
  <si>
    <t>BaseInsect</t>
  </si>
  <si>
    <t>InsectKindBase</t>
  </si>
  <si>
    <t>&lt;li&gt;Megaspider&lt;/li&gt;</t>
  </si>
  <si>
    <t>&lt;li&gt;HiveQueen&lt;/li&gt;</t>
  </si>
  <si>
    <t>&lt;li&gt;Larva&lt;/li&gt;</t>
  </si>
  <si>
    <t>&lt;li&gt;Locust&lt;/li&gt;</t>
  </si>
  <si>
    <t>&lt;li&gt;AEXP_Coyote&lt;/li&gt;</t>
  </si>
  <si>
    <t>&lt;li&gt;AEXP_Giraffe&lt;/li&gt;</t>
  </si>
  <si>
    <t>&lt;li&gt;AEXP_Zebra&lt;/li&gt;</t>
  </si>
  <si>
    <t>&lt;li&gt;AEXP_Wildebeest&lt;/li&gt;</t>
  </si>
  <si>
    <t>&lt;li&gt;AEXP_Crocodile&lt;/li&gt;</t>
  </si>
  <si>
    <t>&lt;li&gt;AEXP_Cheetah&lt;/li&gt;</t>
  </si>
  <si>
    <t>&lt;li&gt;AEXP_Boombat&lt;/li&gt;</t>
  </si>
  <si>
    <t>&lt;li&gt;AEXP_Kangaroo&lt;/li&gt;</t>
  </si>
  <si>
    <t>&lt;li&gt;AEXP_Koala&lt;/li&gt;</t>
  </si>
  <si>
    <t>&lt;li&gt;AEXP_Platypus&lt;/li&gt;</t>
  </si>
  <si>
    <t>&lt;li&gt;AEXP_ArcticCoyote&lt;/li&gt;</t>
  </si>
  <si>
    <t>&lt;li&gt;AEXP_BlackBear&lt;/li&gt;</t>
  </si>
  <si>
    <t>&lt;li&gt;AEXP_Hyena&lt;/li&gt;</t>
  </si>
  <si>
    <t>&lt;li&gt;AEXP_DesertTortoise&lt;/li&gt;</t>
  </si>
  <si>
    <t>&lt;li&gt;AEXP_Lion&lt;/li&gt;</t>
  </si>
  <si>
    <t>&lt;li&gt;AEXP_GilaMonster&lt;/li&gt;</t>
  </si>
  <si>
    <t>&lt;li&gt;AEXP_Camel&lt;/li&gt;</t>
  </si>
  <si>
    <t>&lt;li&gt;AEXP_Rattlesnake&lt;/li&gt;</t>
  </si>
  <si>
    <t>&lt;li&gt;AEXP_Megascorpion&lt;/li&gt;</t>
  </si>
  <si>
    <t>&lt;li&gt;AEXP_RedPanda&lt;/li&gt;</t>
  </si>
  <si>
    <t>&lt;li&gt;AEXP_WildGoose&lt;/li&gt;</t>
  </si>
  <si>
    <t>&lt;li&gt;AEXP_Beaver&lt;/li&gt;</t>
  </si>
  <si>
    <t>&lt;li&gt;AEXP_Hedgehog&lt;/li&gt;</t>
  </si>
  <si>
    <t>&lt;li&gt;AEXP_Jaguar&lt;/li&gt;</t>
  </si>
  <si>
    <t>&lt;li&gt;AEXP_Lemur&lt;/li&gt;</t>
  </si>
  <si>
    <t>&lt;li&gt;AEXP_Mandrill&lt;/li&gt;</t>
  </si>
  <si>
    <t>&lt;li&gt;AEXP_Tapir&lt;/li&gt;</t>
  </si>
  <si>
    <t>&lt;li&gt;AEXP_Anaconda&lt;/li&gt;</t>
  </si>
  <si>
    <t>&lt;li&gt;AEXP_IndianElephant&lt;/li&gt;</t>
  </si>
  <si>
    <t>&lt;li&gt;AEXP_MegaWolverine&lt;/li&gt;</t>
  </si>
  <si>
    <t>&lt;li&gt;AEXP_Beagle&lt;/li&gt;</t>
  </si>
  <si>
    <t>&lt;li&gt;AEXP_Chihuahua&lt;/li&gt;</t>
  </si>
  <si>
    <t>&lt;li&gt;AEXP_Corgi&lt;/li&gt;</t>
  </si>
  <si>
    <t>&lt;li&gt;AEXP_FrenchBulldog&lt;/li&gt;</t>
  </si>
  <si>
    <t>&lt;li&gt;AEXP_GermanShepherd&lt;/li&gt;</t>
  </si>
  <si>
    <t>&lt;li&gt;AEXP_GreatDane&lt;/li&gt;</t>
  </si>
  <si>
    <t>&lt;li&gt;AEXP_Poodle&lt;/li&gt;</t>
  </si>
  <si>
    <t>&lt;li&gt;AEXP_Pug&lt;/li&gt;</t>
  </si>
  <si>
    <t>&lt;li&gt;AEXP_Rottweiler&lt;/li&gt;</t>
  </si>
  <si>
    <t>&lt;li&gt;AEXP_Shih-Tzu&lt;/li&gt;</t>
  </si>
  <si>
    <t>&lt;li&gt;AEXP_WelshTerrier&lt;/li&gt;</t>
  </si>
  <si>
    <t>&lt;li&gt;AEXP_CatAbyssinian&lt;/li&gt;</t>
  </si>
  <si>
    <t>&lt;li&gt;AEXP_CatBengal&lt;/li&gt;</t>
  </si>
  <si>
    <t>&lt;li&gt;AEXP_CatBritishShorthair&lt;/li&gt;</t>
  </si>
  <si>
    <t>&lt;li&gt;AEXP_CatMaineCoon&lt;/li&gt;</t>
  </si>
  <si>
    <t>&lt;li&gt;AEXP_CatMunchkin&lt;/li&gt;</t>
  </si>
  <si>
    <t>&lt;li&gt;AEXP_CatNorwegianForest&lt;/li&gt;</t>
  </si>
  <si>
    <t>&lt;li&gt;AEXP_CatPersian&lt;/li&gt;</t>
  </si>
  <si>
    <t>&lt;li&gt;AEXP_CatSiamese&lt;/li&gt;</t>
  </si>
  <si>
    <t>&lt;li&gt;AEXP_CatSomali&lt;/li&gt;</t>
  </si>
  <si>
    <t>&lt;li&gt;AEXP_CatSphynx&lt;/li&gt;</t>
  </si>
  <si>
    <t>&lt;li&gt;Kalisk&lt;/li&gt;</t>
  </si>
  <si>
    <t xml:space="preserve">mateMtbHours </t>
  </si>
  <si>
    <t>&lt;li&gt;Spelopede&lt;/li&gt;</t>
  </si>
  <si>
    <t>IsMammal</t>
  </si>
  <si>
    <t>AgroAtSlaughter</t>
  </si>
  <si>
    <t>CannotBeAugmented</t>
  </si>
  <si>
    <t>CannotBeMutated</t>
  </si>
  <si>
    <t>Ectothermic</t>
  </si>
  <si>
    <t>NoFlee</t>
  </si>
  <si>
    <t>IsScavenger</t>
  </si>
  <si>
    <t xml:space="preserve"> IceSheet</t>
  </si>
  <si>
    <t xml:space="preserve"> SeaIce</t>
  </si>
  <si>
    <t xml:space="preserve"> BorealForest</t>
  </si>
  <si>
    <t xml:space="preserve"> ColdBog</t>
  </si>
  <si>
    <t xml:space="preserve"> TemperateForest</t>
  </si>
  <si>
    <t xml:space="preserve"> TemperateSwamp</t>
  </si>
  <si>
    <t xml:space="preserve"> AridShrubland</t>
  </si>
  <si>
    <t xml:space="preserve"> Desert</t>
  </si>
  <si>
    <t xml:space="preserve"> ExtremeDesert</t>
  </si>
  <si>
    <t xml:space="preserve"> TropicalRainforest</t>
  </si>
  <si>
    <t xml:space="preserve"> TropicalSwamp</t>
  </si>
  <si>
    <t xml:space="preserve"> Grasslands</t>
  </si>
  <si>
    <t xml:space="preserve"> Glowforest</t>
  </si>
  <si>
    <t xml:space="preserve"> LavaField</t>
  </si>
  <si>
    <t xml:space="preserve"> GlacialPlain</t>
  </si>
  <si>
    <t xml:space="preserve"> Scarlands</t>
  </si>
  <si>
    <t>WildBiomes</t>
  </si>
  <si>
    <t>https://genomics.senescence.info/species/entry.php?species=Crocodylus_porosus</t>
  </si>
  <si>
    <t>MayRequire</t>
  </si>
  <si>
    <t>Ludeon.RimWorld.Odyssey</t>
  </si>
  <si>
    <t>Ludeon.RimWorld.Biotech</t>
  </si>
  <si>
    <t>VanillaExpanded.VanillaAnimalsExpanded</t>
  </si>
  <si>
    <t>PackAnimal</t>
  </si>
  <si>
    <r>
      <t>Canis familiaris</t>
    </r>
    <r>
      <rPr>
        <sz val="11"/>
        <color theme="1"/>
        <rFont val="Calibri"/>
        <family val="2"/>
        <charset val="204"/>
        <scheme val="minor"/>
      </rPr>
      <t xml:space="preserve"> (Yorkshire terrier)</t>
    </r>
  </si>
  <si>
    <r>
      <t>Canis familiaris</t>
    </r>
    <r>
      <rPr>
        <sz val="11"/>
        <color theme="1"/>
        <rFont val="Calibri"/>
        <family val="2"/>
        <charset val="204"/>
        <scheme val="minor"/>
      </rPr>
      <t xml:space="preserve"> (Labrador)</t>
    </r>
  </si>
  <si>
    <r>
      <t>Canis familiaris</t>
    </r>
    <r>
      <rPr>
        <sz val="11"/>
        <color theme="1"/>
        <rFont val="Calibri"/>
        <family val="2"/>
        <charset val="204"/>
        <scheme val="minor"/>
      </rPr>
      <t xml:space="preserve"> (Husky)</t>
    </r>
  </si>
  <si>
    <t>Lepus europaeus</t>
  </si>
  <si>
    <t>https://genomics.senescence.info/species/entry.php?species=Lepus_europaeus</t>
  </si>
  <si>
    <t>Bombaria toxiferans</t>
  </si>
  <si>
    <t>Canis lupus albus</t>
  </si>
  <si>
    <t>Canis lupus lupus</t>
  </si>
  <si>
    <t>Bengal cat</t>
  </si>
  <si>
    <t>Abyssinian cat</t>
  </si>
  <si>
    <t>British Shorthair cat</t>
  </si>
  <si>
    <t>Munchkin cat</t>
  </si>
  <si>
    <t>Maine Coon cat</t>
  </si>
  <si>
    <t>Norwegian Forest cat</t>
  </si>
  <si>
    <t>Persian cat</t>
  </si>
  <si>
    <t>Siamese cat</t>
  </si>
  <si>
    <t>Somali cat</t>
  </si>
  <si>
    <t>Sphynx cat</t>
  </si>
  <si>
    <r>
      <t xml:space="preserve">Canis familiaris </t>
    </r>
    <r>
      <rPr>
        <sz val="11"/>
        <color theme="1"/>
        <rFont val="Calibri"/>
        <family val="2"/>
        <charset val="204"/>
        <scheme val="minor"/>
      </rPr>
      <t>(Beagle)</t>
    </r>
  </si>
  <si>
    <r>
      <t xml:space="preserve">Canis familiaris </t>
    </r>
    <r>
      <rPr>
        <sz val="11"/>
        <color theme="1"/>
        <rFont val="Calibri"/>
        <family val="2"/>
        <charset val="204"/>
        <scheme val="minor"/>
      </rPr>
      <t>(Chihuahua)</t>
    </r>
  </si>
  <si>
    <r>
      <t xml:space="preserve">Canis familiaris </t>
    </r>
    <r>
      <rPr>
        <sz val="11"/>
        <color theme="1"/>
        <rFont val="Calibri"/>
        <family val="2"/>
        <charset val="204"/>
        <scheme val="minor"/>
      </rPr>
      <t>(Corgi)</t>
    </r>
  </si>
  <si>
    <r>
      <t xml:space="preserve">Canis familiaris </t>
    </r>
    <r>
      <rPr>
        <sz val="11"/>
        <color theme="1"/>
        <rFont val="Calibri"/>
        <family val="2"/>
        <charset val="204"/>
        <scheme val="minor"/>
      </rPr>
      <t>(French bulldog)</t>
    </r>
  </si>
  <si>
    <r>
      <t xml:space="preserve">Canis familiaris </t>
    </r>
    <r>
      <rPr>
        <sz val="11"/>
        <color theme="1"/>
        <rFont val="Calibri"/>
        <family val="2"/>
        <charset val="204"/>
        <scheme val="minor"/>
      </rPr>
      <t>(German shepherd)</t>
    </r>
  </si>
  <si>
    <r>
      <t>Canis familiaris</t>
    </r>
    <r>
      <rPr>
        <sz val="11"/>
        <color theme="1"/>
        <rFont val="Calibri"/>
        <family val="2"/>
        <charset val="204"/>
        <scheme val="minor"/>
      </rPr>
      <t xml:space="preserve"> (Great dane)</t>
    </r>
  </si>
  <si>
    <r>
      <t>Canis familiaris</t>
    </r>
    <r>
      <rPr>
        <sz val="11"/>
        <color theme="1"/>
        <rFont val="Calibri"/>
        <family val="2"/>
        <charset val="204"/>
        <scheme val="minor"/>
      </rPr>
      <t xml:space="preserve"> (Poodle)</t>
    </r>
  </si>
  <si>
    <r>
      <t xml:space="preserve">Canis familiaris </t>
    </r>
    <r>
      <rPr>
        <sz val="11"/>
        <color theme="1"/>
        <rFont val="Calibri"/>
        <family val="2"/>
        <charset val="204"/>
        <scheme val="minor"/>
      </rPr>
      <t>(Pug)</t>
    </r>
  </si>
  <si>
    <r>
      <t xml:space="preserve">Canis familiaris </t>
    </r>
    <r>
      <rPr>
        <sz val="11"/>
        <color theme="1"/>
        <rFont val="Calibri"/>
        <family val="2"/>
        <charset val="204"/>
        <scheme val="minor"/>
      </rPr>
      <t>(Rottweiler)</t>
    </r>
  </si>
  <si>
    <r>
      <t xml:space="preserve">Canis familiaris </t>
    </r>
    <r>
      <rPr>
        <sz val="11"/>
        <color theme="1"/>
        <rFont val="Calibri"/>
        <family val="2"/>
        <charset val="204"/>
        <scheme val="minor"/>
      </rPr>
      <t>(Shih-Tzu)</t>
    </r>
  </si>
  <si>
    <r>
      <t>Canis familiaris</t>
    </r>
    <r>
      <rPr>
        <sz val="11"/>
        <color theme="1"/>
        <rFont val="Calibri"/>
        <family val="2"/>
        <charset val="204"/>
        <scheme val="minor"/>
      </rPr>
      <t xml:space="preserve"> (AiredaleTerrier)</t>
    </r>
  </si>
  <si>
    <r>
      <t xml:space="preserve">Felis catus </t>
    </r>
    <r>
      <rPr>
        <sz val="11"/>
        <color theme="1"/>
        <rFont val="Calibri"/>
        <family val="2"/>
        <charset val="204"/>
        <scheme val="minor"/>
      </rPr>
      <t>(Abyssinian)</t>
    </r>
  </si>
  <si>
    <r>
      <t xml:space="preserve">Felis catus </t>
    </r>
    <r>
      <rPr>
        <sz val="11"/>
        <color theme="1"/>
        <rFont val="Calibri"/>
        <family val="2"/>
        <charset val="204"/>
        <scheme val="minor"/>
      </rPr>
      <t>(Bengal)</t>
    </r>
  </si>
  <si>
    <r>
      <t xml:space="preserve">Felis catus </t>
    </r>
    <r>
      <rPr>
        <sz val="11"/>
        <color theme="1"/>
        <rFont val="Calibri"/>
        <family val="2"/>
        <charset val="204"/>
        <scheme val="minor"/>
      </rPr>
      <t>(British Shorthair)</t>
    </r>
  </si>
  <si>
    <r>
      <t xml:space="preserve">Felis catus </t>
    </r>
    <r>
      <rPr>
        <sz val="11"/>
        <color theme="1"/>
        <rFont val="Calibri"/>
        <family val="2"/>
        <charset val="204"/>
        <scheme val="minor"/>
      </rPr>
      <t>(Maine Coon)</t>
    </r>
  </si>
  <si>
    <r>
      <t>Felis catus</t>
    </r>
    <r>
      <rPr>
        <sz val="11"/>
        <color theme="1"/>
        <rFont val="Calibri"/>
        <family val="2"/>
        <charset val="204"/>
        <scheme val="minor"/>
      </rPr>
      <t xml:space="preserve"> (Munchkin)</t>
    </r>
  </si>
  <si>
    <r>
      <t xml:space="preserve">Felis catus </t>
    </r>
    <r>
      <rPr>
        <sz val="11"/>
        <color theme="1"/>
        <rFont val="Calibri"/>
        <family val="2"/>
        <charset val="204"/>
        <scheme val="minor"/>
      </rPr>
      <t>(Norwegian Forest)</t>
    </r>
  </si>
  <si>
    <r>
      <t xml:space="preserve">Felis catus </t>
    </r>
    <r>
      <rPr>
        <sz val="11"/>
        <color theme="1"/>
        <rFont val="Calibri"/>
        <family val="2"/>
        <charset val="204"/>
        <scheme val="minor"/>
      </rPr>
      <t>(Persian)</t>
    </r>
  </si>
  <si>
    <r>
      <t xml:space="preserve">Felis catus </t>
    </r>
    <r>
      <rPr>
        <sz val="11"/>
        <color theme="1"/>
        <rFont val="Calibri"/>
        <family val="2"/>
        <charset val="204"/>
        <scheme val="minor"/>
      </rPr>
      <t>(Siamese)</t>
    </r>
  </si>
  <si>
    <r>
      <t>Felis catus</t>
    </r>
    <r>
      <rPr>
        <sz val="11"/>
        <color theme="1"/>
        <rFont val="Calibri"/>
        <family val="2"/>
        <charset val="204"/>
        <scheme val="minor"/>
      </rPr>
      <t xml:space="preserve"> (Somali)</t>
    </r>
  </si>
  <si>
    <r>
      <t>Felis catus</t>
    </r>
    <r>
      <rPr>
        <sz val="11"/>
        <color theme="1"/>
        <rFont val="Calibri"/>
        <family val="2"/>
        <charset val="204"/>
        <scheme val="minor"/>
      </rPr>
      <t xml:space="preserve"> (Sphynx)</t>
    </r>
  </si>
  <si>
    <t>Canis latrans incolatus</t>
  </si>
  <si>
    <t>Canis latrans latrans</t>
  </si>
  <si>
    <r>
      <t xml:space="preserve">Meleagris gallopavo </t>
    </r>
    <r>
      <rPr>
        <sz val="11"/>
        <color theme="1"/>
        <rFont val="Calibri"/>
        <family val="2"/>
        <charset val="204"/>
        <scheme val="minor"/>
      </rPr>
      <t>(wild)</t>
    </r>
  </si>
  <si>
    <r>
      <t xml:space="preserve">Anas platyrhynchos </t>
    </r>
    <r>
      <rPr>
        <sz val="11"/>
        <color theme="1"/>
        <rFont val="Calibri"/>
        <family val="2"/>
        <charset val="204"/>
        <scheme val="minor"/>
      </rPr>
      <t>(wild)</t>
    </r>
  </si>
  <si>
    <r>
      <t xml:space="preserve">Anser anser </t>
    </r>
    <r>
      <rPr>
        <sz val="11"/>
        <color theme="1"/>
        <rFont val="Calibri"/>
        <family val="2"/>
        <charset val="204"/>
        <scheme val="minor"/>
      </rPr>
      <t>(Adler)</t>
    </r>
  </si>
  <si>
    <t>IsRoamer</t>
  </si>
  <si>
    <t>IsPremiumTame</t>
  </si>
  <si>
    <t>ExtraComfyTemperatureMin</t>
  </si>
  <si>
    <t>ExtraComfyTemperatureMax</t>
  </si>
  <si>
    <t>Integument tensile strength (MPa)</t>
  </si>
  <si>
    <t>Integument elongation at break (%)</t>
  </si>
  <si>
    <t>Integument density (kg/L)</t>
  </si>
  <si>
    <t>ArmoredMammal</t>
  </si>
  <si>
    <t>Thiemann et al. (2011) https://doi.org/10.1002/jwmg.112</t>
  </si>
  <si>
    <t>Seryodkin et al. (2017) http://dx.doi.org/10.17217/2079-0333-2017-41-83-92  ; Troyer &amp; Hensel (1969) The Brown Bear Of Kodiak Island.</t>
  </si>
  <si>
    <t>Smith et al. (2003) https://doi.org/10.5063/AA/nceas.196.3</t>
  </si>
  <si>
    <t>Unknown</t>
  </si>
  <si>
    <t>Skin mass fraction</t>
  </si>
  <si>
    <t>IsArmored</t>
  </si>
  <si>
    <t>False</t>
  </si>
  <si>
    <t>Toxin resistance</t>
  </si>
  <si>
    <t>http://www.zoologicodevallarta.com/FichaTaxonomica/Avestruz/Avestruz.php?Idioma=Ingles</t>
  </si>
  <si>
    <t>https://www.fao.org/4/ah759e/AH759E23.htm</t>
  </si>
  <si>
    <t>IsStrongPuncher</t>
  </si>
  <si>
    <t>Bite force type</t>
  </si>
  <si>
    <t>Insect</t>
  </si>
  <si>
    <t>Rodent</t>
  </si>
  <si>
    <t>MiscCarnivora</t>
  </si>
  <si>
    <t>Lizard</t>
  </si>
  <si>
    <t>StrongBitingHerbivore</t>
  </si>
  <si>
    <t>MiscEctotherms</t>
  </si>
  <si>
    <t>StrongBeakBird</t>
  </si>
  <si>
    <t>Bite force adjuster</t>
  </si>
  <si>
    <t>AbobaShark.KaliskMod</t>
  </si>
  <si>
    <t>Do leg attack</t>
  </si>
  <si>
    <t>Leg attack linkedBodyPartsGroup</t>
  </si>
  <si>
    <t>Leg attack label</t>
  </si>
  <si>
    <t>Leg attack capacities</t>
  </si>
  <si>
    <t>rear left claw, rear  right claw</t>
  </si>
  <si>
    <t>Scratch</t>
  </si>
  <si>
    <t>Feet</t>
  </si>
  <si>
    <t>FrontLeftLeg, FrontRightLeg</t>
  </si>
  <si>
    <t>Blunt</t>
  </si>
  <si>
    <t>left foot, right foot</t>
  </si>
  <si>
    <t>left hoof, right hoof</t>
  </si>
  <si>
    <t>left claw, rear  right claw</t>
  </si>
  <si>
    <t>left spur, right spur</t>
  </si>
  <si>
    <t>RearLeftSpur, RearRightSpur</t>
  </si>
  <si>
    <t>ScratchToxic</t>
  </si>
  <si>
    <t>True</t>
  </si>
  <si>
    <t>TuskAttackTool</t>
  </si>
  <si>
    <t>tusk</t>
  </si>
  <si>
    <t>HeadAttackTool</t>
  </si>
  <si>
    <t>horn</t>
  </si>
  <si>
    <t>antler</t>
  </si>
  <si>
    <t>stinger</t>
  </si>
  <si>
    <t>Bite attack linkedBodyPartsGroup</t>
  </si>
  <si>
    <t>Bite attack label</t>
  </si>
  <si>
    <t>Bite attack capacities</t>
  </si>
  <si>
    <t>Beak</t>
  </si>
  <si>
    <t>TurtleBeakAttackTool</t>
  </si>
  <si>
    <t>Mouth</t>
  </si>
  <si>
    <t>Teeth</t>
  </si>
  <si>
    <t>mandibles</t>
  </si>
  <si>
    <t>beak</t>
  </si>
  <si>
    <t>teeth</t>
  </si>
  <si>
    <t>canines</t>
  </si>
  <si>
    <t>Incisors</t>
  </si>
  <si>
    <t>radula</t>
  </si>
  <si>
    <t>fangs</t>
  </si>
  <si>
    <t>Do claw/arm attack</t>
  </si>
  <si>
    <t>Claw/arm attack interval</t>
  </si>
  <si>
    <t>Claw/arm attack linkedBodyPartsGroup</t>
  </si>
  <si>
    <t>Claw/arm attack capacities</t>
  </si>
  <si>
    <t>Claw/arm attack label</t>
  </si>
  <si>
    <t>LeftHand, RightHand</t>
  </si>
  <si>
    <t>FrontLeftClaws, FrontRightClaws</t>
  </si>
  <si>
    <t>HeadClaw</t>
  </si>
  <si>
    <t>left fist, right fist</t>
  </si>
  <si>
    <t>head claw</t>
  </si>
  <si>
    <t>left claw, right claw</t>
  </si>
  <si>
    <t>HealthMultiplier</t>
  </si>
  <si>
    <t>Physiology</t>
  </si>
  <si>
    <t>Mammal</t>
  </si>
  <si>
    <t>Reptile</t>
  </si>
  <si>
    <t>Amphibian</t>
  </si>
  <si>
    <t>Invertebrate</t>
  </si>
  <si>
    <t>Monotremata</t>
  </si>
  <si>
    <t>CanMigrate</t>
  </si>
  <si>
    <t>Dendrovore</t>
  </si>
  <si>
    <t>OmnivoreRough</t>
  </si>
  <si>
    <t>Arctic Coyote</t>
  </si>
  <si>
    <t>Arctic Wolf</t>
  </si>
  <si>
    <t>QuadrupedAnimalWithPaws</t>
  </si>
  <si>
    <t>QuadrupedAnimalWithPawsAndTail</t>
  </si>
  <si>
    <t>QuadrupedAnimalWithHoovesAndHump</t>
  </si>
  <si>
    <t>QuadrupedAnimalWithHooves</t>
  </si>
  <si>
    <t>https://bas-uk.com/wp-content/uploads/2018/11/Fact-Sheet-4-Body-Condition-Scoring.pdf</t>
  </si>
  <si>
    <t>Teeth size adjuster</t>
  </si>
  <si>
    <t>QuadrupedAnimalWithHoovesAndHorn</t>
  </si>
  <si>
    <t>QuadrupedAnimalWithHoovesTusksAndTrunk</t>
  </si>
  <si>
    <t>Ape</t>
  </si>
  <si>
    <t>QuadrupedAnimalWithClawsTailAndJowl</t>
  </si>
  <si>
    <t>PinnipedWithTusks</t>
  </si>
  <si>
    <t>BeetleLike</t>
  </si>
  <si>
    <t>QuadrupedAnimalWithPawsAndTailAndSpur</t>
  </si>
  <si>
    <t>QuadrupedAnimalWithHoovesAndTusks</t>
  </si>
  <si>
    <t>BipedalAnimalWithPawsClawsAndTail</t>
  </si>
  <si>
    <t>IgnoreAgressionSizeLimit</t>
  </si>
  <si>
    <t>manhunterOnTameFailChance adjuster</t>
  </si>
  <si>
    <t>manhunterOnDamageChance adjuster</t>
  </si>
  <si>
    <t>Advanced</t>
  </si>
  <si>
    <t>Trainability</t>
  </si>
  <si>
    <t>Intermediate</t>
  </si>
  <si>
    <t>baseManhunterOnTameFailChance</t>
  </si>
  <si>
    <t>baseManhunterOnDamageChance</t>
  </si>
  <si>
    <t>teethScalinngFormula</t>
  </si>
  <si>
    <t>petnessFactor</t>
  </si>
  <si>
    <t>canHuntLivePrey</t>
  </si>
  <si>
    <t>filthMultiplier</t>
  </si>
  <si>
    <t>wildnessMultiplier</t>
  </si>
  <si>
    <t>priceCategory</t>
  </si>
  <si>
    <t>coldResistance</t>
  </si>
  <si>
    <t>heatResistance</t>
  </si>
  <si>
    <t>canHuntFish</t>
  </si>
  <si>
    <t>isSemiAquatic</t>
  </si>
  <si>
    <t>https://www.yorkieinfocenter.com/yorkie-growth-chart</t>
  </si>
  <si>
    <t>https://en.wikipedia.org/wiki/Labrador_Retriever</t>
  </si>
  <si>
    <t>https://en.wikipedia.org/wiki/Alaskan_Malamute</t>
  </si>
  <si>
    <t>Special trainables</t>
  </si>
  <si>
    <t>WarTrumpet</t>
  </si>
  <si>
    <t>Dig</t>
  </si>
  <si>
    <t>AttackTarget</t>
  </si>
  <si>
    <t>Forage</t>
  </si>
  <si>
    <t>EggSpew</t>
  </si>
  <si>
    <t>SludgeSpew</t>
  </si>
  <si>
    <t>ThrumboRoar</t>
  </si>
  <si>
    <t>SpecialTradeTags</t>
  </si>
  <si>
    <t>IsMarine</t>
  </si>
  <si>
    <t>IsPackAnimal</t>
  </si>
  <si>
    <t>IsExplosive</t>
  </si>
  <si>
    <t>DomesticationLevel</t>
  </si>
  <si>
    <t>IsPollutionExclusive</t>
  </si>
  <si>
    <t>cannotBeAugmented</t>
  </si>
  <si>
    <t>cannotBeMutated</t>
  </si>
  <si>
    <t>AverageArmor</t>
  </si>
  <si>
    <t>SkinAndMeatMarketValue</t>
  </si>
  <si>
    <t>ScavengerTier</t>
  </si>
  <si>
    <t>teethDamageAdjuster</t>
  </si>
  <si>
    <t>clawDamageAdjuster</t>
  </si>
  <si>
    <t>tuskDamageAdjuster</t>
  </si>
  <si>
    <t>Bite</t>
  </si>
  <si>
    <t>ToxicBite</t>
  </si>
  <si>
    <t>isSluggish</t>
  </si>
  <si>
    <t>V punch (head)</t>
  </si>
  <si>
    <t>isBluntHorned</t>
  </si>
  <si>
    <t>V punch (Horn/Tusk)</t>
  </si>
  <si>
    <t>IsBiped</t>
  </si>
  <si>
    <t>V punch (kick limb)</t>
  </si>
  <si>
    <t>M (kick limb)</t>
  </si>
  <si>
    <t>V punch (bite)</t>
  </si>
  <si>
    <t>V punch (punch limb)</t>
  </si>
  <si>
    <t>M (punch limb)</t>
  </si>
  <si>
    <t>biteTeethType</t>
  </si>
  <si>
    <t>meleeDodgeChanceMultiplier</t>
  </si>
  <si>
    <t>meleeCritChanceMultiplier</t>
  </si>
  <si>
    <t>meleeParryChanceMultiplier</t>
  </si>
  <si>
    <t>Quadruped</t>
  </si>
  <si>
    <t>BodyShape</t>
  </si>
  <si>
    <t>QuadrupedLow</t>
  </si>
  <si>
    <t>Birdlike</t>
  </si>
  <si>
    <t>Humanoid</t>
  </si>
  <si>
    <t>HumanoidWide</t>
  </si>
  <si>
    <t>QuadrupedTall</t>
  </si>
  <si>
    <t>Serpentine</t>
  </si>
  <si>
    <t>TurtleLike</t>
  </si>
  <si>
    <t>BeetleLikeWithClaw</t>
  </si>
  <si>
    <t xml:space="preserve">RearLeftClaws, RearRightClaws	</t>
  </si>
  <si>
    <t>isTeethless</t>
  </si>
  <si>
    <t>Predicted horn/tusk attack force (N)</t>
  </si>
  <si>
    <t>generalDamageAdjuster</t>
  </si>
  <si>
    <t>IsRare</t>
  </si>
  <si>
    <r>
      <t>Thrumbo magnificus</t>
    </r>
    <r>
      <rPr>
        <sz val="11"/>
        <color theme="1"/>
        <rFont val="Calibri"/>
        <family val="2"/>
        <charset val="204"/>
        <scheme val="minor"/>
      </rPr>
      <t xml:space="preserve"> (alpha)</t>
    </r>
  </si>
  <si>
    <t>TakingCareOfOffspring</t>
  </si>
  <si>
    <t>CannotChew</t>
  </si>
  <si>
    <t>M_eff (head)</t>
  </si>
  <si>
    <t>M_eff (bite)</t>
  </si>
  <si>
    <t xml:space="preserve"> Alpine</t>
  </si>
  <si>
    <t xml:space="preserve"> MammothSteppe</t>
  </si>
  <si>
    <t xml:space="preserve"> Delta</t>
  </si>
  <si>
    <t>M_eff (horn)</t>
  </si>
  <si>
    <t>ArmorPiercingClaw</t>
  </si>
  <si>
    <t>ArmorPiercingHorn</t>
  </si>
  <si>
    <t>ArmorPiercingBite</t>
  </si>
  <si>
    <t>Representative lifespan?</t>
  </si>
  <si>
    <t>Extra CE damage adjuster</t>
  </si>
  <si>
    <t>Extra CE attack interval</t>
  </si>
  <si>
    <t>RoyalTiger</t>
  </si>
  <si>
    <t>Smilodon fatalis</t>
  </si>
  <si>
    <t>&lt;li&gt;VAERoy_RoyalTiger&lt;/li&gt;</t>
  </si>
  <si>
    <t>VanillaExpanded.VAERoy</t>
  </si>
  <si>
    <t>Phasianus colchicus</t>
  </si>
  <si>
    <t>https://genomics.senescence.info/species/entry.php?species=Phasianus_colchicus</t>
  </si>
  <si>
    <t>&lt;li&gt;VAERoy_Pheasant&lt;/li&gt;</t>
  </si>
  <si>
    <t>Pheasant</t>
  </si>
  <si>
    <t>Pongo pygmaeus</t>
  </si>
  <si>
    <t>&lt;li&gt;VAERoy_Orangutan&lt;/li&gt;</t>
  </si>
  <si>
    <t>&lt;li&gt;VAERoy_Megachicken&lt;/li&gt;</t>
  </si>
  <si>
    <t>Gallus giganteus</t>
  </si>
  <si>
    <t>&lt;li&gt;VAERoy_Crane&lt;/li&gt;</t>
  </si>
  <si>
    <t>Grus japonensis</t>
  </si>
  <si>
    <t>&lt;li&gt;VAERoy_AngoraRabbit&lt;/li&gt;</t>
  </si>
  <si>
    <r>
      <t xml:space="preserve">Oryctolagus cuniculus </t>
    </r>
    <r>
      <rPr>
        <sz val="11"/>
        <color theme="1"/>
        <rFont val="Calibri"/>
        <family val="2"/>
        <charset val="204"/>
        <scheme val="minor"/>
      </rPr>
      <t>(Angora)</t>
    </r>
  </si>
  <si>
    <t>Orangutan</t>
  </si>
  <si>
    <t>https://genomics.senescence.info/species/entry.php?species=Pongo_pygmaeus</t>
  </si>
  <si>
    <t>https://doi.org/10.1111/j.1469-7998.1993.tb01922.x</t>
  </si>
  <si>
    <t>https://www.purina.com.au/sphynx-cat.html</t>
  </si>
  <si>
    <t>https://www.hillspet.co.uk/cat-care/cat-breeds/somali</t>
  </si>
  <si>
    <t>https://genomics.senescence.info/species/entry.php?species=Camelus_dromedarius</t>
  </si>
  <si>
    <t>https://www.biorxiv.org/content/10.64898/2026.03.17.712305v1.full</t>
  </si>
  <si>
    <t>Ceratotherium simum</t>
  </si>
  <si>
    <t>https://genomics.senescence.info/species/entry.php?species=Ceratotherium_simum</t>
  </si>
  <si>
    <t>https://www.app.pan.pl/archive/published/app61/app001362014.pdf</t>
  </si>
  <si>
    <t>https://www.researchgate.net/publication/249487790_Locomotion_and_bone_strength_of_the_White_Rhinoceros_Ceratotherium_simum</t>
  </si>
  <si>
    <t>https://doi.org/10.1098%2Frsos.150302</t>
  </si>
  <si>
    <t>Megachicken</t>
  </si>
  <si>
    <t>Crane</t>
  </si>
  <si>
    <t>https://genomics.senescence.info/species/entry.php?species=Grus_japonensis</t>
  </si>
  <si>
    <t>Oryctolagus cuniculus (Angora)</t>
  </si>
  <si>
    <t>AngoraRabbit</t>
  </si>
  <si>
    <t>https://en.wikipedia.org/wiki/Angora_rabbit</t>
  </si>
  <si>
    <t>https://genomics.senescence.info/species/entry.php?species=Oryctolagus_cuniculus</t>
  </si>
  <si>
    <t>https://www.activestudy.info/ves-razmery-i-proporcii-tela-kabana/</t>
  </si>
  <si>
    <t>https://www.fao.org/4/ah759e/AH759E10.htm</t>
  </si>
  <si>
    <t>https://www.biodiversitylibrary.org/item/30778#page/45/mode/1up</t>
  </si>
  <si>
    <t>https://genomics.senescence.info/species/entry.php?species=Manouria_emys</t>
  </si>
  <si>
    <t>Benatti et al. (2021) https://doi.org/10.3390%2Fvetsci8080165</t>
  </si>
  <si>
    <t>https://www.fao.org/4/ah759e/AH759E08.htm</t>
  </si>
  <si>
    <t>Knott et al. (2005) http://dx.doi.org/10.1644/1545-1542(2005)086%3C0121:GIAUPD%3E2.0.CO;2</t>
  </si>
  <si>
    <t>https://www.researchgate.net/figure/Body-weight-of-Shami-and-Saanen-dairy-goats_tbl16_270282269</t>
  </si>
  <si>
    <t>https://www.researchgate.net/figure/Adult-body-weights-of-Merino-Sheep-imported-from-Australia_tbl3_347751556</t>
  </si>
  <si>
    <t>https://archive.org/details/mammalsofsov211998gept/page/182</t>
  </si>
  <si>
    <t>https://www.bto.org/learn/about-birds/birdfacts/house-sparrow</t>
  </si>
  <si>
    <t>https://www.bto.org/learn/about-birds/birdfacts/raven#biometrics</t>
  </si>
  <si>
    <t>https://www.northernparrots.com/blog/scarlet-macaw-fact-sheet/</t>
  </si>
  <si>
    <t>Slaght et al. (2005) http://fishowls.com/Slaght%20et%20al%202005.pdf</t>
  </si>
  <si>
    <t>Hayward et al. (2016) http://dx.doi.org/10.3389/fevo.2015.00148</t>
  </si>
  <si>
    <t>https://www.za-hwange.cnrs.fr/wp-content/uploads/18-Loveridge-et-al.-2009_Ecography.pdf</t>
  </si>
  <si>
    <t>Photonozoa</t>
  </si>
  <si>
    <t>Harpactotyrannus</t>
  </si>
  <si>
    <t>Harpactotyrannus venator</t>
  </si>
  <si>
    <t>My calculations</t>
  </si>
  <si>
    <t>&lt;li&gt;Harpactotyrannus&lt;/li&gt;</t>
  </si>
  <si>
    <t>AbobaShark.Photonozoa</t>
  </si>
  <si>
    <t>PhotonozoaThingBase</t>
  </si>
  <si>
    <t>PhotonozoaKindBase</t>
  </si>
  <si>
    <t>Arthropython</t>
  </si>
  <si>
    <t>Arthropython serpentes</t>
  </si>
  <si>
    <t>Paragnathus</t>
  </si>
  <si>
    <t>Paragnathus paradocus</t>
  </si>
  <si>
    <t>&lt;li&gt;Arthropython&lt;/li&gt;</t>
  </si>
  <si>
    <t>&lt;li&gt;Paragnathus&lt;/li&gt;</t>
  </si>
  <si>
    <t>Xenosnake</t>
  </si>
  <si>
    <t>Untamable</t>
  </si>
  <si>
    <t>Xenobovid</t>
  </si>
  <si>
    <t>Paragnathia (PHOTONOZOA)</t>
  </si>
  <si>
    <t>tongue</t>
  </si>
  <si>
    <t>TongueAttackTool</t>
  </si>
  <si>
    <t>Asciotaurus</t>
  </si>
  <si>
    <t>Asciotaurus validus</t>
  </si>
  <si>
    <t>&lt;li&gt;Asciotaurus&lt;/li&gt;</t>
  </si>
  <si>
    <t>Xenofelid</t>
  </si>
  <si>
    <t>BlackFootedFerret</t>
  </si>
  <si>
    <t>Mustela nigripes</t>
  </si>
  <si>
    <t>https://genomics.senescence.info/species/entry.php?species=Mustela_nigripes</t>
  </si>
  <si>
    <t>&lt;li&gt;AEXP_BlackFootedFerret&lt;/li&gt;</t>
  </si>
  <si>
    <t>VanillaExpanded.VAEEndAndExt</t>
  </si>
  <si>
    <t>&lt;li&gt;AEXP_BlackRhino&lt;/li&gt;</t>
  </si>
  <si>
    <t>&lt;li&gt;AEXP_Bonobo&lt;/li&gt;</t>
  </si>
  <si>
    <t>&lt;li&gt;AEXP_Moa&lt;/li&gt;</t>
  </si>
  <si>
    <t>&lt;li&gt;AEXP_Quagga&lt;/li&gt;</t>
  </si>
  <si>
    <t>&lt;li&gt;AEXP_RockhopperPenguin&lt;/li&gt;</t>
  </si>
  <si>
    <t>&lt;li&gt;AEXP_TasmanianDevil&lt;/li&gt;</t>
  </si>
  <si>
    <t>&lt;li&gt;AEXP_Thylacine&lt;/li&gt;</t>
  </si>
  <si>
    <t>&lt;li&gt;AEXP_AfricanWildDog&lt;/li&gt;</t>
  </si>
  <si>
    <t>&lt;li&gt;AEXP_Pangolin&lt;/li&gt;</t>
  </si>
  <si>
    <t>BlackRhino</t>
  </si>
  <si>
    <t>Bonobo</t>
  </si>
  <si>
    <t>Moa</t>
  </si>
  <si>
    <t>Quagga</t>
  </si>
  <si>
    <t>RockhopperPenguin</t>
  </si>
  <si>
    <t>TasmanianDevil</t>
  </si>
  <si>
    <t>Thylacine</t>
  </si>
  <si>
    <t>AfricanWildDog</t>
  </si>
  <si>
    <t>Pangolin</t>
  </si>
  <si>
    <t>Diceros bicornis</t>
  </si>
  <si>
    <t>Pan paniscus</t>
  </si>
  <si>
    <t>Dinornis novaezealandiae</t>
  </si>
  <si>
    <t>Equus quagga</t>
  </si>
  <si>
    <t>Eudyptes chrysocome</t>
  </si>
  <si>
    <t>Sarcophilus harrisii</t>
  </si>
  <si>
    <t>Thylacinus cynocephalus</t>
  </si>
  <si>
    <t>Lycaon pictus</t>
  </si>
  <si>
    <t>BlackRhinoceros</t>
  </si>
  <si>
    <t>https://genomics.senescence.info/species/entry.php?species=Diceros_bicornis</t>
  </si>
  <si>
    <t>https://genomics.senescence.info/species/entry.php?species=Pan_paniscus</t>
  </si>
  <si>
    <t>https://www.researchgate.net/figure/The-relationship-between-body-mass-M-g-and-population-density-D-individuals-km_fig1_337697427</t>
  </si>
  <si>
    <t>https://genomics.senescence.info/species/entry.php?species=Eudyptes_schlegeli</t>
  </si>
  <si>
    <t>https://genomics.senescence.info/species/entry.php?species=Sarcophilus_harrisii</t>
  </si>
  <si>
    <t>https://doi.org/10.1098/rspb.2020.1537</t>
  </si>
  <si>
    <t>https://genomics.senescence.info/species/entry.php?species=Lycaon_pictus</t>
  </si>
  <si>
    <t>Manis crassicaudata</t>
  </si>
  <si>
    <t>https://genomics.senescence.info/species/entry.php?species=Manis_crassicaudata</t>
  </si>
  <si>
    <t>ModConflict</t>
  </si>
  <si>
    <t>&lt;li&gt;AEXP_Tiger&lt;/li&gt;</t>
  </si>
  <si>
    <t>Odyssey</t>
  </si>
  <si>
    <t>&lt;li&gt;AEXP_Alligator&lt;/li&gt;</t>
  </si>
  <si>
    <t>&lt;li&gt;AEXP_Moose&lt;/li&gt;</t>
  </si>
  <si>
    <t>&lt;li&gt;AEXP_Muskox&lt;/li&gt;</t>
  </si>
  <si>
    <t>&lt;li&gt;AEXP_Badger&lt;/li&gt;</t>
  </si>
  <si>
    <t>&lt;li&gt;AEXP_Gorilla&lt;/li&gt;</t>
  </si>
  <si>
    <t>&lt;li&gt;AEXP_Panda&lt;/li&gt;</t>
  </si>
  <si>
    <t>&lt;li&gt;VAERoy_Swan&lt;/li&gt;</t>
  </si>
  <si>
    <t>&lt;li&gt;VAERoy_Quail&lt;/li&gt;</t>
  </si>
  <si>
    <t>&lt;li&gt;VAERoy_Peacock&lt;/li&gt;</t>
  </si>
  <si>
    <t>&lt;li&gt;AEXP_Penguin&lt;/li&gt;</t>
  </si>
  <si>
    <t>&lt;li&gt;AEXP_Hippopotamus&lt;/li&gt;</t>
  </si>
  <si>
    <t>&lt;li&gt;AEXP_Seal&lt;/li&gt;</t>
  </si>
  <si>
    <t>&lt;li&gt;AEXP_Walrus&lt;/li&gt;</t>
  </si>
  <si>
    <t>&lt;li&gt;AEXP_Porcupine&lt;/li&gt;</t>
  </si>
  <si>
    <t>https://www.bto.org/learn/about-birds/birdfacts/mute-swan#biometrics</t>
  </si>
  <si>
    <t>https://www.bto.org/learn/about-birds/birdfacts/grey-heron#biometrics</t>
  </si>
  <si>
    <t>https://iuls.ro/wp-content/uploads/2021/12/2010_sept_Teusan_Anca_en.pdf</t>
  </si>
  <si>
    <t>https://web.archive.org/web/20090226145743/http://en.tourduvalat.org/content/download/7378/73859/version/2/file/All+About+Greater+Flamingo.pdf</t>
  </si>
  <si>
    <t>https://www.bto.org/learn/about-birds/birdfacts/indian-peafowl</t>
  </si>
  <si>
    <t>https://worldspecies.org/ntaxa/907754</t>
  </si>
  <si>
    <t>https://web.archive.org/web/20130730061210/http://www.seaworld.org/animal-info/animal-bytes/animalia/eumetazoa/coelomates/deuterostomes/chordata/craniata/amphibia/anura/north-american-bullfrog.htm</t>
  </si>
  <si>
    <t>https://www.jzar.org/jzar/article/view/905/524</t>
  </si>
  <si>
    <t>Rothman et al. (2008) https://doi.org/10.1007/s00442-007-0901-1</t>
  </si>
  <si>
    <t>Wilkinson &amp; Rhodes (1997) https://doi.org/10.2307/3802596 ; Platt et al. (2018) http://dx.doi.org/10.1656/058.017.0403</t>
  </si>
  <si>
    <t>https://www.euroturtle.org/green_diagnostic.htm</t>
  </si>
  <si>
    <t>https://www.sciencedirect.com/science/article/abs/pii/S0305049196002568</t>
  </si>
  <si>
    <t>https://www.researchgate.net/publication/232685584_New_body_mass_estimates_for_Canis_dirus_the_extinct_Pleistocene_dire_wolf</t>
  </si>
  <si>
    <t>Sklenar (2011) https://www.ibg.uu.se/digitalAssets/174/c_174490-l_3-k_sklenar-mia-report.pdf</t>
  </si>
  <si>
    <t>https://doi.org/10.1111/j.1365-2028.1987.tb01113.x</t>
  </si>
  <si>
    <t>https://genomics.senescence.info/species/entry.php?species=Heloderma_horridum</t>
  </si>
  <si>
    <t>https://en.wikipedia.org/wiki/Beagle</t>
  </si>
  <si>
    <t>https://en.wikipedia.org/wiki/Poodle</t>
  </si>
  <si>
    <t>https://en.wikipedia.org/wiki/Pug</t>
  </si>
  <si>
    <t>https://en.wikipedia.org/wiki/Rottweiler</t>
  </si>
  <si>
    <t>https://en.wikipedia.org/wiki/Chihuahua_(dog_breed)</t>
  </si>
  <si>
    <t>https://en.wikipedia.org/wiki/Welsh_Corgi</t>
  </si>
  <si>
    <t>https://en.wikipedia.org/wiki/French_Bulldog</t>
  </si>
  <si>
    <t>https://en.wikipedia.org/wiki/German_Shepherd and https://ru.wikipedia.org/wiki/Восточноевропейская_овчарка</t>
  </si>
  <si>
    <t>https://ru.wikipedia.org/wiki/Немецкий_дог</t>
  </si>
  <si>
    <t>https://en.wikipedia.org/wiki/Shih_Tzu</t>
  </si>
  <si>
    <t>https://ru.wikipedia.org/wiki/Эрдельтерьер</t>
  </si>
  <si>
    <t>https://en.wikipedia.org/wiki/Abyssinian_cat</t>
  </si>
  <si>
    <t>https://ru.wikipedia.org/wiki/Бенгальская_кошка_(домашняя)</t>
  </si>
  <si>
    <t>https://en.wikipedia.org/wiki/British_Shorthair</t>
  </si>
  <si>
    <t>https://en.wikipedia.org/wiki/Maine_Coon</t>
  </si>
  <si>
    <t>https://en.wikipedia.org/wiki/Munchkin_cat</t>
  </si>
  <si>
    <t>https://en.wikipedia.org/wiki/Norwegian_Forest_Cat</t>
  </si>
  <si>
    <t>https://www.11pets.com/en/news/persian-weight-chart</t>
  </si>
  <si>
    <t>https://www.11pets.com/en/news/siamese-cat-weight-chart</t>
  </si>
  <si>
    <t>&lt;li&gt;AEXP_Otter&lt;/li&gt;</t>
  </si>
  <si>
    <t>VasteHydra</t>
  </si>
  <si>
    <t>&lt;li&gt;VAEWaste_Hydra&lt;/li&gt;</t>
  </si>
  <si>
    <t>VanillaExpanded.VAEWaste</t>
  </si>
  <si>
    <t>Hydra toxifera</t>
  </si>
  <si>
    <t>VAEWaste_BaseInsect</t>
  </si>
  <si>
    <t>&lt;li&gt;VAEWaste_Megatardi&lt;/li&gt;</t>
  </si>
  <si>
    <t>Megatardi</t>
  </si>
  <si>
    <t>Megatardi gigantea</t>
  </si>
  <si>
    <t>&lt;li&gt;VAEWaste_Pestigator&lt;/li&gt;</t>
  </si>
  <si>
    <t>Pestigator ferox</t>
  </si>
  <si>
    <t>Pestigator</t>
  </si>
  <si>
    <t>Vulpes toxifera</t>
  </si>
  <si>
    <t>&lt;li&gt;VAEWaste_Toxafox&lt;/li&gt;</t>
  </si>
  <si>
    <t>Toxafox</t>
  </si>
  <si>
    <t>Toxbear</t>
  </si>
  <si>
    <t>&lt;li&gt;VAEWaste_Toxbear&lt;/li&gt;</t>
  </si>
  <si>
    <t>Ursus toxus</t>
  </si>
  <si>
    <t>&lt;li&gt;VAEWaste_Toxiguana&lt;/li&gt;</t>
  </si>
  <si>
    <t>Iguana toxifera</t>
  </si>
  <si>
    <t>Panthera toxileo</t>
  </si>
  <si>
    <t>&lt;li&gt;VAEWaste_Toxlion&lt;/li&gt;</t>
  </si>
  <si>
    <t>&lt;li&gt;VAEWaste_Toxscorpion&lt;/li&gt;</t>
  </si>
  <si>
    <t>Toxoscorpio bellator</t>
  </si>
  <si>
    <t>Sus toxiscrofa</t>
  </si>
  <si>
    <t>Odocoileus toxus</t>
  </si>
  <si>
    <t>Pseudobison toxus</t>
  </si>
  <si>
    <t>&lt;li&gt;VAEWaste_Wasteffalo&lt;/li&gt;</t>
  </si>
  <si>
    <t>&lt;li&gt;VAEWaste_Wastedeer&lt;/li&gt;</t>
  </si>
  <si>
    <t>&lt;li&gt;VAEWaste_Wasteboar&lt;/li&gt;</t>
  </si>
  <si>
    <t>Toxiguana</t>
  </si>
  <si>
    <t>Toxlion</t>
  </si>
  <si>
    <t>Toxscorpion</t>
  </si>
  <si>
    <t>Wasteboar</t>
  </si>
  <si>
    <t>Wastedeer</t>
  </si>
  <si>
    <t>Wasteffalo</t>
  </si>
  <si>
    <t>VAEWaste_FluClaws</t>
  </si>
  <si>
    <t>VAEWaste_FluBite</t>
  </si>
  <si>
    <t>ScorpionLike</t>
  </si>
  <si>
    <t>left pincer, right pincer</t>
  </si>
  <si>
    <t>Sting</t>
  </si>
  <si>
    <t>Hydra</t>
  </si>
  <si>
    <t>Wasteffalo_Body</t>
  </si>
  <si>
    <t>LeftPincer, RightPincer</t>
  </si>
  <si>
    <t>UseMeatFrom</t>
  </si>
  <si>
    <t>useMeatFrom</t>
  </si>
  <si>
    <t>VAEWaste_Sting</t>
  </si>
  <si>
    <t>isUntameable</t>
  </si>
  <si>
    <t>chelicerae</t>
  </si>
  <si>
    <t>Health Multiplier</t>
  </si>
  <si>
    <t>&lt;li&gt;AA_AcanthamoebaGiganteaSmall&lt;/li&gt;</t>
  </si>
  <si>
    <t>&lt;li&gt;AA_AcanthamoebaGiganteaLarge&lt;/li&gt;</t>
  </si>
  <si>
    <t>&lt;li&gt;AA_AcanthamoebaGiganteaHuge&lt;/li&gt;</t>
  </si>
  <si>
    <t>AcanthamoebaGiganteaSmall</t>
  </si>
  <si>
    <t>AcanthamoebaGiganteaLarge</t>
  </si>
  <si>
    <t>AcanthamoebaGiganteaHuge</t>
  </si>
  <si>
    <t>Acanthamoeba gigantea (small)</t>
  </si>
  <si>
    <t>Acanthamoeba gigantea (large)</t>
  </si>
  <si>
    <t>Acanthamoeba gigantea (huge)</t>
  </si>
  <si>
    <t>Aerofleet</t>
  </si>
  <si>
    <t>ColossalAerofleet</t>
  </si>
  <si>
    <t>&lt;li&gt;AA_ColossalAerofleet&lt;/li&gt;</t>
  </si>
  <si>
    <t>&lt;li&gt;AA_Aerofleet&lt;/li&gt;</t>
  </si>
  <si>
    <t>sarg.alphaanimals</t>
  </si>
  <si>
    <t>&lt;li&gt;AA_Agaripawn&lt;/li&gt;</t>
  </si>
  <si>
    <t>Agaripawn</t>
  </si>
  <si>
    <t>&lt;li&gt;AA_Agaripod&lt;/li&gt;</t>
  </si>
  <si>
    <t>Agaripod</t>
  </si>
  <si>
    <t>AngelMothLarva</t>
  </si>
  <si>
    <t>AngelMoth</t>
  </si>
  <si>
    <t>&lt;li&gt;AA_AngelMoth&lt;/li&gt;</t>
  </si>
  <si>
    <t>&lt;li&gt;AA_AngelMothLarva&lt;/li&gt;</t>
  </si>
  <si>
    <t>&lt;li&gt;AA_AnimaColossus&lt;/li&gt;</t>
  </si>
  <si>
    <t>AnimaColossus</t>
  </si>
  <si>
    <t>&lt;li&gt;AA_Animalisk&lt;/li&gt;</t>
  </si>
  <si>
    <t>Animalisk</t>
  </si>
  <si>
    <t>AnimusVox</t>
  </si>
  <si>
    <t>&lt;li&gt;AA_AnimusVox&lt;/li&gt;</t>
  </si>
  <si>
    <t>ArcticLion</t>
  </si>
  <si>
    <t>&lt;li&gt;AA_ArcticLion&lt;/li&gt;</t>
  </si>
  <si>
    <t>Atispec</t>
  </si>
  <si>
    <t>&lt;li&gt;AA_Atispec&lt;/li&gt;</t>
  </si>
  <si>
    <t>AuroraSylph</t>
  </si>
  <si>
    <t>&lt;li&gt;AA_AuroraSylph&lt;/li&gt;</t>
  </si>
  <si>
    <t>Barbslinger</t>
  </si>
  <si>
    <t>&lt;li&gt;AA_Barbslinger&lt;/li&gt;</t>
  </si>
  <si>
    <t>BedBug</t>
  </si>
  <si>
    <t>&lt;li&gt;AA_BedBug&lt;/li&gt;</t>
  </si>
  <si>
    <t>Behemoth</t>
  </si>
  <si>
    <t>&lt;li&gt;AA_Behemoth&lt;/li&gt;</t>
  </si>
  <si>
    <t>BlackScarab</t>
  </si>
  <si>
    <t>&lt;li&gt;AA_BlackScarab&lt;/li&gt;</t>
  </si>
  <si>
    <t>BlackSpelopede</t>
  </si>
  <si>
    <t>&lt;li&gt;AA_BlackSpelopede&lt;/li&gt;</t>
  </si>
  <si>
    <t>BlackSpider</t>
  </si>
  <si>
    <t>&lt;li&gt;AA_BlackSpider&lt;/li&gt;</t>
  </si>
  <si>
    <t>Blizzarisk</t>
  </si>
  <si>
    <t>&lt;li&gt;AA_Blizzarisk&lt;/li&gt;</t>
  </si>
  <si>
    <t>BlizzariskClutchMother</t>
  </si>
  <si>
    <t>&lt;li&gt;AA_BlizzariskClutchMother&lt;/li&gt;</t>
  </si>
  <si>
    <t>BloodShrimp</t>
  </si>
  <si>
    <t>&lt;li&gt;AA_BloodShrimp&lt;/li&gt;</t>
  </si>
  <si>
    <t>Bobeene</t>
  </si>
  <si>
    <t>&lt;li&gt;AA_Bobeene&lt;/li&gt;</t>
  </si>
  <si>
    <t>BoulderMit</t>
  </si>
  <si>
    <t>&lt;li&gt;AA_BoulderMit&lt;/li&gt;</t>
  </si>
  <si>
    <t>Bumbledrone</t>
  </si>
  <si>
    <t>&lt;li&gt;AA_Bumbledrone&lt;/li&gt;</t>
  </si>
  <si>
    <t>BumbledroneHierophant</t>
  </si>
  <si>
    <t>&lt;li&gt;AA_BumbledroneHierophant&lt;/li&gt;</t>
  </si>
  <si>
    <t>BumbledroneQueen</t>
  </si>
  <si>
    <t>&lt;li&gt;AA_BumbledroneQueen&lt;/li&gt;</t>
  </si>
  <si>
    <t>Cactipine</t>
  </si>
  <si>
    <t>&lt;li&gt;AA_Cactipine&lt;/li&gt;</t>
  </si>
  <si>
    <t>ChameleonYak</t>
  </si>
  <si>
    <t>&lt;li&gt;AA_ChameleonYak&lt;/li&gt;</t>
  </si>
  <si>
    <t>ChemfuelMyrmidon</t>
  </si>
  <si>
    <t>&lt;li&gt;AA_ChemfuelMyrmidon&lt;/li&gt;</t>
  </si>
  <si>
    <t>Cinderlisk</t>
  </si>
  <si>
    <t>&lt;li&gt;AA_Cinderlisk&lt;/li&gt;</t>
  </si>
  <si>
    <t>CrepuscularBeetle</t>
  </si>
  <si>
    <t>&lt;li&gt;AA_CrepuscularBeetle&lt;/li&gt;</t>
  </si>
  <si>
    <t>CrescendoAnole</t>
  </si>
  <si>
    <t>&lt;li&gt;AA_CrescendoAnole&lt;/li&gt;</t>
  </si>
  <si>
    <t>CrystalMit</t>
  </si>
  <si>
    <t>&lt;li&gt;AA_CrystalMit&lt;/li&gt;</t>
  </si>
  <si>
    <t>CrystallineCaracal</t>
  </si>
  <si>
    <t>&lt;li&gt;AA_CrystallineCaracal&lt;/li&gt;</t>
  </si>
  <si>
    <t>DarkVandal</t>
  </si>
  <si>
    <t>&lt;li&gt;AA_DarkVandal&lt;/li&gt;</t>
  </si>
  <si>
    <t>Darkbeast</t>
  </si>
  <si>
    <t>&lt;li&gt;AA_Darkbeast&lt;/li&gt;</t>
  </si>
  <si>
    <t>DecayDrake</t>
  </si>
  <si>
    <t>&lt;li&gt;AA_DecayDrake&lt;/li&gt;</t>
  </si>
  <si>
    <t>DesertAve</t>
  </si>
  <si>
    <t>&lt;li&gt;AA_DesertAve&lt;/li&gt;</t>
  </si>
  <si>
    <t>DevilSheep</t>
  </si>
  <si>
    <t>&lt;li&gt;AA_DevilSheep&lt;/li&gt;</t>
  </si>
  <si>
    <t>Drainer</t>
  </si>
  <si>
    <t>&lt;li&gt;AA_Drainer&lt;/li&gt;</t>
  </si>
  <si>
    <t>DrainerLarva</t>
  </si>
  <si>
    <t>&lt;li&gt;AA_DrainerLarva&lt;/li&gt;</t>
  </si>
  <si>
    <t>Dunealisk</t>
  </si>
  <si>
    <t>&lt;li&gt;AA_Dunealisk&lt;/li&gt;</t>
  </si>
  <si>
    <t>DunealiskClutchMother</t>
  </si>
  <si>
    <t>&lt;li&gt;AA_DunealiskClutchMother&lt;/li&gt;</t>
  </si>
  <si>
    <t>DuskProwler</t>
  </si>
  <si>
    <t>&lt;li&gt;AA_DuskProwler&lt;/li&gt;</t>
  </si>
  <si>
    <t>DuskRat</t>
  </si>
  <si>
    <t>&lt;li&gt;AA_DuskRat&lt;/li&gt;</t>
  </si>
  <si>
    <t>EmpressButterfly</t>
  </si>
  <si>
    <t>&lt;li&gt;AA_EmpressButterfly&lt;/li&gt;</t>
  </si>
  <si>
    <t>EmpressButterflyLarva</t>
  </si>
  <si>
    <t>&lt;li&gt;AA_EmpressButterflyLarva&lt;/li&gt;</t>
  </si>
  <si>
    <t>EngorgedTentacularAberration</t>
  </si>
  <si>
    <t>&lt;li&gt;AA_EngorgedTentacularAberration&lt;/li&gt;</t>
  </si>
  <si>
    <t>Erin</t>
  </si>
  <si>
    <t>&lt;li&gt;AA_Erin&lt;/li&gt;</t>
  </si>
  <si>
    <t>Eyeling</t>
  </si>
  <si>
    <t>&lt;li&gt;AA_Eyeling&lt;/li&gt;</t>
  </si>
  <si>
    <t>Feralisk</t>
  </si>
  <si>
    <t>&lt;li&gt;AA_Feralisk&lt;/li&gt;</t>
  </si>
  <si>
    <t>FeraliskClutchMother</t>
  </si>
  <si>
    <t>&lt;li&gt;AA_FeraliskClutchMother&lt;/li&gt;</t>
  </si>
  <si>
    <t>FireWasp</t>
  </si>
  <si>
    <t>&lt;li&gt;AA_FireWasp&lt;/li&gt;</t>
  </si>
  <si>
    <t>FissionMouse</t>
  </si>
  <si>
    <t>&lt;li&gt;AA_FissionMouse&lt;/li&gt;</t>
  </si>
  <si>
    <t>FissionMouseSecond</t>
  </si>
  <si>
    <t>&lt;li&gt;AA_FissionMouseSecond&lt;/li&gt;</t>
  </si>
  <si>
    <t>FissionMouseThird</t>
  </si>
  <si>
    <t>&lt;li&gt;AA_FissionMouseThird&lt;/li&gt;</t>
  </si>
  <si>
    <t>FlamingoPhoenix</t>
  </si>
  <si>
    <t>&lt;li&gt;AA_FlamingoPhoenix&lt;/li&gt;</t>
  </si>
  <si>
    <t>FrostAve</t>
  </si>
  <si>
    <t>&lt;li&gt;AA_FrostAve&lt;/li&gt;</t>
  </si>
  <si>
    <t>FrostLynx</t>
  </si>
  <si>
    <t>&lt;li&gt;AA_FrostLynx&lt;/li&gt;</t>
  </si>
  <si>
    <t>FrostboundBehemoth</t>
  </si>
  <si>
    <t>&lt;li&gt;AA_FrostboundBehemoth&lt;/li&gt;</t>
  </si>
  <si>
    <t>Frostling</t>
  </si>
  <si>
    <t>&lt;li&gt;AA_Frostling&lt;/li&gt;</t>
  </si>
  <si>
    <t>Frostmite</t>
  </si>
  <si>
    <t>&lt;li&gt;AA_Frostmite&lt;/li&gt;</t>
  </si>
  <si>
    <t>FungalHusk</t>
  </si>
  <si>
    <t>&lt;li&gt;AA_FungalHusk&lt;/li&gt;</t>
  </si>
  <si>
    <t>Gallatross</t>
  </si>
  <si>
    <t>&lt;li&gt;AA_Gallatross&lt;/li&gt;</t>
  </si>
  <si>
    <t>GallatrossMoribund</t>
  </si>
  <si>
    <t>&lt;li&gt;AA_GallatrossMoribund&lt;/li&gt;</t>
  </si>
  <si>
    <t>Genix</t>
  </si>
  <si>
    <t>&lt;li&gt;AA_Genix&lt;/li&gt;</t>
  </si>
  <si>
    <t>GiantCrownedSilkie</t>
  </si>
  <si>
    <t>&lt;li&gt;AA_GiantCrownedSilkie&lt;/li&gt;</t>
  </si>
  <si>
    <t>Gigantelope</t>
  </si>
  <si>
    <t>&lt;li&gt;AA_Gigantelope&lt;/li&gt;</t>
  </si>
  <si>
    <t>GreatDevourer</t>
  </si>
  <si>
    <t>&lt;li&gt;AA_GreatDevourer&lt;/li&gt;</t>
  </si>
  <si>
    <t>GreenGoo</t>
  </si>
  <si>
    <t>&lt;li&gt;AA_GreenGoo&lt;/li&gt;</t>
  </si>
  <si>
    <t>GreyCoatedMouflon</t>
  </si>
  <si>
    <t>&lt;li&gt;AA_GreyCoatedMouflon&lt;/li&gt;</t>
  </si>
  <si>
    <t>Groundrunner</t>
  </si>
  <si>
    <t>&lt;li&gt;AA_Groundrunner&lt;/li&gt;</t>
  </si>
  <si>
    <t>Helixien</t>
  </si>
  <si>
    <t>&lt;li&gt;AA_Helixien&lt;/li&gt;</t>
  </si>
  <si>
    <t>InfectedAerofleet</t>
  </si>
  <si>
    <t>&lt;li&gt;AA_InfectedAerofleet&lt;/li&gt;</t>
  </si>
  <si>
    <t>IronhuskBeetle</t>
  </si>
  <si>
    <t>&lt;li&gt;AA_IronhuskBeetle&lt;/li&gt;</t>
  </si>
  <si>
    <t>Junglelisk</t>
  </si>
  <si>
    <t>&lt;li&gt;AA_Junglelisk&lt;/li&gt;</t>
  </si>
  <si>
    <t>LarvalAtispec</t>
  </si>
  <si>
    <t>&lt;li&gt;AA_LarvalAtispec&lt;/li&gt;</t>
  </si>
  <si>
    <t>Lockjaw</t>
  </si>
  <si>
    <t>&lt;li&gt;AA_Lockjaw&lt;/li&gt;</t>
  </si>
  <si>
    <t>LuciferBug</t>
  </si>
  <si>
    <t>&lt;li&gt;AA_LuciferBug&lt;/li&gt;</t>
  </si>
  <si>
    <t>MammothWorm</t>
  </si>
  <si>
    <t>&lt;li&gt;AA_MammothWorm&lt;/li&gt;</t>
  </si>
  <si>
    <t>Mantrap</t>
  </si>
  <si>
    <t>&lt;li&gt;AA_Mantrap&lt;/li&gt;</t>
  </si>
  <si>
    <t>MatureFleshbeast</t>
  </si>
  <si>
    <t>&lt;li&gt;AA_MatureFleshbeast&lt;/li&gt;</t>
  </si>
  <si>
    <t>MeadowAve</t>
  </si>
  <si>
    <t>&lt;li&gt;AA_MeadowAve&lt;/li&gt;</t>
  </si>
  <si>
    <t>MegaLouse</t>
  </si>
  <si>
    <t>&lt;li&gt;AA_MegaLouse&lt;/li&gt;</t>
  </si>
  <si>
    <t>Metallovore</t>
  </si>
  <si>
    <t>&lt;li&gt;AA_Metallovore&lt;/li&gt;</t>
  </si>
  <si>
    <t>Mime</t>
  </si>
  <si>
    <t>&lt;li&gt;AA_Mime&lt;/li&gt;</t>
  </si>
  <si>
    <t>Murkling</t>
  </si>
  <si>
    <t>&lt;li&gt;AA_Murkling&lt;/li&gt;</t>
  </si>
  <si>
    <t>MycoidColossus</t>
  </si>
  <si>
    <t>&lt;li&gt;AA_MycoidColossus&lt;/li&gt;</t>
  </si>
  <si>
    <t>Needlepost</t>
  </si>
  <si>
    <t>&lt;li&gt;AA_Needlepost&lt;/li&gt;</t>
  </si>
  <si>
    <t>Needleroll</t>
  </si>
  <si>
    <t>&lt;li&gt;AA_Needleroll&lt;/li&gt;</t>
  </si>
  <si>
    <t>NightAve</t>
  </si>
  <si>
    <t>&lt;li&gt;AA_NightAve&lt;/li&gt;</t>
  </si>
  <si>
    <t>NightMule</t>
  </si>
  <si>
    <t>&lt;li&gt;AA_NightMule&lt;/li&gt;</t>
  </si>
  <si>
    <t>NightRam</t>
  </si>
  <si>
    <t>&lt;li&gt;AA_NightRam&lt;/li&gt;</t>
  </si>
  <si>
    <t>Nightling</t>
  </si>
  <si>
    <t>&lt;li&gt;AA_Nightling&lt;/li&gt;</t>
  </si>
  <si>
    <t>OcularJelly</t>
  </si>
  <si>
    <t>&lt;li&gt;AA_OcularJelly&lt;/li&gt;</t>
  </si>
  <si>
    <t>OcularNightling</t>
  </si>
  <si>
    <t>&lt;li&gt;AA_OcularNightling&lt;/li&gt;</t>
  </si>
  <si>
    <t>OvergrownColossus</t>
  </si>
  <si>
    <t>&lt;li&gt;AA_OvergrownColossus&lt;/li&gt;</t>
  </si>
  <si>
    <t>PebbleMit</t>
  </si>
  <si>
    <t>&lt;li&gt;AA_PebbleMit&lt;/li&gt;</t>
  </si>
  <si>
    <t>PedigreedRaptor</t>
  </si>
  <si>
    <t>&lt;li&gt;AA_PedigreedRaptor&lt;/li&gt;</t>
  </si>
  <si>
    <t>PhoenixOwlcat</t>
  </si>
  <si>
    <t>&lt;li&gt;AA_PhoenixOwlcat&lt;/li&gt;</t>
  </si>
  <si>
    <t>Plasmorph</t>
  </si>
  <si>
    <t>&lt;li&gt;AA_Plasmorph&lt;/li&gt;</t>
  </si>
  <si>
    <t>Radyak</t>
  </si>
  <si>
    <t>&lt;li&gt;AA_Radyak&lt;/li&gt;</t>
  </si>
  <si>
    <t>RaptorShrimp</t>
  </si>
  <si>
    <t>&lt;li&gt;AA_RaptorShrimp&lt;/li&gt;</t>
  </si>
  <si>
    <t>Ravager</t>
  </si>
  <si>
    <t>&lt;li&gt;AA_Ravager&lt;/li&gt;</t>
  </si>
  <si>
    <t>RayHound</t>
  </si>
  <si>
    <t>&lt;li&gt;AA_RayHound&lt;/li&gt;</t>
  </si>
  <si>
    <t>Razorjack</t>
  </si>
  <si>
    <t>&lt;li&gt;AA_Razorjack&lt;/li&gt;</t>
  </si>
  <si>
    <t>RedGoo</t>
  </si>
  <si>
    <t>&lt;li&gt;AA_RedGoo&lt;/li&gt;</t>
  </si>
  <si>
    <t>RedSpore</t>
  </si>
  <si>
    <t>&lt;li&gt;AA_RedSpore&lt;/li&gt;</t>
  </si>
  <si>
    <t>RipperHound</t>
  </si>
  <si>
    <t>&lt;li&gt;AA_RipperHound&lt;/li&gt;</t>
  </si>
  <si>
    <t>RoughPlatedMonitor</t>
  </si>
  <si>
    <t>&lt;li&gt;AA_RoughPlatedMonitor&lt;/li&gt;</t>
  </si>
  <si>
    <t>RoyalAve</t>
  </si>
  <si>
    <t>&lt;li&gt;AA_RoyalAve&lt;/li&gt;</t>
  </si>
  <si>
    <t>SandLion</t>
  </si>
  <si>
    <t>&lt;li&gt;AA_SandLion&lt;/li&gt;</t>
  </si>
  <si>
    <t>SandProwler</t>
  </si>
  <si>
    <t>&lt;li&gt;AA_SandProwler&lt;/li&gt;</t>
  </si>
  <si>
    <t>SandSquid</t>
  </si>
  <si>
    <t>&lt;li&gt;AA_SandSquid&lt;/li&gt;</t>
  </si>
  <si>
    <t>ShadowCharger</t>
  </si>
  <si>
    <t>&lt;li&gt;AA_ShadowCharger&lt;/li&gt;</t>
  </si>
  <si>
    <t>ShockGoat</t>
  </si>
  <si>
    <t>&lt;li&gt;AA_ShockGoat&lt;/li&gt;</t>
  </si>
  <si>
    <t>Skiphound</t>
  </si>
  <si>
    <t>&lt;li&gt;AA_Skiphound&lt;/li&gt;</t>
  </si>
  <si>
    <t>Skyeel</t>
  </si>
  <si>
    <t>&lt;li&gt;AA_Skyeel&lt;/li&gt;</t>
  </si>
  <si>
    <t>Slurrypede</t>
  </si>
  <si>
    <t>&lt;li&gt;AA_Slurrypede&lt;/li&gt;</t>
  </si>
  <si>
    <t>SpinedGow</t>
  </si>
  <si>
    <t>&lt;li&gt;AA_SpinedGow&lt;/li&gt;</t>
  </si>
  <si>
    <t>SummitCrab</t>
  </si>
  <si>
    <t>&lt;li&gt;AA_SummitCrab&lt;/li&gt;</t>
  </si>
  <si>
    <t>Swarmling</t>
  </si>
  <si>
    <t>&lt;li&gt;AA_Swarmling&lt;/li&gt;</t>
  </si>
  <si>
    <t>TarGuzzler</t>
  </si>
  <si>
    <t>&lt;li&gt;AA_TarGuzzler&lt;/li&gt;</t>
  </si>
  <si>
    <t>TeratogenicOriginator</t>
  </si>
  <si>
    <t>&lt;li&gt;AA_TeratogenicOriginator&lt;/li&gt;</t>
  </si>
  <si>
    <t>Terramorph</t>
  </si>
  <si>
    <t>&lt;li&gt;AA_Terramorph&lt;/li&gt;</t>
  </si>
  <si>
    <t>TetraSlug</t>
  </si>
  <si>
    <t>&lt;li&gt;AA_TetraSlug&lt;/li&gt;</t>
  </si>
  <si>
    <t>Thermadon</t>
  </si>
  <si>
    <t>&lt;li&gt;AA_Thermadon&lt;/li&gt;</t>
  </si>
  <si>
    <t>Thunderbeast</t>
  </si>
  <si>
    <t>&lt;li&gt;AA_Thunderbeast&lt;/li&gt;</t>
  </si>
  <si>
    <t>Thunderox</t>
  </si>
  <si>
    <t>&lt;li&gt;AA_Thunderox&lt;/li&gt;</t>
  </si>
  <si>
    <t>UnblinkingEye</t>
  </si>
  <si>
    <t>&lt;li&gt;AA_UnblinkingEye&lt;/li&gt;</t>
  </si>
  <si>
    <t>Wildpawn</t>
  </si>
  <si>
    <t>&lt;li&gt;AA_Wildpawn&lt;/li&gt;</t>
  </si>
  <si>
    <t>Wildpod</t>
  </si>
  <si>
    <t>&lt;li&gt;AA_Wildpod&lt;/li&gt;</t>
  </si>
  <si>
    <t>WindBeast</t>
  </si>
  <si>
    <t>&lt;li&gt;AA_WindBeast&lt;/li&gt;</t>
  </si>
  <si>
    <t>Pterodyna aeria</t>
  </si>
  <si>
    <t>Pterodyna aeria (colossal)</t>
  </si>
  <si>
    <t>Pterodyna aeria (infected)</t>
  </si>
  <si>
    <t>Angelis luminata</t>
  </si>
  <si>
    <t>Angelis luminata (larva)</t>
  </si>
  <si>
    <t>Colossus animae</t>
  </si>
  <si>
    <t>Panthera glacialis</t>
  </si>
  <si>
    <t>Speculum vividum</t>
  </si>
  <si>
    <t>Speculum vividum (larva)</t>
  </si>
  <si>
    <t>Sylphalis borealis</t>
  </si>
  <si>
    <t>Echidna projectilis</t>
  </si>
  <si>
    <t>Cimex titanus</t>
  </si>
  <si>
    <t>Caridea sanguinea</t>
  </si>
  <si>
    <t>Bombus militaris</t>
  </si>
  <si>
    <t>Bombus militaris (hierophant)</t>
  </si>
  <si>
    <t>Bombus militaris (queen)</t>
  </si>
  <si>
    <t>Hystrix succulentis</t>
  </si>
  <si>
    <t>Bos chamaeleon</t>
  </si>
  <si>
    <t>Formica chemurgica</t>
  </si>
  <si>
    <t>Coleoptera crepusculi</t>
  </si>
  <si>
    <t>Anolis audiens</t>
  </si>
  <si>
    <t>Caracal crystallinus</t>
  </si>
  <si>
    <t>Acarus crystallis</t>
  </si>
  <si>
    <t>Vandalis tenebrosus</t>
  </si>
  <si>
    <t>Draco putrefactus</t>
  </si>
  <si>
    <t>Avis desertum</t>
  </si>
  <si>
    <t>Ovis malignus</t>
  </si>
  <si>
    <t>Haemophagus infinitus</t>
  </si>
  <si>
    <t>Haemophagus infinitus (larva)</t>
  </si>
  <si>
    <t>Rattus nocturnus</t>
  </si>
  <si>
    <t>Papilio imperatrix</t>
  </si>
  <si>
    <t>Papilio imperatrix (larva)</t>
  </si>
  <si>
    <t>Tentaculabomination gorga</t>
  </si>
  <si>
    <t>Erin similis</t>
  </si>
  <si>
    <t>Oculus viventis</t>
  </si>
  <si>
    <t>Vespa incendium</t>
  </si>
  <si>
    <t>Mus fissilis</t>
  </si>
  <si>
    <t>Mus fissilis (second form)</t>
  </si>
  <si>
    <t>Mus fissilis (third form)</t>
  </si>
  <si>
    <t>Phoenicopterus phoenix</t>
  </si>
  <si>
    <t>Avis glacialis</t>
  </si>
  <si>
    <t>Glaciulus parvus</t>
  </si>
  <si>
    <t>Acarus glacialis</t>
  </si>
  <si>
    <t>Mycodermis tegumentum</t>
  </si>
  <si>
    <t>Gallus titanicus</t>
  </si>
  <si>
    <t>Gallus titanicus (moribund)</t>
  </si>
  <si>
    <t>Antilope giganteus</t>
  </si>
  <si>
    <t>Devourer maximus</t>
  </si>
  <si>
    <t>Protofluidum viride</t>
  </si>
  <si>
    <t>Canis terrestris</t>
  </si>
  <si>
    <t>Helix giganteus</t>
  </si>
  <si>
    <t>Coleoptera ferrum</t>
  </si>
  <si>
    <t>Gnathus ferox</t>
  </si>
  <si>
    <t>Coleoptera lucifer</t>
  </si>
  <si>
    <t>Vermes mammuthus</t>
  </si>
  <si>
    <t>Mantis carnifera</t>
  </si>
  <si>
    <t>Carnis putridus (mature)</t>
  </si>
  <si>
    <t>Avis prata</t>
  </si>
  <si>
    <t>Pediculus giganteus</t>
  </si>
  <si>
    <t>Metallophagus xenus</t>
  </si>
  <si>
    <t>Mimo sapientis</t>
  </si>
  <si>
    <t>Murka sapiens</t>
  </si>
  <si>
    <t>Colossus mycoides</t>
  </si>
  <si>
    <t>Echinopsios fixus</t>
  </si>
  <si>
    <t>Echinopsios volans</t>
  </si>
  <si>
    <t>Avis nocturnus</t>
  </si>
  <si>
    <t>Gelatinous oculi</t>
  </si>
  <si>
    <t>Noctiluca oculatus</t>
  </si>
  <si>
    <t>Colossus herbosus</t>
  </si>
  <si>
    <t>Velociraptor nobilis</t>
  </si>
  <si>
    <t>Plasmodium morphicus</t>
  </si>
  <si>
    <t>Bos radiatus</t>
  </si>
  <si>
    <t>Caridea raptrix</t>
  </si>
  <si>
    <t>Devastator rapax</t>
  </si>
  <si>
    <t>Jaculus acutis</t>
  </si>
  <si>
    <t>Protofluidum rubrum</t>
  </si>
  <si>
    <t>Sporus ruber</t>
  </si>
  <si>
    <t>Canis lacerator</t>
  </si>
  <si>
    <t>Avis regalis</t>
  </si>
  <si>
    <t>Panthera arenae</t>
  </si>
  <si>
    <t>Loligo arenae</t>
  </si>
  <si>
    <t>Capra electronica</t>
  </si>
  <si>
    <t>Canis saltator</t>
  </si>
  <si>
    <t>Anguilla coelestis</t>
  </si>
  <si>
    <t>Vermis collectivus</t>
  </si>
  <si>
    <t>Petrovorax asphaltus</t>
  </si>
  <si>
    <t>Teratomor primordius</t>
  </si>
  <si>
    <t>Terramorpha mutabilis</t>
  </si>
  <si>
    <t>Limax tetrapodium</t>
  </si>
  <si>
    <t>Thermophis titan</t>
  </si>
  <si>
    <t>Bestia tonitrus</t>
  </si>
  <si>
    <t>Oculus immortalis</t>
  </si>
  <si>
    <t>Bestia ventus</t>
  </si>
  <si>
    <t>Arms</t>
  </si>
  <si>
    <t>Jellyfish</t>
  </si>
  <si>
    <t>tentacles</t>
  </si>
  <si>
    <t>Atypical reproduction</t>
  </si>
  <si>
    <t>Araneodraco ferus</t>
  </si>
  <si>
    <t>Araneodraco glacialis</t>
  </si>
  <si>
    <t>Araneodraco glacialis (clutch mother)</t>
  </si>
  <si>
    <t>Araneodraco ignis</t>
  </si>
  <si>
    <t>Araneodraco arenosus</t>
  </si>
  <si>
    <t>Araneodraco arenosus (clutch mother)</t>
  </si>
  <si>
    <t>Araneodraco ferus (clutch mother)</t>
  </si>
  <si>
    <t>Araneodraco sylvanus</t>
  </si>
  <si>
    <t>Butterfly</t>
  </si>
  <si>
    <t>Slug</t>
  </si>
  <si>
    <t>MycoticCreature</t>
  </si>
  <si>
    <t>Leather_Chitin</t>
  </si>
  <si>
    <t>Bear</t>
  </si>
  <si>
    <t>Snake (THREE HEADS)</t>
  </si>
  <si>
    <t>Snake (VENOM)</t>
  </si>
  <si>
    <t>GroundSloth</t>
  </si>
  <si>
    <t>Ruminant (ANTLERS, TWO HEADS)</t>
  </si>
  <si>
    <t>Ruminant (ANTLERS)</t>
  </si>
  <si>
    <t>Ruminant (HORNS, GENTLE)</t>
  </si>
  <si>
    <t>Ruminant (HORNS, TWO HEADS)</t>
  </si>
  <si>
    <t>Ruminant (HORNS)</t>
  </si>
  <si>
    <t>Rodent (SCAVENGER)</t>
  </si>
  <si>
    <t>Rodent (TAILLESS)</t>
  </si>
  <si>
    <t>Rodent (TAILLESS, AQUATIC)</t>
  </si>
  <si>
    <t>Pinniped (TUSKS)</t>
  </si>
  <si>
    <t>Pig (TUSKS)</t>
  </si>
  <si>
    <t>Hippopotamus</t>
  </si>
  <si>
    <t>Mustelid (SCAVENGER)</t>
  </si>
  <si>
    <t>Mustelid (AQUATIC)</t>
  </si>
  <si>
    <t>Horse (WILD)</t>
  </si>
  <si>
    <t>Mustelid (NON-AQUATIC PISCIVORE)</t>
  </si>
  <si>
    <t>Scorpion</t>
  </si>
  <si>
    <t>Scorpion (WASTE)</t>
  </si>
  <si>
    <t>Bird (SCAVENGER)</t>
  </si>
  <si>
    <t>Bird (AGRESSIVE)</t>
  </si>
  <si>
    <t>Bird (WATER)</t>
  </si>
  <si>
    <t>Bird (STRONG BEAK)</t>
  </si>
  <si>
    <t>Bird (STRONG BEAK, SMART)</t>
  </si>
  <si>
    <t>Beetle (CLAWS)</t>
  </si>
  <si>
    <t>Beetle (LARVA)</t>
  </si>
  <si>
    <t>Bird (STRONG BEAK, SMART, SCAVENGER)</t>
  </si>
  <si>
    <t>AA_ArcticLion_Leather</t>
  </si>
  <si>
    <t>AA_SandLion_Leather</t>
  </si>
  <si>
    <t>isVeryFertile</t>
  </si>
  <si>
    <t>Arachnid</t>
  </si>
  <si>
    <t>FrontLeftPaw, FrontRightPaw</t>
  </si>
  <si>
    <t>AA_AlphaBaseInsect</t>
  </si>
  <si>
    <t>BaseInsect2</t>
  </si>
  <si>
    <t>Beetle (PARALYSIS)</t>
  </si>
  <si>
    <t>AA_ParalysingBite</t>
  </si>
  <si>
    <t>left dragonclaw, right dragonclaw</t>
  </si>
  <si>
    <t>AA_Leather_Behemoth</t>
  </si>
  <si>
    <t>Beetle (QUEEN)</t>
  </si>
  <si>
    <t>Arthrocolossus behemoth</t>
  </si>
  <si>
    <t>ArmoredWorm</t>
  </si>
  <si>
    <t>GiantHexapodReptile</t>
  </si>
  <si>
    <t>Englund et al. (2020) https://kmkjournals.com/upload/PDF/RJT/19/ther19_1_071-078.pdf</t>
  </si>
  <si>
    <t>Dapletosuchus</t>
  </si>
  <si>
    <t>Daspletosuchus ferox</t>
  </si>
  <si>
    <t>&lt;li&gt;Daspletosuchus&lt;/li&gt;</t>
  </si>
  <si>
    <t>Leather_Photonozoa</t>
  </si>
  <si>
    <t>Talpobaena</t>
  </si>
  <si>
    <t>Talpobaena armata</t>
  </si>
  <si>
    <t>&lt;li&gt;Talpobaena&lt;/li&gt;</t>
  </si>
  <si>
    <t>Daspletosuchus (PHOTONOZOA)</t>
  </si>
  <si>
    <t>Carnophagus (PHOTONOZOA)</t>
  </si>
  <si>
    <t>Xenotaurus (PHOTONOZOA)</t>
  </si>
  <si>
    <t>Predatory larva (PHOTONOZOA)</t>
  </si>
  <si>
    <t>Armored larva (PHOTONOZOA)</t>
  </si>
  <si>
    <t>Leather_RaptorPlates</t>
  </si>
  <si>
    <t>MantisSnake</t>
  </si>
  <si>
    <t>left blade, right blade</t>
  </si>
  <si>
    <t>AA_RegenerativePierce</t>
  </si>
  <si>
    <t>MantisSnake (VAMPIRE)</t>
  </si>
  <si>
    <t>BoulderCrab</t>
  </si>
  <si>
    <t>Wasp</t>
  </si>
  <si>
    <t>Leather_Cactus</t>
  </si>
  <si>
    <t>Leather_Night</t>
  </si>
  <si>
    <t>Liquor</t>
  </si>
  <si>
    <t>Ruminant  (BLUNT HORNS)</t>
  </si>
  <si>
    <t>ninetails</t>
  </si>
  <si>
    <t>Stab</t>
  </si>
  <si>
    <t>TeethedGoo</t>
  </si>
  <si>
    <t>Euphractus sexcinctus</t>
  </si>
  <si>
    <t>https://genomics.senescence.info/species/entry.php?species=Euphractus_sexcinctus</t>
  </si>
  <si>
    <t>3~6</t>
  </si>
  <si>
    <t>VAEWaste_ToxicLeather</t>
  </si>
  <si>
    <t>eye</t>
  </si>
  <si>
    <t>https://genomics.senescence.info/species/entry.php?species=Mus_musculus</t>
  </si>
  <si>
    <t>AA_FungalClaws</t>
  </si>
  <si>
    <t>Human</t>
  </si>
  <si>
    <t>OmnivoreHuman</t>
  </si>
  <si>
    <t>2~3</t>
  </si>
  <si>
    <t>Crocodile (LOCKJAW)</t>
  </si>
  <si>
    <t>AA_LockJawDamage</t>
  </si>
  <si>
    <t>AlphaBeast</t>
  </si>
  <si>
    <t>QuadrupedAnimalWithPawsAndHorn</t>
  </si>
  <si>
    <t>Gallatros</t>
  </si>
  <si>
    <t>Beetle (ROAMER)</t>
  </si>
  <si>
    <t>Leather_BlackChitin</t>
  </si>
  <si>
    <t>AA_Acid</t>
  </si>
  <si>
    <t>razor barbs</t>
  </si>
  <si>
    <t>AA_Mouth</t>
  </si>
  <si>
    <t>mouth</t>
  </si>
  <si>
    <t>Beetle (CLAWS, ARMORED)</t>
  </si>
  <si>
    <t>Beetle (ARMORED)</t>
  </si>
  <si>
    <t>Beetle (ROAMER, ARMORED)</t>
  </si>
  <si>
    <t>Human (MIME)</t>
  </si>
  <si>
    <t>Human (MYCOTICHUSK)</t>
  </si>
  <si>
    <t>FO_PlaguedBite</t>
  </si>
  <si>
    <t>FlyingEye</t>
  </si>
  <si>
    <t>SnakeWithTwoLimbs</t>
  </si>
  <si>
    <t>Goo</t>
  </si>
  <si>
    <t>QuadrupedAnimalWithHoovesTailAndHorn</t>
  </si>
  <si>
    <t>&lt;li&gt;Human&lt;/li&gt;</t>
  </si>
  <si>
    <t>Theropod</t>
  </si>
  <si>
    <t>Doglike (HYENA)</t>
  </si>
  <si>
    <t>Doglike (CANID)</t>
  </si>
  <si>
    <t>Catlike</t>
  </si>
  <si>
    <t>Catlike (PISCIVORE)</t>
  </si>
  <si>
    <t>Camellike (LLAMA)</t>
  </si>
  <si>
    <t>Camellike (CAMEL)</t>
  </si>
  <si>
    <t>Catlike (FLU)</t>
  </si>
  <si>
    <t>Mycopion ferus</t>
  </si>
  <si>
    <t>Mycopion sylvestris</t>
  </si>
  <si>
    <t>Mycopodium sylvestris</t>
  </si>
  <si>
    <t>Mycopodium ferus</t>
  </si>
  <si>
    <t>Megacancer montanus</t>
  </si>
  <si>
    <t>Megacancer lapidus</t>
  </si>
  <si>
    <t>Vulpes animalis</t>
  </si>
  <si>
    <t>Megacancer petreus</t>
  </si>
  <si>
    <t>Araneodraco animalis</t>
  </si>
  <si>
    <t>Genix frostis</t>
  </si>
  <si>
    <t>Genix ferox</t>
  </si>
  <si>
    <t>Feliscopus phoenix</t>
  </si>
  <si>
    <t>Bestia nigra</t>
  </si>
  <si>
    <t>Carcharofelis arenae</t>
  </si>
  <si>
    <t>Titanocoleus niger</t>
  </si>
  <si>
    <t>Cryptomorphus niger</t>
  </si>
  <si>
    <t>Gigarachne niger</t>
  </si>
  <si>
    <t>Bombos vivificalis</t>
  </si>
  <si>
    <t>AA_InfectedClaws</t>
  </si>
  <si>
    <t>arms</t>
  </si>
  <si>
    <t>SporeLayer</t>
  </si>
  <si>
    <t>Silkie coronatus</t>
  </si>
  <si>
    <t>Crepiscuovis nocturnus</t>
  </si>
  <si>
    <t>Crepiscuovis umbrosus</t>
  </si>
  <si>
    <t>Crepisculanius crepusculum</t>
  </si>
  <si>
    <t>Noctiluca ferox</t>
  </si>
  <si>
    <t>Behemoth giganteus</t>
  </si>
  <si>
    <t>Varanus squamosus</t>
  </si>
  <si>
    <t>Lizard (IGUANA)</t>
  </si>
  <si>
    <t>Lizard (MONITOR)</t>
  </si>
  <si>
    <t>Salvator electronis</t>
  </si>
  <si>
    <t>Ovis griseus</t>
  </si>
  <si>
    <t>Caprabos aculeus</t>
  </si>
  <si>
    <t>Technoscolopendra mucosa</t>
  </si>
  <si>
    <t>Crepiscuequs nocturnalis</t>
  </si>
  <si>
    <t>Crepiscubos tonitrus</t>
  </si>
  <si>
    <t>AA_Electric</t>
  </si>
  <si>
    <t>Slug (TRAINABLE)</t>
  </si>
  <si>
    <t>Snake (SMART, ELECTRIC)</t>
  </si>
  <si>
    <t>Beetle (CLAWS, SWARMLING)</t>
  </si>
  <si>
    <t>AA_SwarmlingClaws</t>
  </si>
  <si>
    <t>LandSquid</t>
  </si>
  <si>
    <t>LandJellyfish</t>
  </si>
  <si>
    <t>MechaWorm</t>
  </si>
  <si>
    <t>Doglike (RIPPER)</t>
  </si>
  <si>
    <t>shoulder claw</t>
  </si>
  <si>
    <t>AA_SentientPlant</t>
  </si>
  <si>
    <t>SentientPlant</t>
  </si>
  <si>
    <t>MechanicalCentipede</t>
  </si>
  <si>
    <t>GooWithTeethBody</t>
  </si>
  <si>
    <t>GooBody</t>
  </si>
  <si>
    <t>CephalopodBiped</t>
  </si>
  <si>
    <t>Fleshbeast</t>
  </si>
  <si>
    <t>SentientPlant (ACID)</t>
  </si>
  <si>
    <t>Hexapod</t>
  </si>
  <si>
    <t>AA_EyeBody</t>
  </si>
  <si>
    <t>Leather_Gallatross</t>
  </si>
  <si>
    <t>Zoology_Beastmastery</t>
  </si>
  <si>
    <t>Forage, Dig, Zoology_Beastmastery</t>
  </si>
  <si>
    <t>Dig, Forage, Zoology_Beastmastery</t>
  </si>
  <si>
    <t>Catlike (NINE TAILS)</t>
  </si>
  <si>
    <t>Drake (SMALL)</t>
  </si>
  <si>
    <t>Drake (HUGE)</t>
  </si>
  <si>
    <t>Doglike (SCAVENGER, PLAGUE)</t>
  </si>
  <si>
    <t>Doglike (CLAWED, INFECTED)</t>
  </si>
  <si>
    <t>Ruminant (HORNS, TAIL)</t>
  </si>
  <si>
    <t>Marsupial (HERBIVOROUS)</t>
  </si>
  <si>
    <t>Marsupial (HERBIVOROUS, HOPPER)</t>
  </si>
  <si>
    <t>Lizard (MONITOR, SCAVENGER)</t>
  </si>
  <si>
    <t>TyrannosaurusRex</t>
  </si>
  <si>
    <t>Tyrannosaurus rex</t>
  </si>
  <si>
    <t>https://peerj.com/articles/20469/</t>
  </si>
  <si>
    <t>Leather_Tyrannosaurus</t>
  </si>
  <si>
    <t>&lt;li&gt;TyrannosaurusRex&lt;/li&gt;</t>
  </si>
  <si>
    <t>spincrus.dinosauria</t>
  </si>
  <si>
    <t>Yutyrannus</t>
  </si>
  <si>
    <t>Yutyrannus huali</t>
  </si>
  <si>
    <t>https://web.archive.org/web/20120417134949/http://www.xinglida.net/pdf/Xu_et_al_2012_Yutyrannus.pdf</t>
  </si>
  <si>
    <t>Leather_Bluefuzz</t>
  </si>
  <si>
    <t>&lt;li&gt;Yutyrannus&lt;/li&gt;</t>
  </si>
  <si>
    <t>Carnotaurus</t>
  </si>
  <si>
    <t>Carnotaurus sastrei</t>
  </si>
  <si>
    <t>https://sciencepress.mnhn.fr/fr/periodiques/comptes-rendus-palevol/18/fasc8/novel-information-endocranial-morphology-abelisaurid-theropod-carnotaurus-sastrei</t>
  </si>
  <si>
    <t>https://www.dinochecker.com/papers/paleobiology_of_carnotaurus_MAZZETTA_et_al_1998.pdf</t>
  </si>
  <si>
    <t>&lt;li&gt;Carnotaurus&lt;/li&gt;</t>
  </si>
  <si>
    <t>Leather_Redhide</t>
  </si>
  <si>
    <t>Allosaurus</t>
  </si>
  <si>
    <t>Allosaurus fragilis</t>
  </si>
  <si>
    <t>&lt;li&gt;Allosaurus&lt;/li&gt;</t>
  </si>
  <si>
    <t>Leather_Theropod</t>
  </si>
  <si>
    <t>Theropod (CLAWED)</t>
  </si>
  <si>
    <t>https://www.nature.com/articles/srep19554</t>
  </si>
  <si>
    <t>Spinosaurus</t>
  </si>
  <si>
    <t>Spinosaurus aegyptiacus</t>
  </si>
  <si>
    <t>https://elifesciences.org/articles/80092</t>
  </si>
  <si>
    <t>Leather_Spinosaurus</t>
  </si>
  <si>
    <t>Baryonyx</t>
  </si>
  <si>
    <t>Baryonyx walkeri</t>
  </si>
  <si>
    <t>https://pmc.ncbi.nlm.nih.gov/articles/PMC10184548</t>
  </si>
  <si>
    <t>Ankylosaurus</t>
  </si>
  <si>
    <t>Ankylosaurus magniventris</t>
  </si>
  <si>
    <t>https://doi.org/10.1139%2Ffacets-2017-0063</t>
  </si>
  <si>
    <t>Ankylosaurid</t>
  </si>
  <si>
    <t>TailAttackTool</t>
  </si>
  <si>
    <t>tail</t>
  </si>
  <si>
    <t>Thyreophorae</t>
  </si>
  <si>
    <t>Leather_ArmoredDino</t>
  </si>
  <si>
    <t>Theropod (CLAWED, PISCIVORE)</t>
  </si>
  <si>
    <t>&lt;li&gt;Ankylosaurus&lt;/li&gt;</t>
  </si>
  <si>
    <t>Minmi paravertebra</t>
  </si>
  <si>
    <t>Minmi</t>
  </si>
  <si>
    <t>Brachiosaurus</t>
  </si>
  <si>
    <t>Sauropod</t>
  </si>
  <si>
    <t>left leg, right leg</t>
  </si>
  <si>
    <t>Brontosaurus</t>
  </si>
  <si>
    <t>Leather_Sauropod</t>
  </si>
  <si>
    <t>Sauropod (LONG)</t>
  </si>
  <si>
    <t>Diplodocus</t>
  </si>
  <si>
    <t>Diplodocus longus</t>
  </si>
  <si>
    <t>Magyarosaurus</t>
  </si>
  <si>
    <t>Magyarosaurus transsylvanicus</t>
  </si>
  <si>
    <t>https://www.tandfonline.com/doi/full/10.1080/14772019.2024.2441516</t>
  </si>
  <si>
    <t>Utahraptor</t>
  </si>
  <si>
    <t>https://www.academia.edu/144095610/Mass_estimate_of_Utahraptor_ostrommaysi_based_on_graphic_double_integration_GDI</t>
  </si>
  <si>
    <t>Utahraptor ostrommaysi</t>
  </si>
  <si>
    <t>Leather_Raptor</t>
  </si>
  <si>
    <t>Dakotaraptor</t>
  </si>
  <si>
    <t>Dilophosaurus</t>
  </si>
  <si>
    <t>Dilophosaurus wetherilli</t>
  </si>
  <si>
    <t>Dakotaraptor steini</t>
  </si>
  <si>
    <t>https://archive.org/details/predatorydinosau00paul/page/258</t>
  </si>
  <si>
    <t>Velociraptor</t>
  </si>
  <si>
    <t>Velociraptor mongoliensis</t>
  </si>
  <si>
    <t>https://besjournals.onlinelibrary.wiley.com/doi/10.1111/2041-210X.12226</t>
  </si>
  <si>
    <t>https://pmc.ncbi.nlm.nih.gov/articles/PMC2279215/</t>
  </si>
  <si>
    <t>https://www.nature.com/articles/s41598-025-32536-3</t>
  </si>
  <si>
    <t>Theropod (RAPTOR)</t>
  </si>
  <si>
    <t xml:space="preserve">Compsognathus </t>
  </si>
  <si>
    <t xml:space="preserve">Compsognathus longipes </t>
  </si>
  <si>
    <t>https://dinoweb.ucoz.ru/_fr/4/A_new_method_to.pdf</t>
  </si>
  <si>
    <t>https://www.science.org/doi/10.1126/sciadv.abi7348</t>
  </si>
  <si>
    <t>Leather_DinosaurSkin</t>
  </si>
  <si>
    <t>Gallimimus</t>
  </si>
  <si>
    <t>Gallimimus bullatus</t>
  </si>
  <si>
    <t>Gigantoraptor</t>
  </si>
  <si>
    <t>Gigantoraptor erlianensis</t>
  </si>
  <si>
    <t>Leather_DinosaurHide</t>
  </si>
  <si>
    <t>Iguanodon</t>
  </si>
  <si>
    <t>Iguanodon bernissartensis</t>
  </si>
  <si>
    <t>Parasaur</t>
  </si>
  <si>
    <t>Corythosaurus</t>
  </si>
  <si>
    <t>Deinocheirus</t>
  </si>
  <si>
    <t>Therizinosaurus</t>
  </si>
  <si>
    <t>Pachycephalosaurus</t>
  </si>
  <si>
    <t>Stygimoloch</t>
  </si>
  <si>
    <t>Dryosaurus</t>
  </si>
  <si>
    <t>Stegosaurus</t>
  </si>
  <si>
    <t>Protoceratops</t>
  </si>
  <si>
    <t>Quetzalcoatlus</t>
  </si>
  <si>
    <t>Pteranodon</t>
  </si>
  <si>
    <t>Triceratops</t>
  </si>
  <si>
    <t>Parasaurolophus walkeri</t>
  </si>
  <si>
    <t>Corythosaurus casuarius</t>
  </si>
  <si>
    <t>Deinocheirus mirificus</t>
  </si>
  <si>
    <t>Therizinosaurus cheloniformis</t>
  </si>
  <si>
    <t>Pachycephalosaurus wyomingensis</t>
  </si>
  <si>
    <t>Stygimoloch spinifer</t>
  </si>
  <si>
    <t>Dryosaurus altus</t>
  </si>
  <si>
    <t>Stegosaurus stenops</t>
  </si>
  <si>
    <t>Protoceratops andrewsi</t>
  </si>
  <si>
    <t>Triceratops horridus</t>
  </si>
  <si>
    <t>Quetzalcoatlus northropi</t>
  </si>
  <si>
    <t>Pteranodon longiceps</t>
  </si>
  <si>
    <t>Ceratopsid</t>
  </si>
  <si>
    <t>Ceratops</t>
  </si>
  <si>
    <t>Hadrosaurid</t>
  </si>
  <si>
    <t>Hadrosaurid (AGGRESSIVE)</t>
  </si>
  <si>
    <t>https://www.researchgate.net/publication/313795694_A_new_method_to_calculate_allometric_length-mass_relationships_of_dinosaurs</t>
  </si>
  <si>
    <t>https://royalsocietypublishing.org/rsbl/article-split/17/1/20200689/62834/How-far-might-plant-eating-dinosaurs-have-moved?</t>
  </si>
  <si>
    <t>https://pmc.ncbi.nlm.nih.gov/articles/PMC4011683</t>
  </si>
  <si>
    <t>https://en.namu.wiki/w/%EC%8A%A4%ED%8B%B0%EA%B8%B0%EB%AA%B0%EB%A1%9C%ED%81%AC</t>
  </si>
  <si>
    <t>https://anatomypubs.onlinelibrary.wiley.com/doi/10.1002/ar.25024</t>
  </si>
  <si>
    <t>https://onlinelibrary.wiley.com/doi/10.1111/brv.12638</t>
  </si>
  <si>
    <t>https://www.researchgate.net/publication/249023824_Pterosaur_Body_Mass_Estimates_from_Three-Dimensional_Mathematical_Slicing</t>
  </si>
  <si>
    <t>Pachycephalosaurid</t>
  </si>
  <si>
    <t>head</t>
  </si>
  <si>
    <t>Stegosaurid</t>
  </si>
  <si>
    <t>thagomizer</t>
  </si>
  <si>
    <t>Leather_DinosaurFuzz</t>
  </si>
  <si>
    <t>Leather_PterosaurSkin</t>
  </si>
  <si>
    <t>Horn/Tusk/Misc attack interval</t>
  </si>
  <si>
    <t>Horn/Tusk/Misc attack linkedBodyPartsGroup</t>
  </si>
  <si>
    <t>Horn/Tusk/Misc attack type</t>
  </si>
  <si>
    <t>Horn/Tusk/Misc attack label</t>
  </si>
  <si>
    <t>Horn/Tusk/Misc attack capacities</t>
  </si>
  <si>
    <t>https://pdodds.w3.uvm.edu/research/papers/others/2017/hirt2017a.pdf</t>
  </si>
  <si>
    <t>https://zaguan.unizar.es/record/150693/files/texto_completo.pdf</t>
  </si>
  <si>
    <t>https://www.uv.es/pardomv/pe/2008_1/140/140.pdf</t>
  </si>
  <si>
    <t>https://pmc.ncbi.nlm.nih.gov/articles/PMC3807589</t>
  </si>
  <si>
    <t>https://doi.org/10.1002/jmor.10406</t>
  </si>
  <si>
    <t>https://journals.plos.org/plosone/article?id=10.1371%2Fjournal.pone.0067012#pone-0067012-t002</t>
  </si>
  <si>
    <t>left thumb spike, right thumb spike</t>
  </si>
  <si>
    <t>Theropod (CLAWED, TEETHLESS)</t>
  </si>
  <si>
    <t>&lt;li&gt;Minmi&lt;/li&gt;</t>
  </si>
  <si>
    <t>&lt;li&gt;Brachiosaurus&lt;/li&gt;</t>
  </si>
  <si>
    <t>&lt;li&gt;Brontosaurus&lt;/li&gt;</t>
  </si>
  <si>
    <t>&lt;li&gt;Diplodocus&lt;/li&gt;</t>
  </si>
  <si>
    <t>&lt;li&gt;Magyarosaurus&lt;/li&gt;</t>
  </si>
  <si>
    <t>&lt;li&gt;Utahraptor&lt;/li&gt;</t>
  </si>
  <si>
    <t>&lt;li&gt;Dakotaraptor&lt;/li&gt;</t>
  </si>
  <si>
    <t>&lt;li&gt;Dilophosaurus&lt;/li&gt;</t>
  </si>
  <si>
    <t>&lt;li&gt;Velociraptor&lt;/li&gt;</t>
  </si>
  <si>
    <t>&lt;li&gt;Compsognathus&lt;/li&gt;</t>
  </si>
  <si>
    <t>&lt;li&gt;Gallimimus&lt;/li&gt;</t>
  </si>
  <si>
    <t>&lt;li&gt;Gigantoraptor&lt;/li&gt;</t>
  </si>
  <si>
    <t>&lt;li&gt;Iguanodon&lt;/li&gt;</t>
  </si>
  <si>
    <t>&lt;li&gt;Parasaur&lt;/li&gt;</t>
  </si>
  <si>
    <t>&lt;li&gt;Corythosaurus&lt;/li&gt;</t>
  </si>
  <si>
    <t>&lt;li&gt;Deinocheirus&lt;/li&gt;</t>
  </si>
  <si>
    <t>&lt;li&gt;Therizinosaurus&lt;/li&gt;</t>
  </si>
  <si>
    <t>&lt;li&gt;Pachycephalosaurus&lt;/li&gt;</t>
  </si>
  <si>
    <t>&lt;li&gt;Stygimoloch&lt;/li&gt;</t>
  </si>
  <si>
    <t>&lt;li&gt;Dryosaurus&lt;/li&gt;</t>
  </si>
  <si>
    <t>&lt;li&gt;Stegosaurus&lt;/li&gt;</t>
  </si>
  <si>
    <t>&lt;li&gt;Protoceratops&lt;/li&gt;</t>
  </si>
  <si>
    <t>&lt;li&gt;Triceratops&lt;/li&gt;</t>
  </si>
  <si>
    <t>&lt;li&gt;Quetzalcoatlus&lt;/li&gt;</t>
  </si>
  <si>
    <t>&lt;li&gt;Pteranodon&lt;/li&gt;</t>
  </si>
  <si>
    <t>Pterosaur (MACROPREDATORY)</t>
  </si>
  <si>
    <t>Mustelid (NIGHTLING)</t>
  </si>
  <si>
    <t>FrontLeftSpur, FrontRightSpur</t>
  </si>
  <si>
    <t>&lt;li&gt;Spinosaurus&lt;/li&gt;</t>
  </si>
  <si>
    <t>&lt;li&gt;Baryonyx&lt;/li&gt;</t>
  </si>
  <si>
    <t>https://www.sciencedirect.com/science/article/abs/pii/S0195667110001205</t>
  </si>
  <si>
    <t>https://www.nature.com/articles/nature13874</t>
  </si>
  <si>
    <t>Theropod (TEETHLESS ROAMER)</t>
  </si>
  <si>
    <t>Ceratopsid (NO HORN)</t>
  </si>
  <si>
    <t>Pterosaur (PISCIVORE)</t>
  </si>
  <si>
    <t>Bird (AGRESSIVE, SMART)</t>
  </si>
  <si>
    <t>https://doi.org/10.1515/9780691202976-037</t>
  </si>
  <si>
    <t>Brontosaurus parvus</t>
  </si>
  <si>
    <t>https://www.miketaylor.org.uk/dino/pubs/taylor2009/Taylor2009-brachiosaurus-and-giraffatitan.pdf</t>
  </si>
  <si>
    <t>Giraffatitan brancai</t>
  </si>
  <si>
    <t>Arthropleura</t>
  </si>
  <si>
    <t>Doedicurus</t>
  </si>
  <si>
    <t>Daeodon</t>
  </si>
  <si>
    <t>Gigantopithecus</t>
  </si>
  <si>
    <t>Paraceratherium</t>
  </si>
  <si>
    <t>Titanis</t>
  </si>
  <si>
    <t>Titanoboa</t>
  </si>
  <si>
    <t>WoollyMammoth</t>
  </si>
  <si>
    <t>Elasmotherium</t>
  </si>
  <si>
    <t>Smilodon</t>
  </si>
  <si>
    <t>Chalicotherium</t>
  </si>
  <si>
    <t>Megaloceros</t>
  </si>
  <si>
    <t>Procoptodon</t>
  </si>
  <si>
    <t>Megalania</t>
  </si>
  <si>
    <t>Gomphotaria</t>
  </si>
  <si>
    <t>Diprotodon</t>
  </si>
  <si>
    <t>ShortfacedBear</t>
  </si>
  <si>
    <t>Dinocrocuta</t>
  </si>
  <si>
    <t>Sivatherium</t>
  </si>
  <si>
    <t>Andrewsarchus</t>
  </si>
  <si>
    <t>Dinornis</t>
  </si>
  <si>
    <t>Macrauchenia</t>
  </si>
  <si>
    <t>Quinkana</t>
  </si>
  <si>
    <t>Deinotherium</t>
  </si>
  <si>
    <t>Aurochs</t>
  </si>
  <si>
    <t>Megalochelys</t>
  </si>
  <si>
    <t>Palaeeudyptes</t>
  </si>
  <si>
    <t>Josephoartigasia</t>
  </si>
  <si>
    <t>Gigantophis</t>
  </si>
  <si>
    <t>Meganeura</t>
  </si>
  <si>
    <t>Zygolophodon</t>
  </si>
  <si>
    <t>Platybelodon</t>
  </si>
  <si>
    <t>Purussaurus</t>
  </si>
  <si>
    <t>Uintatherium</t>
  </si>
  <si>
    <t>Pulmonoscorpius</t>
  </si>
  <si>
    <t>Dinopithecus</t>
  </si>
  <si>
    <t>Castoroides</t>
  </si>
  <si>
    <t>Enhydriodon</t>
  </si>
  <si>
    <t>Bird (AGRESSIVE, SMART, PREDATOR)</t>
  </si>
  <si>
    <t>https://www.lyellcollection.org/doi/abs/10.1144/jgs2021-115</t>
  </si>
  <si>
    <t xml:space="preserve">Arthropleura armata </t>
  </si>
  <si>
    <t>https://web.archive.org/web/20150924094852/https://sbpbrasil.org/revista/edicoes/15_1/9_Soibelzon_et_al.pdf</t>
  </si>
  <si>
    <t>Doedicurus clavicaudatus</t>
  </si>
  <si>
    <t>ArmoredMammal (DOEDICURUS)</t>
  </si>
  <si>
    <t>QuadrupedAnimalWithPawsAndTailAttackTool</t>
  </si>
  <si>
    <t>https://doi.org/10.1017/S0094837300010198</t>
  </si>
  <si>
    <t>Daeodon shoshonensis</t>
  </si>
  <si>
    <t>Pig (CARNIVORE)</t>
  </si>
  <si>
    <t>https://doi.org/10.1002%2Fajpa.23150</t>
  </si>
  <si>
    <t>Gigantopithecus blacki</t>
  </si>
  <si>
    <t>Paraceratherium transouralicum</t>
  </si>
  <si>
    <t>Titanis walleri</t>
  </si>
  <si>
    <t>https://www.tandfonline.com/doi/pdf/10.1080/02724634.1995.10011266</t>
  </si>
  <si>
    <t>&lt;li&gt;Arthropleura&lt;/li&gt;</t>
  </si>
  <si>
    <t>&lt;li&gt;Doedicurus&lt;/li&gt;</t>
  </si>
  <si>
    <t>&lt;li&gt;Daeodon&lt;/li&gt;</t>
  </si>
  <si>
    <t>&lt;li&gt;Gigantopithecus&lt;/li&gt;</t>
  </si>
  <si>
    <t>&lt;li&gt;Paraceratherium&lt;/li&gt;</t>
  </si>
  <si>
    <t>&lt;li&gt;Titanis&lt;/li&gt;</t>
  </si>
  <si>
    <t>Spino.Megafauna</t>
  </si>
  <si>
    <t>Titanoboa cerrejonensis</t>
  </si>
  <si>
    <t>https://www.researchgate.net/publication/23980887</t>
  </si>
  <si>
    <t xml:space="preserve">Mammuthus primigenius </t>
  </si>
  <si>
    <t>Smilodon populator</t>
  </si>
  <si>
    <t>https://www.academia.edu/71432652/Body_size_ofSmilodon_Mammalia_Felidae_</t>
  </si>
  <si>
    <t>Mastodon turicensis</t>
  </si>
  <si>
    <t>Deinotherium proavum</t>
  </si>
  <si>
    <t>Purussaurus brasilensis</t>
  </si>
  <si>
    <t>https://journals.plos.org/plosone/article/comment?id=10.1371/annotation/017d2139-4395-40b2-95dc-aad651c0d625</t>
  </si>
  <si>
    <t>Varanus priscus</t>
  </si>
  <si>
    <t>ncbi.nlm.nih.gov/pmc/articles/PMC2690028/</t>
  </si>
  <si>
    <t>Arctodus simus</t>
  </si>
  <si>
    <t>https://pmc.ncbi.nlm.nih.gov/articles/instance/4743832/bin/pnas.1502554112.sapp.pdf</t>
  </si>
  <si>
    <t>Elasmotherium sibiricum</t>
  </si>
  <si>
    <t>https://ora.ox.ac.uk/objects/uuid:ae9eac15-c4a7-4adc-9ac2-ff3345b59489</t>
  </si>
  <si>
    <t>Chalicotherium goldfussi</t>
  </si>
  <si>
    <t>https://academic.oup.com/biolinnean/article/129/4/950/5727857?login=true</t>
  </si>
  <si>
    <t>Megaloceros giganteus</t>
  </si>
  <si>
    <t>https://web.archive.org/web/20131029193608/http://www.duluth.umn.edu/~rmoen/Dld/Moen_1999.pdf</t>
  </si>
  <si>
    <t>Procoptodon goliah</t>
  </si>
  <si>
    <t>https://pmc.ncbi.nlm.nih.gov/articles/PMC4198187/</t>
  </si>
  <si>
    <t>Gomphotaria pugnax</t>
  </si>
  <si>
    <t>Diprotodon optatum</t>
  </si>
  <si>
    <t>https://pubmed.ncbi.nlm.nih.gov/15101412/</t>
  </si>
  <si>
    <t>Marsupial (HERBIVOROUS, NO CLAWS)</t>
  </si>
  <si>
    <t>https://www.academia.edu/529387/Cranial_function_in_a_late_Miocene_Dinocrocuta_gigantea_Mammalia_Carnivora_revealed_by_comparative_finite_element_analysis</t>
  </si>
  <si>
    <t>Dinocrocuta gigantea</t>
  </si>
  <si>
    <t>Sivatherium giganteum</t>
  </si>
  <si>
    <t>https://pmc.ncbi.nlm.nih.gov/articles/PMC4785933/</t>
  </si>
  <si>
    <t>Andrewsarchus mongoliensis</t>
  </si>
  <si>
    <t>Macrauchenia patachonica</t>
  </si>
  <si>
    <t>linkinghub.elsevier.com/retrieve/pii/S0016699521000425</t>
  </si>
  <si>
    <t>Quinkana barbara</t>
  </si>
  <si>
    <t>https://doi.org/10.1111/j.1365-2028.1987.tb01113.x and https://www.researchgate.net/publication/265163781_Giant_terrestrial_reptilian_carnivores_of_Cenozoic_Australia</t>
  </si>
  <si>
    <t>Bos primigenius</t>
  </si>
  <si>
    <t>https://etheses.whiterose.ac.uk/id/eprint/34609/1/Chipping_Examined_Thesis.pdf</t>
  </si>
  <si>
    <t>Megalochelys atlas</t>
  </si>
  <si>
    <t>Brown, B. 1931. The Largest Known Land Tortoise. Nat. Hist. Vol. 31:184–187.</t>
  </si>
  <si>
    <t>Palaeeudyptes klekowskii</t>
  </si>
  <si>
    <t>https://doi.org/10.1016%2Fj.crpv.2014.03.008</t>
  </si>
  <si>
    <t>Josephoartigasia monesi</t>
  </si>
  <si>
    <t>ncbi.nlm.nih.gov/pmc/articles/PMC9198521</t>
  </si>
  <si>
    <t>Gigantophis garstini</t>
  </si>
  <si>
    <t>Meganeura monyi</t>
  </si>
  <si>
    <t>https://jeb.biologists.org/content/221/19/jeb185405</t>
  </si>
  <si>
    <t>Dragonfly</t>
  </si>
  <si>
    <t>Platybelodon danovi</t>
  </si>
  <si>
    <t>Larramendi, Asier; Ferretti, Marco P.; Hsu, Shu-yu (2026). Elephants and their fossil relatives: a 60 million year journey. Princeton: Princeton University Press.</t>
  </si>
  <si>
    <t>Uintatherium anceps</t>
  </si>
  <si>
    <t>https://archive.org/details/mammalianfaunaso47turn</t>
  </si>
  <si>
    <t>Pulmonoscorpius kirktonensis</t>
  </si>
  <si>
    <t>https://doi.org/10.1080%2F02724634.2011.550356</t>
  </si>
  <si>
    <t xml:space="preserve">Enhydriodon dikikae </t>
  </si>
  <si>
    <t>https://www.researchgate.net/publication/233439411_Body_Mass_in_Cercopithecidae_Primates_Mammalia_Estimation_and_Scaling_in_Extinct_and_Extant_Taxa</t>
  </si>
  <si>
    <t>Dinopithecus ingens</t>
  </si>
  <si>
    <t>Castoroides ohioensis</t>
  </si>
  <si>
    <t>https://books.google.com/books?id=HAGgwbjoeEwC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</si>
</sst>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4">
    <xf numFmtId="0" fontId="0" fillId="0" borderId="0"/>
    <xf numFmtId="0" fontId="6" fillId="2" borderId="2" applyNumberFormat="0" applyAlignment="0" applyProtection="0"/>
    <xf numFmtId="0" fontId="7" fillId="2" borderId="1" applyNumberFormat="0" applyAlignment="0" applyProtection="0"/>
    <xf numFmtId="0" fontId="8" fillId="3" borderId="3" applyNumberFormat="0" applyAlignment="0" applyProtection="0"/>
  </cellStyleXfs>
  <cellXfs count="51">
    <xf numFmtId="0" fontId="0" fillId="0" borderId="0" xfId="0"/>
    <xf numFmtId="0" fontId="7" fillId="2" borderId="1" xfId="2" applyAlignment="1"/>
    <xf numFmtId="0" fontId="7" fillId="2" borderId="1" xfId="2" applyAlignment="1">
      <alignment horizontal="right"/>
    </xf>
    <xf numFmtId="0" fontId="8" fillId="3" borderId="3" xfId="3" applyAlignment="1">
      <alignment horizontal="right"/>
    </xf>
    <xf numFmtId="0" fontId="6" fillId="2" borderId="2" xfId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2" fontId="6" fillId="2" borderId="2" xfId="1" applyNumberFormat="1" applyAlignment="1">
      <alignment horizontal="right"/>
    </xf>
    <xf numFmtId="2" fontId="7" fillId="2" borderId="1" xfId="2" applyNumberFormat="1" applyAlignment="1">
      <alignment horizontal="right"/>
    </xf>
    <xf numFmtId="1" fontId="7" fillId="2" borderId="1" xfId="2" applyNumberForma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5" fillId="0" borderId="0" xfId="0" applyFont="1"/>
    <xf numFmtId="165" fontId="8" fillId="3" borderId="3" xfId="3" applyNumberFormat="1" applyAlignment="1">
      <alignment horizontal="right"/>
    </xf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1"/>
    <xf numFmtId="2" fontId="7" fillId="2" borderId="1" xfId="2" applyNumberFormat="1" applyAlignment="1"/>
    <xf numFmtId="9" fontId="0" fillId="0" borderId="0" xfId="0" applyNumberFormat="1"/>
    <xf numFmtId="0" fontId="0" fillId="0" borderId="0" xfId="0" applyFill="1" applyBorder="1"/>
    <xf numFmtId="0" fontId="12" fillId="0" borderId="4" xfId="0" applyFont="1" applyBorder="1" applyAlignment="1">
      <alignment horizontal="center" vertical="top"/>
    </xf>
    <xf numFmtId="0" fontId="12" fillId="0" borderId="5" xfId="0" applyFont="1" applyFill="1" applyBorder="1" applyAlignment="1">
      <alignment horizontal="center" vertical="top"/>
    </xf>
    <xf numFmtId="164" fontId="7" fillId="2" borderId="1" xfId="2" applyNumberFormat="1" applyAlignment="1">
      <alignment horizontal="right"/>
    </xf>
    <xf numFmtId="0" fontId="0" fillId="0" borderId="0" xfId="0" applyAlignment="1">
      <alignment horizontal="center"/>
    </xf>
    <xf numFmtId="0" fontId="7" fillId="2" borderId="1" xfId="2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6" fillId="2" borderId="2" xfId="1" applyAlignment="1">
      <alignment horizontal="left"/>
    </xf>
    <xf numFmtId="0" fontId="6" fillId="2" borderId="2" xfId="1" applyAlignment="1">
      <alignment horizontal="center"/>
    </xf>
    <xf numFmtId="0" fontId="7" fillId="2" borderId="1" xfId="2" applyAlignment="1">
      <alignment horizontal="center"/>
    </xf>
    <xf numFmtId="0" fontId="8" fillId="3" borderId="3" xfId="3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7" fillId="2" borderId="1" xfId="2" applyNumberFormat="1" applyAlignment="1">
      <alignment horizontal="center"/>
    </xf>
    <xf numFmtId="165" fontId="7" fillId="2" borderId="1" xfId="2" applyNumberFormat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  <xf numFmtId="2" fontId="6" fillId="2" borderId="2" xfId="1" applyNumberFormat="1" applyAlignment="1">
      <alignment horizontal="center"/>
    </xf>
    <xf numFmtId="0" fontId="6" fillId="2" borderId="2" xfId="1"/>
    <xf numFmtId="165" fontId="6" fillId="2" borderId="2" xfId="1" applyNumberFormat="1"/>
    <xf numFmtId="166" fontId="6" fillId="2" borderId="2" xfId="1" applyNumberFormat="1"/>
    <xf numFmtId="2" fontId="6" fillId="2" borderId="2" xfId="1" applyNumberFormat="1"/>
    <xf numFmtId="0" fontId="6" fillId="2" borderId="6" xfId="1" applyBorder="1" applyAlignment="1">
      <alignment horizontal="right"/>
    </xf>
    <xf numFmtId="2" fontId="6" fillId="2" borderId="2" xfId="1" applyNumberFormat="1" applyAlignment="1">
      <alignment horizontal="left"/>
    </xf>
    <xf numFmtId="166" fontId="7" fillId="2" borderId="1" xfId="2" applyNumberFormat="1" applyAlignment="1">
      <alignment horizontal="center"/>
    </xf>
    <xf numFmtId="166" fontId="7" fillId="2" borderId="1" xfId="2" applyNumberFormat="1" applyAlignment="1">
      <alignment horizontal="right"/>
    </xf>
    <xf numFmtId="2" fontId="8" fillId="3" borderId="3" xfId="3" applyNumberFormat="1" applyAlignment="1">
      <alignment horizontal="right"/>
    </xf>
    <xf numFmtId="0" fontId="2" fillId="0" borderId="0" xfId="0" applyFont="1"/>
    <xf numFmtId="0" fontId="6" fillId="2" borderId="2" xfId="1" applyAlignment="1"/>
    <xf numFmtId="0" fontId="0" fillId="0" borderId="0" xfId="0" applyAlignment="1">
      <alignment horizontal="center"/>
    </xf>
  </cellXfs>
  <cellStyles count="4">
    <cellStyle name="Вывод" xfId="1" builtinId="21"/>
    <cellStyle name="Вычисление" xfId="2" builtinId="22"/>
    <cellStyle name="Контрольная ячейка" xfId="3" builtinId="2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te force"/>
      <sheetName val="TeethAdjusters"/>
      <sheetName val="BiteAdjusters"/>
      <sheetName val="Teeth"/>
      <sheetName val="Sharpness"/>
      <sheetName val="Limb force"/>
      <sheetName val="Force-energy"/>
      <sheetName val="Speed"/>
    </sheetNames>
    <sheetDataSet>
      <sheetData sheetId="0"/>
      <sheetData sheetId="1">
        <row r="1">
          <cell r="A1" t="str">
            <v>Species</v>
          </cell>
          <cell r="B1" t="str">
            <v>Teeth size adjuster</v>
          </cell>
        </row>
        <row r="2">
          <cell r="A2" t="str">
            <v>Ursus maritimus</v>
          </cell>
          <cell r="B2">
            <v>0.83672459442041081</v>
          </cell>
        </row>
        <row r="3">
          <cell r="A3" t="str">
            <v>Ursus arctos</v>
          </cell>
          <cell r="B3">
            <v>0.79656342827100557</v>
          </cell>
        </row>
        <row r="4">
          <cell r="A4" t="str">
            <v>Procyon lotor</v>
          </cell>
          <cell r="B4">
            <v>1.1605024511758444</v>
          </cell>
        </row>
        <row r="5">
          <cell r="A5" t="str">
            <v>Struthio camelus</v>
          </cell>
          <cell r="B5">
            <v>1</v>
          </cell>
        </row>
        <row r="6">
          <cell r="A6" t="str">
            <v>Casuarius casuarius</v>
          </cell>
          <cell r="B6">
            <v>1</v>
          </cell>
        </row>
        <row r="7">
          <cell r="A7" t="str">
            <v>Dromaius novaehollandiae</v>
          </cell>
          <cell r="B7">
            <v>1</v>
          </cell>
        </row>
        <row r="8">
          <cell r="A8" t="str">
            <v>Meleagris gallopavo (wild)</v>
          </cell>
          <cell r="B8">
            <v>1</v>
          </cell>
        </row>
        <row r="9">
          <cell r="A9" t="str">
            <v>Anser anser (Adler)</v>
          </cell>
          <cell r="B9">
            <v>1</v>
          </cell>
        </row>
        <row r="10">
          <cell r="A10" t="str">
            <v>Anas platyrhynchos (wild)</v>
          </cell>
          <cell r="B10">
            <v>1</v>
          </cell>
        </row>
        <row r="11">
          <cell r="A11" t="str">
            <v>Gallus gallus</v>
          </cell>
          <cell r="B11">
            <v>1</v>
          </cell>
        </row>
        <row r="12">
          <cell r="A12" t="str">
            <v>Camelus dromedarius</v>
          </cell>
          <cell r="B12">
            <v>1</v>
          </cell>
        </row>
        <row r="13">
          <cell r="A13" t="str">
            <v>Lama pacos</v>
          </cell>
          <cell r="B13">
            <v>1</v>
          </cell>
        </row>
        <row r="14">
          <cell r="A14" t="str">
            <v>Canis familiaris (Yorkshire terrier)</v>
          </cell>
          <cell r="B14">
            <v>0.95359131166584876</v>
          </cell>
        </row>
        <row r="15">
          <cell r="A15" t="str">
            <v>Canis familiaris (Labrador)</v>
          </cell>
          <cell r="B15">
            <v>0.95359131166584876</v>
          </cell>
        </row>
        <row r="16">
          <cell r="A16" t="str">
            <v>Canis familiaris (Husky)</v>
          </cell>
          <cell r="B16">
            <v>0.95359131166584876</v>
          </cell>
        </row>
        <row r="17">
          <cell r="A17" t="str">
            <v>Puma concolor</v>
          </cell>
          <cell r="B17">
            <v>1.0393594726837676</v>
          </cell>
        </row>
        <row r="18">
          <cell r="A18" t="str">
            <v>Panthera pardus</v>
          </cell>
          <cell r="B18">
            <v>1.0623284440172567</v>
          </cell>
        </row>
        <row r="19">
          <cell r="A19" t="str">
            <v>Lynx lynx</v>
          </cell>
          <cell r="B19">
            <v>1.057158398386151</v>
          </cell>
        </row>
        <row r="20">
          <cell r="A20" t="str">
            <v>Felis catus</v>
          </cell>
          <cell r="B20">
            <v>0.89529411549459281</v>
          </cell>
        </row>
        <row r="21">
          <cell r="A21" t="str">
            <v>Equus caballus</v>
          </cell>
          <cell r="B21">
            <v>1</v>
          </cell>
        </row>
        <row r="22">
          <cell r="A22" t="str">
            <v>Equus africanus</v>
          </cell>
          <cell r="B22">
            <v>1</v>
          </cell>
        </row>
        <row r="23">
          <cell r="A23" t="str">
            <v>Lepus europaeus</v>
          </cell>
          <cell r="B23">
            <v>1</v>
          </cell>
        </row>
        <row r="24">
          <cell r="A24" t="str">
            <v>Lepus timidus</v>
          </cell>
          <cell r="B24">
            <v>1</v>
          </cell>
        </row>
        <row r="25">
          <cell r="A25" t="str">
            <v>Ceratotherium simum</v>
          </cell>
          <cell r="B25">
            <v>1</v>
          </cell>
        </row>
        <row r="26">
          <cell r="A26" t="str">
            <v>Loxodonta africana</v>
          </cell>
          <cell r="B26">
            <v>1</v>
          </cell>
        </row>
        <row r="27">
          <cell r="A27" t="str">
            <v>Thrumbo magnificus</v>
          </cell>
          <cell r="B27">
            <v>1</v>
          </cell>
        </row>
        <row r="28">
          <cell r="A28" t="str">
            <v>Megatherium americanum</v>
          </cell>
          <cell r="B28">
            <v>1</v>
          </cell>
        </row>
        <row r="29">
          <cell r="A29" t="str">
            <v>Sus scrofa</v>
          </cell>
          <cell r="B29">
            <v>1</v>
          </cell>
        </row>
        <row r="30">
          <cell r="A30" t="str">
            <v>Sus scrofa (domestic)</v>
          </cell>
          <cell r="B30">
            <v>1</v>
          </cell>
        </row>
        <row r="31">
          <cell r="A31" t="str">
            <v>Macaca mulatta</v>
          </cell>
          <cell r="B31">
            <v>1.1162884080347795</v>
          </cell>
        </row>
        <row r="32">
          <cell r="A32" t="str">
            <v>Iguana iguana</v>
          </cell>
          <cell r="B32">
            <v>1</v>
          </cell>
        </row>
        <row r="33">
          <cell r="A33" t="str">
            <v>Ophiophagus hannah</v>
          </cell>
          <cell r="B33">
            <v>1</v>
          </cell>
        </row>
        <row r="34">
          <cell r="A34" t="str">
            <v>Manouria emys</v>
          </cell>
          <cell r="B34">
            <v>1</v>
          </cell>
        </row>
        <row r="35">
          <cell r="A35" t="str">
            <v>Rattus norvegicus</v>
          </cell>
          <cell r="B35">
            <v>1</v>
          </cell>
        </row>
        <row r="36">
          <cell r="A36" t="str">
            <v>Sciurus vulgaris</v>
          </cell>
          <cell r="B36">
            <v>1</v>
          </cell>
        </row>
        <row r="37">
          <cell r="A37" t="str">
            <v>Cavia porcellus</v>
          </cell>
          <cell r="B37">
            <v>1</v>
          </cell>
        </row>
        <row r="38">
          <cell r="A38" t="str">
            <v>Chinchilla lanigera</v>
          </cell>
          <cell r="B38">
            <v>1</v>
          </cell>
        </row>
        <row r="39">
          <cell r="A39" t="str">
            <v>Hydrochaeris hydrochaeris</v>
          </cell>
          <cell r="B39">
            <v>1</v>
          </cell>
        </row>
        <row r="40">
          <cell r="A40" t="str">
            <v>Castor nocivus</v>
          </cell>
          <cell r="B40">
            <v>1</v>
          </cell>
        </row>
        <row r="41">
          <cell r="A41" t="str">
            <v>Boomerifer explosivus</v>
          </cell>
          <cell r="B41">
            <v>1</v>
          </cell>
        </row>
        <row r="42">
          <cell r="A42" t="str">
            <v>Bison bison</v>
          </cell>
          <cell r="B42">
            <v>1</v>
          </cell>
        </row>
        <row r="43">
          <cell r="A43" t="str">
            <v>Bos taurus</v>
          </cell>
          <cell r="B43">
            <v>1</v>
          </cell>
        </row>
        <row r="44">
          <cell r="A44" t="str">
            <v>Pseudobison sargentus</v>
          </cell>
          <cell r="B44">
            <v>1</v>
          </cell>
        </row>
        <row r="45">
          <cell r="A45" t="str">
            <v>Bos grunniens</v>
          </cell>
          <cell r="B45">
            <v>1</v>
          </cell>
        </row>
        <row r="46">
          <cell r="A46" t="str">
            <v>Cervus elaphus</v>
          </cell>
          <cell r="B46">
            <v>1</v>
          </cell>
        </row>
        <row r="47">
          <cell r="A47" t="str">
            <v>Bombaria proliferans</v>
          </cell>
          <cell r="B47">
            <v>1</v>
          </cell>
        </row>
        <row r="48">
          <cell r="A48" t="str">
            <v>Bombaria toxiferans</v>
          </cell>
          <cell r="B48">
            <v>1</v>
          </cell>
        </row>
        <row r="49">
          <cell r="A49" t="str">
            <v>Rangifer tarandus</v>
          </cell>
          <cell r="B49">
            <v>1</v>
          </cell>
        </row>
        <row r="50">
          <cell r="A50" t="str">
            <v>Capra ibex</v>
          </cell>
          <cell r="B50">
            <v>1</v>
          </cell>
        </row>
        <row r="51">
          <cell r="A51" t="str">
            <v>Capra hircus</v>
          </cell>
          <cell r="B51">
            <v>1</v>
          </cell>
        </row>
        <row r="52">
          <cell r="A52" t="str">
            <v>Ovis aries</v>
          </cell>
          <cell r="B52">
            <v>1</v>
          </cell>
        </row>
        <row r="53">
          <cell r="A53" t="str">
            <v>Odocoileus hemionus</v>
          </cell>
          <cell r="B53">
            <v>1</v>
          </cell>
        </row>
        <row r="54">
          <cell r="A54" t="str">
            <v>Gazella gazella</v>
          </cell>
          <cell r="B54">
            <v>1</v>
          </cell>
        </row>
        <row r="55">
          <cell r="A55" t="str">
            <v>Canis tyrannus</v>
          </cell>
          <cell r="B55">
            <v>1.038364019968949</v>
          </cell>
        </row>
        <row r="56">
          <cell r="A56" t="str">
            <v>Canis lupus lupus</v>
          </cell>
          <cell r="B56">
            <v>1.0836264905293682</v>
          </cell>
        </row>
        <row r="57">
          <cell r="A57" t="str">
            <v>Canis lupus albus</v>
          </cell>
          <cell r="B57">
            <v>1.0836264905293682</v>
          </cell>
        </row>
        <row r="58">
          <cell r="A58" t="str">
            <v>Vulpes vulpes</v>
          </cell>
          <cell r="B58">
            <v>1.4047564678154916</v>
          </cell>
        </row>
        <row r="59">
          <cell r="A59" t="str">
            <v>Vulpes lagopus</v>
          </cell>
          <cell r="B59">
            <v>1.1469133122883668</v>
          </cell>
        </row>
        <row r="60">
          <cell r="A60" t="str">
            <v>Vulpes zerda</v>
          </cell>
          <cell r="B60">
            <v>1.2266423062576042</v>
          </cell>
        </row>
        <row r="61">
          <cell r="A61" t="str">
            <v>Rattus macrosordidus</v>
          </cell>
          <cell r="B61">
            <v>1</v>
          </cell>
        </row>
        <row r="62">
          <cell r="A62" t="str">
            <v>Ailuropoda melanoleuca</v>
          </cell>
          <cell r="B62">
            <v>1</v>
          </cell>
        </row>
        <row r="63">
          <cell r="A63" t="str">
            <v>Passer domesticus</v>
          </cell>
          <cell r="B63">
            <v>1</v>
          </cell>
        </row>
        <row r="64">
          <cell r="A64" t="str">
            <v>Sialia sialis</v>
          </cell>
          <cell r="B64">
            <v>1</v>
          </cell>
        </row>
        <row r="65">
          <cell r="A65" t="str">
            <v>Corvus corone</v>
          </cell>
          <cell r="B65">
            <v>1</v>
          </cell>
        </row>
        <row r="66">
          <cell r="A66" t="str">
            <v>Ara macao</v>
          </cell>
          <cell r="B66">
            <v>1</v>
          </cell>
        </row>
        <row r="67">
          <cell r="A67" t="str">
            <v>Coturnix coturnix</v>
          </cell>
          <cell r="B67">
            <v>1</v>
          </cell>
        </row>
        <row r="68">
          <cell r="A68" t="str">
            <v>Cygnus olor</v>
          </cell>
          <cell r="B68">
            <v>1</v>
          </cell>
        </row>
        <row r="69">
          <cell r="A69" t="str">
            <v>Ardea cinerea</v>
          </cell>
          <cell r="B69">
            <v>1</v>
          </cell>
        </row>
        <row r="70">
          <cell r="A70" t="str">
            <v>Phoenicopterus roseus</v>
          </cell>
          <cell r="B70">
            <v>1</v>
          </cell>
        </row>
        <row r="71">
          <cell r="A71" t="str">
            <v>Aptenodytes forsteri</v>
          </cell>
          <cell r="B71">
            <v>1</v>
          </cell>
        </row>
        <row r="72">
          <cell r="A72" t="str">
            <v>Pavo cristatus</v>
          </cell>
          <cell r="B72">
            <v>1</v>
          </cell>
        </row>
        <row r="73">
          <cell r="A73" t="str">
            <v>Gyps africanus</v>
          </cell>
          <cell r="B73">
            <v>1</v>
          </cell>
        </row>
        <row r="74">
          <cell r="A74" t="str">
            <v>Panthera tigris</v>
          </cell>
          <cell r="B74">
            <v>1.2604512005623816</v>
          </cell>
        </row>
        <row r="75">
          <cell r="A75" t="str">
            <v>Homotherium serum</v>
          </cell>
          <cell r="B75">
            <v>1</v>
          </cell>
        </row>
        <row r="76">
          <cell r="A76" t="str">
            <v>Lithobates catesbeianus</v>
          </cell>
          <cell r="B76">
            <v>1</v>
          </cell>
        </row>
        <row r="77">
          <cell r="A77" t="str">
            <v>Macrobufo giganteus</v>
          </cell>
          <cell r="B77">
            <v>1</v>
          </cell>
        </row>
        <row r="78">
          <cell r="A78" t="str">
            <v>Hippopotamus amphibius</v>
          </cell>
          <cell r="B78">
            <v>1</v>
          </cell>
        </row>
        <row r="79">
          <cell r="A79" t="str">
            <v>Mammut americanum</v>
          </cell>
          <cell r="B79">
            <v>1</v>
          </cell>
        </row>
        <row r="80">
          <cell r="A80" t="str">
            <v>Thrumbo magnificus (alpha)</v>
          </cell>
          <cell r="B80">
            <v>1</v>
          </cell>
        </row>
        <row r="81">
          <cell r="A81" t="str">
            <v>Euphractus sexcinctus</v>
          </cell>
          <cell r="B81">
            <v>1</v>
          </cell>
        </row>
        <row r="82">
          <cell r="A82" t="str">
            <v>Gulo gulo</v>
          </cell>
          <cell r="B82">
            <v>1.1999813567066198</v>
          </cell>
        </row>
        <row r="83">
          <cell r="A83" t="str">
            <v>Mustela vison</v>
          </cell>
          <cell r="B83">
            <v>1.2697912324530132</v>
          </cell>
        </row>
        <row r="84">
          <cell r="A84" t="str">
            <v>Meles meles</v>
          </cell>
          <cell r="B84">
            <v>0.99946268287890638</v>
          </cell>
        </row>
        <row r="85">
          <cell r="A85" t="str">
            <v>Lutra lutra</v>
          </cell>
          <cell r="B85">
            <v>0.7468055548243242</v>
          </cell>
        </row>
        <row r="86">
          <cell r="A86" t="str">
            <v>Zalophus californianus</v>
          </cell>
          <cell r="B86">
            <v>1</v>
          </cell>
        </row>
        <row r="87">
          <cell r="A87" t="str">
            <v>Phoca vitulina</v>
          </cell>
          <cell r="B87">
            <v>1</v>
          </cell>
        </row>
        <row r="88">
          <cell r="A88" t="str">
            <v>Odobenus rosmarus</v>
          </cell>
          <cell r="B88">
            <v>1</v>
          </cell>
        </row>
        <row r="89">
          <cell r="A89" t="str">
            <v>Gorilla gorilla</v>
          </cell>
          <cell r="B89">
            <v>0.6787493024042468</v>
          </cell>
        </row>
        <row r="90">
          <cell r="A90" t="str">
            <v>Varanus komodoensis</v>
          </cell>
          <cell r="B90">
            <v>1</v>
          </cell>
        </row>
        <row r="91">
          <cell r="A91" t="str">
            <v>Alligator mississippiensis</v>
          </cell>
          <cell r="B91">
            <v>1</v>
          </cell>
        </row>
        <row r="92">
          <cell r="A92" t="str">
            <v>Chelonia mydas</v>
          </cell>
          <cell r="B92">
            <v>1</v>
          </cell>
        </row>
        <row r="93">
          <cell r="A93" t="str">
            <v>Cynomys ludovicianus</v>
          </cell>
          <cell r="B93">
            <v>1</v>
          </cell>
        </row>
        <row r="94">
          <cell r="A94" t="str">
            <v>Erethizon dorsatum</v>
          </cell>
          <cell r="B94">
            <v>1</v>
          </cell>
        </row>
        <row r="95">
          <cell r="A95" t="str">
            <v>Gigantomyini giganteus</v>
          </cell>
          <cell r="B95">
            <v>1</v>
          </cell>
        </row>
        <row r="96">
          <cell r="A96" t="str">
            <v>Alces alces</v>
          </cell>
          <cell r="B96">
            <v>1</v>
          </cell>
        </row>
        <row r="97">
          <cell r="A97" t="str">
            <v>Ovibos moschatus</v>
          </cell>
          <cell r="B97">
            <v>1</v>
          </cell>
        </row>
        <row r="98">
          <cell r="A98" t="str">
            <v>Megaachatina magnus</v>
          </cell>
          <cell r="B98">
            <v>1</v>
          </cell>
        </row>
        <row r="99">
          <cell r="A99" t="str">
            <v>Canis sordidus</v>
          </cell>
          <cell r="B99">
            <v>1.038364019968949</v>
          </cell>
        </row>
        <row r="100">
          <cell r="A100" t="str">
            <v>Aenocyon dirus</v>
          </cell>
          <cell r="B100">
            <v>1</v>
          </cell>
        </row>
        <row r="101">
          <cell r="A101" t="str">
            <v>Menippe mercenaria</v>
          </cell>
          <cell r="B101">
            <v>1</v>
          </cell>
        </row>
        <row r="102">
          <cell r="A102" t="str">
            <v>Coenobita perlatus</v>
          </cell>
          <cell r="B102">
            <v>1</v>
          </cell>
        </row>
        <row r="103">
          <cell r="A103" t="str">
            <v>Titanocoleus ferox</v>
          </cell>
          <cell r="B103">
            <v>1</v>
          </cell>
        </row>
        <row r="104">
          <cell r="A104" t="str">
            <v>Cryptomorphus serpentinus</v>
          </cell>
          <cell r="B104">
            <v>1</v>
          </cell>
        </row>
        <row r="105">
          <cell r="A105" t="str">
            <v>Gigarachne bellator</v>
          </cell>
          <cell r="B105">
            <v>1</v>
          </cell>
        </row>
        <row r="106">
          <cell r="A106" t="str">
            <v>Imperatombis regina</v>
          </cell>
          <cell r="B106">
            <v>1</v>
          </cell>
        </row>
        <row r="107">
          <cell r="A107" t="str">
            <v>Imperatombis juvenis</v>
          </cell>
          <cell r="B107">
            <v>1</v>
          </cell>
        </row>
        <row r="108">
          <cell r="A108" t="str">
            <v>Voracilocus devastans</v>
          </cell>
          <cell r="B108">
            <v>1</v>
          </cell>
        </row>
        <row r="109">
          <cell r="A109" t="str">
            <v>Canis latrans latrans</v>
          </cell>
          <cell r="B109">
            <v>1.1410682230934119</v>
          </cell>
        </row>
        <row r="110">
          <cell r="A110" t="str">
            <v>Giraffa camelopardalis</v>
          </cell>
          <cell r="B110">
            <v>1</v>
          </cell>
        </row>
        <row r="111">
          <cell r="A111" t="str">
            <v>Equus burchellii</v>
          </cell>
          <cell r="B111">
            <v>1</v>
          </cell>
        </row>
        <row r="112">
          <cell r="A112" t="str">
            <v>Connochaetes taurinus</v>
          </cell>
          <cell r="B112">
            <v>1</v>
          </cell>
        </row>
        <row r="113">
          <cell r="A113" t="str">
            <v>Crocodylus porosus</v>
          </cell>
          <cell r="B113">
            <v>1</v>
          </cell>
        </row>
        <row r="114">
          <cell r="A114" t="str">
            <v>Acinonyx jubatus</v>
          </cell>
          <cell r="B114">
            <v>1.1807275346262045</v>
          </cell>
        </row>
        <row r="115">
          <cell r="A115" t="str">
            <v>Vombatus explosivus</v>
          </cell>
          <cell r="B115">
            <v>1</v>
          </cell>
        </row>
        <row r="116">
          <cell r="A116" t="str">
            <v>Macropus rufus</v>
          </cell>
          <cell r="B116">
            <v>1</v>
          </cell>
        </row>
        <row r="117">
          <cell r="A117" t="str">
            <v>Phascolarctos cinereus</v>
          </cell>
          <cell r="B117">
            <v>1</v>
          </cell>
        </row>
        <row r="118">
          <cell r="A118" t="str">
            <v>Ornithorhynchus anatinus</v>
          </cell>
          <cell r="B118">
            <v>1</v>
          </cell>
        </row>
        <row r="119">
          <cell r="A119" t="str">
            <v>Canis latrans incolatus</v>
          </cell>
          <cell r="B119">
            <v>1.1410682230934119</v>
          </cell>
        </row>
        <row r="120">
          <cell r="A120" t="str">
            <v>Ursus americanus</v>
          </cell>
          <cell r="B120">
            <v>0.646574871368368</v>
          </cell>
        </row>
        <row r="121">
          <cell r="A121" t="str">
            <v>Crocuta crocuta</v>
          </cell>
          <cell r="B121">
            <v>0.82546980223782873</v>
          </cell>
        </row>
        <row r="122">
          <cell r="A122" t="str">
            <v>Centrochelys sulcata</v>
          </cell>
          <cell r="B122">
            <v>1</v>
          </cell>
        </row>
        <row r="123">
          <cell r="A123" t="str">
            <v>Panthera leo</v>
          </cell>
          <cell r="B123">
            <v>1.1181010203336941</v>
          </cell>
        </row>
        <row r="124">
          <cell r="A124" t="str">
            <v>Heloderma horridum</v>
          </cell>
          <cell r="B124">
            <v>1</v>
          </cell>
        </row>
        <row r="125">
          <cell r="A125" t="str">
            <v>Camelus bactrianus</v>
          </cell>
          <cell r="B125">
            <v>1</v>
          </cell>
        </row>
        <row r="126">
          <cell r="A126" t="str">
            <v>Crotalus adamanteus</v>
          </cell>
          <cell r="B126">
            <v>1</v>
          </cell>
        </row>
        <row r="127">
          <cell r="A127" t="str">
            <v>Gigascorpio bellator</v>
          </cell>
          <cell r="B127">
            <v>1</v>
          </cell>
        </row>
        <row r="128">
          <cell r="A128" t="str">
            <v>Ailurus fulgens</v>
          </cell>
          <cell r="B128">
            <v>0.81359246060103374</v>
          </cell>
        </row>
        <row r="129">
          <cell r="A129" t="str">
            <v>Branta canadensis</v>
          </cell>
          <cell r="B129">
            <v>1</v>
          </cell>
        </row>
        <row r="130">
          <cell r="A130" t="str">
            <v>Castor fiber</v>
          </cell>
          <cell r="B130">
            <v>1</v>
          </cell>
        </row>
        <row r="131">
          <cell r="A131" t="str">
            <v>Erinaceus europaeus</v>
          </cell>
          <cell r="B131">
            <v>1</v>
          </cell>
        </row>
        <row r="132">
          <cell r="A132" t="str">
            <v>Panthera onca</v>
          </cell>
          <cell r="B132">
            <v>1.1539667792284651</v>
          </cell>
        </row>
        <row r="133">
          <cell r="A133" t="str">
            <v>Lemur catta</v>
          </cell>
          <cell r="B133">
            <v>0.95146295544256565</v>
          </cell>
        </row>
        <row r="134">
          <cell r="A134" t="str">
            <v>Mandrillus sphinx</v>
          </cell>
          <cell r="B134">
            <v>2.0388052907867817</v>
          </cell>
        </row>
        <row r="135">
          <cell r="A135" t="str">
            <v>Tapirus bairdii</v>
          </cell>
          <cell r="B135">
            <v>1</v>
          </cell>
        </row>
        <row r="136">
          <cell r="A136" t="str">
            <v>Eunectes murinus</v>
          </cell>
          <cell r="B136">
            <v>1</v>
          </cell>
        </row>
        <row r="137">
          <cell r="A137" t="str">
            <v>Elephas maximus</v>
          </cell>
          <cell r="B137">
            <v>1</v>
          </cell>
        </row>
        <row r="138">
          <cell r="A138" t="str">
            <v>Gulo ferox</v>
          </cell>
          <cell r="B138">
            <v>1.1999813567066198</v>
          </cell>
        </row>
        <row r="139">
          <cell r="A139" t="str">
            <v>Canis familiaris (Beagle)</v>
          </cell>
          <cell r="B139">
            <v>0.95359131166584876</v>
          </cell>
        </row>
        <row r="140">
          <cell r="A140" t="str">
            <v>Canis familiaris (Chihuahua)</v>
          </cell>
          <cell r="B140">
            <v>0.95359131166584876</v>
          </cell>
        </row>
        <row r="141">
          <cell r="A141" t="str">
            <v>Canis familiaris (Corgi)</v>
          </cell>
          <cell r="B141">
            <v>0.95359131166584876</v>
          </cell>
        </row>
        <row r="142">
          <cell r="A142" t="str">
            <v>Canis familiaris (French bulldog)</v>
          </cell>
          <cell r="B142">
            <v>0.95359131166584876</v>
          </cell>
        </row>
        <row r="143">
          <cell r="A143" t="str">
            <v>Canis familiaris (German shepherd)</v>
          </cell>
          <cell r="B143">
            <v>0.95359131166584876</v>
          </cell>
        </row>
        <row r="144">
          <cell r="A144" t="str">
            <v>Canis familiaris (Great dane)</v>
          </cell>
          <cell r="B144">
            <v>0.95359131166584876</v>
          </cell>
        </row>
        <row r="145">
          <cell r="A145" t="str">
            <v>Canis familiaris (Poodle)</v>
          </cell>
          <cell r="B145">
            <v>0.95359131166584876</v>
          </cell>
        </row>
        <row r="146">
          <cell r="A146" t="str">
            <v>Canis familiaris (Pug)</v>
          </cell>
          <cell r="B146">
            <v>0.95359131166584876</v>
          </cell>
        </row>
        <row r="147">
          <cell r="A147" t="str">
            <v>Canis familiaris (Rottweiler)</v>
          </cell>
          <cell r="B147">
            <v>0.95359131166584876</v>
          </cell>
        </row>
        <row r="148">
          <cell r="A148" t="str">
            <v>Canis familiaris (Shih-Tzu)</v>
          </cell>
          <cell r="B148">
            <v>0.95359131166584876</v>
          </cell>
        </row>
        <row r="149">
          <cell r="A149" t="str">
            <v>Canis familiaris (AiredaleTerrier)</v>
          </cell>
          <cell r="B149">
            <v>0.95359131166584876</v>
          </cell>
        </row>
        <row r="150">
          <cell r="A150" t="str">
            <v>Felis catus (Abyssinian)</v>
          </cell>
          <cell r="B150">
            <v>0.89529411549459281</v>
          </cell>
        </row>
        <row r="151">
          <cell r="A151" t="str">
            <v>Felis catus (Bengal)</v>
          </cell>
          <cell r="B151">
            <v>0.89529411549459281</v>
          </cell>
        </row>
        <row r="152">
          <cell r="A152" t="str">
            <v>Felis catus (British Shorthair)</v>
          </cell>
          <cell r="B152">
            <v>0.89529411549459281</v>
          </cell>
        </row>
        <row r="153">
          <cell r="A153" t="str">
            <v>Felis catus (Maine Coon)</v>
          </cell>
          <cell r="B153">
            <v>0.89529411549459281</v>
          </cell>
        </row>
        <row r="154">
          <cell r="A154" t="str">
            <v>Felis catus (Munchkin)</v>
          </cell>
          <cell r="B154">
            <v>0.89529411549459281</v>
          </cell>
        </row>
        <row r="155">
          <cell r="A155" t="str">
            <v>Felis catus (Norwegian Forest)</v>
          </cell>
          <cell r="B155">
            <v>0.89529411549459281</v>
          </cell>
        </row>
        <row r="156">
          <cell r="A156" t="str">
            <v>Felis catus (Persian)</v>
          </cell>
          <cell r="B156">
            <v>0.89529411549459281</v>
          </cell>
        </row>
        <row r="157">
          <cell r="A157" t="str">
            <v>Felis catus (Siamese)</v>
          </cell>
          <cell r="B157">
            <v>0.89529411549459281</v>
          </cell>
        </row>
        <row r="158">
          <cell r="A158" t="str">
            <v>Felis catus (Somali)</v>
          </cell>
          <cell r="B158">
            <v>0.89529411549459281</v>
          </cell>
        </row>
        <row r="159">
          <cell r="A159" t="str">
            <v>Felis catus (Sphynx)</v>
          </cell>
          <cell r="B159">
            <v>0.89529411549459281</v>
          </cell>
        </row>
        <row r="160">
          <cell r="A160" t="str">
            <v>Kaliscus invictus</v>
          </cell>
          <cell r="B160">
            <v>1</v>
          </cell>
        </row>
        <row r="161">
          <cell r="A161" t="str">
            <v>Smilodon fatalis</v>
          </cell>
          <cell r="B161">
            <v>1</v>
          </cell>
        </row>
        <row r="162">
          <cell r="A162" t="str">
            <v>Phasianus colchicus</v>
          </cell>
          <cell r="B162">
            <v>1</v>
          </cell>
        </row>
        <row r="163">
          <cell r="A163" t="str">
            <v>Pongo pygmaeus</v>
          </cell>
          <cell r="B163">
            <v>0.823477289474559</v>
          </cell>
        </row>
        <row r="164">
          <cell r="A164" t="str">
            <v>Gallus giganteus</v>
          </cell>
          <cell r="B164">
            <v>1</v>
          </cell>
        </row>
        <row r="165">
          <cell r="A165" t="str">
            <v>Grus japonensis</v>
          </cell>
          <cell r="B165">
            <v>1</v>
          </cell>
        </row>
        <row r="166">
          <cell r="A166" t="str">
            <v>Oryctolagus cuniculus (Angora)</v>
          </cell>
          <cell r="B166">
            <v>1</v>
          </cell>
        </row>
        <row r="167">
          <cell r="A167" t="str">
            <v>Harpactotyrannus venator</v>
          </cell>
          <cell r="B167">
            <v>1</v>
          </cell>
        </row>
        <row r="168">
          <cell r="A168" t="str">
            <v>Daspletosuchus ferox</v>
          </cell>
          <cell r="B168">
            <v>1</v>
          </cell>
        </row>
        <row r="169">
          <cell r="A169" t="str">
            <v>Asciotaurus validus</v>
          </cell>
          <cell r="B169">
            <v>1</v>
          </cell>
        </row>
        <row r="170">
          <cell r="A170" t="str">
            <v>Arthropython serpentes</v>
          </cell>
          <cell r="B170">
            <v>1</v>
          </cell>
        </row>
        <row r="171">
          <cell r="A171" t="str">
            <v>Talpobaena armata</v>
          </cell>
          <cell r="B171">
            <v>1</v>
          </cell>
        </row>
        <row r="172">
          <cell r="A172" t="str">
            <v>Paragnathus paradocus</v>
          </cell>
          <cell r="B172">
            <v>1</v>
          </cell>
        </row>
        <row r="173">
          <cell r="A173" t="str">
            <v>Mustela nigripes</v>
          </cell>
          <cell r="B173">
            <v>1.2697912324530132</v>
          </cell>
        </row>
        <row r="174">
          <cell r="A174" t="str">
            <v>Diceros bicornis</v>
          </cell>
          <cell r="B174">
            <v>1</v>
          </cell>
        </row>
        <row r="175">
          <cell r="A175" t="str">
            <v>Pan paniscus</v>
          </cell>
          <cell r="B175">
            <v>0.52290607632225938</v>
          </cell>
        </row>
        <row r="176">
          <cell r="A176" t="str">
            <v>Dinornis novaezealandiae</v>
          </cell>
          <cell r="B176">
            <v>1</v>
          </cell>
        </row>
        <row r="177">
          <cell r="A177" t="str">
            <v>Equus quagga</v>
          </cell>
          <cell r="B177">
            <v>1</v>
          </cell>
        </row>
        <row r="178">
          <cell r="A178" t="str">
            <v>Eudyptes chrysocome</v>
          </cell>
          <cell r="B178">
            <v>1</v>
          </cell>
        </row>
        <row r="179">
          <cell r="A179" t="str">
            <v>Sarcophilus harrisii</v>
          </cell>
          <cell r="B179">
            <v>1</v>
          </cell>
        </row>
        <row r="180">
          <cell r="A180" t="str">
            <v>Thylacinus cynocephalus</v>
          </cell>
          <cell r="B180">
            <v>1</v>
          </cell>
        </row>
        <row r="181">
          <cell r="A181" t="str">
            <v>Lycaon pictus</v>
          </cell>
          <cell r="B181">
            <v>1.0222399759593972</v>
          </cell>
        </row>
        <row r="182">
          <cell r="A182" t="str">
            <v>Manis crassicaudata</v>
          </cell>
          <cell r="B182">
            <v>1</v>
          </cell>
        </row>
        <row r="183">
          <cell r="A183" t="str">
            <v>Hydra toxifera</v>
          </cell>
          <cell r="B183">
            <v>1</v>
          </cell>
        </row>
        <row r="184">
          <cell r="A184" t="str">
            <v>Megatardi gigantea</v>
          </cell>
          <cell r="B184">
            <v>1</v>
          </cell>
        </row>
        <row r="185">
          <cell r="A185" t="str">
            <v>Pestigator ferox</v>
          </cell>
          <cell r="B185">
            <v>1</v>
          </cell>
        </row>
        <row r="186">
          <cell r="A186" t="str">
            <v>Vulpes toxifera</v>
          </cell>
          <cell r="B186">
            <v>1.2266423062576042</v>
          </cell>
        </row>
        <row r="187">
          <cell r="A187" t="str">
            <v>Ursus toxus</v>
          </cell>
          <cell r="B187">
            <v>0.77716495074174219</v>
          </cell>
        </row>
        <row r="188">
          <cell r="A188" t="str">
            <v>Iguana toxifera</v>
          </cell>
          <cell r="B188">
            <v>1</v>
          </cell>
        </row>
        <row r="189">
          <cell r="A189" t="str">
            <v>Panthera toxileo</v>
          </cell>
          <cell r="B189">
            <v>1.1021218846899565</v>
          </cell>
        </row>
        <row r="190">
          <cell r="A190" t="str">
            <v>Toxoscorpio bellator</v>
          </cell>
          <cell r="B190">
            <v>1</v>
          </cell>
        </row>
        <row r="191">
          <cell r="A191" t="str">
            <v>Sus toxiscrofa</v>
          </cell>
          <cell r="B191">
            <v>1</v>
          </cell>
        </row>
        <row r="192">
          <cell r="A192" t="str">
            <v>Odocoileus toxus</v>
          </cell>
          <cell r="B192">
            <v>1</v>
          </cell>
        </row>
        <row r="193">
          <cell r="A193" t="str">
            <v>Pseudobison toxus</v>
          </cell>
          <cell r="B193">
            <v>1</v>
          </cell>
        </row>
        <row r="194">
          <cell r="A194" t="str">
            <v>Acanthamoeba gigantea (small)</v>
          </cell>
          <cell r="B194">
            <v>1</v>
          </cell>
        </row>
        <row r="195">
          <cell r="A195" t="str">
            <v>Acanthamoeba gigantea (large)</v>
          </cell>
          <cell r="B195">
            <v>1</v>
          </cell>
        </row>
        <row r="196">
          <cell r="A196" t="str">
            <v>Acanthamoeba gigantea (huge)</v>
          </cell>
          <cell r="B196">
            <v>1</v>
          </cell>
        </row>
        <row r="197">
          <cell r="A197" t="str">
            <v>Teratomor primordius</v>
          </cell>
          <cell r="B197">
            <v>1</v>
          </cell>
        </row>
        <row r="198">
          <cell r="A198" t="str">
            <v>Protofluidum viride</v>
          </cell>
          <cell r="B198">
            <v>1</v>
          </cell>
        </row>
        <row r="199">
          <cell r="A199" t="str">
            <v>Protofluidum rubrum</v>
          </cell>
          <cell r="B199">
            <v>1</v>
          </cell>
        </row>
        <row r="200">
          <cell r="A200" t="str">
            <v>Sporus ruber</v>
          </cell>
          <cell r="B200">
            <v>1</v>
          </cell>
        </row>
        <row r="201">
          <cell r="A201" t="str">
            <v>Gelatinous oculi</v>
          </cell>
          <cell r="B201">
            <v>1</v>
          </cell>
        </row>
        <row r="202">
          <cell r="A202" t="str">
            <v>Pterodyna aeria</v>
          </cell>
          <cell r="B202">
            <v>1</v>
          </cell>
        </row>
        <row r="203">
          <cell r="A203" t="str">
            <v>Pterodyna aeria (colossal)</v>
          </cell>
          <cell r="B203">
            <v>1</v>
          </cell>
        </row>
        <row r="204">
          <cell r="A204" t="str">
            <v>Pterodyna aeria (infected)</v>
          </cell>
          <cell r="B204">
            <v>1</v>
          </cell>
        </row>
        <row r="205">
          <cell r="A205" t="str">
            <v>Angelis luminata</v>
          </cell>
          <cell r="B205">
            <v>1</v>
          </cell>
        </row>
        <row r="206">
          <cell r="A206" t="str">
            <v>Angelis luminata (larva)</v>
          </cell>
          <cell r="B206">
            <v>1</v>
          </cell>
        </row>
        <row r="207">
          <cell r="A207" t="str">
            <v>Haemophagus infinitus</v>
          </cell>
          <cell r="B207">
            <v>1</v>
          </cell>
        </row>
        <row r="208">
          <cell r="A208" t="str">
            <v>Haemophagus infinitus (larva)</v>
          </cell>
          <cell r="B208">
            <v>1</v>
          </cell>
        </row>
        <row r="209">
          <cell r="A209" t="str">
            <v>Papilio imperatrix</v>
          </cell>
          <cell r="B209">
            <v>1</v>
          </cell>
        </row>
        <row r="210">
          <cell r="A210" t="str">
            <v>Papilio imperatrix (larva)</v>
          </cell>
          <cell r="B210">
            <v>1</v>
          </cell>
        </row>
        <row r="211">
          <cell r="A211" t="str">
            <v>Pediculus giganteus</v>
          </cell>
          <cell r="B211">
            <v>1</v>
          </cell>
        </row>
        <row r="212">
          <cell r="A212" t="str">
            <v>Caridea sanguinea</v>
          </cell>
          <cell r="B212">
            <v>1</v>
          </cell>
        </row>
        <row r="213">
          <cell r="A213" t="str">
            <v>Caridea raptrix</v>
          </cell>
          <cell r="B213">
            <v>1</v>
          </cell>
        </row>
        <row r="214">
          <cell r="A214" t="str">
            <v>Metallophagus xenus</v>
          </cell>
          <cell r="B214">
            <v>1</v>
          </cell>
        </row>
        <row r="215">
          <cell r="A215" t="str">
            <v>Acarus glacialis</v>
          </cell>
          <cell r="B215">
            <v>1</v>
          </cell>
        </row>
        <row r="216">
          <cell r="A216" t="str">
            <v>Coleoptera ferrum</v>
          </cell>
          <cell r="B216">
            <v>1</v>
          </cell>
        </row>
        <row r="217">
          <cell r="A217" t="str">
            <v>Coleoptera lucifer</v>
          </cell>
          <cell r="B217">
            <v>1</v>
          </cell>
        </row>
        <row r="218">
          <cell r="A218" t="str">
            <v>Speculum vividum (larva)</v>
          </cell>
          <cell r="B218">
            <v>1</v>
          </cell>
        </row>
        <row r="219">
          <cell r="A219" t="str">
            <v>Speculum vividum</v>
          </cell>
          <cell r="B219">
            <v>1</v>
          </cell>
        </row>
        <row r="220">
          <cell r="A220" t="str">
            <v>Vespa incendium</v>
          </cell>
          <cell r="B220">
            <v>1</v>
          </cell>
        </row>
        <row r="221">
          <cell r="A221" t="str">
            <v>Bombus militaris</v>
          </cell>
          <cell r="B221">
            <v>1</v>
          </cell>
        </row>
        <row r="222">
          <cell r="A222" t="str">
            <v>Bombus militaris (hierophant)</v>
          </cell>
          <cell r="B222">
            <v>1</v>
          </cell>
        </row>
        <row r="223">
          <cell r="A223" t="str">
            <v>Bombus militaris (queen)</v>
          </cell>
          <cell r="B223">
            <v>1</v>
          </cell>
        </row>
        <row r="224">
          <cell r="A224" t="str">
            <v>Echidna projectilis</v>
          </cell>
          <cell r="B224">
            <v>1</v>
          </cell>
        </row>
        <row r="225">
          <cell r="A225" t="str">
            <v>Formica chemurgica</v>
          </cell>
          <cell r="B225">
            <v>1</v>
          </cell>
        </row>
        <row r="226">
          <cell r="A226" t="str">
            <v>Cimex titanus</v>
          </cell>
          <cell r="B226">
            <v>1</v>
          </cell>
        </row>
        <row r="227">
          <cell r="A227" t="str">
            <v>Coleoptera crepusculi</v>
          </cell>
          <cell r="B227">
            <v>1</v>
          </cell>
        </row>
        <row r="228">
          <cell r="A228" t="str">
            <v>Arthrocolossus behemoth</v>
          </cell>
          <cell r="B228">
            <v>1</v>
          </cell>
        </row>
        <row r="229">
          <cell r="A229" t="str">
            <v>Devourer maximus</v>
          </cell>
          <cell r="B229">
            <v>1</v>
          </cell>
        </row>
        <row r="230">
          <cell r="A230" t="str">
            <v>Vermis collectivus</v>
          </cell>
          <cell r="B230">
            <v>1</v>
          </cell>
        </row>
        <row r="231">
          <cell r="A231" t="str">
            <v>Araneodraco animalis</v>
          </cell>
          <cell r="B231">
            <v>1</v>
          </cell>
        </row>
        <row r="232">
          <cell r="A232" t="str">
            <v>Araneodraco ferus</v>
          </cell>
          <cell r="B232">
            <v>1</v>
          </cell>
        </row>
        <row r="233">
          <cell r="A233" t="str">
            <v>Araneodraco ferus (clutch mother)</v>
          </cell>
          <cell r="B233">
            <v>1</v>
          </cell>
        </row>
        <row r="234">
          <cell r="A234" t="str">
            <v>Araneodraco arenosus</v>
          </cell>
          <cell r="B234">
            <v>1</v>
          </cell>
        </row>
        <row r="235">
          <cell r="A235" t="str">
            <v>Araneodraco arenosus (clutch mother)</v>
          </cell>
          <cell r="B235">
            <v>1</v>
          </cell>
        </row>
        <row r="236">
          <cell r="A236" t="str">
            <v>Araneodraco glacialis</v>
          </cell>
          <cell r="B236">
            <v>1</v>
          </cell>
        </row>
        <row r="237">
          <cell r="A237" t="str">
            <v>Araneodraco glacialis (clutch mother)</v>
          </cell>
          <cell r="B237">
            <v>1</v>
          </cell>
        </row>
        <row r="238">
          <cell r="A238" t="str">
            <v>Araneodraco ignis</v>
          </cell>
          <cell r="B238">
            <v>1</v>
          </cell>
        </row>
        <row r="239">
          <cell r="A239" t="str">
            <v>Araneodraco sylvanus</v>
          </cell>
          <cell r="B239">
            <v>1</v>
          </cell>
        </row>
        <row r="240">
          <cell r="A240" t="str">
            <v>Titanocoleus niger</v>
          </cell>
          <cell r="B240">
            <v>1</v>
          </cell>
        </row>
        <row r="241">
          <cell r="A241" t="str">
            <v>Cryptomorphus niger</v>
          </cell>
          <cell r="B241">
            <v>1</v>
          </cell>
        </row>
        <row r="242">
          <cell r="A242" t="str">
            <v>Gigarachne niger</v>
          </cell>
          <cell r="B242">
            <v>1</v>
          </cell>
        </row>
        <row r="243">
          <cell r="A243" t="str">
            <v>Devastator rapax</v>
          </cell>
          <cell r="B243">
            <v>1</v>
          </cell>
        </row>
        <row r="244">
          <cell r="A244" t="str">
            <v>Thermophis titan</v>
          </cell>
          <cell r="B244">
            <v>1</v>
          </cell>
        </row>
        <row r="245">
          <cell r="A245" t="str">
            <v>Vermes mammuthus</v>
          </cell>
          <cell r="B245">
            <v>1</v>
          </cell>
        </row>
        <row r="246">
          <cell r="A246" t="str">
            <v>Megacancer montanus</v>
          </cell>
          <cell r="B246">
            <v>1</v>
          </cell>
        </row>
        <row r="247">
          <cell r="A247" t="str">
            <v>Megacancer lapidus</v>
          </cell>
          <cell r="B247">
            <v>1</v>
          </cell>
        </row>
        <row r="248">
          <cell r="A248" t="str">
            <v>Megacancer petreus</v>
          </cell>
          <cell r="B248">
            <v>1</v>
          </cell>
        </row>
        <row r="249">
          <cell r="A249" t="str">
            <v>Acarus crystallis</v>
          </cell>
          <cell r="B249">
            <v>1</v>
          </cell>
        </row>
        <row r="250">
          <cell r="A250" t="str">
            <v>Terramorpha mutabilis</v>
          </cell>
          <cell r="B250">
            <v>1</v>
          </cell>
        </row>
        <row r="251">
          <cell r="A251" t="str">
            <v>Helix giganteus</v>
          </cell>
          <cell r="B251">
            <v>1</v>
          </cell>
        </row>
        <row r="252">
          <cell r="A252" t="str">
            <v>Limax tetrapodium</v>
          </cell>
          <cell r="B252">
            <v>1</v>
          </cell>
        </row>
        <row r="253">
          <cell r="A253" t="str">
            <v>Plasmodium morphicus</v>
          </cell>
          <cell r="B253">
            <v>1</v>
          </cell>
        </row>
        <row r="254">
          <cell r="A254" t="str">
            <v>Loligo arenae</v>
          </cell>
          <cell r="B254">
            <v>1</v>
          </cell>
        </row>
        <row r="255">
          <cell r="A255" t="str">
            <v>Petrovorax asphaltus</v>
          </cell>
          <cell r="B255">
            <v>1</v>
          </cell>
        </row>
        <row r="256">
          <cell r="A256" t="str">
            <v>Sylphalis borealis</v>
          </cell>
          <cell r="B256">
            <v>1</v>
          </cell>
        </row>
        <row r="257">
          <cell r="A257" t="str">
            <v>Mycodermis tegumentum</v>
          </cell>
          <cell r="B257">
            <v>1</v>
          </cell>
        </row>
        <row r="258">
          <cell r="A258" t="str">
            <v>Mimo sapientis</v>
          </cell>
          <cell r="B258">
            <v>1</v>
          </cell>
        </row>
        <row r="259">
          <cell r="A259" t="str">
            <v>Mantis carnifera</v>
          </cell>
          <cell r="B259">
            <v>1</v>
          </cell>
        </row>
        <row r="260">
          <cell r="A260" t="str">
            <v>Echinopsios fixus</v>
          </cell>
          <cell r="B260">
            <v>1</v>
          </cell>
        </row>
        <row r="261">
          <cell r="A261" t="str">
            <v>Echinopsios volans</v>
          </cell>
          <cell r="B261">
            <v>1</v>
          </cell>
        </row>
        <row r="262">
          <cell r="A262" t="str">
            <v>Hystrix succulentis</v>
          </cell>
          <cell r="B262">
            <v>1</v>
          </cell>
        </row>
        <row r="263">
          <cell r="A263" t="str">
            <v>Technoscolopendra mucosa</v>
          </cell>
          <cell r="B263">
            <v>1</v>
          </cell>
        </row>
        <row r="264">
          <cell r="A264" t="str">
            <v>Tentaculabomination gorga</v>
          </cell>
          <cell r="B264">
            <v>1</v>
          </cell>
        </row>
        <row r="265">
          <cell r="A265" t="str">
            <v>Carnis putridus (mature)</v>
          </cell>
          <cell r="B265">
            <v>1</v>
          </cell>
        </row>
        <row r="266">
          <cell r="A266" t="str">
            <v>Oculus viventis</v>
          </cell>
          <cell r="B266">
            <v>1</v>
          </cell>
        </row>
        <row r="267">
          <cell r="A267" t="str">
            <v>Oculus immortalis</v>
          </cell>
          <cell r="B267">
            <v>1</v>
          </cell>
        </row>
        <row r="268">
          <cell r="A268" t="str">
            <v>Anguilla coelestis</v>
          </cell>
          <cell r="B268">
            <v>1</v>
          </cell>
        </row>
        <row r="269">
          <cell r="A269" t="str">
            <v>Mycopion sylvestris</v>
          </cell>
          <cell r="B269">
            <v>1</v>
          </cell>
        </row>
        <row r="270">
          <cell r="A270" t="str">
            <v>Mycopodium sylvestris</v>
          </cell>
          <cell r="B270">
            <v>1</v>
          </cell>
        </row>
        <row r="271">
          <cell r="A271" t="str">
            <v>Mycopion ferus</v>
          </cell>
          <cell r="B271">
            <v>1</v>
          </cell>
        </row>
        <row r="272">
          <cell r="A272" t="str">
            <v>Mycopodium ferus</v>
          </cell>
          <cell r="B272">
            <v>1</v>
          </cell>
        </row>
        <row r="273">
          <cell r="A273" t="str">
            <v>Gallus titanicus</v>
          </cell>
          <cell r="B273">
            <v>1</v>
          </cell>
        </row>
        <row r="274">
          <cell r="A274" t="str">
            <v>Gallus titanicus (moribund)</v>
          </cell>
          <cell r="B274">
            <v>1</v>
          </cell>
        </row>
        <row r="275">
          <cell r="A275" t="str">
            <v>Bestia ventus</v>
          </cell>
          <cell r="B275">
            <v>1</v>
          </cell>
        </row>
        <row r="276">
          <cell r="A276" t="str">
            <v>Bestia tonitrus</v>
          </cell>
          <cell r="B276">
            <v>1</v>
          </cell>
        </row>
        <row r="277">
          <cell r="A277" t="str">
            <v>Bestia nigra</v>
          </cell>
          <cell r="B277">
            <v>1</v>
          </cell>
        </row>
        <row r="278">
          <cell r="A278" t="str">
            <v>Panthera glacialis</v>
          </cell>
          <cell r="B278">
            <v>1.1021218846899565</v>
          </cell>
        </row>
        <row r="279">
          <cell r="A279" t="str">
            <v>Panthera arenae</v>
          </cell>
          <cell r="B279">
            <v>1.1021218846899565</v>
          </cell>
        </row>
        <row r="280">
          <cell r="A280" t="str">
            <v>Genix ferox</v>
          </cell>
          <cell r="B280">
            <v>1</v>
          </cell>
        </row>
        <row r="281">
          <cell r="A281" t="str">
            <v>Genix frostis</v>
          </cell>
          <cell r="B281">
            <v>1</v>
          </cell>
        </row>
        <row r="282">
          <cell r="A282" t="str">
            <v>Feliscopus phoenix</v>
          </cell>
          <cell r="B282">
            <v>1</v>
          </cell>
        </row>
        <row r="283">
          <cell r="A283" t="str">
            <v>Caracal crystallinus</v>
          </cell>
          <cell r="B283">
            <v>0.90811679292382275</v>
          </cell>
        </row>
        <row r="284">
          <cell r="A284" t="str">
            <v>Glaciulus parvus</v>
          </cell>
          <cell r="B284">
            <v>1</v>
          </cell>
        </row>
        <row r="285">
          <cell r="A285" t="str">
            <v>Jaculus acutis</v>
          </cell>
          <cell r="B285">
            <v>1</v>
          </cell>
        </row>
        <row r="286">
          <cell r="A286" t="str">
            <v>Erin similis</v>
          </cell>
          <cell r="B286">
            <v>1</v>
          </cell>
        </row>
        <row r="287">
          <cell r="A287" t="str">
            <v>Canis saltator</v>
          </cell>
          <cell r="B287">
            <v>1.038364019968949</v>
          </cell>
        </row>
        <row r="288">
          <cell r="A288" t="str">
            <v>Canis lacerator</v>
          </cell>
          <cell r="B288">
            <v>1.038364019968949</v>
          </cell>
        </row>
        <row r="289">
          <cell r="A289" t="str">
            <v>Vulpes animalis</v>
          </cell>
          <cell r="B289">
            <v>1.2266423062576042</v>
          </cell>
        </row>
        <row r="290">
          <cell r="A290" t="str">
            <v>Bombos vivificalis</v>
          </cell>
          <cell r="B290">
            <v>1</v>
          </cell>
        </row>
        <row r="291">
          <cell r="A291" t="str">
            <v>Bos radiatus</v>
          </cell>
          <cell r="B291">
            <v>1</v>
          </cell>
        </row>
        <row r="292">
          <cell r="A292" t="str">
            <v>Bos chamaeleon</v>
          </cell>
          <cell r="B292">
            <v>1</v>
          </cell>
        </row>
        <row r="293">
          <cell r="A293" t="str">
            <v>Capra electronica</v>
          </cell>
          <cell r="B293">
            <v>1</v>
          </cell>
        </row>
        <row r="294">
          <cell r="A294" t="str">
            <v>Caprabos aculeus</v>
          </cell>
          <cell r="B294">
            <v>1</v>
          </cell>
        </row>
        <row r="295">
          <cell r="A295" t="str">
            <v>Ovis malignus</v>
          </cell>
          <cell r="B295">
            <v>1</v>
          </cell>
        </row>
        <row r="296">
          <cell r="A296" t="str">
            <v>Ovis griseus</v>
          </cell>
          <cell r="B296">
            <v>1</v>
          </cell>
        </row>
        <row r="297">
          <cell r="A297" t="str">
            <v>Antilope giganteus</v>
          </cell>
          <cell r="B297">
            <v>1</v>
          </cell>
        </row>
        <row r="298">
          <cell r="A298" t="str">
            <v>Mus fissilis</v>
          </cell>
          <cell r="B298">
            <v>1</v>
          </cell>
        </row>
        <row r="299">
          <cell r="A299" t="str">
            <v>Mus fissilis (second form)</v>
          </cell>
          <cell r="B299">
            <v>1</v>
          </cell>
        </row>
        <row r="300">
          <cell r="A300" t="str">
            <v>Mus fissilis (third form)</v>
          </cell>
          <cell r="B300">
            <v>1</v>
          </cell>
        </row>
        <row r="301">
          <cell r="A301" t="str">
            <v>Canis terrestris</v>
          </cell>
          <cell r="B301">
            <v>1.038364019968949</v>
          </cell>
        </row>
        <row r="302">
          <cell r="A302" t="str">
            <v>Draco putrefactus</v>
          </cell>
          <cell r="B302">
            <v>1</v>
          </cell>
        </row>
        <row r="303">
          <cell r="A303" t="str">
            <v>Carcharofelis arenae</v>
          </cell>
          <cell r="B303">
            <v>1</v>
          </cell>
        </row>
        <row r="304">
          <cell r="A304" t="str">
            <v>Salvator electronis</v>
          </cell>
          <cell r="B304">
            <v>1</v>
          </cell>
        </row>
        <row r="305">
          <cell r="A305" t="str">
            <v>Anolis audiens</v>
          </cell>
          <cell r="B305">
            <v>1</v>
          </cell>
        </row>
        <row r="306">
          <cell r="A306" t="str">
            <v>Varanus squamosus</v>
          </cell>
          <cell r="B306">
            <v>1</v>
          </cell>
        </row>
        <row r="307">
          <cell r="A307" t="str">
            <v>Gnathus ferox</v>
          </cell>
          <cell r="B307">
            <v>1</v>
          </cell>
        </row>
        <row r="308">
          <cell r="A308" t="str">
            <v>Behemoth giganteus</v>
          </cell>
          <cell r="B308">
            <v>1</v>
          </cell>
        </row>
        <row r="309">
          <cell r="A309" t="str">
            <v>Colossus herbosus</v>
          </cell>
          <cell r="B309">
            <v>1</v>
          </cell>
        </row>
        <row r="310">
          <cell r="A310" t="str">
            <v>Colossus mycoides</v>
          </cell>
          <cell r="B310">
            <v>1</v>
          </cell>
        </row>
        <row r="311">
          <cell r="A311" t="str">
            <v>Colossus animae</v>
          </cell>
          <cell r="B311">
            <v>1</v>
          </cell>
        </row>
        <row r="312">
          <cell r="A312" t="str">
            <v>Murka sapiens</v>
          </cell>
          <cell r="B312">
            <v>1</v>
          </cell>
        </row>
        <row r="313">
          <cell r="A313" t="str">
            <v>Vandalis tenebrosus</v>
          </cell>
          <cell r="B313">
            <v>1</v>
          </cell>
        </row>
        <row r="314">
          <cell r="A314" t="str">
            <v>Crepiscuequs nocturnalis</v>
          </cell>
          <cell r="B314">
            <v>1</v>
          </cell>
        </row>
        <row r="315">
          <cell r="A315" t="str">
            <v>Crepiscuovis nocturnus</v>
          </cell>
          <cell r="B315">
            <v>1</v>
          </cell>
        </row>
        <row r="316">
          <cell r="A316" t="str">
            <v>Rattus nocturnus</v>
          </cell>
          <cell r="B316">
            <v>1</v>
          </cell>
        </row>
        <row r="317">
          <cell r="A317" t="str">
            <v>Crepiscuovis umbrosus</v>
          </cell>
          <cell r="B317">
            <v>1</v>
          </cell>
        </row>
        <row r="318">
          <cell r="A318" t="str">
            <v>Crepiscubos tonitrus</v>
          </cell>
          <cell r="B318">
            <v>1</v>
          </cell>
        </row>
        <row r="319">
          <cell r="A319" t="str">
            <v>Crepisculanius crepusculum</v>
          </cell>
          <cell r="B319">
            <v>1</v>
          </cell>
        </row>
        <row r="320">
          <cell r="A320" t="str">
            <v>Noctiluca ferox</v>
          </cell>
          <cell r="B320">
            <v>1</v>
          </cell>
        </row>
        <row r="321">
          <cell r="A321" t="str">
            <v>Noctiluca oculatus</v>
          </cell>
          <cell r="B321">
            <v>1</v>
          </cell>
        </row>
        <row r="322">
          <cell r="A322" t="str">
            <v>Avis prata</v>
          </cell>
          <cell r="B322">
            <v>1</v>
          </cell>
        </row>
        <row r="323">
          <cell r="A323" t="str">
            <v>Avis nocturnus</v>
          </cell>
          <cell r="B323">
            <v>1</v>
          </cell>
        </row>
        <row r="324">
          <cell r="A324" t="str">
            <v>Avis regalis</v>
          </cell>
          <cell r="B324">
            <v>1</v>
          </cell>
        </row>
        <row r="325">
          <cell r="A325" t="str">
            <v>Avis glacialis</v>
          </cell>
          <cell r="B325">
            <v>1</v>
          </cell>
        </row>
        <row r="326">
          <cell r="A326" t="str">
            <v>Avis desertum</v>
          </cell>
          <cell r="B326">
            <v>1</v>
          </cell>
        </row>
        <row r="327">
          <cell r="A327" t="str">
            <v>Silkie coronatus</v>
          </cell>
          <cell r="B327">
            <v>1</v>
          </cell>
        </row>
        <row r="328">
          <cell r="A328" t="str">
            <v>Phoenicopterus phoenix</v>
          </cell>
          <cell r="B328">
            <v>1</v>
          </cell>
        </row>
        <row r="329">
          <cell r="A329" t="str">
            <v>Velociraptor nobilis</v>
          </cell>
          <cell r="B329">
            <v>1</v>
          </cell>
        </row>
        <row r="330">
          <cell r="A330" t="str">
            <v>Tyrannosaurus rex</v>
          </cell>
          <cell r="B330">
            <v>1</v>
          </cell>
        </row>
        <row r="331">
          <cell r="A331" t="str">
            <v>Yutyrannus huali</v>
          </cell>
          <cell r="B331">
            <v>1</v>
          </cell>
        </row>
        <row r="332">
          <cell r="A332" t="str">
            <v>Carnotaurus sastrei</v>
          </cell>
          <cell r="B332">
            <v>1</v>
          </cell>
        </row>
        <row r="333">
          <cell r="A333" t="str">
            <v>Allosaurus fragilis</v>
          </cell>
          <cell r="B333">
            <v>1</v>
          </cell>
        </row>
        <row r="334">
          <cell r="A334" t="str">
            <v>Spinosaurus aegyptiacus</v>
          </cell>
          <cell r="B334">
            <v>1</v>
          </cell>
        </row>
        <row r="335">
          <cell r="A335" t="str">
            <v>Baryonyx walkeri</v>
          </cell>
          <cell r="B335">
            <v>1</v>
          </cell>
        </row>
        <row r="336">
          <cell r="A336" t="str">
            <v>Ankylosaurus magniventris</v>
          </cell>
          <cell r="B336">
            <v>1</v>
          </cell>
        </row>
        <row r="337">
          <cell r="A337" t="str">
            <v>Minmi paravertebra</v>
          </cell>
          <cell r="B337">
            <v>1</v>
          </cell>
        </row>
        <row r="338">
          <cell r="A338" t="str">
            <v>Brachiosaurus altithorax</v>
          </cell>
          <cell r="B338">
            <v>1</v>
          </cell>
        </row>
        <row r="339">
          <cell r="A339" t="str">
            <v>Brachiosaurus altithorax</v>
          </cell>
          <cell r="B339">
            <v>1</v>
          </cell>
        </row>
        <row r="340">
          <cell r="A340" t="str">
            <v>Diplodocus longus</v>
          </cell>
          <cell r="B340">
            <v>1</v>
          </cell>
        </row>
        <row r="341">
          <cell r="A341" t="str">
            <v>Magyarosaurus transsylvanicus</v>
          </cell>
          <cell r="B341">
            <v>1</v>
          </cell>
        </row>
        <row r="342">
          <cell r="A342" t="str">
            <v>Utahraptor ostrommaysi</v>
          </cell>
          <cell r="B342">
            <v>1</v>
          </cell>
        </row>
        <row r="343">
          <cell r="A343" t="str">
            <v>Dakotaraptor steini</v>
          </cell>
          <cell r="B343">
            <v>1</v>
          </cell>
        </row>
        <row r="344">
          <cell r="A344" t="str">
            <v>Dilophosaurus wetherilli</v>
          </cell>
          <cell r="B344">
            <v>1</v>
          </cell>
        </row>
        <row r="345">
          <cell r="A345" t="str">
            <v>Velociraptor mongoliensis</v>
          </cell>
          <cell r="B345">
            <v>1</v>
          </cell>
        </row>
        <row r="346">
          <cell r="A346" t="str">
            <v xml:space="preserve">Compsognathus longipes </v>
          </cell>
          <cell r="B346">
            <v>1</v>
          </cell>
        </row>
        <row r="347">
          <cell r="A347" t="str">
            <v>Gallimimus bullatus</v>
          </cell>
          <cell r="B347">
            <v>1</v>
          </cell>
        </row>
        <row r="348">
          <cell r="A348" t="str">
            <v>Gigantoraptor erlianensis</v>
          </cell>
          <cell r="B348">
            <v>1</v>
          </cell>
        </row>
        <row r="349">
          <cell r="A349" t="str">
            <v>Iguanodon bernissartensis</v>
          </cell>
          <cell r="B349">
            <v>1</v>
          </cell>
        </row>
        <row r="350">
          <cell r="A350" t="str">
            <v>Parasaurolophus walkeri</v>
          </cell>
          <cell r="B350">
            <v>1</v>
          </cell>
        </row>
        <row r="351">
          <cell r="A351" t="str">
            <v>Corythosaurus casuarius</v>
          </cell>
          <cell r="B351">
            <v>1</v>
          </cell>
        </row>
        <row r="352">
          <cell r="A352" t="str">
            <v>Deinocheirus mirificus</v>
          </cell>
          <cell r="B352">
            <v>1</v>
          </cell>
        </row>
        <row r="353">
          <cell r="A353" t="str">
            <v>Therizinosaurus cheloniformis</v>
          </cell>
          <cell r="B353">
            <v>1</v>
          </cell>
        </row>
        <row r="354">
          <cell r="A354" t="str">
            <v>Pachycephalosaurus wyomingensis</v>
          </cell>
          <cell r="B354">
            <v>1</v>
          </cell>
        </row>
        <row r="355">
          <cell r="A355" t="str">
            <v>Stygimoloch spinifer</v>
          </cell>
          <cell r="B355">
            <v>1</v>
          </cell>
        </row>
        <row r="356">
          <cell r="A356" t="str">
            <v>Dryosaurus altus</v>
          </cell>
          <cell r="B356">
            <v>1</v>
          </cell>
        </row>
        <row r="357">
          <cell r="A357" t="str">
            <v>Stegosaurus stenops</v>
          </cell>
          <cell r="B357">
            <v>1</v>
          </cell>
        </row>
        <row r="358">
          <cell r="A358" t="str">
            <v>Protoceratops andrewsi</v>
          </cell>
          <cell r="B358">
            <v>1</v>
          </cell>
        </row>
        <row r="359">
          <cell r="A359" t="str">
            <v>Triceratops horridus</v>
          </cell>
          <cell r="B359">
            <v>1</v>
          </cell>
        </row>
        <row r="360">
          <cell r="A360" t="str">
            <v>Quetzalcoatlus northropi</v>
          </cell>
          <cell r="B360">
            <v>1</v>
          </cell>
        </row>
        <row r="361">
          <cell r="A361" t="str">
            <v>Pteranodon longiceps</v>
          </cell>
          <cell r="B361">
            <v>1</v>
          </cell>
        </row>
      </sheetData>
      <sheetData sheetId="2">
        <row r="1">
          <cell r="C1" t="str">
            <v>Bite force adjuster</v>
          </cell>
        </row>
        <row r="2">
          <cell r="C2">
            <v>0.92926025227234477</v>
          </cell>
        </row>
        <row r="3">
          <cell r="C3">
            <v>0.99503981156163335</v>
          </cell>
        </row>
        <row r="4">
          <cell r="C4">
            <v>0.693033347467086</v>
          </cell>
        </row>
        <row r="5">
          <cell r="C5">
            <v>1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1</v>
          </cell>
        </row>
        <row r="9">
          <cell r="C9">
            <v>1</v>
          </cell>
        </row>
        <row r="10">
          <cell r="C10">
            <v>1</v>
          </cell>
        </row>
        <row r="11">
          <cell r="C11">
            <v>1</v>
          </cell>
        </row>
        <row r="12">
          <cell r="C12">
            <v>1</v>
          </cell>
        </row>
        <row r="13">
          <cell r="C13">
            <v>1</v>
          </cell>
        </row>
        <row r="14">
          <cell r="C14">
            <v>0.71417487730106877</v>
          </cell>
        </row>
        <row r="15">
          <cell r="C15">
            <v>0.71417487730106877</v>
          </cell>
        </row>
        <row r="16">
          <cell r="C16">
            <v>0.71417487730106877</v>
          </cell>
        </row>
        <row r="17">
          <cell r="C17">
            <v>0.85422409643679775</v>
          </cell>
        </row>
        <row r="18">
          <cell r="C18">
            <v>1.2846517022095629</v>
          </cell>
        </row>
        <row r="19">
          <cell r="C19">
            <v>0.77942794130455306</v>
          </cell>
        </row>
        <row r="20">
          <cell r="C20">
            <v>0.9224429531163798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C24">
            <v>1</v>
          </cell>
        </row>
        <row r="25">
          <cell r="C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1.1263193361005157</v>
          </cell>
        </row>
        <row r="30">
          <cell r="C30">
            <v>0.97083004636870796</v>
          </cell>
        </row>
        <row r="31">
          <cell r="C31">
            <v>2.3599119779468505</v>
          </cell>
        </row>
        <row r="32">
          <cell r="C32">
            <v>1</v>
          </cell>
        </row>
        <row r="33">
          <cell r="C33">
            <v>1</v>
          </cell>
        </row>
        <row r="34">
          <cell r="C34">
            <v>1</v>
          </cell>
        </row>
        <row r="35">
          <cell r="C35">
            <v>1.2301255004119624</v>
          </cell>
        </row>
        <row r="36">
          <cell r="C36">
            <v>1.333594210519996</v>
          </cell>
        </row>
        <row r="37">
          <cell r="C37">
            <v>1</v>
          </cell>
        </row>
        <row r="38">
          <cell r="C38">
            <v>1</v>
          </cell>
        </row>
        <row r="39">
          <cell r="C39">
            <v>1</v>
          </cell>
        </row>
        <row r="40">
          <cell r="C40">
            <v>1.5835439013324151</v>
          </cell>
        </row>
        <row r="41">
          <cell r="C41">
            <v>1</v>
          </cell>
        </row>
        <row r="42">
          <cell r="C42">
            <v>1</v>
          </cell>
        </row>
        <row r="43">
          <cell r="C43">
            <v>1</v>
          </cell>
        </row>
        <row r="44">
          <cell r="C44">
            <v>1</v>
          </cell>
        </row>
        <row r="45">
          <cell r="C45">
            <v>1</v>
          </cell>
        </row>
        <row r="46">
          <cell r="C46">
            <v>1</v>
          </cell>
        </row>
        <row r="47">
          <cell r="C47">
            <v>1</v>
          </cell>
        </row>
        <row r="48">
          <cell r="C48">
            <v>1</v>
          </cell>
        </row>
        <row r="49">
          <cell r="C49">
            <v>1</v>
          </cell>
        </row>
        <row r="50">
          <cell r="C50">
            <v>1</v>
          </cell>
        </row>
        <row r="51">
          <cell r="C51">
            <v>1</v>
          </cell>
        </row>
        <row r="52">
          <cell r="C52">
            <v>1</v>
          </cell>
        </row>
        <row r="53">
          <cell r="C53">
            <v>1</v>
          </cell>
        </row>
        <row r="54">
          <cell r="C54">
            <v>1</v>
          </cell>
        </row>
        <row r="55">
          <cell r="C55">
            <v>1.0425371059413748</v>
          </cell>
        </row>
        <row r="56">
          <cell r="C56">
            <v>0.92071733882611773</v>
          </cell>
        </row>
        <row r="57">
          <cell r="C57">
            <v>0.92071733882611773</v>
          </cell>
        </row>
        <row r="58">
          <cell r="C58">
            <v>1.149951989577956</v>
          </cell>
        </row>
        <row r="59">
          <cell r="C59">
            <v>1.0316269082575813</v>
          </cell>
        </row>
        <row r="60">
          <cell r="C60">
            <v>0.5275430710799015</v>
          </cell>
        </row>
        <row r="61">
          <cell r="C61">
            <v>0.89112849882177569</v>
          </cell>
        </row>
        <row r="62">
          <cell r="C62">
            <v>1.5795312099353875</v>
          </cell>
        </row>
        <row r="63">
          <cell r="C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C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C70">
            <v>1</v>
          </cell>
        </row>
        <row r="71">
          <cell r="C71">
            <v>1</v>
          </cell>
        </row>
        <row r="72">
          <cell r="C72">
            <v>1</v>
          </cell>
        </row>
        <row r="73">
          <cell r="C73">
            <v>1</v>
          </cell>
        </row>
        <row r="74">
          <cell r="C74">
            <v>1.2883872486194152</v>
          </cell>
        </row>
        <row r="75">
          <cell r="C75">
            <v>1</v>
          </cell>
        </row>
        <row r="76">
          <cell r="C76">
            <v>1</v>
          </cell>
        </row>
        <row r="77">
          <cell r="C77">
            <v>1</v>
          </cell>
        </row>
        <row r="78">
          <cell r="C78">
            <v>1</v>
          </cell>
        </row>
        <row r="79">
          <cell r="C79">
            <v>1</v>
          </cell>
        </row>
        <row r="80">
          <cell r="C80">
            <v>1</v>
          </cell>
        </row>
        <row r="81">
          <cell r="C81">
            <v>1</v>
          </cell>
        </row>
        <row r="82">
          <cell r="C82">
            <v>2.1970451716078339</v>
          </cell>
        </row>
        <row r="83">
          <cell r="C83">
            <v>1.1315200874177178</v>
          </cell>
        </row>
        <row r="84">
          <cell r="C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C88">
            <v>1</v>
          </cell>
        </row>
        <row r="89">
          <cell r="C89">
            <v>1.1676825028331534</v>
          </cell>
        </row>
        <row r="90">
          <cell r="C90">
            <v>0.36515827447155735</v>
          </cell>
        </row>
        <row r="91">
          <cell r="C91">
            <v>1.5742707783403749</v>
          </cell>
        </row>
        <row r="92">
          <cell r="C92">
            <v>1</v>
          </cell>
        </row>
        <row r="93">
          <cell r="C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C97">
            <v>1</v>
          </cell>
        </row>
        <row r="98">
          <cell r="C98">
            <v>1</v>
          </cell>
        </row>
        <row r="99">
          <cell r="C99">
            <v>1.0425371059413748</v>
          </cell>
        </row>
        <row r="100">
          <cell r="C100">
            <v>1</v>
          </cell>
        </row>
        <row r="101">
          <cell r="C101">
            <v>1</v>
          </cell>
        </row>
        <row r="102">
          <cell r="C102">
            <v>1</v>
          </cell>
        </row>
        <row r="103">
          <cell r="C103">
            <v>1</v>
          </cell>
        </row>
        <row r="104">
          <cell r="C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C107">
            <v>1</v>
          </cell>
        </row>
        <row r="108">
          <cell r="C108">
            <v>1</v>
          </cell>
        </row>
        <row r="109">
          <cell r="C109">
            <v>0.71451147426394657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C112">
            <v>1</v>
          </cell>
        </row>
        <row r="113">
          <cell r="C113">
            <v>0.93326681947193157</v>
          </cell>
        </row>
        <row r="114">
          <cell r="C114">
            <v>0.69716878329164778</v>
          </cell>
        </row>
        <row r="115">
          <cell r="C115">
            <v>1</v>
          </cell>
        </row>
        <row r="116">
          <cell r="C116">
            <v>1</v>
          </cell>
        </row>
        <row r="117">
          <cell r="C117">
            <v>1</v>
          </cell>
        </row>
        <row r="118">
          <cell r="C118">
            <v>1</v>
          </cell>
        </row>
        <row r="119">
          <cell r="C119">
            <v>0.71451147426394657</v>
          </cell>
        </row>
        <row r="120">
          <cell r="C120">
            <v>1.0792286509064426</v>
          </cell>
        </row>
        <row r="121">
          <cell r="C121">
            <v>1.3094980210581604</v>
          </cell>
        </row>
        <row r="122">
          <cell r="C122">
            <v>1</v>
          </cell>
        </row>
        <row r="123">
          <cell r="C123">
            <v>1.0500914910482129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C126">
            <v>1</v>
          </cell>
        </row>
        <row r="127">
          <cell r="C127">
            <v>1</v>
          </cell>
        </row>
        <row r="128">
          <cell r="C128">
            <v>1.4697924181385804</v>
          </cell>
        </row>
        <row r="129">
          <cell r="C129">
            <v>1</v>
          </cell>
        </row>
        <row r="130">
          <cell r="C130">
            <v>1.5835439013324151</v>
          </cell>
        </row>
        <row r="131">
          <cell r="C131">
            <v>1</v>
          </cell>
        </row>
        <row r="132">
          <cell r="C132">
            <v>1.7207631063976647</v>
          </cell>
        </row>
        <row r="133">
          <cell r="C133">
            <v>0.9222456923748853</v>
          </cell>
        </row>
        <row r="134">
          <cell r="C134">
            <v>1</v>
          </cell>
        </row>
        <row r="135">
          <cell r="C135">
            <v>1</v>
          </cell>
        </row>
        <row r="136">
          <cell r="C136">
            <v>1</v>
          </cell>
        </row>
        <row r="137">
          <cell r="C137">
            <v>1</v>
          </cell>
        </row>
        <row r="138">
          <cell r="C138">
            <v>2.1970451716078339</v>
          </cell>
        </row>
        <row r="139">
          <cell r="C139">
            <v>0.71417487730106877</v>
          </cell>
        </row>
        <row r="140">
          <cell r="C140">
            <v>0.71417487730106877</v>
          </cell>
        </row>
        <row r="141">
          <cell r="C141">
            <v>0.71417487730106877</v>
          </cell>
        </row>
        <row r="142">
          <cell r="C142">
            <v>0.71417487730106877</v>
          </cell>
        </row>
        <row r="143">
          <cell r="C143">
            <v>0.71417487730106877</v>
          </cell>
        </row>
        <row r="144">
          <cell r="C144">
            <v>0.71417487730106877</v>
          </cell>
        </row>
        <row r="145">
          <cell r="C145">
            <v>0.71417487730106877</v>
          </cell>
        </row>
        <row r="146">
          <cell r="C146">
            <v>0.71417487730106877</v>
          </cell>
        </row>
        <row r="147">
          <cell r="C147">
            <v>0.71417487730106877</v>
          </cell>
        </row>
        <row r="148">
          <cell r="C148">
            <v>0.71417487730106877</v>
          </cell>
        </row>
        <row r="149">
          <cell r="C149">
            <v>0.71417487730106877</v>
          </cell>
        </row>
        <row r="150">
          <cell r="C150">
            <v>0.9224429531163798</v>
          </cell>
        </row>
        <row r="151">
          <cell r="C151">
            <v>0.9224429531163798</v>
          </cell>
        </row>
        <row r="152">
          <cell r="C152">
            <v>0.9224429531163798</v>
          </cell>
        </row>
        <row r="153">
          <cell r="C153">
            <v>0.9224429531163798</v>
          </cell>
        </row>
        <row r="154">
          <cell r="C154">
            <v>0.9224429531163798</v>
          </cell>
        </row>
        <row r="155">
          <cell r="C155">
            <v>0.9224429531163798</v>
          </cell>
        </row>
        <row r="156">
          <cell r="C156">
            <v>0.9224429531163798</v>
          </cell>
        </row>
        <row r="157">
          <cell r="C157">
            <v>0.9224429531163798</v>
          </cell>
        </row>
        <row r="158">
          <cell r="C158">
            <v>0.9224429531163798</v>
          </cell>
        </row>
        <row r="159">
          <cell r="C159">
            <v>0.9224429531163798</v>
          </cell>
        </row>
        <row r="160">
          <cell r="C160">
            <v>1</v>
          </cell>
        </row>
        <row r="161">
          <cell r="C161">
            <v>0.61235096575252035</v>
          </cell>
        </row>
        <row r="162">
          <cell r="C162">
            <v>1</v>
          </cell>
        </row>
        <row r="163">
          <cell r="C163">
            <v>1.8280676541174832</v>
          </cell>
        </row>
        <row r="164">
          <cell r="C164">
            <v>1</v>
          </cell>
        </row>
        <row r="165">
          <cell r="C165">
            <v>1</v>
          </cell>
        </row>
        <row r="166">
          <cell r="C166">
            <v>1</v>
          </cell>
        </row>
        <row r="167">
          <cell r="C167">
            <v>1</v>
          </cell>
        </row>
        <row r="168">
          <cell r="C168">
            <v>1</v>
          </cell>
        </row>
        <row r="169">
          <cell r="C169">
            <v>1</v>
          </cell>
        </row>
        <row r="170">
          <cell r="C170">
            <v>1</v>
          </cell>
        </row>
        <row r="171">
          <cell r="C171">
            <v>1</v>
          </cell>
        </row>
        <row r="172">
          <cell r="C172">
            <v>1</v>
          </cell>
        </row>
        <row r="173">
          <cell r="C173">
            <v>1.1315200874177178</v>
          </cell>
        </row>
        <row r="174">
          <cell r="C174">
            <v>1</v>
          </cell>
        </row>
        <row r="175">
          <cell r="C175">
            <v>2.1366378200334371</v>
          </cell>
        </row>
        <row r="176">
          <cell r="C176">
            <v>1</v>
          </cell>
        </row>
        <row r="177">
          <cell r="C177">
            <v>1</v>
          </cell>
        </row>
        <row r="178">
          <cell r="C178">
            <v>1</v>
          </cell>
        </row>
        <row r="179">
          <cell r="C179">
            <v>1</v>
          </cell>
        </row>
        <row r="180">
          <cell r="C180">
            <v>1</v>
          </cell>
        </row>
        <row r="181">
          <cell r="C181">
            <v>1.0735019524462699</v>
          </cell>
        </row>
        <row r="182">
          <cell r="C182">
            <v>1</v>
          </cell>
        </row>
        <row r="183">
          <cell r="C183">
            <v>1</v>
          </cell>
        </row>
        <row r="184">
          <cell r="C184">
            <v>1</v>
          </cell>
        </row>
        <row r="185">
          <cell r="C185">
            <v>1</v>
          </cell>
        </row>
        <row r="186">
          <cell r="C186">
            <v>1.0347115248382959</v>
          </cell>
        </row>
        <row r="187">
          <cell r="C187">
            <v>0.95286851108357262</v>
          </cell>
        </row>
        <row r="188">
          <cell r="C188">
            <v>1</v>
          </cell>
        </row>
        <row r="189">
          <cell r="C189">
            <v>1.0893763961400491</v>
          </cell>
        </row>
        <row r="190">
          <cell r="C190">
            <v>1</v>
          </cell>
        </row>
        <row r="191">
          <cell r="C191">
            <v>0.97083004636870796</v>
          </cell>
        </row>
        <row r="192">
          <cell r="C192">
            <v>1</v>
          </cell>
        </row>
        <row r="193">
          <cell r="C193">
            <v>1</v>
          </cell>
        </row>
        <row r="194">
          <cell r="C194">
            <v>1</v>
          </cell>
        </row>
        <row r="195">
          <cell r="C195">
            <v>1</v>
          </cell>
        </row>
        <row r="196">
          <cell r="C196">
            <v>1</v>
          </cell>
        </row>
        <row r="197">
          <cell r="C197">
            <v>1</v>
          </cell>
        </row>
        <row r="198">
          <cell r="C198">
            <v>1</v>
          </cell>
        </row>
        <row r="199">
          <cell r="C199">
            <v>1</v>
          </cell>
        </row>
        <row r="200">
          <cell r="C200">
            <v>1</v>
          </cell>
        </row>
        <row r="201">
          <cell r="C201">
            <v>1</v>
          </cell>
        </row>
        <row r="202">
          <cell r="C202">
            <v>1</v>
          </cell>
        </row>
        <row r="203">
          <cell r="C203">
            <v>1</v>
          </cell>
        </row>
        <row r="204">
          <cell r="C204">
            <v>1</v>
          </cell>
        </row>
        <row r="205">
          <cell r="C205">
            <v>1</v>
          </cell>
        </row>
        <row r="206">
          <cell r="C206">
            <v>1</v>
          </cell>
        </row>
        <row r="207">
          <cell r="C207">
            <v>1</v>
          </cell>
        </row>
        <row r="208">
          <cell r="C208">
            <v>1</v>
          </cell>
        </row>
        <row r="209">
          <cell r="C209">
            <v>1</v>
          </cell>
        </row>
        <row r="210">
          <cell r="C210">
            <v>1</v>
          </cell>
        </row>
        <row r="211">
          <cell r="C211">
            <v>1</v>
          </cell>
        </row>
        <row r="212">
          <cell r="C212">
            <v>1</v>
          </cell>
        </row>
        <row r="213">
          <cell r="C213">
            <v>1</v>
          </cell>
        </row>
        <row r="214">
          <cell r="C214">
            <v>1</v>
          </cell>
        </row>
        <row r="215">
          <cell r="C215">
            <v>1</v>
          </cell>
        </row>
        <row r="216">
          <cell r="C216">
            <v>1</v>
          </cell>
        </row>
        <row r="217">
          <cell r="C217">
            <v>1</v>
          </cell>
        </row>
        <row r="218">
          <cell r="C218">
            <v>1</v>
          </cell>
        </row>
        <row r="219">
          <cell r="C219">
            <v>1</v>
          </cell>
        </row>
        <row r="220">
          <cell r="C220">
            <v>1</v>
          </cell>
        </row>
        <row r="221">
          <cell r="C221">
            <v>1</v>
          </cell>
        </row>
        <row r="222">
          <cell r="C222">
            <v>1</v>
          </cell>
        </row>
        <row r="223">
          <cell r="C223">
            <v>1</v>
          </cell>
        </row>
        <row r="224">
          <cell r="C224">
            <v>1</v>
          </cell>
        </row>
        <row r="225">
          <cell r="C225">
            <v>1</v>
          </cell>
        </row>
        <row r="226">
          <cell r="C226">
            <v>1</v>
          </cell>
        </row>
        <row r="227">
          <cell r="C227">
            <v>1</v>
          </cell>
        </row>
        <row r="228">
          <cell r="C228">
            <v>1</v>
          </cell>
        </row>
        <row r="229">
          <cell r="C229">
            <v>1</v>
          </cell>
        </row>
        <row r="230">
          <cell r="C230">
            <v>1</v>
          </cell>
        </row>
        <row r="231">
          <cell r="C231">
            <v>1</v>
          </cell>
        </row>
        <row r="232">
          <cell r="C232">
            <v>1</v>
          </cell>
        </row>
        <row r="233">
          <cell r="C233">
            <v>1</v>
          </cell>
        </row>
        <row r="234">
          <cell r="C234">
            <v>1</v>
          </cell>
        </row>
        <row r="235">
          <cell r="C235">
            <v>1</v>
          </cell>
        </row>
        <row r="236">
          <cell r="C236">
            <v>1</v>
          </cell>
        </row>
        <row r="237">
          <cell r="C237">
            <v>1</v>
          </cell>
        </row>
        <row r="238">
          <cell r="C238">
            <v>1</v>
          </cell>
        </row>
        <row r="239">
          <cell r="C239">
            <v>1</v>
          </cell>
        </row>
        <row r="240">
          <cell r="C240">
            <v>1</v>
          </cell>
        </row>
        <row r="241">
          <cell r="C241">
            <v>1</v>
          </cell>
        </row>
        <row r="242">
          <cell r="C242">
            <v>1</v>
          </cell>
        </row>
        <row r="243">
          <cell r="C243">
            <v>1</v>
          </cell>
        </row>
        <row r="244">
          <cell r="C244">
            <v>1</v>
          </cell>
        </row>
        <row r="245">
          <cell r="C245">
            <v>1</v>
          </cell>
        </row>
        <row r="246">
          <cell r="C246">
            <v>1</v>
          </cell>
        </row>
        <row r="247">
          <cell r="C247">
            <v>1</v>
          </cell>
        </row>
        <row r="248">
          <cell r="C248">
            <v>1</v>
          </cell>
        </row>
        <row r="249">
          <cell r="C249">
            <v>1</v>
          </cell>
        </row>
        <row r="250">
          <cell r="C250">
            <v>1</v>
          </cell>
        </row>
        <row r="251">
          <cell r="C251">
            <v>1</v>
          </cell>
        </row>
        <row r="252">
          <cell r="C252">
            <v>1</v>
          </cell>
        </row>
        <row r="253">
          <cell r="C253">
            <v>1</v>
          </cell>
        </row>
        <row r="254">
          <cell r="C254">
            <v>1</v>
          </cell>
        </row>
        <row r="255">
          <cell r="C255">
            <v>1</v>
          </cell>
        </row>
        <row r="256">
          <cell r="C256">
            <v>1</v>
          </cell>
        </row>
        <row r="257">
          <cell r="C257">
            <v>1</v>
          </cell>
        </row>
        <row r="258">
          <cell r="C258">
            <v>1</v>
          </cell>
        </row>
        <row r="259">
          <cell r="C259">
            <v>1</v>
          </cell>
        </row>
        <row r="260">
          <cell r="C260">
            <v>1</v>
          </cell>
        </row>
        <row r="261">
          <cell r="C261">
            <v>1</v>
          </cell>
        </row>
        <row r="262">
          <cell r="C262">
            <v>1</v>
          </cell>
        </row>
        <row r="263">
          <cell r="C263">
            <v>1</v>
          </cell>
        </row>
        <row r="264">
          <cell r="C264">
            <v>1</v>
          </cell>
        </row>
        <row r="265">
          <cell r="C265">
            <v>1</v>
          </cell>
        </row>
        <row r="266">
          <cell r="C266">
            <v>1</v>
          </cell>
        </row>
        <row r="267">
          <cell r="C267">
            <v>1</v>
          </cell>
        </row>
        <row r="268">
          <cell r="C268">
            <v>1</v>
          </cell>
        </row>
        <row r="269">
          <cell r="C269">
            <v>1</v>
          </cell>
        </row>
        <row r="270">
          <cell r="C270">
            <v>1</v>
          </cell>
        </row>
        <row r="271">
          <cell r="C271">
            <v>1</v>
          </cell>
        </row>
        <row r="272">
          <cell r="C272">
            <v>1</v>
          </cell>
        </row>
        <row r="273">
          <cell r="C273">
            <v>1</v>
          </cell>
        </row>
        <row r="274">
          <cell r="C274">
            <v>1</v>
          </cell>
        </row>
        <row r="275">
          <cell r="C275">
            <v>1</v>
          </cell>
        </row>
        <row r="276">
          <cell r="C276">
            <v>1</v>
          </cell>
        </row>
        <row r="277">
          <cell r="C277">
            <v>1</v>
          </cell>
        </row>
        <row r="278">
          <cell r="C278">
            <v>1.0893763961400491</v>
          </cell>
        </row>
        <row r="279">
          <cell r="C279">
            <v>1.0893763961400491</v>
          </cell>
        </row>
        <row r="280">
          <cell r="C280">
            <v>1</v>
          </cell>
        </row>
        <row r="281">
          <cell r="C281">
            <v>1</v>
          </cell>
        </row>
        <row r="282">
          <cell r="C282">
            <v>1</v>
          </cell>
        </row>
        <row r="283">
          <cell r="C283">
            <v>1.006394342764126</v>
          </cell>
        </row>
        <row r="284">
          <cell r="C284">
            <v>1</v>
          </cell>
        </row>
        <row r="285">
          <cell r="C285">
            <v>1</v>
          </cell>
        </row>
        <row r="286">
          <cell r="C286">
            <v>1</v>
          </cell>
        </row>
        <row r="287">
          <cell r="C287">
            <v>1.0425371059413748</v>
          </cell>
        </row>
        <row r="288">
          <cell r="C288">
            <v>1.0425371059413748</v>
          </cell>
        </row>
        <row r="289">
          <cell r="C289">
            <v>1.0347115248382959</v>
          </cell>
        </row>
        <row r="290">
          <cell r="C290">
            <v>1</v>
          </cell>
        </row>
        <row r="291">
          <cell r="C291">
            <v>1</v>
          </cell>
        </row>
        <row r="292">
          <cell r="C292">
            <v>1</v>
          </cell>
        </row>
        <row r="293">
          <cell r="C293">
            <v>1</v>
          </cell>
        </row>
        <row r="294">
          <cell r="C294">
            <v>1</v>
          </cell>
        </row>
        <row r="295">
          <cell r="C295">
            <v>1</v>
          </cell>
        </row>
        <row r="296">
          <cell r="C296">
            <v>1</v>
          </cell>
        </row>
        <row r="297">
          <cell r="C297">
            <v>1</v>
          </cell>
        </row>
        <row r="298">
          <cell r="C298">
            <v>1</v>
          </cell>
        </row>
        <row r="299">
          <cell r="C299">
            <v>1</v>
          </cell>
        </row>
        <row r="300">
          <cell r="C300">
            <v>1</v>
          </cell>
        </row>
        <row r="301">
          <cell r="C301">
            <v>1.0425371059413748</v>
          </cell>
        </row>
        <row r="302">
          <cell r="C302">
            <v>1</v>
          </cell>
        </row>
        <row r="303">
          <cell r="C303">
            <v>1</v>
          </cell>
        </row>
        <row r="304">
          <cell r="C304">
            <v>1</v>
          </cell>
        </row>
        <row r="305">
          <cell r="C305">
            <v>1.7200053335432037</v>
          </cell>
        </row>
        <row r="306">
          <cell r="C306">
            <v>0.21856036162674039</v>
          </cell>
        </row>
        <row r="307">
          <cell r="C307">
            <v>1</v>
          </cell>
        </row>
        <row r="308">
          <cell r="C308">
            <v>1</v>
          </cell>
        </row>
        <row r="309">
          <cell r="C309">
            <v>1</v>
          </cell>
        </row>
        <row r="310">
          <cell r="C310">
            <v>1</v>
          </cell>
        </row>
        <row r="311">
          <cell r="C311">
            <v>1</v>
          </cell>
        </row>
        <row r="312">
          <cell r="C312">
            <v>1</v>
          </cell>
        </row>
        <row r="313">
          <cell r="C313">
            <v>1</v>
          </cell>
        </row>
        <row r="314">
          <cell r="C314">
            <v>1</v>
          </cell>
        </row>
        <row r="315">
          <cell r="C315">
            <v>1</v>
          </cell>
        </row>
        <row r="316">
          <cell r="C316">
            <v>0.89112849882177569</v>
          </cell>
        </row>
        <row r="317">
          <cell r="C317">
            <v>1</v>
          </cell>
        </row>
        <row r="318">
          <cell r="C318">
            <v>1</v>
          </cell>
        </row>
        <row r="319">
          <cell r="C319">
            <v>1</v>
          </cell>
        </row>
        <row r="320">
          <cell r="C320">
            <v>1</v>
          </cell>
        </row>
        <row r="321">
          <cell r="C321">
            <v>1</v>
          </cell>
        </row>
        <row r="322">
          <cell r="C322">
            <v>1</v>
          </cell>
        </row>
        <row r="323">
          <cell r="C323">
            <v>1</v>
          </cell>
        </row>
        <row r="324">
          <cell r="C324">
            <v>1</v>
          </cell>
        </row>
        <row r="325">
          <cell r="C325">
            <v>1</v>
          </cell>
        </row>
        <row r="326">
          <cell r="C326">
            <v>1</v>
          </cell>
        </row>
        <row r="327">
          <cell r="C327">
            <v>1</v>
          </cell>
        </row>
        <row r="328">
          <cell r="C328">
            <v>1</v>
          </cell>
        </row>
        <row r="329">
          <cell r="C329">
            <v>0.47844493899746898</v>
          </cell>
        </row>
        <row r="330">
          <cell r="C330">
            <v>1.8364595276640094</v>
          </cell>
        </row>
        <row r="331">
          <cell r="C331">
            <v>1</v>
          </cell>
        </row>
        <row r="332">
          <cell r="C332">
            <v>0.61934481752458748</v>
          </cell>
        </row>
        <row r="333">
          <cell r="C333">
            <v>0.89853687178178665</v>
          </cell>
        </row>
        <row r="334">
          <cell r="C334">
            <v>0.37683453500109182</v>
          </cell>
        </row>
        <row r="335">
          <cell r="C335">
            <v>0.2586468597552094</v>
          </cell>
        </row>
        <row r="336">
          <cell r="C336">
            <v>1</v>
          </cell>
        </row>
        <row r="337">
          <cell r="C337">
            <v>1</v>
          </cell>
        </row>
        <row r="338">
          <cell r="C338">
            <v>1</v>
          </cell>
        </row>
        <row r="339">
          <cell r="C339">
            <v>1</v>
          </cell>
        </row>
        <row r="340">
          <cell r="C340">
            <v>1</v>
          </cell>
        </row>
        <row r="341">
          <cell r="C341">
            <v>1</v>
          </cell>
        </row>
        <row r="342">
          <cell r="C342">
            <v>1</v>
          </cell>
        </row>
        <row r="343">
          <cell r="C343">
            <v>1</v>
          </cell>
        </row>
        <row r="344">
          <cell r="C344">
            <v>1</v>
          </cell>
        </row>
        <row r="345">
          <cell r="C345">
            <v>0.47844493899746898</v>
          </cell>
        </row>
        <row r="346">
          <cell r="C346">
            <v>1</v>
          </cell>
        </row>
        <row r="347">
          <cell r="C347">
            <v>5.4636970278415457E-2</v>
          </cell>
        </row>
        <row r="348">
          <cell r="C348">
            <v>1</v>
          </cell>
        </row>
        <row r="349">
          <cell r="C349">
            <v>1</v>
          </cell>
        </row>
        <row r="350">
          <cell r="C350">
            <v>1</v>
          </cell>
        </row>
        <row r="351">
          <cell r="C351">
            <v>1</v>
          </cell>
        </row>
        <row r="352">
          <cell r="C352">
            <v>1</v>
          </cell>
        </row>
        <row r="353">
          <cell r="C353">
            <v>1</v>
          </cell>
        </row>
        <row r="354">
          <cell r="C354">
            <v>1</v>
          </cell>
        </row>
        <row r="355">
          <cell r="C355">
            <v>1</v>
          </cell>
        </row>
        <row r="356">
          <cell r="C356">
            <v>1</v>
          </cell>
        </row>
        <row r="357">
          <cell r="C357">
            <v>1</v>
          </cell>
        </row>
        <row r="358">
          <cell r="C358">
            <v>1</v>
          </cell>
        </row>
        <row r="359">
          <cell r="C359">
            <v>1</v>
          </cell>
        </row>
        <row r="360">
          <cell r="C360">
            <v>1</v>
          </cell>
        </row>
        <row r="361">
          <cell r="C361">
            <v>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B425-335A-4A91-B854-522395972B20}">
  <dimension ref="A1:BM140"/>
  <sheetViews>
    <sheetView topLeftCell="A46" zoomScale="85" zoomScaleNormal="85" workbookViewId="0">
      <pane xSplit="1" topLeftCell="B1" activePane="topRight" state="frozen"/>
      <selection pane="topRight" activeCell="C29" sqref="C29"/>
    </sheetView>
  </sheetViews>
  <sheetFormatPr defaultRowHeight="15" x14ac:dyDescent="0.25"/>
  <cols>
    <col min="1" max="1" width="39.5703125" bestFit="1" customWidth="1"/>
    <col min="2" max="2" width="13.42578125" style="39" bestFit="1" customWidth="1"/>
    <col min="3" max="3" width="18.140625" style="39" bestFit="1" customWidth="1"/>
    <col min="4" max="4" width="9.28515625" style="39" bestFit="1" customWidth="1"/>
    <col min="5" max="5" width="13.85546875" style="39" bestFit="1" customWidth="1"/>
    <col min="6" max="6" width="14.28515625" style="39" bestFit="1" customWidth="1"/>
    <col min="7" max="7" width="14.5703125" style="39" bestFit="1" customWidth="1"/>
    <col min="8" max="8" width="32.42578125" style="39" bestFit="1" customWidth="1"/>
    <col min="9" max="9" width="33.140625" style="39" bestFit="1" customWidth="1"/>
    <col min="10" max="10" width="24.42578125" style="39" bestFit="1" customWidth="1"/>
    <col min="11" max="11" width="17" style="39" bestFit="1" customWidth="1"/>
    <col min="12" max="12" width="10.28515625" style="39" bestFit="1" customWidth="1"/>
    <col min="13" max="13" width="15.5703125" style="39" bestFit="1" customWidth="1"/>
    <col min="14" max="14" width="21" style="4" bestFit="1" customWidth="1"/>
    <col min="15" max="15" width="11" style="4" bestFit="1" customWidth="1"/>
    <col min="16" max="16" width="12.28515625" style="4" bestFit="1" customWidth="1"/>
    <col min="17" max="17" width="27.85546875" style="5" bestFit="1" customWidth="1"/>
    <col min="18" max="18" width="30.85546875" style="5" bestFit="1" customWidth="1"/>
    <col min="19" max="19" width="27.140625" style="5" customWidth="1"/>
    <col min="20" max="20" width="19.140625" style="5" bestFit="1" customWidth="1"/>
    <col min="21" max="21" width="25.85546875" style="5" bestFit="1" customWidth="1"/>
    <col min="22" max="22" width="28.7109375" style="5" bestFit="1" customWidth="1"/>
    <col min="23" max="23" width="42.42578125" style="5" customWidth="1"/>
    <col min="24" max="24" width="26.28515625" style="5" bestFit="1" customWidth="1"/>
    <col min="25" max="25" width="30.7109375" style="5" bestFit="1" customWidth="1"/>
    <col min="26" max="26" width="17.85546875" style="5" bestFit="1" customWidth="1"/>
    <col min="27" max="27" width="31.42578125" bestFit="1" customWidth="1"/>
    <col min="28" max="28" width="15.28515625" bestFit="1" customWidth="1"/>
    <col min="29" max="29" width="19.7109375" bestFit="1" customWidth="1"/>
    <col min="30" max="30" width="18.140625" style="16" bestFit="1" customWidth="1"/>
    <col min="31" max="31" width="23" style="5" bestFit="1" customWidth="1"/>
    <col min="32" max="32" width="36.5703125" style="5" bestFit="1" customWidth="1"/>
    <col min="33" max="33" width="31.140625" style="5" bestFit="1" customWidth="1"/>
    <col min="34" max="34" width="24.85546875" style="5" bestFit="1" customWidth="1"/>
    <col min="35" max="35" width="16" bestFit="1" customWidth="1"/>
    <col min="36" max="36" width="13.42578125" bestFit="1" customWidth="1"/>
    <col min="37" max="37" width="11.28515625" bestFit="1" customWidth="1"/>
    <col min="38" max="38" width="42.85546875" bestFit="1" customWidth="1"/>
    <col min="39" max="39" width="20.7109375" style="16" bestFit="1" customWidth="1"/>
    <col min="40" max="40" width="32.85546875" bestFit="1" customWidth="1"/>
    <col min="41" max="41" width="32" bestFit="1" customWidth="1"/>
    <col min="42" max="42" width="13.5703125" style="16" bestFit="1" customWidth="1"/>
    <col min="43" max="43" width="12.42578125" style="16" bestFit="1" customWidth="1"/>
    <col min="44" max="44" width="12.7109375" bestFit="1" customWidth="1"/>
    <col min="45" max="45" width="16" bestFit="1" customWidth="1"/>
    <col min="46" max="46" width="11.85546875" bestFit="1" customWidth="1"/>
    <col min="47" max="47" width="13.7109375" style="16" bestFit="1" customWidth="1"/>
    <col min="48" max="48" width="16.28515625" style="16" bestFit="1" customWidth="1"/>
    <col min="49" max="49" width="7.42578125" style="16" bestFit="1" customWidth="1"/>
    <col min="50" max="50" width="20" bestFit="1" customWidth="1"/>
    <col min="51" max="51" width="17.28515625" bestFit="1" customWidth="1"/>
    <col min="52" max="52" width="13.5703125" bestFit="1" customWidth="1"/>
    <col min="53" max="53" width="12.28515625" style="16" bestFit="1" customWidth="1"/>
    <col min="54" max="54" width="21.5703125" style="16" bestFit="1" customWidth="1"/>
    <col min="55" max="55" width="9.7109375" style="16" bestFit="1" customWidth="1"/>
    <col min="56" max="56" width="13.85546875" bestFit="1" customWidth="1"/>
    <col min="57" max="57" width="7.5703125" style="16" bestFit="1" customWidth="1"/>
    <col min="58" max="58" width="14.140625" bestFit="1" customWidth="1"/>
    <col min="59" max="59" width="28.42578125" style="39" bestFit="1" customWidth="1"/>
    <col min="60" max="60" width="25.85546875" style="39" bestFit="1" customWidth="1"/>
    <col min="61" max="61" width="27.28515625" bestFit="1" customWidth="1"/>
    <col min="62" max="62" width="15.140625" style="16" bestFit="1" customWidth="1"/>
    <col min="63" max="64" width="18.28515625" style="16" bestFit="1" customWidth="1"/>
    <col min="65" max="65" width="17.5703125" style="16" bestFit="1" customWidth="1"/>
  </cols>
  <sheetData>
    <row r="1" spans="1:65" x14ac:dyDescent="0.25">
      <c r="A1" t="s">
        <v>300</v>
      </c>
      <c r="B1" s="39" t="s">
        <v>1034</v>
      </c>
      <c r="C1" s="39" t="s">
        <v>1033</v>
      </c>
      <c r="D1" s="39" t="s">
        <v>918</v>
      </c>
      <c r="E1" s="39" t="s">
        <v>1032</v>
      </c>
      <c r="F1" s="39" t="s">
        <v>1035</v>
      </c>
      <c r="G1" s="39" t="s">
        <v>1036</v>
      </c>
      <c r="H1" s="29" t="s">
        <v>922</v>
      </c>
      <c r="I1" s="29" t="s">
        <v>923</v>
      </c>
      <c r="J1" s="29" t="s">
        <v>924</v>
      </c>
      <c r="K1" s="29" t="s">
        <v>930</v>
      </c>
      <c r="L1" s="29" t="s">
        <v>931</v>
      </c>
      <c r="M1" s="29" t="s">
        <v>936</v>
      </c>
      <c r="N1" s="4" t="s">
        <v>937</v>
      </c>
      <c r="O1" s="29" t="s">
        <v>1091</v>
      </c>
      <c r="P1" s="4" t="s">
        <v>947</v>
      </c>
      <c r="Q1" s="4" t="s">
        <v>9</v>
      </c>
      <c r="R1" s="4" t="s">
        <v>948</v>
      </c>
      <c r="S1" s="4" t="s">
        <v>949</v>
      </c>
      <c r="T1" s="4" t="s">
        <v>950</v>
      </c>
      <c r="U1" s="4" t="s">
        <v>2016</v>
      </c>
      <c r="V1" s="4" t="s">
        <v>2014</v>
      </c>
      <c r="W1" s="4" t="s">
        <v>2015</v>
      </c>
      <c r="X1" s="4" t="s">
        <v>2017</v>
      </c>
      <c r="Y1" s="4" t="s">
        <v>2018</v>
      </c>
      <c r="Z1" s="4" t="s">
        <v>11</v>
      </c>
      <c r="AA1" s="4" t="s">
        <v>969</v>
      </c>
      <c r="AB1" s="4" t="s">
        <v>970</v>
      </c>
      <c r="AC1" s="4" t="s">
        <v>971</v>
      </c>
      <c r="AD1" s="39" t="s">
        <v>983</v>
      </c>
      <c r="AE1" s="4" t="s">
        <v>984</v>
      </c>
      <c r="AF1" s="4" t="s">
        <v>985</v>
      </c>
      <c r="AG1" s="4" t="s">
        <v>987</v>
      </c>
      <c r="AH1" s="4" t="s">
        <v>986</v>
      </c>
      <c r="AI1" s="43" t="s">
        <v>994</v>
      </c>
      <c r="AJ1" s="43" t="s">
        <v>995</v>
      </c>
      <c r="AK1" s="43" t="s">
        <v>1001</v>
      </c>
      <c r="AL1" s="4" t="s">
        <v>664</v>
      </c>
      <c r="AM1" s="43" t="s">
        <v>1029</v>
      </c>
      <c r="AN1" s="43" t="s">
        <v>1027</v>
      </c>
      <c r="AO1" s="43" t="s">
        <v>1028</v>
      </c>
      <c r="AP1" s="43" t="s">
        <v>1030</v>
      </c>
      <c r="AQ1" s="43" t="s">
        <v>1744</v>
      </c>
      <c r="AR1" s="43" t="s">
        <v>1025</v>
      </c>
      <c r="AS1" s="43" t="s">
        <v>1031</v>
      </c>
      <c r="AT1" s="43" t="s">
        <v>1037</v>
      </c>
      <c r="AU1" s="43" t="s">
        <v>1038</v>
      </c>
      <c r="AV1" s="43" t="s">
        <v>1050</v>
      </c>
      <c r="AW1" s="4" t="s">
        <v>849</v>
      </c>
      <c r="AX1" s="43" t="s">
        <v>1056</v>
      </c>
      <c r="AY1" s="43" t="s">
        <v>1057</v>
      </c>
      <c r="AZ1" s="43" t="s">
        <v>1060</v>
      </c>
      <c r="BA1" s="43" t="s">
        <v>1097</v>
      </c>
      <c r="BB1" s="43" t="s">
        <v>1096</v>
      </c>
      <c r="BC1" s="43" t="s">
        <v>1066</v>
      </c>
      <c r="BD1" s="43" t="s">
        <v>1068</v>
      </c>
      <c r="BE1" s="43" t="s">
        <v>1070</v>
      </c>
      <c r="BF1" s="43" t="s">
        <v>1076</v>
      </c>
      <c r="BG1" s="39" t="s">
        <v>1077</v>
      </c>
      <c r="BH1" s="39" t="s">
        <v>1078</v>
      </c>
      <c r="BI1" s="39" t="s">
        <v>1079</v>
      </c>
      <c r="BJ1" s="39" t="s">
        <v>1081</v>
      </c>
      <c r="BK1" s="39" t="s">
        <v>1104</v>
      </c>
      <c r="BL1" s="39" t="s">
        <v>1105</v>
      </c>
      <c r="BM1" s="39" t="s">
        <v>1106</v>
      </c>
    </row>
    <row r="2" spans="1:65" x14ac:dyDescent="0.25">
      <c r="A2" t="s">
        <v>420</v>
      </c>
      <c r="B2" s="39">
        <v>1</v>
      </c>
      <c r="C2" s="39">
        <v>1.1000000000000001</v>
      </c>
      <c r="D2" s="39">
        <v>0</v>
      </c>
      <c r="E2" s="39">
        <v>1</v>
      </c>
      <c r="F2" s="39">
        <v>0</v>
      </c>
      <c r="G2" s="39">
        <v>2</v>
      </c>
      <c r="H2" s="40">
        <v>95</v>
      </c>
      <c r="I2" s="41">
        <f>H2/1000/AVERAGE(4.6)</f>
        <v>2.065217391304348E-2</v>
      </c>
      <c r="J2" s="39">
        <v>1.2</v>
      </c>
      <c r="K2" s="39">
        <v>0.32</v>
      </c>
      <c r="L2" s="39">
        <v>1</v>
      </c>
      <c r="M2" s="39">
        <v>1</v>
      </c>
      <c r="N2" s="4" t="s">
        <v>938</v>
      </c>
      <c r="O2" s="4">
        <v>0</v>
      </c>
      <c r="P2" s="4">
        <v>0</v>
      </c>
      <c r="Q2" s="4" t="s">
        <v>45</v>
      </c>
      <c r="R2" s="4" t="s">
        <v>45</v>
      </c>
      <c r="S2" s="4" t="s">
        <v>45</v>
      </c>
      <c r="T2" s="4" t="s">
        <v>45</v>
      </c>
      <c r="U2" s="4" t="s">
        <v>45</v>
      </c>
      <c r="V2" s="4" t="s">
        <v>45</v>
      </c>
      <c r="W2" s="4" t="s">
        <v>45</v>
      </c>
      <c r="X2" s="4" t="s">
        <v>45</v>
      </c>
      <c r="Y2" s="4" t="s">
        <v>45</v>
      </c>
      <c r="Z2" s="4">
        <v>1.2</v>
      </c>
      <c r="AA2" s="4" t="s">
        <v>974</v>
      </c>
      <c r="AB2" s="4" t="s">
        <v>976</v>
      </c>
      <c r="AC2" s="4" t="s">
        <v>1064</v>
      </c>
      <c r="AD2" s="39">
        <v>0</v>
      </c>
      <c r="AE2" s="4" t="s">
        <v>45</v>
      </c>
      <c r="AF2" s="4" t="s">
        <v>45</v>
      </c>
      <c r="AG2" s="4" t="s">
        <v>45</v>
      </c>
      <c r="AH2" s="4" t="s">
        <v>45</v>
      </c>
      <c r="AI2" s="4">
        <v>1</v>
      </c>
      <c r="AJ2" s="4" t="s">
        <v>999</v>
      </c>
      <c r="AK2" s="4">
        <v>0</v>
      </c>
      <c r="AL2" s="4" t="s">
        <v>1017</v>
      </c>
      <c r="AM2" s="4">
        <v>0</v>
      </c>
      <c r="AN2" s="4">
        <v>1</v>
      </c>
      <c r="AO2" s="4">
        <v>1</v>
      </c>
      <c r="AP2" s="4" t="s">
        <v>45</v>
      </c>
      <c r="AQ2" s="4">
        <v>0</v>
      </c>
      <c r="AR2" s="4" t="s">
        <v>1024</v>
      </c>
      <c r="AS2" s="4">
        <v>1</v>
      </c>
      <c r="AT2" s="4">
        <v>0</v>
      </c>
      <c r="AU2" s="4">
        <v>0</v>
      </c>
      <c r="AV2" s="4" t="s">
        <v>45</v>
      </c>
      <c r="AW2" s="4">
        <v>0</v>
      </c>
      <c r="AX2" s="4">
        <v>0</v>
      </c>
      <c r="AY2" s="4">
        <v>0</v>
      </c>
      <c r="AZ2" s="4">
        <v>2</v>
      </c>
      <c r="BA2" s="4">
        <v>0</v>
      </c>
      <c r="BB2" s="4">
        <v>0</v>
      </c>
      <c r="BC2" s="4">
        <v>1</v>
      </c>
      <c r="BD2" s="4">
        <v>0</v>
      </c>
      <c r="BE2" s="4">
        <v>0</v>
      </c>
      <c r="BF2" s="4">
        <v>0</v>
      </c>
      <c r="BG2" s="39">
        <v>0.25</v>
      </c>
      <c r="BH2" s="39">
        <v>0.1</v>
      </c>
      <c r="BI2" s="39">
        <v>2.5000000000000001E-2</v>
      </c>
      <c r="BJ2" s="39" t="s">
        <v>1082</v>
      </c>
      <c r="BK2" s="39">
        <v>0</v>
      </c>
      <c r="BL2" s="39">
        <v>0</v>
      </c>
      <c r="BM2" s="39">
        <v>0</v>
      </c>
    </row>
    <row r="3" spans="1:65" s="16" customFormat="1" x14ac:dyDescent="0.25">
      <c r="A3" s="16" t="s">
        <v>1753</v>
      </c>
      <c r="B3" s="39">
        <v>1</v>
      </c>
      <c r="C3" s="39">
        <v>1.1000000000000001</v>
      </c>
      <c r="D3" s="39">
        <v>0</v>
      </c>
      <c r="E3" s="39">
        <v>1</v>
      </c>
      <c r="F3" s="39">
        <v>0</v>
      </c>
      <c r="G3" s="39">
        <v>2</v>
      </c>
      <c r="H3" s="40">
        <v>1400</v>
      </c>
      <c r="I3" s="41">
        <f>AVERAGE(12.1%,36.3%)</f>
        <v>0.24199999999999999</v>
      </c>
      <c r="J3" s="39">
        <v>0.89</v>
      </c>
      <c r="K3" s="39" t="s">
        <v>929</v>
      </c>
      <c r="L3" s="39">
        <v>1</v>
      </c>
      <c r="M3" s="39">
        <v>1</v>
      </c>
      <c r="N3" s="4" t="s">
        <v>938</v>
      </c>
      <c r="O3" s="4">
        <v>0</v>
      </c>
      <c r="P3" s="4">
        <v>0</v>
      </c>
      <c r="Q3" s="4" t="s">
        <v>45</v>
      </c>
      <c r="R3" s="4" t="s">
        <v>45</v>
      </c>
      <c r="S3" s="4" t="s">
        <v>45</v>
      </c>
      <c r="T3" s="4" t="s">
        <v>45</v>
      </c>
      <c r="U3" s="4" t="s">
        <v>45</v>
      </c>
      <c r="V3" s="4" t="s">
        <v>45</v>
      </c>
      <c r="W3" s="4" t="s">
        <v>45</v>
      </c>
      <c r="X3" s="4" t="s">
        <v>45</v>
      </c>
      <c r="Y3" s="4" t="s">
        <v>45</v>
      </c>
      <c r="Z3" s="4">
        <v>1.2</v>
      </c>
      <c r="AA3" s="4" t="s">
        <v>974</v>
      </c>
      <c r="AB3" s="4" t="s">
        <v>976</v>
      </c>
      <c r="AC3" s="4" t="s">
        <v>1064</v>
      </c>
      <c r="AD3" s="39">
        <v>0</v>
      </c>
      <c r="AE3" s="4" t="s">
        <v>45</v>
      </c>
      <c r="AF3" s="4" t="s">
        <v>45</v>
      </c>
      <c r="AG3" s="4" t="s">
        <v>45</v>
      </c>
      <c r="AH3" s="4" t="s">
        <v>45</v>
      </c>
      <c r="AI3" s="4">
        <v>1</v>
      </c>
      <c r="AJ3" s="4" t="s">
        <v>999</v>
      </c>
      <c r="AK3" s="4">
        <v>0</v>
      </c>
      <c r="AL3" s="4" t="s">
        <v>1017</v>
      </c>
      <c r="AM3" s="4">
        <v>0</v>
      </c>
      <c r="AN3" s="4">
        <v>1</v>
      </c>
      <c r="AO3" s="4">
        <v>1</v>
      </c>
      <c r="AP3" s="4" t="s">
        <v>45</v>
      </c>
      <c r="AQ3" s="4">
        <v>0</v>
      </c>
      <c r="AR3" s="4" t="s">
        <v>1024</v>
      </c>
      <c r="AS3" s="4">
        <v>1</v>
      </c>
      <c r="AT3" s="4">
        <v>0</v>
      </c>
      <c r="AU3" s="4">
        <v>0</v>
      </c>
      <c r="AV3" s="4" t="s">
        <v>45</v>
      </c>
      <c r="AW3" s="4">
        <v>0</v>
      </c>
      <c r="AX3" s="4">
        <v>0</v>
      </c>
      <c r="AY3" s="4">
        <v>0</v>
      </c>
      <c r="AZ3" s="4">
        <v>2</v>
      </c>
      <c r="BA3" s="4">
        <v>0</v>
      </c>
      <c r="BB3" s="4">
        <v>0</v>
      </c>
      <c r="BC3" s="4">
        <v>1</v>
      </c>
      <c r="BD3" s="4">
        <v>0</v>
      </c>
      <c r="BE3" s="4">
        <v>0</v>
      </c>
      <c r="BF3" s="4">
        <v>0</v>
      </c>
      <c r="BG3" s="39">
        <v>0.25</v>
      </c>
      <c r="BH3" s="39">
        <v>0.1</v>
      </c>
      <c r="BI3" s="39">
        <v>2.5000000000000001E-2</v>
      </c>
      <c r="BJ3" s="39" t="s">
        <v>1082</v>
      </c>
      <c r="BK3" s="39">
        <v>0</v>
      </c>
      <c r="BL3" s="39">
        <v>0</v>
      </c>
      <c r="BM3" s="39">
        <v>0</v>
      </c>
    </row>
    <row r="4" spans="1:65" s="16" customFormat="1" x14ac:dyDescent="0.25">
      <c r="A4" s="16" t="s">
        <v>1740</v>
      </c>
      <c r="B4" s="39">
        <v>1</v>
      </c>
      <c r="C4" s="39">
        <v>1.1000000000000001</v>
      </c>
      <c r="D4" s="39">
        <v>0</v>
      </c>
      <c r="E4" s="39">
        <v>1</v>
      </c>
      <c r="F4" s="39">
        <v>0</v>
      </c>
      <c r="G4" s="39">
        <v>2</v>
      </c>
      <c r="H4" s="40">
        <v>95</v>
      </c>
      <c r="I4" s="41">
        <f>H4/1000/AVERAGE(4.6)</f>
        <v>2.065217391304348E-2</v>
      </c>
      <c r="J4" s="39">
        <v>1.2</v>
      </c>
      <c r="K4" s="39">
        <v>0.32</v>
      </c>
      <c r="L4" s="39">
        <v>1</v>
      </c>
      <c r="M4" s="39">
        <v>1</v>
      </c>
      <c r="N4" s="4" t="s">
        <v>938</v>
      </c>
      <c r="O4" s="4">
        <v>0</v>
      </c>
      <c r="P4" s="4">
        <v>0</v>
      </c>
      <c r="Q4" s="4" t="s">
        <v>45</v>
      </c>
      <c r="R4" s="4" t="s">
        <v>45</v>
      </c>
      <c r="S4" s="4" t="s">
        <v>45</v>
      </c>
      <c r="T4" s="4" t="s">
        <v>45</v>
      </c>
      <c r="U4" s="4" t="s">
        <v>45</v>
      </c>
      <c r="V4" s="4" t="s">
        <v>45</v>
      </c>
      <c r="W4" s="4" t="s">
        <v>45</v>
      </c>
      <c r="X4" s="4" t="s">
        <v>45</v>
      </c>
      <c r="Y4" s="4" t="s">
        <v>45</v>
      </c>
      <c r="Z4" s="4">
        <v>1.2</v>
      </c>
      <c r="AA4" s="4" t="s">
        <v>974</v>
      </c>
      <c r="AB4" s="4" t="s">
        <v>976</v>
      </c>
      <c r="AC4" s="4" t="s">
        <v>1064</v>
      </c>
      <c r="AD4" s="39">
        <v>0</v>
      </c>
      <c r="AE4" s="4" t="s">
        <v>45</v>
      </c>
      <c r="AF4" s="4" t="s">
        <v>45</v>
      </c>
      <c r="AG4" s="4" t="s">
        <v>45</v>
      </c>
      <c r="AH4" s="4" t="s">
        <v>45</v>
      </c>
      <c r="AI4" s="4">
        <v>1</v>
      </c>
      <c r="AJ4" s="4" t="s">
        <v>999</v>
      </c>
      <c r="AK4" s="4">
        <v>0</v>
      </c>
      <c r="AL4" s="4" t="s">
        <v>289</v>
      </c>
      <c r="AM4" s="4">
        <v>0</v>
      </c>
      <c r="AN4" s="4">
        <v>1</v>
      </c>
      <c r="AO4" s="4">
        <v>1</v>
      </c>
      <c r="AP4" s="4" t="s">
        <v>45</v>
      </c>
      <c r="AQ4" s="4">
        <v>0</v>
      </c>
      <c r="AR4" s="4" t="s">
        <v>1026</v>
      </c>
      <c r="AS4" s="4">
        <v>1</v>
      </c>
      <c r="AT4" s="4">
        <v>0</v>
      </c>
      <c r="AU4" s="4">
        <v>0</v>
      </c>
      <c r="AV4" s="4" t="s">
        <v>45</v>
      </c>
      <c r="AW4" s="4">
        <v>0</v>
      </c>
      <c r="AX4" s="4">
        <v>0</v>
      </c>
      <c r="AY4" s="4">
        <v>0</v>
      </c>
      <c r="AZ4" s="4">
        <v>2</v>
      </c>
      <c r="BA4" s="4">
        <v>0</v>
      </c>
      <c r="BB4" s="4">
        <v>0</v>
      </c>
      <c r="BC4" s="4">
        <v>1</v>
      </c>
      <c r="BD4" s="4">
        <v>0</v>
      </c>
      <c r="BE4" s="4">
        <v>0</v>
      </c>
      <c r="BF4" s="4">
        <v>0</v>
      </c>
      <c r="BG4" s="39">
        <v>0.25</v>
      </c>
      <c r="BH4" s="39">
        <v>0.1</v>
      </c>
      <c r="BI4" s="39">
        <v>2.5000000000000001E-2</v>
      </c>
      <c r="BJ4" s="39" t="s">
        <v>1087</v>
      </c>
      <c r="BK4" s="39">
        <v>0</v>
      </c>
      <c r="BL4" s="39">
        <v>0</v>
      </c>
      <c r="BM4" s="39">
        <v>0</v>
      </c>
    </row>
    <row r="5" spans="1:65" x14ac:dyDescent="0.25">
      <c r="A5" t="s">
        <v>1739</v>
      </c>
      <c r="B5" s="39">
        <v>1</v>
      </c>
      <c r="C5" s="39">
        <v>1.1000000000000001</v>
      </c>
      <c r="D5" s="39">
        <v>0</v>
      </c>
      <c r="E5" s="39">
        <v>1</v>
      </c>
      <c r="F5" s="39">
        <v>0</v>
      </c>
      <c r="G5" s="39">
        <v>2</v>
      </c>
      <c r="H5" s="40">
        <v>95</v>
      </c>
      <c r="I5" s="41">
        <f>H5/1000/AVERAGE(4.6)</f>
        <v>2.065217391304348E-2</v>
      </c>
      <c r="J5" s="39">
        <v>1.2</v>
      </c>
      <c r="K5" s="39">
        <v>0.32</v>
      </c>
      <c r="L5" s="39">
        <v>1</v>
      </c>
      <c r="M5" s="39">
        <v>1</v>
      </c>
      <c r="N5" s="4" t="s">
        <v>938</v>
      </c>
      <c r="O5" s="4">
        <v>0</v>
      </c>
      <c r="P5" s="4">
        <v>0</v>
      </c>
      <c r="Q5" s="4" t="s">
        <v>45</v>
      </c>
      <c r="R5" s="4" t="s">
        <v>45</v>
      </c>
      <c r="S5" s="4" t="s">
        <v>45</v>
      </c>
      <c r="T5" s="4" t="s">
        <v>45</v>
      </c>
      <c r="U5" s="4" t="s">
        <v>45</v>
      </c>
      <c r="V5" s="4" t="s">
        <v>45</v>
      </c>
      <c r="W5" s="4" t="s">
        <v>45</v>
      </c>
      <c r="X5" s="4" t="s">
        <v>45</v>
      </c>
      <c r="Y5" s="4" t="s">
        <v>45</v>
      </c>
      <c r="Z5" s="4">
        <v>1.2</v>
      </c>
      <c r="AA5" s="4" t="s">
        <v>974</v>
      </c>
      <c r="AB5" s="4" t="s">
        <v>976</v>
      </c>
      <c r="AC5" s="4" t="s">
        <v>1064</v>
      </c>
      <c r="AD5" s="39">
        <v>1</v>
      </c>
      <c r="AE5" s="4">
        <v>1.1000000000000001</v>
      </c>
      <c r="AF5" s="4" t="s">
        <v>990</v>
      </c>
      <c r="AG5" s="4" t="s">
        <v>992</v>
      </c>
      <c r="AH5" s="4" t="s">
        <v>952</v>
      </c>
      <c r="AI5" s="4">
        <v>1</v>
      </c>
      <c r="AJ5" s="4" t="s">
        <v>999</v>
      </c>
      <c r="AK5" s="4">
        <v>0</v>
      </c>
      <c r="AL5" s="4" t="s">
        <v>1089</v>
      </c>
      <c r="AM5" s="4">
        <v>0</v>
      </c>
      <c r="AN5" s="4">
        <v>1</v>
      </c>
      <c r="AO5" s="4">
        <v>1</v>
      </c>
      <c r="AP5" s="4" t="s">
        <v>45</v>
      </c>
      <c r="AQ5" s="4">
        <v>0</v>
      </c>
      <c r="AR5" s="4" t="s">
        <v>1024</v>
      </c>
      <c r="AS5" s="4">
        <v>1</v>
      </c>
      <c r="AT5" s="4">
        <v>0</v>
      </c>
      <c r="AU5" s="4">
        <v>0</v>
      </c>
      <c r="AV5" s="4" t="s">
        <v>45</v>
      </c>
      <c r="AW5" s="4">
        <v>0</v>
      </c>
      <c r="AX5" s="4">
        <v>0</v>
      </c>
      <c r="AY5" s="4">
        <v>0</v>
      </c>
      <c r="AZ5" s="4">
        <v>2</v>
      </c>
      <c r="BA5" s="4">
        <v>0</v>
      </c>
      <c r="BB5" s="4">
        <v>0</v>
      </c>
      <c r="BC5" s="4">
        <v>1</v>
      </c>
      <c r="BD5" s="4">
        <v>0</v>
      </c>
      <c r="BE5" s="4">
        <v>0</v>
      </c>
      <c r="BF5" s="4">
        <v>0</v>
      </c>
      <c r="BG5" s="39">
        <v>0.25</v>
      </c>
      <c r="BH5" s="39">
        <v>0.1</v>
      </c>
      <c r="BI5" s="39">
        <v>2.5000000000000001E-2</v>
      </c>
      <c r="BJ5" s="39" t="s">
        <v>1082</v>
      </c>
      <c r="BK5" s="39">
        <v>1</v>
      </c>
      <c r="BL5" s="39">
        <v>0</v>
      </c>
      <c r="BM5" s="39">
        <v>0</v>
      </c>
    </row>
    <row r="6" spans="1:65" s="16" customFormat="1" x14ac:dyDescent="0.25">
      <c r="A6" s="16" t="s">
        <v>1738</v>
      </c>
      <c r="B6" s="39">
        <v>1</v>
      </c>
      <c r="C6" s="39">
        <v>1.25</v>
      </c>
      <c r="D6" s="39">
        <v>0</v>
      </c>
      <c r="E6" s="39">
        <v>11</v>
      </c>
      <c r="F6" s="39">
        <v>0</v>
      </c>
      <c r="G6" s="39">
        <v>0</v>
      </c>
      <c r="H6" s="40">
        <v>1</v>
      </c>
      <c r="I6" s="41">
        <v>1</v>
      </c>
      <c r="J6" s="39">
        <v>1.0900000000000001</v>
      </c>
      <c r="K6" s="39" t="s">
        <v>929</v>
      </c>
      <c r="L6" s="39">
        <v>0</v>
      </c>
      <c r="M6" s="39">
        <v>0</v>
      </c>
      <c r="N6" s="4" t="s">
        <v>944</v>
      </c>
      <c r="O6" s="4">
        <v>1</v>
      </c>
      <c r="P6" s="4">
        <v>1</v>
      </c>
      <c r="Q6" s="4">
        <v>1</v>
      </c>
      <c r="R6" s="4" t="s">
        <v>953</v>
      </c>
      <c r="S6" s="4" t="s">
        <v>951</v>
      </c>
      <c r="T6" s="4" t="s">
        <v>952</v>
      </c>
      <c r="U6" s="4" t="s">
        <v>45</v>
      </c>
      <c r="V6" s="4" t="s">
        <v>45</v>
      </c>
      <c r="W6" s="4" t="s">
        <v>45</v>
      </c>
      <c r="X6" s="4" t="s">
        <v>45</v>
      </c>
      <c r="Y6" s="4" t="s">
        <v>45</v>
      </c>
      <c r="Z6" s="4">
        <v>0.8</v>
      </c>
      <c r="AA6" s="4" t="s">
        <v>972</v>
      </c>
      <c r="AB6" s="4" t="s">
        <v>977</v>
      </c>
      <c r="AC6" s="4" t="s">
        <v>955</v>
      </c>
      <c r="AD6" s="39">
        <v>0</v>
      </c>
      <c r="AE6" s="4" t="s">
        <v>45</v>
      </c>
      <c r="AF6" s="4" t="s">
        <v>45</v>
      </c>
      <c r="AG6" s="4" t="s">
        <v>45</v>
      </c>
      <c r="AH6" s="4" t="s">
        <v>45</v>
      </c>
      <c r="AI6" s="4">
        <v>1</v>
      </c>
      <c r="AJ6" s="4" t="s">
        <v>41</v>
      </c>
      <c r="AK6" s="4">
        <v>0</v>
      </c>
      <c r="AL6" s="4" t="s">
        <v>41</v>
      </c>
      <c r="AM6" s="4">
        <v>0</v>
      </c>
      <c r="AN6" s="4">
        <v>0</v>
      </c>
      <c r="AO6" s="4">
        <v>0</v>
      </c>
      <c r="AP6" s="4">
        <v>0.2</v>
      </c>
      <c r="AQ6" s="4">
        <v>0</v>
      </c>
      <c r="AR6" s="4" t="s">
        <v>1024</v>
      </c>
      <c r="AS6" s="4">
        <v>0</v>
      </c>
      <c r="AT6" s="4">
        <v>0</v>
      </c>
      <c r="AU6" s="4">
        <v>0</v>
      </c>
      <c r="AV6" s="4" t="s">
        <v>45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1</v>
      </c>
      <c r="BC6" s="4">
        <v>0</v>
      </c>
      <c r="BD6" s="4">
        <v>0</v>
      </c>
      <c r="BE6" s="4">
        <v>1</v>
      </c>
      <c r="BF6" s="4">
        <v>1</v>
      </c>
      <c r="BG6" s="39">
        <v>1</v>
      </c>
      <c r="BH6" s="39">
        <v>0.1</v>
      </c>
      <c r="BI6" s="39">
        <v>2.5000000000000001E-2</v>
      </c>
      <c r="BJ6" s="39" t="s">
        <v>1083</v>
      </c>
      <c r="BK6" s="39">
        <v>0</v>
      </c>
      <c r="BL6" s="39">
        <v>0</v>
      </c>
      <c r="BM6" s="39">
        <v>0</v>
      </c>
    </row>
    <row r="7" spans="1:65" s="16" customFormat="1" x14ac:dyDescent="0.25">
      <c r="A7" s="16" t="s">
        <v>1741</v>
      </c>
      <c r="B7" s="39">
        <v>1</v>
      </c>
      <c r="C7" s="39">
        <v>1.25</v>
      </c>
      <c r="D7" s="39">
        <v>0</v>
      </c>
      <c r="E7" s="39">
        <v>11</v>
      </c>
      <c r="F7" s="39">
        <v>0</v>
      </c>
      <c r="G7" s="39">
        <v>0</v>
      </c>
      <c r="H7" s="40">
        <v>1</v>
      </c>
      <c r="I7" s="41">
        <v>1</v>
      </c>
      <c r="J7" s="39">
        <v>1.0900000000000001</v>
      </c>
      <c r="K7" s="39" t="s">
        <v>929</v>
      </c>
      <c r="L7" s="39">
        <v>0</v>
      </c>
      <c r="M7" s="39">
        <v>0</v>
      </c>
      <c r="N7" s="4" t="s">
        <v>944</v>
      </c>
      <c r="O7" s="4">
        <v>1</v>
      </c>
      <c r="P7" s="4">
        <v>1</v>
      </c>
      <c r="Q7" s="4">
        <v>1</v>
      </c>
      <c r="R7" s="4" t="s">
        <v>953</v>
      </c>
      <c r="S7" s="4" t="s">
        <v>951</v>
      </c>
      <c r="T7" s="4" t="s">
        <v>952</v>
      </c>
      <c r="U7" s="4" t="s">
        <v>45</v>
      </c>
      <c r="V7" s="4" t="s">
        <v>45</v>
      </c>
      <c r="W7" s="4" t="s">
        <v>45</v>
      </c>
      <c r="X7" s="4" t="s">
        <v>45</v>
      </c>
      <c r="Y7" s="4" t="s">
        <v>45</v>
      </c>
      <c r="Z7" s="4">
        <v>0.8</v>
      </c>
      <c r="AA7" s="4" t="s">
        <v>972</v>
      </c>
      <c r="AB7" s="4" t="s">
        <v>977</v>
      </c>
      <c r="AC7" s="4" t="s">
        <v>955</v>
      </c>
      <c r="AD7" s="39">
        <v>0</v>
      </c>
      <c r="AE7" s="4" t="s">
        <v>45</v>
      </c>
      <c r="AF7" s="4" t="s">
        <v>45</v>
      </c>
      <c r="AG7" s="4" t="s">
        <v>45</v>
      </c>
      <c r="AH7" s="4" t="s">
        <v>45</v>
      </c>
      <c r="AI7" s="4">
        <v>1</v>
      </c>
      <c r="AJ7" s="4" t="s">
        <v>41</v>
      </c>
      <c r="AK7" s="4">
        <v>0</v>
      </c>
      <c r="AL7" s="4" t="s">
        <v>41</v>
      </c>
      <c r="AM7" s="4">
        <v>0</v>
      </c>
      <c r="AN7" s="4">
        <v>0</v>
      </c>
      <c r="AO7" s="4">
        <v>0</v>
      </c>
      <c r="AP7" s="4">
        <v>0.2</v>
      </c>
      <c r="AQ7" s="4">
        <v>0</v>
      </c>
      <c r="AR7" s="4" t="s">
        <v>1024</v>
      </c>
      <c r="AS7" s="4">
        <v>0</v>
      </c>
      <c r="AT7" s="4">
        <v>0</v>
      </c>
      <c r="AU7" s="4">
        <v>0</v>
      </c>
      <c r="AV7" s="4" t="s">
        <v>45</v>
      </c>
      <c r="AW7" s="4">
        <v>0</v>
      </c>
      <c r="AX7" s="4">
        <v>0</v>
      </c>
      <c r="AY7" s="4">
        <v>0</v>
      </c>
      <c r="AZ7" s="4">
        <v>1</v>
      </c>
      <c r="BA7" s="4">
        <v>0</v>
      </c>
      <c r="BB7" s="4">
        <v>1</v>
      </c>
      <c r="BC7" s="4">
        <v>0</v>
      </c>
      <c r="BD7" s="4">
        <v>0</v>
      </c>
      <c r="BE7" s="4">
        <v>1</v>
      </c>
      <c r="BF7" s="4">
        <v>1</v>
      </c>
      <c r="BG7" s="39">
        <v>1</v>
      </c>
      <c r="BH7" s="39">
        <v>0.1</v>
      </c>
      <c r="BI7" s="39">
        <v>2.5000000000000001E-2</v>
      </c>
      <c r="BJ7" s="39" t="s">
        <v>1083</v>
      </c>
      <c r="BK7" s="39">
        <v>0</v>
      </c>
      <c r="BL7" s="39">
        <v>0</v>
      </c>
      <c r="BM7" s="39">
        <v>0</v>
      </c>
    </row>
    <row r="8" spans="1:65" s="16" customFormat="1" x14ac:dyDescent="0.25">
      <c r="A8" s="16" t="s">
        <v>1737</v>
      </c>
      <c r="B8" s="39">
        <v>0</v>
      </c>
      <c r="C8" s="39">
        <v>1.25</v>
      </c>
      <c r="D8" s="39">
        <v>0</v>
      </c>
      <c r="E8" s="39">
        <v>11</v>
      </c>
      <c r="F8" s="39">
        <v>0</v>
      </c>
      <c r="G8" s="39">
        <v>0</v>
      </c>
      <c r="H8" s="40">
        <v>1</v>
      </c>
      <c r="I8" s="41">
        <v>1</v>
      </c>
      <c r="J8" s="39">
        <v>1.0900000000000001</v>
      </c>
      <c r="K8" s="39" t="s">
        <v>929</v>
      </c>
      <c r="L8" s="39">
        <v>0</v>
      </c>
      <c r="M8" s="39">
        <v>0</v>
      </c>
      <c r="N8" s="4" t="s">
        <v>944</v>
      </c>
      <c r="O8" s="4">
        <v>1</v>
      </c>
      <c r="P8" s="4">
        <v>1</v>
      </c>
      <c r="Q8" s="4">
        <v>1</v>
      </c>
      <c r="R8" s="4" t="s">
        <v>953</v>
      </c>
      <c r="S8" s="4" t="s">
        <v>951</v>
      </c>
      <c r="T8" s="4" t="s">
        <v>952</v>
      </c>
      <c r="U8" s="4" t="s">
        <v>45</v>
      </c>
      <c r="V8" s="4" t="s">
        <v>45</v>
      </c>
      <c r="W8" s="4" t="s">
        <v>45</v>
      </c>
      <c r="X8" s="4" t="s">
        <v>45</v>
      </c>
      <c r="Y8" s="4" t="s">
        <v>45</v>
      </c>
      <c r="Z8" s="4">
        <v>0.8</v>
      </c>
      <c r="AA8" s="4" t="s">
        <v>972</v>
      </c>
      <c r="AB8" s="4" t="s">
        <v>977</v>
      </c>
      <c r="AC8" s="4" t="s">
        <v>955</v>
      </c>
      <c r="AD8" s="39">
        <v>0</v>
      </c>
      <c r="AE8" s="4" t="s">
        <v>45</v>
      </c>
      <c r="AF8" s="4" t="s">
        <v>45</v>
      </c>
      <c r="AG8" s="4" t="s">
        <v>45</v>
      </c>
      <c r="AH8" s="4" t="s">
        <v>45</v>
      </c>
      <c r="AI8" s="4">
        <v>1</v>
      </c>
      <c r="AJ8" s="4" t="s">
        <v>41</v>
      </c>
      <c r="AK8" s="4">
        <v>0</v>
      </c>
      <c r="AL8" s="4" t="s">
        <v>41</v>
      </c>
      <c r="AM8" s="4">
        <v>0</v>
      </c>
      <c r="AN8" s="4">
        <v>0</v>
      </c>
      <c r="AO8" s="4">
        <v>0</v>
      </c>
      <c r="AP8" s="4" t="s">
        <v>45</v>
      </c>
      <c r="AQ8" s="4">
        <v>0</v>
      </c>
      <c r="AR8" s="4" t="s">
        <v>1026</v>
      </c>
      <c r="AS8" s="4">
        <v>0</v>
      </c>
      <c r="AT8" s="4">
        <v>0</v>
      </c>
      <c r="AU8" s="4">
        <v>0</v>
      </c>
      <c r="AV8" s="4" t="s">
        <v>45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1</v>
      </c>
      <c r="BC8" s="4">
        <v>0</v>
      </c>
      <c r="BD8" s="4">
        <v>0</v>
      </c>
      <c r="BE8" s="4">
        <v>1</v>
      </c>
      <c r="BF8" s="4">
        <v>1</v>
      </c>
      <c r="BG8" s="39">
        <v>1</v>
      </c>
      <c r="BH8" s="39">
        <v>0</v>
      </c>
      <c r="BI8" s="39">
        <v>0</v>
      </c>
      <c r="BJ8" s="39" t="s">
        <v>1083</v>
      </c>
      <c r="BK8" s="39">
        <v>0</v>
      </c>
      <c r="BL8" s="39">
        <v>0</v>
      </c>
      <c r="BM8" s="39">
        <v>0</v>
      </c>
    </row>
    <row r="9" spans="1:65" s="16" customFormat="1" x14ac:dyDescent="0.25">
      <c r="A9" s="16" t="s">
        <v>1736</v>
      </c>
      <c r="B9" s="39">
        <v>1</v>
      </c>
      <c r="C9" s="39">
        <v>1.25</v>
      </c>
      <c r="D9" s="39">
        <v>1</v>
      </c>
      <c r="E9" s="39">
        <v>11</v>
      </c>
      <c r="F9" s="39">
        <v>0</v>
      </c>
      <c r="G9" s="39">
        <v>0</v>
      </c>
      <c r="H9" s="40">
        <v>1</v>
      </c>
      <c r="I9" s="41">
        <v>1</v>
      </c>
      <c r="J9" s="39">
        <v>1.0900000000000001</v>
      </c>
      <c r="K9" s="39" t="s">
        <v>929</v>
      </c>
      <c r="L9" s="39">
        <v>0</v>
      </c>
      <c r="M9" s="39">
        <v>0</v>
      </c>
      <c r="N9" s="4" t="s">
        <v>41</v>
      </c>
      <c r="O9" s="4">
        <v>1</v>
      </c>
      <c r="P9" s="4">
        <v>0</v>
      </c>
      <c r="Q9" s="4" t="s">
        <v>45</v>
      </c>
      <c r="R9" s="4" t="s">
        <v>45</v>
      </c>
      <c r="S9" s="4" t="s">
        <v>45</v>
      </c>
      <c r="T9" s="4" t="s">
        <v>45</v>
      </c>
      <c r="U9" s="4" t="s">
        <v>45</v>
      </c>
      <c r="V9" s="4" t="s">
        <v>45</v>
      </c>
      <c r="W9" s="4" t="s">
        <v>45</v>
      </c>
      <c r="X9" s="4" t="s">
        <v>45</v>
      </c>
      <c r="Y9" s="4" t="s">
        <v>45</v>
      </c>
      <c r="Z9" s="4">
        <v>0.8</v>
      </c>
      <c r="AA9" s="4" t="s">
        <v>972</v>
      </c>
      <c r="AB9" s="4" t="s">
        <v>977</v>
      </c>
      <c r="AC9" s="4" t="s">
        <v>955</v>
      </c>
      <c r="AD9" s="39">
        <v>0</v>
      </c>
      <c r="AE9" s="4" t="s">
        <v>45</v>
      </c>
      <c r="AF9" s="4" t="s">
        <v>45</v>
      </c>
      <c r="AG9" s="4" t="s">
        <v>45</v>
      </c>
      <c r="AH9" s="4" t="s">
        <v>45</v>
      </c>
      <c r="AI9" s="4">
        <v>1</v>
      </c>
      <c r="AJ9" s="4" t="s">
        <v>41</v>
      </c>
      <c r="AK9" s="4">
        <v>0</v>
      </c>
      <c r="AL9" s="4" t="s">
        <v>41</v>
      </c>
      <c r="AM9" s="4">
        <v>0</v>
      </c>
      <c r="AN9" s="4">
        <v>0</v>
      </c>
      <c r="AO9" s="4">
        <v>0</v>
      </c>
      <c r="AP9" s="4" t="s">
        <v>45</v>
      </c>
      <c r="AQ9" s="4">
        <v>0</v>
      </c>
      <c r="AR9" s="4" t="s">
        <v>673</v>
      </c>
      <c r="AS9" s="4">
        <v>0</v>
      </c>
      <c r="AT9" s="4">
        <v>1</v>
      </c>
      <c r="AU9" s="4">
        <v>1</v>
      </c>
      <c r="AV9" s="4" t="s">
        <v>45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1</v>
      </c>
      <c r="BC9" s="4">
        <v>0</v>
      </c>
      <c r="BD9" s="4">
        <v>0</v>
      </c>
      <c r="BE9" s="4">
        <v>1</v>
      </c>
      <c r="BF9" s="4">
        <v>2</v>
      </c>
      <c r="BG9" s="39">
        <v>1</v>
      </c>
      <c r="BH9" s="39">
        <v>0</v>
      </c>
      <c r="BI9" s="39">
        <v>0</v>
      </c>
      <c r="BJ9" s="39" t="s">
        <v>1083</v>
      </c>
      <c r="BK9" s="39">
        <v>0</v>
      </c>
      <c r="BL9" s="39">
        <v>0</v>
      </c>
      <c r="BM9" s="39">
        <v>0</v>
      </c>
    </row>
    <row r="10" spans="1:65" s="16" customFormat="1" x14ac:dyDescent="0.25">
      <c r="A10" s="16" t="s">
        <v>1735</v>
      </c>
      <c r="B10" s="39">
        <v>1</v>
      </c>
      <c r="C10" s="39">
        <v>1.5</v>
      </c>
      <c r="D10" s="39">
        <v>1</v>
      </c>
      <c r="E10" s="39">
        <v>11</v>
      </c>
      <c r="F10" s="39">
        <v>0</v>
      </c>
      <c r="G10" s="39">
        <v>0</v>
      </c>
      <c r="H10" s="40">
        <v>1</v>
      </c>
      <c r="I10" s="41">
        <v>1</v>
      </c>
      <c r="J10" s="39">
        <v>1.0900000000000001</v>
      </c>
      <c r="K10" s="39" t="s">
        <v>929</v>
      </c>
      <c r="L10" s="39">
        <v>0</v>
      </c>
      <c r="M10" s="39">
        <v>0</v>
      </c>
      <c r="N10" s="4" t="s">
        <v>41</v>
      </c>
      <c r="O10" s="4">
        <v>1</v>
      </c>
      <c r="P10" s="4">
        <v>1</v>
      </c>
      <c r="Q10" s="4">
        <v>0.9</v>
      </c>
      <c r="R10" s="4" t="s">
        <v>953</v>
      </c>
      <c r="S10" s="4" t="s">
        <v>951</v>
      </c>
      <c r="T10" s="4" t="s">
        <v>952</v>
      </c>
      <c r="U10" s="4" t="s">
        <v>45</v>
      </c>
      <c r="V10" s="4" t="s">
        <v>45</v>
      </c>
      <c r="W10" s="4" t="s">
        <v>45</v>
      </c>
      <c r="X10" s="4" t="s">
        <v>45</v>
      </c>
      <c r="Y10" s="4" t="s">
        <v>45</v>
      </c>
      <c r="Z10" s="4">
        <v>1</v>
      </c>
      <c r="AA10" s="4" t="s">
        <v>972</v>
      </c>
      <c r="AB10" s="4" t="s">
        <v>977</v>
      </c>
      <c r="AC10" s="4" t="s">
        <v>955</v>
      </c>
      <c r="AD10" s="39">
        <v>0</v>
      </c>
      <c r="AE10" s="4" t="s">
        <v>45</v>
      </c>
      <c r="AF10" s="4" t="s">
        <v>45</v>
      </c>
      <c r="AG10" s="4" t="s">
        <v>45</v>
      </c>
      <c r="AH10" s="4" t="s">
        <v>45</v>
      </c>
      <c r="AI10" s="4">
        <v>1</v>
      </c>
      <c r="AJ10" s="4" t="s">
        <v>41</v>
      </c>
      <c r="AK10" s="4">
        <v>0</v>
      </c>
      <c r="AL10" s="4" t="s">
        <v>41</v>
      </c>
      <c r="AM10" s="4">
        <v>0</v>
      </c>
      <c r="AN10" s="4">
        <v>2.5000000000000001E-2</v>
      </c>
      <c r="AO10" s="4">
        <v>0.1</v>
      </c>
      <c r="AP10" s="4" t="s">
        <v>45</v>
      </c>
      <c r="AQ10" s="4">
        <v>0</v>
      </c>
      <c r="AR10" s="4" t="s">
        <v>673</v>
      </c>
      <c r="AS10" s="4">
        <v>0</v>
      </c>
      <c r="AT10" s="4">
        <v>0</v>
      </c>
      <c r="AU10" s="4">
        <v>0</v>
      </c>
      <c r="AV10" s="4" t="s">
        <v>45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1</v>
      </c>
      <c r="BC10" s="4">
        <v>0</v>
      </c>
      <c r="BD10" s="4">
        <v>0</v>
      </c>
      <c r="BE10" s="4">
        <v>1</v>
      </c>
      <c r="BF10" s="4">
        <v>2</v>
      </c>
      <c r="BG10" s="39">
        <v>1</v>
      </c>
      <c r="BH10" s="39">
        <v>0</v>
      </c>
      <c r="BI10" s="39">
        <v>0</v>
      </c>
      <c r="BJ10" s="39" t="s">
        <v>1083</v>
      </c>
      <c r="BK10" s="39">
        <v>0</v>
      </c>
      <c r="BL10" s="39">
        <v>0</v>
      </c>
      <c r="BM10" s="39">
        <v>0</v>
      </c>
    </row>
    <row r="11" spans="1:65" s="16" customFormat="1" x14ac:dyDescent="0.25">
      <c r="A11" s="16" t="s">
        <v>2062</v>
      </c>
      <c r="B11" s="39">
        <v>1</v>
      </c>
      <c r="C11" s="39">
        <v>1.25</v>
      </c>
      <c r="D11" s="39">
        <v>0</v>
      </c>
      <c r="E11" s="39">
        <v>11</v>
      </c>
      <c r="F11" s="39">
        <v>0</v>
      </c>
      <c r="G11" s="39">
        <v>0</v>
      </c>
      <c r="H11" s="40">
        <v>1</v>
      </c>
      <c r="I11" s="41">
        <v>1</v>
      </c>
      <c r="J11" s="39">
        <v>1.0900000000000001</v>
      </c>
      <c r="K11" s="39" t="s">
        <v>929</v>
      </c>
      <c r="L11" s="39">
        <v>0</v>
      </c>
      <c r="M11" s="39">
        <v>0</v>
      </c>
      <c r="N11" s="4" t="s">
        <v>41</v>
      </c>
      <c r="O11" s="4">
        <v>1</v>
      </c>
      <c r="P11" s="4">
        <v>1</v>
      </c>
      <c r="Q11" s="4">
        <v>1</v>
      </c>
      <c r="R11" s="4" t="s">
        <v>953</v>
      </c>
      <c r="S11" s="4" t="s">
        <v>951</v>
      </c>
      <c r="T11" s="4" t="s">
        <v>952</v>
      </c>
      <c r="U11" s="4" t="s">
        <v>45</v>
      </c>
      <c r="V11" s="4" t="s">
        <v>45</v>
      </c>
      <c r="W11" s="4" t="s">
        <v>45</v>
      </c>
      <c r="X11" s="4" t="s">
        <v>45</v>
      </c>
      <c r="Y11" s="4" t="s">
        <v>45</v>
      </c>
      <c r="Z11" s="4">
        <v>0.8</v>
      </c>
      <c r="AA11" s="4" t="s">
        <v>972</v>
      </c>
      <c r="AB11" s="4" t="s">
        <v>977</v>
      </c>
      <c r="AC11" s="4" t="s">
        <v>955</v>
      </c>
      <c r="AD11" s="39">
        <v>0</v>
      </c>
      <c r="AE11" s="4" t="s">
        <v>45</v>
      </c>
      <c r="AF11" s="4" t="s">
        <v>45</v>
      </c>
      <c r="AG11" s="4" t="s">
        <v>45</v>
      </c>
      <c r="AH11" s="4" t="s">
        <v>45</v>
      </c>
      <c r="AI11" s="4">
        <v>1</v>
      </c>
      <c r="AJ11" s="4" t="s">
        <v>41</v>
      </c>
      <c r="AK11" s="4">
        <v>0</v>
      </c>
      <c r="AL11" s="4" t="s">
        <v>41</v>
      </c>
      <c r="AM11" s="4">
        <v>0</v>
      </c>
      <c r="AN11" s="4">
        <v>2.5000000000000001E-2</v>
      </c>
      <c r="AO11" s="4">
        <v>0.1</v>
      </c>
      <c r="AP11" s="4">
        <v>0.2</v>
      </c>
      <c r="AQ11" s="4">
        <v>0</v>
      </c>
      <c r="AR11" s="4" t="s">
        <v>1026</v>
      </c>
      <c r="AS11" s="4">
        <v>0</v>
      </c>
      <c r="AT11" s="4">
        <v>0</v>
      </c>
      <c r="AU11" s="4">
        <v>0</v>
      </c>
      <c r="AV11" s="4" t="s">
        <v>45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1</v>
      </c>
      <c r="BC11" s="4">
        <v>0</v>
      </c>
      <c r="BD11" s="4">
        <v>0</v>
      </c>
      <c r="BE11" s="4">
        <v>1</v>
      </c>
      <c r="BF11" s="4">
        <v>1</v>
      </c>
      <c r="BG11" s="39">
        <v>1</v>
      </c>
      <c r="BH11" s="39">
        <v>0.1</v>
      </c>
      <c r="BI11" s="39">
        <v>2.5000000000000001E-2</v>
      </c>
      <c r="BJ11" s="39" t="s">
        <v>1083</v>
      </c>
      <c r="BK11" s="39">
        <v>0</v>
      </c>
      <c r="BL11" s="39">
        <v>0</v>
      </c>
      <c r="BM11" s="39">
        <v>0</v>
      </c>
    </row>
    <row r="12" spans="1:65" s="16" customFormat="1" x14ac:dyDescent="0.25">
      <c r="A12" s="16" t="s">
        <v>1734</v>
      </c>
      <c r="B12" s="39">
        <v>1</v>
      </c>
      <c r="C12" s="39">
        <v>1.25</v>
      </c>
      <c r="D12" s="39">
        <v>0</v>
      </c>
      <c r="E12" s="39">
        <v>11</v>
      </c>
      <c r="F12" s="39">
        <v>0</v>
      </c>
      <c r="G12" s="39">
        <v>0</v>
      </c>
      <c r="H12" s="40">
        <v>1</v>
      </c>
      <c r="I12" s="41">
        <v>1</v>
      </c>
      <c r="J12" s="39">
        <v>1.0900000000000001</v>
      </c>
      <c r="K12" s="39" t="s">
        <v>929</v>
      </c>
      <c r="L12" s="39">
        <v>0</v>
      </c>
      <c r="M12" s="39">
        <v>0</v>
      </c>
      <c r="N12" s="4" t="s">
        <v>41</v>
      </c>
      <c r="O12" s="4">
        <v>1</v>
      </c>
      <c r="P12" s="4">
        <v>1</v>
      </c>
      <c r="Q12" s="4">
        <v>1</v>
      </c>
      <c r="R12" s="4" t="s">
        <v>953</v>
      </c>
      <c r="S12" s="4" t="s">
        <v>951</v>
      </c>
      <c r="T12" s="4" t="s">
        <v>952</v>
      </c>
      <c r="U12" s="4" t="s">
        <v>45</v>
      </c>
      <c r="V12" s="4" t="s">
        <v>45</v>
      </c>
      <c r="W12" s="4" t="s">
        <v>45</v>
      </c>
      <c r="X12" s="4" t="s">
        <v>45</v>
      </c>
      <c r="Y12" s="4" t="s">
        <v>45</v>
      </c>
      <c r="Z12" s="4">
        <v>1</v>
      </c>
      <c r="AA12" s="4" t="s">
        <v>972</v>
      </c>
      <c r="AB12" s="4" t="s">
        <v>977</v>
      </c>
      <c r="AC12" s="4" t="s">
        <v>955</v>
      </c>
      <c r="AD12" s="39">
        <v>0</v>
      </c>
      <c r="AE12" s="4" t="s">
        <v>45</v>
      </c>
      <c r="AF12" s="4" t="s">
        <v>45</v>
      </c>
      <c r="AG12" s="4" t="s">
        <v>45</v>
      </c>
      <c r="AH12" s="4" t="s">
        <v>45</v>
      </c>
      <c r="AI12" s="4">
        <v>1</v>
      </c>
      <c r="AJ12" s="4" t="s">
        <v>41</v>
      </c>
      <c r="AK12" s="4">
        <v>0</v>
      </c>
      <c r="AL12" s="4" t="s">
        <v>41</v>
      </c>
      <c r="AM12" s="4">
        <v>0</v>
      </c>
      <c r="AN12" s="4">
        <v>0</v>
      </c>
      <c r="AO12" s="4">
        <v>0</v>
      </c>
      <c r="AP12" s="4" t="s">
        <v>45</v>
      </c>
      <c r="AQ12" s="4">
        <v>0</v>
      </c>
      <c r="AR12" s="4" t="s">
        <v>673</v>
      </c>
      <c r="AS12" s="4">
        <v>0</v>
      </c>
      <c r="AT12" s="4">
        <v>0</v>
      </c>
      <c r="AU12" s="4">
        <v>0</v>
      </c>
      <c r="AV12" s="4" t="s">
        <v>45</v>
      </c>
      <c r="AW12" s="4">
        <v>0</v>
      </c>
      <c r="AX12" s="4">
        <v>0</v>
      </c>
      <c r="AY12" s="4">
        <v>0</v>
      </c>
      <c r="AZ12" s="4">
        <v>1</v>
      </c>
      <c r="BA12" s="4">
        <v>0</v>
      </c>
      <c r="BB12" s="4">
        <v>1</v>
      </c>
      <c r="BC12" s="4">
        <v>0</v>
      </c>
      <c r="BD12" s="4">
        <v>0</v>
      </c>
      <c r="BE12" s="4">
        <v>1</v>
      </c>
      <c r="BF12" s="4">
        <v>2</v>
      </c>
      <c r="BG12" s="39">
        <v>1</v>
      </c>
      <c r="BH12" s="39">
        <v>0.1</v>
      </c>
      <c r="BI12" s="39">
        <v>2.5000000000000001E-2</v>
      </c>
      <c r="BJ12" s="39" t="s">
        <v>1083</v>
      </c>
      <c r="BK12" s="39">
        <v>0</v>
      </c>
      <c r="BL12" s="39">
        <v>0</v>
      </c>
      <c r="BM12" s="39">
        <v>0</v>
      </c>
    </row>
    <row r="13" spans="1:65" x14ac:dyDescent="0.25">
      <c r="A13" t="s">
        <v>41</v>
      </c>
      <c r="B13" s="39">
        <v>0</v>
      </c>
      <c r="C13" s="39">
        <v>1.25</v>
      </c>
      <c r="D13" s="39">
        <v>1</v>
      </c>
      <c r="E13" s="39">
        <v>11</v>
      </c>
      <c r="F13" s="39">
        <v>0</v>
      </c>
      <c r="G13" s="39">
        <v>0</v>
      </c>
      <c r="H13" s="40">
        <v>1</v>
      </c>
      <c r="I13" s="41">
        <v>1</v>
      </c>
      <c r="J13" s="39">
        <v>1.0900000000000001</v>
      </c>
      <c r="K13" s="39" t="s">
        <v>929</v>
      </c>
      <c r="L13" s="39">
        <v>0</v>
      </c>
      <c r="M13" s="39">
        <v>0</v>
      </c>
      <c r="N13" s="4" t="s">
        <v>41</v>
      </c>
      <c r="O13" s="4">
        <v>1</v>
      </c>
      <c r="P13" s="4">
        <v>1</v>
      </c>
      <c r="Q13" s="4">
        <v>1</v>
      </c>
      <c r="R13" s="4" t="s">
        <v>953</v>
      </c>
      <c r="S13" s="4" t="s">
        <v>951</v>
      </c>
      <c r="T13" s="4" t="s">
        <v>952</v>
      </c>
      <c r="U13" s="4" t="s">
        <v>45</v>
      </c>
      <c r="V13" s="4" t="s">
        <v>45</v>
      </c>
      <c r="W13" s="4" t="s">
        <v>45</v>
      </c>
      <c r="X13" s="4" t="s">
        <v>45</v>
      </c>
      <c r="Y13" s="4" t="s">
        <v>45</v>
      </c>
      <c r="Z13" s="4">
        <v>1</v>
      </c>
      <c r="AA13" s="4" t="s">
        <v>972</v>
      </c>
      <c r="AB13" s="4" t="s">
        <v>977</v>
      </c>
      <c r="AC13" s="4" t="s">
        <v>955</v>
      </c>
      <c r="AD13" s="39">
        <v>0</v>
      </c>
      <c r="AE13" s="4" t="s">
        <v>45</v>
      </c>
      <c r="AF13" s="4" t="s">
        <v>45</v>
      </c>
      <c r="AG13" s="4" t="s">
        <v>45</v>
      </c>
      <c r="AH13" s="4" t="s">
        <v>45</v>
      </c>
      <c r="AI13" s="4">
        <v>1</v>
      </c>
      <c r="AJ13" s="4" t="s">
        <v>41</v>
      </c>
      <c r="AK13" s="4">
        <v>0</v>
      </c>
      <c r="AL13" s="4" t="s">
        <v>41</v>
      </c>
      <c r="AM13" s="4">
        <v>0</v>
      </c>
      <c r="AN13" s="4">
        <v>0</v>
      </c>
      <c r="AO13" s="4">
        <v>0</v>
      </c>
      <c r="AP13" s="4" t="s">
        <v>45</v>
      </c>
      <c r="AQ13" s="4">
        <v>0</v>
      </c>
      <c r="AR13" s="4" t="s">
        <v>673</v>
      </c>
      <c r="AS13" s="4">
        <v>0</v>
      </c>
      <c r="AT13" s="4">
        <v>0</v>
      </c>
      <c r="AU13" s="4">
        <v>0</v>
      </c>
      <c r="AV13" s="4" t="s">
        <v>45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1</v>
      </c>
      <c r="BC13" s="4">
        <v>0</v>
      </c>
      <c r="BD13" s="4">
        <v>0</v>
      </c>
      <c r="BE13" s="4">
        <v>1</v>
      </c>
      <c r="BF13" s="4">
        <v>2</v>
      </c>
      <c r="BG13" s="39">
        <v>1</v>
      </c>
      <c r="BH13" s="39">
        <v>0</v>
      </c>
      <c r="BI13" s="39">
        <v>0</v>
      </c>
      <c r="BJ13" s="39" t="s">
        <v>1083</v>
      </c>
      <c r="BK13" s="39">
        <v>0</v>
      </c>
      <c r="BL13" s="39">
        <v>0</v>
      </c>
      <c r="BM13" s="39">
        <v>0</v>
      </c>
    </row>
    <row r="14" spans="1:65" s="16" customFormat="1" x14ac:dyDescent="0.25">
      <c r="A14" s="16" t="s">
        <v>1817</v>
      </c>
      <c r="B14" s="39">
        <v>0</v>
      </c>
      <c r="C14" s="39">
        <v>1.25</v>
      </c>
      <c r="D14" s="39">
        <v>0</v>
      </c>
      <c r="E14" s="39">
        <v>1</v>
      </c>
      <c r="F14" s="39">
        <v>1</v>
      </c>
      <c r="G14" s="39">
        <v>0</v>
      </c>
      <c r="H14" s="40">
        <f>AVERAGE(21.6,12,10,13.1,30.5,38,15)</f>
        <v>20.028571428571428</v>
      </c>
      <c r="I14" s="41">
        <f>AVERAGE(0.54,1.5,1.5,0.86,0.24,0.54,0.85)</f>
        <v>0.86142857142857143</v>
      </c>
      <c r="J14" s="39">
        <v>1.0900000000000001</v>
      </c>
      <c r="K14" s="42">
        <f>AVERAGE(0.13,0.106,0.134,0.129)</f>
        <v>0.12475</v>
      </c>
      <c r="L14" s="39">
        <v>0</v>
      </c>
      <c r="M14" s="39">
        <v>0</v>
      </c>
      <c r="N14" s="4" t="s">
        <v>55</v>
      </c>
      <c r="O14" s="4">
        <v>0</v>
      </c>
      <c r="P14" s="4">
        <v>0</v>
      </c>
      <c r="Q14" s="4" t="s">
        <v>45</v>
      </c>
      <c r="R14" s="4" t="s">
        <v>45</v>
      </c>
      <c r="S14" s="4" t="s">
        <v>45</v>
      </c>
      <c r="T14" s="4" t="s">
        <v>45</v>
      </c>
      <c r="U14" s="4" t="s">
        <v>45</v>
      </c>
      <c r="V14" s="4" t="s">
        <v>45</v>
      </c>
      <c r="W14" s="4" t="s">
        <v>45</v>
      </c>
      <c r="X14" s="4" t="s">
        <v>45</v>
      </c>
      <c r="Y14" s="4" t="s">
        <v>45</v>
      </c>
      <c r="Z14" s="4">
        <v>0.8</v>
      </c>
      <c r="AA14" s="4" t="s">
        <v>975</v>
      </c>
      <c r="AB14" s="4" t="s">
        <v>979</v>
      </c>
      <c r="AC14" s="4" t="s">
        <v>1064</v>
      </c>
      <c r="AD14" s="39">
        <v>0</v>
      </c>
      <c r="AE14" s="4" t="s">
        <v>45</v>
      </c>
      <c r="AF14" s="4" t="s">
        <v>45</v>
      </c>
      <c r="AG14" s="4" t="s">
        <v>45</v>
      </c>
      <c r="AH14" s="4" t="s">
        <v>45</v>
      </c>
      <c r="AI14" s="4">
        <v>1.2</v>
      </c>
      <c r="AJ14" s="4" t="s">
        <v>996</v>
      </c>
      <c r="AK14" s="4">
        <v>0</v>
      </c>
      <c r="AL14" s="4" t="s">
        <v>1007</v>
      </c>
      <c r="AM14" s="4">
        <v>1</v>
      </c>
      <c r="AN14" s="4">
        <v>0.1</v>
      </c>
      <c r="AO14" s="4">
        <v>0.3</v>
      </c>
      <c r="AP14" s="4">
        <v>1</v>
      </c>
      <c r="AQ14" s="4">
        <v>0</v>
      </c>
      <c r="AR14" s="4" t="s">
        <v>1024</v>
      </c>
      <c r="AS14" s="4">
        <v>1</v>
      </c>
      <c r="AT14" s="4">
        <v>0</v>
      </c>
      <c r="AU14" s="4">
        <v>0</v>
      </c>
      <c r="AV14" s="4" t="s">
        <v>45</v>
      </c>
      <c r="AW14" s="4">
        <v>0</v>
      </c>
      <c r="AX14" s="4">
        <v>0</v>
      </c>
      <c r="AY14" s="4">
        <v>0</v>
      </c>
      <c r="AZ14" s="4">
        <v>2</v>
      </c>
      <c r="BA14" s="4">
        <v>0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39">
        <v>1</v>
      </c>
      <c r="BH14" s="39">
        <v>0.2</v>
      </c>
      <c r="BI14" s="39">
        <v>2.5000000000000001E-2</v>
      </c>
      <c r="BJ14" s="39" t="s">
        <v>1080</v>
      </c>
      <c r="BK14" s="39">
        <v>0</v>
      </c>
      <c r="BL14" s="39">
        <v>0</v>
      </c>
      <c r="BM14" s="39">
        <v>0</v>
      </c>
    </row>
    <row r="15" spans="1:65" x14ac:dyDescent="0.25">
      <c r="A15" t="s">
        <v>1818</v>
      </c>
      <c r="B15" s="39">
        <v>0</v>
      </c>
      <c r="C15" s="39">
        <v>1.25</v>
      </c>
      <c r="D15" s="39">
        <v>0</v>
      </c>
      <c r="E15" s="39">
        <v>1</v>
      </c>
      <c r="F15" s="39">
        <v>1</v>
      </c>
      <c r="G15" s="39">
        <v>0</v>
      </c>
      <c r="H15" s="40">
        <f>AVERAGE(21.6,12,10,13.1,30.5,38,15)</f>
        <v>20.028571428571428</v>
      </c>
      <c r="I15" s="41">
        <f>AVERAGE(0.54,1.5,1.5,0.86,0.24,0.54,0.85)</f>
        <v>0.86142857142857143</v>
      </c>
      <c r="J15" s="39">
        <v>1.0900000000000001</v>
      </c>
      <c r="K15" s="42">
        <f>AVERAGE(0.13,0.106,0.134,0.129)</f>
        <v>0.12475</v>
      </c>
      <c r="L15" s="39">
        <v>0</v>
      </c>
      <c r="M15" s="39">
        <v>0</v>
      </c>
      <c r="N15" s="4" t="s">
        <v>55</v>
      </c>
      <c r="O15" s="4">
        <v>0</v>
      </c>
      <c r="P15" s="4">
        <v>0</v>
      </c>
      <c r="Q15" s="4" t="s">
        <v>45</v>
      </c>
      <c r="R15" s="4" t="s">
        <v>45</v>
      </c>
      <c r="S15" s="4" t="s">
        <v>45</v>
      </c>
      <c r="T15" s="4" t="s">
        <v>45</v>
      </c>
      <c r="U15" s="4" t="s">
        <v>45</v>
      </c>
      <c r="V15" s="4" t="s">
        <v>45</v>
      </c>
      <c r="W15" s="4" t="s">
        <v>45</v>
      </c>
      <c r="X15" s="4" t="s">
        <v>45</v>
      </c>
      <c r="Y15" s="4" t="s">
        <v>45</v>
      </c>
      <c r="Z15" s="4">
        <v>0.8</v>
      </c>
      <c r="AA15" s="4" t="s">
        <v>975</v>
      </c>
      <c r="AB15" s="4" t="s">
        <v>979</v>
      </c>
      <c r="AC15" s="4" t="s">
        <v>1064</v>
      </c>
      <c r="AD15" s="39">
        <v>0</v>
      </c>
      <c r="AE15" s="4" t="s">
        <v>45</v>
      </c>
      <c r="AF15" s="4" t="s">
        <v>45</v>
      </c>
      <c r="AG15" s="4" t="s">
        <v>45</v>
      </c>
      <c r="AH15" s="4" t="s">
        <v>45</v>
      </c>
      <c r="AI15" s="4">
        <v>1.2</v>
      </c>
      <c r="AJ15" s="4" t="s">
        <v>996</v>
      </c>
      <c r="AK15" s="4">
        <v>0</v>
      </c>
      <c r="AL15" s="4" t="s">
        <v>1007</v>
      </c>
      <c r="AM15" s="4">
        <v>1</v>
      </c>
      <c r="AN15" s="4">
        <v>0.1</v>
      </c>
      <c r="AO15" s="4">
        <v>0.3</v>
      </c>
      <c r="AP15" s="4">
        <v>1</v>
      </c>
      <c r="AQ15" s="4">
        <v>0</v>
      </c>
      <c r="AR15" s="4" t="s">
        <v>1024</v>
      </c>
      <c r="AS15" s="4">
        <v>1</v>
      </c>
      <c r="AT15" s="4">
        <v>0</v>
      </c>
      <c r="AU15" s="4">
        <v>0</v>
      </c>
      <c r="AV15" s="4" t="s">
        <v>45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39">
        <v>1</v>
      </c>
      <c r="BH15" s="39">
        <v>0.2</v>
      </c>
      <c r="BI15" s="39">
        <v>2.5000000000000001E-2</v>
      </c>
      <c r="BJ15" s="39" t="s">
        <v>1080</v>
      </c>
      <c r="BK15" s="39">
        <v>0</v>
      </c>
      <c r="BL15" s="39">
        <v>0</v>
      </c>
      <c r="BM15" s="39">
        <v>0</v>
      </c>
    </row>
    <row r="16" spans="1:65" x14ac:dyDescent="0.25">
      <c r="A16" t="s">
        <v>421</v>
      </c>
      <c r="B16" s="39">
        <v>0</v>
      </c>
      <c r="C16" s="39">
        <v>1.5</v>
      </c>
      <c r="D16" s="39">
        <v>1</v>
      </c>
      <c r="E16" s="39">
        <v>1</v>
      </c>
      <c r="F16" s="39">
        <v>0</v>
      </c>
      <c r="G16" s="39">
        <v>0</v>
      </c>
      <c r="H16" s="40">
        <v>32</v>
      </c>
      <c r="I16" s="41">
        <f>H16/1000/13</f>
        <v>2.4615384615384616E-3</v>
      </c>
      <c r="J16" s="39">
        <v>1.9</v>
      </c>
      <c r="K16" s="39">
        <v>0.32</v>
      </c>
      <c r="L16" s="39">
        <v>1</v>
      </c>
      <c r="M16" s="39">
        <v>1</v>
      </c>
      <c r="N16" s="4" t="s">
        <v>45</v>
      </c>
      <c r="O16" s="4">
        <v>1</v>
      </c>
      <c r="P16" s="4">
        <v>0</v>
      </c>
      <c r="Q16" s="4" t="s">
        <v>45</v>
      </c>
      <c r="R16" s="4" t="s">
        <v>45</v>
      </c>
      <c r="S16" s="4" t="s">
        <v>45</v>
      </c>
      <c r="T16" s="4" t="s">
        <v>45</v>
      </c>
      <c r="U16" s="4" t="s">
        <v>45</v>
      </c>
      <c r="V16" s="4" t="s">
        <v>45</v>
      </c>
      <c r="W16" s="4" t="s">
        <v>45</v>
      </c>
      <c r="X16" s="4" t="s">
        <v>45</v>
      </c>
      <c r="Y16" s="4" t="s">
        <v>45</v>
      </c>
      <c r="Z16" s="4" t="s">
        <v>45</v>
      </c>
      <c r="AA16" s="4" t="s">
        <v>45</v>
      </c>
      <c r="AB16" s="4" t="s">
        <v>45</v>
      </c>
      <c r="AC16" s="4" t="s">
        <v>45</v>
      </c>
      <c r="AD16" s="39">
        <v>1</v>
      </c>
      <c r="AE16" s="4">
        <v>1.2</v>
      </c>
      <c r="AF16" s="4" t="s">
        <v>989</v>
      </c>
      <c r="AG16" s="4" t="s">
        <v>993</v>
      </c>
      <c r="AH16" s="4" t="s">
        <v>952</v>
      </c>
      <c r="AI16" s="4">
        <v>1</v>
      </c>
      <c r="AJ16" s="4" t="s">
        <v>999</v>
      </c>
      <c r="AK16" s="4">
        <v>0</v>
      </c>
      <c r="AL16" s="4" t="s">
        <v>421</v>
      </c>
      <c r="AM16" s="4">
        <v>0</v>
      </c>
      <c r="AN16" s="4">
        <v>0</v>
      </c>
      <c r="AO16" s="4">
        <v>0</v>
      </c>
      <c r="AP16" s="4" t="s">
        <v>45</v>
      </c>
      <c r="AQ16" s="4">
        <v>0</v>
      </c>
      <c r="AR16" s="4" t="s">
        <v>673</v>
      </c>
      <c r="AS16" s="4">
        <v>0</v>
      </c>
      <c r="AT16" s="4">
        <v>0</v>
      </c>
      <c r="AU16" s="4">
        <v>1</v>
      </c>
      <c r="AV16" s="4" t="s">
        <v>45</v>
      </c>
      <c r="AW16" s="4">
        <v>0</v>
      </c>
      <c r="AX16" s="4">
        <v>0</v>
      </c>
      <c r="AY16" s="4">
        <v>0</v>
      </c>
      <c r="AZ16" s="4">
        <v>1</v>
      </c>
      <c r="BA16" s="4">
        <v>0</v>
      </c>
      <c r="BB16" s="4">
        <v>0</v>
      </c>
      <c r="BC16" s="4">
        <v>1</v>
      </c>
      <c r="BD16" s="4">
        <v>0</v>
      </c>
      <c r="BE16" s="4">
        <v>0</v>
      </c>
      <c r="BF16" s="4">
        <v>1</v>
      </c>
      <c r="BG16" s="39">
        <v>0.25</v>
      </c>
      <c r="BH16" s="39">
        <v>0</v>
      </c>
      <c r="BI16" s="39">
        <v>0</v>
      </c>
      <c r="BJ16" s="39" t="s">
        <v>1082</v>
      </c>
      <c r="BK16" s="39">
        <v>0</v>
      </c>
      <c r="BL16" s="39">
        <v>0</v>
      </c>
      <c r="BM16" s="39">
        <v>0</v>
      </c>
    </row>
    <row r="17" spans="1:65" x14ac:dyDescent="0.25">
      <c r="A17" t="s">
        <v>458</v>
      </c>
      <c r="B17" s="39">
        <v>2</v>
      </c>
      <c r="C17" s="39">
        <v>1.1000000000000001</v>
      </c>
      <c r="D17" s="39">
        <v>0</v>
      </c>
      <c r="E17" s="39">
        <v>1</v>
      </c>
      <c r="F17" s="39">
        <v>0</v>
      </c>
      <c r="G17" s="39">
        <v>0</v>
      </c>
      <c r="H17" s="40">
        <f>AVERAGE(65.2,57.2,43.4)</f>
        <v>55.266666666666673</v>
      </c>
      <c r="I17" s="41">
        <f>AVERAGE(31.29%,20.98%,15.21%)</f>
        <v>0.22493333333333335</v>
      </c>
      <c r="J17" s="39">
        <v>1.86</v>
      </c>
      <c r="K17" s="39">
        <v>0.2</v>
      </c>
      <c r="L17" s="39">
        <v>1</v>
      </c>
      <c r="M17" s="39">
        <v>0</v>
      </c>
      <c r="N17" s="4" t="s">
        <v>458</v>
      </c>
      <c r="O17" s="4">
        <v>0</v>
      </c>
      <c r="P17" s="4">
        <v>0</v>
      </c>
      <c r="Q17" s="4" t="s">
        <v>45</v>
      </c>
      <c r="R17" s="4" t="s">
        <v>45</v>
      </c>
      <c r="S17" s="4" t="s">
        <v>45</v>
      </c>
      <c r="T17" s="4" t="s">
        <v>45</v>
      </c>
      <c r="U17" s="4" t="s">
        <v>45</v>
      </c>
      <c r="V17" s="4" t="s">
        <v>45</v>
      </c>
      <c r="W17" s="4" t="s">
        <v>45</v>
      </c>
      <c r="X17" s="4" t="s">
        <v>45</v>
      </c>
      <c r="Y17" s="4" t="s">
        <v>45</v>
      </c>
      <c r="Z17" s="4">
        <v>0.95</v>
      </c>
      <c r="AA17" s="4" t="s">
        <v>975</v>
      </c>
      <c r="AB17" s="4" t="s">
        <v>978</v>
      </c>
      <c r="AC17" s="4" t="s">
        <v>1064</v>
      </c>
      <c r="AD17" s="39">
        <v>0</v>
      </c>
      <c r="AE17" s="4" t="s">
        <v>45</v>
      </c>
      <c r="AF17" s="4" t="s">
        <v>45</v>
      </c>
      <c r="AG17" s="4" t="s">
        <v>45</v>
      </c>
      <c r="AH17" s="4" t="s">
        <v>45</v>
      </c>
      <c r="AI17" s="4">
        <v>1.2</v>
      </c>
      <c r="AJ17" s="4" t="s">
        <v>997</v>
      </c>
      <c r="AK17" s="4">
        <v>0</v>
      </c>
      <c r="AL17" s="4" t="s">
        <v>1015</v>
      </c>
      <c r="AM17" s="4">
        <v>0</v>
      </c>
      <c r="AN17" s="4">
        <v>0.1</v>
      </c>
      <c r="AO17" s="4">
        <v>0.3</v>
      </c>
      <c r="AP17" s="4" t="s">
        <v>45</v>
      </c>
      <c r="AQ17" s="4">
        <v>0</v>
      </c>
      <c r="AR17" s="4" t="s">
        <v>673</v>
      </c>
      <c r="AS17" s="4">
        <v>1</v>
      </c>
      <c r="AT17" s="4">
        <v>1</v>
      </c>
      <c r="AU17" s="4">
        <v>1</v>
      </c>
      <c r="AV17" s="4" t="s">
        <v>45</v>
      </c>
      <c r="AW17" s="4">
        <v>0</v>
      </c>
      <c r="AX17" s="4">
        <v>0</v>
      </c>
      <c r="AY17" s="4">
        <v>0</v>
      </c>
      <c r="AZ17" s="4">
        <v>2</v>
      </c>
      <c r="BA17" s="4">
        <v>0</v>
      </c>
      <c r="BB17" s="4">
        <v>0</v>
      </c>
      <c r="BC17" s="4">
        <v>1</v>
      </c>
      <c r="BD17" s="4">
        <v>0</v>
      </c>
      <c r="BE17" s="4">
        <v>0</v>
      </c>
      <c r="BF17" s="4">
        <v>1</v>
      </c>
      <c r="BG17" s="39">
        <v>0.25</v>
      </c>
      <c r="BH17" s="39">
        <v>0.1</v>
      </c>
      <c r="BI17" s="39">
        <v>2.5000000000000001E-2</v>
      </c>
      <c r="BJ17" s="39" t="s">
        <v>1082</v>
      </c>
      <c r="BK17" s="39">
        <v>0</v>
      </c>
      <c r="BL17" s="39">
        <v>0</v>
      </c>
      <c r="BM17" s="39">
        <v>0</v>
      </c>
    </row>
    <row r="18" spans="1:65" x14ac:dyDescent="0.25">
      <c r="A18" t="s">
        <v>70</v>
      </c>
      <c r="B18" s="39">
        <v>2</v>
      </c>
      <c r="C18" s="39">
        <v>1</v>
      </c>
      <c r="D18" s="39">
        <v>0</v>
      </c>
      <c r="E18" s="39">
        <v>5</v>
      </c>
      <c r="F18" s="39">
        <v>0</v>
      </c>
      <c r="G18" s="39">
        <v>0</v>
      </c>
      <c r="H18" s="40">
        <f>AVERAGE(21.6,12,10,13.1,30.5,38,15)</f>
        <v>20.028571428571428</v>
      </c>
      <c r="I18" s="41">
        <f>AVERAGE(0.54,1.5,1.5,0.86,0.24,0.54,0.85)</f>
        <v>0.86142857142857143</v>
      </c>
      <c r="J18" s="39">
        <v>1.0900000000000001</v>
      </c>
      <c r="K18" s="42">
        <v>0.08</v>
      </c>
      <c r="L18" s="39">
        <v>0</v>
      </c>
      <c r="M18" s="39">
        <v>0</v>
      </c>
      <c r="N18" s="4" t="s">
        <v>45</v>
      </c>
      <c r="O18" s="4">
        <v>0</v>
      </c>
      <c r="P18" s="4">
        <v>1</v>
      </c>
      <c r="Q18" s="4">
        <v>0.9</v>
      </c>
      <c r="R18" s="4" t="s">
        <v>954</v>
      </c>
      <c r="S18" s="4" t="s">
        <v>956</v>
      </c>
      <c r="T18" s="4" t="s">
        <v>955</v>
      </c>
      <c r="U18" s="4">
        <v>3</v>
      </c>
      <c r="V18" s="4">
        <v>0.7</v>
      </c>
      <c r="W18" s="4" t="s">
        <v>963</v>
      </c>
      <c r="X18" s="4" t="s">
        <v>964</v>
      </c>
      <c r="Y18" s="4" t="s">
        <v>952</v>
      </c>
      <c r="Z18" s="4" t="s">
        <v>45</v>
      </c>
      <c r="AA18" s="4" t="s">
        <v>45</v>
      </c>
      <c r="AB18" s="4" t="s">
        <v>45</v>
      </c>
      <c r="AC18" s="4" t="s">
        <v>45</v>
      </c>
      <c r="AD18" s="39">
        <v>0</v>
      </c>
      <c r="AE18" s="4" t="s">
        <v>45</v>
      </c>
      <c r="AF18" s="4" t="s">
        <v>45</v>
      </c>
      <c r="AG18" s="4" t="s">
        <v>45</v>
      </c>
      <c r="AH18" s="4" t="s">
        <v>45</v>
      </c>
      <c r="AI18" s="4">
        <v>1</v>
      </c>
      <c r="AJ18" s="4" t="s">
        <v>996</v>
      </c>
      <c r="AK18" s="4">
        <v>1</v>
      </c>
      <c r="AL18" s="4" t="s">
        <v>1013</v>
      </c>
      <c r="AM18" s="4">
        <v>0</v>
      </c>
      <c r="AN18" s="4">
        <v>2.5000000000000001E-2</v>
      </c>
      <c r="AO18" s="4">
        <v>0.3</v>
      </c>
      <c r="AP18" s="4" t="s">
        <v>45</v>
      </c>
      <c r="AQ18" s="4">
        <v>0</v>
      </c>
      <c r="AR18" s="4" t="s">
        <v>1024</v>
      </c>
      <c r="AS18" s="4">
        <v>0</v>
      </c>
      <c r="AT18" s="4">
        <v>0</v>
      </c>
      <c r="AU18" s="4">
        <v>0</v>
      </c>
      <c r="AV18" s="4" t="s">
        <v>45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1</v>
      </c>
      <c r="BC18" s="4">
        <v>1</v>
      </c>
      <c r="BD18" s="4">
        <v>0</v>
      </c>
      <c r="BE18" s="4">
        <v>0</v>
      </c>
      <c r="BF18" s="4">
        <v>0</v>
      </c>
      <c r="BG18" s="39">
        <v>0.25</v>
      </c>
      <c r="BH18" s="39">
        <v>0.1</v>
      </c>
      <c r="BI18" s="39">
        <v>0.05</v>
      </c>
      <c r="BJ18" s="39" t="s">
        <v>1080</v>
      </c>
      <c r="BK18" s="39">
        <v>0</v>
      </c>
      <c r="BL18" s="39">
        <v>0</v>
      </c>
      <c r="BM18" s="39">
        <v>0</v>
      </c>
    </row>
    <row r="19" spans="1:65" x14ac:dyDescent="0.25">
      <c r="A19" t="s">
        <v>1819</v>
      </c>
      <c r="B19" s="39">
        <v>2</v>
      </c>
      <c r="C19" s="39">
        <v>1.25</v>
      </c>
      <c r="D19" s="39">
        <v>0</v>
      </c>
      <c r="E19" s="39">
        <v>1</v>
      </c>
      <c r="F19" s="39">
        <v>1</v>
      </c>
      <c r="G19" s="39">
        <v>1</v>
      </c>
      <c r="H19" s="40">
        <f>AVERAGE(21.6,12,10,13.1,30.5,38,15)</f>
        <v>20.028571428571428</v>
      </c>
      <c r="I19" s="41">
        <f>AVERAGE(0.54,1.5,1.5,0.86,0.24,0.54,0.85)</f>
        <v>0.86142857142857143</v>
      </c>
      <c r="J19" s="39">
        <v>1.0900000000000001</v>
      </c>
      <c r="K19" s="42">
        <f>AVERAGE(0.13,0.106,0.134,0.129)</f>
        <v>0.12475</v>
      </c>
      <c r="L19" s="39">
        <v>0</v>
      </c>
      <c r="M19" s="39">
        <v>0</v>
      </c>
      <c r="N19" s="4" t="s">
        <v>74</v>
      </c>
      <c r="O19" s="4">
        <v>0</v>
      </c>
      <c r="P19" s="4">
        <v>0</v>
      </c>
      <c r="Q19" s="4" t="s">
        <v>45</v>
      </c>
      <c r="R19" s="4" t="s">
        <v>45</v>
      </c>
      <c r="S19" s="4" t="s">
        <v>45</v>
      </c>
      <c r="T19" s="4" t="s">
        <v>45</v>
      </c>
      <c r="U19" s="4" t="s">
        <v>45</v>
      </c>
      <c r="V19" s="4" t="s">
        <v>45</v>
      </c>
      <c r="W19" s="4" t="s">
        <v>45</v>
      </c>
      <c r="X19" s="4" t="s">
        <v>45</v>
      </c>
      <c r="Y19" s="4" t="s">
        <v>45</v>
      </c>
      <c r="Z19" s="4">
        <v>0.7</v>
      </c>
      <c r="AA19" s="4" t="s">
        <v>975</v>
      </c>
      <c r="AB19" s="4" t="s">
        <v>979</v>
      </c>
      <c r="AC19" s="4" t="s">
        <v>1064</v>
      </c>
      <c r="AD19" s="39">
        <v>1</v>
      </c>
      <c r="AE19" s="4">
        <v>0.65</v>
      </c>
      <c r="AF19" s="4" t="s">
        <v>1746</v>
      </c>
      <c r="AG19" s="4" t="s">
        <v>993</v>
      </c>
      <c r="AH19" s="4" t="s">
        <v>952</v>
      </c>
      <c r="AI19" s="4">
        <v>1.2</v>
      </c>
      <c r="AJ19" s="4" t="s">
        <v>996</v>
      </c>
      <c r="AK19" s="4">
        <v>0</v>
      </c>
      <c r="AL19" s="4" t="s">
        <v>1007</v>
      </c>
      <c r="AM19" s="4">
        <v>1</v>
      </c>
      <c r="AN19" s="4">
        <v>0.1</v>
      </c>
      <c r="AO19" s="4">
        <v>0.3</v>
      </c>
      <c r="AP19" s="4">
        <v>1</v>
      </c>
      <c r="AQ19" s="4">
        <v>0</v>
      </c>
      <c r="AR19" s="4" t="s">
        <v>1026</v>
      </c>
      <c r="AS19" s="4">
        <v>1</v>
      </c>
      <c r="AT19" s="4">
        <v>0</v>
      </c>
      <c r="AU19" s="4">
        <v>0</v>
      </c>
      <c r="AV19" s="4" t="s">
        <v>45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39">
        <v>1.25</v>
      </c>
      <c r="BH19" s="39">
        <v>0.25</v>
      </c>
      <c r="BI19" s="39">
        <v>2.5000000000000001E-2</v>
      </c>
      <c r="BJ19" s="39" t="s">
        <v>1080</v>
      </c>
      <c r="BK19" s="39">
        <v>0</v>
      </c>
      <c r="BL19" s="39">
        <v>0</v>
      </c>
      <c r="BM19" s="39">
        <v>0</v>
      </c>
    </row>
    <row r="20" spans="1:65" s="16" customFormat="1" x14ac:dyDescent="0.25">
      <c r="A20" s="16" t="s">
        <v>1820</v>
      </c>
      <c r="B20" s="39">
        <v>2</v>
      </c>
      <c r="C20" s="39">
        <v>1.25</v>
      </c>
      <c r="D20" s="39">
        <v>0</v>
      </c>
      <c r="E20" s="39">
        <v>1</v>
      </c>
      <c r="F20" s="39">
        <v>1</v>
      </c>
      <c r="G20" s="39">
        <v>1</v>
      </c>
      <c r="H20" s="40">
        <f>AVERAGE(21.6,12,10,13.1,30.5,38,15)</f>
        <v>20.028571428571428</v>
      </c>
      <c r="I20" s="41">
        <f>AVERAGE(0.54,1.5,1.5,0.86,0.24,0.54,0.85)</f>
        <v>0.86142857142857143</v>
      </c>
      <c r="J20" s="39">
        <v>1.0900000000000001</v>
      </c>
      <c r="K20" s="42">
        <f>AVERAGE(0.13,0.106,0.134,0.129)</f>
        <v>0.12475</v>
      </c>
      <c r="L20" s="39">
        <v>0</v>
      </c>
      <c r="M20" s="39">
        <v>0</v>
      </c>
      <c r="N20" s="4" t="s">
        <v>74</v>
      </c>
      <c r="O20" s="4">
        <v>0</v>
      </c>
      <c r="P20" s="4">
        <v>0</v>
      </c>
      <c r="Q20" s="4" t="s">
        <v>45</v>
      </c>
      <c r="R20" s="4" t="s">
        <v>45</v>
      </c>
      <c r="S20" s="4" t="s">
        <v>45</v>
      </c>
      <c r="T20" s="4" t="s">
        <v>45</v>
      </c>
      <c r="U20" s="4" t="s">
        <v>45</v>
      </c>
      <c r="V20" s="4" t="s">
        <v>45</v>
      </c>
      <c r="W20" s="4" t="s">
        <v>45</v>
      </c>
      <c r="X20" s="4" t="s">
        <v>45</v>
      </c>
      <c r="Y20" s="4" t="s">
        <v>45</v>
      </c>
      <c r="Z20" s="4">
        <v>0.7</v>
      </c>
      <c r="AA20" s="4" t="s">
        <v>975</v>
      </c>
      <c r="AB20" s="4" t="s">
        <v>979</v>
      </c>
      <c r="AC20" s="4" t="s">
        <v>1064</v>
      </c>
      <c r="AD20" s="39">
        <v>1</v>
      </c>
      <c r="AE20" s="4">
        <v>0.65</v>
      </c>
      <c r="AF20" s="4" t="s">
        <v>1746</v>
      </c>
      <c r="AG20" s="4" t="s">
        <v>993</v>
      </c>
      <c r="AH20" s="4" t="s">
        <v>952</v>
      </c>
      <c r="AI20" s="4">
        <v>1.2</v>
      </c>
      <c r="AJ20" s="4" t="s">
        <v>996</v>
      </c>
      <c r="AK20" s="4">
        <v>0</v>
      </c>
      <c r="AL20" s="4" t="s">
        <v>1007</v>
      </c>
      <c r="AM20" s="4">
        <v>1</v>
      </c>
      <c r="AN20" s="4">
        <v>0.1</v>
      </c>
      <c r="AO20" s="4">
        <v>0.3</v>
      </c>
      <c r="AP20" s="4">
        <v>1</v>
      </c>
      <c r="AQ20" s="4">
        <v>0</v>
      </c>
      <c r="AR20" s="4" t="s">
        <v>1026</v>
      </c>
      <c r="AS20" s="4">
        <v>1</v>
      </c>
      <c r="AT20" s="4">
        <v>1</v>
      </c>
      <c r="AU20" s="4">
        <v>0</v>
      </c>
      <c r="AV20" s="4" t="s">
        <v>45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39">
        <v>1.25</v>
      </c>
      <c r="BH20" s="39">
        <v>0.25</v>
      </c>
      <c r="BI20" s="39">
        <v>2.5000000000000001E-2</v>
      </c>
      <c r="BJ20" s="39" t="s">
        <v>1080</v>
      </c>
      <c r="BK20" s="39">
        <v>0</v>
      </c>
      <c r="BL20" s="39">
        <v>0</v>
      </c>
      <c r="BM20" s="39">
        <v>0</v>
      </c>
    </row>
    <row r="21" spans="1:65" x14ac:dyDescent="0.25">
      <c r="A21" t="s">
        <v>282</v>
      </c>
      <c r="B21" s="39">
        <v>0</v>
      </c>
      <c r="C21" s="39">
        <v>1</v>
      </c>
      <c r="D21" s="39">
        <v>1</v>
      </c>
      <c r="E21" s="39">
        <v>1</v>
      </c>
      <c r="F21" s="39">
        <v>0</v>
      </c>
      <c r="G21" s="39">
        <v>0</v>
      </c>
      <c r="H21" s="40">
        <f>AVERAGE(AVERAGE(14.84,16.45,15.67,11.41,11.56,11.45),11.5)</f>
        <v>12.531666666666666</v>
      </c>
      <c r="I21" s="41">
        <f>AVERAGE(63%,61.11%,59.19%,126.33%,114.23%,101.98%)</f>
        <v>0.87639999999999996</v>
      </c>
      <c r="J21" s="39">
        <v>1.0900000000000001</v>
      </c>
      <c r="K21" s="39" t="s">
        <v>929</v>
      </c>
      <c r="L21" s="39">
        <v>0</v>
      </c>
      <c r="M21" s="39">
        <v>0</v>
      </c>
      <c r="N21" s="4" t="s">
        <v>943</v>
      </c>
      <c r="O21" s="4">
        <v>1</v>
      </c>
      <c r="P21" s="4">
        <v>0</v>
      </c>
      <c r="Q21" s="4" t="s">
        <v>45</v>
      </c>
      <c r="R21" s="4" t="s">
        <v>45</v>
      </c>
      <c r="S21" s="4" t="s">
        <v>45</v>
      </c>
      <c r="T21" s="4" t="s">
        <v>45</v>
      </c>
      <c r="U21" s="4" t="s">
        <v>45</v>
      </c>
      <c r="V21" s="4" t="s">
        <v>45</v>
      </c>
      <c r="W21" s="4" t="s">
        <v>45</v>
      </c>
      <c r="X21" s="4" t="s">
        <v>45</v>
      </c>
      <c r="Y21" s="4" t="s">
        <v>45</v>
      </c>
      <c r="Z21" s="4">
        <v>1</v>
      </c>
      <c r="AA21" s="4" t="s">
        <v>975</v>
      </c>
      <c r="AB21" s="4" t="s">
        <v>978</v>
      </c>
      <c r="AC21" s="4" t="s">
        <v>1064</v>
      </c>
      <c r="AD21" s="39">
        <v>0</v>
      </c>
      <c r="AE21" s="4" t="s">
        <v>45</v>
      </c>
      <c r="AF21" s="4" t="s">
        <v>45</v>
      </c>
      <c r="AG21" s="4" t="s">
        <v>45</v>
      </c>
      <c r="AH21" s="4" t="s">
        <v>45</v>
      </c>
      <c r="AI21" s="4">
        <v>1</v>
      </c>
      <c r="AJ21" s="4" t="s">
        <v>998</v>
      </c>
      <c r="AK21" s="4">
        <v>0</v>
      </c>
      <c r="AL21" s="4" t="s">
        <v>1006</v>
      </c>
      <c r="AM21" s="4">
        <v>0</v>
      </c>
      <c r="AN21" s="4">
        <v>0</v>
      </c>
      <c r="AO21" s="4">
        <v>0</v>
      </c>
      <c r="AP21" s="4" t="s">
        <v>45</v>
      </c>
      <c r="AQ21" s="4">
        <v>0</v>
      </c>
      <c r="AR21" s="4" t="s">
        <v>673</v>
      </c>
      <c r="AS21" s="4">
        <v>1</v>
      </c>
      <c r="AT21" s="4">
        <v>1</v>
      </c>
      <c r="AU21" s="4">
        <v>1</v>
      </c>
      <c r="AV21" s="4" t="s">
        <v>45</v>
      </c>
      <c r="AW21" s="4">
        <v>0</v>
      </c>
      <c r="AX21" s="4">
        <v>0</v>
      </c>
      <c r="AY21" s="4">
        <v>0</v>
      </c>
      <c r="AZ21" s="4">
        <v>0</v>
      </c>
      <c r="BA21" s="4">
        <v>1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39">
        <v>0.5</v>
      </c>
      <c r="BH21" s="39">
        <v>0</v>
      </c>
      <c r="BI21" s="39">
        <v>0</v>
      </c>
      <c r="BJ21" s="39" t="s">
        <v>1082</v>
      </c>
      <c r="BK21" s="39">
        <v>0</v>
      </c>
      <c r="BL21" s="39">
        <v>0</v>
      </c>
      <c r="BM21" s="39">
        <v>0</v>
      </c>
    </row>
    <row r="22" spans="1:65" s="16" customFormat="1" x14ac:dyDescent="0.25">
      <c r="A22" s="16" t="s">
        <v>1821</v>
      </c>
      <c r="B22" s="39">
        <v>0</v>
      </c>
      <c r="C22" s="39">
        <v>0.7</v>
      </c>
      <c r="D22" s="39">
        <v>1</v>
      </c>
      <c r="E22" s="39">
        <v>5</v>
      </c>
      <c r="F22" s="39">
        <v>1</v>
      </c>
      <c r="G22" s="39">
        <v>0</v>
      </c>
      <c r="H22" s="40">
        <f>AVERAGE(21.6,12,10,13.1,30.5,38,15)</f>
        <v>20.028571428571428</v>
      </c>
      <c r="I22" s="41">
        <f>AVERAGE(0.54,1.5,1.5,0.86,0.24,0.54,0.85)</f>
        <v>0.86142857142857143</v>
      </c>
      <c r="J22" s="39">
        <v>1.0900000000000001</v>
      </c>
      <c r="K22" s="39" t="s">
        <v>929</v>
      </c>
      <c r="L22" s="39">
        <v>0</v>
      </c>
      <c r="M22" s="39">
        <v>0</v>
      </c>
      <c r="N22" s="4" t="s">
        <v>942</v>
      </c>
      <c r="O22" s="4">
        <v>0</v>
      </c>
      <c r="P22" s="4">
        <v>1</v>
      </c>
      <c r="Q22" s="4">
        <v>0.95</v>
      </c>
      <c r="R22" s="4" t="s">
        <v>954</v>
      </c>
      <c r="S22" s="4" t="s">
        <v>957</v>
      </c>
      <c r="T22" s="4" t="s">
        <v>955</v>
      </c>
      <c r="U22" s="4" t="s">
        <v>45</v>
      </c>
      <c r="V22" s="4" t="s">
        <v>45</v>
      </c>
      <c r="W22" s="4" t="s">
        <v>45</v>
      </c>
      <c r="X22" s="4" t="s">
        <v>45</v>
      </c>
      <c r="Y22" s="4" t="s">
        <v>45</v>
      </c>
      <c r="Z22" s="4">
        <v>1</v>
      </c>
      <c r="AA22" s="4" t="s">
        <v>975</v>
      </c>
      <c r="AB22" s="4" t="s">
        <v>978</v>
      </c>
      <c r="AC22" s="4" t="s">
        <v>1064</v>
      </c>
      <c r="AD22" s="39">
        <v>0</v>
      </c>
      <c r="AE22" s="4" t="s">
        <v>45</v>
      </c>
      <c r="AF22" s="4" t="s">
        <v>45</v>
      </c>
      <c r="AG22" s="4" t="s">
        <v>45</v>
      </c>
      <c r="AH22" s="4" t="s">
        <v>45</v>
      </c>
      <c r="AI22" s="4">
        <v>1</v>
      </c>
      <c r="AJ22" s="4" t="s">
        <v>996</v>
      </c>
      <c r="AK22" s="4">
        <v>1</v>
      </c>
      <c r="AL22" s="4" t="s">
        <v>1009</v>
      </c>
      <c r="AM22" s="4">
        <v>0</v>
      </c>
      <c r="AN22" s="4">
        <v>0</v>
      </c>
      <c r="AO22" s="4">
        <v>0</v>
      </c>
      <c r="AP22" s="4" t="s">
        <v>45</v>
      </c>
      <c r="AQ22" s="4">
        <v>0</v>
      </c>
      <c r="AR22" s="4" t="s">
        <v>673</v>
      </c>
      <c r="AS22" s="4">
        <v>0</v>
      </c>
      <c r="AT22" s="4">
        <v>0</v>
      </c>
      <c r="AU22" s="4">
        <v>0</v>
      </c>
      <c r="AV22" s="4" t="s">
        <v>45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1</v>
      </c>
      <c r="BC22" s="4">
        <v>0</v>
      </c>
      <c r="BD22" s="4">
        <v>0</v>
      </c>
      <c r="BE22" s="4">
        <v>0</v>
      </c>
      <c r="BF22" s="4">
        <v>1</v>
      </c>
      <c r="BG22" s="39">
        <v>0.5</v>
      </c>
      <c r="BH22" s="39">
        <v>0</v>
      </c>
      <c r="BI22" s="39">
        <v>0</v>
      </c>
      <c r="BJ22" s="39" t="s">
        <v>1080</v>
      </c>
      <c r="BK22" s="39">
        <v>0</v>
      </c>
      <c r="BL22" s="39">
        <v>0</v>
      </c>
      <c r="BM22" s="39">
        <v>0</v>
      </c>
    </row>
    <row r="23" spans="1:65" s="16" customFormat="1" x14ac:dyDescent="0.25">
      <c r="A23" s="16" t="s">
        <v>1822</v>
      </c>
      <c r="B23" s="39">
        <v>0</v>
      </c>
      <c r="C23" s="39">
        <v>0.7</v>
      </c>
      <c r="D23" s="39">
        <v>1</v>
      </c>
      <c r="E23" s="39">
        <v>5</v>
      </c>
      <c r="F23" s="39">
        <v>1</v>
      </c>
      <c r="G23" s="39">
        <v>0</v>
      </c>
      <c r="H23" s="40">
        <f>AVERAGE(21.6,12,10,13.1,30.5,38,15)</f>
        <v>20.028571428571428</v>
      </c>
      <c r="I23" s="41">
        <f>AVERAGE(0.54,1.5,1.5,0.86,0.24,0.54,0.85)</f>
        <v>0.86142857142857143</v>
      </c>
      <c r="J23" s="39">
        <v>1.0900000000000001</v>
      </c>
      <c r="K23" s="39" t="s">
        <v>929</v>
      </c>
      <c r="L23" s="39">
        <v>0</v>
      </c>
      <c r="M23" s="39">
        <v>0</v>
      </c>
      <c r="N23" s="4" t="s">
        <v>942</v>
      </c>
      <c r="O23" s="4">
        <v>0</v>
      </c>
      <c r="P23" s="4">
        <v>1</v>
      </c>
      <c r="Q23" s="4">
        <v>0.95</v>
      </c>
      <c r="R23" s="4" t="s">
        <v>954</v>
      </c>
      <c r="S23" s="4" t="s">
        <v>957</v>
      </c>
      <c r="T23" s="4" t="s">
        <v>955</v>
      </c>
      <c r="U23" s="4" t="s">
        <v>45</v>
      </c>
      <c r="V23" s="4" t="s">
        <v>45</v>
      </c>
      <c r="W23" s="4" t="s">
        <v>45</v>
      </c>
      <c r="X23" s="4" t="s">
        <v>45</v>
      </c>
      <c r="Y23" s="4" t="s">
        <v>45</v>
      </c>
      <c r="Z23" s="4">
        <v>1</v>
      </c>
      <c r="AA23" s="4" t="s">
        <v>975</v>
      </c>
      <c r="AB23" s="4" t="s">
        <v>978</v>
      </c>
      <c r="AC23" s="4" t="s">
        <v>1064</v>
      </c>
      <c r="AD23" s="39">
        <v>0</v>
      </c>
      <c r="AE23" s="4" t="s">
        <v>45</v>
      </c>
      <c r="AF23" s="4" t="s">
        <v>45</v>
      </c>
      <c r="AG23" s="4" t="s">
        <v>45</v>
      </c>
      <c r="AH23" s="4" t="s">
        <v>45</v>
      </c>
      <c r="AI23" s="4">
        <v>1</v>
      </c>
      <c r="AJ23" s="4" t="s">
        <v>996</v>
      </c>
      <c r="AK23" s="4">
        <v>1</v>
      </c>
      <c r="AL23" s="4" t="s">
        <v>1008</v>
      </c>
      <c r="AM23" s="4">
        <v>0</v>
      </c>
      <c r="AN23" s="4">
        <v>0</v>
      </c>
      <c r="AO23" s="4">
        <v>0</v>
      </c>
      <c r="AP23" s="4" t="s">
        <v>45</v>
      </c>
      <c r="AQ23" s="4">
        <v>0</v>
      </c>
      <c r="AR23" s="4" t="s">
        <v>673</v>
      </c>
      <c r="AS23" s="4">
        <v>0</v>
      </c>
      <c r="AT23" s="4">
        <v>0</v>
      </c>
      <c r="AU23" s="4">
        <v>0</v>
      </c>
      <c r="AV23" s="4" t="s">
        <v>45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1</v>
      </c>
      <c r="BC23" s="4">
        <v>0</v>
      </c>
      <c r="BD23" s="4">
        <v>0</v>
      </c>
      <c r="BE23" s="4">
        <v>0</v>
      </c>
      <c r="BF23" s="4">
        <v>1</v>
      </c>
      <c r="BG23" s="39">
        <v>0.5</v>
      </c>
      <c r="BH23" s="39">
        <v>0</v>
      </c>
      <c r="BI23" s="39">
        <v>0</v>
      </c>
      <c r="BJ23" s="39" t="s">
        <v>1080</v>
      </c>
      <c r="BK23" s="39">
        <v>0</v>
      </c>
      <c r="BL23" s="39">
        <v>0</v>
      </c>
      <c r="BM23" s="39">
        <v>0</v>
      </c>
    </row>
    <row r="24" spans="1:65" s="16" customFormat="1" x14ac:dyDescent="0.25">
      <c r="A24" s="16" t="s">
        <v>1730</v>
      </c>
      <c r="B24" s="39">
        <v>0</v>
      </c>
      <c r="C24" s="39">
        <v>1</v>
      </c>
      <c r="D24" s="39">
        <v>1</v>
      </c>
      <c r="E24" s="39">
        <v>5</v>
      </c>
      <c r="F24" s="39">
        <v>1</v>
      </c>
      <c r="G24" s="39">
        <v>0</v>
      </c>
      <c r="H24" s="40">
        <f>AVERAGE(21.6,12,10,13.1,30.5,38,15)</f>
        <v>20.028571428571428</v>
      </c>
      <c r="I24" s="41">
        <f>AVERAGE(0.54,1.5,1.5,0.86,0.24,0.54,0.85)</f>
        <v>0.86142857142857143</v>
      </c>
      <c r="J24" s="39">
        <v>1.0900000000000001</v>
      </c>
      <c r="K24" s="39" t="s">
        <v>929</v>
      </c>
      <c r="L24" s="39">
        <v>0</v>
      </c>
      <c r="M24" s="39">
        <v>0</v>
      </c>
      <c r="N24" s="4" t="s">
        <v>942</v>
      </c>
      <c r="O24" s="4">
        <v>0</v>
      </c>
      <c r="P24" s="4">
        <v>1</v>
      </c>
      <c r="Q24" s="4">
        <v>0.85</v>
      </c>
      <c r="R24" s="4" t="s">
        <v>954</v>
      </c>
      <c r="S24" s="4" t="s">
        <v>957</v>
      </c>
      <c r="T24" s="4" t="s">
        <v>955</v>
      </c>
      <c r="U24" s="4" t="s">
        <v>45</v>
      </c>
      <c r="V24" s="4" t="s">
        <v>45</v>
      </c>
      <c r="W24" s="4" t="s">
        <v>45</v>
      </c>
      <c r="X24" s="4" t="s">
        <v>45</v>
      </c>
      <c r="Y24" s="4" t="s">
        <v>45</v>
      </c>
      <c r="Z24" s="4">
        <v>1</v>
      </c>
      <c r="AA24" s="4" t="s">
        <v>975</v>
      </c>
      <c r="AB24" s="4" t="s">
        <v>978</v>
      </c>
      <c r="AC24" s="4" t="s">
        <v>1064</v>
      </c>
      <c r="AD24" s="39">
        <v>0</v>
      </c>
      <c r="AE24" s="4" t="s">
        <v>45</v>
      </c>
      <c r="AF24" s="4" t="s">
        <v>45</v>
      </c>
      <c r="AG24" s="4" t="s">
        <v>45</v>
      </c>
      <c r="AH24" s="4" t="s">
        <v>45</v>
      </c>
      <c r="AI24" s="4">
        <v>1</v>
      </c>
      <c r="AJ24" s="4" t="s">
        <v>996</v>
      </c>
      <c r="AK24" s="4">
        <v>1</v>
      </c>
      <c r="AL24" s="4" t="s">
        <v>1009</v>
      </c>
      <c r="AM24" s="4">
        <v>0</v>
      </c>
      <c r="AN24" s="4">
        <v>0</v>
      </c>
      <c r="AO24" s="4">
        <v>0</v>
      </c>
      <c r="AP24" s="4">
        <v>0.2</v>
      </c>
      <c r="AQ24" s="4">
        <v>0</v>
      </c>
      <c r="AR24" s="4" t="s">
        <v>673</v>
      </c>
      <c r="AS24" s="4">
        <v>0</v>
      </c>
      <c r="AT24" s="4">
        <v>0</v>
      </c>
      <c r="AU24" s="4">
        <v>0</v>
      </c>
      <c r="AV24" s="4" t="s">
        <v>45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1</v>
      </c>
      <c r="BC24" s="4">
        <v>0</v>
      </c>
      <c r="BD24" s="4">
        <v>0</v>
      </c>
      <c r="BE24" s="4">
        <v>0</v>
      </c>
      <c r="BF24" s="4">
        <v>1</v>
      </c>
      <c r="BG24" s="39">
        <v>0.7</v>
      </c>
      <c r="BH24" s="39">
        <v>0</v>
      </c>
      <c r="BI24" s="39">
        <v>0</v>
      </c>
      <c r="BJ24" s="39" t="s">
        <v>1080</v>
      </c>
      <c r="BK24" s="39">
        <v>0</v>
      </c>
      <c r="BL24" s="39">
        <v>0</v>
      </c>
      <c r="BM24" s="39">
        <v>0</v>
      </c>
    </row>
    <row r="25" spans="1:65" x14ac:dyDescent="0.25">
      <c r="A25" t="s">
        <v>90</v>
      </c>
      <c r="B25" s="39">
        <v>0</v>
      </c>
      <c r="C25" s="39">
        <v>0.7</v>
      </c>
      <c r="D25" s="39">
        <v>1</v>
      </c>
      <c r="E25" s="39">
        <v>5</v>
      </c>
      <c r="F25" s="39">
        <v>1</v>
      </c>
      <c r="G25" s="39">
        <v>0</v>
      </c>
      <c r="H25" s="40">
        <f>AVERAGE(21.6,12,10,13.1,30.5,38,15)</f>
        <v>20.028571428571428</v>
      </c>
      <c r="I25" s="41">
        <f>AVERAGE(0.54,1.5,1.5,0.86,0.24,0.54,0.85)</f>
        <v>0.86142857142857143</v>
      </c>
      <c r="J25" s="39">
        <v>1.0900000000000001</v>
      </c>
      <c r="K25" s="39" t="s">
        <v>929</v>
      </c>
      <c r="L25" s="39">
        <v>0</v>
      </c>
      <c r="M25" s="39">
        <v>0</v>
      </c>
      <c r="N25" s="4" t="s">
        <v>942</v>
      </c>
      <c r="O25" s="4">
        <v>0</v>
      </c>
      <c r="P25" s="4">
        <v>1</v>
      </c>
      <c r="Q25" s="4">
        <v>0.85</v>
      </c>
      <c r="R25" s="4" t="s">
        <v>954</v>
      </c>
      <c r="S25" s="4" t="s">
        <v>957</v>
      </c>
      <c r="T25" s="4" t="s">
        <v>955</v>
      </c>
      <c r="U25" s="4" t="s">
        <v>45</v>
      </c>
      <c r="V25" s="4" t="s">
        <v>45</v>
      </c>
      <c r="W25" s="4" t="s">
        <v>45</v>
      </c>
      <c r="X25" s="4" t="s">
        <v>45</v>
      </c>
      <c r="Y25" s="4" t="s">
        <v>45</v>
      </c>
      <c r="Z25" s="4">
        <v>1</v>
      </c>
      <c r="AA25" s="4" t="s">
        <v>975</v>
      </c>
      <c r="AB25" s="4" t="s">
        <v>978</v>
      </c>
      <c r="AC25" s="4" t="s">
        <v>1064</v>
      </c>
      <c r="AD25" s="39">
        <v>0</v>
      </c>
      <c r="AE25" s="4" t="s">
        <v>45</v>
      </c>
      <c r="AF25" s="4" t="s">
        <v>45</v>
      </c>
      <c r="AG25" s="4" t="s">
        <v>45</v>
      </c>
      <c r="AH25" s="4" t="s">
        <v>45</v>
      </c>
      <c r="AI25" s="4">
        <v>1</v>
      </c>
      <c r="AJ25" s="4" t="s">
        <v>996</v>
      </c>
      <c r="AK25" s="4">
        <v>1</v>
      </c>
      <c r="AL25" s="4" t="s">
        <v>1009</v>
      </c>
      <c r="AM25" s="4">
        <v>0</v>
      </c>
      <c r="AN25" s="4">
        <v>0</v>
      </c>
      <c r="AO25" s="4">
        <v>0</v>
      </c>
      <c r="AP25" s="4">
        <v>0.2</v>
      </c>
      <c r="AQ25" s="4">
        <v>0</v>
      </c>
      <c r="AR25" s="4" t="s">
        <v>673</v>
      </c>
      <c r="AS25" s="4">
        <v>0</v>
      </c>
      <c r="AT25" s="4">
        <v>0</v>
      </c>
      <c r="AU25" s="4">
        <v>0</v>
      </c>
      <c r="AV25" s="4" t="s">
        <v>45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1</v>
      </c>
      <c r="BC25" s="4">
        <v>0</v>
      </c>
      <c r="BD25" s="4">
        <v>0</v>
      </c>
      <c r="BE25" s="4">
        <v>0</v>
      </c>
      <c r="BF25" s="4">
        <v>1</v>
      </c>
      <c r="BG25" s="39">
        <v>0.7</v>
      </c>
      <c r="BH25" s="39">
        <v>0</v>
      </c>
      <c r="BI25" s="39">
        <v>0</v>
      </c>
      <c r="BJ25" s="39" t="s">
        <v>1080</v>
      </c>
      <c r="BK25" s="39">
        <v>0</v>
      </c>
      <c r="BL25" s="39">
        <v>0</v>
      </c>
      <c r="BM25" s="39">
        <v>0</v>
      </c>
    </row>
    <row r="26" spans="1:65" s="16" customFormat="1" x14ac:dyDescent="0.25">
      <c r="A26" s="16" t="s">
        <v>1852</v>
      </c>
      <c r="B26" s="39">
        <v>1</v>
      </c>
      <c r="C26" s="39">
        <v>1.3</v>
      </c>
      <c r="D26" s="39">
        <v>0</v>
      </c>
      <c r="E26" s="39">
        <v>1</v>
      </c>
      <c r="F26" s="39">
        <v>0</v>
      </c>
      <c r="G26" s="39">
        <v>0</v>
      </c>
      <c r="H26" s="40">
        <v>21</v>
      </c>
      <c r="I26" s="41">
        <v>0.85</v>
      </c>
      <c r="J26" s="39">
        <v>1.0900000000000001</v>
      </c>
      <c r="K26" s="39" t="s">
        <v>929</v>
      </c>
      <c r="L26" s="39">
        <v>0</v>
      </c>
      <c r="M26" s="39">
        <v>0</v>
      </c>
      <c r="N26" s="4" t="s">
        <v>941</v>
      </c>
      <c r="O26" s="4">
        <v>0</v>
      </c>
      <c r="P26" s="4">
        <v>0</v>
      </c>
      <c r="Q26" s="4" t="s">
        <v>45</v>
      </c>
      <c r="R26" s="4" t="s">
        <v>45</v>
      </c>
      <c r="S26" s="4" t="s">
        <v>45</v>
      </c>
      <c r="T26" s="4" t="s">
        <v>45</v>
      </c>
      <c r="U26" s="4" t="s">
        <v>45</v>
      </c>
      <c r="V26" s="4" t="s">
        <v>45</v>
      </c>
      <c r="W26" s="4" t="s">
        <v>45</v>
      </c>
      <c r="X26" s="4" t="s">
        <v>45</v>
      </c>
      <c r="Y26" s="4" t="s">
        <v>45</v>
      </c>
      <c r="Z26" s="4">
        <v>0.9</v>
      </c>
      <c r="AA26" s="4" t="s">
        <v>975</v>
      </c>
      <c r="AB26" s="4" t="s">
        <v>978</v>
      </c>
      <c r="AC26" s="4" t="s">
        <v>1064</v>
      </c>
      <c r="AD26" s="39">
        <v>1</v>
      </c>
      <c r="AE26" s="4">
        <v>0.7</v>
      </c>
      <c r="AF26" s="4" t="s">
        <v>989</v>
      </c>
      <c r="AG26" s="4" t="s">
        <v>993</v>
      </c>
      <c r="AH26" s="4" t="s">
        <v>952</v>
      </c>
      <c r="AI26" s="4">
        <v>1.2</v>
      </c>
      <c r="AJ26" s="4" t="s">
        <v>997</v>
      </c>
      <c r="AK26" s="4">
        <v>0</v>
      </c>
      <c r="AL26" s="4" t="s">
        <v>1015</v>
      </c>
      <c r="AM26" s="4">
        <v>0</v>
      </c>
      <c r="AN26" s="4">
        <v>0</v>
      </c>
      <c r="AO26" s="4">
        <v>0</v>
      </c>
      <c r="AP26" s="4" t="s">
        <v>45</v>
      </c>
      <c r="AQ26" s="4">
        <v>0</v>
      </c>
      <c r="AR26" s="4" t="s">
        <v>673</v>
      </c>
      <c r="AS26" s="4">
        <v>0</v>
      </c>
      <c r="AT26" s="4">
        <v>0</v>
      </c>
      <c r="AU26" s="4">
        <v>0</v>
      </c>
      <c r="AV26" s="4" t="s">
        <v>45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39">
        <v>0.5</v>
      </c>
      <c r="BH26" s="39">
        <v>0</v>
      </c>
      <c r="BI26" s="39">
        <v>0</v>
      </c>
      <c r="BJ26" s="39" t="s">
        <v>1082</v>
      </c>
      <c r="BK26" s="39">
        <v>0</v>
      </c>
      <c r="BL26" s="39">
        <v>0</v>
      </c>
      <c r="BM26" s="39">
        <v>0</v>
      </c>
    </row>
    <row r="27" spans="1:65" s="16" customFormat="1" x14ac:dyDescent="0.25">
      <c r="A27" s="16" t="s">
        <v>1853</v>
      </c>
      <c r="B27" s="39">
        <v>1</v>
      </c>
      <c r="C27" s="39">
        <v>1.3</v>
      </c>
      <c r="D27" s="39">
        <v>0</v>
      </c>
      <c r="E27" s="39">
        <v>1</v>
      </c>
      <c r="F27" s="39">
        <v>0</v>
      </c>
      <c r="G27" s="39">
        <v>0</v>
      </c>
      <c r="H27" s="40">
        <v>21</v>
      </c>
      <c r="I27" s="41">
        <v>0.85</v>
      </c>
      <c r="J27" s="39">
        <v>1.0900000000000001</v>
      </c>
      <c r="K27" s="39" t="s">
        <v>929</v>
      </c>
      <c r="L27" s="39">
        <v>0</v>
      </c>
      <c r="M27" s="39">
        <v>0</v>
      </c>
      <c r="N27" s="4" t="s">
        <v>941</v>
      </c>
      <c r="O27" s="4">
        <v>0</v>
      </c>
      <c r="P27" s="4">
        <v>0</v>
      </c>
      <c r="Q27" s="4" t="s">
        <v>45</v>
      </c>
      <c r="R27" s="4" t="s">
        <v>45</v>
      </c>
      <c r="S27" s="4" t="s">
        <v>45</v>
      </c>
      <c r="T27" s="4" t="s">
        <v>45</v>
      </c>
      <c r="U27" s="4" t="s">
        <v>45</v>
      </c>
      <c r="V27" s="4" t="s">
        <v>45</v>
      </c>
      <c r="W27" s="4" t="s">
        <v>45</v>
      </c>
      <c r="X27" s="4" t="s">
        <v>45</v>
      </c>
      <c r="Y27" s="4" t="s">
        <v>45</v>
      </c>
      <c r="Z27" s="4">
        <v>0.85</v>
      </c>
      <c r="AA27" s="4" t="s">
        <v>975</v>
      </c>
      <c r="AB27" s="4" t="s">
        <v>978</v>
      </c>
      <c r="AC27" s="4" t="s">
        <v>1065</v>
      </c>
      <c r="AD27" s="39">
        <v>1</v>
      </c>
      <c r="AE27" s="4">
        <v>0.7</v>
      </c>
      <c r="AF27" s="4" t="s">
        <v>989</v>
      </c>
      <c r="AG27" s="4" t="s">
        <v>993</v>
      </c>
      <c r="AH27" s="4" t="s">
        <v>952</v>
      </c>
      <c r="AI27" s="4">
        <v>1.2</v>
      </c>
      <c r="AJ27" s="4" t="s">
        <v>997</v>
      </c>
      <c r="AK27" s="4">
        <v>0</v>
      </c>
      <c r="AL27" s="4" t="s">
        <v>1015</v>
      </c>
      <c r="AM27" s="4">
        <v>0</v>
      </c>
      <c r="AN27" s="4">
        <v>0.1</v>
      </c>
      <c r="AO27" s="4">
        <v>0.3</v>
      </c>
      <c r="AP27" s="4" t="s">
        <v>45</v>
      </c>
      <c r="AQ27" s="4">
        <v>0</v>
      </c>
      <c r="AR27" s="4" t="s">
        <v>1026</v>
      </c>
      <c r="AS27" s="4">
        <v>1</v>
      </c>
      <c r="AT27" s="4">
        <v>0</v>
      </c>
      <c r="AU27" s="4">
        <v>0</v>
      </c>
      <c r="AV27" s="4" t="s">
        <v>45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39">
        <v>0.5</v>
      </c>
      <c r="BH27" s="39">
        <v>0.2</v>
      </c>
      <c r="BI27" s="39">
        <v>2.5000000000000001E-2</v>
      </c>
      <c r="BJ27" s="39" t="s">
        <v>1082</v>
      </c>
      <c r="BK27" s="39">
        <v>0</v>
      </c>
      <c r="BL27" s="39">
        <v>0</v>
      </c>
      <c r="BM27" s="39">
        <v>0</v>
      </c>
    </row>
    <row r="28" spans="1:65" x14ac:dyDescent="0.25">
      <c r="A28" s="16" t="s">
        <v>1892</v>
      </c>
      <c r="B28" s="39">
        <v>1</v>
      </c>
      <c r="C28" s="39">
        <v>1.3</v>
      </c>
      <c r="D28" s="39">
        <v>0</v>
      </c>
      <c r="E28" s="39">
        <v>1</v>
      </c>
      <c r="F28" s="39">
        <v>0</v>
      </c>
      <c r="G28" s="39">
        <v>0</v>
      </c>
      <c r="H28" s="40">
        <v>21</v>
      </c>
      <c r="I28" s="41">
        <v>0.85</v>
      </c>
      <c r="J28" s="39">
        <v>1.0900000000000001</v>
      </c>
      <c r="K28" s="39" t="s">
        <v>929</v>
      </c>
      <c r="L28" s="39">
        <v>0</v>
      </c>
      <c r="M28" s="39">
        <v>0</v>
      </c>
      <c r="N28" s="4" t="s">
        <v>941</v>
      </c>
      <c r="O28" s="4">
        <v>0</v>
      </c>
      <c r="P28" s="4">
        <v>0</v>
      </c>
      <c r="Q28" s="4" t="s">
        <v>45</v>
      </c>
      <c r="R28" s="4" t="s">
        <v>45</v>
      </c>
      <c r="S28" s="4" t="s">
        <v>45</v>
      </c>
      <c r="T28" s="4" t="s">
        <v>45</v>
      </c>
      <c r="U28" s="4" t="s">
        <v>45</v>
      </c>
      <c r="V28" s="4" t="s">
        <v>45</v>
      </c>
      <c r="W28" s="4" t="s">
        <v>45</v>
      </c>
      <c r="X28" s="4" t="s">
        <v>45</v>
      </c>
      <c r="Y28" s="4" t="s">
        <v>45</v>
      </c>
      <c r="Z28" s="4">
        <v>0.85</v>
      </c>
      <c r="AA28" s="4" t="s">
        <v>975</v>
      </c>
      <c r="AB28" s="4" t="s">
        <v>978</v>
      </c>
      <c r="AC28" s="4" t="s">
        <v>1065</v>
      </c>
      <c r="AD28" s="39">
        <v>1</v>
      </c>
      <c r="AE28" s="4">
        <v>0.7</v>
      </c>
      <c r="AF28" s="4" t="s">
        <v>989</v>
      </c>
      <c r="AG28" s="4" t="s">
        <v>993</v>
      </c>
      <c r="AH28" s="4" t="s">
        <v>952</v>
      </c>
      <c r="AI28" s="4">
        <v>1.2</v>
      </c>
      <c r="AJ28" s="4" t="s">
        <v>997</v>
      </c>
      <c r="AK28" s="4">
        <v>0</v>
      </c>
      <c r="AL28" s="4" t="s">
        <v>1015</v>
      </c>
      <c r="AM28" s="4">
        <v>0</v>
      </c>
      <c r="AN28" s="4">
        <v>0.1</v>
      </c>
      <c r="AO28" s="4">
        <v>0.3</v>
      </c>
      <c r="AP28" s="4" t="s">
        <v>45</v>
      </c>
      <c r="AQ28" s="4">
        <v>0</v>
      </c>
      <c r="AR28" s="4" t="s">
        <v>1026</v>
      </c>
      <c r="AS28" s="4">
        <v>1</v>
      </c>
      <c r="AT28" s="4">
        <v>0</v>
      </c>
      <c r="AU28" s="4">
        <v>0</v>
      </c>
      <c r="AV28" s="4" t="s">
        <v>45</v>
      </c>
      <c r="AW28" s="4">
        <v>0</v>
      </c>
      <c r="AX28" s="4">
        <v>0</v>
      </c>
      <c r="AY28" s="4">
        <v>0</v>
      </c>
      <c r="AZ28" s="4">
        <v>1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39">
        <v>0.5</v>
      </c>
      <c r="BH28" s="39">
        <v>0.2</v>
      </c>
      <c r="BI28" s="39">
        <v>2.5000000000000001E-2</v>
      </c>
      <c r="BJ28" s="39" t="s">
        <v>1082</v>
      </c>
      <c r="BK28" s="39">
        <v>0</v>
      </c>
      <c r="BL28" s="39">
        <v>0</v>
      </c>
      <c r="BM28" s="39">
        <v>0</v>
      </c>
    </row>
    <row r="29" spans="1:65" x14ac:dyDescent="0.25">
      <c r="A29" t="s">
        <v>1890</v>
      </c>
      <c r="B29" s="39">
        <v>1</v>
      </c>
      <c r="C29" s="39">
        <v>1.3</v>
      </c>
      <c r="D29" s="39">
        <v>0</v>
      </c>
      <c r="E29" s="39">
        <v>1</v>
      </c>
      <c r="F29" s="39">
        <v>0</v>
      </c>
      <c r="G29" s="39">
        <v>1</v>
      </c>
      <c r="H29" s="40">
        <f>AVERAGE(21.6,12,10,13.1,30.5,38,15)</f>
        <v>20.028571428571428</v>
      </c>
      <c r="I29" s="41">
        <f>AVERAGE(0.54,1.5,1.5,0.86,0.24,0.54,0.85)</f>
        <v>0.86142857142857143</v>
      </c>
      <c r="J29" s="39">
        <v>1.0900000000000001</v>
      </c>
      <c r="K29" s="39" t="s">
        <v>929</v>
      </c>
      <c r="L29" s="39">
        <v>0</v>
      </c>
      <c r="M29" s="39">
        <v>0</v>
      </c>
      <c r="N29" s="4" t="s">
        <v>939</v>
      </c>
      <c r="O29" s="4">
        <v>0</v>
      </c>
      <c r="P29" s="4">
        <v>0</v>
      </c>
      <c r="Q29" s="4" t="s">
        <v>45</v>
      </c>
      <c r="R29" s="4" t="s">
        <v>45</v>
      </c>
      <c r="S29" s="4" t="s">
        <v>45</v>
      </c>
      <c r="T29" s="4" t="s">
        <v>45</v>
      </c>
      <c r="U29" s="4" t="s">
        <v>45</v>
      </c>
      <c r="V29" s="4" t="s">
        <v>45</v>
      </c>
      <c r="W29" s="4" t="s">
        <v>45</v>
      </c>
      <c r="X29" s="4" t="s">
        <v>45</v>
      </c>
      <c r="Y29" s="4" t="s">
        <v>45</v>
      </c>
      <c r="Z29" s="4">
        <v>0.95</v>
      </c>
      <c r="AA29" s="4" t="s">
        <v>975</v>
      </c>
      <c r="AB29" s="4" t="s">
        <v>978</v>
      </c>
      <c r="AC29" s="4" t="s">
        <v>1064</v>
      </c>
      <c r="AD29" s="39">
        <v>1</v>
      </c>
      <c r="AE29" s="4">
        <v>0.7</v>
      </c>
      <c r="AF29" s="4" t="s">
        <v>1746</v>
      </c>
      <c r="AG29" s="4" t="s">
        <v>993</v>
      </c>
      <c r="AH29" s="4" t="s">
        <v>952</v>
      </c>
      <c r="AI29" s="4">
        <v>1</v>
      </c>
      <c r="AJ29" s="4" t="s">
        <v>996</v>
      </c>
      <c r="AK29" s="4">
        <v>0</v>
      </c>
      <c r="AL29" s="4" t="s">
        <v>1006</v>
      </c>
      <c r="AM29" s="4">
        <v>0</v>
      </c>
      <c r="AN29" s="4">
        <v>0</v>
      </c>
      <c r="AO29" s="4">
        <v>0</v>
      </c>
      <c r="AP29" s="4" t="s">
        <v>45</v>
      </c>
      <c r="AQ29" s="4">
        <v>0</v>
      </c>
      <c r="AR29" s="4" t="s">
        <v>673</v>
      </c>
      <c r="AS29" s="4">
        <v>0</v>
      </c>
      <c r="AT29" s="4">
        <v>0</v>
      </c>
      <c r="AU29" s="4">
        <v>0</v>
      </c>
      <c r="AV29" s="4" t="s">
        <v>45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39">
        <v>0.5</v>
      </c>
      <c r="BH29" s="39">
        <v>0</v>
      </c>
      <c r="BI29" s="39">
        <v>0</v>
      </c>
      <c r="BJ29" s="39" t="s">
        <v>1080</v>
      </c>
      <c r="BK29" s="39">
        <v>0</v>
      </c>
      <c r="BL29" s="39">
        <v>0</v>
      </c>
      <c r="BM29" s="39">
        <v>0</v>
      </c>
    </row>
    <row r="30" spans="1:65" s="16" customFormat="1" x14ac:dyDescent="0.25">
      <c r="A30" s="16" t="s">
        <v>2151</v>
      </c>
      <c r="B30" s="39">
        <v>1</v>
      </c>
      <c r="C30" s="39">
        <v>1</v>
      </c>
      <c r="D30" s="39">
        <v>0</v>
      </c>
      <c r="E30" s="39">
        <v>1</v>
      </c>
      <c r="F30" s="39">
        <v>0</v>
      </c>
      <c r="G30" s="39">
        <v>1</v>
      </c>
      <c r="H30" s="40">
        <f>AVERAGE(21.6,12,10,13.1,30.5,38,15)</f>
        <v>20.028571428571428</v>
      </c>
      <c r="I30" s="41">
        <f>AVERAGE(0.54,1.5,1.5,0.86,0.24,0.54,0.85)</f>
        <v>0.86142857142857143</v>
      </c>
      <c r="J30" s="39">
        <v>1.0900000000000001</v>
      </c>
      <c r="K30" s="39" t="s">
        <v>929</v>
      </c>
      <c r="L30" s="39">
        <v>0</v>
      </c>
      <c r="M30" s="39">
        <v>0</v>
      </c>
      <c r="N30" s="4" t="s">
        <v>939</v>
      </c>
      <c r="O30" s="4">
        <v>0</v>
      </c>
      <c r="P30" s="4">
        <v>0</v>
      </c>
      <c r="Q30" s="4" t="s">
        <v>45</v>
      </c>
      <c r="R30" s="4" t="s">
        <v>45</v>
      </c>
      <c r="S30" s="4" t="s">
        <v>45</v>
      </c>
      <c r="T30" s="4" t="s">
        <v>45</v>
      </c>
      <c r="U30" s="4" t="s">
        <v>45</v>
      </c>
      <c r="V30" s="4" t="s">
        <v>45</v>
      </c>
      <c r="W30" s="4" t="s">
        <v>45</v>
      </c>
      <c r="X30" s="4" t="s">
        <v>45</v>
      </c>
      <c r="Y30" s="4" t="s">
        <v>45</v>
      </c>
      <c r="Z30" s="4">
        <v>0.95</v>
      </c>
      <c r="AA30" s="4" t="s">
        <v>975</v>
      </c>
      <c r="AB30" s="4" t="s">
        <v>978</v>
      </c>
      <c r="AC30" s="4" t="s">
        <v>1064</v>
      </c>
      <c r="AD30" s="39">
        <v>0</v>
      </c>
      <c r="AE30" s="4" t="s">
        <v>45</v>
      </c>
      <c r="AF30" s="4" t="s">
        <v>45</v>
      </c>
      <c r="AG30" s="4" t="s">
        <v>45</v>
      </c>
      <c r="AH30" s="4" t="s">
        <v>45</v>
      </c>
      <c r="AI30" s="4">
        <v>1</v>
      </c>
      <c r="AJ30" s="4" t="s">
        <v>996</v>
      </c>
      <c r="AK30" s="4">
        <v>0</v>
      </c>
      <c r="AL30" s="4" t="s">
        <v>1006</v>
      </c>
      <c r="AM30" s="4">
        <v>0</v>
      </c>
      <c r="AN30" s="4">
        <v>0</v>
      </c>
      <c r="AO30" s="4">
        <v>0</v>
      </c>
      <c r="AP30" s="4" t="s">
        <v>45</v>
      </c>
      <c r="AQ30" s="4">
        <v>0</v>
      </c>
      <c r="AR30" s="4" t="s">
        <v>673</v>
      </c>
      <c r="AS30" s="4">
        <v>0</v>
      </c>
      <c r="AT30" s="4">
        <v>0</v>
      </c>
      <c r="AU30" s="4">
        <v>0</v>
      </c>
      <c r="AV30" s="4" t="s">
        <v>45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39">
        <v>0.5</v>
      </c>
      <c r="BH30" s="39">
        <v>0</v>
      </c>
      <c r="BI30" s="39">
        <v>0</v>
      </c>
      <c r="BJ30" s="39" t="s">
        <v>1080</v>
      </c>
      <c r="BK30" s="39">
        <v>0</v>
      </c>
      <c r="BL30" s="39">
        <v>0</v>
      </c>
      <c r="BM30" s="39">
        <v>0</v>
      </c>
    </row>
    <row r="31" spans="1:65" x14ac:dyDescent="0.25">
      <c r="A31" s="16" t="s">
        <v>1891</v>
      </c>
      <c r="B31" s="39">
        <v>1</v>
      </c>
      <c r="C31" s="39">
        <v>1.3</v>
      </c>
      <c r="D31" s="39">
        <v>1</v>
      </c>
      <c r="E31" s="39">
        <v>5</v>
      </c>
      <c r="F31" s="39">
        <v>0</v>
      </c>
      <c r="G31" s="39">
        <v>1</v>
      </c>
      <c r="H31" s="40">
        <f>AVERAGE(21.6,12,10,13.1,30.5,38,15)</f>
        <v>20.028571428571428</v>
      </c>
      <c r="I31" s="41">
        <f>AVERAGE(0.54,1.5,1.5,0.86,0.24,0.54,0.85)</f>
        <v>0.86142857142857143</v>
      </c>
      <c r="J31" s="39">
        <v>1.0900000000000001</v>
      </c>
      <c r="K31" s="39" t="s">
        <v>929</v>
      </c>
      <c r="L31" s="39">
        <v>0</v>
      </c>
      <c r="M31" s="39">
        <v>0</v>
      </c>
      <c r="N31" s="4" t="s">
        <v>45</v>
      </c>
      <c r="O31" s="4">
        <v>0</v>
      </c>
      <c r="P31" s="4">
        <v>1</v>
      </c>
      <c r="Q31" s="4">
        <v>1</v>
      </c>
      <c r="R31" s="43" t="s">
        <v>1090</v>
      </c>
      <c r="S31" s="43" t="s">
        <v>958</v>
      </c>
      <c r="T31" s="4" t="s">
        <v>952</v>
      </c>
      <c r="U31" s="4" t="s">
        <v>45</v>
      </c>
      <c r="V31" s="4" t="s">
        <v>45</v>
      </c>
      <c r="W31" s="4" t="s">
        <v>45</v>
      </c>
      <c r="X31" s="4" t="s">
        <v>45</v>
      </c>
      <c r="Y31" s="4" t="s">
        <v>45</v>
      </c>
      <c r="Z31" s="4" t="s">
        <v>45</v>
      </c>
      <c r="AA31" s="4" t="s">
        <v>45</v>
      </c>
      <c r="AB31" s="4" t="s">
        <v>45</v>
      </c>
      <c r="AC31" s="4" t="s">
        <v>45</v>
      </c>
      <c r="AD31" s="39">
        <v>0</v>
      </c>
      <c r="AE31" s="4" t="s">
        <v>45</v>
      </c>
      <c r="AF31" s="4" t="s">
        <v>45</v>
      </c>
      <c r="AG31" s="4" t="s">
        <v>45</v>
      </c>
      <c r="AH31" s="4" t="s">
        <v>45</v>
      </c>
      <c r="AI31" s="4">
        <v>1</v>
      </c>
      <c r="AJ31" s="4" t="s">
        <v>996</v>
      </c>
      <c r="AK31" s="4">
        <v>1</v>
      </c>
      <c r="AL31" s="4" t="s">
        <v>1020</v>
      </c>
      <c r="AM31" s="4">
        <v>0</v>
      </c>
      <c r="AN31" s="4">
        <v>0</v>
      </c>
      <c r="AO31" s="4">
        <v>0</v>
      </c>
      <c r="AP31" s="4" t="s">
        <v>45</v>
      </c>
      <c r="AQ31" s="4">
        <v>0</v>
      </c>
      <c r="AR31" s="4" t="s">
        <v>673</v>
      </c>
      <c r="AS31" s="4">
        <v>0</v>
      </c>
      <c r="AT31" s="4">
        <v>0</v>
      </c>
      <c r="AU31" s="4">
        <v>0</v>
      </c>
      <c r="AV31" s="4" t="s">
        <v>45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1</v>
      </c>
      <c r="BC31" s="4">
        <v>0</v>
      </c>
      <c r="BD31" s="4">
        <v>0</v>
      </c>
      <c r="BE31" s="4">
        <v>1</v>
      </c>
      <c r="BF31" s="4">
        <v>0</v>
      </c>
      <c r="BG31" s="39">
        <v>0.7</v>
      </c>
      <c r="BH31" s="39">
        <v>0</v>
      </c>
      <c r="BI31" s="39">
        <v>0</v>
      </c>
      <c r="BJ31" s="39" t="s">
        <v>1084</v>
      </c>
      <c r="BK31" s="39">
        <v>0</v>
      </c>
      <c r="BL31" s="39">
        <v>0</v>
      </c>
      <c r="BM31" s="39">
        <v>0</v>
      </c>
    </row>
    <row r="32" spans="1:65" x14ac:dyDescent="0.25">
      <c r="A32" t="s">
        <v>624</v>
      </c>
      <c r="B32" s="39">
        <v>0</v>
      </c>
      <c r="C32" s="39">
        <v>1.2</v>
      </c>
      <c r="D32" s="39">
        <v>0</v>
      </c>
      <c r="E32" s="39">
        <v>1</v>
      </c>
      <c r="F32" s="39">
        <v>0</v>
      </c>
      <c r="G32" s="39">
        <v>0</v>
      </c>
      <c r="H32" s="40">
        <f>AVERAGE(21.6,12,10,13.1,30.5,38,15)</f>
        <v>20.028571428571428</v>
      </c>
      <c r="I32" s="41">
        <f>AVERAGE(0.54,1.5,1.5,0.86,0.24,0.54,0.85)</f>
        <v>0.86142857142857143</v>
      </c>
      <c r="J32" s="39">
        <v>1.0900000000000001</v>
      </c>
      <c r="K32" s="39" t="s">
        <v>929</v>
      </c>
      <c r="L32" s="39">
        <v>0</v>
      </c>
      <c r="M32" s="39">
        <v>0</v>
      </c>
      <c r="N32" s="4" t="s">
        <v>940</v>
      </c>
      <c r="O32" s="4">
        <v>0</v>
      </c>
      <c r="P32" s="4">
        <v>0</v>
      </c>
      <c r="Q32" s="4" t="s">
        <v>45</v>
      </c>
      <c r="R32" s="4" t="s">
        <v>45</v>
      </c>
      <c r="S32" s="4" t="s">
        <v>45</v>
      </c>
      <c r="T32" s="4" t="s">
        <v>45</v>
      </c>
      <c r="U32" s="4" t="s">
        <v>45</v>
      </c>
      <c r="V32" s="4" t="s">
        <v>45</v>
      </c>
      <c r="W32" s="4" t="s">
        <v>45</v>
      </c>
      <c r="X32" s="4" t="s">
        <v>45</v>
      </c>
      <c r="Y32" s="4" t="s">
        <v>45</v>
      </c>
      <c r="Z32" s="4">
        <v>0.85</v>
      </c>
      <c r="AA32" s="4" t="s">
        <v>975</v>
      </c>
      <c r="AB32" s="4" t="s">
        <v>978</v>
      </c>
      <c r="AC32" s="4" t="s">
        <v>1064</v>
      </c>
      <c r="AD32" s="39">
        <v>0</v>
      </c>
      <c r="AE32" s="4" t="s">
        <v>45</v>
      </c>
      <c r="AF32" s="4" t="s">
        <v>45</v>
      </c>
      <c r="AG32" s="4" t="s">
        <v>45</v>
      </c>
      <c r="AH32" s="4" t="s">
        <v>45</v>
      </c>
      <c r="AI32" s="4">
        <v>1</v>
      </c>
      <c r="AJ32" s="4" t="s">
        <v>996</v>
      </c>
      <c r="AK32" s="4">
        <v>0</v>
      </c>
      <c r="AL32" s="4" t="s">
        <v>1006</v>
      </c>
      <c r="AM32" s="4">
        <v>0</v>
      </c>
      <c r="AN32" s="4">
        <v>0</v>
      </c>
      <c r="AO32" s="4">
        <v>0</v>
      </c>
      <c r="AP32" s="4" t="s">
        <v>45</v>
      </c>
      <c r="AQ32" s="4">
        <v>0</v>
      </c>
      <c r="AR32" s="4" t="s">
        <v>673</v>
      </c>
      <c r="AS32" s="4">
        <v>0</v>
      </c>
      <c r="AT32" s="4">
        <v>0</v>
      </c>
      <c r="AU32" s="4">
        <v>0</v>
      </c>
      <c r="AV32" s="4" t="s">
        <v>45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39">
        <v>0.7</v>
      </c>
      <c r="BH32" s="39">
        <v>0</v>
      </c>
      <c r="BI32" s="39">
        <v>0</v>
      </c>
      <c r="BJ32" s="39" t="s">
        <v>1080</v>
      </c>
      <c r="BK32" s="39">
        <v>0</v>
      </c>
      <c r="BL32" s="39">
        <v>0</v>
      </c>
      <c r="BM32" s="39">
        <v>0</v>
      </c>
    </row>
    <row r="33" spans="1:65" s="16" customFormat="1" x14ac:dyDescent="0.25">
      <c r="A33" s="16" t="s">
        <v>925</v>
      </c>
      <c r="B33" s="39">
        <v>1</v>
      </c>
      <c r="C33" s="39">
        <v>1.2</v>
      </c>
      <c r="D33" s="39">
        <v>0</v>
      </c>
      <c r="E33" s="39">
        <v>1</v>
      </c>
      <c r="F33" s="39">
        <v>0</v>
      </c>
      <c r="G33" s="39">
        <v>0</v>
      </c>
      <c r="H33" s="40">
        <f>AVERAGE(65.5,108.7)</f>
        <v>87.1</v>
      </c>
      <c r="I33" s="41">
        <f>AVERAGE(16.8%,11.9%)</f>
        <v>0.14350000000000002</v>
      </c>
      <c r="J33" s="39">
        <v>0.96</v>
      </c>
      <c r="K33" s="39">
        <v>0.32</v>
      </c>
      <c r="L33" s="39">
        <v>1</v>
      </c>
      <c r="M33" s="39">
        <v>0</v>
      </c>
      <c r="N33" s="4" t="s">
        <v>940</v>
      </c>
      <c r="O33" s="4">
        <v>0</v>
      </c>
      <c r="P33" s="4">
        <v>0</v>
      </c>
      <c r="Q33" s="4" t="s">
        <v>45</v>
      </c>
      <c r="R33" s="4" t="s">
        <v>45</v>
      </c>
      <c r="S33" s="4" t="s">
        <v>45</v>
      </c>
      <c r="T33" s="4" t="s">
        <v>45</v>
      </c>
      <c r="U33" s="4" t="s">
        <v>45</v>
      </c>
      <c r="V33" s="4" t="s">
        <v>45</v>
      </c>
      <c r="W33" s="4" t="s">
        <v>45</v>
      </c>
      <c r="X33" s="4" t="s">
        <v>45</v>
      </c>
      <c r="Y33" s="4" t="s">
        <v>45</v>
      </c>
      <c r="Z33" s="4">
        <v>0.85</v>
      </c>
      <c r="AA33" s="4" t="s">
        <v>975</v>
      </c>
      <c r="AB33" s="4" t="s">
        <v>978</v>
      </c>
      <c r="AC33" s="4" t="s">
        <v>1064</v>
      </c>
      <c r="AD33" s="39">
        <v>0</v>
      </c>
      <c r="AE33" s="4" t="s">
        <v>45</v>
      </c>
      <c r="AF33" s="4" t="s">
        <v>45</v>
      </c>
      <c r="AG33" s="4" t="s">
        <v>45</v>
      </c>
      <c r="AH33" s="4" t="s">
        <v>45</v>
      </c>
      <c r="AI33" s="4">
        <v>1</v>
      </c>
      <c r="AJ33" s="4" t="s">
        <v>996</v>
      </c>
      <c r="AK33" s="4">
        <v>0</v>
      </c>
      <c r="AL33" s="4" t="s">
        <v>1007</v>
      </c>
      <c r="AM33" s="4">
        <v>0</v>
      </c>
      <c r="AN33" s="4">
        <v>0</v>
      </c>
      <c r="AO33" s="4">
        <v>0</v>
      </c>
      <c r="AP33" s="4" t="s">
        <v>45</v>
      </c>
      <c r="AQ33" s="4">
        <v>0</v>
      </c>
      <c r="AR33" s="4" t="s">
        <v>673</v>
      </c>
      <c r="AS33" s="4">
        <v>0</v>
      </c>
      <c r="AT33" s="4">
        <v>0</v>
      </c>
      <c r="AU33" s="4">
        <v>0</v>
      </c>
      <c r="AV33" s="4" t="s">
        <v>45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39">
        <v>0.5</v>
      </c>
      <c r="BH33" s="39">
        <v>0</v>
      </c>
      <c r="BI33" s="39">
        <v>0</v>
      </c>
      <c r="BJ33" s="39" t="s">
        <v>1080</v>
      </c>
      <c r="BK33" s="39">
        <v>0</v>
      </c>
      <c r="BL33" s="39">
        <v>0</v>
      </c>
      <c r="BM33" s="39">
        <v>0</v>
      </c>
    </row>
    <row r="34" spans="1:65" x14ac:dyDescent="0.25">
      <c r="A34" t="s">
        <v>453</v>
      </c>
      <c r="B34" s="39">
        <v>2</v>
      </c>
      <c r="C34" s="39">
        <v>2</v>
      </c>
      <c r="D34" s="39">
        <v>0</v>
      </c>
      <c r="E34" s="39">
        <v>1</v>
      </c>
      <c r="F34" s="39">
        <v>0</v>
      </c>
      <c r="G34" s="39">
        <v>0</v>
      </c>
      <c r="H34" s="40">
        <v>1000</v>
      </c>
      <c r="I34" s="41">
        <v>0.3</v>
      </c>
      <c r="J34" s="39">
        <v>1.3</v>
      </c>
      <c r="K34" s="39" t="s">
        <v>929</v>
      </c>
      <c r="L34" s="39">
        <v>1</v>
      </c>
      <c r="M34" s="39">
        <v>0</v>
      </c>
      <c r="N34" s="4" t="s">
        <v>940</v>
      </c>
      <c r="O34" s="4">
        <v>0</v>
      </c>
      <c r="P34" s="4">
        <v>0</v>
      </c>
      <c r="Q34" s="4" t="s">
        <v>45</v>
      </c>
      <c r="R34" s="4" t="s">
        <v>45</v>
      </c>
      <c r="S34" s="4" t="s">
        <v>45</v>
      </c>
      <c r="T34" s="4" t="s">
        <v>45</v>
      </c>
      <c r="U34" s="4" t="s">
        <v>45</v>
      </c>
      <c r="V34" s="4" t="s">
        <v>45</v>
      </c>
      <c r="W34" s="4" t="s">
        <v>45</v>
      </c>
      <c r="X34" s="4" t="s">
        <v>45</v>
      </c>
      <c r="Y34" s="4" t="s">
        <v>45</v>
      </c>
      <c r="Z34" s="4">
        <v>0.8</v>
      </c>
      <c r="AA34" s="4" t="s">
        <v>975</v>
      </c>
      <c r="AB34" s="4" t="s">
        <v>978</v>
      </c>
      <c r="AC34" s="4" t="s">
        <v>1064</v>
      </c>
      <c r="AD34" s="39">
        <v>1</v>
      </c>
      <c r="AE34" s="4">
        <v>0.65</v>
      </c>
      <c r="AF34" s="4" t="s">
        <v>1746</v>
      </c>
      <c r="AG34" s="4" t="s">
        <v>993</v>
      </c>
      <c r="AH34" s="4" t="s">
        <v>952</v>
      </c>
      <c r="AI34" s="4">
        <v>1.5</v>
      </c>
      <c r="AJ34" s="4" t="s">
        <v>41</v>
      </c>
      <c r="AK34" s="4">
        <v>0</v>
      </c>
      <c r="AL34" s="4" t="s">
        <v>1007</v>
      </c>
      <c r="AM34" s="4">
        <v>0</v>
      </c>
      <c r="AN34" s="4">
        <v>1</v>
      </c>
      <c r="AO34" s="4">
        <v>1</v>
      </c>
      <c r="AP34" s="4" t="s">
        <v>45</v>
      </c>
      <c r="AQ34" s="4">
        <v>0</v>
      </c>
      <c r="AR34" s="4" t="s">
        <v>1024</v>
      </c>
      <c r="AS34" s="4">
        <v>1</v>
      </c>
      <c r="AT34" s="4">
        <v>0</v>
      </c>
      <c r="AU34" s="4">
        <v>0</v>
      </c>
      <c r="AV34" s="4" t="s">
        <v>45</v>
      </c>
      <c r="AW34" s="4">
        <v>1</v>
      </c>
      <c r="AX34" s="4">
        <v>1</v>
      </c>
      <c r="AY34" s="4">
        <v>1</v>
      </c>
      <c r="AZ34" s="4">
        <v>0</v>
      </c>
      <c r="BA34" s="4">
        <v>0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39">
        <v>1</v>
      </c>
      <c r="BH34" s="39">
        <v>0.25</v>
      </c>
      <c r="BI34" s="39">
        <v>0.05</v>
      </c>
      <c r="BJ34" s="39" t="s">
        <v>1080</v>
      </c>
      <c r="BK34" s="39">
        <v>1</v>
      </c>
      <c r="BL34" s="39">
        <v>0</v>
      </c>
      <c r="BM34" s="39">
        <v>1</v>
      </c>
    </row>
    <row r="35" spans="1:65" s="16" customFormat="1" x14ac:dyDescent="0.25">
      <c r="A35" s="16" t="s">
        <v>1731</v>
      </c>
      <c r="B35" s="39">
        <v>1</v>
      </c>
      <c r="C35" s="39">
        <v>1.5</v>
      </c>
      <c r="D35" s="39">
        <v>0</v>
      </c>
      <c r="E35" s="39">
        <v>1</v>
      </c>
      <c r="F35" s="39">
        <v>1</v>
      </c>
      <c r="G35" s="39">
        <v>0</v>
      </c>
      <c r="H35" s="40">
        <f t="shared" ref="H35:H117" si="0">AVERAGE(21.6,12,10,13.1,30.5,38,15)</f>
        <v>20.028571428571428</v>
      </c>
      <c r="I35" s="41">
        <f t="shared" ref="I35:I117" si="1">AVERAGE(0.54,1.5,1.5,0.86,0.24,0.54,0.85)</f>
        <v>0.86142857142857143</v>
      </c>
      <c r="J35" s="39">
        <v>1.0900000000000001</v>
      </c>
      <c r="K35" s="42">
        <f>AVERAGE(0.13,0.106,0.134,0.129)</f>
        <v>0.12475</v>
      </c>
      <c r="L35" s="39">
        <v>0</v>
      </c>
      <c r="M35" s="39">
        <v>0</v>
      </c>
      <c r="N35" s="4" t="s">
        <v>940</v>
      </c>
      <c r="O35" s="4">
        <v>0</v>
      </c>
      <c r="P35" s="4">
        <v>0</v>
      </c>
      <c r="Q35" s="4" t="s">
        <v>45</v>
      </c>
      <c r="R35" s="4" t="s">
        <v>45</v>
      </c>
      <c r="S35" s="4" t="s">
        <v>45</v>
      </c>
      <c r="T35" s="4" t="s">
        <v>45</v>
      </c>
      <c r="U35" s="4" t="s">
        <v>45</v>
      </c>
      <c r="V35" s="4" t="s">
        <v>45</v>
      </c>
      <c r="W35" s="4" t="s">
        <v>45</v>
      </c>
      <c r="X35" s="4" t="s">
        <v>45</v>
      </c>
      <c r="Y35" s="4" t="s">
        <v>45</v>
      </c>
      <c r="Z35" s="4">
        <v>0.8</v>
      </c>
      <c r="AA35" s="4" t="s">
        <v>975</v>
      </c>
      <c r="AB35" s="4" t="s">
        <v>979</v>
      </c>
      <c r="AC35" s="4" t="s">
        <v>1064</v>
      </c>
      <c r="AD35" s="39">
        <v>1</v>
      </c>
      <c r="AE35" s="4">
        <v>0.65</v>
      </c>
      <c r="AF35" s="4" t="s">
        <v>1746</v>
      </c>
      <c r="AG35" s="4" t="s">
        <v>993</v>
      </c>
      <c r="AH35" s="4" t="s">
        <v>952</v>
      </c>
      <c r="AI35" s="4">
        <v>1.2</v>
      </c>
      <c r="AJ35" s="4" t="s">
        <v>996</v>
      </c>
      <c r="AK35" s="4">
        <v>0</v>
      </c>
      <c r="AL35" s="4" t="s">
        <v>1007</v>
      </c>
      <c r="AM35" s="4">
        <v>1</v>
      </c>
      <c r="AN35" s="4">
        <v>0.1</v>
      </c>
      <c r="AO35" s="4">
        <v>0.3</v>
      </c>
      <c r="AP35" s="4">
        <v>0.5</v>
      </c>
      <c r="AQ35" s="4">
        <v>0</v>
      </c>
      <c r="AR35" s="4" t="s">
        <v>1026</v>
      </c>
      <c r="AS35" s="4">
        <v>1</v>
      </c>
      <c r="AT35" s="4">
        <v>1</v>
      </c>
      <c r="AU35" s="4">
        <v>0</v>
      </c>
      <c r="AV35" s="4" t="s">
        <v>45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39">
        <v>1.1000000000000001</v>
      </c>
      <c r="BH35" s="39">
        <v>0.2</v>
      </c>
      <c r="BI35" s="39">
        <v>2.5000000000000001E-2</v>
      </c>
      <c r="BJ35" s="39" t="s">
        <v>1082</v>
      </c>
      <c r="BK35" s="39">
        <v>0</v>
      </c>
      <c r="BL35" s="39">
        <v>0</v>
      </c>
      <c r="BM35" s="39">
        <v>0</v>
      </c>
    </row>
    <row r="36" spans="1:65" s="16" customFormat="1" x14ac:dyDescent="0.25">
      <c r="A36" s="16" t="s">
        <v>1729</v>
      </c>
      <c r="B36" s="39">
        <v>1</v>
      </c>
      <c r="C36" s="39">
        <v>1.5</v>
      </c>
      <c r="D36" s="39">
        <v>0</v>
      </c>
      <c r="E36" s="39">
        <v>1</v>
      </c>
      <c r="F36" s="39">
        <v>1</v>
      </c>
      <c r="G36" s="39">
        <v>0</v>
      </c>
      <c r="H36" s="40">
        <f t="shared" si="0"/>
        <v>20.028571428571428</v>
      </c>
      <c r="I36" s="41">
        <f t="shared" si="1"/>
        <v>0.86142857142857143</v>
      </c>
      <c r="J36" s="39">
        <v>1.0900000000000001</v>
      </c>
      <c r="K36" s="42">
        <f>AVERAGE(0.13,0.106,0.134,0.129)</f>
        <v>0.12475</v>
      </c>
      <c r="L36" s="39">
        <v>0</v>
      </c>
      <c r="M36" s="39">
        <v>0</v>
      </c>
      <c r="N36" s="4" t="s">
        <v>940</v>
      </c>
      <c r="O36" s="4">
        <v>0</v>
      </c>
      <c r="P36" s="4">
        <v>0</v>
      </c>
      <c r="Q36" s="4" t="s">
        <v>45</v>
      </c>
      <c r="R36" s="4" t="s">
        <v>45</v>
      </c>
      <c r="S36" s="4" t="s">
        <v>45</v>
      </c>
      <c r="T36" s="4" t="s">
        <v>45</v>
      </c>
      <c r="U36" s="4" t="s">
        <v>45</v>
      </c>
      <c r="V36" s="4" t="s">
        <v>45</v>
      </c>
      <c r="W36" s="4" t="s">
        <v>45</v>
      </c>
      <c r="X36" s="4" t="s">
        <v>45</v>
      </c>
      <c r="Y36" s="4" t="s">
        <v>45</v>
      </c>
      <c r="Z36" s="4">
        <v>0.8</v>
      </c>
      <c r="AA36" s="4" t="s">
        <v>975</v>
      </c>
      <c r="AB36" s="4" t="s">
        <v>979</v>
      </c>
      <c r="AC36" s="4" t="s">
        <v>1064</v>
      </c>
      <c r="AD36" s="39">
        <v>1</v>
      </c>
      <c r="AE36" s="4">
        <v>0.65</v>
      </c>
      <c r="AF36" s="4" t="s">
        <v>1746</v>
      </c>
      <c r="AG36" s="4" t="s">
        <v>993</v>
      </c>
      <c r="AH36" s="4" t="s">
        <v>952</v>
      </c>
      <c r="AI36" s="4">
        <v>1.2</v>
      </c>
      <c r="AJ36" s="4" t="s">
        <v>996</v>
      </c>
      <c r="AK36" s="4">
        <v>0</v>
      </c>
      <c r="AL36" s="4" t="s">
        <v>1007</v>
      </c>
      <c r="AM36" s="4">
        <v>1</v>
      </c>
      <c r="AN36" s="4">
        <v>0.1</v>
      </c>
      <c r="AO36" s="4">
        <v>0.3</v>
      </c>
      <c r="AP36" s="4">
        <v>0.5</v>
      </c>
      <c r="AQ36" s="4">
        <v>0</v>
      </c>
      <c r="AR36" s="4" t="s">
        <v>1026</v>
      </c>
      <c r="AS36" s="4">
        <v>1</v>
      </c>
      <c r="AT36" s="4">
        <v>1</v>
      </c>
      <c r="AU36" s="4">
        <v>1</v>
      </c>
      <c r="AV36" s="4" t="s">
        <v>45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39">
        <v>1.1000000000000001</v>
      </c>
      <c r="BH36" s="39">
        <v>0.2</v>
      </c>
      <c r="BI36" s="39">
        <v>2.5000000000000001E-2</v>
      </c>
      <c r="BJ36" s="39" t="s">
        <v>1082</v>
      </c>
      <c r="BK36" s="39">
        <v>0</v>
      </c>
      <c r="BL36" s="39">
        <v>0</v>
      </c>
      <c r="BM36" s="39">
        <v>0</v>
      </c>
    </row>
    <row r="37" spans="1:65" s="16" customFormat="1" x14ac:dyDescent="0.25">
      <c r="A37" s="16" t="s">
        <v>1728</v>
      </c>
      <c r="B37" s="39">
        <v>1</v>
      </c>
      <c r="C37" s="39">
        <v>1.5</v>
      </c>
      <c r="D37" s="39">
        <v>0</v>
      </c>
      <c r="E37" s="39">
        <v>1</v>
      </c>
      <c r="F37" s="39">
        <v>1</v>
      </c>
      <c r="G37" s="39">
        <v>0</v>
      </c>
      <c r="H37" s="40">
        <f t="shared" si="0"/>
        <v>20.028571428571428</v>
      </c>
      <c r="I37" s="41">
        <f t="shared" si="1"/>
        <v>0.86142857142857143</v>
      </c>
      <c r="J37" s="39">
        <v>1.0900000000000001</v>
      </c>
      <c r="K37" s="42">
        <f>AVERAGE(0.13,0.106,0.134,0.129)</f>
        <v>0.12475</v>
      </c>
      <c r="L37" s="39">
        <v>0</v>
      </c>
      <c r="M37" s="39">
        <v>0</v>
      </c>
      <c r="N37" s="4" t="s">
        <v>940</v>
      </c>
      <c r="O37" s="4">
        <v>0</v>
      </c>
      <c r="P37" s="4">
        <v>0</v>
      </c>
      <c r="Q37" s="4" t="s">
        <v>45</v>
      </c>
      <c r="R37" s="4" t="s">
        <v>45</v>
      </c>
      <c r="S37" s="4" t="s">
        <v>45</v>
      </c>
      <c r="T37" s="4" t="s">
        <v>45</v>
      </c>
      <c r="U37" s="4" t="s">
        <v>45</v>
      </c>
      <c r="V37" s="4" t="s">
        <v>45</v>
      </c>
      <c r="W37" s="4" t="s">
        <v>45</v>
      </c>
      <c r="X37" s="4" t="s">
        <v>45</v>
      </c>
      <c r="Y37" s="4" t="s">
        <v>45</v>
      </c>
      <c r="Z37" s="4">
        <v>0.8</v>
      </c>
      <c r="AA37" s="4" t="s">
        <v>975</v>
      </c>
      <c r="AB37" s="4" t="s">
        <v>979</v>
      </c>
      <c r="AC37" s="4" t="s">
        <v>1064</v>
      </c>
      <c r="AD37" s="39">
        <v>1</v>
      </c>
      <c r="AE37" s="4">
        <v>0.65</v>
      </c>
      <c r="AF37" s="4" t="s">
        <v>1746</v>
      </c>
      <c r="AG37" s="4" t="s">
        <v>993</v>
      </c>
      <c r="AH37" s="4" t="s">
        <v>952</v>
      </c>
      <c r="AI37" s="4">
        <v>1.2</v>
      </c>
      <c r="AJ37" s="4" t="s">
        <v>996</v>
      </c>
      <c r="AK37" s="4">
        <v>0</v>
      </c>
      <c r="AL37" s="4" t="s">
        <v>1007</v>
      </c>
      <c r="AM37" s="4">
        <v>1</v>
      </c>
      <c r="AN37" s="4">
        <v>0.1</v>
      </c>
      <c r="AO37" s="4">
        <v>0.3</v>
      </c>
      <c r="AP37" s="4">
        <v>0.5</v>
      </c>
      <c r="AQ37" s="4">
        <v>0</v>
      </c>
      <c r="AR37" s="4" t="s">
        <v>1026</v>
      </c>
      <c r="AS37" s="4">
        <v>1</v>
      </c>
      <c r="AT37" s="4">
        <v>0</v>
      </c>
      <c r="AU37" s="4">
        <v>0</v>
      </c>
      <c r="AV37" s="4" t="s">
        <v>45</v>
      </c>
      <c r="AW37" s="4">
        <v>0</v>
      </c>
      <c r="AX37" s="4">
        <v>0</v>
      </c>
      <c r="AY37" s="4">
        <v>0</v>
      </c>
      <c r="AZ37" s="4">
        <v>2</v>
      </c>
      <c r="BA37" s="4">
        <v>0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39">
        <v>1.1000000000000001</v>
      </c>
      <c r="BH37" s="39">
        <v>0.2</v>
      </c>
      <c r="BI37" s="39">
        <v>2.5000000000000001E-2</v>
      </c>
      <c r="BJ37" s="39" t="s">
        <v>1082</v>
      </c>
      <c r="BK37" s="39">
        <v>0</v>
      </c>
      <c r="BL37" s="39">
        <v>0</v>
      </c>
      <c r="BM37" s="39">
        <v>0</v>
      </c>
    </row>
    <row r="38" spans="1:65" x14ac:dyDescent="0.25">
      <c r="A38" t="s">
        <v>102</v>
      </c>
      <c r="B38" s="39">
        <v>1</v>
      </c>
      <c r="C38" s="39">
        <v>1.5</v>
      </c>
      <c r="D38" s="39">
        <v>0</v>
      </c>
      <c r="E38" s="39">
        <v>1</v>
      </c>
      <c r="F38" s="39">
        <v>1</v>
      </c>
      <c r="G38" s="39">
        <v>0</v>
      </c>
      <c r="H38" s="40">
        <f t="shared" si="0"/>
        <v>20.028571428571428</v>
      </c>
      <c r="I38" s="41">
        <f t="shared" si="1"/>
        <v>0.86142857142857143</v>
      </c>
      <c r="J38" s="39">
        <v>1.0900000000000001</v>
      </c>
      <c r="K38" s="42">
        <f>AVERAGE(0.13,0.106,0.134,0.129)</f>
        <v>0.12475</v>
      </c>
      <c r="L38" s="39">
        <v>0</v>
      </c>
      <c r="M38" s="39">
        <v>0</v>
      </c>
      <c r="N38" s="4" t="s">
        <v>940</v>
      </c>
      <c r="O38" s="4">
        <v>0</v>
      </c>
      <c r="P38" s="4">
        <v>0</v>
      </c>
      <c r="Q38" s="4" t="s">
        <v>45</v>
      </c>
      <c r="R38" s="4" t="s">
        <v>45</v>
      </c>
      <c r="S38" s="4" t="s">
        <v>45</v>
      </c>
      <c r="T38" s="4" t="s">
        <v>45</v>
      </c>
      <c r="U38" s="4" t="s">
        <v>45</v>
      </c>
      <c r="V38" s="4" t="s">
        <v>45</v>
      </c>
      <c r="W38" s="4" t="s">
        <v>45</v>
      </c>
      <c r="X38" s="4" t="s">
        <v>45</v>
      </c>
      <c r="Y38" s="4" t="s">
        <v>45</v>
      </c>
      <c r="Z38" s="4">
        <v>0.8</v>
      </c>
      <c r="AA38" s="4" t="s">
        <v>975</v>
      </c>
      <c r="AB38" s="4" t="s">
        <v>979</v>
      </c>
      <c r="AC38" s="4" t="s">
        <v>1064</v>
      </c>
      <c r="AD38" s="39">
        <v>1</v>
      </c>
      <c r="AE38" s="4">
        <v>0.65</v>
      </c>
      <c r="AF38" s="4" t="s">
        <v>1746</v>
      </c>
      <c r="AG38" s="4" t="s">
        <v>993</v>
      </c>
      <c r="AH38" s="4" t="s">
        <v>952</v>
      </c>
      <c r="AI38" s="4">
        <v>1.2</v>
      </c>
      <c r="AJ38" s="4" t="s">
        <v>996</v>
      </c>
      <c r="AK38" s="4">
        <v>0</v>
      </c>
      <c r="AL38" s="4" t="s">
        <v>1007</v>
      </c>
      <c r="AM38" s="4">
        <v>1</v>
      </c>
      <c r="AN38" s="4">
        <v>0.1</v>
      </c>
      <c r="AO38" s="4">
        <v>0.3</v>
      </c>
      <c r="AP38" s="4">
        <v>0.5</v>
      </c>
      <c r="AQ38" s="4">
        <v>0</v>
      </c>
      <c r="AR38" s="4" t="s">
        <v>1026</v>
      </c>
      <c r="AS38" s="4">
        <v>1</v>
      </c>
      <c r="AT38" s="4">
        <v>0</v>
      </c>
      <c r="AU38" s="4">
        <v>0</v>
      </c>
      <c r="AV38" s="4" t="s">
        <v>45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39">
        <v>1.1000000000000001</v>
      </c>
      <c r="BH38" s="39">
        <v>0.2</v>
      </c>
      <c r="BI38" s="39">
        <v>2.5000000000000001E-2</v>
      </c>
      <c r="BJ38" s="39" t="s">
        <v>1082</v>
      </c>
      <c r="BK38" s="39">
        <v>0</v>
      </c>
      <c r="BL38" s="39">
        <v>0</v>
      </c>
      <c r="BM38" s="39">
        <v>0</v>
      </c>
    </row>
    <row r="39" spans="1:65" x14ac:dyDescent="0.25">
      <c r="A39" t="s">
        <v>107</v>
      </c>
      <c r="B39" s="39">
        <v>0</v>
      </c>
      <c r="C39" s="39">
        <v>1</v>
      </c>
      <c r="D39" s="39">
        <v>1</v>
      </c>
      <c r="E39" s="39">
        <v>5</v>
      </c>
      <c r="F39" s="39">
        <v>0</v>
      </c>
      <c r="G39" s="39">
        <v>0</v>
      </c>
      <c r="H39" s="40">
        <f t="shared" si="0"/>
        <v>20.028571428571428</v>
      </c>
      <c r="I39" s="41">
        <f t="shared" si="1"/>
        <v>0.86142857142857143</v>
      </c>
      <c r="J39" s="39">
        <v>1.0900000000000001</v>
      </c>
      <c r="K39" s="39" t="s">
        <v>929</v>
      </c>
      <c r="L39" s="39">
        <v>0</v>
      </c>
      <c r="M39" s="39">
        <v>0</v>
      </c>
      <c r="N39" s="4" t="s">
        <v>107</v>
      </c>
      <c r="O39" s="4">
        <v>0</v>
      </c>
      <c r="P39" s="4">
        <v>0</v>
      </c>
      <c r="Q39" s="4" t="s">
        <v>45</v>
      </c>
      <c r="R39" s="4" t="s">
        <v>45</v>
      </c>
      <c r="S39" s="4" t="s">
        <v>45</v>
      </c>
      <c r="T39" s="4" t="s">
        <v>45</v>
      </c>
      <c r="U39" s="4" t="s">
        <v>45</v>
      </c>
      <c r="V39" s="4" t="s">
        <v>45</v>
      </c>
      <c r="W39" s="4" t="s">
        <v>45</v>
      </c>
      <c r="X39" s="4" t="s">
        <v>45</v>
      </c>
      <c r="Y39" s="4" t="s">
        <v>45</v>
      </c>
      <c r="Z39" s="4">
        <v>1.1000000000000001</v>
      </c>
      <c r="AA39" s="4" t="s">
        <v>975</v>
      </c>
      <c r="AB39" s="4" t="s">
        <v>978</v>
      </c>
      <c r="AC39" s="4" t="s">
        <v>1064</v>
      </c>
      <c r="AD39" s="39">
        <v>0</v>
      </c>
      <c r="AE39" s="4" t="s">
        <v>45</v>
      </c>
      <c r="AF39" s="4" t="s">
        <v>45</v>
      </c>
      <c r="AG39" s="4" t="s">
        <v>45</v>
      </c>
      <c r="AH39" s="4" t="s">
        <v>45</v>
      </c>
      <c r="AI39" s="4">
        <v>1</v>
      </c>
      <c r="AJ39" s="4" t="s">
        <v>996</v>
      </c>
      <c r="AK39" s="4">
        <v>0</v>
      </c>
      <c r="AL39" s="4" t="s">
        <v>1009</v>
      </c>
      <c r="AM39" s="4">
        <v>0</v>
      </c>
      <c r="AN39" s="4">
        <v>0</v>
      </c>
      <c r="AO39" s="4">
        <v>0</v>
      </c>
      <c r="AP39" s="4" t="s">
        <v>45</v>
      </c>
      <c r="AQ39" s="4">
        <v>1</v>
      </c>
      <c r="AR39" s="4" t="s">
        <v>673</v>
      </c>
      <c r="AS39" s="4">
        <v>0</v>
      </c>
      <c r="AT39" s="4">
        <v>0</v>
      </c>
      <c r="AU39" s="4">
        <v>0</v>
      </c>
      <c r="AV39" s="4" t="s">
        <v>45</v>
      </c>
      <c r="AW39" s="4">
        <v>0</v>
      </c>
      <c r="AX39" s="4">
        <v>0</v>
      </c>
      <c r="AY39" s="4">
        <v>0</v>
      </c>
      <c r="AZ39" s="4">
        <v>2</v>
      </c>
      <c r="BA39" s="4">
        <v>0</v>
      </c>
      <c r="BB39" s="4">
        <v>1</v>
      </c>
      <c r="BC39" s="4">
        <v>0</v>
      </c>
      <c r="BD39" s="4">
        <v>0</v>
      </c>
      <c r="BE39" s="4">
        <v>0</v>
      </c>
      <c r="BF39" s="4">
        <v>1</v>
      </c>
      <c r="BG39" s="39">
        <v>0.5</v>
      </c>
      <c r="BH39" s="39">
        <v>0</v>
      </c>
      <c r="BI39" s="39">
        <v>0</v>
      </c>
      <c r="BJ39" s="39" t="s">
        <v>1080</v>
      </c>
      <c r="BK39" s="39">
        <v>0</v>
      </c>
      <c r="BL39" s="39">
        <v>0</v>
      </c>
      <c r="BM39" s="39">
        <v>0</v>
      </c>
    </row>
    <row r="40" spans="1:65" s="16" customFormat="1" x14ac:dyDescent="0.25">
      <c r="A40" s="16" t="s">
        <v>1726</v>
      </c>
      <c r="B40" s="39">
        <v>0</v>
      </c>
      <c r="C40" s="39">
        <v>1</v>
      </c>
      <c r="D40" s="39">
        <v>1</v>
      </c>
      <c r="E40" s="39">
        <v>5</v>
      </c>
      <c r="F40" s="39">
        <v>0</v>
      </c>
      <c r="G40" s="39">
        <v>0</v>
      </c>
      <c r="H40" s="40">
        <f t="shared" si="0"/>
        <v>20.028571428571428</v>
      </c>
      <c r="I40" s="41">
        <f t="shared" si="1"/>
        <v>0.86142857142857143</v>
      </c>
      <c r="J40" s="39">
        <v>1.0900000000000001</v>
      </c>
      <c r="K40" s="39" t="s">
        <v>929</v>
      </c>
      <c r="L40" s="39">
        <v>0</v>
      </c>
      <c r="M40" s="39">
        <v>0</v>
      </c>
      <c r="N40" s="4" t="s">
        <v>107</v>
      </c>
      <c r="O40" s="4">
        <v>0</v>
      </c>
      <c r="P40" s="4">
        <v>0</v>
      </c>
      <c r="Q40" s="4" t="s">
        <v>45</v>
      </c>
      <c r="R40" s="4" t="s">
        <v>45</v>
      </c>
      <c r="S40" s="4" t="s">
        <v>45</v>
      </c>
      <c r="T40" s="4" t="s">
        <v>45</v>
      </c>
      <c r="U40" s="4">
        <v>1</v>
      </c>
      <c r="V40" s="4">
        <v>0.8</v>
      </c>
      <c r="W40" s="4" t="s">
        <v>963</v>
      </c>
      <c r="X40" s="4" t="s">
        <v>964</v>
      </c>
      <c r="Y40" s="4" t="s">
        <v>952</v>
      </c>
      <c r="Z40" s="4">
        <v>0.95</v>
      </c>
      <c r="AA40" s="4" t="s">
        <v>975</v>
      </c>
      <c r="AB40" s="4" t="s">
        <v>978</v>
      </c>
      <c r="AC40" s="4" t="s">
        <v>1064</v>
      </c>
      <c r="AD40" s="39">
        <v>0</v>
      </c>
      <c r="AE40" s="4" t="s">
        <v>45</v>
      </c>
      <c r="AF40" s="4" t="s">
        <v>45</v>
      </c>
      <c r="AG40" s="4" t="s">
        <v>45</v>
      </c>
      <c r="AH40" s="4" t="s">
        <v>45</v>
      </c>
      <c r="AI40" s="4">
        <v>1</v>
      </c>
      <c r="AJ40" s="4" t="s">
        <v>996</v>
      </c>
      <c r="AK40" s="4">
        <v>0</v>
      </c>
      <c r="AL40" s="4" t="s">
        <v>1019</v>
      </c>
      <c r="AM40" s="4">
        <v>0</v>
      </c>
      <c r="AN40" s="4">
        <v>2.5000000000000001E-2</v>
      </c>
      <c r="AO40" s="4">
        <v>0.1</v>
      </c>
      <c r="AP40" s="4" t="s">
        <v>45</v>
      </c>
      <c r="AQ40" s="4">
        <v>1</v>
      </c>
      <c r="AR40" s="4" t="s">
        <v>673</v>
      </c>
      <c r="AS40" s="4">
        <v>0</v>
      </c>
      <c r="AT40" s="4">
        <v>0</v>
      </c>
      <c r="AU40" s="4">
        <v>0</v>
      </c>
      <c r="AV40" s="4" t="s">
        <v>45</v>
      </c>
      <c r="AW40" s="4">
        <v>0</v>
      </c>
      <c r="AX40" s="4">
        <v>0</v>
      </c>
      <c r="AY40" s="4">
        <v>0</v>
      </c>
      <c r="AZ40" s="4">
        <v>2</v>
      </c>
      <c r="BA40" s="4">
        <v>0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39">
        <v>0.5</v>
      </c>
      <c r="BH40" s="39">
        <v>0.1</v>
      </c>
      <c r="BI40" s="39">
        <v>2.5000000000000001E-2</v>
      </c>
      <c r="BJ40" s="39" t="s">
        <v>1080</v>
      </c>
      <c r="BK40" s="39">
        <v>0</v>
      </c>
      <c r="BL40" s="39">
        <v>0</v>
      </c>
      <c r="BM40" s="39">
        <v>0</v>
      </c>
    </row>
    <row r="41" spans="1:65" s="16" customFormat="1" x14ac:dyDescent="0.25">
      <c r="A41" s="16" t="s">
        <v>1727</v>
      </c>
      <c r="B41" s="39">
        <v>0</v>
      </c>
      <c r="C41" s="39">
        <v>1</v>
      </c>
      <c r="D41" s="39">
        <v>1</v>
      </c>
      <c r="E41" s="39">
        <v>5</v>
      </c>
      <c r="F41" s="39">
        <v>0</v>
      </c>
      <c r="G41" s="39">
        <v>0</v>
      </c>
      <c r="H41" s="40">
        <f t="shared" si="0"/>
        <v>20.028571428571428</v>
      </c>
      <c r="I41" s="41">
        <f t="shared" si="1"/>
        <v>0.86142857142857143</v>
      </c>
      <c r="J41" s="39">
        <v>1.0900000000000001</v>
      </c>
      <c r="K41" s="42">
        <v>0.18</v>
      </c>
      <c r="L41" s="39">
        <v>0</v>
      </c>
      <c r="M41" s="39">
        <v>0</v>
      </c>
      <c r="N41" s="4" t="s">
        <v>107</v>
      </c>
      <c r="O41" s="4">
        <v>0</v>
      </c>
      <c r="P41" s="4">
        <v>0</v>
      </c>
      <c r="Q41" s="4" t="s">
        <v>45</v>
      </c>
      <c r="R41" s="4" t="s">
        <v>45</v>
      </c>
      <c r="S41" s="4" t="s">
        <v>45</v>
      </c>
      <c r="T41" s="4" t="s">
        <v>45</v>
      </c>
      <c r="U41" s="4" t="s">
        <v>45</v>
      </c>
      <c r="V41" s="4" t="s">
        <v>45</v>
      </c>
      <c r="W41" s="4" t="s">
        <v>45</v>
      </c>
      <c r="X41" s="4" t="s">
        <v>45</v>
      </c>
      <c r="Y41" s="4" t="s">
        <v>45</v>
      </c>
      <c r="Z41" s="4">
        <v>0.85</v>
      </c>
      <c r="AA41" s="4" t="s">
        <v>975</v>
      </c>
      <c r="AB41" s="4" t="s">
        <v>978</v>
      </c>
      <c r="AC41" s="4" t="s">
        <v>1064</v>
      </c>
      <c r="AD41" s="39">
        <v>0</v>
      </c>
      <c r="AE41" s="4" t="s">
        <v>45</v>
      </c>
      <c r="AF41" s="4" t="s">
        <v>45</v>
      </c>
      <c r="AG41" s="4" t="s">
        <v>45</v>
      </c>
      <c r="AH41" s="4" t="s">
        <v>45</v>
      </c>
      <c r="AI41" s="4">
        <v>1.2</v>
      </c>
      <c r="AJ41" s="4" t="s">
        <v>996</v>
      </c>
      <c r="AK41" s="4">
        <v>0</v>
      </c>
      <c r="AL41" s="4" t="s">
        <v>1009</v>
      </c>
      <c r="AM41" s="4">
        <v>0</v>
      </c>
      <c r="AN41" s="4">
        <v>0.1</v>
      </c>
      <c r="AO41" s="4">
        <v>0.3</v>
      </c>
      <c r="AP41" s="4" t="s">
        <v>45</v>
      </c>
      <c r="AQ41" s="4">
        <v>0</v>
      </c>
      <c r="AR41" s="4" t="s">
        <v>673</v>
      </c>
      <c r="AS41" s="4">
        <v>0</v>
      </c>
      <c r="AT41" s="4">
        <v>0</v>
      </c>
      <c r="AU41" s="4">
        <v>1</v>
      </c>
      <c r="AV41" s="4" t="s">
        <v>45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1</v>
      </c>
      <c r="BC41" s="4">
        <v>0</v>
      </c>
      <c r="BD41" s="4">
        <v>0</v>
      </c>
      <c r="BE41" s="4">
        <v>0</v>
      </c>
      <c r="BF41" s="4">
        <v>1</v>
      </c>
      <c r="BG41" s="39">
        <v>0.25</v>
      </c>
      <c r="BH41" s="39">
        <v>0.1</v>
      </c>
      <c r="BI41" s="39">
        <v>2.5000000000000001E-2</v>
      </c>
      <c r="BJ41" s="39" t="s">
        <v>1080</v>
      </c>
      <c r="BK41" s="39">
        <v>0</v>
      </c>
      <c r="BL41" s="39">
        <v>0</v>
      </c>
      <c r="BM41" s="39">
        <v>0</v>
      </c>
    </row>
    <row r="42" spans="1:65" s="16" customFormat="1" x14ac:dyDescent="0.25">
      <c r="A42" s="16" t="s">
        <v>1725</v>
      </c>
      <c r="B42" s="39">
        <v>0</v>
      </c>
      <c r="C42" s="39">
        <v>1</v>
      </c>
      <c r="D42" s="39">
        <v>0</v>
      </c>
      <c r="E42" s="39">
        <v>1</v>
      </c>
      <c r="F42" s="39">
        <v>0</v>
      </c>
      <c r="G42" s="39">
        <v>0</v>
      </c>
      <c r="H42" s="40">
        <f t="shared" si="0"/>
        <v>20.028571428571428</v>
      </c>
      <c r="I42" s="41">
        <f t="shared" si="1"/>
        <v>0.86142857142857143</v>
      </c>
      <c r="J42" s="39">
        <v>1.0900000000000001</v>
      </c>
      <c r="K42" s="42">
        <f>AVERAGE(0.13,0.106,0.134,0.129)</f>
        <v>0.12475</v>
      </c>
      <c r="L42" s="39">
        <v>0</v>
      </c>
      <c r="M42" s="39">
        <v>0</v>
      </c>
      <c r="N42" s="4" t="s">
        <v>45</v>
      </c>
      <c r="O42" s="4">
        <v>0</v>
      </c>
      <c r="P42" s="4">
        <v>0</v>
      </c>
      <c r="Q42" s="4" t="s">
        <v>45</v>
      </c>
      <c r="R42" s="4" t="s">
        <v>45</v>
      </c>
      <c r="S42" s="4" t="s">
        <v>45</v>
      </c>
      <c r="T42" s="4" t="s">
        <v>45</v>
      </c>
      <c r="U42" s="4">
        <v>3</v>
      </c>
      <c r="V42" s="4">
        <v>0.75</v>
      </c>
      <c r="W42" s="4" t="s">
        <v>963</v>
      </c>
      <c r="X42" s="4" t="s">
        <v>964</v>
      </c>
      <c r="Y42" s="4" t="s">
        <v>952</v>
      </c>
      <c r="Z42" s="4" t="s">
        <v>45</v>
      </c>
      <c r="AA42" s="4" t="s">
        <v>45</v>
      </c>
      <c r="AB42" s="4" t="s">
        <v>45</v>
      </c>
      <c r="AC42" s="4" t="s">
        <v>45</v>
      </c>
      <c r="AD42" s="39">
        <v>0</v>
      </c>
      <c r="AE42" s="4" t="s">
        <v>45</v>
      </c>
      <c r="AF42" s="4" t="s">
        <v>45</v>
      </c>
      <c r="AG42" s="4" t="s">
        <v>45</v>
      </c>
      <c r="AH42" s="4" t="s">
        <v>45</v>
      </c>
      <c r="AI42" s="4">
        <v>1.2</v>
      </c>
      <c r="AJ42" s="4" t="s">
        <v>996</v>
      </c>
      <c r="AK42" s="4">
        <v>0</v>
      </c>
      <c r="AL42" s="4" t="s">
        <v>1016</v>
      </c>
      <c r="AM42" s="4">
        <v>0</v>
      </c>
      <c r="AN42" s="4">
        <v>2.5000000000000001E-2</v>
      </c>
      <c r="AO42" s="4">
        <v>0.1</v>
      </c>
      <c r="AP42" s="4" t="s">
        <v>45</v>
      </c>
      <c r="AQ42" s="4">
        <v>0</v>
      </c>
      <c r="AR42" s="4" t="s">
        <v>1026</v>
      </c>
      <c r="AS42" s="4">
        <v>0</v>
      </c>
      <c r="AT42" s="4">
        <v>1</v>
      </c>
      <c r="AU42" s="4">
        <v>1</v>
      </c>
      <c r="AV42" s="4" t="s">
        <v>45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1</v>
      </c>
      <c r="BC42" s="4">
        <v>0</v>
      </c>
      <c r="BD42" s="4">
        <v>0</v>
      </c>
      <c r="BE42" s="4">
        <v>0</v>
      </c>
      <c r="BF42" s="4">
        <v>1</v>
      </c>
      <c r="BG42" s="39">
        <v>0.7</v>
      </c>
      <c r="BH42" s="39">
        <v>0.1</v>
      </c>
      <c r="BI42" s="39">
        <v>2.5000000000000001E-2</v>
      </c>
      <c r="BJ42" s="39" t="s">
        <v>1082</v>
      </c>
      <c r="BK42" s="39">
        <v>0</v>
      </c>
      <c r="BL42" s="39">
        <v>0</v>
      </c>
      <c r="BM42" s="39">
        <v>0</v>
      </c>
    </row>
    <row r="43" spans="1:65" x14ac:dyDescent="0.25">
      <c r="A43" t="s">
        <v>670</v>
      </c>
      <c r="B43" s="39">
        <v>0</v>
      </c>
      <c r="C43" s="39">
        <v>1</v>
      </c>
      <c r="D43" s="39">
        <v>0</v>
      </c>
      <c r="E43" s="39">
        <v>1</v>
      </c>
      <c r="F43" s="39">
        <v>0</v>
      </c>
      <c r="G43" s="39">
        <v>0</v>
      </c>
      <c r="H43" s="40">
        <f t="shared" si="0"/>
        <v>20.028571428571428</v>
      </c>
      <c r="I43" s="41">
        <f t="shared" si="1"/>
        <v>0.86142857142857143</v>
      </c>
      <c r="J43" s="39">
        <v>1.0900000000000001</v>
      </c>
      <c r="K43" s="42">
        <f>AVERAGE(0.13,0.106,0.134,0.129)</f>
        <v>0.12475</v>
      </c>
      <c r="L43" s="39">
        <v>0</v>
      </c>
      <c r="M43" s="39">
        <v>0</v>
      </c>
      <c r="N43" s="4" t="s">
        <v>940</v>
      </c>
      <c r="O43" s="4">
        <v>0</v>
      </c>
      <c r="P43" s="4">
        <v>0</v>
      </c>
      <c r="Q43" s="4" t="s">
        <v>45</v>
      </c>
      <c r="R43" s="4" t="s">
        <v>45</v>
      </c>
      <c r="S43" s="4" t="s">
        <v>45</v>
      </c>
      <c r="T43" s="4" t="s">
        <v>45</v>
      </c>
      <c r="U43" s="4" t="s">
        <v>45</v>
      </c>
      <c r="V43" s="4" t="s">
        <v>45</v>
      </c>
      <c r="W43" s="4" t="s">
        <v>45</v>
      </c>
      <c r="X43" s="4" t="s">
        <v>45</v>
      </c>
      <c r="Y43" s="4" t="s">
        <v>45</v>
      </c>
      <c r="Z43" s="4">
        <v>0.85</v>
      </c>
      <c r="AA43" s="4" t="s">
        <v>975</v>
      </c>
      <c r="AB43" s="4" t="s">
        <v>979</v>
      </c>
      <c r="AC43" s="4" t="s">
        <v>1064</v>
      </c>
      <c r="AD43" s="39">
        <v>0</v>
      </c>
      <c r="AE43" s="4" t="s">
        <v>45</v>
      </c>
      <c r="AF43" s="4" t="s">
        <v>45</v>
      </c>
      <c r="AG43" s="4" t="s">
        <v>45</v>
      </c>
      <c r="AH43" s="4" t="s">
        <v>45</v>
      </c>
      <c r="AI43" s="4">
        <v>1.2</v>
      </c>
      <c r="AJ43" s="4" t="s">
        <v>996</v>
      </c>
      <c r="AK43" s="4">
        <v>0</v>
      </c>
      <c r="AL43" s="4" t="s">
        <v>670</v>
      </c>
      <c r="AM43" s="4">
        <v>1</v>
      </c>
      <c r="AN43" s="4">
        <v>2.5000000000000001E-2</v>
      </c>
      <c r="AO43" s="4">
        <v>0.1</v>
      </c>
      <c r="AP43" s="4">
        <v>0.5</v>
      </c>
      <c r="AQ43" s="4">
        <v>0</v>
      </c>
      <c r="AR43" s="4" t="s">
        <v>1026</v>
      </c>
      <c r="AS43" s="4">
        <v>1</v>
      </c>
      <c r="AT43" s="4">
        <v>1</v>
      </c>
      <c r="AU43" s="4">
        <v>1</v>
      </c>
      <c r="AV43" s="4" t="s">
        <v>45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39">
        <v>0.7</v>
      </c>
      <c r="BH43" s="39">
        <v>0.1</v>
      </c>
      <c r="BI43" s="39">
        <v>2.5000000000000001E-2</v>
      </c>
      <c r="BJ43" s="39" t="s">
        <v>1082</v>
      </c>
      <c r="BK43" s="39">
        <v>0</v>
      </c>
      <c r="BL43" s="39">
        <v>0</v>
      </c>
      <c r="BM43" s="39">
        <v>0</v>
      </c>
    </row>
    <row r="44" spans="1:65" x14ac:dyDescent="0.25">
      <c r="A44" t="s">
        <v>465</v>
      </c>
      <c r="B44" s="39">
        <v>2</v>
      </c>
      <c r="C44" s="39">
        <v>1.5</v>
      </c>
      <c r="D44" s="39">
        <v>0</v>
      </c>
      <c r="E44" s="39">
        <v>1</v>
      </c>
      <c r="F44" s="39">
        <v>0</v>
      </c>
      <c r="G44" s="39">
        <v>0</v>
      </c>
      <c r="H44" s="40">
        <f t="shared" si="0"/>
        <v>20.028571428571428</v>
      </c>
      <c r="I44" s="41">
        <f t="shared" si="1"/>
        <v>0.86142857142857143</v>
      </c>
      <c r="J44" s="39">
        <v>1.0900000000000001</v>
      </c>
      <c r="K44" s="39" t="s">
        <v>929</v>
      </c>
      <c r="L44" s="39">
        <v>0</v>
      </c>
      <c r="M44" s="39">
        <v>0</v>
      </c>
      <c r="N44" s="4" t="s">
        <v>41</v>
      </c>
      <c r="O44" s="4">
        <v>1</v>
      </c>
      <c r="P44" s="4">
        <v>1</v>
      </c>
      <c r="Q44" s="4">
        <v>0.9</v>
      </c>
      <c r="R44" s="4" t="s">
        <v>960</v>
      </c>
      <c r="S44" s="4" t="s">
        <v>959</v>
      </c>
      <c r="T44" s="4" t="s">
        <v>961</v>
      </c>
      <c r="U44" s="4" t="s">
        <v>45</v>
      </c>
      <c r="V44" s="4" t="s">
        <v>45</v>
      </c>
      <c r="W44" s="4" t="s">
        <v>45</v>
      </c>
      <c r="X44" s="4" t="s">
        <v>45</v>
      </c>
      <c r="Y44" s="4" t="s">
        <v>45</v>
      </c>
      <c r="Z44" s="4">
        <v>0.9</v>
      </c>
      <c r="AA44" s="4" t="s">
        <v>975</v>
      </c>
      <c r="AB44" s="4" t="s">
        <v>977</v>
      </c>
      <c r="AC44" s="4" t="s">
        <v>1064</v>
      </c>
      <c r="AD44" s="39">
        <v>0</v>
      </c>
      <c r="AE44" s="4" t="s">
        <v>45</v>
      </c>
      <c r="AF44" s="4" t="s">
        <v>45</v>
      </c>
      <c r="AG44" s="4" t="s">
        <v>45</v>
      </c>
      <c r="AH44" s="4" t="s">
        <v>45</v>
      </c>
      <c r="AI44" s="4">
        <v>1</v>
      </c>
      <c r="AJ44" s="4" t="s">
        <v>1000</v>
      </c>
      <c r="AK44" s="4">
        <v>0</v>
      </c>
      <c r="AL44" s="4" t="s">
        <v>1018</v>
      </c>
      <c r="AM44" s="4">
        <v>0</v>
      </c>
      <c r="AN44" s="4">
        <v>0</v>
      </c>
      <c r="AO44" s="4">
        <v>0</v>
      </c>
      <c r="AP44" s="4" t="s">
        <v>45</v>
      </c>
      <c r="AQ44" s="4">
        <v>0</v>
      </c>
      <c r="AR44" s="4" t="s">
        <v>673</v>
      </c>
      <c r="AS44" s="4">
        <v>0</v>
      </c>
      <c r="AT44" s="4">
        <v>1</v>
      </c>
      <c r="AU44" s="4">
        <v>1</v>
      </c>
      <c r="AV44" s="4" t="s">
        <v>45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1</v>
      </c>
      <c r="BC44" s="4">
        <v>0</v>
      </c>
      <c r="BD44" s="4">
        <v>0</v>
      </c>
      <c r="BE44" s="4">
        <v>0</v>
      </c>
      <c r="BF44" s="4">
        <v>2</v>
      </c>
      <c r="BG44" s="39">
        <v>0.5</v>
      </c>
      <c r="BH44" s="39">
        <v>0</v>
      </c>
      <c r="BI44" s="39">
        <v>0</v>
      </c>
      <c r="BJ44" s="39" t="s">
        <v>1082</v>
      </c>
      <c r="BK44" s="39">
        <v>0</v>
      </c>
      <c r="BL44" s="39">
        <v>0</v>
      </c>
      <c r="BM44" s="39">
        <v>0</v>
      </c>
    </row>
    <row r="45" spans="1:65" s="16" customFormat="1" ht="14.25" customHeight="1" x14ac:dyDescent="0.25">
      <c r="A45" s="16" t="s">
        <v>1014</v>
      </c>
      <c r="B45" s="39">
        <v>2</v>
      </c>
      <c r="C45" s="39">
        <v>1.3</v>
      </c>
      <c r="D45" s="39">
        <v>0</v>
      </c>
      <c r="E45" s="39">
        <v>1</v>
      </c>
      <c r="F45" s="39">
        <v>0</v>
      </c>
      <c r="G45" s="39">
        <v>0</v>
      </c>
      <c r="H45" s="40">
        <f t="shared" si="0"/>
        <v>20.028571428571428</v>
      </c>
      <c r="I45" s="41">
        <f t="shared" si="1"/>
        <v>0.86142857142857143</v>
      </c>
      <c r="J45" s="39">
        <v>1.0900000000000001</v>
      </c>
      <c r="K45" s="39" t="s">
        <v>929</v>
      </c>
      <c r="L45" s="39">
        <v>0</v>
      </c>
      <c r="M45" s="39">
        <v>0</v>
      </c>
      <c r="N45" s="4" t="s">
        <v>110</v>
      </c>
      <c r="O45" s="4">
        <v>0</v>
      </c>
      <c r="P45" s="4">
        <v>0</v>
      </c>
      <c r="Q45" s="4" t="s">
        <v>45</v>
      </c>
      <c r="R45" s="4" t="s">
        <v>45</v>
      </c>
      <c r="S45" s="4" t="s">
        <v>45</v>
      </c>
      <c r="T45" s="4" t="s">
        <v>45</v>
      </c>
      <c r="U45" s="4" t="s">
        <v>45</v>
      </c>
      <c r="V45" s="4" t="s">
        <v>45</v>
      </c>
      <c r="W45" s="4" t="s">
        <v>45</v>
      </c>
      <c r="X45" s="4" t="s">
        <v>45</v>
      </c>
      <c r="Y45" s="4" t="s">
        <v>45</v>
      </c>
      <c r="Z45" s="4">
        <v>0.85</v>
      </c>
      <c r="AA45" s="4" t="s">
        <v>975</v>
      </c>
      <c r="AB45" s="4" t="s">
        <v>979</v>
      </c>
      <c r="AC45" s="4" t="s">
        <v>1064</v>
      </c>
      <c r="AD45" s="39">
        <v>1</v>
      </c>
      <c r="AE45" s="4">
        <v>0.65</v>
      </c>
      <c r="AF45" s="4" t="s">
        <v>988</v>
      </c>
      <c r="AG45" s="4" t="s">
        <v>991</v>
      </c>
      <c r="AH45" s="4" t="s">
        <v>955</v>
      </c>
      <c r="AI45" s="4">
        <v>1</v>
      </c>
      <c r="AJ45" s="4" t="s">
        <v>996</v>
      </c>
      <c r="AK45" s="4">
        <v>0</v>
      </c>
      <c r="AL45" s="4" t="s">
        <v>1014</v>
      </c>
      <c r="AM45" s="4">
        <v>2</v>
      </c>
      <c r="AN45" s="4">
        <v>2.5000000000000001E-2</v>
      </c>
      <c r="AO45" s="4">
        <v>0.1</v>
      </c>
      <c r="AP45" s="4" t="s">
        <v>45</v>
      </c>
      <c r="AQ45" s="4">
        <v>0</v>
      </c>
      <c r="AR45" s="4" t="s">
        <v>1024</v>
      </c>
      <c r="AS45" s="4">
        <v>0</v>
      </c>
      <c r="AT45" s="4">
        <v>0</v>
      </c>
      <c r="AU45" s="4">
        <v>0</v>
      </c>
      <c r="AV45" s="4" t="s">
        <v>45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39">
        <v>1</v>
      </c>
      <c r="BH45" s="39">
        <v>0.1</v>
      </c>
      <c r="BI45" s="39">
        <v>0.05</v>
      </c>
      <c r="BJ45" s="39" t="s">
        <v>1085</v>
      </c>
      <c r="BK45" s="39">
        <v>0</v>
      </c>
      <c r="BL45" s="39">
        <v>0</v>
      </c>
      <c r="BM45" s="39">
        <v>0</v>
      </c>
    </row>
    <row r="46" spans="1:65" ht="14.25" customHeight="1" x14ac:dyDescent="0.25">
      <c r="A46" t="s">
        <v>113</v>
      </c>
      <c r="B46" s="39">
        <v>2</v>
      </c>
      <c r="C46" s="39">
        <v>1.3</v>
      </c>
      <c r="D46" s="39">
        <v>0</v>
      </c>
      <c r="E46" s="39">
        <v>1</v>
      </c>
      <c r="F46" s="39">
        <v>0</v>
      </c>
      <c r="G46" s="39">
        <v>0</v>
      </c>
      <c r="H46" s="40">
        <f t="shared" si="0"/>
        <v>20.028571428571428</v>
      </c>
      <c r="I46" s="41">
        <f t="shared" si="1"/>
        <v>0.86142857142857143</v>
      </c>
      <c r="J46" s="39">
        <v>1.0900000000000001</v>
      </c>
      <c r="K46" s="39" t="s">
        <v>929</v>
      </c>
      <c r="L46" s="39">
        <v>0</v>
      </c>
      <c r="M46" s="39">
        <v>0</v>
      </c>
      <c r="N46" s="4" t="s">
        <v>110</v>
      </c>
      <c r="O46" s="4">
        <v>0</v>
      </c>
      <c r="P46" s="4">
        <v>0</v>
      </c>
      <c r="Q46" s="4" t="s">
        <v>45</v>
      </c>
      <c r="R46" s="4" t="s">
        <v>45</v>
      </c>
      <c r="S46" s="4" t="s">
        <v>45</v>
      </c>
      <c r="T46" s="4" t="s">
        <v>45</v>
      </c>
      <c r="U46" s="4" t="s">
        <v>45</v>
      </c>
      <c r="V46" s="4" t="s">
        <v>45</v>
      </c>
      <c r="W46" s="4" t="s">
        <v>45</v>
      </c>
      <c r="X46" s="4" t="s">
        <v>45</v>
      </c>
      <c r="Y46" s="4" t="s">
        <v>45</v>
      </c>
      <c r="Z46" s="4">
        <v>0.85</v>
      </c>
      <c r="AA46" s="4" t="s">
        <v>975</v>
      </c>
      <c r="AB46" s="4" t="s">
        <v>979</v>
      </c>
      <c r="AC46" s="4" t="s">
        <v>1064</v>
      </c>
      <c r="AD46" s="39">
        <v>1</v>
      </c>
      <c r="AE46" s="4">
        <v>0.65</v>
      </c>
      <c r="AF46" s="4" t="s">
        <v>988</v>
      </c>
      <c r="AG46" s="4" t="s">
        <v>991</v>
      </c>
      <c r="AH46" s="4" t="s">
        <v>955</v>
      </c>
      <c r="AI46" s="4">
        <v>1</v>
      </c>
      <c r="AJ46" s="4" t="s">
        <v>996</v>
      </c>
      <c r="AK46" s="4">
        <v>0</v>
      </c>
      <c r="AL46" s="4" t="s">
        <v>113</v>
      </c>
      <c r="AM46" s="4">
        <v>2</v>
      </c>
      <c r="AN46" s="4">
        <v>2.5000000000000001E-2</v>
      </c>
      <c r="AO46" s="4">
        <v>0.1</v>
      </c>
      <c r="AP46" s="4">
        <v>0.5</v>
      </c>
      <c r="AQ46" s="4">
        <v>0</v>
      </c>
      <c r="AR46" s="4" t="s">
        <v>1024</v>
      </c>
      <c r="AS46" s="4">
        <v>0</v>
      </c>
      <c r="AT46" s="4">
        <v>0</v>
      </c>
      <c r="AU46" s="4">
        <v>0</v>
      </c>
      <c r="AV46" s="4" t="s">
        <v>45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39">
        <v>1</v>
      </c>
      <c r="BH46" s="39">
        <v>0.1</v>
      </c>
      <c r="BI46" s="39">
        <v>0.05</v>
      </c>
      <c r="BJ46" s="39" t="s">
        <v>1080</v>
      </c>
      <c r="BK46" s="39">
        <v>0</v>
      </c>
      <c r="BL46" s="39">
        <v>0</v>
      </c>
      <c r="BM46" s="39">
        <v>0</v>
      </c>
    </row>
    <row r="47" spans="1:65" x14ac:dyDescent="0.25">
      <c r="A47" t="s">
        <v>116</v>
      </c>
      <c r="B47" s="39">
        <v>2</v>
      </c>
      <c r="C47" s="39">
        <v>1</v>
      </c>
      <c r="D47" s="39">
        <v>1</v>
      </c>
      <c r="E47" s="39">
        <v>5</v>
      </c>
      <c r="F47" s="39">
        <v>0</v>
      </c>
      <c r="G47" s="39">
        <v>0</v>
      </c>
      <c r="H47" s="40">
        <f>30.5</f>
        <v>30.5</v>
      </c>
      <c r="I47" s="41">
        <f>0.24</f>
        <v>0.24</v>
      </c>
      <c r="J47" s="39">
        <v>1.0900000000000001</v>
      </c>
      <c r="K47" s="39" t="s">
        <v>929</v>
      </c>
      <c r="L47" s="39">
        <v>1</v>
      </c>
      <c r="M47" s="39">
        <v>0</v>
      </c>
      <c r="N47" s="4" t="s">
        <v>942</v>
      </c>
      <c r="O47" s="4">
        <v>0</v>
      </c>
      <c r="P47" s="4">
        <v>0</v>
      </c>
      <c r="Q47" s="4" t="s">
        <v>45</v>
      </c>
      <c r="R47" s="4" t="s">
        <v>45</v>
      </c>
      <c r="S47" s="4" t="s">
        <v>45</v>
      </c>
      <c r="T47" s="4" t="s">
        <v>45</v>
      </c>
      <c r="U47" s="4">
        <v>2</v>
      </c>
      <c r="V47" s="4">
        <v>0.7</v>
      </c>
      <c r="W47" s="4" t="s">
        <v>965</v>
      </c>
      <c r="X47" s="4" t="s">
        <v>966</v>
      </c>
      <c r="Y47" s="4" t="s">
        <v>952</v>
      </c>
      <c r="Z47" s="4">
        <v>1</v>
      </c>
      <c r="AA47" s="4" t="s">
        <v>975</v>
      </c>
      <c r="AB47" s="4" t="s">
        <v>978</v>
      </c>
      <c r="AC47" s="4" t="s">
        <v>1064</v>
      </c>
      <c r="AD47" s="39">
        <v>0</v>
      </c>
      <c r="AE47" s="4" t="s">
        <v>45</v>
      </c>
      <c r="AF47" s="4" t="s">
        <v>45</v>
      </c>
      <c r="AG47" s="4" t="s">
        <v>45</v>
      </c>
      <c r="AH47" s="4" t="s">
        <v>45</v>
      </c>
      <c r="AI47" s="4">
        <v>1.2</v>
      </c>
      <c r="AJ47" s="4" t="s">
        <v>996</v>
      </c>
      <c r="AK47" s="4">
        <v>0</v>
      </c>
      <c r="AL47" s="4" t="s">
        <v>1012</v>
      </c>
      <c r="AM47" s="4">
        <v>0</v>
      </c>
      <c r="AN47" s="4">
        <v>0.1</v>
      </c>
      <c r="AO47" s="4">
        <v>0.3</v>
      </c>
      <c r="AP47" s="4" t="s">
        <v>45</v>
      </c>
      <c r="AQ47" s="4">
        <v>0</v>
      </c>
      <c r="AR47" s="4" t="s">
        <v>673</v>
      </c>
      <c r="AS47" s="4">
        <v>0</v>
      </c>
      <c r="AT47" s="4">
        <v>0</v>
      </c>
      <c r="AU47" s="4">
        <v>0</v>
      </c>
      <c r="AV47" s="4" t="s">
        <v>45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39">
        <v>0.5</v>
      </c>
      <c r="BH47" s="39">
        <v>0.15</v>
      </c>
      <c r="BI47" s="39">
        <v>2.5000000000000001E-2</v>
      </c>
      <c r="BJ47" s="39" t="s">
        <v>1080</v>
      </c>
      <c r="BK47" s="39">
        <v>0</v>
      </c>
      <c r="BL47" s="39">
        <v>0</v>
      </c>
      <c r="BM47" s="39">
        <v>0</v>
      </c>
    </row>
    <row r="48" spans="1:65" s="16" customFormat="1" x14ac:dyDescent="0.25">
      <c r="A48" s="16" t="s">
        <v>1724</v>
      </c>
      <c r="B48" s="39">
        <v>1</v>
      </c>
      <c r="C48" s="39">
        <v>1.25</v>
      </c>
      <c r="D48" s="39">
        <v>0</v>
      </c>
      <c r="E48" s="39">
        <v>1</v>
      </c>
      <c r="F48" s="39">
        <v>0</v>
      </c>
      <c r="G48" s="39">
        <v>0</v>
      </c>
      <c r="H48" s="40">
        <f t="shared" ref="H48:H111" si="2">AVERAGE(21.6,12,10,13.1,30.5,38,15)</f>
        <v>20.028571428571428</v>
      </c>
      <c r="I48" s="41">
        <f t="shared" ref="I48:I111" si="3">AVERAGE(0.54,1.5,1.5,0.86,0.24,0.54,0.85)</f>
        <v>0.86142857142857143</v>
      </c>
      <c r="J48" s="39">
        <v>1.0900000000000001</v>
      </c>
      <c r="K48" s="39" t="s">
        <v>929</v>
      </c>
      <c r="L48" s="39">
        <v>0</v>
      </c>
      <c r="M48" s="39">
        <v>0</v>
      </c>
      <c r="N48" s="4" t="s">
        <v>939</v>
      </c>
      <c r="O48" s="4">
        <v>0</v>
      </c>
      <c r="P48" s="4">
        <v>0</v>
      </c>
      <c r="Q48" s="4" t="s">
        <v>45</v>
      </c>
      <c r="R48" s="4" t="s">
        <v>45</v>
      </c>
      <c r="S48" s="4" t="s">
        <v>45</v>
      </c>
      <c r="T48" s="4" t="s">
        <v>45</v>
      </c>
      <c r="U48" s="4" t="s">
        <v>45</v>
      </c>
      <c r="V48" s="4" t="s">
        <v>45</v>
      </c>
      <c r="W48" s="4" t="s">
        <v>45</v>
      </c>
      <c r="X48" s="4" t="s">
        <v>45</v>
      </c>
      <c r="Y48" s="4" t="s">
        <v>45</v>
      </c>
      <c r="Z48" s="4">
        <v>0.95</v>
      </c>
      <c r="AA48" s="4" t="s">
        <v>975</v>
      </c>
      <c r="AB48" s="4" t="s">
        <v>980</v>
      </c>
      <c r="AC48" s="4" t="s">
        <v>1064</v>
      </c>
      <c r="AD48" s="39">
        <v>0</v>
      </c>
      <c r="AE48" s="4" t="s">
        <v>45</v>
      </c>
      <c r="AF48" s="4" t="s">
        <v>45</v>
      </c>
      <c r="AG48" s="4" t="s">
        <v>45</v>
      </c>
      <c r="AH48" s="4" t="s">
        <v>45</v>
      </c>
      <c r="AI48" s="4">
        <v>1</v>
      </c>
      <c r="AJ48" s="4" t="s">
        <v>996</v>
      </c>
      <c r="AK48" s="4">
        <v>0</v>
      </c>
      <c r="AL48" s="4" t="s">
        <v>1006</v>
      </c>
      <c r="AM48" s="4">
        <v>0</v>
      </c>
      <c r="AN48" s="4">
        <v>0</v>
      </c>
      <c r="AO48" s="4">
        <v>0</v>
      </c>
      <c r="AP48" s="4">
        <v>0.5</v>
      </c>
      <c r="AQ48" s="4">
        <v>0</v>
      </c>
      <c r="AR48" s="4" t="s">
        <v>673</v>
      </c>
      <c r="AS48" s="4">
        <v>0</v>
      </c>
      <c r="AT48" s="4">
        <v>0</v>
      </c>
      <c r="AU48" s="4">
        <v>1</v>
      </c>
      <c r="AV48" s="4" t="s">
        <v>45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39">
        <v>0.7</v>
      </c>
      <c r="BH48" s="39">
        <v>0</v>
      </c>
      <c r="BI48" s="39">
        <v>0</v>
      </c>
      <c r="BJ48" s="39" t="s">
        <v>1080</v>
      </c>
      <c r="BK48" s="39">
        <v>0</v>
      </c>
      <c r="BL48" s="39">
        <v>0</v>
      </c>
      <c r="BM48" s="39">
        <v>0</v>
      </c>
    </row>
    <row r="49" spans="1:65" s="16" customFormat="1" x14ac:dyDescent="0.25">
      <c r="A49" s="16" t="s">
        <v>1723</v>
      </c>
      <c r="B49" s="39">
        <v>0</v>
      </c>
      <c r="C49" s="39">
        <v>1.25</v>
      </c>
      <c r="D49" s="39">
        <v>0</v>
      </c>
      <c r="E49" s="39">
        <v>1</v>
      </c>
      <c r="F49" s="39">
        <v>0</v>
      </c>
      <c r="G49" s="39">
        <v>0</v>
      </c>
      <c r="H49" s="40">
        <f t="shared" si="2"/>
        <v>20.028571428571428</v>
      </c>
      <c r="I49" s="41">
        <f t="shared" si="3"/>
        <v>0.86142857142857143</v>
      </c>
      <c r="J49" s="39">
        <v>1.0900000000000001</v>
      </c>
      <c r="K49" s="39" t="s">
        <v>929</v>
      </c>
      <c r="L49" s="39">
        <v>0</v>
      </c>
      <c r="M49" s="39">
        <v>0</v>
      </c>
      <c r="N49" s="4" t="s">
        <v>939</v>
      </c>
      <c r="O49" s="4">
        <v>0</v>
      </c>
      <c r="P49" s="4">
        <v>0</v>
      </c>
      <c r="Q49" s="4" t="s">
        <v>45</v>
      </c>
      <c r="R49" s="4" t="s">
        <v>45</v>
      </c>
      <c r="S49" s="4" t="s">
        <v>45</v>
      </c>
      <c r="T49" s="4" t="s">
        <v>45</v>
      </c>
      <c r="U49" s="4" t="s">
        <v>45</v>
      </c>
      <c r="V49" s="4" t="s">
        <v>45</v>
      </c>
      <c r="W49" s="4" t="s">
        <v>45</v>
      </c>
      <c r="X49" s="4" t="s">
        <v>45</v>
      </c>
      <c r="Y49" s="4" t="s">
        <v>45</v>
      </c>
      <c r="Z49" s="4">
        <v>1</v>
      </c>
      <c r="AA49" s="4" t="s">
        <v>975</v>
      </c>
      <c r="AB49" s="4" t="s">
        <v>980</v>
      </c>
      <c r="AC49" s="4" t="s">
        <v>1064</v>
      </c>
      <c r="AD49" s="39">
        <v>0</v>
      </c>
      <c r="AE49" s="4" t="s">
        <v>45</v>
      </c>
      <c r="AF49" s="4" t="s">
        <v>45</v>
      </c>
      <c r="AG49" s="4" t="s">
        <v>45</v>
      </c>
      <c r="AH49" s="4" t="s">
        <v>45</v>
      </c>
      <c r="AI49" s="4">
        <v>1</v>
      </c>
      <c r="AJ49" s="4" t="s">
        <v>996</v>
      </c>
      <c r="AK49" s="4">
        <v>0</v>
      </c>
      <c r="AL49" s="4" t="s">
        <v>1006</v>
      </c>
      <c r="AM49" s="4">
        <v>0</v>
      </c>
      <c r="AN49" s="4">
        <v>0</v>
      </c>
      <c r="AO49" s="4">
        <v>0</v>
      </c>
      <c r="AP49" s="4">
        <v>0.5</v>
      </c>
      <c r="AQ49" s="4">
        <v>1</v>
      </c>
      <c r="AR49" s="4" t="s">
        <v>673</v>
      </c>
      <c r="AS49" s="4">
        <v>0</v>
      </c>
      <c r="AT49" s="4">
        <v>0</v>
      </c>
      <c r="AU49" s="4">
        <v>0</v>
      </c>
      <c r="AV49" s="4" t="s">
        <v>45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39">
        <v>0.7</v>
      </c>
      <c r="BH49" s="39">
        <v>0</v>
      </c>
      <c r="BI49" s="39">
        <v>0</v>
      </c>
      <c r="BJ49" s="39" t="s">
        <v>1082</v>
      </c>
      <c r="BK49" s="39">
        <v>0</v>
      </c>
      <c r="BL49" s="39">
        <v>0</v>
      </c>
      <c r="BM49" s="39">
        <v>0</v>
      </c>
    </row>
    <row r="50" spans="1:65" s="16" customFormat="1" x14ac:dyDescent="0.25">
      <c r="A50" s="16" t="s">
        <v>1722</v>
      </c>
      <c r="B50" s="39">
        <v>0</v>
      </c>
      <c r="C50" s="39">
        <v>1.25</v>
      </c>
      <c r="D50" s="39">
        <v>0</v>
      </c>
      <c r="E50" s="39">
        <v>1</v>
      </c>
      <c r="F50" s="39">
        <v>0</v>
      </c>
      <c r="G50" s="39">
        <v>0</v>
      </c>
      <c r="H50" s="40">
        <f t="shared" si="2"/>
        <v>20.028571428571428</v>
      </c>
      <c r="I50" s="41">
        <f t="shared" si="3"/>
        <v>0.86142857142857143</v>
      </c>
      <c r="J50" s="39">
        <v>1.0900000000000001</v>
      </c>
      <c r="K50" s="39" t="s">
        <v>929</v>
      </c>
      <c r="L50" s="39">
        <v>0</v>
      </c>
      <c r="M50" s="39">
        <v>0</v>
      </c>
      <c r="N50" s="4" t="s">
        <v>939</v>
      </c>
      <c r="O50" s="4">
        <v>0</v>
      </c>
      <c r="P50" s="4">
        <v>0</v>
      </c>
      <c r="Q50" s="4" t="s">
        <v>45</v>
      </c>
      <c r="R50" s="4" t="s">
        <v>45</v>
      </c>
      <c r="S50" s="4" t="s">
        <v>45</v>
      </c>
      <c r="T50" s="4" t="s">
        <v>45</v>
      </c>
      <c r="U50" s="4" t="s">
        <v>45</v>
      </c>
      <c r="V50" s="4" t="s">
        <v>45</v>
      </c>
      <c r="W50" s="4" t="s">
        <v>45</v>
      </c>
      <c r="X50" s="4" t="s">
        <v>45</v>
      </c>
      <c r="Y50" s="4" t="s">
        <v>45</v>
      </c>
      <c r="Z50" s="4">
        <v>0.9</v>
      </c>
      <c r="AA50" s="4" t="s">
        <v>975</v>
      </c>
      <c r="AB50" s="4" t="s">
        <v>980</v>
      </c>
      <c r="AC50" s="4" t="s">
        <v>1064</v>
      </c>
      <c r="AD50" s="39">
        <v>0</v>
      </c>
      <c r="AE50" s="4" t="s">
        <v>45</v>
      </c>
      <c r="AF50" s="4" t="s">
        <v>45</v>
      </c>
      <c r="AG50" s="4" t="s">
        <v>45</v>
      </c>
      <c r="AH50" s="4" t="s">
        <v>45</v>
      </c>
      <c r="AI50" s="4">
        <v>1</v>
      </c>
      <c r="AJ50" s="4" t="s">
        <v>996</v>
      </c>
      <c r="AK50" s="4">
        <v>0</v>
      </c>
      <c r="AL50" s="4" t="s">
        <v>1007</v>
      </c>
      <c r="AM50" s="4">
        <v>0</v>
      </c>
      <c r="AN50" s="4">
        <v>0</v>
      </c>
      <c r="AO50" s="4">
        <v>0</v>
      </c>
      <c r="AP50" s="4">
        <v>0.5</v>
      </c>
      <c r="AQ50" s="4">
        <v>1</v>
      </c>
      <c r="AR50" s="4" t="s">
        <v>1026</v>
      </c>
      <c r="AS50" s="4">
        <v>0</v>
      </c>
      <c r="AT50" s="4">
        <v>0</v>
      </c>
      <c r="AU50" s="4">
        <v>0</v>
      </c>
      <c r="AV50" s="4" t="s">
        <v>45</v>
      </c>
      <c r="AW50" s="4">
        <v>0</v>
      </c>
      <c r="AX50" s="4">
        <v>0</v>
      </c>
      <c r="AY50" s="4">
        <v>0</v>
      </c>
      <c r="AZ50" s="4">
        <v>2</v>
      </c>
      <c r="BA50" s="4">
        <v>0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39">
        <v>0.7</v>
      </c>
      <c r="BH50" s="39">
        <v>0.1</v>
      </c>
      <c r="BI50" s="39">
        <v>2.5000000000000001E-2</v>
      </c>
      <c r="BJ50" s="39" t="s">
        <v>1082</v>
      </c>
      <c r="BK50" s="39">
        <v>0</v>
      </c>
      <c r="BL50" s="39">
        <v>0</v>
      </c>
      <c r="BM50" s="39">
        <v>0</v>
      </c>
    </row>
    <row r="51" spans="1:65" x14ac:dyDescent="0.25">
      <c r="A51" t="s">
        <v>939</v>
      </c>
      <c r="B51" s="39">
        <v>0</v>
      </c>
      <c r="C51" s="39">
        <v>1.25</v>
      </c>
      <c r="D51" s="39">
        <v>0</v>
      </c>
      <c r="E51" s="39">
        <v>1</v>
      </c>
      <c r="F51" s="39">
        <v>0</v>
      </c>
      <c r="G51" s="39">
        <v>0</v>
      </c>
      <c r="H51" s="40">
        <f t="shared" si="2"/>
        <v>20.028571428571428</v>
      </c>
      <c r="I51" s="41">
        <f t="shared" si="3"/>
        <v>0.86142857142857143</v>
      </c>
      <c r="J51" s="39">
        <v>1.0900000000000001</v>
      </c>
      <c r="K51" s="39" t="s">
        <v>929</v>
      </c>
      <c r="L51" s="39">
        <v>0</v>
      </c>
      <c r="M51" s="39">
        <v>0</v>
      </c>
      <c r="N51" s="4" t="s">
        <v>939</v>
      </c>
      <c r="O51" s="4">
        <v>0</v>
      </c>
      <c r="P51" s="4">
        <v>0</v>
      </c>
      <c r="Q51" s="4" t="s">
        <v>45</v>
      </c>
      <c r="R51" s="4" t="s">
        <v>45</v>
      </c>
      <c r="S51" s="4" t="s">
        <v>45</v>
      </c>
      <c r="T51" s="4" t="s">
        <v>45</v>
      </c>
      <c r="U51" s="4" t="s">
        <v>45</v>
      </c>
      <c r="V51" s="4" t="s">
        <v>45</v>
      </c>
      <c r="W51" s="4" t="s">
        <v>45</v>
      </c>
      <c r="X51" s="4" t="s">
        <v>45</v>
      </c>
      <c r="Y51" s="4" t="s">
        <v>45</v>
      </c>
      <c r="Z51" s="4">
        <v>0.95</v>
      </c>
      <c r="AA51" s="4" t="s">
        <v>975</v>
      </c>
      <c r="AB51" s="4" t="s">
        <v>980</v>
      </c>
      <c r="AC51" s="4" t="s">
        <v>1064</v>
      </c>
      <c r="AD51" s="39">
        <v>0</v>
      </c>
      <c r="AE51" s="4" t="s">
        <v>45</v>
      </c>
      <c r="AF51" s="4" t="s">
        <v>45</v>
      </c>
      <c r="AG51" s="4" t="s">
        <v>45</v>
      </c>
      <c r="AH51" s="4" t="s">
        <v>45</v>
      </c>
      <c r="AI51" s="4">
        <v>1</v>
      </c>
      <c r="AJ51" s="4" t="s">
        <v>996</v>
      </c>
      <c r="AK51" s="4">
        <v>0</v>
      </c>
      <c r="AL51" s="4" t="s">
        <v>1007</v>
      </c>
      <c r="AM51" s="4">
        <v>0</v>
      </c>
      <c r="AN51" s="4">
        <v>0</v>
      </c>
      <c r="AO51" s="4">
        <v>0</v>
      </c>
      <c r="AP51" s="4">
        <v>0.5</v>
      </c>
      <c r="AQ51" s="4">
        <v>1</v>
      </c>
      <c r="AR51" s="4" t="s">
        <v>673</v>
      </c>
      <c r="AS51" s="4">
        <v>0</v>
      </c>
      <c r="AT51" s="4">
        <v>0</v>
      </c>
      <c r="AU51" s="4">
        <v>0</v>
      </c>
      <c r="AV51" s="4" t="s">
        <v>45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39">
        <v>0.7</v>
      </c>
      <c r="BH51" s="39">
        <v>0</v>
      </c>
      <c r="BI51" s="39">
        <v>0</v>
      </c>
      <c r="BJ51" s="39" t="s">
        <v>1082</v>
      </c>
      <c r="BK51" s="39">
        <v>0</v>
      </c>
      <c r="BL51" s="39">
        <v>0</v>
      </c>
      <c r="BM51" s="39">
        <v>0</v>
      </c>
    </row>
    <row r="52" spans="1:65" s="16" customFormat="1" x14ac:dyDescent="0.25">
      <c r="A52" s="16" t="s">
        <v>1721</v>
      </c>
      <c r="B52" s="39">
        <v>0</v>
      </c>
      <c r="C52" s="39">
        <v>0.85</v>
      </c>
      <c r="D52" s="39">
        <v>1</v>
      </c>
      <c r="E52" s="39">
        <v>5</v>
      </c>
      <c r="F52" s="39">
        <v>1</v>
      </c>
      <c r="G52" s="39">
        <v>0</v>
      </c>
      <c r="H52" s="40">
        <f t="shared" si="2"/>
        <v>20.028571428571428</v>
      </c>
      <c r="I52" s="41">
        <f t="shared" si="3"/>
        <v>0.86142857142857143</v>
      </c>
      <c r="J52" s="39">
        <v>1.0900000000000001</v>
      </c>
      <c r="K52" s="39" t="s">
        <v>929</v>
      </c>
      <c r="L52" s="39">
        <v>0</v>
      </c>
      <c r="M52" s="39">
        <v>0</v>
      </c>
      <c r="N52" s="4" t="s">
        <v>45</v>
      </c>
      <c r="O52" s="4">
        <v>0</v>
      </c>
      <c r="P52" s="4">
        <v>1</v>
      </c>
      <c r="Q52" s="4">
        <v>1</v>
      </c>
      <c r="R52" s="4" t="s">
        <v>954</v>
      </c>
      <c r="S52" s="4" t="s">
        <v>957</v>
      </c>
      <c r="T52" s="4" t="s">
        <v>955</v>
      </c>
      <c r="U52" s="4">
        <v>3</v>
      </c>
      <c r="V52" s="4">
        <v>0.85</v>
      </c>
      <c r="W52" s="4" t="s">
        <v>965</v>
      </c>
      <c r="X52" s="4" t="s">
        <v>966</v>
      </c>
      <c r="Y52" s="4" t="s">
        <v>952</v>
      </c>
      <c r="Z52" s="4" t="s">
        <v>45</v>
      </c>
      <c r="AA52" s="4" t="s">
        <v>45</v>
      </c>
      <c r="AB52" s="4" t="s">
        <v>45</v>
      </c>
      <c r="AC52" s="4" t="s">
        <v>45</v>
      </c>
      <c r="AD52" s="39">
        <v>0</v>
      </c>
      <c r="AE52" s="4" t="s">
        <v>45</v>
      </c>
      <c r="AF52" s="4" t="s">
        <v>45</v>
      </c>
      <c r="AG52" s="4" t="s">
        <v>45</v>
      </c>
      <c r="AH52" s="4" t="s">
        <v>45</v>
      </c>
      <c r="AI52" s="4">
        <v>1</v>
      </c>
      <c r="AJ52" s="4" t="s">
        <v>996</v>
      </c>
      <c r="AK52" s="4">
        <v>1</v>
      </c>
      <c r="AL52" s="4" t="s">
        <v>1009</v>
      </c>
      <c r="AM52" s="4">
        <v>0</v>
      </c>
      <c r="AN52" s="4">
        <v>2.5000000000000001E-2</v>
      </c>
      <c r="AO52" s="4">
        <v>0.1</v>
      </c>
      <c r="AP52" s="4" t="s">
        <v>45</v>
      </c>
      <c r="AQ52" s="4">
        <v>0</v>
      </c>
      <c r="AR52" s="4" t="s">
        <v>673</v>
      </c>
      <c r="AS52" s="4">
        <v>0</v>
      </c>
      <c r="AT52" s="4">
        <v>0</v>
      </c>
      <c r="AU52" s="4">
        <v>0</v>
      </c>
      <c r="AV52" s="4" t="s">
        <v>45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1</v>
      </c>
      <c r="BC52" s="4">
        <v>0</v>
      </c>
      <c r="BD52" s="4">
        <v>0</v>
      </c>
      <c r="BE52" s="4">
        <v>0</v>
      </c>
      <c r="BF52" s="4">
        <v>1</v>
      </c>
      <c r="BG52" s="39">
        <v>0.5</v>
      </c>
      <c r="BH52" s="39">
        <v>0</v>
      </c>
      <c r="BI52" s="39">
        <v>0</v>
      </c>
      <c r="BJ52" s="39" t="s">
        <v>1080</v>
      </c>
      <c r="BK52" s="39">
        <v>0</v>
      </c>
      <c r="BL52" s="39">
        <v>0</v>
      </c>
      <c r="BM52" s="39">
        <v>0</v>
      </c>
    </row>
    <row r="53" spans="1:65" x14ac:dyDescent="0.25">
      <c r="A53" t="s">
        <v>1719</v>
      </c>
      <c r="B53" s="39">
        <v>0</v>
      </c>
      <c r="C53" s="39">
        <v>0.85</v>
      </c>
      <c r="D53" s="39">
        <v>1</v>
      </c>
      <c r="E53" s="39">
        <v>5</v>
      </c>
      <c r="F53" s="39">
        <v>1</v>
      </c>
      <c r="G53" s="39">
        <v>0</v>
      </c>
      <c r="H53" s="40">
        <f t="shared" si="2"/>
        <v>20.028571428571428</v>
      </c>
      <c r="I53" s="41">
        <f t="shared" si="3"/>
        <v>0.86142857142857143</v>
      </c>
      <c r="J53" s="39">
        <v>1.0900000000000001</v>
      </c>
      <c r="K53" s="39" t="s">
        <v>929</v>
      </c>
      <c r="L53" s="39">
        <v>0</v>
      </c>
      <c r="M53" s="39">
        <v>0</v>
      </c>
      <c r="N53" s="4" t="s">
        <v>45</v>
      </c>
      <c r="O53" s="4">
        <v>0</v>
      </c>
      <c r="P53" s="4">
        <v>1</v>
      </c>
      <c r="Q53" s="4">
        <v>1</v>
      </c>
      <c r="R53" s="4" t="s">
        <v>954</v>
      </c>
      <c r="S53" s="4" t="s">
        <v>957</v>
      </c>
      <c r="T53" s="4" t="s">
        <v>955</v>
      </c>
      <c r="U53" s="4">
        <v>3</v>
      </c>
      <c r="V53" s="4">
        <v>0.85</v>
      </c>
      <c r="W53" s="4" t="s">
        <v>965</v>
      </c>
      <c r="X53" s="4" t="s">
        <v>966</v>
      </c>
      <c r="Y53" s="4" t="s">
        <v>952</v>
      </c>
      <c r="Z53" s="4" t="s">
        <v>45</v>
      </c>
      <c r="AA53" s="4" t="s">
        <v>45</v>
      </c>
      <c r="AB53" s="4" t="s">
        <v>45</v>
      </c>
      <c r="AC53" s="4" t="s">
        <v>45</v>
      </c>
      <c r="AD53" s="39">
        <v>0</v>
      </c>
      <c r="AE53" s="4" t="s">
        <v>45</v>
      </c>
      <c r="AF53" s="4" t="s">
        <v>45</v>
      </c>
      <c r="AG53" s="4" t="s">
        <v>45</v>
      </c>
      <c r="AH53" s="4" t="s">
        <v>45</v>
      </c>
      <c r="AI53" s="4">
        <v>1</v>
      </c>
      <c r="AJ53" s="4" t="s">
        <v>996</v>
      </c>
      <c r="AK53" s="4">
        <v>1</v>
      </c>
      <c r="AL53" s="4" t="s">
        <v>1009</v>
      </c>
      <c r="AM53" s="4">
        <v>0</v>
      </c>
      <c r="AN53" s="4">
        <v>0</v>
      </c>
      <c r="AO53" s="4">
        <v>0</v>
      </c>
      <c r="AP53" s="4" t="s">
        <v>45</v>
      </c>
      <c r="AQ53" s="4">
        <v>0</v>
      </c>
      <c r="AR53" s="4" t="s">
        <v>673</v>
      </c>
      <c r="AS53" s="4">
        <v>0</v>
      </c>
      <c r="AT53" s="4">
        <v>0</v>
      </c>
      <c r="AU53" s="4">
        <v>0</v>
      </c>
      <c r="AV53" s="4" t="s">
        <v>45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1</v>
      </c>
      <c r="BC53" s="4">
        <v>0</v>
      </c>
      <c r="BD53" s="4">
        <v>0</v>
      </c>
      <c r="BE53" s="4">
        <v>0</v>
      </c>
      <c r="BF53" s="4">
        <v>1</v>
      </c>
      <c r="BG53" s="39">
        <v>0.5</v>
      </c>
      <c r="BH53" s="39">
        <v>0</v>
      </c>
      <c r="BI53" s="39">
        <v>0</v>
      </c>
      <c r="BJ53" s="39" t="s">
        <v>1080</v>
      </c>
      <c r="BK53" s="39">
        <v>0</v>
      </c>
      <c r="BL53" s="39">
        <v>0</v>
      </c>
      <c r="BM53" s="39">
        <v>0</v>
      </c>
    </row>
    <row r="54" spans="1:65" s="16" customFormat="1" x14ac:dyDescent="0.25">
      <c r="A54" s="16" t="s">
        <v>1780</v>
      </c>
      <c r="B54" s="39">
        <v>0</v>
      </c>
      <c r="C54" s="39">
        <v>0.85</v>
      </c>
      <c r="D54" s="39">
        <v>1</v>
      </c>
      <c r="E54" s="39">
        <v>5</v>
      </c>
      <c r="F54" s="39">
        <v>1</v>
      </c>
      <c r="G54" s="39">
        <v>0</v>
      </c>
      <c r="H54" s="40">
        <f t="shared" si="2"/>
        <v>20.028571428571428</v>
      </c>
      <c r="I54" s="41">
        <f t="shared" si="3"/>
        <v>0.86142857142857143</v>
      </c>
      <c r="J54" s="39">
        <v>1.0900000000000001</v>
      </c>
      <c r="K54" s="39" t="s">
        <v>929</v>
      </c>
      <c r="L54" s="39">
        <v>0</v>
      </c>
      <c r="M54" s="39">
        <v>0</v>
      </c>
      <c r="N54" s="4" t="s">
        <v>45</v>
      </c>
      <c r="O54" s="4">
        <v>0</v>
      </c>
      <c r="P54" s="4">
        <v>1</v>
      </c>
      <c r="Q54" s="4">
        <v>1</v>
      </c>
      <c r="R54" s="4" t="s">
        <v>954</v>
      </c>
      <c r="S54" s="4" t="s">
        <v>957</v>
      </c>
      <c r="T54" s="4" t="s">
        <v>955</v>
      </c>
      <c r="U54" s="4">
        <v>3</v>
      </c>
      <c r="V54" s="4">
        <v>0.85</v>
      </c>
      <c r="W54" s="4" t="s">
        <v>965</v>
      </c>
      <c r="X54" s="4" t="s">
        <v>966</v>
      </c>
      <c r="Y54" s="4" t="s">
        <v>955</v>
      </c>
      <c r="Z54" s="4" t="s">
        <v>45</v>
      </c>
      <c r="AA54" s="4" t="s">
        <v>45</v>
      </c>
      <c r="AB54" s="4" t="s">
        <v>45</v>
      </c>
      <c r="AC54" s="4" t="s">
        <v>45</v>
      </c>
      <c r="AD54" s="39">
        <v>0</v>
      </c>
      <c r="AE54" s="4" t="s">
        <v>45</v>
      </c>
      <c r="AF54" s="4" t="s">
        <v>45</v>
      </c>
      <c r="AG54" s="4" t="s">
        <v>45</v>
      </c>
      <c r="AH54" s="4" t="s">
        <v>45</v>
      </c>
      <c r="AI54" s="4">
        <v>1</v>
      </c>
      <c r="AJ54" s="4" t="s">
        <v>996</v>
      </c>
      <c r="AK54" s="4">
        <v>1</v>
      </c>
      <c r="AL54" s="4" t="s">
        <v>1009</v>
      </c>
      <c r="AM54" s="4">
        <v>0</v>
      </c>
      <c r="AN54" s="4">
        <v>0</v>
      </c>
      <c r="AO54" s="4">
        <v>0</v>
      </c>
      <c r="AP54" s="4" t="s">
        <v>45</v>
      </c>
      <c r="AQ54" s="4">
        <v>0</v>
      </c>
      <c r="AR54" s="4" t="s">
        <v>673</v>
      </c>
      <c r="AS54" s="4">
        <v>0</v>
      </c>
      <c r="AT54" s="4">
        <v>0</v>
      </c>
      <c r="AU54" s="4">
        <v>0</v>
      </c>
      <c r="AV54" s="4" t="s">
        <v>45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1</v>
      </c>
      <c r="BC54" s="4">
        <v>0</v>
      </c>
      <c r="BD54" s="4">
        <v>1</v>
      </c>
      <c r="BE54" s="4">
        <v>0</v>
      </c>
      <c r="BF54" s="4">
        <v>1</v>
      </c>
      <c r="BG54" s="39">
        <v>0.5</v>
      </c>
      <c r="BH54" s="39">
        <v>0</v>
      </c>
      <c r="BI54" s="39">
        <v>0</v>
      </c>
      <c r="BJ54" s="39" t="s">
        <v>1080</v>
      </c>
      <c r="BK54" s="39">
        <v>0</v>
      </c>
      <c r="BL54" s="39">
        <v>0</v>
      </c>
      <c r="BM54" s="39">
        <v>0</v>
      </c>
    </row>
    <row r="55" spans="1:65" s="16" customFormat="1" x14ac:dyDescent="0.25">
      <c r="A55" s="16" t="s">
        <v>1718</v>
      </c>
      <c r="B55" s="39">
        <v>0</v>
      </c>
      <c r="C55" s="39">
        <v>0.85</v>
      </c>
      <c r="D55" s="39">
        <v>1</v>
      </c>
      <c r="E55" s="39">
        <v>5</v>
      </c>
      <c r="F55" s="39">
        <v>1</v>
      </c>
      <c r="G55" s="39">
        <v>0</v>
      </c>
      <c r="H55" s="40">
        <f t="shared" si="2"/>
        <v>20.028571428571428</v>
      </c>
      <c r="I55" s="41">
        <f t="shared" si="3"/>
        <v>0.86142857142857143</v>
      </c>
      <c r="J55" s="39">
        <v>1.0900000000000001</v>
      </c>
      <c r="K55" s="39" t="s">
        <v>929</v>
      </c>
      <c r="L55" s="39">
        <v>0</v>
      </c>
      <c r="M55" s="39">
        <v>0</v>
      </c>
      <c r="N55" s="4" t="s">
        <v>45</v>
      </c>
      <c r="O55" s="4">
        <v>0</v>
      </c>
      <c r="P55" s="4">
        <v>1</v>
      </c>
      <c r="Q55" s="4">
        <v>1</v>
      </c>
      <c r="R55" s="4" t="s">
        <v>954</v>
      </c>
      <c r="S55" s="4" t="s">
        <v>957</v>
      </c>
      <c r="T55" s="4" t="s">
        <v>955</v>
      </c>
      <c r="U55" s="4">
        <v>3</v>
      </c>
      <c r="V55" s="4">
        <v>0.85</v>
      </c>
      <c r="W55" s="4" t="s">
        <v>965</v>
      </c>
      <c r="X55" s="4" t="s">
        <v>967</v>
      </c>
      <c r="Y55" s="4" t="s">
        <v>952</v>
      </c>
      <c r="Z55" s="4" t="s">
        <v>45</v>
      </c>
      <c r="AA55" s="4" t="s">
        <v>45</v>
      </c>
      <c r="AB55" s="4" t="s">
        <v>45</v>
      </c>
      <c r="AC55" s="4" t="s">
        <v>45</v>
      </c>
      <c r="AD55" s="39">
        <v>0</v>
      </c>
      <c r="AE55" s="4" t="s">
        <v>45</v>
      </c>
      <c r="AF55" s="4" t="s">
        <v>45</v>
      </c>
      <c r="AG55" s="4" t="s">
        <v>45</v>
      </c>
      <c r="AH55" s="4" t="s">
        <v>45</v>
      </c>
      <c r="AI55" s="4">
        <v>1</v>
      </c>
      <c r="AJ55" s="4" t="s">
        <v>996</v>
      </c>
      <c r="AK55" s="4">
        <v>1</v>
      </c>
      <c r="AL55" s="4" t="s">
        <v>1009</v>
      </c>
      <c r="AM55" s="4">
        <v>0</v>
      </c>
      <c r="AN55" s="4">
        <v>0</v>
      </c>
      <c r="AO55" s="4">
        <v>0</v>
      </c>
      <c r="AP55" s="4" t="s">
        <v>45</v>
      </c>
      <c r="AQ55" s="4">
        <v>0</v>
      </c>
      <c r="AR55" s="4" t="s">
        <v>673</v>
      </c>
      <c r="AS55" s="4">
        <v>0</v>
      </c>
      <c r="AT55" s="4">
        <v>0</v>
      </c>
      <c r="AU55" s="4">
        <v>0</v>
      </c>
      <c r="AV55" s="4" t="s">
        <v>45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1</v>
      </c>
      <c r="BC55" s="4">
        <v>0</v>
      </c>
      <c r="BD55" s="4">
        <v>0</v>
      </c>
      <c r="BE55" s="4">
        <v>0</v>
      </c>
      <c r="BF55" s="4">
        <v>1</v>
      </c>
      <c r="BG55" s="39">
        <v>0.5</v>
      </c>
      <c r="BH55" s="39">
        <v>0</v>
      </c>
      <c r="BI55" s="39">
        <v>0</v>
      </c>
      <c r="BJ55" s="39" t="s">
        <v>1080</v>
      </c>
      <c r="BK55" s="39">
        <v>0</v>
      </c>
      <c r="BL55" s="39">
        <v>0</v>
      </c>
      <c r="BM55" s="39">
        <v>0</v>
      </c>
    </row>
    <row r="56" spans="1:65" s="16" customFormat="1" x14ac:dyDescent="0.25">
      <c r="A56" s="16" t="s">
        <v>135</v>
      </c>
      <c r="B56" s="39">
        <v>1</v>
      </c>
      <c r="C56" s="39">
        <v>0.85</v>
      </c>
      <c r="D56" s="39">
        <v>1</v>
      </c>
      <c r="E56" s="39">
        <v>5</v>
      </c>
      <c r="F56" s="39">
        <v>1</v>
      </c>
      <c r="G56" s="39">
        <v>0</v>
      </c>
      <c r="H56" s="40">
        <f t="shared" si="2"/>
        <v>20.028571428571428</v>
      </c>
      <c r="I56" s="41">
        <f t="shared" si="3"/>
        <v>0.86142857142857143</v>
      </c>
      <c r="J56" s="39">
        <v>1.0900000000000001</v>
      </c>
      <c r="K56" s="39" t="s">
        <v>929</v>
      </c>
      <c r="L56" s="39">
        <v>0</v>
      </c>
      <c r="M56" s="39">
        <v>0</v>
      </c>
      <c r="N56" s="4" t="s">
        <v>45</v>
      </c>
      <c r="O56" s="4">
        <v>0</v>
      </c>
      <c r="P56" s="4">
        <v>1</v>
      </c>
      <c r="Q56" s="4">
        <v>1</v>
      </c>
      <c r="R56" s="4" t="s">
        <v>954</v>
      </c>
      <c r="S56" s="4" t="s">
        <v>957</v>
      </c>
      <c r="T56" s="4" t="s">
        <v>955</v>
      </c>
      <c r="U56" s="4" t="s">
        <v>45</v>
      </c>
      <c r="V56" s="4" t="s">
        <v>45</v>
      </c>
      <c r="W56" s="4" t="s">
        <v>45</v>
      </c>
      <c r="X56" s="4" t="s">
        <v>45</v>
      </c>
      <c r="Y56" s="4" t="s">
        <v>45</v>
      </c>
      <c r="Z56" s="4" t="s">
        <v>45</v>
      </c>
      <c r="AA56" s="4" t="s">
        <v>45</v>
      </c>
      <c r="AB56" s="4" t="s">
        <v>45</v>
      </c>
      <c r="AC56" s="4" t="s">
        <v>45</v>
      </c>
      <c r="AD56" s="39">
        <v>0</v>
      </c>
      <c r="AE56" s="4" t="s">
        <v>45</v>
      </c>
      <c r="AF56" s="4" t="s">
        <v>45</v>
      </c>
      <c r="AG56" s="4" t="s">
        <v>45</v>
      </c>
      <c r="AH56" s="4" t="s">
        <v>45</v>
      </c>
      <c r="AI56" s="4">
        <v>1</v>
      </c>
      <c r="AJ56" s="4" t="s">
        <v>996</v>
      </c>
      <c r="AK56" s="4">
        <v>1</v>
      </c>
      <c r="AL56" s="4" t="s">
        <v>1009</v>
      </c>
      <c r="AM56" s="4">
        <v>0</v>
      </c>
      <c r="AN56" s="4">
        <v>0</v>
      </c>
      <c r="AO56" s="4">
        <v>0</v>
      </c>
      <c r="AP56" s="4" t="s">
        <v>45</v>
      </c>
      <c r="AQ56" s="4">
        <v>0</v>
      </c>
      <c r="AR56" s="4" t="s">
        <v>673</v>
      </c>
      <c r="AS56" s="4">
        <v>0</v>
      </c>
      <c r="AT56" s="4">
        <v>0</v>
      </c>
      <c r="AU56" s="4">
        <v>0</v>
      </c>
      <c r="AV56" s="4" t="s">
        <v>45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1</v>
      </c>
      <c r="BC56" s="4">
        <v>0</v>
      </c>
      <c r="BD56" s="4">
        <v>0</v>
      </c>
      <c r="BE56" s="4">
        <v>0</v>
      </c>
      <c r="BF56" s="4">
        <v>1</v>
      </c>
      <c r="BG56" s="39">
        <v>0.5</v>
      </c>
      <c r="BH56" s="39">
        <v>0</v>
      </c>
      <c r="BI56" s="39">
        <v>0</v>
      </c>
      <c r="BJ56" s="39" t="s">
        <v>1086</v>
      </c>
      <c r="BK56" s="39">
        <v>0</v>
      </c>
      <c r="BL56" s="39">
        <v>0</v>
      </c>
      <c r="BM56" s="39">
        <v>0</v>
      </c>
    </row>
    <row r="57" spans="1:65" x14ac:dyDescent="0.25">
      <c r="A57" t="s">
        <v>1716</v>
      </c>
      <c r="B57" s="39">
        <v>1</v>
      </c>
      <c r="C57" s="39">
        <v>1</v>
      </c>
      <c r="D57" s="39">
        <v>0</v>
      </c>
      <c r="E57" s="39">
        <v>5</v>
      </c>
      <c r="F57" s="39">
        <v>0</v>
      </c>
      <c r="G57" s="39">
        <v>0</v>
      </c>
      <c r="H57" s="40">
        <f>AVERAGE(65.2,57.2,43.4)</f>
        <v>55.266666666666673</v>
      </c>
      <c r="I57" s="41">
        <f>AVERAGE(31.29%,20.98%,15.21%)</f>
        <v>0.22493333333333335</v>
      </c>
      <c r="J57" s="39">
        <v>1.86</v>
      </c>
      <c r="K57" s="39" t="s">
        <v>929</v>
      </c>
      <c r="L57" s="39">
        <v>1</v>
      </c>
      <c r="M57" s="39">
        <v>0</v>
      </c>
      <c r="N57" s="4" t="s">
        <v>942</v>
      </c>
      <c r="O57" s="4">
        <v>0</v>
      </c>
      <c r="P57" s="4">
        <v>0</v>
      </c>
      <c r="Q57" s="4" t="s">
        <v>45</v>
      </c>
      <c r="R57" s="4" t="s">
        <v>45</v>
      </c>
      <c r="S57" s="4" t="s">
        <v>45</v>
      </c>
      <c r="T57" s="4" t="s">
        <v>45</v>
      </c>
      <c r="U57" s="4" t="s">
        <v>45</v>
      </c>
      <c r="V57" s="4" t="s">
        <v>45</v>
      </c>
      <c r="W57" s="4" t="s">
        <v>45</v>
      </c>
      <c r="X57" s="4" t="s">
        <v>45</v>
      </c>
      <c r="Y57" s="4" t="s">
        <v>45</v>
      </c>
      <c r="Z57" s="4">
        <v>0.85</v>
      </c>
      <c r="AA57" s="4" t="s">
        <v>975</v>
      </c>
      <c r="AB57" s="4" t="s">
        <v>978</v>
      </c>
      <c r="AC57" s="4" t="s">
        <v>1064</v>
      </c>
      <c r="AD57" s="39">
        <v>1</v>
      </c>
      <c r="AE57" s="4">
        <v>0.65</v>
      </c>
      <c r="AF57" s="4" t="s">
        <v>1746</v>
      </c>
      <c r="AG57" s="4" t="s">
        <v>993</v>
      </c>
      <c r="AH57" s="4" t="s">
        <v>952</v>
      </c>
      <c r="AI57" s="4">
        <v>1.2</v>
      </c>
      <c r="AJ57" s="4" t="s">
        <v>996</v>
      </c>
      <c r="AK57" s="4">
        <v>0</v>
      </c>
      <c r="AL57" s="4" t="s">
        <v>1007</v>
      </c>
      <c r="AM57" s="4">
        <v>0</v>
      </c>
      <c r="AN57" s="4">
        <v>0.05</v>
      </c>
      <c r="AO57" s="4">
        <v>0.3</v>
      </c>
      <c r="AP57" s="4" t="s">
        <v>45</v>
      </c>
      <c r="AQ57" s="4">
        <v>0</v>
      </c>
      <c r="AR57" s="4" t="s">
        <v>1026</v>
      </c>
      <c r="AS57" s="4">
        <v>0</v>
      </c>
      <c r="AT57" s="4">
        <v>0</v>
      </c>
      <c r="AU57" s="4">
        <v>0</v>
      </c>
      <c r="AV57" s="4" t="s">
        <v>45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1</v>
      </c>
      <c r="BC57" s="4">
        <v>1</v>
      </c>
      <c r="BD57" s="4">
        <v>0</v>
      </c>
      <c r="BE57" s="4">
        <v>0</v>
      </c>
      <c r="BF57" s="4">
        <v>1</v>
      </c>
      <c r="BG57" s="39">
        <v>0.25</v>
      </c>
      <c r="BH57" s="39">
        <v>0.1</v>
      </c>
      <c r="BI57" s="39">
        <v>2.5000000000000001E-2</v>
      </c>
      <c r="BJ57" s="39" t="s">
        <v>1080</v>
      </c>
      <c r="BK57" s="39">
        <v>0</v>
      </c>
      <c r="BL57" s="39">
        <v>0</v>
      </c>
      <c r="BM57" s="39">
        <v>0</v>
      </c>
    </row>
    <row r="58" spans="1:65" x14ac:dyDescent="0.25">
      <c r="A58" t="s">
        <v>660</v>
      </c>
      <c r="B58" s="39">
        <v>0</v>
      </c>
      <c r="C58" s="39">
        <v>1</v>
      </c>
      <c r="D58" s="39">
        <v>0</v>
      </c>
      <c r="E58" s="39">
        <v>11</v>
      </c>
      <c r="F58" s="39">
        <v>0</v>
      </c>
      <c r="G58" s="39">
        <v>0</v>
      </c>
      <c r="H58" s="40">
        <v>267</v>
      </c>
      <c r="I58" s="41">
        <f>H58/1000/54</f>
        <v>4.9444444444444449E-3</v>
      </c>
      <c r="J58" s="39">
        <v>2.7</v>
      </c>
      <c r="K58" s="39">
        <v>0.32</v>
      </c>
      <c r="L58" s="39">
        <v>1</v>
      </c>
      <c r="M58" s="39">
        <v>0</v>
      </c>
      <c r="N58" s="4" t="s">
        <v>943</v>
      </c>
      <c r="O58" s="4">
        <v>0</v>
      </c>
      <c r="P58" s="4">
        <v>0</v>
      </c>
      <c r="Q58" s="4" t="s">
        <v>45</v>
      </c>
      <c r="R58" s="4" t="s">
        <v>45</v>
      </c>
      <c r="S58" s="4" t="s">
        <v>45</v>
      </c>
      <c r="T58" s="4" t="s">
        <v>45</v>
      </c>
      <c r="U58" s="4" t="s">
        <v>45</v>
      </c>
      <c r="V58" s="4" t="s">
        <v>45</v>
      </c>
      <c r="W58" s="4" t="s">
        <v>45</v>
      </c>
      <c r="X58" s="4" t="s">
        <v>45</v>
      </c>
      <c r="Y58" s="4" t="s">
        <v>45</v>
      </c>
      <c r="Z58" s="4">
        <v>1</v>
      </c>
      <c r="AA58" s="4" t="s">
        <v>974</v>
      </c>
      <c r="AB58" s="4" t="s">
        <v>981</v>
      </c>
      <c r="AC58" s="4" t="s">
        <v>1064</v>
      </c>
      <c r="AD58" s="39">
        <v>0</v>
      </c>
      <c r="AE58" s="4" t="s">
        <v>45</v>
      </c>
      <c r="AF58" s="4" t="s">
        <v>45</v>
      </c>
      <c r="AG58" s="4" t="s">
        <v>45</v>
      </c>
      <c r="AH58" s="4" t="s">
        <v>45</v>
      </c>
      <c r="AI58" s="4">
        <v>1</v>
      </c>
      <c r="AJ58" s="4" t="s">
        <v>999</v>
      </c>
      <c r="AK58" s="4">
        <v>0</v>
      </c>
      <c r="AL58" s="4" t="s">
        <v>660</v>
      </c>
      <c r="AM58" s="4">
        <v>0</v>
      </c>
      <c r="AN58" s="4">
        <v>0</v>
      </c>
      <c r="AO58" s="4">
        <v>0</v>
      </c>
      <c r="AP58" s="4" t="s">
        <v>45</v>
      </c>
      <c r="AQ58" s="4">
        <v>0</v>
      </c>
      <c r="AR58" s="4" t="s">
        <v>673</v>
      </c>
      <c r="AS58" s="4">
        <v>0</v>
      </c>
      <c r="AT58" s="4">
        <v>0</v>
      </c>
      <c r="AU58" s="4">
        <v>0</v>
      </c>
      <c r="AV58" s="4" t="s">
        <v>45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1</v>
      </c>
      <c r="BD58" s="4">
        <v>0</v>
      </c>
      <c r="BE58" s="4">
        <v>0</v>
      </c>
      <c r="BF58" s="4">
        <v>0</v>
      </c>
      <c r="BG58" s="39">
        <v>0</v>
      </c>
      <c r="BH58" s="39">
        <v>0</v>
      </c>
      <c r="BI58" s="39">
        <v>0</v>
      </c>
      <c r="BJ58" s="39" t="s">
        <v>1082</v>
      </c>
      <c r="BK58" s="39">
        <v>0</v>
      </c>
      <c r="BL58" s="39">
        <v>0</v>
      </c>
      <c r="BM58" s="39">
        <v>0</v>
      </c>
    </row>
    <row r="59" spans="1:65" s="16" customFormat="1" x14ac:dyDescent="0.25">
      <c r="A59" s="16" t="s">
        <v>1715</v>
      </c>
      <c r="B59" s="39">
        <v>2</v>
      </c>
      <c r="C59" s="39">
        <v>1.5</v>
      </c>
      <c r="D59" s="39">
        <v>0</v>
      </c>
      <c r="E59" s="39">
        <v>1</v>
      </c>
      <c r="F59" s="39">
        <v>0</v>
      </c>
      <c r="G59" s="39">
        <v>0</v>
      </c>
      <c r="H59" s="40">
        <v>22.39</v>
      </c>
      <c r="I59" s="41">
        <v>0.37</v>
      </c>
      <c r="J59" s="39">
        <v>1.0900000000000001</v>
      </c>
      <c r="K59" s="39" t="s">
        <v>929</v>
      </c>
      <c r="L59" s="39">
        <v>0</v>
      </c>
      <c r="M59" s="39">
        <v>0</v>
      </c>
      <c r="N59" s="4" t="s">
        <v>168</v>
      </c>
      <c r="O59" s="4">
        <v>0</v>
      </c>
      <c r="P59" s="4">
        <v>0</v>
      </c>
      <c r="Q59" s="4" t="s">
        <v>45</v>
      </c>
      <c r="R59" s="4" t="s">
        <v>45</v>
      </c>
      <c r="S59" s="4" t="s">
        <v>45</v>
      </c>
      <c r="T59" s="4" t="s">
        <v>45</v>
      </c>
      <c r="U59" s="4" t="s">
        <v>45</v>
      </c>
      <c r="V59" s="4" t="s">
        <v>45</v>
      </c>
      <c r="W59" s="4" t="s">
        <v>45</v>
      </c>
      <c r="X59" s="4" t="s">
        <v>45</v>
      </c>
      <c r="Y59" s="4" t="s">
        <v>45</v>
      </c>
      <c r="Z59" s="4">
        <v>0.8</v>
      </c>
      <c r="AA59" s="4" t="s">
        <v>974</v>
      </c>
      <c r="AB59" s="4" t="s">
        <v>982</v>
      </c>
      <c r="AC59" s="4" t="s">
        <v>1065</v>
      </c>
      <c r="AD59" s="39">
        <v>0</v>
      </c>
      <c r="AE59" s="4" t="s">
        <v>45</v>
      </c>
      <c r="AF59" s="4" t="s">
        <v>45</v>
      </c>
      <c r="AG59" s="4" t="s">
        <v>45</v>
      </c>
      <c r="AH59" s="4" t="s">
        <v>45</v>
      </c>
      <c r="AI59" s="4">
        <v>1</v>
      </c>
      <c r="AJ59" s="4" t="s">
        <v>997</v>
      </c>
      <c r="AK59" s="4">
        <v>0</v>
      </c>
      <c r="AL59" s="4" t="s">
        <v>168</v>
      </c>
      <c r="AM59" s="4">
        <v>0</v>
      </c>
      <c r="AN59" s="4">
        <v>0.1</v>
      </c>
      <c r="AO59" s="4">
        <v>0.3</v>
      </c>
      <c r="AP59" s="4" t="s">
        <v>45</v>
      </c>
      <c r="AQ59" s="4">
        <v>0</v>
      </c>
      <c r="AR59" s="4" t="s">
        <v>673</v>
      </c>
      <c r="AS59" s="4">
        <v>1</v>
      </c>
      <c r="AT59" s="4">
        <v>0</v>
      </c>
      <c r="AU59" s="4">
        <v>0</v>
      </c>
      <c r="AV59" s="4" t="s">
        <v>45</v>
      </c>
      <c r="AW59" s="4">
        <v>0</v>
      </c>
      <c r="AX59" s="4">
        <v>0</v>
      </c>
      <c r="AY59" s="4">
        <v>0</v>
      </c>
      <c r="AZ59" s="4">
        <v>0</v>
      </c>
      <c r="BA59" s="4">
        <v>1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39">
        <v>0.5</v>
      </c>
      <c r="BH59" s="39">
        <v>0.1</v>
      </c>
      <c r="BI59" s="39">
        <v>0</v>
      </c>
      <c r="BJ59" s="39" t="s">
        <v>1087</v>
      </c>
      <c r="BK59" s="39">
        <v>0</v>
      </c>
      <c r="BL59" s="39">
        <v>0</v>
      </c>
      <c r="BM59" s="39">
        <v>0</v>
      </c>
    </row>
    <row r="60" spans="1:65" x14ac:dyDescent="0.25">
      <c r="A60" t="s">
        <v>168</v>
      </c>
      <c r="B60" s="39">
        <v>2</v>
      </c>
      <c r="C60" s="39">
        <v>1.5</v>
      </c>
      <c r="D60" s="39">
        <v>0</v>
      </c>
      <c r="E60" s="39">
        <v>1</v>
      </c>
      <c r="F60" s="39">
        <v>0</v>
      </c>
      <c r="G60" s="39">
        <v>0</v>
      </c>
      <c r="H60" s="40">
        <v>22.39</v>
      </c>
      <c r="I60" s="41">
        <v>0.37</v>
      </c>
      <c r="J60" s="39">
        <v>1.0900000000000001</v>
      </c>
      <c r="K60" s="39" t="s">
        <v>929</v>
      </c>
      <c r="L60" s="39">
        <v>0</v>
      </c>
      <c r="M60" s="39">
        <v>0</v>
      </c>
      <c r="N60" s="4" t="s">
        <v>168</v>
      </c>
      <c r="O60" s="4">
        <v>0</v>
      </c>
      <c r="P60" s="4">
        <v>0</v>
      </c>
      <c r="Q60" s="4" t="s">
        <v>45</v>
      </c>
      <c r="R60" s="4" t="s">
        <v>45</v>
      </c>
      <c r="S60" s="4" t="s">
        <v>45</v>
      </c>
      <c r="T60" s="4" t="s">
        <v>45</v>
      </c>
      <c r="U60" s="4" t="s">
        <v>45</v>
      </c>
      <c r="V60" s="4" t="s">
        <v>45</v>
      </c>
      <c r="W60" s="4" t="s">
        <v>45</v>
      </c>
      <c r="X60" s="4" t="s">
        <v>45</v>
      </c>
      <c r="Y60" s="4" t="s">
        <v>45</v>
      </c>
      <c r="Z60" s="4">
        <v>0.8</v>
      </c>
      <c r="AA60" s="4" t="s">
        <v>974</v>
      </c>
      <c r="AB60" s="4" t="s">
        <v>982</v>
      </c>
      <c r="AC60" s="4" t="s">
        <v>1064</v>
      </c>
      <c r="AD60" s="39">
        <v>0</v>
      </c>
      <c r="AE60" s="4" t="s">
        <v>45</v>
      </c>
      <c r="AF60" s="4" t="s">
        <v>45</v>
      </c>
      <c r="AG60" s="4" t="s">
        <v>45</v>
      </c>
      <c r="AH60" s="4" t="s">
        <v>45</v>
      </c>
      <c r="AI60" s="4">
        <v>1</v>
      </c>
      <c r="AJ60" s="4" t="s">
        <v>997</v>
      </c>
      <c r="AK60" s="4">
        <v>0</v>
      </c>
      <c r="AL60" s="4" t="s">
        <v>168</v>
      </c>
      <c r="AM60" s="4">
        <v>0</v>
      </c>
      <c r="AN60" s="4">
        <v>0.1</v>
      </c>
      <c r="AO60" s="4">
        <v>0.3</v>
      </c>
      <c r="AP60" s="4" t="s">
        <v>45</v>
      </c>
      <c r="AQ60" s="4">
        <v>0</v>
      </c>
      <c r="AR60" s="4" t="s">
        <v>673</v>
      </c>
      <c r="AS60" s="4">
        <v>1</v>
      </c>
      <c r="AT60" s="4">
        <v>0</v>
      </c>
      <c r="AU60" s="4">
        <v>0</v>
      </c>
      <c r="AV60" s="4" t="s">
        <v>45</v>
      </c>
      <c r="AW60" s="4">
        <v>0</v>
      </c>
      <c r="AX60" s="4">
        <v>0</v>
      </c>
      <c r="AY60" s="4">
        <v>0</v>
      </c>
      <c r="AZ60" s="4">
        <v>0</v>
      </c>
      <c r="BA60" s="4">
        <v>1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39">
        <v>0.5</v>
      </c>
      <c r="BH60" s="39">
        <v>0.1</v>
      </c>
      <c r="BI60" s="39">
        <v>0</v>
      </c>
      <c r="BJ60" s="39" t="s">
        <v>1087</v>
      </c>
      <c r="BK60" s="39">
        <v>0</v>
      </c>
      <c r="BL60" s="39">
        <v>0</v>
      </c>
      <c r="BM60" s="39">
        <v>0</v>
      </c>
    </row>
    <row r="61" spans="1:65" x14ac:dyDescent="0.25">
      <c r="A61" t="s">
        <v>114</v>
      </c>
      <c r="B61" s="39">
        <v>2</v>
      </c>
      <c r="C61" s="39">
        <v>2</v>
      </c>
      <c r="D61" s="39">
        <v>0</v>
      </c>
      <c r="E61" s="39">
        <v>5</v>
      </c>
      <c r="F61" s="39">
        <v>2</v>
      </c>
      <c r="G61" s="39">
        <v>0</v>
      </c>
      <c r="H61" s="40">
        <v>1000</v>
      </c>
      <c r="I61" s="41">
        <v>0.3</v>
      </c>
      <c r="J61" s="39">
        <v>1.3</v>
      </c>
      <c r="K61" s="39" t="s">
        <v>929</v>
      </c>
      <c r="L61" s="39">
        <v>1</v>
      </c>
      <c r="M61" s="39">
        <v>0</v>
      </c>
      <c r="N61" s="4" t="s">
        <v>45</v>
      </c>
      <c r="O61" s="4">
        <v>0</v>
      </c>
      <c r="P61" s="4">
        <v>1</v>
      </c>
      <c r="Q61" s="4">
        <v>0.9</v>
      </c>
      <c r="R61" s="4" t="s">
        <v>954</v>
      </c>
      <c r="S61" s="4" t="s">
        <v>956</v>
      </c>
      <c r="T61" s="4" t="s">
        <v>955</v>
      </c>
      <c r="U61" s="4">
        <v>2</v>
      </c>
      <c r="V61" s="4">
        <v>0.6</v>
      </c>
      <c r="W61" s="4" t="s">
        <v>965</v>
      </c>
      <c r="X61" s="4" t="s">
        <v>966</v>
      </c>
      <c r="Y61" s="4" t="s">
        <v>952</v>
      </c>
      <c r="Z61" s="4" t="s">
        <v>45</v>
      </c>
      <c r="AA61" s="4" t="s">
        <v>45</v>
      </c>
      <c r="AB61" s="4" t="s">
        <v>45</v>
      </c>
      <c r="AC61" s="4" t="s">
        <v>45</v>
      </c>
      <c r="AD61" s="39">
        <v>0</v>
      </c>
      <c r="AE61" s="4" t="s">
        <v>45</v>
      </c>
      <c r="AF61" s="4" t="s">
        <v>45</v>
      </c>
      <c r="AG61" s="4" t="s">
        <v>45</v>
      </c>
      <c r="AH61" s="4" t="s">
        <v>45</v>
      </c>
      <c r="AI61" s="4">
        <v>1.5</v>
      </c>
      <c r="AJ61" s="4" t="s">
        <v>996</v>
      </c>
      <c r="AK61" s="4">
        <v>0</v>
      </c>
      <c r="AL61" s="4" t="s">
        <v>1012</v>
      </c>
      <c r="AM61" s="4">
        <v>0</v>
      </c>
      <c r="AN61" s="4">
        <v>0</v>
      </c>
      <c r="AO61" s="4">
        <v>1</v>
      </c>
      <c r="AP61" s="4" t="s">
        <v>45</v>
      </c>
      <c r="AQ61" s="4">
        <v>0</v>
      </c>
      <c r="AR61" s="4" t="s">
        <v>1024</v>
      </c>
      <c r="AS61" s="4">
        <v>0</v>
      </c>
      <c r="AT61" s="4">
        <v>0</v>
      </c>
      <c r="AU61" s="4">
        <v>0</v>
      </c>
      <c r="AV61" s="4" t="s">
        <v>45</v>
      </c>
      <c r="AW61" s="4">
        <v>1</v>
      </c>
      <c r="AX61" s="4">
        <v>0</v>
      </c>
      <c r="AY61" s="4">
        <v>0</v>
      </c>
      <c r="AZ61" s="4">
        <v>0</v>
      </c>
      <c r="BA61" s="4">
        <v>0</v>
      </c>
      <c r="BB61" s="4">
        <v>1</v>
      </c>
      <c r="BC61" s="4">
        <v>1</v>
      </c>
      <c r="BD61" s="4">
        <v>0</v>
      </c>
      <c r="BE61" s="4">
        <v>0</v>
      </c>
      <c r="BF61" s="4">
        <v>0</v>
      </c>
      <c r="BG61" s="39">
        <v>0.7</v>
      </c>
      <c r="BH61" s="39">
        <v>0.15</v>
      </c>
      <c r="BI61" s="39">
        <v>0.05</v>
      </c>
      <c r="BJ61" s="39" t="s">
        <v>1086</v>
      </c>
      <c r="BK61" s="39">
        <v>0</v>
      </c>
      <c r="BL61" s="39">
        <v>1</v>
      </c>
      <c r="BM61" s="39">
        <v>0</v>
      </c>
    </row>
    <row r="62" spans="1:65" x14ac:dyDescent="0.25">
      <c r="A62" t="s">
        <v>171</v>
      </c>
      <c r="B62" s="39">
        <v>1</v>
      </c>
      <c r="C62" s="39">
        <v>1.3</v>
      </c>
      <c r="D62" s="39">
        <v>1</v>
      </c>
      <c r="E62" s="39">
        <v>1</v>
      </c>
      <c r="F62" s="39">
        <v>0</v>
      </c>
      <c r="G62" s="39">
        <v>0</v>
      </c>
      <c r="H62" s="40">
        <v>165.1</v>
      </c>
      <c r="I62" s="41">
        <f>H62/AVERAGE(985,530,315,500,256,230)</f>
        <v>0.35177556818181821</v>
      </c>
      <c r="J62" s="39">
        <f>AVERAGE(1.52,1.47,1)</f>
        <v>1.33</v>
      </c>
      <c r="K62" s="39">
        <v>0.32</v>
      </c>
      <c r="L62" s="39">
        <v>1</v>
      </c>
      <c r="M62" s="39">
        <v>0</v>
      </c>
      <c r="N62" s="4" t="s">
        <v>943</v>
      </c>
      <c r="O62" s="4">
        <v>1</v>
      </c>
      <c r="P62" s="4">
        <v>0</v>
      </c>
      <c r="Q62" s="4" t="s">
        <v>45</v>
      </c>
      <c r="R62" s="4" t="s">
        <v>45</v>
      </c>
      <c r="S62" s="4" t="s">
        <v>45</v>
      </c>
      <c r="T62" s="4" t="s">
        <v>45</v>
      </c>
      <c r="U62" s="4" t="s">
        <v>45</v>
      </c>
      <c r="V62" s="4" t="s">
        <v>45</v>
      </c>
      <c r="W62" s="4" t="s">
        <v>45</v>
      </c>
      <c r="X62" s="4" t="s">
        <v>45</v>
      </c>
      <c r="Y62" s="4" t="s">
        <v>45</v>
      </c>
      <c r="Z62" s="4">
        <v>1</v>
      </c>
      <c r="AA62" s="4" t="s">
        <v>973</v>
      </c>
      <c r="AB62" s="4" t="s">
        <v>977</v>
      </c>
      <c r="AC62" s="4" t="s">
        <v>1064</v>
      </c>
      <c r="AD62" s="39">
        <v>0</v>
      </c>
      <c r="AE62" s="4" t="s">
        <v>45</v>
      </c>
      <c r="AF62" s="4" t="s">
        <v>45</v>
      </c>
      <c r="AG62" s="4" t="s">
        <v>45</v>
      </c>
      <c r="AH62" s="4" t="s">
        <v>45</v>
      </c>
      <c r="AI62" s="4">
        <v>1</v>
      </c>
      <c r="AJ62" s="4" t="s">
        <v>997</v>
      </c>
      <c r="AK62" s="4">
        <v>0</v>
      </c>
      <c r="AL62" s="4" t="s">
        <v>1088</v>
      </c>
      <c r="AM62" s="4">
        <v>0</v>
      </c>
      <c r="AN62" s="4">
        <v>0</v>
      </c>
      <c r="AO62" s="4">
        <v>0</v>
      </c>
      <c r="AP62" s="4" t="s">
        <v>45</v>
      </c>
      <c r="AQ62" s="4">
        <v>0</v>
      </c>
      <c r="AR62" s="4" t="s">
        <v>673</v>
      </c>
      <c r="AS62" s="4">
        <v>0</v>
      </c>
      <c r="AT62" s="4">
        <v>0</v>
      </c>
      <c r="AU62" s="4">
        <v>0</v>
      </c>
      <c r="AV62" s="4" t="s">
        <v>45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1</v>
      </c>
      <c r="BD62" s="4">
        <v>0</v>
      </c>
      <c r="BE62" s="4">
        <v>0</v>
      </c>
      <c r="BF62" s="4">
        <v>1</v>
      </c>
      <c r="BG62" s="39">
        <v>0</v>
      </c>
      <c r="BH62" s="39">
        <v>0</v>
      </c>
      <c r="BI62" s="39">
        <v>0</v>
      </c>
      <c r="BJ62" s="39" t="s">
        <v>1082</v>
      </c>
      <c r="BK62" s="39">
        <v>0</v>
      </c>
      <c r="BL62" s="39">
        <v>0</v>
      </c>
      <c r="BM62" s="39">
        <v>0</v>
      </c>
    </row>
    <row r="63" spans="1:65" x14ac:dyDescent="0.25">
      <c r="A63" t="s">
        <v>1713</v>
      </c>
      <c r="B63" s="39">
        <v>1</v>
      </c>
      <c r="C63" s="39">
        <v>1.1000000000000001</v>
      </c>
      <c r="D63" s="39">
        <v>0</v>
      </c>
      <c r="E63" s="39">
        <v>1</v>
      </c>
      <c r="F63" s="39">
        <v>1</v>
      </c>
      <c r="G63" s="39">
        <v>0</v>
      </c>
      <c r="H63" s="40">
        <f>AVERAGE(21.6,12,10,13.1,30.5,38,15)</f>
        <v>20.028571428571428</v>
      </c>
      <c r="I63" s="41">
        <f>AVERAGE(0.54,1.5,1.5,0.86,0.24,0.54,0.85)</f>
        <v>0.86142857142857143</v>
      </c>
      <c r="J63" s="39">
        <v>1.0900000000000001</v>
      </c>
      <c r="K63" s="42">
        <f>AVERAGE(0.13,0.106,0.134,0.129)</f>
        <v>0.12475</v>
      </c>
      <c r="L63" s="39">
        <v>0</v>
      </c>
      <c r="M63" s="39">
        <v>0</v>
      </c>
      <c r="N63" s="4" t="s">
        <v>940</v>
      </c>
      <c r="O63" s="4">
        <v>0</v>
      </c>
      <c r="P63" s="4">
        <v>0</v>
      </c>
      <c r="Q63" s="4" t="s">
        <v>45</v>
      </c>
      <c r="R63" s="4" t="s">
        <v>45</v>
      </c>
      <c r="S63" s="4" t="s">
        <v>45</v>
      </c>
      <c r="T63" s="4" t="s">
        <v>45</v>
      </c>
      <c r="U63" s="4" t="s">
        <v>45</v>
      </c>
      <c r="V63" s="4" t="s">
        <v>45</v>
      </c>
      <c r="W63" s="4" t="s">
        <v>45</v>
      </c>
      <c r="X63" s="4" t="s">
        <v>45</v>
      </c>
      <c r="Y63" s="4" t="s">
        <v>45</v>
      </c>
      <c r="Z63" s="4">
        <v>0.85</v>
      </c>
      <c r="AA63" s="4" t="s">
        <v>975</v>
      </c>
      <c r="AB63" s="4" t="s">
        <v>979</v>
      </c>
      <c r="AC63" s="4" t="s">
        <v>1064</v>
      </c>
      <c r="AD63" s="39">
        <v>1</v>
      </c>
      <c r="AE63" s="4">
        <v>0.65</v>
      </c>
      <c r="AF63" s="4" t="s">
        <v>1746</v>
      </c>
      <c r="AG63" s="4" t="s">
        <v>993</v>
      </c>
      <c r="AH63" s="4" t="s">
        <v>952</v>
      </c>
      <c r="AI63" s="4">
        <v>1.2</v>
      </c>
      <c r="AJ63" s="4" t="s">
        <v>996</v>
      </c>
      <c r="AK63" s="4">
        <v>0</v>
      </c>
      <c r="AL63" s="4" t="s">
        <v>1006</v>
      </c>
      <c r="AM63" s="4">
        <v>1</v>
      </c>
      <c r="AN63" s="4">
        <v>0.1</v>
      </c>
      <c r="AO63" s="4">
        <v>0.3</v>
      </c>
      <c r="AP63" s="4">
        <v>0.5</v>
      </c>
      <c r="AQ63" s="4">
        <v>0</v>
      </c>
      <c r="AR63" s="4" t="s">
        <v>1024</v>
      </c>
      <c r="AS63" s="4">
        <v>1</v>
      </c>
      <c r="AT63" s="4">
        <v>1</v>
      </c>
      <c r="AU63" s="4">
        <v>0</v>
      </c>
      <c r="AV63" s="4" t="s">
        <v>45</v>
      </c>
      <c r="AW63" s="4">
        <v>0</v>
      </c>
      <c r="AX63" s="4">
        <v>0</v>
      </c>
      <c r="AY63" s="4">
        <v>0</v>
      </c>
      <c r="AZ63" s="4">
        <v>2</v>
      </c>
      <c r="BA63" s="4">
        <v>0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39">
        <v>0.7</v>
      </c>
      <c r="BH63" s="39">
        <v>0.15</v>
      </c>
      <c r="BI63" s="39">
        <v>2.5000000000000001E-2</v>
      </c>
      <c r="BJ63" s="39" t="s">
        <v>1080</v>
      </c>
      <c r="BK63" s="39">
        <v>0</v>
      </c>
      <c r="BL63" s="39">
        <v>0</v>
      </c>
      <c r="BM63" s="39">
        <v>0</v>
      </c>
    </row>
    <row r="64" spans="1:65" s="16" customFormat="1" x14ac:dyDescent="0.25">
      <c r="A64" s="16" t="s">
        <v>177</v>
      </c>
      <c r="B64" s="39">
        <v>1</v>
      </c>
      <c r="C64" s="39">
        <v>1.1000000000000001</v>
      </c>
      <c r="D64" s="39">
        <v>0</v>
      </c>
      <c r="E64" s="39">
        <v>1</v>
      </c>
      <c r="F64" s="39">
        <v>1</v>
      </c>
      <c r="G64" s="39">
        <v>0</v>
      </c>
      <c r="H64" s="40">
        <f>AVERAGE(21.6,12,10,13.1,30.5,38,15)</f>
        <v>20.028571428571428</v>
      </c>
      <c r="I64" s="41">
        <f>AVERAGE(0.54,1.5,1.5,0.86,0.24,0.54,0.85)</f>
        <v>0.86142857142857143</v>
      </c>
      <c r="J64" s="39">
        <v>1.0900000000000001</v>
      </c>
      <c r="K64" s="42">
        <f>AVERAGE(0.13,0.106,0.134,0.129)</f>
        <v>0.12475</v>
      </c>
      <c r="L64" s="39">
        <v>0</v>
      </c>
      <c r="M64" s="39">
        <v>0</v>
      </c>
      <c r="N64" s="4" t="s">
        <v>940</v>
      </c>
      <c r="O64" s="4">
        <v>0</v>
      </c>
      <c r="P64" s="4">
        <v>0</v>
      </c>
      <c r="Q64" s="4" t="s">
        <v>45</v>
      </c>
      <c r="R64" s="4" t="s">
        <v>45</v>
      </c>
      <c r="S64" s="4" t="s">
        <v>45</v>
      </c>
      <c r="T64" s="4" t="s">
        <v>45</v>
      </c>
      <c r="U64" s="4" t="s">
        <v>45</v>
      </c>
      <c r="V64" s="4" t="s">
        <v>45</v>
      </c>
      <c r="W64" s="4" t="s">
        <v>45</v>
      </c>
      <c r="X64" s="4" t="s">
        <v>45</v>
      </c>
      <c r="Y64" s="4" t="s">
        <v>45</v>
      </c>
      <c r="Z64" s="4">
        <v>0.85</v>
      </c>
      <c r="AA64" s="4" t="s">
        <v>975</v>
      </c>
      <c r="AB64" s="4" t="s">
        <v>979</v>
      </c>
      <c r="AC64" s="4" t="s">
        <v>1064</v>
      </c>
      <c r="AD64" s="39">
        <v>1</v>
      </c>
      <c r="AE64" s="4">
        <v>0.65</v>
      </c>
      <c r="AF64" s="4" t="s">
        <v>1746</v>
      </c>
      <c r="AG64" s="4" t="s">
        <v>993</v>
      </c>
      <c r="AH64" s="4" t="s">
        <v>952</v>
      </c>
      <c r="AI64" s="4">
        <v>1.2</v>
      </c>
      <c r="AJ64" s="4" t="s">
        <v>996</v>
      </c>
      <c r="AK64" s="4">
        <v>0</v>
      </c>
      <c r="AL64" s="4" t="s">
        <v>1007</v>
      </c>
      <c r="AM64" s="4">
        <v>1</v>
      </c>
      <c r="AN64" s="4">
        <v>0</v>
      </c>
      <c r="AO64" s="4">
        <v>0</v>
      </c>
      <c r="AP64" s="4">
        <v>0.5</v>
      </c>
      <c r="AQ64" s="4">
        <v>0</v>
      </c>
      <c r="AR64" s="4" t="s">
        <v>1024</v>
      </c>
      <c r="AS64" s="4">
        <v>0</v>
      </c>
      <c r="AT64" s="4">
        <v>1</v>
      </c>
      <c r="AU64" s="4">
        <v>0</v>
      </c>
      <c r="AV64" s="4" t="s">
        <v>45</v>
      </c>
      <c r="AW64" s="4">
        <v>0</v>
      </c>
      <c r="AX64" s="4">
        <v>0</v>
      </c>
      <c r="AY64" s="4">
        <v>0</v>
      </c>
      <c r="AZ64" s="4">
        <v>1</v>
      </c>
      <c r="BA64" s="4">
        <v>0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39">
        <v>0.7</v>
      </c>
      <c r="BH64" s="39">
        <v>0.1</v>
      </c>
      <c r="BI64" s="39">
        <v>2.5000000000000001E-2</v>
      </c>
      <c r="BJ64" s="39" t="s">
        <v>1080</v>
      </c>
      <c r="BK64" s="39">
        <v>0</v>
      </c>
      <c r="BL64" s="39">
        <v>0</v>
      </c>
      <c r="BM64" s="39">
        <v>0</v>
      </c>
    </row>
    <row r="65" spans="1:65" s="16" customFormat="1" x14ac:dyDescent="0.25">
      <c r="A65" s="16" t="s">
        <v>1766</v>
      </c>
      <c r="B65" s="39">
        <v>2</v>
      </c>
      <c r="C65" s="4" t="s">
        <v>1176</v>
      </c>
      <c r="D65" s="39">
        <v>0</v>
      </c>
      <c r="E65" s="39">
        <v>1</v>
      </c>
      <c r="F65" s="39">
        <v>2</v>
      </c>
      <c r="G65" s="39">
        <v>2</v>
      </c>
      <c r="H65" s="40">
        <v>1100</v>
      </c>
      <c r="I65" s="41">
        <v>0.9</v>
      </c>
      <c r="J65" s="39">
        <v>1.19</v>
      </c>
      <c r="K65" s="39" t="s">
        <v>929</v>
      </c>
      <c r="L65" s="39">
        <v>1</v>
      </c>
      <c r="M65" s="39">
        <v>0</v>
      </c>
      <c r="N65" s="4" t="s">
        <v>938</v>
      </c>
      <c r="O65" s="4">
        <v>0</v>
      </c>
      <c r="P65" s="4">
        <v>0</v>
      </c>
      <c r="Q65" s="4" t="s">
        <v>45</v>
      </c>
      <c r="R65" s="4" t="s">
        <v>45</v>
      </c>
      <c r="S65" s="4" t="s">
        <v>45</v>
      </c>
      <c r="T65" s="4" t="s">
        <v>45</v>
      </c>
      <c r="U65" s="4" t="s">
        <v>45</v>
      </c>
      <c r="V65" s="4" t="s">
        <v>45</v>
      </c>
      <c r="W65" s="4" t="s">
        <v>45</v>
      </c>
      <c r="X65" s="4" t="s">
        <v>45</v>
      </c>
      <c r="Y65" s="4" t="s">
        <v>45</v>
      </c>
      <c r="Z65" s="4">
        <v>0.5</v>
      </c>
      <c r="AA65" s="4" t="s">
        <v>975</v>
      </c>
      <c r="AB65" s="4" t="s">
        <v>979</v>
      </c>
      <c r="AC65" s="4" t="s">
        <v>1064</v>
      </c>
      <c r="AD65" s="39">
        <v>1</v>
      </c>
      <c r="AE65" s="4">
        <v>0.45</v>
      </c>
      <c r="AF65" s="4" t="s">
        <v>1746</v>
      </c>
      <c r="AG65" s="4" t="s">
        <v>993</v>
      </c>
      <c r="AH65" s="4" t="s">
        <v>952</v>
      </c>
      <c r="AI65" s="4">
        <v>1.2</v>
      </c>
      <c r="AJ65" s="4" t="s">
        <v>1161</v>
      </c>
      <c r="AK65" s="4">
        <v>0</v>
      </c>
      <c r="AL65" s="4" t="s">
        <v>1184</v>
      </c>
      <c r="AM65" s="4">
        <v>0</v>
      </c>
      <c r="AN65" s="4">
        <v>1</v>
      </c>
      <c r="AO65" s="4">
        <v>1</v>
      </c>
      <c r="AP65" s="4" t="s">
        <v>45</v>
      </c>
      <c r="AQ65" s="4">
        <v>0</v>
      </c>
      <c r="AR65" s="4" t="s">
        <v>1024</v>
      </c>
      <c r="AS65" s="4">
        <v>1</v>
      </c>
      <c r="AT65" s="4">
        <v>1</v>
      </c>
      <c r="AU65" s="4">
        <v>0</v>
      </c>
      <c r="AV65" s="4" t="s">
        <v>45</v>
      </c>
      <c r="AW65" s="4">
        <v>1</v>
      </c>
      <c r="AX65" s="4">
        <v>1</v>
      </c>
      <c r="AY65" s="4">
        <v>1</v>
      </c>
      <c r="AZ65" s="4">
        <v>2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39">
        <v>2.5</v>
      </c>
      <c r="BH65" s="39">
        <v>0.5</v>
      </c>
      <c r="BI65" s="39">
        <v>0.25</v>
      </c>
      <c r="BJ65" s="39" t="s">
        <v>1080</v>
      </c>
      <c r="BK65" s="39">
        <v>1</v>
      </c>
      <c r="BL65" s="39">
        <v>0</v>
      </c>
      <c r="BM65" s="39">
        <v>1</v>
      </c>
    </row>
    <row r="66" spans="1:65" s="16" customFormat="1" x14ac:dyDescent="0.25">
      <c r="A66" s="16" t="s">
        <v>1765</v>
      </c>
      <c r="B66" s="39">
        <v>2</v>
      </c>
      <c r="C66" s="4" t="s">
        <v>1176</v>
      </c>
      <c r="D66" s="39">
        <v>0</v>
      </c>
      <c r="E66" s="39">
        <v>1</v>
      </c>
      <c r="F66" s="39">
        <v>2</v>
      </c>
      <c r="G66" s="39">
        <v>2</v>
      </c>
      <c r="H66" s="40">
        <v>1250</v>
      </c>
      <c r="I66" s="41">
        <v>0.9</v>
      </c>
      <c r="J66" s="39">
        <v>1.27</v>
      </c>
      <c r="K66" s="39" t="s">
        <v>929</v>
      </c>
      <c r="L66" s="39">
        <v>1</v>
      </c>
      <c r="M66" s="39">
        <v>0</v>
      </c>
      <c r="N66" s="4" t="s">
        <v>938</v>
      </c>
      <c r="O66" s="4">
        <v>0</v>
      </c>
      <c r="P66" s="4">
        <v>0</v>
      </c>
      <c r="Q66" s="4" t="s">
        <v>45</v>
      </c>
      <c r="R66" s="4" t="s">
        <v>45</v>
      </c>
      <c r="S66" s="4" t="s">
        <v>45</v>
      </c>
      <c r="T66" s="4" t="s">
        <v>45</v>
      </c>
      <c r="U66" s="4" t="s">
        <v>45</v>
      </c>
      <c r="V66" s="4" t="s">
        <v>45</v>
      </c>
      <c r="W66" s="4" t="s">
        <v>45</v>
      </c>
      <c r="X66" s="4" t="s">
        <v>45</v>
      </c>
      <c r="Y66" s="4" t="s">
        <v>45</v>
      </c>
      <c r="Z66" s="4">
        <v>0.5</v>
      </c>
      <c r="AA66" s="4" t="s">
        <v>975</v>
      </c>
      <c r="AB66" s="4" t="s">
        <v>979</v>
      </c>
      <c r="AC66" s="4" t="s">
        <v>1064</v>
      </c>
      <c r="AD66" s="39">
        <v>1</v>
      </c>
      <c r="AE66" s="4">
        <v>0.45</v>
      </c>
      <c r="AF66" s="4" t="s">
        <v>1746</v>
      </c>
      <c r="AG66" s="4" t="s">
        <v>993</v>
      </c>
      <c r="AH66" s="4" t="s">
        <v>952</v>
      </c>
      <c r="AI66" s="4">
        <v>1.2</v>
      </c>
      <c r="AJ66" s="4" t="s">
        <v>1161</v>
      </c>
      <c r="AK66" s="4">
        <v>0</v>
      </c>
      <c r="AL66" s="4" t="s">
        <v>1184</v>
      </c>
      <c r="AM66" s="4">
        <v>0</v>
      </c>
      <c r="AN66" s="4">
        <v>1</v>
      </c>
      <c r="AO66" s="4">
        <v>1</v>
      </c>
      <c r="AP66" s="4" t="s">
        <v>45</v>
      </c>
      <c r="AQ66" s="4">
        <v>0</v>
      </c>
      <c r="AR66" s="4" t="s">
        <v>1024</v>
      </c>
      <c r="AS66" s="4">
        <v>1</v>
      </c>
      <c r="AT66" s="4">
        <v>1</v>
      </c>
      <c r="AU66" s="4">
        <v>0</v>
      </c>
      <c r="AV66" s="4" t="s">
        <v>45</v>
      </c>
      <c r="AW66" s="4">
        <v>1</v>
      </c>
      <c r="AX66" s="4">
        <v>1</v>
      </c>
      <c r="AY66" s="4">
        <v>1</v>
      </c>
      <c r="AZ66" s="4">
        <v>2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39">
        <v>2.5</v>
      </c>
      <c r="BH66" s="39">
        <v>0.5</v>
      </c>
      <c r="BI66" s="39">
        <v>0.25</v>
      </c>
      <c r="BJ66" s="39" t="s">
        <v>1080</v>
      </c>
      <c r="BK66" s="39">
        <v>1</v>
      </c>
      <c r="BL66" s="39">
        <v>0</v>
      </c>
      <c r="BM66" s="39">
        <v>1</v>
      </c>
    </row>
    <row r="67" spans="1:65" s="16" customFormat="1" x14ac:dyDescent="0.25">
      <c r="A67" s="16" t="s">
        <v>1767</v>
      </c>
      <c r="B67" s="39">
        <v>2</v>
      </c>
      <c r="C67" s="4" t="s">
        <v>1176</v>
      </c>
      <c r="D67" s="39">
        <v>0</v>
      </c>
      <c r="E67" s="39">
        <v>5</v>
      </c>
      <c r="F67" s="39">
        <v>2</v>
      </c>
      <c r="G67" s="39">
        <v>2</v>
      </c>
      <c r="H67" s="40">
        <v>1100</v>
      </c>
      <c r="I67" s="41">
        <v>0.9</v>
      </c>
      <c r="J67" s="39">
        <v>1.19</v>
      </c>
      <c r="K67" s="39" t="s">
        <v>929</v>
      </c>
      <c r="L67" s="39">
        <v>1</v>
      </c>
      <c r="M67" s="39">
        <v>0</v>
      </c>
      <c r="N67" s="4" t="s">
        <v>45</v>
      </c>
      <c r="O67" s="4">
        <v>0</v>
      </c>
      <c r="P67" s="4">
        <v>1</v>
      </c>
      <c r="Q67" s="4">
        <v>0.8</v>
      </c>
      <c r="R67" s="4" t="s">
        <v>954</v>
      </c>
      <c r="S67" s="4" t="s">
        <v>957</v>
      </c>
      <c r="T67" s="4" t="s">
        <v>955</v>
      </c>
      <c r="U67" s="4">
        <v>2</v>
      </c>
      <c r="V67" s="4">
        <v>0.7</v>
      </c>
      <c r="W67" s="4" t="s">
        <v>965</v>
      </c>
      <c r="X67" s="4" t="s">
        <v>966</v>
      </c>
      <c r="Y67" s="4" t="s">
        <v>952</v>
      </c>
      <c r="Z67" s="4" t="s">
        <v>45</v>
      </c>
      <c r="AA67" s="4" t="s">
        <v>45</v>
      </c>
      <c r="AB67" s="4" t="s">
        <v>45</v>
      </c>
      <c r="AC67" s="4" t="s">
        <v>45</v>
      </c>
      <c r="AD67" s="39">
        <v>0</v>
      </c>
      <c r="AE67" s="4" t="s">
        <v>45</v>
      </c>
      <c r="AF67" s="4" t="s">
        <v>45</v>
      </c>
      <c r="AG67" s="4" t="s">
        <v>45</v>
      </c>
      <c r="AH67" s="4" t="s">
        <v>45</v>
      </c>
      <c r="AI67" s="4">
        <v>1</v>
      </c>
      <c r="AJ67" s="4" t="s">
        <v>1161</v>
      </c>
      <c r="AK67" s="4">
        <v>0</v>
      </c>
      <c r="AL67" s="4" t="s">
        <v>1177</v>
      </c>
      <c r="AM67" s="4">
        <v>0</v>
      </c>
      <c r="AN67" s="4">
        <v>0.1</v>
      </c>
      <c r="AO67" s="4">
        <v>0.3</v>
      </c>
      <c r="AP67" s="4" t="s">
        <v>45</v>
      </c>
      <c r="AQ67" s="4">
        <v>0</v>
      </c>
      <c r="AR67" s="4" t="s">
        <v>1026</v>
      </c>
      <c r="AS67" s="4">
        <v>0</v>
      </c>
      <c r="AT67" s="4">
        <v>0</v>
      </c>
      <c r="AU67" s="4">
        <v>0</v>
      </c>
      <c r="AV67" s="4" t="s">
        <v>45</v>
      </c>
      <c r="AW67" s="4">
        <v>1</v>
      </c>
      <c r="AX67" s="4">
        <v>1</v>
      </c>
      <c r="AY67" s="4">
        <v>1</v>
      </c>
      <c r="AZ67" s="4">
        <v>2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39">
        <v>1</v>
      </c>
      <c r="BH67" s="39">
        <v>0.25</v>
      </c>
      <c r="BI67" s="39">
        <v>0.1</v>
      </c>
      <c r="BJ67" s="39" t="s">
        <v>1080</v>
      </c>
      <c r="BK67" s="39">
        <v>0</v>
      </c>
      <c r="BL67" s="39">
        <v>1</v>
      </c>
      <c r="BM67" s="39">
        <v>0</v>
      </c>
    </row>
    <row r="68" spans="1:65" s="16" customFormat="1" x14ac:dyDescent="0.25">
      <c r="A68" s="16" t="s">
        <v>1768</v>
      </c>
      <c r="B68" s="39">
        <v>2</v>
      </c>
      <c r="C68" s="4" t="s">
        <v>1176</v>
      </c>
      <c r="D68" s="39">
        <v>0</v>
      </c>
      <c r="E68" s="39">
        <v>1</v>
      </c>
      <c r="F68" s="39">
        <v>2</v>
      </c>
      <c r="G68" s="39">
        <v>2</v>
      </c>
      <c r="H68" s="40">
        <v>1530</v>
      </c>
      <c r="I68" s="41">
        <v>0.9</v>
      </c>
      <c r="J68" s="39">
        <v>1.42</v>
      </c>
      <c r="K68" s="39" t="s">
        <v>929</v>
      </c>
      <c r="L68" s="39">
        <v>1</v>
      </c>
      <c r="M68" s="39">
        <v>1</v>
      </c>
      <c r="N68" s="4" t="s">
        <v>938</v>
      </c>
      <c r="O68" s="4">
        <v>0</v>
      </c>
      <c r="P68" s="4">
        <v>0</v>
      </c>
      <c r="Q68" s="4" t="s">
        <v>45</v>
      </c>
      <c r="R68" s="4" t="s">
        <v>45</v>
      </c>
      <c r="S68" s="4" t="s">
        <v>45</v>
      </c>
      <c r="T68" s="4" t="s">
        <v>45</v>
      </c>
      <c r="U68" s="4" t="s">
        <v>45</v>
      </c>
      <c r="V68" s="4" t="s">
        <v>45</v>
      </c>
      <c r="W68" s="4" t="s">
        <v>45</v>
      </c>
      <c r="X68" s="4" t="s">
        <v>45</v>
      </c>
      <c r="Y68" s="4" t="s">
        <v>45</v>
      </c>
      <c r="Z68" s="4">
        <v>0.6</v>
      </c>
      <c r="AA68" s="4" t="s">
        <v>975</v>
      </c>
      <c r="AB68" s="4" t="s">
        <v>978</v>
      </c>
      <c r="AC68" s="4" t="s">
        <v>1064</v>
      </c>
      <c r="AD68" s="39">
        <v>1</v>
      </c>
      <c r="AE68" s="4">
        <v>0.45</v>
      </c>
      <c r="AF68" s="4" t="s">
        <v>1746</v>
      </c>
      <c r="AG68" s="4" t="s">
        <v>993</v>
      </c>
      <c r="AH68" s="4" t="s">
        <v>952</v>
      </c>
      <c r="AI68" s="4">
        <v>1.2</v>
      </c>
      <c r="AJ68" s="4" t="s">
        <v>1161</v>
      </c>
      <c r="AK68" s="4">
        <v>0</v>
      </c>
      <c r="AL68" s="4" t="s">
        <v>1175</v>
      </c>
      <c r="AM68" s="4">
        <v>0</v>
      </c>
      <c r="AN68" s="4">
        <v>1</v>
      </c>
      <c r="AO68" s="4">
        <v>1</v>
      </c>
      <c r="AP68" s="4" t="s">
        <v>45</v>
      </c>
      <c r="AQ68" s="4">
        <v>0</v>
      </c>
      <c r="AR68" s="4" t="s">
        <v>1026</v>
      </c>
      <c r="AS68" s="4">
        <v>1</v>
      </c>
      <c r="AT68" s="4">
        <v>1</v>
      </c>
      <c r="AU68" s="4">
        <v>0</v>
      </c>
      <c r="AV68" s="4" t="s">
        <v>45</v>
      </c>
      <c r="AW68" s="4">
        <v>1</v>
      </c>
      <c r="AX68" s="4">
        <v>1</v>
      </c>
      <c r="AY68" s="4">
        <v>1</v>
      </c>
      <c r="AZ68" s="4">
        <v>2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39">
        <v>1</v>
      </c>
      <c r="BH68" s="39">
        <v>0.35</v>
      </c>
      <c r="BI68" s="39">
        <v>0.15</v>
      </c>
      <c r="BJ68" s="39" t="s">
        <v>1087</v>
      </c>
      <c r="BK68" s="39">
        <v>1</v>
      </c>
      <c r="BL68" s="39">
        <v>0</v>
      </c>
      <c r="BM68" s="39">
        <v>1</v>
      </c>
    </row>
    <row r="69" spans="1:65" s="16" customFormat="1" x14ac:dyDescent="0.25">
      <c r="A69" s="16" t="s">
        <v>1769</v>
      </c>
      <c r="B69" s="39">
        <v>2</v>
      </c>
      <c r="C69" s="4" t="s">
        <v>1176</v>
      </c>
      <c r="D69" s="39">
        <v>0</v>
      </c>
      <c r="E69" s="39">
        <v>5</v>
      </c>
      <c r="F69" s="39">
        <v>2</v>
      </c>
      <c r="G69" s="39">
        <v>2</v>
      </c>
      <c r="H69" s="40">
        <v>1530</v>
      </c>
      <c r="I69" s="41">
        <v>0.9</v>
      </c>
      <c r="J69" s="39">
        <v>1.42</v>
      </c>
      <c r="K69" s="39" t="s">
        <v>929</v>
      </c>
      <c r="L69" s="39">
        <v>1</v>
      </c>
      <c r="M69" s="39">
        <v>0</v>
      </c>
      <c r="N69" s="4" t="s">
        <v>938</v>
      </c>
      <c r="O69" s="4">
        <v>0</v>
      </c>
      <c r="P69" s="4">
        <v>0</v>
      </c>
      <c r="Q69" s="4" t="s">
        <v>45</v>
      </c>
      <c r="R69" s="4" t="s">
        <v>45</v>
      </c>
      <c r="S69" s="4" t="s">
        <v>45</v>
      </c>
      <c r="T69" s="4" t="s">
        <v>45</v>
      </c>
      <c r="U69" s="4" t="s">
        <v>45</v>
      </c>
      <c r="V69" s="4" t="s">
        <v>45</v>
      </c>
      <c r="W69" s="4" t="s">
        <v>45</v>
      </c>
      <c r="X69" s="4" t="s">
        <v>45</v>
      </c>
      <c r="Y69" s="4" t="s">
        <v>45</v>
      </c>
      <c r="Z69" s="4">
        <v>0.8</v>
      </c>
      <c r="AA69" s="4" t="s">
        <v>1180</v>
      </c>
      <c r="AB69" s="4" t="s">
        <v>1179</v>
      </c>
      <c r="AC69" s="4" t="s">
        <v>952</v>
      </c>
      <c r="AD69" s="39">
        <v>0</v>
      </c>
      <c r="AE69" s="4" t="s">
        <v>45</v>
      </c>
      <c r="AF69" s="4" t="s">
        <v>45</v>
      </c>
      <c r="AG69" s="4" t="s">
        <v>45</v>
      </c>
      <c r="AH69" s="4" t="s">
        <v>45</v>
      </c>
      <c r="AI69" s="4">
        <v>1</v>
      </c>
      <c r="AJ69" s="4" t="s">
        <v>1161</v>
      </c>
      <c r="AK69" s="4">
        <v>0</v>
      </c>
      <c r="AL69" s="4" t="s">
        <v>1171</v>
      </c>
      <c r="AM69" s="4">
        <v>0</v>
      </c>
      <c r="AN69" s="4">
        <v>2.5000000000000001E-2</v>
      </c>
      <c r="AO69" s="4">
        <v>0.1</v>
      </c>
      <c r="AP69" s="4" t="s">
        <v>45</v>
      </c>
      <c r="AQ69" s="4">
        <v>0</v>
      </c>
      <c r="AR69" s="4" t="s">
        <v>1026</v>
      </c>
      <c r="AS69" s="4">
        <v>0</v>
      </c>
      <c r="AT69" s="4">
        <v>0</v>
      </c>
      <c r="AU69" s="4">
        <v>0</v>
      </c>
      <c r="AV69" s="4" t="s">
        <v>45</v>
      </c>
      <c r="AW69" s="4">
        <v>1</v>
      </c>
      <c r="AX69" s="4">
        <v>1</v>
      </c>
      <c r="AY69" s="4">
        <v>1</v>
      </c>
      <c r="AZ69" s="4">
        <v>2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39">
        <v>1</v>
      </c>
      <c r="BH69" s="39">
        <v>0.25</v>
      </c>
      <c r="BI69" s="39">
        <v>0.1</v>
      </c>
      <c r="BJ69" s="39" t="s">
        <v>1082</v>
      </c>
      <c r="BK69" s="39">
        <v>0</v>
      </c>
      <c r="BL69" s="39">
        <v>0</v>
      </c>
      <c r="BM69" s="39">
        <v>0</v>
      </c>
    </row>
    <row r="70" spans="1:65" s="16" customFormat="1" x14ac:dyDescent="0.25">
      <c r="A70" s="16" t="s">
        <v>1178</v>
      </c>
      <c r="B70" s="39">
        <v>2</v>
      </c>
      <c r="C70" s="4" t="s">
        <v>1176</v>
      </c>
      <c r="D70" s="39">
        <v>0</v>
      </c>
      <c r="E70" s="39">
        <v>5</v>
      </c>
      <c r="F70" s="39">
        <v>2</v>
      </c>
      <c r="G70" s="39">
        <v>2</v>
      </c>
      <c r="H70" s="40">
        <v>950</v>
      </c>
      <c r="I70" s="41">
        <v>0.9</v>
      </c>
      <c r="J70" s="39">
        <v>1.1100000000000001</v>
      </c>
      <c r="K70" s="39" t="s">
        <v>929</v>
      </c>
      <c r="L70" s="39">
        <v>1</v>
      </c>
      <c r="M70" s="39">
        <v>0</v>
      </c>
      <c r="N70" s="4" t="s">
        <v>938</v>
      </c>
      <c r="O70" s="4">
        <v>0</v>
      </c>
      <c r="P70" s="4">
        <v>0</v>
      </c>
      <c r="Q70" s="4" t="s">
        <v>45</v>
      </c>
      <c r="R70" s="4" t="s">
        <v>45</v>
      </c>
      <c r="S70" s="4" t="s">
        <v>45</v>
      </c>
      <c r="T70" s="4" t="s">
        <v>45</v>
      </c>
      <c r="U70" s="4" t="s">
        <v>45</v>
      </c>
      <c r="V70" s="4" t="s">
        <v>45</v>
      </c>
      <c r="W70" s="4" t="s">
        <v>45</v>
      </c>
      <c r="X70" s="4" t="s">
        <v>45</v>
      </c>
      <c r="Y70" s="4" t="s">
        <v>45</v>
      </c>
      <c r="Z70" s="4">
        <v>0.8</v>
      </c>
      <c r="AA70" s="4" t="s">
        <v>1180</v>
      </c>
      <c r="AB70" s="4" t="s">
        <v>1179</v>
      </c>
      <c r="AC70" s="4" t="s">
        <v>952</v>
      </c>
      <c r="AD70" s="39">
        <v>0</v>
      </c>
      <c r="AE70" s="4" t="s">
        <v>45</v>
      </c>
      <c r="AF70" s="4" t="s">
        <v>45</v>
      </c>
      <c r="AG70" s="4" t="s">
        <v>45</v>
      </c>
      <c r="AH70" s="4" t="s">
        <v>45</v>
      </c>
      <c r="AI70" s="4">
        <v>1</v>
      </c>
      <c r="AJ70" s="4" t="s">
        <v>1161</v>
      </c>
      <c r="AK70" s="4">
        <v>0</v>
      </c>
      <c r="AL70" s="4" t="s">
        <v>1171</v>
      </c>
      <c r="AM70" s="4">
        <v>0</v>
      </c>
      <c r="AN70" s="4">
        <v>2.5000000000000001E-2</v>
      </c>
      <c r="AO70" s="4">
        <v>0.1</v>
      </c>
      <c r="AP70" s="4" t="s">
        <v>45</v>
      </c>
      <c r="AQ70" s="4">
        <v>0</v>
      </c>
      <c r="AR70" s="4" t="s">
        <v>1026</v>
      </c>
      <c r="AS70" s="4">
        <v>0</v>
      </c>
      <c r="AT70" s="4">
        <v>0</v>
      </c>
      <c r="AU70" s="4">
        <v>0</v>
      </c>
      <c r="AV70" s="4" t="s">
        <v>45</v>
      </c>
      <c r="AW70" s="4">
        <v>1</v>
      </c>
      <c r="AX70" s="4">
        <v>1</v>
      </c>
      <c r="AY70" s="4">
        <v>1</v>
      </c>
      <c r="AZ70" s="4">
        <v>2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39">
        <v>1</v>
      </c>
      <c r="BH70" s="39">
        <v>0.25</v>
      </c>
      <c r="BI70" s="39">
        <v>0.1</v>
      </c>
      <c r="BJ70" s="39" t="s">
        <v>1082</v>
      </c>
      <c r="BK70" s="39">
        <v>0</v>
      </c>
      <c r="BL70" s="39">
        <v>0</v>
      </c>
      <c r="BM70" s="39">
        <v>0</v>
      </c>
    </row>
    <row r="71" spans="1:65" s="16" customFormat="1" x14ac:dyDescent="0.25">
      <c r="A71" s="16" t="s">
        <v>1285</v>
      </c>
      <c r="B71" s="39">
        <v>2</v>
      </c>
      <c r="C71" s="39">
        <v>1</v>
      </c>
      <c r="D71" s="39">
        <v>1</v>
      </c>
      <c r="E71" s="39">
        <v>5</v>
      </c>
      <c r="F71" s="39">
        <v>2</v>
      </c>
      <c r="G71" s="39">
        <v>2</v>
      </c>
      <c r="H71" s="40">
        <v>95</v>
      </c>
      <c r="I71" s="41">
        <f>H71/1000/AVERAGE(9.5,4.6)</f>
        <v>1.3475177304964539E-2</v>
      </c>
      <c r="J71" s="39">
        <v>1.2</v>
      </c>
      <c r="K71" s="39">
        <v>0.32</v>
      </c>
      <c r="L71" s="39">
        <v>1</v>
      </c>
      <c r="M71" s="39">
        <v>1</v>
      </c>
      <c r="N71" s="4" t="s">
        <v>938</v>
      </c>
      <c r="O71" s="4">
        <v>0</v>
      </c>
      <c r="P71" s="4">
        <v>0</v>
      </c>
      <c r="Q71" s="4" t="s">
        <v>45</v>
      </c>
      <c r="R71" s="4" t="s">
        <v>45</v>
      </c>
      <c r="S71" s="4" t="s">
        <v>45</v>
      </c>
      <c r="T71" s="4" t="s">
        <v>45</v>
      </c>
      <c r="U71" s="4" t="s">
        <v>45</v>
      </c>
      <c r="V71" s="4" t="s">
        <v>45</v>
      </c>
      <c r="W71" s="4" t="s">
        <v>45</v>
      </c>
      <c r="X71" s="4" t="s">
        <v>45</v>
      </c>
      <c r="Y71" s="4" t="s">
        <v>45</v>
      </c>
      <c r="Z71" s="4">
        <v>1.2</v>
      </c>
      <c r="AA71" s="4" t="s">
        <v>974</v>
      </c>
      <c r="AB71" s="4" t="s">
        <v>976</v>
      </c>
      <c r="AC71" s="4" t="s">
        <v>1064</v>
      </c>
      <c r="AD71" s="39">
        <v>0</v>
      </c>
      <c r="AE71" s="4" t="s">
        <v>45</v>
      </c>
      <c r="AF71" s="4" t="s">
        <v>45</v>
      </c>
      <c r="AG71" s="4" t="s">
        <v>45</v>
      </c>
      <c r="AH71" s="4" t="s">
        <v>45</v>
      </c>
      <c r="AI71" s="4">
        <v>1</v>
      </c>
      <c r="AJ71" s="4" t="s">
        <v>999</v>
      </c>
      <c r="AK71" s="4">
        <v>0</v>
      </c>
      <c r="AL71" s="4" t="s">
        <v>1285</v>
      </c>
      <c r="AM71" s="4">
        <v>0</v>
      </c>
      <c r="AN71" s="4">
        <v>2.5000000000000001E-2</v>
      </c>
      <c r="AO71" s="4">
        <v>0.1</v>
      </c>
      <c r="AP71" s="4" t="s">
        <v>45</v>
      </c>
      <c r="AQ71" s="4">
        <v>0</v>
      </c>
      <c r="AR71" s="4" t="s">
        <v>673</v>
      </c>
      <c r="AS71" s="4">
        <v>0</v>
      </c>
      <c r="AT71" s="4">
        <v>0</v>
      </c>
      <c r="AU71" s="4">
        <v>0</v>
      </c>
      <c r="AV71" s="4" t="s">
        <v>45</v>
      </c>
      <c r="AW71" s="4">
        <v>0</v>
      </c>
      <c r="AX71" s="4">
        <v>0</v>
      </c>
      <c r="AY71" s="4">
        <v>0</v>
      </c>
      <c r="AZ71" s="4">
        <v>2</v>
      </c>
      <c r="BA71" s="4">
        <v>0</v>
      </c>
      <c r="BB71" s="4">
        <v>0</v>
      </c>
      <c r="BC71" s="4">
        <v>1</v>
      </c>
      <c r="BD71" s="4">
        <v>0</v>
      </c>
      <c r="BE71" s="4">
        <v>0</v>
      </c>
      <c r="BF71" s="4">
        <v>0</v>
      </c>
      <c r="BG71" s="39">
        <v>0.25</v>
      </c>
      <c r="BH71" s="39">
        <v>0.1</v>
      </c>
      <c r="BI71" s="39">
        <v>2.5000000000000001E-2</v>
      </c>
      <c r="BJ71" s="39" t="s">
        <v>1082</v>
      </c>
      <c r="BK71" s="39">
        <v>0</v>
      </c>
      <c r="BL71" s="39">
        <v>0</v>
      </c>
      <c r="BM71" s="39">
        <v>0</v>
      </c>
    </row>
    <row r="72" spans="1:65" s="16" customFormat="1" x14ac:dyDescent="0.25">
      <c r="A72" s="16" t="s">
        <v>1775</v>
      </c>
      <c r="B72" s="39">
        <v>0</v>
      </c>
      <c r="C72" s="39">
        <v>1.1000000000000001</v>
      </c>
      <c r="D72" s="39">
        <v>1</v>
      </c>
      <c r="E72" s="39">
        <v>1</v>
      </c>
      <c r="F72" s="39">
        <v>0</v>
      </c>
      <c r="G72" s="39">
        <v>0</v>
      </c>
      <c r="H72" s="40">
        <v>267</v>
      </c>
      <c r="I72" s="41">
        <f>H72/1000/54</f>
        <v>4.9444444444444449E-3</v>
      </c>
      <c r="J72" s="39">
        <v>2.7</v>
      </c>
      <c r="K72" s="39">
        <v>0.32</v>
      </c>
      <c r="L72" s="39">
        <v>1</v>
      </c>
      <c r="M72" s="39">
        <v>0</v>
      </c>
      <c r="N72" s="4" t="s">
        <v>45</v>
      </c>
      <c r="O72" s="4">
        <v>1</v>
      </c>
      <c r="P72" s="4">
        <v>0</v>
      </c>
      <c r="Q72" s="4" t="s">
        <v>45</v>
      </c>
      <c r="R72" s="4" t="s">
        <v>45</v>
      </c>
      <c r="S72" s="4" t="s">
        <v>45</v>
      </c>
      <c r="T72" s="4" t="s">
        <v>45</v>
      </c>
      <c r="U72" s="4" t="s">
        <v>45</v>
      </c>
      <c r="V72" s="4" t="s">
        <v>45</v>
      </c>
      <c r="W72" s="4" t="s">
        <v>45</v>
      </c>
      <c r="X72" s="4" t="s">
        <v>45</v>
      </c>
      <c r="Y72" s="4" t="s">
        <v>45</v>
      </c>
      <c r="Z72" s="4" t="s">
        <v>45</v>
      </c>
      <c r="AA72" s="4" t="s">
        <v>45</v>
      </c>
      <c r="AB72" s="4" t="s">
        <v>45</v>
      </c>
      <c r="AC72" s="4" t="s">
        <v>45</v>
      </c>
      <c r="AD72" s="39">
        <v>1</v>
      </c>
      <c r="AE72" s="4">
        <v>1.2</v>
      </c>
      <c r="AF72" s="4" t="s">
        <v>989</v>
      </c>
      <c r="AG72" s="4" t="s">
        <v>993</v>
      </c>
      <c r="AH72" s="4" t="s">
        <v>952</v>
      </c>
      <c r="AI72" s="4">
        <v>1</v>
      </c>
      <c r="AJ72" s="4" t="s">
        <v>999</v>
      </c>
      <c r="AK72" s="4">
        <v>0</v>
      </c>
      <c r="AL72" s="4" t="s">
        <v>421</v>
      </c>
      <c r="AM72" s="4">
        <v>0</v>
      </c>
      <c r="AN72" s="4">
        <v>2.5000000000000001E-2</v>
      </c>
      <c r="AO72" s="4">
        <v>0.1</v>
      </c>
      <c r="AP72" s="4" t="s">
        <v>45</v>
      </c>
      <c r="AQ72" s="4">
        <v>0</v>
      </c>
      <c r="AR72" s="4" t="s">
        <v>673</v>
      </c>
      <c r="AS72" s="4">
        <v>0</v>
      </c>
      <c r="AT72" s="4">
        <v>0</v>
      </c>
      <c r="AU72" s="4">
        <v>1</v>
      </c>
      <c r="AV72" s="4" t="s">
        <v>45</v>
      </c>
      <c r="AW72" s="4">
        <v>0</v>
      </c>
      <c r="AX72" s="4">
        <v>0</v>
      </c>
      <c r="AY72" s="4">
        <v>0</v>
      </c>
      <c r="AZ72" s="4">
        <v>2</v>
      </c>
      <c r="BA72" s="4">
        <v>0</v>
      </c>
      <c r="BB72" s="4">
        <v>0</v>
      </c>
      <c r="BC72" s="4">
        <v>1</v>
      </c>
      <c r="BD72" s="4">
        <v>0</v>
      </c>
      <c r="BE72" s="4">
        <v>0</v>
      </c>
      <c r="BF72" s="4">
        <v>1</v>
      </c>
      <c r="BG72" s="39">
        <v>0.25</v>
      </c>
      <c r="BH72" s="39">
        <v>0</v>
      </c>
      <c r="BI72" s="39">
        <v>0</v>
      </c>
      <c r="BJ72" s="39" t="s">
        <v>1080</v>
      </c>
      <c r="BK72" s="39">
        <v>1</v>
      </c>
      <c r="BL72" s="39">
        <v>0</v>
      </c>
      <c r="BM72" s="39">
        <v>0</v>
      </c>
    </row>
    <row r="73" spans="1:65" s="16" customFormat="1" x14ac:dyDescent="0.25">
      <c r="A73" s="16" t="s">
        <v>1776</v>
      </c>
      <c r="B73" s="39">
        <v>1</v>
      </c>
      <c r="C73" s="39">
        <v>1.1000000000000001</v>
      </c>
      <c r="D73" s="39">
        <v>0</v>
      </c>
      <c r="E73" s="39">
        <v>1</v>
      </c>
      <c r="F73" s="39">
        <v>0</v>
      </c>
      <c r="G73" s="39">
        <v>0</v>
      </c>
      <c r="H73" s="40">
        <f>AVERAGE(169.2,194.5)</f>
        <v>181.85</v>
      </c>
      <c r="I73" s="41">
        <f>AVERAGE(12.22%,12.21%)</f>
        <v>0.12215000000000001</v>
      </c>
      <c r="J73" s="39">
        <v>0.89</v>
      </c>
      <c r="K73" s="39">
        <v>0.32</v>
      </c>
      <c r="L73" s="39">
        <v>1</v>
      </c>
      <c r="M73" s="39">
        <v>1</v>
      </c>
      <c r="N73" s="4" t="s">
        <v>938</v>
      </c>
      <c r="O73" s="4">
        <v>0</v>
      </c>
      <c r="P73" s="4">
        <v>0</v>
      </c>
      <c r="Q73" s="4" t="s">
        <v>45</v>
      </c>
      <c r="R73" s="4" t="s">
        <v>45</v>
      </c>
      <c r="S73" s="4" t="s">
        <v>45</v>
      </c>
      <c r="T73" s="4" t="s">
        <v>45</v>
      </c>
      <c r="U73" s="4">
        <v>3</v>
      </c>
      <c r="V73" s="4">
        <v>1.3</v>
      </c>
      <c r="W73" s="4" t="s">
        <v>1318</v>
      </c>
      <c r="X73" s="4" t="s">
        <v>968</v>
      </c>
      <c r="Y73" s="4" t="s">
        <v>1318</v>
      </c>
      <c r="Z73" s="4">
        <v>1.2</v>
      </c>
      <c r="AA73" s="4" t="s">
        <v>974</v>
      </c>
      <c r="AB73" s="4" t="s">
        <v>976</v>
      </c>
      <c r="AC73" s="4" t="s">
        <v>1064</v>
      </c>
      <c r="AD73" s="39">
        <v>1</v>
      </c>
      <c r="AE73" s="4">
        <v>1.1000000000000001</v>
      </c>
      <c r="AF73" s="4" t="s">
        <v>1321</v>
      </c>
      <c r="AG73" s="4" t="s">
        <v>993</v>
      </c>
      <c r="AH73" s="4" t="s">
        <v>952</v>
      </c>
      <c r="AI73" s="4">
        <v>1</v>
      </c>
      <c r="AJ73" s="4" t="s">
        <v>999</v>
      </c>
      <c r="AK73" s="4">
        <v>0</v>
      </c>
      <c r="AL73" s="4" t="s">
        <v>1316</v>
      </c>
      <c r="AM73" s="4">
        <v>0</v>
      </c>
      <c r="AN73" s="4">
        <v>0.1</v>
      </c>
      <c r="AO73" s="4">
        <v>1</v>
      </c>
      <c r="AP73" s="4" t="s">
        <v>45</v>
      </c>
      <c r="AQ73" s="4">
        <v>0</v>
      </c>
      <c r="AR73" s="4" t="s">
        <v>1026</v>
      </c>
      <c r="AS73" s="4">
        <v>1</v>
      </c>
      <c r="AT73" s="4">
        <v>0</v>
      </c>
      <c r="AU73" s="4">
        <v>0</v>
      </c>
      <c r="AV73" s="4" t="s">
        <v>45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1</v>
      </c>
      <c r="BD73" s="4">
        <v>0</v>
      </c>
      <c r="BE73" s="4">
        <v>0</v>
      </c>
      <c r="BF73" s="4">
        <v>0</v>
      </c>
      <c r="BG73" s="39">
        <v>0.5</v>
      </c>
      <c r="BH73" s="39">
        <v>0.15</v>
      </c>
      <c r="BI73" s="39">
        <v>2.5000000000000001E-2</v>
      </c>
      <c r="BJ73" s="39" t="s">
        <v>1083</v>
      </c>
      <c r="BK73" s="39">
        <v>1</v>
      </c>
      <c r="BL73" s="39">
        <v>1</v>
      </c>
      <c r="BM73" s="39">
        <v>0</v>
      </c>
    </row>
    <row r="74" spans="1:65" s="16" customFormat="1" x14ac:dyDescent="0.25">
      <c r="A74" s="16" t="s">
        <v>1709</v>
      </c>
      <c r="B74" s="39">
        <v>1</v>
      </c>
      <c r="C74" s="39">
        <v>1</v>
      </c>
      <c r="D74" s="39">
        <v>1</v>
      </c>
      <c r="E74" s="39">
        <v>1</v>
      </c>
      <c r="F74" s="39">
        <v>0</v>
      </c>
      <c r="G74" s="39">
        <v>0</v>
      </c>
      <c r="H74" s="40">
        <v>95</v>
      </c>
      <c r="I74" s="41">
        <f>H74/1000/AVERAGE(4.6)</f>
        <v>2.065217391304348E-2</v>
      </c>
      <c r="J74" s="39">
        <v>1.2</v>
      </c>
      <c r="K74" s="39">
        <v>0.32</v>
      </c>
      <c r="L74" s="39">
        <v>1</v>
      </c>
      <c r="M74" s="39">
        <v>0</v>
      </c>
      <c r="N74" s="4" t="s">
        <v>45</v>
      </c>
      <c r="O74" s="4">
        <v>0</v>
      </c>
      <c r="P74" s="4">
        <v>0</v>
      </c>
      <c r="Q74" s="4" t="s">
        <v>45</v>
      </c>
      <c r="R74" s="4" t="s">
        <v>45</v>
      </c>
      <c r="S74" s="4" t="s">
        <v>45</v>
      </c>
      <c r="T74" s="4" t="s">
        <v>45</v>
      </c>
      <c r="U74" s="4" t="s">
        <v>45</v>
      </c>
      <c r="V74" s="4" t="s">
        <v>45</v>
      </c>
      <c r="W74" s="4" t="s">
        <v>45</v>
      </c>
      <c r="X74" s="4" t="s">
        <v>45</v>
      </c>
      <c r="Y74" s="4" t="s">
        <v>45</v>
      </c>
      <c r="Z74" s="4" t="s">
        <v>45</v>
      </c>
      <c r="AA74" s="4" t="s">
        <v>45</v>
      </c>
      <c r="AB74" s="4" t="s">
        <v>45</v>
      </c>
      <c r="AC74" s="4" t="s">
        <v>45</v>
      </c>
      <c r="AD74" s="39">
        <v>0</v>
      </c>
      <c r="AE74" s="4" t="s">
        <v>45</v>
      </c>
      <c r="AF74" s="4" t="s">
        <v>45</v>
      </c>
      <c r="AG74" s="4" t="s">
        <v>45</v>
      </c>
      <c r="AH74" s="4" t="s">
        <v>45</v>
      </c>
      <c r="AI74" s="4">
        <v>1</v>
      </c>
      <c r="AJ74" s="4" t="s">
        <v>999</v>
      </c>
      <c r="AK74" s="4">
        <v>0</v>
      </c>
      <c r="AL74" s="4" t="s">
        <v>1017</v>
      </c>
      <c r="AM74" s="4">
        <v>0</v>
      </c>
      <c r="AN74" s="4">
        <v>0</v>
      </c>
      <c r="AO74" s="4">
        <v>0</v>
      </c>
      <c r="AP74" s="4" t="s">
        <v>45</v>
      </c>
      <c r="AQ74" s="4">
        <v>0</v>
      </c>
      <c r="AR74" s="4" t="s">
        <v>673</v>
      </c>
      <c r="AS74" s="4">
        <v>0</v>
      </c>
      <c r="AT74" s="4">
        <v>0</v>
      </c>
      <c r="AU74" s="4">
        <v>0</v>
      </c>
      <c r="AV74" s="4" t="s">
        <v>45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1</v>
      </c>
      <c r="BD74" s="4">
        <v>0</v>
      </c>
      <c r="BE74" s="4">
        <v>0</v>
      </c>
      <c r="BF74" s="4">
        <v>0</v>
      </c>
      <c r="BG74" s="39">
        <v>0.25</v>
      </c>
      <c r="BH74" s="39">
        <v>0.1</v>
      </c>
      <c r="BI74" s="39">
        <v>2.5000000000000001E-2</v>
      </c>
      <c r="BJ74" s="39" t="s">
        <v>1083</v>
      </c>
      <c r="BK74" s="39">
        <v>0</v>
      </c>
      <c r="BL74" s="39">
        <v>0</v>
      </c>
      <c r="BM74" s="39">
        <v>0</v>
      </c>
    </row>
    <row r="75" spans="1:65" s="16" customFormat="1" x14ac:dyDescent="0.25">
      <c r="A75" s="16" t="s">
        <v>1755</v>
      </c>
      <c r="B75" s="39">
        <v>1</v>
      </c>
      <c r="C75" s="39">
        <v>1</v>
      </c>
      <c r="D75" s="39">
        <v>1</v>
      </c>
      <c r="E75" s="39">
        <v>1</v>
      </c>
      <c r="F75" s="39">
        <v>0</v>
      </c>
      <c r="G75" s="39">
        <v>0</v>
      </c>
      <c r="H75" s="40">
        <f>AVERAGE(169.2,194.5)</f>
        <v>181.85</v>
      </c>
      <c r="I75" s="41">
        <f>AVERAGE(12.22%,12.21%)</f>
        <v>0.12215000000000001</v>
      </c>
      <c r="J75" s="39">
        <v>0.89</v>
      </c>
      <c r="K75" s="39">
        <v>0.32</v>
      </c>
      <c r="L75" s="39">
        <v>1</v>
      </c>
      <c r="M75" s="39">
        <v>0</v>
      </c>
      <c r="N75" s="4" t="s">
        <v>938</v>
      </c>
      <c r="O75" s="4">
        <v>0</v>
      </c>
      <c r="P75" s="4">
        <v>0</v>
      </c>
      <c r="Q75" s="4" t="s">
        <v>45</v>
      </c>
      <c r="R75" s="4" t="s">
        <v>45</v>
      </c>
      <c r="S75" s="4" t="s">
        <v>45</v>
      </c>
      <c r="T75" s="4" t="s">
        <v>45</v>
      </c>
      <c r="U75" s="4" t="s">
        <v>45</v>
      </c>
      <c r="V75" s="4" t="s">
        <v>45</v>
      </c>
      <c r="W75" s="4" t="s">
        <v>45</v>
      </c>
      <c r="X75" s="4" t="s">
        <v>45</v>
      </c>
      <c r="Y75" s="4" t="s">
        <v>45</v>
      </c>
      <c r="Z75" s="4">
        <v>1.3</v>
      </c>
      <c r="AA75" s="4" t="s">
        <v>974</v>
      </c>
      <c r="AB75" s="4" t="s">
        <v>976</v>
      </c>
      <c r="AC75" s="4" t="s">
        <v>1064</v>
      </c>
      <c r="AD75" s="39">
        <v>0</v>
      </c>
      <c r="AE75" s="4" t="s">
        <v>45</v>
      </c>
      <c r="AF75" s="4" t="s">
        <v>45</v>
      </c>
      <c r="AG75" s="4" t="s">
        <v>45</v>
      </c>
      <c r="AH75" s="4" t="s">
        <v>45</v>
      </c>
      <c r="AI75" s="4">
        <v>1</v>
      </c>
      <c r="AJ75" s="4" t="s">
        <v>999</v>
      </c>
      <c r="AK75" s="4">
        <v>0</v>
      </c>
      <c r="AL75" s="4" t="s">
        <v>289</v>
      </c>
      <c r="AM75" s="4">
        <v>0</v>
      </c>
      <c r="AN75" s="4">
        <v>0.1</v>
      </c>
      <c r="AO75" s="4">
        <v>0.3</v>
      </c>
      <c r="AP75" s="4" t="s">
        <v>45</v>
      </c>
      <c r="AQ75" s="4">
        <v>0</v>
      </c>
      <c r="AR75" s="4" t="s">
        <v>673</v>
      </c>
      <c r="AS75" s="4">
        <v>1</v>
      </c>
      <c r="AT75" s="4">
        <v>0</v>
      </c>
      <c r="AU75" s="4">
        <v>0</v>
      </c>
      <c r="AV75" s="4" t="s">
        <v>45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1</v>
      </c>
      <c r="BD75" s="4">
        <v>0</v>
      </c>
      <c r="BE75" s="4">
        <v>0</v>
      </c>
      <c r="BF75" s="4">
        <v>0</v>
      </c>
      <c r="BG75" s="39">
        <v>0.25</v>
      </c>
      <c r="BH75" s="39">
        <v>0.1</v>
      </c>
      <c r="BI75" s="39">
        <v>2.5000000000000001E-2</v>
      </c>
      <c r="BJ75" s="39" t="s">
        <v>1087</v>
      </c>
      <c r="BK75" s="39">
        <v>0</v>
      </c>
      <c r="BL75" s="39">
        <v>0</v>
      </c>
      <c r="BM75" s="39">
        <v>0</v>
      </c>
    </row>
    <row r="76" spans="1:65" s="16" customFormat="1" x14ac:dyDescent="0.25">
      <c r="A76" s="16" t="s">
        <v>1745</v>
      </c>
      <c r="B76" s="39">
        <v>1</v>
      </c>
      <c r="C76" s="39">
        <v>1.1000000000000001</v>
      </c>
      <c r="D76" s="39">
        <v>0</v>
      </c>
      <c r="E76" s="39">
        <v>1</v>
      </c>
      <c r="F76" s="39">
        <v>0</v>
      </c>
      <c r="G76" s="39">
        <v>0</v>
      </c>
      <c r="H76" s="40">
        <v>95</v>
      </c>
      <c r="I76" s="41">
        <f>H76/1000/AVERAGE(4.6)</f>
        <v>2.065217391304348E-2</v>
      </c>
      <c r="J76" s="39">
        <v>1.2</v>
      </c>
      <c r="K76" s="39">
        <v>0.32</v>
      </c>
      <c r="L76" s="39">
        <v>1</v>
      </c>
      <c r="M76" s="39">
        <v>0</v>
      </c>
      <c r="N76" s="4" t="s">
        <v>938</v>
      </c>
      <c r="O76" s="4">
        <v>0</v>
      </c>
      <c r="P76" s="4">
        <v>0</v>
      </c>
      <c r="Q76" s="4" t="s">
        <v>45</v>
      </c>
      <c r="R76" s="4" t="s">
        <v>45</v>
      </c>
      <c r="S76" s="4" t="s">
        <v>45</v>
      </c>
      <c r="T76" s="4" t="s">
        <v>45</v>
      </c>
      <c r="U76" s="4" t="s">
        <v>45</v>
      </c>
      <c r="V76" s="4" t="s">
        <v>45</v>
      </c>
      <c r="W76" s="4" t="s">
        <v>45</v>
      </c>
      <c r="X76" s="4" t="s">
        <v>45</v>
      </c>
      <c r="Y76" s="4" t="s">
        <v>45</v>
      </c>
      <c r="Z76" s="4">
        <v>1.2</v>
      </c>
      <c r="AA76" s="4" t="s">
        <v>974</v>
      </c>
      <c r="AB76" s="4" t="s">
        <v>1326</v>
      </c>
      <c r="AC76" s="4" t="s">
        <v>1065</v>
      </c>
      <c r="AD76" s="39">
        <v>0</v>
      </c>
      <c r="AE76" s="4" t="s">
        <v>45</v>
      </c>
      <c r="AF76" s="4" t="s">
        <v>45</v>
      </c>
      <c r="AG76" s="4" t="s">
        <v>45</v>
      </c>
      <c r="AH76" s="4" t="s">
        <v>45</v>
      </c>
      <c r="AI76" s="4">
        <v>1</v>
      </c>
      <c r="AJ76" s="4" t="s">
        <v>999</v>
      </c>
      <c r="AK76" s="4">
        <v>0</v>
      </c>
      <c r="AL76" s="4" t="s">
        <v>1745</v>
      </c>
      <c r="AM76" s="4">
        <v>0</v>
      </c>
      <c r="AN76" s="4">
        <v>0.1</v>
      </c>
      <c r="AO76" s="4">
        <v>1</v>
      </c>
      <c r="AP76" s="4" t="s">
        <v>45</v>
      </c>
      <c r="AQ76" s="4">
        <v>0</v>
      </c>
      <c r="AR76" s="4" t="s">
        <v>1026</v>
      </c>
      <c r="AS76" s="4">
        <v>1</v>
      </c>
      <c r="AT76" s="4">
        <v>0</v>
      </c>
      <c r="AU76" s="4">
        <v>0</v>
      </c>
      <c r="AV76" s="4" t="s">
        <v>45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1</v>
      </c>
      <c r="BD76" s="4">
        <v>0</v>
      </c>
      <c r="BE76" s="4">
        <v>0</v>
      </c>
      <c r="BF76" s="4">
        <v>0</v>
      </c>
      <c r="BG76" s="39">
        <v>0.25</v>
      </c>
      <c r="BH76" s="39">
        <v>0.15</v>
      </c>
      <c r="BI76" s="39">
        <v>2.5000000000000001E-2</v>
      </c>
      <c r="BJ76" s="39" t="s">
        <v>1082</v>
      </c>
      <c r="BK76" s="39">
        <v>0</v>
      </c>
      <c r="BL76" s="39">
        <v>0</v>
      </c>
      <c r="BM76" s="39">
        <v>1</v>
      </c>
    </row>
    <row r="77" spans="1:65" s="16" customFormat="1" x14ac:dyDescent="0.25">
      <c r="A77" s="16" t="s">
        <v>1732</v>
      </c>
      <c r="B77" s="39">
        <v>1</v>
      </c>
      <c r="C77" s="39">
        <v>1.1000000000000001</v>
      </c>
      <c r="D77" s="39">
        <v>0</v>
      </c>
      <c r="E77" s="39">
        <v>1</v>
      </c>
      <c r="F77" s="39">
        <v>0</v>
      </c>
      <c r="G77" s="39">
        <v>2</v>
      </c>
      <c r="H77" s="40">
        <v>95</v>
      </c>
      <c r="I77" s="41">
        <f>H77/1000/AVERAGE(4.6)</f>
        <v>2.065217391304348E-2</v>
      </c>
      <c r="J77" s="39">
        <v>1.2</v>
      </c>
      <c r="K77" s="39">
        <v>0.32</v>
      </c>
      <c r="L77" s="39">
        <v>1</v>
      </c>
      <c r="M77" s="39">
        <v>1</v>
      </c>
      <c r="N77" s="4" t="s">
        <v>938</v>
      </c>
      <c r="O77" s="4">
        <v>0</v>
      </c>
      <c r="P77" s="4">
        <v>0</v>
      </c>
      <c r="Q77" s="4" t="s">
        <v>45</v>
      </c>
      <c r="R77" s="4" t="s">
        <v>45</v>
      </c>
      <c r="S77" s="4" t="s">
        <v>45</v>
      </c>
      <c r="T77" s="4" t="s">
        <v>45</v>
      </c>
      <c r="U77" s="4">
        <v>3</v>
      </c>
      <c r="V77" s="4">
        <v>1.3</v>
      </c>
      <c r="W77" s="4" t="s">
        <v>1318</v>
      </c>
      <c r="X77" s="4" t="s">
        <v>968</v>
      </c>
      <c r="Y77" s="4" t="s">
        <v>1318</v>
      </c>
      <c r="Z77" s="4">
        <v>1.2</v>
      </c>
      <c r="AA77" s="4" t="s">
        <v>974</v>
      </c>
      <c r="AB77" s="4" t="s">
        <v>1326</v>
      </c>
      <c r="AC77" s="4" t="s">
        <v>1064</v>
      </c>
      <c r="AD77" s="39">
        <v>1</v>
      </c>
      <c r="AE77" s="4">
        <v>1.1000000000000001</v>
      </c>
      <c r="AF77" s="4" t="s">
        <v>1321</v>
      </c>
      <c r="AG77" s="4" t="s">
        <v>1317</v>
      </c>
      <c r="AH77" s="4" t="s">
        <v>952</v>
      </c>
      <c r="AI77" s="4">
        <v>1</v>
      </c>
      <c r="AJ77" s="4" t="s">
        <v>999</v>
      </c>
      <c r="AK77" s="4">
        <v>0</v>
      </c>
      <c r="AL77" s="4" t="s">
        <v>1316</v>
      </c>
      <c r="AM77" s="4">
        <v>0</v>
      </c>
      <c r="AN77" s="4">
        <v>0.1</v>
      </c>
      <c r="AO77" s="4">
        <v>1</v>
      </c>
      <c r="AP77" s="4" t="s">
        <v>45</v>
      </c>
      <c r="AQ77" s="4">
        <v>0</v>
      </c>
      <c r="AR77" s="4" t="s">
        <v>1026</v>
      </c>
      <c r="AS77" s="4">
        <v>1</v>
      </c>
      <c r="AT77" s="4">
        <v>0</v>
      </c>
      <c r="AU77" s="4">
        <v>0</v>
      </c>
      <c r="AV77" s="4" t="s">
        <v>45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1</v>
      </c>
      <c r="BD77" s="4">
        <v>0</v>
      </c>
      <c r="BE77" s="4">
        <v>0</v>
      </c>
      <c r="BF77" s="4">
        <v>0</v>
      </c>
      <c r="BG77" s="39">
        <v>0.25</v>
      </c>
      <c r="BH77" s="39">
        <v>0.1</v>
      </c>
      <c r="BI77" s="39">
        <v>2.5000000000000001E-2</v>
      </c>
      <c r="BJ77" s="39" t="s">
        <v>1082</v>
      </c>
      <c r="BK77" s="39">
        <v>1</v>
      </c>
      <c r="BL77" s="39">
        <v>1</v>
      </c>
      <c r="BM77" s="39">
        <v>0</v>
      </c>
    </row>
    <row r="78" spans="1:65" s="16" customFormat="1" x14ac:dyDescent="0.25">
      <c r="A78" s="16" t="s">
        <v>1733</v>
      </c>
      <c r="B78" s="39">
        <v>1</v>
      </c>
      <c r="C78" s="39">
        <v>1.1000000000000001</v>
      </c>
      <c r="D78" s="39">
        <v>0</v>
      </c>
      <c r="E78" s="39">
        <v>1</v>
      </c>
      <c r="F78" s="39">
        <v>0</v>
      </c>
      <c r="G78" s="39">
        <v>2</v>
      </c>
      <c r="H78" s="40">
        <v>95</v>
      </c>
      <c r="I78" s="41">
        <f>H78/1000/AVERAGE(4.6)</f>
        <v>2.065217391304348E-2</v>
      </c>
      <c r="J78" s="39">
        <v>1.2</v>
      </c>
      <c r="K78" s="39">
        <v>0.32</v>
      </c>
      <c r="L78" s="39">
        <v>1</v>
      </c>
      <c r="M78" s="39">
        <v>1</v>
      </c>
      <c r="N78" s="4" t="s">
        <v>938</v>
      </c>
      <c r="O78" s="4">
        <v>0</v>
      </c>
      <c r="P78" s="4">
        <v>0</v>
      </c>
      <c r="Q78" s="4" t="s">
        <v>45</v>
      </c>
      <c r="R78" s="4" t="s">
        <v>45</v>
      </c>
      <c r="S78" s="4" t="s">
        <v>45</v>
      </c>
      <c r="T78" s="4" t="s">
        <v>45</v>
      </c>
      <c r="U78" s="4">
        <v>3</v>
      </c>
      <c r="V78" s="4">
        <v>1.3</v>
      </c>
      <c r="W78" s="4" t="s">
        <v>1318</v>
      </c>
      <c r="X78" s="4" t="s">
        <v>968</v>
      </c>
      <c r="Y78" s="4" t="s">
        <v>1324</v>
      </c>
      <c r="Z78" s="4">
        <v>1.2</v>
      </c>
      <c r="AA78" s="4" t="s">
        <v>974</v>
      </c>
      <c r="AB78" s="4" t="s">
        <v>1326</v>
      </c>
      <c r="AC78" s="4" t="s">
        <v>1064</v>
      </c>
      <c r="AD78" s="39">
        <v>1</v>
      </c>
      <c r="AE78" s="4">
        <v>1.1000000000000001</v>
      </c>
      <c r="AF78" s="4" t="s">
        <v>1321</v>
      </c>
      <c r="AG78" s="4" t="s">
        <v>1317</v>
      </c>
      <c r="AH78" s="4" t="s">
        <v>952</v>
      </c>
      <c r="AI78" s="4">
        <v>1</v>
      </c>
      <c r="AJ78" s="4" t="s">
        <v>999</v>
      </c>
      <c r="AK78" s="4">
        <v>0</v>
      </c>
      <c r="AL78" s="4" t="s">
        <v>1316</v>
      </c>
      <c r="AM78" s="4">
        <v>0</v>
      </c>
      <c r="AN78" s="4">
        <v>0.1</v>
      </c>
      <c r="AO78" s="4">
        <v>1</v>
      </c>
      <c r="AP78" s="4" t="s">
        <v>45</v>
      </c>
      <c r="AQ78" s="4">
        <v>0</v>
      </c>
      <c r="AR78" s="4" t="s">
        <v>1026</v>
      </c>
      <c r="AS78" s="4">
        <v>1</v>
      </c>
      <c r="AT78" s="4">
        <v>0</v>
      </c>
      <c r="AU78" s="4">
        <v>0</v>
      </c>
      <c r="AV78" s="4" t="s">
        <v>45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1</v>
      </c>
      <c r="BD78" s="4">
        <v>0</v>
      </c>
      <c r="BE78" s="4">
        <v>0</v>
      </c>
      <c r="BF78" s="4">
        <v>0</v>
      </c>
      <c r="BG78" s="39">
        <v>0.25</v>
      </c>
      <c r="BH78" s="39">
        <v>0.1</v>
      </c>
      <c r="BI78" s="39">
        <v>2.5000000000000001E-2</v>
      </c>
      <c r="BJ78" s="39" t="s">
        <v>1082</v>
      </c>
      <c r="BK78" s="39">
        <v>1</v>
      </c>
      <c r="BL78" s="39">
        <v>1</v>
      </c>
      <c r="BM78" s="39">
        <v>0</v>
      </c>
    </row>
    <row r="79" spans="1:65" s="16" customFormat="1" x14ac:dyDescent="0.25">
      <c r="A79" s="16" t="s">
        <v>1771</v>
      </c>
      <c r="B79" s="39">
        <v>1</v>
      </c>
      <c r="C79" s="39">
        <v>1.1000000000000001</v>
      </c>
      <c r="D79" s="39">
        <v>0</v>
      </c>
      <c r="E79" s="39">
        <v>1</v>
      </c>
      <c r="F79" s="39">
        <v>0</v>
      </c>
      <c r="G79" s="39">
        <v>0</v>
      </c>
      <c r="H79" s="40">
        <f>AVERAGE(169.2,194.5)</f>
        <v>181.85</v>
      </c>
      <c r="I79" s="41">
        <f>AVERAGE(12.22%,12.21%)</f>
        <v>0.12215000000000001</v>
      </c>
      <c r="J79" s="39">
        <v>0.89</v>
      </c>
      <c r="K79" s="39">
        <v>0.32</v>
      </c>
      <c r="L79" s="39">
        <v>1</v>
      </c>
      <c r="M79" s="39">
        <v>1</v>
      </c>
      <c r="N79" s="4" t="s">
        <v>938</v>
      </c>
      <c r="O79" s="4">
        <v>0</v>
      </c>
      <c r="P79" s="4">
        <v>0</v>
      </c>
      <c r="Q79" s="4" t="s">
        <v>45</v>
      </c>
      <c r="R79" s="4" t="s">
        <v>45</v>
      </c>
      <c r="S79" s="4" t="s">
        <v>45</v>
      </c>
      <c r="T79" s="4" t="s">
        <v>45</v>
      </c>
      <c r="U79" s="4" t="s">
        <v>45</v>
      </c>
      <c r="V79" s="4" t="s">
        <v>45</v>
      </c>
      <c r="W79" s="4" t="s">
        <v>45</v>
      </c>
      <c r="X79" s="4" t="s">
        <v>45</v>
      </c>
      <c r="Y79" s="4" t="s">
        <v>45</v>
      </c>
      <c r="Z79" s="4">
        <v>1.2</v>
      </c>
      <c r="AA79" s="4" t="s">
        <v>974</v>
      </c>
      <c r="AB79" s="4" t="s">
        <v>976</v>
      </c>
      <c r="AC79" s="4" t="s">
        <v>1064</v>
      </c>
      <c r="AD79" s="39">
        <v>1</v>
      </c>
      <c r="AE79" s="4">
        <v>1.1000000000000001</v>
      </c>
      <c r="AF79" s="4" t="s">
        <v>1746</v>
      </c>
      <c r="AG79" s="4" t="s">
        <v>1772</v>
      </c>
      <c r="AH79" s="4" t="s">
        <v>952</v>
      </c>
      <c r="AI79" s="4">
        <v>1</v>
      </c>
      <c r="AJ79" s="4" t="s">
        <v>999</v>
      </c>
      <c r="AK79" s="4">
        <v>0</v>
      </c>
      <c r="AL79" s="4" t="s">
        <v>1812</v>
      </c>
      <c r="AM79" s="4">
        <v>0</v>
      </c>
      <c r="AN79" s="4">
        <v>0.1</v>
      </c>
      <c r="AO79" s="4">
        <v>1</v>
      </c>
      <c r="AP79" s="4" t="s">
        <v>45</v>
      </c>
      <c r="AQ79" s="4">
        <v>0</v>
      </c>
      <c r="AR79" s="4" t="s">
        <v>1026</v>
      </c>
      <c r="AS79" s="4">
        <v>1</v>
      </c>
      <c r="AT79" s="4">
        <v>0</v>
      </c>
      <c r="AU79" s="4">
        <v>0</v>
      </c>
      <c r="AV79" s="4" t="s">
        <v>45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1</v>
      </c>
      <c r="BD79" s="4">
        <v>0</v>
      </c>
      <c r="BE79" s="4">
        <v>0</v>
      </c>
      <c r="BF79" s="4">
        <v>0</v>
      </c>
      <c r="BG79" s="39">
        <v>0.5</v>
      </c>
      <c r="BH79" s="39">
        <v>0.15</v>
      </c>
      <c r="BI79" s="39">
        <v>2.5000000000000001E-2</v>
      </c>
      <c r="BJ79" s="39" t="s">
        <v>1083</v>
      </c>
      <c r="BK79" s="39">
        <v>1</v>
      </c>
      <c r="BL79" s="39">
        <v>0</v>
      </c>
      <c r="BM79" s="39">
        <v>0</v>
      </c>
    </row>
    <row r="80" spans="1:65" s="16" customFormat="1" x14ac:dyDescent="0.25">
      <c r="A80" s="16" t="s">
        <v>1774</v>
      </c>
      <c r="B80" s="39">
        <v>1</v>
      </c>
      <c r="C80" s="39">
        <v>1.1000000000000001</v>
      </c>
      <c r="D80" s="39">
        <v>0</v>
      </c>
      <c r="E80" s="39">
        <v>1</v>
      </c>
      <c r="F80" s="39">
        <v>0</v>
      </c>
      <c r="G80" s="39">
        <v>0</v>
      </c>
      <c r="H80" s="40">
        <f>AVERAGE(169.2,194.5)</f>
        <v>181.85</v>
      </c>
      <c r="I80" s="41">
        <f>AVERAGE(12.22%,12.21%)</f>
        <v>0.12215000000000001</v>
      </c>
      <c r="J80" s="39">
        <v>0.89</v>
      </c>
      <c r="K80" s="39">
        <v>0.32</v>
      </c>
      <c r="L80" s="39">
        <v>1</v>
      </c>
      <c r="M80" s="39">
        <v>1</v>
      </c>
      <c r="N80" s="4" t="s">
        <v>938</v>
      </c>
      <c r="O80" s="4">
        <v>0</v>
      </c>
      <c r="P80" s="4">
        <v>0</v>
      </c>
      <c r="Q80" s="4" t="s">
        <v>45</v>
      </c>
      <c r="R80" s="4" t="s">
        <v>45</v>
      </c>
      <c r="S80" s="4" t="s">
        <v>45</v>
      </c>
      <c r="T80" s="4" t="s">
        <v>45</v>
      </c>
      <c r="U80" s="4" t="s">
        <v>45</v>
      </c>
      <c r="V80" s="4" t="s">
        <v>45</v>
      </c>
      <c r="W80" s="4" t="s">
        <v>45</v>
      </c>
      <c r="X80" s="4" t="s">
        <v>45</v>
      </c>
      <c r="Y80" s="4" t="s">
        <v>45</v>
      </c>
      <c r="Z80" s="4">
        <v>1.2</v>
      </c>
      <c r="AA80" s="4" t="s">
        <v>974</v>
      </c>
      <c r="AB80" s="4" t="s">
        <v>976</v>
      </c>
      <c r="AC80" s="4" t="s">
        <v>1064</v>
      </c>
      <c r="AD80" s="39">
        <v>1</v>
      </c>
      <c r="AE80" s="4">
        <v>1.1000000000000001</v>
      </c>
      <c r="AF80" s="4" t="s">
        <v>1746</v>
      </c>
      <c r="AG80" s="4" t="s">
        <v>1772</v>
      </c>
      <c r="AH80" s="4" t="s">
        <v>1773</v>
      </c>
      <c r="AI80" s="4">
        <v>1</v>
      </c>
      <c r="AJ80" s="4" t="s">
        <v>999</v>
      </c>
      <c r="AK80" s="4">
        <v>0</v>
      </c>
      <c r="AL80" s="4" t="s">
        <v>1812</v>
      </c>
      <c r="AM80" s="4">
        <v>0</v>
      </c>
      <c r="AN80" s="4">
        <v>0.1</v>
      </c>
      <c r="AO80" s="4">
        <v>1</v>
      </c>
      <c r="AP80" s="4" t="s">
        <v>45</v>
      </c>
      <c r="AQ80" s="4">
        <v>0</v>
      </c>
      <c r="AR80" s="4" t="s">
        <v>1026</v>
      </c>
      <c r="AS80" s="4">
        <v>1</v>
      </c>
      <c r="AT80" s="4">
        <v>0</v>
      </c>
      <c r="AU80" s="4">
        <v>0</v>
      </c>
      <c r="AV80" s="4" t="s">
        <v>45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1</v>
      </c>
      <c r="BD80" s="4">
        <v>0</v>
      </c>
      <c r="BE80" s="4">
        <v>0</v>
      </c>
      <c r="BF80" s="4">
        <v>0</v>
      </c>
      <c r="BG80" s="39">
        <v>0.5</v>
      </c>
      <c r="BH80" s="39">
        <v>0.15</v>
      </c>
      <c r="BI80" s="39">
        <v>2.5000000000000001E-2</v>
      </c>
      <c r="BJ80" s="39" t="s">
        <v>1083</v>
      </c>
      <c r="BK80" s="39">
        <v>1</v>
      </c>
      <c r="BL80" s="39">
        <v>0</v>
      </c>
      <c r="BM80" s="39">
        <v>0</v>
      </c>
    </row>
    <row r="81" spans="1:65" s="16" customFormat="1" x14ac:dyDescent="0.25">
      <c r="A81" s="16" t="s">
        <v>1806</v>
      </c>
      <c r="B81" s="39">
        <v>1</v>
      </c>
      <c r="C81" s="39">
        <v>1.1000000000000001</v>
      </c>
      <c r="D81" s="39">
        <v>0</v>
      </c>
      <c r="E81" s="39">
        <v>1</v>
      </c>
      <c r="F81" s="39">
        <v>0</v>
      </c>
      <c r="G81" s="39">
        <v>2</v>
      </c>
      <c r="H81" s="40">
        <f>AVERAGE(169.2,194.5)</f>
        <v>181.85</v>
      </c>
      <c r="I81" s="41">
        <f>AVERAGE(12.22%,12.21%)</f>
        <v>0.12215000000000001</v>
      </c>
      <c r="J81" s="39">
        <v>0.89</v>
      </c>
      <c r="K81" s="39">
        <v>0.32</v>
      </c>
      <c r="L81" s="39">
        <v>1</v>
      </c>
      <c r="M81" s="39">
        <v>1</v>
      </c>
      <c r="N81" s="4" t="s">
        <v>938</v>
      </c>
      <c r="O81" s="4">
        <v>0</v>
      </c>
      <c r="P81" s="4">
        <v>0</v>
      </c>
      <c r="Q81" s="4" t="s">
        <v>45</v>
      </c>
      <c r="R81" s="4" t="s">
        <v>45</v>
      </c>
      <c r="S81" s="4" t="s">
        <v>45</v>
      </c>
      <c r="T81" s="4" t="s">
        <v>45</v>
      </c>
      <c r="U81" s="4" t="s">
        <v>45</v>
      </c>
      <c r="V81" s="4" t="s">
        <v>45</v>
      </c>
      <c r="W81" s="4" t="s">
        <v>45</v>
      </c>
      <c r="X81" s="4" t="s">
        <v>45</v>
      </c>
      <c r="Y81" s="4" t="s">
        <v>45</v>
      </c>
      <c r="Z81" s="4">
        <v>1.2</v>
      </c>
      <c r="AA81" s="4" t="s">
        <v>974</v>
      </c>
      <c r="AB81" s="4" t="s">
        <v>976</v>
      </c>
      <c r="AC81" s="4" t="s">
        <v>1064</v>
      </c>
      <c r="AD81" s="39">
        <v>0</v>
      </c>
      <c r="AE81" s="4" t="s">
        <v>45</v>
      </c>
      <c r="AF81" s="4" t="s">
        <v>45</v>
      </c>
      <c r="AG81" s="4" t="s">
        <v>45</v>
      </c>
      <c r="AH81" s="4" t="s">
        <v>45</v>
      </c>
      <c r="AI81" s="4">
        <v>1</v>
      </c>
      <c r="AJ81" s="4" t="s">
        <v>999</v>
      </c>
      <c r="AK81" s="4">
        <v>0</v>
      </c>
      <c r="AL81" s="4" t="s">
        <v>1017</v>
      </c>
      <c r="AM81" s="4">
        <v>0</v>
      </c>
      <c r="AN81" s="4">
        <v>0.1</v>
      </c>
      <c r="AO81" s="4">
        <v>1</v>
      </c>
      <c r="AP81" s="4" t="s">
        <v>45</v>
      </c>
      <c r="AQ81" s="4">
        <v>0</v>
      </c>
      <c r="AR81" s="4" t="s">
        <v>1024</v>
      </c>
      <c r="AS81" s="4">
        <v>1</v>
      </c>
      <c r="AT81" s="4">
        <v>0</v>
      </c>
      <c r="AU81" s="4">
        <v>0</v>
      </c>
      <c r="AV81" s="4" t="s">
        <v>45</v>
      </c>
      <c r="AW81" s="4">
        <v>0</v>
      </c>
      <c r="AX81" s="4">
        <v>0</v>
      </c>
      <c r="AY81" s="4">
        <v>0</v>
      </c>
      <c r="AZ81" s="4">
        <v>2</v>
      </c>
      <c r="BA81" s="4">
        <v>0</v>
      </c>
      <c r="BB81" s="4">
        <v>0</v>
      </c>
      <c r="BC81" s="4">
        <v>1</v>
      </c>
      <c r="BD81" s="4">
        <v>0</v>
      </c>
      <c r="BE81" s="4">
        <v>0</v>
      </c>
      <c r="BF81" s="4">
        <v>0</v>
      </c>
      <c r="BG81" s="39">
        <v>0.25</v>
      </c>
      <c r="BH81" s="39">
        <v>0.1</v>
      </c>
      <c r="BI81" s="39">
        <v>2.5000000000000001E-2</v>
      </c>
      <c r="BJ81" s="39" t="s">
        <v>1082</v>
      </c>
      <c r="BK81" s="39">
        <v>0</v>
      </c>
      <c r="BL81" s="39">
        <v>0</v>
      </c>
      <c r="BM81" s="39">
        <v>0</v>
      </c>
    </row>
    <row r="82" spans="1:65" s="16" customFormat="1" x14ac:dyDescent="0.25">
      <c r="A82" s="16" t="s">
        <v>1799</v>
      </c>
      <c r="B82" s="39">
        <v>1</v>
      </c>
      <c r="C82" s="39">
        <v>1.1000000000000001</v>
      </c>
      <c r="D82" s="39">
        <v>1</v>
      </c>
      <c r="E82" s="39">
        <v>1</v>
      </c>
      <c r="F82" s="39">
        <v>0</v>
      </c>
      <c r="G82" s="39">
        <v>2</v>
      </c>
      <c r="H82" s="40">
        <v>95</v>
      </c>
      <c r="I82" s="41">
        <f>H82/1000/AVERAGE(4.6)</f>
        <v>2.065217391304348E-2</v>
      </c>
      <c r="J82" s="39">
        <v>1.2</v>
      </c>
      <c r="K82" s="39">
        <v>0.32</v>
      </c>
      <c r="L82" s="39">
        <v>1</v>
      </c>
      <c r="M82" s="39">
        <v>1</v>
      </c>
      <c r="N82" s="4" t="s">
        <v>938</v>
      </c>
      <c r="O82" s="4">
        <v>0</v>
      </c>
      <c r="P82" s="4">
        <v>0</v>
      </c>
      <c r="Q82" s="4" t="s">
        <v>45</v>
      </c>
      <c r="R82" s="4" t="s">
        <v>45</v>
      </c>
      <c r="S82" s="4" t="s">
        <v>45</v>
      </c>
      <c r="T82" s="4" t="s">
        <v>45</v>
      </c>
      <c r="U82" s="4" t="s">
        <v>45</v>
      </c>
      <c r="V82" s="4" t="s">
        <v>45</v>
      </c>
      <c r="W82" s="4" t="s">
        <v>45</v>
      </c>
      <c r="X82" s="4" t="s">
        <v>45</v>
      </c>
      <c r="Y82" s="4" t="s">
        <v>45</v>
      </c>
      <c r="Z82" s="4">
        <v>1.2</v>
      </c>
      <c r="AA82" s="4" t="s">
        <v>974</v>
      </c>
      <c r="AB82" s="4" t="s">
        <v>976</v>
      </c>
      <c r="AC82" s="4" t="s">
        <v>1064</v>
      </c>
      <c r="AD82" s="39">
        <v>0</v>
      </c>
      <c r="AE82" s="4" t="s">
        <v>45</v>
      </c>
      <c r="AF82" s="4" t="s">
        <v>45</v>
      </c>
      <c r="AG82" s="4" t="s">
        <v>45</v>
      </c>
      <c r="AH82" s="4" t="s">
        <v>45</v>
      </c>
      <c r="AI82" s="4">
        <v>1</v>
      </c>
      <c r="AJ82" s="4" t="s">
        <v>999</v>
      </c>
      <c r="AK82" s="4">
        <v>0</v>
      </c>
      <c r="AL82" s="4" t="s">
        <v>1017</v>
      </c>
      <c r="AM82" s="4">
        <v>0</v>
      </c>
      <c r="AN82" s="4">
        <v>0.1</v>
      </c>
      <c r="AO82" s="4">
        <v>0.3</v>
      </c>
      <c r="AP82" s="4" t="s">
        <v>45</v>
      </c>
      <c r="AQ82" s="4">
        <v>0</v>
      </c>
      <c r="AR82" s="4" t="s">
        <v>673</v>
      </c>
      <c r="AS82" s="4">
        <v>0</v>
      </c>
      <c r="AT82" s="4">
        <v>0</v>
      </c>
      <c r="AU82" s="4">
        <v>0</v>
      </c>
      <c r="AV82" s="4" t="s">
        <v>45</v>
      </c>
      <c r="AW82" s="4">
        <v>0</v>
      </c>
      <c r="AX82" s="4">
        <v>0</v>
      </c>
      <c r="AY82" s="4">
        <v>0</v>
      </c>
      <c r="AZ82" s="4">
        <v>2</v>
      </c>
      <c r="BA82" s="4">
        <v>0</v>
      </c>
      <c r="BB82" s="4">
        <v>0</v>
      </c>
      <c r="BC82" s="4">
        <v>1</v>
      </c>
      <c r="BD82" s="4">
        <v>0</v>
      </c>
      <c r="BE82" s="4">
        <v>0</v>
      </c>
      <c r="BF82" s="4">
        <v>0</v>
      </c>
      <c r="BG82" s="39">
        <v>0.25</v>
      </c>
      <c r="BH82" s="39">
        <v>0.1</v>
      </c>
      <c r="BI82" s="39">
        <v>2.5000000000000001E-2</v>
      </c>
      <c r="BJ82" s="39" t="s">
        <v>1082</v>
      </c>
      <c r="BK82" s="39">
        <v>0</v>
      </c>
      <c r="BL82" s="39">
        <v>0</v>
      </c>
      <c r="BM82" s="39">
        <v>0</v>
      </c>
    </row>
    <row r="83" spans="1:65" s="16" customFormat="1" x14ac:dyDescent="0.25">
      <c r="A83" s="16" t="s">
        <v>1807</v>
      </c>
      <c r="B83" s="39">
        <v>1</v>
      </c>
      <c r="C83" s="39">
        <v>1.1000000000000001</v>
      </c>
      <c r="D83" s="39">
        <v>1</v>
      </c>
      <c r="E83" s="39">
        <v>1</v>
      </c>
      <c r="F83" s="39">
        <v>0</v>
      </c>
      <c r="G83" s="39">
        <v>2</v>
      </c>
      <c r="H83" s="40">
        <f>AVERAGE(169.2,194.5)</f>
        <v>181.85</v>
      </c>
      <c r="I83" s="41">
        <f>AVERAGE(12.22%,12.21%)</f>
        <v>0.12215000000000001</v>
      </c>
      <c r="J83" s="39">
        <v>0.89</v>
      </c>
      <c r="K83" s="39">
        <v>0.32</v>
      </c>
      <c r="L83" s="39">
        <v>1</v>
      </c>
      <c r="M83" s="39">
        <v>1</v>
      </c>
      <c r="N83" s="4" t="s">
        <v>938</v>
      </c>
      <c r="O83" s="4">
        <v>0</v>
      </c>
      <c r="P83" s="4">
        <v>0</v>
      </c>
      <c r="Q83" s="4" t="s">
        <v>45</v>
      </c>
      <c r="R83" s="4" t="s">
        <v>45</v>
      </c>
      <c r="S83" s="4" t="s">
        <v>45</v>
      </c>
      <c r="T83" s="4" t="s">
        <v>45</v>
      </c>
      <c r="U83" s="4" t="s">
        <v>45</v>
      </c>
      <c r="V83" s="4" t="s">
        <v>45</v>
      </c>
      <c r="W83" s="4" t="s">
        <v>45</v>
      </c>
      <c r="X83" s="4" t="s">
        <v>45</v>
      </c>
      <c r="Y83" s="4" t="s">
        <v>45</v>
      </c>
      <c r="Z83" s="4">
        <v>1.2</v>
      </c>
      <c r="AA83" s="4" t="s">
        <v>974</v>
      </c>
      <c r="AB83" s="4" t="s">
        <v>976</v>
      </c>
      <c r="AC83" s="4" t="s">
        <v>1064</v>
      </c>
      <c r="AD83" s="39">
        <v>0</v>
      </c>
      <c r="AE83" s="4" t="s">
        <v>45</v>
      </c>
      <c r="AF83" s="4" t="s">
        <v>45</v>
      </c>
      <c r="AG83" s="4" t="s">
        <v>45</v>
      </c>
      <c r="AH83" s="4" t="s">
        <v>45</v>
      </c>
      <c r="AI83" s="4">
        <v>1</v>
      </c>
      <c r="AJ83" s="4" t="s">
        <v>999</v>
      </c>
      <c r="AK83" s="4">
        <v>0</v>
      </c>
      <c r="AL83" s="4" t="s">
        <v>1017</v>
      </c>
      <c r="AM83" s="4">
        <v>0</v>
      </c>
      <c r="AN83" s="4">
        <v>0.1</v>
      </c>
      <c r="AO83" s="4">
        <v>0.3</v>
      </c>
      <c r="AP83" s="4" t="s">
        <v>45</v>
      </c>
      <c r="AQ83" s="4">
        <v>0</v>
      </c>
      <c r="AR83" s="4" t="s">
        <v>673</v>
      </c>
      <c r="AS83" s="4">
        <v>0</v>
      </c>
      <c r="AT83" s="4">
        <v>0</v>
      </c>
      <c r="AU83" s="4">
        <v>0</v>
      </c>
      <c r="AV83" s="4" t="s">
        <v>45</v>
      </c>
      <c r="AW83" s="4">
        <v>0</v>
      </c>
      <c r="AX83" s="4">
        <v>0</v>
      </c>
      <c r="AY83" s="4">
        <v>0</v>
      </c>
      <c r="AZ83" s="4">
        <v>2</v>
      </c>
      <c r="BA83" s="4">
        <v>0</v>
      </c>
      <c r="BB83" s="4">
        <v>0</v>
      </c>
      <c r="BC83" s="4">
        <v>1</v>
      </c>
      <c r="BD83" s="4">
        <v>0</v>
      </c>
      <c r="BE83" s="4">
        <v>0</v>
      </c>
      <c r="BF83" s="4">
        <v>0</v>
      </c>
      <c r="BG83" s="39">
        <v>0.25</v>
      </c>
      <c r="BH83" s="39">
        <v>0.1</v>
      </c>
      <c r="BI83" s="39">
        <v>2.5000000000000001E-2</v>
      </c>
      <c r="BJ83" s="39" t="s">
        <v>1082</v>
      </c>
      <c r="BK83" s="39">
        <v>0</v>
      </c>
      <c r="BL83" s="39">
        <v>0</v>
      </c>
      <c r="BM83" s="39">
        <v>0</v>
      </c>
    </row>
    <row r="84" spans="1:65" s="16" customFormat="1" x14ac:dyDescent="0.25">
      <c r="A84" s="16" t="s">
        <v>1749</v>
      </c>
      <c r="B84" s="39">
        <v>1</v>
      </c>
      <c r="C84" s="39">
        <v>1.1000000000000001</v>
      </c>
      <c r="D84" s="39">
        <v>0</v>
      </c>
      <c r="E84" s="39">
        <v>1</v>
      </c>
      <c r="F84" s="39">
        <v>0</v>
      </c>
      <c r="G84" s="39">
        <v>2</v>
      </c>
      <c r="H84" s="40">
        <v>95</v>
      </c>
      <c r="I84" s="41">
        <f>H84/1000/AVERAGE(4.6)</f>
        <v>2.065217391304348E-2</v>
      </c>
      <c r="J84" s="39">
        <v>1.2</v>
      </c>
      <c r="K84" s="39">
        <v>0.32</v>
      </c>
      <c r="L84" s="39">
        <v>1</v>
      </c>
      <c r="M84" s="39">
        <v>1</v>
      </c>
      <c r="N84" s="4" t="s">
        <v>938</v>
      </c>
      <c r="O84" s="4">
        <v>0</v>
      </c>
      <c r="P84" s="4">
        <v>0</v>
      </c>
      <c r="Q84" s="4" t="s">
        <v>45</v>
      </c>
      <c r="R84" s="4" t="s">
        <v>45</v>
      </c>
      <c r="S84" s="4" t="s">
        <v>45</v>
      </c>
      <c r="T84" s="4" t="s">
        <v>45</v>
      </c>
      <c r="U84" s="4" t="s">
        <v>45</v>
      </c>
      <c r="V84" s="4" t="s">
        <v>45</v>
      </c>
      <c r="W84" s="4" t="s">
        <v>45</v>
      </c>
      <c r="X84" s="4" t="s">
        <v>45</v>
      </c>
      <c r="Y84" s="4" t="s">
        <v>45</v>
      </c>
      <c r="Z84" s="4">
        <v>1.2</v>
      </c>
      <c r="AA84" s="4" t="s">
        <v>974</v>
      </c>
      <c r="AB84" s="4" t="s">
        <v>976</v>
      </c>
      <c r="AC84" s="4" t="s">
        <v>1750</v>
      </c>
      <c r="AD84" s="39">
        <v>0</v>
      </c>
      <c r="AE84" s="4" t="s">
        <v>45</v>
      </c>
      <c r="AF84" s="4" t="s">
        <v>45</v>
      </c>
      <c r="AG84" s="4" t="s">
        <v>45</v>
      </c>
      <c r="AH84" s="4" t="s">
        <v>45</v>
      </c>
      <c r="AI84" s="4">
        <v>1</v>
      </c>
      <c r="AJ84" s="4" t="s">
        <v>999</v>
      </c>
      <c r="AK84" s="4">
        <v>0</v>
      </c>
      <c r="AL84" s="4" t="s">
        <v>1017</v>
      </c>
      <c r="AM84" s="4">
        <v>0</v>
      </c>
      <c r="AN84" s="4">
        <v>0.1</v>
      </c>
      <c r="AO84" s="4">
        <v>0.3</v>
      </c>
      <c r="AP84" s="4" t="s">
        <v>45</v>
      </c>
      <c r="AQ84" s="4">
        <v>0</v>
      </c>
      <c r="AR84" s="4" t="s">
        <v>673</v>
      </c>
      <c r="AS84" s="4">
        <v>1</v>
      </c>
      <c r="AT84" s="4">
        <v>0</v>
      </c>
      <c r="AU84" s="4">
        <v>0</v>
      </c>
      <c r="AV84" s="4" t="s">
        <v>45</v>
      </c>
      <c r="AW84" s="4">
        <v>0</v>
      </c>
      <c r="AX84" s="4">
        <v>0</v>
      </c>
      <c r="AY84" s="4">
        <v>0</v>
      </c>
      <c r="AZ84" s="4">
        <v>2</v>
      </c>
      <c r="BA84" s="4">
        <v>0</v>
      </c>
      <c r="BB84" s="4">
        <v>0</v>
      </c>
      <c r="BC84" s="4">
        <v>1</v>
      </c>
      <c r="BD84" s="4">
        <v>0</v>
      </c>
      <c r="BE84" s="4">
        <v>0</v>
      </c>
      <c r="BF84" s="4">
        <v>0</v>
      </c>
      <c r="BG84" s="39">
        <v>0.25</v>
      </c>
      <c r="BH84" s="39">
        <v>0.1</v>
      </c>
      <c r="BI84" s="39">
        <v>2.5000000000000001E-2</v>
      </c>
      <c r="BJ84" s="39" t="s">
        <v>1082</v>
      </c>
      <c r="BK84" s="39">
        <v>0</v>
      </c>
      <c r="BL84" s="39">
        <v>0</v>
      </c>
      <c r="BM84" s="39">
        <v>0</v>
      </c>
    </row>
    <row r="85" spans="1:65" s="16" customFormat="1" x14ac:dyDescent="0.25">
      <c r="A85" s="16" t="s">
        <v>1805</v>
      </c>
      <c r="B85" s="39">
        <v>1</v>
      </c>
      <c r="C85" s="39">
        <v>1.1000000000000001</v>
      </c>
      <c r="D85" s="39">
        <v>0</v>
      </c>
      <c r="E85" s="39">
        <v>1</v>
      </c>
      <c r="F85" s="39">
        <v>0</v>
      </c>
      <c r="G85" s="39">
        <v>2</v>
      </c>
      <c r="H85" s="40">
        <f>AVERAGE(169.2,194.5)</f>
        <v>181.85</v>
      </c>
      <c r="I85" s="41">
        <f>AVERAGE(12.22%,12.21%)</f>
        <v>0.12215000000000001</v>
      </c>
      <c r="J85" s="39">
        <v>0.89</v>
      </c>
      <c r="K85" s="39">
        <v>0.32</v>
      </c>
      <c r="L85" s="39">
        <v>1</v>
      </c>
      <c r="M85" s="39">
        <v>1</v>
      </c>
      <c r="N85" s="4" t="s">
        <v>938</v>
      </c>
      <c r="O85" s="4">
        <v>0</v>
      </c>
      <c r="P85" s="4">
        <v>0</v>
      </c>
      <c r="Q85" s="4" t="s">
        <v>45</v>
      </c>
      <c r="R85" s="4" t="s">
        <v>45</v>
      </c>
      <c r="S85" s="4" t="s">
        <v>45</v>
      </c>
      <c r="T85" s="4" t="s">
        <v>45</v>
      </c>
      <c r="U85" s="4" t="s">
        <v>45</v>
      </c>
      <c r="V85" s="4" t="s">
        <v>45</v>
      </c>
      <c r="W85" s="4" t="s">
        <v>45</v>
      </c>
      <c r="X85" s="4" t="s">
        <v>45</v>
      </c>
      <c r="Y85" s="4" t="s">
        <v>45</v>
      </c>
      <c r="Z85" s="4">
        <v>1.2</v>
      </c>
      <c r="AA85" s="4" t="s">
        <v>974</v>
      </c>
      <c r="AB85" s="4" t="s">
        <v>976</v>
      </c>
      <c r="AC85" s="4" t="s">
        <v>1064</v>
      </c>
      <c r="AD85" s="39">
        <v>1</v>
      </c>
      <c r="AE85" s="4">
        <v>1.1000000000000001</v>
      </c>
      <c r="AF85" s="4" t="s">
        <v>990</v>
      </c>
      <c r="AG85" s="4" t="s">
        <v>992</v>
      </c>
      <c r="AH85" s="4" t="s">
        <v>952</v>
      </c>
      <c r="AI85" s="4">
        <v>1</v>
      </c>
      <c r="AJ85" s="4" t="s">
        <v>999</v>
      </c>
      <c r="AK85" s="4">
        <v>0</v>
      </c>
      <c r="AL85" s="4" t="s">
        <v>1089</v>
      </c>
      <c r="AM85" s="4">
        <v>0</v>
      </c>
      <c r="AN85" s="4">
        <v>0.1</v>
      </c>
      <c r="AO85" s="4">
        <v>1</v>
      </c>
      <c r="AP85" s="4" t="s">
        <v>45</v>
      </c>
      <c r="AQ85" s="4">
        <v>0</v>
      </c>
      <c r="AR85" s="4" t="s">
        <v>1024</v>
      </c>
      <c r="AS85" s="4">
        <v>1</v>
      </c>
      <c r="AT85" s="4">
        <v>0</v>
      </c>
      <c r="AU85" s="4">
        <v>0</v>
      </c>
      <c r="AV85" s="4" t="s">
        <v>45</v>
      </c>
      <c r="AW85" s="4">
        <v>0</v>
      </c>
      <c r="AX85" s="4">
        <v>0</v>
      </c>
      <c r="AY85" s="4">
        <v>0</v>
      </c>
      <c r="AZ85" s="4">
        <v>2</v>
      </c>
      <c r="BA85" s="4">
        <v>0</v>
      </c>
      <c r="BB85" s="4">
        <v>0</v>
      </c>
      <c r="BC85" s="4">
        <v>1</v>
      </c>
      <c r="BD85" s="4">
        <v>0</v>
      </c>
      <c r="BE85" s="4">
        <v>0</v>
      </c>
      <c r="BF85" s="4">
        <v>0</v>
      </c>
      <c r="BG85" s="39">
        <v>0.25</v>
      </c>
      <c r="BH85" s="39">
        <v>0.1</v>
      </c>
      <c r="BI85" s="39">
        <v>2.5000000000000001E-2</v>
      </c>
      <c r="BJ85" s="39" t="s">
        <v>1082</v>
      </c>
      <c r="BK85" s="39">
        <v>1</v>
      </c>
      <c r="BL85" s="39">
        <v>0</v>
      </c>
      <c r="BM85" s="39">
        <v>0</v>
      </c>
    </row>
    <row r="86" spans="1:65" s="16" customFormat="1" x14ac:dyDescent="0.25">
      <c r="A86" s="16" t="s">
        <v>1710</v>
      </c>
      <c r="B86" s="39">
        <v>1</v>
      </c>
      <c r="C86" s="39">
        <v>1</v>
      </c>
      <c r="D86" s="39">
        <v>1</v>
      </c>
      <c r="E86" s="39">
        <v>11</v>
      </c>
      <c r="F86" s="39">
        <v>0</v>
      </c>
      <c r="G86" s="39">
        <v>0</v>
      </c>
      <c r="H86" s="40">
        <f>AVERAGE(21.6,12,10,13.1,30.5,38,15)</f>
        <v>20.028571428571428</v>
      </c>
      <c r="I86" s="41">
        <f>AVERAGE(0.54,1.5,1.5,0.86,0.24,0.54,0.85)</f>
        <v>0.86142857142857143</v>
      </c>
      <c r="J86" s="39">
        <v>1.0900000000000001</v>
      </c>
      <c r="K86" s="39" t="s">
        <v>929</v>
      </c>
      <c r="L86" s="39">
        <v>1</v>
      </c>
      <c r="M86" s="39">
        <v>0</v>
      </c>
      <c r="N86" s="4" t="s">
        <v>943</v>
      </c>
      <c r="O86" s="4">
        <v>0</v>
      </c>
      <c r="P86" s="4">
        <v>0</v>
      </c>
      <c r="Q86" s="4" t="s">
        <v>45</v>
      </c>
      <c r="R86" s="4" t="s">
        <v>45</v>
      </c>
      <c r="S86" s="4" t="s">
        <v>45</v>
      </c>
      <c r="T86" s="4" t="s">
        <v>45</v>
      </c>
      <c r="U86" s="4" t="s">
        <v>45</v>
      </c>
      <c r="V86" s="4" t="s">
        <v>45</v>
      </c>
      <c r="W86" s="4" t="s">
        <v>45</v>
      </c>
      <c r="X86" s="4" t="s">
        <v>45</v>
      </c>
      <c r="Y86" s="4" t="s">
        <v>45</v>
      </c>
      <c r="Z86" s="4">
        <v>1</v>
      </c>
      <c r="AA86" s="4" t="s">
        <v>974</v>
      </c>
      <c r="AB86" s="4" t="s">
        <v>981</v>
      </c>
      <c r="AC86" s="4" t="s">
        <v>1064</v>
      </c>
      <c r="AD86" s="39">
        <v>0</v>
      </c>
      <c r="AE86" s="4" t="s">
        <v>45</v>
      </c>
      <c r="AF86" s="4" t="s">
        <v>45</v>
      </c>
      <c r="AG86" s="4" t="s">
        <v>45</v>
      </c>
      <c r="AH86" s="4" t="s">
        <v>45</v>
      </c>
      <c r="AI86" s="4">
        <v>1</v>
      </c>
      <c r="AJ86" s="4" t="s">
        <v>999</v>
      </c>
      <c r="AK86" s="4">
        <v>0</v>
      </c>
      <c r="AL86" s="4" t="s">
        <v>1710</v>
      </c>
      <c r="AM86" s="4">
        <v>0</v>
      </c>
      <c r="AN86" s="4">
        <v>0</v>
      </c>
      <c r="AO86" s="4">
        <v>0</v>
      </c>
      <c r="AP86" s="4" t="s">
        <v>45</v>
      </c>
      <c r="AQ86" s="4">
        <v>0</v>
      </c>
      <c r="AR86" s="4" t="s">
        <v>673</v>
      </c>
      <c r="AS86" s="4">
        <v>0</v>
      </c>
      <c r="AT86" s="4">
        <v>0</v>
      </c>
      <c r="AU86" s="4">
        <v>0</v>
      </c>
      <c r="AV86" s="4" t="s">
        <v>45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1</v>
      </c>
      <c r="BD86" s="4">
        <v>0</v>
      </c>
      <c r="BE86" s="4">
        <v>0</v>
      </c>
      <c r="BF86" s="4">
        <v>0</v>
      </c>
      <c r="BG86" s="39">
        <v>0</v>
      </c>
      <c r="BH86" s="39">
        <v>0</v>
      </c>
      <c r="BI86" s="39">
        <v>0</v>
      </c>
      <c r="BJ86" s="39" t="s">
        <v>1082</v>
      </c>
      <c r="BK86" s="39">
        <v>0</v>
      </c>
      <c r="BL86" s="39">
        <v>0</v>
      </c>
      <c r="BM86" s="39">
        <v>0</v>
      </c>
    </row>
    <row r="87" spans="1:65" s="16" customFormat="1" x14ac:dyDescent="0.25">
      <c r="A87" s="16" t="s">
        <v>1861</v>
      </c>
      <c r="B87" s="39">
        <v>1</v>
      </c>
      <c r="C87" s="39">
        <v>1</v>
      </c>
      <c r="D87" s="39">
        <v>0</v>
      </c>
      <c r="E87" s="39">
        <v>11</v>
      </c>
      <c r="F87" s="39">
        <v>0</v>
      </c>
      <c r="G87" s="39">
        <v>0</v>
      </c>
      <c r="H87" s="40">
        <f>AVERAGE(21.6,12,10,13.1,30.5,38,15)</f>
        <v>20.028571428571428</v>
      </c>
      <c r="I87" s="41">
        <f>AVERAGE(0.54,1.5,1.5,0.86,0.24,0.54,0.85)</f>
        <v>0.86142857142857143</v>
      </c>
      <c r="J87" s="39">
        <v>1.0900000000000001</v>
      </c>
      <c r="K87" s="39" t="s">
        <v>929</v>
      </c>
      <c r="L87" s="39">
        <v>1</v>
      </c>
      <c r="M87" s="39">
        <v>0</v>
      </c>
      <c r="N87" s="4" t="s">
        <v>943</v>
      </c>
      <c r="O87" s="4">
        <v>0</v>
      </c>
      <c r="P87" s="4">
        <v>0</v>
      </c>
      <c r="Q87" s="4" t="s">
        <v>45</v>
      </c>
      <c r="R87" s="4" t="s">
        <v>45</v>
      </c>
      <c r="S87" s="4" t="s">
        <v>45</v>
      </c>
      <c r="T87" s="4" t="s">
        <v>45</v>
      </c>
      <c r="U87" s="4" t="s">
        <v>45</v>
      </c>
      <c r="V87" s="4" t="s">
        <v>45</v>
      </c>
      <c r="W87" s="4" t="s">
        <v>45</v>
      </c>
      <c r="X87" s="4" t="s">
        <v>45</v>
      </c>
      <c r="Y87" s="4" t="s">
        <v>45</v>
      </c>
      <c r="Z87" s="4">
        <v>1</v>
      </c>
      <c r="AA87" s="4" t="s">
        <v>974</v>
      </c>
      <c r="AB87" s="4" t="s">
        <v>981</v>
      </c>
      <c r="AC87" s="4" t="s">
        <v>1064</v>
      </c>
      <c r="AD87" s="39">
        <v>0</v>
      </c>
      <c r="AE87" s="4" t="s">
        <v>45</v>
      </c>
      <c r="AF87" s="4" t="s">
        <v>45</v>
      </c>
      <c r="AG87" s="4" t="s">
        <v>45</v>
      </c>
      <c r="AH87" s="4" t="s">
        <v>45</v>
      </c>
      <c r="AI87" s="4">
        <v>1</v>
      </c>
      <c r="AJ87" s="4" t="s">
        <v>999</v>
      </c>
      <c r="AK87" s="4">
        <v>0</v>
      </c>
      <c r="AL87" s="4" t="s">
        <v>1710</v>
      </c>
      <c r="AM87" s="4">
        <v>0</v>
      </c>
      <c r="AN87" s="4">
        <v>0</v>
      </c>
      <c r="AO87" s="4">
        <v>0.3</v>
      </c>
      <c r="AP87" s="4" t="s">
        <v>45</v>
      </c>
      <c r="AQ87" s="4">
        <v>0</v>
      </c>
      <c r="AR87" s="4" t="s">
        <v>1026</v>
      </c>
      <c r="AS87" s="4">
        <v>0</v>
      </c>
      <c r="AT87" s="4">
        <v>0</v>
      </c>
      <c r="AU87" s="4">
        <v>0</v>
      </c>
      <c r="AV87" s="4" t="s">
        <v>45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1</v>
      </c>
      <c r="BD87" s="4">
        <v>0</v>
      </c>
      <c r="BE87" s="4">
        <v>0</v>
      </c>
      <c r="BF87" s="4">
        <v>0</v>
      </c>
      <c r="BG87" s="39">
        <v>0</v>
      </c>
      <c r="BH87" s="39">
        <v>0</v>
      </c>
      <c r="BI87" s="39">
        <v>0</v>
      </c>
      <c r="BJ87" s="39" t="s">
        <v>1082</v>
      </c>
      <c r="BK87" s="39">
        <v>0</v>
      </c>
      <c r="BL87" s="39">
        <v>0</v>
      </c>
      <c r="BM87" s="39">
        <v>0</v>
      </c>
    </row>
    <row r="88" spans="1:65" s="16" customFormat="1" ht="15.75" customHeight="1" x14ac:dyDescent="0.25">
      <c r="A88" s="16" t="s">
        <v>1783</v>
      </c>
      <c r="B88" s="39">
        <v>1</v>
      </c>
      <c r="C88" s="39">
        <v>1</v>
      </c>
      <c r="D88" s="39">
        <v>0</v>
      </c>
      <c r="E88" s="39">
        <v>1</v>
      </c>
      <c r="F88" s="39">
        <v>0</v>
      </c>
      <c r="G88" s="39">
        <v>0</v>
      </c>
      <c r="H88" s="40">
        <v>1</v>
      </c>
      <c r="I88" s="41">
        <v>1</v>
      </c>
      <c r="J88" s="39">
        <v>1</v>
      </c>
      <c r="K88" s="39" t="s">
        <v>929</v>
      </c>
      <c r="L88" s="39">
        <v>0</v>
      </c>
      <c r="M88" s="39">
        <v>0</v>
      </c>
      <c r="N88" s="4" t="s">
        <v>940</v>
      </c>
      <c r="O88" s="4">
        <v>0</v>
      </c>
      <c r="P88" s="4">
        <v>0</v>
      </c>
      <c r="Q88" s="4" t="s">
        <v>45</v>
      </c>
      <c r="R88" s="4" t="s">
        <v>45</v>
      </c>
      <c r="S88" s="4" t="s">
        <v>45</v>
      </c>
      <c r="T88" s="4" t="s">
        <v>45</v>
      </c>
      <c r="U88" s="4" t="s">
        <v>45</v>
      </c>
      <c r="V88" s="4" t="s">
        <v>45</v>
      </c>
      <c r="W88" s="4" t="s">
        <v>45</v>
      </c>
      <c r="X88" s="4" t="s">
        <v>45</v>
      </c>
      <c r="Y88" s="4" t="s">
        <v>45</v>
      </c>
      <c r="Z88" s="4">
        <v>1.2</v>
      </c>
      <c r="AA88" s="4" t="s">
        <v>975</v>
      </c>
      <c r="AB88" s="4" t="s">
        <v>978</v>
      </c>
      <c r="AC88" s="4" t="s">
        <v>1064</v>
      </c>
      <c r="AD88" s="39">
        <v>1</v>
      </c>
      <c r="AE88" s="4">
        <v>0.75</v>
      </c>
      <c r="AF88" s="4" t="s">
        <v>1697</v>
      </c>
      <c r="AG88" s="4" t="s">
        <v>1699</v>
      </c>
      <c r="AH88" s="4" t="s">
        <v>952</v>
      </c>
      <c r="AI88" s="4">
        <v>1</v>
      </c>
      <c r="AJ88" s="4" t="s">
        <v>999</v>
      </c>
      <c r="AK88" s="4">
        <v>0</v>
      </c>
      <c r="AL88" s="4" t="s">
        <v>1873</v>
      </c>
      <c r="AM88" s="4">
        <v>0</v>
      </c>
      <c r="AN88" s="4">
        <v>0</v>
      </c>
      <c r="AO88" s="4">
        <v>0</v>
      </c>
      <c r="AP88" s="4" t="s">
        <v>45</v>
      </c>
      <c r="AQ88" s="4">
        <v>0</v>
      </c>
      <c r="AR88" s="4" t="s">
        <v>1026</v>
      </c>
      <c r="AS88" s="4">
        <v>1</v>
      </c>
      <c r="AT88" s="4">
        <v>0</v>
      </c>
      <c r="AU88" s="4">
        <v>0</v>
      </c>
      <c r="AV88" s="4" t="s">
        <v>45</v>
      </c>
      <c r="AW88" s="4">
        <v>1</v>
      </c>
      <c r="AX88" s="4">
        <v>1</v>
      </c>
      <c r="AY88" s="4">
        <v>0</v>
      </c>
      <c r="AZ88" s="4">
        <v>0</v>
      </c>
      <c r="BA88" s="4">
        <v>0</v>
      </c>
      <c r="BB88" s="4">
        <v>0</v>
      </c>
      <c r="BC88" s="4">
        <v>1</v>
      </c>
      <c r="BD88" s="4">
        <v>0</v>
      </c>
      <c r="BE88" s="4">
        <v>0</v>
      </c>
      <c r="BF88" s="4">
        <v>0</v>
      </c>
      <c r="BG88" s="39">
        <v>0</v>
      </c>
      <c r="BH88" s="39">
        <v>0.15</v>
      </c>
      <c r="BI88" s="39">
        <v>0.05</v>
      </c>
      <c r="BJ88" s="39" t="s">
        <v>1082</v>
      </c>
      <c r="BK88" s="39">
        <v>0</v>
      </c>
      <c r="BL88" s="39">
        <v>0</v>
      </c>
      <c r="BM88" s="39">
        <v>0</v>
      </c>
    </row>
    <row r="89" spans="1:65" ht="15.75" customHeight="1" x14ac:dyDescent="0.25">
      <c r="A89" t="s">
        <v>1813</v>
      </c>
      <c r="B89" s="39">
        <v>1</v>
      </c>
      <c r="C89" s="39">
        <v>1</v>
      </c>
      <c r="D89" s="39">
        <v>1</v>
      </c>
      <c r="E89" s="39">
        <v>1</v>
      </c>
      <c r="F89" s="39">
        <v>0</v>
      </c>
      <c r="G89" s="39">
        <v>0</v>
      </c>
      <c r="H89" s="40">
        <v>1</v>
      </c>
      <c r="I89" s="41">
        <v>1</v>
      </c>
      <c r="J89" s="39">
        <v>1</v>
      </c>
      <c r="K89" s="39" t="s">
        <v>929</v>
      </c>
      <c r="L89" s="39">
        <v>0</v>
      </c>
      <c r="M89" s="39">
        <v>0</v>
      </c>
      <c r="N89" s="4" t="s">
        <v>45</v>
      </c>
      <c r="O89" s="4">
        <v>0</v>
      </c>
      <c r="P89" s="4">
        <v>0</v>
      </c>
      <c r="Q89" s="4" t="s">
        <v>45</v>
      </c>
      <c r="R89" s="4" t="s">
        <v>45</v>
      </c>
      <c r="S89" s="4" t="s">
        <v>45</v>
      </c>
      <c r="T89" s="4" t="s">
        <v>45</v>
      </c>
      <c r="U89" s="4" t="s">
        <v>45</v>
      </c>
      <c r="V89" s="4" t="s">
        <v>45</v>
      </c>
      <c r="W89" s="4" t="s">
        <v>45</v>
      </c>
      <c r="X89" s="4" t="s">
        <v>45</v>
      </c>
      <c r="Y89" s="4" t="s">
        <v>45</v>
      </c>
      <c r="Z89" s="4" t="s">
        <v>45</v>
      </c>
      <c r="AA89" s="4" t="s">
        <v>45</v>
      </c>
      <c r="AB89" s="4" t="s">
        <v>45</v>
      </c>
      <c r="AC89" s="4" t="s">
        <v>45</v>
      </c>
      <c r="AD89" s="39">
        <v>1</v>
      </c>
      <c r="AE89" s="4">
        <v>0.75</v>
      </c>
      <c r="AF89" s="4" t="s">
        <v>1697</v>
      </c>
      <c r="AG89" s="4" t="s">
        <v>1843</v>
      </c>
      <c r="AH89" s="4" t="s">
        <v>955</v>
      </c>
      <c r="AI89" s="4">
        <v>1</v>
      </c>
      <c r="AJ89" s="4" t="s">
        <v>999</v>
      </c>
      <c r="AK89" s="4">
        <v>0</v>
      </c>
      <c r="AL89" s="4" t="s">
        <v>1874</v>
      </c>
      <c r="AM89" s="4">
        <v>0</v>
      </c>
      <c r="AN89" s="4">
        <v>0</v>
      </c>
      <c r="AO89" s="4">
        <v>0</v>
      </c>
      <c r="AP89" s="4" t="s">
        <v>45</v>
      </c>
      <c r="AQ89" s="4">
        <v>0</v>
      </c>
      <c r="AR89" s="4" t="s">
        <v>673</v>
      </c>
      <c r="AS89" s="4">
        <v>0</v>
      </c>
      <c r="AT89" s="4">
        <v>0</v>
      </c>
      <c r="AU89" s="4">
        <v>0</v>
      </c>
      <c r="AV89" s="4" t="s">
        <v>45</v>
      </c>
      <c r="AW89" s="4">
        <v>1</v>
      </c>
      <c r="AX89" s="4">
        <v>1</v>
      </c>
      <c r="AY89" s="4">
        <v>0</v>
      </c>
      <c r="AZ89" s="4">
        <v>0</v>
      </c>
      <c r="BA89" s="4">
        <v>0</v>
      </c>
      <c r="BB89" s="4">
        <v>0</v>
      </c>
      <c r="BC89" s="4">
        <v>1</v>
      </c>
      <c r="BD89" s="4">
        <v>0</v>
      </c>
      <c r="BE89" s="4">
        <v>0</v>
      </c>
      <c r="BF89" s="4">
        <v>0</v>
      </c>
      <c r="BG89" s="39">
        <v>0</v>
      </c>
      <c r="BH89" s="39">
        <v>0</v>
      </c>
      <c r="BI89" s="39">
        <v>0</v>
      </c>
      <c r="BJ89" s="39" t="s">
        <v>1082</v>
      </c>
      <c r="BK89" s="39">
        <v>0</v>
      </c>
      <c r="BL89" s="39">
        <v>0</v>
      </c>
      <c r="BM89" s="39">
        <v>0</v>
      </c>
    </row>
    <row r="90" spans="1:65" s="16" customFormat="1" ht="15.75" customHeight="1" x14ac:dyDescent="0.25">
      <c r="A90" s="16" t="s">
        <v>1844</v>
      </c>
      <c r="B90" s="39">
        <v>1</v>
      </c>
      <c r="C90" s="39">
        <v>1</v>
      </c>
      <c r="D90" s="39">
        <v>1</v>
      </c>
      <c r="E90" s="39">
        <v>1</v>
      </c>
      <c r="F90" s="39">
        <v>0</v>
      </c>
      <c r="G90" s="39">
        <v>0</v>
      </c>
      <c r="H90" s="40">
        <f>AVERAGE(21.6,12,10,13.1,30.5,38,15)</f>
        <v>20.028571428571428</v>
      </c>
      <c r="I90" s="41">
        <f>AVERAGE(0.54,1.5,1.5,0.86,0.24,0.54,0.85)</f>
        <v>0.86142857142857143</v>
      </c>
      <c r="J90" s="39">
        <v>1.0900000000000001</v>
      </c>
      <c r="K90" s="39" t="s">
        <v>929</v>
      </c>
      <c r="L90" s="39">
        <v>0</v>
      </c>
      <c r="M90" s="39">
        <v>0</v>
      </c>
      <c r="N90" s="4" t="s">
        <v>45</v>
      </c>
      <c r="O90" s="4">
        <v>0</v>
      </c>
      <c r="P90" s="4">
        <v>0</v>
      </c>
      <c r="Q90" s="4" t="s">
        <v>45</v>
      </c>
      <c r="R90" s="4" t="s">
        <v>45</v>
      </c>
      <c r="S90" s="4" t="s">
        <v>45</v>
      </c>
      <c r="T90" s="4" t="s">
        <v>45</v>
      </c>
      <c r="U90" s="4" t="s">
        <v>45</v>
      </c>
      <c r="V90" s="4" t="s">
        <v>45</v>
      </c>
      <c r="W90" s="4" t="s">
        <v>45</v>
      </c>
      <c r="X90" s="4" t="s">
        <v>45</v>
      </c>
      <c r="Y90" s="4" t="s">
        <v>45</v>
      </c>
      <c r="Z90" s="4" t="s">
        <v>45</v>
      </c>
      <c r="AA90" s="4" t="s">
        <v>45</v>
      </c>
      <c r="AB90" s="4" t="s">
        <v>45</v>
      </c>
      <c r="AC90" s="4" t="s">
        <v>45</v>
      </c>
      <c r="AD90" s="39">
        <v>1</v>
      </c>
      <c r="AE90" s="4">
        <v>0.75</v>
      </c>
      <c r="AF90" s="4" t="s">
        <v>1697</v>
      </c>
      <c r="AG90" s="4" t="s">
        <v>1699</v>
      </c>
      <c r="AH90" s="4" t="s">
        <v>955</v>
      </c>
      <c r="AI90" s="4">
        <v>1</v>
      </c>
      <c r="AJ90" s="4" t="s">
        <v>999</v>
      </c>
      <c r="AK90" s="4">
        <v>0</v>
      </c>
      <c r="AL90" s="4" t="s">
        <v>1698</v>
      </c>
      <c r="AM90" s="4">
        <v>0</v>
      </c>
      <c r="AN90" s="4">
        <v>0</v>
      </c>
      <c r="AO90" s="4">
        <v>0</v>
      </c>
      <c r="AP90" s="4" t="s">
        <v>45</v>
      </c>
      <c r="AQ90" s="4">
        <v>0</v>
      </c>
      <c r="AR90" s="4" t="s">
        <v>673</v>
      </c>
      <c r="AS90" s="4">
        <v>0</v>
      </c>
      <c r="AT90" s="4">
        <v>0</v>
      </c>
      <c r="AU90" s="4">
        <v>0</v>
      </c>
      <c r="AV90" s="4" t="s">
        <v>45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1</v>
      </c>
      <c r="BD90" s="4">
        <v>0</v>
      </c>
      <c r="BE90" s="4">
        <v>0</v>
      </c>
      <c r="BF90" s="4">
        <v>0</v>
      </c>
      <c r="BG90" s="39">
        <v>0.25</v>
      </c>
      <c r="BH90" s="39">
        <v>0.1</v>
      </c>
      <c r="BI90" s="39">
        <v>2.5000000000000001E-2</v>
      </c>
      <c r="BJ90" s="39" t="s">
        <v>1083</v>
      </c>
      <c r="BK90" s="39">
        <v>0</v>
      </c>
      <c r="BL90" s="39">
        <v>0</v>
      </c>
      <c r="BM90" s="39">
        <v>0</v>
      </c>
    </row>
    <row r="91" spans="1:65" s="16" customFormat="1" ht="15.75" customHeight="1" x14ac:dyDescent="0.25">
      <c r="A91" s="16" t="s">
        <v>1866</v>
      </c>
      <c r="B91" s="39">
        <v>1</v>
      </c>
      <c r="C91" s="39">
        <v>1</v>
      </c>
      <c r="D91" s="39">
        <v>1</v>
      </c>
      <c r="E91" s="39">
        <v>1</v>
      </c>
      <c r="F91" s="39">
        <v>0</v>
      </c>
      <c r="G91" s="39">
        <v>0</v>
      </c>
      <c r="H91" s="40">
        <f>AVERAGE(21.6,12,10,13.1,30.5,38,15)</f>
        <v>20.028571428571428</v>
      </c>
      <c r="I91" s="41">
        <f>AVERAGE(0.54,1.5,1.5,0.86,0.24,0.54,0.85)</f>
        <v>0.86142857142857143</v>
      </c>
      <c r="J91" s="39">
        <v>1.0900000000000001</v>
      </c>
      <c r="K91" s="39" t="s">
        <v>929</v>
      </c>
      <c r="L91" s="39">
        <v>0</v>
      </c>
      <c r="M91" s="39">
        <v>0</v>
      </c>
      <c r="N91" s="4" t="s">
        <v>45</v>
      </c>
      <c r="O91" s="4">
        <v>0</v>
      </c>
      <c r="P91" s="4">
        <v>0</v>
      </c>
      <c r="Q91" s="4" t="s">
        <v>45</v>
      </c>
      <c r="R91" s="4" t="s">
        <v>45</v>
      </c>
      <c r="S91" s="4" t="s">
        <v>45</v>
      </c>
      <c r="T91" s="4" t="s">
        <v>45</v>
      </c>
      <c r="U91" s="4" t="s">
        <v>45</v>
      </c>
      <c r="V91" s="4" t="s">
        <v>45</v>
      </c>
      <c r="W91" s="4" t="s">
        <v>45</v>
      </c>
      <c r="X91" s="4" t="s">
        <v>45</v>
      </c>
      <c r="Y91" s="4" t="s">
        <v>45</v>
      </c>
      <c r="Z91" s="4" t="s">
        <v>45</v>
      </c>
      <c r="AA91" s="4" t="s">
        <v>45</v>
      </c>
      <c r="AB91" s="4" t="s">
        <v>45</v>
      </c>
      <c r="AC91" s="4" t="s">
        <v>45</v>
      </c>
      <c r="AD91" s="39">
        <v>1</v>
      </c>
      <c r="AE91" s="4">
        <v>0.75</v>
      </c>
      <c r="AF91" s="4" t="s">
        <v>1697</v>
      </c>
      <c r="AG91" s="4" t="s">
        <v>1699</v>
      </c>
      <c r="AH91" s="4" t="s">
        <v>955</v>
      </c>
      <c r="AI91" s="4">
        <v>1</v>
      </c>
      <c r="AJ91" s="4" t="s">
        <v>999</v>
      </c>
      <c r="AK91" s="4">
        <v>0</v>
      </c>
      <c r="AL91" s="4" t="s">
        <v>1698</v>
      </c>
      <c r="AM91" s="4">
        <v>0</v>
      </c>
      <c r="AN91" s="4">
        <v>0</v>
      </c>
      <c r="AO91" s="4">
        <v>0</v>
      </c>
      <c r="AP91" s="4" t="s">
        <v>45</v>
      </c>
      <c r="AQ91" s="4">
        <v>0</v>
      </c>
      <c r="AR91" s="4" t="s">
        <v>673</v>
      </c>
      <c r="AS91" s="4">
        <v>0</v>
      </c>
      <c r="AT91" s="4">
        <v>0</v>
      </c>
      <c r="AU91" s="4">
        <v>0</v>
      </c>
      <c r="AV91" s="4" t="s">
        <v>45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1</v>
      </c>
      <c r="BD91" s="4">
        <v>0</v>
      </c>
      <c r="BE91" s="4">
        <v>0</v>
      </c>
      <c r="BF91" s="4">
        <v>0</v>
      </c>
      <c r="BG91" s="39">
        <v>0.25</v>
      </c>
      <c r="BH91" s="39">
        <v>0.1</v>
      </c>
      <c r="BI91" s="39">
        <v>2.5000000000000001E-2</v>
      </c>
      <c r="BJ91" s="39" t="s">
        <v>1083</v>
      </c>
      <c r="BK91" s="39">
        <v>0</v>
      </c>
      <c r="BL91" s="39">
        <v>0</v>
      </c>
      <c r="BM91" s="39">
        <v>0</v>
      </c>
    </row>
    <row r="92" spans="1:65" s="16" customFormat="1" ht="15.75" customHeight="1" x14ac:dyDescent="0.25">
      <c r="A92" s="16" t="s">
        <v>1865</v>
      </c>
      <c r="B92" s="39">
        <v>1</v>
      </c>
      <c r="C92" s="39">
        <v>1</v>
      </c>
      <c r="D92" s="39">
        <v>1</v>
      </c>
      <c r="E92" s="39">
        <v>1</v>
      </c>
      <c r="F92" s="39">
        <v>0</v>
      </c>
      <c r="G92" s="39">
        <v>0</v>
      </c>
      <c r="H92" s="40">
        <f>AVERAGE(21.6,12,10,13.1,30.5,38,15)</f>
        <v>20.028571428571428</v>
      </c>
      <c r="I92" s="41">
        <f>AVERAGE(0.54,1.5,1.5,0.86,0.24,0.54,0.85)</f>
        <v>0.86142857142857143</v>
      </c>
      <c r="J92" s="39">
        <v>1.0900000000000001</v>
      </c>
      <c r="K92" s="39" t="s">
        <v>929</v>
      </c>
      <c r="L92" s="39">
        <v>0</v>
      </c>
      <c r="M92" s="39">
        <v>0</v>
      </c>
      <c r="N92" s="4" t="s">
        <v>943</v>
      </c>
      <c r="O92" s="4">
        <v>0</v>
      </c>
      <c r="P92" s="4">
        <v>0</v>
      </c>
      <c r="Q92" s="4" t="s">
        <v>45</v>
      </c>
      <c r="R92" s="4" t="s">
        <v>45</v>
      </c>
      <c r="S92" s="4" t="s">
        <v>45</v>
      </c>
      <c r="T92" s="4" t="s">
        <v>45</v>
      </c>
      <c r="U92" s="4" t="s">
        <v>45</v>
      </c>
      <c r="V92" s="4" t="s">
        <v>45</v>
      </c>
      <c r="W92" s="4" t="s">
        <v>45</v>
      </c>
      <c r="X92" s="4" t="s">
        <v>45</v>
      </c>
      <c r="Y92" s="4" t="s">
        <v>45</v>
      </c>
      <c r="Z92" s="4">
        <v>1</v>
      </c>
      <c r="AA92" s="4" t="s">
        <v>972</v>
      </c>
      <c r="AB92" s="4" t="s">
        <v>977</v>
      </c>
      <c r="AC92" s="4" t="s">
        <v>1064</v>
      </c>
      <c r="AD92" s="39">
        <v>1</v>
      </c>
      <c r="AE92" s="4">
        <v>0.75</v>
      </c>
      <c r="AF92" s="4" t="s">
        <v>1697</v>
      </c>
      <c r="AG92" s="4" t="s">
        <v>1699</v>
      </c>
      <c r="AH92" s="4" t="s">
        <v>955</v>
      </c>
      <c r="AI92" s="4">
        <v>1</v>
      </c>
      <c r="AJ92" s="4" t="s">
        <v>999</v>
      </c>
      <c r="AK92" s="4">
        <v>0</v>
      </c>
      <c r="AL92" s="4" t="s">
        <v>1875</v>
      </c>
      <c r="AM92" s="4">
        <v>0</v>
      </c>
      <c r="AN92" s="4">
        <v>2.5000000000000001E-2</v>
      </c>
      <c r="AO92" s="4">
        <v>0.1</v>
      </c>
      <c r="AP92" s="4" t="s">
        <v>45</v>
      </c>
      <c r="AQ92" s="4">
        <v>0</v>
      </c>
      <c r="AR92" s="4" t="s">
        <v>673</v>
      </c>
      <c r="AS92" s="4">
        <v>0</v>
      </c>
      <c r="AT92" s="4">
        <v>0</v>
      </c>
      <c r="AU92" s="4">
        <v>0</v>
      </c>
      <c r="AV92" s="4" t="s">
        <v>45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39">
        <v>0.25</v>
      </c>
      <c r="BH92" s="39">
        <v>0.1</v>
      </c>
      <c r="BI92" s="39">
        <v>2.5000000000000001E-2</v>
      </c>
      <c r="BJ92" s="39" t="s">
        <v>1083</v>
      </c>
      <c r="BK92" s="39">
        <v>0</v>
      </c>
      <c r="BL92" s="39">
        <v>0</v>
      </c>
      <c r="BM92" s="39">
        <v>0</v>
      </c>
    </row>
    <row r="93" spans="1:65" s="16" customFormat="1" ht="15.75" customHeight="1" x14ac:dyDescent="0.25">
      <c r="A93" s="16" t="s">
        <v>1811</v>
      </c>
      <c r="B93" s="39">
        <v>2</v>
      </c>
      <c r="C93" s="39">
        <v>1</v>
      </c>
      <c r="D93" s="39">
        <v>0</v>
      </c>
      <c r="E93" s="39">
        <v>1</v>
      </c>
      <c r="F93" s="39">
        <v>0</v>
      </c>
      <c r="G93" s="39">
        <v>0</v>
      </c>
      <c r="H93" s="40">
        <v>95</v>
      </c>
      <c r="I93" s="41">
        <f>H93/1000/AVERAGE(4.6)</f>
        <v>2.065217391304348E-2</v>
      </c>
      <c r="J93" s="39">
        <v>1</v>
      </c>
      <c r="K93" s="39" t="s">
        <v>929</v>
      </c>
      <c r="L93" s="39">
        <v>0</v>
      </c>
      <c r="M93" s="39">
        <v>0</v>
      </c>
      <c r="N93" s="4" t="s">
        <v>45</v>
      </c>
      <c r="O93" s="4">
        <v>0</v>
      </c>
      <c r="P93" s="4">
        <v>0</v>
      </c>
      <c r="Q93" s="4" t="s">
        <v>45</v>
      </c>
      <c r="R93" s="4" t="s">
        <v>45</v>
      </c>
      <c r="S93" s="4" t="s">
        <v>45</v>
      </c>
      <c r="T93" s="4" t="s">
        <v>45</v>
      </c>
      <c r="U93" s="4">
        <v>3</v>
      </c>
      <c r="V93" s="4">
        <v>1.3</v>
      </c>
      <c r="W93" s="4" t="s">
        <v>965</v>
      </c>
      <c r="X93" s="4" t="s">
        <v>1788</v>
      </c>
      <c r="Y93" s="4" t="s">
        <v>1318</v>
      </c>
      <c r="Z93" s="4" t="s">
        <v>45</v>
      </c>
      <c r="AA93" s="4" t="s">
        <v>45</v>
      </c>
      <c r="AB93" s="4" t="s">
        <v>45</v>
      </c>
      <c r="AC93" s="4" t="s">
        <v>45</v>
      </c>
      <c r="AD93" s="39">
        <v>0</v>
      </c>
      <c r="AE93" s="4" t="s">
        <v>45</v>
      </c>
      <c r="AF93" s="4" t="s">
        <v>45</v>
      </c>
      <c r="AG93" s="4" t="s">
        <v>45</v>
      </c>
      <c r="AH93" s="4" t="s">
        <v>45</v>
      </c>
      <c r="AI93" s="4">
        <v>1</v>
      </c>
      <c r="AJ93" s="4" t="s">
        <v>999</v>
      </c>
      <c r="AK93" s="4">
        <v>0</v>
      </c>
      <c r="AL93" s="4" t="s">
        <v>1879</v>
      </c>
      <c r="AM93" s="4">
        <v>0</v>
      </c>
      <c r="AN93" s="4">
        <v>0</v>
      </c>
      <c r="AO93" s="4">
        <v>0</v>
      </c>
      <c r="AP93" s="4" t="s">
        <v>45</v>
      </c>
      <c r="AQ93" s="4">
        <v>0</v>
      </c>
      <c r="AR93" s="4" t="s">
        <v>1026</v>
      </c>
      <c r="AS93" s="4">
        <v>0</v>
      </c>
      <c r="AT93" s="4">
        <v>0</v>
      </c>
      <c r="AU93" s="4">
        <v>0</v>
      </c>
      <c r="AV93" s="4" t="s">
        <v>45</v>
      </c>
      <c r="AW93" s="4">
        <v>1</v>
      </c>
      <c r="AX93" s="4">
        <v>1</v>
      </c>
      <c r="AY93" s="4">
        <v>1</v>
      </c>
      <c r="AZ93" s="4">
        <v>0</v>
      </c>
      <c r="BA93" s="4">
        <v>0</v>
      </c>
      <c r="BB93" s="4">
        <v>0</v>
      </c>
      <c r="BC93" s="4">
        <v>1</v>
      </c>
      <c r="BD93" s="4">
        <v>0</v>
      </c>
      <c r="BE93" s="4">
        <v>0</v>
      </c>
      <c r="BF93" s="4">
        <v>0</v>
      </c>
      <c r="BG93" s="39">
        <v>0.25</v>
      </c>
      <c r="BH93" s="39">
        <v>0.1</v>
      </c>
      <c r="BI93" s="39">
        <v>2.5000000000000001E-2</v>
      </c>
      <c r="BJ93" s="39" t="s">
        <v>1083</v>
      </c>
      <c r="BK93" s="39">
        <v>0</v>
      </c>
      <c r="BL93" s="39">
        <v>0</v>
      </c>
      <c r="BM93" s="39">
        <v>0</v>
      </c>
    </row>
    <row r="94" spans="1:65" s="16" customFormat="1" ht="15.75" customHeight="1" x14ac:dyDescent="0.25">
      <c r="A94" s="16" t="s">
        <v>1871</v>
      </c>
      <c r="B94" s="39">
        <v>2</v>
      </c>
      <c r="C94" s="39">
        <v>1</v>
      </c>
      <c r="D94" s="39">
        <v>0</v>
      </c>
      <c r="E94" s="39">
        <v>1</v>
      </c>
      <c r="F94" s="39">
        <v>0</v>
      </c>
      <c r="G94" s="39">
        <v>0</v>
      </c>
      <c r="H94" s="40">
        <f>AVERAGE(204.4,4.35)</f>
        <v>104.375</v>
      </c>
      <c r="I94" s="41">
        <f>AVERAGE(5.3%,380%)</f>
        <v>1.9264999999999999</v>
      </c>
      <c r="J94" s="39">
        <v>1</v>
      </c>
      <c r="K94" s="39">
        <v>0.7</v>
      </c>
      <c r="L94" s="39">
        <v>0</v>
      </c>
      <c r="M94" s="39">
        <v>0</v>
      </c>
      <c r="N94" s="4" t="s">
        <v>938</v>
      </c>
      <c r="O94" s="4">
        <v>0</v>
      </c>
      <c r="P94" s="4">
        <v>0</v>
      </c>
      <c r="Q94" s="4" t="s">
        <v>45</v>
      </c>
      <c r="R94" s="4" t="s">
        <v>45</v>
      </c>
      <c r="S94" s="4" t="s">
        <v>45</v>
      </c>
      <c r="T94" s="4" t="s">
        <v>45</v>
      </c>
      <c r="U94" s="4" t="s">
        <v>45</v>
      </c>
      <c r="V94" s="4" t="s">
        <v>45</v>
      </c>
      <c r="W94" s="4" t="s">
        <v>45</v>
      </c>
      <c r="X94" s="4" t="s">
        <v>45</v>
      </c>
      <c r="Y94" s="4" t="s">
        <v>45</v>
      </c>
      <c r="Z94" s="4">
        <v>0.9</v>
      </c>
      <c r="AA94" s="4" t="s">
        <v>1803</v>
      </c>
      <c r="AB94" s="4" t="s">
        <v>1804</v>
      </c>
      <c r="AC94" s="4" t="s">
        <v>1064</v>
      </c>
      <c r="AD94" s="4">
        <v>1</v>
      </c>
      <c r="AE94" s="4">
        <v>0.8</v>
      </c>
      <c r="AF94" s="4" t="s">
        <v>965</v>
      </c>
      <c r="AG94" s="4" t="s">
        <v>1802</v>
      </c>
      <c r="AH94" s="4" t="s">
        <v>952</v>
      </c>
      <c r="AI94" s="4">
        <v>1</v>
      </c>
      <c r="AJ94" s="4" t="s">
        <v>999</v>
      </c>
      <c r="AK94" s="4">
        <v>0</v>
      </c>
      <c r="AL94" s="4" t="s">
        <v>1870</v>
      </c>
      <c r="AM94" s="4">
        <v>0</v>
      </c>
      <c r="AN94" s="4">
        <v>2.5000000000000001E-2</v>
      </c>
      <c r="AO94" s="4">
        <v>0.1</v>
      </c>
      <c r="AP94" s="4" t="s">
        <v>45</v>
      </c>
      <c r="AQ94" s="4">
        <v>0</v>
      </c>
      <c r="AR94" s="4" t="s">
        <v>1026</v>
      </c>
      <c r="AS94" s="4">
        <v>1</v>
      </c>
      <c r="AT94" s="4">
        <v>0</v>
      </c>
      <c r="AU94" s="4">
        <v>0</v>
      </c>
      <c r="AV94" s="4" t="s">
        <v>45</v>
      </c>
      <c r="AW94" s="4">
        <v>1</v>
      </c>
      <c r="AX94" s="4">
        <v>1</v>
      </c>
      <c r="AY94" s="4">
        <v>1</v>
      </c>
      <c r="AZ94" s="4">
        <v>0</v>
      </c>
      <c r="BA94" s="4">
        <v>1</v>
      </c>
      <c r="BB94" s="4">
        <v>0</v>
      </c>
      <c r="BC94" s="4">
        <v>1</v>
      </c>
      <c r="BD94" s="4">
        <v>0</v>
      </c>
      <c r="BE94" s="4">
        <v>0</v>
      </c>
      <c r="BF94" s="4">
        <v>0</v>
      </c>
      <c r="BG94" s="39">
        <v>0.25</v>
      </c>
      <c r="BH94" s="39">
        <v>0.1</v>
      </c>
      <c r="BI94" s="39">
        <v>2.5000000000000001E-2</v>
      </c>
      <c r="BJ94" s="39" t="s">
        <v>1083</v>
      </c>
      <c r="BK94" s="39">
        <v>0</v>
      </c>
      <c r="BL94" s="39">
        <v>0</v>
      </c>
      <c r="BM94" s="39">
        <v>0</v>
      </c>
    </row>
    <row r="95" spans="1:65" s="16" customFormat="1" ht="15.75" customHeight="1" x14ac:dyDescent="0.25">
      <c r="A95" s="16" t="s">
        <v>1877</v>
      </c>
      <c r="B95" s="39">
        <v>2</v>
      </c>
      <c r="C95" s="39">
        <v>1</v>
      </c>
      <c r="D95" s="39">
        <v>0</v>
      </c>
      <c r="E95" s="39">
        <v>1</v>
      </c>
      <c r="F95" s="39">
        <v>0</v>
      </c>
      <c r="G95" s="39">
        <v>0</v>
      </c>
      <c r="H95" s="40">
        <f>AVERAGE(204.4,4.35)</f>
        <v>104.375</v>
      </c>
      <c r="I95" s="41">
        <f>AVERAGE(5.3%,380%)</f>
        <v>1.9264999999999999</v>
      </c>
      <c r="J95" s="39">
        <v>1</v>
      </c>
      <c r="K95" s="39">
        <v>0.7</v>
      </c>
      <c r="L95" s="39">
        <v>0</v>
      </c>
      <c r="M95" s="39">
        <v>0</v>
      </c>
      <c r="N95" s="4" t="s">
        <v>938</v>
      </c>
      <c r="O95" s="4">
        <v>0</v>
      </c>
      <c r="P95" s="4">
        <v>0</v>
      </c>
      <c r="Q95" s="4" t="s">
        <v>45</v>
      </c>
      <c r="R95" s="4" t="s">
        <v>45</v>
      </c>
      <c r="S95" s="4" t="s">
        <v>45</v>
      </c>
      <c r="T95" s="4" t="s">
        <v>45</v>
      </c>
      <c r="U95" s="4" t="s">
        <v>45</v>
      </c>
      <c r="V95" s="4" t="s">
        <v>45</v>
      </c>
      <c r="W95" s="4" t="s">
        <v>45</v>
      </c>
      <c r="X95" s="4" t="s">
        <v>45</v>
      </c>
      <c r="Y95" s="4" t="s">
        <v>45</v>
      </c>
      <c r="Z95" s="4">
        <v>0.9</v>
      </c>
      <c r="AA95" s="4" t="s">
        <v>1803</v>
      </c>
      <c r="AB95" s="4" t="s">
        <v>1804</v>
      </c>
      <c r="AC95" s="4" t="s">
        <v>1064</v>
      </c>
      <c r="AD95" s="4">
        <v>1</v>
      </c>
      <c r="AE95" s="4">
        <v>0.8</v>
      </c>
      <c r="AF95" s="4" t="s">
        <v>965</v>
      </c>
      <c r="AG95" s="4" t="s">
        <v>1802</v>
      </c>
      <c r="AH95" s="4" t="s">
        <v>1801</v>
      </c>
      <c r="AI95" s="4">
        <v>1</v>
      </c>
      <c r="AJ95" s="4" t="s">
        <v>999</v>
      </c>
      <c r="AK95" s="4">
        <v>0</v>
      </c>
      <c r="AL95" s="4" t="s">
        <v>1870</v>
      </c>
      <c r="AM95" s="4">
        <v>0</v>
      </c>
      <c r="AN95" s="4">
        <v>0.1</v>
      </c>
      <c r="AO95" s="4">
        <v>0.3</v>
      </c>
      <c r="AP95" s="4" t="s">
        <v>45</v>
      </c>
      <c r="AQ95" s="4">
        <v>0</v>
      </c>
      <c r="AR95" s="4" t="s">
        <v>1026</v>
      </c>
      <c r="AS95" s="4">
        <v>1</v>
      </c>
      <c r="AT95" s="4">
        <v>0</v>
      </c>
      <c r="AU95" s="4">
        <v>0</v>
      </c>
      <c r="AV95" s="4" t="s">
        <v>45</v>
      </c>
      <c r="AW95" s="4">
        <v>1</v>
      </c>
      <c r="AX95" s="4">
        <v>1</v>
      </c>
      <c r="AY95" s="4">
        <v>1</v>
      </c>
      <c r="AZ95" s="4">
        <v>0</v>
      </c>
      <c r="BA95" s="4">
        <v>1</v>
      </c>
      <c r="BB95" s="4">
        <v>0</v>
      </c>
      <c r="BC95" s="4">
        <v>1</v>
      </c>
      <c r="BD95" s="4">
        <v>0</v>
      </c>
      <c r="BE95" s="4">
        <v>0</v>
      </c>
      <c r="BF95" s="4">
        <v>0</v>
      </c>
      <c r="BG95" s="39">
        <v>0.25</v>
      </c>
      <c r="BH95" s="39">
        <v>0.1</v>
      </c>
      <c r="BI95" s="39">
        <v>2.5000000000000001E-2</v>
      </c>
      <c r="BJ95" s="39" t="s">
        <v>1083</v>
      </c>
      <c r="BK95" s="39">
        <v>0</v>
      </c>
      <c r="BL95" s="39">
        <v>0</v>
      </c>
      <c r="BM95" s="39">
        <v>0</v>
      </c>
    </row>
    <row r="96" spans="1:65" s="16" customFormat="1" ht="15.75" customHeight="1" x14ac:dyDescent="0.25">
      <c r="A96" s="16" t="s">
        <v>1711</v>
      </c>
      <c r="B96" s="39">
        <v>2</v>
      </c>
      <c r="C96" s="39">
        <v>1</v>
      </c>
      <c r="D96" s="39">
        <v>0</v>
      </c>
      <c r="E96" s="39">
        <v>1</v>
      </c>
      <c r="F96" s="39">
        <v>0</v>
      </c>
      <c r="G96" s="39">
        <v>0</v>
      </c>
      <c r="H96" s="40">
        <f>AVERAGE(204.4,4.35)</f>
        <v>104.375</v>
      </c>
      <c r="I96" s="41">
        <f>AVERAGE(5.3%,380%)</f>
        <v>1.9264999999999999</v>
      </c>
      <c r="J96" s="39">
        <v>1</v>
      </c>
      <c r="K96" s="39">
        <v>0.7</v>
      </c>
      <c r="L96" s="39">
        <v>1</v>
      </c>
      <c r="M96" s="39">
        <v>0</v>
      </c>
      <c r="N96" s="4" t="s">
        <v>940</v>
      </c>
      <c r="O96" s="4">
        <v>0</v>
      </c>
      <c r="P96" s="4">
        <v>0</v>
      </c>
      <c r="Q96" s="4" t="s">
        <v>45</v>
      </c>
      <c r="R96" s="4" t="s">
        <v>45</v>
      </c>
      <c r="S96" s="4" t="s">
        <v>45</v>
      </c>
      <c r="T96" s="4" t="s">
        <v>45</v>
      </c>
      <c r="U96" s="4" t="s">
        <v>45</v>
      </c>
      <c r="V96" s="4" t="s">
        <v>45</v>
      </c>
      <c r="W96" s="4" t="s">
        <v>45</v>
      </c>
      <c r="X96" s="4" t="s">
        <v>45</v>
      </c>
      <c r="Y96" s="4" t="s">
        <v>45</v>
      </c>
      <c r="Z96" s="4">
        <v>1</v>
      </c>
      <c r="AA96" s="4" t="s">
        <v>975</v>
      </c>
      <c r="AB96" s="4" t="s">
        <v>978</v>
      </c>
      <c r="AC96" s="4" t="s">
        <v>1065</v>
      </c>
      <c r="AD96" s="39">
        <v>1</v>
      </c>
      <c r="AE96" s="4">
        <v>0.7</v>
      </c>
      <c r="AF96" s="4" t="s">
        <v>1746</v>
      </c>
      <c r="AG96" s="4" t="s">
        <v>993</v>
      </c>
      <c r="AH96" s="4" t="s">
        <v>952</v>
      </c>
      <c r="AI96" s="4">
        <v>1</v>
      </c>
      <c r="AJ96" s="4" t="s">
        <v>1000</v>
      </c>
      <c r="AK96" s="4">
        <v>0</v>
      </c>
      <c r="AL96" s="4" t="s">
        <v>1006</v>
      </c>
      <c r="AM96" s="4">
        <v>1</v>
      </c>
      <c r="AN96" s="4">
        <v>0.1</v>
      </c>
      <c r="AO96" s="4">
        <v>0.3</v>
      </c>
      <c r="AP96" s="4" t="s">
        <v>45</v>
      </c>
      <c r="AQ96" s="4">
        <v>0</v>
      </c>
      <c r="AR96" s="4" t="s">
        <v>1026</v>
      </c>
      <c r="AS96" s="4">
        <v>0</v>
      </c>
      <c r="AT96" s="4">
        <v>0</v>
      </c>
      <c r="AU96" s="4">
        <v>0</v>
      </c>
      <c r="AV96" s="4" t="s">
        <v>45</v>
      </c>
      <c r="AW96" s="4">
        <v>0</v>
      </c>
      <c r="AX96" s="4">
        <v>1</v>
      </c>
      <c r="AY96" s="4">
        <v>1</v>
      </c>
      <c r="AZ96" s="4">
        <v>0</v>
      </c>
      <c r="BA96" s="4">
        <v>0</v>
      </c>
      <c r="BB96" s="4">
        <v>0</v>
      </c>
      <c r="BC96" s="4">
        <v>1</v>
      </c>
      <c r="BD96" s="4">
        <v>0</v>
      </c>
      <c r="BE96" s="4">
        <v>0</v>
      </c>
      <c r="BF96" s="4">
        <v>0</v>
      </c>
      <c r="BG96" s="39">
        <v>0.25</v>
      </c>
      <c r="BH96" s="39">
        <v>0.15</v>
      </c>
      <c r="BI96" s="39">
        <v>2.5000000000000001E-2</v>
      </c>
      <c r="BJ96" s="39" t="s">
        <v>1080</v>
      </c>
      <c r="BK96" s="39">
        <v>1</v>
      </c>
      <c r="BL96" s="39">
        <v>0</v>
      </c>
      <c r="BM96" s="39">
        <v>0</v>
      </c>
    </row>
    <row r="97" spans="1:65" s="16" customFormat="1" ht="15.75" customHeight="1" x14ac:dyDescent="0.25">
      <c r="A97" s="16" t="s">
        <v>1756</v>
      </c>
      <c r="B97" s="39">
        <v>2</v>
      </c>
      <c r="C97" s="39">
        <v>1.25</v>
      </c>
      <c r="D97" s="39">
        <v>0</v>
      </c>
      <c r="E97" s="39">
        <v>5</v>
      </c>
      <c r="F97" s="39">
        <v>0</v>
      </c>
      <c r="G97" s="39">
        <v>0</v>
      </c>
      <c r="H97" s="40">
        <v>1000</v>
      </c>
      <c r="I97" s="41">
        <v>0.3</v>
      </c>
      <c r="J97" s="39">
        <v>1.3</v>
      </c>
      <c r="K97" s="39" t="s">
        <v>929</v>
      </c>
      <c r="L97" s="39">
        <v>1</v>
      </c>
      <c r="M97" s="39">
        <v>0</v>
      </c>
      <c r="N97" s="4" t="s">
        <v>943</v>
      </c>
      <c r="O97" s="4">
        <v>0</v>
      </c>
      <c r="P97" s="4">
        <v>0</v>
      </c>
      <c r="Q97" s="4" t="s">
        <v>45</v>
      </c>
      <c r="R97" s="4" t="s">
        <v>45</v>
      </c>
      <c r="S97" s="4" t="s">
        <v>45</v>
      </c>
      <c r="T97" s="4" t="s">
        <v>45</v>
      </c>
      <c r="U97" s="4" t="s">
        <v>45</v>
      </c>
      <c r="V97" s="4" t="s">
        <v>45</v>
      </c>
      <c r="W97" s="4" t="s">
        <v>45</v>
      </c>
      <c r="X97" s="4" t="s">
        <v>45</v>
      </c>
      <c r="Y97" s="4" t="s">
        <v>45</v>
      </c>
      <c r="Z97" s="4">
        <v>1</v>
      </c>
      <c r="AA97" s="4" t="s">
        <v>975</v>
      </c>
      <c r="AB97" s="4" t="s">
        <v>978</v>
      </c>
      <c r="AC97" s="4" t="s">
        <v>1064</v>
      </c>
      <c r="AD97" s="39">
        <v>0</v>
      </c>
      <c r="AE97" s="4" t="s">
        <v>45</v>
      </c>
      <c r="AF97" s="4" t="s">
        <v>45</v>
      </c>
      <c r="AG97" s="4" t="s">
        <v>45</v>
      </c>
      <c r="AH97" s="4" t="s">
        <v>45</v>
      </c>
      <c r="AI97" s="4">
        <v>1.5</v>
      </c>
      <c r="AJ97" s="4" t="s">
        <v>997</v>
      </c>
      <c r="AK97" s="4">
        <v>0</v>
      </c>
      <c r="AL97" s="4" t="s">
        <v>1878</v>
      </c>
      <c r="AM97" s="4">
        <v>0</v>
      </c>
      <c r="AN97" s="4">
        <v>0</v>
      </c>
      <c r="AO97" s="4">
        <v>0.1</v>
      </c>
      <c r="AP97" s="4" t="s">
        <v>45</v>
      </c>
      <c r="AQ97" s="4">
        <v>0</v>
      </c>
      <c r="AR97" s="4" t="s">
        <v>1026</v>
      </c>
      <c r="AS97" s="4">
        <v>0</v>
      </c>
      <c r="AT97" s="4">
        <v>0</v>
      </c>
      <c r="AU97" s="4">
        <v>0</v>
      </c>
      <c r="AV97" s="4" t="s">
        <v>45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1</v>
      </c>
      <c r="BC97" s="4">
        <v>1</v>
      </c>
      <c r="BD97" s="4">
        <v>0</v>
      </c>
      <c r="BE97" s="4">
        <v>0</v>
      </c>
      <c r="BF97" s="4">
        <v>0</v>
      </c>
      <c r="BG97" s="39">
        <v>0.25</v>
      </c>
      <c r="BH97" s="39">
        <v>0.15</v>
      </c>
      <c r="BI97" s="39">
        <v>2.5000000000000001E-2</v>
      </c>
      <c r="BJ97" s="39" t="s">
        <v>1080</v>
      </c>
      <c r="BK97" s="39">
        <v>0</v>
      </c>
      <c r="BL97" s="39">
        <v>0</v>
      </c>
      <c r="BM97" s="39">
        <v>0</v>
      </c>
    </row>
    <row r="98" spans="1:65" s="16" customFormat="1" ht="15.75" customHeight="1" x14ac:dyDescent="0.25">
      <c r="A98" s="16" t="s">
        <v>1796</v>
      </c>
      <c r="B98" s="39">
        <v>2</v>
      </c>
      <c r="C98" s="39">
        <v>1.1000000000000001</v>
      </c>
      <c r="D98" s="39">
        <v>0</v>
      </c>
      <c r="E98" s="39">
        <v>5</v>
      </c>
      <c r="F98" s="39">
        <v>2</v>
      </c>
      <c r="G98" s="39">
        <v>0</v>
      </c>
      <c r="H98" s="40">
        <v>1000</v>
      </c>
      <c r="I98" s="41">
        <v>0.3</v>
      </c>
      <c r="J98" s="39">
        <v>1.3</v>
      </c>
      <c r="K98" s="39" t="s">
        <v>929</v>
      </c>
      <c r="L98" s="39">
        <v>1</v>
      </c>
      <c r="M98" s="39">
        <v>0</v>
      </c>
      <c r="N98" s="4" t="s">
        <v>942</v>
      </c>
      <c r="O98" s="4">
        <v>0</v>
      </c>
      <c r="P98" s="4">
        <v>1</v>
      </c>
      <c r="Q98" s="4">
        <v>0.9</v>
      </c>
      <c r="R98" s="4" t="s">
        <v>954</v>
      </c>
      <c r="S98" s="4" t="s">
        <v>956</v>
      </c>
      <c r="T98" s="4" t="s">
        <v>955</v>
      </c>
      <c r="U98" s="4">
        <v>2</v>
      </c>
      <c r="V98" s="4">
        <v>0.6</v>
      </c>
      <c r="W98" s="4" t="s">
        <v>965</v>
      </c>
      <c r="X98" s="4" t="s">
        <v>966</v>
      </c>
      <c r="Y98" s="4" t="s">
        <v>952</v>
      </c>
      <c r="Z98" s="4">
        <v>0.85</v>
      </c>
      <c r="AA98" s="4" t="s">
        <v>975</v>
      </c>
      <c r="AB98" s="4" t="s">
        <v>978</v>
      </c>
      <c r="AC98" s="4" t="s">
        <v>1064</v>
      </c>
      <c r="AD98" s="39">
        <v>0</v>
      </c>
      <c r="AE98" s="4" t="s">
        <v>45</v>
      </c>
      <c r="AF98" s="4" t="s">
        <v>45</v>
      </c>
      <c r="AG98" s="4" t="s">
        <v>45</v>
      </c>
      <c r="AH98" s="4" t="s">
        <v>45</v>
      </c>
      <c r="AI98" s="4">
        <v>1.5</v>
      </c>
      <c r="AJ98" s="4" t="s">
        <v>996</v>
      </c>
      <c r="AK98" s="4">
        <v>0</v>
      </c>
      <c r="AL98" s="4" t="s">
        <v>1814</v>
      </c>
      <c r="AM98" s="4">
        <v>0</v>
      </c>
      <c r="AN98" s="4">
        <v>0.1</v>
      </c>
      <c r="AO98" s="4">
        <v>0.3</v>
      </c>
      <c r="AP98" s="4" t="s">
        <v>45</v>
      </c>
      <c r="AQ98" s="4">
        <v>0</v>
      </c>
      <c r="AR98" s="4" t="s">
        <v>1024</v>
      </c>
      <c r="AS98" s="4">
        <v>0</v>
      </c>
      <c r="AT98" s="4">
        <v>0</v>
      </c>
      <c r="AU98" s="4">
        <v>0</v>
      </c>
      <c r="AV98" s="4" t="s">
        <v>45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39">
        <v>0.7</v>
      </c>
      <c r="BH98" s="39">
        <v>0.15</v>
      </c>
      <c r="BI98" s="39">
        <v>0.05</v>
      </c>
      <c r="BJ98" s="39" t="s">
        <v>1080</v>
      </c>
      <c r="BK98" s="39">
        <v>1</v>
      </c>
      <c r="BL98" s="39">
        <v>1</v>
      </c>
      <c r="BM98" s="39">
        <v>1</v>
      </c>
    </row>
    <row r="99" spans="1:65" s="16" customFormat="1" ht="15.75" customHeight="1" x14ac:dyDescent="0.25">
      <c r="A99" s="16" t="s">
        <v>1798</v>
      </c>
      <c r="B99" s="39">
        <v>2</v>
      </c>
      <c r="C99" s="39">
        <v>2</v>
      </c>
      <c r="D99" s="39">
        <v>0</v>
      </c>
      <c r="E99" s="39">
        <v>5</v>
      </c>
      <c r="F99" s="39">
        <v>2</v>
      </c>
      <c r="G99" s="39">
        <v>0</v>
      </c>
      <c r="H99" s="40">
        <v>1000</v>
      </c>
      <c r="I99" s="41">
        <v>0.3</v>
      </c>
      <c r="J99" s="39">
        <v>1.3</v>
      </c>
      <c r="K99" s="39" t="s">
        <v>929</v>
      </c>
      <c r="L99" s="39">
        <v>1</v>
      </c>
      <c r="M99" s="39">
        <v>0</v>
      </c>
      <c r="N99" s="4" t="s">
        <v>942</v>
      </c>
      <c r="O99" s="4">
        <v>0</v>
      </c>
      <c r="P99" s="4">
        <v>0</v>
      </c>
      <c r="Q99" s="4" t="s">
        <v>45</v>
      </c>
      <c r="R99" s="4" t="s">
        <v>45</v>
      </c>
      <c r="S99" s="4" t="s">
        <v>45</v>
      </c>
      <c r="T99" s="4" t="s">
        <v>45</v>
      </c>
      <c r="U99" s="4">
        <v>2</v>
      </c>
      <c r="V99" s="4">
        <v>0.6</v>
      </c>
      <c r="W99" s="4" t="s">
        <v>965</v>
      </c>
      <c r="X99" s="4" t="s">
        <v>966</v>
      </c>
      <c r="Y99" s="4" t="s">
        <v>952</v>
      </c>
      <c r="Z99" s="4">
        <v>0.85</v>
      </c>
      <c r="AA99" s="4" t="s">
        <v>975</v>
      </c>
      <c r="AB99" s="4" t="s">
        <v>978</v>
      </c>
      <c r="AC99" s="4" t="s">
        <v>1064</v>
      </c>
      <c r="AD99" s="39">
        <v>1</v>
      </c>
      <c r="AE99" s="4">
        <v>0.65</v>
      </c>
      <c r="AF99" s="4" t="s">
        <v>1746</v>
      </c>
      <c r="AG99" s="4" t="s">
        <v>993</v>
      </c>
      <c r="AH99" s="4" t="s">
        <v>952</v>
      </c>
      <c r="AI99" s="4">
        <v>1.2</v>
      </c>
      <c r="AJ99" s="4" t="s">
        <v>996</v>
      </c>
      <c r="AK99" s="4">
        <v>0</v>
      </c>
      <c r="AL99" s="4" t="s">
        <v>1797</v>
      </c>
      <c r="AM99" s="4">
        <v>2</v>
      </c>
      <c r="AN99" s="4">
        <v>0.1</v>
      </c>
      <c r="AO99" s="4">
        <v>1</v>
      </c>
      <c r="AP99" s="4" t="s">
        <v>45</v>
      </c>
      <c r="AQ99" s="4">
        <v>0</v>
      </c>
      <c r="AR99" s="4" t="s">
        <v>1024</v>
      </c>
      <c r="AS99" s="4">
        <v>0</v>
      </c>
      <c r="AT99" s="4">
        <v>0</v>
      </c>
      <c r="AU99" s="4">
        <v>0</v>
      </c>
      <c r="AV99" s="4" t="s">
        <v>45</v>
      </c>
      <c r="AW99" s="4">
        <v>1</v>
      </c>
      <c r="AX99" s="4">
        <v>1</v>
      </c>
      <c r="AY99" s="4">
        <v>1</v>
      </c>
      <c r="AZ99" s="4">
        <v>0</v>
      </c>
      <c r="BA99" s="4">
        <v>0</v>
      </c>
      <c r="BB99" s="4">
        <v>1</v>
      </c>
      <c r="BC99" s="4">
        <v>1</v>
      </c>
      <c r="BD99" s="4">
        <v>0</v>
      </c>
      <c r="BE99" s="4">
        <v>0</v>
      </c>
      <c r="BF99" s="4">
        <v>0</v>
      </c>
      <c r="BG99" s="39">
        <v>0.7</v>
      </c>
      <c r="BH99" s="39">
        <v>0.15</v>
      </c>
      <c r="BI99" s="39">
        <v>0.05</v>
      </c>
      <c r="BJ99" s="39" t="s">
        <v>1086</v>
      </c>
      <c r="BK99" s="39">
        <v>1</v>
      </c>
      <c r="BL99" s="39">
        <v>1</v>
      </c>
      <c r="BM99" s="39">
        <v>1</v>
      </c>
    </row>
    <row r="100" spans="1:65" s="16" customFormat="1" ht="15.75" customHeight="1" x14ac:dyDescent="0.25">
      <c r="A100" s="16" t="s">
        <v>1885</v>
      </c>
      <c r="B100" s="39">
        <v>2</v>
      </c>
      <c r="C100" s="39">
        <v>1.25</v>
      </c>
      <c r="D100" s="39">
        <v>0</v>
      </c>
      <c r="E100" s="39">
        <v>1</v>
      </c>
      <c r="F100" s="39">
        <v>0</v>
      </c>
      <c r="G100" s="39">
        <v>0</v>
      </c>
      <c r="H100" s="40">
        <v>22.39</v>
      </c>
      <c r="I100" s="41">
        <v>0.37</v>
      </c>
      <c r="J100" s="39">
        <v>1.0900000000000001</v>
      </c>
      <c r="K100" s="39" t="s">
        <v>929</v>
      </c>
      <c r="L100" s="39">
        <v>1</v>
      </c>
      <c r="M100" s="39">
        <v>0</v>
      </c>
      <c r="N100" s="4" t="s">
        <v>458</v>
      </c>
      <c r="O100" s="4">
        <v>0</v>
      </c>
      <c r="P100" s="4">
        <v>0</v>
      </c>
      <c r="Q100" s="4" t="s">
        <v>45</v>
      </c>
      <c r="R100" s="4" t="s">
        <v>45</v>
      </c>
      <c r="S100" s="4" t="s">
        <v>45</v>
      </c>
      <c r="T100" s="4" t="s">
        <v>45</v>
      </c>
      <c r="U100" s="4" t="s">
        <v>45</v>
      </c>
      <c r="V100" s="4" t="s">
        <v>45</v>
      </c>
      <c r="W100" s="4" t="s">
        <v>45</v>
      </c>
      <c r="X100" s="4" t="s">
        <v>45</v>
      </c>
      <c r="Y100" s="4" t="s">
        <v>45</v>
      </c>
      <c r="Z100" s="4">
        <v>0.8</v>
      </c>
      <c r="AA100" s="4" t="s">
        <v>975</v>
      </c>
      <c r="AB100" s="4" t="s">
        <v>978</v>
      </c>
      <c r="AC100" s="4" t="s">
        <v>1064</v>
      </c>
      <c r="AD100" s="39">
        <v>1</v>
      </c>
      <c r="AE100" s="4">
        <v>0.65</v>
      </c>
      <c r="AF100" s="4" t="s">
        <v>989</v>
      </c>
      <c r="AG100" s="4" t="s">
        <v>1751</v>
      </c>
      <c r="AH100" s="4" t="s">
        <v>952</v>
      </c>
      <c r="AI100" s="4">
        <v>1.2</v>
      </c>
      <c r="AJ100" s="4" t="s">
        <v>1000</v>
      </c>
      <c r="AK100" s="4">
        <v>0</v>
      </c>
      <c r="AL100" s="4" t="s">
        <v>1015</v>
      </c>
      <c r="AM100" s="4">
        <v>0</v>
      </c>
      <c r="AN100" s="4">
        <v>0.1</v>
      </c>
      <c r="AO100" s="4">
        <v>0.3</v>
      </c>
      <c r="AP100" s="4" t="s">
        <v>45</v>
      </c>
      <c r="AQ100" s="4">
        <v>0</v>
      </c>
      <c r="AR100" s="4" t="s">
        <v>1026</v>
      </c>
      <c r="AS100" s="4">
        <v>1</v>
      </c>
      <c r="AT100" s="4">
        <v>0</v>
      </c>
      <c r="AU100" s="4">
        <v>0</v>
      </c>
      <c r="AV100" s="4" t="s">
        <v>45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39">
        <v>1</v>
      </c>
      <c r="BH100" s="39">
        <v>0.2</v>
      </c>
      <c r="BI100" s="39">
        <v>0.05</v>
      </c>
      <c r="BJ100" s="39" t="s">
        <v>1080</v>
      </c>
      <c r="BK100" s="39">
        <v>0</v>
      </c>
      <c r="BL100" s="39">
        <v>0</v>
      </c>
      <c r="BM100" s="39">
        <v>0</v>
      </c>
    </row>
    <row r="101" spans="1:65" s="16" customFormat="1" ht="15.75" customHeight="1" x14ac:dyDescent="0.25">
      <c r="A101" s="16" t="s">
        <v>1886</v>
      </c>
      <c r="B101" s="39">
        <v>2</v>
      </c>
      <c r="C101" s="39">
        <v>1.25</v>
      </c>
      <c r="D101" s="39">
        <v>0</v>
      </c>
      <c r="E101" s="39">
        <v>1</v>
      </c>
      <c r="F101" s="39">
        <v>0</v>
      </c>
      <c r="G101" s="39">
        <v>0</v>
      </c>
      <c r="H101" s="40">
        <v>1000</v>
      </c>
      <c r="I101" s="41">
        <v>0.3</v>
      </c>
      <c r="J101" s="39">
        <v>1.3</v>
      </c>
      <c r="K101" s="39" t="s">
        <v>929</v>
      </c>
      <c r="L101" s="39">
        <v>1</v>
      </c>
      <c r="M101" s="39">
        <v>0</v>
      </c>
      <c r="N101" s="4" t="s">
        <v>458</v>
      </c>
      <c r="O101" s="4">
        <v>0</v>
      </c>
      <c r="P101" s="4">
        <v>0</v>
      </c>
      <c r="Q101" s="4" t="s">
        <v>45</v>
      </c>
      <c r="R101" s="4" t="s">
        <v>45</v>
      </c>
      <c r="S101" s="4" t="s">
        <v>45</v>
      </c>
      <c r="T101" s="4" t="s">
        <v>45</v>
      </c>
      <c r="U101" s="4" t="s">
        <v>45</v>
      </c>
      <c r="V101" s="4" t="s">
        <v>45</v>
      </c>
      <c r="W101" s="4" t="s">
        <v>45</v>
      </c>
      <c r="X101" s="4" t="s">
        <v>45</v>
      </c>
      <c r="Y101" s="4" t="s">
        <v>45</v>
      </c>
      <c r="Z101" s="4">
        <v>0.8</v>
      </c>
      <c r="AA101" s="4" t="s">
        <v>975</v>
      </c>
      <c r="AB101" s="4" t="s">
        <v>978</v>
      </c>
      <c r="AC101" s="4" t="s">
        <v>1064</v>
      </c>
      <c r="AD101" s="39">
        <v>1</v>
      </c>
      <c r="AE101" s="4">
        <v>0.65</v>
      </c>
      <c r="AF101" s="4" t="s">
        <v>989</v>
      </c>
      <c r="AG101" s="4" t="s">
        <v>1751</v>
      </c>
      <c r="AH101" s="4" t="s">
        <v>952</v>
      </c>
      <c r="AI101" s="4">
        <v>1.2</v>
      </c>
      <c r="AJ101" s="4" t="s">
        <v>1000</v>
      </c>
      <c r="AK101" s="4">
        <v>0</v>
      </c>
      <c r="AL101" s="4" t="s">
        <v>1015</v>
      </c>
      <c r="AM101" s="4">
        <v>0</v>
      </c>
      <c r="AN101" s="4">
        <v>0.1</v>
      </c>
      <c r="AO101" s="4">
        <v>1</v>
      </c>
      <c r="AP101" s="4" t="s">
        <v>45</v>
      </c>
      <c r="AQ101" s="4">
        <v>0</v>
      </c>
      <c r="AR101" s="4" t="s">
        <v>1024</v>
      </c>
      <c r="AS101" s="4">
        <v>1</v>
      </c>
      <c r="AT101" s="4">
        <v>0</v>
      </c>
      <c r="AU101" s="4">
        <v>0</v>
      </c>
      <c r="AV101" s="4" t="s">
        <v>45</v>
      </c>
      <c r="AW101" s="4">
        <v>1</v>
      </c>
      <c r="AX101" s="4">
        <v>0</v>
      </c>
      <c r="AY101" s="4">
        <v>1</v>
      </c>
      <c r="AZ101" s="4">
        <v>0</v>
      </c>
      <c r="BA101" s="4">
        <v>0</v>
      </c>
      <c r="BB101" s="4">
        <v>0</v>
      </c>
      <c r="BC101" s="4">
        <v>1</v>
      </c>
      <c r="BD101" s="4">
        <v>0</v>
      </c>
      <c r="BE101" s="4">
        <v>0</v>
      </c>
      <c r="BF101" s="4">
        <v>0</v>
      </c>
      <c r="BG101" s="39">
        <v>1</v>
      </c>
      <c r="BH101" s="39">
        <v>0.2</v>
      </c>
      <c r="BI101" s="39">
        <v>0.05</v>
      </c>
      <c r="BJ101" s="39" t="s">
        <v>1080</v>
      </c>
      <c r="BK101" s="39">
        <v>1</v>
      </c>
      <c r="BL101" s="39">
        <v>0</v>
      </c>
      <c r="BM101" s="39">
        <v>1</v>
      </c>
    </row>
    <row r="102" spans="1:65" s="16" customFormat="1" ht="15.75" customHeight="1" x14ac:dyDescent="0.25">
      <c r="A102" s="16" t="s">
        <v>1876</v>
      </c>
      <c r="B102" s="39">
        <v>2</v>
      </c>
      <c r="C102" s="39">
        <v>1</v>
      </c>
      <c r="D102" s="39">
        <v>0</v>
      </c>
      <c r="E102" s="39">
        <v>1</v>
      </c>
      <c r="F102" s="39">
        <v>1</v>
      </c>
      <c r="G102" s="39">
        <v>1</v>
      </c>
      <c r="H102" s="40">
        <v>1</v>
      </c>
      <c r="I102" s="41">
        <v>1</v>
      </c>
      <c r="J102" s="39">
        <v>1</v>
      </c>
      <c r="K102" s="39" t="s">
        <v>929</v>
      </c>
      <c r="L102" s="39">
        <v>0</v>
      </c>
      <c r="M102" s="39">
        <v>0</v>
      </c>
      <c r="N102" s="4" t="s">
        <v>940</v>
      </c>
      <c r="O102" s="4">
        <v>0</v>
      </c>
      <c r="P102" s="4">
        <v>0</v>
      </c>
      <c r="Q102" s="4" t="s">
        <v>45</v>
      </c>
      <c r="R102" s="4" t="s">
        <v>45</v>
      </c>
      <c r="S102" s="4" t="s">
        <v>45</v>
      </c>
      <c r="T102" s="4" t="s">
        <v>45</v>
      </c>
      <c r="U102" s="4">
        <v>3</v>
      </c>
      <c r="V102" s="4">
        <v>0.6</v>
      </c>
      <c r="W102" s="4" t="s">
        <v>965</v>
      </c>
      <c r="X102" s="4" t="s">
        <v>1699</v>
      </c>
      <c r="Y102" s="4" t="s">
        <v>1782</v>
      </c>
      <c r="Z102" s="4">
        <v>0.7</v>
      </c>
      <c r="AA102" s="4" t="s">
        <v>975</v>
      </c>
      <c r="AB102" s="4" t="s">
        <v>978</v>
      </c>
      <c r="AC102" s="4" t="s">
        <v>1064</v>
      </c>
      <c r="AD102" s="39">
        <v>1</v>
      </c>
      <c r="AE102" s="4">
        <v>0.65</v>
      </c>
      <c r="AF102" s="4" t="s">
        <v>1746</v>
      </c>
      <c r="AG102" s="4" t="s">
        <v>993</v>
      </c>
      <c r="AH102" s="4" t="s">
        <v>952</v>
      </c>
      <c r="AI102" s="4">
        <v>1.2</v>
      </c>
      <c r="AJ102" s="4" t="s">
        <v>1000</v>
      </c>
      <c r="AK102" s="4">
        <v>0</v>
      </c>
      <c r="AL102" s="4" t="s">
        <v>1007</v>
      </c>
      <c r="AM102" s="4">
        <v>1</v>
      </c>
      <c r="AN102" s="4">
        <v>1</v>
      </c>
      <c r="AO102" s="4">
        <v>1</v>
      </c>
      <c r="AP102" s="4" t="s">
        <v>45</v>
      </c>
      <c r="AQ102" s="4">
        <v>0</v>
      </c>
      <c r="AR102" s="4" t="s">
        <v>1026</v>
      </c>
      <c r="AS102" s="4">
        <v>1</v>
      </c>
      <c r="AT102" s="4">
        <v>0</v>
      </c>
      <c r="AU102" s="4">
        <v>0</v>
      </c>
      <c r="AV102" s="4" t="s">
        <v>45</v>
      </c>
      <c r="AW102" s="4">
        <v>1</v>
      </c>
      <c r="AX102" s="4">
        <v>1</v>
      </c>
      <c r="AY102" s="4">
        <v>1</v>
      </c>
      <c r="AZ102" s="4">
        <v>2</v>
      </c>
      <c r="BA102" s="4">
        <v>0</v>
      </c>
      <c r="BB102" s="4">
        <v>0</v>
      </c>
      <c r="BC102" s="4">
        <v>1</v>
      </c>
      <c r="BD102" s="4">
        <v>0</v>
      </c>
      <c r="BE102" s="4">
        <v>0</v>
      </c>
      <c r="BF102" s="4">
        <v>0</v>
      </c>
      <c r="BG102" s="39">
        <v>0.25</v>
      </c>
      <c r="BH102" s="39">
        <v>0.25</v>
      </c>
      <c r="BI102" s="39">
        <v>2.5000000000000001E-2</v>
      </c>
      <c r="BJ102" s="39" t="s">
        <v>1080</v>
      </c>
      <c r="BK102" s="39">
        <v>1</v>
      </c>
      <c r="BL102" s="39">
        <v>0</v>
      </c>
      <c r="BM102" s="39">
        <v>1</v>
      </c>
    </row>
    <row r="103" spans="1:65" s="16" customFormat="1" x14ac:dyDescent="0.25">
      <c r="A103" s="16" t="s">
        <v>2053</v>
      </c>
      <c r="B103" s="39">
        <v>1</v>
      </c>
      <c r="C103" s="39">
        <v>1.25</v>
      </c>
      <c r="D103" s="39">
        <v>0</v>
      </c>
      <c r="E103" s="39">
        <v>1</v>
      </c>
      <c r="F103" s="39">
        <v>1</v>
      </c>
      <c r="G103" s="39">
        <v>0</v>
      </c>
      <c r="H103" s="40">
        <f t="shared" si="0"/>
        <v>20.028571428571428</v>
      </c>
      <c r="I103" s="41">
        <f t="shared" si="1"/>
        <v>0.86142857142857143</v>
      </c>
      <c r="J103" s="39">
        <v>1.0900000000000001</v>
      </c>
      <c r="K103" s="42">
        <f t="shared" ref="K103:K108" si="4">AVERAGE(0.13,0.106,0.134,0.129)</f>
        <v>0.12475</v>
      </c>
      <c r="L103" s="39">
        <v>0</v>
      </c>
      <c r="M103" s="39">
        <v>0</v>
      </c>
      <c r="N103" s="4" t="s">
        <v>940</v>
      </c>
      <c r="O103" s="4">
        <v>0</v>
      </c>
      <c r="P103" s="4">
        <v>0</v>
      </c>
      <c r="Q103" s="4" t="s">
        <v>45</v>
      </c>
      <c r="R103" s="4" t="s">
        <v>45</v>
      </c>
      <c r="S103" s="4" t="s">
        <v>45</v>
      </c>
      <c r="T103" s="4" t="s">
        <v>45</v>
      </c>
      <c r="U103" s="4" t="s">
        <v>45</v>
      </c>
      <c r="V103" s="4" t="s">
        <v>45</v>
      </c>
      <c r="W103" s="4" t="s">
        <v>45</v>
      </c>
      <c r="X103" s="4" t="s">
        <v>45</v>
      </c>
      <c r="Y103" s="4" t="s">
        <v>45</v>
      </c>
      <c r="Z103" s="4">
        <v>0.8</v>
      </c>
      <c r="AA103" s="4" t="s">
        <v>975</v>
      </c>
      <c r="AB103" s="4" t="s">
        <v>979</v>
      </c>
      <c r="AC103" s="4" t="s">
        <v>1064</v>
      </c>
      <c r="AD103" s="39">
        <v>1</v>
      </c>
      <c r="AE103" s="4">
        <v>0.65</v>
      </c>
      <c r="AF103" s="4" t="s">
        <v>1746</v>
      </c>
      <c r="AG103" s="4" t="s">
        <v>993</v>
      </c>
      <c r="AH103" s="4" t="s">
        <v>952</v>
      </c>
      <c r="AI103" s="4">
        <v>1.2</v>
      </c>
      <c r="AJ103" s="4" t="s">
        <v>996</v>
      </c>
      <c r="AK103" s="4">
        <v>0</v>
      </c>
      <c r="AL103" s="4" t="s">
        <v>1007</v>
      </c>
      <c r="AM103" s="4">
        <v>1</v>
      </c>
      <c r="AN103" s="4">
        <v>0.1</v>
      </c>
      <c r="AO103" s="4">
        <v>0.3</v>
      </c>
      <c r="AP103" s="4">
        <v>0.5</v>
      </c>
      <c r="AQ103" s="4">
        <v>0</v>
      </c>
      <c r="AR103" s="4" t="s">
        <v>1026</v>
      </c>
      <c r="AS103" s="4">
        <v>1</v>
      </c>
      <c r="AT103" s="4">
        <v>0</v>
      </c>
      <c r="AU103" s="4">
        <v>0</v>
      </c>
      <c r="AV103" s="4" t="s">
        <v>45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39">
        <v>1.1000000000000001</v>
      </c>
      <c r="BH103" s="39">
        <v>0.2</v>
      </c>
      <c r="BI103" s="39">
        <v>2.5000000000000001E-2</v>
      </c>
      <c r="BJ103" s="39" t="s">
        <v>1082</v>
      </c>
      <c r="BK103" s="39">
        <v>0</v>
      </c>
      <c r="BL103" s="39">
        <v>0</v>
      </c>
      <c r="BM103" s="39">
        <v>0</v>
      </c>
    </row>
    <row r="104" spans="1:65" s="16" customFormat="1" x14ac:dyDescent="0.25">
      <c r="A104" s="16" t="s">
        <v>1823</v>
      </c>
      <c r="B104" s="39">
        <v>2</v>
      </c>
      <c r="C104" s="39">
        <v>1.25</v>
      </c>
      <c r="D104" s="39">
        <v>0</v>
      </c>
      <c r="E104" s="39">
        <v>1</v>
      </c>
      <c r="F104" s="39">
        <v>1</v>
      </c>
      <c r="G104" s="39">
        <v>1</v>
      </c>
      <c r="H104" s="40">
        <f>AVERAGE(21.6,12,10,13.1,30.5,38,15)</f>
        <v>20.028571428571428</v>
      </c>
      <c r="I104" s="41">
        <f>AVERAGE(0.54,1.5,1.5,0.86,0.24,0.54,0.85)</f>
        <v>0.86142857142857143</v>
      </c>
      <c r="J104" s="39">
        <v>1.0900000000000001</v>
      </c>
      <c r="K104" s="42">
        <f t="shared" si="4"/>
        <v>0.12475</v>
      </c>
      <c r="L104" s="39">
        <v>0</v>
      </c>
      <c r="M104" s="39">
        <v>0</v>
      </c>
      <c r="N104" s="4" t="s">
        <v>74</v>
      </c>
      <c r="O104" s="4">
        <v>0</v>
      </c>
      <c r="P104" s="4">
        <v>0</v>
      </c>
      <c r="Q104" s="4" t="s">
        <v>45</v>
      </c>
      <c r="R104" s="4" t="s">
        <v>45</v>
      </c>
      <c r="S104" s="4" t="s">
        <v>45</v>
      </c>
      <c r="T104" s="4" t="s">
        <v>45</v>
      </c>
      <c r="U104" s="4" t="s">
        <v>45</v>
      </c>
      <c r="V104" s="4" t="s">
        <v>45</v>
      </c>
      <c r="W104" s="4" t="s">
        <v>45</v>
      </c>
      <c r="X104" s="4" t="s">
        <v>45</v>
      </c>
      <c r="Y104" s="4" t="s">
        <v>45</v>
      </c>
      <c r="Z104" s="4">
        <v>0.7</v>
      </c>
      <c r="AA104" s="4" t="s">
        <v>975</v>
      </c>
      <c r="AB104" s="4" t="s">
        <v>979</v>
      </c>
      <c r="AC104" s="4" t="s">
        <v>1315</v>
      </c>
      <c r="AD104" s="39">
        <v>1</v>
      </c>
      <c r="AE104" s="4">
        <v>0.65</v>
      </c>
      <c r="AF104" s="4" t="s">
        <v>1746</v>
      </c>
      <c r="AG104" s="4" t="s">
        <v>993</v>
      </c>
      <c r="AH104" s="4" t="s">
        <v>1314</v>
      </c>
      <c r="AI104" s="4">
        <v>1.2</v>
      </c>
      <c r="AJ104" s="4" t="s">
        <v>996</v>
      </c>
      <c r="AK104" s="4">
        <v>0</v>
      </c>
      <c r="AL104" s="4" t="s">
        <v>1007</v>
      </c>
      <c r="AM104" s="4">
        <v>1</v>
      </c>
      <c r="AN104" s="4">
        <v>0.1</v>
      </c>
      <c r="AO104" s="4">
        <v>0.3</v>
      </c>
      <c r="AP104" s="4">
        <v>1</v>
      </c>
      <c r="AQ104" s="4">
        <v>0</v>
      </c>
      <c r="AR104" s="4" t="s">
        <v>1026</v>
      </c>
      <c r="AS104" s="4">
        <v>1</v>
      </c>
      <c r="AT104" s="4">
        <v>0</v>
      </c>
      <c r="AU104" s="4">
        <v>0</v>
      </c>
      <c r="AV104" s="4" t="s">
        <v>45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39">
        <v>1.25</v>
      </c>
      <c r="BH104" s="39">
        <v>0.25</v>
      </c>
      <c r="BI104" s="39">
        <v>2.5000000000000001E-2</v>
      </c>
      <c r="BJ104" s="39" t="s">
        <v>1080</v>
      </c>
      <c r="BK104" s="39">
        <v>0</v>
      </c>
      <c r="BL104" s="39">
        <v>0</v>
      </c>
      <c r="BM104" s="39">
        <v>0</v>
      </c>
    </row>
    <row r="105" spans="1:65" s="16" customFormat="1" ht="15.75" customHeight="1" x14ac:dyDescent="0.25">
      <c r="A105" s="16" t="s">
        <v>1884</v>
      </c>
      <c r="B105" s="39">
        <v>2</v>
      </c>
      <c r="C105" s="39">
        <v>1.25</v>
      </c>
      <c r="D105" s="39">
        <v>0</v>
      </c>
      <c r="E105" s="39">
        <v>1</v>
      </c>
      <c r="F105" s="39">
        <v>1</v>
      </c>
      <c r="G105" s="39">
        <v>1</v>
      </c>
      <c r="H105" s="40">
        <f>AVERAGE(21.6,12,10,13.1,30.5,38,15)</f>
        <v>20.028571428571428</v>
      </c>
      <c r="I105" s="41">
        <f>AVERAGE(0.54,1.5,1.5,0.86,0.24,0.54,0.85)</f>
        <v>0.86142857142857143</v>
      </c>
      <c r="J105" s="39">
        <v>1.0900000000000001</v>
      </c>
      <c r="K105" s="42">
        <f t="shared" si="4"/>
        <v>0.12475</v>
      </c>
      <c r="L105" s="39">
        <v>0</v>
      </c>
      <c r="M105" s="39">
        <v>0</v>
      </c>
      <c r="N105" s="4" t="s">
        <v>74</v>
      </c>
      <c r="O105" s="4">
        <v>0</v>
      </c>
      <c r="P105" s="4">
        <v>0</v>
      </c>
      <c r="Q105" s="4" t="s">
        <v>45</v>
      </c>
      <c r="R105" s="4" t="s">
        <v>45</v>
      </c>
      <c r="S105" s="4" t="s">
        <v>45</v>
      </c>
      <c r="T105" s="4" t="s">
        <v>45</v>
      </c>
      <c r="U105" s="4">
        <v>3</v>
      </c>
      <c r="V105" s="4">
        <v>0.6</v>
      </c>
      <c r="W105" s="4" t="s">
        <v>965</v>
      </c>
      <c r="X105" s="4" t="s">
        <v>1781</v>
      </c>
      <c r="Y105" s="4" t="s">
        <v>1782</v>
      </c>
      <c r="Z105" s="4">
        <v>0.7</v>
      </c>
      <c r="AA105" s="4" t="s">
        <v>975</v>
      </c>
      <c r="AB105" s="4" t="s">
        <v>978</v>
      </c>
      <c r="AC105" s="4" t="s">
        <v>1064</v>
      </c>
      <c r="AD105" s="39">
        <v>1</v>
      </c>
      <c r="AE105" s="4">
        <v>0.65</v>
      </c>
      <c r="AF105" s="4" t="s">
        <v>1746</v>
      </c>
      <c r="AG105" s="4" t="s">
        <v>993</v>
      </c>
      <c r="AH105" s="4" t="s">
        <v>952</v>
      </c>
      <c r="AI105" s="4">
        <v>1.2</v>
      </c>
      <c r="AJ105" s="4" t="s">
        <v>996</v>
      </c>
      <c r="AK105" s="4">
        <v>0</v>
      </c>
      <c r="AL105" s="4" t="s">
        <v>1007</v>
      </c>
      <c r="AM105" s="4">
        <v>1</v>
      </c>
      <c r="AN105" s="4">
        <v>0.1</v>
      </c>
      <c r="AO105" s="4">
        <v>0.3</v>
      </c>
      <c r="AP105" s="4">
        <v>0.5</v>
      </c>
      <c r="AQ105" s="4">
        <v>0</v>
      </c>
      <c r="AR105" s="4" t="s">
        <v>1026</v>
      </c>
      <c r="AS105" s="4">
        <v>1</v>
      </c>
      <c r="AT105" s="4">
        <v>0</v>
      </c>
      <c r="AU105" s="4">
        <v>0</v>
      </c>
      <c r="AV105" s="4" t="s">
        <v>45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39">
        <v>1.25</v>
      </c>
      <c r="BH105" s="39">
        <v>0.25</v>
      </c>
      <c r="BI105" s="39">
        <v>2.5000000000000001E-2</v>
      </c>
      <c r="BJ105" s="39" t="s">
        <v>1080</v>
      </c>
      <c r="BK105" s="39">
        <v>0</v>
      </c>
      <c r="BL105" s="39">
        <v>1</v>
      </c>
      <c r="BM105" s="39">
        <v>0</v>
      </c>
    </row>
    <row r="106" spans="1:65" s="16" customFormat="1" ht="15.75" customHeight="1" x14ac:dyDescent="0.25">
      <c r="A106" s="16" t="s">
        <v>1887</v>
      </c>
      <c r="B106" s="39">
        <v>1</v>
      </c>
      <c r="C106" s="39">
        <v>1.25</v>
      </c>
      <c r="D106" s="39">
        <v>0</v>
      </c>
      <c r="E106" s="39">
        <v>1</v>
      </c>
      <c r="F106" s="39">
        <v>1</v>
      </c>
      <c r="G106" s="39">
        <v>0</v>
      </c>
      <c r="H106" s="40">
        <f>AVERAGE(21.6,12,10,13.1,30.5,38,15)</f>
        <v>20.028571428571428</v>
      </c>
      <c r="I106" s="41">
        <f>AVERAGE(0.54,1.5,1.5,0.86,0.24,0.54,0.85)</f>
        <v>0.86142857142857143</v>
      </c>
      <c r="J106" s="39">
        <v>1.0900000000000001</v>
      </c>
      <c r="K106" s="42">
        <f t="shared" si="4"/>
        <v>0.12475</v>
      </c>
      <c r="L106" s="39">
        <v>0</v>
      </c>
      <c r="M106" s="39">
        <v>0</v>
      </c>
      <c r="N106" s="4" t="s">
        <v>55</v>
      </c>
      <c r="O106" s="4">
        <v>0</v>
      </c>
      <c r="P106" s="4">
        <v>0</v>
      </c>
      <c r="Q106" s="4" t="s">
        <v>45</v>
      </c>
      <c r="R106" s="4" t="s">
        <v>45</v>
      </c>
      <c r="S106" s="4" t="s">
        <v>45</v>
      </c>
      <c r="T106" s="4" t="s">
        <v>45</v>
      </c>
      <c r="U106" s="4" t="s">
        <v>45</v>
      </c>
      <c r="V106" s="4" t="s">
        <v>45</v>
      </c>
      <c r="W106" s="4" t="s">
        <v>45</v>
      </c>
      <c r="X106" s="4" t="s">
        <v>45</v>
      </c>
      <c r="Y106" s="4" t="s">
        <v>45</v>
      </c>
      <c r="Z106" s="4">
        <v>0.8</v>
      </c>
      <c r="AA106" s="4" t="s">
        <v>975</v>
      </c>
      <c r="AB106" s="4" t="s">
        <v>979</v>
      </c>
      <c r="AC106" s="4" t="s">
        <v>1810</v>
      </c>
      <c r="AD106" s="39">
        <v>0</v>
      </c>
      <c r="AE106" s="4" t="s">
        <v>45</v>
      </c>
      <c r="AF106" s="4" t="s">
        <v>45</v>
      </c>
      <c r="AG106" s="4" t="s">
        <v>45</v>
      </c>
      <c r="AH106" s="4" t="s">
        <v>45</v>
      </c>
      <c r="AI106" s="4">
        <v>1.2</v>
      </c>
      <c r="AJ106" s="4" t="s">
        <v>996</v>
      </c>
      <c r="AK106" s="4">
        <v>0</v>
      </c>
      <c r="AL106" s="4" t="s">
        <v>1007</v>
      </c>
      <c r="AM106" s="4">
        <v>1</v>
      </c>
      <c r="AN106" s="4">
        <v>0.1</v>
      </c>
      <c r="AO106" s="4">
        <v>0.3</v>
      </c>
      <c r="AP106" s="4">
        <v>0.5</v>
      </c>
      <c r="AQ106" s="4">
        <v>0</v>
      </c>
      <c r="AR106" s="4" t="s">
        <v>1024</v>
      </c>
      <c r="AS106" s="4">
        <v>1</v>
      </c>
      <c r="AT106" s="4">
        <v>0</v>
      </c>
      <c r="AU106" s="4">
        <v>0</v>
      </c>
      <c r="AV106" s="4" t="s">
        <v>45</v>
      </c>
      <c r="AW106" s="4">
        <v>0</v>
      </c>
      <c r="AX106" s="4">
        <v>0</v>
      </c>
      <c r="AY106" s="4">
        <v>0</v>
      </c>
      <c r="AZ106" s="4">
        <v>2</v>
      </c>
      <c r="BA106" s="4">
        <v>0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39">
        <v>1</v>
      </c>
      <c r="BH106" s="39">
        <v>0.2</v>
      </c>
      <c r="BI106" s="39">
        <v>2.5000000000000001E-2</v>
      </c>
      <c r="BJ106" s="39" t="s">
        <v>1080</v>
      </c>
      <c r="BK106" s="39">
        <v>0</v>
      </c>
      <c r="BL106" s="39">
        <v>0</v>
      </c>
      <c r="BM106" s="39">
        <v>0</v>
      </c>
    </row>
    <row r="107" spans="1:65" s="16" customFormat="1" x14ac:dyDescent="0.25">
      <c r="A107" s="16" t="s">
        <v>1868</v>
      </c>
      <c r="B107" s="39">
        <v>0</v>
      </c>
      <c r="C107" s="39">
        <v>1.25</v>
      </c>
      <c r="D107" s="39">
        <v>0</v>
      </c>
      <c r="E107" s="39">
        <v>1</v>
      </c>
      <c r="F107" s="39">
        <v>1</v>
      </c>
      <c r="G107" s="39">
        <v>0</v>
      </c>
      <c r="H107" s="40">
        <f>AVERAGE(21.6,12,10,13.1,30.5,38,15)</f>
        <v>20.028571428571428</v>
      </c>
      <c r="I107" s="41">
        <f>AVERAGE(0.54,1.5,1.5,0.86,0.24,0.54,0.85)</f>
        <v>0.86142857142857143</v>
      </c>
      <c r="J107" s="39">
        <v>1.0900000000000001</v>
      </c>
      <c r="K107" s="42">
        <f t="shared" si="4"/>
        <v>0.12475</v>
      </c>
      <c r="L107" s="39">
        <v>0</v>
      </c>
      <c r="M107" s="39">
        <v>0</v>
      </c>
      <c r="N107" s="4" t="s">
        <v>55</v>
      </c>
      <c r="O107" s="4">
        <v>0</v>
      </c>
      <c r="P107" s="4">
        <v>0</v>
      </c>
      <c r="Q107" s="4" t="s">
        <v>45</v>
      </c>
      <c r="R107" s="4" t="s">
        <v>45</v>
      </c>
      <c r="S107" s="4" t="s">
        <v>45</v>
      </c>
      <c r="T107" s="4" t="s">
        <v>45</v>
      </c>
      <c r="U107" s="4">
        <v>3</v>
      </c>
      <c r="V107" s="4">
        <v>0.85</v>
      </c>
      <c r="W107" s="4" t="s">
        <v>965</v>
      </c>
      <c r="X107" s="4" t="s">
        <v>1869</v>
      </c>
      <c r="Y107" s="4" t="s">
        <v>952</v>
      </c>
      <c r="Z107" s="4">
        <v>0.8</v>
      </c>
      <c r="AA107" s="4" t="s">
        <v>975</v>
      </c>
      <c r="AB107" s="4" t="s">
        <v>979</v>
      </c>
      <c r="AC107" s="4" t="s">
        <v>1064</v>
      </c>
      <c r="AD107" s="39">
        <v>1</v>
      </c>
      <c r="AE107" s="4">
        <v>0.7</v>
      </c>
      <c r="AF107" s="4" t="s">
        <v>1746</v>
      </c>
      <c r="AG107" s="4" t="s">
        <v>993</v>
      </c>
      <c r="AH107" s="4" t="s">
        <v>1842</v>
      </c>
      <c r="AI107" s="4">
        <v>1.2</v>
      </c>
      <c r="AJ107" s="4" t="s">
        <v>996</v>
      </c>
      <c r="AK107" s="4">
        <v>0</v>
      </c>
      <c r="AL107" s="4" t="s">
        <v>1007</v>
      </c>
      <c r="AM107" s="4">
        <v>1</v>
      </c>
      <c r="AN107" s="4">
        <v>0.1</v>
      </c>
      <c r="AO107" s="4">
        <v>0.3</v>
      </c>
      <c r="AP107" s="4">
        <v>1</v>
      </c>
      <c r="AQ107" s="4">
        <v>0</v>
      </c>
      <c r="AR107" s="4" t="s">
        <v>1024</v>
      </c>
      <c r="AS107" s="4">
        <v>1</v>
      </c>
      <c r="AT107" s="4">
        <v>0</v>
      </c>
      <c r="AU107" s="4">
        <v>0</v>
      </c>
      <c r="AV107" s="4" t="s">
        <v>45</v>
      </c>
      <c r="AW107" s="4">
        <v>0</v>
      </c>
      <c r="AX107" s="4">
        <v>0</v>
      </c>
      <c r="AY107" s="4">
        <v>0</v>
      </c>
      <c r="AZ107" s="4">
        <v>2</v>
      </c>
      <c r="BA107" s="4">
        <v>0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39">
        <v>1</v>
      </c>
      <c r="BH107" s="39">
        <v>0.2</v>
      </c>
      <c r="BI107" s="39">
        <v>2.5000000000000001E-2</v>
      </c>
      <c r="BJ107" s="39" t="s">
        <v>1080</v>
      </c>
      <c r="BK107" s="39">
        <v>0</v>
      </c>
      <c r="BL107" s="39">
        <v>1</v>
      </c>
      <c r="BM107" s="39">
        <v>0</v>
      </c>
    </row>
    <row r="108" spans="1:65" s="16" customFormat="1" x14ac:dyDescent="0.25">
      <c r="A108" s="16" t="s">
        <v>1888</v>
      </c>
      <c r="B108" s="39">
        <v>0</v>
      </c>
      <c r="C108" s="39">
        <v>1.25</v>
      </c>
      <c r="D108" s="39">
        <v>0</v>
      </c>
      <c r="E108" s="39">
        <v>1</v>
      </c>
      <c r="F108" s="39">
        <v>1</v>
      </c>
      <c r="G108" s="39">
        <v>0</v>
      </c>
      <c r="H108" s="40">
        <f>AVERAGE(21.6,12,10,13.1,30.5,38,15)</f>
        <v>20.028571428571428</v>
      </c>
      <c r="I108" s="41">
        <f>AVERAGE(0.54,1.5,1.5,0.86,0.24,0.54,0.85)</f>
        <v>0.86142857142857143</v>
      </c>
      <c r="J108" s="39">
        <v>1.0900000000000001</v>
      </c>
      <c r="K108" s="42">
        <f t="shared" si="4"/>
        <v>0.12475</v>
      </c>
      <c r="L108" s="39">
        <v>0</v>
      </c>
      <c r="M108" s="39">
        <v>0</v>
      </c>
      <c r="N108" s="4" t="s">
        <v>55</v>
      </c>
      <c r="O108" s="4">
        <v>0</v>
      </c>
      <c r="P108" s="4">
        <v>0</v>
      </c>
      <c r="Q108" s="4" t="s">
        <v>45</v>
      </c>
      <c r="R108" s="4" t="s">
        <v>45</v>
      </c>
      <c r="S108" s="4" t="s">
        <v>45</v>
      </c>
      <c r="T108" s="4" t="s">
        <v>45</v>
      </c>
      <c r="U108" s="4" t="s">
        <v>45</v>
      </c>
      <c r="V108" s="4" t="s">
        <v>45</v>
      </c>
      <c r="W108" s="4" t="s">
        <v>45</v>
      </c>
      <c r="X108" s="4" t="s">
        <v>45</v>
      </c>
      <c r="Y108" s="4" t="s">
        <v>45</v>
      </c>
      <c r="Z108" s="4">
        <v>0.8</v>
      </c>
      <c r="AA108" s="4" t="s">
        <v>975</v>
      </c>
      <c r="AB108" s="4" t="s">
        <v>979</v>
      </c>
      <c r="AC108" s="4" t="s">
        <v>1064</v>
      </c>
      <c r="AD108" s="39">
        <v>1</v>
      </c>
      <c r="AE108" s="4">
        <v>0.7</v>
      </c>
      <c r="AF108" s="4" t="s">
        <v>1746</v>
      </c>
      <c r="AG108" s="4" t="s">
        <v>993</v>
      </c>
      <c r="AH108" s="4" t="s">
        <v>1842</v>
      </c>
      <c r="AI108" s="4">
        <v>1.2</v>
      </c>
      <c r="AJ108" s="4" t="s">
        <v>996</v>
      </c>
      <c r="AK108" s="4">
        <v>0</v>
      </c>
      <c r="AL108" s="4" t="s">
        <v>1007</v>
      </c>
      <c r="AM108" s="4">
        <v>1</v>
      </c>
      <c r="AN108" s="4">
        <v>0.1</v>
      </c>
      <c r="AO108" s="4">
        <v>0.3</v>
      </c>
      <c r="AP108" s="4">
        <v>0.5</v>
      </c>
      <c r="AQ108" s="4">
        <v>0</v>
      </c>
      <c r="AR108" s="4" t="s">
        <v>1024</v>
      </c>
      <c r="AS108" s="4">
        <v>1</v>
      </c>
      <c r="AT108" s="4">
        <v>0</v>
      </c>
      <c r="AU108" s="4">
        <v>0</v>
      </c>
      <c r="AV108" s="4" t="s">
        <v>45</v>
      </c>
      <c r="AW108" s="4">
        <v>0</v>
      </c>
      <c r="AX108" s="4">
        <v>0</v>
      </c>
      <c r="AY108" s="4">
        <v>0</v>
      </c>
      <c r="AZ108" s="4">
        <v>2</v>
      </c>
      <c r="BA108" s="4">
        <v>0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39">
        <v>1</v>
      </c>
      <c r="BH108" s="39">
        <v>0.2</v>
      </c>
      <c r="BI108" s="39">
        <v>2.5000000000000001E-2</v>
      </c>
      <c r="BJ108" s="39" t="s">
        <v>1080</v>
      </c>
      <c r="BK108" s="39">
        <v>0</v>
      </c>
      <c r="BL108" s="39">
        <v>0</v>
      </c>
      <c r="BM108" s="39">
        <v>0</v>
      </c>
    </row>
    <row r="109" spans="1:65" s="16" customFormat="1" ht="15.75" customHeight="1" x14ac:dyDescent="0.25">
      <c r="A109" s="16" t="s">
        <v>1889</v>
      </c>
      <c r="B109" s="39">
        <v>0</v>
      </c>
      <c r="C109" s="39">
        <v>0.85</v>
      </c>
      <c r="D109" s="39">
        <v>1</v>
      </c>
      <c r="E109" s="39">
        <v>5</v>
      </c>
      <c r="F109" s="39">
        <v>1</v>
      </c>
      <c r="G109" s="39">
        <v>0</v>
      </c>
      <c r="H109" s="40">
        <f t="shared" si="2"/>
        <v>20.028571428571428</v>
      </c>
      <c r="I109" s="41">
        <f t="shared" si="3"/>
        <v>0.86142857142857143</v>
      </c>
      <c r="J109" s="39">
        <v>1.0900000000000001</v>
      </c>
      <c r="K109" s="39" t="s">
        <v>929</v>
      </c>
      <c r="L109" s="39">
        <v>0</v>
      </c>
      <c r="M109" s="39">
        <v>0</v>
      </c>
      <c r="N109" s="4" t="s">
        <v>45</v>
      </c>
      <c r="O109" s="4">
        <v>0</v>
      </c>
      <c r="P109" s="4">
        <v>1</v>
      </c>
      <c r="Q109" s="4">
        <v>1</v>
      </c>
      <c r="R109" s="4" t="s">
        <v>954</v>
      </c>
      <c r="S109" s="4" t="s">
        <v>957</v>
      </c>
      <c r="T109" s="4" t="s">
        <v>955</v>
      </c>
      <c r="U109" s="4">
        <v>3</v>
      </c>
      <c r="V109" s="4">
        <v>0.85</v>
      </c>
      <c r="W109" s="4" t="s">
        <v>965</v>
      </c>
      <c r="X109" s="4" t="s">
        <v>966</v>
      </c>
      <c r="Y109" s="4" t="s">
        <v>952</v>
      </c>
      <c r="Z109" s="4" t="s">
        <v>45</v>
      </c>
      <c r="AA109" s="4" t="s">
        <v>45</v>
      </c>
      <c r="AB109" s="4" t="s">
        <v>45</v>
      </c>
      <c r="AC109" s="4" t="s">
        <v>45</v>
      </c>
      <c r="AD109" s="39">
        <v>0</v>
      </c>
      <c r="AE109" s="4" t="s">
        <v>45</v>
      </c>
      <c r="AF109" s="4" t="s">
        <v>45</v>
      </c>
      <c r="AG109" s="4" t="s">
        <v>45</v>
      </c>
      <c r="AH109" s="4" t="s">
        <v>45</v>
      </c>
      <c r="AI109" s="4">
        <v>1</v>
      </c>
      <c r="AJ109" s="4" t="s">
        <v>996</v>
      </c>
      <c r="AK109" s="4">
        <v>0</v>
      </c>
      <c r="AL109" s="4" t="s">
        <v>1814</v>
      </c>
      <c r="AM109" s="4">
        <v>0</v>
      </c>
      <c r="AN109" s="4">
        <v>2.5000000000000001E-2</v>
      </c>
      <c r="AO109" s="4">
        <v>0.1</v>
      </c>
      <c r="AP109" s="4" t="s">
        <v>45</v>
      </c>
      <c r="AQ109" s="4">
        <v>0</v>
      </c>
      <c r="AR109" s="4" t="s">
        <v>673</v>
      </c>
      <c r="AS109" s="4">
        <v>0</v>
      </c>
      <c r="AT109" s="4">
        <v>0</v>
      </c>
      <c r="AU109" s="4">
        <v>0</v>
      </c>
      <c r="AV109" s="4" t="s">
        <v>45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1</v>
      </c>
      <c r="BC109" s="4">
        <v>0</v>
      </c>
      <c r="BD109" s="4">
        <v>0</v>
      </c>
      <c r="BE109" s="4">
        <v>0</v>
      </c>
      <c r="BF109" s="4">
        <v>1</v>
      </c>
      <c r="BG109" s="39">
        <v>0.5</v>
      </c>
      <c r="BH109" s="39">
        <v>0</v>
      </c>
      <c r="BI109" s="39">
        <v>0</v>
      </c>
      <c r="BJ109" s="39" t="s">
        <v>1080</v>
      </c>
      <c r="BK109" s="39">
        <v>0</v>
      </c>
      <c r="BL109" s="39">
        <v>0</v>
      </c>
      <c r="BM109" s="39">
        <v>0</v>
      </c>
    </row>
    <row r="110" spans="1:65" s="16" customFormat="1" x14ac:dyDescent="0.25">
      <c r="A110" s="16" t="s">
        <v>1720</v>
      </c>
      <c r="B110" s="39">
        <v>0</v>
      </c>
      <c r="C110" s="39">
        <v>0.85</v>
      </c>
      <c r="D110" s="39">
        <v>1</v>
      </c>
      <c r="E110" s="39">
        <v>5</v>
      </c>
      <c r="F110" s="39">
        <v>1</v>
      </c>
      <c r="G110" s="39">
        <v>0</v>
      </c>
      <c r="H110" s="40">
        <f t="shared" si="2"/>
        <v>20.028571428571428</v>
      </c>
      <c r="I110" s="41">
        <f t="shared" si="3"/>
        <v>0.86142857142857143</v>
      </c>
      <c r="J110" s="39">
        <v>1.0900000000000001</v>
      </c>
      <c r="K110" s="39" t="s">
        <v>929</v>
      </c>
      <c r="L110" s="39">
        <v>0</v>
      </c>
      <c r="M110" s="39">
        <v>0</v>
      </c>
      <c r="N110" s="4" t="s">
        <v>45</v>
      </c>
      <c r="O110" s="4">
        <v>0</v>
      </c>
      <c r="P110" s="4">
        <v>1</v>
      </c>
      <c r="Q110" s="4">
        <v>1</v>
      </c>
      <c r="R110" s="4" t="s">
        <v>954</v>
      </c>
      <c r="S110" s="4" t="s">
        <v>957</v>
      </c>
      <c r="T110" s="4" t="s">
        <v>955</v>
      </c>
      <c r="U110" s="4">
        <v>3</v>
      </c>
      <c r="V110" s="4">
        <v>0.85</v>
      </c>
      <c r="W110" s="4" t="s">
        <v>965</v>
      </c>
      <c r="X110" s="4" t="s">
        <v>966</v>
      </c>
      <c r="Y110" s="4" t="s">
        <v>952</v>
      </c>
      <c r="Z110" s="4" t="s">
        <v>45</v>
      </c>
      <c r="AA110" s="4" t="s">
        <v>45</v>
      </c>
      <c r="AB110" s="4" t="s">
        <v>45</v>
      </c>
      <c r="AC110" s="4" t="s">
        <v>45</v>
      </c>
      <c r="AD110" s="39">
        <v>0</v>
      </c>
      <c r="AE110" s="4" t="s">
        <v>45</v>
      </c>
      <c r="AF110" s="4" t="s">
        <v>45</v>
      </c>
      <c r="AG110" s="4" t="s">
        <v>45</v>
      </c>
      <c r="AH110" s="4" t="s">
        <v>45</v>
      </c>
      <c r="AI110" s="4">
        <v>1</v>
      </c>
      <c r="AJ110" s="4" t="s">
        <v>996</v>
      </c>
      <c r="AK110" s="4">
        <v>1</v>
      </c>
      <c r="AL110" s="4" t="s">
        <v>1009</v>
      </c>
      <c r="AM110" s="4">
        <v>0</v>
      </c>
      <c r="AN110" s="4">
        <v>2.5000000000000001E-2</v>
      </c>
      <c r="AO110" s="4">
        <v>0.1</v>
      </c>
      <c r="AP110" s="4" t="s">
        <v>45</v>
      </c>
      <c r="AQ110" s="4">
        <v>0</v>
      </c>
      <c r="AR110" s="4" t="s">
        <v>673</v>
      </c>
      <c r="AS110" s="4">
        <v>0</v>
      </c>
      <c r="AT110" s="4">
        <v>0</v>
      </c>
      <c r="AU110" s="4">
        <v>0</v>
      </c>
      <c r="AV110" s="4" t="s">
        <v>45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1</v>
      </c>
      <c r="BC110" s="4">
        <v>0</v>
      </c>
      <c r="BD110" s="4">
        <v>0</v>
      </c>
      <c r="BE110" s="4">
        <v>0</v>
      </c>
      <c r="BF110" s="4">
        <v>1</v>
      </c>
      <c r="BG110" s="39">
        <v>0.5</v>
      </c>
      <c r="BH110" s="39">
        <v>0</v>
      </c>
      <c r="BI110" s="39">
        <v>0</v>
      </c>
      <c r="BJ110" s="39" t="s">
        <v>1080</v>
      </c>
      <c r="BK110" s="39">
        <v>0</v>
      </c>
      <c r="BL110" s="39">
        <v>0</v>
      </c>
      <c r="BM110" s="39">
        <v>0</v>
      </c>
    </row>
    <row r="111" spans="1:65" s="16" customFormat="1" x14ac:dyDescent="0.25">
      <c r="A111" s="16" t="s">
        <v>1717</v>
      </c>
      <c r="B111" s="39">
        <v>0</v>
      </c>
      <c r="C111" s="39">
        <v>0.85</v>
      </c>
      <c r="D111" s="39">
        <v>1</v>
      </c>
      <c r="E111" s="39">
        <v>5</v>
      </c>
      <c r="F111" s="39">
        <v>1</v>
      </c>
      <c r="G111" s="39">
        <v>0</v>
      </c>
      <c r="H111" s="40">
        <f t="shared" si="2"/>
        <v>20.028571428571428</v>
      </c>
      <c r="I111" s="41">
        <f t="shared" si="3"/>
        <v>0.86142857142857143</v>
      </c>
      <c r="J111" s="39">
        <v>1.0900000000000001</v>
      </c>
      <c r="K111" s="39" t="s">
        <v>929</v>
      </c>
      <c r="L111" s="39">
        <v>0</v>
      </c>
      <c r="M111" s="39">
        <v>0</v>
      </c>
      <c r="N111" s="4" t="s">
        <v>45</v>
      </c>
      <c r="O111" s="4">
        <v>0</v>
      </c>
      <c r="P111" s="4">
        <v>1</v>
      </c>
      <c r="Q111" s="4">
        <v>1</v>
      </c>
      <c r="R111" s="4" t="s">
        <v>954</v>
      </c>
      <c r="S111" s="4" t="s">
        <v>957</v>
      </c>
      <c r="T111" s="4" t="s">
        <v>955</v>
      </c>
      <c r="U111" s="4">
        <v>3</v>
      </c>
      <c r="V111" s="4">
        <v>0.85</v>
      </c>
      <c r="W111" s="4" t="s">
        <v>965</v>
      </c>
      <c r="X111" s="4" t="s">
        <v>967</v>
      </c>
      <c r="Y111" s="4" t="s">
        <v>952</v>
      </c>
      <c r="Z111" s="4" t="s">
        <v>45</v>
      </c>
      <c r="AA111" s="4" t="s">
        <v>45</v>
      </c>
      <c r="AB111" s="4" t="s">
        <v>45</v>
      </c>
      <c r="AC111" s="4" t="s">
        <v>45</v>
      </c>
      <c r="AD111" s="39">
        <v>0</v>
      </c>
      <c r="AE111" s="4" t="s">
        <v>45</v>
      </c>
      <c r="AF111" s="4" t="s">
        <v>45</v>
      </c>
      <c r="AG111" s="4" t="s">
        <v>45</v>
      </c>
      <c r="AH111" s="4" t="s">
        <v>45</v>
      </c>
      <c r="AI111" s="4">
        <v>1</v>
      </c>
      <c r="AJ111" s="4" t="s">
        <v>996</v>
      </c>
      <c r="AK111" s="4">
        <v>1</v>
      </c>
      <c r="AL111" s="4" t="s">
        <v>1320</v>
      </c>
      <c r="AM111" s="4">
        <v>0</v>
      </c>
      <c r="AN111" s="4">
        <v>0</v>
      </c>
      <c r="AO111" s="4">
        <v>0</v>
      </c>
      <c r="AP111" s="4" t="s">
        <v>45</v>
      </c>
      <c r="AQ111" s="4">
        <v>0</v>
      </c>
      <c r="AR111" s="4" t="s">
        <v>673</v>
      </c>
      <c r="AS111" s="4">
        <v>0</v>
      </c>
      <c r="AT111" s="4">
        <v>0</v>
      </c>
      <c r="AU111" s="4">
        <v>0</v>
      </c>
      <c r="AV111" s="4" t="s">
        <v>45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1</v>
      </c>
      <c r="BC111" s="4">
        <v>0</v>
      </c>
      <c r="BD111" s="4">
        <v>0</v>
      </c>
      <c r="BE111" s="4">
        <v>0</v>
      </c>
      <c r="BF111" s="4">
        <v>1</v>
      </c>
      <c r="BG111" s="39">
        <v>0.5</v>
      </c>
      <c r="BH111" s="39">
        <v>0</v>
      </c>
      <c r="BI111" s="39">
        <v>0</v>
      </c>
      <c r="BJ111" s="39" t="s">
        <v>1080</v>
      </c>
      <c r="BK111" s="39">
        <v>0</v>
      </c>
      <c r="BL111" s="39">
        <v>0</v>
      </c>
      <c r="BM111" s="39">
        <v>0</v>
      </c>
    </row>
    <row r="112" spans="1:65" s="16" customFormat="1" x14ac:dyDescent="0.25">
      <c r="A112" s="16" t="s">
        <v>1714</v>
      </c>
      <c r="B112" s="39">
        <v>2</v>
      </c>
      <c r="C112" s="39">
        <v>1.5</v>
      </c>
      <c r="D112" s="39">
        <v>0</v>
      </c>
      <c r="E112" s="39">
        <v>1</v>
      </c>
      <c r="F112" s="39">
        <v>0</v>
      </c>
      <c r="G112" s="39">
        <v>0</v>
      </c>
      <c r="H112" s="40">
        <v>22.39</v>
      </c>
      <c r="I112" s="41">
        <v>0.37</v>
      </c>
      <c r="J112" s="39">
        <v>1.0900000000000001</v>
      </c>
      <c r="K112" s="39" t="s">
        <v>929</v>
      </c>
      <c r="L112" s="39">
        <v>0</v>
      </c>
      <c r="M112" s="39">
        <v>0</v>
      </c>
      <c r="N112" s="4" t="s">
        <v>168</v>
      </c>
      <c r="O112" s="4">
        <v>0</v>
      </c>
      <c r="P112" s="4">
        <v>0</v>
      </c>
      <c r="Q112" s="4" t="s">
        <v>45</v>
      </c>
      <c r="R112" s="4" t="s">
        <v>45</v>
      </c>
      <c r="S112" s="4" t="s">
        <v>45</v>
      </c>
      <c r="T112" s="4" t="s">
        <v>45</v>
      </c>
      <c r="U112" s="4" t="s">
        <v>45</v>
      </c>
      <c r="V112" s="4" t="s">
        <v>45</v>
      </c>
      <c r="W112" s="4" t="s">
        <v>45</v>
      </c>
      <c r="X112" s="4" t="s">
        <v>45</v>
      </c>
      <c r="Y112" s="4" t="s">
        <v>45</v>
      </c>
      <c r="Z112" s="4">
        <v>0.3</v>
      </c>
      <c r="AA112" s="4" t="s">
        <v>974</v>
      </c>
      <c r="AB112" s="4" t="s">
        <v>982</v>
      </c>
      <c r="AC112" s="4" t="s">
        <v>1065</v>
      </c>
      <c r="AD112" s="39">
        <v>0</v>
      </c>
      <c r="AE112" s="4" t="s">
        <v>45</v>
      </c>
      <c r="AF112" s="4" t="s">
        <v>45</v>
      </c>
      <c r="AG112" s="4" t="s">
        <v>45</v>
      </c>
      <c r="AH112" s="4" t="s">
        <v>45</v>
      </c>
      <c r="AI112" s="4">
        <v>1</v>
      </c>
      <c r="AJ112" s="4" t="s">
        <v>997</v>
      </c>
      <c r="AK112" s="4">
        <v>0</v>
      </c>
      <c r="AL112" s="4" t="s">
        <v>1319</v>
      </c>
      <c r="AM112" s="4">
        <v>0</v>
      </c>
      <c r="AN112" s="4">
        <v>0.1</v>
      </c>
      <c r="AO112" s="4">
        <v>0.3</v>
      </c>
      <c r="AP112" s="4" t="s">
        <v>45</v>
      </c>
      <c r="AQ112" s="4">
        <v>0</v>
      </c>
      <c r="AR112" s="4" t="s">
        <v>673</v>
      </c>
      <c r="AS112" s="4">
        <v>1</v>
      </c>
      <c r="AT112" s="4">
        <v>0</v>
      </c>
      <c r="AU112" s="4">
        <v>0</v>
      </c>
      <c r="AV112" s="4" t="s">
        <v>45</v>
      </c>
      <c r="AW112" s="4">
        <v>0</v>
      </c>
      <c r="AX112" s="4">
        <v>0</v>
      </c>
      <c r="AY112" s="4">
        <v>0</v>
      </c>
      <c r="AZ112" s="4">
        <v>0</v>
      </c>
      <c r="BA112" s="4">
        <v>1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39">
        <v>0.5</v>
      </c>
      <c r="BH112" s="39">
        <v>0.1</v>
      </c>
      <c r="BI112" s="39">
        <v>0</v>
      </c>
      <c r="BJ112" s="39" t="s">
        <v>1087</v>
      </c>
      <c r="BK112" s="39">
        <v>0</v>
      </c>
      <c r="BL112" s="39">
        <v>0</v>
      </c>
      <c r="BM112" s="39">
        <v>0</v>
      </c>
    </row>
    <row r="113" spans="1:65" s="16" customFormat="1" x14ac:dyDescent="0.25">
      <c r="A113" s="16" t="s">
        <v>1862</v>
      </c>
      <c r="B113" s="39">
        <v>2</v>
      </c>
      <c r="C113" s="39">
        <v>1.5</v>
      </c>
      <c r="D113" s="39">
        <v>0</v>
      </c>
      <c r="E113" s="39">
        <v>1</v>
      </c>
      <c r="F113" s="39">
        <v>0</v>
      </c>
      <c r="G113" s="39">
        <v>0</v>
      </c>
      <c r="H113" s="40">
        <v>22.39</v>
      </c>
      <c r="I113" s="41">
        <v>0.37</v>
      </c>
      <c r="J113" s="39">
        <v>1.0900000000000001</v>
      </c>
      <c r="K113" s="39" t="s">
        <v>929</v>
      </c>
      <c r="L113" s="39">
        <v>0</v>
      </c>
      <c r="M113" s="39">
        <v>0</v>
      </c>
      <c r="N113" s="4" t="s">
        <v>168</v>
      </c>
      <c r="O113" s="4">
        <v>0</v>
      </c>
      <c r="P113" s="4">
        <v>0</v>
      </c>
      <c r="Q113" s="4" t="s">
        <v>45</v>
      </c>
      <c r="R113" s="4" t="s">
        <v>45</v>
      </c>
      <c r="S113" s="4" t="s">
        <v>45</v>
      </c>
      <c r="T113" s="4" t="s">
        <v>45</v>
      </c>
      <c r="U113" s="4" t="s">
        <v>45</v>
      </c>
      <c r="V113" s="4" t="s">
        <v>45</v>
      </c>
      <c r="W113" s="4" t="s">
        <v>45</v>
      </c>
      <c r="X113" s="4" t="s">
        <v>45</v>
      </c>
      <c r="Y113" s="4" t="s">
        <v>45</v>
      </c>
      <c r="Z113" s="4">
        <v>0.8</v>
      </c>
      <c r="AA113" s="4" t="s">
        <v>974</v>
      </c>
      <c r="AB113" s="4" t="s">
        <v>978</v>
      </c>
      <c r="AC113" s="4" t="s">
        <v>1860</v>
      </c>
      <c r="AD113" s="39">
        <v>0</v>
      </c>
      <c r="AE113" s="4" t="s">
        <v>45</v>
      </c>
      <c r="AF113" s="4" t="s">
        <v>45</v>
      </c>
      <c r="AG113" s="4" t="s">
        <v>45</v>
      </c>
      <c r="AH113" s="4" t="s">
        <v>45</v>
      </c>
      <c r="AI113" s="4">
        <v>1</v>
      </c>
      <c r="AJ113" s="4" t="s">
        <v>997</v>
      </c>
      <c r="AK113" s="4">
        <v>0</v>
      </c>
      <c r="AL113" s="4" t="s">
        <v>168</v>
      </c>
      <c r="AM113" s="4">
        <v>0</v>
      </c>
      <c r="AN113" s="4">
        <v>0.1</v>
      </c>
      <c r="AO113" s="4">
        <v>0.3</v>
      </c>
      <c r="AP113" s="4" t="s">
        <v>45</v>
      </c>
      <c r="AQ113" s="4">
        <v>0</v>
      </c>
      <c r="AR113" s="4" t="s">
        <v>1026</v>
      </c>
      <c r="AS113" s="4">
        <v>1</v>
      </c>
      <c r="AT113" s="4">
        <v>0</v>
      </c>
      <c r="AU113" s="4">
        <v>0</v>
      </c>
      <c r="AV113" s="4" t="s">
        <v>45</v>
      </c>
      <c r="AW113" s="4">
        <v>0</v>
      </c>
      <c r="AX113" s="4">
        <v>0</v>
      </c>
      <c r="AY113" s="4">
        <v>0</v>
      </c>
      <c r="AZ113" s="4">
        <v>0</v>
      </c>
      <c r="BA113" s="4">
        <v>1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39">
        <v>0.5</v>
      </c>
      <c r="BH113" s="39">
        <v>0.1</v>
      </c>
      <c r="BI113" s="39">
        <v>0</v>
      </c>
      <c r="BJ113" s="39" t="s">
        <v>1087</v>
      </c>
      <c r="BK113" s="39">
        <v>0</v>
      </c>
      <c r="BL113" s="39">
        <v>0</v>
      </c>
      <c r="BM113" s="39">
        <v>0</v>
      </c>
    </row>
    <row r="114" spans="1:65" s="16" customFormat="1" ht="15.75" customHeight="1" x14ac:dyDescent="0.25">
      <c r="A114" s="16" t="s">
        <v>1794</v>
      </c>
      <c r="B114" s="39">
        <v>2</v>
      </c>
      <c r="C114" s="39">
        <v>1.1000000000000001</v>
      </c>
      <c r="D114" s="39">
        <v>0</v>
      </c>
      <c r="E114" s="39">
        <v>1</v>
      </c>
      <c r="F114" s="39">
        <v>0</v>
      </c>
      <c r="G114" s="39">
        <v>0</v>
      </c>
      <c r="H114" s="40">
        <f>AVERAGE(65.2,57.2,43.4)</f>
        <v>55.266666666666673</v>
      </c>
      <c r="I114" s="41">
        <f>AVERAGE(31.29%,20.98%,15.21%)</f>
        <v>0.22493333333333335</v>
      </c>
      <c r="J114" s="39">
        <v>1.86</v>
      </c>
      <c r="K114" s="39">
        <v>0.2</v>
      </c>
      <c r="L114" s="39">
        <v>1</v>
      </c>
      <c r="M114" s="39">
        <v>0</v>
      </c>
      <c r="N114" s="4" t="s">
        <v>458</v>
      </c>
      <c r="O114" s="4">
        <v>0</v>
      </c>
      <c r="P114" s="4">
        <v>0</v>
      </c>
      <c r="Q114" s="4" t="s">
        <v>45</v>
      </c>
      <c r="R114" s="4" t="s">
        <v>45</v>
      </c>
      <c r="S114" s="4" t="s">
        <v>45</v>
      </c>
      <c r="T114" s="4" t="s">
        <v>45</v>
      </c>
      <c r="U114" s="4" t="s">
        <v>45</v>
      </c>
      <c r="V114" s="4" t="s">
        <v>45</v>
      </c>
      <c r="W114" s="4" t="s">
        <v>45</v>
      </c>
      <c r="X114" s="4" t="s">
        <v>45</v>
      </c>
      <c r="Y114" s="4" t="s">
        <v>45</v>
      </c>
      <c r="Z114" s="4">
        <v>0.95</v>
      </c>
      <c r="AA114" s="4" t="s">
        <v>975</v>
      </c>
      <c r="AB114" s="4" t="s">
        <v>978</v>
      </c>
      <c r="AC114" s="4" t="s">
        <v>1795</v>
      </c>
      <c r="AD114" s="39">
        <v>0</v>
      </c>
      <c r="AE114" s="4" t="s">
        <v>45</v>
      </c>
      <c r="AF114" s="4" t="s">
        <v>45</v>
      </c>
      <c r="AG114" s="4" t="s">
        <v>45</v>
      </c>
      <c r="AH114" s="4" t="s">
        <v>45</v>
      </c>
      <c r="AI114" s="4">
        <v>1.2</v>
      </c>
      <c r="AJ114" s="4" t="s">
        <v>997</v>
      </c>
      <c r="AK114" s="4">
        <v>0</v>
      </c>
      <c r="AL114" s="4" t="s">
        <v>1015</v>
      </c>
      <c r="AM114" s="4">
        <v>0</v>
      </c>
      <c r="AN114" s="4">
        <v>0.1</v>
      </c>
      <c r="AO114" s="4">
        <v>0.3</v>
      </c>
      <c r="AP114" s="4" t="s">
        <v>45</v>
      </c>
      <c r="AQ114" s="4">
        <v>0</v>
      </c>
      <c r="AR114" s="4" t="s">
        <v>673</v>
      </c>
      <c r="AS114" s="4">
        <v>1</v>
      </c>
      <c r="AT114" s="4">
        <v>1</v>
      </c>
      <c r="AU114" s="4">
        <v>1</v>
      </c>
      <c r="AV114" s="4" t="s">
        <v>45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1</v>
      </c>
      <c r="BD114" s="4">
        <v>0</v>
      </c>
      <c r="BE114" s="4">
        <v>0</v>
      </c>
      <c r="BF114" s="4">
        <v>1</v>
      </c>
      <c r="BG114" s="39">
        <v>0.25</v>
      </c>
      <c r="BH114" s="39">
        <v>0.1</v>
      </c>
      <c r="BI114" s="39">
        <v>2.5000000000000001E-2</v>
      </c>
      <c r="BJ114" s="39" t="s">
        <v>1082</v>
      </c>
      <c r="BK114" s="39">
        <v>0</v>
      </c>
      <c r="BL114" s="39">
        <v>0</v>
      </c>
      <c r="BM114" s="39">
        <v>0</v>
      </c>
    </row>
    <row r="115" spans="1:65" s="16" customFormat="1" x14ac:dyDescent="0.25">
      <c r="A115" s="16" t="s">
        <v>1863</v>
      </c>
      <c r="B115" s="39">
        <v>1</v>
      </c>
      <c r="C115" s="39">
        <v>1.1000000000000001</v>
      </c>
      <c r="D115" s="39">
        <v>0</v>
      </c>
      <c r="E115" s="39">
        <v>1</v>
      </c>
      <c r="F115" s="39">
        <v>0</v>
      </c>
      <c r="G115" s="39">
        <v>2</v>
      </c>
      <c r="H115" s="40">
        <v>95</v>
      </c>
      <c r="I115" s="41">
        <f>H115/1000/AVERAGE(4.6)</f>
        <v>2.065217391304348E-2</v>
      </c>
      <c r="J115" s="39">
        <v>1.2</v>
      </c>
      <c r="K115" s="39">
        <v>0.32</v>
      </c>
      <c r="L115" s="39">
        <v>1</v>
      </c>
      <c r="M115" s="39">
        <v>1</v>
      </c>
      <c r="N115" s="4" t="s">
        <v>938</v>
      </c>
      <c r="O115" s="4">
        <v>0</v>
      </c>
      <c r="P115" s="4">
        <v>0</v>
      </c>
      <c r="Q115" s="4" t="s">
        <v>45</v>
      </c>
      <c r="R115" s="4" t="s">
        <v>45</v>
      </c>
      <c r="S115" s="4" t="s">
        <v>45</v>
      </c>
      <c r="T115" s="4" t="s">
        <v>45</v>
      </c>
      <c r="U115" s="4" t="s">
        <v>45</v>
      </c>
      <c r="V115" s="4" t="s">
        <v>45</v>
      </c>
      <c r="W115" s="4" t="s">
        <v>45</v>
      </c>
      <c r="X115" s="4" t="s">
        <v>45</v>
      </c>
      <c r="Y115" s="4" t="s">
        <v>45</v>
      </c>
      <c r="Z115" s="4">
        <v>1.2</v>
      </c>
      <c r="AA115" s="4" t="s">
        <v>974</v>
      </c>
      <c r="AB115" s="4" t="s">
        <v>976</v>
      </c>
      <c r="AC115" s="4" t="s">
        <v>1064</v>
      </c>
      <c r="AD115" s="39">
        <v>1</v>
      </c>
      <c r="AE115" s="4">
        <v>1.1000000000000001</v>
      </c>
      <c r="AF115" s="4" t="s">
        <v>990</v>
      </c>
      <c r="AG115" s="4" t="s">
        <v>992</v>
      </c>
      <c r="AH115" s="4" t="s">
        <v>1864</v>
      </c>
      <c r="AI115" s="4">
        <v>1</v>
      </c>
      <c r="AJ115" s="4" t="s">
        <v>999</v>
      </c>
      <c r="AK115" s="4">
        <v>0</v>
      </c>
      <c r="AL115" s="4" t="s">
        <v>1089</v>
      </c>
      <c r="AM115" s="4">
        <v>0</v>
      </c>
      <c r="AN115" s="4">
        <v>0.1</v>
      </c>
      <c r="AO115" s="4">
        <v>1</v>
      </c>
      <c r="AP115" s="4" t="s">
        <v>45</v>
      </c>
      <c r="AQ115" s="4">
        <v>0</v>
      </c>
      <c r="AR115" s="4" t="s">
        <v>1024</v>
      </c>
      <c r="AS115" s="4">
        <v>1</v>
      </c>
      <c r="AT115" s="4">
        <v>0</v>
      </c>
      <c r="AU115" s="4">
        <v>0</v>
      </c>
      <c r="AV115" s="4" t="s">
        <v>45</v>
      </c>
      <c r="AW115" s="4">
        <v>0</v>
      </c>
      <c r="AX115" s="4">
        <v>0</v>
      </c>
      <c r="AY115" s="4">
        <v>0</v>
      </c>
      <c r="AZ115" s="4">
        <v>2</v>
      </c>
      <c r="BA115" s="4">
        <v>0</v>
      </c>
      <c r="BB115" s="4">
        <v>0</v>
      </c>
      <c r="BC115" s="4">
        <v>1</v>
      </c>
      <c r="BD115" s="4">
        <v>0</v>
      </c>
      <c r="BE115" s="4">
        <v>0</v>
      </c>
      <c r="BF115" s="4">
        <v>0</v>
      </c>
      <c r="BG115" s="39">
        <v>0.25</v>
      </c>
      <c r="BH115" s="39">
        <v>0.1</v>
      </c>
      <c r="BI115" s="39">
        <v>2.5000000000000001E-2</v>
      </c>
      <c r="BJ115" s="39" t="s">
        <v>1082</v>
      </c>
      <c r="BK115" s="39">
        <v>1</v>
      </c>
      <c r="BL115" s="39">
        <v>0</v>
      </c>
      <c r="BM115" s="39">
        <v>0</v>
      </c>
    </row>
    <row r="116" spans="1:65" s="16" customFormat="1" x14ac:dyDescent="0.25">
      <c r="A116" s="16" t="s">
        <v>1867</v>
      </c>
      <c r="B116" s="39">
        <v>1</v>
      </c>
      <c r="C116" s="39">
        <v>1</v>
      </c>
      <c r="D116" s="39">
        <v>1</v>
      </c>
      <c r="E116" s="39">
        <v>1</v>
      </c>
      <c r="F116" s="39">
        <v>0</v>
      </c>
      <c r="G116" s="39">
        <v>0</v>
      </c>
      <c r="H116" s="40">
        <v>572</v>
      </c>
      <c r="I116" s="41">
        <v>0.11</v>
      </c>
      <c r="J116" s="39">
        <v>2.81</v>
      </c>
      <c r="K116" s="39">
        <v>0.32</v>
      </c>
      <c r="L116" s="39">
        <v>1</v>
      </c>
      <c r="M116" s="39">
        <v>0</v>
      </c>
      <c r="N116" s="4" t="s">
        <v>45</v>
      </c>
      <c r="O116" s="4">
        <v>0</v>
      </c>
      <c r="P116" s="4">
        <v>0</v>
      </c>
      <c r="Q116" s="4" t="s">
        <v>45</v>
      </c>
      <c r="R116" s="4" t="s">
        <v>45</v>
      </c>
      <c r="S116" s="4" t="s">
        <v>45</v>
      </c>
      <c r="T116" s="4" t="s">
        <v>45</v>
      </c>
      <c r="U116" s="4" t="s">
        <v>45</v>
      </c>
      <c r="V116" s="4" t="s">
        <v>45</v>
      </c>
      <c r="W116" s="4" t="s">
        <v>45</v>
      </c>
      <c r="X116" s="4" t="s">
        <v>45</v>
      </c>
      <c r="Y116" s="4" t="s">
        <v>45</v>
      </c>
      <c r="Z116" s="4" t="s">
        <v>45</v>
      </c>
      <c r="AA116" s="4" t="s">
        <v>45</v>
      </c>
      <c r="AB116" s="4" t="s">
        <v>45</v>
      </c>
      <c r="AC116" s="4" t="s">
        <v>45</v>
      </c>
      <c r="AD116" s="39">
        <v>0</v>
      </c>
      <c r="AE116" s="4" t="s">
        <v>45</v>
      </c>
      <c r="AF116" s="4" t="s">
        <v>45</v>
      </c>
      <c r="AG116" s="4" t="s">
        <v>45</v>
      </c>
      <c r="AH116" s="4" t="s">
        <v>45</v>
      </c>
      <c r="AI116" s="4">
        <v>1</v>
      </c>
      <c r="AJ116" s="4" t="s">
        <v>999</v>
      </c>
      <c r="AK116" s="4">
        <v>0</v>
      </c>
      <c r="AL116" s="4" t="s">
        <v>1872</v>
      </c>
      <c r="AM116" s="4">
        <v>0</v>
      </c>
      <c r="AN116" s="4">
        <v>0</v>
      </c>
      <c r="AO116" s="4">
        <v>0</v>
      </c>
      <c r="AP116" s="4" t="s">
        <v>45</v>
      </c>
      <c r="AQ116" s="4">
        <v>0</v>
      </c>
      <c r="AR116" s="4" t="s">
        <v>673</v>
      </c>
      <c r="AS116" s="4">
        <v>0</v>
      </c>
      <c r="AT116" s="4">
        <v>0</v>
      </c>
      <c r="AU116" s="4">
        <v>0</v>
      </c>
      <c r="AV116" s="4" t="s">
        <v>45</v>
      </c>
      <c r="AW116" s="4">
        <v>1</v>
      </c>
      <c r="AX116" s="4">
        <v>1</v>
      </c>
      <c r="AY116" s="4">
        <v>1</v>
      </c>
      <c r="AZ116" s="4">
        <v>2</v>
      </c>
      <c r="BA116" s="4">
        <v>0</v>
      </c>
      <c r="BB116" s="4">
        <v>0</v>
      </c>
      <c r="BC116" s="4">
        <v>1</v>
      </c>
      <c r="BD116" s="4">
        <v>0</v>
      </c>
      <c r="BE116" s="4">
        <v>0</v>
      </c>
      <c r="BF116" s="4">
        <v>0</v>
      </c>
      <c r="BG116" s="39">
        <v>0</v>
      </c>
      <c r="BH116" s="39">
        <v>0</v>
      </c>
      <c r="BI116" s="39">
        <v>0</v>
      </c>
      <c r="BJ116" s="39" t="s">
        <v>1082</v>
      </c>
      <c r="BK116" s="39">
        <v>0</v>
      </c>
      <c r="BL116" s="39">
        <v>0</v>
      </c>
      <c r="BM116" s="39">
        <v>0</v>
      </c>
    </row>
    <row r="117" spans="1:65" s="16" customFormat="1" ht="14.25" customHeight="1" x14ac:dyDescent="0.25">
      <c r="A117" s="16" t="s">
        <v>1808</v>
      </c>
      <c r="B117" s="39">
        <v>2</v>
      </c>
      <c r="C117" s="39">
        <v>1</v>
      </c>
      <c r="D117" s="39">
        <v>0</v>
      </c>
      <c r="E117" s="39">
        <v>1</v>
      </c>
      <c r="F117" s="39">
        <v>0</v>
      </c>
      <c r="G117" s="39">
        <v>0</v>
      </c>
      <c r="H117" s="40">
        <f t="shared" si="0"/>
        <v>20.028571428571428</v>
      </c>
      <c r="I117" s="41">
        <f t="shared" si="1"/>
        <v>0.86142857142857143</v>
      </c>
      <c r="J117" s="39">
        <v>1.0900000000000001</v>
      </c>
      <c r="K117" s="39" t="s">
        <v>929</v>
      </c>
      <c r="L117" s="39">
        <v>0</v>
      </c>
      <c r="M117" s="39">
        <v>0</v>
      </c>
      <c r="N117" s="4" t="s">
        <v>110</v>
      </c>
      <c r="O117" s="4">
        <v>0</v>
      </c>
      <c r="P117" s="4">
        <v>0</v>
      </c>
      <c r="Q117" s="4" t="s">
        <v>45</v>
      </c>
      <c r="R117" s="4" t="s">
        <v>45</v>
      </c>
      <c r="S117" s="4" t="s">
        <v>45</v>
      </c>
      <c r="T117" s="4" t="s">
        <v>45</v>
      </c>
      <c r="U117" s="4" t="s">
        <v>45</v>
      </c>
      <c r="V117" s="4" t="s">
        <v>45</v>
      </c>
      <c r="W117" s="4" t="s">
        <v>45</v>
      </c>
      <c r="X117" s="4" t="s">
        <v>45</v>
      </c>
      <c r="Y117" s="4" t="s">
        <v>45</v>
      </c>
      <c r="Z117" s="4">
        <v>0.85</v>
      </c>
      <c r="AA117" s="4" t="s">
        <v>975</v>
      </c>
      <c r="AB117" s="4" t="s">
        <v>979</v>
      </c>
      <c r="AC117" s="4" t="s">
        <v>1064</v>
      </c>
      <c r="AD117" s="39">
        <v>1</v>
      </c>
      <c r="AE117" s="4">
        <v>0.65</v>
      </c>
      <c r="AF117" s="4" t="s">
        <v>988</v>
      </c>
      <c r="AG117" s="4" t="s">
        <v>991</v>
      </c>
      <c r="AH117" s="4" t="s">
        <v>952</v>
      </c>
      <c r="AI117" s="4">
        <v>1</v>
      </c>
      <c r="AJ117" s="4" t="s">
        <v>996</v>
      </c>
      <c r="AK117" s="4">
        <v>0</v>
      </c>
      <c r="AL117" s="4" t="s">
        <v>1791</v>
      </c>
      <c r="AM117" s="4">
        <v>2</v>
      </c>
      <c r="AN117" s="4">
        <v>1</v>
      </c>
      <c r="AO117" s="4">
        <v>1</v>
      </c>
      <c r="AP117" s="4" t="s">
        <v>45</v>
      </c>
      <c r="AQ117" s="4">
        <v>0</v>
      </c>
      <c r="AR117" s="4" t="s">
        <v>1024</v>
      </c>
      <c r="AS117" s="4">
        <v>1</v>
      </c>
      <c r="AT117" s="4">
        <v>0</v>
      </c>
      <c r="AU117" s="4">
        <v>0</v>
      </c>
      <c r="AV117" s="4" t="s">
        <v>45</v>
      </c>
      <c r="AW117" s="4">
        <v>1</v>
      </c>
      <c r="AX117" s="4">
        <v>0</v>
      </c>
      <c r="AY117" s="4">
        <v>0</v>
      </c>
      <c r="AZ117" s="4">
        <v>0</v>
      </c>
      <c r="BA117" s="4">
        <v>0</v>
      </c>
      <c r="BB117" s="4">
        <v>1</v>
      </c>
      <c r="BC117" s="4">
        <v>0</v>
      </c>
      <c r="BD117" s="4">
        <v>0</v>
      </c>
      <c r="BE117" s="4">
        <v>1</v>
      </c>
      <c r="BF117" s="4">
        <v>0</v>
      </c>
      <c r="BG117" s="39">
        <v>1</v>
      </c>
      <c r="BH117" s="39">
        <v>0.1</v>
      </c>
      <c r="BI117" s="39">
        <v>0.05</v>
      </c>
      <c r="BJ117" s="39" t="s">
        <v>1084</v>
      </c>
      <c r="BK117" s="39">
        <v>1</v>
      </c>
      <c r="BL117" s="39">
        <v>0</v>
      </c>
      <c r="BM117" s="39">
        <v>1</v>
      </c>
    </row>
    <row r="118" spans="1:65" s="16" customFormat="1" x14ac:dyDescent="0.25">
      <c r="A118" s="16" t="s">
        <v>1809</v>
      </c>
      <c r="B118" s="39">
        <v>2</v>
      </c>
      <c r="C118" s="39">
        <v>1</v>
      </c>
      <c r="D118" s="39">
        <v>0</v>
      </c>
      <c r="E118" s="39">
        <v>1</v>
      </c>
      <c r="F118" s="39">
        <v>0</v>
      </c>
      <c r="G118" s="39">
        <v>0</v>
      </c>
      <c r="H118" s="40">
        <f>AVERAGE(204.4,4.35)</f>
        <v>104.375</v>
      </c>
      <c r="I118" s="41">
        <f>AVERAGE(5.3%,380%)</f>
        <v>1.9264999999999999</v>
      </c>
      <c r="J118" s="39">
        <v>1</v>
      </c>
      <c r="K118" s="39" t="s">
        <v>929</v>
      </c>
      <c r="L118" s="39">
        <v>1</v>
      </c>
      <c r="M118" s="39">
        <v>0</v>
      </c>
      <c r="N118" s="4" t="s">
        <v>110</v>
      </c>
      <c r="O118" s="4">
        <v>0</v>
      </c>
      <c r="P118" s="4">
        <v>0</v>
      </c>
      <c r="Q118" s="4" t="s">
        <v>45</v>
      </c>
      <c r="R118" s="4" t="s">
        <v>45</v>
      </c>
      <c r="S118" s="4" t="s">
        <v>45</v>
      </c>
      <c r="T118" s="4" t="s">
        <v>45</v>
      </c>
      <c r="U118" s="4" t="s">
        <v>45</v>
      </c>
      <c r="V118" s="4" t="s">
        <v>45</v>
      </c>
      <c r="W118" s="4" t="s">
        <v>45</v>
      </c>
      <c r="X118" s="4" t="s">
        <v>45</v>
      </c>
      <c r="Y118" s="4" t="s">
        <v>45</v>
      </c>
      <c r="Z118" s="4">
        <v>0.85</v>
      </c>
      <c r="AA118" s="4" t="s">
        <v>975</v>
      </c>
      <c r="AB118" s="4" t="s">
        <v>978</v>
      </c>
      <c r="AC118" s="4" t="s">
        <v>1064</v>
      </c>
      <c r="AD118" s="39">
        <v>1</v>
      </c>
      <c r="AE118" s="4">
        <v>0.65</v>
      </c>
      <c r="AF118" s="4" t="s">
        <v>988</v>
      </c>
      <c r="AG118" s="4" t="s">
        <v>991</v>
      </c>
      <c r="AH118" s="4" t="s">
        <v>1790</v>
      </c>
      <c r="AI118" s="4">
        <v>1</v>
      </c>
      <c r="AJ118" s="4" t="s">
        <v>1000</v>
      </c>
      <c r="AK118" s="4">
        <v>0</v>
      </c>
      <c r="AL118" s="4" t="s">
        <v>1791</v>
      </c>
      <c r="AM118" s="4">
        <v>1</v>
      </c>
      <c r="AN118" s="4">
        <v>1</v>
      </c>
      <c r="AO118" s="4">
        <v>1</v>
      </c>
      <c r="AP118" s="4" t="s">
        <v>45</v>
      </c>
      <c r="AQ118" s="4">
        <v>0</v>
      </c>
      <c r="AR118" s="4" t="s">
        <v>673</v>
      </c>
      <c r="AS118" s="4">
        <v>1</v>
      </c>
      <c r="AT118" s="4">
        <v>0</v>
      </c>
      <c r="AU118" s="4">
        <v>0</v>
      </c>
      <c r="AV118" s="4" t="s">
        <v>45</v>
      </c>
      <c r="AW118" s="4">
        <v>1</v>
      </c>
      <c r="AX118" s="4">
        <v>1</v>
      </c>
      <c r="AY118" s="4">
        <v>1</v>
      </c>
      <c r="AZ118" s="4">
        <v>0</v>
      </c>
      <c r="BA118" s="4">
        <v>0</v>
      </c>
      <c r="BB118" s="4">
        <v>0</v>
      </c>
      <c r="BC118" s="4">
        <v>1</v>
      </c>
      <c r="BD118" s="4">
        <v>0</v>
      </c>
      <c r="BE118" s="4">
        <v>1</v>
      </c>
      <c r="BF118" s="4">
        <v>0</v>
      </c>
      <c r="BG118" s="39">
        <v>1</v>
      </c>
      <c r="BH118" s="39">
        <v>0.1</v>
      </c>
      <c r="BI118" s="39">
        <v>0.05</v>
      </c>
      <c r="BJ118" s="39" t="s">
        <v>1084</v>
      </c>
      <c r="BK118" s="39">
        <v>1</v>
      </c>
      <c r="BL118" s="39">
        <v>0</v>
      </c>
      <c r="BM118" s="39">
        <v>1</v>
      </c>
    </row>
    <row r="119" spans="1:65" s="16" customFormat="1" x14ac:dyDescent="0.25">
      <c r="A119" s="16" t="s">
        <v>1816</v>
      </c>
      <c r="B119" s="39">
        <v>2</v>
      </c>
      <c r="C119" s="39">
        <v>1</v>
      </c>
      <c r="D119" s="39">
        <v>0</v>
      </c>
      <c r="E119" s="39">
        <v>1</v>
      </c>
      <c r="F119" s="39">
        <v>0</v>
      </c>
      <c r="G119" s="39">
        <v>0</v>
      </c>
      <c r="H119" s="40">
        <v>22.39</v>
      </c>
      <c r="I119" s="41">
        <v>0.37</v>
      </c>
      <c r="J119" s="39">
        <v>1.0900000000000001</v>
      </c>
      <c r="K119" s="39" t="s">
        <v>929</v>
      </c>
      <c r="L119" s="39">
        <v>0</v>
      </c>
      <c r="M119" s="39">
        <v>0</v>
      </c>
      <c r="N119" s="4" t="s">
        <v>1816</v>
      </c>
      <c r="O119" s="4">
        <v>0</v>
      </c>
      <c r="P119" s="4">
        <v>0</v>
      </c>
      <c r="Q119" s="4" t="s">
        <v>45</v>
      </c>
      <c r="R119" s="4" t="s">
        <v>45</v>
      </c>
      <c r="S119" s="4" t="s">
        <v>45</v>
      </c>
      <c r="T119" s="4" t="s">
        <v>45</v>
      </c>
      <c r="U119" s="4" t="s">
        <v>45</v>
      </c>
      <c r="V119" s="4" t="s">
        <v>45</v>
      </c>
      <c r="W119" s="4" t="s">
        <v>45</v>
      </c>
      <c r="X119" s="4" t="s">
        <v>45</v>
      </c>
      <c r="Y119" s="4" t="s">
        <v>45</v>
      </c>
      <c r="Z119" s="4">
        <v>0.75</v>
      </c>
      <c r="AA119" s="4" t="s">
        <v>975</v>
      </c>
      <c r="AB119" s="4" t="s">
        <v>978</v>
      </c>
      <c r="AC119" s="4" t="s">
        <v>1064</v>
      </c>
      <c r="AD119" s="39">
        <v>0</v>
      </c>
      <c r="AE119" s="4" t="s">
        <v>45</v>
      </c>
      <c r="AF119" s="4" t="s">
        <v>45</v>
      </c>
      <c r="AG119" s="4" t="s">
        <v>45</v>
      </c>
      <c r="AH119" s="4" t="s">
        <v>45</v>
      </c>
      <c r="AI119" s="4">
        <v>1.2</v>
      </c>
      <c r="AJ119" s="4" t="s">
        <v>41</v>
      </c>
      <c r="AK119" s="4">
        <v>0</v>
      </c>
      <c r="AL119" s="4" t="s">
        <v>1816</v>
      </c>
      <c r="AM119" s="4">
        <v>0</v>
      </c>
      <c r="AN119" s="4">
        <v>0.1</v>
      </c>
      <c r="AO119" s="4">
        <v>0.3</v>
      </c>
      <c r="AP119" s="4" t="s">
        <v>45</v>
      </c>
      <c r="AQ119" s="4">
        <v>0</v>
      </c>
      <c r="AR119" s="4" t="s">
        <v>1026</v>
      </c>
      <c r="AS119" s="4">
        <v>1</v>
      </c>
      <c r="AT119" s="4">
        <v>0</v>
      </c>
      <c r="AU119" s="4">
        <v>0</v>
      </c>
      <c r="AV119" s="4" t="s">
        <v>45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1</v>
      </c>
      <c r="BF119" s="4">
        <v>0</v>
      </c>
      <c r="BG119" s="39">
        <v>0.7</v>
      </c>
      <c r="BH119" s="39">
        <v>0.2</v>
      </c>
      <c r="BI119" s="39">
        <v>2.5000000000000001E-2</v>
      </c>
      <c r="BJ119" s="39" t="s">
        <v>1083</v>
      </c>
      <c r="BK119" s="39">
        <v>0</v>
      </c>
      <c r="BL119" s="39">
        <v>0</v>
      </c>
      <c r="BM119" s="39">
        <v>0</v>
      </c>
    </row>
    <row r="120" spans="1:65" s="16" customFormat="1" x14ac:dyDescent="0.25">
      <c r="A120" s="16" t="s">
        <v>1960</v>
      </c>
      <c r="B120" s="39">
        <v>2</v>
      </c>
      <c r="C120" s="39">
        <v>1</v>
      </c>
      <c r="D120" s="39">
        <v>0</v>
      </c>
      <c r="E120" s="39">
        <v>1</v>
      </c>
      <c r="F120" s="39">
        <v>0</v>
      </c>
      <c r="G120" s="39">
        <v>0</v>
      </c>
      <c r="H120" s="40">
        <v>22.39</v>
      </c>
      <c r="I120" s="41">
        <v>0.37</v>
      </c>
      <c r="J120" s="39">
        <v>1.0900000000000001</v>
      </c>
      <c r="K120" s="39" t="s">
        <v>929</v>
      </c>
      <c r="L120" s="39">
        <v>0</v>
      </c>
      <c r="M120" s="39">
        <v>0</v>
      </c>
      <c r="N120" s="4" t="s">
        <v>1816</v>
      </c>
      <c r="O120" s="4">
        <v>0</v>
      </c>
      <c r="P120" s="4">
        <v>1</v>
      </c>
      <c r="Q120" s="4">
        <v>0.9</v>
      </c>
      <c r="R120" s="4" t="s">
        <v>953</v>
      </c>
      <c r="S120" s="4" t="s">
        <v>951</v>
      </c>
      <c r="T120" s="4" t="s">
        <v>952</v>
      </c>
      <c r="U120" s="4" t="s">
        <v>45</v>
      </c>
      <c r="V120" s="4" t="s">
        <v>45</v>
      </c>
      <c r="W120" s="4" t="s">
        <v>45</v>
      </c>
      <c r="X120" s="4" t="s">
        <v>45</v>
      </c>
      <c r="Y120" s="4" t="s">
        <v>45</v>
      </c>
      <c r="Z120" s="4">
        <v>0.75</v>
      </c>
      <c r="AA120" s="4" t="s">
        <v>975</v>
      </c>
      <c r="AB120" s="4" t="s">
        <v>978</v>
      </c>
      <c r="AC120" s="4" t="s">
        <v>1064</v>
      </c>
      <c r="AD120" s="39">
        <v>0</v>
      </c>
      <c r="AE120" s="4" t="s">
        <v>45</v>
      </c>
      <c r="AF120" s="4" t="s">
        <v>45</v>
      </c>
      <c r="AG120" s="4" t="s">
        <v>45</v>
      </c>
      <c r="AH120" s="4" t="s">
        <v>45</v>
      </c>
      <c r="AI120" s="4">
        <v>1.2</v>
      </c>
      <c r="AJ120" s="4" t="s">
        <v>41</v>
      </c>
      <c r="AK120" s="4">
        <v>0</v>
      </c>
      <c r="AL120" s="4" t="s">
        <v>1816</v>
      </c>
      <c r="AM120" s="4">
        <v>0</v>
      </c>
      <c r="AN120" s="4">
        <v>0.1</v>
      </c>
      <c r="AO120" s="4">
        <v>0.3</v>
      </c>
      <c r="AP120" s="4">
        <v>1</v>
      </c>
      <c r="AQ120" s="4">
        <v>0</v>
      </c>
      <c r="AR120" s="4" t="s">
        <v>1026</v>
      </c>
      <c r="AS120" s="4">
        <v>1</v>
      </c>
      <c r="AT120" s="4">
        <v>0</v>
      </c>
      <c r="AU120" s="4">
        <v>0</v>
      </c>
      <c r="AV120" s="4" t="s">
        <v>45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1</v>
      </c>
      <c r="BF120" s="4">
        <v>0</v>
      </c>
      <c r="BG120" s="39">
        <v>0.7</v>
      </c>
      <c r="BH120" s="39">
        <v>0.2</v>
      </c>
      <c r="BI120" s="39">
        <v>2.5000000000000001E-2</v>
      </c>
      <c r="BJ120" s="39" t="s">
        <v>1083</v>
      </c>
      <c r="BK120" s="39">
        <v>0</v>
      </c>
      <c r="BL120" s="39">
        <v>0</v>
      </c>
      <c r="BM120" s="39">
        <v>0</v>
      </c>
    </row>
    <row r="121" spans="1:65" s="16" customFormat="1" x14ac:dyDescent="0.25">
      <c r="A121" s="16" t="s">
        <v>1914</v>
      </c>
      <c r="B121" s="39">
        <v>2</v>
      </c>
      <c r="C121" s="39">
        <v>1</v>
      </c>
      <c r="D121" s="39">
        <v>0</v>
      </c>
      <c r="E121" s="39">
        <v>1</v>
      </c>
      <c r="F121" s="39">
        <v>0</v>
      </c>
      <c r="G121" s="39">
        <v>0</v>
      </c>
      <c r="H121" s="40">
        <v>22.39</v>
      </c>
      <c r="I121" s="41">
        <v>0.37</v>
      </c>
      <c r="J121" s="39">
        <v>1.0900000000000001</v>
      </c>
      <c r="K121" s="39" t="s">
        <v>929</v>
      </c>
      <c r="L121" s="39">
        <v>0</v>
      </c>
      <c r="M121" s="39">
        <v>0</v>
      </c>
      <c r="N121" s="4" t="s">
        <v>1816</v>
      </c>
      <c r="O121" s="4">
        <v>0</v>
      </c>
      <c r="P121" s="4">
        <v>0</v>
      </c>
      <c r="Q121" s="4" t="s">
        <v>45</v>
      </c>
      <c r="R121" s="4" t="s">
        <v>45</v>
      </c>
      <c r="S121" s="4" t="s">
        <v>45</v>
      </c>
      <c r="T121" s="4" t="s">
        <v>45</v>
      </c>
      <c r="U121" s="4" t="s">
        <v>45</v>
      </c>
      <c r="V121" s="4" t="s">
        <v>45</v>
      </c>
      <c r="W121" s="4" t="s">
        <v>45</v>
      </c>
      <c r="X121" s="4" t="s">
        <v>45</v>
      </c>
      <c r="Y121" s="4" t="s">
        <v>45</v>
      </c>
      <c r="Z121" s="4">
        <v>0.75</v>
      </c>
      <c r="AA121" s="4" t="s">
        <v>975</v>
      </c>
      <c r="AB121" s="4" t="s">
        <v>978</v>
      </c>
      <c r="AC121" s="4" t="s">
        <v>1064</v>
      </c>
      <c r="AD121" s="39">
        <v>1</v>
      </c>
      <c r="AE121" s="4">
        <v>0.75</v>
      </c>
      <c r="AF121" s="4" t="s">
        <v>989</v>
      </c>
      <c r="AG121" s="4" t="s">
        <v>993</v>
      </c>
      <c r="AH121" s="4" t="s">
        <v>952</v>
      </c>
      <c r="AI121" s="4">
        <v>1.2</v>
      </c>
      <c r="AJ121" s="4" t="s">
        <v>41</v>
      </c>
      <c r="AK121" s="4">
        <v>0</v>
      </c>
      <c r="AL121" s="4" t="s">
        <v>1816</v>
      </c>
      <c r="AM121" s="4">
        <v>0</v>
      </c>
      <c r="AN121" s="4">
        <v>0.1</v>
      </c>
      <c r="AO121" s="4">
        <v>0.3</v>
      </c>
      <c r="AP121" s="4" t="s">
        <v>45</v>
      </c>
      <c r="AQ121" s="4">
        <v>0</v>
      </c>
      <c r="AR121" s="4" t="s">
        <v>1026</v>
      </c>
      <c r="AS121" s="4">
        <v>1</v>
      </c>
      <c r="AT121" s="4">
        <v>0</v>
      </c>
      <c r="AU121" s="4">
        <v>0</v>
      </c>
      <c r="AV121" s="4" t="s">
        <v>45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1</v>
      </c>
      <c r="BF121" s="4">
        <v>0</v>
      </c>
      <c r="BG121" s="39">
        <v>0.7</v>
      </c>
      <c r="BH121" s="39">
        <v>0.2</v>
      </c>
      <c r="BI121" s="39">
        <v>2.5000000000000001E-2</v>
      </c>
      <c r="BJ121" s="39" t="s">
        <v>1083</v>
      </c>
      <c r="BK121" s="39">
        <v>0</v>
      </c>
      <c r="BL121" s="39">
        <v>0</v>
      </c>
      <c r="BM121" s="39">
        <v>0</v>
      </c>
    </row>
    <row r="122" spans="1:65" s="16" customFormat="1" x14ac:dyDescent="0.25">
      <c r="A122" s="16" t="s">
        <v>1931</v>
      </c>
      <c r="B122" s="39">
        <v>2</v>
      </c>
      <c r="C122" s="39">
        <v>1</v>
      </c>
      <c r="D122" s="39">
        <v>0</v>
      </c>
      <c r="E122" s="39">
        <v>1</v>
      </c>
      <c r="F122" s="39">
        <v>0</v>
      </c>
      <c r="G122" s="39">
        <v>0</v>
      </c>
      <c r="H122" s="40">
        <v>22.39</v>
      </c>
      <c r="I122" s="41">
        <v>0.37</v>
      </c>
      <c r="J122" s="39">
        <v>1.0900000000000001</v>
      </c>
      <c r="K122" s="39" t="s">
        <v>929</v>
      </c>
      <c r="L122" s="39">
        <v>0</v>
      </c>
      <c r="M122" s="39">
        <v>0</v>
      </c>
      <c r="N122" s="4" t="s">
        <v>1816</v>
      </c>
      <c r="O122" s="4">
        <v>0</v>
      </c>
      <c r="P122" s="4">
        <v>0</v>
      </c>
      <c r="Q122" s="4" t="s">
        <v>45</v>
      </c>
      <c r="R122" s="4" t="s">
        <v>45</v>
      </c>
      <c r="S122" s="4" t="s">
        <v>45</v>
      </c>
      <c r="T122" s="4" t="s">
        <v>45</v>
      </c>
      <c r="U122" s="4" t="s">
        <v>45</v>
      </c>
      <c r="V122" s="4" t="s">
        <v>45</v>
      </c>
      <c r="W122" s="4" t="s">
        <v>45</v>
      </c>
      <c r="X122" s="4" t="s">
        <v>45</v>
      </c>
      <c r="Y122" s="4" t="s">
        <v>45</v>
      </c>
      <c r="Z122" s="4">
        <v>0.75</v>
      </c>
      <c r="AA122" s="4" t="s">
        <v>975</v>
      </c>
      <c r="AB122" s="4" t="s">
        <v>978</v>
      </c>
      <c r="AC122" s="4" t="s">
        <v>1064</v>
      </c>
      <c r="AD122" s="39">
        <v>1</v>
      </c>
      <c r="AE122" s="4">
        <v>0.75</v>
      </c>
      <c r="AF122" s="4" t="s">
        <v>989</v>
      </c>
      <c r="AG122" s="4" t="s">
        <v>993</v>
      </c>
      <c r="AH122" s="4" t="s">
        <v>952</v>
      </c>
      <c r="AI122" s="4">
        <v>1.2</v>
      </c>
      <c r="AJ122" s="4" t="s">
        <v>41</v>
      </c>
      <c r="AK122" s="4">
        <v>0</v>
      </c>
      <c r="AL122" s="4" t="s">
        <v>1816</v>
      </c>
      <c r="AM122" s="4">
        <v>0</v>
      </c>
      <c r="AN122" s="4">
        <v>0.1</v>
      </c>
      <c r="AO122" s="4">
        <v>0.3</v>
      </c>
      <c r="AP122" s="4" t="s">
        <v>45</v>
      </c>
      <c r="AQ122" s="4">
        <v>0</v>
      </c>
      <c r="AR122" s="4" t="s">
        <v>1026</v>
      </c>
      <c r="AS122" s="4">
        <v>1</v>
      </c>
      <c r="AT122" s="4">
        <v>1</v>
      </c>
      <c r="AU122" s="4">
        <v>0</v>
      </c>
      <c r="AV122" s="4" t="s">
        <v>45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1</v>
      </c>
      <c r="BF122" s="4">
        <v>0</v>
      </c>
      <c r="BG122" s="39">
        <v>0.7</v>
      </c>
      <c r="BH122" s="39">
        <v>0.2</v>
      </c>
      <c r="BI122" s="39">
        <v>2.5000000000000001E-2</v>
      </c>
      <c r="BJ122" s="39" t="s">
        <v>1083</v>
      </c>
      <c r="BK122" s="39">
        <v>0</v>
      </c>
      <c r="BL122" s="39">
        <v>0</v>
      </c>
      <c r="BM122" s="39">
        <v>0</v>
      </c>
    </row>
    <row r="123" spans="1:65" s="16" customFormat="1" x14ac:dyDescent="0.25">
      <c r="A123" s="16" t="s">
        <v>2026</v>
      </c>
      <c r="B123" s="39">
        <v>2</v>
      </c>
      <c r="C123" s="39">
        <v>1</v>
      </c>
      <c r="D123" s="39">
        <v>0</v>
      </c>
      <c r="E123" s="39">
        <v>1</v>
      </c>
      <c r="F123" s="39">
        <v>0</v>
      </c>
      <c r="G123" s="39">
        <v>0</v>
      </c>
      <c r="H123" s="40">
        <v>22.39</v>
      </c>
      <c r="I123" s="41">
        <v>0.37</v>
      </c>
      <c r="J123" s="39">
        <v>1.0900000000000001</v>
      </c>
      <c r="K123" s="39" t="s">
        <v>929</v>
      </c>
      <c r="L123" s="39">
        <v>0</v>
      </c>
      <c r="M123" s="39">
        <v>0</v>
      </c>
      <c r="N123" s="4" t="s">
        <v>1816</v>
      </c>
      <c r="O123" s="4">
        <v>1</v>
      </c>
      <c r="P123" s="4">
        <v>0</v>
      </c>
      <c r="Q123" s="4" t="s">
        <v>45</v>
      </c>
      <c r="R123" s="4" t="s">
        <v>45</v>
      </c>
      <c r="S123" s="4" t="s">
        <v>45</v>
      </c>
      <c r="T123" s="4" t="s">
        <v>45</v>
      </c>
      <c r="U123" s="4" t="s">
        <v>45</v>
      </c>
      <c r="V123" s="4" t="s">
        <v>45</v>
      </c>
      <c r="W123" s="4" t="s">
        <v>45</v>
      </c>
      <c r="X123" s="4" t="s">
        <v>45</v>
      </c>
      <c r="Y123" s="4" t="s">
        <v>45</v>
      </c>
      <c r="Z123" s="4">
        <v>1</v>
      </c>
      <c r="AA123" s="4" t="s">
        <v>975</v>
      </c>
      <c r="AB123" s="4" t="s">
        <v>977</v>
      </c>
      <c r="AC123" s="4" t="s">
        <v>1064</v>
      </c>
      <c r="AD123" s="39">
        <v>1</v>
      </c>
      <c r="AE123" s="4">
        <v>0.75</v>
      </c>
      <c r="AF123" s="4" t="s">
        <v>989</v>
      </c>
      <c r="AG123" s="4" t="s">
        <v>993</v>
      </c>
      <c r="AH123" s="4" t="s">
        <v>952</v>
      </c>
      <c r="AI123" s="4">
        <v>1.2</v>
      </c>
      <c r="AJ123" s="4" t="s">
        <v>41</v>
      </c>
      <c r="AK123" s="4">
        <v>0</v>
      </c>
      <c r="AL123" s="4" t="s">
        <v>1816</v>
      </c>
      <c r="AM123" s="4">
        <v>0</v>
      </c>
      <c r="AN123" s="4">
        <v>0.1</v>
      </c>
      <c r="AO123" s="4">
        <v>0.3</v>
      </c>
      <c r="AP123" s="4" t="s">
        <v>45</v>
      </c>
      <c r="AQ123" s="4">
        <v>0</v>
      </c>
      <c r="AR123" s="4" t="s">
        <v>1026</v>
      </c>
      <c r="AS123" s="4">
        <v>0</v>
      </c>
      <c r="AT123" s="4">
        <v>0</v>
      </c>
      <c r="AU123" s="4">
        <v>0</v>
      </c>
      <c r="AV123" s="4" t="s">
        <v>45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1</v>
      </c>
      <c r="BF123" s="4">
        <v>0</v>
      </c>
      <c r="BG123" s="39">
        <v>0.7</v>
      </c>
      <c r="BH123" s="39">
        <v>0.1</v>
      </c>
      <c r="BI123" s="39">
        <v>2.5000000000000001E-2</v>
      </c>
      <c r="BJ123" s="39" t="s">
        <v>1083</v>
      </c>
      <c r="BK123" s="39">
        <v>0</v>
      </c>
      <c r="BL123" s="39">
        <v>0</v>
      </c>
      <c r="BM123" s="39">
        <v>0</v>
      </c>
    </row>
    <row r="124" spans="1:65" s="16" customFormat="1" x14ac:dyDescent="0.25">
      <c r="A124" s="16" t="s">
        <v>2059</v>
      </c>
      <c r="B124" s="39">
        <v>2</v>
      </c>
      <c r="C124" s="39">
        <v>1</v>
      </c>
      <c r="D124" s="39">
        <v>1</v>
      </c>
      <c r="E124" s="39">
        <v>1</v>
      </c>
      <c r="F124" s="39">
        <v>0</v>
      </c>
      <c r="G124" s="39">
        <v>0</v>
      </c>
      <c r="H124" s="40">
        <v>22.39</v>
      </c>
      <c r="I124" s="41">
        <v>0.37</v>
      </c>
      <c r="J124" s="39">
        <v>1.0900000000000001</v>
      </c>
      <c r="K124" s="39" t="s">
        <v>929</v>
      </c>
      <c r="L124" s="39">
        <v>0</v>
      </c>
      <c r="M124" s="39">
        <v>0</v>
      </c>
      <c r="N124" s="4" t="s">
        <v>1816</v>
      </c>
      <c r="O124" s="4">
        <v>1</v>
      </c>
      <c r="P124" s="4">
        <v>0</v>
      </c>
      <c r="Q124" s="4" t="s">
        <v>45</v>
      </c>
      <c r="R124" s="4" t="s">
        <v>45</v>
      </c>
      <c r="S124" s="4" t="s">
        <v>45</v>
      </c>
      <c r="T124" s="4" t="s">
        <v>45</v>
      </c>
      <c r="U124" s="4" t="s">
        <v>45</v>
      </c>
      <c r="V124" s="4" t="s">
        <v>45</v>
      </c>
      <c r="W124" s="4" t="s">
        <v>45</v>
      </c>
      <c r="X124" s="4" t="s">
        <v>45</v>
      </c>
      <c r="Y124" s="4" t="s">
        <v>45</v>
      </c>
      <c r="Z124" s="4">
        <v>1</v>
      </c>
      <c r="AA124" s="4" t="s">
        <v>975</v>
      </c>
      <c r="AB124" s="4" t="s">
        <v>977</v>
      </c>
      <c r="AC124" s="4" t="s">
        <v>1064</v>
      </c>
      <c r="AD124" s="39">
        <v>0</v>
      </c>
      <c r="AE124" s="4" t="s">
        <v>45</v>
      </c>
      <c r="AF124" s="4" t="s">
        <v>45</v>
      </c>
      <c r="AG124" s="4" t="s">
        <v>45</v>
      </c>
      <c r="AH124" s="4" t="s">
        <v>45</v>
      </c>
      <c r="AI124" s="4">
        <v>1.2</v>
      </c>
      <c r="AJ124" s="4" t="s">
        <v>41</v>
      </c>
      <c r="AK124" s="4">
        <v>0</v>
      </c>
      <c r="AL124" s="4" t="s">
        <v>1816</v>
      </c>
      <c r="AM124" s="4">
        <v>0</v>
      </c>
      <c r="AN124" s="4">
        <v>0.1</v>
      </c>
      <c r="AO124" s="4">
        <v>0.3</v>
      </c>
      <c r="AP124" s="4" t="s">
        <v>45</v>
      </c>
      <c r="AQ124" s="4">
        <v>0</v>
      </c>
      <c r="AR124" s="4" t="s">
        <v>673</v>
      </c>
      <c r="AS124" s="4">
        <v>0</v>
      </c>
      <c r="AT124" s="4">
        <v>0</v>
      </c>
      <c r="AU124" s="4">
        <v>0</v>
      </c>
      <c r="AV124" s="4" t="s">
        <v>45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1</v>
      </c>
      <c r="BF124" s="4">
        <v>0</v>
      </c>
      <c r="BG124" s="39">
        <v>0.7</v>
      </c>
      <c r="BH124" s="39">
        <v>0</v>
      </c>
      <c r="BI124" s="39">
        <v>2.5000000000000001E-2</v>
      </c>
      <c r="BJ124" s="39" t="s">
        <v>1083</v>
      </c>
      <c r="BK124" s="39">
        <v>0</v>
      </c>
      <c r="BL124" s="39">
        <v>0</v>
      </c>
      <c r="BM124" s="39">
        <v>0</v>
      </c>
    </row>
    <row r="125" spans="1:65" s="16" customFormat="1" ht="15.75" customHeight="1" x14ac:dyDescent="0.25">
      <c r="A125" s="16" t="s">
        <v>1926</v>
      </c>
      <c r="B125" s="39">
        <v>2</v>
      </c>
      <c r="C125" s="39">
        <v>1</v>
      </c>
      <c r="D125" s="39">
        <v>1</v>
      </c>
      <c r="E125" s="39">
        <v>5</v>
      </c>
      <c r="F125" s="39">
        <v>0</v>
      </c>
      <c r="G125" s="39">
        <v>0</v>
      </c>
      <c r="H125" s="40">
        <f>AVERAGE(65.2,57.2,43.4)</f>
        <v>55.266666666666673</v>
      </c>
      <c r="I125" s="41">
        <f>AVERAGE(31.29%,20.98%,15.21%)</f>
        <v>0.22493333333333335</v>
      </c>
      <c r="J125" s="39">
        <v>1.86</v>
      </c>
      <c r="K125" s="39">
        <v>0.2</v>
      </c>
      <c r="L125" s="39">
        <v>1</v>
      </c>
      <c r="M125" s="39">
        <v>0</v>
      </c>
      <c r="N125" s="4" t="s">
        <v>45</v>
      </c>
      <c r="O125" s="4">
        <v>0</v>
      </c>
      <c r="P125" s="4">
        <v>0</v>
      </c>
      <c r="Q125" s="4" t="s">
        <v>45</v>
      </c>
      <c r="R125" s="4" t="s">
        <v>45</v>
      </c>
      <c r="S125" s="4" t="s">
        <v>45</v>
      </c>
      <c r="T125" s="4" t="s">
        <v>45</v>
      </c>
      <c r="U125" s="4">
        <v>3</v>
      </c>
      <c r="V125" s="4">
        <v>0.85</v>
      </c>
      <c r="W125" s="4" t="s">
        <v>1927</v>
      </c>
      <c r="X125" s="4" t="s">
        <v>1928</v>
      </c>
      <c r="Y125" s="4" t="s">
        <v>955</v>
      </c>
      <c r="Z125" s="4" t="s">
        <v>45</v>
      </c>
      <c r="AA125" s="4" t="s">
        <v>45</v>
      </c>
      <c r="AB125" s="4" t="s">
        <v>45</v>
      </c>
      <c r="AC125" s="4" t="s">
        <v>45</v>
      </c>
      <c r="AD125" s="39">
        <v>0</v>
      </c>
      <c r="AE125" s="4" t="s">
        <v>45</v>
      </c>
      <c r="AF125" s="4" t="s">
        <v>45</v>
      </c>
      <c r="AG125" s="4" t="s">
        <v>45</v>
      </c>
      <c r="AH125" s="4" t="s">
        <v>45</v>
      </c>
      <c r="AI125" s="4">
        <v>1</v>
      </c>
      <c r="AJ125" s="4" t="s">
        <v>41</v>
      </c>
      <c r="AK125" s="4">
        <v>0</v>
      </c>
      <c r="AL125" s="4" t="s">
        <v>1929</v>
      </c>
      <c r="AM125" s="4">
        <v>0</v>
      </c>
      <c r="AN125" s="4">
        <v>0.1</v>
      </c>
      <c r="AO125" s="4">
        <v>0.3</v>
      </c>
      <c r="AP125" s="4" t="s">
        <v>45</v>
      </c>
      <c r="AQ125" s="4">
        <v>0</v>
      </c>
      <c r="AR125" s="4" t="s">
        <v>673</v>
      </c>
      <c r="AS125" s="4">
        <v>0</v>
      </c>
      <c r="AT125" s="4">
        <v>0</v>
      </c>
      <c r="AU125" s="4">
        <v>0</v>
      </c>
      <c r="AV125" s="4" t="s">
        <v>45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1</v>
      </c>
      <c r="BD125" s="4">
        <v>0</v>
      </c>
      <c r="BE125" s="4">
        <v>0</v>
      </c>
      <c r="BF125" s="4">
        <v>2</v>
      </c>
      <c r="BG125" s="39">
        <v>0</v>
      </c>
      <c r="BH125" s="39">
        <v>0.1</v>
      </c>
      <c r="BI125" s="39">
        <v>2.5000000000000001E-2</v>
      </c>
      <c r="BJ125" s="39" t="s">
        <v>1080</v>
      </c>
      <c r="BK125" s="39">
        <v>0</v>
      </c>
      <c r="BL125" s="39">
        <v>0</v>
      </c>
      <c r="BM125" s="39">
        <v>0</v>
      </c>
    </row>
    <row r="126" spans="1:65" s="16" customFormat="1" ht="15.75" customHeight="1" x14ac:dyDescent="0.25">
      <c r="A126" s="16" t="s">
        <v>1936</v>
      </c>
      <c r="B126" s="39">
        <v>2</v>
      </c>
      <c r="C126" s="39">
        <v>0.95</v>
      </c>
      <c r="D126" s="39">
        <v>1</v>
      </c>
      <c r="E126" s="39">
        <v>5</v>
      </c>
      <c r="F126" s="39">
        <v>0</v>
      </c>
      <c r="G126" s="39">
        <v>0</v>
      </c>
      <c r="H126" s="40">
        <v>22.39</v>
      </c>
      <c r="I126" s="41">
        <v>0.37</v>
      </c>
      <c r="J126" s="39">
        <v>1.0900000000000001</v>
      </c>
      <c r="K126" s="39" t="s">
        <v>929</v>
      </c>
      <c r="L126" s="39">
        <v>0</v>
      </c>
      <c r="M126" s="39">
        <v>0</v>
      </c>
      <c r="N126" s="4" t="s">
        <v>45</v>
      </c>
      <c r="O126" s="4">
        <v>0</v>
      </c>
      <c r="P126" s="4">
        <v>1</v>
      </c>
      <c r="Q126" s="4">
        <v>1.2</v>
      </c>
      <c r="R126" s="4" t="s">
        <v>954</v>
      </c>
      <c r="S126" s="4" t="s">
        <v>1937</v>
      </c>
      <c r="T126" s="4" t="s">
        <v>955</v>
      </c>
      <c r="U126" s="4" t="s">
        <v>45</v>
      </c>
      <c r="V126" s="4" t="s">
        <v>45</v>
      </c>
      <c r="W126" s="4" t="s">
        <v>45</v>
      </c>
      <c r="X126" s="4" t="s">
        <v>45</v>
      </c>
      <c r="Y126" s="4" t="s">
        <v>45</v>
      </c>
      <c r="Z126" s="4" t="s">
        <v>45</v>
      </c>
      <c r="AA126" s="4" t="s">
        <v>45</v>
      </c>
      <c r="AB126" s="4" t="s">
        <v>45</v>
      </c>
      <c r="AC126" s="4" t="s">
        <v>45</v>
      </c>
      <c r="AD126" s="39">
        <v>0</v>
      </c>
      <c r="AE126" s="4" t="s">
        <v>45</v>
      </c>
      <c r="AF126" s="4" t="s">
        <v>45</v>
      </c>
      <c r="AG126" s="4" t="s">
        <v>45</v>
      </c>
      <c r="AH126" s="4" t="s">
        <v>45</v>
      </c>
      <c r="AI126" s="4">
        <v>1</v>
      </c>
      <c r="AJ126" s="4" t="s">
        <v>41</v>
      </c>
      <c r="AK126" s="4">
        <v>1</v>
      </c>
      <c r="AL126" s="4" t="s">
        <v>1936</v>
      </c>
      <c r="AM126" s="4">
        <v>0</v>
      </c>
      <c r="AN126" s="4">
        <v>2.5000000000000001E-2</v>
      </c>
      <c r="AO126" s="4">
        <v>0.1</v>
      </c>
      <c r="AP126" s="4" t="s">
        <v>45</v>
      </c>
      <c r="AQ126" s="4">
        <v>0</v>
      </c>
      <c r="AR126" s="4" t="s">
        <v>673</v>
      </c>
      <c r="AS126" s="4">
        <v>0</v>
      </c>
      <c r="AT126" s="4">
        <v>0</v>
      </c>
      <c r="AU126" s="4">
        <v>0</v>
      </c>
      <c r="AV126" s="4" t="s">
        <v>45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1</v>
      </c>
      <c r="BD126" s="4">
        <v>0</v>
      </c>
      <c r="BE126" s="4">
        <v>0</v>
      </c>
      <c r="BF126" s="4">
        <v>0</v>
      </c>
      <c r="BG126" s="39">
        <v>0</v>
      </c>
      <c r="BH126" s="39">
        <v>0</v>
      </c>
      <c r="BI126" s="39">
        <v>0</v>
      </c>
      <c r="BJ126" s="39" t="s">
        <v>1086</v>
      </c>
      <c r="BK126" s="39">
        <v>0</v>
      </c>
      <c r="BL126" s="39">
        <v>0</v>
      </c>
      <c r="BM126" s="39">
        <v>0</v>
      </c>
    </row>
    <row r="127" spans="1:65" s="16" customFormat="1" ht="15.75" customHeight="1" x14ac:dyDescent="0.25">
      <c r="A127" s="16" t="s">
        <v>1940</v>
      </c>
      <c r="B127" s="39">
        <v>2</v>
      </c>
      <c r="C127" s="39">
        <v>0.95</v>
      </c>
      <c r="D127" s="39">
        <v>1</v>
      </c>
      <c r="E127" s="39">
        <v>5</v>
      </c>
      <c r="F127" s="39">
        <v>0</v>
      </c>
      <c r="G127" s="39">
        <v>0</v>
      </c>
      <c r="H127" s="40">
        <v>22.39</v>
      </c>
      <c r="I127" s="41">
        <v>0.37</v>
      </c>
      <c r="J127" s="39">
        <v>1.0900000000000001</v>
      </c>
      <c r="K127" s="39" t="s">
        <v>929</v>
      </c>
      <c r="L127" s="39">
        <v>0</v>
      </c>
      <c r="M127" s="39">
        <v>0</v>
      </c>
      <c r="N127" s="4" t="s">
        <v>45</v>
      </c>
      <c r="O127" s="4">
        <v>0</v>
      </c>
      <c r="P127" s="4">
        <v>1</v>
      </c>
      <c r="Q127" s="4">
        <v>1.2</v>
      </c>
      <c r="R127" s="4" t="s">
        <v>954</v>
      </c>
      <c r="S127" s="4" t="s">
        <v>1937</v>
      </c>
      <c r="T127" s="4" t="s">
        <v>955</v>
      </c>
      <c r="U127" s="4">
        <v>3</v>
      </c>
      <c r="V127" s="4">
        <v>0.95</v>
      </c>
      <c r="W127" s="4" t="s">
        <v>1927</v>
      </c>
      <c r="X127" s="4" t="s">
        <v>1928</v>
      </c>
      <c r="Y127" s="4" t="s">
        <v>955</v>
      </c>
      <c r="Z127" s="4" t="s">
        <v>45</v>
      </c>
      <c r="AA127" s="4" t="s">
        <v>45</v>
      </c>
      <c r="AB127" s="4" t="s">
        <v>45</v>
      </c>
      <c r="AC127" s="4" t="s">
        <v>45</v>
      </c>
      <c r="AD127" s="39">
        <v>0</v>
      </c>
      <c r="AE127" s="4" t="s">
        <v>45</v>
      </c>
      <c r="AF127" s="4" t="s">
        <v>45</v>
      </c>
      <c r="AG127" s="4" t="s">
        <v>45</v>
      </c>
      <c r="AH127" s="4" t="s">
        <v>45</v>
      </c>
      <c r="AI127" s="4">
        <v>1</v>
      </c>
      <c r="AJ127" s="4" t="s">
        <v>41</v>
      </c>
      <c r="AK127" s="4">
        <v>1</v>
      </c>
      <c r="AL127" s="4" t="s">
        <v>1936</v>
      </c>
      <c r="AM127" s="4">
        <v>0</v>
      </c>
      <c r="AN127" s="4">
        <v>2.5000000000000001E-2</v>
      </c>
      <c r="AO127" s="4">
        <v>0.1</v>
      </c>
      <c r="AP127" s="4" t="s">
        <v>45</v>
      </c>
      <c r="AQ127" s="4">
        <v>0</v>
      </c>
      <c r="AR127" s="4" t="s">
        <v>673</v>
      </c>
      <c r="AS127" s="4">
        <v>0</v>
      </c>
      <c r="AT127" s="4">
        <v>0</v>
      </c>
      <c r="AU127" s="4">
        <v>0</v>
      </c>
      <c r="AV127" s="4" t="s">
        <v>45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1</v>
      </c>
      <c r="BD127" s="4">
        <v>0</v>
      </c>
      <c r="BE127" s="4">
        <v>0</v>
      </c>
      <c r="BF127" s="4">
        <v>0</v>
      </c>
      <c r="BG127" s="39">
        <v>0</v>
      </c>
      <c r="BH127" s="39">
        <v>0</v>
      </c>
      <c r="BI127" s="39">
        <v>0</v>
      </c>
      <c r="BJ127" s="39" t="s">
        <v>1080</v>
      </c>
      <c r="BK127" s="39">
        <v>0</v>
      </c>
      <c r="BL127" s="39">
        <v>0</v>
      </c>
      <c r="BM127" s="39">
        <v>0</v>
      </c>
    </row>
    <row r="128" spans="1:65" s="16" customFormat="1" ht="15.75" customHeight="1" x14ac:dyDescent="0.25">
      <c r="A128" s="16" t="s">
        <v>1997</v>
      </c>
      <c r="B128" s="39">
        <v>2</v>
      </c>
      <c r="C128" s="39">
        <v>1</v>
      </c>
      <c r="D128" s="39">
        <v>1</v>
      </c>
      <c r="E128" s="39">
        <v>5</v>
      </c>
      <c r="F128" s="39">
        <v>0</v>
      </c>
      <c r="G128" s="39">
        <v>0</v>
      </c>
      <c r="H128" s="40">
        <v>22.39</v>
      </c>
      <c r="I128" s="41">
        <v>0.37</v>
      </c>
      <c r="J128" s="39">
        <v>1.0900000000000001</v>
      </c>
      <c r="K128" s="39" t="s">
        <v>929</v>
      </c>
      <c r="L128" s="39">
        <v>1</v>
      </c>
      <c r="M128" s="39">
        <v>0</v>
      </c>
      <c r="N128" s="4" t="s">
        <v>942</v>
      </c>
      <c r="O128" s="4">
        <v>1</v>
      </c>
      <c r="P128" s="4">
        <v>0</v>
      </c>
      <c r="Q128" s="4" t="s">
        <v>45</v>
      </c>
      <c r="R128" s="4" t="s">
        <v>45</v>
      </c>
      <c r="S128" s="4" t="s">
        <v>45</v>
      </c>
      <c r="T128" s="4" t="s">
        <v>45</v>
      </c>
      <c r="U128" s="4">
        <v>3</v>
      </c>
      <c r="V128" s="4">
        <v>0.85</v>
      </c>
      <c r="W128" s="4" t="s">
        <v>965</v>
      </c>
      <c r="X128" s="4" t="s">
        <v>966</v>
      </c>
      <c r="Y128" s="4" t="s">
        <v>952</v>
      </c>
      <c r="Z128" s="4">
        <v>0.85</v>
      </c>
      <c r="AA128" s="4" t="s">
        <v>975</v>
      </c>
      <c r="AB128" s="4" t="s">
        <v>977</v>
      </c>
      <c r="AC128" s="4" t="s">
        <v>1064</v>
      </c>
      <c r="AD128" s="39">
        <v>0</v>
      </c>
      <c r="AE128" s="4" t="s">
        <v>45</v>
      </c>
      <c r="AF128" s="4" t="s">
        <v>45</v>
      </c>
      <c r="AG128" s="4" t="s">
        <v>45</v>
      </c>
      <c r="AH128" s="4" t="s">
        <v>45</v>
      </c>
      <c r="AI128" s="4">
        <v>1</v>
      </c>
      <c r="AJ128" s="4" t="s">
        <v>41</v>
      </c>
      <c r="AK128" s="4">
        <v>1</v>
      </c>
      <c r="AL128" s="4" t="s">
        <v>1998</v>
      </c>
      <c r="AM128" s="4">
        <v>0</v>
      </c>
      <c r="AN128" s="4">
        <v>0.1</v>
      </c>
      <c r="AO128" s="4">
        <v>0.3</v>
      </c>
      <c r="AP128" s="4" t="s">
        <v>45</v>
      </c>
      <c r="AQ128" s="4">
        <v>0</v>
      </c>
      <c r="AR128" s="4" t="s">
        <v>673</v>
      </c>
      <c r="AS128" s="4">
        <v>0</v>
      </c>
      <c r="AT128" s="4">
        <v>0</v>
      </c>
      <c r="AU128" s="4">
        <v>0</v>
      </c>
      <c r="AV128" s="4" t="s">
        <v>45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1</v>
      </c>
      <c r="BD128" s="4">
        <v>0</v>
      </c>
      <c r="BE128" s="4">
        <v>0</v>
      </c>
      <c r="BF128" s="4">
        <v>2</v>
      </c>
      <c r="BG128" s="39">
        <v>0.25</v>
      </c>
      <c r="BH128" s="39">
        <v>0.1</v>
      </c>
      <c r="BI128" s="39">
        <v>2.5000000000000001E-2</v>
      </c>
      <c r="BJ128" s="39" t="s">
        <v>1080</v>
      </c>
      <c r="BK128" s="39">
        <v>0</v>
      </c>
      <c r="BL128" s="39">
        <v>0</v>
      </c>
      <c r="BM128" s="39">
        <v>0</v>
      </c>
    </row>
    <row r="129" spans="1:65" s="16" customFormat="1" ht="15.75" customHeight="1" x14ac:dyDescent="0.25">
      <c r="A129" s="16" t="s">
        <v>2060</v>
      </c>
      <c r="B129" s="39">
        <v>2</v>
      </c>
      <c r="C129" s="39">
        <v>1</v>
      </c>
      <c r="D129" s="39">
        <v>1</v>
      </c>
      <c r="E129" s="39">
        <v>5</v>
      </c>
      <c r="F129" s="39">
        <v>0</v>
      </c>
      <c r="G129" s="39">
        <v>0</v>
      </c>
      <c r="H129" s="40">
        <v>22.39</v>
      </c>
      <c r="I129" s="41">
        <v>0.37</v>
      </c>
      <c r="J129" s="39">
        <v>1.0900000000000001</v>
      </c>
      <c r="K129" s="39" t="s">
        <v>929</v>
      </c>
      <c r="L129" s="39">
        <v>1</v>
      </c>
      <c r="M129" s="39">
        <v>0</v>
      </c>
      <c r="N129" s="4" t="s">
        <v>942</v>
      </c>
      <c r="O129" s="4">
        <v>1</v>
      </c>
      <c r="P129" s="4">
        <v>0</v>
      </c>
      <c r="Q129" s="4" t="s">
        <v>45</v>
      </c>
      <c r="R129" s="4" t="s">
        <v>45</v>
      </c>
      <c r="S129" s="4" t="s">
        <v>45</v>
      </c>
      <c r="T129" s="4" t="s">
        <v>45</v>
      </c>
      <c r="U129" s="4">
        <v>3</v>
      </c>
      <c r="V129" s="4" t="s">
        <v>45</v>
      </c>
      <c r="W129" s="4" t="s">
        <v>45</v>
      </c>
      <c r="X129" s="4" t="s">
        <v>45</v>
      </c>
      <c r="Y129" s="4" t="s">
        <v>45</v>
      </c>
      <c r="Z129" s="4">
        <v>0.85</v>
      </c>
      <c r="AA129" s="4" t="s">
        <v>975</v>
      </c>
      <c r="AB129" s="4" t="s">
        <v>977</v>
      </c>
      <c r="AC129" s="4" t="s">
        <v>1064</v>
      </c>
      <c r="AD129" s="39">
        <v>0</v>
      </c>
      <c r="AE129" s="4" t="s">
        <v>45</v>
      </c>
      <c r="AF129" s="4" t="s">
        <v>45</v>
      </c>
      <c r="AG129" s="4" t="s">
        <v>45</v>
      </c>
      <c r="AH129" s="4" t="s">
        <v>45</v>
      </c>
      <c r="AI129" s="4">
        <v>1</v>
      </c>
      <c r="AJ129" s="4" t="s">
        <v>41</v>
      </c>
      <c r="AK129" s="4">
        <v>1</v>
      </c>
      <c r="AL129" s="4" t="s">
        <v>1998</v>
      </c>
      <c r="AM129" s="4">
        <v>0</v>
      </c>
      <c r="AN129" s="4">
        <v>0.1</v>
      </c>
      <c r="AO129" s="4">
        <v>0.3</v>
      </c>
      <c r="AP129" s="4" t="s">
        <v>45</v>
      </c>
      <c r="AQ129" s="4">
        <v>0</v>
      </c>
      <c r="AR129" s="4" t="s">
        <v>673</v>
      </c>
      <c r="AS129" s="4">
        <v>0</v>
      </c>
      <c r="AT129" s="4">
        <v>0</v>
      </c>
      <c r="AU129" s="4">
        <v>0</v>
      </c>
      <c r="AV129" s="4" t="s">
        <v>45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1</v>
      </c>
      <c r="BD129" s="4">
        <v>0</v>
      </c>
      <c r="BE129" s="4">
        <v>0</v>
      </c>
      <c r="BF129" s="4">
        <v>2</v>
      </c>
      <c r="BG129" s="39">
        <v>0.25</v>
      </c>
      <c r="BH129" s="39">
        <v>0.1</v>
      </c>
      <c r="BI129" s="39">
        <v>2.5000000000000001E-2</v>
      </c>
      <c r="BJ129" s="39" t="s">
        <v>1080</v>
      </c>
      <c r="BK129" s="39">
        <v>0</v>
      </c>
      <c r="BL129" s="39">
        <v>0</v>
      </c>
      <c r="BM129" s="39">
        <v>0</v>
      </c>
    </row>
    <row r="130" spans="1:65" s="16" customFormat="1" ht="15.75" customHeight="1" x14ac:dyDescent="0.25">
      <c r="A130" s="16" t="s">
        <v>1999</v>
      </c>
      <c r="B130" s="39">
        <v>2</v>
      </c>
      <c r="C130" s="39">
        <v>1</v>
      </c>
      <c r="D130" s="39">
        <v>1</v>
      </c>
      <c r="E130" s="39">
        <v>5</v>
      </c>
      <c r="F130" s="39">
        <v>0</v>
      </c>
      <c r="G130" s="39">
        <v>0</v>
      </c>
      <c r="H130" s="40">
        <v>22.39</v>
      </c>
      <c r="I130" s="41">
        <v>0.37</v>
      </c>
      <c r="J130" s="39">
        <v>1.0900000000000001</v>
      </c>
      <c r="K130" s="39" t="s">
        <v>929</v>
      </c>
      <c r="L130" s="39">
        <v>0</v>
      </c>
      <c r="M130" s="39">
        <v>0</v>
      </c>
      <c r="N130" s="4" t="s">
        <v>45</v>
      </c>
      <c r="O130" s="4">
        <v>1</v>
      </c>
      <c r="P130" s="4">
        <v>1</v>
      </c>
      <c r="Q130" s="4">
        <v>1</v>
      </c>
      <c r="R130" s="4" t="s">
        <v>954</v>
      </c>
      <c r="S130" s="4" t="s">
        <v>1937</v>
      </c>
      <c r="T130" s="4" t="s">
        <v>955</v>
      </c>
      <c r="U130" s="4" t="s">
        <v>45</v>
      </c>
      <c r="V130" s="4" t="s">
        <v>45</v>
      </c>
      <c r="W130" s="4" t="s">
        <v>45</v>
      </c>
      <c r="X130" s="4" t="s">
        <v>45</v>
      </c>
      <c r="Y130" s="4" t="s">
        <v>45</v>
      </c>
      <c r="Z130" s="4" t="s">
        <v>45</v>
      </c>
      <c r="AA130" s="4" t="s">
        <v>45</v>
      </c>
      <c r="AB130" s="4" t="s">
        <v>45</v>
      </c>
      <c r="AC130" s="4" t="s">
        <v>45</v>
      </c>
      <c r="AD130" s="39">
        <v>0</v>
      </c>
      <c r="AE130" s="4" t="s">
        <v>45</v>
      </c>
      <c r="AF130" s="4" t="s">
        <v>45</v>
      </c>
      <c r="AG130" s="4" t="s">
        <v>45</v>
      </c>
      <c r="AH130" s="4" t="s">
        <v>45</v>
      </c>
      <c r="AI130" s="4">
        <v>1</v>
      </c>
      <c r="AJ130" s="4" t="s">
        <v>41</v>
      </c>
      <c r="AK130" s="4">
        <v>1</v>
      </c>
      <c r="AL130" s="4" t="s">
        <v>1999</v>
      </c>
      <c r="AM130" s="4">
        <v>0</v>
      </c>
      <c r="AN130" s="4">
        <v>0</v>
      </c>
      <c r="AO130" s="4">
        <v>0</v>
      </c>
      <c r="AP130" s="4" t="s">
        <v>45</v>
      </c>
      <c r="AQ130" s="4">
        <v>0</v>
      </c>
      <c r="AR130" s="4" t="s">
        <v>673</v>
      </c>
      <c r="AS130" s="4">
        <v>0</v>
      </c>
      <c r="AT130" s="4">
        <v>0</v>
      </c>
      <c r="AU130" s="4">
        <v>0</v>
      </c>
      <c r="AV130" s="4" t="s">
        <v>45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1</v>
      </c>
      <c r="BD130" s="4">
        <v>0</v>
      </c>
      <c r="BE130" s="4">
        <v>0</v>
      </c>
      <c r="BF130" s="4">
        <v>0</v>
      </c>
      <c r="BG130" s="39">
        <v>0.25</v>
      </c>
      <c r="BH130" s="39">
        <v>0</v>
      </c>
      <c r="BI130" s="39">
        <v>2.5000000000000001E-2</v>
      </c>
      <c r="BJ130" s="39" t="s">
        <v>1080</v>
      </c>
      <c r="BK130" s="39">
        <v>0</v>
      </c>
      <c r="BL130" s="39">
        <v>0</v>
      </c>
      <c r="BM130" s="39">
        <v>0</v>
      </c>
    </row>
    <row r="131" spans="1:65" s="16" customFormat="1" ht="15.75" customHeight="1" x14ac:dyDescent="0.25">
      <c r="A131" s="16" t="s">
        <v>2000</v>
      </c>
      <c r="B131" s="39">
        <v>2</v>
      </c>
      <c r="C131" s="39">
        <v>1</v>
      </c>
      <c r="D131" s="39">
        <v>1</v>
      </c>
      <c r="E131" s="39">
        <v>5</v>
      </c>
      <c r="F131" s="39">
        <v>0</v>
      </c>
      <c r="G131" s="39">
        <v>0</v>
      </c>
      <c r="H131" s="40">
        <v>22.39</v>
      </c>
      <c r="I131" s="41">
        <v>0.37</v>
      </c>
      <c r="J131" s="39">
        <v>1.0900000000000001</v>
      </c>
      <c r="K131" s="39" t="s">
        <v>929</v>
      </c>
      <c r="L131" s="39">
        <v>0</v>
      </c>
      <c r="M131" s="39">
        <v>0</v>
      </c>
      <c r="N131" s="4" t="s">
        <v>942</v>
      </c>
      <c r="O131" s="4">
        <v>0</v>
      </c>
      <c r="P131" s="4">
        <v>1</v>
      </c>
      <c r="Q131" s="4">
        <v>1</v>
      </c>
      <c r="R131" s="4" t="s">
        <v>954</v>
      </c>
      <c r="S131" s="4" t="s">
        <v>1937</v>
      </c>
      <c r="T131" s="4" t="s">
        <v>955</v>
      </c>
      <c r="U131" s="4" t="s">
        <v>45</v>
      </c>
      <c r="V131" s="4" t="s">
        <v>45</v>
      </c>
      <c r="W131" s="4" t="s">
        <v>45</v>
      </c>
      <c r="X131" s="4" t="s">
        <v>45</v>
      </c>
      <c r="Y131" s="4" t="s">
        <v>45</v>
      </c>
      <c r="Z131" s="4">
        <v>1</v>
      </c>
      <c r="AA131" s="4" t="s">
        <v>975</v>
      </c>
      <c r="AB131" s="4" t="s">
        <v>977</v>
      </c>
      <c r="AC131" s="4" t="s">
        <v>1064</v>
      </c>
      <c r="AD131" s="39">
        <v>0</v>
      </c>
      <c r="AE131" s="4">
        <v>0.8</v>
      </c>
      <c r="AF131" s="4" t="s">
        <v>2054</v>
      </c>
      <c r="AG131" s="4" t="s">
        <v>2025</v>
      </c>
      <c r="AH131" s="4" t="s">
        <v>952</v>
      </c>
      <c r="AI131" s="4">
        <v>1</v>
      </c>
      <c r="AJ131" s="4" t="s">
        <v>41</v>
      </c>
      <c r="AK131" s="4">
        <v>1</v>
      </c>
      <c r="AL131" s="4" t="s">
        <v>1999</v>
      </c>
      <c r="AM131" s="4">
        <v>0</v>
      </c>
      <c r="AN131" s="4">
        <v>2.5000000000000001E-2</v>
      </c>
      <c r="AO131" s="4">
        <v>0.1</v>
      </c>
      <c r="AP131" s="4" t="s">
        <v>45</v>
      </c>
      <c r="AQ131" s="4">
        <v>0</v>
      </c>
      <c r="AR131" s="4" t="s">
        <v>673</v>
      </c>
      <c r="AS131" s="4">
        <v>0</v>
      </c>
      <c r="AT131" s="4">
        <v>0</v>
      </c>
      <c r="AU131" s="4">
        <v>0</v>
      </c>
      <c r="AV131" s="4" t="s">
        <v>45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1</v>
      </c>
      <c r="BD131" s="4">
        <v>0</v>
      </c>
      <c r="BE131" s="4">
        <v>0</v>
      </c>
      <c r="BF131" s="4">
        <v>2</v>
      </c>
      <c r="BG131" s="39">
        <v>0.25</v>
      </c>
      <c r="BH131" s="39">
        <v>0.1</v>
      </c>
      <c r="BI131" s="39">
        <v>2.5000000000000001E-2</v>
      </c>
      <c r="BJ131" s="39" t="s">
        <v>1080</v>
      </c>
      <c r="BK131" s="39">
        <v>0</v>
      </c>
      <c r="BL131" s="39">
        <v>0</v>
      </c>
      <c r="BM131" s="39">
        <v>0</v>
      </c>
    </row>
    <row r="132" spans="1:65" s="16" customFormat="1" ht="15.75" customHeight="1" x14ac:dyDescent="0.25">
      <c r="A132" s="16" t="s">
        <v>2008</v>
      </c>
      <c r="B132" s="39">
        <v>2</v>
      </c>
      <c r="C132" s="39">
        <v>1</v>
      </c>
      <c r="D132" s="39">
        <v>1</v>
      </c>
      <c r="E132" s="39">
        <v>5</v>
      </c>
      <c r="F132" s="39">
        <v>1</v>
      </c>
      <c r="G132" s="39">
        <v>0</v>
      </c>
      <c r="H132" s="40">
        <v>22.39</v>
      </c>
      <c r="I132" s="41">
        <v>0.37</v>
      </c>
      <c r="J132" s="39">
        <v>1.0900000000000001</v>
      </c>
      <c r="K132" s="39" t="s">
        <v>929</v>
      </c>
      <c r="L132" s="39">
        <v>0</v>
      </c>
      <c r="M132" s="39">
        <v>0</v>
      </c>
      <c r="N132" s="4" t="s">
        <v>942</v>
      </c>
      <c r="O132" s="4">
        <v>0</v>
      </c>
      <c r="P132" s="4">
        <v>0</v>
      </c>
      <c r="Q132" s="4" t="s">
        <v>45</v>
      </c>
      <c r="R132" s="4" t="s">
        <v>45</v>
      </c>
      <c r="S132" s="4" t="s">
        <v>45</v>
      </c>
      <c r="T132" s="4" t="s">
        <v>45</v>
      </c>
      <c r="U132" s="4">
        <v>2</v>
      </c>
      <c r="V132" s="4">
        <v>0.85</v>
      </c>
      <c r="W132" s="4" t="s">
        <v>965</v>
      </c>
      <c r="X132" s="4" t="s">
        <v>2009</v>
      </c>
      <c r="Y132" s="4" t="s">
        <v>955</v>
      </c>
      <c r="Z132" s="4">
        <v>0.85</v>
      </c>
      <c r="AA132" s="4" t="s">
        <v>975</v>
      </c>
      <c r="AB132" s="4" t="s">
        <v>978</v>
      </c>
      <c r="AC132" s="4" t="s">
        <v>1064</v>
      </c>
      <c r="AD132" s="39">
        <v>0</v>
      </c>
      <c r="AE132" s="4" t="s">
        <v>45</v>
      </c>
      <c r="AF132" s="4" t="s">
        <v>45</v>
      </c>
      <c r="AG132" s="4" t="s">
        <v>45</v>
      </c>
      <c r="AH132" s="4" t="s">
        <v>45</v>
      </c>
      <c r="AI132" s="4">
        <v>1</v>
      </c>
      <c r="AJ132" s="4" t="s">
        <v>41</v>
      </c>
      <c r="AK132" s="4">
        <v>1</v>
      </c>
      <c r="AL132" s="4" t="s">
        <v>1816</v>
      </c>
      <c r="AM132" s="4">
        <v>0</v>
      </c>
      <c r="AN132" s="4">
        <v>0.1</v>
      </c>
      <c r="AO132" s="4">
        <v>0.3</v>
      </c>
      <c r="AP132" s="4" t="s">
        <v>45</v>
      </c>
      <c r="AQ132" s="4">
        <v>0</v>
      </c>
      <c r="AR132" s="4" t="s">
        <v>673</v>
      </c>
      <c r="AS132" s="4">
        <v>0</v>
      </c>
      <c r="AT132" s="4">
        <v>0</v>
      </c>
      <c r="AU132" s="4">
        <v>0</v>
      </c>
      <c r="AV132" s="4" t="s">
        <v>45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1</v>
      </c>
      <c r="BE132" s="4">
        <v>0</v>
      </c>
      <c r="BF132" s="4">
        <v>0</v>
      </c>
      <c r="BG132" s="39">
        <v>0.25</v>
      </c>
      <c r="BH132" s="39">
        <v>0.1</v>
      </c>
      <c r="BI132" s="39">
        <v>2.5000000000000001E-2</v>
      </c>
      <c r="BJ132" s="39" t="s">
        <v>1080</v>
      </c>
      <c r="BK132" s="39">
        <v>0</v>
      </c>
      <c r="BL132" s="39">
        <v>0</v>
      </c>
      <c r="BM132" s="39">
        <v>0</v>
      </c>
    </row>
    <row r="133" spans="1:65" s="16" customFormat="1" ht="15.75" customHeight="1" x14ac:dyDescent="0.25">
      <c r="A133" s="16" t="s">
        <v>2010</v>
      </c>
      <c r="B133" s="39">
        <v>2</v>
      </c>
      <c r="C133" s="39">
        <v>1</v>
      </c>
      <c r="D133" s="39">
        <v>1</v>
      </c>
      <c r="E133" s="39">
        <v>5</v>
      </c>
      <c r="F133" s="39">
        <v>0</v>
      </c>
      <c r="G133" s="39">
        <v>0</v>
      </c>
      <c r="H133" s="40">
        <v>22.39</v>
      </c>
      <c r="I133" s="41">
        <v>0.37</v>
      </c>
      <c r="J133" s="39">
        <v>1.0900000000000001</v>
      </c>
      <c r="K133" s="39">
        <v>0.2</v>
      </c>
      <c r="L133" s="39">
        <v>1</v>
      </c>
      <c r="M133" s="39">
        <v>0</v>
      </c>
      <c r="N133" s="4" t="s">
        <v>45</v>
      </c>
      <c r="O133" s="4">
        <v>0</v>
      </c>
      <c r="P133" s="4">
        <v>0</v>
      </c>
      <c r="Q133" s="4" t="s">
        <v>45</v>
      </c>
      <c r="R133" s="4" t="s">
        <v>45</v>
      </c>
      <c r="S133" s="4" t="s">
        <v>45</v>
      </c>
      <c r="T133" s="4" t="s">
        <v>45</v>
      </c>
      <c r="U133" s="4">
        <v>3</v>
      </c>
      <c r="V133" s="4">
        <v>0.85</v>
      </c>
      <c r="W133" s="4" t="s">
        <v>1927</v>
      </c>
      <c r="X133" s="4" t="s">
        <v>2011</v>
      </c>
      <c r="Y133" s="4" t="s">
        <v>952</v>
      </c>
      <c r="Z133" s="4" t="s">
        <v>45</v>
      </c>
      <c r="AA133" s="4" t="s">
        <v>45</v>
      </c>
      <c r="AB133" s="4" t="s">
        <v>45</v>
      </c>
      <c r="AC133" s="4" t="s">
        <v>45</v>
      </c>
      <c r="AD133" s="39">
        <v>0</v>
      </c>
      <c r="AE133" s="4" t="s">
        <v>45</v>
      </c>
      <c r="AF133" s="4" t="s">
        <v>45</v>
      </c>
      <c r="AG133" s="4" t="s">
        <v>45</v>
      </c>
      <c r="AH133" s="4" t="s">
        <v>45</v>
      </c>
      <c r="AI133" s="4">
        <v>1</v>
      </c>
      <c r="AJ133" s="4" t="s">
        <v>41</v>
      </c>
      <c r="AK133" s="4">
        <v>0</v>
      </c>
      <c r="AL133" s="4" t="s">
        <v>1929</v>
      </c>
      <c r="AM133" s="4">
        <v>0</v>
      </c>
      <c r="AN133" s="4">
        <v>0.1</v>
      </c>
      <c r="AO133" s="4">
        <v>0.3</v>
      </c>
      <c r="AP133" s="4" t="s">
        <v>45</v>
      </c>
      <c r="AQ133" s="4">
        <v>0</v>
      </c>
      <c r="AR133" s="4" t="s">
        <v>673</v>
      </c>
      <c r="AS133" s="4">
        <v>0</v>
      </c>
      <c r="AT133" s="4">
        <v>0</v>
      </c>
      <c r="AU133" s="4">
        <v>0</v>
      </c>
      <c r="AV133" s="4" t="s">
        <v>45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1</v>
      </c>
      <c r="BD133" s="4">
        <v>0</v>
      </c>
      <c r="BE133" s="4">
        <v>0</v>
      </c>
      <c r="BF133" s="4">
        <v>0</v>
      </c>
      <c r="BG133" s="39">
        <v>0</v>
      </c>
      <c r="BH133" s="39">
        <v>0.1</v>
      </c>
      <c r="BI133" s="39">
        <v>2.5000000000000001E-2</v>
      </c>
      <c r="BJ133" s="39" t="s">
        <v>1080</v>
      </c>
      <c r="BK133" s="39">
        <v>0</v>
      </c>
      <c r="BL133" s="39">
        <v>0</v>
      </c>
      <c r="BM133" s="39">
        <v>0</v>
      </c>
    </row>
    <row r="134" spans="1:65" s="16" customFormat="1" x14ac:dyDescent="0.25">
      <c r="A134" s="16" t="s">
        <v>2052</v>
      </c>
      <c r="B134" s="39">
        <v>2</v>
      </c>
      <c r="C134" s="39">
        <v>1</v>
      </c>
      <c r="D134" s="39">
        <v>1</v>
      </c>
      <c r="E134" s="39">
        <v>1</v>
      </c>
      <c r="F134" s="39">
        <v>0</v>
      </c>
      <c r="G134" s="39">
        <v>0</v>
      </c>
      <c r="H134" s="40">
        <v>22.39</v>
      </c>
      <c r="I134" s="41">
        <v>0.37</v>
      </c>
      <c r="J134" s="39">
        <v>1.0900000000000001</v>
      </c>
      <c r="K134" s="39" t="s">
        <v>929</v>
      </c>
      <c r="L134" s="39">
        <v>0</v>
      </c>
      <c r="M134" s="39">
        <v>0</v>
      </c>
      <c r="N134" s="4" t="s">
        <v>41</v>
      </c>
      <c r="O134" s="4">
        <v>0</v>
      </c>
      <c r="P134" s="4">
        <v>0</v>
      </c>
      <c r="Q134" s="4" t="s">
        <v>45</v>
      </c>
      <c r="R134" s="4" t="s">
        <v>45</v>
      </c>
      <c r="S134" s="4" t="s">
        <v>45</v>
      </c>
      <c r="T134" s="4" t="s">
        <v>45</v>
      </c>
      <c r="U134" s="4" t="s">
        <v>45</v>
      </c>
      <c r="V134" s="4" t="s">
        <v>45</v>
      </c>
      <c r="W134" s="4" t="s">
        <v>45</v>
      </c>
      <c r="X134" s="4" t="s">
        <v>45</v>
      </c>
      <c r="Y134" s="4" t="s">
        <v>45</v>
      </c>
      <c r="Z134" s="4">
        <v>1</v>
      </c>
      <c r="AA134" s="4" t="s">
        <v>972</v>
      </c>
      <c r="AB134" s="4" t="s">
        <v>977</v>
      </c>
      <c r="AC134" s="4" t="s">
        <v>955</v>
      </c>
      <c r="AD134" s="39">
        <v>0</v>
      </c>
      <c r="AE134" s="4" t="s">
        <v>45</v>
      </c>
      <c r="AF134" s="4" t="s">
        <v>45</v>
      </c>
      <c r="AG134" s="4" t="s">
        <v>45</v>
      </c>
      <c r="AH134" s="4" t="s">
        <v>45</v>
      </c>
      <c r="AI134" s="4">
        <v>1</v>
      </c>
      <c r="AJ134" s="4" t="s">
        <v>41</v>
      </c>
      <c r="AK134" s="4">
        <v>0</v>
      </c>
      <c r="AL134" s="4" t="s">
        <v>41</v>
      </c>
      <c r="AM134" s="4">
        <v>0</v>
      </c>
      <c r="AN134" s="4">
        <v>0</v>
      </c>
      <c r="AO134" s="4">
        <v>0</v>
      </c>
      <c r="AP134" s="4" t="s">
        <v>45</v>
      </c>
      <c r="AQ134" s="4">
        <v>0</v>
      </c>
      <c r="AR134" s="4" t="s">
        <v>673</v>
      </c>
      <c r="AS134" s="4">
        <v>1</v>
      </c>
      <c r="AT134" s="4">
        <v>0</v>
      </c>
      <c r="AU134" s="4">
        <v>0</v>
      </c>
      <c r="AV134" s="4" t="s">
        <v>45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1</v>
      </c>
      <c r="BC134" s="4">
        <v>0</v>
      </c>
      <c r="BD134" s="4">
        <v>0</v>
      </c>
      <c r="BE134" s="4">
        <v>1</v>
      </c>
      <c r="BF134" s="4">
        <v>2</v>
      </c>
      <c r="BG134" s="39">
        <v>1</v>
      </c>
      <c r="BH134" s="39">
        <v>0.15</v>
      </c>
      <c r="BI134" s="39">
        <v>2.5000000000000001E-2</v>
      </c>
      <c r="BJ134" s="39" t="s">
        <v>1083</v>
      </c>
      <c r="BK134" s="39">
        <v>0</v>
      </c>
      <c r="BL134" s="39">
        <v>0</v>
      </c>
      <c r="BM134" s="39">
        <v>0</v>
      </c>
    </row>
    <row r="135" spans="1:65" s="16" customFormat="1" x14ac:dyDescent="0.25">
      <c r="A135" s="16" t="s">
        <v>2061</v>
      </c>
      <c r="B135" s="39">
        <v>2</v>
      </c>
      <c r="C135" s="39">
        <v>1</v>
      </c>
      <c r="D135" s="39">
        <v>1</v>
      </c>
      <c r="E135" s="39">
        <v>1</v>
      </c>
      <c r="F135" s="39">
        <v>0</v>
      </c>
      <c r="G135" s="39">
        <v>0</v>
      </c>
      <c r="H135" s="40">
        <v>22.39</v>
      </c>
      <c r="I135" s="41">
        <v>0.37</v>
      </c>
      <c r="J135" s="39">
        <v>1.0900000000000001</v>
      </c>
      <c r="K135" s="39" t="s">
        <v>929</v>
      </c>
      <c r="L135" s="39">
        <v>0</v>
      </c>
      <c r="M135" s="39">
        <v>0</v>
      </c>
      <c r="N135" s="4" t="s">
        <v>41</v>
      </c>
      <c r="O135" s="4">
        <v>0</v>
      </c>
      <c r="P135" s="4">
        <v>0</v>
      </c>
      <c r="Q135" s="4" t="s">
        <v>45</v>
      </c>
      <c r="R135" s="4" t="s">
        <v>45</v>
      </c>
      <c r="S135" s="4" t="s">
        <v>45</v>
      </c>
      <c r="T135" s="4" t="s">
        <v>45</v>
      </c>
      <c r="U135" s="4" t="s">
        <v>45</v>
      </c>
      <c r="V135" s="4" t="s">
        <v>45</v>
      </c>
      <c r="W135" s="4" t="s">
        <v>45</v>
      </c>
      <c r="X135" s="4" t="s">
        <v>45</v>
      </c>
      <c r="Y135" s="4" t="s">
        <v>45</v>
      </c>
      <c r="Z135" s="4">
        <v>1</v>
      </c>
      <c r="AA135" s="4" t="s">
        <v>972</v>
      </c>
      <c r="AB135" s="4" t="s">
        <v>977</v>
      </c>
      <c r="AC135" s="4" t="s">
        <v>955</v>
      </c>
      <c r="AD135" s="39">
        <v>0</v>
      </c>
      <c r="AE135" s="4" t="s">
        <v>45</v>
      </c>
      <c r="AF135" s="4" t="s">
        <v>45</v>
      </c>
      <c r="AG135" s="4" t="s">
        <v>45</v>
      </c>
      <c r="AH135" s="4" t="s">
        <v>45</v>
      </c>
      <c r="AI135" s="4">
        <v>1</v>
      </c>
      <c r="AJ135" s="4" t="s">
        <v>41</v>
      </c>
      <c r="AK135" s="4">
        <v>0</v>
      </c>
      <c r="AL135" s="4" t="s">
        <v>41</v>
      </c>
      <c r="AM135" s="4">
        <v>0</v>
      </c>
      <c r="AN135" s="4">
        <v>0</v>
      </c>
      <c r="AO135" s="4">
        <v>0</v>
      </c>
      <c r="AP135" s="4" t="s">
        <v>45</v>
      </c>
      <c r="AQ135" s="4">
        <v>0</v>
      </c>
      <c r="AR135" s="4" t="s">
        <v>673</v>
      </c>
      <c r="AS135" s="4">
        <v>0</v>
      </c>
      <c r="AT135" s="4">
        <v>0</v>
      </c>
      <c r="AU135" s="4">
        <v>0</v>
      </c>
      <c r="AV135" s="4" t="s">
        <v>45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1</v>
      </c>
      <c r="BC135" s="4">
        <v>0</v>
      </c>
      <c r="BD135" s="4">
        <v>0</v>
      </c>
      <c r="BE135" s="4">
        <v>1</v>
      </c>
      <c r="BF135" s="4">
        <v>2</v>
      </c>
      <c r="BG135" s="39">
        <v>1</v>
      </c>
      <c r="BH135" s="39">
        <v>0.15</v>
      </c>
      <c r="BI135" s="39">
        <v>2.5000000000000001E-2</v>
      </c>
      <c r="BJ135" s="39" t="s">
        <v>1083</v>
      </c>
      <c r="BK135" s="39">
        <v>0</v>
      </c>
      <c r="BL135" s="39">
        <v>0</v>
      </c>
      <c r="BM135" s="39">
        <v>0</v>
      </c>
    </row>
    <row r="136" spans="1:65" s="16" customFormat="1" x14ac:dyDescent="0.25">
      <c r="A136" s="16" t="s">
        <v>2105</v>
      </c>
      <c r="B136" s="39">
        <v>2</v>
      </c>
      <c r="C136" s="39">
        <v>1.25</v>
      </c>
      <c r="D136" s="39">
        <v>0</v>
      </c>
      <c r="E136" s="39">
        <v>11</v>
      </c>
      <c r="F136" s="39">
        <v>0</v>
      </c>
      <c r="G136" s="39">
        <v>0</v>
      </c>
      <c r="H136" s="40">
        <v>1</v>
      </c>
      <c r="I136" s="41">
        <v>1</v>
      </c>
      <c r="J136" s="39">
        <v>1.0900000000000001</v>
      </c>
      <c r="K136" s="39" t="s">
        <v>929</v>
      </c>
      <c r="L136" s="39">
        <v>0</v>
      </c>
      <c r="M136" s="39">
        <v>0</v>
      </c>
      <c r="N136" s="4" t="s">
        <v>41</v>
      </c>
      <c r="O136" s="4">
        <v>1</v>
      </c>
      <c r="P136" s="4">
        <v>1</v>
      </c>
      <c r="Q136" s="4">
        <v>1</v>
      </c>
      <c r="R136" s="4" t="s">
        <v>953</v>
      </c>
      <c r="S136" s="4" t="s">
        <v>951</v>
      </c>
      <c r="T136" s="4" t="s">
        <v>952</v>
      </c>
      <c r="U136" s="4" t="s">
        <v>45</v>
      </c>
      <c r="V136" s="4" t="s">
        <v>45</v>
      </c>
      <c r="W136" s="4" t="s">
        <v>45</v>
      </c>
      <c r="X136" s="4" t="s">
        <v>45</v>
      </c>
      <c r="Y136" s="4" t="s">
        <v>45</v>
      </c>
      <c r="Z136" s="4">
        <v>0.8</v>
      </c>
      <c r="AA136" s="4" t="s">
        <v>972</v>
      </c>
      <c r="AB136" s="4" t="s">
        <v>977</v>
      </c>
      <c r="AC136" s="4" t="s">
        <v>955</v>
      </c>
      <c r="AD136" s="39">
        <v>0</v>
      </c>
      <c r="AE136" s="4" t="s">
        <v>45</v>
      </c>
      <c r="AF136" s="4" t="s">
        <v>45</v>
      </c>
      <c r="AG136" s="4" t="s">
        <v>45</v>
      </c>
      <c r="AH136" s="4" t="s">
        <v>45</v>
      </c>
      <c r="AI136" s="4">
        <v>1</v>
      </c>
      <c r="AJ136" s="4" t="s">
        <v>41</v>
      </c>
      <c r="AK136" s="4">
        <v>0</v>
      </c>
      <c r="AL136" s="4" t="s">
        <v>41</v>
      </c>
      <c r="AM136" s="4">
        <v>0</v>
      </c>
      <c r="AN136" s="4">
        <v>0.1</v>
      </c>
      <c r="AO136" s="4">
        <v>0.3</v>
      </c>
      <c r="AP136" s="4" t="s">
        <v>45</v>
      </c>
      <c r="AQ136" s="4">
        <v>0</v>
      </c>
      <c r="AR136" s="4" t="s">
        <v>1026</v>
      </c>
      <c r="AS136" s="4">
        <v>1</v>
      </c>
      <c r="AT136" s="4">
        <v>0</v>
      </c>
      <c r="AU136" s="4">
        <v>0</v>
      </c>
      <c r="AV136" s="4" t="s">
        <v>45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1</v>
      </c>
      <c r="BC136" s="4">
        <v>0</v>
      </c>
      <c r="BD136" s="4">
        <v>0</v>
      </c>
      <c r="BE136" s="4">
        <v>1</v>
      </c>
      <c r="BF136" s="4">
        <v>1</v>
      </c>
      <c r="BG136" s="39">
        <v>1</v>
      </c>
      <c r="BH136" s="39">
        <v>0.2</v>
      </c>
      <c r="BI136" s="39">
        <v>2.5000000000000001E-2</v>
      </c>
      <c r="BJ136" s="39" t="s">
        <v>1083</v>
      </c>
      <c r="BK136" s="39">
        <v>0</v>
      </c>
      <c r="BL136" s="39">
        <v>0</v>
      </c>
      <c r="BM136" s="39">
        <v>0</v>
      </c>
    </row>
    <row r="137" spans="1:65" s="16" customFormat="1" x14ac:dyDescent="0.25">
      <c r="A137" s="16" t="s">
        <v>2110</v>
      </c>
      <c r="B137" s="39">
        <v>2</v>
      </c>
      <c r="C137" s="39">
        <v>1</v>
      </c>
      <c r="D137" s="39">
        <v>1</v>
      </c>
      <c r="E137" s="39">
        <v>1</v>
      </c>
      <c r="F137" s="39">
        <v>0</v>
      </c>
      <c r="G137" s="39">
        <v>0</v>
      </c>
      <c r="H137" s="40">
        <f>AVERAGE(65.5,108.7)</f>
        <v>87.1</v>
      </c>
      <c r="I137" s="41">
        <f>AVERAGE(16.8%,11.9%)</f>
        <v>0.14350000000000002</v>
      </c>
      <c r="J137" s="39">
        <v>0.96</v>
      </c>
      <c r="K137" s="39">
        <v>0.32</v>
      </c>
      <c r="L137" s="39">
        <v>1</v>
      </c>
      <c r="M137" s="39">
        <v>0</v>
      </c>
      <c r="N137" s="4" t="s">
        <v>942</v>
      </c>
      <c r="O137" s="4">
        <v>0</v>
      </c>
      <c r="P137" s="4">
        <v>0</v>
      </c>
      <c r="Q137" s="4" t="s">
        <v>45</v>
      </c>
      <c r="R137" s="4" t="s">
        <v>45</v>
      </c>
      <c r="S137" s="4" t="s">
        <v>45</v>
      </c>
      <c r="T137" s="4" t="s">
        <v>45</v>
      </c>
      <c r="U137" s="4">
        <v>3</v>
      </c>
      <c r="V137" s="4">
        <v>0.85</v>
      </c>
      <c r="W137" s="4" t="s">
        <v>1927</v>
      </c>
      <c r="X137" s="4" t="s">
        <v>1928</v>
      </c>
      <c r="Y137" s="4" t="s">
        <v>955</v>
      </c>
      <c r="Z137" s="4">
        <v>0.85</v>
      </c>
      <c r="AA137" s="4" t="s">
        <v>975</v>
      </c>
      <c r="AB137" s="4" t="s">
        <v>978</v>
      </c>
      <c r="AC137" s="4" t="s">
        <v>1064</v>
      </c>
      <c r="AD137" s="39">
        <v>0</v>
      </c>
      <c r="AE137" s="4" t="s">
        <v>45</v>
      </c>
      <c r="AF137" s="4" t="s">
        <v>45</v>
      </c>
      <c r="AG137" s="4" t="s">
        <v>45</v>
      </c>
      <c r="AH137" s="4" t="s">
        <v>45</v>
      </c>
      <c r="AI137" s="4">
        <v>1</v>
      </c>
      <c r="AJ137" s="4" t="s">
        <v>996</v>
      </c>
      <c r="AK137" s="4">
        <v>0</v>
      </c>
      <c r="AL137" s="4" t="s">
        <v>2111</v>
      </c>
      <c r="AM137" s="4">
        <v>0</v>
      </c>
      <c r="AN137" s="4">
        <v>2.5000000000000001E-2</v>
      </c>
      <c r="AO137" s="4">
        <v>0.1</v>
      </c>
      <c r="AP137" s="4" t="s">
        <v>45</v>
      </c>
      <c r="AQ137" s="4">
        <v>0</v>
      </c>
      <c r="AR137" s="4" t="s">
        <v>673</v>
      </c>
      <c r="AS137" s="4">
        <v>0</v>
      </c>
      <c r="AT137" s="4">
        <v>0</v>
      </c>
      <c r="AU137" s="4">
        <v>0</v>
      </c>
      <c r="AV137" s="4" t="s">
        <v>45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39">
        <v>0.5</v>
      </c>
      <c r="BH137" s="39">
        <v>0.1</v>
      </c>
      <c r="BI137" s="39">
        <v>0</v>
      </c>
      <c r="BJ137" s="39" t="s">
        <v>1080</v>
      </c>
      <c r="BK137" s="39">
        <v>0</v>
      </c>
      <c r="BL137" s="39">
        <v>0</v>
      </c>
      <c r="BM137" s="39">
        <v>0</v>
      </c>
    </row>
    <row r="138" spans="1:65" s="16" customFormat="1" x14ac:dyDescent="0.25">
      <c r="A138" s="16" t="s">
        <v>2114</v>
      </c>
      <c r="B138" s="39">
        <v>2</v>
      </c>
      <c r="C138" s="39">
        <v>1</v>
      </c>
      <c r="D138" s="39">
        <v>0</v>
      </c>
      <c r="E138" s="39">
        <v>5</v>
      </c>
      <c r="F138" s="39">
        <v>0</v>
      </c>
      <c r="G138" s="39">
        <v>0</v>
      </c>
      <c r="H138" s="40">
        <f t="shared" ref="H138" si="5">AVERAGE(21.6,12,10,13.1,30.5,38,15)</f>
        <v>20.028571428571428</v>
      </c>
      <c r="I138" s="41">
        <f t="shared" ref="I138" si="6">AVERAGE(0.54,1.5,1.5,0.86,0.24,0.54,0.85)</f>
        <v>0.86142857142857143</v>
      </c>
      <c r="J138" s="39">
        <v>1.0900000000000001</v>
      </c>
      <c r="K138" s="39" t="s">
        <v>929</v>
      </c>
      <c r="L138" s="39">
        <v>0</v>
      </c>
      <c r="M138" s="39">
        <v>0</v>
      </c>
      <c r="N138" s="4" t="s">
        <v>107</v>
      </c>
      <c r="O138" s="4">
        <v>0</v>
      </c>
      <c r="P138" s="4">
        <v>0</v>
      </c>
      <c r="Q138" s="4" t="s">
        <v>45</v>
      </c>
      <c r="R138" s="4" t="s">
        <v>45</v>
      </c>
      <c r="S138" s="4" t="s">
        <v>45</v>
      </c>
      <c r="T138" s="4" t="s">
        <v>45</v>
      </c>
      <c r="U138" s="4" t="s">
        <v>45</v>
      </c>
      <c r="V138" s="4" t="s">
        <v>45</v>
      </c>
      <c r="W138" s="4" t="s">
        <v>45</v>
      </c>
      <c r="X138" s="4" t="s">
        <v>45</v>
      </c>
      <c r="Y138" s="4" t="s">
        <v>45</v>
      </c>
      <c r="Z138" s="4">
        <v>1.1000000000000001</v>
      </c>
      <c r="AA138" s="4" t="s">
        <v>975</v>
      </c>
      <c r="AB138" s="4" t="s">
        <v>978</v>
      </c>
      <c r="AC138" s="4" t="s">
        <v>1064</v>
      </c>
      <c r="AD138" s="39">
        <v>0</v>
      </c>
      <c r="AE138" s="4" t="s">
        <v>45</v>
      </c>
      <c r="AF138" s="4" t="s">
        <v>45</v>
      </c>
      <c r="AG138" s="4" t="s">
        <v>45</v>
      </c>
      <c r="AH138" s="4" t="s">
        <v>45</v>
      </c>
      <c r="AI138" s="4">
        <v>1</v>
      </c>
      <c r="AJ138" s="4" t="s">
        <v>996</v>
      </c>
      <c r="AK138" s="4">
        <v>0</v>
      </c>
      <c r="AL138" s="4" t="s">
        <v>1009</v>
      </c>
      <c r="AM138" s="4">
        <v>0</v>
      </c>
      <c r="AN138" s="4">
        <v>0</v>
      </c>
      <c r="AO138" s="4">
        <v>0</v>
      </c>
      <c r="AP138" s="4" t="s">
        <v>45</v>
      </c>
      <c r="AQ138" s="4">
        <v>0</v>
      </c>
      <c r="AR138" s="4" t="s">
        <v>1026</v>
      </c>
      <c r="AS138" s="4">
        <v>1</v>
      </c>
      <c r="AT138" s="4">
        <v>0</v>
      </c>
      <c r="AU138" s="4">
        <v>0</v>
      </c>
      <c r="AV138" s="4" t="s">
        <v>45</v>
      </c>
      <c r="AW138" s="4">
        <v>0</v>
      </c>
      <c r="AX138" s="4">
        <v>0</v>
      </c>
      <c r="AY138" s="4">
        <v>0</v>
      </c>
      <c r="AZ138" s="4">
        <v>2</v>
      </c>
      <c r="BA138" s="4">
        <v>0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39">
        <v>0.5</v>
      </c>
      <c r="BH138" s="39">
        <v>0.2</v>
      </c>
      <c r="BI138" s="39">
        <v>2.5000000000000001E-2</v>
      </c>
      <c r="BJ138" s="39" t="s">
        <v>1080</v>
      </c>
      <c r="BK138" s="39">
        <v>0</v>
      </c>
      <c r="BL138" s="39">
        <v>0</v>
      </c>
      <c r="BM138" s="39">
        <v>0</v>
      </c>
    </row>
    <row r="139" spans="1:65" s="16" customFormat="1" x14ac:dyDescent="0.25">
      <c r="A139" s="16" t="s">
        <v>2071</v>
      </c>
      <c r="B139" s="39">
        <v>2</v>
      </c>
      <c r="C139" s="39">
        <v>1</v>
      </c>
      <c r="D139" s="39">
        <v>1</v>
      </c>
      <c r="E139" s="39">
        <v>5</v>
      </c>
      <c r="F139" s="39">
        <v>0</v>
      </c>
      <c r="G139" s="39">
        <v>0</v>
      </c>
      <c r="H139" s="40">
        <f>30.5</f>
        <v>30.5</v>
      </c>
      <c r="I139" s="41">
        <f>0.24</f>
        <v>0.24</v>
      </c>
      <c r="J139" s="39">
        <v>1.0900000000000001</v>
      </c>
      <c r="K139" s="39" t="s">
        <v>929</v>
      </c>
      <c r="L139" s="39">
        <v>1</v>
      </c>
      <c r="M139" s="39">
        <v>0</v>
      </c>
      <c r="N139" s="4" t="s">
        <v>942</v>
      </c>
      <c r="O139" s="4">
        <v>0</v>
      </c>
      <c r="P139" s="4">
        <v>0</v>
      </c>
      <c r="Q139" s="4" t="s">
        <v>45</v>
      </c>
      <c r="R139" s="4" t="s">
        <v>45</v>
      </c>
      <c r="S139" s="4" t="s">
        <v>45</v>
      </c>
      <c r="T139" s="4" t="s">
        <v>45</v>
      </c>
      <c r="U139" s="4" t="s">
        <v>45</v>
      </c>
      <c r="V139" s="4" t="s">
        <v>45</v>
      </c>
      <c r="W139" s="4" t="s">
        <v>45</v>
      </c>
      <c r="X139" s="4" t="s">
        <v>45</v>
      </c>
      <c r="Y139" s="4" t="s">
        <v>45</v>
      </c>
      <c r="Z139" s="4">
        <v>1</v>
      </c>
      <c r="AA139" s="4" t="s">
        <v>975</v>
      </c>
      <c r="AB139" s="4" t="s">
        <v>978</v>
      </c>
      <c r="AC139" s="4" t="s">
        <v>1064</v>
      </c>
      <c r="AD139" s="39">
        <v>0</v>
      </c>
      <c r="AE139" s="4" t="s">
        <v>45</v>
      </c>
      <c r="AF139" s="4" t="s">
        <v>45</v>
      </c>
      <c r="AG139" s="4" t="s">
        <v>45</v>
      </c>
      <c r="AH139" s="4" t="s">
        <v>45</v>
      </c>
      <c r="AI139" s="4">
        <v>1.2</v>
      </c>
      <c r="AJ139" s="4" t="s">
        <v>996</v>
      </c>
      <c r="AK139" s="4">
        <v>0</v>
      </c>
      <c r="AL139" s="4" t="s">
        <v>1009</v>
      </c>
      <c r="AM139" s="4">
        <v>0</v>
      </c>
      <c r="AN139" s="4">
        <v>0.1</v>
      </c>
      <c r="AO139" s="4">
        <v>0.3</v>
      </c>
      <c r="AP139" s="4" t="s">
        <v>45</v>
      </c>
      <c r="AQ139" s="4">
        <v>0</v>
      </c>
      <c r="AR139" s="4" t="s">
        <v>673</v>
      </c>
      <c r="AS139" s="4">
        <v>0</v>
      </c>
      <c r="AT139" s="4">
        <v>0</v>
      </c>
      <c r="AU139" s="4">
        <v>0</v>
      </c>
      <c r="AV139" s="4" t="s">
        <v>45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1</v>
      </c>
      <c r="BC139" s="4">
        <v>1</v>
      </c>
      <c r="BD139" s="4">
        <v>0</v>
      </c>
      <c r="BE139" s="4">
        <v>0</v>
      </c>
      <c r="BF139" s="4">
        <v>0</v>
      </c>
      <c r="BG139" s="39">
        <v>0.5</v>
      </c>
      <c r="BH139" s="39">
        <v>0.1</v>
      </c>
      <c r="BI139" s="39">
        <v>2.5000000000000001E-2</v>
      </c>
      <c r="BJ139" s="39" t="s">
        <v>1080</v>
      </c>
      <c r="BK139" s="39">
        <v>0</v>
      </c>
      <c r="BL139" s="39">
        <v>0</v>
      </c>
      <c r="BM139" s="39">
        <v>0</v>
      </c>
    </row>
    <row r="140" spans="1:65" s="16" customFormat="1" x14ac:dyDescent="0.25">
      <c r="A140" s="16" t="s">
        <v>2172</v>
      </c>
      <c r="B140" s="39">
        <v>1</v>
      </c>
      <c r="C140" s="39">
        <v>1.1000000000000001</v>
      </c>
      <c r="D140" s="39">
        <v>0</v>
      </c>
      <c r="E140" s="39">
        <v>1</v>
      </c>
      <c r="F140" s="39">
        <v>0</v>
      </c>
      <c r="G140" s="39">
        <v>0</v>
      </c>
      <c r="H140" s="40">
        <f>AVERAGE(169.2,194.5)</f>
        <v>181.85</v>
      </c>
      <c r="I140" s="41">
        <f>AVERAGE(12.22%,12.21%)</f>
        <v>0.12215000000000001</v>
      </c>
      <c r="J140" s="39">
        <v>0.89</v>
      </c>
      <c r="K140" s="39">
        <v>0.32</v>
      </c>
      <c r="L140" s="39">
        <v>1</v>
      </c>
      <c r="M140" s="39">
        <v>1</v>
      </c>
      <c r="N140" s="4" t="s">
        <v>938</v>
      </c>
      <c r="O140" s="4">
        <v>0</v>
      </c>
      <c r="P140" s="4">
        <v>0</v>
      </c>
      <c r="Q140" s="4" t="s">
        <v>45</v>
      </c>
      <c r="R140" s="4" t="s">
        <v>45</v>
      </c>
      <c r="S140" s="4" t="s">
        <v>45</v>
      </c>
      <c r="T140" s="4" t="s">
        <v>45</v>
      </c>
      <c r="U140" s="4" t="s">
        <v>45</v>
      </c>
      <c r="V140" s="4" t="s">
        <v>45</v>
      </c>
      <c r="W140" s="4" t="s">
        <v>45</v>
      </c>
      <c r="X140" s="4" t="s">
        <v>45</v>
      </c>
      <c r="Y140" s="4" t="s">
        <v>45</v>
      </c>
      <c r="Z140" s="4">
        <v>1.2</v>
      </c>
      <c r="AA140" s="4" t="s">
        <v>974</v>
      </c>
      <c r="AB140" s="4" t="s">
        <v>976</v>
      </c>
      <c r="AC140" s="4" t="s">
        <v>1064</v>
      </c>
      <c r="AD140" s="39">
        <v>1</v>
      </c>
      <c r="AE140" s="4">
        <v>1.1000000000000001</v>
      </c>
      <c r="AF140" s="4" t="s">
        <v>1321</v>
      </c>
      <c r="AG140" s="4" t="s">
        <v>993</v>
      </c>
      <c r="AH140" s="4" t="s">
        <v>952</v>
      </c>
      <c r="AI140" s="4">
        <v>1</v>
      </c>
      <c r="AJ140" s="4" t="s">
        <v>999</v>
      </c>
      <c r="AK140" s="4">
        <v>0</v>
      </c>
      <c r="AL140" s="4" t="s">
        <v>1316</v>
      </c>
      <c r="AM140" s="4">
        <v>0</v>
      </c>
      <c r="AN140" s="4">
        <v>0.1</v>
      </c>
      <c r="AO140" s="4">
        <v>1</v>
      </c>
      <c r="AP140" s="4" t="s">
        <v>45</v>
      </c>
      <c r="AQ140" s="4">
        <v>0</v>
      </c>
      <c r="AR140" s="4" t="s">
        <v>673</v>
      </c>
      <c r="AS140" s="4">
        <v>1</v>
      </c>
      <c r="AT140" s="4">
        <v>0</v>
      </c>
      <c r="AU140" s="4">
        <v>0</v>
      </c>
      <c r="AV140" s="4" t="s">
        <v>45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1</v>
      </c>
      <c r="BD140" s="4">
        <v>0</v>
      </c>
      <c r="BE140" s="4">
        <v>0</v>
      </c>
      <c r="BF140" s="4">
        <v>0</v>
      </c>
      <c r="BG140" s="39">
        <v>0.5</v>
      </c>
      <c r="BH140" s="39">
        <v>0.15</v>
      </c>
      <c r="BI140" s="39">
        <v>2.5000000000000001E-2</v>
      </c>
      <c r="BJ140" s="39" t="s">
        <v>1083</v>
      </c>
      <c r="BK140" s="39">
        <v>1</v>
      </c>
      <c r="BL140" s="39">
        <v>1</v>
      </c>
      <c r="BM140" s="39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1261-81A3-4675-A8FB-732B561D2319}">
  <dimension ref="A1:BX951"/>
  <sheetViews>
    <sheetView tabSelected="1" topLeftCell="A264" zoomScaleNormal="100" workbookViewId="0">
      <pane xSplit="1" topLeftCell="AC1" activePane="topRight" state="frozen"/>
      <selection pane="topRight" activeCell="AI294" sqref="AI294"/>
    </sheetView>
  </sheetViews>
  <sheetFormatPr defaultColWidth="12.85546875" defaultRowHeight="15" x14ac:dyDescent="0.25"/>
  <cols>
    <col min="1" max="1" width="28.7109375" style="5" bestFit="1" customWidth="1"/>
    <col min="2" max="2" width="36.140625" style="12" bestFit="1" customWidth="1"/>
    <col min="3" max="3" width="14.28515625" style="7" bestFit="1" customWidth="1"/>
    <col min="4" max="4" width="10.5703125" style="7" customWidth="1"/>
    <col min="5" max="5" width="38.85546875" style="7" bestFit="1" customWidth="1"/>
    <col min="6" max="6" width="20.42578125" style="7" bestFit="1" customWidth="1"/>
    <col min="7" max="7" width="30" style="7" customWidth="1"/>
    <col min="8" max="8" width="15.140625" style="7" customWidth="1"/>
    <col min="9" max="9" width="23.5703125" style="4" customWidth="1"/>
    <col min="10" max="10" width="20.42578125" style="7" bestFit="1" customWidth="1"/>
    <col min="11" max="11" width="8.28515625" style="7" customWidth="1"/>
    <col min="12" max="12" width="8.28515625" style="7" bestFit="1" customWidth="1"/>
    <col min="13" max="13" width="9.42578125" style="7" customWidth="1"/>
    <col min="14" max="14" width="19" style="7" bestFit="1" customWidth="1"/>
    <col min="15" max="15" width="18.85546875" style="4" bestFit="1" customWidth="1"/>
    <col min="16" max="16" width="26.85546875" style="4" bestFit="1" customWidth="1"/>
    <col min="17" max="17" width="27.140625" style="4" bestFit="1" customWidth="1"/>
    <col min="18" max="18" width="15.42578125" style="4" bestFit="1" customWidth="1"/>
    <col min="19" max="19" width="17.5703125" style="4" bestFit="1" customWidth="1"/>
    <col min="20" max="20" width="18" style="4" bestFit="1" customWidth="1"/>
    <col min="21" max="21" width="13.7109375" style="4" bestFit="1" customWidth="1"/>
    <col min="22" max="22" width="14.85546875" style="4" bestFit="1" customWidth="1"/>
    <col min="23" max="23" width="20.28515625" style="4" bestFit="1" customWidth="1"/>
    <col min="24" max="24" width="27.28515625" style="4" bestFit="1" customWidth="1"/>
    <col min="25" max="25" width="16.28515625" style="16" bestFit="1" customWidth="1"/>
    <col min="26" max="26" width="16.42578125" style="16" bestFit="1" customWidth="1"/>
    <col min="27" max="27" width="23.85546875" style="4" bestFit="1" customWidth="1"/>
    <col min="28" max="28" width="13.5703125" style="4" bestFit="1" customWidth="1"/>
    <col min="29" max="29" width="36.42578125" style="4" bestFit="1" customWidth="1"/>
    <col min="30" max="30" width="35.5703125" style="4" bestFit="1" customWidth="1"/>
    <col min="31" max="31" width="32.5703125" style="4" bestFit="1" customWidth="1"/>
    <col min="32" max="32" width="14.5703125" style="4" bestFit="1" customWidth="1"/>
    <col min="33" max="33" width="23" style="49" bestFit="1" customWidth="1"/>
    <col min="34" max="34" width="30" style="4" bestFit="1" customWidth="1"/>
    <col min="35" max="35" width="12.7109375" bestFit="1" customWidth="1"/>
    <col min="36" max="36" width="8.85546875" style="16" bestFit="1" customWidth="1"/>
    <col min="37" max="37" width="10.85546875" style="16" bestFit="1" customWidth="1"/>
    <col min="38" max="38" width="15.5703125" bestFit="1" customWidth="1"/>
    <col min="39" max="39" width="6.42578125" style="16" bestFit="1" customWidth="1"/>
    <col min="40" max="40" width="23.28515625" style="7" bestFit="1" customWidth="1"/>
    <col min="41" max="41" width="23.42578125" style="4" bestFit="1" customWidth="1"/>
    <col min="42" max="42" width="13.5703125" style="2" bestFit="1" customWidth="1"/>
    <col min="43" max="43" width="19" style="2" bestFit="1" customWidth="1"/>
    <col min="44" max="44" width="26.7109375" style="2" bestFit="1" customWidth="1"/>
    <col min="45" max="45" width="28.5703125" style="2" bestFit="1" customWidth="1"/>
    <col min="46" max="46" width="22.28515625" style="2" bestFit="1" customWidth="1"/>
    <col min="47" max="47" width="33.42578125" style="2" bestFit="1" customWidth="1"/>
    <col min="48" max="48" width="14" style="46" bestFit="1" customWidth="1"/>
    <col min="49" max="49" width="25" style="2" bestFit="1" customWidth="1"/>
    <col min="50" max="50" width="20.85546875" style="2" bestFit="1" customWidth="1"/>
    <col min="51" max="51" width="20" style="2" bestFit="1" customWidth="1"/>
    <col min="52" max="52" width="19.7109375" style="2" bestFit="1" customWidth="1"/>
    <col min="53" max="53" width="22.85546875" style="2" bestFit="1" customWidth="1"/>
    <col min="54" max="54" width="11.85546875" style="2" bestFit="1" customWidth="1"/>
    <col min="55" max="55" width="12.42578125" style="2" bestFit="1" customWidth="1"/>
    <col min="56" max="56" width="12.7109375" style="2" bestFit="1" customWidth="1"/>
    <col min="57" max="57" width="12.5703125" style="2" bestFit="1" customWidth="1"/>
    <col min="58" max="58" width="14.7109375" style="2" bestFit="1" customWidth="1"/>
    <col min="59" max="59" width="18.5703125" style="2" bestFit="1" customWidth="1"/>
    <col min="60" max="60" width="15.5703125" style="2" bestFit="1" customWidth="1"/>
    <col min="61" max="61" width="19.42578125" style="2" bestFit="1" customWidth="1"/>
    <col min="62" max="62" width="13.7109375" style="2" bestFit="1" customWidth="1"/>
    <col min="63" max="63" width="14.5703125" style="2" bestFit="1" customWidth="1"/>
    <col min="64" max="64" width="18.140625" style="2" bestFit="1" customWidth="1"/>
    <col min="65" max="65" width="19.42578125" style="2" bestFit="1" customWidth="1"/>
    <col min="66" max="66" width="13.7109375" style="2" bestFit="1" customWidth="1"/>
    <col min="67" max="67" width="20.140625" style="2" bestFit="1" customWidth="1"/>
    <col min="68" max="68" width="29.85546875" style="2" bestFit="1" customWidth="1"/>
    <col min="69" max="69" width="30" style="2" bestFit="1" customWidth="1"/>
    <col min="70" max="70" width="24.140625" style="2" bestFit="1" customWidth="1"/>
    <col min="71" max="71" width="22.85546875" style="2" bestFit="1" customWidth="1"/>
    <col min="72" max="72" width="25.140625" style="2" bestFit="1" customWidth="1"/>
    <col min="73" max="73" width="25.28515625" style="2" bestFit="1" customWidth="1"/>
    <col min="74" max="74" width="18" style="2" bestFit="1" customWidth="1"/>
    <col min="75" max="75" width="21.42578125" style="4" bestFit="1" customWidth="1"/>
    <col min="76" max="76" width="23.5703125" style="4" bestFit="1" customWidth="1"/>
  </cols>
  <sheetData>
    <row r="1" spans="1:76" x14ac:dyDescent="0.25">
      <c r="A1" s="36" t="s">
        <v>0</v>
      </c>
      <c r="B1" s="32" t="s">
        <v>232</v>
      </c>
      <c r="C1" s="38" t="s">
        <v>231</v>
      </c>
      <c r="D1" s="38" t="s">
        <v>233</v>
      </c>
      <c r="E1" s="38" t="s">
        <v>36</v>
      </c>
      <c r="F1" s="38" t="s">
        <v>497</v>
      </c>
      <c r="G1" s="38" t="s">
        <v>498</v>
      </c>
      <c r="H1" s="38" t="s">
        <v>21</v>
      </c>
      <c r="I1" s="29" t="s">
        <v>1107</v>
      </c>
      <c r="J1" s="38" t="s">
        <v>22</v>
      </c>
      <c r="K1" s="38" t="s">
        <v>233</v>
      </c>
      <c r="L1" s="38" t="s">
        <v>625</v>
      </c>
      <c r="M1" s="38" t="s">
        <v>233</v>
      </c>
      <c r="N1" s="29" t="s">
        <v>1055</v>
      </c>
      <c r="O1" s="29" t="s">
        <v>1054</v>
      </c>
      <c r="P1" s="29" t="s">
        <v>920</v>
      </c>
      <c r="Q1" s="29" t="s">
        <v>921</v>
      </c>
      <c r="R1" s="29" t="s">
        <v>933</v>
      </c>
      <c r="S1" s="29" t="s">
        <v>945</v>
      </c>
      <c r="T1" s="29" t="s">
        <v>1011</v>
      </c>
      <c r="U1" s="29" t="s">
        <v>250</v>
      </c>
      <c r="V1" s="29" t="s">
        <v>249</v>
      </c>
      <c r="W1" s="29" t="s">
        <v>251</v>
      </c>
      <c r="X1" s="29" t="s">
        <v>652</v>
      </c>
      <c r="Y1" s="43" t="s">
        <v>37</v>
      </c>
      <c r="Z1" s="43" t="s">
        <v>1327</v>
      </c>
      <c r="AA1" s="29" t="s">
        <v>1021</v>
      </c>
      <c r="AB1" s="29" t="s">
        <v>1325</v>
      </c>
      <c r="AC1" s="29" t="s">
        <v>1022</v>
      </c>
      <c r="AD1" s="29" t="s">
        <v>1023</v>
      </c>
      <c r="AE1" s="4" t="s">
        <v>1042</v>
      </c>
      <c r="AF1" s="29" t="s">
        <v>310</v>
      </c>
      <c r="AG1" s="49" t="s">
        <v>662</v>
      </c>
      <c r="AH1" s="29" t="s">
        <v>1322</v>
      </c>
      <c r="AI1" s="29" t="s">
        <v>1052</v>
      </c>
      <c r="AJ1" s="29" t="s">
        <v>1051</v>
      </c>
      <c r="AK1" s="29" t="s">
        <v>1053</v>
      </c>
      <c r="AL1" s="29" t="s">
        <v>919</v>
      </c>
      <c r="AM1" s="29" t="s">
        <v>1094</v>
      </c>
      <c r="AN1" s="38" t="s">
        <v>623</v>
      </c>
      <c r="AO1" s="30" t="s">
        <v>241</v>
      </c>
      <c r="AP1" s="30" t="s">
        <v>295</v>
      </c>
      <c r="AQ1" s="30" t="s">
        <v>296</v>
      </c>
      <c r="AR1" s="30" t="s">
        <v>33</v>
      </c>
      <c r="AS1" s="30" t="s">
        <v>34</v>
      </c>
      <c r="AT1" s="30" t="s">
        <v>35</v>
      </c>
      <c r="AU1" s="30" t="s">
        <v>1092</v>
      </c>
      <c r="AV1" s="45" t="s">
        <v>1058</v>
      </c>
      <c r="AW1" s="30" t="s">
        <v>1059</v>
      </c>
      <c r="AX1" s="30" t="s">
        <v>1061</v>
      </c>
      <c r="AY1" s="30" t="s">
        <v>1062</v>
      </c>
      <c r="AZ1" s="30" t="s">
        <v>1063</v>
      </c>
      <c r="BA1" s="30" t="s">
        <v>1093</v>
      </c>
      <c r="BB1" s="30" t="s">
        <v>1099</v>
      </c>
      <c r="BC1" s="30" t="s">
        <v>1103</v>
      </c>
      <c r="BD1" s="30" t="s">
        <v>1098</v>
      </c>
      <c r="BE1" s="30" t="s">
        <v>1072</v>
      </c>
      <c r="BF1" s="30" t="s">
        <v>1075</v>
      </c>
      <c r="BG1" s="30" t="s">
        <v>243</v>
      </c>
      <c r="BH1" s="30" t="s">
        <v>234</v>
      </c>
      <c r="BI1" s="30" t="s">
        <v>268</v>
      </c>
      <c r="BJ1" s="30" t="s">
        <v>242</v>
      </c>
      <c r="BK1" s="30" t="s">
        <v>1067</v>
      </c>
      <c r="BL1" s="30" t="s">
        <v>1071</v>
      </c>
      <c r="BM1" s="30" t="s">
        <v>1069</v>
      </c>
      <c r="BN1" s="30" t="s">
        <v>1073</v>
      </c>
      <c r="BO1" s="30" t="s">
        <v>1074</v>
      </c>
      <c r="BP1" s="30" t="s">
        <v>256</v>
      </c>
      <c r="BQ1" s="30" t="s">
        <v>252</v>
      </c>
      <c r="BR1" s="30" t="s">
        <v>261</v>
      </c>
      <c r="BS1" s="30" t="s">
        <v>255</v>
      </c>
      <c r="BT1" s="30" t="s">
        <v>257</v>
      </c>
      <c r="BU1" s="30" t="s">
        <v>254</v>
      </c>
      <c r="BV1" s="30" t="s">
        <v>253</v>
      </c>
      <c r="BW1" s="29" t="s">
        <v>1109</v>
      </c>
      <c r="BX1" s="29" t="s">
        <v>1108</v>
      </c>
    </row>
    <row r="2" spans="1:76" x14ac:dyDescent="0.25">
      <c r="A2" s="26" t="s">
        <v>172</v>
      </c>
      <c r="B2" s="6" t="s">
        <v>173</v>
      </c>
      <c r="C2" s="7">
        <f>AVERAGE(407.1,226.7)</f>
        <v>316.89999999999998</v>
      </c>
      <c r="D2" s="7" t="s">
        <v>926</v>
      </c>
      <c r="E2" s="7" t="str">
        <f>Groups!$A$63</f>
        <v>Bear</v>
      </c>
      <c r="F2" s="7">
        <v>65</v>
      </c>
      <c r="G2" s="7">
        <f>1734/365</f>
        <v>4.7506849315068491</v>
      </c>
      <c r="H2" s="7">
        <v>43.8</v>
      </c>
      <c r="I2" s="4">
        <v>0</v>
      </c>
      <c r="J2" s="7">
        <v>2</v>
      </c>
      <c r="K2" s="7" t="s">
        <v>499</v>
      </c>
      <c r="L2" s="7">
        <v>40</v>
      </c>
      <c r="M2" s="7" t="s">
        <v>626</v>
      </c>
      <c r="N2" s="4">
        <v>0</v>
      </c>
      <c r="O2" s="4">
        <v>0</v>
      </c>
      <c r="P2" s="4">
        <v>0</v>
      </c>
      <c r="Q2" s="4">
        <v>0</v>
      </c>
      <c r="R2" s="4" t="s">
        <v>40</v>
      </c>
      <c r="S2" s="7">
        <f>_xlfn.XLOOKUP(B2,[1]TeethAdjusters!$A:$A,[1]BiteAdjusters!$C:$C,1)</f>
        <v>0.92926025227234477</v>
      </c>
      <c r="T2" s="7">
        <f>_xlfn.XLOOKUP(B2,[1]TeethAdjusters!$A:$A,[1]TeethAdjusters!$B:$B,1)</f>
        <v>0.83672459442041081</v>
      </c>
      <c r="U2" s="7">
        <f>MROUND(9.525,0.05)</f>
        <v>9.5500000000000007</v>
      </c>
      <c r="V2" s="7">
        <f>IF(AT2="No","No",IF(_xlfn.XLOOKUP(E2,Groups!A:A,Groups!AM:AM)=1,MROUND(EXP(0.3582*LN(C2)-0.2221)*T2,0.05),IF(_xlfn.XLOOKUP(E2,Groups!A:A,Groups!AM:AM)=2,MROUND(EXP(0.3582*LN(C2)-0.2221)*T2,0.05),"Need a formula")))</f>
        <v>5.25</v>
      </c>
      <c r="W2" s="7" t="s">
        <v>45</v>
      </c>
      <c r="X2" s="7" t="s">
        <v>932</v>
      </c>
      <c r="Y2" s="4" t="s">
        <v>56</v>
      </c>
      <c r="Z2" s="4">
        <v>1</v>
      </c>
      <c r="AA2" s="4">
        <v>0</v>
      </c>
      <c r="AB2" s="4">
        <v>0</v>
      </c>
      <c r="AC2" s="4">
        <v>0</v>
      </c>
      <c r="AD2" s="4">
        <v>0</v>
      </c>
      <c r="AE2" s="4" t="s">
        <v>45</v>
      </c>
      <c r="AF2" s="4" t="s">
        <v>45</v>
      </c>
      <c r="AG2" s="49" t="s">
        <v>374</v>
      </c>
      <c r="AH2" s="4" t="str">
        <f>Animals!$C$3</f>
        <v>&lt;li&gt;Bear_Grizzly&lt;/li&gt;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4" t="s">
        <v>40</v>
      </c>
      <c r="AO2" s="8">
        <f t="shared" ref="AO2" si="0">(0.111*C2^0.65)*10000</f>
        <v>46872.965874759968</v>
      </c>
      <c r="AP2" s="8">
        <f>IFERROR(C2*_xlfn.XLOOKUP(E2,Groups!A:A,Groups!K:K),0.106*C2^0.94)</f>
        <v>39.533274999999996</v>
      </c>
      <c r="AQ2" s="8">
        <f>AP2*10000/(_xlfn.XLOOKUP(E2,Groups!A:A,Groups!J:J)*AO2)</f>
        <v>7.7377351648570594</v>
      </c>
      <c r="AR2" s="8">
        <f t="shared" ref="AR2" si="1">EXP(0.8447*LN(C2)+3.996)</f>
        <v>7046.440110974886</v>
      </c>
      <c r="AS2" s="8">
        <f>IF(_xlfn.XLOOKUP(E2,Groups!A:A,Groups!M:M)=1,EXP(0.7444*LN('Base stats'!C2)+6.5696),EXP(0.7927*LN('Base stats'!C2)+4.28))</f>
        <v>6938.4336807431037</v>
      </c>
      <c r="AT2" s="8">
        <f>IF(_xlfn.XLOOKUP(E2,Groups!A:A,Groups!N:N)="No","No",
IF(_xlfn.XLOOKUP(E2,Groups!A:A,Groups!N:N)="Crocodile",EXP(0.8129*LN(C2)+4.6742)*S2,
IF(_xlfn.XLOOKUP(E2,Groups!A:A,Groups!N:N)="Felid",EXP(0.7843*LN(C2)+4.7073)*S2,
IF(_xlfn.XLOOKUP(E2,Groups!A:A,Groups!N:N)="Canid",EXP(0.8367*LN(C2)+4.8763)*S2,
IF(_xlfn.XLOOKUP(E2,Groups!A:A,Groups!N:N)="Pig",EXP(0.3439*LN(C2)+6.8519)*S2,
IF(_xlfn.XLOOKUP(E2,Groups!A:A,Groups!N:N)="Rodent",EXP(0.5625*LN(C2)+4.3006)*S2,
IF(_xlfn.XLOOKUP(E2,Groups!A:A,Groups!N:N)="Primate",EXP(0.7847*LN(C2)+3.4931)*S2,
IF(_xlfn.XLOOKUP(E2,Groups!A:A,Groups!N:N)="MiscCarnivora",EXP(0.7486*LN(C2)+4.2207)*S2,
IF(_xlfn.XLOOKUP(E2,Groups!A:A,Groups!N:N)="Lizard",EXP(0.7733*LN(C2)+5.5303)*S2,
IF(_xlfn.XLOOKUP(E2,Groups!A:A,Groups!N:N)="Snake",50*C2^(2/3)*S2,
IF(_xlfn.XLOOKUP(E2,Groups!A:A,Groups!N:N)="StrongBitingHerbivore",87.1133638856975*C2^(2/3)*S2,
IF(_xlfn.XLOOKUP(E2,Groups!A:A,Groups!N:N)="MiscEctotherms",59.4316884072269*C2^(2/3)*S2,
IF(_xlfn.XLOOKUP(E2,Groups!A:A,Groups!N:N)="StrongBeakBird",0.041*(C2*1000)^1.375*S2,
IF(_xlfn.XLOOKUP(E2,Groups!A:A,Groups!N:N)="Bird",0.118*(C2*1000)^0.692*S2,
IF(_xlfn.XLOOKUP(E2,Groups!A:A,Groups!N:N)="Insect",EXP(0.7444*LN(C2)+6.5696)*S2,
IF(_xlfn.XLOOKUP(E2,Groups!A:A,Groups!N:N)="Theropod",EXP(0.6966*LN(C2)+4.158)*S2,
"No"))))))))))))))))</f>
        <v>4713.6189296743614</v>
      </c>
      <c r="AU2" s="8">
        <f>IF(_xlfn.XLOOKUP(E2,Groups!A:A,Groups!U:U)=3,AS2,IF(_xlfn.XLOOKUP(E2,Groups!A:A,Groups!U:U)=2,AR2,AT2))</f>
        <v>4713.6189296743614</v>
      </c>
      <c r="AV2" s="46">
        <f>IFERROR(AVERAGE(_xlfn.XLOOKUP(B2,Animals!B:B,Animals!N:N),_xlfn.XLOOKUP(B2,Animals!B:B,Animals!O:O)),0)</f>
        <v>0</v>
      </c>
      <c r="AW2" s="8">
        <f>MROUND(40*Animals!AO2*_xlfn.XLOOKUP(AG2,Leathers!$A$2:$A$99,Leathers!$B$2:$B$99,0)+(140*_xlfn.XLOOKUP(B2,Animals!B:B,Animals!AO:AO)*2),5)</f>
        <v>990</v>
      </c>
      <c r="AX2" s="8">
        <f>IFERROR(ROUND(SQRT(V2-1)*IF(_xlfn.XLOOKUP(E2,Groups!A:A,Groups!BF:BF)=0,2,1)*IF(_xlfn.XLOOKUP('Base stats'!E2,Groups!A:A,Groups!O:O)=0,1,0.1),1),0)</f>
        <v>4.0999999999999996</v>
      </c>
      <c r="AY2" s="8">
        <f t="shared" ref="AY2" si="2">IFERROR(ROUND(SQRT(U2-1),1),0)</f>
        <v>2.9</v>
      </c>
      <c r="AZ2" s="8">
        <f t="shared" ref="AZ2" si="3">IFERROR(ROUND(SQRT(W2),1),0)</f>
        <v>0</v>
      </c>
      <c r="BA2" s="8">
        <f t="shared" ref="BA2" si="4">ROUND(
  EXP(0.3582*LN(C2)-0.2221) *
  (0.75 + 0.25*(C2^4/(C2^4+10^4))),
1)</f>
        <v>6.3</v>
      </c>
      <c r="BB2" s="8">
        <f>IF(_xlfn.XLOOKUP(E2,Groups!A:A,Groups!N:N)="Insect",BD2*2.5,IFERROR(AVERAGE(BD2,AT2/9.81/IF(OR(_xlfn.XLOOKUP(E2,Groups!A:A,Groups!N:N)="Pig",_xlfn.XLOOKUP(E2,Groups!A:A,Groups!N:N)="StrongBitingHerbivore"),20,25))*C2^-0.135,BD2))</f>
        <v>5.4953225832400276</v>
      </c>
      <c r="BC2" s="8" t="str">
        <f>IF(W2="No","No",IF(_xlfn.XLOOKUP(E2,Groups!A:A,Groups!U:U)=1,'Base stats'!BB2,IF(OR(_xlfn.XLOOKUP(E2,Groups!A:A,Groups!BD:BD)=1,_xlfn.XLOOKUP(E2,Groups!A:A,Groups!U:U)=2),BD2,IF(_xlfn.XLOOKUP(B2,Animals!B:B,Animals!AO:AO)&gt;4,AVERAGE(BD2,BF2),BF2))))</f>
        <v>No</v>
      </c>
      <c r="BD2" s="8">
        <f t="shared" ref="BD2" si="5">(0.0392*C2^IF(OR(Y2="Herbivore",Y2="Dendrovore",Y2="OmnivoreRough"),0.889,0.966))*C2^-0.135</f>
        <v>4.6941011943922941</v>
      </c>
      <c r="BE2" s="8">
        <f>IF(_xlfn.XLOOKUP(E2,Groups!A:A,Groups!BE:BE)=1,(0.048*C2^1.01)+(0.071*C2^1.03),0.071*C2^1.03)/IF(_xlfn.XLOOKUP(E2,Groups!A:A,Groups!M:M)=1,0.85,IF(OR(_xlfn.XLOOKUP(B2,Animals!B:B,Animals!AO:AO)&gt;4,_xlfn.XLOOKUP(E2,Groups!A:A,Groups!BC:BC)=1),1.7,1))*C2^-0.25</f>
        <v>6.3383715749628555</v>
      </c>
      <c r="BF2" s="8">
        <f>(0.048*C2^1.01)/IF(_xlfn.XLOOKUP(E2,Groups!A:A,Groups!M:M)=1,0.25,0.8)*C2^-0.25</f>
        <v>4.7736673497838202</v>
      </c>
      <c r="BG2" s="8">
        <f>EXP(1.076*LN(AR2)-4.5397)*IF(_xlfn.XLOOKUP(E2,Groups!A:A,Groups!BC:BC)=1,1.25,IF(_xlfn.XLOOKUP(E2,Groups!A:A,Groups!BD:BD)=1,3.5,2.5))</f>
        <v>368.79822015740808</v>
      </c>
      <c r="BH2" s="8">
        <f>EXP(1.076*LN(AS2)-4.5397)*IF(_xlfn.XLOOKUP(E2,Groups!A:A,Groups!M:M)=1,0.8,IF(_xlfn.XLOOKUP(E2,Groups!A:A,Groups!BC:BC)=1,1.3,3))</f>
        <v>435.26315562346088</v>
      </c>
      <c r="BI2" s="8" t="str">
        <f>IF(W2="No","No",IF(_xlfn.XLOOKUP(E2,Groups!A:A,Groups!U:U)=1,'Base stats'!BJ2,IF(OR(_xlfn.XLOOKUP(E2,Groups!A:A,Groups!BD:BD)=1,_xlfn.XLOOKUP(E2,Groups!A:A,Groups!U:U)=2),BG2,BH2))*1.2)</f>
        <v>No</v>
      </c>
      <c r="BJ2" s="8">
        <f>IFERROR(EXP(1.076*LN(AT2)-4.5397)*IF(_xlfn.XLOOKUP(E2,Groups!A:A,Groups!N:N)="Insect",1,IF(OR(_xlfn.XLOOKUP(E2,Groups!A:A,Groups!N:N)="Pig",_xlfn.XLOOKUP(E2,Groups!A:A,Groups!N:N)="StrongBitingHerbivore"),3.5,3.75)),"No")</f>
        <v>358.91699017833798</v>
      </c>
      <c r="BK2" s="8">
        <f>ROUNDDOWN(SQRT((2*BG2)/BD2),0)</f>
        <v>12</v>
      </c>
      <c r="BL2" s="8">
        <f>ROUNDDOWN(SQRT((2*BH2)/BE2),0)</f>
        <v>11</v>
      </c>
      <c r="BM2" s="8" t="str">
        <f t="shared" ref="BM2" si="6">IF(W2="No","No",ROUNDDOWN(SQRT((2*BI2)/BC2),0))</f>
        <v>No</v>
      </c>
      <c r="BN2" s="8">
        <f t="shared" ref="BN2" si="7">IF(V2="No","No",ROUNDDOWN(SQRT((2*BJ2)/BB2),0))</f>
        <v>11</v>
      </c>
      <c r="BO2" s="8">
        <f>ROUNDDOWN(SQRT((2*BH2)/BF2),0)</f>
        <v>13</v>
      </c>
      <c r="BP2" s="8" cm="1">
        <f t="array" ref="BP2">IF(AND(_xlfn.XLOOKUP('Base stats'!E2,Groups!A:A,Groups!AD:AD=0),_xlfn.XLOOKUP('Base stats'!E2,Groups!A:A,Groups!P:P=0)),"No",IF(U2="No",AVERAGE(EXP(-0.57+0.99*LN(C2)),EXP(0.32+0.67*LN(C2)))/IF(_xlfn.XLOOKUP(E2,Groups!A:A,Groups!AD:AD)=1,10,2),(0.7354*C2^0.4078)*2/IF(_xlfn.XLOOKUP(E2,Groups!A:A,Groups!BK:BK)=1,1000,100)/IF(_xlfn.XLOOKUP(E2,Groups!A:A,Groups!AJ:AJ)="Photonozoa",3,1)))</f>
        <v>0.15396773123122506</v>
      </c>
      <c r="BQ2" s="8" t="str">
        <f>IF(W2="No","No",IF(_xlfn.XLOOKUP(E2,Groups!A:A,Groups!BD:BD)=1,(AO2*5%),EXP(0.7354*LN(C2)^0.4078)*2/IF(_xlfn.XLOOKUP(E2,Groups!A:A,Groups!BL:BL)=1,1000,100)/IF(_xlfn.XLOOKUP(E2,Groups!A:A,Groups!AJ:AJ)="Photonozoa",3,1)))</f>
        <v>No</v>
      </c>
      <c r="BR2" s="8">
        <f>IF(BJ2="No","No",IF(_xlfn.XLOOKUP(E2,Groups!A:A,Groups!BF:BF)=1,(0.0315*C2+2.1825)*2,(0.7354*C2^0.4078)*2)/IF(_xlfn.XLOOKUP(E2,Groups!A:A,Groups!BM:BM)=1,1000,100)/IF(_xlfn.XLOOKUP(E2,Groups!A:A,Groups!AJ:AJ)="Photonozoa",3,1))</f>
        <v>0.15396773123122506</v>
      </c>
      <c r="BS2" s="8">
        <f t="shared" ref="BS2" si="8">BG2/(AO2*5%)</f>
        <v>0.15736073588464672</v>
      </c>
      <c r="BT2" s="8">
        <f>IF(BP2="No","No",BH2/BP2)</f>
        <v>2826.9764848960012</v>
      </c>
      <c r="BU2" s="8" t="str">
        <f t="shared" ref="BU2" si="9">IF(W2="No","No",BI2/BQ2)</f>
        <v>No</v>
      </c>
      <c r="BV2" s="8">
        <f>IF(BJ2="No","No",BJ2/BR2)</f>
        <v>2331.1182629516375</v>
      </c>
      <c r="BW2" s="4">
        <v>0</v>
      </c>
      <c r="BX2" s="4">
        <v>1</v>
      </c>
    </row>
    <row r="3" spans="1:76" x14ac:dyDescent="0.25">
      <c r="A3" s="26" t="s">
        <v>175</v>
      </c>
      <c r="B3" s="6" t="s">
        <v>176</v>
      </c>
      <c r="C3" s="7">
        <f>AVERAGE(AVERAGE(268.7,174.9),AVERAGE(199.127,378.75))</f>
        <v>255.36924999999999</v>
      </c>
      <c r="D3" s="7" t="s">
        <v>927</v>
      </c>
      <c r="E3" s="7" t="str">
        <f>Groups!$A$63</f>
        <v>Bear</v>
      </c>
      <c r="F3" s="7">
        <v>103</v>
      </c>
      <c r="G3" s="7">
        <f>1313/365</f>
        <v>3.5972602739726027</v>
      </c>
      <c r="H3" s="7">
        <v>40</v>
      </c>
      <c r="I3" s="4">
        <v>0</v>
      </c>
      <c r="J3" s="7">
        <v>2</v>
      </c>
      <c r="K3" s="7" t="s">
        <v>500</v>
      </c>
      <c r="L3" s="7">
        <v>48</v>
      </c>
      <c r="M3" s="7" t="s">
        <v>626</v>
      </c>
      <c r="N3" s="4">
        <v>0</v>
      </c>
      <c r="O3" s="4">
        <v>0</v>
      </c>
      <c r="P3" s="4">
        <v>0</v>
      </c>
      <c r="Q3" s="4">
        <v>0</v>
      </c>
      <c r="R3" s="4" t="s">
        <v>40</v>
      </c>
      <c r="S3" s="7">
        <f>_xlfn.XLOOKUP(B3,[1]TeethAdjusters!$A:$A,[1]BiteAdjusters!$C:$C,1)</f>
        <v>0.99503981156163335</v>
      </c>
      <c r="T3" s="7">
        <f>_xlfn.XLOOKUP(B3,[1]TeethAdjusters!$A:$A,[1]TeethAdjusters!$B:$B,1)</f>
        <v>0.79656342827100557</v>
      </c>
      <c r="U3" s="7">
        <f>MROUND(7.62,0.05)</f>
        <v>7.6000000000000005</v>
      </c>
      <c r="V3" s="7">
        <f>IF(AT3="No","No",IF(_xlfn.XLOOKUP(E3,Groups!A:A,Groups!AM:AM)=1,MROUND(EXP(0.3582*LN(C3)-0.2221)*T3,0.05),IF(_xlfn.XLOOKUP(E3,Groups!A:A,Groups!AM:AM)=2,MROUND(EXP(0.3582*LN(C3)-0.2221)*T3,0.05),"Need a formula")))</f>
        <v>4.6500000000000004</v>
      </c>
      <c r="W3" s="7" t="s">
        <v>45</v>
      </c>
      <c r="X3" s="7" t="s">
        <v>932</v>
      </c>
      <c r="Y3" s="4" t="s">
        <v>53</v>
      </c>
      <c r="Z3" s="4">
        <v>1</v>
      </c>
      <c r="AA3" s="4">
        <v>0</v>
      </c>
      <c r="AB3" s="4">
        <v>0</v>
      </c>
      <c r="AC3" s="4">
        <v>0</v>
      </c>
      <c r="AD3" s="4">
        <v>0</v>
      </c>
      <c r="AE3" s="4" t="s">
        <v>45</v>
      </c>
      <c r="AF3" s="4" t="s">
        <v>45</v>
      </c>
      <c r="AG3" s="49" t="s">
        <v>374</v>
      </c>
      <c r="AH3" s="4" t="s">
        <v>45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4" t="s">
        <v>40</v>
      </c>
      <c r="AO3" s="8">
        <f t="shared" ref="AO3:AO66" si="10">(0.111*C3^0.65)*10000</f>
        <v>40736.392777747897</v>
      </c>
      <c r="AP3" s="8">
        <f>IFERROR(C3*_xlfn.XLOOKUP(E3,Groups!A:A,Groups!K:K),0.106*C3^0.94)</f>
        <v>31.857313937499999</v>
      </c>
      <c r="AQ3" s="8">
        <f>AP3*10000/(_xlfn.XLOOKUP(E3,Groups!A:A,Groups!J:J)*AO3)</f>
        <v>7.1746395612640699</v>
      </c>
      <c r="AR3" s="8">
        <f t="shared" ref="AR3:AR66" si="11">EXP(0.8447*LN(C3)+3.996)</f>
        <v>5871.8650646906135</v>
      </c>
      <c r="AS3" s="8">
        <f>IF(_xlfn.XLOOKUP(E3,Groups!A:A,Groups!M:M)=1,EXP(0.7444*LN('Base stats'!C3)+6.5696),EXP(0.7927*LN('Base stats'!C3)+4.28))</f>
        <v>5847.1324622769125</v>
      </c>
      <c r="AT3" s="8">
        <f>IF(_xlfn.XLOOKUP(E3,Groups!A:A,Groups!N:N)="No","No",
IF(_xlfn.XLOOKUP(E3,Groups!A:A,Groups!N:N)="Crocodile",EXP(0.8129*LN(C3)+4.6742)*S3,
IF(_xlfn.XLOOKUP(E3,Groups!A:A,Groups!N:N)="Felid",EXP(0.7843*LN(C3)+4.7073)*S3,
IF(_xlfn.XLOOKUP(E3,Groups!A:A,Groups!N:N)="Canid",EXP(0.8367*LN(C3)+4.8763)*S3,
IF(_xlfn.XLOOKUP(E3,Groups!A:A,Groups!N:N)="Pig",EXP(0.3439*LN(C3)+6.8519)*S3,
IF(_xlfn.XLOOKUP(E3,Groups!A:A,Groups!N:N)="Rodent",EXP(0.5625*LN(C3)+4.3006)*S3,
IF(_xlfn.XLOOKUP(E3,Groups!A:A,Groups!N:N)="Primate",EXP(0.7847*LN(C3)+3.4931)*S3,
IF(_xlfn.XLOOKUP(E3,Groups!A:A,Groups!N:N)="MiscCarnivora",EXP(0.7486*LN(C3)+4.2207)*S3,
IF(_xlfn.XLOOKUP(E3,Groups!A:A,Groups!N:N)="Lizard",EXP(0.7733*LN(C3)+5.5303)*S3,
IF(_xlfn.XLOOKUP(E3,Groups!A:A,Groups!N:N)="Snake",50*C3^(2/3)*S3,
IF(_xlfn.XLOOKUP(E3,Groups!A:A,Groups!N:N)="StrongBitingHerbivore",87.1133638856975*C3^(2/3)*S3,
IF(_xlfn.XLOOKUP(E3,Groups!A:A,Groups!N:N)="MiscEctotherms",59.4316884072269*C3^(2/3)*S3,
IF(_xlfn.XLOOKUP(E3,Groups!A:A,Groups!N:N)="StrongBeakBird",0.041*(C3*1000)^1.375*S3,
IF(_xlfn.XLOOKUP(E3,Groups!A:A,Groups!N:N)="Bird",0.118*(C3*1000)^0.692*S3,
IF(_xlfn.XLOOKUP(E3,Groups!A:A,Groups!N:N)="Insect",EXP(0.7444*LN(C3)+6.5696)*S3,
IF(_xlfn.XLOOKUP(E3,Groups!A:A,Groups!N:N)="Theropod",EXP(0.6966*LN(C3)+4.158)*S3,
"No"))))))))))))))))</f>
        <v>4294.1142156389687</v>
      </c>
      <c r="AU3" s="8">
        <f>IF(_xlfn.XLOOKUP(E3,Groups!A:A,Groups!U:U)=3,AS3,IF(_xlfn.XLOOKUP(E3,Groups!A:A,Groups!U:U)=2,AR3,AT3))</f>
        <v>4294.1142156389687</v>
      </c>
      <c r="AV3" s="46">
        <f>IFERROR(AVERAGE(_xlfn.XLOOKUP(B3,Animals!B:B,Animals!N:N),_xlfn.XLOOKUP(B3,Animals!B:B,Animals!O:O)),0)</f>
        <v>0</v>
      </c>
      <c r="AW3" s="8">
        <f>MROUND(40*Animals!AO3*_xlfn.XLOOKUP(AG3,Leathers!$A$2:$A$99,Leathers!$B$2:$B$99,0)+(140*_xlfn.XLOOKUP(B3,Animals!B:B,Animals!AO:AO)*2),5)</f>
        <v>880</v>
      </c>
      <c r="AX3" s="8">
        <f>IFERROR(ROUND(SQRT(V3-1)*IF(_xlfn.XLOOKUP(E3,Groups!A:A,Groups!BF:BF)=0,2,1)*IF(_xlfn.XLOOKUP('Base stats'!E3,Groups!A:A,Groups!O:O)=0,1,0.1),1),0)</f>
        <v>3.8</v>
      </c>
      <c r="AY3" s="8">
        <f t="shared" ref="AY3:AY66" si="12">IFERROR(ROUND(SQRT(U3-1),1),0)</f>
        <v>2.6</v>
      </c>
      <c r="AZ3" s="8">
        <f t="shared" ref="AZ3:AZ66" si="13">IFERROR(ROUND(SQRT(W3),1),0)</f>
        <v>0</v>
      </c>
      <c r="BA3" s="8">
        <f t="shared" ref="BA3:BA66" si="14">ROUND(
  EXP(0.3582*LN(C3)-0.2221) *
  (0.75 + 0.25*(C3^4/(C3^4+10^4))),
1)</f>
        <v>5.8</v>
      </c>
      <c r="BB3" s="8">
        <f>IF(_xlfn.XLOOKUP(E3,Groups!A:A,Groups!N:N)="Insect",BD3*2.5,IFERROR(AVERAGE(BD3,AT3/9.81/IF(OR(_xlfn.XLOOKUP(E3,Groups!A:A,Groups!N:N)="Pig",_xlfn.XLOOKUP(E3,Groups!A:A,Groups!N:N)="StrongBitingHerbivore"),20,25))*C3^-0.135,BD3))</f>
        <v>5.0707492684384547</v>
      </c>
      <c r="BC3" s="8" t="str">
        <f>IF(W3="No","No",IF(_xlfn.XLOOKUP(E3,Groups!A:A,Groups!U:U)=1,'Base stats'!BB3,IF(OR(_xlfn.XLOOKUP(E3,Groups!A:A,Groups!BD:BD)=1,_xlfn.XLOOKUP(E3,Groups!A:A,Groups!U:U)=2),BD3,IF(_xlfn.XLOOKUP(B3,Animals!B:B,Animals!AO:AO)&gt;4,AVERAGE(BD3,BF3),BF3))))</f>
        <v>No</v>
      </c>
      <c r="BD3" s="8">
        <f t="shared" ref="BD3:BD66" si="15">(0.0392*C3^IF(OR(Y3="Herbivore",Y3="Dendrovore",Y3="OmnivoreRough"),0.889,0.966))*C3^-0.135</f>
        <v>3.9232246249126477</v>
      </c>
      <c r="BE3" s="8">
        <f>IF(_xlfn.XLOOKUP(E3,Groups!A:A,Groups!BE:BE)=1,(0.048*C3^1.01)+(0.071*C3^1.03),0.071*C3^1.03)/IF(_xlfn.XLOOKUP(E3,Groups!A:A,Groups!M:M)=1,0.85,IF(OR(_xlfn.XLOOKUP(B3,Animals!B:B,Animals!AO:AO)&gt;4,_xlfn.XLOOKUP(E3,Groups!A:A,Groups!BC:BC)=1),1.7,1))*C3^-0.25</f>
        <v>5.3561145610936389</v>
      </c>
      <c r="BF3" s="8">
        <f>(0.048*C3^1.01)/IF(_xlfn.XLOOKUP(E3,Groups!A:A,Groups!M:M)=1,0.25,0.8)*C3^-0.25</f>
        <v>4.0513464851855776</v>
      </c>
      <c r="BG3" s="8">
        <f>EXP(1.076*LN(AR3)-4.5397)*IF(_xlfn.XLOOKUP(E3,Groups!A:A,Groups!BC:BC)=1,1.25,IF(_xlfn.XLOOKUP(E3,Groups!A:A,Groups!BD:BD)=1,3.5,2.5))</f>
        <v>303.09334256608031</v>
      </c>
      <c r="BH3" s="8">
        <f>EXP(1.076*LN(AS3)-4.5397)*IF(_xlfn.XLOOKUP(E3,Groups!A:A,Groups!M:M)=1,0.8,IF(_xlfn.XLOOKUP(E3,Groups!A:A,Groups!BC:BC)=1,1.3,3))</f>
        <v>362.06387124720493</v>
      </c>
      <c r="BI3" s="8" t="str">
        <f>IF(W3="No","No",IF(_xlfn.XLOOKUP(E3,Groups!A:A,Groups!U:U)=1,'Base stats'!BJ3,IF(OR(_xlfn.XLOOKUP(E3,Groups!A:A,Groups!BD:BD)=1,_xlfn.XLOOKUP(E3,Groups!A:A,Groups!U:U)=2),BG3,BH3))*1.2)</f>
        <v>No</v>
      </c>
      <c r="BJ3" s="8">
        <f>IFERROR(EXP(1.076*LN(AT3)-4.5397)*IF(_xlfn.XLOOKUP(E3,Groups!A:A,Groups!N:N)="Insect",1,IF(OR(_xlfn.XLOOKUP(E3,Groups!A:A,Groups!N:N)="Pig",_xlfn.XLOOKUP(E3,Groups!A:A,Groups!N:N)="StrongBitingHerbivore"),3.5,3.75)),"No")</f>
        <v>324.66583741526347</v>
      </c>
      <c r="BK3" s="8">
        <f t="shared" ref="BK3:BK66" si="16">ROUNDDOWN(SQRT((2*BG3)/BD3),0)</f>
        <v>12</v>
      </c>
      <c r="BL3" s="8">
        <f t="shared" ref="BL3:BL66" si="17">ROUNDDOWN(SQRT((2*BH3)/BE3),0)</f>
        <v>11</v>
      </c>
      <c r="BM3" s="8" t="str">
        <f t="shared" ref="BM3:BM66" si="18">IF(W3="No","No",ROUNDDOWN(SQRT((2*BI3)/BC3),0))</f>
        <v>No</v>
      </c>
      <c r="BN3" s="8">
        <f t="shared" ref="BN3:BN66" si="19">IF(V3="No","No",ROUNDDOWN(SQRT((2*BJ3)/BB3),0))</f>
        <v>11</v>
      </c>
      <c r="BO3" s="8">
        <f t="shared" ref="BO3:BO66" si="20">ROUNDDOWN(SQRT((2*BH3)/BF3),0)</f>
        <v>13</v>
      </c>
      <c r="BP3" s="8" cm="1">
        <f t="array" ref="BP3">IF(AND(_xlfn.XLOOKUP('Base stats'!E3,Groups!A:A,Groups!AD:AD=0),_xlfn.XLOOKUP('Base stats'!E3,Groups!A:A,Groups!P:P=0)),"No",IF(U3="No",AVERAGE(EXP(-0.57+0.99*LN(C3)),EXP(0.32+0.67*LN(C3)))/IF(_xlfn.XLOOKUP(E3,Groups!A:A,Groups!AD:AD)=1,10,2),(0.7354*C3^0.4078)*2/IF(_xlfn.XLOOKUP(E3,Groups!A:A,Groups!BK:BK)=1,1000,100)/IF(_xlfn.XLOOKUP(E3,Groups!A:A,Groups!AJ:AJ)="Photonozoa",3,1)))</f>
        <v>0.14099281341876332</v>
      </c>
      <c r="BQ3" s="8" t="str">
        <f>IF(W3="No","No",IF(_xlfn.XLOOKUP(E3,Groups!A:A,Groups!BD:BD)=1,(AO3*5%),EXP(0.7354*LN(C3)^0.4078)*2/IF(_xlfn.XLOOKUP(E3,Groups!A:A,Groups!BL:BL)=1,1000,100)/IF(_xlfn.XLOOKUP(E3,Groups!A:A,Groups!AJ:AJ)="Photonozoa",3,1)))</f>
        <v>No</v>
      </c>
      <c r="BR3" s="8">
        <f>IF(BJ3="No","No",IF(_xlfn.XLOOKUP(E3,Groups!A:A,Groups!BF:BF)=1,(0.0315*C3+2.1825)*2,(0.7354*C3^0.4078)*2)/IF(_xlfn.XLOOKUP(E3,Groups!A:A,Groups!BM:BM)=1,1000,100)/IF(_xlfn.XLOOKUP(E3,Groups!A:A,Groups!AJ:AJ)="Photonozoa",3,1))</f>
        <v>0.14099281341876332</v>
      </c>
      <c r="BS3" s="8">
        <f t="shared" ref="BS3:BS66" si="21">BG3/(AO3*5%)</f>
        <v>0.14880715836559977</v>
      </c>
      <c r="BT3" s="8">
        <f t="shared" ref="BT3:BT66" si="22">IF(BP3="No","No",BH3/BP3)</f>
        <v>2567.9597595647488</v>
      </c>
      <c r="BU3" s="8" t="str">
        <f t="shared" ref="BU3:BU66" si="23">IF(W3="No","No",BI3/BQ3)</f>
        <v>No</v>
      </c>
      <c r="BV3" s="8">
        <f t="shared" ref="BV3:BV66" si="24">IF(BJ3="No","No",BJ3/BR3)</f>
        <v>2302.7119577433509</v>
      </c>
      <c r="BW3" s="4">
        <v>0</v>
      </c>
      <c r="BX3" s="4">
        <v>1</v>
      </c>
    </row>
    <row r="4" spans="1:76" x14ac:dyDescent="0.25">
      <c r="A4" s="26" t="s">
        <v>177</v>
      </c>
      <c r="B4" s="6" t="s">
        <v>178</v>
      </c>
      <c r="C4" s="7">
        <v>6</v>
      </c>
      <c r="D4" s="7" t="s">
        <v>501</v>
      </c>
      <c r="E4" s="7" t="str">
        <f>Groups!$A$64</f>
        <v>Raccoon</v>
      </c>
      <c r="F4" s="7">
        <v>63</v>
      </c>
      <c r="G4" s="7">
        <f>365/365</f>
        <v>1</v>
      </c>
      <c r="H4" s="7">
        <v>21</v>
      </c>
      <c r="I4" s="4">
        <v>0</v>
      </c>
      <c r="J4" s="7">
        <v>4</v>
      </c>
      <c r="K4" s="7" t="s">
        <v>501</v>
      </c>
      <c r="L4" s="7">
        <v>24</v>
      </c>
      <c r="M4" s="7" t="s">
        <v>626</v>
      </c>
      <c r="N4" s="4">
        <v>0</v>
      </c>
      <c r="O4" s="4">
        <v>0</v>
      </c>
      <c r="P4" s="4">
        <v>0</v>
      </c>
      <c r="Q4" s="4">
        <v>0</v>
      </c>
      <c r="R4" s="4">
        <v>0.8</v>
      </c>
      <c r="S4" s="7">
        <f>_xlfn.XLOOKUP(B4,[1]TeethAdjusters!$A:$A,[1]BiteAdjusters!$C:$C,1)</f>
        <v>0.693033347467086</v>
      </c>
      <c r="T4" s="7">
        <f>_xlfn.XLOOKUP(B4,[1]TeethAdjusters!$A:$A,[1]TeethAdjusters!$B:$B,1)</f>
        <v>1.1605024511758444</v>
      </c>
      <c r="U4" s="7">
        <f>MROUND(1.27,0.05)</f>
        <v>1.25</v>
      </c>
      <c r="V4" s="7">
        <f>IF(AT4="No","No",IF(_xlfn.XLOOKUP(E4,Groups!A:A,Groups!AM:AM)=1,MROUND(EXP(0.3582*LN(C4)-0.2221)*T4,0.05),IF(_xlfn.XLOOKUP(E4,Groups!A:A,Groups!AM:AM)=2,MROUND(EXP(0.3582*LN(C4)-0.2221)*T4,0.05),"Need a formula")))</f>
        <v>1.75</v>
      </c>
      <c r="W4" s="7" t="s">
        <v>45</v>
      </c>
      <c r="X4" s="7" t="s">
        <v>932</v>
      </c>
      <c r="Y4" s="4" t="s">
        <v>53</v>
      </c>
      <c r="Z4" s="4">
        <v>1</v>
      </c>
      <c r="AA4" s="4">
        <v>0</v>
      </c>
      <c r="AB4" s="4">
        <v>0</v>
      </c>
      <c r="AC4" s="4">
        <v>0</v>
      </c>
      <c r="AD4" s="4">
        <v>0</v>
      </c>
      <c r="AE4" s="4" t="s">
        <v>45</v>
      </c>
      <c r="AF4" s="4" t="s">
        <v>45</v>
      </c>
      <c r="AG4" s="49" t="s">
        <v>385</v>
      </c>
      <c r="AH4" s="4" t="s">
        <v>45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4" t="s">
        <v>40</v>
      </c>
      <c r="AO4" s="8">
        <f t="shared" si="10"/>
        <v>3557.3065460643379</v>
      </c>
      <c r="AP4" s="8">
        <f>IFERROR(C4*_xlfn.XLOOKUP(E4,Groups!A:A,Groups!K:K),0.106*C4^0.94)</f>
        <v>0.74849999999999994</v>
      </c>
      <c r="AQ4" s="8">
        <f>AP4*10000/(_xlfn.XLOOKUP(E4,Groups!A:A,Groups!J:J)*AO4)</f>
        <v>1.9303853598621024</v>
      </c>
      <c r="AR4" s="8">
        <f t="shared" si="11"/>
        <v>247.02739061475725</v>
      </c>
      <c r="AS4" s="8">
        <f>IF(_xlfn.XLOOKUP(E4,Groups!A:A,Groups!M:M)=1,EXP(0.7444*LN('Base stats'!C4)+6.5696),EXP(0.7927*LN('Base stats'!C4)+4.28))</f>
        <v>298.96536520817432</v>
      </c>
      <c r="AT4" s="8">
        <f>IF(_xlfn.XLOOKUP(E4,Groups!A:A,Groups!N:N)="No","No",
IF(_xlfn.XLOOKUP(E4,Groups!A:A,Groups!N:N)="Crocodile",EXP(0.8129*LN(C4)+4.6742)*S4,
IF(_xlfn.XLOOKUP(E4,Groups!A:A,Groups!N:N)="Felid",EXP(0.7843*LN(C4)+4.7073)*S4,
IF(_xlfn.XLOOKUP(E4,Groups!A:A,Groups!N:N)="Canid",EXP(0.8367*LN(C4)+4.8763)*S4,
IF(_xlfn.XLOOKUP(E4,Groups!A:A,Groups!N:N)="Pig",EXP(0.3439*LN(C4)+6.8519)*S4,
IF(_xlfn.XLOOKUP(E4,Groups!A:A,Groups!N:N)="Rodent",EXP(0.5625*LN(C4)+4.3006)*S4,
IF(_xlfn.XLOOKUP(E4,Groups!A:A,Groups!N:N)="Primate",EXP(0.7847*LN(C4)+3.4931)*S4,
IF(_xlfn.XLOOKUP(E4,Groups!A:A,Groups!N:N)="MiscCarnivora",EXP(0.7486*LN(C4)+4.2207)*S4,
IF(_xlfn.XLOOKUP(E4,Groups!A:A,Groups!N:N)="Lizard",EXP(0.7733*LN(C4)+5.5303)*S4,
IF(_xlfn.XLOOKUP(E4,Groups!A:A,Groups!N:N)="Snake",50*C4^(2/3)*S4,
IF(_xlfn.XLOOKUP(E4,Groups!A:A,Groups!N:N)="StrongBitingHerbivore",87.1133638856975*C4^(2/3)*S4,
IF(_xlfn.XLOOKUP(E4,Groups!A:A,Groups!N:N)="MiscEctotherms",59.4316884072269*C4^(2/3)*S4,
IF(_xlfn.XLOOKUP(E4,Groups!A:A,Groups!N:N)="StrongBeakBird",0.041*(C4*1000)^1.375*S4,
IF(_xlfn.XLOOKUP(E4,Groups!A:A,Groups!N:N)="Bird",0.118*(C4*1000)^0.692*S4,
IF(_xlfn.XLOOKUP(E4,Groups!A:A,Groups!N:N)="Insect",EXP(0.7444*LN(C4)+6.5696)*S4,
IF(_xlfn.XLOOKUP(E4,Groups!A:A,Groups!N:N)="Theropod",EXP(0.6966*LN(C4)+4.158)*S4,
"No"))))))))))))))))</f>
        <v>180.4283918773483</v>
      </c>
      <c r="AU4" s="8">
        <f>IF(_xlfn.XLOOKUP(E4,Groups!A:A,Groups!U:U)=3,AS4,IF(_xlfn.XLOOKUP(E4,Groups!A:A,Groups!U:U)=2,AR4,AT4))</f>
        <v>180.4283918773483</v>
      </c>
      <c r="AV4" s="46">
        <f>IFERROR(AVERAGE(_xlfn.XLOOKUP(B4,Animals!B:B,Animals!N:N),_xlfn.XLOOKUP(B4,Animals!B:B,Animals!O:O)),0)</f>
        <v>0</v>
      </c>
      <c r="AW4" s="8">
        <f>MROUND(40*Animals!AO4*_xlfn.XLOOKUP(AG4,Leathers!$A$2:$A$99,Leathers!$B$2:$B$99,0)+(140*_xlfn.XLOOKUP(B4,Animals!B:B,Animals!AO:AO)*2),5)</f>
        <v>125</v>
      </c>
      <c r="AX4" s="8">
        <f>IFERROR(ROUND(SQRT(V4-1)*IF(_xlfn.XLOOKUP(E4,Groups!A:A,Groups!BF:BF)=0,2,1)*IF(_xlfn.XLOOKUP('Base stats'!E4,Groups!A:A,Groups!O:O)=0,1,0.1),1),0)</f>
        <v>1.7</v>
      </c>
      <c r="AY4" s="8">
        <f t="shared" si="12"/>
        <v>0.5</v>
      </c>
      <c r="AZ4" s="8">
        <f t="shared" si="13"/>
        <v>0</v>
      </c>
      <c r="BA4" s="8">
        <f t="shared" si="14"/>
        <v>1.2</v>
      </c>
      <c r="BB4" s="8">
        <f>IF(_xlfn.XLOOKUP(E4,Groups!A:A,Groups!N:N)="Insect",BD4*2.5,IFERROR(AVERAGE(BD4,AT4/9.81/IF(OR(_xlfn.XLOOKUP(E4,Groups!A:A,Groups!N:N)="Pig",_xlfn.XLOOKUP(E4,Groups!A:A,Groups!N:N)="StrongBitingHerbivore"),20,25))*C4^-0.135,BD4))</f>
        <v>0.35702234514254111</v>
      </c>
      <c r="BC4" s="8" t="str">
        <f>IF(W4="No","No",IF(_xlfn.XLOOKUP(E4,Groups!A:A,Groups!U:U)=1,'Base stats'!BB4,IF(OR(_xlfn.XLOOKUP(E4,Groups!A:A,Groups!BD:BD)=1,_xlfn.XLOOKUP(E4,Groups!A:A,Groups!U:U)=2),BD4,IF(_xlfn.XLOOKUP(B4,Animals!B:B,Animals!AO:AO)&gt;4,AVERAGE(BD4,BF4),BF4))))</f>
        <v>No</v>
      </c>
      <c r="BD4" s="8">
        <f t="shared" si="15"/>
        <v>0.17375197750865831</v>
      </c>
      <c r="BE4" s="8">
        <f>IF(_xlfn.XLOOKUP(E4,Groups!A:A,Groups!BE:BE)=1,(0.048*C4^1.01)+(0.071*C4^1.03),0.071*C4^1.03)/IF(_xlfn.XLOOKUP(E4,Groups!A:A,Groups!M:M)=1,0.85,IF(OR(_xlfn.XLOOKUP(B4,Animals!B:B,Animals!AO:AO)&gt;4,_xlfn.XLOOKUP(E4,Groups!A:A,Groups!BC:BC)=1),1.7,1))*C4^-0.25</f>
        <v>0.28722108868268298</v>
      </c>
      <c r="BF4" s="8">
        <f>(0.048*C4^1.01)/IF(_xlfn.XLOOKUP(E4,Groups!A:A,Groups!M:M)=1,0.25,0.8)*C4^-0.25</f>
        <v>0.23417805828463806</v>
      </c>
      <c r="BG4" s="8">
        <f>EXP(1.076*LN(AR4)-4.5397)*IF(_xlfn.XLOOKUP(E4,Groups!A:A,Groups!BC:BC)=1,1.25,IF(_xlfn.XLOOKUP(E4,Groups!A:A,Groups!BD:BD)=1,3.5,2.5))</f>
        <v>10.022292847033164</v>
      </c>
      <c r="BH4" s="8">
        <f>EXP(1.076*LN(AS4)-4.5397)*IF(_xlfn.XLOOKUP(E4,Groups!A:A,Groups!M:M)=1,0.8,IF(_xlfn.XLOOKUP(E4,Groups!A:A,Groups!BC:BC)=1,1.3,3))</f>
        <v>14.768033224201108</v>
      </c>
      <c r="BI4" s="8" t="str">
        <f>IF(W4="No","No",IF(_xlfn.XLOOKUP(E4,Groups!A:A,Groups!U:U)=1,'Base stats'!BJ4,IF(OR(_xlfn.XLOOKUP(E4,Groups!A:A,Groups!BD:BD)=1,_xlfn.XLOOKUP(E4,Groups!A:A,Groups!U:U)=2),BG4,BH4))*1.2)</f>
        <v>No</v>
      </c>
      <c r="BJ4" s="8">
        <f>IFERROR(EXP(1.076*LN(AT4)-4.5397)*IF(_xlfn.XLOOKUP(E4,Groups!A:A,Groups!N:N)="Insect",1,IF(OR(_xlfn.XLOOKUP(E4,Groups!A:A,Groups!N:N)="Pig",_xlfn.XLOOKUP(E4,Groups!A:A,Groups!N:N)="StrongBitingHerbivore"),3.5,3.75)),"No")</f>
        <v>10.721329843129723</v>
      </c>
      <c r="BK4" s="8">
        <f t="shared" si="16"/>
        <v>10</v>
      </c>
      <c r="BL4" s="8">
        <f t="shared" si="17"/>
        <v>10</v>
      </c>
      <c r="BM4" s="8" t="str">
        <f t="shared" si="18"/>
        <v>No</v>
      </c>
      <c r="BN4" s="8">
        <f t="shared" si="19"/>
        <v>7</v>
      </c>
      <c r="BO4" s="8">
        <f t="shared" si="20"/>
        <v>11</v>
      </c>
      <c r="BP4" s="8" cm="1">
        <f t="array" ref="BP4">IF(AND(_xlfn.XLOOKUP('Base stats'!E4,Groups!A:A,Groups!AD:AD=0),_xlfn.XLOOKUP('Base stats'!E4,Groups!A:A,Groups!P:P=0)),"No",IF(U4="No",AVERAGE(EXP(-0.57+0.99*LN(C4)),EXP(0.32+0.67*LN(C4)))/IF(_xlfn.XLOOKUP(E4,Groups!A:A,Groups!AD:AD)=1,10,2),(0.7354*C4^0.4078)*2/IF(_xlfn.XLOOKUP(E4,Groups!A:A,Groups!BK:BK)=1,1000,100)/IF(_xlfn.XLOOKUP(E4,Groups!A:A,Groups!AJ:AJ)="Photonozoa",3,1)))</f>
        <v>3.0541031512019721E-2</v>
      </c>
      <c r="BQ4" s="8" t="str">
        <f>IF(W4="No","No",IF(_xlfn.XLOOKUP(E4,Groups!A:A,Groups!BD:BD)=1,(AO4*5%),EXP(0.7354*LN(C4)^0.4078)*2/IF(_xlfn.XLOOKUP(E4,Groups!A:A,Groups!BL:BL)=1,1000,100)/IF(_xlfn.XLOOKUP(E4,Groups!A:A,Groups!AJ:AJ)="Photonozoa",3,1)))</f>
        <v>No</v>
      </c>
      <c r="BR4" s="8">
        <f>IF(BJ4="No","No",IF(_xlfn.XLOOKUP(E4,Groups!A:A,Groups!BF:BF)=1,(0.0315*C4+2.1825)*2,(0.7354*C4^0.4078)*2)/IF(_xlfn.XLOOKUP(E4,Groups!A:A,Groups!BM:BM)=1,1000,100)/IF(_xlfn.XLOOKUP(E4,Groups!A:A,Groups!AJ:AJ)="Photonozoa",3,1))</f>
        <v>3.0541031512019721E-2</v>
      </c>
      <c r="BS4" s="8">
        <f t="shared" si="21"/>
        <v>5.6347647959220322E-2</v>
      </c>
      <c r="BT4" s="8">
        <f t="shared" si="22"/>
        <v>483.54729663891686</v>
      </c>
      <c r="BU4" s="8" t="str">
        <f t="shared" si="23"/>
        <v>No</v>
      </c>
      <c r="BV4" s="8">
        <f t="shared" si="24"/>
        <v>351.04674964597183</v>
      </c>
      <c r="BW4" s="4">
        <v>0</v>
      </c>
      <c r="BX4" s="4">
        <v>1</v>
      </c>
    </row>
    <row r="5" spans="1:76" x14ac:dyDescent="0.25">
      <c r="A5" s="26" t="s">
        <v>38</v>
      </c>
      <c r="B5" s="6" t="s">
        <v>39</v>
      </c>
      <c r="C5" s="7">
        <v>111</v>
      </c>
      <c r="D5" s="7" t="s">
        <v>934</v>
      </c>
      <c r="E5" s="7" t="str">
        <f>Groups!$A$13</f>
        <v>Bird</v>
      </c>
      <c r="F5" s="7" t="str">
        <f t="shared" ref="F5:F11" si="25">"Lay eggs"</f>
        <v>Lay eggs</v>
      </c>
      <c r="G5" s="7">
        <f>1000/365</f>
        <v>2.7397260273972601</v>
      </c>
      <c r="H5" s="7">
        <v>50</v>
      </c>
      <c r="I5" s="4">
        <v>0</v>
      </c>
      <c r="J5" s="7" t="str">
        <f t="shared" ref="J5:J10" si="26">"Lay eggs"</f>
        <v>Lay eggs</v>
      </c>
      <c r="K5" s="7" t="s">
        <v>502</v>
      </c>
      <c r="L5" s="7">
        <f>11.3*(2.3/1.95)*3.6</f>
        <v>47.981538461538463</v>
      </c>
      <c r="M5" s="7" t="s">
        <v>627</v>
      </c>
      <c r="N5" s="4">
        <v>0</v>
      </c>
      <c r="O5" s="4">
        <v>0</v>
      </c>
      <c r="P5" s="4">
        <v>0</v>
      </c>
      <c r="Q5" s="4">
        <v>0</v>
      </c>
      <c r="R5" s="4" t="s">
        <v>40</v>
      </c>
      <c r="S5" s="7">
        <f>_xlfn.XLOOKUP(B5,[1]TeethAdjusters!$A:$A,[1]BiteAdjusters!$C:$C,1)</f>
        <v>1</v>
      </c>
      <c r="T5" s="7">
        <f>_xlfn.XLOOKUP(B5,[1]TeethAdjusters!$A:$A,[1]TeethAdjusters!$B:$B,1)</f>
        <v>1</v>
      </c>
      <c r="U5" s="7">
        <f>MROUND(5.378,0.05)</f>
        <v>5.4</v>
      </c>
      <c r="V5" s="7">
        <v>6.3</v>
      </c>
      <c r="W5" s="7" t="s">
        <v>45</v>
      </c>
      <c r="X5" s="7" t="s">
        <v>932</v>
      </c>
      <c r="Y5" s="4" t="s">
        <v>42</v>
      </c>
      <c r="Z5" s="4">
        <v>1</v>
      </c>
      <c r="AA5" s="4">
        <v>0</v>
      </c>
      <c r="AB5" s="4">
        <v>0</v>
      </c>
      <c r="AC5" s="4">
        <v>0</v>
      </c>
      <c r="AD5" s="4">
        <v>0</v>
      </c>
      <c r="AE5" s="4" t="s">
        <v>45</v>
      </c>
      <c r="AF5" s="4" t="s">
        <v>311</v>
      </c>
      <c r="AG5" s="49" t="s">
        <v>375</v>
      </c>
      <c r="AH5" s="4" t="str">
        <f>Animals!$C$6</f>
        <v>&lt;li&gt;Cassowary&lt;/li&gt;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4" t="s">
        <v>40</v>
      </c>
      <c r="AO5" s="8">
        <f t="shared" si="10"/>
        <v>23701.886548539122</v>
      </c>
      <c r="AP5" s="8">
        <f>IFERROR(C5*_xlfn.XLOOKUP(E5,Groups!A:A,Groups!K:K),0.106*C5^0.94)</f>
        <v>8.8697109140438197</v>
      </c>
      <c r="AQ5" s="8">
        <f>AP5*10000/(_xlfn.XLOOKUP(E5,Groups!A:A,Groups!J:J)*AO5)</f>
        <v>3.4332074983824747</v>
      </c>
      <c r="AR5" s="8">
        <f t="shared" si="11"/>
        <v>2904.8590869878603</v>
      </c>
      <c r="AS5" s="8">
        <f>IF(_xlfn.XLOOKUP(E5,Groups!A:A,Groups!M:M)=1,EXP(0.7444*LN('Base stats'!C5)+6.5696),EXP(0.7927*LN('Base stats'!C5)+4.28))</f>
        <v>3020.7021718557112</v>
      </c>
      <c r="AT5" s="8">
        <f>IF(_xlfn.XLOOKUP(E5,Groups!A:A,Groups!N:N)="No","No",
IF(_xlfn.XLOOKUP(E5,Groups!A:A,Groups!N:N)="Crocodile",EXP(0.8129*LN(C5)+4.6742)*S5,
IF(_xlfn.XLOOKUP(E5,Groups!A:A,Groups!N:N)="Felid",EXP(0.7843*LN(C5)+4.7073)*S5,
IF(_xlfn.XLOOKUP(E5,Groups!A:A,Groups!N:N)="Canid",EXP(0.8367*LN(C5)+4.8763)*S5,
IF(_xlfn.XLOOKUP(E5,Groups!A:A,Groups!N:N)="Pig",EXP(0.3439*LN(C5)+6.8519)*S5,
IF(_xlfn.XLOOKUP(E5,Groups!A:A,Groups!N:N)="Rodent",EXP(0.5625*LN(C5)+4.3006)*S5,
IF(_xlfn.XLOOKUP(E5,Groups!A:A,Groups!N:N)="Primate",EXP(0.7847*LN(C5)+3.4931)*S5,
IF(_xlfn.XLOOKUP(E5,Groups!A:A,Groups!N:N)="MiscCarnivora",EXP(0.7486*LN(C5)+4.2207)*S5,
IF(_xlfn.XLOOKUP(E5,Groups!A:A,Groups!N:N)="Lizard",EXP(0.7733*LN(C5)+5.5303)*S5,
IF(_xlfn.XLOOKUP(E5,Groups!A:A,Groups!N:N)="Snake",50*C5^(2/3)*S5,
IF(_xlfn.XLOOKUP(E5,Groups!A:A,Groups!N:N)="StrongBitingHerbivore",87.1133638856975*C5^(2/3)*S5,
IF(_xlfn.XLOOKUP(E5,Groups!A:A,Groups!N:N)="MiscEctotherms",59.4316884072269*C5^(2/3)*S5,
IF(_xlfn.XLOOKUP(E5,Groups!A:A,Groups!N:N)="StrongBeakBird",0.041*(C5*1000)^1.375*S5,
IF(_xlfn.XLOOKUP(E5,Groups!A:A,Groups!N:N)="Bird",0.118*(C5*1000)^0.692*S5,
IF(_xlfn.XLOOKUP(E5,Groups!A:A,Groups!N:N)="Insect",EXP(0.7444*LN(C5)+6.5696)*S5,
IF(_xlfn.XLOOKUP(E5,Groups!A:A,Groups!N:N)="Theropod",EXP(0.6966*LN(C5)+4.158)*S5,
"No"))))))))))))))))</f>
        <v>365.80152242272635</v>
      </c>
      <c r="AU5" s="8">
        <f>IF(_xlfn.XLOOKUP(E5,Groups!A:A,Groups!U:U)=3,AS5,IF(_xlfn.XLOOKUP(E5,Groups!A:A,Groups!U:U)=2,AR5,AT5))</f>
        <v>365.80152242272635</v>
      </c>
      <c r="AV5" s="46">
        <f>IFERROR(AVERAGE(_xlfn.XLOOKUP(B5,Animals!B:B,Animals!N:N),_xlfn.XLOOKUP(B5,Animals!B:B,Animals!O:O)),0)</f>
        <v>0</v>
      </c>
      <c r="AW5" s="8">
        <f>MROUND(40*Animals!AO5*_xlfn.XLOOKUP(AG5,Leathers!$A$2:$A$99,Leathers!$B$2:$B$99,0)+(140*_xlfn.XLOOKUP(B5,Animals!B:B,Animals!AO:AO)*2),5)</f>
        <v>460</v>
      </c>
      <c r="AX5" s="8">
        <f>IFERROR(ROUND(SQRT(V5-1)*IF(_xlfn.XLOOKUP(E5,Groups!A:A,Groups!BF:BF)=0,2,1)*IF(_xlfn.XLOOKUP('Base stats'!E5,Groups!A:A,Groups!O:O)=0,1,0.1),1),0)</f>
        <v>0.2</v>
      </c>
      <c r="AY5" s="8">
        <f t="shared" si="12"/>
        <v>2.1</v>
      </c>
      <c r="AZ5" s="8">
        <f t="shared" si="13"/>
        <v>0</v>
      </c>
      <c r="BA5" s="8">
        <f t="shared" si="14"/>
        <v>4.3</v>
      </c>
      <c r="BB5" s="8">
        <f>IF(_xlfn.XLOOKUP(E5,Groups!A:A,Groups!N:N)="Insect",BD5*2.5,IFERROR(AVERAGE(BD5,AT5/9.81/IF(OR(_xlfn.XLOOKUP(E5,Groups!A:A,Groups!N:N)="Pig",_xlfn.XLOOKUP(E5,Groups!A:A,Groups!N:N)="StrongBitingHerbivore"),20,25))*C5^-0.135,BD5))</f>
        <v>0.75656945039250134</v>
      </c>
      <c r="BC5" s="8" t="str">
        <f>IF(W5="No","No",IF(_xlfn.XLOOKUP(E5,Groups!A:A,Groups!U:U)=1,'Base stats'!BB5,IF(OR(_xlfn.XLOOKUP(E5,Groups!A:A,Groups!BD:BD)=1,_xlfn.XLOOKUP(E5,Groups!A:A,Groups!U:U)=2),BD5,IF(_xlfn.XLOOKUP(B5,Animals!B:B,Animals!AO:AO)&gt;4,AVERAGE(BD5,BF5),BF5))))</f>
        <v>No</v>
      </c>
      <c r="BD5" s="8">
        <f t="shared" si="15"/>
        <v>1.3660279738562071</v>
      </c>
      <c r="BE5" s="8">
        <f>IF(_xlfn.XLOOKUP(E5,Groups!A:A,Groups!BE:BE)=1,(0.048*C5^1.01)+(0.071*C5^1.03),0.071*C5^1.03)/IF(_xlfn.XLOOKUP(E5,Groups!A:A,Groups!M:M)=1,0.85,IF(OR(_xlfn.XLOOKUP(B5,Animals!B:B,Animals!AO:AO)&gt;4,_xlfn.XLOOKUP(E5,Groups!A:A,Groups!BC:BC)=1),1.7,1))*C5^-0.25</f>
        <v>4.5170975643389459</v>
      </c>
      <c r="BF5" s="8">
        <f>(0.048*C5^1.01)/IF(_xlfn.XLOOKUP(E5,Groups!A:A,Groups!M:M)=1,0.25,0.8)*C5^-0.25</f>
        <v>2.1507835900693246</v>
      </c>
      <c r="BG5" s="8">
        <f>EXP(1.076*LN(AR5)-4.5397)*IF(_xlfn.XLOOKUP(E5,Groups!A:A,Groups!BC:BC)=1,1.25,IF(_xlfn.XLOOKUP(E5,Groups!A:A,Groups!BD:BD)=1,3.5,2.5))</f>
        <v>142.13332778712689</v>
      </c>
      <c r="BH5" s="8">
        <f>EXP(1.076*LN(AS5)-4.5397)*IF(_xlfn.XLOOKUP(E5,Groups!A:A,Groups!M:M)=1,0.8,IF(_xlfn.XLOOKUP(E5,Groups!A:A,Groups!BC:BC)=1,1.3,3))</f>
        <v>177.88965958918951</v>
      </c>
      <c r="BI5" s="8" t="str">
        <f>IF(W5="No","No",IF(_xlfn.XLOOKUP(E5,Groups!A:A,Groups!U:U)=1,'Base stats'!BJ5,IF(OR(_xlfn.XLOOKUP(E5,Groups!A:A,Groups!BD:BD)=1,_xlfn.XLOOKUP(E5,Groups!A:A,Groups!U:U)=2),BG5,BH5))*1.2)</f>
        <v>No</v>
      </c>
      <c r="BJ5" s="8">
        <f>IFERROR(EXP(1.076*LN(AT5)-4.5397)*IF(_xlfn.XLOOKUP(E5,Groups!A:A,Groups!N:N)="Insect",1,IF(OR(_xlfn.XLOOKUP(E5,Groups!A:A,Groups!N:N)="Pig",_xlfn.XLOOKUP(E5,Groups!A:A,Groups!N:N)="StrongBitingHerbivore"),3.5,3.75)),"No")</f>
        <v>22.93595223548451</v>
      </c>
      <c r="BK5" s="8">
        <f t="shared" si="16"/>
        <v>14</v>
      </c>
      <c r="BL5" s="8">
        <f t="shared" si="17"/>
        <v>8</v>
      </c>
      <c r="BM5" s="8" t="str">
        <f t="shared" si="18"/>
        <v>No</v>
      </c>
      <c r="BN5" s="8">
        <f t="shared" si="19"/>
        <v>7</v>
      </c>
      <c r="BO5" s="8">
        <f t="shared" si="20"/>
        <v>12</v>
      </c>
      <c r="BP5" s="8" cm="1">
        <f t="array" ref="BP5">IF(AND(_xlfn.XLOOKUP('Base stats'!E5,Groups!A:A,Groups!AD:AD=0),_xlfn.XLOOKUP('Base stats'!E5,Groups!A:A,Groups!P:P=0)),"No",IF(U5="No",AVERAGE(EXP(-0.57+0.99*LN(C5)),EXP(0.32+0.67*LN(C5)))/IF(_xlfn.XLOOKUP(E5,Groups!A:A,Groups!AD:AD)=1,10,2),(0.7354*C5^0.4078)*2/IF(_xlfn.XLOOKUP(E5,Groups!A:A,Groups!BK:BK)=1,1000,100)/IF(_xlfn.XLOOKUP(E5,Groups!A:A,Groups!AJ:AJ)="Photonozoa",3,1)))</f>
        <v>0.10037749006033786</v>
      </c>
      <c r="BQ5" s="8" t="str">
        <f>IF(W5="No","No",IF(_xlfn.XLOOKUP(E5,Groups!A:A,Groups!BD:BD)=1,(AO5*5%),EXP(0.7354*LN(C5)^0.4078)*2/IF(_xlfn.XLOOKUP(E5,Groups!A:A,Groups!BL:BL)=1,1000,100)/IF(_xlfn.XLOOKUP(E5,Groups!A:A,Groups!AJ:AJ)="Photonozoa",3,1)))</f>
        <v>No</v>
      </c>
      <c r="BR5" s="8">
        <f>IF(BJ5="No","No",IF(_xlfn.XLOOKUP(E5,Groups!A:A,Groups!BF:BF)=1,(0.0315*C5+2.1825)*2,(0.7354*C5^0.4078)*2)/IF(_xlfn.XLOOKUP(E5,Groups!A:A,Groups!BM:BM)=1,1000,100)/IF(_xlfn.XLOOKUP(E5,Groups!A:A,Groups!AJ:AJ)="Photonozoa",3,1))</f>
        <v>0.10037749006033786</v>
      </c>
      <c r="BS5" s="8">
        <f t="shared" si="21"/>
        <v>0.11993418962330435</v>
      </c>
      <c r="BT5" s="8">
        <f t="shared" si="22"/>
        <v>1772.2066917817765</v>
      </c>
      <c r="BU5" s="8" t="str">
        <f t="shared" si="23"/>
        <v>No</v>
      </c>
      <c r="BV5" s="8">
        <f t="shared" si="24"/>
        <v>228.49696900866411</v>
      </c>
      <c r="BW5" s="4">
        <v>0</v>
      </c>
      <c r="BX5" s="4">
        <v>1</v>
      </c>
    </row>
    <row r="6" spans="1:76" x14ac:dyDescent="0.25">
      <c r="A6" s="26" t="s">
        <v>43</v>
      </c>
      <c r="B6" s="6" t="s">
        <v>44</v>
      </c>
      <c r="C6" s="7">
        <f>44</f>
        <v>44</v>
      </c>
      <c r="D6" s="7" t="s">
        <v>503</v>
      </c>
      <c r="E6" s="7" t="str">
        <f>Groups!$A$10</f>
        <v>Bird (AGRESSIVE)</v>
      </c>
      <c r="F6" s="7" t="str">
        <f t="shared" si="25"/>
        <v>Lay eggs</v>
      </c>
      <c r="G6" s="7">
        <f>1454/365</f>
        <v>3.9835616438356163</v>
      </c>
      <c r="H6" s="7">
        <v>30</v>
      </c>
      <c r="I6" s="4">
        <v>0</v>
      </c>
      <c r="J6" s="7" t="str">
        <f t="shared" si="26"/>
        <v>Lay eggs</v>
      </c>
      <c r="K6" s="7" t="s">
        <v>503</v>
      </c>
      <c r="L6" s="7">
        <f>$L$5*(C6/C5)^0.165</f>
        <v>41.187513001127201</v>
      </c>
      <c r="M6" s="7" t="s">
        <v>626</v>
      </c>
      <c r="N6" s="4">
        <v>0</v>
      </c>
      <c r="O6" s="4">
        <v>0</v>
      </c>
      <c r="P6" s="4">
        <v>0</v>
      </c>
      <c r="Q6" s="4">
        <v>0</v>
      </c>
      <c r="R6" s="4" t="s">
        <v>40</v>
      </c>
      <c r="S6" s="7">
        <f>_xlfn.XLOOKUP(B6,[1]TeethAdjusters!$A:$A,[1]BiteAdjusters!$C:$C,1)</f>
        <v>1</v>
      </c>
      <c r="T6" s="7">
        <f>_xlfn.XLOOKUP(B6,[1]TeethAdjusters!$A:$A,[1]TeethAdjusters!$B:$B,1)</f>
        <v>1</v>
      </c>
      <c r="U6" s="7">
        <f>MROUND(12.5,0.05)</f>
        <v>12.5</v>
      </c>
      <c r="V6" s="7">
        <f>AVERAGE(9.8,19)</f>
        <v>14.4</v>
      </c>
      <c r="W6" s="7" t="s">
        <v>45</v>
      </c>
      <c r="X6" s="7" t="s">
        <v>932</v>
      </c>
      <c r="Y6" s="4" t="s">
        <v>42</v>
      </c>
      <c r="Z6" s="4">
        <v>1</v>
      </c>
      <c r="AA6" s="4">
        <v>0</v>
      </c>
      <c r="AB6" s="4">
        <v>0</v>
      </c>
      <c r="AC6" s="4">
        <v>0</v>
      </c>
      <c r="AD6" s="4">
        <v>0</v>
      </c>
      <c r="AE6" s="4" t="s">
        <v>45</v>
      </c>
      <c r="AF6" s="4" t="s">
        <v>45</v>
      </c>
      <c r="AG6" s="49" t="s">
        <v>375</v>
      </c>
      <c r="AH6" s="4" t="s">
        <v>45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4" t="s">
        <v>40</v>
      </c>
      <c r="AO6" s="8">
        <f t="shared" si="10"/>
        <v>12988.745833032934</v>
      </c>
      <c r="AP6" s="8">
        <f>IFERROR(C6*_xlfn.XLOOKUP(E6,Groups!A:A,Groups!K:K),0.106*C6^0.94)</f>
        <v>3.7166475696464318</v>
      </c>
      <c r="AQ6" s="8">
        <f>AP6*10000/(_xlfn.XLOOKUP(E6,Groups!A:A,Groups!J:J)*AO6)</f>
        <v>2.6251714032681663</v>
      </c>
      <c r="AR6" s="8">
        <f t="shared" si="11"/>
        <v>1329.429236703344</v>
      </c>
      <c r="AS6" s="8">
        <f>IF(_xlfn.XLOOKUP(E6,Groups!A:A,Groups!M:M)=1,EXP(0.7444*LN('Base stats'!C6)+6.5696),EXP(0.7927*LN('Base stats'!C6)+4.28))</f>
        <v>1450.5921375918902</v>
      </c>
      <c r="AT6" s="8">
        <f>IF(_xlfn.XLOOKUP(E6,Groups!A:A,Groups!N:N)="No","No",
IF(_xlfn.XLOOKUP(E6,Groups!A:A,Groups!N:N)="Crocodile",EXP(0.8129*LN(C6)+4.6742)*S6,
IF(_xlfn.XLOOKUP(E6,Groups!A:A,Groups!N:N)="Felid",EXP(0.7843*LN(C6)+4.7073)*S6,
IF(_xlfn.XLOOKUP(E6,Groups!A:A,Groups!N:N)="Canid",EXP(0.8367*LN(C6)+4.8763)*S6,
IF(_xlfn.XLOOKUP(E6,Groups!A:A,Groups!N:N)="Pig",EXP(0.3439*LN(C6)+6.8519)*S6,
IF(_xlfn.XLOOKUP(E6,Groups!A:A,Groups!N:N)="Rodent",EXP(0.5625*LN(C6)+4.3006)*S6,
IF(_xlfn.XLOOKUP(E6,Groups!A:A,Groups!N:N)="Primate",EXP(0.7847*LN(C6)+3.4931)*S6,
IF(_xlfn.XLOOKUP(E6,Groups!A:A,Groups!N:N)="MiscCarnivora",EXP(0.7486*LN(C6)+4.2207)*S6,
IF(_xlfn.XLOOKUP(E6,Groups!A:A,Groups!N:N)="Lizard",EXP(0.7733*LN(C6)+5.5303)*S6,
IF(_xlfn.XLOOKUP(E6,Groups!A:A,Groups!N:N)="Snake",50*C6^(2/3)*S6,
IF(_xlfn.XLOOKUP(E6,Groups!A:A,Groups!N:N)="StrongBitingHerbivore",87.1133638856975*C6^(2/3)*S6,
IF(_xlfn.XLOOKUP(E6,Groups!A:A,Groups!N:N)="MiscEctotherms",59.4316884072269*C6^(2/3)*S6,
IF(_xlfn.XLOOKUP(E6,Groups!A:A,Groups!N:N)="StrongBeakBird",0.041*(C6*1000)^1.375*S6,
IF(_xlfn.XLOOKUP(E6,Groups!A:A,Groups!N:N)="Bird",0.118*(C6*1000)^0.692*S6,
IF(_xlfn.XLOOKUP(E6,Groups!A:A,Groups!N:N)="Insect",EXP(0.7444*LN(C6)+6.5696)*S6,
IF(_xlfn.XLOOKUP(E6,Groups!A:A,Groups!N:N)="Theropod",EXP(0.6966*LN(C6)+4.158)*S6,
"No"))))))))))))))))</f>
        <v>192.81963633688059</v>
      </c>
      <c r="AU6" s="8">
        <f>IF(_xlfn.XLOOKUP(E6,Groups!A:A,Groups!U:U)=3,AS6,IF(_xlfn.XLOOKUP(E6,Groups!A:A,Groups!U:U)=2,AR6,AT6))</f>
        <v>192.81963633688059</v>
      </c>
      <c r="AV6" s="46">
        <f>IFERROR(AVERAGE(_xlfn.XLOOKUP(B6,Animals!B:B,Animals!N:N),_xlfn.XLOOKUP(B6,Animals!B:B,Animals!O:O)),0)</f>
        <v>0</v>
      </c>
      <c r="AW6" s="8">
        <f>MROUND(40*Animals!AO6*_xlfn.XLOOKUP(AG6,Leathers!$A$2:$A$99,Leathers!$B$2:$B$99,0)+(140*_xlfn.XLOOKUP(B6,Animals!B:B,Animals!AO:AO)*2),5)</f>
        <v>280</v>
      </c>
      <c r="AX6" s="8">
        <f>IFERROR(ROUND(SQRT(V6-1)*IF(_xlfn.XLOOKUP(E6,Groups!A:A,Groups!BF:BF)=0,2,1)*IF(_xlfn.XLOOKUP('Base stats'!E6,Groups!A:A,Groups!O:O)=0,1,0.1),1),0)</f>
        <v>0.4</v>
      </c>
      <c r="AY6" s="8">
        <f t="shared" si="12"/>
        <v>3.4</v>
      </c>
      <c r="AZ6" s="8">
        <f t="shared" si="13"/>
        <v>0</v>
      </c>
      <c r="BA6" s="8">
        <f t="shared" si="14"/>
        <v>3.1</v>
      </c>
      <c r="BB6" s="8">
        <f>IF(_xlfn.XLOOKUP(E6,Groups!A:A,Groups!N:N)="Insect",BD6*2.5,IFERROR(AVERAGE(BD6,AT6/9.81/IF(OR(_xlfn.XLOOKUP(E6,Groups!A:A,Groups!N:N)="Pig",_xlfn.XLOOKUP(E6,Groups!A:A,Groups!N:N)="StrongBitingHerbivore"),20,25))*C6^-0.135,BD6))</f>
        <v>0.43981945581240772</v>
      </c>
      <c r="BC6" s="8" t="str">
        <f>IF(W6="No","No",IF(_xlfn.XLOOKUP(E6,Groups!A:A,Groups!U:U)=1,'Base stats'!BB6,IF(OR(_xlfn.XLOOKUP(E6,Groups!A:A,Groups!BD:BD)=1,_xlfn.XLOOKUP(E6,Groups!A:A,Groups!U:U)=2),BD6,IF(_xlfn.XLOOKUP(B6,Animals!B:B,Animals!AO:AO)&gt;4,AVERAGE(BD6,BF6),BF6))))</f>
        <v>No</v>
      </c>
      <c r="BD6" s="8">
        <f t="shared" si="15"/>
        <v>0.67990680055587938</v>
      </c>
      <c r="BE6" s="8">
        <f>IF(_xlfn.XLOOKUP(E6,Groups!A:A,Groups!BE:BE)=1,(0.048*C6^1.01)+(0.071*C6^1.03),0.071*C6^1.03)/IF(_xlfn.XLOOKUP(E6,Groups!A:A,Groups!M:M)=1,0.85,IF(OR(_xlfn.XLOOKUP(B6,Animals!B:B,Animals!AO:AO)&gt;4,_xlfn.XLOOKUP(E6,Groups!A:A,Groups!BC:BC)=1),1.7,1))*C6^-0.25</f>
        <v>2.2104452472979568</v>
      </c>
      <c r="BF6" s="8">
        <f>(0.048*C6^1.01)/IF(_xlfn.XLOOKUP(E6,Groups!A:A,Groups!M:M)=1,0.25,0.8)*C6^-0.25</f>
        <v>1.0645726010205852</v>
      </c>
      <c r="BG6" s="8">
        <f>EXP(1.076*LN(AR6)-4.5397)*IF(_xlfn.XLOOKUP(E6,Groups!A:A,Groups!BC:BC)=1,1.25,IF(_xlfn.XLOOKUP(E6,Groups!A:A,Groups!BD:BD)=1,3.5,2.5))</f>
        <v>61.296705303612796</v>
      </c>
      <c r="BH6" s="8">
        <f>EXP(1.076*LN(AS6)-4.5397)*IF(_xlfn.XLOOKUP(E6,Groups!A:A,Groups!M:M)=1,0.8,IF(_xlfn.XLOOKUP(E6,Groups!A:A,Groups!BC:BC)=1,1.3,3))</f>
        <v>80.7936741959725</v>
      </c>
      <c r="BI6" s="8" t="str">
        <f>IF(W6="No","No",IF(_xlfn.XLOOKUP(E6,Groups!A:A,Groups!U:U)=1,'Base stats'!BJ6,IF(OR(_xlfn.XLOOKUP(E6,Groups!A:A,Groups!BD:BD)=1,_xlfn.XLOOKUP(E6,Groups!A:A,Groups!U:U)=2),BG6,BH6))*1.2)</f>
        <v>No</v>
      </c>
      <c r="BJ6" s="8">
        <f>IFERROR(EXP(1.076*LN(AT6)-4.5397)*IF(_xlfn.XLOOKUP(E6,Groups!A:A,Groups!N:N)="Insect",1,IF(OR(_xlfn.XLOOKUP(E6,Groups!A:A,Groups!N:N)="Pig",_xlfn.XLOOKUP(E6,Groups!A:A,Groups!N:N)="StrongBitingHerbivore"),3.5,3.75)),"No")</f>
        <v>11.515621009597833</v>
      </c>
      <c r="BK6" s="8">
        <f t="shared" si="16"/>
        <v>13</v>
      </c>
      <c r="BL6" s="8">
        <f t="shared" si="17"/>
        <v>8</v>
      </c>
      <c r="BM6" s="8" t="str">
        <f t="shared" si="18"/>
        <v>No</v>
      </c>
      <c r="BN6" s="8">
        <f t="shared" si="19"/>
        <v>7</v>
      </c>
      <c r="BO6" s="8">
        <f t="shared" si="20"/>
        <v>12</v>
      </c>
      <c r="BP6" s="8" cm="1">
        <f t="array" ref="BP6">IF(AND(_xlfn.XLOOKUP('Base stats'!E6,Groups!A:A,Groups!AD:AD=0),_xlfn.XLOOKUP('Base stats'!E6,Groups!A:A,Groups!P:P=0)),"No",IF(U6="No",AVERAGE(EXP(-0.57+0.99*LN(C6)),EXP(0.32+0.67*LN(C6)))/IF(_xlfn.XLOOKUP(E6,Groups!A:A,Groups!AD:AD)=1,10,2),(0.7354*C6^0.4078)*2/IF(_xlfn.XLOOKUP(E6,Groups!A:A,Groups!BK:BK)=1,1000,100)/IF(_xlfn.XLOOKUP(E6,Groups!A:A,Groups!AJ:AJ)="Photonozoa",3,1)))</f>
        <v>6.8826173140535019E-2</v>
      </c>
      <c r="BQ6" s="8" t="str">
        <f>IF(W6="No","No",IF(_xlfn.XLOOKUP(E6,Groups!A:A,Groups!BD:BD)=1,(AO6*5%),EXP(0.7354*LN(C6)^0.4078)*2/IF(_xlfn.XLOOKUP(E6,Groups!A:A,Groups!BL:BL)=1,1000,100)/IF(_xlfn.XLOOKUP(E6,Groups!A:A,Groups!AJ:AJ)="Photonozoa",3,1)))</f>
        <v>No</v>
      </c>
      <c r="BR6" s="8">
        <f>IF(BJ6="No","No",IF(_xlfn.XLOOKUP(E6,Groups!A:A,Groups!BF:BF)=1,(0.0315*C6+2.1825)*2,(0.7354*C6^0.4078)*2)/IF(_xlfn.XLOOKUP(E6,Groups!A:A,Groups!BM:BM)=1,1000,100)/IF(_xlfn.XLOOKUP(E6,Groups!A:A,Groups!AJ:AJ)="Photonozoa",3,1))</f>
        <v>6.8826173140535019E-2</v>
      </c>
      <c r="BS6" s="8">
        <f t="shared" si="21"/>
        <v>9.4384332546908756E-2</v>
      </c>
      <c r="BT6" s="8">
        <f t="shared" si="22"/>
        <v>1173.8800881897246</v>
      </c>
      <c r="BU6" s="8" t="str">
        <f t="shared" si="23"/>
        <v>No</v>
      </c>
      <c r="BV6" s="8">
        <f t="shared" si="24"/>
        <v>167.31456194846513</v>
      </c>
      <c r="BW6" s="4">
        <v>0</v>
      </c>
      <c r="BX6" s="4">
        <v>1</v>
      </c>
    </row>
    <row r="7" spans="1:76" x14ac:dyDescent="0.25">
      <c r="A7" s="26" t="s">
        <v>46</v>
      </c>
      <c r="B7" s="6" t="s">
        <v>47</v>
      </c>
      <c r="C7" s="7">
        <v>38.924999999999997</v>
      </c>
      <c r="D7" s="7" t="s">
        <v>504</v>
      </c>
      <c r="E7" s="7" t="str">
        <f>Groups!$A$13</f>
        <v>Bird</v>
      </c>
      <c r="F7" s="7" t="str">
        <f t="shared" si="25"/>
        <v>Lay eggs</v>
      </c>
      <c r="G7" s="7">
        <f>727/365</f>
        <v>1.9917808219178081</v>
      </c>
      <c r="H7" s="7">
        <v>16.600000000000001</v>
      </c>
      <c r="I7" s="4">
        <v>1</v>
      </c>
      <c r="J7" s="7" t="str">
        <f t="shared" si="26"/>
        <v>Lay eggs</v>
      </c>
      <c r="K7" s="7" t="s">
        <v>504</v>
      </c>
      <c r="L7" s="7">
        <f>$L$5*(C7/C5)^0.165</f>
        <v>40.363015055534014</v>
      </c>
      <c r="M7" s="7" t="s">
        <v>626</v>
      </c>
      <c r="N7" s="4">
        <v>0</v>
      </c>
      <c r="O7" s="4">
        <v>0</v>
      </c>
      <c r="P7" s="4">
        <v>0</v>
      </c>
      <c r="Q7" s="4">
        <v>0</v>
      </c>
      <c r="R7" s="4" t="s">
        <v>40</v>
      </c>
      <c r="S7" s="7">
        <f>_xlfn.XLOOKUP(B7,[1]TeethAdjusters!$A:$A,[1]BiteAdjusters!$C:$C,1)</f>
        <v>1</v>
      </c>
      <c r="T7" s="7">
        <f>_xlfn.XLOOKUP(B7,[1]TeethAdjusters!$A:$A,[1]TeethAdjusters!$B:$B,1)</f>
        <v>1</v>
      </c>
      <c r="U7" s="7">
        <f>MROUND(15*0.17,0.05)</f>
        <v>2.5500000000000003</v>
      </c>
      <c r="V7" s="7">
        <f>AVERAGE(5.6,6.7)</f>
        <v>6.15</v>
      </c>
      <c r="W7" s="7" t="s">
        <v>45</v>
      </c>
      <c r="X7" s="7" t="s">
        <v>932</v>
      </c>
      <c r="Y7" s="4" t="s">
        <v>42</v>
      </c>
      <c r="Z7" s="4">
        <v>1</v>
      </c>
      <c r="AA7" s="4">
        <v>0</v>
      </c>
      <c r="AB7" s="4">
        <v>0</v>
      </c>
      <c r="AC7" s="4">
        <v>0</v>
      </c>
      <c r="AD7" s="4">
        <v>0</v>
      </c>
      <c r="AE7" s="4" t="s">
        <v>45</v>
      </c>
      <c r="AF7" s="4" t="s">
        <v>311</v>
      </c>
      <c r="AG7" s="49" t="s">
        <v>375</v>
      </c>
      <c r="AH7" s="4" t="str">
        <f>Animals!$C$6</f>
        <v>&lt;li&gt;Cassowary&lt;/li&gt;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4" t="s">
        <v>40</v>
      </c>
      <c r="AO7" s="8">
        <f t="shared" si="10"/>
        <v>11994.208182815728</v>
      </c>
      <c r="AP7" s="8">
        <f>IFERROR(C7*_xlfn.XLOOKUP(E7,Groups!A:A,Groups!K:K),0.106*C7^0.94)</f>
        <v>3.3122321570258504</v>
      </c>
      <c r="AQ7" s="8">
        <f>AP7*10000/(_xlfn.XLOOKUP(E7,Groups!A:A,Groups!J:J)*AO7)</f>
        <v>2.5335103842390416</v>
      </c>
      <c r="AR7" s="8">
        <f t="shared" si="11"/>
        <v>1198.6899552298667</v>
      </c>
      <c r="AS7" s="8">
        <f>IF(_xlfn.XLOOKUP(E7,Groups!A:A,Groups!M:M)=1,EXP(0.7444*LN('Base stats'!C7)+6.5696),EXP(0.7927*LN('Base stats'!C7)+4.28))</f>
        <v>1316.2991795574835</v>
      </c>
      <c r="AT7" s="8">
        <f>IF(_xlfn.XLOOKUP(E7,Groups!A:A,Groups!N:N)="No","No",
IF(_xlfn.XLOOKUP(E7,Groups!A:A,Groups!N:N)="Crocodile",EXP(0.8129*LN(C7)+4.6742)*S7,
IF(_xlfn.XLOOKUP(E7,Groups!A:A,Groups!N:N)="Felid",EXP(0.7843*LN(C7)+4.7073)*S7,
IF(_xlfn.XLOOKUP(E7,Groups!A:A,Groups!N:N)="Canid",EXP(0.8367*LN(C7)+4.8763)*S7,
IF(_xlfn.XLOOKUP(E7,Groups!A:A,Groups!N:N)="Pig",EXP(0.3439*LN(C7)+6.8519)*S7,
IF(_xlfn.XLOOKUP(E7,Groups!A:A,Groups!N:N)="Rodent",EXP(0.5625*LN(C7)+4.3006)*S7,
IF(_xlfn.XLOOKUP(E7,Groups!A:A,Groups!N:N)="Primate",EXP(0.7847*LN(C7)+3.4931)*S7,
IF(_xlfn.XLOOKUP(E7,Groups!A:A,Groups!N:N)="MiscCarnivora",EXP(0.7486*LN(C7)+4.2207)*S7,
IF(_xlfn.XLOOKUP(E7,Groups!A:A,Groups!N:N)="Lizard",EXP(0.7733*LN(C7)+5.5303)*S7,
IF(_xlfn.XLOOKUP(E7,Groups!A:A,Groups!N:N)="Snake",50*C7^(2/3)*S7,
IF(_xlfn.XLOOKUP(E7,Groups!A:A,Groups!N:N)="StrongBitingHerbivore",87.1133638856975*C7^(2/3)*S7,
IF(_xlfn.XLOOKUP(E7,Groups!A:A,Groups!N:N)="MiscEctotherms",59.4316884072269*C7^(2/3)*S7,
IF(_xlfn.XLOOKUP(E7,Groups!A:A,Groups!N:N)="StrongBeakBird",0.041*(C7*1000)^1.375*S7,
IF(_xlfn.XLOOKUP(E7,Groups!A:A,Groups!N:N)="Bird",0.118*(C7*1000)^0.692*S7,
IF(_xlfn.XLOOKUP(E7,Groups!A:A,Groups!N:N)="Insect",EXP(0.7444*LN(C7)+6.5696)*S7,
IF(_xlfn.XLOOKUP(E7,Groups!A:A,Groups!N:N)="Theropod",EXP(0.6966*LN(C7)+4.158)*S7,
"No"))))))))))))))))</f>
        <v>177.14145730489139</v>
      </c>
      <c r="AU7" s="8">
        <f>IF(_xlfn.XLOOKUP(E7,Groups!A:A,Groups!U:U)=3,AS7,IF(_xlfn.XLOOKUP(E7,Groups!A:A,Groups!U:U)=2,AR7,AT7))</f>
        <v>177.14145730489139</v>
      </c>
      <c r="AV7" s="46">
        <f>IFERROR(AVERAGE(_xlfn.XLOOKUP(B7,Animals!B:B,Animals!N:N),_xlfn.XLOOKUP(B7,Animals!B:B,Animals!O:O)),0)</f>
        <v>0</v>
      </c>
      <c r="AW7" s="8">
        <f>MROUND(40*Animals!AO7*_xlfn.XLOOKUP(AG7,Leathers!$A$2:$A$99,Leathers!$B$2:$B$99,0)+(140*_xlfn.XLOOKUP(B7,Animals!B:B,Animals!AO:AO)*2),5)</f>
        <v>265</v>
      </c>
      <c r="AX7" s="8">
        <f>IFERROR(ROUND(SQRT(V7-1)*IF(_xlfn.XLOOKUP(E7,Groups!A:A,Groups!BF:BF)=0,2,1)*IF(_xlfn.XLOOKUP('Base stats'!E7,Groups!A:A,Groups!O:O)=0,1,0.1),1),0)</f>
        <v>0.2</v>
      </c>
      <c r="AY7" s="8">
        <f t="shared" si="12"/>
        <v>1.2</v>
      </c>
      <c r="AZ7" s="8">
        <f t="shared" si="13"/>
        <v>0</v>
      </c>
      <c r="BA7" s="8">
        <f t="shared" si="14"/>
        <v>3</v>
      </c>
      <c r="BB7" s="8">
        <f>IF(_xlfn.XLOOKUP(E7,Groups!A:A,Groups!N:N)="Insect",BD7*2.5,IFERROR(AVERAGE(BD7,AT7/9.81/IF(OR(_xlfn.XLOOKUP(E7,Groups!A:A,Groups!N:N)="Pig",_xlfn.XLOOKUP(E7,Groups!A:A,Groups!N:N)="StrongBitingHerbivore"),20,25))*C7^-0.135,BD7))</f>
        <v>0.40935627162584132</v>
      </c>
      <c r="BC7" s="8" t="str">
        <f>IF(W7="No","No",IF(_xlfn.XLOOKUP(E7,Groups!A:A,Groups!U:U)=1,'Base stats'!BB7,IF(OR(_xlfn.XLOOKUP(E7,Groups!A:A,Groups!BD:BD)=1,_xlfn.XLOOKUP(E7,Groups!A:A,Groups!U:U)=2),BD7,IF(_xlfn.XLOOKUP(B7,Animals!B:B,Animals!AO:AO)&gt;4,AVERAGE(BD7,BF7),BF7))))</f>
        <v>No</v>
      </c>
      <c r="BD7" s="8">
        <f t="shared" si="15"/>
        <v>0.61989544824565768</v>
      </c>
      <c r="BE7" s="8">
        <f>IF(_xlfn.XLOOKUP(E7,Groups!A:A,Groups!BE:BE)=1,(0.048*C7^1.01)+(0.071*C7^1.03),0.071*C7^1.03)/IF(_xlfn.XLOOKUP(E7,Groups!A:A,Groups!M:M)=1,0.85,IF(OR(_xlfn.XLOOKUP(B7,Animals!B:B,Animals!AO:AO)&gt;4,_xlfn.XLOOKUP(E7,Groups!A:A,Groups!BC:BC)=1),1.7,1))*C7^-0.25</f>
        <v>2.0108303876739249</v>
      </c>
      <c r="BF7" s="8">
        <f>(0.048*C7^1.01)/IF(_xlfn.XLOOKUP(E7,Groups!A:A,Groups!M:M)=1,0.25,0.8)*C7^-0.25</f>
        <v>0.96989562992157141</v>
      </c>
      <c r="BG7" s="8">
        <f>EXP(1.076*LN(AR7)-4.5397)*IF(_xlfn.XLOOKUP(E7,Groups!A:A,Groups!BC:BC)=1,1.25,IF(_xlfn.XLOOKUP(E7,Groups!A:A,Groups!BD:BD)=1,3.5,2.5))</f>
        <v>54.835516318642945</v>
      </c>
      <c r="BH7" s="8">
        <f>EXP(1.076*LN(AS7)-4.5397)*IF(_xlfn.XLOOKUP(E7,Groups!A:A,Groups!M:M)=1,0.8,IF(_xlfn.XLOOKUP(E7,Groups!A:A,Groups!BC:BC)=1,1.3,3))</f>
        <v>72.774655160809999</v>
      </c>
      <c r="BI7" s="8" t="str">
        <f>IF(W7="No","No",IF(_xlfn.XLOOKUP(E7,Groups!A:A,Groups!U:U)=1,'Base stats'!BJ7,IF(OR(_xlfn.XLOOKUP(E7,Groups!A:A,Groups!BD:BD)=1,_xlfn.XLOOKUP(E7,Groups!A:A,Groups!U:U)=2),BG7,BH7))*1.2)</f>
        <v>No</v>
      </c>
      <c r="BJ7" s="8">
        <f>IFERROR(EXP(1.076*LN(AT7)-4.5397)*IF(_xlfn.XLOOKUP(E7,Groups!A:A,Groups!N:N)="Insect",1,IF(OR(_xlfn.XLOOKUP(E7,Groups!A:A,Groups!N:N)="Pig",_xlfn.XLOOKUP(E7,Groups!A:A,Groups!N:N)="StrongBitingHerbivore"),3.5,3.75)),"No")</f>
        <v>10.511317578789491</v>
      </c>
      <c r="BK7" s="8">
        <f t="shared" si="16"/>
        <v>13</v>
      </c>
      <c r="BL7" s="8">
        <f t="shared" si="17"/>
        <v>8</v>
      </c>
      <c r="BM7" s="8" t="str">
        <f t="shared" si="18"/>
        <v>No</v>
      </c>
      <c r="BN7" s="8">
        <f t="shared" si="19"/>
        <v>7</v>
      </c>
      <c r="BO7" s="8">
        <f t="shared" si="20"/>
        <v>12</v>
      </c>
      <c r="BP7" s="8" cm="1">
        <f t="array" ref="BP7">IF(AND(_xlfn.XLOOKUP('Base stats'!E7,Groups!A:A,Groups!AD:AD=0),_xlfn.XLOOKUP('Base stats'!E7,Groups!A:A,Groups!P:P=0)),"No",IF(U7="No",AVERAGE(EXP(-0.57+0.99*LN(C7)),EXP(0.32+0.67*LN(C7)))/IF(_xlfn.XLOOKUP(E7,Groups!A:A,Groups!AD:AD)=1,10,2),(0.7354*C7^0.4078)*2/IF(_xlfn.XLOOKUP(E7,Groups!A:A,Groups!BK:BK)=1,1000,100)/IF(_xlfn.XLOOKUP(E7,Groups!A:A,Groups!AJ:AJ)="Photonozoa",3,1)))</f>
        <v>6.5470981695459313E-2</v>
      </c>
      <c r="BQ7" s="8" t="str">
        <f>IF(W7="No","No",IF(_xlfn.XLOOKUP(E7,Groups!A:A,Groups!BD:BD)=1,(AO7*5%),EXP(0.7354*LN(C7)^0.4078)*2/IF(_xlfn.XLOOKUP(E7,Groups!A:A,Groups!BL:BL)=1,1000,100)/IF(_xlfn.XLOOKUP(E7,Groups!A:A,Groups!AJ:AJ)="Photonozoa",3,1)))</f>
        <v>No</v>
      </c>
      <c r="BR7" s="8">
        <f>IF(BJ7="No","No",IF(_xlfn.XLOOKUP(E7,Groups!A:A,Groups!BF:BF)=1,(0.0315*C7+2.1825)*2,(0.7354*C7^0.4078)*2)/IF(_xlfn.XLOOKUP(E7,Groups!A:A,Groups!BM:BM)=1,1000,100)/IF(_xlfn.XLOOKUP(E7,Groups!A:A,Groups!AJ:AJ)="Photonozoa",3,1))</f>
        <v>6.5470981695459313E-2</v>
      </c>
      <c r="BS7" s="8">
        <f t="shared" si="21"/>
        <v>9.1436659232256065E-2</v>
      </c>
      <c r="BT7" s="8">
        <f t="shared" si="22"/>
        <v>1111.5558874513902</v>
      </c>
      <c r="BU7" s="8" t="str">
        <f t="shared" si="23"/>
        <v>No</v>
      </c>
      <c r="BV7" s="8">
        <f t="shared" si="24"/>
        <v>160.54925871866826</v>
      </c>
      <c r="BW7" s="4">
        <v>0</v>
      </c>
      <c r="BX7" s="4">
        <v>1</v>
      </c>
    </row>
    <row r="8" spans="1:76" x14ac:dyDescent="0.25">
      <c r="A8" s="26" t="s">
        <v>48</v>
      </c>
      <c r="B8" s="27" t="s">
        <v>915</v>
      </c>
      <c r="C8" s="7">
        <v>6.05</v>
      </c>
      <c r="D8" s="7" t="s">
        <v>505</v>
      </c>
      <c r="E8" s="7" t="str">
        <f>Groups!$A$13</f>
        <v>Bird</v>
      </c>
      <c r="F8" s="7" t="str">
        <f t="shared" si="25"/>
        <v>Lay eggs</v>
      </c>
      <c r="G8" s="7">
        <f>304/365</f>
        <v>0.83287671232876714</v>
      </c>
      <c r="H8" s="7">
        <v>13</v>
      </c>
      <c r="I8" s="4">
        <v>1</v>
      </c>
      <c r="J8" s="7" t="str">
        <f t="shared" si="26"/>
        <v>Lay eggs</v>
      </c>
      <c r="K8" s="7" t="s">
        <v>505</v>
      </c>
      <c r="L8" s="7">
        <f>10*1.60934</f>
        <v>16.093399999999999</v>
      </c>
      <c r="M8" s="7" t="s">
        <v>628</v>
      </c>
      <c r="N8" s="4">
        <v>0</v>
      </c>
      <c r="O8" s="4">
        <v>0</v>
      </c>
      <c r="P8" s="4">
        <v>0</v>
      </c>
      <c r="Q8" s="4">
        <v>0</v>
      </c>
      <c r="R8" s="4" t="s">
        <v>40</v>
      </c>
      <c r="S8" s="7">
        <f>_xlfn.XLOOKUP(B8,[1]TeethAdjusters!$A:$A,[1]BiteAdjusters!$C:$C,1)</f>
        <v>1</v>
      </c>
      <c r="T8" s="7">
        <f>_xlfn.XLOOKUP(B8,[1]TeethAdjusters!$A:$A,[1]TeethAdjusters!$B:$B,1)</f>
        <v>1</v>
      </c>
      <c r="U8" s="7">
        <f>MROUND(3.81,0.05)</f>
        <v>3.8000000000000003</v>
      </c>
      <c r="V8" s="7">
        <f>MROUND(53.8/10,0.05)</f>
        <v>5.4</v>
      </c>
      <c r="W8" s="7" t="s">
        <v>45</v>
      </c>
      <c r="X8" s="7" t="s">
        <v>932</v>
      </c>
      <c r="Y8" s="4" t="s">
        <v>42</v>
      </c>
      <c r="Z8" s="4">
        <v>1</v>
      </c>
      <c r="AA8" s="4">
        <v>0</v>
      </c>
      <c r="AB8" s="4">
        <v>0</v>
      </c>
      <c r="AC8" s="4">
        <v>0</v>
      </c>
      <c r="AD8" s="4">
        <v>0</v>
      </c>
      <c r="AE8" s="4" t="s">
        <v>45</v>
      </c>
      <c r="AF8" s="4" t="s">
        <v>398</v>
      </c>
      <c r="AG8" s="49" t="s">
        <v>45</v>
      </c>
      <c r="AH8" s="4" t="s">
        <v>45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4" t="s">
        <v>40</v>
      </c>
      <c r="AO8" s="8">
        <f t="shared" si="10"/>
        <v>3576.5472944670596</v>
      </c>
      <c r="AP8" s="8">
        <f>IFERROR(C8*_xlfn.XLOOKUP(E8,Groups!A:A,Groups!K:K),0.106*C8^0.94)</f>
        <v>0.57564656494124489</v>
      </c>
      <c r="AQ8" s="8">
        <f>AP8*10000/(_xlfn.XLOOKUP(E8,Groups!A:A,Groups!J:J)*AO8)</f>
        <v>1.4766087825596328</v>
      </c>
      <c r="AR8" s="8">
        <f t="shared" si="11"/>
        <v>248.76513599148771</v>
      </c>
      <c r="AS8" s="8">
        <f>IF(_xlfn.XLOOKUP(E8,Groups!A:A,Groups!M:M)=1,EXP(0.7444*LN('Base stats'!C8)+6.5696),EXP(0.7927*LN('Base stats'!C8)+4.28))</f>
        <v>300.93858044455749</v>
      </c>
      <c r="AT8" s="8">
        <f>IF(_xlfn.XLOOKUP(E8,Groups!A:A,Groups!N:N)="No","No",
IF(_xlfn.XLOOKUP(E8,Groups!A:A,Groups!N:N)="Crocodile",EXP(0.8129*LN(C8)+4.6742)*S8,
IF(_xlfn.XLOOKUP(E8,Groups!A:A,Groups!N:N)="Felid",EXP(0.7843*LN(C8)+4.7073)*S8,
IF(_xlfn.XLOOKUP(E8,Groups!A:A,Groups!N:N)="Canid",EXP(0.8367*LN(C8)+4.8763)*S8,
IF(_xlfn.XLOOKUP(E8,Groups!A:A,Groups!N:N)="Pig",EXP(0.3439*LN(C8)+6.8519)*S8,
IF(_xlfn.XLOOKUP(E8,Groups!A:A,Groups!N:N)="Rodent",EXP(0.5625*LN(C8)+4.3006)*S8,
IF(_xlfn.XLOOKUP(E8,Groups!A:A,Groups!N:N)="Primate",EXP(0.7847*LN(C8)+3.4931)*S8,
IF(_xlfn.XLOOKUP(E8,Groups!A:A,Groups!N:N)="MiscCarnivora",EXP(0.7486*LN(C8)+4.2207)*S8,
IF(_xlfn.XLOOKUP(E8,Groups!A:A,Groups!N:N)="Lizard",EXP(0.7733*LN(C8)+5.5303)*S8,
IF(_xlfn.XLOOKUP(E8,Groups!A:A,Groups!N:N)="Snake",50*C8^(2/3)*S8,
IF(_xlfn.XLOOKUP(E8,Groups!A:A,Groups!N:N)="StrongBitingHerbivore",87.1133638856975*C8^(2/3)*S8,
IF(_xlfn.XLOOKUP(E8,Groups!A:A,Groups!N:N)="MiscEctotherms",59.4316884072269*C8^(2/3)*S8,
IF(_xlfn.XLOOKUP(E8,Groups!A:A,Groups!N:N)="StrongBeakBird",0.041*(C8*1000)^1.375*S8,
IF(_xlfn.XLOOKUP(E8,Groups!A:A,Groups!N:N)="Bird",0.118*(C8*1000)^0.692*S8,
IF(_xlfn.XLOOKUP(E8,Groups!A:A,Groups!N:N)="Insect",EXP(0.7444*LN(C8)+6.5696)*S8,
IF(_xlfn.XLOOKUP(E8,Groups!A:A,Groups!N:N)="Theropod",EXP(0.6966*LN(C8)+4.158)*S8,
"No"))))))))))))))))</f>
        <v>48.849117987211052</v>
      </c>
      <c r="AU8" s="8">
        <f>IF(_xlfn.XLOOKUP(E8,Groups!A:A,Groups!U:U)=3,AS8,IF(_xlfn.XLOOKUP(E8,Groups!A:A,Groups!U:U)=2,AR8,AT8))</f>
        <v>48.849117987211052</v>
      </c>
      <c r="AV8" s="46">
        <f>IFERROR(AVERAGE(_xlfn.XLOOKUP(B8,Animals!B:B,Animals!N:N),_xlfn.XLOOKUP(B8,Animals!B:B,Animals!O:O)),0)</f>
        <v>0</v>
      </c>
      <c r="AW8" s="8">
        <f>MROUND(40*Animals!AO8*_xlfn.XLOOKUP(AG8,Leathers!$A$2:$A$99,Leathers!$B$2:$B$99,0)+(140*_xlfn.XLOOKUP(B8,Animals!B:B,Animals!AO:AO)*2),5)</f>
        <v>100</v>
      </c>
      <c r="AX8" s="8">
        <f>IFERROR(ROUND(SQRT(V8-1)*IF(_xlfn.XLOOKUP(E8,Groups!A:A,Groups!BF:BF)=0,2,1)*IF(_xlfn.XLOOKUP('Base stats'!E8,Groups!A:A,Groups!O:O)=0,1,0.1),1),0)</f>
        <v>0.2</v>
      </c>
      <c r="AY8" s="8">
        <f t="shared" si="12"/>
        <v>1.7</v>
      </c>
      <c r="AZ8" s="8">
        <f t="shared" si="13"/>
        <v>0</v>
      </c>
      <c r="BA8" s="8">
        <f t="shared" si="14"/>
        <v>1.2</v>
      </c>
      <c r="BB8" s="8">
        <f>IF(_xlfn.XLOOKUP(E8,Groups!A:A,Groups!N:N)="Insect",BD8*2.5,IFERROR(AVERAGE(BD8,AT8/9.81/IF(OR(_xlfn.XLOOKUP(E8,Groups!A:A,Groups!N:N)="Pig",_xlfn.XLOOKUP(E8,Groups!A:A,Groups!N:N)="StrongBitingHerbivore"),20,25))*C8^-0.135,BD8))</f>
        <v>0.13783123466243782</v>
      </c>
      <c r="BC8" s="8" t="str">
        <f>IF(W8="No","No",IF(_xlfn.XLOOKUP(E8,Groups!A:A,Groups!U:U)=1,'Base stats'!BB8,IF(OR(_xlfn.XLOOKUP(E8,Groups!A:A,Groups!BD:BD)=1,_xlfn.XLOOKUP(E8,Groups!A:A,Groups!U:U)=2),BD8,IF(_xlfn.XLOOKUP(B8,Animals!B:B,Animals!AO:AO)&gt;4,AVERAGE(BD8,BF8),BF8))))</f>
        <v>No</v>
      </c>
      <c r="BD8" s="8">
        <f t="shared" si="15"/>
        <v>0.15231042133409653</v>
      </c>
      <c r="BE8" s="8">
        <f>IF(_xlfn.XLOOKUP(E8,Groups!A:A,Groups!BE:BE)=1,(0.048*C8^1.01)+(0.071*C8^1.03),0.071*C8^1.03)/IF(_xlfn.XLOOKUP(E8,Groups!A:A,Groups!M:M)=1,0.85,IF(OR(_xlfn.XLOOKUP(B8,Animals!B:B,Animals!AO:AO)&gt;4,_xlfn.XLOOKUP(E8,Groups!A:A,Groups!BC:BC)=1),1.7,1))*C8^-0.25</f>
        <v>0.47761408652845422</v>
      </c>
      <c r="BF8" s="8">
        <f>(0.048*C8^1.01)/IF(_xlfn.XLOOKUP(E8,Groups!A:A,Groups!M:M)=1,0.25,0.8)*C8^-0.25</f>
        <v>0.23565970794424401</v>
      </c>
      <c r="BG8" s="8">
        <f>EXP(1.076*LN(AR8)-4.5397)*IF(_xlfn.XLOOKUP(E8,Groups!A:A,Groups!BC:BC)=1,1.25,IF(_xlfn.XLOOKUP(E8,Groups!A:A,Groups!BD:BD)=1,3.5,2.5))</f>
        <v>10.098174401377193</v>
      </c>
      <c r="BH8" s="8">
        <f>EXP(1.076*LN(AS8)-4.5397)*IF(_xlfn.XLOOKUP(E8,Groups!A:A,Groups!M:M)=1,0.8,IF(_xlfn.XLOOKUP(E8,Groups!A:A,Groups!BC:BC)=1,1.3,3))</f>
        <v>14.872938469288957</v>
      </c>
      <c r="BI8" s="8" t="str">
        <f>IF(W8="No","No",IF(_xlfn.XLOOKUP(E8,Groups!A:A,Groups!U:U)=1,'Base stats'!BJ8,IF(OR(_xlfn.XLOOKUP(E8,Groups!A:A,Groups!BD:BD)=1,_xlfn.XLOOKUP(E8,Groups!A:A,Groups!U:U)=2),BG8,BH8))*1.2)</f>
        <v>No</v>
      </c>
      <c r="BJ8" s="8">
        <f>IFERROR(EXP(1.076*LN(AT8)-4.5397)*IF(_xlfn.XLOOKUP(E8,Groups!A:A,Groups!N:N)="Insect",1,IF(OR(_xlfn.XLOOKUP(E8,Groups!A:A,Groups!N:N)="Pig",_xlfn.XLOOKUP(E8,Groups!A:A,Groups!N:N)="StrongBitingHerbivore"),3.5,3.75)),"No")</f>
        <v>2.6282970404018968</v>
      </c>
      <c r="BK8" s="8">
        <f t="shared" si="16"/>
        <v>11</v>
      </c>
      <c r="BL8" s="8">
        <f t="shared" si="17"/>
        <v>7</v>
      </c>
      <c r="BM8" s="8" t="str">
        <f t="shared" si="18"/>
        <v>No</v>
      </c>
      <c r="BN8" s="8">
        <f t="shared" si="19"/>
        <v>6</v>
      </c>
      <c r="BO8" s="8">
        <f t="shared" si="20"/>
        <v>11</v>
      </c>
      <c r="BP8" s="8" cm="1">
        <f t="array" ref="BP8">IF(AND(_xlfn.XLOOKUP('Base stats'!E8,Groups!A:A,Groups!AD:AD=0),_xlfn.XLOOKUP('Base stats'!E8,Groups!A:A,Groups!P:P=0)),"No",IF(U8="No",AVERAGE(EXP(-0.57+0.99*LN(C8)),EXP(0.32+0.67*LN(C8)))/IF(_xlfn.XLOOKUP(E8,Groups!A:A,Groups!AD:AD)=1,10,2),(0.7354*C8^0.4078)*2/IF(_xlfn.XLOOKUP(E8,Groups!A:A,Groups!BK:BK)=1,1000,100)/IF(_xlfn.XLOOKUP(E8,Groups!A:A,Groups!AJ:AJ)="Photonozoa",3,1)))</f>
        <v>3.0644565145643288E-2</v>
      </c>
      <c r="BQ8" s="8" t="str">
        <f>IF(W8="No","No",IF(_xlfn.XLOOKUP(E8,Groups!A:A,Groups!BD:BD)=1,(AO8*5%),EXP(0.7354*LN(C8)^0.4078)*2/IF(_xlfn.XLOOKUP(E8,Groups!A:A,Groups!BL:BL)=1,1000,100)/IF(_xlfn.XLOOKUP(E8,Groups!A:A,Groups!AJ:AJ)="Photonozoa",3,1)))</f>
        <v>No</v>
      </c>
      <c r="BR8" s="8">
        <f>IF(BJ8="No","No",IF(_xlfn.XLOOKUP(E8,Groups!A:A,Groups!BF:BF)=1,(0.0315*C8+2.1825)*2,(0.7354*C8^0.4078)*2)/IF(_xlfn.XLOOKUP(E8,Groups!A:A,Groups!BM:BM)=1,1000,100)/IF(_xlfn.XLOOKUP(E8,Groups!A:A,Groups!AJ:AJ)="Photonozoa",3,1))</f>
        <v>3.0644565145643288E-2</v>
      </c>
      <c r="BS8" s="8">
        <f t="shared" si="21"/>
        <v>5.6468843104628477E-2</v>
      </c>
      <c r="BT8" s="8">
        <f t="shared" si="22"/>
        <v>485.33690716780922</v>
      </c>
      <c r="BU8" s="8" t="str">
        <f t="shared" si="23"/>
        <v>No</v>
      </c>
      <c r="BV8" s="8">
        <f t="shared" si="24"/>
        <v>85.767150811587214</v>
      </c>
      <c r="BW8" s="4">
        <v>0</v>
      </c>
      <c r="BX8" s="4">
        <v>1</v>
      </c>
    </row>
    <row r="9" spans="1:76" x14ac:dyDescent="0.25">
      <c r="A9" s="26" t="s">
        <v>49</v>
      </c>
      <c r="B9" s="27" t="s">
        <v>917</v>
      </c>
      <c r="C9" s="7">
        <f>AVERAGE(AVERAGE(7,9),AVERAGE(5,7))</f>
        <v>7</v>
      </c>
      <c r="D9" s="7" t="s">
        <v>935</v>
      </c>
      <c r="E9" s="7" t="str">
        <f>Groups!$A$9</f>
        <v>Bird (WATER)</v>
      </c>
      <c r="F9" s="7" t="str">
        <f t="shared" si="25"/>
        <v>Lay eggs</v>
      </c>
      <c r="G9" s="7">
        <f>9.5/12</f>
        <v>0.79166666666666663</v>
      </c>
      <c r="H9" s="7">
        <v>31</v>
      </c>
      <c r="I9" s="4">
        <v>0</v>
      </c>
      <c r="J9" s="7" t="str">
        <f t="shared" si="26"/>
        <v>Lay eggs</v>
      </c>
      <c r="K9" s="7" t="s">
        <v>514</v>
      </c>
      <c r="L9" s="7">
        <f>8.2*1.60934</f>
        <v>13.196587999999998</v>
      </c>
      <c r="M9" s="7" t="s">
        <v>628</v>
      </c>
      <c r="N9" s="4">
        <v>0</v>
      </c>
      <c r="O9" s="4">
        <v>2</v>
      </c>
      <c r="P9" s="4">
        <v>0</v>
      </c>
      <c r="Q9" s="4">
        <v>0</v>
      </c>
      <c r="R9" s="4" t="s">
        <v>40</v>
      </c>
      <c r="S9" s="7">
        <f>_xlfn.XLOOKUP(B9,[1]TeethAdjusters!$A:$A,[1]BiteAdjusters!$C:$C,1)</f>
        <v>1</v>
      </c>
      <c r="T9" s="7">
        <f>_xlfn.XLOOKUP(B9,[1]TeethAdjusters!$A:$A,[1]TeethAdjusters!$B:$B,1)</f>
        <v>1</v>
      </c>
      <c r="U9" s="7" t="s">
        <v>45</v>
      </c>
      <c r="V9" s="7">
        <f>MROUND(65.52/10,0.05)</f>
        <v>6.5500000000000007</v>
      </c>
      <c r="W9" s="7" t="s">
        <v>45</v>
      </c>
      <c r="X9" s="7" t="s">
        <v>932</v>
      </c>
      <c r="Y9" s="4" t="s">
        <v>42</v>
      </c>
      <c r="Z9" s="4">
        <v>1</v>
      </c>
      <c r="AA9" s="4">
        <v>0</v>
      </c>
      <c r="AB9" s="4">
        <v>0</v>
      </c>
      <c r="AC9" s="4">
        <v>0</v>
      </c>
      <c r="AD9" s="4">
        <v>0</v>
      </c>
      <c r="AE9" s="4" t="s">
        <v>45</v>
      </c>
      <c r="AF9" s="4" t="s">
        <v>398</v>
      </c>
      <c r="AG9" s="49" t="s">
        <v>45</v>
      </c>
      <c r="AH9" s="4" t="s">
        <v>45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4" t="s">
        <v>40</v>
      </c>
      <c r="AO9" s="8">
        <f t="shared" si="10"/>
        <v>3932.2100134345378</v>
      </c>
      <c r="AP9" s="8">
        <f>IFERROR(C9*_xlfn.XLOOKUP(E9,Groups!A:A,Groups!K:K),0.106*C9^0.94)</f>
        <v>0.66023420902049956</v>
      </c>
      <c r="AQ9" s="8">
        <f>AP9*10000/(_xlfn.XLOOKUP(E9,Groups!A:A,Groups!J:J)*AO9)</f>
        <v>1.5404046471259409</v>
      </c>
      <c r="AR9" s="8">
        <f t="shared" si="11"/>
        <v>281.38119135361171</v>
      </c>
      <c r="AS9" s="8">
        <f>IF(_xlfn.XLOOKUP(E9,Groups!A:A,Groups!M:M)=1,EXP(0.7444*LN('Base stats'!C9)+6.5696),EXP(0.7927*LN('Base stats'!C9)+4.28))</f>
        <v>337.82329913378123</v>
      </c>
      <c r="AT9" s="8">
        <f>IF(_xlfn.XLOOKUP(E9,Groups!A:A,Groups!N:N)="No","No",
IF(_xlfn.XLOOKUP(E9,Groups!A:A,Groups!N:N)="Crocodile",EXP(0.8129*LN(C9)+4.6742)*S9,
IF(_xlfn.XLOOKUP(E9,Groups!A:A,Groups!N:N)="Felid",EXP(0.7843*LN(C9)+4.7073)*S9,
IF(_xlfn.XLOOKUP(E9,Groups!A:A,Groups!N:N)="Canid",EXP(0.8367*LN(C9)+4.8763)*S9,
IF(_xlfn.XLOOKUP(E9,Groups!A:A,Groups!N:N)="Pig",EXP(0.3439*LN(C9)+6.8519)*S9,
IF(_xlfn.XLOOKUP(E9,Groups!A:A,Groups!N:N)="Rodent",EXP(0.5625*LN(C9)+4.3006)*S9,
IF(_xlfn.XLOOKUP(E9,Groups!A:A,Groups!N:N)="Primate",EXP(0.7847*LN(C9)+3.4931)*S9,
IF(_xlfn.XLOOKUP(E9,Groups!A:A,Groups!N:N)="MiscCarnivora",EXP(0.7486*LN(C9)+4.2207)*S9,
IF(_xlfn.XLOOKUP(E9,Groups!A:A,Groups!N:N)="Lizard",EXP(0.7733*LN(C9)+5.5303)*S9,
IF(_xlfn.XLOOKUP(E9,Groups!A:A,Groups!N:N)="Snake",50*C9^(2/3)*S9,
IF(_xlfn.XLOOKUP(E9,Groups!A:A,Groups!N:N)="StrongBitingHerbivore",87.1133638856975*C9^(2/3)*S9,
IF(_xlfn.XLOOKUP(E9,Groups!A:A,Groups!N:N)="MiscEctotherms",59.4316884072269*C9^(2/3)*S9,
IF(_xlfn.XLOOKUP(E9,Groups!A:A,Groups!N:N)="StrongBeakBird",0.041*(C9*1000)^1.375*S9,
IF(_xlfn.XLOOKUP(E9,Groups!A:A,Groups!N:N)="Bird",0.118*(C9*1000)^0.692*S9,
IF(_xlfn.XLOOKUP(E9,Groups!A:A,Groups!N:N)="Insect",EXP(0.7444*LN(C9)+6.5696)*S9,
IF(_xlfn.XLOOKUP(E9,Groups!A:A,Groups!N:N)="Theropod",EXP(0.6966*LN(C9)+4.158)*S9,
"No"))))))))))))))))</f>
        <v>54.036828409463233</v>
      </c>
      <c r="AU9" s="8">
        <f>IF(_xlfn.XLOOKUP(E9,Groups!A:A,Groups!U:U)=3,AS9,IF(_xlfn.XLOOKUP(E9,Groups!A:A,Groups!U:U)=2,AR9,AT9))</f>
        <v>54.036828409463233</v>
      </c>
      <c r="AV9" s="46">
        <f>IFERROR(AVERAGE(_xlfn.XLOOKUP(B9,Animals!B:B,Animals!N:N),_xlfn.XLOOKUP(B9,Animals!B:B,Animals!O:O)),0)</f>
        <v>0</v>
      </c>
      <c r="AW9" s="8">
        <f>MROUND(40*Animals!AO9*_xlfn.XLOOKUP(AG9,Leathers!$A$2:$A$99,Leathers!$B$2:$B$99,0)+(140*_xlfn.XLOOKUP(B9,Animals!B:B,Animals!AO:AO)*2),5)</f>
        <v>100</v>
      </c>
      <c r="AX9" s="8">
        <f>IFERROR(ROUND(SQRT(V9-1)*IF(_xlfn.XLOOKUP(E9,Groups!A:A,Groups!BF:BF)=0,2,1)*IF(_xlfn.XLOOKUP('Base stats'!E9,Groups!A:A,Groups!O:O)=0,1,0.1),1),0)</f>
        <v>0.2</v>
      </c>
      <c r="AY9" s="8">
        <f t="shared" si="12"/>
        <v>0</v>
      </c>
      <c r="AZ9" s="8">
        <f t="shared" si="13"/>
        <v>0</v>
      </c>
      <c r="BA9" s="8">
        <f t="shared" si="14"/>
        <v>1.3</v>
      </c>
      <c r="BB9" s="8">
        <f>IF(_xlfn.XLOOKUP(E9,Groups!A:A,Groups!N:N)="Insect",BD9*2.5,IFERROR(AVERAGE(BD9,AT9/9.81/IF(OR(_xlfn.XLOOKUP(E9,Groups!A:A,Groups!N:N)="Pig",_xlfn.XLOOKUP(E9,Groups!A:A,Groups!N:N)="StrongBitingHerbivore"),20,25))*C9^-0.135,BD9))</f>
        <v>0.15008443392714035</v>
      </c>
      <c r="BC9" s="8" t="str">
        <f>IF(W9="No","No",IF(_xlfn.XLOOKUP(E9,Groups!A:A,Groups!U:U)=1,'Base stats'!BB9,IF(OR(_xlfn.XLOOKUP(E9,Groups!A:A,Groups!BD:BD)=1,_xlfn.XLOOKUP(E9,Groups!A:A,Groups!U:U)=2),BD9,IF(_xlfn.XLOOKUP(B9,Animals!B:B,Animals!AO:AO)&gt;4,AVERAGE(BD9,BF9),BF9))))</f>
        <v>No</v>
      </c>
      <c r="BD9" s="8">
        <f t="shared" si="15"/>
        <v>0.17001607632285015</v>
      </c>
      <c r="BE9" s="8">
        <f>IF(_xlfn.XLOOKUP(E9,Groups!A:A,Groups!BE:BE)=1,(0.048*C9^1.01)+(0.071*C9^1.03),0.071*C9^1.03)/IF(_xlfn.XLOOKUP(E9,Groups!A:A,Groups!M:M)=1,0.85,IF(OR(_xlfn.XLOOKUP(B9,Animals!B:B,Animals!AO:AO)&gt;4,_xlfn.XLOOKUP(E9,Groups!A:A,Groups!BC:BC)=1),1.7,1))*C9^-0.25</f>
        <v>0.53454563159771051</v>
      </c>
      <c r="BF9" s="8">
        <f>(0.048*C9^1.01)/IF(_xlfn.XLOOKUP(E9,Groups!A:A,Groups!M:M)=1,0.25,0.8)*C9^-0.25</f>
        <v>0.26328478406986983</v>
      </c>
      <c r="BG9" s="8">
        <f>EXP(1.076*LN(AR9)-4.5397)*IF(_xlfn.XLOOKUP(E9,Groups!A:A,Groups!BC:BC)=1,1.25,IF(_xlfn.XLOOKUP(E9,Groups!A:A,Groups!BD:BD)=1,3.5,2.5))</f>
        <v>11.529615867397807</v>
      </c>
      <c r="BH9" s="8">
        <f>EXP(1.076*LN(AS9)-4.5397)*IF(_xlfn.XLOOKUP(E9,Groups!A:A,Groups!M:M)=1,0.8,IF(_xlfn.XLOOKUP(E9,Groups!A:A,Groups!BC:BC)=1,1.3,3))</f>
        <v>16.843199922878384</v>
      </c>
      <c r="BI9" s="8" t="str">
        <f>IF(W9="No","No",IF(_xlfn.XLOOKUP(E9,Groups!A:A,Groups!U:U)=1,'Base stats'!BJ9,IF(OR(_xlfn.XLOOKUP(E9,Groups!A:A,Groups!BD:BD)=1,_xlfn.XLOOKUP(E9,Groups!A:A,Groups!U:U)=2),BG9,BH9))*1.2)</f>
        <v>No</v>
      </c>
      <c r="BJ9" s="8">
        <f>IFERROR(EXP(1.076*LN(AT9)-4.5397)*IF(_xlfn.XLOOKUP(E9,Groups!A:A,Groups!N:N)="Insect",1,IF(OR(_xlfn.XLOOKUP(E9,Groups!A:A,Groups!N:N)="Pig",_xlfn.XLOOKUP(E9,Groups!A:A,Groups!N:N)="StrongBitingHerbivore"),3.5,3.75)),"No")</f>
        <v>2.9298061607967276</v>
      </c>
      <c r="BK9" s="8">
        <f t="shared" si="16"/>
        <v>11</v>
      </c>
      <c r="BL9" s="8">
        <f t="shared" si="17"/>
        <v>7</v>
      </c>
      <c r="BM9" s="8" t="str">
        <f t="shared" si="18"/>
        <v>No</v>
      </c>
      <c r="BN9" s="8">
        <f t="shared" si="19"/>
        <v>6</v>
      </c>
      <c r="BO9" s="8">
        <f t="shared" si="20"/>
        <v>11</v>
      </c>
      <c r="BP9" s="8" t="str" cm="1">
        <f t="array" ref="BP9">IF(AND(_xlfn.XLOOKUP('Base stats'!E9,Groups!A:A,Groups!AD:AD=0),_xlfn.XLOOKUP('Base stats'!E9,Groups!A:A,Groups!P:P=0)),"No",IF(U9="No",AVERAGE(EXP(-0.57+0.99*LN(C9)),EXP(0.32+0.67*LN(C9)))/IF(_xlfn.XLOOKUP(E9,Groups!A:A,Groups!AD:AD)=1,10,2),(0.7354*C9^0.4078)*2/IF(_xlfn.XLOOKUP(E9,Groups!A:A,Groups!BK:BK)=1,1000,100)/IF(_xlfn.XLOOKUP(E9,Groups!A:A,Groups!AJ:AJ)="Photonozoa",3,1)))</f>
        <v>No</v>
      </c>
      <c r="BQ9" s="8" t="str">
        <f>IF(W9="No","No",IF(_xlfn.XLOOKUP(E9,Groups!A:A,Groups!BD:BD)=1,(AO9*5%),EXP(0.7354*LN(C9)^0.4078)*2/IF(_xlfn.XLOOKUP(E9,Groups!A:A,Groups!BL:BL)=1,1000,100)/IF(_xlfn.XLOOKUP(E9,Groups!A:A,Groups!AJ:AJ)="Photonozoa",3,1)))</f>
        <v>No</v>
      </c>
      <c r="BR9" s="8">
        <f>IF(BJ9="No","No",IF(_xlfn.XLOOKUP(E9,Groups!A:A,Groups!BF:BF)=1,(0.0315*C9+2.1825)*2,(0.7354*C9^0.4078)*2)/IF(_xlfn.XLOOKUP(E9,Groups!A:A,Groups!BM:BM)=1,1000,100)/IF(_xlfn.XLOOKUP(E9,Groups!A:A,Groups!AJ:AJ)="Photonozoa",3,1))</f>
        <v>3.2522550888977909E-2</v>
      </c>
      <c r="BS9" s="8">
        <f t="shared" si="21"/>
        <v>5.8641912959920536E-2</v>
      </c>
      <c r="BT9" s="8" t="str">
        <f t="shared" si="22"/>
        <v>No</v>
      </c>
      <c r="BU9" s="8" t="str">
        <f t="shared" si="23"/>
        <v>No</v>
      </c>
      <c r="BV9" s="8">
        <f t="shared" si="24"/>
        <v>90.085374016269327</v>
      </c>
      <c r="BW9" s="4">
        <v>0</v>
      </c>
      <c r="BX9" s="4">
        <v>1</v>
      </c>
    </row>
    <row r="10" spans="1:76" x14ac:dyDescent="0.25">
      <c r="A10" s="26" t="s">
        <v>50</v>
      </c>
      <c r="B10" s="27" t="s">
        <v>916</v>
      </c>
      <c r="C10" s="7">
        <v>1.048</v>
      </c>
      <c r="D10" s="7" t="s">
        <v>506</v>
      </c>
      <c r="E10" s="7" t="str">
        <f>Groups!$A$9</f>
        <v>Bird (WATER)</v>
      </c>
      <c r="F10" s="7" t="str">
        <f t="shared" si="25"/>
        <v>Lay eggs</v>
      </c>
      <c r="G10" s="7">
        <f>365/365</f>
        <v>1</v>
      </c>
      <c r="H10" s="7">
        <v>29.1</v>
      </c>
      <c r="I10" s="4">
        <v>0</v>
      </c>
      <c r="J10" s="7" t="str">
        <f t="shared" si="26"/>
        <v>Lay eggs</v>
      </c>
      <c r="K10" s="7" t="s">
        <v>506</v>
      </c>
      <c r="L10" s="7">
        <f>8.2*1.60934</f>
        <v>13.196587999999998</v>
      </c>
      <c r="M10" s="7" t="s">
        <v>628</v>
      </c>
      <c r="N10" s="4">
        <v>0</v>
      </c>
      <c r="O10" s="4">
        <v>0</v>
      </c>
      <c r="P10" s="4">
        <v>0</v>
      </c>
      <c r="Q10" s="4">
        <v>0</v>
      </c>
      <c r="R10" s="4" t="s">
        <v>40</v>
      </c>
      <c r="S10" s="7">
        <f>_xlfn.XLOOKUP(B10,[1]TeethAdjusters!$A:$A,[1]BiteAdjusters!$C:$C,1)</f>
        <v>1</v>
      </c>
      <c r="T10" s="7">
        <f>_xlfn.XLOOKUP(B10,[1]TeethAdjusters!$A:$A,[1]TeethAdjusters!$B:$B,1)</f>
        <v>1</v>
      </c>
      <c r="U10" s="7" t="s">
        <v>45</v>
      </c>
      <c r="V10" s="7">
        <v>2</v>
      </c>
      <c r="W10" s="7" t="s">
        <v>45</v>
      </c>
      <c r="X10" s="7" t="s">
        <v>932</v>
      </c>
      <c r="Y10" s="4" t="s">
        <v>42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 t="s">
        <v>45</v>
      </c>
      <c r="AF10" s="4" t="s">
        <v>398</v>
      </c>
      <c r="AG10" s="49" t="s">
        <v>45</v>
      </c>
      <c r="AH10" s="4" t="s">
        <v>45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4" t="s">
        <v>40</v>
      </c>
      <c r="AO10" s="8">
        <f t="shared" si="10"/>
        <v>1144.3472031391052</v>
      </c>
      <c r="AP10" s="8">
        <f>IFERROR(C10*_xlfn.XLOOKUP(E10,Groups!A:A,Groups!K:K),0.106*C10^0.94)</f>
        <v>0.1107759468834274</v>
      </c>
      <c r="AQ10" s="8">
        <f>AP10*10000/(_xlfn.XLOOKUP(E10,Groups!A:A,Groups!J:J)*AO10)</f>
        <v>0.8880985490118829</v>
      </c>
      <c r="AR10" s="8">
        <f t="shared" si="11"/>
        <v>56.577001290545205</v>
      </c>
      <c r="AS10" s="8">
        <f>IF(_xlfn.XLOOKUP(E10,Groups!A:A,Groups!M:M)=1,EXP(0.7444*LN('Base stats'!C10)+6.5696),EXP(0.7927*LN('Base stats'!C10)+4.28))</f>
        <v>74.975741799342956</v>
      </c>
      <c r="AT10" s="8">
        <f>IF(_xlfn.XLOOKUP(E10,Groups!A:A,Groups!N:N)="No","No",
IF(_xlfn.XLOOKUP(E10,Groups!A:A,Groups!N:N)="Crocodile",EXP(0.8129*LN(C10)+4.6742)*S10,
IF(_xlfn.XLOOKUP(E10,Groups!A:A,Groups!N:N)="Felid",EXP(0.7843*LN(C10)+4.7073)*S10,
IF(_xlfn.XLOOKUP(E10,Groups!A:A,Groups!N:N)="Canid",EXP(0.8367*LN(C10)+4.8763)*S10,
IF(_xlfn.XLOOKUP(E10,Groups!A:A,Groups!N:N)="Pig",EXP(0.3439*LN(C10)+6.8519)*S10,
IF(_xlfn.XLOOKUP(E10,Groups!A:A,Groups!N:N)="Rodent",EXP(0.5625*LN(C10)+4.3006)*S10,
IF(_xlfn.XLOOKUP(E10,Groups!A:A,Groups!N:N)="Primate",EXP(0.7847*LN(C10)+3.4931)*S10,
IF(_xlfn.XLOOKUP(E10,Groups!A:A,Groups!N:N)="MiscCarnivora",EXP(0.7486*LN(C10)+4.2207)*S10,
IF(_xlfn.XLOOKUP(E10,Groups!A:A,Groups!N:N)="Lizard",EXP(0.7733*LN(C10)+5.5303)*S10,
IF(_xlfn.XLOOKUP(E10,Groups!A:A,Groups!N:N)="Snake",50*C10^(2/3)*S10,
IF(_xlfn.XLOOKUP(E10,Groups!A:A,Groups!N:N)="StrongBitingHerbivore",87.1133638856975*C10^(2/3)*S10,
IF(_xlfn.XLOOKUP(E10,Groups!A:A,Groups!N:N)="MiscEctotherms",59.4316884072269*C10^(2/3)*S10,
IF(_xlfn.XLOOKUP(E10,Groups!A:A,Groups!N:N)="StrongBeakBird",0.041*(C10*1000)^1.375*S10,
IF(_xlfn.XLOOKUP(E10,Groups!A:A,Groups!N:N)="Bird",0.118*(C10*1000)^0.692*S10,
IF(_xlfn.XLOOKUP(E10,Groups!A:A,Groups!N:N)="Insect",EXP(0.7444*LN(C10)+6.5696)*S10,
IF(_xlfn.XLOOKUP(E10,Groups!A:A,Groups!N:N)="Theropod",EXP(0.6966*LN(C10)+4.158)*S10,
"No"))))))))))))))))</f>
        <v>14.520180493209054</v>
      </c>
      <c r="AU10" s="8">
        <f>IF(_xlfn.XLOOKUP(E10,Groups!A:A,Groups!U:U)=3,AS10,IF(_xlfn.XLOOKUP(E10,Groups!A:A,Groups!U:U)=2,AR10,AT10))</f>
        <v>14.520180493209054</v>
      </c>
      <c r="AV10" s="46">
        <f>IFERROR(AVERAGE(_xlfn.XLOOKUP(B10,Animals!B:B,Animals!N:N),_xlfn.XLOOKUP(B10,Animals!B:B,Animals!O:O)),0)</f>
        <v>0</v>
      </c>
      <c r="AW10" s="8">
        <f>MROUND(40*Animals!AO10*_xlfn.XLOOKUP(AG10,Leathers!$A$2:$A$99,Leathers!$B$2:$B$99,0)+(140*_xlfn.XLOOKUP(B10,Animals!B:B,Animals!AO:AO)*2),5)</f>
        <v>40</v>
      </c>
      <c r="AX10" s="8">
        <f>IFERROR(ROUND(SQRT(V10-1)*IF(_xlfn.XLOOKUP(E10,Groups!A:A,Groups!BF:BF)=0,2,1)*IF(_xlfn.XLOOKUP('Base stats'!E10,Groups!A:A,Groups!O:O)=0,1,0.1),1),0)</f>
        <v>0.1</v>
      </c>
      <c r="AY10" s="8">
        <f t="shared" si="12"/>
        <v>0</v>
      </c>
      <c r="AZ10" s="8">
        <f t="shared" si="13"/>
        <v>0</v>
      </c>
      <c r="BA10" s="8">
        <f t="shared" si="14"/>
        <v>0.6</v>
      </c>
      <c r="BB10" s="8">
        <f>IF(_xlfn.XLOOKUP(E10,Groups!A:A,Groups!N:N)="Insect",BD10*2.5,IFERROR(AVERAGE(BD10,AT10/9.81/IF(OR(_xlfn.XLOOKUP(E10,Groups!A:A,Groups!N:N)="Pig",_xlfn.XLOOKUP(E10,Groups!A:A,Groups!N:N)="StrongBitingHerbivore"),20,25))*C10^-0.135,BD10))</f>
        <v>4.9593186081444286E-2</v>
      </c>
      <c r="BC10" s="8" t="str">
        <f>IF(W10="No","No",IF(_xlfn.XLOOKUP(E10,Groups!A:A,Groups!U:U)=1,'Base stats'!BB10,IF(OR(_xlfn.XLOOKUP(E10,Groups!A:A,Groups!BD:BD)=1,_xlfn.XLOOKUP(E10,Groups!A:A,Groups!U:U)=2),BD10,IF(_xlfn.XLOOKUP(B10,Animals!B:B,Animals!AO:AO)&gt;4,AVERAGE(BD10,BF10),BF10))))</f>
        <v>No</v>
      </c>
      <c r="BD10" s="8">
        <f t="shared" si="15"/>
        <v>4.0610512861484392E-2</v>
      </c>
      <c r="BE10" s="8">
        <f>IF(_xlfn.XLOOKUP(E10,Groups!A:A,Groups!BE:BE)=1,(0.048*C10^1.01)+(0.071*C10^1.03),0.071*C10^1.03)/IF(_xlfn.XLOOKUP(E10,Groups!A:A,Groups!M:M)=1,0.85,IF(OR(_xlfn.XLOOKUP(B10,Animals!B:B,Animals!AO:AO)&gt;4,_xlfn.XLOOKUP(E10,Groups!A:A,Groups!BC:BC)=1),1.7,1))*C10^-0.25</f>
        <v>0.12338562028414318</v>
      </c>
      <c r="BF10" s="8">
        <f>(0.048*C10^1.01)/IF(_xlfn.XLOOKUP(E10,Groups!A:A,Groups!M:M)=1,0.25,0.8)*C10^-0.25</f>
        <v>6.2176436123280387E-2</v>
      </c>
      <c r="BG10" s="8">
        <f>EXP(1.076*LN(AR10)-4.5397)*IF(_xlfn.XLOOKUP(E10,Groups!A:A,Groups!BC:BC)=1,1.25,IF(_xlfn.XLOOKUP(E10,Groups!A:A,Groups!BD:BD)=1,3.5,2.5))</f>
        <v>2.0521727128529421</v>
      </c>
      <c r="BH10" s="8">
        <f>EXP(1.076*LN(AS10)-4.5397)*IF(_xlfn.XLOOKUP(E10,Groups!A:A,Groups!M:M)=1,0.8,IF(_xlfn.XLOOKUP(E10,Groups!A:A,Groups!BC:BC)=1,1.3,3))</f>
        <v>3.3340287855159279</v>
      </c>
      <c r="BI10" s="8" t="str">
        <f>IF(W10="No","No",IF(_xlfn.XLOOKUP(E10,Groups!A:A,Groups!U:U)=1,'Base stats'!BJ10,IF(OR(_xlfn.XLOOKUP(E10,Groups!A:A,Groups!BD:BD)=1,_xlfn.XLOOKUP(E10,Groups!A:A,Groups!U:U)=2),BG10,BH10))*1.2)</f>
        <v>No</v>
      </c>
      <c r="BJ10" s="8">
        <f>IFERROR(EXP(1.076*LN(AT10)-4.5397)*IF(_xlfn.XLOOKUP(E10,Groups!A:A,Groups!N:N)="Insect",1,IF(OR(_xlfn.XLOOKUP(E10,Groups!A:A,Groups!N:N)="Pig",_xlfn.XLOOKUP(E10,Groups!A:A,Groups!N:N)="StrongBitingHerbivore"),3.5,3.75)),"No")</f>
        <v>0.71243704930306051</v>
      </c>
      <c r="BK10" s="8">
        <f t="shared" si="16"/>
        <v>10</v>
      </c>
      <c r="BL10" s="8">
        <f t="shared" si="17"/>
        <v>7</v>
      </c>
      <c r="BM10" s="8" t="str">
        <f t="shared" si="18"/>
        <v>No</v>
      </c>
      <c r="BN10" s="8">
        <f t="shared" si="19"/>
        <v>5</v>
      </c>
      <c r="BO10" s="8">
        <f t="shared" si="20"/>
        <v>10</v>
      </c>
      <c r="BP10" s="8" t="str" cm="1">
        <f t="array" ref="BP10">IF(AND(_xlfn.XLOOKUP('Base stats'!E10,Groups!A:A,Groups!AD:AD=0),_xlfn.XLOOKUP('Base stats'!E10,Groups!A:A,Groups!P:P=0)),"No",IF(U10="No",AVERAGE(EXP(-0.57+0.99*LN(C10)),EXP(0.32+0.67*LN(C10)))/IF(_xlfn.XLOOKUP(E10,Groups!A:A,Groups!AD:AD)=1,10,2),(0.7354*C10^0.4078)*2/IF(_xlfn.XLOOKUP(E10,Groups!A:A,Groups!BK:BK)=1,1000,100)/IF(_xlfn.XLOOKUP(E10,Groups!A:A,Groups!AJ:AJ)="Photonozoa",3,1)))</f>
        <v>No</v>
      </c>
      <c r="BQ10" s="8" t="str">
        <f>IF(W10="No","No",IF(_xlfn.XLOOKUP(E10,Groups!A:A,Groups!BD:BD)=1,(AO10*5%),EXP(0.7354*LN(C10)^0.4078)*2/IF(_xlfn.XLOOKUP(E10,Groups!A:A,Groups!BL:BL)=1,1000,100)/IF(_xlfn.XLOOKUP(E10,Groups!A:A,Groups!AJ:AJ)="Photonozoa",3,1)))</f>
        <v>No</v>
      </c>
      <c r="BR10" s="8">
        <f>IF(BJ10="No","No",IF(_xlfn.XLOOKUP(E10,Groups!A:A,Groups!BF:BF)=1,(0.0315*C10+2.1825)*2,(0.7354*C10^0.4078)*2)/IF(_xlfn.XLOOKUP(E10,Groups!A:A,Groups!BM:BM)=1,1000,100)/IF(_xlfn.XLOOKUP(E10,Groups!A:A,Groups!AJ:AJ)="Photonozoa",3,1))</f>
        <v>1.4991909512646557E-2</v>
      </c>
      <c r="BS10" s="8">
        <f t="shared" si="21"/>
        <v>3.586625994669352E-2</v>
      </c>
      <c r="BT10" s="8" t="str">
        <f t="shared" si="22"/>
        <v>No</v>
      </c>
      <c r="BU10" s="8" t="str">
        <f t="shared" si="23"/>
        <v>No</v>
      </c>
      <c r="BV10" s="8">
        <f t="shared" si="24"/>
        <v>47.521434724647854</v>
      </c>
      <c r="BW10" s="4">
        <v>0</v>
      </c>
      <c r="BX10" s="4">
        <v>1</v>
      </c>
    </row>
    <row r="11" spans="1:76" x14ac:dyDescent="0.25">
      <c r="A11" s="26" t="s">
        <v>51</v>
      </c>
      <c r="B11" s="6" t="s">
        <v>52</v>
      </c>
      <c r="C11" s="7">
        <f>AVERAGE(AVERAGE(1.9,2.2),AVERAGE(2.6,2.8))</f>
        <v>2.375</v>
      </c>
      <c r="D11" s="7" t="s">
        <v>935</v>
      </c>
      <c r="E11" s="7" t="str">
        <f>Groups!$A$13</f>
        <v>Bird</v>
      </c>
      <c r="F11" s="7" t="str">
        <f t="shared" si="25"/>
        <v>Lay eggs</v>
      </c>
      <c r="G11" s="7">
        <f>170/365</f>
        <v>0.46575342465753422</v>
      </c>
      <c r="H11" s="7">
        <v>30</v>
      </c>
      <c r="I11" s="4">
        <v>0</v>
      </c>
      <c r="J11" s="7" t="str">
        <f t="shared" ref="J11" si="27">"Lay eggs"</f>
        <v>Lay eggs</v>
      </c>
      <c r="K11" s="7" t="s">
        <v>515</v>
      </c>
      <c r="L11" s="7">
        <f>10*1.60934</f>
        <v>16.093399999999999</v>
      </c>
      <c r="M11" s="7" t="s">
        <v>628</v>
      </c>
      <c r="N11" s="4">
        <v>0</v>
      </c>
      <c r="O11" s="4">
        <v>2</v>
      </c>
      <c r="P11" s="4">
        <v>0</v>
      </c>
      <c r="Q11" s="4">
        <v>0</v>
      </c>
      <c r="R11" s="4" t="s">
        <v>40</v>
      </c>
      <c r="S11" s="7">
        <f>_xlfn.XLOOKUP(B11,[1]TeethAdjusters!$A:$A,[1]BiteAdjusters!$C:$C,1)</f>
        <v>1</v>
      </c>
      <c r="T11" s="7">
        <f>_xlfn.XLOOKUP(B11,[1]TeethAdjusters!$A:$A,[1]TeethAdjusters!$B:$B,1)</f>
        <v>1</v>
      </c>
      <c r="U11" s="7">
        <f>MROUND(20.21/10,19.48/10)</f>
        <v>1.948</v>
      </c>
      <c r="V11" s="7">
        <f>MROUND(AVERAGE(2.06,1.78),0.05)</f>
        <v>1.9000000000000001</v>
      </c>
      <c r="W11" s="7" t="s">
        <v>45</v>
      </c>
      <c r="X11" s="7" t="s">
        <v>932</v>
      </c>
      <c r="Y11" s="4" t="s">
        <v>1003</v>
      </c>
      <c r="Z11" s="4">
        <v>1</v>
      </c>
      <c r="AA11" s="4">
        <v>0</v>
      </c>
      <c r="AB11" s="4">
        <v>0</v>
      </c>
      <c r="AC11" s="4">
        <v>0</v>
      </c>
      <c r="AD11" s="4">
        <v>0</v>
      </c>
      <c r="AE11" s="4" t="s">
        <v>45</v>
      </c>
      <c r="AF11" s="4" t="s">
        <v>398</v>
      </c>
      <c r="AG11" s="49" t="s">
        <v>45</v>
      </c>
      <c r="AH11" s="4" t="s">
        <v>45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4" t="s">
        <v>40</v>
      </c>
      <c r="AO11" s="8">
        <f t="shared" si="10"/>
        <v>1947.6204584070247</v>
      </c>
      <c r="AP11" s="8">
        <f>IFERROR(C11*_xlfn.XLOOKUP(E11,Groups!A:A,Groups!K:K),0.106*C11^0.94)</f>
        <v>0.23901747952605451</v>
      </c>
      <c r="AQ11" s="8">
        <f>AP11*10000/(_xlfn.XLOOKUP(E11,Groups!A:A,Groups!J:J)*AO11)</f>
        <v>1.1258974527699281</v>
      </c>
      <c r="AR11" s="8">
        <f t="shared" si="11"/>
        <v>112.91816303911712</v>
      </c>
      <c r="AS11" s="8">
        <f>IF(_xlfn.XLOOKUP(E11,Groups!A:A,Groups!M:M)=1,EXP(0.7444*LN('Base stats'!C11)+6.5696),EXP(0.7927*LN('Base stats'!C11)+4.28))</f>
        <v>143.40653066072181</v>
      </c>
      <c r="AT11" s="8">
        <f>IF(_xlfn.XLOOKUP(E11,Groups!A:A,Groups!N:N)="No","No",
IF(_xlfn.XLOOKUP(E11,Groups!A:A,Groups!N:N)="Crocodile",EXP(0.8129*LN(C11)+4.6742)*S11,
IF(_xlfn.XLOOKUP(E11,Groups!A:A,Groups!N:N)="Felid",EXP(0.7843*LN(C11)+4.7073)*S11,
IF(_xlfn.XLOOKUP(E11,Groups!A:A,Groups!N:N)="Canid",EXP(0.8367*LN(C11)+4.8763)*S11,
IF(_xlfn.XLOOKUP(E11,Groups!A:A,Groups!N:N)="Pig",EXP(0.3439*LN(C11)+6.8519)*S11,
IF(_xlfn.XLOOKUP(E11,Groups!A:A,Groups!N:N)="Rodent",EXP(0.5625*LN(C11)+4.3006)*S11,
IF(_xlfn.XLOOKUP(E11,Groups!A:A,Groups!N:N)="Primate",EXP(0.7847*LN(C11)+3.4931)*S11,
IF(_xlfn.XLOOKUP(E11,Groups!A:A,Groups!N:N)="MiscCarnivora",EXP(0.7486*LN(C11)+4.2207)*S11,
IF(_xlfn.XLOOKUP(E11,Groups!A:A,Groups!N:N)="Lizard",EXP(0.7733*LN(C11)+5.5303)*S11,
IF(_xlfn.XLOOKUP(E11,Groups!A:A,Groups!N:N)="Snake",50*C11^(2/3)*S11,
IF(_xlfn.XLOOKUP(E11,Groups!A:A,Groups!N:N)="StrongBitingHerbivore",87.1133638856975*C11^(2/3)*S11,
IF(_xlfn.XLOOKUP(E11,Groups!A:A,Groups!N:N)="MiscEctotherms",59.4316884072269*C11^(2/3)*S11,
IF(_xlfn.XLOOKUP(E11,Groups!A:A,Groups!N:N)="StrongBeakBird",0.041*(C11*1000)^1.375*S11,
IF(_xlfn.XLOOKUP(E11,Groups!A:A,Groups!N:N)="Bird",0.118*(C11*1000)^0.692*S11,
IF(_xlfn.XLOOKUP(E11,Groups!A:A,Groups!N:N)="Insect",EXP(0.7444*LN(C11)+6.5696)*S11,
IF(_xlfn.XLOOKUP(E11,Groups!A:A,Groups!N:N)="Theropod",EXP(0.6966*LN(C11)+4.158)*S11,
"No"))))))))))))))))</f>
        <v>25.576506755668081</v>
      </c>
      <c r="AU11" s="8">
        <f>IF(_xlfn.XLOOKUP(E11,Groups!A:A,Groups!U:U)=3,AS11,IF(_xlfn.XLOOKUP(E11,Groups!A:A,Groups!U:U)=2,AR11,AT11))</f>
        <v>25.576506755668081</v>
      </c>
      <c r="AV11" s="46">
        <f>IFERROR(AVERAGE(_xlfn.XLOOKUP(B11,Animals!B:B,Animals!N:N),_xlfn.XLOOKUP(B11,Animals!B:B,Animals!O:O)),0)</f>
        <v>0</v>
      </c>
      <c r="AW11" s="8">
        <f>MROUND(40*Animals!AO11*_xlfn.XLOOKUP(AG11,Leathers!$A$2:$A$99,Leathers!$B$2:$B$99,0)+(140*_xlfn.XLOOKUP(B11,Animals!B:B,Animals!AO:AO)*2),5)</f>
        <v>55</v>
      </c>
      <c r="AX11" s="8">
        <f>IFERROR(ROUND(SQRT(V11-1)*IF(_xlfn.XLOOKUP(E11,Groups!A:A,Groups!BF:BF)=0,2,1)*IF(_xlfn.XLOOKUP('Base stats'!E11,Groups!A:A,Groups!O:O)=0,1,0.1),1),0)</f>
        <v>0.1</v>
      </c>
      <c r="AY11" s="8">
        <f t="shared" si="12"/>
        <v>1</v>
      </c>
      <c r="AZ11" s="8">
        <f t="shared" si="13"/>
        <v>0</v>
      </c>
      <c r="BA11" s="8">
        <f t="shared" si="14"/>
        <v>0.8</v>
      </c>
      <c r="BB11" s="8">
        <f>IF(_xlfn.XLOOKUP(E11,Groups!A:A,Groups!N:N)="Insect",BD11*2.5,IFERROR(AVERAGE(BD11,AT11/9.81/IF(OR(_xlfn.XLOOKUP(E11,Groups!A:A,Groups!N:N)="Pig",_xlfn.XLOOKUP(E11,Groups!A:A,Groups!N:N)="StrongBitingHerbivore"),20,25))*C11^-0.135,BD11))</f>
        <v>7.9877250620426374E-2</v>
      </c>
      <c r="BC11" s="8" t="str">
        <f>IF(W11="No","No",IF(_xlfn.XLOOKUP(E11,Groups!A:A,Groups!U:U)=1,'Base stats'!BB11,IF(OR(_xlfn.XLOOKUP(E11,Groups!A:A,Groups!BD:BD)=1,_xlfn.XLOOKUP(E11,Groups!A:A,Groups!U:U)=2),BD11,IF(_xlfn.XLOOKUP(B11,Animals!B:B,Animals!AO:AO)&gt;4,AVERAGE(BD11,BF11),BF11))))</f>
        <v>No</v>
      </c>
      <c r="BD11" s="8">
        <f t="shared" si="15"/>
        <v>7.5255185733858032E-2</v>
      </c>
      <c r="BE11" s="8">
        <f>IF(_xlfn.XLOOKUP(E11,Groups!A:A,Groups!BE:BE)=1,(0.048*C11^1.01)+(0.071*C11^1.03),0.071*C11^1.03)/IF(_xlfn.XLOOKUP(E11,Groups!A:A,Groups!M:M)=1,0.85,IF(OR(_xlfn.XLOOKUP(B11,Animals!B:B,Animals!AO:AO)&gt;4,_xlfn.XLOOKUP(E11,Groups!A:A,Groups!BC:BC)=1),1.7,1))*C11^-0.25</f>
        <v>0.23203293823126289</v>
      </c>
      <c r="BF11" s="8">
        <f>(0.048*C11^1.01)/IF(_xlfn.XLOOKUP(E11,Groups!A:A,Groups!M:M)=1,0.25,0.8)*C11^-0.25</f>
        <v>0.11578587900160472</v>
      </c>
      <c r="BG11" s="8">
        <f>EXP(1.076*LN(AR11)-4.5397)*IF(_xlfn.XLOOKUP(E11,Groups!A:A,Groups!BC:BC)=1,1.25,IF(_xlfn.XLOOKUP(E11,Groups!A:A,Groups!BD:BD)=1,3.5,2.5))</f>
        <v>4.3166536361177759</v>
      </c>
      <c r="BH11" s="8">
        <f>EXP(1.076*LN(AS11)-4.5397)*IF(_xlfn.XLOOKUP(E11,Groups!A:A,Groups!M:M)=1,0.8,IF(_xlfn.XLOOKUP(E11,Groups!A:A,Groups!BC:BC)=1,1.3,3))</f>
        <v>6.699197217835331</v>
      </c>
      <c r="BI11" s="8" t="str">
        <f>IF(W11="No","No",IF(_xlfn.XLOOKUP(E11,Groups!A:A,Groups!U:U)=1,'Base stats'!BJ11,IF(OR(_xlfn.XLOOKUP(E11,Groups!A:A,Groups!BD:BD)=1,_xlfn.XLOOKUP(E11,Groups!A:A,Groups!U:U)=2),BG11,BH11))*1.2)</f>
        <v>No</v>
      </c>
      <c r="BJ11" s="8">
        <f>IFERROR(EXP(1.076*LN(AT11)-4.5397)*IF(_xlfn.XLOOKUP(E11,Groups!A:A,Groups!N:N)="Insect",1,IF(OR(_xlfn.XLOOKUP(E11,Groups!A:A,Groups!N:N)="Pig",_xlfn.XLOOKUP(E11,Groups!A:A,Groups!N:N)="StrongBitingHerbivore"),3.5,3.75)),"No")</f>
        <v>1.3100919248383684</v>
      </c>
      <c r="BK11" s="8">
        <f t="shared" si="16"/>
        <v>10</v>
      </c>
      <c r="BL11" s="8">
        <f t="shared" si="17"/>
        <v>7</v>
      </c>
      <c r="BM11" s="8" t="str">
        <f t="shared" si="18"/>
        <v>No</v>
      </c>
      <c r="BN11" s="8">
        <f t="shared" si="19"/>
        <v>5</v>
      </c>
      <c r="BO11" s="8">
        <f t="shared" si="20"/>
        <v>10</v>
      </c>
      <c r="BP11" s="8" cm="1">
        <f t="array" ref="BP11">IF(AND(_xlfn.XLOOKUP('Base stats'!E11,Groups!A:A,Groups!AD:AD=0),_xlfn.XLOOKUP('Base stats'!E11,Groups!A:A,Groups!P:P=0)),"No",IF(U11="No",AVERAGE(EXP(-0.57+0.99*LN(C11)),EXP(0.32+0.67*LN(C11)))/IF(_xlfn.XLOOKUP(E11,Groups!A:A,Groups!AD:AD)=1,10,2),(0.7354*C11^0.4078)*2/IF(_xlfn.XLOOKUP(E11,Groups!A:A,Groups!BK:BK)=1,1000,100)/IF(_xlfn.XLOOKUP(E11,Groups!A:A,Groups!AJ:AJ)="Photonozoa",3,1)))</f>
        <v>2.0929036865173018E-2</v>
      </c>
      <c r="BQ11" s="8" t="str">
        <f>IF(W11="No","No",IF(_xlfn.XLOOKUP(E11,Groups!A:A,Groups!BD:BD)=1,(AO11*5%),EXP(0.7354*LN(C11)^0.4078)*2/IF(_xlfn.XLOOKUP(E11,Groups!A:A,Groups!BL:BL)=1,1000,100)/IF(_xlfn.XLOOKUP(E11,Groups!A:A,Groups!AJ:AJ)="Photonozoa",3,1)))</f>
        <v>No</v>
      </c>
      <c r="BR11" s="8">
        <f>IF(BJ11="No","No",IF(_xlfn.XLOOKUP(E11,Groups!A:A,Groups!BF:BF)=1,(0.0315*C11+2.1825)*2,(0.7354*C11^0.4078)*2)/IF(_xlfn.XLOOKUP(E11,Groups!A:A,Groups!BM:BM)=1,1000,100)/IF(_xlfn.XLOOKUP(E11,Groups!A:A,Groups!AJ:AJ)="Photonozoa",3,1))</f>
        <v>2.0929036865173018E-2</v>
      </c>
      <c r="BS11" s="8">
        <f t="shared" si="21"/>
        <v>4.4327462442537734E-2</v>
      </c>
      <c r="BT11" s="8">
        <f t="shared" si="22"/>
        <v>320.09104198115949</v>
      </c>
      <c r="BU11" s="8" t="str">
        <f t="shared" si="23"/>
        <v>No</v>
      </c>
      <c r="BV11" s="8">
        <f t="shared" si="24"/>
        <v>62.596856858636819</v>
      </c>
      <c r="BW11" s="4">
        <v>0</v>
      </c>
      <c r="BX11" s="4">
        <v>1</v>
      </c>
    </row>
    <row r="12" spans="1:76" x14ac:dyDescent="0.25">
      <c r="A12" s="26" t="s">
        <v>88</v>
      </c>
      <c r="B12" s="6" t="s">
        <v>89</v>
      </c>
      <c r="C12" s="7">
        <v>434</v>
      </c>
      <c r="D12" s="7" t="s">
        <v>1131</v>
      </c>
      <c r="E12" s="7" t="str">
        <f>Groups!$A$23</f>
        <v>Camellike (CAMEL)</v>
      </c>
      <c r="F12" s="7">
        <f>385</f>
        <v>385</v>
      </c>
      <c r="G12" s="7">
        <f>1095/365</f>
        <v>3</v>
      </c>
      <c r="H12" s="7">
        <v>28.4</v>
      </c>
      <c r="I12" s="4">
        <v>0</v>
      </c>
      <c r="J12" s="7">
        <v>1</v>
      </c>
      <c r="K12" s="7" t="s">
        <v>516</v>
      </c>
      <c r="L12" s="7">
        <v>40</v>
      </c>
      <c r="M12" s="7" t="s">
        <v>629</v>
      </c>
      <c r="N12" s="4">
        <v>0</v>
      </c>
      <c r="O12" s="4">
        <v>1</v>
      </c>
      <c r="P12" s="4">
        <v>0</v>
      </c>
      <c r="Q12" s="4">
        <v>0</v>
      </c>
      <c r="R12" s="4" t="s">
        <v>40</v>
      </c>
      <c r="S12" s="7">
        <f>_xlfn.XLOOKUP(B12,[1]TeethAdjusters!$A:$A,[1]BiteAdjusters!$C:$C,1)</f>
        <v>1</v>
      </c>
      <c r="T12" s="7">
        <f>_xlfn.XLOOKUP(B12,[1]TeethAdjusters!$A:$A,[1]TeethAdjusters!$B:$B,1)</f>
        <v>1</v>
      </c>
      <c r="U12" s="7" t="s">
        <v>45</v>
      </c>
      <c r="V12" s="7">
        <f>MROUND(4.5,0.05)</f>
        <v>4.5</v>
      </c>
      <c r="W12" s="7" t="s">
        <v>45</v>
      </c>
      <c r="X12" s="7" t="s">
        <v>932</v>
      </c>
      <c r="Y12" s="4" t="s">
        <v>42</v>
      </c>
      <c r="Z12" s="4">
        <v>1</v>
      </c>
      <c r="AA12" s="4">
        <v>0</v>
      </c>
      <c r="AB12" s="4">
        <v>0</v>
      </c>
      <c r="AC12" s="4">
        <v>0</v>
      </c>
      <c r="AD12" s="4">
        <v>0</v>
      </c>
      <c r="AE12" s="4" t="s">
        <v>45</v>
      </c>
      <c r="AF12" s="4" t="s">
        <v>398</v>
      </c>
      <c r="AG12" s="49" t="s">
        <v>377</v>
      </c>
      <c r="AH12" s="4" t="s">
        <v>45</v>
      </c>
      <c r="AI12" s="4">
        <v>1</v>
      </c>
      <c r="AJ12" s="4">
        <v>0</v>
      </c>
      <c r="AK12" s="4">
        <v>0</v>
      </c>
      <c r="AL12" s="4">
        <v>0</v>
      </c>
      <c r="AM12" s="4">
        <v>0</v>
      </c>
      <c r="AN12" s="44" t="s">
        <v>40</v>
      </c>
      <c r="AO12" s="8">
        <f t="shared" si="10"/>
        <v>57503.1059283387</v>
      </c>
      <c r="AP12" s="8">
        <f>IFERROR(C12*_xlfn.XLOOKUP(E12,Groups!A:A,Groups!K:K),0.106*C12^0.94)</f>
        <v>31.955543689617564</v>
      </c>
      <c r="AQ12" s="8">
        <f>AP12*10000/(_xlfn.XLOOKUP(E12,Groups!A:A,Groups!J:J)*AO12)</f>
        <v>5.0983354874461044</v>
      </c>
      <c r="AR12" s="8">
        <f t="shared" si="11"/>
        <v>9190.271132938391</v>
      </c>
      <c r="AS12" s="8">
        <f>IF(_xlfn.XLOOKUP(E12,Groups!A:A,Groups!M:M)=1,EXP(0.7444*LN('Base stats'!C12)+6.5696),EXP(0.7927*LN('Base stats'!C12)+4.28))</f>
        <v>8902.6334230295633</v>
      </c>
      <c r="AT12" s="8">
        <f>IF(_xlfn.XLOOKUP(E12,Groups!A:A,Groups!N:N)="No","No",
IF(_xlfn.XLOOKUP(E12,Groups!A:A,Groups!N:N)="Crocodile",EXP(0.8129*LN(C12)+4.6742)*S12,
IF(_xlfn.XLOOKUP(E12,Groups!A:A,Groups!N:N)="Felid",EXP(0.7843*LN(C12)+4.7073)*S12,
IF(_xlfn.XLOOKUP(E12,Groups!A:A,Groups!N:N)="Canid",EXP(0.8367*LN(C12)+4.8763)*S12,
IF(_xlfn.XLOOKUP(E12,Groups!A:A,Groups!N:N)="Pig",EXP(0.3439*LN(C12)+6.8519)*S12,
IF(_xlfn.XLOOKUP(E12,Groups!A:A,Groups!N:N)="Rodent",EXP(0.5625*LN(C12)+4.3006)*S12,
IF(_xlfn.XLOOKUP(E12,Groups!A:A,Groups!N:N)="Primate",EXP(0.7847*LN(C12)+3.4931)*S12,
IF(_xlfn.XLOOKUP(E12,Groups!A:A,Groups!N:N)="MiscCarnivora",EXP(0.7486*LN(C12)+4.2207)*S12,
IF(_xlfn.XLOOKUP(E12,Groups!A:A,Groups!N:N)="Lizard",EXP(0.7733*LN(C12)+5.5303)*S12,
IF(_xlfn.XLOOKUP(E12,Groups!A:A,Groups!N:N)="Snake",50*C12^(2/3)*S12,
IF(_xlfn.XLOOKUP(E12,Groups!A:A,Groups!N:N)="StrongBitingHerbivore",87.1133638856975*C12^(2/3)*S12,
IF(_xlfn.XLOOKUP(E12,Groups!A:A,Groups!N:N)="MiscEctotherms",59.4316884072269*C12^(2/3)*S12,
IF(_xlfn.XLOOKUP(E12,Groups!A:A,Groups!N:N)="StrongBeakBird",0.041*(C12*1000)^1.375*S12,
IF(_xlfn.XLOOKUP(E12,Groups!A:A,Groups!N:N)="Bird",0.118*(C12*1000)^0.692*S12,
IF(_xlfn.XLOOKUP(E12,Groups!A:A,Groups!N:N)="Insect",EXP(0.7444*LN(C12)+6.5696)*S12,
IF(_xlfn.XLOOKUP(E12,Groups!A:A,Groups!N:N)="Theropod",EXP(0.6966*LN(C12)+4.158)*S12,
"No"))))))))))))))))</f>
        <v>4993.5714774520839</v>
      </c>
      <c r="AU12" s="8">
        <f>IF(_xlfn.XLOOKUP(E12,Groups!A:A,Groups!U:U)=3,AS12,IF(_xlfn.XLOOKUP(E12,Groups!A:A,Groups!U:U)=2,AR12,AT12))</f>
        <v>4993.5714774520839</v>
      </c>
      <c r="AV12" s="46">
        <f>IFERROR(AVERAGE(_xlfn.XLOOKUP(B12,Animals!B:B,Animals!N:N),_xlfn.XLOOKUP(B12,Animals!B:B,Animals!O:O)),0)</f>
        <v>0</v>
      </c>
      <c r="AW12" s="8">
        <f>MROUND(40*Animals!AO12*_xlfn.XLOOKUP(AG12,Leathers!$A$2:$A$99,Leathers!$B$2:$B$99,0)+(140*_xlfn.XLOOKUP(B12,Animals!B:B,Animals!AO:AO)*2),5)</f>
        <v>1025</v>
      </c>
      <c r="AX12" s="8">
        <f>IFERROR(ROUND(SQRT(V12-1)*IF(_xlfn.XLOOKUP(E12,Groups!A:A,Groups!BF:BF)=0,2,1)*IF(_xlfn.XLOOKUP('Base stats'!E12,Groups!A:A,Groups!O:O)=0,1,0.1),1),0)</f>
        <v>1.9</v>
      </c>
      <c r="AY12" s="8">
        <f t="shared" si="12"/>
        <v>0</v>
      </c>
      <c r="AZ12" s="8">
        <f t="shared" si="13"/>
        <v>0</v>
      </c>
      <c r="BA12" s="8">
        <f t="shared" si="14"/>
        <v>7.1</v>
      </c>
      <c r="BB12" s="8">
        <f>IF(_xlfn.XLOOKUP(E12,Groups!A:A,Groups!N:N)="Insect",BD12*2.5,IFERROR(AVERAGE(BD12,AT12/9.81/IF(OR(_xlfn.XLOOKUP(E12,Groups!A:A,Groups!N:N)="Pig",_xlfn.XLOOKUP(E12,Groups!A:A,Groups!N:N)="StrongBitingHerbivore"),20,25))*C12^-0.135,BD12))</f>
        <v>6.4467160294158043</v>
      </c>
      <c r="BC12" s="8" t="str">
        <f>IF(W12="No","No",IF(_xlfn.XLOOKUP(E12,Groups!A:A,Groups!U:U)=1,'Base stats'!BB12,IF(OR(_xlfn.XLOOKUP(E12,Groups!A:A,Groups!BD:BD)=1,_xlfn.XLOOKUP(E12,Groups!A:A,Groups!U:U)=2),BD12,IF(_xlfn.XLOOKUP(B12,Animals!B:B,Animals!AO:AO)&gt;4,AVERAGE(BD12,BF12),BF12))))</f>
        <v>No</v>
      </c>
      <c r="BD12" s="8">
        <f t="shared" si="15"/>
        <v>3.81903222593724</v>
      </c>
      <c r="BE12" s="8">
        <f>IF(_xlfn.XLOOKUP(E12,Groups!A:A,Groups!BE:BE)=1,(0.048*C12^1.01)+(0.071*C12^1.03),0.071*C12^1.03)/IF(_xlfn.XLOOKUP(E12,Groups!A:A,Groups!M:M)=1,0.85,IF(OR(_xlfn.XLOOKUP(B12,Animals!B:B,Animals!AO:AO)&gt;4,_xlfn.XLOOKUP(E12,Groups!A:A,Groups!BC:BC)=1),1.7,1))*C12^-0.25</f>
        <v>8.1002857161697239</v>
      </c>
      <c r="BF12" s="8">
        <f>(0.048*C12^1.01)/IF(_xlfn.XLOOKUP(E12,Groups!A:A,Groups!M:M)=1,0.25,0.8)*C12^-0.25</f>
        <v>6.0623840430207787</v>
      </c>
      <c r="BG12" s="8">
        <f>EXP(1.076*LN(AR12)-4.5397)*IF(_xlfn.XLOOKUP(E12,Groups!A:A,Groups!BC:BC)=1,1.25,IF(_xlfn.XLOOKUP(E12,Groups!A:A,Groups!BD:BD)=1,3.5,2.5))</f>
        <v>490.81138254794962</v>
      </c>
      <c r="BH12" s="8">
        <f>EXP(1.076*LN(AS12)-4.5397)*IF(_xlfn.XLOOKUP(E12,Groups!A:A,Groups!M:M)=1,0.8,IF(_xlfn.XLOOKUP(E12,Groups!A:A,Groups!BC:BC)=1,1.3,3))</f>
        <v>569.16277963499192</v>
      </c>
      <c r="BI12" s="8" t="str">
        <f>IF(W12="No","No",IF(_xlfn.XLOOKUP(E12,Groups!A:A,Groups!U:U)=1,'Base stats'!BJ12,IF(OR(_xlfn.XLOOKUP(E12,Groups!A:A,Groups!BD:BD)=1,_xlfn.XLOOKUP(E12,Groups!A:A,Groups!U:U)=2),BG12,BH12))*1.2)</f>
        <v>No</v>
      </c>
      <c r="BJ12" s="8">
        <f>IFERROR(EXP(1.076*LN(AT12)-4.5397)*IF(_xlfn.XLOOKUP(E12,Groups!A:A,Groups!N:N)="Insect",1,IF(OR(_xlfn.XLOOKUP(E12,Groups!A:A,Groups!N:N)="Pig",_xlfn.XLOOKUP(E12,Groups!A:A,Groups!N:N)="StrongBitingHerbivore"),3.5,3.75)),"No")</f>
        <v>356.44449529492431</v>
      </c>
      <c r="BK12" s="8">
        <f t="shared" si="16"/>
        <v>16</v>
      </c>
      <c r="BL12" s="8">
        <f t="shared" si="17"/>
        <v>11</v>
      </c>
      <c r="BM12" s="8" t="str">
        <f t="shared" si="18"/>
        <v>No</v>
      </c>
      <c r="BN12" s="8">
        <f t="shared" si="19"/>
        <v>10</v>
      </c>
      <c r="BO12" s="8">
        <f t="shared" si="20"/>
        <v>13</v>
      </c>
      <c r="BP12" s="8" cm="1">
        <f t="array" ref="BP12">IF(AND(_xlfn.XLOOKUP('Base stats'!E12,Groups!A:A,Groups!AD:AD=0),_xlfn.XLOOKUP('Base stats'!E12,Groups!A:A,Groups!P:P=0)),"No",IF(U12="No",AVERAGE(EXP(-0.57+0.99*LN(C12)),EXP(0.32+0.67*LN(C12)))/IF(_xlfn.XLOOKUP(E12,Groups!A:A,Groups!AD:AD)=1,10,2),(0.7354*C12^0.4078)*2/IF(_xlfn.XLOOKUP(E12,Groups!A:A,Groups!BK:BK)=1,1000,100)/IF(_xlfn.XLOOKUP(E12,Groups!A:A,Groups!AJ:AJ)="Photonozoa",3,1)))</f>
        <v>77.882759243738633</v>
      </c>
      <c r="BQ12" s="8" t="str">
        <f>IF(W12="No","No",IF(_xlfn.XLOOKUP(E12,Groups!A:A,Groups!BD:BD)=1,(AO12*5%),EXP(0.7354*LN(C12)^0.4078)*2/IF(_xlfn.XLOOKUP(E12,Groups!A:A,Groups!BL:BL)=1,1000,100)/IF(_xlfn.XLOOKUP(E12,Groups!A:A,Groups!AJ:AJ)="Photonozoa",3,1)))</f>
        <v>No</v>
      </c>
      <c r="BR12" s="8">
        <f>IF(BJ12="No","No",IF(_xlfn.XLOOKUP(E12,Groups!A:A,Groups!BF:BF)=1,(0.0315*C12+2.1825)*2,(0.7354*C12^0.4078)*2)/IF(_xlfn.XLOOKUP(E12,Groups!A:A,Groups!BM:BM)=1,1000,100)/IF(_xlfn.XLOOKUP(E12,Groups!A:A,Groups!AJ:AJ)="Photonozoa",3,1))</f>
        <v>0.31707000000000002</v>
      </c>
      <c r="BS12" s="8">
        <f t="shared" si="21"/>
        <v>0.17070778164908404</v>
      </c>
      <c r="BT12" s="8">
        <f t="shared" si="22"/>
        <v>7.3079431848808003</v>
      </c>
      <c r="BU12" s="8" t="str">
        <f t="shared" si="23"/>
        <v>No</v>
      </c>
      <c r="BV12" s="8">
        <f t="shared" si="24"/>
        <v>1124.1823423689541</v>
      </c>
      <c r="BW12" s="4">
        <v>0</v>
      </c>
      <c r="BX12" s="4">
        <v>1</v>
      </c>
    </row>
    <row r="13" spans="1:76" x14ac:dyDescent="0.25">
      <c r="A13" s="26" t="s">
        <v>98</v>
      </c>
      <c r="B13" s="6" t="s">
        <v>99</v>
      </c>
      <c r="C13" s="7">
        <f>AVERAGE(70,85)</f>
        <v>77.5</v>
      </c>
      <c r="D13" s="7" t="s">
        <v>1010</v>
      </c>
      <c r="E13" s="7" t="str">
        <f>Groups!$A$22</f>
        <v>Camellike (LLAMA)</v>
      </c>
      <c r="F13" s="7">
        <v>345</v>
      </c>
      <c r="G13" s="7">
        <f>432/365</f>
        <v>1.1835616438356165</v>
      </c>
      <c r="H13" s="7">
        <v>25.8</v>
      </c>
      <c r="I13" s="4">
        <v>0</v>
      </c>
      <c r="J13" s="7">
        <v>1.04</v>
      </c>
      <c r="K13" s="7" t="s">
        <v>518</v>
      </c>
      <c r="L13" s="7">
        <v>56</v>
      </c>
      <c r="M13" s="7" t="s">
        <v>626</v>
      </c>
      <c r="N13" s="4">
        <v>0</v>
      </c>
      <c r="O13" s="4">
        <v>2</v>
      </c>
      <c r="P13" s="4">
        <v>0</v>
      </c>
      <c r="Q13" s="4">
        <v>0</v>
      </c>
      <c r="R13" s="4" t="s">
        <v>40</v>
      </c>
      <c r="S13" s="7">
        <f>_xlfn.XLOOKUP(B13,[1]TeethAdjusters!$A:$A,[1]BiteAdjusters!$C:$C,1)</f>
        <v>1</v>
      </c>
      <c r="T13" s="7">
        <f>_xlfn.XLOOKUP(B13,[1]TeethAdjusters!$A:$A,[1]TeethAdjusters!$B:$B,1)</f>
        <v>1</v>
      </c>
      <c r="U13" s="7" t="s">
        <v>45</v>
      </c>
      <c r="V13" s="7">
        <f>MROUND(2.54,0.05)</f>
        <v>2.5500000000000003</v>
      </c>
      <c r="W13" s="7" t="s">
        <v>45</v>
      </c>
      <c r="X13" s="7" t="s">
        <v>932</v>
      </c>
      <c r="Y13" s="4" t="s">
        <v>42</v>
      </c>
      <c r="Z13" s="4">
        <v>1</v>
      </c>
      <c r="AA13" s="4">
        <v>0</v>
      </c>
      <c r="AB13" s="4">
        <v>0</v>
      </c>
      <c r="AC13" s="4">
        <v>0</v>
      </c>
      <c r="AD13" s="4">
        <v>0</v>
      </c>
      <c r="AE13" s="4" t="s">
        <v>45</v>
      </c>
      <c r="AF13" s="4" t="s">
        <v>399</v>
      </c>
      <c r="AG13" s="49" t="s">
        <v>377</v>
      </c>
      <c r="AH13" s="4" t="s">
        <v>45</v>
      </c>
      <c r="AI13" s="4">
        <v>1</v>
      </c>
      <c r="AJ13" s="4">
        <v>0</v>
      </c>
      <c r="AK13" s="4">
        <v>0</v>
      </c>
      <c r="AL13" s="4">
        <v>0</v>
      </c>
      <c r="AM13" s="4">
        <v>0</v>
      </c>
      <c r="AN13" s="44" t="s">
        <v>40</v>
      </c>
      <c r="AO13" s="8">
        <f t="shared" si="10"/>
        <v>18765.886505262843</v>
      </c>
      <c r="AP13" s="8">
        <f>IFERROR(C13*_xlfn.XLOOKUP(E13,Groups!A:A,Groups!K:K),0.106*C13^0.94)</f>
        <v>6.3277522310129504</v>
      </c>
      <c r="AQ13" s="8">
        <f>AP13*10000/(_xlfn.XLOOKUP(E13,Groups!A:A,Groups!J:J)*AO13)</f>
        <v>3.0935267963656261</v>
      </c>
      <c r="AR13" s="8">
        <f t="shared" si="11"/>
        <v>2144.5387490756016</v>
      </c>
      <c r="AS13" s="8">
        <f>IF(_xlfn.XLOOKUP(E13,Groups!A:A,Groups!M:M)=1,EXP(0.7444*LN('Base stats'!C13)+6.5696),EXP(0.7927*LN('Base stats'!C13)+4.28))</f>
        <v>2272.1125583746043</v>
      </c>
      <c r="AT13" s="8">
        <f>IF(_xlfn.XLOOKUP(E13,Groups!A:A,Groups!N:N)="No","No",
IF(_xlfn.XLOOKUP(E13,Groups!A:A,Groups!N:N)="Crocodile",EXP(0.8129*LN(C13)+4.6742)*S13,
IF(_xlfn.XLOOKUP(E13,Groups!A:A,Groups!N:N)="Felid",EXP(0.7843*LN(C13)+4.7073)*S13,
IF(_xlfn.XLOOKUP(E13,Groups!A:A,Groups!N:N)="Canid",EXP(0.8367*LN(C13)+4.8763)*S13,
IF(_xlfn.XLOOKUP(E13,Groups!A:A,Groups!N:N)="Pig",EXP(0.3439*LN(C13)+6.8519)*S13,
IF(_xlfn.XLOOKUP(E13,Groups!A:A,Groups!N:N)="Rodent",EXP(0.5625*LN(C13)+4.3006)*S13,
IF(_xlfn.XLOOKUP(E13,Groups!A:A,Groups!N:N)="Primate",EXP(0.7847*LN(C13)+3.4931)*S13,
IF(_xlfn.XLOOKUP(E13,Groups!A:A,Groups!N:N)="MiscCarnivora",EXP(0.7486*LN(C13)+4.2207)*S13,
IF(_xlfn.XLOOKUP(E13,Groups!A:A,Groups!N:N)="Lizard",EXP(0.7733*LN(C13)+5.5303)*S13,
IF(_xlfn.XLOOKUP(E13,Groups!A:A,Groups!N:N)="Snake",50*C13^(2/3)*S13,
IF(_xlfn.XLOOKUP(E13,Groups!A:A,Groups!N:N)="StrongBitingHerbivore",87.1133638856975*C13^(2/3)*S13,
IF(_xlfn.XLOOKUP(E13,Groups!A:A,Groups!N:N)="MiscEctotherms",59.4316884072269*C13^(2/3)*S13,
IF(_xlfn.XLOOKUP(E13,Groups!A:A,Groups!N:N)="StrongBeakBird",0.041*(C13*1000)^1.375*S13,
IF(_xlfn.XLOOKUP(E13,Groups!A:A,Groups!N:N)="Bird",0.118*(C13*1000)^0.692*S13,
IF(_xlfn.XLOOKUP(E13,Groups!A:A,Groups!N:N)="Insect",EXP(0.7444*LN(C13)+6.5696)*S13,
IF(_xlfn.XLOOKUP(E13,Groups!A:A,Groups!N:N)="Theropod",EXP(0.6966*LN(C13)+4.158)*S13,
"No"))))))))))))))))</f>
        <v>1583.5043206490773</v>
      </c>
      <c r="AU13" s="8">
        <f>IF(_xlfn.XLOOKUP(E13,Groups!A:A,Groups!U:U)=3,AS13,IF(_xlfn.XLOOKUP(E13,Groups!A:A,Groups!U:U)=2,AR13,AT13))</f>
        <v>1583.5043206490773</v>
      </c>
      <c r="AV13" s="46">
        <f>IFERROR(AVERAGE(_xlfn.XLOOKUP(B13,Animals!B:B,Animals!N:N),_xlfn.XLOOKUP(B13,Animals!B:B,Animals!O:O)),0)</f>
        <v>0</v>
      </c>
      <c r="AW13" s="8">
        <f>MROUND(40*Animals!AO13*_xlfn.XLOOKUP(AG13,Leathers!$A$2:$A$99,Leathers!$B$2:$B$99,0)+(140*_xlfn.XLOOKUP(B13,Animals!B:B,Animals!AO:AO)*2),5)</f>
        <v>390</v>
      </c>
      <c r="AX13" s="8">
        <f>IFERROR(ROUND(SQRT(V13-1)*IF(_xlfn.XLOOKUP(E13,Groups!A:A,Groups!BF:BF)=0,2,1)*IF(_xlfn.XLOOKUP('Base stats'!E13,Groups!A:A,Groups!O:O)=0,1,0.1),1),0)</f>
        <v>1.2</v>
      </c>
      <c r="AY13" s="8">
        <f t="shared" si="12"/>
        <v>0</v>
      </c>
      <c r="AZ13" s="8">
        <f t="shared" si="13"/>
        <v>0</v>
      </c>
      <c r="BA13" s="8">
        <f t="shared" si="14"/>
        <v>3.8</v>
      </c>
      <c r="BB13" s="8">
        <f>IF(_xlfn.XLOOKUP(E13,Groups!A:A,Groups!N:N)="Insect",BD13*2.5,IFERROR(AVERAGE(BD13,AT13/9.81/IF(OR(_xlfn.XLOOKUP(E13,Groups!A:A,Groups!N:N)="Pig",_xlfn.XLOOKUP(E13,Groups!A:A,Groups!N:N)="StrongBitingHerbivore"),20,25))*C13^-0.135,BD13))</f>
        <v>2.5325839556204608</v>
      </c>
      <c r="BC13" s="8" t="str">
        <f>IF(W13="No","No",IF(_xlfn.XLOOKUP(E13,Groups!A:A,Groups!U:U)=1,'Base stats'!BB13,IF(OR(_xlfn.XLOOKUP(E13,Groups!A:A,Groups!BD:BD)=1,_xlfn.XLOOKUP(E13,Groups!A:A,Groups!U:U)=2),BD13,IF(_xlfn.XLOOKUP(B13,Animals!B:B,Animals!AO:AO)&gt;4,AVERAGE(BD13,BF13),BF13))))</f>
        <v>No</v>
      </c>
      <c r="BD13" s="8">
        <f t="shared" si="15"/>
        <v>1.041884436623707</v>
      </c>
      <c r="BE13" s="8">
        <f>IF(_xlfn.XLOOKUP(E13,Groups!A:A,Groups!BE:BE)=1,(0.048*C13^1.01)+(0.071*C13^1.03),0.071*C13^1.03)/IF(_xlfn.XLOOKUP(E13,Groups!A:A,Groups!M:M)=1,0.85,IF(OR(_xlfn.XLOOKUP(B13,Animals!B:B,Animals!AO:AO)&gt;4,_xlfn.XLOOKUP(E13,Groups!A:A,Groups!BC:BC)=1),1.7,1))*C13^-0.25</f>
        <v>2.1130689901230411</v>
      </c>
      <c r="BF13" s="8">
        <f>(0.048*C13^1.01)/IF(_xlfn.XLOOKUP(E13,Groups!A:A,Groups!M:M)=1,0.25,0.8)*C13^-0.25</f>
        <v>1.6368939528194573</v>
      </c>
      <c r="BG13" s="8">
        <f>EXP(1.076*LN(AR13)-4.5397)*IF(_xlfn.XLOOKUP(E13,Groups!A:A,Groups!BC:BC)=1,1.25,IF(_xlfn.XLOOKUP(E13,Groups!A:A,Groups!BD:BD)=1,3.5,2.5))</f>
        <v>102.538892686501</v>
      </c>
      <c r="BH13" s="8">
        <f>EXP(1.076*LN(AS13)-4.5397)*IF(_xlfn.XLOOKUP(E13,Groups!A:A,Groups!M:M)=1,0.8,IF(_xlfn.XLOOKUP(E13,Groups!A:A,Groups!BC:BC)=1,1.3,3))</f>
        <v>130.94023178217128</v>
      </c>
      <c r="BI13" s="8" t="str">
        <f>IF(W13="No","No",IF(_xlfn.XLOOKUP(E13,Groups!A:A,Groups!U:U)=1,'Base stats'!BJ13,IF(OR(_xlfn.XLOOKUP(E13,Groups!A:A,Groups!BD:BD)=1,_xlfn.XLOOKUP(E13,Groups!A:A,Groups!U:U)=2),BG13,BH13))*1.2)</f>
        <v>No</v>
      </c>
      <c r="BJ13" s="8">
        <f>IFERROR(EXP(1.076*LN(AT13)-4.5397)*IF(_xlfn.XLOOKUP(E13,Groups!A:A,Groups!N:N)="Insect",1,IF(OR(_xlfn.XLOOKUP(E13,Groups!A:A,Groups!N:N)="Pig",_xlfn.XLOOKUP(E13,Groups!A:A,Groups!N:N)="StrongBitingHerbivore"),3.5,3.75)),"No")</f>
        <v>103.58376698325958</v>
      </c>
      <c r="BK13" s="8">
        <f t="shared" si="16"/>
        <v>14</v>
      </c>
      <c r="BL13" s="8">
        <f t="shared" si="17"/>
        <v>11</v>
      </c>
      <c r="BM13" s="8" t="str">
        <f t="shared" si="18"/>
        <v>No</v>
      </c>
      <c r="BN13" s="8">
        <f t="shared" si="19"/>
        <v>9</v>
      </c>
      <c r="BO13" s="8">
        <f t="shared" si="20"/>
        <v>12</v>
      </c>
      <c r="BP13" s="8" cm="1">
        <f t="array" ref="BP13">IF(AND(_xlfn.XLOOKUP('Base stats'!E13,Groups!A:A,Groups!AD:AD=0),_xlfn.XLOOKUP('Base stats'!E13,Groups!A:A,Groups!P:P=0)),"No",IF(U13="No",AVERAGE(EXP(-0.57+0.99*LN(C13)),EXP(0.32+0.67*LN(C13)))/IF(_xlfn.XLOOKUP(E13,Groups!A:A,Groups!AD:AD)=1,10,2),(0.7354*C13^0.4078)*2/IF(_xlfn.XLOOKUP(E13,Groups!A:A,Groups!BK:BK)=1,1000,100)/IF(_xlfn.XLOOKUP(E13,Groups!A:A,Groups!AJ:AJ)="Photonozoa",3,1)))</f>
        <v>16.840212593316842</v>
      </c>
      <c r="BQ13" s="8" t="str">
        <f>IF(W13="No","No",IF(_xlfn.XLOOKUP(E13,Groups!A:A,Groups!BD:BD)=1,(AO13*5%),EXP(0.7354*LN(C13)^0.4078)*2/IF(_xlfn.XLOOKUP(E13,Groups!A:A,Groups!BL:BL)=1,1000,100)/IF(_xlfn.XLOOKUP(E13,Groups!A:A,Groups!AJ:AJ)="Photonozoa",3,1)))</f>
        <v>No</v>
      </c>
      <c r="BR13" s="8">
        <f>IF(BJ13="No","No",IF(_xlfn.XLOOKUP(E13,Groups!A:A,Groups!BF:BF)=1,(0.0315*C13+2.1825)*2,(0.7354*C13^0.4078)*2)/IF(_xlfn.XLOOKUP(E13,Groups!A:A,Groups!BM:BM)=1,1000,100)/IF(_xlfn.XLOOKUP(E13,Groups!A:A,Groups!AJ:AJ)="Photonozoa",3,1))</f>
        <v>9.2475000000000002E-2</v>
      </c>
      <c r="BS13" s="8">
        <f t="shared" si="21"/>
        <v>0.10928222619032066</v>
      </c>
      <c r="BT13" s="8">
        <f t="shared" si="22"/>
        <v>7.7754500459296958</v>
      </c>
      <c r="BU13" s="8" t="str">
        <f t="shared" si="23"/>
        <v>No</v>
      </c>
      <c r="BV13" s="8">
        <f t="shared" si="24"/>
        <v>1120.1272450203794</v>
      </c>
      <c r="BW13" s="4">
        <v>0</v>
      </c>
      <c r="BX13" s="4">
        <v>1</v>
      </c>
    </row>
    <row r="14" spans="1:76" x14ac:dyDescent="0.25">
      <c r="A14" s="26" t="s">
        <v>69</v>
      </c>
      <c r="B14" s="6" t="s">
        <v>874</v>
      </c>
      <c r="C14" s="7">
        <f>AVERAGE(1.36,3.17 )</f>
        <v>2.2650000000000001</v>
      </c>
      <c r="D14" s="7" t="s">
        <v>1039</v>
      </c>
      <c r="E14" s="7" t="str">
        <f>Groups!$A$15</f>
        <v>Doglike (CANID)</v>
      </c>
      <c r="F14" s="7">
        <v>63</v>
      </c>
      <c r="G14" s="7">
        <f>510/365</f>
        <v>1.3972602739726028</v>
      </c>
      <c r="H14" s="7">
        <v>27</v>
      </c>
      <c r="I14" s="4">
        <v>0</v>
      </c>
      <c r="J14" s="7">
        <v>6</v>
      </c>
      <c r="K14" s="7" t="s">
        <v>507</v>
      </c>
      <c r="L14" s="7">
        <f>MIN(37.5*C14^0.089,79.3*C14^-0.072)</f>
        <v>40.330382234883444</v>
      </c>
      <c r="M14" s="7" t="s">
        <v>626</v>
      </c>
      <c r="N14" s="4">
        <v>0</v>
      </c>
      <c r="O14" s="4">
        <v>2</v>
      </c>
      <c r="P14" s="4">
        <v>0</v>
      </c>
      <c r="Q14" s="4">
        <v>0</v>
      </c>
      <c r="R14" s="4" t="s">
        <v>40</v>
      </c>
      <c r="S14" s="7">
        <f>_xlfn.XLOOKUP(B14,[1]TeethAdjusters!$A:$A,[1]BiteAdjusters!$C:$C,1)</f>
        <v>0.71417487730106877</v>
      </c>
      <c r="T14" s="7">
        <f>_xlfn.XLOOKUP(B14,[1]TeethAdjusters!$A:$A,[1]TeethAdjusters!$B:$B,1)</f>
        <v>0.95359131166584876</v>
      </c>
      <c r="U14" s="7" t="s">
        <v>45</v>
      </c>
      <c r="V14" s="7">
        <f>IF(AT14="No","No",IF(_xlfn.XLOOKUP(E14,Groups!A:A,Groups!AM:AM)=1,MROUND(EXP(0.3582*LN(C14)-0.2221)*T14,0.05),IF(_xlfn.XLOOKUP(E14,Groups!A:A,Groups!AM:AM)=2,MROUND(EXP(0.3582*LN(C14)-0.2221)*T14,0.05),"Need a formula")))</f>
        <v>1</v>
      </c>
      <c r="W14" s="7" t="s">
        <v>45</v>
      </c>
      <c r="X14" s="7" t="s">
        <v>932</v>
      </c>
      <c r="Y14" s="4" t="s">
        <v>53</v>
      </c>
      <c r="Z14" s="4">
        <v>1</v>
      </c>
      <c r="AA14" s="4">
        <v>0</v>
      </c>
      <c r="AB14" s="4">
        <v>0</v>
      </c>
      <c r="AC14" s="4">
        <v>0</v>
      </c>
      <c r="AD14" s="4">
        <v>0</v>
      </c>
      <c r="AE14" s="4" t="s">
        <v>45</v>
      </c>
      <c r="AF14" s="4" t="s">
        <v>311</v>
      </c>
      <c r="AG14" s="49" t="s">
        <v>379</v>
      </c>
      <c r="AH14" s="4" t="s">
        <v>45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4" t="s">
        <v>40</v>
      </c>
      <c r="AO14" s="8">
        <f t="shared" si="10"/>
        <v>1888.501407804788</v>
      </c>
      <c r="AP14" s="8">
        <f>IFERROR(C14*_xlfn.XLOOKUP(E14,Groups!A:A,Groups!K:K),0.106*C14^0.94)</f>
        <v>0.28255875000000003</v>
      </c>
      <c r="AQ14" s="8">
        <f>AP14*10000/(_xlfn.XLOOKUP(E14,Groups!A:A,Groups!J:J)*AO14)</f>
        <v>1.372666231212947</v>
      </c>
      <c r="AR14" s="8">
        <f t="shared" si="11"/>
        <v>108.48429314626905</v>
      </c>
      <c r="AS14" s="8">
        <f>IF(_xlfn.XLOOKUP(E14,Groups!A:A,Groups!M:M)=1,EXP(0.7444*LN('Base stats'!C14)+6.5696),EXP(0.7927*LN('Base stats'!C14)+4.28))</f>
        <v>138.1156684708528</v>
      </c>
      <c r="AT14" s="8">
        <f>IF(_xlfn.XLOOKUP(E14,Groups!A:A,Groups!N:N)="No","No",
IF(_xlfn.XLOOKUP(E14,Groups!A:A,Groups!N:N)="Crocodile",EXP(0.8129*LN(C14)+4.6742)*S14,
IF(_xlfn.XLOOKUP(E14,Groups!A:A,Groups!N:N)="Felid",EXP(0.7843*LN(C14)+4.7073)*S14,
IF(_xlfn.XLOOKUP(E14,Groups!A:A,Groups!N:N)="Canid",EXP(0.8367*LN(C14)+4.8763)*S14,
IF(_xlfn.XLOOKUP(E14,Groups!A:A,Groups!N:N)="Pig",EXP(0.3439*LN(C14)+6.8519)*S14,
IF(_xlfn.XLOOKUP(E14,Groups!A:A,Groups!N:N)="Rodent",EXP(0.5625*LN(C14)+4.3006)*S14,
IF(_xlfn.XLOOKUP(E14,Groups!A:A,Groups!N:N)="Primate",EXP(0.7847*LN(C14)+3.4931)*S14,
IF(_xlfn.XLOOKUP(E14,Groups!A:A,Groups!N:N)="MiscCarnivora",EXP(0.7486*LN(C14)+4.2207)*S14,
IF(_xlfn.XLOOKUP(E14,Groups!A:A,Groups!N:N)="Lizard",EXP(0.7733*LN(C14)+5.5303)*S14,
IF(_xlfn.XLOOKUP(E14,Groups!A:A,Groups!N:N)="Snake",50*C14^(2/3)*S14,
IF(_xlfn.XLOOKUP(E14,Groups!A:A,Groups!N:N)="StrongBitingHerbivore",87.1133638856975*C14^(2/3)*S14,
IF(_xlfn.XLOOKUP(E14,Groups!A:A,Groups!N:N)="MiscEctotherms",59.4316884072269*C14^(2/3)*S14,
IF(_xlfn.XLOOKUP(E14,Groups!A:A,Groups!N:N)="StrongBeakBird",0.041*(C14*1000)^1.375*S14,
IF(_xlfn.XLOOKUP(E14,Groups!A:A,Groups!N:N)="Bird",0.118*(C14*1000)^0.692*S14,
IF(_xlfn.XLOOKUP(E14,Groups!A:A,Groups!N:N)="Insect",EXP(0.7444*LN(C14)+6.5696)*S14,
IF(_xlfn.XLOOKUP(E14,Groups!A:A,Groups!N:N)="Theropod",EXP(0.6966*LN(C14)+4.158)*S14,
"No"))))))))))))))))</f>
        <v>185.62664665026728</v>
      </c>
      <c r="AU14" s="8">
        <f>IF(_xlfn.XLOOKUP(E14,Groups!A:A,Groups!U:U)=3,AS14,IF(_xlfn.XLOOKUP(E14,Groups!A:A,Groups!U:U)=2,AR14,AT14))</f>
        <v>185.62664665026728</v>
      </c>
      <c r="AV14" s="46">
        <f>IFERROR(AVERAGE(_xlfn.XLOOKUP(B14,Animals!B:B,Animals!N:N),_xlfn.XLOOKUP(B14,Animals!B:B,Animals!O:O)),0)</f>
        <v>0</v>
      </c>
      <c r="AW14" s="8">
        <f>MROUND(40*Animals!AO14*_xlfn.XLOOKUP(AG14,Leathers!$A$2:$A$99,Leathers!$B$2:$B$99,0)+(140*_xlfn.XLOOKUP(B14,Animals!B:B,Animals!AO:AO)*2),5)</f>
        <v>70</v>
      </c>
      <c r="AX14" s="8">
        <f>IFERROR(ROUND(SQRT(V14-1)*IF(_xlfn.XLOOKUP(E14,Groups!A:A,Groups!BF:BF)=0,2,1)*IF(_xlfn.XLOOKUP('Base stats'!E14,Groups!A:A,Groups!O:O)=0,1,0.1),1),0)</f>
        <v>0</v>
      </c>
      <c r="AY14" s="8">
        <f t="shared" si="12"/>
        <v>0</v>
      </c>
      <c r="AZ14" s="8">
        <f t="shared" si="13"/>
        <v>0</v>
      </c>
      <c r="BA14" s="8">
        <f t="shared" si="14"/>
        <v>0.8</v>
      </c>
      <c r="BB14" s="8">
        <f>IF(_xlfn.XLOOKUP(E14,Groups!A:A,Groups!N:N)="Insect",BD14*2.5,IFERROR(AVERAGE(BD14,AT14/9.81/IF(OR(_xlfn.XLOOKUP(E14,Groups!A:A,Groups!N:N)="Pig",_xlfn.XLOOKUP(E14,Groups!A:A,Groups!N:N)="StrongBitingHerbivore"),20,25))*C14^-0.135,BD14))</f>
        <v>0.3735210150679838</v>
      </c>
      <c r="BC14" s="8" t="str">
        <f>IF(W14="No","No",IF(_xlfn.XLOOKUP(E14,Groups!A:A,Groups!U:U)=1,'Base stats'!BB14,IF(OR(_xlfn.XLOOKUP(E14,Groups!A:A,Groups!BD:BD)=1,_xlfn.XLOOKUP(E14,Groups!A:A,Groups!U:U)=2),BD14,IF(_xlfn.XLOOKUP(B14,Animals!B:B,Animals!AO:AO)&gt;4,AVERAGE(BD14,BF14),BF14))))</f>
        <v>No</v>
      </c>
      <c r="BD14" s="8">
        <f t="shared" si="15"/>
        <v>7.7329953049139977E-2</v>
      </c>
      <c r="BE14" s="8">
        <f>IF(_xlfn.XLOOKUP(E14,Groups!A:A,Groups!BE:BE)=1,(0.048*C14^1.01)+(0.071*C14^1.03),0.071*C14^1.03)/IF(_xlfn.XLOOKUP(E14,Groups!A:A,Groups!M:M)=1,0.85,IF(OR(_xlfn.XLOOKUP(B14,Animals!B:B,Animals!AO:AO)&gt;4,_xlfn.XLOOKUP(E14,Groups!A:A,Groups!BC:BC)=1),1.7,1))*C14^-0.25</f>
        <v>0.1343419196210672</v>
      </c>
      <c r="BF14" s="8">
        <f>(0.048*C14^1.01)/IF(_xlfn.XLOOKUP(E14,Groups!A:A,Groups!M:M)=1,0.25,0.8)*C14^-0.25</f>
        <v>0.11168711870991857</v>
      </c>
      <c r="BG14" s="8">
        <f>EXP(1.076*LN(AR14)-4.5397)*IF(_xlfn.XLOOKUP(E14,Groups!A:A,Groups!BC:BC)=1,1.25,IF(_xlfn.XLOOKUP(E14,Groups!A:A,Groups!BD:BD)=1,3.5,2.5))</f>
        <v>4.1345485346873936</v>
      </c>
      <c r="BH14" s="8">
        <f>EXP(1.076*LN(AS14)-4.5397)*IF(_xlfn.XLOOKUP(E14,Groups!A:A,Groups!M:M)=1,0.8,IF(_xlfn.XLOOKUP(E14,Groups!A:A,Groups!BC:BC)=1,1.3,3))</f>
        <v>6.4336289369953583</v>
      </c>
      <c r="BI14" s="8" t="str">
        <f>IF(W14="No","No",IF(_xlfn.XLOOKUP(E14,Groups!A:A,Groups!U:U)=1,'Base stats'!BJ14,IF(OR(_xlfn.XLOOKUP(E14,Groups!A:A,Groups!BD:BD)=1,_xlfn.XLOOKUP(E14,Groups!A:A,Groups!U:U)=2),BG14,BH14))*1.2)</f>
        <v>No</v>
      </c>
      <c r="BJ14" s="8">
        <f>IFERROR(EXP(1.076*LN(AT14)-4.5397)*IF(_xlfn.XLOOKUP(E14,Groups!A:A,Groups!N:N)="Insect",1,IF(OR(_xlfn.XLOOKUP(E14,Groups!A:A,Groups!N:N)="Pig",_xlfn.XLOOKUP(E14,Groups!A:A,Groups!N:N)="StrongBitingHerbivore"),3.5,3.75)),"No")</f>
        <v>11.05405425139074</v>
      </c>
      <c r="BK14" s="8">
        <f t="shared" si="16"/>
        <v>10</v>
      </c>
      <c r="BL14" s="8">
        <f t="shared" si="17"/>
        <v>9</v>
      </c>
      <c r="BM14" s="8" t="str">
        <f t="shared" si="18"/>
        <v>No</v>
      </c>
      <c r="BN14" s="8">
        <f t="shared" si="19"/>
        <v>7</v>
      </c>
      <c r="BO14" s="8">
        <f t="shared" si="20"/>
        <v>10</v>
      </c>
      <c r="BP14" s="8" t="str" cm="1">
        <f t="array" ref="BP14">IF(AND(_xlfn.XLOOKUP('Base stats'!E14,Groups!A:A,Groups!AD:AD=0),_xlfn.XLOOKUP('Base stats'!E14,Groups!A:A,Groups!P:P=0)),"No",IF(U14="No",AVERAGE(EXP(-0.57+0.99*LN(C14)),EXP(0.32+0.67*LN(C14)))/IF(_xlfn.XLOOKUP(E14,Groups!A:A,Groups!AD:AD)=1,10,2),(0.7354*C14^0.4078)*2/IF(_xlfn.XLOOKUP(E14,Groups!A:A,Groups!BK:BK)=1,1000,100)/IF(_xlfn.XLOOKUP(E14,Groups!A:A,Groups!AJ:AJ)="Photonozoa",3,1)))</f>
        <v>No</v>
      </c>
      <c r="BQ14" s="8" t="str">
        <f>IF(W14="No","No",IF(_xlfn.XLOOKUP(E14,Groups!A:A,Groups!BD:BD)=1,(AO14*5%),EXP(0.7354*LN(C14)^0.4078)*2/IF(_xlfn.XLOOKUP(E14,Groups!A:A,Groups!BL:BL)=1,1000,100)/IF(_xlfn.XLOOKUP(E14,Groups!A:A,Groups!AJ:AJ)="Photonozoa",3,1)))</f>
        <v>No</v>
      </c>
      <c r="BR14" s="8">
        <f>IF(BJ14="No","No",IF(_xlfn.XLOOKUP(E14,Groups!A:A,Groups!BF:BF)=1,(0.0315*C14+2.1825)*2,(0.7354*C14^0.4078)*2)/IF(_xlfn.XLOOKUP(E14,Groups!A:A,Groups!BM:BM)=1,1000,100)/IF(_xlfn.XLOOKUP(E14,Groups!A:A,Groups!AJ:AJ)="Photonozoa",3,1))</f>
        <v>2.0528179461886172E-2</v>
      </c>
      <c r="BS14" s="8">
        <f t="shared" si="21"/>
        <v>4.3786554964694809E-2</v>
      </c>
      <c r="BT14" s="8" t="str">
        <f t="shared" si="22"/>
        <v>No</v>
      </c>
      <c r="BU14" s="8" t="str">
        <f t="shared" si="23"/>
        <v>No</v>
      </c>
      <c r="BV14" s="8">
        <f t="shared" si="24"/>
        <v>538.48195705392914</v>
      </c>
      <c r="BW14" s="4">
        <v>0</v>
      </c>
      <c r="BX14" s="4">
        <v>1</v>
      </c>
    </row>
    <row r="15" spans="1:76" s="16" customFormat="1" x14ac:dyDescent="0.25">
      <c r="A15" s="26" t="s">
        <v>63</v>
      </c>
      <c r="B15" s="6" t="s">
        <v>875</v>
      </c>
      <c r="C15" s="7">
        <f>AVERAGE(AVERAGE(29,36),AVERAGE(25,32))</f>
        <v>30.5</v>
      </c>
      <c r="D15" s="7" t="s">
        <v>1040</v>
      </c>
      <c r="E15" s="7" t="str">
        <f>Groups!$A$15</f>
        <v>Doglike (CANID)</v>
      </c>
      <c r="F15" s="7">
        <v>63</v>
      </c>
      <c r="G15" s="7">
        <f>510/365</f>
        <v>1.3972602739726028</v>
      </c>
      <c r="H15" s="7">
        <v>27</v>
      </c>
      <c r="I15" s="4">
        <v>0</v>
      </c>
      <c r="J15" s="7">
        <v>6</v>
      </c>
      <c r="K15" s="7" t="s">
        <v>507</v>
      </c>
      <c r="L15" s="7">
        <f>MIN(37.5*C15^0.089,79.3*C15^-0.072)</f>
        <v>50.831620301159781</v>
      </c>
      <c r="M15" s="7" t="s">
        <v>626</v>
      </c>
      <c r="N15" s="4">
        <v>0</v>
      </c>
      <c r="O15" s="4">
        <v>2</v>
      </c>
      <c r="P15" s="4">
        <v>0</v>
      </c>
      <c r="Q15" s="4">
        <v>0</v>
      </c>
      <c r="R15" s="4" t="s">
        <v>40</v>
      </c>
      <c r="S15" s="7">
        <f>_xlfn.XLOOKUP(B15,[1]TeethAdjusters!$A:$A,[1]BiteAdjusters!$C:$C,1)</f>
        <v>0.71417487730106877</v>
      </c>
      <c r="T15" s="7">
        <f>_xlfn.XLOOKUP(B15,[1]TeethAdjusters!$A:$A,[1]TeethAdjusters!$B:$B,1)</f>
        <v>0.95359131166584876</v>
      </c>
      <c r="U15" s="7" t="s">
        <v>45</v>
      </c>
      <c r="V15" s="7">
        <f>IF(AT15="No","No",IF(_xlfn.XLOOKUP(E15,Groups!A:A,Groups!AM:AM)=1,MROUND(EXP(0.3582*LN(C15)-0.2221)*T15,0.05),IF(_xlfn.XLOOKUP(E15,Groups!A:A,Groups!AM:AM)=2,MROUND(EXP(0.3582*LN(C15)-0.2221)*T15,0.05),"Need a formula")))</f>
        <v>2.6</v>
      </c>
      <c r="W15" s="7" t="s">
        <v>45</v>
      </c>
      <c r="X15" s="7" t="s">
        <v>932</v>
      </c>
      <c r="Y15" s="4" t="s">
        <v>53</v>
      </c>
      <c r="Z15" s="4">
        <v>1</v>
      </c>
      <c r="AA15" s="4">
        <v>0</v>
      </c>
      <c r="AB15" s="4">
        <v>0</v>
      </c>
      <c r="AC15" s="4">
        <v>0</v>
      </c>
      <c r="AD15" s="4">
        <v>0</v>
      </c>
      <c r="AE15" s="4" t="s">
        <v>45</v>
      </c>
      <c r="AF15" s="4" t="s">
        <v>311</v>
      </c>
      <c r="AG15" s="49" t="s">
        <v>379</v>
      </c>
      <c r="AH15" s="4" t="str">
        <f>Animals!$C$14</f>
        <v>&lt;li&gt;YorkshireTerrier&lt;/li&gt;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4" t="s">
        <v>40</v>
      </c>
      <c r="AO15" s="8">
        <f t="shared" si="10"/>
        <v>10235.707678092651</v>
      </c>
      <c r="AP15" s="8">
        <f>IFERROR(C15*_xlfn.XLOOKUP(E15,Groups!A:A,Groups!K:K),0.106*C15^0.94)</f>
        <v>3.804875</v>
      </c>
      <c r="AQ15" s="8">
        <f>AP15*10000/(_xlfn.XLOOKUP(E15,Groups!A:A,Groups!J:J)*AO15)</f>
        <v>3.4103269836881278</v>
      </c>
      <c r="AR15" s="8">
        <f t="shared" si="11"/>
        <v>975.50348213642621</v>
      </c>
      <c r="AS15" s="8">
        <f>IF(_xlfn.XLOOKUP(E15,Groups!A:A,Groups!M:M)=1,EXP(0.7444*LN('Base stats'!C15)+6.5696),EXP(0.7927*LN('Base stats'!C15)+4.28))</f>
        <v>1084.8878993878791</v>
      </c>
      <c r="AT15" s="8">
        <f>IF(_xlfn.XLOOKUP(E15,Groups!A:A,Groups!N:N)="No","No",
IF(_xlfn.XLOOKUP(E15,Groups!A:A,Groups!N:N)="Crocodile",EXP(0.8129*LN(C15)+4.6742)*S15,
IF(_xlfn.XLOOKUP(E15,Groups!A:A,Groups!N:N)="Felid",EXP(0.7843*LN(C15)+4.7073)*S15,
IF(_xlfn.XLOOKUP(E15,Groups!A:A,Groups!N:N)="Canid",EXP(0.8367*LN(C15)+4.8763)*S15,
IF(_xlfn.XLOOKUP(E15,Groups!A:A,Groups!N:N)="Pig",EXP(0.3439*LN(C15)+6.8519)*S15,
IF(_xlfn.XLOOKUP(E15,Groups!A:A,Groups!N:N)="Rodent",EXP(0.5625*LN(C15)+4.3006)*S15,
IF(_xlfn.XLOOKUP(E15,Groups!A:A,Groups!N:N)="Primate",EXP(0.7847*LN(C15)+3.4931)*S15,
IF(_xlfn.XLOOKUP(E15,Groups!A:A,Groups!N:N)="MiscCarnivora",EXP(0.7486*LN(C15)+4.2207)*S15,
IF(_xlfn.XLOOKUP(E15,Groups!A:A,Groups!N:N)="Lizard",EXP(0.7733*LN(C15)+5.5303)*S15,
IF(_xlfn.XLOOKUP(E15,Groups!A:A,Groups!N:N)="Snake",50*C15^(2/3)*S15,
IF(_xlfn.XLOOKUP(E15,Groups!A:A,Groups!N:N)="StrongBitingHerbivore",87.1133638856975*C15^(2/3)*S15,
IF(_xlfn.XLOOKUP(E15,Groups!A:A,Groups!N:N)="MiscEctotherms",59.4316884072269*C15^(2/3)*S15,
IF(_xlfn.XLOOKUP(E15,Groups!A:A,Groups!N:N)="StrongBeakBird",0.041*(C15*1000)^1.375*S15,
IF(_xlfn.XLOOKUP(E15,Groups!A:A,Groups!N:N)="Bird",0.118*(C15*1000)^0.692*S15,
IF(_xlfn.XLOOKUP(E15,Groups!A:A,Groups!N:N)="Insect",EXP(0.7444*LN(C15)+6.5696)*S15,
IF(_xlfn.XLOOKUP(E15,Groups!A:A,Groups!N:N)="Theropod",EXP(0.6966*LN(C15)+4.158)*S15,
"No"))))))))))))))))</f>
        <v>1634.8142948339298</v>
      </c>
      <c r="AU15" s="8">
        <f>IF(_xlfn.XLOOKUP(E15,Groups!A:A,Groups!U:U)=3,AS15,IF(_xlfn.XLOOKUP(E15,Groups!A:A,Groups!U:U)=2,AR15,AT15))</f>
        <v>1634.8142948339298</v>
      </c>
      <c r="AV15" s="46">
        <f>IFERROR(AVERAGE(_xlfn.XLOOKUP(B15,Animals!B:B,Animals!N:N),_xlfn.XLOOKUP(B15,Animals!B:B,Animals!O:O)),0)</f>
        <v>0</v>
      </c>
      <c r="AW15" s="8">
        <f>MROUND(40*Animals!AO15*_xlfn.XLOOKUP(AG15,Leathers!$A$2:$A$99,Leathers!$B$2:$B$99,0)+(140*_xlfn.XLOOKUP(B15,Animals!B:B,Animals!AO:AO)*2),5)</f>
        <v>250</v>
      </c>
      <c r="AX15" s="8">
        <f>IFERROR(ROUND(SQRT(V15-1)*IF(_xlfn.XLOOKUP(E15,Groups!A:A,Groups!BF:BF)=0,2,1)*IF(_xlfn.XLOOKUP('Base stats'!E15,Groups!A:A,Groups!O:O)=0,1,0.1),1),0)</f>
        <v>2.5</v>
      </c>
      <c r="AY15" s="8">
        <f t="shared" si="12"/>
        <v>0</v>
      </c>
      <c r="AZ15" s="8">
        <f t="shared" si="13"/>
        <v>0</v>
      </c>
      <c r="BA15" s="8">
        <f t="shared" si="14"/>
        <v>2.7</v>
      </c>
      <c r="BB15" s="8">
        <f>IF(_xlfn.XLOOKUP(E15,Groups!A:A,Groups!N:N)="Insect",BD15*2.5,IFERROR(AVERAGE(BD15,AT15/9.81/IF(OR(_xlfn.XLOOKUP(E15,Groups!A:A,Groups!N:N)="Pig",_xlfn.XLOOKUP(E15,Groups!A:A,Groups!N:N)="StrongBitingHerbivore"),20,25))*C15^-0.135,BD15))</f>
        <v>2.3126196650372473</v>
      </c>
      <c r="BC15" s="8" t="str">
        <f>IF(W15="No","No",IF(_xlfn.XLOOKUP(E15,Groups!A:A,Groups!U:U)=1,'Base stats'!BB15,IF(OR(_xlfn.XLOOKUP(E15,Groups!A:A,Groups!BD:BD)=1,_xlfn.XLOOKUP(E15,Groups!A:A,Groups!U:U)=2),BD15,IF(_xlfn.XLOOKUP(B15,Animals!B:B,Animals!AO:AO)&gt;4,AVERAGE(BD15,BF15),BF15))))</f>
        <v>No</v>
      </c>
      <c r="BD15" s="8">
        <f t="shared" si="15"/>
        <v>0.67102582319877924</v>
      </c>
      <c r="BE15" s="8">
        <f>IF(_xlfn.XLOOKUP(E15,Groups!A:A,Groups!BE:BE)=1,(0.048*C15^1.01)+(0.071*C15^1.03),0.071*C15^1.03)/IF(_xlfn.XLOOKUP(E15,Groups!A:A,Groups!M:M)=1,0.85,IF(OR(_xlfn.XLOOKUP(B15,Animals!B:B,Animals!AO:AO)&gt;4,_xlfn.XLOOKUP(E15,Groups!A:A,Groups!BC:BC)=1),1.7,1))*C15^-0.25</f>
        <v>1.0209682189037141</v>
      </c>
      <c r="BF15" s="8">
        <f>(0.048*C15^1.01)/IF(_xlfn.XLOOKUP(E15,Groups!A:A,Groups!M:M)=1,0.25,0.8)*C15^-0.25</f>
        <v>0.80578490671043002</v>
      </c>
      <c r="BG15" s="8">
        <f>EXP(1.076*LN(AR15)-4.5397)*IF(_xlfn.XLOOKUP(E15,Groups!A:A,Groups!BC:BC)=1,1.25,IF(_xlfn.XLOOKUP(E15,Groups!A:A,Groups!BD:BD)=1,3.5,2.5))</f>
        <v>43.932261881608525</v>
      </c>
      <c r="BH15" s="8">
        <f>EXP(1.076*LN(AS15)-4.5397)*IF(_xlfn.XLOOKUP(E15,Groups!A:A,Groups!M:M)=1,0.8,IF(_xlfn.XLOOKUP(E15,Groups!A:A,Groups!BC:BC)=1,1.3,3))</f>
        <v>59.105610863125953</v>
      </c>
      <c r="BI15" s="8" t="str">
        <f>IF(W15="No","No",IF(_xlfn.XLOOKUP(E15,Groups!A:A,Groups!U:U)=1,'Base stats'!BJ15,IF(OR(_xlfn.XLOOKUP(E15,Groups!A:A,Groups!BD:BD)=1,_xlfn.XLOOKUP(E15,Groups!A:A,Groups!U:U)=2),BG15,BH15))*1.2)</f>
        <v>No</v>
      </c>
      <c r="BJ15" s="8">
        <f>IFERROR(EXP(1.076*LN(AT15)-4.5397)*IF(_xlfn.XLOOKUP(E15,Groups!A:A,Groups!N:N)="Insect",1,IF(OR(_xlfn.XLOOKUP(E15,Groups!A:A,Groups!N:N)="Pig",_xlfn.XLOOKUP(E15,Groups!A:A,Groups!N:N)="StrongBitingHerbivore"),3.5,3.75)),"No")</f>
        <v>114.85677959605066</v>
      </c>
      <c r="BK15" s="8">
        <f t="shared" si="16"/>
        <v>11</v>
      </c>
      <c r="BL15" s="8">
        <f t="shared" si="17"/>
        <v>10</v>
      </c>
      <c r="BM15" s="8" t="str">
        <f t="shared" si="18"/>
        <v>No</v>
      </c>
      <c r="BN15" s="8">
        <f t="shared" si="19"/>
        <v>9</v>
      </c>
      <c r="BO15" s="8">
        <f t="shared" si="20"/>
        <v>12</v>
      </c>
      <c r="BP15" s="8" t="str" cm="1">
        <f t="array" ref="BP15">IF(AND(_xlfn.XLOOKUP('Base stats'!E15,Groups!A:A,Groups!AD:AD=0),_xlfn.XLOOKUP('Base stats'!E15,Groups!A:A,Groups!P:P=0)),"No",IF(U15="No",AVERAGE(EXP(-0.57+0.99*LN(C15)),EXP(0.32+0.67*LN(C15)))/IF(_xlfn.XLOOKUP(E15,Groups!A:A,Groups!AD:AD)=1,10,2),(0.7354*C15^0.4078)*2/IF(_xlfn.XLOOKUP(E15,Groups!A:A,Groups!BK:BK)=1,1000,100)/IF(_xlfn.XLOOKUP(E15,Groups!A:A,Groups!AJ:AJ)="Photonozoa",3,1)))</f>
        <v>No</v>
      </c>
      <c r="BQ15" s="8" t="str">
        <f>IF(W15="No","No",IF(_xlfn.XLOOKUP(E15,Groups!A:A,Groups!BD:BD)=1,(AO15*5%),EXP(0.7354*LN(C15)^0.4078)*2/IF(_xlfn.XLOOKUP(E15,Groups!A:A,Groups!BL:BL)=1,1000,100)/IF(_xlfn.XLOOKUP(E15,Groups!A:A,Groups!AJ:AJ)="Photonozoa",3,1)))</f>
        <v>No</v>
      </c>
      <c r="BR15" s="8">
        <f>IF(BJ15="No","No",IF(_xlfn.XLOOKUP(E15,Groups!A:A,Groups!BF:BF)=1,(0.0315*C15+2.1825)*2,(0.7354*C15^0.4078)*2)/IF(_xlfn.XLOOKUP(E15,Groups!A:A,Groups!BM:BM)=1,1000,100)/IF(_xlfn.XLOOKUP(E15,Groups!A:A,Groups!AJ:AJ)="Photonozoa",3,1))</f>
        <v>5.9272206616755349E-2</v>
      </c>
      <c r="BS15" s="8">
        <f t="shared" si="21"/>
        <v>8.5841181212386833E-2</v>
      </c>
      <c r="BT15" s="8" t="str">
        <f t="shared" si="22"/>
        <v>No</v>
      </c>
      <c r="BU15" s="8" t="str">
        <f t="shared" si="23"/>
        <v>No</v>
      </c>
      <c r="BV15" s="8">
        <f t="shared" si="24"/>
        <v>1937.7847755643097</v>
      </c>
      <c r="BW15" s="4">
        <v>0</v>
      </c>
      <c r="BX15" s="4">
        <v>1</v>
      </c>
    </row>
    <row r="16" spans="1:76" x14ac:dyDescent="0.25">
      <c r="A16" s="26" t="s">
        <v>62</v>
      </c>
      <c r="B16" s="6" t="s">
        <v>876</v>
      </c>
      <c r="C16" s="7">
        <f>AVERAGE(38,34)</f>
        <v>36</v>
      </c>
      <c r="D16" s="7" t="s">
        <v>1041</v>
      </c>
      <c r="E16" s="7" t="str">
        <f>Groups!$A$15</f>
        <v>Doglike (CANID)</v>
      </c>
      <c r="F16" s="7">
        <v>63</v>
      </c>
      <c r="G16" s="7">
        <f>510/365</f>
        <v>1.3972602739726028</v>
      </c>
      <c r="H16" s="7">
        <v>27</v>
      </c>
      <c r="I16" s="4">
        <v>0</v>
      </c>
      <c r="J16" s="7">
        <v>6</v>
      </c>
      <c r="K16" s="7" t="s">
        <v>507</v>
      </c>
      <c r="L16" s="7">
        <f>MIN(37.5*C16^0.089,79.3*C16^-0.072)</f>
        <v>51.58722779516075</v>
      </c>
      <c r="M16" s="7" t="s">
        <v>626</v>
      </c>
      <c r="N16" s="4">
        <v>0</v>
      </c>
      <c r="O16" s="4">
        <v>2</v>
      </c>
      <c r="P16" s="4">
        <v>20</v>
      </c>
      <c r="Q16" s="4">
        <v>0</v>
      </c>
      <c r="R16" s="4" t="s">
        <v>40</v>
      </c>
      <c r="S16" s="7">
        <f>_xlfn.XLOOKUP(B16,[1]TeethAdjusters!$A:$A,[1]BiteAdjusters!$C:$C,1)</f>
        <v>0.71417487730106877</v>
      </c>
      <c r="T16" s="7">
        <f>_xlfn.XLOOKUP(B16,[1]TeethAdjusters!$A:$A,[1]TeethAdjusters!$B:$B,1)</f>
        <v>0.95359131166584876</v>
      </c>
      <c r="U16" s="7" t="s">
        <v>45</v>
      </c>
      <c r="V16" s="7">
        <f>IF(AT16="No","No",IF(_xlfn.XLOOKUP(E16,Groups!A:A,Groups!AM:AM)=1,MROUND(EXP(0.3582*LN(C16)-0.2221)*T16,0.05),IF(_xlfn.XLOOKUP(E16,Groups!A:A,Groups!AM:AM)=2,MROUND(EXP(0.3582*LN(C16)-0.2221)*T16,0.05),"Need a formula")))</f>
        <v>2.75</v>
      </c>
      <c r="W16" s="7" t="s">
        <v>45</v>
      </c>
      <c r="X16" s="7" t="s">
        <v>932</v>
      </c>
      <c r="Y16" s="4" t="s">
        <v>53</v>
      </c>
      <c r="Z16" s="4">
        <v>1</v>
      </c>
      <c r="AA16" s="4">
        <v>0</v>
      </c>
      <c r="AB16" s="4">
        <v>0</v>
      </c>
      <c r="AC16" s="4">
        <v>0</v>
      </c>
      <c r="AD16" s="4">
        <v>0</v>
      </c>
      <c r="AE16" s="4" t="s">
        <v>45</v>
      </c>
      <c r="AF16" s="4" t="s">
        <v>311</v>
      </c>
      <c r="AG16" s="49" t="s">
        <v>379</v>
      </c>
      <c r="AH16" s="4" t="str">
        <f>Animals!$C$14</f>
        <v>&lt;li&gt;YorkshireTerrier&lt;/li&gt;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4" t="s">
        <v>40</v>
      </c>
      <c r="AO16" s="8">
        <f t="shared" si="10"/>
        <v>11400.387263668637</v>
      </c>
      <c r="AP16" s="8">
        <f>IFERROR(C16*_xlfn.XLOOKUP(E16,Groups!A:A,Groups!K:K),0.106*C16^0.94)</f>
        <v>4.4909999999999997</v>
      </c>
      <c r="AQ16" s="8">
        <f>AP16*10000/(_xlfn.XLOOKUP(E16,Groups!A:A,Groups!J:J)*AO16)</f>
        <v>3.6140732686940842</v>
      </c>
      <c r="AR16" s="8">
        <f t="shared" si="11"/>
        <v>1122.1462748355216</v>
      </c>
      <c r="AS16" s="8">
        <f>IF(_xlfn.XLOOKUP(E16,Groups!A:A,Groups!M:M)=1,EXP(0.7444*LN('Base stats'!C16)+6.5696),EXP(0.7927*LN('Base stats'!C16)+4.28))</f>
        <v>1237.2611460422108</v>
      </c>
      <c r="AT16" s="8">
        <f>IF(_xlfn.XLOOKUP(E16,Groups!A:A,Groups!N:N)="No","No",
IF(_xlfn.XLOOKUP(E16,Groups!A:A,Groups!N:N)="Crocodile",EXP(0.8129*LN(C16)+4.6742)*S16,
IF(_xlfn.XLOOKUP(E16,Groups!A:A,Groups!N:N)="Felid",EXP(0.7843*LN(C16)+4.7073)*S16,
IF(_xlfn.XLOOKUP(E16,Groups!A:A,Groups!N:N)="Canid",EXP(0.8367*LN(C16)+4.8763)*S16,
IF(_xlfn.XLOOKUP(E16,Groups!A:A,Groups!N:N)="Pig",EXP(0.3439*LN(C16)+6.8519)*S16,
IF(_xlfn.XLOOKUP(E16,Groups!A:A,Groups!N:N)="Rodent",EXP(0.5625*LN(C16)+4.3006)*S16,
IF(_xlfn.XLOOKUP(E16,Groups!A:A,Groups!N:N)="Primate",EXP(0.7847*LN(C16)+3.4931)*S16,
IF(_xlfn.XLOOKUP(E16,Groups!A:A,Groups!N:N)="MiscCarnivora",EXP(0.7486*LN(C16)+4.2207)*S16,
IF(_xlfn.XLOOKUP(E16,Groups!A:A,Groups!N:N)="Lizard",EXP(0.7733*LN(C16)+5.5303)*S16,
IF(_xlfn.XLOOKUP(E16,Groups!A:A,Groups!N:N)="Snake",50*C16^(2/3)*S16,
IF(_xlfn.XLOOKUP(E16,Groups!A:A,Groups!N:N)="StrongBitingHerbivore",87.1133638856975*C16^(2/3)*S16,
IF(_xlfn.XLOOKUP(E16,Groups!A:A,Groups!N:N)="MiscEctotherms",59.4316884072269*C16^(2/3)*S16,
IF(_xlfn.XLOOKUP(E16,Groups!A:A,Groups!N:N)="StrongBeakBird",0.041*(C16*1000)^1.375*S16,
IF(_xlfn.XLOOKUP(E16,Groups!A:A,Groups!N:N)="Bird",0.118*(C16*1000)^0.692*S16,
IF(_xlfn.XLOOKUP(E16,Groups!A:A,Groups!N:N)="Insect",EXP(0.7444*LN(C16)+6.5696)*S16,
IF(_xlfn.XLOOKUP(E16,Groups!A:A,Groups!N:N)="Theropod",EXP(0.6966*LN(C16)+4.158)*S16,
"No"))))))))))))))))</f>
        <v>1878.0755264115469</v>
      </c>
      <c r="AU16" s="8">
        <f>IF(_xlfn.XLOOKUP(E16,Groups!A:A,Groups!U:U)=3,AS16,IF(_xlfn.XLOOKUP(E16,Groups!A:A,Groups!U:U)=2,AR16,AT16))</f>
        <v>1878.0755264115469</v>
      </c>
      <c r="AV16" s="46">
        <f>IFERROR(AVERAGE(_xlfn.XLOOKUP(B16,Animals!B:B,Animals!N:N),_xlfn.XLOOKUP(B16,Animals!B:B,Animals!O:O)),0)</f>
        <v>0</v>
      </c>
      <c r="AW16" s="8">
        <f>MROUND(40*Animals!AO16*_xlfn.XLOOKUP(AG16,Leathers!$A$2:$A$99,Leathers!$B$2:$B$99,0)+(140*_xlfn.XLOOKUP(B16,Animals!B:B,Animals!AO:AO)*2),5)</f>
        <v>270</v>
      </c>
      <c r="AX16" s="8">
        <f>IFERROR(ROUND(SQRT(V16-1)*IF(_xlfn.XLOOKUP(E16,Groups!A:A,Groups!BF:BF)=0,2,1)*IF(_xlfn.XLOOKUP('Base stats'!E16,Groups!A:A,Groups!O:O)=0,1,0.1),1),0)</f>
        <v>2.6</v>
      </c>
      <c r="AY16" s="8">
        <f t="shared" si="12"/>
        <v>0</v>
      </c>
      <c r="AZ16" s="8">
        <f t="shared" si="13"/>
        <v>0</v>
      </c>
      <c r="BA16" s="8">
        <f t="shared" si="14"/>
        <v>2.9</v>
      </c>
      <c r="BB16" s="8">
        <f>IF(_xlfn.XLOOKUP(E16,Groups!A:A,Groups!N:N)="Insect",BD16*2.5,IFERROR(AVERAGE(BD16,AT16/9.81/IF(OR(_xlfn.XLOOKUP(E16,Groups!A:A,Groups!N:N)="Pig",_xlfn.XLOOKUP(E16,Groups!A:A,Groups!N:N)="StrongBitingHerbivore"),20,25))*C16^-0.135,BD16))</f>
        <v>2.5977117688032751</v>
      </c>
      <c r="BC16" s="8" t="str">
        <f>IF(W16="No","No",IF(_xlfn.XLOOKUP(E16,Groups!A:A,Groups!U:U)=1,'Base stats'!BB16,IF(OR(_xlfn.XLOOKUP(E16,Groups!A:A,Groups!BD:BD)=1,_xlfn.XLOOKUP(E16,Groups!A:A,Groups!U:U)=2),BD16,IF(_xlfn.XLOOKUP(B16,Animals!B:B,Animals!AO:AO)&gt;4,AVERAGE(BD16,BF16),BF16))))</f>
        <v>No</v>
      </c>
      <c r="BD16" s="8">
        <f t="shared" si="15"/>
        <v>0.77014667571860451</v>
      </c>
      <c r="BE16" s="8">
        <f>IF(_xlfn.XLOOKUP(E16,Groups!A:A,Groups!BE:BE)=1,(0.048*C16^1.01)+(0.071*C16^1.03),0.071*C16^1.03)/IF(_xlfn.XLOOKUP(E16,Groups!A:A,Groups!M:M)=1,0.85,IF(OR(_xlfn.XLOOKUP(B16,Animals!B:B,Animals!AO:AO)&gt;4,_xlfn.XLOOKUP(E16,Groups!A:A,Groups!BC:BC)=1),1.7,1))*C16^-0.25</f>
        <v>1.1619148420290941</v>
      </c>
      <c r="BF16" s="8">
        <f>(0.048*C16^1.01)/IF(_xlfn.XLOOKUP(E16,Groups!A:A,Groups!M:M)=1,0.25,0.8)*C16^-0.25</f>
        <v>0.91398938303272259</v>
      </c>
      <c r="BG16" s="8">
        <f>EXP(1.076*LN(AR16)-4.5397)*IF(_xlfn.XLOOKUP(E16,Groups!A:A,Groups!BC:BC)=1,1.25,IF(_xlfn.XLOOKUP(E16,Groups!A:A,Groups!BD:BD)=1,3.5,2.5))</f>
        <v>51.077141133404595</v>
      </c>
      <c r="BH16" s="8">
        <f>EXP(1.076*LN(AS16)-4.5397)*IF(_xlfn.XLOOKUP(E16,Groups!A:A,Groups!M:M)=1,0.8,IF(_xlfn.XLOOKUP(E16,Groups!A:A,Groups!BC:BC)=1,1.3,3))</f>
        <v>68.083682006769152</v>
      </c>
      <c r="BI16" s="8" t="str">
        <f>IF(W16="No","No",IF(_xlfn.XLOOKUP(E16,Groups!A:A,Groups!U:U)=1,'Base stats'!BJ16,IF(OR(_xlfn.XLOOKUP(E16,Groups!A:A,Groups!BD:BD)=1,_xlfn.XLOOKUP(E16,Groups!A:A,Groups!U:U)=2),BG16,BH16))*1.2)</f>
        <v>No</v>
      </c>
      <c r="BJ16" s="8">
        <f>IFERROR(EXP(1.076*LN(AT16)-4.5397)*IF(_xlfn.XLOOKUP(E16,Groups!A:A,Groups!N:N)="Insect",1,IF(OR(_xlfn.XLOOKUP(E16,Groups!A:A,Groups!N:N)="Pig",_xlfn.XLOOKUP(E16,Groups!A:A,Groups!N:N)="StrongBitingHerbivore"),3.5,3.75)),"No")</f>
        <v>133.34595732243451</v>
      </c>
      <c r="BK16" s="8">
        <f t="shared" si="16"/>
        <v>11</v>
      </c>
      <c r="BL16" s="8">
        <f t="shared" si="17"/>
        <v>10</v>
      </c>
      <c r="BM16" s="8" t="str">
        <f t="shared" si="18"/>
        <v>No</v>
      </c>
      <c r="BN16" s="8">
        <f t="shared" si="19"/>
        <v>10</v>
      </c>
      <c r="BO16" s="8">
        <f t="shared" si="20"/>
        <v>12</v>
      </c>
      <c r="BP16" s="8" t="str" cm="1">
        <f t="array" ref="BP16">IF(AND(_xlfn.XLOOKUP('Base stats'!E16,Groups!A:A,Groups!AD:AD=0),_xlfn.XLOOKUP('Base stats'!E16,Groups!A:A,Groups!P:P=0)),"No",IF(U16="No",AVERAGE(EXP(-0.57+0.99*LN(C16)),EXP(0.32+0.67*LN(C16)))/IF(_xlfn.XLOOKUP(E16,Groups!A:A,Groups!AD:AD)=1,10,2),(0.7354*C16^0.4078)*2/IF(_xlfn.XLOOKUP(E16,Groups!A:A,Groups!BK:BK)=1,1000,100)/IF(_xlfn.XLOOKUP(E16,Groups!A:A,Groups!AJ:AJ)="Photonozoa",3,1)))</f>
        <v>No</v>
      </c>
      <c r="BQ16" s="8" t="str">
        <f>IF(W16="No","No",IF(_xlfn.XLOOKUP(E16,Groups!A:A,Groups!BD:BD)=1,(AO16*5%),EXP(0.7354*LN(C16)^0.4078)*2/IF(_xlfn.XLOOKUP(E16,Groups!A:A,Groups!BL:BL)=1,1000,100)/IF(_xlfn.XLOOKUP(E16,Groups!A:A,Groups!AJ:AJ)="Photonozoa",3,1)))</f>
        <v>No</v>
      </c>
      <c r="BR16" s="8">
        <f>IF(BJ16="No","No",IF(_xlfn.XLOOKUP(E16,Groups!A:A,Groups!BF:BF)=1,(0.0315*C16+2.1825)*2,(0.7354*C16^0.4078)*2)/IF(_xlfn.XLOOKUP(E16,Groups!A:A,Groups!BM:BM)=1,1000,100)/IF(_xlfn.XLOOKUP(E16,Groups!A:A,Groups!AJ:AJ)="Photonozoa",3,1))</f>
        <v>6.3418180977575608E-2</v>
      </c>
      <c r="BS16" s="8">
        <f t="shared" si="21"/>
        <v>8.960597557274208E-2</v>
      </c>
      <c r="BT16" s="8" t="str">
        <f t="shared" si="22"/>
        <v>No</v>
      </c>
      <c r="BU16" s="8" t="str">
        <f t="shared" si="23"/>
        <v>No</v>
      </c>
      <c r="BV16" s="8">
        <f t="shared" si="24"/>
        <v>2102.645570512107</v>
      </c>
      <c r="BW16" s="4">
        <v>0</v>
      </c>
      <c r="BX16" s="4">
        <v>1</v>
      </c>
    </row>
    <row r="17" spans="1:76" x14ac:dyDescent="0.25">
      <c r="A17" s="26" t="s">
        <v>79</v>
      </c>
      <c r="B17" s="6" t="s">
        <v>80</v>
      </c>
      <c r="C17" s="7">
        <v>63</v>
      </c>
      <c r="D17" s="7" t="s">
        <v>508</v>
      </c>
      <c r="E17" s="7" t="str">
        <f>Groups!$A$19</f>
        <v>Catlike</v>
      </c>
      <c r="F17" s="7">
        <v>92</v>
      </c>
      <c r="G17" s="7">
        <f>912/365</f>
        <v>2.4986301369863013</v>
      </c>
      <c r="H17" s="7">
        <v>27</v>
      </c>
      <c r="I17" s="4">
        <v>0</v>
      </c>
      <c r="J17" s="7">
        <v>2.5</v>
      </c>
      <c r="K17" s="7" t="s">
        <v>508</v>
      </c>
      <c r="L17" s="7">
        <v>60</v>
      </c>
      <c r="M17" s="7" t="s">
        <v>626</v>
      </c>
      <c r="N17" s="4">
        <v>0</v>
      </c>
      <c r="O17" s="4">
        <v>0</v>
      </c>
      <c r="P17" s="4">
        <v>0</v>
      </c>
      <c r="Q17" s="4">
        <v>0</v>
      </c>
      <c r="R17" s="4" t="s">
        <v>40</v>
      </c>
      <c r="S17" s="7">
        <f>_xlfn.XLOOKUP(B17,[1]TeethAdjusters!$A:$A,[1]BiteAdjusters!$C:$C,1)</f>
        <v>0.85422409643679775</v>
      </c>
      <c r="T17" s="7">
        <f>_xlfn.XLOOKUP(B17,[1]TeethAdjusters!$A:$A,[1]TeethAdjusters!$B:$B,1)</f>
        <v>1.0393594726837676</v>
      </c>
      <c r="U17" s="7">
        <f>MROUND(5.715,0.05)</f>
        <v>5.7</v>
      </c>
      <c r="V17" s="7">
        <f>IF(AT17="No","No",IF(_xlfn.XLOOKUP(E17,Groups!A:A,Groups!AM:AM)=1,MROUND(EXP(0.3582*LN(C17)-0.2221)*T17,0.05),IF(_xlfn.XLOOKUP(E17,Groups!A:A,Groups!AM:AM)=2,MROUND(EXP(0.3582*LN(C17)-0.2221)*T17,0.05),"Need a formula")))</f>
        <v>3.6500000000000004</v>
      </c>
      <c r="W17" s="7" t="s">
        <v>45</v>
      </c>
      <c r="X17" s="7" t="s">
        <v>932</v>
      </c>
      <c r="Y17" s="4" t="s">
        <v>56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 t="s">
        <v>45</v>
      </c>
      <c r="AF17" s="4" t="s">
        <v>45</v>
      </c>
      <c r="AG17" s="49" t="s">
        <v>389</v>
      </c>
      <c r="AH17" s="4" t="s">
        <v>45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4" t="s">
        <v>40</v>
      </c>
      <c r="AO17" s="8">
        <f t="shared" si="10"/>
        <v>16401.906654261467</v>
      </c>
      <c r="AP17" s="8">
        <f>IFERROR(C17*_xlfn.XLOOKUP(E17,Groups!A:A,Groups!K:K),0.106*C17^0.94)</f>
        <v>7.8592500000000003</v>
      </c>
      <c r="AQ17" s="8">
        <f>AP17*10000/(_xlfn.XLOOKUP(E17,Groups!A:A,Groups!J:J)*AO17)</f>
        <v>4.3960261772640186</v>
      </c>
      <c r="AR17" s="8">
        <f t="shared" si="11"/>
        <v>1800.2951512933766</v>
      </c>
      <c r="AS17" s="8">
        <f>IF(_xlfn.XLOOKUP(E17,Groups!A:A,Groups!M:M)=1,EXP(0.7444*LN('Base stats'!C17)+6.5696),EXP(0.7927*LN('Base stats'!C17)+4.28))</f>
        <v>1928.0470870394572</v>
      </c>
      <c r="AT17" s="8">
        <f>IF(_xlfn.XLOOKUP(E17,Groups!A:A,Groups!N:N)="No","No",
IF(_xlfn.XLOOKUP(E17,Groups!A:A,Groups!N:N)="Crocodile",EXP(0.8129*LN(C17)+4.6742)*S17,
IF(_xlfn.XLOOKUP(E17,Groups!A:A,Groups!N:N)="Felid",EXP(0.7843*LN(C17)+4.7073)*S17,
IF(_xlfn.XLOOKUP(E17,Groups!A:A,Groups!N:N)="Canid",EXP(0.8367*LN(C17)+4.8763)*S17,
IF(_xlfn.XLOOKUP(E17,Groups!A:A,Groups!N:N)="Pig",EXP(0.3439*LN(C17)+6.8519)*S17,
IF(_xlfn.XLOOKUP(E17,Groups!A:A,Groups!N:N)="Rodent",EXP(0.5625*LN(C17)+4.3006)*S17,
IF(_xlfn.XLOOKUP(E17,Groups!A:A,Groups!N:N)="Primate",EXP(0.7847*LN(C17)+3.4931)*S17,
IF(_xlfn.XLOOKUP(E17,Groups!A:A,Groups!N:N)="MiscCarnivora",EXP(0.7486*LN(C17)+4.2207)*S17,
IF(_xlfn.XLOOKUP(E17,Groups!A:A,Groups!N:N)="Lizard",EXP(0.7733*LN(C17)+5.5303)*S17,
IF(_xlfn.XLOOKUP(E17,Groups!A:A,Groups!N:N)="Snake",50*C17^(2/3)*S17,
IF(_xlfn.XLOOKUP(E17,Groups!A:A,Groups!N:N)="StrongBitingHerbivore",87.1133638856975*C17^(2/3)*S17,
IF(_xlfn.XLOOKUP(E17,Groups!A:A,Groups!N:N)="MiscEctotherms",59.4316884072269*C17^(2/3)*S17,
IF(_xlfn.XLOOKUP(E17,Groups!A:A,Groups!N:N)="StrongBeakBird",0.041*(C17*1000)^1.375*S17,
IF(_xlfn.XLOOKUP(E17,Groups!A:A,Groups!N:N)="Bird",0.118*(C17*1000)^0.692*S17,
IF(_xlfn.XLOOKUP(E17,Groups!A:A,Groups!N:N)="Insect",EXP(0.7444*LN(C17)+6.5696)*S17,
IF(_xlfn.XLOOKUP(E17,Groups!A:A,Groups!N:N)="Theropod",EXP(0.6966*LN(C17)+4.158)*S17,
"No"))))))))))))))))</f>
        <v>2438.6474828618393</v>
      </c>
      <c r="AU17" s="8">
        <f>IF(_xlfn.XLOOKUP(E17,Groups!A:A,Groups!U:U)=3,AS17,IF(_xlfn.XLOOKUP(E17,Groups!A:A,Groups!U:U)=2,AR17,AT17))</f>
        <v>2438.6474828618393</v>
      </c>
      <c r="AV17" s="46">
        <f>IFERROR(AVERAGE(_xlfn.XLOOKUP(B17,Animals!B:B,Animals!N:N),_xlfn.XLOOKUP(B17,Animals!B:B,Animals!O:O)),0)</f>
        <v>0</v>
      </c>
      <c r="AW17" s="8">
        <f>MROUND(40*Animals!AO17*_xlfn.XLOOKUP(AG17,Leathers!$A$2:$A$99,Leathers!$B$2:$B$99,0)+(140*_xlfn.XLOOKUP(B17,Animals!B:B,Animals!AO:AO)*2),5)</f>
        <v>425</v>
      </c>
      <c r="AX17" s="8">
        <f>IFERROR(ROUND(SQRT(V17-1)*IF(_xlfn.XLOOKUP(E17,Groups!A:A,Groups!BF:BF)=0,2,1)*IF(_xlfn.XLOOKUP('Base stats'!E17,Groups!A:A,Groups!O:O)=0,1,0.1),1),0)</f>
        <v>3.3</v>
      </c>
      <c r="AY17" s="8">
        <f t="shared" si="12"/>
        <v>2.2000000000000002</v>
      </c>
      <c r="AZ17" s="8">
        <f t="shared" si="13"/>
        <v>0</v>
      </c>
      <c r="BA17" s="8">
        <f t="shared" si="14"/>
        <v>3.5</v>
      </c>
      <c r="BB17" s="8">
        <f>IF(_xlfn.XLOOKUP(E17,Groups!A:A,Groups!N:N)="Insect",BD17*2.5,IFERROR(AVERAGE(BD17,AT17/9.81/IF(OR(_xlfn.XLOOKUP(E17,Groups!A:A,Groups!N:N)="Pig",_xlfn.XLOOKUP(E17,Groups!A:A,Groups!N:N)="StrongBitingHerbivore"),20,25))*C17^-0.135,BD17))</f>
        <v>3.1922628081541204</v>
      </c>
      <c r="BC17" s="8" t="str">
        <f>IF(W17="No","No",IF(_xlfn.XLOOKUP(E17,Groups!A:A,Groups!U:U)=1,'Base stats'!BB17,IF(OR(_xlfn.XLOOKUP(E17,Groups!A:A,Groups!BD:BD)=1,_xlfn.XLOOKUP(E17,Groups!A:A,Groups!U:U)=2),BD17,IF(_xlfn.XLOOKUP(B17,Animals!B:B,Animals!AO:AO)&gt;4,AVERAGE(BD17,BF17),BF17))))</f>
        <v>No</v>
      </c>
      <c r="BD17" s="8">
        <f t="shared" si="15"/>
        <v>1.2261343621662715</v>
      </c>
      <c r="BE17" s="8">
        <f>IF(_xlfn.XLOOKUP(E17,Groups!A:A,Groups!BE:BE)=1,(0.048*C17^1.01)+(0.071*C17^1.03),0.071*C17^1.03)/IF(_xlfn.XLOOKUP(E17,Groups!A:A,Groups!M:M)=1,0.85,IF(OR(_xlfn.XLOOKUP(B17,Animals!B:B,Animals!AO:AO)&gt;4,_xlfn.XLOOKUP(E17,Groups!A:A,Groups!BC:BC)=1),1.7,1))*C17^-0.25</f>
        <v>1.7978107679327162</v>
      </c>
      <c r="BF17" s="8">
        <f>(0.048*C17^1.01)/IF(_xlfn.XLOOKUP(E17,Groups!A:A,Groups!M:M)=1,0.25,0.8)*C17^-0.25</f>
        <v>1.3984600617005443</v>
      </c>
      <c r="BG17" s="8">
        <f>EXP(1.076*LN(AR17)-4.5397)*IF(_xlfn.XLOOKUP(E17,Groups!A:A,Groups!BC:BC)=1,1.25,IF(_xlfn.XLOOKUP(E17,Groups!A:A,Groups!BD:BD)=1,3.5,2.5))</f>
        <v>84.942137034811097</v>
      </c>
      <c r="BH17" s="8">
        <f>EXP(1.076*LN(AS17)-4.5397)*IF(_xlfn.XLOOKUP(E17,Groups!A:A,Groups!M:M)=1,0.8,IF(_xlfn.XLOOKUP(E17,Groups!A:A,Groups!BC:BC)=1,1.3,3))</f>
        <v>109.73399023878679</v>
      </c>
      <c r="BI17" s="8" t="str">
        <f>IF(W17="No","No",IF(_xlfn.XLOOKUP(E17,Groups!A:A,Groups!U:U)=1,'Base stats'!BJ17,IF(OR(_xlfn.XLOOKUP(E17,Groups!A:A,Groups!BD:BD)=1,_xlfn.XLOOKUP(E17,Groups!A:A,Groups!U:U)=2),BG17,BH17))*1.2)</f>
        <v>No</v>
      </c>
      <c r="BJ17" s="8">
        <f>IFERROR(EXP(1.076*LN(AT17)-4.5397)*IF(_xlfn.XLOOKUP(E17,Groups!A:A,Groups!N:N)="Insect",1,IF(OR(_xlfn.XLOOKUP(E17,Groups!A:A,Groups!N:N)="Pig",_xlfn.XLOOKUP(E17,Groups!A:A,Groups!N:N)="StrongBitingHerbivore"),3.5,3.75)),"No")</f>
        <v>176.61881226386217</v>
      </c>
      <c r="BK17" s="8">
        <f t="shared" si="16"/>
        <v>11</v>
      </c>
      <c r="BL17" s="8">
        <f t="shared" si="17"/>
        <v>11</v>
      </c>
      <c r="BM17" s="8" t="str">
        <f t="shared" si="18"/>
        <v>No</v>
      </c>
      <c r="BN17" s="8">
        <f t="shared" si="19"/>
        <v>10</v>
      </c>
      <c r="BO17" s="8">
        <f t="shared" si="20"/>
        <v>12</v>
      </c>
      <c r="BP17" s="8" cm="1">
        <f t="array" ref="BP17">IF(AND(_xlfn.XLOOKUP('Base stats'!E17,Groups!A:A,Groups!AD:AD=0),_xlfn.XLOOKUP('Base stats'!E17,Groups!A:A,Groups!P:P=0)),"No",IF(U17="No",AVERAGE(EXP(-0.57+0.99*LN(C17)),EXP(0.32+0.67*LN(C17)))/IF(_xlfn.XLOOKUP(E17,Groups!A:A,Groups!AD:AD)=1,10,2),(0.7354*C17^0.4078)*2/IF(_xlfn.XLOOKUP(E17,Groups!A:A,Groups!BK:BK)=1,1000,100)/IF(_xlfn.XLOOKUP(E17,Groups!A:A,Groups!AJ:AJ)="Photonozoa",3,1)))</f>
        <v>7.9675481601621551E-2</v>
      </c>
      <c r="BQ17" s="8" t="str">
        <f>IF(W17="No","No",IF(_xlfn.XLOOKUP(E17,Groups!A:A,Groups!BD:BD)=1,(AO17*5%),EXP(0.7354*LN(C17)^0.4078)*2/IF(_xlfn.XLOOKUP(E17,Groups!A:A,Groups!BL:BL)=1,1000,100)/IF(_xlfn.XLOOKUP(E17,Groups!A:A,Groups!AJ:AJ)="Photonozoa",3,1)))</f>
        <v>No</v>
      </c>
      <c r="BR17" s="8">
        <f>IF(BJ17="No","No",IF(_xlfn.XLOOKUP(E17,Groups!A:A,Groups!BF:BF)=1,(0.0315*C17+2.1825)*2,(0.7354*C17^0.4078)*2)/IF(_xlfn.XLOOKUP(E17,Groups!A:A,Groups!BM:BM)=1,1000,100)/IF(_xlfn.XLOOKUP(E17,Groups!A:A,Groups!AJ:AJ)="Photonozoa",3,1))</f>
        <v>7.9675481601621551E-2</v>
      </c>
      <c r="BS17" s="8">
        <f t="shared" si="21"/>
        <v>0.10357593031751808</v>
      </c>
      <c r="BT17" s="8">
        <f t="shared" si="22"/>
        <v>1377.2617125486379</v>
      </c>
      <c r="BU17" s="8" t="str">
        <f t="shared" si="23"/>
        <v>No</v>
      </c>
      <c r="BV17" s="8">
        <f t="shared" si="24"/>
        <v>2216.7272630614088</v>
      </c>
      <c r="BW17" s="4">
        <v>0</v>
      </c>
      <c r="BX17" s="4">
        <v>1</v>
      </c>
    </row>
    <row r="18" spans="1:76" x14ac:dyDescent="0.25">
      <c r="A18" s="26" t="s">
        <v>235</v>
      </c>
      <c r="B18" s="6" t="s">
        <v>81</v>
      </c>
      <c r="C18" s="7">
        <v>53.75</v>
      </c>
      <c r="D18" s="7" t="s">
        <v>581</v>
      </c>
      <c r="E18" s="7" t="str">
        <f>Groups!$A$19</f>
        <v>Catlike</v>
      </c>
      <c r="F18" s="7">
        <v>97</v>
      </c>
      <c r="G18" s="7">
        <f>937 /365</f>
        <v>2.5671232876712327</v>
      </c>
      <c r="H18" s="7">
        <v>27.3</v>
      </c>
      <c r="I18" s="4">
        <v>0</v>
      </c>
      <c r="J18" s="7">
        <v>2</v>
      </c>
      <c r="K18" s="7" t="s">
        <v>581</v>
      </c>
      <c r="L18" s="7">
        <v>60</v>
      </c>
      <c r="M18" s="7" t="s">
        <v>626</v>
      </c>
      <c r="N18" s="4">
        <v>0</v>
      </c>
      <c r="O18" s="4">
        <v>0</v>
      </c>
      <c r="P18" s="4">
        <v>0</v>
      </c>
      <c r="Q18" s="4">
        <v>0</v>
      </c>
      <c r="R18" s="4" t="s">
        <v>40</v>
      </c>
      <c r="S18" s="7">
        <f>_xlfn.XLOOKUP(B18,[1]TeethAdjusters!$A:$A,[1]BiteAdjusters!$C:$C,1)</f>
        <v>1.2846517022095629</v>
      </c>
      <c r="T18" s="7">
        <f>_xlfn.XLOOKUP(B18,[1]TeethAdjusters!$A:$A,[1]TeethAdjusters!$B:$B,1)</f>
        <v>1.0623284440172567</v>
      </c>
      <c r="U18" s="7">
        <f>MROUND(5.5,0.05)</f>
        <v>5.5</v>
      </c>
      <c r="V18" s="7">
        <f>IF(AT18="No","No",IF(_xlfn.XLOOKUP(E18,Groups!A:A,Groups!AM:AM)=1,MROUND(EXP(0.3582*LN(C18)-0.2221)*T18,0.05),IF(_xlfn.XLOOKUP(E18,Groups!A:A,Groups!AM:AM)=2,MROUND(EXP(0.3582*LN(C18)-0.2221)*T18,0.05),"Need a formula")))</f>
        <v>3.5500000000000003</v>
      </c>
      <c r="W18" s="7" t="s">
        <v>45</v>
      </c>
      <c r="X18" s="7" t="s">
        <v>932</v>
      </c>
      <c r="Y18" s="4" t="s">
        <v>56</v>
      </c>
      <c r="Z18" s="4">
        <v>1</v>
      </c>
      <c r="AA18" s="4">
        <v>0</v>
      </c>
      <c r="AB18" s="4">
        <v>0</v>
      </c>
      <c r="AC18" s="4">
        <v>0</v>
      </c>
      <c r="AD18" s="4">
        <v>0</v>
      </c>
      <c r="AE18" s="4" t="s">
        <v>45</v>
      </c>
      <c r="AF18" s="4" t="s">
        <v>45</v>
      </c>
      <c r="AG18" s="49" t="s">
        <v>389</v>
      </c>
      <c r="AH18" s="4" t="s">
        <v>45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4" t="s">
        <v>40</v>
      </c>
      <c r="AO18" s="8">
        <f t="shared" si="10"/>
        <v>14793.43348517449</v>
      </c>
      <c r="AP18" s="8">
        <f>IFERROR(C18*_xlfn.XLOOKUP(E18,Groups!A:A,Groups!K:K),0.106*C18^0.94)</f>
        <v>6.7053124999999998</v>
      </c>
      <c r="AQ18" s="8">
        <f>AP18*10000/(_xlfn.XLOOKUP(E18,Groups!A:A,Groups!J:J)*AO18)</f>
        <v>4.1583739503082215</v>
      </c>
      <c r="AR18" s="8">
        <f t="shared" si="11"/>
        <v>1574.3143065176428</v>
      </c>
      <c r="AS18" s="8">
        <f>IF(_xlfn.XLOOKUP(E18,Groups!A:A,Groups!M:M)=1,EXP(0.7444*LN('Base stats'!C18)+6.5696),EXP(0.7927*LN('Base stats'!C18)+4.28))</f>
        <v>1700.0096811752469</v>
      </c>
      <c r="AT18" s="8">
        <f>IF(_xlfn.XLOOKUP(E18,Groups!A:A,Groups!N:N)="No","No",
IF(_xlfn.XLOOKUP(E18,Groups!A:A,Groups!N:N)="Crocodile",EXP(0.8129*LN(C18)+4.6742)*S18,
IF(_xlfn.XLOOKUP(E18,Groups!A:A,Groups!N:N)="Felid",EXP(0.7843*LN(C18)+4.7073)*S18,
IF(_xlfn.XLOOKUP(E18,Groups!A:A,Groups!N:N)="Canid",EXP(0.8367*LN(C18)+4.8763)*S18,
IF(_xlfn.XLOOKUP(E18,Groups!A:A,Groups!N:N)="Pig",EXP(0.3439*LN(C18)+6.8519)*S18,
IF(_xlfn.XLOOKUP(E18,Groups!A:A,Groups!N:N)="Rodent",EXP(0.5625*LN(C18)+4.3006)*S18,
IF(_xlfn.XLOOKUP(E18,Groups!A:A,Groups!N:N)="Primate",EXP(0.7847*LN(C18)+3.4931)*S18,
IF(_xlfn.XLOOKUP(E18,Groups!A:A,Groups!N:N)="MiscCarnivora",EXP(0.7486*LN(C18)+4.2207)*S18,
IF(_xlfn.XLOOKUP(E18,Groups!A:A,Groups!N:N)="Lizard",EXP(0.7733*LN(C18)+5.5303)*S18,
IF(_xlfn.XLOOKUP(E18,Groups!A:A,Groups!N:N)="Snake",50*C18^(2/3)*S18,
IF(_xlfn.XLOOKUP(E18,Groups!A:A,Groups!N:N)="StrongBitingHerbivore",87.1133638856975*C18^(2/3)*S18,
IF(_xlfn.XLOOKUP(E18,Groups!A:A,Groups!N:N)="MiscEctotherms",59.4316884072269*C18^(2/3)*S18,
IF(_xlfn.XLOOKUP(E18,Groups!A:A,Groups!N:N)="StrongBeakBird",0.041*(C18*1000)^1.375*S18,
IF(_xlfn.XLOOKUP(E18,Groups!A:A,Groups!N:N)="Bird",0.118*(C18*1000)^0.692*S18,
IF(_xlfn.XLOOKUP(E18,Groups!A:A,Groups!N:N)="Insect",EXP(0.7444*LN(C18)+6.5696)*S18,
IF(_xlfn.XLOOKUP(E18,Groups!A:A,Groups!N:N)="Theropod",EXP(0.6966*LN(C18)+4.158)*S18,
"No"))))))))))))))))</f>
        <v>3237.991051926494</v>
      </c>
      <c r="AU18" s="8">
        <f>IF(_xlfn.XLOOKUP(E18,Groups!A:A,Groups!U:U)=3,AS18,IF(_xlfn.XLOOKUP(E18,Groups!A:A,Groups!U:U)=2,AR18,AT18))</f>
        <v>3237.991051926494</v>
      </c>
      <c r="AV18" s="46">
        <f>IFERROR(AVERAGE(_xlfn.XLOOKUP(B18,Animals!B:B,Animals!N:N),_xlfn.XLOOKUP(B18,Animals!B:B,Animals!O:O)),0)</f>
        <v>0</v>
      </c>
      <c r="AW18" s="8">
        <f>MROUND(40*Animals!AO18*_xlfn.XLOOKUP(AG18,Leathers!$A$2:$A$99,Leathers!$B$2:$B$99,0)+(140*_xlfn.XLOOKUP(B18,Animals!B:B,Animals!AO:AO)*2),5)</f>
        <v>405</v>
      </c>
      <c r="AX18" s="8">
        <f>IFERROR(ROUND(SQRT(V18-1)*IF(_xlfn.XLOOKUP(E18,Groups!A:A,Groups!BF:BF)=0,2,1)*IF(_xlfn.XLOOKUP('Base stats'!E18,Groups!A:A,Groups!O:O)=0,1,0.1),1),0)</f>
        <v>3.2</v>
      </c>
      <c r="AY18" s="8">
        <f t="shared" si="12"/>
        <v>2.1</v>
      </c>
      <c r="AZ18" s="8">
        <f t="shared" si="13"/>
        <v>0</v>
      </c>
      <c r="BA18" s="8">
        <f t="shared" si="14"/>
        <v>3.3</v>
      </c>
      <c r="BB18" s="8">
        <f>IF(_xlfn.XLOOKUP(E18,Groups!A:A,Groups!N:N)="Insect",BD18*2.5,IFERROR(AVERAGE(BD18,AT18/9.81/IF(OR(_xlfn.XLOOKUP(E18,Groups!A:A,Groups!N:N)="Pig",_xlfn.XLOOKUP(E18,Groups!A:A,Groups!N:N)="StrongBitingHerbivore"),20,25))*C18^-0.135,BD18))</f>
        <v>4.1688604144045547</v>
      </c>
      <c r="BC18" s="8" t="str">
        <f>IF(W18="No","No",IF(_xlfn.XLOOKUP(E18,Groups!A:A,Groups!U:U)=1,'Base stats'!BB18,IF(OR(_xlfn.XLOOKUP(E18,Groups!A:A,Groups!BD:BD)=1,_xlfn.XLOOKUP(E18,Groups!A:A,Groups!U:U)=2),BD18,IF(_xlfn.XLOOKUP(B18,Animals!B:B,Animals!AO:AO)&gt;4,AVERAGE(BD18,BF18),BF18))))</f>
        <v>No</v>
      </c>
      <c r="BD18" s="8">
        <f t="shared" si="15"/>
        <v>1.0745597632000488</v>
      </c>
      <c r="BE18" s="8">
        <f>IF(_xlfn.XLOOKUP(E18,Groups!A:A,Groups!BE:BE)=1,(0.048*C18^1.01)+(0.071*C18^1.03),0.071*C18^1.03)/IF(_xlfn.XLOOKUP(E18,Groups!A:A,Groups!M:M)=1,0.85,IF(OR(_xlfn.XLOOKUP(B18,Animals!B:B,Animals!AO:AO)&gt;4,_xlfn.XLOOKUP(E18,Groups!A:A,Groups!BC:BC)=1),1.7,1))*C18^-0.25</f>
        <v>1.5883768699674763</v>
      </c>
      <c r="BF18" s="8">
        <f>(0.048*C18^1.01)/IF(_xlfn.XLOOKUP(E18,Groups!A:A,Groups!M:M)=1,0.25,0.8)*C18^-0.25</f>
        <v>1.2394781821074123</v>
      </c>
      <c r="BG18" s="8">
        <f>EXP(1.076*LN(AR18)-4.5397)*IF(_xlfn.XLOOKUP(E18,Groups!A:A,Groups!BC:BC)=1,1.25,IF(_xlfn.XLOOKUP(E18,Groups!A:A,Groups!BD:BD)=1,3.5,2.5))</f>
        <v>73.526474206851105</v>
      </c>
      <c r="BH18" s="8">
        <f>EXP(1.076*LN(AS18)-4.5397)*IF(_xlfn.XLOOKUP(E18,Groups!A:A,Groups!M:M)=1,0.8,IF(_xlfn.XLOOKUP(E18,Groups!A:A,Groups!BC:BC)=1,1.3,3))</f>
        <v>95.834150126565405</v>
      </c>
      <c r="BI18" s="8" t="str">
        <f>IF(W18="No","No",IF(_xlfn.XLOOKUP(E18,Groups!A:A,Groups!U:U)=1,'Base stats'!BJ18,IF(OR(_xlfn.XLOOKUP(E18,Groups!A:A,Groups!BD:BD)=1,_xlfn.XLOOKUP(E18,Groups!A:A,Groups!U:U)=2),BG18,BH18))*1.2)</f>
        <v>No</v>
      </c>
      <c r="BJ18" s="8">
        <f>IFERROR(EXP(1.076*LN(AT18)-4.5397)*IF(_xlfn.XLOOKUP(E18,Groups!A:A,Groups!N:N)="Insect",1,IF(OR(_xlfn.XLOOKUP(E18,Groups!A:A,Groups!N:N)="Pig",_xlfn.XLOOKUP(E18,Groups!A:A,Groups!N:N)="StrongBitingHerbivore"),3.5,3.75)),"No")</f>
        <v>239.61897244609523</v>
      </c>
      <c r="BK18" s="8">
        <f t="shared" si="16"/>
        <v>11</v>
      </c>
      <c r="BL18" s="8">
        <f t="shared" si="17"/>
        <v>10</v>
      </c>
      <c r="BM18" s="8" t="str">
        <f t="shared" si="18"/>
        <v>No</v>
      </c>
      <c r="BN18" s="8">
        <f t="shared" si="19"/>
        <v>10</v>
      </c>
      <c r="BO18" s="8">
        <f t="shared" si="20"/>
        <v>12</v>
      </c>
      <c r="BP18" s="8" cm="1">
        <f t="array" ref="BP18">IF(AND(_xlfn.XLOOKUP('Base stats'!E18,Groups!A:A,Groups!AD:AD=0),_xlfn.XLOOKUP('Base stats'!E18,Groups!A:A,Groups!P:P=0)),"No",IF(U18="No",AVERAGE(EXP(-0.57+0.99*LN(C18)),EXP(0.32+0.67*LN(C18)))/IF(_xlfn.XLOOKUP(E18,Groups!A:A,Groups!AD:AD)=1,10,2),(0.7354*C18^0.4078)*2/IF(_xlfn.XLOOKUP(E18,Groups!A:A,Groups!BK:BK)=1,1000,100)/IF(_xlfn.XLOOKUP(E18,Groups!A:A,Groups!AJ:AJ)="Photonozoa",3,1)))</f>
        <v>7.4679596144442667E-2</v>
      </c>
      <c r="BQ18" s="8" t="str">
        <f>IF(W18="No","No",IF(_xlfn.XLOOKUP(E18,Groups!A:A,Groups!BD:BD)=1,(AO18*5%),EXP(0.7354*LN(C18)^0.4078)*2/IF(_xlfn.XLOOKUP(E18,Groups!A:A,Groups!BL:BL)=1,1000,100)/IF(_xlfn.XLOOKUP(E18,Groups!A:A,Groups!AJ:AJ)="Photonozoa",3,1)))</f>
        <v>No</v>
      </c>
      <c r="BR18" s="8">
        <f>IF(BJ18="No","No",IF(_xlfn.XLOOKUP(E18,Groups!A:A,Groups!BF:BF)=1,(0.0315*C18+2.1825)*2,(0.7354*C18^0.4078)*2)/IF(_xlfn.XLOOKUP(E18,Groups!A:A,Groups!BM:BM)=1,1000,100)/IF(_xlfn.XLOOKUP(E18,Groups!A:A,Groups!AJ:AJ)="Photonozoa",3,1))</f>
        <v>7.4679596144442667E-2</v>
      </c>
      <c r="BS18" s="8">
        <f t="shared" si="21"/>
        <v>9.9404204278252237E-2</v>
      </c>
      <c r="BT18" s="8">
        <f t="shared" si="22"/>
        <v>1283.2708674696946</v>
      </c>
      <c r="BU18" s="8" t="str">
        <f t="shared" si="23"/>
        <v>No</v>
      </c>
      <c r="BV18" s="8">
        <f t="shared" si="24"/>
        <v>3208.6270523294284</v>
      </c>
      <c r="BW18" s="4">
        <v>0</v>
      </c>
      <c r="BX18" s="4">
        <v>1</v>
      </c>
    </row>
    <row r="19" spans="1:76" x14ac:dyDescent="0.25">
      <c r="A19" s="26" t="s">
        <v>82</v>
      </c>
      <c r="B19" s="6" t="s">
        <v>83</v>
      </c>
      <c r="C19" s="7">
        <v>23</v>
      </c>
      <c r="D19" s="7" t="s">
        <v>509</v>
      </c>
      <c r="E19" s="7" t="str">
        <f>Groups!$A$19</f>
        <v>Catlike</v>
      </c>
      <c r="F19" s="7">
        <v>66</v>
      </c>
      <c r="G19" s="7">
        <f>639/365</f>
        <v>1.7506849315068493</v>
      </c>
      <c r="H19" s="7">
        <v>26</v>
      </c>
      <c r="I19" s="4">
        <v>0</v>
      </c>
      <c r="J19" s="7">
        <v>2</v>
      </c>
      <c r="K19" s="7" t="s">
        <v>509</v>
      </c>
      <c r="L19" s="7">
        <f>MIN(37.5*C19^0.089,79.3*C19^-0.072)</f>
        <v>49.570699247361198</v>
      </c>
      <c r="M19" s="7" t="s">
        <v>626</v>
      </c>
      <c r="N19" s="4">
        <v>0</v>
      </c>
      <c r="O19" s="4">
        <v>0</v>
      </c>
      <c r="P19" s="4">
        <v>0</v>
      </c>
      <c r="Q19" s="4">
        <v>0</v>
      </c>
      <c r="R19" s="4" t="s">
        <v>40</v>
      </c>
      <c r="S19" s="7">
        <f>_xlfn.XLOOKUP(B19,[1]TeethAdjusters!$A:$A,[1]BiteAdjusters!$C:$C,1)</f>
        <v>0.77942794130455306</v>
      </c>
      <c r="T19" s="7">
        <f>_xlfn.XLOOKUP(B19,[1]TeethAdjusters!$A:$A,[1]TeethAdjusters!$B:$B,1)</f>
        <v>1.057158398386151</v>
      </c>
      <c r="U19" s="7">
        <f>MROUND(3.81,0.05)</f>
        <v>3.8000000000000003</v>
      </c>
      <c r="V19" s="7">
        <f>IF(AT19="No","No",IF(_xlfn.XLOOKUP(E19,Groups!A:A,Groups!AM:AM)=1,MROUND(EXP(0.3582*LN(C19)-0.2221)*T19,0.05),IF(_xlfn.XLOOKUP(E19,Groups!A:A,Groups!AM:AM)=2,MROUND(EXP(0.3582*LN(C19)-0.2221)*T19,0.05),"Need a formula")))</f>
        <v>2.6</v>
      </c>
      <c r="W19" s="7" t="s">
        <v>45</v>
      </c>
      <c r="X19" s="7" t="s">
        <v>932</v>
      </c>
      <c r="Y19" s="4" t="s">
        <v>56</v>
      </c>
      <c r="Z19" s="4">
        <v>1</v>
      </c>
      <c r="AA19" s="4">
        <v>0</v>
      </c>
      <c r="AB19" s="4">
        <v>0</v>
      </c>
      <c r="AC19" s="4">
        <v>0</v>
      </c>
      <c r="AD19" s="4">
        <v>0</v>
      </c>
      <c r="AE19" s="4" t="s">
        <v>45</v>
      </c>
      <c r="AF19" s="4" t="s">
        <v>45</v>
      </c>
      <c r="AG19" s="49" t="s">
        <v>389</v>
      </c>
      <c r="AH19" s="4" t="s">
        <v>45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4" t="s">
        <v>40</v>
      </c>
      <c r="AO19" s="8">
        <f t="shared" si="10"/>
        <v>8520.1270753585995</v>
      </c>
      <c r="AP19" s="8">
        <f>IFERROR(C19*_xlfn.XLOOKUP(E19,Groups!A:A,Groups!K:K),0.106*C19^0.94)</f>
        <v>2.8692500000000001</v>
      </c>
      <c r="AQ19" s="8">
        <f>AP19*10000/(_xlfn.XLOOKUP(E19,Groups!A:A,Groups!J:J)*AO19)</f>
        <v>3.0895542123478164</v>
      </c>
      <c r="AR19" s="8">
        <f t="shared" si="11"/>
        <v>768.58561660384407</v>
      </c>
      <c r="AS19" s="8">
        <f>IF(_xlfn.XLOOKUP(E19,Groups!A:A,Groups!M:M)=1,EXP(0.7444*LN('Base stats'!C19)+6.5696),EXP(0.7927*LN('Base stats'!C19)+4.28))</f>
        <v>867.40523353073831</v>
      </c>
      <c r="AT19" s="8">
        <f>IF(_xlfn.XLOOKUP(E19,Groups!A:A,Groups!N:N)="No","No",
IF(_xlfn.XLOOKUP(E19,Groups!A:A,Groups!N:N)="Crocodile",EXP(0.8129*LN(C19)+4.6742)*S19,
IF(_xlfn.XLOOKUP(E19,Groups!A:A,Groups!N:N)="Felid",EXP(0.7843*LN(C19)+4.7073)*S19,
IF(_xlfn.XLOOKUP(E19,Groups!A:A,Groups!N:N)="Canid",EXP(0.8367*LN(C19)+4.8763)*S19,
IF(_xlfn.XLOOKUP(E19,Groups!A:A,Groups!N:N)="Pig",EXP(0.3439*LN(C19)+6.8519)*S19,
IF(_xlfn.XLOOKUP(E19,Groups!A:A,Groups!N:N)="Rodent",EXP(0.5625*LN(C19)+4.3006)*S19,
IF(_xlfn.XLOOKUP(E19,Groups!A:A,Groups!N:N)="Primate",EXP(0.7847*LN(C19)+3.4931)*S19,
IF(_xlfn.XLOOKUP(E19,Groups!A:A,Groups!N:N)="MiscCarnivora",EXP(0.7486*LN(C19)+4.2207)*S19,
IF(_xlfn.XLOOKUP(E19,Groups!A:A,Groups!N:N)="Lizard",EXP(0.7733*LN(C19)+5.5303)*S19,
IF(_xlfn.XLOOKUP(E19,Groups!A:A,Groups!N:N)="Snake",50*C19^(2/3)*S19,
IF(_xlfn.XLOOKUP(E19,Groups!A:A,Groups!N:N)="StrongBitingHerbivore",87.1133638856975*C19^(2/3)*S19,
IF(_xlfn.XLOOKUP(E19,Groups!A:A,Groups!N:N)="MiscEctotherms",59.4316884072269*C19^(2/3)*S19,
IF(_xlfn.XLOOKUP(E19,Groups!A:A,Groups!N:N)="StrongBeakBird",0.041*(C19*1000)^1.375*S19,
IF(_xlfn.XLOOKUP(E19,Groups!A:A,Groups!N:N)="Bird",0.118*(C19*1000)^0.692*S19,
IF(_xlfn.XLOOKUP(E19,Groups!A:A,Groups!N:N)="Insect",EXP(0.7444*LN(C19)+6.5696)*S19,
IF(_xlfn.XLOOKUP(E19,Groups!A:A,Groups!N:N)="Theropod",EXP(0.6966*LN(C19)+4.158)*S19,
"No"))))))))))))))))</f>
        <v>1009.563235891782</v>
      </c>
      <c r="AU19" s="8">
        <f>IF(_xlfn.XLOOKUP(E19,Groups!A:A,Groups!U:U)=3,AS19,IF(_xlfn.XLOOKUP(E19,Groups!A:A,Groups!U:U)=2,AR19,AT19))</f>
        <v>1009.563235891782</v>
      </c>
      <c r="AV19" s="46">
        <f>IFERROR(AVERAGE(_xlfn.XLOOKUP(B19,Animals!B:B,Animals!N:N),_xlfn.XLOOKUP(B19,Animals!B:B,Animals!O:O)),0)</f>
        <v>0</v>
      </c>
      <c r="AW19" s="8">
        <f>MROUND(40*Animals!AO19*_xlfn.XLOOKUP(AG19,Leathers!$A$2:$A$99,Leathers!$B$2:$B$99,0)+(140*_xlfn.XLOOKUP(B19,Animals!B:B,Animals!AO:AO)*2),5)</f>
        <v>270</v>
      </c>
      <c r="AX19" s="8">
        <f>IFERROR(ROUND(SQRT(V19-1)*IF(_xlfn.XLOOKUP(E19,Groups!A:A,Groups!BF:BF)=0,2,1)*IF(_xlfn.XLOOKUP('Base stats'!E19,Groups!A:A,Groups!O:O)=0,1,0.1),1),0)</f>
        <v>2.5</v>
      </c>
      <c r="AY19" s="8">
        <f t="shared" si="12"/>
        <v>1.7</v>
      </c>
      <c r="AZ19" s="8">
        <f t="shared" si="13"/>
        <v>0</v>
      </c>
      <c r="BA19" s="8">
        <f t="shared" si="14"/>
        <v>2.4</v>
      </c>
      <c r="BB19" s="8">
        <f>IF(_xlfn.XLOOKUP(E19,Groups!A:A,Groups!N:N)="Insect",BD19*2.5,IFERROR(AVERAGE(BD19,AT19/9.81/IF(OR(_xlfn.XLOOKUP(E19,Groups!A:A,Groups!N:N)="Pig",_xlfn.XLOOKUP(E19,Groups!A:A,Groups!N:N)="StrongBitingHerbivore"),20,25))*C19^-0.135,BD19))</f>
        <v>1.5216986676287889</v>
      </c>
      <c r="BC19" s="8" t="str">
        <f>IF(W19="No","No",IF(_xlfn.XLOOKUP(E19,Groups!A:A,Groups!U:U)=1,'Base stats'!BB19,IF(OR(_xlfn.XLOOKUP(E19,Groups!A:A,Groups!BD:BD)=1,_xlfn.XLOOKUP(E19,Groups!A:A,Groups!U:U)=2),BD19,IF(_xlfn.XLOOKUP(B19,Animals!B:B,Animals!AO:AO)&gt;4,AVERAGE(BD19,BF19),BF19))))</f>
        <v>No</v>
      </c>
      <c r="BD19" s="8">
        <f t="shared" si="15"/>
        <v>0.53074009611173534</v>
      </c>
      <c r="BE19" s="8">
        <f>IF(_xlfn.XLOOKUP(E19,Groups!A:A,Groups!BE:BE)=1,(0.048*C19^1.01)+(0.071*C19^1.03),0.071*C19^1.03)/IF(_xlfn.XLOOKUP(E19,Groups!A:A,Groups!M:M)=1,0.85,IF(OR(_xlfn.XLOOKUP(B19,Animals!B:B,Animals!AO:AO)&gt;4,_xlfn.XLOOKUP(E19,Groups!A:A,Groups!BC:BC)=1),1.7,1))*C19^-0.25</f>
        <v>0.819230402043443</v>
      </c>
      <c r="BF19" s="8">
        <f>(0.048*C19^1.01)/IF(_xlfn.XLOOKUP(E19,Groups!A:A,Groups!M:M)=1,0.25,0.8)*C19^-0.25</f>
        <v>0.65022611155398025</v>
      </c>
      <c r="BG19" s="8">
        <f>EXP(1.076*LN(AR19)-4.5397)*IF(_xlfn.XLOOKUP(E19,Groups!A:A,Groups!BC:BC)=1,1.25,IF(_xlfn.XLOOKUP(E19,Groups!A:A,Groups!BD:BD)=1,3.5,2.5))</f>
        <v>33.992117018879853</v>
      </c>
      <c r="BH19" s="8">
        <f>EXP(1.076*LN(AS19)-4.5397)*IF(_xlfn.XLOOKUP(E19,Groups!A:A,Groups!M:M)=1,0.8,IF(_xlfn.XLOOKUP(E19,Groups!A:A,Groups!BC:BC)=1,1.3,3))</f>
        <v>46.460246351568529</v>
      </c>
      <c r="BI19" s="8" t="str">
        <f>IF(W19="No","No",IF(_xlfn.XLOOKUP(E19,Groups!A:A,Groups!U:U)=1,'Base stats'!BJ19,IF(OR(_xlfn.XLOOKUP(E19,Groups!A:A,Groups!BD:BD)=1,_xlfn.XLOOKUP(E19,Groups!A:A,Groups!U:U)=2),BG19,BH19))*1.2)</f>
        <v>No</v>
      </c>
      <c r="BJ19" s="8">
        <f>IFERROR(EXP(1.076*LN(AT19)-4.5397)*IF(_xlfn.XLOOKUP(E19,Groups!A:A,Groups!N:N)="Insect",1,IF(OR(_xlfn.XLOOKUP(E19,Groups!A:A,Groups!N:N)="Pig",_xlfn.XLOOKUP(E19,Groups!A:A,Groups!N:N)="StrongBitingHerbivore"),3.5,3.75)),"No")</f>
        <v>68.377352800748639</v>
      </c>
      <c r="BK19" s="8">
        <f t="shared" si="16"/>
        <v>11</v>
      </c>
      <c r="BL19" s="8">
        <f t="shared" si="17"/>
        <v>10</v>
      </c>
      <c r="BM19" s="8" t="str">
        <f t="shared" si="18"/>
        <v>No</v>
      </c>
      <c r="BN19" s="8">
        <f t="shared" si="19"/>
        <v>9</v>
      </c>
      <c r="BO19" s="8">
        <f t="shared" si="20"/>
        <v>11</v>
      </c>
      <c r="BP19" s="8" cm="1">
        <f t="array" ref="BP19">IF(AND(_xlfn.XLOOKUP('Base stats'!E19,Groups!A:A,Groups!AD:AD=0),_xlfn.XLOOKUP('Base stats'!E19,Groups!A:A,Groups!P:P=0)),"No",IF(U19="No",AVERAGE(EXP(-0.57+0.99*LN(C19)),EXP(0.32+0.67*LN(C19)))/IF(_xlfn.XLOOKUP(E19,Groups!A:A,Groups!AD:AD)=1,10,2),(0.7354*C19^0.4078)*2/IF(_xlfn.XLOOKUP(E19,Groups!A:A,Groups!BK:BK)=1,1000,100)/IF(_xlfn.XLOOKUP(E19,Groups!A:A,Groups!AJ:AJ)="Photonozoa",3,1)))</f>
        <v>5.2828251013544915E-2</v>
      </c>
      <c r="BQ19" s="8" t="str">
        <f>IF(W19="No","No",IF(_xlfn.XLOOKUP(E19,Groups!A:A,Groups!BD:BD)=1,(AO19*5%),EXP(0.7354*LN(C19)^0.4078)*2/IF(_xlfn.XLOOKUP(E19,Groups!A:A,Groups!BL:BL)=1,1000,100)/IF(_xlfn.XLOOKUP(E19,Groups!A:A,Groups!AJ:AJ)="Photonozoa",3,1)))</f>
        <v>No</v>
      </c>
      <c r="BR19" s="8">
        <f>IF(BJ19="No","No",IF(_xlfn.XLOOKUP(E19,Groups!A:A,Groups!BF:BF)=1,(0.0315*C19+2.1825)*2,(0.7354*C19^0.4078)*2)/IF(_xlfn.XLOOKUP(E19,Groups!A:A,Groups!BM:BM)=1,1000,100)/IF(_xlfn.XLOOKUP(E19,Groups!A:A,Groups!AJ:AJ)="Photonozoa",3,1))</f>
        <v>5.2828251013544915E-2</v>
      </c>
      <c r="BS19" s="8">
        <f t="shared" si="21"/>
        <v>7.9792511821073206E-2</v>
      </c>
      <c r="BT19" s="8">
        <f t="shared" si="22"/>
        <v>879.45834776275933</v>
      </c>
      <c r="BU19" s="8" t="str">
        <f t="shared" si="23"/>
        <v>No</v>
      </c>
      <c r="BV19" s="8">
        <f t="shared" si="24"/>
        <v>1294.3330791552612</v>
      </c>
      <c r="BW19" s="4">
        <v>0</v>
      </c>
      <c r="BX19" s="4">
        <v>1</v>
      </c>
    </row>
    <row r="20" spans="1:76" x14ac:dyDescent="0.25">
      <c r="A20" s="26" t="s">
        <v>84</v>
      </c>
      <c r="B20" s="6" t="s">
        <v>85</v>
      </c>
      <c r="C20" s="7">
        <v>3.9</v>
      </c>
      <c r="D20" s="7" t="s">
        <v>510</v>
      </c>
      <c r="E20" s="7" t="str">
        <f>Groups!$A$19</f>
        <v>Catlike</v>
      </c>
      <c r="F20" s="7">
        <v>65</v>
      </c>
      <c r="G20" s="7">
        <f>289/365</f>
        <v>0.79178082191780819</v>
      </c>
      <c r="H20" s="7">
        <v>30</v>
      </c>
      <c r="I20" s="4">
        <v>0</v>
      </c>
      <c r="J20" s="7">
        <v>4</v>
      </c>
      <c r="K20" s="7" t="s">
        <v>510</v>
      </c>
      <c r="L20" s="7">
        <f>MIN(37.5*C20^0.089,79.3*C20^-0.072)</f>
        <v>42.328805958342251</v>
      </c>
      <c r="M20" s="7" t="s">
        <v>626</v>
      </c>
      <c r="N20" s="4">
        <v>0</v>
      </c>
      <c r="O20" s="4">
        <v>2</v>
      </c>
      <c r="P20" s="4">
        <v>0</v>
      </c>
      <c r="Q20" s="4">
        <v>0</v>
      </c>
      <c r="R20" s="4" t="s">
        <v>40</v>
      </c>
      <c r="S20" s="7">
        <f>_xlfn.XLOOKUP(B20,[1]TeethAdjusters!$A:$A,[1]BiteAdjusters!$C:$C,1)</f>
        <v>0.9224429531163798</v>
      </c>
      <c r="T20" s="7">
        <f>_xlfn.XLOOKUP(B20,[1]TeethAdjusters!$A:$A,[1]TeethAdjusters!$B:$B,1)</f>
        <v>0.89529411549459281</v>
      </c>
      <c r="U20" s="7">
        <f>MROUND(1.2,0.05)</f>
        <v>1.2000000000000002</v>
      </c>
      <c r="V20" s="7">
        <f>IF(AT20="No","No",IF(_xlfn.XLOOKUP(E20,Groups!A:A,Groups!AM:AM)=1,MROUND(EXP(0.3582*LN(C20)-0.2221)*T20,0.05),IF(_xlfn.XLOOKUP(E20,Groups!A:A,Groups!AM:AM)=2,MROUND(EXP(0.3582*LN(C20)-0.2221)*T20,0.05),"Need a formula")))</f>
        <v>1.1500000000000001</v>
      </c>
      <c r="W20" s="7" t="s">
        <v>45</v>
      </c>
      <c r="X20" s="7" t="s">
        <v>932</v>
      </c>
      <c r="Y20" s="4" t="s">
        <v>56</v>
      </c>
      <c r="Z20" s="4">
        <v>1</v>
      </c>
      <c r="AA20" s="4">
        <v>0</v>
      </c>
      <c r="AB20" s="4">
        <v>0</v>
      </c>
      <c r="AC20" s="4">
        <v>0</v>
      </c>
      <c r="AD20" s="4">
        <v>0</v>
      </c>
      <c r="AE20" s="4" t="s">
        <v>45</v>
      </c>
      <c r="AF20" s="4" t="s">
        <v>45</v>
      </c>
      <c r="AG20" s="49" t="s">
        <v>385</v>
      </c>
      <c r="AH20" s="4" t="s">
        <v>45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4" t="s">
        <v>40</v>
      </c>
      <c r="AO20" s="8">
        <f t="shared" si="10"/>
        <v>2688.5305350669883</v>
      </c>
      <c r="AP20" s="8">
        <f>IFERROR(C20*_xlfn.XLOOKUP(E20,Groups!A:A,Groups!K:K),0.106*C20^0.94)</f>
        <v>0.48652499999999999</v>
      </c>
      <c r="AQ20" s="8">
        <f>AP20*10000/(_xlfn.XLOOKUP(E20,Groups!A:A,Groups!J:J)*AO20)</f>
        <v>1.6602125405953509</v>
      </c>
      <c r="AR20" s="8">
        <f t="shared" si="11"/>
        <v>171.67735881815588</v>
      </c>
      <c r="AS20" s="8">
        <f>IF(_xlfn.XLOOKUP(E20,Groups!A:A,Groups!M:M)=1,EXP(0.7444*LN('Base stats'!C20)+6.5696),EXP(0.7927*LN('Base stats'!C20)+4.28))</f>
        <v>212.47962760416459</v>
      </c>
      <c r="AT20" s="8">
        <f>IF(_xlfn.XLOOKUP(E20,Groups!A:A,Groups!N:N)="No","No",
IF(_xlfn.XLOOKUP(E20,Groups!A:A,Groups!N:N)="Crocodile",EXP(0.8129*LN(C20)+4.6742)*S20,
IF(_xlfn.XLOOKUP(E20,Groups!A:A,Groups!N:N)="Felid",EXP(0.7843*LN(C20)+4.7073)*S20,
IF(_xlfn.XLOOKUP(E20,Groups!A:A,Groups!N:N)="Canid",EXP(0.8367*LN(C20)+4.8763)*S20,
IF(_xlfn.XLOOKUP(E20,Groups!A:A,Groups!N:N)="Pig",EXP(0.3439*LN(C20)+6.8519)*S20,
IF(_xlfn.XLOOKUP(E20,Groups!A:A,Groups!N:N)="Rodent",EXP(0.5625*LN(C20)+4.3006)*S20,
IF(_xlfn.XLOOKUP(E20,Groups!A:A,Groups!N:N)="Primate",EXP(0.7847*LN(C20)+3.4931)*S20,
IF(_xlfn.XLOOKUP(E20,Groups!A:A,Groups!N:N)="MiscCarnivora",EXP(0.7486*LN(C20)+4.2207)*S20,
IF(_xlfn.XLOOKUP(E20,Groups!A:A,Groups!N:N)="Lizard",EXP(0.7733*LN(C20)+5.5303)*S20,
IF(_xlfn.XLOOKUP(E20,Groups!A:A,Groups!N:N)="Snake",50*C20^(2/3)*S20,
IF(_xlfn.XLOOKUP(E20,Groups!A:A,Groups!N:N)="StrongBitingHerbivore",87.1133638856975*C20^(2/3)*S20,
IF(_xlfn.XLOOKUP(E20,Groups!A:A,Groups!N:N)="MiscEctotherms",59.4316884072269*C20^(2/3)*S20,
IF(_xlfn.XLOOKUP(E20,Groups!A:A,Groups!N:N)="StrongBeakBird",0.041*(C20*1000)^1.375*S20,
IF(_xlfn.XLOOKUP(E20,Groups!A:A,Groups!N:N)="Bird",0.118*(C20*1000)^0.692*S20,
IF(_xlfn.XLOOKUP(E20,Groups!A:A,Groups!N:N)="Insect",EXP(0.7444*LN(C20)+6.5696)*S20,
IF(_xlfn.XLOOKUP(E20,Groups!A:A,Groups!N:N)="Theropod",EXP(0.6966*LN(C20)+4.158)*S20,
"No"))))))))))))))))</f>
        <v>297.07486157149879</v>
      </c>
      <c r="AU20" s="8">
        <f>IF(_xlfn.XLOOKUP(E20,Groups!A:A,Groups!U:U)=3,AS20,IF(_xlfn.XLOOKUP(E20,Groups!A:A,Groups!U:U)=2,AR20,AT20))</f>
        <v>297.07486157149879</v>
      </c>
      <c r="AV20" s="46">
        <f>IFERROR(AVERAGE(_xlfn.XLOOKUP(B20,Animals!B:B,Animals!N:N),_xlfn.XLOOKUP(B20,Animals!B:B,Animals!O:O)),0)</f>
        <v>0</v>
      </c>
      <c r="AW20" s="8">
        <f>MROUND(40*Animals!AO20*_xlfn.XLOOKUP(AG20,Leathers!$A$2:$A$99,Leathers!$B$2:$B$99,0)+(140*_xlfn.XLOOKUP(B20,Animals!B:B,Animals!AO:AO)*2),5)</f>
        <v>105</v>
      </c>
      <c r="AX20" s="8">
        <f>IFERROR(ROUND(SQRT(V20-1)*IF(_xlfn.XLOOKUP(E20,Groups!A:A,Groups!BF:BF)=0,2,1)*IF(_xlfn.XLOOKUP('Base stats'!E20,Groups!A:A,Groups!O:O)=0,1,0.1),1),0)</f>
        <v>0.8</v>
      </c>
      <c r="AY20" s="8">
        <f t="shared" si="12"/>
        <v>0.4</v>
      </c>
      <c r="AZ20" s="8">
        <f t="shared" si="13"/>
        <v>0</v>
      </c>
      <c r="BA20" s="8">
        <f t="shared" si="14"/>
        <v>1</v>
      </c>
      <c r="BB20" s="8">
        <f>IF(_xlfn.XLOOKUP(E20,Groups!A:A,Groups!N:N)="Insect",BD20*2.5,IFERROR(AVERAGE(BD20,AT20/9.81/IF(OR(_xlfn.XLOOKUP(E20,Groups!A:A,Groups!N:N)="Pig",_xlfn.XLOOKUP(E20,Groups!A:A,Groups!N:N)="StrongBitingHerbivore"),20,25))*C20^-0.135,BD20))</f>
        <v>0.55454326548305766</v>
      </c>
      <c r="BC20" s="8" t="str">
        <f>IF(W20="No","No",IF(_xlfn.XLOOKUP(E20,Groups!A:A,Groups!U:U)=1,'Base stats'!BB20,IF(OR(_xlfn.XLOOKUP(E20,Groups!A:A,Groups!BD:BD)=1,_xlfn.XLOOKUP(E20,Groups!A:A,Groups!U:U)=2),BD20,IF(_xlfn.XLOOKUP(B20,Animals!B:B,Animals!AO:AO)&gt;4,AVERAGE(BD20,BF20),BF20))))</f>
        <v>No</v>
      </c>
      <c r="BD20" s="8">
        <f t="shared" si="15"/>
        <v>0.12146768525814348</v>
      </c>
      <c r="BE20" s="8">
        <f>IF(_xlfn.XLOOKUP(E20,Groups!A:A,Groups!BE:BE)=1,(0.048*C20^1.01)+(0.071*C20^1.03),0.071*C20^1.03)/IF(_xlfn.XLOOKUP(E20,Groups!A:A,Groups!M:M)=1,0.85,IF(OR(_xlfn.XLOOKUP(B20,Animals!B:B,Animals!AO:AO)&gt;4,_xlfn.XLOOKUP(E20,Groups!A:A,Groups!BC:BC)=1),1.7,1))*C20^-0.25</f>
        <v>0.20525263545864039</v>
      </c>
      <c r="BF20" s="8">
        <f>(0.048*C20^1.01)/IF(_xlfn.XLOOKUP(E20,Groups!A:A,Groups!M:M)=1,0.25,0.8)*C20^-0.25</f>
        <v>0.16879530074824195</v>
      </c>
      <c r="BG20" s="8">
        <f>EXP(1.076*LN(AR20)-4.5397)*IF(_xlfn.XLOOKUP(E20,Groups!A:A,Groups!BC:BC)=1,1.25,IF(_xlfn.XLOOKUP(E20,Groups!A:A,Groups!BD:BD)=1,3.5,2.5))</f>
        <v>6.7752381015249945</v>
      </c>
      <c r="BH20" s="8">
        <f>EXP(1.076*LN(AS20)-4.5397)*IF(_xlfn.XLOOKUP(E20,Groups!A:A,Groups!M:M)=1,0.8,IF(_xlfn.XLOOKUP(E20,Groups!A:A,Groups!BC:BC)=1,1.3,3))</f>
        <v>10.226994121049504</v>
      </c>
      <c r="BI20" s="8" t="str">
        <f>IF(W20="No","No",IF(_xlfn.XLOOKUP(E20,Groups!A:A,Groups!U:U)=1,'Base stats'!BJ20,IF(OR(_xlfn.XLOOKUP(E20,Groups!A:A,Groups!BD:BD)=1,_xlfn.XLOOKUP(E20,Groups!A:A,Groups!U:U)=2),BG20,BH20))*1.2)</f>
        <v>No</v>
      </c>
      <c r="BJ20" s="8">
        <f>IFERROR(EXP(1.076*LN(AT20)-4.5397)*IF(_xlfn.XLOOKUP(E20,Groups!A:A,Groups!N:N)="Insect",1,IF(OR(_xlfn.XLOOKUP(E20,Groups!A:A,Groups!N:N)="Pig",_xlfn.XLOOKUP(E20,Groups!A:A,Groups!N:N)="StrongBitingHerbivore"),3.5,3.75)),"No")</f>
        <v>18.3344683164527</v>
      </c>
      <c r="BK20" s="8">
        <f t="shared" si="16"/>
        <v>10</v>
      </c>
      <c r="BL20" s="8">
        <f t="shared" si="17"/>
        <v>9</v>
      </c>
      <c r="BM20" s="8" t="str">
        <f t="shared" si="18"/>
        <v>No</v>
      </c>
      <c r="BN20" s="8">
        <f t="shared" si="19"/>
        <v>8</v>
      </c>
      <c r="BO20" s="8">
        <f t="shared" si="20"/>
        <v>11</v>
      </c>
      <c r="BP20" s="8" cm="1">
        <f t="array" ref="BP20">IF(AND(_xlfn.XLOOKUP('Base stats'!E20,Groups!A:A,Groups!AD:AD=0),_xlfn.XLOOKUP('Base stats'!E20,Groups!A:A,Groups!P:P=0)),"No",IF(U20="No",AVERAGE(EXP(-0.57+0.99*LN(C20)),EXP(0.32+0.67*LN(C20)))/IF(_xlfn.XLOOKUP(E20,Groups!A:A,Groups!AD:AD)=1,10,2),(0.7354*C20^0.4078)*2/IF(_xlfn.XLOOKUP(E20,Groups!A:A,Groups!BK:BK)=1,1000,100)/IF(_xlfn.XLOOKUP(E20,Groups!A:A,Groups!AJ:AJ)="Photonozoa",3,1)))</f>
        <v>2.5620627834481265E-2</v>
      </c>
      <c r="BQ20" s="8" t="str">
        <f>IF(W20="No","No",IF(_xlfn.XLOOKUP(E20,Groups!A:A,Groups!BD:BD)=1,(AO20*5%),EXP(0.7354*LN(C20)^0.4078)*2/IF(_xlfn.XLOOKUP(E20,Groups!A:A,Groups!BL:BL)=1,1000,100)/IF(_xlfn.XLOOKUP(E20,Groups!A:A,Groups!AJ:AJ)="Photonozoa",3,1)))</f>
        <v>No</v>
      </c>
      <c r="BR20" s="8">
        <f>IF(BJ20="No","No",IF(_xlfn.XLOOKUP(E20,Groups!A:A,Groups!BF:BF)=1,(0.0315*C20+2.1825)*2,(0.7354*C20^0.4078)*2)/IF(_xlfn.XLOOKUP(E20,Groups!A:A,Groups!BM:BM)=1,1000,100)/IF(_xlfn.XLOOKUP(E20,Groups!A:A,Groups!AJ:AJ)="Photonozoa",3,1))</f>
        <v>2.5620627834481265E-2</v>
      </c>
      <c r="BS20" s="8">
        <f t="shared" si="21"/>
        <v>5.0401050039449752E-2</v>
      </c>
      <c r="BT20" s="8">
        <f t="shared" si="22"/>
        <v>399.17031647778771</v>
      </c>
      <c r="BU20" s="8" t="str">
        <f t="shared" si="23"/>
        <v>No</v>
      </c>
      <c r="BV20" s="8">
        <f t="shared" si="24"/>
        <v>715.61354526126945</v>
      </c>
      <c r="BW20" s="4">
        <v>0</v>
      </c>
      <c r="BX20" s="4">
        <v>1</v>
      </c>
    </row>
    <row r="21" spans="1:76" x14ac:dyDescent="0.25">
      <c r="A21" s="26" t="s">
        <v>90</v>
      </c>
      <c r="B21" s="6" t="s">
        <v>91</v>
      </c>
      <c r="C21" s="7">
        <v>410.3</v>
      </c>
      <c r="D21" s="7" t="s">
        <v>1132</v>
      </c>
      <c r="E21" s="7" t="str">
        <f>Groups!$A$25</f>
        <v>Horse</v>
      </c>
      <c r="F21" s="7">
        <v>337</v>
      </c>
      <c r="G21" s="7">
        <f>914/365</f>
        <v>2.504109589041096</v>
      </c>
      <c r="H21" s="7">
        <v>57</v>
      </c>
      <c r="I21" s="4">
        <v>0</v>
      </c>
      <c r="J21" s="7">
        <v>1</v>
      </c>
      <c r="K21" s="7" t="s">
        <v>511</v>
      </c>
      <c r="L21" s="7">
        <v>70</v>
      </c>
      <c r="M21" s="7" t="s">
        <v>626</v>
      </c>
      <c r="N21" s="4">
        <v>0</v>
      </c>
      <c r="O21" s="4">
        <v>1</v>
      </c>
      <c r="P21" s="4">
        <v>0</v>
      </c>
      <c r="Q21" s="4">
        <v>0</v>
      </c>
      <c r="R21" s="4" t="s">
        <v>40</v>
      </c>
      <c r="S21" s="7">
        <f>_xlfn.XLOOKUP(B21,[1]TeethAdjusters!$A:$A,[1]BiteAdjusters!$C:$C,1)</f>
        <v>1</v>
      </c>
      <c r="T21" s="7">
        <f>_xlfn.XLOOKUP(B21,[1]TeethAdjusters!$A:$A,[1]TeethAdjusters!$B:$B,1)</f>
        <v>1</v>
      </c>
      <c r="U21" s="7" t="s">
        <v>45</v>
      </c>
      <c r="V21" s="7">
        <f>MROUND(1.5,0.05)</f>
        <v>1.5</v>
      </c>
      <c r="W21" s="7" t="s">
        <v>45</v>
      </c>
      <c r="X21" s="7" t="s">
        <v>932</v>
      </c>
      <c r="Y21" s="4" t="s">
        <v>42</v>
      </c>
      <c r="Z21" s="4">
        <v>1</v>
      </c>
      <c r="AA21" s="4">
        <v>0</v>
      </c>
      <c r="AB21" s="4">
        <v>0</v>
      </c>
      <c r="AC21" s="4">
        <v>0</v>
      </c>
      <c r="AD21" s="4">
        <v>0</v>
      </c>
      <c r="AE21" s="4" t="s">
        <v>45</v>
      </c>
      <c r="AF21" s="4" t="s">
        <v>398</v>
      </c>
      <c r="AG21" s="49" t="s">
        <v>392</v>
      </c>
      <c r="AH21" s="4" t="s">
        <v>45</v>
      </c>
      <c r="AI21" s="4">
        <v>1</v>
      </c>
      <c r="AJ21" s="4">
        <v>0</v>
      </c>
      <c r="AK21" s="4">
        <v>0</v>
      </c>
      <c r="AL21" s="4">
        <v>0</v>
      </c>
      <c r="AM21" s="4">
        <v>0</v>
      </c>
      <c r="AN21" s="44" t="s">
        <v>40</v>
      </c>
      <c r="AO21" s="8">
        <f t="shared" si="10"/>
        <v>55442.009741077098</v>
      </c>
      <c r="AP21" s="8">
        <f>IFERROR(C21*_xlfn.XLOOKUP(E21,Groups!A:A,Groups!K:K),0.106*C21^0.94)</f>
        <v>30.312467563019712</v>
      </c>
      <c r="AQ21" s="8">
        <f>AP21*10000/(_xlfn.XLOOKUP(E21,Groups!A:A,Groups!J:J)*AO21)</f>
        <v>5.015980372771593</v>
      </c>
      <c r="AR21" s="8">
        <f t="shared" si="11"/>
        <v>8764.509196517929</v>
      </c>
      <c r="AS21" s="8">
        <f>IF(_xlfn.XLOOKUP(E21,Groups!A:A,Groups!M:M)=1,EXP(0.7444*LN('Base stats'!C21)+6.5696),EXP(0.7927*LN('Base stats'!C21)+4.28))</f>
        <v>8515.025542362484</v>
      </c>
      <c r="AT21" s="8">
        <f>IF(_xlfn.XLOOKUP(E21,Groups!A:A,Groups!N:N)="No","No",
IF(_xlfn.XLOOKUP(E21,Groups!A:A,Groups!N:N)="Crocodile",EXP(0.8129*LN(C21)+4.6742)*S21,
IF(_xlfn.XLOOKUP(E21,Groups!A:A,Groups!N:N)="Felid",EXP(0.7843*LN(C21)+4.7073)*S21,
IF(_xlfn.XLOOKUP(E21,Groups!A:A,Groups!N:N)="Canid",EXP(0.8367*LN(C21)+4.8763)*S21,
IF(_xlfn.XLOOKUP(E21,Groups!A:A,Groups!N:N)="Pig",EXP(0.3439*LN(C21)+6.8519)*S21,
IF(_xlfn.XLOOKUP(E21,Groups!A:A,Groups!N:N)="Rodent",EXP(0.5625*LN(C21)+4.3006)*S21,
IF(_xlfn.XLOOKUP(E21,Groups!A:A,Groups!N:N)="Primate",EXP(0.7847*LN(C21)+3.4931)*S21,
IF(_xlfn.XLOOKUP(E21,Groups!A:A,Groups!N:N)="MiscCarnivora",EXP(0.7486*LN(C21)+4.2207)*S21,
IF(_xlfn.XLOOKUP(E21,Groups!A:A,Groups!N:N)="Lizard",EXP(0.7733*LN(C21)+5.5303)*S21,
IF(_xlfn.XLOOKUP(E21,Groups!A:A,Groups!N:N)="Snake",50*C21^(2/3)*S21,
IF(_xlfn.XLOOKUP(E21,Groups!A:A,Groups!N:N)="StrongBitingHerbivore",87.1133638856975*C21^(2/3)*S21,
IF(_xlfn.XLOOKUP(E21,Groups!A:A,Groups!N:N)="MiscEctotherms",59.4316884072269*C21^(2/3)*S21,
IF(_xlfn.XLOOKUP(E21,Groups!A:A,Groups!N:N)="StrongBeakBird",0.041*(C21*1000)^1.375*S21,
IF(_xlfn.XLOOKUP(E21,Groups!A:A,Groups!N:N)="Bird",0.118*(C21*1000)^0.692*S21,
IF(_xlfn.XLOOKUP(E21,Groups!A:A,Groups!N:N)="Insect",EXP(0.7444*LN(C21)+6.5696)*S21,
IF(_xlfn.XLOOKUP(E21,Groups!A:A,Groups!N:N)="Theropod",EXP(0.6966*LN(C21)+4.158)*S21,
"No"))))))))))))))))</f>
        <v>4810.0818034589474</v>
      </c>
      <c r="AU21" s="8">
        <f>IF(_xlfn.XLOOKUP(E21,Groups!A:A,Groups!U:U)=3,AS21,IF(_xlfn.XLOOKUP(E21,Groups!A:A,Groups!U:U)=2,AR21,AT21))</f>
        <v>4810.0818034589474</v>
      </c>
      <c r="AV21" s="46">
        <f>IFERROR(AVERAGE(_xlfn.XLOOKUP(B21,Animals!B:B,Animals!N:N),_xlfn.XLOOKUP(B21,Animals!B:B,Animals!O:O)),0)</f>
        <v>0</v>
      </c>
      <c r="AW21" s="8">
        <f>MROUND(40*Animals!AO21*_xlfn.XLOOKUP(AG21,Leathers!$A$2:$A$99,Leathers!$B$2:$B$99,0)+(140*_xlfn.XLOOKUP(B21,Animals!B:B,Animals!AO:AO)*2),5)</f>
        <v>1000</v>
      </c>
      <c r="AX21" s="8">
        <f>IFERROR(ROUND(SQRT(V21-1)*IF(_xlfn.XLOOKUP(E21,Groups!A:A,Groups!BF:BF)=0,2,1)*IF(_xlfn.XLOOKUP('Base stats'!E21,Groups!A:A,Groups!O:O)=0,1,0.1),1),0)</f>
        <v>0.7</v>
      </c>
      <c r="AY21" s="8">
        <f t="shared" si="12"/>
        <v>0</v>
      </c>
      <c r="AZ21" s="8">
        <f t="shared" si="13"/>
        <v>0</v>
      </c>
      <c r="BA21" s="8">
        <f t="shared" si="14"/>
        <v>6.9</v>
      </c>
      <c r="BB21" s="8">
        <f>IF(_xlfn.XLOOKUP(E21,Groups!A:A,Groups!N:N)="Insect",BD21*2.5,IFERROR(AVERAGE(BD21,AT21/9.81/IF(OR(_xlfn.XLOOKUP(E21,Groups!A:A,Groups!N:N)="Pig",_xlfn.XLOOKUP(E21,Groups!A:A,Groups!N:N)="StrongBitingHerbivore"),20,25))*C21^-0.135,BD21))</f>
        <v>6.253092249493359</v>
      </c>
      <c r="BC21" s="8" t="str">
        <f>IF(W21="No","No",IF(_xlfn.XLOOKUP(E21,Groups!A:A,Groups!U:U)=1,'Base stats'!BB21,IF(OR(_xlfn.XLOOKUP(E21,Groups!A:A,Groups!BD:BD)=1,_xlfn.XLOOKUP(E21,Groups!A:A,Groups!U:U)=2),BD21,IF(_xlfn.XLOOKUP(B21,Animals!B:B,Animals!AO:AO)&gt;4,AVERAGE(BD21,BF21),BF21))))</f>
        <v>No</v>
      </c>
      <c r="BD21" s="8">
        <f t="shared" si="15"/>
        <v>3.660703974942348</v>
      </c>
      <c r="BE21" s="8">
        <f>IF(_xlfn.XLOOKUP(E21,Groups!A:A,Groups!BE:BE)=1,(0.048*C21^1.01)+(0.071*C21^1.03),0.071*C21^1.03)/IF(_xlfn.XLOOKUP(E21,Groups!A:A,Groups!M:M)=1,0.85,IF(OR(_xlfn.XLOOKUP(B21,Animals!B:B,Animals!AO:AO)&gt;4,_xlfn.XLOOKUP(E21,Groups!A:A,Groups!BC:BC)=1),1.7,1))*C21^-0.25</f>
        <v>7.7531383177922644</v>
      </c>
      <c r="BF21" s="8">
        <f>(0.048*C21^1.01)/IF(_xlfn.XLOOKUP(E21,Groups!A:A,Groups!M:M)=1,0.25,0.8)*C21^-0.25</f>
        <v>5.8090939892775522</v>
      </c>
      <c r="BG21" s="8">
        <f>EXP(1.076*LN(AR21)-4.5397)*IF(_xlfn.XLOOKUP(E21,Groups!A:A,Groups!BC:BC)=1,1.25,IF(_xlfn.XLOOKUP(E21,Groups!A:A,Groups!BD:BD)=1,3.5,2.5))</f>
        <v>466.3889453261533</v>
      </c>
      <c r="BH21" s="8">
        <f>EXP(1.076*LN(AS21)-4.5397)*IF(_xlfn.XLOOKUP(E21,Groups!A:A,Groups!M:M)=1,0.8,IF(_xlfn.XLOOKUP(E21,Groups!A:A,Groups!BC:BC)=1,1.3,3))</f>
        <v>542.54364755574011</v>
      </c>
      <c r="BI21" s="8" t="str">
        <f>IF(W21="No","No",IF(_xlfn.XLOOKUP(E21,Groups!A:A,Groups!U:U)=1,'Base stats'!BJ21,IF(OR(_xlfn.XLOOKUP(E21,Groups!A:A,Groups!BD:BD)=1,_xlfn.XLOOKUP(E21,Groups!A:A,Groups!U:U)=2),BG21,BH21))*1.2)</f>
        <v>No</v>
      </c>
      <c r="BJ21" s="8">
        <f>IFERROR(EXP(1.076*LN(AT21)-4.5397)*IF(_xlfn.XLOOKUP(E21,Groups!A:A,Groups!N:N)="Insect",1,IF(OR(_xlfn.XLOOKUP(E21,Groups!A:A,Groups!N:N)="Pig",_xlfn.XLOOKUP(E21,Groups!A:A,Groups!N:N)="StrongBitingHerbivore"),3.5,3.75)),"No")</f>
        <v>342.37136500224858</v>
      </c>
      <c r="BK21" s="8">
        <f t="shared" si="16"/>
        <v>15</v>
      </c>
      <c r="BL21" s="8">
        <f t="shared" si="17"/>
        <v>11</v>
      </c>
      <c r="BM21" s="8" t="str">
        <f t="shared" si="18"/>
        <v>No</v>
      </c>
      <c r="BN21" s="8">
        <f t="shared" si="19"/>
        <v>10</v>
      </c>
      <c r="BO21" s="8">
        <f t="shared" si="20"/>
        <v>13</v>
      </c>
      <c r="BP21" s="8" cm="1">
        <f t="array" ref="BP21">IF(AND(_xlfn.XLOOKUP('Base stats'!E21,Groups!A:A,Groups!AD:AD=0),_xlfn.XLOOKUP('Base stats'!E21,Groups!A:A,Groups!P:P=0)),"No",IF(U21="No",AVERAGE(EXP(-0.57+0.99*LN(C21)),EXP(0.32+0.67*LN(C21)))/IF(_xlfn.XLOOKUP(E21,Groups!A:A,Groups!AD:AD)=1,10,2),(0.7354*C21^0.4078)*2/IF(_xlfn.XLOOKUP(E21,Groups!A:A,Groups!BK:BK)=1,1000,100)/IF(_xlfn.XLOOKUP(E21,Groups!A:A,Groups!AJ:AJ)="Photonozoa",3,1)))</f>
        <v>74.016488967869634</v>
      </c>
      <c r="BQ21" s="8" t="str">
        <f>IF(W21="No","No",IF(_xlfn.XLOOKUP(E21,Groups!A:A,Groups!BD:BD)=1,(AO21*5%),EXP(0.7354*LN(C21)^0.4078)*2/IF(_xlfn.XLOOKUP(E21,Groups!A:A,Groups!BL:BL)=1,1000,100)/IF(_xlfn.XLOOKUP(E21,Groups!A:A,Groups!AJ:AJ)="Photonozoa",3,1)))</f>
        <v>No</v>
      </c>
      <c r="BR21" s="8">
        <f>IF(BJ21="No","No",IF(_xlfn.XLOOKUP(E21,Groups!A:A,Groups!BF:BF)=1,(0.0315*C21+2.1825)*2,(0.7354*C21^0.4078)*2)/IF(_xlfn.XLOOKUP(E21,Groups!A:A,Groups!BM:BM)=1,1000,100)/IF(_xlfn.XLOOKUP(E21,Groups!A:A,Groups!AJ:AJ)="Photonozoa",3,1))</f>
        <v>0.30213900000000005</v>
      </c>
      <c r="BS21" s="8">
        <f t="shared" si="21"/>
        <v>0.16824388131103579</v>
      </c>
      <c r="BT21" s="8">
        <f t="shared" si="22"/>
        <v>7.3300376054213663</v>
      </c>
      <c r="BU21" s="8" t="str">
        <f t="shared" si="23"/>
        <v>No</v>
      </c>
      <c r="BV21" s="8">
        <f t="shared" si="24"/>
        <v>1133.1584634961011</v>
      </c>
      <c r="BW21" s="4">
        <v>0</v>
      </c>
      <c r="BX21" s="4">
        <v>1</v>
      </c>
    </row>
    <row r="22" spans="1:76" x14ac:dyDescent="0.25">
      <c r="A22" s="26" t="s">
        <v>96</v>
      </c>
      <c r="B22" s="6" t="s">
        <v>97</v>
      </c>
      <c r="C22" s="7">
        <v>164.99799999999999</v>
      </c>
      <c r="D22" s="7" t="s">
        <v>524</v>
      </c>
      <c r="E22" s="7" t="str">
        <f>Groups!$A$25</f>
        <v>Horse</v>
      </c>
      <c r="F22" s="7">
        <v>359</v>
      </c>
      <c r="G22" s="7">
        <f>708/365</f>
        <v>1.9397260273972603</v>
      </c>
      <c r="H22" s="7">
        <v>47</v>
      </c>
      <c r="I22" s="4">
        <v>0</v>
      </c>
      <c r="J22" s="7">
        <v>1</v>
      </c>
      <c r="K22" s="7" t="s">
        <v>524</v>
      </c>
      <c r="L22" s="7">
        <v>64</v>
      </c>
      <c r="M22" s="7" t="s">
        <v>626</v>
      </c>
      <c r="N22" s="4">
        <v>0</v>
      </c>
      <c r="O22" s="4">
        <v>1</v>
      </c>
      <c r="P22" s="4">
        <v>0</v>
      </c>
      <c r="Q22" s="4">
        <v>0</v>
      </c>
      <c r="R22" s="4" t="s">
        <v>40</v>
      </c>
      <c r="S22" s="7">
        <f>_xlfn.XLOOKUP(B22,[1]TeethAdjusters!$A:$A,[1]BiteAdjusters!$C:$C,1)</f>
        <v>1</v>
      </c>
      <c r="T22" s="7">
        <f>_xlfn.XLOOKUP(B22,[1]TeethAdjusters!$A:$A,[1]TeethAdjusters!$B:$B,1)</f>
        <v>1</v>
      </c>
      <c r="U22" s="7" t="s">
        <v>45</v>
      </c>
      <c r="V22" s="7">
        <f>MROUND(1.5,0.05)</f>
        <v>1.5</v>
      </c>
      <c r="W22" s="7" t="s">
        <v>45</v>
      </c>
      <c r="X22" s="7" t="s">
        <v>932</v>
      </c>
      <c r="Y22" s="4" t="s">
        <v>42</v>
      </c>
      <c r="Z22" s="4">
        <v>1</v>
      </c>
      <c r="AA22" s="4">
        <v>0</v>
      </c>
      <c r="AB22" s="4">
        <v>0</v>
      </c>
      <c r="AC22" s="4">
        <v>0</v>
      </c>
      <c r="AD22" s="4">
        <v>0</v>
      </c>
      <c r="AE22" s="4" t="s">
        <v>45</v>
      </c>
      <c r="AF22" s="4" t="s">
        <v>398</v>
      </c>
      <c r="AG22" s="49" t="s">
        <v>392</v>
      </c>
      <c r="AH22" s="4" t="str">
        <f>Animals!$C$21</f>
        <v>&lt;li&gt;Horse&lt;/li&gt;</v>
      </c>
      <c r="AI22" s="4">
        <v>1</v>
      </c>
      <c r="AJ22" s="4">
        <v>0</v>
      </c>
      <c r="AK22" s="4">
        <v>0</v>
      </c>
      <c r="AL22" s="4">
        <v>0</v>
      </c>
      <c r="AM22" s="4">
        <v>0</v>
      </c>
      <c r="AN22" s="44" t="s">
        <v>40</v>
      </c>
      <c r="AO22" s="8">
        <f t="shared" si="10"/>
        <v>30667.905813421588</v>
      </c>
      <c r="AP22" s="8">
        <f>IFERROR(C22*_xlfn.XLOOKUP(E22,Groups!A:A,Groups!K:K),0.106*C22^0.94)</f>
        <v>12.874661649938103</v>
      </c>
      <c r="AQ22" s="8">
        <f>AP22*10000/(_xlfn.XLOOKUP(E22,Groups!A:A,Groups!J:J)*AO22)</f>
        <v>3.8514583501278699</v>
      </c>
      <c r="AR22" s="8">
        <f t="shared" si="11"/>
        <v>4060.1772243218525</v>
      </c>
      <c r="AS22" s="8">
        <f>IF(_xlfn.XLOOKUP(E22,Groups!A:A,Groups!M:M)=1,EXP(0.7444*LN('Base stats'!C22)+6.5696),EXP(0.7927*LN('Base stats'!C22)+4.28))</f>
        <v>4135.9543075014035</v>
      </c>
      <c r="AT22" s="8">
        <f>IF(_xlfn.XLOOKUP(E22,Groups!A:A,Groups!N:N)="No","No",
IF(_xlfn.XLOOKUP(E22,Groups!A:A,Groups!N:N)="Crocodile",EXP(0.8129*LN(C22)+4.6742)*S22,
IF(_xlfn.XLOOKUP(E22,Groups!A:A,Groups!N:N)="Felid",EXP(0.7843*LN(C22)+4.7073)*S22,
IF(_xlfn.XLOOKUP(E22,Groups!A:A,Groups!N:N)="Canid",EXP(0.8367*LN(C22)+4.8763)*S22,
IF(_xlfn.XLOOKUP(E22,Groups!A:A,Groups!N:N)="Pig",EXP(0.3439*LN(C22)+6.8519)*S22,
IF(_xlfn.XLOOKUP(E22,Groups!A:A,Groups!N:N)="Rodent",EXP(0.5625*LN(C22)+4.3006)*S22,
IF(_xlfn.XLOOKUP(E22,Groups!A:A,Groups!N:N)="Primate",EXP(0.7847*LN(C22)+3.4931)*S22,
IF(_xlfn.XLOOKUP(E22,Groups!A:A,Groups!N:N)="MiscCarnivora",EXP(0.7486*LN(C22)+4.2207)*S22,
IF(_xlfn.XLOOKUP(E22,Groups!A:A,Groups!N:N)="Lizard",EXP(0.7733*LN(C22)+5.5303)*S22,
IF(_xlfn.XLOOKUP(E22,Groups!A:A,Groups!N:N)="Snake",50*C22^(2/3)*S22,
IF(_xlfn.XLOOKUP(E22,Groups!A:A,Groups!N:N)="StrongBitingHerbivore",87.1133638856975*C22^(2/3)*S22,
IF(_xlfn.XLOOKUP(E22,Groups!A:A,Groups!N:N)="MiscEctotherms",59.4316884072269*C22^(2/3)*S22,
IF(_xlfn.XLOOKUP(E22,Groups!A:A,Groups!N:N)="StrongBeakBird",0.041*(C22*1000)^1.375*S22,
IF(_xlfn.XLOOKUP(E22,Groups!A:A,Groups!N:N)="Bird",0.118*(C22*1000)^0.692*S22,
IF(_xlfn.XLOOKUP(E22,Groups!A:A,Groups!N:N)="Insect",EXP(0.7444*LN(C22)+6.5696)*S22,
IF(_xlfn.XLOOKUP(E22,Groups!A:A,Groups!N:N)="Theropod",EXP(0.6966*LN(C22)+4.158)*S22,
"No"))))))))))))))))</f>
        <v>2620.6191143384308</v>
      </c>
      <c r="AU22" s="8">
        <f>IF(_xlfn.XLOOKUP(E22,Groups!A:A,Groups!U:U)=3,AS22,IF(_xlfn.XLOOKUP(E22,Groups!A:A,Groups!U:U)=2,AR22,AT22))</f>
        <v>2620.6191143384308</v>
      </c>
      <c r="AV22" s="46">
        <f>IFERROR(AVERAGE(_xlfn.XLOOKUP(B22,Animals!B:B,Animals!N:N),_xlfn.XLOOKUP(B22,Animals!B:B,Animals!O:O)),0)</f>
        <v>0</v>
      </c>
      <c r="AW22" s="8">
        <f>MROUND(40*Animals!AO22*_xlfn.XLOOKUP(AG22,Leathers!$A$2:$A$99,Leathers!$B$2:$B$99,0)+(140*_xlfn.XLOOKUP(B22,Animals!B:B,Animals!AO:AO)*2),5)</f>
        <v>580</v>
      </c>
      <c r="AX22" s="8">
        <f>IFERROR(ROUND(SQRT(V22-1)*IF(_xlfn.XLOOKUP(E22,Groups!A:A,Groups!BF:BF)=0,2,1)*IF(_xlfn.XLOOKUP('Base stats'!E22,Groups!A:A,Groups!O:O)=0,1,0.1),1),0)</f>
        <v>0.7</v>
      </c>
      <c r="AY22" s="8">
        <f t="shared" si="12"/>
        <v>0</v>
      </c>
      <c r="AZ22" s="8">
        <f t="shared" si="13"/>
        <v>0</v>
      </c>
      <c r="BA22" s="8">
        <f t="shared" si="14"/>
        <v>5</v>
      </c>
      <c r="BB22" s="8">
        <f>IF(_xlfn.XLOOKUP(E22,Groups!A:A,Groups!N:N)="Insect",BD22*2.5,IFERROR(AVERAGE(BD22,AT22/9.81/IF(OR(_xlfn.XLOOKUP(E22,Groups!A:A,Groups!N:N)="Pig",_xlfn.XLOOKUP(E22,Groups!A:A,Groups!N:N)="StrongBitingHerbivore"),20,25))*C22^-0.135,BD22))</f>
        <v>3.8143353710262082</v>
      </c>
      <c r="BC22" s="8" t="str">
        <f>IF(W22="No","No",IF(_xlfn.XLOOKUP(E22,Groups!A:A,Groups!U:U)=1,'Base stats'!BB22,IF(OR(_xlfn.XLOOKUP(E22,Groups!A:A,Groups!BD:BD)=1,_xlfn.XLOOKUP(E22,Groups!A:A,Groups!U:U)=2),BD22,IF(_xlfn.XLOOKUP(B22,Animals!B:B,Animals!AO:AO)&gt;4,AVERAGE(BD22,BF22),BF22))))</f>
        <v>No</v>
      </c>
      <c r="BD22" s="8">
        <f t="shared" si="15"/>
        <v>1.8418955207681615</v>
      </c>
      <c r="BE22" s="8">
        <f>IF(_xlfn.XLOOKUP(E22,Groups!A:A,Groups!BE:BE)=1,(0.048*C22^1.01)+(0.071*C22^1.03),0.071*C22^1.03)/IF(_xlfn.XLOOKUP(E22,Groups!A:A,Groups!M:M)=1,0.85,IF(OR(_xlfn.XLOOKUP(B22,Animals!B:B,Animals!AO:AO)&gt;4,_xlfn.XLOOKUP(E22,Groups!A:A,Groups!BC:BC)=1),1.7,1))*C22^-0.25</f>
        <v>3.8097082564590394</v>
      </c>
      <c r="BF22" s="8">
        <f>(0.048*C22^1.01)/IF(_xlfn.XLOOKUP(E22,Groups!A:A,Groups!M:M)=1,0.25,0.8)*C22^-0.25</f>
        <v>2.9069331678226105</v>
      </c>
      <c r="BG22" s="8">
        <f>EXP(1.076*LN(AR22)-4.5397)*IF(_xlfn.XLOOKUP(E22,Groups!A:A,Groups!BC:BC)=1,1.25,IF(_xlfn.XLOOKUP(E22,Groups!A:A,Groups!BD:BD)=1,3.5,2.5))</f>
        <v>203.78290977632054</v>
      </c>
      <c r="BH22" s="8">
        <f>EXP(1.076*LN(AS22)-4.5397)*IF(_xlfn.XLOOKUP(E22,Groups!A:A,Groups!M:M)=1,0.8,IF(_xlfn.XLOOKUP(E22,Groups!A:A,Groups!BC:BC)=1,1.3,3))</f>
        <v>249.45377645062257</v>
      </c>
      <c r="BI22" s="8" t="str">
        <f>IF(W22="No","No",IF(_xlfn.XLOOKUP(E22,Groups!A:A,Groups!U:U)=1,'Base stats'!BJ22,IF(OR(_xlfn.XLOOKUP(E22,Groups!A:A,Groups!BD:BD)=1,_xlfn.XLOOKUP(E22,Groups!A:A,Groups!U:U)=2),BG22,BH22))*1.2)</f>
        <v>No</v>
      </c>
      <c r="BJ22" s="8">
        <f>IFERROR(EXP(1.076*LN(AT22)-4.5397)*IF(_xlfn.XLOOKUP(E22,Groups!A:A,Groups!N:N)="Insect",1,IF(OR(_xlfn.XLOOKUP(E22,Groups!A:A,Groups!N:N)="Pig",_xlfn.XLOOKUP(E22,Groups!A:A,Groups!N:N)="StrongBitingHerbivore"),3.5,3.75)),"No")</f>
        <v>178.11643163989177</v>
      </c>
      <c r="BK22" s="8">
        <f t="shared" si="16"/>
        <v>14</v>
      </c>
      <c r="BL22" s="8">
        <f t="shared" si="17"/>
        <v>11</v>
      </c>
      <c r="BM22" s="8" t="str">
        <f t="shared" si="18"/>
        <v>No</v>
      </c>
      <c r="BN22" s="8">
        <f t="shared" si="19"/>
        <v>9</v>
      </c>
      <c r="BO22" s="8">
        <f t="shared" si="20"/>
        <v>13</v>
      </c>
      <c r="BP22" s="8" cm="1">
        <f t="array" ref="BP22">IF(AND(_xlfn.XLOOKUP('Base stats'!E22,Groups!A:A,Groups!AD:AD=0),_xlfn.XLOOKUP('Base stats'!E22,Groups!A:A,Groups!P:P=0)),"No",IF(U22="No",AVERAGE(EXP(-0.57+0.99*LN(C22)),EXP(0.32+0.67*LN(C22)))/IF(_xlfn.XLOOKUP(E22,Groups!A:A,Groups!AD:AD)=1,10,2),(0.7354*C22^0.4078)*2/IF(_xlfn.XLOOKUP(E22,Groups!A:A,Groups!BK:BK)=1,1000,100)/IF(_xlfn.XLOOKUP(E22,Groups!A:A,Groups!AJ:AJ)="Photonozoa",3,1)))</f>
        <v>32.701212556481011</v>
      </c>
      <c r="BQ22" s="8" t="str">
        <f>IF(W22="No","No",IF(_xlfn.XLOOKUP(E22,Groups!A:A,Groups!BD:BD)=1,(AO22*5%),EXP(0.7354*LN(C22)^0.4078)*2/IF(_xlfn.XLOOKUP(E22,Groups!A:A,Groups!BL:BL)=1,1000,100)/IF(_xlfn.XLOOKUP(E22,Groups!A:A,Groups!AJ:AJ)="Photonozoa",3,1)))</f>
        <v>No</v>
      </c>
      <c r="BR22" s="8">
        <f>IF(BJ22="No","No",IF(_xlfn.XLOOKUP(E22,Groups!A:A,Groups!BF:BF)=1,(0.0315*C22+2.1825)*2,(0.7354*C22^0.4078)*2)/IF(_xlfn.XLOOKUP(E22,Groups!A:A,Groups!BM:BM)=1,1000,100)/IF(_xlfn.XLOOKUP(E22,Groups!A:A,Groups!AJ:AJ)="Photonozoa",3,1))</f>
        <v>0.14759874000000001</v>
      </c>
      <c r="BS22" s="8">
        <f t="shared" si="21"/>
        <v>0.13289652773560848</v>
      </c>
      <c r="BT22" s="8">
        <f t="shared" si="22"/>
        <v>7.6282729889532384</v>
      </c>
      <c r="BU22" s="8" t="str">
        <f t="shared" si="23"/>
        <v>No</v>
      </c>
      <c r="BV22" s="8">
        <f t="shared" si="24"/>
        <v>1206.7611934891297</v>
      </c>
      <c r="BW22" s="4">
        <v>0</v>
      </c>
      <c r="BX22" s="4">
        <v>1</v>
      </c>
    </row>
    <row r="23" spans="1:76" x14ac:dyDescent="0.25">
      <c r="A23" s="26" t="s">
        <v>125</v>
      </c>
      <c r="B23" s="37" t="s">
        <v>877</v>
      </c>
      <c r="C23" s="7">
        <v>4.1749999999999998</v>
      </c>
      <c r="D23" s="7" t="s">
        <v>878</v>
      </c>
      <c r="E23" s="7" t="str">
        <f>Groups!$A$49</f>
        <v>Rodent (TAILLESS)</v>
      </c>
      <c r="F23" s="7">
        <v>42</v>
      </c>
      <c r="G23" s="7">
        <f>236/365</f>
        <v>0.64657534246575343</v>
      </c>
      <c r="H23" s="7">
        <v>10.7</v>
      </c>
      <c r="I23" s="4">
        <v>0</v>
      </c>
      <c r="J23" s="7">
        <v>2</v>
      </c>
      <c r="K23" s="7" t="s">
        <v>878</v>
      </c>
      <c r="L23" s="7">
        <v>72</v>
      </c>
      <c r="M23" s="7" t="s">
        <v>626</v>
      </c>
      <c r="N23" s="4">
        <v>0</v>
      </c>
      <c r="O23" s="4">
        <v>0</v>
      </c>
      <c r="P23" s="4">
        <v>0</v>
      </c>
      <c r="Q23" s="4">
        <v>0</v>
      </c>
      <c r="R23" s="4" t="s">
        <v>40</v>
      </c>
      <c r="S23" s="7">
        <f>_xlfn.XLOOKUP(B23,[1]TeethAdjusters!$A:$A,[1]BiteAdjusters!$C:$C,1)</f>
        <v>1</v>
      </c>
      <c r="T23" s="7">
        <f>_xlfn.XLOOKUP(B23,[1]TeethAdjusters!$A:$A,[1]TeethAdjusters!$B:$B,1)</f>
        <v>1</v>
      </c>
      <c r="U23" s="7" t="s">
        <v>45</v>
      </c>
      <c r="V23" s="7">
        <v>0.64</v>
      </c>
      <c r="W23" s="7" t="s">
        <v>45</v>
      </c>
      <c r="X23" s="7" t="s">
        <v>932</v>
      </c>
      <c r="Y23" s="4" t="s">
        <v>42</v>
      </c>
      <c r="Z23" s="4">
        <v>1</v>
      </c>
      <c r="AA23" s="4">
        <v>0</v>
      </c>
      <c r="AB23" s="4">
        <v>0</v>
      </c>
      <c r="AC23" s="4">
        <v>0</v>
      </c>
      <c r="AD23" s="4">
        <v>0</v>
      </c>
      <c r="AE23" s="4" t="s">
        <v>45</v>
      </c>
      <c r="AF23" s="4" t="s">
        <v>45</v>
      </c>
      <c r="AG23" s="49" t="s">
        <v>385</v>
      </c>
      <c r="AH23" s="4" t="s">
        <v>45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4" t="s">
        <v>40</v>
      </c>
      <c r="AO23" s="8">
        <f t="shared" si="10"/>
        <v>2810.2806343124535</v>
      </c>
      <c r="AP23" s="8">
        <f>IFERROR(C23*_xlfn.XLOOKUP(E23,Groups!A:A,Groups!K:K),0.106*C23^0.94)</f>
        <v>0.40618413485698385</v>
      </c>
      <c r="AQ23" s="8">
        <f>AP23*10000/(_xlfn.XLOOKUP(E23,Groups!A:A,Groups!J:J)*AO23)</f>
        <v>1.3260099035369324</v>
      </c>
      <c r="AR23" s="8">
        <f t="shared" si="11"/>
        <v>181.84831371738611</v>
      </c>
      <c r="AS23" s="8">
        <f>IF(_xlfn.XLOOKUP(E23,Groups!A:A,Groups!M:M)=1,EXP(0.7444*LN('Base stats'!C23)+6.5696),EXP(0.7927*LN('Base stats'!C23)+4.28))</f>
        <v>224.27185442642471</v>
      </c>
      <c r="AT23" s="8">
        <f>IF(_xlfn.XLOOKUP(E23,Groups!A:A,Groups!N:N)="No","No",
IF(_xlfn.XLOOKUP(E23,Groups!A:A,Groups!N:N)="Crocodile",EXP(0.8129*LN(C23)+4.6742)*S23,
IF(_xlfn.XLOOKUP(E23,Groups!A:A,Groups!N:N)="Felid",EXP(0.7843*LN(C23)+4.7073)*S23,
IF(_xlfn.XLOOKUP(E23,Groups!A:A,Groups!N:N)="Canid",EXP(0.8367*LN(C23)+4.8763)*S23,
IF(_xlfn.XLOOKUP(E23,Groups!A:A,Groups!N:N)="Pig",EXP(0.3439*LN(C23)+6.8519)*S23,
IF(_xlfn.XLOOKUP(E23,Groups!A:A,Groups!N:N)="Rodent",EXP(0.5625*LN(C23)+4.3006)*S23,
IF(_xlfn.XLOOKUP(E23,Groups!A:A,Groups!N:N)="Primate",EXP(0.7847*LN(C23)+3.4931)*S23,
IF(_xlfn.XLOOKUP(E23,Groups!A:A,Groups!N:N)="MiscCarnivora",EXP(0.7486*LN(C23)+4.2207)*S23,
IF(_xlfn.XLOOKUP(E23,Groups!A:A,Groups!N:N)="Lizard",EXP(0.7733*LN(C23)+5.5303)*S23,
IF(_xlfn.XLOOKUP(E23,Groups!A:A,Groups!N:N)="Snake",50*C23^(2/3)*S23,
IF(_xlfn.XLOOKUP(E23,Groups!A:A,Groups!N:N)="StrongBitingHerbivore",87.1133638856975*C23^(2/3)*S23,
IF(_xlfn.XLOOKUP(E23,Groups!A:A,Groups!N:N)="MiscEctotherms",59.4316884072269*C23^(2/3)*S23,
IF(_xlfn.XLOOKUP(E23,Groups!A:A,Groups!N:N)="StrongBeakBird",0.041*(C23*1000)^1.375*S23,
IF(_xlfn.XLOOKUP(E23,Groups!A:A,Groups!N:N)="Bird",0.118*(C23*1000)^0.692*S23,
IF(_xlfn.XLOOKUP(E23,Groups!A:A,Groups!N:N)="Insect",EXP(0.7444*LN(C23)+6.5696)*S23,
IF(_xlfn.XLOOKUP(E23,Groups!A:A,Groups!N:N)="Theropod",EXP(0.6966*LN(C23)+4.158)*S23,
"No"))))))))))))))))</f>
        <v>164.75785104561999</v>
      </c>
      <c r="AU23" s="8">
        <f>IF(_xlfn.XLOOKUP(E23,Groups!A:A,Groups!U:U)=3,AS23,IF(_xlfn.XLOOKUP(E23,Groups!A:A,Groups!U:U)=2,AR23,AT23))</f>
        <v>164.75785104561999</v>
      </c>
      <c r="AV23" s="46">
        <f>IFERROR(AVERAGE(_xlfn.XLOOKUP(B23,Animals!B:B,Animals!N:N),_xlfn.XLOOKUP(B23,Animals!B:B,Animals!O:O)),0)</f>
        <v>0</v>
      </c>
      <c r="AW23" s="8">
        <f>MROUND(40*Animals!AO23*_xlfn.XLOOKUP(AG23,Leathers!$A$2:$A$99,Leathers!$B$2:$B$99,0)+(140*_xlfn.XLOOKUP(B23,Animals!B:B,Animals!AO:AO)*2),5)</f>
        <v>105</v>
      </c>
      <c r="AX23" s="8">
        <f>IFERROR(ROUND(SQRT(V23-1)*IF(_xlfn.XLOOKUP(E23,Groups!A:A,Groups!BF:BF)=0,2,1)*IF(_xlfn.XLOOKUP('Base stats'!E23,Groups!A:A,Groups!O:O)=0,1,0.1),1),0)</f>
        <v>0</v>
      </c>
      <c r="AY23" s="8">
        <f t="shared" si="12"/>
        <v>0</v>
      </c>
      <c r="AZ23" s="8">
        <f t="shared" si="13"/>
        <v>0</v>
      </c>
      <c r="BA23" s="8">
        <f t="shared" si="14"/>
        <v>1</v>
      </c>
      <c r="BB23" s="8">
        <f>IF(_xlfn.XLOOKUP(E23,Groups!A:A,Groups!N:N)="Insect",BD23*2.5,IFERROR(AVERAGE(BD23,AT23/9.81/IF(OR(_xlfn.XLOOKUP(E23,Groups!A:A,Groups!N:N)="Pig",_xlfn.XLOOKUP(E23,Groups!A:A,Groups!N:N)="StrongBitingHerbivore"),20,25))*C23^-0.135,BD23))</f>
        <v>0.32443344904655447</v>
      </c>
      <c r="BC23" s="8" t="str">
        <f>IF(W23="No","No",IF(_xlfn.XLOOKUP(E23,Groups!A:A,Groups!U:U)=1,'Base stats'!BB23,IF(OR(_xlfn.XLOOKUP(E23,Groups!A:A,Groups!BD:BD)=1,_xlfn.XLOOKUP(E23,Groups!A:A,Groups!U:U)=2),BD23,IF(_xlfn.XLOOKUP(B23,Animals!B:B,Animals!AO:AO)&gt;4,AVERAGE(BD23,BF23),BF23))))</f>
        <v>No</v>
      </c>
      <c r="BD23" s="8">
        <f t="shared" si="15"/>
        <v>0.11514923387390767</v>
      </c>
      <c r="BE23" s="8">
        <f>IF(_xlfn.XLOOKUP(E23,Groups!A:A,Groups!BE:BE)=1,(0.048*C23^1.01)+(0.071*C23^1.03),0.071*C23^1.03)/IF(_xlfn.XLOOKUP(E23,Groups!A:A,Groups!M:M)=1,0.85,IF(OR(_xlfn.XLOOKUP(B23,Animals!B:B,Animals!AO:AO)&gt;4,_xlfn.XLOOKUP(E23,Groups!A:A,Groups!BC:BC)=1),1.7,1))*C23^-0.25</f>
        <v>0.21645638593836108</v>
      </c>
      <c r="BF23" s="8">
        <f>(0.048*C23^1.01)/IF(_xlfn.XLOOKUP(E23,Groups!A:A,Groups!M:M)=1,0.25,0.8)*C23^-0.25</f>
        <v>0.1777666036650683</v>
      </c>
      <c r="BG23" s="8">
        <f>EXP(1.076*LN(AR23)-4.5397)*IF(_xlfn.XLOOKUP(E23,Groups!A:A,Groups!BC:BC)=1,1.25,IF(_xlfn.XLOOKUP(E23,Groups!A:A,Groups!BD:BD)=1,3.5,2.5))</f>
        <v>7.2080955088625318</v>
      </c>
      <c r="BH23" s="8">
        <f>EXP(1.076*LN(AS23)-4.5397)*IF(_xlfn.XLOOKUP(E23,Groups!A:A,Groups!M:M)=1,0.8,IF(_xlfn.XLOOKUP(E23,Groups!A:A,Groups!BC:BC)=1,1.3,3))</f>
        <v>10.838975937446341</v>
      </c>
      <c r="BI23" s="8" t="str">
        <f>IF(W23="No","No",IF(_xlfn.XLOOKUP(E23,Groups!A:A,Groups!U:U)=1,'Base stats'!BJ23,IF(OR(_xlfn.XLOOKUP(E23,Groups!A:A,Groups!BD:BD)=1,_xlfn.XLOOKUP(E23,Groups!A:A,Groups!U:U)=2),BG23,BH23))*1.2)</f>
        <v>No</v>
      </c>
      <c r="BJ23" s="8">
        <f>IFERROR(EXP(1.076*LN(AT23)-4.5397)*IF(_xlfn.XLOOKUP(E23,Groups!A:A,Groups!N:N)="Insect",1,IF(OR(_xlfn.XLOOKUP(E23,Groups!A:A,Groups!N:N)="Pig",_xlfn.XLOOKUP(E23,Groups!A:A,Groups!N:N)="StrongBitingHerbivore"),3.5,3.75)),"No")</f>
        <v>9.7227928295555888</v>
      </c>
      <c r="BK23" s="8">
        <f t="shared" si="16"/>
        <v>11</v>
      </c>
      <c r="BL23" s="8">
        <f t="shared" si="17"/>
        <v>10</v>
      </c>
      <c r="BM23" s="8" t="str">
        <f t="shared" si="18"/>
        <v>No</v>
      </c>
      <c r="BN23" s="8">
        <f t="shared" si="19"/>
        <v>7</v>
      </c>
      <c r="BO23" s="8">
        <f t="shared" si="20"/>
        <v>11</v>
      </c>
      <c r="BP23" s="8" t="str" cm="1">
        <f t="array" ref="BP23">IF(AND(_xlfn.XLOOKUP('Base stats'!E23,Groups!A:A,Groups!AD:AD=0),_xlfn.XLOOKUP('Base stats'!E23,Groups!A:A,Groups!P:P=0)),"No",IF(U23="No",AVERAGE(EXP(-0.57+0.99*LN(C23)),EXP(0.32+0.67*LN(C23)))/IF(_xlfn.XLOOKUP(E23,Groups!A:A,Groups!AD:AD)=1,10,2),(0.7354*C23^0.4078)*2/IF(_xlfn.XLOOKUP(E23,Groups!A:A,Groups!BK:BK)=1,1000,100)/IF(_xlfn.XLOOKUP(E23,Groups!A:A,Groups!AJ:AJ)="Photonozoa",3,1)))</f>
        <v>No</v>
      </c>
      <c r="BQ23" s="8" t="str">
        <f>IF(W23="No","No",IF(_xlfn.XLOOKUP(E23,Groups!A:A,Groups!BD:BD)=1,(AO23*5%),EXP(0.7354*LN(C23)^0.4078)*2/IF(_xlfn.XLOOKUP(E23,Groups!A:A,Groups!BL:BL)=1,1000,100)/IF(_xlfn.XLOOKUP(E23,Groups!A:A,Groups!AJ:AJ)="Photonozoa",3,1)))</f>
        <v>No</v>
      </c>
      <c r="BR23" s="8">
        <f>IF(BJ23="No","No",IF(_xlfn.XLOOKUP(E23,Groups!A:A,Groups!BF:BF)=1,(0.0315*C23+2.1825)*2,(0.7354*C23^0.4078)*2)/IF(_xlfn.XLOOKUP(E23,Groups!A:A,Groups!BM:BM)=1,1000,100)/IF(_xlfn.XLOOKUP(E23,Groups!A:A,Groups!AJ:AJ)="Photonozoa",3,1))</f>
        <v>2.6342520922891119E-2</v>
      </c>
      <c r="BS23" s="8">
        <f t="shared" si="21"/>
        <v>5.1298047752629666E-2</v>
      </c>
      <c r="BT23" s="8" t="str">
        <f t="shared" si="22"/>
        <v>No</v>
      </c>
      <c r="BU23" s="8" t="str">
        <f t="shared" si="23"/>
        <v>No</v>
      </c>
      <c r="BV23" s="8">
        <f t="shared" si="24"/>
        <v>369.09120649522492</v>
      </c>
      <c r="BW23" s="4">
        <v>0</v>
      </c>
      <c r="BX23" s="4">
        <v>1</v>
      </c>
    </row>
    <row r="24" spans="1:76" x14ac:dyDescent="0.25">
      <c r="A24" s="26" t="s">
        <v>125</v>
      </c>
      <c r="B24" s="6" t="s">
        <v>126</v>
      </c>
      <c r="C24" s="7">
        <v>4.1749999999999998</v>
      </c>
      <c r="D24" s="7" t="s">
        <v>512</v>
      </c>
      <c r="E24" s="7" t="str">
        <f>Groups!$A$49</f>
        <v>Rodent (TAILLESS)</v>
      </c>
      <c r="F24" s="7">
        <v>50</v>
      </c>
      <c r="G24" s="7">
        <f>266/365</f>
        <v>0.72876712328767124</v>
      </c>
      <c r="H24" s="7">
        <v>18</v>
      </c>
      <c r="I24" s="4">
        <v>0</v>
      </c>
      <c r="J24" s="7">
        <v>2</v>
      </c>
      <c r="K24" s="7" t="s">
        <v>512</v>
      </c>
      <c r="L24" s="7">
        <v>72</v>
      </c>
      <c r="M24" s="7" t="s">
        <v>626</v>
      </c>
      <c r="N24" s="4">
        <v>0</v>
      </c>
      <c r="O24" s="4">
        <v>0</v>
      </c>
      <c r="P24" s="4">
        <v>0</v>
      </c>
      <c r="Q24" s="4">
        <v>0</v>
      </c>
      <c r="R24" s="4" t="s">
        <v>40</v>
      </c>
      <c r="S24" s="7">
        <f>_xlfn.XLOOKUP(B24,[1]TeethAdjusters!$A:$A,[1]BiteAdjusters!$C:$C,1)</f>
        <v>1</v>
      </c>
      <c r="T24" s="7">
        <f>_xlfn.XLOOKUP(B24,[1]TeethAdjusters!$A:$A,[1]TeethAdjusters!$B:$B,1)</f>
        <v>1</v>
      </c>
      <c r="U24" s="7" t="s">
        <v>45</v>
      </c>
      <c r="V24" s="7">
        <v>0.64</v>
      </c>
      <c r="W24" s="7" t="s">
        <v>45</v>
      </c>
      <c r="X24" s="7" t="s">
        <v>932</v>
      </c>
      <c r="Y24" s="4" t="s">
        <v>42</v>
      </c>
      <c r="Z24" s="4">
        <v>1</v>
      </c>
      <c r="AA24" s="4">
        <v>0</v>
      </c>
      <c r="AB24" s="4">
        <v>0</v>
      </c>
      <c r="AC24" s="4">
        <v>0</v>
      </c>
      <c r="AD24" s="4">
        <v>0</v>
      </c>
      <c r="AE24" s="4" t="s">
        <v>45</v>
      </c>
      <c r="AF24" s="4" t="s">
        <v>45</v>
      </c>
      <c r="AG24" s="49" t="s">
        <v>385</v>
      </c>
      <c r="AH24" s="4" t="str">
        <f>Animals!$C$23</f>
        <v>&lt;li&gt;Hare&lt;/li&gt;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4" t="s">
        <v>40</v>
      </c>
      <c r="AO24" s="8">
        <f t="shared" si="10"/>
        <v>2810.2806343124535</v>
      </c>
      <c r="AP24" s="8">
        <f>IFERROR(C24*_xlfn.XLOOKUP(E24,Groups!A:A,Groups!K:K),0.106*C24^0.94)</f>
        <v>0.40618413485698385</v>
      </c>
      <c r="AQ24" s="8">
        <f>AP24*10000/(_xlfn.XLOOKUP(E24,Groups!A:A,Groups!J:J)*AO24)</f>
        <v>1.3260099035369324</v>
      </c>
      <c r="AR24" s="8">
        <f t="shared" si="11"/>
        <v>181.84831371738611</v>
      </c>
      <c r="AS24" s="8">
        <f>IF(_xlfn.XLOOKUP(E24,Groups!A:A,Groups!M:M)=1,EXP(0.7444*LN('Base stats'!C24)+6.5696),EXP(0.7927*LN('Base stats'!C24)+4.28))</f>
        <v>224.27185442642471</v>
      </c>
      <c r="AT24" s="8">
        <f>IF(_xlfn.XLOOKUP(E24,Groups!A:A,Groups!N:N)="No","No",
IF(_xlfn.XLOOKUP(E24,Groups!A:A,Groups!N:N)="Crocodile",EXP(0.8129*LN(C24)+4.6742)*S24,
IF(_xlfn.XLOOKUP(E24,Groups!A:A,Groups!N:N)="Felid",EXP(0.7843*LN(C24)+4.7073)*S24,
IF(_xlfn.XLOOKUP(E24,Groups!A:A,Groups!N:N)="Canid",EXP(0.8367*LN(C24)+4.8763)*S24,
IF(_xlfn.XLOOKUP(E24,Groups!A:A,Groups!N:N)="Pig",EXP(0.3439*LN(C24)+6.8519)*S24,
IF(_xlfn.XLOOKUP(E24,Groups!A:A,Groups!N:N)="Rodent",EXP(0.5625*LN(C24)+4.3006)*S24,
IF(_xlfn.XLOOKUP(E24,Groups!A:A,Groups!N:N)="Primate",EXP(0.7847*LN(C24)+3.4931)*S24,
IF(_xlfn.XLOOKUP(E24,Groups!A:A,Groups!N:N)="MiscCarnivora",EXP(0.7486*LN(C24)+4.2207)*S24,
IF(_xlfn.XLOOKUP(E24,Groups!A:A,Groups!N:N)="Lizard",EXP(0.7733*LN(C24)+5.5303)*S24,
IF(_xlfn.XLOOKUP(E24,Groups!A:A,Groups!N:N)="Snake",50*C24^(2/3)*S24,
IF(_xlfn.XLOOKUP(E24,Groups!A:A,Groups!N:N)="StrongBitingHerbivore",87.1133638856975*C24^(2/3)*S24,
IF(_xlfn.XLOOKUP(E24,Groups!A:A,Groups!N:N)="MiscEctotherms",59.4316884072269*C24^(2/3)*S24,
IF(_xlfn.XLOOKUP(E24,Groups!A:A,Groups!N:N)="StrongBeakBird",0.041*(C24*1000)^1.375*S24,
IF(_xlfn.XLOOKUP(E24,Groups!A:A,Groups!N:N)="Bird",0.118*(C24*1000)^0.692*S24,
IF(_xlfn.XLOOKUP(E24,Groups!A:A,Groups!N:N)="Insect",EXP(0.7444*LN(C24)+6.5696)*S24,
IF(_xlfn.XLOOKUP(E24,Groups!A:A,Groups!N:N)="Theropod",EXP(0.6966*LN(C24)+4.158)*S24,
"No"))))))))))))))))</f>
        <v>164.75785104561999</v>
      </c>
      <c r="AU24" s="8">
        <f>IF(_xlfn.XLOOKUP(E24,Groups!A:A,Groups!U:U)=3,AS24,IF(_xlfn.XLOOKUP(E24,Groups!A:A,Groups!U:U)=2,AR24,AT24))</f>
        <v>164.75785104561999</v>
      </c>
      <c r="AV24" s="46">
        <f>IFERROR(AVERAGE(_xlfn.XLOOKUP(B24,Animals!B:B,Animals!N:N),_xlfn.XLOOKUP(B24,Animals!B:B,Animals!O:O)),0)</f>
        <v>0</v>
      </c>
      <c r="AW24" s="8">
        <f>MROUND(40*Animals!AO24*_xlfn.XLOOKUP(AG24,Leathers!$A$2:$A$99,Leathers!$B$2:$B$99,0)+(140*_xlfn.XLOOKUP(B24,Animals!B:B,Animals!AO:AO)*2),5)</f>
        <v>105</v>
      </c>
      <c r="AX24" s="8">
        <f>IFERROR(ROUND(SQRT(V24-1)*IF(_xlfn.XLOOKUP(E24,Groups!A:A,Groups!BF:BF)=0,2,1)*IF(_xlfn.XLOOKUP('Base stats'!E24,Groups!A:A,Groups!O:O)=0,1,0.1),1),0)</f>
        <v>0</v>
      </c>
      <c r="AY24" s="8">
        <f t="shared" si="12"/>
        <v>0</v>
      </c>
      <c r="AZ24" s="8">
        <f t="shared" si="13"/>
        <v>0</v>
      </c>
      <c r="BA24" s="8">
        <f t="shared" si="14"/>
        <v>1</v>
      </c>
      <c r="BB24" s="8">
        <f>IF(_xlfn.XLOOKUP(E24,Groups!A:A,Groups!N:N)="Insect",BD24*2.5,IFERROR(AVERAGE(BD24,AT24/9.81/IF(OR(_xlfn.XLOOKUP(E24,Groups!A:A,Groups!N:N)="Pig",_xlfn.XLOOKUP(E24,Groups!A:A,Groups!N:N)="StrongBitingHerbivore"),20,25))*C24^-0.135,BD24))</f>
        <v>0.32443344904655447</v>
      </c>
      <c r="BC24" s="8" t="str">
        <f>IF(W24="No","No",IF(_xlfn.XLOOKUP(E24,Groups!A:A,Groups!U:U)=1,'Base stats'!BB24,IF(OR(_xlfn.XLOOKUP(E24,Groups!A:A,Groups!BD:BD)=1,_xlfn.XLOOKUP(E24,Groups!A:A,Groups!U:U)=2),BD24,IF(_xlfn.XLOOKUP(B24,Animals!B:B,Animals!AO:AO)&gt;4,AVERAGE(BD24,BF24),BF24))))</f>
        <v>No</v>
      </c>
      <c r="BD24" s="8">
        <f t="shared" si="15"/>
        <v>0.11514923387390767</v>
      </c>
      <c r="BE24" s="8">
        <f>IF(_xlfn.XLOOKUP(E24,Groups!A:A,Groups!BE:BE)=1,(0.048*C24^1.01)+(0.071*C24^1.03),0.071*C24^1.03)/IF(_xlfn.XLOOKUP(E24,Groups!A:A,Groups!M:M)=1,0.85,IF(OR(_xlfn.XLOOKUP(B24,Animals!B:B,Animals!AO:AO)&gt;4,_xlfn.XLOOKUP(E24,Groups!A:A,Groups!BC:BC)=1),1.7,1))*C24^-0.25</f>
        <v>0.21645638593836108</v>
      </c>
      <c r="BF24" s="8">
        <f>(0.048*C24^1.01)/IF(_xlfn.XLOOKUP(E24,Groups!A:A,Groups!M:M)=1,0.25,0.8)*C24^-0.25</f>
        <v>0.1777666036650683</v>
      </c>
      <c r="BG24" s="8">
        <f>EXP(1.076*LN(AR24)-4.5397)*IF(_xlfn.XLOOKUP(E24,Groups!A:A,Groups!BC:BC)=1,1.25,IF(_xlfn.XLOOKUP(E24,Groups!A:A,Groups!BD:BD)=1,3.5,2.5))</f>
        <v>7.2080955088625318</v>
      </c>
      <c r="BH24" s="8">
        <f>EXP(1.076*LN(AS24)-4.5397)*IF(_xlfn.XLOOKUP(E24,Groups!A:A,Groups!M:M)=1,0.8,IF(_xlfn.XLOOKUP(E24,Groups!A:A,Groups!BC:BC)=1,1.3,3))</f>
        <v>10.838975937446341</v>
      </c>
      <c r="BI24" s="8" t="str">
        <f>IF(W24="No","No",IF(_xlfn.XLOOKUP(E24,Groups!A:A,Groups!U:U)=1,'Base stats'!BJ24,IF(OR(_xlfn.XLOOKUP(E24,Groups!A:A,Groups!BD:BD)=1,_xlfn.XLOOKUP(E24,Groups!A:A,Groups!U:U)=2),BG24,BH24))*1.2)</f>
        <v>No</v>
      </c>
      <c r="BJ24" s="8">
        <f>IFERROR(EXP(1.076*LN(AT24)-4.5397)*IF(_xlfn.XLOOKUP(E24,Groups!A:A,Groups!N:N)="Insect",1,IF(OR(_xlfn.XLOOKUP(E24,Groups!A:A,Groups!N:N)="Pig",_xlfn.XLOOKUP(E24,Groups!A:A,Groups!N:N)="StrongBitingHerbivore"),3.5,3.75)),"No")</f>
        <v>9.7227928295555888</v>
      </c>
      <c r="BK24" s="8">
        <f t="shared" si="16"/>
        <v>11</v>
      </c>
      <c r="BL24" s="8">
        <f t="shared" si="17"/>
        <v>10</v>
      </c>
      <c r="BM24" s="8" t="str">
        <f t="shared" si="18"/>
        <v>No</v>
      </c>
      <c r="BN24" s="8">
        <f t="shared" si="19"/>
        <v>7</v>
      </c>
      <c r="BO24" s="8">
        <f t="shared" si="20"/>
        <v>11</v>
      </c>
      <c r="BP24" s="8" t="str" cm="1">
        <f t="array" ref="BP24">IF(AND(_xlfn.XLOOKUP('Base stats'!E24,Groups!A:A,Groups!AD:AD=0),_xlfn.XLOOKUP('Base stats'!E24,Groups!A:A,Groups!P:P=0)),"No",IF(U24="No",AVERAGE(EXP(-0.57+0.99*LN(C24)),EXP(0.32+0.67*LN(C24)))/IF(_xlfn.XLOOKUP(E24,Groups!A:A,Groups!AD:AD)=1,10,2),(0.7354*C24^0.4078)*2/IF(_xlfn.XLOOKUP(E24,Groups!A:A,Groups!BK:BK)=1,1000,100)/IF(_xlfn.XLOOKUP(E24,Groups!A:A,Groups!AJ:AJ)="Photonozoa",3,1)))</f>
        <v>No</v>
      </c>
      <c r="BQ24" s="8" t="str">
        <f>IF(W24="No","No",IF(_xlfn.XLOOKUP(E24,Groups!A:A,Groups!BD:BD)=1,(AO24*5%),EXP(0.7354*LN(C24)^0.4078)*2/IF(_xlfn.XLOOKUP(E24,Groups!A:A,Groups!BL:BL)=1,1000,100)/IF(_xlfn.XLOOKUP(E24,Groups!A:A,Groups!AJ:AJ)="Photonozoa",3,1)))</f>
        <v>No</v>
      </c>
      <c r="BR24" s="8">
        <f>IF(BJ24="No","No",IF(_xlfn.XLOOKUP(E24,Groups!A:A,Groups!BF:BF)=1,(0.0315*C24+2.1825)*2,(0.7354*C24^0.4078)*2)/IF(_xlfn.XLOOKUP(E24,Groups!A:A,Groups!BM:BM)=1,1000,100)/IF(_xlfn.XLOOKUP(E24,Groups!A:A,Groups!AJ:AJ)="Photonozoa",3,1))</f>
        <v>2.6342520922891119E-2</v>
      </c>
      <c r="BS24" s="8">
        <f t="shared" si="21"/>
        <v>5.1298047752629666E-2</v>
      </c>
      <c r="BT24" s="8" t="str">
        <f t="shared" si="22"/>
        <v>No</v>
      </c>
      <c r="BU24" s="8" t="str">
        <f t="shared" si="23"/>
        <v>No</v>
      </c>
      <c r="BV24" s="8">
        <f t="shared" si="24"/>
        <v>369.09120649522492</v>
      </c>
      <c r="BW24" s="4">
        <v>0</v>
      </c>
      <c r="BX24" s="4">
        <v>1</v>
      </c>
    </row>
    <row r="25" spans="1:76" x14ac:dyDescent="0.25">
      <c r="A25" s="26" t="s">
        <v>116</v>
      </c>
      <c r="B25" s="6" t="s">
        <v>1133</v>
      </c>
      <c r="C25" s="7">
        <v>2175</v>
      </c>
      <c r="D25" s="7" t="s">
        <v>1134</v>
      </c>
      <c r="E25" s="7" t="str">
        <f>Groups!$A$47</f>
        <v>Rhinoceros</v>
      </c>
      <c r="F25" s="7">
        <v>515</v>
      </c>
      <c r="G25" s="7">
        <f>1643/365</f>
        <v>4.5013698630136982</v>
      </c>
      <c r="H25" s="7">
        <v>45</v>
      </c>
      <c r="I25" s="4">
        <v>1</v>
      </c>
      <c r="J25" s="7">
        <v>1</v>
      </c>
      <c r="K25" s="7" t="s">
        <v>1134</v>
      </c>
      <c r="L25" s="7">
        <f>7.5*3.6</f>
        <v>27</v>
      </c>
      <c r="M25" s="7" t="s">
        <v>1136</v>
      </c>
      <c r="N25" s="4">
        <v>0</v>
      </c>
      <c r="O25" s="4">
        <v>0</v>
      </c>
      <c r="P25" s="4">
        <v>0</v>
      </c>
      <c r="Q25" s="4">
        <v>0</v>
      </c>
      <c r="R25" s="4" t="s">
        <v>40</v>
      </c>
      <c r="S25" s="7">
        <f>_xlfn.XLOOKUP(B25,[1]TeethAdjusters!$A:$A,[1]BiteAdjusters!$C:$C,1)</f>
        <v>1</v>
      </c>
      <c r="T25" s="7">
        <f>_xlfn.XLOOKUP(B25,[1]TeethAdjusters!$A:$A,[1]TeethAdjusters!$B:$B,1)</f>
        <v>1</v>
      </c>
      <c r="U25" s="7" t="s">
        <v>45</v>
      </c>
      <c r="V25" s="7">
        <f>MROUND(22.7/10,0.05)</f>
        <v>2.25</v>
      </c>
      <c r="W25" s="7">
        <v>90</v>
      </c>
      <c r="X25" s="7" t="s">
        <v>932</v>
      </c>
      <c r="Y25" s="4" t="s">
        <v>42</v>
      </c>
      <c r="Z25" s="4">
        <v>1</v>
      </c>
      <c r="AA25" s="4">
        <v>0</v>
      </c>
      <c r="AB25" s="4">
        <v>0</v>
      </c>
      <c r="AC25" s="4">
        <v>0</v>
      </c>
      <c r="AD25" s="4">
        <v>0</v>
      </c>
      <c r="AE25" s="4" t="s">
        <v>45</v>
      </c>
      <c r="AF25" s="4" t="s">
        <v>45</v>
      </c>
      <c r="AG25" s="49" t="s">
        <v>393</v>
      </c>
      <c r="AH25" s="4" t="s">
        <v>45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4" t="s">
        <v>40</v>
      </c>
      <c r="AO25" s="8">
        <f t="shared" si="10"/>
        <v>163934.92964195029</v>
      </c>
      <c r="AP25" s="8">
        <f>IFERROR(C25*_xlfn.XLOOKUP(E25,Groups!A:A,Groups!K:K),0.106*C25^0.94)</f>
        <v>145.38432046483609</v>
      </c>
      <c r="AQ25" s="8">
        <f>AP25*10000/(_xlfn.XLOOKUP(E25,Groups!A:A,Groups!J:J)*AO25)</f>
        <v>8.1361617569552305</v>
      </c>
      <c r="AR25" s="8">
        <f t="shared" si="11"/>
        <v>35858.538732427318</v>
      </c>
      <c r="AS25" s="8">
        <f>IF(_xlfn.XLOOKUP(E25,Groups!A:A,Groups!M:M)=1,EXP(0.7444*LN('Base stats'!C25)+6.5696),EXP(0.7927*LN('Base stats'!C25)+4.28))</f>
        <v>31943.635306616237</v>
      </c>
      <c r="AT25" s="8">
        <f>IF(_xlfn.XLOOKUP(E25,Groups!A:A,Groups!N:N)="No","No",
IF(_xlfn.XLOOKUP(E25,Groups!A:A,Groups!N:N)="Crocodile",EXP(0.8129*LN(C25)+4.6742)*S25,
IF(_xlfn.XLOOKUP(E25,Groups!A:A,Groups!N:N)="Felid",EXP(0.7843*LN(C25)+4.7073)*S25,
IF(_xlfn.XLOOKUP(E25,Groups!A:A,Groups!N:N)="Canid",EXP(0.8367*LN(C25)+4.8763)*S25,
IF(_xlfn.XLOOKUP(E25,Groups!A:A,Groups!N:N)="Pig",EXP(0.3439*LN(C25)+6.8519)*S25,
IF(_xlfn.XLOOKUP(E25,Groups!A:A,Groups!N:N)="Rodent",EXP(0.5625*LN(C25)+4.3006)*S25,
IF(_xlfn.XLOOKUP(E25,Groups!A:A,Groups!N:N)="Primate",EXP(0.7847*LN(C25)+3.4931)*S25,
IF(_xlfn.XLOOKUP(E25,Groups!A:A,Groups!N:N)="MiscCarnivora",EXP(0.7486*LN(C25)+4.2207)*S25,
IF(_xlfn.XLOOKUP(E25,Groups!A:A,Groups!N:N)="Lizard",EXP(0.7733*LN(C25)+5.5303)*S25,
IF(_xlfn.XLOOKUP(E25,Groups!A:A,Groups!N:N)="Snake",50*C25^(2/3)*S25,
IF(_xlfn.XLOOKUP(E25,Groups!A:A,Groups!N:N)="StrongBitingHerbivore",87.1133638856975*C25^(2/3)*S25,
IF(_xlfn.XLOOKUP(E25,Groups!A:A,Groups!N:N)="MiscEctotherms",59.4316884072269*C25^(2/3)*S25,
IF(_xlfn.XLOOKUP(E25,Groups!A:A,Groups!N:N)="StrongBeakBird",0.041*(C25*1000)^1.375*S25,
IF(_xlfn.XLOOKUP(E25,Groups!A:A,Groups!N:N)="Bird",0.118*(C25*1000)^0.692*S25,
IF(_xlfn.XLOOKUP(E25,Groups!A:A,Groups!N:N)="Insect",EXP(0.7444*LN(C25)+6.5696)*S25,
IF(_xlfn.XLOOKUP(E25,Groups!A:A,Groups!N:N)="Theropod",EXP(0.6966*LN(C25)+4.158)*S25,
"No"))))))))))))))))</f>
        <v>14623.711991937456</v>
      </c>
      <c r="AU25" s="8">
        <f>IF(_xlfn.XLOOKUP(E25,Groups!A:A,Groups!U:U)=3,AS25,IF(_xlfn.XLOOKUP(E25,Groups!A:A,Groups!U:U)=2,AR25,AT25))</f>
        <v>35858.538732427318</v>
      </c>
      <c r="AV25" s="46">
        <f>IFERROR(AVERAGE(_xlfn.XLOOKUP(B25,Animals!B:B,Animals!N:N),_xlfn.XLOOKUP(B25,Animals!B:B,Animals!O:O)),0)</f>
        <v>0.2</v>
      </c>
      <c r="AW25" s="8">
        <f>MROUND(40*Animals!AO25*_xlfn.XLOOKUP(AG25,Leathers!$A$2:$A$99,Leathers!$B$2:$B$99,0)+(140*_xlfn.XLOOKUP(B25,Animals!B:B,Animals!AO:AO)*2),5)</f>
        <v>1680</v>
      </c>
      <c r="AX25" s="8">
        <f>IFERROR(ROUND(SQRT(V25-1)*IF(_xlfn.XLOOKUP(E25,Groups!A:A,Groups!BF:BF)=0,2,1)*IF(_xlfn.XLOOKUP('Base stats'!E25,Groups!A:A,Groups!O:O)=0,1,0.1),1),0)</f>
        <v>2.2000000000000002</v>
      </c>
      <c r="AY25" s="8">
        <f t="shared" si="12"/>
        <v>0</v>
      </c>
      <c r="AZ25" s="8">
        <f t="shared" si="13"/>
        <v>9.5</v>
      </c>
      <c r="BA25" s="8">
        <f t="shared" si="14"/>
        <v>12.6</v>
      </c>
      <c r="BB25" s="8">
        <f>IF(_xlfn.XLOOKUP(E25,Groups!A:A,Groups!N:N)="Insect",BD25*2.5,IFERROR(AVERAGE(BD25,AT25/9.81/IF(OR(_xlfn.XLOOKUP(E25,Groups!A:A,Groups!N:N)="Pig",_xlfn.XLOOKUP(E25,Groups!A:A,Groups!N:N)="StrongBitingHerbivore"),20,25))*C25^-0.135,BD25))</f>
        <v>15.487105037980371</v>
      </c>
      <c r="BC25" s="8">
        <f>IF(W25="No","No",IF(_xlfn.XLOOKUP(E25,Groups!A:A,Groups!U:U)=1,'Base stats'!BB25,IF(OR(_xlfn.XLOOKUP(E25,Groups!A:A,Groups!BD:BD)=1,_xlfn.XLOOKUP(E25,Groups!A:A,Groups!U:U)=2),BD25,IF(_xlfn.XLOOKUP(B25,Animals!B:B,Animals!AO:AO)&gt;4,AVERAGE(BD25,BF25),BF25))))</f>
        <v>12.87449936124731</v>
      </c>
      <c r="BD25" s="8">
        <f t="shared" si="15"/>
        <v>12.87449936124731</v>
      </c>
      <c r="BE25" s="8">
        <f>IF(_xlfn.XLOOKUP(E25,Groups!A:A,Groups!BE:BE)=1,(0.048*C25^1.01)+(0.071*C25^1.03),0.071*C25^1.03)/IF(_xlfn.XLOOKUP(E25,Groups!A:A,Groups!M:M)=1,0.85,IF(OR(_xlfn.XLOOKUP(B25,Animals!B:B,Animals!AO:AO)&gt;4,_xlfn.XLOOKUP(E25,Groups!A:A,Groups!BC:BC)=1),1.7,1))*C25^-0.25</f>
        <v>28.475841866528434</v>
      </c>
      <c r="BF25" s="8">
        <f>(0.048*C25^1.01)/IF(_xlfn.XLOOKUP(E25,Groups!A:A,Groups!M:M)=1,0.25,0.8)*C25^-0.25</f>
        <v>20.635751480804579</v>
      </c>
      <c r="BG25" s="8">
        <f>EXP(1.076*LN(AR25)-4.5397)*IF(_xlfn.XLOOKUP(E25,Groups!A:A,Groups!BC:BC)=1,1.25,IF(_xlfn.XLOOKUP(E25,Groups!A:A,Groups!BD:BD)=1,3.5,2.5))</f>
        <v>2123.8066364122428</v>
      </c>
      <c r="BH25" s="8">
        <f>EXP(1.076*LN(AS25)-4.5397)*IF(_xlfn.XLOOKUP(E25,Groups!A:A,Groups!M:M)=1,0.8,IF(_xlfn.XLOOKUP(E25,Groups!A:A,Groups!BC:BC)=1,1.3,3))</f>
        <v>2250.4643829685419</v>
      </c>
      <c r="BI25" s="8">
        <f>IF(W25="No","No",IF(_xlfn.XLOOKUP(E25,Groups!A:A,Groups!U:U)=1,'Base stats'!BJ25,IF(OR(_xlfn.XLOOKUP(E25,Groups!A:A,Groups!BD:BD)=1,_xlfn.XLOOKUP(E25,Groups!A:A,Groups!U:U)=2),BG25,BH25))*1.2)</f>
        <v>2548.5679636946911</v>
      </c>
      <c r="BJ25" s="8">
        <f>IFERROR(EXP(1.076*LN(AT25)-4.5397)*IF(_xlfn.XLOOKUP(E25,Groups!A:A,Groups!N:N)="Insect",1,IF(OR(_xlfn.XLOOKUP(E25,Groups!A:A,Groups!N:N)="Pig",_xlfn.XLOOKUP(E25,Groups!A:A,Groups!N:N)="StrongBitingHerbivore"),3.5,3.75)),"No")</f>
        <v>1132.6699783310287</v>
      </c>
      <c r="BK25" s="8">
        <f t="shared" si="16"/>
        <v>18</v>
      </c>
      <c r="BL25" s="8">
        <f t="shared" si="17"/>
        <v>12</v>
      </c>
      <c r="BM25" s="8">
        <f t="shared" si="18"/>
        <v>19</v>
      </c>
      <c r="BN25" s="8">
        <f t="shared" si="19"/>
        <v>12</v>
      </c>
      <c r="BO25" s="8">
        <f t="shared" si="20"/>
        <v>14</v>
      </c>
      <c r="BP25" s="8" t="str" cm="1">
        <f t="array" ref="BP25">IF(AND(_xlfn.XLOOKUP('Base stats'!E25,Groups!A:A,Groups!AD:AD=0),_xlfn.XLOOKUP('Base stats'!E25,Groups!A:A,Groups!P:P=0)),"No",IF(U25="No",AVERAGE(EXP(-0.57+0.99*LN(C25)),EXP(0.32+0.67*LN(C25)))/IF(_xlfn.XLOOKUP(E25,Groups!A:A,Groups!AD:AD)=1,10,2),(0.7354*C25^0.4078)*2/IF(_xlfn.XLOOKUP(E25,Groups!A:A,Groups!BK:BK)=1,1000,100)/IF(_xlfn.XLOOKUP(E25,Groups!A:A,Groups!AJ:AJ)="Photonozoa",3,1)))</f>
        <v>No</v>
      </c>
      <c r="BQ25" s="8">
        <f>IF(W25="No","No",IF(_xlfn.XLOOKUP(E25,Groups!A:A,Groups!BD:BD)=1,(AO25*5%),EXP(0.7354*LN(C25)^0.4078)*2/IF(_xlfn.XLOOKUP(E25,Groups!A:A,Groups!BL:BL)=1,1000,100)/IF(_xlfn.XLOOKUP(E25,Groups!A:A,Groups!AJ:AJ)="Photonozoa",3,1)))</f>
        <v>0.10830426171036688</v>
      </c>
      <c r="BR25" s="8">
        <f>IF(BJ25="No","No",IF(_xlfn.XLOOKUP(E25,Groups!A:A,Groups!BF:BF)=1,(0.0315*C25+2.1825)*2,(0.7354*C25^0.4078)*2)/IF(_xlfn.XLOOKUP(E25,Groups!A:A,Groups!BM:BM)=1,1000,100)/IF(_xlfn.XLOOKUP(E25,Groups!A:A,Groups!AJ:AJ)="Photonozoa",3,1))</f>
        <v>0.33772989730193315</v>
      </c>
      <c r="BS25" s="8">
        <f t="shared" si="21"/>
        <v>0.25910361398279691</v>
      </c>
      <c r="BT25" s="8" t="str">
        <f t="shared" si="22"/>
        <v>No</v>
      </c>
      <c r="BU25" s="8">
        <f t="shared" si="23"/>
        <v>23531.557516270317</v>
      </c>
      <c r="BV25" s="8">
        <f t="shared" si="24"/>
        <v>3353.7746802392594</v>
      </c>
      <c r="BW25" s="4">
        <v>0</v>
      </c>
      <c r="BX25" s="4">
        <v>1</v>
      </c>
    </row>
    <row r="26" spans="1:76" x14ac:dyDescent="0.25">
      <c r="A26" s="26" t="s">
        <v>70</v>
      </c>
      <c r="B26" s="6" t="s">
        <v>71</v>
      </c>
      <c r="C26" s="7">
        <f>AVERAGE(6000,3000)</f>
        <v>4500</v>
      </c>
      <c r="D26" s="7" t="s">
        <v>1135</v>
      </c>
      <c r="E26" s="7" t="str">
        <f>Groups!$A$18</f>
        <v>Elephant</v>
      </c>
      <c r="F26" s="7">
        <f>670</f>
        <v>670</v>
      </c>
      <c r="G26" s="7">
        <f>4018/365</f>
        <v>11.008219178082191</v>
      </c>
      <c r="H26" s="7">
        <v>65</v>
      </c>
      <c r="I26" s="4">
        <v>1</v>
      </c>
      <c r="J26" s="7">
        <v>1</v>
      </c>
      <c r="K26" s="7" t="s">
        <v>513</v>
      </c>
      <c r="L26" s="7">
        <v>26</v>
      </c>
      <c r="M26" s="7" t="s">
        <v>626</v>
      </c>
      <c r="N26" s="4">
        <v>0</v>
      </c>
      <c r="O26" s="4">
        <v>0</v>
      </c>
      <c r="P26" s="4">
        <v>0</v>
      </c>
      <c r="Q26" s="4">
        <v>0</v>
      </c>
      <c r="R26" s="4" t="s">
        <v>40</v>
      </c>
      <c r="S26" s="7">
        <f>_xlfn.XLOOKUP(B26,[1]TeethAdjusters!$A:$A,[1]BiteAdjusters!$C:$C,1)</f>
        <v>1</v>
      </c>
      <c r="T26" s="7">
        <f>_xlfn.XLOOKUP(B26,[1]TeethAdjusters!$A:$A,[1]TeethAdjusters!$B:$B,1)</f>
        <v>1</v>
      </c>
      <c r="U26" s="7" t="s">
        <v>45</v>
      </c>
      <c r="V26" s="7" t="str">
        <f>IF(AT26="No","No",IF(_xlfn.XLOOKUP(E26,Groups!A:A,Groups!AM:AM)=1,MROUND(EXP(0.3582*LN(C26)-0.2221)*T26,0.05),IF(_xlfn.XLOOKUP(E26,Groups!A:A,Groups!AM:AM)=2,MROUND(EXP(0.3582*LN(C26)-0.2221)*T26,0.05),"Need a formula")))</f>
        <v>No</v>
      </c>
      <c r="W26" s="7">
        <v>160</v>
      </c>
      <c r="X26" s="7" t="s">
        <v>932</v>
      </c>
      <c r="Y26" s="4" t="s">
        <v>42</v>
      </c>
      <c r="Z26" s="4">
        <v>1</v>
      </c>
      <c r="AA26" s="4">
        <v>0</v>
      </c>
      <c r="AB26" s="4">
        <v>0</v>
      </c>
      <c r="AC26" s="4">
        <v>0</v>
      </c>
      <c r="AD26" s="4">
        <v>0</v>
      </c>
      <c r="AE26" s="4" t="s">
        <v>1043</v>
      </c>
      <c r="AF26" s="4" t="s">
        <v>398</v>
      </c>
      <c r="AG26" s="49" t="s">
        <v>380</v>
      </c>
      <c r="AH26" s="4" t="s">
        <v>45</v>
      </c>
      <c r="AI26" s="4">
        <v>1</v>
      </c>
      <c r="AJ26" s="4">
        <v>0</v>
      </c>
      <c r="AK26" s="4">
        <v>0</v>
      </c>
      <c r="AL26" s="4">
        <v>0</v>
      </c>
      <c r="AM26" s="4">
        <v>0</v>
      </c>
      <c r="AN26" s="44" t="s">
        <v>40</v>
      </c>
      <c r="AO26" s="8">
        <f t="shared" si="10"/>
        <v>262972.97087744245</v>
      </c>
      <c r="AP26" s="8">
        <f>IFERROR(C26*_xlfn.XLOOKUP(E26,Groups!A:A,Groups!K:K),0.106*C26^0.94)</f>
        <v>360</v>
      </c>
      <c r="AQ26" s="8">
        <f>AP26*10000/(_xlfn.XLOOKUP(E26,Groups!A:A,Groups!J:J)*AO26)</f>
        <v>12.559284258598639</v>
      </c>
      <c r="AR26" s="8">
        <f t="shared" si="11"/>
        <v>66268.838703367117</v>
      </c>
      <c r="AS26" s="8">
        <f>IF(_xlfn.XLOOKUP(E26,Groups!A:A,Groups!M:M)=1,EXP(0.7444*LN('Base stats'!C26)+6.5696),EXP(0.7927*LN('Base stats'!C26)+4.28))</f>
        <v>56843.648100459453</v>
      </c>
      <c r="AT26" s="8" t="str">
        <f>IF(_xlfn.XLOOKUP(E26,Groups!A:A,Groups!N:N)="No","No",
IF(_xlfn.XLOOKUP(E26,Groups!A:A,Groups!N:N)="Crocodile",EXP(0.8129*LN(C26)+4.6742)*S26,
IF(_xlfn.XLOOKUP(E26,Groups!A:A,Groups!N:N)="Felid",EXP(0.7843*LN(C26)+4.7073)*S26,
IF(_xlfn.XLOOKUP(E26,Groups!A:A,Groups!N:N)="Canid",EXP(0.8367*LN(C26)+4.8763)*S26,
IF(_xlfn.XLOOKUP(E26,Groups!A:A,Groups!N:N)="Pig",EXP(0.3439*LN(C26)+6.8519)*S26,
IF(_xlfn.XLOOKUP(E26,Groups!A:A,Groups!N:N)="Rodent",EXP(0.5625*LN(C26)+4.3006)*S26,
IF(_xlfn.XLOOKUP(E26,Groups!A:A,Groups!N:N)="Primate",EXP(0.7847*LN(C26)+3.4931)*S26,
IF(_xlfn.XLOOKUP(E26,Groups!A:A,Groups!N:N)="MiscCarnivora",EXP(0.7486*LN(C26)+4.2207)*S26,
IF(_xlfn.XLOOKUP(E26,Groups!A:A,Groups!N:N)="Lizard",EXP(0.7733*LN(C26)+5.5303)*S26,
IF(_xlfn.XLOOKUP(E26,Groups!A:A,Groups!N:N)="Snake",50*C26^(2/3)*S26,
IF(_xlfn.XLOOKUP(E26,Groups!A:A,Groups!N:N)="StrongBitingHerbivore",87.1133638856975*C26^(2/3)*S26,
IF(_xlfn.XLOOKUP(E26,Groups!A:A,Groups!N:N)="MiscEctotherms",59.4316884072269*C26^(2/3)*S26,
IF(_xlfn.XLOOKUP(E26,Groups!A:A,Groups!N:N)="StrongBeakBird",0.041*(C26*1000)^1.375*S26,
IF(_xlfn.XLOOKUP(E26,Groups!A:A,Groups!N:N)="Bird",0.118*(C26*1000)^0.692*S26,
IF(_xlfn.XLOOKUP(E26,Groups!A:A,Groups!N:N)="Insect",EXP(0.7444*LN(C26)+6.5696)*S26,
IF(_xlfn.XLOOKUP(E26,Groups!A:A,Groups!N:N)="Theropod",EXP(0.6966*LN(C26)+4.158)*S26,
"No"))))))))))))))))</f>
        <v>No</v>
      </c>
      <c r="AU26" s="8">
        <f>IF(_xlfn.XLOOKUP(E26,Groups!A:A,Groups!U:U)=3,AS26,IF(_xlfn.XLOOKUP(E26,Groups!A:A,Groups!U:U)=2,AR26,AT26))</f>
        <v>56843.648100459453</v>
      </c>
      <c r="AV26" s="46">
        <f>IFERROR(AVERAGE(_xlfn.XLOOKUP(B26,Animals!B:B,Animals!N:N),_xlfn.XLOOKUP(B26,Animals!B:B,Animals!O:O)),0)</f>
        <v>0</v>
      </c>
      <c r="AW26" s="8">
        <f>MROUND(40*Animals!AO26*_xlfn.XLOOKUP(AG26,Leathers!$A$2:$A$99,Leathers!$B$2:$B$99,0)+(140*_xlfn.XLOOKUP(B26,Animals!B:B,Animals!AO:AO)*2),5)</f>
        <v>2000</v>
      </c>
      <c r="AX26" s="8">
        <f>IFERROR(ROUND(SQRT(V26-1)*IF(_xlfn.XLOOKUP(E26,Groups!A:A,Groups!BF:BF)=0,2,1)*IF(_xlfn.XLOOKUP('Base stats'!E26,Groups!A:A,Groups!O:O)=0,1,0.1),1),0)</f>
        <v>0</v>
      </c>
      <c r="AY26" s="8">
        <f t="shared" si="12"/>
        <v>0</v>
      </c>
      <c r="AZ26" s="8">
        <f t="shared" si="13"/>
        <v>12.6</v>
      </c>
      <c r="BA26" s="8">
        <f t="shared" si="14"/>
        <v>16.3</v>
      </c>
      <c r="BB26" s="8">
        <f>IF(_xlfn.XLOOKUP(E26,Groups!A:A,Groups!N:N)="Insect",BD26*2.5,IFERROR(AVERAGE(BD26,AT26/9.81/IF(OR(_xlfn.XLOOKUP(E26,Groups!A:A,Groups!N:N)="Pig",_xlfn.XLOOKUP(E26,Groups!A:A,Groups!N:N)="StrongBitingHerbivore"),20,25))*C26^-0.135,BD26))</f>
        <v>22.274517350066827</v>
      </c>
      <c r="BC26" s="8">
        <f>IF(W26="No","No",IF(_xlfn.XLOOKUP(E26,Groups!A:A,Groups!U:U)=1,'Base stats'!BB26,IF(OR(_xlfn.XLOOKUP(E26,Groups!A:A,Groups!BD:BD)=1,_xlfn.XLOOKUP(E26,Groups!A:A,Groups!U:U)=2),BD26,IF(_xlfn.XLOOKUP(B26,Animals!B:B,Animals!AO:AO)&gt;4,AVERAGE(BD26,BF26),BF26))))</f>
        <v>29.066535189734225</v>
      </c>
      <c r="BD26" s="8">
        <f t="shared" si="15"/>
        <v>22.274517350066827</v>
      </c>
      <c r="BE26" s="8">
        <f>IF(_xlfn.XLOOKUP(E26,Groups!A:A,Groups!BE:BE)=1,(0.048*C26^1.01)+(0.071*C26^1.03),0.071*C26^1.03)/IF(_xlfn.XLOOKUP(E26,Groups!A:A,Groups!M:M)=1,0.85,IF(OR(_xlfn.XLOOKUP(B26,Animals!B:B,Animals!AO:AO)&gt;4,_xlfn.XLOOKUP(E26,Groups!A:A,Groups!BC:BC)=1),1.7,1))*C26^-0.25</f>
        <v>29.533518364547621</v>
      </c>
      <c r="BF26" s="8">
        <f>(0.048*C26^1.01)/IF(_xlfn.XLOOKUP(E26,Groups!A:A,Groups!M:M)=1,0.25,0.8)*C26^-0.25</f>
        <v>35.858553029401619</v>
      </c>
      <c r="BG26" s="8">
        <f>EXP(1.076*LN(AR26)-4.5397)*IF(_xlfn.XLOOKUP(E26,Groups!A:A,Groups!BC:BC)=1,1.25,IF(_xlfn.XLOOKUP(E26,Groups!A:A,Groups!BD:BD)=1,3.5,2.5))</f>
        <v>2056.2325274309005</v>
      </c>
      <c r="BH26" s="8">
        <f>EXP(1.076*LN(AS26)-4.5397)*IF(_xlfn.XLOOKUP(E26,Groups!A:A,Groups!M:M)=1,0.8,IF(_xlfn.XLOOKUP(E26,Groups!A:A,Groups!BC:BC)=1,1.3,3))</f>
        <v>1813.0695438509977</v>
      </c>
      <c r="BI26" s="8">
        <f>IF(W26="No","No",IF(_xlfn.XLOOKUP(E26,Groups!A:A,Groups!U:U)=1,'Base stats'!BJ26,IF(OR(_xlfn.XLOOKUP(E26,Groups!A:A,Groups!BD:BD)=1,_xlfn.XLOOKUP(E26,Groups!A:A,Groups!U:U)=2),BG26,BH26))*1.2)</f>
        <v>2175.6834526211969</v>
      </c>
      <c r="BJ26" s="8" t="str">
        <f>IFERROR(EXP(1.076*LN(AT26)-4.5397)*IF(_xlfn.XLOOKUP(E26,Groups!A:A,Groups!N:N)="Insect",1,IF(OR(_xlfn.XLOOKUP(E26,Groups!A:A,Groups!N:N)="Pig",_xlfn.XLOOKUP(E26,Groups!A:A,Groups!N:N)="StrongBitingHerbivore"),3.5,3.75)),"No")</f>
        <v>No</v>
      </c>
      <c r="BK26" s="8">
        <f t="shared" si="16"/>
        <v>13</v>
      </c>
      <c r="BL26" s="8">
        <f t="shared" si="17"/>
        <v>11</v>
      </c>
      <c r="BM26" s="8">
        <f t="shared" si="18"/>
        <v>12</v>
      </c>
      <c r="BN26" s="8" t="str">
        <f t="shared" si="19"/>
        <v>No</v>
      </c>
      <c r="BO26" s="8">
        <f t="shared" si="20"/>
        <v>10</v>
      </c>
      <c r="BP26" s="8" cm="1">
        <f t="array" ref="BP26">IF(AND(_xlfn.XLOOKUP('Base stats'!E26,Groups!A:A,Groups!AD:AD=0),_xlfn.XLOOKUP('Base stats'!E26,Groups!A:A,Groups!P:P=0)),"No",IF(U26="No",AVERAGE(EXP(-0.57+0.99*LN(C26)),EXP(0.32+0.67*LN(C26)))/IF(_xlfn.XLOOKUP(E26,Groups!A:A,Groups!AD:AD)=1,10,2),(0.7354*C26^0.4078)*2/IF(_xlfn.XLOOKUP(E26,Groups!A:A,Groups!BK:BK)=1,1000,100)/IF(_xlfn.XLOOKUP(E26,Groups!A:A,Groups!AJ:AJ)="Photonozoa",3,1)))</f>
        <v>681.39650893914984</v>
      </c>
      <c r="BQ26" s="8">
        <f>IF(W26="No","No",IF(_xlfn.XLOOKUP(E26,Groups!A:A,Groups!BD:BD)=1,(AO26*5%),EXP(0.7354*LN(C26)^0.4078)*2/IF(_xlfn.XLOOKUP(E26,Groups!A:A,Groups!BL:BL)=1,1000,100)/IF(_xlfn.XLOOKUP(E26,Groups!A:A,Groups!AJ:AJ)="Photonozoa",3,1)))</f>
        <v>0.11539690490306942</v>
      </c>
      <c r="BR26" s="8" t="str">
        <f>IF(BJ26="No","No",IF(_xlfn.XLOOKUP(E26,Groups!A:A,Groups!BF:BF)=1,(0.0315*C26+2.1825)*2,(0.7354*C26^0.4078)*2)/IF(_xlfn.XLOOKUP(E26,Groups!A:A,Groups!BM:BM)=1,1000,100)/IF(_xlfn.XLOOKUP(E26,Groups!A:A,Groups!AJ:AJ)="Photonozoa",3,1))</f>
        <v>No</v>
      </c>
      <c r="BS26" s="8">
        <f t="shared" si="21"/>
        <v>0.15638356448345406</v>
      </c>
      <c r="BT26" s="8">
        <f t="shared" si="22"/>
        <v>2.6608142543520259</v>
      </c>
      <c r="BU26" s="8">
        <f t="shared" si="23"/>
        <v>18853.91514138718</v>
      </c>
      <c r="BV26" s="8" t="str">
        <f t="shared" si="24"/>
        <v>No</v>
      </c>
      <c r="BW26" s="4">
        <v>0</v>
      </c>
      <c r="BX26" s="4">
        <v>1</v>
      </c>
    </row>
    <row r="27" spans="1:76" x14ac:dyDescent="0.25">
      <c r="A27" s="26" t="s">
        <v>114</v>
      </c>
      <c r="B27" s="6" t="s">
        <v>115</v>
      </c>
      <c r="C27" s="7">
        <v>6000</v>
      </c>
      <c r="D27" s="7" t="s">
        <v>528</v>
      </c>
      <c r="E27" s="7" t="str">
        <f>Groups!$A$61</f>
        <v>Thrumbo</v>
      </c>
      <c r="F27" s="7">
        <f>670</f>
        <v>670</v>
      </c>
      <c r="G27" s="7">
        <v>12</v>
      </c>
      <c r="H27" s="7">
        <v>265</v>
      </c>
      <c r="I27" s="4">
        <v>1</v>
      </c>
      <c r="J27" s="7">
        <v>1</v>
      </c>
      <c r="K27" s="7" t="s">
        <v>528</v>
      </c>
      <c r="L27" s="7">
        <v>35</v>
      </c>
      <c r="M27" s="7" t="s">
        <v>626</v>
      </c>
      <c r="N27" s="4">
        <v>0</v>
      </c>
      <c r="O27" s="4">
        <v>0</v>
      </c>
      <c r="P27" s="4">
        <v>0</v>
      </c>
      <c r="Q27" s="4">
        <v>0</v>
      </c>
      <c r="R27" s="4">
        <v>1</v>
      </c>
      <c r="S27" s="7">
        <f>_xlfn.XLOOKUP(B27,[1]TeethAdjusters!$A:$A,[1]BiteAdjusters!$C:$C,1)</f>
        <v>1</v>
      </c>
      <c r="T27" s="7">
        <f>_xlfn.XLOOKUP(B27,[1]TeethAdjusters!$A:$A,[1]TeethAdjusters!$B:$B,1)</f>
        <v>1</v>
      </c>
      <c r="U27" s="7" t="s">
        <v>45</v>
      </c>
      <c r="V27" s="7" t="str">
        <f>IF(AT27="No","No",IF(_xlfn.XLOOKUP(E27,Groups!A:A,Groups!AM:AM)=1,MROUND(EXP(0.3582*LN(C27)-0.2221)*T27,0.05),IF(_xlfn.XLOOKUP(E27,Groups!A:A,Groups!AM:AM)=2,MROUND(EXP(0.3582*LN(C27)-0.2221)*T27,0.05),"Need a formula")))</f>
        <v>No</v>
      </c>
      <c r="W27" s="7">
        <v>80</v>
      </c>
      <c r="X27" s="7" t="s">
        <v>932</v>
      </c>
      <c r="Y27" s="4" t="s">
        <v>1002</v>
      </c>
      <c r="Z27" s="4">
        <v>1</v>
      </c>
      <c r="AA27" s="4">
        <v>0</v>
      </c>
      <c r="AB27" s="4">
        <v>0</v>
      </c>
      <c r="AC27" s="4">
        <v>0</v>
      </c>
      <c r="AD27" s="4">
        <v>0</v>
      </c>
      <c r="AE27" s="4" t="s">
        <v>1049</v>
      </c>
      <c r="AF27" s="4" t="s">
        <v>400</v>
      </c>
      <c r="AG27" s="49" t="s">
        <v>395</v>
      </c>
      <c r="AH27" s="4" t="s">
        <v>45</v>
      </c>
      <c r="AI27" s="4">
        <v>0</v>
      </c>
      <c r="AJ27" s="4">
        <v>0</v>
      </c>
      <c r="AK27" s="4">
        <v>0</v>
      </c>
      <c r="AL27" s="4">
        <v>0</v>
      </c>
      <c r="AM27" s="4">
        <v>1</v>
      </c>
      <c r="AN27" s="44" t="s">
        <v>40</v>
      </c>
      <c r="AO27" s="8">
        <f t="shared" si="10"/>
        <v>317045.27964091528</v>
      </c>
      <c r="AP27" s="8">
        <f>IFERROR(C27*_xlfn.XLOOKUP(E27,Groups!A:A,Groups!K:K),0.106*C27^0.94)</f>
        <v>377.37058112331027</v>
      </c>
      <c r="AQ27" s="8">
        <f>AP27*10000/(_xlfn.XLOOKUP(E27,Groups!A:A,Groups!J:J)*AO27)</f>
        <v>9.1559496716469813</v>
      </c>
      <c r="AR27" s="8">
        <f t="shared" si="11"/>
        <v>84497.743412668031</v>
      </c>
      <c r="AS27" s="8">
        <f>IF(_xlfn.XLOOKUP(E27,Groups!A:A,Groups!M:M)=1,EXP(0.7444*LN('Base stats'!C27)+6.5696),EXP(0.7927*LN('Base stats'!C27)+4.28))</f>
        <v>71403.726647358781</v>
      </c>
      <c r="AT27" s="8" t="str">
        <f>IF(_xlfn.XLOOKUP(E27,Groups!A:A,Groups!N:N)="No","No",
IF(_xlfn.XLOOKUP(E27,Groups!A:A,Groups!N:N)="Crocodile",EXP(0.8129*LN(C27)+4.6742)*S27,
IF(_xlfn.XLOOKUP(E27,Groups!A:A,Groups!N:N)="Felid",EXP(0.7843*LN(C27)+4.7073)*S27,
IF(_xlfn.XLOOKUP(E27,Groups!A:A,Groups!N:N)="Canid",EXP(0.8367*LN(C27)+4.8763)*S27,
IF(_xlfn.XLOOKUP(E27,Groups!A:A,Groups!N:N)="Pig",EXP(0.3439*LN(C27)+6.8519)*S27,
IF(_xlfn.XLOOKUP(E27,Groups!A:A,Groups!N:N)="Rodent",EXP(0.5625*LN(C27)+4.3006)*S27,
IF(_xlfn.XLOOKUP(E27,Groups!A:A,Groups!N:N)="Primate",EXP(0.7847*LN(C27)+3.4931)*S27,
IF(_xlfn.XLOOKUP(E27,Groups!A:A,Groups!N:N)="MiscCarnivora",EXP(0.7486*LN(C27)+4.2207)*S27,
IF(_xlfn.XLOOKUP(E27,Groups!A:A,Groups!N:N)="Lizard",EXP(0.7733*LN(C27)+5.5303)*S27,
IF(_xlfn.XLOOKUP(E27,Groups!A:A,Groups!N:N)="Snake",50*C27^(2/3)*S27,
IF(_xlfn.XLOOKUP(E27,Groups!A:A,Groups!N:N)="StrongBitingHerbivore",87.1133638856975*C27^(2/3)*S27,
IF(_xlfn.XLOOKUP(E27,Groups!A:A,Groups!N:N)="MiscEctotherms",59.4316884072269*C27^(2/3)*S27,
IF(_xlfn.XLOOKUP(E27,Groups!A:A,Groups!N:N)="StrongBeakBird",0.041*(C27*1000)^1.375*S27,
IF(_xlfn.XLOOKUP(E27,Groups!A:A,Groups!N:N)="Bird",0.118*(C27*1000)^0.692*S27,
IF(_xlfn.XLOOKUP(E27,Groups!A:A,Groups!N:N)="Insect",EXP(0.7444*LN(C27)+6.5696)*S27,
IF(_xlfn.XLOOKUP(E27,Groups!A:A,Groups!N:N)="Theropod",EXP(0.6966*LN(C27)+4.158)*S27,
"No"))))))))))))))))</f>
        <v>No</v>
      </c>
      <c r="AU27" s="8">
        <f>IF(_xlfn.XLOOKUP(E27,Groups!A:A,Groups!U:U)=3,AS27,IF(_xlfn.XLOOKUP(E27,Groups!A:A,Groups!U:U)=2,AR27,AT27))</f>
        <v>84497.743412668031</v>
      </c>
      <c r="AV27" s="46">
        <f>IFERROR(AVERAGE(_xlfn.XLOOKUP(B27,Animals!B:B,Animals!N:N),_xlfn.XLOOKUP(B27,Animals!B:B,Animals!O:O)),0)</f>
        <v>1</v>
      </c>
      <c r="AW27" s="8">
        <f>MROUND(40*Animals!AO27*_xlfn.XLOOKUP(AG27,Leathers!$A$2:$A$99,Leathers!$B$2:$B$99,0)+(140*_xlfn.XLOOKUP(B27,Animals!B:B,Animals!AO:AO)*2),5)</f>
        <v>4620</v>
      </c>
      <c r="AX27" s="8">
        <f>IFERROR(ROUND(SQRT(V27-1)*IF(_xlfn.XLOOKUP(E27,Groups!A:A,Groups!BF:BF)=0,2,1)*IF(_xlfn.XLOOKUP('Base stats'!E27,Groups!A:A,Groups!O:O)=0,1,0.1),1),0)</f>
        <v>0</v>
      </c>
      <c r="AY27" s="8">
        <f t="shared" si="12"/>
        <v>0</v>
      </c>
      <c r="AZ27" s="8">
        <f t="shared" si="13"/>
        <v>8.9</v>
      </c>
      <c r="BA27" s="8">
        <f t="shared" si="14"/>
        <v>18.100000000000001</v>
      </c>
      <c r="BB27" s="8">
        <f>IF(_xlfn.XLOOKUP(E27,Groups!A:A,Groups!N:N)="Insect",BD27*2.5,IFERROR(AVERAGE(BD27,AT27/9.81/IF(OR(_xlfn.XLOOKUP(E27,Groups!A:A,Groups!N:N)="Pig",_xlfn.XLOOKUP(E27,Groups!A:A,Groups!N:N)="StrongBitingHerbivore"),20,25))*C27^-0.135,BD27))</f>
        <v>27.670187995209911</v>
      </c>
      <c r="BC27" s="8">
        <f>IF(W27="No","No",IF(_xlfn.XLOOKUP(E27,Groups!A:A,Groups!U:U)=1,'Base stats'!BB27,IF(OR(_xlfn.XLOOKUP(E27,Groups!A:A,Groups!BD:BD)=1,_xlfn.XLOOKUP(E27,Groups!A:A,Groups!U:U)=2),BD27,IF(_xlfn.XLOOKUP(B27,Animals!B:B,Animals!AO:AO)&gt;4,AVERAGE(BD27,BF27),BF27))))</f>
        <v>27.670187995209911</v>
      </c>
      <c r="BD27" s="8">
        <f t="shared" si="15"/>
        <v>27.670187995209911</v>
      </c>
      <c r="BE27" s="8">
        <f>IF(_xlfn.XLOOKUP(E27,Groups!A:A,Groups!BE:BE)=1,(0.048*C27^1.01)+(0.071*C27^1.03),0.071*C27^1.03)/IF(_xlfn.XLOOKUP(E27,Groups!A:A,Groups!M:M)=1,0.85,IF(OR(_xlfn.XLOOKUP(B27,Animals!B:B,Animals!AO:AO)&gt;4,_xlfn.XLOOKUP(E27,Groups!A:A,Groups!BC:BC)=1),1.7,1))*C27^-0.25</f>
        <v>36.963016200528486</v>
      </c>
      <c r="BF27" s="8">
        <f>(0.048*C27^1.01)/IF(_xlfn.XLOOKUP(E27,Groups!A:A,Groups!M:M)=1,0.25,0.8)*C27^-0.25</f>
        <v>44.621709107028508</v>
      </c>
      <c r="BG27" s="8">
        <f>EXP(1.076*LN(AR27)-4.5397)*IF(_xlfn.XLOOKUP(E27,Groups!A:A,Groups!BC:BC)=1,1.25,IF(_xlfn.XLOOKUP(E27,Groups!A:A,Groups!BD:BD)=1,3.5,2.5))</f>
        <v>2670.7220547406591</v>
      </c>
      <c r="BH27" s="8">
        <f>EXP(1.076*LN(AS27)-4.5397)*IF(_xlfn.XLOOKUP(E27,Groups!A:A,Groups!M:M)=1,0.8,IF(_xlfn.XLOOKUP(E27,Groups!A:A,Groups!BC:BC)=1,1.3,3))</f>
        <v>2317.2898443594122</v>
      </c>
      <c r="BI27" s="8">
        <f>IF(W27="No","No",IF(_xlfn.XLOOKUP(E27,Groups!A:A,Groups!U:U)=1,'Base stats'!BJ27,IF(OR(_xlfn.XLOOKUP(E27,Groups!A:A,Groups!BD:BD)=1,_xlfn.XLOOKUP(E27,Groups!A:A,Groups!U:U)=2),BG27,BH27))*1.2)</f>
        <v>3204.8664656887909</v>
      </c>
      <c r="BJ27" s="8" t="str">
        <f>IFERROR(EXP(1.076*LN(AT27)-4.5397)*IF(_xlfn.XLOOKUP(E27,Groups!A:A,Groups!N:N)="Insect",1,IF(OR(_xlfn.XLOOKUP(E27,Groups!A:A,Groups!N:N)="Pig",_xlfn.XLOOKUP(E27,Groups!A:A,Groups!N:N)="StrongBitingHerbivore"),3.5,3.75)),"No")</f>
        <v>No</v>
      </c>
      <c r="BK27" s="8">
        <f t="shared" si="16"/>
        <v>13</v>
      </c>
      <c r="BL27" s="8">
        <f t="shared" si="17"/>
        <v>11</v>
      </c>
      <c r="BM27" s="8">
        <f t="shared" si="18"/>
        <v>15</v>
      </c>
      <c r="BN27" s="8" t="str">
        <f t="shared" si="19"/>
        <v>No</v>
      </c>
      <c r="BO27" s="8">
        <f t="shared" si="20"/>
        <v>10</v>
      </c>
      <c r="BP27" s="8" cm="1">
        <f t="array" ref="BP27">IF(AND(_xlfn.XLOOKUP('Base stats'!E27,Groups!A:A,Groups!AD:AD=0),_xlfn.XLOOKUP('Base stats'!E27,Groups!A:A,Groups!P:P=0)),"No",IF(U27="No",AVERAGE(EXP(-0.57+0.99*LN(C27)),EXP(0.32+0.67*LN(C27)))/IF(_xlfn.XLOOKUP(E27,Groups!A:A,Groups!AD:AD)=1,10,2),(0.7354*C27^0.4078)*2/IF(_xlfn.XLOOKUP(E27,Groups!A:A,Groups!BK:BK)=1,1000,100)/IF(_xlfn.XLOOKUP(E27,Groups!A:A,Groups!AJ:AJ)="Photonozoa",3,1)))</f>
        <v>894.63427132503762</v>
      </c>
      <c r="BQ27" s="8">
        <f>IF(W27="No","No",IF(_xlfn.XLOOKUP(E27,Groups!A:A,Groups!BD:BD)=1,(AO27*5%),EXP(0.7354*LN(C27)^0.4078)*2/IF(_xlfn.XLOOKUP(E27,Groups!A:A,Groups!BL:BL)=1,1000,100)/IF(_xlfn.XLOOKUP(E27,Groups!A:A,Groups!AJ:AJ)="Photonozoa",3,1)))</f>
        <v>1.1822361841876084E-2</v>
      </c>
      <c r="BR27" s="8" t="str">
        <f>IF(BJ27="No","No",IF(_xlfn.XLOOKUP(E27,Groups!A:A,Groups!BF:BF)=1,(0.0315*C27+2.1825)*2,(0.7354*C27^0.4078)*2)/IF(_xlfn.XLOOKUP(E27,Groups!A:A,Groups!BM:BM)=1,1000,100)/IF(_xlfn.XLOOKUP(E27,Groups!A:A,Groups!AJ:AJ)="Photonozoa",3,1))</f>
        <v>No</v>
      </c>
      <c r="BS27" s="8">
        <f t="shared" si="21"/>
        <v>0.16847574944282484</v>
      </c>
      <c r="BT27" s="8">
        <f t="shared" si="22"/>
        <v>2.5902091152033417</v>
      </c>
      <c r="BU27" s="8">
        <f t="shared" si="23"/>
        <v>271085.12736742728</v>
      </c>
      <c r="BV27" s="8" t="str">
        <f t="shared" si="24"/>
        <v>No</v>
      </c>
      <c r="BW27" s="4">
        <v>0</v>
      </c>
      <c r="BX27" s="4">
        <v>1</v>
      </c>
    </row>
    <row r="28" spans="1:76" x14ac:dyDescent="0.25">
      <c r="A28" s="26" t="s">
        <v>164</v>
      </c>
      <c r="B28" s="6" t="s">
        <v>165</v>
      </c>
      <c r="C28" s="7">
        <f>3705.7</f>
        <v>3705.7</v>
      </c>
      <c r="D28" s="7" t="s">
        <v>1137</v>
      </c>
      <c r="E28" s="7" t="str">
        <f>Groups!$A$57</f>
        <v>GroundSloth</v>
      </c>
      <c r="F28" s="7">
        <f>ROUND(7.545*(C28*1000)^0.2689,0)</f>
        <v>441</v>
      </c>
      <c r="G28" s="7">
        <v>10</v>
      </c>
      <c r="H28" s="7">
        <v>80</v>
      </c>
      <c r="I28" s="4">
        <v>1</v>
      </c>
      <c r="J28" s="7">
        <v>1</v>
      </c>
      <c r="K28" s="7" t="s">
        <v>528</v>
      </c>
      <c r="L28" s="7">
        <v>26</v>
      </c>
      <c r="M28" s="7" t="s">
        <v>626</v>
      </c>
      <c r="N28" s="4">
        <v>0</v>
      </c>
      <c r="O28" s="4">
        <v>0</v>
      </c>
      <c r="P28" s="4">
        <v>0</v>
      </c>
      <c r="Q28" s="4">
        <v>0</v>
      </c>
      <c r="R28" s="4" t="s">
        <v>40</v>
      </c>
      <c r="S28" s="7">
        <f>_xlfn.XLOOKUP(B28,[1]TeethAdjusters!$A:$A,[1]BiteAdjusters!$C:$C,1)</f>
        <v>1</v>
      </c>
      <c r="T28" s="7">
        <f>_xlfn.XLOOKUP(B28,[1]TeethAdjusters!$A:$A,[1]TeethAdjusters!$B:$B,1)</f>
        <v>1</v>
      </c>
      <c r="U28" s="7">
        <f>MROUND(17.78,0.05)</f>
        <v>17.8</v>
      </c>
      <c r="V28" s="7">
        <v>2</v>
      </c>
      <c r="W28" s="7" t="s">
        <v>45</v>
      </c>
      <c r="X28" s="7" t="s">
        <v>932</v>
      </c>
      <c r="Y28" s="4" t="s">
        <v>42</v>
      </c>
      <c r="Z28" s="4">
        <v>1</v>
      </c>
      <c r="AA28" s="4">
        <v>0</v>
      </c>
      <c r="AB28" s="4">
        <v>0</v>
      </c>
      <c r="AC28" s="4">
        <v>0</v>
      </c>
      <c r="AD28" s="4">
        <v>0</v>
      </c>
      <c r="AE28" s="4" t="s">
        <v>1044</v>
      </c>
      <c r="AF28" s="4" t="s">
        <v>45</v>
      </c>
      <c r="AG28" s="49" t="s">
        <v>382</v>
      </c>
      <c r="AH28" s="4" t="s">
        <v>45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4" t="s">
        <v>40</v>
      </c>
      <c r="AO28" s="8">
        <f t="shared" si="10"/>
        <v>231786.77140336935</v>
      </c>
      <c r="AP28" s="8">
        <f>IFERROR(C28*_xlfn.XLOOKUP(E28,Groups!A:A,Groups!K:K),0.106*C28^0.94)</f>
        <v>239.90754540941262</v>
      </c>
      <c r="AQ28" s="8">
        <f>AP28*10000/(_xlfn.XLOOKUP(E28,Groups!A:A,Groups!J:J)*AO28)</f>
        <v>5.564707188182016</v>
      </c>
      <c r="AR28" s="8">
        <f t="shared" si="11"/>
        <v>56242.608680039491</v>
      </c>
      <c r="AS28" s="8">
        <f>IF(_xlfn.XLOOKUP(E28,Groups!A:A,Groups!M:M)=1,EXP(0.7444*LN('Base stats'!C28)+6.5696),EXP(0.7927*LN('Base stats'!C28)+4.28))</f>
        <v>48733.077238581551</v>
      </c>
      <c r="AT28" s="8">
        <f>IF(_xlfn.XLOOKUP(E28,Groups!A:A,Groups!N:N)="No","No",
IF(_xlfn.XLOOKUP(E28,Groups!A:A,Groups!N:N)="Crocodile",EXP(0.8129*LN(C28)+4.6742)*S28,
IF(_xlfn.XLOOKUP(E28,Groups!A:A,Groups!N:N)="Felid",EXP(0.7843*LN(C28)+4.7073)*S28,
IF(_xlfn.XLOOKUP(E28,Groups!A:A,Groups!N:N)="Canid",EXP(0.8367*LN(C28)+4.8763)*S28,
IF(_xlfn.XLOOKUP(E28,Groups!A:A,Groups!N:N)="Pig",EXP(0.3439*LN(C28)+6.8519)*S28,
IF(_xlfn.XLOOKUP(E28,Groups!A:A,Groups!N:N)="Rodent",EXP(0.5625*LN(C28)+4.3006)*S28,
IF(_xlfn.XLOOKUP(E28,Groups!A:A,Groups!N:N)="Primate",EXP(0.7847*LN(C28)+3.4931)*S28,
IF(_xlfn.XLOOKUP(E28,Groups!A:A,Groups!N:N)="MiscCarnivora",EXP(0.7486*LN(C28)+4.2207)*S28,
IF(_xlfn.XLOOKUP(E28,Groups!A:A,Groups!N:N)="Lizard",EXP(0.7733*LN(C28)+5.5303)*S28,
IF(_xlfn.XLOOKUP(E28,Groups!A:A,Groups!N:N)="Snake",50*C28^(2/3)*S28,
IF(_xlfn.XLOOKUP(E28,Groups!A:A,Groups!N:N)="StrongBitingHerbivore",87.1133638856975*C28^(2/3)*S28,
IF(_xlfn.XLOOKUP(E28,Groups!A:A,Groups!N:N)="MiscEctotherms",59.4316884072269*C28^(2/3)*S28,
IF(_xlfn.XLOOKUP(E28,Groups!A:A,Groups!N:N)="StrongBeakBird",0.041*(C28*1000)^1.375*S28,
IF(_xlfn.XLOOKUP(E28,Groups!A:A,Groups!N:N)="Bird",0.118*(C28*1000)^0.692*S28,
IF(_xlfn.XLOOKUP(E28,Groups!A:A,Groups!N:N)="Insect",EXP(0.7444*LN(C28)+6.5696)*S28,
IF(_xlfn.XLOOKUP(E28,Groups!A:A,Groups!N:N)="Theropod",EXP(0.6966*LN(C28)+4.158)*S28,
"No"))))))))))))))))</f>
        <v>20860.831862547027</v>
      </c>
      <c r="AU28" s="8">
        <f>IF(_xlfn.XLOOKUP(E28,Groups!A:A,Groups!U:U)=3,AS28,IF(_xlfn.XLOOKUP(E28,Groups!A:A,Groups!U:U)=2,AR28,AT28))</f>
        <v>20860.831862547027</v>
      </c>
      <c r="AV28" s="46">
        <f>IFERROR(AVERAGE(_xlfn.XLOOKUP(B28,Animals!B:B,Animals!N:N),_xlfn.XLOOKUP(B28,Animals!B:B,Animals!O:O)),0)</f>
        <v>0.22500000000000001</v>
      </c>
      <c r="AW28" s="8">
        <f>MROUND(40*Animals!AO28*_xlfn.XLOOKUP(AG28,Leathers!$A$2:$A$99,Leathers!$B$2:$B$99,0)+(140*_xlfn.XLOOKUP(B28,Animals!B:B,Animals!AO:AO)*2),5)</f>
        <v>1955</v>
      </c>
      <c r="AX28" s="8">
        <f>IFERROR(ROUND(SQRT(V28-1)*IF(_xlfn.XLOOKUP(E28,Groups!A:A,Groups!BF:BF)=0,2,1)*IF(_xlfn.XLOOKUP('Base stats'!E28,Groups!A:A,Groups!O:O)=0,1,0.1),1),0)</f>
        <v>1</v>
      </c>
      <c r="AY28" s="8">
        <f t="shared" si="12"/>
        <v>4.0999999999999996</v>
      </c>
      <c r="AZ28" s="8">
        <f t="shared" si="13"/>
        <v>0</v>
      </c>
      <c r="BA28" s="8">
        <f t="shared" si="14"/>
        <v>15.2</v>
      </c>
      <c r="BB28" s="8">
        <f>IF(_xlfn.XLOOKUP(E28,Groups!A:A,Groups!N:N)="Insect",BD28*2.5,IFERROR(AVERAGE(BD28,AT28/9.81/IF(OR(_xlfn.XLOOKUP(E28,Groups!A:A,Groups!N:N)="Pig",_xlfn.XLOOKUP(E28,Groups!A:A,Groups!N:N)="StrongBitingHerbivore"),20,25))*C28^-0.135,BD28))</f>
        <v>20.703328788011245</v>
      </c>
      <c r="BC28" s="8" t="str">
        <f>IF(W28="No","No",IF(_xlfn.XLOOKUP(E28,Groups!A:A,Groups!U:U)=1,'Base stats'!BB28,IF(OR(_xlfn.XLOOKUP(E28,Groups!A:A,Groups!BD:BD)=1,_xlfn.XLOOKUP(E28,Groups!A:A,Groups!U:U)=2),BD28,IF(_xlfn.XLOOKUP(B28,Animals!B:B,Animals!AO:AO)&gt;4,AVERAGE(BD28,BF28),BF28))))</f>
        <v>No</v>
      </c>
      <c r="BD28" s="8">
        <f t="shared" si="15"/>
        <v>19.240406405231251</v>
      </c>
      <c r="BE28" s="8">
        <f>IF(_xlfn.XLOOKUP(E28,Groups!A:A,Groups!BE:BE)=1,(0.048*C28^1.01)+(0.071*C28^1.03),0.071*C28^1.03)/IF(_xlfn.XLOOKUP(E28,Groups!A:A,Groups!M:M)=1,0.85,IF(OR(_xlfn.XLOOKUP(B28,Animals!B:B,Animals!AO:AO)&gt;4,_xlfn.XLOOKUP(E28,Groups!A:A,Groups!BC:BC)=1),1.7,1))*C28^-0.25</f>
        <v>25.382139589706725</v>
      </c>
      <c r="BF28" s="8">
        <f>(0.048*C28^1.01)/IF(_xlfn.XLOOKUP(E28,Groups!A:A,Groups!M:M)=1,0.25,0.8)*C28^-0.25</f>
        <v>30.938029276063094</v>
      </c>
      <c r="BG28" s="8">
        <f>EXP(1.076*LN(AR28)-4.5397)*IF(_xlfn.XLOOKUP(E28,Groups!A:A,Groups!BC:BC)=1,1.25,IF(_xlfn.XLOOKUP(E28,Groups!A:A,Groups!BD:BD)=1,3.5,2.5))</f>
        <v>1723.5099079485713</v>
      </c>
      <c r="BH28" s="8">
        <f>EXP(1.076*LN(AS28)-4.5397)*IF(_xlfn.XLOOKUP(E28,Groups!A:A,Groups!M:M)=1,0.8,IF(_xlfn.XLOOKUP(E28,Groups!A:A,Groups!BC:BC)=1,1.3,3))</f>
        <v>1536.2968496689477</v>
      </c>
      <c r="BI28" s="8" t="str">
        <f>IF(W28="No","No",IF(_xlfn.XLOOKUP(E28,Groups!A:A,Groups!U:U)=1,'Base stats'!BJ28,IF(OR(_xlfn.XLOOKUP(E28,Groups!A:A,Groups!BD:BD)=1,_xlfn.XLOOKUP(E28,Groups!A:A,Groups!U:U)=2),BG28,BH28))*1.2)</f>
        <v>No</v>
      </c>
      <c r="BJ28" s="8">
        <f>IFERROR(EXP(1.076*LN(AT28)-4.5397)*IF(_xlfn.XLOOKUP(E28,Groups!A:A,Groups!N:N)="Insect",1,IF(OR(_xlfn.XLOOKUP(E28,Groups!A:A,Groups!N:N)="Pig",_xlfn.XLOOKUP(E28,Groups!A:A,Groups!N:N)="StrongBitingHerbivore"),3.5,3.75)),"No")</f>
        <v>1659.9775359153502</v>
      </c>
      <c r="BK28" s="8">
        <f t="shared" si="16"/>
        <v>13</v>
      </c>
      <c r="BL28" s="8">
        <f t="shared" si="17"/>
        <v>11</v>
      </c>
      <c r="BM28" s="8" t="str">
        <f t="shared" si="18"/>
        <v>No</v>
      </c>
      <c r="BN28" s="8">
        <f t="shared" si="19"/>
        <v>12</v>
      </c>
      <c r="BO28" s="8">
        <f t="shared" si="20"/>
        <v>9</v>
      </c>
      <c r="BP28" s="8" cm="1">
        <f t="array" ref="BP28">IF(AND(_xlfn.XLOOKUP('Base stats'!E28,Groups!A:A,Groups!AD:AD=0),_xlfn.XLOOKUP('Base stats'!E28,Groups!A:A,Groups!P:P=0)),"No",IF(U28="No",AVERAGE(EXP(-0.57+0.99*LN(C28)),EXP(0.32+0.67*LN(C28)))/IF(_xlfn.XLOOKUP(E28,Groups!A:A,Groups!AD:AD)=1,10,2),(0.7354*C28^0.4078)*2/IF(_xlfn.XLOOKUP(E28,Groups!A:A,Groups!BK:BK)=1,1000,100)/IF(_xlfn.XLOOKUP(E28,Groups!A:A,Groups!AJ:AJ)="Photonozoa",3,1)))</f>
        <v>0.41969994491094548</v>
      </c>
      <c r="BQ28" s="8" t="str">
        <f>IF(W28="No","No",IF(_xlfn.XLOOKUP(E28,Groups!A:A,Groups!BD:BD)=1,(AO28*5%),EXP(0.7354*LN(C28)^0.4078)*2/IF(_xlfn.XLOOKUP(E28,Groups!A:A,Groups!BL:BL)=1,1000,100)/IF(_xlfn.XLOOKUP(E28,Groups!A:A,Groups!AJ:AJ)="Photonozoa",3,1)))</f>
        <v>No</v>
      </c>
      <c r="BR28" s="8">
        <f>IF(BJ28="No","No",IF(_xlfn.XLOOKUP(E28,Groups!A:A,Groups!BF:BF)=1,(0.0315*C28+2.1825)*2,(0.7354*C28^0.4078)*2)/IF(_xlfn.XLOOKUP(E28,Groups!A:A,Groups!BM:BM)=1,1000,100)/IF(_xlfn.XLOOKUP(E28,Groups!A:A,Groups!AJ:AJ)="Photonozoa",3,1))</f>
        <v>2.378241</v>
      </c>
      <c r="BS28" s="8">
        <f t="shared" si="21"/>
        <v>0.14871512274091045</v>
      </c>
      <c r="BT28" s="8">
        <f t="shared" si="22"/>
        <v>3660.4647398629722</v>
      </c>
      <c r="BU28" s="8" t="str">
        <f t="shared" si="23"/>
        <v>No</v>
      </c>
      <c r="BV28" s="8">
        <f t="shared" si="24"/>
        <v>697.98541691752439</v>
      </c>
      <c r="BW28" s="4">
        <v>0</v>
      </c>
      <c r="BX28" s="4">
        <v>1</v>
      </c>
    </row>
    <row r="29" spans="1:76" x14ac:dyDescent="0.25">
      <c r="A29" s="26" t="s">
        <v>105</v>
      </c>
      <c r="B29" s="6" t="s">
        <v>106</v>
      </c>
      <c r="C29" s="7">
        <v>150</v>
      </c>
      <c r="D29" s="7" t="s">
        <v>1145</v>
      </c>
      <c r="E29" s="7" t="str">
        <f>Groups!$A$40</f>
        <v>Pig (TUSKS)</v>
      </c>
      <c r="F29" s="7">
        <v>115</v>
      </c>
      <c r="G29" s="7">
        <f>334/365</f>
        <v>0.91506849315068495</v>
      </c>
      <c r="H29" s="7">
        <v>27</v>
      </c>
      <c r="I29" s="4">
        <v>0</v>
      </c>
      <c r="J29" s="7">
        <v>7</v>
      </c>
      <c r="K29" s="7" t="s">
        <v>519</v>
      </c>
      <c r="L29" s="7">
        <f>AVERAGE(5.83,4.56)*3.6*(23.3/11)</f>
        <v>39.614236363636365</v>
      </c>
      <c r="M29" s="7" t="s">
        <v>630</v>
      </c>
      <c r="N29" s="4">
        <v>0</v>
      </c>
      <c r="O29" s="4">
        <v>0</v>
      </c>
      <c r="P29" s="4">
        <v>0</v>
      </c>
      <c r="Q29" s="4">
        <v>0</v>
      </c>
      <c r="R29" s="4">
        <v>0.8</v>
      </c>
      <c r="S29" s="7">
        <f>_xlfn.XLOOKUP(B29,[1]TeethAdjusters!$A:$A,[1]BiteAdjusters!$C:$C,1)</f>
        <v>1.1263193361005157</v>
      </c>
      <c r="T29" s="7">
        <f>_xlfn.XLOOKUP(B29,[1]TeethAdjusters!$A:$A,[1]TeethAdjusters!$B:$B,1)</f>
        <v>1</v>
      </c>
      <c r="U29" s="7" t="s">
        <v>45</v>
      </c>
      <c r="V29" s="7">
        <f>MROUND(AVERAGE(140/10,55/10),0.05)</f>
        <v>9.75</v>
      </c>
      <c r="W29" s="7">
        <f>MROUND(AVERAGE(230/10,100/10),0.05)</f>
        <v>16.5</v>
      </c>
      <c r="X29" s="7" t="s">
        <v>962</v>
      </c>
      <c r="Y29" s="4" t="s">
        <v>1003</v>
      </c>
      <c r="Z29" s="4">
        <v>1</v>
      </c>
      <c r="AA29" s="4">
        <v>0</v>
      </c>
      <c r="AB29" s="4">
        <v>0</v>
      </c>
      <c r="AC29" s="4">
        <v>0</v>
      </c>
      <c r="AD29" s="4">
        <v>0</v>
      </c>
      <c r="AE29" s="4" t="s">
        <v>45</v>
      </c>
      <c r="AF29" s="4" t="s">
        <v>398</v>
      </c>
      <c r="AG29" s="49" t="s">
        <v>391</v>
      </c>
      <c r="AH29" s="4" t="str">
        <f>Animals!$C$30</f>
        <v>&lt;li&gt;Pig&lt;/li&gt;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4" t="s">
        <v>40</v>
      </c>
      <c r="AO29" s="8">
        <f t="shared" si="10"/>
        <v>28825.861601687579</v>
      </c>
      <c r="AP29" s="8">
        <f>IFERROR(C29*_xlfn.XLOOKUP(E29,Groups!A:A,Groups!K:K),0.106*C29^0.94)</f>
        <v>11.771495712556113</v>
      </c>
      <c r="AQ29" s="8">
        <f>AP29*10000/(_xlfn.XLOOKUP(E29,Groups!A:A,Groups!J:J)*AO29)</f>
        <v>3.7464751271603496</v>
      </c>
      <c r="AR29" s="8">
        <f t="shared" si="11"/>
        <v>3746.1489061563307</v>
      </c>
      <c r="AS29" s="8">
        <f>IF(_xlfn.XLOOKUP(E29,Groups!A:A,Groups!M:M)=1,EXP(0.7444*LN('Base stats'!C29)+6.5696),EXP(0.7927*LN('Base stats'!C29)+4.28))</f>
        <v>3835.0225645496203</v>
      </c>
      <c r="AT29" s="8">
        <f>IF(_xlfn.XLOOKUP(E29,Groups!A:A,Groups!N:N)="No","No",
IF(_xlfn.XLOOKUP(E29,Groups!A:A,Groups!N:N)="Crocodile",EXP(0.8129*LN(C29)+4.6742)*S29,
IF(_xlfn.XLOOKUP(E29,Groups!A:A,Groups!N:N)="Felid",EXP(0.7843*LN(C29)+4.7073)*S29,
IF(_xlfn.XLOOKUP(E29,Groups!A:A,Groups!N:N)="Canid",EXP(0.8367*LN(C29)+4.8763)*S29,
IF(_xlfn.XLOOKUP(E29,Groups!A:A,Groups!N:N)="Pig",EXP(0.3439*LN(C29)+6.8519)*S29,
IF(_xlfn.XLOOKUP(E29,Groups!A:A,Groups!N:N)="Rodent",EXP(0.5625*LN(C29)+4.3006)*S29,
IF(_xlfn.XLOOKUP(E29,Groups!A:A,Groups!N:N)="Primate",EXP(0.7847*LN(C29)+3.4931)*S29,
IF(_xlfn.XLOOKUP(E29,Groups!A:A,Groups!N:N)="MiscCarnivora",EXP(0.7486*LN(C29)+4.2207)*S29,
IF(_xlfn.XLOOKUP(E29,Groups!A:A,Groups!N:N)="Lizard",EXP(0.7733*LN(C29)+5.5303)*S29,
IF(_xlfn.XLOOKUP(E29,Groups!A:A,Groups!N:N)="Snake",50*C29^(2/3)*S29,
IF(_xlfn.XLOOKUP(E29,Groups!A:A,Groups!N:N)="StrongBitingHerbivore",87.1133638856975*C29^(2/3)*S29,
IF(_xlfn.XLOOKUP(E29,Groups!A:A,Groups!N:N)="MiscEctotherms",59.4316884072269*C29^(2/3)*S29,
IF(_xlfn.XLOOKUP(E29,Groups!A:A,Groups!N:N)="StrongBeakBird",0.041*(C29*1000)^1.375*S29,
IF(_xlfn.XLOOKUP(E29,Groups!A:A,Groups!N:N)="Bird",0.118*(C29*1000)^0.692*S29,
IF(_xlfn.XLOOKUP(E29,Groups!A:A,Groups!N:N)="Insect",EXP(0.7444*LN(C29)+6.5696)*S29,
IF(_xlfn.XLOOKUP(E29,Groups!A:A,Groups!N:N)="Theropod",EXP(0.6966*LN(C29)+4.158)*S29,
"No"))))))))))))))))</f>
        <v>5967.077582533263</v>
      </c>
      <c r="AU29" s="8">
        <f>IF(_xlfn.XLOOKUP(E29,Groups!A:A,Groups!U:U)=3,AS29,IF(_xlfn.XLOOKUP(E29,Groups!A:A,Groups!U:U)=2,AR29,AT29))</f>
        <v>5967.077582533263</v>
      </c>
      <c r="AV29" s="46">
        <f>IFERROR(AVERAGE(_xlfn.XLOOKUP(B29,Animals!B:B,Animals!N:N),_xlfn.XLOOKUP(B29,Animals!B:B,Animals!O:O)),0)</f>
        <v>0</v>
      </c>
      <c r="AW29" s="8">
        <f>MROUND(40*Animals!AO29*_xlfn.XLOOKUP(AG29,Leathers!$A$2:$A$99,Leathers!$B$2:$B$99,0)+(140*_xlfn.XLOOKUP(B29,Animals!B:B,Animals!AO:AO)*2),5)</f>
        <v>535</v>
      </c>
      <c r="AX29" s="8">
        <f>IFERROR(ROUND(SQRT(V29-1)*IF(_xlfn.XLOOKUP(E29,Groups!A:A,Groups!BF:BF)=0,2,1)*IF(_xlfn.XLOOKUP('Base stats'!E29,Groups!A:A,Groups!O:O)=0,1,0.1),1),0)</f>
        <v>5.9</v>
      </c>
      <c r="AY29" s="8">
        <f t="shared" si="12"/>
        <v>0</v>
      </c>
      <c r="AZ29" s="8">
        <f t="shared" si="13"/>
        <v>4.0999999999999996</v>
      </c>
      <c r="BA29" s="8">
        <f t="shared" si="14"/>
        <v>4.8</v>
      </c>
      <c r="BB29" s="8">
        <f>IF(_xlfn.XLOOKUP(E29,Groups!A:A,Groups!N:N)="Insect",BD29*2.5,IFERROR(AVERAGE(BD29,AT29/9.81/IF(OR(_xlfn.XLOOKUP(E29,Groups!A:A,Groups!N:N)="Pig",_xlfn.XLOOKUP(E29,Groups!A:A,Groups!N:N)="StrongBitingHerbivore"),20,25))*C29^-0.135,BD29))</f>
        <v>8.1672088007480177</v>
      </c>
      <c r="BC29" s="8">
        <f>IF(W29="No","No",IF(_xlfn.XLOOKUP(E29,Groups!A:A,Groups!U:U)=1,'Base stats'!BB29,IF(OR(_xlfn.XLOOKUP(E29,Groups!A:A,Groups!BD:BD)=1,_xlfn.XLOOKUP(E29,Groups!A:A,Groups!U:U)=2),BD29,IF(_xlfn.XLOOKUP(B29,Animals!B:B,Animals!AO:AO)&gt;4,AVERAGE(BD29,BF29),BF29))))</f>
        <v>8.1672088007480177</v>
      </c>
      <c r="BD29" s="8">
        <f t="shared" si="15"/>
        <v>1.7141896806845596</v>
      </c>
      <c r="BE29" s="8">
        <f>IF(_xlfn.XLOOKUP(E29,Groups!A:A,Groups!BE:BE)=1,(0.048*C29^1.01)+(0.071*C29^1.03),0.071*C29^1.03)/IF(_xlfn.XLOOKUP(E29,Groups!A:A,Groups!M:M)=1,0.85,IF(OR(_xlfn.XLOOKUP(B29,Animals!B:B,Animals!AO:AO)&gt;4,_xlfn.XLOOKUP(E29,Groups!A:A,Groups!BC:BC)=1),1.7,1))*C29^-0.25</f>
        <v>3.5367920914565221</v>
      </c>
      <c r="BF29" s="8">
        <f>(0.048*C29^1.01)/IF(_xlfn.XLOOKUP(E29,Groups!A:A,Groups!M:M)=1,0.25,0.8)*C29^-0.25</f>
        <v>2.7038376258152188</v>
      </c>
      <c r="BG29" s="8">
        <f>EXP(1.076*LN(AR29)-4.5397)*IF(_xlfn.XLOOKUP(E29,Groups!A:A,Groups!BC:BC)=1,1.25,IF(_xlfn.XLOOKUP(E29,Groups!A:A,Groups!BD:BD)=1,3.5,2.5))</f>
        <v>186.87484615605439</v>
      </c>
      <c r="BH29" s="8">
        <f>EXP(1.076*LN(AS29)-4.5397)*IF(_xlfn.XLOOKUP(E29,Groups!A:A,Groups!M:M)=1,0.8,IF(_xlfn.XLOOKUP(E29,Groups!A:A,Groups!BC:BC)=1,1.3,3))</f>
        <v>229.97937056804284</v>
      </c>
      <c r="BI29" s="8">
        <f>IF(W29="No","No",IF(_xlfn.XLOOKUP(E29,Groups!A:A,Groups!U:U)=1,'Base stats'!BJ29,IF(OR(_xlfn.XLOOKUP(E29,Groups!A:A,Groups!BD:BD)=1,_xlfn.XLOOKUP(E29,Groups!A:A,Groups!U:U)=2),BG29,BH29))*1.2)</f>
        <v>518.08641358132127</v>
      </c>
      <c r="BJ29" s="8">
        <f>IFERROR(EXP(1.076*LN(AT29)-4.5397)*IF(_xlfn.XLOOKUP(E29,Groups!A:A,Groups!N:N)="Insect",1,IF(OR(_xlfn.XLOOKUP(E29,Groups!A:A,Groups!N:N)="Pig",_xlfn.XLOOKUP(E29,Groups!A:A,Groups!N:N)="StrongBitingHerbivore"),3.5,3.75)),"No")</f>
        <v>431.73867798443439</v>
      </c>
      <c r="BK29" s="8">
        <f t="shared" si="16"/>
        <v>14</v>
      </c>
      <c r="BL29" s="8">
        <f t="shared" si="17"/>
        <v>11</v>
      </c>
      <c r="BM29" s="8">
        <f t="shared" si="18"/>
        <v>11</v>
      </c>
      <c r="BN29" s="8">
        <f t="shared" si="19"/>
        <v>10</v>
      </c>
      <c r="BO29" s="8">
        <f t="shared" si="20"/>
        <v>13</v>
      </c>
      <c r="BP29" s="8" t="str" cm="1">
        <f t="array" ref="BP29">IF(AND(_xlfn.XLOOKUP('Base stats'!E29,Groups!A:A,Groups!AD:AD=0),_xlfn.XLOOKUP('Base stats'!E29,Groups!A:A,Groups!P:P=0)),"No",IF(U29="No",AVERAGE(EXP(-0.57+0.99*LN(C29)),EXP(0.32+0.67*LN(C29)))/IF(_xlfn.XLOOKUP(E29,Groups!A:A,Groups!AD:AD)=1,10,2),(0.7354*C29^0.4078)*2/IF(_xlfn.XLOOKUP(E29,Groups!A:A,Groups!BK:BK)=1,1000,100)/IF(_xlfn.XLOOKUP(E29,Groups!A:A,Groups!AJ:AJ)="Photonozoa",3,1)))</f>
        <v>No</v>
      </c>
      <c r="BQ29" s="8">
        <f>IF(W29="No","No",IF(_xlfn.XLOOKUP(E29,Groups!A:A,Groups!BD:BD)=1,(AO29*5%),EXP(0.7354*LN(C29)^0.4078)*2/IF(_xlfn.XLOOKUP(E29,Groups!A:A,Groups!BL:BL)=1,1000,100)/IF(_xlfn.XLOOKUP(E29,Groups!A:A,Groups!AJ:AJ)="Photonozoa",3,1)))</f>
        <v>8.2648233730893056E-2</v>
      </c>
      <c r="BR29" s="8">
        <f>IF(BJ29="No","No",IF(_xlfn.XLOOKUP(E29,Groups!A:A,Groups!BF:BF)=1,(0.0315*C29+2.1825)*2,(0.7354*C29^0.4078)*2)/IF(_xlfn.XLOOKUP(E29,Groups!A:A,Groups!BM:BM)=1,1000,100)/IF(_xlfn.XLOOKUP(E29,Groups!A:A,Groups!AJ:AJ)="Photonozoa",3,1))</f>
        <v>0.11349157855001941</v>
      </c>
      <c r="BS29" s="8">
        <f t="shared" si="21"/>
        <v>0.12965776963635597</v>
      </c>
      <c r="BT29" s="8" t="str">
        <f t="shared" si="22"/>
        <v>No</v>
      </c>
      <c r="BU29" s="8">
        <f t="shared" si="23"/>
        <v>6268.5721181681574</v>
      </c>
      <c r="BV29" s="8">
        <f t="shared" si="24"/>
        <v>3804.1472636152748</v>
      </c>
      <c r="BW29" s="4">
        <v>0</v>
      </c>
      <c r="BX29" s="4">
        <v>1</v>
      </c>
    </row>
    <row r="30" spans="1:76" x14ac:dyDescent="0.25">
      <c r="A30" s="26" t="s">
        <v>107</v>
      </c>
      <c r="B30" s="6" t="s">
        <v>533</v>
      </c>
      <c r="C30" s="7">
        <f>AVERAGE(323,244)</f>
        <v>283.5</v>
      </c>
      <c r="D30" s="7" t="s">
        <v>1146</v>
      </c>
      <c r="E30" s="7" t="str">
        <f>Groups!$A$39</f>
        <v>Pig</v>
      </c>
      <c r="F30" s="7">
        <v>115</v>
      </c>
      <c r="G30" s="7">
        <f>334/365</f>
        <v>0.91506849315068495</v>
      </c>
      <c r="H30" s="7">
        <v>27</v>
      </c>
      <c r="I30" s="4">
        <v>0</v>
      </c>
      <c r="J30" s="7">
        <v>11.1</v>
      </c>
      <c r="K30" s="7" t="s">
        <v>534</v>
      </c>
      <c r="L30" s="7">
        <f>AVERAGE(5.83,4.56)*3.6*(23.3/11)</f>
        <v>39.614236363636365</v>
      </c>
      <c r="M30" s="7" t="s">
        <v>630</v>
      </c>
      <c r="N30" s="4">
        <v>0</v>
      </c>
      <c r="O30" s="4">
        <v>2</v>
      </c>
      <c r="P30" s="4">
        <v>-15</v>
      </c>
      <c r="Q30" s="4">
        <v>0</v>
      </c>
      <c r="R30" s="4" t="s">
        <v>40</v>
      </c>
      <c r="S30" s="7">
        <f>_xlfn.XLOOKUP(B30,[1]TeethAdjusters!$A:$A,[1]BiteAdjusters!$C:$C,1)</f>
        <v>0.97083004636870796</v>
      </c>
      <c r="T30" s="7">
        <f>_xlfn.XLOOKUP(B30,[1]TeethAdjusters!$A:$A,[1]TeethAdjusters!$B:$B,1)</f>
        <v>1</v>
      </c>
      <c r="U30" s="7" t="s">
        <v>45</v>
      </c>
      <c r="V30" s="7">
        <f>V29/2</f>
        <v>4.875</v>
      </c>
      <c r="W30" s="7" t="s">
        <v>45</v>
      </c>
      <c r="X30" s="7" t="s">
        <v>932</v>
      </c>
      <c r="Y30" s="4" t="s">
        <v>1003</v>
      </c>
      <c r="Z30" s="4">
        <v>1</v>
      </c>
      <c r="AA30" s="4">
        <v>0</v>
      </c>
      <c r="AB30" s="4">
        <v>0</v>
      </c>
      <c r="AC30" s="4">
        <v>0</v>
      </c>
      <c r="AD30" s="4">
        <v>0</v>
      </c>
      <c r="AE30" s="4" t="s">
        <v>45</v>
      </c>
      <c r="AF30" s="4" t="s">
        <v>398</v>
      </c>
      <c r="AG30" s="49" t="s">
        <v>391</v>
      </c>
      <c r="AH30" s="4" t="s">
        <v>45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4" t="s">
        <v>40</v>
      </c>
      <c r="AO30" s="8">
        <f t="shared" si="10"/>
        <v>43599.596485102418</v>
      </c>
      <c r="AP30" s="8">
        <f>IFERROR(C30*_xlfn.XLOOKUP(E30,Groups!A:A,Groups!K:K),0.106*C30^0.94)</f>
        <v>21.414391819217006</v>
      </c>
      <c r="AQ30" s="8">
        <f>AP30*10000/(_xlfn.XLOOKUP(E30,Groups!A:A,Groups!J:J)*AO30)</f>
        <v>4.5060579937976097</v>
      </c>
      <c r="AR30" s="8">
        <f t="shared" si="11"/>
        <v>6413.7543497019997</v>
      </c>
      <c r="AS30" s="8">
        <f>IF(_xlfn.XLOOKUP(E30,Groups!A:A,Groups!M:M)=1,EXP(0.7444*LN('Base stats'!C30)+6.5696),EXP(0.7927*LN('Base stats'!C30)+4.28))</f>
        <v>6352.1273405073698</v>
      </c>
      <c r="AT30" s="8">
        <f>IF(_xlfn.XLOOKUP(E30,Groups!A:A,Groups!N:N)="No","No",
IF(_xlfn.XLOOKUP(E30,Groups!A:A,Groups!N:N)="Crocodile",EXP(0.8129*LN(C30)+4.6742)*S30,
IF(_xlfn.XLOOKUP(E30,Groups!A:A,Groups!N:N)="Felid",EXP(0.7843*LN(C30)+4.7073)*S30,
IF(_xlfn.XLOOKUP(E30,Groups!A:A,Groups!N:N)="Canid",EXP(0.8367*LN(C30)+4.8763)*S30,
IF(_xlfn.XLOOKUP(E30,Groups!A:A,Groups!N:N)="Pig",EXP(0.3439*LN(C30)+6.8519)*S30,
IF(_xlfn.XLOOKUP(E30,Groups!A:A,Groups!N:N)="Rodent",EXP(0.5625*LN(C30)+4.3006)*S30,
IF(_xlfn.XLOOKUP(E30,Groups!A:A,Groups!N:N)="Primate",EXP(0.7847*LN(C30)+3.4931)*S30,
IF(_xlfn.XLOOKUP(E30,Groups!A:A,Groups!N:N)="MiscCarnivora",EXP(0.7486*LN(C30)+4.2207)*S30,
IF(_xlfn.XLOOKUP(E30,Groups!A:A,Groups!N:N)="Lizard",EXP(0.7733*LN(C30)+5.5303)*S30,
IF(_xlfn.XLOOKUP(E30,Groups!A:A,Groups!N:N)="Snake",50*C30^(2/3)*S30,
IF(_xlfn.XLOOKUP(E30,Groups!A:A,Groups!N:N)="StrongBitingHerbivore",87.1133638856975*C30^(2/3)*S30,
IF(_xlfn.XLOOKUP(E30,Groups!A:A,Groups!N:N)="MiscEctotherms",59.4316884072269*C30^(2/3)*S30,
IF(_xlfn.XLOOKUP(E30,Groups!A:A,Groups!N:N)="StrongBeakBird",0.041*(C30*1000)^1.375*S30,
IF(_xlfn.XLOOKUP(E30,Groups!A:A,Groups!N:N)="Bird",0.118*(C30*1000)^0.692*S30,
IF(_xlfn.XLOOKUP(E30,Groups!A:A,Groups!N:N)="Insect",EXP(0.7444*LN(C30)+6.5696)*S30,
IF(_xlfn.XLOOKUP(E30,Groups!A:A,Groups!N:N)="Theropod",EXP(0.6966*LN(C30)+4.158)*S30,
"No"))))))))))))))))</f>
        <v>6402.0427215268337</v>
      </c>
      <c r="AU30" s="8">
        <f>IF(_xlfn.XLOOKUP(E30,Groups!A:A,Groups!U:U)=3,AS30,IF(_xlfn.XLOOKUP(E30,Groups!A:A,Groups!U:U)=2,AR30,AT30))</f>
        <v>6402.0427215268337</v>
      </c>
      <c r="AV30" s="46">
        <f>IFERROR(AVERAGE(_xlfn.XLOOKUP(B30,Animals!B:B,Animals!N:N),_xlfn.XLOOKUP(B30,Animals!B:B,Animals!O:O)),0)</f>
        <v>0</v>
      </c>
      <c r="AW30" s="8">
        <f>MROUND(40*Animals!AO30*_xlfn.XLOOKUP(AG30,Leathers!$A$2:$A$99,Leathers!$B$2:$B$99,0)+(140*_xlfn.XLOOKUP(B30,Animals!B:B,Animals!AO:AO)*2),5)</f>
        <v>800</v>
      </c>
      <c r="AX30" s="8">
        <f>IFERROR(ROUND(SQRT(V30-1)*IF(_xlfn.XLOOKUP(E30,Groups!A:A,Groups!BF:BF)=0,2,1)*IF(_xlfn.XLOOKUP('Base stats'!E30,Groups!A:A,Groups!O:O)=0,1,0.1),1),0)</f>
        <v>2</v>
      </c>
      <c r="AY30" s="8">
        <f t="shared" si="12"/>
        <v>0</v>
      </c>
      <c r="AZ30" s="8">
        <f t="shared" si="13"/>
        <v>0</v>
      </c>
      <c r="BA30" s="8">
        <f t="shared" si="14"/>
        <v>6.1</v>
      </c>
      <c r="BB30" s="8">
        <f>IF(_xlfn.XLOOKUP(E30,Groups!A:A,Groups!N:N)="Insect",BD30*2.5,IFERROR(AVERAGE(BD30,AT30/9.81/IF(OR(_xlfn.XLOOKUP(E30,Groups!A:A,Groups!N:N)="Pig",_xlfn.XLOOKUP(E30,Groups!A:A,Groups!N:N)="StrongBitingHerbivore"),20,25))*C30^-0.135,BD30))</f>
        <v>8.2581610620129826</v>
      </c>
      <c r="BC30" s="8" t="str">
        <f>IF(W30="No","No",IF(_xlfn.XLOOKUP(E30,Groups!A:A,Groups!U:U)=1,'Base stats'!BB30,IF(OR(_xlfn.XLOOKUP(E30,Groups!A:A,Groups!BD:BD)=1,_xlfn.XLOOKUP(E30,Groups!A:A,Groups!U:U)=2),BD30,IF(_xlfn.XLOOKUP(B30,Animals!B:B,Animals!AO:AO)&gt;4,AVERAGE(BD30,BF30),BF30))))</f>
        <v>No</v>
      </c>
      <c r="BD30" s="8">
        <f t="shared" si="15"/>
        <v>2.7701996922971297</v>
      </c>
      <c r="BE30" s="8">
        <f>IF(_xlfn.XLOOKUP(E30,Groups!A:A,Groups!BE:BE)=1,(0.048*C30^1.01)+(0.071*C30^1.03),0.071*C30^1.03)/IF(_xlfn.XLOOKUP(E30,Groups!A:A,Groups!M:M)=1,0.85,IF(OR(_xlfn.XLOOKUP(B30,Animals!B:B,Animals!AO:AO)&gt;4,_xlfn.XLOOKUP(E30,Groups!A:A,Groups!BC:BC)=1),1.7,1))*C30^-0.25</f>
        <v>5.8109847812265114</v>
      </c>
      <c r="BF30" s="8">
        <f>(0.048*C30^1.01)/IF(_xlfn.XLOOKUP(E30,Groups!A:A,Groups!M:M)=1,0.25,0.8)*C30^-0.25</f>
        <v>4.3862317924166936</v>
      </c>
      <c r="BG30" s="8">
        <f>EXP(1.076*LN(AR30)-4.5397)*IF(_xlfn.XLOOKUP(E30,Groups!A:A,Groups!BC:BC)=1,1.25,IF(_xlfn.XLOOKUP(E30,Groups!A:A,Groups!BD:BD)=1,3.5,2.5))</f>
        <v>333.29301181006872</v>
      </c>
      <c r="BH30" s="8">
        <f>EXP(1.076*LN(AS30)-4.5397)*IF(_xlfn.XLOOKUP(E30,Groups!A:A,Groups!M:M)=1,0.8,IF(_xlfn.XLOOKUP(E30,Groups!A:A,Groups!BC:BC)=1,1.3,3))</f>
        <v>395.81810008560649</v>
      </c>
      <c r="BI30" s="8" t="str">
        <f>IF(W30="No","No",IF(_xlfn.XLOOKUP(E30,Groups!A:A,Groups!U:U)=1,'Base stats'!BJ30,IF(OR(_xlfn.XLOOKUP(E30,Groups!A:A,Groups!BD:BD)=1,_xlfn.XLOOKUP(E30,Groups!A:A,Groups!U:U)=2),BG30,BH30))*1.2)</f>
        <v>No</v>
      </c>
      <c r="BJ30" s="8">
        <f>IFERROR(EXP(1.076*LN(AT30)-4.5397)*IF(_xlfn.XLOOKUP(E30,Groups!A:A,Groups!N:N)="Insect",1,IF(OR(_xlfn.XLOOKUP(E30,Groups!A:A,Groups!N:N)="Pig",_xlfn.XLOOKUP(E30,Groups!A:A,Groups!N:N)="StrongBitingHerbivore"),3.5,3.75)),"No")</f>
        <v>465.69348680539872</v>
      </c>
      <c r="BK30" s="8">
        <f t="shared" si="16"/>
        <v>15</v>
      </c>
      <c r="BL30" s="8">
        <f t="shared" si="17"/>
        <v>11</v>
      </c>
      <c r="BM30" s="8" t="str">
        <f t="shared" si="18"/>
        <v>No</v>
      </c>
      <c r="BN30" s="8">
        <f t="shared" si="19"/>
        <v>10</v>
      </c>
      <c r="BO30" s="8">
        <f t="shared" si="20"/>
        <v>13</v>
      </c>
      <c r="BP30" s="8" t="str" cm="1">
        <f t="array" ref="BP30">IF(AND(_xlfn.XLOOKUP('Base stats'!E30,Groups!A:A,Groups!AD:AD=0),_xlfn.XLOOKUP('Base stats'!E30,Groups!A:A,Groups!P:P=0)),"No",IF(U30="No",AVERAGE(EXP(-0.57+0.99*LN(C30)),EXP(0.32+0.67*LN(C30)))/IF(_xlfn.XLOOKUP(E30,Groups!A:A,Groups!AD:AD)=1,10,2),(0.7354*C30^0.4078)*2/IF(_xlfn.XLOOKUP(E30,Groups!A:A,Groups!BK:BK)=1,1000,100)/IF(_xlfn.XLOOKUP(E30,Groups!A:A,Groups!AJ:AJ)="Photonozoa",3,1)))</f>
        <v>No</v>
      </c>
      <c r="BQ30" s="8" t="str">
        <f>IF(W30="No","No",IF(_xlfn.XLOOKUP(E30,Groups!A:A,Groups!BD:BD)=1,(AO30*5%),EXP(0.7354*LN(C30)^0.4078)*2/IF(_xlfn.XLOOKUP(E30,Groups!A:A,Groups!BL:BL)=1,1000,100)/IF(_xlfn.XLOOKUP(E30,Groups!A:A,Groups!AJ:AJ)="Photonozoa",3,1)))</f>
        <v>No</v>
      </c>
      <c r="BR30" s="8">
        <f>IF(BJ30="No","No",IF(_xlfn.XLOOKUP(E30,Groups!A:A,Groups!BF:BF)=1,(0.0315*C30+2.1825)*2,(0.7354*C30^0.4078)*2)/IF(_xlfn.XLOOKUP(E30,Groups!A:A,Groups!BM:BM)=1,1000,100)/IF(_xlfn.XLOOKUP(E30,Groups!A:A,Groups!AJ:AJ)="Photonozoa",3,1))</f>
        <v>0.22225500000000004</v>
      </c>
      <c r="BS30" s="8">
        <f t="shared" si="21"/>
        <v>0.15288811763381888</v>
      </c>
      <c r="BT30" s="8" t="str">
        <f t="shared" si="22"/>
        <v>No</v>
      </c>
      <c r="BU30" s="8" t="str">
        <f t="shared" si="23"/>
        <v>No</v>
      </c>
      <c r="BV30" s="8">
        <f t="shared" si="24"/>
        <v>2095.3116321585503</v>
      </c>
      <c r="BW30" s="4">
        <v>0</v>
      </c>
      <c r="BX30" s="4">
        <v>1</v>
      </c>
    </row>
    <row r="31" spans="1:76" x14ac:dyDescent="0.25">
      <c r="A31" s="26" t="s">
        <v>113</v>
      </c>
      <c r="B31" s="6" t="s">
        <v>262</v>
      </c>
      <c r="C31" s="7">
        <f>AVERAGE(7.7,5.34)</f>
        <v>6.52</v>
      </c>
      <c r="D31" s="7" t="s">
        <v>1147</v>
      </c>
      <c r="E31" s="7" t="str">
        <f>Groups!$A$46</f>
        <v>Monkey</v>
      </c>
      <c r="F31" s="7">
        <v>165</v>
      </c>
      <c r="G31" s="7">
        <f>1231/365</f>
        <v>3.3726027397260272</v>
      </c>
      <c r="H31" s="7">
        <v>40</v>
      </c>
      <c r="I31" s="4">
        <v>0</v>
      </c>
      <c r="J31" s="7">
        <v>1</v>
      </c>
      <c r="K31" s="7" t="s">
        <v>520</v>
      </c>
      <c r="L31" s="7">
        <f>MIN(23.6*C31^0.165,23.3*C31^0.225)</f>
        <v>32.156061919515352</v>
      </c>
      <c r="M31" s="7" t="s">
        <v>626</v>
      </c>
      <c r="N31" s="4">
        <v>0</v>
      </c>
      <c r="O31" s="4">
        <v>0</v>
      </c>
      <c r="P31" s="4">
        <v>0</v>
      </c>
      <c r="Q31" s="4">
        <v>0</v>
      </c>
      <c r="R31" s="4" t="s">
        <v>40</v>
      </c>
      <c r="S31" s="7">
        <f>_xlfn.XLOOKUP(B31,[1]TeethAdjusters!$A:$A,[1]BiteAdjusters!$C:$C,1)</f>
        <v>2.3599119779468505</v>
      </c>
      <c r="T31" s="7">
        <f>_xlfn.XLOOKUP(B31,[1]TeethAdjusters!$A:$A,[1]TeethAdjusters!$B:$B,1)</f>
        <v>1.1162884080347795</v>
      </c>
      <c r="U31" s="7" t="s">
        <v>45</v>
      </c>
      <c r="V31" s="7">
        <f>IF(T31="No","No",IF(_xlfn.XLOOKUP(E31,Groups!A:A,Groups!AM:AM)=1,MROUND(EXP(0.3582*LN(C31)-0.2221)*T31,0.05),IF(_xlfn.XLOOKUP(E31,Groups!A:A,Groups!AM:AM)=2,MROUND(EXP(0.3582*LN(C31)-0.2221)*T31,0.05),"Need a formula")))</f>
        <v>1.75</v>
      </c>
      <c r="W31" s="7" t="s">
        <v>45</v>
      </c>
      <c r="X31" s="7" t="s">
        <v>932</v>
      </c>
      <c r="Y31" s="4" t="s">
        <v>1003</v>
      </c>
      <c r="Z31" s="4">
        <v>1</v>
      </c>
      <c r="AA31" s="4">
        <v>0</v>
      </c>
      <c r="AB31" s="4">
        <v>0</v>
      </c>
      <c r="AC31" s="4">
        <v>0</v>
      </c>
      <c r="AD31" s="4">
        <v>0</v>
      </c>
      <c r="AE31" s="4" t="s">
        <v>1045</v>
      </c>
      <c r="AF31" s="4" t="s">
        <v>401</v>
      </c>
      <c r="AG31" s="49" t="s">
        <v>385</v>
      </c>
      <c r="AH31" s="4" t="s">
        <v>45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4" t="s">
        <v>40</v>
      </c>
      <c r="AO31" s="8">
        <f t="shared" si="10"/>
        <v>3754.7749863702252</v>
      </c>
      <c r="AP31" s="8">
        <f>IFERROR(C31*_xlfn.XLOOKUP(E31,Groups!A:A,Groups!K:K),0.106*C31^0.94)</f>
        <v>0.61758765354825385</v>
      </c>
      <c r="AQ31" s="8">
        <f>AP31*10000/(_xlfn.XLOOKUP(E31,Groups!A:A,Groups!J:J)*AO31)</f>
        <v>1.5089963569692815</v>
      </c>
      <c r="AR31" s="8">
        <f t="shared" si="11"/>
        <v>264.99378830560971</v>
      </c>
      <c r="AS31" s="8">
        <f>IF(_xlfn.XLOOKUP(E31,Groups!A:A,Groups!M:M)=1,EXP(0.7444*LN('Base stats'!C31)+6.5696),EXP(0.7927*LN('Base stats'!C31)+4.28))</f>
        <v>319.32612558354168</v>
      </c>
      <c r="AT31" s="8">
        <f>IF(_xlfn.XLOOKUP(E31,Groups!A:A,Groups!N:N)="No","No",
IF(_xlfn.XLOOKUP(E31,Groups!A:A,Groups!N:N)="Crocodile",EXP(0.8129*LN(C31)+4.6742)*S31,
IF(_xlfn.XLOOKUP(E31,Groups!A:A,Groups!N:N)="Felid",EXP(0.7843*LN(C31)+4.7073)*S31,
IF(_xlfn.XLOOKUP(E31,Groups!A:A,Groups!N:N)="Canid",EXP(0.8367*LN(C31)+4.8763)*S31,
IF(_xlfn.XLOOKUP(E31,Groups!A:A,Groups!N:N)="Pig",EXP(0.3439*LN(C31)+6.8519)*S31,
IF(_xlfn.XLOOKUP(E31,Groups!A:A,Groups!N:N)="Rodent",EXP(0.5625*LN(C31)+4.3006)*S31,
IF(_xlfn.XLOOKUP(E31,Groups!A:A,Groups!N:N)="Primate",EXP(0.7847*LN(C31)+3.4931)*S31,
IF(_xlfn.XLOOKUP(E31,Groups!A:A,Groups!N:N)="MiscCarnivora",EXP(0.7486*LN(C31)+4.2207)*S31,
IF(_xlfn.XLOOKUP(E31,Groups!A:A,Groups!N:N)="Lizard",EXP(0.7733*LN(C31)+5.5303)*S31,
IF(_xlfn.XLOOKUP(E31,Groups!A:A,Groups!N:N)="Snake",50*C31^(2/3)*S31,
IF(_xlfn.XLOOKUP(E31,Groups!A:A,Groups!N:N)="StrongBitingHerbivore",87.1133638856975*C31^(2/3)*S31,
IF(_xlfn.XLOOKUP(E31,Groups!A:A,Groups!N:N)="MiscEctotherms",59.4316884072269*C31^(2/3)*S31,
IF(_xlfn.XLOOKUP(E31,Groups!A:A,Groups!N:N)="StrongBeakBird",0.041*(C31*1000)^1.375*S31,
IF(_xlfn.XLOOKUP(E31,Groups!A:A,Groups!N:N)="Bird",0.118*(C31*1000)^0.692*S31,
IF(_xlfn.XLOOKUP(E31,Groups!A:A,Groups!N:N)="Insect",EXP(0.7444*LN(C31)+6.5696)*S31,
IF(_xlfn.XLOOKUP(E31,Groups!A:A,Groups!N:N)="Theropod",EXP(0.6966*LN(C31)+4.158)*S31,
"No"))))))))))))))))</f>
        <v>337.9636156425434</v>
      </c>
      <c r="AU31" s="8">
        <f>IF(_xlfn.XLOOKUP(E31,Groups!A:A,Groups!U:U)=3,AS31,IF(_xlfn.XLOOKUP(E31,Groups!A:A,Groups!U:U)=2,AR31,AT31))</f>
        <v>337.9636156425434</v>
      </c>
      <c r="AV31" s="46">
        <f>IFERROR(AVERAGE(_xlfn.XLOOKUP(B31,Animals!B:B,Animals!N:N),_xlfn.XLOOKUP(B31,Animals!B:B,Animals!O:O)),0)</f>
        <v>0</v>
      </c>
      <c r="AW31" s="8">
        <f>MROUND(40*Animals!AO31*_xlfn.XLOOKUP(AG31,Leathers!$A$2:$A$99,Leathers!$B$2:$B$99,0)+(140*_xlfn.XLOOKUP(B31,Animals!B:B,Animals!AO:AO)*2),5)</f>
        <v>125</v>
      </c>
      <c r="AX31" s="8">
        <f>IFERROR(ROUND(SQRT(V31-1)*IF(_xlfn.XLOOKUP(E31,Groups!A:A,Groups!BF:BF)=0,2,1)*IF(_xlfn.XLOOKUP('Base stats'!E31,Groups!A:A,Groups!O:O)=0,1,0.1),1),0)</f>
        <v>1.7</v>
      </c>
      <c r="AY31" s="8">
        <f t="shared" si="12"/>
        <v>0</v>
      </c>
      <c r="AZ31" s="8">
        <f t="shared" si="13"/>
        <v>0</v>
      </c>
      <c r="BA31" s="8">
        <f t="shared" si="14"/>
        <v>1.2</v>
      </c>
      <c r="BB31" s="8">
        <f>IF(_xlfn.XLOOKUP(E31,Groups!A:A,Groups!N:N)="Insect",BD31*2.5,IFERROR(AVERAGE(BD31,AT31/9.81/IF(OR(_xlfn.XLOOKUP(E31,Groups!A:A,Groups!N:N)="Pig",_xlfn.XLOOKUP(E31,Groups!A:A,Groups!N:N)="StrongBitingHerbivore"),20,25))*C31^-0.135,BD31))</f>
        <v>0.59749991840360062</v>
      </c>
      <c r="BC31" s="8" t="str">
        <f>IF(W31="No","No",IF(_xlfn.XLOOKUP(E31,Groups!A:A,Groups!U:U)=1,'Base stats'!BB31,IF(OR(_xlfn.XLOOKUP(E31,Groups!A:A,Groups!BD:BD)=1,_xlfn.XLOOKUP(E31,Groups!A:A,Groups!U:U)=2),BD31,IF(_xlfn.XLOOKUP(B31,Animals!B:B,Animals!AO:AO)&gt;4,AVERAGE(BD31,BF31),BF31))))</f>
        <v>No</v>
      </c>
      <c r="BD31" s="8">
        <f t="shared" si="15"/>
        <v>0.16114942276054864</v>
      </c>
      <c r="BE31" s="8">
        <f>IF(_xlfn.XLOOKUP(E31,Groups!A:A,Groups!BE:BE)=1,(0.048*C31^1.01)+(0.071*C31^1.03),0.071*C31^1.03)/IF(_xlfn.XLOOKUP(E31,Groups!A:A,Groups!M:M)=1,0.85,IF(OR(_xlfn.XLOOKUP(B31,Animals!B:B,Animals!AO:AO)&gt;4,_xlfn.XLOOKUP(E31,Groups!A:A,Groups!BC:BC)=1),1.7,1))*C31^-0.25</f>
        <v>0.30645836017473316</v>
      </c>
      <c r="BF31" s="8">
        <f>(0.048*C31^1.01)/IF(_xlfn.XLOOKUP(E31,Groups!A:A,Groups!M:M)=1,0.25,0.8)*C31^-0.25</f>
        <v>0.24944765359163026</v>
      </c>
      <c r="BG31" s="8">
        <f>EXP(1.076*LN(AR31)-4.5397)*IF(_xlfn.XLOOKUP(E31,Groups!A:A,Groups!BC:BC)=1,1.25,IF(_xlfn.XLOOKUP(E31,Groups!A:A,Groups!BD:BD)=1,3.5,2.5))</f>
        <v>10.808737150824603</v>
      </c>
      <c r="BH31" s="8">
        <f>EXP(1.076*LN(AS31)-4.5397)*IF(_xlfn.XLOOKUP(E31,Groups!A:A,Groups!M:M)=1,0.8,IF(_xlfn.XLOOKUP(E31,Groups!A:A,Groups!BC:BC)=1,1.3,3))</f>
        <v>15.852978303072906</v>
      </c>
      <c r="BI31" s="8" t="str">
        <f>IF(W31="No","No",IF(_xlfn.XLOOKUP(E31,Groups!A:A,Groups!U:U)=1,'Base stats'!BJ31,IF(OR(_xlfn.XLOOKUP(E31,Groups!A:A,Groups!BD:BD)=1,_xlfn.XLOOKUP(E31,Groups!A:A,Groups!U:U)=2),BG31,BH31))*1.2)</f>
        <v>No</v>
      </c>
      <c r="BJ31" s="8">
        <f>IFERROR(EXP(1.076*LN(AT31)-4.5397)*IF(_xlfn.XLOOKUP(E31,Groups!A:A,Groups!N:N)="Insect",1,IF(OR(_xlfn.XLOOKUP(E31,Groups!A:A,Groups!N:N)="Pig",_xlfn.XLOOKUP(E31,Groups!A:A,Groups!N:N)="StrongBitingHerbivore"),3.5,3.75)),"No")</f>
        <v>21.063409541539592</v>
      </c>
      <c r="BK31" s="8">
        <f t="shared" si="16"/>
        <v>11</v>
      </c>
      <c r="BL31" s="8">
        <f t="shared" si="17"/>
        <v>10</v>
      </c>
      <c r="BM31" s="8" t="str">
        <f t="shared" si="18"/>
        <v>No</v>
      </c>
      <c r="BN31" s="8">
        <f t="shared" si="19"/>
        <v>8</v>
      </c>
      <c r="BO31" s="8">
        <f t="shared" si="20"/>
        <v>11</v>
      </c>
      <c r="BP31" s="8" cm="1">
        <f t="array" ref="BP31">IF(AND(_xlfn.XLOOKUP('Base stats'!E31,Groups!A:A,Groups!AD:AD=0),_xlfn.XLOOKUP('Base stats'!E31,Groups!A:A,Groups!P:P=0)),"No",IF(U31="No",AVERAGE(EXP(-0.57+0.99*LN(C31)),EXP(0.32+0.67*LN(C31)))/IF(_xlfn.XLOOKUP(E31,Groups!A:A,Groups!AD:AD)=1,10,2),(0.7354*C31^0.4078)*2/IF(_xlfn.XLOOKUP(E31,Groups!A:A,Groups!BK:BK)=1,1000,100)/IF(_xlfn.XLOOKUP(E31,Groups!A:A,Groups!AJ:AJ)="Photonozoa",3,1)))</f>
        <v>0.42275578847366735</v>
      </c>
      <c r="BQ31" s="8" t="str">
        <f>IF(W31="No","No",IF(_xlfn.XLOOKUP(E31,Groups!A:A,Groups!BD:BD)=1,(AO31*5%),EXP(0.7354*LN(C31)^0.4078)*2/IF(_xlfn.XLOOKUP(E31,Groups!A:A,Groups!BL:BL)=1,1000,100)/IF(_xlfn.XLOOKUP(E31,Groups!A:A,Groups!AJ:AJ)="Photonozoa",3,1)))</f>
        <v>No</v>
      </c>
      <c r="BR31" s="8">
        <f>IF(BJ31="No","No",IF(_xlfn.XLOOKUP(E31,Groups!A:A,Groups!BF:BF)=1,(0.0315*C31+2.1825)*2,(0.7354*C31^0.4078)*2)/IF(_xlfn.XLOOKUP(E31,Groups!A:A,Groups!BM:BM)=1,1000,100)/IF(_xlfn.XLOOKUP(E31,Groups!A:A,Groups!AJ:AJ)="Photonozoa",3,1))</f>
        <v>3.1593940123103695E-2</v>
      </c>
      <c r="BS31" s="8">
        <f t="shared" si="21"/>
        <v>5.7573288359809308E-2</v>
      </c>
      <c r="BT31" s="8">
        <f t="shared" si="22"/>
        <v>37.49913953942314</v>
      </c>
      <c r="BU31" s="8" t="str">
        <f t="shared" si="23"/>
        <v>No</v>
      </c>
      <c r="BV31" s="8">
        <f t="shared" si="24"/>
        <v>666.69144334221733</v>
      </c>
      <c r="BW31" s="4">
        <v>0</v>
      </c>
      <c r="BX31" s="4">
        <v>1</v>
      </c>
    </row>
    <row r="32" spans="1:76" x14ac:dyDescent="0.25">
      <c r="A32" s="26" t="s">
        <v>100</v>
      </c>
      <c r="B32" s="6" t="s">
        <v>101</v>
      </c>
      <c r="C32" s="7">
        <v>1.53</v>
      </c>
      <c r="D32" s="7" t="s">
        <v>521</v>
      </c>
      <c r="E32" s="7" t="str">
        <f>Groups!$A$26</f>
        <v>Lizard (IGUANA)</v>
      </c>
      <c r="F32" s="7" t="str">
        <f t="shared" ref="F32:F34" si="28">"Lay eggs"</f>
        <v>Lay eggs</v>
      </c>
      <c r="G32" s="7">
        <f>1640/365</f>
        <v>4.493150684931507</v>
      </c>
      <c r="H32" s="7">
        <v>19.8</v>
      </c>
      <c r="I32" s="4">
        <v>0</v>
      </c>
      <c r="J32" s="7" t="str">
        <f t="shared" ref="J32:J33" si="29">"Lay eggs"</f>
        <v>Lay eggs</v>
      </c>
      <c r="K32" s="7" t="s">
        <v>521</v>
      </c>
      <c r="L32" s="7">
        <f>164.31*1.5/33.3*3.6</f>
        <v>26.644864864864868</v>
      </c>
      <c r="M32" s="7" t="s">
        <v>632</v>
      </c>
      <c r="N32" s="4">
        <v>0</v>
      </c>
      <c r="O32" s="4">
        <v>0</v>
      </c>
      <c r="P32" s="4">
        <v>0</v>
      </c>
      <c r="Q32" s="4">
        <v>0</v>
      </c>
      <c r="R32" s="4">
        <v>0.8</v>
      </c>
      <c r="S32" s="7">
        <f>_xlfn.XLOOKUP(B32,[1]TeethAdjusters!$A:$A,[1]BiteAdjusters!$C:$C,1)</f>
        <v>1</v>
      </c>
      <c r="T32" s="7">
        <f>_xlfn.XLOOKUP(B32,[1]TeethAdjusters!$A:$A,[1]TeethAdjusters!$B:$B,1)</f>
        <v>1</v>
      </c>
      <c r="U32" s="7">
        <v>1</v>
      </c>
      <c r="V32" s="7">
        <v>0.75</v>
      </c>
      <c r="W32" s="7" t="s">
        <v>45</v>
      </c>
      <c r="X32" s="7" t="s">
        <v>932</v>
      </c>
      <c r="Y32" s="4" t="s">
        <v>42</v>
      </c>
      <c r="Z32" s="4">
        <v>1</v>
      </c>
      <c r="AA32" s="4">
        <v>0</v>
      </c>
      <c r="AB32" s="4">
        <v>0</v>
      </c>
      <c r="AC32" s="4">
        <v>0</v>
      </c>
      <c r="AD32" s="4">
        <v>0</v>
      </c>
      <c r="AE32" s="4" t="s">
        <v>45</v>
      </c>
      <c r="AF32" s="4" t="s">
        <v>45</v>
      </c>
      <c r="AG32" s="49" t="s">
        <v>386</v>
      </c>
      <c r="AH32" s="4" t="s">
        <v>45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4" t="s">
        <v>40</v>
      </c>
      <c r="AO32" s="8">
        <f t="shared" si="10"/>
        <v>1463.4315334916339</v>
      </c>
      <c r="AP32" s="8">
        <f>IFERROR(C32*_xlfn.XLOOKUP(E32,Groups!A:A,Groups!K:K),0.106*C32^0.94)</f>
        <v>0.15809415375613439</v>
      </c>
      <c r="AQ32" s="8">
        <f>AP32*10000/(_xlfn.XLOOKUP(E32,Groups!A:A,Groups!J:J)*AO32)</f>
        <v>0.99109869313185717</v>
      </c>
      <c r="AR32" s="8">
        <f t="shared" si="11"/>
        <v>77.884242674668926</v>
      </c>
      <c r="AS32" s="8">
        <f>IF(_xlfn.XLOOKUP(E32,Groups!A:A,Groups!M:M)=1,EXP(0.7444*LN('Base stats'!C32)+6.5696),EXP(0.7927*LN('Base stats'!C32)+4.28))</f>
        <v>101.20111087866492</v>
      </c>
      <c r="AT32" s="8">
        <f>IF(_xlfn.XLOOKUP(E32,Groups!A:A,Groups!N:N)="No","No",
IF(_xlfn.XLOOKUP(E32,Groups!A:A,Groups!N:N)="Crocodile",EXP(0.8129*LN(C32)+4.6742)*S32,
IF(_xlfn.XLOOKUP(E32,Groups!A:A,Groups!N:N)="Felid",EXP(0.7843*LN(C32)+4.7073)*S32,
IF(_xlfn.XLOOKUP(E32,Groups!A:A,Groups!N:N)="Canid",EXP(0.8367*LN(C32)+4.8763)*S32,
IF(_xlfn.XLOOKUP(E32,Groups!A:A,Groups!N:N)="Pig",EXP(0.3439*LN(C32)+6.8519)*S32,
IF(_xlfn.XLOOKUP(E32,Groups!A:A,Groups!N:N)="Rodent",EXP(0.5625*LN(C32)+4.3006)*S32,
IF(_xlfn.XLOOKUP(E32,Groups!A:A,Groups!N:N)="Primate",EXP(0.7847*LN(C32)+3.4931)*S32,
IF(_xlfn.XLOOKUP(E32,Groups!A:A,Groups!N:N)="MiscCarnivora",EXP(0.7486*LN(C32)+4.2207)*S32,
IF(_xlfn.XLOOKUP(E32,Groups!A:A,Groups!N:N)="Lizard",EXP(0.7733*LN(C32)+5.5303)*S32,
IF(_xlfn.XLOOKUP(E32,Groups!A:A,Groups!N:N)="Snake",50*C32^(2/3)*S32,
IF(_xlfn.XLOOKUP(E32,Groups!A:A,Groups!N:N)="StrongBitingHerbivore",87.1133638856975*C32^(2/3)*S32,
IF(_xlfn.XLOOKUP(E32,Groups!A:A,Groups!N:N)="MiscEctotherms",59.4316884072269*C32^(2/3)*S32,
IF(_xlfn.XLOOKUP(E32,Groups!A:A,Groups!N:N)="StrongBeakBird",0.041*(C32*1000)^1.375*S32,
IF(_xlfn.XLOOKUP(E32,Groups!A:A,Groups!N:N)="Bird",0.118*(C32*1000)^0.692*S32,
IF(_xlfn.XLOOKUP(E32,Groups!A:A,Groups!N:N)="Insect",EXP(0.7444*LN(C32)+6.5696)*S32,
IF(_xlfn.XLOOKUP(E32,Groups!A:A,Groups!N:N)="Theropod",EXP(0.6966*LN(C32)+4.158)*S32,
"No"))))))))))))))))</f>
        <v>350.42949816794163</v>
      </c>
      <c r="AU32" s="8">
        <f>IF(_xlfn.XLOOKUP(E32,Groups!A:A,Groups!U:U)=3,AS32,IF(_xlfn.XLOOKUP(E32,Groups!A:A,Groups!U:U)=2,AR32,AT32))</f>
        <v>350.42949816794163</v>
      </c>
      <c r="AV32" s="46">
        <f>IFERROR(AVERAGE(_xlfn.XLOOKUP(B32,Animals!B:B,Animals!N:N),_xlfn.XLOOKUP(B32,Animals!B:B,Animals!O:O)),0)</f>
        <v>0</v>
      </c>
      <c r="AW32" s="8">
        <f>MROUND(40*Animals!AO32*_xlfn.XLOOKUP(AG32,Leathers!$A$2:$A$99,Leathers!$B$2:$B$99,0)+(140*_xlfn.XLOOKUP(B32,Animals!B:B,Animals!AO:AO)*2),5)</f>
        <v>90</v>
      </c>
      <c r="AX32" s="8">
        <f>IFERROR(ROUND(SQRT(V32-1)*IF(_xlfn.XLOOKUP(E32,Groups!A:A,Groups!BF:BF)=0,2,1)*IF(_xlfn.XLOOKUP('Base stats'!E32,Groups!A:A,Groups!O:O)=0,1,0.1),1),0)</f>
        <v>0</v>
      </c>
      <c r="AY32" s="8">
        <f t="shared" si="12"/>
        <v>0</v>
      </c>
      <c r="AZ32" s="8">
        <f t="shared" si="13"/>
        <v>0</v>
      </c>
      <c r="BA32" s="8">
        <f t="shared" si="14"/>
        <v>0.7</v>
      </c>
      <c r="BB32" s="8">
        <f>IF(_xlfn.XLOOKUP(E32,Groups!A:A,Groups!N:N)="Insect",BD32*2.5,IFERROR(AVERAGE(BD32,AT32/9.81/IF(OR(_xlfn.XLOOKUP(E32,Groups!A:A,Groups!N:N)="Pig",_xlfn.XLOOKUP(E32,Groups!A:A,Groups!N:N)="StrongBitingHerbivore"),20,25))*C32^-0.135,BD32))</f>
        <v>0.70007432845739126</v>
      </c>
      <c r="BC32" s="8" t="str">
        <f>IF(W32="No","No",IF(_xlfn.XLOOKUP(E32,Groups!A:A,Groups!U:U)=1,'Base stats'!BB32,IF(OR(_xlfn.XLOOKUP(E32,Groups!A:A,Groups!BD:BD)=1,_xlfn.XLOOKUP(E32,Groups!A:A,Groups!U:U)=2),BD32,IF(_xlfn.XLOOKUP(B32,Animals!B:B,Animals!AO:AO)&gt;4,AVERAGE(BD32,BF32),BF32))))</f>
        <v>No</v>
      </c>
      <c r="BD32" s="8">
        <f t="shared" si="15"/>
        <v>5.4018610133347036E-2</v>
      </c>
      <c r="BE32" s="8">
        <f>IF(_xlfn.XLOOKUP(E32,Groups!A:A,Groups!BE:BE)=1,(0.048*C32^1.01)+(0.071*C32^1.03),0.071*C32^1.03)/IF(_xlfn.XLOOKUP(E32,Groups!A:A,Groups!M:M)=1,0.85,IF(OR(_xlfn.XLOOKUP(B32,Animals!B:B,Animals!AO:AO)&gt;4,_xlfn.XLOOKUP(E32,Groups!A:A,Groups!BC:BC)=1),1.7,1))*C32^-0.25</f>
        <v>9.8927643646205904E-2</v>
      </c>
      <c r="BF32" s="8">
        <f>(0.048*C32^1.01)/IF(_xlfn.XLOOKUP(E32,Groups!A:A,Groups!M:M)=1,0.25,0.8)*C32^-0.25</f>
        <v>8.2892786271995381E-2</v>
      </c>
      <c r="BG32" s="8">
        <f>EXP(1.076*LN(AR32)-4.5397)*IF(_xlfn.XLOOKUP(E32,Groups!A:A,Groups!BC:BC)=1,1.25,IF(_xlfn.XLOOKUP(E32,Groups!A:A,Groups!BD:BD)=1,3.5,2.5))</f>
        <v>2.894497109254401</v>
      </c>
      <c r="BH32" s="8">
        <f>EXP(1.076*LN(AS32)-4.5397)*IF(_xlfn.XLOOKUP(E32,Groups!A:A,Groups!M:M)=1,0.8,IF(_xlfn.XLOOKUP(E32,Groups!A:A,Groups!BC:BC)=1,1.3,3))</f>
        <v>4.603985596116086</v>
      </c>
      <c r="BI32" s="8" t="str">
        <f>IF(W32="No","No",IF(_xlfn.XLOOKUP(E32,Groups!A:A,Groups!U:U)=1,'Base stats'!BJ32,IF(OR(_xlfn.XLOOKUP(E32,Groups!A:A,Groups!BD:BD)=1,_xlfn.XLOOKUP(E32,Groups!A:A,Groups!U:U)=2),BG32,BH32))*1.2)</f>
        <v>No</v>
      </c>
      <c r="BJ32" s="8">
        <f>IFERROR(EXP(1.076*LN(AT32)-4.5397)*IF(_xlfn.XLOOKUP(E32,Groups!A:A,Groups!N:N)="Insect",1,IF(OR(_xlfn.XLOOKUP(E32,Groups!A:A,Groups!N:N)="Pig",_xlfn.XLOOKUP(E32,Groups!A:A,Groups!N:N)="StrongBitingHerbivore"),3.5,3.75)),"No")</f>
        <v>21.900544615357333</v>
      </c>
      <c r="BK32" s="8">
        <f t="shared" si="16"/>
        <v>10</v>
      </c>
      <c r="BL32" s="8">
        <f t="shared" si="17"/>
        <v>9</v>
      </c>
      <c r="BM32" s="8" t="str">
        <f t="shared" si="18"/>
        <v>No</v>
      </c>
      <c r="BN32" s="8">
        <f t="shared" si="19"/>
        <v>7</v>
      </c>
      <c r="BO32" s="8">
        <f t="shared" si="20"/>
        <v>10</v>
      </c>
      <c r="BP32" s="8" cm="1">
        <f t="array" ref="BP32">IF(AND(_xlfn.XLOOKUP('Base stats'!E32,Groups!A:A,Groups!AD:AD=0),_xlfn.XLOOKUP('Base stats'!E32,Groups!A:A,Groups!P:P=0)),"No",IF(U32="No",AVERAGE(EXP(-0.57+0.99*LN(C32)),EXP(0.32+0.67*LN(C32)))/IF(_xlfn.XLOOKUP(E32,Groups!A:A,Groups!AD:AD)=1,10,2),(0.7354*C32^0.4078)*2/IF(_xlfn.XLOOKUP(E32,Groups!A:A,Groups!BK:BK)=1,1000,100)/IF(_xlfn.XLOOKUP(E32,Groups!A:A,Groups!AJ:AJ)="Photonozoa",3,1)))</f>
        <v>1.7493261435342175E-2</v>
      </c>
      <c r="BQ32" s="8" t="str">
        <f>IF(W32="No","No",IF(_xlfn.XLOOKUP(E32,Groups!A:A,Groups!BD:BD)=1,(AO32*5%),EXP(0.7354*LN(C32)^0.4078)*2/IF(_xlfn.XLOOKUP(E32,Groups!A:A,Groups!BL:BL)=1,1000,100)/IF(_xlfn.XLOOKUP(E32,Groups!A:A,Groups!AJ:AJ)="Photonozoa",3,1)))</f>
        <v>No</v>
      </c>
      <c r="BR32" s="8">
        <f>IF(BJ32="No","No",IF(_xlfn.XLOOKUP(E32,Groups!A:A,Groups!BF:BF)=1,(0.0315*C32+2.1825)*2,(0.7354*C32^0.4078)*2)/IF(_xlfn.XLOOKUP(E32,Groups!A:A,Groups!BM:BM)=1,1000,100)/IF(_xlfn.XLOOKUP(E32,Groups!A:A,Groups!AJ:AJ)="Photonozoa",3,1))</f>
        <v>1.7493261435342175E-2</v>
      </c>
      <c r="BS32" s="8">
        <f t="shared" si="21"/>
        <v>3.9557670352344476E-2</v>
      </c>
      <c r="BT32" s="8">
        <f t="shared" si="22"/>
        <v>263.18623391830823</v>
      </c>
      <c r="BU32" s="8" t="str">
        <f t="shared" si="23"/>
        <v>No</v>
      </c>
      <c r="BV32" s="8">
        <f t="shared" si="24"/>
        <v>1251.9417660511829</v>
      </c>
      <c r="BW32" s="4">
        <v>0</v>
      </c>
      <c r="BX32" s="4">
        <v>1</v>
      </c>
    </row>
    <row r="33" spans="1:76" x14ac:dyDescent="0.25">
      <c r="A33" s="26" t="s">
        <v>166</v>
      </c>
      <c r="B33" s="6" t="s">
        <v>167</v>
      </c>
      <c r="C33" s="7">
        <v>8</v>
      </c>
      <c r="D33" s="7" t="s">
        <v>522</v>
      </c>
      <c r="E33" s="7" t="str">
        <f>Groups!$A$59</f>
        <v>Snake (VENOM)</v>
      </c>
      <c r="F33" s="7" t="str">
        <f t="shared" si="28"/>
        <v>Lay eggs</v>
      </c>
      <c r="G33" s="7">
        <v>5</v>
      </c>
      <c r="H33" s="7">
        <v>22.5</v>
      </c>
      <c r="I33" s="4">
        <v>0</v>
      </c>
      <c r="J33" s="7" t="str">
        <f t="shared" si="29"/>
        <v>Lay eggs</v>
      </c>
      <c r="K33" s="7" t="s">
        <v>522</v>
      </c>
      <c r="L33" s="7">
        <v>19</v>
      </c>
      <c r="M33" s="7" t="s">
        <v>631</v>
      </c>
      <c r="N33" s="4">
        <v>0</v>
      </c>
      <c r="O33" s="4">
        <v>0</v>
      </c>
      <c r="P33" s="4">
        <v>0</v>
      </c>
      <c r="Q33" s="4">
        <v>0</v>
      </c>
      <c r="R33" s="4" t="s">
        <v>40</v>
      </c>
      <c r="S33" s="7">
        <f>_xlfn.XLOOKUP(B33,[1]TeethAdjusters!$A:$A,[1]BiteAdjusters!$C:$C,1)</f>
        <v>1</v>
      </c>
      <c r="T33" s="7">
        <f>_xlfn.XLOOKUP(B33,[1]TeethAdjusters!$A:$A,[1]TeethAdjusters!$B:$B,1)</f>
        <v>1</v>
      </c>
      <c r="U33" s="7" t="s">
        <v>45</v>
      </c>
      <c r="V33" s="7">
        <f>MROUND(1.27,0.05)</f>
        <v>1.25</v>
      </c>
      <c r="W33" s="7" t="s">
        <v>45</v>
      </c>
      <c r="X33" s="7" t="s">
        <v>932</v>
      </c>
      <c r="Y33" s="4" t="s">
        <v>56</v>
      </c>
      <c r="Z33" s="4">
        <v>1</v>
      </c>
      <c r="AA33" s="4">
        <v>1</v>
      </c>
      <c r="AB33" s="4">
        <v>0</v>
      </c>
      <c r="AC33" s="4">
        <v>0</v>
      </c>
      <c r="AD33" s="4">
        <v>0</v>
      </c>
      <c r="AE33" s="4" t="s">
        <v>45</v>
      </c>
      <c r="AF33" s="4" t="s">
        <v>45</v>
      </c>
      <c r="AG33" s="49" t="s">
        <v>386</v>
      </c>
      <c r="AH33" s="4" t="s">
        <v>45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4" t="s">
        <v>40</v>
      </c>
      <c r="AO33" s="8">
        <f t="shared" si="10"/>
        <v>4288.757300426314</v>
      </c>
      <c r="AP33" s="8">
        <f>IFERROR(C33*_xlfn.XLOOKUP(E33,Groups!A:A,Groups!K:K),0.106*C33^0.94)</f>
        <v>0.74853214085447506</v>
      </c>
      <c r="AQ33" s="8">
        <f>AP33*10000/(_xlfn.XLOOKUP(E33,Groups!A:A,Groups!J:J)*AO33)</f>
        <v>1.6012254520921798</v>
      </c>
      <c r="AR33" s="8">
        <f t="shared" si="11"/>
        <v>314.9784646370465</v>
      </c>
      <c r="AS33" s="8">
        <f>IF(_xlfn.XLOOKUP(E33,Groups!A:A,Groups!M:M)=1,EXP(0.7444*LN('Base stats'!C33)+6.5696),EXP(0.7927*LN('Base stats'!C33)+4.28))</f>
        <v>375.54312447761004</v>
      </c>
      <c r="AT33" s="8">
        <f>IF(_xlfn.XLOOKUP(E33,Groups!A:A,Groups!N:N)="No","No",
IF(_xlfn.XLOOKUP(E33,Groups!A:A,Groups!N:N)="Crocodile",EXP(0.8129*LN(C33)+4.6742)*S33,
IF(_xlfn.XLOOKUP(E33,Groups!A:A,Groups!N:N)="Felid",EXP(0.7843*LN(C33)+4.7073)*S33,
IF(_xlfn.XLOOKUP(E33,Groups!A:A,Groups!N:N)="Canid",EXP(0.8367*LN(C33)+4.8763)*S33,
IF(_xlfn.XLOOKUP(E33,Groups!A:A,Groups!N:N)="Pig",EXP(0.3439*LN(C33)+6.8519)*S33,
IF(_xlfn.XLOOKUP(E33,Groups!A:A,Groups!N:N)="Rodent",EXP(0.5625*LN(C33)+4.3006)*S33,
IF(_xlfn.XLOOKUP(E33,Groups!A:A,Groups!N:N)="Primate",EXP(0.7847*LN(C33)+3.4931)*S33,
IF(_xlfn.XLOOKUP(E33,Groups!A:A,Groups!N:N)="MiscCarnivora",EXP(0.7486*LN(C33)+4.2207)*S33,
IF(_xlfn.XLOOKUP(E33,Groups!A:A,Groups!N:N)="Lizard",EXP(0.7733*LN(C33)+5.5303)*S33,
IF(_xlfn.XLOOKUP(E33,Groups!A:A,Groups!N:N)="Snake",50*C33^(2/3)*S33,
IF(_xlfn.XLOOKUP(E33,Groups!A:A,Groups!N:N)="StrongBitingHerbivore",87.1133638856975*C33^(2/3)*S33,
IF(_xlfn.XLOOKUP(E33,Groups!A:A,Groups!N:N)="MiscEctotherms",59.4316884072269*C33^(2/3)*S33,
IF(_xlfn.XLOOKUP(E33,Groups!A:A,Groups!N:N)="StrongBeakBird",0.041*(C33*1000)^1.375*S33,
IF(_xlfn.XLOOKUP(E33,Groups!A:A,Groups!N:N)="Bird",0.118*(C33*1000)^0.692*S33,
IF(_xlfn.XLOOKUP(E33,Groups!A:A,Groups!N:N)="Insect",EXP(0.7444*LN(C33)+6.5696)*S33,
IF(_xlfn.XLOOKUP(E33,Groups!A:A,Groups!N:N)="Theropod",EXP(0.6966*LN(C33)+4.158)*S33,
"No"))))))))))))))))</f>
        <v>199.99999999999994</v>
      </c>
      <c r="AU33" s="8">
        <f>IF(_xlfn.XLOOKUP(E33,Groups!A:A,Groups!U:U)=3,AS33,IF(_xlfn.XLOOKUP(E33,Groups!A:A,Groups!U:U)=2,AR33,AT33))</f>
        <v>199.99999999999994</v>
      </c>
      <c r="AV33" s="46">
        <f>IFERROR(AVERAGE(_xlfn.XLOOKUP(B33,Animals!B:B,Animals!N:N),_xlfn.XLOOKUP(B33,Animals!B:B,Animals!O:O)),0)</f>
        <v>0</v>
      </c>
      <c r="AW33" s="8">
        <f>MROUND(40*Animals!AO33*_xlfn.XLOOKUP(AG33,Leathers!$A$2:$A$99,Leathers!$B$2:$B$99,0)+(140*_xlfn.XLOOKUP(B33,Animals!B:B,Animals!AO:AO)*2),5)</f>
        <v>180</v>
      </c>
      <c r="AX33" s="8">
        <f>IFERROR(ROUND(SQRT(V33-1)*IF(_xlfn.XLOOKUP(E33,Groups!A:A,Groups!BF:BF)=0,2,1)*IF(_xlfn.XLOOKUP('Base stats'!E33,Groups!A:A,Groups!O:O)=0,1,0.1),1),0)</f>
        <v>1</v>
      </c>
      <c r="AY33" s="8">
        <f t="shared" si="12"/>
        <v>0</v>
      </c>
      <c r="AZ33" s="8">
        <f t="shared" si="13"/>
        <v>0</v>
      </c>
      <c r="BA33" s="8">
        <f t="shared" si="14"/>
        <v>1.4</v>
      </c>
      <c r="BB33" s="8">
        <f>IF(_xlfn.XLOOKUP(E33,Groups!A:A,Groups!N:N)="Insect",BD33*2.5,IFERROR(AVERAGE(BD33,AT33/9.81/IF(OR(_xlfn.XLOOKUP(E33,Groups!A:A,Groups!N:N)="Pig",_xlfn.XLOOKUP(E33,Groups!A:A,Groups!N:N)="StrongBitingHerbivore"),20,25))*C33^-0.135,BD33))</f>
        <v>0.39127650212614778</v>
      </c>
      <c r="BC33" s="8" t="str">
        <f>IF(W33="No","No",IF(_xlfn.XLOOKUP(E33,Groups!A:A,Groups!U:U)=1,'Base stats'!BB33,IF(OR(_xlfn.XLOOKUP(E33,Groups!A:A,Groups!BD:BD)=1,_xlfn.XLOOKUP(E33,Groups!A:A,Groups!U:U)=2),BD33,IF(_xlfn.XLOOKUP(B33,Animals!B:B,Animals!AO:AO)&gt;4,AVERAGE(BD33,BF33),BF33))))</f>
        <v>No</v>
      </c>
      <c r="BD33" s="8">
        <f t="shared" si="15"/>
        <v>0.22067536125102225</v>
      </c>
      <c r="BE33" s="8">
        <f>IF(_xlfn.XLOOKUP(E33,Groups!A:A,Groups!BE:BE)=1,(0.048*C33^1.01)+(0.071*C33^1.03),0.071*C33^1.03)/IF(_xlfn.XLOOKUP(E33,Groups!A:A,Groups!M:M)=1,0.85,IF(OR(_xlfn.XLOOKUP(B33,Animals!B:B,Animals!AO:AO)&gt;4,_xlfn.XLOOKUP(E33,Groups!A:A,Groups!BC:BC)=1),1.7,1))*C33^-0.25</f>
        <v>0.3594748726875594</v>
      </c>
      <c r="BF33" s="8">
        <f>(0.048*C33^1.01)/IF(_xlfn.XLOOKUP(E33,Groups!A:A,Groups!M:M)=1,0.25,0.8)*C33^-0.25</f>
        <v>0.29140677225481115</v>
      </c>
      <c r="BG33" s="8">
        <f>EXP(1.076*LN(AR33)-4.5397)*IF(_xlfn.XLOOKUP(E33,Groups!A:A,Groups!BC:BC)=1,1.25,IF(_xlfn.XLOOKUP(E33,Groups!A:A,Groups!BD:BD)=1,3.5,2.5))</f>
        <v>13.017379206175637</v>
      </c>
      <c r="BH33" s="8">
        <f>EXP(1.076*LN(AS33)-4.5397)*IF(_xlfn.XLOOKUP(E33,Groups!A:A,Groups!M:M)=1,0.8,IF(_xlfn.XLOOKUP(E33,Groups!A:A,Groups!BC:BC)=1,1.3,3))</f>
        <v>18.875069369328124</v>
      </c>
      <c r="BI33" s="8" t="str">
        <f>IF(W33="No","No",IF(_xlfn.XLOOKUP(E33,Groups!A:A,Groups!U:U)=1,'Base stats'!BJ33,IF(OR(_xlfn.XLOOKUP(E33,Groups!A:A,Groups!BD:BD)=1,_xlfn.XLOOKUP(E33,Groups!A:A,Groups!U:U)=2),BG33,BH33))*1.2)</f>
        <v>No</v>
      </c>
      <c r="BJ33" s="8">
        <f>IFERROR(EXP(1.076*LN(AT33)-4.5397)*IF(_xlfn.XLOOKUP(E33,Groups!A:A,Groups!N:N)="Insect",1,IF(OR(_xlfn.XLOOKUP(E33,Groups!A:A,Groups!N:N)="Pig",_xlfn.XLOOKUP(E33,Groups!A:A,Groups!N:N)="StrongBitingHerbivore"),3.5,3.75)),"No")</f>
        <v>11.977684893457671</v>
      </c>
      <c r="BK33" s="8">
        <f t="shared" si="16"/>
        <v>10</v>
      </c>
      <c r="BL33" s="8">
        <f t="shared" si="17"/>
        <v>10</v>
      </c>
      <c r="BM33" s="8" t="str">
        <f t="shared" si="18"/>
        <v>No</v>
      </c>
      <c r="BN33" s="8">
        <f t="shared" si="19"/>
        <v>7</v>
      </c>
      <c r="BO33" s="8">
        <f t="shared" si="20"/>
        <v>11</v>
      </c>
      <c r="BP33" s="8" t="str" cm="1">
        <f t="array" ref="BP33">IF(AND(_xlfn.XLOOKUP('Base stats'!E33,Groups!A:A,Groups!AD:AD=0),_xlfn.XLOOKUP('Base stats'!E33,Groups!A:A,Groups!P:P=0)),"No",IF(U33="No",AVERAGE(EXP(-0.57+0.99*LN(C33)),EXP(0.32+0.67*LN(C33)))/IF(_xlfn.XLOOKUP(E33,Groups!A:A,Groups!AD:AD)=1,10,2),(0.7354*C33^0.4078)*2/IF(_xlfn.XLOOKUP(E33,Groups!A:A,Groups!BK:BK)=1,1000,100)/IF(_xlfn.XLOOKUP(E33,Groups!A:A,Groups!AJ:AJ)="Photonozoa",3,1)))</f>
        <v>No</v>
      </c>
      <c r="BQ33" s="8" t="str">
        <f>IF(W33="No","No",IF(_xlfn.XLOOKUP(E33,Groups!A:A,Groups!BD:BD)=1,(AO33*5%),EXP(0.7354*LN(C33)^0.4078)*2/IF(_xlfn.XLOOKUP(E33,Groups!A:A,Groups!BL:BL)=1,1000,100)/IF(_xlfn.XLOOKUP(E33,Groups!A:A,Groups!AJ:AJ)="Photonozoa",3,1)))</f>
        <v>No</v>
      </c>
      <c r="BR33" s="8">
        <f>IF(BJ33="No","No",IF(_xlfn.XLOOKUP(E33,Groups!A:A,Groups!BF:BF)=1,(0.0315*C33+2.1825)*2,(0.7354*C33^0.4078)*2)/IF(_xlfn.XLOOKUP(E33,Groups!A:A,Groups!BM:BM)=1,1000,100)/IF(_xlfn.XLOOKUP(E33,Groups!A:A,Groups!AJ:AJ)="Photonozoa",3,1))</f>
        <v>3.434264320573633E-2</v>
      </c>
      <c r="BS33" s="8">
        <f t="shared" si="21"/>
        <v>6.07046670833142E-2</v>
      </c>
      <c r="BT33" s="8" t="str">
        <f t="shared" si="22"/>
        <v>No</v>
      </c>
      <c r="BU33" s="8" t="str">
        <f t="shared" si="23"/>
        <v>No</v>
      </c>
      <c r="BV33" s="8">
        <f t="shared" si="24"/>
        <v>348.77003559985184</v>
      </c>
      <c r="BW33" s="4">
        <v>0</v>
      </c>
      <c r="BX33" s="4">
        <v>1</v>
      </c>
    </row>
    <row r="34" spans="1:76" x14ac:dyDescent="0.25">
      <c r="A34" s="26" t="s">
        <v>169</v>
      </c>
      <c r="B34" s="6" t="s">
        <v>170</v>
      </c>
      <c r="C34" s="7">
        <v>26</v>
      </c>
      <c r="D34" s="7" t="s">
        <v>1148</v>
      </c>
      <c r="E34" s="7" t="str">
        <f>Groups!$A$62</f>
        <v>Turtle</v>
      </c>
      <c r="F34" s="7" t="str">
        <f t="shared" si="28"/>
        <v>Lay eggs</v>
      </c>
      <c r="G34" s="7">
        <v>15</v>
      </c>
      <c r="H34" s="7">
        <v>100</v>
      </c>
      <c r="I34" s="4">
        <v>1</v>
      </c>
      <c r="J34" s="7" t="str">
        <f t="shared" ref="J34" si="30">"Lay eggs"</f>
        <v>Lay eggs</v>
      </c>
      <c r="K34" s="7" t="s">
        <v>535</v>
      </c>
      <c r="L34" s="7">
        <f>0.28*3.6*5</f>
        <v>5.0400000000000009</v>
      </c>
      <c r="M34" s="7" t="s">
        <v>633</v>
      </c>
      <c r="N34" s="4">
        <v>0</v>
      </c>
      <c r="O34" s="4">
        <v>0</v>
      </c>
      <c r="P34" s="4">
        <v>0</v>
      </c>
      <c r="Q34" s="4">
        <v>0</v>
      </c>
      <c r="R34" s="4" t="s">
        <v>40</v>
      </c>
      <c r="S34" s="7">
        <f>_xlfn.XLOOKUP(B34,[1]TeethAdjusters!$A:$A,[1]BiteAdjusters!$C:$C,1)</f>
        <v>1</v>
      </c>
      <c r="T34" s="7">
        <f>_xlfn.XLOOKUP(B34,[1]TeethAdjusters!$A:$A,[1]TeethAdjusters!$B:$B,1)</f>
        <v>1</v>
      </c>
      <c r="U34" s="7" t="s">
        <v>45</v>
      </c>
      <c r="V34" s="7">
        <v>5</v>
      </c>
      <c r="W34" s="7" t="s">
        <v>45</v>
      </c>
      <c r="X34" s="7" t="s">
        <v>932</v>
      </c>
      <c r="Y34" s="4" t="s">
        <v>42</v>
      </c>
      <c r="Z34" s="4">
        <v>1</v>
      </c>
      <c r="AA34" s="4">
        <v>0</v>
      </c>
      <c r="AB34" s="4">
        <v>0</v>
      </c>
      <c r="AC34" s="4">
        <v>0</v>
      </c>
      <c r="AD34" s="4">
        <v>0</v>
      </c>
      <c r="AE34" s="4" t="s">
        <v>45</v>
      </c>
      <c r="AF34" s="4" t="s">
        <v>45</v>
      </c>
      <c r="AG34" s="49" t="s">
        <v>386</v>
      </c>
      <c r="AH34" s="4" t="s">
        <v>45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4" t="s">
        <v>40</v>
      </c>
      <c r="AO34" s="8">
        <f t="shared" si="10"/>
        <v>9226.8966253474555</v>
      </c>
      <c r="AP34" s="8">
        <f>IFERROR(C34*_xlfn.XLOOKUP(E34,Groups!A:A,Groups!K:K),0.106*C34^0.94)</f>
        <v>8.32</v>
      </c>
      <c r="AQ34" s="8">
        <f>AP34*10000/(_xlfn.XLOOKUP(E34,Groups!A:A,Groups!J:J)*AO34)</f>
        <v>6.7797866950837253</v>
      </c>
      <c r="AR34" s="8">
        <f t="shared" si="11"/>
        <v>852.44964986092737</v>
      </c>
      <c r="AS34" s="8">
        <f>IF(_xlfn.XLOOKUP(E34,Groups!A:A,Groups!M:M)=1,EXP(0.7444*LN('Base stats'!C34)+6.5696),EXP(0.7927*LN('Base stats'!C34)+4.28))</f>
        <v>955.93806528846119</v>
      </c>
      <c r="AT34" s="8">
        <f>IF(_xlfn.XLOOKUP(E34,Groups!A:A,Groups!N:N)="No","No",
IF(_xlfn.XLOOKUP(E34,Groups!A:A,Groups!N:N)="Crocodile",EXP(0.8129*LN(C34)+4.6742)*S34,
IF(_xlfn.XLOOKUP(E34,Groups!A:A,Groups!N:N)="Felid",EXP(0.7843*LN(C34)+4.7073)*S34,
IF(_xlfn.XLOOKUP(E34,Groups!A:A,Groups!N:N)="Canid",EXP(0.8367*LN(C34)+4.8763)*S34,
IF(_xlfn.XLOOKUP(E34,Groups!A:A,Groups!N:N)="Pig",EXP(0.3439*LN(C34)+6.8519)*S34,
IF(_xlfn.XLOOKUP(E34,Groups!A:A,Groups!N:N)="Rodent",EXP(0.5625*LN(C34)+4.3006)*S34,
IF(_xlfn.XLOOKUP(E34,Groups!A:A,Groups!N:N)="Primate",EXP(0.7847*LN(C34)+3.4931)*S34,
IF(_xlfn.XLOOKUP(E34,Groups!A:A,Groups!N:N)="MiscCarnivora",EXP(0.7486*LN(C34)+4.2207)*S34,
IF(_xlfn.XLOOKUP(E34,Groups!A:A,Groups!N:N)="Lizard",EXP(0.7733*LN(C34)+5.5303)*S34,
IF(_xlfn.XLOOKUP(E34,Groups!A:A,Groups!N:N)="Snake",50*C34^(2/3)*S34,
IF(_xlfn.XLOOKUP(E34,Groups!A:A,Groups!N:N)="StrongBitingHerbivore",87.1133638856975*C34^(2/3)*S34,
IF(_xlfn.XLOOKUP(E34,Groups!A:A,Groups!N:N)="MiscEctotherms",59.4316884072269*C34^(2/3)*S34,
IF(_xlfn.XLOOKUP(E34,Groups!A:A,Groups!N:N)="StrongBeakBird",0.041*(C34*1000)^1.375*S34,
IF(_xlfn.XLOOKUP(E34,Groups!A:A,Groups!N:N)="Bird",0.118*(C34*1000)^0.692*S34,
IF(_xlfn.XLOOKUP(E34,Groups!A:A,Groups!N:N)="Insect",EXP(0.7444*LN(C34)+6.5696)*S34,
IF(_xlfn.XLOOKUP(E34,Groups!A:A,Groups!N:N)="Theropod",EXP(0.6966*LN(C34)+4.158)*S34,
"No"))))))))))))))))</f>
        <v>521.5952571436178</v>
      </c>
      <c r="AU34" s="8">
        <f>IF(_xlfn.XLOOKUP(E34,Groups!A:A,Groups!U:U)=3,AS34,IF(_xlfn.XLOOKUP(E34,Groups!A:A,Groups!U:U)=2,AR34,AT34))</f>
        <v>521.5952571436178</v>
      </c>
      <c r="AV34" s="46">
        <f>IFERROR(AVERAGE(_xlfn.XLOOKUP(B34,Animals!B:B,Animals!N:N),_xlfn.XLOOKUP(B34,Animals!B:B,Animals!O:O)),0)</f>
        <v>0.70000000000000007</v>
      </c>
      <c r="AW34" s="8">
        <f>MROUND(40*Animals!AO34*_xlfn.XLOOKUP(AG34,Leathers!$A$2:$A$99,Leathers!$B$2:$B$99,0)+(140*_xlfn.XLOOKUP(B34,Animals!B:B,Animals!AO:AO)*2),5)</f>
        <v>295</v>
      </c>
      <c r="AX34" s="8">
        <f>IFERROR(ROUND(SQRT(V34-1)*IF(_xlfn.XLOOKUP(E34,Groups!A:A,Groups!BF:BF)=0,2,1)*IF(_xlfn.XLOOKUP('Base stats'!E34,Groups!A:A,Groups!O:O)=0,1,0.1),1),0)</f>
        <v>0.2</v>
      </c>
      <c r="AY34" s="8">
        <f t="shared" si="12"/>
        <v>0</v>
      </c>
      <c r="AZ34" s="8">
        <f t="shared" si="13"/>
        <v>0</v>
      </c>
      <c r="BA34" s="8">
        <f t="shared" si="14"/>
        <v>2.6</v>
      </c>
      <c r="BB34" s="8">
        <f>IF(_xlfn.XLOOKUP(E34,Groups!A:A,Groups!N:N)="Insect",BD34*2.5,IFERROR(AVERAGE(BD34,AT34/9.81/IF(OR(_xlfn.XLOOKUP(E34,Groups!A:A,Groups!N:N)="Pig",_xlfn.XLOOKUP(E34,Groups!A:A,Groups!N:N)="StrongBitingHerbivore"),20,25))*C34^-0.135,BD34))</f>
        <v>0.83224612092977912</v>
      </c>
      <c r="BC34" s="8" t="str">
        <f>IF(W34="No","No",IF(_xlfn.XLOOKUP(E34,Groups!A:A,Groups!U:U)=1,'Base stats'!BB34,IF(OR(_xlfn.XLOOKUP(E34,Groups!A:A,Groups!BD:BD)=1,_xlfn.XLOOKUP(E34,Groups!A:A,Groups!U:U)=2),BD34,IF(_xlfn.XLOOKUP(B34,Animals!B:B,Animals!AO:AO)&gt;4,AVERAGE(BD34,BF34),BF34))))</f>
        <v>No</v>
      </c>
      <c r="BD34" s="8">
        <f t="shared" si="15"/>
        <v>0.4572734342942808</v>
      </c>
      <c r="BE34" s="8">
        <f>IF(_xlfn.XLOOKUP(E34,Groups!A:A,Groups!BE:BE)=1,(0.048*C34^1.01)+(0.071*C34^1.03),0.071*C34^1.03)/IF(_xlfn.XLOOKUP(E34,Groups!A:A,Groups!M:M)=1,0.85,IF(OR(_xlfn.XLOOKUP(B34,Animals!B:B,Animals!AO:AO)&gt;4,_xlfn.XLOOKUP(E34,Groups!A:A,Groups!BC:BC)=1),1.7,1))*C34^-0.25</f>
        <v>0.53025972073343663</v>
      </c>
      <c r="BF34" s="8">
        <f>(0.048*C34^1.01)/IF(_xlfn.XLOOKUP(E34,Groups!A:A,Groups!M:M)=1,0.25,0.8)*C34^-0.25</f>
        <v>0.71372514062620962</v>
      </c>
      <c r="BG34" s="8">
        <f>EXP(1.076*LN(AR34)-4.5397)*IF(_xlfn.XLOOKUP(E34,Groups!A:A,Groups!BC:BC)=1,1.25,IF(_xlfn.XLOOKUP(E34,Groups!A:A,Groups!BD:BD)=1,3.5,2.5))</f>
        <v>18.999532470570877</v>
      </c>
      <c r="BH34" s="8">
        <f>EXP(1.076*LN(AS34)-4.5397)*IF(_xlfn.XLOOKUP(E34,Groups!A:A,Groups!M:M)=1,0.8,IF(_xlfn.XLOOKUP(E34,Groups!A:A,Groups!BC:BC)=1,1.3,3))</f>
        <v>22.352140040075696</v>
      </c>
      <c r="BI34" s="8" t="str">
        <f>IF(W34="No","No",IF(_xlfn.XLOOKUP(E34,Groups!A:A,Groups!U:U)=1,'Base stats'!BJ34,IF(OR(_xlfn.XLOOKUP(E34,Groups!A:A,Groups!BD:BD)=1,_xlfn.XLOOKUP(E34,Groups!A:A,Groups!U:U)=2),BG34,BH34))*1.2)</f>
        <v>No</v>
      </c>
      <c r="BJ34" s="8">
        <f>IFERROR(EXP(1.076*LN(AT34)-4.5397)*IF(_xlfn.XLOOKUP(E34,Groups!A:A,Groups!N:N)="Insect",1,IF(OR(_xlfn.XLOOKUP(E34,Groups!A:A,Groups!N:N)="Pig",_xlfn.XLOOKUP(E34,Groups!A:A,Groups!N:N)="StrongBitingHerbivore"),3.5,3.75)),"No")</f>
        <v>33.598168057916546</v>
      </c>
      <c r="BK34" s="8">
        <f t="shared" si="16"/>
        <v>9</v>
      </c>
      <c r="BL34" s="8">
        <f t="shared" si="17"/>
        <v>9</v>
      </c>
      <c r="BM34" s="8" t="str">
        <f t="shared" si="18"/>
        <v>No</v>
      </c>
      <c r="BN34" s="8">
        <f t="shared" si="19"/>
        <v>8</v>
      </c>
      <c r="BO34" s="8">
        <f t="shared" si="20"/>
        <v>7</v>
      </c>
      <c r="BP34" s="8" t="str" cm="1">
        <f t="array" ref="BP34">IF(AND(_xlfn.XLOOKUP('Base stats'!E34,Groups!A:A,Groups!AD:AD=0),_xlfn.XLOOKUP('Base stats'!E34,Groups!A:A,Groups!P:P=0)),"No",IF(U34="No",AVERAGE(EXP(-0.57+0.99*LN(C34)),EXP(0.32+0.67*LN(C34)))/IF(_xlfn.XLOOKUP(E34,Groups!A:A,Groups!AD:AD)=1,10,2),(0.7354*C34^0.4078)*2/IF(_xlfn.XLOOKUP(E34,Groups!A:A,Groups!BK:BK)=1,1000,100)/IF(_xlfn.XLOOKUP(E34,Groups!A:A,Groups!AJ:AJ)="Photonozoa",3,1)))</f>
        <v>No</v>
      </c>
      <c r="BQ34" s="8" t="str">
        <f>IF(W34="No","No",IF(_xlfn.XLOOKUP(E34,Groups!A:A,Groups!BD:BD)=1,(AO34*5%),EXP(0.7354*LN(C34)^0.4078)*2/IF(_xlfn.XLOOKUP(E34,Groups!A:A,Groups!BL:BL)=1,1000,100)/IF(_xlfn.XLOOKUP(E34,Groups!A:A,Groups!AJ:AJ)="Photonozoa",3,1)))</f>
        <v>No</v>
      </c>
      <c r="BR34" s="8">
        <f>IF(BJ34="No","No",IF(_xlfn.XLOOKUP(E34,Groups!A:A,Groups!BF:BF)=1,(0.0315*C34+2.1825)*2,(0.7354*C34^0.4078)*2)/IF(_xlfn.XLOOKUP(E34,Groups!A:A,Groups!BM:BM)=1,1000,100)/IF(_xlfn.XLOOKUP(E34,Groups!A:A,Groups!AJ:AJ)="Photonozoa",3,1))</f>
        <v>6.003E-2</v>
      </c>
      <c r="BS34" s="8">
        <f t="shared" si="21"/>
        <v>4.1182931254213365E-2</v>
      </c>
      <c r="BT34" s="8" t="str">
        <f t="shared" si="22"/>
        <v>No</v>
      </c>
      <c r="BU34" s="8" t="str">
        <f t="shared" si="23"/>
        <v>No</v>
      </c>
      <c r="BV34" s="8">
        <f t="shared" si="24"/>
        <v>559.68962282053212</v>
      </c>
      <c r="BW34" s="4">
        <v>0</v>
      </c>
      <c r="BX34" s="4">
        <v>1</v>
      </c>
    </row>
    <row r="35" spans="1:76" x14ac:dyDescent="0.25">
      <c r="A35" s="26" t="s">
        <v>133</v>
      </c>
      <c r="B35" s="6" t="s">
        <v>134</v>
      </c>
      <c r="C35" s="7">
        <v>0.3</v>
      </c>
      <c r="D35" s="7" t="s">
        <v>523</v>
      </c>
      <c r="E35" s="7" t="str">
        <f>Groups!$A$50</f>
        <v>Rodent (SCAVENGER)</v>
      </c>
      <c r="F35" s="7">
        <v>21</v>
      </c>
      <c r="G35" s="7">
        <f>90/365</f>
        <v>0.24657534246575341</v>
      </c>
      <c r="H35" s="7">
        <v>3.8</v>
      </c>
      <c r="I35" s="4">
        <v>0</v>
      </c>
      <c r="J35" s="7">
        <v>9.9</v>
      </c>
      <c r="K35" s="7" t="s">
        <v>523</v>
      </c>
      <c r="L35" s="7">
        <f>AVERAGE(1.22,1.85)*3.6*(23.3/11)</f>
        <v>11.705072727272729</v>
      </c>
      <c r="M35" s="7" t="s">
        <v>630</v>
      </c>
      <c r="N35" s="4">
        <v>0</v>
      </c>
      <c r="O35" s="4">
        <v>0</v>
      </c>
      <c r="P35" s="4">
        <v>-10</v>
      </c>
      <c r="Q35" s="4">
        <v>0</v>
      </c>
      <c r="R35" s="4">
        <v>0.8</v>
      </c>
      <c r="S35" s="7">
        <f>_xlfn.XLOOKUP(B35,[1]TeethAdjusters!$A:$A,[1]BiteAdjusters!$C:$C,1)</f>
        <v>1.2301255004119624</v>
      </c>
      <c r="T35" s="7">
        <f>_xlfn.XLOOKUP(B35,[1]TeethAdjusters!$A:$A,[1]TeethAdjusters!$B:$B,1)</f>
        <v>1</v>
      </c>
      <c r="U35" s="7" t="s">
        <v>45</v>
      </c>
      <c r="V35" s="7">
        <f>MROUND(AVERAGE(4/10,7/10),0.05)</f>
        <v>0.55000000000000004</v>
      </c>
      <c r="W35" s="7" t="s">
        <v>45</v>
      </c>
      <c r="X35" s="7" t="s">
        <v>932</v>
      </c>
      <c r="Y35" s="4" t="s">
        <v>1003</v>
      </c>
      <c r="Z35" s="4">
        <v>1</v>
      </c>
      <c r="AA35" s="4">
        <v>0</v>
      </c>
      <c r="AB35" s="4">
        <v>0</v>
      </c>
      <c r="AC35" s="4">
        <v>0</v>
      </c>
      <c r="AD35" s="4">
        <v>0</v>
      </c>
      <c r="AE35" s="4" t="s">
        <v>45</v>
      </c>
      <c r="AF35" s="4" t="s">
        <v>400</v>
      </c>
      <c r="AG35" s="49" t="s">
        <v>385</v>
      </c>
      <c r="AH35" s="4" t="s">
        <v>45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4" t="s">
        <v>40</v>
      </c>
      <c r="AO35" s="8">
        <f t="shared" si="10"/>
        <v>507.51840257727082</v>
      </c>
      <c r="AP35" s="8">
        <f>IFERROR(C35*_xlfn.XLOOKUP(E35,Groups!A:A,Groups!K:K),0.106*C35^0.94)</f>
        <v>3.4182186918603891E-2</v>
      </c>
      <c r="AQ35" s="8">
        <f>AP35*10000/(_xlfn.XLOOKUP(E35,Groups!A:A,Groups!J:J)*AO35)</f>
        <v>0.61790477652100573</v>
      </c>
      <c r="AR35" s="8">
        <f t="shared" si="11"/>
        <v>19.668220728047135</v>
      </c>
      <c r="AS35" s="8">
        <f>IF(_xlfn.XLOOKUP(E35,Groups!A:A,Groups!M:M)=1,EXP(0.7444*LN('Base stats'!C35)+6.5696),EXP(0.7927*LN('Base stats'!C35)+4.28))</f>
        <v>27.81598228970504</v>
      </c>
      <c r="AT35" s="8">
        <f>IF(_xlfn.XLOOKUP(E35,Groups!A:A,Groups!N:N)="No","No",
IF(_xlfn.XLOOKUP(E35,Groups!A:A,Groups!N:N)="Crocodile",EXP(0.8129*LN(C35)+4.6742)*S35,
IF(_xlfn.XLOOKUP(E35,Groups!A:A,Groups!N:N)="Felid",EXP(0.7843*LN(C35)+4.7073)*S35,
IF(_xlfn.XLOOKUP(E35,Groups!A:A,Groups!N:N)="Canid",EXP(0.8367*LN(C35)+4.8763)*S35,
IF(_xlfn.XLOOKUP(E35,Groups!A:A,Groups!N:N)="Pig",EXP(0.3439*LN(C35)+6.8519)*S35,
IF(_xlfn.XLOOKUP(E35,Groups!A:A,Groups!N:N)="Rodent",EXP(0.5625*LN(C35)+4.3006)*S35,
IF(_xlfn.XLOOKUP(E35,Groups!A:A,Groups!N:N)="Primate",EXP(0.7847*LN(C35)+3.4931)*S35,
IF(_xlfn.XLOOKUP(E35,Groups!A:A,Groups!N:N)="MiscCarnivora",EXP(0.7486*LN(C35)+4.2207)*S35,
IF(_xlfn.XLOOKUP(E35,Groups!A:A,Groups!N:N)="Lizard",EXP(0.7733*LN(C35)+5.5303)*S35,
IF(_xlfn.XLOOKUP(E35,Groups!A:A,Groups!N:N)="Snake",50*C35^(2/3)*S35,
IF(_xlfn.XLOOKUP(E35,Groups!A:A,Groups!N:N)="StrongBitingHerbivore",87.1133638856975*C35^(2/3)*S35,
IF(_xlfn.XLOOKUP(E35,Groups!A:A,Groups!N:N)="MiscEctotherms",59.4316884072269*C35^(2/3)*S35,
IF(_xlfn.XLOOKUP(E35,Groups!A:A,Groups!N:N)="StrongBeakBird",0.041*(C35*1000)^1.375*S35,
IF(_xlfn.XLOOKUP(E35,Groups!A:A,Groups!N:N)="Bird",0.118*(C35*1000)^0.692*S35,
IF(_xlfn.XLOOKUP(E35,Groups!A:A,Groups!N:N)="Insect",EXP(0.7444*LN(C35)+6.5696)*S35,
IF(_xlfn.XLOOKUP(E35,Groups!A:A,Groups!N:N)="Theropod",EXP(0.6966*LN(C35)+4.158)*S35,
"No"))))))))))))))))</f>
        <v>46.084722438052424</v>
      </c>
      <c r="AU35" s="8">
        <f>IF(_xlfn.XLOOKUP(E35,Groups!A:A,Groups!U:U)=3,AS35,IF(_xlfn.XLOOKUP(E35,Groups!A:A,Groups!U:U)=2,AR35,AT35))</f>
        <v>46.084722438052424</v>
      </c>
      <c r="AV35" s="46">
        <f>IFERROR(AVERAGE(_xlfn.XLOOKUP(B35,Animals!B:B,Animals!N:N),_xlfn.XLOOKUP(B35,Animals!B:B,Animals!O:O)),0)</f>
        <v>0</v>
      </c>
      <c r="AW35" s="8">
        <f>MROUND(40*Animals!AO35*_xlfn.XLOOKUP(AG35,Leathers!$A$2:$A$99,Leathers!$B$2:$B$99,0)+(140*_xlfn.XLOOKUP(B35,Animals!B:B,Animals!AO:AO)*2),5)</f>
        <v>35</v>
      </c>
      <c r="AX35" s="8">
        <f>IFERROR(ROUND(SQRT(V35-1)*IF(_xlfn.XLOOKUP(E35,Groups!A:A,Groups!BF:BF)=0,2,1)*IF(_xlfn.XLOOKUP('Base stats'!E35,Groups!A:A,Groups!O:O)=0,1,0.1),1),0)</f>
        <v>0</v>
      </c>
      <c r="AY35" s="8">
        <f t="shared" si="12"/>
        <v>0</v>
      </c>
      <c r="AZ35" s="8">
        <f t="shared" si="13"/>
        <v>0</v>
      </c>
      <c r="BA35" s="8">
        <f t="shared" si="14"/>
        <v>0.4</v>
      </c>
      <c r="BB35" s="8">
        <f>IF(_xlfn.XLOOKUP(E35,Groups!A:A,Groups!N:N)="Insect",BD35*2.5,IFERROR(AVERAGE(BD35,AT35/9.81/IF(OR(_xlfn.XLOOKUP(E35,Groups!A:A,Groups!N:N)="Pig",_xlfn.XLOOKUP(E35,Groups!A:A,Groups!N:N)="StrongBitingHerbivore"),20,25))*C35^-0.135,BD35))</f>
        <v>0.11983910660182714</v>
      </c>
      <c r="BC35" s="8" t="str">
        <f>IF(W35="No","No",IF(_xlfn.XLOOKUP(E35,Groups!A:A,Groups!U:U)=1,'Base stats'!BB35,IF(OR(_xlfn.XLOOKUP(E35,Groups!A:A,Groups!BD:BD)=1,_xlfn.XLOOKUP(E35,Groups!A:A,Groups!U:U)=2),BD35,IF(_xlfn.XLOOKUP(B35,Animals!B:B,Animals!AO:AO)&gt;4,AVERAGE(BD35,BF35),BF35))))</f>
        <v>No</v>
      </c>
      <c r="BD35" s="8">
        <f t="shared" si="15"/>
        <v>1.581377273367229E-2</v>
      </c>
      <c r="BE35" s="8">
        <f>IF(_xlfn.XLOOKUP(E35,Groups!A:A,Groups!BE:BE)=1,(0.048*C35^1.01)+(0.071*C35^1.03),0.071*C35^1.03)/IF(_xlfn.XLOOKUP(E35,Groups!A:A,Groups!M:M)=1,0.85,IF(OR(_xlfn.XLOOKUP(B35,Animals!B:B,Animals!AO:AO)&gt;4,_xlfn.XLOOKUP(E35,Groups!A:A,Groups!BC:BC)=1),1.7,1))*C35^-0.25</f>
        <v>2.7759582326972801E-2</v>
      </c>
      <c r="BF35" s="8">
        <f>(0.048*C35^1.01)/IF(_xlfn.XLOOKUP(E35,Groups!A:A,Groups!M:M)=1,0.25,0.8)*C35^-0.25</f>
        <v>2.4030533019811343E-2</v>
      </c>
      <c r="BG35" s="8">
        <f>EXP(1.076*LN(AR35)-4.5397)*IF(_xlfn.XLOOKUP(E35,Groups!A:A,Groups!BC:BC)=1,1.25,IF(_xlfn.XLOOKUP(E35,Groups!A:A,Groups!BD:BD)=1,3.5,2.5))</f>
        <v>0.6583617156570799</v>
      </c>
      <c r="BH35" s="8">
        <f>EXP(1.076*LN(AS35)-4.5397)*IF(_xlfn.XLOOKUP(E35,Groups!A:A,Groups!M:M)=1,0.8,IF(_xlfn.XLOOKUP(E35,Groups!A:A,Groups!BC:BC)=1,1.3,3))</f>
        <v>1.1471372193905376</v>
      </c>
      <c r="BI35" s="8" t="str">
        <f>IF(W35="No","No",IF(_xlfn.XLOOKUP(E35,Groups!A:A,Groups!U:U)=1,'Base stats'!BJ35,IF(OR(_xlfn.XLOOKUP(E35,Groups!A:A,Groups!BD:BD)=1,_xlfn.XLOOKUP(E35,Groups!A:A,Groups!U:U)=2),BG35,BH35))*1.2)</f>
        <v>No</v>
      </c>
      <c r="BJ35" s="8">
        <f>IFERROR(EXP(1.076*LN(AT35)-4.5397)*IF(_xlfn.XLOOKUP(E35,Groups!A:A,Groups!N:N)="Insect",1,IF(OR(_xlfn.XLOOKUP(E35,Groups!A:A,Groups!N:N)="Pig",_xlfn.XLOOKUP(E35,Groups!A:A,Groups!N:N)="StrongBitingHerbivore"),3.5,3.75)),"No")</f>
        <v>2.4686067635920321</v>
      </c>
      <c r="BK35" s="8">
        <f t="shared" si="16"/>
        <v>9</v>
      </c>
      <c r="BL35" s="8">
        <f t="shared" si="17"/>
        <v>9</v>
      </c>
      <c r="BM35" s="8" t="str">
        <f t="shared" si="18"/>
        <v>No</v>
      </c>
      <c r="BN35" s="8">
        <f t="shared" si="19"/>
        <v>6</v>
      </c>
      <c r="BO35" s="8">
        <f t="shared" si="20"/>
        <v>9</v>
      </c>
      <c r="BP35" s="8" t="str" cm="1">
        <f t="array" ref="BP35">IF(AND(_xlfn.XLOOKUP('Base stats'!E35,Groups!A:A,Groups!AD:AD=0),_xlfn.XLOOKUP('Base stats'!E35,Groups!A:A,Groups!P:P=0)),"No",IF(U35="No",AVERAGE(EXP(-0.57+0.99*LN(C35)),EXP(0.32+0.67*LN(C35)))/IF(_xlfn.XLOOKUP(E35,Groups!A:A,Groups!AD:AD)=1,10,2),(0.7354*C35^0.4078)*2/IF(_xlfn.XLOOKUP(E35,Groups!A:A,Groups!BK:BK)=1,1000,100)/IF(_xlfn.XLOOKUP(E35,Groups!A:A,Groups!AJ:AJ)="Photonozoa",3,1)))</f>
        <v>No</v>
      </c>
      <c r="BQ35" s="8" t="str">
        <f>IF(W35="No","No",IF(_xlfn.XLOOKUP(E35,Groups!A:A,Groups!BD:BD)=1,(AO35*5%),EXP(0.7354*LN(C35)^0.4078)*2/IF(_xlfn.XLOOKUP(E35,Groups!A:A,Groups!BL:BL)=1,1000,100)/IF(_xlfn.XLOOKUP(E35,Groups!A:A,Groups!AJ:AJ)="Photonozoa",3,1)))</f>
        <v>No</v>
      </c>
      <c r="BR35" s="8">
        <f>IF(BJ35="No","No",IF(_xlfn.XLOOKUP(E35,Groups!A:A,Groups!BF:BF)=1,(0.0315*C35+2.1825)*2,(0.7354*C35^0.4078)*2)/IF(_xlfn.XLOOKUP(E35,Groups!A:A,Groups!BM:BM)=1,1000,100)/IF(_xlfn.XLOOKUP(E35,Groups!A:A,Groups!AJ:AJ)="Photonozoa",3,1))</f>
        <v>9.0016820456507111E-3</v>
      </c>
      <c r="BS35" s="8">
        <f t="shared" si="21"/>
        <v>2.5944348512834187E-2</v>
      </c>
      <c r="BT35" s="8" t="str">
        <f t="shared" si="22"/>
        <v>No</v>
      </c>
      <c r="BU35" s="8" t="str">
        <f t="shared" si="23"/>
        <v>No</v>
      </c>
      <c r="BV35" s="8">
        <f t="shared" si="24"/>
        <v>274.2383869006764</v>
      </c>
      <c r="BW35" s="4">
        <v>0</v>
      </c>
      <c r="BX35" s="4">
        <v>1</v>
      </c>
    </row>
    <row r="36" spans="1:76" x14ac:dyDescent="0.25">
      <c r="A36" s="26" t="s">
        <v>131</v>
      </c>
      <c r="B36" s="6" t="s">
        <v>132</v>
      </c>
      <c r="C36" s="7">
        <v>0.6</v>
      </c>
      <c r="D36" s="7" t="s">
        <v>525</v>
      </c>
      <c r="E36" s="7" t="str">
        <f>Groups!$A$51</f>
        <v>Rodent</v>
      </c>
      <c r="F36" s="7">
        <v>38</v>
      </c>
      <c r="G36" s="7">
        <f>296/365</f>
        <v>0.81095890410958904</v>
      </c>
      <c r="H36" s="7">
        <v>14.8</v>
      </c>
      <c r="I36" s="4">
        <v>0</v>
      </c>
      <c r="J36" s="7">
        <v>5</v>
      </c>
      <c r="K36" s="7" t="s">
        <v>525</v>
      </c>
      <c r="L36" s="7">
        <f>MAX(27,20)</f>
        <v>27</v>
      </c>
      <c r="M36" s="7" t="s">
        <v>626</v>
      </c>
      <c r="N36" s="4">
        <v>0</v>
      </c>
      <c r="O36" s="4">
        <v>0</v>
      </c>
      <c r="P36" s="4">
        <v>0</v>
      </c>
      <c r="Q36" s="4">
        <v>0</v>
      </c>
      <c r="R36" s="4" t="s">
        <v>40</v>
      </c>
      <c r="S36" s="7">
        <f>_xlfn.XLOOKUP(B36,[1]TeethAdjusters!$A:$A,[1]BiteAdjusters!$C:$C,1)</f>
        <v>1.333594210519996</v>
      </c>
      <c r="T36" s="7">
        <f>_xlfn.XLOOKUP(B36,[1]TeethAdjusters!$A:$A,[1]TeethAdjusters!$B:$B,1)</f>
        <v>1</v>
      </c>
      <c r="U36" s="7" t="s">
        <v>45</v>
      </c>
      <c r="V36" s="7">
        <f>MROUND(AVERAGE(4/10,7/10),0.05)</f>
        <v>0.55000000000000004</v>
      </c>
      <c r="W36" s="7" t="s">
        <v>45</v>
      </c>
      <c r="X36" s="7" t="s">
        <v>932</v>
      </c>
      <c r="Y36" s="4" t="s">
        <v>42</v>
      </c>
      <c r="Z36" s="4">
        <v>1</v>
      </c>
      <c r="AA36" s="4">
        <v>0</v>
      </c>
      <c r="AB36" s="4">
        <v>0</v>
      </c>
      <c r="AC36" s="4">
        <v>0</v>
      </c>
      <c r="AD36" s="4">
        <v>0</v>
      </c>
      <c r="AE36" s="4" t="s">
        <v>45</v>
      </c>
      <c r="AF36" s="4" t="s">
        <v>45</v>
      </c>
      <c r="AG36" s="49" t="s">
        <v>365</v>
      </c>
      <c r="AH36" s="4" t="str">
        <f>Animals!$C$35</f>
        <v>&lt;li&gt;Rat&lt;/li&gt;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4" t="s">
        <v>40</v>
      </c>
      <c r="AO36" s="8">
        <f t="shared" si="10"/>
        <v>796.38173610417607</v>
      </c>
      <c r="AP36" s="8">
        <f>IFERROR(C36*_xlfn.XLOOKUP(E36,Groups!A:A,Groups!K:K),0.106*C36^0.94)</f>
        <v>6.5579490862172282E-2</v>
      </c>
      <c r="AQ36" s="8">
        <f>AP36*10000/(_xlfn.XLOOKUP(E36,Groups!A:A,Groups!J:J)*AO36)</f>
        <v>0.75547526755289796</v>
      </c>
      <c r="AR36" s="8">
        <f t="shared" si="11"/>
        <v>35.321985741595455</v>
      </c>
      <c r="AS36" s="8">
        <f>IF(_xlfn.XLOOKUP(E36,Groups!A:A,Groups!M:M)=1,EXP(0.7444*LN('Base stats'!C36)+6.5696),EXP(0.7927*LN('Base stats'!C36)+4.28))</f>
        <v>48.186000270146096</v>
      </c>
      <c r="AT36" s="8">
        <f>IF(_xlfn.XLOOKUP(E36,Groups!A:A,Groups!N:N)="No","No",
IF(_xlfn.XLOOKUP(E36,Groups!A:A,Groups!N:N)="Crocodile",EXP(0.8129*LN(C36)+4.6742)*S36,
IF(_xlfn.XLOOKUP(E36,Groups!A:A,Groups!N:N)="Felid",EXP(0.7843*LN(C36)+4.7073)*S36,
IF(_xlfn.XLOOKUP(E36,Groups!A:A,Groups!N:N)="Canid",EXP(0.8367*LN(C36)+4.8763)*S36,
IF(_xlfn.XLOOKUP(E36,Groups!A:A,Groups!N:N)="Pig",EXP(0.3439*LN(C36)+6.8519)*S36,
IF(_xlfn.XLOOKUP(E36,Groups!A:A,Groups!N:N)="Rodent",EXP(0.5625*LN(C36)+4.3006)*S36,
IF(_xlfn.XLOOKUP(E36,Groups!A:A,Groups!N:N)="Primate",EXP(0.7847*LN(C36)+3.4931)*S36,
IF(_xlfn.XLOOKUP(E36,Groups!A:A,Groups!N:N)="MiscCarnivora",EXP(0.7486*LN(C36)+4.2207)*S36,
IF(_xlfn.XLOOKUP(E36,Groups!A:A,Groups!N:N)="Lizard",EXP(0.7733*LN(C36)+5.5303)*S36,
IF(_xlfn.XLOOKUP(E36,Groups!A:A,Groups!N:N)="Snake",50*C36^(2/3)*S36,
IF(_xlfn.XLOOKUP(E36,Groups!A:A,Groups!N:N)="StrongBitingHerbivore",87.1133638856975*C36^(2/3)*S36,
IF(_xlfn.XLOOKUP(E36,Groups!A:A,Groups!N:N)="MiscEctotherms",59.4316884072269*C36^(2/3)*S36,
IF(_xlfn.XLOOKUP(E36,Groups!A:A,Groups!N:N)="StrongBeakBird",0.041*(C36*1000)^1.375*S36,
IF(_xlfn.XLOOKUP(E36,Groups!A:A,Groups!N:N)="Bird",0.118*(C36*1000)^0.692*S36,
IF(_xlfn.XLOOKUP(E36,Groups!A:A,Groups!N:N)="Insect",EXP(0.7444*LN(C36)+6.5696)*S36,
IF(_xlfn.XLOOKUP(E36,Groups!A:A,Groups!N:N)="Theropod",EXP(0.6966*LN(C36)+4.158)*S36,
"No"))))))))))))))))</f>
        <v>73.783733780539208</v>
      </c>
      <c r="AU36" s="8">
        <f>IF(_xlfn.XLOOKUP(E36,Groups!A:A,Groups!U:U)=3,AS36,IF(_xlfn.XLOOKUP(E36,Groups!A:A,Groups!U:U)=2,AR36,AT36))</f>
        <v>73.783733780539208</v>
      </c>
      <c r="AV36" s="46">
        <f>IFERROR(AVERAGE(_xlfn.XLOOKUP(B36,Animals!B:B,Animals!N:N),_xlfn.XLOOKUP(B36,Animals!B:B,Animals!O:O)),0)</f>
        <v>0</v>
      </c>
      <c r="AW36" s="8">
        <f>MROUND(40*Animals!AO36*_xlfn.XLOOKUP(AG36,Leathers!$A$2:$A$99,Leathers!$B$2:$B$99,0)+(140*_xlfn.XLOOKUP(B36,Animals!B:B,Animals!AO:AO)*2),5)</f>
        <v>65</v>
      </c>
      <c r="AX36" s="8">
        <f>IFERROR(ROUND(SQRT(V36-1)*IF(_xlfn.XLOOKUP(E36,Groups!A:A,Groups!BF:BF)=0,2,1)*IF(_xlfn.XLOOKUP('Base stats'!E36,Groups!A:A,Groups!O:O)=0,1,0.1),1),0)</f>
        <v>0</v>
      </c>
      <c r="AY36" s="8">
        <f t="shared" si="12"/>
        <v>0</v>
      </c>
      <c r="AZ36" s="8">
        <f t="shared" si="13"/>
        <v>0</v>
      </c>
      <c r="BA36" s="8">
        <f t="shared" si="14"/>
        <v>0.5</v>
      </c>
      <c r="BB36" s="8">
        <f>IF(_xlfn.XLOOKUP(E36,Groups!A:A,Groups!N:N)="Insect",BD36*2.5,IFERROR(AVERAGE(BD36,AT36/9.81/IF(OR(_xlfn.XLOOKUP(E36,Groups!A:A,Groups!N:N)="Pig",_xlfn.XLOOKUP(E36,Groups!A:A,Groups!N:N)="StrongBitingHerbivore"),20,25))*C36^-0.135,BD36))</f>
        <v>0.17545186522291994</v>
      </c>
      <c r="BC36" s="8" t="str">
        <f>IF(W36="No","No",IF(_xlfn.XLOOKUP(E36,Groups!A:A,Groups!U:U)=1,'Base stats'!BB36,IF(OR(_xlfn.XLOOKUP(E36,Groups!A:A,Groups!BD:BD)=1,_xlfn.XLOOKUP(E36,Groups!A:A,Groups!U:U)=2),BD36,IF(_xlfn.XLOOKUP(B36,Animals!B:B,Animals!AO:AO)&gt;4,AVERAGE(BD36,BF36),BF36))))</f>
        <v>No</v>
      </c>
      <c r="BD36" s="8">
        <f t="shared" si="15"/>
        <v>2.6669330278914886E-2</v>
      </c>
      <c r="BE36" s="8">
        <f>IF(_xlfn.XLOOKUP(E36,Groups!A:A,Groups!BE:BE)=1,(0.048*C36^1.01)+(0.071*C36^1.03),0.071*C36^1.03)/IF(_xlfn.XLOOKUP(E36,Groups!A:A,Groups!M:M)=1,0.85,IF(OR(_xlfn.XLOOKUP(B36,Animals!B:B,Animals!AO:AO)&gt;4,_xlfn.XLOOKUP(E36,Groups!A:A,Groups!BC:BC)=1),1.7,1))*C36^-0.25</f>
        <v>4.7666835831774321E-2</v>
      </c>
      <c r="BF36" s="8">
        <f>(0.048*C36^1.01)/IF(_xlfn.XLOOKUP(E36,Groups!A:A,Groups!M:M)=1,0.25,0.8)*C36^-0.25</f>
        <v>4.0695482376196364E-2</v>
      </c>
      <c r="BG36" s="8">
        <f>EXP(1.076*LN(AR36)-4.5397)*IF(_xlfn.XLOOKUP(E36,Groups!A:A,Groups!BC:BC)=1,1.25,IF(_xlfn.XLOOKUP(E36,Groups!A:A,Groups!BD:BD)=1,3.5,2.5))</f>
        <v>1.2361463432878259</v>
      </c>
      <c r="BH36" s="8">
        <f>EXP(1.076*LN(AS36)-4.5397)*IF(_xlfn.XLOOKUP(E36,Groups!A:A,Groups!M:M)=1,0.8,IF(_xlfn.XLOOKUP(E36,Groups!A:A,Groups!BC:BC)=1,1.3,3))</f>
        <v>2.071941364146892</v>
      </c>
      <c r="BI36" s="8" t="str">
        <f>IF(W36="No","No",IF(_xlfn.XLOOKUP(E36,Groups!A:A,Groups!U:U)=1,'Base stats'!BJ36,IF(OR(_xlfn.XLOOKUP(E36,Groups!A:A,Groups!BD:BD)=1,_xlfn.XLOOKUP(E36,Groups!A:A,Groups!U:U)=2),BG36,BH36))*1.2)</f>
        <v>No</v>
      </c>
      <c r="BJ36" s="8">
        <f>IFERROR(EXP(1.076*LN(AT36)-4.5397)*IF(_xlfn.XLOOKUP(E36,Groups!A:A,Groups!N:N)="Insect",1,IF(OR(_xlfn.XLOOKUP(E36,Groups!A:A,Groups!N:N)="Pig",_xlfn.XLOOKUP(E36,Groups!A:A,Groups!N:N)="StrongBitingHerbivore"),3.5,3.75)),"No")</f>
        <v>4.0962857498574889</v>
      </c>
      <c r="BK36" s="8">
        <f t="shared" si="16"/>
        <v>9</v>
      </c>
      <c r="BL36" s="8">
        <f t="shared" si="17"/>
        <v>9</v>
      </c>
      <c r="BM36" s="8" t="str">
        <f t="shared" si="18"/>
        <v>No</v>
      </c>
      <c r="BN36" s="8">
        <f t="shared" si="19"/>
        <v>6</v>
      </c>
      <c r="BO36" s="8">
        <f t="shared" si="20"/>
        <v>10</v>
      </c>
      <c r="BP36" s="8" t="str" cm="1">
        <f t="array" ref="BP36">IF(AND(_xlfn.XLOOKUP('Base stats'!E36,Groups!A:A,Groups!AD:AD=0),_xlfn.XLOOKUP('Base stats'!E36,Groups!A:A,Groups!P:P=0)),"No",IF(U36="No",AVERAGE(EXP(-0.57+0.99*LN(C36)),EXP(0.32+0.67*LN(C36)))/IF(_xlfn.XLOOKUP(E36,Groups!A:A,Groups!AD:AD)=1,10,2),(0.7354*C36^0.4078)*2/IF(_xlfn.XLOOKUP(E36,Groups!A:A,Groups!BK:BK)=1,1000,100)/IF(_xlfn.XLOOKUP(E36,Groups!A:A,Groups!AJ:AJ)="Photonozoa",3,1)))</f>
        <v>No</v>
      </c>
      <c r="BQ36" s="8" t="str">
        <f>IF(W36="No","No",IF(_xlfn.XLOOKUP(E36,Groups!A:A,Groups!BD:BD)=1,(AO36*5%),EXP(0.7354*LN(C36)^0.4078)*2/IF(_xlfn.XLOOKUP(E36,Groups!A:A,Groups!BL:BL)=1,1000,100)/IF(_xlfn.XLOOKUP(E36,Groups!A:A,Groups!AJ:AJ)="Photonozoa",3,1)))</f>
        <v>No</v>
      </c>
      <c r="BR36" s="8">
        <f>IF(BJ36="No","No",IF(_xlfn.XLOOKUP(E36,Groups!A:A,Groups!BF:BF)=1,(0.0315*C36+2.1825)*2,(0.7354*C36^0.4078)*2)/IF(_xlfn.XLOOKUP(E36,Groups!A:A,Groups!BM:BM)=1,1000,100)/IF(_xlfn.XLOOKUP(E36,Groups!A:A,Groups!AJ:AJ)="Photonozoa",3,1))</f>
        <v>1.1942182426698152E-2</v>
      </c>
      <c r="BS36" s="8">
        <f t="shared" si="21"/>
        <v>3.1044065609413307E-2</v>
      </c>
      <c r="BT36" s="8" t="str">
        <f t="shared" si="22"/>
        <v>No</v>
      </c>
      <c r="BU36" s="8" t="str">
        <f t="shared" si="23"/>
        <v>No</v>
      </c>
      <c r="BV36" s="8">
        <f t="shared" si="24"/>
        <v>343.00981206749623</v>
      </c>
      <c r="BW36" s="4">
        <v>0</v>
      </c>
      <c r="BX36" s="4">
        <v>1</v>
      </c>
    </row>
    <row r="37" spans="1:76" x14ac:dyDescent="0.25">
      <c r="A37" s="26" t="s">
        <v>127</v>
      </c>
      <c r="B37" s="6" t="s">
        <v>128</v>
      </c>
      <c r="C37" s="7">
        <v>0.72799999999999998</v>
      </c>
      <c r="D37" s="7" t="s">
        <v>526</v>
      </c>
      <c r="E37" s="7" t="str">
        <f>Groups!$A$49</f>
        <v>Rodent (TAILLESS)</v>
      </c>
      <c r="F37" s="7">
        <v>68</v>
      </c>
      <c r="G37" s="7">
        <f>66/365</f>
        <v>0.18082191780821918</v>
      </c>
      <c r="H37" s="7">
        <v>12</v>
      </c>
      <c r="I37" s="4">
        <v>0</v>
      </c>
      <c r="J37" s="7">
        <v>3.8</v>
      </c>
      <c r="K37" s="7" t="s">
        <v>526</v>
      </c>
      <c r="L37" s="7">
        <f>MIN(20*C37^0.183,19.9*C37^0.142)</f>
        <v>18.871222625770422</v>
      </c>
      <c r="M37" s="7" t="s">
        <v>626</v>
      </c>
      <c r="N37" s="4">
        <v>0</v>
      </c>
      <c r="O37" s="4">
        <v>1</v>
      </c>
      <c r="P37" s="4">
        <v>0</v>
      </c>
      <c r="Q37" s="4">
        <v>0</v>
      </c>
      <c r="R37" s="4" t="s">
        <v>40</v>
      </c>
      <c r="S37" s="7">
        <f>_xlfn.XLOOKUP(B37,[1]TeethAdjusters!$A:$A,[1]BiteAdjusters!$C:$C,1)</f>
        <v>1</v>
      </c>
      <c r="T37" s="7">
        <f>_xlfn.XLOOKUP(B37,[1]TeethAdjusters!$A:$A,[1]TeethAdjusters!$B:$B,1)</f>
        <v>1</v>
      </c>
      <c r="U37" s="7" t="s">
        <v>45</v>
      </c>
      <c r="V37" s="7">
        <f>MROUND(AVERAGE(4/10,7/10),0.05)</f>
        <v>0.55000000000000004</v>
      </c>
      <c r="W37" s="7" t="s">
        <v>45</v>
      </c>
      <c r="X37" s="7" t="s">
        <v>932</v>
      </c>
      <c r="Y37" s="4" t="s">
        <v>42</v>
      </c>
      <c r="Z37" s="4">
        <v>1</v>
      </c>
      <c r="AA37" s="4">
        <v>0</v>
      </c>
      <c r="AB37" s="4">
        <v>0</v>
      </c>
      <c r="AC37" s="4">
        <v>0</v>
      </c>
      <c r="AD37" s="4">
        <v>0</v>
      </c>
      <c r="AE37" s="4" t="s">
        <v>45</v>
      </c>
      <c r="AF37" s="4" t="s">
        <v>399</v>
      </c>
      <c r="AG37" s="49" t="s">
        <v>385</v>
      </c>
      <c r="AH37" s="4" t="str">
        <f>Animals!$C$35</f>
        <v>&lt;li&gt;Rat&lt;/li&gt;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4" t="s">
        <v>40</v>
      </c>
      <c r="AO37" s="8">
        <f t="shared" si="10"/>
        <v>903.04288528192444</v>
      </c>
      <c r="AP37" s="8">
        <f>IFERROR(C37*_xlfn.XLOOKUP(E37,Groups!A:A,Groups!K:K),0.106*C37^0.94)</f>
        <v>7.8651925978783996E-2</v>
      </c>
      <c r="AQ37" s="8">
        <f>AP37*10000/(_xlfn.XLOOKUP(E37,Groups!A:A,Groups!J:J)*AO37)</f>
        <v>0.79905098010088327</v>
      </c>
      <c r="AR37" s="8">
        <f t="shared" si="11"/>
        <v>41.589445089156456</v>
      </c>
      <c r="AS37" s="8">
        <f>IF(_xlfn.XLOOKUP(E37,Groups!A:A,Groups!M:M)=1,EXP(0.7444*LN('Base stats'!C37)+6.5696),EXP(0.7927*LN('Base stats'!C37)+4.28))</f>
        <v>56.168383715329448</v>
      </c>
      <c r="AT37" s="8">
        <f>IF(_xlfn.XLOOKUP(E37,Groups!A:A,Groups!N:N)="No","No",
IF(_xlfn.XLOOKUP(E37,Groups!A:A,Groups!N:N)="Crocodile",EXP(0.8129*LN(C37)+4.6742)*S37,
IF(_xlfn.XLOOKUP(E37,Groups!A:A,Groups!N:N)="Felid",EXP(0.7843*LN(C37)+4.7073)*S37,
IF(_xlfn.XLOOKUP(E37,Groups!A:A,Groups!N:N)="Canid",EXP(0.8367*LN(C37)+4.8763)*S37,
IF(_xlfn.XLOOKUP(E37,Groups!A:A,Groups!N:N)="Pig",EXP(0.3439*LN(C37)+6.8519)*S37,
IF(_xlfn.XLOOKUP(E37,Groups!A:A,Groups!N:N)="Rodent",EXP(0.5625*LN(C37)+4.3006)*S37,
IF(_xlfn.XLOOKUP(E37,Groups!A:A,Groups!N:N)="Primate",EXP(0.7847*LN(C37)+3.4931)*S37,
IF(_xlfn.XLOOKUP(E37,Groups!A:A,Groups!N:N)="MiscCarnivora",EXP(0.7486*LN(C37)+4.2207)*S37,
IF(_xlfn.XLOOKUP(E37,Groups!A:A,Groups!N:N)="Lizard",EXP(0.7733*LN(C37)+5.5303)*S37,
IF(_xlfn.XLOOKUP(E37,Groups!A:A,Groups!N:N)="Snake",50*C37^(2/3)*S37,
IF(_xlfn.XLOOKUP(E37,Groups!A:A,Groups!N:N)="StrongBitingHerbivore",87.1133638856975*C37^(2/3)*S37,
IF(_xlfn.XLOOKUP(E37,Groups!A:A,Groups!N:N)="MiscEctotherms",59.4316884072269*C37^(2/3)*S37,
IF(_xlfn.XLOOKUP(E37,Groups!A:A,Groups!N:N)="StrongBeakBird",0.041*(C37*1000)^1.375*S37,
IF(_xlfn.XLOOKUP(E37,Groups!A:A,Groups!N:N)="Bird",0.118*(C37*1000)^0.692*S37,
IF(_xlfn.XLOOKUP(E37,Groups!A:A,Groups!N:N)="Insect",EXP(0.7444*LN(C37)+6.5696)*S37,
IF(_xlfn.XLOOKUP(E37,Groups!A:A,Groups!N:N)="Theropod",EXP(0.6966*LN(C37)+4.158)*S37,
"No"))))))))))))))))</f>
        <v>61.684457523507398</v>
      </c>
      <c r="AU37" s="8">
        <f>IF(_xlfn.XLOOKUP(E37,Groups!A:A,Groups!U:U)=3,AS37,IF(_xlfn.XLOOKUP(E37,Groups!A:A,Groups!U:U)=2,AR37,AT37))</f>
        <v>61.684457523507398</v>
      </c>
      <c r="AV37" s="46">
        <f>IFERROR(AVERAGE(_xlfn.XLOOKUP(B37,Animals!B:B,Animals!N:N),_xlfn.XLOOKUP(B37,Animals!B:B,Animals!O:O)),0)</f>
        <v>0</v>
      </c>
      <c r="AW37" s="8">
        <f>MROUND(40*Animals!AO37*_xlfn.XLOOKUP(AG37,Leathers!$A$2:$A$99,Leathers!$B$2:$B$99,0)+(140*_xlfn.XLOOKUP(B37,Animals!B:B,Animals!AO:AO)*2),5)</f>
        <v>55</v>
      </c>
      <c r="AX37" s="8">
        <f>IFERROR(ROUND(SQRT(V37-1)*IF(_xlfn.XLOOKUP(E37,Groups!A:A,Groups!BF:BF)=0,2,1)*IF(_xlfn.XLOOKUP('Base stats'!E37,Groups!A:A,Groups!O:O)=0,1,0.1),1),0)</f>
        <v>0</v>
      </c>
      <c r="AY37" s="8">
        <f t="shared" si="12"/>
        <v>0</v>
      </c>
      <c r="AZ37" s="8">
        <f t="shared" si="13"/>
        <v>0</v>
      </c>
      <c r="BA37" s="8">
        <f t="shared" si="14"/>
        <v>0.5</v>
      </c>
      <c r="BB37" s="8">
        <f>IF(_xlfn.XLOOKUP(E37,Groups!A:A,Groups!N:N)="Insect",BD37*2.5,IFERROR(AVERAGE(BD37,AT37/9.81/IF(OR(_xlfn.XLOOKUP(E37,Groups!A:A,Groups!N:N)="Pig",_xlfn.XLOOKUP(E37,Groups!A:A,Groups!N:N)="StrongBitingHerbivore"),20,25))*C37^-0.135,BD37))</f>
        <v>0.14736833676824174</v>
      </c>
      <c r="BC37" s="8" t="str">
        <f>IF(W37="No","No",IF(_xlfn.XLOOKUP(E37,Groups!A:A,Groups!U:U)=1,'Base stats'!BB37,IF(OR(_xlfn.XLOOKUP(E37,Groups!A:A,Groups!BD:BD)=1,_xlfn.XLOOKUP(E37,Groups!A:A,Groups!U:U)=2),BD37,IF(_xlfn.XLOOKUP(B37,Animals!B:B,Animals!AO:AO)&gt;4,AVERAGE(BD37,BF37),BF37))))</f>
        <v>No</v>
      </c>
      <c r="BD37" s="8">
        <f t="shared" si="15"/>
        <v>3.085553827051429E-2</v>
      </c>
      <c r="BE37" s="8">
        <f>IF(_xlfn.XLOOKUP(E37,Groups!A:A,Groups!BE:BE)=1,(0.048*C37^1.01)+(0.071*C37^1.03),0.071*C37^1.03)/IF(_xlfn.XLOOKUP(E37,Groups!A:A,Groups!M:M)=1,0.85,IF(OR(_xlfn.XLOOKUP(B37,Animals!B:B,Animals!AO:AO)&gt;4,_xlfn.XLOOKUP(E37,Groups!A:A,Groups!BC:BC)=1),1.7,1))*C37^-0.25</f>
        <v>5.5426930016697393E-2</v>
      </c>
      <c r="BF37" s="8">
        <f>(0.048*C37^1.01)/IF(_xlfn.XLOOKUP(E37,Groups!A:A,Groups!M:M)=1,0.25,0.8)*C37^-0.25</f>
        <v>4.7137994203485821E-2</v>
      </c>
      <c r="BG37" s="8">
        <f>EXP(1.076*LN(AR37)-4.5397)*IF(_xlfn.XLOOKUP(E37,Groups!A:A,Groups!BC:BC)=1,1.25,IF(_xlfn.XLOOKUP(E37,Groups!A:A,Groups!BD:BD)=1,3.5,2.5))</f>
        <v>1.473666437082841</v>
      </c>
      <c r="BH37" s="8">
        <f>EXP(1.076*LN(AS37)-4.5397)*IF(_xlfn.XLOOKUP(E37,Groups!A:A,Groups!M:M)=1,0.8,IF(_xlfn.XLOOKUP(E37,Groups!A:A,Groups!BC:BC)=1,1.3,3))</f>
        <v>2.4434750485028198</v>
      </c>
      <c r="BI37" s="8" t="str">
        <f>IF(W37="No","No",IF(_xlfn.XLOOKUP(E37,Groups!A:A,Groups!U:U)=1,'Base stats'!BJ37,IF(OR(_xlfn.XLOOKUP(E37,Groups!A:A,Groups!BD:BD)=1,_xlfn.XLOOKUP(E37,Groups!A:A,Groups!U:U)=2),BG37,BH37))*1.2)</f>
        <v>No</v>
      </c>
      <c r="BJ37" s="8">
        <f>IFERROR(EXP(1.076*LN(AT37)-4.5397)*IF(_xlfn.XLOOKUP(E37,Groups!A:A,Groups!N:N)="Insect",1,IF(OR(_xlfn.XLOOKUP(E37,Groups!A:A,Groups!N:N)="Pig",_xlfn.XLOOKUP(E37,Groups!A:A,Groups!N:N)="StrongBitingHerbivore"),3.5,3.75)),"No")</f>
        <v>3.3782650091365118</v>
      </c>
      <c r="BK37" s="8">
        <f t="shared" si="16"/>
        <v>9</v>
      </c>
      <c r="BL37" s="8">
        <f t="shared" si="17"/>
        <v>9</v>
      </c>
      <c r="BM37" s="8" t="str">
        <f t="shared" si="18"/>
        <v>No</v>
      </c>
      <c r="BN37" s="8">
        <f t="shared" si="19"/>
        <v>6</v>
      </c>
      <c r="BO37" s="8">
        <f t="shared" si="20"/>
        <v>10</v>
      </c>
      <c r="BP37" s="8" t="str" cm="1">
        <f t="array" ref="BP37">IF(AND(_xlfn.XLOOKUP('Base stats'!E37,Groups!A:A,Groups!AD:AD=0),_xlfn.XLOOKUP('Base stats'!E37,Groups!A:A,Groups!P:P=0)),"No",IF(U37="No",AVERAGE(EXP(-0.57+0.99*LN(C37)),EXP(0.32+0.67*LN(C37)))/IF(_xlfn.XLOOKUP(E37,Groups!A:A,Groups!AD:AD)=1,10,2),(0.7354*C37^0.4078)*2/IF(_xlfn.XLOOKUP(E37,Groups!A:A,Groups!BK:BK)=1,1000,100)/IF(_xlfn.XLOOKUP(E37,Groups!A:A,Groups!AJ:AJ)="Photonozoa",3,1)))</f>
        <v>No</v>
      </c>
      <c r="BQ37" s="8" t="str">
        <f>IF(W37="No","No",IF(_xlfn.XLOOKUP(E37,Groups!A:A,Groups!BD:BD)=1,(AO37*5%),EXP(0.7354*LN(C37)^0.4078)*2/IF(_xlfn.XLOOKUP(E37,Groups!A:A,Groups!BL:BL)=1,1000,100)/IF(_xlfn.XLOOKUP(E37,Groups!A:A,Groups!AJ:AJ)="Photonozoa",3,1)))</f>
        <v>No</v>
      </c>
      <c r="BR37" s="8">
        <f>IF(BJ37="No","No",IF(_xlfn.XLOOKUP(E37,Groups!A:A,Groups!BF:BF)=1,(0.0315*C37+2.1825)*2,(0.7354*C37^0.4078)*2)/IF(_xlfn.XLOOKUP(E37,Groups!A:A,Groups!BM:BM)=1,1000,100)/IF(_xlfn.XLOOKUP(E37,Groups!A:A,Groups!AJ:AJ)="Photonozoa",3,1))</f>
        <v>1.2922031568339123E-2</v>
      </c>
      <c r="BS37" s="8">
        <f t="shared" si="21"/>
        <v>3.2637795194472324E-2</v>
      </c>
      <c r="BT37" s="8" t="str">
        <f t="shared" si="22"/>
        <v>No</v>
      </c>
      <c r="BU37" s="8" t="str">
        <f t="shared" si="23"/>
        <v>No</v>
      </c>
      <c r="BV37" s="8">
        <f t="shared" si="24"/>
        <v>261.43451138238646</v>
      </c>
      <c r="BW37" s="4">
        <v>0</v>
      </c>
      <c r="BX37" s="4">
        <v>1</v>
      </c>
    </row>
    <row r="38" spans="1:76" x14ac:dyDescent="0.25">
      <c r="A38" s="26" t="s">
        <v>129</v>
      </c>
      <c r="B38" s="6" t="s">
        <v>130</v>
      </c>
      <c r="C38" s="7">
        <v>0.64249999999999996</v>
      </c>
      <c r="D38" s="7" t="s">
        <v>527</v>
      </c>
      <c r="E38" s="7" t="str">
        <f>Groups!$A$51</f>
        <v>Rodent</v>
      </c>
      <c r="F38" s="7">
        <v>111</v>
      </c>
      <c r="G38" s="7">
        <f>240/365</f>
        <v>0.65753424657534243</v>
      </c>
      <c r="H38" s="7">
        <v>17.2</v>
      </c>
      <c r="I38" s="4">
        <v>1</v>
      </c>
      <c r="J38" s="7">
        <v>2</v>
      </c>
      <c r="K38" s="7" t="s">
        <v>527</v>
      </c>
      <c r="L38" s="7">
        <v>24</v>
      </c>
      <c r="M38" s="7" t="s">
        <v>634</v>
      </c>
      <c r="N38" s="4">
        <v>0</v>
      </c>
      <c r="O38" s="4">
        <v>0</v>
      </c>
      <c r="P38" s="4">
        <v>0</v>
      </c>
      <c r="Q38" s="4">
        <v>0</v>
      </c>
      <c r="R38" s="4" t="s">
        <v>40</v>
      </c>
      <c r="S38" s="7">
        <f>_xlfn.XLOOKUP(B38,[1]TeethAdjusters!$A:$A,[1]BiteAdjusters!$C:$C,1)</f>
        <v>1</v>
      </c>
      <c r="T38" s="7">
        <f>_xlfn.XLOOKUP(B38,[1]TeethAdjusters!$A:$A,[1]TeethAdjusters!$B:$B,1)</f>
        <v>1</v>
      </c>
      <c r="U38" s="7" t="s">
        <v>45</v>
      </c>
      <c r="V38" s="7">
        <v>0.8</v>
      </c>
      <c r="W38" s="7" t="s">
        <v>45</v>
      </c>
      <c r="X38" s="7" t="s">
        <v>932</v>
      </c>
      <c r="Y38" s="4" t="s">
        <v>42</v>
      </c>
      <c r="Z38" s="4">
        <v>1</v>
      </c>
      <c r="AA38" s="4">
        <v>0</v>
      </c>
      <c r="AB38" s="4">
        <v>0</v>
      </c>
      <c r="AC38" s="4">
        <v>0</v>
      </c>
      <c r="AD38" s="4">
        <v>0</v>
      </c>
      <c r="AE38" s="4" t="s">
        <v>45</v>
      </c>
      <c r="AF38" s="4" t="s">
        <v>401</v>
      </c>
      <c r="AG38" s="49" t="s">
        <v>378</v>
      </c>
      <c r="AH38" s="4" t="str">
        <f>Animals!$C$35</f>
        <v>&lt;li&gt;Rat&lt;/li&gt;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4" t="s">
        <v>40</v>
      </c>
      <c r="AO38" s="8">
        <f t="shared" si="10"/>
        <v>832.60787568991088</v>
      </c>
      <c r="AP38" s="8">
        <f>IFERROR(C38*_xlfn.XLOOKUP(E38,Groups!A:A,Groups!K:K),0.106*C38^0.94)</f>
        <v>6.9936937254361425E-2</v>
      </c>
      <c r="AQ38" s="8">
        <f>AP38*10000/(_xlfn.XLOOKUP(E38,Groups!A:A,Groups!J:J)*AO38)</f>
        <v>0.77061879462921312</v>
      </c>
      <c r="AR38" s="8">
        <f t="shared" si="11"/>
        <v>37.424084433394206</v>
      </c>
      <c r="AS38" s="8">
        <f>IF(_xlfn.XLOOKUP(E38,Groups!A:A,Groups!M:M)=1,EXP(0.7444*LN('Base stats'!C38)+6.5696),EXP(0.7927*LN('Base stats'!C38)+4.28))</f>
        <v>50.872304827912998</v>
      </c>
      <c r="AT38" s="8">
        <f>IF(_xlfn.XLOOKUP(E38,Groups!A:A,Groups!N:N)="No","No",
IF(_xlfn.XLOOKUP(E38,Groups!A:A,Groups!N:N)="Crocodile",EXP(0.8129*LN(C38)+4.6742)*S38,
IF(_xlfn.XLOOKUP(E38,Groups!A:A,Groups!N:N)="Felid",EXP(0.7843*LN(C38)+4.7073)*S38,
IF(_xlfn.XLOOKUP(E38,Groups!A:A,Groups!N:N)="Canid",EXP(0.8367*LN(C38)+4.8763)*S38,
IF(_xlfn.XLOOKUP(E38,Groups!A:A,Groups!N:N)="Pig",EXP(0.3439*LN(C38)+6.8519)*S38,
IF(_xlfn.XLOOKUP(E38,Groups!A:A,Groups!N:N)="Rodent",EXP(0.5625*LN(C38)+4.3006)*S38,
IF(_xlfn.XLOOKUP(E38,Groups!A:A,Groups!N:N)="Primate",EXP(0.7847*LN(C38)+3.4931)*S38,
IF(_xlfn.XLOOKUP(E38,Groups!A:A,Groups!N:N)="MiscCarnivora",EXP(0.7486*LN(C38)+4.2207)*S38,
IF(_xlfn.XLOOKUP(E38,Groups!A:A,Groups!N:N)="Lizard",EXP(0.7733*LN(C38)+5.5303)*S38,
IF(_xlfn.XLOOKUP(E38,Groups!A:A,Groups!N:N)="Snake",50*C38^(2/3)*S38,
IF(_xlfn.XLOOKUP(E38,Groups!A:A,Groups!N:N)="StrongBitingHerbivore",87.1133638856975*C38^(2/3)*S38,
IF(_xlfn.XLOOKUP(E38,Groups!A:A,Groups!N:N)="MiscEctotherms",59.4316884072269*C38^(2/3)*S38,
IF(_xlfn.XLOOKUP(E38,Groups!A:A,Groups!N:N)="StrongBeakBird",0.041*(C38*1000)^1.375*S38,
IF(_xlfn.XLOOKUP(E38,Groups!A:A,Groups!N:N)="Bird",0.118*(C38*1000)^0.692*S38,
IF(_xlfn.XLOOKUP(E38,Groups!A:A,Groups!N:N)="Insect",EXP(0.7444*LN(C38)+6.5696)*S38,
IF(_xlfn.XLOOKUP(E38,Groups!A:A,Groups!N:N)="Theropod",EXP(0.6966*LN(C38)+4.158)*S38,
"No"))))))))))))))))</f>
        <v>57.498363699898839</v>
      </c>
      <c r="AU38" s="8">
        <f>IF(_xlfn.XLOOKUP(E38,Groups!A:A,Groups!U:U)=3,AS38,IF(_xlfn.XLOOKUP(E38,Groups!A:A,Groups!U:U)=2,AR38,AT38))</f>
        <v>57.498363699898839</v>
      </c>
      <c r="AV38" s="46">
        <f>IFERROR(AVERAGE(_xlfn.XLOOKUP(B38,Animals!B:B,Animals!N:N),_xlfn.XLOOKUP(B38,Animals!B:B,Animals!O:O)),0)</f>
        <v>0</v>
      </c>
      <c r="AW38" s="8">
        <f>MROUND(40*Animals!AO38*_xlfn.XLOOKUP(AG38,Leathers!$A$2:$A$99,Leathers!$B$2:$B$99,0)+(140*_xlfn.XLOOKUP(B38,Animals!B:B,Animals!AO:AO)*2),5)</f>
        <v>80</v>
      </c>
      <c r="AX38" s="8">
        <f>IFERROR(ROUND(SQRT(V38-1)*IF(_xlfn.XLOOKUP(E38,Groups!A:A,Groups!BF:BF)=0,2,1)*IF(_xlfn.XLOOKUP('Base stats'!E38,Groups!A:A,Groups!O:O)=0,1,0.1),1),0)</f>
        <v>0</v>
      </c>
      <c r="AY38" s="8">
        <f t="shared" si="12"/>
        <v>0</v>
      </c>
      <c r="AZ38" s="8">
        <f t="shared" si="13"/>
        <v>0</v>
      </c>
      <c r="BA38" s="8">
        <f t="shared" si="14"/>
        <v>0.5</v>
      </c>
      <c r="BB38" s="8">
        <f>IF(_xlfn.XLOOKUP(E38,Groups!A:A,Groups!N:N)="Insect",BD38*2.5,IFERROR(AVERAGE(BD38,AT38/9.81/IF(OR(_xlfn.XLOOKUP(E38,Groups!A:A,Groups!N:N)="Pig",_xlfn.XLOOKUP(E38,Groups!A:A,Groups!N:N)="StrongBitingHerbivore"),20,25))*C38^-0.135,BD38))</f>
        <v>0.13934308206062856</v>
      </c>
      <c r="BC38" s="8" t="str">
        <f>IF(W38="No","No",IF(_xlfn.XLOOKUP(E38,Groups!A:A,Groups!U:U)=1,'Base stats'!BB38,IF(OR(_xlfn.XLOOKUP(E38,Groups!A:A,Groups!BD:BD)=1,_xlfn.XLOOKUP(E38,Groups!A:A,Groups!U:U)=2),BD38,IF(_xlfn.XLOOKUP(B38,Animals!B:B,Animals!AO:AO)&gt;4,AVERAGE(BD38,BF38),BF38))))</f>
        <v>No</v>
      </c>
      <c r="BD38" s="8">
        <f t="shared" si="15"/>
        <v>2.8081636188688721E-2</v>
      </c>
      <c r="BE38" s="8">
        <f>IF(_xlfn.XLOOKUP(E38,Groups!A:A,Groups!BE:BE)=1,(0.048*C38^1.01)+(0.071*C38^1.03),0.071*C38^1.03)/IF(_xlfn.XLOOKUP(E38,Groups!A:A,Groups!M:M)=1,0.85,IF(OR(_xlfn.XLOOKUP(B38,Animals!B:B,Animals!AO:AO)&gt;4,_xlfn.XLOOKUP(E38,Groups!A:A,Groups!BC:BC)=1),1.7,1))*C38^-0.25</f>
        <v>5.0280477299913279E-2</v>
      </c>
      <c r="BF38" s="8">
        <f>(0.048*C38^1.01)/IF(_xlfn.XLOOKUP(E38,Groups!A:A,Groups!M:M)=1,0.25,0.8)*C38^-0.25</f>
        <v>4.2868158787209225E-2</v>
      </c>
      <c r="BG38" s="8">
        <f>EXP(1.076*LN(AR38)-4.5397)*IF(_xlfn.XLOOKUP(E38,Groups!A:A,Groups!BC:BC)=1,1.25,IF(_xlfn.XLOOKUP(E38,Groups!A:A,Groups!BD:BD)=1,3.5,2.5))</f>
        <v>1.3154793149228825</v>
      </c>
      <c r="BH38" s="8">
        <f>EXP(1.076*LN(AS38)-4.5397)*IF(_xlfn.XLOOKUP(E38,Groups!A:A,Groups!M:M)=1,0.8,IF(_xlfn.XLOOKUP(E38,Groups!A:A,Groups!BC:BC)=1,1.3,3))</f>
        <v>2.1964867965589372</v>
      </c>
      <c r="BI38" s="8" t="str">
        <f>IF(W38="No","No",IF(_xlfn.XLOOKUP(E38,Groups!A:A,Groups!U:U)=1,'Base stats'!BJ38,IF(OR(_xlfn.XLOOKUP(E38,Groups!A:A,Groups!BD:BD)=1,_xlfn.XLOOKUP(E38,Groups!A:A,Groups!U:U)=2),BG38,BH38))*1.2)</f>
        <v>No</v>
      </c>
      <c r="BJ38" s="8">
        <f>IFERROR(EXP(1.076*LN(AT38)-4.5397)*IF(_xlfn.XLOOKUP(E38,Groups!A:A,Groups!N:N)="Insect",1,IF(OR(_xlfn.XLOOKUP(E38,Groups!A:A,Groups!N:N)="Pig",_xlfn.XLOOKUP(E38,Groups!A:A,Groups!N:N)="StrongBitingHerbivore"),3.5,3.75)),"No")</f>
        <v>3.1322319178376836</v>
      </c>
      <c r="BK38" s="8">
        <f t="shared" si="16"/>
        <v>9</v>
      </c>
      <c r="BL38" s="8">
        <f t="shared" si="17"/>
        <v>9</v>
      </c>
      <c r="BM38" s="8" t="str">
        <f t="shared" si="18"/>
        <v>No</v>
      </c>
      <c r="BN38" s="8">
        <f t="shared" si="19"/>
        <v>6</v>
      </c>
      <c r="BO38" s="8">
        <f t="shared" si="20"/>
        <v>10</v>
      </c>
      <c r="BP38" s="8" t="str" cm="1">
        <f t="array" ref="BP38">IF(AND(_xlfn.XLOOKUP('Base stats'!E38,Groups!A:A,Groups!AD:AD=0),_xlfn.XLOOKUP('Base stats'!E38,Groups!A:A,Groups!P:P=0)),"No",IF(U38="No",AVERAGE(EXP(-0.57+0.99*LN(C38)),EXP(0.32+0.67*LN(C38)))/IF(_xlfn.XLOOKUP(E38,Groups!A:A,Groups!AD:AD)=1,10,2),(0.7354*C38^0.4078)*2/IF(_xlfn.XLOOKUP(E38,Groups!A:A,Groups!BK:BK)=1,1000,100)/IF(_xlfn.XLOOKUP(E38,Groups!A:A,Groups!AJ:AJ)="Photonozoa",3,1)))</f>
        <v>No</v>
      </c>
      <c r="BQ38" s="8" t="str">
        <f>IF(W38="No","No",IF(_xlfn.XLOOKUP(E38,Groups!A:A,Groups!BD:BD)=1,(AO38*5%),EXP(0.7354*LN(C38)^0.4078)*2/IF(_xlfn.XLOOKUP(E38,Groups!A:A,Groups!BL:BL)=1,1000,100)/IF(_xlfn.XLOOKUP(E38,Groups!A:A,Groups!AJ:AJ)="Photonozoa",3,1)))</f>
        <v>No</v>
      </c>
      <c r="BR38" s="8">
        <f>IF(BJ38="No","No",IF(_xlfn.XLOOKUP(E38,Groups!A:A,Groups!BF:BF)=1,(0.0315*C38+2.1825)*2,(0.7354*C38^0.4078)*2)/IF(_xlfn.XLOOKUP(E38,Groups!A:A,Groups!BM:BM)=1,1000,100)/IF(_xlfn.XLOOKUP(E38,Groups!A:A,Groups!AJ:AJ)="Photonozoa",3,1))</f>
        <v>1.2280167326328261E-2</v>
      </c>
      <c r="BS38" s="8">
        <f t="shared" si="21"/>
        <v>3.1599012051930386E-2</v>
      </c>
      <c r="BT38" s="8" t="str">
        <f t="shared" si="22"/>
        <v>No</v>
      </c>
      <c r="BU38" s="8" t="str">
        <f t="shared" si="23"/>
        <v>No</v>
      </c>
      <c r="BV38" s="8">
        <f t="shared" si="24"/>
        <v>255.064270266276</v>
      </c>
      <c r="BW38" s="4">
        <v>0</v>
      </c>
      <c r="BX38" s="4">
        <v>1</v>
      </c>
    </row>
    <row r="39" spans="1:76" x14ac:dyDescent="0.25">
      <c r="A39" s="26" t="s">
        <v>117</v>
      </c>
      <c r="B39" s="6" t="s">
        <v>118</v>
      </c>
      <c r="C39" s="7">
        <f>AVERAGE(61.2,54.2)</f>
        <v>57.7</v>
      </c>
      <c r="D39" s="7" t="s">
        <v>1149</v>
      </c>
      <c r="E39" s="7" t="str">
        <f>Groups!$A$48</f>
        <v>Rodent (TAILLESS, AQUATIC)</v>
      </c>
      <c r="F39" s="7">
        <v>150</v>
      </c>
      <c r="G39" s="7">
        <f>456/365</f>
        <v>1.2493150684931507</v>
      </c>
      <c r="H39" s="7">
        <v>15.1</v>
      </c>
      <c r="I39" s="4">
        <v>0</v>
      </c>
      <c r="J39" s="7">
        <v>4.8</v>
      </c>
      <c r="K39" s="7" t="s">
        <v>547</v>
      </c>
      <c r="L39" s="7">
        <f>MIN(20*C39^0.183,19.9*C39^0.142)</f>
        <v>35.394847205186537</v>
      </c>
      <c r="M39" s="7" t="s">
        <v>626</v>
      </c>
      <c r="N39" s="4">
        <v>0</v>
      </c>
      <c r="O39" s="4">
        <v>0</v>
      </c>
      <c r="P39" s="4">
        <v>0</v>
      </c>
      <c r="Q39" s="4">
        <v>0</v>
      </c>
      <c r="R39" s="4" t="s">
        <v>40</v>
      </c>
      <c r="S39" s="7">
        <f>_xlfn.XLOOKUP(B39,[1]TeethAdjusters!$A:$A,[1]BiteAdjusters!$C:$C,1)</f>
        <v>1</v>
      </c>
      <c r="T39" s="7">
        <f>_xlfn.XLOOKUP(B39,[1]TeethAdjusters!$A:$A,[1]TeethAdjusters!$B:$B,1)</f>
        <v>1</v>
      </c>
      <c r="U39" s="7" t="s">
        <v>45</v>
      </c>
      <c r="V39" s="7">
        <f>MROUND(7.62,0.05)</f>
        <v>7.6000000000000005</v>
      </c>
      <c r="W39" s="7" t="s">
        <v>45</v>
      </c>
      <c r="X39" s="7" t="s">
        <v>932</v>
      </c>
      <c r="Y39" s="4" t="s">
        <v>42</v>
      </c>
      <c r="Z39" s="4">
        <v>1</v>
      </c>
      <c r="AA39" s="4">
        <v>0</v>
      </c>
      <c r="AB39" s="4">
        <v>0</v>
      </c>
      <c r="AC39" s="4">
        <v>0</v>
      </c>
      <c r="AD39" s="4">
        <v>0</v>
      </c>
      <c r="AE39" s="4" t="s">
        <v>45</v>
      </c>
      <c r="AF39" s="4" t="s">
        <v>401</v>
      </c>
      <c r="AG39" s="49" t="s">
        <v>385</v>
      </c>
      <c r="AH39" s="4" t="s">
        <v>45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4" t="s">
        <v>40</v>
      </c>
      <c r="AO39" s="8">
        <f t="shared" si="10"/>
        <v>15491.278344543136</v>
      </c>
      <c r="AP39" s="8">
        <f>IFERROR(C39*_xlfn.XLOOKUP(E39,Groups!A:A,Groups!K:K),0.106*C39^0.94)</f>
        <v>4.795248626705237</v>
      </c>
      <c r="AQ39" s="8">
        <f>AP39*10000/(_xlfn.XLOOKUP(E39,Groups!A:A,Groups!J:J)*AO39)</f>
        <v>2.8398629014704433</v>
      </c>
      <c r="AR39" s="8">
        <f t="shared" si="11"/>
        <v>1671.4983763176706</v>
      </c>
      <c r="AS39" s="8">
        <f>IF(_xlfn.XLOOKUP(E39,Groups!A:A,Groups!M:M)=1,EXP(0.7444*LN('Base stats'!C39)+6.5696),EXP(0.7927*LN('Base stats'!C39)+4.28))</f>
        <v>1798.3095458934615</v>
      </c>
      <c r="AT39" s="8">
        <f>IF(_xlfn.XLOOKUP(E39,Groups!A:A,Groups!N:N)="No","No",
IF(_xlfn.XLOOKUP(E39,Groups!A:A,Groups!N:N)="Crocodile",EXP(0.8129*LN(C39)+4.6742)*S39,
IF(_xlfn.XLOOKUP(E39,Groups!A:A,Groups!N:N)="Felid",EXP(0.7843*LN(C39)+4.7073)*S39,
IF(_xlfn.XLOOKUP(E39,Groups!A:A,Groups!N:N)="Canid",EXP(0.8367*LN(C39)+4.8763)*S39,
IF(_xlfn.XLOOKUP(E39,Groups!A:A,Groups!N:N)="Pig",EXP(0.3439*LN(C39)+6.8519)*S39,
IF(_xlfn.XLOOKUP(E39,Groups!A:A,Groups!N:N)="Rodent",EXP(0.5625*LN(C39)+4.3006)*S39,
IF(_xlfn.XLOOKUP(E39,Groups!A:A,Groups!N:N)="Primate",EXP(0.7847*LN(C39)+3.4931)*S39,
IF(_xlfn.XLOOKUP(E39,Groups!A:A,Groups!N:N)="MiscCarnivora",EXP(0.7486*LN(C39)+4.2207)*S39,
IF(_xlfn.XLOOKUP(E39,Groups!A:A,Groups!N:N)="Lizard",EXP(0.7733*LN(C39)+5.5303)*S39,
IF(_xlfn.XLOOKUP(E39,Groups!A:A,Groups!N:N)="Snake",50*C39^(2/3)*S39,
IF(_xlfn.XLOOKUP(E39,Groups!A:A,Groups!N:N)="StrongBitingHerbivore",87.1133638856975*C39^(2/3)*S39,
IF(_xlfn.XLOOKUP(E39,Groups!A:A,Groups!N:N)="MiscEctotherms",59.4316884072269*C39^(2/3)*S39,
IF(_xlfn.XLOOKUP(E39,Groups!A:A,Groups!N:N)="StrongBeakBird",0.041*(C39*1000)^1.375*S39,
IF(_xlfn.XLOOKUP(E39,Groups!A:A,Groups!N:N)="Bird",0.118*(C39*1000)^0.692*S39,
IF(_xlfn.XLOOKUP(E39,Groups!A:A,Groups!N:N)="Insect",EXP(0.7444*LN(C39)+6.5696)*S39,
IF(_xlfn.XLOOKUP(E39,Groups!A:A,Groups!N:N)="Theropod",EXP(0.6966*LN(C39)+4.158)*S39,
"No"))))))))))))))))</f>
        <v>721.75241177395685</v>
      </c>
      <c r="AU39" s="8">
        <f>IF(_xlfn.XLOOKUP(E39,Groups!A:A,Groups!U:U)=3,AS39,IF(_xlfn.XLOOKUP(E39,Groups!A:A,Groups!U:U)=2,AR39,AT39))</f>
        <v>721.75241177395685</v>
      </c>
      <c r="AV39" s="46">
        <f>IFERROR(AVERAGE(_xlfn.XLOOKUP(B39,Animals!B:B,Animals!N:N),_xlfn.XLOOKUP(B39,Animals!B:B,Animals!O:O)),0)</f>
        <v>0</v>
      </c>
      <c r="AW39" s="8">
        <f>MROUND(40*Animals!AO39*_xlfn.XLOOKUP(AG39,Leathers!$A$2:$A$99,Leathers!$B$2:$B$99,0)+(140*_xlfn.XLOOKUP(B39,Animals!B:B,Animals!AO:AO)*2),5)</f>
        <v>320</v>
      </c>
      <c r="AX39" s="8">
        <f>IFERROR(ROUND(SQRT(V39-1)*IF(_xlfn.XLOOKUP(E39,Groups!A:A,Groups!BF:BF)=0,2,1)*IF(_xlfn.XLOOKUP('Base stats'!E39,Groups!A:A,Groups!O:O)=0,1,0.1),1),0)</f>
        <v>5.0999999999999996</v>
      </c>
      <c r="AY39" s="8">
        <f t="shared" si="12"/>
        <v>0</v>
      </c>
      <c r="AZ39" s="8">
        <f t="shared" si="13"/>
        <v>0</v>
      </c>
      <c r="BA39" s="8">
        <f t="shared" si="14"/>
        <v>3.4</v>
      </c>
      <c r="BB39" s="8">
        <f>IF(_xlfn.XLOOKUP(E39,Groups!A:A,Groups!N:N)="Insect",BD39*2.5,IFERROR(AVERAGE(BD39,AT39/9.81/IF(OR(_xlfn.XLOOKUP(E39,Groups!A:A,Groups!N:N)="Pig",_xlfn.XLOOKUP(E39,Groups!A:A,Groups!N:N)="StrongBitingHerbivore"),20,25))*C39^-0.135,BD39))</f>
        <v>1.0923452949768868</v>
      </c>
      <c r="BC39" s="8" t="str">
        <f>IF(W39="No","No",IF(_xlfn.XLOOKUP(E39,Groups!A:A,Groups!U:U)=1,'Base stats'!BB39,IF(OR(_xlfn.XLOOKUP(E39,Groups!A:A,Groups!BD:BD)=1,_xlfn.XLOOKUP(E39,Groups!A:A,Groups!U:U)=2),BD39,IF(_xlfn.XLOOKUP(B39,Animals!B:B,Animals!AO:AO)&gt;4,AVERAGE(BD39,BF39),BF39))))</f>
        <v>No</v>
      </c>
      <c r="BD39" s="8">
        <f t="shared" si="15"/>
        <v>0.83408945402193257</v>
      </c>
      <c r="BE39" s="8">
        <f>IF(_xlfn.XLOOKUP(E39,Groups!A:A,Groups!BE:BE)=1,(0.048*C39^1.01)+(0.071*C39^1.03),0.071*C39^1.03)/IF(_xlfn.XLOOKUP(E39,Groups!A:A,Groups!M:M)=1,0.85,IF(OR(_xlfn.XLOOKUP(B39,Animals!B:B,Animals!AO:AO)&gt;4,_xlfn.XLOOKUP(E39,Groups!A:A,Groups!BC:BC)=1),1.7,1))*C39^-0.25</f>
        <v>1.6787092480742718</v>
      </c>
      <c r="BF39" s="8">
        <f>(0.048*C39^1.01)/IF(_xlfn.XLOOKUP(E39,Groups!A:A,Groups!M:M)=1,0.25,0.8)*C39^-0.25</f>
        <v>1.3081118153339701</v>
      </c>
      <c r="BG39" s="8">
        <f>EXP(1.076*LN(AR39)-4.5397)*IF(_xlfn.XLOOKUP(E39,Groups!A:A,Groups!BC:BC)=1,1.25,IF(_xlfn.XLOOKUP(E39,Groups!A:A,Groups!BD:BD)=1,3.5,2.5))</f>
        <v>78.421539030877653</v>
      </c>
      <c r="BH39" s="8">
        <f>EXP(1.076*LN(AS39)-4.5397)*IF(_xlfn.XLOOKUP(E39,Groups!A:A,Groups!M:M)=1,0.8,IF(_xlfn.XLOOKUP(E39,Groups!A:A,Groups!BC:BC)=1,1.3,3))</f>
        <v>101.80960278533206</v>
      </c>
      <c r="BI39" s="8" t="str">
        <f>IF(W39="No","No",IF(_xlfn.XLOOKUP(E39,Groups!A:A,Groups!U:U)=1,'Base stats'!BJ39,IF(OR(_xlfn.XLOOKUP(E39,Groups!A:A,Groups!BD:BD)=1,_xlfn.XLOOKUP(E39,Groups!A:A,Groups!U:U)=2),BG39,BH39))*1.2)</f>
        <v>No</v>
      </c>
      <c r="BJ39" s="8">
        <f>IFERROR(EXP(1.076*LN(AT39)-4.5397)*IF(_xlfn.XLOOKUP(E39,Groups!A:A,Groups!N:N)="Insect",1,IF(OR(_xlfn.XLOOKUP(E39,Groups!A:A,Groups!N:N)="Pig",_xlfn.XLOOKUP(E39,Groups!A:A,Groups!N:N)="StrongBitingHerbivore"),3.5,3.75)),"No")</f>
        <v>47.653012249525908</v>
      </c>
      <c r="BK39" s="8">
        <f t="shared" si="16"/>
        <v>13</v>
      </c>
      <c r="BL39" s="8">
        <f t="shared" si="17"/>
        <v>11</v>
      </c>
      <c r="BM39" s="8" t="str">
        <f t="shared" si="18"/>
        <v>No</v>
      </c>
      <c r="BN39" s="8">
        <f t="shared" si="19"/>
        <v>9</v>
      </c>
      <c r="BO39" s="8">
        <f t="shared" si="20"/>
        <v>12</v>
      </c>
      <c r="BP39" s="8" t="str" cm="1">
        <f t="array" ref="BP39">IF(AND(_xlfn.XLOOKUP('Base stats'!E39,Groups!A:A,Groups!AD:AD=0),_xlfn.XLOOKUP('Base stats'!E39,Groups!A:A,Groups!P:P=0)),"No",IF(U39="No",AVERAGE(EXP(-0.57+0.99*LN(C39)),EXP(0.32+0.67*LN(C39)))/IF(_xlfn.XLOOKUP(E39,Groups!A:A,Groups!AD:AD)=1,10,2),(0.7354*C39^0.4078)*2/IF(_xlfn.XLOOKUP(E39,Groups!A:A,Groups!BK:BK)=1,1000,100)/IF(_xlfn.XLOOKUP(E39,Groups!A:A,Groups!AJ:AJ)="Photonozoa",3,1)))</f>
        <v>No</v>
      </c>
      <c r="BQ39" s="8" t="str">
        <f>IF(W39="No","No",IF(_xlfn.XLOOKUP(E39,Groups!A:A,Groups!BD:BD)=1,(AO39*5%),EXP(0.7354*LN(C39)^0.4078)*2/IF(_xlfn.XLOOKUP(E39,Groups!A:A,Groups!BL:BL)=1,1000,100)/IF(_xlfn.XLOOKUP(E39,Groups!A:A,Groups!AJ:AJ)="Photonozoa",3,1)))</f>
        <v>No</v>
      </c>
      <c r="BR39" s="8">
        <f>IF(BJ39="No","No",IF(_xlfn.XLOOKUP(E39,Groups!A:A,Groups!BF:BF)=1,(0.0315*C39+2.1825)*2,(0.7354*C39^0.4078)*2)/IF(_xlfn.XLOOKUP(E39,Groups!A:A,Groups!BM:BM)=1,1000,100)/IF(_xlfn.XLOOKUP(E39,Groups!A:A,Groups!AJ:AJ)="Photonozoa",3,1))</f>
        <v>7.687074990410124E-2</v>
      </c>
      <c r="BS39" s="8">
        <f t="shared" si="21"/>
        <v>0.10124605250347457</v>
      </c>
      <c r="BT39" s="8" t="str">
        <f t="shared" si="22"/>
        <v>No</v>
      </c>
      <c r="BU39" s="8" t="str">
        <f t="shared" si="23"/>
        <v>No</v>
      </c>
      <c r="BV39" s="8">
        <f t="shared" si="24"/>
        <v>619.91085437535855</v>
      </c>
      <c r="BW39" s="4">
        <v>0</v>
      </c>
      <c r="BX39" s="4">
        <v>1</v>
      </c>
    </row>
    <row r="40" spans="1:76" x14ac:dyDescent="0.25">
      <c r="A40" s="26" t="s">
        <v>119</v>
      </c>
      <c r="B40" s="6" t="s">
        <v>120</v>
      </c>
      <c r="C40" s="7">
        <v>35</v>
      </c>
      <c r="D40" s="7" t="s">
        <v>528</v>
      </c>
      <c r="E40" s="7" t="str">
        <f>Groups!$A$51</f>
        <v>Rodent</v>
      </c>
      <c r="F40" s="7">
        <v>128</v>
      </c>
      <c r="G40" s="7">
        <f>639/365</f>
        <v>1.7506849315068493</v>
      </c>
      <c r="H40" s="7">
        <f>23.4</f>
        <v>23.4</v>
      </c>
      <c r="I40" s="4">
        <v>0</v>
      </c>
      <c r="J40" s="7">
        <v>3</v>
      </c>
      <c r="K40" s="7" t="s">
        <v>548</v>
      </c>
      <c r="L40" s="7">
        <f>MIN(20*C40^0.183,19.9*C40^0.142,13.7*C40^0.004)</f>
        <v>13.896225063401149</v>
      </c>
      <c r="M40" s="7" t="s">
        <v>626</v>
      </c>
      <c r="N40" s="4">
        <v>0</v>
      </c>
      <c r="O40" s="4">
        <v>1</v>
      </c>
      <c r="P40" s="4">
        <v>20</v>
      </c>
      <c r="Q40" s="4">
        <v>0</v>
      </c>
      <c r="R40" s="4" t="s">
        <v>40</v>
      </c>
      <c r="S40" s="7">
        <f>_xlfn.XLOOKUP(B40,[1]TeethAdjusters!$A:$A,[1]BiteAdjusters!$C:$C,1)</f>
        <v>1.5835439013324151</v>
      </c>
      <c r="T40" s="7">
        <f>_xlfn.XLOOKUP(B40,[1]TeethAdjusters!$A:$A,[1]TeethAdjusters!$B:$B,1)</f>
        <v>1</v>
      </c>
      <c r="U40" s="7" t="s">
        <v>45</v>
      </c>
      <c r="V40" s="7">
        <f>MAX(20,25)/10</f>
        <v>2.5</v>
      </c>
      <c r="W40" s="7" t="s">
        <v>45</v>
      </c>
      <c r="X40" s="7" t="s">
        <v>932</v>
      </c>
      <c r="Y40" s="4" t="s">
        <v>1002</v>
      </c>
      <c r="Z40" s="4">
        <v>1</v>
      </c>
      <c r="AA40" s="4">
        <v>0</v>
      </c>
      <c r="AB40" s="4">
        <v>0</v>
      </c>
      <c r="AC40" s="4">
        <v>0</v>
      </c>
      <c r="AD40" s="4">
        <v>0</v>
      </c>
      <c r="AE40" s="4" t="s">
        <v>45</v>
      </c>
      <c r="AF40" s="4" t="s">
        <v>398</v>
      </c>
      <c r="AG40" s="49" t="s">
        <v>385</v>
      </c>
      <c r="AH40" s="4" t="s">
        <v>45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4">
        <v>10</v>
      </c>
      <c r="AO40" s="8">
        <f t="shared" si="10"/>
        <v>11193.533609727016</v>
      </c>
      <c r="AP40" s="8">
        <f>IFERROR(C40*_xlfn.XLOOKUP(E40,Groups!A:A,Groups!K:K),0.106*C40^0.94)</f>
        <v>2.9972973309206234</v>
      </c>
      <c r="AQ40" s="8">
        <f>AP40*10000/(_xlfn.XLOOKUP(E40,Groups!A:A,Groups!J:J)*AO40)</f>
        <v>2.4566094684124091</v>
      </c>
      <c r="AR40" s="8">
        <f t="shared" si="11"/>
        <v>1095.7589503868378</v>
      </c>
      <c r="AS40" s="8">
        <f>IF(_xlfn.XLOOKUP(E40,Groups!A:A,Groups!M:M)=1,EXP(0.7444*LN('Base stats'!C40)+6.5696),EXP(0.7927*LN('Base stats'!C40)+4.28))</f>
        <v>1209.9380129875831</v>
      </c>
      <c r="AT40" s="8">
        <f>IF(_xlfn.XLOOKUP(E40,Groups!A:A,Groups!N:N)="No","No",
IF(_xlfn.XLOOKUP(E40,Groups!A:A,Groups!N:N)="Crocodile",EXP(0.8129*LN(C40)+4.6742)*S40,
IF(_xlfn.XLOOKUP(E40,Groups!A:A,Groups!N:N)="Felid",EXP(0.7843*LN(C40)+4.7073)*S40,
IF(_xlfn.XLOOKUP(E40,Groups!A:A,Groups!N:N)="Canid",EXP(0.8367*LN(C40)+4.8763)*S40,
IF(_xlfn.XLOOKUP(E40,Groups!A:A,Groups!N:N)="Pig",EXP(0.3439*LN(C40)+6.8519)*S40,
IF(_xlfn.XLOOKUP(E40,Groups!A:A,Groups!N:N)="Rodent",EXP(0.5625*LN(C40)+4.3006)*S40,
IF(_xlfn.XLOOKUP(E40,Groups!A:A,Groups!N:N)="Primate",EXP(0.7847*LN(C40)+3.4931)*S40,
IF(_xlfn.XLOOKUP(E40,Groups!A:A,Groups!N:N)="MiscCarnivora",EXP(0.7486*LN(C40)+4.2207)*S40,
IF(_xlfn.XLOOKUP(E40,Groups!A:A,Groups!N:N)="Lizard",EXP(0.7733*LN(C40)+5.5303)*S40,
IF(_xlfn.XLOOKUP(E40,Groups!A:A,Groups!N:N)="Snake",50*C40^(2/3)*S40,
IF(_xlfn.XLOOKUP(E40,Groups!A:A,Groups!N:N)="StrongBitingHerbivore",87.1133638856975*C40^(2/3)*S40,
IF(_xlfn.XLOOKUP(E40,Groups!A:A,Groups!N:N)="MiscEctotherms",59.4316884072269*C40^(2/3)*S40,
IF(_xlfn.XLOOKUP(E40,Groups!A:A,Groups!N:N)="StrongBeakBird",0.041*(C40*1000)^1.375*S40,
IF(_xlfn.XLOOKUP(E40,Groups!A:A,Groups!N:N)="Bird",0.118*(C40*1000)^0.692*S40,
IF(_xlfn.XLOOKUP(E40,Groups!A:A,Groups!N:N)="Insect",EXP(0.7444*LN(C40)+6.5696)*S40,
IF(_xlfn.XLOOKUP(E40,Groups!A:A,Groups!N:N)="Theropod",EXP(0.6966*LN(C40)+4.158)*S40,
"No"))))))))))))))))</f>
        <v>862.77039000933701</v>
      </c>
      <c r="AU40" s="8">
        <f>IF(_xlfn.XLOOKUP(E40,Groups!A:A,Groups!U:U)=3,AS40,IF(_xlfn.XLOOKUP(E40,Groups!A:A,Groups!U:U)=2,AR40,AT40))</f>
        <v>862.77039000933701</v>
      </c>
      <c r="AV40" s="46">
        <f>IFERROR(AVERAGE(_xlfn.XLOOKUP(B40,Animals!B:B,Animals!N:N),_xlfn.XLOOKUP(B40,Animals!B:B,Animals!O:O)),0)</f>
        <v>0</v>
      </c>
      <c r="AW40" s="8">
        <f>MROUND(40*Animals!AO40*_xlfn.XLOOKUP(AG40,Leathers!$A$2:$A$99,Leathers!$B$2:$B$99,0)+(140*_xlfn.XLOOKUP(B40,Animals!B:B,Animals!AO:AO)*2),5)</f>
        <v>265</v>
      </c>
      <c r="AX40" s="8">
        <f>IFERROR(ROUND(SQRT(V40-1)*IF(_xlfn.XLOOKUP(E40,Groups!A:A,Groups!BF:BF)=0,2,1)*IF(_xlfn.XLOOKUP('Base stats'!E40,Groups!A:A,Groups!O:O)=0,1,0.1),1),0)</f>
        <v>2.4</v>
      </c>
      <c r="AY40" s="8">
        <f t="shared" si="12"/>
        <v>0</v>
      </c>
      <c r="AZ40" s="8">
        <f t="shared" si="13"/>
        <v>0</v>
      </c>
      <c r="BA40" s="8">
        <f t="shared" si="14"/>
        <v>2.9</v>
      </c>
      <c r="BB40" s="8">
        <f>IF(_xlfn.XLOOKUP(E40,Groups!A:A,Groups!N:N)="Insect",BD40*2.5,IFERROR(AVERAGE(BD40,AT40/9.81/IF(OR(_xlfn.XLOOKUP(E40,Groups!A:A,Groups!N:N)="Pig",_xlfn.XLOOKUP(E40,Groups!A:A,Groups!N:N)="StrongBitingHerbivore"),20,25))*C40^-0.135,BD40))</f>
        <v>1.265471199012334</v>
      </c>
      <c r="BC40" s="8" t="str">
        <f>IF(W40="No","No",IF(_xlfn.XLOOKUP(E40,Groups!A:A,Groups!U:U)=1,'Base stats'!BB40,IF(OR(_xlfn.XLOOKUP(E40,Groups!A:A,Groups!BD:BD)=1,_xlfn.XLOOKUP(E40,Groups!A:A,Groups!U:U)=2),BD40,IF(_xlfn.XLOOKUP(B40,Animals!B:B,Animals!AO:AO)&gt;4,AVERAGE(BD40,BF40),BF40))))</f>
        <v>No</v>
      </c>
      <c r="BD40" s="8">
        <f t="shared" si="15"/>
        <v>0.57215457172317086</v>
      </c>
      <c r="BE40" s="8">
        <f>IF(_xlfn.XLOOKUP(E40,Groups!A:A,Groups!BE:BE)=1,(0.048*C40^1.01)+(0.071*C40^1.03),0.071*C40^1.03)/IF(_xlfn.XLOOKUP(E40,Groups!A:A,Groups!M:M)=1,0.85,IF(OR(_xlfn.XLOOKUP(B40,Animals!B:B,Animals!AO:AO)&gt;4,_xlfn.XLOOKUP(E40,Groups!A:A,Groups!BC:BC)=1),1.7,1))*C40^-0.25</f>
        <v>1.1366622147994494</v>
      </c>
      <c r="BF40" s="8">
        <f>(0.048*C40^1.01)/IF(_xlfn.XLOOKUP(E40,Groups!A:A,Groups!M:M)=1,0.25,0.8)*C40^-0.25</f>
        <v>0.89462898368032151</v>
      </c>
      <c r="BG40" s="8">
        <f>EXP(1.076*LN(AR40)-4.5397)*IF(_xlfn.XLOOKUP(E40,Groups!A:A,Groups!BC:BC)=1,1.25,IF(_xlfn.XLOOKUP(E40,Groups!A:A,Groups!BD:BD)=1,3.5,2.5))</f>
        <v>49.785940753579851</v>
      </c>
      <c r="BH40" s="8">
        <f>EXP(1.076*LN(AS40)-4.5397)*IF(_xlfn.XLOOKUP(E40,Groups!A:A,Groups!M:M)=1,0.8,IF(_xlfn.XLOOKUP(E40,Groups!A:A,Groups!BC:BC)=1,1.3,3))</f>
        <v>66.46725045827219</v>
      </c>
      <c r="BI40" s="8" t="str">
        <f>IF(W40="No","No",IF(_xlfn.XLOOKUP(E40,Groups!A:A,Groups!U:U)=1,'Base stats'!BJ40,IF(OR(_xlfn.XLOOKUP(E40,Groups!A:A,Groups!BD:BD)=1,_xlfn.XLOOKUP(E40,Groups!A:A,Groups!U:U)=2),BG40,BH40))*1.2)</f>
        <v>No</v>
      </c>
      <c r="BJ40" s="8">
        <f>IFERROR(EXP(1.076*LN(AT40)-4.5397)*IF(_xlfn.XLOOKUP(E40,Groups!A:A,Groups!N:N)="Insect",1,IF(OR(_xlfn.XLOOKUP(E40,Groups!A:A,Groups!N:N)="Pig",_xlfn.XLOOKUP(E40,Groups!A:A,Groups!N:N)="StrongBitingHerbivore"),3.5,3.75)),"No")</f>
        <v>57.741475532213684</v>
      </c>
      <c r="BK40" s="8">
        <f t="shared" si="16"/>
        <v>13</v>
      </c>
      <c r="BL40" s="8">
        <f t="shared" si="17"/>
        <v>10</v>
      </c>
      <c r="BM40" s="8" t="str">
        <f t="shared" si="18"/>
        <v>No</v>
      </c>
      <c r="BN40" s="8">
        <f t="shared" si="19"/>
        <v>9</v>
      </c>
      <c r="BO40" s="8">
        <f t="shared" si="20"/>
        <v>12</v>
      </c>
      <c r="BP40" s="8" t="str" cm="1">
        <f t="array" ref="BP40">IF(AND(_xlfn.XLOOKUP('Base stats'!E40,Groups!A:A,Groups!AD:AD=0),_xlfn.XLOOKUP('Base stats'!E40,Groups!A:A,Groups!P:P=0)),"No",IF(U40="No",AVERAGE(EXP(-0.57+0.99*LN(C40)),EXP(0.32+0.67*LN(C40)))/IF(_xlfn.XLOOKUP(E40,Groups!A:A,Groups!AD:AD)=1,10,2),(0.7354*C40^0.4078)*2/IF(_xlfn.XLOOKUP(E40,Groups!A:A,Groups!BK:BK)=1,1000,100)/IF(_xlfn.XLOOKUP(E40,Groups!A:A,Groups!AJ:AJ)="Photonozoa",3,1)))</f>
        <v>No</v>
      </c>
      <c r="BQ40" s="8" t="str">
        <f>IF(W40="No","No",IF(_xlfn.XLOOKUP(E40,Groups!A:A,Groups!BD:BD)=1,(AO40*5%),EXP(0.7354*LN(C40)^0.4078)*2/IF(_xlfn.XLOOKUP(E40,Groups!A:A,Groups!BL:BL)=1,1000,100)/IF(_xlfn.XLOOKUP(E40,Groups!A:A,Groups!AJ:AJ)="Photonozoa",3,1)))</f>
        <v>No</v>
      </c>
      <c r="BR40" s="8">
        <f>IF(BJ40="No","No",IF(_xlfn.XLOOKUP(E40,Groups!A:A,Groups!BF:BF)=1,(0.0315*C40+2.1825)*2,(0.7354*C40^0.4078)*2)/IF(_xlfn.XLOOKUP(E40,Groups!A:A,Groups!BM:BM)=1,1000,100)/IF(_xlfn.XLOOKUP(E40,Groups!A:A,Groups!AJ:AJ)="Photonozoa",3,1))</f>
        <v>6.2693796472684152E-2</v>
      </c>
      <c r="BS40" s="8">
        <f t="shared" si="21"/>
        <v>8.8954824257313339E-2</v>
      </c>
      <c r="BT40" s="8" t="str">
        <f t="shared" si="22"/>
        <v>No</v>
      </c>
      <c r="BU40" s="8" t="str">
        <f t="shared" si="23"/>
        <v>No</v>
      </c>
      <c r="BV40" s="8">
        <f t="shared" si="24"/>
        <v>921.00779950966592</v>
      </c>
      <c r="BW40" s="4">
        <v>0</v>
      </c>
      <c r="BX40" s="4">
        <v>1</v>
      </c>
    </row>
    <row r="41" spans="1:76" x14ac:dyDescent="0.25">
      <c r="A41" s="26" t="s">
        <v>121</v>
      </c>
      <c r="B41" s="6" t="s">
        <v>122</v>
      </c>
      <c r="C41" s="7">
        <v>10</v>
      </c>
      <c r="D41" s="7" t="s">
        <v>528</v>
      </c>
      <c r="E41" s="7" t="str">
        <f>Groups!$A$50</f>
        <v>Rodent (SCAVENGER)</v>
      </c>
      <c r="F41" s="7">
        <f>ROUND(7.545*(C41*1000)^0.2689,0)</f>
        <v>90</v>
      </c>
      <c r="G41" s="7">
        <v>1</v>
      </c>
      <c r="H41" s="7">
        <v>15</v>
      </c>
      <c r="I41" s="4">
        <v>0</v>
      </c>
      <c r="J41" s="7">
        <v>5</v>
      </c>
      <c r="K41" s="7" t="s">
        <v>528</v>
      </c>
      <c r="L41" s="7">
        <f>MIN(20*C41^0.183,19.9*C41^0.142)</f>
        <v>27.596440994550576</v>
      </c>
      <c r="M41" s="7" t="s">
        <v>626</v>
      </c>
      <c r="N41" s="4">
        <v>0</v>
      </c>
      <c r="O41" s="4">
        <v>0</v>
      </c>
      <c r="P41" s="4">
        <v>0</v>
      </c>
      <c r="Q41" s="4">
        <v>0</v>
      </c>
      <c r="R41" s="4">
        <v>0.9</v>
      </c>
      <c r="S41" s="7">
        <f>_xlfn.XLOOKUP(B41,[1]TeethAdjusters!$A:$A,[1]BiteAdjusters!$C:$C,1)</f>
        <v>1</v>
      </c>
      <c r="T41" s="7">
        <f>_xlfn.XLOOKUP(B41,[1]TeethAdjusters!$A:$A,[1]TeethAdjusters!$B:$B,1)</f>
        <v>1</v>
      </c>
      <c r="U41" s="7" t="s">
        <v>45</v>
      </c>
      <c r="V41" s="7">
        <v>4.5</v>
      </c>
      <c r="W41" s="7" t="s">
        <v>45</v>
      </c>
      <c r="X41" s="7" t="s">
        <v>932</v>
      </c>
      <c r="Y41" s="4" t="s">
        <v>1003</v>
      </c>
      <c r="Z41" s="4">
        <v>1</v>
      </c>
      <c r="AA41" s="4">
        <v>0</v>
      </c>
      <c r="AB41" s="4">
        <v>0</v>
      </c>
      <c r="AC41" s="4">
        <v>0.1</v>
      </c>
      <c r="AD41" s="4">
        <v>0.3</v>
      </c>
      <c r="AE41" s="4" t="s">
        <v>45</v>
      </c>
      <c r="AF41" s="4" t="s">
        <v>45</v>
      </c>
      <c r="AG41" s="49" t="s">
        <v>385</v>
      </c>
      <c r="AH41" s="4" t="s">
        <v>45</v>
      </c>
      <c r="AI41" s="4">
        <v>0</v>
      </c>
      <c r="AJ41" s="4">
        <v>0</v>
      </c>
      <c r="AK41" s="4">
        <v>1</v>
      </c>
      <c r="AL41" s="4">
        <v>0</v>
      </c>
      <c r="AM41" s="4">
        <v>0</v>
      </c>
      <c r="AN41" s="44" t="s">
        <v>40</v>
      </c>
      <c r="AO41" s="8">
        <f t="shared" si="10"/>
        <v>4958.187872875691</v>
      </c>
      <c r="AP41" s="8">
        <f>IFERROR(C41*_xlfn.XLOOKUP(E41,Groups!A:A,Groups!K:K),0.106*C41^0.94)</f>
        <v>0.92322140535344532</v>
      </c>
      <c r="AQ41" s="8">
        <f>AP41*10000/(_xlfn.XLOOKUP(E41,Groups!A:A,Groups!J:J)*AO41)</f>
        <v>1.7082695063588127</v>
      </c>
      <c r="AR41" s="8">
        <f t="shared" si="11"/>
        <v>380.31263115847975</v>
      </c>
      <c r="AS41" s="8">
        <f>IF(_xlfn.XLOOKUP(E41,Groups!A:A,Groups!M:M)=1,EXP(0.7444*LN('Base stats'!C41)+6.5696),EXP(0.7927*LN('Base stats'!C41)+4.28))</f>
        <v>448.20880356342906</v>
      </c>
      <c r="AT41" s="8">
        <f>IF(_xlfn.XLOOKUP(E41,Groups!A:A,Groups!N:N)="No","No",
IF(_xlfn.XLOOKUP(E41,Groups!A:A,Groups!N:N)="Crocodile",EXP(0.8129*LN(C41)+4.6742)*S41,
IF(_xlfn.XLOOKUP(E41,Groups!A:A,Groups!N:N)="Felid",EXP(0.7843*LN(C41)+4.7073)*S41,
IF(_xlfn.XLOOKUP(E41,Groups!A:A,Groups!N:N)="Canid",EXP(0.8367*LN(C41)+4.8763)*S41,
IF(_xlfn.XLOOKUP(E41,Groups!A:A,Groups!N:N)="Pig",EXP(0.3439*LN(C41)+6.8519)*S41,
IF(_xlfn.XLOOKUP(E41,Groups!A:A,Groups!N:N)="Rodent",EXP(0.5625*LN(C41)+4.3006)*S41,
IF(_xlfn.XLOOKUP(E41,Groups!A:A,Groups!N:N)="Primate",EXP(0.7847*LN(C41)+3.4931)*S41,
IF(_xlfn.XLOOKUP(E41,Groups!A:A,Groups!N:N)="MiscCarnivora",EXP(0.7486*LN(C41)+4.2207)*S41,
IF(_xlfn.XLOOKUP(E41,Groups!A:A,Groups!N:N)="Lizard",EXP(0.7733*LN(C41)+5.5303)*S41,
IF(_xlfn.XLOOKUP(E41,Groups!A:A,Groups!N:N)="Snake",50*C41^(2/3)*S41,
IF(_xlfn.XLOOKUP(E41,Groups!A:A,Groups!N:N)="StrongBitingHerbivore",87.1133638856975*C41^(2/3)*S41,
IF(_xlfn.XLOOKUP(E41,Groups!A:A,Groups!N:N)="MiscEctotherms",59.4316884072269*C41^(2/3)*S41,
IF(_xlfn.XLOOKUP(E41,Groups!A:A,Groups!N:N)="StrongBeakBird",0.041*(C41*1000)^1.375*S41,
IF(_xlfn.XLOOKUP(E41,Groups!A:A,Groups!N:N)="Bird",0.118*(C41*1000)^0.692*S41,
IF(_xlfn.XLOOKUP(E41,Groups!A:A,Groups!N:N)="Insect",EXP(0.7444*LN(C41)+6.5696)*S41,
IF(_xlfn.XLOOKUP(E41,Groups!A:A,Groups!N:N)="Theropod",EXP(0.6966*LN(C41)+4.158)*S41,
"No"))))))))))))))))</f>
        <v>269.29410643172787</v>
      </c>
      <c r="AU41" s="8">
        <f>IF(_xlfn.XLOOKUP(E41,Groups!A:A,Groups!U:U)=3,AS41,IF(_xlfn.XLOOKUP(E41,Groups!A:A,Groups!U:U)=2,AR41,AT41))</f>
        <v>269.29410643172787</v>
      </c>
      <c r="AV41" s="46">
        <f>IFERROR(AVERAGE(_xlfn.XLOOKUP(B41,Animals!B:B,Animals!N:N),_xlfn.XLOOKUP(B41,Animals!B:B,Animals!O:O)),0)</f>
        <v>0</v>
      </c>
      <c r="AW41" s="8">
        <f>MROUND(40*Animals!AO41*_xlfn.XLOOKUP(AG41,Leathers!$A$2:$A$99,Leathers!$B$2:$B$99,0)+(140*_xlfn.XLOOKUP(B41,Animals!B:B,Animals!AO:AO)*2),5)</f>
        <v>140</v>
      </c>
      <c r="AX41" s="8">
        <f>IFERROR(ROUND(SQRT(V41-1)*IF(_xlfn.XLOOKUP(E41,Groups!A:A,Groups!BF:BF)=0,2,1)*IF(_xlfn.XLOOKUP('Base stats'!E41,Groups!A:A,Groups!O:O)=0,1,0.1),1),0)</f>
        <v>3.7</v>
      </c>
      <c r="AY41" s="8">
        <f t="shared" si="12"/>
        <v>0</v>
      </c>
      <c r="AZ41" s="8">
        <f t="shared" si="13"/>
        <v>0</v>
      </c>
      <c r="BA41" s="8">
        <f t="shared" si="14"/>
        <v>1.6</v>
      </c>
      <c r="BB41" s="8">
        <f>IF(_xlfn.XLOOKUP(E41,Groups!A:A,Groups!N:N)="Insect",BD41*2.5,IFERROR(AVERAGE(BD41,AT41/9.81/IF(OR(_xlfn.XLOOKUP(E41,Groups!A:A,Groups!N:N)="Pig",_xlfn.XLOOKUP(E41,Groups!A:A,Groups!N:N)="StrongBitingHerbivore"),20,25))*C41^-0.135,BD41))</f>
        <v>0.48385350070247429</v>
      </c>
      <c r="BC41" s="8" t="str">
        <f>IF(W41="No","No",IF(_xlfn.XLOOKUP(E41,Groups!A:A,Groups!U:U)=1,'Base stats'!BB41,IF(OR(_xlfn.XLOOKUP(E41,Groups!A:A,Groups!BD:BD)=1,_xlfn.XLOOKUP(E41,Groups!A:A,Groups!U:U)=2),BD41,IF(_xlfn.XLOOKUP(B41,Animals!B:B,Animals!AO:AO)&gt;4,AVERAGE(BD41,BF41),BF41))))</f>
        <v>No</v>
      </c>
      <c r="BD41" s="8">
        <f t="shared" si="15"/>
        <v>0.22247748532015049</v>
      </c>
      <c r="BE41" s="8">
        <f>IF(_xlfn.XLOOKUP(E41,Groups!A:A,Groups!BE:BE)=1,(0.048*C41^1.01)+(0.071*C41^1.03),0.071*C41^1.03)/IF(_xlfn.XLOOKUP(E41,Groups!A:A,Groups!M:M)=1,0.85,IF(OR(_xlfn.XLOOKUP(B41,Animals!B:B,Animals!AO:AO)&gt;4,_xlfn.XLOOKUP(E41,Groups!A:A,Groups!BC:BC)=1),1.7,1))*C41^-0.25</f>
        <v>0.42781730611279417</v>
      </c>
      <c r="BF41" s="8">
        <f>(0.048*C41^1.01)/IF(_xlfn.XLOOKUP(E41,Groups!A:A,Groups!M:M)=1,0.25,0.8)*C41^-0.25</f>
        <v>0.34526396240229418</v>
      </c>
      <c r="BG41" s="8">
        <f>EXP(1.076*LN(AR41)-4.5397)*IF(_xlfn.XLOOKUP(E41,Groups!A:A,Groups!BC:BC)=1,1.25,IF(_xlfn.XLOOKUP(E41,Groups!A:A,Groups!BD:BD)=1,3.5,2.5))</f>
        <v>15.944275717953127</v>
      </c>
      <c r="BH41" s="8">
        <f>EXP(1.076*LN(AS41)-4.5397)*IF(_xlfn.XLOOKUP(E41,Groups!A:A,Groups!M:M)=1,0.8,IF(_xlfn.XLOOKUP(E41,Groups!A:A,Groups!BC:BC)=1,1.3,3))</f>
        <v>22.832185638487289</v>
      </c>
      <c r="BI41" s="8" t="str">
        <f>IF(W41="No","No",IF(_xlfn.XLOOKUP(E41,Groups!A:A,Groups!U:U)=1,'Base stats'!BJ41,IF(OR(_xlfn.XLOOKUP(E41,Groups!A:A,Groups!BD:BD)=1,_xlfn.XLOOKUP(E41,Groups!A:A,Groups!U:U)=2),BG41,BH41))*1.2)</f>
        <v>No</v>
      </c>
      <c r="BJ41" s="8">
        <f>IFERROR(EXP(1.076*LN(AT41)-4.5397)*IF(_xlfn.XLOOKUP(E41,Groups!A:A,Groups!N:N)="Insect",1,IF(OR(_xlfn.XLOOKUP(E41,Groups!A:A,Groups!N:N)="Pig",_xlfn.XLOOKUP(E41,Groups!A:A,Groups!N:N)="StrongBitingHerbivore"),3.5,3.75)),"No")</f>
        <v>16.496381725854601</v>
      </c>
      <c r="BK41" s="8">
        <f t="shared" si="16"/>
        <v>11</v>
      </c>
      <c r="BL41" s="8">
        <f t="shared" si="17"/>
        <v>10</v>
      </c>
      <c r="BM41" s="8" t="str">
        <f t="shared" si="18"/>
        <v>No</v>
      </c>
      <c r="BN41" s="8">
        <f t="shared" si="19"/>
        <v>8</v>
      </c>
      <c r="BO41" s="8">
        <f t="shared" si="20"/>
        <v>11</v>
      </c>
      <c r="BP41" s="8" t="str" cm="1">
        <f t="array" ref="BP41">IF(AND(_xlfn.XLOOKUP('Base stats'!E41,Groups!A:A,Groups!AD:AD=0),_xlfn.XLOOKUP('Base stats'!E41,Groups!A:A,Groups!P:P=0)),"No",IF(U41="No",AVERAGE(EXP(-0.57+0.99*LN(C41)),EXP(0.32+0.67*LN(C41)))/IF(_xlfn.XLOOKUP(E41,Groups!A:A,Groups!AD:AD)=1,10,2),(0.7354*C41^0.4078)*2/IF(_xlfn.XLOOKUP(E41,Groups!A:A,Groups!BK:BK)=1,1000,100)/IF(_xlfn.XLOOKUP(E41,Groups!A:A,Groups!AJ:AJ)="Photonozoa",3,1)))</f>
        <v>No</v>
      </c>
      <c r="BQ41" s="8" t="str">
        <f>IF(W41="No","No",IF(_xlfn.XLOOKUP(E41,Groups!A:A,Groups!BD:BD)=1,(AO41*5%),EXP(0.7354*LN(C41)^0.4078)*2/IF(_xlfn.XLOOKUP(E41,Groups!A:A,Groups!BL:BL)=1,1000,100)/IF(_xlfn.XLOOKUP(E41,Groups!A:A,Groups!AJ:AJ)="Photonozoa",3,1)))</f>
        <v>No</v>
      </c>
      <c r="BR41" s="8">
        <f>IF(BJ41="No","No",IF(_xlfn.XLOOKUP(E41,Groups!A:A,Groups!BF:BF)=1,(0.0315*C41+2.1825)*2,(0.7354*C41^0.4078)*2)/IF(_xlfn.XLOOKUP(E41,Groups!A:A,Groups!BM:BM)=1,1000,100)/IF(_xlfn.XLOOKUP(E41,Groups!A:A,Groups!AJ:AJ)="Photonozoa",3,1))</f>
        <v>3.7614355184740135E-2</v>
      </c>
      <c r="BS41" s="8">
        <f t="shared" si="21"/>
        <v>6.4314931691790186E-2</v>
      </c>
      <c r="BT41" s="8" t="str">
        <f t="shared" si="22"/>
        <v>No</v>
      </c>
      <c r="BU41" s="8" t="str">
        <f t="shared" si="23"/>
        <v>No</v>
      </c>
      <c r="BV41" s="8">
        <f t="shared" si="24"/>
        <v>438.56611777162834</v>
      </c>
      <c r="BW41" s="4">
        <v>0</v>
      </c>
      <c r="BX41" s="4">
        <v>1</v>
      </c>
    </row>
    <row r="42" spans="1:76" x14ac:dyDescent="0.25">
      <c r="A42" s="26" t="s">
        <v>137</v>
      </c>
      <c r="B42" s="6" t="s">
        <v>138</v>
      </c>
      <c r="C42" s="7">
        <v>630</v>
      </c>
      <c r="D42" s="7" t="s">
        <v>529</v>
      </c>
      <c r="E42" s="7" t="str">
        <f>Groups!$A$52</f>
        <v>Ruminant (HORNS)</v>
      </c>
      <c r="F42" s="7">
        <v>274</v>
      </c>
      <c r="G42" s="7">
        <f>912/365</f>
        <v>2.4986301369863013</v>
      </c>
      <c r="H42" s="7">
        <v>33.5</v>
      </c>
      <c r="I42" s="4">
        <v>0</v>
      </c>
      <c r="J42" s="7">
        <v>1</v>
      </c>
      <c r="K42" s="7" t="s">
        <v>529</v>
      </c>
      <c r="L42" s="7">
        <v>56</v>
      </c>
      <c r="M42" s="7" t="s">
        <v>626</v>
      </c>
      <c r="N42" s="4">
        <v>0</v>
      </c>
      <c r="O42" s="4">
        <v>0</v>
      </c>
      <c r="P42" s="4">
        <v>0</v>
      </c>
      <c r="Q42" s="4">
        <v>0</v>
      </c>
      <c r="R42" s="4" t="s">
        <v>40</v>
      </c>
      <c r="S42" s="7">
        <f>_xlfn.XLOOKUP(B42,[1]TeethAdjusters!$A:$A,[1]BiteAdjusters!$C:$C,1)</f>
        <v>1</v>
      </c>
      <c r="T42" s="7">
        <f>_xlfn.XLOOKUP(B42,[1]TeethAdjusters!$A:$A,[1]TeethAdjusters!$B:$B,1)</f>
        <v>1</v>
      </c>
      <c r="U42" s="7" t="s">
        <v>45</v>
      </c>
      <c r="V42" s="7" t="str">
        <f>IF(AT42="No","No",IF(_xlfn.XLOOKUP(E42,Groups!A:A,Groups!AM:AM)=1,MROUND(EXP(0.3582*LN(C42)-0.2221)*T42,0.05),IF(_xlfn.XLOOKUP(E42,Groups!A:A,Groups!AM:AM)=2,MROUND(EXP(0.3582*LN(C42)-0.2221)*T42,0.05),"Need a formula")))</f>
        <v>No</v>
      </c>
      <c r="W42" s="7">
        <f>MROUND(AVERAGE(44,41),0.05)</f>
        <v>42.5</v>
      </c>
      <c r="X42" s="7" t="s">
        <v>932</v>
      </c>
      <c r="Y42" s="4" t="s">
        <v>42</v>
      </c>
      <c r="Z42" s="4">
        <v>1</v>
      </c>
      <c r="AA42" s="4">
        <v>0</v>
      </c>
      <c r="AB42" s="4">
        <v>0</v>
      </c>
      <c r="AC42" s="4">
        <v>0</v>
      </c>
      <c r="AD42" s="4">
        <v>0</v>
      </c>
      <c r="AE42" s="4" t="s">
        <v>45</v>
      </c>
      <c r="AF42" s="4" t="s">
        <v>401</v>
      </c>
      <c r="AG42" s="49" t="s">
        <v>392</v>
      </c>
      <c r="AH42" s="4" t="s">
        <v>45</v>
      </c>
      <c r="AI42" s="4">
        <v>1</v>
      </c>
      <c r="AJ42" s="4">
        <v>0</v>
      </c>
      <c r="AK42" s="4">
        <v>0</v>
      </c>
      <c r="AL42" s="4">
        <v>0</v>
      </c>
      <c r="AM42" s="4">
        <v>0</v>
      </c>
      <c r="AN42" s="44" t="s">
        <v>40</v>
      </c>
      <c r="AO42" s="8">
        <f t="shared" si="10"/>
        <v>73264.625824503019</v>
      </c>
      <c r="AP42" s="8">
        <f>IFERROR(C42*_xlfn.XLOOKUP(E42,Groups!A:A,Groups!K:K),0.106*C42^0.94)</f>
        <v>45.361351110037234</v>
      </c>
      <c r="AQ42" s="8">
        <f>AP42*10000/(_xlfn.XLOOKUP(E42,Groups!A:A,Groups!J:J)*AO42)</f>
        <v>5.6802198852774577</v>
      </c>
      <c r="AR42" s="8">
        <f t="shared" si="11"/>
        <v>12590.521292145075</v>
      </c>
      <c r="AS42" s="8">
        <f>IF(_xlfn.XLOOKUP(E42,Groups!A:A,Groups!M:M)=1,EXP(0.7444*LN('Base stats'!C42)+6.5696),EXP(0.7927*LN('Base stats'!C42)+4.28))</f>
        <v>11962.381153939259</v>
      </c>
      <c r="AT42" s="8" t="str">
        <f>IF(_xlfn.XLOOKUP(E42,Groups!A:A,Groups!N:N)="No","No",
IF(_xlfn.XLOOKUP(E42,Groups!A:A,Groups!N:N)="Crocodile",EXP(0.8129*LN(C42)+4.6742)*S42,
IF(_xlfn.XLOOKUP(E42,Groups!A:A,Groups!N:N)="Felid",EXP(0.7843*LN(C42)+4.7073)*S42,
IF(_xlfn.XLOOKUP(E42,Groups!A:A,Groups!N:N)="Canid",EXP(0.8367*LN(C42)+4.8763)*S42,
IF(_xlfn.XLOOKUP(E42,Groups!A:A,Groups!N:N)="Pig",EXP(0.3439*LN(C42)+6.8519)*S42,
IF(_xlfn.XLOOKUP(E42,Groups!A:A,Groups!N:N)="Rodent",EXP(0.5625*LN(C42)+4.3006)*S42,
IF(_xlfn.XLOOKUP(E42,Groups!A:A,Groups!N:N)="Primate",EXP(0.7847*LN(C42)+3.4931)*S42,
IF(_xlfn.XLOOKUP(E42,Groups!A:A,Groups!N:N)="MiscCarnivora",EXP(0.7486*LN(C42)+4.2207)*S42,
IF(_xlfn.XLOOKUP(E42,Groups!A:A,Groups!N:N)="Lizard",EXP(0.7733*LN(C42)+5.5303)*S42,
IF(_xlfn.XLOOKUP(E42,Groups!A:A,Groups!N:N)="Snake",50*C42^(2/3)*S42,
IF(_xlfn.XLOOKUP(E42,Groups!A:A,Groups!N:N)="StrongBitingHerbivore",87.1133638856975*C42^(2/3)*S42,
IF(_xlfn.XLOOKUP(E42,Groups!A:A,Groups!N:N)="MiscEctotherms",59.4316884072269*C42^(2/3)*S42,
IF(_xlfn.XLOOKUP(E42,Groups!A:A,Groups!N:N)="StrongBeakBird",0.041*(C42*1000)^1.375*S42,
IF(_xlfn.XLOOKUP(E42,Groups!A:A,Groups!N:N)="Bird",0.118*(C42*1000)^0.692*S42,
IF(_xlfn.XLOOKUP(E42,Groups!A:A,Groups!N:N)="Insect",EXP(0.7444*LN(C42)+6.5696)*S42,
IF(_xlfn.XLOOKUP(E42,Groups!A:A,Groups!N:N)="Theropod",EXP(0.6966*LN(C42)+4.158)*S42,
"No"))))))))))))))))</f>
        <v>No</v>
      </c>
      <c r="AU42" s="8">
        <f>IF(_xlfn.XLOOKUP(E42,Groups!A:A,Groups!U:U)=3,AS42,IF(_xlfn.XLOOKUP(E42,Groups!A:A,Groups!U:U)=2,AR42,AT42))</f>
        <v>11962.381153939259</v>
      </c>
      <c r="AV42" s="46">
        <f>IFERROR(AVERAGE(_xlfn.XLOOKUP(B42,Animals!B:B,Animals!N:N),_xlfn.XLOOKUP(B42,Animals!B:B,Animals!O:O)),0)</f>
        <v>0</v>
      </c>
      <c r="AW42" s="8">
        <f>MROUND(40*Animals!AO42*_xlfn.XLOOKUP(AG42,Leathers!$A$2:$A$99,Leathers!$B$2:$B$99,0)+(140*_xlfn.XLOOKUP(B42,Animals!B:B,Animals!AO:AO)*2),5)</f>
        <v>1090</v>
      </c>
      <c r="AX42" s="8">
        <f>IFERROR(ROUND(SQRT(V42-1)*IF(_xlfn.XLOOKUP(E42,Groups!A:A,Groups!BF:BF)=0,2,1)*IF(_xlfn.XLOOKUP('Base stats'!E42,Groups!A:A,Groups!O:O)=0,1,0.1),1),0)</f>
        <v>0</v>
      </c>
      <c r="AY42" s="8">
        <f t="shared" si="12"/>
        <v>0</v>
      </c>
      <c r="AZ42" s="8">
        <f t="shared" si="13"/>
        <v>6.5</v>
      </c>
      <c r="BA42" s="8">
        <f t="shared" si="14"/>
        <v>8.1</v>
      </c>
      <c r="BB42" s="8">
        <f>IF(_xlfn.XLOOKUP(E42,Groups!A:A,Groups!N:N)="Insect",BD42*2.5,IFERROR(AVERAGE(BD42,AT42/9.81/IF(OR(_xlfn.XLOOKUP(E42,Groups!A:A,Groups!N:N)="Pig",_xlfn.XLOOKUP(E42,Groups!A:A,Groups!N:N)="StrongBitingHerbivore"),20,25))*C42^-0.135,BD42))</f>
        <v>5.0581166559376269</v>
      </c>
      <c r="BC42" s="8">
        <f>IF(W42="No","No",IF(_xlfn.XLOOKUP(E42,Groups!A:A,Groups!U:U)=1,'Base stats'!BB42,IF(OR(_xlfn.XLOOKUP(E42,Groups!A:A,Groups!BD:BD)=1,_xlfn.XLOOKUP(E42,Groups!A:A,Groups!U:U)=2),BD42,IF(_xlfn.XLOOKUP(B42,Animals!B:B,Animals!AO:AO)&gt;4,AVERAGE(BD42,BF42),BF42))))</f>
        <v>8.0472977027347774</v>
      </c>
      <c r="BD42" s="8">
        <f t="shared" si="15"/>
        <v>5.0581166559376269</v>
      </c>
      <c r="BE42" s="8">
        <f>IF(_xlfn.XLOOKUP(E42,Groups!A:A,Groups!BE:BE)=1,(0.048*C42^1.01)+(0.071*C42^1.03),0.071*C42^1.03)/IF(_xlfn.XLOOKUP(E42,Groups!A:A,Groups!M:M)=1,0.85,IF(OR(_xlfn.XLOOKUP(B42,Animals!B:B,Animals!AO:AO)&gt;4,_xlfn.XLOOKUP(E42,Groups!A:A,Groups!BC:BC)=1),1.7,1))*C42^-0.25</f>
        <v>10.832881121655616</v>
      </c>
      <c r="BF42" s="8">
        <f>(0.048*C42^1.01)/IF(_xlfn.XLOOKUP(E42,Groups!A:A,Groups!M:M)=1,0.25,0.8)*C42^-0.25</f>
        <v>8.0472977027347774</v>
      </c>
      <c r="BG42" s="8">
        <f>EXP(1.076*LN(AR42)-4.5397)*IF(_xlfn.XLOOKUP(E42,Groups!A:A,Groups!BC:BC)=1,1.25,IF(_xlfn.XLOOKUP(E42,Groups!A:A,Groups!BD:BD)=1,3.5,2.5))</f>
        <v>688.684618158901</v>
      </c>
      <c r="BH42" s="8">
        <f>EXP(1.076*LN(AS42)-4.5397)*IF(_xlfn.XLOOKUP(E42,Groups!A:A,Groups!M:M)=1,0.8,IF(_xlfn.XLOOKUP(E42,Groups!A:A,Groups!BC:BC)=1,1.3,3))</f>
        <v>782.14337611712108</v>
      </c>
      <c r="BI42" s="8">
        <f>IF(W42="No","No",IF(_xlfn.XLOOKUP(E42,Groups!A:A,Groups!U:U)=1,'Base stats'!BJ42,IF(OR(_xlfn.XLOOKUP(E42,Groups!A:A,Groups!BD:BD)=1,_xlfn.XLOOKUP(E42,Groups!A:A,Groups!U:U)=2),BG42,BH42))*1.2)</f>
        <v>938.57205134054527</v>
      </c>
      <c r="BJ42" s="8" t="str">
        <f>IFERROR(EXP(1.076*LN(AT42)-4.5397)*IF(_xlfn.XLOOKUP(E42,Groups!A:A,Groups!N:N)="Insect",1,IF(OR(_xlfn.XLOOKUP(E42,Groups!A:A,Groups!N:N)="Pig",_xlfn.XLOOKUP(E42,Groups!A:A,Groups!N:N)="StrongBitingHerbivore"),3.5,3.75)),"No")</f>
        <v>No</v>
      </c>
      <c r="BK42" s="8">
        <f t="shared" si="16"/>
        <v>16</v>
      </c>
      <c r="BL42" s="8">
        <f t="shared" si="17"/>
        <v>12</v>
      </c>
      <c r="BM42" s="8">
        <f t="shared" si="18"/>
        <v>15</v>
      </c>
      <c r="BN42" s="8" t="str">
        <f t="shared" si="19"/>
        <v>No</v>
      </c>
      <c r="BO42" s="8">
        <f t="shared" si="20"/>
        <v>13</v>
      </c>
      <c r="BP42" s="8" cm="1">
        <f t="array" ref="BP42">IF(AND(_xlfn.XLOOKUP('Base stats'!E42,Groups!A:A,Groups!AD:AD=0),_xlfn.XLOOKUP('Base stats'!E42,Groups!A:A,Groups!P:P=0)),"No",IF(U42="No",AVERAGE(EXP(-0.57+0.99*LN(C42)),EXP(0.32+0.67*LN(C42)))/IF(_xlfn.XLOOKUP(E42,Groups!A:A,Groups!AD:AD)=1,10,2),(0.7354*C42^0.4078)*2/IF(_xlfn.XLOOKUP(E42,Groups!A:A,Groups!BK:BK)=1,1000,100)/IF(_xlfn.XLOOKUP(E42,Groups!A:A,Groups!AJ:AJ)="Photonozoa",3,1)))</f>
        <v>109.36086272547681</v>
      </c>
      <c r="BQ42" s="8">
        <f>IF(W42="No","No",IF(_xlfn.XLOOKUP(E42,Groups!A:A,Groups!BD:BD)=1,(AO42*5%),EXP(0.7354*LN(C42)^0.4078)*2/IF(_xlfn.XLOOKUP(E42,Groups!A:A,Groups!BL:BL)=1,1000,100)/IF(_xlfn.XLOOKUP(E42,Groups!A:A,Groups!AJ:AJ)="Photonozoa",3,1)))</f>
        <v>9.6357497870625142E-2</v>
      </c>
      <c r="BR42" s="8" t="str">
        <f>IF(BJ42="No","No",IF(_xlfn.XLOOKUP(E42,Groups!A:A,Groups!BF:BF)=1,(0.0315*C42+2.1825)*2,(0.7354*C42^0.4078)*2)/IF(_xlfn.XLOOKUP(E42,Groups!A:A,Groups!BM:BM)=1,1000,100)/IF(_xlfn.XLOOKUP(E42,Groups!A:A,Groups!AJ:AJ)="Photonozoa",3,1))</f>
        <v>No</v>
      </c>
      <c r="BS42" s="8">
        <f t="shared" si="21"/>
        <v>0.18799921801513483</v>
      </c>
      <c r="BT42" s="8">
        <f t="shared" si="22"/>
        <v>7.1519495788954872</v>
      </c>
      <c r="BU42" s="8">
        <f t="shared" si="23"/>
        <v>9740.5191301327013</v>
      </c>
      <c r="BV42" s="8" t="str">
        <f t="shared" si="24"/>
        <v>No</v>
      </c>
      <c r="BW42" s="4">
        <v>0</v>
      </c>
      <c r="BX42" s="4">
        <v>1</v>
      </c>
    </row>
    <row r="43" spans="1:76" x14ac:dyDescent="0.25">
      <c r="A43" s="26" t="s">
        <v>139</v>
      </c>
      <c r="B43" s="6" t="s">
        <v>140</v>
      </c>
      <c r="C43" s="7">
        <f>AVERAGE(480,550,800,950)</f>
        <v>695</v>
      </c>
      <c r="D43" s="7" t="s">
        <v>1150</v>
      </c>
      <c r="E43" s="7" t="str">
        <f>Groups!$A$53</f>
        <v>Ruminant (HORNS, GENTLE)</v>
      </c>
      <c r="F43" s="7">
        <v>277</v>
      </c>
      <c r="G43" s="7">
        <f>548/365</f>
        <v>1.5013698630136987</v>
      </c>
      <c r="H43" s="7">
        <v>20</v>
      </c>
      <c r="I43" s="4">
        <v>1</v>
      </c>
      <c r="J43" s="7">
        <v>1</v>
      </c>
      <c r="K43" s="7" t="s">
        <v>530</v>
      </c>
      <c r="L43" s="7">
        <v>29</v>
      </c>
      <c r="M43" s="7" t="s">
        <v>626</v>
      </c>
      <c r="N43" s="4">
        <v>0</v>
      </c>
      <c r="O43" s="4">
        <v>2</v>
      </c>
      <c r="P43" s="4">
        <v>0</v>
      </c>
      <c r="Q43" s="4">
        <v>0</v>
      </c>
      <c r="R43" s="4" t="s">
        <v>40</v>
      </c>
      <c r="S43" s="7">
        <f>_xlfn.XLOOKUP(B43,[1]TeethAdjusters!$A:$A,[1]BiteAdjusters!$C:$C,1)</f>
        <v>1</v>
      </c>
      <c r="T43" s="7">
        <f>_xlfn.XLOOKUP(B43,[1]TeethAdjusters!$A:$A,[1]TeethAdjusters!$B:$B,1)</f>
        <v>1</v>
      </c>
      <c r="U43" s="7" t="s">
        <v>45</v>
      </c>
      <c r="V43" s="7" t="str">
        <f>IF(AT43="No","No",IF(_xlfn.XLOOKUP(E43,Groups!A:A,Groups!AM:AM)=1,MROUND(EXP(0.3582*LN(C43)-0.2221)*T43,0.05),IF(_xlfn.XLOOKUP(E43,Groups!A:A,Groups!AM:AM)=2,MROUND(EXP(0.3582*LN(C43)-0.2221)*T43,0.05),"Need a formula")))</f>
        <v>No</v>
      </c>
      <c r="W43" s="7">
        <v>11.4</v>
      </c>
      <c r="X43" s="7" t="s">
        <v>962</v>
      </c>
      <c r="Y43" s="4" t="s">
        <v>42</v>
      </c>
      <c r="Z43" s="4">
        <v>1</v>
      </c>
      <c r="AA43" s="4">
        <v>0</v>
      </c>
      <c r="AB43" s="4">
        <v>0</v>
      </c>
      <c r="AC43" s="4">
        <v>0</v>
      </c>
      <c r="AD43" s="4">
        <v>0</v>
      </c>
      <c r="AE43" s="4" t="s">
        <v>45</v>
      </c>
      <c r="AF43" s="4" t="s">
        <v>398</v>
      </c>
      <c r="AG43" s="49" t="s">
        <v>392</v>
      </c>
      <c r="AH43" s="4" t="s">
        <v>45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4" t="s">
        <v>40</v>
      </c>
      <c r="AO43" s="8">
        <f t="shared" si="10"/>
        <v>78093.178895164005</v>
      </c>
      <c r="AP43" s="8">
        <f>IFERROR(C43*_xlfn.XLOOKUP(E43,Groups!A:A,Groups!K:K),0.106*C43^0.94)</f>
        <v>49.747536757205133</v>
      </c>
      <c r="AQ43" s="8">
        <f>AP43*10000/(_xlfn.XLOOKUP(E43,Groups!A:A,Groups!J:J)*AO43)</f>
        <v>5.8442930131396622</v>
      </c>
      <c r="AR43" s="8">
        <f t="shared" si="11"/>
        <v>13679.345356145675</v>
      </c>
      <c r="AS43" s="8">
        <f>IF(_xlfn.XLOOKUP(E43,Groups!A:A,Groups!M:M)=1,EXP(0.7444*LN('Base stats'!C43)+6.5696),EXP(0.7927*LN('Base stats'!C43)+4.28))</f>
        <v>12930.69110386705</v>
      </c>
      <c r="AT43" s="8" t="str">
        <f>IF(_xlfn.XLOOKUP(E43,Groups!A:A,Groups!N:N)="No","No",
IF(_xlfn.XLOOKUP(E43,Groups!A:A,Groups!N:N)="Crocodile",EXP(0.8129*LN(C43)+4.6742)*S43,
IF(_xlfn.XLOOKUP(E43,Groups!A:A,Groups!N:N)="Felid",EXP(0.7843*LN(C43)+4.7073)*S43,
IF(_xlfn.XLOOKUP(E43,Groups!A:A,Groups!N:N)="Canid",EXP(0.8367*LN(C43)+4.8763)*S43,
IF(_xlfn.XLOOKUP(E43,Groups!A:A,Groups!N:N)="Pig",EXP(0.3439*LN(C43)+6.8519)*S43,
IF(_xlfn.XLOOKUP(E43,Groups!A:A,Groups!N:N)="Rodent",EXP(0.5625*LN(C43)+4.3006)*S43,
IF(_xlfn.XLOOKUP(E43,Groups!A:A,Groups!N:N)="Primate",EXP(0.7847*LN(C43)+3.4931)*S43,
IF(_xlfn.XLOOKUP(E43,Groups!A:A,Groups!N:N)="MiscCarnivora",EXP(0.7486*LN(C43)+4.2207)*S43,
IF(_xlfn.XLOOKUP(E43,Groups!A:A,Groups!N:N)="Lizard",EXP(0.7733*LN(C43)+5.5303)*S43,
IF(_xlfn.XLOOKUP(E43,Groups!A:A,Groups!N:N)="Snake",50*C43^(2/3)*S43,
IF(_xlfn.XLOOKUP(E43,Groups!A:A,Groups!N:N)="StrongBitingHerbivore",87.1133638856975*C43^(2/3)*S43,
IF(_xlfn.XLOOKUP(E43,Groups!A:A,Groups!N:N)="MiscEctotherms",59.4316884072269*C43^(2/3)*S43,
IF(_xlfn.XLOOKUP(E43,Groups!A:A,Groups!N:N)="StrongBeakBird",0.041*(C43*1000)^1.375*S43,
IF(_xlfn.XLOOKUP(E43,Groups!A:A,Groups!N:N)="Bird",0.118*(C43*1000)^0.692*S43,
IF(_xlfn.XLOOKUP(E43,Groups!A:A,Groups!N:N)="Insect",EXP(0.7444*LN(C43)+6.5696)*S43,
IF(_xlfn.XLOOKUP(E43,Groups!A:A,Groups!N:N)="Theropod",EXP(0.6966*LN(C43)+4.158)*S43,
"No"))))))))))))))))</f>
        <v>No</v>
      </c>
      <c r="AU43" s="8">
        <f>IF(_xlfn.XLOOKUP(E43,Groups!A:A,Groups!U:U)=3,AS43,IF(_xlfn.XLOOKUP(E43,Groups!A:A,Groups!U:U)=2,AR43,AT43))</f>
        <v>12930.69110386705</v>
      </c>
      <c r="AV43" s="46">
        <f>IFERROR(AVERAGE(_xlfn.XLOOKUP(B43,Animals!B:B,Animals!N:N),_xlfn.XLOOKUP(B43,Animals!B:B,Animals!O:O)),0)</f>
        <v>0</v>
      </c>
      <c r="AW43" s="8">
        <f>MROUND(40*Animals!AO43*_xlfn.XLOOKUP(AG43,Leathers!$A$2:$A$99,Leathers!$B$2:$B$99,0)+(140*_xlfn.XLOOKUP(B43,Animals!B:B,Animals!AO:AO)*2),5)</f>
        <v>1090</v>
      </c>
      <c r="AX43" s="8">
        <f>IFERROR(ROUND(SQRT(V43-1)*IF(_xlfn.XLOOKUP(E43,Groups!A:A,Groups!BF:BF)=0,2,1)*IF(_xlfn.XLOOKUP('Base stats'!E43,Groups!A:A,Groups!O:O)=0,1,0.1),1),0)</f>
        <v>0</v>
      </c>
      <c r="AY43" s="8">
        <f t="shared" si="12"/>
        <v>0</v>
      </c>
      <c r="AZ43" s="8">
        <f t="shared" si="13"/>
        <v>3.4</v>
      </c>
      <c r="BA43" s="8">
        <f t="shared" si="14"/>
        <v>8.3000000000000007</v>
      </c>
      <c r="BB43" s="8">
        <f>IF(_xlfn.XLOOKUP(E43,Groups!A:A,Groups!N:N)="Insect",BD43*2.5,IFERROR(AVERAGE(BD43,AT43/9.81/IF(OR(_xlfn.XLOOKUP(E43,Groups!A:A,Groups!N:N)="Pig",_xlfn.XLOOKUP(E43,Groups!A:A,Groups!N:N)="StrongBitingHerbivore"),20,25))*C43^-0.135,BD43))</f>
        <v>5.446814810424093</v>
      </c>
      <c r="BC43" s="8">
        <f>IF(W43="No","No",IF(_xlfn.XLOOKUP(E43,Groups!A:A,Groups!U:U)=1,'Base stats'!BB43,IF(OR(_xlfn.XLOOKUP(E43,Groups!A:A,Groups!BD:BD)=1,_xlfn.XLOOKUP(E43,Groups!A:A,Groups!U:U)=2),BD43,IF(_xlfn.XLOOKUP(B43,Animals!B:B,Animals!AO:AO)&gt;4,AVERAGE(BD43,BF43),BF43))))</f>
        <v>8.6708106402103056</v>
      </c>
      <c r="BD43" s="8">
        <f t="shared" si="15"/>
        <v>5.446814810424093</v>
      </c>
      <c r="BE43" s="8">
        <f>IF(_xlfn.XLOOKUP(E43,Groups!A:A,Groups!BE:BE)=1,(0.048*C43^1.01)+(0.071*C43^1.03),0.071*C43^1.03)/IF(_xlfn.XLOOKUP(E43,Groups!A:A,Groups!M:M)=1,0.85,IF(OR(_xlfn.XLOOKUP(B43,Animals!B:B,Animals!AO:AO)&gt;4,_xlfn.XLOOKUP(E43,Groups!A:A,Groups!BC:BC)=1),1.7,1))*C43^-0.25</f>
        <v>11.695168848524869</v>
      </c>
      <c r="BF43" s="8">
        <f>(0.048*C43^1.01)/IF(_xlfn.XLOOKUP(E43,Groups!A:A,Groups!M:M)=1,0.25,0.8)*C43^-0.25</f>
        <v>8.6708106402103056</v>
      </c>
      <c r="BG43" s="8">
        <f>EXP(1.076*LN(AR43)-4.5397)*IF(_xlfn.XLOOKUP(E43,Groups!A:A,Groups!BC:BC)=1,1.25,IF(_xlfn.XLOOKUP(E43,Groups!A:A,Groups!BD:BD)=1,3.5,2.5))</f>
        <v>752.97338760914101</v>
      </c>
      <c r="BH43" s="8">
        <f>EXP(1.076*LN(AS43)-4.5397)*IF(_xlfn.XLOOKUP(E43,Groups!A:A,Groups!M:M)=1,0.8,IF(_xlfn.XLOOKUP(E43,Groups!A:A,Groups!BC:BC)=1,1.3,3))</f>
        <v>850.47114704714193</v>
      </c>
      <c r="BI43" s="8">
        <f>IF(W43="No","No",IF(_xlfn.XLOOKUP(E43,Groups!A:A,Groups!U:U)=1,'Base stats'!BJ43,IF(OR(_xlfn.XLOOKUP(E43,Groups!A:A,Groups!BD:BD)=1,_xlfn.XLOOKUP(E43,Groups!A:A,Groups!U:U)=2),BG43,BH43))*1.2)</f>
        <v>1020.5653764565702</v>
      </c>
      <c r="BJ43" s="8" t="str">
        <f>IFERROR(EXP(1.076*LN(AT43)-4.5397)*IF(_xlfn.XLOOKUP(E43,Groups!A:A,Groups!N:N)="Insect",1,IF(OR(_xlfn.XLOOKUP(E43,Groups!A:A,Groups!N:N)="Pig",_xlfn.XLOOKUP(E43,Groups!A:A,Groups!N:N)="StrongBitingHerbivore"),3.5,3.75)),"No")</f>
        <v>No</v>
      </c>
      <c r="BK43" s="8">
        <f t="shared" si="16"/>
        <v>16</v>
      </c>
      <c r="BL43" s="8">
        <f t="shared" si="17"/>
        <v>12</v>
      </c>
      <c r="BM43" s="8">
        <f t="shared" si="18"/>
        <v>15</v>
      </c>
      <c r="BN43" s="8" t="str">
        <f t="shared" si="19"/>
        <v>No</v>
      </c>
      <c r="BO43" s="8">
        <f t="shared" si="20"/>
        <v>14</v>
      </c>
      <c r="BP43" s="8" cm="1">
        <f t="array" ref="BP43">IF(AND(_xlfn.XLOOKUP('Base stats'!E43,Groups!A:A,Groups!AD:AD=0),_xlfn.XLOOKUP('Base stats'!E43,Groups!A:A,Groups!P:P=0)),"No",IF(U43="No",AVERAGE(EXP(-0.57+0.99*LN(C43)),EXP(0.32+0.67*LN(C43)))/IF(_xlfn.XLOOKUP(E43,Groups!A:A,Groups!AD:AD)=1,10,2),(0.7354*C43^0.4078)*2/IF(_xlfn.XLOOKUP(E43,Groups!A:A,Groups!BK:BK)=1,1000,100)/IF(_xlfn.XLOOKUP(E43,Groups!A:A,Groups!AJ:AJ)="Photonozoa",3,1)))</f>
        <v>119.64444705974928</v>
      </c>
      <c r="BQ43" s="8">
        <f>IF(W43="No","No",IF(_xlfn.XLOOKUP(E43,Groups!A:A,Groups!BD:BD)=1,(AO43*5%),EXP(0.7354*LN(C43)^0.4078)*2/IF(_xlfn.XLOOKUP(E43,Groups!A:A,Groups!BL:BL)=1,1000,100)/IF(_xlfn.XLOOKUP(E43,Groups!A:A,Groups!AJ:AJ)="Photonozoa",3,1)))</f>
        <v>9.7299057154114882E-2</v>
      </c>
      <c r="BR43" s="8" t="str">
        <f>IF(BJ43="No","No",IF(_xlfn.XLOOKUP(E43,Groups!A:A,Groups!BF:BF)=1,(0.0315*C43+2.1825)*2,(0.7354*C43^0.4078)*2)/IF(_xlfn.XLOOKUP(E43,Groups!A:A,Groups!BM:BM)=1,1000,100)/IF(_xlfn.XLOOKUP(E43,Groups!A:A,Groups!AJ:AJ)="Photonozoa",3,1))</f>
        <v>No</v>
      </c>
      <c r="BS43" s="8">
        <f t="shared" si="21"/>
        <v>0.19283973280687375</v>
      </c>
      <c r="BT43" s="8">
        <f t="shared" si="22"/>
        <v>7.1083210959420864</v>
      </c>
      <c r="BU43" s="8">
        <f t="shared" si="23"/>
        <v>10488.954428819041</v>
      </c>
      <c r="BV43" s="8" t="str">
        <f t="shared" si="24"/>
        <v>No</v>
      </c>
      <c r="BW43" s="4">
        <v>0</v>
      </c>
      <c r="BX43" s="4">
        <v>1</v>
      </c>
    </row>
    <row r="44" spans="1:76" x14ac:dyDescent="0.25">
      <c r="A44" s="26" t="s">
        <v>143</v>
      </c>
      <c r="B44" s="6" t="s">
        <v>144</v>
      </c>
      <c r="C44" s="7">
        <v>350</v>
      </c>
      <c r="D44" s="7" t="s">
        <v>528</v>
      </c>
      <c r="E44" s="7" t="str">
        <f>Groups!$A$52</f>
        <v>Ruminant (HORNS)</v>
      </c>
      <c r="F44" s="7">
        <f>ROUND(7.545*(C44*1000)^0.2689,0)</f>
        <v>234</v>
      </c>
      <c r="G44" s="7">
        <v>2</v>
      </c>
      <c r="H44" s="7">
        <v>25</v>
      </c>
      <c r="I44" s="4">
        <v>0</v>
      </c>
      <c r="J44" s="7">
        <v>1</v>
      </c>
      <c r="K44" s="7" t="s">
        <v>528</v>
      </c>
      <c r="L44" s="7">
        <f>MIN(114.4*C44^-0.13,97.8*C44^-0.094)</f>
        <v>53.41917526465727</v>
      </c>
      <c r="M44" s="7" t="s">
        <v>626</v>
      </c>
      <c r="N44" s="4">
        <v>0</v>
      </c>
      <c r="O44" s="4">
        <v>0</v>
      </c>
      <c r="P44" s="4">
        <v>0</v>
      </c>
      <c r="Q44" s="4">
        <v>0</v>
      </c>
      <c r="R44" s="4" t="s">
        <v>40</v>
      </c>
      <c r="S44" s="7">
        <f>_xlfn.XLOOKUP(B44,[1]TeethAdjusters!$A:$A,[1]BiteAdjusters!$C:$C,1)</f>
        <v>1</v>
      </c>
      <c r="T44" s="7">
        <f>_xlfn.XLOOKUP(B44,[1]TeethAdjusters!$A:$A,[1]TeethAdjusters!$B:$B,1)</f>
        <v>1</v>
      </c>
      <c r="U44" s="7" t="s">
        <v>45</v>
      </c>
      <c r="V44" s="7" t="str">
        <f>IF(AT44="No","No",IF(_xlfn.XLOOKUP(E44,Groups!A:A,Groups!AM:AM)=1,MROUND(EXP(0.3582*LN(C44)-0.2221)*T44,0.05),IF(_xlfn.XLOOKUP(E44,Groups!A:A,Groups!AM:AM)=2,MROUND(EXP(0.3582*LN(C44)-0.2221)*T44,0.05),"Need a formula")))</f>
        <v>No</v>
      </c>
      <c r="W44" s="7">
        <v>30</v>
      </c>
      <c r="X44" s="7" t="s">
        <v>932</v>
      </c>
      <c r="Y44" s="4" t="s">
        <v>42</v>
      </c>
      <c r="Z44" s="4">
        <v>1</v>
      </c>
      <c r="AA44" s="4">
        <v>0</v>
      </c>
      <c r="AB44" s="4">
        <v>0</v>
      </c>
      <c r="AC44" s="4">
        <v>0</v>
      </c>
      <c r="AD44" s="4">
        <v>0</v>
      </c>
      <c r="AE44" s="4" t="s">
        <v>45</v>
      </c>
      <c r="AF44" s="4" t="s">
        <v>398</v>
      </c>
      <c r="AG44" s="49" t="s">
        <v>376</v>
      </c>
      <c r="AH44" s="4" t="s">
        <v>45</v>
      </c>
      <c r="AI44" s="4">
        <v>1</v>
      </c>
      <c r="AJ44" s="4">
        <v>0</v>
      </c>
      <c r="AK44" s="4">
        <v>0</v>
      </c>
      <c r="AL44" s="4">
        <v>0</v>
      </c>
      <c r="AM44" s="4">
        <v>0</v>
      </c>
      <c r="AN44" s="44" t="s">
        <v>40</v>
      </c>
      <c r="AO44" s="8">
        <f t="shared" si="10"/>
        <v>49999.678016554004</v>
      </c>
      <c r="AP44" s="8">
        <f>IFERROR(C44*_xlfn.XLOOKUP(E44,Groups!A:A,Groups!K:K),0.106*C44^0.94)</f>
        <v>26.105368435044046</v>
      </c>
      <c r="AQ44" s="8">
        <f>AP44*10000/(_xlfn.XLOOKUP(E44,Groups!A:A,Groups!J:J)*AO44)</f>
        <v>4.7900067056984179</v>
      </c>
      <c r="AR44" s="8">
        <f t="shared" si="11"/>
        <v>7663.2858706487614</v>
      </c>
      <c r="AS44" s="8">
        <f>IF(_xlfn.XLOOKUP(E44,Groups!A:A,Groups!M:M)=1,EXP(0.7444*LN('Base stats'!C44)+6.5696),EXP(0.7927*LN('Base stats'!C44)+4.28))</f>
        <v>7506.9430520091801</v>
      </c>
      <c r="AT44" s="8" t="str">
        <f>IF(_xlfn.XLOOKUP(E44,Groups!A:A,Groups!N:N)="No","No",
IF(_xlfn.XLOOKUP(E44,Groups!A:A,Groups!N:N)="Crocodile",EXP(0.8129*LN(C44)+4.6742)*S44,
IF(_xlfn.XLOOKUP(E44,Groups!A:A,Groups!N:N)="Felid",EXP(0.7843*LN(C44)+4.7073)*S44,
IF(_xlfn.XLOOKUP(E44,Groups!A:A,Groups!N:N)="Canid",EXP(0.8367*LN(C44)+4.8763)*S44,
IF(_xlfn.XLOOKUP(E44,Groups!A:A,Groups!N:N)="Pig",EXP(0.3439*LN(C44)+6.8519)*S44,
IF(_xlfn.XLOOKUP(E44,Groups!A:A,Groups!N:N)="Rodent",EXP(0.5625*LN(C44)+4.3006)*S44,
IF(_xlfn.XLOOKUP(E44,Groups!A:A,Groups!N:N)="Primate",EXP(0.7847*LN(C44)+3.4931)*S44,
IF(_xlfn.XLOOKUP(E44,Groups!A:A,Groups!N:N)="MiscCarnivora",EXP(0.7486*LN(C44)+4.2207)*S44,
IF(_xlfn.XLOOKUP(E44,Groups!A:A,Groups!N:N)="Lizard",EXP(0.7733*LN(C44)+5.5303)*S44,
IF(_xlfn.XLOOKUP(E44,Groups!A:A,Groups!N:N)="Snake",50*C44^(2/3)*S44,
IF(_xlfn.XLOOKUP(E44,Groups!A:A,Groups!N:N)="StrongBitingHerbivore",87.1133638856975*C44^(2/3)*S44,
IF(_xlfn.XLOOKUP(E44,Groups!A:A,Groups!N:N)="MiscEctotherms",59.4316884072269*C44^(2/3)*S44,
IF(_xlfn.XLOOKUP(E44,Groups!A:A,Groups!N:N)="StrongBeakBird",0.041*(C44*1000)^1.375*S44,
IF(_xlfn.XLOOKUP(E44,Groups!A:A,Groups!N:N)="Bird",0.118*(C44*1000)^0.692*S44,
IF(_xlfn.XLOOKUP(E44,Groups!A:A,Groups!N:N)="Insect",EXP(0.7444*LN(C44)+6.5696)*S44,
IF(_xlfn.XLOOKUP(E44,Groups!A:A,Groups!N:N)="Theropod",EXP(0.6966*LN(C44)+4.158)*S44,
"No"))))))))))))))))</f>
        <v>No</v>
      </c>
      <c r="AU44" s="8">
        <f>IF(_xlfn.XLOOKUP(E44,Groups!A:A,Groups!U:U)=3,AS44,IF(_xlfn.XLOOKUP(E44,Groups!A:A,Groups!U:U)=2,AR44,AT44))</f>
        <v>7506.9430520091801</v>
      </c>
      <c r="AV44" s="46">
        <f>IFERROR(AVERAGE(_xlfn.XLOOKUP(B44,Animals!B:B,Animals!N:N),_xlfn.XLOOKUP(B44,Animals!B:B,Animals!O:O)),0)</f>
        <v>0</v>
      </c>
      <c r="AW44" s="8">
        <f>MROUND(40*Animals!AO44*_xlfn.XLOOKUP(AG44,Leathers!$A$2:$A$99,Leathers!$B$2:$B$99,0)+(140*_xlfn.XLOOKUP(B44,Animals!B:B,Animals!AO:AO)*2),5)</f>
        <v>930</v>
      </c>
      <c r="AX44" s="8">
        <f>IFERROR(ROUND(SQRT(V44-1)*IF(_xlfn.XLOOKUP(E44,Groups!A:A,Groups!BF:BF)=0,2,1)*IF(_xlfn.XLOOKUP('Base stats'!E44,Groups!A:A,Groups!O:O)=0,1,0.1),1),0)</f>
        <v>0</v>
      </c>
      <c r="AY44" s="8">
        <f t="shared" si="12"/>
        <v>0</v>
      </c>
      <c r="AZ44" s="8">
        <f t="shared" si="13"/>
        <v>5.5</v>
      </c>
      <c r="BA44" s="8">
        <f t="shared" si="14"/>
        <v>6.5</v>
      </c>
      <c r="BB44" s="8">
        <f>IF(_xlfn.XLOOKUP(E44,Groups!A:A,Groups!N:N)="Insect",BD44*2.5,IFERROR(AVERAGE(BD44,AT44/9.81/IF(OR(_xlfn.XLOOKUP(E44,Groups!A:A,Groups!N:N)="Pig",_xlfn.XLOOKUP(E44,Groups!A:A,Groups!N:N)="StrongBitingHerbivore"),20,25))*C44^-0.135,BD44))</f>
        <v>3.2472324064132327</v>
      </c>
      <c r="BC44" s="8">
        <f>IF(W44="No","No",IF(_xlfn.XLOOKUP(E44,Groups!A:A,Groups!U:U)=1,'Base stats'!BB44,IF(OR(_xlfn.XLOOKUP(E44,Groups!A:A,Groups!BD:BD)=1,_xlfn.XLOOKUP(E44,Groups!A:A,Groups!U:U)=2),BD44,IF(_xlfn.XLOOKUP(B44,Animals!B:B,Animals!AO:AO)&gt;4,AVERAGE(BD44,BF44),BF44))))</f>
        <v>5.1480524630900852</v>
      </c>
      <c r="BD44" s="8">
        <f t="shared" si="15"/>
        <v>3.2472324064132327</v>
      </c>
      <c r="BE44" s="8">
        <f>IF(_xlfn.XLOOKUP(E44,Groups!A:A,Groups!BE:BE)=1,(0.048*C44^1.01)+(0.071*C44^1.03),0.071*C44^1.03)/IF(_xlfn.XLOOKUP(E44,Groups!A:A,Groups!M:M)=1,0.85,IF(OR(_xlfn.XLOOKUP(B44,Animals!B:B,Animals!AO:AO)&gt;4,_xlfn.XLOOKUP(E44,Groups!A:A,Groups!BC:BC)=1),1.7,1))*C44^-0.25</f>
        <v>6.8490671365591904</v>
      </c>
      <c r="BF44" s="8">
        <f>(0.048*C44^1.01)/IF(_xlfn.XLOOKUP(E44,Groups!A:A,Groups!M:M)=1,0.25,0.8)*C44^-0.25</f>
        <v>5.1480524630900852</v>
      </c>
      <c r="BG44" s="8">
        <f>EXP(1.076*LN(AR44)-4.5397)*IF(_xlfn.XLOOKUP(E44,Groups!A:A,Groups!BC:BC)=1,1.25,IF(_xlfn.XLOOKUP(E44,Groups!A:A,Groups!BD:BD)=1,3.5,2.5))</f>
        <v>403.64903444222597</v>
      </c>
      <c r="BH44" s="8">
        <f>EXP(1.076*LN(AS44)-4.5397)*IF(_xlfn.XLOOKUP(E44,Groups!A:A,Groups!M:M)=1,0.8,IF(_xlfn.XLOOKUP(E44,Groups!A:A,Groups!BC:BC)=1,1.3,3))</f>
        <v>473.75402609099581</v>
      </c>
      <c r="BI44" s="8">
        <f>IF(W44="No","No",IF(_xlfn.XLOOKUP(E44,Groups!A:A,Groups!U:U)=1,'Base stats'!BJ44,IF(OR(_xlfn.XLOOKUP(E44,Groups!A:A,Groups!BD:BD)=1,_xlfn.XLOOKUP(E44,Groups!A:A,Groups!U:U)=2),BG44,BH44))*1.2)</f>
        <v>568.50483130919497</v>
      </c>
      <c r="BJ44" s="8" t="str">
        <f>IFERROR(EXP(1.076*LN(AT44)-4.5397)*IF(_xlfn.XLOOKUP(E44,Groups!A:A,Groups!N:N)="Insect",1,IF(OR(_xlfn.XLOOKUP(E44,Groups!A:A,Groups!N:N)="Pig",_xlfn.XLOOKUP(E44,Groups!A:A,Groups!N:N)="StrongBitingHerbivore"),3.5,3.75)),"No")</f>
        <v>No</v>
      </c>
      <c r="BK44" s="8">
        <f t="shared" si="16"/>
        <v>15</v>
      </c>
      <c r="BL44" s="8">
        <f t="shared" si="17"/>
        <v>11</v>
      </c>
      <c r="BM44" s="8">
        <f t="shared" si="18"/>
        <v>14</v>
      </c>
      <c r="BN44" s="8" t="str">
        <f t="shared" si="19"/>
        <v>No</v>
      </c>
      <c r="BO44" s="8">
        <f t="shared" si="20"/>
        <v>13</v>
      </c>
      <c r="BP44" s="8" cm="1">
        <f t="array" ref="BP44">IF(AND(_xlfn.XLOOKUP('Base stats'!E44,Groups!A:A,Groups!AD:AD=0),_xlfn.XLOOKUP('Base stats'!E44,Groups!A:A,Groups!P:P=0)),"No",IF(U44="No",AVERAGE(EXP(-0.57+0.99*LN(C44)),EXP(0.32+0.67*LN(C44)))/IF(_xlfn.XLOOKUP(E44,Groups!A:A,Groups!AD:AD)=1,10,2),(0.7354*C44^0.4078)*2/IF(_xlfn.XLOOKUP(E44,Groups!A:A,Groups!BK:BK)=1,1000,100)/IF(_xlfn.XLOOKUP(E44,Groups!A:A,Groups!AJ:AJ)="Photonozoa",3,1)))</f>
        <v>64.103753174089817</v>
      </c>
      <c r="BQ44" s="8">
        <f>IF(W44="No","No",IF(_xlfn.XLOOKUP(E44,Groups!A:A,Groups!BD:BD)=1,(AO44*5%),EXP(0.7354*LN(C44)^0.4078)*2/IF(_xlfn.XLOOKUP(E44,Groups!A:A,Groups!BL:BL)=1,1000,100)/IF(_xlfn.XLOOKUP(E44,Groups!A:A,Groups!AJ:AJ)="Photonozoa",3,1)))</f>
        <v>9.0734189120175002E-2</v>
      </c>
      <c r="BR44" s="8" t="str">
        <f>IF(BJ44="No","No",IF(_xlfn.XLOOKUP(E44,Groups!A:A,Groups!BF:BF)=1,(0.0315*C44+2.1825)*2,(0.7354*C44^0.4078)*2)/IF(_xlfn.XLOOKUP(E44,Groups!A:A,Groups!BM:BM)=1,1000,100)/IF(_xlfn.XLOOKUP(E44,Groups!A:A,Groups!AJ:AJ)="Photonozoa",3,1))</f>
        <v>No</v>
      </c>
      <c r="BS44" s="8">
        <f t="shared" si="21"/>
        <v>0.16146065353004271</v>
      </c>
      <c r="BT44" s="8">
        <f t="shared" si="22"/>
        <v>7.3904257182008974</v>
      </c>
      <c r="BU44" s="8">
        <f t="shared" si="23"/>
        <v>6265.6076702931196</v>
      </c>
      <c r="BV44" s="8" t="str">
        <f t="shared" si="24"/>
        <v>No</v>
      </c>
      <c r="BW44" s="4">
        <v>0</v>
      </c>
      <c r="BX44" s="4">
        <v>1</v>
      </c>
    </row>
    <row r="45" spans="1:76" x14ac:dyDescent="0.25">
      <c r="A45" s="26" t="s">
        <v>145</v>
      </c>
      <c r="B45" s="6" t="s">
        <v>146</v>
      </c>
      <c r="C45" s="7">
        <v>667</v>
      </c>
      <c r="D45" s="7" t="s">
        <v>531</v>
      </c>
      <c r="E45" s="7" t="str">
        <f>Groups!$A$52</f>
        <v>Ruminant (HORNS)</v>
      </c>
      <c r="F45" s="7">
        <v>274</v>
      </c>
      <c r="G45" s="7">
        <f>738/365</f>
        <v>2.021917808219178</v>
      </c>
      <c r="H45" s="7">
        <v>26.3</v>
      </c>
      <c r="I45" s="4">
        <v>0</v>
      </c>
      <c r="J45" s="7">
        <v>1</v>
      </c>
      <c r="K45" s="7" t="s">
        <v>531</v>
      </c>
      <c r="L45" s="7">
        <v>29</v>
      </c>
      <c r="M45" s="7" t="s">
        <v>626</v>
      </c>
      <c r="N45" s="4">
        <v>0</v>
      </c>
      <c r="O45" s="4">
        <v>1</v>
      </c>
      <c r="P45" s="4">
        <v>0</v>
      </c>
      <c r="Q45" s="4">
        <v>0</v>
      </c>
      <c r="R45" s="4" t="s">
        <v>40</v>
      </c>
      <c r="S45" s="7">
        <f>_xlfn.XLOOKUP(B45,[1]TeethAdjusters!$A:$A,[1]BiteAdjusters!$C:$C,1)</f>
        <v>1</v>
      </c>
      <c r="T45" s="7">
        <f>_xlfn.XLOOKUP(B45,[1]TeethAdjusters!$A:$A,[1]TeethAdjusters!$B:$B,1)</f>
        <v>1</v>
      </c>
      <c r="U45" s="7" t="s">
        <v>45</v>
      </c>
      <c r="V45" s="7" t="str">
        <f>IF(AT45="No","No",IF(_xlfn.XLOOKUP(E45,Groups!A:A,Groups!AM:AM)=1,MROUND(EXP(0.3582*LN(C45)-0.2221)*T45,0.05),IF(_xlfn.XLOOKUP(E45,Groups!A:A,Groups!AM:AM)=2,MROUND(EXP(0.3582*LN(C45)-0.2221)*T45,0.05),"Need a formula")))</f>
        <v>No</v>
      </c>
      <c r="W45" s="7">
        <v>42.6</v>
      </c>
      <c r="X45" s="7" t="s">
        <v>962</v>
      </c>
      <c r="Y45" s="4" t="s">
        <v>42</v>
      </c>
      <c r="Z45" s="4">
        <v>1</v>
      </c>
      <c r="AA45" s="4">
        <v>0</v>
      </c>
      <c r="AB45" s="4">
        <v>0</v>
      </c>
      <c r="AC45" s="4">
        <v>0</v>
      </c>
      <c r="AD45" s="4">
        <v>0</v>
      </c>
      <c r="AE45" s="4" t="s">
        <v>45</v>
      </c>
      <c r="AF45" s="4" t="s">
        <v>398</v>
      </c>
      <c r="AG45" s="49" t="s">
        <v>392</v>
      </c>
      <c r="AH45" s="4" t="s">
        <v>45</v>
      </c>
      <c r="AI45" s="4">
        <v>1</v>
      </c>
      <c r="AJ45" s="4">
        <v>0</v>
      </c>
      <c r="AK45" s="4">
        <v>0</v>
      </c>
      <c r="AL45" s="4">
        <v>0</v>
      </c>
      <c r="AM45" s="4">
        <v>0</v>
      </c>
      <c r="AN45" s="44" t="s">
        <v>40</v>
      </c>
      <c r="AO45" s="8">
        <f t="shared" si="10"/>
        <v>76033.462935846605</v>
      </c>
      <c r="AP45" s="8">
        <f>IFERROR(C45*_xlfn.XLOOKUP(E45,Groups!A:A,Groups!K:K),0.106*C45^0.94)</f>
        <v>47.86126236293304</v>
      </c>
      <c r="AQ45" s="8">
        <f>AP45*10000/(_xlfn.XLOOKUP(E45,Groups!A:A,Groups!J:J)*AO45)</f>
        <v>5.7750118587803678</v>
      </c>
      <c r="AR45" s="8">
        <f t="shared" si="11"/>
        <v>13212.343057657132</v>
      </c>
      <c r="AS45" s="8">
        <f>IF(_xlfn.XLOOKUP(E45,Groups!A:A,Groups!M:M)=1,EXP(0.7444*LN('Base stats'!C45)+6.5696),EXP(0.7927*LN('Base stats'!C45)+4.28))</f>
        <v>12515.982034653402</v>
      </c>
      <c r="AT45" s="8" t="str">
        <f>IF(_xlfn.XLOOKUP(E45,Groups!A:A,Groups!N:N)="No","No",
IF(_xlfn.XLOOKUP(E45,Groups!A:A,Groups!N:N)="Crocodile",EXP(0.8129*LN(C45)+4.6742)*S45,
IF(_xlfn.XLOOKUP(E45,Groups!A:A,Groups!N:N)="Felid",EXP(0.7843*LN(C45)+4.7073)*S45,
IF(_xlfn.XLOOKUP(E45,Groups!A:A,Groups!N:N)="Canid",EXP(0.8367*LN(C45)+4.8763)*S45,
IF(_xlfn.XLOOKUP(E45,Groups!A:A,Groups!N:N)="Pig",EXP(0.3439*LN(C45)+6.8519)*S45,
IF(_xlfn.XLOOKUP(E45,Groups!A:A,Groups!N:N)="Rodent",EXP(0.5625*LN(C45)+4.3006)*S45,
IF(_xlfn.XLOOKUP(E45,Groups!A:A,Groups!N:N)="Primate",EXP(0.7847*LN(C45)+3.4931)*S45,
IF(_xlfn.XLOOKUP(E45,Groups!A:A,Groups!N:N)="MiscCarnivora",EXP(0.7486*LN(C45)+4.2207)*S45,
IF(_xlfn.XLOOKUP(E45,Groups!A:A,Groups!N:N)="Lizard",EXP(0.7733*LN(C45)+5.5303)*S45,
IF(_xlfn.XLOOKUP(E45,Groups!A:A,Groups!N:N)="Snake",50*C45^(2/3)*S45,
IF(_xlfn.XLOOKUP(E45,Groups!A:A,Groups!N:N)="StrongBitingHerbivore",87.1133638856975*C45^(2/3)*S45,
IF(_xlfn.XLOOKUP(E45,Groups!A:A,Groups!N:N)="MiscEctotherms",59.4316884072269*C45^(2/3)*S45,
IF(_xlfn.XLOOKUP(E45,Groups!A:A,Groups!N:N)="StrongBeakBird",0.041*(C45*1000)^1.375*S45,
IF(_xlfn.XLOOKUP(E45,Groups!A:A,Groups!N:N)="Bird",0.118*(C45*1000)^0.692*S45,
IF(_xlfn.XLOOKUP(E45,Groups!A:A,Groups!N:N)="Insect",EXP(0.7444*LN(C45)+6.5696)*S45,
IF(_xlfn.XLOOKUP(E45,Groups!A:A,Groups!N:N)="Theropod",EXP(0.6966*LN(C45)+4.158)*S45,
"No"))))))))))))))))</f>
        <v>No</v>
      </c>
      <c r="AU45" s="8">
        <f>IF(_xlfn.XLOOKUP(E45,Groups!A:A,Groups!U:U)=3,AS45,IF(_xlfn.XLOOKUP(E45,Groups!A:A,Groups!U:U)=2,AR45,AT45))</f>
        <v>12515.982034653402</v>
      </c>
      <c r="AV45" s="46">
        <f>IFERROR(AVERAGE(_xlfn.XLOOKUP(B45,Animals!B:B,Animals!N:N),_xlfn.XLOOKUP(B45,Animals!B:B,Animals!O:O)),0)</f>
        <v>0</v>
      </c>
      <c r="AW45" s="8">
        <f>MROUND(40*Animals!AO45*_xlfn.XLOOKUP(AG45,Leathers!$A$2:$A$99,Leathers!$B$2:$B$99,0)+(140*_xlfn.XLOOKUP(B45,Animals!B:B,Animals!AO:AO)*2),5)</f>
        <v>1090</v>
      </c>
      <c r="AX45" s="8">
        <f>IFERROR(ROUND(SQRT(V45-1)*IF(_xlfn.XLOOKUP(E45,Groups!A:A,Groups!BF:BF)=0,2,1)*IF(_xlfn.XLOOKUP('Base stats'!E45,Groups!A:A,Groups!O:O)=0,1,0.1),1),0)</f>
        <v>0</v>
      </c>
      <c r="AY45" s="8">
        <f t="shared" si="12"/>
        <v>0</v>
      </c>
      <c r="AZ45" s="8">
        <f t="shared" si="13"/>
        <v>6.5</v>
      </c>
      <c r="BA45" s="8">
        <f t="shared" si="14"/>
        <v>8.1999999999999993</v>
      </c>
      <c r="BB45" s="8">
        <f>IF(_xlfn.XLOOKUP(E45,Groups!A:A,Groups!N:N)="Insect",BD45*2.5,IFERROR(AVERAGE(BD45,AT45/9.81/IF(OR(_xlfn.XLOOKUP(E45,Groups!A:A,Groups!N:N)="Pig",_xlfn.XLOOKUP(E45,Groups!A:A,Groups!N:N)="StrongBitingHerbivore"),20,25))*C45^-0.135,BD45))</f>
        <v>5.2805230876124014</v>
      </c>
      <c r="BC45" s="8">
        <f>IF(W45="No","No",IF(_xlfn.XLOOKUP(E45,Groups!A:A,Groups!U:U)=1,'Base stats'!BB45,IF(OR(_xlfn.XLOOKUP(E45,Groups!A:A,Groups!BD:BD)=1,_xlfn.XLOOKUP(E45,Groups!A:A,Groups!U:U)=2),BD45,IF(_xlfn.XLOOKUP(B45,Animals!B:B,Animals!AO:AO)&gt;4,AVERAGE(BD45,BF45),BF45))))</f>
        <v>8.4040162630422426</v>
      </c>
      <c r="BD45" s="8">
        <f t="shared" si="15"/>
        <v>5.2805230876124014</v>
      </c>
      <c r="BE45" s="8">
        <f>IF(_xlfn.XLOOKUP(E45,Groups!A:A,Groups!BE:BE)=1,(0.048*C45^1.01)+(0.071*C45^1.03),0.071*C45^1.03)/IF(_xlfn.XLOOKUP(E45,Groups!A:A,Groups!M:M)=1,0.85,IF(OR(_xlfn.XLOOKUP(B45,Animals!B:B,Animals!AO:AO)&gt;4,_xlfn.XLOOKUP(E45,Groups!A:A,Groups!BC:BC)=1),1.7,1))*C45^-0.25</f>
        <v>11.325998484374614</v>
      </c>
      <c r="BF45" s="8">
        <f>(0.048*C45^1.01)/IF(_xlfn.XLOOKUP(E45,Groups!A:A,Groups!M:M)=1,0.25,0.8)*C45^-0.25</f>
        <v>8.4040162630422426</v>
      </c>
      <c r="BG45" s="8">
        <f>EXP(1.076*LN(AR45)-4.5397)*IF(_xlfn.XLOOKUP(E45,Groups!A:A,Groups!BC:BC)=1,1.25,IF(_xlfn.XLOOKUP(E45,Groups!A:A,Groups!BD:BD)=1,3.5,2.5))</f>
        <v>725.35007239706135</v>
      </c>
      <c r="BH45" s="8">
        <f>EXP(1.076*LN(AS45)-4.5397)*IF(_xlfn.XLOOKUP(E45,Groups!A:A,Groups!M:M)=1,0.8,IF(_xlfn.XLOOKUP(E45,Groups!A:A,Groups!BC:BC)=1,1.3,3))</f>
        <v>821.15825108479567</v>
      </c>
      <c r="BI45" s="8">
        <f>IF(W45="No","No",IF(_xlfn.XLOOKUP(E45,Groups!A:A,Groups!U:U)=1,'Base stats'!BJ45,IF(OR(_xlfn.XLOOKUP(E45,Groups!A:A,Groups!BD:BD)=1,_xlfn.XLOOKUP(E45,Groups!A:A,Groups!U:U)=2),BG45,BH45))*1.2)</f>
        <v>985.38990130175478</v>
      </c>
      <c r="BJ45" s="8" t="str">
        <f>IFERROR(EXP(1.076*LN(AT45)-4.5397)*IF(_xlfn.XLOOKUP(E45,Groups!A:A,Groups!N:N)="Insect",1,IF(OR(_xlfn.XLOOKUP(E45,Groups!A:A,Groups!N:N)="Pig",_xlfn.XLOOKUP(E45,Groups!A:A,Groups!N:N)="StrongBitingHerbivore"),3.5,3.75)),"No")</f>
        <v>No</v>
      </c>
      <c r="BK45" s="8">
        <f t="shared" si="16"/>
        <v>16</v>
      </c>
      <c r="BL45" s="8">
        <f t="shared" si="17"/>
        <v>12</v>
      </c>
      <c r="BM45" s="8">
        <f t="shared" si="18"/>
        <v>15</v>
      </c>
      <c r="BN45" s="8" t="str">
        <f t="shared" si="19"/>
        <v>No</v>
      </c>
      <c r="BO45" s="8">
        <f t="shared" si="20"/>
        <v>13</v>
      </c>
      <c r="BP45" s="8" cm="1">
        <f t="array" ref="BP45">IF(AND(_xlfn.XLOOKUP('Base stats'!E45,Groups!A:A,Groups!AD:AD=0),_xlfn.XLOOKUP('Base stats'!E45,Groups!A:A,Groups!P:P=0)),"No",IF(U45="No",AVERAGE(EXP(-0.57+0.99*LN(C45)),EXP(0.32+0.67*LN(C45)))/IF(_xlfn.XLOOKUP(E45,Groups!A:A,Groups!AD:AD)=1,10,2),(0.7354*C45^0.4078)*2/IF(_xlfn.XLOOKUP(E45,Groups!A:A,Groups!BK:BK)=1,1000,100)/IF(_xlfn.XLOOKUP(E45,Groups!A:A,Groups!AJ:AJ)="Photonozoa",3,1)))</f>
        <v>115.22257916414355</v>
      </c>
      <c r="BQ45" s="8">
        <f>IF(W45="No","No",IF(_xlfn.XLOOKUP(E45,Groups!A:A,Groups!BD:BD)=1,(AO45*5%),EXP(0.7354*LN(C45)^0.4078)*2/IF(_xlfn.XLOOKUP(E45,Groups!A:A,Groups!BL:BL)=1,1000,100)/IF(_xlfn.XLOOKUP(E45,Groups!A:A,Groups!AJ:AJ)="Photonozoa",3,1)))</f>
        <v>9.6904653441537092E-2</v>
      </c>
      <c r="BR45" s="8" t="str">
        <f>IF(BJ45="No","No",IF(_xlfn.XLOOKUP(E45,Groups!A:A,Groups!BF:BF)=1,(0.0315*C45+2.1825)*2,(0.7354*C45^0.4078)*2)/IF(_xlfn.XLOOKUP(E45,Groups!A:A,Groups!BM:BM)=1,1000,100)/IF(_xlfn.XLOOKUP(E45,Groups!A:A,Groups!AJ:AJ)="Photonozoa",3,1))</f>
        <v>No</v>
      </c>
      <c r="BS45" s="8">
        <f t="shared" si="21"/>
        <v>0.19079758947953665</v>
      </c>
      <c r="BT45" s="8">
        <f t="shared" si="22"/>
        <v>7.1267129849175799</v>
      </c>
      <c r="BU45" s="8">
        <f t="shared" si="23"/>
        <v>10168.65409767183</v>
      </c>
      <c r="BV45" s="8" t="str">
        <f t="shared" si="24"/>
        <v>No</v>
      </c>
      <c r="BW45" s="4">
        <v>0</v>
      </c>
      <c r="BX45" s="4">
        <v>1</v>
      </c>
    </row>
    <row r="46" spans="1:76" x14ac:dyDescent="0.25">
      <c r="A46" s="26" t="s">
        <v>149</v>
      </c>
      <c r="B46" s="6" t="s">
        <v>150</v>
      </c>
      <c r="C46" s="7">
        <v>200</v>
      </c>
      <c r="D46" s="7" t="s">
        <v>532</v>
      </c>
      <c r="E46" s="7" t="str">
        <f>Groups!$A$55</f>
        <v>Ruminant (ANTLERS)</v>
      </c>
      <c r="F46" s="7">
        <v>245</v>
      </c>
      <c r="G46" s="7">
        <f>852/365</f>
        <v>2.3342465753424659</v>
      </c>
      <c r="H46" s="7">
        <v>31.5</v>
      </c>
      <c r="I46" s="4">
        <v>0</v>
      </c>
      <c r="J46" s="7">
        <v>1</v>
      </c>
      <c r="K46" s="7" t="s">
        <v>532</v>
      </c>
      <c r="L46" s="7">
        <v>72</v>
      </c>
      <c r="M46" s="7" t="s">
        <v>626</v>
      </c>
      <c r="N46" s="4">
        <v>0</v>
      </c>
      <c r="O46" s="4">
        <v>0</v>
      </c>
      <c r="P46" s="4">
        <v>0</v>
      </c>
      <c r="Q46" s="4">
        <v>0</v>
      </c>
      <c r="R46" s="4" t="s">
        <v>40</v>
      </c>
      <c r="S46" s="7">
        <f>_xlfn.XLOOKUP(B46,[1]TeethAdjusters!$A:$A,[1]BiteAdjusters!$C:$C,1)</f>
        <v>1</v>
      </c>
      <c r="T46" s="7">
        <f>_xlfn.XLOOKUP(B46,[1]TeethAdjusters!$A:$A,[1]TeethAdjusters!$B:$B,1)</f>
        <v>1</v>
      </c>
      <c r="U46" s="7" t="s">
        <v>45</v>
      </c>
      <c r="V46" s="7" t="str">
        <f>IF(AT46="No","No",IF(_xlfn.XLOOKUP(E46,Groups!A:A,Groups!AM:AM)=1,MROUND(EXP(0.3582*LN(C46)-0.2221)*T46,0.05),IF(_xlfn.XLOOKUP(E46,Groups!A:A,Groups!AM:AM)=2,MROUND(EXP(0.3582*LN(C46)-0.2221)*T46,0.05),"Need a formula")))</f>
        <v>No</v>
      </c>
      <c r="W46" s="7">
        <v>54.5</v>
      </c>
      <c r="X46" s="7" t="s">
        <v>932</v>
      </c>
      <c r="Y46" s="4" t="s">
        <v>42</v>
      </c>
      <c r="Z46" s="4">
        <v>1</v>
      </c>
      <c r="AA46" s="4">
        <v>0</v>
      </c>
      <c r="AB46" s="4">
        <v>0</v>
      </c>
      <c r="AC46" s="4">
        <v>0</v>
      </c>
      <c r="AD46" s="4">
        <v>0</v>
      </c>
      <c r="AE46" s="4" t="s">
        <v>45</v>
      </c>
      <c r="AF46" s="4" t="s">
        <v>398</v>
      </c>
      <c r="AG46" s="49" t="s">
        <v>392</v>
      </c>
      <c r="AH46" s="4" t="str">
        <f>Animals!$C$53</f>
        <v>&lt;li&gt;Deer&lt;/li&gt;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4" t="s">
        <v>40</v>
      </c>
      <c r="AO46" s="8">
        <f t="shared" si="10"/>
        <v>34753.014052750754</v>
      </c>
      <c r="AP46" s="8">
        <f>IFERROR(C46*_xlfn.XLOOKUP(E46,Groups!A:A,Groups!K:K),0.106*C46^0.94)</f>
        <v>15.426736488345595</v>
      </c>
      <c r="AQ46" s="8">
        <f>AP46*10000/(_xlfn.XLOOKUP(E46,Groups!A:A,Groups!J:J)*AO46)</f>
        <v>4.0724436832674371</v>
      </c>
      <c r="AR46" s="8">
        <f t="shared" si="11"/>
        <v>4776.6210371506204</v>
      </c>
      <c r="AS46" s="8">
        <f>IF(_xlfn.XLOOKUP(E46,Groups!A:A,Groups!M:M)=1,EXP(0.7444*LN('Base stats'!C46)+6.5696),EXP(0.7927*LN('Base stats'!C46)+4.28))</f>
        <v>4817.3351295400244</v>
      </c>
      <c r="AT46" s="8" t="str">
        <f>IF(_xlfn.XLOOKUP(E46,Groups!A:A,Groups!N:N)="No","No",
IF(_xlfn.XLOOKUP(E46,Groups!A:A,Groups!N:N)="Crocodile",EXP(0.8129*LN(C46)+4.6742)*S46,
IF(_xlfn.XLOOKUP(E46,Groups!A:A,Groups!N:N)="Felid",EXP(0.7843*LN(C46)+4.7073)*S46,
IF(_xlfn.XLOOKUP(E46,Groups!A:A,Groups!N:N)="Canid",EXP(0.8367*LN(C46)+4.8763)*S46,
IF(_xlfn.XLOOKUP(E46,Groups!A:A,Groups!N:N)="Pig",EXP(0.3439*LN(C46)+6.8519)*S46,
IF(_xlfn.XLOOKUP(E46,Groups!A:A,Groups!N:N)="Rodent",EXP(0.5625*LN(C46)+4.3006)*S46,
IF(_xlfn.XLOOKUP(E46,Groups!A:A,Groups!N:N)="Primate",EXP(0.7847*LN(C46)+3.4931)*S46,
IF(_xlfn.XLOOKUP(E46,Groups!A:A,Groups!N:N)="MiscCarnivora",EXP(0.7486*LN(C46)+4.2207)*S46,
IF(_xlfn.XLOOKUP(E46,Groups!A:A,Groups!N:N)="Lizard",EXP(0.7733*LN(C46)+5.5303)*S46,
IF(_xlfn.XLOOKUP(E46,Groups!A:A,Groups!N:N)="Snake",50*C46^(2/3)*S46,
IF(_xlfn.XLOOKUP(E46,Groups!A:A,Groups!N:N)="StrongBitingHerbivore",87.1133638856975*C46^(2/3)*S46,
IF(_xlfn.XLOOKUP(E46,Groups!A:A,Groups!N:N)="MiscEctotherms",59.4316884072269*C46^(2/3)*S46,
IF(_xlfn.XLOOKUP(E46,Groups!A:A,Groups!N:N)="StrongBeakBird",0.041*(C46*1000)^1.375*S46,
IF(_xlfn.XLOOKUP(E46,Groups!A:A,Groups!N:N)="Bird",0.118*(C46*1000)^0.692*S46,
IF(_xlfn.XLOOKUP(E46,Groups!A:A,Groups!N:N)="Insect",EXP(0.7444*LN(C46)+6.5696)*S46,
IF(_xlfn.XLOOKUP(E46,Groups!A:A,Groups!N:N)="Theropod",EXP(0.6966*LN(C46)+4.158)*S46,
"No"))))))))))))))))</f>
        <v>No</v>
      </c>
      <c r="AU46" s="8">
        <f>IF(_xlfn.XLOOKUP(E46,Groups!A:A,Groups!U:U)=3,AS46,IF(_xlfn.XLOOKUP(E46,Groups!A:A,Groups!U:U)=2,AR46,AT46))</f>
        <v>4817.3351295400244</v>
      </c>
      <c r="AV46" s="46">
        <f>IFERROR(AVERAGE(_xlfn.XLOOKUP(B46,Animals!B:B,Animals!N:N),_xlfn.XLOOKUP(B46,Animals!B:B,Animals!O:O)),0)</f>
        <v>0</v>
      </c>
      <c r="AW46" s="8">
        <f>MROUND(40*Animals!AO46*_xlfn.XLOOKUP(AG46,Leathers!$A$2:$A$99,Leathers!$B$2:$B$99,0)+(140*_xlfn.XLOOKUP(B46,Animals!B:B,Animals!AO:AO)*2),5)</f>
        <v>655</v>
      </c>
      <c r="AX46" s="8">
        <f>IFERROR(ROUND(SQRT(V46-1)*IF(_xlfn.XLOOKUP(E46,Groups!A:A,Groups!BF:BF)=0,2,1)*IF(_xlfn.XLOOKUP('Base stats'!E46,Groups!A:A,Groups!O:O)=0,1,0.1),1),0)</f>
        <v>0</v>
      </c>
      <c r="AY46" s="8">
        <f t="shared" si="12"/>
        <v>0</v>
      </c>
      <c r="AZ46" s="8">
        <f t="shared" si="13"/>
        <v>7.4</v>
      </c>
      <c r="BA46" s="8">
        <f t="shared" si="14"/>
        <v>5.3</v>
      </c>
      <c r="BB46" s="8">
        <f>IF(_xlfn.XLOOKUP(E46,Groups!A:A,Groups!N:N)="Insect",BD46*2.5,IFERROR(AVERAGE(BD46,AT46/9.81/IF(OR(_xlfn.XLOOKUP(E46,Groups!A:A,Groups!N:N)="Pig",_xlfn.XLOOKUP(E46,Groups!A:A,Groups!N:N)="StrongBitingHerbivore"),20,25))*C46^-0.135,BD46))</f>
        <v>2.1294266438436793</v>
      </c>
      <c r="BC46" s="8">
        <f>IF(W46="No","No",IF(_xlfn.XLOOKUP(E46,Groups!A:A,Groups!U:U)=1,'Base stats'!BB46,IF(OR(_xlfn.XLOOKUP(E46,Groups!A:A,Groups!BD:BD)=1,_xlfn.XLOOKUP(E46,Groups!A:A,Groups!U:U)=2),BD46,IF(_xlfn.XLOOKUP(B46,Animals!B:B,Animals!AO:AO)&gt;4,AVERAGE(BD46,BF46),BF46))))</f>
        <v>3.3646046987127658</v>
      </c>
      <c r="BD46" s="8">
        <f t="shared" si="15"/>
        <v>2.1294266438436793</v>
      </c>
      <c r="BE46" s="8">
        <f>IF(_xlfn.XLOOKUP(E46,Groups!A:A,Groups!BE:BE)=1,(0.048*C46^1.01)+(0.071*C46^1.03),0.071*C46^1.03)/IF(_xlfn.XLOOKUP(E46,Groups!A:A,Groups!M:M)=1,0.85,IF(OR(_xlfn.XLOOKUP(B46,Animals!B:B,Animals!AO:AO)&gt;4,_xlfn.XLOOKUP(E46,Groups!A:A,Groups!BC:BC)=1),1.7,1))*C46^-0.25</f>
        <v>4.4265130134762103</v>
      </c>
      <c r="BF46" s="8">
        <f>(0.048*C46^1.01)/IF(_xlfn.XLOOKUP(E46,Groups!A:A,Groups!M:M)=1,0.25,0.8)*C46^-0.25</f>
        <v>3.3646046987127658</v>
      </c>
      <c r="BG46" s="8">
        <f>EXP(1.076*LN(AR46)-4.5397)*IF(_xlfn.XLOOKUP(E46,Groups!A:A,Groups!BC:BC)=1,1.25,IF(_xlfn.XLOOKUP(E46,Groups!A:A,Groups!BD:BD)=1,3.5,2.5))</f>
        <v>242.72097948417178</v>
      </c>
      <c r="BH46" s="8">
        <f>EXP(1.076*LN(AS46)-4.5397)*IF(_xlfn.XLOOKUP(E46,Groups!A:A,Groups!M:M)=1,0.8,IF(_xlfn.XLOOKUP(E46,Groups!A:A,Groups!BC:BC)=1,1.3,3))</f>
        <v>293.93735151357987</v>
      </c>
      <c r="BI46" s="8">
        <f>IF(W46="No","No",IF(_xlfn.XLOOKUP(E46,Groups!A:A,Groups!U:U)=1,'Base stats'!BJ46,IF(OR(_xlfn.XLOOKUP(E46,Groups!A:A,Groups!BD:BD)=1,_xlfn.XLOOKUP(E46,Groups!A:A,Groups!U:U)=2),BG46,BH46))*1.2)</f>
        <v>352.72482181629584</v>
      </c>
      <c r="BJ46" s="8" t="str">
        <f>IFERROR(EXP(1.076*LN(AT46)-4.5397)*IF(_xlfn.XLOOKUP(E46,Groups!A:A,Groups!N:N)="Insect",1,IF(OR(_xlfn.XLOOKUP(E46,Groups!A:A,Groups!N:N)="Pig",_xlfn.XLOOKUP(E46,Groups!A:A,Groups!N:N)="StrongBitingHerbivore"),3.5,3.75)),"No")</f>
        <v>No</v>
      </c>
      <c r="BK46" s="8">
        <f t="shared" si="16"/>
        <v>15</v>
      </c>
      <c r="BL46" s="8">
        <f t="shared" si="17"/>
        <v>11</v>
      </c>
      <c r="BM46" s="8">
        <f t="shared" si="18"/>
        <v>14</v>
      </c>
      <c r="BN46" s="8" t="str">
        <f t="shared" si="19"/>
        <v>No</v>
      </c>
      <c r="BO46" s="8">
        <f t="shared" si="20"/>
        <v>13</v>
      </c>
      <c r="BP46" s="8" cm="1">
        <f t="array" ref="BP46">IF(AND(_xlfn.XLOOKUP('Base stats'!E46,Groups!A:A,Groups!AD:AD=0),_xlfn.XLOOKUP('Base stats'!E46,Groups!A:A,Groups!P:P=0)),"No",IF(U46="No",AVERAGE(EXP(-0.57+0.99*LN(C46)),EXP(0.32+0.67*LN(C46)))/IF(_xlfn.XLOOKUP(E46,Groups!A:A,Groups!AD:AD)=1,10,2),(0.7354*C46^0.4078)*2/IF(_xlfn.XLOOKUP(E46,Groups!A:A,Groups!BK:BK)=1,1000,100)/IF(_xlfn.XLOOKUP(E46,Groups!A:A,Groups!AJ:AJ)="Photonozoa",3,1)))</f>
        <v>38.80117243933605</v>
      </c>
      <c r="BQ46" s="8">
        <f>IF(W46="No","No",IF(_xlfn.XLOOKUP(E46,Groups!A:A,Groups!BD:BD)=1,(AO46*5%),EXP(0.7354*LN(C46)^0.4078)*2/IF(_xlfn.XLOOKUP(E46,Groups!A:A,Groups!BL:BL)=1,1000,100)/IF(_xlfn.XLOOKUP(E46,Groups!A:A,Groups!AJ:AJ)="Photonozoa",3,1)))</f>
        <v>8.5393147695734722E-2</v>
      </c>
      <c r="BR46" s="8" t="str">
        <f>IF(BJ46="No","No",IF(_xlfn.XLOOKUP(E46,Groups!A:A,Groups!BF:BF)=1,(0.0315*C46+2.1825)*2,(0.7354*C46^0.4078)*2)/IF(_xlfn.XLOOKUP(E46,Groups!A:A,Groups!BM:BM)=1,1000,100)/IF(_xlfn.XLOOKUP(E46,Groups!A:A,Groups!AJ:AJ)="Photonozoa",3,1))</f>
        <v>No</v>
      </c>
      <c r="BS46" s="8">
        <f t="shared" si="21"/>
        <v>0.13968341227368164</v>
      </c>
      <c r="BT46" s="8">
        <f t="shared" si="22"/>
        <v>7.5754760239046428</v>
      </c>
      <c r="BU46" s="8">
        <f t="shared" si="23"/>
        <v>4130.5986643459219</v>
      </c>
      <c r="BV46" s="8" t="str">
        <f t="shared" si="24"/>
        <v>No</v>
      </c>
      <c r="BW46" s="4">
        <v>0</v>
      </c>
      <c r="BX46" s="4">
        <v>1</v>
      </c>
    </row>
    <row r="47" spans="1:76" x14ac:dyDescent="0.25">
      <c r="A47" s="26" t="s">
        <v>151</v>
      </c>
      <c r="B47" s="6" t="s">
        <v>152</v>
      </c>
      <c r="C47" s="7">
        <v>150</v>
      </c>
      <c r="D47" s="7" t="s">
        <v>528</v>
      </c>
      <c r="E47" s="7" t="str">
        <f>Groups!$A$23</f>
        <v>Camellike (CAMEL)</v>
      </c>
      <c r="F47" s="7">
        <f>ROUND(7.545*(C47*1000)^0.2689,0)</f>
        <v>186</v>
      </c>
      <c r="G47" s="7">
        <v>2.5</v>
      </c>
      <c r="H47" s="7">
        <v>20</v>
      </c>
      <c r="I47" s="4">
        <v>0</v>
      </c>
      <c r="J47" s="7">
        <v>1</v>
      </c>
      <c r="K47" s="7" t="s">
        <v>528</v>
      </c>
      <c r="L47" s="7">
        <v>29</v>
      </c>
      <c r="M47" s="7" t="s">
        <v>626</v>
      </c>
      <c r="N47" s="4">
        <v>0</v>
      </c>
      <c r="O47" s="4">
        <v>0</v>
      </c>
      <c r="P47" s="4">
        <v>0</v>
      </c>
      <c r="Q47" s="4">
        <v>0</v>
      </c>
      <c r="R47" s="4">
        <v>0.9</v>
      </c>
      <c r="S47" s="7">
        <f>_xlfn.XLOOKUP(B47,[1]TeethAdjusters!$A:$A,[1]BiteAdjusters!$C:$C,1)</f>
        <v>1</v>
      </c>
      <c r="T47" s="7">
        <f>_xlfn.XLOOKUP(B47,[1]TeethAdjusters!$A:$A,[1]TeethAdjusters!$B:$B,1)</f>
        <v>1</v>
      </c>
      <c r="U47" s="7" t="s">
        <v>45</v>
      </c>
      <c r="V47" s="7">
        <v>1.25</v>
      </c>
      <c r="W47" s="7" t="s">
        <v>45</v>
      </c>
      <c r="X47" s="7" t="s">
        <v>932</v>
      </c>
      <c r="Y47" s="4" t="s">
        <v>42</v>
      </c>
      <c r="Z47" s="4">
        <v>1</v>
      </c>
      <c r="AA47" s="4">
        <v>0</v>
      </c>
      <c r="AB47" s="4">
        <v>0</v>
      </c>
      <c r="AC47" s="4">
        <v>0.1</v>
      </c>
      <c r="AD47" s="4">
        <v>0.3</v>
      </c>
      <c r="AE47" s="4" t="s">
        <v>45</v>
      </c>
      <c r="AF47" s="4" t="s">
        <v>311</v>
      </c>
      <c r="AG47" s="49" t="s">
        <v>392</v>
      </c>
      <c r="AH47" s="4" t="s">
        <v>45</v>
      </c>
      <c r="AI47" s="4">
        <v>0</v>
      </c>
      <c r="AJ47" s="4">
        <v>0</v>
      </c>
      <c r="AK47" s="4">
        <v>1</v>
      </c>
      <c r="AL47" s="4">
        <v>0</v>
      </c>
      <c r="AM47" s="4">
        <v>0</v>
      </c>
      <c r="AN47" s="44" t="s">
        <v>40</v>
      </c>
      <c r="AO47" s="8">
        <f t="shared" si="10"/>
        <v>28825.861601687579</v>
      </c>
      <c r="AP47" s="8">
        <f>IFERROR(C47*_xlfn.XLOOKUP(E47,Groups!A:A,Groups!K:K),0.106*C47^0.94)</f>
        <v>11.771495712556113</v>
      </c>
      <c r="AQ47" s="8">
        <f>AP47*10000/(_xlfn.XLOOKUP(E47,Groups!A:A,Groups!J:J)*AO47)</f>
        <v>3.7464751271603496</v>
      </c>
      <c r="AR47" s="8">
        <f t="shared" si="11"/>
        <v>3746.1489061563307</v>
      </c>
      <c r="AS47" s="8">
        <f>IF(_xlfn.XLOOKUP(E47,Groups!A:A,Groups!M:M)=1,EXP(0.7444*LN('Base stats'!C47)+6.5696),EXP(0.7927*LN('Base stats'!C47)+4.28))</f>
        <v>3835.0225645496203</v>
      </c>
      <c r="AT47" s="8">
        <f>IF(_xlfn.XLOOKUP(E47,Groups!A:A,Groups!N:N)="No","No",
IF(_xlfn.XLOOKUP(E47,Groups!A:A,Groups!N:N)="Crocodile",EXP(0.8129*LN(C47)+4.6742)*S47,
IF(_xlfn.XLOOKUP(E47,Groups!A:A,Groups!N:N)="Felid",EXP(0.7843*LN(C47)+4.7073)*S47,
IF(_xlfn.XLOOKUP(E47,Groups!A:A,Groups!N:N)="Canid",EXP(0.8367*LN(C47)+4.8763)*S47,
IF(_xlfn.XLOOKUP(E47,Groups!A:A,Groups!N:N)="Pig",EXP(0.3439*LN(C47)+6.8519)*S47,
IF(_xlfn.XLOOKUP(E47,Groups!A:A,Groups!N:N)="Rodent",EXP(0.5625*LN(C47)+4.3006)*S47,
IF(_xlfn.XLOOKUP(E47,Groups!A:A,Groups!N:N)="Primate",EXP(0.7847*LN(C47)+3.4931)*S47,
IF(_xlfn.XLOOKUP(E47,Groups!A:A,Groups!N:N)="MiscCarnivora",EXP(0.7486*LN(C47)+4.2207)*S47,
IF(_xlfn.XLOOKUP(E47,Groups!A:A,Groups!N:N)="Lizard",EXP(0.7733*LN(C47)+5.5303)*S47,
IF(_xlfn.XLOOKUP(E47,Groups!A:A,Groups!N:N)="Snake",50*C47^(2/3)*S47,
IF(_xlfn.XLOOKUP(E47,Groups!A:A,Groups!N:N)="StrongBitingHerbivore",87.1133638856975*C47^(2/3)*S47,
IF(_xlfn.XLOOKUP(E47,Groups!A:A,Groups!N:N)="MiscEctotherms",59.4316884072269*C47^(2/3)*S47,
IF(_xlfn.XLOOKUP(E47,Groups!A:A,Groups!N:N)="StrongBeakBird",0.041*(C47*1000)^1.375*S47,
IF(_xlfn.XLOOKUP(E47,Groups!A:A,Groups!N:N)="Bird",0.118*(C47*1000)^0.692*S47,
IF(_xlfn.XLOOKUP(E47,Groups!A:A,Groups!N:N)="Insect",EXP(0.7444*LN(C47)+6.5696)*S47,
IF(_xlfn.XLOOKUP(E47,Groups!A:A,Groups!N:N)="Theropod",EXP(0.6966*LN(C47)+4.158)*S47,
"No"))))))))))))))))</f>
        <v>2459.3044204039425</v>
      </c>
      <c r="AU47" s="8">
        <f>IF(_xlfn.XLOOKUP(E47,Groups!A:A,Groups!U:U)=3,AS47,IF(_xlfn.XLOOKUP(E47,Groups!A:A,Groups!U:U)=2,AR47,AT47))</f>
        <v>2459.3044204039425</v>
      </c>
      <c r="AV47" s="46">
        <f>IFERROR(AVERAGE(_xlfn.XLOOKUP(B47,Animals!B:B,Animals!N:N),_xlfn.XLOOKUP(B47,Animals!B:B,Animals!O:O)),0)</f>
        <v>0</v>
      </c>
      <c r="AW47" s="8">
        <f>MROUND(40*Animals!AO47*_xlfn.XLOOKUP(AG47,Leathers!$A$2:$A$99,Leathers!$B$2:$B$99,0)+(140*_xlfn.XLOOKUP(B47,Animals!B:B,Animals!AO:AO)*2),5)</f>
        <v>545</v>
      </c>
      <c r="AX47" s="8">
        <f>IFERROR(ROUND(SQRT(V47-1)*IF(_xlfn.XLOOKUP(E47,Groups!A:A,Groups!BF:BF)=0,2,1)*IF(_xlfn.XLOOKUP('Base stats'!E47,Groups!A:A,Groups!O:O)=0,1,0.1),1),0)</f>
        <v>0.5</v>
      </c>
      <c r="AY47" s="8">
        <f t="shared" si="12"/>
        <v>0</v>
      </c>
      <c r="AZ47" s="8">
        <f t="shared" si="13"/>
        <v>0</v>
      </c>
      <c r="BA47" s="8">
        <f t="shared" si="14"/>
        <v>4.8</v>
      </c>
      <c r="BB47" s="8">
        <f>IF(_xlfn.XLOOKUP(E47,Groups!A:A,Groups!N:N)="Insect",BD47*2.5,IFERROR(AVERAGE(BD47,AT47/9.81/IF(OR(_xlfn.XLOOKUP(E47,Groups!A:A,Groups!N:N)="Pig",_xlfn.XLOOKUP(E47,Groups!A:A,Groups!N:N)="StrongBitingHerbivore"),20,25))*C47^-0.135,BD47))</f>
        <v>3.6222475768924149</v>
      </c>
      <c r="BC47" s="8" t="str">
        <f>IF(W47="No","No",IF(_xlfn.XLOOKUP(E47,Groups!A:A,Groups!U:U)=1,'Base stats'!BB47,IF(OR(_xlfn.XLOOKUP(E47,Groups!A:A,Groups!BD:BD)=1,_xlfn.XLOOKUP(E47,Groups!A:A,Groups!U:U)=2),BD47,IF(_xlfn.XLOOKUP(B47,Animals!B:B,Animals!AO:AO)&gt;4,AVERAGE(BD47,BF47),BF47))))</f>
        <v>No</v>
      </c>
      <c r="BD47" s="8">
        <f t="shared" si="15"/>
        <v>1.7141896806845596</v>
      </c>
      <c r="BE47" s="8">
        <f>IF(_xlfn.XLOOKUP(E47,Groups!A:A,Groups!BE:BE)=1,(0.048*C47^1.01)+(0.071*C47^1.03),0.071*C47^1.03)/IF(_xlfn.XLOOKUP(E47,Groups!A:A,Groups!M:M)=1,0.85,IF(OR(_xlfn.XLOOKUP(B47,Animals!B:B,Animals!AO:AO)&gt;4,_xlfn.XLOOKUP(E47,Groups!A:A,Groups!BC:BC)=1),1.7,1))*C47^-0.25</f>
        <v>3.5367920914565221</v>
      </c>
      <c r="BF47" s="8">
        <f>(0.048*C47^1.01)/IF(_xlfn.XLOOKUP(E47,Groups!A:A,Groups!M:M)=1,0.25,0.8)*C47^-0.25</f>
        <v>2.7038376258152188</v>
      </c>
      <c r="BG47" s="8">
        <f>EXP(1.076*LN(AR47)-4.5397)*IF(_xlfn.XLOOKUP(E47,Groups!A:A,Groups!BC:BC)=1,1.25,IF(_xlfn.XLOOKUP(E47,Groups!A:A,Groups!BD:BD)=1,3.5,2.5))</f>
        <v>186.87484615605439</v>
      </c>
      <c r="BH47" s="8">
        <f>EXP(1.076*LN(AS47)-4.5397)*IF(_xlfn.XLOOKUP(E47,Groups!A:A,Groups!M:M)=1,0.8,IF(_xlfn.XLOOKUP(E47,Groups!A:A,Groups!BC:BC)=1,1.3,3))</f>
        <v>229.97937056804284</v>
      </c>
      <c r="BI47" s="8" t="str">
        <f>IF(W47="No","No",IF(_xlfn.XLOOKUP(E47,Groups!A:A,Groups!U:U)=1,'Base stats'!BJ47,IF(OR(_xlfn.XLOOKUP(E47,Groups!A:A,Groups!BD:BD)=1,_xlfn.XLOOKUP(E47,Groups!A:A,Groups!U:U)=2),BG47,BH47))*1.2)</f>
        <v>No</v>
      </c>
      <c r="BJ47" s="8">
        <f>IFERROR(EXP(1.076*LN(AT47)-4.5397)*IF(_xlfn.XLOOKUP(E47,Groups!A:A,Groups!N:N)="Insect",1,IF(OR(_xlfn.XLOOKUP(E47,Groups!A:A,Groups!N:N)="Pig",_xlfn.XLOOKUP(E47,Groups!A:A,Groups!N:N)="StrongBitingHerbivore"),3.5,3.75)),"No")</f>
        <v>166.3471671417945</v>
      </c>
      <c r="BK47" s="8">
        <f t="shared" si="16"/>
        <v>14</v>
      </c>
      <c r="BL47" s="8">
        <f t="shared" si="17"/>
        <v>11</v>
      </c>
      <c r="BM47" s="8" t="str">
        <f t="shared" si="18"/>
        <v>No</v>
      </c>
      <c r="BN47" s="8">
        <f t="shared" si="19"/>
        <v>9</v>
      </c>
      <c r="BO47" s="8">
        <f t="shared" si="20"/>
        <v>13</v>
      </c>
      <c r="BP47" s="8" cm="1">
        <f t="array" ref="BP47">IF(AND(_xlfn.XLOOKUP('Base stats'!E47,Groups!A:A,Groups!AD:AD=0),_xlfn.XLOOKUP('Base stats'!E47,Groups!A:A,Groups!P:P=0)),"No",IF(U47="No",AVERAGE(EXP(-0.57+0.99*LN(C47)),EXP(0.32+0.67*LN(C47)))/IF(_xlfn.XLOOKUP(E47,Groups!A:A,Groups!AD:AD)=1,10,2),(0.7354*C47^0.4078)*2/IF(_xlfn.XLOOKUP(E47,Groups!A:A,Groups!BK:BK)=1,1000,100)/IF(_xlfn.XLOOKUP(E47,Groups!A:A,Groups!AJ:AJ)="Photonozoa",3,1)))</f>
        <v>30.053921065685302</v>
      </c>
      <c r="BQ47" s="8" t="str">
        <f>IF(W47="No","No",IF(_xlfn.XLOOKUP(E47,Groups!A:A,Groups!BD:BD)=1,(AO47*5%),EXP(0.7354*LN(C47)^0.4078)*2/IF(_xlfn.XLOOKUP(E47,Groups!A:A,Groups!BL:BL)=1,1000,100)/IF(_xlfn.XLOOKUP(E47,Groups!A:A,Groups!AJ:AJ)="Photonozoa",3,1)))</f>
        <v>No</v>
      </c>
      <c r="BR47" s="8">
        <f>IF(BJ47="No","No",IF(_xlfn.XLOOKUP(E47,Groups!A:A,Groups!BF:BF)=1,(0.0315*C47+2.1825)*2,(0.7354*C47^0.4078)*2)/IF(_xlfn.XLOOKUP(E47,Groups!A:A,Groups!BM:BM)=1,1000,100)/IF(_xlfn.XLOOKUP(E47,Groups!A:A,Groups!AJ:AJ)="Photonozoa",3,1))</f>
        <v>0.13815</v>
      </c>
      <c r="BS47" s="8">
        <f t="shared" si="21"/>
        <v>0.12965776963635597</v>
      </c>
      <c r="BT47" s="8">
        <f t="shared" si="22"/>
        <v>7.6522251477737004</v>
      </c>
      <c r="BU47" s="8" t="str">
        <f t="shared" si="23"/>
        <v>No</v>
      </c>
      <c r="BV47" s="8">
        <f t="shared" si="24"/>
        <v>1204.1054443850489</v>
      </c>
      <c r="BW47" s="4">
        <v>0</v>
      </c>
      <c r="BX47" s="4">
        <v>1</v>
      </c>
    </row>
    <row r="48" spans="1:76" s="16" customFormat="1" x14ac:dyDescent="0.25">
      <c r="A48" s="26" t="s">
        <v>456</v>
      </c>
      <c r="B48" s="6" t="s">
        <v>879</v>
      </c>
      <c r="C48" s="7">
        <v>150</v>
      </c>
      <c r="D48" s="7" t="s">
        <v>528</v>
      </c>
      <c r="E48" s="7" t="str">
        <f>Groups!$A$23</f>
        <v>Camellike (CAMEL)</v>
      </c>
      <c r="F48" s="7">
        <f>ROUND(7.545*(C48*1000)^0.2689,0)</f>
        <v>186</v>
      </c>
      <c r="G48" s="7">
        <v>2.5</v>
      </c>
      <c r="H48" s="7">
        <v>20</v>
      </c>
      <c r="I48" s="4">
        <v>0</v>
      </c>
      <c r="J48" s="7">
        <v>1</v>
      </c>
      <c r="K48" s="7" t="s">
        <v>528</v>
      </c>
      <c r="L48" s="7">
        <v>29</v>
      </c>
      <c r="M48" s="7" t="s">
        <v>626</v>
      </c>
      <c r="N48" s="4">
        <v>1</v>
      </c>
      <c r="O48" s="4">
        <v>0</v>
      </c>
      <c r="P48" s="4">
        <v>0</v>
      </c>
      <c r="Q48" s="4">
        <v>0</v>
      </c>
      <c r="R48" s="4">
        <v>1</v>
      </c>
      <c r="S48" s="7">
        <f>_xlfn.XLOOKUP(B48,[1]TeethAdjusters!$A:$A,[1]BiteAdjusters!$C:$C,1)</f>
        <v>1</v>
      </c>
      <c r="T48" s="7">
        <f>_xlfn.XLOOKUP(B48,[1]TeethAdjusters!$A:$A,[1]TeethAdjusters!$B:$B,1)</f>
        <v>1</v>
      </c>
      <c r="U48" s="7" t="s">
        <v>45</v>
      </c>
      <c r="V48" s="7">
        <v>1.25</v>
      </c>
      <c r="W48" s="7" t="s">
        <v>45</v>
      </c>
      <c r="X48" s="7" t="s">
        <v>932</v>
      </c>
      <c r="Y48" s="4" t="s">
        <v>42</v>
      </c>
      <c r="Z48" s="4">
        <v>1</v>
      </c>
      <c r="AA48" s="4">
        <v>0</v>
      </c>
      <c r="AB48" s="4">
        <v>0</v>
      </c>
      <c r="AC48" s="4">
        <v>0.1</v>
      </c>
      <c r="AD48" s="4">
        <v>0.3</v>
      </c>
      <c r="AE48" s="4" t="s">
        <v>45</v>
      </c>
      <c r="AF48" s="4" t="s">
        <v>311</v>
      </c>
      <c r="AG48" s="49" t="s">
        <v>1787</v>
      </c>
      <c r="AH48" s="4" t="s">
        <v>45</v>
      </c>
      <c r="AI48" s="4">
        <v>0</v>
      </c>
      <c r="AJ48" s="4">
        <v>0</v>
      </c>
      <c r="AK48" s="4">
        <v>1</v>
      </c>
      <c r="AL48" s="4">
        <v>0</v>
      </c>
      <c r="AM48" s="4">
        <v>0</v>
      </c>
      <c r="AN48" s="44" t="s">
        <v>40</v>
      </c>
      <c r="AO48" s="8">
        <f t="shared" si="10"/>
        <v>28825.861601687579</v>
      </c>
      <c r="AP48" s="8">
        <f>IFERROR(C48*_xlfn.XLOOKUP(E48,Groups!A:A,Groups!K:K),0.106*C48^0.94)</f>
        <v>11.771495712556113</v>
      </c>
      <c r="AQ48" s="8">
        <f>AP48*10000/(_xlfn.XLOOKUP(E48,Groups!A:A,Groups!J:J)*AO48)</f>
        <v>3.7464751271603496</v>
      </c>
      <c r="AR48" s="8">
        <f t="shared" si="11"/>
        <v>3746.1489061563307</v>
      </c>
      <c r="AS48" s="8">
        <f>IF(_xlfn.XLOOKUP(E48,Groups!A:A,Groups!M:M)=1,EXP(0.7444*LN('Base stats'!C48)+6.5696),EXP(0.7927*LN('Base stats'!C48)+4.28))</f>
        <v>3835.0225645496203</v>
      </c>
      <c r="AT48" s="8">
        <f>IF(_xlfn.XLOOKUP(E48,Groups!A:A,Groups!N:N)="No","No",
IF(_xlfn.XLOOKUP(E48,Groups!A:A,Groups!N:N)="Crocodile",EXP(0.8129*LN(C48)+4.6742)*S48,
IF(_xlfn.XLOOKUP(E48,Groups!A:A,Groups!N:N)="Felid",EXP(0.7843*LN(C48)+4.7073)*S48,
IF(_xlfn.XLOOKUP(E48,Groups!A:A,Groups!N:N)="Canid",EXP(0.8367*LN(C48)+4.8763)*S48,
IF(_xlfn.XLOOKUP(E48,Groups!A:A,Groups!N:N)="Pig",EXP(0.3439*LN(C48)+6.8519)*S48,
IF(_xlfn.XLOOKUP(E48,Groups!A:A,Groups!N:N)="Rodent",EXP(0.5625*LN(C48)+4.3006)*S48,
IF(_xlfn.XLOOKUP(E48,Groups!A:A,Groups!N:N)="Primate",EXP(0.7847*LN(C48)+3.4931)*S48,
IF(_xlfn.XLOOKUP(E48,Groups!A:A,Groups!N:N)="MiscCarnivora",EXP(0.7486*LN(C48)+4.2207)*S48,
IF(_xlfn.XLOOKUP(E48,Groups!A:A,Groups!N:N)="Lizard",EXP(0.7733*LN(C48)+5.5303)*S48,
IF(_xlfn.XLOOKUP(E48,Groups!A:A,Groups!N:N)="Snake",50*C48^(2/3)*S48,
IF(_xlfn.XLOOKUP(E48,Groups!A:A,Groups!N:N)="StrongBitingHerbivore",87.1133638856975*C48^(2/3)*S48,
IF(_xlfn.XLOOKUP(E48,Groups!A:A,Groups!N:N)="MiscEctotherms",59.4316884072269*C48^(2/3)*S48,
IF(_xlfn.XLOOKUP(E48,Groups!A:A,Groups!N:N)="StrongBeakBird",0.041*(C48*1000)^1.375*S48,
IF(_xlfn.XLOOKUP(E48,Groups!A:A,Groups!N:N)="Bird",0.118*(C48*1000)^0.692*S48,
IF(_xlfn.XLOOKUP(E48,Groups!A:A,Groups!N:N)="Insect",EXP(0.7444*LN(C48)+6.5696)*S48,
IF(_xlfn.XLOOKUP(E48,Groups!A:A,Groups!N:N)="Theropod",EXP(0.6966*LN(C48)+4.158)*S48,
"No"))))))))))))))))</f>
        <v>2459.3044204039425</v>
      </c>
      <c r="AU48" s="8">
        <f>IF(_xlfn.XLOOKUP(E48,Groups!A:A,Groups!U:U)=3,AS48,IF(_xlfn.XLOOKUP(E48,Groups!A:A,Groups!U:U)=2,AR48,AT48))</f>
        <v>2459.3044204039425</v>
      </c>
      <c r="AV48" s="46">
        <f>IFERROR(AVERAGE(_xlfn.XLOOKUP(B48,Animals!B:B,Animals!N:N),_xlfn.XLOOKUP(B48,Animals!B:B,Animals!O:O)),0)</f>
        <v>0</v>
      </c>
      <c r="AW48" s="8">
        <f>MROUND(40*Animals!AO48*_xlfn.XLOOKUP(AG48,Leathers!$A$2:$A$99,Leathers!$B$2:$B$99,0)+(140*_xlfn.XLOOKUP(B48,Animals!B:B,Animals!AO:AO)*2),5)</f>
        <v>520</v>
      </c>
      <c r="AX48" s="8">
        <f>IFERROR(ROUND(SQRT(V48-1)*IF(_xlfn.XLOOKUP(E48,Groups!A:A,Groups!BF:BF)=0,2,1)*IF(_xlfn.XLOOKUP('Base stats'!E48,Groups!A:A,Groups!O:O)=0,1,0.1),1),0)</f>
        <v>0.5</v>
      </c>
      <c r="AY48" s="8">
        <f t="shared" si="12"/>
        <v>0</v>
      </c>
      <c r="AZ48" s="8">
        <f t="shared" si="13"/>
        <v>0</v>
      </c>
      <c r="BA48" s="8">
        <f t="shared" si="14"/>
        <v>4.8</v>
      </c>
      <c r="BB48" s="8">
        <f>IF(_xlfn.XLOOKUP(E48,Groups!A:A,Groups!N:N)="Insect",BD48*2.5,IFERROR(AVERAGE(BD48,AT48/9.81/IF(OR(_xlfn.XLOOKUP(E48,Groups!A:A,Groups!N:N)="Pig",_xlfn.XLOOKUP(E48,Groups!A:A,Groups!N:N)="StrongBitingHerbivore"),20,25))*C48^-0.135,BD48))</f>
        <v>3.6222475768924149</v>
      </c>
      <c r="BC48" s="8" t="str">
        <f>IF(W48="No","No",IF(_xlfn.XLOOKUP(E48,Groups!A:A,Groups!U:U)=1,'Base stats'!BB48,IF(OR(_xlfn.XLOOKUP(E48,Groups!A:A,Groups!BD:BD)=1,_xlfn.XLOOKUP(E48,Groups!A:A,Groups!U:U)=2),BD48,IF(_xlfn.XLOOKUP(B48,Animals!B:B,Animals!AO:AO)&gt;4,AVERAGE(BD48,BF48),BF48))))</f>
        <v>No</v>
      </c>
      <c r="BD48" s="8">
        <f t="shared" si="15"/>
        <v>1.7141896806845596</v>
      </c>
      <c r="BE48" s="8">
        <f>IF(_xlfn.XLOOKUP(E48,Groups!A:A,Groups!BE:BE)=1,(0.048*C48^1.01)+(0.071*C48^1.03),0.071*C48^1.03)/IF(_xlfn.XLOOKUP(E48,Groups!A:A,Groups!M:M)=1,0.85,IF(OR(_xlfn.XLOOKUP(B48,Animals!B:B,Animals!AO:AO)&gt;4,_xlfn.XLOOKUP(E48,Groups!A:A,Groups!BC:BC)=1),1.7,1))*C48^-0.25</f>
        <v>3.5367920914565221</v>
      </c>
      <c r="BF48" s="8">
        <f>(0.048*C48^1.01)/IF(_xlfn.XLOOKUP(E48,Groups!A:A,Groups!M:M)=1,0.25,0.8)*C48^-0.25</f>
        <v>2.7038376258152188</v>
      </c>
      <c r="BG48" s="8">
        <f>EXP(1.076*LN(AR48)-4.5397)*IF(_xlfn.XLOOKUP(E48,Groups!A:A,Groups!BC:BC)=1,1.25,IF(_xlfn.XLOOKUP(E48,Groups!A:A,Groups!BD:BD)=1,3.5,2.5))</f>
        <v>186.87484615605439</v>
      </c>
      <c r="BH48" s="8">
        <f>EXP(1.076*LN(AS48)-4.5397)*IF(_xlfn.XLOOKUP(E48,Groups!A:A,Groups!M:M)=1,0.8,IF(_xlfn.XLOOKUP(E48,Groups!A:A,Groups!BC:BC)=1,1.3,3))</f>
        <v>229.97937056804284</v>
      </c>
      <c r="BI48" s="8" t="str">
        <f>IF(W48="No","No",IF(_xlfn.XLOOKUP(E48,Groups!A:A,Groups!U:U)=1,'Base stats'!BJ48,IF(OR(_xlfn.XLOOKUP(E48,Groups!A:A,Groups!BD:BD)=1,_xlfn.XLOOKUP(E48,Groups!A:A,Groups!U:U)=2),BG48,BH48))*1.2)</f>
        <v>No</v>
      </c>
      <c r="BJ48" s="8">
        <f>IFERROR(EXP(1.076*LN(AT48)-4.5397)*IF(_xlfn.XLOOKUP(E48,Groups!A:A,Groups!N:N)="Insect",1,IF(OR(_xlfn.XLOOKUP(E48,Groups!A:A,Groups!N:N)="Pig",_xlfn.XLOOKUP(E48,Groups!A:A,Groups!N:N)="StrongBitingHerbivore"),3.5,3.75)),"No")</f>
        <v>166.3471671417945</v>
      </c>
      <c r="BK48" s="8">
        <f t="shared" si="16"/>
        <v>14</v>
      </c>
      <c r="BL48" s="8">
        <f t="shared" si="17"/>
        <v>11</v>
      </c>
      <c r="BM48" s="8" t="str">
        <f t="shared" si="18"/>
        <v>No</v>
      </c>
      <c r="BN48" s="8">
        <f t="shared" si="19"/>
        <v>9</v>
      </c>
      <c r="BO48" s="8">
        <f t="shared" si="20"/>
        <v>13</v>
      </c>
      <c r="BP48" s="8" cm="1">
        <f t="array" ref="BP48">IF(AND(_xlfn.XLOOKUP('Base stats'!E48,Groups!A:A,Groups!AD:AD=0),_xlfn.XLOOKUP('Base stats'!E48,Groups!A:A,Groups!P:P=0)),"No",IF(U48="No",AVERAGE(EXP(-0.57+0.99*LN(C48)),EXP(0.32+0.67*LN(C48)))/IF(_xlfn.XLOOKUP(E48,Groups!A:A,Groups!AD:AD)=1,10,2),(0.7354*C48^0.4078)*2/IF(_xlfn.XLOOKUP(E48,Groups!A:A,Groups!BK:BK)=1,1000,100)/IF(_xlfn.XLOOKUP(E48,Groups!A:A,Groups!AJ:AJ)="Photonozoa",3,1)))</f>
        <v>30.053921065685302</v>
      </c>
      <c r="BQ48" s="8" t="str">
        <f>IF(W48="No","No",IF(_xlfn.XLOOKUP(E48,Groups!A:A,Groups!BD:BD)=1,(AO48*5%),EXP(0.7354*LN(C48)^0.4078)*2/IF(_xlfn.XLOOKUP(E48,Groups!A:A,Groups!BL:BL)=1,1000,100)/IF(_xlfn.XLOOKUP(E48,Groups!A:A,Groups!AJ:AJ)="Photonozoa",3,1)))</f>
        <v>No</v>
      </c>
      <c r="BR48" s="8">
        <f>IF(BJ48="No","No",IF(_xlfn.XLOOKUP(E48,Groups!A:A,Groups!BF:BF)=1,(0.0315*C48+2.1825)*2,(0.7354*C48^0.4078)*2)/IF(_xlfn.XLOOKUP(E48,Groups!A:A,Groups!BM:BM)=1,1000,100)/IF(_xlfn.XLOOKUP(E48,Groups!A:A,Groups!AJ:AJ)="Photonozoa",3,1))</f>
        <v>0.13815</v>
      </c>
      <c r="BS48" s="8">
        <f t="shared" si="21"/>
        <v>0.12965776963635597</v>
      </c>
      <c r="BT48" s="8">
        <f t="shared" si="22"/>
        <v>7.6522251477737004</v>
      </c>
      <c r="BU48" s="8" t="str">
        <f t="shared" si="23"/>
        <v>No</v>
      </c>
      <c r="BV48" s="8">
        <f t="shared" si="24"/>
        <v>1204.1054443850489</v>
      </c>
      <c r="BW48" s="4">
        <v>0</v>
      </c>
      <c r="BX48" s="4">
        <v>1</v>
      </c>
    </row>
    <row r="49" spans="1:76" x14ac:dyDescent="0.25">
      <c r="A49" s="26" t="s">
        <v>153</v>
      </c>
      <c r="B49" s="6" t="s">
        <v>154</v>
      </c>
      <c r="C49" s="7">
        <v>115.52</v>
      </c>
      <c r="D49" s="7" t="s">
        <v>1151</v>
      </c>
      <c r="E49" s="7" t="str">
        <f>Groups!$A$55</f>
        <v>Ruminant (ANTLERS)</v>
      </c>
      <c r="F49" s="7">
        <v>228</v>
      </c>
      <c r="G49" s="7">
        <f>662/365</f>
        <v>1.8136986301369864</v>
      </c>
      <c r="H49" s="7">
        <v>21.8</v>
      </c>
      <c r="I49" s="4">
        <v>0</v>
      </c>
      <c r="J49" s="7">
        <v>1</v>
      </c>
      <c r="K49" s="7" t="s">
        <v>536</v>
      </c>
      <c r="L49" s="7">
        <v>80</v>
      </c>
      <c r="M49" s="7" t="s">
        <v>626</v>
      </c>
      <c r="N49" s="4">
        <v>0</v>
      </c>
      <c r="O49" s="4">
        <v>1</v>
      </c>
      <c r="P49" s="4">
        <v>0</v>
      </c>
      <c r="Q49" s="4">
        <v>0</v>
      </c>
      <c r="R49" s="4" t="s">
        <v>40</v>
      </c>
      <c r="S49" s="7">
        <f>_xlfn.XLOOKUP(B49,[1]TeethAdjusters!$A:$A,[1]BiteAdjusters!$C:$C,1)</f>
        <v>1</v>
      </c>
      <c r="T49" s="7">
        <f>_xlfn.XLOOKUP(B49,[1]TeethAdjusters!$A:$A,[1]TeethAdjusters!$B:$B,1)</f>
        <v>1</v>
      </c>
      <c r="U49" s="7" t="s">
        <v>45</v>
      </c>
      <c r="V49" s="7" t="str">
        <f>IF(AT49="No","No",IF(_xlfn.XLOOKUP(E49,Groups!A:A,Groups!AM:AM)=1,MROUND(EXP(0.3582*LN(C49)-0.2221)*T49,0.05),IF(_xlfn.XLOOKUP(E49,Groups!A:A,Groups!AM:AM)=2,MROUND(EXP(0.3582*LN(C49)-0.2221)*T49,0.05),"Need a formula")))</f>
        <v>No</v>
      </c>
      <c r="W49" s="7">
        <v>50</v>
      </c>
      <c r="X49" s="7" t="s">
        <v>932</v>
      </c>
      <c r="Y49" s="4" t="s">
        <v>42</v>
      </c>
      <c r="Z49" s="4">
        <v>1</v>
      </c>
      <c r="AA49" s="4">
        <v>0</v>
      </c>
      <c r="AB49" s="4">
        <v>0</v>
      </c>
      <c r="AC49" s="4">
        <v>0</v>
      </c>
      <c r="AD49" s="4">
        <v>0</v>
      </c>
      <c r="AE49" s="4" t="s">
        <v>45</v>
      </c>
      <c r="AF49" s="4" t="s">
        <v>401</v>
      </c>
      <c r="AG49" s="49" t="s">
        <v>392</v>
      </c>
      <c r="AH49" s="4" t="str">
        <f>Animals!$C$53</f>
        <v>&lt;li&gt;Deer&lt;/li&gt;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4" t="s">
        <v>40</v>
      </c>
      <c r="AO49" s="8">
        <f t="shared" si="10"/>
        <v>24324.848604008996</v>
      </c>
      <c r="AP49" s="8">
        <f>IFERROR(C49*_xlfn.XLOOKUP(E49,Groups!A:A,Groups!K:K),0.106*C49^0.94)</f>
        <v>9.2088121661870801</v>
      </c>
      <c r="AQ49" s="8">
        <f>AP49*10000/(_xlfn.XLOOKUP(E49,Groups!A:A,Groups!J:J)*AO49)</f>
        <v>3.4731774352008111</v>
      </c>
      <c r="AR49" s="8">
        <f t="shared" si="11"/>
        <v>3004.465834884817</v>
      </c>
      <c r="AS49" s="8">
        <f>IF(_xlfn.XLOOKUP(E49,Groups!A:A,Groups!M:M)=1,EXP(0.7444*LN('Base stats'!C49)+6.5696),EXP(0.7927*LN('Base stats'!C49)+4.28))</f>
        <v>3117.8034215020261</v>
      </c>
      <c r="AT49" s="8" t="str">
        <f>IF(_xlfn.XLOOKUP(E49,Groups!A:A,Groups!N:N)="No","No",
IF(_xlfn.XLOOKUP(E49,Groups!A:A,Groups!N:N)="Crocodile",EXP(0.8129*LN(C49)+4.6742)*S49,
IF(_xlfn.XLOOKUP(E49,Groups!A:A,Groups!N:N)="Felid",EXP(0.7843*LN(C49)+4.7073)*S49,
IF(_xlfn.XLOOKUP(E49,Groups!A:A,Groups!N:N)="Canid",EXP(0.8367*LN(C49)+4.8763)*S49,
IF(_xlfn.XLOOKUP(E49,Groups!A:A,Groups!N:N)="Pig",EXP(0.3439*LN(C49)+6.8519)*S49,
IF(_xlfn.XLOOKUP(E49,Groups!A:A,Groups!N:N)="Rodent",EXP(0.5625*LN(C49)+4.3006)*S49,
IF(_xlfn.XLOOKUP(E49,Groups!A:A,Groups!N:N)="Primate",EXP(0.7847*LN(C49)+3.4931)*S49,
IF(_xlfn.XLOOKUP(E49,Groups!A:A,Groups!N:N)="MiscCarnivora",EXP(0.7486*LN(C49)+4.2207)*S49,
IF(_xlfn.XLOOKUP(E49,Groups!A:A,Groups!N:N)="Lizard",EXP(0.7733*LN(C49)+5.5303)*S49,
IF(_xlfn.XLOOKUP(E49,Groups!A:A,Groups!N:N)="Snake",50*C49^(2/3)*S49,
IF(_xlfn.XLOOKUP(E49,Groups!A:A,Groups!N:N)="StrongBitingHerbivore",87.1133638856975*C49^(2/3)*S49,
IF(_xlfn.XLOOKUP(E49,Groups!A:A,Groups!N:N)="MiscEctotherms",59.4316884072269*C49^(2/3)*S49,
IF(_xlfn.XLOOKUP(E49,Groups!A:A,Groups!N:N)="StrongBeakBird",0.041*(C49*1000)^1.375*S49,
IF(_xlfn.XLOOKUP(E49,Groups!A:A,Groups!N:N)="Bird",0.118*(C49*1000)^0.692*S49,
IF(_xlfn.XLOOKUP(E49,Groups!A:A,Groups!N:N)="Insect",EXP(0.7444*LN(C49)+6.5696)*S49,
IF(_xlfn.XLOOKUP(E49,Groups!A:A,Groups!N:N)="Theropod",EXP(0.6966*LN(C49)+4.158)*S49,
"No"))))))))))))))))</f>
        <v>No</v>
      </c>
      <c r="AU49" s="8">
        <f>IF(_xlfn.XLOOKUP(E49,Groups!A:A,Groups!U:U)=3,AS49,IF(_xlfn.XLOOKUP(E49,Groups!A:A,Groups!U:U)=2,AR49,AT49))</f>
        <v>3117.8034215020261</v>
      </c>
      <c r="AV49" s="46">
        <f>IFERROR(AVERAGE(_xlfn.XLOOKUP(B49,Animals!B:B,Animals!N:N),_xlfn.XLOOKUP(B49,Animals!B:B,Animals!O:O)),0)</f>
        <v>0</v>
      </c>
      <c r="AW49" s="8">
        <f>MROUND(40*Animals!AO49*_xlfn.XLOOKUP(AG49,Leathers!$A$2:$A$99,Leathers!$B$2:$B$99,0)+(140*_xlfn.XLOOKUP(B49,Animals!B:B,Animals!AO:AO)*2),5)</f>
        <v>475</v>
      </c>
      <c r="AX49" s="8">
        <f>IFERROR(ROUND(SQRT(V49-1)*IF(_xlfn.XLOOKUP(E49,Groups!A:A,Groups!BF:BF)=0,2,1)*IF(_xlfn.XLOOKUP('Base stats'!E49,Groups!A:A,Groups!O:O)=0,1,0.1),1),0)</f>
        <v>0</v>
      </c>
      <c r="AY49" s="8">
        <f t="shared" si="12"/>
        <v>0</v>
      </c>
      <c r="AZ49" s="8">
        <f t="shared" si="13"/>
        <v>7.1</v>
      </c>
      <c r="BA49" s="8">
        <f t="shared" si="14"/>
        <v>4.4000000000000004</v>
      </c>
      <c r="BB49" s="8">
        <f>IF(_xlfn.XLOOKUP(E49,Groups!A:A,Groups!N:N)="Insect",BD49*2.5,IFERROR(AVERAGE(BD49,AT49/9.81/IF(OR(_xlfn.XLOOKUP(E49,Groups!A:A,Groups!N:N)="Pig",_xlfn.XLOOKUP(E49,Groups!A:A,Groups!N:N)="StrongBitingHerbivore"),20,25))*C49^-0.135,BD49))</f>
        <v>1.4077631114513092</v>
      </c>
      <c r="BC49" s="8">
        <f>IF(W49="No","No",IF(_xlfn.XLOOKUP(E49,Groups!A:A,Groups!U:U)=1,'Base stats'!BB49,IF(OR(_xlfn.XLOOKUP(E49,Groups!A:A,Groups!BD:BD)=1,_xlfn.XLOOKUP(E49,Groups!A:A,Groups!U:U)=2),BD49,IF(_xlfn.XLOOKUP(B49,Animals!B:B,Animals!AO:AO)&gt;4,AVERAGE(BD49,BF49),BF49))))</f>
        <v>2.2170255969992998</v>
      </c>
      <c r="BD49" s="8">
        <f t="shared" si="15"/>
        <v>1.4077631114513092</v>
      </c>
      <c r="BE49" s="8">
        <f>IF(_xlfn.XLOOKUP(E49,Groups!A:A,Groups!BE:BE)=1,(0.048*C49^1.01)+(0.071*C49^1.03),0.071*C49^1.03)/IF(_xlfn.XLOOKUP(E49,Groups!A:A,Groups!M:M)=1,0.85,IF(OR(_xlfn.XLOOKUP(B49,Animals!B:B,Animals!AO:AO)&gt;4,_xlfn.XLOOKUP(E49,Groups!A:A,Groups!BC:BC)=1),1.7,1))*C49^-0.25</f>
        <v>2.8849012328843213</v>
      </c>
      <c r="BF49" s="8">
        <f>(0.048*C49^1.01)/IF(_xlfn.XLOOKUP(E49,Groups!A:A,Groups!M:M)=1,0.25,0.8)*C49^-0.25</f>
        <v>2.2170255969992998</v>
      </c>
      <c r="BG49" s="8">
        <f>EXP(1.076*LN(AR49)-4.5397)*IF(_xlfn.XLOOKUP(E49,Groups!A:A,Groups!BC:BC)=1,1.25,IF(_xlfn.XLOOKUP(E49,Groups!A:A,Groups!BD:BD)=1,3.5,2.5))</f>
        <v>147.38420104304186</v>
      </c>
      <c r="BH49" s="8">
        <f>EXP(1.076*LN(AS49)-4.5397)*IF(_xlfn.XLOOKUP(E49,Groups!A:A,Groups!M:M)=1,0.8,IF(_xlfn.XLOOKUP(E49,Groups!A:A,Groups!BC:BC)=1,1.3,3))</f>
        <v>184.05000261865484</v>
      </c>
      <c r="BI49" s="8">
        <f>IF(W49="No","No",IF(_xlfn.XLOOKUP(E49,Groups!A:A,Groups!U:U)=1,'Base stats'!BJ49,IF(OR(_xlfn.XLOOKUP(E49,Groups!A:A,Groups!BD:BD)=1,_xlfn.XLOOKUP(E49,Groups!A:A,Groups!U:U)=2),BG49,BH49))*1.2)</f>
        <v>220.86000314238581</v>
      </c>
      <c r="BJ49" s="8" t="str">
        <f>IFERROR(EXP(1.076*LN(AT49)-4.5397)*IF(_xlfn.XLOOKUP(E49,Groups!A:A,Groups!N:N)="Insect",1,IF(OR(_xlfn.XLOOKUP(E49,Groups!A:A,Groups!N:N)="Pig",_xlfn.XLOOKUP(E49,Groups!A:A,Groups!N:N)="StrongBitingHerbivore"),3.5,3.75)),"No")</f>
        <v>No</v>
      </c>
      <c r="BK49" s="8">
        <f t="shared" si="16"/>
        <v>14</v>
      </c>
      <c r="BL49" s="8">
        <f t="shared" si="17"/>
        <v>11</v>
      </c>
      <c r="BM49" s="8">
        <f t="shared" si="18"/>
        <v>14</v>
      </c>
      <c r="BN49" s="8" t="str">
        <f t="shared" si="19"/>
        <v>No</v>
      </c>
      <c r="BO49" s="8">
        <f t="shared" si="20"/>
        <v>12</v>
      </c>
      <c r="BP49" s="8" cm="1">
        <f t="array" ref="BP49">IF(AND(_xlfn.XLOOKUP('Base stats'!E49,Groups!A:A,Groups!AD:AD=0),_xlfn.XLOOKUP('Base stats'!E49,Groups!A:A,Groups!P:P=0)),"No",IF(U49="No",AVERAGE(EXP(-0.57+0.99*LN(C49)),EXP(0.32+0.67*LN(C49)))/IF(_xlfn.XLOOKUP(E49,Groups!A:A,Groups!AD:AD)=1,10,2),(0.7354*C49^0.4078)*2/IF(_xlfn.XLOOKUP(E49,Groups!A:A,Groups!BK:BK)=1,1000,100)/IF(_xlfn.XLOOKUP(E49,Groups!A:A,Groups!AJ:AJ)="Photonozoa",3,1)))</f>
        <v>23.871303230813687</v>
      </c>
      <c r="BQ49" s="8">
        <f>IF(W49="No","No",IF(_xlfn.XLOOKUP(E49,Groups!A:A,Groups!BD:BD)=1,(AO49*5%),EXP(0.7354*LN(C49)^0.4078)*2/IF(_xlfn.XLOOKUP(E49,Groups!A:A,Groups!BL:BL)=1,1000,100)/IF(_xlfn.XLOOKUP(E49,Groups!A:A,Groups!AJ:AJ)="Photonozoa",3,1)))</f>
        <v>8.0154260662742907E-2</v>
      </c>
      <c r="BR49" s="8" t="str">
        <f>IF(BJ49="No","No",IF(_xlfn.XLOOKUP(E49,Groups!A:A,Groups!BF:BF)=1,(0.0315*C49+2.1825)*2,(0.7354*C49^0.4078)*2)/IF(_xlfn.XLOOKUP(E49,Groups!A:A,Groups!BM:BM)=1,1000,100)/IF(_xlfn.XLOOKUP(E49,Groups!A:A,Groups!AJ:AJ)="Photonozoa",3,1))</f>
        <v>No</v>
      </c>
      <c r="BS49" s="8">
        <f t="shared" si="21"/>
        <v>0.12117995342322611</v>
      </c>
      <c r="BT49" s="8">
        <f t="shared" si="22"/>
        <v>7.7100944527016191</v>
      </c>
      <c r="BU49" s="8">
        <f t="shared" si="23"/>
        <v>2755.4368453559373</v>
      </c>
      <c r="BV49" s="8" t="str">
        <f t="shared" si="24"/>
        <v>No</v>
      </c>
      <c r="BW49" s="4">
        <v>0</v>
      </c>
      <c r="BX49" s="4">
        <v>1</v>
      </c>
    </row>
    <row r="50" spans="1:76" x14ac:dyDescent="0.25">
      <c r="A50" s="26" t="s">
        <v>155</v>
      </c>
      <c r="B50" s="6" t="s">
        <v>156</v>
      </c>
      <c r="C50" s="7">
        <v>82.5</v>
      </c>
      <c r="D50" s="7" t="s">
        <v>537</v>
      </c>
      <c r="E50" s="7" t="str">
        <f>Groups!$A$54</f>
        <v>Ruminant  (BLUNT HORNS)</v>
      </c>
      <c r="F50" s="7">
        <v>169</v>
      </c>
      <c r="G50" s="7">
        <f>797/365</f>
        <v>2.1835616438356165</v>
      </c>
      <c r="H50" s="7">
        <v>21</v>
      </c>
      <c r="I50" s="4">
        <v>0</v>
      </c>
      <c r="J50" s="7">
        <v>1.1000000000000001</v>
      </c>
      <c r="K50" s="7" t="s">
        <v>537</v>
      </c>
      <c r="L50" s="7">
        <v>45</v>
      </c>
      <c r="M50" s="7" t="s">
        <v>626</v>
      </c>
      <c r="N50" s="4">
        <v>0</v>
      </c>
      <c r="O50" s="4">
        <v>0</v>
      </c>
      <c r="P50" s="4">
        <v>0</v>
      </c>
      <c r="Q50" s="4">
        <v>0</v>
      </c>
      <c r="R50" s="4" t="s">
        <v>40</v>
      </c>
      <c r="S50" s="7">
        <f>_xlfn.XLOOKUP(B50,[1]TeethAdjusters!$A:$A,[1]BiteAdjusters!$C:$C,1)</f>
        <v>1</v>
      </c>
      <c r="T50" s="7">
        <f>_xlfn.XLOOKUP(B50,[1]TeethAdjusters!$A:$A,[1]TeethAdjusters!$B:$B,1)</f>
        <v>1</v>
      </c>
      <c r="U50" s="7" t="s">
        <v>45</v>
      </c>
      <c r="V50" s="7" t="str">
        <f>IF(AT50="No","No",IF(_xlfn.XLOOKUP(E50,Groups!A:A,Groups!AM:AM)=1,MROUND(EXP(0.3582*LN(C50)-0.2221)*T50,0.05),IF(_xlfn.XLOOKUP(E50,Groups!A:A,Groups!AM:AM)=2,MROUND(EXP(0.3582*LN(C50)-0.2221)*T50,0.05),"Need a formula")))</f>
        <v>No</v>
      </c>
      <c r="W50" s="7">
        <v>55.75</v>
      </c>
      <c r="X50" s="7" t="s">
        <v>932</v>
      </c>
      <c r="Y50" s="4" t="s">
        <v>42</v>
      </c>
      <c r="Z50" s="4">
        <v>1</v>
      </c>
      <c r="AA50" s="4">
        <v>0</v>
      </c>
      <c r="AB50" s="4">
        <v>0</v>
      </c>
      <c r="AC50" s="4">
        <v>0</v>
      </c>
      <c r="AD50" s="4">
        <v>0</v>
      </c>
      <c r="AE50" s="4" t="s">
        <v>45</v>
      </c>
      <c r="AF50" s="4" t="s">
        <v>398</v>
      </c>
      <c r="AG50" s="49" t="s">
        <v>392</v>
      </c>
      <c r="AH50" s="4" t="str">
        <f>Animals!$C$51</f>
        <v>&lt;li&gt;Goat&lt;/li&gt;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4" t="s">
        <v>40</v>
      </c>
      <c r="AO50" s="8">
        <f t="shared" si="10"/>
        <v>19544.206621046193</v>
      </c>
      <c r="AP50" s="8">
        <f>IFERROR(C50*_xlfn.XLOOKUP(E50,Groups!A:A,Groups!K:K),0.106*C50^0.94)</f>
        <v>6.7107734384110129</v>
      </c>
      <c r="AQ50" s="8">
        <f>AP50*10000/(_xlfn.XLOOKUP(E50,Groups!A:A,Groups!J:J)*AO50)</f>
        <v>3.1501267862397344</v>
      </c>
      <c r="AR50" s="8">
        <f t="shared" si="11"/>
        <v>2260.8377702679973</v>
      </c>
      <c r="AS50" s="8">
        <f>IF(_xlfn.XLOOKUP(E50,Groups!A:A,Groups!M:M)=1,EXP(0.7444*LN('Base stats'!C50)+6.5696),EXP(0.7927*LN('Base stats'!C50)+4.28))</f>
        <v>2387.5552349171853</v>
      </c>
      <c r="AT50" s="8" t="str">
        <f>IF(_xlfn.XLOOKUP(E50,Groups!A:A,Groups!N:N)="No","No",
IF(_xlfn.XLOOKUP(E50,Groups!A:A,Groups!N:N)="Crocodile",EXP(0.8129*LN(C50)+4.6742)*S50,
IF(_xlfn.XLOOKUP(E50,Groups!A:A,Groups!N:N)="Felid",EXP(0.7843*LN(C50)+4.7073)*S50,
IF(_xlfn.XLOOKUP(E50,Groups!A:A,Groups!N:N)="Canid",EXP(0.8367*LN(C50)+4.8763)*S50,
IF(_xlfn.XLOOKUP(E50,Groups!A:A,Groups!N:N)="Pig",EXP(0.3439*LN(C50)+6.8519)*S50,
IF(_xlfn.XLOOKUP(E50,Groups!A:A,Groups!N:N)="Rodent",EXP(0.5625*LN(C50)+4.3006)*S50,
IF(_xlfn.XLOOKUP(E50,Groups!A:A,Groups!N:N)="Primate",EXP(0.7847*LN(C50)+3.4931)*S50,
IF(_xlfn.XLOOKUP(E50,Groups!A:A,Groups!N:N)="MiscCarnivora",EXP(0.7486*LN(C50)+4.2207)*S50,
IF(_xlfn.XLOOKUP(E50,Groups!A:A,Groups!N:N)="Lizard",EXP(0.7733*LN(C50)+5.5303)*S50,
IF(_xlfn.XLOOKUP(E50,Groups!A:A,Groups!N:N)="Snake",50*C50^(2/3)*S50,
IF(_xlfn.XLOOKUP(E50,Groups!A:A,Groups!N:N)="StrongBitingHerbivore",87.1133638856975*C50^(2/3)*S50,
IF(_xlfn.XLOOKUP(E50,Groups!A:A,Groups!N:N)="MiscEctotherms",59.4316884072269*C50^(2/3)*S50,
IF(_xlfn.XLOOKUP(E50,Groups!A:A,Groups!N:N)="StrongBeakBird",0.041*(C50*1000)^1.375*S50,
IF(_xlfn.XLOOKUP(E50,Groups!A:A,Groups!N:N)="Bird",0.118*(C50*1000)^0.692*S50,
IF(_xlfn.XLOOKUP(E50,Groups!A:A,Groups!N:N)="Insect",EXP(0.7444*LN(C50)+6.5696)*S50,
IF(_xlfn.XLOOKUP(E50,Groups!A:A,Groups!N:N)="Theropod",EXP(0.6966*LN(C50)+4.158)*S50,
"No"))))))))))))))))</f>
        <v>No</v>
      </c>
      <c r="AU50" s="8">
        <f>IF(_xlfn.XLOOKUP(E50,Groups!A:A,Groups!U:U)=3,AS50,IF(_xlfn.XLOOKUP(E50,Groups!A:A,Groups!U:U)=2,AR50,AT50))</f>
        <v>2387.5552349171853</v>
      </c>
      <c r="AV50" s="46">
        <f>IFERROR(AVERAGE(_xlfn.XLOOKUP(B50,Animals!B:B,Animals!N:N),_xlfn.XLOOKUP(B50,Animals!B:B,Animals!O:O)),0)</f>
        <v>0</v>
      </c>
      <c r="AW50" s="8">
        <f>MROUND(40*Animals!AO50*_xlfn.XLOOKUP(AG50,Leathers!$A$2:$A$99,Leathers!$B$2:$B$99,0)+(140*_xlfn.XLOOKUP(B50,Animals!B:B,Animals!AO:AO)*2),5)</f>
        <v>400</v>
      </c>
      <c r="AX50" s="8">
        <f>IFERROR(ROUND(SQRT(V50-1)*IF(_xlfn.XLOOKUP(E50,Groups!A:A,Groups!BF:BF)=0,2,1)*IF(_xlfn.XLOOKUP('Base stats'!E50,Groups!A:A,Groups!O:O)=0,1,0.1),1),0)</f>
        <v>0</v>
      </c>
      <c r="AY50" s="8">
        <f t="shared" si="12"/>
        <v>0</v>
      </c>
      <c r="AZ50" s="8">
        <f t="shared" si="13"/>
        <v>7.5</v>
      </c>
      <c r="BA50" s="8">
        <f t="shared" si="14"/>
        <v>3.9</v>
      </c>
      <c r="BB50" s="8">
        <f>IF(_xlfn.XLOOKUP(E50,Groups!A:A,Groups!N:N)="Insect",BD50*2.5,IFERROR(AVERAGE(BD50,AT50/9.81/IF(OR(_xlfn.XLOOKUP(E50,Groups!A:A,Groups!N:N)="Pig",_xlfn.XLOOKUP(E50,Groups!A:A,Groups!N:N)="StrongBitingHerbivore"),20,25))*C50^-0.135,BD50))</f>
        <v>1.0921752840745751</v>
      </c>
      <c r="BC50" s="8">
        <f>IF(W50="No","No",IF(_xlfn.XLOOKUP(E50,Groups!A:A,Groups!U:U)=1,'Base stats'!BB50,IF(OR(_xlfn.XLOOKUP(E50,Groups!A:A,Groups!BD:BD)=1,_xlfn.XLOOKUP(E50,Groups!A:A,Groups!U:U)=2),BD50,IF(_xlfn.XLOOKUP(B50,Animals!B:B,Animals!AO:AO)&gt;4,AVERAGE(BD50,BF50),BF50))))</f>
        <v>1.0921752840745751</v>
      </c>
      <c r="BD50" s="8">
        <f t="shared" si="15"/>
        <v>1.0921752840745751</v>
      </c>
      <c r="BE50" s="8">
        <f>IF(_xlfn.XLOOKUP(E50,Groups!A:A,Groups!BE:BE)=1,(0.048*C50^1.01)+(0.071*C50^1.03),0.071*C50^1.03)/IF(_xlfn.XLOOKUP(E50,Groups!A:A,Groups!M:M)=1,0.85,IF(OR(_xlfn.XLOOKUP(B50,Animals!B:B,Animals!AO:AO)&gt;4,_xlfn.XLOOKUP(E50,Groups!A:A,Groups!BC:BC)=1),1.7,1))*C50^-0.25</f>
        <v>2.2186685570027009</v>
      </c>
      <c r="BF50" s="8">
        <f>(0.048*C50^1.01)/IF(_xlfn.XLOOKUP(E50,Groups!A:A,Groups!M:M)=1,0.25,0.8)*C50^-0.25</f>
        <v>1.7165491823144341</v>
      </c>
      <c r="BG50" s="8">
        <f>EXP(1.076*LN(AR50)-4.5397)*IF(_xlfn.XLOOKUP(E50,Groups!A:A,Groups!BC:BC)=1,1.25,IF(_xlfn.XLOOKUP(E50,Groups!A:A,Groups!BD:BD)=1,3.5,2.5))</f>
        <v>151.94809488026397</v>
      </c>
      <c r="BH50" s="8">
        <f>EXP(1.076*LN(AS50)-4.5397)*IF(_xlfn.XLOOKUP(E50,Groups!A:A,Groups!M:M)=1,0.8,IF(_xlfn.XLOOKUP(E50,Groups!A:A,Groups!BC:BC)=1,1.3,3))</f>
        <v>138.11233994177937</v>
      </c>
      <c r="BI50" s="8">
        <f>IF(W50="No","No",IF(_xlfn.XLOOKUP(E50,Groups!A:A,Groups!U:U)=1,'Base stats'!BJ50,IF(OR(_xlfn.XLOOKUP(E50,Groups!A:A,Groups!BD:BD)=1,_xlfn.XLOOKUP(E50,Groups!A:A,Groups!U:U)=2),BG50,BH50))*1.2)</f>
        <v>182.33771385631675</v>
      </c>
      <c r="BJ50" s="8" t="str">
        <f>IFERROR(EXP(1.076*LN(AT50)-4.5397)*IF(_xlfn.XLOOKUP(E50,Groups!A:A,Groups!N:N)="Insect",1,IF(OR(_xlfn.XLOOKUP(E50,Groups!A:A,Groups!N:N)="Pig",_xlfn.XLOOKUP(E50,Groups!A:A,Groups!N:N)="StrongBitingHerbivore"),3.5,3.75)),"No")</f>
        <v>No</v>
      </c>
      <c r="BK50" s="8">
        <f t="shared" si="16"/>
        <v>16</v>
      </c>
      <c r="BL50" s="8">
        <f t="shared" si="17"/>
        <v>11</v>
      </c>
      <c r="BM50" s="8">
        <f t="shared" si="18"/>
        <v>18</v>
      </c>
      <c r="BN50" s="8" t="str">
        <f t="shared" si="19"/>
        <v>No</v>
      </c>
      <c r="BO50" s="8">
        <f t="shared" si="20"/>
        <v>12</v>
      </c>
      <c r="BP50" s="8" cm="1">
        <f t="array" ref="BP50">IF(AND(_xlfn.XLOOKUP('Base stats'!E50,Groups!A:A,Groups!AD:AD=0),_xlfn.XLOOKUP('Base stats'!E50,Groups!A:A,Groups!P:P=0)),"No",IF(U50="No",AVERAGE(EXP(-0.57+0.99*LN(C50)),EXP(0.32+0.67*LN(C50)))/IF(_xlfn.XLOOKUP(E50,Groups!A:A,Groups!AD:AD)=1,10,2),(0.7354*C50^0.4078)*2/IF(_xlfn.XLOOKUP(E50,Groups!A:A,Groups!BK:BK)=1,1000,100)/IF(_xlfn.XLOOKUP(E50,Groups!A:A,Groups!AJ:AJ)="Photonozoa",3,1)))</f>
        <v>17.78167196742708</v>
      </c>
      <c r="BQ50" s="8">
        <f>IF(W50="No","No",IF(_xlfn.XLOOKUP(E50,Groups!A:A,Groups!BD:BD)=1,(AO50*5%),EXP(0.7354*LN(C50)^0.4078)*2/IF(_xlfn.XLOOKUP(E50,Groups!A:A,Groups!BL:BL)=1,1000,100)/IF(_xlfn.XLOOKUP(E50,Groups!A:A,Groups!AJ:AJ)="Photonozoa",3,1)))</f>
        <v>977.2103310523097</v>
      </c>
      <c r="BR50" s="8" t="str">
        <f>IF(BJ50="No","No",IF(_xlfn.XLOOKUP(E50,Groups!A:A,Groups!BF:BF)=1,(0.0315*C50+2.1825)*2,(0.7354*C50^0.4078)*2)/IF(_xlfn.XLOOKUP(E50,Groups!A:A,Groups!BM:BM)=1,1000,100)/IF(_xlfn.XLOOKUP(E50,Groups!A:A,Groups!AJ:AJ)="Photonozoa",3,1))</f>
        <v>No</v>
      </c>
      <c r="BS50" s="8">
        <f t="shared" si="21"/>
        <v>0.15549169922982553</v>
      </c>
      <c r="BT50" s="8">
        <f t="shared" si="22"/>
        <v>7.7671177488133329</v>
      </c>
      <c r="BU50" s="8">
        <f t="shared" si="23"/>
        <v>0.18659003907579061</v>
      </c>
      <c r="BV50" s="8" t="str">
        <f t="shared" si="24"/>
        <v>No</v>
      </c>
      <c r="BW50" s="4">
        <v>0</v>
      </c>
      <c r="BX50" s="4">
        <v>1</v>
      </c>
    </row>
    <row r="51" spans="1:76" x14ac:dyDescent="0.25">
      <c r="A51" s="26" t="s">
        <v>157</v>
      </c>
      <c r="B51" s="6" t="s">
        <v>158</v>
      </c>
      <c r="C51" s="7">
        <f>AVERAGE(48.5,80.5)</f>
        <v>64.5</v>
      </c>
      <c r="D51" s="7" t="s">
        <v>1152</v>
      </c>
      <c r="E51" s="7" t="str">
        <f>Groups!$A$53</f>
        <v>Ruminant (HORNS, GENTLE)</v>
      </c>
      <c r="F51" s="7">
        <v>155</v>
      </c>
      <c r="G51" s="7">
        <f>406/365</f>
        <v>1.1123287671232878</v>
      </c>
      <c r="H51" s="7">
        <v>20.8</v>
      </c>
      <c r="I51" s="4">
        <v>0</v>
      </c>
      <c r="J51" s="7">
        <v>1.5</v>
      </c>
      <c r="K51" s="7" t="s">
        <v>538</v>
      </c>
      <c r="L51" s="7">
        <f>MAX(3.1,3.8,3.1,3.7)*3.6*(23.3/11)</f>
        <v>28.97672727272727</v>
      </c>
      <c r="M51" s="7" t="s">
        <v>635</v>
      </c>
      <c r="N51" s="4">
        <v>0</v>
      </c>
      <c r="O51" s="4">
        <v>2</v>
      </c>
      <c r="P51" s="4">
        <v>5</v>
      </c>
      <c r="Q51" s="4">
        <v>10</v>
      </c>
      <c r="R51" s="4" t="s">
        <v>40</v>
      </c>
      <c r="S51" s="7">
        <f>_xlfn.XLOOKUP(B51,[1]TeethAdjusters!$A:$A,[1]BiteAdjusters!$C:$C,1)</f>
        <v>1</v>
      </c>
      <c r="T51" s="7">
        <f>_xlfn.XLOOKUP(B51,[1]TeethAdjusters!$A:$A,[1]TeethAdjusters!$B:$B,1)</f>
        <v>1</v>
      </c>
      <c r="U51" s="7" t="s">
        <v>45</v>
      </c>
      <c r="V51" s="7" t="str">
        <f>IF(AT51="No","No",IF(_xlfn.XLOOKUP(E51,Groups!A:A,Groups!AM:AM)=1,MROUND(EXP(0.3582*LN(C51)-0.2221)*T51,0.05),IF(_xlfn.XLOOKUP(E51,Groups!A:A,Groups!AM:AM)=2,MROUND(EXP(0.3582*LN(C51)-0.2221)*T51,0.05),"Need a formula")))</f>
        <v>No</v>
      </c>
      <c r="W51" s="7">
        <f>MROUND(AVERAGE(19,34),0.05)</f>
        <v>26.5</v>
      </c>
      <c r="X51" s="7" t="s">
        <v>962</v>
      </c>
      <c r="Y51" s="4" t="s">
        <v>42</v>
      </c>
      <c r="Z51" s="4">
        <v>1</v>
      </c>
      <c r="AA51" s="4">
        <v>0</v>
      </c>
      <c r="AB51" s="4">
        <v>0</v>
      </c>
      <c r="AC51" s="4">
        <v>0</v>
      </c>
      <c r="AD51" s="4">
        <v>0</v>
      </c>
      <c r="AE51" s="4" t="s">
        <v>45</v>
      </c>
      <c r="AF51" s="4" t="s">
        <v>398</v>
      </c>
      <c r="AG51" s="49" t="s">
        <v>392</v>
      </c>
      <c r="AH51" s="4" t="s">
        <v>45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4" t="s">
        <v>40</v>
      </c>
      <c r="AO51" s="8">
        <f t="shared" si="10"/>
        <v>16654.699199254992</v>
      </c>
      <c r="AP51" s="8">
        <f>IFERROR(C51*_xlfn.XLOOKUP(E51,Groups!A:A,Groups!K:K),0.106*C51^0.94)</f>
        <v>5.3246614148252096</v>
      </c>
      <c r="AQ51" s="8">
        <f>AP51*10000/(_xlfn.XLOOKUP(E51,Groups!A:A,Groups!J:J)*AO51)</f>
        <v>2.9331123990130212</v>
      </c>
      <c r="AR51" s="8">
        <f t="shared" si="11"/>
        <v>1836.4361814218746</v>
      </c>
      <c r="AS51" s="8">
        <f>IF(_xlfn.XLOOKUP(E51,Groups!A:A,Groups!M:M)=1,EXP(0.7444*LN('Base stats'!C51)+6.5696),EXP(0.7927*LN('Base stats'!C51)+4.28))</f>
        <v>1964.3477255413904</v>
      </c>
      <c r="AT51" s="8" t="str">
        <f>IF(_xlfn.XLOOKUP(E51,Groups!A:A,Groups!N:N)="No","No",
IF(_xlfn.XLOOKUP(E51,Groups!A:A,Groups!N:N)="Crocodile",EXP(0.8129*LN(C51)+4.6742)*S51,
IF(_xlfn.XLOOKUP(E51,Groups!A:A,Groups!N:N)="Felid",EXP(0.7843*LN(C51)+4.7073)*S51,
IF(_xlfn.XLOOKUP(E51,Groups!A:A,Groups!N:N)="Canid",EXP(0.8367*LN(C51)+4.8763)*S51,
IF(_xlfn.XLOOKUP(E51,Groups!A:A,Groups!N:N)="Pig",EXP(0.3439*LN(C51)+6.8519)*S51,
IF(_xlfn.XLOOKUP(E51,Groups!A:A,Groups!N:N)="Rodent",EXP(0.5625*LN(C51)+4.3006)*S51,
IF(_xlfn.XLOOKUP(E51,Groups!A:A,Groups!N:N)="Primate",EXP(0.7847*LN(C51)+3.4931)*S51,
IF(_xlfn.XLOOKUP(E51,Groups!A:A,Groups!N:N)="MiscCarnivora",EXP(0.7486*LN(C51)+4.2207)*S51,
IF(_xlfn.XLOOKUP(E51,Groups!A:A,Groups!N:N)="Lizard",EXP(0.7733*LN(C51)+5.5303)*S51,
IF(_xlfn.XLOOKUP(E51,Groups!A:A,Groups!N:N)="Snake",50*C51^(2/3)*S51,
IF(_xlfn.XLOOKUP(E51,Groups!A:A,Groups!N:N)="StrongBitingHerbivore",87.1133638856975*C51^(2/3)*S51,
IF(_xlfn.XLOOKUP(E51,Groups!A:A,Groups!N:N)="MiscEctotherms",59.4316884072269*C51^(2/3)*S51,
IF(_xlfn.XLOOKUP(E51,Groups!A:A,Groups!N:N)="StrongBeakBird",0.041*(C51*1000)^1.375*S51,
IF(_xlfn.XLOOKUP(E51,Groups!A:A,Groups!N:N)="Bird",0.118*(C51*1000)^0.692*S51,
IF(_xlfn.XLOOKUP(E51,Groups!A:A,Groups!N:N)="Insect",EXP(0.7444*LN(C51)+6.5696)*S51,
IF(_xlfn.XLOOKUP(E51,Groups!A:A,Groups!N:N)="Theropod",EXP(0.6966*LN(C51)+4.158)*S51,
"No"))))))))))))))))</f>
        <v>No</v>
      </c>
      <c r="AU51" s="8">
        <f>IF(_xlfn.XLOOKUP(E51,Groups!A:A,Groups!U:U)=3,AS51,IF(_xlfn.XLOOKUP(E51,Groups!A:A,Groups!U:U)=2,AR51,AT51))</f>
        <v>1964.3477255413904</v>
      </c>
      <c r="AV51" s="46">
        <f>IFERROR(AVERAGE(_xlfn.XLOOKUP(B51,Animals!B:B,Animals!N:N),_xlfn.XLOOKUP(B51,Animals!B:B,Animals!O:O)),0)</f>
        <v>0</v>
      </c>
      <c r="AW51" s="8">
        <f>MROUND(40*Animals!AO51*_xlfn.XLOOKUP(AG51,Leathers!$A$2:$A$99,Leathers!$B$2:$B$99,0)+(140*_xlfn.XLOOKUP(B51,Animals!B:B,Animals!AO:AO)*2),5)</f>
        <v>345</v>
      </c>
      <c r="AX51" s="8">
        <f>IFERROR(ROUND(SQRT(V51-1)*IF(_xlfn.XLOOKUP(E51,Groups!A:A,Groups!BF:BF)=0,2,1)*IF(_xlfn.XLOOKUP('Base stats'!E51,Groups!A:A,Groups!O:O)=0,1,0.1),1),0)</f>
        <v>0</v>
      </c>
      <c r="AY51" s="8">
        <f t="shared" si="12"/>
        <v>0</v>
      </c>
      <c r="AZ51" s="8">
        <f t="shared" si="13"/>
        <v>5.0999999999999996</v>
      </c>
      <c r="BA51" s="8">
        <f t="shared" si="14"/>
        <v>3.6</v>
      </c>
      <c r="BB51" s="8">
        <f>IF(_xlfn.XLOOKUP(E51,Groups!A:A,Groups!N:N)="Insect",BD51*2.5,IFERROR(AVERAGE(BD51,AT51/9.81/IF(OR(_xlfn.XLOOKUP(E51,Groups!A:A,Groups!N:N)="Pig",_xlfn.XLOOKUP(E51,Groups!A:A,Groups!N:N)="StrongBitingHerbivore"),20,25))*C51^-0.135,BD51))</f>
        <v>0.9071813051316151</v>
      </c>
      <c r="BC51" s="8">
        <f>IF(W51="No","No",IF(_xlfn.XLOOKUP(E51,Groups!A:A,Groups!U:U)=1,'Base stats'!BB51,IF(OR(_xlfn.XLOOKUP(E51,Groups!A:A,Groups!BD:BD)=1,_xlfn.XLOOKUP(E51,Groups!A:A,Groups!U:U)=2),BD51,IF(_xlfn.XLOOKUP(B51,Animals!B:B,Animals!AO:AO)&gt;4,AVERAGE(BD51,BF51),BF51))))</f>
        <v>1.4236939303409302</v>
      </c>
      <c r="BD51" s="8">
        <f t="shared" si="15"/>
        <v>0.9071813051316151</v>
      </c>
      <c r="BE51" s="8">
        <f>IF(_xlfn.XLOOKUP(E51,Groups!A:A,Groups!BE:BE)=1,(0.048*C51^1.01)+(0.071*C51^1.03),0.071*C51^1.03)/IF(_xlfn.XLOOKUP(E51,Groups!A:A,Groups!M:M)=1,0.85,IF(OR(_xlfn.XLOOKUP(B51,Animals!B:B,Animals!AO:AO)&gt;4,_xlfn.XLOOKUP(E51,Groups!A:A,Groups!BC:BC)=1),1.7,1))*C51^-0.25</f>
        <v>1.8311120733225663</v>
      </c>
      <c r="BF51" s="8">
        <f>(0.048*C51^1.01)/IF(_xlfn.XLOOKUP(E51,Groups!A:A,Groups!M:M)=1,0.25,0.8)*C51^-0.25</f>
        <v>1.4236939303409302</v>
      </c>
      <c r="BG51" s="8">
        <f>EXP(1.076*LN(AR51)-4.5397)*IF(_xlfn.XLOOKUP(E51,Groups!A:A,Groups!BC:BC)=1,1.25,IF(_xlfn.XLOOKUP(E51,Groups!A:A,Groups!BD:BD)=1,3.5,2.5))</f>
        <v>86.778343103991844</v>
      </c>
      <c r="BH51" s="8">
        <f>EXP(1.076*LN(AS51)-4.5397)*IF(_xlfn.XLOOKUP(E51,Groups!A:A,Groups!M:M)=1,0.8,IF(_xlfn.XLOOKUP(E51,Groups!A:A,Groups!BC:BC)=1,1.3,3))</f>
        <v>111.95862588634577</v>
      </c>
      <c r="BI51" s="8">
        <f>IF(W51="No","No",IF(_xlfn.XLOOKUP(E51,Groups!A:A,Groups!U:U)=1,'Base stats'!BJ51,IF(OR(_xlfn.XLOOKUP(E51,Groups!A:A,Groups!BD:BD)=1,_xlfn.XLOOKUP(E51,Groups!A:A,Groups!U:U)=2),BG51,BH51))*1.2)</f>
        <v>134.35035106361491</v>
      </c>
      <c r="BJ51" s="8" t="str">
        <f>IFERROR(EXP(1.076*LN(AT51)-4.5397)*IF(_xlfn.XLOOKUP(E51,Groups!A:A,Groups!N:N)="Insect",1,IF(OR(_xlfn.XLOOKUP(E51,Groups!A:A,Groups!N:N)="Pig",_xlfn.XLOOKUP(E51,Groups!A:A,Groups!N:N)="StrongBitingHerbivore"),3.5,3.75)),"No")</f>
        <v>No</v>
      </c>
      <c r="BK51" s="8">
        <f t="shared" si="16"/>
        <v>13</v>
      </c>
      <c r="BL51" s="8">
        <f t="shared" si="17"/>
        <v>11</v>
      </c>
      <c r="BM51" s="8">
        <f t="shared" si="18"/>
        <v>13</v>
      </c>
      <c r="BN51" s="8" t="str">
        <f t="shared" si="19"/>
        <v>No</v>
      </c>
      <c r="BO51" s="8">
        <f t="shared" si="20"/>
        <v>12</v>
      </c>
      <c r="BP51" s="8" cm="1">
        <f t="array" ref="BP51">IF(AND(_xlfn.XLOOKUP('Base stats'!E51,Groups!A:A,Groups!AD:AD=0),_xlfn.XLOOKUP('Base stats'!E51,Groups!A:A,Groups!P:P=0)),"No",IF(U51="No",AVERAGE(EXP(-0.57+0.99*LN(C51)),EXP(0.32+0.67*LN(C51)))/IF(_xlfn.XLOOKUP(E51,Groups!A:A,Groups!AD:AD)=1,10,2),(0.7354*C51^0.4078)*2/IF(_xlfn.XLOOKUP(E51,Groups!A:A,Groups!BK:BK)=1,1000,100)/IF(_xlfn.XLOOKUP(E51,Groups!A:A,Groups!AJ:AJ)="Photonozoa",3,1)))</f>
        <v>14.361548061144951</v>
      </c>
      <c r="BQ51" s="8">
        <f>IF(W51="No","No",IF(_xlfn.XLOOKUP(E51,Groups!A:A,Groups!BD:BD)=1,(AO51*5%),EXP(0.7354*LN(C51)^0.4078)*2/IF(_xlfn.XLOOKUP(E51,Groups!A:A,Groups!BL:BL)=1,1000,100)/IF(_xlfn.XLOOKUP(E51,Groups!A:A,Groups!AJ:AJ)="Photonozoa",3,1)))</f>
        <v>7.4573513388254783E-2</v>
      </c>
      <c r="BR51" s="8" t="str">
        <f>IF(BJ51="No","No",IF(_xlfn.XLOOKUP(E51,Groups!A:A,Groups!BF:BF)=1,(0.0315*C51+2.1825)*2,(0.7354*C51^0.4078)*2)/IF(_xlfn.XLOOKUP(E51,Groups!A:A,Groups!BM:BM)=1,1000,100)/IF(_xlfn.XLOOKUP(E51,Groups!A:A,Groups!AJ:AJ)="Photonozoa",3,1))</f>
        <v>No</v>
      </c>
      <c r="BS51" s="8">
        <f t="shared" si="21"/>
        <v>0.1042088386776432</v>
      </c>
      <c r="BT51" s="8">
        <f t="shared" si="22"/>
        <v>7.795721283644129</v>
      </c>
      <c r="BU51" s="8">
        <f t="shared" si="23"/>
        <v>1801.5826928274362</v>
      </c>
      <c r="BV51" s="8" t="str">
        <f t="shared" si="24"/>
        <v>No</v>
      </c>
      <c r="BW51" s="4">
        <v>0</v>
      </c>
      <c r="BX51" s="4">
        <v>1</v>
      </c>
    </row>
    <row r="52" spans="1:76" x14ac:dyDescent="0.25">
      <c r="A52" s="26" t="s">
        <v>159</v>
      </c>
      <c r="B52" s="6" t="s">
        <v>160</v>
      </c>
      <c r="C52" s="7">
        <f>AVERAGE(53.76,76.2)</f>
        <v>64.98</v>
      </c>
      <c r="D52" s="7" t="s">
        <v>1153</v>
      </c>
      <c r="E52" s="7" t="str">
        <f>Groups!$A$54</f>
        <v>Ruminant  (BLUNT HORNS)</v>
      </c>
      <c r="F52" s="7">
        <v>146</v>
      </c>
      <c r="G52" s="7">
        <f>548/365</f>
        <v>1.5013698630136987</v>
      </c>
      <c r="H52" s="7">
        <v>22.8</v>
      </c>
      <c r="I52" s="4">
        <v>0</v>
      </c>
      <c r="J52" s="7">
        <v>1.58</v>
      </c>
      <c r="K52" s="7" t="s">
        <v>539</v>
      </c>
      <c r="L52" s="7">
        <f>MAX(3.1,4.3)*3.6*(23.3/11)</f>
        <v>32.789454545454547</v>
      </c>
      <c r="M52" s="7" t="s">
        <v>635</v>
      </c>
      <c r="N52" s="4">
        <v>0</v>
      </c>
      <c r="O52" s="4">
        <v>2</v>
      </c>
      <c r="P52" s="4">
        <v>10</v>
      </c>
      <c r="Q52" s="4">
        <v>0</v>
      </c>
      <c r="R52" s="4" t="s">
        <v>40</v>
      </c>
      <c r="S52" s="7">
        <f>_xlfn.XLOOKUP(B52,[1]TeethAdjusters!$A:$A,[1]BiteAdjusters!$C:$C,1)</f>
        <v>1</v>
      </c>
      <c r="T52" s="7">
        <f>_xlfn.XLOOKUP(B52,[1]TeethAdjusters!$A:$A,[1]TeethAdjusters!$B:$B,1)</f>
        <v>1</v>
      </c>
      <c r="U52" s="7" t="s">
        <v>45</v>
      </c>
      <c r="V52" s="7" t="str">
        <f>IF(AT52="No","No",IF(_xlfn.XLOOKUP(E52,Groups!A:A,Groups!AM:AM)=1,MROUND(EXP(0.3582*LN(C52)-0.2221)*T52,0.05),IF(_xlfn.XLOOKUP(E52,Groups!A:A,Groups!AM:AM)=2,MROUND(EXP(0.3582*LN(C52)-0.2221)*T52,0.05),"Need a formula")))</f>
        <v>No</v>
      </c>
      <c r="W52" s="7">
        <v>35</v>
      </c>
      <c r="X52" s="7" t="s">
        <v>962</v>
      </c>
      <c r="Y52" s="4" t="s">
        <v>42</v>
      </c>
      <c r="Z52" s="4">
        <v>1</v>
      </c>
      <c r="AA52" s="4">
        <v>0</v>
      </c>
      <c r="AB52" s="4">
        <v>0</v>
      </c>
      <c r="AC52" s="4">
        <v>0</v>
      </c>
      <c r="AD52" s="4">
        <v>0</v>
      </c>
      <c r="AE52" s="4" t="s">
        <v>45</v>
      </c>
      <c r="AF52" s="4" t="s">
        <v>398</v>
      </c>
      <c r="AG52" s="49" t="s">
        <v>392</v>
      </c>
      <c r="AH52" s="4" t="s">
        <v>45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4" t="s">
        <v>40</v>
      </c>
      <c r="AO52" s="8">
        <f t="shared" si="10"/>
        <v>16735.15689667506</v>
      </c>
      <c r="AP52" s="8">
        <f>IFERROR(C52*_xlfn.XLOOKUP(E52,Groups!A:A,Groups!K:K),0.106*C52^0.94)</f>
        <v>5.3619009848423609</v>
      </c>
      <c r="AQ52" s="8">
        <f>AP52*10000/(_xlfn.XLOOKUP(E52,Groups!A:A,Groups!J:J)*AO52)</f>
        <v>2.939425812272515</v>
      </c>
      <c r="AR52" s="8">
        <f t="shared" si="11"/>
        <v>1847.9736236711231</v>
      </c>
      <c r="AS52" s="8">
        <f>IF(_xlfn.XLOOKUP(E52,Groups!A:A,Groups!M:M)=1,EXP(0.7444*LN('Base stats'!C52)+6.5696),EXP(0.7927*LN('Base stats'!C52)+4.28))</f>
        <v>1975.9268208159335</v>
      </c>
      <c r="AT52" s="8" t="str">
        <f>IF(_xlfn.XLOOKUP(E52,Groups!A:A,Groups!N:N)="No","No",
IF(_xlfn.XLOOKUP(E52,Groups!A:A,Groups!N:N)="Crocodile",EXP(0.8129*LN(C52)+4.6742)*S52,
IF(_xlfn.XLOOKUP(E52,Groups!A:A,Groups!N:N)="Felid",EXP(0.7843*LN(C52)+4.7073)*S52,
IF(_xlfn.XLOOKUP(E52,Groups!A:A,Groups!N:N)="Canid",EXP(0.8367*LN(C52)+4.8763)*S52,
IF(_xlfn.XLOOKUP(E52,Groups!A:A,Groups!N:N)="Pig",EXP(0.3439*LN(C52)+6.8519)*S52,
IF(_xlfn.XLOOKUP(E52,Groups!A:A,Groups!N:N)="Rodent",EXP(0.5625*LN(C52)+4.3006)*S52,
IF(_xlfn.XLOOKUP(E52,Groups!A:A,Groups!N:N)="Primate",EXP(0.7847*LN(C52)+3.4931)*S52,
IF(_xlfn.XLOOKUP(E52,Groups!A:A,Groups!N:N)="MiscCarnivora",EXP(0.7486*LN(C52)+4.2207)*S52,
IF(_xlfn.XLOOKUP(E52,Groups!A:A,Groups!N:N)="Lizard",EXP(0.7733*LN(C52)+5.5303)*S52,
IF(_xlfn.XLOOKUP(E52,Groups!A:A,Groups!N:N)="Snake",50*C52^(2/3)*S52,
IF(_xlfn.XLOOKUP(E52,Groups!A:A,Groups!N:N)="StrongBitingHerbivore",87.1133638856975*C52^(2/3)*S52,
IF(_xlfn.XLOOKUP(E52,Groups!A:A,Groups!N:N)="MiscEctotherms",59.4316884072269*C52^(2/3)*S52,
IF(_xlfn.XLOOKUP(E52,Groups!A:A,Groups!N:N)="StrongBeakBird",0.041*(C52*1000)^1.375*S52,
IF(_xlfn.XLOOKUP(E52,Groups!A:A,Groups!N:N)="Bird",0.118*(C52*1000)^0.692*S52,
IF(_xlfn.XLOOKUP(E52,Groups!A:A,Groups!N:N)="Insect",EXP(0.7444*LN(C52)+6.5696)*S52,
IF(_xlfn.XLOOKUP(E52,Groups!A:A,Groups!N:N)="Theropod",EXP(0.6966*LN(C52)+4.158)*S52,
"No"))))))))))))))))</f>
        <v>No</v>
      </c>
      <c r="AU52" s="8">
        <f>IF(_xlfn.XLOOKUP(E52,Groups!A:A,Groups!U:U)=3,AS52,IF(_xlfn.XLOOKUP(E52,Groups!A:A,Groups!U:U)=2,AR52,AT52))</f>
        <v>1975.9268208159335</v>
      </c>
      <c r="AV52" s="46">
        <f>IFERROR(AVERAGE(_xlfn.XLOOKUP(B52,Animals!B:B,Animals!N:N),_xlfn.XLOOKUP(B52,Animals!B:B,Animals!O:O)),0)</f>
        <v>0</v>
      </c>
      <c r="AW52" s="8">
        <f>MROUND(40*Animals!AO52*_xlfn.XLOOKUP(AG52,Leathers!$A$2:$A$99,Leathers!$B$2:$B$99,0)+(140*_xlfn.XLOOKUP(B52,Animals!B:B,Animals!AO:AO)*2),5)</f>
        <v>345</v>
      </c>
      <c r="AX52" s="8">
        <f>IFERROR(ROUND(SQRT(V52-1)*IF(_xlfn.XLOOKUP(E52,Groups!A:A,Groups!BF:BF)=0,2,1)*IF(_xlfn.XLOOKUP('Base stats'!E52,Groups!A:A,Groups!O:O)=0,1,0.1),1),0)</f>
        <v>0</v>
      </c>
      <c r="AY52" s="8">
        <f t="shared" si="12"/>
        <v>0</v>
      </c>
      <c r="AZ52" s="8">
        <f t="shared" si="13"/>
        <v>5.9</v>
      </c>
      <c r="BA52" s="8">
        <f t="shared" si="14"/>
        <v>3.6</v>
      </c>
      <c r="BB52" s="8">
        <f>IF(_xlfn.XLOOKUP(E52,Groups!A:A,Groups!N:N)="Insect",BD52*2.5,IFERROR(AVERAGE(BD52,AT52/9.81/IF(OR(_xlfn.XLOOKUP(E52,Groups!A:A,Groups!N:N)="Pig",_xlfn.XLOOKUP(E52,Groups!A:A,Groups!N:N)="StrongBitingHerbivore"),20,25))*C52^-0.135,BD52))</f>
        <v>0.91226700201851907</v>
      </c>
      <c r="BC52" s="8">
        <f>IF(W52="No","No",IF(_xlfn.XLOOKUP(E52,Groups!A:A,Groups!U:U)=1,'Base stats'!BB52,IF(OR(_xlfn.XLOOKUP(E52,Groups!A:A,Groups!BD:BD)=1,_xlfn.XLOOKUP(E52,Groups!A:A,Groups!U:U)=2),BD52,IF(_xlfn.XLOOKUP(B52,Animals!B:B,Animals!AO:AO)&gt;4,AVERAGE(BD52,BF52),BF52))))</f>
        <v>0.91226700201851907</v>
      </c>
      <c r="BD52" s="8">
        <f t="shared" si="15"/>
        <v>0.91226700201851907</v>
      </c>
      <c r="BE52" s="8">
        <f>IF(_xlfn.XLOOKUP(E52,Groups!A:A,Groups!BE:BE)=1,(0.048*C52^1.01)+(0.071*C52^1.03),0.071*C52^1.03)/IF(_xlfn.XLOOKUP(E52,Groups!A:A,Groups!M:M)=1,0.85,IF(OR(_xlfn.XLOOKUP(B52,Animals!B:B,Animals!AO:AO)&gt;4,_xlfn.XLOOKUP(E52,Groups!A:A,Groups!BC:BC)=1),1.7,1))*C52^-0.25</f>
        <v>1.8417323654503506</v>
      </c>
      <c r="BF52" s="8">
        <f>(0.048*C52^1.01)/IF(_xlfn.XLOOKUP(E52,Groups!A:A,Groups!M:M)=1,0.25,0.8)*C52^-0.25</f>
        <v>1.431738909609034</v>
      </c>
      <c r="BG52" s="8">
        <f>EXP(1.076*LN(AR52)-4.5397)*IF(_xlfn.XLOOKUP(E52,Groups!A:A,Groups!BC:BC)=1,1.25,IF(_xlfn.XLOOKUP(E52,Groups!A:A,Groups!BD:BD)=1,3.5,2.5))</f>
        <v>122.31114490149619</v>
      </c>
      <c r="BH52" s="8">
        <f>EXP(1.076*LN(AS52)-4.5397)*IF(_xlfn.XLOOKUP(E52,Groups!A:A,Groups!M:M)=1,0.8,IF(_xlfn.XLOOKUP(E52,Groups!A:A,Groups!BC:BC)=1,1.3,3))</f>
        <v>112.6688954145712</v>
      </c>
      <c r="BI52" s="8">
        <f>IF(W52="No","No",IF(_xlfn.XLOOKUP(E52,Groups!A:A,Groups!U:U)=1,'Base stats'!BJ52,IF(OR(_xlfn.XLOOKUP(E52,Groups!A:A,Groups!BD:BD)=1,_xlfn.XLOOKUP(E52,Groups!A:A,Groups!U:U)=2),BG52,BH52))*1.2)</f>
        <v>146.77337388179544</v>
      </c>
      <c r="BJ52" s="8" t="str">
        <f>IFERROR(EXP(1.076*LN(AT52)-4.5397)*IF(_xlfn.XLOOKUP(E52,Groups!A:A,Groups!N:N)="Insect",1,IF(OR(_xlfn.XLOOKUP(E52,Groups!A:A,Groups!N:N)="Pig",_xlfn.XLOOKUP(E52,Groups!A:A,Groups!N:N)="StrongBitingHerbivore"),3.5,3.75)),"No")</f>
        <v>No</v>
      </c>
      <c r="BK52" s="8">
        <f t="shared" si="16"/>
        <v>16</v>
      </c>
      <c r="BL52" s="8">
        <f t="shared" si="17"/>
        <v>11</v>
      </c>
      <c r="BM52" s="8">
        <f t="shared" si="18"/>
        <v>17</v>
      </c>
      <c r="BN52" s="8" t="str">
        <f t="shared" si="19"/>
        <v>No</v>
      </c>
      <c r="BO52" s="8">
        <f t="shared" si="20"/>
        <v>12</v>
      </c>
      <c r="BP52" s="8" cm="1">
        <f t="array" ref="BP52">IF(AND(_xlfn.XLOOKUP('Base stats'!E52,Groups!A:A,Groups!AD:AD=0),_xlfn.XLOOKUP('Base stats'!E52,Groups!A:A,Groups!P:P=0)),"No",IF(U52="No",AVERAGE(EXP(-0.57+0.99*LN(C52)),EXP(0.32+0.67*LN(C52)))/IF(_xlfn.XLOOKUP(E52,Groups!A:A,Groups!AD:AD)=1,10,2),(0.7354*C52^0.4078)*2/IF(_xlfn.XLOOKUP(E52,Groups!A:A,Groups!BK:BK)=1,1000,100)/IF(_xlfn.XLOOKUP(E52,Groups!A:A,Groups!AJ:AJ)="Photonozoa",3,1)))</f>
        <v>14.453948682111122</v>
      </c>
      <c r="BQ52" s="8">
        <f>IF(W52="No","No",IF(_xlfn.XLOOKUP(E52,Groups!A:A,Groups!BD:BD)=1,(AO52*5%),EXP(0.7354*LN(C52)^0.4078)*2/IF(_xlfn.XLOOKUP(E52,Groups!A:A,Groups!BL:BL)=1,1000,100)/IF(_xlfn.XLOOKUP(E52,Groups!A:A,Groups!AJ:AJ)="Photonozoa",3,1)))</f>
        <v>836.7578448337531</v>
      </c>
      <c r="BR52" s="8" t="str">
        <f>IF(BJ52="No","No",IF(_xlfn.XLOOKUP(E52,Groups!A:A,Groups!BF:BF)=1,(0.0315*C52+2.1825)*2,(0.7354*C52^0.4078)*2)/IF(_xlfn.XLOOKUP(E52,Groups!A:A,Groups!BM:BM)=1,1000,100)/IF(_xlfn.XLOOKUP(E52,Groups!A:A,Groups!AJ:AJ)="Photonozoa",3,1))</f>
        <v>No</v>
      </c>
      <c r="BS52" s="8">
        <f t="shared" si="21"/>
        <v>0.14617268981302106</v>
      </c>
      <c r="BT52" s="8">
        <f t="shared" si="22"/>
        <v>7.7950252828844935</v>
      </c>
      <c r="BU52" s="8">
        <f t="shared" si="23"/>
        <v>0.17540722777562526</v>
      </c>
      <c r="BV52" s="8" t="str">
        <f t="shared" si="24"/>
        <v>No</v>
      </c>
      <c r="BW52" s="4">
        <v>0</v>
      </c>
      <c r="BX52" s="4">
        <v>1</v>
      </c>
    </row>
    <row r="53" spans="1:76" x14ac:dyDescent="0.25">
      <c r="A53" s="26" t="s">
        <v>161</v>
      </c>
      <c r="B53" s="6" t="s">
        <v>229</v>
      </c>
      <c r="C53" s="7">
        <v>57</v>
      </c>
      <c r="D53" s="7" t="s">
        <v>540</v>
      </c>
      <c r="E53" s="7" t="str">
        <f>Groups!$A$55</f>
        <v>Ruminant (ANTLERS)</v>
      </c>
      <c r="F53" s="7">
        <v>207</v>
      </c>
      <c r="G53" s="7">
        <f>478/365</f>
        <v>1.3095890410958904</v>
      </c>
      <c r="H53" s="7">
        <v>22</v>
      </c>
      <c r="I53" s="4">
        <v>0</v>
      </c>
      <c r="J53" s="7">
        <v>1.5</v>
      </c>
      <c r="K53" s="7" t="s">
        <v>540</v>
      </c>
      <c r="L53" s="7">
        <v>61</v>
      </c>
      <c r="M53" s="7" t="s">
        <v>626</v>
      </c>
      <c r="N53" s="4">
        <v>0</v>
      </c>
      <c r="O53" s="4">
        <v>0</v>
      </c>
      <c r="P53" s="4">
        <v>0</v>
      </c>
      <c r="Q53" s="4">
        <v>0</v>
      </c>
      <c r="R53" s="4" t="s">
        <v>40</v>
      </c>
      <c r="S53" s="7">
        <f>_xlfn.XLOOKUP(B53,[1]TeethAdjusters!$A:$A,[1]BiteAdjusters!$C:$C,1)</f>
        <v>1</v>
      </c>
      <c r="T53" s="7">
        <f>_xlfn.XLOOKUP(B53,[1]TeethAdjusters!$A:$A,[1]TeethAdjusters!$B:$B,1)</f>
        <v>1</v>
      </c>
      <c r="U53" s="7" t="s">
        <v>45</v>
      </c>
      <c r="V53" s="7" t="str">
        <f>IF(AT53="No","No",IF(_xlfn.XLOOKUP(E53,Groups!A:A,Groups!AM:AM)=1,MROUND(EXP(0.3582*LN(C53)-0.2221)*T53,0.05),IF(_xlfn.XLOOKUP(E53,Groups!A:A,Groups!AM:AM)=2,MROUND(EXP(0.3582*LN(C53)-0.2221)*T53,0.05),"Need a formula")))</f>
        <v>No</v>
      </c>
      <c r="W53" s="7">
        <v>41.2</v>
      </c>
      <c r="X53" s="7" t="s">
        <v>962</v>
      </c>
      <c r="Y53" s="4" t="s">
        <v>42</v>
      </c>
      <c r="Z53" s="4">
        <v>1</v>
      </c>
      <c r="AA53" s="4">
        <v>0</v>
      </c>
      <c r="AB53" s="4">
        <v>0</v>
      </c>
      <c r="AC53" s="4">
        <v>0</v>
      </c>
      <c r="AD53" s="4">
        <v>0</v>
      </c>
      <c r="AE53" s="4" t="s">
        <v>45</v>
      </c>
      <c r="AF53" s="4" t="s">
        <v>398</v>
      </c>
      <c r="AG53" s="49" t="s">
        <v>392</v>
      </c>
      <c r="AH53" s="4" t="s">
        <v>45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4" t="s">
        <v>40</v>
      </c>
      <c r="AO53" s="8">
        <f t="shared" si="10"/>
        <v>15368.859309613912</v>
      </c>
      <c r="AP53" s="8">
        <f>IFERROR(C53*_xlfn.XLOOKUP(E53,Groups!A:A,Groups!K:K),0.106*C53^0.94)</f>
        <v>4.7405445207026515</v>
      </c>
      <c r="AQ53" s="8">
        <f>AP53*10000/(_xlfn.XLOOKUP(E53,Groups!A:A,Groups!J:J)*AO53)</f>
        <v>2.8298283729932376</v>
      </c>
      <c r="AR53" s="8">
        <f t="shared" si="11"/>
        <v>1654.3532169190937</v>
      </c>
      <c r="AS53" s="8">
        <f>IF(_xlfn.XLOOKUP(E53,Groups!A:A,Groups!M:M)=1,EXP(0.7444*LN('Base stats'!C53)+6.5696),EXP(0.7927*LN('Base stats'!C53)+4.28))</f>
        <v>1780.9936894344617</v>
      </c>
      <c r="AT53" s="8" t="str">
        <f>IF(_xlfn.XLOOKUP(E53,Groups!A:A,Groups!N:N)="No","No",
IF(_xlfn.XLOOKUP(E53,Groups!A:A,Groups!N:N)="Crocodile",EXP(0.8129*LN(C53)+4.6742)*S53,
IF(_xlfn.XLOOKUP(E53,Groups!A:A,Groups!N:N)="Felid",EXP(0.7843*LN(C53)+4.7073)*S53,
IF(_xlfn.XLOOKUP(E53,Groups!A:A,Groups!N:N)="Canid",EXP(0.8367*LN(C53)+4.8763)*S53,
IF(_xlfn.XLOOKUP(E53,Groups!A:A,Groups!N:N)="Pig",EXP(0.3439*LN(C53)+6.8519)*S53,
IF(_xlfn.XLOOKUP(E53,Groups!A:A,Groups!N:N)="Rodent",EXP(0.5625*LN(C53)+4.3006)*S53,
IF(_xlfn.XLOOKUP(E53,Groups!A:A,Groups!N:N)="Primate",EXP(0.7847*LN(C53)+3.4931)*S53,
IF(_xlfn.XLOOKUP(E53,Groups!A:A,Groups!N:N)="MiscCarnivora",EXP(0.7486*LN(C53)+4.2207)*S53,
IF(_xlfn.XLOOKUP(E53,Groups!A:A,Groups!N:N)="Lizard",EXP(0.7733*LN(C53)+5.5303)*S53,
IF(_xlfn.XLOOKUP(E53,Groups!A:A,Groups!N:N)="Snake",50*C53^(2/3)*S53,
IF(_xlfn.XLOOKUP(E53,Groups!A:A,Groups!N:N)="StrongBitingHerbivore",87.1133638856975*C53^(2/3)*S53,
IF(_xlfn.XLOOKUP(E53,Groups!A:A,Groups!N:N)="MiscEctotherms",59.4316884072269*C53^(2/3)*S53,
IF(_xlfn.XLOOKUP(E53,Groups!A:A,Groups!N:N)="StrongBeakBird",0.041*(C53*1000)^1.375*S53,
IF(_xlfn.XLOOKUP(E53,Groups!A:A,Groups!N:N)="Bird",0.118*(C53*1000)^0.692*S53,
IF(_xlfn.XLOOKUP(E53,Groups!A:A,Groups!N:N)="Insect",EXP(0.7444*LN(C53)+6.5696)*S53,
IF(_xlfn.XLOOKUP(E53,Groups!A:A,Groups!N:N)="Theropod",EXP(0.6966*LN(C53)+4.158)*S53,
"No"))))))))))))))))</f>
        <v>No</v>
      </c>
      <c r="AU53" s="8">
        <f>IF(_xlfn.XLOOKUP(E53,Groups!A:A,Groups!U:U)=3,AS53,IF(_xlfn.XLOOKUP(E53,Groups!A:A,Groups!U:U)=2,AR53,AT53))</f>
        <v>1780.9936894344617</v>
      </c>
      <c r="AV53" s="46">
        <f>IFERROR(AVERAGE(_xlfn.XLOOKUP(B53,Animals!B:B,Animals!N:N),_xlfn.XLOOKUP(B53,Animals!B:B,Animals!O:O)),0)</f>
        <v>0</v>
      </c>
      <c r="AW53" s="8">
        <f>MROUND(40*Animals!AO53*_xlfn.XLOOKUP(AG53,Leathers!$A$2:$A$99,Leathers!$B$2:$B$99,0)+(140*_xlfn.XLOOKUP(B53,Animals!B:B,Animals!AO:AO)*2),5)</f>
        <v>330</v>
      </c>
      <c r="AX53" s="8">
        <f>IFERROR(ROUND(SQRT(V53-1)*IF(_xlfn.XLOOKUP(E53,Groups!A:A,Groups!BF:BF)=0,2,1)*IF(_xlfn.XLOOKUP('Base stats'!E53,Groups!A:A,Groups!O:O)=0,1,0.1),1),0)</f>
        <v>0</v>
      </c>
      <c r="AY53" s="8">
        <f t="shared" si="12"/>
        <v>0</v>
      </c>
      <c r="AZ53" s="8">
        <f t="shared" si="13"/>
        <v>6.4</v>
      </c>
      <c r="BA53" s="8">
        <f t="shared" si="14"/>
        <v>3.4</v>
      </c>
      <c r="BB53" s="8">
        <f>IF(_xlfn.XLOOKUP(E53,Groups!A:A,Groups!N:N)="Insect",BD53*2.5,IFERROR(AVERAGE(BD53,AT53/9.81/IF(OR(_xlfn.XLOOKUP(E53,Groups!A:A,Groups!N:N)="Pig",_xlfn.XLOOKUP(E53,Groups!A:A,Groups!N:N)="StrongBitingHerbivore"),20,25))*C53^-0.135,BD53))</f>
        <v>0.82644833336633383</v>
      </c>
      <c r="BC53" s="8">
        <f>IF(W53="No","No",IF(_xlfn.XLOOKUP(E53,Groups!A:A,Groups!U:U)=1,'Base stats'!BB53,IF(OR(_xlfn.XLOOKUP(E53,Groups!A:A,Groups!BD:BD)=1,_xlfn.XLOOKUP(E53,Groups!A:A,Groups!U:U)=2),BD53,IF(_xlfn.XLOOKUP(B53,Animals!B:B,Animals!AO:AO)&gt;4,AVERAGE(BD53,BF53),BF53))))</f>
        <v>1.2960332413542242</v>
      </c>
      <c r="BD53" s="8">
        <f t="shared" si="15"/>
        <v>0.82644833336633383</v>
      </c>
      <c r="BE53" s="8">
        <f>IF(_xlfn.XLOOKUP(E53,Groups!A:A,Groups!BE:BE)=1,(0.048*C53^1.01)+(0.071*C53^1.03),0.071*C53^1.03)/IF(_xlfn.XLOOKUP(E53,Groups!A:A,Groups!M:M)=1,0.85,IF(OR(_xlfn.XLOOKUP(B53,Animals!B:B,Animals!AO:AO)&gt;4,_xlfn.XLOOKUP(E53,Groups!A:A,Groups!BC:BC)=1),1.7,1))*C53^-0.25</f>
        <v>1.6628027578787719</v>
      </c>
      <c r="BF53" s="8">
        <f>(0.048*C53^1.01)/IF(_xlfn.XLOOKUP(E53,Groups!A:A,Groups!M:M)=1,0.25,0.8)*C53^-0.25</f>
        <v>1.2960332413542242</v>
      </c>
      <c r="BG53" s="8">
        <f>EXP(1.076*LN(AR53)-4.5397)*IF(_xlfn.XLOOKUP(E53,Groups!A:A,Groups!BC:BC)=1,1.25,IF(_xlfn.XLOOKUP(E53,Groups!A:A,Groups!BD:BD)=1,3.5,2.5))</f>
        <v>77.556345326356166</v>
      </c>
      <c r="BH53" s="8">
        <f>EXP(1.076*LN(AS53)-4.5397)*IF(_xlfn.XLOOKUP(E53,Groups!A:A,Groups!M:M)=1,0.8,IF(_xlfn.XLOOKUP(E53,Groups!A:A,Groups!BC:BC)=1,1.3,3))</f>
        <v>100.75516458690971</v>
      </c>
      <c r="BI53" s="8">
        <f>IF(W53="No","No",IF(_xlfn.XLOOKUP(E53,Groups!A:A,Groups!U:U)=1,'Base stats'!BJ53,IF(OR(_xlfn.XLOOKUP(E53,Groups!A:A,Groups!BD:BD)=1,_xlfn.XLOOKUP(E53,Groups!A:A,Groups!U:U)=2),BG53,BH53))*1.2)</f>
        <v>120.90619750429165</v>
      </c>
      <c r="BJ53" s="8" t="str">
        <f>IFERROR(EXP(1.076*LN(AT53)-4.5397)*IF(_xlfn.XLOOKUP(E53,Groups!A:A,Groups!N:N)="Insect",1,IF(OR(_xlfn.XLOOKUP(E53,Groups!A:A,Groups!N:N)="Pig",_xlfn.XLOOKUP(E53,Groups!A:A,Groups!N:N)="StrongBitingHerbivore"),3.5,3.75)),"No")</f>
        <v>No</v>
      </c>
      <c r="BK53" s="8">
        <f t="shared" si="16"/>
        <v>13</v>
      </c>
      <c r="BL53" s="8">
        <f t="shared" si="17"/>
        <v>11</v>
      </c>
      <c r="BM53" s="8">
        <f t="shared" si="18"/>
        <v>13</v>
      </c>
      <c r="BN53" s="8" t="str">
        <f t="shared" si="19"/>
        <v>No</v>
      </c>
      <c r="BO53" s="8">
        <f t="shared" si="20"/>
        <v>12</v>
      </c>
      <c r="BP53" s="8" cm="1">
        <f t="array" ref="BP53">IF(AND(_xlfn.XLOOKUP('Base stats'!E53,Groups!A:A,Groups!AD:AD=0),_xlfn.XLOOKUP('Base stats'!E53,Groups!A:A,Groups!P:P=0)),"No",IF(U53="No",AVERAGE(EXP(-0.57+0.99*LN(C53)),EXP(0.32+0.67*LN(C53)))/IF(_xlfn.XLOOKUP(E53,Groups!A:A,Groups!AD:AD)=1,10,2),(0.7354*C53^0.4078)*2/IF(_xlfn.XLOOKUP(E53,Groups!A:A,Groups!BK:BK)=1,1000,100)/IF(_xlfn.XLOOKUP(E53,Groups!A:A,Groups!AJ:AJ)="Photonozoa",3,1)))</f>
        <v>12.907749158916566</v>
      </c>
      <c r="BQ53" s="8">
        <f>IF(W53="No","No",IF(_xlfn.XLOOKUP(E53,Groups!A:A,Groups!BD:BD)=1,(AO53*5%),EXP(0.7354*LN(C53)^0.4078)*2/IF(_xlfn.XLOOKUP(E53,Groups!A:A,Groups!BL:BL)=1,1000,100)/IF(_xlfn.XLOOKUP(E53,Groups!A:A,Groups!AJ:AJ)="Photonozoa",3,1)))</f>
        <v>7.3385121619685356E-2</v>
      </c>
      <c r="BR53" s="8" t="str">
        <f>IF(BJ53="No","No",IF(_xlfn.XLOOKUP(E53,Groups!A:A,Groups!BF:BF)=1,(0.0315*C53+2.1825)*2,(0.7354*C53^0.4078)*2)/IF(_xlfn.XLOOKUP(E53,Groups!A:A,Groups!BM:BM)=1,1000,100)/IF(_xlfn.XLOOKUP(E53,Groups!A:A,Groups!AJ:AJ)="Photonozoa",3,1))</f>
        <v>No</v>
      </c>
      <c r="BS53" s="8">
        <f t="shared" si="21"/>
        <v>0.10092661239711029</v>
      </c>
      <c r="BT53" s="8">
        <f t="shared" si="22"/>
        <v>7.8057888595788896</v>
      </c>
      <c r="BU53" s="8">
        <f t="shared" si="23"/>
        <v>1647.5573636149552</v>
      </c>
      <c r="BV53" s="8" t="str">
        <f t="shared" si="24"/>
        <v>No</v>
      </c>
      <c r="BW53" s="4">
        <v>0</v>
      </c>
      <c r="BX53" s="4">
        <v>1</v>
      </c>
    </row>
    <row r="54" spans="1:76" x14ac:dyDescent="0.25">
      <c r="A54" s="26" t="s">
        <v>162</v>
      </c>
      <c r="B54" s="6" t="s">
        <v>163</v>
      </c>
      <c r="C54" s="7">
        <v>23.25</v>
      </c>
      <c r="D54" s="7" t="s">
        <v>541</v>
      </c>
      <c r="E54" s="7" t="str">
        <f>Groups!$A$53</f>
        <v>Ruminant (HORNS, GENTLE)</v>
      </c>
      <c r="F54" s="7">
        <v>180</v>
      </c>
      <c r="G54" s="7">
        <f>476/365</f>
        <v>1.3041095890410959</v>
      </c>
      <c r="H54" s="7">
        <v>18.3</v>
      </c>
      <c r="I54" s="4">
        <v>0</v>
      </c>
      <c r="J54" s="7">
        <v>1</v>
      </c>
      <c r="K54" s="7" t="s">
        <v>541</v>
      </c>
      <c r="L54" s="7">
        <v>81</v>
      </c>
      <c r="M54" s="7" t="s">
        <v>626</v>
      </c>
      <c r="N54" s="4">
        <v>0</v>
      </c>
      <c r="O54" s="4">
        <v>0</v>
      </c>
      <c r="P54" s="4">
        <v>0</v>
      </c>
      <c r="Q54" s="4">
        <v>0</v>
      </c>
      <c r="R54" s="4" t="s">
        <v>40</v>
      </c>
      <c r="S54" s="7">
        <f>_xlfn.XLOOKUP(B54,[1]TeethAdjusters!$A:$A,[1]BiteAdjusters!$C:$C,1)</f>
        <v>1</v>
      </c>
      <c r="T54" s="7">
        <f>_xlfn.XLOOKUP(B54,[1]TeethAdjusters!$A:$A,[1]TeethAdjusters!$B:$B,1)</f>
        <v>1</v>
      </c>
      <c r="U54" s="7" t="s">
        <v>45</v>
      </c>
      <c r="V54" s="7" t="str">
        <f>IF(AT54="No","No",IF(_xlfn.XLOOKUP(E54,Groups!A:A,Groups!AM:AM)=1,MROUND(EXP(0.3582*LN(C54)-0.2221)*T54,0.05),IF(_xlfn.XLOOKUP(E54,Groups!A:A,Groups!AM:AM)=2,MROUND(EXP(0.3582*LN(C54)-0.2221)*T54,0.05),"Need a formula")))</f>
        <v>No</v>
      </c>
      <c r="W54" s="7">
        <f>MROUND(AVERAGE(220/10,294/10),0.05)</f>
        <v>25.700000000000003</v>
      </c>
      <c r="X54" s="7" t="s">
        <v>932</v>
      </c>
      <c r="Y54" s="4" t="s">
        <v>42</v>
      </c>
      <c r="Z54" s="4">
        <v>1</v>
      </c>
      <c r="AA54" s="4">
        <v>0</v>
      </c>
      <c r="AB54" s="4">
        <v>0</v>
      </c>
      <c r="AC54" s="4">
        <v>0</v>
      </c>
      <c r="AD54" s="4">
        <v>0</v>
      </c>
      <c r="AE54" s="4" t="s">
        <v>45</v>
      </c>
      <c r="AF54" s="4" t="s">
        <v>401</v>
      </c>
      <c r="AG54" s="49" t="s">
        <v>392</v>
      </c>
      <c r="AH54" s="4" t="s">
        <v>45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4" t="s">
        <v>40</v>
      </c>
      <c r="AO54" s="8">
        <f t="shared" si="10"/>
        <v>8580.2096775651935</v>
      </c>
      <c r="AP54" s="8">
        <f>IFERROR(C54*_xlfn.XLOOKUP(E54,Groups!A:A,Groups!K:K),0.106*C54^0.94)</f>
        <v>2.0405321654254487</v>
      </c>
      <c r="AQ54" s="8">
        <f>AP54*10000/(_xlfn.XLOOKUP(E54,Groups!A:A,Groups!J:J)*AO54)</f>
        <v>2.1818206413805448</v>
      </c>
      <c r="AR54" s="8">
        <f t="shared" si="11"/>
        <v>775.63647085701734</v>
      </c>
      <c r="AS54" s="8">
        <f>IF(_xlfn.XLOOKUP(E54,Groups!A:A,Groups!M:M)=1,EXP(0.7444*LN('Base stats'!C54)+6.5696),EXP(0.7927*LN('Base stats'!C54)+4.28))</f>
        <v>874.87067738728706</v>
      </c>
      <c r="AT54" s="8" t="str">
        <f>IF(_xlfn.XLOOKUP(E54,Groups!A:A,Groups!N:N)="No","No",
IF(_xlfn.XLOOKUP(E54,Groups!A:A,Groups!N:N)="Crocodile",EXP(0.8129*LN(C54)+4.6742)*S54,
IF(_xlfn.XLOOKUP(E54,Groups!A:A,Groups!N:N)="Felid",EXP(0.7843*LN(C54)+4.7073)*S54,
IF(_xlfn.XLOOKUP(E54,Groups!A:A,Groups!N:N)="Canid",EXP(0.8367*LN(C54)+4.8763)*S54,
IF(_xlfn.XLOOKUP(E54,Groups!A:A,Groups!N:N)="Pig",EXP(0.3439*LN(C54)+6.8519)*S54,
IF(_xlfn.XLOOKUP(E54,Groups!A:A,Groups!N:N)="Rodent",EXP(0.5625*LN(C54)+4.3006)*S54,
IF(_xlfn.XLOOKUP(E54,Groups!A:A,Groups!N:N)="Primate",EXP(0.7847*LN(C54)+3.4931)*S54,
IF(_xlfn.XLOOKUP(E54,Groups!A:A,Groups!N:N)="MiscCarnivora",EXP(0.7486*LN(C54)+4.2207)*S54,
IF(_xlfn.XLOOKUP(E54,Groups!A:A,Groups!N:N)="Lizard",EXP(0.7733*LN(C54)+5.5303)*S54,
IF(_xlfn.XLOOKUP(E54,Groups!A:A,Groups!N:N)="Snake",50*C54^(2/3)*S54,
IF(_xlfn.XLOOKUP(E54,Groups!A:A,Groups!N:N)="StrongBitingHerbivore",87.1133638856975*C54^(2/3)*S54,
IF(_xlfn.XLOOKUP(E54,Groups!A:A,Groups!N:N)="MiscEctotherms",59.4316884072269*C54^(2/3)*S54,
IF(_xlfn.XLOOKUP(E54,Groups!A:A,Groups!N:N)="StrongBeakBird",0.041*(C54*1000)^1.375*S54,
IF(_xlfn.XLOOKUP(E54,Groups!A:A,Groups!N:N)="Bird",0.118*(C54*1000)^0.692*S54,
IF(_xlfn.XLOOKUP(E54,Groups!A:A,Groups!N:N)="Insect",EXP(0.7444*LN(C54)+6.5696)*S54,
IF(_xlfn.XLOOKUP(E54,Groups!A:A,Groups!N:N)="Theropod",EXP(0.6966*LN(C54)+4.158)*S54,
"No"))))))))))))))))</f>
        <v>No</v>
      </c>
      <c r="AU54" s="8">
        <f>IF(_xlfn.XLOOKUP(E54,Groups!A:A,Groups!U:U)=3,AS54,IF(_xlfn.XLOOKUP(E54,Groups!A:A,Groups!U:U)=2,AR54,AT54))</f>
        <v>874.87067738728706</v>
      </c>
      <c r="AV54" s="46">
        <f>IFERROR(AVERAGE(_xlfn.XLOOKUP(B54,Animals!B:B,Animals!N:N),_xlfn.XLOOKUP(B54,Animals!B:B,Animals!O:O)),0)</f>
        <v>0</v>
      </c>
      <c r="AW54" s="8">
        <f>MROUND(40*Animals!AO54*_xlfn.XLOOKUP(AG54,Leathers!$A$2:$A$99,Leathers!$B$2:$B$99,0)+(140*_xlfn.XLOOKUP(B54,Animals!B:B,Animals!AO:AO)*2),5)</f>
        <v>220</v>
      </c>
      <c r="AX54" s="8">
        <f>IFERROR(ROUND(SQRT(V54-1)*IF(_xlfn.XLOOKUP(E54,Groups!A:A,Groups!BF:BF)=0,2,1)*IF(_xlfn.XLOOKUP('Base stats'!E54,Groups!A:A,Groups!O:O)=0,1,0.1),1),0)</f>
        <v>0</v>
      </c>
      <c r="AY54" s="8">
        <f t="shared" si="12"/>
        <v>0</v>
      </c>
      <c r="AZ54" s="8">
        <f t="shared" si="13"/>
        <v>5.0999999999999996</v>
      </c>
      <c r="BA54" s="8">
        <f t="shared" si="14"/>
        <v>2.5</v>
      </c>
      <c r="BB54" s="8">
        <f>IF(_xlfn.XLOOKUP(E54,Groups!A:A,Groups!N:N)="Insect",BD54*2.5,IFERROR(AVERAGE(BD54,AT54/9.81/IF(OR(_xlfn.XLOOKUP(E54,Groups!A:A,Groups!N:N)="Pig",_xlfn.XLOOKUP(E54,Groups!A:A,Groups!N:N)="StrongBitingHerbivore"),20,25))*C54^-0.135,BD54))</f>
        <v>0.42030927794687478</v>
      </c>
      <c r="BC54" s="8">
        <f>IF(W54="No","No",IF(_xlfn.XLOOKUP(E54,Groups!A:A,Groups!U:U)=1,'Base stats'!BB54,IF(OR(_xlfn.XLOOKUP(E54,Groups!A:A,Groups!BD:BD)=1,_xlfn.XLOOKUP(E54,Groups!A:A,Groups!U:U)=2),BD54,IF(_xlfn.XLOOKUP(B54,Animals!B:B,Animals!AO:AO)&gt;4,AVERAGE(BD54,BF54),BF54))))</f>
        <v>0.65559056971929131</v>
      </c>
      <c r="BD54" s="8">
        <f t="shared" si="15"/>
        <v>0.42030927794687478</v>
      </c>
      <c r="BE54" s="8">
        <f>IF(_xlfn.XLOOKUP(E54,Groups!A:A,Groups!BE:BE)=1,(0.048*C54^1.01)+(0.071*C54^1.03),0.071*C54^1.03)/IF(_xlfn.XLOOKUP(E54,Groups!A:A,Groups!M:M)=1,0.85,IF(OR(_xlfn.XLOOKUP(B54,Animals!B:B,Animals!AO:AO)&gt;4,_xlfn.XLOOKUP(E54,Groups!A:A,Groups!BC:BC)=1),1.7,1))*C54^-0.25</f>
        <v>0.8261677830125892</v>
      </c>
      <c r="BF54" s="8">
        <f>(0.048*C54^1.01)/IF(_xlfn.XLOOKUP(E54,Groups!A:A,Groups!M:M)=1,0.25,0.8)*C54^-0.25</f>
        <v>0.65559056971929131</v>
      </c>
      <c r="BG54" s="8">
        <f>EXP(1.076*LN(AR54)-4.5397)*IF(_xlfn.XLOOKUP(E54,Groups!A:A,Groups!BC:BC)=1,1.25,IF(_xlfn.XLOOKUP(E54,Groups!A:A,Groups!BD:BD)=1,3.5,2.5))</f>
        <v>34.327770313345525</v>
      </c>
      <c r="BH54" s="8">
        <f>EXP(1.076*LN(AS54)-4.5397)*IF(_xlfn.XLOOKUP(E54,Groups!A:A,Groups!M:M)=1,0.8,IF(_xlfn.XLOOKUP(E54,Groups!A:A,Groups!BC:BC)=1,1.3,3))</f>
        <v>46.890643132169352</v>
      </c>
      <c r="BI54" s="8">
        <f>IF(W54="No","No",IF(_xlfn.XLOOKUP(E54,Groups!A:A,Groups!U:U)=1,'Base stats'!BJ54,IF(OR(_xlfn.XLOOKUP(E54,Groups!A:A,Groups!BD:BD)=1,_xlfn.XLOOKUP(E54,Groups!A:A,Groups!U:U)=2),BG54,BH54))*1.2)</f>
        <v>56.268771758603222</v>
      </c>
      <c r="BJ54" s="8" t="str">
        <f>IFERROR(EXP(1.076*LN(AT54)-4.5397)*IF(_xlfn.XLOOKUP(E54,Groups!A:A,Groups!N:N)="Insect",1,IF(OR(_xlfn.XLOOKUP(E54,Groups!A:A,Groups!N:N)="Pig",_xlfn.XLOOKUP(E54,Groups!A:A,Groups!N:N)="StrongBitingHerbivore"),3.5,3.75)),"No")</f>
        <v>No</v>
      </c>
      <c r="BK54" s="8">
        <f t="shared" si="16"/>
        <v>12</v>
      </c>
      <c r="BL54" s="8">
        <f t="shared" si="17"/>
        <v>10</v>
      </c>
      <c r="BM54" s="8">
        <f t="shared" si="18"/>
        <v>13</v>
      </c>
      <c r="BN54" s="8" t="str">
        <f t="shared" si="19"/>
        <v>No</v>
      </c>
      <c r="BO54" s="8">
        <f t="shared" si="20"/>
        <v>11</v>
      </c>
      <c r="BP54" s="8" cm="1">
        <f t="array" ref="BP54">IF(AND(_xlfn.XLOOKUP('Base stats'!E54,Groups!A:A,Groups!AD:AD=0),_xlfn.XLOOKUP('Base stats'!E54,Groups!A:A,Groups!P:P=0)),"No",IF(U54="No",AVERAGE(EXP(-0.57+0.99*LN(C54)),EXP(0.32+0.67*LN(C54)))/IF(_xlfn.XLOOKUP(E54,Groups!A:A,Groups!AD:AD)=1,10,2),(0.7354*C54^0.4078)*2/IF(_xlfn.XLOOKUP(E54,Groups!A:A,Groups!BK:BK)=1,1000,100)/IF(_xlfn.XLOOKUP(E54,Groups!A:A,Groups!AJ:AJ)="Photonozoa",3,1)))</f>
        <v>6.0194199760738947</v>
      </c>
      <c r="BQ54" s="8">
        <f>IF(W54="No","No",IF(_xlfn.XLOOKUP(E54,Groups!A:A,Groups!BD:BD)=1,(AO54*5%),EXP(0.7354*LN(C54)^0.4078)*2/IF(_xlfn.XLOOKUP(E54,Groups!A:A,Groups!BL:BL)=1,1000,100)/IF(_xlfn.XLOOKUP(E54,Groups!A:A,Groups!AJ:AJ)="Photonozoa",3,1)))</f>
        <v>6.4673426428061231E-2</v>
      </c>
      <c r="BR54" s="8" t="str">
        <f>IF(BJ54="No","No",IF(_xlfn.XLOOKUP(E54,Groups!A:A,Groups!BF:BF)=1,(0.0315*C54+2.1825)*2,(0.7354*C54^0.4078)*2)/IF(_xlfn.XLOOKUP(E54,Groups!A:A,Groups!BM:BM)=1,1000,100)/IF(_xlfn.XLOOKUP(E54,Groups!A:A,Groups!AJ:AJ)="Photonozoa",3,1))</f>
        <v>No</v>
      </c>
      <c r="BS54" s="8">
        <f t="shared" si="21"/>
        <v>8.0016157188099665E-2</v>
      </c>
      <c r="BT54" s="8">
        <f t="shared" si="22"/>
        <v>7.7898939297392733</v>
      </c>
      <c r="BU54" s="8">
        <f t="shared" si="23"/>
        <v>870.04469789756956</v>
      </c>
      <c r="BV54" s="8" t="str">
        <f t="shared" si="24"/>
        <v>No</v>
      </c>
      <c r="BW54" s="4">
        <v>0</v>
      </c>
      <c r="BX54" s="4">
        <v>1</v>
      </c>
    </row>
    <row r="55" spans="1:76" x14ac:dyDescent="0.25">
      <c r="A55" s="26" t="s">
        <v>54</v>
      </c>
      <c r="B55" s="6" t="s">
        <v>263</v>
      </c>
      <c r="C55" s="7">
        <v>170</v>
      </c>
      <c r="D55" s="7" t="s">
        <v>528</v>
      </c>
      <c r="E55" s="7" t="str">
        <f>Groups!$A$15</f>
        <v>Doglike (CANID)</v>
      </c>
      <c r="F55" s="7">
        <v>72</v>
      </c>
      <c r="G55" s="7">
        <v>3</v>
      </c>
      <c r="H55" s="7">
        <v>15</v>
      </c>
      <c r="I55" s="4">
        <v>0</v>
      </c>
      <c r="J55" s="7">
        <v>4</v>
      </c>
      <c r="K55" s="7" t="s">
        <v>528</v>
      </c>
      <c r="L55" s="7">
        <f>MIN(37.5*C55^0.089,79.3*C55^-0.072)</f>
        <v>54.787421951331154</v>
      </c>
      <c r="M55" s="7" t="s">
        <v>626</v>
      </c>
      <c r="N55" s="4">
        <v>0</v>
      </c>
      <c r="O55" s="4">
        <v>1</v>
      </c>
      <c r="P55" s="4">
        <v>0</v>
      </c>
      <c r="Q55" s="4">
        <v>0</v>
      </c>
      <c r="R55" s="4">
        <v>0.8</v>
      </c>
      <c r="S55" s="7">
        <f>_xlfn.XLOOKUP(B55,[1]TeethAdjusters!$A:$A,[1]BiteAdjusters!$C:$C,1)</f>
        <v>1.0425371059413748</v>
      </c>
      <c r="T55" s="7">
        <f>_xlfn.XLOOKUP(B55,[1]TeethAdjusters!$A:$A,[1]TeethAdjusters!$B:$B,1)</f>
        <v>1.038364019968949</v>
      </c>
      <c r="U55" s="7" t="s">
        <v>45</v>
      </c>
      <c r="V55" s="7">
        <f>IF(AT55="No","No",IF(_xlfn.XLOOKUP(E55,Groups!A:A,Groups!AM:AM)=1,MROUND(EXP(0.3582*LN(C55)-0.2221)*T55,0.05),IF(_xlfn.XLOOKUP(E55,Groups!A:A,Groups!AM:AM)=2,MROUND(EXP(0.3582*LN(C55)-0.2221)*T55,0.05),"Need a formula")))</f>
        <v>5.25</v>
      </c>
      <c r="W55" s="7" t="s">
        <v>45</v>
      </c>
      <c r="X55" s="7" t="s">
        <v>932</v>
      </c>
      <c r="Y55" s="4" t="s">
        <v>56</v>
      </c>
      <c r="Z55" s="4">
        <v>1</v>
      </c>
      <c r="AA55" s="4">
        <v>0</v>
      </c>
      <c r="AB55" s="4">
        <v>0</v>
      </c>
      <c r="AC55" s="4">
        <v>0</v>
      </c>
      <c r="AD55" s="4">
        <v>0</v>
      </c>
      <c r="AE55" s="4" t="s">
        <v>45</v>
      </c>
      <c r="AF55" s="4" t="s">
        <v>45</v>
      </c>
      <c r="AG55" s="49" t="s">
        <v>396</v>
      </c>
      <c r="AH55" s="4" t="s">
        <v>45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4" t="s">
        <v>40</v>
      </c>
      <c r="AO55" s="8">
        <f t="shared" si="10"/>
        <v>31269.05653382832</v>
      </c>
      <c r="AP55" s="8">
        <f>IFERROR(C55*_xlfn.XLOOKUP(E55,Groups!A:A,Groups!K:K),0.106*C55^0.94)</f>
        <v>21.2075</v>
      </c>
      <c r="AQ55" s="8">
        <f>AP55*10000/(_xlfn.XLOOKUP(E55,Groups!A:A,Groups!J:J)*AO55)</f>
        <v>6.222260654810535</v>
      </c>
      <c r="AR55" s="8">
        <f t="shared" si="11"/>
        <v>4163.906352865858</v>
      </c>
      <c r="AS55" s="8">
        <f>IF(_xlfn.XLOOKUP(E55,Groups!A:A,Groups!M:M)=1,EXP(0.7444*LN('Base stats'!C55)+6.5696),EXP(0.7927*LN('Base stats'!C55)+4.28))</f>
        <v>4235.0373273002915</v>
      </c>
      <c r="AT55" s="8">
        <f>IF(_xlfn.XLOOKUP(E55,Groups!A:A,Groups!N:N)="No","No",
IF(_xlfn.XLOOKUP(E55,Groups!A:A,Groups!N:N)="Crocodile",EXP(0.8129*LN(C55)+4.6742)*S55,
IF(_xlfn.XLOOKUP(E55,Groups!A:A,Groups!N:N)="Felid",EXP(0.7843*LN(C55)+4.7073)*S55,
IF(_xlfn.XLOOKUP(E55,Groups!A:A,Groups!N:N)="Canid",EXP(0.8367*LN(C55)+4.8763)*S55,
IF(_xlfn.XLOOKUP(E55,Groups!A:A,Groups!N:N)="Pig",EXP(0.3439*LN(C55)+6.8519)*S55,
IF(_xlfn.XLOOKUP(E55,Groups!A:A,Groups!N:N)="Rodent",EXP(0.5625*LN(C55)+4.3006)*S55,
IF(_xlfn.XLOOKUP(E55,Groups!A:A,Groups!N:N)="Primate",EXP(0.7847*LN(C55)+3.4931)*S55,
IF(_xlfn.XLOOKUP(E55,Groups!A:A,Groups!N:N)="MiscCarnivora",EXP(0.7486*LN(C55)+4.2207)*S55,
IF(_xlfn.XLOOKUP(E55,Groups!A:A,Groups!N:N)="Lizard",EXP(0.7733*LN(C55)+5.5303)*S55,
IF(_xlfn.XLOOKUP(E55,Groups!A:A,Groups!N:N)="Snake",50*C55^(2/3)*S55,
IF(_xlfn.XLOOKUP(E55,Groups!A:A,Groups!N:N)="StrongBitingHerbivore",87.1133638856975*C55^(2/3)*S55,
IF(_xlfn.XLOOKUP(E55,Groups!A:A,Groups!N:N)="MiscEctotherms",59.4316884072269*C55^(2/3)*S55,
IF(_xlfn.XLOOKUP(E55,Groups!A:A,Groups!N:N)="StrongBeakBird",0.041*(C55*1000)^1.375*S55,
IF(_xlfn.XLOOKUP(E55,Groups!A:A,Groups!N:N)="Bird",0.118*(C55*1000)^0.692*S55,
IF(_xlfn.XLOOKUP(E55,Groups!A:A,Groups!N:N)="Insect",EXP(0.7444*LN(C55)+6.5696)*S55,
IF(_xlfn.XLOOKUP(E55,Groups!A:A,Groups!N:N)="Theropod",EXP(0.6966*LN(C55)+4.158)*S55,
"No"))))))))))))))))</f>
        <v>10047.506965362758</v>
      </c>
      <c r="AU55" s="8">
        <f>IF(_xlfn.XLOOKUP(E55,Groups!A:A,Groups!U:U)=3,AS55,IF(_xlfn.XLOOKUP(E55,Groups!A:A,Groups!U:U)=2,AR55,AT55))</f>
        <v>10047.506965362758</v>
      </c>
      <c r="AV55" s="46">
        <f>IFERROR(AVERAGE(_xlfn.XLOOKUP(B55,Animals!B:B,Animals!N:N),_xlfn.XLOOKUP(B55,Animals!B:B,Animals!O:O)),0)</f>
        <v>0</v>
      </c>
      <c r="AW55" s="8">
        <f>MROUND(40*Animals!AO55*_xlfn.XLOOKUP(AG55,Leathers!$A$2:$A$99,Leathers!$B$2:$B$99,0)+(140*_xlfn.XLOOKUP(B55,Animals!B:B,Animals!AO:AO)*2),5)</f>
        <v>680</v>
      </c>
      <c r="AX55" s="8">
        <f>IFERROR(ROUND(SQRT(V55-1)*IF(_xlfn.XLOOKUP(E55,Groups!A:A,Groups!BF:BF)=0,2,1)*IF(_xlfn.XLOOKUP('Base stats'!E55,Groups!A:A,Groups!O:O)=0,1,0.1),1),0)</f>
        <v>4.0999999999999996</v>
      </c>
      <c r="AY55" s="8">
        <f t="shared" si="12"/>
        <v>0</v>
      </c>
      <c r="AZ55" s="8">
        <f t="shared" si="13"/>
        <v>0</v>
      </c>
      <c r="BA55" s="8">
        <f t="shared" si="14"/>
        <v>5</v>
      </c>
      <c r="BB55" s="8">
        <f>IF(_xlfn.XLOOKUP(E55,Groups!A:A,Groups!N:N)="Insect",BD55*2.5,IFERROR(AVERAGE(BD55,AT55/9.81/IF(OR(_xlfn.XLOOKUP(E55,Groups!A:A,Groups!N:N)="Pig",_xlfn.XLOOKUP(E55,Groups!A:A,Groups!N:N)="StrongBitingHerbivore"),20,25))*C55^-0.135,BD55))</f>
        <v>10.9394819884283</v>
      </c>
      <c r="BC55" s="8" t="str">
        <f>IF(W55="No","No",IF(_xlfn.XLOOKUP(E55,Groups!A:A,Groups!U:U)=1,'Base stats'!BB55,IF(OR(_xlfn.XLOOKUP(E55,Groups!A:A,Groups!BD:BD)=1,_xlfn.XLOOKUP(E55,Groups!A:A,Groups!U:U)=2),BD55,IF(_xlfn.XLOOKUP(B55,Animals!B:B,Animals!AO:AO)&gt;4,AVERAGE(BD55,BF55),BF55))))</f>
        <v>No</v>
      </c>
      <c r="BD55" s="8">
        <f t="shared" si="15"/>
        <v>2.7976225550024072</v>
      </c>
      <c r="BE55" s="8">
        <f>IF(_xlfn.XLOOKUP(E55,Groups!A:A,Groups!BE:BE)=1,(0.048*C55^1.01)+(0.071*C55^1.03),0.071*C55^1.03)/IF(_xlfn.XLOOKUP(E55,Groups!A:A,Groups!M:M)=1,0.85,IF(OR(_xlfn.XLOOKUP(B55,Animals!B:B,Animals!AO:AO)&gt;4,_xlfn.XLOOKUP(E55,Groups!A:A,Groups!BC:BC)=1),1.7,1))*C55^-0.25</f>
        <v>3.8994962532450881</v>
      </c>
      <c r="BF55" s="8">
        <f>(0.048*C55^1.01)/IF(_xlfn.XLOOKUP(E55,Groups!A:A,Groups!M:M)=1,0.25,0.8)*C55^-0.25</f>
        <v>2.9736676662191686</v>
      </c>
      <c r="BG55" s="8">
        <f>EXP(1.076*LN(AR55)-4.5397)*IF(_xlfn.XLOOKUP(E55,Groups!A:A,Groups!BC:BC)=1,1.25,IF(_xlfn.XLOOKUP(E55,Groups!A:A,Groups!BD:BD)=1,3.5,2.5))</f>
        <v>209.39021133100351</v>
      </c>
      <c r="BH55" s="8">
        <f>EXP(1.076*LN(AS55)-4.5397)*IF(_xlfn.XLOOKUP(E55,Groups!A:A,Groups!M:M)=1,0.8,IF(_xlfn.XLOOKUP(E55,Groups!A:A,Groups!BC:BC)=1,1.3,3))</f>
        <v>255.8898078472036</v>
      </c>
      <c r="BI55" s="8" t="str">
        <f>IF(W55="No","No",IF(_xlfn.XLOOKUP(E55,Groups!A:A,Groups!U:U)=1,'Base stats'!BJ55,IF(OR(_xlfn.XLOOKUP(E55,Groups!A:A,Groups!BD:BD)=1,_xlfn.XLOOKUP(E55,Groups!A:A,Groups!U:U)=2),BG55,BH55))*1.2)</f>
        <v>No</v>
      </c>
      <c r="BJ55" s="8">
        <f>IFERROR(EXP(1.076*LN(AT55)-4.5397)*IF(_xlfn.XLOOKUP(E55,Groups!A:A,Groups!N:N)="Insect",1,IF(OR(_xlfn.XLOOKUP(E55,Groups!A:A,Groups!N:N)="Pig",_xlfn.XLOOKUP(E55,Groups!A:A,Groups!N:N)="StrongBitingHerbivore"),3.5,3.75)),"No")</f>
        <v>810.36253842515896</v>
      </c>
      <c r="BK55" s="8">
        <f t="shared" si="16"/>
        <v>12</v>
      </c>
      <c r="BL55" s="8">
        <f t="shared" si="17"/>
        <v>11</v>
      </c>
      <c r="BM55" s="8" t="str">
        <f t="shared" si="18"/>
        <v>No</v>
      </c>
      <c r="BN55" s="8">
        <f t="shared" si="19"/>
        <v>12</v>
      </c>
      <c r="BO55" s="8">
        <f t="shared" si="20"/>
        <v>13</v>
      </c>
      <c r="BP55" s="8" t="str" cm="1">
        <f t="array" ref="BP55">IF(AND(_xlfn.XLOOKUP('Base stats'!E55,Groups!A:A,Groups!AD:AD=0),_xlfn.XLOOKUP('Base stats'!E55,Groups!A:A,Groups!P:P=0)),"No",IF(U55="No",AVERAGE(EXP(-0.57+0.99*LN(C55)),EXP(0.32+0.67*LN(C55)))/IF(_xlfn.XLOOKUP(E55,Groups!A:A,Groups!AD:AD)=1,10,2),(0.7354*C55^0.4078)*2/IF(_xlfn.XLOOKUP(E55,Groups!A:A,Groups!BK:BK)=1,1000,100)/IF(_xlfn.XLOOKUP(E55,Groups!A:A,Groups!AJ:AJ)="Photonozoa",3,1)))</f>
        <v>No</v>
      </c>
      <c r="BQ55" s="8" t="str">
        <f>IF(W55="No","No",IF(_xlfn.XLOOKUP(E55,Groups!A:A,Groups!BD:BD)=1,(AO55*5%),EXP(0.7354*LN(C55)^0.4078)*2/IF(_xlfn.XLOOKUP(E55,Groups!A:A,Groups!BL:BL)=1,1000,100)/IF(_xlfn.XLOOKUP(E55,Groups!A:A,Groups!AJ:AJ)="Photonozoa",3,1)))</f>
        <v>No</v>
      </c>
      <c r="BR55" s="8">
        <f>IF(BJ55="No","No",IF(_xlfn.XLOOKUP(E55,Groups!A:A,Groups!BF:BF)=1,(0.0315*C55+2.1825)*2,(0.7354*C55^0.4078)*2)/IF(_xlfn.XLOOKUP(E55,Groups!A:A,Groups!BM:BM)=1,1000,100)/IF(_xlfn.XLOOKUP(E55,Groups!A:A,Groups!AJ:AJ)="Photonozoa",3,1))</f>
        <v>0.11943474628882245</v>
      </c>
      <c r="BS55" s="8">
        <f t="shared" si="21"/>
        <v>0.13392806470158475</v>
      </c>
      <c r="BT55" s="8" t="str">
        <f t="shared" si="22"/>
        <v>No</v>
      </c>
      <c r="BU55" s="8" t="str">
        <f t="shared" si="23"/>
        <v>No</v>
      </c>
      <c r="BV55" s="8">
        <f t="shared" si="24"/>
        <v>6784.9814530982803</v>
      </c>
      <c r="BW55" s="4">
        <v>0</v>
      </c>
      <c r="BX55" s="4">
        <v>1</v>
      </c>
    </row>
    <row r="56" spans="1:76" x14ac:dyDescent="0.25">
      <c r="A56" s="26" t="s">
        <v>59</v>
      </c>
      <c r="B56" s="6" t="s">
        <v>881</v>
      </c>
      <c r="C56" s="7">
        <v>40</v>
      </c>
      <c r="D56" s="7" t="s">
        <v>1154</v>
      </c>
      <c r="E56" s="7" t="str">
        <f>Groups!$A$15</f>
        <v>Doglike (CANID)</v>
      </c>
      <c r="F56" s="7">
        <v>62</v>
      </c>
      <c r="G56" s="7">
        <f>669/365</f>
        <v>1.832876712328767</v>
      </c>
      <c r="H56" s="7">
        <v>20.6</v>
      </c>
      <c r="I56" s="4">
        <v>0</v>
      </c>
      <c r="J56" s="7">
        <v>6</v>
      </c>
      <c r="K56" s="7" t="s">
        <v>542</v>
      </c>
      <c r="L56" s="7">
        <v>64</v>
      </c>
      <c r="M56" s="7" t="s">
        <v>626</v>
      </c>
      <c r="N56" s="4">
        <v>0</v>
      </c>
      <c r="O56" s="4">
        <v>0</v>
      </c>
      <c r="P56" s="4">
        <v>0</v>
      </c>
      <c r="Q56" s="4">
        <v>0</v>
      </c>
      <c r="R56" s="4" t="s">
        <v>40</v>
      </c>
      <c r="S56" s="7">
        <f>_xlfn.XLOOKUP(B56,[1]TeethAdjusters!$A:$A,[1]BiteAdjusters!$C:$C,1)</f>
        <v>0.92071733882611773</v>
      </c>
      <c r="T56" s="7">
        <f>_xlfn.XLOOKUP(B56,[1]TeethAdjusters!$A:$A,[1]TeethAdjusters!$B:$B,1)</f>
        <v>1.0836264905293682</v>
      </c>
      <c r="U56" s="7" t="s">
        <v>45</v>
      </c>
      <c r="V56" s="7">
        <f>IF(AT56="No","No",IF(_xlfn.XLOOKUP(E56,Groups!A:A,Groups!AM:AM)=1,MROUND(EXP(0.3582*LN(C56)-0.2221)*T56,0.05),IF(_xlfn.XLOOKUP(E56,Groups!A:A,Groups!AM:AM)=2,MROUND(EXP(0.3582*LN(C56)-0.2221)*T56,0.05),"Need a formula")))</f>
        <v>3.25</v>
      </c>
      <c r="W56" s="7" t="s">
        <v>45</v>
      </c>
      <c r="X56" s="7" t="s">
        <v>932</v>
      </c>
      <c r="Y56" s="4" t="s">
        <v>56</v>
      </c>
      <c r="Z56" s="4">
        <v>1</v>
      </c>
      <c r="AA56" s="4">
        <v>0</v>
      </c>
      <c r="AB56" s="4">
        <v>0</v>
      </c>
      <c r="AC56" s="4">
        <v>0</v>
      </c>
      <c r="AD56" s="4">
        <v>0</v>
      </c>
      <c r="AE56" s="4" t="s">
        <v>45</v>
      </c>
      <c r="AF56" s="4" t="s">
        <v>311</v>
      </c>
      <c r="AG56" s="49" t="s">
        <v>396</v>
      </c>
      <c r="AH56" s="4" t="s">
        <v>45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4" t="s">
        <v>40</v>
      </c>
      <c r="AO56" s="8">
        <f t="shared" si="10"/>
        <v>12208.490600010842</v>
      </c>
      <c r="AP56" s="8">
        <f>IFERROR(C56*_xlfn.XLOOKUP(E56,Groups!A:A,Groups!K:K),0.106*C56^0.94)</f>
        <v>4.99</v>
      </c>
      <c r="AQ56" s="8">
        <f>AP56*10000/(_xlfn.XLOOKUP(E56,Groups!A:A,Groups!J:J)*AO56)</f>
        <v>3.7498342762962693</v>
      </c>
      <c r="AR56" s="8">
        <f t="shared" si="11"/>
        <v>1226.5939672257964</v>
      </c>
      <c r="AS56" s="8">
        <f>IF(_xlfn.XLOOKUP(E56,Groups!A:A,Groups!M:M)=1,EXP(0.7444*LN('Base stats'!C56)+6.5696),EXP(0.7927*LN('Base stats'!C56)+4.28))</f>
        <v>1345.0342323536652</v>
      </c>
      <c r="AT56" s="8">
        <f>IF(_xlfn.XLOOKUP(E56,Groups!A:A,Groups!N:N)="No","No",
IF(_xlfn.XLOOKUP(E56,Groups!A:A,Groups!N:N)="Crocodile",EXP(0.8129*LN(C56)+4.6742)*S56,
IF(_xlfn.XLOOKUP(E56,Groups!A:A,Groups!N:N)="Felid",EXP(0.7843*LN(C56)+4.7073)*S56,
IF(_xlfn.XLOOKUP(E56,Groups!A:A,Groups!N:N)="Canid",EXP(0.8367*LN(C56)+4.8763)*S56,
IF(_xlfn.XLOOKUP(E56,Groups!A:A,Groups!N:N)="Pig",EXP(0.3439*LN(C56)+6.8519)*S56,
IF(_xlfn.XLOOKUP(E56,Groups!A:A,Groups!N:N)="Rodent",EXP(0.5625*LN(C56)+4.3006)*S56,
IF(_xlfn.XLOOKUP(E56,Groups!A:A,Groups!N:N)="Primate",EXP(0.7847*LN(C56)+3.4931)*S56,
IF(_xlfn.XLOOKUP(E56,Groups!A:A,Groups!N:N)="MiscCarnivora",EXP(0.7486*LN(C56)+4.2207)*S56,
IF(_xlfn.XLOOKUP(E56,Groups!A:A,Groups!N:N)="Lizard",EXP(0.7733*LN(C56)+5.5303)*S56,
IF(_xlfn.XLOOKUP(E56,Groups!A:A,Groups!N:N)="Snake",50*C56^(2/3)*S56,
IF(_xlfn.XLOOKUP(E56,Groups!A:A,Groups!N:N)="StrongBitingHerbivore",87.1133638856975*C56^(2/3)*S56,
IF(_xlfn.XLOOKUP(E56,Groups!A:A,Groups!N:N)="MiscEctotherms",59.4316884072269*C56^(2/3)*S56,
IF(_xlfn.XLOOKUP(E56,Groups!A:A,Groups!N:N)="StrongBeakBird",0.041*(C56*1000)^1.375*S56,
IF(_xlfn.XLOOKUP(E56,Groups!A:A,Groups!N:N)="Bird",0.118*(C56*1000)^0.692*S56,
IF(_xlfn.XLOOKUP(E56,Groups!A:A,Groups!N:N)="Insect",EXP(0.7444*LN(C56)+6.5696)*S56,
IF(_xlfn.XLOOKUP(E56,Groups!A:A,Groups!N:N)="Theropod",EXP(0.6966*LN(C56)+4.158)*S56,
"No"))))))))))))))))</f>
        <v>2644.3570742086185</v>
      </c>
      <c r="AU56" s="8">
        <f>IF(_xlfn.XLOOKUP(E56,Groups!A:A,Groups!U:U)=3,AS56,IF(_xlfn.XLOOKUP(E56,Groups!A:A,Groups!U:U)=2,AR56,AT56))</f>
        <v>2644.3570742086185</v>
      </c>
      <c r="AV56" s="46">
        <f>IFERROR(AVERAGE(_xlfn.XLOOKUP(B56,Animals!B:B,Animals!N:N),_xlfn.XLOOKUP(B56,Animals!B:B,Animals!O:O)),0)</f>
        <v>0</v>
      </c>
      <c r="AW56" s="8">
        <f>MROUND(40*Animals!AO56*_xlfn.XLOOKUP(AG56,Leathers!$A$2:$A$99,Leathers!$B$2:$B$99,0)+(140*_xlfn.XLOOKUP(B56,Animals!B:B,Animals!AO:AO)*2),5)</f>
        <v>320</v>
      </c>
      <c r="AX56" s="8">
        <f>IFERROR(ROUND(SQRT(V56-1)*IF(_xlfn.XLOOKUP(E56,Groups!A:A,Groups!BF:BF)=0,2,1)*IF(_xlfn.XLOOKUP('Base stats'!E56,Groups!A:A,Groups!O:O)=0,1,0.1),1),0)</f>
        <v>3</v>
      </c>
      <c r="AY56" s="8">
        <f t="shared" si="12"/>
        <v>0</v>
      </c>
      <c r="AZ56" s="8">
        <f t="shared" si="13"/>
        <v>0</v>
      </c>
      <c r="BA56" s="8">
        <f t="shared" si="14"/>
        <v>3</v>
      </c>
      <c r="BB56" s="8">
        <f>IF(_xlfn.XLOOKUP(E56,Groups!A:A,Groups!N:N)="Insect",BD56*2.5,IFERROR(AVERAGE(BD56,AT56/9.81/IF(OR(_xlfn.XLOOKUP(E56,Groups!A:A,Groups!N:N)="Pig",_xlfn.XLOOKUP(E56,Groups!A:A,Groups!N:N)="StrongBitingHerbivore"),20,25))*C56^-0.135,BD56))</f>
        <v>3.5318863409400256</v>
      </c>
      <c r="BC56" s="8" t="str">
        <f>IF(W56="No","No",IF(_xlfn.XLOOKUP(E56,Groups!A:A,Groups!U:U)=1,'Base stats'!BB56,IF(OR(_xlfn.XLOOKUP(E56,Groups!A:A,Groups!BD:BD)=1,_xlfn.XLOOKUP(E56,Groups!A:A,Groups!U:U)=2),BD56,IF(_xlfn.XLOOKUP(B56,Animals!B:B,Animals!AO:AO)&gt;4,AVERAGE(BD56,BF56),BF56))))</f>
        <v>No</v>
      </c>
      <c r="BD56" s="8">
        <f t="shared" si="15"/>
        <v>0.84061651845168284</v>
      </c>
      <c r="BE56" s="8">
        <f>IF(_xlfn.XLOOKUP(E56,Groups!A:A,Groups!BE:BE)=1,(0.048*C56^1.01)+(0.071*C56^1.03),0.071*C56^1.03)/IF(_xlfn.XLOOKUP(E56,Groups!A:A,Groups!M:M)=1,0.85,IF(OR(_xlfn.XLOOKUP(B56,Animals!B:B,Animals!AO:AO)&gt;4,_xlfn.XLOOKUP(E56,Groups!A:A,Groups!BC:BC)=1),1.7,1))*C56^-0.25</f>
        <v>1.2614357700529921</v>
      </c>
      <c r="BF56" s="8">
        <f>(0.048*C56^1.01)/IF(_xlfn.XLOOKUP(E56,Groups!A:A,Groups!M:M)=1,0.25,0.8)*C56^-0.25</f>
        <v>0.99018614167501795</v>
      </c>
      <c r="BG56" s="8">
        <f>EXP(1.076*LN(AR56)-4.5397)*IF(_xlfn.XLOOKUP(E56,Groups!A:A,Groups!BC:BC)=1,1.25,IF(_xlfn.XLOOKUP(E56,Groups!A:A,Groups!BD:BD)=1,3.5,2.5))</f>
        <v>56.210239558641248</v>
      </c>
      <c r="BH56" s="8">
        <f>EXP(1.076*LN(AS56)-4.5397)*IF(_xlfn.XLOOKUP(E56,Groups!A:A,Groups!M:M)=1,0.8,IF(_xlfn.XLOOKUP(E56,Groups!A:A,Groups!BC:BC)=1,1.3,3))</f>
        <v>74.485487848676939</v>
      </c>
      <c r="BI56" s="8" t="str">
        <f>IF(W56="No","No",IF(_xlfn.XLOOKUP(E56,Groups!A:A,Groups!U:U)=1,'Base stats'!BJ56,IF(OR(_xlfn.XLOOKUP(E56,Groups!A:A,Groups!BD:BD)=1,_xlfn.XLOOKUP(E56,Groups!A:A,Groups!U:U)=2),BG56,BH56))*1.2)</f>
        <v>No</v>
      </c>
      <c r="BJ56" s="8">
        <f>IFERROR(EXP(1.076*LN(AT56)-4.5397)*IF(_xlfn.XLOOKUP(E56,Groups!A:A,Groups!N:N)="Insect",1,IF(OR(_xlfn.XLOOKUP(E56,Groups!A:A,Groups!N:N)="Pig",_xlfn.XLOOKUP(E56,Groups!A:A,Groups!N:N)="StrongBitingHerbivore"),3.5,3.75)),"No")</f>
        <v>192.69969815751932</v>
      </c>
      <c r="BK56" s="8">
        <f t="shared" si="16"/>
        <v>11</v>
      </c>
      <c r="BL56" s="8">
        <f t="shared" si="17"/>
        <v>10</v>
      </c>
      <c r="BM56" s="8" t="str">
        <f t="shared" si="18"/>
        <v>No</v>
      </c>
      <c r="BN56" s="8">
        <f t="shared" si="19"/>
        <v>10</v>
      </c>
      <c r="BO56" s="8">
        <f t="shared" si="20"/>
        <v>12</v>
      </c>
      <c r="BP56" s="8" t="str" cm="1">
        <f t="array" ref="BP56">IF(AND(_xlfn.XLOOKUP('Base stats'!E56,Groups!A:A,Groups!AD:AD=0),_xlfn.XLOOKUP('Base stats'!E56,Groups!A:A,Groups!P:P=0)),"No",IF(U56="No",AVERAGE(EXP(-0.57+0.99*LN(C56)),EXP(0.32+0.67*LN(C56)))/IF(_xlfn.XLOOKUP(E56,Groups!A:A,Groups!AD:AD)=1,10,2),(0.7354*C56^0.4078)*2/IF(_xlfn.XLOOKUP(E56,Groups!A:A,Groups!BK:BK)=1,1000,100)/IF(_xlfn.XLOOKUP(E56,Groups!A:A,Groups!AJ:AJ)="Photonozoa",3,1)))</f>
        <v>No</v>
      </c>
      <c r="BQ56" s="8" t="str">
        <f>IF(W56="No","No",IF(_xlfn.XLOOKUP(E56,Groups!A:A,Groups!BD:BD)=1,(AO56*5%),EXP(0.7354*LN(C56)^0.4078)*2/IF(_xlfn.XLOOKUP(E56,Groups!A:A,Groups!BL:BL)=1,1000,100)/IF(_xlfn.XLOOKUP(E56,Groups!A:A,Groups!AJ:AJ)="Photonozoa",3,1)))</f>
        <v>No</v>
      </c>
      <c r="BR56" s="8">
        <f>IF(BJ56="No","No",IF(_xlfn.XLOOKUP(E56,Groups!A:A,Groups!BF:BF)=1,(0.0315*C56+2.1825)*2,(0.7354*C56^0.4078)*2)/IF(_xlfn.XLOOKUP(E56,Groups!A:A,Groups!BM:BM)=1,1000,100)/IF(_xlfn.XLOOKUP(E56,Groups!A:A,Groups!AJ:AJ)="Photonozoa",3,1))</f>
        <v>6.6202392635939605E-2</v>
      </c>
      <c r="BS56" s="8">
        <f t="shared" si="21"/>
        <v>9.2083847873202812E-2</v>
      </c>
      <c r="BT56" s="8" t="str">
        <f t="shared" si="22"/>
        <v>No</v>
      </c>
      <c r="BU56" s="8" t="str">
        <f t="shared" si="23"/>
        <v>No</v>
      </c>
      <c r="BV56" s="8">
        <f t="shared" si="24"/>
        <v>2910.766370895597</v>
      </c>
      <c r="BW56" s="4">
        <v>0</v>
      </c>
      <c r="BX56" s="4">
        <v>1</v>
      </c>
    </row>
    <row r="57" spans="1:76" s="16" customFormat="1" x14ac:dyDescent="0.25">
      <c r="A57" s="26" t="s">
        <v>1005</v>
      </c>
      <c r="B57" s="6" t="s">
        <v>880</v>
      </c>
      <c r="C57" s="7">
        <v>40</v>
      </c>
      <c r="D57" s="7" t="s">
        <v>1154</v>
      </c>
      <c r="E57" s="7" t="str">
        <f>Groups!$A$15</f>
        <v>Doglike (CANID)</v>
      </c>
      <c r="F57" s="7">
        <v>62</v>
      </c>
      <c r="G57" s="7">
        <f>669/365</f>
        <v>1.832876712328767</v>
      </c>
      <c r="H57" s="7">
        <v>20.6</v>
      </c>
      <c r="I57" s="4">
        <v>0</v>
      </c>
      <c r="J57" s="7">
        <v>6</v>
      </c>
      <c r="K57" s="7" t="s">
        <v>542</v>
      </c>
      <c r="L57" s="7">
        <v>64</v>
      </c>
      <c r="M57" s="7" t="s">
        <v>626</v>
      </c>
      <c r="N57" s="4">
        <v>0</v>
      </c>
      <c r="O57" s="4">
        <v>0</v>
      </c>
      <c r="P57" s="4">
        <v>0</v>
      </c>
      <c r="Q57" s="4">
        <v>0</v>
      </c>
      <c r="R57" s="4" t="s">
        <v>40</v>
      </c>
      <c r="S57" s="7">
        <f>_xlfn.XLOOKUP(B57,[1]TeethAdjusters!$A:$A,[1]BiteAdjusters!$C:$C,1)</f>
        <v>0.92071733882611773</v>
      </c>
      <c r="T57" s="7">
        <f>_xlfn.XLOOKUP(B57,[1]TeethAdjusters!$A:$A,[1]TeethAdjusters!$B:$B,1)</f>
        <v>1.0836264905293682</v>
      </c>
      <c r="U57" s="7" t="s">
        <v>45</v>
      </c>
      <c r="V57" s="7">
        <f>IF(AT57="No","No",IF(_xlfn.XLOOKUP(E57,Groups!A:A,Groups!AM:AM)=1,MROUND(EXP(0.3582*LN(C57)-0.2221)*T57,0.05),IF(_xlfn.XLOOKUP(E57,Groups!A:A,Groups!AM:AM)=2,MROUND(EXP(0.3582*LN(C57)-0.2221)*T57,0.05),"Need a formula")))</f>
        <v>3.25</v>
      </c>
      <c r="W57" s="7" t="s">
        <v>45</v>
      </c>
      <c r="X57" s="7" t="s">
        <v>932</v>
      </c>
      <c r="Y57" s="4" t="s">
        <v>56</v>
      </c>
      <c r="Z57" s="4">
        <v>1</v>
      </c>
      <c r="AA57" s="4">
        <v>0</v>
      </c>
      <c r="AB57" s="4">
        <v>0</v>
      </c>
      <c r="AC57" s="4">
        <v>0</v>
      </c>
      <c r="AD57" s="4">
        <v>0</v>
      </c>
      <c r="AE57" s="4" t="s">
        <v>45</v>
      </c>
      <c r="AF57" s="4" t="s">
        <v>311</v>
      </c>
      <c r="AG57" s="49" t="s">
        <v>396</v>
      </c>
      <c r="AH57" s="4" t="str">
        <f>Animals!$C$56</f>
        <v>&lt;li&gt;Wolf_Timber&lt;/li&gt;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4" t="s">
        <v>40</v>
      </c>
      <c r="AO57" s="8">
        <f t="shared" si="10"/>
        <v>12208.490600010842</v>
      </c>
      <c r="AP57" s="8">
        <f>IFERROR(C57*_xlfn.XLOOKUP(E57,Groups!A:A,Groups!K:K),0.106*C57^0.94)</f>
        <v>4.99</v>
      </c>
      <c r="AQ57" s="8">
        <f>AP57*10000/(_xlfn.XLOOKUP(E57,Groups!A:A,Groups!J:J)*AO57)</f>
        <v>3.7498342762962693</v>
      </c>
      <c r="AR57" s="8">
        <f t="shared" si="11"/>
        <v>1226.5939672257964</v>
      </c>
      <c r="AS57" s="8">
        <f>IF(_xlfn.XLOOKUP(E57,Groups!A:A,Groups!M:M)=1,EXP(0.7444*LN('Base stats'!C57)+6.5696),EXP(0.7927*LN('Base stats'!C57)+4.28))</f>
        <v>1345.0342323536652</v>
      </c>
      <c r="AT57" s="8">
        <f>IF(_xlfn.XLOOKUP(E57,Groups!A:A,Groups!N:N)="No","No",
IF(_xlfn.XLOOKUP(E57,Groups!A:A,Groups!N:N)="Crocodile",EXP(0.8129*LN(C57)+4.6742)*S57,
IF(_xlfn.XLOOKUP(E57,Groups!A:A,Groups!N:N)="Felid",EXP(0.7843*LN(C57)+4.7073)*S57,
IF(_xlfn.XLOOKUP(E57,Groups!A:A,Groups!N:N)="Canid",EXP(0.8367*LN(C57)+4.8763)*S57,
IF(_xlfn.XLOOKUP(E57,Groups!A:A,Groups!N:N)="Pig",EXP(0.3439*LN(C57)+6.8519)*S57,
IF(_xlfn.XLOOKUP(E57,Groups!A:A,Groups!N:N)="Rodent",EXP(0.5625*LN(C57)+4.3006)*S57,
IF(_xlfn.XLOOKUP(E57,Groups!A:A,Groups!N:N)="Primate",EXP(0.7847*LN(C57)+3.4931)*S57,
IF(_xlfn.XLOOKUP(E57,Groups!A:A,Groups!N:N)="MiscCarnivora",EXP(0.7486*LN(C57)+4.2207)*S57,
IF(_xlfn.XLOOKUP(E57,Groups!A:A,Groups!N:N)="Lizard",EXP(0.7733*LN(C57)+5.5303)*S57,
IF(_xlfn.XLOOKUP(E57,Groups!A:A,Groups!N:N)="Snake",50*C57^(2/3)*S57,
IF(_xlfn.XLOOKUP(E57,Groups!A:A,Groups!N:N)="StrongBitingHerbivore",87.1133638856975*C57^(2/3)*S57,
IF(_xlfn.XLOOKUP(E57,Groups!A:A,Groups!N:N)="MiscEctotherms",59.4316884072269*C57^(2/3)*S57,
IF(_xlfn.XLOOKUP(E57,Groups!A:A,Groups!N:N)="StrongBeakBird",0.041*(C57*1000)^1.375*S57,
IF(_xlfn.XLOOKUP(E57,Groups!A:A,Groups!N:N)="Bird",0.118*(C57*1000)^0.692*S57,
IF(_xlfn.XLOOKUP(E57,Groups!A:A,Groups!N:N)="Insect",EXP(0.7444*LN(C57)+6.5696)*S57,
IF(_xlfn.XLOOKUP(E57,Groups!A:A,Groups!N:N)="Theropod",EXP(0.6966*LN(C57)+4.158)*S57,
"No"))))))))))))))))</f>
        <v>2644.3570742086185</v>
      </c>
      <c r="AU57" s="8">
        <f>IF(_xlfn.XLOOKUP(E57,Groups!A:A,Groups!U:U)=3,AS57,IF(_xlfn.XLOOKUP(E57,Groups!A:A,Groups!U:U)=2,AR57,AT57))</f>
        <v>2644.3570742086185</v>
      </c>
      <c r="AV57" s="46">
        <f>IFERROR(AVERAGE(_xlfn.XLOOKUP(B57,Animals!B:B,Animals!N:N),_xlfn.XLOOKUP(B57,Animals!B:B,Animals!O:O)),0)</f>
        <v>0</v>
      </c>
      <c r="AW57" s="8">
        <f>MROUND(40*Animals!AO57*_xlfn.XLOOKUP(AG57,Leathers!$A$2:$A$99,Leathers!$B$2:$B$99,0)+(140*_xlfn.XLOOKUP(B57,Animals!B:B,Animals!AO:AO)*2),5)</f>
        <v>320</v>
      </c>
      <c r="AX57" s="8">
        <f>IFERROR(ROUND(SQRT(V57-1)*IF(_xlfn.XLOOKUP(E57,Groups!A:A,Groups!BF:BF)=0,2,1)*IF(_xlfn.XLOOKUP('Base stats'!E57,Groups!A:A,Groups!O:O)=0,1,0.1),1),0)</f>
        <v>3</v>
      </c>
      <c r="AY57" s="8">
        <f t="shared" si="12"/>
        <v>0</v>
      </c>
      <c r="AZ57" s="8">
        <f t="shared" si="13"/>
        <v>0</v>
      </c>
      <c r="BA57" s="8">
        <f t="shared" si="14"/>
        <v>3</v>
      </c>
      <c r="BB57" s="8">
        <f>IF(_xlfn.XLOOKUP(E57,Groups!A:A,Groups!N:N)="Insect",BD57*2.5,IFERROR(AVERAGE(BD57,AT57/9.81/IF(OR(_xlfn.XLOOKUP(E57,Groups!A:A,Groups!N:N)="Pig",_xlfn.XLOOKUP(E57,Groups!A:A,Groups!N:N)="StrongBitingHerbivore"),20,25))*C57^-0.135,BD57))</f>
        <v>3.5318863409400256</v>
      </c>
      <c r="BC57" s="8" t="str">
        <f>IF(W57="No","No",IF(_xlfn.XLOOKUP(E57,Groups!A:A,Groups!U:U)=1,'Base stats'!BB57,IF(OR(_xlfn.XLOOKUP(E57,Groups!A:A,Groups!BD:BD)=1,_xlfn.XLOOKUP(E57,Groups!A:A,Groups!U:U)=2),BD57,IF(_xlfn.XLOOKUP(B57,Animals!B:B,Animals!AO:AO)&gt;4,AVERAGE(BD57,BF57),BF57))))</f>
        <v>No</v>
      </c>
      <c r="BD57" s="8">
        <f t="shared" si="15"/>
        <v>0.84061651845168284</v>
      </c>
      <c r="BE57" s="8">
        <f>IF(_xlfn.XLOOKUP(E57,Groups!A:A,Groups!BE:BE)=1,(0.048*C57^1.01)+(0.071*C57^1.03),0.071*C57^1.03)/IF(_xlfn.XLOOKUP(E57,Groups!A:A,Groups!M:M)=1,0.85,IF(OR(_xlfn.XLOOKUP(B57,Animals!B:B,Animals!AO:AO)&gt;4,_xlfn.XLOOKUP(E57,Groups!A:A,Groups!BC:BC)=1),1.7,1))*C57^-0.25</f>
        <v>1.2614357700529921</v>
      </c>
      <c r="BF57" s="8">
        <f>(0.048*C57^1.01)/IF(_xlfn.XLOOKUP(E57,Groups!A:A,Groups!M:M)=1,0.25,0.8)*C57^-0.25</f>
        <v>0.99018614167501795</v>
      </c>
      <c r="BG57" s="8">
        <f>EXP(1.076*LN(AR57)-4.5397)*IF(_xlfn.XLOOKUP(E57,Groups!A:A,Groups!BC:BC)=1,1.25,IF(_xlfn.XLOOKUP(E57,Groups!A:A,Groups!BD:BD)=1,3.5,2.5))</f>
        <v>56.210239558641248</v>
      </c>
      <c r="BH57" s="8">
        <f>EXP(1.076*LN(AS57)-4.5397)*IF(_xlfn.XLOOKUP(E57,Groups!A:A,Groups!M:M)=1,0.8,IF(_xlfn.XLOOKUP(E57,Groups!A:A,Groups!BC:BC)=1,1.3,3))</f>
        <v>74.485487848676939</v>
      </c>
      <c r="BI57" s="8" t="str">
        <f>IF(W57="No","No",IF(_xlfn.XLOOKUP(E57,Groups!A:A,Groups!U:U)=1,'Base stats'!BJ57,IF(OR(_xlfn.XLOOKUP(E57,Groups!A:A,Groups!BD:BD)=1,_xlfn.XLOOKUP(E57,Groups!A:A,Groups!U:U)=2),BG57,BH57))*1.2)</f>
        <v>No</v>
      </c>
      <c r="BJ57" s="8">
        <f>IFERROR(EXP(1.076*LN(AT57)-4.5397)*IF(_xlfn.XLOOKUP(E57,Groups!A:A,Groups!N:N)="Insect",1,IF(OR(_xlfn.XLOOKUP(E57,Groups!A:A,Groups!N:N)="Pig",_xlfn.XLOOKUP(E57,Groups!A:A,Groups!N:N)="StrongBitingHerbivore"),3.5,3.75)),"No")</f>
        <v>192.69969815751932</v>
      </c>
      <c r="BK57" s="8">
        <f t="shared" si="16"/>
        <v>11</v>
      </c>
      <c r="BL57" s="8">
        <f t="shared" si="17"/>
        <v>10</v>
      </c>
      <c r="BM57" s="8" t="str">
        <f t="shared" si="18"/>
        <v>No</v>
      </c>
      <c r="BN57" s="8">
        <f t="shared" si="19"/>
        <v>10</v>
      </c>
      <c r="BO57" s="8">
        <f t="shared" si="20"/>
        <v>12</v>
      </c>
      <c r="BP57" s="8" t="str" cm="1">
        <f t="array" ref="BP57">IF(AND(_xlfn.XLOOKUP('Base stats'!E57,Groups!A:A,Groups!AD:AD=0),_xlfn.XLOOKUP('Base stats'!E57,Groups!A:A,Groups!P:P=0)),"No",IF(U57="No",AVERAGE(EXP(-0.57+0.99*LN(C57)),EXP(0.32+0.67*LN(C57)))/IF(_xlfn.XLOOKUP(E57,Groups!A:A,Groups!AD:AD)=1,10,2),(0.7354*C57^0.4078)*2/IF(_xlfn.XLOOKUP(E57,Groups!A:A,Groups!BK:BK)=1,1000,100)/IF(_xlfn.XLOOKUP(E57,Groups!A:A,Groups!AJ:AJ)="Photonozoa",3,1)))</f>
        <v>No</v>
      </c>
      <c r="BQ57" s="8" t="str">
        <f>IF(W57="No","No",IF(_xlfn.XLOOKUP(E57,Groups!A:A,Groups!BD:BD)=1,(AO57*5%),EXP(0.7354*LN(C57)^0.4078)*2/IF(_xlfn.XLOOKUP(E57,Groups!A:A,Groups!BL:BL)=1,1000,100)/IF(_xlfn.XLOOKUP(E57,Groups!A:A,Groups!AJ:AJ)="Photonozoa",3,1)))</f>
        <v>No</v>
      </c>
      <c r="BR57" s="8">
        <f>IF(BJ57="No","No",IF(_xlfn.XLOOKUP(E57,Groups!A:A,Groups!BF:BF)=1,(0.0315*C57+2.1825)*2,(0.7354*C57^0.4078)*2)/IF(_xlfn.XLOOKUP(E57,Groups!A:A,Groups!BM:BM)=1,1000,100)/IF(_xlfn.XLOOKUP(E57,Groups!A:A,Groups!AJ:AJ)="Photonozoa",3,1))</f>
        <v>6.6202392635939605E-2</v>
      </c>
      <c r="BS57" s="8">
        <f t="shared" si="21"/>
        <v>9.2083847873202812E-2</v>
      </c>
      <c r="BT57" s="8" t="str">
        <f t="shared" si="22"/>
        <v>No</v>
      </c>
      <c r="BU57" s="8" t="str">
        <f t="shared" si="23"/>
        <v>No</v>
      </c>
      <c r="BV57" s="8">
        <f t="shared" si="24"/>
        <v>2910.766370895597</v>
      </c>
      <c r="BW57" s="4">
        <v>0</v>
      </c>
      <c r="BX57" s="4">
        <v>1</v>
      </c>
    </row>
    <row r="58" spans="1:76" x14ac:dyDescent="0.25">
      <c r="A58" s="26" t="s">
        <v>65</v>
      </c>
      <c r="B58" s="6" t="s">
        <v>66</v>
      </c>
      <c r="C58" s="7">
        <f>AVERAGE(8.8,6.9)</f>
        <v>7.8500000000000005</v>
      </c>
      <c r="D58" s="7" t="s">
        <v>1757</v>
      </c>
      <c r="E58" s="7" t="str">
        <f>Groups!$A$15</f>
        <v>Doglike (CANID)</v>
      </c>
      <c r="F58" s="7">
        <v>52</v>
      </c>
      <c r="G58" s="7">
        <f>304/365</f>
        <v>0.83287671232876714</v>
      </c>
      <c r="H58" s="7">
        <v>21.3</v>
      </c>
      <c r="I58" s="4">
        <v>0</v>
      </c>
      <c r="J58" s="7">
        <v>5</v>
      </c>
      <c r="K58" s="7" t="s">
        <v>543</v>
      </c>
      <c r="L58" s="7">
        <f>MIN(37.5*C58^0.089,79.3*C58^-0.072)</f>
        <v>45.047912127373074</v>
      </c>
      <c r="M58" s="7" t="s">
        <v>626</v>
      </c>
      <c r="N58" s="4">
        <v>0</v>
      </c>
      <c r="O58" s="4">
        <v>0</v>
      </c>
      <c r="P58" s="4">
        <v>0</v>
      </c>
      <c r="Q58" s="4">
        <v>0</v>
      </c>
      <c r="R58" s="4" t="s">
        <v>40</v>
      </c>
      <c r="S58" s="7">
        <f>_xlfn.XLOOKUP(B58,[1]TeethAdjusters!$A:$A,[1]BiteAdjusters!$C:$C,1)</f>
        <v>1.149951989577956</v>
      </c>
      <c r="T58" s="7">
        <f>_xlfn.XLOOKUP(B58,[1]TeethAdjusters!$A:$A,[1]TeethAdjusters!$B:$B,1)</f>
        <v>1.4047564678154916</v>
      </c>
      <c r="U58" s="7" t="s">
        <v>45</v>
      </c>
      <c r="V58" s="7">
        <f>IF(AT58="No","No",IF(_xlfn.XLOOKUP(E58,Groups!A:A,Groups!AM:AM)=1,MROUND(EXP(0.3582*LN(C58)-0.2221)*T58,0.05),IF(_xlfn.XLOOKUP(E58,Groups!A:A,Groups!AM:AM)=2,MROUND(EXP(0.3582*LN(C58)-0.2221)*T58,0.05),"Need a formula")))</f>
        <v>2.35</v>
      </c>
      <c r="W58" s="7" t="s">
        <v>45</v>
      </c>
      <c r="X58" s="7" t="s">
        <v>932</v>
      </c>
      <c r="Y58" s="4" t="s">
        <v>56</v>
      </c>
      <c r="Z58" s="4">
        <v>1</v>
      </c>
      <c r="AA58" s="4">
        <v>0</v>
      </c>
      <c r="AB58" s="4">
        <v>0</v>
      </c>
      <c r="AC58" s="4">
        <v>0</v>
      </c>
      <c r="AD58" s="4">
        <v>0</v>
      </c>
      <c r="AE58" s="4" t="s">
        <v>45</v>
      </c>
      <c r="AF58" s="4" t="s">
        <v>45</v>
      </c>
      <c r="AG58" s="49" t="s">
        <v>381</v>
      </c>
      <c r="AH58" s="4" t="str">
        <f>Animals!$C$60</f>
        <v xml:space="preserve">&lt;li&gt;Fox_Fennec&lt;/li&gt; 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4" t="s">
        <v>40</v>
      </c>
      <c r="AO58" s="8">
        <f t="shared" si="10"/>
        <v>4236.3150991717894</v>
      </c>
      <c r="AP58" s="8">
        <f>IFERROR(C58*_xlfn.XLOOKUP(E58,Groups!A:A,Groups!K:K),0.106*C58^0.94)</f>
        <v>0.97928750000000009</v>
      </c>
      <c r="AQ58" s="8">
        <f>AP58*10000/(_xlfn.XLOOKUP(E58,Groups!A:A,Groups!J:J)*AO58)</f>
        <v>2.120779210352445</v>
      </c>
      <c r="AR58" s="8">
        <f t="shared" si="11"/>
        <v>309.98248017160535</v>
      </c>
      <c r="AS58" s="8">
        <f>IF(_xlfn.XLOOKUP(E58,Groups!A:A,Groups!M:M)=1,EXP(0.7444*LN('Base stats'!C58)+6.5696),EXP(0.7927*LN('Base stats'!C58)+4.28))</f>
        <v>369.95044959377333</v>
      </c>
      <c r="AT58" s="8">
        <f>IF(_xlfn.XLOOKUP(E58,Groups!A:A,Groups!N:N)="No","No",
IF(_xlfn.XLOOKUP(E58,Groups!A:A,Groups!N:N)="Crocodile",EXP(0.8129*LN(C58)+4.6742)*S58,
IF(_xlfn.XLOOKUP(E58,Groups!A:A,Groups!N:N)="Felid",EXP(0.7843*LN(C58)+4.7073)*S58,
IF(_xlfn.XLOOKUP(E58,Groups!A:A,Groups!N:N)="Canid",EXP(0.8367*LN(C58)+4.8763)*S58,
IF(_xlfn.XLOOKUP(E58,Groups!A:A,Groups!N:N)="Pig",EXP(0.3439*LN(C58)+6.8519)*S58,
IF(_xlfn.XLOOKUP(E58,Groups!A:A,Groups!N:N)="Rodent",EXP(0.5625*LN(C58)+4.3006)*S58,
IF(_xlfn.XLOOKUP(E58,Groups!A:A,Groups!N:N)="Primate",EXP(0.7847*LN(C58)+3.4931)*S58,
IF(_xlfn.XLOOKUP(E58,Groups!A:A,Groups!N:N)="MiscCarnivora",EXP(0.7486*LN(C58)+4.2207)*S58,
IF(_xlfn.XLOOKUP(E58,Groups!A:A,Groups!N:N)="Lizard",EXP(0.7733*LN(C58)+5.5303)*S58,
IF(_xlfn.XLOOKUP(E58,Groups!A:A,Groups!N:N)="Snake",50*C58^(2/3)*S58,
IF(_xlfn.XLOOKUP(E58,Groups!A:A,Groups!N:N)="StrongBitingHerbivore",87.1133638856975*C58^(2/3)*S58,
IF(_xlfn.XLOOKUP(E58,Groups!A:A,Groups!N:N)="MiscEctotherms",59.4316884072269*C58^(2/3)*S58,
IF(_xlfn.XLOOKUP(E58,Groups!A:A,Groups!N:N)="StrongBeakBird",0.041*(C58*1000)^1.375*S58,
IF(_xlfn.XLOOKUP(E58,Groups!A:A,Groups!N:N)="Bird",0.118*(C58*1000)^0.692*S58,
IF(_xlfn.XLOOKUP(E58,Groups!A:A,Groups!N:N)="Insect",EXP(0.7444*LN(C58)+6.5696)*S58,
IF(_xlfn.XLOOKUP(E58,Groups!A:A,Groups!N:N)="Theropod",EXP(0.6966*LN(C58)+4.158)*S58,
"No"))))))))))))))))</f>
        <v>845.60459230276274</v>
      </c>
      <c r="AU58" s="8">
        <f>IF(_xlfn.XLOOKUP(E58,Groups!A:A,Groups!U:U)=3,AS58,IF(_xlfn.XLOOKUP(E58,Groups!A:A,Groups!U:U)=2,AR58,AT58))</f>
        <v>845.60459230276274</v>
      </c>
      <c r="AV58" s="46">
        <f>IFERROR(AVERAGE(_xlfn.XLOOKUP(B58,Animals!B:B,Animals!N:N),_xlfn.XLOOKUP(B58,Animals!B:B,Animals!O:O)),0)</f>
        <v>0</v>
      </c>
      <c r="AW58" s="8">
        <f>MROUND(40*Animals!AO58*_xlfn.XLOOKUP(AG58,Leathers!$A$2:$A$99,Leathers!$B$2:$B$99,0)+(140*_xlfn.XLOOKUP(B58,Animals!B:B,Animals!AO:AO)*2),5)</f>
        <v>185</v>
      </c>
      <c r="AX58" s="8">
        <f>IFERROR(ROUND(SQRT(V58-1)*IF(_xlfn.XLOOKUP(E58,Groups!A:A,Groups!BF:BF)=0,2,1)*IF(_xlfn.XLOOKUP('Base stats'!E58,Groups!A:A,Groups!O:O)=0,1,0.1),1),0)</f>
        <v>2.2999999999999998</v>
      </c>
      <c r="AY58" s="8">
        <f t="shared" si="12"/>
        <v>0</v>
      </c>
      <c r="AZ58" s="8">
        <f t="shared" si="13"/>
        <v>0</v>
      </c>
      <c r="BA58" s="8">
        <f t="shared" si="14"/>
        <v>1.4</v>
      </c>
      <c r="BB58" s="8">
        <f>IF(_xlfn.XLOOKUP(E58,Groups!A:A,Groups!N:N)="Insect",BD58*2.5,IFERROR(AVERAGE(BD58,AT58/9.81/IF(OR(_xlfn.XLOOKUP(E58,Groups!A:A,Groups!N:N)="Pig",_xlfn.XLOOKUP(E58,Groups!A:A,Groups!N:N)="StrongBitingHerbivore"),20,25))*C58^-0.135,BD58))</f>
        <v>1.3875722239174799</v>
      </c>
      <c r="BC58" s="8" t="str">
        <f>IF(W58="No","No",IF(_xlfn.XLOOKUP(E58,Groups!A:A,Groups!U:U)=1,'Base stats'!BB58,IF(OR(_xlfn.XLOOKUP(E58,Groups!A:A,Groups!BD:BD)=1,_xlfn.XLOOKUP(E58,Groups!A:A,Groups!U:U)=2),BD58,IF(_xlfn.XLOOKUP(B58,Animals!B:B,Animals!AO:AO)&gt;4,AVERAGE(BD58,BF58),BF58))))</f>
        <v>No</v>
      </c>
      <c r="BD58" s="8">
        <f t="shared" si="15"/>
        <v>0.21723147535484741</v>
      </c>
      <c r="BE58" s="8">
        <f>IF(_xlfn.XLOOKUP(E58,Groups!A:A,Groups!BE:BE)=1,(0.048*C58^1.01)+(0.071*C58^1.03),0.071*C58^1.03)/IF(_xlfn.XLOOKUP(E58,Groups!A:A,Groups!M:M)=1,0.85,IF(OR(_xlfn.XLOOKUP(B58,Animals!B:B,Animals!AO:AO)&gt;4,_xlfn.XLOOKUP(E58,Groups!A:A,Groups!BC:BC)=1),1.7,1))*C58^-0.25</f>
        <v>0.35420662590149282</v>
      </c>
      <c r="BF58" s="8">
        <f>(0.048*C58^1.01)/IF(_xlfn.XLOOKUP(E58,Groups!A:A,Groups!M:M)=1,0.25,0.8)*C58^-0.25</f>
        <v>0.28724480934084801</v>
      </c>
      <c r="BG58" s="8">
        <f>EXP(1.076*LN(AR58)-4.5397)*IF(_xlfn.XLOOKUP(E58,Groups!A:A,Groups!BC:BC)=1,1.25,IF(_xlfn.XLOOKUP(E58,Groups!A:A,Groups!BD:BD)=1,3.5,2.5))</f>
        <v>12.795348564504721</v>
      </c>
      <c r="BH58" s="8">
        <f>EXP(1.076*LN(AS58)-4.5397)*IF(_xlfn.XLOOKUP(E58,Groups!A:A,Groups!M:M)=1,0.8,IF(_xlfn.XLOOKUP(E58,Groups!A:A,Groups!BC:BC)=1,1.3,3))</f>
        <v>18.572786447794911</v>
      </c>
      <c r="BI58" s="8" t="str">
        <f>IF(W58="No","No",IF(_xlfn.XLOOKUP(E58,Groups!A:A,Groups!U:U)=1,'Base stats'!BJ58,IF(OR(_xlfn.XLOOKUP(E58,Groups!A:A,Groups!BD:BD)=1,_xlfn.XLOOKUP(E58,Groups!A:A,Groups!U:U)=2),BG58,BH58))*1.2)</f>
        <v>No</v>
      </c>
      <c r="BJ58" s="8">
        <f>IFERROR(EXP(1.076*LN(AT58)-4.5397)*IF(_xlfn.XLOOKUP(E58,Groups!A:A,Groups!N:N)="Insect",1,IF(OR(_xlfn.XLOOKUP(E58,Groups!A:A,Groups!N:N)="Pig",_xlfn.XLOOKUP(E58,Groups!A:A,Groups!N:N)="StrongBitingHerbivore"),3.5,3.75)),"No")</f>
        <v>56.506272354400373</v>
      </c>
      <c r="BK58" s="8">
        <f t="shared" si="16"/>
        <v>10</v>
      </c>
      <c r="BL58" s="8">
        <f t="shared" si="17"/>
        <v>10</v>
      </c>
      <c r="BM58" s="8" t="str">
        <f t="shared" si="18"/>
        <v>No</v>
      </c>
      <c r="BN58" s="8">
        <f t="shared" si="19"/>
        <v>9</v>
      </c>
      <c r="BO58" s="8">
        <f t="shared" si="20"/>
        <v>11</v>
      </c>
      <c r="BP58" s="8" t="str" cm="1">
        <f t="array" ref="BP58">IF(AND(_xlfn.XLOOKUP('Base stats'!E58,Groups!A:A,Groups!AD:AD=0),_xlfn.XLOOKUP('Base stats'!E58,Groups!A:A,Groups!P:P=0)),"No",IF(U58="No",AVERAGE(EXP(-0.57+0.99*LN(C58)),EXP(0.32+0.67*LN(C58)))/IF(_xlfn.XLOOKUP(E58,Groups!A:A,Groups!AD:AD)=1,10,2),(0.7354*C58^0.4078)*2/IF(_xlfn.XLOOKUP(E58,Groups!A:A,Groups!BK:BK)=1,1000,100)/IF(_xlfn.XLOOKUP(E58,Groups!A:A,Groups!AJ:AJ)="Photonozoa",3,1)))</f>
        <v>No</v>
      </c>
      <c r="BQ58" s="8" t="str">
        <f>IF(W58="No","No",IF(_xlfn.XLOOKUP(E58,Groups!A:A,Groups!BD:BD)=1,(AO58*5%),EXP(0.7354*LN(C58)^0.4078)*2/IF(_xlfn.XLOOKUP(E58,Groups!A:A,Groups!BL:BL)=1,1000,100)/IF(_xlfn.XLOOKUP(E58,Groups!A:A,Groups!AJ:AJ)="Photonozoa",3,1)))</f>
        <v>No</v>
      </c>
      <c r="BR58" s="8">
        <f>IF(BJ58="No","No",IF(_xlfn.XLOOKUP(E58,Groups!A:A,Groups!BF:BF)=1,(0.0315*C58+2.1825)*2,(0.7354*C58^0.4078)*2)/IF(_xlfn.XLOOKUP(E58,Groups!A:A,Groups!BM:BM)=1,1000,100)/IF(_xlfn.XLOOKUP(E58,Groups!A:A,Groups!AJ:AJ)="Photonozoa",3,1))</f>
        <v>3.4078578203322087E-2</v>
      </c>
      <c r="BS58" s="8">
        <f t="shared" si="21"/>
        <v>6.040791709288218E-2</v>
      </c>
      <c r="BT58" s="8" t="str">
        <f t="shared" si="22"/>
        <v>No</v>
      </c>
      <c r="BU58" s="8" t="str">
        <f t="shared" si="23"/>
        <v>No</v>
      </c>
      <c r="BV58" s="8">
        <f t="shared" si="24"/>
        <v>1658.1170733493796</v>
      </c>
      <c r="BW58" s="4">
        <v>0</v>
      </c>
      <c r="BX58" s="4">
        <v>1</v>
      </c>
    </row>
    <row r="59" spans="1:76" x14ac:dyDescent="0.25">
      <c r="A59" s="26" t="s">
        <v>67</v>
      </c>
      <c r="B59" s="6" t="s">
        <v>68</v>
      </c>
      <c r="C59" s="7">
        <v>5.2</v>
      </c>
      <c r="D59" s="7" t="s">
        <v>549</v>
      </c>
      <c r="E59" s="7" t="str">
        <f>Groups!$A$15</f>
        <v>Doglike (CANID)</v>
      </c>
      <c r="F59" s="7">
        <v>52</v>
      </c>
      <c r="G59" s="7">
        <f>304/365</f>
        <v>0.83287671232876714</v>
      </c>
      <c r="H59" s="7">
        <v>16.3</v>
      </c>
      <c r="I59" s="4">
        <v>0</v>
      </c>
      <c r="J59" s="7">
        <v>9</v>
      </c>
      <c r="K59" s="7" t="s">
        <v>549</v>
      </c>
      <c r="L59" s="7">
        <f>MIN(37.5*C59^0.089,79.3*C59^-0.072)</f>
        <v>43.426573686525977</v>
      </c>
      <c r="M59" s="7" t="s">
        <v>626</v>
      </c>
      <c r="N59" s="4">
        <v>0</v>
      </c>
      <c r="O59" s="4">
        <v>0</v>
      </c>
      <c r="P59" s="4">
        <v>0</v>
      </c>
      <c r="Q59" s="4">
        <v>0</v>
      </c>
      <c r="R59" s="4" t="s">
        <v>40</v>
      </c>
      <c r="S59" s="7">
        <f>_xlfn.XLOOKUP(B59,[1]TeethAdjusters!$A:$A,[1]BiteAdjusters!$C:$C,1)</f>
        <v>1.0316269082575813</v>
      </c>
      <c r="T59" s="7">
        <f>_xlfn.XLOOKUP(B59,[1]TeethAdjusters!$A:$A,[1]TeethAdjusters!$B:$B,1)</f>
        <v>1.1469133122883668</v>
      </c>
      <c r="U59" s="7" t="s">
        <v>45</v>
      </c>
      <c r="V59" s="7">
        <f>IF(AT59="No","No",IF(_xlfn.XLOOKUP(E59,Groups!A:A,Groups!AM:AM)=1,MROUND(EXP(0.3582*LN(C59)-0.2221)*T59,0.05),IF(_xlfn.XLOOKUP(E59,Groups!A:A,Groups!AM:AM)=2,MROUND(EXP(0.3582*LN(C59)-0.2221)*T59,0.05),"Need a formula")))</f>
        <v>1.6500000000000001</v>
      </c>
      <c r="W59" s="7" t="s">
        <v>45</v>
      </c>
      <c r="X59" s="7" t="s">
        <v>932</v>
      </c>
      <c r="Y59" s="4" t="s">
        <v>56</v>
      </c>
      <c r="Z59" s="4">
        <v>1</v>
      </c>
      <c r="AA59" s="4">
        <v>0</v>
      </c>
      <c r="AB59" s="4">
        <v>0</v>
      </c>
      <c r="AC59" s="4">
        <v>0</v>
      </c>
      <c r="AD59" s="4">
        <v>0</v>
      </c>
      <c r="AE59" s="4" t="s">
        <v>45</v>
      </c>
      <c r="AF59" s="4" t="s">
        <v>45</v>
      </c>
      <c r="AG59" s="49" t="s">
        <v>381</v>
      </c>
      <c r="AH59" s="4" t="str">
        <f>Animals!$C$60</f>
        <v xml:space="preserve">&lt;li&gt;Fox_Fennec&lt;/li&gt; 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4" t="s">
        <v>40</v>
      </c>
      <c r="AO59" s="8">
        <f t="shared" si="10"/>
        <v>3241.3442053354802</v>
      </c>
      <c r="AP59" s="8">
        <f>IFERROR(C59*_xlfn.XLOOKUP(E59,Groups!A:A,Groups!K:K),0.106*C59^0.94)</f>
        <v>0.64870000000000005</v>
      </c>
      <c r="AQ59" s="8">
        <f>AP59*10000/(_xlfn.XLOOKUP(E59,Groups!A:A,Groups!J:J)*AO59)</f>
        <v>1.8360827390662824</v>
      </c>
      <c r="AR59" s="8">
        <f t="shared" si="11"/>
        <v>218.90151840617656</v>
      </c>
      <c r="AS59" s="8">
        <f>IF(_xlfn.XLOOKUP(E59,Groups!A:A,Groups!M:M)=1,EXP(0.7444*LN('Base stats'!C59)+6.5696),EXP(0.7927*LN('Base stats'!C59)+4.28))</f>
        <v>266.9047071146328</v>
      </c>
      <c r="AT59" s="8">
        <f>IF(_xlfn.XLOOKUP(E59,Groups!A:A,Groups!N:N)="No","No",
IF(_xlfn.XLOOKUP(E59,Groups!A:A,Groups!N:N)="Crocodile",EXP(0.8129*LN(C59)+4.6742)*S59,
IF(_xlfn.XLOOKUP(E59,Groups!A:A,Groups!N:N)="Felid",EXP(0.7843*LN(C59)+4.7073)*S59,
IF(_xlfn.XLOOKUP(E59,Groups!A:A,Groups!N:N)="Canid",EXP(0.8367*LN(C59)+4.8763)*S59,
IF(_xlfn.XLOOKUP(E59,Groups!A:A,Groups!N:N)="Pig",EXP(0.3439*LN(C59)+6.8519)*S59,
IF(_xlfn.XLOOKUP(E59,Groups!A:A,Groups!N:N)="Rodent",EXP(0.5625*LN(C59)+4.3006)*S59,
IF(_xlfn.XLOOKUP(E59,Groups!A:A,Groups!N:N)="Primate",EXP(0.7847*LN(C59)+3.4931)*S59,
IF(_xlfn.XLOOKUP(E59,Groups!A:A,Groups!N:N)="MiscCarnivora",EXP(0.7486*LN(C59)+4.2207)*S59,
IF(_xlfn.XLOOKUP(E59,Groups!A:A,Groups!N:N)="Lizard",EXP(0.7733*LN(C59)+5.5303)*S59,
IF(_xlfn.XLOOKUP(E59,Groups!A:A,Groups!N:N)="Snake",50*C59^(2/3)*S59,
IF(_xlfn.XLOOKUP(E59,Groups!A:A,Groups!N:N)="StrongBitingHerbivore",87.1133638856975*C59^(2/3)*S59,
IF(_xlfn.XLOOKUP(E59,Groups!A:A,Groups!N:N)="MiscEctotherms",59.4316884072269*C59^(2/3)*S59,
IF(_xlfn.XLOOKUP(E59,Groups!A:A,Groups!N:N)="StrongBeakBird",0.041*(C59*1000)^1.375*S59,
IF(_xlfn.XLOOKUP(E59,Groups!A:A,Groups!N:N)="Bird",0.118*(C59*1000)^0.692*S59,
IF(_xlfn.XLOOKUP(E59,Groups!A:A,Groups!N:N)="Insect",EXP(0.7444*LN(C59)+6.5696)*S59,
IF(_xlfn.XLOOKUP(E59,Groups!A:A,Groups!N:N)="Theropod",EXP(0.6966*LN(C59)+4.158)*S59,
"No"))))))))))))))))</f>
        <v>537.46828344516064</v>
      </c>
      <c r="AU59" s="8">
        <f>IF(_xlfn.XLOOKUP(E59,Groups!A:A,Groups!U:U)=3,AS59,IF(_xlfn.XLOOKUP(E59,Groups!A:A,Groups!U:U)=2,AR59,AT59))</f>
        <v>537.46828344516064</v>
      </c>
      <c r="AV59" s="46">
        <f>IFERROR(AVERAGE(_xlfn.XLOOKUP(B59,Animals!B:B,Animals!N:N),_xlfn.XLOOKUP(B59,Animals!B:B,Animals!O:O)),0)</f>
        <v>0</v>
      </c>
      <c r="AW59" s="8">
        <f>MROUND(40*Animals!AO59*_xlfn.XLOOKUP(AG59,Leathers!$A$2:$A$99,Leathers!$B$2:$B$99,0)+(140*_xlfn.XLOOKUP(B59,Animals!B:B,Animals!AO:AO)*2),5)</f>
        <v>140</v>
      </c>
      <c r="AX59" s="8">
        <f>IFERROR(ROUND(SQRT(V59-1)*IF(_xlfn.XLOOKUP(E59,Groups!A:A,Groups!BF:BF)=0,2,1)*IF(_xlfn.XLOOKUP('Base stats'!E59,Groups!A:A,Groups!O:O)=0,1,0.1),1),0)</f>
        <v>1.6</v>
      </c>
      <c r="AY59" s="8">
        <f t="shared" si="12"/>
        <v>0</v>
      </c>
      <c r="AZ59" s="8">
        <f t="shared" si="13"/>
        <v>0</v>
      </c>
      <c r="BA59" s="8">
        <f t="shared" si="14"/>
        <v>1.1000000000000001</v>
      </c>
      <c r="BB59" s="8">
        <f>IF(_xlfn.XLOOKUP(E59,Groups!A:A,Groups!N:N)="Insect",BD59*2.5,IFERROR(AVERAGE(BD59,AT59/9.81/IF(OR(_xlfn.XLOOKUP(E59,Groups!A:A,Groups!N:N)="Pig",_xlfn.XLOOKUP(E59,Groups!A:A,Groups!N:N)="StrongBitingHerbivore"),20,25))*C59^-0.135,BD59))</f>
        <v>0.93885256623170332</v>
      </c>
      <c r="BC59" s="8" t="str">
        <f>IF(W59="No","No",IF(_xlfn.XLOOKUP(E59,Groups!A:A,Groups!U:U)=1,'Base stats'!BB59,IF(OR(_xlfn.XLOOKUP(E59,Groups!A:A,Groups!BD:BD)=1,_xlfn.XLOOKUP(E59,Groups!A:A,Groups!U:U)=2),BD59,IF(_xlfn.XLOOKUP(B59,Animals!B:B,Animals!AO:AO)&gt;4,AVERAGE(BD59,BF59),BF59))))</f>
        <v>No</v>
      </c>
      <c r="BD59" s="8">
        <f t="shared" si="15"/>
        <v>0.15427119569520048</v>
      </c>
      <c r="BE59" s="8">
        <f>IF(_xlfn.XLOOKUP(E59,Groups!A:A,Groups!BE:BE)=1,(0.048*C59^1.01)+(0.071*C59^1.03),0.071*C59^1.03)/IF(_xlfn.XLOOKUP(E59,Groups!A:A,Groups!M:M)=1,0.85,IF(OR(_xlfn.XLOOKUP(B59,Animals!B:B,Animals!AO:AO)&gt;4,_xlfn.XLOOKUP(E59,Groups!A:A,Groups!BC:BC)=1),1.7,1))*C59^-0.25</f>
        <v>0.25688630782189958</v>
      </c>
      <c r="BF59" s="8">
        <f>(0.048*C59^1.01)/IF(_xlfn.XLOOKUP(E59,Groups!A:A,Groups!M:M)=1,0.25,0.8)*C59^-0.25</f>
        <v>0.21004569823120789</v>
      </c>
      <c r="BG59" s="8">
        <f>EXP(1.076*LN(AR59)-4.5397)*IF(_xlfn.XLOOKUP(E59,Groups!A:A,Groups!BC:BC)=1,1.25,IF(_xlfn.XLOOKUP(E59,Groups!A:A,Groups!BD:BD)=1,3.5,2.5))</f>
        <v>8.7999667267543895</v>
      </c>
      <c r="BH59" s="8">
        <f>EXP(1.076*LN(AS59)-4.5397)*IF(_xlfn.XLOOKUP(E59,Groups!A:A,Groups!M:M)=1,0.8,IF(_xlfn.XLOOKUP(E59,Groups!A:A,Groups!BC:BC)=1,1.3,3))</f>
        <v>13.071153114565298</v>
      </c>
      <c r="BI59" s="8" t="str">
        <f>IF(W59="No","No",IF(_xlfn.XLOOKUP(E59,Groups!A:A,Groups!U:U)=1,'Base stats'!BJ59,IF(OR(_xlfn.XLOOKUP(E59,Groups!A:A,Groups!BD:BD)=1,_xlfn.XLOOKUP(E59,Groups!A:A,Groups!U:U)=2),BG59,BH59))*1.2)</f>
        <v>No</v>
      </c>
      <c r="BJ59" s="8">
        <f>IFERROR(EXP(1.076*LN(AT59)-4.5397)*IF(_xlfn.XLOOKUP(E59,Groups!A:A,Groups!N:N)="Insect",1,IF(OR(_xlfn.XLOOKUP(E59,Groups!A:A,Groups!N:N)="Pig",_xlfn.XLOOKUP(E59,Groups!A:A,Groups!N:N)="StrongBitingHerbivore"),3.5,3.75)),"No")</f>
        <v>34.699583769087951</v>
      </c>
      <c r="BK59" s="8">
        <f t="shared" si="16"/>
        <v>10</v>
      </c>
      <c r="BL59" s="8">
        <f t="shared" si="17"/>
        <v>10</v>
      </c>
      <c r="BM59" s="8" t="str">
        <f t="shared" si="18"/>
        <v>No</v>
      </c>
      <c r="BN59" s="8">
        <f t="shared" si="19"/>
        <v>8</v>
      </c>
      <c r="BO59" s="8">
        <f t="shared" si="20"/>
        <v>11</v>
      </c>
      <c r="BP59" s="8" t="str" cm="1">
        <f t="array" ref="BP59">IF(AND(_xlfn.XLOOKUP('Base stats'!E59,Groups!A:A,Groups!AD:AD=0),_xlfn.XLOOKUP('Base stats'!E59,Groups!A:A,Groups!P:P=0)),"No",IF(U59="No",AVERAGE(EXP(-0.57+0.99*LN(C59)),EXP(0.32+0.67*LN(C59)))/IF(_xlfn.XLOOKUP(E59,Groups!A:A,Groups!AD:AD)=1,10,2),(0.7354*C59^0.4078)*2/IF(_xlfn.XLOOKUP(E59,Groups!A:A,Groups!BK:BK)=1,1000,100)/IF(_xlfn.XLOOKUP(E59,Groups!A:A,Groups!AJ:AJ)="Photonozoa",3,1)))</f>
        <v>No</v>
      </c>
      <c r="BQ59" s="8" t="str">
        <f>IF(W59="No","No",IF(_xlfn.XLOOKUP(E59,Groups!A:A,Groups!BD:BD)=1,(AO59*5%),EXP(0.7354*LN(C59)^0.4078)*2/IF(_xlfn.XLOOKUP(E59,Groups!A:A,Groups!BL:BL)=1,1000,100)/IF(_xlfn.XLOOKUP(E59,Groups!A:A,Groups!AJ:AJ)="Photonozoa",3,1)))</f>
        <v>No</v>
      </c>
      <c r="BR59" s="8">
        <f>IF(BJ59="No","No",IF(_xlfn.XLOOKUP(E59,Groups!A:A,Groups!BF:BF)=1,(0.0315*C59+2.1825)*2,(0.7354*C59^0.4078)*2)/IF(_xlfn.XLOOKUP(E59,Groups!A:A,Groups!BM:BM)=1,1000,100)/IF(_xlfn.XLOOKUP(E59,Groups!A:A,Groups!AJ:AJ)="Photonozoa",3,1))</f>
        <v>2.8809769574425201E-2</v>
      </c>
      <c r="BS59" s="8">
        <f t="shared" si="21"/>
        <v>5.4298255102121058E-2</v>
      </c>
      <c r="BT59" s="8" t="str">
        <f t="shared" si="22"/>
        <v>No</v>
      </c>
      <c r="BU59" s="8" t="str">
        <f t="shared" si="23"/>
        <v>No</v>
      </c>
      <c r="BV59" s="8">
        <f t="shared" si="24"/>
        <v>1204.4380875538559</v>
      </c>
      <c r="BW59" s="4">
        <v>0</v>
      </c>
      <c r="BX59" s="4">
        <v>1</v>
      </c>
    </row>
    <row r="60" spans="1:76" x14ac:dyDescent="0.25">
      <c r="A60" s="26" t="s">
        <v>486</v>
      </c>
      <c r="B60" s="6" t="s">
        <v>487</v>
      </c>
      <c r="C60" s="7">
        <v>2.4</v>
      </c>
      <c r="D60" s="7" t="s">
        <v>928</v>
      </c>
      <c r="E60" s="7" t="str">
        <f>Groups!$A$15</f>
        <v>Doglike (CANID)</v>
      </c>
      <c r="F60" s="7">
        <v>51</v>
      </c>
      <c r="G60" s="7">
        <f>274/365</f>
        <v>0.75068493150684934</v>
      </c>
      <c r="H60" s="7">
        <v>16.3</v>
      </c>
      <c r="I60" s="4">
        <v>0</v>
      </c>
      <c r="J60" s="7">
        <v>2.2000000000000002</v>
      </c>
      <c r="K60" s="7" t="s">
        <v>550</v>
      </c>
      <c r="L60" s="7">
        <f>MIN(37.5*C60^0.089,79.3*C60^-0.072)</f>
        <v>40.538723398352381</v>
      </c>
      <c r="M60" s="7" t="s">
        <v>626</v>
      </c>
      <c r="N60" s="4">
        <v>0</v>
      </c>
      <c r="O60" s="4">
        <v>0</v>
      </c>
      <c r="P60" s="4">
        <v>0</v>
      </c>
      <c r="Q60" s="4">
        <v>0</v>
      </c>
      <c r="R60" s="4" t="s">
        <v>40</v>
      </c>
      <c r="S60" s="7">
        <f>_xlfn.XLOOKUP(B60,[1]TeethAdjusters!$A:$A,[1]BiteAdjusters!$C:$C,1)</f>
        <v>0.5275430710799015</v>
      </c>
      <c r="T60" s="7">
        <f>_xlfn.XLOOKUP(B60,[1]TeethAdjusters!$A:$A,[1]TeethAdjusters!$B:$B,1)</f>
        <v>1.2266423062576042</v>
      </c>
      <c r="U60" s="7" t="s">
        <v>45</v>
      </c>
      <c r="V60" s="7">
        <f>IF(AT60="No","No",IF(_xlfn.XLOOKUP(E60,Groups!A:A,Groups!AM:AM)=1,MROUND(EXP(0.3582*LN(C60)-0.2221)*T60,0.05),IF(_xlfn.XLOOKUP(E60,Groups!A:A,Groups!AM:AM)=2,MROUND(EXP(0.3582*LN(C60)-0.2221)*T60,0.05),"Need a formula")))</f>
        <v>1.35</v>
      </c>
      <c r="W60" s="7" t="s">
        <v>45</v>
      </c>
      <c r="X60" s="7" t="s">
        <v>932</v>
      </c>
      <c r="Y60" s="4" t="s">
        <v>56</v>
      </c>
      <c r="Z60" s="4">
        <v>1</v>
      </c>
      <c r="AA60" s="4">
        <v>0</v>
      </c>
      <c r="AB60" s="4">
        <v>0</v>
      </c>
      <c r="AC60" s="4">
        <v>0</v>
      </c>
      <c r="AD60" s="4">
        <v>0</v>
      </c>
      <c r="AE60" s="4" t="s">
        <v>45</v>
      </c>
      <c r="AF60" s="4" t="s">
        <v>45</v>
      </c>
      <c r="AG60" s="49" t="s">
        <v>381</v>
      </c>
      <c r="AH60" s="4" t="s">
        <v>45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4" t="s">
        <v>40</v>
      </c>
      <c r="AO60" s="8">
        <f t="shared" si="10"/>
        <v>1960.9218505891636</v>
      </c>
      <c r="AP60" s="8">
        <f>IFERROR(C60*_xlfn.XLOOKUP(E60,Groups!A:A,Groups!K:K),0.106*C60^0.94)</f>
        <v>0.2994</v>
      </c>
      <c r="AQ60" s="8">
        <f>AP60*10000/(_xlfn.XLOOKUP(E60,Groups!A:A,Groups!J:J)*AO60)</f>
        <v>1.4007641304014278</v>
      </c>
      <c r="AR60" s="8">
        <f t="shared" si="11"/>
        <v>113.92136645343858</v>
      </c>
      <c r="AS60" s="8">
        <f>IF(_xlfn.XLOOKUP(E60,Groups!A:A,Groups!M:M)=1,EXP(0.7444*LN('Base stats'!C60)+6.5696),EXP(0.7927*LN('Base stats'!C60)+4.28))</f>
        <v>144.6018448729055</v>
      </c>
      <c r="AT60" s="8">
        <f>IF(_xlfn.XLOOKUP(E60,Groups!A:A,Groups!N:N)="No","No",
IF(_xlfn.XLOOKUP(E60,Groups!A:A,Groups!N:N)="Crocodile",EXP(0.8129*LN(C60)+4.6742)*S60,
IF(_xlfn.XLOOKUP(E60,Groups!A:A,Groups!N:N)="Felid",EXP(0.7843*LN(C60)+4.7073)*S60,
IF(_xlfn.XLOOKUP(E60,Groups!A:A,Groups!N:N)="Canid",EXP(0.8367*LN(C60)+4.8763)*S60,
IF(_xlfn.XLOOKUP(E60,Groups!A:A,Groups!N:N)="Pig",EXP(0.3439*LN(C60)+6.8519)*S60,
IF(_xlfn.XLOOKUP(E60,Groups!A:A,Groups!N:N)="Rodent",EXP(0.5625*LN(C60)+4.3006)*S60,
IF(_xlfn.XLOOKUP(E60,Groups!A:A,Groups!N:N)="Primate",EXP(0.7847*LN(C60)+3.4931)*S60,
IF(_xlfn.XLOOKUP(E60,Groups!A:A,Groups!N:N)="MiscCarnivora",EXP(0.7486*LN(C60)+4.2207)*S60,
IF(_xlfn.XLOOKUP(E60,Groups!A:A,Groups!N:N)="Lizard",EXP(0.7733*LN(C60)+5.5303)*S60,
IF(_xlfn.XLOOKUP(E60,Groups!A:A,Groups!N:N)="Snake",50*C60^(2/3)*S60,
IF(_xlfn.XLOOKUP(E60,Groups!A:A,Groups!N:N)="StrongBitingHerbivore",87.1133638856975*C60^(2/3)*S60,
IF(_xlfn.XLOOKUP(E60,Groups!A:A,Groups!N:N)="MiscEctotherms",59.4316884072269*C60^(2/3)*S60,
IF(_xlfn.XLOOKUP(E60,Groups!A:A,Groups!N:N)="StrongBeakBird",0.041*(C60*1000)^1.375*S60,
IF(_xlfn.XLOOKUP(E60,Groups!A:A,Groups!N:N)="Bird",0.118*(C60*1000)^0.692*S60,
IF(_xlfn.XLOOKUP(E60,Groups!A:A,Groups!N:N)="Insect",EXP(0.7444*LN(C60)+6.5696)*S60,
IF(_xlfn.XLOOKUP(E60,Groups!A:A,Groups!N:N)="Theropod",EXP(0.6966*LN(C60)+4.158)*S60,
"No"))))))))))))))))</f>
        <v>143.92321481621084</v>
      </c>
      <c r="AU60" s="8">
        <f>IF(_xlfn.XLOOKUP(E60,Groups!A:A,Groups!U:U)=3,AS60,IF(_xlfn.XLOOKUP(E60,Groups!A:A,Groups!U:U)=2,AR60,AT60))</f>
        <v>143.92321481621084</v>
      </c>
      <c r="AV60" s="46">
        <f>IFERROR(AVERAGE(_xlfn.XLOOKUP(B60,Animals!B:B,Animals!N:N),_xlfn.XLOOKUP(B60,Animals!B:B,Animals!O:O)),0)</f>
        <v>0</v>
      </c>
      <c r="AW60" s="8">
        <f>MROUND(40*Animals!AO60*_xlfn.XLOOKUP(AG60,Leathers!$A$2:$A$99,Leathers!$B$2:$B$99,0)+(140*_xlfn.XLOOKUP(B60,Animals!B:B,Animals!AO:AO)*2),5)</f>
        <v>95</v>
      </c>
      <c r="AX60" s="8">
        <f>IFERROR(ROUND(SQRT(V60-1)*IF(_xlfn.XLOOKUP(E60,Groups!A:A,Groups!BF:BF)=0,2,1)*IF(_xlfn.XLOOKUP('Base stats'!E60,Groups!A:A,Groups!O:O)=0,1,0.1),1),0)</f>
        <v>1.2</v>
      </c>
      <c r="AY60" s="8">
        <f t="shared" si="12"/>
        <v>0</v>
      </c>
      <c r="AZ60" s="8">
        <f t="shared" si="13"/>
        <v>0</v>
      </c>
      <c r="BA60" s="8">
        <f t="shared" si="14"/>
        <v>0.8</v>
      </c>
      <c r="BB60" s="8">
        <f>IF(_xlfn.XLOOKUP(E60,Groups!A:A,Groups!N:N)="Insect",BD60*2.5,IFERROR(AVERAGE(BD60,AT60/9.81/IF(OR(_xlfn.XLOOKUP(E60,Groups!A:A,Groups!N:N)="Pig",_xlfn.XLOOKUP(E60,Groups!A:A,Groups!N:N)="StrongBitingHerbivore"),20,25))*C60^-0.135,BD60))</f>
        <v>0.29676154060589027</v>
      </c>
      <c r="BC60" s="8" t="str">
        <f>IF(W60="No","No",IF(_xlfn.XLOOKUP(E60,Groups!A:A,Groups!U:U)=1,'Base stats'!BB60,IF(OR(_xlfn.XLOOKUP(E60,Groups!A:A,Groups!BD:BD)=1,_xlfn.XLOOKUP(E60,Groups!A:A,Groups!U:U)=2),BD60,IF(_xlfn.XLOOKUP(B60,Animals!B:B,Animals!AO:AO)&gt;4,AVERAGE(BD60,BF60),BF60))))</f>
        <v>No</v>
      </c>
      <c r="BD60" s="8">
        <f t="shared" si="15"/>
        <v>8.1141234129247383E-2</v>
      </c>
      <c r="BE60" s="8">
        <f>IF(_xlfn.XLOOKUP(E60,Groups!A:A,Groups!BE:BE)=1,(0.048*C60^1.01)+(0.071*C60^1.03),0.071*C60^1.03)/IF(_xlfn.XLOOKUP(E60,Groups!A:A,Groups!M:M)=1,0.85,IF(OR(_xlfn.XLOOKUP(B60,Animals!B:B,Animals!AO:AO)&gt;4,_xlfn.XLOOKUP(E60,Groups!A:A,Groups!BC:BC)=1),1.7,1))*C60^-0.25</f>
        <v>0.14054749750490667</v>
      </c>
      <c r="BF60" s="8">
        <f>(0.048*C60^1.01)/IF(_xlfn.XLOOKUP(E60,Groups!A:A,Groups!M:M)=1,0.25,0.8)*C60^-0.25</f>
        <v>0.11671100104776476</v>
      </c>
      <c r="BG60" s="8">
        <f>EXP(1.076*LN(AR60)-4.5397)*IF(_xlfn.XLOOKUP(E60,Groups!A:A,Groups!BC:BC)=1,1.25,IF(_xlfn.XLOOKUP(E60,Groups!A:A,Groups!BD:BD)=1,3.5,2.5))</f>
        <v>4.357932797631479</v>
      </c>
      <c r="BH60" s="8">
        <f>EXP(1.076*LN(AS60)-4.5397)*IF(_xlfn.XLOOKUP(E60,Groups!A:A,Groups!M:M)=1,0.8,IF(_xlfn.XLOOKUP(E60,Groups!A:A,Groups!BC:BC)=1,1.3,3))</f>
        <v>6.7592987261888648</v>
      </c>
      <c r="BI60" s="8" t="str">
        <f>IF(W60="No","No",IF(_xlfn.XLOOKUP(E60,Groups!A:A,Groups!U:U)=1,'Base stats'!BJ60,IF(OR(_xlfn.XLOOKUP(E60,Groups!A:A,Groups!BD:BD)=1,_xlfn.XLOOKUP(E60,Groups!A:A,Groups!U:U)=2),BG60,BH60))*1.2)</f>
        <v>No</v>
      </c>
      <c r="BJ60" s="8">
        <f>IFERROR(EXP(1.076*LN(AT60)-4.5397)*IF(_xlfn.XLOOKUP(E60,Groups!A:A,Groups!N:N)="Insect",1,IF(OR(_xlfn.XLOOKUP(E60,Groups!A:A,Groups!N:N)="Pig",_xlfn.XLOOKUP(E60,Groups!A:A,Groups!N:N)="StrongBitingHerbivore"),3.5,3.75)),"No")</f>
        <v>8.4064649046685958</v>
      </c>
      <c r="BK60" s="8">
        <f t="shared" si="16"/>
        <v>10</v>
      </c>
      <c r="BL60" s="8">
        <f t="shared" si="17"/>
        <v>9</v>
      </c>
      <c r="BM60" s="8" t="str">
        <f t="shared" si="18"/>
        <v>No</v>
      </c>
      <c r="BN60" s="8">
        <f t="shared" si="19"/>
        <v>7</v>
      </c>
      <c r="BO60" s="8">
        <f t="shared" si="20"/>
        <v>10</v>
      </c>
      <c r="BP60" s="8" t="str" cm="1">
        <f t="array" ref="BP60">IF(AND(_xlfn.XLOOKUP('Base stats'!E60,Groups!A:A,Groups!AD:AD=0),_xlfn.XLOOKUP('Base stats'!E60,Groups!A:A,Groups!P:P=0)),"No",IF(U60="No",AVERAGE(EXP(-0.57+0.99*LN(C60)),EXP(0.32+0.67*LN(C60)))/IF(_xlfn.XLOOKUP(E60,Groups!A:A,Groups!AD:AD)=1,10,2),(0.7354*C60^0.4078)*2/IF(_xlfn.XLOOKUP(E60,Groups!A:A,Groups!BK:BK)=1,1000,100)/IF(_xlfn.XLOOKUP(E60,Groups!A:A,Groups!AJ:AJ)="Photonozoa",3,1)))</f>
        <v>No</v>
      </c>
      <c r="BQ60" s="8" t="str">
        <f>IF(W60="No","No",IF(_xlfn.XLOOKUP(E60,Groups!A:A,Groups!BD:BD)=1,(AO60*5%),EXP(0.7354*LN(C60)^0.4078)*2/IF(_xlfn.XLOOKUP(E60,Groups!A:A,Groups!BL:BL)=1,1000,100)/IF(_xlfn.XLOOKUP(E60,Groups!A:A,Groups!AJ:AJ)="Photonozoa",3,1)))</f>
        <v>No</v>
      </c>
      <c r="BR60" s="8">
        <f>IF(BJ60="No","No",IF(_xlfn.XLOOKUP(E60,Groups!A:A,Groups!BF:BF)=1,(0.0315*C60+2.1825)*2,(0.7354*C60^0.4078)*2)/IF(_xlfn.XLOOKUP(E60,Groups!A:A,Groups!BM:BM)=1,1000,100)/IF(_xlfn.XLOOKUP(E60,Groups!A:A,Groups!AJ:AJ)="Photonozoa",3,1))</f>
        <v>2.1018599044415626E-2</v>
      </c>
      <c r="BS60" s="8">
        <f t="shared" si="21"/>
        <v>4.444779679845097E-2</v>
      </c>
      <c r="BT60" s="8" t="str">
        <f t="shared" si="22"/>
        <v>No</v>
      </c>
      <c r="BU60" s="8" t="str">
        <f t="shared" si="23"/>
        <v>No</v>
      </c>
      <c r="BV60" s="8">
        <f t="shared" si="24"/>
        <v>399.95362616244807</v>
      </c>
      <c r="BW60" s="4">
        <v>0</v>
      </c>
      <c r="BX60" s="4">
        <v>1</v>
      </c>
    </row>
    <row r="61" spans="1:76" x14ac:dyDescent="0.25">
      <c r="A61" s="26" t="s">
        <v>123</v>
      </c>
      <c r="B61" s="6" t="s">
        <v>124</v>
      </c>
      <c r="C61" s="7">
        <v>10</v>
      </c>
      <c r="D61" s="7" t="s">
        <v>528</v>
      </c>
      <c r="E61" s="7" t="str">
        <f>Groups!$A$50</f>
        <v>Rodent (SCAVENGER)</v>
      </c>
      <c r="F61" s="7">
        <f>ROUND(7.545*(C61*1000)^0.2689,0)</f>
        <v>90</v>
      </c>
      <c r="G61" s="7">
        <v>1</v>
      </c>
      <c r="H61" s="7">
        <v>10</v>
      </c>
      <c r="I61" s="4">
        <v>0</v>
      </c>
      <c r="J61" s="7">
        <v>8</v>
      </c>
      <c r="K61" s="7" t="s">
        <v>528</v>
      </c>
      <c r="L61" s="7">
        <f>MIN(20*C61^0.183,19.9*C61^0.142)</f>
        <v>27.596440994550576</v>
      </c>
      <c r="M61" s="7" t="s">
        <v>626</v>
      </c>
      <c r="N61" s="4">
        <v>1</v>
      </c>
      <c r="O61" s="4">
        <v>0</v>
      </c>
      <c r="P61" s="4">
        <v>0</v>
      </c>
      <c r="Q61" s="4">
        <v>0</v>
      </c>
      <c r="R61" s="4">
        <v>1</v>
      </c>
      <c r="S61" s="7">
        <f>_xlfn.XLOOKUP(B61,[1]TeethAdjusters!$A:$A,[1]BiteAdjusters!$C:$C,1)</f>
        <v>0.89112849882177569</v>
      </c>
      <c r="T61" s="7">
        <f>_xlfn.XLOOKUP(B61,[1]TeethAdjusters!$A:$A,[1]TeethAdjusters!$B:$B,1)</f>
        <v>1</v>
      </c>
      <c r="U61" s="7" t="s">
        <v>45</v>
      </c>
      <c r="V61" s="7">
        <v>5</v>
      </c>
      <c r="W61" s="7" t="s">
        <v>45</v>
      </c>
      <c r="X61" s="7" t="s">
        <v>932</v>
      </c>
      <c r="Y61" s="4" t="s">
        <v>53</v>
      </c>
      <c r="Z61" s="4">
        <v>1</v>
      </c>
      <c r="AA61" s="4">
        <v>1</v>
      </c>
      <c r="AB61" s="4">
        <v>0</v>
      </c>
      <c r="AC61" s="4">
        <v>0.1</v>
      </c>
      <c r="AD61" s="4">
        <v>0.3</v>
      </c>
      <c r="AE61" s="4" t="s">
        <v>45</v>
      </c>
      <c r="AF61" s="4" t="s">
        <v>400</v>
      </c>
      <c r="AG61" s="49" t="s">
        <v>1787</v>
      </c>
      <c r="AH61" s="4" t="s">
        <v>45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4" t="s">
        <v>40</v>
      </c>
      <c r="AO61" s="8">
        <f t="shared" si="10"/>
        <v>4958.187872875691</v>
      </c>
      <c r="AP61" s="8">
        <f>IFERROR(C61*_xlfn.XLOOKUP(E61,Groups!A:A,Groups!K:K),0.106*C61^0.94)</f>
        <v>0.92322140535344532</v>
      </c>
      <c r="AQ61" s="8">
        <f>AP61*10000/(_xlfn.XLOOKUP(E61,Groups!A:A,Groups!J:J)*AO61)</f>
        <v>1.7082695063588127</v>
      </c>
      <c r="AR61" s="8">
        <f t="shared" si="11"/>
        <v>380.31263115847975</v>
      </c>
      <c r="AS61" s="8">
        <f>IF(_xlfn.XLOOKUP(E61,Groups!A:A,Groups!M:M)=1,EXP(0.7444*LN('Base stats'!C61)+6.5696),EXP(0.7927*LN('Base stats'!C61)+4.28))</f>
        <v>448.20880356342906</v>
      </c>
      <c r="AT61" s="8">
        <f>IF(_xlfn.XLOOKUP(E61,Groups!A:A,Groups!N:N)="No","No",
IF(_xlfn.XLOOKUP(E61,Groups!A:A,Groups!N:N)="Crocodile",EXP(0.8129*LN(C61)+4.6742)*S61,
IF(_xlfn.XLOOKUP(E61,Groups!A:A,Groups!N:N)="Felid",EXP(0.7843*LN(C61)+4.7073)*S61,
IF(_xlfn.XLOOKUP(E61,Groups!A:A,Groups!N:N)="Canid",EXP(0.8367*LN(C61)+4.8763)*S61,
IF(_xlfn.XLOOKUP(E61,Groups!A:A,Groups!N:N)="Pig",EXP(0.3439*LN(C61)+6.8519)*S61,
IF(_xlfn.XLOOKUP(E61,Groups!A:A,Groups!N:N)="Rodent",EXP(0.5625*LN(C61)+4.3006)*S61,
IF(_xlfn.XLOOKUP(E61,Groups!A:A,Groups!N:N)="Primate",EXP(0.7847*LN(C61)+3.4931)*S61,
IF(_xlfn.XLOOKUP(E61,Groups!A:A,Groups!N:N)="MiscCarnivora",EXP(0.7486*LN(C61)+4.2207)*S61,
IF(_xlfn.XLOOKUP(E61,Groups!A:A,Groups!N:N)="Lizard",EXP(0.7733*LN(C61)+5.5303)*S61,
IF(_xlfn.XLOOKUP(E61,Groups!A:A,Groups!N:N)="Snake",50*C61^(2/3)*S61,
IF(_xlfn.XLOOKUP(E61,Groups!A:A,Groups!N:N)="StrongBitingHerbivore",87.1133638856975*C61^(2/3)*S61,
IF(_xlfn.XLOOKUP(E61,Groups!A:A,Groups!N:N)="MiscEctotherms",59.4316884072269*C61^(2/3)*S61,
IF(_xlfn.XLOOKUP(E61,Groups!A:A,Groups!N:N)="StrongBeakBird",0.041*(C61*1000)^1.375*S61,
IF(_xlfn.XLOOKUP(E61,Groups!A:A,Groups!N:N)="Bird",0.118*(C61*1000)^0.692*S61,
IF(_xlfn.XLOOKUP(E61,Groups!A:A,Groups!N:N)="Insect",EXP(0.7444*LN(C61)+6.5696)*S61,
IF(_xlfn.XLOOKUP(E61,Groups!A:A,Groups!N:N)="Theropod",EXP(0.6966*LN(C61)+4.158)*S61,
"No"))))))))))))))))</f>
        <v>239.97565280605716</v>
      </c>
      <c r="AU61" s="8">
        <f>IF(_xlfn.XLOOKUP(E61,Groups!A:A,Groups!U:U)=3,AS61,IF(_xlfn.XLOOKUP(E61,Groups!A:A,Groups!U:U)=2,AR61,AT61))</f>
        <v>239.97565280605716</v>
      </c>
      <c r="AV61" s="46">
        <f>IFERROR(AVERAGE(_xlfn.XLOOKUP(B61,Animals!B:B,Animals!N:N),_xlfn.XLOOKUP(B61,Animals!B:B,Animals!O:O)),0)</f>
        <v>0</v>
      </c>
      <c r="AW61" s="8">
        <f>MROUND(40*Animals!AO61*_xlfn.XLOOKUP(AG61,Leathers!$A$2:$A$99,Leathers!$B$2:$B$99,0)+(140*_xlfn.XLOOKUP(B61,Animals!B:B,Animals!AO:AO)*2),5)</f>
        <v>140</v>
      </c>
      <c r="AX61" s="8">
        <f>IFERROR(ROUND(SQRT(V61-1)*IF(_xlfn.XLOOKUP(E61,Groups!A:A,Groups!BF:BF)=0,2,1)*IF(_xlfn.XLOOKUP('Base stats'!E61,Groups!A:A,Groups!O:O)=0,1,0.1),1),0)</f>
        <v>4</v>
      </c>
      <c r="AY61" s="8">
        <f t="shared" si="12"/>
        <v>0</v>
      </c>
      <c r="AZ61" s="8">
        <f t="shared" si="13"/>
        <v>0</v>
      </c>
      <c r="BA61" s="8">
        <f t="shared" si="14"/>
        <v>1.6</v>
      </c>
      <c r="BB61" s="8">
        <f>IF(_xlfn.XLOOKUP(E61,Groups!A:A,Groups!N:N)="Insect",BD61*2.5,IFERROR(AVERAGE(BD61,AT61/9.81/IF(OR(_xlfn.XLOOKUP(E61,Groups!A:A,Groups!N:N)="Pig",_xlfn.XLOOKUP(E61,Groups!A:A,Groups!N:N)="StrongBitingHerbivore"),20,25))*C61^-0.135,BD61))</f>
        <v>0.45586429833209985</v>
      </c>
      <c r="BC61" s="8" t="str">
        <f>IF(W61="No","No",IF(_xlfn.XLOOKUP(E61,Groups!A:A,Groups!U:U)=1,'Base stats'!BB61,IF(OR(_xlfn.XLOOKUP(E61,Groups!A:A,Groups!BD:BD)=1,_xlfn.XLOOKUP(E61,Groups!A:A,Groups!U:U)=2),BD61,IF(_xlfn.XLOOKUP(B61,Animals!B:B,Animals!AO:AO)&gt;4,AVERAGE(BD61,BF61),BF61))))</f>
        <v>No</v>
      </c>
      <c r="BD61" s="8">
        <f t="shared" si="15"/>
        <v>0.26563547098338458</v>
      </c>
      <c r="BE61" s="8">
        <f>IF(_xlfn.XLOOKUP(E61,Groups!A:A,Groups!BE:BE)=1,(0.048*C61^1.01)+(0.071*C61^1.03),0.071*C61^1.03)/IF(_xlfn.XLOOKUP(E61,Groups!A:A,Groups!M:M)=1,0.85,IF(OR(_xlfn.XLOOKUP(B61,Animals!B:B,Animals!AO:AO)&gt;4,_xlfn.XLOOKUP(E61,Groups!A:A,Groups!BC:BC)=1),1.7,1))*C61^-0.25</f>
        <v>0.42781730611279417</v>
      </c>
      <c r="BF61" s="8">
        <f>(0.048*C61^1.01)/IF(_xlfn.XLOOKUP(E61,Groups!A:A,Groups!M:M)=1,0.25,0.8)*C61^-0.25</f>
        <v>0.34526396240229418</v>
      </c>
      <c r="BG61" s="8">
        <f>EXP(1.076*LN(AR61)-4.5397)*IF(_xlfn.XLOOKUP(E61,Groups!A:A,Groups!BC:BC)=1,1.25,IF(_xlfn.XLOOKUP(E61,Groups!A:A,Groups!BD:BD)=1,3.5,2.5))</f>
        <v>15.944275717953127</v>
      </c>
      <c r="BH61" s="8">
        <f>EXP(1.076*LN(AS61)-4.5397)*IF(_xlfn.XLOOKUP(E61,Groups!A:A,Groups!M:M)=1,0.8,IF(_xlfn.XLOOKUP(E61,Groups!A:A,Groups!BC:BC)=1,1.3,3))</f>
        <v>22.832185638487289</v>
      </c>
      <c r="BI61" s="8" t="str">
        <f>IF(W61="No","No",IF(_xlfn.XLOOKUP(E61,Groups!A:A,Groups!U:U)=1,'Base stats'!BJ61,IF(OR(_xlfn.XLOOKUP(E61,Groups!A:A,Groups!BD:BD)=1,_xlfn.XLOOKUP(E61,Groups!A:A,Groups!U:U)=2),BG61,BH61))*1.2)</f>
        <v>No</v>
      </c>
      <c r="BJ61" s="8">
        <f>IFERROR(EXP(1.076*LN(AT61)-4.5397)*IF(_xlfn.XLOOKUP(E61,Groups!A:A,Groups!N:N)="Insect",1,IF(OR(_xlfn.XLOOKUP(E61,Groups!A:A,Groups!N:N)="Pig",_xlfn.XLOOKUP(E61,Groups!A:A,Groups!N:N)="StrongBitingHerbivore"),3.5,3.75)),"No")</f>
        <v>14.572178948590638</v>
      </c>
      <c r="BK61" s="8">
        <f t="shared" si="16"/>
        <v>10</v>
      </c>
      <c r="BL61" s="8">
        <f t="shared" si="17"/>
        <v>10</v>
      </c>
      <c r="BM61" s="8" t="str">
        <f t="shared" si="18"/>
        <v>No</v>
      </c>
      <c r="BN61" s="8">
        <f t="shared" si="19"/>
        <v>7</v>
      </c>
      <c r="BO61" s="8">
        <f t="shared" si="20"/>
        <v>11</v>
      </c>
      <c r="BP61" s="8" t="str" cm="1">
        <f t="array" ref="BP61">IF(AND(_xlfn.XLOOKUP('Base stats'!E61,Groups!A:A,Groups!AD:AD=0),_xlfn.XLOOKUP('Base stats'!E61,Groups!A:A,Groups!P:P=0)),"No",IF(U61="No",AVERAGE(EXP(-0.57+0.99*LN(C61)),EXP(0.32+0.67*LN(C61)))/IF(_xlfn.XLOOKUP(E61,Groups!A:A,Groups!AD:AD)=1,10,2),(0.7354*C61^0.4078)*2/IF(_xlfn.XLOOKUP(E61,Groups!A:A,Groups!BK:BK)=1,1000,100)/IF(_xlfn.XLOOKUP(E61,Groups!A:A,Groups!AJ:AJ)="Photonozoa",3,1)))</f>
        <v>No</v>
      </c>
      <c r="BQ61" s="8" t="str">
        <f>IF(W61="No","No",IF(_xlfn.XLOOKUP(E61,Groups!A:A,Groups!BD:BD)=1,(AO61*5%),EXP(0.7354*LN(C61)^0.4078)*2/IF(_xlfn.XLOOKUP(E61,Groups!A:A,Groups!BL:BL)=1,1000,100)/IF(_xlfn.XLOOKUP(E61,Groups!A:A,Groups!AJ:AJ)="Photonozoa",3,1)))</f>
        <v>No</v>
      </c>
      <c r="BR61" s="8">
        <f>IF(BJ61="No","No",IF(_xlfn.XLOOKUP(E61,Groups!A:A,Groups!BF:BF)=1,(0.0315*C61+2.1825)*2,(0.7354*C61^0.4078)*2)/IF(_xlfn.XLOOKUP(E61,Groups!A:A,Groups!BM:BM)=1,1000,100)/IF(_xlfn.XLOOKUP(E61,Groups!A:A,Groups!AJ:AJ)="Photonozoa",3,1))</f>
        <v>3.7614355184740135E-2</v>
      </c>
      <c r="BS61" s="8">
        <f t="shared" si="21"/>
        <v>6.4314931691790186E-2</v>
      </c>
      <c r="BT61" s="8" t="str">
        <f t="shared" si="22"/>
        <v>No</v>
      </c>
      <c r="BU61" s="8" t="str">
        <f t="shared" si="23"/>
        <v>No</v>
      </c>
      <c r="BV61" s="8">
        <f t="shared" si="24"/>
        <v>387.41004270897253</v>
      </c>
      <c r="BW61" s="4">
        <v>0</v>
      </c>
      <c r="BX61" s="4">
        <v>1</v>
      </c>
    </row>
    <row r="62" spans="1:76" x14ac:dyDescent="0.25">
      <c r="A62" s="26" t="s">
        <v>188</v>
      </c>
      <c r="B62" s="6" t="s">
        <v>189</v>
      </c>
      <c r="C62" s="7">
        <v>117.5</v>
      </c>
      <c r="D62" s="7" t="s">
        <v>551</v>
      </c>
      <c r="E62" s="7" t="str">
        <f>Groups!$A$63</f>
        <v>Bear</v>
      </c>
      <c r="F62" s="7">
        <v>48</v>
      </c>
      <c r="G62" s="7">
        <f>2192/365</f>
        <v>6.0054794520547947</v>
      </c>
      <c r="H62" s="7">
        <v>36.799999999999997</v>
      </c>
      <c r="I62" s="4">
        <v>0</v>
      </c>
      <c r="J62" s="7">
        <v>1.5</v>
      </c>
      <c r="K62" s="7" t="s">
        <v>551</v>
      </c>
      <c r="L62" s="7">
        <v>40</v>
      </c>
      <c r="M62" s="7" t="s">
        <v>626</v>
      </c>
      <c r="N62" s="4">
        <v>0</v>
      </c>
      <c r="O62" s="4">
        <v>0</v>
      </c>
      <c r="P62" s="4">
        <v>0</v>
      </c>
      <c r="Q62" s="4">
        <v>0</v>
      </c>
      <c r="R62" s="4" t="s">
        <v>40</v>
      </c>
      <c r="S62" s="7">
        <f>_xlfn.XLOOKUP(B62,[1]TeethAdjusters!$A:$A,[1]BiteAdjusters!$C:$C,1)</f>
        <v>1.5795312099353875</v>
      </c>
      <c r="T62" s="7">
        <f>_xlfn.XLOOKUP(B62,[1]TeethAdjusters!$A:$A,[1]TeethAdjusters!$B:$B,1)</f>
        <v>1</v>
      </c>
      <c r="U62" s="7">
        <v>5</v>
      </c>
      <c r="V62" s="7">
        <f>IF(T62="No","No",IF(_xlfn.XLOOKUP(E62,Groups!A:A,Groups!AM:AM)=1,MROUND(EXP(0.3582*LN(C62)-0.2221)*T62,0.05),IF(_xlfn.XLOOKUP(E62,Groups!A:A,Groups!AM:AM)=2,MROUND(EXP(0.3582*LN(C62)-0.2221)*T62,0.05),"Need a formula")))</f>
        <v>4.4000000000000004</v>
      </c>
      <c r="W62" s="7" t="s">
        <v>45</v>
      </c>
      <c r="X62" s="7" t="s">
        <v>932</v>
      </c>
      <c r="Y62" s="4" t="s">
        <v>42</v>
      </c>
      <c r="Z62" s="4">
        <v>1</v>
      </c>
      <c r="AA62" s="4">
        <v>0</v>
      </c>
      <c r="AB62" s="4">
        <v>0</v>
      </c>
      <c r="AC62" s="4">
        <v>-7.4999999999999997E-2</v>
      </c>
      <c r="AD62" s="4">
        <v>-0.2</v>
      </c>
      <c r="AE62" s="4" t="s">
        <v>45</v>
      </c>
      <c r="AF62" s="4" t="s">
        <v>45</v>
      </c>
      <c r="AG62" s="49" t="s">
        <v>374</v>
      </c>
      <c r="AH62" s="4" t="str">
        <f>Animals!$C$3</f>
        <v>&lt;li&gt;Bear_Grizzly&lt;/li&gt;</v>
      </c>
      <c r="AI62" s="4">
        <v>0</v>
      </c>
      <c r="AJ62" s="4">
        <v>0</v>
      </c>
      <c r="AK62" s="4">
        <v>0</v>
      </c>
      <c r="AL62" s="4">
        <v>0</v>
      </c>
      <c r="AM62" s="4">
        <v>1</v>
      </c>
      <c r="AN62" s="44" t="s">
        <v>40</v>
      </c>
      <c r="AO62" s="8">
        <f t="shared" si="10"/>
        <v>24595.043334132937</v>
      </c>
      <c r="AP62" s="8">
        <f>IFERROR(C62*_xlfn.XLOOKUP(E62,Groups!A:A,Groups!K:K),0.106*C62^0.94)</f>
        <v>14.658125</v>
      </c>
      <c r="AQ62" s="8">
        <f>AP62*10000/(_xlfn.XLOOKUP(E62,Groups!A:A,Groups!J:J)*AO62)</f>
        <v>5.4676956320929024</v>
      </c>
      <c r="AR62" s="8">
        <f t="shared" si="11"/>
        <v>3047.90717022124</v>
      </c>
      <c r="AS62" s="8">
        <f>IF(_xlfn.XLOOKUP(E62,Groups!A:A,Groups!M:M)=1,EXP(0.7444*LN('Base stats'!C62)+6.5696),EXP(0.7927*LN('Base stats'!C62)+4.28))</f>
        <v>3160.0896202967747</v>
      </c>
      <c r="AT62" s="8">
        <f>IF(_xlfn.XLOOKUP(E62,Groups!A:A,Groups!N:N)="No","No",
IF(_xlfn.XLOOKUP(E62,Groups!A:A,Groups!N:N)="Crocodile",EXP(0.8129*LN(C62)+4.6742)*S62,
IF(_xlfn.XLOOKUP(E62,Groups!A:A,Groups!N:N)="Felid",EXP(0.7843*LN(C62)+4.7073)*S62,
IF(_xlfn.XLOOKUP(E62,Groups!A:A,Groups!N:N)="Canid",EXP(0.8367*LN(C62)+4.8763)*S62,
IF(_xlfn.XLOOKUP(E62,Groups!A:A,Groups!N:N)="Pig",EXP(0.3439*LN(C62)+6.8519)*S62,
IF(_xlfn.XLOOKUP(E62,Groups!A:A,Groups!N:N)="Rodent",EXP(0.5625*LN(C62)+4.3006)*S62,
IF(_xlfn.XLOOKUP(E62,Groups!A:A,Groups!N:N)="Primate",EXP(0.7847*LN(C62)+3.4931)*S62,
IF(_xlfn.XLOOKUP(E62,Groups!A:A,Groups!N:N)="MiscCarnivora",EXP(0.7486*LN(C62)+4.2207)*S62,
IF(_xlfn.XLOOKUP(E62,Groups!A:A,Groups!N:N)="Lizard",EXP(0.7733*LN(C62)+5.5303)*S62,
IF(_xlfn.XLOOKUP(E62,Groups!A:A,Groups!N:N)="Snake",50*C62^(2/3)*S62,
IF(_xlfn.XLOOKUP(E62,Groups!A:A,Groups!N:N)="StrongBitingHerbivore",87.1133638856975*C62^(2/3)*S62,
IF(_xlfn.XLOOKUP(E62,Groups!A:A,Groups!N:N)="MiscEctotherms",59.4316884072269*C62^(2/3)*S62,
IF(_xlfn.XLOOKUP(E62,Groups!A:A,Groups!N:N)="StrongBeakBird",0.041*(C62*1000)^1.375*S62,
IF(_xlfn.XLOOKUP(E62,Groups!A:A,Groups!N:N)="Bird",0.118*(C62*1000)^0.692*S62,
IF(_xlfn.XLOOKUP(E62,Groups!A:A,Groups!N:N)="Insect",EXP(0.7444*LN(C62)+6.5696)*S62,
IF(_xlfn.XLOOKUP(E62,Groups!A:A,Groups!N:N)="Theropod",EXP(0.6966*LN(C62)+4.158)*S62,
"No"))))))))))))))))</f>
        <v>3812.2842797819953</v>
      </c>
      <c r="AU62" s="8">
        <f>IF(_xlfn.XLOOKUP(E62,Groups!A:A,Groups!U:U)=3,AS62,IF(_xlfn.XLOOKUP(E62,Groups!A:A,Groups!U:U)=2,AR62,AT62))</f>
        <v>3812.2842797819953</v>
      </c>
      <c r="AV62" s="46">
        <f>IFERROR(AVERAGE(_xlfn.XLOOKUP(B62,Animals!B:B,Animals!N:N),_xlfn.XLOOKUP(B62,Animals!B:B,Animals!O:O)),0)</f>
        <v>0</v>
      </c>
      <c r="AW62" s="8">
        <f>MROUND(40*Animals!AO62*_xlfn.XLOOKUP(AG62,Leathers!$A$2:$A$99,Leathers!$B$2:$B$99,0)+(140*_xlfn.XLOOKUP(B62,Animals!B:B,Animals!AO:AO)*2),5)</f>
        <v>570</v>
      </c>
      <c r="AX62" s="8">
        <f>IFERROR(ROUND(SQRT(V62-1)*IF(_xlfn.XLOOKUP(E62,Groups!A:A,Groups!BF:BF)=0,2,1)*IF(_xlfn.XLOOKUP('Base stats'!E62,Groups!A:A,Groups!O:O)=0,1,0.1),1),0)</f>
        <v>3.7</v>
      </c>
      <c r="AY62" s="8">
        <f t="shared" si="12"/>
        <v>2</v>
      </c>
      <c r="AZ62" s="8">
        <f t="shared" si="13"/>
        <v>0</v>
      </c>
      <c r="BA62" s="8">
        <f t="shared" si="14"/>
        <v>4.4000000000000004</v>
      </c>
      <c r="BB62" s="8">
        <f>IF(_xlfn.XLOOKUP(E62,Groups!A:A,Groups!N:N)="Insect",BD62*2.5,IFERROR(AVERAGE(BD62,AT62/9.81/IF(OR(_xlfn.XLOOKUP(E62,Groups!A:A,Groups!N:N)="Pig",_xlfn.XLOOKUP(E62,Groups!A:A,Groups!N:N)="StrongBitingHerbivore"),20,25))*C62^-0.135,BD62))</f>
        <v>4.4586869818980146</v>
      </c>
      <c r="BC62" s="8" t="str">
        <f>IF(W62="No","No",IF(_xlfn.XLOOKUP(E62,Groups!A:A,Groups!U:U)=1,'Base stats'!BB62,IF(OR(_xlfn.XLOOKUP(E62,Groups!A:A,Groups!BD:BD)=1,_xlfn.XLOOKUP(E62,Groups!A:A,Groups!U:U)=2),BD62,IF(_xlfn.XLOOKUP(B62,Animals!B:B,Animals!AO:AO)&gt;4,AVERAGE(BD62,BF62),BF62))))</f>
        <v>No</v>
      </c>
      <c r="BD62" s="8">
        <f t="shared" si="15"/>
        <v>1.4259182203105851</v>
      </c>
      <c r="BE62" s="8">
        <f>IF(_xlfn.XLOOKUP(E62,Groups!A:A,Groups!BE:BE)=1,(0.048*C62^1.01)+(0.071*C62^1.03),0.071*C62^1.03)/IF(_xlfn.XLOOKUP(E62,Groups!A:A,Groups!M:M)=1,0.85,IF(OR(_xlfn.XLOOKUP(B62,Animals!B:B,Animals!AO:AO)&gt;4,_xlfn.XLOOKUP(E62,Groups!A:A,Groups!BC:BC)=1),1.7,1))*C62^-0.25</f>
        <v>2.9233975904815339</v>
      </c>
      <c r="BF62" s="8">
        <f>(0.048*C62^1.01)/IF(_xlfn.XLOOKUP(E62,Groups!A:A,Groups!M:M)=1,0.25,0.8)*C62^-0.25</f>
        <v>2.2458462900255478</v>
      </c>
      <c r="BG62" s="8">
        <f>EXP(1.076*LN(AR62)-4.5397)*IF(_xlfn.XLOOKUP(E62,Groups!A:A,Groups!BC:BC)=1,1.25,IF(_xlfn.XLOOKUP(E62,Groups!A:A,Groups!BD:BD)=1,3.5,2.5))</f>
        <v>149.67842915790638</v>
      </c>
      <c r="BH62" s="8">
        <f>EXP(1.076*LN(AS62)-4.5397)*IF(_xlfn.XLOOKUP(E62,Groups!A:A,Groups!M:M)=1,0.8,IF(_xlfn.XLOOKUP(E62,Groups!A:A,Groups!BC:BC)=1,1.3,3))</f>
        <v>186.73733175450468</v>
      </c>
      <c r="BI62" s="8" t="str">
        <f>IF(W62="No","No",IF(_xlfn.XLOOKUP(E62,Groups!A:A,Groups!U:U)=1,'Base stats'!BJ62,IF(OR(_xlfn.XLOOKUP(E62,Groups!A:A,Groups!BD:BD)=1,_xlfn.XLOOKUP(E62,Groups!A:A,Groups!U:U)=2),BG62,BH62))*1.2)</f>
        <v>No</v>
      </c>
      <c r="BJ62" s="8">
        <f>IFERROR(EXP(1.076*LN(AT62)-4.5397)*IF(_xlfn.XLOOKUP(E62,Groups!A:A,Groups!N:N)="Insect",1,IF(OR(_xlfn.XLOOKUP(E62,Groups!A:A,Groups!N:N)="Pig",_xlfn.XLOOKUP(E62,Groups!A:A,Groups!N:N)="StrongBitingHerbivore"),3.5,3.75)),"No")</f>
        <v>285.64062037451401</v>
      </c>
      <c r="BK62" s="8">
        <f t="shared" si="16"/>
        <v>14</v>
      </c>
      <c r="BL62" s="8">
        <f t="shared" si="17"/>
        <v>11</v>
      </c>
      <c r="BM62" s="8" t="str">
        <f t="shared" si="18"/>
        <v>No</v>
      </c>
      <c r="BN62" s="8">
        <f t="shared" si="19"/>
        <v>11</v>
      </c>
      <c r="BO62" s="8">
        <f t="shared" si="20"/>
        <v>12</v>
      </c>
      <c r="BP62" s="8" cm="1">
        <f t="array" ref="BP62">IF(AND(_xlfn.XLOOKUP('Base stats'!E62,Groups!A:A,Groups!AD:AD=0),_xlfn.XLOOKUP('Base stats'!E62,Groups!A:A,Groups!P:P=0)),"No",IF(U62="No",AVERAGE(EXP(-0.57+0.99*LN(C62)),EXP(0.32+0.67*LN(C62)))/IF(_xlfn.XLOOKUP(E62,Groups!A:A,Groups!AD:AD)=1,10,2),(0.7354*C62^0.4078)*2/IF(_xlfn.XLOOKUP(E62,Groups!A:A,Groups!BK:BK)=1,1000,100)/IF(_xlfn.XLOOKUP(E62,Groups!A:A,Groups!AJ:AJ)="Photonozoa",3,1)))</f>
        <v>0.10273420468589994</v>
      </c>
      <c r="BQ62" s="8" t="str">
        <f>IF(W62="No","No",IF(_xlfn.XLOOKUP(E62,Groups!A:A,Groups!BD:BD)=1,(AO62*5%),EXP(0.7354*LN(C62)^0.4078)*2/IF(_xlfn.XLOOKUP(E62,Groups!A:A,Groups!BL:BL)=1,1000,100)/IF(_xlfn.XLOOKUP(E62,Groups!A:A,Groups!AJ:AJ)="Photonozoa",3,1)))</f>
        <v>No</v>
      </c>
      <c r="BR62" s="8">
        <f>IF(BJ62="No","No",IF(_xlfn.XLOOKUP(E62,Groups!A:A,Groups!BF:BF)=1,(0.0315*C62+2.1825)*2,(0.7354*C62^0.4078)*2)/IF(_xlfn.XLOOKUP(E62,Groups!A:A,Groups!BM:BM)=1,1000,100)/IF(_xlfn.XLOOKUP(E62,Groups!A:A,Groups!AJ:AJ)="Photonozoa",3,1))</f>
        <v>0.10273420468589994</v>
      </c>
      <c r="BS62" s="8">
        <f t="shared" si="21"/>
        <v>0.12171430407701948</v>
      </c>
      <c r="BT62" s="8">
        <f t="shared" si="22"/>
        <v>1817.6743794867182</v>
      </c>
      <c r="BU62" s="8" t="str">
        <f t="shared" si="23"/>
        <v>No</v>
      </c>
      <c r="BV62" s="8">
        <f t="shared" si="24"/>
        <v>2780.3847924635525</v>
      </c>
      <c r="BW62" s="4">
        <v>0</v>
      </c>
      <c r="BX62" s="4">
        <v>1</v>
      </c>
    </row>
    <row r="63" spans="1:76" x14ac:dyDescent="0.25">
      <c r="A63" s="26" t="s">
        <v>194</v>
      </c>
      <c r="B63" s="6" t="s">
        <v>215</v>
      </c>
      <c r="C63" s="7">
        <f>27.3/1000</f>
        <v>2.7300000000000001E-2</v>
      </c>
      <c r="D63" s="7" t="s">
        <v>1155</v>
      </c>
      <c r="E63" s="7" t="str">
        <f>Groups!$A$8</f>
        <v>Bird (STRONG BEAK)</v>
      </c>
      <c r="F63" s="7" t="str">
        <f t="shared" ref="F63:F72" si="31">"Lay eggs"</f>
        <v>Lay eggs</v>
      </c>
      <c r="G63" s="7">
        <f>152/365</f>
        <v>0.41643835616438357</v>
      </c>
      <c r="H63" s="7">
        <v>23</v>
      </c>
      <c r="I63" s="4">
        <v>0</v>
      </c>
      <c r="J63" s="7" t="str">
        <f t="shared" ref="J63:J73" si="32">"Lay eggs"</f>
        <v>Lay eggs</v>
      </c>
      <c r="K63" s="7" t="s">
        <v>562</v>
      </c>
      <c r="L63" s="7">
        <f>10*1.60934</f>
        <v>16.093399999999999</v>
      </c>
      <c r="M63" s="7" t="s">
        <v>628</v>
      </c>
      <c r="N63" s="4">
        <v>0</v>
      </c>
      <c r="O63" s="4">
        <v>0</v>
      </c>
      <c r="P63" s="4">
        <v>0</v>
      </c>
      <c r="Q63" s="4">
        <v>0</v>
      </c>
      <c r="R63" s="4">
        <v>0.8</v>
      </c>
      <c r="S63" s="7">
        <f>_xlfn.XLOOKUP(B63,[1]TeethAdjusters!$A:$A,[1]BiteAdjusters!$C:$C,1)</f>
        <v>1</v>
      </c>
      <c r="T63" s="7">
        <f>_xlfn.XLOOKUP(B63,[1]TeethAdjusters!$A:$A,[1]TeethAdjusters!$B:$B,1)</f>
        <v>1</v>
      </c>
      <c r="U63" s="7">
        <v>0.1</v>
      </c>
      <c r="V63" s="7">
        <v>0.1</v>
      </c>
      <c r="W63" s="7" t="s">
        <v>45</v>
      </c>
      <c r="X63" s="7" t="s">
        <v>932</v>
      </c>
      <c r="Y63" s="4" t="s">
        <v>42</v>
      </c>
      <c r="Z63" s="4">
        <v>1</v>
      </c>
      <c r="AA63" s="4">
        <v>0</v>
      </c>
      <c r="AB63" s="4">
        <v>0</v>
      </c>
      <c r="AC63" s="4">
        <v>0</v>
      </c>
      <c r="AD63" s="4">
        <v>0</v>
      </c>
      <c r="AE63" s="4" t="s">
        <v>45</v>
      </c>
      <c r="AF63" s="4" t="s">
        <v>399</v>
      </c>
      <c r="AG63" s="49" t="s">
        <v>45</v>
      </c>
      <c r="AH63" s="4" t="str">
        <f>Animals!$C$6</f>
        <v>&lt;li&gt;Cassowary&lt;/li&gt;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4" t="s">
        <v>40</v>
      </c>
      <c r="AO63" s="8">
        <f t="shared" si="10"/>
        <v>106.86332904673682</v>
      </c>
      <c r="AP63" s="8">
        <f>IFERROR(C63*_xlfn.XLOOKUP(E63,Groups!A:A,Groups!K:K),0.106*C63^0.94)</f>
        <v>3.5916892389496915E-3</v>
      </c>
      <c r="AQ63" s="8">
        <f>AP63*10000/(_xlfn.XLOOKUP(E63,Groups!A:A,Groups!J:J)*AO63)</f>
        <v>0.30834971842534981</v>
      </c>
      <c r="AR63" s="8">
        <f t="shared" si="11"/>
        <v>2.5969724213149155</v>
      </c>
      <c r="AS63" s="8">
        <f>IF(_xlfn.XLOOKUP(E63,Groups!A:A,Groups!M:M)=1,EXP(0.7444*LN('Base stats'!C63)+6.5696),EXP(0.7927*LN('Base stats'!C63)+4.28))</f>
        <v>4.1603178565451566</v>
      </c>
      <c r="AT63" s="8">
        <f>IF(_xlfn.XLOOKUP(E63,Groups!A:A,Groups!N:N)="No","No",
IF(_xlfn.XLOOKUP(E63,Groups!A:A,Groups!N:N)="Crocodile",EXP(0.8129*LN(C63)+4.6742)*S63,
IF(_xlfn.XLOOKUP(E63,Groups!A:A,Groups!N:N)="Felid",EXP(0.7843*LN(C63)+4.7073)*S63,
IF(_xlfn.XLOOKUP(E63,Groups!A:A,Groups!N:N)="Canid",EXP(0.8367*LN(C63)+4.8763)*S63,
IF(_xlfn.XLOOKUP(E63,Groups!A:A,Groups!N:N)="Pig",EXP(0.3439*LN(C63)+6.8519)*S63,
IF(_xlfn.XLOOKUP(E63,Groups!A:A,Groups!N:N)="Rodent",EXP(0.5625*LN(C63)+4.3006)*S63,
IF(_xlfn.XLOOKUP(E63,Groups!A:A,Groups!N:N)="Primate",EXP(0.7847*LN(C63)+3.4931)*S63,
IF(_xlfn.XLOOKUP(E63,Groups!A:A,Groups!N:N)="MiscCarnivora",EXP(0.7486*LN(C63)+4.2207)*S63,
IF(_xlfn.XLOOKUP(E63,Groups!A:A,Groups!N:N)="Lizard",EXP(0.7733*LN(C63)+5.5303)*S63,
IF(_xlfn.XLOOKUP(E63,Groups!A:A,Groups!N:N)="Snake",50*C63^(2/3)*S63,
IF(_xlfn.XLOOKUP(E63,Groups!A:A,Groups!N:N)="StrongBitingHerbivore",87.1133638856975*C63^(2/3)*S63,
IF(_xlfn.XLOOKUP(E63,Groups!A:A,Groups!N:N)="MiscEctotherms",59.4316884072269*C63^(2/3)*S63,
IF(_xlfn.XLOOKUP(E63,Groups!A:A,Groups!N:N)="StrongBeakBird",0.041*(C63*1000)^1.375*S63,
IF(_xlfn.XLOOKUP(E63,Groups!A:A,Groups!N:N)="Bird",0.118*(C63*1000)^0.692*S63,
IF(_xlfn.XLOOKUP(E63,Groups!A:A,Groups!N:N)="Insect",EXP(0.7444*LN(C63)+6.5696)*S63,
IF(_xlfn.XLOOKUP(E63,Groups!A:A,Groups!N:N)="Theropod",EXP(0.6966*LN(C63)+4.158)*S63,
"No"))))))))))))))))</f>
        <v>3.8681873149249473</v>
      </c>
      <c r="AU63" s="8">
        <f>IF(_xlfn.XLOOKUP(E63,Groups!A:A,Groups!U:U)=3,AS63,IF(_xlfn.XLOOKUP(E63,Groups!A:A,Groups!U:U)=2,AR63,AT63))</f>
        <v>3.8681873149249473</v>
      </c>
      <c r="AV63" s="46">
        <f>IFERROR(AVERAGE(_xlfn.XLOOKUP(B63,Animals!B:B,Animals!N:N),_xlfn.XLOOKUP(B63,Animals!B:B,Animals!O:O)),0)</f>
        <v>0</v>
      </c>
      <c r="AW63" s="8">
        <f>MROUND(40*Animals!AO63*_xlfn.XLOOKUP(AG63,Leathers!$A$2:$A$99,Leathers!$B$2:$B$99,0)+(140*_xlfn.XLOOKUP(B63,Animals!B:B,Animals!AO:AO)*2),5)</f>
        <v>15</v>
      </c>
      <c r="AX63" s="8">
        <f>IFERROR(ROUND(SQRT(V63-1)*IF(_xlfn.XLOOKUP(E63,Groups!A:A,Groups!BF:BF)=0,2,1)*IF(_xlfn.XLOOKUP('Base stats'!E63,Groups!A:A,Groups!O:O)=0,1,0.1),1),0)</f>
        <v>0</v>
      </c>
      <c r="AY63" s="8">
        <f t="shared" si="12"/>
        <v>0</v>
      </c>
      <c r="AZ63" s="8">
        <f t="shared" si="13"/>
        <v>0</v>
      </c>
      <c r="BA63" s="8">
        <f t="shared" si="14"/>
        <v>0.2</v>
      </c>
      <c r="BB63" s="8">
        <f>IF(_xlfn.XLOOKUP(E63,Groups!A:A,Groups!N:N)="Insect",BD63*2.5,IFERROR(AVERAGE(BD63,AT63/9.81/IF(OR(_xlfn.XLOOKUP(E63,Groups!A:A,Groups!N:N)="Pig",_xlfn.XLOOKUP(E63,Groups!A:A,Groups!N:N)="StrongBitingHerbivore"),20,25))*C63^-0.135,BD63))</f>
        <v>1.4932705414487229E-2</v>
      </c>
      <c r="BC63" s="8" t="str">
        <f>IF(W63="No","No",IF(_xlfn.XLOOKUP(E63,Groups!A:A,Groups!U:U)=1,'Base stats'!BB63,IF(OR(_xlfn.XLOOKUP(E63,Groups!A:A,Groups!BD:BD)=1,_xlfn.XLOOKUP(E63,Groups!A:A,Groups!U:U)=2),BD63,IF(_xlfn.XLOOKUP(B63,Animals!B:B,Animals!AO:AO)&gt;4,AVERAGE(BD63,BF63),BF63))))</f>
        <v>No</v>
      </c>
      <c r="BD63" s="8">
        <f t="shared" si="15"/>
        <v>2.5950916655253192E-3</v>
      </c>
      <c r="BE63" s="8">
        <f>IF(_xlfn.XLOOKUP(E63,Groups!A:A,Groups!BE:BE)=1,(0.048*C63^1.01)+(0.071*C63^1.03),0.071*C63^1.03)/IF(_xlfn.XLOOKUP(E63,Groups!A:A,Groups!M:M)=1,0.85,IF(OR(_xlfn.XLOOKUP(B63,Animals!B:B,Animals!AO:AO)&gt;4,_xlfn.XLOOKUP(E63,Groups!A:A,Groups!BC:BC)=1),1.7,1))*C63^-0.25</f>
        <v>7.3899568489121693E-3</v>
      </c>
      <c r="BF63" s="8">
        <f>(0.048*C63^1.01)/IF(_xlfn.XLOOKUP(E63,Groups!A:A,Groups!M:M)=1,0.25,0.8)*C63^-0.25</f>
        <v>3.8871818847231341E-3</v>
      </c>
      <c r="BG63" s="8">
        <f>EXP(1.076*LN(AR63)-4.5397)*IF(_xlfn.XLOOKUP(E63,Groups!A:A,Groups!BC:BC)=1,1.25,IF(_xlfn.XLOOKUP(E63,Groups!A:A,Groups!BD:BD)=1,3.5,2.5))</f>
        <v>7.4531558807462206E-2</v>
      </c>
      <c r="BH63" s="8">
        <f>EXP(1.076*LN(AS63)-4.5397)*IF(_xlfn.XLOOKUP(E63,Groups!A:A,Groups!M:M)=1,0.8,IF(_xlfn.XLOOKUP(E63,Groups!A:A,Groups!BC:BC)=1,1.3,3))</f>
        <v>0.14850282761580455</v>
      </c>
      <c r="BI63" s="8" t="str">
        <f>IF(W63="No","No",IF(_xlfn.XLOOKUP(E63,Groups!A:A,Groups!U:U)=1,'Base stats'!BJ63,IF(OR(_xlfn.XLOOKUP(E63,Groups!A:A,Groups!BD:BD)=1,_xlfn.XLOOKUP(E63,Groups!A:A,Groups!U:U)=2),BG63,BH63))*1.2)</f>
        <v>No</v>
      </c>
      <c r="BJ63" s="8">
        <f>IFERROR(EXP(1.076*LN(AT63)-4.5397)*IF(_xlfn.XLOOKUP(E63,Groups!A:A,Groups!N:N)="Insect",1,IF(OR(_xlfn.XLOOKUP(E63,Groups!A:A,Groups!N:N)="Pig",_xlfn.XLOOKUP(E63,Groups!A:A,Groups!N:N)="StrongBitingHerbivore"),3.5,3.75)),"No")</f>
        <v>0.17164164746383376</v>
      </c>
      <c r="BK63" s="8">
        <f t="shared" si="16"/>
        <v>7</v>
      </c>
      <c r="BL63" s="8">
        <f t="shared" si="17"/>
        <v>6</v>
      </c>
      <c r="BM63" s="8" t="str">
        <f t="shared" si="18"/>
        <v>No</v>
      </c>
      <c r="BN63" s="8">
        <f t="shared" si="19"/>
        <v>4</v>
      </c>
      <c r="BO63" s="8">
        <f t="shared" si="20"/>
        <v>8</v>
      </c>
      <c r="BP63" s="8" cm="1">
        <f t="array" ref="BP63">IF(AND(_xlfn.XLOOKUP('Base stats'!E63,Groups!A:A,Groups!AD:AD=0),_xlfn.XLOOKUP('Base stats'!E63,Groups!A:A,Groups!P:P=0)),"No",IF(U63="No",AVERAGE(EXP(-0.57+0.99*LN(C63)),EXP(0.32+0.67*LN(C63)))/IF(_xlfn.XLOOKUP(E63,Groups!A:A,Groups!AD:AD)=1,10,2),(0.7354*C63^0.4078)*2/IF(_xlfn.XLOOKUP(E63,Groups!A:A,Groups!BK:BK)=1,1000,100)/IF(_xlfn.XLOOKUP(E63,Groups!A:A,Groups!AJ:AJ)="Photonozoa",3,1)))</f>
        <v>3.3870432996438906E-3</v>
      </c>
      <c r="BQ63" s="8" t="str">
        <f>IF(W63="No","No",IF(_xlfn.XLOOKUP(E63,Groups!A:A,Groups!BD:BD)=1,(AO63*5%),EXP(0.7354*LN(C63)^0.4078)*2/IF(_xlfn.XLOOKUP(E63,Groups!A:A,Groups!BL:BL)=1,1000,100)/IF(_xlfn.XLOOKUP(E63,Groups!A:A,Groups!AJ:AJ)="Photonozoa",3,1)))</f>
        <v>No</v>
      </c>
      <c r="BR63" s="8">
        <f>IF(BJ63="No","No",IF(_xlfn.XLOOKUP(E63,Groups!A:A,Groups!BF:BF)=1,(0.0315*C63+2.1825)*2,(0.7354*C63^0.4078)*2)/IF(_xlfn.XLOOKUP(E63,Groups!A:A,Groups!BM:BM)=1,1000,100)/IF(_xlfn.XLOOKUP(E63,Groups!A:A,Groups!AJ:AJ)="Photonozoa",3,1))</f>
        <v>4.3667199000000004E-2</v>
      </c>
      <c r="BS63" s="8">
        <f t="shared" si="21"/>
        <v>1.394894946139395E-2</v>
      </c>
      <c r="BT63" s="8">
        <f t="shared" si="22"/>
        <v>43.8443841658056</v>
      </c>
      <c r="BU63" s="8" t="str">
        <f t="shared" si="23"/>
        <v>No</v>
      </c>
      <c r="BV63" s="8">
        <f t="shared" si="24"/>
        <v>3.9306768328290014</v>
      </c>
      <c r="BW63" s="4">
        <v>0</v>
      </c>
      <c r="BX63" s="4">
        <v>1</v>
      </c>
    </row>
    <row r="64" spans="1:76" x14ac:dyDescent="0.25">
      <c r="A64" s="26" t="s">
        <v>196</v>
      </c>
      <c r="B64" s="6" t="s">
        <v>552</v>
      </c>
      <c r="C64" s="7">
        <v>3.5000000000000003E-2</v>
      </c>
      <c r="D64" s="7" t="s">
        <v>553</v>
      </c>
      <c r="E64" s="7" t="str">
        <f>Groups!$A$8</f>
        <v>Bird (STRONG BEAK)</v>
      </c>
      <c r="F64" s="7" t="str">
        <f t="shared" si="31"/>
        <v>Lay eggs</v>
      </c>
      <c r="G64" s="7">
        <f>306/365</f>
        <v>0.83835616438356164</v>
      </c>
      <c r="H64" s="7">
        <v>10.5</v>
      </c>
      <c r="I64" s="4">
        <v>0</v>
      </c>
      <c r="J64" s="7" t="str">
        <f t="shared" si="32"/>
        <v>Lay eggs</v>
      </c>
      <c r="K64" s="7" t="s">
        <v>553</v>
      </c>
      <c r="L64" s="7">
        <f>10*1.60934</f>
        <v>16.093399999999999</v>
      </c>
      <c r="M64" s="7" t="s">
        <v>628</v>
      </c>
      <c r="N64" s="4">
        <v>0</v>
      </c>
      <c r="O64" s="4">
        <v>0</v>
      </c>
      <c r="P64" s="4">
        <v>0</v>
      </c>
      <c r="Q64" s="4">
        <v>0</v>
      </c>
      <c r="R64" s="4" t="s">
        <v>40</v>
      </c>
      <c r="S64" s="7">
        <f>_xlfn.XLOOKUP(B64,[1]TeethAdjusters!$A:$A,[1]BiteAdjusters!$C:$C,1)</f>
        <v>1</v>
      </c>
      <c r="T64" s="7">
        <f>_xlfn.XLOOKUP(B64,[1]TeethAdjusters!$A:$A,[1]TeethAdjusters!$B:$B,1)</f>
        <v>1</v>
      </c>
      <c r="U64" s="7">
        <v>0.1</v>
      </c>
      <c r="V64" s="7">
        <v>0.1</v>
      </c>
      <c r="W64" s="7" t="s">
        <v>45</v>
      </c>
      <c r="X64" s="7" t="s">
        <v>932</v>
      </c>
      <c r="Y64" s="4" t="s">
        <v>42</v>
      </c>
      <c r="Z64" s="4">
        <v>1</v>
      </c>
      <c r="AA64" s="4">
        <v>0</v>
      </c>
      <c r="AB64" s="4">
        <v>0</v>
      </c>
      <c r="AC64" s="4">
        <v>0</v>
      </c>
      <c r="AD64" s="4">
        <v>0</v>
      </c>
      <c r="AE64" s="4" t="s">
        <v>45</v>
      </c>
      <c r="AF64" s="4" t="s">
        <v>45</v>
      </c>
      <c r="AG64" s="49" t="s">
        <v>45</v>
      </c>
      <c r="AH64" s="4" t="str">
        <f>Animals!$C$6</f>
        <v>&lt;li&gt;Cassowary&lt;/li&gt;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4" t="s">
        <v>40</v>
      </c>
      <c r="AO64" s="8">
        <f t="shared" si="10"/>
        <v>125.59351278962983</v>
      </c>
      <c r="AP64" s="8">
        <f>IFERROR(C64*_xlfn.XLOOKUP(E64,Groups!A:A,Groups!K:K),0.106*C64^0.94)</f>
        <v>4.5365930901227368E-3</v>
      </c>
      <c r="AQ64" s="8">
        <f>AP64*10000/(_xlfn.XLOOKUP(E64,Groups!A:A,Groups!J:J)*AO64)</f>
        <v>0.3313874989911556</v>
      </c>
      <c r="AR64" s="8">
        <f t="shared" si="11"/>
        <v>3.2034284387320637</v>
      </c>
      <c r="AS64" s="8">
        <f>IF(_xlfn.XLOOKUP(E64,Groups!A:A,Groups!M:M)=1,EXP(0.7444*LN('Base stats'!C64)+6.5696),EXP(0.7927*LN('Base stats'!C64)+4.28))</f>
        <v>5.0659759219369223</v>
      </c>
      <c r="AT64" s="8">
        <f>IF(_xlfn.XLOOKUP(E64,Groups!A:A,Groups!N:N)="No","No",
IF(_xlfn.XLOOKUP(E64,Groups!A:A,Groups!N:N)="Crocodile",EXP(0.8129*LN(C64)+4.6742)*S64,
IF(_xlfn.XLOOKUP(E64,Groups!A:A,Groups!N:N)="Felid",EXP(0.7843*LN(C64)+4.7073)*S64,
IF(_xlfn.XLOOKUP(E64,Groups!A:A,Groups!N:N)="Canid",EXP(0.8367*LN(C64)+4.8763)*S64,
IF(_xlfn.XLOOKUP(E64,Groups!A:A,Groups!N:N)="Pig",EXP(0.3439*LN(C64)+6.8519)*S64,
IF(_xlfn.XLOOKUP(E64,Groups!A:A,Groups!N:N)="Rodent",EXP(0.5625*LN(C64)+4.3006)*S64,
IF(_xlfn.XLOOKUP(E64,Groups!A:A,Groups!N:N)="Primate",EXP(0.7847*LN(C64)+3.4931)*S64,
IF(_xlfn.XLOOKUP(E64,Groups!A:A,Groups!N:N)="MiscCarnivora",EXP(0.7486*LN(C64)+4.2207)*S64,
IF(_xlfn.XLOOKUP(E64,Groups!A:A,Groups!N:N)="Lizard",EXP(0.7733*LN(C64)+5.5303)*S64,
IF(_xlfn.XLOOKUP(E64,Groups!A:A,Groups!N:N)="Snake",50*C64^(2/3)*S64,
IF(_xlfn.XLOOKUP(E64,Groups!A:A,Groups!N:N)="StrongBitingHerbivore",87.1133638856975*C64^(2/3)*S64,
IF(_xlfn.XLOOKUP(E64,Groups!A:A,Groups!N:N)="MiscEctotherms",59.4316884072269*C64^(2/3)*S64,
IF(_xlfn.XLOOKUP(E64,Groups!A:A,Groups!N:N)="StrongBeakBird",0.041*(C64*1000)^1.375*S64,
IF(_xlfn.XLOOKUP(E64,Groups!A:A,Groups!N:N)="Bird",0.118*(C64*1000)^0.692*S64,
IF(_xlfn.XLOOKUP(E64,Groups!A:A,Groups!N:N)="Insect",EXP(0.7444*LN(C64)+6.5696)*S64,
IF(_xlfn.XLOOKUP(E64,Groups!A:A,Groups!N:N)="Theropod",EXP(0.6966*LN(C64)+4.158)*S64,
"No"))))))))))))))))</f>
        <v>5.4434898529499449</v>
      </c>
      <c r="AU64" s="8">
        <f>IF(_xlfn.XLOOKUP(E64,Groups!A:A,Groups!U:U)=3,AS64,IF(_xlfn.XLOOKUP(E64,Groups!A:A,Groups!U:U)=2,AR64,AT64))</f>
        <v>5.4434898529499449</v>
      </c>
      <c r="AV64" s="46">
        <f>IFERROR(AVERAGE(_xlfn.XLOOKUP(B64,Animals!B:B,Animals!N:N),_xlfn.XLOOKUP(B64,Animals!B:B,Animals!O:O)),0)</f>
        <v>0</v>
      </c>
      <c r="AW64" s="8">
        <f>MROUND(40*Animals!AO64*_xlfn.XLOOKUP(AG64,Leathers!$A$2:$A$99,Leathers!$B$2:$B$99,0)+(140*_xlfn.XLOOKUP(B64,Animals!B:B,Animals!AO:AO)*2),5)</f>
        <v>15</v>
      </c>
      <c r="AX64" s="8">
        <f>IFERROR(ROUND(SQRT(V64-1)*IF(_xlfn.XLOOKUP(E64,Groups!A:A,Groups!BF:BF)=0,2,1)*IF(_xlfn.XLOOKUP('Base stats'!E64,Groups!A:A,Groups!O:O)=0,1,0.1),1),0)</f>
        <v>0</v>
      </c>
      <c r="AY64" s="8">
        <f t="shared" si="12"/>
        <v>0</v>
      </c>
      <c r="AZ64" s="8">
        <f t="shared" si="13"/>
        <v>0</v>
      </c>
      <c r="BA64" s="8">
        <f t="shared" si="14"/>
        <v>0.2</v>
      </c>
      <c r="BB64" s="8">
        <f>IF(_xlfn.XLOOKUP(E64,Groups!A:A,Groups!N:N)="Insect",BD64*2.5,IFERROR(AVERAGE(BD64,AT64/9.81/IF(OR(_xlfn.XLOOKUP(E64,Groups!A:A,Groups!N:N)="Pig",_xlfn.XLOOKUP(E64,Groups!A:A,Groups!N:N)="StrongBitingHerbivore"),20,25))*C64^-0.135,BD64))</f>
        <v>1.9910311740927729E-2</v>
      </c>
      <c r="BC64" s="8" t="str">
        <f>IF(W64="No","No",IF(_xlfn.XLOOKUP(E64,Groups!A:A,Groups!U:U)=1,'Base stats'!BB64,IF(OR(_xlfn.XLOOKUP(E64,Groups!A:A,Groups!BD:BD)=1,_xlfn.XLOOKUP(E64,Groups!A:A,Groups!U:U)=2),BD64,IF(_xlfn.XLOOKUP(B64,Animals!B:B,Animals!AO:AO)&gt;4,AVERAGE(BD64,BF64),BF64))))</f>
        <v>No</v>
      </c>
      <c r="BD64" s="8">
        <f t="shared" si="15"/>
        <v>3.1297768397533835E-3</v>
      </c>
      <c r="BE64" s="8">
        <f>IF(_xlfn.XLOOKUP(E64,Groups!A:A,Groups!BE:BE)=1,(0.048*C64^1.01)+(0.071*C64^1.03),0.071*C64^1.03)/IF(_xlfn.XLOOKUP(E64,Groups!A:A,Groups!M:M)=1,0.85,IF(OR(_xlfn.XLOOKUP(B64,Animals!B:B,Animals!AO:AO)&gt;4,_xlfn.XLOOKUP(E64,Groups!A:A,Groups!BC:BC)=1),1.7,1))*C64^-0.25</f>
        <v>8.9516124579919823E-3</v>
      </c>
      <c r="BF64" s="8">
        <f>(0.048*C64^1.01)/IF(_xlfn.XLOOKUP(E64,Groups!A:A,Groups!M:M)=1,0.25,0.8)*C64^-0.25</f>
        <v>4.6950796479110464E-3</v>
      </c>
      <c r="BG64" s="8">
        <f>EXP(1.076*LN(AR64)-4.5397)*IF(_xlfn.XLOOKUP(E64,Groups!A:A,Groups!BC:BC)=1,1.25,IF(_xlfn.XLOOKUP(E64,Groups!A:A,Groups!BD:BD)=1,3.5,2.5))</f>
        <v>9.3414677317642594E-2</v>
      </c>
      <c r="BH64" s="8">
        <f>EXP(1.076*LN(AS64)-4.5397)*IF(_xlfn.XLOOKUP(E64,Groups!A:A,Groups!M:M)=1,0.8,IF(_xlfn.XLOOKUP(E64,Groups!A:A,Groups!BC:BC)=1,1.3,3))</f>
        <v>0.18355749139767674</v>
      </c>
      <c r="BI64" s="8" t="str">
        <f>IF(W64="No","No",IF(_xlfn.XLOOKUP(E64,Groups!A:A,Groups!U:U)=1,'Base stats'!BJ64,IF(OR(_xlfn.XLOOKUP(E64,Groups!A:A,Groups!BD:BD)=1,_xlfn.XLOOKUP(E64,Groups!A:A,Groups!U:U)=2),BG64,BH64))*1.2)</f>
        <v>No</v>
      </c>
      <c r="BJ64" s="8">
        <f>IFERROR(EXP(1.076*LN(AT64)-4.5397)*IF(_xlfn.XLOOKUP(E64,Groups!A:A,Groups!N:N)="Insect",1,IF(OR(_xlfn.XLOOKUP(E64,Groups!A:A,Groups!N:N)="Pig",_xlfn.XLOOKUP(E64,Groups!A:A,Groups!N:N)="StrongBitingHerbivore"),3.5,3.75)),"No")</f>
        <v>0.24789553796062558</v>
      </c>
      <c r="BK64" s="8">
        <f t="shared" si="16"/>
        <v>7</v>
      </c>
      <c r="BL64" s="8">
        <f t="shared" si="17"/>
        <v>6</v>
      </c>
      <c r="BM64" s="8" t="str">
        <f t="shared" si="18"/>
        <v>No</v>
      </c>
      <c r="BN64" s="8">
        <f t="shared" si="19"/>
        <v>4</v>
      </c>
      <c r="BO64" s="8">
        <f t="shared" si="20"/>
        <v>8</v>
      </c>
      <c r="BP64" s="8" cm="1">
        <f t="array" ref="BP64">IF(AND(_xlfn.XLOOKUP('Base stats'!E64,Groups!A:A,Groups!AD:AD=0),_xlfn.XLOOKUP('Base stats'!E64,Groups!A:A,Groups!P:P=0)),"No",IF(U64="No",AVERAGE(EXP(-0.57+0.99*LN(C64)),EXP(0.32+0.67*LN(C64)))/IF(_xlfn.XLOOKUP(E64,Groups!A:A,Groups!AD:AD)=1,10,2),(0.7354*C64^0.4078)*2/IF(_xlfn.XLOOKUP(E64,Groups!A:A,Groups!BK:BK)=1,1000,100)/IF(_xlfn.XLOOKUP(E64,Groups!A:A,Groups!AJ:AJ)="Photonozoa",3,1)))</f>
        <v>3.7482156502671444E-3</v>
      </c>
      <c r="BQ64" s="8" t="str">
        <f>IF(W64="No","No",IF(_xlfn.XLOOKUP(E64,Groups!A:A,Groups!BD:BD)=1,(AO64*5%),EXP(0.7354*LN(C64)^0.4078)*2/IF(_xlfn.XLOOKUP(E64,Groups!A:A,Groups!BL:BL)=1,1000,100)/IF(_xlfn.XLOOKUP(E64,Groups!A:A,Groups!AJ:AJ)="Photonozoa",3,1)))</f>
        <v>No</v>
      </c>
      <c r="BR64" s="8">
        <f>IF(BJ64="No","No",IF(_xlfn.XLOOKUP(E64,Groups!A:A,Groups!BF:BF)=1,(0.0315*C64+2.1825)*2,(0.7354*C64^0.4078)*2)/IF(_xlfn.XLOOKUP(E64,Groups!A:A,Groups!BM:BM)=1,1000,100)/IF(_xlfn.XLOOKUP(E64,Groups!A:A,Groups!AJ:AJ)="Photonozoa",3,1))</f>
        <v>4.3672050000000004E-2</v>
      </c>
      <c r="BS64" s="8">
        <f t="shared" si="21"/>
        <v>1.487571694472993E-2</v>
      </c>
      <c r="BT64" s="8">
        <f t="shared" si="22"/>
        <v>48.971966536822436</v>
      </c>
      <c r="BU64" s="8" t="str">
        <f t="shared" si="23"/>
        <v>No</v>
      </c>
      <c r="BV64" s="8">
        <f t="shared" si="24"/>
        <v>5.6762972647408478</v>
      </c>
      <c r="BW64" s="4">
        <v>0</v>
      </c>
      <c r="BX64" s="4">
        <v>1</v>
      </c>
    </row>
    <row r="65" spans="1:76" x14ac:dyDescent="0.25">
      <c r="A65" s="26" t="s">
        <v>195</v>
      </c>
      <c r="B65" s="6" t="s">
        <v>290</v>
      </c>
      <c r="C65" s="7">
        <v>0.47270000000000001</v>
      </c>
      <c r="D65" s="7" t="s">
        <v>1156</v>
      </c>
      <c r="E65" s="7" t="str">
        <f>Groups!$A$7</f>
        <v>Bird (STRONG BEAK, SMART, SCAVENGER)</v>
      </c>
      <c r="F65" s="7" t="str">
        <f t="shared" si="31"/>
        <v>Lay eggs</v>
      </c>
      <c r="G65" s="7">
        <f t="shared" ref="G65:G68" si="33">1095/365</f>
        <v>3</v>
      </c>
      <c r="H65" s="7">
        <v>19.2</v>
      </c>
      <c r="I65" s="4">
        <v>0</v>
      </c>
      <c r="J65" s="7" t="str">
        <f t="shared" si="32"/>
        <v>Lay eggs</v>
      </c>
      <c r="K65" s="7" t="s">
        <v>554</v>
      </c>
      <c r="L65" s="7">
        <f>10*1.60934</f>
        <v>16.093399999999999</v>
      </c>
      <c r="M65" s="7" t="s">
        <v>628</v>
      </c>
      <c r="N65" s="4">
        <v>0</v>
      </c>
      <c r="O65" s="4">
        <v>0</v>
      </c>
      <c r="P65" s="4">
        <v>0</v>
      </c>
      <c r="Q65" s="4">
        <v>0</v>
      </c>
      <c r="R65" s="4">
        <v>0.8</v>
      </c>
      <c r="S65" s="7">
        <f>_xlfn.XLOOKUP(B65,[1]TeethAdjusters!$A:$A,[1]BiteAdjusters!$C:$C,1)</f>
        <v>1</v>
      </c>
      <c r="T65" s="7">
        <f>_xlfn.XLOOKUP(B65,[1]TeethAdjusters!$A:$A,[1]TeethAdjusters!$B:$B,1)</f>
        <v>1</v>
      </c>
      <c r="U65" s="7">
        <v>1</v>
      </c>
      <c r="V65" s="7">
        <f>MROUND(AVERAGE(5.7,8.5),0.05)</f>
        <v>7.1000000000000005</v>
      </c>
      <c r="W65" s="7" t="s">
        <v>45</v>
      </c>
      <c r="X65" s="7" t="s">
        <v>932</v>
      </c>
      <c r="Y65" s="4" t="s">
        <v>53</v>
      </c>
      <c r="Z65" s="4">
        <v>1</v>
      </c>
      <c r="AA65" s="4">
        <v>0</v>
      </c>
      <c r="AB65" s="4">
        <v>0</v>
      </c>
      <c r="AC65" s="4">
        <v>0</v>
      </c>
      <c r="AD65" s="4">
        <v>0</v>
      </c>
      <c r="AE65" s="4" t="s">
        <v>45</v>
      </c>
      <c r="AF65" s="4" t="s">
        <v>399</v>
      </c>
      <c r="AG65" s="49" t="s">
        <v>45</v>
      </c>
      <c r="AH65" s="4" t="str">
        <f>Animals!$C$6</f>
        <v>&lt;li&gt;Cassowary&lt;/li&gt;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4" t="s">
        <v>40</v>
      </c>
      <c r="AO65" s="8">
        <f t="shared" si="10"/>
        <v>682.0302232909728</v>
      </c>
      <c r="AP65" s="8">
        <f>IFERROR(C65*_xlfn.XLOOKUP(E65,Groups!A:A,Groups!K:K),0.106*C65^0.94)</f>
        <v>5.241026208136873E-2</v>
      </c>
      <c r="AQ65" s="8">
        <f>AP65*10000/(_xlfn.XLOOKUP(E65,Groups!A:A,Groups!J:J)*AO65)</f>
        <v>0.70499528623453223</v>
      </c>
      <c r="AR65" s="8">
        <f t="shared" si="11"/>
        <v>28.877740401049877</v>
      </c>
      <c r="AS65" s="8">
        <f>IF(_xlfn.XLOOKUP(E65,Groups!A:A,Groups!M:M)=1,EXP(0.7444*LN('Base stats'!C65)+6.5696),EXP(0.7927*LN('Base stats'!C65)+4.28))</f>
        <v>39.886358601212059</v>
      </c>
      <c r="AT65" s="8">
        <f>IF(_xlfn.XLOOKUP(E65,Groups!A:A,Groups!N:N)="No","No",
IF(_xlfn.XLOOKUP(E65,Groups!A:A,Groups!N:N)="Crocodile",EXP(0.8129*LN(C65)+4.6742)*S65,
IF(_xlfn.XLOOKUP(E65,Groups!A:A,Groups!N:N)="Felid",EXP(0.7843*LN(C65)+4.7073)*S65,
IF(_xlfn.XLOOKUP(E65,Groups!A:A,Groups!N:N)="Canid",EXP(0.8367*LN(C65)+4.8763)*S65,
IF(_xlfn.XLOOKUP(E65,Groups!A:A,Groups!N:N)="Pig",EXP(0.3439*LN(C65)+6.8519)*S65,
IF(_xlfn.XLOOKUP(E65,Groups!A:A,Groups!N:N)="Rodent",EXP(0.5625*LN(C65)+4.3006)*S65,
IF(_xlfn.XLOOKUP(E65,Groups!A:A,Groups!N:N)="Primate",EXP(0.7847*LN(C65)+3.4931)*S65,
IF(_xlfn.XLOOKUP(E65,Groups!A:A,Groups!N:N)="MiscCarnivora",EXP(0.7486*LN(C65)+4.2207)*S65,
IF(_xlfn.XLOOKUP(E65,Groups!A:A,Groups!N:N)="Lizard",EXP(0.7733*LN(C65)+5.5303)*S65,
IF(_xlfn.XLOOKUP(E65,Groups!A:A,Groups!N:N)="Snake",50*C65^(2/3)*S65,
IF(_xlfn.XLOOKUP(E65,Groups!A:A,Groups!N:N)="StrongBitingHerbivore",87.1133638856975*C65^(2/3)*S65,
IF(_xlfn.XLOOKUP(E65,Groups!A:A,Groups!N:N)="MiscEctotherms",59.4316884072269*C65^(2/3)*S65,
IF(_xlfn.XLOOKUP(E65,Groups!A:A,Groups!N:N)="StrongBeakBird",0.041*(C65*1000)^1.375*S65,
IF(_xlfn.XLOOKUP(E65,Groups!A:A,Groups!N:N)="Bird",0.118*(C65*1000)^0.692*S65,
IF(_xlfn.XLOOKUP(E65,Groups!A:A,Groups!N:N)="Insect",EXP(0.7444*LN(C65)+6.5696)*S65,
IF(_xlfn.XLOOKUP(E65,Groups!A:A,Groups!N:N)="Theropod",EXP(0.6966*LN(C65)+4.158)*S65,
"No"))))))))))))))))</f>
        <v>195.13674655864344</v>
      </c>
      <c r="AU65" s="8">
        <f>IF(_xlfn.XLOOKUP(E65,Groups!A:A,Groups!U:U)=3,AS65,IF(_xlfn.XLOOKUP(E65,Groups!A:A,Groups!U:U)=2,AR65,AT65))</f>
        <v>195.13674655864344</v>
      </c>
      <c r="AV65" s="46">
        <f>IFERROR(AVERAGE(_xlfn.XLOOKUP(B65,Animals!B:B,Animals!N:N),_xlfn.XLOOKUP(B65,Animals!B:B,Animals!O:O)),0)</f>
        <v>0</v>
      </c>
      <c r="AW65" s="8">
        <f>MROUND(40*Animals!AO65*_xlfn.XLOOKUP(AG65,Leathers!$A$2:$A$99,Leathers!$B$2:$B$99,0)+(140*_xlfn.XLOOKUP(B65,Animals!B:B,Animals!AO:AO)*2),5)</f>
        <v>30</v>
      </c>
      <c r="AX65" s="8">
        <f>IFERROR(ROUND(SQRT(V65-1)*IF(_xlfn.XLOOKUP(E65,Groups!A:A,Groups!BF:BF)=0,2,1)*IF(_xlfn.XLOOKUP('Base stats'!E65,Groups!A:A,Groups!O:O)=0,1,0.1),1),0)</f>
        <v>0.2</v>
      </c>
      <c r="AY65" s="8">
        <f t="shared" si="12"/>
        <v>0</v>
      </c>
      <c r="AZ65" s="8">
        <f t="shared" si="13"/>
        <v>0</v>
      </c>
      <c r="BA65" s="8">
        <f t="shared" si="14"/>
        <v>0.5</v>
      </c>
      <c r="BB65" s="8">
        <f>IF(_xlfn.XLOOKUP(E65,Groups!A:A,Groups!N:N)="Insect",BD65*2.5,IFERROR(AVERAGE(BD65,AT65/9.81/IF(OR(_xlfn.XLOOKUP(E65,Groups!A:A,Groups!N:N)="Pig",_xlfn.XLOOKUP(E65,Groups!A:A,Groups!N:N)="StrongBitingHerbivore"),20,25))*C65^-0.135,BD65))</f>
        <v>0.45181572890864724</v>
      </c>
      <c r="BC65" s="8" t="str">
        <f>IF(W65="No","No",IF(_xlfn.XLOOKUP(E65,Groups!A:A,Groups!U:U)=1,'Base stats'!BB65,IF(OR(_xlfn.XLOOKUP(E65,Groups!A:A,Groups!BD:BD)=1,_xlfn.XLOOKUP(E65,Groups!A:A,Groups!U:U)=2),BD65,IF(_xlfn.XLOOKUP(B65,Animals!B:B,Animals!AO:AO)&gt;4,AVERAGE(BD65,BF65),BF65))))</f>
        <v>No</v>
      </c>
      <c r="BD65" s="8">
        <f t="shared" si="15"/>
        <v>2.1031328287467725E-2</v>
      </c>
      <c r="BE65" s="8">
        <f>IF(_xlfn.XLOOKUP(E65,Groups!A:A,Groups!BE:BE)=1,(0.048*C65^1.01)+(0.071*C65^1.03),0.071*C65^1.03)/IF(_xlfn.XLOOKUP(E65,Groups!A:A,Groups!M:M)=1,0.85,IF(OR(_xlfn.XLOOKUP(B65,Animals!B:B,Animals!AO:AO)&gt;4,_xlfn.XLOOKUP(E65,Groups!A:A,Groups!BC:BC)=1),1.7,1))*C65^-0.25</f>
        <v>6.6736076499101585E-2</v>
      </c>
      <c r="BF65" s="8">
        <f>(0.048*C65^1.01)/IF(_xlfn.XLOOKUP(E65,Groups!A:A,Groups!M:M)=1,0.25,0.8)*C65^-0.25</f>
        <v>3.3949728703862175E-2</v>
      </c>
      <c r="BG65" s="8">
        <f>EXP(1.076*LN(AR65)-4.5397)*IF(_xlfn.XLOOKUP(E65,Groups!A:A,Groups!BC:BC)=1,1.25,IF(_xlfn.XLOOKUP(E65,Groups!A:A,Groups!BD:BD)=1,3.5,2.5))</f>
        <v>0.99526644196323455</v>
      </c>
      <c r="BH65" s="8">
        <f>EXP(1.076*LN(AS65)-4.5397)*IF(_xlfn.XLOOKUP(E65,Groups!A:A,Groups!M:M)=1,0.8,IF(_xlfn.XLOOKUP(E65,Groups!A:A,Groups!BC:BC)=1,1.3,3))</f>
        <v>1.6906030117326418</v>
      </c>
      <c r="BI65" s="8" t="str">
        <f>IF(W65="No","No",IF(_xlfn.XLOOKUP(E65,Groups!A:A,Groups!U:U)=1,'Base stats'!BJ65,IF(OR(_xlfn.XLOOKUP(E65,Groups!A:A,Groups!BD:BD)=1,_xlfn.XLOOKUP(E65,Groups!A:A,Groups!U:U)=2),BG65,BH65))*1.2)</f>
        <v>No</v>
      </c>
      <c r="BJ65" s="8">
        <f>IFERROR(EXP(1.076*LN(AT65)-4.5397)*IF(_xlfn.XLOOKUP(E65,Groups!A:A,Groups!N:N)="Insect",1,IF(OR(_xlfn.XLOOKUP(E65,Groups!A:A,Groups!N:N)="Pig",_xlfn.XLOOKUP(E65,Groups!A:A,Groups!N:N)="StrongBitingHerbivore"),3.5,3.75)),"No")</f>
        <v>11.664588880990914</v>
      </c>
      <c r="BK65" s="8">
        <f t="shared" si="16"/>
        <v>9</v>
      </c>
      <c r="BL65" s="8">
        <f t="shared" si="17"/>
        <v>7</v>
      </c>
      <c r="BM65" s="8" t="str">
        <f t="shared" si="18"/>
        <v>No</v>
      </c>
      <c r="BN65" s="8">
        <f t="shared" si="19"/>
        <v>7</v>
      </c>
      <c r="BO65" s="8">
        <f t="shared" si="20"/>
        <v>9</v>
      </c>
      <c r="BP65" s="8" cm="1">
        <f t="array" ref="BP65">IF(AND(_xlfn.XLOOKUP('Base stats'!E65,Groups!A:A,Groups!AD:AD=0),_xlfn.XLOOKUP('Base stats'!E65,Groups!A:A,Groups!P:P=0)),"No",IF(U65="No",AVERAGE(EXP(-0.57+0.99*LN(C65)),EXP(0.32+0.67*LN(C65)))/IF(_xlfn.XLOOKUP(E65,Groups!A:A,Groups!AD:AD)=1,10,2),(0.7354*C65^0.4078)*2/IF(_xlfn.XLOOKUP(E65,Groups!A:A,Groups!BK:BK)=1,1000,100)/IF(_xlfn.XLOOKUP(E65,Groups!A:A,Groups!AJ:AJ)="Photonozoa",3,1)))</f>
        <v>1.0835516799744658E-2</v>
      </c>
      <c r="BQ65" s="8" t="str">
        <f>IF(W65="No","No",IF(_xlfn.XLOOKUP(E65,Groups!A:A,Groups!BD:BD)=1,(AO65*5%),EXP(0.7354*LN(C65)^0.4078)*2/IF(_xlfn.XLOOKUP(E65,Groups!A:A,Groups!BL:BL)=1,1000,100)/IF(_xlfn.XLOOKUP(E65,Groups!A:A,Groups!AJ:AJ)="Photonozoa",3,1)))</f>
        <v>No</v>
      </c>
      <c r="BR65" s="8">
        <f>IF(BJ65="No","No",IF(_xlfn.XLOOKUP(E65,Groups!A:A,Groups!BF:BF)=1,(0.0315*C65+2.1825)*2,(0.7354*C65^0.4078)*2)/IF(_xlfn.XLOOKUP(E65,Groups!A:A,Groups!BM:BM)=1,1000,100)/IF(_xlfn.XLOOKUP(E65,Groups!A:A,Groups!AJ:AJ)="Photonozoa",3,1))</f>
        <v>4.3947801000000002E-2</v>
      </c>
      <c r="BS65" s="8">
        <f t="shared" si="21"/>
        <v>2.9185405806822336E-2</v>
      </c>
      <c r="BT65" s="8">
        <f t="shared" si="22"/>
        <v>156.02421582443409</v>
      </c>
      <c r="BU65" s="8" t="str">
        <f t="shared" si="23"/>
        <v>No</v>
      </c>
      <c r="BV65" s="8">
        <f t="shared" si="24"/>
        <v>265.41917036965998</v>
      </c>
      <c r="BW65" s="4">
        <v>0</v>
      </c>
      <c r="BX65" s="4">
        <v>1</v>
      </c>
    </row>
    <row r="66" spans="1:76" x14ac:dyDescent="0.25">
      <c r="A66" s="26" t="s">
        <v>205</v>
      </c>
      <c r="B66" s="6" t="s">
        <v>223</v>
      </c>
      <c r="C66" s="7">
        <v>1</v>
      </c>
      <c r="D66" s="7" t="s">
        <v>1157</v>
      </c>
      <c r="E66" s="7" t="str">
        <f>Groups!$A$6</f>
        <v>Bird (STRONG BEAK, SMART)</v>
      </c>
      <c r="F66" s="7" t="str">
        <f t="shared" si="31"/>
        <v>Lay eggs</v>
      </c>
      <c r="G66" s="7">
        <f t="shared" si="33"/>
        <v>3</v>
      </c>
      <c r="H66" s="7">
        <v>33</v>
      </c>
      <c r="I66" s="4">
        <v>0</v>
      </c>
      <c r="J66" s="7" t="str">
        <f t="shared" si="32"/>
        <v>Lay eggs</v>
      </c>
      <c r="K66" s="7" t="s">
        <v>563</v>
      </c>
      <c r="L66" s="7">
        <f>10*1.60934</f>
        <v>16.093399999999999</v>
      </c>
      <c r="M66" s="7" t="s">
        <v>628</v>
      </c>
      <c r="N66" s="4">
        <v>0</v>
      </c>
      <c r="O66" s="4">
        <v>0</v>
      </c>
      <c r="P66" s="4">
        <v>0</v>
      </c>
      <c r="Q66" s="4">
        <v>0</v>
      </c>
      <c r="R66" s="4" t="s">
        <v>40</v>
      </c>
      <c r="S66" s="7">
        <f>_xlfn.XLOOKUP(B66,[1]TeethAdjusters!$A:$A,[1]BiteAdjusters!$C:$C,1)</f>
        <v>1</v>
      </c>
      <c r="T66" s="7">
        <f>_xlfn.XLOOKUP(B66,[1]TeethAdjusters!$A:$A,[1]TeethAdjusters!$B:$B,1)</f>
        <v>1</v>
      </c>
      <c r="U66" s="7">
        <v>1</v>
      </c>
      <c r="V66" s="7">
        <f>MROUND(9*0.5,0.05)</f>
        <v>4.5</v>
      </c>
      <c r="W66" s="7" t="s">
        <v>45</v>
      </c>
      <c r="X66" s="7" t="s">
        <v>932</v>
      </c>
      <c r="Y66" s="4" t="s">
        <v>42</v>
      </c>
      <c r="Z66" s="4">
        <v>1</v>
      </c>
      <c r="AA66" s="4">
        <v>0</v>
      </c>
      <c r="AB66" s="4">
        <v>0</v>
      </c>
      <c r="AC66" s="4">
        <v>0</v>
      </c>
      <c r="AD66" s="4">
        <v>0</v>
      </c>
      <c r="AE66" s="4" t="s">
        <v>45</v>
      </c>
      <c r="AF66" s="4" t="s">
        <v>399</v>
      </c>
      <c r="AG66" s="49" t="s">
        <v>45</v>
      </c>
      <c r="AH66" s="4" t="str">
        <f>Animals!$C$6</f>
        <v>&lt;li&gt;Cassowary&lt;/li&gt;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4" t="s">
        <v>40</v>
      </c>
      <c r="AO66" s="8">
        <f t="shared" si="10"/>
        <v>1110</v>
      </c>
      <c r="AP66" s="8">
        <f>IFERROR(C66*_xlfn.XLOOKUP(E66,Groups!A:A,Groups!K:K),0.106*C66^0.94)</f>
        <v>0.106</v>
      </c>
      <c r="AQ66" s="8">
        <f>AP66*10000/(_xlfn.XLOOKUP(E66,Groups!A:A,Groups!J:J)*AO66)</f>
        <v>0.87610546326142646</v>
      </c>
      <c r="AR66" s="8">
        <f t="shared" si="11"/>
        <v>54.380193636413573</v>
      </c>
      <c r="AS66" s="8">
        <f>IF(_xlfn.XLOOKUP(E66,Groups!A:A,Groups!M:M)=1,EXP(0.7444*LN('Base stats'!C66)+6.5696),EXP(0.7927*LN('Base stats'!C66)+4.28))</f>
        <v>72.240440007325375</v>
      </c>
      <c r="AT66" s="8">
        <f>IF(_xlfn.XLOOKUP(E66,Groups!A:A,Groups!N:N)="No","No",
IF(_xlfn.XLOOKUP(E66,Groups!A:A,Groups!N:N)="Crocodile",EXP(0.8129*LN(C66)+4.6742)*S66,
IF(_xlfn.XLOOKUP(E66,Groups!A:A,Groups!N:N)="Felid",EXP(0.7843*LN(C66)+4.7073)*S66,
IF(_xlfn.XLOOKUP(E66,Groups!A:A,Groups!N:N)="Canid",EXP(0.8367*LN(C66)+4.8763)*S66,
IF(_xlfn.XLOOKUP(E66,Groups!A:A,Groups!N:N)="Pig",EXP(0.3439*LN(C66)+6.8519)*S66,
IF(_xlfn.XLOOKUP(E66,Groups!A:A,Groups!N:N)="Rodent",EXP(0.5625*LN(C66)+4.3006)*S66,
IF(_xlfn.XLOOKUP(E66,Groups!A:A,Groups!N:N)="Primate",EXP(0.7847*LN(C66)+3.4931)*S66,
IF(_xlfn.XLOOKUP(E66,Groups!A:A,Groups!N:N)="MiscCarnivora",EXP(0.7486*LN(C66)+4.2207)*S66,
IF(_xlfn.XLOOKUP(E66,Groups!A:A,Groups!N:N)="Lizard",EXP(0.7733*LN(C66)+5.5303)*S66,
IF(_xlfn.XLOOKUP(E66,Groups!A:A,Groups!N:N)="Snake",50*C66^(2/3)*S66,
IF(_xlfn.XLOOKUP(E66,Groups!A:A,Groups!N:N)="StrongBitingHerbivore",87.1133638856975*C66^(2/3)*S66,
IF(_xlfn.XLOOKUP(E66,Groups!A:A,Groups!N:N)="MiscEctotherms",59.4316884072269*C66^(2/3)*S66,
IF(_xlfn.XLOOKUP(E66,Groups!A:A,Groups!N:N)="StrongBeakBird",0.041*(C66*1000)^1.375*S66,
IF(_xlfn.XLOOKUP(E66,Groups!A:A,Groups!N:N)="Bird",0.118*(C66*1000)^0.692*S66,
IF(_xlfn.XLOOKUP(E66,Groups!A:A,Groups!N:N)="Insect",EXP(0.7444*LN(C66)+6.5696)*S66,
IF(_xlfn.XLOOKUP(E66,Groups!A:A,Groups!N:N)="Theropod",EXP(0.6966*LN(C66)+4.158)*S66,
"No"))))))))))))))))</f>
        <v>546.74378718696266</v>
      </c>
      <c r="AU66" s="8">
        <f>IF(_xlfn.XLOOKUP(E66,Groups!A:A,Groups!U:U)=3,AS66,IF(_xlfn.XLOOKUP(E66,Groups!A:A,Groups!U:U)=2,AR66,AT66))</f>
        <v>546.74378718696266</v>
      </c>
      <c r="AV66" s="46">
        <f>IFERROR(AVERAGE(_xlfn.XLOOKUP(B66,Animals!B:B,Animals!N:N),_xlfn.XLOOKUP(B66,Animals!B:B,Animals!O:O)),0)</f>
        <v>0</v>
      </c>
      <c r="AW66" s="8">
        <f>MROUND(40*Animals!AO66*_xlfn.XLOOKUP(AG66,Leathers!$A$2:$A$99,Leathers!$B$2:$B$99,0)+(140*_xlfn.XLOOKUP(B66,Animals!B:B,Animals!AO:AO)*2),5)</f>
        <v>40</v>
      </c>
      <c r="AX66" s="8">
        <f>IFERROR(ROUND(SQRT(V66-1)*IF(_xlfn.XLOOKUP(E66,Groups!A:A,Groups!BF:BF)=0,2,1)*IF(_xlfn.XLOOKUP('Base stats'!E66,Groups!A:A,Groups!O:O)=0,1,0.1),1),0)</f>
        <v>0.2</v>
      </c>
      <c r="AY66" s="8">
        <f t="shared" si="12"/>
        <v>0</v>
      </c>
      <c r="AZ66" s="8">
        <f t="shared" si="13"/>
        <v>0</v>
      </c>
      <c r="BA66" s="8">
        <f t="shared" si="14"/>
        <v>0.6</v>
      </c>
      <c r="BB66" s="8">
        <f>IF(_xlfn.XLOOKUP(E66,Groups!A:A,Groups!N:N)="Insect",BD66*2.5,IFERROR(AVERAGE(BD66,AT66/9.81/IF(OR(_xlfn.XLOOKUP(E66,Groups!A:A,Groups!N:N)="Pig",_xlfn.XLOOKUP(E66,Groups!A:A,Groups!N:N)="StrongBitingHerbivore"),20,25))*C66^-0.135,BD66))</f>
        <v>1.1342662327970696</v>
      </c>
      <c r="BC66" s="8" t="str">
        <f>IF(W66="No","No",IF(_xlfn.XLOOKUP(E66,Groups!A:A,Groups!U:U)=1,'Base stats'!BB66,IF(OR(_xlfn.XLOOKUP(E66,Groups!A:A,Groups!BD:BD)=1,_xlfn.XLOOKUP(E66,Groups!A:A,Groups!U:U)=2),BD66,IF(_xlfn.XLOOKUP(B66,Animals!B:B,Animals!AO:AO)&gt;4,AVERAGE(BD66,BF66),BF66))))</f>
        <v>No</v>
      </c>
      <c r="BD66" s="8">
        <f t="shared" si="15"/>
        <v>3.9199999999999999E-2</v>
      </c>
      <c r="BE66" s="8">
        <f>IF(_xlfn.XLOOKUP(E66,Groups!A:A,Groups!BE:BE)=1,(0.048*C66^1.01)+(0.071*C66^1.03),0.071*C66^1.03)/IF(_xlfn.XLOOKUP(E66,Groups!A:A,Groups!M:M)=1,0.85,IF(OR(_xlfn.XLOOKUP(B66,Animals!B:B,Animals!AO:AO)&gt;4,_xlfn.XLOOKUP(E66,Groups!A:A,Groups!BC:BC)=1),1.7,1))*C66^-0.25</f>
        <v>0.11899999999999999</v>
      </c>
      <c r="BF66" s="8">
        <f>(0.048*C66^1.01)/IF(_xlfn.XLOOKUP(E66,Groups!A:A,Groups!M:M)=1,0.25,0.8)*C66^-0.25</f>
        <v>0.06</v>
      </c>
      <c r="BG66" s="8">
        <f>EXP(1.076*LN(AR66)-4.5397)*IF(_xlfn.XLOOKUP(E66,Groups!A:A,Groups!BC:BC)=1,1.25,IF(_xlfn.XLOOKUP(E66,Groups!A:A,Groups!BD:BD)=1,3.5,2.5))</f>
        <v>1.9665617864035057</v>
      </c>
      <c r="BH66" s="8">
        <f>EXP(1.076*LN(AS66)-4.5397)*IF(_xlfn.XLOOKUP(E66,Groups!A:A,Groups!M:M)=1,0.8,IF(_xlfn.XLOOKUP(E66,Groups!A:A,Groups!BC:BC)=1,1.3,3))</f>
        <v>3.2033344684475749</v>
      </c>
      <c r="BI66" s="8" t="str">
        <f>IF(W66="No","No",IF(_xlfn.XLOOKUP(E66,Groups!A:A,Groups!U:U)=1,'Base stats'!BJ66,IF(OR(_xlfn.XLOOKUP(E66,Groups!A:A,Groups!BD:BD)=1,_xlfn.XLOOKUP(E66,Groups!A:A,Groups!U:U)=2),BG66,BH66))*1.2)</f>
        <v>No</v>
      </c>
      <c r="BJ66" s="8">
        <f>IFERROR(EXP(1.076*LN(AT66)-4.5397)*IF(_xlfn.XLOOKUP(E66,Groups!A:A,Groups!N:N)="Insect",1,IF(OR(_xlfn.XLOOKUP(E66,Groups!A:A,Groups!N:N)="Pig",_xlfn.XLOOKUP(E66,Groups!A:A,Groups!N:N)="StrongBitingHerbivore"),3.5,3.75)),"No")</f>
        <v>35.344353164232253</v>
      </c>
      <c r="BK66" s="8">
        <f t="shared" si="16"/>
        <v>10</v>
      </c>
      <c r="BL66" s="8">
        <f t="shared" si="17"/>
        <v>7</v>
      </c>
      <c r="BM66" s="8" t="str">
        <f t="shared" si="18"/>
        <v>No</v>
      </c>
      <c r="BN66" s="8">
        <f t="shared" si="19"/>
        <v>7</v>
      </c>
      <c r="BO66" s="8">
        <f t="shared" si="20"/>
        <v>10</v>
      </c>
      <c r="BP66" s="8" cm="1">
        <f t="array" ref="BP66">IF(AND(_xlfn.XLOOKUP('Base stats'!E66,Groups!A:A,Groups!AD:AD=0),_xlfn.XLOOKUP('Base stats'!E66,Groups!A:A,Groups!P:P=0)),"No",IF(U66="No",AVERAGE(EXP(-0.57+0.99*LN(C66)),EXP(0.32+0.67*LN(C66)))/IF(_xlfn.XLOOKUP(E66,Groups!A:A,Groups!AD:AD)=1,10,2),(0.7354*C66^0.4078)*2/IF(_xlfn.XLOOKUP(E66,Groups!A:A,Groups!BK:BK)=1,1000,100)/IF(_xlfn.XLOOKUP(E66,Groups!A:A,Groups!AJ:AJ)="Photonozoa",3,1)))</f>
        <v>1.4708000000000001E-2</v>
      </c>
      <c r="BQ66" s="8" t="str">
        <f>IF(W66="No","No",IF(_xlfn.XLOOKUP(E66,Groups!A:A,Groups!BD:BD)=1,(AO66*5%),EXP(0.7354*LN(C66)^0.4078)*2/IF(_xlfn.XLOOKUP(E66,Groups!A:A,Groups!BL:BL)=1,1000,100)/IF(_xlfn.XLOOKUP(E66,Groups!A:A,Groups!AJ:AJ)="Photonozoa",3,1)))</f>
        <v>No</v>
      </c>
      <c r="BR66" s="8">
        <f>IF(BJ66="No","No",IF(_xlfn.XLOOKUP(E66,Groups!A:A,Groups!BF:BF)=1,(0.0315*C66+2.1825)*2,(0.7354*C66^0.4078)*2)/IF(_xlfn.XLOOKUP(E66,Groups!A:A,Groups!BM:BM)=1,1000,100)/IF(_xlfn.XLOOKUP(E66,Groups!A:A,Groups!AJ:AJ)="Photonozoa",3,1))</f>
        <v>4.428E-2</v>
      </c>
      <c r="BS66" s="8">
        <f t="shared" si="21"/>
        <v>3.5433545700964068E-2</v>
      </c>
      <c r="BT66" s="8">
        <f t="shared" si="22"/>
        <v>217.79538131952506</v>
      </c>
      <c r="BU66" s="8" t="str">
        <f t="shared" si="23"/>
        <v>No</v>
      </c>
      <c r="BV66" s="8">
        <f t="shared" si="24"/>
        <v>798.20129097182144</v>
      </c>
      <c r="BW66" s="4">
        <v>0</v>
      </c>
      <c r="BX66" s="4">
        <v>1</v>
      </c>
    </row>
    <row r="67" spans="1:76" x14ac:dyDescent="0.25">
      <c r="A67" s="26" t="s">
        <v>197</v>
      </c>
      <c r="B67" s="6" t="s">
        <v>216</v>
      </c>
      <c r="C67" s="7">
        <v>0.1</v>
      </c>
      <c r="D67" s="7" t="s">
        <v>1245</v>
      </c>
      <c r="E67" s="7" t="str">
        <f>Groups!$A$13</f>
        <v>Bird</v>
      </c>
      <c r="F67" s="7" t="str">
        <f t="shared" si="31"/>
        <v>Lay eggs</v>
      </c>
      <c r="G67" s="7">
        <f>365/365</f>
        <v>1</v>
      </c>
      <c r="H67" s="7">
        <v>14.6</v>
      </c>
      <c r="I67" s="4">
        <v>0</v>
      </c>
      <c r="J67" s="7" t="str">
        <f t="shared" si="32"/>
        <v>Lay eggs</v>
      </c>
      <c r="K67" s="7" t="s">
        <v>555</v>
      </c>
      <c r="L67" s="7">
        <f>10*1.60934</f>
        <v>16.093399999999999</v>
      </c>
      <c r="M67" s="7" t="s">
        <v>628</v>
      </c>
      <c r="N67" s="4">
        <v>0</v>
      </c>
      <c r="O67" s="4">
        <v>0</v>
      </c>
      <c r="P67" s="4">
        <v>0</v>
      </c>
      <c r="Q67" s="4">
        <v>0</v>
      </c>
      <c r="R67" s="4" t="s">
        <v>40</v>
      </c>
      <c r="S67" s="7">
        <f>_xlfn.XLOOKUP(B67,[1]TeethAdjusters!$A:$A,[1]BiteAdjusters!$C:$C,1)</f>
        <v>1</v>
      </c>
      <c r="T67" s="7">
        <f>_xlfn.XLOOKUP(B67,[1]TeethAdjusters!$A:$A,[1]TeethAdjusters!$B:$B,1)</f>
        <v>1</v>
      </c>
      <c r="U67" s="7">
        <v>0.5</v>
      </c>
      <c r="V67" s="7">
        <v>0.75</v>
      </c>
      <c r="W67" s="7" t="s">
        <v>45</v>
      </c>
      <c r="X67" s="7" t="s">
        <v>932</v>
      </c>
      <c r="Y67" s="4" t="s">
        <v>42</v>
      </c>
      <c r="Z67" s="4">
        <v>1</v>
      </c>
      <c r="AA67" s="4">
        <v>0</v>
      </c>
      <c r="AB67" s="4">
        <v>0</v>
      </c>
      <c r="AC67" s="4">
        <v>0</v>
      </c>
      <c r="AD67" s="4">
        <v>0</v>
      </c>
      <c r="AE67" s="4" t="s">
        <v>45</v>
      </c>
      <c r="AF67" s="4" t="s">
        <v>399</v>
      </c>
      <c r="AG67" s="49" t="s">
        <v>45</v>
      </c>
      <c r="AH67" s="4" t="s">
        <v>45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4" t="s">
        <v>40</v>
      </c>
      <c r="AO67" s="8">
        <f t="shared" ref="AO67:AO130" si="34">(0.111*C67^0.65)*10000</f>
        <v>248.49804638108569</v>
      </c>
      <c r="AP67" s="8">
        <f>IFERROR(C67*_xlfn.XLOOKUP(E67,Groups!A:A,Groups!K:K),0.106*C67^0.94)</f>
        <v>1.2170428387866963E-2</v>
      </c>
      <c r="AQ67" s="8">
        <f>AP67*10000/(_xlfn.XLOOKUP(E67,Groups!A:A,Groups!J:J)*AO67)</f>
        <v>0.44932066041065122</v>
      </c>
      <c r="AR67" s="8">
        <f t="shared" ref="AR67:AR130" si="35">EXP(0.8447*LN(C67)+3.996)</f>
        <v>7.7757224389992476</v>
      </c>
      <c r="AS67" s="8">
        <f>IF(_xlfn.XLOOKUP(E67,Groups!A:A,Groups!M:M)=1,EXP(0.7444*LN('Base stats'!C67)+6.5696),EXP(0.7927*LN('Base stats'!C67)+4.28))</f>
        <v>11.643415147050879</v>
      </c>
      <c r="AT67" s="8">
        <f>IF(_xlfn.XLOOKUP(E67,Groups!A:A,Groups!N:N)="No","No",
IF(_xlfn.XLOOKUP(E67,Groups!A:A,Groups!N:N)="Crocodile",EXP(0.8129*LN(C67)+4.6742)*S67,
IF(_xlfn.XLOOKUP(E67,Groups!A:A,Groups!N:N)="Felid",EXP(0.7843*LN(C67)+4.7073)*S67,
IF(_xlfn.XLOOKUP(E67,Groups!A:A,Groups!N:N)="Canid",EXP(0.8367*LN(C67)+4.8763)*S67,
IF(_xlfn.XLOOKUP(E67,Groups!A:A,Groups!N:N)="Pig",EXP(0.3439*LN(C67)+6.8519)*S67,
IF(_xlfn.XLOOKUP(E67,Groups!A:A,Groups!N:N)="Rodent",EXP(0.5625*LN(C67)+4.3006)*S67,
IF(_xlfn.XLOOKUP(E67,Groups!A:A,Groups!N:N)="Primate",EXP(0.7847*LN(C67)+3.4931)*S67,
IF(_xlfn.XLOOKUP(E67,Groups!A:A,Groups!N:N)="MiscCarnivora",EXP(0.7486*LN(C67)+4.2207)*S67,
IF(_xlfn.XLOOKUP(E67,Groups!A:A,Groups!N:N)="Lizard",EXP(0.7733*LN(C67)+5.5303)*S67,
IF(_xlfn.XLOOKUP(E67,Groups!A:A,Groups!N:N)="Snake",50*C67^(2/3)*S67,
IF(_xlfn.XLOOKUP(E67,Groups!A:A,Groups!N:N)="StrongBitingHerbivore",87.1133638856975*C67^(2/3)*S67,
IF(_xlfn.XLOOKUP(E67,Groups!A:A,Groups!N:N)="MiscEctotherms",59.4316884072269*C67^(2/3)*S67,
IF(_xlfn.XLOOKUP(E67,Groups!A:A,Groups!N:N)="StrongBeakBird",0.041*(C67*1000)^1.375*S67,
IF(_xlfn.XLOOKUP(E67,Groups!A:A,Groups!N:N)="Bird",0.118*(C67*1000)^0.692*S67,
IF(_xlfn.XLOOKUP(E67,Groups!A:A,Groups!N:N)="Insect",EXP(0.7444*LN(C67)+6.5696)*S67,
IF(_xlfn.XLOOKUP(E67,Groups!A:A,Groups!N:N)="Theropod",EXP(0.6966*LN(C67)+4.158)*S67,
"No"))))))))))))))))</f>
        <v>2.8568142751486909</v>
      </c>
      <c r="AU67" s="8">
        <f>IF(_xlfn.XLOOKUP(E67,Groups!A:A,Groups!U:U)=3,AS67,IF(_xlfn.XLOOKUP(E67,Groups!A:A,Groups!U:U)=2,AR67,AT67))</f>
        <v>2.8568142751486909</v>
      </c>
      <c r="AV67" s="46">
        <f>IFERROR(AVERAGE(_xlfn.XLOOKUP(B67,Animals!B:B,Animals!N:N),_xlfn.XLOOKUP(B67,Animals!B:B,Animals!O:O)),0)</f>
        <v>0</v>
      </c>
      <c r="AW67" s="8">
        <f>MROUND(40*Animals!AO67*_xlfn.XLOOKUP(AG67,Leathers!$A$2:$A$99,Leathers!$B$2:$B$99,0)+(140*_xlfn.XLOOKUP(B67,Animals!B:B,Animals!AO:AO)*2),5)</f>
        <v>30</v>
      </c>
      <c r="AX67" s="8">
        <f>IFERROR(ROUND(SQRT(V67-1)*IF(_xlfn.XLOOKUP(E67,Groups!A:A,Groups!BF:BF)=0,2,1)*IF(_xlfn.XLOOKUP('Base stats'!E67,Groups!A:A,Groups!O:O)=0,1,0.1),1),0)</f>
        <v>0</v>
      </c>
      <c r="AY67" s="8">
        <f t="shared" ref="AY67:AY130" si="36">IFERROR(ROUND(SQRT(U67-1),1),0)</f>
        <v>0</v>
      </c>
      <c r="AZ67" s="8">
        <f t="shared" ref="AZ67:AZ130" si="37">IFERROR(ROUND(SQRT(W67),1),0)</f>
        <v>0</v>
      </c>
      <c r="BA67" s="8">
        <f t="shared" ref="BA67:BA130" si="38">ROUND(
  EXP(0.3582*LN(C67)-0.2221) *
  (0.75 + 0.25*(C67^4/(C67^4+10^4))),
1)</f>
        <v>0.3</v>
      </c>
      <c r="BB67" s="8">
        <f>IF(_xlfn.XLOOKUP(E67,Groups!A:A,Groups!N:N)="Insect",BD67*2.5,IFERROR(AVERAGE(BD67,AT67/9.81/IF(OR(_xlfn.XLOOKUP(E67,Groups!A:A,Groups!N:N)="Pig",_xlfn.XLOOKUP(E67,Groups!A:A,Groups!N:N)="StrongBitingHerbivore"),20,25))*C67^-0.135,BD67))</f>
        <v>1.2660279088491499E-2</v>
      </c>
      <c r="BC67" s="8" t="str">
        <f>IF(W67="No","No",IF(_xlfn.XLOOKUP(E67,Groups!A:A,Groups!U:U)=1,'Base stats'!BB67,IF(OR(_xlfn.XLOOKUP(E67,Groups!A:A,Groups!BD:BD)=1,_xlfn.XLOOKUP(E67,Groups!A:A,Groups!U:U)=2),BD67,IF(_xlfn.XLOOKUP(B67,Animals!B:B,Animals!AO:AO)&gt;4,AVERAGE(BD67,BF67),BF67))))</f>
        <v>No</v>
      </c>
      <c r="BD67" s="8">
        <f t="shared" ref="BD67:BD130" si="39">(0.0392*C67^IF(OR(Y67="Herbivore",Y67="Dendrovore",Y67="OmnivoreRough"),0.889,0.966))*C67^-0.135</f>
        <v>6.9069461019335872E-3</v>
      </c>
      <c r="BE67" s="8">
        <f>IF(_xlfn.XLOOKUP(E67,Groups!A:A,Groups!BE:BE)=1,(0.048*C67^1.01)+(0.071*C67^1.03),0.071*C67^1.03)/IF(_xlfn.XLOOKUP(E67,Groups!A:A,Groups!M:M)=1,0.85,IF(OR(_xlfn.XLOOKUP(B67,Animals!B:B,Animals!AO:AO)&gt;4,_xlfn.XLOOKUP(E67,Groups!A:A,Groups!BC:BC)=1),1.7,1))*C67^-0.25</f>
        <v>2.0124511020803683E-2</v>
      </c>
      <c r="BF67" s="8">
        <f>(0.048*C67^1.01)/IF(_xlfn.XLOOKUP(E67,Groups!A:A,Groups!M:M)=1,0.25,0.8)*C67^-0.25</f>
        <v>1.0426804972496253E-2</v>
      </c>
      <c r="BG67" s="8">
        <f>EXP(1.076*LN(AR67)-4.5397)*IF(_xlfn.XLOOKUP(E67,Groups!A:A,Groups!BC:BC)=1,1.25,IF(_xlfn.XLOOKUP(E67,Groups!A:A,Groups!BD:BD)=1,3.5,2.5))</f>
        <v>0.2425550917554648</v>
      </c>
      <c r="BH67" s="8">
        <f>EXP(1.076*LN(AS67)-4.5397)*IF(_xlfn.XLOOKUP(E67,Groups!A:A,Groups!M:M)=1,0.8,IF(_xlfn.XLOOKUP(E67,Groups!A:A,Groups!BC:BC)=1,1.3,3))</f>
        <v>0.44942485486133998</v>
      </c>
      <c r="BI67" s="8" t="str">
        <f>IF(W67="No","No",IF(_xlfn.XLOOKUP(E67,Groups!A:A,Groups!U:U)=1,'Base stats'!BJ67,IF(OR(_xlfn.XLOOKUP(E67,Groups!A:A,Groups!BD:BD)=1,_xlfn.XLOOKUP(E67,Groups!A:A,Groups!U:U)=2),BG67,BH67))*1.2)</f>
        <v>No</v>
      </c>
      <c r="BJ67" s="8">
        <f>IFERROR(EXP(1.076*LN(AT67)-4.5397)*IF(_xlfn.XLOOKUP(E67,Groups!A:A,Groups!N:N)="Insect",1,IF(OR(_xlfn.XLOOKUP(E67,Groups!A:A,Groups!N:N)="Pig",_xlfn.XLOOKUP(E67,Groups!A:A,Groups!N:N)="StrongBitingHerbivore"),3.5,3.75)),"No")</f>
        <v>0.12387784682636251</v>
      </c>
      <c r="BK67" s="8">
        <f t="shared" ref="BK67:BK130" si="40">ROUNDDOWN(SQRT((2*BG67)/BD67),0)</f>
        <v>8</v>
      </c>
      <c r="BL67" s="8">
        <f t="shared" ref="BL67:BL130" si="41">ROUNDDOWN(SQRT((2*BH67)/BE67),0)</f>
        <v>6</v>
      </c>
      <c r="BM67" s="8" t="str">
        <f t="shared" ref="BM67:BM130" si="42">IF(W67="No","No",ROUNDDOWN(SQRT((2*BI67)/BC67),0))</f>
        <v>No</v>
      </c>
      <c r="BN67" s="8">
        <f t="shared" ref="BN67:BN130" si="43">IF(V67="No","No",ROUNDDOWN(SQRT((2*BJ67)/BB67),0))</f>
        <v>4</v>
      </c>
      <c r="BO67" s="8">
        <f t="shared" ref="BO67:BO130" si="44">ROUNDDOWN(SQRT((2*BH67)/BF67),0)</f>
        <v>9</v>
      </c>
      <c r="BP67" s="8" cm="1">
        <f t="array" ref="BP67">IF(AND(_xlfn.XLOOKUP('Base stats'!E67,Groups!A:A,Groups!AD:AD=0),_xlfn.XLOOKUP('Base stats'!E67,Groups!A:A,Groups!P:P=0)),"No",IF(U67="No",AVERAGE(EXP(-0.57+0.99*LN(C67)),EXP(0.32+0.67*LN(C67)))/IF(_xlfn.XLOOKUP(E67,Groups!A:A,Groups!AD:AD)=1,10,2),(0.7354*C67^0.4078)*2/IF(_xlfn.XLOOKUP(E67,Groups!A:A,Groups!BK:BK)=1,1000,100)/IF(_xlfn.XLOOKUP(E67,Groups!A:A,Groups!AJ:AJ)="Photonozoa",3,1)))</f>
        <v>5.7511357814731753E-3</v>
      </c>
      <c r="BQ67" s="8" t="str">
        <f>IF(W67="No","No",IF(_xlfn.XLOOKUP(E67,Groups!A:A,Groups!BD:BD)=1,(AO67*5%),EXP(0.7354*LN(C67)^0.4078)*2/IF(_xlfn.XLOOKUP(E67,Groups!A:A,Groups!BL:BL)=1,1000,100)/IF(_xlfn.XLOOKUP(E67,Groups!A:A,Groups!AJ:AJ)="Photonozoa",3,1)))</f>
        <v>No</v>
      </c>
      <c r="BR67" s="8">
        <f>IF(BJ67="No","No",IF(_xlfn.XLOOKUP(E67,Groups!A:A,Groups!BF:BF)=1,(0.0315*C67+2.1825)*2,(0.7354*C67^0.4078)*2)/IF(_xlfn.XLOOKUP(E67,Groups!A:A,Groups!BM:BM)=1,1000,100)/IF(_xlfn.XLOOKUP(E67,Groups!A:A,Groups!AJ:AJ)="Photonozoa",3,1))</f>
        <v>5.7511357814731753E-3</v>
      </c>
      <c r="BS67" s="8">
        <f t="shared" ref="BS67:BS130" si="45">BG67/(AO67*5%)</f>
        <v>1.9521690032403151E-2</v>
      </c>
      <c r="BT67" s="8">
        <f t="shared" ref="BT67:BT130" si="46">IF(BP67="No","No",BH67/BP67)</f>
        <v>78.145408478987108</v>
      </c>
      <c r="BU67" s="8" t="str">
        <f t="shared" ref="BU67:BU130" si="47">IF(W67="No","No",BI67/BQ67)</f>
        <v>No</v>
      </c>
      <c r="BV67" s="8">
        <f t="shared" ref="BV67:BV130" si="48">IF(BJ67="No","No",BJ67/BR67)</f>
        <v>21.539718680512657</v>
      </c>
      <c r="BW67" s="4">
        <v>0</v>
      </c>
      <c r="BX67" s="4">
        <v>1</v>
      </c>
    </row>
    <row r="68" spans="1:76" x14ac:dyDescent="0.25">
      <c r="A68" s="26" t="s">
        <v>193</v>
      </c>
      <c r="B68" s="6" t="s">
        <v>214</v>
      </c>
      <c r="C68" s="7">
        <v>9.42</v>
      </c>
      <c r="D68" s="7" t="s">
        <v>1243</v>
      </c>
      <c r="E68" s="7" t="str">
        <f>Groups!$A$9</f>
        <v>Bird (WATER)</v>
      </c>
      <c r="F68" s="7" t="str">
        <f t="shared" si="31"/>
        <v>Lay eggs</v>
      </c>
      <c r="G68" s="7">
        <f t="shared" si="33"/>
        <v>3</v>
      </c>
      <c r="H68" s="7">
        <v>40</v>
      </c>
      <c r="I68" s="4">
        <v>0</v>
      </c>
      <c r="J68" s="7" t="str">
        <f t="shared" si="32"/>
        <v>Lay eggs</v>
      </c>
      <c r="K68" s="7" t="s">
        <v>556</v>
      </c>
      <c r="L68" s="7">
        <f>8.2*1.60934</f>
        <v>13.196587999999998</v>
      </c>
      <c r="M68" s="7" t="s">
        <v>628</v>
      </c>
      <c r="N68" s="4">
        <v>0</v>
      </c>
      <c r="O68" s="4">
        <v>0</v>
      </c>
      <c r="P68" s="4">
        <v>0</v>
      </c>
      <c r="Q68" s="4">
        <v>0</v>
      </c>
      <c r="R68" s="4" t="s">
        <v>40</v>
      </c>
      <c r="S68" s="7">
        <f>_xlfn.XLOOKUP(B68,[1]TeethAdjusters!$A:$A,[1]BiteAdjusters!$C:$C,1)</f>
        <v>1</v>
      </c>
      <c r="T68" s="7">
        <f>_xlfn.XLOOKUP(B68,[1]TeethAdjusters!$A:$A,[1]TeethAdjusters!$B:$B,1)</f>
        <v>1</v>
      </c>
      <c r="U68" s="7" t="s">
        <v>45</v>
      </c>
      <c r="V68" s="7">
        <f>MROUND(65.52/10,0.05)</f>
        <v>6.5500000000000007</v>
      </c>
      <c r="W68" s="7" t="s">
        <v>45</v>
      </c>
      <c r="X68" s="7" t="s">
        <v>932</v>
      </c>
      <c r="Y68" s="4" t="s">
        <v>42</v>
      </c>
      <c r="Z68" s="4">
        <v>1</v>
      </c>
      <c r="AA68" s="4">
        <v>0</v>
      </c>
      <c r="AB68" s="4">
        <v>0</v>
      </c>
      <c r="AC68" s="4">
        <v>0</v>
      </c>
      <c r="AD68" s="4">
        <v>0</v>
      </c>
      <c r="AE68" s="4" t="s">
        <v>45</v>
      </c>
      <c r="AF68" s="4" t="s">
        <v>45</v>
      </c>
      <c r="AG68" s="49" t="s">
        <v>45</v>
      </c>
      <c r="AH68" s="4" t="str">
        <f>Animals!$C$6</f>
        <v>&lt;li&gt;Cassowary&lt;/li&gt;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4" t="s">
        <v>40</v>
      </c>
      <c r="AO68" s="8">
        <f t="shared" si="34"/>
        <v>4769.3156399882255</v>
      </c>
      <c r="AP68" s="8">
        <f>IFERROR(C68*_xlfn.XLOOKUP(E68,Groups!A:A,Groups!K:K),0.106*C68^0.94)</f>
        <v>0.87279794269602773</v>
      </c>
      <c r="AQ68" s="8">
        <f>AP68*10000/(_xlfn.XLOOKUP(E68,Groups!A:A,Groups!J:J)*AO68)</f>
        <v>1.6789244368847609</v>
      </c>
      <c r="AR68" s="8">
        <f t="shared" si="35"/>
        <v>361.59427621109876</v>
      </c>
      <c r="AS68" s="8">
        <f>IF(_xlfn.XLOOKUP(E68,Groups!A:A,Groups!M:M)=1,EXP(0.7444*LN('Base stats'!C68)+6.5696),EXP(0.7927*LN('Base stats'!C68)+4.28))</f>
        <v>427.47481515526169</v>
      </c>
      <c r="AT68" s="8">
        <f>IF(_xlfn.XLOOKUP(E68,Groups!A:A,Groups!N:N)="No","No",
IF(_xlfn.XLOOKUP(E68,Groups!A:A,Groups!N:N)="Crocodile",EXP(0.8129*LN(C68)+4.6742)*S68,
IF(_xlfn.XLOOKUP(E68,Groups!A:A,Groups!N:N)="Felid",EXP(0.7843*LN(C68)+4.7073)*S68,
IF(_xlfn.XLOOKUP(E68,Groups!A:A,Groups!N:N)="Canid",EXP(0.8367*LN(C68)+4.8763)*S68,
IF(_xlfn.XLOOKUP(E68,Groups!A:A,Groups!N:N)="Pig",EXP(0.3439*LN(C68)+6.8519)*S68,
IF(_xlfn.XLOOKUP(E68,Groups!A:A,Groups!N:N)="Rodent",EXP(0.5625*LN(C68)+4.3006)*S68,
IF(_xlfn.XLOOKUP(E68,Groups!A:A,Groups!N:N)="Primate",EXP(0.7847*LN(C68)+3.4931)*S68,
IF(_xlfn.XLOOKUP(E68,Groups!A:A,Groups!N:N)="MiscCarnivora",EXP(0.7486*LN(C68)+4.2207)*S68,
IF(_xlfn.XLOOKUP(E68,Groups!A:A,Groups!N:N)="Lizard",EXP(0.7733*LN(C68)+5.5303)*S68,
IF(_xlfn.XLOOKUP(E68,Groups!A:A,Groups!N:N)="Snake",50*C68^(2/3)*S68,
IF(_xlfn.XLOOKUP(E68,Groups!A:A,Groups!N:N)="StrongBitingHerbivore",87.1133638856975*C68^(2/3)*S68,
IF(_xlfn.XLOOKUP(E68,Groups!A:A,Groups!N:N)="MiscEctotherms",59.4316884072269*C68^(2/3)*S68,
IF(_xlfn.XLOOKUP(E68,Groups!A:A,Groups!N:N)="StrongBeakBird",0.041*(C68*1000)^1.375*S68,
IF(_xlfn.XLOOKUP(E68,Groups!A:A,Groups!N:N)="Bird",0.118*(C68*1000)^0.692*S68,
IF(_xlfn.XLOOKUP(E68,Groups!A:A,Groups!N:N)="Insect",EXP(0.7444*LN(C68)+6.5696)*S68,
IF(_xlfn.XLOOKUP(E68,Groups!A:A,Groups!N:N)="Theropod",EXP(0.6966*LN(C68)+4.158)*S68,
"No"))))))))))))))))</f>
        <v>66.362881050086855</v>
      </c>
      <c r="AU68" s="8">
        <f>IF(_xlfn.XLOOKUP(E68,Groups!A:A,Groups!U:U)=3,AS68,IF(_xlfn.XLOOKUP(E68,Groups!A:A,Groups!U:U)=2,AR68,AT68))</f>
        <v>66.362881050086855</v>
      </c>
      <c r="AV68" s="46">
        <f>IFERROR(AVERAGE(_xlfn.XLOOKUP(B68,Animals!B:B,Animals!N:N),_xlfn.XLOOKUP(B68,Animals!B:B,Animals!O:O)),0)</f>
        <v>0</v>
      </c>
      <c r="AW68" s="8">
        <f>MROUND(40*Animals!AO68*_xlfn.XLOOKUP(AG68,Leathers!$A$2:$A$99,Leathers!$B$2:$B$99,0)+(140*_xlfn.XLOOKUP(B68,Animals!B:B,Animals!AO:AO)*2),5)</f>
        <v>110</v>
      </c>
      <c r="AX68" s="8">
        <f>IFERROR(ROUND(SQRT(V68-1)*IF(_xlfn.XLOOKUP(E68,Groups!A:A,Groups!BF:BF)=0,2,1)*IF(_xlfn.XLOOKUP('Base stats'!E68,Groups!A:A,Groups!O:O)=0,1,0.1),1),0)</f>
        <v>0.2</v>
      </c>
      <c r="AY68" s="8">
        <f t="shared" si="36"/>
        <v>0</v>
      </c>
      <c r="AZ68" s="8">
        <f t="shared" si="37"/>
        <v>0</v>
      </c>
      <c r="BA68" s="8">
        <f t="shared" si="38"/>
        <v>1.5</v>
      </c>
      <c r="BB68" s="8">
        <f>IF(_xlfn.XLOOKUP(E68,Groups!A:A,Groups!N:N)="Insect",BD68*2.5,IFERROR(AVERAGE(BD68,AT68/9.81/IF(OR(_xlfn.XLOOKUP(E68,Groups!A:A,Groups!N:N)="Pig",_xlfn.XLOOKUP(E68,Groups!A:A,Groups!N:N)="StrongBitingHerbivore"),20,25))*C68^-0.135,BD68))</f>
        <v>0.17851007939995989</v>
      </c>
      <c r="BC68" s="8" t="str">
        <f>IF(W68="No","No",IF(_xlfn.XLOOKUP(E68,Groups!A:A,Groups!U:U)=1,'Base stats'!BB68,IF(OR(_xlfn.XLOOKUP(E68,Groups!A:A,Groups!BD:BD)=1,_xlfn.XLOOKUP(E68,Groups!A:A,Groups!U:U)=2),BD68,IF(_xlfn.XLOOKUP(B68,Animals!B:B,Animals!AO:AO)&gt;4,AVERAGE(BD68,BF68),BF68))))</f>
        <v>No</v>
      </c>
      <c r="BD68" s="8">
        <f t="shared" si="39"/>
        <v>0.21267696187850707</v>
      </c>
      <c r="BE68" s="8">
        <f>IF(_xlfn.XLOOKUP(E68,Groups!A:A,Groups!BE:BE)=1,(0.048*C68^1.01)+(0.071*C68^1.03),0.071*C68^1.03)/IF(_xlfn.XLOOKUP(E68,Groups!A:A,Groups!M:M)=1,0.85,IF(OR(_xlfn.XLOOKUP(B68,Animals!B:B,Animals!AO:AO)&gt;4,_xlfn.XLOOKUP(E68,Groups!A:A,Groups!BC:BC)=1),1.7,1))*C68^-0.25</f>
        <v>0.67228530060320457</v>
      </c>
      <c r="BF68" s="8">
        <f>(0.048*C68^1.01)/IF(_xlfn.XLOOKUP(E68,Groups!A:A,Groups!M:M)=1,0.25,0.8)*C68^-0.25</f>
        <v>0.32993617595203761</v>
      </c>
      <c r="BG68" s="8">
        <f>EXP(1.076*LN(AR68)-4.5397)*IF(_xlfn.XLOOKUP(E68,Groups!A:A,Groups!BC:BC)=1,1.25,IF(_xlfn.XLOOKUP(E68,Groups!A:A,Groups!BD:BD)=1,3.5,2.5))</f>
        <v>15.101487727291271</v>
      </c>
      <c r="BH68" s="8">
        <f>EXP(1.076*LN(AS68)-4.5397)*IF(_xlfn.XLOOKUP(E68,Groups!A:A,Groups!M:M)=1,0.8,IF(_xlfn.XLOOKUP(E68,Groups!A:A,Groups!BC:BC)=1,1.3,3))</f>
        <v>21.697731412335632</v>
      </c>
      <c r="BI68" s="8" t="str">
        <f>IF(W68="No","No",IF(_xlfn.XLOOKUP(E68,Groups!A:A,Groups!U:U)=1,'Base stats'!BJ68,IF(OR(_xlfn.XLOOKUP(E68,Groups!A:A,Groups!BD:BD)=1,_xlfn.XLOOKUP(E68,Groups!A:A,Groups!U:U)=2),BG68,BH68))*1.2)</f>
        <v>No</v>
      </c>
      <c r="BJ68" s="8">
        <f>IFERROR(EXP(1.076*LN(AT68)-4.5397)*IF(_xlfn.XLOOKUP(E68,Groups!A:A,Groups!N:N)="Insect",1,IF(OR(_xlfn.XLOOKUP(E68,Groups!A:A,Groups!N:N)="Pig",_xlfn.XLOOKUP(E68,Groups!A:A,Groups!N:N)="StrongBitingHerbivore"),3.5,3.75)),"No")</f>
        <v>3.654737235014808</v>
      </c>
      <c r="BK68" s="8">
        <f t="shared" si="40"/>
        <v>11</v>
      </c>
      <c r="BL68" s="8">
        <f t="shared" si="41"/>
        <v>8</v>
      </c>
      <c r="BM68" s="8" t="str">
        <f t="shared" si="42"/>
        <v>No</v>
      </c>
      <c r="BN68" s="8">
        <f t="shared" si="43"/>
        <v>6</v>
      </c>
      <c r="BO68" s="8">
        <f t="shared" si="44"/>
        <v>11</v>
      </c>
      <c r="BP68" s="8" t="str" cm="1">
        <f t="array" ref="BP68">IF(AND(_xlfn.XLOOKUP('Base stats'!E68,Groups!A:A,Groups!AD:AD=0),_xlfn.XLOOKUP('Base stats'!E68,Groups!A:A,Groups!P:P=0)),"No",IF(U68="No",AVERAGE(EXP(-0.57+0.99*LN(C68)),EXP(0.32+0.67*LN(C68)))/IF(_xlfn.XLOOKUP(E68,Groups!A:A,Groups!AD:AD)=1,10,2),(0.7354*C68^0.4078)*2/IF(_xlfn.XLOOKUP(E68,Groups!A:A,Groups!BK:BK)=1,1000,100)/IF(_xlfn.XLOOKUP(E68,Groups!A:A,Groups!AJ:AJ)="Photonozoa",3,1)))</f>
        <v>No</v>
      </c>
      <c r="BQ68" s="8" t="str">
        <f>IF(W68="No","No",IF(_xlfn.XLOOKUP(E68,Groups!A:A,Groups!BD:BD)=1,(AO68*5%),EXP(0.7354*LN(C68)^0.4078)*2/IF(_xlfn.XLOOKUP(E68,Groups!A:A,Groups!BL:BL)=1,1000,100)/IF(_xlfn.XLOOKUP(E68,Groups!A:A,Groups!AJ:AJ)="Photonozoa",3,1)))</f>
        <v>No</v>
      </c>
      <c r="BR68" s="8">
        <f>IF(BJ68="No","No",IF(_xlfn.XLOOKUP(E68,Groups!A:A,Groups!BF:BF)=1,(0.0315*C68+2.1825)*2,(0.7354*C68^0.4078)*2)/IF(_xlfn.XLOOKUP(E68,Groups!A:A,Groups!BM:BM)=1,1000,100)/IF(_xlfn.XLOOKUP(E68,Groups!A:A,Groups!AJ:AJ)="Photonozoa",3,1))</f>
        <v>3.6708917623684029E-2</v>
      </c>
      <c r="BS68" s="8">
        <f t="shared" si="45"/>
        <v>6.3327692554768944E-2</v>
      </c>
      <c r="BT68" s="8" t="str">
        <f t="shared" si="46"/>
        <v>No</v>
      </c>
      <c r="BU68" s="8" t="str">
        <f t="shared" si="47"/>
        <v>No</v>
      </c>
      <c r="BV68" s="8">
        <f t="shared" si="48"/>
        <v>99.559929074477196</v>
      </c>
      <c r="BW68" s="4">
        <v>0</v>
      </c>
      <c r="BX68" s="4">
        <v>1</v>
      </c>
    </row>
    <row r="69" spans="1:76" x14ac:dyDescent="0.25">
      <c r="A69" s="26" t="s">
        <v>201</v>
      </c>
      <c r="B69" s="6" t="s">
        <v>220</v>
      </c>
      <c r="C69" s="7">
        <v>1.5</v>
      </c>
      <c r="D69" s="7" t="s">
        <v>1244</v>
      </c>
      <c r="E69" s="7" t="str">
        <f>Groups!$A$9</f>
        <v>Bird (WATER)</v>
      </c>
      <c r="F69" s="7" t="str">
        <f t="shared" si="31"/>
        <v>Lay eggs</v>
      </c>
      <c r="G69" s="7">
        <f>730/365</f>
        <v>2</v>
      </c>
      <c r="H69" s="7">
        <v>37.5</v>
      </c>
      <c r="I69" s="4">
        <v>0</v>
      </c>
      <c r="J69" s="7" t="str">
        <f t="shared" si="32"/>
        <v>Lay eggs</v>
      </c>
      <c r="K69" s="7" t="s">
        <v>557</v>
      </c>
      <c r="L69" s="7">
        <f>8.2*1.60934</f>
        <v>13.196587999999998</v>
      </c>
      <c r="M69" s="7" t="s">
        <v>628</v>
      </c>
      <c r="N69" s="4">
        <v>0</v>
      </c>
      <c r="O69" s="4">
        <v>0</v>
      </c>
      <c r="P69" s="4">
        <v>0</v>
      </c>
      <c r="Q69" s="4">
        <v>0</v>
      </c>
      <c r="R69" s="4" t="s">
        <v>40</v>
      </c>
      <c r="S69" s="7">
        <f>_xlfn.XLOOKUP(B69,[1]TeethAdjusters!$A:$A,[1]BiteAdjusters!$C:$C,1)</f>
        <v>1</v>
      </c>
      <c r="T69" s="7">
        <f>_xlfn.XLOOKUP(B69,[1]TeethAdjusters!$A:$A,[1]TeethAdjusters!$B:$B,1)</f>
        <v>1</v>
      </c>
      <c r="U69" s="7" t="s">
        <v>45</v>
      </c>
      <c r="V69" s="7">
        <f>MROUND(AVERAGE(12.5,10.9),0.05)</f>
        <v>11.700000000000001</v>
      </c>
      <c r="W69" s="7" t="s">
        <v>45</v>
      </c>
      <c r="X69" s="7" t="s">
        <v>932</v>
      </c>
      <c r="Y69" s="4" t="s">
        <v>56</v>
      </c>
      <c r="Z69" s="4">
        <v>1</v>
      </c>
      <c r="AA69" s="4">
        <v>0</v>
      </c>
      <c r="AB69" s="4">
        <v>0</v>
      </c>
      <c r="AC69" s="4">
        <v>0</v>
      </c>
      <c r="AD69" s="4">
        <v>0</v>
      </c>
      <c r="AE69" s="4" t="s">
        <v>45</v>
      </c>
      <c r="AF69" s="4" t="s">
        <v>45</v>
      </c>
      <c r="AG69" s="49" t="s">
        <v>45</v>
      </c>
      <c r="AH69" s="4" t="str">
        <f>Animals!$C$6</f>
        <v>&lt;li&gt;Cassowary&lt;/li&gt;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4" t="s">
        <v>40</v>
      </c>
      <c r="AO69" s="8">
        <f t="shared" si="34"/>
        <v>1444.7153833072407</v>
      </c>
      <c r="AP69" s="8">
        <f>IFERROR(C69*_xlfn.XLOOKUP(E69,Groups!A:A,Groups!K:K),0.106*C69^0.94)</f>
        <v>0.15517853545964969</v>
      </c>
      <c r="AQ69" s="8">
        <f>AP69*10000/(_xlfn.XLOOKUP(E69,Groups!A:A,Groups!J:J)*AO69)</f>
        <v>0.98542336094020611</v>
      </c>
      <c r="AR69" s="8">
        <f t="shared" si="35"/>
        <v>76.592286773914608</v>
      </c>
      <c r="AS69" s="8">
        <f>IF(_xlfn.XLOOKUP(E69,Groups!A:A,Groups!M:M)=1,EXP(0.7444*LN('Base stats'!C69)+6.5696),EXP(0.7927*LN('Base stats'!C69)+4.28))</f>
        <v>99.624905763458273</v>
      </c>
      <c r="AT69" s="8">
        <f>IF(_xlfn.XLOOKUP(E69,Groups!A:A,Groups!N:N)="No","No",
IF(_xlfn.XLOOKUP(E69,Groups!A:A,Groups!N:N)="Crocodile",EXP(0.8129*LN(C69)+4.6742)*S69,
IF(_xlfn.XLOOKUP(E69,Groups!A:A,Groups!N:N)="Felid",EXP(0.7843*LN(C69)+4.7073)*S69,
IF(_xlfn.XLOOKUP(E69,Groups!A:A,Groups!N:N)="Canid",EXP(0.8367*LN(C69)+4.8763)*S69,
IF(_xlfn.XLOOKUP(E69,Groups!A:A,Groups!N:N)="Pig",EXP(0.3439*LN(C69)+6.8519)*S69,
IF(_xlfn.XLOOKUP(E69,Groups!A:A,Groups!N:N)="Rodent",EXP(0.5625*LN(C69)+4.3006)*S69,
IF(_xlfn.XLOOKUP(E69,Groups!A:A,Groups!N:N)="Primate",EXP(0.7847*LN(C69)+3.4931)*S69,
IF(_xlfn.XLOOKUP(E69,Groups!A:A,Groups!N:N)="MiscCarnivora",EXP(0.7486*LN(C69)+4.2207)*S69,
IF(_xlfn.XLOOKUP(E69,Groups!A:A,Groups!N:N)="Lizard",EXP(0.7733*LN(C69)+5.5303)*S69,
IF(_xlfn.XLOOKUP(E69,Groups!A:A,Groups!N:N)="Snake",50*C69^(2/3)*S69,
IF(_xlfn.XLOOKUP(E69,Groups!A:A,Groups!N:N)="StrongBitingHerbivore",87.1133638856975*C69^(2/3)*S69,
IF(_xlfn.XLOOKUP(E69,Groups!A:A,Groups!N:N)="MiscEctotherms",59.4316884072269*C69^(2/3)*S69,
IF(_xlfn.XLOOKUP(E69,Groups!A:A,Groups!N:N)="StrongBeakBird",0.041*(C69*1000)^1.375*S69,
IF(_xlfn.XLOOKUP(E69,Groups!A:A,Groups!N:N)="Bird",0.118*(C69*1000)^0.692*S69,
IF(_xlfn.XLOOKUP(E69,Groups!A:A,Groups!N:N)="Insect",EXP(0.7444*LN(C69)+6.5696)*S69,
IF(_xlfn.XLOOKUP(E69,Groups!A:A,Groups!N:N)="Theropod",EXP(0.6966*LN(C69)+4.158)*S69,
"No"))))))))))))))))</f>
        <v>18.609605150158721</v>
      </c>
      <c r="AU69" s="8">
        <f>IF(_xlfn.XLOOKUP(E69,Groups!A:A,Groups!U:U)=3,AS69,IF(_xlfn.XLOOKUP(E69,Groups!A:A,Groups!U:U)=2,AR69,AT69))</f>
        <v>18.609605150158721</v>
      </c>
      <c r="AV69" s="46">
        <f>IFERROR(AVERAGE(_xlfn.XLOOKUP(B69,Animals!B:B,Animals!N:N),_xlfn.XLOOKUP(B69,Animals!B:B,Animals!O:O)),0)</f>
        <v>0</v>
      </c>
      <c r="AW69" s="8">
        <f>MROUND(40*Animals!AO69*_xlfn.XLOOKUP(AG69,Leathers!$A$2:$A$99,Leathers!$B$2:$B$99,0)+(140*_xlfn.XLOOKUP(B69,Animals!B:B,Animals!AO:AO)*2),5)</f>
        <v>55</v>
      </c>
      <c r="AX69" s="8">
        <f>IFERROR(ROUND(SQRT(V69-1)*IF(_xlfn.XLOOKUP(E69,Groups!A:A,Groups!BF:BF)=0,2,1)*IF(_xlfn.XLOOKUP('Base stats'!E69,Groups!A:A,Groups!O:O)=0,1,0.1),1),0)</f>
        <v>0.3</v>
      </c>
      <c r="AY69" s="8">
        <f t="shared" si="36"/>
        <v>0</v>
      </c>
      <c r="AZ69" s="8">
        <f t="shared" si="37"/>
        <v>0</v>
      </c>
      <c r="BA69" s="8">
        <f t="shared" si="38"/>
        <v>0.7</v>
      </c>
      <c r="BB69" s="8">
        <f>IF(_xlfn.XLOOKUP(E69,Groups!A:A,Groups!N:N)="Insect",BD69*2.5,IFERROR(AVERAGE(BD69,AT69/9.81/IF(OR(_xlfn.XLOOKUP(E69,Groups!A:A,Groups!N:N)="Pig",_xlfn.XLOOKUP(E69,Groups!A:A,Groups!N:N)="StrongBitingHerbivore"),20,25))*C69^-0.135,BD69))</f>
        <v>6.1909688520735806E-2</v>
      </c>
      <c r="BC69" s="8" t="str">
        <f>IF(W69="No","No",IF(_xlfn.XLOOKUP(E69,Groups!A:A,Groups!U:U)=1,'Base stats'!BB69,IF(OR(_xlfn.XLOOKUP(E69,Groups!A:A,Groups!BD:BD)=1,_xlfn.XLOOKUP(E69,Groups!A:A,Groups!U:U)=2),BD69,IF(_xlfn.XLOOKUP(B69,Animals!B:B,Animals!AO:AO)&gt;4,AVERAGE(BD69,BF69),BF69))))</f>
        <v>No</v>
      </c>
      <c r="BD69" s="8">
        <f t="shared" si="39"/>
        <v>5.4905759483311625E-2</v>
      </c>
      <c r="BE69" s="8">
        <f>IF(_xlfn.XLOOKUP(E69,Groups!A:A,Groups!BE:BE)=1,(0.048*C69^1.01)+(0.071*C69^1.03),0.071*C69^1.03)/IF(_xlfn.XLOOKUP(E69,Groups!A:A,Groups!M:M)=1,0.85,IF(OR(_xlfn.XLOOKUP(B69,Animals!B:B,Animals!AO:AO)&gt;4,_xlfn.XLOOKUP(E69,Groups!A:A,Groups!BC:BC)=1),1.7,1))*C69^-0.25</f>
        <v>0.16273501567843682</v>
      </c>
      <c r="BF69" s="8">
        <f>(0.048*C69^1.01)/IF(_xlfn.XLOOKUP(E69,Groups!A:A,Groups!M:M)=1,0.25,0.8)*C69^-0.25</f>
        <v>8.165459089768376E-2</v>
      </c>
      <c r="BG69" s="8">
        <f>EXP(1.076*LN(AR69)-4.5397)*IF(_xlfn.XLOOKUP(E69,Groups!A:A,Groups!BC:BC)=1,1.25,IF(_xlfn.XLOOKUP(E69,Groups!A:A,Groups!BD:BD)=1,3.5,2.5))</f>
        <v>2.8428663840234449</v>
      </c>
      <c r="BH69" s="8">
        <f>EXP(1.076*LN(AS69)-4.5397)*IF(_xlfn.XLOOKUP(E69,Groups!A:A,Groups!M:M)=1,0.8,IF(_xlfn.XLOOKUP(E69,Groups!A:A,Groups!BC:BC)=1,1.3,3))</f>
        <v>4.5268747755982712</v>
      </c>
      <c r="BI69" s="8" t="str">
        <f>IF(W69="No","No",IF(_xlfn.XLOOKUP(E69,Groups!A:A,Groups!U:U)=1,'Base stats'!BJ69,IF(OR(_xlfn.XLOOKUP(E69,Groups!A:A,Groups!BD:BD)=1,_xlfn.XLOOKUP(E69,Groups!A:A,Groups!U:U)=2),BG69,BH69))*1.2)</f>
        <v>No</v>
      </c>
      <c r="BJ69" s="8">
        <f>IFERROR(EXP(1.076*LN(AT69)-4.5397)*IF(_xlfn.XLOOKUP(E69,Groups!A:A,Groups!N:N)="Insect",1,IF(OR(_xlfn.XLOOKUP(E69,Groups!A:A,Groups!N:N)="Pig",_xlfn.XLOOKUP(E69,Groups!A:A,Groups!N:N)="StrongBitingHerbivore"),3.5,3.75)),"No")</f>
        <v>0.93046874790207179</v>
      </c>
      <c r="BK69" s="8">
        <f t="shared" si="40"/>
        <v>10</v>
      </c>
      <c r="BL69" s="8">
        <f t="shared" si="41"/>
        <v>7</v>
      </c>
      <c r="BM69" s="8" t="str">
        <f t="shared" si="42"/>
        <v>No</v>
      </c>
      <c r="BN69" s="8">
        <f t="shared" si="43"/>
        <v>5</v>
      </c>
      <c r="BO69" s="8">
        <f t="shared" si="44"/>
        <v>10</v>
      </c>
      <c r="BP69" s="8" t="str" cm="1">
        <f t="array" ref="BP69">IF(AND(_xlfn.XLOOKUP('Base stats'!E69,Groups!A:A,Groups!AD:AD=0),_xlfn.XLOOKUP('Base stats'!E69,Groups!A:A,Groups!P:P=0)),"No",IF(U69="No",AVERAGE(EXP(-0.57+0.99*LN(C69)),EXP(0.32+0.67*LN(C69)))/IF(_xlfn.XLOOKUP(E69,Groups!A:A,Groups!AD:AD)=1,10,2),(0.7354*C69^0.4078)*2/IF(_xlfn.XLOOKUP(E69,Groups!A:A,Groups!BK:BK)=1,1000,100)/IF(_xlfn.XLOOKUP(E69,Groups!A:A,Groups!AJ:AJ)="Photonozoa",3,1)))</f>
        <v>No</v>
      </c>
      <c r="BQ69" s="8" t="str">
        <f>IF(W69="No","No",IF(_xlfn.XLOOKUP(E69,Groups!A:A,Groups!BD:BD)=1,(AO69*5%),EXP(0.7354*LN(C69)^0.4078)*2/IF(_xlfn.XLOOKUP(E69,Groups!A:A,Groups!BL:BL)=1,1000,100)/IF(_xlfn.XLOOKUP(E69,Groups!A:A,Groups!AJ:AJ)="Photonozoa",3,1)))</f>
        <v>No</v>
      </c>
      <c r="BR69" s="8">
        <f>IF(BJ69="No","No",IF(_xlfn.XLOOKUP(E69,Groups!A:A,Groups!BF:BF)=1,(0.0315*C69+2.1825)*2,(0.7354*C69^0.4078)*2)/IF(_xlfn.XLOOKUP(E69,Groups!A:A,Groups!BM:BM)=1,1000,100)/IF(_xlfn.XLOOKUP(E69,Groups!A:A,Groups!AJ:AJ)="Photonozoa",3,1))</f>
        <v>1.7352563272430833E-2</v>
      </c>
      <c r="BS69" s="8">
        <f t="shared" si="45"/>
        <v>3.9355383307618119E-2</v>
      </c>
      <c r="BT69" s="8" t="str">
        <f t="shared" si="46"/>
        <v>No</v>
      </c>
      <c r="BU69" s="8" t="str">
        <f t="shared" si="47"/>
        <v>No</v>
      </c>
      <c r="BV69" s="8">
        <f t="shared" si="48"/>
        <v>53.621400671125585</v>
      </c>
      <c r="BW69" s="4">
        <v>0</v>
      </c>
      <c r="BX69" s="4">
        <v>1</v>
      </c>
    </row>
    <row r="70" spans="1:76" x14ac:dyDescent="0.25">
      <c r="A70" s="26" t="s">
        <v>208</v>
      </c>
      <c r="B70" s="6" t="s">
        <v>237</v>
      </c>
      <c r="C70" s="7">
        <f>(2+4.5)/2</f>
        <v>3.25</v>
      </c>
      <c r="D70" s="7" t="s">
        <v>1246</v>
      </c>
      <c r="E70" s="7" t="str">
        <f>Groups!$A$9</f>
        <v>Bird (WATER)</v>
      </c>
      <c r="F70" s="7" t="str">
        <f t="shared" si="31"/>
        <v>Lay eggs</v>
      </c>
      <c r="G70" s="7">
        <f>1825 /365</f>
        <v>5</v>
      </c>
      <c r="H70" s="7">
        <v>58.8</v>
      </c>
      <c r="I70" s="4">
        <v>0</v>
      </c>
      <c r="J70" s="7" t="str">
        <f t="shared" si="32"/>
        <v>Lay eggs</v>
      </c>
      <c r="K70" s="7" t="s">
        <v>558</v>
      </c>
      <c r="L70" s="7">
        <f>8.2*1.60934</f>
        <v>13.196587999999998</v>
      </c>
      <c r="M70" s="7" t="s">
        <v>628</v>
      </c>
      <c r="N70" s="4">
        <v>0</v>
      </c>
      <c r="O70" s="4">
        <v>0</v>
      </c>
      <c r="P70" s="4">
        <v>0</v>
      </c>
      <c r="Q70" s="4">
        <v>0</v>
      </c>
      <c r="R70" s="4" t="s">
        <v>40</v>
      </c>
      <c r="S70" s="7">
        <f>_xlfn.XLOOKUP(B70,[1]TeethAdjusters!$A:$A,[1]BiteAdjusters!$C:$C,1)</f>
        <v>1</v>
      </c>
      <c r="T70" s="7">
        <f>_xlfn.XLOOKUP(B70,[1]TeethAdjusters!$A:$A,[1]TeethAdjusters!$B:$B,1)</f>
        <v>1</v>
      </c>
      <c r="U70" s="7" t="s">
        <v>45</v>
      </c>
      <c r="V70" s="7">
        <v>10</v>
      </c>
      <c r="W70" s="7" t="s">
        <v>45</v>
      </c>
      <c r="X70" s="7" t="s">
        <v>932</v>
      </c>
      <c r="Y70" s="4" t="s">
        <v>53</v>
      </c>
      <c r="Z70" s="4">
        <v>1</v>
      </c>
      <c r="AA70" s="4">
        <v>0</v>
      </c>
      <c r="AB70" s="4">
        <v>0</v>
      </c>
      <c r="AC70" s="4">
        <v>0</v>
      </c>
      <c r="AD70" s="4">
        <v>0</v>
      </c>
      <c r="AE70" s="4" t="s">
        <v>45</v>
      </c>
      <c r="AF70" s="4" t="s">
        <v>401</v>
      </c>
      <c r="AG70" s="49" t="s">
        <v>45</v>
      </c>
      <c r="AH70" s="4" t="str">
        <f>Animals!$C$6</f>
        <v>&lt;li&gt;Cassowary&lt;/li&gt;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4" t="s">
        <v>40</v>
      </c>
      <c r="AO70" s="8">
        <f t="shared" si="34"/>
        <v>2388.0706080331493</v>
      </c>
      <c r="AP70" s="8">
        <f>IFERROR(C70*_xlfn.XLOOKUP(E70,Groups!A:A,Groups!K:K),0.106*C70^0.94)</f>
        <v>0.32097870798755029</v>
      </c>
      <c r="AQ70" s="8">
        <f>AP70*10000/(_xlfn.XLOOKUP(E70,Groups!A:A,Groups!J:J)*AO70)</f>
        <v>1.23311211107864</v>
      </c>
      <c r="AR70" s="8">
        <f t="shared" si="35"/>
        <v>147.17316334038017</v>
      </c>
      <c r="AS70" s="8">
        <f>IF(_xlfn.XLOOKUP(E70,Groups!A:A,Groups!M:M)=1,EXP(0.7444*LN('Base stats'!C70)+6.5696),EXP(0.7927*LN('Base stats'!C70)+4.28))</f>
        <v>183.88670156656516</v>
      </c>
      <c r="AT70" s="8">
        <f>IF(_xlfn.XLOOKUP(E70,Groups!A:A,Groups!N:N)="No","No",
IF(_xlfn.XLOOKUP(E70,Groups!A:A,Groups!N:N)="Crocodile",EXP(0.8129*LN(C70)+4.6742)*S70,
IF(_xlfn.XLOOKUP(E70,Groups!A:A,Groups!N:N)="Felid",EXP(0.7843*LN(C70)+4.7073)*S70,
IF(_xlfn.XLOOKUP(E70,Groups!A:A,Groups!N:N)="Canid",EXP(0.8367*LN(C70)+4.8763)*S70,
IF(_xlfn.XLOOKUP(E70,Groups!A:A,Groups!N:N)="Pig",EXP(0.3439*LN(C70)+6.8519)*S70,
IF(_xlfn.XLOOKUP(E70,Groups!A:A,Groups!N:N)="Rodent",EXP(0.5625*LN(C70)+4.3006)*S70,
IF(_xlfn.XLOOKUP(E70,Groups!A:A,Groups!N:N)="Primate",EXP(0.7847*LN(C70)+3.4931)*S70,
IF(_xlfn.XLOOKUP(E70,Groups!A:A,Groups!N:N)="MiscCarnivora",EXP(0.7486*LN(C70)+4.2207)*S70,
IF(_xlfn.XLOOKUP(E70,Groups!A:A,Groups!N:N)="Lizard",EXP(0.7733*LN(C70)+5.5303)*S70,
IF(_xlfn.XLOOKUP(E70,Groups!A:A,Groups!N:N)="Snake",50*C70^(2/3)*S70,
IF(_xlfn.XLOOKUP(E70,Groups!A:A,Groups!N:N)="StrongBitingHerbivore",87.1133638856975*C70^(2/3)*S70,
IF(_xlfn.XLOOKUP(E70,Groups!A:A,Groups!N:N)="MiscEctotherms",59.4316884072269*C70^(2/3)*S70,
IF(_xlfn.XLOOKUP(E70,Groups!A:A,Groups!N:N)="StrongBeakBird",0.041*(C70*1000)^1.375*S70,
IF(_xlfn.XLOOKUP(E70,Groups!A:A,Groups!N:N)="Bird",0.118*(C70*1000)^0.692*S70,
IF(_xlfn.XLOOKUP(E70,Groups!A:A,Groups!N:N)="Insect",EXP(0.7444*LN(C70)+6.5696)*S70,
IF(_xlfn.XLOOKUP(E70,Groups!A:A,Groups!N:N)="Theropod",EXP(0.6966*LN(C70)+4.158)*S70,
"No"))))))))))))))))</f>
        <v>31.776443854869786</v>
      </c>
      <c r="AU70" s="8">
        <f>IF(_xlfn.XLOOKUP(E70,Groups!A:A,Groups!U:U)=3,AS70,IF(_xlfn.XLOOKUP(E70,Groups!A:A,Groups!U:U)=2,AR70,AT70))</f>
        <v>31.776443854869786</v>
      </c>
      <c r="AV70" s="46">
        <f>IFERROR(AVERAGE(_xlfn.XLOOKUP(B70,Animals!B:B,Animals!N:N),_xlfn.XLOOKUP(B70,Animals!B:B,Animals!O:O)),0)</f>
        <v>0</v>
      </c>
      <c r="AW70" s="8">
        <f>MROUND(40*Animals!AO70*_xlfn.XLOOKUP(AG70,Leathers!$A$2:$A$99,Leathers!$B$2:$B$99,0)+(140*_xlfn.XLOOKUP(B70,Animals!B:B,Animals!AO:AO)*2),5)</f>
        <v>70</v>
      </c>
      <c r="AX70" s="8">
        <f>IFERROR(ROUND(SQRT(V70-1)*IF(_xlfn.XLOOKUP(E70,Groups!A:A,Groups!BF:BF)=0,2,1)*IF(_xlfn.XLOOKUP('Base stats'!E70,Groups!A:A,Groups!O:O)=0,1,0.1),1),0)</f>
        <v>0.3</v>
      </c>
      <c r="AY70" s="8">
        <f t="shared" si="36"/>
        <v>0</v>
      </c>
      <c r="AZ70" s="8">
        <f t="shared" si="37"/>
        <v>0</v>
      </c>
      <c r="BA70" s="8">
        <f t="shared" si="38"/>
        <v>0.9</v>
      </c>
      <c r="BB70" s="8">
        <f>IF(_xlfn.XLOOKUP(E70,Groups!A:A,Groups!N:N)="Insect",BD70*2.5,IFERROR(AVERAGE(BD70,AT70/9.81/IF(OR(_xlfn.XLOOKUP(E70,Groups!A:A,Groups!N:N)="Pig",_xlfn.XLOOKUP(E70,Groups!A:A,Groups!N:N)="StrongBitingHerbivore"),20,25))*C70^-0.135,BD70))</f>
        <v>9.9770886873501538E-2</v>
      </c>
      <c r="BC70" s="8" t="str">
        <f>IF(W70="No","No",IF(_xlfn.XLOOKUP(E70,Groups!A:A,Groups!U:U)=1,'Base stats'!BB70,IF(OR(_xlfn.XLOOKUP(E70,Groups!A:A,Groups!BD:BD)=1,_xlfn.XLOOKUP(E70,Groups!A:A,Groups!U:U)=2),BD70,IF(_xlfn.XLOOKUP(B70,Animals!B:B,Animals!AO:AO)&gt;4,AVERAGE(BD70,BF70),BF70))))</f>
        <v>No</v>
      </c>
      <c r="BD70" s="8">
        <f t="shared" si="39"/>
        <v>0.10439053900204885</v>
      </c>
      <c r="BE70" s="8">
        <f>IF(_xlfn.XLOOKUP(E70,Groups!A:A,Groups!BE:BE)=1,(0.048*C70^1.01)+(0.071*C70^1.03),0.071*C70^1.03)/IF(_xlfn.XLOOKUP(E70,Groups!A:A,Groups!M:M)=1,0.85,IF(OR(_xlfn.XLOOKUP(B70,Animals!B:B,Animals!AO:AO)&gt;4,_xlfn.XLOOKUP(E70,Groups!A:A,Groups!BC:BC)=1),1.7,1))*C70^-0.25</f>
        <v>0.29560753421709091</v>
      </c>
      <c r="BF70" s="8">
        <f>(0.048*C70^1.01)/IF(_xlfn.XLOOKUP(E70,Groups!A:A,Groups!M:M)=1,0.25,0.8)*C70^-0.25</f>
        <v>0.14695440365444534</v>
      </c>
      <c r="BG70" s="8">
        <f>EXP(1.076*LN(AR70)-4.5397)*IF(_xlfn.XLOOKUP(E70,Groups!A:A,Groups!BC:BC)=1,1.25,IF(_xlfn.XLOOKUP(E70,Groups!A:A,Groups!BD:BD)=1,3.5,2.5))</f>
        <v>5.7405955414483669</v>
      </c>
      <c r="BH70" s="8">
        <f>EXP(1.076*LN(AS70)-4.5397)*IF(_xlfn.XLOOKUP(E70,Groups!A:A,Groups!M:M)=1,0.8,IF(_xlfn.XLOOKUP(E70,Groups!A:A,Groups!BC:BC)=1,1.3,3))</f>
        <v>8.7540846645893815</v>
      </c>
      <c r="BI70" s="8" t="str">
        <f>IF(W70="No","No",IF(_xlfn.XLOOKUP(E70,Groups!A:A,Groups!U:U)=1,'Base stats'!BJ70,IF(OR(_xlfn.XLOOKUP(E70,Groups!A:A,Groups!BD:BD)=1,_xlfn.XLOOKUP(E70,Groups!A:A,Groups!U:U)=2),BG70,BH70))*1.2)</f>
        <v>No</v>
      </c>
      <c r="BJ70" s="8">
        <f>IFERROR(EXP(1.076*LN(AT70)-4.5397)*IF(_xlfn.XLOOKUP(E70,Groups!A:A,Groups!N:N)="Insect",1,IF(OR(_xlfn.XLOOKUP(E70,Groups!A:A,Groups!N:N)="Pig",_xlfn.XLOOKUP(E70,Groups!A:A,Groups!N:N)="StrongBitingHerbivore"),3.5,3.75)),"No")</f>
        <v>1.6547405272942206</v>
      </c>
      <c r="BK70" s="8">
        <f t="shared" si="40"/>
        <v>10</v>
      </c>
      <c r="BL70" s="8">
        <f t="shared" si="41"/>
        <v>7</v>
      </c>
      <c r="BM70" s="8" t="str">
        <f t="shared" si="42"/>
        <v>No</v>
      </c>
      <c r="BN70" s="8">
        <f t="shared" si="43"/>
        <v>5</v>
      </c>
      <c r="BO70" s="8">
        <f t="shared" si="44"/>
        <v>10</v>
      </c>
      <c r="BP70" s="8" t="str" cm="1">
        <f t="array" ref="BP70">IF(AND(_xlfn.XLOOKUP('Base stats'!E70,Groups!A:A,Groups!AD:AD=0),_xlfn.XLOOKUP('Base stats'!E70,Groups!A:A,Groups!P:P=0)),"No",IF(U70="No",AVERAGE(EXP(-0.57+0.99*LN(C70)),EXP(0.32+0.67*LN(C70)))/IF(_xlfn.XLOOKUP(E70,Groups!A:A,Groups!AD:AD)=1,10,2),(0.7354*C70^0.4078)*2/IF(_xlfn.XLOOKUP(E70,Groups!A:A,Groups!BK:BK)=1,1000,100)/IF(_xlfn.XLOOKUP(E70,Groups!A:A,Groups!AJ:AJ)="Photonozoa",3,1)))</f>
        <v>No</v>
      </c>
      <c r="BQ70" s="8" t="str">
        <f>IF(W70="No","No",IF(_xlfn.XLOOKUP(E70,Groups!A:A,Groups!BD:BD)=1,(AO70*5%),EXP(0.7354*LN(C70)^0.4078)*2/IF(_xlfn.XLOOKUP(E70,Groups!A:A,Groups!BL:BL)=1,1000,100)/IF(_xlfn.XLOOKUP(E70,Groups!A:A,Groups!AJ:AJ)="Photonozoa",3,1)))</f>
        <v>No</v>
      </c>
      <c r="BR70" s="8">
        <f>IF(BJ70="No","No",IF(_xlfn.XLOOKUP(E70,Groups!A:A,Groups!BF:BF)=1,(0.0315*C70+2.1825)*2,(0.7354*C70^0.4078)*2)/IF(_xlfn.XLOOKUP(E70,Groups!A:A,Groups!BM:BM)=1,1000,100)/IF(_xlfn.XLOOKUP(E70,Groups!A:A,Groups!AJ:AJ)="Photonozoa",3,1))</f>
        <v>2.3784808318953549E-2</v>
      </c>
      <c r="BS70" s="8">
        <f t="shared" si="45"/>
        <v>4.8077268085271629E-2</v>
      </c>
      <c r="BT70" s="8" t="str">
        <f t="shared" si="46"/>
        <v>No</v>
      </c>
      <c r="BU70" s="8" t="str">
        <f t="shared" si="47"/>
        <v>No</v>
      </c>
      <c r="BV70" s="8">
        <f t="shared" si="48"/>
        <v>69.571320697825314</v>
      </c>
      <c r="BW70" s="4">
        <v>0</v>
      </c>
      <c r="BX70" s="4">
        <v>1</v>
      </c>
    </row>
    <row r="71" spans="1:76" x14ac:dyDescent="0.25">
      <c r="A71" s="26" t="s">
        <v>180</v>
      </c>
      <c r="B71" s="6" t="s">
        <v>181</v>
      </c>
      <c r="C71" s="7">
        <v>29.5</v>
      </c>
      <c r="D71" s="7" t="s">
        <v>559</v>
      </c>
      <c r="E71" s="7" t="str">
        <f>Groups!$A$9</f>
        <v>Bird (WATER)</v>
      </c>
      <c r="F71" s="7" t="str">
        <f t="shared" si="31"/>
        <v>Lay eggs</v>
      </c>
      <c r="G71" s="7">
        <f>1825/365</f>
        <v>5</v>
      </c>
      <c r="H71" s="7">
        <v>40</v>
      </c>
      <c r="I71" s="4">
        <v>0</v>
      </c>
      <c r="J71" s="7" t="str">
        <f t="shared" si="32"/>
        <v>Lay eggs</v>
      </c>
      <c r="K71" s="7" t="s">
        <v>559</v>
      </c>
      <c r="L71" s="7">
        <f>8.2*1.60934</f>
        <v>13.196587999999998</v>
      </c>
      <c r="M71" s="7" t="s">
        <v>628</v>
      </c>
      <c r="N71" s="4">
        <v>0</v>
      </c>
      <c r="O71" s="4">
        <v>0</v>
      </c>
      <c r="P71" s="4">
        <v>0</v>
      </c>
      <c r="Q71" s="4">
        <v>0</v>
      </c>
      <c r="R71" s="4" t="s">
        <v>40</v>
      </c>
      <c r="S71" s="7">
        <f>_xlfn.XLOOKUP(B71,[1]TeethAdjusters!$A:$A,[1]BiteAdjusters!$C:$C,1)</f>
        <v>1</v>
      </c>
      <c r="T71" s="7">
        <f>_xlfn.XLOOKUP(B71,[1]TeethAdjusters!$A:$A,[1]TeethAdjusters!$B:$B,1)</f>
        <v>1</v>
      </c>
      <c r="U71" s="7" t="s">
        <v>45</v>
      </c>
      <c r="V71" s="7">
        <v>8</v>
      </c>
      <c r="W71" s="7" t="s">
        <v>45</v>
      </c>
      <c r="X71" s="7" t="s">
        <v>932</v>
      </c>
      <c r="Y71" s="4" t="s">
        <v>56</v>
      </c>
      <c r="Z71" s="4">
        <v>1</v>
      </c>
      <c r="AA71" s="4">
        <v>0</v>
      </c>
      <c r="AB71" s="4">
        <v>0</v>
      </c>
      <c r="AC71" s="4">
        <v>0</v>
      </c>
      <c r="AD71" s="4">
        <v>0</v>
      </c>
      <c r="AE71" s="4" t="s">
        <v>45</v>
      </c>
      <c r="AF71" s="4" t="s">
        <v>401</v>
      </c>
      <c r="AG71" s="49" t="s">
        <v>375</v>
      </c>
      <c r="AH71" s="4" t="str">
        <f>Animals!$C$6</f>
        <v>&lt;li&gt;Cassowary&lt;/li&gt;</v>
      </c>
      <c r="AI71" s="4">
        <v>0</v>
      </c>
      <c r="AJ71" s="4">
        <v>1</v>
      </c>
      <c r="AK71" s="4">
        <v>0</v>
      </c>
      <c r="AL71" s="4">
        <v>0</v>
      </c>
      <c r="AM71" s="4">
        <v>0</v>
      </c>
      <c r="AN71" s="44">
        <v>11</v>
      </c>
      <c r="AO71" s="8">
        <f t="shared" si="34"/>
        <v>10016.299203835699</v>
      </c>
      <c r="AP71" s="8">
        <f>IFERROR(C71*_xlfn.XLOOKUP(E71,Groups!A:A,Groups!K:K),0.106*C71^0.94)</f>
        <v>2.5523401971081974</v>
      </c>
      <c r="AQ71" s="8">
        <f>AP71*10000/(_xlfn.XLOOKUP(E71,Groups!A:A,Groups!J:J)*AO71)</f>
        <v>2.3377861058820342</v>
      </c>
      <c r="AR71" s="8">
        <f t="shared" si="35"/>
        <v>948.41716738744265</v>
      </c>
      <c r="AS71" s="8">
        <f>IF(_xlfn.XLOOKUP(E71,Groups!A:A,Groups!M:M)=1,EXP(0.7444*LN('Base stats'!C71)+6.5696),EXP(0.7927*LN('Base stats'!C71)+4.28))</f>
        <v>1056.5943757585062</v>
      </c>
      <c r="AT71" s="8">
        <f>IF(_xlfn.XLOOKUP(E71,Groups!A:A,Groups!N:N)="No","No",
IF(_xlfn.XLOOKUP(E71,Groups!A:A,Groups!N:N)="Crocodile",EXP(0.8129*LN(C71)+4.6742)*S71,
IF(_xlfn.XLOOKUP(E71,Groups!A:A,Groups!N:N)="Felid",EXP(0.7843*LN(C71)+4.7073)*S71,
IF(_xlfn.XLOOKUP(E71,Groups!A:A,Groups!N:N)="Canid",EXP(0.8367*LN(C71)+4.8763)*S71,
IF(_xlfn.XLOOKUP(E71,Groups!A:A,Groups!N:N)="Pig",EXP(0.3439*LN(C71)+6.8519)*S71,
IF(_xlfn.XLOOKUP(E71,Groups!A:A,Groups!N:N)="Rodent",EXP(0.5625*LN(C71)+4.3006)*S71,
IF(_xlfn.XLOOKUP(E71,Groups!A:A,Groups!N:N)="Primate",EXP(0.7847*LN(C71)+3.4931)*S71,
IF(_xlfn.XLOOKUP(E71,Groups!A:A,Groups!N:N)="MiscCarnivora",EXP(0.7486*LN(C71)+4.2207)*S71,
IF(_xlfn.XLOOKUP(E71,Groups!A:A,Groups!N:N)="Lizard",EXP(0.7733*LN(C71)+5.5303)*S71,
IF(_xlfn.XLOOKUP(E71,Groups!A:A,Groups!N:N)="Snake",50*C71^(2/3)*S71,
IF(_xlfn.XLOOKUP(E71,Groups!A:A,Groups!N:N)="StrongBitingHerbivore",87.1133638856975*C71^(2/3)*S71,
IF(_xlfn.XLOOKUP(E71,Groups!A:A,Groups!N:N)="MiscEctotherms",59.4316884072269*C71^(2/3)*S71,
IF(_xlfn.XLOOKUP(E71,Groups!A:A,Groups!N:N)="StrongBeakBird",0.041*(C71*1000)^1.375*S71,
IF(_xlfn.XLOOKUP(E71,Groups!A:A,Groups!N:N)="Bird",0.118*(C71*1000)^0.692*S71,
IF(_xlfn.XLOOKUP(E71,Groups!A:A,Groups!N:N)="Insect",EXP(0.7444*LN(C71)+6.5696)*S71,
IF(_xlfn.XLOOKUP(E71,Groups!A:A,Groups!N:N)="Theropod",EXP(0.6966*LN(C71)+4.158)*S71,
"No"))))))))))))))))</f>
        <v>146.21732769443346</v>
      </c>
      <c r="AU71" s="8">
        <f>IF(_xlfn.XLOOKUP(E71,Groups!A:A,Groups!U:U)=3,AS71,IF(_xlfn.XLOOKUP(E71,Groups!A:A,Groups!U:U)=2,AR71,AT71))</f>
        <v>146.21732769443346</v>
      </c>
      <c r="AV71" s="46">
        <f>IFERROR(AVERAGE(_xlfn.XLOOKUP(B71,Animals!B:B,Animals!N:N),_xlfn.XLOOKUP(B71,Animals!B:B,Animals!O:O)),0)</f>
        <v>0</v>
      </c>
      <c r="AW71" s="8">
        <f>MROUND(40*Animals!AO71*_xlfn.XLOOKUP(AG71,Leathers!$A$2:$A$99,Leathers!$B$2:$B$99,0)+(140*_xlfn.XLOOKUP(B71,Animals!B:B,Animals!AO:AO)*2),5)</f>
        <v>245</v>
      </c>
      <c r="AX71" s="8">
        <f>IFERROR(ROUND(SQRT(V71-1)*IF(_xlfn.XLOOKUP(E71,Groups!A:A,Groups!BF:BF)=0,2,1)*IF(_xlfn.XLOOKUP('Base stats'!E71,Groups!A:A,Groups!O:O)=0,1,0.1),1),0)</f>
        <v>0.3</v>
      </c>
      <c r="AY71" s="8">
        <f t="shared" si="36"/>
        <v>0</v>
      </c>
      <c r="AZ71" s="8">
        <f t="shared" si="37"/>
        <v>0</v>
      </c>
      <c r="BA71" s="8">
        <f t="shared" si="38"/>
        <v>2.7</v>
      </c>
      <c r="BB71" s="8">
        <f>IF(_xlfn.XLOOKUP(E71,Groups!A:A,Groups!N:N)="Insect",BD71*2.5,IFERROR(AVERAGE(BD71,AT71/9.81/IF(OR(_xlfn.XLOOKUP(E71,Groups!A:A,Groups!N:N)="Pig",_xlfn.XLOOKUP(E71,Groups!A:A,Groups!N:N)="StrongBitingHerbivore"),20,25))*C71^-0.135,BD71))</f>
        <v>0.39542837054088481</v>
      </c>
      <c r="BC71" s="8" t="str">
        <f>IF(W71="No","No",IF(_xlfn.XLOOKUP(E71,Groups!A:A,Groups!U:U)=1,'Base stats'!BB71,IF(OR(_xlfn.XLOOKUP(E71,Groups!A:A,Groups!BD:BD)=1,_xlfn.XLOOKUP(E71,Groups!A:A,Groups!U:U)=2),BD71,IF(_xlfn.XLOOKUP(B71,Animals!B:B,Animals!AO:AO)&gt;4,AVERAGE(BD71,BF71),BF71))))</f>
        <v>No</v>
      </c>
      <c r="BD71" s="8">
        <f t="shared" si="39"/>
        <v>0.65269180866351817</v>
      </c>
      <c r="BE71" s="8">
        <f>IF(_xlfn.XLOOKUP(E71,Groups!A:A,Groups!BE:BE)=1,(0.048*C71^1.01)+(0.071*C71^1.03),0.071*C71^1.03)/IF(_xlfn.XLOOKUP(E71,Groups!A:A,Groups!M:M)=1,0.85,IF(OR(_xlfn.XLOOKUP(B71,Animals!B:B,Animals!AO:AO)&gt;4,_xlfn.XLOOKUP(E71,Groups!A:A,Groups!BC:BC)=1),1.7,1))*C71^-0.25</f>
        <v>1.623263760780983</v>
      </c>
      <c r="BF71" s="8">
        <f>(0.048*C71^1.01)/IF(_xlfn.XLOOKUP(E71,Groups!A:A,Groups!M:M)=1,0.25,0.8)*C71^-0.25</f>
        <v>0.78562624366136824</v>
      </c>
      <c r="BG71" s="8">
        <f>EXP(1.076*LN(AR71)-4.5397)*IF(_xlfn.XLOOKUP(E71,Groups!A:A,Groups!BC:BC)=1,1.25,IF(_xlfn.XLOOKUP(E71,Groups!A:A,Groups!BD:BD)=1,3.5,2.5))</f>
        <v>42.621105545852032</v>
      </c>
      <c r="BH71" s="8">
        <f>EXP(1.076*LN(AS71)-4.5397)*IF(_xlfn.XLOOKUP(E71,Groups!A:A,Groups!M:M)=1,0.8,IF(_xlfn.XLOOKUP(E71,Groups!A:A,Groups!BC:BC)=1,1.3,3))</f>
        <v>57.448662259053492</v>
      </c>
      <c r="BI71" s="8" t="str">
        <f>IF(W71="No","No",IF(_xlfn.XLOOKUP(E71,Groups!A:A,Groups!U:U)=1,'Base stats'!BJ71,IF(OR(_xlfn.XLOOKUP(E71,Groups!A:A,Groups!BD:BD)=1,_xlfn.XLOOKUP(E71,Groups!A:A,Groups!U:U)=2),BG71,BH71))*1.2)</f>
        <v>No</v>
      </c>
      <c r="BJ71" s="8">
        <f>IFERROR(EXP(1.076*LN(AT71)-4.5397)*IF(_xlfn.XLOOKUP(E71,Groups!A:A,Groups!N:N)="Insect",1,IF(OR(_xlfn.XLOOKUP(E71,Groups!A:A,Groups!N:N)="Pig",_xlfn.XLOOKUP(E71,Groups!A:A,Groups!N:N)="StrongBitingHerbivore"),3.5,3.75)),"No")</f>
        <v>8.5507333343977123</v>
      </c>
      <c r="BK71" s="8">
        <f t="shared" si="40"/>
        <v>11</v>
      </c>
      <c r="BL71" s="8">
        <f t="shared" si="41"/>
        <v>8</v>
      </c>
      <c r="BM71" s="8" t="str">
        <f t="shared" si="42"/>
        <v>No</v>
      </c>
      <c r="BN71" s="8">
        <f t="shared" si="43"/>
        <v>6</v>
      </c>
      <c r="BO71" s="8">
        <f t="shared" si="44"/>
        <v>12</v>
      </c>
      <c r="BP71" s="8" t="str" cm="1">
        <f t="array" ref="BP71">IF(AND(_xlfn.XLOOKUP('Base stats'!E71,Groups!A:A,Groups!AD:AD=0),_xlfn.XLOOKUP('Base stats'!E71,Groups!A:A,Groups!P:P=0)),"No",IF(U71="No",AVERAGE(EXP(-0.57+0.99*LN(C71)),EXP(0.32+0.67*LN(C71)))/IF(_xlfn.XLOOKUP(E71,Groups!A:A,Groups!AD:AD)=1,10,2),(0.7354*C71^0.4078)*2/IF(_xlfn.XLOOKUP(E71,Groups!A:A,Groups!BK:BK)=1,1000,100)/IF(_xlfn.XLOOKUP(E71,Groups!A:A,Groups!AJ:AJ)="Photonozoa",3,1)))</f>
        <v>No</v>
      </c>
      <c r="BQ71" s="8" t="str">
        <f>IF(W71="No","No",IF(_xlfn.XLOOKUP(E71,Groups!A:A,Groups!BD:BD)=1,(AO71*5%),EXP(0.7354*LN(C71)^0.4078)*2/IF(_xlfn.XLOOKUP(E71,Groups!A:A,Groups!BL:BL)=1,1000,100)/IF(_xlfn.XLOOKUP(E71,Groups!A:A,Groups!AJ:AJ)="Photonozoa",3,1)))</f>
        <v>No</v>
      </c>
      <c r="BR71" s="8">
        <f>IF(BJ71="No","No",IF(_xlfn.XLOOKUP(E71,Groups!A:A,Groups!BF:BF)=1,(0.0315*C71+2.1825)*2,(0.7354*C71^0.4078)*2)/IF(_xlfn.XLOOKUP(E71,Groups!A:A,Groups!BM:BM)=1,1000,100)/IF(_xlfn.XLOOKUP(E71,Groups!A:A,Groups!AJ:AJ)="Photonozoa",3,1))</f>
        <v>5.8471877539490437E-2</v>
      </c>
      <c r="BS71" s="8">
        <f t="shared" si="45"/>
        <v>8.5103499163704022E-2</v>
      </c>
      <c r="BT71" s="8" t="str">
        <f t="shared" si="46"/>
        <v>No</v>
      </c>
      <c r="BU71" s="8" t="str">
        <f t="shared" si="47"/>
        <v>No</v>
      </c>
      <c r="BV71" s="8">
        <f t="shared" si="48"/>
        <v>146.23668153331937</v>
      </c>
      <c r="BW71" s="4">
        <v>0</v>
      </c>
      <c r="BX71" s="4">
        <v>1</v>
      </c>
    </row>
    <row r="72" spans="1:76" x14ac:dyDescent="0.25">
      <c r="A72" s="26" t="s">
        <v>206</v>
      </c>
      <c r="B72" s="6" t="s">
        <v>224</v>
      </c>
      <c r="C72" s="7">
        <v>4.2</v>
      </c>
      <c r="D72" s="7" t="s">
        <v>1247</v>
      </c>
      <c r="E72" s="7" t="str">
        <f>Groups!$A$13</f>
        <v>Bird</v>
      </c>
      <c r="F72" s="7" t="str">
        <f t="shared" si="31"/>
        <v>Lay eggs</v>
      </c>
      <c r="G72" s="7">
        <f>730/365</f>
        <v>2</v>
      </c>
      <c r="H72" s="7">
        <v>23.2</v>
      </c>
      <c r="I72" s="4">
        <v>0</v>
      </c>
      <c r="J72" s="7" t="str">
        <f t="shared" si="32"/>
        <v>Lay eggs</v>
      </c>
      <c r="K72" s="7" t="s">
        <v>560</v>
      </c>
      <c r="L72" s="7">
        <f>10*1.60934</f>
        <v>16.093399999999999</v>
      </c>
      <c r="M72" s="7" t="s">
        <v>628</v>
      </c>
      <c r="N72" s="4">
        <v>0</v>
      </c>
      <c r="O72" s="4">
        <v>0</v>
      </c>
      <c r="P72" s="4">
        <v>0</v>
      </c>
      <c r="Q72" s="4">
        <v>0</v>
      </c>
      <c r="R72" s="4" t="s">
        <v>40</v>
      </c>
      <c r="S72" s="7">
        <f>_xlfn.XLOOKUP(B72,[1]TeethAdjusters!$A:$A,[1]BiteAdjusters!$C:$C,1)</f>
        <v>1</v>
      </c>
      <c r="T72" s="7">
        <f>_xlfn.XLOOKUP(B72,[1]TeethAdjusters!$A:$A,[1]TeethAdjusters!$B:$B,1)</f>
        <v>1</v>
      </c>
      <c r="U72" s="7">
        <v>1.75</v>
      </c>
      <c r="V72" s="7">
        <v>1.35</v>
      </c>
      <c r="W72" s="7" t="s">
        <v>45</v>
      </c>
      <c r="X72" s="7" t="s">
        <v>932</v>
      </c>
      <c r="Y72" s="4" t="s">
        <v>42</v>
      </c>
      <c r="Z72" s="4">
        <v>1</v>
      </c>
      <c r="AA72" s="4">
        <v>0</v>
      </c>
      <c r="AB72" s="4">
        <v>0</v>
      </c>
      <c r="AC72" s="4">
        <v>0</v>
      </c>
      <c r="AD72" s="4">
        <v>0</v>
      </c>
      <c r="AE72" s="4" t="s">
        <v>45</v>
      </c>
      <c r="AF72" s="4" t="s">
        <v>311</v>
      </c>
      <c r="AG72" s="49" t="s">
        <v>45</v>
      </c>
      <c r="AH72" s="4" t="str">
        <f>Animals!$C$6</f>
        <v>&lt;li&gt;Cassowary&lt;/li&gt;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4" t="s">
        <v>40</v>
      </c>
      <c r="AO72" s="8">
        <f t="shared" si="34"/>
        <v>2821.2074209236243</v>
      </c>
      <c r="AP72" s="8">
        <f>IFERROR(C72*_xlfn.XLOOKUP(E72,Groups!A:A,Groups!K:K),0.106*C72^0.94)</f>
        <v>0.40847003091842837</v>
      </c>
      <c r="AQ72" s="8">
        <f>AP72*10000/(_xlfn.XLOOKUP(E72,Groups!A:A,Groups!J:J)*AO72)</f>
        <v>1.3283076772458648</v>
      </c>
      <c r="AR72" s="8">
        <f t="shared" si="35"/>
        <v>182.76769103466722</v>
      </c>
      <c r="AS72" s="8">
        <f>IF(_xlfn.XLOOKUP(E72,Groups!A:A,Groups!M:M)=1,EXP(0.7444*LN('Base stats'!C72)+6.5696),EXP(0.7927*LN('Base stats'!C72)+4.28))</f>
        <v>225.3357479781595</v>
      </c>
      <c r="AT72" s="8">
        <f>IF(_xlfn.XLOOKUP(E72,Groups!A:A,Groups!N:N)="No","No",
IF(_xlfn.XLOOKUP(E72,Groups!A:A,Groups!N:N)="Crocodile",EXP(0.8129*LN(C72)+4.6742)*S72,
IF(_xlfn.XLOOKUP(E72,Groups!A:A,Groups!N:N)="Felid",EXP(0.7843*LN(C72)+4.7073)*S72,
IF(_xlfn.XLOOKUP(E72,Groups!A:A,Groups!N:N)="Canid",EXP(0.8367*LN(C72)+4.8763)*S72,
IF(_xlfn.XLOOKUP(E72,Groups!A:A,Groups!N:N)="Pig",EXP(0.3439*LN(C72)+6.8519)*S72,
IF(_xlfn.XLOOKUP(E72,Groups!A:A,Groups!N:N)="Rodent",EXP(0.5625*LN(C72)+4.3006)*S72,
IF(_xlfn.XLOOKUP(E72,Groups!A:A,Groups!N:N)="Primate",EXP(0.7847*LN(C72)+3.4931)*S72,
IF(_xlfn.XLOOKUP(E72,Groups!A:A,Groups!N:N)="MiscCarnivora",EXP(0.7486*LN(C72)+4.2207)*S72,
IF(_xlfn.XLOOKUP(E72,Groups!A:A,Groups!N:N)="Lizard",EXP(0.7733*LN(C72)+5.5303)*S72,
IF(_xlfn.XLOOKUP(E72,Groups!A:A,Groups!N:N)="Snake",50*C72^(2/3)*S72,
IF(_xlfn.XLOOKUP(E72,Groups!A:A,Groups!N:N)="StrongBitingHerbivore",87.1133638856975*C72^(2/3)*S72,
IF(_xlfn.XLOOKUP(E72,Groups!A:A,Groups!N:N)="MiscEctotherms",59.4316884072269*C72^(2/3)*S72,
IF(_xlfn.XLOOKUP(E72,Groups!A:A,Groups!N:N)="StrongBeakBird",0.041*(C72*1000)^1.375*S72,
IF(_xlfn.XLOOKUP(E72,Groups!A:A,Groups!N:N)="Bird",0.118*(C72*1000)^0.692*S72,
IF(_xlfn.XLOOKUP(E72,Groups!A:A,Groups!N:N)="Insect",EXP(0.7444*LN(C72)+6.5696)*S72,
IF(_xlfn.XLOOKUP(E72,Groups!A:A,Groups!N:N)="Theropod",EXP(0.6966*LN(C72)+4.158)*S72,
"No"))))))))))))))))</f>
        <v>37.946394397497905</v>
      </c>
      <c r="AU72" s="8">
        <f>IF(_xlfn.XLOOKUP(E72,Groups!A:A,Groups!U:U)=3,AS72,IF(_xlfn.XLOOKUP(E72,Groups!A:A,Groups!U:U)=2,AR72,AT72))</f>
        <v>37.946394397497905</v>
      </c>
      <c r="AV72" s="46">
        <f>IFERROR(AVERAGE(_xlfn.XLOOKUP(B72,Animals!B:B,Animals!N:N),_xlfn.XLOOKUP(B72,Animals!B:B,Animals!O:O)),0)</f>
        <v>0</v>
      </c>
      <c r="AW72" s="8">
        <f>MROUND(40*Animals!AO72*_xlfn.XLOOKUP(AG72,Leathers!$A$2:$A$99,Leathers!$B$2:$B$99,0)+(140*_xlfn.XLOOKUP(B72,Animals!B:B,Animals!AO:AO)*2),5)</f>
        <v>85</v>
      </c>
      <c r="AX72" s="8">
        <f>IFERROR(ROUND(SQRT(V72-1)*IF(_xlfn.XLOOKUP(E72,Groups!A:A,Groups!BF:BF)=0,2,1)*IF(_xlfn.XLOOKUP('Base stats'!E72,Groups!A:A,Groups!O:O)=0,1,0.1),1),0)</f>
        <v>0.1</v>
      </c>
      <c r="AY72" s="8">
        <f t="shared" si="36"/>
        <v>0.9</v>
      </c>
      <c r="AZ72" s="8">
        <f t="shared" si="37"/>
        <v>0</v>
      </c>
      <c r="BA72" s="8">
        <f t="shared" si="38"/>
        <v>1</v>
      </c>
      <c r="BB72" s="8">
        <f>IF(_xlfn.XLOOKUP(E72,Groups!A:A,Groups!N:N)="Insect",BD72*2.5,IFERROR(AVERAGE(BD72,AT72/9.81/IF(OR(_xlfn.XLOOKUP(E72,Groups!A:A,Groups!N:N)="Pig",_xlfn.XLOOKUP(E72,Groups!A:A,Groups!N:N)="StrongBitingHerbivore"),20,25))*C72^-0.135,BD72))</f>
        <v>0.11138547773966104</v>
      </c>
      <c r="BC72" s="8" t="str">
        <f>IF(W72="No","No",IF(_xlfn.XLOOKUP(E72,Groups!A:A,Groups!U:U)=1,'Base stats'!BB72,IF(OR(_xlfn.XLOOKUP(E72,Groups!A:A,Groups!BD:BD)=1,_xlfn.XLOOKUP(E72,Groups!A:A,Groups!U:U)=2),BD72,IF(_xlfn.XLOOKUP(B72,Animals!B:B,Animals!AO:AO)&gt;4,AVERAGE(BD72,BF72),BF72))))</f>
        <v>No</v>
      </c>
      <c r="BD72" s="8">
        <f t="shared" si="39"/>
        <v>0.11566874724947172</v>
      </c>
      <c r="BE72" s="8">
        <f>IF(_xlfn.XLOOKUP(E72,Groups!A:A,Groups!BE:BE)=1,(0.048*C72^1.01)+(0.071*C72^1.03),0.071*C72^1.03)/IF(_xlfn.XLOOKUP(E72,Groups!A:A,Groups!M:M)=1,0.85,IF(OR(_xlfn.XLOOKUP(B72,Animals!B:B,Animals!AO:AO)&gt;4,_xlfn.XLOOKUP(E72,Groups!A:A,Groups!BC:BC)=1),1.7,1))*C72^-0.25</f>
        <v>0.36032673272935495</v>
      </c>
      <c r="BF72" s="8">
        <f>(0.048*C72^1.01)/IF(_xlfn.XLOOKUP(E72,Groups!A:A,Groups!M:M)=1,0.25,0.8)*C72^-0.25</f>
        <v>0.17857502150060089</v>
      </c>
      <c r="BG72" s="8">
        <f>EXP(1.076*LN(AR72)-4.5397)*IF(_xlfn.XLOOKUP(E72,Groups!A:A,Groups!BC:BC)=1,1.25,IF(_xlfn.XLOOKUP(E72,Groups!A:A,Groups!BD:BD)=1,3.5,2.5))</f>
        <v>7.2473148784519097</v>
      </c>
      <c r="BH72" s="8">
        <f>EXP(1.076*LN(AS72)-4.5397)*IF(_xlfn.XLOOKUP(E72,Groups!A:A,Groups!M:M)=1,0.8,IF(_xlfn.XLOOKUP(E72,Groups!A:A,Groups!BC:BC)=1,1.3,3))</f>
        <v>10.894311214938487</v>
      </c>
      <c r="BI72" s="8" t="str">
        <f>IF(W72="No","No",IF(_xlfn.XLOOKUP(E72,Groups!A:A,Groups!U:U)=1,'Base stats'!BJ72,IF(OR(_xlfn.XLOOKUP(E72,Groups!A:A,Groups!BD:BD)=1,_xlfn.XLOOKUP(E72,Groups!A:A,Groups!U:U)=2),BG72,BH72))*1.2)</f>
        <v>No</v>
      </c>
      <c r="BJ72" s="8">
        <f>IFERROR(EXP(1.076*LN(AT72)-4.5397)*IF(_xlfn.XLOOKUP(E72,Groups!A:A,Groups!N:N)="Insect",1,IF(OR(_xlfn.XLOOKUP(E72,Groups!A:A,Groups!N:N)="Pig",_xlfn.XLOOKUP(E72,Groups!A:A,Groups!N:N)="StrongBitingHerbivore"),3.5,3.75)),"No")</f>
        <v>2.0028668741899427</v>
      </c>
      <c r="BK72" s="8">
        <f t="shared" si="40"/>
        <v>11</v>
      </c>
      <c r="BL72" s="8">
        <f t="shared" si="41"/>
        <v>7</v>
      </c>
      <c r="BM72" s="8" t="str">
        <f t="shared" si="42"/>
        <v>No</v>
      </c>
      <c r="BN72" s="8">
        <f t="shared" si="43"/>
        <v>5</v>
      </c>
      <c r="BO72" s="8">
        <f t="shared" si="44"/>
        <v>11</v>
      </c>
      <c r="BP72" s="8" cm="1">
        <f t="array" ref="BP72">IF(AND(_xlfn.XLOOKUP('Base stats'!E72,Groups!A:A,Groups!AD:AD=0),_xlfn.XLOOKUP('Base stats'!E72,Groups!A:A,Groups!P:P=0)),"No",IF(U72="No",AVERAGE(EXP(-0.57+0.99*LN(C72)),EXP(0.32+0.67*LN(C72)))/IF(_xlfn.XLOOKUP(E72,Groups!A:A,Groups!AD:AD)=1,10,2),(0.7354*C72^0.4078)*2/IF(_xlfn.XLOOKUP(E72,Groups!A:A,Groups!BK:BK)=1,1000,100)/IF(_xlfn.XLOOKUP(E72,Groups!A:A,Groups!AJ:AJ)="Photonozoa",3,1)))</f>
        <v>2.6406733457828967E-2</v>
      </c>
      <c r="BQ72" s="8" t="str">
        <f>IF(W72="No","No",IF(_xlfn.XLOOKUP(E72,Groups!A:A,Groups!BD:BD)=1,(AO72*5%),EXP(0.7354*LN(C72)^0.4078)*2/IF(_xlfn.XLOOKUP(E72,Groups!A:A,Groups!BL:BL)=1,1000,100)/IF(_xlfn.XLOOKUP(E72,Groups!A:A,Groups!AJ:AJ)="Photonozoa",3,1)))</f>
        <v>No</v>
      </c>
      <c r="BR72" s="8">
        <f>IF(BJ72="No","No",IF(_xlfn.XLOOKUP(E72,Groups!A:A,Groups!BF:BF)=1,(0.0315*C72+2.1825)*2,(0.7354*C72^0.4078)*2)/IF(_xlfn.XLOOKUP(E72,Groups!A:A,Groups!BM:BM)=1,1000,100)/IF(_xlfn.XLOOKUP(E72,Groups!A:A,Groups!AJ:AJ)="Photonozoa",3,1))</f>
        <v>2.6406733457828967E-2</v>
      </c>
      <c r="BS72" s="8">
        <f t="shared" si="45"/>
        <v>5.1377398377034179E-2</v>
      </c>
      <c r="BT72" s="8">
        <f t="shared" si="46"/>
        <v>412.55807850435144</v>
      </c>
      <c r="BU72" s="8" t="str">
        <f t="shared" si="47"/>
        <v>No</v>
      </c>
      <c r="BV72" s="8">
        <f t="shared" si="48"/>
        <v>75.846824348361054</v>
      </c>
      <c r="BW72" s="4">
        <v>0</v>
      </c>
      <c r="BX72" s="4">
        <v>1</v>
      </c>
    </row>
    <row r="73" spans="1:76" x14ac:dyDescent="0.25">
      <c r="A73" s="26" t="s">
        <v>212</v>
      </c>
      <c r="B73" s="6" t="s">
        <v>226</v>
      </c>
      <c r="C73" s="7">
        <v>5.4329999999999998</v>
      </c>
      <c r="D73" s="7" t="s">
        <v>1248</v>
      </c>
      <c r="E73" s="7" t="str">
        <f>Groups!$A$12</f>
        <v>Bird (SCAVENGER)</v>
      </c>
      <c r="F73" s="7" t="str">
        <f>"Lay eggs"</f>
        <v>Lay eggs</v>
      </c>
      <c r="G73" s="7">
        <f>2181/365</f>
        <v>5.9753424657534246</v>
      </c>
      <c r="H73" s="7">
        <v>19.7</v>
      </c>
      <c r="I73" s="4">
        <v>0</v>
      </c>
      <c r="J73" s="7" t="str">
        <f t="shared" si="32"/>
        <v>Lay eggs</v>
      </c>
      <c r="K73" s="7" t="s">
        <v>561</v>
      </c>
      <c r="L73" s="7">
        <f>10*1.60934</f>
        <v>16.093399999999999</v>
      </c>
      <c r="M73" s="7" t="s">
        <v>628</v>
      </c>
      <c r="N73" s="4">
        <v>0</v>
      </c>
      <c r="O73" s="4">
        <v>0</v>
      </c>
      <c r="P73" s="4">
        <v>0</v>
      </c>
      <c r="Q73" s="4">
        <v>0</v>
      </c>
      <c r="R73" s="4" t="s">
        <v>40</v>
      </c>
      <c r="S73" s="7">
        <f>_xlfn.XLOOKUP(B73,[1]TeethAdjusters!$A:$A,[1]BiteAdjusters!$C:$C,1)</f>
        <v>1</v>
      </c>
      <c r="T73" s="7">
        <f>_xlfn.XLOOKUP(B73,[1]TeethAdjusters!$A:$A,[1]TeethAdjusters!$B:$B,1)</f>
        <v>1</v>
      </c>
      <c r="U73" s="7">
        <v>2</v>
      </c>
      <c r="V73" s="7">
        <f>MROUND(12.8*0.3,0.05)</f>
        <v>3.85</v>
      </c>
      <c r="W73" s="7" t="s">
        <v>45</v>
      </c>
      <c r="X73" s="7" t="s">
        <v>932</v>
      </c>
      <c r="Y73" s="4" t="s">
        <v>56</v>
      </c>
      <c r="Z73" s="4">
        <v>1</v>
      </c>
      <c r="AA73" s="4">
        <v>0</v>
      </c>
      <c r="AB73" s="4">
        <v>0</v>
      </c>
      <c r="AC73" s="4">
        <v>0</v>
      </c>
      <c r="AD73" s="4">
        <v>0</v>
      </c>
      <c r="AE73" s="4" t="s">
        <v>45</v>
      </c>
      <c r="AF73" s="4" t="s">
        <v>45</v>
      </c>
      <c r="AG73" s="49" t="s">
        <v>45</v>
      </c>
      <c r="AH73" s="4" t="str">
        <f>Animals!$C$6</f>
        <v>&lt;li&gt;Cassowary&lt;/li&gt;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4" t="s">
        <v>40</v>
      </c>
      <c r="AO73" s="8">
        <f t="shared" si="34"/>
        <v>3335.0226443158595</v>
      </c>
      <c r="AP73" s="8">
        <f>IFERROR(C73*_xlfn.XLOOKUP(E73,Groups!A:A,Groups!K:K),0.106*C73^0.94)</f>
        <v>0.52028725557982192</v>
      </c>
      <c r="AQ73" s="8">
        <f>AP73*10000/(_xlfn.XLOOKUP(E73,Groups!A:A,Groups!J:J)*AO73)</f>
        <v>1.4312579203209541</v>
      </c>
      <c r="AR73" s="8">
        <f t="shared" si="35"/>
        <v>227.15839344988919</v>
      </c>
      <c r="AS73" s="8">
        <f>IF(_xlfn.XLOOKUP(E73,Groups!A:A,Groups!M:M)=1,EXP(0.7444*LN('Base stats'!C73)+6.5696),EXP(0.7927*LN('Base stats'!C73)+4.28))</f>
        <v>276.34165658415714</v>
      </c>
      <c r="AT73" s="8">
        <f>IF(_xlfn.XLOOKUP(E73,Groups!A:A,Groups!N:N)="No","No",
IF(_xlfn.XLOOKUP(E73,Groups!A:A,Groups!N:N)="Crocodile",EXP(0.8129*LN(C73)+4.6742)*S73,
IF(_xlfn.XLOOKUP(E73,Groups!A:A,Groups!N:N)="Felid",EXP(0.7843*LN(C73)+4.7073)*S73,
IF(_xlfn.XLOOKUP(E73,Groups!A:A,Groups!N:N)="Canid",EXP(0.8367*LN(C73)+4.8763)*S73,
IF(_xlfn.XLOOKUP(E73,Groups!A:A,Groups!N:N)="Pig",EXP(0.3439*LN(C73)+6.8519)*S73,
IF(_xlfn.XLOOKUP(E73,Groups!A:A,Groups!N:N)="Rodent",EXP(0.5625*LN(C73)+4.3006)*S73,
IF(_xlfn.XLOOKUP(E73,Groups!A:A,Groups!N:N)="Primate",EXP(0.7847*LN(C73)+3.4931)*S73,
IF(_xlfn.XLOOKUP(E73,Groups!A:A,Groups!N:N)="MiscCarnivora",EXP(0.7486*LN(C73)+4.2207)*S73,
IF(_xlfn.XLOOKUP(E73,Groups!A:A,Groups!N:N)="Lizard",EXP(0.7733*LN(C73)+5.5303)*S73,
IF(_xlfn.XLOOKUP(E73,Groups!A:A,Groups!N:N)="Snake",50*C73^(2/3)*S73,
IF(_xlfn.XLOOKUP(E73,Groups!A:A,Groups!N:N)="StrongBitingHerbivore",87.1133638856975*C73^(2/3)*S73,
IF(_xlfn.XLOOKUP(E73,Groups!A:A,Groups!N:N)="MiscEctotherms",59.4316884072269*C73^(2/3)*S73,
IF(_xlfn.XLOOKUP(E73,Groups!A:A,Groups!N:N)="StrongBeakBird",0.041*(C73*1000)^1.375*S73,
IF(_xlfn.XLOOKUP(E73,Groups!A:A,Groups!N:N)="Bird",0.118*(C73*1000)^0.692*S73,
IF(_xlfn.XLOOKUP(E73,Groups!A:A,Groups!N:N)="Insect",EXP(0.7444*LN(C73)+6.5696)*S73,
IF(_xlfn.XLOOKUP(E73,Groups!A:A,Groups!N:N)="Theropod",EXP(0.6966*LN(C73)+4.158)*S73,
"No"))))))))))))))))</f>
        <v>45.345008035028158</v>
      </c>
      <c r="AU73" s="8">
        <f>IF(_xlfn.XLOOKUP(E73,Groups!A:A,Groups!U:U)=3,AS73,IF(_xlfn.XLOOKUP(E73,Groups!A:A,Groups!U:U)=2,AR73,AT73))</f>
        <v>45.345008035028158</v>
      </c>
      <c r="AV73" s="46">
        <f>IFERROR(AVERAGE(_xlfn.XLOOKUP(B73,Animals!B:B,Animals!N:N),_xlfn.XLOOKUP(B73,Animals!B:B,Animals!O:O)),0)</f>
        <v>0</v>
      </c>
      <c r="AW73" s="8">
        <f>MROUND(40*Animals!AO73*_xlfn.XLOOKUP(AG73,Leathers!$A$2:$A$99,Leathers!$B$2:$B$99,0)+(140*_xlfn.XLOOKUP(B73,Animals!B:B,Animals!AO:AO)*2),5)</f>
        <v>85</v>
      </c>
      <c r="AX73" s="8">
        <f>IFERROR(ROUND(SQRT(V73-1)*IF(_xlfn.XLOOKUP(E73,Groups!A:A,Groups!BF:BF)=0,2,1)*IF(_xlfn.XLOOKUP('Base stats'!E73,Groups!A:A,Groups!O:O)=0,1,0.1),1),0)</f>
        <v>0.2</v>
      </c>
      <c r="AY73" s="8">
        <f t="shared" si="36"/>
        <v>1</v>
      </c>
      <c r="AZ73" s="8">
        <f t="shared" si="37"/>
        <v>0</v>
      </c>
      <c r="BA73" s="8">
        <f t="shared" si="38"/>
        <v>1.1000000000000001</v>
      </c>
      <c r="BB73" s="8">
        <f>IF(_xlfn.XLOOKUP(E73,Groups!A:A,Groups!N:N)="Insect",BD73*2.5,IFERROR(AVERAGE(BD73,AT73/9.81/IF(OR(_xlfn.XLOOKUP(E73,Groups!A:A,Groups!N:N)="Pig",_xlfn.XLOOKUP(E73,Groups!A:A,Groups!N:N)="StrongBitingHerbivore"),20,25))*C73^-0.135,BD73))</f>
        <v>0.13721975426422997</v>
      </c>
      <c r="BC73" s="8" t="str">
        <f>IF(W73="No","No",IF(_xlfn.XLOOKUP(E73,Groups!A:A,Groups!U:U)=1,'Base stats'!BB73,IF(OR(_xlfn.XLOOKUP(E73,Groups!A:A,Groups!BD:BD)=1,_xlfn.XLOOKUP(E73,Groups!A:A,Groups!U:U)=2),BD73,IF(_xlfn.XLOOKUP(B73,Animals!B:B,Animals!AO:AO)&gt;4,AVERAGE(BD73,BF73),BF73))))</f>
        <v>No</v>
      </c>
      <c r="BD73" s="8">
        <f t="shared" si="39"/>
        <v>0.15999413468554857</v>
      </c>
      <c r="BE73" s="8">
        <f>IF(_xlfn.XLOOKUP(E73,Groups!A:A,Groups!BE:BE)=1,(0.048*C73^1.01)+(0.071*C73^1.03),0.071*C73^1.03)/IF(_xlfn.XLOOKUP(E73,Groups!A:A,Groups!M:M)=1,0.85,IF(OR(_xlfn.XLOOKUP(B73,Animals!B:B,Animals!AO:AO)&gt;4,_xlfn.XLOOKUP(E73,Groups!A:A,Groups!BC:BC)=1),1.7,1))*C73^-0.25</f>
        <v>0.43954965641884286</v>
      </c>
      <c r="BF73" s="8">
        <f>(0.048*C73^1.01)/IF(_xlfn.XLOOKUP(E73,Groups!A:A,Groups!M:M)=1,0.25,0.8)*C73^-0.25</f>
        <v>0.21716079666108293</v>
      </c>
      <c r="BG73" s="8">
        <f>EXP(1.076*LN(AR73)-4.5397)*IF(_xlfn.XLOOKUP(E73,Groups!A:A,Groups!BC:BC)=1,1.25,IF(_xlfn.XLOOKUP(E73,Groups!A:A,Groups!BD:BD)=1,3.5,2.5))</f>
        <v>9.1576306976978312</v>
      </c>
      <c r="BH73" s="8">
        <f>EXP(1.076*LN(AS73)-4.5397)*IF(_xlfn.XLOOKUP(E73,Groups!A:A,Groups!M:M)=1,0.8,IF(_xlfn.XLOOKUP(E73,Groups!A:A,Groups!BC:BC)=1,1.3,3))</f>
        <v>13.569094750060124</v>
      </c>
      <c r="BI73" s="8" t="str">
        <f>IF(W73="No","No",IF(_xlfn.XLOOKUP(E73,Groups!A:A,Groups!U:U)=1,'Base stats'!BJ73,IF(OR(_xlfn.XLOOKUP(E73,Groups!A:A,Groups!BD:BD)=1,_xlfn.XLOOKUP(E73,Groups!A:A,Groups!U:U)=2),BG73,BH73))*1.2)</f>
        <v>No</v>
      </c>
      <c r="BJ73" s="8">
        <f>IFERROR(EXP(1.076*LN(AT73)-4.5397)*IF(_xlfn.XLOOKUP(E73,Groups!A:A,Groups!N:N)="Insect",1,IF(OR(_xlfn.XLOOKUP(E73,Groups!A:A,Groups!N:N)="Pig",_xlfn.XLOOKUP(E73,Groups!A:A,Groups!N:N)="StrongBitingHerbivore"),3.5,3.75)),"No")</f>
        <v>2.4259974059014913</v>
      </c>
      <c r="BK73" s="8">
        <f t="shared" si="40"/>
        <v>10</v>
      </c>
      <c r="BL73" s="8">
        <f t="shared" si="41"/>
        <v>7</v>
      </c>
      <c r="BM73" s="8" t="str">
        <f t="shared" si="42"/>
        <v>No</v>
      </c>
      <c r="BN73" s="8">
        <f t="shared" si="43"/>
        <v>5</v>
      </c>
      <c r="BO73" s="8">
        <f t="shared" si="44"/>
        <v>11</v>
      </c>
      <c r="BP73" s="8" cm="1">
        <f t="array" ref="BP73">IF(AND(_xlfn.XLOOKUP('Base stats'!E73,Groups!A:A,Groups!AD:AD=0),_xlfn.XLOOKUP('Base stats'!E73,Groups!A:A,Groups!P:P=0)),"No",IF(U73="No",AVERAGE(EXP(-0.57+0.99*LN(C73)),EXP(0.32+0.67*LN(C73)))/IF(_xlfn.XLOOKUP(E73,Groups!A:A,Groups!AD:AD)=1,10,2),(0.7354*C73^0.4078)*2/IF(_xlfn.XLOOKUP(E73,Groups!A:A,Groups!BK:BK)=1,1000,100)/IF(_xlfn.XLOOKUP(E73,Groups!A:A,Groups!AJ:AJ)="Photonozoa",3,1)))</f>
        <v>2.9329375304767199E-2</v>
      </c>
      <c r="BQ73" s="8" t="str">
        <f>IF(W73="No","No",IF(_xlfn.XLOOKUP(E73,Groups!A:A,Groups!BD:BD)=1,(AO73*5%),EXP(0.7354*LN(C73)^0.4078)*2/IF(_xlfn.XLOOKUP(E73,Groups!A:A,Groups!BL:BL)=1,1000,100)/IF(_xlfn.XLOOKUP(E73,Groups!A:A,Groups!AJ:AJ)="Photonozoa",3,1)))</f>
        <v>No</v>
      </c>
      <c r="BR73" s="8">
        <f>IF(BJ73="No","No",IF(_xlfn.XLOOKUP(E73,Groups!A:A,Groups!BF:BF)=1,(0.0315*C73+2.1825)*2,(0.7354*C73^0.4078)*2)/IF(_xlfn.XLOOKUP(E73,Groups!A:A,Groups!BM:BM)=1,1000,100)/IF(_xlfn.XLOOKUP(E73,Groups!A:A,Groups!AJ:AJ)="Photonozoa",3,1))</f>
        <v>2.9329375304767199E-2</v>
      </c>
      <c r="BS73" s="8">
        <f t="shared" si="45"/>
        <v>5.4917952136282484E-2</v>
      </c>
      <c r="BT73" s="8">
        <f t="shared" si="46"/>
        <v>462.64520157899858</v>
      </c>
      <c r="BU73" s="8" t="str">
        <f t="shared" si="47"/>
        <v>No</v>
      </c>
      <c r="BV73" s="8">
        <f t="shared" si="48"/>
        <v>82.715618068659296</v>
      </c>
      <c r="BW73" s="4">
        <v>0</v>
      </c>
      <c r="BX73" s="4">
        <v>1</v>
      </c>
    </row>
    <row r="74" spans="1:76" x14ac:dyDescent="0.25">
      <c r="A74" s="26" t="s">
        <v>72</v>
      </c>
      <c r="B74" s="6" t="s">
        <v>73</v>
      </c>
      <c r="C74" s="7">
        <f>AVERAGE(221.2,139.7)</f>
        <v>180.45</v>
      </c>
      <c r="D74" s="7" t="s">
        <v>1158</v>
      </c>
      <c r="E74" s="7" t="str">
        <f>Groups!$A$20</f>
        <v>Catlike (PISCIVORE)</v>
      </c>
      <c r="F74" s="7">
        <v>105</v>
      </c>
      <c r="G74" s="7">
        <f>1268/365</f>
        <v>3.473972602739726</v>
      </c>
      <c r="H74" s="7">
        <v>26.3</v>
      </c>
      <c r="I74" s="4">
        <v>0</v>
      </c>
      <c r="J74" s="7">
        <v>2.5</v>
      </c>
      <c r="K74" s="7" t="s">
        <v>544</v>
      </c>
      <c r="L74" s="7">
        <v>56</v>
      </c>
      <c r="M74" s="7" t="s">
        <v>626</v>
      </c>
      <c r="N74" s="4">
        <v>0</v>
      </c>
      <c r="O74" s="4">
        <v>0</v>
      </c>
      <c r="P74" s="4">
        <v>0</v>
      </c>
      <c r="Q74" s="4">
        <v>0</v>
      </c>
      <c r="R74" s="4" t="s">
        <v>40</v>
      </c>
      <c r="S74" s="7">
        <f>_xlfn.XLOOKUP(B74,[1]TeethAdjusters!$A:$A,[1]BiteAdjusters!$C:$C,1)</f>
        <v>1.2883872486194152</v>
      </c>
      <c r="T74" s="7">
        <f>_xlfn.XLOOKUP(B74,[1]TeethAdjusters!$A:$A,[1]TeethAdjusters!$B:$B,1)</f>
        <v>1.2604512005623816</v>
      </c>
      <c r="U74" s="7">
        <f>MROUND(8.255,0.05)</f>
        <v>8.25</v>
      </c>
      <c r="V74" s="7">
        <f>IF(AT74="No","No",IF(_xlfn.XLOOKUP(E74,Groups!A:A,Groups!AM:AM)=1,MROUND(EXP(0.3582*LN(C74)-0.2221)*T74,0.05),IF(_xlfn.XLOOKUP(E74,Groups!A:A,Groups!AM:AM)=2,MROUND(EXP(0.3582*LN(C74)-0.2221)*T74,0.05),"Need a formula")))</f>
        <v>6.5</v>
      </c>
      <c r="W74" s="7" t="s">
        <v>45</v>
      </c>
      <c r="X74" s="7" t="s">
        <v>932</v>
      </c>
      <c r="Y74" s="4" t="s">
        <v>56</v>
      </c>
      <c r="Z74" s="4">
        <v>1</v>
      </c>
      <c r="AA74" s="4">
        <v>0</v>
      </c>
      <c r="AB74" s="4">
        <v>0</v>
      </c>
      <c r="AC74" s="4">
        <v>0</v>
      </c>
      <c r="AD74" s="4">
        <v>0</v>
      </c>
      <c r="AE74" s="4" t="s">
        <v>45</v>
      </c>
      <c r="AF74" s="4" t="s">
        <v>45</v>
      </c>
      <c r="AG74" s="49" t="s">
        <v>389</v>
      </c>
      <c r="AH74" s="4" t="s">
        <v>45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4" t="s">
        <v>40</v>
      </c>
      <c r="AO74" s="8">
        <f t="shared" si="34"/>
        <v>32505.358105511663</v>
      </c>
      <c r="AP74" s="8">
        <f>IFERROR(C74*_xlfn.XLOOKUP(E74,Groups!A:A,Groups!K:K),0.106*C74^0.94)</f>
        <v>22.5111375</v>
      </c>
      <c r="AQ74" s="8">
        <f>AP74*10000/(_xlfn.XLOOKUP(E74,Groups!A:A,Groups!J:J)*AO74)</f>
        <v>6.3535432090098345</v>
      </c>
      <c r="AR74" s="8">
        <f t="shared" si="35"/>
        <v>4379.1055345118002</v>
      </c>
      <c r="AS74" s="8">
        <f>IF(_xlfn.XLOOKUP(E74,Groups!A:A,Groups!M:M)=1,EXP(0.7444*LN('Base stats'!C74)+6.5696),EXP(0.7927*LN('Base stats'!C74)+4.28))</f>
        <v>4440.1177379637465</v>
      </c>
      <c r="AT74" s="8">
        <f>IF(_xlfn.XLOOKUP(E74,Groups!A:A,Groups!N:N)="No","No",
IF(_xlfn.XLOOKUP(E74,Groups!A:A,Groups!N:N)="Crocodile",EXP(0.8129*LN(C74)+4.6742)*S74,
IF(_xlfn.XLOOKUP(E74,Groups!A:A,Groups!N:N)="Felid",EXP(0.7843*LN(C74)+4.7073)*S74,
IF(_xlfn.XLOOKUP(E74,Groups!A:A,Groups!N:N)="Canid",EXP(0.8367*LN(C74)+4.8763)*S74,
IF(_xlfn.XLOOKUP(E74,Groups!A:A,Groups!N:N)="Pig",EXP(0.3439*LN(C74)+6.8519)*S74,
IF(_xlfn.XLOOKUP(E74,Groups!A:A,Groups!N:N)="Rodent",EXP(0.5625*LN(C74)+4.3006)*S74,
IF(_xlfn.XLOOKUP(E74,Groups!A:A,Groups!N:N)="Primate",EXP(0.7847*LN(C74)+3.4931)*S74,
IF(_xlfn.XLOOKUP(E74,Groups!A:A,Groups!N:N)="MiscCarnivora",EXP(0.7486*LN(C74)+4.2207)*S74,
IF(_xlfn.XLOOKUP(E74,Groups!A:A,Groups!N:N)="Lizard",EXP(0.7733*LN(C74)+5.5303)*S74,
IF(_xlfn.XLOOKUP(E74,Groups!A:A,Groups!N:N)="Snake",50*C74^(2/3)*S74,
IF(_xlfn.XLOOKUP(E74,Groups!A:A,Groups!N:N)="StrongBitingHerbivore",87.1133638856975*C74^(2/3)*S74,
IF(_xlfn.XLOOKUP(E74,Groups!A:A,Groups!N:N)="MiscEctotherms",59.4316884072269*C74^(2/3)*S74,
IF(_xlfn.XLOOKUP(E74,Groups!A:A,Groups!N:N)="StrongBeakBird",0.041*(C74*1000)^1.375*S74,
IF(_xlfn.XLOOKUP(E74,Groups!A:A,Groups!N:N)="Bird",0.118*(C74*1000)^0.692*S74,
IF(_xlfn.XLOOKUP(E74,Groups!A:A,Groups!N:N)="Insect",EXP(0.7444*LN(C74)+6.5696)*S74,
IF(_xlfn.XLOOKUP(E74,Groups!A:A,Groups!N:N)="Theropod",EXP(0.6966*LN(C74)+4.158)*S74,
"No"))))))))))))))))</f>
        <v>8395.7894453321987</v>
      </c>
      <c r="AU74" s="8">
        <f>IF(_xlfn.XLOOKUP(E74,Groups!A:A,Groups!U:U)=3,AS74,IF(_xlfn.XLOOKUP(E74,Groups!A:A,Groups!U:U)=2,AR74,AT74))</f>
        <v>8395.7894453321987</v>
      </c>
      <c r="AV74" s="46">
        <f>IFERROR(AVERAGE(_xlfn.XLOOKUP(B74,Animals!B:B,Animals!N:N),_xlfn.XLOOKUP(B74,Animals!B:B,Animals!O:O)),0)</f>
        <v>0</v>
      </c>
      <c r="AW74" s="8">
        <f>MROUND(40*Animals!AO74*_xlfn.XLOOKUP(AG74,Leathers!$A$2:$A$99,Leathers!$B$2:$B$99,0)+(140*_xlfn.XLOOKUP(B74,Animals!B:B,Animals!AO:AO)*2),5)</f>
        <v>760</v>
      </c>
      <c r="AX74" s="8">
        <f>IFERROR(ROUND(SQRT(V74-1)*IF(_xlfn.XLOOKUP(E74,Groups!A:A,Groups!BF:BF)=0,2,1)*IF(_xlfn.XLOOKUP('Base stats'!E74,Groups!A:A,Groups!O:O)=0,1,0.1),1),0)</f>
        <v>4.7</v>
      </c>
      <c r="AY74" s="8">
        <f t="shared" si="36"/>
        <v>2.7</v>
      </c>
      <c r="AZ74" s="8">
        <f t="shared" si="37"/>
        <v>0</v>
      </c>
      <c r="BA74" s="8">
        <f t="shared" si="38"/>
        <v>5.0999999999999996</v>
      </c>
      <c r="BB74" s="8">
        <f>IF(_xlfn.XLOOKUP(E74,Groups!A:A,Groups!N:N)="Insect",BD74*2.5,IFERROR(AVERAGE(BD74,AT74/9.81/IF(OR(_xlfn.XLOOKUP(E74,Groups!A:A,Groups!N:N)="Pig",_xlfn.XLOOKUP(E74,Groups!A:A,Groups!N:N)="StrongBitingHerbivore"),20,25))*C74^-0.135,BD74))</f>
        <v>9.2170964405414058</v>
      </c>
      <c r="BC74" s="8" t="str">
        <f>IF(W74="No","No",IF(_xlfn.XLOOKUP(E74,Groups!A:A,Groups!U:U)=1,'Base stats'!BB74,IF(OR(_xlfn.XLOOKUP(E74,Groups!A:A,Groups!BD:BD)=1,_xlfn.XLOOKUP(E74,Groups!A:A,Groups!U:U)=2),BD74,IF(_xlfn.XLOOKUP(B74,Animals!B:B,Animals!AO:AO)&gt;4,AVERAGE(BD74,BF74),BF74))))</f>
        <v>No</v>
      </c>
      <c r="BD74" s="8">
        <f t="shared" si="39"/>
        <v>2.9398057811909384</v>
      </c>
      <c r="BE74" s="8">
        <f>IF(_xlfn.XLOOKUP(E74,Groups!A:A,Groups!BE:BE)=1,(0.048*C74^1.01)+(0.071*C74^1.03),0.071*C74^1.03)/IF(_xlfn.XLOOKUP(E74,Groups!A:A,Groups!M:M)=1,0.85,IF(OR(_xlfn.XLOOKUP(B74,Animals!B:B,Animals!AO:AO)&gt;4,_xlfn.XLOOKUP(E74,Groups!A:A,Groups!BC:BC)=1),1.7,1))*C74^-0.25</f>
        <v>4.0852319528706742</v>
      </c>
      <c r="BF74" s="8">
        <f>(0.048*C74^1.01)/IF(_xlfn.XLOOKUP(E74,Groups!A:A,Groups!M:M)=1,0.25,0.8)*C74^-0.25</f>
        <v>3.1115908379600836</v>
      </c>
      <c r="BG74" s="8">
        <f>EXP(1.076*LN(AR74)-4.5397)*IF(_xlfn.XLOOKUP(E74,Groups!A:A,Groups!BC:BC)=1,1.25,IF(_xlfn.XLOOKUP(E74,Groups!A:A,Groups!BD:BD)=1,3.5,2.5))</f>
        <v>221.05688813983673</v>
      </c>
      <c r="BH74" s="8">
        <f>EXP(1.076*LN(AS74)-4.5397)*IF(_xlfn.XLOOKUP(E74,Groups!A:A,Groups!M:M)=1,0.8,IF(_xlfn.XLOOKUP(E74,Groups!A:A,Groups!BC:BC)=1,1.3,3))</f>
        <v>269.24711752883059</v>
      </c>
      <c r="BI74" s="8" t="str">
        <f>IF(W74="No","No",IF(_xlfn.XLOOKUP(E74,Groups!A:A,Groups!U:U)=1,'Base stats'!BJ74,IF(OR(_xlfn.XLOOKUP(E74,Groups!A:A,Groups!BD:BD)=1,_xlfn.XLOOKUP(E74,Groups!A:A,Groups!U:U)=2),BG74,BH74))*1.2)</f>
        <v>No</v>
      </c>
      <c r="BJ74" s="8">
        <f>IFERROR(EXP(1.076*LN(AT74)-4.5397)*IF(_xlfn.XLOOKUP(E74,Groups!A:A,Groups!N:N)="Insect",1,IF(OR(_xlfn.XLOOKUP(E74,Groups!A:A,Groups!N:N)="Pig",_xlfn.XLOOKUP(E74,Groups!A:A,Groups!N:N)="StrongBitingHerbivore"),3.5,3.75)),"No")</f>
        <v>667.9667176620485</v>
      </c>
      <c r="BK74" s="8">
        <f t="shared" si="40"/>
        <v>12</v>
      </c>
      <c r="BL74" s="8">
        <f t="shared" si="41"/>
        <v>11</v>
      </c>
      <c r="BM74" s="8" t="str">
        <f t="shared" si="42"/>
        <v>No</v>
      </c>
      <c r="BN74" s="8">
        <f t="shared" si="43"/>
        <v>12</v>
      </c>
      <c r="BO74" s="8">
        <f t="shared" si="44"/>
        <v>13</v>
      </c>
      <c r="BP74" s="8" cm="1">
        <f t="array" ref="BP74">IF(AND(_xlfn.XLOOKUP('Base stats'!E74,Groups!A:A,Groups!AD:AD=0),_xlfn.XLOOKUP('Base stats'!E74,Groups!A:A,Groups!P:P=0)),"No",IF(U74="No",AVERAGE(EXP(-0.57+0.99*LN(C74)),EXP(0.32+0.67*LN(C74)))/IF(_xlfn.XLOOKUP(E74,Groups!A:A,Groups!AD:AD)=1,10,2),(0.7354*C74^0.4078)*2/IF(_xlfn.XLOOKUP(E74,Groups!A:A,Groups!BK:BK)=1,1000,100)/IF(_xlfn.XLOOKUP(E74,Groups!A:A,Groups!AJ:AJ)="Photonozoa",3,1)))</f>
        <v>0.12237591709715004</v>
      </c>
      <c r="BQ74" s="8" t="str">
        <f>IF(W74="No","No",IF(_xlfn.XLOOKUP(E74,Groups!A:A,Groups!BD:BD)=1,(AO74*5%),EXP(0.7354*LN(C74)^0.4078)*2/IF(_xlfn.XLOOKUP(E74,Groups!A:A,Groups!BL:BL)=1,1000,100)/IF(_xlfn.XLOOKUP(E74,Groups!A:A,Groups!AJ:AJ)="Photonozoa",3,1)))</f>
        <v>No</v>
      </c>
      <c r="BR74" s="8">
        <f>IF(BJ74="No","No",IF(_xlfn.XLOOKUP(E74,Groups!A:A,Groups!BF:BF)=1,(0.0315*C74+2.1825)*2,(0.7354*C74^0.4078)*2)/IF(_xlfn.XLOOKUP(E74,Groups!A:A,Groups!BM:BM)=1,1000,100)/IF(_xlfn.XLOOKUP(E74,Groups!A:A,Groups!AJ:AJ)="Photonozoa",3,1))</f>
        <v>0.12237591709715004</v>
      </c>
      <c r="BS74" s="8">
        <f t="shared" si="45"/>
        <v>0.13601258440057237</v>
      </c>
      <c r="BT74" s="8">
        <f t="shared" si="46"/>
        <v>2200.1642473092525</v>
      </c>
      <c r="BU74" s="8" t="str">
        <f t="shared" si="47"/>
        <v>No</v>
      </c>
      <c r="BV74" s="8">
        <f t="shared" si="48"/>
        <v>5458.3183808279255</v>
      </c>
      <c r="BW74" s="4">
        <v>0</v>
      </c>
      <c r="BX74" s="4">
        <v>1</v>
      </c>
    </row>
    <row r="75" spans="1:76" x14ac:dyDescent="0.25">
      <c r="A75" s="26" t="s">
        <v>271</v>
      </c>
      <c r="B75" s="6" t="s">
        <v>272</v>
      </c>
      <c r="C75" s="7">
        <f>AVERAGE(258,185,252,171)</f>
        <v>216.5</v>
      </c>
      <c r="D75" s="7" t="s">
        <v>1128</v>
      </c>
      <c r="E75" s="7" t="str">
        <f>Groups!$A$19</f>
        <v>Catlike</v>
      </c>
      <c r="F75" s="7">
        <v>110</v>
      </c>
      <c r="G75" s="7">
        <v>3.7</v>
      </c>
      <c r="H75" s="7">
        <v>30</v>
      </c>
      <c r="I75" s="4">
        <v>0</v>
      </c>
      <c r="J75" s="7">
        <v>2.5</v>
      </c>
      <c r="K75" s="7" t="s">
        <v>528</v>
      </c>
      <c r="L75" s="7">
        <f>MIN(37.5*C75^0.089,79.3*C75^-0.072)</f>
        <v>53.841880334989163</v>
      </c>
      <c r="M75" s="7" t="s">
        <v>626</v>
      </c>
      <c r="N75" s="4">
        <v>0</v>
      </c>
      <c r="O75" s="4">
        <v>0</v>
      </c>
      <c r="P75" s="4">
        <v>0</v>
      </c>
      <c r="Q75" s="4">
        <v>0</v>
      </c>
      <c r="R75" s="4" t="s">
        <v>40</v>
      </c>
      <c r="S75" s="7">
        <f>_xlfn.XLOOKUP(B75,[1]TeethAdjusters!$A:$A,[1]BiteAdjusters!$C:$C,1)</f>
        <v>1</v>
      </c>
      <c r="T75" s="7">
        <f>_xlfn.XLOOKUP(B75,[1]TeethAdjusters!$A:$A,[1]TeethAdjusters!$B:$B,1)</f>
        <v>1</v>
      </c>
      <c r="U75" s="7">
        <f>MROUND(8.255,0.05)</f>
        <v>8.25</v>
      </c>
      <c r="V75" s="7">
        <v>10</v>
      </c>
      <c r="W75" s="7" t="s">
        <v>45</v>
      </c>
      <c r="X75" s="7" t="s">
        <v>932</v>
      </c>
      <c r="Y75" s="4" t="s">
        <v>56</v>
      </c>
      <c r="Z75" s="4">
        <v>1</v>
      </c>
      <c r="AA75" s="4">
        <v>0</v>
      </c>
      <c r="AB75" s="4">
        <v>0</v>
      </c>
      <c r="AC75" s="4">
        <v>0</v>
      </c>
      <c r="AD75" s="4">
        <v>0</v>
      </c>
      <c r="AE75" s="4" t="s">
        <v>45</v>
      </c>
      <c r="AF75" s="4" t="s">
        <v>452</v>
      </c>
      <c r="AG75" s="49" t="s">
        <v>389</v>
      </c>
      <c r="AH75" s="4" t="s">
        <v>45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4" t="s">
        <v>40</v>
      </c>
      <c r="AO75" s="8">
        <f t="shared" si="34"/>
        <v>36590.691269595045</v>
      </c>
      <c r="AP75" s="8">
        <f>IFERROR(C75*_xlfn.XLOOKUP(E75,Groups!A:A,Groups!K:K),0.106*C75^0.94)</f>
        <v>27.008375000000001</v>
      </c>
      <c r="AQ75" s="8">
        <f>AP75*10000/(_xlfn.XLOOKUP(E75,Groups!A:A,Groups!J:J)*AO75)</f>
        <v>6.7717566485722251</v>
      </c>
      <c r="AR75" s="8">
        <f t="shared" si="35"/>
        <v>5107.4254756471973</v>
      </c>
      <c r="AS75" s="8">
        <f>IF(_xlfn.XLOOKUP(E75,Groups!A:A,Groups!M:M)=1,EXP(0.7444*LN('Base stats'!C75)+6.5696),EXP(0.7927*LN('Base stats'!C75)+4.28))</f>
        <v>5129.7696106810972</v>
      </c>
      <c r="AT75" s="8">
        <f>IF(_xlfn.XLOOKUP(E75,Groups!A:A,Groups!N:N)="No","No",
IF(_xlfn.XLOOKUP(E75,Groups!A:A,Groups!N:N)="Crocodile",EXP(0.8129*LN(C75)+4.6742)*S75,
IF(_xlfn.XLOOKUP(E75,Groups!A:A,Groups!N:N)="Felid",EXP(0.7843*LN(C75)+4.7073)*S75,
IF(_xlfn.XLOOKUP(E75,Groups!A:A,Groups!N:N)="Canid",EXP(0.8367*LN(C75)+4.8763)*S75,
IF(_xlfn.XLOOKUP(E75,Groups!A:A,Groups!N:N)="Pig",EXP(0.3439*LN(C75)+6.8519)*S75,
IF(_xlfn.XLOOKUP(E75,Groups!A:A,Groups!N:N)="Rodent",EXP(0.5625*LN(C75)+4.3006)*S75,
IF(_xlfn.XLOOKUP(E75,Groups!A:A,Groups!N:N)="Primate",EXP(0.7847*LN(C75)+3.4931)*S75,
IF(_xlfn.XLOOKUP(E75,Groups!A:A,Groups!N:N)="MiscCarnivora",EXP(0.7486*LN(C75)+4.2207)*S75,
IF(_xlfn.XLOOKUP(E75,Groups!A:A,Groups!N:N)="Lizard",EXP(0.7733*LN(C75)+5.5303)*S75,
IF(_xlfn.XLOOKUP(E75,Groups!A:A,Groups!N:N)="Snake",50*C75^(2/3)*S75,
IF(_xlfn.XLOOKUP(E75,Groups!A:A,Groups!N:N)="StrongBitingHerbivore",87.1133638856975*C75^(2/3)*S75,
IF(_xlfn.XLOOKUP(E75,Groups!A:A,Groups!N:N)="MiscEctotherms",59.4316884072269*C75^(2/3)*S75,
IF(_xlfn.XLOOKUP(E75,Groups!A:A,Groups!N:N)="StrongBeakBird",0.041*(C75*1000)^1.375*S75,
IF(_xlfn.XLOOKUP(E75,Groups!A:A,Groups!N:N)="Bird",0.118*(C75*1000)^0.692*S75,
IF(_xlfn.XLOOKUP(E75,Groups!A:A,Groups!N:N)="Insect",EXP(0.7444*LN(C75)+6.5696)*S75,
IF(_xlfn.XLOOKUP(E75,Groups!A:A,Groups!N:N)="Theropod",EXP(0.6966*LN(C75)+4.158)*S75,
"No"))))))))))))))))</f>
        <v>7517.1643623678765</v>
      </c>
      <c r="AU75" s="8">
        <f>IF(_xlfn.XLOOKUP(E75,Groups!A:A,Groups!U:U)=3,AS75,IF(_xlfn.XLOOKUP(E75,Groups!A:A,Groups!U:U)=2,AR75,AT75))</f>
        <v>7517.1643623678765</v>
      </c>
      <c r="AV75" s="46">
        <f>IFERROR(AVERAGE(_xlfn.XLOOKUP(B75,Animals!B:B,Animals!N:N),_xlfn.XLOOKUP(B75,Animals!B:B,Animals!O:O)),0)</f>
        <v>0</v>
      </c>
      <c r="AW75" s="8">
        <f>MROUND(40*Animals!AO75*_xlfn.XLOOKUP(AG75,Leathers!$A$2:$A$99,Leathers!$B$2:$B$99,0)+(140*_xlfn.XLOOKUP(B75,Animals!B:B,Animals!AO:AO)*2),5)</f>
        <v>850</v>
      </c>
      <c r="AX75" s="8">
        <f>IFERROR(ROUND(SQRT(V75-1)*IF(_xlfn.XLOOKUP(E75,Groups!A:A,Groups!BF:BF)=0,2,1)*IF(_xlfn.XLOOKUP('Base stats'!E75,Groups!A:A,Groups!O:O)=0,1,0.1),1),0)</f>
        <v>6</v>
      </c>
      <c r="AY75" s="8">
        <f t="shared" si="36"/>
        <v>2.7</v>
      </c>
      <c r="AZ75" s="8">
        <f t="shared" si="37"/>
        <v>0</v>
      </c>
      <c r="BA75" s="8">
        <f t="shared" si="38"/>
        <v>5.5</v>
      </c>
      <c r="BB75" s="8">
        <f>IF(_xlfn.XLOOKUP(E75,Groups!A:A,Groups!N:N)="Insect",BD75*2.5,IFERROR(AVERAGE(BD75,AT75/9.81/IF(OR(_xlfn.XLOOKUP(E75,Groups!A:A,Groups!N:N)="Pig",_xlfn.XLOOKUP(E75,Groups!A:A,Groups!N:N)="StrongBitingHerbivore"),20,25))*C75^-0.135,BD75))</f>
        <v>8.2427280073251143</v>
      </c>
      <c r="BC75" s="8" t="str">
        <f>IF(W75="No","No",IF(_xlfn.XLOOKUP(E75,Groups!A:A,Groups!U:U)=1,'Base stats'!BB75,IF(OR(_xlfn.XLOOKUP(E75,Groups!A:A,Groups!BD:BD)=1,_xlfn.XLOOKUP(E75,Groups!A:A,Groups!U:U)=2),BD75,IF(_xlfn.XLOOKUP(B75,Animals!B:B,Animals!AO:AO)&gt;4,AVERAGE(BD75,BF75),BF75))))</f>
        <v>No</v>
      </c>
      <c r="BD75" s="8">
        <f t="shared" si="39"/>
        <v>3.4202006287772089</v>
      </c>
      <c r="BE75" s="8">
        <f>IF(_xlfn.XLOOKUP(E75,Groups!A:A,Groups!BE:BE)=1,(0.048*C75^1.01)+(0.071*C75^1.03),0.071*C75^1.03)/IF(_xlfn.XLOOKUP(E75,Groups!A:A,Groups!M:M)=1,0.85,IF(OR(_xlfn.XLOOKUP(B75,Animals!B:B,Animals!AO:AO)&gt;4,_xlfn.XLOOKUP(E75,Groups!A:A,Groups!BC:BC)=1),1.7,1))*C75^-0.25</f>
        <v>4.7088571019262853</v>
      </c>
      <c r="BF75" s="8">
        <f>(0.048*C75^1.01)/IF(_xlfn.XLOOKUP(E75,Groups!A:A,Groups!M:M)=1,0.25,0.8)*C75^-0.25</f>
        <v>3.5735449964316421</v>
      </c>
      <c r="BG75" s="8">
        <f>EXP(1.076*LN(AR75)-4.5397)*IF(_xlfn.XLOOKUP(E75,Groups!A:A,Groups!BC:BC)=1,1.25,IF(_xlfn.XLOOKUP(E75,Groups!A:A,Groups!BD:BD)=1,3.5,2.5))</f>
        <v>260.85474587575175</v>
      </c>
      <c r="BH75" s="8">
        <f>EXP(1.076*LN(AS75)-4.5397)*IF(_xlfn.XLOOKUP(E75,Groups!A:A,Groups!M:M)=1,0.8,IF(_xlfn.XLOOKUP(E75,Groups!A:A,Groups!BC:BC)=1,1.3,3))</f>
        <v>314.49945199495397</v>
      </c>
      <c r="BI75" s="8" t="str">
        <f>IF(W75="No","No",IF(_xlfn.XLOOKUP(E75,Groups!A:A,Groups!U:U)=1,'Base stats'!BJ75,IF(OR(_xlfn.XLOOKUP(E75,Groups!A:A,Groups!BD:BD)=1,_xlfn.XLOOKUP(E75,Groups!A:A,Groups!U:U)=2),BG75,BH75))*1.2)</f>
        <v>No</v>
      </c>
      <c r="BJ75" s="8">
        <f>IFERROR(EXP(1.076*LN(AT75)-4.5397)*IF(_xlfn.XLOOKUP(E75,Groups!A:A,Groups!N:N)="Insect",1,IF(OR(_xlfn.XLOOKUP(E75,Groups!A:A,Groups!N:N)="Pig",_xlfn.XLOOKUP(E75,Groups!A:A,Groups!N:N)="StrongBitingHerbivore"),3.5,3.75)),"No")</f>
        <v>593.06017570414861</v>
      </c>
      <c r="BK75" s="8">
        <f t="shared" si="40"/>
        <v>12</v>
      </c>
      <c r="BL75" s="8">
        <f t="shared" si="41"/>
        <v>11</v>
      </c>
      <c r="BM75" s="8" t="str">
        <f t="shared" si="42"/>
        <v>No</v>
      </c>
      <c r="BN75" s="8">
        <f t="shared" si="43"/>
        <v>11</v>
      </c>
      <c r="BO75" s="8">
        <f t="shared" si="44"/>
        <v>13</v>
      </c>
      <c r="BP75" s="8" cm="1">
        <f t="array" ref="BP75">IF(AND(_xlfn.XLOOKUP('Base stats'!E75,Groups!A:A,Groups!AD:AD=0),_xlfn.XLOOKUP('Base stats'!E75,Groups!A:A,Groups!P:P=0)),"No",IF(U75="No",AVERAGE(EXP(-0.57+0.99*LN(C75)),EXP(0.32+0.67*LN(C75)))/IF(_xlfn.XLOOKUP(E75,Groups!A:A,Groups!AD:AD)=1,10,2),(0.7354*C75^0.4078)*2/IF(_xlfn.XLOOKUP(E75,Groups!A:A,Groups!BK:BK)=1,1000,100)/IF(_xlfn.XLOOKUP(E75,Groups!A:A,Groups!AJ:AJ)="Photonozoa",3,1)))</f>
        <v>0.13181151542323583</v>
      </c>
      <c r="BQ75" s="8" t="str">
        <f>IF(W75="No","No",IF(_xlfn.XLOOKUP(E75,Groups!A:A,Groups!BD:BD)=1,(AO75*5%),EXP(0.7354*LN(C75)^0.4078)*2/IF(_xlfn.XLOOKUP(E75,Groups!A:A,Groups!BL:BL)=1,1000,100)/IF(_xlfn.XLOOKUP(E75,Groups!A:A,Groups!AJ:AJ)="Photonozoa",3,1)))</f>
        <v>No</v>
      </c>
      <c r="BR75" s="8">
        <f>IF(BJ75="No","No",IF(_xlfn.XLOOKUP(E75,Groups!A:A,Groups!BF:BF)=1,(0.0315*C75+2.1825)*2,(0.7354*C75^0.4078)*2)/IF(_xlfn.XLOOKUP(E75,Groups!A:A,Groups!BM:BM)=1,1000,100)/IF(_xlfn.XLOOKUP(E75,Groups!A:A,Groups!AJ:AJ)="Photonozoa",3,1))</f>
        <v>0.13181151542323583</v>
      </c>
      <c r="BS75" s="8">
        <f t="shared" si="45"/>
        <v>0.14257984029534224</v>
      </c>
      <c r="BT75" s="8">
        <f t="shared" si="46"/>
        <v>2385.9785769484733</v>
      </c>
      <c r="BU75" s="8" t="str">
        <f t="shared" si="47"/>
        <v>No</v>
      </c>
      <c r="BV75" s="8">
        <f t="shared" si="48"/>
        <v>4499.3047367665995</v>
      </c>
      <c r="BW75" s="4">
        <v>0</v>
      </c>
      <c r="BX75" s="4">
        <v>1</v>
      </c>
    </row>
    <row r="76" spans="1:76" x14ac:dyDescent="0.25">
      <c r="A76" s="26" t="s">
        <v>202</v>
      </c>
      <c r="B76" s="6" t="s">
        <v>221</v>
      </c>
      <c r="C76" s="7">
        <v>0.5</v>
      </c>
      <c r="D76" s="7" t="s">
        <v>1249</v>
      </c>
      <c r="E76" s="7" t="str">
        <f>Groups!$A$21</f>
        <v>Frog</v>
      </c>
      <c r="F76" s="7">
        <v>50</v>
      </c>
      <c r="G76" s="7">
        <f>1277/365</f>
        <v>3.4986301369863013</v>
      </c>
      <c r="H76" s="7">
        <v>16</v>
      </c>
      <c r="I76" s="4">
        <v>0</v>
      </c>
      <c r="J76" s="7">
        <v>9</v>
      </c>
      <c r="K76" s="7" t="s">
        <v>564</v>
      </c>
      <c r="L76" s="7">
        <v>10</v>
      </c>
      <c r="M76" s="7" t="s">
        <v>528</v>
      </c>
      <c r="N76" s="4">
        <v>0</v>
      </c>
      <c r="O76" s="4">
        <v>0</v>
      </c>
      <c r="P76" s="4">
        <v>-10</v>
      </c>
      <c r="Q76" s="4">
        <v>0</v>
      </c>
      <c r="R76" s="4" t="s">
        <v>40</v>
      </c>
      <c r="S76" s="7">
        <f>_xlfn.XLOOKUP(B76,[1]TeethAdjusters!$A:$A,[1]BiteAdjusters!$C:$C,1)</f>
        <v>1</v>
      </c>
      <c r="T76" s="7">
        <f>_xlfn.XLOOKUP(B76,[1]TeethAdjusters!$A:$A,[1]TeethAdjusters!$B:$B,1)</f>
        <v>1</v>
      </c>
      <c r="U76" s="7" t="s">
        <v>45</v>
      </c>
      <c r="V76" s="7">
        <v>2.5</v>
      </c>
      <c r="W76" s="7" t="s">
        <v>45</v>
      </c>
      <c r="X76" s="7" t="s">
        <v>932</v>
      </c>
      <c r="Y76" s="4" t="s">
        <v>56</v>
      </c>
      <c r="Z76" s="4">
        <v>1</v>
      </c>
      <c r="AA76" s="4">
        <v>0</v>
      </c>
      <c r="AB76" s="4">
        <v>0</v>
      </c>
      <c r="AC76" s="4">
        <v>0</v>
      </c>
      <c r="AD76" s="4">
        <v>0</v>
      </c>
      <c r="AE76" s="4" t="s">
        <v>45</v>
      </c>
      <c r="AF76" s="4" t="s">
        <v>45</v>
      </c>
      <c r="AG76" s="49" t="s">
        <v>45</v>
      </c>
      <c r="AH76" s="4" t="str">
        <f>Animals!$C$77</f>
        <v>&lt;li&gt;ColossusToad&lt;/li&gt;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4" t="s">
        <v>40</v>
      </c>
      <c r="AO76" s="8">
        <f t="shared" si="34"/>
        <v>707.38114816219058</v>
      </c>
      <c r="AP76" s="8">
        <f>IFERROR(C76*_xlfn.XLOOKUP(E76,Groups!A:A,Groups!K:K),0.106*C76^0.94)</f>
        <v>5.5250685324579434E-2</v>
      </c>
      <c r="AQ76" s="8">
        <f>AP76*10000/(_xlfn.XLOOKUP(E76,Groups!A:A,Groups!J:J)*AO76)</f>
        <v>0.71656846191523915</v>
      </c>
      <c r="AR76" s="8">
        <f t="shared" si="35"/>
        <v>30.280337563677854</v>
      </c>
      <c r="AS76" s="8">
        <f>IF(_xlfn.XLOOKUP(E76,Groups!A:A,Groups!M:M)=1,EXP(0.7444*LN('Base stats'!C76)+6.5696),EXP(0.7927*LN('Base stats'!C76)+4.28))</f>
        <v>41.701713953818683</v>
      </c>
      <c r="AT76" s="8">
        <f>IF(_xlfn.XLOOKUP(E76,Groups!A:A,Groups!N:N)="No","No",
IF(_xlfn.XLOOKUP(E76,Groups!A:A,Groups!N:N)="Crocodile",EXP(0.8129*LN(C76)+4.6742)*S76,
IF(_xlfn.XLOOKUP(E76,Groups!A:A,Groups!N:N)="Felid",EXP(0.7843*LN(C76)+4.7073)*S76,
IF(_xlfn.XLOOKUP(E76,Groups!A:A,Groups!N:N)="Canid",EXP(0.8367*LN(C76)+4.8763)*S76,
IF(_xlfn.XLOOKUP(E76,Groups!A:A,Groups!N:N)="Pig",EXP(0.3439*LN(C76)+6.8519)*S76,
IF(_xlfn.XLOOKUP(E76,Groups!A:A,Groups!N:N)="Rodent",EXP(0.5625*LN(C76)+4.3006)*S76,
IF(_xlfn.XLOOKUP(E76,Groups!A:A,Groups!N:N)="Primate",EXP(0.7847*LN(C76)+3.4931)*S76,
IF(_xlfn.XLOOKUP(E76,Groups!A:A,Groups!N:N)="MiscCarnivora",EXP(0.7486*LN(C76)+4.2207)*S76,
IF(_xlfn.XLOOKUP(E76,Groups!A:A,Groups!N:N)="Lizard",EXP(0.7733*LN(C76)+5.5303)*S76,
IF(_xlfn.XLOOKUP(E76,Groups!A:A,Groups!N:N)="Snake",50*C76^(2/3)*S76,
IF(_xlfn.XLOOKUP(E76,Groups!A:A,Groups!N:N)="StrongBitingHerbivore",87.1133638856975*C76^(2/3)*S76,
IF(_xlfn.XLOOKUP(E76,Groups!A:A,Groups!N:N)="MiscEctotherms",59.4316884072269*C76^(2/3)*S76,
IF(_xlfn.XLOOKUP(E76,Groups!A:A,Groups!N:N)="StrongBeakBird",0.041*(C76*1000)^1.375*S76,
IF(_xlfn.XLOOKUP(E76,Groups!A:A,Groups!N:N)="Bird",0.118*(C76*1000)^0.692*S76,
IF(_xlfn.XLOOKUP(E76,Groups!A:A,Groups!N:N)="Insect",EXP(0.7444*LN(C76)+6.5696)*S76,
IF(_xlfn.XLOOKUP(E76,Groups!A:A,Groups!N:N)="Theropod",EXP(0.6966*LN(C76)+4.158)*S76,
"No"))))))))))))))))</f>
        <v>37.439617627529138</v>
      </c>
      <c r="AU76" s="8">
        <f>IF(_xlfn.XLOOKUP(E76,Groups!A:A,Groups!U:U)=3,AS76,IF(_xlfn.XLOOKUP(E76,Groups!A:A,Groups!U:U)=2,AR76,AT76))</f>
        <v>37.439617627529138</v>
      </c>
      <c r="AV76" s="46">
        <f>IFERROR(AVERAGE(_xlfn.XLOOKUP(B76,Animals!B:B,Animals!N:N),_xlfn.XLOOKUP(B76,Animals!B:B,Animals!O:O)),0)</f>
        <v>0</v>
      </c>
      <c r="AW76" s="8">
        <f>MROUND(40*Animals!AO76*_xlfn.XLOOKUP(AG76,Leathers!$A$2:$A$99,Leathers!$B$2:$B$99,0)+(140*_xlfn.XLOOKUP(B76,Animals!B:B,Animals!AO:AO)*2),5)</f>
        <v>30</v>
      </c>
      <c r="AX76" s="8">
        <f>IFERROR(ROUND(SQRT(V76-1)*IF(_xlfn.XLOOKUP(E76,Groups!A:A,Groups!BF:BF)=0,2,1)*IF(_xlfn.XLOOKUP('Base stats'!E76,Groups!A:A,Groups!O:O)=0,1,0.1),1),0)</f>
        <v>0.2</v>
      </c>
      <c r="AY76" s="8">
        <f t="shared" si="36"/>
        <v>0</v>
      </c>
      <c r="AZ76" s="8">
        <f t="shared" si="37"/>
        <v>0</v>
      </c>
      <c r="BA76" s="8">
        <f t="shared" si="38"/>
        <v>0.5</v>
      </c>
      <c r="BB76" s="8">
        <f>IF(_xlfn.XLOOKUP(E76,Groups!A:A,Groups!N:N)="Insect",BD76*2.5,IFERROR(AVERAGE(BD76,AT76/9.81/IF(OR(_xlfn.XLOOKUP(E76,Groups!A:A,Groups!N:N)="Pig",_xlfn.XLOOKUP(E76,Groups!A:A,Groups!N:N)="StrongBitingHerbivore"),20,25))*C76^-0.135,BD76))</f>
        <v>9.5915584225894496E-2</v>
      </c>
      <c r="BC76" s="8" t="str">
        <f>IF(W76="No","No",IF(_xlfn.XLOOKUP(E76,Groups!A:A,Groups!U:U)=1,'Base stats'!BB76,IF(OR(_xlfn.XLOOKUP(E76,Groups!A:A,Groups!BD:BD)=1,_xlfn.XLOOKUP(E76,Groups!A:A,Groups!U:U)=2),BD76,IF(_xlfn.XLOOKUP(B76,Animals!B:B,Animals!AO:AO)&gt;4,AVERAGE(BD76,BF76),BF76))))</f>
        <v>No</v>
      </c>
      <c r="BD76" s="8">
        <f t="shared" si="39"/>
        <v>2.2035866906060905E-2</v>
      </c>
      <c r="BE76" s="8">
        <f>IF(_xlfn.XLOOKUP(E76,Groups!A:A,Groups!BE:BE)=1,(0.048*C76^1.01)+(0.071*C76^1.03),0.071*C76^1.03)/IF(_xlfn.XLOOKUP(E76,Groups!A:A,Groups!M:M)=1,0.85,IF(OR(_xlfn.XLOOKUP(B76,Animals!B:B,Animals!AO:AO)&gt;4,_xlfn.XLOOKUP(E76,Groups!A:A,Groups!BC:BC)=1),1.7,1))*C76^-0.25</f>
        <v>4.1348042319630178E-2</v>
      </c>
      <c r="BF76" s="8">
        <f>(0.048*C76^1.01)/IF(_xlfn.XLOOKUP(E76,Groups!A:A,Groups!M:M)=1,0.25,0.8)*C76^-0.25</f>
        <v>3.5429779842885908E-2</v>
      </c>
      <c r="BG76" s="8">
        <f>EXP(1.076*LN(AR76)-4.5397)*IF(_xlfn.XLOOKUP(E76,Groups!A:A,Groups!BC:BC)=1,1.25,IF(_xlfn.XLOOKUP(E76,Groups!A:A,Groups!BD:BD)=1,3.5,2.5))</f>
        <v>1.0473751742036277</v>
      </c>
      <c r="BH76" s="8">
        <f>EXP(1.076*LN(AS76)-4.5397)*IF(_xlfn.XLOOKUP(E76,Groups!A:A,Groups!M:M)=1,0.8,IF(_xlfn.XLOOKUP(E76,Groups!A:A,Groups!BC:BC)=1,1.3,3))</f>
        <v>1.7735367701517157</v>
      </c>
      <c r="BI76" s="8" t="str">
        <f>IF(W76="No","No",IF(_xlfn.XLOOKUP(E76,Groups!A:A,Groups!U:U)=1,'Base stats'!BJ76,IF(OR(_xlfn.XLOOKUP(E76,Groups!A:A,Groups!BD:BD)=1,_xlfn.XLOOKUP(E76,Groups!A:A,Groups!U:U)=2),BG76,BH76))*1.2)</f>
        <v>No</v>
      </c>
      <c r="BJ76" s="8">
        <f>IFERROR(EXP(1.076*LN(AT76)-4.5397)*IF(_xlfn.XLOOKUP(E76,Groups!A:A,Groups!N:N)="Insect",1,IF(OR(_xlfn.XLOOKUP(E76,Groups!A:A,Groups!N:N)="Pig",_xlfn.XLOOKUP(E76,Groups!A:A,Groups!N:N)="StrongBitingHerbivore"),3.5,3.75)),"No")</f>
        <v>1.9741002322431316</v>
      </c>
      <c r="BK76" s="8">
        <f t="shared" si="40"/>
        <v>9</v>
      </c>
      <c r="BL76" s="8">
        <f t="shared" si="41"/>
        <v>9</v>
      </c>
      <c r="BM76" s="8" t="str">
        <f t="shared" si="42"/>
        <v>No</v>
      </c>
      <c r="BN76" s="8">
        <f t="shared" si="43"/>
        <v>6</v>
      </c>
      <c r="BO76" s="8">
        <f t="shared" si="44"/>
        <v>10</v>
      </c>
      <c r="BP76" s="8" t="str" cm="1">
        <f t="array" ref="BP76">IF(AND(_xlfn.XLOOKUP('Base stats'!E76,Groups!A:A,Groups!AD:AD=0),_xlfn.XLOOKUP('Base stats'!E76,Groups!A:A,Groups!P:P=0)),"No",IF(U76="No",AVERAGE(EXP(-0.57+0.99*LN(C76)),EXP(0.32+0.67*LN(C76)))/IF(_xlfn.XLOOKUP(E76,Groups!A:A,Groups!AD:AD)=1,10,2),(0.7354*C76^0.4078)*2/IF(_xlfn.XLOOKUP(E76,Groups!A:A,Groups!BK:BK)=1,1000,100)/IF(_xlfn.XLOOKUP(E76,Groups!A:A,Groups!AJ:AJ)="Photonozoa",3,1)))</f>
        <v>No</v>
      </c>
      <c r="BQ76" s="8" t="str">
        <f>IF(W76="No","No",IF(_xlfn.XLOOKUP(E76,Groups!A:A,Groups!BD:BD)=1,(AO76*5%),EXP(0.7354*LN(C76)^0.4078)*2/IF(_xlfn.XLOOKUP(E76,Groups!A:A,Groups!BL:BL)=1,1000,100)/IF(_xlfn.XLOOKUP(E76,Groups!A:A,Groups!AJ:AJ)="Photonozoa",3,1)))</f>
        <v>No</v>
      </c>
      <c r="BR76" s="8">
        <f>IF(BJ76="No","No",IF(_xlfn.XLOOKUP(E76,Groups!A:A,Groups!BF:BF)=1,(0.0315*C76+2.1825)*2,(0.7354*C76^0.4078)*2)/IF(_xlfn.XLOOKUP(E76,Groups!A:A,Groups!BM:BM)=1,1000,100)/IF(_xlfn.XLOOKUP(E76,Groups!A:A,Groups!AJ:AJ)="Photonozoa",3,1))</f>
        <v>1.1086477730522874E-2</v>
      </c>
      <c r="BS76" s="8">
        <f t="shared" si="45"/>
        <v>2.9612753377009197E-2</v>
      </c>
      <c r="BT76" s="8" t="str">
        <f t="shared" si="46"/>
        <v>No</v>
      </c>
      <c r="BU76" s="8" t="str">
        <f t="shared" si="47"/>
        <v>No</v>
      </c>
      <c r="BV76" s="8">
        <f t="shared" si="48"/>
        <v>178.06378907956608</v>
      </c>
      <c r="BW76" s="4">
        <v>0</v>
      </c>
      <c r="BX76" s="4">
        <v>1</v>
      </c>
    </row>
    <row r="77" spans="1:76" x14ac:dyDescent="0.25">
      <c r="A77" s="26" t="s">
        <v>210</v>
      </c>
      <c r="B77" s="6" t="s">
        <v>301</v>
      </c>
      <c r="C77" s="7">
        <v>55</v>
      </c>
      <c r="D77" s="7" t="s">
        <v>528</v>
      </c>
      <c r="E77" s="7" t="str">
        <f>Groups!$A$21</f>
        <v>Frog</v>
      </c>
      <c r="F77" s="7">
        <v>100</v>
      </c>
      <c r="G77" s="7">
        <v>5</v>
      </c>
      <c r="H77" s="7">
        <v>30</v>
      </c>
      <c r="I77" s="4">
        <v>0</v>
      </c>
      <c r="J77" s="7">
        <v>10</v>
      </c>
      <c r="K77" s="7" t="s">
        <v>528</v>
      </c>
      <c r="L77" s="7">
        <v>20</v>
      </c>
      <c r="M77" s="7" t="s">
        <v>528</v>
      </c>
      <c r="N77" s="4">
        <v>0</v>
      </c>
      <c r="O77" s="4">
        <v>1</v>
      </c>
      <c r="P77" s="4">
        <v>0</v>
      </c>
      <c r="Q77" s="4">
        <v>0</v>
      </c>
      <c r="R77" s="4" t="s">
        <v>40</v>
      </c>
      <c r="S77" s="7">
        <f>_xlfn.XLOOKUP(B77,[1]TeethAdjusters!$A:$A,[1]BiteAdjusters!$C:$C,1)</f>
        <v>1</v>
      </c>
      <c r="T77" s="7">
        <f>_xlfn.XLOOKUP(B77,[1]TeethAdjusters!$A:$A,[1]TeethAdjusters!$B:$B,1)</f>
        <v>1</v>
      </c>
      <c r="U77" s="7" t="s">
        <v>45</v>
      </c>
      <c r="V77" s="7">
        <v>15</v>
      </c>
      <c r="W77" s="7" t="s">
        <v>45</v>
      </c>
      <c r="X77" s="7" t="s">
        <v>932</v>
      </c>
      <c r="Y77" s="4" t="s">
        <v>56</v>
      </c>
      <c r="Z77" s="4">
        <v>1</v>
      </c>
      <c r="AA77" s="4">
        <v>0</v>
      </c>
      <c r="AB77" s="4">
        <v>0</v>
      </c>
      <c r="AC77" s="4">
        <v>0</v>
      </c>
      <c r="AD77" s="4">
        <v>0</v>
      </c>
      <c r="AE77" s="4" t="s">
        <v>45</v>
      </c>
      <c r="AF77" s="4" t="s">
        <v>45</v>
      </c>
      <c r="AG77" s="49" t="s">
        <v>45</v>
      </c>
      <c r="AH77" s="4" t="s">
        <v>45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4" t="s">
        <v>40</v>
      </c>
      <c r="AO77" s="8">
        <f t="shared" si="34"/>
        <v>15016.154461994613</v>
      </c>
      <c r="AP77" s="8">
        <f>IFERROR(C77*_xlfn.XLOOKUP(E77,Groups!A:A,Groups!K:K),0.106*C77^0.94)</f>
        <v>4.5840230568262754</v>
      </c>
      <c r="AQ77" s="8">
        <f>AP77*10000/(_xlfn.XLOOKUP(E77,Groups!A:A,Groups!J:J)*AO77)</f>
        <v>2.8006676082426014</v>
      </c>
      <c r="AR77" s="8">
        <f t="shared" si="35"/>
        <v>1605.1850768028401</v>
      </c>
      <c r="AS77" s="8">
        <f>IF(_xlfn.XLOOKUP(E77,Groups!A:A,Groups!M:M)=1,EXP(0.7444*LN('Base stats'!C77)+6.5696),EXP(0.7927*LN('Base stats'!C77)+4.28))</f>
        <v>1731.2743173050442</v>
      </c>
      <c r="AT77" s="8">
        <f>IF(_xlfn.XLOOKUP(E77,Groups!A:A,Groups!N:N)="No","No",
IF(_xlfn.XLOOKUP(E77,Groups!A:A,Groups!N:N)="Crocodile",EXP(0.8129*LN(C77)+4.6742)*S77,
IF(_xlfn.XLOOKUP(E77,Groups!A:A,Groups!N:N)="Felid",EXP(0.7843*LN(C77)+4.7073)*S77,
IF(_xlfn.XLOOKUP(E77,Groups!A:A,Groups!N:N)="Canid",EXP(0.8367*LN(C77)+4.8763)*S77,
IF(_xlfn.XLOOKUP(E77,Groups!A:A,Groups!N:N)="Pig",EXP(0.3439*LN(C77)+6.8519)*S77,
IF(_xlfn.XLOOKUP(E77,Groups!A:A,Groups!N:N)="Rodent",EXP(0.5625*LN(C77)+4.3006)*S77,
IF(_xlfn.XLOOKUP(E77,Groups!A:A,Groups!N:N)="Primate",EXP(0.7847*LN(C77)+3.4931)*S77,
IF(_xlfn.XLOOKUP(E77,Groups!A:A,Groups!N:N)="MiscCarnivora",EXP(0.7486*LN(C77)+4.2207)*S77,
IF(_xlfn.XLOOKUP(E77,Groups!A:A,Groups!N:N)="Lizard",EXP(0.7733*LN(C77)+5.5303)*S77,
IF(_xlfn.XLOOKUP(E77,Groups!A:A,Groups!N:N)="Snake",50*C77^(2/3)*S77,
IF(_xlfn.XLOOKUP(E77,Groups!A:A,Groups!N:N)="StrongBitingHerbivore",87.1133638856975*C77^(2/3)*S77,
IF(_xlfn.XLOOKUP(E77,Groups!A:A,Groups!N:N)="MiscEctotherms",59.4316884072269*C77^(2/3)*S77,
IF(_xlfn.XLOOKUP(E77,Groups!A:A,Groups!N:N)="StrongBeakBird",0.041*(C77*1000)^1.375*S77,
IF(_xlfn.XLOOKUP(E77,Groups!A:A,Groups!N:N)="Bird",0.118*(C77*1000)^0.692*S77,
IF(_xlfn.XLOOKUP(E77,Groups!A:A,Groups!N:N)="Insect",EXP(0.7444*LN(C77)+6.5696)*S77,
IF(_xlfn.XLOOKUP(E77,Groups!A:A,Groups!N:N)="Theropod",EXP(0.6966*LN(C77)+4.158)*S77,
"No"))))))))))))))))</f>
        <v>859.52766860068562</v>
      </c>
      <c r="AU77" s="8">
        <f>IF(_xlfn.XLOOKUP(E77,Groups!A:A,Groups!U:U)=3,AS77,IF(_xlfn.XLOOKUP(E77,Groups!A:A,Groups!U:U)=2,AR77,AT77))</f>
        <v>859.52766860068562</v>
      </c>
      <c r="AV77" s="46">
        <f>IFERROR(AVERAGE(_xlfn.XLOOKUP(B77,Animals!B:B,Animals!N:N),_xlfn.XLOOKUP(B77,Animals!B:B,Animals!O:O)),0)</f>
        <v>0</v>
      </c>
      <c r="AW77" s="8">
        <f>MROUND(40*Animals!AO77*_xlfn.XLOOKUP(AG77,Leathers!$A$2:$A$99,Leathers!$B$2:$B$99,0)+(140*_xlfn.XLOOKUP(B77,Animals!B:B,Animals!AO:AO)*2),5)</f>
        <v>250</v>
      </c>
      <c r="AX77" s="8">
        <f>IFERROR(ROUND(SQRT(V77-1)*IF(_xlfn.XLOOKUP(E77,Groups!A:A,Groups!BF:BF)=0,2,1)*IF(_xlfn.XLOOKUP('Base stats'!E77,Groups!A:A,Groups!O:O)=0,1,0.1),1),0)</f>
        <v>0.7</v>
      </c>
      <c r="AY77" s="8">
        <f t="shared" si="36"/>
        <v>0</v>
      </c>
      <c r="AZ77" s="8">
        <f t="shared" si="37"/>
        <v>0</v>
      </c>
      <c r="BA77" s="8">
        <f t="shared" si="38"/>
        <v>3.4</v>
      </c>
      <c r="BB77" s="8">
        <f>IF(_xlfn.XLOOKUP(E77,Groups!A:A,Groups!N:N)="Insect",BD77*2.5,IFERROR(AVERAGE(BD77,AT77/9.81/IF(OR(_xlfn.XLOOKUP(E77,Groups!A:A,Groups!N:N)="Pig",_xlfn.XLOOKUP(E77,Groups!A:A,Groups!N:N)="StrongBitingHerbivore"),20,25))*C77^-0.135,BD77))</f>
        <v>1.3389906085500163</v>
      </c>
      <c r="BC77" s="8" t="str">
        <f>IF(W77="No","No",IF(_xlfn.XLOOKUP(E77,Groups!A:A,Groups!U:U)=1,'Base stats'!BB77,IF(OR(_xlfn.XLOOKUP(E77,Groups!A:A,Groups!BD:BD)=1,_xlfn.XLOOKUP(E77,Groups!A:A,Groups!U:U)=2),BD77,IF(_xlfn.XLOOKUP(B77,Animals!B:B,Animals!AO:AO)&gt;4,AVERAGE(BD77,BF77),BF77))))</f>
        <v>No</v>
      </c>
      <c r="BD77" s="8">
        <f t="shared" si="39"/>
        <v>1.0952858120082261</v>
      </c>
      <c r="BE77" s="8">
        <f>IF(_xlfn.XLOOKUP(E77,Groups!A:A,Groups!BE:BE)=1,(0.048*C77^1.01)+(0.071*C77^1.03),0.071*C77^1.03)/IF(_xlfn.XLOOKUP(E77,Groups!A:A,Groups!M:M)=1,0.85,IF(OR(_xlfn.XLOOKUP(B77,Animals!B:B,Animals!AO:AO)&gt;4,_xlfn.XLOOKUP(E77,Groups!A:A,Groups!BC:BC)=1),1.7,1))*C77^-0.25</f>
        <v>1.6171162696258883</v>
      </c>
      <c r="BF77" s="8">
        <f>(0.048*C77^1.01)/IF(_xlfn.XLOOKUP(E77,Groups!A:A,Groups!M:M)=1,0.25,0.8)*C77^-0.25</f>
        <v>1.2613246825021767</v>
      </c>
      <c r="BG77" s="8">
        <f>EXP(1.076*LN(AR77)-4.5397)*IF(_xlfn.XLOOKUP(E77,Groups!A:A,Groups!BC:BC)=1,1.25,IF(_xlfn.XLOOKUP(E77,Groups!A:A,Groups!BD:BD)=1,3.5,2.5))</f>
        <v>75.078981297499624</v>
      </c>
      <c r="BH77" s="8">
        <f>EXP(1.076*LN(AS77)-4.5397)*IF(_xlfn.XLOOKUP(E77,Groups!A:A,Groups!M:M)=1,0.8,IF(_xlfn.XLOOKUP(E77,Groups!A:A,Groups!BC:BC)=1,1.3,3))</f>
        <v>97.731888109270812</v>
      </c>
      <c r="BI77" s="8" t="str">
        <f>IF(W77="No","No",IF(_xlfn.XLOOKUP(E77,Groups!A:A,Groups!U:U)=1,'Base stats'!BJ77,IF(OR(_xlfn.XLOOKUP(E77,Groups!A:A,Groups!BD:BD)=1,_xlfn.XLOOKUP(E77,Groups!A:A,Groups!U:U)=2),BG77,BH77))*1.2)</f>
        <v>No</v>
      </c>
      <c r="BJ77" s="8">
        <f>IFERROR(EXP(1.076*LN(AT77)-4.5397)*IF(_xlfn.XLOOKUP(E77,Groups!A:A,Groups!N:N)="Insect",1,IF(OR(_xlfn.XLOOKUP(E77,Groups!A:A,Groups!N:N)="Pig",_xlfn.XLOOKUP(E77,Groups!A:A,Groups!N:N)="StrongBitingHerbivore"),3.5,3.75)),"No")</f>
        <v>57.507994044239602</v>
      </c>
      <c r="BK77" s="8">
        <f t="shared" si="40"/>
        <v>11</v>
      </c>
      <c r="BL77" s="8">
        <f t="shared" si="41"/>
        <v>10</v>
      </c>
      <c r="BM77" s="8" t="str">
        <f t="shared" si="42"/>
        <v>No</v>
      </c>
      <c r="BN77" s="8">
        <f t="shared" si="43"/>
        <v>9</v>
      </c>
      <c r="BO77" s="8">
        <f t="shared" si="44"/>
        <v>12</v>
      </c>
      <c r="BP77" s="8" t="str" cm="1">
        <f t="array" ref="BP77">IF(AND(_xlfn.XLOOKUP('Base stats'!E77,Groups!A:A,Groups!AD:AD=0),_xlfn.XLOOKUP('Base stats'!E77,Groups!A:A,Groups!P:P=0)),"No",IF(U77="No",AVERAGE(EXP(-0.57+0.99*LN(C77)),EXP(0.32+0.67*LN(C77)))/IF(_xlfn.XLOOKUP(E77,Groups!A:A,Groups!AD:AD)=1,10,2),(0.7354*C77^0.4078)*2/IF(_xlfn.XLOOKUP(E77,Groups!A:A,Groups!BK:BK)=1,1000,100)/IF(_xlfn.XLOOKUP(E77,Groups!A:A,Groups!AJ:AJ)="Photonozoa",3,1)))</f>
        <v>No</v>
      </c>
      <c r="BQ77" s="8" t="str">
        <f>IF(W77="No","No",IF(_xlfn.XLOOKUP(E77,Groups!A:A,Groups!BD:BD)=1,(AO77*5%),EXP(0.7354*LN(C77)^0.4078)*2/IF(_xlfn.XLOOKUP(E77,Groups!A:A,Groups!BL:BL)=1,1000,100)/IF(_xlfn.XLOOKUP(E77,Groups!A:A,Groups!AJ:AJ)="Photonozoa",3,1)))</f>
        <v>No</v>
      </c>
      <c r="BR77" s="8">
        <f>IF(BJ77="No","No",IF(_xlfn.XLOOKUP(E77,Groups!A:A,Groups!BF:BF)=1,(0.0315*C77+2.1825)*2,(0.7354*C77^0.4078)*2)/IF(_xlfn.XLOOKUP(E77,Groups!A:A,Groups!BM:BM)=1,1000,100)/IF(_xlfn.XLOOKUP(E77,Groups!A:A,Groups!AJ:AJ)="Photonozoa",3,1))</f>
        <v>7.5383018919233477E-2</v>
      </c>
      <c r="BS77" s="8">
        <f t="shared" si="45"/>
        <v>9.9997614552410241E-2</v>
      </c>
      <c r="BT77" s="8" t="str">
        <f t="shared" si="46"/>
        <v>No</v>
      </c>
      <c r="BU77" s="8" t="str">
        <f t="shared" si="47"/>
        <v>No</v>
      </c>
      <c r="BV77" s="8">
        <f t="shared" si="48"/>
        <v>762.8773013966786</v>
      </c>
      <c r="BW77" s="4">
        <v>0</v>
      </c>
      <c r="BX77" s="4">
        <v>1</v>
      </c>
    </row>
    <row r="78" spans="1:76" x14ac:dyDescent="0.25">
      <c r="A78" s="26" t="s">
        <v>209</v>
      </c>
      <c r="B78" s="6" t="s">
        <v>179</v>
      </c>
      <c r="C78" s="7">
        <f>AVERAGE(1316,1354)</f>
        <v>1335</v>
      </c>
      <c r="D78" s="7" t="s">
        <v>1250</v>
      </c>
      <c r="E78" s="7" t="str">
        <f>Groups!$A$41</f>
        <v>Hippopotamus</v>
      </c>
      <c r="F78" s="7">
        <v>234</v>
      </c>
      <c r="G78" s="7">
        <f>1279/365</f>
        <v>3.504109589041096</v>
      </c>
      <c r="H78" s="7">
        <v>61.2</v>
      </c>
      <c r="I78" s="4">
        <v>0</v>
      </c>
      <c r="J78" s="7">
        <v>1</v>
      </c>
      <c r="K78" s="7" t="s">
        <v>565</v>
      </c>
      <c r="L78" s="7">
        <v>25</v>
      </c>
      <c r="M78" s="7" t="s">
        <v>626</v>
      </c>
      <c r="N78" s="4">
        <v>0</v>
      </c>
      <c r="O78" s="4">
        <v>0</v>
      </c>
      <c r="P78" s="4">
        <v>0</v>
      </c>
      <c r="Q78" s="4">
        <v>0</v>
      </c>
      <c r="R78" s="4" t="s">
        <v>40</v>
      </c>
      <c r="S78" s="7">
        <f>_xlfn.XLOOKUP(B78,[1]TeethAdjusters!$A:$A,[1]BiteAdjusters!$C:$C,1)</f>
        <v>1</v>
      </c>
      <c r="T78" s="7">
        <f>_xlfn.XLOOKUP(B78,[1]TeethAdjusters!$A:$A,[1]TeethAdjusters!$B:$B,1)</f>
        <v>1</v>
      </c>
      <c r="U78" s="7" t="s">
        <v>45</v>
      </c>
      <c r="V78" s="7">
        <v>50</v>
      </c>
      <c r="W78" s="7" t="s">
        <v>45</v>
      </c>
      <c r="X78" s="7" t="s">
        <v>932</v>
      </c>
      <c r="Y78" s="4" t="s">
        <v>42</v>
      </c>
      <c r="Z78" s="4">
        <v>1</v>
      </c>
      <c r="AA78" s="4">
        <v>0</v>
      </c>
      <c r="AB78" s="4">
        <v>0</v>
      </c>
      <c r="AC78" s="4">
        <v>0.1</v>
      </c>
      <c r="AD78" s="4">
        <v>0.3</v>
      </c>
      <c r="AE78" s="4" t="s">
        <v>45</v>
      </c>
      <c r="AF78" s="4" t="s">
        <v>401</v>
      </c>
      <c r="AG78" s="49" t="s">
        <v>383</v>
      </c>
      <c r="AH78" s="4" t="s">
        <v>45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4" t="s">
        <v>40</v>
      </c>
      <c r="AO78" s="8">
        <f t="shared" si="34"/>
        <v>119367.41844391671</v>
      </c>
      <c r="AP78" s="8">
        <f>IFERROR(C78*_xlfn.XLOOKUP(E78,Groups!A:A,Groups!K:K),0.106*C78^0.94)</f>
        <v>240.29999999999998</v>
      </c>
      <c r="AQ78" s="8">
        <f>AP78*10000/(_xlfn.XLOOKUP(E78,Groups!A:A,Groups!J:J)*AO78)</f>
        <v>18.468918777858132</v>
      </c>
      <c r="AR78" s="8">
        <f t="shared" si="35"/>
        <v>23742.955296876786</v>
      </c>
      <c r="AS78" s="8">
        <f>IF(_xlfn.XLOOKUP(E78,Groups!A:A,Groups!M:M)=1,EXP(0.7444*LN('Base stats'!C78)+6.5696),EXP(0.7927*LN('Base stats'!C78)+4.28))</f>
        <v>21694.486842690934</v>
      </c>
      <c r="AT78" s="8">
        <f>IF(_xlfn.XLOOKUP(E78,Groups!A:A,Groups!N:N)="No","No",
IF(_xlfn.XLOOKUP(E78,Groups!A:A,Groups!N:N)="Crocodile",EXP(0.8129*LN(C78)+4.6742)*S78,
IF(_xlfn.XLOOKUP(E78,Groups!A:A,Groups!N:N)="Felid",EXP(0.7843*LN(C78)+4.7073)*S78,
IF(_xlfn.XLOOKUP(E78,Groups!A:A,Groups!N:N)="Canid",EXP(0.8367*LN(C78)+4.8763)*S78,
IF(_xlfn.XLOOKUP(E78,Groups!A:A,Groups!N:N)="Pig",EXP(0.3439*LN(C78)+6.8519)*S78,
IF(_xlfn.XLOOKUP(E78,Groups!A:A,Groups!N:N)="Rodent",EXP(0.5625*LN(C78)+4.3006)*S78,
IF(_xlfn.XLOOKUP(E78,Groups!A:A,Groups!N:N)="Primate",EXP(0.7847*LN(C78)+3.4931)*S78,
IF(_xlfn.XLOOKUP(E78,Groups!A:A,Groups!N:N)="MiscCarnivora",EXP(0.7486*LN(C78)+4.2207)*S78,
IF(_xlfn.XLOOKUP(E78,Groups!A:A,Groups!N:N)="Lizard",EXP(0.7733*LN(C78)+5.5303)*S78,
IF(_xlfn.XLOOKUP(E78,Groups!A:A,Groups!N:N)="Snake",50*C78^(2/3)*S78,
IF(_xlfn.XLOOKUP(E78,Groups!A:A,Groups!N:N)="StrongBitingHerbivore",87.1133638856975*C78^(2/3)*S78,
IF(_xlfn.XLOOKUP(E78,Groups!A:A,Groups!N:N)="MiscEctotherms",59.4316884072269*C78^(2/3)*S78,
IF(_xlfn.XLOOKUP(E78,Groups!A:A,Groups!N:N)="StrongBeakBird",0.041*(C78*1000)^1.375*S78,
IF(_xlfn.XLOOKUP(E78,Groups!A:A,Groups!N:N)="Bird",0.118*(C78*1000)^0.692*S78,
IF(_xlfn.XLOOKUP(E78,Groups!A:A,Groups!N:N)="Insect",EXP(0.7444*LN(C78)+6.5696)*S78,
IF(_xlfn.XLOOKUP(E78,Groups!A:A,Groups!N:N)="Theropod",EXP(0.6966*LN(C78)+4.158)*S78,
"No"))))))))))))))))</f>
        <v>11235.576674661184</v>
      </c>
      <c r="AU78" s="8">
        <f>IF(_xlfn.XLOOKUP(E78,Groups!A:A,Groups!U:U)=3,AS78,IF(_xlfn.XLOOKUP(E78,Groups!A:A,Groups!U:U)=2,AR78,AT78))</f>
        <v>11235.576674661184</v>
      </c>
      <c r="AV78" s="46">
        <f>IFERROR(AVERAGE(_xlfn.XLOOKUP(B78,Animals!B:B,Animals!N:N),_xlfn.XLOOKUP(B78,Animals!B:B,Animals!O:O)),0)</f>
        <v>0</v>
      </c>
      <c r="AW78" s="8">
        <f>MROUND(40*Animals!AO78*_xlfn.XLOOKUP(AG78,Leathers!$A$2:$A$99,Leathers!$B$2:$B$99,0)+(140*_xlfn.XLOOKUP(B78,Animals!B:B,Animals!AO:AO)*2),5)</f>
        <v>1605</v>
      </c>
      <c r="AX78" s="8">
        <f>IFERROR(ROUND(SQRT(V78-1)*IF(_xlfn.XLOOKUP(E78,Groups!A:A,Groups!BF:BF)=0,2,1)*IF(_xlfn.XLOOKUP('Base stats'!E78,Groups!A:A,Groups!O:O)=0,1,0.1),1),0)</f>
        <v>7</v>
      </c>
      <c r="AY78" s="8">
        <f t="shared" si="36"/>
        <v>0</v>
      </c>
      <c r="AZ78" s="8">
        <f t="shared" si="37"/>
        <v>0</v>
      </c>
      <c r="BA78" s="8">
        <f t="shared" si="38"/>
        <v>10.5</v>
      </c>
      <c r="BB78" s="8">
        <f>IF(_xlfn.XLOOKUP(E78,Groups!A:A,Groups!N:N)="Insect",BD78*2.5,IFERROR(AVERAGE(BD78,AT78/9.81/IF(OR(_xlfn.XLOOKUP(E78,Groups!A:A,Groups!N:N)="Pig",_xlfn.XLOOKUP(E78,Groups!A:A,Groups!N:N)="StrongBitingHerbivore"),20,25))*C78^-0.135,BD78))</f>
        <v>12.52370954490711</v>
      </c>
      <c r="BC78" s="8" t="str">
        <f>IF(W78="No","No",IF(_xlfn.XLOOKUP(E78,Groups!A:A,Groups!U:U)=1,'Base stats'!BB78,IF(OR(_xlfn.XLOOKUP(E78,Groups!A:A,Groups!BD:BD)=1,_xlfn.XLOOKUP(E78,Groups!A:A,Groups!U:U)=2),BD78,IF(_xlfn.XLOOKUP(B78,Animals!B:B,Animals!AO:AO)&gt;4,AVERAGE(BD78,BF78),BF78))))</f>
        <v>No</v>
      </c>
      <c r="BD78" s="8">
        <f t="shared" si="39"/>
        <v>8.9104357162526373</v>
      </c>
      <c r="BE78" s="8">
        <f>IF(_xlfn.XLOOKUP(E78,Groups!A:A,Groups!BE:BE)=1,(0.048*C78^1.01)+(0.071*C78^1.03),0.071*C78^1.03)/IF(_xlfn.XLOOKUP(E78,Groups!A:A,Groups!M:M)=1,0.85,IF(OR(_xlfn.XLOOKUP(B78,Animals!B:B,Animals!AO:AO)&gt;4,_xlfn.XLOOKUP(E78,Groups!A:A,Groups!BC:BC)=1),1.7,1))*C78^-0.25</f>
        <v>19.459592250176009</v>
      </c>
      <c r="BF78" s="8">
        <f>(0.048*C78^1.01)/IF(_xlfn.XLOOKUP(E78,Groups!A:A,Groups!M:M)=1,0.25,0.8)*C78^-0.25</f>
        <v>14.240230278186942</v>
      </c>
      <c r="BG78" s="8">
        <f>EXP(1.076*LN(AR78)-4.5397)*IF(_xlfn.XLOOKUP(E78,Groups!A:A,Groups!BC:BC)=1,1.25,IF(_xlfn.XLOOKUP(E78,Groups!A:A,Groups!BD:BD)=1,3.5,2.5))</f>
        <v>1362.8522229463938</v>
      </c>
      <c r="BH78" s="8">
        <f>EXP(1.076*LN(AS78)-4.5397)*IF(_xlfn.XLOOKUP(E78,Groups!A:A,Groups!M:M)=1,0.8,IF(_xlfn.XLOOKUP(E78,Groups!A:A,Groups!BC:BC)=1,1.3,3))</f>
        <v>1484.111499243088</v>
      </c>
      <c r="BI78" s="8" t="str">
        <f>IF(W78="No","No",IF(_xlfn.XLOOKUP(E78,Groups!A:A,Groups!U:U)=1,'Base stats'!BJ78,IF(OR(_xlfn.XLOOKUP(E78,Groups!A:A,Groups!BD:BD)=1,_xlfn.XLOOKUP(E78,Groups!A:A,Groups!U:U)=2),BG78,BH78))*1.2)</f>
        <v>No</v>
      </c>
      <c r="BJ78" s="8">
        <f>IFERROR(EXP(1.076*LN(AT78)-4.5397)*IF(_xlfn.XLOOKUP(E78,Groups!A:A,Groups!N:N)="Insect",1,IF(OR(_xlfn.XLOOKUP(E78,Groups!A:A,Groups!N:N)="Pig",_xlfn.XLOOKUP(E78,Groups!A:A,Groups!N:N)="StrongBitingHerbivore"),3.5,3.75)),"No")</f>
        <v>852.98619140962069</v>
      </c>
      <c r="BK78" s="8">
        <f t="shared" si="40"/>
        <v>17</v>
      </c>
      <c r="BL78" s="8">
        <f t="shared" si="41"/>
        <v>12</v>
      </c>
      <c r="BM78" s="8" t="str">
        <f t="shared" si="42"/>
        <v>No</v>
      </c>
      <c r="BN78" s="8">
        <f t="shared" si="43"/>
        <v>11</v>
      </c>
      <c r="BO78" s="8">
        <f t="shared" si="44"/>
        <v>14</v>
      </c>
      <c r="BP78" s="8" t="str" cm="1">
        <f t="array" ref="BP78">IF(AND(_xlfn.XLOOKUP('Base stats'!E78,Groups!A:A,Groups!AD:AD=0),_xlfn.XLOOKUP('Base stats'!E78,Groups!A:A,Groups!P:P=0)),"No",IF(U78="No",AVERAGE(EXP(-0.57+0.99*LN(C78)),EXP(0.32+0.67*LN(C78)))/IF(_xlfn.XLOOKUP(E78,Groups!A:A,Groups!AD:AD)=1,10,2),(0.7354*C78^0.4078)*2/IF(_xlfn.XLOOKUP(E78,Groups!A:A,Groups!BK:BK)=1,1000,100)/IF(_xlfn.XLOOKUP(E78,Groups!A:A,Groups!AJ:AJ)="Photonozoa",3,1)))</f>
        <v>No</v>
      </c>
      <c r="BQ78" s="8" t="str">
        <f>IF(W78="No","No",IF(_xlfn.XLOOKUP(E78,Groups!A:A,Groups!BD:BD)=1,(AO78*5%),EXP(0.7354*LN(C78)^0.4078)*2/IF(_xlfn.XLOOKUP(E78,Groups!A:A,Groups!BL:BL)=1,1000,100)/IF(_xlfn.XLOOKUP(E78,Groups!A:A,Groups!AJ:AJ)="Photonozoa",3,1)))</f>
        <v>No</v>
      </c>
      <c r="BR78" s="8">
        <f>IF(BJ78="No","No",IF(_xlfn.XLOOKUP(E78,Groups!A:A,Groups!BF:BF)=1,(0.0315*C78+2.1825)*2,(0.7354*C78^0.4078)*2)/IF(_xlfn.XLOOKUP(E78,Groups!A:A,Groups!BM:BM)=1,1000,100)/IF(_xlfn.XLOOKUP(E78,Groups!A:A,Groups!AJ:AJ)="Photonozoa",3,1))</f>
        <v>0.88470000000000004</v>
      </c>
      <c r="BS78" s="8">
        <f t="shared" si="45"/>
        <v>0.22834576481801233</v>
      </c>
      <c r="BT78" s="8" t="str">
        <f t="shared" si="46"/>
        <v>No</v>
      </c>
      <c r="BU78" s="8" t="str">
        <f t="shared" si="47"/>
        <v>No</v>
      </c>
      <c r="BV78" s="8">
        <f t="shared" si="48"/>
        <v>964.15303652042576</v>
      </c>
      <c r="BW78" s="4">
        <v>0</v>
      </c>
      <c r="BX78" s="4">
        <v>1</v>
      </c>
    </row>
    <row r="79" spans="1:76" x14ac:dyDescent="0.25">
      <c r="A79" s="26" t="s">
        <v>277</v>
      </c>
      <c r="B79" s="6" t="s">
        <v>278</v>
      </c>
      <c r="C79" s="7">
        <f>AVERAGE(8000,4000)</f>
        <v>6000</v>
      </c>
      <c r="D79" s="7" t="s">
        <v>1135</v>
      </c>
      <c r="E79" s="7" t="str">
        <f>Groups!$A$18</f>
        <v>Elephant</v>
      </c>
      <c r="F79" s="7">
        <f>670</f>
        <v>670</v>
      </c>
      <c r="G79" s="7">
        <v>11.5</v>
      </c>
      <c r="H79" s="7">
        <v>65</v>
      </c>
      <c r="I79" s="4">
        <v>1</v>
      </c>
      <c r="J79" s="7">
        <v>1</v>
      </c>
      <c r="K79" s="7" t="s">
        <v>528</v>
      </c>
      <c r="L79" s="7">
        <v>26</v>
      </c>
      <c r="M79" s="7" t="s">
        <v>626</v>
      </c>
      <c r="N79" s="4">
        <v>0</v>
      </c>
      <c r="O79" s="4">
        <v>0</v>
      </c>
      <c r="P79" s="4">
        <v>0</v>
      </c>
      <c r="Q79" s="4">
        <v>0</v>
      </c>
      <c r="R79" s="4" t="s">
        <v>40</v>
      </c>
      <c r="S79" s="7">
        <f>_xlfn.XLOOKUP(B79,[1]TeethAdjusters!$A:$A,[1]BiteAdjusters!$C:$C,1)</f>
        <v>1</v>
      </c>
      <c r="T79" s="7">
        <f>_xlfn.XLOOKUP(B79,[1]TeethAdjusters!$A:$A,[1]TeethAdjusters!$B:$B,1)</f>
        <v>1</v>
      </c>
      <c r="U79" s="7" t="s">
        <v>45</v>
      </c>
      <c r="V79" s="7" t="str">
        <f>IF(AT79="No","No",IF(_xlfn.XLOOKUP(E79,Groups!A:A,Groups!AM:AM)=1,MROUND(EXP(0.3582*LN(C79)-0.2221)*T79,0.05),IF(_xlfn.XLOOKUP(E79,Groups!A:A,Groups!AM:AM)=2,MROUND(EXP(0.3582*LN(C79)-0.2221)*T79,0.05),"Need a formula")))</f>
        <v>No</v>
      </c>
      <c r="W79" s="7">
        <v>139.69999999999999</v>
      </c>
      <c r="X79" s="7" t="s">
        <v>932</v>
      </c>
      <c r="Y79" s="4" t="s">
        <v>42</v>
      </c>
      <c r="Z79" s="4">
        <v>1</v>
      </c>
      <c r="AA79" s="4">
        <v>0</v>
      </c>
      <c r="AB79" s="4">
        <v>0</v>
      </c>
      <c r="AC79" s="4">
        <v>0</v>
      </c>
      <c r="AD79" s="4">
        <v>0</v>
      </c>
      <c r="AE79" s="4" t="s">
        <v>1043</v>
      </c>
      <c r="AF79" s="4" t="s">
        <v>398</v>
      </c>
      <c r="AG79" s="49" t="s">
        <v>387</v>
      </c>
      <c r="AH79" s="4" t="str">
        <f>Animals!$C$26</f>
        <v>&lt;li&gt;Elephant&lt;/li&gt;</v>
      </c>
      <c r="AI79" s="4">
        <v>1</v>
      </c>
      <c r="AJ79" s="4">
        <v>0</v>
      </c>
      <c r="AK79" s="4">
        <v>0</v>
      </c>
      <c r="AL79" s="4">
        <v>0</v>
      </c>
      <c r="AM79" s="4">
        <v>0</v>
      </c>
      <c r="AN79" s="44" t="s">
        <v>40</v>
      </c>
      <c r="AO79" s="8">
        <f t="shared" si="34"/>
        <v>317045.27964091528</v>
      </c>
      <c r="AP79" s="8">
        <f>IFERROR(C79*_xlfn.XLOOKUP(E79,Groups!A:A,Groups!K:K),0.106*C79^0.94)</f>
        <v>480</v>
      </c>
      <c r="AQ79" s="8">
        <f>AP79*10000/(_xlfn.XLOOKUP(E79,Groups!A:A,Groups!J:J)*AO79)</f>
        <v>13.889718622394339</v>
      </c>
      <c r="AR79" s="8">
        <f t="shared" si="35"/>
        <v>84497.743412668031</v>
      </c>
      <c r="AS79" s="8">
        <f>IF(_xlfn.XLOOKUP(E79,Groups!A:A,Groups!M:M)=1,EXP(0.7444*LN('Base stats'!C79)+6.5696),EXP(0.7927*LN('Base stats'!C79)+4.28))</f>
        <v>71403.726647358781</v>
      </c>
      <c r="AT79" s="8" t="str">
        <f>IF(_xlfn.XLOOKUP(E79,Groups!A:A,Groups!N:N)="No","No",
IF(_xlfn.XLOOKUP(E79,Groups!A:A,Groups!N:N)="Crocodile",EXP(0.8129*LN(C79)+4.6742)*S79,
IF(_xlfn.XLOOKUP(E79,Groups!A:A,Groups!N:N)="Felid",EXP(0.7843*LN(C79)+4.7073)*S79,
IF(_xlfn.XLOOKUP(E79,Groups!A:A,Groups!N:N)="Canid",EXP(0.8367*LN(C79)+4.8763)*S79,
IF(_xlfn.XLOOKUP(E79,Groups!A:A,Groups!N:N)="Pig",EXP(0.3439*LN(C79)+6.8519)*S79,
IF(_xlfn.XLOOKUP(E79,Groups!A:A,Groups!N:N)="Rodent",EXP(0.5625*LN(C79)+4.3006)*S79,
IF(_xlfn.XLOOKUP(E79,Groups!A:A,Groups!N:N)="Primate",EXP(0.7847*LN(C79)+3.4931)*S79,
IF(_xlfn.XLOOKUP(E79,Groups!A:A,Groups!N:N)="MiscCarnivora",EXP(0.7486*LN(C79)+4.2207)*S79,
IF(_xlfn.XLOOKUP(E79,Groups!A:A,Groups!N:N)="Lizard",EXP(0.7733*LN(C79)+5.5303)*S79,
IF(_xlfn.XLOOKUP(E79,Groups!A:A,Groups!N:N)="Snake",50*C79^(2/3)*S79,
IF(_xlfn.XLOOKUP(E79,Groups!A:A,Groups!N:N)="StrongBitingHerbivore",87.1133638856975*C79^(2/3)*S79,
IF(_xlfn.XLOOKUP(E79,Groups!A:A,Groups!N:N)="MiscEctotherms",59.4316884072269*C79^(2/3)*S79,
IF(_xlfn.XLOOKUP(E79,Groups!A:A,Groups!N:N)="StrongBeakBird",0.041*(C79*1000)^1.375*S79,
IF(_xlfn.XLOOKUP(E79,Groups!A:A,Groups!N:N)="Bird",0.118*(C79*1000)^0.692*S79,
IF(_xlfn.XLOOKUP(E79,Groups!A:A,Groups!N:N)="Insect",EXP(0.7444*LN(C79)+6.5696)*S79,
IF(_xlfn.XLOOKUP(E79,Groups!A:A,Groups!N:N)="Theropod",EXP(0.6966*LN(C79)+4.158)*S79,
"No"))))))))))))))))</f>
        <v>No</v>
      </c>
      <c r="AU79" s="8">
        <f>IF(_xlfn.XLOOKUP(E79,Groups!A:A,Groups!U:U)=3,AS79,IF(_xlfn.XLOOKUP(E79,Groups!A:A,Groups!U:U)=2,AR79,AT79))</f>
        <v>71403.726647358781</v>
      </c>
      <c r="AV79" s="46">
        <f>IFERROR(AVERAGE(_xlfn.XLOOKUP(B79,Animals!B:B,Animals!N:N),_xlfn.XLOOKUP(B79,Animals!B:B,Animals!O:O)),0)</f>
        <v>0</v>
      </c>
      <c r="AW79" s="8">
        <f>MROUND(40*Animals!AO79*_xlfn.XLOOKUP(AG79,Leathers!$A$2:$A$99,Leathers!$B$2:$B$99,0)+(140*_xlfn.XLOOKUP(B79,Animals!B:B,Animals!AO:AO)*2),5)</f>
        <v>2200</v>
      </c>
      <c r="AX79" s="8">
        <f>IFERROR(ROUND(SQRT(V79-1)*IF(_xlfn.XLOOKUP(E79,Groups!A:A,Groups!BF:BF)=0,2,1)*IF(_xlfn.XLOOKUP('Base stats'!E79,Groups!A:A,Groups!O:O)=0,1,0.1),1),0)</f>
        <v>0</v>
      </c>
      <c r="AY79" s="8">
        <f t="shared" si="36"/>
        <v>0</v>
      </c>
      <c r="AZ79" s="8">
        <f t="shared" si="37"/>
        <v>11.8</v>
      </c>
      <c r="BA79" s="8">
        <f t="shared" si="38"/>
        <v>18.100000000000001</v>
      </c>
      <c r="BB79" s="8">
        <f>IF(_xlfn.XLOOKUP(E79,Groups!A:A,Groups!N:N)="Insect",BD79*2.5,IFERROR(AVERAGE(BD79,AT79/9.81/IF(OR(_xlfn.XLOOKUP(E79,Groups!A:A,Groups!N:N)="Pig",_xlfn.XLOOKUP(E79,Groups!A:A,Groups!N:N)="StrongBitingHerbivore"),20,25))*C79^-0.135,BD79))</f>
        <v>27.670187995209911</v>
      </c>
      <c r="BC79" s="8">
        <f>IF(W79="No","No",IF(_xlfn.XLOOKUP(E79,Groups!A:A,Groups!U:U)=1,'Base stats'!BB79,IF(OR(_xlfn.XLOOKUP(E79,Groups!A:A,Groups!BD:BD)=1,_xlfn.XLOOKUP(E79,Groups!A:A,Groups!U:U)=2),BD79,IF(_xlfn.XLOOKUP(B79,Animals!B:B,Animals!AO:AO)&gt;4,AVERAGE(BD79,BF79),BF79))))</f>
        <v>36.145948551119211</v>
      </c>
      <c r="BD79" s="8">
        <f t="shared" si="39"/>
        <v>27.670187995209911</v>
      </c>
      <c r="BE79" s="8">
        <f>IF(_xlfn.XLOOKUP(E79,Groups!A:A,Groups!BE:BE)=1,(0.048*C79^1.01)+(0.071*C79^1.03),0.071*C79^1.03)/IF(_xlfn.XLOOKUP(E79,Groups!A:A,Groups!M:M)=1,0.85,IF(OR(_xlfn.XLOOKUP(B79,Animals!B:B,Animals!AO:AO)&gt;4,_xlfn.XLOOKUP(E79,Groups!A:A,Groups!BC:BC)=1),1.7,1))*C79^-0.25</f>
        <v>36.963016200528486</v>
      </c>
      <c r="BF79" s="8">
        <f>(0.048*C79^1.01)/IF(_xlfn.XLOOKUP(E79,Groups!A:A,Groups!M:M)=1,0.25,0.8)*C79^-0.25</f>
        <v>44.621709107028508</v>
      </c>
      <c r="BG79" s="8">
        <f>EXP(1.076*LN(AR79)-4.5397)*IF(_xlfn.XLOOKUP(E79,Groups!A:A,Groups!BC:BC)=1,1.25,IF(_xlfn.XLOOKUP(E79,Groups!A:A,Groups!BD:BD)=1,3.5,2.5))</f>
        <v>2670.7220547406591</v>
      </c>
      <c r="BH79" s="8">
        <f>EXP(1.076*LN(AS79)-4.5397)*IF(_xlfn.XLOOKUP(E79,Groups!A:A,Groups!M:M)=1,0.8,IF(_xlfn.XLOOKUP(E79,Groups!A:A,Groups!BC:BC)=1,1.3,3))</f>
        <v>2317.2898443594122</v>
      </c>
      <c r="BI79" s="8">
        <f>IF(W79="No","No",IF(_xlfn.XLOOKUP(E79,Groups!A:A,Groups!U:U)=1,'Base stats'!BJ79,IF(OR(_xlfn.XLOOKUP(E79,Groups!A:A,Groups!BD:BD)=1,_xlfn.XLOOKUP(E79,Groups!A:A,Groups!U:U)=2),BG79,BH79))*1.2)</f>
        <v>2780.7478132312945</v>
      </c>
      <c r="BJ79" s="8" t="str">
        <f>IFERROR(EXP(1.076*LN(AT79)-4.5397)*IF(_xlfn.XLOOKUP(E79,Groups!A:A,Groups!N:N)="Insect",1,IF(OR(_xlfn.XLOOKUP(E79,Groups!A:A,Groups!N:N)="Pig",_xlfn.XLOOKUP(E79,Groups!A:A,Groups!N:N)="StrongBitingHerbivore"),3.5,3.75)),"No")</f>
        <v>No</v>
      </c>
      <c r="BK79" s="8">
        <f t="shared" si="40"/>
        <v>13</v>
      </c>
      <c r="BL79" s="8">
        <f t="shared" si="41"/>
        <v>11</v>
      </c>
      <c r="BM79" s="8">
        <f t="shared" si="42"/>
        <v>12</v>
      </c>
      <c r="BN79" s="8" t="str">
        <f t="shared" si="43"/>
        <v>No</v>
      </c>
      <c r="BO79" s="8">
        <f t="shared" si="44"/>
        <v>10</v>
      </c>
      <c r="BP79" s="8" cm="1">
        <f t="array" ref="BP79">IF(AND(_xlfn.XLOOKUP('Base stats'!E79,Groups!A:A,Groups!AD:AD=0),_xlfn.XLOOKUP('Base stats'!E79,Groups!A:A,Groups!P:P=0)),"No",IF(U79="No",AVERAGE(EXP(-0.57+0.99*LN(C79)),EXP(0.32+0.67*LN(C79)))/IF(_xlfn.XLOOKUP(E79,Groups!A:A,Groups!AD:AD)=1,10,2),(0.7354*C79^0.4078)*2/IF(_xlfn.XLOOKUP(E79,Groups!A:A,Groups!BK:BK)=1,1000,100)/IF(_xlfn.XLOOKUP(E79,Groups!A:A,Groups!AJ:AJ)="Photonozoa",3,1)))</f>
        <v>894.63427132503762</v>
      </c>
      <c r="BQ79" s="8">
        <f>IF(W79="No","No",IF(_xlfn.XLOOKUP(E79,Groups!A:A,Groups!BD:BD)=1,(AO79*5%),EXP(0.7354*LN(C79)^0.4078)*2/IF(_xlfn.XLOOKUP(E79,Groups!A:A,Groups!BL:BL)=1,1000,100)/IF(_xlfn.XLOOKUP(E79,Groups!A:A,Groups!AJ:AJ)="Photonozoa",3,1)))</f>
        <v>0.11822361841876085</v>
      </c>
      <c r="BR79" s="8" t="str">
        <f>IF(BJ79="No","No",IF(_xlfn.XLOOKUP(E79,Groups!A:A,Groups!BF:BF)=1,(0.0315*C79+2.1825)*2,(0.7354*C79^0.4078)*2)/IF(_xlfn.XLOOKUP(E79,Groups!A:A,Groups!BM:BM)=1,1000,100)/IF(_xlfn.XLOOKUP(E79,Groups!A:A,Groups!AJ:AJ)="Photonozoa",3,1))</f>
        <v>No</v>
      </c>
      <c r="BS79" s="8">
        <f t="shared" si="45"/>
        <v>0.16847574944282484</v>
      </c>
      <c r="BT79" s="8">
        <f t="shared" si="46"/>
        <v>2.5902091152033417</v>
      </c>
      <c r="BU79" s="8">
        <f t="shared" si="47"/>
        <v>23521.085299399183</v>
      </c>
      <c r="BV79" s="8" t="str">
        <f t="shared" si="48"/>
        <v>No</v>
      </c>
      <c r="BW79" s="4">
        <v>0</v>
      </c>
      <c r="BX79" s="4">
        <v>1</v>
      </c>
    </row>
    <row r="80" spans="1:76" s="16" customFormat="1" x14ac:dyDescent="0.25">
      <c r="A80" s="26" t="s">
        <v>280</v>
      </c>
      <c r="B80" s="6" t="s">
        <v>1095</v>
      </c>
      <c r="C80" s="7">
        <v>7000</v>
      </c>
      <c r="D80" s="7" t="s">
        <v>528</v>
      </c>
      <c r="E80" s="7" t="str">
        <f>Groups!$A$61</f>
        <v>Thrumbo</v>
      </c>
      <c r="F80" s="7">
        <f>670</f>
        <v>670</v>
      </c>
      <c r="G80" s="7">
        <v>12</v>
      </c>
      <c r="H80" s="7">
        <v>265</v>
      </c>
      <c r="I80" s="4">
        <v>1</v>
      </c>
      <c r="J80" s="7">
        <v>1</v>
      </c>
      <c r="K80" s="7" t="s">
        <v>528</v>
      </c>
      <c r="L80" s="7">
        <v>35</v>
      </c>
      <c r="M80" s="7" t="s">
        <v>626</v>
      </c>
      <c r="N80" s="4">
        <v>0</v>
      </c>
      <c r="O80" s="4">
        <v>0</v>
      </c>
      <c r="P80" s="4">
        <v>0</v>
      </c>
      <c r="Q80" s="4">
        <v>0</v>
      </c>
      <c r="R80" s="4">
        <v>1</v>
      </c>
      <c r="S80" s="7">
        <f>_xlfn.XLOOKUP(B80,[1]TeethAdjusters!$A:$A,[1]BiteAdjusters!$C:$C,1)</f>
        <v>1</v>
      </c>
      <c r="T80" s="7">
        <f>_xlfn.XLOOKUP(B80,[1]TeethAdjusters!$A:$A,[1]TeethAdjusters!$B:$B,1)</f>
        <v>1</v>
      </c>
      <c r="U80" s="7" t="s">
        <v>45</v>
      </c>
      <c r="V80" s="7" t="str">
        <f>IF(AT80="No","No",IF(_xlfn.XLOOKUP(E80,Groups!A:A,Groups!AM:AM)=1,MROUND(EXP(0.3582*LN(C80)-0.2221)*T80,0.05),IF(_xlfn.XLOOKUP(E80,Groups!A:A,Groups!AM:AM)=2,MROUND(EXP(0.3582*LN(C80)-0.2221)*T80,0.05),"Need a formula")))</f>
        <v>No</v>
      </c>
      <c r="W80" s="7">
        <v>80</v>
      </c>
      <c r="X80" s="7" t="s">
        <v>932</v>
      </c>
      <c r="Y80" s="4" t="s">
        <v>1002</v>
      </c>
      <c r="Z80" s="4">
        <v>1.335</v>
      </c>
      <c r="AA80" s="4">
        <v>0</v>
      </c>
      <c r="AB80" s="4">
        <v>0</v>
      </c>
      <c r="AC80" s="4">
        <v>0</v>
      </c>
      <c r="AD80" s="4">
        <v>0</v>
      </c>
      <c r="AE80" s="4" t="s">
        <v>1049</v>
      </c>
      <c r="AF80" s="4" t="s">
        <v>400</v>
      </c>
      <c r="AG80" s="49" t="s">
        <v>372</v>
      </c>
      <c r="AH80" s="4" t="str">
        <f>Animals!$C$27</f>
        <v>&lt;li&gt;Thrumbo&lt;/li&gt;</v>
      </c>
      <c r="AI80" s="4">
        <v>0</v>
      </c>
      <c r="AJ80" s="4">
        <v>0</v>
      </c>
      <c r="AK80" s="4">
        <v>0</v>
      </c>
      <c r="AL80" s="4">
        <v>1</v>
      </c>
      <c r="AM80" s="4">
        <v>1</v>
      </c>
      <c r="AN80" s="44" t="s">
        <v>40</v>
      </c>
      <c r="AO80" s="8">
        <f t="shared" si="34"/>
        <v>350458.58634124394</v>
      </c>
      <c r="AP80" s="8">
        <f>IFERROR(C80*_xlfn.XLOOKUP(E80,Groups!A:A,Groups!K:K),0.106*C80^0.94)</f>
        <v>436.21241605032162</v>
      </c>
      <c r="AQ80" s="8">
        <f>AP80*10000/(_xlfn.XLOOKUP(E80,Groups!A:A,Groups!J:J)*AO80)</f>
        <v>9.5745410563197275</v>
      </c>
      <c r="AR80" s="8">
        <f t="shared" si="35"/>
        <v>96248.742493610582</v>
      </c>
      <c r="AS80" s="8">
        <f>IF(_xlfn.XLOOKUP(E80,Groups!A:A,Groups!M:M)=1,EXP(0.7444*LN('Base stats'!C80)+6.5696),EXP(0.7927*LN('Base stats'!C80)+4.28))</f>
        <v>80684.404662262488</v>
      </c>
      <c r="AT80" s="8" t="str">
        <f>IF(_xlfn.XLOOKUP(E80,Groups!A:A,Groups!N:N)="No","No",
IF(_xlfn.XLOOKUP(E80,Groups!A:A,Groups!N:N)="Crocodile",EXP(0.8129*LN(C80)+4.6742)*S80,
IF(_xlfn.XLOOKUP(E80,Groups!A:A,Groups!N:N)="Felid",EXP(0.7843*LN(C80)+4.7073)*S80,
IF(_xlfn.XLOOKUP(E80,Groups!A:A,Groups!N:N)="Canid",EXP(0.8367*LN(C80)+4.8763)*S80,
IF(_xlfn.XLOOKUP(E80,Groups!A:A,Groups!N:N)="Pig",EXP(0.3439*LN(C80)+6.8519)*S80,
IF(_xlfn.XLOOKUP(E80,Groups!A:A,Groups!N:N)="Rodent",EXP(0.5625*LN(C80)+4.3006)*S80,
IF(_xlfn.XLOOKUP(E80,Groups!A:A,Groups!N:N)="Primate",EXP(0.7847*LN(C80)+3.4931)*S80,
IF(_xlfn.XLOOKUP(E80,Groups!A:A,Groups!N:N)="MiscCarnivora",EXP(0.7486*LN(C80)+4.2207)*S80,
IF(_xlfn.XLOOKUP(E80,Groups!A:A,Groups!N:N)="Lizard",EXP(0.7733*LN(C80)+5.5303)*S80,
IF(_xlfn.XLOOKUP(E80,Groups!A:A,Groups!N:N)="Snake",50*C80^(2/3)*S80,
IF(_xlfn.XLOOKUP(E80,Groups!A:A,Groups!N:N)="StrongBitingHerbivore",87.1133638856975*C80^(2/3)*S80,
IF(_xlfn.XLOOKUP(E80,Groups!A:A,Groups!N:N)="MiscEctotherms",59.4316884072269*C80^(2/3)*S80,
IF(_xlfn.XLOOKUP(E80,Groups!A:A,Groups!N:N)="StrongBeakBird",0.041*(C80*1000)^1.375*S80,
IF(_xlfn.XLOOKUP(E80,Groups!A:A,Groups!N:N)="Bird",0.118*(C80*1000)^0.692*S80,
IF(_xlfn.XLOOKUP(E80,Groups!A:A,Groups!N:N)="Insect",EXP(0.7444*LN(C80)+6.5696)*S80,
IF(_xlfn.XLOOKUP(E80,Groups!A:A,Groups!N:N)="Theropod",EXP(0.6966*LN(C80)+4.158)*S80,
"No"))))))))))))))))</f>
        <v>No</v>
      </c>
      <c r="AU80" s="8">
        <f>IF(_xlfn.XLOOKUP(E80,Groups!A:A,Groups!U:U)=3,AS80,IF(_xlfn.XLOOKUP(E80,Groups!A:A,Groups!U:U)=2,AR80,AT80))</f>
        <v>96248.742493610582</v>
      </c>
      <c r="AV80" s="46">
        <f>IFERROR(AVERAGE(_xlfn.XLOOKUP(B80,Animals!B:B,Animals!N:N),_xlfn.XLOOKUP(B80,Animals!B:B,Animals!O:O)),0)</f>
        <v>1</v>
      </c>
      <c r="AW80" s="8">
        <f>MROUND(40*Animals!AO80*_xlfn.XLOOKUP(AG80,Leathers!$A$2:$A$99,Leathers!$B$2:$B$99,0)+(140*_xlfn.XLOOKUP(B80,Animals!B:B,Animals!AO:AO)*2),5)</f>
        <v>6480</v>
      </c>
      <c r="AX80" s="8">
        <f>IFERROR(ROUND(SQRT(V80-1)*IF(_xlfn.XLOOKUP(E80,Groups!A:A,Groups!BF:BF)=0,2,1)*IF(_xlfn.XLOOKUP('Base stats'!E80,Groups!A:A,Groups!O:O)=0,1,0.1),1),0)</f>
        <v>0</v>
      </c>
      <c r="AY80" s="8">
        <f t="shared" si="36"/>
        <v>0</v>
      </c>
      <c r="AZ80" s="8">
        <f t="shared" si="37"/>
        <v>8.9</v>
      </c>
      <c r="BA80" s="8">
        <f t="shared" si="38"/>
        <v>19.100000000000001</v>
      </c>
      <c r="BB80" s="8">
        <f>IF(_xlfn.XLOOKUP(E80,Groups!A:A,Groups!N:N)="Insect",BD80*2.5,IFERROR(AVERAGE(BD80,AT80/9.81/IF(OR(_xlfn.XLOOKUP(E80,Groups!A:A,Groups!N:N)="Pig",_xlfn.XLOOKUP(E80,Groups!A:A,Groups!N:N)="StrongBitingHerbivore"),20,25))*C80^-0.135,BD80))</f>
        <v>31.080642587354337</v>
      </c>
      <c r="BC80" s="8">
        <f>IF(W80="No","No",IF(_xlfn.XLOOKUP(E80,Groups!A:A,Groups!U:U)=1,'Base stats'!BB80,IF(OR(_xlfn.XLOOKUP(E80,Groups!A:A,Groups!BD:BD)=1,_xlfn.XLOOKUP(E80,Groups!A:A,Groups!U:U)=2),BD80,IF(_xlfn.XLOOKUP(B80,Animals!B:B,Animals!AO:AO)&gt;4,AVERAGE(BD80,BF80),BF80))))</f>
        <v>31.080642587354337</v>
      </c>
      <c r="BD80" s="8">
        <f t="shared" si="39"/>
        <v>31.080642587354337</v>
      </c>
      <c r="BE80" s="8">
        <f>IF(_xlfn.XLOOKUP(E80,Groups!A:A,Groups!BE:BE)=1,(0.048*C80^1.01)+(0.071*C80^1.03),0.071*C80^1.03)/IF(_xlfn.XLOOKUP(E80,Groups!A:A,Groups!M:M)=1,0.85,IF(OR(_xlfn.XLOOKUP(B80,Animals!B:B,Animals!AO:AO)&gt;4,_xlfn.XLOOKUP(E80,Groups!A:A,Groups!BC:BC)=1),1.7,1))*C80^-0.25</f>
        <v>41.685584803118928</v>
      </c>
      <c r="BF80" s="8">
        <f>(0.048*C80^1.01)/IF(_xlfn.XLOOKUP(E80,Groups!A:A,Groups!M:M)=1,0.25,0.8)*C80^-0.25</f>
        <v>50.167881368257298</v>
      </c>
      <c r="BG80" s="8">
        <f>EXP(1.076*LN(AR80)-4.5397)*IF(_xlfn.XLOOKUP(E80,Groups!A:A,Groups!BC:BC)=1,1.25,IF(_xlfn.XLOOKUP(E80,Groups!A:A,Groups!BD:BD)=1,3.5,2.5))</f>
        <v>3072.3907043748436</v>
      </c>
      <c r="BH80" s="8">
        <f>EXP(1.076*LN(AS80)-4.5397)*IF(_xlfn.XLOOKUP(E80,Groups!A:A,Groups!M:M)=1,0.8,IF(_xlfn.XLOOKUP(E80,Groups!A:A,Groups!BC:BC)=1,1.3,3))</f>
        <v>2642.9095557450332</v>
      </c>
      <c r="BI80" s="8">
        <f>IF(W80="No","No",IF(_xlfn.XLOOKUP(E80,Groups!A:A,Groups!U:U)=1,'Base stats'!BJ80,IF(OR(_xlfn.XLOOKUP(E80,Groups!A:A,Groups!BD:BD)=1,_xlfn.XLOOKUP(E80,Groups!A:A,Groups!U:U)=2),BG80,BH80))*1.2)</f>
        <v>3686.8688452498122</v>
      </c>
      <c r="BJ80" s="8" t="str">
        <f>IFERROR(EXP(1.076*LN(AT80)-4.5397)*IF(_xlfn.XLOOKUP(E80,Groups!A:A,Groups!N:N)="Insect",1,IF(OR(_xlfn.XLOOKUP(E80,Groups!A:A,Groups!N:N)="Pig",_xlfn.XLOOKUP(E80,Groups!A:A,Groups!N:N)="StrongBitingHerbivore"),3.5,3.75)),"No")</f>
        <v>No</v>
      </c>
      <c r="BK80" s="8">
        <f t="shared" si="40"/>
        <v>14</v>
      </c>
      <c r="BL80" s="8">
        <f t="shared" si="41"/>
        <v>11</v>
      </c>
      <c r="BM80" s="8">
        <f t="shared" si="42"/>
        <v>15</v>
      </c>
      <c r="BN80" s="8" t="str">
        <f t="shared" si="43"/>
        <v>No</v>
      </c>
      <c r="BO80" s="8">
        <f t="shared" si="44"/>
        <v>10</v>
      </c>
      <c r="BP80" s="8" cm="1">
        <f t="array" ref="BP80">IF(AND(_xlfn.XLOOKUP('Base stats'!E80,Groups!A:A,Groups!AD:AD=0),_xlfn.XLOOKUP('Base stats'!E80,Groups!A:A,Groups!P:P=0)),"No",IF(U80="No",AVERAGE(EXP(-0.57+0.99*LN(C80)),EXP(0.32+0.67*LN(C80)))/IF(_xlfn.XLOOKUP(E80,Groups!A:A,Groups!AD:AD)=1,10,2),(0.7354*C80^0.4078)*2/IF(_xlfn.XLOOKUP(E80,Groups!A:A,Groups!BK:BK)=1,1000,100)/IF(_xlfn.XLOOKUP(E80,Groups!A:A,Groups!AJ:AJ)="Photonozoa",3,1)))</f>
        <v>1035.5711267477873</v>
      </c>
      <c r="BQ80" s="8">
        <f>IF(W80="No","No",IF(_xlfn.XLOOKUP(E80,Groups!A:A,Groups!BD:BD)=1,(AO80*5%),EXP(0.7354*LN(C80)^0.4078)*2/IF(_xlfn.XLOOKUP(E80,Groups!A:A,Groups!BL:BL)=1,1000,100)/IF(_xlfn.XLOOKUP(E80,Groups!A:A,Groups!AJ:AJ)="Photonozoa",3,1)))</f>
        <v>1.1974334259305537E-2</v>
      </c>
      <c r="BR80" s="8" t="str">
        <f>IF(BJ80="No","No",IF(_xlfn.XLOOKUP(E80,Groups!A:A,Groups!BF:BF)=1,(0.0315*C80+2.1825)*2,(0.7354*C80^0.4078)*2)/IF(_xlfn.XLOOKUP(E80,Groups!A:A,Groups!BM:BM)=1,1000,100)/IF(_xlfn.XLOOKUP(E80,Groups!A:A,Groups!AJ:AJ)="Photonozoa",3,1))</f>
        <v>No</v>
      </c>
      <c r="BS80" s="8">
        <f t="shared" si="45"/>
        <v>0.17533545041371795</v>
      </c>
      <c r="BT80" s="8">
        <f t="shared" si="46"/>
        <v>2.5521275047954406</v>
      </c>
      <c r="BU80" s="8">
        <f t="shared" si="47"/>
        <v>307897.60544596956</v>
      </c>
      <c r="BV80" s="8" t="str">
        <f t="shared" si="48"/>
        <v>No</v>
      </c>
      <c r="BW80" s="4">
        <v>0</v>
      </c>
      <c r="BX80" s="4">
        <v>1</v>
      </c>
    </row>
    <row r="81" spans="1:76" x14ac:dyDescent="0.25">
      <c r="A81" s="26" t="s">
        <v>213</v>
      </c>
      <c r="B81" s="6" t="s">
        <v>1784</v>
      </c>
      <c r="C81" s="7">
        <v>4.8499999999999996</v>
      </c>
      <c r="D81" s="7" t="s">
        <v>1785</v>
      </c>
      <c r="E81" s="7" t="str">
        <f>Groups!$A$33</f>
        <v>ArmoredMammal</v>
      </c>
      <c r="F81" s="7">
        <v>68</v>
      </c>
      <c r="G81" s="7">
        <f>274/365</f>
        <v>0.75068493150684934</v>
      </c>
      <c r="H81" s="7">
        <v>22.1</v>
      </c>
      <c r="I81" s="4">
        <v>0</v>
      </c>
      <c r="J81" s="7">
        <v>2</v>
      </c>
      <c r="K81" s="7" t="s">
        <v>1785</v>
      </c>
      <c r="L81" s="7">
        <f>MIN(20*C81^0.183,19.9*C81^0.142)</f>
        <v>24.901665974358551</v>
      </c>
      <c r="M81" s="7" t="s">
        <v>626</v>
      </c>
      <c r="N81" s="4">
        <v>0</v>
      </c>
      <c r="O81" s="4">
        <v>0</v>
      </c>
      <c r="P81" s="4">
        <v>0</v>
      </c>
      <c r="Q81" s="4">
        <v>0</v>
      </c>
      <c r="R81" s="4" t="s">
        <v>40</v>
      </c>
      <c r="S81" s="7">
        <f>_xlfn.XLOOKUP(B81,[1]TeethAdjusters!$A:$A,[1]BiteAdjusters!$C:$C,1)</f>
        <v>1</v>
      </c>
      <c r="T81" s="7">
        <f>_xlfn.XLOOKUP(B81,[1]TeethAdjusters!$A:$A,[1]TeethAdjusters!$B:$B,1)</f>
        <v>1</v>
      </c>
      <c r="U81" s="7">
        <v>2</v>
      </c>
      <c r="V81" s="7">
        <v>1.5</v>
      </c>
      <c r="W81" s="7" t="s">
        <v>45</v>
      </c>
      <c r="X81" s="7" t="s">
        <v>932</v>
      </c>
      <c r="Y81" s="4" t="s">
        <v>53</v>
      </c>
      <c r="Z81" s="4">
        <v>1</v>
      </c>
      <c r="AA81" s="4">
        <v>0</v>
      </c>
      <c r="AB81" s="4">
        <v>0</v>
      </c>
      <c r="AC81" s="4">
        <v>0</v>
      </c>
      <c r="AD81" s="4">
        <v>0</v>
      </c>
      <c r="AE81" s="4" t="s">
        <v>45</v>
      </c>
      <c r="AF81" s="4" t="s">
        <v>45</v>
      </c>
      <c r="AG81" s="49" t="s">
        <v>373</v>
      </c>
      <c r="AH81" s="4" t="s">
        <v>45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4" t="s">
        <v>40</v>
      </c>
      <c r="AO81" s="8">
        <f t="shared" si="34"/>
        <v>3097.8123646140352</v>
      </c>
      <c r="AP81" s="8">
        <f>IFERROR(C81*_xlfn.XLOOKUP(E81,Groups!A:A,Groups!K:K),0.106*C81^0.94)</f>
        <v>1.5519999999999998</v>
      </c>
      <c r="AQ81" s="8">
        <f>AP81*10000/(_xlfn.XLOOKUP(E81,Groups!A:A,Groups!J:J)*AO81)</f>
        <v>5.2187365675651289</v>
      </c>
      <c r="AR81" s="8">
        <f t="shared" si="35"/>
        <v>206.38911856167971</v>
      </c>
      <c r="AS81" s="8">
        <f>IF(_xlfn.XLOOKUP(E81,Groups!A:A,Groups!M:M)=1,EXP(0.7444*LN('Base stats'!C81)+6.5696),EXP(0.7927*LN('Base stats'!C81)+4.28))</f>
        <v>252.561913190577</v>
      </c>
      <c r="AT81" s="8">
        <f>IF(_xlfn.XLOOKUP(E81,Groups!A:A,Groups!N:N)="No","No",
IF(_xlfn.XLOOKUP(E81,Groups!A:A,Groups!N:N)="Crocodile",EXP(0.8129*LN(C81)+4.6742)*S81,
IF(_xlfn.XLOOKUP(E81,Groups!A:A,Groups!N:N)="Felid",EXP(0.7843*LN(C81)+4.7073)*S81,
IF(_xlfn.XLOOKUP(E81,Groups!A:A,Groups!N:N)="Canid",EXP(0.8367*LN(C81)+4.8763)*S81,
IF(_xlfn.XLOOKUP(E81,Groups!A:A,Groups!N:N)="Pig",EXP(0.3439*LN(C81)+6.8519)*S81,
IF(_xlfn.XLOOKUP(E81,Groups!A:A,Groups!N:N)="Rodent",EXP(0.5625*LN(C81)+4.3006)*S81,
IF(_xlfn.XLOOKUP(E81,Groups!A:A,Groups!N:N)="Primate",EXP(0.7847*LN(C81)+3.4931)*S81,
IF(_xlfn.XLOOKUP(E81,Groups!A:A,Groups!N:N)="MiscCarnivora",EXP(0.7486*LN(C81)+4.2207)*S81,
IF(_xlfn.XLOOKUP(E81,Groups!A:A,Groups!N:N)="Lizard",EXP(0.7733*LN(C81)+5.5303)*S81,
IF(_xlfn.XLOOKUP(E81,Groups!A:A,Groups!N:N)="Snake",50*C81^(2/3)*S81,
IF(_xlfn.XLOOKUP(E81,Groups!A:A,Groups!N:N)="StrongBitingHerbivore",87.1133638856975*C81^(2/3)*S81,
IF(_xlfn.XLOOKUP(E81,Groups!A:A,Groups!N:N)="MiscEctotherms",59.4316884072269*C81^(2/3)*S81,
IF(_xlfn.XLOOKUP(E81,Groups!A:A,Groups!N:N)="StrongBeakBird",0.041*(C81*1000)^1.375*S81,
IF(_xlfn.XLOOKUP(E81,Groups!A:A,Groups!N:N)="Bird",0.118*(C81*1000)^0.692*S81,
IF(_xlfn.XLOOKUP(E81,Groups!A:A,Groups!N:N)="Insect",EXP(0.7444*LN(C81)+6.5696)*S81,
IF(_xlfn.XLOOKUP(E81,Groups!A:A,Groups!N:N)="Theropod",EXP(0.6966*LN(C81)+4.158)*S81,
"No"))))))))))))))))</f>
        <v>222.01022925259247</v>
      </c>
      <c r="AU81" s="8">
        <f>IF(_xlfn.XLOOKUP(E81,Groups!A:A,Groups!U:U)=3,AS81,IF(_xlfn.XLOOKUP(E81,Groups!A:A,Groups!U:U)=2,AR81,AT81))</f>
        <v>222.01022925259247</v>
      </c>
      <c r="AV81" s="46">
        <f>IFERROR(AVERAGE(_xlfn.XLOOKUP(B81,Animals!B:B,Animals!N:N),_xlfn.XLOOKUP(B81,Animals!B:B,Animals!O:O)),0)</f>
        <v>0.27500000000000002</v>
      </c>
      <c r="AW81" s="8">
        <f>MROUND(40*Animals!AO81*_xlfn.XLOOKUP(AG81,Leathers!$A$2:$A$99,Leathers!$B$2:$B$99,0)+(140*_xlfn.XLOOKUP(B81,Animals!B:B,Animals!AO:AO)*2),5)</f>
        <v>120</v>
      </c>
      <c r="AX81" s="8">
        <f>IFERROR(ROUND(SQRT(V81-1)*IF(_xlfn.XLOOKUP(E81,Groups!A:A,Groups!BF:BF)=0,2,1)*IF(_xlfn.XLOOKUP('Base stats'!E81,Groups!A:A,Groups!O:O)=0,1,0.1),1),0)</f>
        <v>1.4</v>
      </c>
      <c r="AY81" s="8">
        <f t="shared" si="36"/>
        <v>1</v>
      </c>
      <c r="AZ81" s="8">
        <f t="shared" si="37"/>
        <v>0</v>
      </c>
      <c r="BA81" s="8">
        <f t="shared" si="38"/>
        <v>1.1000000000000001</v>
      </c>
      <c r="BB81" s="8">
        <f>IF(_xlfn.XLOOKUP(E81,Groups!A:A,Groups!N:N)="Insect",BD81*2.5,IFERROR(AVERAGE(BD81,AT81/9.81/IF(OR(_xlfn.XLOOKUP(E81,Groups!A:A,Groups!N:N)="Pig",_xlfn.XLOOKUP(E81,Groups!A:A,Groups!N:N)="StrongBitingHerbivore"),20,25))*C81^-0.135,BD81))</f>
        <v>0.42454951757930193</v>
      </c>
      <c r="BC81" s="8" t="str">
        <f>IF(W81="No","No",IF(_xlfn.XLOOKUP(E81,Groups!A:A,Groups!U:U)=1,'Base stats'!BB81,IF(OR(_xlfn.XLOOKUP(E81,Groups!A:A,Groups!BD:BD)=1,_xlfn.XLOOKUP(E81,Groups!A:A,Groups!U:U)=2),BD81,IF(_xlfn.XLOOKUP(B81,Animals!B:B,Animals!AO:AO)&gt;4,AVERAGE(BD81,BF81),BF81))))</f>
        <v>No</v>
      </c>
      <c r="BD81" s="8">
        <f t="shared" si="39"/>
        <v>0.1455919798225889</v>
      </c>
      <c r="BE81" s="8">
        <f>IF(_xlfn.XLOOKUP(E81,Groups!A:A,Groups!BE:BE)=1,(0.048*C81^1.01)+(0.071*C81^1.03),0.071*C81^1.03)/IF(_xlfn.XLOOKUP(E81,Groups!A:A,Groups!M:M)=1,0.85,IF(OR(_xlfn.XLOOKUP(B81,Animals!B:B,Animals!AO:AO)&gt;4,_xlfn.XLOOKUP(E81,Groups!A:A,Groups!BC:BC)=1),1.7,1))*C81^-0.25</f>
        <v>0.24329708458090576</v>
      </c>
      <c r="BF81" s="8">
        <f>(0.048*C81^1.01)/IF(_xlfn.XLOOKUP(E81,Groups!A:A,Groups!M:M)=1,0.25,0.8)*C81^-0.25</f>
        <v>0.19921175968746196</v>
      </c>
      <c r="BG81" s="8">
        <f>EXP(1.076*LN(AR81)-4.5397)*IF(_xlfn.XLOOKUP(E81,Groups!A:A,Groups!BC:BC)=1,1.25,IF(_xlfn.XLOOKUP(E81,Groups!A:A,Groups!BD:BD)=1,3.5,2.5))</f>
        <v>8.2599295270494526</v>
      </c>
      <c r="BH81" s="8">
        <f>EXP(1.076*LN(AS81)-4.5397)*IF(_xlfn.XLOOKUP(E81,Groups!A:A,Groups!M:M)=1,0.8,IF(_xlfn.XLOOKUP(E81,Groups!A:A,Groups!BC:BC)=1,1.3,3))</f>
        <v>12.316928241337017</v>
      </c>
      <c r="BI81" s="8" t="str">
        <f>IF(W81="No","No",IF(_xlfn.XLOOKUP(E81,Groups!A:A,Groups!U:U)=1,'Base stats'!BJ81,IF(OR(_xlfn.XLOOKUP(E81,Groups!A:A,Groups!BD:BD)=1,_xlfn.XLOOKUP(E81,Groups!A:A,Groups!U:U)=2),BG81,BH81))*1.2)</f>
        <v>No</v>
      </c>
      <c r="BJ81" s="8">
        <f>IFERROR(EXP(1.076*LN(AT81)-4.5397)*IF(_xlfn.XLOOKUP(E81,Groups!A:A,Groups!N:N)="Insect",1,IF(OR(_xlfn.XLOOKUP(E81,Groups!A:A,Groups!N:N)="Pig",_xlfn.XLOOKUP(E81,Groups!A:A,Groups!N:N)="StrongBitingHerbivore"),3.5,3.75)),"No")</f>
        <v>13.401763212933901</v>
      </c>
      <c r="BK81" s="8">
        <f t="shared" si="40"/>
        <v>10</v>
      </c>
      <c r="BL81" s="8">
        <f t="shared" si="41"/>
        <v>10</v>
      </c>
      <c r="BM81" s="8" t="str">
        <f t="shared" si="42"/>
        <v>No</v>
      </c>
      <c r="BN81" s="8">
        <f t="shared" si="43"/>
        <v>7</v>
      </c>
      <c r="BO81" s="8">
        <f t="shared" si="44"/>
        <v>11</v>
      </c>
      <c r="BP81" s="8" t="str" cm="1">
        <f t="array" ref="BP81">IF(AND(_xlfn.XLOOKUP('Base stats'!E81,Groups!A:A,Groups!AD:AD=0),_xlfn.XLOOKUP('Base stats'!E81,Groups!A:A,Groups!P:P=0)),"No",IF(U81="No",AVERAGE(EXP(-0.57+0.99*LN(C81)),EXP(0.32+0.67*LN(C81)))/IF(_xlfn.XLOOKUP(E81,Groups!A:A,Groups!AD:AD)=1,10,2),(0.7354*C81^0.4078)*2/IF(_xlfn.XLOOKUP(E81,Groups!A:A,Groups!BK:BK)=1,1000,100)/IF(_xlfn.XLOOKUP(E81,Groups!A:A,Groups!AJ:AJ)="Photonozoa",3,1)))</f>
        <v>No</v>
      </c>
      <c r="BQ81" s="8" t="str">
        <f>IF(W81="No","No",IF(_xlfn.XLOOKUP(E81,Groups!A:A,Groups!BD:BD)=1,(AO81*5%),EXP(0.7354*LN(C81)^0.4078)*2/IF(_xlfn.XLOOKUP(E81,Groups!A:A,Groups!BL:BL)=1,1000,100)/IF(_xlfn.XLOOKUP(E81,Groups!A:A,Groups!AJ:AJ)="Photonozoa",3,1)))</f>
        <v>No</v>
      </c>
      <c r="BR81" s="8">
        <f>IF(BJ81="No","No",IF(_xlfn.XLOOKUP(E81,Groups!A:A,Groups!BF:BF)=1,(0.0315*C81+2.1825)*2,(0.7354*C81^0.4078)*2)/IF(_xlfn.XLOOKUP(E81,Groups!A:A,Groups!BM:BM)=1,1000,100)/IF(_xlfn.XLOOKUP(E81,Groups!A:A,Groups!AJ:AJ)="Photonozoa",3,1))</f>
        <v>2.8002648061191605E-2</v>
      </c>
      <c r="BS81" s="8">
        <f t="shared" si="45"/>
        <v>5.3327500538132684E-2</v>
      </c>
      <c r="BT81" s="8" t="str">
        <f t="shared" si="46"/>
        <v>No</v>
      </c>
      <c r="BU81" s="8" t="str">
        <f t="shared" si="47"/>
        <v>No</v>
      </c>
      <c r="BV81" s="8">
        <f t="shared" si="48"/>
        <v>478.58913855747721</v>
      </c>
      <c r="BW81" s="4">
        <v>0</v>
      </c>
      <c r="BX81" s="4">
        <v>1</v>
      </c>
    </row>
    <row r="82" spans="1:76" x14ac:dyDescent="0.25">
      <c r="A82" s="26" t="s">
        <v>191</v>
      </c>
      <c r="B82" s="6" t="s">
        <v>245</v>
      </c>
      <c r="C82" s="7">
        <v>19.5</v>
      </c>
      <c r="D82" s="7" t="s">
        <v>928</v>
      </c>
      <c r="E82" s="7" t="str">
        <f>Groups!$A$37</f>
        <v>Mustelid (SCAVENGER)</v>
      </c>
      <c r="F82" s="7">
        <v>35</v>
      </c>
      <c r="G82" s="7">
        <f>710/365</f>
        <v>1.9452054794520548</v>
      </c>
      <c r="H82" s="7">
        <v>19.5</v>
      </c>
      <c r="I82" s="4">
        <v>0</v>
      </c>
      <c r="J82" s="7">
        <v>3</v>
      </c>
      <c r="K82" s="7" t="s">
        <v>566</v>
      </c>
      <c r="L82" s="7">
        <f>MIN(20*C82^0.183,19.9*C82^0.142)</f>
        <v>30.34156594609226</v>
      </c>
      <c r="M82" s="7" t="s">
        <v>626</v>
      </c>
      <c r="N82" s="4">
        <v>0</v>
      </c>
      <c r="O82" s="4">
        <v>0</v>
      </c>
      <c r="P82" s="4">
        <v>0</v>
      </c>
      <c r="Q82" s="4">
        <v>0</v>
      </c>
      <c r="R82" s="4" t="s">
        <v>40</v>
      </c>
      <c r="S82" s="7">
        <f>_xlfn.XLOOKUP(B82,[1]TeethAdjusters!$A:$A,[1]BiteAdjusters!$C:$C,1)</f>
        <v>2.1970451716078339</v>
      </c>
      <c r="T82" s="7">
        <f>_xlfn.XLOOKUP(B82,[1]TeethAdjusters!$A:$A,[1]TeethAdjusters!$B:$B,1)</f>
        <v>1.1999813567066198</v>
      </c>
      <c r="U82" s="7">
        <v>4</v>
      </c>
      <c r="V82" s="7">
        <f>IF(AT82="No","No",IF(_xlfn.XLOOKUP(E82,Groups!A:A,Groups!AM:AM)=1,MROUND(EXP(0.3582*LN(C82)-0.2221)*T82,0.05),IF(_xlfn.XLOOKUP(E82,Groups!A:A,Groups!AM:AM)=2,MROUND(EXP(0.3582*LN(C82)-0.2221)*T82,0.05),"Need a formula")))</f>
        <v>2.8000000000000003</v>
      </c>
      <c r="W82" s="7" t="s">
        <v>45</v>
      </c>
      <c r="X82" s="7" t="s">
        <v>932</v>
      </c>
      <c r="Y82" s="4" t="s">
        <v>56</v>
      </c>
      <c r="Z82" s="4">
        <v>1</v>
      </c>
      <c r="AA82" s="4">
        <v>1</v>
      </c>
      <c r="AB82" s="4">
        <v>0</v>
      </c>
      <c r="AC82" s="4">
        <v>0</v>
      </c>
      <c r="AD82" s="4">
        <v>0</v>
      </c>
      <c r="AE82" s="4" t="s">
        <v>45</v>
      </c>
      <c r="AF82" s="4" t="s">
        <v>45</v>
      </c>
      <c r="AG82" s="49" t="s">
        <v>385</v>
      </c>
      <c r="AH82" s="4" t="s">
        <v>45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4" t="s">
        <v>40</v>
      </c>
      <c r="AO82" s="8">
        <f t="shared" si="34"/>
        <v>7653.2425283064531</v>
      </c>
      <c r="AP82" s="8">
        <f>IFERROR(C82*_xlfn.XLOOKUP(E82,Groups!A:A,Groups!K:K),0.106*C82^0.94)</f>
        <v>2.4326249999999998</v>
      </c>
      <c r="AQ82" s="8">
        <f>AP82*10000/(_xlfn.XLOOKUP(E82,Groups!A:A,Groups!J:J)*AO82)</f>
        <v>2.9161052283282691</v>
      </c>
      <c r="AR82" s="8">
        <f t="shared" si="35"/>
        <v>668.54860340455468</v>
      </c>
      <c r="AS82" s="8">
        <f>IF(_xlfn.XLOOKUP(E82,Groups!A:A,Groups!M:M)=1,EXP(0.7444*LN('Base stats'!C82)+6.5696),EXP(0.7927*LN('Base stats'!C82)+4.28))</f>
        <v>761.01079790211725</v>
      </c>
      <c r="AT82" s="8">
        <f>IF(_xlfn.XLOOKUP(E82,Groups!A:A,Groups!N:N)="No","No",
IF(_xlfn.XLOOKUP(E82,Groups!A:A,Groups!N:N)="Crocodile",EXP(0.8129*LN(C82)+4.6742)*S82,
IF(_xlfn.XLOOKUP(E82,Groups!A:A,Groups!N:N)="Felid",EXP(0.7843*LN(C82)+4.7073)*S82,
IF(_xlfn.XLOOKUP(E82,Groups!A:A,Groups!N:N)="Canid",EXP(0.8367*LN(C82)+4.8763)*S82,
IF(_xlfn.XLOOKUP(E82,Groups!A:A,Groups!N:N)="Pig",EXP(0.3439*LN(C82)+6.8519)*S82,
IF(_xlfn.XLOOKUP(E82,Groups!A:A,Groups!N:N)="Rodent",EXP(0.5625*LN(C82)+4.3006)*S82,
IF(_xlfn.XLOOKUP(E82,Groups!A:A,Groups!N:N)="Primate",EXP(0.7847*LN(C82)+3.4931)*S82,
IF(_xlfn.XLOOKUP(E82,Groups!A:A,Groups!N:N)="MiscCarnivora",EXP(0.7486*LN(C82)+4.2207)*S82,
IF(_xlfn.XLOOKUP(E82,Groups!A:A,Groups!N:N)="Lizard",EXP(0.7733*LN(C82)+5.5303)*S82,
IF(_xlfn.XLOOKUP(E82,Groups!A:A,Groups!N:N)="Snake",50*C82^(2/3)*S82,
IF(_xlfn.XLOOKUP(E82,Groups!A:A,Groups!N:N)="StrongBitingHerbivore",87.1133638856975*C82^(2/3)*S82,
IF(_xlfn.XLOOKUP(E82,Groups!A:A,Groups!N:N)="MiscEctotherms",59.4316884072269*C82^(2/3)*S82,
IF(_xlfn.XLOOKUP(E82,Groups!A:A,Groups!N:N)="StrongBeakBird",0.041*(C82*1000)^1.375*S82,
IF(_xlfn.XLOOKUP(E82,Groups!A:A,Groups!N:N)="Bird",0.118*(C82*1000)^0.692*S82,
IF(_xlfn.XLOOKUP(E82,Groups!A:A,Groups!N:N)="Insect",EXP(0.7444*LN(C82)+6.5696)*S82,
IF(_xlfn.XLOOKUP(E82,Groups!A:A,Groups!N:N)="Theropod",EXP(0.6966*LN(C82)+4.158)*S82,
"No"))))))))))))))))</f>
        <v>1382.2468726417935</v>
      </c>
      <c r="AU82" s="8">
        <f>IF(_xlfn.XLOOKUP(E82,Groups!A:A,Groups!U:U)=3,AS82,IF(_xlfn.XLOOKUP(E82,Groups!A:A,Groups!U:U)=2,AR82,AT82))</f>
        <v>1382.2468726417935</v>
      </c>
      <c r="AV82" s="46">
        <f>IFERROR(AVERAGE(_xlfn.XLOOKUP(B82,Animals!B:B,Animals!N:N),_xlfn.XLOOKUP(B82,Animals!B:B,Animals!O:O)),0)</f>
        <v>0</v>
      </c>
      <c r="AW82" s="8">
        <f>MROUND(40*Animals!AO82*_xlfn.XLOOKUP(AG82,Leathers!$A$2:$A$99,Leathers!$B$2:$B$99,0)+(140*_xlfn.XLOOKUP(B82,Animals!B:B,Animals!AO:AO)*2),5)</f>
        <v>195</v>
      </c>
      <c r="AX82" s="8">
        <f>IFERROR(ROUND(SQRT(V82-1)*IF(_xlfn.XLOOKUP(E82,Groups!A:A,Groups!BF:BF)=0,2,1)*IF(_xlfn.XLOOKUP('Base stats'!E82,Groups!A:A,Groups!O:O)=0,1,0.1),1),0)</f>
        <v>2.7</v>
      </c>
      <c r="AY82" s="8">
        <f t="shared" si="36"/>
        <v>1.7</v>
      </c>
      <c r="AZ82" s="8">
        <f t="shared" si="37"/>
        <v>0</v>
      </c>
      <c r="BA82" s="8">
        <f t="shared" si="38"/>
        <v>2.2999999999999998</v>
      </c>
      <c r="BB82" s="8">
        <f>IF(_xlfn.XLOOKUP(E82,Groups!A:A,Groups!N:N)="Insect",BD82*2.5,IFERROR(AVERAGE(BD82,AT82/9.81/IF(OR(_xlfn.XLOOKUP(E82,Groups!A:A,Groups!N:N)="Pig",_xlfn.XLOOKUP(E82,Groups!A:A,Groups!N:N)="StrongBitingHerbivore"),20,25))*C82^-0.135,BD82))</f>
        <v>2.0420115594351516</v>
      </c>
      <c r="BC82" s="8" t="str">
        <f>IF(W82="No","No",IF(_xlfn.XLOOKUP(E82,Groups!A:A,Groups!U:U)=1,'Base stats'!BB82,IF(OR(_xlfn.XLOOKUP(E82,Groups!A:A,Groups!BD:BD)=1,_xlfn.XLOOKUP(E82,Groups!A:A,Groups!U:U)=2),BD82,IF(_xlfn.XLOOKUP(B82,Animals!B:B,Animals!AO:AO)&gt;4,AVERAGE(BD82,BF82),BF82))))</f>
        <v>No</v>
      </c>
      <c r="BD82" s="8">
        <f t="shared" si="39"/>
        <v>0.4627056781836914</v>
      </c>
      <c r="BE82" s="8">
        <f>IF(_xlfn.XLOOKUP(E82,Groups!A:A,Groups!BE:BE)=1,(0.048*C82^1.01)+(0.071*C82^1.03),0.071*C82^1.03)/IF(_xlfn.XLOOKUP(E82,Groups!A:A,Groups!M:M)=1,0.85,IF(OR(_xlfn.XLOOKUP(B82,Animals!B:B,Animals!AO:AO)&gt;4,_xlfn.XLOOKUP(E82,Groups!A:A,Groups!BC:BC)=1),1.7,1))*C82^-0.25</f>
        <v>0.7202534472839569</v>
      </c>
      <c r="BF82" s="8">
        <f>(0.048*C82^1.01)/IF(_xlfn.XLOOKUP(E82,Groups!A:A,Groups!M:M)=1,0.25,0.8)*C82^-0.25</f>
        <v>0.5735582817362489</v>
      </c>
      <c r="BG82" s="8">
        <f>EXP(1.076*LN(AR82)-4.5397)*IF(_xlfn.XLOOKUP(E82,Groups!A:A,Groups!BC:BC)=1,1.25,IF(_xlfn.XLOOKUP(E82,Groups!A:A,Groups!BD:BD)=1,3.5,2.5))</f>
        <v>29.256100688292047</v>
      </c>
      <c r="BH82" s="8">
        <f>EXP(1.076*LN(AS82)-4.5397)*IF(_xlfn.XLOOKUP(E82,Groups!A:A,Groups!M:M)=1,0.8,IF(_xlfn.XLOOKUP(E82,Groups!A:A,Groups!BC:BC)=1,1.3,3))</f>
        <v>40.358137574306554</v>
      </c>
      <c r="BI82" s="8" t="str">
        <f>IF(W82="No","No",IF(_xlfn.XLOOKUP(E82,Groups!A:A,Groups!U:U)=1,'Base stats'!BJ82,IF(OR(_xlfn.XLOOKUP(E82,Groups!A:A,Groups!BD:BD)=1,_xlfn.XLOOKUP(E82,Groups!A:A,Groups!U:U)=2),BG82,BH82))*1.2)</f>
        <v>No</v>
      </c>
      <c r="BJ82" s="8">
        <f>IFERROR(EXP(1.076*LN(AT82)-4.5397)*IF(_xlfn.XLOOKUP(E82,Groups!A:A,Groups!N:N)="Insect",1,IF(OR(_xlfn.XLOOKUP(E82,Groups!A:A,Groups!N:N)="Pig",_xlfn.XLOOKUP(E82,Groups!A:A,Groups!N:N)="StrongBitingHerbivore"),3.5,3.75)),"No")</f>
        <v>95.881480441229712</v>
      </c>
      <c r="BK82" s="8">
        <f t="shared" si="40"/>
        <v>11</v>
      </c>
      <c r="BL82" s="8">
        <f t="shared" si="41"/>
        <v>10</v>
      </c>
      <c r="BM82" s="8" t="str">
        <f t="shared" si="42"/>
        <v>No</v>
      </c>
      <c r="BN82" s="8">
        <f t="shared" si="43"/>
        <v>9</v>
      </c>
      <c r="BO82" s="8">
        <f t="shared" si="44"/>
        <v>11</v>
      </c>
      <c r="BP82" s="8" cm="1">
        <f t="array" ref="BP82">IF(AND(_xlfn.XLOOKUP('Base stats'!E82,Groups!A:A,Groups!AD:AD=0),_xlfn.XLOOKUP('Base stats'!E82,Groups!A:A,Groups!P:P=0)),"No",IF(U82="No",AVERAGE(EXP(-0.57+0.99*LN(C82)),EXP(0.32+0.67*LN(C82)))/IF(_xlfn.XLOOKUP(E82,Groups!A:A,Groups!AD:AD)=1,10,2),(0.7354*C82^0.4078)*2/IF(_xlfn.XLOOKUP(E82,Groups!A:A,Groups!BK:BK)=1,1000,100)/IF(_xlfn.XLOOKUP(E82,Groups!A:A,Groups!AJ:AJ)="Photonozoa",3,1)))</f>
        <v>4.9388943457744701E-2</v>
      </c>
      <c r="BQ82" s="8" t="str">
        <f>IF(W82="No","No",IF(_xlfn.XLOOKUP(E82,Groups!A:A,Groups!BD:BD)=1,(AO82*5%),EXP(0.7354*LN(C82)^0.4078)*2/IF(_xlfn.XLOOKUP(E82,Groups!A:A,Groups!BL:BL)=1,1000,100)/IF(_xlfn.XLOOKUP(E82,Groups!A:A,Groups!AJ:AJ)="Photonozoa",3,1)))</f>
        <v>No</v>
      </c>
      <c r="BR82" s="8">
        <f>IF(BJ82="No","No",IF(_xlfn.XLOOKUP(E82,Groups!A:A,Groups!BF:BF)=1,(0.0315*C82+2.1825)*2,(0.7354*C82^0.4078)*2)/IF(_xlfn.XLOOKUP(E82,Groups!A:A,Groups!BM:BM)=1,1000,100)/IF(_xlfn.XLOOKUP(E82,Groups!A:A,Groups!AJ:AJ)="Photonozoa",3,1))</f>
        <v>4.9388943457744701E-2</v>
      </c>
      <c r="BS82" s="8">
        <f t="shared" si="45"/>
        <v>7.6454131905750483E-2</v>
      </c>
      <c r="BT82" s="8">
        <f t="shared" si="46"/>
        <v>817.14923925909534</v>
      </c>
      <c r="BU82" s="8" t="str">
        <f t="shared" si="47"/>
        <v>No</v>
      </c>
      <c r="BV82" s="8">
        <f t="shared" si="48"/>
        <v>1941.3551643043802</v>
      </c>
      <c r="BW82" s="4">
        <v>0</v>
      </c>
      <c r="BX82" s="4">
        <v>1</v>
      </c>
    </row>
    <row r="83" spans="1:76" x14ac:dyDescent="0.25">
      <c r="A83" s="26" t="s">
        <v>192</v>
      </c>
      <c r="B83" s="6" t="s">
        <v>281</v>
      </c>
      <c r="C83" s="7">
        <v>0.94499999999999995</v>
      </c>
      <c r="D83" s="7" t="s">
        <v>928</v>
      </c>
      <c r="E83" s="7" t="str">
        <f>Groups!$A$35</f>
        <v>Mustelid (NON-AQUATIC PISCIVORE)</v>
      </c>
      <c r="F83" s="7">
        <v>42</v>
      </c>
      <c r="G83" s="7">
        <f>334/365</f>
        <v>0.91506849315068495</v>
      </c>
      <c r="H83" s="7">
        <v>11.4</v>
      </c>
      <c r="I83" s="4">
        <v>0</v>
      </c>
      <c r="J83" s="7">
        <v>4.5</v>
      </c>
      <c r="K83" s="7" t="s">
        <v>579</v>
      </c>
      <c r="L83" s="7">
        <f>MIN(20*C83^0.183,19.9*C83^0.142)</f>
        <v>19.740783847805943</v>
      </c>
      <c r="M83" s="7" t="s">
        <v>626</v>
      </c>
      <c r="N83" s="4">
        <v>0</v>
      </c>
      <c r="O83" s="4">
        <v>0</v>
      </c>
      <c r="P83" s="4">
        <v>0</v>
      </c>
      <c r="Q83" s="4">
        <v>0</v>
      </c>
      <c r="R83" s="4" t="s">
        <v>40</v>
      </c>
      <c r="S83" s="7">
        <f>_xlfn.XLOOKUP(B83,[1]TeethAdjusters!$A:$A,[1]BiteAdjusters!$C:$C,1)</f>
        <v>1.1315200874177178</v>
      </c>
      <c r="T83" s="7">
        <f>_xlfn.XLOOKUP(B83,[1]TeethAdjusters!$A:$A,[1]TeethAdjusters!$B:$B,1)</f>
        <v>1.2697912324530132</v>
      </c>
      <c r="U83" s="7">
        <v>1</v>
      </c>
      <c r="V83" s="7">
        <f>IF(AT83="No","No",IF(_xlfn.XLOOKUP(E83,Groups!A:A,Groups!AM:AM)=1,MROUND(EXP(0.3582*LN(C83)-0.2221)*T83,0.05),IF(_xlfn.XLOOKUP(E83,Groups!A:A,Groups!AM:AM)=2,MROUND(EXP(0.3582*LN(C83)-0.2221)*T83,0.05),"Need a formula")))</f>
        <v>1</v>
      </c>
      <c r="W83" s="7" t="s">
        <v>45</v>
      </c>
      <c r="X83" s="7" t="s">
        <v>932</v>
      </c>
      <c r="Y83" s="4" t="s">
        <v>56</v>
      </c>
      <c r="Z83" s="4">
        <v>1</v>
      </c>
      <c r="AA83" s="4">
        <v>1</v>
      </c>
      <c r="AB83" s="4">
        <v>0</v>
      </c>
      <c r="AC83" s="4">
        <v>0</v>
      </c>
      <c r="AD83" s="4">
        <v>0</v>
      </c>
      <c r="AE83" s="4" t="s">
        <v>45</v>
      </c>
      <c r="AF83" s="4" t="s">
        <v>45</v>
      </c>
      <c r="AG83" s="49" t="s">
        <v>388</v>
      </c>
      <c r="AH83" s="4" t="s">
        <v>45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4" t="s">
        <v>40</v>
      </c>
      <c r="AO83" s="8">
        <f t="shared" si="34"/>
        <v>1069.9257856436234</v>
      </c>
      <c r="AP83" s="8">
        <f>IFERROR(C83*_xlfn.XLOOKUP(E83,Groups!A:A,Groups!K:K),0.106*C83^0.94)</f>
        <v>0.11788875</v>
      </c>
      <c r="AQ83" s="8">
        <f>AP83*10000/(_xlfn.XLOOKUP(E83,Groups!A:A,Groups!J:J)*AO83)</f>
        <v>1.0108627903448459</v>
      </c>
      <c r="AR83" s="8">
        <f t="shared" si="35"/>
        <v>51.842746143999378</v>
      </c>
      <c r="AS83" s="8">
        <f>IF(_xlfn.XLOOKUP(E83,Groups!A:A,Groups!M:M)=1,EXP(0.7444*LN('Base stats'!C83)+6.5696),EXP(0.7927*LN('Base stats'!C83)+4.28))</f>
        <v>69.072500329128502</v>
      </c>
      <c r="AT83" s="8">
        <f>IF(_xlfn.XLOOKUP(E83,Groups!A:A,Groups!N:N)="No","No",
IF(_xlfn.XLOOKUP(E83,Groups!A:A,Groups!N:N)="Crocodile",EXP(0.8129*LN(C83)+4.6742)*S83,
IF(_xlfn.XLOOKUP(E83,Groups!A:A,Groups!N:N)="Felid",EXP(0.7843*LN(C83)+4.7073)*S83,
IF(_xlfn.XLOOKUP(E83,Groups!A:A,Groups!N:N)="Canid",EXP(0.8367*LN(C83)+4.8763)*S83,
IF(_xlfn.XLOOKUP(E83,Groups!A:A,Groups!N:N)="Pig",EXP(0.3439*LN(C83)+6.8519)*S83,
IF(_xlfn.XLOOKUP(E83,Groups!A:A,Groups!N:N)="Rodent",EXP(0.5625*LN(C83)+4.3006)*S83,
IF(_xlfn.XLOOKUP(E83,Groups!A:A,Groups!N:N)="Primate",EXP(0.7847*LN(C83)+3.4931)*S83,
IF(_xlfn.XLOOKUP(E83,Groups!A:A,Groups!N:N)="MiscCarnivora",EXP(0.7486*LN(C83)+4.2207)*S83,
IF(_xlfn.XLOOKUP(E83,Groups!A:A,Groups!N:N)="Lizard",EXP(0.7733*LN(C83)+5.5303)*S83,
IF(_xlfn.XLOOKUP(E83,Groups!A:A,Groups!N:N)="Snake",50*C83^(2/3)*S83,
IF(_xlfn.XLOOKUP(E83,Groups!A:A,Groups!N:N)="StrongBitingHerbivore",87.1133638856975*C83^(2/3)*S83,
IF(_xlfn.XLOOKUP(E83,Groups!A:A,Groups!N:N)="MiscEctotherms",59.4316884072269*C83^(2/3)*S83,
IF(_xlfn.XLOOKUP(E83,Groups!A:A,Groups!N:N)="StrongBeakBird",0.041*(C83*1000)^1.375*S83,
IF(_xlfn.XLOOKUP(E83,Groups!A:A,Groups!N:N)="Bird",0.118*(C83*1000)^0.692*S83,
IF(_xlfn.XLOOKUP(E83,Groups!A:A,Groups!N:N)="Insect",EXP(0.7444*LN(C83)+6.5696)*S83,
IF(_xlfn.XLOOKUP(E83,Groups!A:A,Groups!N:N)="Theropod",EXP(0.6966*LN(C83)+4.158)*S83,
"No"))))))))))))))))</f>
        <v>73.840943941527698</v>
      </c>
      <c r="AU83" s="8">
        <f>IF(_xlfn.XLOOKUP(E83,Groups!A:A,Groups!U:U)=3,AS83,IF(_xlfn.XLOOKUP(E83,Groups!A:A,Groups!U:U)=2,AR83,AT83))</f>
        <v>73.840943941527698</v>
      </c>
      <c r="AV83" s="46">
        <f>IFERROR(AVERAGE(_xlfn.XLOOKUP(B83,Animals!B:B,Animals!N:N),_xlfn.XLOOKUP(B83,Animals!B:B,Animals!O:O)),0)</f>
        <v>0</v>
      </c>
      <c r="AW83" s="8">
        <f>MROUND(40*Animals!AO83*_xlfn.XLOOKUP(AG83,Leathers!$A$2:$A$99,Leathers!$B$2:$B$99,0)+(140*_xlfn.XLOOKUP(B83,Animals!B:B,Animals!AO:AO)*2),5)</f>
        <v>75</v>
      </c>
      <c r="AX83" s="8">
        <f>IFERROR(ROUND(SQRT(V83-1)*IF(_xlfn.XLOOKUP(E83,Groups!A:A,Groups!BF:BF)=0,2,1)*IF(_xlfn.XLOOKUP('Base stats'!E83,Groups!A:A,Groups!O:O)=0,1,0.1),1),0)</f>
        <v>0</v>
      </c>
      <c r="AY83" s="8">
        <f t="shared" si="36"/>
        <v>0</v>
      </c>
      <c r="AZ83" s="8">
        <f t="shared" si="37"/>
        <v>0</v>
      </c>
      <c r="BA83" s="8">
        <f t="shared" si="38"/>
        <v>0.6</v>
      </c>
      <c r="BB83" s="8">
        <f>IF(_xlfn.XLOOKUP(E83,Groups!A:A,Groups!N:N)="Insect",BD83*2.5,IFERROR(AVERAGE(BD83,AT83/9.81/IF(OR(_xlfn.XLOOKUP(E83,Groups!A:A,Groups!N:N)="Pig",_xlfn.XLOOKUP(E83,Groups!A:A,Groups!N:N)="StrongBitingHerbivore"),20,25))*C83^-0.135,BD83))</f>
        <v>0.17053956579837354</v>
      </c>
      <c r="BC83" s="8" t="str">
        <f>IF(W83="No","No",IF(_xlfn.XLOOKUP(E83,Groups!A:A,Groups!U:U)=1,'Base stats'!BB83,IF(OR(_xlfn.XLOOKUP(E83,Groups!A:A,Groups!BD:BD)=1,_xlfn.XLOOKUP(E83,Groups!A:A,Groups!U:U)=2),BD83,IF(_xlfn.XLOOKUP(B83,Animals!B:B,Animals!AO:AO)&gt;4,AVERAGE(BD83,BF83),BF83))))</f>
        <v>No</v>
      </c>
      <c r="BD83" s="8">
        <f t="shared" si="39"/>
        <v>3.7399853403098704E-2</v>
      </c>
      <c r="BE83" s="8">
        <f>IF(_xlfn.XLOOKUP(E83,Groups!A:A,Groups!BE:BE)=1,(0.048*C83^1.01)+(0.071*C83^1.03),0.071*C83^1.03)/IF(_xlfn.XLOOKUP(E83,Groups!A:A,Groups!M:M)=1,0.85,IF(OR(_xlfn.XLOOKUP(B83,Animals!B:B,Animals!AO:AO)&gt;4,_xlfn.XLOOKUP(E83,Groups!A:A,Groups!BC:BC)=1),1.7,1))*C83^-0.25</f>
        <v>6.7935247093908607E-2</v>
      </c>
      <c r="BF83" s="8">
        <f>(0.048*C83^1.01)/IF(_xlfn.XLOOKUP(E83,Groups!A:A,Groups!M:M)=1,0.25,0.8)*C83^-0.25</f>
        <v>5.7475058879815466E-2</v>
      </c>
      <c r="BG83" s="8">
        <f>EXP(1.076*LN(AR83)-4.5397)*IF(_xlfn.XLOOKUP(E83,Groups!A:A,Groups!BC:BC)=1,1.25,IF(_xlfn.XLOOKUP(E83,Groups!A:A,Groups!BD:BD)=1,3.5,2.5))</f>
        <v>1.8680032839406988</v>
      </c>
      <c r="BH83" s="8">
        <f>EXP(1.076*LN(AS83)-4.5397)*IF(_xlfn.XLOOKUP(E83,Groups!A:A,Groups!M:M)=1,0.8,IF(_xlfn.XLOOKUP(E83,Groups!A:A,Groups!BC:BC)=1,1.3,3))</f>
        <v>3.0524388037913885</v>
      </c>
      <c r="BI83" s="8" t="str">
        <f>IF(W83="No","No",IF(_xlfn.XLOOKUP(E83,Groups!A:A,Groups!U:U)=1,'Base stats'!BJ83,IF(OR(_xlfn.XLOOKUP(E83,Groups!A:A,Groups!BD:BD)=1,_xlfn.XLOOKUP(E83,Groups!A:A,Groups!U:U)=2),BG83,BH83))*1.2)</f>
        <v>No</v>
      </c>
      <c r="BJ83" s="8">
        <f>IFERROR(EXP(1.076*LN(AT83)-4.5397)*IF(_xlfn.XLOOKUP(E83,Groups!A:A,Groups!N:N)="Insect",1,IF(OR(_xlfn.XLOOKUP(E83,Groups!A:A,Groups!N:N)="Pig",_xlfn.XLOOKUP(E83,Groups!A:A,Groups!N:N)="StrongBitingHerbivore"),3.5,3.75)),"No")</f>
        <v>4.0997034019459191</v>
      </c>
      <c r="BK83" s="8">
        <f t="shared" si="40"/>
        <v>9</v>
      </c>
      <c r="BL83" s="8">
        <f t="shared" si="41"/>
        <v>9</v>
      </c>
      <c r="BM83" s="8" t="str">
        <f t="shared" si="42"/>
        <v>No</v>
      </c>
      <c r="BN83" s="8">
        <f t="shared" si="43"/>
        <v>6</v>
      </c>
      <c r="BO83" s="8">
        <f t="shared" si="44"/>
        <v>10</v>
      </c>
      <c r="BP83" s="8" cm="1">
        <f t="array" ref="BP83">IF(AND(_xlfn.XLOOKUP('Base stats'!E83,Groups!A:A,Groups!AD:AD=0),_xlfn.XLOOKUP('Base stats'!E83,Groups!A:A,Groups!P:P=0)),"No",IF(U83="No",AVERAGE(EXP(-0.57+0.99*LN(C83)),EXP(0.32+0.67*LN(C83)))/IF(_xlfn.XLOOKUP(E83,Groups!A:A,Groups!AD:AD)=1,10,2),(0.7354*C83^0.4078)*2/IF(_xlfn.XLOOKUP(E83,Groups!A:A,Groups!BK:BK)=1,1000,100)/IF(_xlfn.XLOOKUP(E83,Groups!A:A,Groups!AJ:AJ)="Photonozoa",3,1)))</f>
        <v>1.4372579272989176E-2</v>
      </c>
      <c r="BQ83" s="8" t="str">
        <f>IF(W83="No","No",IF(_xlfn.XLOOKUP(E83,Groups!A:A,Groups!BD:BD)=1,(AO83*5%),EXP(0.7354*LN(C83)^0.4078)*2/IF(_xlfn.XLOOKUP(E83,Groups!A:A,Groups!BL:BL)=1,1000,100)/IF(_xlfn.XLOOKUP(E83,Groups!A:A,Groups!AJ:AJ)="Photonozoa",3,1)))</f>
        <v>No</v>
      </c>
      <c r="BR83" s="8">
        <f>IF(BJ83="No","No",IF(_xlfn.XLOOKUP(E83,Groups!A:A,Groups!BF:BF)=1,(0.0315*C83+2.1825)*2,(0.7354*C83^0.4078)*2)/IF(_xlfn.XLOOKUP(E83,Groups!A:A,Groups!BM:BM)=1,1000,100)/IF(_xlfn.XLOOKUP(E83,Groups!A:A,Groups!AJ:AJ)="Photonozoa",3,1))</f>
        <v>1.4372579272989176E-2</v>
      </c>
      <c r="BS83" s="8">
        <f t="shared" si="45"/>
        <v>3.491837114322812E-2</v>
      </c>
      <c r="BT83" s="8">
        <f t="shared" si="46"/>
        <v>212.37933329948154</v>
      </c>
      <c r="BU83" s="8" t="str">
        <f t="shared" si="47"/>
        <v>No</v>
      </c>
      <c r="BV83" s="8">
        <f t="shared" si="48"/>
        <v>285.24479316322964</v>
      </c>
      <c r="BW83" s="4">
        <v>0</v>
      </c>
      <c r="BX83" s="4">
        <v>1</v>
      </c>
    </row>
    <row r="84" spans="1:76" x14ac:dyDescent="0.25">
      <c r="A84" s="26" t="s">
        <v>103</v>
      </c>
      <c r="B84" s="6" t="s">
        <v>104</v>
      </c>
      <c r="C84" s="7">
        <v>13</v>
      </c>
      <c r="D84" s="7" t="s">
        <v>567</v>
      </c>
      <c r="E84" s="7" t="str">
        <f>Groups!$A$38</f>
        <v>Mustelid</v>
      </c>
      <c r="F84" s="7">
        <v>49</v>
      </c>
      <c r="G84" s="7">
        <f>365/365</f>
        <v>1</v>
      </c>
      <c r="H84" s="7">
        <v>18.600000000000001</v>
      </c>
      <c r="I84" s="4">
        <v>0</v>
      </c>
      <c r="J84" s="7">
        <v>3</v>
      </c>
      <c r="K84" s="7" t="s">
        <v>567</v>
      </c>
      <c r="L84" s="7">
        <f>MIN(20*C84^0.183,19.9*C84^0.142)</f>
        <v>28.643958275612917</v>
      </c>
      <c r="M84" s="7" t="s">
        <v>626</v>
      </c>
      <c r="N84" s="4">
        <v>0</v>
      </c>
      <c r="O84" s="4">
        <v>0</v>
      </c>
      <c r="P84" s="4">
        <v>0</v>
      </c>
      <c r="Q84" s="4">
        <v>0</v>
      </c>
      <c r="R84" s="4" t="s">
        <v>40</v>
      </c>
      <c r="S84" s="7">
        <f>_xlfn.XLOOKUP(B84,[1]TeethAdjusters!$A:$A,[1]BiteAdjusters!$C:$C,1)</f>
        <v>1</v>
      </c>
      <c r="T84" s="7">
        <f>_xlfn.XLOOKUP(B84,[1]TeethAdjusters!$A:$A,[1]TeethAdjusters!$B:$B,1)</f>
        <v>0.99946268287890638</v>
      </c>
      <c r="U84" s="7">
        <f>MROUND(AVERAGE(3.81,3.175),0.05)</f>
        <v>3.5</v>
      </c>
      <c r="V84" s="7">
        <f>IF(AT84="No","No",IF(_xlfn.XLOOKUP(E84,Groups!A:A,Groups!AM:AM)=1,MROUND(EXP(0.3582*LN(C84)-0.2221)*T84,0.05),IF(_xlfn.XLOOKUP(E84,Groups!A:A,Groups!AM:AM)=2,MROUND(EXP(0.3582*LN(C84)-0.2221)*T84,0.05),"Need a formula")))</f>
        <v>2</v>
      </c>
      <c r="W84" s="7" t="s">
        <v>45</v>
      </c>
      <c r="X84" s="7" t="s">
        <v>932</v>
      </c>
      <c r="Y84" s="4" t="s">
        <v>1003</v>
      </c>
      <c r="Z84" s="4">
        <v>1</v>
      </c>
      <c r="AA84" s="4">
        <v>0</v>
      </c>
      <c r="AB84" s="4">
        <v>0</v>
      </c>
      <c r="AC84" s="4">
        <v>0</v>
      </c>
      <c r="AD84" s="4">
        <v>0</v>
      </c>
      <c r="AE84" s="4" t="s">
        <v>45</v>
      </c>
      <c r="AF84" s="4" t="s">
        <v>45</v>
      </c>
      <c r="AG84" s="49" t="s">
        <v>385</v>
      </c>
      <c r="AH84" s="4" t="s">
        <v>45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4" t="s">
        <v>40</v>
      </c>
      <c r="AO84" s="8">
        <f t="shared" si="34"/>
        <v>5880.1195755064182</v>
      </c>
      <c r="AP84" s="8">
        <f>IFERROR(C84*_xlfn.XLOOKUP(E84,Groups!A:A,Groups!K:K),0.106*C84^0.94)</f>
        <v>1.62175</v>
      </c>
      <c r="AQ84" s="8">
        <f>AP84*10000/(_xlfn.XLOOKUP(E84,Groups!A:A,Groups!J:J)*AO84)</f>
        <v>2.5302955451702847</v>
      </c>
      <c r="AR84" s="8">
        <f t="shared" si="35"/>
        <v>474.66662819206232</v>
      </c>
      <c r="AS84" s="8">
        <f>IF(_xlfn.XLOOKUP(E84,Groups!A:A,Groups!M:M)=1,EXP(0.7444*LN('Base stats'!C84)+6.5696),EXP(0.7927*LN('Base stats'!C84)+4.28))</f>
        <v>551.82742176243494</v>
      </c>
      <c r="AT84" s="8">
        <f>IF(_xlfn.XLOOKUP(E84,Groups!A:A,Groups!N:N)="No","No",
IF(_xlfn.XLOOKUP(E84,Groups!A:A,Groups!N:N)="Crocodile",EXP(0.8129*LN(C84)+4.6742)*S84,
IF(_xlfn.XLOOKUP(E84,Groups!A:A,Groups!N:N)="Felid",EXP(0.7843*LN(C84)+4.7073)*S84,
IF(_xlfn.XLOOKUP(E84,Groups!A:A,Groups!N:N)="Canid",EXP(0.8367*LN(C84)+4.8763)*S84,
IF(_xlfn.XLOOKUP(E84,Groups!A:A,Groups!N:N)="Pig",EXP(0.3439*LN(C84)+6.8519)*S84,
IF(_xlfn.XLOOKUP(E84,Groups!A:A,Groups!N:N)="Rodent",EXP(0.5625*LN(C84)+4.3006)*S84,
IF(_xlfn.XLOOKUP(E84,Groups!A:A,Groups!N:N)="Primate",EXP(0.7847*LN(C84)+3.4931)*S84,
IF(_xlfn.XLOOKUP(E84,Groups!A:A,Groups!N:N)="MiscCarnivora",EXP(0.7486*LN(C84)+4.2207)*S84,
IF(_xlfn.XLOOKUP(E84,Groups!A:A,Groups!N:N)="Lizard",EXP(0.7733*LN(C84)+5.5303)*S84,
IF(_xlfn.XLOOKUP(E84,Groups!A:A,Groups!N:N)="Snake",50*C84^(2/3)*S84,
IF(_xlfn.XLOOKUP(E84,Groups!A:A,Groups!N:N)="StrongBitingHerbivore",87.1133638856975*C84^(2/3)*S84,
IF(_xlfn.XLOOKUP(E84,Groups!A:A,Groups!N:N)="MiscEctotherms",59.4316884072269*C84^(2/3)*S84,
IF(_xlfn.XLOOKUP(E84,Groups!A:A,Groups!N:N)="StrongBeakBird",0.041*(C84*1000)^1.375*S84,
IF(_xlfn.XLOOKUP(E84,Groups!A:A,Groups!N:N)="Bird",0.118*(C84*1000)^0.692*S84,
IF(_xlfn.XLOOKUP(E84,Groups!A:A,Groups!N:N)="Insect",EXP(0.7444*LN(C84)+6.5696)*S84,
IF(_xlfn.XLOOKUP(E84,Groups!A:A,Groups!N:N)="Theropod",EXP(0.6966*LN(C84)+4.158)*S84,
"No"))))))))))))))))</f>
        <v>464.43475661202478</v>
      </c>
      <c r="AU84" s="8">
        <f>IF(_xlfn.XLOOKUP(E84,Groups!A:A,Groups!U:U)=3,AS84,IF(_xlfn.XLOOKUP(E84,Groups!A:A,Groups!U:U)=2,AR84,AT84))</f>
        <v>464.43475661202478</v>
      </c>
      <c r="AV84" s="46">
        <f>IFERROR(AVERAGE(_xlfn.XLOOKUP(B84,Animals!B:B,Animals!N:N),_xlfn.XLOOKUP(B84,Animals!B:B,Animals!O:O)),0)</f>
        <v>0</v>
      </c>
      <c r="AW84" s="8">
        <f>MROUND(40*Animals!AO84*_xlfn.XLOOKUP(AG84,Leathers!$A$2:$A$99,Leathers!$B$2:$B$99,0)+(140*_xlfn.XLOOKUP(B84,Animals!B:B,Animals!AO:AO)*2),5)</f>
        <v>160</v>
      </c>
      <c r="AX84" s="8">
        <f>IFERROR(ROUND(SQRT(V84-1)*IF(_xlfn.XLOOKUP(E84,Groups!A:A,Groups!BF:BF)=0,2,1)*IF(_xlfn.XLOOKUP('Base stats'!E84,Groups!A:A,Groups!O:O)=0,1,0.1),1),0)</f>
        <v>2</v>
      </c>
      <c r="AY84" s="8">
        <f t="shared" si="36"/>
        <v>1.6</v>
      </c>
      <c r="AZ84" s="8">
        <f t="shared" si="37"/>
        <v>0</v>
      </c>
      <c r="BA84" s="8">
        <f t="shared" si="38"/>
        <v>1.9</v>
      </c>
      <c r="BB84" s="8">
        <f>IF(_xlfn.XLOOKUP(E84,Groups!A:A,Groups!N:N)="Insect",BD84*2.5,IFERROR(AVERAGE(BD84,AT84/9.81/IF(OR(_xlfn.XLOOKUP(E84,Groups!A:A,Groups!N:N)="Pig",_xlfn.XLOOKUP(E84,Groups!A:A,Groups!N:N)="StrongBitingHerbivore"),20,25))*C84^-0.135,BD84))</f>
        <v>0.76562856738155183</v>
      </c>
      <c r="BC84" s="8" t="str">
        <f>IF(W84="No","No",IF(_xlfn.XLOOKUP(E84,Groups!A:A,Groups!U:U)=1,'Base stats'!BB84,IF(OR(_xlfn.XLOOKUP(E84,Groups!A:A,Groups!BD:BD)=1,_xlfn.XLOOKUP(E84,Groups!A:A,Groups!U:U)=2),BD84,IF(_xlfn.XLOOKUP(B84,Animals!B:B,Animals!AO:AO)&gt;4,AVERAGE(BD84,BF84),BF84))))</f>
        <v>No</v>
      </c>
      <c r="BD84" s="8">
        <f t="shared" si="39"/>
        <v>0.27114359796251353</v>
      </c>
      <c r="BE84" s="8">
        <f>IF(_xlfn.XLOOKUP(E84,Groups!A:A,Groups!BE:BE)=1,(0.048*C84^1.01)+(0.071*C84^1.03),0.071*C84^1.03)/IF(_xlfn.XLOOKUP(E84,Groups!A:A,Groups!M:M)=1,0.85,IF(OR(_xlfn.XLOOKUP(B84,Animals!B:B,Animals!AO:AO)&gt;4,_xlfn.XLOOKUP(E84,Groups!A:A,Groups!BC:BC)=1),1.7,1))*C84^-0.25</f>
        <v>0.52496961034617473</v>
      </c>
      <c r="BF84" s="8">
        <f>(0.048*C84^1.01)/IF(_xlfn.XLOOKUP(E84,Groups!A:A,Groups!M:M)=1,0.25,0.8)*C84^-0.25</f>
        <v>0.42145207667865642</v>
      </c>
      <c r="BG84" s="8">
        <f>EXP(1.076*LN(AR84)-4.5397)*IF(_xlfn.XLOOKUP(E84,Groups!A:A,Groups!BC:BC)=1,1.25,IF(_xlfn.XLOOKUP(E84,Groups!A:A,Groups!BD:BD)=1,3.5,2.5))</f>
        <v>20.237999913081378</v>
      </c>
      <c r="BH84" s="8">
        <f>EXP(1.076*LN(AS84)-4.5397)*IF(_xlfn.XLOOKUP(E84,Groups!A:A,Groups!M:M)=1,0.8,IF(_xlfn.XLOOKUP(E84,Groups!A:A,Groups!BC:BC)=1,1.3,3))</f>
        <v>28.55846905043661</v>
      </c>
      <c r="BI84" s="8" t="str">
        <f>IF(W84="No","No",IF(_xlfn.XLOOKUP(E84,Groups!A:A,Groups!U:U)=1,'Base stats'!BJ84,IF(OR(_xlfn.XLOOKUP(E84,Groups!A:A,Groups!BD:BD)=1,_xlfn.XLOOKUP(E84,Groups!A:A,Groups!U:U)=2),BG84,BH84))*1.2)</f>
        <v>No</v>
      </c>
      <c r="BJ84" s="8">
        <f>IFERROR(EXP(1.076*LN(AT84)-4.5397)*IF(_xlfn.XLOOKUP(E84,Groups!A:A,Groups!N:N)="Insect",1,IF(OR(_xlfn.XLOOKUP(E84,Groups!A:A,Groups!N:N)="Pig",_xlfn.XLOOKUP(E84,Groups!A:A,Groups!N:N)="StrongBitingHerbivore"),3.5,3.75)),"No")</f>
        <v>29.653475370398347</v>
      </c>
      <c r="BK84" s="8">
        <f t="shared" si="40"/>
        <v>12</v>
      </c>
      <c r="BL84" s="8">
        <f t="shared" si="41"/>
        <v>10</v>
      </c>
      <c r="BM84" s="8" t="str">
        <f t="shared" si="42"/>
        <v>No</v>
      </c>
      <c r="BN84" s="8">
        <f t="shared" si="43"/>
        <v>8</v>
      </c>
      <c r="BO84" s="8">
        <f t="shared" si="44"/>
        <v>11</v>
      </c>
      <c r="BP84" s="8" cm="1">
        <f t="array" ref="BP84">IF(AND(_xlfn.XLOOKUP('Base stats'!E84,Groups!A:A,Groups!AD:AD=0),_xlfn.XLOOKUP('Base stats'!E84,Groups!A:A,Groups!P:P=0)),"No",IF(U84="No",AVERAGE(EXP(-0.57+0.99*LN(C84)),EXP(0.32+0.67*LN(C84)))/IF(_xlfn.XLOOKUP(E84,Groups!A:A,Groups!AD:AD)=1,10,2),(0.7354*C84^0.4078)*2/IF(_xlfn.XLOOKUP(E84,Groups!A:A,Groups!BK:BK)=1,1000,100)/IF(_xlfn.XLOOKUP(E84,Groups!A:A,Groups!AJ:AJ)="Photonozoa",3,1)))</f>
        <v>4.1861975603950628E-2</v>
      </c>
      <c r="BQ84" s="8" t="str">
        <f>IF(W84="No","No",IF(_xlfn.XLOOKUP(E84,Groups!A:A,Groups!BD:BD)=1,(AO84*5%),EXP(0.7354*LN(C84)^0.4078)*2/IF(_xlfn.XLOOKUP(E84,Groups!A:A,Groups!BL:BL)=1,1000,100)/IF(_xlfn.XLOOKUP(E84,Groups!A:A,Groups!AJ:AJ)="Photonozoa",3,1)))</f>
        <v>No</v>
      </c>
      <c r="BR84" s="8">
        <f>IF(BJ84="No","No",IF(_xlfn.XLOOKUP(E84,Groups!A:A,Groups!BF:BF)=1,(0.0315*C84+2.1825)*2,(0.7354*C84^0.4078)*2)/IF(_xlfn.XLOOKUP(E84,Groups!A:A,Groups!BM:BM)=1,1000,100)/IF(_xlfn.XLOOKUP(E84,Groups!A:A,Groups!AJ:AJ)="Photonozoa",3,1))</f>
        <v>4.1861975603950628E-2</v>
      </c>
      <c r="BS84" s="8">
        <f t="shared" si="45"/>
        <v>6.8835334564904344E-2</v>
      </c>
      <c r="BT84" s="8">
        <f t="shared" si="46"/>
        <v>682.20547736742435</v>
      </c>
      <c r="BU84" s="8" t="str">
        <f t="shared" si="47"/>
        <v>No</v>
      </c>
      <c r="BV84" s="8">
        <f t="shared" si="48"/>
        <v>708.3630178122761</v>
      </c>
      <c r="BW84" s="4">
        <v>0</v>
      </c>
      <c r="BX84" s="4">
        <v>1</v>
      </c>
    </row>
    <row r="85" spans="1:76" x14ac:dyDescent="0.25">
      <c r="A85" s="26" t="s">
        <v>200</v>
      </c>
      <c r="B85" s="6" t="s">
        <v>219</v>
      </c>
      <c r="C85" s="7">
        <v>10.9999</v>
      </c>
      <c r="D85" s="7" t="s">
        <v>928</v>
      </c>
      <c r="E85" s="7" t="str">
        <f>Groups!$A$36</f>
        <v>Mustelid (AQUATIC)</v>
      </c>
      <c r="F85" s="7">
        <v>61</v>
      </c>
      <c r="G85" s="7">
        <f>548/365</f>
        <v>1.5013698630136987</v>
      </c>
      <c r="H85" s="7">
        <v>18.2</v>
      </c>
      <c r="I85" s="4">
        <v>0</v>
      </c>
      <c r="J85" s="7">
        <v>2</v>
      </c>
      <c r="K85" s="7" t="s">
        <v>568</v>
      </c>
      <c r="L85" s="7">
        <f>MIN(20*C85^0.183,19.9*C85^0.142)</f>
        <v>27.972435239628787</v>
      </c>
      <c r="M85" s="7" t="s">
        <v>626</v>
      </c>
      <c r="N85" s="4">
        <v>0</v>
      </c>
      <c r="O85" s="4">
        <v>0</v>
      </c>
      <c r="P85" s="4">
        <v>0</v>
      </c>
      <c r="Q85" s="4">
        <v>0</v>
      </c>
      <c r="R85" s="4" t="s">
        <v>40</v>
      </c>
      <c r="S85" s="7">
        <f>_xlfn.XLOOKUP(B85,[1]TeethAdjusters!$A:$A,[1]BiteAdjusters!$C:$C,1)</f>
        <v>1</v>
      </c>
      <c r="T85" s="7">
        <f>_xlfn.XLOOKUP(B85,[1]TeethAdjusters!$A:$A,[1]TeethAdjusters!$B:$B,1)</f>
        <v>0.7468055548243242</v>
      </c>
      <c r="U85" s="7">
        <v>1</v>
      </c>
      <c r="V85" s="7">
        <f>IF(AT85="No","No",IF(_xlfn.XLOOKUP(E85,Groups!A:A,Groups!AM:AM)=1,MROUND(EXP(0.3582*LN(C85)-0.2221)*T85,0.05),IF(_xlfn.XLOOKUP(E85,Groups!A:A,Groups!AM:AM)=2,MROUND(EXP(0.3582*LN(C85)-0.2221)*T85,0.05),"Need a formula")))</f>
        <v>1.4000000000000001</v>
      </c>
      <c r="W85" s="7" t="s">
        <v>45</v>
      </c>
      <c r="X85" s="7" t="s">
        <v>932</v>
      </c>
      <c r="Y85" s="4" t="s">
        <v>56</v>
      </c>
      <c r="Z85" s="4">
        <v>1</v>
      </c>
      <c r="AA85" s="4">
        <v>0</v>
      </c>
      <c r="AB85" s="4">
        <v>0</v>
      </c>
      <c r="AC85" s="4">
        <v>0</v>
      </c>
      <c r="AD85" s="4">
        <v>0</v>
      </c>
      <c r="AE85" s="4" t="s">
        <v>45</v>
      </c>
      <c r="AF85" s="4" t="s">
        <v>45</v>
      </c>
      <c r="AG85" s="49" t="s">
        <v>385</v>
      </c>
      <c r="AH85" s="4" t="s">
        <v>45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4">
        <v>13</v>
      </c>
      <c r="AO85" s="8">
        <f t="shared" si="34"/>
        <v>5275.0387933539723</v>
      </c>
      <c r="AP85" s="8">
        <f>IFERROR(C85*_xlfn.XLOOKUP(E85,Groups!A:A,Groups!K:K),0.106*C85^0.94)</f>
        <v>1.3722375250000001</v>
      </c>
      <c r="AQ85" s="8">
        <f>AP85*10000/(_xlfn.XLOOKUP(E85,Groups!A:A,Groups!J:J)*AO85)</f>
        <v>2.386586257451687</v>
      </c>
      <c r="AR85" s="8">
        <f t="shared" si="35"/>
        <v>412.1941424119421</v>
      </c>
      <c r="AS85" s="8">
        <f>IF(_xlfn.XLOOKUP(E85,Groups!A:A,Groups!M:M)=1,EXP(0.7444*LN('Base stats'!C85)+6.5696),EXP(0.7927*LN('Base stats'!C85)+4.28))</f>
        <v>483.38061995508809</v>
      </c>
      <c r="AT85" s="8">
        <f>IF(_xlfn.XLOOKUP(E85,Groups!A:A,Groups!N:N)="No","No",
IF(_xlfn.XLOOKUP(E85,Groups!A:A,Groups!N:N)="Crocodile",EXP(0.8129*LN(C85)+4.6742)*S85,
IF(_xlfn.XLOOKUP(E85,Groups!A:A,Groups!N:N)="Felid",EXP(0.7843*LN(C85)+4.7073)*S85,
IF(_xlfn.XLOOKUP(E85,Groups!A:A,Groups!N:N)="Canid",EXP(0.8367*LN(C85)+4.8763)*S85,
IF(_xlfn.XLOOKUP(E85,Groups!A:A,Groups!N:N)="Pig",EXP(0.3439*LN(C85)+6.8519)*S85,
IF(_xlfn.XLOOKUP(E85,Groups!A:A,Groups!N:N)="Rodent",EXP(0.5625*LN(C85)+4.3006)*S85,
IF(_xlfn.XLOOKUP(E85,Groups!A:A,Groups!N:N)="Primate",EXP(0.7847*LN(C85)+3.4931)*S85,
IF(_xlfn.XLOOKUP(E85,Groups!A:A,Groups!N:N)="MiscCarnivora",EXP(0.7486*LN(C85)+4.2207)*S85,
IF(_xlfn.XLOOKUP(E85,Groups!A:A,Groups!N:N)="Lizard",EXP(0.7733*LN(C85)+5.5303)*S85,
IF(_xlfn.XLOOKUP(E85,Groups!A:A,Groups!N:N)="Snake",50*C85^(2/3)*S85,
IF(_xlfn.XLOOKUP(E85,Groups!A:A,Groups!N:N)="StrongBitingHerbivore",87.1133638856975*C85^(2/3)*S85,
IF(_xlfn.XLOOKUP(E85,Groups!A:A,Groups!N:N)="MiscEctotherms",59.4316884072269*C85^(2/3)*S85,
IF(_xlfn.XLOOKUP(E85,Groups!A:A,Groups!N:N)="StrongBeakBird",0.041*(C85*1000)^1.375*S85,
IF(_xlfn.XLOOKUP(E85,Groups!A:A,Groups!N:N)="Bird",0.118*(C85*1000)^0.692*S85,
IF(_xlfn.XLOOKUP(E85,Groups!A:A,Groups!N:N)="Insect",EXP(0.7444*LN(C85)+6.5696)*S85,
IF(_xlfn.XLOOKUP(E85,Groups!A:A,Groups!N:N)="Theropod",EXP(0.6966*LN(C85)+4.158)*S85,
"No"))))))))))))))))</f>
        <v>409.83621149771199</v>
      </c>
      <c r="AU85" s="8">
        <f>IF(_xlfn.XLOOKUP(E85,Groups!A:A,Groups!U:U)=3,AS85,IF(_xlfn.XLOOKUP(E85,Groups!A:A,Groups!U:U)=2,AR85,AT85))</f>
        <v>409.83621149771199</v>
      </c>
      <c r="AV85" s="46">
        <f>IFERROR(AVERAGE(_xlfn.XLOOKUP(B85,Animals!B:B,Animals!N:N),_xlfn.XLOOKUP(B85,Animals!B:B,Animals!O:O)),0)</f>
        <v>0</v>
      </c>
      <c r="AW85" s="8">
        <f>MROUND(40*Animals!AO85*_xlfn.XLOOKUP(AG85,Leathers!$A$2:$A$99,Leathers!$B$2:$B$99,0)+(140*_xlfn.XLOOKUP(B85,Animals!B:B,Animals!AO:AO)*2),5)</f>
        <v>160</v>
      </c>
      <c r="AX85" s="8">
        <f>IFERROR(ROUND(SQRT(V85-1)*IF(_xlfn.XLOOKUP(E85,Groups!A:A,Groups!BF:BF)=0,2,1)*IF(_xlfn.XLOOKUP('Base stats'!E85,Groups!A:A,Groups!O:O)=0,1,0.1),1),0)</f>
        <v>1.3</v>
      </c>
      <c r="AY85" s="8">
        <f t="shared" si="36"/>
        <v>0</v>
      </c>
      <c r="AZ85" s="8">
        <f t="shared" si="37"/>
        <v>0</v>
      </c>
      <c r="BA85" s="8">
        <f t="shared" si="38"/>
        <v>1.7</v>
      </c>
      <c r="BB85" s="8">
        <f>IF(_xlfn.XLOOKUP(E85,Groups!A:A,Groups!N:N)="Insect",BD85*2.5,IFERROR(AVERAGE(BD85,AT85/9.81/IF(OR(_xlfn.XLOOKUP(E85,Groups!A:A,Groups!N:N)="Pig",_xlfn.XLOOKUP(E85,Groups!A:A,Groups!N:N)="StrongBitingHerbivore"),20,25))*C85^-0.135,BD85))</f>
        <v>0.70848966072269592</v>
      </c>
      <c r="BC85" s="8" t="str">
        <f>IF(W85="No","No",IF(_xlfn.XLOOKUP(E85,Groups!A:A,Groups!U:U)=1,'Base stats'!BB85,IF(OR(_xlfn.XLOOKUP(E85,Groups!A:A,Groups!BD:BD)=1,_xlfn.XLOOKUP(E85,Groups!A:A,Groups!U:U)=2),BD85,IF(_xlfn.XLOOKUP(B85,Animals!B:B,Animals!AO:AO)&gt;4,AVERAGE(BD85,BF85),BF85))))</f>
        <v>No</v>
      </c>
      <c r="BD85" s="8">
        <f t="shared" si="39"/>
        <v>0.28752797616753567</v>
      </c>
      <c r="BE85" s="8">
        <f>IF(_xlfn.XLOOKUP(E85,Groups!A:A,Groups!BE:BE)=1,(0.048*C85^1.01)+(0.071*C85^1.03),0.071*C85^1.03)/IF(_xlfn.XLOOKUP(E85,Groups!A:A,Groups!M:M)=1,0.85,IF(OR(_xlfn.XLOOKUP(B85,Animals!B:B,Animals!AO:AO)&gt;4,_xlfn.XLOOKUP(E85,Groups!A:A,Groups!BC:BC)=1),1.7,1))*C85^-0.25</f>
        <v>0.46083086979604393</v>
      </c>
      <c r="BF85" s="8">
        <f>(0.048*C85^1.01)/IF(_xlfn.XLOOKUP(E85,Groups!A:A,Groups!M:M)=1,0.25,0.8)*C85^-0.25</f>
        <v>0.3711989084933881</v>
      </c>
      <c r="BG85" s="8">
        <f>EXP(1.076*LN(AR85)-4.5397)*IF(_xlfn.XLOOKUP(E85,Groups!A:A,Groups!BC:BC)=1,1.25,IF(_xlfn.XLOOKUP(E85,Groups!A:A,Groups!BD:BD)=1,3.5,2.5))</f>
        <v>17.386929894519422</v>
      </c>
      <c r="BH85" s="8">
        <f>EXP(1.076*LN(AS85)-4.5397)*IF(_xlfn.XLOOKUP(E85,Groups!A:A,Groups!M:M)=1,0.8,IF(_xlfn.XLOOKUP(E85,Groups!A:A,Groups!BC:BC)=1,1.3,3))</f>
        <v>24.765654586765486</v>
      </c>
      <c r="BI85" s="8" t="str">
        <f>IF(W85="No","No",IF(_xlfn.XLOOKUP(E85,Groups!A:A,Groups!U:U)=1,'Base stats'!BJ85,IF(OR(_xlfn.XLOOKUP(E85,Groups!A:A,Groups!BD:BD)=1,_xlfn.XLOOKUP(E85,Groups!A:A,Groups!U:U)=2),BG85,BH85))*1.2)</f>
        <v>No</v>
      </c>
      <c r="BJ85" s="8">
        <f>IFERROR(EXP(1.076*LN(AT85)-4.5397)*IF(_xlfn.XLOOKUP(E85,Groups!A:A,Groups!N:N)="Insect",1,IF(OR(_xlfn.XLOOKUP(E85,Groups!A:A,Groups!N:N)="Pig",_xlfn.XLOOKUP(E85,Groups!A:A,Groups!N:N)="StrongBitingHerbivore"),3.5,3.75)),"No")</f>
        <v>25.91989998800803</v>
      </c>
      <c r="BK85" s="8">
        <f t="shared" si="40"/>
        <v>10</v>
      </c>
      <c r="BL85" s="8">
        <f t="shared" si="41"/>
        <v>10</v>
      </c>
      <c r="BM85" s="8" t="str">
        <f t="shared" si="42"/>
        <v>No</v>
      </c>
      <c r="BN85" s="8">
        <f t="shared" si="43"/>
        <v>8</v>
      </c>
      <c r="BO85" s="8">
        <f t="shared" si="44"/>
        <v>11</v>
      </c>
      <c r="BP85" s="8" cm="1">
        <f t="array" ref="BP85">IF(AND(_xlfn.XLOOKUP('Base stats'!E85,Groups!A:A,Groups!AD:AD=0),_xlfn.XLOOKUP('Base stats'!E85,Groups!A:A,Groups!P:P=0)),"No",IF(U85="No",AVERAGE(EXP(-0.57+0.99*LN(C85)),EXP(0.32+0.67*LN(C85)))/IF(_xlfn.XLOOKUP(E85,Groups!A:A,Groups!AD:AD)=1,10,2),(0.7354*C85^0.4078)*2/IF(_xlfn.XLOOKUP(E85,Groups!A:A,Groups!BK:BK)=1,1000,100)/IF(_xlfn.XLOOKUP(E85,Groups!A:A,Groups!AJ:AJ)="Photonozoa",3,1)))</f>
        <v>3.9104969198687008E-2</v>
      </c>
      <c r="BQ85" s="8" t="str">
        <f>IF(W85="No","No",IF(_xlfn.XLOOKUP(E85,Groups!A:A,Groups!BD:BD)=1,(AO85*5%),EXP(0.7354*LN(C85)^0.4078)*2/IF(_xlfn.XLOOKUP(E85,Groups!A:A,Groups!BL:BL)=1,1000,100)/IF(_xlfn.XLOOKUP(E85,Groups!A:A,Groups!AJ:AJ)="Photonozoa",3,1)))</f>
        <v>No</v>
      </c>
      <c r="BR85" s="8">
        <f>IF(BJ85="No","No",IF(_xlfn.XLOOKUP(E85,Groups!A:A,Groups!BF:BF)=1,(0.0315*C85+2.1825)*2,(0.7354*C85^0.4078)*2)/IF(_xlfn.XLOOKUP(E85,Groups!A:A,Groups!BM:BM)=1,1000,100)/IF(_xlfn.XLOOKUP(E85,Groups!A:A,Groups!AJ:AJ)="Photonozoa",3,1))</f>
        <v>3.9104969198687008E-2</v>
      </c>
      <c r="BS85" s="8">
        <f t="shared" si="45"/>
        <v>6.5921524279310459E-2</v>
      </c>
      <c r="BT85" s="8">
        <f t="shared" si="46"/>
        <v>633.31221310863532</v>
      </c>
      <c r="BU85" s="8" t="str">
        <f t="shared" si="47"/>
        <v>No</v>
      </c>
      <c r="BV85" s="8">
        <f t="shared" si="48"/>
        <v>662.82880460313265</v>
      </c>
      <c r="BW85" s="4">
        <v>0</v>
      </c>
      <c r="BX85" s="4">
        <v>1</v>
      </c>
    </row>
    <row r="86" spans="1:76" x14ac:dyDescent="0.25">
      <c r="A86" s="26" t="s">
        <v>198</v>
      </c>
      <c r="B86" s="6" t="s">
        <v>217</v>
      </c>
      <c r="C86" s="7">
        <v>180</v>
      </c>
      <c r="D86" s="7" t="s">
        <v>569</v>
      </c>
      <c r="E86" s="7" t="str">
        <f>Groups!$A$43</f>
        <v>Pinniped</v>
      </c>
      <c r="F86" s="7">
        <v>259</v>
      </c>
      <c r="G86" s="7">
        <f>1095/365</f>
        <v>3</v>
      </c>
      <c r="H86" s="7">
        <v>35.700000000000003</v>
      </c>
      <c r="I86" s="4">
        <v>0</v>
      </c>
      <c r="J86" s="7">
        <v>1.2</v>
      </c>
      <c r="K86" s="7" t="s">
        <v>569</v>
      </c>
      <c r="L86" s="7">
        <f>6.7*3.6</f>
        <v>24.12</v>
      </c>
      <c r="M86" s="7" t="s">
        <v>636</v>
      </c>
      <c r="N86" s="4">
        <v>0</v>
      </c>
      <c r="O86" s="4">
        <v>0</v>
      </c>
      <c r="P86" s="4">
        <v>0</v>
      </c>
      <c r="Q86" s="4">
        <v>0</v>
      </c>
      <c r="R86" s="4" t="s">
        <v>40</v>
      </c>
      <c r="S86" s="7">
        <f>_xlfn.XLOOKUP(B86,[1]TeethAdjusters!$A:$A,[1]BiteAdjusters!$C:$C,1)</f>
        <v>1</v>
      </c>
      <c r="T86" s="7">
        <f>_xlfn.XLOOKUP(B86,[1]TeethAdjusters!$A:$A,[1]TeethAdjusters!$B:$B,1)</f>
        <v>1</v>
      </c>
      <c r="U86" s="7" t="s">
        <v>45</v>
      </c>
      <c r="V86" s="7">
        <f>IF(AT86="No","No",IF(_xlfn.XLOOKUP(E86,Groups!A:A,Groups!AM:AM)=1,MROUND(EXP(0.3582*LN(C86)-0.2221)*T86,0.05),IF(_xlfn.XLOOKUP(E86,Groups!A:A,Groups!AM:AM)=2,MROUND(EXP(0.3582*LN(C86)-0.2221)*T86,0.05),"Need a formula")))</f>
        <v>5.15</v>
      </c>
      <c r="W86" s="7" t="s">
        <v>45</v>
      </c>
      <c r="X86" s="7" t="s">
        <v>932</v>
      </c>
      <c r="Y86" s="4" t="s">
        <v>56</v>
      </c>
      <c r="Z86" s="4">
        <v>1</v>
      </c>
      <c r="AA86" s="4">
        <v>0</v>
      </c>
      <c r="AB86" s="4">
        <v>0</v>
      </c>
      <c r="AC86" s="4">
        <v>0</v>
      </c>
      <c r="AD86" s="4">
        <v>0</v>
      </c>
      <c r="AE86" s="4" t="s">
        <v>45</v>
      </c>
      <c r="AF86" s="4" t="s">
        <v>401</v>
      </c>
      <c r="AG86" s="49" t="s">
        <v>394</v>
      </c>
      <c r="AH86" s="4" t="str">
        <f>Animals!$C$87</f>
        <v>&lt;li&gt;Seal&lt;/li&gt;</v>
      </c>
      <c r="AI86" s="4">
        <v>0</v>
      </c>
      <c r="AJ86" s="4">
        <v>1</v>
      </c>
      <c r="AK86" s="4">
        <v>0</v>
      </c>
      <c r="AL86" s="4">
        <v>0</v>
      </c>
      <c r="AM86" s="4">
        <v>0</v>
      </c>
      <c r="AN86" s="44">
        <v>20</v>
      </c>
      <c r="AO86" s="8">
        <f t="shared" si="34"/>
        <v>32452.64560229296</v>
      </c>
      <c r="AP86" s="8">
        <f>IFERROR(C86*_xlfn.XLOOKUP(E86,Groups!A:A,Groups!K:K),0.106*C86^0.94)</f>
        <v>22.454999999999998</v>
      </c>
      <c r="AQ86" s="8">
        <f>AP86*10000/(_xlfn.XLOOKUP(E86,Groups!A:A,Groups!J:J)*AO86)</f>
        <v>6.34799322177206</v>
      </c>
      <c r="AR86" s="8">
        <f t="shared" si="35"/>
        <v>4369.8792317253037</v>
      </c>
      <c r="AS86" s="8">
        <f>IF(_xlfn.XLOOKUP(E86,Groups!A:A,Groups!M:M)=1,EXP(0.7444*LN('Base stats'!C86)+6.5696),EXP(0.7927*LN('Base stats'!C86)+4.28))</f>
        <v>4431.3382067712973</v>
      </c>
      <c r="AT86" s="8">
        <f>IF(_xlfn.XLOOKUP(E86,Groups!A:A,Groups!N:N)="No","No",
IF(_xlfn.XLOOKUP(E86,Groups!A:A,Groups!N:N)="Crocodile",EXP(0.8129*LN(C86)+4.6742)*S86,
IF(_xlfn.XLOOKUP(E86,Groups!A:A,Groups!N:N)="Felid",EXP(0.7843*LN(C86)+4.7073)*S86,
IF(_xlfn.XLOOKUP(E86,Groups!A:A,Groups!N:N)="Canid",EXP(0.8367*LN(C86)+4.8763)*S86,
IF(_xlfn.XLOOKUP(E86,Groups!A:A,Groups!N:N)="Pig",EXP(0.3439*LN(C86)+6.8519)*S86,
IF(_xlfn.XLOOKUP(E86,Groups!A:A,Groups!N:N)="Rodent",EXP(0.5625*LN(C86)+4.3006)*S86,
IF(_xlfn.XLOOKUP(E86,Groups!A:A,Groups!N:N)="Primate",EXP(0.7847*LN(C86)+3.4931)*S86,
IF(_xlfn.XLOOKUP(E86,Groups!A:A,Groups!N:N)="MiscCarnivora",EXP(0.7486*LN(C86)+4.2207)*S86,
IF(_xlfn.XLOOKUP(E86,Groups!A:A,Groups!N:N)="Lizard",EXP(0.7733*LN(C86)+5.5303)*S86,
IF(_xlfn.XLOOKUP(E86,Groups!A:A,Groups!N:N)="Snake",50*C86^(2/3)*S86,
IF(_xlfn.XLOOKUP(E86,Groups!A:A,Groups!N:N)="StrongBitingHerbivore",87.1133638856975*C86^(2/3)*S86,
IF(_xlfn.XLOOKUP(E86,Groups!A:A,Groups!N:N)="MiscEctotherms",59.4316884072269*C86^(2/3)*S86,
IF(_xlfn.XLOOKUP(E86,Groups!A:A,Groups!N:N)="StrongBeakBird",0.041*(C86*1000)^1.375*S86,
IF(_xlfn.XLOOKUP(E86,Groups!A:A,Groups!N:N)="Bird",0.118*(C86*1000)^0.692*S86,
IF(_xlfn.XLOOKUP(E86,Groups!A:A,Groups!N:N)="Insect",EXP(0.7444*LN(C86)+6.5696)*S86,
IF(_xlfn.XLOOKUP(E86,Groups!A:A,Groups!N:N)="Theropod",EXP(0.6966*LN(C86)+4.158)*S86,
"No"))))))))))))))))</f>
        <v>3321.4193930594188</v>
      </c>
      <c r="AU86" s="8">
        <f>IF(_xlfn.XLOOKUP(E86,Groups!A:A,Groups!U:U)=3,AS86,IF(_xlfn.XLOOKUP(E86,Groups!A:A,Groups!U:U)=2,AR86,AT86))</f>
        <v>3321.4193930594188</v>
      </c>
      <c r="AV86" s="46">
        <f>IFERROR(AVERAGE(_xlfn.XLOOKUP(B86,Animals!B:B,Animals!N:N),_xlfn.XLOOKUP(B86,Animals!B:B,Animals!O:O)),0)</f>
        <v>0</v>
      </c>
      <c r="AW86" s="8">
        <f>MROUND(40*Animals!AO86*_xlfn.XLOOKUP(AG86,Leathers!$A$2:$A$99,Leathers!$B$2:$B$99,0)+(140*_xlfn.XLOOKUP(B86,Animals!B:B,Animals!AO:AO)*2),5)</f>
        <v>750</v>
      </c>
      <c r="AX86" s="8">
        <f>IFERROR(ROUND(SQRT(V86-1)*IF(_xlfn.XLOOKUP(E86,Groups!A:A,Groups!BF:BF)=0,2,1)*IF(_xlfn.XLOOKUP('Base stats'!E86,Groups!A:A,Groups!O:O)=0,1,0.1),1),0)</f>
        <v>4.0999999999999996</v>
      </c>
      <c r="AY86" s="8">
        <f t="shared" si="36"/>
        <v>0</v>
      </c>
      <c r="AZ86" s="8">
        <f t="shared" si="37"/>
        <v>0</v>
      </c>
      <c r="BA86" s="8">
        <f t="shared" si="38"/>
        <v>5.0999999999999996</v>
      </c>
      <c r="BB86" s="8">
        <f>IF(_xlfn.XLOOKUP(E86,Groups!A:A,Groups!N:N)="Insect",BD86*2.5,IFERROR(AVERAGE(BD86,AT86/9.81/IF(OR(_xlfn.XLOOKUP(E86,Groups!A:A,Groups!N:N)="Pig",_xlfn.XLOOKUP(E86,Groups!A:A,Groups!N:N)="StrongBitingHerbivore"),20,25))*C86^-0.135,BD86))</f>
        <v>4.0867552418265269</v>
      </c>
      <c r="BC86" s="8" t="str">
        <f>IF(W86="No","No",IF(_xlfn.XLOOKUP(E86,Groups!A:A,Groups!U:U)=1,'Base stats'!BB86,IF(OR(_xlfn.XLOOKUP(E86,Groups!A:A,Groups!BD:BD)=1,_xlfn.XLOOKUP(E86,Groups!A:A,Groups!U:U)=2),BD86,IF(_xlfn.XLOOKUP(B86,Animals!B:B,Animals!AO:AO)&gt;4,AVERAGE(BD86,BF86),BF86))))</f>
        <v>No</v>
      </c>
      <c r="BD86" s="8">
        <f t="shared" si="39"/>
        <v>2.9337122802000692</v>
      </c>
      <c r="BE86" s="8">
        <f>IF(_xlfn.XLOOKUP(E86,Groups!A:A,Groups!BE:BE)=1,(0.048*C86^1.01)+(0.071*C86^1.03),0.071*C86^1.03)/IF(_xlfn.XLOOKUP(E86,Groups!A:A,Groups!M:M)=1,0.85,IF(OR(_xlfn.XLOOKUP(B86,Animals!B:B,Animals!AO:AO)&gt;4,_xlfn.XLOOKUP(E86,Groups!A:A,Groups!BC:BC)=1),1.7,1))*C86^-0.25</f>
        <v>4.0772834343970406</v>
      </c>
      <c r="BF86" s="8">
        <f>(0.048*C86^1.01)/IF(_xlfn.XLOOKUP(E86,Groups!A:A,Groups!M:M)=1,0.25,0.8)*C86^-0.25</f>
        <v>3.1056917919729647</v>
      </c>
      <c r="BG86" s="8">
        <f>EXP(1.076*LN(AR86)-4.5397)*IF(_xlfn.XLOOKUP(E86,Groups!A:A,Groups!BC:BC)=1,1.25,IF(_xlfn.XLOOKUP(E86,Groups!A:A,Groups!BD:BD)=1,3.5,2.5))</f>
        <v>220.55578881170885</v>
      </c>
      <c r="BH86" s="8">
        <f>EXP(1.076*LN(AS86)-4.5397)*IF(_xlfn.XLOOKUP(E86,Groups!A:A,Groups!M:M)=1,0.8,IF(_xlfn.XLOOKUP(E86,Groups!A:A,Groups!BC:BC)=1,1.3,3))</f>
        <v>268.67431157890962</v>
      </c>
      <c r="BI86" s="8" t="str">
        <f>IF(W86="No","No",IF(_xlfn.XLOOKUP(E86,Groups!A:A,Groups!U:U)=1,'Base stats'!BJ86,IF(OR(_xlfn.XLOOKUP(E86,Groups!A:A,Groups!BD:BD)=1,_xlfn.XLOOKUP(E86,Groups!A:A,Groups!U:U)=2),BG86,BH86))*1.2)</f>
        <v>No</v>
      </c>
      <c r="BJ86" s="8">
        <f>IFERROR(EXP(1.076*LN(AT86)-4.5397)*IF(_xlfn.XLOOKUP(E86,Groups!A:A,Groups!N:N)="Insect",1,IF(OR(_xlfn.XLOOKUP(E86,Groups!A:A,Groups!N:N)="Pig",_xlfn.XLOOKUP(E86,Groups!A:A,Groups!N:N)="StrongBitingHerbivore"),3.5,3.75)),"No")</f>
        <v>246.26853554065281</v>
      </c>
      <c r="BK86" s="8">
        <f t="shared" si="40"/>
        <v>12</v>
      </c>
      <c r="BL86" s="8">
        <f t="shared" si="41"/>
        <v>11</v>
      </c>
      <c r="BM86" s="8" t="str">
        <f t="shared" si="42"/>
        <v>No</v>
      </c>
      <c r="BN86" s="8">
        <f t="shared" si="43"/>
        <v>10</v>
      </c>
      <c r="BO86" s="8">
        <f t="shared" si="44"/>
        <v>13</v>
      </c>
      <c r="BP86" s="8" t="str" cm="1">
        <f t="array" ref="BP86">IF(AND(_xlfn.XLOOKUP('Base stats'!E86,Groups!A:A,Groups!AD:AD=0),_xlfn.XLOOKUP('Base stats'!E86,Groups!A:A,Groups!P:P=0)),"No",IF(U86="No",AVERAGE(EXP(-0.57+0.99*LN(C86)),EXP(0.32+0.67*LN(C86)))/IF(_xlfn.XLOOKUP(E86,Groups!A:A,Groups!AD:AD)=1,10,2),(0.7354*C86^0.4078)*2/IF(_xlfn.XLOOKUP(E86,Groups!A:A,Groups!BK:BK)=1,1000,100)/IF(_xlfn.XLOOKUP(E86,Groups!A:A,Groups!AJ:AJ)="Photonozoa",3,1)))</f>
        <v>No</v>
      </c>
      <c r="BQ86" s="8" t="str">
        <f>IF(W86="No","No",IF(_xlfn.XLOOKUP(E86,Groups!A:A,Groups!BD:BD)=1,(AO86*5%),EXP(0.7354*LN(C86)^0.4078)*2/IF(_xlfn.XLOOKUP(E86,Groups!A:A,Groups!BL:BL)=1,1000,100)/IF(_xlfn.XLOOKUP(E86,Groups!A:A,Groups!AJ:AJ)="Photonozoa",3,1)))</f>
        <v>No</v>
      </c>
      <c r="BR86" s="8">
        <f>IF(BJ86="No","No",IF(_xlfn.XLOOKUP(E86,Groups!A:A,Groups!BF:BF)=1,(0.0315*C86+2.1825)*2,(0.7354*C86^0.4078)*2)/IF(_xlfn.XLOOKUP(E86,Groups!A:A,Groups!BM:BM)=1,1000,100)/IF(_xlfn.XLOOKUP(E86,Groups!A:A,Groups!AJ:AJ)="Photonozoa",3,1))</f>
        <v>0.12225137396044293</v>
      </c>
      <c r="BS86" s="8">
        <f t="shared" si="45"/>
        <v>0.13592468947809011</v>
      </c>
      <c r="BT86" s="8" t="str">
        <f t="shared" si="46"/>
        <v>No</v>
      </c>
      <c r="BU86" s="8" t="str">
        <f t="shared" si="47"/>
        <v>No</v>
      </c>
      <c r="BV86" s="8">
        <f t="shared" si="48"/>
        <v>2014.4439081751204</v>
      </c>
      <c r="BW86" s="4">
        <v>0</v>
      </c>
      <c r="BX86" s="4">
        <v>1</v>
      </c>
    </row>
    <row r="87" spans="1:76" x14ac:dyDescent="0.25">
      <c r="A87" s="26" t="s">
        <v>182</v>
      </c>
      <c r="B87" s="6" t="s">
        <v>183</v>
      </c>
      <c r="C87" s="7">
        <v>115</v>
      </c>
      <c r="D87" s="7" t="s">
        <v>570</v>
      </c>
      <c r="E87" s="7" t="str">
        <f>Groups!$A$43</f>
        <v>Pinniped</v>
      </c>
      <c r="F87" s="7">
        <v>253</v>
      </c>
      <c r="G87" s="7">
        <f>1095/365</f>
        <v>3</v>
      </c>
      <c r="H87" s="7">
        <v>47.6</v>
      </c>
      <c r="I87" s="4">
        <v>0</v>
      </c>
      <c r="J87" s="7">
        <v>1</v>
      </c>
      <c r="K87" s="7" t="s">
        <v>570</v>
      </c>
      <c r="L87" s="7">
        <v>18</v>
      </c>
      <c r="M87" s="7" t="s">
        <v>528</v>
      </c>
      <c r="N87" s="4">
        <v>0</v>
      </c>
      <c r="O87" s="4">
        <v>0</v>
      </c>
      <c r="P87" s="4">
        <v>0</v>
      </c>
      <c r="Q87" s="4">
        <v>0</v>
      </c>
      <c r="R87" s="4" t="s">
        <v>40</v>
      </c>
      <c r="S87" s="7">
        <f>_xlfn.XLOOKUP(B87,[1]TeethAdjusters!$A:$A,[1]BiteAdjusters!$C:$C,1)</f>
        <v>1</v>
      </c>
      <c r="T87" s="7">
        <f>_xlfn.XLOOKUP(B87,[1]TeethAdjusters!$A:$A,[1]TeethAdjusters!$B:$B,1)</f>
        <v>1</v>
      </c>
      <c r="U87" s="7" t="s">
        <v>45</v>
      </c>
      <c r="V87" s="7">
        <f>IF(AT87="No","No",IF(_xlfn.XLOOKUP(E87,Groups!A:A,Groups!AM:AM)=1,MROUND(EXP(0.3582*LN(C87)-0.2221)*T87,0.05),IF(_xlfn.XLOOKUP(E87,Groups!A:A,Groups!AM:AM)=2,MROUND(EXP(0.3582*LN(C87)-0.2221)*T87,0.05),"Need a formula")))</f>
        <v>4.4000000000000004</v>
      </c>
      <c r="W87" s="7" t="s">
        <v>45</v>
      </c>
      <c r="X87" s="7" t="s">
        <v>932</v>
      </c>
      <c r="Y87" s="4" t="s">
        <v>56</v>
      </c>
      <c r="Z87" s="4">
        <v>1</v>
      </c>
      <c r="AA87" s="4">
        <v>0</v>
      </c>
      <c r="AB87" s="4">
        <v>0</v>
      </c>
      <c r="AC87" s="4">
        <v>0</v>
      </c>
      <c r="AD87" s="4">
        <v>0</v>
      </c>
      <c r="AE87" s="4" t="s">
        <v>45</v>
      </c>
      <c r="AF87" s="4" t="s">
        <v>401</v>
      </c>
      <c r="AG87" s="49" t="s">
        <v>394</v>
      </c>
      <c r="AH87" s="4" t="s">
        <v>45</v>
      </c>
      <c r="AI87" s="4">
        <v>0</v>
      </c>
      <c r="AJ87" s="4">
        <v>1</v>
      </c>
      <c r="AK87" s="4">
        <v>0</v>
      </c>
      <c r="AL87" s="4">
        <v>0</v>
      </c>
      <c r="AM87" s="4">
        <v>0</v>
      </c>
      <c r="AN87" s="44">
        <v>20</v>
      </c>
      <c r="AO87" s="8">
        <f t="shared" si="34"/>
        <v>24253.620343607145</v>
      </c>
      <c r="AP87" s="8">
        <f>IFERROR(C87*_xlfn.XLOOKUP(E87,Groups!A:A,Groups!K:K),0.106*C87^0.94)</f>
        <v>14.34625</v>
      </c>
      <c r="AQ87" s="8">
        <f>AP87*10000/(_xlfn.XLOOKUP(E87,Groups!A:A,Groups!J:J)*AO87)</f>
        <v>5.4266938548725276</v>
      </c>
      <c r="AR87" s="8">
        <f t="shared" si="35"/>
        <v>2993.0378945402767</v>
      </c>
      <c r="AS87" s="8">
        <f>IF(_xlfn.XLOOKUP(E87,Groups!A:A,Groups!M:M)=1,EXP(0.7444*LN('Base stats'!C87)+6.5696),EXP(0.7927*LN('Base stats'!C87)+4.28))</f>
        <v>3106.6731258745958</v>
      </c>
      <c r="AT87" s="8">
        <f>IF(_xlfn.XLOOKUP(E87,Groups!A:A,Groups!N:N)="No","No",
IF(_xlfn.XLOOKUP(E87,Groups!A:A,Groups!N:N)="Crocodile",EXP(0.8129*LN(C87)+4.6742)*S87,
IF(_xlfn.XLOOKUP(E87,Groups!A:A,Groups!N:N)="Felid",EXP(0.7843*LN(C87)+4.7073)*S87,
IF(_xlfn.XLOOKUP(E87,Groups!A:A,Groups!N:N)="Canid",EXP(0.8367*LN(C87)+4.8763)*S87,
IF(_xlfn.XLOOKUP(E87,Groups!A:A,Groups!N:N)="Pig",EXP(0.3439*LN(C87)+6.8519)*S87,
IF(_xlfn.XLOOKUP(E87,Groups!A:A,Groups!N:N)="Rodent",EXP(0.5625*LN(C87)+4.3006)*S87,
IF(_xlfn.XLOOKUP(E87,Groups!A:A,Groups!N:N)="Primate",EXP(0.7847*LN(C87)+3.4931)*S87,
IF(_xlfn.XLOOKUP(E87,Groups!A:A,Groups!N:N)="MiscCarnivora",EXP(0.7486*LN(C87)+4.2207)*S87,
IF(_xlfn.XLOOKUP(E87,Groups!A:A,Groups!N:N)="Lizard",EXP(0.7733*LN(C87)+5.5303)*S87,
IF(_xlfn.XLOOKUP(E87,Groups!A:A,Groups!N:N)="Snake",50*C87^(2/3)*S87,
IF(_xlfn.XLOOKUP(E87,Groups!A:A,Groups!N:N)="StrongBitingHerbivore",87.1133638856975*C87^(2/3)*S87,
IF(_xlfn.XLOOKUP(E87,Groups!A:A,Groups!N:N)="MiscEctotherms",59.4316884072269*C87^(2/3)*S87,
IF(_xlfn.XLOOKUP(E87,Groups!A:A,Groups!N:N)="StrongBeakBird",0.041*(C87*1000)^1.375*S87,
IF(_xlfn.XLOOKUP(E87,Groups!A:A,Groups!N:N)="Bird",0.118*(C87*1000)^0.692*S87,
IF(_xlfn.XLOOKUP(E87,Groups!A:A,Groups!N:N)="Insect",EXP(0.7444*LN(C87)+6.5696)*S87,
IF(_xlfn.XLOOKUP(E87,Groups!A:A,Groups!N:N)="Theropod",EXP(0.6966*LN(C87)+4.158)*S87,
"No"))))))))))))))))</f>
        <v>2375.0082527213076</v>
      </c>
      <c r="AU87" s="8">
        <f>IF(_xlfn.XLOOKUP(E87,Groups!A:A,Groups!U:U)=3,AS87,IF(_xlfn.XLOOKUP(E87,Groups!A:A,Groups!U:U)=2,AR87,AT87))</f>
        <v>2375.0082527213076</v>
      </c>
      <c r="AV87" s="46">
        <f>IFERROR(AVERAGE(_xlfn.XLOOKUP(B87,Animals!B:B,Animals!N:N),_xlfn.XLOOKUP(B87,Animals!B:B,Animals!O:O)),0)</f>
        <v>0</v>
      </c>
      <c r="AW87" s="8">
        <f>MROUND(40*Animals!AO87*_xlfn.XLOOKUP(AG87,Leathers!$A$2:$A$99,Leathers!$B$2:$B$99,0)+(140*_xlfn.XLOOKUP(B87,Animals!B:B,Animals!AO:AO)*2),5)</f>
        <v>570</v>
      </c>
      <c r="AX87" s="8">
        <f>IFERROR(ROUND(SQRT(V87-1)*IF(_xlfn.XLOOKUP(E87,Groups!A:A,Groups!BF:BF)=0,2,1)*IF(_xlfn.XLOOKUP('Base stats'!E87,Groups!A:A,Groups!O:O)=0,1,0.1),1),0)</f>
        <v>3.7</v>
      </c>
      <c r="AY87" s="8">
        <f t="shared" si="36"/>
        <v>0</v>
      </c>
      <c r="AZ87" s="8">
        <f t="shared" si="37"/>
        <v>0</v>
      </c>
      <c r="BA87" s="8">
        <f t="shared" si="38"/>
        <v>4.4000000000000004</v>
      </c>
      <c r="BB87" s="8">
        <f>IF(_xlfn.XLOOKUP(E87,Groups!A:A,Groups!N:N)="Insect",BD87*2.5,IFERROR(AVERAGE(BD87,AT87/9.81/IF(OR(_xlfn.XLOOKUP(E87,Groups!A:A,Groups!N:N)="Pig",_xlfn.XLOOKUP(E87,Groups!A:A,Groups!N:N)="StrongBitingHerbivore"),20,25))*C87^-0.135,BD87))</f>
        <v>3.0844368439880543</v>
      </c>
      <c r="BC87" s="8" t="str">
        <f>IF(W87="No","No",IF(_xlfn.XLOOKUP(E87,Groups!A:A,Groups!U:U)=1,'Base stats'!BB87,IF(OR(_xlfn.XLOOKUP(E87,Groups!A:A,Groups!BD:BD)=1,_xlfn.XLOOKUP(E87,Groups!A:A,Groups!U:U)=2),BD87,IF(_xlfn.XLOOKUP(B87,Animals!B:B,Animals!AO:AO)&gt;4,AVERAGE(BD87,BF87),BF87))))</f>
        <v>No</v>
      </c>
      <c r="BD87" s="8">
        <f t="shared" si="39"/>
        <v>2.0217431129008374</v>
      </c>
      <c r="BE87" s="8">
        <f>IF(_xlfn.XLOOKUP(E87,Groups!A:A,Groups!BE:BE)=1,(0.048*C87^1.01)+(0.071*C87^1.03),0.071*C87^1.03)/IF(_xlfn.XLOOKUP(E87,Groups!A:A,Groups!M:M)=1,0.85,IF(OR(_xlfn.XLOOKUP(B87,Animals!B:B,Animals!AO:AO)&gt;4,_xlfn.XLOOKUP(E87,Groups!A:A,Groups!BC:BC)=1),1.7,1))*C87^-0.25</f>
        <v>2.8747670882428746</v>
      </c>
      <c r="BF87" s="8">
        <f>(0.048*C87^1.01)/IF(_xlfn.XLOOKUP(E87,Groups!A:A,Groups!M:M)=1,0.25,0.8)*C87^-0.25</f>
        <v>2.2094369311808464</v>
      </c>
      <c r="BG87" s="8">
        <f>EXP(1.076*LN(AR87)-4.5397)*IF(_xlfn.XLOOKUP(E87,Groups!A:A,Groups!BC:BC)=1,1.25,IF(_xlfn.XLOOKUP(E87,Groups!A:A,Groups!BD:BD)=1,3.5,2.5))</f>
        <v>146.78108476936248</v>
      </c>
      <c r="BH87" s="8">
        <f>EXP(1.076*LN(AS87)-4.5397)*IF(_xlfn.XLOOKUP(E87,Groups!A:A,Groups!M:M)=1,0.8,IF(_xlfn.XLOOKUP(E87,Groups!A:A,Groups!BC:BC)=1,1.3,3))</f>
        <v>183.34312035376047</v>
      </c>
      <c r="BI87" s="8" t="str">
        <f>IF(W87="No","No",IF(_xlfn.XLOOKUP(E87,Groups!A:A,Groups!U:U)=1,'Base stats'!BJ87,IF(OR(_xlfn.XLOOKUP(E87,Groups!A:A,Groups!BD:BD)=1,_xlfn.XLOOKUP(E87,Groups!A:A,Groups!U:U)=2),BG87,BH87))*1.2)</f>
        <v>No</v>
      </c>
      <c r="BJ87" s="8">
        <f>IFERROR(EXP(1.076*LN(AT87)-4.5397)*IF(_xlfn.XLOOKUP(E87,Groups!A:A,Groups!N:N)="Insect",1,IF(OR(_xlfn.XLOOKUP(E87,Groups!A:A,Groups!N:N)="Pig",_xlfn.XLOOKUP(E87,Groups!A:A,Groups!N:N)="StrongBitingHerbivore"),3.5,3.75)),"No")</f>
        <v>171.66441610011933</v>
      </c>
      <c r="BK87" s="8">
        <f t="shared" si="40"/>
        <v>12</v>
      </c>
      <c r="BL87" s="8">
        <f t="shared" si="41"/>
        <v>11</v>
      </c>
      <c r="BM87" s="8" t="str">
        <f t="shared" si="42"/>
        <v>No</v>
      </c>
      <c r="BN87" s="8">
        <f t="shared" si="43"/>
        <v>10</v>
      </c>
      <c r="BO87" s="8">
        <f t="shared" si="44"/>
        <v>12</v>
      </c>
      <c r="BP87" s="8" t="str" cm="1">
        <f t="array" ref="BP87">IF(AND(_xlfn.XLOOKUP('Base stats'!E87,Groups!A:A,Groups!AD:AD=0),_xlfn.XLOOKUP('Base stats'!E87,Groups!A:A,Groups!P:P=0)),"No",IF(U87="No",AVERAGE(EXP(-0.57+0.99*LN(C87)),EXP(0.32+0.67*LN(C87)))/IF(_xlfn.XLOOKUP(E87,Groups!A:A,Groups!AD:AD)=1,10,2),(0.7354*C87^0.4078)*2/IF(_xlfn.XLOOKUP(E87,Groups!A:A,Groups!BK:BK)=1,1000,100)/IF(_xlfn.XLOOKUP(E87,Groups!A:A,Groups!AJ:AJ)="Photonozoa",3,1)))</f>
        <v>No</v>
      </c>
      <c r="BQ87" s="8" t="str">
        <f>IF(W87="No","No",IF(_xlfn.XLOOKUP(E87,Groups!A:A,Groups!BD:BD)=1,(AO87*5%),EXP(0.7354*LN(C87)^0.4078)*2/IF(_xlfn.XLOOKUP(E87,Groups!A:A,Groups!BL:BL)=1,1000,100)/IF(_xlfn.XLOOKUP(E87,Groups!A:A,Groups!AJ:AJ)="Photonozoa",3,1)))</f>
        <v>No</v>
      </c>
      <c r="BR87" s="8">
        <f>IF(BJ87="No","No",IF(_xlfn.XLOOKUP(E87,Groups!A:A,Groups!BF:BF)=1,(0.0315*C87+2.1825)*2,(0.7354*C87^0.4078)*2)/IF(_xlfn.XLOOKUP(E87,Groups!A:A,Groups!BM:BM)=1,1000,100)/IF(_xlfn.XLOOKUP(E87,Groups!A:A,Groups!AJ:AJ)="Photonozoa",3,1))</f>
        <v>0.1018371415070493</v>
      </c>
      <c r="BS87" s="8">
        <f t="shared" si="45"/>
        <v>0.12103849461637306</v>
      </c>
      <c r="BT87" s="8" t="str">
        <f t="shared" si="46"/>
        <v>No</v>
      </c>
      <c r="BU87" s="8" t="str">
        <f t="shared" si="47"/>
        <v>No</v>
      </c>
      <c r="BV87" s="8">
        <f t="shared" si="48"/>
        <v>1685.6759091989684</v>
      </c>
      <c r="BW87" s="4">
        <v>0</v>
      </c>
      <c r="BX87" s="4">
        <v>1</v>
      </c>
    </row>
    <row r="88" spans="1:76" x14ac:dyDescent="0.25">
      <c r="A88" s="26" t="s">
        <v>184</v>
      </c>
      <c r="B88" s="6" t="s">
        <v>185</v>
      </c>
      <c r="C88" s="7">
        <v>1012.5</v>
      </c>
      <c r="D88" s="7" t="s">
        <v>571</v>
      </c>
      <c r="E88" s="7" t="str">
        <f>Groups!$A$42</f>
        <v>Pinniped (TUSKS)</v>
      </c>
      <c r="F88" s="7">
        <v>331</v>
      </c>
      <c r="G88" s="7">
        <f>1745/365</f>
        <v>4.7808219178082192</v>
      </c>
      <c r="H88" s="7">
        <v>40</v>
      </c>
      <c r="I88" s="4">
        <v>0</v>
      </c>
      <c r="J88" s="7">
        <v>1</v>
      </c>
      <c r="K88" s="7" t="s">
        <v>571</v>
      </c>
      <c r="L88" s="7">
        <v>12</v>
      </c>
      <c r="M88" s="7" t="s">
        <v>528</v>
      </c>
      <c r="N88" s="4">
        <v>0</v>
      </c>
      <c r="O88" s="4">
        <v>0</v>
      </c>
      <c r="P88" s="4">
        <v>0</v>
      </c>
      <c r="Q88" s="4">
        <v>0</v>
      </c>
      <c r="R88" s="4" t="s">
        <v>40</v>
      </c>
      <c r="S88" s="7">
        <f>_xlfn.XLOOKUP(B88,[1]TeethAdjusters!$A:$A,[1]BiteAdjusters!$C:$C,1)</f>
        <v>1</v>
      </c>
      <c r="T88" s="7">
        <f>_xlfn.XLOOKUP(B88,[1]TeethAdjusters!$A:$A,[1]TeethAdjusters!$B:$B,1)</f>
        <v>1</v>
      </c>
      <c r="U88" s="7" t="s">
        <v>45</v>
      </c>
      <c r="V88" s="7" t="str">
        <f>IF(AT88="No","No",IF(_xlfn.XLOOKUP(E88,Groups!A:A,Groups!AM:AM)=1,MROUND(EXP(0.3582*LN(C88)-0.2221)*T88,0.05),IF(_xlfn.XLOOKUP(E88,Groups!A:A,Groups!AM:AM)=2,MROUND(EXP(0.3582*LN(C88)-0.2221)*T88,0.05),"Need a formula")))</f>
        <v>No</v>
      </c>
      <c r="W88" s="7">
        <v>50</v>
      </c>
      <c r="X88" s="7" t="s">
        <v>932</v>
      </c>
      <c r="Y88" s="4" t="s">
        <v>56</v>
      </c>
      <c r="Z88" s="4">
        <v>1</v>
      </c>
      <c r="AA88" s="4">
        <v>0</v>
      </c>
      <c r="AB88" s="4">
        <v>0</v>
      </c>
      <c r="AC88" s="4">
        <v>0</v>
      </c>
      <c r="AD88" s="4">
        <v>0</v>
      </c>
      <c r="AE88" s="4" t="s">
        <v>45</v>
      </c>
      <c r="AF88" s="4" t="s">
        <v>401</v>
      </c>
      <c r="AG88" s="49" t="s">
        <v>394</v>
      </c>
      <c r="AH88" s="4" t="str">
        <f>Animals!$C$87</f>
        <v>&lt;li&gt;Seal&lt;/li&gt;</v>
      </c>
      <c r="AI88" s="4">
        <v>0</v>
      </c>
      <c r="AJ88" s="4">
        <v>1</v>
      </c>
      <c r="AK88" s="4">
        <v>0</v>
      </c>
      <c r="AL88" s="4">
        <v>0</v>
      </c>
      <c r="AM88" s="4">
        <v>0</v>
      </c>
      <c r="AN88" s="44">
        <v>13</v>
      </c>
      <c r="AO88" s="8">
        <f t="shared" si="34"/>
        <v>99730.902585309115</v>
      </c>
      <c r="AP88" s="8">
        <f>IFERROR(C88*_xlfn.XLOOKUP(E88,Groups!A:A,Groups!K:K),0.106*C88^0.94)</f>
        <v>126.309375</v>
      </c>
      <c r="AQ88" s="8">
        <f>AP88*10000/(_xlfn.XLOOKUP(E88,Groups!A:A,Groups!J:J)*AO88)</f>
        <v>11.619283245866109</v>
      </c>
      <c r="AR88" s="8">
        <f t="shared" si="35"/>
        <v>18797.406492948736</v>
      </c>
      <c r="AS88" s="8">
        <f>IF(_xlfn.XLOOKUP(E88,Groups!A:A,Groups!M:M)=1,EXP(0.7444*LN('Base stats'!C88)+6.5696),EXP(0.7927*LN('Base stats'!C88)+4.28))</f>
        <v>17424.367581962186</v>
      </c>
      <c r="AT88" s="8" t="str">
        <f>IF(_xlfn.XLOOKUP(E88,Groups!A:A,Groups!N:N)="No","No",
IF(_xlfn.XLOOKUP(E88,Groups!A:A,Groups!N:N)="Crocodile",EXP(0.8129*LN(C88)+4.6742)*S88,
IF(_xlfn.XLOOKUP(E88,Groups!A:A,Groups!N:N)="Felid",EXP(0.7843*LN(C88)+4.7073)*S88,
IF(_xlfn.XLOOKUP(E88,Groups!A:A,Groups!N:N)="Canid",EXP(0.8367*LN(C88)+4.8763)*S88,
IF(_xlfn.XLOOKUP(E88,Groups!A:A,Groups!N:N)="Pig",EXP(0.3439*LN(C88)+6.8519)*S88,
IF(_xlfn.XLOOKUP(E88,Groups!A:A,Groups!N:N)="Rodent",EXP(0.5625*LN(C88)+4.3006)*S88,
IF(_xlfn.XLOOKUP(E88,Groups!A:A,Groups!N:N)="Primate",EXP(0.7847*LN(C88)+3.4931)*S88,
IF(_xlfn.XLOOKUP(E88,Groups!A:A,Groups!N:N)="MiscCarnivora",EXP(0.7486*LN(C88)+4.2207)*S88,
IF(_xlfn.XLOOKUP(E88,Groups!A:A,Groups!N:N)="Lizard",EXP(0.7733*LN(C88)+5.5303)*S88,
IF(_xlfn.XLOOKUP(E88,Groups!A:A,Groups!N:N)="Snake",50*C88^(2/3)*S88,
IF(_xlfn.XLOOKUP(E88,Groups!A:A,Groups!N:N)="StrongBitingHerbivore",87.1133638856975*C88^(2/3)*S88,
IF(_xlfn.XLOOKUP(E88,Groups!A:A,Groups!N:N)="MiscEctotherms",59.4316884072269*C88^(2/3)*S88,
IF(_xlfn.XLOOKUP(E88,Groups!A:A,Groups!N:N)="StrongBeakBird",0.041*(C88*1000)^1.375*S88,
IF(_xlfn.XLOOKUP(E88,Groups!A:A,Groups!N:N)="Bird",0.118*(C88*1000)^0.692*S88,
IF(_xlfn.XLOOKUP(E88,Groups!A:A,Groups!N:N)="Insect",EXP(0.7444*LN(C88)+6.5696)*S88,
IF(_xlfn.XLOOKUP(E88,Groups!A:A,Groups!N:N)="Theropod",EXP(0.6966*LN(C88)+4.158)*S88,
"No"))))))))))))))))</f>
        <v>No</v>
      </c>
      <c r="AU88" s="8">
        <f>IF(_xlfn.XLOOKUP(E88,Groups!A:A,Groups!U:U)=3,AS88,IF(_xlfn.XLOOKUP(E88,Groups!A:A,Groups!U:U)=2,AR88,AT88))</f>
        <v>17424.367581962186</v>
      </c>
      <c r="AV88" s="46">
        <f>IFERROR(AVERAGE(_xlfn.XLOOKUP(B88,Animals!B:B,Animals!N:N),_xlfn.XLOOKUP(B88,Animals!B:B,Animals!O:O)),0)</f>
        <v>0</v>
      </c>
      <c r="AW88" s="8">
        <f>MROUND(40*Animals!AO88*_xlfn.XLOOKUP(AG88,Leathers!$A$2:$A$99,Leathers!$B$2:$B$99,0)+(140*_xlfn.XLOOKUP(B88,Animals!B:B,Animals!AO:AO)*2),5)</f>
        <v>1540</v>
      </c>
      <c r="AX88" s="8">
        <f>IFERROR(ROUND(SQRT(V88-1)*IF(_xlfn.XLOOKUP(E88,Groups!A:A,Groups!BF:BF)=0,2,1)*IF(_xlfn.XLOOKUP('Base stats'!E88,Groups!A:A,Groups!O:O)=0,1,0.1),1),0)</f>
        <v>0</v>
      </c>
      <c r="AY88" s="8">
        <f t="shared" si="36"/>
        <v>0</v>
      </c>
      <c r="AZ88" s="8">
        <f t="shared" si="37"/>
        <v>7.1</v>
      </c>
      <c r="BA88" s="8">
        <f t="shared" si="38"/>
        <v>9.6</v>
      </c>
      <c r="BB88" s="8">
        <f>IF(_xlfn.XLOOKUP(E88,Groups!A:A,Groups!N:N)="Insect",BD88*2.5,IFERROR(AVERAGE(BD88,AT88/9.81/IF(OR(_xlfn.XLOOKUP(E88,Groups!A:A,Groups!N:N)="Pig",_xlfn.XLOOKUP(E88,Groups!A:A,Groups!N:N)="StrongBitingHerbivore"),20,25))*C88^-0.135,BD88))</f>
        <v>12.324500833292777</v>
      </c>
      <c r="BC88" s="8">
        <f>IF(W88="No","No",IF(_xlfn.XLOOKUP(E88,Groups!A:A,Groups!U:U)=1,'Base stats'!BB88,IF(OR(_xlfn.XLOOKUP(E88,Groups!A:A,Groups!BD:BD)=1,_xlfn.XLOOKUP(E88,Groups!A:A,Groups!U:U)=2),BD88,IF(_xlfn.XLOOKUP(B88,Animals!B:B,Animals!AO:AO)&gt;4,AVERAGE(BD88,BF88),BF88))))</f>
        <v>11.541213487704422</v>
      </c>
      <c r="BD88" s="8">
        <f t="shared" si="39"/>
        <v>12.324500833292777</v>
      </c>
      <c r="BE88" s="8">
        <f>IF(_xlfn.XLOOKUP(E88,Groups!A:A,Groups!BE:BE)=1,(0.048*C88^1.01)+(0.071*C88^1.03),0.071*C88^1.03)/IF(_xlfn.XLOOKUP(E88,Groups!A:A,Groups!M:M)=1,0.85,IF(OR(_xlfn.XLOOKUP(B88,Animals!B:B,Animals!AO:AO)&gt;4,_xlfn.XLOOKUP(E88,Groups!A:A,Groups!BC:BC)=1),1.7,1))*C88^-0.25</f>
        <v>15.684348139008776</v>
      </c>
      <c r="BF88" s="8">
        <f>(0.048*C88^1.01)/IF(_xlfn.XLOOKUP(E88,Groups!A:A,Groups!M:M)=1,0.25,0.8)*C88^-0.25</f>
        <v>11.541213487704422</v>
      </c>
      <c r="BG88" s="8">
        <f>EXP(1.076*LN(AR88)-4.5397)*IF(_xlfn.XLOOKUP(E88,Groups!A:A,Groups!BC:BC)=1,1.25,IF(_xlfn.XLOOKUP(E88,Groups!A:A,Groups!BD:BD)=1,3.5,2.5))</f>
        <v>1059.9923359772902</v>
      </c>
      <c r="BH88" s="8">
        <f>EXP(1.076*LN(AS88)-4.5397)*IF(_xlfn.XLOOKUP(E88,Groups!A:A,Groups!M:M)=1,0.8,IF(_xlfn.XLOOKUP(E88,Groups!A:A,Groups!BC:BC)=1,1.3,3))</f>
        <v>1172.3021281689462</v>
      </c>
      <c r="BI88" s="8">
        <f>IF(W88="No","No",IF(_xlfn.XLOOKUP(E88,Groups!A:A,Groups!U:U)=1,'Base stats'!BJ88,IF(OR(_xlfn.XLOOKUP(E88,Groups!A:A,Groups!BD:BD)=1,_xlfn.XLOOKUP(E88,Groups!A:A,Groups!U:U)=2),BG88,BH88))*1.2)</f>
        <v>1406.7625538027353</v>
      </c>
      <c r="BJ88" s="8" t="str">
        <f>IFERROR(EXP(1.076*LN(AT88)-4.5397)*IF(_xlfn.XLOOKUP(E88,Groups!A:A,Groups!N:N)="Insect",1,IF(OR(_xlfn.XLOOKUP(E88,Groups!A:A,Groups!N:N)="Pig",_xlfn.XLOOKUP(E88,Groups!A:A,Groups!N:N)="StrongBitingHerbivore"),3.5,3.75)),"No")</f>
        <v>No</v>
      </c>
      <c r="BK88" s="8">
        <f t="shared" si="40"/>
        <v>13</v>
      </c>
      <c r="BL88" s="8">
        <f t="shared" si="41"/>
        <v>12</v>
      </c>
      <c r="BM88" s="8">
        <f t="shared" si="42"/>
        <v>15</v>
      </c>
      <c r="BN88" s="8" t="str">
        <f t="shared" si="43"/>
        <v>No</v>
      </c>
      <c r="BO88" s="8">
        <f t="shared" si="44"/>
        <v>14</v>
      </c>
      <c r="BP88" s="8" t="str" cm="1">
        <f t="array" ref="BP88">IF(AND(_xlfn.XLOOKUP('Base stats'!E88,Groups!A:A,Groups!AD:AD=0),_xlfn.XLOOKUP('Base stats'!E88,Groups!A:A,Groups!P:P=0)),"No",IF(U88="No",AVERAGE(EXP(-0.57+0.99*LN(C88)),EXP(0.32+0.67*LN(C88)))/IF(_xlfn.XLOOKUP(E88,Groups!A:A,Groups!AD:AD)=1,10,2),(0.7354*C88^0.4078)*2/IF(_xlfn.XLOOKUP(E88,Groups!A:A,Groups!BK:BK)=1,1000,100)/IF(_xlfn.XLOOKUP(E88,Groups!A:A,Groups!AJ:AJ)="Photonozoa",3,1)))</f>
        <v>No</v>
      </c>
      <c r="BQ88" s="8">
        <f>IF(W88="No","No",IF(_xlfn.XLOOKUP(E88,Groups!A:A,Groups!BD:BD)=1,(AO88*5%),EXP(0.7354*LN(C88)^0.4078)*2/IF(_xlfn.XLOOKUP(E88,Groups!A:A,Groups!BL:BL)=1,1000,100)/IF(_xlfn.XLOOKUP(E88,Groups!A:A,Groups!AJ:AJ)="Photonozoa",3,1)))</f>
        <v>0.10091436540167323</v>
      </c>
      <c r="BR88" s="8" t="str">
        <f>IF(BJ88="No","No",IF(_xlfn.XLOOKUP(E88,Groups!A:A,Groups!BF:BF)=1,(0.0315*C88+2.1825)*2,(0.7354*C88^0.4078)*2)/IF(_xlfn.XLOOKUP(E88,Groups!A:A,Groups!BM:BM)=1,1000,100)/IF(_xlfn.XLOOKUP(E88,Groups!A:A,Groups!AJ:AJ)="Photonozoa",3,1))</f>
        <v>No</v>
      </c>
      <c r="BS88" s="8">
        <f t="shared" si="45"/>
        <v>0.21257048888544453</v>
      </c>
      <c r="BT88" s="8" t="str">
        <f t="shared" si="46"/>
        <v>No</v>
      </c>
      <c r="BU88" s="8">
        <f t="shared" si="47"/>
        <v>13940.161524113495</v>
      </c>
      <c r="BV88" s="8" t="str">
        <f t="shared" si="48"/>
        <v>No</v>
      </c>
      <c r="BW88" s="4">
        <v>0</v>
      </c>
      <c r="BX88" s="4">
        <v>1</v>
      </c>
    </row>
    <row r="89" spans="1:76" x14ac:dyDescent="0.25">
      <c r="A89" s="26" t="s">
        <v>108</v>
      </c>
      <c r="B89" s="6" t="s">
        <v>109</v>
      </c>
      <c r="C89" s="7">
        <v>150</v>
      </c>
      <c r="D89" s="7" t="s">
        <v>1251</v>
      </c>
      <c r="E89" s="7" t="str">
        <f>Groups!$A$45</f>
        <v>Ape</v>
      </c>
      <c r="F89" s="7">
        <v>256</v>
      </c>
      <c r="G89" s="7">
        <f>2829 /365</f>
        <v>7.7506849315068491</v>
      </c>
      <c r="H89" s="7">
        <v>60.1</v>
      </c>
      <c r="I89" s="4">
        <v>1</v>
      </c>
      <c r="J89" s="7">
        <v>1</v>
      </c>
      <c r="K89" s="7" t="s">
        <v>572</v>
      </c>
      <c r="L89" s="7">
        <v>32</v>
      </c>
      <c r="M89" s="7" t="s">
        <v>626</v>
      </c>
      <c r="N89" s="4">
        <v>0</v>
      </c>
      <c r="O89" s="4">
        <v>0</v>
      </c>
      <c r="P89" s="4">
        <v>0</v>
      </c>
      <c r="Q89" s="4">
        <v>0</v>
      </c>
      <c r="R89" s="4" t="s">
        <v>40</v>
      </c>
      <c r="S89" s="7">
        <f>_xlfn.XLOOKUP(B89,[1]TeethAdjusters!$A:$A,[1]BiteAdjusters!$C:$C,1)</f>
        <v>1.1676825028331534</v>
      </c>
      <c r="T89" s="7">
        <f>_xlfn.XLOOKUP(B89,[1]TeethAdjusters!$A:$A,[1]TeethAdjusters!$B:$B,1)</f>
        <v>0.6787493024042468</v>
      </c>
      <c r="U89" s="7" t="s">
        <v>45</v>
      </c>
      <c r="V89" s="7">
        <f>IF(AT89="No","No",IF(_xlfn.XLOOKUP(E89,Groups!A:A,Groups!AM:AM)=1,MROUND(EXP(0.3582*LN(C89)-0.2221)*T89,0.05),IF(_xlfn.XLOOKUP(E89,Groups!A:A,Groups!AM:AM)=2,MROUND(EXP(0.3582*LN(C89)-0.2221)*T89,0.05),"Need a formula")))</f>
        <v>3.25</v>
      </c>
      <c r="W89" s="7" t="s">
        <v>45</v>
      </c>
      <c r="X89" s="7" t="s">
        <v>932</v>
      </c>
      <c r="Y89" s="4" t="s">
        <v>42</v>
      </c>
      <c r="Z89" s="4">
        <v>1</v>
      </c>
      <c r="AA89" s="4">
        <v>0</v>
      </c>
      <c r="AB89" s="4">
        <v>0</v>
      </c>
      <c r="AC89" s="4">
        <v>0</v>
      </c>
      <c r="AD89" s="4">
        <v>0</v>
      </c>
      <c r="AE89" s="4" t="s">
        <v>1046</v>
      </c>
      <c r="AF89" s="4" t="s">
        <v>398</v>
      </c>
      <c r="AG89" s="49" t="s">
        <v>385</v>
      </c>
      <c r="AH89" s="4" t="str">
        <f>Animals!$C$31</f>
        <v>&lt;li&gt;Monkey&lt;/li&gt;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4" t="s">
        <v>40</v>
      </c>
      <c r="AO89" s="8">
        <f t="shared" si="34"/>
        <v>28825.861601687579</v>
      </c>
      <c r="AP89" s="8">
        <f>IFERROR(C89*_xlfn.XLOOKUP(E89,Groups!A:A,Groups!K:K),0.106*C89^0.94)</f>
        <v>11.771495712556113</v>
      </c>
      <c r="AQ89" s="8">
        <f>AP89*10000/(_xlfn.XLOOKUP(E89,Groups!A:A,Groups!J:J)*AO89)</f>
        <v>3.7464751271603496</v>
      </c>
      <c r="AR89" s="8">
        <f t="shared" si="35"/>
        <v>3746.1489061563307</v>
      </c>
      <c r="AS89" s="8">
        <f>IF(_xlfn.XLOOKUP(E89,Groups!A:A,Groups!M:M)=1,EXP(0.7444*LN('Base stats'!C89)+6.5696),EXP(0.7927*LN('Base stats'!C89)+4.28))</f>
        <v>3835.0225645496203</v>
      </c>
      <c r="AT89" s="8">
        <f>IF(_xlfn.XLOOKUP(E89,Groups!A:A,Groups!N:N)="No","No",
IF(_xlfn.XLOOKUP(E89,Groups!A:A,Groups!N:N)="Crocodile",EXP(0.8129*LN(C89)+4.6742)*S89,
IF(_xlfn.XLOOKUP(E89,Groups!A:A,Groups!N:N)="Felid",EXP(0.7843*LN(C89)+4.7073)*S89,
IF(_xlfn.XLOOKUP(E89,Groups!A:A,Groups!N:N)="Canid",EXP(0.8367*LN(C89)+4.8763)*S89,
IF(_xlfn.XLOOKUP(E89,Groups!A:A,Groups!N:N)="Pig",EXP(0.3439*LN(C89)+6.8519)*S89,
IF(_xlfn.XLOOKUP(E89,Groups!A:A,Groups!N:N)="Rodent",EXP(0.5625*LN(C89)+4.3006)*S89,
IF(_xlfn.XLOOKUP(E89,Groups!A:A,Groups!N:N)="Primate",EXP(0.7847*LN(C89)+3.4931)*S89,
IF(_xlfn.XLOOKUP(E89,Groups!A:A,Groups!N:N)="MiscCarnivora",EXP(0.7486*LN(C89)+4.2207)*S89,
IF(_xlfn.XLOOKUP(E89,Groups!A:A,Groups!N:N)="Lizard",EXP(0.7733*LN(C89)+5.5303)*S89,
IF(_xlfn.XLOOKUP(E89,Groups!A:A,Groups!N:N)="Snake",50*C89^(2/3)*S89,
IF(_xlfn.XLOOKUP(E89,Groups!A:A,Groups!N:N)="StrongBitingHerbivore",87.1133638856975*C89^(2/3)*S89,
IF(_xlfn.XLOOKUP(E89,Groups!A:A,Groups!N:N)="MiscEctotherms",59.4316884072269*C89^(2/3)*S89,
IF(_xlfn.XLOOKUP(E89,Groups!A:A,Groups!N:N)="StrongBeakBird",0.041*(C89*1000)^1.375*S89,
IF(_xlfn.XLOOKUP(E89,Groups!A:A,Groups!N:N)="Bird",0.118*(C89*1000)^0.692*S89,
IF(_xlfn.XLOOKUP(E89,Groups!A:A,Groups!N:N)="Insect",EXP(0.7444*LN(C89)+6.5696)*S89,
IF(_xlfn.XLOOKUP(E89,Groups!A:A,Groups!N:N)="Theropod",EXP(0.6966*LN(C89)+4.158)*S89,
"No"))))))))))))))))</f>
        <v>1958.5634169804396</v>
      </c>
      <c r="AU89" s="8">
        <f>IF(_xlfn.XLOOKUP(E89,Groups!A:A,Groups!U:U)=3,AS89,IF(_xlfn.XLOOKUP(E89,Groups!A:A,Groups!U:U)=2,AR89,AT89))</f>
        <v>1958.5634169804396</v>
      </c>
      <c r="AV89" s="46">
        <f>IFERROR(AVERAGE(_xlfn.XLOOKUP(B89,Animals!B:B,Animals!N:N),_xlfn.XLOOKUP(B89,Animals!B:B,Animals!O:O)),0)</f>
        <v>0</v>
      </c>
      <c r="AW89" s="8">
        <f>MROUND(40*Animals!AO89*_xlfn.XLOOKUP(AG89,Leathers!$A$2:$A$99,Leathers!$B$2:$B$99,0)+(140*_xlfn.XLOOKUP(B89,Animals!B:B,Animals!AO:AO)*2),5)</f>
        <v>535</v>
      </c>
      <c r="AX89" s="8">
        <f>IFERROR(ROUND(SQRT(V89-1)*IF(_xlfn.XLOOKUP(E89,Groups!A:A,Groups!BF:BF)=0,2,1)*IF(_xlfn.XLOOKUP('Base stats'!E89,Groups!A:A,Groups!O:O)=0,1,0.1),1),0)</f>
        <v>3</v>
      </c>
      <c r="AY89" s="8">
        <f t="shared" si="36"/>
        <v>0</v>
      </c>
      <c r="AZ89" s="8">
        <f t="shared" si="37"/>
        <v>0</v>
      </c>
      <c r="BA89" s="8">
        <f t="shared" si="38"/>
        <v>4.8</v>
      </c>
      <c r="BB89" s="8">
        <f>IF(_xlfn.XLOOKUP(E89,Groups!A:A,Groups!N:N)="Insect",BD89*2.5,IFERROR(AVERAGE(BD89,AT89/9.81/IF(OR(_xlfn.XLOOKUP(E89,Groups!A:A,Groups!N:N)="Pig",_xlfn.XLOOKUP(E89,Groups!A:A,Groups!N:N)="StrongBitingHerbivore"),20,25))*C89^-0.135,BD89))</f>
        <v>2.4659107178066355</v>
      </c>
      <c r="BC89" s="8" t="str">
        <f>IF(W89="No","No",IF(_xlfn.XLOOKUP(E89,Groups!A:A,Groups!U:U)=1,'Base stats'!BB89,IF(OR(_xlfn.XLOOKUP(E89,Groups!A:A,Groups!BD:BD)=1,_xlfn.XLOOKUP(E89,Groups!A:A,Groups!U:U)=2),BD89,IF(_xlfn.XLOOKUP(B89,Animals!B:B,Animals!AO:AO)&gt;4,AVERAGE(BD89,BF89),BF89))))</f>
        <v>No</v>
      </c>
      <c r="BD89" s="8">
        <f t="shared" si="39"/>
        <v>1.7141896806845596</v>
      </c>
      <c r="BE89" s="8">
        <f>IF(_xlfn.XLOOKUP(E89,Groups!A:A,Groups!BE:BE)=1,(0.048*C89^1.01)+(0.071*C89^1.03),0.071*C89^1.03)/IF(_xlfn.XLOOKUP(E89,Groups!A:A,Groups!M:M)=1,0.85,IF(OR(_xlfn.XLOOKUP(B89,Animals!B:B,Animals!AO:AO)&gt;4,_xlfn.XLOOKUP(E89,Groups!A:A,Groups!BC:BC)=1),1.7,1))*C89^-0.25</f>
        <v>3.5367920914565221</v>
      </c>
      <c r="BF89" s="8">
        <f>(0.048*C89^1.01)/IF(_xlfn.XLOOKUP(E89,Groups!A:A,Groups!M:M)=1,0.25,0.8)*C89^-0.25</f>
        <v>2.7038376258152188</v>
      </c>
      <c r="BG89" s="8">
        <f>EXP(1.076*LN(AR89)-4.5397)*IF(_xlfn.XLOOKUP(E89,Groups!A:A,Groups!BC:BC)=1,1.25,IF(_xlfn.XLOOKUP(E89,Groups!A:A,Groups!BD:BD)=1,3.5,2.5))</f>
        <v>186.87484615605439</v>
      </c>
      <c r="BH89" s="8">
        <f>EXP(1.076*LN(AS89)-4.5397)*IF(_xlfn.XLOOKUP(E89,Groups!A:A,Groups!M:M)=1,0.8,IF(_xlfn.XLOOKUP(E89,Groups!A:A,Groups!BC:BC)=1,1.3,3))</f>
        <v>229.97937056804284</v>
      </c>
      <c r="BI89" s="8" t="str">
        <f>IF(W89="No","No",IF(_xlfn.XLOOKUP(E89,Groups!A:A,Groups!U:U)=1,'Base stats'!BJ89,IF(OR(_xlfn.XLOOKUP(E89,Groups!A:A,Groups!BD:BD)=1,_xlfn.XLOOKUP(E89,Groups!A:A,Groups!U:U)=2),BG89,BH89))*1.2)</f>
        <v>No</v>
      </c>
      <c r="BJ89" s="8">
        <f>IFERROR(EXP(1.076*LN(AT89)-4.5397)*IF(_xlfn.XLOOKUP(E89,Groups!A:A,Groups!N:N)="Insect",1,IF(OR(_xlfn.XLOOKUP(E89,Groups!A:A,Groups!N:N)="Pig",_xlfn.XLOOKUP(E89,Groups!A:A,Groups!N:N)="StrongBitingHerbivore"),3.5,3.75)),"No")</f>
        <v>139.504914419214</v>
      </c>
      <c r="BK89" s="8">
        <f t="shared" si="40"/>
        <v>14</v>
      </c>
      <c r="BL89" s="8">
        <f t="shared" si="41"/>
        <v>11</v>
      </c>
      <c r="BM89" s="8" t="str">
        <f t="shared" si="42"/>
        <v>No</v>
      </c>
      <c r="BN89" s="8">
        <f t="shared" si="43"/>
        <v>10</v>
      </c>
      <c r="BO89" s="8">
        <f t="shared" si="44"/>
        <v>13</v>
      </c>
      <c r="BP89" s="8" cm="1">
        <f t="array" ref="BP89">IF(AND(_xlfn.XLOOKUP('Base stats'!E89,Groups!A:A,Groups!AD:AD=0),_xlfn.XLOOKUP('Base stats'!E89,Groups!A:A,Groups!P:P=0)),"No",IF(U89="No",AVERAGE(EXP(-0.57+0.99*LN(C89)),EXP(0.32+0.67*LN(C89)))/IF(_xlfn.XLOOKUP(E89,Groups!A:A,Groups!AD:AD)=1,10,2),(0.7354*C89^0.4078)*2/IF(_xlfn.XLOOKUP(E89,Groups!A:A,Groups!BK:BK)=1,1000,100)/IF(_xlfn.XLOOKUP(E89,Groups!A:A,Groups!AJ:AJ)="Photonozoa",3,1)))</f>
        <v>6.0107842131370601</v>
      </c>
      <c r="BQ89" s="8" t="str">
        <f>IF(W89="No","No",IF(_xlfn.XLOOKUP(E89,Groups!A:A,Groups!BD:BD)=1,(AO89*5%),EXP(0.7354*LN(C89)^0.4078)*2/IF(_xlfn.XLOOKUP(E89,Groups!A:A,Groups!BL:BL)=1,1000,100)/IF(_xlfn.XLOOKUP(E89,Groups!A:A,Groups!AJ:AJ)="Photonozoa",3,1)))</f>
        <v>No</v>
      </c>
      <c r="BR89" s="8">
        <f>IF(BJ89="No","No",IF(_xlfn.XLOOKUP(E89,Groups!A:A,Groups!BF:BF)=1,(0.0315*C89+2.1825)*2,(0.7354*C89^0.4078)*2)/IF(_xlfn.XLOOKUP(E89,Groups!A:A,Groups!BM:BM)=1,1000,100)/IF(_xlfn.XLOOKUP(E89,Groups!A:A,Groups!AJ:AJ)="Photonozoa",3,1))</f>
        <v>0.11349157855001941</v>
      </c>
      <c r="BS89" s="8">
        <f t="shared" si="45"/>
        <v>0.12965776963635597</v>
      </c>
      <c r="BT89" s="8">
        <f t="shared" si="46"/>
        <v>38.2611257388685</v>
      </c>
      <c r="BU89" s="8" t="str">
        <f t="shared" si="47"/>
        <v>No</v>
      </c>
      <c r="BV89" s="8">
        <f t="shared" si="48"/>
        <v>1229.2093933448082</v>
      </c>
      <c r="BW89" s="4">
        <v>0</v>
      </c>
      <c r="BX89" s="4">
        <v>1</v>
      </c>
    </row>
    <row r="90" spans="1:76" x14ac:dyDescent="0.25">
      <c r="A90" s="26" t="s">
        <v>211</v>
      </c>
      <c r="B90" s="6" t="s">
        <v>259</v>
      </c>
      <c r="C90" s="7">
        <v>87</v>
      </c>
      <c r="D90" s="7" t="s">
        <v>573</v>
      </c>
      <c r="E90" s="7" t="str">
        <f>Groups!$A$28</f>
        <v>Lizard (MONITOR, SCAVENGER)</v>
      </c>
      <c r="F90" s="7" t="str">
        <f t="shared" ref="F90:F92" si="49">"Lay eggs"</f>
        <v>Lay eggs</v>
      </c>
      <c r="G90" s="7">
        <f>1825/365</f>
        <v>5</v>
      </c>
      <c r="H90" s="7">
        <v>62</v>
      </c>
      <c r="I90" s="4">
        <v>0</v>
      </c>
      <c r="J90" s="7" t="str">
        <f t="shared" ref="J90:J91" si="50">"Lay eggs"</f>
        <v>Lay eggs</v>
      </c>
      <c r="K90" s="7" t="s">
        <v>573</v>
      </c>
      <c r="L90" s="7">
        <v>20</v>
      </c>
      <c r="M90" s="7" t="s">
        <v>637</v>
      </c>
      <c r="N90" s="4">
        <v>0</v>
      </c>
      <c r="O90" s="4">
        <v>0</v>
      </c>
      <c r="P90" s="4">
        <v>0</v>
      </c>
      <c r="Q90" s="4">
        <v>0</v>
      </c>
      <c r="R90" s="4" t="s">
        <v>40</v>
      </c>
      <c r="S90" s="7">
        <f>_xlfn.XLOOKUP(B90,[1]TeethAdjusters!$A:$A,[1]BiteAdjusters!$C:$C,1)</f>
        <v>0.36515827447155735</v>
      </c>
      <c r="T90" s="7">
        <f>_xlfn.XLOOKUP(B90,[1]TeethAdjusters!$A:$A,[1]TeethAdjusters!$B:$B,1)</f>
        <v>1</v>
      </c>
      <c r="U90" s="7">
        <v>2</v>
      </c>
      <c r="V90" s="7">
        <v>2.5</v>
      </c>
      <c r="W90" s="7" t="s">
        <v>45</v>
      </c>
      <c r="X90" s="7" t="s">
        <v>932</v>
      </c>
      <c r="Y90" s="4" t="s">
        <v>56</v>
      </c>
      <c r="Z90" s="4">
        <v>1</v>
      </c>
      <c r="AA90" s="4">
        <v>0</v>
      </c>
      <c r="AB90" s="4">
        <v>0</v>
      </c>
      <c r="AC90" s="4">
        <v>0</v>
      </c>
      <c r="AD90" s="4">
        <v>0</v>
      </c>
      <c r="AE90" s="4" t="s">
        <v>45</v>
      </c>
      <c r="AF90" s="4" t="s">
        <v>45</v>
      </c>
      <c r="AG90" s="49" t="s">
        <v>386</v>
      </c>
      <c r="AH90" s="4" t="str">
        <f>Animals!$C$32</f>
        <v>&lt;li&gt;Iguana&lt;/li&gt;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4" t="s">
        <v>40</v>
      </c>
      <c r="AO90" s="8">
        <f t="shared" si="34"/>
        <v>20230.680574341102</v>
      </c>
      <c r="AP90" s="8">
        <f>IFERROR(C90*_xlfn.XLOOKUP(E90,Groups!A:A,Groups!K:K),0.106*C90^0.94)</f>
        <v>7.0543006115668359</v>
      </c>
      <c r="AQ90" s="8">
        <f>AP90*10000/(_xlfn.XLOOKUP(E90,Groups!A:A,Groups!J:J)*AO90)</f>
        <v>3.1990201217768943</v>
      </c>
      <c r="AR90" s="8">
        <f t="shared" si="35"/>
        <v>2364.5726521368742</v>
      </c>
      <c r="AS90" s="8">
        <f>IF(_xlfn.XLOOKUP(E90,Groups!A:A,Groups!M:M)=1,EXP(0.7444*LN('Base stats'!C90)+6.5696),EXP(0.7927*LN('Base stats'!C90)+4.28))</f>
        <v>2490.2175762402062</v>
      </c>
      <c r="AT90" s="8">
        <f>IF(_xlfn.XLOOKUP(E90,Groups!A:A,Groups!N:N)="No","No",
IF(_xlfn.XLOOKUP(E90,Groups!A:A,Groups!N:N)="Crocodile",EXP(0.8129*LN(C90)+4.6742)*S90,
IF(_xlfn.XLOOKUP(E90,Groups!A:A,Groups!N:N)="Felid",EXP(0.7843*LN(C90)+4.7073)*S90,
IF(_xlfn.XLOOKUP(E90,Groups!A:A,Groups!N:N)="Canid",EXP(0.8367*LN(C90)+4.8763)*S90,
IF(_xlfn.XLOOKUP(E90,Groups!A:A,Groups!N:N)="Pig",EXP(0.3439*LN(C90)+6.8519)*S90,
IF(_xlfn.XLOOKUP(E90,Groups!A:A,Groups!N:N)="Rodent",EXP(0.5625*LN(C90)+4.3006)*S90,
IF(_xlfn.XLOOKUP(E90,Groups!A:A,Groups!N:N)="Primate",EXP(0.7847*LN(C90)+3.4931)*S90,
IF(_xlfn.XLOOKUP(E90,Groups!A:A,Groups!N:N)="MiscCarnivora",EXP(0.7486*LN(C90)+4.2207)*S90,
IF(_xlfn.XLOOKUP(E90,Groups!A:A,Groups!N:N)="Lizard",EXP(0.7733*LN(C90)+5.5303)*S90,
IF(_xlfn.XLOOKUP(E90,Groups!A:A,Groups!N:N)="Snake",50*C90^(2/3)*S90,
IF(_xlfn.XLOOKUP(E90,Groups!A:A,Groups!N:N)="StrongBitingHerbivore",87.1133638856975*C90^(2/3)*S90,
IF(_xlfn.XLOOKUP(E90,Groups!A:A,Groups!N:N)="MiscEctotherms",59.4316884072269*C90^(2/3)*S90,
IF(_xlfn.XLOOKUP(E90,Groups!A:A,Groups!N:N)="StrongBeakBird",0.041*(C90*1000)^1.375*S90,
IF(_xlfn.XLOOKUP(E90,Groups!A:A,Groups!N:N)="Bird",0.118*(C90*1000)^0.692*S90,
IF(_xlfn.XLOOKUP(E90,Groups!A:A,Groups!N:N)="Insect",EXP(0.7444*LN(C90)+6.5696)*S90,
IF(_xlfn.XLOOKUP(E90,Groups!A:A,Groups!N:N)="Theropod",EXP(0.6966*LN(C90)+4.158)*S90,
"No"))))))))))))))))</f>
        <v>2911.3214320540633</v>
      </c>
      <c r="AU90" s="8">
        <f>IF(_xlfn.XLOOKUP(E90,Groups!A:A,Groups!U:U)=3,AS90,IF(_xlfn.XLOOKUP(E90,Groups!A:A,Groups!U:U)=2,AR90,AT90))</f>
        <v>2911.3214320540633</v>
      </c>
      <c r="AV90" s="46">
        <f>IFERROR(AVERAGE(_xlfn.XLOOKUP(B90,Animals!B:B,Animals!N:N),_xlfn.XLOOKUP(B90,Animals!B:B,Animals!O:O)),0)</f>
        <v>0</v>
      </c>
      <c r="AW90" s="8">
        <f>MROUND(40*Animals!AO90*_xlfn.XLOOKUP(AG90,Leathers!$A$2:$A$99,Leathers!$B$2:$B$99,0)+(140*_xlfn.XLOOKUP(B90,Animals!B:B,Animals!AO:AO)*2),5)</f>
        <v>525</v>
      </c>
      <c r="AX90" s="8">
        <f>IFERROR(ROUND(SQRT(V90-1)*IF(_xlfn.XLOOKUP(E90,Groups!A:A,Groups!BF:BF)=0,2,1)*IF(_xlfn.XLOOKUP('Base stats'!E90,Groups!A:A,Groups!O:O)=0,1,0.1),1),0)</f>
        <v>2.4</v>
      </c>
      <c r="AY90" s="8">
        <f t="shared" si="36"/>
        <v>1</v>
      </c>
      <c r="AZ90" s="8">
        <f t="shared" si="37"/>
        <v>0</v>
      </c>
      <c r="BA90" s="8">
        <f t="shared" si="38"/>
        <v>4</v>
      </c>
      <c r="BB90" s="8">
        <f>IF(_xlfn.XLOOKUP(E90,Groups!A:A,Groups!N:N)="Insect",BD90*2.5,IFERROR(AVERAGE(BD90,AT90/9.81/IF(OR(_xlfn.XLOOKUP(E90,Groups!A:A,Groups!N:N)="Pig",_xlfn.XLOOKUP(E90,Groups!A:A,Groups!N:N)="StrongBitingHerbivore"),20,25))*C90^-0.135,BD90))</f>
        <v>3.6866939696073127</v>
      </c>
      <c r="BC90" s="8" t="str">
        <f>IF(W90="No","No",IF(_xlfn.XLOOKUP(E90,Groups!A:A,Groups!U:U)=1,'Base stats'!BB90,IF(OR(_xlfn.XLOOKUP(E90,Groups!A:A,Groups!BD:BD)=1,_xlfn.XLOOKUP(E90,Groups!A:A,Groups!U:U)=2),BD90,IF(_xlfn.XLOOKUP(B90,Animals!B:B,Animals!AO:AO)&gt;4,AVERAGE(BD90,BF90),BF90))))</f>
        <v>No</v>
      </c>
      <c r="BD90" s="8">
        <f t="shared" si="39"/>
        <v>1.6033434647752516</v>
      </c>
      <c r="BE90" s="8">
        <f>IF(_xlfn.XLOOKUP(E90,Groups!A:A,Groups!BE:BE)=1,(0.048*C90^1.01)+(0.071*C90^1.03),0.071*C90^1.03)/IF(_xlfn.XLOOKUP(E90,Groups!A:A,Groups!M:M)=1,0.85,IF(OR(_xlfn.XLOOKUP(B90,Animals!B:B,Animals!AO:AO)&gt;4,_xlfn.XLOOKUP(E90,Groups!A:A,Groups!BC:BC)=1),1.7,1))*C90^-0.25</f>
        <v>2.3125086492409563</v>
      </c>
      <c r="BF90" s="8">
        <f>(0.048*C90^1.01)/IF(_xlfn.XLOOKUP(E90,Groups!A:A,Groups!M:M)=1,0.25,0.8)*C90^-0.25</f>
        <v>1.7872523730274505</v>
      </c>
      <c r="BG90" s="8">
        <f>EXP(1.076*LN(AR90)-4.5397)*IF(_xlfn.XLOOKUP(E90,Groups!A:A,Groups!BC:BC)=1,1.25,IF(_xlfn.XLOOKUP(E90,Groups!A:A,Groups!BD:BD)=1,3.5,2.5))</f>
        <v>113.90196432761797</v>
      </c>
      <c r="BH90" s="8">
        <f>EXP(1.076*LN(AS90)-4.5397)*IF(_xlfn.XLOOKUP(E90,Groups!A:A,Groups!M:M)=1,0.8,IF(_xlfn.XLOOKUP(E90,Groups!A:A,Groups!BC:BC)=1,1.3,3))</f>
        <v>144.51266952975502</v>
      </c>
      <c r="BI90" s="8" t="str">
        <f>IF(W90="No","No",IF(_xlfn.XLOOKUP(E90,Groups!A:A,Groups!U:U)=1,'Base stats'!BJ90,IF(OR(_xlfn.XLOOKUP(E90,Groups!A:A,Groups!BD:BD)=1,_xlfn.XLOOKUP(E90,Groups!A:A,Groups!U:U)=2),BG90,BH90))*1.2)</f>
        <v>No</v>
      </c>
      <c r="BJ90" s="8">
        <f>IFERROR(EXP(1.076*LN(AT90)-4.5397)*IF(_xlfn.XLOOKUP(E90,Groups!A:A,Groups!N:N)="Insect",1,IF(OR(_xlfn.XLOOKUP(E90,Groups!A:A,Groups!N:N)="Pig",_xlfn.XLOOKUP(E90,Groups!A:A,Groups!N:N)="StrongBitingHerbivore"),3.5,3.75)),"No")</f>
        <v>213.71038057558172</v>
      </c>
      <c r="BK90" s="8">
        <f t="shared" si="40"/>
        <v>11</v>
      </c>
      <c r="BL90" s="8">
        <f t="shared" si="41"/>
        <v>11</v>
      </c>
      <c r="BM90" s="8" t="str">
        <f t="shared" si="42"/>
        <v>No</v>
      </c>
      <c r="BN90" s="8">
        <f t="shared" si="43"/>
        <v>10</v>
      </c>
      <c r="BO90" s="8">
        <f t="shared" si="44"/>
        <v>12</v>
      </c>
      <c r="BP90" s="8" cm="1">
        <f t="array" ref="BP90">IF(AND(_xlfn.XLOOKUP('Base stats'!E90,Groups!A:A,Groups!AD:AD=0),_xlfn.XLOOKUP('Base stats'!E90,Groups!A:A,Groups!P:P=0)),"No",IF(U90="No",AVERAGE(EXP(-0.57+0.99*LN(C90)),EXP(0.32+0.67*LN(C90)))/IF(_xlfn.XLOOKUP(E90,Groups!A:A,Groups!AD:AD)=1,10,2),(0.7354*C90^0.4078)*2/IF(_xlfn.XLOOKUP(E90,Groups!A:A,Groups!BK:BK)=1,1000,100)/IF(_xlfn.XLOOKUP(E90,Groups!A:A,Groups!AJ:AJ)="Photonozoa",3,1)))</f>
        <v>9.0884447708193095E-2</v>
      </c>
      <c r="BQ90" s="8" t="str">
        <f>IF(W90="No","No",IF(_xlfn.XLOOKUP(E90,Groups!A:A,Groups!BD:BD)=1,(AO90*5%),EXP(0.7354*LN(C90)^0.4078)*2/IF(_xlfn.XLOOKUP(E90,Groups!A:A,Groups!BL:BL)=1,1000,100)/IF(_xlfn.XLOOKUP(E90,Groups!A:A,Groups!AJ:AJ)="Photonozoa",3,1)))</f>
        <v>No</v>
      </c>
      <c r="BR90" s="8">
        <f>IF(BJ90="No","No",IF(_xlfn.XLOOKUP(E90,Groups!A:A,Groups!BF:BF)=1,(0.0315*C90+2.1825)*2,(0.7354*C90^0.4078)*2)/IF(_xlfn.XLOOKUP(E90,Groups!A:A,Groups!BM:BM)=1,1000,100)/IF(_xlfn.XLOOKUP(E90,Groups!A:A,Groups!AJ:AJ)="Photonozoa",3,1))</f>
        <v>9.0884447708193095E-2</v>
      </c>
      <c r="BS90" s="8">
        <f t="shared" si="45"/>
        <v>0.11260319583324513</v>
      </c>
      <c r="BT90" s="8">
        <f t="shared" si="46"/>
        <v>1590.0703934929388</v>
      </c>
      <c r="BU90" s="8" t="str">
        <f t="shared" si="47"/>
        <v>No</v>
      </c>
      <c r="BV90" s="8">
        <f t="shared" si="48"/>
        <v>2351.4516065691628</v>
      </c>
      <c r="BW90" s="4">
        <v>0</v>
      </c>
      <c r="BX90" s="4">
        <v>1</v>
      </c>
    </row>
    <row r="91" spans="1:76" x14ac:dyDescent="0.25">
      <c r="A91" s="26" t="s">
        <v>186</v>
      </c>
      <c r="B91" s="6" t="s">
        <v>187</v>
      </c>
      <c r="C91" s="7">
        <f>1.35-0.0378*(AVERAGE(278,379))+4.6*10^-6*(AVERAGE(278,379))^3</f>
        <v>151.99890097499997</v>
      </c>
      <c r="D91" s="7" t="s">
        <v>1252</v>
      </c>
      <c r="E91" s="7" t="str">
        <f>Groups!$A$17</f>
        <v>Crocodile</v>
      </c>
      <c r="F91" s="7" t="str">
        <f t="shared" si="49"/>
        <v>Lay eggs</v>
      </c>
      <c r="G91" s="7">
        <f>4380/365</f>
        <v>12</v>
      </c>
      <c r="H91" s="7">
        <v>77</v>
      </c>
      <c r="I91" s="4">
        <v>0</v>
      </c>
      <c r="J91" s="7" t="str">
        <f t="shared" si="50"/>
        <v>Lay eggs</v>
      </c>
      <c r="K91" s="7" t="s">
        <v>574</v>
      </c>
      <c r="L91" s="7">
        <v>12</v>
      </c>
      <c r="M91" s="7" t="s">
        <v>528</v>
      </c>
      <c r="N91" s="4">
        <v>0</v>
      </c>
      <c r="O91" s="4">
        <v>0</v>
      </c>
      <c r="P91" s="4">
        <v>-10</v>
      </c>
      <c r="Q91" s="4">
        <v>0</v>
      </c>
      <c r="R91" s="4" t="s">
        <v>40</v>
      </c>
      <c r="S91" s="7">
        <f>_xlfn.XLOOKUP(B91,[1]TeethAdjusters!$A:$A,[1]BiteAdjusters!$C:$C,1)</f>
        <v>1.5742707783403749</v>
      </c>
      <c r="T91" s="7">
        <f>_xlfn.XLOOKUP(B91,[1]TeethAdjusters!$A:$A,[1]TeethAdjusters!$B:$B,1)</f>
        <v>1</v>
      </c>
      <c r="U91" s="7" t="s">
        <v>45</v>
      </c>
      <c r="V91" s="7">
        <f>MROUND(6/2,0.05)</f>
        <v>3</v>
      </c>
      <c r="W91" s="7" t="s">
        <v>45</v>
      </c>
      <c r="X91" s="7" t="s">
        <v>932</v>
      </c>
      <c r="Y91" s="4" t="s">
        <v>56</v>
      </c>
      <c r="Z91" s="4">
        <v>1</v>
      </c>
      <c r="AA91" s="4">
        <v>0</v>
      </c>
      <c r="AB91" s="4">
        <v>0</v>
      </c>
      <c r="AC91" s="4">
        <v>0</v>
      </c>
      <c r="AD91" s="4">
        <v>0</v>
      </c>
      <c r="AE91" s="4" t="s">
        <v>45</v>
      </c>
      <c r="AF91" s="4" t="s">
        <v>45</v>
      </c>
      <c r="AG91" s="49" t="s">
        <v>386</v>
      </c>
      <c r="AH91" s="4" t="s">
        <v>45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4">
        <v>15</v>
      </c>
      <c r="AO91" s="8">
        <f t="shared" si="34"/>
        <v>29074.969636256101</v>
      </c>
      <c r="AP91" s="8">
        <f>IFERROR(C91*_xlfn.XLOOKUP(E91,Groups!A:A,Groups!K:K),0.106*C91^0.94)</f>
        <v>30.399780194999995</v>
      </c>
      <c r="AQ91" s="8">
        <f>AP91*10000/(_xlfn.XLOOKUP(E91,Groups!A:A,Groups!J:J)*AO91)</f>
        <v>5.621318973414672</v>
      </c>
      <c r="AR91" s="8">
        <f t="shared" si="35"/>
        <v>3788.2739356721245</v>
      </c>
      <c r="AS91" s="8">
        <f>IF(_xlfn.XLOOKUP(E91,Groups!A:A,Groups!M:M)=1,EXP(0.7444*LN('Base stats'!C91)+6.5696),EXP(0.7927*LN('Base stats'!C91)+4.28))</f>
        <v>3875.4782646004551</v>
      </c>
      <c r="AT91" s="8">
        <f>IF(_xlfn.XLOOKUP(E91,Groups!A:A,Groups!N:N)="No","No",
IF(_xlfn.XLOOKUP(E91,Groups!A:A,Groups!N:N)="Crocodile",EXP(0.8129*LN(C91)+4.6742)*S91,
IF(_xlfn.XLOOKUP(E91,Groups!A:A,Groups!N:N)="Felid",EXP(0.7843*LN(C91)+4.7073)*S91,
IF(_xlfn.XLOOKUP(E91,Groups!A:A,Groups!N:N)="Canid",EXP(0.8367*LN(C91)+4.8763)*S91,
IF(_xlfn.XLOOKUP(E91,Groups!A:A,Groups!N:N)="Pig",EXP(0.3439*LN(C91)+6.8519)*S91,
IF(_xlfn.XLOOKUP(E91,Groups!A:A,Groups!N:N)="Rodent",EXP(0.5625*LN(C91)+4.3006)*S91,
IF(_xlfn.XLOOKUP(E91,Groups!A:A,Groups!N:N)="Primate",EXP(0.7847*LN(C91)+3.4931)*S91,
IF(_xlfn.XLOOKUP(E91,Groups!A:A,Groups!N:N)="MiscCarnivora",EXP(0.7486*LN(C91)+4.2207)*S91,
IF(_xlfn.XLOOKUP(E91,Groups!A:A,Groups!N:N)="Lizard",EXP(0.7733*LN(C91)+5.5303)*S91,
IF(_xlfn.XLOOKUP(E91,Groups!A:A,Groups!N:N)="Snake",50*C91^(2/3)*S91,
IF(_xlfn.XLOOKUP(E91,Groups!A:A,Groups!N:N)="StrongBitingHerbivore",87.1133638856975*C91^(2/3)*S91,
IF(_xlfn.XLOOKUP(E91,Groups!A:A,Groups!N:N)="MiscEctotherms",59.4316884072269*C91^(2/3)*S91,
IF(_xlfn.XLOOKUP(E91,Groups!A:A,Groups!N:N)="StrongBeakBird",0.041*(C91*1000)^1.375*S91,
IF(_xlfn.XLOOKUP(E91,Groups!A:A,Groups!N:N)="Bird",0.118*(C91*1000)^0.692*S91,
IF(_xlfn.XLOOKUP(E91,Groups!A:A,Groups!N:N)="Insect",EXP(0.7444*LN(C91)+6.5696)*S91,
IF(_xlfn.XLOOKUP(E91,Groups!A:A,Groups!N:N)="Theropod",EXP(0.6966*LN(C91)+4.158)*S91,
"No"))))))))))))))))</f>
        <v>10015.596078910863</v>
      </c>
      <c r="AU91" s="8">
        <f>IF(_xlfn.XLOOKUP(E91,Groups!A:A,Groups!U:U)=3,AS91,IF(_xlfn.XLOOKUP(E91,Groups!A:A,Groups!U:U)=2,AR91,AT91))</f>
        <v>10015.596078910863</v>
      </c>
      <c r="AV91" s="46">
        <f>IFERROR(AVERAGE(_xlfn.XLOOKUP(B91,Animals!B:B,Animals!N:N),_xlfn.XLOOKUP(B91,Animals!B:B,Animals!O:O)),0)</f>
        <v>0.22500000000000001</v>
      </c>
      <c r="AW91" s="8">
        <f>MROUND(40*Animals!AO91*_xlfn.XLOOKUP(AG91,Leathers!$A$2:$A$99,Leathers!$B$2:$B$99,0)+(140*_xlfn.XLOOKUP(B91,Animals!B:B,Animals!AO:AO)*2),5)</f>
        <v>730</v>
      </c>
      <c r="AX91" s="8">
        <f>IFERROR(ROUND(SQRT(V91-1)*IF(_xlfn.XLOOKUP(E91,Groups!A:A,Groups!BF:BF)=0,2,1)*IF(_xlfn.XLOOKUP('Base stats'!E91,Groups!A:A,Groups!O:O)=0,1,0.1),1),0)</f>
        <v>1.4</v>
      </c>
      <c r="AY91" s="8">
        <f t="shared" si="36"/>
        <v>0</v>
      </c>
      <c r="AZ91" s="8">
        <f t="shared" si="37"/>
        <v>0</v>
      </c>
      <c r="BA91" s="8">
        <f t="shared" si="38"/>
        <v>4.8</v>
      </c>
      <c r="BB91" s="8">
        <f>IF(_xlfn.XLOOKUP(E91,Groups!A:A,Groups!N:N)="Insect",BD91*2.5,IFERROR(AVERAGE(BD91,AT91/9.81/IF(OR(_xlfn.XLOOKUP(E91,Groups!A:A,Groups!N:N)="Pig",_xlfn.XLOOKUP(E91,Groups!A:A,Groups!N:N)="StrongBitingHerbivore"),20,25))*C91^-0.135,BD91))</f>
        <v>11.009961436947849</v>
      </c>
      <c r="BC91" s="8" t="str">
        <f>IF(W91="No","No",IF(_xlfn.XLOOKUP(E91,Groups!A:A,Groups!U:U)=1,'Base stats'!BB91,IF(OR(_xlfn.XLOOKUP(E91,Groups!A:A,Groups!BD:BD)=1,_xlfn.XLOOKUP(E91,Groups!A:A,Groups!U:U)=2),BD91,IF(_xlfn.XLOOKUP(B91,Animals!B:B,Animals!AO:AO)&gt;4,AVERAGE(BD91,BF91),BF91))))</f>
        <v>No</v>
      </c>
      <c r="BD91" s="8">
        <f t="shared" si="39"/>
        <v>2.5491505145749231</v>
      </c>
      <c r="BE91" s="8">
        <f>IF(_xlfn.XLOOKUP(E91,Groups!A:A,Groups!BE:BE)=1,(0.048*C91^1.01)+(0.071*C91^1.03),0.071*C91^1.03)/IF(_xlfn.XLOOKUP(E91,Groups!A:A,Groups!M:M)=1,0.85,IF(OR(_xlfn.XLOOKUP(B91,Animals!B:B,Animals!AO:AO)&gt;4,_xlfn.XLOOKUP(E91,Groups!A:A,Groups!BC:BC)=1),1.7,1))*C91^-0.25</f>
        <v>2.1020593635219815</v>
      </c>
      <c r="BF91" s="8">
        <f>(0.048*C91^1.01)/IF(_xlfn.XLOOKUP(E91,Groups!A:A,Groups!M:M)=1,0.25,0.8)*C91^-0.25</f>
        <v>2.7311779070854358</v>
      </c>
      <c r="BG91" s="8">
        <f>EXP(1.076*LN(AR91)-4.5397)*IF(_xlfn.XLOOKUP(E91,Groups!A:A,Groups!BC:BC)=1,1.25,IF(_xlfn.XLOOKUP(E91,Groups!A:A,Groups!BD:BD)=1,3.5,2.5))</f>
        <v>94.568450679882886</v>
      </c>
      <c r="BH91" s="8">
        <f>EXP(1.076*LN(AS91)-4.5397)*IF(_xlfn.XLOOKUP(E91,Groups!A:A,Groups!M:M)=1,0.8,IF(_xlfn.XLOOKUP(E91,Groups!A:A,Groups!BC:BC)=1,1.3,3))</f>
        <v>100.78936790245579</v>
      </c>
      <c r="BI91" s="8" t="str">
        <f>IF(W91="No","No",IF(_xlfn.XLOOKUP(E91,Groups!A:A,Groups!U:U)=1,'Base stats'!BJ91,IF(OR(_xlfn.XLOOKUP(E91,Groups!A:A,Groups!BD:BD)=1,_xlfn.XLOOKUP(E91,Groups!A:A,Groups!U:U)=2),BG91,BH91))*1.2)</f>
        <v>No</v>
      </c>
      <c r="BJ91" s="8">
        <f>IFERROR(EXP(1.076*LN(AT91)-4.5397)*IF(_xlfn.XLOOKUP(E91,Groups!A:A,Groups!N:N)="Insect",1,IF(OR(_xlfn.XLOOKUP(E91,Groups!A:A,Groups!N:N)="Pig",_xlfn.XLOOKUP(E91,Groups!A:A,Groups!N:N)="StrongBitingHerbivore"),3.5,3.75)),"No")</f>
        <v>807.59355910972317</v>
      </c>
      <c r="BK91" s="8">
        <f t="shared" si="40"/>
        <v>8</v>
      </c>
      <c r="BL91" s="8">
        <f t="shared" si="41"/>
        <v>9</v>
      </c>
      <c r="BM91" s="8" t="str">
        <f t="shared" si="42"/>
        <v>No</v>
      </c>
      <c r="BN91" s="8">
        <f t="shared" si="43"/>
        <v>12</v>
      </c>
      <c r="BO91" s="8">
        <f t="shared" si="44"/>
        <v>8</v>
      </c>
      <c r="BP91" s="8" t="str" cm="1">
        <f t="array" ref="BP91">IF(AND(_xlfn.XLOOKUP('Base stats'!E91,Groups!A:A,Groups!AD:AD=0),_xlfn.XLOOKUP('Base stats'!E91,Groups!A:A,Groups!P:P=0)),"No",IF(U91="No",AVERAGE(EXP(-0.57+0.99*LN(C91)),EXP(0.32+0.67*LN(C91)))/IF(_xlfn.XLOOKUP(E91,Groups!A:A,Groups!AD:AD)=1,10,2),(0.7354*C91^0.4078)*2/IF(_xlfn.XLOOKUP(E91,Groups!A:A,Groups!BK:BK)=1,1000,100)/IF(_xlfn.XLOOKUP(E91,Groups!A:A,Groups!AJ:AJ)="Photonozoa",3,1)))</f>
        <v>No</v>
      </c>
      <c r="BQ91" s="8" t="str">
        <f>IF(W91="No","No",IF(_xlfn.XLOOKUP(E91,Groups!A:A,Groups!BD:BD)=1,(AO91*5%),EXP(0.7354*LN(C91)^0.4078)*2/IF(_xlfn.XLOOKUP(E91,Groups!A:A,Groups!BL:BL)=1,1000,100)/IF(_xlfn.XLOOKUP(E91,Groups!A:A,Groups!AJ:AJ)="Photonozoa",3,1)))</f>
        <v>No</v>
      </c>
      <c r="BR91" s="8">
        <f>IF(BJ91="No","No",IF(_xlfn.XLOOKUP(E91,Groups!A:A,Groups!BF:BF)=1,(0.0315*C91+2.1825)*2,(0.7354*C91^0.4078)*2)/IF(_xlfn.XLOOKUP(E91,Groups!A:A,Groups!BM:BM)=1,1000,100)/IF(_xlfn.XLOOKUP(E91,Groups!A:A,Groups!AJ:AJ)="Photonozoa",3,1))</f>
        <v>0.13940930761424997</v>
      </c>
      <c r="BS91" s="8">
        <f t="shared" si="45"/>
        <v>6.5051452753338249E-2</v>
      </c>
      <c r="BT91" s="8" t="str">
        <f t="shared" si="46"/>
        <v>No</v>
      </c>
      <c r="BU91" s="8" t="str">
        <f t="shared" si="47"/>
        <v>No</v>
      </c>
      <c r="BV91" s="8">
        <f t="shared" si="48"/>
        <v>5792.9672912827345</v>
      </c>
      <c r="BW91" s="4">
        <v>0</v>
      </c>
      <c r="BX91" s="4">
        <v>1</v>
      </c>
    </row>
    <row r="92" spans="1:76" x14ac:dyDescent="0.25">
      <c r="A92" s="26" t="s">
        <v>207</v>
      </c>
      <c r="B92" s="6" t="s">
        <v>225</v>
      </c>
      <c r="C92" s="7">
        <f>(186+89.9+235)/3</f>
        <v>170.29999999999998</v>
      </c>
      <c r="D92" s="7" t="s">
        <v>1253</v>
      </c>
      <c r="E92" s="7" t="str">
        <f>Groups!$A$62</f>
        <v>Turtle</v>
      </c>
      <c r="F92" s="7" t="str">
        <f t="shared" si="49"/>
        <v>Lay eggs</v>
      </c>
      <c r="G92" s="7">
        <f>3650/365</f>
        <v>10</v>
      </c>
      <c r="H92" s="7">
        <v>75</v>
      </c>
      <c r="I92" s="4">
        <v>0</v>
      </c>
      <c r="J92" s="7" t="str">
        <f>"Lay eggs"</f>
        <v>Lay eggs</v>
      </c>
      <c r="K92" s="7" t="s">
        <v>575</v>
      </c>
      <c r="L92" s="7">
        <f>0.28*3.6*5</f>
        <v>5.0400000000000009</v>
      </c>
      <c r="M92" s="7" t="s">
        <v>633</v>
      </c>
      <c r="N92" s="4">
        <v>0</v>
      </c>
      <c r="O92" s="4">
        <v>0</v>
      </c>
      <c r="P92" s="4">
        <v>0</v>
      </c>
      <c r="Q92" s="4">
        <v>0</v>
      </c>
      <c r="R92" s="4" t="s">
        <v>40</v>
      </c>
      <c r="S92" s="7">
        <f>_xlfn.XLOOKUP(B92,[1]TeethAdjusters!$A:$A,[1]BiteAdjusters!$C:$C,1)</f>
        <v>1</v>
      </c>
      <c r="T92" s="7">
        <f>_xlfn.XLOOKUP(B92,[1]TeethAdjusters!$A:$A,[1]TeethAdjusters!$B:$B,1)</f>
        <v>1</v>
      </c>
      <c r="U92" s="7" t="s">
        <v>45</v>
      </c>
      <c r="V92" s="7">
        <v>5</v>
      </c>
      <c r="W92" s="7" t="s">
        <v>45</v>
      </c>
      <c r="X92" s="7" t="s">
        <v>932</v>
      </c>
      <c r="Y92" s="4" t="s">
        <v>42</v>
      </c>
      <c r="Z92" s="4">
        <v>1</v>
      </c>
      <c r="AA92" s="4">
        <v>0</v>
      </c>
      <c r="AB92" s="4">
        <v>0</v>
      </c>
      <c r="AC92" s="4">
        <v>0</v>
      </c>
      <c r="AD92" s="4">
        <v>0</v>
      </c>
      <c r="AE92" s="4" t="s">
        <v>45</v>
      </c>
      <c r="AF92" s="4" t="s">
        <v>45</v>
      </c>
      <c r="AG92" s="49" t="s">
        <v>386</v>
      </c>
      <c r="AH92" s="4" t="str">
        <f>Animals!$C$34</f>
        <v>&lt;li&gt;Tortoise&lt;/li&gt;</v>
      </c>
      <c r="AI92" s="4">
        <v>0</v>
      </c>
      <c r="AJ92" s="4">
        <v>1</v>
      </c>
      <c r="AK92" s="4">
        <v>0</v>
      </c>
      <c r="AL92" s="4">
        <v>0</v>
      </c>
      <c r="AM92" s="4">
        <v>0</v>
      </c>
      <c r="AN92" s="44">
        <v>10</v>
      </c>
      <c r="AO92" s="8">
        <f t="shared" si="34"/>
        <v>31304.912913104359</v>
      </c>
      <c r="AP92" s="8">
        <f>IFERROR(C92*_xlfn.XLOOKUP(E92,Groups!A:A,Groups!K:K),0.106*C92^0.94)</f>
        <v>54.495999999999995</v>
      </c>
      <c r="AQ92" s="8">
        <f>AP92*10000/(_xlfn.XLOOKUP(E92,Groups!A:A,Groups!J:J)*AO92)</f>
        <v>13.088819701866509</v>
      </c>
      <c r="AR92" s="8">
        <f t="shared" si="35"/>
        <v>4170.1124176715539</v>
      </c>
      <c r="AS92" s="8">
        <f>IF(_xlfn.XLOOKUP(E92,Groups!A:A,Groups!M:M)=1,EXP(0.7444*LN('Base stats'!C92)+6.5696),EXP(0.7927*LN('Base stats'!C92)+4.28))</f>
        <v>4240.9605634226791</v>
      </c>
      <c r="AT92" s="8">
        <f>IF(_xlfn.XLOOKUP(E92,Groups!A:A,Groups!N:N)="No","No",
IF(_xlfn.XLOOKUP(E92,Groups!A:A,Groups!N:N)="Crocodile",EXP(0.8129*LN(C92)+4.6742)*S92,
IF(_xlfn.XLOOKUP(E92,Groups!A:A,Groups!N:N)="Felid",EXP(0.7843*LN(C92)+4.7073)*S92,
IF(_xlfn.XLOOKUP(E92,Groups!A:A,Groups!N:N)="Canid",EXP(0.8367*LN(C92)+4.8763)*S92,
IF(_xlfn.XLOOKUP(E92,Groups!A:A,Groups!N:N)="Pig",EXP(0.3439*LN(C92)+6.8519)*S92,
IF(_xlfn.XLOOKUP(E92,Groups!A:A,Groups!N:N)="Rodent",EXP(0.5625*LN(C92)+4.3006)*S92,
IF(_xlfn.XLOOKUP(E92,Groups!A:A,Groups!N:N)="Primate",EXP(0.7847*LN(C92)+3.4931)*S92,
IF(_xlfn.XLOOKUP(E92,Groups!A:A,Groups!N:N)="MiscCarnivora",EXP(0.7486*LN(C92)+4.2207)*S92,
IF(_xlfn.XLOOKUP(E92,Groups!A:A,Groups!N:N)="Lizard",EXP(0.7733*LN(C92)+5.5303)*S92,
IF(_xlfn.XLOOKUP(E92,Groups!A:A,Groups!N:N)="Snake",50*C92^(2/3)*S92,
IF(_xlfn.XLOOKUP(E92,Groups!A:A,Groups!N:N)="StrongBitingHerbivore",87.1133638856975*C92^(2/3)*S92,
IF(_xlfn.XLOOKUP(E92,Groups!A:A,Groups!N:N)="MiscEctotherms",59.4316884072269*C92^(2/3)*S92,
IF(_xlfn.XLOOKUP(E92,Groups!A:A,Groups!N:N)="StrongBeakBird",0.041*(C92*1000)^1.375*S92,
IF(_xlfn.XLOOKUP(E92,Groups!A:A,Groups!N:N)="Bird",0.118*(C92*1000)^0.692*S92,
IF(_xlfn.XLOOKUP(E92,Groups!A:A,Groups!N:N)="Insect",EXP(0.7444*LN(C92)+6.5696)*S92,
IF(_xlfn.XLOOKUP(E92,Groups!A:A,Groups!N:N)="Theropod",EXP(0.6966*LN(C92)+4.158)*S92,
"No"))))))))))))))))</f>
        <v>1825.9736259604097</v>
      </c>
      <c r="AU92" s="8">
        <f>IF(_xlfn.XLOOKUP(E92,Groups!A:A,Groups!U:U)=3,AS92,IF(_xlfn.XLOOKUP(E92,Groups!A:A,Groups!U:U)=2,AR92,AT92))</f>
        <v>1825.9736259604097</v>
      </c>
      <c r="AV92" s="46">
        <f>IFERROR(AVERAGE(_xlfn.XLOOKUP(B92,Animals!B:B,Animals!N:N),_xlfn.XLOOKUP(B92,Animals!B:B,Animals!O:O)),0)</f>
        <v>0.82500000000000007</v>
      </c>
      <c r="AW92" s="8">
        <f>MROUND(40*Animals!AO92*_xlfn.XLOOKUP(AG92,Leathers!$A$2:$A$99,Leathers!$B$2:$B$99,0)+(140*_xlfn.XLOOKUP(B92,Animals!B:B,Animals!AO:AO)*2),5)</f>
        <v>775</v>
      </c>
      <c r="AX92" s="8">
        <f>IFERROR(ROUND(SQRT(V92-1)*IF(_xlfn.XLOOKUP(E92,Groups!A:A,Groups!BF:BF)=0,2,1)*IF(_xlfn.XLOOKUP('Base stats'!E92,Groups!A:A,Groups!O:O)=0,1,0.1),1),0)</f>
        <v>0.2</v>
      </c>
      <c r="AY92" s="8">
        <f t="shared" si="36"/>
        <v>0</v>
      </c>
      <c r="AZ92" s="8">
        <f t="shared" si="37"/>
        <v>0</v>
      </c>
      <c r="BA92" s="8">
        <f t="shared" si="38"/>
        <v>5</v>
      </c>
      <c r="BB92" s="8">
        <f>IF(_xlfn.XLOOKUP(E92,Groups!A:A,Groups!N:N)="Insect",BD92*2.5,IFERROR(AVERAGE(BD92,AT92/9.81/IF(OR(_xlfn.XLOOKUP(E92,Groups!A:A,Groups!N:N)="Pig",_xlfn.XLOOKUP(E92,Groups!A:A,Groups!N:N)="StrongBitingHerbivore"),20,25))*C92^-0.135,BD92))</f>
        <v>2.3319380751030536</v>
      </c>
      <c r="BC92" s="8" t="str">
        <f>IF(W92="No","No",IF(_xlfn.XLOOKUP(E92,Groups!A:A,Groups!U:U)=1,'Base stats'!BB92,IF(OR(_xlfn.XLOOKUP(E92,Groups!A:A,Groups!BD:BD)=1,_xlfn.XLOOKUP(E92,Groups!A:A,Groups!U:U)=2),BD92,IF(_xlfn.XLOOKUP(B92,Animals!B:B,Animals!AO:AO)&gt;4,AVERAGE(BD92,BF92),BF92))))</f>
        <v>No</v>
      </c>
      <c r="BD92" s="8">
        <f t="shared" si="39"/>
        <v>1.8863484154287324</v>
      </c>
      <c r="BE92" s="8">
        <f>IF(_xlfn.XLOOKUP(E92,Groups!A:A,Groups!BE:BE)=1,(0.048*C92^1.01)+(0.071*C92^1.03),0.071*C92^1.03)/IF(_xlfn.XLOOKUP(E92,Groups!A:A,Groups!M:M)=1,0.85,IF(OR(_xlfn.XLOOKUP(B92,Animals!B:B,Animals!AO:AO)&gt;4,_xlfn.XLOOKUP(E92,Groups!A:A,Groups!BC:BC)=1),1.7,1))*C92^-0.25</f>
        <v>2.2969780905641271</v>
      </c>
      <c r="BF92" s="8">
        <f>(0.048*C92^1.01)/IF(_xlfn.XLOOKUP(E92,Groups!A:A,Groups!M:M)=1,0.25,0.8)*C92^-0.25</f>
        <v>2.9776550353771003</v>
      </c>
      <c r="BG92" s="8">
        <f>EXP(1.076*LN(AR92)-4.5397)*IF(_xlfn.XLOOKUP(E92,Groups!A:A,Groups!BC:BC)=1,1.25,IF(_xlfn.XLOOKUP(E92,Groups!A:A,Groups!BD:BD)=1,3.5,2.5))</f>
        <v>104.86301644922904</v>
      </c>
      <c r="BH92" s="8">
        <f>EXP(1.076*LN(AS92)-4.5397)*IF(_xlfn.XLOOKUP(E92,Groups!A:A,Groups!M:M)=1,0.8,IF(_xlfn.XLOOKUP(E92,Groups!A:A,Groups!BC:BC)=1,1.3,3))</f>
        <v>111.0524664515993</v>
      </c>
      <c r="BI92" s="8" t="str">
        <f>IF(W92="No","No",IF(_xlfn.XLOOKUP(E92,Groups!A:A,Groups!U:U)=1,'Base stats'!BJ92,IF(OR(_xlfn.XLOOKUP(E92,Groups!A:A,Groups!BD:BD)=1,_xlfn.XLOOKUP(E92,Groups!A:A,Groups!U:U)=2),BG92,BH92))*1.2)</f>
        <v>No</v>
      </c>
      <c r="BJ92" s="8">
        <f>IFERROR(EXP(1.076*LN(AT92)-4.5397)*IF(_xlfn.XLOOKUP(E92,Groups!A:A,Groups!N:N)="Insect",1,IF(OR(_xlfn.XLOOKUP(E92,Groups!A:A,Groups!N:N)="Pig",_xlfn.XLOOKUP(E92,Groups!A:A,Groups!N:N)="StrongBitingHerbivore"),3.5,3.75)),"No")</f>
        <v>129.36973562155501</v>
      </c>
      <c r="BK92" s="8">
        <f t="shared" si="40"/>
        <v>10</v>
      </c>
      <c r="BL92" s="8">
        <f t="shared" si="41"/>
        <v>9</v>
      </c>
      <c r="BM92" s="8" t="str">
        <f t="shared" si="42"/>
        <v>No</v>
      </c>
      <c r="BN92" s="8">
        <f t="shared" si="43"/>
        <v>10</v>
      </c>
      <c r="BO92" s="8">
        <f t="shared" si="44"/>
        <v>8</v>
      </c>
      <c r="BP92" s="8" t="str" cm="1">
        <f t="array" ref="BP92">IF(AND(_xlfn.XLOOKUP('Base stats'!E92,Groups!A:A,Groups!AD:AD=0),_xlfn.XLOOKUP('Base stats'!E92,Groups!A:A,Groups!P:P=0)),"No",IF(U92="No",AVERAGE(EXP(-0.57+0.99*LN(C92)),EXP(0.32+0.67*LN(C92)))/IF(_xlfn.XLOOKUP(E92,Groups!A:A,Groups!AD:AD)=1,10,2),(0.7354*C92^0.4078)*2/IF(_xlfn.XLOOKUP(E92,Groups!A:A,Groups!BK:BK)=1,1000,100)/IF(_xlfn.XLOOKUP(E92,Groups!A:A,Groups!AJ:AJ)="Photonozoa",3,1)))</f>
        <v>No</v>
      </c>
      <c r="BQ92" s="8" t="str">
        <f>IF(W92="No","No",IF(_xlfn.XLOOKUP(E92,Groups!A:A,Groups!BD:BD)=1,(AO92*5%),EXP(0.7354*LN(C92)^0.4078)*2/IF(_xlfn.XLOOKUP(E92,Groups!A:A,Groups!BL:BL)=1,1000,100)/IF(_xlfn.XLOOKUP(E92,Groups!A:A,Groups!AJ:AJ)="Photonozoa",3,1)))</f>
        <v>No</v>
      </c>
      <c r="BR92" s="8">
        <f>IF(BJ92="No","No",IF(_xlfn.XLOOKUP(E92,Groups!A:A,Groups!BF:BF)=1,(0.0315*C92+2.1825)*2,(0.7354*C92^0.4078)*2)/IF(_xlfn.XLOOKUP(E92,Groups!A:A,Groups!BM:BM)=1,1000,100)/IF(_xlfn.XLOOKUP(E92,Groups!A:A,Groups!AJ:AJ)="Photonozoa",3,1))</f>
        <v>0.15093899999999999</v>
      </c>
      <c r="BS92" s="8">
        <f t="shared" si="45"/>
        <v>6.6994606718955574E-2</v>
      </c>
      <c r="BT92" s="8" t="str">
        <f t="shared" si="46"/>
        <v>No</v>
      </c>
      <c r="BU92" s="8" t="str">
        <f t="shared" si="47"/>
        <v>No</v>
      </c>
      <c r="BV92" s="8">
        <f t="shared" si="48"/>
        <v>857.09946151461861</v>
      </c>
      <c r="BW92" s="4">
        <v>0</v>
      </c>
      <c r="BX92" s="4">
        <v>1</v>
      </c>
    </row>
    <row r="93" spans="1:76" x14ac:dyDescent="0.25">
      <c r="A93" s="26" t="s">
        <v>269</v>
      </c>
      <c r="B93" s="6" t="s">
        <v>270</v>
      </c>
      <c r="C93" s="7">
        <v>1.125</v>
      </c>
      <c r="D93" s="7" t="s">
        <v>576</v>
      </c>
      <c r="E93" s="7" t="str">
        <f>Groups!$A$51</f>
        <v>Rodent</v>
      </c>
      <c r="F93" s="7">
        <v>30</v>
      </c>
      <c r="G93" s="7">
        <f>730 /365</f>
        <v>2</v>
      </c>
      <c r="H93" s="7">
        <v>15</v>
      </c>
      <c r="I93" s="4">
        <v>0</v>
      </c>
      <c r="J93" s="7">
        <v>4</v>
      </c>
      <c r="K93" s="7" t="s">
        <v>576</v>
      </c>
      <c r="L93" s="7">
        <f>MIN(20*C93^0.183,19.9*C93^0.142)</f>
        <v>20.235630218079802</v>
      </c>
      <c r="M93" s="7" t="s">
        <v>626</v>
      </c>
      <c r="N93" s="4">
        <v>0</v>
      </c>
      <c r="O93" s="4">
        <v>0</v>
      </c>
      <c r="P93" s="4">
        <v>0</v>
      </c>
      <c r="Q93" s="4">
        <v>0</v>
      </c>
      <c r="R93" s="4" t="s">
        <v>40</v>
      </c>
      <c r="S93" s="7">
        <f>_xlfn.XLOOKUP(B93,[1]TeethAdjusters!$A:$A,[1]BiteAdjusters!$C:$C,1)</f>
        <v>1</v>
      </c>
      <c r="T93" s="7">
        <f>_xlfn.XLOOKUP(B93,[1]TeethAdjusters!$A:$A,[1]TeethAdjusters!$B:$B,1)</f>
        <v>1</v>
      </c>
      <c r="U93" s="7" t="s">
        <v>45</v>
      </c>
      <c r="V93" s="7">
        <v>0.34</v>
      </c>
      <c r="W93" s="7" t="s">
        <v>45</v>
      </c>
      <c r="X93" s="7" t="s">
        <v>932</v>
      </c>
      <c r="Y93" s="4" t="s">
        <v>42</v>
      </c>
      <c r="Z93" s="4">
        <v>1</v>
      </c>
      <c r="AA93" s="4">
        <v>0</v>
      </c>
      <c r="AB93" s="4">
        <v>0</v>
      </c>
      <c r="AC93" s="4">
        <v>0</v>
      </c>
      <c r="AD93" s="4">
        <v>0</v>
      </c>
      <c r="AE93" s="4" t="s">
        <v>45</v>
      </c>
      <c r="AF93" s="4" t="s">
        <v>401</v>
      </c>
      <c r="AG93" s="49" t="s">
        <v>385</v>
      </c>
      <c r="AH93" s="4" t="str">
        <f>Animals!$C$35</f>
        <v>&lt;li&gt;Rat&lt;/li&gt;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4" t="s">
        <v>40</v>
      </c>
      <c r="AO93" s="8">
        <f t="shared" si="34"/>
        <v>1198.3180978153825</v>
      </c>
      <c r="AP93" s="8">
        <f>IFERROR(C93*_xlfn.XLOOKUP(E93,Groups!A:A,Groups!K:K),0.106*C93^0.94)</f>
        <v>0.11841023318340879</v>
      </c>
      <c r="AQ93" s="8">
        <f>AP93*10000/(_xlfn.XLOOKUP(E93,Groups!A:A,Groups!J:J)*AO93)</f>
        <v>0.90654761578511223</v>
      </c>
      <c r="AR93" s="8">
        <f t="shared" si="35"/>
        <v>60.068845547201157</v>
      </c>
      <c r="AS93" s="8">
        <f>IF(_xlfn.XLOOKUP(E93,Groups!A:A,Groups!M:M)=1,EXP(0.7444*LN('Base stats'!C93)+6.5696),EXP(0.7927*LN('Base stats'!C93)+4.28))</f>
        <v>79.310189413887159</v>
      </c>
      <c r="AT93" s="8">
        <f>IF(_xlfn.XLOOKUP(E93,Groups!A:A,Groups!N:N)="No","No",
IF(_xlfn.XLOOKUP(E93,Groups!A:A,Groups!N:N)="Crocodile",EXP(0.8129*LN(C93)+4.6742)*S93,
IF(_xlfn.XLOOKUP(E93,Groups!A:A,Groups!N:N)="Felid",EXP(0.7843*LN(C93)+4.7073)*S93,
IF(_xlfn.XLOOKUP(E93,Groups!A:A,Groups!N:N)="Canid",EXP(0.8367*LN(C93)+4.8763)*S93,
IF(_xlfn.XLOOKUP(E93,Groups!A:A,Groups!N:N)="Pig",EXP(0.3439*LN(C93)+6.8519)*S93,
IF(_xlfn.XLOOKUP(E93,Groups!A:A,Groups!N:N)="Rodent",EXP(0.5625*LN(C93)+4.3006)*S93,
IF(_xlfn.XLOOKUP(E93,Groups!A:A,Groups!N:N)="Primate",EXP(0.7847*LN(C93)+3.4931)*S93,
IF(_xlfn.XLOOKUP(E93,Groups!A:A,Groups!N:N)="MiscCarnivora",EXP(0.7486*LN(C93)+4.2207)*S93,
IF(_xlfn.XLOOKUP(E93,Groups!A:A,Groups!N:N)="Lizard",EXP(0.7733*LN(C93)+5.5303)*S93,
IF(_xlfn.XLOOKUP(E93,Groups!A:A,Groups!N:N)="Snake",50*C93^(2/3)*S93,
IF(_xlfn.XLOOKUP(E93,Groups!A:A,Groups!N:N)="StrongBitingHerbivore",87.1133638856975*C93^(2/3)*S93,
IF(_xlfn.XLOOKUP(E93,Groups!A:A,Groups!N:N)="MiscEctotherms",59.4316884072269*C93^(2/3)*S93,
IF(_xlfn.XLOOKUP(E93,Groups!A:A,Groups!N:N)="StrongBeakBird",0.041*(C93*1000)^1.375*S93,
IF(_xlfn.XLOOKUP(E93,Groups!A:A,Groups!N:N)="Bird",0.118*(C93*1000)^0.692*S93,
IF(_xlfn.XLOOKUP(E93,Groups!A:A,Groups!N:N)="Insect",EXP(0.7444*LN(C93)+6.5696)*S93,
IF(_xlfn.XLOOKUP(E93,Groups!A:A,Groups!N:N)="Theropod",EXP(0.6966*LN(C93)+4.158)*S93,
"No"))))))))))))))))</f>
        <v>78.795269044622231</v>
      </c>
      <c r="AU93" s="8">
        <f>IF(_xlfn.XLOOKUP(E93,Groups!A:A,Groups!U:U)=3,AS93,IF(_xlfn.XLOOKUP(E93,Groups!A:A,Groups!U:U)=2,AR93,AT93))</f>
        <v>78.795269044622231</v>
      </c>
      <c r="AV93" s="46">
        <f>IFERROR(AVERAGE(_xlfn.XLOOKUP(B93,Animals!B:B,Animals!N:N),_xlfn.XLOOKUP(B93,Animals!B:B,Animals!O:O)),0)</f>
        <v>0</v>
      </c>
      <c r="AW93" s="8">
        <f>MROUND(40*Animals!AO93*_xlfn.XLOOKUP(AG93,Leathers!$A$2:$A$99,Leathers!$B$2:$B$99,0)+(140*_xlfn.XLOOKUP(B93,Animals!B:B,Animals!AO:AO)*2),5)</f>
        <v>55</v>
      </c>
      <c r="AX93" s="8">
        <f>IFERROR(ROUND(SQRT(V93-1)*IF(_xlfn.XLOOKUP(E93,Groups!A:A,Groups!BF:BF)=0,2,1)*IF(_xlfn.XLOOKUP('Base stats'!E93,Groups!A:A,Groups!O:O)=0,1,0.1),1),0)</f>
        <v>0</v>
      </c>
      <c r="AY93" s="8">
        <f t="shared" si="36"/>
        <v>0</v>
      </c>
      <c r="AZ93" s="8">
        <f t="shared" si="37"/>
        <v>0</v>
      </c>
      <c r="BA93" s="8">
        <f t="shared" si="38"/>
        <v>0.6</v>
      </c>
      <c r="BB93" s="8">
        <f>IF(_xlfn.XLOOKUP(E93,Groups!A:A,Groups!N:N)="Insect",BD93*2.5,IFERROR(AVERAGE(BD93,AT93/9.81/IF(OR(_xlfn.XLOOKUP(E93,Groups!A:A,Groups!N:N)="Pig",_xlfn.XLOOKUP(E93,Groups!A:A,Groups!N:N)="StrongBitingHerbivore"),20,25))*C93^-0.135,BD93))</f>
        <v>0.17919098975003619</v>
      </c>
      <c r="BC93" s="8" t="str">
        <f>IF(W93="No","No",IF(_xlfn.XLOOKUP(E93,Groups!A:A,Groups!U:U)=1,'Base stats'!BB93,IF(OR(_xlfn.XLOOKUP(E93,Groups!A:A,Groups!BD:BD)=1,_xlfn.XLOOKUP(E93,Groups!A:A,Groups!U:U)=2),BD93,IF(_xlfn.XLOOKUP(B93,Animals!B:B,Animals!AO:AO)&gt;4,AVERAGE(BD93,BF93),BF93))))</f>
        <v>No</v>
      </c>
      <c r="BD93" s="8">
        <f t="shared" si="39"/>
        <v>4.2840553072330437E-2</v>
      </c>
      <c r="BE93" s="8">
        <f>IF(_xlfn.XLOOKUP(E93,Groups!A:A,Groups!BE:BE)=1,(0.048*C93^1.01)+(0.071*C93^1.03),0.071*C93^1.03)/IF(_xlfn.XLOOKUP(E93,Groups!A:A,Groups!M:M)=1,0.85,IF(OR(_xlfn.XLOOKUP(B93,Animals!B:B,Animals!AO:AO)&gt;4,_xlfn.XLOOKUP(E93,Groups!A:A,Groups!BC:BC)=1),1.7,1))*C93^-0.25</f>
        <v>7.7831843338364501E-2</v>
      </c>
      <c r="BF93" s="8">
        <f>(0.048*C93^1.01)/IF(_xlfn.XLOOKUP(E93,Groups!A:A,Groups!M:M)=1,0.25,0.8)*C93^-0.25</f>
        <v>6.5618631298402716E-2</v>
      </c>
      <c r="BG93" s="8">
        <f>EXP(1.076*LN(AR93)-4.5397)*IF(_xlfn.XLOOKUP(E93,Groups!A:A,Groups!BC:BC)=1,1.25,IF(_xlfn.XLOOKUP(E93,Groups!A:A,Groups!BD:BD)=1,3.5,2.5))</f>
        <v>2.1887692579587883</v>
      </c>
      <c r="BH93" s="8">
        <f>EXP(1.076*LN(AS93)-4.5397)*IF(_xlfn.XLOOKUP(E93,Groups!A:A,Groups!M:M)=1,0.8,IF(_xlfn.XLOOKUP(E93,Groups!A:A,Groups!BC:BC)=1,1.3,3))</f>
        <v>3.5418697425541152</v>
      </c>
      <c r="BI93" s="8" t="str">
        <f>IF(W93="No","No",IF(_xlfn.XLOOKUP(E93,Groups!A:A,Groups!U:U)=1,'Base stats'!BJ93,IF(OR(_xlfn.XLOOKUP(E93,Groups!A:A,Groups!BD:BD)=1,_xlfn.XLOOKUP(E93,Groups!A:A,Groups!U:U)=2),BG93,BH93))*1.2)</f>
        <v>No</v>
      </c>
      <c r="BJ93" s="8">
        <f>IFERROR(EXP(1.076*LN(AT93)-4.5397)*IF(_xlfn.XLOOKUP(E93,Groups!A:A,Groups!N:N)="Insect",1,IF(OR(_xlfn.XLOOKUP(E93,Groups!A:A,Groups!N:N)="Pig",_xlfn.XLOOKUP(E93,Groups!A:A,Groups!N:N)="StrongBitingHerbivore"),3.5,3.75)),"No")</f>
        <v>4.3964158187185465</v>
      </c>
      <c r="BK93" s="8">
        <f t="shared" si="40"/>
        <v>10</v>
      </c>
      <c r="BL93" s="8">
        <f t="shared" si="41"/>
        <v>9</v>
      </c>
      <c r="BM93" s="8" t="str">
        <f t="shared" si="42"/>
        <v>No</v>
      </c>
      <c r="BN93" s="8">
        <f t="shared" si="43"/>
        <v>7</v>
      </c>
      <c r="BO93" s="8">
        <f t="shared" si="44"/>
        <v>10</v>
      </c>
      <c r="BP93" s="8" t="str" cm="1">
        <f t="array" ref="BP93">IF(AND(_xlfn.XLOOKUP('Base stats'!E93,Groups!A:A,Groups!AD:AD=0),_xlfn.XLOOKUP('Base stats'!E93,Groups!A:A,Groups!P:P=0)),"No",IF(U93="No",AVERAGE(EXP(-0.57+0.99*LN(C93)),EXP(0.32+0.67*LN(C93)))/IF(_xlfn.XLOOKUP(E93,Groups!A:A,Groups!AD:AD)=1,10,2),(0.7354*C93^0.4078)*2/IF(_xlfn.XLOOKUP(E93,Groups!A:A,Groups!BK:BK)=1,1000,100)/IF(_xlfn.XLOOKUP(E93,Groups!A:A,Groups!AJ:AJ)="Photonozoa",3,1)))</f>
        <v>No</v>
      </c>
      <c r="BQ93" s="8" t="str">
        <f>IF(W93="No","No",IF(_xlfn.XLOOKUP(E93,Groups!A:A,Groups!BD:BD)=1,(AO93*5%),EXP(0.7354*LN(C93)^0.4078)*2/IF(_xlfn.XLOOKUP(E93,Groups!A:A,Groups!BL:BL)=1,1000,100)/IF(_xlfn.XLOOKUP(E93,Groups!A:A,Groups!AJ:AJ)="Photonozoa",3,1)))</f>
        <v>No</v>
      </c>
      <c r="BR93" s="8">
        <f>IF(BJ93="No","No",IF(_xlfn.XLOOKUP(E93,Groups!A:A,Groups!BF:BF)=1,(0.0315*C93+2.1825)*2,(0.7354*C93^0.4078)*2)/IF(_xlfn.XLOOKUP(E93,Groups!A:A,Groups!BM:BM)=1,1000,100)/IF(_xlfn.XLOOKUP(E93,Groups!A:A,Groups!AJ:AJ)="Photonozoa",3,1))</f>
        <v>1.5431694600289387E-2</v>
      </c>
      <c r="BS93" s="8">
        <f t="shared" si="45"/>
        <v>3.6530688503312557E-2</v>
      </c>
      <c r="BT93" s="8" t="str">
        <f t="shared" si="46"/>
        <v>No</v>
      </c>
      <c r="BU93" s="8" t="str">
        <f t="shared" si="47"/>
        <v>No</v>
      </c>
      <c r="BV93" s="8">
        <f t="shared" si="48"/>
        <v>284.89520643028419</v>
      </c>
      <c r="BW93" s="4">
        <v>0</v>
      </c>
      <c r="BX93" s="4">
        <v>1</v>
      </c>
    </row>
    <row r="94" spans="1:76" x14ac:dyDescent="0.25">
      <c r="A94" s="26" t="s">
        <v>190</v>
      </c>
      <c r="B94" s="6" t="s">
        <v>260</v>
      </c>
      <c r="C94" s="7">
        <v>15</v>
      </c>
      <c r="D94" s="7" t="s">
        <v>1254</v>
      </c>
      <c r="E94" s="7" t="str">
        <f>Groups!$A$51</f>
        <v>Rodent</v>
      </c>
      <c r="F94" s="7">
        <v>210</v>
      </c>
      <c r="G94" s="7">
        <f>1095 /365</f>
        <v>3</v>
      </c>
      <c r="H94" s="7">
        <v>23.4</v>
      </c>
      <c r="I94" s="4">
        <v>0</v>
      </c>
      <c r="J94" s="7">
        <v>1</v>
      </c>
      <c r="K94" s="7" t="s">
        <v>585</v>
      </c>
      <c r="L94" s="7">
        <f>MIN(20*C94^0.183,19.9*C94^0.142,13.7*C94^0.004)</f>
        <v>13.84920781657746</v>
      </c>
      <c r="M94" s="7" t="s">
        <v>626</v>
      </c>
      <c r="N94" s="4">
        <v>0</v>
      </c>
      <c r="O94" s="4">
        <v>0</v>
      </c>
      <c r="P94" s="4">
        <v>0</v>
      </c>
      <c r="Q94" s="4">
        <v>0</v>
      </c>
      <c r="R94" s="4" t="s">
        <v>40</v>
      </c>
      <c r="S94" s="7">
        <f>_xlfn.XLOOKUP(B94,[1]TeethAdjusters!$A:$A,[1]BiteAdjusters!$C:$C,1)</f>
        <v>1</v>
      </c>
      <c r="T94" s="7">
        <f>_xlfn.XLOOKUP(B94,[1]TeethAdjusters!$A:$A,[1]TeethAdjusters!$B:$B,1)</f>
        <v>1</v>
      </c>
      <c r="U94" s="7" t="s">
        <v>45</v>
      </c>
      <c r="V94" s="7">
        <v>3</v>
      </c>
      <c r="W94" s="7" t="s">
        <v>45</v>
      </c>
      <c r="X94" s="7" t="s">
        <v>932</v>
      </c>
      <c r="Y94" s="4" t="s">
        <v>42</v>
      </c>
      <c r="Z94" s="4">
        <v>1</v>
      </c>
      <c r="AA94" s="4">
        <v>1</v>
      </c>
      <c r="AB94" s="4">
        <v>0</v>
      </c>
      <c r="AC94" s="4">
        <v>0.1</v>
      </c>
      <c r="AD94" s="4">
        <v>0.3</v>
      </c>
      <c r="AE94" s="4" t="s">
        <v>45</v>
      </c>
      <c r="AF94" s="4" t="s">
        <v>45</v>
      </c>
      <c r="AG94" s="49" t="s">
        <v>385</v>
      </c>
      <c r="AH94" s="4" t="s">
        <v>45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4" t="s">
        <v>40</v>
      </c>
      <c r="AO94" s="8">
        <f t="shared" si="34"/>
        <v>6453.306570514339</v>
      </c>
      <c r="AP94" s="8">
        <f>IFERROR(C94*_xlfn.XLOOKUP(E94,Groups!A:A,Groups!K:K),0.106*C94^0.94)</f>
        <v>1.3515485432806338</v>
      </c>
      <c r="AQ94" s="8">
        <f>AP94*10000/(_xlfn.XLOOKUP(E94,Groups!A:A,Groups!J:J)*AO94)</f>
        <v>1.9214224188046829</v>
      </c>
      <c r="AR94" s="8">
        <f t="shared" si="35"/>
        <v>535.65484345622485</v>
      </c>
      <c r="AS94" s="8">
        <f>IF(_xlfn.XLOOKUP(E94,Groups!A:A,Groups!M:M)=1,EXP(0.7444*LN('Base stats'!C94)+6.5696),EXP(0.7927*LN('Base stats'!C94)+4.28))</f>
        <v>618.11306538043016</v>
      </c>
      <c r="AT94" s="8">
        <f>IF(_xlfn.XLOOKUP(E94,Groups!A:A,Groups!N:N)="No","No",
IF(_xlfn.XLOOKUP(E94,Groups!A:A,Groups!N:N)="Crocodile",EXP(0.8129*LN(C94)+4.6742)*S94,
IF(_xlfn.XLOOKUP(E94,Groups!A:A,Groups!N:N)="Felid",EXP(0.7843*LN(C94)+4.7073)*S94,
IF(_xlfn.XLOOKUP(E94,Groups!A:A,Groups!N:N)="Canid",EXP(0.8367*LN(C94)+4.8763)*S94,
IF(_xlfn.XLOOKUP(E94,Groups!A:A,Groups!N:N)="Pig",EXP(0.3439*LN(C94)+6.8519)*S94,
IF(_xlfn.XLOOKUP(E94,Groups!A:A,Groups!N:N)="Rodent",EXP(0.5625*LN(C94)+4.3006)*S94,
IF(_xlfn.XLOOKUP(E94,Groups!A:A,Groups!N:N)="Primate",EXP(0.7847*LN(C94)+3.4931)*S94,
IF(_xlfn.XLOOKUP(E94,Groups!A:A,Groups!N:N)="MiscCarnivora",EXP(0.7486*LN(C94)+4.2207)*S94,
IF(_xlfn.XLOOKUP(E94,Groups!A:A,Groups!N:N)="Lizard",EXP(0.7733*LN(C94)+5.5303)*S94,
IF(_xlfn.XLOOKUP(E94,Groups!A:A,Groups!N:N)="Snake",50*C94^(2/3)*S94,
IF(_xlfn.XLOOKUP(E94,Groups!A:A,Groups!N:N)="StrongBitingHerbivore",87.1133638856975*C94^(2/3)*S94,
IF(_xlfn.XLOOKUP(E94,Groups!A:A,Groups!N:N)="MiscEctotherms",59.4316884072269*C94^(2/3)*S94,
IF(_xlfn.XLOOKUP(E94,Groups!A:A,Groups!N:N)="StrongBeakBird",0.041*(C94*1000)^1.375*S94,
IF(_xlfn.XLOOKUP(E94,Groups!A:A,Groups!N:N)="Bird",0.118*(C94*1000)^0.692*S94,
IF(_xlfn.XLOOKUP(E94,Groups!A:A,Groups!N:N)="Insect",EXP(0.7444*LN(C94)+6.5696)*S94,
IF(_xlfn.XLOOKUP(E94,Groups!A:A,Groups!N:N)="Theropod",EXP(0.6966*LN(C94)+4.158)*S94,
"No"))))))))))))))))</f>
        <v>338.28144892601927</v>
      </c>
      <c r="AU94" s="8">
        <f>IF(_xlfn.XLOOKUP(E94,Groups!A:A,Groups!U:U)=3,AS94,IF(_xlfn.XLOOKUP(E94,Groups!A:A,Groups!U:U)=2,AR94,AT94))</f>
        <v>338.28144892601927</v>
      </c>
      <c r="AV94" s="46">
        <f>IFERROR(AVERAGE(_xlfn.XLOOKUP(B94,Animals!B:B,Animals!N:N),_xlfn.XLOOKUP(B94,Animals!B:B,Animals!O:O)),0)</f>
        <v>0</v>
      </c>
      <c r="AW94" s="8">
        <f>MROUND(40*Animals!AO94*_xlfn.XLOOKUP(AG94,Leathers!$A$2:$A$99,Leathers!$B$2:$B$99,0)+(140*_xlfn.XLOOKUP(B94,Animals!B:B,Animals!AO:AO)*2),5)</f>
        <v>180</v>
      </c>
      <c r="AX94" s="8">
        <f>IFERROR(ROUND(SQRT(V94-1)*IF(_xlfn.XLOOKUP(E94,Groups!A:A,Groups!BF:BF)=0,2,1)*IF(_xlfn.XLOOKUP('Base stats'!E94,Groups!A:A,Groups!O:O)=0,1,0.1),1),0)</f>
        <v>2.8</v>
      </c>
      <c r="AY94" s="8">
        <f t="shared" si="36"/>
        <v>0</v>
      </c>
      <c r="AZ94" s="8">
        <f t="shared" si="37"/>
        <v>0</v>
      </c>
      <c r="BA94" s="8">
        <f t="shared" si="38"/>
        <v>2</v>
      </c>
      <c r="BB94" s="8">
        <f>IF(_xlfn.XLOOKUP(E94,Groups!A:A,Groups!N:N)="Insect",BD94*2.5,IFERROR(AVERAGE(BD94,AT94/9.81/IF(OR(_xlfn.XLOOKUP(E94,Groups!A:A,Groups!N:N)="Pig",_xlfn.XLOOKUP(E94,Groups!A:A,Groups!N:N)="StrongBitingHerbivore"),20,25))*C94^-0.135,BD94))</f>
        <v>0.58325810494026309</v>
      </c>
      <c r="BC94" s="8" t="str">
        <f>IF(W94="No","No",IF(_xlfn.XLOOKUP(E94,Groups!A:A,Groups!U:U)=1,'Base stats'!BB94,IF(OR(_xlfn.XLOOKUP(E94,Groups!A:A,Groups!BD:BD)=1,_xlfn.XLOOKUP(E94,Groups!A:A,Groups!U:U)=2),BD94,IF(_xlfn.XLOOKUP(B94,Animals!B:B,Animals!AO:AO)&gt;4,AVERAGE(BD94,BF94),BF94))))</f>
        <v>No</v>
      </c>
      <c r="BD94" s="8">
        <f t="shared" si="39"/>
        <v>0.30203611563721933</v>
      </c>
      <c r="BE94" s="8">
        <f>IF(_xlfn.XLOOKUP(E94,Groups!A:A,Groups!BE:BE)=1,(0.048*C94^1.01)+(0.071*C94^1.03),0.071*C94^1.03)/IF(_xlfn.XLOOKUP(E94,Groups!A:A,Groups!M:M)=1,0.85,IF(OR(_xlfn.XLOOKUP(B94,Animals!B:B,Animals!AO:AO)&gt;4,_xlfn.XLOOKUP(E94,Groups!A:A,Groups!BC:BC)=1),1.7,1))*C94^-0.25</f>
        <v>0.58696138493099548</v>
      </c>
      <c r="BF94" s="8">
        <f>(0.048*C94^1.01)/IF(_xlfn.XLOOKUP(E94,Groups!A:A,Groups!M:M)=1,0.25,0.8)*C94^-0.25</f>
        <v>0.46987312669454345</v>
      </c>
      <c r="BG94" s="8">
        <f>EXP(1.076*LN(AR94)-4.5397)*IF(_xlfn.XLOOKUP(E94,Groups!A:A,Groups!BC:BC)=1,1.25,IF(_xlfn.XLOOKUP(E94,Groups!A:A,Groups!BD:BD)=1,3.5,2.5))</f>
        <v>23.049082805105311</v>
      </c>
      <c r="BH94" s="8">
        <f>EXP(1.076*LN(AS94)-4.5397)*IF(_xlfn.XLOOKUP(E94,Groups!A:A,Groups!M:M)=1,0.8,IF(_xlfn.XLOOKUP(E94,Groups!A:A,Groups!BC:BC)=1,1.3,3))</f>
        <v>32.265892387046144</v>
      </c>
      <c r="BI94" s="8" t="str">
        <f>IF(W94="No","No",IF(_xlfn.XLOOKUP(E94,Groups!A:A,Groups!U:U)=1,'Base stats'!BJ94,IF(OR(_xlfn.XLOOKUP(E94,Groups!A:A,Groups!BD:BD)=1,_xlfn.XLOOKUP(E94,Groups!A:A,Groups!U:U)=2),BG94,BH94))*1.2)</f>
        <v>No</v>
      </c>
      <c r="BJ94" s="8">
        <f>IFERROR(EXP(1.076*LN(AT94)-4.5397)*IF(_xlfn.XLOOKUP(E94,Groups!A:A,Groups!N:N)="Insect",1,IF(OR(_xlfn.XLOOKUP(E94,Groups!A:A,Groups!N:N)="Pig",_xlfn.XLOOKUP(E94,Groups!A:A,Groups!N:N)="StrongBitingHerbivore"),3.5,3.75)),"No")</f>
        <v>21.084724568463173</v>
      </c>
      <c r="BK94" s="8">
        <f t="shared" si="40"/>
        <v>12</v>
      </c>
      <c r="BL94" s="8">
        <f t="shared" si="41"/>
        <v>10</v>
      </c>
      <c r="BM94" s="8" t="str">
        <f t="shared" si="42"/>
        <v>No</v>
      </c>
      <c r="BN94" s="8">
        <f t="shared" si="43"/>
        <v>8</v>
      </c>
      <c r="BO94" s="8">
        <f t="shared" si="44"/>
        <v>11</v>
      </c>
      <c r="BP94" s="8" t="str" cm="1">
        <f t="array" ref="BP94">IF(AND(_xlfn.XLOOKUP('Base stats'!E94,Groups!A:A,Groups!AD:AD=0),_xlfn.XLOOKUP('Base stats'!E94,Groups!A:A,Groups!P:P=0)),"No",IF(U94="No",AVERAGE(EXP(-0.57+0.99*LN(C94)),EXP(0.32+0.67*LN(C94)))/IF(_xlfn.XLOOKUP(E94,Groups!A:A,Groups!AD:AD)=1,10,2),(0.7354*C94^0.4078)*2/IF(_xlfn.XLOOKUP(E94,Groups!A:A,Groups!BK:BK)=1,1000,100)/IF(_xlfn.XLOOKUP(E94,Groups!A:A,Groups!AJ:AJ)="Photonozoa",3,1)))</f>
        <v>No</v>
      </c>
      <c r="BQ94" s="8" t="str">
        <f>IF(W94="No","No",IF(_xlfn.XLOOKUP(E94,Groups!A:A,Groups!BD:BD)=1,(AO94*5%),EXP(0.7354*LN(C94)^0.4078)*2/IF(_xlfn.XLOOKUP(E94,Groups!A:A,Groups!BL:BL)=1,1000,100)/IF(_xlfn.XLOOKUP(E94,Groups!A:A,Groups!AJ:AJ)="Photonozoa",3,1)))</f>
        <v>No</v>
      </c>
      <c r="BR94" s="8">
        <f>IF(BJ94="No","No",IF(_xlfn.XLOOKUP(E94,Groups!A:A,Groups!BF:BF)=1,(0.0315*C94+2.1825)*2,(0.7354*C94^0.4078)*2)/IF(_xlfn.XLOOKUP(E94,Groups!A:A,Groups!BM:BM)=1,1000,100)/IF(_xlfn.XLOOKUP(E94,Groups!A:A,Groups!AJ:AJ)="Photonozoa",3,1))</f>
        <v>4.4377582152222601E-2</v>
      </c>
      <c r="BS94" s="8">
        <f t="shared" si="45"/>
        <v>7.1433404110749568E-2</v>
      </c>
      <c r="BT94" s="8" t="str">
        <f t="shared" si="46"/>
        <v>No</v>
      </c>
      <c r="BU94" s="8" t="str">
        <f t="shared" si="47"/>
        <v>No</v>
      </c>
      <c r="BV94" s="8">
        <f t="shared" si="48"/>
        <v>475.12107568499351</v>
      </c>
      <c r="BW94" s="4">
        <v>0</v>
      </c>
      <c r="BX94" s="4">
        <v>1</v>
      </c>
    </row>
    <row r="95" spans="1:76" x14ac:dyDescent="0.25">
      <c r="A95" s="26" t="s">
        <v>273</v>
      </c>
      <c r="B95" s="6" t="s">
        <v>274</v>
      </c>
      <c r="C95" s="7">
        <v>60</v>
      </c>
      <c r="D95" s="7" t="s">
        <v>528</v>
      </c>
      <c r="E95" s="7" t="str">
        <f>Groups!$A$51</f>
        <v>Rodent</v>
      </c>
      <c r="F95" s="7">
        <f>ROUND(7.545*(C95*1000)^0.2689,0)</f>
        <v>145</v>
      </c>
      <c r="G95" s="7">
        <v>3</v>
      </c>
      <c r="H95" s="7">
        <v>30</v>
      </c>
      <c r="I95" s="4">
        <v>0</v>
      </c>
      <c r="J95" s="7">
        <v>5</v>
      </c>
      <c r="K95" s="7" t="s">
        <v>528</v>
      </c>
      <c r="L95" s="7">
        <f>MIN(20*C95^0.183,19.9*C95^0.142)</f>
        <v>35.591849306006409</v>
      </c>
      <c r="M95" s="7" t="s">
        <v>626</v>
      </c>
      <c r="N95" s="4">
        <v>0</v>
      </c>
      <c r="O95" s="4">
        <v>0</v>
      </c>
      <c r="P95" s="4">
        <v>0</v>
      </c>
      <c r="Q95" s="4">
        <v>0</v>
      </c>
      <c r="R95" s="4" t="s">
        <v>40</v>
      </c>
      <c r="S95" s="7">
        <f>_xlfn.XLOOKUP(B95,[1]TeethAdjusters!$A:$A,[1]BiteAdjusters!$C:$C,1)</f>
        <v>1</v>
      </c>
      <c r="T95" s="7">
        <f>_xlfn.XLOOKUP(B95,[1]TeethAdjusters!$A:$A,[1]TeethAdjusters!$B:$B,1)</f>
        <v>1</v>
      </c>
      <c r="U95" s="7" t="s">
        <v>45</v>
      </c>
      <c r="V95" s="7">
        <v>10</v>
      </c>
      <c r="W95" s="7" t="s">
        <v>45</v>
      </c>
      <c r="X95" s="7" t="s">
        <v>932</v>
      </c>
      <c r="Y95" s="4" t="s">
        <v>42</v>
      </c>
      <c r="Z95" s="4">
        <v>1</v>
      </c>
      <c r="AA95" s="4">
        <v>0</v>
      </c>
      <c r="AB95" s="4">
        <v>0</v>
      </c>
      <c r="AC95" s="4">
        <v>0</v>
      </c>
      <c r="AD95" s="4">
        <v>0</v>
      </c>
      <c r="AE95" s="4" t="s">
        <v>1044</v>
      </c>
      <c r="AF95" s="4" t="s">
        <v>45</v>
      </c>
      <c r="AG95" s="49" t="s">
        <v>385</v>
      </c>
      <c r="AH95" s="4" t="s">
        <v>45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4" t="s">
        <v>40</v>
      </c>
      <c r="AO95" s="8">
        <f t="shared" si="34"/>
        <v>15889.904663781534</v>
      </c>
      <c r="AP95" s="8">
        <f>IFERROR(C95*_xlfn.XLOOKUP(E95,Groups!A:A,Groups!K:K),0.106*C95^0.94)</f>
        <v>4.9747131149875132</v>
      </c>
      <c r="AQ95" s="8">
        <f>AP95*10000/(_xlfn.XLOOKUP(E95,Groups!A:A,Groups!J:J)*AO95)</f>
        <v>2.8722368590605059</v>
      </c>
      <c r="AR95" s="8">
        <f t="shared" si="35"/>
        <v>1727.6076198081698</v>
      </c>
      <c r="AS95" s="8">
        <f>IF(_xlfn.XLOOKUP(E95,Groups!A:A,Groups!M:M)=1,EXP(0.7444*LN('Base stats'!C95)+6.5696),EXP(0.7927*LN('Base stats'!C95)+4.28))</f>
        <v>1854.9016123555098</v>
      </c>
      <c r="AT95" s="8">
        <f>IF(_xlfn.XLOOKUP(E95,Groups!A:A,Groups!N:N)="No","No",
IF(_xlfn.XLOOKUP(E95,Groups!A:A,Groups!N:N)="Crocodile",EXP(0.8129*LN(C95)+4.6742)*S95,
IF(_xlfn.XLOOKUP(E95,Groups!A:A,Groups!N:N)="Felid",EXP(0.7843*LN(C95)+4.7073)*S95,
IF(_xlfn.XLOOKUP(E95,Groups!A:A,Groups!N:N)="Canid",EXP(0.8367*LN(C95)+4.8763)*S95,
IF(_xlfn.XLOOKUP(E95,Groups!A:A,Groups!N:N)="Pig",EXP(0.3439*LN(C95)+6.8519)*S95,
IF(_xlfn.XLOOKUP(E95,Groups!A:A,Groups!N:N)="Rodent",EXP(0.5625*LN(C95)+4.3006)*S95,
IF(_xlfn.XLOOKUP(E95,Groups!A:A,Groups!N:N)="Primate",EXP(0.7847*LN(C95)+3.4931)*S95,
IF(_xlfn.XLOOKUP(E95,Groups!A:A,Groups!N:N)="MiscCarnivora",EXP(0.7486*LN(C95)+4.2207)*S95,
IF(_xlfn.XLOOKUP(E95,Groups!A:A,Groups!N:N)="Lizard",EXP(0.7733*LN(C95)+5.5303)*S95,
IF(_xlfn.XLOOKUP(E95,Groups!A:A,Groups!N:N)="Snake",50*C95^(2/3)*S95,
IF(_xlfn.XLOOKUP(E95,Groups!A:A,Groups!N:N)="StrongBitingHerbivore",87.1133638856975*C95^(2/3)*S95,
IF(_xlfn.XLOOKUP(E95,Groups!A:A,Groups!N:N)="MiscEctotherms",59.4316884072269*C95^(2/3)*S95,
IF(_xlfn.XLOOKUP(E95,Groups!A:A,Groups!N:N)="StrongBeakBird",0.041*(C95*1000)^1.375*S95,
IF(_xlfn.XLOOKUP(E95,Groups!A:A,Groups!N:N)="Bird",0.118*(C95*1000)^0.692*S95,
IF(_xlfn.XLOOKUP(E95,Groups!A:A,Groups!N:N)="Insect",EXP(0.7444*LN(C95)+6.5696)*S95,
IF(_xlfn.XLOOKUP(E95,Groups!A:A,Groups!N:N)="Theropod",EXP(0.6966*LN(C95)+4.158)*S95,
"No"))))))))))))))))</f>
        <v>737.79707174206249</v>
      </c>
      <c r="AU95" s="8">
        <f>IF(_xlfn.XLOOKUP(E95,Groups!A:A,Groups!U:U)=3,AS95,IF(_xlfn.XLOOKUP(E95,Groups!A:A,Groups!U:U)=2,AR95,AT95))</f>
        <v>737.79707174206249</v>
      </c>
      <c r="AV95" s="46">
        <f>IFERROR(AVERAGE(_xlfn.XLOOKUP(B95,Animals!B:B,Animals!N:N),_xlfn.XLOOKUP(B95,Animals!B:B,Animals!O:O)),0)</f>
        <v>0</v>
      </c>
      <c r="AW95" s="8">
        <f>MROUND(40*Animals!AO95*_xlfn.XLOOKUP(AG95,Leathers!$A$2:$A$99,Leathers!$B$2:$B$99,0)+(140*_xlfn.XLOOKUP(B95,Animals!B:B,Animals!AO:AO)*2),5)</f>
        <v>340</v>
      </c>
      <c r="AX95" s="8">
        <f>IFERROR(ROUND(SQRT(V95-1)*IF(_xlfn.XLOOKUP(E95,Groups!A:A,Groups!BF:BF)=0,2,1)*IF(_xlfn.XLOOKUP('Base stats'!E95,Groups!A:A,Groups!O:O)=0,1,0.1),1),0)</f>
        <v>6</v>
      </c>
      <c r="AY95" s="8">
        <f t="shared" si="36"/>
        <v>0</v>
      </c>
      <c r="AZ95" s="8">
        <f t="shared" si="37"/>
        <v>0</v>
      </c>
      <c r="BA95" s="8">
        <f t="shared" si="38"/>
        <v>3.5</v>
      </c>
      <c r="BB95" s="8">
        <f>IF(_xlfn.XLOOKUP(E95,Groups!A:A,Groups!N:N)="Insect",BD95*2.5,IFERROR(AVERAGE(BD95,AT95/9.81/IF(OR(_xlfn.XLOOKUP(E95,Groups!A:A,Groups!N:N)="Pig",_xlfn.XLOOKUP(E95,Groups!A:A,Groups!N:N)="StrongBitingHerbivore"),20,25))*C95^-0.135,BD95))</f>
        <v>1.1125945320343182</v>
      </c>
      <c r="BC95" s="8" t="str">
        <f>IF(W95="No","No",IF(_xlfn.XLOOKUP(E95,Groups!A:A,Groups!U:U)=1,'Base stats'!BB95,IF(OR(_xlfn.XLOOKUP(E95,Groups!A:A,Groups!BD:BD)=1,_xlfn.XLOOKUP(E95,Groups!A:A,Groups!U:U)=2),BD95,IF(_xlfn.XLOOKUP(B95,Animals!B:B,Animals!AO:AO)&gt;4,AVERAGE(BD95,BF95),BF95))))</f>
        <v>No</v>
      </c>
      <c r="BD95" s="8">
        <f t="shared" si="39"/>
        <v>0.85903747445843048</v>
      </c>
      <c r="BE95" s="8">
        <f>IF(_xlfn.XLOOKUP(E95,Groups!A:A,Groups!BE:BE)=1,(0.048*C95^1.01)+(0.071*C95^1.03),0.071*C95^1.03)/IF(_xlfn.XLOOKUP(E95,Groups!A:A,Groups!M:M)=1,0.85,IF(OR(_xlfn.XLOOKUP(B95,Animals!B:B,Animals!AO:AO)&gt;4,_xlfn.XLOOKUP(E95,Groups!A:A,Groups!BC:BC)=1),1.7,1))*C95^-0.25</f>
        <v>1.7306782030846384</v>
      </c>
      <c r="BF95" s="8">
        <f>(0.048*C95^1.01)/IF(_xlfn.XLOOKUP(E95,Groups!A:A,Groups!M:M)=1,0.25,0.8)*C95^-0.25</f>
        <v>1.3475540718504924</v>
      </c>
      <c r="BG95" s="8">
        <f>EXP(1.076*LN(AR95)-4.5397)*IF(_xlfn.XLOOKUP(E95,Groups!A:A,Groups!BC:BC)=1,1.25,IF(_xlfn.XLOOKUP(E95,Groups!A:A,Groups!BD:BD)=1,3.5,2.5))</f>
        <v>81.257655662784387</v>
      </c>
      <c r="BH95" s="8">
        <f>EXP(1.076*LN(AS95)-4.5397)*IF(_xlfn.XLOOKUP(E95,Groups!A:A,Groups!M:M)=1,0.8,IF(_xlfn.XLOOKUP(E95,Groups!A:A,Groups!BC:BC)=1,1.3,3))</f>
        <v>105.26108947147097</v>
      </c>
      <c r="BI95" s="8" t="str">
        <f>IF(W95="No","No",IF(_xlfn.XLOOKUP(E95,Groups!A:A,Groups!U:U)=1,'Base stats'!BJ95,IF(OR(_xlfn.XLOOKUP(E95,Groups!A:A,Groups!BD:BD)=1,_xlfn.XLOOKUP(E95,Groups!A:A,Groups!U:U)=2),BG95,BH95))*1.2)</f>
        <v>No</v>
      </c>
      <c r="BJ95" s="8">
        <f>IFERROR(EXP(1.076*LN(AT95)-4.5397)*IF(_xlfn.XLOOKUP(E95,Groups!A:A,Groups!N:N)="Insect",1,IF(OR(_xlfn.XLOOKUP(E95,Groups!A:A,Groups!N:N)="Pig",_xlfn.XLOOKUP(E95,Groups!A:A,Groups!N:N)="StrongBitingHerbivore"),3.5,3.75)),"No")</f>
        <v>48.793811254774489</v>
      </c>
      <c r="BK95" s="8">
        <f t="shared" si="40"/>
        <v>13</v>
      </c>
      <c r="BL95" s="8">
        <f t="shared" si="41"/>
        <v>11</v>
      </c>
      <c r="BM95" s="8" t="str">
        <f t="shared" si="42"/>
        <v>No</v>
      </c>
      <c r="BN95" s="8">
        <f t="shared" si="43"/>
        <v>9</v>
      </c>
      <c r="BO95" s="8">
        <f t="shared" si="44"/>
        <v>12</v>
      </c>
      <c r="BP95" s="8" t="str" cm="1">
        <f t="array" ref="BP95">IF(AND(_xlfn.XLOOKUP('Base stats'!E95,Groups!A:A,Groups!AD:AD=0),_xlfn.XLOOKUP('Base stats'!E95,Groups!A:A,Groups!P:P=0)),"No",IF(U95="No",AVERAGE(EXP(-0.57+0.99*LN(C95)),EXP(0.32+0.67*LN(C95)))/IF(_xlfn.XLOOKUP(E95,Groups!A:A,Groups!AD:AD)=1,10,2),(0.7354*C95^0.4078)*2/IF(_xlfn.XLOOKUP(E95,Groups!A:A,Groups!BK:BK)=1,1000,100)/IF(_xlfn.XLOOKUP(E95,Groups!A:A,Groups!AJ:AJ)="Photonozoa",3,1)))</f>
        <v>No</v>
      </c>
      <c r="BQ95" s="8" t="str">
        <f>IF(W95="No","No",IF(_xlfn.XLOOKUP(E95,Groups!A:A,Groups!BD:BD)=1,(AO95*5%),EXP(0.7354*LN(C95)^0.4078)*2/IF(_xlfn.XLOOKUP(E95,Groups!A:A,Groups!BL:BL)=1,1000,100)/IF(_xlfn.XLOOKUP(E95,Groups!A:A,Groups!AJ:AJ)="Photonozoa",3,1)))</f>
        <v>No</v>
      </c>
      <c r="BR95" s="8">
        <f>IF(BJ95="No","No",IF(_xlfn.XLOOKUP(E95,Groups!A:A,Groups!BF:BF)=1,(0.0315*C95+2.1825)*2,(0.7354*C95^0.4078)*2)/IF(_xlfn.XLOOKUP(E95,Groups!A:A,Groups!BM:BM)=1,1000,100)/IF(_xlfn.XLOOKUP(E95,Groups!A:A,Groups!AJ:AJ)="Photonozoa",3,1))</f>
        <v>7.8105874830123129E-2</v>
      </c>
      <c r="BS95" s="8">
        <f t="shared" si="45"/>
        <v>0.10227582528924552</v>
      </c>
      <c r="BT95" s="8" t="str">
        <f t="shared" si="46"/>
        <v>No</v>
      </c>
      <c r="BU95" s="8" t="str">
        <f t="shared" si="47"/>
        <v>No</v>
      </c>
      <c r="BV95" s="8">
        <f t="shared" si="48"/>
        <v>624.7137153370204</v>
      </c>
      <c r="BW95" s="4">
        <v>0</v>
      </c>
      <c r="BX95" s="4">
        <v>1</v>
      </c>
    </row>
    <row r="96" spans="1:76" x14ac:dyDescent="0.25">
      <c r="A96" s="26" t="s">
        <v>141</v>
      </c>
      <c r="B96" s="6" t="s">
        <v>142</v>
      </c>
      <c r="C96" s="7">
        <v>386</v>
      </c>
      <c r="D96" s="7" t="s">
        <v>577</v>
      </c>
      <c r="E96" s="7" t="str">
        <f>Groups!$A$55</f>
        <v>Ruminant (ANTLERS)</v>
      </c>
      <c r="F96" s="7">
        <v>243</v>
      </c>
      <c r="G96" s="7">
        <f>751 /365</f>
        <v>2.0575342465753423</v>
      </c>
      <c r="H96" s="7">
        <v>27</v>
      </c>
      <c r="I96" s="4">
        <v>0</v>
      </c>
      <c r="J96" s="7">
        <v>1.3</v>
      </c>
      <c r="K96" s="7" t="s">
        <v>577</v>
      </c>
      <c r="L96" s="7">
        <v>56</v>
      </c>
      <c r="M96" s="7" t="s">
        <v>626</v>
      </c>
      <c r="N96" s="4">
        <v>0</v>
      </c>
      <c r="O96" s="4">
        <v>0</v>
      </c>
      <c r="P96" s="4">
        <v>0</v>
      </c>
      <c r="Q96" s="4">
        <v>0</v>
      </c>
      <c r="R96" s="4" t="s">
        <v>40</v>
      </c>
      <c r="S96" s="7">
        <f>_xlfn.XLOOKUP(B96,[1]TeethAdjusters!$A:$A,[1]BiteAdjusters!$C:$C,1)</f>
        <v>1</v>
      </c>
      <c r="T96" s="7">
        <f>_xlfn.XLOOKUP(B96,[1]TeethAdjusters!$A:$A,[1]TeethAdjusters!$B:$B,1)</f>
        <v>1</v>
      </c>
      <c r="U96" s="7" t="s">
        <v>45</v>
      </c>
      <c r="V96" s="7" t="str">
        <f>IF(AT96="No","No",IF(_xlfn.XLOOKUP(E96,Groups!A:A,Groups!AM:AM)=1,MROUND(EXP(0.3582*LN(C96)-0.2221)*T96,0.05),IF(_xlfn.XLOOKUP(E96,Groups!A:A,Groups!AM:AM)=2,MROUND(EXP(0.3582*LN(C96)-0.2221)*T96,0.05),"Need a formula")))</f>
        <v>No</v>
      </c>
      <c r="W96" s="7">
        <f>MROUND(AVERAGE(81.1,81.2),0.05)</f>
        <v>81.150000000000006</v>
      </c>
      <c r="X96" s="7" t="s">
        <v>932</v>
      </c>
      <c r="Y96" s="4" t="s">
        <v>42</v>
      </c>
      <c r="Z96" s="4">
        <v>1</v>
      </c>
      <c r="AA96" s="4">
        <v>0</v>
      </c>
      <c r="AB96" s="4">
        <v>0</v>
      </c>
      <c r="AC96" s="4">
        <v>2.5000000000000001E-2</v>
      </c>
      <c r="AD96" s="4">
        <v>0.05</v>
      </c>
      <c r="AE96" s="4" t="s">
        <v>45</v>
      </c>
      <c r="AF96" s="4" t="s">
        <v>45</v>
      </c>
      <c r="AG96" s="49" t="s">
        <v>392</v>
      </c>
      <c r="AH96" s="4" t="str">
        <f>Animals!$C$53</f>
        <v>&lt;li&gt;Deer&lt;/li&gt;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4" t="s">
        <v>40</v>
      </c>
      <c r="AO96" s="8">
        <f t="shared" si="34"/>
        <v>53284.970149935914</v>
      </c>
      <c r="AP96" s="8">
        <f>IFERROR(C96*_xlfn.XLOOKUP(E96,Groups!A:A,Groups!K:K),0.106*C96^0.94)</f>
        <v>28.621865177479517</v>
      </c>
      <c r="AQ96" s="8">
        <f>AP96*10000/(_xlfn.XLOOKUP(E96,Groups!A:A,Groups!J:J)*AO96)</f>
        <v>4.9279546994315222</v>
      </c>
      <c r="AR96" s="8">
        <f t="shared" si="35"/>
        <v>8323.9803426759372</v>
      </c>
      <c r="AS96" s="8">
        <f>IF(_xlfn.XLOOKUP(E96,Groups!A:A,Groups!M:M)=1,EXP(0.7444*LN('Base stats'!C96)+6.5696),EXP(0.7927*LN('Base stats'!C96)+4.28))</f>
        <v>8112.7508566761171</v>
      </c>
      <c r="AT96" s="8" t="str">
        <f>IF(_xlfn.XLOOKUP(E96,Groups!A:A,Groups!N:N)="No","No",
IF(_xlfn.XLOOKUP(E96,Groups!A:A,Groups!N:N)="Crocodile",EXP(0.8129*LN(C96)+4.6742)*S96,
IF(_xlfn.XLOOKUP(E96,Groups!A:A,Groups!N:N)="Felid",EXP(0.7843*LN(C96)+4.7073)*S96,
IF(_xlfn.XLOOKUP(E96,Groups!A:A,Groups!N:N)="Canid",EXP(0.8367*LN(C96)+4.8763)*S96,
IF(_xlfn.XLOOKUP(E96,Groups!A:A,Groups!N:N)="Pig",EXP(0.3439*LN(C96)+6.8519)*S96,
IF(_xlfn.XLOOKUP(E96,Groups!A:A,Groups!N:N)="Rodent",EXP(0.5625*LN(C96)+4.3006)*S96,
IF(_xlfn.XLOOKUP(E96,Groups!A:A,Groups!N:N)="Primate",EXP(0.7847*LN(C96)+3.4931)*S96,
IF(_xlfn.XLOOKUP(E96,Groups!A:A,Groups!N:N)="MiscCarnivora",EXP(0.7486*LN(C96)+4.2207)*S96,
IF(_xlfn.XLOOKUP(E96,Groups!A:A,Groups!N:N)="Lizard",EXP(0.7733*LN(C96)+5.5303)*S96,
IF(_xlfn.XLOOKUP(E96,Groups!A:A,Groups!N:N)="Snake",50*C96^(2/3)*S96,
IF(_xlfn.XLOOKUP(E96,Groups!A:A,Groups!N:N)="StrongBitingHerbivore",87.1133638856975*C96^(2/3)*S96,
IF(_xlfn.XLOOKUP(E96,Groups!A:A,Groups!N:N)="MiscEctotherms",59.4316884072269*C96^(2/3)*S96,
IF(_xlfn.XLOOKUP(E96,Groups!A:A,Groups!N:N)="StrongBeakBird",0.041*(C96*1000)^1.375*S96,
IF(_xlfn.XLOOKUP(E96,Groups!A:A,Groups!N:N)="Bird",0.118*(C96*1000)^0.692*S96,
IF(_xlfn.XLOOKUP(E96,Groups!A:A,Groups!N:N)="Insect",EXP(0.7444*LN(C96)+6.5696)*S96,
IF(_xlfn.XLOOKUP(E96,Groups!A:A,Groups!N:N)="Theropod",EXP(0.6966*LN(C96)+4.158)*S96,
"No"))))))))))))))))</f>
        <v>No</v>
      </c>
      <c r="AU96" s="8">
        <f>IF(_xlfn.XLOOKUP(E96,Groups!A:A,Groups!U:U)=3,AS96,IF(_xlfn.XLOOKUP(E96,Groups!A:A,Groups!U:U)=2,AR96,AT96))</f>
        <v>8112.7508566761171</v>
      </c>
      <c r="AV96" s="46">
        <f>IFERROR(AVERAGE(_xlfn.XLOOKUP(B96,Animals!B:B,Animals!N:N),_xlfn.XLOOKUP(B96,Animals!B:B,Animals!O:O)),0)</f>
        <v>0</v>
      </c>
      <c r="AW96" s="8">
        <f>MROUND(40*Animals!AO96*_xlfn.XLOOKUP(AG96,Leathers!$A$2:$A$99,Leathers!$B$2:$B$99,0)+(140*_xlfn.XLOOKUP(B96,Animals!B:B,Animals!AO:AO)*2),5)</f>
        <v>1000</v>
      </c>
      <c r="AX96" s="8">
        <f>IFERROR(ROUND(SQRT(V96-1)*IF(_xlfn.XLOOKUP(E96,Groups!A:A,Groups!BF:BF)=0,2,1)*IF(_xlfn.XLOOKUP('Base stats'!E96,Groups!A:A,Groups!O:O)=0,1,0.1),1),0)</f>
        <v>0</v>
      </c>
      <c r="AY96" s="8">
        <f t="shared" si="36"/>
        <v>0</v>
      </c>
      <c r="AZ96" s="8">
        <f t="shared" si="37"/>
        <v>9</v>
      </c>
      <c r="BA96" s="8">
        <f t="shared" si="38"/>
        <v>6.8</v>
      </c>
      <c r="BB96" s="8">
        <f>IF(_xlfn.XLOOKUP(E96,Groups!A:A,Groups!N:N)="Insect",BD96*2.5,IFERROR(AVERAGE(BD96,AT96/9.81/IF(OR(_xlfn.XLOOKUP(E96,Groups!A:A,Groups!N:N)="Pig",_xlfn.XLOOKUP(E96,Groups!A:A,Groups!N:N)="StrongBitingHerbivore"),20,25))*C96^-0.135,BD96))</f>
        <v>3.4960118395648152</v>
      </c>
      <c r="BC96" s="8">
        <f>IF(W96="No","No",IF(_xlfn.XLOOKUP(E96,Groups!A:A,Groups!U:U)=1,'Base stats'!BB96,IF(OR(_xlfn.XLOOKUP(E96,Groups!A:A,Groups!BD:BD)=1,_xlfn.XLOOKUP(E96,Groups!A:A,Groups!U:U)=2),BD96,IF(_xlfn.XLOOKUP(B96,Animals!B:B,Animals!AO:AO)&gt;4,AVERAGE(BD96,BF96),BF96))))</f>
        <v>5.545715701799768</v>
      </c>
      <c r="BD96" s="8">
        <f t="shared" si="39"/>
        <v>3.4960118395648152</v>
      </c>
      <c r="BE96" s="8">
        <f>IF(_xlfn.XLOOKUP(E96,Groups!A:A,Groups!BE:BE)=1,(0.048*C96^1.01)+(0.071*C96^1.03),0.071*C96^1.03)/IF(_xlfn.XLOOKUP(E96,Groups!A:A,Groups!M:M)=1,0.85,IF(OR(_xlfn.XLOOKUP(B96,Animals!B:B,Animals!AO:AO)&gt;4,_xlfn.XLOOKUP(E96,Groups!A:A,Groups!BC:BC)=1),1.7,1))*C96^-0.25</f>
        <v>7.3925870360907862</v>
      </c>
      <c r="BF96" s="8">
        <f>(0.048*C96^1.01)/IF(_xlfn.XLOOKUP(E96,Groups!A:A,Groups!M:M)=1,0.25,0.8)*C96^-0.25</f>
        <v>5.545715701799768</v>
      </c>
      <c r="BG96" s="8">
        <f>EXP(1.076*LN(AR96)-4.5397)*IF(_xlfn.XLOOKUP(E96,Groups!A:A,Groups!BC:BC)=1,1.25,IF(_xlfn.XLOOKUP(E96,Groups!A:A,Groups!BD:BD)=1,3.5,2.5))</f>
        <v>441.214274487794</v>
      </c>
      <c r="BH96" s="8">
        <f>EXP(1.076*LN(AS96)-4.5397)*IF(_xlfn.XLOOKUP(E96,Groups!A:A,Groups!M:M)=1,0.8,IF(_xlfn.XLOOKUP(E96,Groups!A:A,Groups!BC:BC)=1,1.3,3))</f>
        <v>515.01456660506551</v>
      </c>
      <c r="BI96" s="8">
        <f>IF(W96="No","No",IF(_xlfn.XLOOKUP(E96,Groups!A:A,Groups!U:U)=1,'Base stats'!BJ96,IF(OR(_xlfn.XLOOKUP(E96,Groups!A:A,Groups!BD:BD)=1,_xlfn.XLOOKUP(E96,Groups!A:A,Groups!U:U)=2),BG96,BH96))*1.2)</f>
        <v>618.01747992607864</v>
      </c>
      <c r="BJ96" s="8" t="str">
        <f>IFERROR(EXP(1.076*LN(AT96)-4.5397)*IF(_xlfn.XLOOKUP(E96,Groups!A:A,Groups!N:N)="Insect",1,IF(OR(_xlfn.XLOOKUP(E96,Groups!A:A,Groups!N:N)="Pig",_xlfn.XLOOKUP(E96,Groups!A:A,Groups!N:N)="StrongBitingHerbivore"),3.5,3.75)),"No")</f>
        <v>No</v>
      </c>
      <c r="BK96" s="8">
        <f t="shared" si="40"/>
        <v>15</v>
      </c>
      <c r="BL96" s="8">
        <f t="shared" si="41"/>
        <v>11</v>
      </c>
      <c r="BM96" s="8">
        <f t="shared" si="42"/>
        <v>14</v>
      </c>
      <c r="BN96" s="8" t="str">
        <f t="shared" si="43"/>
        <v>No</v>
      </c>
      <c r="BO96" s="8">
        <f t="shared" si="44"/>
        <v>13</v>
      </c>
      <c r="BP96" s="8" cm="1">
        <f t="array" ref="BP96">IF(AND(_xlfn.XLOOKUP('Base stats'!E96,Groups!A:A,Groups!AD:AD=0),_xlfn.XLOOKUP('Base stats'!E96,Groups!A:A,Groups!P:P=0)),"No",IF(U96="No",AVERAGE(EXP(-0.57+0.99*LN(C96)),EXP(0.32+0.67*LN(C96)))/IF(_xlfn.XLOOKUP(E96,Groups!A:A,Groups!AD:AD)=1,10,2),(0.7354*C96^0.4078)*2/IF(_xlfn.XLOOKUP(E96,Groups!A:A,Groups!BK:BK)=1,1000,100)/IF(_xlfn.XLOOKUP(E96,Groups!A:A,Groups!AJ:AJ)="Photonozoa",3,1)))</f>
        <v>70.035584508104705</v>
      </c>
      <c r="BQ96" s="8">
        <f>IF(W96="No","No",IF(_xlfn.XLOOKUP(E96,Groups!A:A,Groups!BD:BD)=1,(AO96*5%),EXP(0.7354*LN(C96)^0.4078)*2/IF(_xlfn.XLOOKUP(E96,Groups!A:A,Groups!BL:BL)=1,1000,100)/IF(_xlfn.XLOOKUP(E96,Groups!A:A,Groups!AJ:AJ)="Photonozoa",3,1)))</f>
        <v>9.1669548120059424E-2</v>
      </c>
      <c r="BR96" s="8" t="str">
        <f>IF(BJ96="No","No",IF(_xlfn.XLOOKUP(E96,Groups!A:A,Groups!BF:BF)=1,(0.0315*C96+2.1825)*2,(0.7354*C96^0.4078)*2)/IF(_xlfn.XLOOKUP(E96,Groups!A:A,Groups!BM:BM)=1,1000,100)/IF(_xlfn.XLOOKUP(E96,Groups!A:A,Groups!AJ:AJ)="Photonozoa",3,1))</f>
        <v>No</v>
      </c>
      <c r="BS96" s="8">
        <f t="shared" si="45"/>
        <v>0.1656055256280648</v>
      </c>
      <c r="BT96" s="8">
        <f t="shared" si="46"/>
        <v>7.3536127416123254</v>
      </c>
      <c r="BU96" s="8">
        <f t="shared" si="47"/>
        <v>6741.7969500260042</v>
      </c>
      <c r="BV96" s="8" t="str">
        <f t="shared" si="48"/>
        <v>No</v>
      </c>
      <c r="BW96" s="4">
        <v>0</v>
      </c>
      <c r="BX96" s="4">
        <v>1</v>
      </c>
    </row>
    <row r="97" spans="1:76" x14ac:dyDescent="0.25">
      <c r="A97" s="26" t="s">
        <v>204</v>
      </c>
      <c r="B97" s="6" t="s">
        <v>222</v>
      </c>
      <c r="C97" s="7">
        <v>315</v>
      </c>
      <c r="D97" s="7" t="s">
        <v>578</v>
      </c>
      <c r="E97" s="7" t="str">
        <f>Groups!$A$54</f>
        <v>Ruminant  (BLUNT HORNS)</v>
      </c>
      <c r="F97" s="7">
        <v>258</v>
      </c>
      <c r="G97" s="7">
        <f>1096 /365</f>
        <v>3.0027397260273974</v>
      </c>
      <c r="H97" s="7">
        <v>27.4</v>
      </c>
      <c r="I97" s="4">
        <v>0</v>
      </c>
      <c r="J97" s="7">
        <v>1</v>
      </c>
      <c r="K97" s="7" t="s">
        <v>578</v>
      </c>
      <c r="L97" s="7">
        <f>MIN(114.4*C97^-0.13,97.8*C97^-0.094)</f>
        <v>54.155884391441859</v>
      </c>
      <c r="M97" s="7" t="s">
        <v>626</v>
      </c>
      <c r="N97" s="4">
        <v>0</v>
      </c>
      <c r="O97" s="4">
        <v>0</v>
      </c>
      <c r="P97" s="4">
        <v>0</v>
      </c>
      <c r="Q97" s="4">
        <v>0</v>
      </c>
      <c r="R97" s="4" t="s">
        <v>40</v>
      </c>
      <c r="S97" s="7">
        <f>_xlfn.XLOOKUP(B97,[1]TeethAdjusters!$A:$A,[1]BiteAdjusters!$C:$C,1)</f>
        <v>1</v>
      </c>
      <c r="T97" s="7">
        <f>_xlfn.XLOOKUP(B97,[1]TeethAdjusters!$A:$A,[1]TeethAdjusters!$B:$B,1)</f>
        <v>1</v>
      </c>
      <c r="U97" s="7" t="s">
        <v>45</v>
      </c>
      <c r="V97" s="7" t="str">
        <f>IF(AT97="No","No",IF(_xlfn.XLOOKUP(E97,Groups!A:A,Groups!AM:AM)=1,MROUND(EXP(0.3582*LN(C97)-0.2221)*T97,0.05),IF(_xlfn.XLOOKUP(E97,Groups!A:A,Groups!AM:AM)=2,MROUND(EXP(0.3582*LN(C97)-0.2221)*T97,0.05),"Need a formula")))</f>
        <v>No</v>
      </c>
      <c r="W97" s="7">
        <f>MROUND(AVERAGE(AVERAGE(70,75),40),0.05)</f>
        <v>56.25</v>
      </c>
      <c r="X97" s="7" t="s">
        <v>932</v>
      </c>
      <c r="Y97" s="4" t="s">
        <v>42</v>
      </c>
      <c r="Z97" s="4">
        <v>1</v>
      </c>
      <c r="AA97" s="4">
        <v>0</v>
      </c>
      <c r="AB97" s="4">
        <v>0</v>
      </c>
      <c r="AC97" s="4">
        <v>2.5000000000000001E-2</v>
      </c>
      <c r="AD97" s="4">
        <v>0.05</v>
      </c>
      <c r="AE97" s="4" t="s">
        <v>45</v>
      </c>
      <c r="AF97" s="4" t="s">
        <v>398</v>
      </c>
      <c r="AG97" s="49" t="s">
        <v>392</v>
      </c>
      <c r="AH97" s="4" t="str">
        <f>Animals!$C$52</f>
        <v>&lt;li&gt;Sheep&lt;/li&gt;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4" t="s">
        <v>40</v>
      </c>
      <c r="AO97" s="8">
        <f t="shared" si="34"/>
        <v>46690.103725594781</v>
      </c>
      <c r="AP97" s="8">
        <f>IFERROR(C97*_xlfn.XLOOKUP(E97,Groups!A:A,Groups!K:K),0.106*C97^0.94)</f>
        <v>23.643827698853102</v>
      </c>
      <c r="AQ97" s="8">
        <f>AP97*10000/(_xlfn.XLOOKUP(E97,Groups!A:A,Groups!J:J)*AO97)</f>
        <v>4.6458635372292765</v>
      </c>
      <c r="AR97" s="8">
        <f t="shared" si="35"/>
        <v>7010.7369859297514</v>
      </c>
      <c r="AS97" s="8">
        <f>IF(_xlfn.XLOOKUP(E97,Groups!A:A,Groups!M:M)=1,EXP(0.7444*LN('Base stats'!C97)+6.5696),EXP(0.7927*LN('Base stats'!C97)+4.28))</f>
        <v>6905.4368583239793</v>
      </c>
      <c r="AT97" s="8" t="str">
        <f>IF(_xlfn.XLOOKUP(E97,Groups!A:A,Groups!N:N)="No","No",
IF(_xlfn.XLOOKUP(E97,Groups!A:A,Groups!N:N)="Crocodile",EXP(0.8129*LN(C97)+4.6742)*S97,
IF(_xlfn.XLOOKUP(E97,Groups!A:A,Groups!N:N)="Felid",EXP(0.7843*LN(C97)+4.7073)*S97,
IF(_xlfn.XLOOKUP(E97,Groups!A:A,Groups!N:N)="Canid",EXP(0.8367*LN(C97)+4.8763)*S97,
IF(_xlfn.XLOOKUP(E97,Groups!A:A,Groups!N:N)="Pig",EXP(0.3439*LN(C97)+6.8519)*S97,
IF(_xlfn.XLOOKUP(E97,Groups!A:A,Groups!N:N)="Rodent",EXP(0.5625*LN(C97)+4.3006)*S97,
IF(_xlfn.XLOOKUP(E97,Groups!A:A,Groups!N:N)="Primate",EXP(0.7847*LN(C97)+3.4931)*S97,
IF(_xlfn.XLOOKUP(E97,Groups!A:A,Groups!N:N)="MiscCarnivora",EXP(0.7486*LN(C97)+4.2207)*S97,
IF(_xlfn.XLOOKUP(E97,Groups!A:A,Groups!N:N)="Lizard",EXP(0.7733*LN(C97)+5.5303)*S97,
IF(_xlfn.XLOOKUP(E97,Groups!A:A,Groups!N:N)="Snake",50*C97^(2/3)*S97,
IF(_xlfn.XLOOKUP(E97,Groups!A:A,Groups!N:N)="StrongBitingHerbivore",87.1133638856975*C97^(2/3)*S97,
IF(_xlfn.XLOOKUP(E97,Groups!A:A,Groups!N:N)="MiscEctotherms",59.4316884072269*C97^(2/3)*S97,
IF(_xlfn.XLOOKUP(E97,Groups!A:A,Groups!N:N)="StrongBeakBird",0.041*(C97*1000)^1.375*S97,
IF(_xlfn.XLOOKUP(E97,Groups!A:A,Groups!N:N)="Bird",0.118*(C97*1000)^0.692*S97,
IF(_xlfn.XLOOKUP(E97,Groups!A:A,Groups!N:N)="Insect",EXP(0.7444*LN(C97)+6.5696)*S97,
IF(_xlfn.XLOOKUP(E97,Groups!A:A,Groups!N:N)="Theropod",EXP(0.6966*LN(C97)+4.158)*S97,
"No"))))))))))))))))</f>
        <v>No</v>
      </c>
      <c r="AU97" s="8">
        <f>IF(_xlfn.XLOOKUP(E97,Groups!A:A,Groups!U:U)=3,AS97,IF(_xlfn.XLOOKUP(E97,Groups!A:A,Groups!U:U)=2,AR97,AT97))</f>
        <v>6905.4368583239793</v>
      </c>
      <c r="AV97" s="46">
        <f>IFERROR(AVERAGE(_xlfn.XLOOKUP(B97,Animals!B:B,Animals!N:N),_xlfn.XLOOKUP(B97,Animals!B:B,Animals!O:O)),0)</f>
        <v>0</v>
      </c>
      <c r="AW97" s="8">
        <f>MROUND(40*Animals!AO97*_xlfn.XLOOKUP(AG97,Leathers!$A$2:$A$99,Leathers!$B$2:$B$99,0)+(140*_xlfn.XLOOKUP(B97,Animals!B:B,Animals!AO:AO)*2),5)</f>
        <v>820</v>
      </c>
      <c r="AX97" s="8">
        <f>IFERROR(ROUND(SQRT(V97-1)*IF(_xlfn.XLOOKUP(E97,Groups!A:A,Groups!BF:BF)=0,2,1)*IF(_xlfn.XLOOKUP('Base stats'!E97,Groups!A:A,Groups!O:O)=0,1,0.1),1),0)</f>
        <v>0</v>
      </c>
      <c r="AY97" s="8">
        <f t="shared" si="36"/>
        <v>0</v>
      </c>
      <c r="AZ97" s="8">
        <f t="shared" si="37"/>
        <v>7.5</v>
      </c>
      <c r="BA97" s="8">
        <f t="shared" si="38"/>
        <v>6.3</v>
      </c>
      <c r="BB97" s="8">
        <f>IF(_xlfn.XLOOKUP(E97,Groups!A:A,Groups!N:N)="Insect",BD97*2.5,IFERROR(AVERAGE(BD97,AT97/9.81/IF(OR(_xlfn.XLOOKUP(E97,Groups!A:A,Groups!N:N)="Pig",_xlfn.XLOOKUP(E97,Groups!A:A,Groups!N:N)="StrongBitingHerbivore"),20,25))*C97^-0.135,BD97))</f>
        <v>2.9992469409942233</v>
      </c>
      <c r="BC97" s="8">
        <f>IF(W97="No","No",IF(_xlfn.XLOOKUP(E97,Groups!A:A,Groups!U:U)=1,'Base stats'!BB97,IF(OR(_xlfn.XLOOKUP(E97,Groups!A:A,Groups!BD:BD)=1,_xlfn.XLOOKUP(E97,Groups!A:A,Groups!U:U)=2),BD97,IF(_xlfn.XLOOKUP(B97,Animals!B:B,Animals!AO:AO)&gt;4,AVERAGE(BD97,BF97),BF97))))</f>
        <v>2.9992469409942233</v>
      </c>
      <c r="BD97" s="8">
        <f t="shared" si="39"/>
        <v>2.9992469409942233</v>
      </c>
      <c r="BE97" s="8">
        <f>IF(_xlfn.XLOOKUP(E97,Groups!A:A,Groups!BE:BE)=1,(0.048*C97^1.01)+(0.071*C97^1.03),0.071*C97^1.03)/IF(_xlfn.XLOOKUP(E97,Groups!A:A,Groups!M:M)=1,0.85,IF(OR(_xlfn.XLOOKUP(B97,Animals!B:B,Animals!AO:AO)&gt;4,_xlfn.XLOOKUP(E97,Groups!A:A,Groups!BC:BC)=1),1.7,1))*C97^-0.25</f>
        <v>6.3087102403061808</v>
      </c>
      <c r="BF97" s="8">
        <f>(0.048*C97^1.01)/IF(_xlfn.XLOOKUP(E97,Groups!A:A,Groups!M:M)=1,0.25,0.8)*C97^-0.25</f>
        <v>4.7518997656342457</v>
      </c>
      <c r="BG97" s="8">
        <f>EXP(1.076*LN(AR97)-4.5397)*IF(_xlfn.XLOOKUP(E97,Groups!A:A,Groups!BC:BC)=1,1.25,IF(_xlfn.XLOOKUP(E97,Groups!A:A,Groups!BD:BD)=1,3.5,2.5))</f>
        <v>513.50313408080808</v>
      </c>
      <c r="BH97" s="8">
        <f>EXP(1.076*LN(AS97)-4.5397)*IF(_xlfn.XLOOKUP(E97,Groups!A:A,Groups!M:M)=1,0.8,IF(_xlfn.XLOOKUP(E97,Groups!A:A,Groups!BC:BC)=1,1.3,3))</f>
        <v>433.03627852091654</v>
      </c>
      <c r="BI97" s="8">
        <f>IF(W97="No","No",IF(_xlfn.XLOOKUP(E97,Groups!A:A,Groups!U:U)=1,'Base stats'!BJ97,IF(OR(_xlfn.XLOOKUP(E97,Groups!A:A,Groups!BD:BD)=1,_xlfn.XLOOKUP(E97,Groups!A:A,Groups!U:U)=2),BG97,BH97))*1.2)</f>
        <v>616.2037608969697</v>
      </c>
      <c r="BJ97" s="8" t="str">
        <f>IFERROR(EXP(1.076*LN(AT97)-4.5397)*IF(_xlfn.XLOOKUP(E97,Groups!A:A,Groups!N:N)="Insect",1,IF(OR(_xlfn.XLOOKUP(E97,Groups!A:A,Groups!N:N)="Pig",_xlfn.XLOOKUP(E97,Groups!A:A,Groups!N:N)="StrongBitingHerbivore"),3.5,3.75)),"No")</f>
        <v>No</v>
      </c>
      <c r="BK97" s="8">
        <f t="shared" si="40"/>
        <v>18</v>
      </c>
      <c r="BL97" s="8">
        <f t="shared" si="41"/>
        <v>11</v>
      </c>
      <c r="BM97" s="8">
        <f t="shared" si="42"/>
        <v>20</v>
      </c>
      <c r="BN97" s="8" t="str">
        <f t="shared" si="43"/>
        <v>No</v>
      </c>
      <c r="BO97" s="8">
        <f t="shared" si="44"/>
        <v>13</v>
      </c>
      <c r="BP97" s="8" cm="1">
        <f t="array" ref="BP97">IF(AND(_xlfn.XLOOKUP('Base stats'!E97,Groups!A:A,Groups!AD:AD=0),_xlfn.XLOOKUP('Base stats'!E97,Groups!A:A,Groups!P:P=0)),"No",IF(U97="No",AVERAGE(EXP(-0.57+0.99*LN(C97)),EXP(0.32+0.67*LN(C97)))/IF(_xlfn.XLOOKUP(E97,Groups!A:A,Groups!AD:AD)=1,10,2),(0.7354*C97^0.4078)*2/IF(_xlfn.XLOOKUP(E97,Groups!A:A,Groups!BK:BK)=1,1000,100)/IF(_xlfn.XLOOKUP(E97,Groups!A:A,Groups!AJ:AJ)="Photonozoa",3,1)))</f>
        <v>58.292849510816879</v>
      </c>
      <c r="BQ97" s="8">
        <f>IF(W97="No","No",IF(_xlfn.XLOOKUP(E97,Groups!A:A,Groups!BD:BD)=1,(AO97*5%),EXP(0.7354*LN(C97)^0.4078)*2/IF(_xlfn.XLOOKUP(E97,Groups!A:A,Groups!BL:BL)=1,1000,100)/IF(_xlfn.XLOOKUP(E97,Groups!A:A,Groups!AJ:AJ)="Photonozoa",3,1)))</f>
        <v>2334.5051862797391</v>
      </c>
      <c r="BR97" s="8" t="str">
        <f>IF(BJ97="No","No",IF(_xlfn.XLOOKUP(E97,Groups!A:A,Groups!BF:BF)=1,(0.0315*C97+2.1825)*2,(0.7354*C97^0.4078)*2)/IF(_xlfn.XLOOKUP(E97,Groups!A:A,Groups!BM:BM)=1,1000,100)/IF(_xlfn.XLOOKUP(E97,Groups!A:A,Groups!AJ:AJ)="Photonozoa",3,1))</f>
        <v>No</v>
      </c>
      <c r="BS97" s="8">
        <f t="shared" si="45"/>
        <v>0.21996230168977488</v>
      </c>
      <c r="BT97" s="8">
        <f t="shared" si="46"/>
        <v>7.4286345950640467</v>
      </c>
      <c r="BU97" s="8">
        <f t="shared" si="47"/>
        <v>0.26395476202772988</v>
      </c>
      <c r="BV97" s="8" t="str">
        <f t="shared" si="48"/>
        <v>No</v>
      </c>
      <c r="BW97" s="4">
        <v>0</v>
      </c>
      <c r="BX97" s="4">
        <v>1</v>
      </c>
    </row>
    <row r="98" spans="1:76" x14ac:dyDescent="0.25">
      <c r="A98" s="26" t="s">
        <v>283</v>
      </c>
      <c r="B98" s="6" t="s">
        <v>284</v>
      </c>
      <c r="C98" s="7">
        <v>50</v>
      </c>
      <c r="D98" s="7" t="s">
        <v>528</v>
      </c>
      <c r="E98" s="7" t="str">
        <f>Groups!$A$58</f>
        <v>Snail</v>
      </c>
      <c r="F98" s="7">
        <v>100</v>
      </c>
      <c r="G98" s="7">
        <v>5</v>
      </c>
      <c r="H98" s="7">
        <v>30</v>
      </c>
      <c r="I98" s="4">
        <v>0</v>
      </c>
      <c r="J98" s="7">
        <v>10</v>
      </c>
      <c r="K98" s="7" t="s">
        <v>528</v>
      </c>
      <c r="L98" s="7">
        <v>5</v>
      </c>
      <c r="M98" s="7" t="s">
        <v>528</v>
      </c>
      <c r="N98" s="4">
        <v>0</v>
      </c>
      <c r="O98" s="4">
        <v>1</v>
      </c>
      <c r="P98" s="4">
        <v>0</v>
      </c>
      <c r="Q98" s="4">
        <v>0</v>
      </c>
      <c r="R98" s="4" t="s">
        <v>40</v>
      </c>
      <c r="S98" s="7">
        <f>_xlfn.XLOOKUP(B98,[1]TeethAdjusters!$A:$A,[1]BiteAdjusters!$C:$C,1)</f>
        <v>1</v>
      </c>
      <c r="T98" s="7">
        <f>_xlfn.XLOOKUP(B98,[1]TeethAdjusters!$A:$A,[1]TeethAdjusters!$B:$B,1)</f>
        <v>1</v>
      </c>
      <c r="U98" s="7" t="s">
        <v>45</v>
      </c>
      <c r="V98" s="7">
        <v>1</v>
      </c>
      <c r="W98" s="7" t="s">
        <v>45</v>
      </c>
      <c r="X98" s="7" t="s">
        <v>932</v>
      </c>
      <c r="Y98" s="4" t="s">
        <v>42</v>
      </c>
      <c r="Z98" s="4">
        <v>1</v>
      </c>
      <c r="AA98" s="4">
        <v>0</v>
      </c>
      <c r="AB98" s="4">
        <v>0</v>
      </c>
      <c r="AC98" s="4">
        <v>0</v>
      </c>
      <c r="AD98" s="4">
        <v>0</v>
      </c>
      <c r="AE98" s="4" t="s">
        <v>45</v>
      </c>
      <c r="AF98" s="4" t="s">
        <v>45</v>
      </c>
      <c r="AG98" s="49" t="s">
        <v>45</v>
      </c>
      <c r="AH98" s="4" t="s">
        <v>45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4" t="s">
        <v>40</v>
      </c>
      <c r="AO98" s="8">
        <f t="shared" si="34"/>
        <v>14114.109472474363</v>
      </c>
      <c r="AP98" s="8">
        <f>IFERROR(C98*_xlfn.XLOOKUP(E98,Groups!A:A,Groups!K:K),0.106*C98^0.94)</f>
        <v>16</v>
      </c>
      <c r="AQ98" s="8">
        <f>AP98*10000/(_xlfn.XLOOKUP(E98,Groups!A:A,Groups!J:J)*AO98)</f>
        <v>4.1985829410511464</v>
      </c>
      <c r="AR98" s="8">
        <f t="shared" si="35"/>
        <v>1481.019280401604</v>
      </c>
      <c r="AS98" s="8">
        <f>IF(_xlfn.XLOOKUP(E98,Groups!A:A,Groups!M:M)=1,EXP(0.7444*LN('Base stats'!C98)+6.5696),EXP(0.7927*LN('Base stats'!C98)+4.28))</f>
        <v>1605.2914958133745</v>
      </c>
      <c r="AT98" s="8">
        <f>IF(_xlfn.XLOOKUP(E98,Groups!A:A,Groups!N:N)="No","No",
IF(_xlfn.XLOOKUP(E98,Groups!A:A,Groups!N:N)="Crocodile",EXP(0.8129*LN(C98)+4.6742)*S98,
IF(_xlfn.XLOOKUP(E98,Groups!A:A,Groups!N:N)="Felid",EXP(0.7843*LN(C98)+4.7073)*S98,
IF(_xlfn.XLOOKUP(E98,Groups!A:A,Groups!N:N)="Canid",EXP(0.8367*LN(C98)+4.8763)*S98,
IF(_xlfn.XLOOKUP(E98,Groups!A:A,Groups!N:N)="Pig",EXP(0.3439*LN(C98)+6.8519)*S98,
IF(_xlfn.XLOOKUP(E98,Groups!A:A,Groups!N:N)="Rodent",EXP(0.5625*LN(C98)+4.3006)*S98,
IF(_xlfn.XLOOKUP(E98,Groups!A:A,Groups!N:N)="Primate",EXP(0.7847*LN(C98)+3.4931)*S98,
IF(_xlfn.XLOOKUP(E98,Groups!A:A,Groups!N:N)="MiscCarnivora",EXP(0.7486*LN(C98)+4.2207)*S98,
IF(_xlfn.XLOOKUP(E98,Groups!A:A,Groups!N:N)="Lizard",EXP(0.7733*LN(C98)+5.5303)*S98,
IF(_xlfn.XLOOKUP(E98,Groups!A:A,Groups!N:N)="Snake",50*C98^(2/3)*S98,
IF(_xlfn.XLOOKUP(E98,Groups!A:A,Groups!N:N)="StrongBitingHerbivore",87.1133638856975*C98^(2/3)*S98,
IF(_xlfn.XLOOKUP(E98,Groups!A:A,Groups!N:N)="MiscEctotherms",59.4316884072269*C98^(2/3)*S98,
IF(_xlfn.XLOOKUP(E98,Groups!A:A,Groups!N:N)="StrongBeakBird",0.041*(C98*1000)^1.375*S98,
IF(_xlfn.XLOOKUP(E98,Groups!A:A,Groups!N:N)="Bird",0.118*(C98*1000)^0.692*S98,
IF(_xlfn.XLOOKUP(E98,Groups!A:A,Groups!N:N)="Insect",EXP(0.7444*LN(C98)+6.5696)*S98,
IF(_xlfn.XLOOKUP(E98,Groups!A:A,Groups!N:N)="Theropod",EXP(0.6966*LN(C98)+4.158)*S98,
"No"))))))))))))))))</f>
        <v>806.61210998277977</v>
      </c>
      <c r="AU98" s="8">
        <f>IF(_xlfn.XLOOKUP(E98,Groups!A:A,Groups!U:U)=3,AS98,IF(_xlfn.XLOOKUP(E98,Groups!A:A,Groups!U:U)=2,AR98,AT98))</f>
        <v>806.61210998277977</v>
      </c>
      <c r="AV98" s="46">
        <f>IFERROR(AVERAGE(_xlfn.XLOOKUP(B98,Animals!B:B,Animals!N:N),_xlfn.XLOOKUP(B98,Animals!B:B,Animals!O:O)),0)</f>
        <v>0.35000000000000003</v>
      </c>
      <c r="AW98" s="8">
        <f>MROUND(40*Animals!AO98*_xlfn.XLOOKUP(AG98,Leathers!$A$2:$A$99,Leathers!$B$2:$B$99,0)+(140*_xlfn.XLOOKUP(B98,Animals!B:B,Animals!AO:AO)*2),5)</f>
        <v>240</v>
      </c>
      <c r="AX98" s="8">
        <f>IFERROR(ROUND(SQRT(V98-1)*IF(_xlfn.XLOOKUP(E98,Groups!A:A,Groups!BF:BF)=0,2,1)*IF(_xlfn.XLOOKUP('Base stats'!E98,Groups!A:A,Groups!O:O)=0,1,0.1),1),0)</f>
        <v>0</v>
      </c>
      <c r="AY98" s="8">
        <f t="shared" si="36"/>
        <v>0</v>
      </c>
      <c r="AZ98" s="8">
        <f t="shared" si="37"/>
        <v>0</v>
      </c>
      <c r="BA98" s="8">
        <f t="shared" si="38"/>
        <v>3.3</v>
      </c>
      <c r="BB98" s="8">
        <f>IF(_xlfn.XLOOKUP(E98,Groups!A:A,Groups!N:N)="Insect",BD98*2.5,IFERROR(AVERAGE(BD98,AT98/9.81/IF(OR(_xlfn.XLOOKUP(E98,Groups!A:A,Groups!N:N)="Pig",_xlfn.XLOOKUP(E98,Groups!A:A,Groups!N:N)="StrongBitingHerbivore"),20,25))*C98^-0.135,BD98))</f>
        <v>1.1905201802188443</v>
      </c>
      <c r="BC98" s="8" t="str">
        <f>IF(W98="No","No",IF(_xlfn.XLOOKUP(E98,Groups!A:A,Groups!U:U)=1,'Base stats'!BB98,IF(OR(_xlfn.XLOOKUP(E98,Groups!A:A,Groups!BD:BD)=1,_xlfn.XLOOKUP(E98,Groups!A:A,Groups!U:U)=2),BD98,IF(_xlfn.XLOOKUP(B98,Animals!B:B,Animals!AO:AO)&gt;4,AVERAGE(BD98,BF98),BF98))))</f>
        <v>No</v>
      </c>
      <c r="BD98" s="8">
        <f t="shared" si="39"/>
        <v>0.74870278790389155</v>
      </c>
      <c r="BE98" s="8">
        <f>IF(_xlfn.XLOOKUP(E98,Groups!A:A,Groups!BE:BE)=1,(0.048*C98^1.01)+(0.071*C98^1.03),0.071*C98^1.03)/IF(_xlfn.XLOOKUP(E98,Groups!A:A,Groups!M:M)=1,0.85,IF(OR(_xlfn.XLOOKUP(B98,Animals!B:B,Animals!AO:AO)&gt;4,_xlfn.XLOOKUP(E98,Groups!A:A,Groups!BC:BC)=1),1.7,1))*C98^-0.25</f>
        <v>0.88309216317430306</v>
      </c>
      <c r="BF98" s="8">
        <f>(0.048*C98^1.01)/IF(_xlfn.XLOOKUP(E98,Groups!A:A,Groups!M:M)=1,0.25,0.8)*C98^-0.25</f>
        <v>1.1731902733256112</v>
      </c>
      <c r="BG98" s="8">
        <f>EXP(1.076*LN(AR98)-4.5397)*IF(_xlfn.XLOOKUP(E98,Groups!A:A,Groups!BC:BC)=1,1.25,IF(_xlfn.XLOOKUP(E98,Groups!A:A,Groups!BD:BD)=1,3.5,2.5))</f>
        <v>34.42442382219248</v>
      </c>
      <c r="BH98" s="8">
        <f>EXP(1.076*LN(AS98)-4.5397)*IF(_xlfn.XLOOKUP(E98,Groups!A:A,Groups!M:M)=1,0.8,IF(_xlfn.XLOOKUP(E98,Groups!A:A,Groups!BC:BC)=1,1.3,3))</f>
        <v>39.043855300247856</v>
      </c>
      <c r="BI98" s="8" t="str">
        <f>IF(W98="No","No",IF(_xlfn.XLOOKUP(E98,Groups!A:A,Groups!U:U)=1,'Base stats'!BJ98,IF(OR(_xlfn.XLOOKUP(E98,Groups!A:A,Groups!BD:BD)=1,_xlfn.XLOOKUP(E98,Groups!A:A,Groups!U:U)=2),BG98,BH98))*1.2)</f>
        <v>No</v>
      </c>
      <c r="BJ98" s="8">
        <f>IFERROR(EXP(1.076*LN(AT98)-4.5397)*IF(_xlfn.XLOOKUP(E98,Groups!A:A,Groups!N:N)="Insect",1,IF(OR(_xlfn.XLOOKUP(E98,Groups!A:A,Groups!N:N)="Pig",_xlfn.XLOOKUP(E98,Groups!A:A,Groups!N:N)="StrongBitingHerbivore"),3.5,3.75)),"No")</f>
        <v>53.707614904612583</v>
      </c>
      <c r="BK98" s="8">
        <f t="shared" si="40"/>
        <v>9</v>
      </c>
      <c r="BL98" s="8">
        <f t="shared" si="41"/>
        <v>9</v>
      </c>
      <c r="BM98" s="8" t="str">
        <f t="shared" si="42"/>
        <v>No</v>
      </c>
      <c r="BN98" s="8">
        <f t="shared" si="43"/>
        <v>9</v>
      </c>
      <c r="BO98" s="8">
        <f t="shared" si="44"/>
        <v>8</v>
      </c>
      <c r="BP98" s="8" t="str" cm="1">
        <f t="array" ref="BP98">IF(AND(_xlfn.XLOOKUP('Base stats'!E98,Groups!A:A,Groups!AD:AD=0),_xlfn.XLOOKUP('Base stats'!E98,Groups!A:A,Groups!P:P=0)),"No",IF(U98="No",AVERAGE(EXP(-0.57+0.99*LN(C98)),EXP(0.32+0.67*LN(C98)))/IF(_xlfn.XLOOKUP(E98,Groups!A:A,Groups!AD:AD)=1,10,2),(0.7354*C98^0.4078)*2/IF(_xlfn.XLOOKUP(E98,Groups!A:A,Groups!BK:BK)=1,1000,100)/IF(_xlfn.XLOOKUP(E98,Groups!A:A,Groups!AJ:AJ)="Photonozoa",3,1)))</f>
        <v>No</v>
      </c>
      <c r="BQ98" s="8" t="str">
        <f>IF(W98="No","No",IF(_xlfn.XLOOKUP(E98,Groups!A:A,Groups!BD:BD)=1,(AO98*5%),EXP(0.7354*LN(C98)^0.4078)*2/IF(_xlfn.XLOOKUP(E98,Groups!A:A,Groups!BL:BL)=1,1000,100)/IF(_xlfn.XLOOKUP(E98,Groups!A:A,Groups!AJ:AJ)="Photonozoa",3,1)))</f>
        <v>No</v>
      </c>
      <c r="BR98" s="8">
        <f>IF(BJ98="No","No",IF(_xlfn.XLOOKUP(E98,Groups!A:A,Groups!BF:BF)=1,(0.0315*C98+2.1825)*2,(0.7354*C98^0.4078)*2)/IF(_xlfn.XLOOKUP(E98,Groups!A:A,Groups!BM:BM)=1,1000,100)/IF(_xlfn.XLOOKUP(E98,Groups!A:A,Groups!AJ:AJ)="Photonozoa",3,1))</f>
        <v>7.2509279375208957E-2</v>
      </c>
      <c r="BS98" s="8">
        <f t="shared" si="45"/>
        <v>4.8780157032688065E-2</v>
      </c>
      <c r="BT98" s="8" t="str">
        <f t="shared" si="46"/>
        <v>No</v>
      </c>
      <c r="BU98" s="8" t="str">
        <f t="shared" si="47"/>
        <v>No</v>
      </c>
      <c r="BV98" s="8">
        <f t="shared" si="48"/>
        <v>740.69988513739531</v>
      </c>
      <c r="BW98" s="4">
        <v>0</v>
      </c>
      <c r="BX98" s="4">
        <v>1</v>
      </c>
    </row>
    <row r="99" spans="1:76" x14ac:dyDescent="0.25">
      <c r="A99" s="26" t="s">
        <v>275</v>
      </c>
      <c r="B99" s="6" t="s">
        <v>276</v>
      </c>
      <c r="C99" s="7">
        <v>45</v>
      </c>
      <c r="D99" s="7" t="s">
        <v>528</v>
      </c>
      <c r="E99" s="7" t="str">
        <f>Groups!$A$15</f>
        <v>Doglike (CANID)</v>
      </c>
      <c r="F99" s="7">
        <v>63</v>
      </c>
      <c r="G99" s="7">
        <f>510/365</f>
        <v>1.3972602739726028</v>
      </c>
      <c r="H99" s="7">
        <v>27</v>
      </c>
      <c r="I99" s="4">
        <v>0</v>
      </c>
      <c r="J99" s="7">
        <v>6</v>
      </c>
      <c r="K99" s="7" t="s">
        <v>528</v>
      </c>
      <c r="L99" s="7">
        <f>MIN(37.5*C99^0.089,79.3*C99^-0.072)</f>
        <v>52.621979546581734</v>
      </c>
      <c r="M99" s="7" t="s">
        <v>626</v>
      </c>
      <c r="N99" s="4">
        <v>0</v>
      </c>
      <c r="O99" s="4">
        <v>0</v>
      </c>
      <c r="P99" s="4">
        <v>0</v>
      </c>
      <c r="Q99" s="4">
        <v>0</v>
      </c>
      <c r="R99" s="4">
        <v>1</v>
      </c>
      <c r="S99" s="7">
        <f>_xlfn.XLOOKUP(B99,[1]TeethAdjusters!$A:$A,[1]BiteAdjusters!$C:$C,1)</f>
        <v>1.0425371059413748</v>
      </c>
      <c r="T99" s="7">
        <f>_xlfn.XLOOKUP(B99,[1]TeethAdjusters!$A:$A,[1]TeethAdjusters!$B:$B,1)</f>
        <v>1.038364019968949</v>
      </c>
      <c r="U99" s="7" t="s">
        <v>45</v>
      </c>
      <c r="V99" s="7">
        <f>IF(AT99="No","No",IF(_xlfn.XLOOKUP(E99,Groups!A:A,Groups!AM:AM)=1,MROUND(EXP(0.3582*LN(C99)-0.2221)*T99,0.05),IF(_xlfn.XLOOKUP(E99,Groups!A:A,Groups!AM:AM)=2,MROUND(EXP(0.3582*LN(C99)-0.2221)*T99,0.05),"Need a formula")))</f>
        <v>3.25</v>
      </c>
      <c r="W99" s="7" t="s">
        <v>45</v>
      </c>
      <c r="X99" s="7" t="s">
        <v>932</v>
      </c>
      <c r="Y99" s="4" t="s">
        <v>53</v>
      </c>
      <c r="Z99" s="4">
        <v>1</v>
      </c>
      <c r="AA99" s="4">
        <v>0</v>
      </c>
      <c r="AB99" s="4">
        <v>0</v>
      </c>
      <c r="AC99" s="4">
        <v>0</v>
      </c>
      <c r="AD99" s="4">
        <v>0</v>
      </c>
      <c r="AE99" s="4" t="s">
        <v>45</v>
      </c>
      <c r="AF99" s="4" t="s">
        <v>399</v>
      </c>
      <c r="AG99" s="49" t="s">
        <v>379</v>
      </c>
      <c r="AH99" s="4" t="str">
        <f>Animals!$C$14</f>
        <v>&lt;li&gt;YorkshireTerrier&lt;/li&gt;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4" t="s">
        <v>40</v>
      </c>
      <c r="AO99" s="8">
        <f t="shared" si="34"/>
        <v>13179.869579281049</v>
      </c>
      <c r="AP99" s="8">
        <f>IFERROR(C99*_xlfn.XLOOKUP(E99,Groups!A:A,Groups!K:K),0.106*C99^0.94)</f>
        <v>5.6137499999999996</v>
      </c>
      <c r="AQ99" s="8">
        <f>AP99*10000/(_xlfn.XLOOKUP(E99,Groups!A:A,Groups!J:J)*AO99)</f>
        <v>3.9076481954680351</v>
      </c>
      <c r="AR99" s="8">
        <f t="shared" si="35"/>
        <v>1354.9066055012743</v>
      </c>
      <c r="AS99" s="8">
        <f>IF(_xlfn.XLOOKUP(E99,Groups!A:A,Groups!M:M)=1,EXP(0.7444*LN('Base stats'!C99)+6.5696),EXP(0.7927*LN('Base stats'!C99)+4.28))</f>
        <v>1476.6648670095913</v>
      </c>
      <c r="AT99" s="8">
        <f>IF(_xlfn.XLOOKUP(E99,Groups!A:A,Groups!N:N)="No","No",
IF(_xlfn.XLOOKUP(E99,Groups!A:A,Groups!N:N)="Crocodile",EXP(0.8129*LN(C99)+4.6742)*S99,
IF(_xlfn.XLOOKUP(E99,Groups!A:A,Groups!N:N)="Felid",EXP(0.7843*LN(C99)+4.7073)*S99,
IF(_xlfn.XLOOKUP(E99,Groups!A:A,Groups!N:N)="Canid",EXP(0.8367*LN(C99)+4.8763)*S99,
IF(_xlfn.XLOOKUP(E99,Groups!A:A,Groups!N:N)="Pig",EXP(0.3439*LN(C99)+6.8519)*S99,
IF(_xlfn.XLOOKUP(E99,Groups!A:A,Groups!N:N)="Rodent",EXP(0.5625*LN(C99)+4.3006)*S99,
IF(_xlfn.XLOOKUP(E99,Groups!A:A,Groups!N:N)="Primate",EXP(0.7847*LN(C99)+3.4931)*S99,
IF(_xlfn.XLOOKUP(E99,Groups!A:A,Groups!N:N)="MiscCarnivora",EXP(0.7486*LN(C99)+4.2207)*S99,
IF(_xlfn.XLOOKUP(E99,Groups!A:A,Groups!N:N)="Lizard",EXP(0.7733*LN(C99)+5.5303)*S99,
IF(_xlfn.XLOOKUP(E99,Groups!A:A,Groups!N:N)="Snake",50*C99^(2/3)*S99,
IF(_xlfn.XLOOKUP(E99,Groups!A:A,Groups!N:N)="StrongBitingHerbivore",87.1133638856975*C99^(2/3)*S99,
IF(_xlfn.XLOOKUP(E99,Groups!A:A,Groups!N:N)="MiscEctotherms",59.4316884072269*C99^(2/3)*S99,
IF(_xlfn.XLOOKUP(E99,Groups!A:A,Groups!N:N)="StrongBeakBird",0.041*(C99*1000)^1.375*S99,
IF(_xlfn.XLOOKUP(E99,Groups!A:A,Groups!N:N)="Bird",0.118*(C99*1000)^0.692*S99,
IF(_xlfn.XLOOKUP(E99,Groups!A:A,Groups!N:N)="Insect",EXP(0.7444*LN(C99)+6.5696)*S99,
IF(_xlfn.XLOOKUP(E99,Groups!A:A,Groups!N:N)="Theropod",EXP(0.6966*LN(C99)+4.158)*S99,
"No"))))))))))))))))</f>
        <v>3304.3391328153939</v>
      </c>
      <c r="AU99" s="8">
        <f>IF(_xlfn.XLOOKUP(E99,Groups!A:A,Groups!U:U)=3,AS99,IF(_xlfn.XLOOKUP(E99,Groups!A:A,Groups!U:U)=2,AR99,AT99))</f>
        <v>3304.3391328153939</v>
      </c>
      <c r="AV99" s="46">
        <f>IFERROR(AVERAGE(_xlfn.XLOOKUP(B99,Animals!B:B,Animals!N:N),_xlfn.XLOOKUP(B99,Animals!B:B,Animals!O:O)),0)</f>
        <v>0</v>
      </c>
      <c r="AW99" s="8">
        <f>MROUND(40*Animals!AO99*_xlfn.XLOOKUP(AG99,Leathers!$A$2:$A$99,Leathers!$B$2:$B$99,0)+(140*_xlfn.XLOOKUP(B99,Animals!B:B,Animals!AO:AO)*2),5)</f>
        <v>290</v>
      </c>
      <c r="AX99" s="8">
        <f>IFERROR(ROUND(SQRT(V99-1)*IF(_xlfn.XLOOKUP(E99,Groups!A:A,Groups!BF:BF)=0,2,1)*IF(_xlfn.XLOOKUP('Base stats'!E99,Groups!A:A,Groups!O:O)=0,1,0.1),1),0)</f>
        <v>3</v>
      </c>
      <c r="AY99" s="8">
        <f t="shared" si="36"/>
        <v>0</v>
      </c>
      <c r="AZ99" s="8">
        <f t="shared" si="37"/>
        <v>0</v>
      </c>
      <c r="BA99" s="8">
        <f t="shared" si="38"/>
        <v>3.1</v>
      </c>
      <c r="BB99" s="8">
        <f>IF(_xlfn.XLOOKUP(E99,Groups!A:A,Groups!N:N)="Insect",BD99*2.5,IFERROR(AVERAGE(BD99,AT99/9.81/IF(OR(_xlfn.XLOOKUP(E99,Groups!A:A,Groups!N:N)="Pig",_xlfn.XLOOKUP(E99,Groups!A:A,Groups!N:N)="StrongBitingHerbivore"),20,25))*C99^-0.135,BD99))</f>
        <v>4.306862806069268</v>
      </c>
      <c r="BC99" s="8" t="str">
        <f>IF(W99="No","No",IF(_xlfn.XLOOKUP(E99,Groups!A:A,Groups!U:U)=1,'Base stats'!BB99,IF(OR(_xlfn.XLOOKUP(E99,Groups!A:A,Groups!BD:BD)=1,_xlfn.XLOOKUP(E99,Groups!A:A,Groups!U:U)=2),BD99,IF(_xlfn.XLOOKUP(B99,Animals!B:B,Animals!AO:AO)&gt;4,AVERAGE(BD99,BF99),BF99))))</f>
        <v>No</v>
      </c>
      <c r="BD99" s="8">
        <f t="shared" si="39"/>
        <v>0.92705535303548403</v>
      </c>
      <c r="BE99" s="8">
        <f>IF(_xlfn.XLOOKUP(E99,Groups!A:A,Groups!BE:BE)=1,(0.048*C99^1.01)+(0.071*C99^1.03),0.071*C99^1.03)/IF(_xlfn.XLOOKUP(E99,Groups!A:A,Groups!M:M)=1,0.85,IF(OR(_xlfn.XLOOKUP(B99,Animals!B:B,Animals!AO:AO)&gt;4,_xlfn.XLOOKUP(E99,Groups!A:A,Groups!BC:BC)=1),1.7,1))*C99^-0.25</f>
        <v>1.3828150878334322</v>
      </c>
      <c r="BF99" s="8">
        <f>(0.048*C99^1.01)/IF(_xlfn.XLOOKUP(E99,Groups!A:A,Groups!M:M)=1,0.25,0.8)*C99^-0.25</f>
        <v>1.0829109891226825</v>
      </c>
      <c r="BG99" s="8">
        <f>EXP(1.076*LN(AR99)-4.5397)*IF(_xlfn.XLOOKUP(E99,Groups!A:A,Groups!BC:BC)=1,1.25,IF(_xlfn.XLOOKUP(E99,Groups!A:A,Groups!BD:BD)=1,3.5,2.5))</f>
        <v>62.561596172096557</v>
      </c>
      <c r="BH99" s="8">
        <f>EXP(1.076*LN(AS99)-4.5397)*IF(_xlfn.XLOOKUP(E99,Groups!A:A,Groups!M:M)=1,0.8,IF(_xlfn.XLOOKUP(E99,Groups!A:A,Groups!BC:BC)=1,1.3,3))</f>
        <v>82.35727435557628</v>
      </c>
      <c r="BI99" s="8" t="str">
        <f>IF(W99="No","No",IF(_xlfn.XLOOKUP(E99,Groups!A:A,Groups!U:U)=1,'Base stats'!BJ99,IF(OR(_xlfn.XLOOKUP(E99,Groups!A:A,Groups!BD:BD)=1,_xlfn.XLOOKUP(E99,Groups!A:A,Groups!U:U)=2),BG99,BH99))*1.2)</f>
        <v>No</v>
      </c>
      <c r="BJ99" s="8">
        <f>IFERROR(EXP(1.076*LN(AT99)-4.5397)*IF(_xlfn.XLOOKUP(E99,Groups!A:A,Groups!N:N)="Insect",1,IF(OR(_xlfn.XLOOKUP(E99,Groups!A:A,Groups!N:N)="Pig",_xlfn.XLOOKUP(E99,Groups!A:A,Groups!N:N)="StrongBitingHerbivore"),3.5,3.75)),"No")</f>
        <v>244.9061282607627</v>
      </c>
      <c r="BK99" s="8">
        <f t="shared" si="40"/>
        <v>11</v>
      </c>
      <c r="BL99" s="8">
        <f t="shared" si="41"/>
        <v>10</v>
      </c>
      <c r="BM99" s="8" t="str">
        <f t="shared" si="42"/>
        <v>No</v>
      </c>
      <c r="BN99" s="8">
        <f t="shared" si="43"/>
        <v>10</v>
      </c>
      <c r="BO99" s="8">
        <f t="shared" si="44"/>
        <v>12</v>
      </c>
      <c r="BP99" s="8" t="str" cm="1">
        <f t="array" ref="BP99">IF(AND(_xlfn.XLOOKUP('Base stats'!E99,Groups!A:A,Groups!AD:AD=0),_xlfn.XLOOKUP('Base stats'!E99,Groups!A:A,Groups!P:P=0)),"No",IF(U99="No",AVERAGE(EXP(-0.57+0.99*LN(C99)),EXP(0.32+0.67*LN(C99)))/IF(_xlfn.XLOOKUP(E99,Groups!A:A,Groups!AD:AD)=1,10,2),(0.7354*C99^0.4078)*2/IF(_xlfn.XLOOKUP(E99,Groups!A:A,Groups!BK:BK)=1,1000,100)/IF(_xlfn.XLOOKUP(E99,Groups!A:A,Groups!AJ:AJ)="Photonozoa",3,1)))</f>
        <v>No</v>
      </c>
      <c r="BQ99" s="8" t="str">
        <f>IF(W99="No","No",IF(_xlfn.XLOOKUP(E99,Groups!A:A,Groups!BD:BD)=1,(AO99*5%),EXP(0.7354*LN(C99)^0.4078)*2/IF(_xlfn.XLOOKUP(E99,Groups!A:A,Groups!BL:BL)=1,1000,100)/IF(_xlfn.XLOOKUP(E99,Groups!A:A,Groups!AJ:AJ)="Photonozoa",3,1)))</f>
        <v>No</v>
      </c>
      <c r="BR99" s="8">
        <f>IF(BJ99="No","No",IF(_xlfn.XLOOKUP(E99,Groups!A:A,Groups!BF:BF)=1,(0.0315*C99+2.1825)*2,(0.7354*C99^0.4078)*2)/IF(_xlfn.XLOOKUP(E99,Groups!A:A,Groups!BM:BM)=1,1000,100)/IF(_xlfn.XLOOKUP(E99,Groups!A:A,Groups!AJ:AJ)="Photonozoa",3,1))</f>
        <v>6.9459824922917246E-2</v>
      </c>
      <c r="BS99" s="8">
        <f t="shared" si="45"/>
        <v>9.4935076247559105E-2</v>
      </c>
      <c r="BT99" s="8" t="str">
        <f t="shared" si="46"/>
        <v>No</v>
      </c>
      <c r="BU99" s="8" t="str">
        <f t="shared" si="47"/>
        <v>No</v>
      </c>
      <c r="BV99" s="8">
        <f t="shared" si="48"/>
        <v>3525.867341769811</v>
      </c>
      <c r="BW99" s="4">
        <v>0</v>
      </c>
      <c r="BX99" s="4">
        <v>1</v>
      </c>
    </row>
    <row r="100" spans="1:76" x14ac:dyDescent="0.25">
      <c r="A100" s="26" t="s">
        <v>203</v>
      </c>
      <c r="B100" s="6" t="s">
        <v>279</v>
      </c>
      <c r="C100" s="7">
        <v>68</v>
      </c>
      <c r="D100" s="7" t="s">
        <v>1255</v>
      </c>
      <c r="E100" s="7" t="str">
        <f>Groups!$A$15</f>
        <v>Doglike (CANID)</v>
      </c>
      <c r="F100" s="7">
        <v>62</v>
      </c>
      <c r="G100" s="7">
        <f>669/365</f>
        <v>1.832876712328767</v>
      </c>
      <c r="H100" s="7">
        <v>25</v>
      </c>
      <c r="I100" s="4">
        <v>0</v>
      </c>
      <c r="J100" s="7">
        <v>6</v>
      </c>
      <c r="K100" s="7" t="s">
        <v>528</v>
      </c>
      <c r="L100" s="7">
        <f>MIN(37.5*C100^0.089,79.3*C100^-0.072)</f>
        <v>54.591441355706628</v>
      </c>
      <c r="M100" s="7" t="s">
        <v>626</v>
      </c>
      <c r="N100" s="4">
        <v>0</v>
      </c>
      <c r="O100" s="4">
        <v>0</v>
      </c>
      <c r="P100" s="4">
        <v>0</v>
      </c>
      <c r="Q100" s="4">
        <v>0</v>
      </c>
      <c r="R100" s="4" t="s">
        <v>40</v>
      </c>
      <c r="S100" s="7">
        <f>_xlfn.XLOOKUP(B100,[1]TeethAdjusters!$A:$A,[1]BiteAdjusters!$C:$C,1)</f>
        <v>1</v>
      </c>
      <c r="T100" s="7">
        <f>_xlfn.XLOOKUP(B100,[1]TeethAdjusters!$A:$A,[1]TeethAdjusters!$B:$B,1)</f>
        <v>1</v>
      </c>
      <c r="U100" s="7" t="s">
        <v>45</v>
      </c>
      <c r="V100" s="7">
        <f>IF(AT100="No","No",IF(_xlfn.XLOOKUP(E100,Groups!A:A,Groups!AM:AM)=1,MROUND(EXP(0.3582*LN(C100)-0.2221)*T100,0.05),IF(_xlfn.XLOOKUP(E100,Groups!A:A,Groups!AM:AM)=2,MROUND(EXP(0.3582*LN(C100)-0.2221)*T100,0.05),"Need a formula")))</f>
        <v>3.6500000000000004</v>
      </c>
      <c r="W100" s="7" t="s">
        <v>45</v>
      </c>
      <c r="X100" s="7" t="s">
        <v>932</v>
      </c>
      <c r="Y100" s="4" t="s">
        <v>56</v>
      </c>
      <c r="Z100" s="4">
        <v>1</v>
      </c>
      <c r="AA100" s="4">
        <v>0</v>
      </c>
      <c r="AB100" s="4">
        <v>0</v>
      </c>
      <c r="AC100" s="4">
        <v>0</v>
      </c>
      <c r="AD100" s="4">
        <v>0</v>
      </c>
      <c r="AE100" s="4" t="s">
        <v>45</v>
      </c>
      <c r="AF100" s="4" t="s">
        <v>311</v>
      </c>
      <c r="AG100" s="49" t="s">
        <v>396</v>
      </c>
      <c r="AH100" s="4" t="str">
        <f>Animals!$C$56</f>
        <v>&lt;li&gt;Wolf_Timber&lt;/li&gt;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4" t="s">
        <v>40</v>
      </c>
      <c r="AO100" s="8">
        <f t="shared" si="34"/>
        <v>17236.686074279878</v>
      </c>
      <c r="AP100" s="8">
        <f>IFERROR(C100*_xlfn.XLOOKUP(E100,Groups!A:A,Groups!K:K),0.106*C100^0.94)</f>
        <v>8.4830000000000005</v>
      </c>
      <c r="AQ100" s="8">
        <f>AP100*10000/(_xlfn.XLOOKUP(E100,Groups!A:A,Groups!J:J)*AO100)</f>
        <v>4.5151189583665916</v>
      </c>
      <c r="AR100" s="8">
        <f t="shared" si="35"/>
        <v>1920.264389799592</v>
      </c>
      <c r="AS100" s="8">
        <f>IF(_xlfn.XLOOKUP(E100,Groups!A:A,Groups!M:M)=1,EXP(0.7444*LN('Base stats'!C100)+6.5696),EXP(0.7927*LN('Base stats'!C100)+4.28))</f>
        <v>2048.3784474727427</v>
      </c>
      <c r="AT100" s="8">
        <f>IF(_xlfn.XLOOKUP(E100,Groups!A:A,Groups!N:N)="No","No",
IF(_xlfn.XLOOKUP(E100,Groups!A:A,Groups!N:N)="Crocodile",EXP(0.8129*LN(C100)+4.6742)*S100,
IF(_xlfn.XLOOKUP(E100,Groups!A:A,Groups!N:N)="Felid",EXP(0.7843*LN(C100)+4.7073)*S100,
IF(_xlfn.XLOOKUP(E100,Groups!A:A,Groups!N:N)="Canid",EXP(0.8367*LN(C100)+4.8763)*S100,
IF(_xlfn.XLOOKUP(E100,Groups!A:A,Groups!N:N)="Pig",EXP(0.3439*LN(C100)+6.8519)*S100,
IF(_xlfn.XLOOKUP(E100,Groups!A:A,Groups!N:N)="Rodent",EXP(0.5625*LN(C100)+4.3006)*S100,
IF(_xlfn.XLOOKUP(E100,Groups!A:A,Groups!N:N)="Primate",EXP(0.7847*LN(C100)+3.4931)*S100,
IF(_xlfn.XLOOKUP(E100,Groups!A:A,Groups!N:N)="MiscCarnivora",EXP(0.7486*LN(C100)+4.2207)*S100,
IF(_xlfn.XLOOKUP(E100,Groups!A:A,Groups!N:N)="Lizard",EXP(0.7733*LN(C100)+5.5303)*S100,
IF(_xlfn.XLOOKUP(E100,Groups!A:A,Groups!N:N)="Snake",50*C100^(2/3)*S100,
IF(_xlfn.XLOOKUP(E100,Groups!A:A,Groups!N:N)="StrongBitingHerbivore",87.1133638856975*C100^(2/3)*S100,
IF(_xlfn.XLOOKUP(E100,Groups!A:A,Groups!N:N)="MiscEctotherms",59.4316884072269*C100^(2/3)*S100,
IF(_xlfn.XLOOKUP(E100,Groups!A:A,Groups!N:N)="StrongBeakBird",0.041*(C100*1000)^1.375*S100,
IF(_xlfn.XLOOKUP(E100,Groups!A:A,Groups!N:N)="Bird",0.118*(C100*1000)^0.692*S100,
IF(_xlfn.XLOOKUP(E100,Groups!A:A,Groups!N:N)="Insect",EXP(0.7444*LN(C100)+6.5696)*S100,
IF(_xlfn.XLOOKUP(E100,Groups!A:A,Groups!N:N)="Theropod",EXP(0.6966*LN(C100)+4.158)*S100,
"No"))))))))))))))))</f>
        <v>4477.240146810359</v>
      </c>
      <c r="AU100" s="8">
        <f>IF(_xlfn.XLOOKUP(E100,Groups!A:A,Groups!U:U)=3,AS100,IF(_xlfn.XLOOKUP(E100,Groups!A:A,Groups!U:U)=2,AR100,AT100))</f>
        <v>4477.240146810359</v>
      </c>
      <c r="AV100" s="46">
        <f>IFERROR(AVERAGE(_xlfn.XLOOKUP(B100,Animals!B:B,Animals!N:N),_xlfn.XLOOKUP(B100,Animals!B:B,Animals!O:O)),0)</f>
        <v>0</v>
      </c>
      <c r="AW100" s="8">
        <f>MROUND(40*Animals!AO100*_xlfn.XLOOKUP(AG100,Leathers!$A$2:$A$99,Leathers!$B$2:$B$99,0)+(140*_xlfn.XLOOKUP(B100,Animals!B:B,Animals!AO:AO)*2),5)</f>
        <v>400</v>
      </c>
      <c r="AX100" s="8">
        <f>IFERROR(ROUND(SQRT(V100-1)*IF(_xlfn.XLOOKUP(E100,Groups!A:A,Groups!BF:BF)=0,2,1)*IF(_xlfn.XLOOKUP('Base stats'!E100,Groups!A:A,Groups!O:O)=0,1,0.1),1),0)</f>
        <v>3.3</v>
      </c>
      <c r="AY100" s="8">
        <f t="shared" si="36"/>
        <v>0</v>
      </c>
      <c r="AZ100" s="8">
        <f t="shared" si="37"/>
        <v>0</v>
      </c>
      <c r="BA100" s="8">
        <f t="shared" si="38"/>
        <v>3.6</v>
      </c>
      <c r="BB100" s="8">
        <f>IF(_xlfn.XLOOKUP(E100,Groups!A:A,Groups!N:N)="Insect",BD100*2.5,IFERROR(AVERAGE(BD100,AT100/9.81/IF(OR(_xlfn.XLOOKUP(E100,Groups!A:A,Groups!N:N)="Pig",_xlfn.XLOOKUP(E100,Groups!A:A,Groups!N:N)="StrongBitingHerbivore"),20,25))*C100^-0.135,BD100))</f>
        <v>5.5335153960244625</v>
      </c>
      <c r="BC100" s="8" t="str">
        <f>IF(W100="No","No",IF(_xlfn.XLOOKUP(E100,Groups!A:A,Groups!U:U)=1,'Base stats'!BB100,IF(OR(_xlfn.XLOOKUP(E100,Groups!A:A,Groups!BD:BD)=1,_xlfn.XLOOKUP(E100,Groups!A:A,Groups!U:U)=2),BD100,IF(_xlfn.XLOOKUP(B100,Animals!B:B,Animals!AO:AO)&gt;4,AVERAGE(BD100,BF100),BF100))))</f>
        <v>No</v>
      </c>
      <c r="BD100" s="8">
        <f t="shared" si="39"/>
        <v>1.3064746082064107</v>
      </c>
      <c r="BE100" s="8">
        <f>IF(_xlfn.XLOOKUP(E100,Groups!A:A,Groups!BE:BE)=1,(0.048*C100^1.01)+(0.071*C100^1.03),0.071*C100^1.03)/IF(_xlfn.XLOOKUP(E100,Groups!A:A,Groups!M:M)=1,0.85,IF(OR(_xlfn.XLOOKUP(B100,Animals!B:B,Animals!AO:AO)&gt;4,_xlfn.XLOOKUP(E100,Groups!A:A,Groups!BC:BC)=1),1.7,1))*C100^-0.25</f>
        <v>1.9081622538129484</v>
      </c>
      <c r="BF100" s="8">
        <f>(0.048*C100^1.01)/IF(_xlfn.XLOOKUP(E100,Groups!A:A,Groups!M:M)=1,0.25,0.8)*C100^-0.25</f>
        <v>1.4820335118073542</v>
      </c>
      <c r="BG100" s="8">
        <f>EXP(1.076*LN(AR100)-4.5397)*IF(_xlfn.XLOOKUP(E100,Groups!A:A,Groups!BC:BC)=1,1.25,IF(_xlfn.XLOOKUP(E100,Groups!A:A,Groups!BD:BD)=1,3.5,2.5))</f>
        <v>91.047875310537293</v>
      </c>
      <c r="BH100" s="8">
        <f>EXP(1.076*LN(AS100)-4.5397)*IF(_xlfn.XLOOKUP(E100,Groups!A:A,Groups!M:M)=1,0.8,IF(_xlfn.XLOOKUP(E100,Groups!A:A,Groups!BC:BC)=1,1.3,3))</f>
        <v>117.12024383801356</v>
      </c>
      <c r="BI100" s="8" t="str">
        <f>IF(W100="No","No",IF(_xlfn.XLOOKUP(E100,Groups!A:A,Groups!U:U)=1,'Base stats'!BJ100,IF(OR(_xlfn.XLOOKUP(E100,Groups!A:A,Groups!BD:BD)=1,_xlfn.XLOOKUP(E100,Groups!A:A,Groups!U:U)=2),BG100,BH100))*1.2)</f>
        <v>No</v>
      </c>
      <c r="BJ100" s="8">
        <f>IFERROR(EXP(1.076*LN(AT100)-4.5397)*IF(_xlfn.XLOOKUP(E100,Groups!A:A,Groups!N:N)="Insect",1,IF(OR(_xlfn.XLOOKUP(E100,Groups!A:A,Groups!N:N)="Pig",_xlfn.XLOOKUP(E100,Groups!A:A,Groups!N:N)="StrongBitingHerbivore"),3.5,3.75)),"No")</f>
        <v>339.58757148956568</v>
      </c>
      <c r="BK100" s="8">
        <f t="shared" si="40"/>
        <v>11</v>
      </c>
      <c r="BL100" s="8">
        <f t="shared" si="41"/>
        <v>11</v>
      </c>
      <c r="BM100" s="8" t="str">
        <f t="shared" si="42"/>
        <v>No</v>
      </c>
      <c r="BN100" s="8">
        <f t="shared" si="43"/>
        <v>11</v>
      </c>
      <c r="BO100" s="8">
        <f t="shared" si="44"/>
        <v>12</v>
      </c>
      <c r="BP100" s="8" t="str" cm="1">
        <f t="array" ref="BP100">IF(AND(_xlfn.XLOOKUP('Base stats'!E100,Groups!A:A,Groups!AD:AD=0),_xlfn.XLOOKUP('Base stats'!E100,Groups!A:A,Groups!P:P=0)),"No",IF(U100="No",AVERAGE(EXP(-0.57+0.99*LN(C100)),EXP(0.32+0.67*LN(C100)))/IF(_xlfn.XLOOKUP(E100,Groups!A:A,Groups!AD:AD)=1,10,2),(0.7354*C100^0.4078)*2/IF(_xlfn.XLOOKUP(E100,Groups!A:A,Groups!BK:BK)=1,1000,100)/IF(_xlfn.XLOOKUP(E100,Groups!A:A,Groups!AJ:AJ)="Photonozoa",3,1)))</f>
        <v>No</v>
      </c>
      <c r="BQ100" s="8" t="str">
        <f>IF(W100="No","No",IF(_xlfn.XLOOKUP(E100,Groups!A:A,Groups!BD:BD)=1,(AO100*5%),EXP(0.7354*LN(C100)^0.4078)*2/IF(_xlfn.XLOOKUP(E100,Groups!A:A,Groups!BL:BL)=1,1000,100)/IF(_xlfn.XLOOKUP(E100,Groups!A:A,Groups!AJ:AJ)="Photonozoa",3,1)))</f>
        <v>No</v>
      </c>
      <c r="BR100" s="8">
        <f>IF(BJ100="No","No",IF(_xlfn.XLOOKUP(E100,Groups!A:A,Groups!BF:BF)=1,(0.0315*C100+2.1825)*2,(0.7354*C100^0.4078)*2)/IF(_xlfn.XLOOKUP(E100,Groups!A:A,Groups!BM:BM)=1,1000,100)/IF(_xlfn.XLOOKUP(E100,Groups!A:A,Groups!AJ:AJ)="Photonozoa",3,1))</f>
        <v>8.2196013688283359E-2</v>
      </c>
      <c r="BS100" s="8">
        <f t="shared" si="45"/>
        <v>0.10564429254924645</v>
      </c>
      <c r="BT100" s="8" t="str">
        <f t="shared" si="46"/>
        <v>No</v>
      </c>
      <c r="BU100" s="8" t="str">
        <f t="shared" si="47"/>
        <v>No</v>
      </c>
      <c r="BV100" s="8">
        <f t="shared" si="48"/>
        <v>4131.4360180215435</v>
      </c>
      <c r="BW100" s="4">
        <v>0</v>
      </c>
      <c r="BX100" s="4">
        <v>1</v>
      </c>
    </row>
    <row r="101" spans="1:76" x14ac:dyDescent="0.25">
      <c r="A101" s="26" t="s">
        <v>199</v>
      </c>
      <c r="B101" s="6" t="s">
        <v>218</v>
      </c>
      <c r="C101" s="7">
        <v>0.3</v>
      </c>
      <c r="D101" s="7" t="s">
        <v>528</v>
      </c>
      <c r="E101" s="7" t="str">
        <f>Groups!$A$16</f>
        <v>Crab</v>
      </c>
      <c r="F101" s="7">
        <v>50</v>
      </c>
      <c r="G101" s="7">
        <v>2</v>
      </c>
      <c r="H101" s="7">
        <v>7</v>
      </c>
      <c r="I101" s="4">
        <v>0</v>
      </c>
      <c r="J101" s="7">
        <v>9</v>
      </c>
      <c r="K101" s="7" t="s">
        <v>587</v>
      </c>
      <c r="L101" s="7">
        <v>3</v>
      </c>
      <c r="M101" s="7" t="s">
        <v>528</v>
      </c>
      <c r="N101" s="4">
        <v>0</v>
      </c>
      <c r="O101" s="4">
        <v>0</v>
      </c>
      <c r="P101" s="4">
        <v>-10</v>
      </c>
      <c r="Q101" s="4">
        <v>0</v>
      </c>
      <c r="R101" s="4" t="s">
        <v>40</v>
      </c>
      <c r="S101" s="7">
        <f>_xlfn.XLOOKUP(B101,[1]TeethAdjusters!$A:$A,[1]BiteAdjusters!$C:$C,1)</f>
        <v>1</v>
      </c>
      <c r="T101" s="7">
        <f>_xlfn.XLOOKUP(B101,[1]TeethAdjusters!$A:$A,[1]TeethAdjusters!$B:$B,1)</f>
        <v>1</v>
      </c>
      <c r="U101" s="7">
        <v>1.5</v>
      </c>
      <c r="V101" s="7" t="str">
        <f>IF(AT101="No","No",IF(_xlfn.XLOOKUP(E101,Groups!A:A,Groups!AM:AM)=1,MROUND(EXP(0.3582*LN(C101)-0.2221)*T101,0.05),IF(_xlfn.XLOOKUP(E101,Groups!A:A,Groups!AM:AM)=2,MROUND(EXP(0.3582*LN(C101)-0.2221)*T101,0.05),"Need a formula")))</f>
        <v>No</v>
      </c>
      <c r="W101" s="7" t="s">
        <v>45</v>
      </c>
      <c r="X101" s="7" t="s">
        <v>932</v>
      </c>
      <c r="Y101" s="4" t="s">
        <v>1003</v>
      </c>
      <c r="Z101" s="4">
        <v>1</v>
      </c>
      <c r="AA101" s="4">
        <v>0</v>
      </c>
      <c r="AB101" s="4">
        <v>0</v>
      </c>
      <c r="AC101" s="4">
        <v>0</v>
      </c>
      <c r="AD101" s="4">
        <v>0</v>
      </c>
      <c r="AE101" s="4" t="s">
        <v>45</v>
      </c>
      <c r="AF101" s="4" t="s">
        <v>45</v>
      </c>
      <c r="AG101" s="49" t="s">
        <v>45</v>
      </c>
      <c r="AH101" s="4" t="s">
        <v>45</v>
      </c>
      <c r="AI101" s="4">
        <v>0</v>
      </c>
      <c r="AJ101" s="4">
        <v>1</v>
      </c>
      <c r="AK101" s="4">
        <v>0</v>
      </c>
      <c r="AL101" s="4">
        <v>0</v>
      </c>
      <c r="AM101" s="4">
        <v>0</v>
      </c>
      <c r="AN101" s="44" t="s">
        <v>40</v>
      </c>
      <c r="AO101" s="8">
        <f t="shared" si="34"/>
        <v>507.51840257727082</v>
      </c>
      <c r="AP101" s="8">
        <f>IFERROR(C101*_xlfn.XLOOKUP(E101,Groups!A:A,Groups!K:K),0.106*C101^0.94)</f>
        <v>9.6000000000000002E-2</v>
      </c>
      <c r="AQ101" s="8">
        <f>AP101*10000/(_xlfn.XLOOKUP(E101,Groups!A:A,Groups!J:J)*AO101)</f>
        <v>0.9955563292462275</v>
      </c>
      <c r="AR101" s="8">
        <f t="shared" si="35"/>
        <v>19.668220728047135</v>
      </c>
      <c r="AS101" s="8">
        <f>IF(_xlfn.XLOOKUP(E101,Groups!A:A,Groups!M:M)=1,EXP(0.7444*LN('Base stats'!C101)+6.5696),EXP(0.7927*LN('Base stats'!C101)+4.28))</f>
        <v>291.01145901650079</v>
      </c>
      <c r="AT101" s="8" t="str">
        <f>IF(_xlfn.XLOOKUP(E101,Groups!A:A,Groups!N:N)="No","No",
IF(_xlfn.XLOOKUP(E101,Groups!A:A,Groups!N:N)="Crocodile",EXP(0.8129*LN(C101)+4.6742)*S101,
IF(_xlfn.XLOOKUP(E101,Groups!A:A,Groups!N:N)="Felid",EXP(0.7843*LN(C101)+4.7073)*S101,
IF(_xlfn.XLOOKUP(E101,Groups!A:A,Groups!N:N)="Canid",EXP(0.8367*LN(C101)+4.8763)*S101,
IF(_xlfn.XLOOKUP(E101,Groups!A:A,Groups!N:N)="Pig",EXP(0.3439*LN(C101)+6.8519)*S101,
IF(_xlfn.XLOOKUP(E101,Groups!A:A,Groups!N:N)="Rodent",EXP(0.5625*LN(C101)+4.3006)*S101,
IF(_xlfn.XLOOKUP(E101,Groups!A:A,Groups!N:N)="Primate",EXP(0.7847*LN(C101)+3.4931)*S101,
IF(_xlfn.XLOOKUP(E101,Groups!A:A,Groups!N:N)="MiscCarnivora",EXP(0.7486*LN(C101)+4.2207)*S101,
IF(_xlfn.XLOOKUP(E101,Groups!A:A,Groups!N:N)="Lizard",EXP(0.7733*LN(C101)+5.5303)*S101,
IF(_xlfn.XLOOKUP(E101,Groups!A:A,Groups!N:N)="Snake",50*C101^(2/3)*S101,
IF(_xlfn.XLOOKUP(E101,Groups!A:A,Groups!N:N)="StrongBitingHerbivore",87.1133638856975*C101^(2/3)*S101,
IF(_xlfn.XLOOKUP(E101,Groups!A:A,Groups!N:N)="MiscEctotherms",59.4316884072269*C101^(2/3)*S101,
IF(_xlfn.XLOOKUP(E101,Groups!A:A,Groups!N:N)="StrongBeakBird",0.041*(C101*1000)^1.375*S101,
IF(_xlfn.XLOOKUP(E101,Groups!A:A,Groups!N:N)="Bird",0.118*(C101*1000)^0.692*S101,
IF(_xlfn.XLOOKUP(E101,Groups!A:A,Groups!N:N)="Insect",EXP(0.7444*LN(C101)+6.5696)*S101,
IF(_xlfn.XLOOKUP(E101,Groups!A:A,Groups!N:N)="Theropod",EXP(0.6966*LN(C101)+4.158)*S101,
"No"))))))))))))))))</f>
        <v>No</v>
      </c>
      <c r="AU101" s="8" t="str">
        <f>IF(_xlfn.XLOOKUP(E101,Groups!A:A,Groups!U:U)=3,AS101,IF(_xlfn.XLOOKUP(E101,Groups!A:A,Groups!U:U)=2,AR101,AT101))</f>
        <v>No</v>
      </c>
      <c r="AV101" s="46">
        <f>IFERROR(AVERAGE(_xlfn.XLOOKUP(B101,Animals!B:B,Animals!N:N),_xlfn.XLOOKUP(B101,Animals!B:B,Animals!O:O)),0)</f>
        <v>0.05</v>
      </c>
      <c r="AW101" s="8">
        <f>MROUND(40*Animals!AO101*_xlfn.XLOOKUP(AG101,Leathers!$A$2:$A$99,Leathers!$B$2:$B$99,0)+(140*_xlfn.XLOOKUP(B101,Animals!B:B,Animals!AO:AO)*2),5)</f>
        <v>30</v>
      </c>
      <c r="AX101" s="8">
        <f>IFERROR(ROUND(SQRT(V101-1)*IF(_xlfn.XLOOKUP(E101,Groups!A:A,Groups!BF:BF)=0,2,1)*IF(_xlfn.XLOOKUP('Base stats'!E101,Groups!A:A,Groups!O:O)=0,1,0.1),1),0)</f>
        <v>0</v>
      </c>
      <c r="AY101" s="8">
        <f t="shared" si="36"/>
        <v>0.7</v>
      </c>
      <c r="AZ101" s="8">
        <f t="shared" si="37"/>
        <v>0</v>
      </c>
      <c r="BA101" s="8">
        <f t="shared" si="38"/>
        <v>0.4</v>
      </c>
      <c r="BB101" s="8">
        <f>IF(_xlfn.XLOOKUP(E101,Groups!A:A,Groups!N:N)="Insect",BD101*2.5,IFERROR(AVERAGE(BD101,AT101/9.81/IF(OR(_xlfn.XLOOKUP(E101,Groups!A:A,Groups!N:N)="Pig",_xlfn.XLOOKUP(E101,Groups!A:A,Groups!N:N)="StrongBitingHerbivore"),20,25))*C101^-0.135,BD101))</f>
        <v>1.581377273367229E-2</v>
      </c>
      <c r="BC101" s="8" t="str">
        <f>IF(W101="No","No",IF(_xlfn.XLOOKUP(E101,Groups!A:A,Groups!U:U)=1,'Base stats'!BB101,IF(OR(_xlfn.XLOOKUP(E101,Groups!A:A,Groups!BD:BD)=1,_xlfn.XLOOKUP(E101,Groups!A:A,Groups!U:U)=2),BD101,IF(_xlfn.XLOOKUP(B101,Animals!B:B,Animals!AO:AO)&gt;4,AVERAGE(BD101,BF101),BF101))))</f>
        <v>No</v>
      </c>
      <c r="BD101" s="8">
        <f t="shared" si="39"/>
        <v>1.581377273367229E-2</v>
      </c>
      <c r="BE101" s="8">
        <f>IF(_xlfn.XLOOKUP(E101,Groups!A:A,Groups!BE:BE)=1,(0.048*C101^1.01)+(0.071*C101^1.03),0.071*C101^1.03)/IF(_xlfn.XLOOKUP(E101,Groups!A:A,Groups!M:M)=1,0.85,IF(OR(_xlfn.XLOOKUP(B101,Animals!B:B,Animals!AO:AO)&gt;4,_xlfn.XLOOKUP(E101,Groups!A:A,Groups!BC:BC)=1),1.7,1))*C101^-0.25</f>
        <v>3.2658332149379764E-2</v>
      </c>
      <c r="BF101" s="8">
        <f>(0.048*C101^1.01)/IF(_xlfn.XLOOKUP(E101,Groups!A:A,Groups!M:M)=1,0.25,0.8)*C101^-0.25</f>
        <v>7.6897705663396307E-2</v>
      </c>
      <c r="BG101" s="8">
        <f>EXP(1.076*LN(AR101)-4.5397)*IF(_xlfn.XLOOKUP(E101,Groups!A:A,Groups!BC:BC)=1,1.25,IF(_xlfn.XLOOKUP(E101,Groups!A:A,Groups!BD:BD)=1,3.5,2.5))</f>
        <v>0.32918085782853995</v>
      </c>
      <c r="BH101" s="8">
        <f>EXP(1.076*LN(AS101)-4.5397)*IF(_xlfn.XLOOKUP(E101,Groups!A:A,Groups!M:M)=1,0.8,IF(_xlfn.XLOOKUP(E101,Groups!A:A,Groups!BC:BC)=1,1.3,3))</f>
        <v>3.8255209501584542</v>
      </c>
      <c r="BI101" s="8" t="str">
        <f>IF(W101="No","No",IF(_xlfn.XLOOKUP(E101,Groups!A:A,Groups!U:U)=1,'Base stats'!BJ101,IF(OR(_xlfn.XLOOKUP(E101,Groups!A:A,Groups!BD:BD)=1,_xlfn.XLOOKUP(E101,Groups!A:A,Groups!U:U)=2),BG101,BH101))*1.2)</f>
        <v>No</v>
      </c>
      <c r="BJ101" s="8" t="str">
        <f>IFERROR(EXP(1.076*LN(AT101)-4.5397)*IF(_xlfn.XLOOKUP(E101,Groups!A:A,Groups!N:N)="Insect",1,IF(OR(_xlfn.XLOOKUP(E101,Groups!A:A,Groups!N:N)="Pig",_xlfn.XLOOKUP(E101,Groups!A:A,Groups!N:N)="StrongBitingHerbivore"),3.5,3.75)),"No")</f>
        <v>No</v>
      </c>
      <c r="BK101" s="8">
        <f t="shared" si="40"/>
        <v>6</v>
      </c>
      <c r="BL101" s="8">
        <f t="shared" si="41"/>
        <v>15</v>
      </c>
      <c r="BM101" s="8" t="str">
        <f t="shared" si="42"/>
        <v>No</v>
      </c>
      <c r="BN101" s="8" t="str">
        <f t="shared" si="43"/>
        <v>No</v>
      </c>
      <c r="BO101" s="8">
        <f t="shared" si="44"/>
        <v>9</v>
      </c>
      <c r="BP101" s="8" cm="1">
        <f t="array" ref="BP101">IF(AND(_xlfn.XLOOKUP('Base stats'!E101,Groups!A:A,Groups!AD:AD=0),_xlfn.XLOOKUP('Base stats'!E101,Groups!A:A,Groups!P:P=0)),"No",IF(U101="No",AVERAGE(EXP(-0.57+0.99*LN(C101)),EXP(0.32+0.67*LN(C101)))/IF(_xlfn.XLOOKUP(E101,Groups!A:A,Groups!AD:AD)=1,10,2),(0.7354*C101^0.4078)*2/IF(_xlfn.XLOOKUP(E101,Groups!A:A,Groups!BK:BK)=1,1000,100)/IF(_xlfn.XLOOKUP(E101,Groups!A:A,Groups!AJ:AJ)="Photonozoa",3,1)))</f>
        <v>9.0016820456507111E-3</v>
      </c>
      <c r="BQ101" s="8" t="str">
        <f>IF(W101="No","No",IF(_xlfn.XLOOKUP(E101,Groups!A:A,Groups!BD:BD)=1,(AO101*5%),EXP(0.7354*LN(C101)^0.4078)*2/IF(_xlfn.XLOOKUP(E101,Groups!A:A,Groups!BL:BL)=1,1000,100)/IF(_xlfn.XLOOKUP(E101,Groups!A:A,Groups!AJ:AJ)="Photonozoa",3,1)))</f>
        <v>No</v>
      </c>
      <c r="BR101" s="8" t="str">
        <f>IF(BJ101="No","No",IF(_xlfn.XLOOKUP(E101,Groups!A:A,Groups!BF:BF)=1,(0.0315*C101+2.1825)*2,(0.7354*C101^0.4078)*2)/IF(_xlfn.XLOOKUP(E101,Groups!A:A,Groups!BM:BM)=1,1000,100)/IF(_xlfn.XLOOKUP(E101,Groups!A:A,Groups!AJ:AJ)="Photonozoa",3,1))</f>
        <v>No</v>
      </c>
      <c r="BS101" s="8">
        <f t="shared" si="45"/>
        <v>1.2972174256417094E-2</v>
      </c>
      <c r="BT101" s="8">
        <f t="shared" si="46"/>
        <v>424.97845744360723</v>
      </c>
      <c r="BU101" s="8" t="str">
        <f t="shared" si="47"/>
        <v>No</v>
      </c>
      <c r="BV101" s="8" t="str">
        <f t="shared" si="48"/>
        <v>No</v>
      </c>
      <c r="BW101" s="4">
        <v>0</v>
      </c>
      <c r="BX101" s="4">
        <v>1</v>
      </c>
    </row>
    <row r="102" spans="1:76" x14ac:dyDescent="0.25">
      <c r="A102" s="26" t="s">
        <v>285</v>
      </c>
      <c r="B102" s="6" t="s">
        <v>286</v>
      </c>
      <c r="C102" s="7">
        <v>0.3</v>
      </c>
      <c r="D102" s="7" t="s">
        <v>528</v>
      </c>
      <c r="E102" s="7" t="str">
        <f>Groups!$A$16</f>
        <v>Crab</v>
      </c>
      <c r="F102" s="7">
        <v>50</v>
      </c>
      <c r="G102" s="7">
        <v>2</v>
      </c>
      <c r="H102" s="7">
        <v>25</v>
      </c>
      <c r="I102" s="4">
        <v>0</v>
      </c>
      <c r="J102" s="7">
        <v>9</v>
      </c>
      <c r="K102" s="7" t="s">
        <v>588</v>
      </c>
      <c r="L102" s="7">
        <v>3</v>
      </c>
      <c r="M102" s="7" t="s">
        <v>528</v>
      </c>
      <c r="N102" s="4">
        <v>0</v>
      </c>
      <c r="O102" s="4">
        <v>0</v>
      </c>
      <c r="P102" s="4">
        <v>0</v>
      </c>
      <c r="Q102" s="4">
        <v>0</v>
      </c>
      <c r="R102" s="4" t="s">
        <v>40</v>
      </c>
      <c r="S102" s="7">
        <f>_xlfn.XLOOKUP(B102,[1]TeethAdjusters!$A:$A,[1]BiteAdjusters!$C:$C,1)</f>
        <v>1</v>
      </c>
      <c r="T102" s="7">
        <f>_xlfn.XLOOKUP(B102,[1]TeethAdjusters!$A:$A,[1]TeethAdjusters!$B:$B,1)</f>
        <v>1</v>
      </c>
      <c r="U102" s="7">
        <v>1.5</v>
      </c>
      <c r="V102" s="7" t="str">
        <f>IF(AT102="No","No",IF(_xlfn.XLOOKUP(E102,Groups!A:A,Groups!AM:AM)=1,MROUND(EXP(0.3582*LN(C102)-0.2221)*T102,0.05),IF(_xlfn.XLOOKUP(E102,Groups!A:A,Groups!AM:AM)=2,MROUND(EXP(0.3582*LN(C102)-0.2221)*T102,0.05),"Need a formula")))</f>
        <v>No</v>
      </c>
      <c r="W102" s="7" t="s">
        <v>45</v>
      </c>
      <c r="X102" s="7" t="s">
        <v>932</v>
      </c>
      <c r="Y102" s="4" t="s">
        <v>1003</v>
      </c>
      <c r="Z102" s="4">
        <v>1</v>
      </c>
      <c r="AA102" s="4">
        <v>0</v>
      </c>
      <c r="AB102" s="4">
        <v>0</v>
      </c>
      <c r="AC102" s="4">
        <v>0</v>
      </c>
      <c r="AD102" s="4">
        <v>0</v>
      </c>
      <c r="AE102" s="4" t="s">
        <v>45</v>
      </c>
      <c r="AF102" s="4" t="s">
        <v>45</v>
      </c>
      <c r="AG102" s="49" t="s">
        <v>45</v>
      </c>
      <c r="AH102" s="4" t="str">
        <f>Animals!$C$101</f>
        <v>&lt;li&gt;StoneCrab&lt;/li&gt;</v>
      </c>
      <c r="AI102" s="4">
        <v>0</v>
      </c>
      <c r="AJ102" s="4">
        <v>1</v>
      </c>
      <c r="AK102" s="4">
        <v>0</v>
      </c>
      <c r="AL102" s="4">
        <v>0</v>
      </c>
      <c r="AM102" s="4">
        <v>0</v>
      </c>
      <c r="AN102" s="44" t="s">
        <v>40</v>
      </c>
      <c r="AO102" s="8">
        <f t="shared" si="34"/>
        <v>507.51840257727082</v>
      </c>
      <c r="AP102" s="8">
        <f>IFERROR(C102*_xlfn.XLOOKUP(E102,Groups!A:A,Groups!K:K),0.106*C102^0.94)</f>
        <v>9.6000000000000002E-2</v>
      </c>
      <c r="AQ102" s="8">
        <f>AP102*10000/(_xlfn.XLOOKUP(E102,Groups!A:A,Groups!J:J)*AO102)</f>
        <v>0.9955563292462275</v>
      </c>
      <c r="AR102" s="8">
        <f t="shared" si="35"/>
        <v>19.668220728047135</v>
      </c>
      <c r="AS102" s="8">
        <f>IF(_xlfn.XLOOKUP(E102,Groups!A:A,Groups!M:M)=1,EXP(0.7444*LN('Base stats'!C102)+6.5696),EXP(0.7927*LN('Base stats'!C102)+4.28))</f>
        <v>291.01145901650079</v>
      </c>
      <c r="AT102" s="8" t="str">
        <f>IF(_xlfn.XLOOKUP(E102,Groups!A:A,Groups!N:N)="No","No",
IF(_xlfn.XLOOKUP(E102,Groups!A:A,Groups!N:N)="Crocodile",EXP(0.8129*LN(C102)+4.6742)*S102,
IF(_xlfn.XLOOKUP(E102,Groups!A:A,Groups!N:N)="Felid",EXP(0.7843*LN(C102)+4.7073)*S102,
IF(_xlfn.XLOOKUP(E102,Groups!A:A,Groups!N:N)="Canid",EXP(0.8367*LN(C102)+4.8763)*S102,
IF(_xlfn.XLOOKUP(E102,Groups!A:A,Groups!N:N)="Pig",EXP(0.3439*LN(C102)+6.8519)*S102,
IF(_xlfn.XLOOKUP(E102,Groups!A:A,Groups!N:N)="Rodent",EXP(0.5625*LN(C102)+4.3006)*S102,
IF(_xlfn.XLOOKUP(E102,Groups!A:A,Groups!N:N)="Primate",EXP(0.7847*LN(C102)+3.4931)*S102,
IF(_xlfn.XLOOKUP(E102,Groups!A:A,Groups!N:N)="MiscCarnivora",EXP(0.7486*LN(C102)+4.2207)*S102,
IF(_xlfn.XLOOKUP(E102,Groups!A:A,Groups!N:N)="Lizard",EXP(0.7733*LN(C102)+5.5303)*S102,
IF(_xlfn.XLOOKUP(E102,Groups!A:A,Groups!N:N)="Snake",50*C102^(2/3)*S102,
IF(_xlfn.XLOOKUP(E102,Groups!A:A,Groups!N:N)="StrongBitingHerbivore",87.1133638856975*C102^(2/3)*S102,
IF(_xlfn.XLOOKUP(E102,Groups!A:A,Groups!N:N)="MiscEctotherms",59.4316884072269*C102^(2/3)*S102,
IF(_xlfn.XLOOKUP(E102,Groups!A:A,Groups!N:N)="StrongBeakBird",0.041*(C102*1000)^1.375*S102,
IF(_xlfn.XLOOKUP(E102,Groups!A:A,Groups!N:N)="Bird",0.118*(C102*1000)^0.692*S102,
IF(_xlfn.XLOOKUP(E102,Groups!A:A,Groups!N:N)="Insect",EXP(0.7444*LN(C102)+6.5696)*S102,
IF(_xlfn.XLOOKUP(E102,Groups!A:A,Groups!N:N)="Theropod",EXP(0.6966*LN(C102)+4.158)*S102,
"No"))))))))))))))))</f>
        <v>No</v>
      </c>
      <c r="AU102" s="8" t="str">
        <f>IF(_xlfn.XLOOKUP(E102,Groups!A:A,Groups!U:U)=3,AS102,IF(_xlfn.XLOOKUP(E102,Groups!A:A,Groups!U:U)=2,AR102,AT102))</f>
        <v>No</v>
      </c>
      <c r="AV102" s="46">
        <f>IFERROR(AVERAGE(_xlfn.XLOOKUP(B102,Animals!B:B,Animals!N:N),_xlfn.XLOOKUP(B102,Animals!B:B,Animals!O:O)),0)</f>
        <v>0.05</v>
      </c>
      <c r="AW102" s="8">
        <f>MROUND(40*Animals!AO102*_xlfn.XLOOKUP(AG102,Leathers!$A$2:$A$99,Leathers!$B$2:$B$99,0)+(140*_xlfn.XLOOKUP(B102,Animals!B:B,Animals!AO:AO)*2),5)</f>
        <v>30</v>
      </c>
      <c r="AX102" s="8">
        <f>IFERROR(ROUND(SQRT(V102-1)*IF(_xlfn.XLOOKUP(E102,Groups!A:A,Groups!BF:BF)=0,2,1)*IF(_xlfn.XLOOKUP('Base stats'!E102,Groups!A:A,Groups!O:O)=0,1,0.1),1),0)</f>
        <v>0</v>
      </c>
      <c r="AY102" s="8">
        <f t="shared" si="36"/>
        <v>0.7</v>
      </c>
      <c r="AZ102" s="8">
        <f t="shared" si="37"/>
        <v>0</v>
      </c>
      <c r="BA102" s="8">
        <f t="shared" si="38"/>
        <v>0.4</v>
      </c>
      <c r="BB102" s="8">
        <f>IF(_xlfn.XLOOKUP(E102,Groups!A:A,Groups!N:N)="Insect",BD102*2.5,IFERROR(AVERAGE(BD102,AT102/9.81/IF(OR(_xlfn.XLOOKUP(E102,Groups!A:A,Groups!N:N)="Pig",_xlfn.XLOOKUP(E102,Groups!A:A,Groups!N:N)="StrongBitingHerbivore"),20,25))*C102^-0.135,BD102))</f>
        <v>1.581377273367229E-2</v>
      </c>
      <c r="BC102" s="8" t="str">
        <f>IF(W102="No","No",IF(_xlfn.XLOOKUP(E102,Groups!A:A,Groups!U:U)=1,'Base stats'!BB102,IF(OR(_xlfn.XLOOKUP(E102,Groups!A:A,Groups!BD:BD)=1,_xlfn.XLOOKUP(E102,Groups!A:A,Groups!U:U)=2),BD102,IF(_xlfn.XLOOKUP(B102,Animals!B:B,Animals!AO:AO)&gt;4,AVERAGE(BD102,BF102),BF102))))</f>
        <v>No</v>
      </c>
      <c r="BD102" s="8">
        <f t="shared" si="39"/>
        <v>1.581377273367229E-2</v>
      </c>
      <c r="BE102" s="8">
        <f>IF(_xlfn.XLOOKUP(E102,Groups!A:A,Groups!BE:BE)=1,(0.048*C102^1.01)+(0.071*C102^1.03),0.071*C102^1.03)/IF(_xlfn.XLOOKUP(E102,Groups!A:A,Groups!M:M)=1,0.85,IF(OR(_xlfn.XLOOKUP(B102,Animals!B:B,Animals!AO:AO)&gt;4,_xlfn.XLOOKUP(E102,Groups!A:A,Groups!BC:BC)=1),1.7,1))*C102^-0.25</f>
        <v>3.2658332149379764E-2</v>
      </c>
      <c r="BF102" s="8">
        <f>(0.048*C102^1.01)/IF(_xlfn.XLOOKUP(E102,Groups!A:A,Groups!M:M)=1,0.25,0.8)*C102^-0.25</f>
        <v>7.6897705663396307E-2</v>
      </c>
      <c r="BG102" s="8">
        <f>EXP(1.076*LN(AR102)-4.5397)*IF(_xlfn.XLOOKUP(E102,Groups!A:A,Groups!BC:BC)=1,1.25,IF(_xlfn.XLOOKUP(E102,Groups!A:A,Groups!BD:BD)=1,3.5,2.5))</f>
        <v>0.32918085782853995</v>
      </c>
      <c r="BH102" s="8">
        <f>EXP(1.076*LN(AS102)-4.5397)*IF(_xlfn.XLOOKUP(E102,Groups!A:A,Groups!M:M)=1,0.8,IF(_xlfn.XLOOKUP(E102,Groups!A:A,Groups!BC:BC)=1,1.3,3))</f>
        <v>3.8255209501584542</v>
      </c>
      <c r="BI102" s="8" t="str">
        <f>IF(W102="No","No",IF(_xlfn.XLOOKUP(E102,Groups!A:A,Groups!U:U)=1,'Base stats'!BJ102,IF(OR(_xlfn.XLOOKUP(E102,Groups!A:A,Groups!BD:BD)=1,_xlfn.XLOOKUP(E102,Groups!A:A,Groups!U:U)=2),BG102,BH102))*1.2)</f>
        <v>No</v>
      </c>
      <c r="BJ102" s="8" t="str">
        <f>IFERROR(EXP(1.076*LN(AT102)-4.5397)*IF(_xlfn.XLOOKUP(E102,Groups!A:A,Groups!N:N)="Insect",1,IF(OR(_xlfn.XLOOKUP(E102,Groups!A:A,Groups!N:N)="Pig",_xlfn.XLOOKUP(E102,Groups!A:A,Groups!N:N)="StrongBitingHerbivore"),3.5,3.75)),"No")</f>
        <v>No</v>
      </c>
      <c r="BK102" s="8">
        <f t="shared" si="40"/>
        <v>6</v>
      </c>
      <c r="BL102" s="8">
        <f t="shared" si="41"/>
        <v>15</v>
      </c>
      <c r="BM102" s="8" t="str">
        <f t="shared" si="42"/>
        <v>No</v>
      </c>
      <c r="BN102" s="8" t="str">
        <f t="shared" si="43"/>
        <v>No</v>
      </c>
      <c r="BO102" s="8">
        <f t="shared" si="44"/>
        <v>9</v>
      </c>
      <c r="BP102" s="8" cm="1">
        <f t="array" ref="BP102">IF(AND(_xlfn.XLOOKUP('Base stats'!E102,Groups!A:A,Groups!AD:AD=0),_xlfn.XLOOKUP('Base stats'!E102,Groups!A:A,Groups!P:P=0)),"No",IF(U102="No",AVERAGE(EXP(-0.57+0.99*LN(C102)),EXP(0.32+0.67*LN(C102)))/IF(_xlfn.XLOOKUP(E102,Groups!A:A,Groups!AD:AD)=1,10,2),(0.7354*C102^0.4078)*2/IF(_xlfn.XLOOKUP(E102,Groups!A:A,Groups!BK:BK)=1,1000,100)/IF(_xlfn.XLOOKUP(E102,Groups!A:A,Groups!AJ:AJ)="Photonozoa",3,1)))</f>
        <v>9.0016820456507111E-3</v>
      </c>
      <c r="BQ102" s="8" t="str">
        <f>IF(W102="No","No",IF(_xlfn.XLOOKUP(E102,Groups!A:A,Groups!BD:BD)=1,(AO102*5%),EXP(0.7354*LN(C102)^0.4078)*2/IF(_xlfn.XLOOKUP(E102,Groups!A:A,Groups!BL:BL)=1,1000,100)/IF(_xlfn.XLOOKUP(E102,Groups!A:A,Groups!AJ:AJ)="Photonozoa",3,1)))</f>
        <v>No</v>
      </c>
      <c r="BR102" s="8" t="str">
        <f>IF(BJ102="No","No",IF(_xlfn.XLOOKUP(E102,Groups!A:A,Groups!BF:BF)=1,(0.0315*C102+2.1825)*2,(0.7354*C102^0.4078)*2)/IF(_xlfn.XLOOKUP(E102,Groups!A:A,Groups!BM:BM)=1,1000,100)/IF(_xlfn.XLOOKUP(E102,Groups!A:A,Groups!AJ:AJ)="Photonozoa",3,1))</f>
        <v>No</v>
      </c>
      <c r="BS102" s="8">
        <f t="shared" si="45"/>
        <v>1.2972174256417094E-2</v>
      </c>
      <c r="BT102" s="8">
        <f t="shared" si="46"/>
        <v>424.97845744360723</v>
      </c>
      <c r="BU102" s="8" t="str">
        <f t="shared" si="47"/>
        <v>No</v>
      </c>
      <c r="BV102" s="8" t="str">
        <f t="shared" si="48"/>
        <v>No</v>
      </c>
      <c r="BW102" s="4">
        <v>0</v>
      </c>
      <c r="BX102" s="4">
        <v>1</v>
      </c>
    </row>
    <row r="103" spans="1:76" x14ac:dyDescent="0.25">
      <c r="A103" s="26" t="s">
        <v>238</v>
      </c>
      <c r="B103" s="6" t="s">
        <v>422</v>
      </c>
      <c r="C103" s="7">
        <v>10</v>
      </c>
      <c r="D103" s="7" t="s">
        <v>528</v>
      </c>
      <c r="E103" s="7" t="str">
        <f>Groups!$A$2</f>
        <v>Beetle</v>
      </c>
      <c r="F103" s="7" t="str">
        <f t="shared" ref="F103:F108" si="51">"Lay eggs"</f>
        <v>Lay eggs</v>
      </c>
      <c r="G103" s="7">
        <v>1</v>
      </c>
      <c r="H103" s="7">
        <v>10</v>
      </c>
      <c r="I103" s="4">
        <v>0</v>
      </c>
      <c r="J103" s="7" t="str">
        <f t="shared" ref="J103:J108" si="52">"Lay eggs"</f>
        <v>Lay eggs</v>
      </c>
      <c r="K103" s="7" t="s">
        <v>528</v>
      </c>
      <c r="L103" s="7">
        <v>25</v>
      </c>
      <c r="M103" s="7" t="s">
        <v>528</v>
      </c>
      <c r="N103" s="4">
        <v>0</v>
      </c>
      <c r="O103" s="4">
        <v>0</v>
      </c>
      <c r="P103" s="4">
        <v>0</v>
      </c>
      <c r="Q103" s="4">
        <v>0</v>
      </c>
      <c r="R103" s="4">
        <v>1</v>
      </c>
      <c r="S103" s="7">
        <f>_xlfn.XLOOKUP(B103,[1]TeethAdjusters!$A:$A,[1]BiteAdjusters!$C:$C,1)</f>
        <v>1</v>
      </c>
      <c r="T103" s="7">
        <f>_xlfn.XLOOKUP(B103,[1]TeethAdjusters!$A:$A,[1]TeethAdjusters!$B:$B,1)</f>
        <v>1</v>
      </c>
      <c r="U103" s="7" t="s">
        <v>45</v>
      </c>
      <c r="V103" s="7">
        <v>4</v>
      </c>
      <c r="W103" s="7" t="s">
        <v>45</v>
      </c>
      <c r="X103" s="7" t="s">
        <v>932</v>
      </c>
      <c r="Y103" s="4" t="s">
        <v>53</v>
      </c>
      <c r="Z103" s="4">
        <v>1</v>
      </c>
      <c r="AA103" s="4">
        <v>0</v>
      </c>
      <c r="AB103" s="4">
        <v>0</v>
      </c>
      <c r="AC103" s="4">
        <v>0</v>
      </c>
      <c r="AD103" s="4">
        <v>0</v>
      </c>
      <c r="AE103" s="4" t="s">
        <v>1046</v>
      </c>
      <c r="AF103" s="4" t="s">
        <v>45</v>
      </c>
      <c r="AG103" s="49" t="s">
        <v>1712</v>
      </c>
      <c r="AH103" s="4" t="str">
        <f>Animals!$C$105</f>
        <v>&lt;li&gt;Megaspider&lt;/li&gt;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4" t="s">
        <v>40</v>
      </c>
      <c r="AO103" s="8">
        <f t="shared" si="34"/>
        <v>4958.187872875691</v>
      </c>
      <c r="AP103" s="8">
        <f>IFERROR(C103*_xlfn.XLOOKUP(E103,Groups!A:A,Groups!K:K),0.106*C103^0.94)</f>
        <v>3.2</v>
      </c>
      <c r="AQ103" s="8">
        <f>AP103*10000/(_xlfn.XLOOKUP(E103,Groups!A:A,Groups!J:J)*AO103)</f>
        <v>5.3783090416056201</v>
      </c>
      <c r="AR103" s="8">
        <f t="shared" si="35"/>
        <v>380.31263115847975</v>
      </c>
      <c r="AS103" s="8">
        <f>IF(_xlfn.XLOOKUP(E103,Groups!A:A,Groups!M:M)=1,EXP(0.7444*LN('Base stats'!C103)+6.5696),EXP(0.7927*LN('Base stats'!C103)+4.28))</f>
        <v>3958.594603791114</v>
      </c>
      <c r="AT103" s="8">
        <f>IF(_xlfn.XLOOKUP(E103,Groups!A:A,Groups!N:N)="No","No",
IF(_xlfn.XLOOKUP(E103,Groups!A:A,Groups!N:N)="Crocodile",EXP(0.8129*LN(C103)+4.6742)*S103,
IF(_xlfn.XLOOKUP(E103,Groups!A:A,Groups!N:N)="Felid",EXP(0.7843*LN(C103)+4.7073)*S103,
IF(_xlfn.XLOOKUP(E103,Groups!A:A,Groups!N:N)="Canid",EXP(0.8367*LN(C103)+4.8763)*S103,
IF(_xlfn.XLOOKUP(E103,Groups!A:A,Groups!N:N)="Pig",EXP(0.3439*LN(C103)+6.8519)*S103,
IF(_xlfn.XLOOKUP(E103,Groups!A:A,Groups!N:N)="Rodent",EXP(0.5625*LN(C103)+4.3006)*S103,
IF(_xlfn.XLOOKUP(E103,Groups!A:A,Groups!N:N)="Primate",EXP(0.7847*LN(C103)+3.4931)*S103,
IF(_xlfn.XLOOKUP(E103,Groups!A:A,Groups!N:N)="MiscCarnivora",EXP(0.7486*LN(C103)+4.2207)*S103,
IF(_xlfn.XLOOKUP(E103,Groups!A:A,Groups!N:N)="Lizard",EXP(0.7733*LN(C103)+5.5303)*S103,
IF(_xlfn.XLOOKUP(E103,Groups!A:A,Groups!N:N)="Snake",50*C103^(2/3)*S103,
IF(_xlfn.XLOOKUP(E103,Groups!A:A,Groups!N:N)="StrongBitingHerbivore",87.1133638856975*C103^(2/3)*S103,
IF(_xlfn.XLOOKUP(E103,Groups!A:A,Groups!N:N)="MiscEctotherms",59.4316884072269*C103^(2/3)*S103,
IF(_xlfn.XLOOKUP(E103,Groups!A:A,Groups!N:N)="StrongBeakBird",0.041*(C103*1000)^1.375*S103,
IF(_xlfn.XLOOKUP(E103,Groups!A:A,Groups!N:N)="Bird",0.118*(C103*1000)^0.692*S103,
IF(_xlfn.XLOOKUP(E103,Groups!A:A,Groups!N:N)="Insect",EXP(0.7444*LN(C103)+6.5696)*S103,
IF(_xlfn.XLOOKUP(E103,Groups!A:A,Groups!N:N)="Theropod",EXP(0.6966*LN(C103)+4.158)*S103,
"No"))))))))))))))))</f>
        <v>3958.594603791114</v>
      </c>
      <c r="AU103" s="8">
        <f>IF(_xlfn.XLOOKUP(E103,Groups!A:A,Groups!U:U)=3,AS103,IF(_xlfn.XLOOKUP(E103,Groups!A:A,Groups!U:U)=2,AR103,AT103))</f>
        <v>3958.594603791114</v>
      </c>
      <c r="AV103" s="46">
        <f>IFERROR(AVERAGE(_xlfn.XLOOKUP(B103,Animals!B:B,Animals!N:N),_xlfn.XLOOKUP(B103,Animals!B:B,Animals!O:O)),0)</f>
        <v>0.2</v>
      </c>
      <c r="AW103" s="8">
        <f>MROUND(40*Animals!AO103*_xlfn.XLOOKUP(AG103,Leathers!$A$2:$A$99,Leathers!$B$2:$B$99,0)+(140*_xlfn.XLOOKUP(B103,Animals!B:B,Animals!AO:AO)*2),5)</f>
        <v>110</v>
      </c>
      <c r="AX103" s="8">
        <f>IFERROR(ROUND(SQRT(V103-1)*IF(_xlfn.XLOOKUP(E103,Groups!A:A,Groups!BF:BF)=0,2,1)*IF(_xlfn.XLOOKUP('Base stats'!E103,Groups!A:A,Groups!O:O)=0,1,0.1),1),0)</f>
        <v>3.5</v>
      </c>
      <c r="AY103" s="8">
        <f t="shared" si="36"/>
        <v>0</v>
      </c>
      <c r="AZ103" s="8">
        <f t="shared" si="37"/>
        <v>0</v>
      </c>
      <c r="BA103" s="8">
        <f t="shared" si="38"/>
        <v>1.6</v>
      </c>
      <c r="BB103" s="8">
        <f>IF(_xlfn.XLOOKUP(E103,Groups!A:A,Groups!N:N)="Insect",BD103*2.5,IFERROR(AVERAGE(BD103,AT103/9.81/IF(OR(_xlfn.XLOOKUP(E103,Groups!A:A,Groups!N:N)="Pig",_xlfn.XLOOKUP(E103,Groups!A:A,Groups!N:N)="StrongBitingHerbivore"),20,25))*C103^-0.135,BD103))</f>
        <v>0.66408867745846145</v>
      </c>
      <c r="BC103" s="8" t="str">
        <f>IF(W103="No","No",IF(_xlfn.XLOOKUP(E103,Groups!A:A,Groups!U:U)=1,'Base stats'!BB103,IF(OR(_xlfn.XLOOKUP(E103,Groups!A:A,Groups!BD:BD)=1,_xlfn.XLOOKUP(E103,Groups!A:A,Groups!U:U)=2),BD103,IF(_xlfn.XLOOKUP(B103,Animals!B:B,Animals!AO:AO)&gt;4,AVERAGE(BD103,BF103),BF103))))</f>
        <v>No</v>
      </c>
      <c r="BD103" s="8">
        <f t="shared" si="39"/>
        <v>0.26563547098338458</v>
      </c>
      <c r="BE103" s="8">
        <f>IF(_xlfn.XLOOKUP(E103,Groups!A:A,Groups!BE:BE)=1,(0.048*C103^1.01)+(0.071*C103^1.03),0.071*C103^1.03)/IF(_xlfn.XLOOKUP(E103,Groups!A:A,Groups!M:M)=1,0.85,IF(OR(_xlfn.XLOOKUP(B103,Animals!B:B,Animals!AO:AO)&gt;4,_xlfn.XLOOKUP(E103,Groups!A:A,Groups!BC:BC)=1),1.7,1))*C103^-0.25</f>
        <v>0.5033144777797578</v>
      </c>
      <c r="BF103" s="8">
        <f>(0.048*C103^1.01)/IF(_xlfn.XLOOKUP(E103,Groups!A:A,Groups!M:M)=1,0.25,0.8)*C103^-0.25</f>
        <v>1.1048446796873415</v>
      </c>
      <c r="BG103" s="8">
        <f>EXP(1.076*LN(AR103)-4.5397)*IF(_xlfn.XLOOKUP(E103,Groups!A:A,Groups!BC:BC)=1,1.25,IF(_xlfn.XLOOKUP(E103,Groups!A:A,Groups!BD:BD)=1,3.5,2.5))</f>
        <v>7.9721378589765637</v>
      </c>
      <c r="BH103" s="8">
        <f>EXP(1.076*LN(AS103)-4.5397)*IF(_xlfn.XLOOKUP(E103,Groups!A:A,Groups!M:M)=1,0.8,IF(_xlfn.XLOOKUP(E103,Groups!A:A,Groups!BC:BC)=1,1.3,3))</f>
        <v>63.456698632720183</v>
      </c>
      <c r="BI103" s="8" t="str">
        <f>IF(W103="No","No",IF(_xlfn.XLOOKUP(E103,Groups!A:A,Groups!U:U)=1,'Base stats'!BJ103,IF(OR(_xlfn.XLOOKUP(E103,Groups!A:A,Groups!BD:BD)=1,_xlfn.XLOOKUP(E103,Groups!A:A,Groups!U:U)=2),BG103,BH103))*1.2)</f>
        <v>No</v>
      </c>
      <c r="BJ103" s="8">
        <f>IFERROR(EXP(1.076*LN(AT103)-4.5397)*IF(_xlfn.XLOOKUP(E103,Groups!A:A,Groups!N:N)="Insect",1,IF(OR(_xlfn.XLOOKUP(E103,Groups!A:A,Groups!N:N)="Pig",_xlfn.XLOOKUP(E103,Groups!A:A,Groups!N:N)="StrongBitingHerbivore"),3.5,3.75)),"No")</f>
        <v>79.320873290900224</v>
      </c>
      <c r="BK103" s="8">
        <f t="shared" si="40"/>
        <v>7</v>
      </c>
      <c r="BL103" s="8">
        <f t="shared" si="41"/>
        <v>15</v>
      </c>
      <c r="BM103" s="8" t="str">
        <f t="shared" si="42"/>
        <v>No</v>
      </c>
      <c r="BN103" s="8">
        <f t="shared" si="43"/>
        <v>15</v>
      </c>
      <c r="BO103" s="8">
        <f t="shared" si="44"/>
        <v>10</v>
      </c>
      <c r="BP103" s="8" t="str" cm="1">
        <f t="array" ref="BP103">IF(AND(_xlfn.XLOOKUP('Base stats'!E103,Groups!A:A,Groups!AD:AD=0),_xlfn.XLOOKUP('Base stats'!E103,Groups!A:A,Groups!P:P=0)),"No",IF(U103="No",AVERAGE(EXP(-0.57+0.99*LN(C103)),EXP(0.32+0.67*LN(C103)))/IF(_xlfn.XLOOKUP(E103,Groups!A:A,Groups!AD:AD)=1,10,2),(0.7354*C103^0.4078)*2/IF(_xlfn.XLOOKUP(E103,Groups!A:A,Groups!BK:BK)=1,1000,100)/IF(_xlfn.XLOOKUP(E103,Groups!A:A,Groups!AJ:AJ)="Photonozoa",3,1)))</f>
        <v>No</v>
      </c>
      <c r="BQ103" s="8" t="str">
        <f>IF(W103="No","No",IF(_xlfn.XLOOKUP(E103,Groups!A:A,Groups!BD:BD)=1,(AO103*5%),EXP(0.7354*LN(C103)^0.4078)*2/IF(_xlfn.XLOOKUP(E103,Groups!A:A,Groups!BL:BL)=1,1000,100)/IF(_xlfn.XLOOKUP(E103,Groups!A:A,Groups!AJ:AJ)="Photonozoa",3,1)))</f>
        <v>No</v>
      </c>
      <c r="BR103" s="8">
        <f>IF(BJ103="No","No",IF(_xlfn.XLOOKUP(E103,Groups!A:A,Groups!BF:BF)=1,(0.0315*C103+2.1825)*2,(0.7354*C103^0.4078)*2)/IF(_xlfn.XLOOKUP(E103,Groups!A:A,Groups!BM:BM)=1,1000,100)/IF(_xlfn.XLOOKUP(E103,Groups!A:A,Groups!AJ:AJ)="Photonozoa",3,1))</f>
        <v>3.7614355184740135E-2</v>
      </c>
      <c r="BS103" s="8">
        <f t="shared" si="45"/>
        <v>3.2157465845895093E-2</v>
      </c>
      <c r="BT103" s="8" t="str">
        <f t="shared" si="46"/>
        <v>No</v>
      </c>
      <c r="BU103" s="8" t="str">
        <f t="shared" si="47"/>
        <v>No</v>
      </c>
      <c r="BV103" s="8">
        <f t="shared" si="48"/>
        <v>2108.7925846746966</v>
      </c>
      <c r="BW103" s="4">
        <v>0</v>
      </c>
      <c r="BX103" s="4">
        <v>1</v>
      </c>
    </row>
    <row r="104" spans="1:76" x14ac:dyDescent="0.25">
      <c r="A104" s="26" t="s">
        <v>240</v>
      </c>
      <c r="B104" s="6" t="s">
        <v>423</v>
      </c>
      <c r="C104" s="7">
        <v>150</v>
      </c>
      <c r="D104" s="7" t="s">
        <v>528</v>
      </c>
      <c r="E104" s="7" t="str">
        <f>Groups!$A$5</f>
        <v>Beetle (CLAWS)</v>
      </c>
      <c r="F104" s="7" t="str">
        <f t="shared" si="51"/>
        <v>Lay eggs</v>
      </c>
      <c r="G104" s="7">
        <v>1.5</v>
      </c>
      <c r="H104" s="7">
        <v>15</v>
      </c>
      <c r="I104" s="4">
        <v>0</v>
      </c>
      <c r="J104" s="7" t="str">
        <f t="shared" si="52"/>
        <v>Lay eggs</v>
      </c>
      <c r="K104" s="7" t="s">
        <v>528</v>
      </c>
      <c r="L104" s="7">
        <v>27</v>
      </c>
      <c r="M104" s="7" t="s">
        <v>528</v>
      </c>
      <c r="N104" s="4">
        <v>0</v>
      </c>
      <c r="O104" s="4">
        <v>0</v>
      </c>
      <c r="P104" s="4">
        <v>0</v>
      </c>
      <c r="Q104" s="4">
        <v>0</v>
      </c>
      <c r="R104" s="4">
        <v>1</v>
      </c>
      <c r="S104" s="7">
        <f>_xlfn.XLOOKUP(B104,[1]TeethAdjusters!$A:$A,[1]BiteAdjusters!$C:$C,1)</f>
        <v>1</v>
      </c>
      <c r="T104" s="7">
        <f>_xlfn.XLOOKUP(B104,[1]TeethAdjusters!$A:$A,[1]TeethAdjusters!$B:$B,1)</f>
        <v>1</v>
      </c>
      <c r="U104" s="7">
        <v>6</v>
      </c>
      <c r="V104" s="7">
        <v>14</v>
      </c>
      <c r="W104" s="7" t="s">
        <v>45</v>
      </c>
      <c r="X104" s="7" t="s">
        <v>932</v>
      </c>
      <c r="Y104" s="4" t="s">
        <v>53</v>
      </c>
      <c r="Z104" s="4">
        <v>1</v>
      </c>
      <c r="AA104" s="4">
        <v>0</v>
      </c>
      <c r="AB104" s="4">
        <v>0</v>
      </c>
      <c r="AC104" s="4">
        <v>0</v>
      </c>
      <c r="AD104" s="4">
        <v>0</v>
      </c>
      <c r="AE104" s="4" t="s">
        <v>1044</v>
      </c>
      <c r="AF104" s="4" t="s">
        <v>45</v>
      </c>
      <c r="AG104" s="49" t="s">
        <v>1712</v>
      </c>
      <c r="AH104" s="4" t="str">
        <f>Animals!$C$105</f>
        <v>&lt;li&gt;Megaspider&lt;/li&gt;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4" t="s">
        <v>40</v>
      </c>
      <c r="AO104" s="8">
        <f t="shared" si="34"/>
        <v>28825.861601687579</v>
      </c>
      <c r="AP104" s="8">
        <f>IFERROR(C104*_xlfn.XLOOKUP(E104,Groups!A:A,Groups!K:K),0.106*C104^0.94)</f>
        <v>48</v>
      </c>
      <c r="AQ104" s="8">
        <f>AP104*10000/(_xlfn.XLOOKUP(E104,Groups!A:A,Groups!J:J)*AO104)</f>
        <v>13.876428240971729</v>
      </c>
      <c r="AR104" s="8">
        <f t="shared" si="35"/>
        <v>3746.1489061563307</v>
      </c>
      <c r="AS104" s="8">
        <f>IF(_xlfn.XLOOKUP(E104,Groups!A:A,Groups!M:M)=1,EXP(0.7444*LN('Base stats'!C104)+6.5696),EXP(0.7927*LN('Base stats'!C104)+4.28))</f>
        <v>29718.25887786362</v>
      </c>
      <c r="AT104" s="8">
        <f>IF(_xlfn.XLOOKUP(E104,Groups!A:A,Groups!N:N)="No","No",
IF(_xlfn.XLOOKUP(E104,Groups!A:A,Groups!N:N)="Crocodile",EXP(0.8129*LN(C104)+4.6742)*S104,
IF(_xlfn.XLOOKUP(E104,Groups!A:A,Groups!N:N)="Felid",EXP(0.7843*LN(C104)+4.7073)*S104,
IF(_xlfn.XLOOKUP(E104,Groups!A:A,Groups!N:N)="Canid",EXP(0.8367*LN(C104)+4.8763)*S104,
IF(_xlfn.XLOOKUP(E104,Groups!A:A,Groups!N:N)="Pig",EXP(0.3439*LN(C104)+6.8519)*S104,
IF(_xlfn.XLOOKUP(E104,Groups!A:A,Groups!N:N)="Rodent",EXP(0.5625*LN(C104)+4.3006)*S104,
IF(_xlfn.XLOOKUP(E104,Groups!A:A,Groups!N:N)="Primate",EXP(0.7847*LN(C104)+3.4931)*S104,
IF(_xlfn.XLOOKUP(E104,Groups!A:A,Groups!N:N)="MiscCarnivora",EXP(0.7486*LN(C104)+4.2207)*S104,
IF(_xlfn.XLOOKUP(E104,Groups!A:A,Groups!N:N)="Lizard",EXP(0.7733*LN(C104)+5.5303)*S104,
IF(_xlfn.XLOOKUP(E104,Groups!A:A,Groups!N:N)="Snake",50*C104^(2/3)*S104,
IF(_xlfn.XLOOKUP(E104,Groups!A:A,Groups!N:N)="StrongBitingHerbivore",87.1133638856975*C104^(2/3)*S104,
IF(_xlfn.XLOOKUP(E104,Groups!A:A,Groups!N:N)="MiscEctotherms",59.4316884072269*C104^(2/3)*S104,
IF(_xlfn.XLOOKUP(E104,Groups!A:A,Groups!N:N)="StrongBeakBird",0.041*(C104*1000)^1.375*S104,
IF(_xlfn.XLOOKUP(E104,Groups!A:A,Groups!N:N)="Bird",0.118*(C104*1000)^0.692*S104,
IF(_xlfn.XLOOKUP(E104,Groups!A:A,Groups!N:N)="Insect",EXP(0.7444*LN(C104)+6.5696)*S104,
IF(_xlfn.XLOOKUP(E104,Groups!A:A,Groups!N:N)="Theropod",EXP(0.6966*LN(C104)+4.158)*S104,
"No"))))))))))))))))</f>
        <v>29718.25887786362</v>
      </c>
      <c r="AU104" s="8">
        <f>IF(_xlfn.XLOOKUP(E104,Groups!A:A,Groups!U:U)=3,AS104,IF(_xlfn.XLOOKUP(E104,Groups!A:A,Groups!U:U)=2,AR104,AT104))</f>
        <v>29718.25887786362</v>
      </c>
      <c r="AV104" s="46">
        <f>IFERROR(AVERAGE(_xlfn.XLOOKUP(B104,Animals!B:B,Animals!N:N),_xlfn.XLOOKUP(B104,Animals!B:B,Animals!O:O)),0)</f>
        <v>0.42500000000000004</v>
      </c>
      <c r="AW104" s="8">
        <f>MROUND(40*Animals!AO104*_xlfn.XLOOKUP(AG104,Leathers!$A$2:$A$99,Leathers!$B$2:$B$99,0)+(140*_xlfn.XLOOKUP(B104,Animals!B:B,Animals!AO:AO)*2),5)</f>
        <v>420</v>
      </c>
      <c r="AX104" s="8">
        <f>IFERROR(ROUND(SQRT(V104-1)*IF(_xlfn.XLOOKUP(E104,Groups!A:A,Groups!BF:BF)=0,2,1)*IF(_xlfn.XLOOKUP('Base stats'!E104,Groups!A:A,Groups!O:O)=0,1,0.1),1),0)</f>
        <v>7.2</v>
      </c>
      <c r="AY104" s="8">
        <f t="shared" si="36"/>
        <v>2.2000000000000002</v>
      </c>
      <c r="AZ104" s="8">
        <f t="shared" si="37"/>
        <v>0</v>
      </c>
      <c r="BA104" s="8">
        <f t="shared" si="38"/>
        <v>4.8</v>
      </c>
      <c r="BB104" s="8">
        <f>IF(_xlfn.XLOOKUP(E104,Groups!A:A,Groups!N:N)="Insect",BD104*2.5,IFERROR(AVERAGE(BD104,AT104/9.81/IF(OR(_xlfn.XLOOKUP(E104,Groups!A:A,Groups!N:N)="Pig",_xlfn.XLOOKUP(E104,Groups!A:A,Groups!N:N)="StrongBitingHerbivore"),20,25))*C104^-0.135,BD104))</f>
        <v>6.3031539120089342</v>
      </c>
      <c r="BC104" s="8" t="str">
        <f>IF(W104="No","No",IF(_xlfn.XLOOKUP(E104,Groups!A:A,Groups!U:U)=1,'Base stats'!BB104,IF(OR(_xlfn.XLOOKUP(E104,Groups!A:A,Groups!BD:BD)=1,_xlfn.XLOOKUP(E104,Groups!A:A,Groups!U:U)=2),BD104,IF(_xlfn.XLOOKUP(B104,Animals!B:B,Animals!AO:AO)&gt;4,AVERAGE(BD104,BF104),BF104))))</f>
        <v>No</v>
      </c>
      <c r="BD104" s="8">
        <f t="shared" si="39"/>
        <v>2.5212615648035737</v>
      </c>
      <c r="BE104" s="8">
        <f>IF(_xlfn.XLOOKUP(E104,Groups!A:A,Groups!BE:BE)=1,(0.048*C104^1.01)+(0.071*C104^1.03),0.071*C104^1.03)/IF(_xlfn.XLOOKUP(E104,Groups!A:A,Groups!M:M)=1,0.85,IF(OR(_xlfn.XLOOKUP(B104,Animals!B:B,Animals!AO:AO)&gt;4,_xlfn.XLOOKUP(E104,Groups!A:A,Groups!BC:BC)=1),1.7,1))*C104^-0.25</f>
        <v>4.1609318723017914</v>
      </c>
      <c r="BF104" s="8">
        <f>(0.048*C104^1.01)/IF(_xlfn.XLOOKUP(E104,Groups!A:A,Groups!M:M)=1,0.25,0.8)*C104^-0.25</f>
        <v>8.6522804026087012</v>
      </c>
      <c r="BG104" s="8">
        <f>EXP(1.076*LN(AR104)-4.5397)*IF(_xlfn.XLOOKUP(E104,Groups!A:A,Groups!BC:BC)=1,1.25,IF(_xlfn.XLOOKUP(E104,Groups!A:A,Groups!BD:BD)=1,3.5,2.5))</f>
        <v>93.437423078027194</v>
      </c>
      <c r="BH104" s="8">
        <f>EXP(1.076*LN(AS104)-4.5397)*IF(_xlfn.XLOOKUP(E104,Groups!A:A,Groups!M:M)=1,0.8,IF(_xlfn.XLOOKUP(E104,Groups!A:A,Groups!BC:BC)=1,1.3,3))</f>
        <v>555.26009687930457</v>
      </c>
      <c r="BI104" s="8" t="str">
        <f>IF(W104="No","No",IF(_xlfn.XLOOKUP(E104,Groups!A:A,Groups!U:U)=1,'Base stats'!BJ104,IF(OR(_xlfn.XLOOKUP(E104,Groups!A:A,Groups!BD:BD)=1,_xlfn.XLOOKUP(E104,Groups!A:A,Groups!U:U)=2),BG104,BH104))*1.2)</f>
        <v>No</v>
      </c>
      <c r="BJ104" s="8">
        <f>IFERROR(EXP(1.076*LN(AT104)-4.5397)*IF(_xlfn.XLOOKUP(E104,Groups!A:A,Groups!N:N)="Insect",1,IF(OR(_xlfn.XLOOKUP(E104,Groups!A:A,Groups!N:N)="Pig",_xlfn.XLOOKUP(E104,Groups!A:A,Groups!N:N)="StrongBitingHerbivore"),3.5,3.75)),"No")</f>
        <v>694.07512109913068</v>
      </c>
      <c r="BK104" s="8">
        <f t="shared" si="40"/>
        <v>8</v>
      </c>
      <c r="BL104" s="8">
        <f t="shared" si="41"/>
        <v>16</v>
      </c>
      <c r="BM104" s="8" t="str">
        <f t="shared" si="42"/>
        <v>No</v>
      </c>
      <c r="BN104" s="8">
        <f t="shared" si="43"/>
        <v>14</v>
      </c>
      <c r="BO104" s="8">
        <f t="shared" si="44"/>
        <v>11</v>
      </c>
      <c r="BP104" s="8" cm="1">
        <f t="array" ref="BP104">IF(AND(_xlfn.XLOOKUP('Base stats'!E104,Groups!A:A,Groups!AD:AD=0),_xlfn.XLOOKUP('Base stats'!E104,Groups!A:A,Groups!P:P=0)),"No",IF(U104="No",AVERAGE(EXP(-0.57+0.99*LN(C104)),EXP(0.32+0.67*LN(C104)))/IF(_xlfn.XLOOKUP(E104,Groups!A:A,Groups!AD:AD)=1,10,2),(0.7354*C104^0.4078)*2/IF(_xlfn.XLOOKUP(E104,Groups!A:A,Groups!BK:BK)=1,1000,100)/IF(_xlfn.XLOOKUP(E104,Groups!A:A,Groups!AJ:AJ)="Photonozoa",3,1)))</f>
        <v>1.1349157855001941E-2</v>
      </c>
      <c r="BQ104" s="8" t="str">
        <f>IF(W104="No","No",IF(_xlfn.XLOOKUP(E104,Groups!A:A,Groups!BD:BD)=1,(AO104*5%),EXP(0.7354*LN(C104)^0.4078)*2/IF(_xlfn.XLOOKUP(E104,Groups!A:A,Groups!BL:BL)=1,1000,100)/IF(_xlfn.XLOOKUP(E104,Groups!A:A,Groups!AJ:AJ)="Photonozoa",3,1)))</f>
        <v>No</v>
      </c>
      <c r="BR104" s="8">
        <f>IF(BJ104="No","No",IF(_xlfn.XLOOKUP(E104,Groups!A:A,Groups!BF:BF)=1,(0.0315*C104+2.1825)*2,(0.7354*C104^0.4078)*2)/IF(_xlfn.XLOOKUP(E104,Groups!A:A,Groups!BM:BM)=1,1000,100)/IF(_xlfn.XLOOKUP(E104,Groups!A:A,Groups!AJ:AJ)="Photonozoa",3,1))</f>
        <v>0.11349157855001941</v>
      </c>
      <c r="BS104" s="8">
        <f t="shared" si="45"/>
        <v>6.4828884818177987E-2</v>
      </c>
      <c r="BT104" s="8">
        <f t="shared" si="46"/>
        <v>48925.2245825961</v>
      </c>
      <c r="BU104" s="8" t="str">
        <f t="shared" si="47"/>
        <v>No</v>
      </c>
      <c r="BV104" s="8">
        <f t="shared" si="48"/>
        <v>6115.6530728245116</v>
      </c>
      <c r="BW104" s="4">
        <v>0</v>
      </c>
      <c r="BX104" s="4">
        <v>1</v>
      </c>
    </row>
    <row r="105" spans="1:76" x14ac:dyDescent="0.25">
      <c r="A105" s="26" t="s">
        <v>239</v>
      </c>
      <c r="B105" s="6" t="s">
        <v>424</v>
      </c>
      <c r="C105" s="7">
        <v>300</v>
      </c>
      <c r="D105" s="7" t="s">
        <v>528</v>
      </c>
      <c r="E105" s="7" t="str">
        <f>Groups!$A$5</f>
        <v>Beetle (CLAWS)</v>
      </c>
      <c r="F105" s="7" t="str">
        <f t="shared" si="51"/>
        <v>Lay eggs</v>
      </c>
      <c r="G105" s="7">
        <v>2</v>
      </c>
      <c r="H105" s="7">
        <v>20</v>
      </c>
      <c r="I105" s="4">
        <v>0</v>
      </c>
      <c r="J105" s="7" t="str">
        <f t="shared" si="52"/>
        <v>Lay eggs</v>
      </c>
      <c r="K105" s="7" t="s">
        <v>528</v>
      </c>
      <c r="L105" s="7">
        <v>20</v>
      </c>
      <c r="M105" s="7" t="s">
        <v>528</v>
      </c>
      <c r="N105" s="4">
        <v>0</v>
      </c>
      <c r="O105" s="4">
        <v>0</v>
      </c>
      <c r="P105" s="4">
        <v>0</v>
      </c>
      <c r="Q105" s="4">
        <v>0</v>
      </c>
      <c r="R105" s="4">
        <v>1</v>
      </c>
      <c r="S105" s="7">
        <f>_xlfn.XLOOKUP(B105,[1]TeethAdjusters!$A:$A,[1]BiteAdjusters!$C:$C,1)</f>
        <v>1</v>
      </c>
      <c r="T105" s="7">
        <f>_xlfn.XLOOKUP(B105,[1]TeethAdjusters!$A:$A,[1]TeethAdjusters!$B:$B,1)</f>
        <v>1</v>
      </c>
      <c r="U105" s="7">
        <v>8</v>
      </c>
      <c r="V105" s="7">
        <v>20</v>
      </c>
      <c r="W105" s="7" t="s">
        <v>45</v>
      </c>
      <c r="X105" s="7" t="s">
        <v>932</v>
      </c>
      <c r="Y105" s="4" t="s">
        <v>53</v>
      </c>
      <c r="Z105" s="4">
        <v>1</v>
      </c>
      <c r="AA105" s="4">
        <v>0</v>
      </c>
      <c r="AB105" s="4">
        <v>0</v>
      </c>
      <c r="AC105" s="4">
        <v>0</v>
      </c>
      <c r="AD105" s="4">
        <v>0</v>
      </c>
      <c r="AE105" s="4" t="s">
        <v>45</v>
      </c>
      <c r="AF105" s="4" t="s">
        <v>45</v>
      </c>
      <c r="AG105" s="49" t="s">
        <v>1712</v>
      </c>
      <c r="AH105" s="4" t="s">
        <v>45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4" t="s">
        <v>40</v>
      </c>
      <c r="AO105" s="8">
        <f t="shared" si="34"/>
        <v>45232.625241713278</v>
      </c>
      <c r="AP105" s="8">
        <f>IFERROR(C105*_xlfn.XLOOKUP(E105,Groups!A:A,Groups!K:K),0.106*C105^0.94)</f>
        <v>96</v>
      </c>
      <c r="AQ105" s="8">
        <f>AP105*10000/(_xlfn.XLOOKUP(E105,Groups!A:A,Groups!J:J)*AO105)</f>
        <v>17.686349083763645</v>
      </c>
      <c r="AR105" s="8">
        <f t="shared" si="35"/>
        <v>6727.6760861471967</v>
      </c>
      <c r="AS105" s="8">
        <f>IF(_xlfn.XLOOKUP(E105,Groups!A:A,Groups!M:M)=1,EXP(0.7444*LN('Base stats'!C105)+6.5696),EXP(0.7927*LN('Base stats'!C105)+4.28))</f>
        <v>49786.327351106935</v>
      </c>
      <c r="AT105" s="8">
        <f>IF(_xlfn.XLOOKUP(E105,Groups!A:A,Groups!N:N)="No","No",
IF(_xlfn.XLOOKUP(E105,Groups!A:A,Groups!N:N)="Crocodile",EXP(0.8129*LN(C105)+4.6742)*S105,
IF(_xlfn.XLOOKUP(E105,Groups!A:A,Groups!N:N)="Felid",EXP(0.7843*LN(C105)+4.7073)*S105,
IF(_xlfn.XLOOKUP(E105,Groups!A:A,Groups!N:N)="Canid",EXP(0.8367*LN(C105)+4.8763)*S105,
IF(_xlfn.XLOOKUP(E105,Groups!A:A,Groups!N:N)="Pig",EXP(0.3439*LN(C105)+6.8519)*S105,
IF(_xlfn.XLOOKUP(E105,Groups!A:A,Groups!N:N)="Rodent",EXP(0.5625*LN(C105)+4.3006)*S105,
IF(_xlfn.XLOOKUP(E105,Groups!A:A,Groups!N:N)="Primate",EXP(0.7847*LN(C105)+3.4931)*S105,
IF(_xlfn.XLOOKUP(E105,Groups!A:A,Groups!N:N)="MiscCarnivora",EXP(0.7486*LN(C105)+4.2207)*S105,
IF(_xlfn.XLOOKUP(E105,Groups!A:A,Groups!N:N)="Lizard",EXP(0.7733*LN(C105)+5.5303)*S105,
IF(_xlfn.XLOOKUP(E105,Groups!A:A,Groups!N:N)="Snake",50*C105^(2/3)*S105,
IF(_xlfn.XLOOKUP(E105,Groups!A:A,Groups!N:N)="StrongBitingHerbivore",87.1133638856975*C105^(2/3)*S105,
IF(_xlfn.XLOOKUP(E105,Groups!A:A,Groups!N:N)="MiscEctotherms",59.4316884072269*C105^(2/3)*S105,
IF(_xlfn.XLOOKUP(E105,Groups!A:A,Groups!N:N)="StrongBeakBird",0.041*(C105*1000)^1.375*S105,
IF(_xlfn.XLOOKUP(E105,Groups!A:A,Groups!N:N)="Bird",0.118*(C105*1000)^0.692*S105,
IF(_xlfn.XLOOKUP(E105,Groups!A:A,Groups!N:N)="Insect",EXP(0.7444*LN(C105)+6.5696)*S105,
IF(_xlfn.XLOOKUP(E105,Groups!A:A,Groups!N:N)="Theropod",EXP(0.6966*LN(C105)+4.158)*S105,
"No"))))))))))))))))</f>
        <v>49786.327351106935</v>
      </c>
      <c r="AU105" s="8">
        <f>IF(_xlfn.XLOOKUP(E105,Groups!A:A,Groups!U:U)=3,AS105,IF(_xlfn.XLOOKUP(E105,Groups!A:A,Groups!U:U)=2,AR105,AT105))</f>
        <v>49786.327351106935</v>
      </c>
      <c r="AV105" s="46">
        <f>IFERROR(AVERAGE(_xlfn.XLOOKUP(B105,Animals!B:B,Animals!N:N),_xlfn.XLOOKUP(B105,Animals!B:B,Animals!O:O)),0)</f>
        <v>0.47500000000000003</v>
      </c>
      <c r="AW105" s="8">
        <f>MROUND(40*Animals!AO105*_xlfn.XLOOKUP(AG105,Leathers!$A$2:$A$99,Leathers!$B$2:$B$99,0)+(140*_xlfn.XLOOKUP(B105,Animals!B:B,Animals!AO:AO)*2),5)</f>
        <v>630</v>
      </c>
      <c r="AX105" s="8">
        <f>IFERROR(ROUND(SQRT(V105-1)*IF(_xlfn.XLOOKUP(E105,Groups!A:A,Groups!BF:BF)=0,2,1)*IF(_xlfn.XLOOKUP('Base stats'!E105,Groups!A:A,Groups!O:O)=0,1,0.1),1),0)</f>
        <v>8.6999999999999993</v>
      </c>
      <c r="AY105" s="8">
        <f t="shared" si="36"/>
        <v>2.6</v>
      </c>
      <c r="AZ105" s="8">
        <f t="shared" si="37"/>
        <v>0</v>
      </c>
      <c r="BA105" s="8">
        <f t="shared" si="38"/>
        <v>6.2</v>
      </c>
      <c r="BB105" s="8">
        <f>IF(_xlfn.XLOOKUP(E105,Groups!A:A,Groups!N:N)="Insect",BD105*2.5,IFERROR(AVERAGE(BD105,AT105/9.81/IF(OR(_xlfn.XLOOKUP(E105,Groups!A:A,Groups!N:N)="Pig",_xlfn.XLOOKUP(E105,Groups!A:A,Groups!N:N)="StrongBitingHerbivore"),20,25))*C105^-0.135,BD105))</f>
        <v>11.212793869379865</v>
      </c>
      <c r="BC105" s="8" t="str">
        <f>IF(W105="No","No",IF(_xlfn.XLOOKUP(E105,Groups!A:A,Groups!U:U)=1,'Base stats'!BB105,IF(OR(_xlfn.XLOOKUP(E105,Groups!A:A,Groups!BD:BD)=1,_xlfn.XLOOKUP(E105,Groups!A:A,Groups!U:U)=2),BD105,IF(_xlfn.XLOOKUP(B105,Animals!B:B,Animals!AO:AO)&gt;4,AVERAGE(BD105,BF105),BF105))))</f>
        <v>No</v>
      </c>
      <c r="BD105" s="8">
        <f t="shared" si="39"/>
        <v>4.4851175477519458</v>
      </c>
      <c r="BE105" s="8">
        <f>IF(_xlfn.XLOOKUP(E105,Groups!A:A,Groups!BE:BE)=1,(0.048*C105^1.01)+(0.071*C105^1.03),0.071*C105^1.03)/IF(_xlfn.XLOOKUP(E105,Groups!A:A,Groups!M:M)=1,0.85,IF(OR(_xlfn.XLOOKUP(B105,Animals!B:B,Animals!AO:AO)&gt;4,_xlfn.XLOOKUP(E105,Groups!A:A,Groups!BC:BC)=1),1.7,1))*C105^-0.25</f>
        <v>7.1448645778610942</v>
      </c>
      <c r="BF105" s="8">
        <f>(0.048*C105^1.01)/IF(_xlfn.XLOOKUP(E105,Groups!A:A,Groups!M:M)=1,0.25,0.8)*C105^-0.25</f>
        <v>14.652555744310158</v>
      </c>
      <c r="BG105" s="8">
        <f>EXP(1.076*LN(AR105)-4.5397)*IF(_xlfn.XLOOKUP(E105,Groups!A:A,Groups!BC:BC)=1,1.25,IF(_xlfn.XLOOKUP(E105,Groups!A:A,Groups!BD:BD)=1,3.5,2.5))</f>
        <v>175.43901189464424</v>
      </c>
      <c r="BH105" s="8">
        <f>EXP(1.076*LN(AS105)-4.5397)*IF(_xlfn.XLOOKUP(E105,Groups!A:A,Groups!M:M)=1,0.8,IF(_xlfn.XLOOKUP(E105,Groups!A:A,Groups!BC:BC)=1,1.3,3))</f>
        <v>967.41715569980647</v>
      </c>
      <c r="BI105" s="8" t="str">
        <f>IF(W105="No","No",IF(_xlfn.XLOOKUP(E105,Groups!A:A,Groups!U:U)=1,'Base stats'!BJ105,IF(OR(_xlfn.XLOOKUP(E105,Groups!A:A,Groups!BD:BD)=1,_xlfn.XLOOKUP(E105,Groups!A:A,Groups!U:U)=2),BG105,BH105))*1.2)</f>
        <v>No</v>
      </c>
      <c r="BJ105" s="8">
        <f>IFERROR(EXP(1.076*LN(AT105)-4.5397)*IF(_xlfn.XLOOKUP(E105,Groups!A:A,Groups!N:N)="Insect",1,IF(OR(_xlfn.XLOOKUP(E105,Groups!A:A,Groups!N:N)="Pig",_xlfn.XLOOKUP(E105,Groups!A:A,Groups!N:N)="StrongBitingHerbivore"),3.5,3.75)),"No")</f>
        <v>1209.271444624758</v>
      </c>
      <c r="BK105" s="8">
        <f t="shared" si="40"/>
        <v>8</v>
      </c>
      <c r="BL105" s="8">
        <f t="shared" si="41"/>
        <v>16</v>
      </c>
      <c r="BM105" s="8" t="str">
        <f t="shared" si="42"/>
        <v>No</v>
      </c>
      <c r="BN105" s="8">
        <f t="shared" si="43"/>
        <v>14</v>
      </c>
      <c r="BO105" s="8">
        <f t="shared" si="44"/>
        <v>11</v>
      </c>
      <c r="BP105" s="8" cm="1">
        <f t="array" ref="BP105">IF(AND(_xlfn.XLOOKUP('Base stats'!E105,Groups!A:A,Groups!AD:AD=0),_xlfn.XLOOKUP('Base stats'!E105,Groups!A:A,Groups!P:P=0)),"No",IF(U105="No",AVERAGE(EXP(-0.57+0.99*LN(C105)),EXP(0.32+0.67*LN(C105)))/IF(_xlfn.XLOOKUP(E105,Groups!A:A,Groups!AD:AD)=1,10,2),(0.7354*C105^0.4078)*2/IF(_xlfn.XLOOKUP(E105,Groups!A:A,Groups!BK:BK)=1,1000,100)/IF(_xlfn.XLOOKUP(E105,Groups!A:A,Groups!AJ:AJ)="Photonozoa",3,1)))</f>
        <v>1.5056487532717558E-2</v>
      </c>
      <c r="BQ105" s="8" t="str">
        <f>IF(W105="No","No",IF(_xlfn.XLOOKUP(E105,Groups!A:A,Groups!BD:BD)=1,(AO105*5%),EXP(0.7354*LN(C105)^0.4078)*2/IF(_xlfn.XLOOKUP(E105,Groups!A:A,Groups!BL:BL)=1,1000,100)/IF(_xlfn.XLOOKUP(E105,Groups!A:A,Groups!AJ:AJ)="Photonozoa",3,1)))</f>
        <v>No</v>
      </c>
      <c r="BR105" s="8">
        <f>IF(BJ105="No","No",IF(_xlfn.XLOOKUP(E105,Groups!A:A,Groups!BF:BF)=1,(0.0315*C105+2.1825)*2,(0.7354*C105^0.4078)*2)/IF(_xlfn.XLOOKUP(E105,Groups!A:A,Groups!BM:BM)=1,1000,100)/IF(_xlfn.XLOOKUP(E105,Groups!A:A,Groups!AJ:AJ)="Photonozoa",3,1))</f>
        <v>0.15056487532717558</v>
      </c>
      <c r="BS105" s="8">
        <f t="shared" si="45"/>
        <v>7.7571890181981018E-2</v>
      </c>
      <c r="BT105" s="8">
        <f t="shared" si="46"/>
        <v>64252.512652610458</v>
      </c>
      <c r="BU105" s="8" t="str">
        <f t="shared" si="47"/>
        <v>No</v>
      </c>
      <c r="BV105" s="8">
        <f t="shared" si="48"/>
        <v>8031.5640815763063</v>
      </c>
      <c r="BW105" s="4">
        <v>0</v>
      </c>
      <c r="BX105" s="4">
        <v>1</v>
      </c>
    </row>
    <row r="106" spans="1:76" x14ac:dyDescent="0.25">
      <c r="A106" s="26" t="s">
        <v>287</v>
      </c>
      <c r="B106" s="6" t="s">
        <v>425</v>
      </c>
      <c r="C106" s="7">
        <v>6500</v>
      </c>
      <c r="D106" s="7" t="s">
        <v>528</v>
      </c>
      <c r="E106" s="7" t="str">
        <f>Groups!$A$3</f>
        <v>Beetle (QUEEN)</v>
      </c>
      <c r="F106" s="7" t="s">
        <v>1700</v>
      </c>
      <c r="G106" s="7" t="s">
        <v>1700</v>
      </c>
      <c r="H106" s="7">
        <v>100</v>
      </c>
      <c r="I106" s="4">
        <v>0</v>
      </c>
      <c r="J106" s="7" t="s">
        <v>1700</v>
      </c>
      <c r="K106" s="7" t="s">
        <v>528</v>
      </c>
      <c r="L106" s="7">
        <v>15</v>
      </c>
      <c r="M106" s="7" t="s">
        <v>528</v>
      </c>
      <c r="N106" s="4">
        <v>0</v>
      </c>
      <c r="O106" s="4">
        <v>0</v>
      </c>
      <c r="P106" s="4">
        <v>0</v>
      </c>
      <c r="Q106" s="4">
        <v>0</v>
      </c>
      <c r="R106" s="4">
        <v>1</v>
      </c>
      <c r="S106" s="7">
        <f>_xlfn.XLOOKUP(B106,[1]TeethAdjusters!$A:$A,[1]BiteAdjusters!$C:$C,1)</f>
        <v>1</v>
      </c>
      <c r="T106" s="7">
        <f>_xlfn.XLOOKUP(B106,[1]TeethAdjusters!$A:$A,[1]TeethAdjusters!$B:$B,1)</f>
        <v>1</v>
      </c>
      <c r="U106" s="7" t="s">
        <v>45</v>
      </c>
      <c r="V106" s="7">
        <v>28</v>
      </c>
      <c r="W106" s="7" t="s">
        <v>45</v>
      </c>
      <c r="X106" s="7" t="s">
        <v>932</v>
      </c>
      <c r="Y106" s="4" t="s">
        <v>53</v>
      </c>
      <c r="Z106" s="4">
        <v>1.78</v>
      </c>
      <c r="AA106" s="4">
        <v>0</v>
      </c>
      <c r="AB106" s="4">
        <v>0</v>
      </c>
      <c r="AC106" s="4">
        <v>0</v>
      </c>
      <c r="AD106" s="4">
        <v>0</v>
      </c>
      <c r="AE106" s="4" t="s">
        <v>1047</v>
      </c>
      <c r="AF106" s="4" t="s">
        <v>45</v>
      </c>
      <c r="AG106" s="49" t="s">
        <v>1712</v>
      </c>
      <c r="AH106" s="4" t="str">
        <f>Animals!$C$105</f>
        <v>&lt;li&gt;Megaspider&lt;/li&gt;</v>
      </c>
      <c r="AI106" s="4">
        <v>0</v>
      </c>
      <c r="AJ106" s="4">
        <v>0</v>
      </c>
      <c r="AK106" s="4">
        <v>0</v>
      </c>
      <c r="AL106" s="4">
        <v>1</v>
      </c>
      <c r="AM106" s="4">
        <v>1</v>
      </c>
      <c r="AN106" s="44" t="s">
        <v>40</v>
      </c>
      <c r="AO106" s="8">
        <f t="shared" si="34"/>
        <v>333977.07792303176</v>
      </c>
      <c r="AP106" s="8">
        <f>IFERROR(C106*_xlfn.XLOOKUP(E106,Groups!A:A,Groups!K:K),0.106*C106^0.94)</f>
        <v>406.85946202436139</v>
      </c>
      <c r="AQ106" s="8">
        <f>AP106*10000/(_xlfn.XLOOKUP(E106,Groups!A:A,Groups!J:J)*AO106)</f>
        <v>13.68792929717393</v>
      </c>
      <c r="AR106" s="8">
        <f t="shared" si="35"/>
        <v>90408.374736964019</v>
      </c>
      <c r="AS106" s="8">
        <f>IF(_xlfn.XLOOKUP(E106,Groups!A:A,Groups!M:M)=1,EXP(0.7444*LN('Base stats'!C106)+6.5696),EXP(0.7927*LN('Base stats'!C106)+4.28))</f>
        <v>491443.65353680309</v>
      </c>
      <c r="AT106" s="8">
        <f>IF(_xlfn.XLOOKUP(E106,Groups!A:A,Groups!N:N)="No","No",
IF(_xlfn.XLOOKUP(E106,Groups!A:A,Groups!N:N)="Crocodile",EXP(0.8129*LN(C106)+4.6742)*S106,
IF(_xlfn.XLOOKUP(E106,Groups!A:A,Groups!N:N)="Felid",EXP(0.7843*LN(C106)+4.7073)*S106,
IF(_xlfn.XLOOKUP(E106,Groups!A:A,Groups!N:N)="Canid",EXP(0.8367*LN(C106)+4.8763)*S106,
IF(_xlfn.XLOOKUP(E106,Groups!A:A,Groups!N:N)="Pig",EXP(0.3439*LN(C106)+6.8519)*S106,
IF(_xlfn.XLOOKUP(E106,Groups!A:A,Groups!N:N)="Rodent",EXP(0.5625*LN(C106)+4.3006)*S106,
IF(_xlfn.XLOOKUP(E106,Groups!A:A,Groups!N:N)="Primate",EXP(0.7847*LN(C106)+3.4931)*S106,
IF(_xlfn.XLOOKUP(E106,Groups!A:A,Groups!N:N)="MiscCarnivora",EXP(0.7486*LN(C106)+4.2207)*S106,
IF(_xlfn.XLOOKUP(E106,Groups!A:A,Groups!N:N)="Lizard",EXP(0.7733*LN(C106)+5.5303)*S106,
IF(_xlfn.XLOOKUP(E106,Groups!A:A,Groups!N:N)="Snake",50*C106^(2/3)*S106,
IF(_xlfn.XLOOKUP(E106,Groups!A:A,Groups!N:N)="StrongBitingHerbivore",87.1133638856975*C106^(2/3)*S106,
IF(_xlfn.XLOOKUP(E106,Groups!A:A,Groups!N:N)="MiscEctotherms",59.4316884072269*C106^(2/3)*S106,
IF(_xlfn.XLOOKUP(E106,Groups!A:A,Groups!N:N)="StrongBeakBird",0.041*(C106*1000)^1.375*S106,
IF(_xlfn.XLOOKUP(E106,Groups!A:A,Groups!N:N)="Bird",0.118*(C106*1000)^0.692*S106,
IF(_xlfn.XLOOKUP(E106,Groups!A:A,Groups!N:N)="Insect",EXP(0.7444*LN(C106)+6.5696)*S106,
IF(_xlfn.XLOOKUP(E106,Groups!A:A,Groups!N:N)="Theropod",EXP(0.6966*LN(C106)+4.158)*S106,
"No"))))))))))))))))</f>
        <v>491443.65353680309</v>
      </c>
      <c r="AU106" s="8">
        <f>IF(_xlfn.XLOOKUP(E106,Groups!A:A,Groups!U:U)=3,AS106,IF(_xlfn.XLOOKUP(E106,Groups!A:A,Groups!U:U)=2,AR106,AT106))</f>
        <v>491443.65353680309</v>
      </c>
      <c r="AV106" s="46">
        <f>IFERROR(AVERAGE(_xlfn.XLOOKUP(B106,Animals!B:B,Animals!N:N),_xlfn.XLOOKUP(B106,Animals!B:B,Animals!O:O)),0)</f>
        <v>1.2000000000000002</v>
      </c>
      <c r="AW106" s="8">
        <f>MROUND(40*Animals!AO106*_xlfn.XLOOKUP(AG106,Leathers!$A$2:$A$99,Leathers!$B$2:$B$99,0)+(140*_xlfn.XLOOKUP(B106,Animals!B:B,Animals!AO:AO)*2),5)</f>
        <v>1540</v>
      </c>
      <c r="AX106" s="8">
        <f>IFERROR(ROUND(SQRT(V106-1)*IF(_xlfn.XLOOKUP(E106,Groups!A:A,Groups!BF:BF)=0,2,1)*IF(_xlfn.XLOOKUP('Base stats'!E106,Groups!A:A,Groups!O:O)=0,1,0.1),1),0)</f>
        <v>10.4</v>
      </c>
      <c r="AY106" s="8">
        <f t="shared" si="36"/>
        <v>0</v>
      </c>
      <c r="AZ106" s="8">
        <f t="shared" si="37"/>
        <v>0</v>
      </c>
      <c r="BA106" s="8">
        <f t="shared" si="38"/>
        <v>18.600000000000001</v>
      </c>
      <c r="BB106" s="8">
        <f>IF(_xlfn.XLOOKUP(E106,Groups!A:A,Groups!N:N)="Insect",BD106*2.5,IFERROR(AVERAGE(BD106,AT106/9.81/IF(OR(_xlfn.XLOOKUP(E106,Groups!A:A,Groups!N:N)="Pig",_xlfn.XLOOKUP(E106,Groups!A:A,Groups!N:N)="StrongBitingHerbivore"),20,25))*C106^-0.135,BD106))</f>
        <v>144.46314823737697</v>
      </c>
      <c r="BC106" s="8" t="str">
        <f>IF(W106="No","No",IF(_xlfn.XLOOKUP(E106,Groups!A:A,Groups!U:U)=1,'Base stats'!BB106,IF(OR(_xlfn.XLOOKUP(E106,Groups!A:A,Groups!BD:BD)=1,_xlfn.XLOOKUP(E106,Groups!A:A,Groups!U:U)=2),BD106,IF(_xlfn.XLOOKUP(B106,Animals!B:B,Animals!AO:AO)&gt;4,AVERAGE(BD106,BF106),BF106))))</f>
        <v>No</v>
      </c>
      <c r="BD106" s="8">
        <f t="shared" si="39"/>
        <v>57.785259294950791</v>
      </c>
      <c r="BE106" s="8">
        <f>IF(_xlfn.XLOOKUP(E106,Groups!A:A,Groups!BE:BE)=1,(0.048*C106^1.01)+(0.071*C106^1.03),0.071*C106^1.03)/IF(_xlfn.XLOOKUP(E106,Groups!A:A,Groups!M:M)=1,0.85,IF(OR(_xlfn.XLOOKUP(B106,Animals!B:B,Animals!AO:AO)&gt;4,_xlfn.XLOOKUP(E106,Groups!A:A,Groups!BC:BC)=1),1.7,1))*C106^-0.25</f>
        <v>78.688604098945561</v>
      </c>
      <c r="BF106" s="8">
        <f>(0.048*C106^1.01)/IF(_xlfn.XLOOKUP(E106,Groups!A:A,Groups!M:M)=1,0.25,0.8)*C106^-0.25</f>
        <v>151.74534583478444</v>
      </c>
      <c r="BG106" s="8">
        <f>EXP(1.076*LN(AR106)-4.5397)*IF(_xlfn.XLOOKUP(E106,Groups!A:A,Groups!BC:BC)=1,1.25,IF(_xlfn.XLOOKUP(E106,Groups!A:A,Groups!BD:BD)=1,3.5,2.5))</f>
        <v>2872.2608182712406</v>
      </c>
      <c r="BH106" s="8">
        <f>EXP(1.076*LN(AS106)-4.5397)*IF(_xlfn.XLOOKUP(E106,Groups!A:A,Groups!M:M)=1,0.8,IF(_xlfn.XLOOKUP(E106,Groups!A:A,Groups!BC:BC)=1,1.3,3))</f>
        <v>11364.466742743723</v>
      </c>
      <c r="BI106" s="8" t="str">
        <f>IF(W106="No","No",IF(_xlfn.XLOOKUP(E106,Groups!A:A,Groups!U:U)=1,'Base stats'!BJ106,IF(OR(_xlfn.XLOOKUP(E106,Groups!A:A,Groups!BD:BD)=1,_xlfn.XLOOKUP(E106,Groups!A:A,Groups!U:U)=2),BG106,BH106))*1.2)</f>
        <v>No</v>
      </c>
      <c r="BJ106" s="8">
        <f>IFERROR(EXP(1.076*LN(AT106)-4.5397)*IF(_xlfn.XLOOKUP(E106,Groups!A:A,Groups!N:N)="Insect",1,IF(OR(_xlfn.XLOOKUP(E106,Groups!A:A,Groups!N:N)="Pig",_xlfn.XLOOKUP(E106,Groups!A:A,Groups!N:N)="StrongBitingHerbivore"),3.5,3.75)),"No")</f>
        <v>14205.583428429652</v>
      </c>
      <c r="BK106" s="8">
        <f t="shared" si="40"/>
        <v>9</v>
      </c>
      <c r="BL106" s="8">
        <f t="shared" si="41"/>
        <v>16</v>
      </c>
      <c r="BM106" s="8" t="str">
        <f t="shared" si="42"/>
        <v>No</v>
      </c>
      <c r="BN106" s="8">
        <f t="shared" si="43"/>
        <v>14</v>
      </c>
      <c r="BO106" s="8">
        <f t="shared" si="44"/>
        <v>12</v>
      </c>
      <c r="BP106" s="8" t="str" cm="1">
        <f t="array" ref="BP106">IF(AND(_xlfn.XLOOKUP('Base stats'!E106,Groups!A:A,Groups!AD:AD=0),_xlfn.XLOOKUP('Base stats'!E106,Groups!A:A,Groups!P:P=0)),"No",IF(U106="No",AVERAGE(EXP(-0.57+0.99*LN(C106)),EXP(0.32+0.67*LN(C106)))/IF(_xlfn.XLOOKUP(E106,Groups!A:A,Groups!AD:AD)=1,10,2),(0.7354*C106^0.4078)*2/IF(_xlfn.XLOOKUP(E106,Groups!A:A,Groups!BK:BK)=1,1000,100)/IF(_xlfn.XLOOKUP(E106,Groups!A:A,Groups!AJ:AJ)="Photonozoa",3,1)))</f>
        <v>No</v>
      </c>
      <c r="BQ106" s="8" t="str">
        <f>IF(W106="No","No",IF(_xlfn.XLOOKUP(E106,Groups!A:A,Groups!BD:BD)=1,(AO106*5%),EXP(0.7354*LN(C106)^0.4078)*2/IF(_xlfn.XLOOKUP(E106,Groups!A:A,Groups!BL:BL)=1,1000,100)/IF(_xlfn.XLOOKUP(E106,Groups!A:A,Groups!AJ:AJ)="Photonozoa",3,1)))</f>
        <v>No</v>
      </c>
      <c r="BR106" s="8">
        <f>IF(BJ106="No","No",IF(_xlfn.XLOOKUP(E106,Groups!A:A,Groups!BF:BF)=1,(0.0315*C106+2.1825)*2,(0.7354*C106^0.4078)*2)/IF(_xlfn.XLOOKUP(E106,Groups!A:A,Groups!BM:BM)=1,1000,100)/IF(_xlfn.XLOOKUP(E106,Groups!A:A,Groups!AJ:AJ)="Photonozoa",3,1))</f>
        <v>0.52778821429382305</v>
      </c>
      <c r="BS106" s="8">
        <f t="shared" si="45"/>
        <v>0.17200347018624917</v>
      </c>
      <c r="BT106" s="8" t="str">
        <f t="shared" si="46"/>
        <v>No</v>
      </c>
      <c r="BU106" s="8" t="str">
        <f t="shared" si="47"/>
        <v>No</v>
      </c>
      <c r="BV106" s="8">
        <f t="shared" si="48"/>
        <v>26915.310049953699</v>
      </c>
      <c r="BW106" s="4">
        <v>0</v>
      </c>
      <c r="BX106" s="4">
        <v>1</v>
      </c>
    </row>
    <row r="107" spans="1:76" x14ac:dyDescent="0.25">
      <c r="A107" s="26" t="s">
        <v>289</v>
      </c>
      <c r="B107" s="6" t="s">
        <v>426</v>
      </c>
      <c r="C107" s="7">
        <v>10</v>
      </c>
      <c r="D107" s="7" t="s">
        <v>528</v>
      </c>
      <c r="E107" s="7" t="str">
        <f>Groups!$A$4</f>
        <v>Beetle (LARVA)</v>
      </c>
      <c r="F107" s="7" t="s">
        <v>1700</v>
      </c>
      <c r="G107" s="7" t="s">
        <v>1700</v>
      </c>
      <c r="H107" s="7">
        <v>1</v>
      </c>
      <c r="I107" s="4">
        <v>0</v>
      </c>
      <c r="J107" s="7" t="s">
        <v>1700</v>
      </c>
      <c r="K107" s="7" t="s">
        <v>528</v>
      </c>
      <c r="L107" s="7">
        <v>15</v>
      </c>
      <c r="M107" s="7" t="s">
        <v>528</v>
      </c>
      <c r="N107" s="4">
        <v>0</v>
      </c>
      <c r="O107" s="4">
        <v>0</v>
      </c>
      <c r="P107" s="4">
        <v>0</v>
      </c>
      <c r="Q107" s="4">
        <v>0</v>
      </c>
      <c r="R107" s="4">
        <v>1</v>
      </c>
      <c r="S107" s="7">
        <f>_xlfn.XLOOKUP(B107,[1]TeethAdjusters!$A:$A,[1]BiteAdjusters!$C:$C,1)</f>
        <v>1</v>
      </c>
      <c r="T107" s="7">
        <f>_xlfn.XLOOKUP(B107,[1]TeethAdjusters!$A:$A,[1]TeethAdjusters!$B:$B,1)</f>
        <v>1</v>
      </c>
      <c r="U107" s="7" t="s">
        <v>45</v>
      </c>
      <c r="V107" s="7">
        <v>3</v>
      </c>
      <c r="W107" s="7" t="s">
        <v>45</v>
      </c>
      <c r="X107" s="7" t="s">
        <v>932</v>
      </c>
      <c r="Y107" s="4" t="s">
        <v>53</v>
      </c>
      <c r="Z107" s="4">
        <v>1</v>
      </c>
      <c r="AA107" s="4">
        <v>0</v>
      </c>
      <c r="AB107" s="4">
        <v>0</v>
      </c>
      <c r="AC107" s="4">
        <v>0</v>
      </c>
      <c r="AD107" s="4">
        <v>0</v>
      </c>
      <c r="AE107" s="4" t="s">
        <v>1048</v>
      </c>
      <c r="AF107" s="4" t="s">
        <v>45</v>
      </c>
      <c r="AG107" s="49" t="s">
        <v>1712</v>
      </c>
      <c r="AH107" s="4" t="str">
        <f>Animals!$C$105</f>
        <v>&lt;li&gt;Megaspider&lt;/li&gt;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4" t="s">
        <v>40</v>
      </c>
      <c r="AO107" s="8">
        <f t="shared" si="34"/>
        <v>4958.187872875691</v>
      </c>
      <c r="AP107" s="8">
        <f>IFERROR(C107*_xlfn.XLOOKUP(E107,Groups!A:A,Groups!K:K),0.106*C107^0.94)</f>
        <v>3.2</v>
      </c>
      <c r="AQ107" s="8">
        <f>AP107*10000/(_xlfn.XLOOKUP(E107,Groups!A:A,Groups!J:J)*AO107)</f>
        <v>5.3783090416056201</v>
      </c>
      <c r="AR107" s="8">
        <f t="shared" si="35"/>
        <v>380.31263115847975</v>
      </c>
      <c r="AS107" s="8">
        <f>IF(_xlfn.XLOOKUP(E107,Groups!A:A,Groups!M:M)=1,EXP(0.7444*LN('Base stats'!C107)+6.5696),EXP(0.7927*LN('Base stats'!C107)+4.28))</f>
        <v>3958.594603791114</v>
      </c>
      <c r="AT107" s="8">
        <f>IF(_xlfn.XLOOKUP(E107,Groups!A:A,Groups!N:N)="No","No",
IF(_xlfn.XLOOKUP(E107,Groups!A:A,Groups!N:N)="Crocodile",EXP(0.8129*LN(C107)+4.6742)*S107,
IF(_xlfn.XLOOKUP(E107,Groups!A:A,Groups!N:N)="Felid",EXP(0.7843*LN(C107)+4.7073)*S107,
IF(_xlfn.XLOOKUP(E107,Groups!A:A,Groups!N:N)="Canid",EXP(0.8367*LN(C107)+4.8763)*S107,
IF(_xlfn.XLOOKUP(E107,Groups!A:A,Groups!N:N)="Pig",EXP(0.3439*LN(C107)+6.8519)*S107,
IF(_xlfn.XLOOKUP(E107,Groups!A:A,Groups!N:N)="Rodent",EXP(0.5625*LN(C107)+4.3006)*S107,
IF(_xlfn.XLOOKUP(E107,Groups!A:A,Groups!N:N)="Primate",EXP(0.7847*LN(C107)+3.4931)*S107,
IF(_xlfn.XLOOKUP(E107,Groups!A:A,Groups!N:N)="MiscCarnivora",EXP(0.7486*LN(C107)+4.2207)*S107,
IF(_xlfn.XLOOKUP(E107,Groups!A:A,Groups!N:N)="Lizard",EXP(0.7733*LN(C107)+5.5303)*S107,
IF(_xlfn.XLOOKUP(E107,Groups!A:A,Groups!N:N)="Snake",50*C107^(2/3)*S107,
IF(_xlfn.XLOOKUP(E107,Groups!A:A,Groups!N:N)="StrongBitingHerbivore",87.1133638856975*C107^(2/3)*S107,
IF(_xlfn.XLOOKUP(E107,Groups!A:A,Groups!N:N)="MiscEctotherms",59.4316884072269*C107^(2/3)*S107,
IF(_xlfn.XLOOKUP(E107,Groups!A:A,Groups!N:N)="StrongBeakBird",0.041*(C107*1000)^1.375*S107,
IF(_xlfn.XLOOKUP(E107,Groups!A:A,Groups!N:N)="Bird",0.118*(C107*1000)^0.692*S107,
IF(_xlfn.XLOOKUP(E107,Groups!A:A,Groups!N:N)="Insect",EXP(0.7444*LN(C107)+6.5696)*S107,
IF(_xlfn.XLOOKUP(E107,Groups!A:A,Groups!N:N)="Theropod",EXP(0.6966*LN(C107)+4.158)*S107,
"No"))))))))))))))))</f>
        <v>3958.594603791114</v>
      </c>
      <c r="AU107" s="8">
        <f>IF(_xlfn.XLOOKUP(E107,Groups!A:A,Groups!U:U)=3,AS107,IF(_xlfn.XLOOKUP(E107,Groups!A:A,Groups!U:U)=2,AR107,AT107))</f>
        <v>3958.594603791114</v>
      </c>
      <c r="AV107" s="46">
        <f>IFERROR(AVERAGE(_xlfn.XLOOKUP(B107,Animals!B:B,Animals!N:N),_xlfn.XLOOKUP(B107,Animals!B:B,Animals!O:O)),0)</f>
        <v>0.2</v>
      </c>
      <c r="AW107" s="8">
        <f>MROUND(40*Animals!AO107*_xlfn.XLOOKUP(AG107,Leathers!$A$2:$A$99,Leathers!$B$2:$B$99,0)+(140*_xlfn.XLOOKUP(B107,Animals!B:B,Animals!AO:AO)*2),5)</f>
        <v>110</v>
      </c>
      <c r="AX107" s="8">
        <f>IFERROR(ROUND(SQRT(V107-1)*IF(_xlfn.XLOOKUP(E107,Groups!A:A,Groups!BF:BF)=0,2,1)*IF(_xlfn.XLOOKUP('Base stats'!E107,Groups!A:A,Groups!O:O)=0,1,0.1),1),0)</f>
        <v>2.8</v>
      </c>
      <c r="AY107" s="8">
        <f t="shared" si="36"/>
        <v>0</v>
      </c>
      <c r="AZ107" s="8">
        <f t="shared" si="37"/>
        <v>0</v>
      </c>
      <c r="BA107" s="8">
        <f t="shared" si="38"/>
        <v>1.6</v>
      </c>
      <c r="BB107" s="8">
        <f>IF(_xlfn.XLOOKUP(E107,Groups!A:A,Groups!N:N)="Insect",BD107*2.5,IFERROR(AVERAGE(BD107,AT107/9.81/IF(OR(_xlfn.XLOOKUP(E107,Groups!A:A,Groups!N:N)="Pig",_xlfn.XLOOKUP(E107,Groups!A:A,Groups!N:N)="StrongBitingHerbivore"),20,25))*C107^-0.135,BD107))</f>
        <v>0.66408867745846145</v>
      </c>
      <c r="BC107" s="8" t="str">
        <f>IF(W107="No","No",IF(_xlfn.XLOOKUP(E107,Groups!A:A,Groups!U:U)=1,'Base stats'!BB107,IF(OR(_xlfn.XLOOKUP(E107,Groups!A:A,Groups!BD:BD)=1,_xlfn.XLOOKUP(E107,Groups!A:A,Groups!U:U)=2),BD107,IF(_xlfn.XLOOKUP(B107,Animals!B:B,Animals!AO:AO)&gt;4,AVERAGE(BD107,BF107),BF107))))</f>
        <v>No</v>
      </c>
      <c r="BD107" s="8">
        <f t="shared" si="39"/>
        <v>0.26563547098338458</v>
      </c>
      <c r="BE107" s="8">
        <f>IF(_xlfn.XLOOKUP(E107,Groups!A:A,Groups!BE:BE)=1,(0.048*C107^1.01)+(0.071*C107^1.03),0.071*C107^1.03)/IF(_xlfn.XLOOKUP(E107,Groups!A:A,Groups!M:M)=1,0.85,IF(OR(_xlfn.XLOOKUP(B107,Animals!B:B,Animals!AO:AO)&gt;4,_xlfn.XLOOKUP(E107,Groups!A:A,Groups!BC:BC)=1),1.7,1))*C107^-0.25</f>
        <v>0.5033144777797578</v>
      </c>
      <c r="BF107" s="8">
        <f>(0.048*C107^1.01)/IF(_xlfn.XLOOKUP(E107,Groups!A:A,Groups!M:M)=1,0.25,0.8)*C107^-0.25</f>
        <v>1.1048446796873415</v>
      </c>
      <c r="BG107" s="8">
        <f>EXP(1.076*LN(AR107)-4.5397)*IF(_xlfn.XLOOKUP(E107,Groups!A:A,Groups!BC:BC)=1,1.25,IF(_xlfn.XLOOKUP(E107,Groups!A:A,Groups!BD:BD)=1,3.5,2.5))</f>
        <v>7.9721378589765637</v>
      </c>
      <c r="BH107" s="8">
        <f>EXP(1.076*LN(AS107)-4.5397)*IF(_xlfn.XLOOKUP(E107,Groups!A:A,Groups!M:M)=1,0.8,IF(_xlfn.XLOOKUP(E107,Groups!A:A,Groups!BC:BC)=1,1.3,3))</f>
        <v>63.456698632720183</v>
      </c>
      <c r="BI107" s="8" t="str">
        <f>IF(W107="No","No",IF(_xlfn.XLOOKUP(E107,Groups!A:A,Groups!U:U)=1,'Base stats'!BJ107,IF(OR(_xlfn.XLOOKUP(E107,Groups!A:A,Groups!BD:BD)=1,_xlfn.XLOOKUP(E107,Groups!A:A,Groups!U:U)=2),BG107,BH107))*1.2)</f>
        <v>No</v>
      </c>
      <c r="BJ107" s="8">
        <f>IFERROR(EXP(1.076*LN(AT107)-4.5397)*IF(_xlfn.XLOOKUP(E107,Groups!A:A,Groups!N:N)="Insect",1,IF(OR(_xlfn.XLOOKUP(E107,Groups!A:A,Groups!N:N)="Pig",_xlfn.XLOOKUP(E107,Groups!A:A,Groups!N:N)="StrongBitingHerbivore"),3.5,3.75)),"No")</f>
        <v>79.320873290900224</v>
      </c>
      <c r="BK107" s="8">
        <f t="shared" si="40"/>
        <v>7</v>
      </c>
      <c r="BL107" s="8">
        <f t="shared" si="41"/>
        <v>15</v>
      </c>
      <c r="BM107" s="8" t="str">
        <f t="shared" si="42"/>
        <v>No</v>
      </c>
      <c r="BN107" s="8">
        <f t="shared" si="43"/>
        <v>15</v>
      </c>
      <c r="BO107" s="8">
        <f t="shared" si="44"/>
        <v>10</v>
      </c>
      <c r="BP107" s="8" t="str" cm="1">
        <f t="array" ref="BP107">IF(AND(_xlfn.XLOOKUP('Base stats'!E107,Groups!A:A,Groups!AD:AD=0),_xlfn.XLOOKUP('Base stats'!E107,Groups!A:A,Groups!P:P=0)),"No",IF(U107="No",AVERAGE(EXP(-0.57+0.99*LN(C107)),EXP(0.32+0.67*LN(C107)))/IF(_xlfn.XLOOKUP(E107,Groups!A:A,Groups!AD:AD)=1,10,2),(0.7354*C107^0.4078)*2/IF(_xlfn.XLOOKUP(E107,Groups!A:A,Groups!BK:BK)=1,1000,100)/IF(_xlfn.XLOOKUP(E107,Groups!A:A,Groups!AJ:AJ)="Photonozoa",3,1)))</f>
        <v>No</v>
      </c>
      <c r="BQ107" s="8" t="str">
        <f>IF(W107="No","No",IF(_xlfn.XLOOKUP(E107,Groups!A:A,Groups!BD:BD)=1,(AO107*5%),EXP(0.7354*LN(C107)^0.4078)*2/IF(_xlfn.XLOOKUP(E107,Groups!A:A,Groups!BL:BL)=1,1000,100)/IF(_xlfn.XLOOKUP(E107,Groups!A:A,Groups!AJ:AJ)="Photonozoa",3,1)))</f>
        <v>No</v>
      </c>
      <c r="BR107" s="8">
        <f>IF(BJ107="No","No",IF(_xlfn.XLOOKUP(E107,Groups!A:A,Groups!BF:BF)=1,(0.0315*C107+2.1825)*2,(0.7354*C107^0.4078)*2)/IF(_xlfn.XLOOKUP(E107,Groups!A:A,Groups!BM:BM)=1,1000,100)/IF(_xlfn.XLOOKUP(E107,Groups!A:A,Groups!AJ:AJ)="Photonozoa",3,1))</f>
        <v>3.7614355184740135E-2</v>
      </c>
      <c r="BS107" s="8">
        <f t="shared" si="45"/>
        <v>3.2157465845895093E-2</v>
      </c>
      <c r="BT107" s="8" t="str">
        <f t="shared" si="46"/>
        <v>No</v>
      </c>
      <c r="BU107" s="8" t="str">
        <f t="shared" si="47"/>
        <v>No</v>
      </c>
      <c r="BV107" s="8">
        <f t="shared" si="48"/>
        <v>2108.7925846746966</v>
      </c>
      <c r="BW107" s="4">
        <v>0</v>
      </c>
      <c r="BX107" s="4">
        <v>1</v>
      </c>
    </row>
    <row r="108" spans="1:76" x14ac:dyDescent="0.25">
      <c r="A108" s="26" t="s">
        <v>288</v>
      </c>
      <c r="B108" s="6" t="s">
        <v>427</v>
      </c>
      <c r="C108" s="7">
        <v>20</v>
      </c>
      <c r="D108" s="7" t="s">
        <v>528</v>
      </c>
      <c r="E108" s="7" t="str">
        <f>Groups!$A$2</f>
        <v>Beetle</v>
      </c>
      <c r="F108" s="7" t="str">
        <f t="shared" si="51"/>
        <v>Lay eggs</v>
      </c>
      <c r="G108" s="7">
        <v>1.25</v>
      </c>
      <c r="H108" s="7">
        <v>12.5</v>
      </c>
      <c r="I108" s="4">
        <v>0</v>
      </c>
      <c r="J108" s="7" t="str">
        <f t="shared" si="52"/>
        <v>Lay eggs</v>
      </c>
      <c r="K108" s="7" t="s">
        <v>528</v>
      </c>
      <c r="L108" s="7">
        <v>30</v>
      </c>
      <c r="M108" s="7" t="s">
        <v>528</v>
      </c>
      <c r="N108" s="4">
        <v>0</v>
      </c>
      <c r="O108" s="4">
        <v>0</v>
      </c>
      <c r="P108" s="4">
        <v>0</v>
      </c>
      <c r="Q108" s="4">
        <v>0</v>
      </c>
      <c r="R108" s="4">
        <v>1</v>
      </c>
      <c r="S108" s="7">
        <f>_xlfn.XLOOKUP(B108,[1]TeethAdjusters!$A:$A,[1]BiteAdjusters!$C:$C,1)</f>
        <v>1</v>
      </c>
      <c r="T108" s="7">
        <f>_xlfn.XLOOKUP(B108,[1]TeethAdjusters!$A:$A,[1]TeethAdjusters!$B:$B,1)</f>
        <v>1</v>
      </c>
      <c r="U108" s="7" t="s">
        <v>45</v>
      </c>
      <c r="V108" s="7">
        <v>6</v>
      </c>
      <c r="W108" s="7" t="s">
        <v>45</v>
      </c>
      <c r="X108" s="7" t="s">
        <v>932</v>
      </c>
      <c r="Y108" s="4" t="s">
        <v>53</v>
      </c>
      <c r="Z108" s="4">
        <v>1</v>
      </c>
      <c r="AA108" s="4">
        <v>0</v>
      </c>
      <c r="AB108" s="4">
        <v>0</v>
      </c>
      <c r="AC108" s="4">
        <v>0</v>
      </c>
      <c r="AD108" s="4">
        <v>0</v>
      </c>
      <c r="AE108" s="4" t="s">
        <v>1046</v>
      </c>
      <c r="AF108" s="4" t="s">
        <v>45</v>
      </c>
      <c r="AG108" s="49" t="s">
        <v>1712</v>
      </c>
      <c r="AH108" s="4" t="str">
        <f>Animals!$C$105</f>
        <v>&lt;li&gt;Megaspider&lt;/li&gt;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4" t="s">
        <v>40</v>
      </c>
      <c r="AO108" s="8">
        <f t="shared" si="34"/>
        <v>7780.2307188855666</v>
      </c>
      <c r="AP108" s="8">
        <f>IFERROR(C108*_xlfn.XLOOKUP(E108,Groups!A:A,Groups!K:K),0.106*C108^0.94)</f>
        <v>6.4</v>
      </c>
      <c r="AQ108" s="8">
        <f>AP108*10000/(_xlfn.XLOOKUP(E108,Groups!A:A,Groups!J:J)*AO108)</f>
        <v>6.8549809459857185</v>
      </c>
      <c r="AR108" s="8">
        <f t="shared" si="35"/>
        <v>683.0001310678939</v>
      </c>
      <c r="AS108" s="8">
        <f>IF(_xlfn.XLOOKUP(E108,Groups!A:A,Groups!M:M)=1,EXP(0.7444*LN('Base stats'!C108)+6.5696),EXP(0.7927*LN('Base stats'!C108)+4.28))</f>
        <v>6631.7440602643219</v>
      </c>
      <c r="AT108" s="8">
        <f>IF(_xlfn.XLOOKUP(E108,Groups!A:A,Groups!N:N)="No","No",
IF(_xlfn.XLOOKUP(E108,Groups!A:A,Groups!N:N)="Crocodile",EXP(0.8129*LN(C108)+4.6742)*S108,
IF(_xlfn.XLOOKUP(E108,Groups!A:A,Groups!N:N)="Felid",EXP(0.7843*LN(C108)+4.7073)*S108,
IF(_xlfn.XLOOKUP(E108,Groups!A:A,Groups!N:N)="Canid",EXP(0.8367*LN(C108)+4.8763)*S108,
IF(_xlfn.XLOOKUP(E108,Groups!A:A,Groups!N:N)="Pig",EXP(0.3439*LN(C108)+6.8519)*S108,
IF(_xlfn.XLOOKUP(E108,Groups!A:A,Groups!N:N)="Rodent",EXP(0.5625*LN(C108)+4.3006)*S108,
IF(_xlfn.XLOOKUP(E108,Groups!A:A,Groups!N:N)="Primate",EXP(0.7847*LN(C108)+3.4931)*S108,
IF(_xlfn.XLOOKUP(E108,Groups!A:A,Groups!N:N)="MiscCarnivora",EXP(0.7486*LN(C108)+4.2207)*S108,
IF(_xlfn.XLOOKUP(E108,Groups!A:A,Groups!N:N)="Lizard",EXP(0.7733*LN(C108)+5.5303)*S108,
IF(_xlfn.XLOOKUP(E108,Groups!A:A,Groups!N:N)="Snake",50*C108^(2/3)*S108,
IF(_xlfn.XLOOKUP(E108,Groups!A:A,Groups!N:N)="StrongBitingHerbivore",87.1133638856975*C108^(2/3)*S108,
IF(_xlfn.XLOOKUP(E108,Groups!A:A,Groups!N:N)="MiscEctotherms",59.4316884072269*C108^(2/3)*S108,
IF(_xlfn.XLOOKUP(E108,Groups!A:A,Groups!N:N)="StrongBeakBird",0.041*(C108*1000)^1.375*S108,
IF(_xlfn.XLOOKUP(E108,Groups!A:A,Groups!N:N)="Bird",0.118*(C108*1000)^0.692*S108,
IF(_xlfn.XLOOKUP(E108,Groups!A:A,Groups!N:N)="Insect",EXP(0.7444*LN(C108)+6.5696)*S108,
IF(_xlfn.XLOOKUP(E108,Groups!A:A,Groups!N:N)="Theropod",EXP(0.6966*LN(C108)+4.158)*S108,
"No"))))))))))))))))</f>
        <v>6631.7440602643219</v>
      </c>
      <c r="AU108" s="8">
        <f>IF(_xlfn.XLOOKUP(E108,Groups!A:A,Groups!U:U)=3,AS108,IF(_xlfn.XLOOKUP(E108,Groups!A:A,Groups!U:U)=2,AR108,AT108))</f>
        <v>6631.7440602643219</v>
      </c>
      <c r="AV108" s="46">
        <f>IFERROR(AVERAGE(_xlfn.XLOOKUP(B108,Animals!B:B,Animals!N:N),_xlfn.XLOOKUP(B108,Animals!B:B,Animals!O:O)),0)</f>
        <v>0.25</v>
      </c>
      <c r="AW108" s="8">
        <f>MROUND(40*Animals!AO108*_xlfn.XLOOKUP(AG108,Leathers!$A$2:$A$99,Leathers!$B$2:$B$99,0)+(140*_xlfn.XLOOKUP(B108,Animals!B:B,Animals!AO:AO)*2),5)</f>
        <v>155</v>
      </c>
      <c r="AX108" s="8">
        <f>IFERROR(ROUND(SQRT(V108-1)*IF(_xlfn.XLOOKUP(E108,Groups!A:A,Groups!BF:BF)=0,2,1)*IF(_xlfn.XLOOKUP('Base stats'!E108,Groups!A:A,Groups!O:O)=0,1,0.1),1),0)</f>
        <v>4.5</v>
      </c>
      <c r="AY108" s="8">
        <f t="shared" si="36"/>
        <v>0</v>
      </c>
      <c r="AZ108" s="8">
        <f t="shared" si="37"/>
        <v>0</v>
      </c>
      <c r="BA108" s="8">
        <f t="shared" si="38"/>
        <v>2.2999999999999998</v>
      </c>
      <c r="BB108" s="8">
        <f>IF(_xlfn.XLOOKUP(E108,Groups!A:A,Groups!N:N)="Insect",BD108*2.5,IFERROR(AVERAGE(BD108,AT108/9.81/IF(OR(_xlfn.XLOOKUP(E108,Groups!A:A,Groups!N:N)="Pig",_xlfn.XLOOKUP(E108,Groups!A:A,Groups!N:N)="StrongBitingHerbivore"),20,25))*C108^-0.135,BD108))</f>
        <v>1.1813592933442334</v>
      </c>
      <c r="BC108" s="8" t="str">
        <f>IF(W108="No","No",IF(_xlfn.XLOOKUP(E108,Groups!A:A,Groups!U:U)=1,'Base stats'!BB108,IF(OR(_xlfn.XLOOKUP(E108,Groups!A:A,Groups!BD:BD)=1,_xlfn.XLOOKUP(E108,Groups!A:A,Groups!U:U)=2),BD108,IF(_xlfn.XLOOKUP(B108,Animals!B:B,Animals!AO:AO)&gt;4,AVERAGE(BD108,BF108),BF108))))</f>
        <v>No</v>
      </c>
      <c r="BD108" s="8">
        <f t="shared" si="39"/>
        <v>0.4725437173376934</v>
      </c>
      <c r="BE108" s="8">
        <f>IF(_xlfn.XLOOKUP(E108,Groups!A:A,Groups!BE:BE)=1,(0.048*C108^1.01)+(0.071*C108^1.03),0.071*C108^1.03)/IF(_xlfn.XLOOKUP(E108,Groups!A:A,Groups!M:M)=1,0.85,IF(OR(_xlfn.XLOOKUP(B108,Animals!B:B,Animals!AO:AO)&gt;4,_xlfn.XLOOKUP(E108,Groups!A:A,Groups!BC:BC)=1),1.7,1))*C108^-0.25</f>
        <v>0.8642568285608353</v>
      </c>
      <c r="BF108" s="8">
        <f>(0.048*C108^1.01)/IF(_xlfn.XLOOKUP(E108,Groups!A:A,Groups!M:M)=1,0.25,0.8)*C108^-0.25</f>
        <v>1.8710441068278683</v>
      </c>
      <c r="BG108" s="8">
        <f>EXP(1.076*LN(AR108)-4.5397)*IF(_xlfn.XLOOKUP(E108,Groups!A:A,Groups!BC:BC)=1,1.25,IF(_xlfn.XLOOKUP(E108,Groups!A:A,Groups!BD:BD)=1,3.5,2.5))</f>
        <v>14.968563372073916</v>
      </c>
      <c r="BH108" s="8">
        <f>EXP(1.076*LN(AS108)-4.5397)*IF(_xlfn.XLOOKUP(E108,Groups!A:A,Groups!M:M)=1,0.8,IF(_xlfn.XLOOKUP(E108,Groups!A:A,Groups!BC:BC)=1,1.3,3))</f>
        <v>110.55917622459702</v>
      </c>
      <c r="BI108" s="8" t="str">
        <f>IF(W108="No","No",IF(_xlfn.XLOOKUP(E108,Groups!A:A,Groups!U:U)=1,'Base stats'!BJ108,IF(OR(_xlfn.XLOOKUP(E108,Groups!A:A,Groups!BD:BD)=1,_xlfn.XLOOKUP(E108,Groups!A:A,Groups!U:U)=2),BG108,BH108))*1.2)</f>
        <v>No</v>
      </c>
      <c r="BJ108" s="8">
        <f>IFERROR(EXP(1.076*LN(AT108)-4.5397)*IF(_xlfn.XLOOKUP(E108,Groups!A:A,Groups!N:N)="Insect",1,IF(OR(_xlfn.XLOOKUP(E108,Groups!A:A,Groups!N:N)="Pig",_xlfn.XLOOKUP(E108,Groups!A:A,Groups!N:N)="StrongBitingHerbivore"),3.5,3.75)),"No")</f>
        <v>138.19897028074627</v>
      </c>
      <c r="BK108" s="8">
        <f t="shared" si="40"/>
        <v>7</v>
      </c>
      <c r="BL108" s="8">
        <f t="shared" si="41"/>
        <v>15</v>
      </c>
      <c r="BM108" s="8" t="str">
        <f t="shared" si="42"/>
        <v>No</v>
      </c>
      <c r="BN108" s="8">
        <f t="shared" si="43"/>
        <v>15</v>
      </c>
      <c r="BO108" s="8">
        <f t="shared" si="44"/>
        <v>10</v>
      </c>
      <c r="BP108" s="8" t="str" cm="1">
        <f t="array" ref="BP108">IF(AND(_xlfn.XLOOKUP('Base stats'!E108,Groups!A:A,Groups!AD:AD=0),_xlfn.XLOOKUP('Base stats'!E108,Groups!A:A,Groups!P:P=0)),"No",IF(U108="No",AVERAGE(EXP(-0.57+0.99*LN(C108)),EXP(0.32+0.67*LN(C108)))/IF(_xlfn.XLOOKUP(E108,Groups!A:A,Groups!AD:AD)=1,10,2),(0.7354*C108^0.4078)*2/IF(_xlfn.XLOOKUP(E108,Groups!A:A,Groups!BK:BK)=1,1000,100)/IF(_xlfn.XLOOKUP(E108,Groups!A:A,Groups!AJ:AJ)="Photonozoa",3,1)))</f>
        <v>No</v>
      </c>
      <c r="BQ108" s="8" t="str">
        <f>IF(W108="No","No",IF(_xlfn.XLOOKUP(E108,Groups!A:A,Groups!BD:BD)=1,(AO108*5%),EXP(0.7354*LN(C108)^0.4078)*2/IF(_xlfn.XLOOKUP(E108,Groups!A:A,Groups!BL:BL)=1,1000,100)/IF(_xlfn.XLOOKUP(E108,Groups!A:A,Groups!AJ:AJ)="Photonozoa",3,1)))</f>
        <v>No</v>
      </c>
      <c r="BR108" s="8">
        <f>IF(BJ108="No","No",IF(_xlfn.XLOOKUP(E108,Groups!A:A,Groups!BF:BF)=1,(0.0315*C108+2.1825)*2,(0.7354*C108^0.4078)*2)/IF(_xlfn.XLOOKUP(E108,Groups!A:A,Groups!BM:BM)=1,1000,100)/IF(_xlfn.XLOOKUP(E108,Groups!A:A,Groups!AJ:AJ)="Photonozoa",3,1))</f>
        <v>4.9901506096388083E-2</v>
      </c>
      <c r="BS108" s="8">
        <f t="shared" si="45"/>
        <v>3.8478456264129914E-2</v>
      </c>
      <c r="BT108" s="8" t="str">
        <f t="shared" si="46"/>
        <v>No</v>
      </c>
      <c r="BU108" s="8" t="str">
        <f t="shared" si="47"/>
        <v>No</v>
      </c>
      <c r="BV108" s="8">
        <f t="shared" si="48"/>
        <v>2769.4348546075094</v>
      </c>
      <c r="BW108" s="4">
        <v>0</v>
      </c>
      <c r="BX108" s="4">
        <v>1</v>
      </c>
    </row>
    <row r="109" spans="1:76" x14ac:dyDescent="0.25">
      <c r="A109" s="26" t="s">
        <v>64</v>
      </c>
      <c r="B109" s="6" t="s">
        <v>914</v>
      </c>
      <c r="C109" s="7">
        <v>13.25</v>
      </c>
      <c r="D109" s="7" t="s">
        <v>582</v>
      </c>
      <c r="E109" s="7" t="str">
        <f>Groups!$A$15</f>
        <v>Doglike (CANID)</v>
      </c>
      <c r="F109" s="7">
        <v>63</v>
      </c>
      <c r="G109" s="7">
        <f>274 /365</f>
        <v>0.75068493150684934</v>
      </c>
      <c r="H109" s="7">
        <v>21.8</v>
      </c>
      <c r="I109" s="4">
        <v>0</v>
      </c>
      <c r="J109" s="7">
        <v>6</v>
      </c>
      <c r="K109" s="7" t="s">
        <v>582</v>
      </c>
      <c r="L109" s="7">
        <v>65</v>
      </c>
      <c r="M109" s="7" t="s">
        <v>626</v>
      </c>
      <c r="N109" s="4">
        <v>0</v>
      </c>
      <c r="O109" s="4">
        <v>0</v>
      </c>
      <c r="P109" s="4">
        <v>0</v>
      </c>
      <c r="Q109" s="4">
        <v>0</v>
      </c>
      <c r="R109" s="4" t="s">
        <v>40</v>
      </c>
      <c r="S109" s="7">
        <f>_xlfn.XLOOKUP(B109,[1]TeethAdjusters!$A:$A,[1]BiteAdjusters!$C:$C,1)</f>
        <v>0.71451147426394657</v>
      </c>
      <c r="T109" s="7">
        <f>_xlfn.XLOOKUP(B109,[1]TeethAdjusters!$A:$A,[1]TeethAdjusters!$B:$B,1)</f>
        <v>1.1410682230934119</v>
      </c>
      <c r="U109" s="7" t="s">
        <v>45</v>
      </c>
      <c r="V109" s="7">
        <f>IF(AT109="No","No",IF(_xlfn.XLOOKUP(E109,Groups!A:A,Groups!AM:AM)=1,MROUND(EXP(0.3582*LN(C109)-0.2221)*T109,0.05),IF(_xlfn.XLOOKUP(E109,Groups!A:A,Groups!AM:AM)=2,MROUND(EXP(0.3582*LN(C109)-0.2221)*T109,0.05),"Need a formula")))</f>
        <v>2.3000000000000003</v>
      </c>
      <c r="W109" s="7" t="s">
        <v>45</v>
      </c>
      <c r="X109" s="7" t="s">
        <v>932</v>
      </c>
      <c r="Y109" s="4" t="s">
        <v>56</v>
      </c>
      <c r="Z109" s="4">
        <v>1</v>
      </c>
      <c r="AA109" s="4">
        <v>0</v>
      </c>
      <c r="AB109" s="4">
        <v>0</v>
      </c>
      <c r="AC109" s="4">
        <v>0</v>
      </c>
      <c r="AD109" s="4">
        <v>0</v>
      </c>
      <c r="AE109" s="4" t="s">
        <v>45</v>
      </c>
      <c r="AF109" s="4" t="s">
        <v>311</v>
      </c>
      <c r="AG109" s="49" t="s">
        <v>396</v>
      </c>
      <c r="AH109" s="4" t="str">
        <f>Animals!$C$56</f>
        <v>&lt;li&gt;Wolf_Timber&lt;/li&gt;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4" t="s">
        <v>40</v>
      </c>
      <c r="AO109" s="8">
        <f t="shared" si="34"/>
        <v>5953.3758261455168</v>
      </c>
      <c r="AP109" s="8">
        <f>IFERROR(C109*_xlfn.XLOOKUP(E109,Groups!A:A,Groups!K:K),0.106*C109^0.94)</f>
        <v>1.6529374999999999</v>
      </c>
      <c r="AQ109" s="8">
        <f>AP109*10000/(_xlfn.XLOOKUP(E109,Groups!A:A,Groups!J:J)*AO109)</f>
        <v>2.5472210495405099</v>
      </c>
      <c r="AR109" s="8">
        <f t="shared" si="35"/>
        <v>482.36579284271642</v>
      </c>
      <c r="AS109" s="8">
        <f>IF(_xlfn.XLOOKUP(E109,Groups!A:A,Groups!M:M)=1,EXP(0.7444*LN('Base stats'!C109)+6.5696),EXP(0.7927*LN('Base stats'!C109)+4.28))</f>
        <v>560.22296698291473</v>
      </c>
      <c r="AT109" s="8">
        <f>IF(_xlfn.XLOOKUP(E109,Groups!A:A,Groups!N:N)="No","No",
IF(_xlfn.XLOOKUP(E109,Groups!A:A,Groups!N:N)="Crocodile",EXP(0.8129*LN(C109)+4.6742)*S109,
IF(_xlfn.XLOOKUP(E109,Groups!A:A,Groups!N:N)="Felid",EXP(0.7843*LN(C109)+4.7073)*S109,
IF(_xlfn.XLOOKUP(E109,Groups!A:A,Groups!N:N)="Canid",EXP(0.8367*LN(C109)+4.8763)*S109,
IF(_xlfn.XLOOKUP(E109,Groups!A:A,Groups!N:N)="Pig",EXP(0.3439*LN(C109)+6.8519)*S109,
IF(_xlfn.XLOOKUP(E109,Groups!A:A,Groups!N:N)="Rodent",EXP(0.5625*LN(C109)+4.3006)*S109,
IF(_xlfn.XLOOKUP(E109,Groups!A:A,Groups!N:N)="Primate",EXP(0.7847*LN(C109)+3.4931)*S109,
IF(_xlfn.XLOOKUP(E109,Groups!A:A,Groups!N:N)="MiscCarnivora",EXP(0.7486*LN(C109)+4.2207)*S109,
IF(_xlfn.XLOOKUP(E109,Groups!A:A,Groups!N:N)="Lizard",EXP(0.7733*LN(C109)+5.5303)*S109,
IF(_xlfn.XLOOKUP(E109,Groups!A:A,Groups!N:N)="Snake",50*C109^(2/3)*S109,
IF(_xlfn.XLOOKUP(E109,Groups!A:A,Groups!N:N)="StrongBitingHerbivore",87.1133638856975*C109^(2/3)*S109,
IF(_xlfn.XLOOKUP(E109,Groups!A:A,Groups!N:N)="MiscEctotherms",59.4316884072269*C109^(2/3)*S109,
IF(_xlfn.XLOOKUP(E109,Groups!A:A,Groups!N:N)="StrongBeakBird",0.041*(C109*1000)^1.375*S109,
IF(_xlfn.XLOOKUP(E109,Groups!A:A,Groups!N:N)="Bird",0.118*(C109*1000)^0.692*S109,
IF(_xlfn.XLOOKUP(E109,Groups!A:A,Groups!N:N)="Insect",EXP(0.7444*LN(C109)+6.5696)*S109,
IF(_xlfn.XLOOKUP(E109,Groups!A:A,Groups!N:N)="Theropod",EXP(0.6966*LN(C109)+4.158)*S109,
"No"))))))))))))))))</f>
        <v>814.17434778069526</v>
      </c>
      <c r="AU109" s="8">
        <f>IF(_xlfn.XLOOKUP(E109,Groups!A:A,Groups!U:U)=3,AS109,IF(_xlfn.XLOOKUP(E109,Groups!A:A,Groups!U:U)=2,AR109,AT109))</f>
        <v>814.17434778069526</v>
      </c>
      <c r="AV109" s="46">
        <f>IFERROR(AVERAGE(_xlfn.XLOOKUP(B109,Animals!B:B,Animals!N:N),_xlfn.XLOOKUP(B109,Animals!B:B,Animals!O:O)),0)</f>
        <v>0</v>
      </c>
      <c r="AW109" s="8">
        <f>MROUND(40*Animals!AO109*_xlfn.XLOOKUP(AG109,Leathers!$A$2:$A$99,Leathers!$B$2:$B$99,0)+(140*_xlfn.XLOOKUP(B109,Animals!B:B,Animals!AO:AO)*2),5)</f>
        <v>200</v>
      </c>
      <c r="AX109" s="8">
        <f>IFERROR(ROUND(SQRT(V109-1)*IF(_xlfn.XLOOKUP(E109,Groups!A:A,Groups!BF:BF)=0,2,1)*IF(_xlfn.XLOOKUP('Base stats'!E109,Groups!A:A,Groups!O:O)=0,1,0.1),1),0)</f>
        <v>2.2999999999999998</v>
      </c>
      <c r="AY109" s="8">
        <f t="shared" si="36"/>
        <v>0</v>
      </c>
      <c r="AZ109" s="8">
        <f t="shared" si="37"/>
        <v>0</v>
      </c>
      <c r="BA109" s="8">
        <f t="shared" si="38"/>
        <v>1.9</v>
      </c>
      <c r="BB109" s="8">
        <f>IF(_xlfn.XLOOKUP(E109,Groups!A:A,Groups!N:N)="Insect",BD109*2.5,IFERROR(AVERAGE(BD109,AT109/9.81/IF(OR(_xlfn.XLOOKUP(E109,Groups!A:A,Groups!N:N)="Pig",_xlfn.XLOOKUP(E109,Groups!A:A,Groups!N:N)="StrongBitingHerbivore"),20,25))*C109^-0.135,BD109))</f>
        <v>1.2894512039154595</v>
      </c>
      <c r="BC109" s="8" t="str">
        <f>IF(W109="No","No",IF(_xlfn.XLOOKUP(E109,Groups!A:A,Groups!U:U)=1,'Base stats'!BB109,IF(OR(_xlfn.XLOOKUP(E109,Groups!A:A,Groups!BD:BD)=1,_xlfn.XLOOKUP(E109,Groups!A:A,Groups!U:U)=2),BD109,IF(_xlfn.XLOOKUP(B109,Animals!B:B,Animals!AO:AO)&gt;4,AVERAGE(BD109,BF109),BF109))))</f>
        <v>No</v>
      </c>
      <c r="BD109" s="8">
        <f t="shared" si="39"/>
        <v>0.33561971314389133</v>
      </c>
      <c r="BE109" s="8">
        <f>IF(_xlfn.XLOOKUP(E109,Groups!A:A,Groups!BE:BE)=1,(0.048*C109^1.01)+(0.071*C109^1.03),0.071*C109^1.03)/IF(_xlfn.XLOOKUP(E109,Groups!A:A,Groups!M:M)=1,0.85,IF(OR(_xlfn.XLOOKUP(B109,Animals!B:B,Animals!AO:AO)&gt;4,_xlfn.XLOOKUP(E109,Groups!A:A,Groups!BC:BC)=1),1.7,1))*C109^-0.25</f>
        <v>0.53282762571007336</v>
      </c>
      <c r="BF109" s="8">
        <f>(0.048*C109^1.01)/IF(_xlfn.XLOOKUP(E109,Groups!A:A,Groups!M:M)=1,0.25,0.8)*C109^-0.25</f>
        <v>0.42759765800687999</v>
      </c>
      <c r="BG109" s="8">
        <f>EXP(1.076*LN(AR109)-4.5397)*IF(_xlfn.XLOOKUP(E109,Groups!A:A,Groups!BC:BC)=1,1.25,IF(_xlfn.XLOOKUP(E109,Groups!A:A,Groups!BD:BD)=1,3.5,2.5))</f>
        <v>20.591427987572672</v>
      </c>
      <c r="BH109" s="8">
        <f>EXP(1.076*LN(AS109)-4.5397)*IF(_xlfn.XLOOKUP(E109,Groups!A:A,Groups!M:M)=1,0.8,IF(_xlfn.XLOOKUP(E109,Groups!A:A,Groups!BC:BC)=1,1.3,3))</f>
        <v>29.026250140724073</v>
      </c>
      <c r="BI109" s="8" t="str">
        <f>IF(W109="No","No",IF(_xlfn.XLOOKUP(E109,Groups!A:A,Groups!U:U)=1,'Base stats'!BJ109,IF(OR(_xlfn.XLOOKUP(E109,Groups!A:A,Groups!BD:BD)=1,_xlfn.XLOOKUP(E109,Groups!A:A,Groups!U:U)=2),BG109,BH109))*1.2)</f>
        <v>No</v>
      </c>
      <c r="BJ109" s="8">
        <f>IFERROR(EXP(1.076*LN(AT109)-4.5397)*IF(_xlfn.XLOOKUP(E109,Groups!A:A,Groups!N:N)="Insect",1,IF(OR(_xlfn.XLOOKUP(E109,Groups!A:A,Groups!N:N)="Pig",_xlfn.XLOOKUP(E109,Groups!A:A,Groups!N:N)="StrongBitingHerbivore"),3.5,3.75)),"No")</f>
        <v>54.249600793987327</v>
      </c>
      <c r="BK109" s="8">
        <f t="shared" si="40"/>
        <v>11</v>
      </c>
      <c r="BL109" s="8">
        <f t="shared" si="41"/>
        <v>10</v>
      </c>
      <c r="BM109" s="8" t="str">
        <f t="shared" si="42"/>
        <v>No</v>
      </c>
      <c r="BN109" s="8">
        <f t="shared" si="43"/>
        <v>9</v>
      </c>
      <c r="BO109" s="8">
        <f t="shared" si="44"/>
        <v>11</v>
      </c>
      <c r="BP109" s="8" t="str" cm="1">
        <f t="array" ref="BP109">IF(AND(_xlfn.XLOOKUP('Base stats'!E109,Groups!A:A,Groups!AD:AD=0),_xlfn.XLOOKUP('Base stats'!E109,Groups!A:A,Groups!P:P=0)),"No",IF(U109="No",AVERAGE(EXP(-0.57+0.99*LN(C109)),EXP(0.32+0.67*LN(C109)))/IF(_xlfn.XLOOKUP(E109,Groups!A:A,Groups!AD:AD)=1,10,2),(0.7354*C109^0.4078)*2/IF(_xlfn.XLOOKUP(E109,Groups!A:A,Groups!BK:BK)=1,1000,100)/IF(_xlfn.XLOOKUP(E109,Groups!A:A,Groups!AJ:AJ)="Photonozoa",3,1)))</f>
        <v>No</v>
      </c>
      <c r="BQ109" s="8" t="str">
        <f>IF(W109="No","No",IF(_xlfn.XLOOKUP(E109,Groups!A:A,Groups!BD:BD)=1,(AO109*5%),EXP(0.7354*LN(C109)^0.4078)*2/IF(_xlfn.XLOOKUP(E109,Groups!A:A,Groups!BL:BL)=1,1000,100)/IF(_xlfn.XLOOKUP(E109,Groups!A:A,Groups!AJ:AJ)="Photonozoa",3,1)))</f>
        <v>No</v>
      </c>
      <c r="BR109" s="8">
        <f>IF(BJ109="No","No",IF(_xlfn.XLOOKUP(E109,Groups!A:A,Groups!BF:BF)=1,(0.0315*C109+2.1825)*2,(0.7354*C109^0.4078)*2)/IF(_xlfn.XLOOKUP(E109,Groups!A:A,Groups!BM:BM)=1,1000,100)/IF(_xlfn.XLOOKUP(E109,Groups!A:A,Groups!AJ:AJ)="Photonozoa",3,1))</f>
        <v>4.2188419557802559E-2</v>
      </c>
      <c r="BS109" s="8">
        <f t="shared" si="45"/>
        <v>6.9175636105958685E-2</v>
      </c>
      <c r="BT109" s="8" t="str">
        <f t="shared" si="46"/>
        <v>No</v>
      </c>
      <c r="BU109" s="8" t="str">
        <f t="shared" si="47"/>
        <v>No</v>
      </c>
      <c r="BV109" s="8">
        <f t="shared" si="48"/>
        <v>1285.8884348502243</v>
      </c>
      <c r="BW109" s="4">
        <v>0</v>
      </c>
      <c r="BX109" s="4">
        <v>1</v>
      </c>
    </row>
    <row r="110" spans="1:76" x14ac:dyDescent="0.25">
      <c r="A110" s="26" t="s">
        <v>135</v>
      </c>
      <c r="B110" s="6" t="s">
        <v>136</v>
      </c>
      <c r="C110" s="7">
        <f>AVERAGE(828,1192)</f>
        <v>1010</v>
      </c>
      <c r="D110" s="7" t="s">
        <v>1256</v>
      </c>
      <c r="E110" s="7" t="str">
        <f>Groups!$A$56</f>
        <v>Giraffe</v>
      </c>
      <c r="F110" s="7">
        <v>457</v>
      </c>
      <c r="G110" s="7">
        <f>1278 /365</f>
        <v>3.5013698630136987</v>
      </c>
      <c r="H110" s="7">
        <v>39.5</v>
      </c>
      <c r="I110" s="4">
        <v>0</v>
      </c>
      <c r="J110" s="7">
        <v>1</v>
      </c>
      <c r="K110" s="7" t="s">
        <v>583</v>
      </c>
      <c r="L110" s="7">
        <v>60</v>
      </c>
      <c r="M110" s="7" t="s">
        <v>626</v>
      </c>
      <c r="N110" s="4">
        <v>0</v>
      </c>
      <c r="O110" s="4">
        <v>0</v>
      </c>
      <c r="P110" s="4">
        <v>0</v>
      </c>
      <c r="Q110" s="4">
        <v>0</v>
      </c>
      <c r="R110" s="4" t="s">
        <v>40</v>
      </c>
      <c r="S110" s="7">
        <f>_xlfn.XLOOKUP(B110,[1]TeethAdjusters!$A:$A,[1]BiteAdjusters!$C:$C,1)</f>
        <v>1</v>
      </c>
      <c r="T110" s="7">
        <f>_xlfn.XLOOKUP(B110,[1]TeethAdjusters!$A:$A,[1]TeethAdjusters!$B:$B,1)</f>
        <v>1</v>
      </c>
      <c r="U110" s="7" t="s">
        <v>45</v>
      </c>
      <c r="V110" s="7" t="str">
        <f>IF(AT110="No","No",IF(_xlfn.XLOOKUP(E110,Groups!A:A,Groups!AM:AM)=1,MROUND(EXP(0.3582*LN(C110)-0.2221)*T110,0.05),IF(_xlfn.XLOOKUP(E110,Groups!A:A,Groups!AM:AM)=2,MROUND(EXP(0.3582*LN(C110)-0.2221)*T110,0.05),"Need a formula")))</f>
        <v>No</v>
      </c>
      <c r="W110" s="7" t="s">
        <v>45</v>
      </c>
      <c r="X110" s="7" t="s">
        <v>932</v>
      </c>
      <c r="Y110" s="4" t="s">
        <v>42</v>
      </c>
      <c r="Z110" s="4">
        <v>1</v>
      </c>
      <c r="AA110" s="4">
        <v>0</v>
      </c>
      <c r="AB110" s="4">
        <v>0</v>
      </c>
      <c r="AC110" s="4">
        <v>0</v>
      </c>
      <c r="AD110" s="4">
        <v>0</v>
      </c>
      <c r="AE110" s="4" t="s">
        <v>45</v>
      </c>
      <c r="AF110" s="4" t="s">
        <v>311</v>
      </c>
      <c r="AG110" s="49" t="s">
        <v>392</v>
      </c>
      <c r="AH110" s="4" t="s">
        <v>45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4" t="s">
        <v>40</v>
      </c>
      <c r="AO110" s="8">
        <f t="shared" si="34"/>
        <v>99570.771403361592</v>
      </c>
      <c r="AP110" s="8">
        <f>IFERROR(C110*_xlfn.XLOOKUP(E110,Groups!A:A,Groups!K:K),0.106*C110^0.94)</f>
        <v>70.691623640156394</v>
      </c>
      <c r="AQ110" s="8">
        <f>AP110*10000/(_xlfn.XLOOKUP(E110,Groups!A:A,Groups!J:J)*AO110)</f>
        <v>6.5134275524061964</v>
      </c>
      <c r="AR110" s="8">
        <f t="shared" si="35"/>
        <v>18758.193612802883</v>
      </c>
      <c r="AS110" s="8">
        <f>IF(_xlfn.XLOOKUP(E110,Groups!A:A,Groups!M:M)=1,EXP(0.7444*LN('Base stats'!C110)+6.5696),EXP(0.7927*LN('Base stats'!C110)+4.28))</f>
        <v>17390.254410050497</v>
      </c>
      <c r="AT110" s="8" t="str">
        <f>IF(_xlfn.XLOOKUP(E110,Groups!A:A,Groups!N:N)="No","No",
IF(_xlfn.XLOOKUP(E110,Groups!A:A,Groups!N:N)="Crocodile",EXP(0.8129*LN(C110)+4.6742)*S110,
IF(_xlfn.XLOOKUP(E110,Groups!A:A,Groups!N:N)="Felid",EXP(0.7843*LN(C110)+4.7073)*S110,
IF(_xlfn.XLOOKUP(E110,Groups!A:A,Groups!N:N)="Canid",EXP(0.8367*LN(C110)+4.8763)*S110,
IF(_xlfn.XLOOKUP(E110,Groups!A:A,Groups!N:N)="Pig",EXP(0.3439*LN(C110)+6.8519)*S110,
IF(_xlfn.XLOOKUP(E110,Groups!A:A,Groups!N:N)="Rodent",EXP(0.5625*LN(C110)+4.3006)*S110,
IF(_xlfn.XLOOKUP(E110,Groups!A:A,Groups!N:N)="Primate",EXP(0.7847*LN(C110)+3.4931)*S110,
IF(_xlfn.XLOOKUP(E110,Groups!A:A,Groups!N:N)="MiscCarnivora",EXP(0.7486*LN(C110)+4.2207)*S110,
IF(_xlfn.XLOOKUP(E110,Groups!A:A,Groups!N:N)="Lizard",EXP(0.7733*LN(C110)+5.5303)*S110,
IF(_xlfn.XLOOKUP(E110,Groups!A:A,Groups!N:N)="Snake",50*C110^(2/3)*S110,
IF(_xlfn.XLOOKUP(E110,Groups!A:A,Groups!N:N)="StrongBitingHerbivore",87.1133638856975*C110^(2/3)*S110,
IF(_xlfn.XLOOKUP(E110,Groups!A:A,Groups!N:N)="MiscEctotherms",59.4316884072269*C110^(2/3)*S110,
IF(_xlfn.XLOOKUP(E110,Groups!A:A,Groups!N:N)="StrongBeakBird",0.041*(C110*1000)^1.375*S110,
IF(_xlfn.XLOOKUP(E110,Groups!A:A,Groups!N:N)="Bird",0.118*(C110*1000)^0.692*S110,
IF(_xlfn.XLOOKUP(E110,Groups!A:A,Groups!N:N)="Insect",EXP(0.7444*LN(C110)+6.5696)*S110,
IF(_xlfn.XLOOKUP(E110,Groups!A:A,Groups!N:N)="Theropod",EXP(0.6966*LN(C110)+4.158)*S110,
"No"))))))))))))))))</f>
        <v>No</v>
      </c>
      <c r="AU110" s="8" t="str">
        <f>IF(_xlfn.XLOOKUP(E110,Groups!A:A,Groups!U:U)=3,AS110,IF(_xlfn.XLOOKUP(E110,Groups!A:A,Groups!U:U)=2,AR110,AT110))</f>
        <v>No</v>
      </c>
      <c r="AV110" s="46">
        <f>IFERROR(AVERAGE(_xlfn.XLOOKUP(B110,Animals!B:B,Animals!N:N),_xlfn.XLOOKUP(B110,Animals!B:B,Animals!O:O)),0)</f>
        <v>0</v>
      </c>
      <c r="AW110" s="8">
        <f>MROUND(40*Animals!AO110*_xlfn.XLOOKUP(AG110,Leathers!$A$2:$A$99,Leathers!$B$2:$B$99,0)+(140*_xlfn.XLOOKUP(B110,Animals!B:B,Animals!AO:AO)*2),5)</f>
        <v>1275</v>
      </c>
      <c r="AX110" s="8">
        <f>IFERROR(ROUND(SQRT(V110-1)*IF(_xlfn.XLOOKUP(E110,Groups!A:A,Groups!BF:BF)=0,2,1)*IF(_xlfn.XLOOKUP('Base stats'!E110,Groups!A:A,Groups!O:O)=0,1,0.1),1),0)</f>
        <v>0</v>
      </c>
      <c r="AY110" s="8">
        <f t="shared" si="36"/>
        <v>0</v>
      </c>
      <c r="AZ110" s="8">
        <f t="shared" si="37"/>
        <v>0</v>
      </c>
      <c r="BA110" s="8">
        <f t="shared" si="38"/>
        <v>9.5</v>
      </c>
      <c r="BB110" s="8">
        <f>IF(_xlfn.XLOOKUP(E110,Groups!A:A,Groups!N:N)="Insect",BD110*2.5,IFERROR(AVERAGE(BD110,AT110/9.81/IF(OR(_xlfn.XLOOKUP(E110,Groups!A:A,Groups!N:N)="Pig",_xlfn.XLOOKUP(E110,Groups!A:A,Groups!N:N)="StrongBitingHerbivore"),20,25))*C110^-0.135,BD110))</f>
        <v>7.2201194539052933</v>
      </c>
      <c r="BC110" s="8" t="str">
        <f>IF(W110="No","No",IF(_xlfn.XLOOKUP(E110,Groups!A:A,Groups!U:U)=1,'Base stats'!BB110,IF(OR(_xlfn.XLOOKUP(E110,Groups!A:A,Groups!BD:BD)=1,_xlfn.XLOOKUP(E110,Groups!A:A,Groups!U:U)=2),BD110,IF(_xlfn.XLOOKUP(B110,Animals!B:B,Animals!AO:AO)&gt;4,AVERAGE(BD110,BF110),BF110))))</f>
        <v>No</v>
      </c>
      <c r="BD110" s="8">
        <f t="shared" si="39"/>
        <v>7.2201194539052933</v>
      </c>
      <c r="BE110" s="8">
        <f>IF(_xlfn.XLOOKUP(E110,Groups!A:A,Groups!BE:BE)=1,(0.048*C110^1.01)+(0.071*C110^1.03),0.071*C110^1.03)/IF(_xlfn.XLOOKUP(E110,Groups!A:A,Groups!M:M)=1,0.85,IF(OR(_xlfn.XLOOKUP(B110,Animals!B:B,Animals!AO:AO)&gt;4,_xlfn.XLOOKUP(E110,Groups!A:A,Groups!BC:BC)=1),1.7,1))*C110^-0.25</f>
        <v>15.654133033705964</v>
      </c>
      <c r="BF110" s="8">
        <f>(0.048*C110^1.01)/IF(_xlfn.XLOOKUP(E110,Groups!A:A,Groups!M:M)=1,0.25,0.8)*C110^-0.25</f>
        <v>11.519549478279703</v>
      </c>
      <c r="BG110" s="8">
        <f>EXP(1.076*LN(AR110)-4.5397)*IF(_xlfn.XLOOKUP(E110,Groups!A:A,Groups!BC:BC)=1,1.25,IF(_xlfn.XLOOKUP(E110,Groups!A:A,Groups!BD:BD)=1,3.5,2.5))</f>
        <v>1057.6132433293185</v>
      </c>
      <c r="BH110" s="8">
        <f>EXP(1.076*LN(AS110)-4.5397)*IF(_xlfn.XLOOKUP(E110,Groups!A:A,Groups!M:M)=1,0.8,IF(_xlfn.XLOOKUP(E110,Groups!A:A,Groups!BC:BC)=1,1.3,3))</f>
        <v>1169.832767236893</v>
      </c>
      <c r="BI110" s="8" t="str">
        <f>IF(W110="No","No",IF(_xlfn.XLOOKUP(E110,Groups!A:A,Groups!U:U)=1,'Base stats'!BJ110,IF(OR(_xlfn.XLOOKUP(E110,Groups!A:A,Groups!BD:BD)=1,_xlfn.XLOOKUP(E110,Groups!A:A,Groups!U:U)=2),BG110,BH110))*1.2)</f>
        <v>No</v>
      </c>
      <c r="BJ110" s="8" t="str">
        <f>IFERROR(EXP(1.076*LN(AT110)-4.5397)*IF(_xlfn.XLOOKUP(E110,Groups!A:A,Groups!N:N)="Insect",1,IF(OR(_xlfn.XLOOKUP(E110,Groups!A:A,Groups!N:N)="Pig",_xlfn.XLOOKUP(E110,Groups!A:A,Groups!N:N)="StrongBitingHerbivore"),3.5,3.75)),"No")</f>
        <v>No</v>
      </c>
      <c r="BK110" s="8">
        <f t="shared" si="40"/>
        <v>17</v>
      </c>
      <c r="BL110" s="8">
        <f t="shared" si="41"/>
        <v>12</v>
      </c>
      <c r="BM110" s="8" t="str">
        <f t="shared" si="42"/>
        <v>No</v>
      </c>
      <c r="BN110" s="8" t="str">
        <f t="shared" si="43"/>
        <v>No</v>
      </c>
      <c r="BO110" s="8">
        <f t="shared" si="44"/>
        <v>14</v>
      </c>
      <c r="BP110" s="8" cm="1">
        <f t="array" ref="BP110">IF(AND(_xlfn.XLOOKUP('Base stats'!E110,Groups!A:A,Groups!AD:AD=0),_xlfn.XLOOKUP('Base stats'!E110,Groups!A:A,Groups!P:P=0)),"No",IF(U110="No",AVERAGE(EXP(-0.57+0.99*LN(C110)),EXP(0.32+0.67*LN(C110)))/IF(_xlfn.XLOOKUP(E110,Groups!A:A,Groups!AD:AD)=1,10,2),(0.7354*C110^0.4078)*2/IF(_xlfn.XLOOKUP(E110,Groups!A:A,Groups!BK:BK)=1,1000,100)/IF(_xlfn.XLOOKUP(E110,Groups!A:A,Groups!AJ:AJ)="Photonozoa",3,1)))</f>
        <v>168.71673390375884</v>
      </c>
      <c r="BQ110" s="8" t="str">
        <f>IF(W110="No","No",IF(_xlfn.XLOOKUP(E110,Groups!A:A,Groups!BD:BD)=1,(AO110*5%),EXP(0.7354*LN(C110)^0.4078)*2/IF(_xlfn.XLOOKUP(E110,Groups!A:A,Groups!BL:BL)=1,1000,100)/IF(_xlfn.XLOOKUP(E110,Groups!A:A,Groups!AJ:AJ)="Photonozoa",3,1)))</f>
        <v>No</v>
      </c>
      <c r="BR110" s="8" t="str">
        <f>IF(BJ110="No","No",IF(_xlfn.XLOOKUP(E110,Groups!A:A,Groups!BF:BF)=1,(0.0315*C110+2.1825)*2,(0.7354*C110^0.4078)*2)/IF(_xlfn.XLOOKUP(E110,Groups!A:A,Groups!BM:BM)=1,1000,100)/IF(_xlfn.XLOOKUP(E110,Groups!A:A,Groups!AJ:AJ)="Photonozoa",3,1))</f>
        <v>No</v>
      </c>
      <c r="BS110" s="8">
        <f t="shared" si="45"/>
        <v>0.21243447819539793</v>
      </c>
      <c r="BT110" s="8">
        <f t="shared" si="46"/>
        <v>6.9337091832526889</v>
      </c>
      <c r="BU110" s="8" t="str">
        <f t="shared" si="47"/>
        <v>No</v>
      </c>
      <c r="BV110" s="8" t="str">
        <f t="shared" si="48"/>
        <v>No</v>
      </c>
      <c r="BW110" s="4">
        <v>0</v>
      </c>
      <c r="BX110" s="4">
        <v>1</v>
      </c>
    </row>
    <row r="111" spans="1:76" x14ac:dyDescent="0.25">
      <c r="A111" s="26" t="s">
        <v>92</v>
      </c>
      <c r="B111" s="6" t="s">
        <v>93</v>
      </c>
      <c r="C111" s="7">
        <f>AVERAGE(313,302)</f>
        <v>307.5</v>
      </c>
      <c r="D111" s="7" t="s">
        <v>1256</v>
      </c>
      <c r="E111" s="7" t="str">
        <f>Groups!$A$24</f>
        <v>Horse (WILD)</v>
      </c>
      <c r="F111" s="7">
        <v>365</v>
      </c>
      <c r="G111" s="7">
        <f>900 /365</f>
        <v>2.4657534246575343</v>
      </c>
      <c r="H111" s="7">
        <v>39</v>
      </c>
      <c r="I111" s="4">
        <v>0</v>
      </c>
      <c r="J111" s="7">
        <v>1</v>
      </c>
      <c r="K111" s="7" t="s">
        <v>596</v>
      </c>
      <c r="L111" s="7">
        <v>70</v>
      </c>
      <c r="M111" s="7" t="s">
        <v>626</v>
      </c>
      <c r="N111" s="4">
        <v>0</v>
      </c>
      <c r="O111" s="4">
        <v>0</v>
      </c>
      <c r="P111" s="4">
        <v>0</v>
      </c>
      <c r="Q111" s="4">
        <v>0</v>
      </c>
      <c r="R111" s="4" t="s">
        <v>40</v>
      </c>
      <c r="S111" s="7">
        <f>_xlfn.XLOOKUP(B111,[1]TeethAdjusters!$A:$A,[1]BiteAdjusters!$C:$C,1)</f>
        <v>1</v>
      </c>
      <c r="T111" s="7">
        <f>_xlfn.XLOOKUP(B111,[1]TeethAdjusters!$A:$A,[1]TeethAdjusters!$B:$B,1)</f>
        <v>1</v>
      </c>
      <c r="U111" s="7" t="s">
        <v>45</v>
      </c>
      <c r="V111" s="7">
        <f>MROUND(1.5,0.05)</f>
        <v>1.5</v>
      </c>
      <c r="W111" s="7" t="s">
        <v>45</v>
      </c>
      <c r="X111" s="7" t="s">
        <v>932</v>
      </c>
      <c r="Y111" s="4" t="s">
        <v>42</v>
      </c>
      <c r="Z111" s="4">
        <v>1</v>
      </c>
      <c r="AA111" s="4">
        <v>0</v>
      </c>
      <c r="AB111" s="4">
        <v>0</v>
      </c>
      <c r="AC111" s="4">
        <v>0</v>
      </c>
      <c r="AD111" s="4">
        <v>0</v>
      </c>
      <c r="AE111" s="4" t="s">
        <v>45</v>
      </c>
      <c r="AF111" s="4" t="s">
        <v>401</v>
      </c>
      <c r="AG111" s="49" t="s">
        <v>392</v>
      </c>
      <c r="AH111" s="4" t="str">
        <f>Animals!$C$21</f>
        <v>&lt;li&gt;Horse&lt;/li&gt;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4" t="s">
        <v>40</v>
      </c>
      <c r="AO111" s="8">
        <f t="shared" si="34"/>
        <v>45964.475299594313</v>
      </c>
      <c r="AP111" s="8">
        <f>IFERROR(C111*_xlfn.XLOOKUP(E111,Groups!A:A,Groups!K:K),0.106*C111^0.94)</f>
        <v>23.114275118066921</v>
      </c>
      <c r="AQ111" s="8">
        <f>AP111*10000/(_xlfn.XLOOKUP(E111,Groups!A:A,Groups!J:J)*AO111)</f>
        <v>4.6135100750816971</v>
      </c>
      <c r="AR111" s="8">
        <f t="shared" si="35"/>
        <v>6869.4746092289315</v>
      </c>
      <c r="AS111" s="8">
        <f>IF(_xlfn.XLOOKUP(E111,Groups!A:A,Groups!M:M)=1,EXP(0.7444*LN('Base stats'!C111)+6.5696),EXP(0.7927*LN('Base stats'!C111)+4.28))</f>
        <v>6774.7801948725964</v>
      </c>
      <c r="AT111" s="8">
        <f>IF(_xlfn.XLOOKUP(E111,Groups!A:A,Groups!N:N)="No","No",
IF(_xlfn.XLOOKUP(E111,Groups!A:A,Groups!N:N)="Crocodile",EXP(0.8129*LN(C111)+4.6742)*S111,
IF(_xlfn.XLOOKUP(E111,Groups!A:A,Groups!N:N)="Felid",EXP(0.7843*LN(C111)+4.7073)*S111,
IF(_xlfn.XLOOKUP(E111,Groups!A:A,Groups!N:N)="Canid",EXP(0.8367*LN(C111)+4.8763)*S111,
IF(_xlfn.XLOOKUP(E111,Groups!A:A,Groups!N:N)="Pig",EXP(0.3439*LN(C111)+6.8519)*S111,
IF(_xlfn.XLOOKUP(E111,Groups!A:A,Groups!N:N)="Rodent",EXP(0.5625*LN(C111)+4.3006)*S111,
IF(_xlfn.XLOOKUP(E111,Groups!A:A,Groups!N:N)="Primate",EXP(0.7847*LN(C111)+3.4931)*S111,
IF(_xlfn.XLOOKUP(E111,Groups!A:A,Groups!N:N)="MiscCarnivora",EXP(0.7486*LN(C111)+4.2207)*S111,
IF(_xlfn.XLOOKUP(E111,Groups!A:A,Groups!N:N)="Lizard",EXP(0.7733*LN(C111)+5.5303)*S111,
IF(_xlfn.XLOOKUP(E111,Groups!A:A,Groups!N:N)="Snake",50*C111^(2/3)*S111,
IF(_xlfn.XLOOKUP(E111,Groups!A:A,Groups!N:N)="StrongBitingHerbivore",87.1133638856975*C111^(2/3)*S111,
IF(_xlfn.XLOOKUP(E111,Groups!A:A,Groups!N:N)="MiscEctotherms",59.4316884072269*C111^(2/3)*S111,
IF(_xlfn.XLOOKUP(E111,Groups!A:A,Groups!N:N)="StrongBeakBird",0.041*(C111*1000)^1.375*S111,
IF(_xlfn.XLOOKUP(E111,Groups!A:A,Groups!N:N)="Bird",0.118*(C111*1000)^0.692*S111,
IF(_xlfn.XLOOKUP(E111,Groups!A:A,Groups!N:N)="Insect",EXP(0.7444*LN(C111)+6.5696)*S111,
IF(_xlfn.XLOOKUP(E111,Groups!A:A,Groups!N:N)="Theropod",EXP(0.6966*LN(C111)+4.158)*S111,
"No"))))))))))))))))</f>
        <v>3968.6993291858662</v>
      </c>
      <c r="AU111" s="8">
        <f>IF(_xlfn.XLOOKUP(E111,Groups!A:A,Groups!U:U)=3,AS111,IF(_xlfn.XLOOKUP(E111,Groups!A:A,Groups!U:U)=2,AR111,AT111))</f>
        <v>3968.6993291858662</v>
      </c>
      <c r="AV111" s="46">
        <f>IFERROR(AVERAGE(_xlfn.XLOOKUP(B111,Animals!B:B,Animals!N:N),_xlfn.XLOOKUP(B111,Animals!B:B,Animals!O:O)),0)</f>
        <v>0</v>
      </c>
      <c r="AW111" s="8">
        <f>MROUND(40*Animals!AO111*_xlfn.XLOOKUP(AG111,Leathers!$A$2:$A$99,Leathers!$B$2:$B$99,0)+(140*_xlfn.XLOOKUP(B111,Animals!B:B,Animals!AO:AO)*2),5)</f>
        <v>820</v>
      </c>
      <c r="AX111" s="8">
        <f>IFERROR(ROUND(SQRT(V111-1)*IF(_xlfn.XLOOKUP(E111,Groups!A:A,Groups!BF:BF)=0,2,1)*IF(_xlfn.XLOOKUP('Base stats'!E111,Groups!A:A,Groups!O:O)=0,1,0.1),1),0)</f>
        <v>0.7</v>
      </c>
      <c r="AY111" s="8">
        <f t="shared" si="36"/>
        <v>0</v>
      </c>
      <c r="AZ111" s="8">
        <f t="shared" si="37"/>
        <v>0</v>
      </c>
      <c r="BA111" s="8">
        <f t="shared" si="38"/>
        <v>6.2</v>
      </c>
      <c r="BB111" s="8">
        <f>IF(_xlfn.XLOOKUP(E111,Groups!A:A,Groups!N:N)="Insect",BD111*2.5,IFERROR(AVERAGE(BD111,AT111/9.81/IF(OR(_xlfn.XLOOKUP(E111,Groups!A:A,Groups!N:N)="Pig",_xlfn.XLOOKUP(E111,Groups!A:A,Groups!N:N)="StrongBitingHerbivore"),20,25))*C111^-0.135,BD111))</f>
        <v>5.3468065944260559</v>
      </c>
      <c r="BC111" s="8" t="str">
        <f>IF(W111="No","No",IF(_xlfn.XLOOKUP(E111,Groups!A:A,Groups!U:U)=1,'Base stats'!BB111,IF(OR(_xlfn.XLOOKUP(E111,Groups!A:A,Groups!BD:BD)=1,_xlfn.XLOOKUP(E111,Groups!A:A,Groups!U:U)=2),BD111,IF(_xlfn.XLOOKUP(B111,Animals!B:B,Animals!AO:AO)&gt;4,AVERAGE(BD111,BF111),BF111))))</f>
        <v>No</v>
      </c>
      <c r="BD111" s="8">
        <f t="shared" si="39"/>
        <v>2.9452440519384546</v>
      </c>
      <c r="BE111" s="8">
        <f>IF(_xlfn.XLOOKUP(E111,Groups!A:A,Groups!BE:BE)=1,(0.048*C111^1.01)+(0.071*C111^1.03),0.071*C111^1.03)/IF(_xlfn.XLOOKUP(E111,Groups!A:A,Groups!M:M)=1,0.85,IF(OR(_xlfn.XLOOKUP(B111,Animals!B:B,Animals!AO:AO)&gt;4,_xlfn.XLOOKUP(E111,Groups!A:A,Groups!BC:BC)=1),1.7,1))*C111^-0.25</f>
        <v>6.1912386154854469</v>
      </c>
      <c r="BF111" s="8">
        <f>(0.048*C111^1.01)/IF(_xlfn.XLOOKUP(E111,Groups!A:A,Groups!M:M)=1,0.25,0.8)*C111^-0.25</f>
        <v>4.6656648810088752</v>
      </c>
      <c r="BG111" s="8">
        <f>EXP(1.076*LN(AR111)-4.5397)*IF(_xlfn.XLOOKUP(E111,Groups!A:A,Groups!BC:BC)=1,1.25,IF(_xlfn.XLOOKUP(E111,Groups!A:A,Groups!BD:BD)=1,3.5,2.5))</f>
        <v>358.84182730808686</v>
      </c>
      <c r="BH111" s="8">
        <f>EXP(1.076*LN(AS111)-4.5397)*IF(_xlfn.XLOOKUP(E111,Groups!A:A,Groups!M:M)=1,0.8,IF(_xlfn.XLOOKUP(E111,Groups!A:A,Groups!BC:BC)=1,1.3,3))</f>
        <v>424.22654536784819</v>
      </c>
      <c r="BI111" s="8" t="str">
        <f>IF(W111="No","No",IF(_xlfn.XLOOKUP(E111,Groups!A:A,Groups!U:U)=1,'Base stats'!BJ111,IF(OR(_xlfn.XLOOKUP(E111,Groups!A:A,Groups!BD:BD)=1,_xlfn.XLOOKUP(E111,Groups!A:A,Groups!U:U)=2),BG111,BH111))*1.2)</f>
        <v>No</v>
      </c>
      <c r="BJ111" s="8">
        <f>IFERROR(EXP(1.076*LN(AT111)-4.5397)*IF(_xlfn.XLOOKUP(E111,Groups!A:A,Groups!N:N)="Insect",1,IF(OR(_xlfn.XLOOKUP(E111,Groups!A:A,Groups!N:N)="Pig",_xlfn.XLOOKUP(E111,Groups!A:A,Groups!N:N)="StrongBitingHerbivore"),3.5,3.75)),"No")</f>
        <v>278.38565051291096</v>
      </c>
      <c r="BK111" s="8">
        <f t="shared" si="40"/>
        <v>15</v>
      </c>
      <c r="BL111" s="8">
        <f t="shared" si="41"/>
        <v>11</v>
      </c>
      <c r="BM111" s="8" t="str">
        <f t="shared" si="42"/>
        <v>No</v>
      </c>
      <c r="BN111" s="8">
        <f t="shared" si="43"/>
        <v>10</v>
      </c>
      <c r="BO111" s="8">
        <f t="shared" si="44"/>
        <v>13</v>
      </c>
      <c r="BP111" s="8" cm="1">
        <f t="array" ref="BP111">IF(AND(_xlfn.XLOOKUP('Base stats'!E111,Groups!A:A,Groups!AD:AD=0),_xlfn.XLOOKUP('Base stats'!E111,Groups!A:A,Groups!P:P=0)),"No",IF(U111="No",AVERAGE(EXP(-0.57+0.99*LN(C111)),EXP(0.32+0.67*LN(C111)))/IF(_xlfn.XLOOKUP(E111,Groups!A:A,Groups!AD:AD)=1,10,2),(0.7354*C111^0.4078)*2/IF(_xlfn.XLOOKUP(E111,Groups!A:A,Groups!BK:BK)=1,1000,100)/IF(_xlfn.XLOOKUP(E111,Groups!A:A,Groups!AJ:AJ)="Photonozoa",3,1)))</f>
        <v>57.041444978891874</v>
      </c>
      <c r="BQ111" s="8" t="str">
        <f>IF(W111="No","No",IF(_xlfn.XLOOKUP(E111,Groups!A:A,Groups!BD:BD)=1,(AO111*5%),EXP(0.7354*LN(C111)^0.4078)*2/IF(_xlfn.XLOOKUP(E111,Groups!A:A,Groups!BL:BL)=1,1000,100)/IF(_xlfn.XLOOKUP(E111,Groups!A:A,Groups!AJ:AJ)="Photonozoa",3,1)))</f>
        <v>No</v>
      </c>
      <c r="BR111" s="8">
        <f>IF(BJ111="No","No",IF(_xlfn.XLOOKUP(E111,Groups!A:A,Groups!BF:BF)=1,(0.0315*C111+2.1825)*2,(0.7354*C111^0.4078)*2)/IF(_xlfn.XLOOKUP(E111,Groups!A:A,Groups!BM:BM)=1,1000,100)/IF(_xlfn.XLOOKUP(E111,Groups!A:A,Groups!AJ:AJ)="Photonozoa",3,1))</f>
        <v>0.23737499999999997</v>
      </c>
      <c r="BS111" s="8">
        <f t="shared" si="45"/>
        <v>0.15613876802429377</v>
      </c>
      <c r="BT111" s="8">
        <f t="shared" si="46"/>
        <v>7.4371633734880449</v>
      </c>
      <c r="BU111" s="8" t="str">
        <f t="shared" si="47"/>
        <v>No</v>
      </c>
      <c r="BV111" s="8">
        <f t="shared" si="48"/>
        <v>1172.7673533982559</v>
      </c>
      <c r="BW111" s="4">
        <v>0</v>
      </c>
      <c r="BX111" s="4">
        <v>1</v>
      </c>
    </row>
    <row r="112" spans="1:76" x14ac:dyDescent="0.25">
      <c r="A112" s="26" t="s">
        <v>147</v>
      </c>
      <c r="B112" s="6" t="s">
        <v>148</v>
      </c>
      <c r="C112" s="7">
        <f>AVERAGE(250,200)</f>
        <v>225</v>
      </c>
      <c r="D112" s="7" t="s">
        <v>1256</v>
      </c>
      <c r="E112" s="7" t="str">
        <f>Groups!$A$53</f>
        <v>Ruminant (HORNS, GENTLE)</v>
      </c>
      <c r="F112" s="7">
        <v>253</v>
      </c>
      <c r="G112" s="7">
        <f>411 /365</f>
        <v>1.1260273972602739</v>
      </c>
      <c r="H112" s="7">
        <v>24.3</v>
      </c>
      <c r="I112" s="4">
        <v>0</v>
      </c>
      <c r="J112" s="7">
        <v>1</v>
      </c>
      <c r="K112" s="7" t="s">
        <v>584</v>
      </c>
      <c r="L112" s="7">
        <v>80</v>
      </c>
      <c r="M112" s="7" t="s">
        <v>626</v>
      </c>
      <c r="N112" s="4">
        <v>0</v>
      </c>
      <c r="O112" s="4">
        <v>0</v>
      </c>
      <c r="P112" s="4">
        <v>0</v>
      </c>
      <c r="Q112" s="4">
        <v>0</v>
      </c>
      <c r="R112" s="4" t="s">
        <v>40</v>
      </c>
      <c r="S112" s="7">
        <f>_xlfn.XLOOKUP(B112,[1]TeethAdjusters!$A:$A,[1]BiteAdjusters!$C:$C,1)</f>
        <v>1</v>
      </c>
      <c r="T112" s="7">
        <f>_xlfn.XLOOKUP(B112,[1]TeethAdjusters!$A:$A,[1]TeethAdjusters!$B:$B,1)</f>
        <v>1</v>
      </c>
      <c r="U112" s="7" t="s">
        <v>45</v>
      </c>
      <c r="V112" s="7" t="str">
        <f>IF(AT112="No","No",IF(_xlfn.XLOOKUP(E112,Groups!A:A,Groups!AM:AM)=1,MROUND(EXP(0.3582*LN(C112)-0.2221)*T112,0.05),IF(_xlfn.XLOOKUP(E112,Groups!A:A,Groups!AM:AM)=2,MROUND(EXP(0.3582*LN(C112)-0.2221)*T112,0.05),"Need a formula")))</f>
        <v>No</v>
      </c>
      <c r="W112" s="7">
        <f>AVERAGE(50,40)</f>
        <v>45</v>
      </c>
      <c r="X112" s="7" t="s">
        <v>932</v>
      </c>
      <c r="Y112" s="4" t="s">
        <v>42</v>
      </c>
      <c r="Z112" s="4">
        <v>1</v>
      </c>
      <c r="AA112" s="4">
        <v>0</v>
      </c>
      <c r="AB112" s="4">
        <v>0</v>
      </c>
      <c r="AC112" s="4">
        <v>0</v>
      </c>
      <c r="AD112" s="4">
        <v>0</v>
      </c>
      <c r="AE112" s="4" t="s">
        <v>45</v>
      </c>
      <c r="AF112" s="4" t="s">
        <v>401</v>
      </c>
      <c r="AG112" s="49" t="s">
        <v>392</v>
      </c>
      <c r="AH112" s="4" t="str">
        <f>Animals!$C$54</f>
        <v>&lt;li&gt;Gazelle&lt;/li&gt;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4" t="s">
        <v>40</v>
      </c>
      <c r="AO112" s="8">
        <f t="shared" si="34"/>
        <v>37518.167291030215</v>
      </c>
      <c r="AP112" s="8">
        <f>IFERROR(C112*_xlfn.XLOOKUP(E112,Groups!A:A,Groups!K:K),0.106*C112^0.94)</f>
        <v>17.232862875886827</v>
      </c>
      <c r="AQ112" s="8">
        <f>AP112*10000/(_xlfn.XLOOKUP(E112,Groups!A:A,Groups!J:J)*AO112)</f>
        <v>4.213949423099991</v>
      </c>
      <c r="AR112" s="8">
        <f t="shared" si="35"/>
        <v>5276.2980808141829</v>
      </c>
      <c r="AS112" s="8">
        <f>IF(_xlfn.XLOOKUP(E112,Groups!A:A,Groups!M:M)=1,EXP(0.7444*LN('Base stats'!C112)+6.5696),EXP(0.7927*LN('Base stats'!C112)+4.28))</f>
        <v>5288.7795472348907</v>
      </c>
      <c r="AT112" s="8" t="str">
        <f>IF(_xlfn.XLOOKUP(E112,Groups!A:A,Groups!N:N)="No","No",
IF(_xlfn.XLOOKUP(E112,Groups!A:A,Groups!N:N)="Crocodile",EXP(0.8129*LN(C112)+4.6742)*S112,
IF(_xlfn.XLOOKUP(E112,Groups!A:A,Groups!N:N)="Felid",EXP(0.7843*LN(C112)+4.7073)*S112,
IF(_xlfn.XLOOKUP(E112,Groups!A:A,Groups!N:N)="Canid",EXP(0.8367*LN(C112)+4.8763)*S112,
IF(_xlfn.XLOOKUP(E112,Groups!A:A,Groups!N:N)="Pig",EXP(0.3439*LN(C112)+6.8519)*S112,
IF(_xlfn.XLOOKUP(E112,Groups!A:A,Groups!N:N)="Rodent",EXP(0.5625*LN(C112)+4.3006)*S112,
IF(_xlfn.XLOOKUP(E112,Groups!A:A,Groups!N:N)="Primate",EXP(0.7847*LN(C112)+3.4931)*S112,
IF(_xlfn.XLOOKUP(E112,Groups!A:A,Groups!N:N)="MiscCarnivora",EXP(0.7486*LN(C112)+4.2207)*S112,
IF(_xlfn.XLOOKUP(E112,Groups!A:A,Groups!N:N)="Lizard",EXP(0.7733*LN(C112)+5.5303)*S112,
IF(_xlfn.XLOOKUP(E112,Groups!A:A,Groups!N:N)="Snake",50*C112^(2/3)*S112,
IF(_xlfn.XLOOKUP(E112,Groups!A:A,Groups!N:N)="StrongBitingHerbivore",87.1133638856975*C112^(2/3)*S112,
IF(_xlfn.XLOOKUP(E112,Groups!A:A,Groups!N:N)="MiscEctotherms",59.4316884072269*C112^(2/3)*S112,
IF(_xlfn.XLOOKUP(E112,Groups!A:A,Groups!N:N)="StrongBeakBird",0.041*(C112*1000)^1.375*S112,
IF(_xlfn.XLOOKUP(E112,Groups!A:A,Groups!N:N)="Bird",0.118*(C112*1000)^0.692*S112,
IF(_xlfn.XLOOKUP(E112,Groups!A:A,Groups!N:N)="Insect",EXP(0.7444*LN(C112)+6.5696)*S112,
IF(_xlfn.XLOOKUP(E112,Groups!A:A,Groups!N:N)="Theropod",EXP(0.6966*LN(C112)+4.158)*S112,
"No"))))))))))))))))</f>
        <v>No</v>
      </c>
      <c r="AU112" s="8">
        <f>IF(_xlfn.XLOOKUP(E112,Groups!A:A,Groups!U:U)=3,AS112,IF(_xlfn.XLOOKUP(E112,Groups!A:A,Groups!U:U)=2,AR112,AT112))</f>
        <v>5288.7795472348907</v>
      </c>
      <c r="AV112" s="46">
        <f>IFERROR(AVERAGE(_xlfn.XLOOKUP(B112,Animals!B:B,Animals!N:N),_xlfn.XLOOKUP(B112,Animals!B:B,Animals!O:O)),0)</f>
        <v>0</v>
      </c>
      <c r="AW112" s="8">
        <f>MROUND(40*Animals!AO112*_xlfn.XLOOKUP(AG112,Leathers!$A$2:$A$99,Leathers!$B$2:$B$99,0)+(140*_xlfn.XLOOKUP(B112,Animals!B:B,Animals!AO:AO)*2),5)</f>
        <v>730</v>
      </c>
      <c r="AX112" s="8">
        <f>IFERROR(ROUND(SQRT(V112-1)*IF(_xlfn.XLOOKUP(E112,Groups!A:A,Groups!BF:BF)=0,2,1)*IF(_xlfn.XLOOKUP('Base stats'!E112,Groups!A:A,Groups!O:O)=0,1,0.1),1),0)</f>
        <v>0</v>
      </c>
      <c r="AY112" s="8">
        <f t="shared" si="36"/>
        <v>0</v>
      </c>
      <c r="AZ112" s="8">
        <f t="shared" si="37"/>
        <v>6.7</v>
      </c>
      <c r="BA112" s="8">
        <f t="shared" si="38"/>
        <v>5.6</v>
      </c>
      <c r="BB112" s="8">
        <f>IF(_xlfn.XLOOKUP(E112,Groups!A:A,Groups!N:N)="Insect",BD112*2.5,IFERROR(AVERAGE(BD112,AT112/9.81/IF(OR(_xlfn.XLOOKUP(E112,Groups!A:A,Groups!N:N)="Pig",_xlfn.XLOOKUP(E112,Groups!A:A,Groups!N:N)="StrongBitingHerbivore"),20,25))*C112^-0.135,BD112))</f>
        <v>2.3271891619698901</v>
      </c>
      <c r="BC112" s="8">
        <f>IF(W112="No","No",IF(_xlfn.XLOOKUP(E112,Groups!A:A,Groups!U:U)=1,'Base stats'!BB112,IF(OR(_xlfn.XLOOKUP(E112,Groups!A:A,Groups!BD:BD)=1,_xlfn.XLOOKUP(E112,Groups!A:A,Groups!U:U)=2),BD112,IF(_xlfn.XLOOKUP(B112,Animals!B:B,Animals!AO:AO)&gt;4,AVERAGE(BD112,BF112),BF112))))</f>
        <v>3.6796792531617739</v>
      </c>
      <c r="BD112" s="8">
        <f t="shared" si="39"/>
        <v>2.3271891619698901</v>
      </c>
      <c r="BE112" s="8">
        <f>IF(_xlfn.XLOOKUP(E112,Groups!A:A,Groups!BE:BE)=1,(0.048*C112^1.01)+(0.071*C112^1.03),0.071*C112^1.03)/IF(_xlfn.XLOOKUP(E112,Groups!A:A,Groups!M:M)=1,0.85,IF(OR(_xlfn.XLOOKUP(B112,Animals!B:B,Animals!AO:AO)&gt;4,_xlfn.XLOOKUP(E112,Groups!A:A,Groups!BC:BC)=1),1.7,1))*C112^-0.25</f>
        <v>4.8524460197198902</v>
      </c>
      <c r="BF112" s="8">
        <f>(0.048*C112^1.01)/IF(_xlfn.XLOOKUP(E112,Groups!A:A,Groups!M:M)=1,0.25,0.8)*C112^-0.25</f>
        <v>3.6796792531617739</v>
      </c>
      <c r="BG112" s="8">
        <f>EXP(1.076*LN(AR112)-4.5397)*IF(_xlfn.XLOOKUP(E112,Groups!A:A,Groups!BC:BC)=1,1.25,IF(_xlfn.XLOOKUP(E112,Groups!A:A,Groups!BD:BD)=1,3.5,2.5))</f>
        <v>270.14672095717975</v>
      </c>
      <c r="BH112" s="8">
        <f>EXP(1.076*LN(AS112)-4.5397)*IF(_xlfn.XLOOKUP(E112,Groups!A:A,Groups!M:M)=1,0.8,IF(_xlfn.XLOOKUP(E112,Groups!A:A,Groups!BC:BC)=1,1.3,3))</f>
        <v>325.00128281545972</v>
      </c>
      <c r="BI112" s="8">
        <f>IF(W112="No","No",IF(_xlfn.XLOOKUP(E112,Groups!A:A,Groups!U:U)=1,'Base stats'!BJ112,IF(OR(_xlfn.XLOOKUP(E112,Groups!A:A,Groups!BD:BD)=1,_xlfn.XLOOKUP(E112,Groups!A:A,Groups!U:U)=2),BG112,BH112))*1.2)</f>
        <v>390.00153937855163</v>
      </c>
      <c r="BJ112" s="8" t="str">
        <f>IFERROR(EXP(1.076*LN(AT112)-4.5397)*IF(_xlfn.XLOOKUP(E112,Groups!A:A,Groups!N:N)="Insect",1,IF(OR(_xlfn.XLOOKUP(E112,Groups!A:A,Groups!N:N)="Pig",_xlfn.XLOOKUP(E112,Groups!A:A,Groups!N:N)="StrongBitingHerbivore"),3.5,3.75)),"No")</f>
        <v>No</v>
      </c>
      <c r="BK112" s="8">
        <f t="shared" si="40"/>
        <v>15</v>
      </c>
      <c r="BL112" s="8">
        <f t="shared" si="41"/>
        <v>11</v>
      </c>
      <c r="BM112" s="8">
        <f t="shared" si="42"/>
        <v>14</v>
      </c>
      <c r="BN112" s="8" t="str">
        <f t="shared" si="43"/>
        <v>No</v>
      </c>
      <c r="BO112" s="8">
        <f t="shared" si="44"/>
        <v>13</v>
      </c>
      <c r="BP112" s="8" cm="1">
        <f t="array" ref="BP112">IF(AND(_xlfn.XLOOKUP('Base stats'!E112,Groups!A:A,Groups!AD:AD=0),_xlfn.XLOOKUP('Base stats'!E112,Groups!A:A,Groups!P:P=0)),"No",IF(U112="No",AVERAGE(EXP(-0.57+0.99*LN(C112)),EXP(0.32+0.67*LN(C112)))/IF(_xlfn.XLOOKUP(E112,Groups!A:A,Groups!AD:AD)=1,10,2),(0.7354*C112^0.4078)*2/IF(_xlfn.XLOOKUP(E112,Groups!A:A,Groups!BK:BK)=1,1000,100)/IF(_xlfn.XLOOKUP(E112,Groups!A:A,Groups!AJ:AJ)="Photonozoa",3,1)))</f>
        <v>43.101832178457833</v>
      </c>
      <c r="BQ112" s="8">
        <f>IF(W112="No","No",IF(_xlfn.XLOOKUP(E112,Groups!A:A,Groups!BD:BD)=1,(AO112*5%),EXP(0.7354*LN(C112)^0.4078)*2/IF(_xlfn.XLOOKUP(E112,Groups!A:A,Groups!BL:BL)=1,1000,100)/IF(_xlfn.XLOOKUP(E112,Groups!A:A,Groups!AJ:AJ)="Photonozoa",3,1)))</f>
        <v>8.6516845033286174E-2</v>
      </c>
      <c r="BR112" s="8" t="str">
        <f>IF(BJ112="No","No",IF(_xlfn.XLOOKUP(E112,Groups!A:A,Groups!BF:BF)=1,(0.0315*C112+2.1825)*2,(0.7354*C112^0.4078)*2)/IF(_xlfn.XLOOKUP(E112,Groups!A:A,Groups!BM:BM)=1,1000,100)/IF(_xlfn.XLOOKUP(E112,Groups!A:A,Groups!AJ:AJ)="Photonozoa",3,1))</f>
        <v>No</v>
      </c>
      <c r="BS112" s="8">
        <f t="shared" si="45"/>
        <v>0.14400848466911442</v>
      </c>
      <c r="BT112" s="8">
        <f t="shared" si="46"/>
        <v>7.5403124737211149</v>
      </c>
      <c r="BU112" s="8">
        <f t="shared" si="47"/>
        <v>4507.8104642917096</v>
      </c>
      <c r="BV112" s="8" t="str">
        <f t="shared" si="48"/>
        <v>No</v>
      </c>
      <c r="BW112" s="4">
        <v>0</v>
      </c>
      <c r="BX112" s="4">
        <v>1</v>
      </c>
    </row>
    <row r="113" spans="1:76" x14ac:dyDescent="0.25">
      <c r="A113" s="26" t="s">
        <v>458</v>
      </c>
      <c r="B113" s="6" t="s">
        <v>246</v>
      </c>
      <c r="C113" s="7">
        <f>EXP(3.189*LN((((450*10-84.981)/1.799)/10)*10)-11.893)/1000</f>
        <v>441.90746147008002</v>
      </c>
      <c r="D113" s="7" t="s">
        <v>1257</v>
      </c>
      <c r="E113" s="7" t="str">
        <f>Groups!$A$17</f>
        <v>Crocodile</v>
      </c>
      <c r="F113" s="7" t="str">
        <f>"Lay eggs"</f>
        <v>Lay eggs</v>
      </c>
      <c r="G113" s="7">
        <f>3652/365</f>
        <v>10.005479452054795</v>
      </c>
      <c r="H113" s="7">
        <v>57</v>
      </c>
      <c r="I113" s="4">
        <v>1</v>
      </c>
      <c r="J113" s="7" t="str">
        <f>"Lay eggs"</f>
        <v>Lay eggs</v>
      </c>
      <c r="K113" s="7" t="s">
        <v>868</v>
      </c>
      <c r="L113" s="7">
        <v>12</v>
      </c>
      <c r="M113" s="7" t="s">
        <v>528</v>
      </c>
      <c r="N113" s="4">
        <v>0</v>
      </c>
      <c r="O113" s="4">
        <v>0</v>
      </c>
      <c r="P113" s="4">
        <v>0</v>
      </c>
      <c r="Q113" s="4">
        <v>0</v>
      </c>
      <c r="R113" s="4" t="s">
        <v>40</v>
      </c>
      <c r="S113" s="7">
        <f>_xlfn.XLOOKUP(B113,[1]TeethAdjusters!$A:$A,[1]BiteAdjusters!$C:$C,1)</f>
        <v>0.93326681947193157</v>
      </c>
      <c r="T113" s="7">
        <f>_xlfn.XLOOKUP(B113,[1]TeethAdjusters!$A:$A,[1]TeethAdjusters!$B:$B,1)</f>
        <v>1</v>
      </c>
      <c r="U113" s="7" t="s">
        <v>45</v>
      </c>
      <c r="V113" s="7">
        <f>MROUND(6,0.05)</f>
        <v>6</v>
      </c>
      <c r="W113" s="7" t="s">
        <v>45</v>
      </c>
      <c r="X113" s="7" t="s">
        <v>932</v>
      </c>
      <c r="Y113" s="4" t="s">
        <v>56</v>
      </c>
      <c r="Z113" s="4">
        <v>1</v>
      </c>
      <c r="AA113" s="4">
        <v>0</v>
      </c>
      <c r="AB113" s="4">
        <v>0</v>
      </c>
      <c r="AC113" s="4">
        <v>0</v>
      </c>
      <c r="AD113" s="4">
        <v>0</v>
      </c>
      <c r="AE113" s="4" t="s">
        <v>45</v>
      </c>
      <c r="AF113" s="4" t="s">
        <v>45</v>
      </c>
      <c r="AG113" s="49" t="s">
        <v>386</v>
      </c>
      <c r="AH113" s="4" t="s">
        <v>45</v>
      </c>
      <c r="AI113" s="4">
        <v>0</v>
      </c>
      <c r="AJ113" s="4">
        <v>1</v>
      </c>
      <c r="AK113" s="4">
        <v>0</v>
      </c>
      <c r="AL113" s="4">
        <v>0</v>
      </c>
      <c r="AM113" s="4">
        <v>0</v>
      </c>
      <c r="AN113" s="44">
        <v>15</v>
      </c>
      <c r="AO113" s="8">
        <f t="shared" si="34"/>
        <v>58181.959842982193</v>
      </c>
      <c r="AP113" s="8">
        <f>IFERROR(C113*_xlfn.XLOOKUP(E113,Groups!A:A,Groups!K:K),0.106*C113^0.94)</f>
        <v>88.381492294016013</v>
      </c>
      <c r="AQ113" s="8">
        <f>AP113*10000/(_xlfn.XLOOKUP(E113,Groups!A:A,Groups!J:J)*AO113)</f>
        <v>8.1669526893051607</v>
      </c>
      <c r="AR113" s="8">
        <f t="shared" si="35"/>
        <v>9331.5143440749944</v>
      </c>
      <c r="AS113" s="8">
        <f>IF(_xlfn.XLOOKUP(E113,Groups!A:A,Groups!M:M)=1,EXP(0.7444*LN('Base stats'!C113)+6.5696),EXP(0.7927*LN('Base stats'!C113)+4.28))</f>
        <v>9030.9727417374725</v>
      </c>
      <c r="AT113" s="8">
        <f>IF(_xlfn.XLOOKUP(E113,Groups!A:A,Groups!N:N)="No","No",
IF(_xlfn.XLOOKUP(E113,Groups!A:A,Groups!N:N)="Crocodile",EXP(0.8129*LN(C113)+4.6742)*S113,
IF(_xlfn.XLOOKUP(E113,Groups!A:A,Groups!N:N)="Felid",EXP(0.7843*LN(C113)+4.7073)*S113,
IF(_xlfn.XLOOKUP(E113,Groups!A:A,Groups!N:N)="Canid",EXP(0.8367*LN(C113)+4.8763)*S113,
IF(_xlfn.XLOOKUP(E113,Groups!A:A,Groups!N:N)="Pig",EXP(0.3439*LN(C113)+6.8519)*S113,
IF(_xlfn.XLOOKUP(E113,Groups!A:A,Groups!N:N)="Rodent",EXP(0.5625*LN(C113)+4.3006)*S113,
IF(_xlfn.XLOOKUP(E113,Groups!A:A,Groups!N:N)="Primate",EXP(0.7847*LN(C113)+3.4931)*S113,
IF(_xlfn.XLOOKUP(E113,Groups!A:A,Groups!N:N)="MiscCarnivora",EXP(0.7486*LN(C113)+4.2207)*S113,
IF(_xlfn.XLOOKUP(E113,Groups!A:A,Groups!N:N)="Lizard",EXP(0.7733*LN(C113)+5.5303)*S113,
IF(_xlfn.XLOOKUP(E113,Groups!A:A,Groups!N:N)="Snake",50*C113^(2/3)*S113,
IF(_xlfn.XLOOKUP(E113,Groups!A:A,Groups!N:N)="StrongBitingHerbivore",87.1133638856975*C113^(2/3)*S113,
IF(_xlfn.XLOOKUP(E113,Groups!A:A,Groups!N:N)="MiscEctotherms",59.4316884072269*C113^(2/3)*S113,
IF(_xlfn.XLOOKUP(E113,Groups!A:A,Groups!N:N)="StrongBeakBird",0.041*(C113*1000)^1.375*S113,
IF(_xlfn.XLOOKUP(E113,Groups!A:A,Groups!N:N)="Bird",0.118*(C113*1000)^0.692*S113,
IF(_xlfn.XLOOKUP(E113,Groups!A:A,Groups!N:N)="Insect",EXP(0.7444*LN(C113)+6.5696)*S113,
IF(_xlfn.XLOOKUP(E113,Groups!A:A,Groups!N:N)="Theropod",EXP(0.6966*LN(C113)+4.158)*S113,
"No"))))))))))))))))</f>
        <v>14137.575419285498</v>
      </c>
      <c r="AU113" s="8">
        <f>IF(_xlfn.XLOOKUP(E113,Groups!A:A,Groups!U:U)=3,AS113,IF(_xlfn.XLOOKUP(E113,Groups!A:A,Groups!U:U)=2,AR113,AT113))</f>
        <v>14137.575419285498</v>
      </c>
      <c r="AV113" s="46">
        <f>IFERROR(AVERAGE(_xlfn.XLOOKUP(B113,Animals!B:B,Animals!N:N),_xlfn.XLOOKUP(B113,Animals!B:B,Animals!O:O)),0)</f>
        <v>0.30000000000000004</v>
      </c>
      <c r="AW113" s="8">
        <f>MROUND(40*Animals!AO113*_xlfn.XLOOKUP(AG113,Leathers!$A$2:$A$99,Leathers!$B$2:$B$99,0)+(140*_xlfn.XLOOKUP(B113,Animals!B:B,Animals!AO:AO)*2),5)</f>
        <v>1255</v>
      </c>
      <c r="AX113" s="8">
        <f>IFERROR(ROUND(SQRT(V113-1)*IF(_xlfn.XLOOKUP(E113,Groups!A:A,Groups!BF:BF)=0,2,1)*IF(_xlfn.XLOOKUP('Base stats'!E113,Groups!A:A,Groups!O:O)=0,1,0.1),1),0)</f>
        <v>2.2000000000000002</v>
      </c>
      <c r="AY113" s="8">
        <f t="shared" si="36"/>
        <v>0</v>
      </c>
      <c r="AZ113" s="8">
        <f t="shared" si="37"/>
        <v>0</v>
      </c>
      <c r="BA113" s="8">
        <f t="shared" si="38"/>
        <v>7.1</v>
      </c>
      <c r="BB113" s="8">
        <f>IF(_xlfn.XLOOKUP(E113,Groups!A:A,Groups!N:N)="Insect",BD113*2.5,IFERROR(AVERAGE(BD113,AT113/9.81/IF(OR(_xlfn.XLOOKUP(E113,Groups!A:A,Groups!N:N)="Pig",_xlfn.XLOOKUP(E113,Groups!A:A,Groups!N:N)="StrongBitingHerbivore"),20,25))*C113^-0.135,BD113))</f>
        <v>14.024906740700176</v>
      </c>
      <c r="BC113" s="8" t="str">
        <f>IF(W113="No","No",IF(_xlfn.XLOOKUP(E113,Groups!A:A,Groups!U:U)=1,'Base stats'!BB113,IF(OR(_xlfn.XLOOKUP(E113,Groups!A:A,Groups!BD:BD)=1,_xlfn.XLOOKUP(E113,Groups!A:A,Groups!U:U)=2),BD113,IF(_xlfn.XLOOKUP(B113,Animals!B:B,Animals!AO:AO)&gt;4,AVERAGE(BD113,BF113),BF113))))</f>
        <v>No</v>
      </c>
      <c r="BD113" s="8">
        <f t="shared" si="39"/>
        <v>6.1880869301551282</v>
      </c>
      <c r="BE113" s="8">
        <f>IF(_xlfn.XLOOKUP(E113,Groups!A:A,Groups!BE:BE)=1,(0.048*C113^1.01)+(0.071*C113^1.03),0.071*C113^1.03)/IF(_xlfn.XLOOKUP(E113,Groups!A:A,Groups!M:M)=1,0.85,IF(OR(_xlfn.XLOOKUP(B113,Animals!B:B,Animals!AO:AO)&gt;4,_xlfn.XLOOKUP(E113,Groups!A:A,Groups!BC:BC)=1),1.7,1))*C113^-0.25</f>
        <v>4.8324555534399707</v>
      </c>
      <c r="BF113" s="8">
        <f>(0.048*C113^1.01)/IF(_xlfn.XLOOKUP(E113,Groups!A:A,Groups!M:M)=1,0.25,0.8)*C113^-0.25</f>
        <v>6.1461487179599832</v>
      </c>
      <c r="BG113" s="8">
        <f>EXP(1.076*LN(AR113)-4.5397)*IF(_xlfn.XLOOKUP(E113,Groups!A:A,Groups!BC:BC)=1,1.25,IF(_xlfn.XLOOKUP(E113,Groups!A:A,Groups!BD:BD)=1,3.5,2.5))</f>
        <v>249.46627555200638</v>
      </c>
      <c r="BH113" s="8">
        <f>EXP(1.076*LN(AS113)-4.5397)*IF(_xlfn.XLOOKUP(E113,Groups!A:A,Groups!M:M)=1,0.8,IF(_xlfn.XLOOKUP(E113,Groups!A:A,Groups!BC:BC)=1,1.3,3))</f>
        <v>250.46500147023156</v>
      </c>
      <c r="BI113" s="8" t="str">
        <f>IF(W113="No","No",IF(_xlfn.XLOOKUP(E113,Groups!A:A,Groups!U:U)=1,'Base stats'!BJ113,IF(OR(_xlfn.XLOOKUP(E113,Groups!A:A,Groups!BD:BD)=1,_xlfn.XLOOKUP(E113,Groups!A:A,Groups!U:U)=2),BG113,BH113))*1.2)</f>
        <v>No</v>
      </c>
      <c r="BJ113" s="8">
        <f>IFERROR(EXP(1.076*LN(AT113)-4.5397)*IF(_xlfn.XLOOKUP(E113,Groups!A:A,Groups!N:N)="Insect",1,IF(OR(_xlfn.XLOOKUP(E113,Groups!A:A,Groups!N:N)="Pig",_xlfn.XLOOKUP(E113,Groups!A:A,Groups!N:N)="StrongBitingHerbivore"),3.5,3.75)),"No")</f>
        <v>1170.2214058733036</v>
      </c>
      <c r="BK113" s="8">
        <f t="shared" si="40"/>
        <v>8</v>
      </c>
      <c r="BL113" s="8">
        <f t="shared" si="41"/>
        <v>10</v>
      </c>
      <c r="BM113" s="8" t="str">
        <f t="shared" si="42"/>
        <v>No</v>
      </c>
      <c r="BN113" s="8">
        <f t="shared" si="43"/>
        <v>12</v>
      </c>
      <c r="BO113" s="8">
        <f t="shared" si="44"/>
        <v>9</v>
      </c>
      <c r="BP113" s="8" t="str" cm="1">
        <f t="array" ref="BP113">IF(AND(_xlfn.XLOOKUP('Base stats'!E113,Groups!A:A,Groups!AD:AD=0),_xlfn.XLOOKUP('Base stats'!E113,Groups!A:A,Groups!P:P=0)),"No",IF(U113="No",AVERAGE(EXP(-0.57+0.99*LN(C113)),EXP(0.32+0.67*LN(C113)))/IF(_xlfn.XLOOKUP(E113,Groups!A:A,Groups!AD:AD)=1,10,2),(0.7354*C113^0.4078)*2/IF(_xlfn.XLOOKUP(E113,Groups!A:A,Groups!BK:BK)=1,1000,100)/IF(_xlfn.XLOOKUP(E113,Groups!A:A,Groups!AJ:AJ)="Photonozoa",3,1)))</f>
        <v>No</v>
      </c>
      <c r="BQ113" s="8" t="str">
        <f>IF(W113="No","No",IF(_xlfn.XLOOKUP(E113,Groups!A:A,Groups!BD:BD)=1,(AO113*5%),EXP(0.7354*LN(C113)^0.4078)*2/IF(_xlfn.XLOOKUP(E113,Groups!A:A,Groups!BL:BL)=1,1000,100)/IF(_xlfn.XLOOKUP(E113,Groups!A:A,Groups!AJ:AJ)="Photonozoa",3,1)))</f>
        <v>No</v>
      </c>
      <c r="BR113" s="8">
        <f>IF(BJ113="No","No",IF(_xlfn.XLOOKUP(E113,Groups!A:A,Groups!BF:BF)=1,(0.0315*C113+2.1825)*2,(0.7354*C113^0.4078)*2)/IF(_xlfn.XLOOKUP(E113,Groups!A:A,Groups!BM:BM)=1,1000,100)/IF(_xlfn.XLOOKUP(E113,Groups!A:A,Groups!AJ:AJ)="Photonozoa",3,1))</f>
        <v>0.32205170072615041</v>
      </c>
      <c r="BS113" s="8">
        <f t="shared" si="45"/>
        <v>8.5753823427485165E-2</v>
      </c>
      <c r="BT113" s="8" t="str">
        <f t="shared" si="46"/>
        <v>No</v>
      </c>
      <c r="BU113" s="8" t="str">
        <f t="shared" si="47"/>
        <v>No</v>
      </c>
      <c r="BV113" s="8">
        <f t="shared" si="48"/>
        <v>3633.6445459990778</v>
      </c>
      <c r="BW113" s="4">
        <v>0</v>
      </c>
      <c r="BX113" s="4">
        <v>1</v>
      </c>
    </row>
    <row r="114" spans="1:76" x14ac:dyDescent="0.25">
      <c r="A114" s="26" t="s">
        <v>459</v>
      </c>
      <c r="B114" s="6" t="s">
        <v>227</v>
      </c>
      <c r="C114" s="7">
        <v>53.5</v>
      </c>
      <c r="D114" s="7" t="s">
        <v>586</v>
      </c>
      <c r="E114" s="7" t="str">
        <f>Groups!$A$19</f>
        <v>Catlike</v>
      </c>
      <c r="F114" s="7">
        <v>88</v>
      </c>
      <c r="G114" s="7">
        <f>456 /365</f>
        <v>1.2493150684931507</v>
      </c>
      <c r="H114" s="7">
        <v>20.5</v>
      </c>
      <c r="I114" s="4">
        <v>0</v>
      </c>
      <c r="J114" s="7">
        <v>3</v>
      </c>
      <c r="K114" s="7" t="s">
        <v>586</v>
      </c>
      <c r="L114" s="7">
        <v>110</v>
      </c>
      <c r="M114" s="7" t="s">
        <v>626</v>
      </c>
      <c r="N114" s="4">
        <v>0</v>
      </c>
      <c r="O114" s="4">
        <v>0</v>
      </c>
      <c r="P114" s="4">
        <v>0</v>
      </c>
      <c r="Q114" s="4">
        <v>0</v>
      </c>
      <c r="R114" s="4" t="s">
        <v>40</v>
      </c>
      <c r="S114" s="7">
        <f>_xlfn.XLOOKUP(B114,[1]TeethAdjusters!$A:$A,[1]BiteAdjusters!$C:$C,1)</f>
        <v>0.69716878329164778</v>
      </c>
      <c r="T114" s="7">
        <f>_xlfn.XLOOKUP(B114,[1]TeethAdjusters!$A:$A,[1]TeethAdjusters!$B:$B,1)</f>
        <v>1.1807275346262045</v>
      </c>
      <c r="U114" s="7">
        <f>MROUND(2.54,0.05)</f>
        <v>2.5500000000000003</v>
      </c>
      <c r="V114" s="7">
        <f>IF(AT114="No","No",IF(_xlfn.XLOOKUP(E114,Groups!A:A,Groups!AM:AM)=1,MROUND(EXP(0.3582*LN(C114)-0.2221)*T114,0.05),IF(_xlfn.XLOOKUP(E114,Groups!A:A,Groups!AM:AM)=2,MROUND(EXP(0.3582*LN(C114)-0.2221)*T114,0.05),"Need a formula")))</f>
        <v>3.95</v>
      </c>
      <c r="W114" s="7" t="s">
        <v>45</v>
      </c>
      <c r="X114" s="7" t="s">
        <v>932</v>
      </c>
      <c r="Y114" s="4" t="s">
        <v>56</v>
      </c>
      <c r="Z114" s="4">
        <v>1</v>
      </c>
      <c r="AA114" s="4">
        <v>0</v>
      </c>
      <c r="AB114" s="4">
        <v>0</v>
      </c>
      <c r="AC114" s="4">
        <v>0</v>
      </c>
      <c r="AD114" s="4">
        <v>0</v>
      </c>
      <c r="AE114" s="4" t="s">
        <v>45</v>
      </c>
      <c r="AF114" s="4" t="s">
        <v>45</v>
      </c>
      <c r="AG114" s="49" t="s">
        <v>389</v>
      </c>
      <c r="AH114" s="4" t="s">
        <v>45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4" t="s">
        <v>40</v>
      </c>
      <c r="AO114" s="8">
        <f t="shared" si="34"/>
        <v>14748.67267145231</v>
      </c>
      <c r="AP114" s="8">
        <f>IFERROR(C114*_xlfn.XLOOKUP(E114,Groups!A:A,Groups!K:K),0.106*C114^0.94)</f>
        <v>6.6741250000000001</v>
      </c>
      <c r="AQ114" s="8">
        <f>AP114*10000/(_xlfn.XLOOKUP(E114,Groups!A:A,Groups!J:J)*AO114)</f>
        <v>4.1515942452010872</v>
      </c>
      <c r="AR114" s="8">
        <f t="shared" si="35"/>
        <v>1568.1268440067847</v>
      </c>
      <c r="AS114" s="8">
        <f>IF(_xlfn.XLOOKUP(E114,Groups!A:A,Groups!M:M)=1,EXP(0.7444*LN('Base stats'!C114)+6.5696),EXP(0.7927*LN('Base stats'!C114)+4.28))</f>
        <v>1693.7387576363094</v>
      </c>
      <c r="AT114" s="8">
        <f>IF(_xlfn.XLOOKUP(E114,Groups!A:A,Groups!N:N)="No","No",
IF(_xlfn.XLOOKUP(E114,Groups!A:A,Groups!N:N)="Crocodile",EXP(0.8129*LN(C114)+4.6742)*S114,
IF(_xlfn.XLOOKUP(E114,Groups!A:A,Groups!N:N)="Felid",EXP(0.7843*LN(C114)+4.7073)*S114,
IF(_xlfn.XLOOKUP(E114,Groups!A:A,Groups!N:N)="Canid",EXP(0.8367*LN(C114)+4.8763)*S114,
IF(_xlfn.XLOOKUP(E114,Groups!A:A,Groups!N:N)="Pig",EXP(0.3439*LN(C114)+6.8519)*S114,
IF(_xlfn.XLOOKUP(E114,Groups!A:A,Groups!N:N)="Rodent",EXP(0.5625*LN(C114)+4.3006)*S114,
IF(_xlfn.XLOOKUP(E114,Groups!A:A,Groups!N:N)="Primate",EXP(0.7847*LN(C114)+3.4931)*S114,
IF(_xlfn.XLOOKUP(E114,Groups!A:A,Groups!N:N)="MiscCarnivora",EXP(0.7486*LN(C114)+4.2207)*S114,
IF(_xlfn.XLOOKUP(E114,Groups!A:A,Groups!N:N)="Lizard",EXP(0.7733*LN(C114)+5.5303)*S114,
IF(_xlfn.XLOOKUP(E114,Groups!A:A,Groups!N:N)="Snake",50*C114^(2/3)*S114,
IF(_xlfn.XLOOKUP(E114,Groups!A:A,Groups!N:N)="StrongBitingHerbivore",87.1133638856975*C114^(2/3)*S114,
IF(_xlfn.XLOOKUP(E114,Groups!A:A,Groups!N:N)="MiscEctotherms",59.4316884072269*C114^(2/3)*S114,
IF(_xlfn.XLOOKUP(E114,Groups!A:A,Groups!N:N)="StrongBeakBird",0.041*(C114*1000)^1.375*S114,
IF(_xlfn.XLOOKUP(E114,Groups!A:A,Groups!N:N)="Bird",0.118*(C114*1000)^0.692*S114,
IF(_xlfn.XLOOKUP(E114,Groups!A:A,Groups!N:N)="Insect",EXP(0.7444*LN(C114)+6.5696)*S114,
IF(_xlfn.XLOOKUP(E114,Groups!A:A,Groups!N:N)="Theropod",EXP(0.6966*LN(C114)+4.158)*S114,
"No"))))))))))))))))</f>
        <v>1750.8148382761276</v>
      </c>
      <c r="AU114" s="8">
        <f>IF(_xlfn.XLOOKUP(E114,Groups!A:A,Groups!U:U)=3,AS114,IF(_xlfn.XLOOKUP(E114,Groups!A:A,Groups!U:U)=2,AR114,AT114))</f>
        <v>1750.8148382761276</v>
      </c>
      <c r="AV114" s="46">
        <f>IFERROR(AVERAGE(_xlfn.XLOOKUP(B114,Animals!B:B,Animals!N:N),_xlfn.XLOOKUP(B114,Animals!B:B,Animals!O:O)),0)</f>
        <v>0</v>
      </c>
      <c r="AW114" s="8">
        <f>MROUND(40*Animals!AO114*_xlfn.XLOOKUP(AG114,Leathers!$A$2:$A$99,Leathers!$B$2:$B$99,0)+(140*_xlfn.XLOOKUP(B114,Animals!B:B,Animals!AO:AO)*2),5)</f>
        <v>405</v>
      </c>
      <c r="AX114" s="8">
        <f>IFERROR(ROUND(SQRT(V114-1)*IF(_xlfn.XLOOKUP(E114,Groups!A:A,Groups!BF:BF)=0,2,1)*IF(_xlfn.XLOOKUP('Base stats'!E114,Groups!A:A,Groups!O:O)=0,1,0.1),1),0)</f>
        <v>3.4</v>
      </c>
      <c r="AY114" s="8">
        <f t="shared" si="36"/>
        <v>1.2</v>
      </c>
      <c r="AZ114" s="8">
        <f t="shared" si="37"/>
        <v>0</v>
      </c>
      <c r="BA114" s="8">
        <f t="shared" si="38"/>
        <v>3.3</v>
      </c>
      <c r="BB114" s="8">
        <f>IF(_xlfn.XLOOKUP(E114,Groups!A:A,Groups!N:N)="Insect",BD114*2.5,IFERROR(AVERAGE(BD114,AT114/9.81/IF(OR(_xlfn.XLOOKUP(E114,Groups!A:A,Groups!N:N)="Pig",_xlfn.XLOOKUP(E114,Groups!A:A,Groups!N:N)="StrongBitingHerbivore"),20,25))*C114^-0.135,BD114))</f>
        <v>2.3985487101109748</v>
      </c>
      <c r="BC114" s="8" t="str">
        <f>IF(W114="No","No",IF(_xlfn.XLOOKUP(E114,Groups!A:A,Groups!U:U)=1,'Base stats'!BB114,IF(OR(_xlfn.XLOOKUP(E114,Groups!A:A,Groups!BD:BD)=1,_xlfn.XLOOKUP(E114,Groups!A:A,Groups!U:U)=2),BD114,IF(_xlfn.XLOOKUP(B114,Animals!B:B,Animals!AO:AO)&gt;4,AVERAGE(BD114,BF114),BF114))))</f>
        <v>No</v>
      </c>
      <c r="BD114" s="8">
        <f t="shared" si="39"/>
        <v>1.0704048294576518</v>
      </c>
      <c r="BE114" s="8">
        <f>IF(_xlfn.XLOOKUP(E114,Groups!A:A,Groups!BE:BE)=1,(0.048*C114^1.01)+(0.071*C114^1.03),0.071*C114^1.03)/IF(_xlfn.XLOOKUP(E114,Groups!A:A,Groups!M:M)=1,0.85,IF(OR(_xlfn.XLOOKUP(B114,Animals!B:B,Animals!AO:AO)&gt;4,_xlfn.XLOOKUP(E114,Groups!A:A,Groups!BC:BC)=1),1.7,1))*C114^-0.25</f>
        <v>1.5826114326008671</v>
      </c>
      <c r="BF114" s="8">
        <f>(0.048*C114^1.01)/IF(_xlfn.XLOOKUP(E114,Groups!A:A,Groups!M:M)=1,0.25,0.8)*C114^-0.25</f>
        <v>1.2350943207066056</v>
      </c>
      <c r="BG114" s="8">
        <f>EXP(1.076*LN(AR114)-4.5397)*IF(_xlfn.XLOOKUP(E114,Groups!A:A,Groups!BC:BC)=1,1.25,IF(_xlfn.XLOOKUP(E114,Groups!A:A,Groups!BD:BD)=1,3.5,2.5))</f>
        <v>73.215580303642668</v>
      </c>
      <c r="BH114" s="8">
        <f>EXP(1.076*LN(AS114)-4.5397)*IF(_xlfn.XLOOKUP(E114,Groups!A:A,Groups!M:M)=1,0.8,IF(_xlfn.XLOOKUP(E114,Groups!A:A,Groups!BC:BC)=1,1.3,3))</f>
        <v>95.453827881386488</v>
      </c>
      <c r="BI114" s="8" t="str">
        <f>IF(W114="No","No",IF(_xlfn.XLOOKUP(E114,Groups!A:A,Groups!U:U)=1,'Base stats'!BJ114,IF(OR(_xlfn.XLOOKUP(E114,Groups!A:A,Groups!BD:BD)=1,_xlfn.XLOOKUP(E114,Groups!A:A,Groups!U:U)=2),BG114,BH114))*1.2)</f>
        <v>No</v>
      </c>
      <c r="BJ114" s="8">
        <f>IFERROR(EXP(1.076*LN(AT114)-4.5397)*IF(_xlfn.XLOOKUP(E114,Groups!A:A,Groups!N:N)="Insect",1,IF(OR(_xlfn.XLOOKUP(E114,Groups!A:A,Groups!N:N)="Pig",_xlfn.XLOOKUP(E114,Groups!A:A,Groups!N:N)="StrongBitingHerbivore"),3.5,3.75)),"No")</f>
        <v>123.64913526272449</v>
      </c>
      <c r="BK114" s="8">
        <f t="shared" si="40"/>
        <v>11</v>
      </c>
      <c r="BL114" s="8">
        <f t="shared" si="41"/>
        <v>10</v>
      </c>
      <c r="BM114" s="8" t="str">
        <f t="shared" si="42"/>
        <v>No</v>
      </c>
      <c r="BN114" s="8">
        <f t="shared" si="43"/>
        <v>10</v>
      </c>
      <c r="BO114" s="8">
        <f t="shared" si="44"/>
        <v>12</v>
      </c>
      <c r="BP114" s="8" cm="1">
        <f t="array" ref="BP114">IF(AND(_xlfn.XLOOKUP('Base stats'!E114,Groups!A:A,Groups!AD:AD=0),_xlfn.XLOOKUP('Base stats'!E114,Groups!A:A,Groups!P:P=0)),"No",IF(U114="No",AVERAGE(EXP(-0.57+0.99*LN(C114)),EXP(0.32+0.67*LN(C114)))/IF(_xlfn.XLOOKUP(E114,Groups!A:A,Groups!AD:AD)=1,10,2),(0.7354*C114^0.4078)*2/IF(_xlfn.XLOOKUP(E114,Groups!A:A,Groups!BK:BK)=1,1000,100)/IF(_xlfn.XLOOKUP(E114,Groups!A:A,Groups!AJ:AJ)="Photonozoa",3,1)))</f>
        <v>7.4537752492558132E-2</v>
      </c>
      <c r="BQ114" s="8" t="str">
        <f>IF(W114="No","No",IF(_xlfn.XLOOKUP(E114,Groups!A:A,Groups!BD:BD)=1,(AO114*5%),EXP(0.7354*LN(C114)^0.4078)*2/IF(_xlfn.XLOOKUP(E114,Groups!A:A,Groups!BL:BL)=1,1000,100)/IF(_xlfn.XLOOKUP(E114,Groups!A:A,Groups!AJ:AJ)="Photonozoa",3,1)))</f>
        <v>No</v>
      </c>
      <c r="BR114" s="8">
        <f>IF(BJ114="No","No",IF(_xlfn.XLOOKUP(E114,Groups!A:A,Groups!BF:BF)=1,(0.0315*C114+2.1825)*2,(0.7354*C114^0.4078)*2)/IF(_xlfn.XLOOKUP(E114,Groups!A:A,Groups!BM:BM)=1,1000,100)/IF(_xlfn.XLOOKUP(E114,Groups!A:A,Groups!AJ:AJ)="Photonozoa",3,1))</f>
        <v>7.4537752492558132E-2</v>
      </c>
      <c r="BS114" s="8">
        <f t="shared" si="45"/>
        <v>9.9284297556294032E-2</v>
      </c>
      <c r="BT114" s="8">
        <f t="shared" si="46"/>
        <v>1280.6104918566818</v>
      </c>
      <c r="BU114" s="8" t="str">
        <f t="shared" si="47"/>
        <v>No</v>
      </c>
      <c r="BV114" s="8">
        <f t="shared" si="48"/>
        <v>1658.8793078389324</v>
      </c>
      <c r="BW114" s="4">
        <v>0</v>
      </c>
      <c r="BX114" s="4">
        <v>1</v>
      </c>
    </row>
    <row r="115" spans="1:76" x14ac:dyDescent="0.25">
      <c r="A115" s="26" t="s">
        <v>460</v>
      </c>
      <c r="B115" s="6" t="s">
        <v>461</v>
      </c>
      <c r="C115" s="7">
        <f>25.5</f>
        <v>25.5</v>
      </c>
      <c r="D115" s="7" t="s">
        <v>599</v>
      </c>
      <c r="E115" s="7" t="str">
        <f>Groups!$A$29</f>
        <v>Marsupial (HERBIVOROUS)</v>
      </c>
      <c r="F115" s="7">
        <v>27</v>
      </c>
      <c r="G115" s="7">
        <f>730 /365</f>
        <v>2</v>
      </c>
      <c r="H115" s="7">
        <v>30</v>
      </c>
      <c r="I115" s="4">
        <v>0</v>
      </c>
      <c r="J115" s="7">
        <v>1</v>
      </c>
      <c r="K115" s="7" t="s">
        <v>599</v>
      </c>
      <c r="L115" s="7">
        <f>MIN(20*C115^0.183,19.9*C115^0.142,13.7*C115^0.004)</f>
        <v>13.878634158115689</v>
      </c>
      <c r="M115" s="7" t="s">
        <v>626</v>
      </c>
      <c r="N115" s="4">
        <v>0</v>
      </c>
      <c r="O115" s="4">
        <v>0</v>
      </c>
      <c r="P115" s="4">
        <v>0</v>
      </c>
      <c r="Q115" s="4">
        <v>0</v>
      </c>
      <c r="R115" s="4">
        <v>0.9</v>
      </c>
      <c r="S115" s="7">
        <f>_xlfn.XLOOKUP(B115,[1]TeethAdjusters!$A:$A,[1]BiteAdjusters!$C:$C,1)</f>
        <v>1</v>
      </c>
      <c r="T115" s="7">
        <f>_xlfn.XLOOKUP(B115,[1]TeethAdjusters!$A:$A,[1]TeethAdjusters!$B:$B,1)</f>
        <v>1</v>
      </c>
      <c r="U115" s="7">
        <v>3</v>
      </c>
      <c r="V115" s="7">
        <v>2</v>
      </c>
      <c r="W115" s="7" t="s">
        <v>45</v>
      </c>
      <c r="X115" s="7" t="s">
        <v>932</v>
      </c>
      <c r="Y115" s="4" t="s">
        <v>42</v>
      </c>
      <c r="Z115" s="4">
        <v>1</v>
      </c>
      <c r="AA115" s="4">
        <v>0</v>
      </c>
      <c r="AB115" s="4">
        <v>0</v>
      </c>
      <c r="AC115" s="4">
        <v>0</v>
      </c>
      <c r="AD115" s="4">
        <v>0</v>
      </c>
      <c r="AE115" s="4" t="s">
        <v>45</v>
      </c>
      <c r="AF115" s="4" t="s">
        <v>45</v>
      </c>
      <c r="AG115" s="49" t="s">
        <v>385</v>
      </c>
      <c r="AH115" s="4" t="s">
        <v>45</v>
      </c>
      <c r="AI115" s="4">
        <v>0</v>
      </c>
      <c r="AJ115" s="4">
        <v>0</v>
      </c>
      <c r="AK115" s="4">
        <v>1</v>
      </c>
      <c r="AL115" s="4">
        <v>0</v>
      </c>
      <c r="AM115" s="4">
        <v>0</v>
      </c>
      <c r="AN115" s="44" t="s">
        <v>40</v>
      </c>
      <c r="AO115" s="8">
        <f t="shared" si="34"/>
        <v>9111.1688693887008</v>
      </c>
      <c r="AP115" s="8">
        <f>IFERROR(C115*_xlfn.XLOOKUP(E115,Groups!A:A,Groups!K:K),0.106*C115^0.94)</f>
        <v>2.2256334242614968</v>
      </c>
      <c r="AQ115" s="8">
        <f>AP115*10000/(_xlfn.XLOOKUP(E115,Groups!A:A,Groups!J:J)*AO115)</f>
        <v>2.2410577129193365</v>
      </c>
      <c r="AR115" s="8">
        <f t="shared" si="35"/>
        <v>838.58142840785149</v>
      </c>
      <c r="AS115" s="8">
        <f>IF(_xlfn.XLOOKUP(E115,Groups!A:A,Groups!M:M)=1,EXP(0.7444*LN('Base stats'!C115)+6.5696),EXP(0.7927*LN('Base stats'!C115)+4.28))</f>
        <v>941.33625061050907</v>
      </c>
      <c r="AT115" s="8">
        <f>IF(_xlfn.XLOOKUP(E115,Groups!A:A,Groups!N:N)="No","No",
IF(_xlfn.XLOOKUP(E115,Groups!A:A,Groups!N:N)="Crocodile",EXP(0.8129*LN(C115)+4.6742)*S115,
IF(_xlfn.XLOOKUP(E115,Groups!A:A,Groups!N:N)="Felid",EXP(0.7843*LN(C115)+4.7073)*S115,
IF(_xlfn.XLOOKUP(E115,Groups!A:A,Groups!N:N)="Canid",EXP(0.8367*LN(C115)+4.8763)*S115,
IF(_xlfn.XLOOKUP(E115,Groups!A:A,Groups!N:N)="Pig",EXP(0.3439*LN(C115)+6.8519)*S115,
IF(_xlfn.XLOOKUP(E115,Groups!A:A,Groups!N:N)="Rodent",EXP(0.5625*LN(C115)+4.3006)*S115,
IF(_xlfn.XLOOKUP(E115,Groups!A:A,Groups!N:N)="Primate",EXP(0.7847*LN(C115)+3.4931)*S115,
IF(_xlfn.XLOOKUP(E115,Groups!A:A,Groups!N:N)="MiscCarnivora",EXP(0.7486*LN(C115)+4.2207)*S115,
IF(_xlfn.XLOOKUP(E115,Groups!A:A,Groups!N:N)="Lizard",EXP(0.7733*LN(C115)+5.5303)*S115,
IF(_xlfn.XLOOKUP(E115,Groups!A:A,Groups!N:N)="Snake",50*C115^(2/3)*S115,
IF(_xlfn.XLOOKUP(E115,Groups!A:A,Groups!N:N)="StrongBitingHerbivore",87.1133638856975*C115^(2/3)*S115,
IF(_xlfn.XLOOKUP(E115,Groups!A:A,Groups!N:N)="MiscEctotherms",59.4316884072269*C115^(2/3)*S115,
IF(_xlfn.XLOOKUP(E115,Groups!A:A,Groups!N:N)="StrongBeakBird",0.041*(C115*1000)^1.375*S115,
IF(_xlfn.XLOOKUP(E115,Groups!A:A,Groups!N:N)="Bird",0.118*(C115*1000)^0.692*S115,
IF(_xlfn.XLOOKUP(E115,Groups!A:A,Groups!N:N)="Insect",EXP(0.7444*LN(C115)+6.5696)*S115,
IF(_xlfn.XLOOKUP(E115,Groups!A:A,Groups!N:N)="Theropod",EXP(0.6966*LN(C115)+4.158)*S115,
"No"))))))))))))))))</f>
        <v>455.93790606968065</v>
      </c>
      <c r="AU115" s="8">
        <f>IF(_xlfn.XLOOKUP(E115,Groups!A:A,Groups!U:U)=3,AS115,IF(_xlfn.XLOOKUP(E115,Groups!A:A,Groups!U:U)=2,AR115,AT115))</f>
        <v>455.93790606968065</v>
      </c>
      <c r="AV115" s="46">
        <f>IFERROR(AVERAGE(_xlfn.XLOOKUP(B115,Animals!B:B,Animals!N:N),_xlfn.XLOOKUP(B115,Animals!B:B,Animals!O:O)),0)</f>
        <v>0</v>
      </c>
      <c r="AW115" s="8">
        <f>MROUND(40*Animals!AO115*_xlfn.XLOOKUP(AG115,Leathers!$A$2:$A$99,Leathers!$B$2:$B$99,0)+(140*_xlfn.XLOOKUP(B115,Animals!B:B,Animals!AO:AO)*2),5)</f>
        <v>230</v>
      </c>
      <c r="AX115" s="8">
        <f>IFERROR(ROUND(SQRT(V115-1)*IF(_xlfn.XLOOKUP(E115,Groups!A:A,Groups!BF:BF)=0,2,1)*IF(_xlfn.XLOOKUP('Base stats'!E115,Groups!A:A,Groups!O:O)=0,1,0.1),1),0)</f>
        <v>2</v>
      </c>
      <c r="AY115" s="8">
        <f t="shared" si="36"/>
        <v>1.4</v>
      </c>
      <c r="AZ115" s="8">
        <f t="shared" si="37"/>
        <v>0</v>
      </c>
      <c r="BA115" s="8">
        <f t="shared" si="38"/>
        <v>2.5</v>
      </c>
      <c r="BB115" s="8">
        <f>IF(_xlfn.XLOOKUP(E115,Groups!A:A,Groups!N:N)="Insect",BD115*2.5,IFERROR(AVERAGE(BD115,AT115/9.81/IF(OR(_xlfn.XLOOKUP(E115,Groups!A:A,Groups!N:N)="Pig",_xlfn.XLOOKUP(E115,Groups!A:A,Groups!N:N)="StrongBitingHerbivore"),20,25))*C115^-0.135,BD115))</f>
        <v>0.74583520324545427</v>
      </c>
      <c r="BC115" s="8" t="str">
        <f>IF(W115="No","No",IF(_xlfn.XLOOKUP(E115,Groups!A:A,Groups!U:U)=1,'Base stats'!BB115,IF(OR(_xlfn.XLOOKUP(E115,Groups!A:A,Groups!BD:BD)=1,_xlfn.XLOOKUP(E115,Groups!A:A,Groups!U:U)=2),BD115,IF(_xlfn.XLOOKUP(B115,Animals!B:B,Animals!AO:AO)&gt;4,AVERAGE(BD115,BF115),BF115))))</f>
        <v>No</v>
      </c>
      <c r="BD115" s="8">
        <f t="shared" si="39"/>
        <v>0.45062715926009461</v>
      </c>
      <c r="BE115" s="8">
        <f>IF(_xlfn.XLOOKUP(E115,Groups!A:A,Groups!BE:BE)=1,(0.048*C115^1.01)+(0.071*C115^1.03),0.071*C115^1.03)/IF(_xlfn.XLOOKUP(E115,Groups!A:A,Groups!M:M)=1,0.85,IF(OR(_xlfn.XLOOKUP(B115,Animals!B:B,Animals!AO:AO)&gt;4,_xlfn.XLOOKUP(E115,Groups!A:A,Groups!BC:BC)=1),1.7,1))*C115^-0.25</f>
        <v>0.88789107282414026</v>
      </c>
      <c r="BF115" s="8">
        <f>(0.048*C115^1.01)/IF(_xlfn.XLOOKUP(E115,Groups!A:A,Groups!M:M)=1,0.25,0.8)*C115^-0.25</f>
        <v>0.70326950736861127</v>
      </c>
      <c r="BG115" s="8">
        <f>EXP(1.076*LN(AR115)-4.5397)*IF(_xlfn.XLOOKUP(E115,Groups!A:A,Groups!BC:BC)=1,1.25,IF(_xlfn.XLOOKUP(E115,Groups!A:A,Groups!BD:BD)=1,3.5,2.5))</f>
        <v>37.334301254349668</v>
      </c>
      <c r="BH115" s="8">
        <f>EXP(1.076*LN(AS115)-4.5397)*IF(_xlfn.XLOOKUP(E115,Groups!A:A,Groups!M:M)=1,0.8,IF(_xlfn.XLOOKUP(E115,Groups!A:A,Groups!BC:BC)=1,1.3,3))</f>
        <v>50.734569822503651</v>
      </c>
      <c r="BI115" s="8" t="str">
        <f>IF(W115="No","No",IF(_xlfn.XLOOKUP(E115,Groups!A:A,Groups!U:U)=1,'Base stats'!BJ115,IF(OR(_xlfn.XLOOKUP(E115,Groups!A:A,Groups!BD:BD)=1,_xlfn.XLOOKUP(E115,Groups!A:A,Groups!U:U)=2),BG115,BH115))*1.2)</f>
        <v>No</v>
      </c>
      <c r="BJ115" s="8">
        <f>IFERROR(EXP(1.076*LN(AT115)-4.5397)*IF(_xlfn.XLOOKUP(E115,Groups!A:A,Groups!N:N)="Insect",1,IF(OR(_xlfn.XLOOKUP(E115,Groups!A:A,Groups!N:N)="Pig",_xlfn.XLOOKUP(E115,Groups!A:A,Groups!N:N)="StrongBitingHerbivore"),3.5,3.75)),"No")</f>
        <v>29.070141239380789</v>
      </c>
      <c r="BK115" s="8">
        <f t="shared" si="40"/>
        <v>12</v>
      </c>
      <c r="BL115" s="8">
        <f t="shared" si="41"/>
        <v>10</v>
      </c>
      <c r="BM115" s="8" t="str">
        <f t="shared" si="42"/>
        <v>No</v>
      </c>
      <c r="BN115" s="8">
        <f t="shared" si="43"/>
        <v>8</v>
      </c>
      <c r="BO115" s="8">
        <f t="shared" si="44"/>
        <v>12</v>
      </c>
      <c r="BP115" s="8" cm="1">
        <f t="array" ref="BP115">IF(AND(_xlfn.XLOOKUP('Base stats'!E115,Groups!A:A,Groups!AD:AD=0),_xlfn.XLOOKUP('Base stats'!E115,Groups!A:A,Groups!P:P=0)),"No",IF(U115="No",AVERAGE(EXP(-0.57+0.99*LN(C115)),EXP(0.32+0.67*LN(C115)))/IF(_xlfn.XLOOKUP(E115,Groups!A:A,Groups!AD:AD)=1,10,2),(0.7354*C115^0.4078)*2/IF(_xlfn.XLOOKUP(E115,Groups!A:A,Groups!BK:BK)=1,1000,100)/IF(_xlfn.XLOOKUP(E115,Groups!A:A,Groups!AJ:AJ)="Photonozoa",3,1)))</f>
        <v>5.509861811333968E-2</v>
      </c>
      <c r="BQ115" s="8" t="str">
        <f>IF(W115="No","No",IF(_xlfn.XLOOKUP(E115,Groups!A:A,Groups!BD:BD)=1,(AO115*5%),EXP(0.7354*LN(C115)^0.4078)*2/IF(_xlfn.XLOOKUP(E115,Groups!A:A,Groups!BL:BL)=1,1000,100)/IF(_xlfn.XLOOKUP(E115,Groups!A:A,Groups!AJ:AJ)="Photonozoa",3,1)))</f>
        <v>No</v>
      </c>
      <c r="BR115" s="8">
        <f>IF(BJ115="No","No",IF(_xlfn.XLOOKUP(E115,Groups!A:A,Groups!BF:BF)=1,(0.0315*C115+2.1825)*2,(0.7354*C115^0.4078)*2)/IF(_xlfn.XLOOKUP(E115,Groups!A:A,Groups!BM:BM)=1,1000,100)/IF(_xlfn.XLOOKUP(E115,Groups!A:A,Groups!AJ:AJ)="Photonozoa",3,1))</f>
        <v>5.509861811333968E-2</v>
      </c>
      <c r="BS115" s="8">
        <f t="shared" si="45"/>
        <v>8.195282469142634E-2</v>
      </c>
      <c r="BT115" s="8">
        <f t="shared" si="46"/>
        <v>920.79568525912873</v>
      </c>
      <c r="BU115" s="8" t="str">
        <f t="shared" si="47"/>
        <v>No</v>
      </c>
      <c r="BV115" s="8">
        <f t="shared" si="48"/>
        <v>527.60200227857888</v>
      </c>
      <c r="BW115" s="4">
        <v>0</v>
      </c>
      <c r="BX115" s="4">
        <v>1</v>
      </c>
    </row>
    <row r="116" spans="1:76" x14ac:dyDescent="0.25">
      <c r="A116" s="26" t="s">
        <v>462</v>
      </c>
      <c r="B116" s="6" t="s">
        <v>600</v>
      </c>
      <c r="C116" s="7">
        <v>55</v>
      </c>
      <c r="D116" s="7" t="s">
        <v>601</v>
      </c>
      <c r="E116" s="7" t="str">
        <f>Groups!$A$31</f>
        <v>Marsupial (HERBIVOROUS, HOPPER)</v>
      </c>
      <c r="F116" s="7">
        <v>33</v>
      </c>
      <c r="G116" s="7">
        <f>517 /365</f>
        <v>1.4164383561643836</v>
      </c>
      <c r="H116" s="7">
        <v>25</v>
      </c>
      <c r="I116" s="4">
        <v>0</v>
      </c>
      <c r="J116" s="7">
        <v>1</v>
      </c>
      <c r="K116" s="7" t="s">
        <v>601</v>
      </c>
      <c r="L116" s="7">
        <v>65</v>
      </c>
      <c r="M116" s="7" t="s">
        <v>626</v>
      </c>
      <c r="N116" s="4">
        <v>0</v>
      </c>
      <c r="O116" s="4">
        <v>0</v>
      </c>
      <c r="P116" s="4">
        <v>0</v>
      </c>
      <c r="Q116" s="4">
        <v>0</v>
      </c>
      <c r="R116" s="4" t="s">
        <v>40</v>
      </c>
      <c r="S116" s="7">
        <f>_xlfn.XLOOKUP(B116,[1]TeethAdjusters!$A:$A,[1]BiteAdjusters!$C:$C,1)</f>
        <v>1</v>
      </c>
      <c r="T116" s="7">
        <f>_xlfn.XLOOKUP(B116,[1]TeethAdjusters!$A:$A,[1]TeethAdjusters!$B:$B,1)</f>
        <v>1</v>
      </c>
      <c r="U116" s="7">
        <v>5</v>
      </c>
      <c r="V116" s="7" t="str">
        <f>IF(AT116="No","No",IF(_xlfn.XLOOKUP(E116,Groups!A:A,Groups!AM:AM)=1,MROUND(EXP(0.3582*LN(C116)-0.2221)*T116,0.05),IF(_xlfn.XLOOKUP(E116,Groups!A:A,Groups!AM:AM)=2,MROUND(EXP(0.3582*LN(C116)-0.2221)*T116,0.05),"Need a formula")))</f>
        <v>No</v>
      </c>
      <c r="W116" s="7" t="s">
        <v>45</v>
      </c>
      <c r="X116" s="7" t="s">
        <v>932</v>
      </c>
      <c r="Y116" s="4" t="s">
        <v>42</v>
      </c>
      <c r="Z116" s="4">
        <v>1</v>
      </c>
      <c r="AA116" s="4">
        <v>0</v>
      </c>
      <c r="AB116" s="4">
        <v>0</v>
      </c>
      <c r="AC116" s="4">
        <v>0</v>
      </c>
      <c r="AD116" s="4">
        <v>0</v>
      </c>
      <c r="AE116" s="4" t="s">
        <v>45</v>
      </c>
      <c r="AF116" s="4" t="s">
        <v>398</v>
      </c>
      <c r="AG116" s="49" t="s">
        <v>392</v>
      </c>
      <c r="AH116" s="4" t="s">
        <v>45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4" t="s">
        <v>40</v>
      </c>
      <c r="AO116" s="8">
        <f t="shared" si="34"/>
        <v>15016.154461994613</v>
      </c>
      <c r="AP116" s="8">
        <f>IFERROR(C116*_xlfn.XLOOKUP(E116,Groups!A:A,Groups!K:K),0.106*C116^0.94)</f>
        <v>4.5840230568262754</v>
      </c>
      <c r="AQ116" s="8">
        <f>AP116*10000/(_xlfn.XLOOKUP(E116,Groups!A:A,Groups!J:J)*AO116)</f>
        <v>2.8006676082426014</v>
      </c>
      <c r="AR116" s="8">
        <f t="shared" si="35"/>
        <v>1605.1850768028401</v>
      </c>
      <c r="AS116" s="8">
        <f>IF(_xlfn.XLOOKUP(E116,Groups!A:A,Groups!M:M)=1,EXP(0.7444*LN('Base stats'!C116)+6.5696),EXP(0.7927*LN('Base stats'!C116)+4.28))</f>
        <v>1731.2743173050442</v>
      </c>
      <c r="AT116" s="8" t="str">
        <f>IF(_xlfn.XLOOKUP(E116,Groups!A:A,Groups!N:N)="No","No",
IF(_xlfn.XLOOKUP(E116,Groups!A:A,Groups!N:N)="Crocodile",EXP(0.8129*LN(C116)+4.6742)*S116,
IF(_xlfn.XLOOKUP(E116,Groups!A:A,Groups!N:N)="Felid",EXP(0.7843*LN(C116)+4.7073)*S116,
IF(_xlfn.XLOOKUP(E116,Groups!A:A,Groups!N:N)="Canid",EXP(0.8367*LN(C116)+4.8763)*S116,
IF(_xlfn.XLOOKUP(E116,Groups!A:A,Groups!N:N)="Pig",EXP(0.3439*LN(C116)+6.8519)*S116,
IF(_xlfn.XLOOKUP(E116,Groups!A:A,Groups!N:N)="Rodent",EXP(0.5625*LN(C116)+4.3006)*S116,
IF(_xlfn.XLOOKUP(E116,Groups!A:A,Groups!N:N)="Primate",EXP(0.7847*LN(C116)+3.4931)*S116,
IF(_xlfn.XLOOKUP(E116,Groups!A:A,Groups!N:N)="MiscCarnivora",EXP(0.7486*LN(C116)+4.2207)*S116,
IF(_xlfn.XLOOKUP(E116,Groups!A:A,Groups!N:N)="Lizard",EXP(0.7733*LN(C116)+5.5303)*S116,
IF(_xlfn.XLOOKUP(E116,Groups!A:A,Groups!N:N)="Snake",50*C116^(2/3)*S116,
IF(_xlfn.XLOOKUP(E116,Groups!A:A,Groups!N:N)="StrongBitingHerbivore",87.1133638856975*C116^(2/3)*S116,
IF(_xlfn.XLOOKUP(E116,Groups!A:A,Groups!N:N)="MiscEctotherms",59.4316884072269*C116^(2/3)*S116,
IF(_xlfn.XLOOKUP(E116,Groups!A:A,Groups!N:N)="StrongBeakBird",0.041*(C116*1000)^1.375*S116,
IF(_xlfn.XLOOKUP(E116,Groups!A:A,Groups!N:N)="Bird",0.118*(C116*1000)^0.692*S116,
IF(_xlfn.XLOOKUP(E116,Groups!A:A,Groups!N:N)="Insect",EXP(0.7444*LN(C116)+6.5696)*S116,
IF(_xlfn.XLOOKUP(E116,Groups!A:A,Groups!N:N)="Theropod",EXP(0.6966*LN(C116)+4.158)*S116,
"No"))))))))))))))))</f>
        <v>No</v>
      </c>
      <c r="AU116" s="8" t="str">
        <f>IF(_xlfn.XLOOKUP(E116,Groups!A:A,Groups!U:U)=3,AS116,IF(_xlfn.XLOOKUP(E116,Groups!A:A,Groups!U:U)=2,AR116,AT116))</f>
        <v>No</v>
      </c>
      <c r="AV116" s="46">
        <f>IFERROR(AVERAGE(_xlfn.XLOOKUP(B116,Animals!B:B,Animals!N:N),_xlfn.XLOOKUP(B116,Animals!B:B,Animals!O:O)),0)</f>
        <v>0</v>
      </c>
      <c r="AW116" s="8">
        <f>MROUND(40*Animals!AO116*_xlfn.XLOOKUP(AG116,Leathers!$A$2:$A$99,Leathers!$B$2:$B$99,0)+(140*_xlfn.XLOOKUP(B116,Animals!B:B,Animals!AO:AO)*2),5)</f>
        <v>330</v>
      </c>
      <c r="AX116" s="8">
        <f>IFERROR(ROUND(SQRT(V116-1)*IF(_xlfn.XLOOKUP(E116,Groups!A:A,Groups!BF:BF)=0,2,1)*IF(_xlfn.XLOOKUP('Base stats'!E116,Groups!A:A,Groups!O:O)=0,1,0.1),1),0)</f>
        <v>0</v>
      </c>
      <c r="AY116" s="8">
        <f t="shared" si="36"/>
        <v>2</v>
      </c>
      <c r="AZ116" s="8">
        <f t="shared" si="37"/>
        <v>0</v>
      </c>
      <c r="BA116" s="8">
        <f t="shared" si="38"/>
        <v>3.4</v>
      </c>
      <c r="BB116" s="8">
        <f>IF(_xlfn.XLOOKUP(E116,Groups!A:A,Groups!N:N)="Insect",BD116*2.5,IFERROR(AVERAGE(BD116,AT116/9.81/IF(OR(_xlfn.XLOOKUP(E116,Groups!A:A,Groups!N:N)="Pig",_xlfn.XLOOKUP(E116,Groups!A:A,Groups!N:N)="StrongBitingHerbivore"),20,25))*C116^-0.135,BD116))</f>
        <v>0.80448793422302267</v>
      </c>
      <c r="BC116" s="8" t="str">
        <f>IF(W116="No","No",IF(_xlfn.XLOOKUP(E116,Groups!A:A,Groups!U:U)=1,'Base stats'!BB116,IF(OR(_xlfn.XLOOKUP(E116,Groups!A:A,Groups!BD:BD)=1,_xlfn.XLOOKUP(E116,Groups!A:A,Groups!U:U)=2),BD116,IF(_xlfn.XLOOKUP(B116,Animals!B:B,Animals!AO:AO)&gt;4,AVERAGE(BD116,BF116),BF116))))</f>
        <v>No</v>
      </c>
      <c r="BD116" s="8">
        <f t="shared" si="39"/>
        <v>0.80448793422302267</v>
      </c>
      <c r="BE116" s="8">
        <f>IF(_xlfn.XLOOKUP(E116,Groups!A:A,Groups!BE:BE)=1,(0.048*C116^1.01)+(0.071*C116^1.03),0.071*C116^1.03)/IF(_xlfn.XLOOKUP(E116,Groups!A:A,Groups!M:M)=1,0.85,IF(OR(_xlfn.XLOOKUP(B116,Animals!B:B,Animals!AO:AO)&gt;4,_xlfn.XLOOKUP(E116,Groups!A:A,Groups!BC:BC)=1),1.7,1))*C116^-0.25</f>
        <v>2.6261760156276299</v>
      </c>
      <c r="BF116" s="8">
        <f>(0.048*C116^1.01)/IF(_xlfn.XLOOKUP(E116,Groups!A:A,Groups!M:M)=1,0.25,0.8)*C116^-0.25</f>
        <v>1.2613246825021767</v>
      </c>
      <c r="BG116" s="8">
        <f>EXP(1.076*LN(AR116)-4.5397)*IF(_xlfn.XLOOKUP(E116,Groups!A:A,Groups!BC:BC)=1,1.25,IF(_xlfn.XLOOKUP(E116,Groups!A:A,Groups!BD:BD)=1,3.5,2.5))</f>
        <v>75.078981297499624</v>
      </c>
      <c r="BH116" s="8">
        <f>EXP(1.076*LN(AS116)-4.5397)*IF(_xlfn.XLOOKUP(E116,Groups!A:A,Groups!M:M)=1,0.8,IF(_xlfn.XLOOKUP(E116,Groups!A:A,Groups!BC:BC)=1,1.3,3))</f>
        <v>97.731888109270812</v>
      </c>
      <c r="BI116" s="8" t="str">
        <f>IF(W116="No","No",IF(_xlfn.XLOOKUP(E116,Groups!A:A,Groups!U:U)=1,'Base stats'!BJ116,IF(OR(_xlfn.XLOOKUP(E116,Groups!A:A,Groups!BD:BD)=1,_xlfn.XLOOKUP(E116,Groups!A:A,Groups!U:U)=2),BG116,BH116))*1.2)</f>
        <v>No</v>
      </c>
      <c r="BJ116" s="8" t="str">
        <f>IFERROR(EXP(1.076*LN(AT116)-4.5397)*IF(_xlfn.XLOOKUP(E116,Groups!A:A,Groups!N:N)="Insect",1,IF(OR(_xlfn.XLOOKUP(E116,Groups!A:A,Groups!N:N)="Pig",_xlfn.XLOOKUP(E116,Groups!A:A,Groups!N:N)="StrongBitingHerbivore"),3.5,3.75)),"No")</f>
        <v>No</v>
      </c>
      <c r="BK116" s="8">
        <f t="shared" si="40"/>
        <v>13</v>
      </c>
      <c r="BL116" s="8">
        <f t="shared" si="41"/>
        <v>8</v>
      </c>
      <c r="BM116" s="8" t="str">
        <f t="shared" si="42"/>
        <v>No</v>
      </c>
      <c r="BN116" s="8" t="str">
        <f t="shared" si="43"/>
        <v>No</v>
      </c>
      <c r="BO116" s="8">
        <f t="shared" si="44"/>
        <v>12</v>
      </c>
      <c r="BP116" s="8" cm="1">
        <f t="array" ref="BP116">IF(AND(_xlfn.XLOOKUP('Base stats'!E116,Groups!A:A,Groups!AD:AD=0),_xlfn.XLOOKUP('Base stats'!E116,Groups!A:A,Groups!P:P=0)),"No",IF(U116="No",AVERAGE(EXP(-0.57+0.99*LN(C116)),EXP(0.32+0.67*LN(C116)))/IF(_xlfn.XLOOKUP(E116,Groups!A:A,Groups!AD:AD)=1,10,2),(0.7354*C116^0.4078)*2/IF(_xlfn.XLOOKUP(E116,Groups!A:A,Groups!BK:BK)=1,1000,100)/IF(_xlfn.XLOOKUP(E116,Groups!A:A,Groups!AJ:AJ)="Photonozoa",3,1)))</f>
        <v>7.5383018919233477E-2</v>
      </c>
      <c r="BQ116" s="8" t="str">
        <f>IF(W116="No","No",IF(_xlfn.XLOOKUP(E116,Groups!A:A,Groups!BD:BD)=1,(AO116*5%),EXP(0.7354*LN(C116)^0.4078)*2/IF(_xlfn.XLOOKUP(E116,Groups!A:A,Groups!BL:BL)=1,1000,100)/IF(_xlfn.XLOOKUP(E116,Groups!A:A,Groups!AJ:AJ)="Photonozoa",3,1)))</f>
        <v>No</v>
      </c>
      <c r="BR116" s="8" t="str">
        <f>IF(BJ116="No","No",IF(_xlfn.XLOOKUP(E116,Groups!A:A,Groups!BF:BF)=1,(0.0315*C116+2.1825)*2,(0.7354*C116^0.4078)*2)/IF(_xlfn.XLOOKUP(E116,Groups!A:A,Groups!BM:BM)=1,1000,100)/IF(_xlfn.XLOOKUP(E116,Groups!A:A,Groups!AJ:AJ)="Photonozoa",3,1))</f>
        <v>No</v>
      </c>
      <c r="BS116" s="8">
        <f t="shared" si="45"/>
        <v>9.9997614552410241E-2</v>
      </c>
      <c r="BT116" s="8">
        <f t="shared" si="46"/>
        <v>1296.4708698385011</v>
      </c>
      <c r="BU116" s="8" t="str">
        <f t="shared" si="47"/>
        <v>No</v>
      </c>
      <c r="BV116" s="8" t="str">
        <f t="shared" si="48"/>
        <v>No</v>
      </c>
      <c r="BW116" s="4">
        <v>0</v>
      </c>
      <c r="BX116" s="4">
        <v>1</v>
      </c>
    </row>
    <row r="117" spans="1:76" x14ac:dyDescent="0.25">
      <c r="A117" s="26" t="s">
        <v>464</v>
      </c>
      <c r="B117" s="6" t="s">
        <v>463</v>
      </c>
      <c r="C117" s="7">
        <v>9.3000000000000007</v>
      </c>
      <c r="D117" s="7" t="s">
        <v>589</v>
      </c>
      <c r="E117" s="7" t="str">
        <f>Groups!$A$29</f>
        <v>Marsupial (HERBIVOROUS)</v>
      </c>
      <c r="F117" s="7">
        <v>31</v>
      </c>
      <c r="G117" s="7">
        <f>646 /365</f>
        <v>1.7698630136986302</v>
      </c>
      <c r="H117" s="7">
        <v>22.1</v>
      </c>
      <c r="I117" s="4">
        <v>0</v>
      </c>
      <c r="J117" s="7">
        <v>1</v>
      </c>
      <c r="K117" s="7" t="s">
        <v>589</v>
      </c>
      <c r="L117" s="7">
        <f>MIN(20*C117^0.183,19.9*C117^0.142,13.7*C117^0.004)</f>
        <v>13.822751450214948</v>
      </c>
      <c r="M117" s="7" t="s">
        <v>626</v>
      </c>
      <c r="N117" s="4">
        <v>0</v>
      </c>
      <c r="O117" s="4">
        <v>0</v>
      </c>
      <c r="P117" s="4">
        <v>0</v>
      </c>
      <c r="Q117" s="4">
        <v>0</v>
      </c>
      <c r="R117" s="4" t="s">
        <v>40</v>
      </c>
      <c r="S117" s="7">
        <f>_xlfn.XLOOKUP(B117,[1]TeethAdjusters!$A:$A,[1]BiteAdjusters!$C:$C,1)</f>
        <v>1</v>
      </c>
      <c r="T117" s="7">
        <f>_xlfn.XLOOKUP(B117,[1]TeethAdjusters!$A:$A,[1]TeethAdjusters!$B:$B,1)</f>
        <v>1</v>
      </c>
      <c r="U117" s="7">
        <v>2.5</v>
      </c>
      <c r="V117" s="7">
        <v>0.5</v>
      </c>
      <c r="W117" s="7" t="s">
        <v>45</v>
      </c>
      <c r="X117" s="7" t="s">
        <v>932</v>
      </c>
      <c r="Y117" s="4" t="s">
        <v>42</v>
      </c>
      <c r="Z117" s="4">
        <v>1</v>
      </c>
      <c r="AA117" s="4">
        <v>0</v>
      </c>
      <c r="AB117" s="4">
        <v>0</v>
      </c>
      <c r="AC117" s="4">
        <v>0</v>
      </c>
      <c r="AD117" s="4">
        <v>0</v>
      </c>
      <c r="AE117" s="4" t="s">
        <v>45</v>
      </c>
      <c r="AF117" s="4" t="s">
        <v>45</v>
      </c>
      <c r="AG117" s="49" t="s">
        <v>385</v>
      </c>
      <c r="AH117" s="4" t="s">
        <v>45</v>
      </c>
      <c r="AI117" s="4">
        <v>0</v>
      </c>
      <c r="AJ117" s="4">
        <v>0</v>
      </c>
      <c r="AK117" s="4">
        <v>0</v>
      </c>
      <c r="AL117" s="4">
        <v>0</v>
      </c>
      <c r="AM117" s="4">
        <v>1</v>
      </c>
      <c r="AN117" s="44" t="s">
        <v>40</v>
      </c>
      <c r="AO117" s="8">
        <f t="shared" si="34"/>
        <v>4729.7359453007584</v>
      </c>
      <c r="AP117" s="8">
        <f>IFERROR(C117*_xlfn.XLOOKUP(E117,Groups!A:A,Groups!K:K),0.106*C117^0.94)</f>
        <v>0.86234259203511221</v>
      </c>
      <c r="AQ117" s="8">
        <f>AP117*10000/(_xlfn.XLOOKUP(E117,Groups!A:A,Groups!J:J)*AO117)</f>
        <v>1.6726937863810405</v>
      </c>
      <c r="AR117" s="8">
        <f t="shared" si="35"/>
        <v>357.69946972785391</v>
      </c>
      <c r="AS117" s="8">
        <f>IF(_xlfn.XLOOKUP(E117,Groups!A:A,Groups!M:M)=1,EXP(0.7444*LN('Base stats'!C117)+6.5696),EXP(0.7927*LN('Base stats'!C117)+4.28))</f>
        <v>423.15240726068942</v>
      </c>
      <c r="AT117" s="8">
        <f>IF(_xlfn.XLOOKUP(E117,Groups!A:A,Groups!N:N)="No","No",
IF(_xlfn.XLOOKUP(E117,Groups!A:A,Groups!N:N)="Crocodile",EXP(0.8129*LN(C117)+4.6742)*S117,
IF(_xlfn.XLOOKUP(E117,Groups!A:A,Groups!N:N)="Felid",EXP(0.7843*LN(C117)+4.7073)*S117,
IF(_xlfn.XLOOKUP(E117,Groups!A:A,Groups!N:N)="Canid",EXP(0.8367*LN(C117)+4.8763)*S117,
IF(_xlfn.XLOOKUP(E117,Groups!A:A,Groups!N:N)="Pig",EXP(0.3439*LN(C117)+6.8519)*S117,
IF(_xlfn.XLOOKUP(E117,Groups!A:A,Groups!N:N)="Rodent",EXP(0.5625*LN(C117)+4.3006)*S117,
IF(_xlfn.XLOOKUP(E117,Groups!A:A,Groups!N:N)="Primate",EXP(0.7847*LN(C117)+3.4931)*S117,
IF(_xlfn.XLOOKUP(E117,Groups!A:A,Groups!N:N)="MiscCarnivora",EXP(0.7486*LN(C117)+4.2207)*S117,
IF(_xlfn.XLOOKUP(E117,Groups!A:A,Groups!N:N)="Lizard",EXP(0.7733*LN(C117)+5.5303)*S117,
IF(_xlfn.XLOOKUP(E117,Groups!A:A,Groups!N:N)="Snake",50*C117^(2/3)*S117,
IF(_xlfn.XLOOKUP(E117,Groups!A:A,Groups!N:N)="StrongBitingHerbivore",87.1133638856975*C117^(2/3)*S117,
IF(_xlfn.XLOOKUP(E117,Groups!A:A,Groups!N:N)="MiscEctotherms",59.4316884072269*C117^(2/3)*S117,
IF(_xlfn.XLOOKUP(E117,Groups!A:A,Groups!N:N)="StrongBeakBird",0.041*(C117*1000)^1.375*S117,
IF(_xlfn.XLOOKUP(E117,Groups!A:A,Groups!N:N)="Bird",0.118*(C117*1000)^0.692*S117,
IF(_xlfn.XLOOKUP(E117,Groups!A:A,Groups!N:N)="Insect",EXP(0.7444*LN(C117)+6.5696)*S117,
IF(_xlfn.XLOOKUP(E117,Groups!A:A,Groups!N:N)="Theropod",EXP(0.6966*LN(C117)+4.158)*S117,
"No"))))))))))))))))</f>
        <v>258.52259547494447</v>
      </c>
      <c r="AU117" s="8">
        <f>IF(_xlfn.XLOOKUP(E117,Groups!A:A,Groups!U:U)=3,AS117,IF(_xlfn.XLOOKUP(E117,Groups!A:A,Groups!U:U)=2,AR117,AT117))</f>
        <v>258.52259547494447</v>
      </c>
      <c r="AV117" s="46">
        <f>IFERROR(AVERAGE(_xlfn.XLOOKUP(B117,Animals!B:B,Animals!N:N),_xlfn.XLOOKUP(B117,Animals!B:B,Animals!O:O)),0)</f>
        <v>0</v>
      </c>
      <c r="AW117" s="8">
        <f>MROUND(40*Animals!AO117*_xlfn.XLOOKUP(AG117,Leathers!$A$2:$A$99,Leathers!$B$2:$B$99,0)+(140*_xlfn.XLOOKUP(B117,Animals!B:B,Animals!AO:AO)*2),5)</f>
        <v>140</v>
      </c>
      <c r="AX117" s="8">
        <f>IFERROR(ROUND(SQRT(V117-1)*IF(_xlfn.XLOOKUP(E117,Groups!A:A,Groups!BF:BF)=0,2,1)*IF(_xlfn.XLOOKUP('Base stats'!E117,Groups!A:A,Groups!O:O)=0,1,0.1),1),0)</f>
        <v>0</v>
      </c>
      <c r="AY117" s="8">
        <f t="shared" si="36"/>
        <v>1.2</v>
      </c>
      <c r="AZ117" s="8">
        <f t="shared" si="37"/>
        <v>0</v>
      </c>
      <c r="BA117" s="8">
        <f t="shared" si="38"/>
        <v>1.5</v>
      </c>
      <c r="BB117" s="8">
        <f>IF(_xlfn.XLOOKUP(E117,Groups!A:A,Groups!N:N)="Insect",BD117*2.5,IFERROR(AVERAGE(BD117,AT117/9.81/IF(OR(_xlfn.XLOOKUP(E117,Groups!A:A,Groups!N:N)="Pig",_xlfn.XLOOKUP(E117,Groups!A:A,Groups!N:N)="StrongBitingHerbivore"),20,25))*C117^-0.135,BD117))</f>
        <v>0.46798222308023507</v>
      </c>
      <c r="BC117" s="8" t="str">
        <f>IF(W117="No","No",IF(_xlfn.XLOOKUP(E117,Groups!A:A,Groups!U:U)=1,'Base stats'!BB117,IF(OR(_xlfn.XLOOKUP(E117,Groups!A:A,Groups!BD:BD)=1,_xlfn.XLOOKUP(E117,Groups!A:A,Groups!U:U)=2),BD117,IF(_xlfn.XLOOKUP(B117,Animals!B:B,Animals!AO:AO)&gt;4,AVERAGE(BD117,BF117),BF117))))</f>
        <v>No</v>
      </c>
      <c r="BD117" s="8">
        <f t="shared" si="39"/>
        <v>0.21063096149006141</v>
      </c>
      <c r="BE117" s="8">
        <f>IF(_xlfn.XLOOKUP(E117,Groups!A:A,Groups!BE:BE)=1,(0.048*C117^1.01)+(0.071*C117^1.03),0.071*C117^1.03)/IF(_xlfn.XLOOKUP(E117,Groups!A:A,Groups!M:M)=1,0.85,IF(OR(_xlfn.XLOOKUP(B117,Animals!B:B,Animals!AO:AO)&gt;4,_xlfn.XLOOKUP(E117,Groups!A:A,Groups!BC:BC)=1),1.7,1))*C117^-0.25</f>
        <v>0.40427328979968796</v>
      </c>
      <c r="BF117" s="8">
        <f>(0.048*C117^1.01)/IF(_xlfn.XLOOKUP(E117,Groups!A:A,Groups!M:M)=1,0.25,0.8)*C117^-0.25</f>
        <v>0.32673698052620759</v>
      </c>
      <c r="BG117" s="8">
        <f>EXP(1.076*LN(AR117)-4.5397)*IF(_xlfn.XLOOKUP(E117,Groups!A:A,Groups!BC:BC)=1,1.25,IF(_xlfn.XLOOKUP(E117,Groups!A:A,Groups!BD:BD)=1,3.5,2.5))</f>
        <v>14.926536113178264</v>
      </c>
      <c r="BH117" s="8">
        <f>EXP(1.076*LN(AS117)-4.5397)*IF(_xlfn.XLOOKUP(E117,Groups!A:A,Groups!M:M)=1,0.8,IF(_xlfn.XLOOKUP(E117,Groups!A:A,Groups!BC:BC)=1,1.3,3))</f>
        <v>21.461751851563431</v>
      </c>
      <c r="BI117" s="8" t="str">
        <f>IF(W117="No","No",IF(_xlfn.XLOOKUP(E117,Groups!A:A,Groups!U:U)=1,'Base stats'!BJ117,IF(OR(_xlfn.XLOOKUP(E117,Groups!A:A,Groups!BD:BD)=1,_xlfn.XLOOKUP(E117,Groups!A:A,Groups!U:U)=2),BG117,BH117))*1.2)</f>
        <v>No</v>
      </c>
      <c r="BJ117" s="8">
        <f>IFERROR(EXP(1.076*LN(AT117)-4.5397)*IF(_xlfn.XLOOKUP(E117,Groups!A:A,Groups!N:N)="Insect",1,IF(OR(_xlfn.XLOOKUP(E117,Groups!A:A,Groups!N:N)="Pig",_xlfn.XLOOKUP(E117,Groups!A:A,Groups!N:N)="StrongBitingHerbivore"),3.5,3.75)),"No")</f>
        <v>15.787486864838188</v>
      </c>
      <c r="BK117" s="8">
        <f t="shared" si="40"/>
        <v>11</v>
      </c>
      <c r="BL117" s="8">
        <f t="shared" si="41"/>
        <v>10</v>
      </c>
      <c r="BM117" s="8" t="str">
        <f t="shared" si="42"/>
        <v>No</v>
      </c>
      <c r="BN117" s="8">
        <f t="shared" si="43"/>
        <v>8</v>
      </c>
      <c r="BO117" s="8">
        <f t="shared" si="44"/>
        <v>11</v>
      </c>
      <c r="BP117" s="8" cm="1">
        <f t="array" ref="BP117">IF(AND(_xlfn.XLOOKUP('Base stats'!E117,Groups!A:A,Groups!AD:AD=0),_xlfn.XLOOKUP('Base stats'!E117,Groups!A:A,Groups!P:P=0)),"No",IF(U117="No",AVERAGE(EXP(-0.57+0.99*LN(C117)),EXP(0.32+0.67*LN(C117)))/IF(_xlfn.XLOOKUP(E117,Groups!A:A,Groups!AD:AD)=1,10,2),(0.7354*C117^0.4078)*2/IF(_xlfn.XLOOKUP(E117,Groups!A:A,Groups!BK:BK)=1,1000,100)/IF(_xlfn.XLOOKUP(E117,Groups!A:A,Groups!AJ:AJ)="Photonozoa",3,1)))</f>
        <v>3.6517494087127893E-2</v>
      </c>
      <c r="BQ117" s="8" t="str">
        <f>IF(W117="No","No",IF(_xlfn.XLOOKUP(E117,Groups!A:A,Groups!BD:BD)=1,(AO117*5%),EXP(0.7354*LN(C117)^0.4078)*2/IF(_xlfn.XLOOKUP(E117,Groups!A:A,Groups!BL:BL)=1,1000,100)/IF(_xlfn.XLOOKUP(E117,Groups!A:A,Groups!AJ:AJ)="Photonozoa",3,1)))</f>
        <v>No</v>
      </c>
      <c r="BR117" s="8">
        <f>IF(BJ117="No","No",IF(_xlfn.XLOOKUP(E117,Groups!A:A,Groups!BF:BF)=1,(0.0315*C117+2.1825)*2,(0.7354*C117^0.4078)*2)/IF(_xlfn.XLOOKUP(E117,Groups!A:A,Groups!BM:BM)=1,1000,100)/IF(_xlfn.XLOOKUP(E117,Groups!A:A,Groups!AJ:AJ)="Photonozoa",3,1))</f>
        <v>3.6517494087127893E-2</v>
      </c>
      <c r="BS117" s="8">
        <f t="shared" si="45"/>
        <v>6.3117841189458207E-2</v>
      </c>
      <c r="BT117" s="8">
        <f t="shared" si="46"/>
        <v>587.71151712539108</v>
      </c>
      <c r="BU117" s="8" t="str">
        <f t="shared" si="47"/>
        <v>No</v>
      </c>
      <c r="BV117" s="8">
        <f t="shared" si="48"/>
        <v>432.32667682975386</v>
      </c>
      <c r="BW117" s="4">
        <v>0</v>
      </c>
      <c r="BX117" s="4">
        <v>1</v>
      </c>
    </row>
    <row r="118" spans="1:76" x14ac:dyDescent="0.25">
      <c r="A118" s="26" t="s">
        <v>465</v>
      </c>
      <c r="B118" s="6" t="s">
        <v>466</v>
      </c>
      <c r="C118" s="7">
        <v>1.25</v>
      </c>
      <c r="D118" s="7" t="s">
        <v>590</v>
      </c>
      <c r="E118" s="7" t="str">
        <f>Groups!$A$44</f>
        <v>Platypus</v>
      </c>
      <c r="F118" s="7" t="str">
        <f>"Lay eggs"</f>
        <v>Lay eggs</v>
      </c>
      <c r="G118" s="7">
        <f>548 /365</f>
        <v>1.5013698630136987</v>
      </c>
      <c r="H118" s="7">
        <v>22.6</v>
      </c>
      <c r="I118" s="4">
        <v>0</v>
      </c>
      <c r="J118" s="7" t="str">
        <f>"Lay eggs"</f>
        <v>Lay eggs</v>
      </c>
      <c r="K118" s="7" t="s">
        <v>590</v>
      </c>
      <c r="L118" s="7">
        <f>MIN(20*C118^0.183,19.9*C118^0.142,13.7*C118^0.004)</f>
        <v>13.712233725553745</v>
      </c>
      <c r="M118" s="7" t="s">
        <v>626</v>
      </c>
      <c r="N118" s="4">
        <v>0</v>
      </c>
      <c r="O118" s="4">
        <v>0</v>
      </c>
      <c r="P118" s="4">
        <v>0</v>
      </c>
      <c r="Q118" s="4">
        <v>0</v>
      </c>
      <c r="R118" s="4" t="s">
        <v>40</v>
      </c>
      <c r="S118" s="7">
        <f>_xlfn.XLOOKUP(B118,[1]TeethAdjusters!$A:$A,[1]BiteAdjusters!$C:$C,1)</f>
        <v>1</v>
      </c>
      <c r="T118" s="7">
        <f>_xlfn.XLOOKUP(B118,[1]TeethAdjusters!$A:$A,[1]TeethAdjusters!$B:$B,1)</f>
        <v>1</v>
      </c>
      <c r="U118" s="7">
        <f>MROUND(1.8,0.05)</f>
        <v>1.8</v>
      </c>
      <c r="V118" s="7">
        <v>5</v>
      </c>
      <c r="W118" s="7" t="s">
        <v>45</v>
      </c>
      <c r="X118" s="7" t="s">
        <v>932</v>
      </c>
      <c r="Y118" s="4" t="s">
        <v>56</v>
      </c>
      <c r="Z118" s="4">
        <v>1</v>
      </c>
      <c r="AA118" s="4">
        <v>0</v>
      </c>
      <c r="AB118" s="4">
        <v>0</v>
      </c>
      <c r="AC118" s="4">
        <v>0</v>
      </c>
      <c r="AD118" s="4">
        <v>0</v>
      </c>
      <c r="AE118" s="4" t="s">
        <v>45</v>
      </c>
      <c r="AF118" s="4" t="s">
        <v>45</v>
      </c>
      <c r="AG118" s="49" t="s">
        <v>385</v>
      </c>
      <c r="AH118" s="4" t="s">
        <v>45</v>
      </c>
      <c r="AI118" s="4">
        <v>0</v>
      </c>
      <c r="AJ118" s="4">
        <v>0</v>
      </c>
      <c r="AK118" s="4">
        <v>0</v>
      </c>
      <c r="AL118" s="4">
        <v>0</v>
      </c>
      <c r="AM118" s="4">
        <v>1</v>
      </c>
      <c r="AN118" s="44">
        <f>3.6*(23.3/11)</f>
        <v>7.6254545454545459</v>
      </c>
      <c r="AO118" s="8">
        <f t="shared" si="34"/>
        <v>1283.2594976509731</v>
      </c>
      <c r="AP118" s="8">
        <f>IFERROR(C118*_xlfn.XLOOKUP(E118,Groups!A:A,Groups!K:K),0.106*C118^0.94)</f>
        <v>0.13073783158563235</v>
      </c>
      <c r="AQ118" s="8">
        <f>AP118*10000/(_xlfn.XLOOKUP(E118,Groups!A:A,Groups!J:J)*AO118)</f>
        <v>0.9346742804321212</v>
      </c>
      <c r="AR118" s="8">
        <f t="shared" si="35"/>
        <v>65.659963606094692</v>
      </c>
      <c r="AS118" s="8">
        <f>IF(_xlfn.XLOOKUP(E118,Groups!A:A,Groups!M:M)=1,EXP(0.7444*LN('Base stats'!C118)+6.5696),EXP(0.7927*LN('Base stats'!C118)+4.28))</f>
        <v>86.218596678127668</v>
      </c>
      <c r="AT118" s="8">
        <f>IF(_xlfn.XLOOKUP(E118,Groups!A:A,Groups!N:N)="No","No",
IF(_xlfn.XLOOKUP(E118,Groups!A:A,Groups!N:N)="Crocodile",EXP(0.8129*LN(C118)+4.6742)*S118,
IF(_xlfn.XLOOKUP(E118,Groups!A:A,Groups!N:N)="Felid",EXP(0.7843*LN(C118)+4.7073)*S118,
IF(_xlfn.XLOOKUP(E118,Groups!A:A,Groups!N:N)="Canid",EXP(0.8367*LN(C118)+4.8763)*S118,
IF(_xlfn.XLOOKUP(E118,Groups!A:A,Groups!N:N)="Pig",EXP(0.3439*LN(C118)+6.8519)*S118,
IF(_xlfn.XLOOKUP(E118,Groups!A:A,Groups!N:N)="Rodent",EXP(0.5625*LN(C118)+4.3006)*S118,
IF(_xlfn.XLOOKUP(E118,Groups!A:A,Groups!N:N)="Primate",EXP(0.7847*LN(C118)+3.4931)*S118,
IF(_xlfn.XLOOKUP(E118,Groups!A:A,Groups!N:N)="MiscCarnivora",EXP(0.7486*LN(C118)+4.2207)*S118,
IF(_xlfn.XLOOKUP(E118,Groups!A:A,Groups!N:N)="Lizard",EXP(0.7733*LN(C118)+5.5303)*S118,
IF(_xlfn.XLOOKUP(E118,Groups!A:A,Groups!N:N)="Snake",50*C118^(2/3)*S118,
IF(_xlfn.XLOOKUP(E118,Groups!A:A,Groups!N:N)="StrongBitingHerbivore",87.1133638856975*C118^(2/3)*S118,
IF(_xlfn.XLOOKUP(E118,Groups!A:A,Groups!N:N)="MiscEctotherms",59.4316884072269*C118^(2/3)*S118,
IF(_xlfn.XLOOKUP(E118,Groups!A:A,Groups!N:N)="StrongBeakBird",0.041*(C118*1000)^1.375*S118,
IF(_xlfn.XLOOKUP(E118,Groups!A:A,Groups!N:N)="Bird",0.118*(C118*1000)^0.692*S118,
IF(_xlfn.XLOOKUP(E118,Groups!A:A,Groups!N:N)="Insect",EXP(0.7444*LN(C118)+6.5696)*S118,
IF(_xlfn.XLOOKUP(E118,Groups!A:A,Groups!N:N)="Theropod",EXP(0.6966*LN(C118)+4.158)*S118,
"No"))))))))))))))))</f>
        <v>16.403772453800375</v>
      </c>
      <c r="AU118" s="8">
        <f>IF(_xlfn.XLOOKUP(E118,Groups!A:A,Groups!U:U)=3,AS118,IF(_xlfn.XLOOKUP(E118,Groups!A:A,Groups!U:U)=2,AR118,AT118))</f>
        <v>16.403772453800375</v>
      </c>
      <c r="AV118" s="46">
        <f>IFERROR(AVERAGE(_xlfn.XLOOKUP(B118,Animals!B:B,Animals!N:N),_xlfn.XLOOKUP(B118,Animals!B:B,Animals!O:O)),0)</f>
        <v>0</v>
      </c>
      <c r="AW118" s="8">
        <f>MROUND(40*Animals!AO118*_xlfn.XLOOKUP(AG118,Leathers!$A$2:$A$99,Leathers!$B$2:$B$99,0)+(140*_xlfn.XLOOKUP(B118,Animals!B:B,Animals!AO:AO)*2),5)</f>
        <v>55</v>
      </c>
      <c r="AX118" s="8">
        <f>IFERROR(ROUND(SQRT(V118-1)*IF(_xlfn.XLOOKUP(E118,Groups!A:A,Groups!BF:BF)=0,2,1)*IF(_xlfn.XLOOKUP('Base stats'!E118,Groups!A:A,Groups!O:O)=0,1,0.1),1),0)</f>
        <v>0.2</v>
      </c>
      <c r="AY118" s="8">
        <f t="shared" si="36"/>
        <v>0.9</v>
      </c>
      <c r="AZ118" s="8">
        <f t="shared" si="37"/>
        <v>0</v>
      </c>
      <c r="BA118" s="8">
        <f t="shared" si="38"/>
        <v>0.7</v>
      </c>
      <c r="BB118" s="8">
        <f>IF(_xlfn.XLOOKUP(E118,Groups!A:A,Groups!N:N)="Insect",BD118*2.5,IFERROR(AVERAGE(BD118,AT118/9.81/IF(OR(_xlfn.XLOOKUP(E118,Groups!A:A,Groups!N:N)="Pig",_xlfn.XLOOKUP(E118,Groups!A:A,Groups!N:N)="StrongBitingHerbivore"),20,25))*C118^-0.135,BD118))</f>
        <v>5.534367988556204E-2</v>
      </c>
      <c r="BC118" s="8" t="str">
        <f>IF(W118="No","No",IF(_xlfn.XLOOKUP(E118,Groups!A:A,Groups!U:U)=1,'Base stats'!BB118,IF(OR(_xlfn.XLOOKUP(E118,Groups!A:A,Groups!BD:BD)=1,_xlfn.XLOOKUP(E118,Groups!A:A,Groups!U:U)=2),BD118,IF(_xlfn.XLOOKUP(B118,Animals!B:B,Animals!AO:AO)&gt;4,AVERAGE(BD118,BF118),BF118))))</f>
        <v>No</v>
      </c>
      <c r="BD118" s="8">
        <f t="shared" si="39"/>
        <v>4.7186556775152606E-2</v>
      </c>
      <c r="BE118" s="8">
        <f>IF(_xlfn.XLOOKUP(E118,Groups!A:A,Groups!BE:BE)=1,(0.048*C118^1.01)+(0.071*C118^1.03),0.071*C118^1.03)/IF(_xlfn.XLOOKUP(E118,Groups!A:A,Groups!M:M)=1,0.85,IF(OR(_xlfn.XLOOKUP(B118,Animals!B:B,Animals!AO:AO)&gt;4,_xlfn.XLOOKUP(E118,Groups!A:A,Groups!BC:BC)=1),1.7,1))*C118^-0.25</f>
        <v>8.4498336439801938E-2</v>
      </c>
      <c r="BF118" s="8">
        <f>(0.048*C118^1.01)/IF(_xlfn.XLOOKUP(E118,Groups!A:A,Groups!M:M)=1,0.25,0.8)*C118^-0.25</f>
        <v>7.1089074505184646E-2</v>
      </c>
      <c r="BG118" s="8">
        <f>EXP(1.076*LN(AR118)-4.5397)*IF(_xlfn.XLOOKUP(E118,Groups!A:A,Groups!BC:BC)=1,1.25,IF(_xlfn.XLOOKUP(E118,Groups!A:A,Groups!BD:BD)=1,3.5,2.5))</f>
        <v>2.4087339580560458</v>
      </c>
      <c r="BH118" s="8">
        <f>EXP(1.076*LN(AS118)-4.5397)*IF(_xlfn.XLOOKUP(E118,Groups!A:A,Groups!M:M)=1,0.8,IF(_xlfn.XLOOKUP(E118,Groups!A:A,Groups!BC:BC)=1,1.3,3))</f>
        <v>3.8749064077407116</v>
      </c>
      <c r="BI118" s="8" t="str">
        <f>IF(W118="No","No",IF(_xlfn.XLOOKUP(E118,Groups!A:A,Groups!U:U)=1,'Base stats'!BJ118,IF(OR(_xlfn.XLOOKUP(E118,Groups!A:A,Groups!BD:BD)=1,_xlfn.XLOOKUP(E118,Groups!A:A,Groups!U:U)=2),BG118,BH118))*1.2)</f>
        <v>No</v>
      </c>
      <c r="BJ118" s="8">
        <f>IFERROR(EXP(1.076*LN(AT118)-4.5397)*IF(_xlfn.XLOOKUP(E118,Groups!A:A,Groups!N:N)="Insect",1,IF(OR(_xlfn.XLOOKUP(E118,Groups!A:A,Groups!N:N)="Pig",_xlfn.XLOOKUP(E118,Groups!A:A,Groups!N:N)="StrongBitingHerbivore"),3.5,3.75)),"No")</f>
        <v>0.81235165295276968</v>
      </c>
      <c r="BK118" s="8">
        <f t="shared" si="40"/>
        <v>10</v>
      </c>
      <c r="BL118" s="8">
        <f t="shared" si="41"/>
        <v>9</v>
      </c>
      <c r="BM118" s="8" t="str">
        <f t="shared" si="42"/>
        <v>No</v>
      </c>
      <c r="BN118" s="8">
        <f t="shared" si="43"/>
        <v>5</v>
      </c>
      <c r="BO118" s="8">
        <f t="shared" si="44"/>
        <v>10</v>
      </c>
      <c r="BP118" s="8" cm="1">
        <f t="array" ref="BP118">IF(AND(_xlfn.XLOOKUP('Base stats'!E118,Groups!A:A,Groups!AD:AD=0),_xlfn.XLOOKUP('Base stats'!E118,Groups!A:A,Groups!P:P=0)),"No",IF(U118="No",AVERAGE(EXP(-0.57+0.99*LN(C118)),EXP(0.32+0.67*LN(C118)))/IF(_xlfn.XLOOKUP(E118,Groups!A:A,Groups!AD:AD)=1,10,2),(0.7354*C118^0.4078)*2/IF(_xlfn.XLOOKUP(E118,Groups!A:A,Groups!BK:BK)=1,1000,100)/IF(_xlfn.XLOOKUP(E118,Groups!A:A,Groups!AJ:AJ)="Photonozoa",3,1)))</f>
        <v>1.6109183348029264E-2</v>
      </c>
      <c r="BQ118" s="8" t="str">
        <f>IF(W118="No","No",IF(_xlfn.XLOOKUP(E118,Groups!A:A,Groups!BD:BD)=1,(AO118*5%),EXP(0.7354*LN(C118)^0.4078)*2/IF(_xlfn.XLOOKUP(E118,Groups!A:A,Groups!BL:BL)=1,1000,100)/IF(_xlfn.XLOOKUP(E118,Groups!A:A,Groups!AJ:AJ)="Photonozoa",3,1)))</f>
        <v>No</v>
      </c>
      <c r="BR118" s="8">
        <f>IF(BJ118="No","No",IF(_xlfn.XLOOKUP(E118,Groups!A:A,Groups!BF:BF)=1,(0.0315*C118+2.1825)*2,(0.7354*C118^0.4078)*2)/IF(_xlfn.XLOOKUP(E118,Groups!A:A,Groups!BM:BM)=1,1000,100)/IF(_xlfn.XLOOKUP(E118,Groups!A:A,Groups!AJ:AJ)="Photonozoa",3,1))</f>
        <v>1.6109183348029264E-2</v>
      </c>
      <c r="BS118" s="8">
        <f t="shared" si="45"/>
        <v>3.7540870922292358E-2</v>
      </c>
      <c r="BT118" s="8">
        <f t="shared" si="46"/>
        <v>240.54021386594701</v>
      </c>
      <c r="BU118" s="8" t="str">
        <f t="shared" si="47"/>
        <v>No</v>
      </c>
      <c r="BV118" s="8">
        <f t="shared" si="48"/>
        <v>50.427860643360901</v>
      </c>
      <c r="BW118" s="4">
        <v>0</v>
      </c>
      <c r="BX118" s="4">
        <v>1</v>
      </c>
    </row>
    <row r="119" spans="1:76" s="16" customFormat="1" x14ac:dyDescent="0.25">
      <c r="A119" s="26" t="s">
        <v>1004</v>
      </c>
      <c r="B119" s="6" t="s">
        <v>913</v>
      </c>
      <c r="C119" s="7">
        <v>13.25</v>
      </c>
      <c r="D119" s="7" t="s">
        <v>582</v>
      </c>
      <c r="E119" s="7" t="str">
        <f>Groups!$A$15</f>
        <v>Doglike (CANID)</v>
      </c>
      <c r="F119" s="7">
        <v>63</v>
      </c>
      <c r="G119" s="7">
        <f>274 /365</f>
        <v>0.75068493150684934</v>
      </c>
      <c r="H119" s="7">
        <v>21.8</v>
      </c>
      <c r="I119" s="4">
        <v>0</v>
      </c>
      <c r="J119" s="7">
        <v>6</v>
      </c>
      <c r="K119" s="7" t="s">
        <v>582</v>
      </c>
      <c r="L119" s="7">
        <v>65</v>
      </c>
      <c r="M119" s="7" t="s">
        <v>626</v>
      </c>
      <c r="N119" s="4">
        <v>0</v>
      </c>
      <c r="O119" s="4">
        <v>0</v>
      </c>
      <c r="P119" s="4">
        <v>0</v>
      </c>
      <c r="Q119" s="4">
        <v>0</v>
      </c>
      <c r="R119" s="4" t="s">
        <v>40</v>
      </c>
      <c r="S119" s="7">
        <f>_xlfn.XLOOKUP(B119,[1]TeethAdjusters!$A:$A,[1]BiteAdjusters!$C:$C,1)</f>
        <v>0.71451147426394657</v>
      </c>
      <c r="T119" s="7">
        <f>_xlfn.XLOOKUP(B119,[1]TeethAdjusters!$A:$A,[1]TeethAdjusters!$B:$B,1)</f>
        <v>1.1410682230934119</v>
      </c>
      <c r="U119" s="7" t="s">
        <v>45</v>
      </c>
      <c r="V119" s="7">
        <f>IF(AT119="No","No",IF(_xlfn.XLOOKUP(E119,Groups!A:A,Groups!AM:AM)=1,MROUND(EXP(0.3582*LN(C119)-0.2221)*T119,0.05),IF(_xlfn.XLOOKUP(E119,Groups!A:A,Groups!AM:AM)=2,MROUND(EXP(0.3582*LN(C119)-0.2221)*T119,0.05),"Need a formula")))</f>
        <v>2.3000000000000003</v>
      </c>
      <c r="W119" s="7" t="s">
        <v>45</v>
      </c>
      <c r="X119" s="7" t="s">
        <v>932</v>
      </c>
      <c r="Y119" s="4" t="s">
        <v>56</v>
      </c>
      <c r="Z119" s="4">
        <v>1</v>
      </c>
      <c r="AA119" s="4">
        <v>0</v>
      </c>
      <c r="AB119" s="4">
        <v>0</v>
      </c>
      <c r="AC119" s="4">
        <v>0</v>
      </c>
      <c r="AD119" s="4">
        <v>0</v>
      </c>
      <c r="AE119" s="4" t="s">
        <v>45</v>
      </c>
      <c r="AF119" s="4" t="s">
        <v>311</v>
      </c>
      <c r="AG119" s="49" t="s">
        <v>396</v>
      </c>
      <c r="AH119" s="4" t="str">
        <f>Animals!$C$56</f>
        <v>&lt;li&gt;Wolf_Timber&lt;/li&gt;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4" t="s">
        <v>40</v>
      </c>
      <c r="AO119" s="8">
        <f t="shared" si="34"/>
        <v>5953.3758261455168</v>
      </c>
      <c r="AP119" s="8">
        <f>IFERROR(C119*_xlfn.XLOOKUP(E119,Groups!A:A,Groups!K:K),0.106*C119^0.94)</f>
        <v>1.6529374999999999</v>
      </c>
      <c r="AQ119" s="8">
        <f>AP119*10000/(_xlfn.XLOOKUP(E119,Groups!A:A,Groups!J:J)*AO119)</f>
        <v>2.5472210495405099</v>
      </c>
      <c r="AR119" s="8">
        <f t="shared" si="35"/>
        <v>482.36579284271642</v>
      </c>
      <c r="AS119" s="8">
        <f>IF(_xlfn.XLOOKUP(E119,Groups!A:A,Groups!M:M)=1,EXP(0.7444*LN('Base stats'!C119)+6.5696),EXP(0.7927*LN('Base stats'!C119)+4.28))</f>
        <v>560.22296698291473</v>
      </c>
      <c r="AT119" s="8">
        <f>IF(_xlfn.XLOOKUP(E119,Groups!A:A,Groups!N:N)="No","No",
IF(_xlfn.XLOOKUP(E119,Groups!A:A,Groups!N:N)="Crocodile",EXP(0.8129*LN(C119)+4.6742)*S119,
IF(_xlfn.XLOOKUP(E119,Groups!A:A,Groups!N:N)="Felid",EXP(0.7843*LN(C119)+4.7073)*S119,
IF(_xlfn.XLOOKUP(E119,Groups!A:A,Groups!N:N)="Canid",EXP(0.8367*LN(C119)+4.8763)*S119,
IF(_xlfn.XLOOKUP(E119,Groups!A:A,Groups!N:N)="Pig",EXP(0.3439*LN(C119)+6.8519)*S119,
IF(_xlfn.XLOOKUP(E119,Groups!A:A,Groups!N:N)="Rodent",EXP(0.5625*LN(C119)+4.3006)*S119,
IF(_xlfn.XLOOKUP(E119,Groups!A:A,Groups!N:N)="Primate",EXP(0.7847*LN(C119)+3.4931)*S119,
IF(_xlfn.XLOOKUP(E119,Groups!A:A,Groups!N:N)="MiscCarnivora",EXP(0.7486*LN(C119)+4.2207)*S119,
IF(_xlfn.XLOOKUP(E119,Groups!A:A,Groups!N:N)="Lizard",EXP(0.7733*LN(C119)+5.5303)*S119,
IF(_xlfn.XLOOKUP(E119,Groups!A:A,Groups!N:N)="Snake",50*C119^(2/3)*S119,
IF(_xlfn.XLOOKUP(E119,Groups!A:A,Groups!N:N)="StrongBitingHerbivore",87.1133638856975*C119^(2/3)*S119,
IF(_xlfn.XLOOKUP(E119,Groups!A:A,Groups!N:N)="MiscEctotherms",59.4316884072269*C119^(2/3)*S119,
IF(_xlfn.XLOOKUP(E119,Groups!A:A,Groups!N:N)="StrongBeakBird",0.041*(C119*1000)^1.375*S119,
IF(_xlfn.XLOOKUP(E119,Groups!A:A,Groups!N:N)="Bird",0.118*(C119*1000)^0.692*S119,
IF(_xlfn.XLOOKUP(E119,Groups!A:A,Groups!N:N)="Insect",EXP(0.7444*LN(C119)+6.5696)*S119,
IF(_xlfn.XLOOKUP(E119,Groups!A:A,Groups!N:N)="Theropod",EXP(0.6966*LN(C119)+4.158)*S119,
"No"))))))))))))))))</f>
        <v>814.17434778069526</v>
      </c>
      <c r="AU119" s="8">
        <f>IF(_xlfn.XLOOKUP(E119,Groups!A:A,Groups!U:U)=3,AS119,IF(_xlfn.XLOOKUP(E119,Groups!A:A,Groups!U:U)=2,AR119,AT119))</f>
        <v>814.17434778069526</v>
      </c>
      <c r="AV119" s="46">
        <f>IFERROR(AVERAGE(_xlfn.XLOOKUP(B119,Animals!B:B,Animals!N:N),_xlfn.XLOOKUP(B119,Animals!B:B,Animals!O:O)),0)</f>
        <v>0</v>
      </c>
      <c r="AW119" s="8">
        <f>MROUND(40*Animals!AO119*_xlfn.XLOOKUP(AG119,Leathers!$A$2:$A$99,Leathers!$B$2:$B$99,0)+(140*_xlfn.XLOOKUP(B119,Animals!B:B,Animals!AO:AO)*2),5)</f>
        <v>200</v>
      </c>
      <c r="AX119" s="8">
        <f>IFERROR(ROUND(SQRT(V119-1)*IF(_xlfn.XLOOKUP(E119,Groups!A:A,Groups!BF:BF)=0,2,1)*IF(_xlfn.XLOOKUP('Base stats'!E119,Groups!A:A,Groups!O:O)=0,1,0.1),1),0)</f>
        <v>2.2999999999999998</v>
      </c>
      <c r="AY119" s="8">
        <f t="shared" si="36"/>
        <v>0</v>
      </c>
      <c r="AZ119" s="8">
        <f t="shared" si="37"/>
        <v>0</v>
      </c>
      <c r="BA119" s="8">
        <f t="shared" si="38"/>
        <v>1.9</v>
      </c>
      <c r="BB119" s="8">
        <f>IF(_xlfn.XLOOKUP(E119,Groups!A:A,Groups!N:N)="Insect",BD119*2.5,IFERROR(AVERAGE(BD119,AT119/9.81/IF(OR(_xlfn.XLOOKUP(E119,Groups!A:A,Groups!N:N)="Pig",_xlfn.XLOOKUP(E119,Groups!A:A,Groups!N:N)="StrongBitingHerbivore"),20,25))*C119^-0.135,BD119))</f>
        <v>1.2894512039154595</v>
      </c>
      <c r="BC119" s="8" t="str">
        <f>IF(W119="No","No",IF(_xlfn.XLOOKUP(E119,Groups!A:A,Groups!U:U)=1,'Base stats'!BB119,IF(OR(_xlfn.XLOOKUP(E119,Groups!A:A,Groups!BD:BD)=1,_xlfn.XLOOKUP(E119,Groups!A:A,Groups!U:U)=2),BD119,IF(_xlfn.XLOOKUP(B119,Animals!B:B,Animals!AO:AO)&gt;4,AVERAGE(BD119,BF119),BF119))))</f>
        <v>No</v>
      </c>
      <c r="BD119" s="8">
        <f t="shared" si="39"/>
        <v>0.33561971314389133</v>
      </c>
      <c r="BE119" s="8">
        <f>IF(_xlfn.XLOOKUP(E119,Groups!A:A,Groups!BE:BE)=1,(0.048*C119^1.01)+(0.071*C119^1.03),0.071*C119^1.03)/IF(_xlfn.XLOOKUP(E119,Groups!A:A,Groups!M:M)=1,0.85,IF(OR(_xlfn.XLOOKUP(B119,Animals!B:B,Animals!AO:AO)&gt;4,_xlfn.XLOOKUP(E119,Groups!A:A,Groups!BC:BC)=1),1.7,1))*C119^-0.25</f>
        <v>0.53282762571007336</v>
      </c>
      <c r="BF119" s="8">
        <f>(0.048*C119^1.01)/IF(_xlfn.XLOOKUP(E119,Groups!A:A,Groups!M:M)=1,0.25,0.8)*C119^-0.25</f>
        <v>0.42759765800687999</v>
      </c>
      <c r="BG119" s="8">
        <f>EXP(1.076*LN(AR119)-4.5397)*IF(_xlfn.XLOOKUP(E119,Groups!A:A,Groups!BC:BC)=1,1.25,IF(_xlfn.XLOOKUP(E119,Groups!A:A,Groups!BD:BD)=1,3.5,2.5))</f>
        <v>20.591427987572672</v>
      </c>
      <c r="BH119" s="8">
        <f>EXP(1.076*LN(AS119)-4.5397)*IF(_xlfn.XLOOKUP(E119,Groups!A:A,Groups!M:M)=1,0.8,IF(_xlfn.XLOOKUP(E119,Groups!A:A,Groups!BC:BC)=1,1.3,3))</f>
        <v>29.026250140724073</v>
      </c>
      <c r="BI119" s="8" t="str">
        <f>IF(W119="No","No",IF(_xlfn.XLOOKUP(E119,Groups!A:A,Groups!U:U)=1,'Base stats'!BJ119,IF(OR(_xlfn.XLOOKUP(E119,Groups!A:A,Groups!BD:BD)=1,_xlfn.XLOOKUP(E119,Groups!A:A,Groups!U:U)=2),BG119,BH119))*1.2)</f>
        <v>No</v>
      </c>
      <c r="BJ119" s="8">
        <f>IFERROR(EXP(1.076*LN(AT119)-4.5397)*IF(_xlfn.XLOOKUP(E119,Groups!A:A,Groups!N:N)="Insect",1,IF(OR(_xlfn.XLOOKUP(E119,Groups!A:A,Groups!N:N)="Pig",_xlfn.XLOOKUP(E119,Groups!A:A,Groups!N:N)="StrongBitingHerbivore"),3.5,3.75)),"No")</f>
        <v>54.249600793987327</v>
      </c>
      <c r="BK119" s="8">
        <f t="shared" si="40"/>
        <v>11</v>
      </c>
      <c r="BL119" s="8">
        <f t="shared" si="41"/>
        <v>10</v>
      </c>
      <c r="BM119" s="8" t="str">
        <f t="shared" si="42"/>
        <v>No</v>
      </c>
      <c r="BN119" s="8">
        <f t="shared" si="43"/>
        <v>9</v>
      </c>
      <c r="BO119" s="8">
        <f t="shared" si="44"/>
        <v>11</v>
      </c>
      <c r="BP119" s="8" t="str" cm="1">
        <f t="array" ref="BP119">IF(AND(_xlfn.XLOOKUP('Base stats'!E119,Groups!A:A,Groups!AD:AD=0),_xlfn.XLOOKUP('Base stats'!E119,Groups!A:A,Groups!P:P=0)),"No",IF(U119="No",AVERAGE(EXP(-0.57+0.99*LN(C119)),EXP(0.32+0.67*LN(C119)))/IF(_xlfn.XLOOKUP(E119,Groups!A:A,Groups!AD:AD)=1,10,2),(0.7354*C119^0.4078)*2/IF(_xlfn.XLOOKUP(E119,Groups!A:A,Groups!BK:BK)=1,1000,100)/IF(_xlfn.XLOOKUP(E119,Groups!A:A,Groups!AJ:AJ)="Photonozoa",3,1)))</f>
        <v>No</v>
      </c>
      <c r="BQ119" s="8" t="str">
        <f>IF(W119="No","No",IF(_xlfn.XLOOKUP(E119,Groups!A:A,Groups!BD:BD)=1,(AO119*5%),EXP(0.7354*LN(C119)^0.4078)*2/IF(_xlfn.XLOOKUP(E119,Groups!A:A,Groups!BL:BL)=1,1000,100)/IF(_xlfn.XLOOKUP(E119,Groups!A:A,Groups!AJ:AJ)="Photonozoa",3,1)))</f>
        <v>No</v>
      </c>
      <c r="BR119" s="8">
        <f>IF(BJ119="No","No",IF(_xlfn.XLOOKUP(E119,Groups!A:A,Groups!BF:BF)=1,(0.0315*C119+2.1825)*2,(0.7354*C119^0.4078)*2)/IF(_xlfn.XLOOKUP(E119,Groups!A:A,Groups!BM:BM)=1,1000,100)/IF(_xlfn.XLOOKUP(E119,Groups!A:A,Groups!AJ:AJ)="Photonozoa",3,1))</f>
        <v>4.2188419557802559E-2</v>
      </c>
      <c r="BS119" s="8">
        <f t="shared" si="45"/>
        <v>6.9175636105958685E-2</v>
      </c>
      <c r="BT119" s="8" t="str">
        <f t="shared" si="46"/>
        <v>No</v>
      </c>
      <c r="BU119" s="8" t="str">
        <f t="shared" si="47"/>
        <v>No</v>
      </c>
      <c r="BV119" s="8">
        <f t="shared" si="48"/>
        <v>1285.8884348502243</v>
      </c>
      <c r="BW119" s="4">
        <v>0</v>
      </c>
      <c r="BX119" s="4">
        <v>1</v>
      </c>
    </row>
    <row r="120" spans="1:76" x14ac:dyDescent="0.25">
      <c r="A120" s="26" t="s">
        <v>467</v>
      </c>
      <c r="B120" s="6" t="s">
        <v>228</v>
      </c>
      <c r="C120" s="7">
        <f>154.25</f>
        <v>154.25</v>
      </c>
      <c r="D120" s="7" t="s">
        <v>591</v>
      </c>
      <c r="E120" s="7" t="str">
        <f>Groups!$A$63</f>
        <v>Bear</v>
      </c>
      <c r="F120" s="7">
        <v>70</v>
      </c>
      <c r="G120" s="7">
        <f>1278/365</f>
        <v>3.5013698630136987</v>
      </c>
      <c r="H120" s="7">
        <v>34</v>
      </c>
      <c r="I120" s="4">
        <v>0</v>
      </c>
      <c r="J120" s="7">
        <v>2</v>
      </c>
      <c r="K120" s="7" t="s">
        <v>591</v>
      </c>
      <c r="L120" s="7">
        <v>48</v>
      </c>
      <c r="M120" s="7" t="s">
        <v>626</v>
      </c>
      <c r="N120" s="4">
        <v>0</v>
      </c>
      <c r="O120" s="4">
        <v>0</v>
      </c>
      <c r="P120" s="4">
        <v>0</v>
      </c>
      <c r="Q120" s="4">
        <v>0</v>
      </c>
      <c r="R120" s="4" t="s">
        <v>40</v>
      </c>
      <c r="S120" s="7">
        <f>_xlfn.XLOOKUP(B120,[1]TeethAdjusters!$A:$A,[1]BiteAdjusters!$C:$C,1)</f>
        <v>1.0792286509064426</v>
      </c>
      <c r="T120" s="7">
        <f>_xlfn.XLOOKUP(B120,[1]TeethAdjusters!$A:$A,[1]TeethAdjusters!$B:$B,1)</f>
        <v>0.646574871368368</v>
      </c>
      <c r="U120" s="7">
        <f>MROUND(4.445,0.05)</f>
        <v>4.45</v>
      </c>
      <c r="V120" s="7">
        <f>IF(AT120="No","No",IF(_xlfn.XLOOKUP(E120,Groups!A:A,Groups!AM:AM)=1,MROUND(EXP(0.3582*LN(C120)-0.2221)*T120,0.05),IF(_xlfn.XLOOKUP(E120,Groups!A:A,Groups!AM:AM)=2,MROUND(EXP(0.3582*LN(C120)-0.2221)*T120,0.05),"Need a formula")))</f>
        <v>3.1500000000000004</v>
      </c>
      <c r="W120" s="7" t="s">
        <v>45</v>
      </c>
      <c r="X120" s="7" t="s">
        <v>932</v>
      </c>
      <c r="Y120" s="4" t="s">
        <v>53</v>
      </c>
      <c r="Z120" s="4">
        <v>1</v>
      </c>
      <c r="AA120" s="4">
        <v>0</v>
      </c>
      <c r="AB120" s="4">
        <v>0</v>
      </c>
      <c r="AC120" s="4">
        <v>0</v>
      </c>
      <c r="AD120" s="4">
        <v>0</v>
      </c>
      <c r="AE120" s="4" t="s">
        <v>45</v>
      </c>
      <c r="AF120" s="4" t="s">
        <v>45</v>
      </c>
      <c r="AG120" s="49" t="s">
        <v>374</v>
      </c>
      <c r="AH120" s="4" t="str">
        <f>Animals!$C$3</f>
        <v>&lt;li&gt;Bear_Grizzly&lt;/li&gt;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4" t="s">
        <v>40</v>
      </c>
      <c r="AO120" s="8">
        <f t="shared" si="34"/>
        <v>29354.138637678661</v>
      </c>
      <c r="AP120" s="8">
        <f>IFERROR(C120*_xlfn.XLOOKUP(E120,Groups!A:A,Groups!K:K),0.106*C120^0.94)</f>
        <v>19.242687499999999</v>
      </c>
      <c r="AQ120" s="8">
        <f>AP120*10000/(_xlfn.XLOOKUP(E120,Groups!A:A,Groups!J:J)*AO120)</f>
        <v>6.0140895159699834</v>
      </c>
      <c r="AR120" s="8">
        <f t="shared" si="35"/>
        <v>3835.6109789427369</v>
      </c>
      <c r="AS120" s="8">
        <f>IF(_xlfn.XLOOKUP(E120,Groups!A:A,Groups!M:M)=1,EXP(0.7444*LN('Base stats'!C120)+6.5696),EXP(0.7927*LN('Base stats'!C120)+4.28))</f>
        <v>3920.9064182087723</v>
      </c>
      <c r="AT120" s="8">
        <f>IF(_xlfn.XLOOKUP(E120,Groups!A:A,Groups!N:N)="No","No",
IF(_xlfn.XLOOKUP(E120,Groups!A:A,Groups!N:N)="Crocodile",EXP(0.8129*LN(C120)+4.6742)*S120,
IF(_xlfn.XLOOKUP(E120,Groups!A:A,Groups!N:N)="Felid",EXP(0.7843*LN(C120)+4.7073)*S120,
IF(_xlfn.XLOOKUP(E120,Groups!A:A,Groups!N:N)="Canid",EXP(0.8367*LN(C120)+4.8763)*S120,
IF(_xlfn.XLOOKUP(E120,Groups!A:A,Groups!N:N)="Pig",EXP(0.3439*LN(C120)+6.8519)*S120,
IF(_xlfn.XLOOKUP(E120,Groups!A:A,Groups!N:N)="Rodent",EXP(0.5625*LN(C120)+4.3006)*S120,
IF(_xlfn.XLOOKUP(E120,Groups!A:A,Groups!N:N)="Primate",EXP(0.7847*LN(C120)+3.4931)*S120,
IF(_xlfn.XLOOKUP(E120,Groups!A:A,Groups!N:N)="MiscCarnivora",EXP(0.7486*LN(C120)+4.2207)*S120,
IF(_xlfn.XLOOKUP(E120,Groups!A:A,Groups!N:N)="Lizard",EXP(0.7733*LN(C120)+5.5303)*S120,
IF(_xlfn.XLOOKUP(E120,Groups!A:A,Groups!N:N)="Snake",50*C120^(2/3)*S120,
IF(_xlfn.XLOOKUP(E120,Groups!A:A,Groups!N:N)="StrongBitingHerbivore",87.1133638856975*C120^(2/3)*S120,
IF(_xlfn.XLOOKUP(E120,Groups!A:A,Groups!N:N)="MiscEctotherms",59.4316884072269*C120^(2/3)*S120,
IF(_xlfn.XLOOKUP(E120,Groups!A:A,Groups!N:N)="StrongBeakBird",0.041*(C120*1000)^1.375*S120,
IF(_xlfn.XLOOKUP(E120,Groups!A:A,Groups!N:N)="Bird",0.118*(C120*1000)^0.692*S120,
IF(_xlfn.XLOOKUP(E120,Groups!A:A,Groups!N:N)="Insect",EXP(0.7444*LN(C120)+6.5696)*S120,
IF(_xlfn.XLOOKUP(E120,Groups!A:A,Groups!N:N)="Theropod",EXP(0.6966*LN(C120)+4.158)*S120,
"No"))))))))))))))))</f>
        <v>3193.342862592418</v>
      </c>
      <c r="AU120" s="8">
        <f>IF(_xlfn.XLOOKUP(E120,Groups!A:A,Groups!U:U)=3,AS120,IF(_xlfn.XLOOKUP(E120,Groups!A:A,Groups!U:U)=2,AR120,AT120))</f>
        <v>3193.342862592418</v>
      </c>
      <c r="AV120" s="46">
        <f>IFERROR(AVERAGE(_xlfn.XLOOKUP(B120,Animals!B:B,Animals!N:N),_xlfn.XLOOKUP(B120,Animals!B:B,Animals!O:O)),0)</f>
        <v>0</v>
      </c>
      <c r="AW120" s="8">
        <f>MROUND(40*Animals!AO120*_xlfn.XLOOKUP(AG120,Leathers!$A$2:$A$99,Leathers!$B$2:$B$99,0)+(140*_xlfn.XLOOKUP(B120,Animals!B:B,Animals!AO:AO)*2),5)</f>
        <v>705</v>
      </c>
      <c r="AX120" s="8">
        <f>IFERROR(ROUND(SQRT(V120-1)*IF(_xlfn.XLOOKUP(E120,Groups!A:A,Groups!BF:BF)=0,2,1)*IF(_xlfn.XLOOKUP('Base stats'!E120,Groups!A:A,Groups!O:O)=0,1,0.1),1),0)</f>
        <v>2.9</v>
      </c>
      <c r="AY120" s="8">
        <f t="shared" si="36"/>
        <v>1.9</v>
      </c>
      <c r="AZ120" s="8">
        <f t="shared" si="37"/>
        <v>0</v>
      </c>
      <c r="BA120" s="8">
        <f t="shared" si="38"/>
        <v>4.9000000000000004</v>
      </c>
      <c r="BB120" s="8">
        <f>IF(_xlfn.XLOOKUP(E120,Groups!A:A,Groups!N:N)="Insect",BD120*2.5,IFERROR(AVERAGE(BD120,AT120/9.81/IF(OR(_xlfn.XLOOKUP(E120,Groups!A:A,Groups!N:N)="Pig",_xlfn.XLOOKUP(E120,Groups!A:A,Groups!N:N)="StrongBitingHerbivore"),20,25))*C120^-0.135,BD120))</f>
        <v>3.951108945397857</v>
      </c>
      <c r="BC120" s="8" t="str">
        <f>IF(W120="No","No",IF(_xlfn.XLOOKUP(E120,Groups!A:A,Groups!U:U)=1,'Base stats'!BB120,IF(OR(_xlfn.XLOOKUP(E120,Groups!A:A,Groups!BD:BD)=1,_xlfn.XLOOKUP(E120,Groups!A:A,Groups!U:U)=2),BD120,IF(_xlfn.XLOOKUP(B120,Animals!B:B,Animals!AO:AO)&gt;4,AVERAGE(BD120,BF120),BF120))))</f>
        <v>No</v>
      </c>
      <c r="BD120" s="8">
        <f t="shared" si="39"/>
        <v>2.5804840886405951</v>
      </c>
      <c r="BE120" s="8">
        <f>IF(_xlfn.XLOOKUP(E120,Groups!A:A,Groups!BE:BE)=1,(0.048*C120^1.01)+(0.071*C120^1.03),0.071*C120^1.03)/IF(_xlfn.XLOOKUP(E120,Groups!A:A,Groups!M:M)=1,0.85,IF(OR(_xlfn.XLOOKUP(B120,Animals!B:B,Animals!AO:AO)&gt;4,_xlfn.XLOOKUP(E120,Groups!A:A,Groups!BC:BC)=1),1.7,1))*C120^-0.25</f>
        <v>3.6147143518936029</v>
      </c>
      <c r="BF120" s="8">
        <f>(0.048*C120^1.01)/IF(_xlfn.XLOOKUP(E120,Groups!A:A,Groups!M:M)=1,0.25,0.8)*C120^-0.25</f>
        <v>2.7618645879002224</v>
      </c>
      <c r="BG120" s="8">
        <f>EXP(1.076*LN(AR120)-4.5397)*IF(_xlfn.XLOOKUP(E120,Groups!A:A,Groups!BC:BC)=1,1.25,IF(_xlfn.XLOOKUP(E120,Groups!A:A,Groups!BD:BD)=1,3.5,2.5))</f>
        <v>191.68111557006529</v>
      </c>
      <c r="BH120" s="8">
        <f>EXP(1.076*LN(AS120)-4.5397)*IF(_xlfn.XLOOKUP(E120,Groups!A:A,Groups!M:M)=1,0.8,IF(_xlfn.XLOOKUP(E120,Groups!A:A,Groups!BC:BC)=1,1.3,3))</f>
        <v>235.52577657381272</v>
      </c>
      <c r="BI120" s="8" t="str">
        <f>IF(W120="No","No",IF(_xlfn.XLOOKUP(E120,Groups!A:A,Groups!U:U)=1,'Base stats'!BJ120,IF(OR(_xlfn.XLOOKUP(E120,Groups!A:A,Groups!BD:BD)=1,_xlfn.XLOOKUP(E120,Groups!A:A,Groups!U:U)=2),BG120,BH120))*1.2)</f>
        <v>No</v>
      </c>
      <c r="BJ120" s="8">
        <f>IFERROR(EXP(1.076*LN(AT120)-4.5397)*IF(_xlfn.XLOOKUP(E120,Groups!A:A,Groups!N:N)="Insect",1,IF(OR(_xlfn.XLOOKUP(E120,Groups!A:A,Groups!N:N)="Pig",_xlfn.XLOOKUP(E120,Groups!A:A,Groups!N:N)="StrongBitingHerbivore"),3.5,3.75)),"No")</f>
        <v>236.06566254080752</v>
      </c>
      <c r="BK120" s="8">
        <f t="shared" si="40"/>
        <v>12</v>
      </c>
      <c r="BL120" s="8">
        <f t="shared" si="41"/>
        <v>11</v>
      </c>
      <c r="BM120" s="8" t="str">
        <f t="shared" si="42"/>
        <v>No</v>
      </c>
      <c r="BN120" s="8">
        <f t="shared" si="43"/>
        <v>10</v>
      </c>
      <c r="BO120" s="8">
        <f t="shared" si="44"/>
        <v>13</v>
      </c>
      <c r="BP120" s="8" cm="1">
        <f t="array" ref="BP120">IF(AND(_xlfn.XLOOKUP('Base stats'!E120,Groups!A:A,Groups!AD:AD=0),_xlfn.XLOOKUP('Base stats'!E120,Groups!A:A,Groups!P:P=0)),"No",IF(U120="No",AVERAGE(EXP(-0.57+0.99*LN(C120)),EXP(0.32+0.67*LN(C120)))/IF(_xlfn.XLOOKUP(E120,Groups!A:A,Groups!AD:AD)=1,10,2),(0.7354*C120^0.4078)*2/IF(_xlfn.XLOOKUP(E120,Groups!A:A,Groups!BK:BK)=1,1000,100)/IF(_xlfn.XLOOKUP(E120,Groups!A:A,Groups!AJ:AJ)="Photonozoa",3,1)))</f>
        <v>0.11479205921855015</v>
      </c>
      <c r="BQ120" s="8" t="str">
        <f>IF(W120="No","No",IF(_xlfn.XLOOKUP(E120,Groups!A:A,Groups!BD:BD)=1,(AO120*5%),EXP(0.7354*LN(C120)^0.4078)*2/IF(_xlfn.XLOOKUP(E120,Groups!A:A,Groups!BL:BL)=1,1000,100)/IF(_xlfn.XLOOKUP(E120,Groups!A:A,Groups!AJ:AJ)="Photonozoa",3,1)))</f>
        <v>No</v>
      </c>
      <c r="BR120" s="8">
        <f>IF(BJ120="No","No",IF(_xlfn.XLOOKUP(E120,Groups!A:A,Groups!BF:BF)=1,(0.0315*C120+2.1825)*2,(0.7354*C120^0.4078)*2)/IF(_xlfn.XLOOKUP(E120,Groups!A:A,Groups!BM:BM)=1,1000,100)/IF(_xlfn.XLOOKUP(E120,Groups!A:A,Groups!AJ:AJ)="Photonozoa",3,1))</f>
        <v>0.11479205921855015</v>
      </c>
      <c r="BS120" s="8">
        <f t="shared" si="45"/>
        <v>0.13059903949899959</v>
      </c>
      <c r="BT120" s="8">
        <f t="shared" si="46"/>
        <v>2051.760184259786</v>
      </c>
      <c r="BU120" s="8" t="str">
        <f t="shared" si="47"/>
        <v>No</v>
      </c>
      <c r="BV120" s="8">
        <f t="shared" si="48"/>
        <v>2056.4633490141259</v>
      </c>
      <c r="BW120" s="4">
        <v>0</v>
      </c>
      <c r="BX120" s="4">
        <v>1</v>
      </c>
    </row>
    <row r="121" spans="1:76" x14ac:dyDescent="0.25">
      <c r="A121" s="26" t="s">
        <v>57</v>
      </c>
      <c r="B121" s="6" t="s">
        <v>58</v>
      </c>
      <c r="C121" s="7">
        <v>62.999899999999997</v>
      </c>
      <c r="D121" s="7" t="s">
        <v>592</v>
      </c>
      <c r="E121" s="7" t="str">
        <f>Groups!$A$14</f>
        <v>Doglike (HYENA)</v>
      </c>
      <c r="F121" s="7">
        <v>110</v>
      </c>
      <c r="G121" s="7">
        <f>1095  /365</f>
        <v>3</v>
      </c>
      <c r="H121" s="7">
        <v>41.1</v>
      </c>
      <c r="I121" s="4">
        <v>0</v>
      </c>
      <c r="J121" s="7">
        <v>2</v>
      </c>
      <c r="K121" s="7" t="s">
        <v>592</v>
      </c>
      <c r="L121" s="7">
        <v>65</v>
      </c>
      <c r="M121" s="7" t="s">
        <v>626</v>
      </c>
      <c r="N121" s="4">
        <v>0</v>
      </c>
      <c r="O121" s="4">
        <v>0</v>
      </c>
      <c r="P121" s="4">
        <v>0</v>
      </c>
      <c r="Q121" s="4">
        <v>0</v>
      </c>
      <c r="R121" s="4" t="s">
        <v>40</v>
      </c>
      <c r="S121" s="7">
        <f>_xlfn.XLOOKUP(B121,[1]TeethAdjusters!$A:$A,[1]BiteAdjusters!$C:$C,1)</f>
        <v>1.3094980210581604</v>
      </c>
      <c r="T121" s="7">
        <f>_xlfn.XLOOKUP(B121,[1]TeethAdjusters!$A:$A,[1]TeethAdjusters!$B:$B,1)</f>
        <v>0.82546980223782873</v>
      </c>
      <c r="U121" s="7" t="s">
        <v>45</v>
      </c>
      <c r="V121" s="7">
        <f>IF(AT121="No","No",IF(_xlfn.XLOOKUP(E121,Groups!A:A,Groups!AM:AM)=1,MROUND(EXP(0.3582*LN(C121)-0.2221)*T121,0.05),IF(_xlfn.XLOOKUP(E121,Groups!A:A,Groups!AM:AM)=2,MROUND(EXP(0.3582*LN(C121)-0.2221)*T121,0.05),"Need a formula")))</f>
        <v>2.9000000000000004</v>
      </c>
      <c r="W121" s="7" t="s">
        <v>45</v>
      </c>
      <c r="X121" s="7" t="s">
        <v>932</v>
      </c>
      <c r="Y121" s="4" t="s">
        <v>56</v>
      </c>
      <c r="Z121" s="4">
        <v>1</v>
      </c>
      <c r="AA121" s="4">
        <v>0</v>
      </c>
      <c r="AB121" s="4">
        <v>0</v>
      </c>
      <c r="AC121" s="4">
        <v>0</v>
      </c>
      <c r="AD121" s="4">
        <v>0</v>
      </c>
      <c r="AE121" s="4" t="s">
        <v>45</v>
      </c>
      <c r="AF121" s="4" t="s">
        <v>311</v>
      </c>
      <c r="AG121" s="49" t="s">
        <v>379</v>
      </c>
      <c r="AH121" s="4" t="s">
        <v>45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4" t="s">
        <v>40</v>
      </c>
      <c r="AO121" s="8">
        <f t="shared" si="34"/>
        <v>16401.889731654668</v>
      </c>
      <c r="AP121" s="8">
        <f>IFERROR(C121*_xlfn.XLOOKUP(E121,Groups!A:A,Groups!K:K),0.106*C121^0.94)</f>
        <v>7.8592375249999993</v>
      </c>
      <c r="AQ121" s="8">
        <f>AP121*10000/(_xlfn.XLOOKUP(E121,Groups!A:A,Groups!J:J)*AO121)</f>
        <v>4.3960237350259925</v>
      </c>
      <c r="AR121" s="8">
        <f t="shared" si="35"/>
        <v>1800.2927374687702</v>
      </c>
      <c r="AS121" s="8">
        <f>IF(_xlfn.XLOOKUP(E121,Groups!A:A,Groups!M:M)=1,EXP(0.7444*LN('Base stats'!C121)+6.5696),EXP(0.7927*LN('Base stats'!C121)+4.28))</f>
        <v>1928.0446610661597</v>
      </c>
      <c r="AT121" s="8">
        <f>IF(_xlfn.XLOOKUP(E121,Groups!A:A,Groups!N:N)="No","No",
IF(_xlfn.XLOOKUP(E121,Groups!A:A,Groups!N:N)="Crocodile",EXP(0.8129*LN(C121)+4.6742)*S121,
IF(_xlfn.XLOOKUP(E121,Groups!A:A,Groups!N:N)="Felid",EXP(0.7843*LN(C121)+4.7073)*S121,
IF(_xlfn.XLOOKUP(E121,Groups!A:A,Groups!N:N)="Canid",EXP(0.8367*LN(C121)+4.8763)*S121,
IF(_xlfn.XLOOKUP(E121,Groups!A:A,Groups!N:N)="Pig",EXP(0.3439*LN(C121)+6.8519)*S121,
IF(_xlfn.XLOOKUP(E121,Groups!A:A,Groups!N:N)="Rodent",EXP(0.5625*LN(C121)+4.3006)*S121,
IF(_xlfn.XLOOKUP(E121,Groups!A:A,Groups!N:N)="Primate",EXP(0.7847*LN(C121)+3.4931)*S121,
IF(_xlfn.XLOOKUP(E121,Groups!A:A,Groups!N:N)="MiscCarnivora",EXP(0.7486*LN(C121)+4.2207)*S121,
IF(_xlfn.XLOOKUP(E121,Groups!A:A,Groups!N:N)="Lizard",EXP(0.7733*LN(C121)+5.5303)*S121,
IF(_xlfn.XLOOKUP(E121,Groups!A:A,Groups!N:N)="Snake",50*C121^(2/3)*S121,
IF(_xlfn.XLOOKUP(E121,Groups!A:A,Groups!N:N)="StrongBitingHerbivore",87.1133638856975*C121^(2/3)*S121,
IF(_xlfn.XLOOKUP(E121,Groups!A:A,Groups!N:N)="MiscEctotherms",59.4316884072269*C121^(2/3)*S121,
IF(_xlfn.XLOOKUP(E121,Groups!A:A,Groups!N:N)="StrongBeakBird",0.041*(C121*1000)^1.375*S121,
IF(_xlfn.XLOOKUP(E121,Groups!A:A,Groups!N:N)="Bird",0.118*(C121*1000)^0.692*S121,
IF(_xlfn.XLOOKUP(E121,Groups!A:A,Groups!N:N)="Insect",EXP(0.7444*LN(C121)+6.5696)*S121,
IF(_xlfn.XLOOKUP(E121,Groups!A:A,Groups!N:N)="Theropod",EXP(0.6966*LN(C121)+4.158)*S121,
"No"))))))))))))))))</f>
        <v>5500</v>
      </c>
      <c r="AU121" s="8">
        <f>IF(_xlfn.XLOOKUP(E121,Groups!A:A,Groups!U:U)=3,AS121,IF(_xlfn.XLOOKUP(E121,Groups!A:A,Groups!U:U)=2,AR121,AT121))</f>
        <v>5500</v>
      </c>
      <c r="AV121" s="46">
        <f>IFERROR(AVERAGE(_xlfn.XLOOKUP(B121,Animals!B:B,Animals!N:N),_xlfn.XLOOKUP(B121,Animals!B:B,Animals!O:O)),0)</f>
        <v>0</v>
      </c>
      <c r="AW121" s="8">
        <f>MROUND(40*Animals!AO121*_xlfn.XLOOKUP(AG121,Leathers!$A$2:$A$99,Leathers!$B$2:$B$99,0)+(140*_xlfn.XLOOKUP(B121,Animals!B:B,Animals!AO:AO)*2),5)</f>
        <v>340</v>
      </c>
      <c r="AX121" s="8">
        <f>IFERROR(ROUND(SQRT(V121-1)*IF(_xlfn.XLOOKUP(E121,Groups!A:A,Groups!BF:BF)=0,2,1)*IF(_xlfn.XLOOKUP('Base stats'!E121,Groups!A:A,Groups!O:O)=0,1,0.1),1),0)</f>
        <v>2.8</v>
      </c>
      <c r="AY121" s="8">
        <f t="shared" si="36"/>
        <v>0</v>
      </c>
      <c r="AZ121" s="8">
        <f t="shared" si="37"/>
        <v>0</v>
      </c>
      <c r="BA121" s="8">
        <f t="shared" si="38"/>
        <v>3.5</v>
      </c>
      <c r="BB121" s="8">
        <f>IF(_xlfn.XLOOKUP(E121,Groups!A:A,Groups!N:N)="Insect",BD121*2.5,IFERROR(AVERAGE(BD121,AT121/9.81/IF(OR(_xlfn.XLOOKUP(E121,Groups!A:A,Groups!N:N)="Pig",_xlfn.XLOOKUP(E121,Groups!A:A,Groups!N:N)="StrongBitingHerbivore"),20,25))*C121^-0.135,BD121))</f>
        <v>6.7597586534006018</v>
      </c>
      <c r="BC121" s="8" t="str">
        <f>IF(W121="No","No",IF(_xlfn.XLOOKUP(E121,Groups!A:A,Groups!U:U)=1,'Base stats'!BB121,IF(OR(_xlfn.XLOOKUP(E121,Groups!A:A,Groups!BD:BD)=1,_xlfn.XLOOKUP(E121,Groups!A:A,Groups!U:U)=2),BD121,IF(_xlfn.XLOOKUP(B121,Animals!B:B,Animals!AO:AO)&gt;4,AVERAGE(BD121,BF121),BF121))))</f>
        <v>No</v>
      </c>
      <c r="BD121" s="8">
        <f t="shared" si="39"/>
        <v>1.2261327448364443</v>
      </c>
      <c r="BE121" s="8">
        <f>IF(_xlfn.XLOOKUP(E121,Groups!A:A,Groups!BE:BE)=1,(0.048*C121^1.01)+(0.071*C121^1.03),0.071*C121^1.03)/IF(_xlfn.XLOOKUP(E121,Groups!A:A,Groups!M:M)=1,0.85,IF(OR(_xlfn.XLOOKUP(B121,Animals!B:B,Animals!AO:AO)&gt;4,_xlfn.XLOOKUP(E121,Groups!A:A,Groups!BC:BC)=1),1.7,1))*C121^-0.25</f>
        <v>1.7978085420713761</v>
      </c>
      <c r="BF121" s="8">
        <f>(0.048*C121^1.01)/IF(_xlfn.XLOOKUP(E121,Groups!A:A,Groups!M:M)=1,0.25,0.8)*C121^-0.25</f>
        <v>1.3984583746690362</v>
      </c>
      <c r="BG121" s="8">
        <f>EXP(1.076*LN(AR121)-4.5397)*IF(_xlfn.XLOOKUP(E121,Groups!A:A,Groups!BC:BC)=1,1.25,IF(_xlfn.XLOOKUP(E121,Groups!A:A,Groups!BD:BD)=1,3.5,2.5))</f>
        <v>84.942014489293456</v>
      </c>
      <c r="BH121" s="8">
        <f>EXP(1.076*LN(AS121)-4.5397)*IF(_xlfn.XLOOKUP(E121,Groups!A:A,Groups!M:M)=1,0.8,IF(_xlfn.XLOOKUP(E121,Groups!A:A,Groups!BC:BC)=1,1.3,3))</f>
        <v>109.73384167197534</v>
      </c>
      <c r="BI121" s="8" t="str">
        <f>IF(W121="No","No",IF(_xlfn.XLOOKUP(E121,Groups!A:A,Groups!U:U)=1,'Base stats'!BJ121,IF(OR(_xlfn.XLOOKUP(E121,Groups!A:A,Groups!BD:BD)=1,_xlfn.XLOOKUP(E121,Groups!A:A,Groups!U:U)=2),BG121,BH121))*1.2)</f>
        <v>No</v>
      </c>
      <c r="BJ121" s="8">
        <f>IFERROR(EXP(1.076*LN(AT121)-4.5397)*IF(_xlfn.XLOOKUP(E121,Groups!A:A,Groups!N:N)="Insect",1,IF(OR(_xlfn.XLOOKUP(E121,Groups!A:A,Groups!N:N)="Pig",_xlfn.XLOOKUP(E121,Groups!A:A,Groups!N:N)="StrongBitingHerbivore"),3.5,3.75)),"No")</f>
        <v>423.73551169320569</v>
      </c>
      <c r="BK121" s="8">
        <f t="shared" si="40"/>
        <v>11</v>
      </c>
      <c r="BL121" s="8">
        <f t="shared" si="41"/>
        <v>11</v>
      </c>
      <c r="BM121" s="8" t="str">
        <f t="shared" si="42"/>
        <v>No</v>
      </c>
      <c r="BN121" s="8">
        <f t="shared" si="43"/>
        <v>11</v>
      </c>
      <c r="BO121" s="8">
        <f t="shared" si="44"/>
        <v>12</v>
      </c>
      <c r="BP121" s="8" t="str" cm="1">
        <f t="array" ref="BP121">IF(AND(_xlfn.XLOOKUP('Base stats'!E121,Groups!A:A,Groups!AD:AD=0),_xlfn.XLOOKUP('Base stats'!E121,Groups!A:A,Groups!P:P=0)),"No",IF(U121="No",AVERAGE(EXP(-0.57+0.99*LN(C121)),EXP(0.32+0.67*LN(C121)))/IF(_xlfn.XLOOKUP(E121,Groups!A:A,Groups!AD:AD)=1,10,2),(0.7354*C121^0.4078)*2/IF(_xlfn.XLOOKUP(E121,Groups!A:A,Groups!BK:BK)=1,1000,100)/IF(_xlfn.XLOOKUP(E121,Groups!A:A,Groups!AJ:AJ)="Photonozoa",3,1)))</f>
        <v>No</v>
      </c>
      <c r="BQ121" s="8" t="str">
        <f>IF(W121="No","No",IF(_xlfn.XLOOKUP(E121,Groups!A:A,Groups!BD:BD)=1,(AO121*5%),EXP(0.7354*LN(C121)^0.4078)*2/IF(_xlfn.XLOOKUP(E121,Groups!A:A,Groups!BL:BL)=1,1000,100)/IF(_xlfn.XLOOKUP(E121,Groups!A:A,Groups!AJ:AJ)="Photonozoa",3,1)))</f>
        <v>No</v>
      </c>
      <c r="BR121" s="8">
        <f>IF(BJ121="No","No",IF(_xlfn.XLOOKUP(E121,Groups!A:A,Groups!BF:BF)=1,(0.0315*C121+2.1825)*2,(0.7354*C121^0.4078)*2)/IF(_xlfn.XLOOKUP(E121,Groups!A:A,Groups!BM:BM)=1,1000,100)/IF(_xlfn.XLOOKUP(E121,Groups!A:A,Groups!AJ:AJ)="Photonozoa",3,1))</f>
        <v>7.967543002753158E-2</v>
      </c>
      <c r="BS121" s="8">
        <f t="shared" si="45"/>
        <v>0.10357588775317814</v>
      </c>
      <c r="BT121" s="8" t="str">
        <f t="shared" si="46"/>
        <v>No</v>
      </c>
      <c r="BU121" s="8" t="str">
        <f t="shared" si="47"/>
        <v>No</v>
      </c>
      <c r="BV121" s="8">
        <f t="shared" si="48"/>
        <v>5318.2707836880863</v>
      </c>
      <c r="BW121" s="4">
        <v>0</v>
      </c>
      <c r="BX121" s="4">
        <v>1</v>
      </c>
    </row>
    <row r="122" spans="1:76" x14ac:dyDescent="0.25">
      <c r="A122" s="26" t="s">
        <v>470</v>
      </c>
      <c r="B122" s="6" t="s">
        <v>468</v>
      </c>
      <c r="C122" s="7">
        <v>43</v>
      </c>
      <c r="D122" s="7" t="s">
        <v>593</v>
      </c>
      <c r="E122" s="7" t="str">
        <f>Groups!$A$62</f>
        <v>Turtle</v>
      </c>
      <c r="F122" s="7" t="str">
        <f>"Lay eggs"</f>
        <v>Lay eggs</v>
      </c>
      <c r="G122" s="7">
        <v>15</v>
      </c>
      <c r="H122" s="7">
        <v>54.3</v>
      </c>
      <c r="I122" s="4">
        <v>0</v>
      </c>
      <c r="J122" s="7" t="str">
        <f>"Lay eggs"</f>
        <v>Lay eggs</v>
      </c>
      <c r="K122" s="7" t="s">
        <v>593</v>
      </c>
      <c r="L122" s="7">
        <f>0.28*3.6*5</f>
        <v>5.0400000000000009</v>
      </c>
      <c r="M122" s="7" t="s">
        <v>633</v>
      </c>
      <c r="N122" s="4">
        <v>0</v>
      </c>
      <c r="O122" s="4">
        <v>0</v>
      </c>
      <c r="P122" s="4">
        <v>0</v>
      </c>
      <c r="Q122" s="4">
        <v>0</v>
      </c>
      <c r="R122" s="4" t="s">
        <v>40</v>
      </c>
      <c r="S122" s="7">
        <f>_xlfn.XLOOKUP(B122,[1]TeethAdjusters!$A:$A,[1]BiteAdjusters!$C:$C,1)</f>
        <v>1</v>
      </c>
      <c r="T122" s="7">
        <f>_xlfn.XLOOKUP(B122,[1]TeethAdjusters!$A:$A,[1]TeethAdjusters!$B:$B,1)</f>
        <v>1</v>
      </c>
      <c r="U122" s="7" t="s">
        <v>45</v>
      </c>
      <c r="V122" s="7">
        <v>5</v>
      </c>
      <c r="W122" s="7" t="s">
        <v>45</v>
      </c>
      <c r="X122" s="7" t="s">
        <v>932</v>
      </c>
      <c r="Y122" s="4" t="s">
        <v>42</v>
      </c>
      <c r="Z122" s="4">
        <v>1</v>
      </c>
      <c r="AA122" s="4">
        <v>0</v>
      </c>
      <c r="AB122" s="4">
        <v>0</v>
      </c>
      <c r="AC122" s="4">
        <v>0</v>
      </c>
      <c r="AD122" s="4">
        <v>0</v>
      </c>
      <c r="AE122" s="4" t="s">
        <v>45</v>
      </c>
      <c r="AF122" s="4" t="s">
        <v>45</v>
      </c>
      <c r="AG122" s="49" t="s">
        <v>386</v>
      </c>
      <c r="AH122" s="4" t="str">
        <f>Animals!$C$34</f>
        <v>&lt;li&gt;Tortoise&lt;/li&gt;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4" t="s">
        <v>40</v>
      </c>
      <c r="AO122" s="8">
        <f t="shared" si="34"/>
        <v>12796.095566486785</v>
      </c>
      <c r="AP122" s="8">
        <f>IFERROR(C122*_xlfn.XLOOKUP(E122,Groups!A:A,Groups!K:K),0.106*C122^0.94)</f>
        <v>13.76</v>
      </c>
      <c r="AQ122" s="8">
        <f>AP122*10000/(_xlfn.XLOOKUP(E122,Groups!A:A,Groups!J:J)*AO122)</f>
        <v>8.0851730185183595</v>
      </c>
      <c r="AR122" s="8">
        <f t="shared" si="35"/>
        <v>1303.8617771189106</v>
      </c>
      <c r="AS122" s="8">
        <f>IF(_xlfn.XLOOKUP(E122,Groups!A:A,Groups!M:M)=1,EXP(0.7444*LN('Base stats'!C122)+6.5696),EXP(0.7927*LN('Base stats'!C122)+4.28))</f>
        <v>1424.3962685137005</v>
      </c>
      <c r="AT122" s="8">
        <f>IF(_xlfn.XLOOKUP(E122,Groups!A:A,Groups!N:N)="No","No",
IF(_xlfn.XLOOKUP(E122,Groups!A:A,Groups!N:N)="Crocodile",EXP(0.8129*LN(C122)+4.6742)*S122,
IF(_xlfn.XLOOKUP(E122,Groups!A:A,Groups!N:N)="Felid",EXP(0.7843*LN(C122)+4.7073)*S122,
IF(_xlfn.XLOOKUP(E122,Groups!A:A,Groups!N:N)="Canid",EXP(0.8367*LN(C122)+4.8763)*S122,
IF(_xlfn.XLOOKUP(E122,Groups!A:A,Groups!N:N)="Pig",EXP(0.3439*LN(C122)+6.8519)*S122,
IF(_xlfn.XLOOKUP(E122,Groups!A:A,Groups!N:N)="Rodent",EXP(0.5625*LN(C122)+4.3006)*S122,
IF(_xlfn.XLOOKUP(E122,Groups!A:A,Groups!N:N)="Primate",EXP(0.7847*LN(C122)+3.4931)*S122,
IF(_xlfn.XLOOKUP(E122,Groups!A:A,Groups!N:N)="MiscCarnivora",EXP(0.7486*LN(C122)+4.2207)*S122,
IF(_xlfn.XLOOKUP(E122,Groups!A:A,Groups!N:N)="Lizard",EXP(0.7733*LN(C122)+5.5303)*S122,
IF(_xlfn.XLOOKUP(E122,Groups!A:A,Groups!N:N)="Snake",50*C122^(2/3)*S122,
IF(_xlfn.XLOOKUP(E122,Groups!A:A,Groups!N:N)="StrongBitingHerbivore",87.1133638856975*C122^(2/3)*S122,
IF(_xlfn.XLOOKUP(E122,Groups!A:A,Groups!N:N)="MiscEctotherms",59.4316884072269*C122^(2/3)*S122,
IF(_xlfn.XLOOKUP(E122,Groups!A:A,Groups!N:N)="StrongBeakBird",0.041*(C122*1000)^1.375*S122,
IF(_xlfn.XLOOKUP(E122,Groups!A:A,Groups!N:N)="Bird",0.118*(C122*1000)^0.692*S122,
IF(_xlfn.XLOOKUP(E122,Groups!A:A,Groups!N:N)="Insect",EXP(0.7444*LN(C122)+6.5696)*S122,
IF(_xlfn.XLOOKUP(E122,Groups!A:A,Groups!N:N)="Theropod",EXP(0.6966*LN(C122)+4.158)*S122,
"No"))))))))))))))))</f>
        <v>729.45253649785354</v>
      </c>
      <c r="AU122" s="8">
        <f>IF(_xlfn.XLOOKUP(E122,Groups!A:A,Groups!U:U)=3,AS122,IF(_xlfn.XLOOKUP(E122,Groups!A:A,Groups!U:U)=2,AR122,AT122))</f>
        <v>729.45253649785354</v>
      </c>
      <c r="AV122" s="46">
        <f>IFERROR(AVERAGE(_xlfn.XLOOKUP(B122,Animals!B:B,Animals!N:N),_xlfn.XLOOKUP(B122,Animals!B:B,Animals!O:O)),0)</f>
        <v>0.77500000000000002</v>
      </c>
      <c r="AW122" s="8">
        <f>MROUND(40*Animals!AO122*_xlfn.XLOOKUP(AG122,Leathers!$A$2:$A$99,Leathers!$B$2:$B$99,0)+(140*_xlfn.XLOOKUP(B122,Animals!B:B,Animals!AO:AO)*2),5)</f>
        <v>365</v>
      </c>
      <c r="AX122" s="8">
        <f>IFERROR(ROUND(SQRT(V122-1)*IF(_xlfn.XLOOKUP(E122,Groups!A:A,Groups!BF:BF)=0,2,1)*IF(_xlfn.XLOOKUP('Base stats'!E122,Groups!A:A,Groups!O:O)=0,1,0.1),1),0)</f>
        <v>0.2</v>
      </c>
      <c r="AY122" s="8">
        <f t="shared" si="36"/>
        <v>0</v>
      </c>
      <c r="AZ122" s="8">
        <f t="shared" si="37"/>
        <v>0</v>
      </c>
      <c r="BA122" s="8">
        <f t="shared" si="38"/>
        <v>3.1</v>
      </c>
      <c r="BB122" s="8">
        <f>IF(_xlfn.XLOOKUP(E122,Groups!A:A,Groups!N:N)="Insect",BD122*2.5,IFERROR(AVERAGE(BD122,AT122/9.81/IF(OR(_xlfn.XLOOKUP(E122,Groups!A:A,Groups!N:N)="Pig",_xlfn.XLOOKUP(E122,Groups!A:A,Groups!N:N)="StrongBitingHerbivore"),20,25))*C122^-0.135,BD122))</f>
        <v>1.0961164499854326</v>
      </c>
      <c r="BC122" s="8" t="str">
        <f>IF(W122="No","No",IF(_xlfn.XLOOKUP(E122,Groups!A:A,Groups!U:U)=1,'Base stats'!BB122,IF(OR(_xlfn.XLOOKUP(E122,Groups!A:A,Groups!BD:BD)=1,_xlfn.XLOOKUP(E122,Groups!A:A,Groups!U:U)=2),BD122,IF(_xlfn.XLOOKUP(B122,Animals!B:B,Animals!AO:AO)&gt;4,AVERAGE(BD122,BF122),BF122))))</f>
        <v>No</v>
      </c>
      <c r="BD122" s="8">
        <f t="shared" si="39"/>
        <v>0.66822278875269436</v>
      </c>
      <c r="BE122" s="8">
        <f>IF(_xlfn.XLOOKUP(E122,Groups!A:A,Groups!BE:BE)=1,(0.048*C122^1.01)+(0.071*C122^1.03),0.071*C122^1.03)/IF(_xlfn.XLOOKUP(E122,Groups!A:A,Groups!M:M)=1,0.85,IF(OR(_xlfn.XLOOKUP(B122,Animals!B:B,Animals!AO:AO)&gt;4,_xlfn.XLOOKUP(E122,Groups!A:A,Groups!BC:BC)=1),1.7,1))*C122^-0.25</f>
        <v>0.78508164301890593</v>
      </c>
      <c r="BF122" s="8">
        <f>(0.048*C122^1.01)/IF(_xlfn.XLOOKUP(E122,Groups!A:A,Groups!M:M)=1,0.25,0.8)*C122^-0.25</f>
        <v>1.0461339023483969</v>
      </c>
      <c r="BG122" s="8">
        <f>EXP(1.076*LN(AR122)-4.5397)*IF(_xlfn.XLOOKUP(E122,Groups!A:A,Groups!BC:BC)=1,1.25,IF(_xlfn.XLOOKUP(E122,Groups!A:A,Groups!BD:BD)=1,3.5,2.5))</f>
        <v>30.014596253060365</v>
      </c>
      <c r="BH122" s="8">
        <f>EXP(1.076*LN(AS122)-4.5397)*IF(_xlfn.XLOOKUP(E122,Groups!A:A,Groups!M:M)=1,0.8,IF(_xlfn.XLOOKUP(E122,Groups!A:A,Groups!BC:BC)=1,1.3,3))</f>
        <v>34.330763573542072</v>
      </c>
      <c r="BI122" s="8" t="str">
        <f>IF(W122="No","No",IF(_xlfn.XLOOKUP(E122,Groups!A:A,Groups!U:U)=1,'Base stats'!BJ122,IF(OR(_xlfn.XLOOKUP(E122,Groups!A:A,Groups!BD:BD)=1,_xlfn.XLOOKUP(E122,Groups!A:A,Groups!U:U)=2),BG122,BH122))*1.2)</f>
        <v>No</v>
      </c>
      <c r="BJ122" s="8">
        <f>IFERROR(EXP(1.076*LN(AT122)-4.5397)*IF(_xlfn.XLOOKUP(E122,Groups!A:A,Groups!N:N)="Insect",1,IF(OR(_xlfn.XLOOKUP(E122,Groups!A:A,Groups!N:N)="Pig",_xlfn.XLOOKUP(E122,Groups!A:A,Groups!N:N)="StrongBitingHerbivore"),3.5,3.75)),"No")</f>
        <v>48.20026455721522</v>
      </c>
      <c r="BK122" s="8">
        <f t="shared" si="40"/>
        <v>9</v>
      </c>
      <c r="BL122" s="8">
        <f t="shared" si="41"/>
        <v>9</v>
      </c>
      <c r="BM122" s="8" t="str">
        <f t="shared" si="42"/>
        <v>No</v>
      </c>
      <c r="BN122" s="8">
        <f t="shared" si="43"/>
        <v>9</v>
      </c>
      <c r="BO122" s="8">
        <f t="shared" si="44"/>
        <v>8</v>
      </c>
      <c r="BP122" s="8" t="str" cm="1">
        <f t="array" ref="BP122">IF(AND(_xlfn.XLOOKUP('Base stats'!E122,Groups!A:A,Groups!AD:AD=0),_xlfn.XLOOKUP('Base stats'!E122,Groups!A:A,Groups!P:P=0)),"No",IF(U122="No",AVERAGE(EXP(-0.57+0.99*LN(C122)),EXP(0.32+0.67*LN(C122)))/IF(_xlfn.XLOOKUP(E122,Groups!A:A,Groups!AD:AD)=1,10,2),(0.7354*C122^0.4078)*2/IF(_xlfn.XLOOKUP(E122,Groups!A:A,Groups!BK:BK)=1,1000,100)/IF(_xlfn.XLOOKUP(E122,Groups!A:A,Groups!AJ:AJ)="Photonozoa",3,1)))</f>
        <v>No</v>
      </c>
      <c r="BQ122" s="8" t="str">
        <f>IF(W122="No","No",IF(_xlfn.XLOOKUP(E122,Groups!A:A,Groups!BD:BD)=1,(AO122*5%),EXP(0.7354*LN(C122)^0.4078)*2/IF(_xlfn.XLOOKUP(E122,Groups!A:A,Groups!BL:BL)=1,1000,100)/IF(_xlfn.XLOOKUP(E122,Groups!A:A,Groups!AJ:AJ)="Photonozoa",3,1)))</f>
        <v>No</v>
      </c>
      <c r="BR122" s="8">
        <f>IF(BJ122="No","No",IF(_xlfn.XLOOKUP(E122,Groups!A:A,Groups!BF:BF)=1,(0.0315*C122+2.1825)*2,(0.7354*C122^0.4078)*2)/IF(_xlfn.XLOOKUP(E122,Groups!A:A,Groups!BM:BM)=1,1000,100)/IF(_xlfn.XLOOKUP(E122,Groups!A:A,Groups!AJ:AJ)="Photonozoa",3,1))</f>
        <v>7.0739999999999997E-2</v>
      </c>
      <c r="BS122" s="8">
        <f t="shared" si="45"/>
        <v>4.6912116429747769E-2</v>
      </c>
      <c r="BT122" s="8" t="str">
        <f t="shared" si="46"/>
        <v>No</v>
      </c>
      <c r="BU122" s="8" t="str">
        <f t="shared" si="47"/>
        <v>No</v>
      </c>
      <c r="BV122" s="8">
        <f t="shared" si="48"/>
        <v>681.37213114525332</v>
      </c>
      <c r="BW122" s="4">
        <v>0</v>
      </c>
      <c r="BX122" s="4">
        <v>1</v>
      </c>
    </row>
    <row r="123" spans="1:76" x14ac:dyDescent="0.25">
      <c r="A123" s="26" t="s">
        <v>75</v>
      </c>
      <c r="B123" s="6" t="s">
        <v>76</v>
      </c>
      <c r="C123" s="7">
        <f>AVERAGE(199,143)</f>
        <v>171</v>
      </c>
      <c r="D123" s="7" t="s">
        <v>1160</v>
      </c>
      <c r="E123" s="7" t="str">
        <f>Groups!$A$19</f>
        <v>Catlike</v>
      </c>
      <c r="F123" s="7">
        <v>109</v>
      </c>
      <c r="G123" s="7">
        <f>1095/365</f>
        <v>3</v>
      </c>
      <c r="H123" s="7">
        <v>28</v>
      </c>
      <c r="I123" s="4">
        <v>0</v>
      </c>
      <c r="J123" s="7">
        <v>3</v>
      </c>
      <c r="K123" s="7" t="s">
        <v>545</v>
      </c>
      <c r="L123" s="7">
        <v>59</v>
      </c>
      <c r="M123" s="7" t="s">
        <v>626</v>
      </c>
      <c r="N123" s="4">
        <v>0</v>
      </c>
      <c r="O123" s="4">
        <v>0</v>
      </c>
      <c r="P123" s="4">
        <v>0</v>
      </c>
      <c r="Q123" s="4">
        <v>0</v>
      </c>
      <c r="R123" s="4" t="s">
        <v>40</v>
      </c>
      <c r="S123" s="7">
        <f>_xlfn.XLOOKUP(B123,[1]TeethAdjusters!$A:$A,[1]BiteAdjusters!$C:$C,1)</f>
        <v>1.0500914910482129</v>
      </c>
      <c r="T123" s="7">
        <f>_xlfn.XLOOKUP(B123,[1]TeethAdjusters!$A:$A,[1]TeethAdjusters!$B:$B,1)</f>
        <v>1.1181010203336941</v>
      </c>
      <c r="U123" s="7">
        <f>MROUND(6.985,0.05)</f>
        <v>7</v>
      </c>
      <c r="V123" s="7">
        <f>IF(AT123="No","No",IF(_xlfn.XLOOKUP(E123,Groups!A:A,Groups!AM:AM)=1,MROUND(EXP(0.3582*LN(C123)-0.2221)*T123,0.05),IF(_xlfn.XLOOKUP(E123,Groups!A:A,Groups!AM:AM)=2,MROUND(EXP(0.3582*LN(C123)-0.2221)*T123,0.05),"Need a formula")))</f>
        <v>5.65</v>
      </c>
      <c r="W123" s="7" t="s">
        <v>45</v>
      </c>
      <c r="X123" s="7" t="s">
        <v>932</v>
      </c>
      <c r="Y123" s="4" t="s">
        <v>56</v>
      </c>
      <c r="Z123" s="4">
        <v>1</v>
      </c>
      <c r="AA123" s="4">
        <v>0</v>
      </c>
      <c r="AB123" s="4">
        <v>0</v>
      </c>
      <c r="AC123" s="4">
        <v>0</v>
      </c>
      <c r="AD123" s="4">
        <v>0</v>
      </c>
      <c r="AE123" s="4" t="s">
        <v>45</v>
      </c>
      <c r="AF123" s="4" t="s">
        <v>311</v>
      </c>
      <c r="AG123" s="49" t="s">
        <v>389</v>
      </c>
      <c r="AH123" s="4" t="s">
        <v>45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4" t="s">
        <v>40</v>
      </c>
      <c r="AO123" s="8">
        <f t="shared" si="34"/>
        <v>31388.491941254008</v>
      </c>
      <c r="AP123" s="8">
        <f>IFERROR(C123*_xlfn.XLOOKUP(E123,Groups!A:A,Groups!K:K),0.106*C123^0.94)</f>
        <v>21.332249999999998</v>
      </c>
      <c r="AQ123" s="8">
        <f>AP123*10000/(_xlfn.XLOOKUP(E123,Groups!A:A,Groups!J:J)*AO123)</f>
        <v>6.2350467796482301</v>
      </c>
      <c r="AR123" s="8">
        <f t="shared" si="35"/>
        <v>4184.5866397344453</v>
      </c>
      <c r="AS123" s="8">
        <f>IF(_xlfn.XLOOKUP(E123,Groups!A:A,Groups!M:M)=1,EXP(0.7444*LN('Base stats'!C123)+6.5696),EXP(0.7927*LN('Base stats'!C123)+4.28))</f>
        <v>4254.7730453408494</v>
      </c>
      <c r="AT123" s="8">
        <f>IF(_xlfn.XLOOKUP(E123,Groups!A:A,Groups!N:N)="No","No",
IF(_xlfn.XLOOKUP(E123,Groups!A:A,Groups!N:N)="Crocodile",EXP(0.8129*LN(C123)+4.6742)*S123,
IF(_xlfn.XLOOKUP(E123,Groups!A:A,Groups!N:N)="Felid",EXP(0.7843*LN(C123)+4.7073)*S123,
IF(_xlfn.XLOOKUP(E123,Groups!A:A,Groups!N:N)="Canid",EXP(0.8367*LN(C123)+4.8763)*S123,
IF(_xlfn.XLOOKUP(E123,Groups!A:A,Groups!N:N)="Pig",EXP(0.3439*LN(C123)+6.8519)*S123,
IF(_xlfn.XLOOKUP(E123,Groups!A:A,Groups!N:N)="Rodent",EXP(0.5625*LN(C123)+4.3006)*S123,
IF(_xlfn.XLOOKUP(E123,Groups!A:A,Groups!N:N)="Primate",EXP(0.7847*LN(C123)+3.4931)*S123,
IF(_xlfn.XLOOKUP(E123,Groups!A:A,Groups!N:N)="MiscCarnivora",EXP(0.7486*LN(C123)+4.2207)*S123,
IF(_xlfn.XLOOKUP(E123,Groups!A:A,Groups!N:N)="Lizard",EXP(0.7733*LN(C123)+5.5303)*S123,
IF(_xlfn.XLOOKUP(E123,Groups!A:A,Groups!N:N)="Snake",50*C123^(2/3)*S123,
IF(_xlfn.XLOOKUP(E123,Groups!A:A,Groups!N:N)="StrongBitingHerbivore",87.1133638856975*C123^(2/3)*S123,
IF(_xlfn.XLOOKUP(E123,Groups!A:A,Groups!N:N)="MiscEctotherms",59.4316884072269*C123^(2/3)*S123,
IF(_xlfn.XLOOKUP(E123,Groups!A:A,Groups!N:N)="StrongBeakBird",0.041*(C123*1000)^1.375*S123,
IF(_xlfn.XLOOKUP(E123,Groups!A:A,Groups!N:N)="Bird",0.118*(C123*1000)^0.692*S123,
IF(_xlfn.XLOOKUP(E123,Groups!A:A,Groups!N:N)="Insect",EXP(0.7444*LN(C123)+6.5696)*S123,
IF(_xlfn.XLOOKUP(E123,Groups!A:A,Groups!N:N)="Theropod",EXP(0.6966*LN(C123)+4.158)*S123,
"No"))))))))))))))))</f>
        <v>6560.2502040372219</v>
      </c>
      <c r="AU123" s="8">
        <f>IF(_xlfn.XLOOKUP(E123,Groups!A:A,Groups!U:U)=3,AS123,IF(_xlfn.XLOOKUP(E123,Groups!A:A,Groups!U:U)=2,AR123,AT123))</f>
        <v>6560.2502040372219</v>
      </c>
      <c r="AV123" s="46">
        <f>IFERROR(AVERAGE(_xlfn.XLOOKUP(B123,Animals!B:B,Animals!N:N),_xlfn.XLOOKUP(B123,Animals!B:B,Animals!O:O)),0)</f>
        <v>0</v>
      </c>
      <c r="AW123" s="8">
        <f>MROUND(40*Animals!AO123*_xlfn.XLOOKUP(AG123,Leathers!$A$2:$A$99,Leathers!$B$2:$B$99,0)+(140*_xlfn.XLOOKUP(B123,Animals!B:B,Animals!AO:AO)*2),5)</f>
        <v>760</v>
      </c>
      <c r="AX123" s="8">
        <f>IFERROR(ROUND(SQRT(V123-1)*IF(_xlfn.XLOOKUP(E123,Groups!A:A,Groups!BF:BF)=0,2,1)*IF(_xlfn.XLOOKUP('Base stats'!E123,Groups!A:A,Groups!O:O)=0,1,0.1),1),0)</f>
        <v>4.3</v>
      </c>
      <c r="AY123" s="8">
        <f t="shared" si="36"/>
        <v>2.4</v>
      </c>
      <c r="AZ123" s="8">
        <f t="shared" si="37"/>
        <v>0</v>
      </c>
      <c r="BA123" s="8">
        <f t="shared" si="38"/>
        <v>5.0999999999999996</v>
      </c>
      <c r="BB123" s="8">
        <f>IF(_xlfn.XLOOKUP(E123,Groups!A:A,Groups!N:N)="Insect",BD123*2.5,IFERROR(AVERAGE(BD123,AT123/9.81/IF(OR(_xlfn.XLOOKUP(E123,Groups!A:A,Groups!N:N)="Pig",_xlfn.XLOOKUP(E123,Groups!A:A,Groups!N:N)="StrongBitingHerbivore"),20,25))*C123^-0.135,BD123))</f>
        <v>7.3829122961559701</v>
      </c>
      <c r="BC123" s="8" t="str">
        <f>IF(W123="No","No",IF(_xlfn.XLOOKUP(E123,Groups!A:A,Groups!U:U)=1,'Base stats'!BB123,IF(OR(_xlfn.XLOOKUP(E123,Groups!A:A,Groups!BD:BD)=1,_xlfn.XLOOKUP(E123,Groups!A:A,Groups!U:U)=2),BD123,IF(_xlfn.XLOOKUP(B123,Animals!B:B,Animals!AO:AO)&gt;4,AVERAGE(BD123,BF123),BF123))))</f>
        <v>No</v>
      </c>
      <c r="BD123" s="8">
        <f t="shared" si="39"/>
        <v>2.8112912103500221</v>
      </c>
      <c r="BE123" s="8">
        <f>IF(_xlfn.XLOOKUP(E123,Groups!A:A,Groups!BE:BE)=1,(0.048*C123^1.01)+(0.071*C123^1.03),0.071*C123^1.03)/IF(_xlfn.XLOOKUP(E123,Groups!A:A,Groups!M:M)=1,0.85,IF(OR(_xlfn.XLOOKUP(B123,Animals!B:B,Animals!AO:AO)&gt;4,_xlfn.XLOOKUP(E123,Groups!A:A,Groups!BC:BC)=1),1.7,1))*C123^-0.25</f>
        <v>3.9173765101363967</v>
      </c>
      <c r="BF123" s="8">
        <f>(0.048*C123^1.01)/IF(_xlfn.XLOOKUP(E123,Groups!A:A,Groups!M:M)=1,0.25,0.8)*C123^-0.25</f>
        <v>2.986952348613809</v>
      </c>
      <c r="BG123" s="8">
        <f>EXP(1.076*LN(AR123)-4.5397)*IF(_xlfn.XLOOKUP(E123,Groups!A:A,Groups!BC:BC)=1,1.25,IF(_xlfn.XLOOKUP(E123,Groups!A:A,Groups!BD:BD)=1,3.5,2.5))</f>
        <v>210.50940716029061</v>
      </c>
      <c r="BH123" s="8">
        <f>EXP(1.076*LN(AS123)-4.5397)*IF(_xlfn.XLOOKUP(E123,Groups!A:A,Groups!M:M)=1,0.8,IF(_xlfn.XLOOKUP(E123,Groups!A:A,Groups!BC:BC)=1,1.3,3))</f>
        <v>257.17313604990335</v>
      </c>
      <c r="BI123" s="8" t="str">
        <f>IF(W123="No","No",IF(_xlfn.XLOOKUP(E123,Groups!A:A,Groups!U:U)=1,'Base stats'!BJ123,IF(OR(_xlfn.XLOOKUP(E123,Groups!A:A,Groups!BD:BD)=1,_xlfn.XLOOKUP(E123,Groups!A:A,Groups!U:U)=2),BG123,BH123))*1.2)</f>
        <v>No</v>
      </c>
      <c r="BJ123" s="8">
        <f>IFERROR(EXP(1.076*LN(AT123)-4.5397)*IF(_xlfn.XLOOKUP(E123,Groups!A:A,Groups!N:N)="Insect",1,IF(OR(_xlfn.XLOOKUP(E123,Groups!A:A,Groups!N:N)="Pig",_xlfn.XLOOKUP(E123,Groups!A:A,Groups!N:N)="StrongBitingHerbivore"),3.5,3.75)),"No")</f>
        <v>512.23702006231645</v>
      </c>
      <c r="BK123" s="8">
        <f t="shared" si="40"/>
        <v>12</v>
      </c>
      <c r="BL123" s="8">
        <f t="shared" si="41"/>
        <v>11</v>
      </c>
      <c r="BM123" s="8" t="str">
        <f t="shared" si="42"/>
        <v>No</v>
      </c>
      <c r="BN123" s="8">
        <f t="shared" si="43"/>
        <v>11</v>
      </c>
      <c r="BO123" s="8">
        <f t="shared" si="44"/>
        <v>13</v>
      </c>
      <c r="BP123" s="8" cm="1">
        <f t="array" ref="BP123">IF(AND(_xlfn.XLOOKUP('Base stats'!E123,Groups!A:A,Groups!AD:AD=0),_xlfn.XLOOKUP('Base stats'!E123,Groups!A:A,Groups!P:P=0)),"No",IF(U123="No",AVERAGE(EXP(-0.57+0.99*LN(C123)),EXP(0.32+0.67*LN(C123)))/IF(_xlfn.XLOOKUP(E123,Groups!A:A,Groups!AD:AD)=1,10,2),(0.7354*C123^0.4078)*2/IF(_xlfn.XLOOKUP(E123,Groups!A:A,Groups!BK:BK)=1,1000,100)/IF(_xlfn.XLOOKUP(E123,Groups!A:A,Groups!AJ:AJ)="Photonozoa",3,1)))</f>
        <v>0.11972075169985437</v>
      </c>
      <c r="BQ123" s="8" t="str">
        <f>IF(W123="No","No",IF(_xlfn.XLOOKUP(E123,Groups!A:A,Groups!BD:BD)=1,(AO123*5%),EXP(0.7354*LN(C123)^0.4078)*2/IF(_xlfn.XLOOKUP(E123,Groups!A:A,Groups!BL:BL)=1,1000,100)/IF(_xlfn.XLOOKUP(E123,Groups!A:A,Groups!AJ:AJ)="Photonozoa",3,1)))</f>
        <v>No</v>
      </c>
      <c r="BR123" s="8">
        <f>IF(BJ123="No","No",IF(_xlfn.XLOOKUP(E123,Groups!A:A,Groups!BF:BF)=1,(0.0315*C123+2.1825)*2,(0.7354*C123^0.4078)*2)/IF(_xlfn.XLOOKUP(E123,Groups!A:A,Groups!BM:BM)=1,1000,100)/IF(_xlfn.XLOOKUP(E123,Groups!A:A,Groups!AJ:AJ)="Photonozoa",3,1))</f>
        <v>0.11972075169985437</v>
      </c>
      <c r="BS123" s="8">
        <f t="shared" si="45"/>
        <v>0.13413158399216837</v>
      </c>
      <c r="BT123" s="8">
        <f t="shared" si="46"/>
        <v>2148.1082635920015</v>
      </c>
      <c r="BU123" s="8" t="str">
        <f t="shared" si="47"/>
        <v>No</v>
      </c>
      <c r="BV123" s="8">
        <f t="shared" si="48"/>
        <v>4278.5984283369608</v>
      </c>
      <c r="BW123" s="4">
        <v>0</v>
      </c>
      <c r="BX123" s="4">
        <v>1</v>
      </c>
    </row>
    <row r="124" spans="1:76" x14ac:dyDescent="0.25">
      <c r="A124" s="26" t="s">
        <v>471</v>
      </c>
      <c r="B124" s="6" t="s">
        <v>603</v>
      </c>
      <c r="C124" s="7">
        <f>1.244</f>
        <v>1.244</v>
      </c>
      <c r="D124" s="7" t="s">
        <v>1258</v>
      </c>
      <c r="E124" s="7" t="str">
        <f>Groups!$A$27</f>
        <v>Lizard (MONITOR)</v>
      </c>
      <c r="F124" s="7" t="str">
        <f>"Lay eggs"</f>
        <v>Lay eggs</v>
      </c>
      <c r="G124" s="7">
        <v>2.5</v>
      </c>
      <c r="H124" s="7">
        <v>34.299999999999997</v>
      </c>
      <c r="I124" s="4">
        <v>0</v>
      </c>
      <c r="J124" s="7" t="str">
        <f>"Lay eggs"</f>
        <v>Lay eggs</v>
      </c>
      <c r="K124" s="7" t="s">
        <v>604</v>
      </c>
      <c r="L124" s="7">
        <v>12</v>
      </c>
      <c r="M124" s="7" t="s">
        <v>528</v>
      </c>
      <c r="N124" s="4">
        <v>0</v>
      </c>
      <c r="O124" s="4">
        <v>0</v>
      </c>
      <c r="P124" s="4">
        <v>0</v>
      </c>
      <c r="Q124" s="4">
        <v>0</v>
      </c>
      <c r="R124" s="4" t="s">
        <v>40</v>
      </c>
      <c r="S124" s="7">
        <f>_xlfn.XLOOKUP(B124,[1]TeethAdjusters!$A:$A,[1]BiteAdjusters!$C:$C,1)</f>
        <v>1</v>
      </c>
      <c r="T124" s="7">
        <f>_xlfn.XLOOKUP(B124,[1]TeethAdjusters!$A:$A,[1]TeethAdjusters!$B:$B,1)</f>
        <v>1</v>
      </c>
      <c r="U124" s="7">
        <v>0.5</v>
      </c>
      <c r="V124" s="7">
        <v>0.5</v>
      </c>
      <c r="W124" s="7" t="s">
        <v>45</v>
      </c>
      <c r="X124" s="7" t="s">
        <v>932</v>
      </c>
      <c r="Y124" s="4" t="s">
        <v>56</v>
      </c>
      <c r="Z124" s="4">
        <v>1</v>
      </c>
      <c r="AA124" s="4">
        <v>0</v>
      </c>
      <c r="AB124" s="4">
        <v>0</v>
      </c>
      <c r="AC124" s="4">
        <v>0</v>
      </c>
      <c r="AD124" s="4">
        <v>0</v>
      </c>
      <c r="AE124" s="4" t="s">
        <v>45</v>
      </c>
      <c r="AF124" s="4" t="s">
        <v>45</v>
      </c>
      <c r="AG124" s="49" t="s">
        <v>386</v>
      </c>
      <c r="AH124" s="4" t="str">
        <f>Animals!$C$32</f>
        <v>&lt;li&gt;Iguana&lt;/li&gt;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4" t="s">
        <v>40</v>
      </c>
      <c r="AO124" s="8">
        <f t="shared" si="34"/>
        <v>1279.2523575668195</v>
      </c>
      <c r="AP124" s="8">
        <f>IFERROR(C124*_xlfn.XLOOKUP(E124,Groups!A:A,Groups!K:K),0.106*C124^0.94)</f>
        <v>0.13014785740106588</v>
      </c>
      <c r="AQ124" s="8">
        <f>AP124*10000/(_xlfn.XLOOKUP(E124,Groups!A:A,Groups!J:J)*AO124)</f>
        <v>0.93337099073071961</v>
      </c>
      <c r="AR124" s="8">
        <f t="shared" si="35"/>
        <v>65.39364193380068</v>
      </c>
      <c r="AS124" s="8">
        <f>IF(_xlfn.XLOOKUP(E124,Groups!A:A,Groups!M:M)=1,EXP(0.7444*LN('Base stats'!C124)+6.5696),EXP(0.7927*LN('Base stats'!C124)+4.28))</f>
        <v>85.89037483482214</v>
      </c>
      <c r="AT124" s="8">
        <f>IF(_xlfn.XLOOKUP(E124,Groups!A:A,Groups!N:N)="No","No",
IF(_xlfn.XLOOKUP(E124,Groups!A:A,Groups!N:N)="Crocodile",EXP(0.8129*LN(C124)+4.6742)*S124,
IF(_xlfn.XLOOKUP(E124,Groups!A:A,Groups!N:N)="Felid",EXP(0.7843*LN(C124)+4.7073)*S124,
IF(_xlfn.XLOOKUP(E124,Groups!A:A,Groups!N:N)="Canid",EXP(0.8367*LN(C124)+4.8763)*S124,
IF(_xlfn.XLOOKUP(E124,Groups!A:A,Groups!N:N)="Pig",EXP(0.3439*LN(C124)+6.8519)*S124,
IF(_xlfn.XLOOKUP(E124,Groups!A:A,Groups!N:N)="Rodent",EXP(0.5625*LN(C124)+4.3006)*S124,
IF(_xlfn.XLOOKUP(E124,Groups!A:A,Groups!N:N)="Primate",EXP(0.7847*LN(C124)+3.4931)*S124,
IF(_xlfn.XLOOKUP(E124,Groups!A:A,Groups!N:N)="MiscCarnivora",EXP(0.7486*LN(C124)+4.2207)*S124,
IF(_xlfn.XLOOKUP(E124,Groups!A:A,Groups!N:N)="Lizard",EXP(0.7733*LN(C124)+5.5303)*S124,
IF(_xlfn.XLOOKUP(E124,Groups!A:A,Groups!N:N)="Snake",50*C124^(2/3)*S124,
IF(_xlfn.XLOOKUP(E124,Groups!A:A,Groups!N:N)="StrongBitingHerbivore",87.1133638856975*C124^(2/3)*S124,
IF(_xlfn.XLOOKUP(E124,Groups!A:A,Groups!N:N)="MiscEctotherms",59.4316884072269*C124^(2/3)*S124,
IF(_xlfn.XLOOKUP(E124,Groups!A:A,Groups!N:N)="StrongBeakBird",0.041*(C124*1000)^1.375*S124,
IF(_xlfn.XLOOKUP(E124,Groups!A:A,Groups!N:N)="Bird",0.118*(C124*1000)^0.692*S124,
IF(_xlfn.XLOOKUP(E124,Groups!A:A,Groups!N:N)="Insect",EXP(0.7444*LN(C124)+6.5696)*S124,
IF(_xlfn.XLOOKUP(E124,Groups!A:A,Groups!N:N)="Theropod",EXP(0.6966*LN(C124)+4.158)*S124,
"No"))))))))))))))))</f>
        <v>298.60933023129661</v>
      </c>
      <c r="AU124" s="8">
        <f>IF(_xlfn.XLOOKUP(E124,Groups!A:A,Groups!U:U)=3,AS124,IF(_xlfn.XLOOKUP(E124,Groups!A:A,Groups!U:U)=2,AR124,AT124))</f>
        <v>298.60933023129661</v>
      </c>
      <c r="AV124" s="46">
        <f>IFERROR(AVERAGE(_xlfn.XLOOKUP(B124,Animals!B:B,Animals!N:N),_xlfn.XLOOKUP(B124,Animals!B:B,Animals!O:O)),0)</f>
        <v>0</v>
      </c>
      <c r="AW124" s="8">
        <f>MROUND(40*Animals!AO124*_xlfn.XLOOKUP(AG124,Leathers!$A$2:$A$99,Leathers!$B$2:$B$99,0)+(140*_xlfn.XLOOKUP(B124,Animals!B:B,Animals!AO:AO)*2),5)</f>
        <v>70</v>
      </c>
      <c r="AX124" s="8">
        <f>IFERROR(ROUND(SQRT(V124-1)*IF(_xlfn.XLOOKUP(E124,Groups!A:A,Groups!BF:BF)=0,2,1)*IF(_xlfn.XLOOKUP('Base stats'!E124,Groups!A:A,Groups!O:O)=0,1,0.1),1),0)</f>
        <v>0</v>
      </c>
      <c r="AY124" s="8">
        <f t="shared" si="36"/>
        <v>0</v>
      </c>
      <c r="AZ124" s="8">
        <f t="shared" si="37"/>
        <v>0</v>
      </c>
      <c r="BA124" s="8">
        <f t="shared" si="38"/>
        <v>0.6</v>
      </c>
      <c r="BB124" s="8">
        <f>IF(_xlfn.XLOOKUP(E124,Groups!A:A,Groups!N:N)="Insect",BD124*2.5,IFERROR(AVERAGE(BD124,AT124/9.81/IF(OR(_xlfn.XLOOKUP(E124,Groups!A:A,Groups!N:N)="Pig",_xlfn.XLOOKUP(E124,Groups!A:A,Groups!N:N)="StrongBitingHerbivore"),20,25))*C124^-0.135,BD124))</f>
        <v>0.61392021484233994</v>
      </c>
      <c r="BC124" s="8" t="str">
        <f>IF(W124="No","No",IF(_xlfn.XLOOKUP(E124,Groups!A:A,Groups!U:U)=1,'Base stats'!BB124,IF(OR(_xlfn.XLOOKUP(E124,Groups!A:A,Groups!BD:BD)=1,_xlfn.XLOOKUP(E124,Groups!A:A,Groups!U:U)=2),BD124,IF(_xlfn.XLOOKUP(B124,Animals!B:B,Animals!AO:AO)&gt;4,AVERAGE(BD124,BF124),BF124))))</f>
        <v>No</v>
      </c>
      <c r="BD124" s="8">
        <f t="shared" si="39"/>
        <v>4.6998262553212274E-2</v>
      </c>
      <c r="BE124" s="8">
        <f>IF(_xlfn.XLOOKUP(E124,Groups!A:A,Groups!BE:BE)=1,(0.048*C124^1.01)+(0.071*C124^1.03),0.071*C124^1.03)/IF(_xlfn.XLOOKUP(E124,Groups!A:A,Groups!M:M)=1,0.85,IF(OR(_xlfn.XLOOKUP(B124,Animals!B:B,Animals!AO:AO)&gt;4,_xlfn.XLOOKUP(E124,Groups!A:A,Groups!BC:BC)=1),1.7,1))*C124^-0.25</f>
        <v>8.4181807302224423E-2</v>
      </c>
      <c r="BF124" s="8">
        <f>(0.048*C124^1.01)/IF(_xlfn.XLOOKUP(E124,Groups!A:A,Groups!M:M)=1,0.25,0.8)*C124^-0.25</f>
        <v>7.0829591888453447E-2</v>
      </c>
      <c r="BG124" s="8">
        <f>EXP(1.076*LN(AR124)-4.5397)*IF(_xlfn.XLOOKUP(E124,Groups!A:A,Groups!BC:BC)=1,1.25,IF(_xlfn.XLOOKUP(E124,Groups!A:A,Groups!BD:BD)=1,3.5,2.5))</f>
        <v>2.398223056923853</v>
      </c>
      <c r="BH124" s="8">
        <f>EXP(1.076*LN(AS124)-4.5397)*IF(_xlfn.XLOOKUP(E124,Groups!A:A,Groups!M:M)=1,0.8,IF(_xlfn.XLOOKUP(E124,Groups!A:A,Groups!BC:BC)=1,1.3,3))</f>
        <v>3.8590364008518856</v>
      </c>
      <c r="BI124" s="8" t="str">
        <f>IF(W124="No","No",IF(_xlfn.XLOOKUP(E124,Groups!A:A,Groups!U:U)=1,'Base stats'!BJ124,IF(OR(_xlfn.XLOOKUP(E124,Groups!A:A,Groups!BD:BD)=1,_xlfn.XLOOKUP(E124,Groups!A:A,Groups!U:U)=2),BG124,BH124))*1.2)</f>
        <v>No</v>
      </c>
      <c r="BJ124" s="8">
        <f>IFERROR(EXP(1.076*LN(AT124)-4.5397)*IF(_xlfn.XLOOKUP(E124,Groups!A:A,Groups!N:N)="Insect",1,IF(OR(_xlfn.XLOOKUP(E124,Groups!A:A,Groups!N:N)="Pig",_xlfn.XLOOKUP(E124,Groups!A:A,Groups!N:N)="StrongBitingHerbivore"),3.5,3.75)),"No")</f>
        <v>18.436387939942605</v>
      </c>
      <c r="BK124" s="8">
        <f t="shared" si="40"/>
        <v>10</v>
      </c>
      <c r="BL124" s="8">
        <f t="shared" si="41"/>
        <v>9</v>
      </c>
      <c r="BM124" s="8" t="str">
        <f t="shared" si="42"/>
        <v>No</v>
      </c>
      <c r="BN124" s="8">
        <f t="shared" si="43"/>
        <v>7</v>
      </c>
      <c r="BO124" s="8">
        <f t="shared" si="44"/>
        <v>10</v>
      </c>
      <c r="BP124" s="8" cm="1">
        <f t="array" ref="BP124">IF(AND(_xlfn.XLOOKUP('Base stats'!E124,Groups!A:A,Groups!AD:AD=0),_xlfn.XLOOKUP('Base stats'!E124,Groups!A:A,Groups!P:P=0)),"No",IF(U124="No",AVERAGE(EXP(-0.57+0.99*LN(C124)),EXP(0.32+0.67*LN(C124)))/IF(_xlfn.XLOOKUP(E124,Groups!A:A,Groups!AD:AD)=1,10,2),(0.7354*C124^0.4078)*2/IF(_xlfn.XLOOKUP(E124,Groups!A:A,Groups!BK:BK)=1,1000,100)/IF(_xlfn.XLOOKUP(E124,Groups!A:A,Groups!AJ:AJ)="Photonozoa",3,1)))</f>
        <v>1.6077605656767299E-2</v>
      </c>
      <c r="BQ124" s="8" t="str">
        <f>IF(W124="No","No",IF(_xlfn.XLOOKUP(E124,Groups!A:A,Groups!BD:BD)=1,(AO124*5%),EXP(0.7354*LN(C124)^0.4078)*2/IF(_xlfn.XLOOKUP(E124,Groups!A:A,Groups!BL:BL)=1,1000,100)/IF(_xlfn.XLOOKUP(E124,Groups!A:A,Groups!AJ:AJ)="Photonozoa",3,1)))</f>
        <v>No</v>
      </c>
      <c r="BR124" s="8">
        <f>IF(BJ124="No","No",IF(_xlfn.XLOOKUP(E124,Groups!A:A,Groups!BF:BF)=1,(0.0315*C124+2.1825)*2,(0.7354*C124^0.4078)*2)/IF(_xlfn.XLOOKUP(E124,Groups!A:A,Groups!BM:BM)=1,1000,100)/IF(_xlfn.XLOOKUP(E124,Groups!A:A,Groups!AJ:AJ)="Photonozoa",3,1))</f>
        <v>1.6077605656767299E-2</v>
      </c>
      <c r="BS124" s="8">
        <f t="shared" si="45"/>
        <v>3.7494135425872543E-2</v>
      </c>
      <c r="BT124" s="8">
        <f t="shared" si="46"/>
        <v>240.0255661966408</v>
      </c>
      <c r="BU124" s="8" t="str">
        <f t="shared" si="47"/>
        <v>No</v>
      </c>
      <c r="BV124" s="8">
        <f t="shared" si="48"/>
        <v>1146.7122862403619</v>
      </c>
      <c r="BW124" s="4">
        <v>0</v>
      </c>
      <c r="BX124" s="4">
        <v>1</v>
      </c>
    </row>
    <row r="125" spans="1:76" x14ac:dyDescent="0.25">
      <c r="A125" s="26" t="s">
        <v>86</v>
      </c>
      <c r="B125" s="6" t="s">
        <v>87</v>
      </c>
      <c r="C125" s="7">
        <v>690</v>
      </c>
      <c r="D125" s="7" t="s">
        <v>928</v>
      </c>
      <c r="E125" s="7" t="str">
        <f>Groups!$A$23</f>
        <v>Camellike (CAMEL)</v>
      </c>
      <c r="F125" s="7">
        <f>395</f>
        <v>395</v>
      </c>
      <c r="G125" s="7">
        <f>1278/365</f>
        <v>3.5013698630136987</v>
      </c>
      <c r="H125" s="7">
        <f>35.4</f>
        <v>35.4</v>
      </c>
      <c r="I125" s="4">
        <v>0</v>
      </c>
      <c r="J125" s="7">
        <v>1</v>
      </c>
      <c r="K125" s="7" t="s">
        <v>517</v>
      </c>
      <c r="L125" s="7">
        <v>40</v>
      </c>
      <c r="M125" s="7" t="s">
        <v>629</v>
      </c>
      <c r="N125" s="4">
        <v>0</v>
      </c>
      <c r="O125" s="4">
        <v>1</v>
      </c>
      <c r="P125" s="4">
        <v>0</v>
      </c>
      <c r="Q125" s="4">
        <v>15</v>
      </c>
      <c r="R125" s="4" t="s">
        <v>40</v>
      </c>
      <c r="S125" s="7">
        <f>_xlfn.XLOOKUP(B125,[1]TeethAdjusters!$A:$A,[1]BiteAdjusters!$C:$C,1)</f>
        <v>1</v>
      </c>
      <c r="T125" s="7">
        <f>_xlfn.XLOOKUP(B125,[1]TeethAdjusters!$A:$A,[1]TeethAdjusters!$B:$B,1)</f>
        <v>1</v>
      </c>
      <c r="U125" s="7" t="s">
        <v>45</v>
      </c>
      <c r="V125" s="7">
        <f>MROUND(4.5,0.05)</f>
        <v>4.5</v>
      </c>
      <c r="W125" s="7" t="s">
        <v>45</v>
      </c>
      <c r="X125" s="7" t="s">
        <v>932</v>
      </c>
      <c r="Y125" s="4" t="s">
        <v>42</v>
      </c>
      <c r="Z125" s="4">
        <v>1</v>
      </c>
      <c r="AA125" s="4">
        <v>0</v>
      </c>
      <c r="AB125" s="4">
        <v>0</v>
      </c>
      <c r="AC125" s="4">
        <v>0</v>
      </c>
      <c r="AD125" s="4">
        <v>0</v>
      </c>
      <c r="AE125" s="4" t="s">
        <v>45</v>
      </c>
      <c r="AF125" s="4" t="s">
        <v>398</v>
      </c>
      <c r="AG125" s="49" t="s">
        <v>377</v>
      </c>
      <c r="AH125" s="4" t="str">
        <f>Animals!$C$12</f>
        <v>&lt;li&gt;Dromedary&lt;/li&gt;</v>
      </c>
      <c r="AI125" s="4">
        <v>1</v>
      </c>
      <c r="AJ125" s="4">
        <v>0</v>
      </c>
      <c r="AK125" s="4">
        <v>0</v>
      </c>
      <c r="AL125" s="4">
        <v>0</v>
      </c>
      <c r="AM125" s="4">
        <v>0</v>
      </c>
      <c r="AN125" s="44" t="s">
        <v>40</v>
      </c>
      <c r="AO125" s="8">
        <f t="shared" si="34"/>
        <v>77727.533706371993</v>
      </c>
      <c r="AP125" s="8">
        <f>IFERROR(C125*_xlfn.XLOOKUP(E125,Groups!A:A,Groups!K:K),0.106*C125^0.94)</f>
        <v>49.411041771822433</v>
      </c>
      <c r="AQ125" s="8">
        <f>AP125*10000/(_xlfn.XLOOKUP(E125,Groups!A:A,Groups!J:J)*AO125)</f>
        <v>5.8320686147806002</v>
      </c>
      <c r="AR125" s="8">
        <f t="shared" si="35"/>
        <v>13596.169701835819</v>
      </c>
      <c r="AS125" s="8">
        <f>IF(_xlfn.XLOOKUP(E125,Groups!A:A,Groups!M:M)=1,EXP(0.7444*LN('Base stats'!C125)+6.5696),EXP(0.7927*LN('Base stats'!C125)+4.28))</f>
        <v>12856.893805814812</v>
      </c>
      <c r="AT125" s="8">
        <f>IF(_xlfn.XLOOKUP(E125,Groups!A:A,Groups!N:N)="No","No",
IF(_xlfn.XLOOKUP(E125,Groups!A:A,Groups!N:N)="Crocodile",EXP(0.8129*LN(C125)+4.6742)*S125,
IF(_xlfn.XLOOKUP(E125,Groups!A:A,Groups!N:N)="Felid",EXP(0.7843*LN(C125)+4.7073)*S125,
IF(_xlfn.XLOOKUP(E125,Groups!A:A,Groups!N:N)="Canid",EXP(0.8367*LN(C125)+4.8763)*S125,
IF(_xlfn.XLOOKUP(E125,Groups!A:A,Groups!N:N)="Pig",EXP(0.3439*LN(C125)+6.8519)*S125,
IF(_xlfn.XLOOKUP(E125,Groups!A:A,Groups!N:N)="Rodent",EXP(0.5625*LN(C125)+4.3006)*S125,
IF(_xlfn.XLOOKUP(E125,Groups!A:A,Groups!N:N)="Primate",EXP(0.7847*LN(C125)+3.4931)*S125,
IF(_xlfn.XLOOKUP(E125,Groups!A:A,Groups!N:N)="MiscCarnivora",EXP(0.7486*LN(C125)+4.2207)*S125,
IF(_xlfn.XLOOKUP(E125,Groups!A:A,Groups!N:N)="Lizard",EXP(0.7733*LN(C125)+5.5303)*S125,
IF(_xlfn.XLOOKUP(E125,Groups!A:A,Groups!N:N)="Snake",50*C125^(2/3)*S125,
IF(_xlfn.XLOOKUP(E125,Groups!A:A,Groups!N:N)="StrongBitingHerbivore",87.1133638856975*C125^(2/3)*S125,
IF(_xlfn.XLOOKUP(E125,Groups!A:A,Groups!N:N)="MiscEctotherms",59.4316884072269*C125^(2/3)*S125,
IF(_xlfn.XLOOKUP(E125,Groups!A:A,Groups!N:N)="StrongBeakBird",0.041*(C125*1000)^1.375*S125,
IF(_xlfn.XLOOKUP(E125,Groups!A:A,Groups!N:N)="Bird",0.118*(C125*1000)^0.692*S125,
IF(_xlfn.XLOOKUP(E125,Groups!A:A,Groups!N:N)="Insect",EXP(0.7444*LN(C125)+6.5696)*S125,
IF(_xlfn.XLOOKUP(E125,Groups!A:A,Groups!N:N)="Theropod",EXP(0.6966*LN(C125)+4.158)*S125,
"No"))))))))))))))))</f>
        <v>6802.222676907063</v>
      </c>
      <c r="AU125" s="8">
        <f>IF(_xlfn.XLOOKUP(E125,Groups!A:A,Groups!U:U)=3,AS125,IF(_xlfn.XLOOKUP(E125,Groups!A:A,Groups!U:U)=2,AR125,AT125))</f>
        <v>6802.222676907063</v>
      </c>
      <c r="AV125" s="46">
        <f>IFERROR(AVERAGE(_xlfn.XLOOKUP(B125,Animals!B:B,Animals!N:N),_xlfn.XLOOKUP(B125,Animals!B:B,Animals!O:O)),0)</f>
        <v>0</v>
      </c>
      <c r="AW125" s="8">
        <f>MROUND(40*Animals!AO125*_xlfn.XLOOKUP(AG125,Leathers!$A$2:$A$99,Leathers!$B$2:$B$99,0)+(140*_xlfn.XLOOKUP(B125,Animals!B:B,Animals!AO:AO)*2),5)</f>
        <v>1115</v>
      </c>
      <c r="AX125" s="8">
        <f>IFERROR(ROUND(SQRT(V125-1)*IF(_xlfn.XLOOKUP(E125,Groups!A:A,Groups!BF:BF)=0,2,1)*IF(_xlfn.XLOOKUP('Base stats'!E125,Groups!A:A,Groups!O:O)=0,1,0.1),1),0)</f>
        <v>1.9</v>
      </c>
      <c r="AY125" s="8">
        <f t="shared" si="36"/>
        <v>0</v>
      </c>
      <c r="AZ125" s="8">
        <f t="shared" si="37"/>
        <v>0</v>
      </c>
      <c r="BA125" s="8">
        <f t="shared" si="38"/>
        <v>8.3000000000000007</v>
      </c>
      <c r="BB125" s="8">
        <f>IF(_xlfn.XLOOKUP(E125,Groups!A:A,Groups!N:N)="Insect",BD125*2.5,IFERROR(AVERAGE(BD125,AT125/9.81/IF(OR(_xlfn.XLOOKUP(E125,Groups!A:A,Groups!N:N)="Pig",_xlfn.XLOOKUP(E125,Groups!A:A,Groups!N:N)="StrongBitingHerbivore"),20,25))*C125^-0.135,BD125))</f>
        <v>8.2933468925767713</v>
      </c>
      <c r="BC125" s="8" t="str">
        <f>IF(W125="No","No",IF(_xlfn.XLOOKUP(E125,Groups!A:A,Groups!U:U)=1,'Base stats'!BB125,IF(OR(_xlfn.XLOOKUP(E125,Groups!A:A,Groups!BD:BD)=1,_xlfn.XLOOKUP(E125,Groups!A:A,Groups!U:U)=2),BD125,IF(_xlfn.XLOOKUP(B125,Animals!B:B,Animals!AO:AO)&gt;4,AVERAGE(BD125,BF125),BF125))))</f>
        <v>No</v>
      </c>
      <c r="BD125" s="8">
        <f t="shared" si="39"/>
        <v>5.4172425555182926</v>
      </c>
      <c r="BE125" s="8">
        <f>IF(_xlfn.XLOOKUP(E125,Groups!A:A,Groups!BE:BE)=1,(0.048*C125^1.01)+(0.071*C125^1.03),0.071*C125^1.03)/IF(_xlfn.XLOOKUP(E125,Groups!A:A,Groups!M:M)=1,0.85,IF(OR(_xlfn.XLOOKUP(B125,Animals!B:B,Animals!AO:AO)&gt;4,_xlfn.XLOOKUP(E125,Groups!A:A,Groups!BC:BC)=1),1.7,1))*C125^-0.25</f>
        <v>11.629489194285423</v>
      </c>
      <c r="BF125" s="8">
        <f>(0.048*C125^1.01)/IF(_xlfn.XLOOKUP(E125,Groups!A:A,Groups!M:M)=1,0.25,0.8)*C125^-0.25</f>
        <v>8.6233608407716602</v>
      </c>
      <c r="BG125" s="8">
        <f>EXP(1.076*LN(AR125)-4.5397)*IF(_xlfn.XLOOKUP(E125,Groups!A:A,Groups!BC:BC)=1,1.25,IF(_xlfn.XLOOKUP(E125,Groups!A:A,Groups!BD:BD)=1,3.5,2.5))</f>
        <v>748.04820582530556</v>
      </c>
      <c r="BH125" s="8">
        <f>EXP(1.076*LN(AS125)-4.5397)*IF(_xlfn.XLOOKUP(E125,Groups!A:A,Groups!M:M)=1,0.8,IF(_xlfn.XLOOKUP(E125,Groups!A:A,Groups!BC:BC)=1,1.3,3))</f>
        <v>845.24963580378835</v>
      </c>
      <c r="BI125" s="8" t="str">
        <f>IF(W125="No","No",IF(_xlfn.XLOOKUP(E125,Groups!A:A,Groups!U:U)=1,'Base stats'!BJ125,IF(OR(_xlfn.XLOOKUP(E125,Groups!A:A,Groups!BD:BD)=1,_xlfn.XLOOKUP(E125,Groups!A:A,Groups!U:U)=2),BG125,BH125))*1.2)</f>
        <v>No</v>
      </c>
      <c r="BJ125" s="8">
        <f>IFERROR(EXP(1.076*LN(AT125)-4.5397)*IF(_xlfn.XLOOKUP(E125,Groups!A:A,Groups!N:N)="Insect",1,IF(OR(_xlfn.XLOOKUP(E125,Groups!A:A,Groups!N:N)="Pig",_xlfn.XLOOKUP(E125,Groups!A:A,Groups!N:N)="StrongBitingHerbivore"),3.5,3.75)),"No")</f>
        <v>497.08847474782669</v>
      </c>
      <c r="BK125" s="8">
        <f t="shared" si="40"/>
        <v>16</v>
      </c>
      <c r="BL125" s="8">
        <f t="shared" si="41"/>
        <v>12</v>
      </c>
      <c r="BM125" s="8" t="str">
        <f t="shared" si="42"/>
        <v>No</v>
      </c>
      <c r="BN125" s="8">
        <f t="shared" si="43"/>
        <v>10</v>
      </c>
      <c r="BO125" s="8">
        <f t="shared" si="44"/>
        <v>14</v>
      </c>
      <c r="BP125" s="8" cm="1">
        <f t="array" ref="BP125">IF(AND(_xlfn.XLOOKUP('Base stats'!E125,Groups!A:A,Groups!AD:AD=0),_xlfn.XLOOKUP('Base stats'!E125,Groups!A:A,Groups!P:P=0)),"No",IF(U125="No",AVERAGE(EXP(-0.57+0.99*LN(C125)),EXP(0.32+0.67*LN(C125)))/IF(_xlfn.XLOOKUP(E125,Groups!A:A,Groups!AD:AD)=1,10,2),(0.7354*C125^0.4078)*2/IF(_xlfn.XLOOKUP(E125,Groups!A:A,Groups!BK:BK)=1,1000,100)/IF(_xlfn.XLOOKUP(E125,Groups!A:A,Groups!AJ:AJ)="Photonozoa",3,1)))</f>
        <v>118.85568036375295</v>
      </c>
      <c r="BQ125" s="8" t="str">
        <f>IF(W125="No","No",IF(_xlfn.XLOOKUP(E125,Groups!A:A,Groups!BD:BD)=1,(AO125*5%),EXP(0.7354*LN(C125)^0.4078)*2/IF(_xlfn.XLOOKUP(E125,Groups!A:A,Groups!BL:BL)=1,1000,100)/IF(_xlfn.XLOOKUP(E125,Groups!A:A,Groups!AJ:AJ)="Photonozoa",3,1)))</f>
        <v>No</v>
      </c>
      <c r="BR125" s="8">
        <f>IF(BJ125="No","No",IF(_xlfn.XLOOKUP(E125,Groups!A:A,Groups!BF:BF)=1,(0.0315*C125+2.1825)*2,(0.7354*C125^0.4078)*2)/IF(_xlfn.XLOOKUP(E125,Groups!A:A,Groups!BM:BM)=1,1000,100)/IF(_xlfn.XLOOKUP(E125,Groups!A:A,Groups!AJ:AJ)="Photonozoa",3,1))</f>
        <v>0.47835</v>
      </c>
      <c r="BS125" s="8">
        <f t="shared" si="45"/>
        <v>0.19247959382094265</v>
      </c>
      <c r="BT125" s="8">
        <f t="shared" si="46"/>
        <v>7.1115628063962646</v>
      </c>
      <c r="BU125" s="8" t="str">
        <f t="shared" si="47"/>
        <v>No</v>
      </c>
      <c r="BV125" s="8">
        <f t="shared" si="48"/>
        <v>1039.1731467499251</v>
      </c>
      <c r="BW125" s="4">
        <v>0</v>
      </c>
      <c r="BX125" s="4">
        <v>1</v>
      </c>
    </row>
    <row r="126" spans="1:76" x14ac:dyDescent="0.25">
      <c r="A126" s="26" t="s">
        <v>473</v>
      </c>
      <c r="B126" s="6" t="s">
        <v>472</v>
      </c>
      <c r="C126" s="7">
        <v>5.6749999999999998</v>
      </c>
      <c r="D126" s="7" t="s">
        <v>605</v>
      </c>
      <c r="E126" s="7" t="str">
        <f>Groups!$A$59</f>
        <v>Snake (VENOM)</v>
      </c>
      <c r="F126" s="7">
        <f>AVERAGE(120,180)</f>
        <v>150</v>
      </c>
      <c r="G126" s="7">
        <v>3</v>
      </c>
      <c r="H126" s="7">
        <v>22.8</v>
      </c>
      <c r="I126" s="4">
        <v>0</v>
      </c>
      <c r="J126" s="7">
        <f>AVERAGE(4,32)</f>
        <v>18</v>
      </c>
      <c r="K126" s="7" t="s">
        <v>605</v>
      </c>
      <c r="L126" s="7">
        <v>15</v>
      </c>
      <c r="M126" s="7" t="s">
        <v>528</v>
      </c>
      <c r="N126" s="4">
        <v>0</v>
      </c>
      <c r="O126" s="4">
        <v>0</v>
      </c>
      <c r="P126" s="4">
        <v>0</v>
      </c>
      <c r="Q126" s="4">
        <v>0</v>
      </c>
      <c r="R126" s="4" t="s">
        <v>40</v>
      </c>
      <c r="S126" s="7">
        <f>_xlfn.XLOOKUP(B126,[1]TeethAdjusters!$A:$A,[1]BiteAdjusters!$C:$C,1)</f>
        <v>1</v>
      </c>
      <c r="T126" s="7">
        <f>_xlfn.XLOOKUP(B126,[1]TeethAdjusters!$A:$A,[1]TeethAdjusters!$B:$B,1)</f>
        <v>1</v>
      </c>
      <c r="U126" s="7" t="s">
        <v>45</v>
      </c>
      <c r="V126" s="7">
        <v>2.5</v>
      </c>
      <c r="W126" s="7" t="s">
        <v>45</v>
      </c>
      <c r="X126" s="7" t="s">
        <v>932</v>
      </c>
      <c r="Y126" s="4" t="s">
        <v>56</v>
      </c>
      <c r="Z126" s="4">
        <v>1</v>
      </c>
      <c r="AA126" s="4">
        <v>0</v>
      </c>
      <c r="AB126" s="4">
        <v>0</v>
      </c>
      <c r="AC126" s="4">
        <v>0</v>
      </c>
      <c r="AD126" s="4">
        <v>0</v>
      </c>
      <c r="AE126" s="4" t="s">
        <v>45</v>
      </c>
      <c r="AF126" s="4" t="s">
        <v>45</v>
      </c>
      <c r="AG126" s="49" t="s">
        <v>386</v>
      </c>
      <c r="AH126" s="4" t="str">
        <f>Animals!$C$33</f>
        <v>&lt;li&gt;Cobra&lt;/li&gt;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4" t="s">
        <v>40</v>
      </c>
      <c r="AO126" s="8">
        <f t="shared" si="34"/>
        <v>3430.8425812232035</v>
      </c>
      <c r="AP126" s="8">
        <f>IFERROR(C126*_xlfn.XLOOKUP(E126,Groups!A:A,Groups!K:K),0.106*C126^0.94)</f>
        <v>0.54204304856239272</v>
      </c>
      <c r="AQ126" s="8">
        <f>AP126*10000/(_xlfn.XLOOKUP(E126,Groups!A:A,Groups!J:J)*AO126)</f>
        <v>1.4494608503391548</v>
      </c>
      <c r="AR126" s="8">
        <f t="shared" si="35"/>
        <v>235.67619430830914</v>
      </c>
      <c r="AS126" s="8">
        <f>IF(_xlfn.XLOOKUP(E126,Groups!A:A,Groups!M:M)=1,EXP(0.7444*LN('Base stats'!C126)+6.5696),EXP(0.7927*LN('Base stats'!C126)+4.28))</f>
        <v>286.05472411667233</v>
      </c>
      <c r="AT126" s="8">
        <f>IF(_xlfn.XLOOKUP(E126,Groups!A:A,Groups!N:N)="No","No",
IF(_xlfn.XLOOKUP(E126,Groups!A:A,Groups!N:N)="Crocodile",EXP(0.8129*LN(C126)+4.6742)*S126,
IF(_xlfn.XLOOKUP(E126,Groups!A:A,Groups!N:N)="Felid",EXP(0.7843*LN(C126)+4.7073)*S126,
IF(_xlfn.XLOOKUP(E126,Groups!A:A,Groups!N:N)="Canid",EXP(0.8367*LN(C126)+4.8763)*S126,
IF(_xlfn.XLOOKUP(E126,Groups!A:A,Groups!N:N)="Pig",EXP(0.3439*LN(C126)+6.8519)*S126,
IF(_xlfn.XLOOKUP(E126,Groups!A:A,Groups!N:N)="Rodent",EXP(0.5625*LN(C126)+4.3006)*S126,
IF(_xlfn.XLOOKUP(E126,Groups!A:A,Groups!N:N)="Primate",EXP(0.7847*LN(C126)+3.4931)*S126,
IF(_xlfn.XLOOKUP(E126,Groups!A:A,Groups!N:N)="MiscCarnivora",EXP(0.7486*LN(C126)+4.2207)*S126,
IF(_xlfn.XLOOKUP(E126,Groups!A:A,Groups!N:N)="Lizard",EXP(0.7733*LN(C126)+5.5303)*S126,
IF(_xlfn.XLOOKUP(E126,Groups!A:A,Groups!N:N)="Snake",50*C126^(2/3)*S126,
IF(_xlfn.XLOOKUP(E126,Groups!A:A,Groups!N:N)="StrongBitingHerbivore",87.1133638856975*C126^(2/3)*S126,
IF(_xlfn.XLOOKUP(E126,Groups!A:A,Groups!N:N)="MiscEctotherms",59.4316884072269*C126^(2/3)*S126,
IF(_xlfn.XLOOKUP(E126,Groups!A:A,Groups!N:N)="StrongBeakBird",0.041*(C126*1000)^1.375*S126,
IF(_xlfn.XLOOKUP(E126,Groups!A:A,Groups!N:N)="Bird",0.118*(C126*1000)^0.692*S126,
IF(_xlfn.XLOOKUP(E126,Groups!A:A,Groups!N:N)="Insect",EXP(0.7444*LN(C126)+6.5696)*S126,
IF(_xlfn.XLOOKUP(E126,Groups!A:A,Groups!N:N)="Theropod",EXP(0.6966*LN(C126)+4.158)*S126,
"No"))))))))))))))))</f>
        <v>159.07938924007357</v>
      </c>
      <c r="AU126" s="8">
        <f>IF(_xlfn.XLOOKUP(E126,Groups!A:A,Groups!U:U)=3,AS126,IF(_xlfn.XLOOKUP(E126,Groups!A:A,Groups!U:U)=2,AR126,AT126))</f>
        <v>159.07938924007357</v>
      </c>
      <c r="AV126" s="46">
        <f>IFERROR(AVERAGE(_xlfn.XLOOKUP(B126,Animals!B:B,Animals!N:N),_xlfn.XLOOKUP(B126,Animals!B:B,Animals!O:O)),0)</f>
        <v>0</v>
      </c>
      <c r="AW126" s="8">
        <f>MROUND(40*Animals!AO126*_xlfn.XLOOKUP(AG126,Leathers!$A$2:$A$99,Leathers!$B$2:$B$99,0)+(140*_xlfn.XLOOKUP(B126,Animals!B:B,Animals!AO:AO)*2),5)</f>
        <v>160</v>
      </c>
      <c r="AX126" s="8">
        <f>IFERROR(ROUND(SQRT(V126-1)*IF(_xlfn.XLOOKUP(E126,Groups!A:A,Groups!BF:BF)=0,2,1)*IF(_xlfn.XLOOKUP('Base stats'!E126,Groups!A:A,Groups!O:O)=0,1,0.1),1),0)</f>
        <v>2.4</v>
      </c>
      <c r="AY126" s="8">
        <f t="shared" si="36"/>
        <v>0</v>
      </c>
      <c r="AZ126" s="8">
        <f t="shared" si="37"/>
        <v>0</v>
      </c>
      <c r="BA126" s="8">
        <f t="shared" si="38"/>
        <v>1.2</v>
      </c>
      <c r="BB126" s="8">
        <f>IF(_xlfn.XLOOKUP(E126,Groups!A:A,Groups!N:N)="Insect",BD126*2.5,IFERROR(AVERAGE(BD126,AT126/9.81/IF(OR(_xlfn.XLOOKUP(E126,Groups!A:A,Groups!N:N)="Pig",_xlfn.XLOOKUP(E126,Groups!A:A,Groups!N:N)="StrongBitingHerbivore"),20,25))*C126^-0.135,BD126))</f>
        <v>0.32217732485608386</v>
      </c>
      <c r="BC126" s="8" t="str">
        <f>IF(W126="No","No",IF(_xlfn.XLOOKUP(E126,Groups!A:A,Groups!U:U)=1,'Base stats'!BB126,IF(OR(_xlfn.XLOOKUP(E126,Groups!A:A,Groups!BD:BD)=1,_xlfn.XLOOKUP(E126,Groups!A:A,Groups!U:U)=2),BD126,IF(_xlfn.XLOOKUP(B126,Animals!B:B,Animals!AO:AO)&gt;4,AVERAGE(BD126,BF126),BF126))))</f>
        <v>No</v>
      </c>
      <c r="BD126" s="8">
        <f t="shared" si="39"/>
        <v>0.16589439064394862</v>
      </c>
      <c r="BE126" s="8">
        <f>IF(_xlfn.XLOOKUP(E126,Groups!A:A,Groups!BE:BE)=1,(0.048*C126^1.01)+(0.071*C126^1.03),0.071*C126^1.03)/IF(_xlfn.XLOOKUP(E126,Groups!A:A,Groups!M:M)=1,0.85,IF(OR(_xlfn.XLOOKUP(B126,Animals!B:B,Animals!AO:AO)&gt;4,_xlfn.XLOOKUP(E126,Groups!A:A,Groups!BC:BC)=1),1.7,1))*C126^-0.25</f>
        <v>0.27501205043439197</v>
      </c>
      <c r="BF126" s="8">
        <f>(0.048*C126^1.01)/IF(_xlfn.XLOOKUP(E126,Groups!A:A,Groups!M:M)=1,0.25,0.8)*C126^-0.25</f>
        <v>0.22447361902832436</v>
      </c>
      <c r="BG126" s="8">
        <f>EXP(1.076*LN(AR126)-4.5397)*IF(_xlfn.XLOOKUP(E126,Groups!A:A,Groups!BC:BC)=1,1.25,IF(_xlfn.XLOOKUP(E126,Groups!A:A,Groups!BD:BD)=1,3.5,2.5))</f>
        <v>9.5276338828511484</v>
      </c>
      <c r="BH126" s="8">
        <f>EXP(1.076*LN(AS126)-4.5397)*IF(_xlfn.XLOOKUP(E126,Groups!A:A,Groups!M:M)=1,0.8,IF(_xlfn.XLOOKUP(E126,Groups!A:A,Groups!BC:BC)=1,1.3,3))</f>
        <v>14.082956995340533</v>
      </c>
      <c r="BI126" s="8" t="str">
        <f>IF(W126="No","No",IF(_xlfn.XLOOKUP(E126,Groups!A:A,Groups!U:U)=1,'Base stats'!BJ126,IF(OR(_xlfn.XLOOKUP(E126,Groups!A:A,Groups!BD:BD)=1,_xlfn.XLOOKUP(E126,Groups!A:A,Groups!U:U)=2),BG126,BH126))*1.2)</f>
        <v>No</v>
      </c>
      <c r="BJ126" s="8">
        <f>IFERROR(EXP(1.076*LN(AT126)-4.5397)*IF(_xlfn.XLOOKUP(E126,Groups!A:A,Groups!N:N)="Insect",1,IF(OR(_xlfn.XLOOKUP(E126,Groups!A:A,Groups!N:N)="Pig",_xlfn.XLOOKUP(E126,Groups!A:A,Groups!N:N)="StrongBitingHerbivore"),3.5,3.75)),"No")</f>
        <v>9.3627015683865995</v>
      </c>
      <c r="BK126" s="8">
        <f t="shared" si="40"/>
        <v>10</v>
      </c>
      <c r="BL126" s="8">
        <f t="shared" si="41"/>
        <v>10</v>
      </c>
      <c r="BM126" s="8" t="str">
        <f t="shared" si="42"/>
        <v>No</v>
      </c>
      <c r="BN126" s="8">
        <f t="shared" si="43"/>
        <v>7</v>
      </c>
      <c r="BO126" s="8">
        <f t="shared" si="44"/>
        <v>11</v>
      </c>
      <c r="BP126" s="8" t="str" cm="1">
        <f t="array" ref="BP126">IF(AND(_xlfn.XLOOKUP('Base stats'!E126,Groups!A:A,Groups!AD:AD=0),_xlfn.XLOOKUP('Base stats'!E126,Groups!A:A,Groups!P:P=0)),"No",IF(U126="No",AVERAGE(EXP(-0.57+0.99*LN(C126)),EXP(0.32+0.67*LN(C126)))/IF(_xlfn.XLOOKUP(E126,Groups!A:A,Groups!AD:AD)=1,10,2),(0.7354*C126^0.4078)*2/IF(_xlfn.XLOOKUP(E126,Groups!A:A,Groups!BK:BK)=1,1000,100)/IF(_xlfn.XLOOKUP(E126,Groups!A:A,Groups!AJ:AJ)="Photonozoa",3,1)))</f>
        <v>No</v>
      </c>
      <c r="BQ126" s="8" t="str">
        <f>IF(W126="No","No",IF(_xlfn.XLOOKUP(E126,Groups!A:A,Groups!BD:BD)=1,(AO126*5%),EXP(0.7354*LN(C126)^0.4078)*2/IF(_xlfn.XLOOKUP(E126,Groups!A:A,Groups!BL:BL)=1,1000,100)/IF(_xlfn.XLOOKUP(E126,Groups!A:A,Groups!AJ:AJ)="Photonozoa",3,1)))</f>
        <v>No</v>
      </c>
      <c r="BR126" s="8">
        <f>IF(BJ126="No","No",IF(_xlfn.XLOOKUP(E126,Groups!A:A,Groups!BF:BF)=1,(0.0315*C126+2.1825)*2,(0.7354*C126^0.4078)*2)/IF(_xlfn.XLOOKUP(E126,Groups!A:A,Groups!BM:BM)=1,1000,100)/IF(_xlfn.XLOOKUP(E126,Groups!A:A,Groups!AJ:AJ)="Photonozoa",3,1))</f>
        <v>2.9855262999266791E-2</v>
      </c>
      <c r="BS126" s="8">
        <f t="shared" si="45"/>
        <v>5.5541072825639505E-2</v>
      </c>
      <c r="BT126" s="8" t="str">
        <f t="shared" si="46"/>
        <v>No</v>
      </c>
      <c r="BU126" s="8" t="str">
        <f t="shared" si="47"/>
        <v>No</v>
      </c>
      <c r="BV126" s="8">
        <f t="shared" si="48"/>
        <v>313.60305111418836</v>
      </c>
      <c r="BW126" s="4">
        <v>0</v>
      </c>
      <c r="BX126" s="4">
        <v>1</v>
      </c>
    </row>
    <row r="127" spans="1:76" x14ac:dyDescent="0.25">
      <c r="A127" s="26" t="s">
        <v>474</v>
      </c>
      <c r="B127" s="6" t="s">
        <v>485</v>
      </c>
      <c r="C127" s="7">
        <v>10</v>
      </c>
      <c r="D127" s="7" t="s">
        <v>528</v>
      </c>
      <c r="E127" s="7" t="str">
        <f>Groups!$A$77</f>
        <v>Scorpion</v>
      </c>
      <c r="F127" s="7" t="str">
        <f t="shared" ref="F127" si="53">"Lay eggs"</f>
        <v>Lay eggs</v>
      </c>
      <c r="G127" s="7">
        <v>1</v>
      </c>
      <c r="H127" s="7">
        <v>10</v>
      </c>
      <c r="I127" s="4">
        <v>0</v>
      </c>
      <c r="J127" s="7" t="str">
        <f t="shared" ref="J127" si="54">"Lay eggs"</f>
        <v>Lay eggs</v>
      </c>
      <c r="K127" s="7" t="s">
        <v>528</v>
      </c>
      <c r="L127" s="7">
        <v>25</v>
      </c>
      <c r="M127" s="7" t="s">
        <v>528</v>
      </c>
      <c r="N127" s="4">
        <v>0</v>
      </c>
      <c r="O127" s="4">
        <v>0</v>
      </c>
      <c r="P127" s="4">
        <v>0</v>
      </c>
      <c r="Q127" s="4">
        <v>0</v>
      </c>
      <c r="R127" s="4">
        <v>1</v>
      </c>
      <c r="S127" s="7">
        <f>_xlfn.XLOOKUP(B127,[1]TeethAdjusters!$A:$A,[1]BiteAdjusters!$C:$C,1)</f>
        <v>1</v>
      </c>
      <c r="T127" s="7">
        <f>_xlfn.XLOOKUP(B127,[1]TeethAdjusters!$A:$A,[1]TeethAdjusters!$B:$B,1)</f>
        <v>1</v>
      </c>
      <c r="U127" s="7">
        <v>3</v>
      </c>
      <c r="V127" s="7">
        <v>1</v>
      </c>
      <c r="W127" s="7">
        <v>3</v>
      </c>
      <c r="X127" s="7" t="s">
        <v>932</v>
      </c>
      <c r="Y127" s="4" t="s">
        <v>56</v>
      </c>
      <c r="Z127" s="4">
        <v>1</v>
      </c>
      <c r="AA127" s="4">
        <v>0</v>
      </c>
      <c r="AB127" s="4">
        <v>0</v>
      </c>
      <c r="AC127" s="4">
        <v>0</v>
      </c>
      <c r="AD127" s="4">
        <v>0</v>
      </c>
      <c r="AE127" s="4" t="s">
        <v>45</v>
      </c>
      <c r="AF127" s="4" t="s">
        <v>45</v>
      </c>
      <c r="AG127" s="49" t="s">
        <v>1712</v>
      </c>
      <c r="AH127" s="4" t="str">
        <f>Animals!$C$105</f>
        <v>&lt;li&gt;Megaspider&lt;/li&gt;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4" t="s">
        <v>40</v>
      </c>
      <c r="AO127" s="8">
        <f t="shared" si="34"/>
        <v>4958.187872875691</v>
      </c>
      <c r="AP127" s="8">
        <f>IFERROR(C127*_xlfn.XLOOKUP(E127,Groups!A:A,Groups!K:K),0.106*C127^0.94)</f>
        <v>3.2</v>
      </c>
      <c r="AQ127" s="8">
        <f>AP127*10000/(_xlfn.XLOOKUP(E127,Groups!A:A,Groups!J:J)*AO127)</f>
        <v>5.3783090416056201</v>
      </c>
      <c r="AR127" s="8">
        <f t="shared" si="35"/>
        <v>380.31263115847975</v>
      </c>
      <c r="AS127" s="8">
        <f>IF(_xlfn.XLOOKUP(E127,Groups!A:A,Groups!M:M)=1,EXP(0.7444*LN('Base stats'!C127)+6.5696),EXP(0.7927*LN('Base stats'!C127)+4.28))</f>
        <v>3958.594603791114</v>
      </c>
      <c r="AT127" s="8">
        <f>IF(_xlfn.XLOOKUP(E127,Groups!A:A,Groups!N:N)="No","No",
IF(_xlfn.XLOOKUP(E127,Groups!A:A,Groups!N:N)="Crocodile",EXP(0.8129*LN(C127)+4.6742)*S127,
IF(_xlfn.XLOOKUP(E127,Groups!A:A,Groups!N:N)="Felid",EXP(0.7843*LN(C127)+4.7073)*S127,
IF(_xlfn.XLOOKUP(E127,Groups!A:A,Groups!N:N)="Canid",EXP(0.8367*LN(C127)+4.8763)*S127,
IF(_xlfn.XLOOKUP(E127,Groups!A:A,Groups!N:N)="Pig",EXP(0.3439*LN(C127)+6.8519)*S127,
IF(_xlfn.XLOOKUP(E127,Groups!A:A,Groups!N:N)="Rodent",EXP(0.5625*LN(C127)+4.3006)*S127,
IF(_xlfn.XLOOKUP(E127,Groups!A:A,Groups!N:N)="Primate",EXP(0.7847*LN(C127)+3.4931)*S127,
IF(_xlfn.XLOOKUP(E127,Groups!A:A,Groups!N:N)="MiscCarnivora",EXP(0.7486*LN(C127)+4.2207)*S127,
IF(_xlfn.XLOOKUP(E127,Groups!A:A,Groups!N:N)="Lizard",EXP(0.7733*LN(C127)+5.5303)*S127,
IF(_xlfn.XLOOKUP(E127,Groups!A:A,Groups!N:N)="Snake",50*C127^(2/3)*S127,
IF(_xlfn.XLOOKUP(E127,Groups!A:A,Groups!N:N)="StrongBitingHerbivore",87.1133638856975*C127^(2/3)*S127,
IF(_xlfn.XLOOKUP(E127,Groups!A:A,Groups!N:N)="MiscEctotherms",59.4316884072269*C127^(2/3)*S127,
IF(_xlfn.XLOOKUP(E127,Groups!A:A,Groups!N:N)="StrongBeakBird",0.041*(C127*1000)^1.375*S127,
IF(_xlfn.XLOOKUP(E127,Groups!A:A,Groups!N:N)="Bird",0.118*(C127*1000)^0.692*S127,
IF(_xlfn.XLOOKUP(E127,Groups!A:A,Groups!N:N)="Insect",EXP(0.7444*LN(C127)+6.5696)*S127,
IF(_xlfn.XLOOKUP(E127,Groups!A:A,Groups!N:N)="Theropod",EXP(0.6966*LN(C127)+4.158)*S127,
"No"))))))))))))))))</f>
        <v>3958.594603791114</v>
      </c>
      <c r="AU127" s="8">
        <f>IF(_xlfn.XLOOKUP(E127,Groups!A:A,Groups!U:U)=3,AS127,IF(_xlfn.XLOOKUP(E127,Groups!A:A,Groups!U:U)=2,AR127,AT127))</f>
        <v>3958.594603791114</v>
      </c>
      <c r="AV127" s="46">
        <f>IFERROR(AVERAGE(_xlfn.XLOOKUP(B127,Animals!B:B,Animals!N:N),_xlfn.XLOOKUP(B127,Animals!B:B,Animals!O:O)),0)</f>
        <v>0.2</v>
      </c>
      <c r="AW127" s="8">
        <f>MROUND(40*Animals!AO127*_xlfn.XLOOKUP(AG127,Leathers!$A$2:$A$99,Leathers!$B$2:$B$99,0)+(140*_xlfn.XLOOKUP(B127,Animals!B:B,Animals!AO:AO)*2),5)</f>
        <v>110</v>
      </c>
      <c r="AX127" s="8">
        <f>IFERROR(ROUND(SQRT(V127-1)*IF(_xlfn.XLOOKUP(E127,Groups!A:A,Groups!BF:BF)=0,2,1)*IF(_xlfn.XLOOKUP('Base stats'!E127,Groups!A:A,Groups!O:O)=0,1,0.1),1),0)</f>
        <v>0</v>
      </c>
      <c r="AY127" s="8">
        <f t="shared" si="36"/>
        <v>1.4</v>
      </c>
      <c r="AZ127" s="8">
        <f t="shared" si="37"/>
        <v>1.7</v>
      </c>
      <c r="BA127" s="8">
        <f t="shared" si="38"/>
        <v>1.6</v>
      </c>
      <c r="BB127" s="8">
        <f>IF(_xlfn.XLOOKUP(E127,Groups!A:A,Groups!N:N)="Insect",BD127*2.5,IFERROR(AVERAGE(BD127,AT127/9.81/IF(OR(_xlfn.XLOOKUP(E127,Groups!A:A,Groups!N:N)="Pig",_xlfn.XLOOKUP(E127,Groups!A:A,Groups!N:N)="StrongBitingHerbivore"),20,25))*C127^-0.135,BD127))</f>
        <v>0.66408867745846145</v>
      </c>
      <c r="BC127" s="8">
        <f>IF(W127="No","No",IF(_xlfn.XLOOKUP(E127,Groups!A:A,Groups!U:U)=1,'Base stats'!BB127,IF(OR(_xlfn.XLOOKUP(E127,Groups!A:A,Groups!BD:BD)=1,_xlfn.XLOOKUP(E127,Groups!A:A,Groups!U:U)=2),BD127,IF(_xlfn.XLOOKUP(B127,Animals!B:B,Animals!AO:AO)&gt;4,AVERAGE(BD127,BF127),BF127))))</f>
        <v>1.1048446796873415</v>
      </c>
      <c r="BD127" s="8">
        <f t="shared" si="39"/>
        <v>0.26563547098338458</v>
      </c>
      <c r="BE127" s="8">
        <f>IF(_xlfn.XLOOKUP(E127,Groups!A:A,Groups!BE:BE)=1,(0.048*C127^1.01)+(0.071*C127^1.03),0.071*C127^1.03)/IF(_xlfn.XLOOKUP(E127,Groups!A:A,Groups!M:M)=1,0.85,IF(OR(_xlfn.XLOOKUP(B127,Animals!B:B,Animals!AO:AO)&gt;4,_xlfn.XLOOKUP(E127,Groups!A:A,Groups!BC:BC)=1),1.7,1))*C127^-0.25</f>
        <v>0.5033144777797578</v>
      </c>
      <c r="BF127" s="8">
        <f>(0.048*C127^1.01)/IF(_xlfn.XLOOKUP(E127,Groups!A:A,Groups!M:M)=1,0.25,0.8)*C127^-0.25</f>
        <v>1.1048446796873415</v>
      </c>
      <c r="BG127" s="8">
        <f>EXP(1.076*LN(AR127)-4.5397)*IF(_xlfn.XLOOKUP(E127,Groups!A:A,Groups!BC:BC)=1,1.25,IF(_xlfn.XLOOKUP(E127,Groups!A:A,Groups!BD:BD)=1,3.5,2.5))</f>
        <v>7.9721378589765637</v>
      </c>
      <c r="BH127" s="8">
        <f>EXP(1.076*LN(AS127)-4.5397)*IF(_xlfn.XLOOKUP(E127,Groups!A:A,Groups!M:M)=1,0.8,IF(_xlfn.XLOOKUP(E127,Groups!A:A,Groups!BC:BC)=1,1.3,3))</f>
        <v>63.456698632720183</v>
      </c>
      <c r="BI127" s="8">
        <f>IF(W127="No","No",IF(_xlfn.XLOOKUP(E127,Groups!A:A,Groups!U:U)=1,'Base stats'!BJ127,IF(OR(_xlfn.XLOOKUP(E127,Groups!A:A,Groups!BD:BD)=1,_xlfn.XLOOKUP(E127,Groups!A:A,Groups!U:U)=2),BG127,BH127))*1.2)</f>
        <v>76.14803835926422</v>
      </c>
      <c r="BJ127" s="8">
        <f>IFERROR(EXP(1.076*LN(AT127)-4.5397)*IF(_xlfn.XLOOKUP(E127,Groups!A:A,Groups!N:N)="Insect",1,IF(OR(_xlfn.XLOOKUP(E127,Groups!A:A,Groups!N:N)="Pig",_xlfn.XLOOKUP(E127,Groups!A:A,Groups!N:N)="StrongBitingHerbivore"),3.5,3.75)),"No")</f>
        <v>79.320873290900224</v>
      </c>
      <c r="BK127" s="8">
        <f t="shared" si="40"/>
        <v>7</v>
      </c>
      <c r="BL127" s="8">
        <f t="shared" si="41"/>
        <v>15</v>
      </c>
      <c r="BM127" s="8">
        <f t="shared" si="42"/>
        <v>11</v>
      </c>
      <c r="BN127" s="8">
        <f t="shared" si="43"/>
        <v>15</v>
      </c>
      <c r="BO127" s="8">
        <f t="shared" si="44"/>
        <v>10</v>
      </c>
      <c r="BP127" s="8" cm="1">
        <f t="array" ref="BP127">IF(AND(_xlfn.XLOOKUP('Base stats'!E127,Groups!A:A,Groups!AD:AD=0),_xlfn.XLOOKUP('Base stats'!E127,Groups!A:A,Groups!P:P=0)),"No",IF(U127="No",AVERAGE(EXP(-0.57+0.99*LN(C127)),EXP(0.32+0.67*LN(C127)))/IF(_xlfn.XLOOKUP(E127,Groups!A:A,Groups!AD:AD)=1,10,2),(0.7354*C127^0.4078)*2/IF(_xlfn.XLOOKUP(E127,Groups!A:A,Groups!BK:BK)=1,1000,100)/IF(_xlfn.XLOOKUP(E127,Groups!A:A,Groups!AJ:AJ)="Photonozoa",3,1)))</f>
        <v>3.7614355184740138E-3</v>
      </c>
      <c r="BQ127" s="8">
        <f>IF(W127="No","No",IF(_xlfn.XLOOKUP(E127,Groups!A:A,Groups!BD:BD)=1,(AO127*5%),EXP(0.7354*LN(C127)^0.4078)*2/IF(_xlfn.XLOOKUP(E127,Groups!A:A,Groups!BL:BL)=1,1000,100)/IF(_xlfn.XLOOKUP(E127,Groups!A:A,Groups!AJ:AJ)="Photonozoa",3,1)))</f>
        <v>5.6207663106079362E-3</v>
      </c>
      <c r="BR127" s="8">
        <f>IF(BJ127="No","No",IF(_xlfn.XLOOKUP(E127,Groups!A:A,Groups!BF:BF)=1,(0.0315*C127+2.1825)*2,(0.7354*C127^0.4078)*2)/IF(_xlfn.XLOOKUP(E127,Groups!A:A,Groups!BM:BM)=1,1000,100)/IF(_xlfn.XLOOKUP(E127,Groups!A:A,Groups!AJ:AJ)="Photonozoa",3,1))</f>
        <v>3.7614355184740135E-2</v>
      </c>
      <c r="BS127" s="8">
        <f t="shared" si="45"/>
        <v>3.2157465845895093E-2</v>
      </c>
      <c r="BT127" s="8">
        <f t="shared" si="46"/>
        <v>16870.340677397573</v>
      </c>
      <c r="BU127" s="8">
        <f t="shared" si="47"/>
        <v>13547.625741983236</v>
      </c>
      <c r="BV127" s="8">
        <f t="shared" si="48"/>
        <v>2108.7925846746966</v>
      </c>
      <c r="BW127" s="4">
        <v>0</v>
      </c>
      <c r="BX127" s="4">
        <v>1</v>
      </c>
    </row>
    <row r="128" spans="1:76" x14ac:dyDescent="0.25">
      <c r="A128" s="26" t="s">
        <v>475</v>
      </c>
      <c r="B128" s="6" t="s">
        <v>244</v>
      </c>
      <c r="C128" s="7">
        <v>4.3250000000000002</v>
      </c>
      <c r="D128" s="7" t="s">
        <v>594</v>
      </c>
      <c r="E128" s="7" t="str">
        <f>Groups!$A$38</f>
        <v>Mustelid</v>
      </c>
      <c r="F128" s="7">
        <v>116</v>
      </c>
      <c r="G128" s="7">
        <f>550 /365</f>
        <v>1.5068493150684932</v>
      </c>
      <c r="H128" s="7">
        <v>19</v>
      </c>
      <c r="I128" s="4">
        <v>0</v>
      </c>
      <c r="J128" s="7">
        <v>2</v>
      </c>
      <c r="K128" s="7" t="s">
        <v>594</v>
      </c>
      <c r="L128" s="7">
        <f>MIN(20*C128^0.183,19.9*C128^0.142)</f>
        <v>24.499831884376434</v>
      </c>
      <c r="M128" s="7" t="s">
        <v>626</v>
      </c>
      <c r="N128" s="4">
        <v>0</v>
      </c>
      <c r="O128" s="4">
        <v>0</v>
      </c>
      <c r="P128" s="4">
        <v>0</v>
      </c>
      <c r="Q128" s="4">
        <v>0</v>
      </c>
      <c r="R128" s="4" t="s">
        <v>40</v>
      </c>
      <c r="S128" s="7">
        <f>_xlfn.XLOOKUP(B128,[1]TeethAdjusters!$A:$A,[1]BiteAdjusters!$C:$C,1)</f>
        <v>1.4697924181385804</v>
      </c>
      <c r="T128" s="7">
        <f>_xlfn.XLOOKUP(B128,[1]TeethAdjusters!$A:$A,[1]TeethAdjusters!$B:$B,1)</f>
        <v>0.81359246060103374</v>
      </c>
      <c r="U128" s="7">
        <v>1</v>
      </c>
      <c r="V128" s="7">
        <f>IF(T128="No","No",IF(_xlfn.XLOOKUP(E128,Groups!A:A,Groups!AM:AM)=1,MROUND(EXP(0.3582*LN(C128)-0.2221)*T128,0.05),IF(_xlfn.XLOOKUP(E128,Groups!A:A,Groups!AM:AM)=2,MROUND(EXP(0.3582*LN(C128)-0.2221)*T128,0.05),"Need a formula")))</f>
        <v>1.1000000000000001</v>
      </c>
      <c r="W128" s="7" t="s">
        <v>45</v>
      </c>
      <c r="X128" s="7" t="s">
        <v>932</v>
      </c>
      <c r="Y128" s="4" t="s">
        <v>42</v>
      </c>
      <c r="Z128" s="4">
        <v>1</v>
      </c>
      <c r="AA128" s="4">
        <v>0</v>
      </c>
      <c r="AB128" s="4">
        <v>0</v>
      </c>
      <c r="AC128" s="4">
        <v>0</v>
      </c>
      <c r="AD128" s="4">
        <v>0</v>
      </c>
      <c r="AE128" s="4" t="s">
        <v>45</v>
      </c>
      <c r="AF128" s="4" t="s">
        <v>45</v>
      </c>
      <c r="AG128" s="49" t="s">
        <v>385</v>
      </c>
      <c r="AH128" s="4" t="s">
        <v>45</v>
      </c>
      <c r="AI128" s="4">
        <v>0</v>
      </c>
      <c r="AJ128" s="4">
        <v>0</v>
      </c>
      <c r="AK128" s="4">
        <v>0</v>
      </c>
      <c r="AL128" s="4">
        <v>0</v>
      </c>
      <c r="AM128" s="4">
        <v>1</v>
      </c>
      <c r="AN128" s="44" t="s">
        <v>40</v>
      </c>
      <c r="AO128" s="8">
        <f t="shared" si="34"/>
        <v>2875.5038370757079</v>
      </c>
      <c r="AP128" s="8">
        <f>IFERROR(C128*_xlfn.XLOOKUP(E128,Groups!A:A,Groups!K:K),0.106*C128^0.94)</f>
        <v>0.53954374999999999</v>
      </c>
      <c r="AQ128" s="8">
        <f>AP128*10000/(_xlfn.XLOOKUP(E128,Groups!A:A,Groups!J:J)*AO128)</f>
        <v>1.721417511855726</v>
      </c>
      <c r="AR128" s="8">
        <f t="shared" si="35"/>
        <v>187.35195027541494</v>
      </c>
      <c r="AS128" s="8">
        <f>IF(_xlfn.XLOOKUP(E128,Groups!A:A,Groups!M:M)=1,EXP(0.7444*LN('Base stats'!C128)+6.5696),EXP(0.7927*LN('Base stats'!C128)+4.28))</f>
        <v>230.63572174889438</v>
      </c>
      <c r="AT128" s="8">
        <f>IF(_xlfn.XLOOKUP(E128,Groups!A:A,Groups!N:N)="No","No",
IF(_xlfn.XLOOKUP(E128,Groups!A:A,Groups!N:N)="Crocodile",EXP(0.8129*LN(C128)+4.6742)*S128,
IF(_xlfn.XLOOKUP(E128,Groups!A:A,Groups!N:N)="Felid",EXP(0.7843*LN(C128)+4.7073)*S128,
IF(_xlfn.XLOOKUP(E128,Groups!A:A,Groups!N:N)="Canid",EXP(0.8367*LN(C128)+4.8763)*S128,
IF(_xlfn.XLOOKUP(E128,Groups!A:A,Groups!N:N)="Pig",EXP(0.3439*LN(C128)+6.8519)*S128,
IF(_xlfn.XLOOKUP(E128,Groups!A:A,Groups!N:N)="Rodent",EXP(0.5625*LN(C128)+4.3006)*S128,
IF(_xlfn.XLOOKUP(E128,Groups!A:A,Groups!N:N)="Primate",EXP(0.7847*LN(C128)+3.4931)*S128,
IF(_xlfn.XLOOKUP(E128,Groups!A:A,Groups!N:N)="MiscCarnivora",EXP(0.7486*LN(C128)+4.2207)*S128,
IF(_xlfn.XLOOKUP(E128,Groups!A:A,Groups!N:N)="Lizard",EXP(0.7733*LN(C128)+5.5303)*S128,
IF(_xlfn.XLOOKUP(E128,Groups!A:A,Groups!N:N)="Snake",50*C128^(2/3)*S128,
IF(_xlfn.XLOOKUP(E128,Groups!A:A,Groups!N:N)="StrongBitingHerbivore",87.1133638856975*C128^(2/3)*S128,
IF(_xlfn.XLOOKUP(E128,Groups!A:A,Groups!N:N)="MiscEctotherms",59.4316884072269*C128^(2/3)*S128,
IF(_xlfn.XLOOKUP(E128,Groups!A:A,Groups!N:N)="StrongBeakBird",0.041*(C128*1000)^1.375*S128,
IF(_xlfn.XLOOKUP(E128,Groups!A:A,Groups!N:N)="Bird",0.118*(C128*1000)^0.692*S128,
IF(_xlfn.XLOOKUP(E128,Groups!A:A,Groups!N:N)="Insect",EXP(0.7444*LN(C128)+6.5696)*S128,
IF(_xlfn.XLOOKUP(E128,Groups!A:A,Groups!N:N)="Theropod",EXP(0.6966*LN(C128)+4.158)*S128,
"No"))))))))))))))))</f>
        <v>299.48972415292968</v>
      </c>
      <c r="AU128" s="8">
        <f>IF(_xlfn.XLOOKUP(E128,Groups!A:A,Groups!U:U)=3,AS128,IF(_xlfn.XLOOKUP(E128,Groups!A:A,Groups!U:U)=2,AR128,AT128))</f>
        <v>299.48972415292968</v>
      </c>
      <c r="AV128" s="46">
        <f>IFERROR(AVERAGE(_xlfn.XLOOKUP(B128,Animals!B:B,Animals!N:N),_xlfn.XLOOKUP(B128,Animals!B:B,Animals!O:O)),0)</f>
        <v>0</v>
      </c>
      <c r="AW128" s="8">
        <f>MROUND(40*Animals!AO128*_xlfn.XLOOKUP(AG128,Leathers!$A$2:$A$99,Leathers!$B$2:$B$99,0)+(140*_xlfn.XLOOKUP(B128,Animals!B:B,Animals!AO:AO)*2),5)</f>
        <v>105</v>
      </c>
      <c r="AX128" s="8">
        <f>IFERROR(ROUND(SQRT(V128-1)*IF(_xlfn.XLOOKUP(E128,Groups!A:A,Groups!BF:BF)=0,2,1)*IF(_xlfn.XLOOKUP('Base stats'!E128,Groups!A:A,Groups!O:O)=0,1,0.1),1),0)</f>
        <v>0.6</v>
      </c>
      <c r="AY128" s="8">
        <f t="shared" si="36"/>
        <v>0</v>
      </c>
      <c r="AZ128" s="8">
        <f t="shared" si="37"/>
        <v>0</v>
      </c>
      <c r="BA128" s="8">
        <f t="shared" si="38"/>
        <v>1</v>
      </c>
      <c r="BB128" s="8">
        <f>IF(_xlfn.XLOOKUP(E128,Groups!A:A,Groups!N:N)="Insect",BD128*2.5,IFERROR(AVERAGE(BD128,AT128/9.81/IF(OR(_xlfn.XLOOKUP(E128,Groups!A:A,Groups!N:N)="Pig",_xlfn.XLOOKUP(E128,Groups!A:A,Groups!N:N)="StrongBitingHerbivore"),20,25))*C128^-0.135,BD128))</f>
        <v>0.54957548822267965</v>
      </c>
      <c r="BC128" s="8" t="str">
        <f>IF(W128="No","No",IF(_xlfn.XLOOKUP(E128,Groups!A:A,Groups!U:U)=1,'Base stats'!BB128,IF(OR(_xlfn.XLOOKUP(E128,Groups!A:A,Groups!BD:BD)=1,_xlfn.XLOOKUP(E128,Groups!A:A,Groups!U:U)=2),BD128,IF(_xlfn.XLOOKUP(B128,Animals!B:B,Animals!AO:AO)&gt;4,AVERAGE(BD128,BF128),BF128))))</f>
        <v>No</v>
      </c>
      <c r="BD128" s="8">
        <f t="shared" si="39"/>
        <v>0.11825502257128764</v>
      </c>
      <c r="BE128" s="8">
        <f>IF(_xlfn.XLOOKUP(E128,Groups!A:A,Groups!BE:BE)=1,(0.048*C128^1.01)+(0.071*C128^1.03),0.071*C128^1.03)/IF(_xlfn.XLOOKUP(E128,Groups!A:A,Groups!M:M)=1,0.85,IF(OR(_xlfn.XLOOKUP(B128,Animals!B:B,Animals!AO:AO)&gt;4,_xlfn.XLOOKUP(E128,Groups!A:A,Groups!BC:BC)=1),1.7,1))*C128^-0.25</f>
        <v>0.22249871950159261</v>
      </c>
      <c r="BF128" s="8">
        <f>(0.048*C128^1.01)/IF(_xlfn.XLOOKUP(E128,Groups!A:A,Groups!M:M)=1,0.25,0.8)*C128^-0.25</f>
        <v>0.18259996726949212</v>
      </c>
      <c r="BG128" s="8">
        <f>EXP(1.076*LN(AR128)-4.5397)*IF(_xlfn.XLOOKUP(E128,Groups!A:A,Groups!BC:BC)=1,1.25,IF(_xlfn.XLOOKUP(E128,Groups!A:A,Groups!BD:BD)=1,3.5,2.5))</f>
        <v>7.443095513187691</v>
      </c>
      <c r="BH128" s="8">
        <f>EXP(1.076*LN(AS128)-4.5397)*IF(_xlfn.XLOOKUP(E128,Groups!A:A,Groups!M:M)=1,0.8,IF(_xlfn.XLOOKUP(E128,Groups!A:A,Groups!BC:BC)=1,1.3,3))</f>
        <v>11.170267877115775</v>
      </c>
      <c r="BI128" s="8" t="str">
        <f>IF(W128="No","No",IF(_xlfn.XLOOKUP(E128,Groups!A:A,Groups!U:U)=1,'Base stats'!BJ128,IF(OR(_xlfn.XLOOKUP(E128,Groups!A:A,Groups!BD:BD)=1,_xlfn.XLOOKUP(E128,Groups!A:A,Groups!U:U)=2),BG128,BH128))*1.2)</f>
        <v>No</v>
      </c>
      <c r="BJ128" s="8">
        <f>IFERROR(EXP(1.076*LN(AT128)-4.5397)*IF(_xlfn.XLOOKUP(E128,Groups!A:A,Groups!N:N)="Insect",1,IF(OR(_xlfn.XLOOKUP(E128,Groups!A:A,Groups!N:N)="Pig",_xlfn.XLOOKUP(E128,Groups!A:A,Groups!N:N)="StrongBitingHerbivore"),3.5,3.75)),"No")</f>
        <v>18.494881813385437</v>
      </c>
      <c r="BK128" s="8">
        <f t="shared" si="40"/>
        <v>11</v>
      </c>
      <c r="BL128" s="8">
        <f t="shared" si="41"/>
        <v>10</v>
      </c>
      <c r="BM128" s="8" t="str">
        <f t="shared" si="42"/>
        <v>No</v>
      </c>
      <c r="BN128" s="8">
        <f t="shared" si="43"/>
        <v>8</v>
      </c>
      <c r="BO128" s="8">
        <f t="shared" si="44"/>
        <v>11</v>
      </c>
      <c r="BP128" s="8" cm="1">
        <f t="array" ref="BP128">IF(AND(_xlfn.XLOOKUP('Base stats'!E128,Groups!A:A,Groups!AD:AD=0),_xlfn.XLOOKUP('Base stats'!E128,Groups!A:A,Groups!P:P=0)),"No",IF(U128="No",AVERAGE(EXP(-0.57+0.99*LN(C128)),EXP(0.32+0.67*LN(C128)))/IF(_xlfn.XLOOKUP(E128,Groups!A:A,Groups!AD:AD)=1,10,2),(0.7354*C128^0.4078)*2/IF(_xlfn.XLOOKUP(E128,Groups!A:A,Groups!BK:BK)=1,1000,100)/IF(_xlfn.XLOOKUP(E128,Groups!A:A,Groups!AJ:AJ)="Photonozoa",3,1)))</f>
        <v>2.6724448866068496E-2</v>
      </c>
      <c r="BQ128" s="8" t="str">
        <f>IF(W128="No","No",IF(_xlfn.XLOOKUP(E128,Groups!A:A,Groups!BD:BD)=1,(AO128*5%),EXP(0.7354*LN(C128)^0.4078)*2/IF(_xlfn.XLOOKUP(E128,Groups!A:A,Groups!BL:BL)=1,1000,100)/IF(_xlfn.XLOOKUP(E128,Groups!A:A,Groups!AJ:AJ)="Photonozoa",3,1)))</f>
        <v>No</v>
      </c>
      <c r="BR128" s="8">
        <f>IF(BJ128="No","No",IF(_xlfn.XLOOKUP(E128,Groups!A:A,Groups!BF:BF)=1,(0.0315*C128+2.1825)*2,(0.7354*C128^0.4078)*2)/IF(_xlfn.XLOOKUP(E128,Groups!A:A,Groups!BM:BM)=1,1000,100)/IF(_xlfn.XLOOKUP(E128,Groups!A:A,Groups!AJ:AJ)="Photonozoa",3,1))</f>
        <v>2.6724448866068496E-2</v>
      </c>
      <c r="BS128" s="8">
        <f t="shared" si="45"/>
        <v>5.1768983349763653E-2</v>
      </c>
      <c r="BT128" s="8">
        <f t="shared" si="46"/>
        <v>417.97935415231115</v>
      </c>
      <c r="BU128" s="8" t="str">
        <f t="shared" si="47"/>
        <v>No</v>
      </c>
      <c r="BV128" s="8">
        <f t="shared" si="48"/>
        <v>692.05849318254877</v>
      </c>
      <c r="BW128" s="4">
        <v>0</v>
      </c>
      <c r="BX128" s="4">
        <v>1</v>
      </c>
    </row>
    <row r="129" spans="1:76" x14ac:dyDescent="0.25">
      <c r="A129" s="26" t="s">
        <v>638</v>
      </c>
      <c r="B129" s="6" t="s">
        <v>480</v>
      </c>
      <c r="C129" s="7">
        <v>3.2</v>
      </c>
      <c r="D129" s="7" t="s">
        <v>595</v>
      </c>
      <c r="E129" s="7" t="str">
        <f>Groups!$A$9</f>
        <v>Bird (WATER)</v>
      </c>
      <c r="F129" s="7" t="str">
        <f t="shared" ref="F129" si="55">"Lay eggs"</f>
        <v>Lay eggs</v>
      </c>
      <c r="G129" s="7">
        <f>730 /365</f>
        <v>2</v>
      </c>
      <c r="H129" s="7">
        <v>32</v>
      </c>
      <c r="I129" s="4">
        <v>0</v>
      </c>
      <c r="J129" s="7" t="str">
        <f t="shared" ref="J129" si="56">"Lay eggs"</f>
        <v>Lay eggs</v>
      </c>
      <c r="K129" s="7" t="s">
        <v>595</v>
      </c>
      <c r="L129" s="7">
        <f>8.2*1.60934</f>
        <v>13.196587999999998</v>
      </c>
      <c r="M129" s="7" t="s">
        <v>628</v>
      </c>
      <c r="N129" s="4">
        <v>0</v>
      </c>
      <c r="O129" s="4">
        <v>0</v>
      </c>
      <c r="P129" s="4">
        <v>0</v>
      </c>
      <c r="Q129" s="4">
        <v>0</v>
      </c>
      <c r="R129" s="4" t="s">
        <v>40</v>
      </c>
      <c r="S129" s="7">
        <f>_xlfn.XLOOKUP(B129,[1]TeethAdjusters!$A:$A,[1]BiteAdjusters!$C:$C,1)</f>
        <v>1</v>
      </c>
      <c r="T129" s="7">
        <f>_xlfn.XLOOKUP(B129,[1]TeethAdjusters!$A:$A,[1]TeethAdjusters!$B:$B,1)</f>
        <v>1</v>
      </c>
      <c r="U129" s="7" t="s">
        <v>45</v>
      </c>
      <c r="V129" s="7">
        <f>MROUND(65.52/10,0.05)</f>
        <v>6.5500000000000007</v>
      </c>
      <c r="W129" s="7" t="s">
        <v>45</v>
      </c>
      <c r="X129" s="7" t="s">
        <v>932</v>
      </c>
      <c r="Y129" s="4" t="s">
        <v>42</v>
      </c>
      <c r="Z129" s="4">
        <v>1</v>
      </c>
      <c r="AA129" s="4">
        <v>0</v>
      </c>
      <c r="AB129" s="4">
        <v>0</v>
      </c>
      <c r="AC129" s="4">
        <v>0</v>
      </c>
      <c r="AD129" s="4">
        <v>0</v>
      </c>
      <c r="AE129" s="4" t="s">
        <v>45</v>
      </c>
      <c r="AF129" s="4" t="s">
        <v>399</v>
      </c>
      <c r="AG129" s="49" t="s">
        <v>45</v>
      </c>
      <c r="AH129" s="4" t="str">
        <f>Animals!$C$9</f>
        <v>&lt;li&gt;Goose&lt;/li&gt;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4" t="s">
        <v>40</v>
      </c>
      <c r="AO129" s="8">
        <f t="shared" si="34"/>
        <v>2364.1251585653067</v>
      </c>
      <c r="AP129" s="8">
        <f>IFERROR(C129*_xlfn.XLOOKUP(E129,Groups!A:A,Groups!K:K),0.106*C129^0.94)</f>
        <v>0.31633470792726048</v>
      </c>
      <c r="AQ129" s="8">
        <f>AP129*10000/(_xlfn.XLOOKUP(E129,Groups!A:A,Groups!J:J)*AO129)</f>
        <v>1.2275802206248401</v>
      </c>
      <c r="AR129" s="8">
        <f t="shared" si="35"/>
        <v>145.25829304013558</v>
      </c>
      <c r="AS129" s="8">
        <f>IF(_xlfn.XLOOKUP(E129,Groups!A:A,Groups!M:M)=1,EXP(0.7444*LN('Base stats'!C129)+6.5696),EXP(0.7927*LN('Base stats'!C129)+4.28))</f>
        <v>181.64053415011705</v>
      </c>
      <c r="AT129" s="8">
        <f>IF(_xlfn.XLOOKUP(E129,Groups!A:A,Groups!N:N)="No","No",
IF(_xlfn.XLOOKUP(E129,Groups!A:A,Groups!N:N)="Crocodile",EXP(0.8129*LN(C129)+4.6742)*S129,
IF(_xlfn.XLOOKUP(E129,Groups!A:A,Groups!N:N)="Felid",EXP(0.7843*LN(C129)+4.7073)*S129,
IF(_xlfn.XLOOKUP(E129,Groups!A:A,Groups!N:N)="Canid",EXP(0.8367*LN(C129)+4.8763)*S129,
IF(_xlfn.XLOOKUP(E129,Groups!A:A,Groups!N:N)="Pig",EXP(0.3439*LN(C129)+6.8519)*S129,
IF(_xlfn.XLOOKUP(E129,Groups!A:A,Groups!N:N)="Rodent",EXP(0.5625*LN(C129)+4.3006)*S129,
IF(_xlfn.XLOOKUP(E129,Groups!A:A,Groups!N:N)="Primate",EXP(0.7847*LN(C129)+3.4931)*S129,
IF(_xlfn.XLOOKUP(E129,Groups!A:A,Groups!N:N)="MiscCarnivora",EXP(0.7486*LN(C129)+4.2207)*S129,
IF(_xlfn.XLOOKUP(E129,Groups!A:A,Groups!N:N)="Lizard",EXP(0.7733*LN(C129)+5.5303)*S129,
IF(_xlfn.XLOOKUP(E129,Groups!A:A,Groups!N:N)="Snake",50*C129^(2/3)*S129,
IF(_xlfn.XLOOKUP(E129,Groups!A:A,Groups!N:N)="StrongBitingHerbivore",87.1133638856975*C129^(2/3)*S129,
IF(_xlfn.XLOOKUP(E129,Groups!A:A,Groups!N:N)="MiscEctotherms",59.4316884072269*C129^(2/3)*S129,
IF(_xlfn.XLOOKUP(E129,Groups!A:A,Groups!N:N)="StrongBeakBird",0.041*(C129*1000)^1.375*S129,
IF(_xlfn.XLOOKUP(E129,Groups!A:A,Groups!N:N)="Bird",0.118*(C129*1000)^0.692*S129,
IF(_xlfn.XLOOKUP(E129,Groups!A:A,Groups!N:N)="Insect",EXP(0.7444*LN(C129)+6.5696)*S129,
IF(_xlfn.XLOOKUP(E129,Groups!A:A,Groups!N:N)="Theropod",EXP(0.6966*LN(C129)+4.158)*S129,
"No"))))))))))))))))</f>
        <v>31.437340017004843</v>
      </c>
      <c r="AU129" s="8">
        <f>IF(_xlfn.XLOOKUP(E129,Groups!A:A,Groups!U:U)=3,AS129,IF(_xlfn.XLOOKUP(E129,Groups!A:A,Groups!U:U)=2,AR129,AT129))</f>
        <v>31.437340017004843</v>
      </c>
      <c r="AV129" s="46">
        <f>IFERROR(AVERAGE(_xlfn.XLOOKUP(B129,Animals!B:B,Animals!N:N),_xlfn.XLOOKUP(B129,Animals!B:B,Animals!O:O)),0)</f>
        <v>0</v>
      </c>
      <c r="AW129" s="8">
        <f>MROUND(40*Animals!AO129*_xlfn.XLOOKUP(AG129,Leathers!$A$2:$A$99,Leathers!$B$2:$B$99,0)+(140*_xlfn.XLOOKUP(B129,Animals!B:B,Animals!AO:AO)*2),5)</f>
        <v>70</v>
      </c>
      <c r="AX129" s="8">
        <f>IFERROR(ROUND(SQRT(V129-1)*IF(_xlfn.XLOOKUP(E129,Groups!A:A,Groups!BF:BF)=0,2,1)*IF(_xlfn.XLOOKUP('Base stats'!E129,Groups!A:A,Groups!O:O)=0,1,0.1),1),0)</f>
        <v>0.2</v>
      </c>
      <c r="AY129" s="8">
        <f t="shared" si="36"/>
        <v>0</v>
      </c>
      <c r="AZ129" s="8">
        <f t="shared" si="37"/>
        <v>0</v>
      </c>
      <c r="BA129" s="8">
        <f t="shared" si="38"/>
        <v>0.9</v>
      </c>
      <c r="BB129" s="8">
        <f>IF(_xlfn.XLOOKUP(E129,Groups!A:A,Groups!N:N)="Insect",BD129*2.5,IFERROR(AVERAGE(BD129,AT129/9.81/IF(OR(_xlfn.XLOOKUP(E129,Groups!A:A,Groups!N:N)="Pig",_xlfn.XLOOKUP(E129,Groups!A:A,Groups!N:N)="StrongBitingHerbivore"),20,25))*C129^-0.135,BD129))</f>
        <v>9.504517870410395E-2</v>
      </c>
      <c r="BC129" s="8" t="str">
        <f>IF(W129="No","No",IF(_xlfn.XLOOKUP(E129,Groups!A:A,Groups!U:U)=1,'Base stats'!BB129,IF(OR(_xlfn.XLOOKUP(E129,Groups!A:A,Groups!BD:BD)=1,_xlfn.XLOOKUP(E129,Groups!A:A,Groups!U:U)=2),BD129,IF(_xlfn.XLOOKUP(B129,Animals!B:B,Animals!AO:AO)&gt;4,AVERAGE(BD129,BF129),BF129))))</f>
        <v>No</v>
      </c>
      <c r="BD129" s="8">
        <f t="shared" si="39"/>
        <v>9.4225651873108052E-2</v>
      </c>
      <c r="BE129" s="8">
        <f>IF(_xlfn.XLOOKUP(E129,Groups!A:A,Groups!BE:BE)=1,(0.048*C129^1.01)+(0.071*C129^1.03),0.071*C129^1.03)/IF(_xlfn.XLOOKUP(E129,Groups!A:A,Groups!M:M)=1,0.85,IF(OR(_xlfn.XLOOKUP(B129,Animals!B:B,Animals!AO:AO)&gt;4,_xlfn.XLOOKUP(E129,Groups!A:A,Groups!BC:BC)=1),1.7,1))*C129^-0.25</f>
        <v>0.29209022473883256</v>
      </c>
      <c r="BF129" s="8">
        <f>(0.048*C129^1.01)/IF(_xlfn.XLOOKUP(E129,Groups!A:A,Groups!M:M)=1,0.25,0.8)*C129^-0.25</f>
        <v>0.14523297507496707</v>
      </c>
      <c r="BG129" s="8">
        <f>EXP(1.076*LN(AR129)-4.5397)*IF(_xlfn.XLOOKUP(E129,Groups!A:A,Groups!BC:BC)=1,1.25,IF(_xlfn.XLOOKUP(E129,Groups!A:A,Groups!BD:BD)=1,3.5,2.5))</f>
        <v>5.6602680292456213</v>
      </c>
      <c r="BH129" s="8">
        <f>EXP(1.076*LN(AS129)-4.5397)*IF(_xlfn.XLOOKUP(E129,Groups!A:A,Groups!M:M)=1,0.8,IF(_xlfn.XLOOKUP(E129,Groups!A:A,Groups!BC:BC)=1,1.3,3))</f>
        <v>8.6390808043247489</v>
      </c>
      <c r="BI129" s="8" t="str">
        <f>IF(W129="No","No",IF(_xlfn.XLOOKUP(E129,Groups!A:A,Groups!U:U)=1,'Base stats'!BJ129,IF(OR(_xlfn.XLOOKUP(E129,Groups!A:A,Groups!BD:BD)=1,_xlfn.XLOOKUP(E129,Groups!A:A,Groups!U:U)=2),BG129,BH129))*1.2)</f>
        <v>No</v>
      </c>
      <c r="BJ129" s="8">
        <f>IFERROR(EXP(1.076*LN(AT129)-4.5397)*IF(_xlfn.XLOOKUP(E129,Groups!A:A,Groups!N:N)="Insect",1,IF(OR(_xlfn.XLOOKUP(E129,Groups!A:A,Groups!N:N)="Pig",_xlfn.XLOOKUP(E129,Groups!A:A,Groups!N:N)="StrongBitingHerbivore"),3.5,3.75)),"No")</f>
        <v>1.6357475585101351</v>
      </c>
      <c r="BK129" s="8">
        <f t="shared" si="40"/>
        <v>10</v>
      </c>
      <c r="BL129" s="8">
        <f t="shared" si="41"/>
        <v>7</v>
      </c>
      <c r="BM129" s="8" t="str">
        <f t="shared" si="42"/>
        <v>No</v>
      </c>
      <c r="BN129" s="8">
        <f t="shared" si="43"/>
        <v>5</v>
      </c>
      <c r="BO129" s="8">
        <f t="shared" si="44"/>
        <v>10</v>
      </c>
      <c r="BP129" s="8" t="str" cm="1">
        <f t="array" ref="BP129">IF(AND(_xlfn.XLOOKUP('Base stats'!E129,Groups!A:A,Groups!AD:AD=0),_xlfn.XLOOKUP('Base stats'!E129,Groups!A:A,Groups!P:P=0)),"No",IF(U129="No",AVERAGE(EXP(-0.57+0.99*LN(C129)),EXP(0.32+0.67*LN(C129)))/IF(_xlfn.XLOOKUP(E129,Groups!A:A,Groups!AD:AD)=1,10,2),(0.7354*C129^0.4078)*2/IF(_xlfn.XLOOKUP(E129,Groups!A:A,Groups!BK:BK)=1,1000,100)/IF(_xlfn.XLOOKUP(E129,Groups!A:A,Groups!AJ:AJ)="Photonozoa",3,1)))</f>
        <v>No</v>
      </c>
      <c r="BQ129" s="8" t="str">
        <f>IF(W129="No","No",IF(_xlfn.XLOOKUP(E129,Groups!A:A,Groups!BD:BD)=1,(AO129*5%),EXP(0.7354*LN(C129)^0.4078)*2/IF(_xlfn.XLOOKUP(E129,Groups!A:A,Groups!BL:BL)=1,1000,100)/IF(_xlfn.XLOOKUP(E129,Groups!A:A,Groups!AJ:AJ)="Photonozoa",3,1)))</f>
        <v>No</v>
      </c>
      <c r="BR129" s="8">
        <f>IF(BJ129="No","No",IF(_xlfn.XLOOKUP(E129,Groups!A:A,Groups!BF:BF)=1,(0.0315*C129+2.1825)*2,(0.7354*C129^0.4078)*2)/IF(_xlfn.XLOOKUP(E129,Groups!A:A,Groups!BM:BM)=1,1000,100)/IF(_xlfn.XLOOKUP(E129,Groups!A:A,Groups!AJ:AJ)="Photonozoa",3,1))</f>
        <v>2.3634900719797604E-2</v>
      </c>
      <c r="BS129" s="8">
        <f t="shared" si="45"/>
        <v>4.7884673184397833E-2</v>
      </c>
      <c r="BT129" s="8" t="str">
        <f t="shared" si="46"/>
        <v>No</v>
      </c>
      <c r="BU129" s="8" t="str">
        <f t="shared" si="47"/>
        <v>No</v>
      </c>
      <c r="BV129" s="8">
        <f t="shared" si="48"/>
        <v>69.208987924369112</v>
      </c>
      <c r="BW129" s="4">
        <v>0</v>
      </c>
      <c r="BX129" s="4">
        <v>1</v>
      </c>
    </row>
    <row r="130" spans="1:76" x14ac:dyDescent="0.25">
      <c r="A130" s="26" t="s">
        <v>476</v>
      </c>
      <c r="B130" s="6" t="s">
        <v>481</v>
      </c>
      <c r="C130" s="7">
        <v>25</v>
      </c>
      <c r="D130" s="7" t="s">
        <v>548</v>
      </c>
      <c r="E130" s="7" t="str">
        <f>Groups!$A$51</f>
        <v>Rodent</v>
      </c>
      <c r="F130" s="7">
        <v>105</v>
      </c>
      <c r="G130" s="7">
        <f>639/365</f>
        <v>1.7506849315068493</v>
      </c>
      <c r="H130" s="7">
        <f>23.4</f>
        <v>23.4</v>
      </c>
      <c r="I130" s="4">
        <v>0</v>
      </c>
      <c r="J130" s="7">
        <v>3</v>
      </c>
      <c r="K130" s="7" t="s">
        <v>548</v>
      </c>
      <c r="L130" s="7">
        <f>MIN(20*C130^0.183,19.9*C130^0.142,13.7*C130^0.004)</f>
        <v>13.877534867975477</v>
      </c>
      <c r="M130" s="7" t="s">
        <v>626</v>
      </c>
      <c r="N130" s="4">
        <v>0</v>
      </c>
      <c r="O130" s="4">
        <v>0</v>
      </c>
      <c r="P130" s="4">
        <v>0</v>
      </c>
      <c r="Q130" s="4">
        <v>0</v>
      </c>
      <c r="R130" s="4" t="s">
        <v>40</v>
      </c>
      <c r="S130" s="7">
        <f>_xlfn.XLOOKUP(B130,[1]TeethAdjusters!$A:$A,[1]BiteAdjusters!$C:$C,1)</f>
        <v>1.5835439013324151</v>
      </c>
      <c r="T130" s="7">
        <f>_xlfn.XLOOKUP(B130,[1]TeethAdjusters!$A:$A,[1]TeethAdjusters!$B:$B,1)</f>
        <v>1</v>
      </c>
      <c r="U130" s="7" t="s">
        <v>45</v>
      </c>
      <c r="V130" s="7">
        <f>AVERAGE(20,25)/10</f>
        <v>2.25</v>
      </c>
      <c r="W130" s="7" t="s">
        <v>45</v>
      </c>
      <c r="X130" s="7" t="s">
        <v>932</v>
      </c>
      <c r="Y130" s="4" t="s">
        <v>42</v>
      </c>
      <c r="Z130" s="4">
        <v>1</v>
      </c>
      <c r="AA130" s="4">
        <v>0</v>
      </c>
      <c r="AB130" s="4">
        <v>0</v>
      </c>
      <c r="AC130" s="4">
        <v>0</v>
      </c>
      <c r="AD130" s="4">
        <v>0</v>
      </c>
      <c r="AE130" s="4" t="s">
        <v>45</v>
      </c>
      <c r="AF130" s="4" t="s">
        <v>399</v>
      </c>
      <c r="AG130" s="49" t="s">
        <v>385</v>
      </c>
      <c r="AH130" s="4" t="str">
        <f>Animals!$C$40</f>
        <v>&lt;li&gt;Alphabeaver&lt;/li&gt;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4">
        <v>10</v>
      </c>
      <c r="AO130" s="8">
        <f t="shared" si="34"/>
        <v>8994.6441116448314</v>
      </c>
      <c r="AP130" s="8">
        <f>IFERROR(C130*_xlfn.XLOOKUP(E130,Groups!A:A,Groups!K:K),0.106*C130^0.94)</f>
        <v>2.1845876462939295</v>
      </c>
      <c r="AQ130" s="8">
        <f>AP130*10000/(_xlfn.XLOOKUP(E130,Groups!A:A,Groups!J:J)*AO130)</f>
        <v>2.2282247356693241</v>
      </c>
      <c r="AR130" s="8">
        <f t="shared" si="35"/>
        <v>824.67090957260996</v>
      </c>
      <c r="AS130" s="8">
        <f>IF(_xlfn.XLOOKUP(E130,Groups!A:A,Groups!M:M)=1,EXP(0.7444*LN('Base stats'!C130)+6.5696),EXP(0.7927*LN('Base stats'!C130)+4.28))</f>
        <v>926.67495884741118</v>
      </c>
      <c r="AT130" s="8">
        <f>IF(_xlfn.XLOOKUP(E130,Groups!A:A,Groups!N:N)="No","No",
IF(_xlfn.XLOOKUP(E130,Groups!A:A,Groups!N:N)="Crocodile",EXP(0.8129*LN(C130)+4.6742)*S130,
IF(_xlfn.XLOOKUP(E130,Groups!A:A,Groups!N:N)="Felid",EXP(0.7843*LN(C130)+4.7073)*S130,
IF(_xlfn.XLOOKUP(E130,Groups!A:A,Groups!N:N)="Canid",EXP(0.8367*LN(C130)+4.8763)*S130,
IF(_xlfn.XLOOKUP(E130,Groups!A:A,Groups!N:N)="Pig",EXP(0.3439*LN(C130)+6.8519)*S130,
IF(_xlfn.XLOOKUP(E130,Groups!A:A,Groups!N:N)="Rodent",EXP(0.5625*LN(C130)+4.3006)*S130,
IF(_xlfn.XLOOKUP(E130,Groups!A:A,Groups!N:N)="Primate",EXP(0.7847*LN(C130)+3.4931)*S130,
IF(_xlfn.XLOOKUP(E130,Groups!A:A,Groups!N:N)="MiscCarnivora",EXP(0.7486*LN(C130)+4.2207)*S130,
IF(_xlfn.XLOOKUP(E130,Groups!A:A,Groups!N:N)="Lizard",EXP(0.7733*LN(C130)+5.5303)*S130,
IF(_xlfn.XLOOKUP(E130,Groups!A:A,Groups!N:N)="Snake",50*C130^(2/3)*S130,
IF(_xlfn.XLOOKUP(E130,Groups!A:A,Groups!N:N)="StrongBitingHerbivore",87.1133638856975*C130^(2/3)*S130,
IF(_xlfn.XLOOKUP(E130,Groups!A:A,Groups!N:N)="MiscEctotherms",59.4316884072269*C130^(2/3)*S130,
IF(_xlfn.XLOOKUP(E130,Groups!A:A,Groups!N:N)="StrongBeakBird",0.041*(C130*1000)^1.375*S130,
IF(_xlfn.XLOOKUP(E130,Groups!A:A,Groups!N:N)="Bird",0.118*(C130*1000)^0.692*S130,
IF(_xlfn.XLOOKUP(E130,Groups!A:A,Groups!N:N)="Insect",EXP(0.7444*LN(C130)+6.5696)*S130,
IF(_xlfn.XLOOKUP(E130,Groups!A:A,Groups!N:N)="Theropod",EXP(0.6966*LN(C130)+4.158)*S130,
"No"))))))))))))))))</f>
        <v>714</v>
      </c>
      <c r="AU130" s="8">
        <f>IF(_xlfn.XLOOKUP(E130,Groups!A:A,Groups!U:U)=3,AS130,IF(_xlfn.XLOOKUP(E130,Groups!A:A,Groups!U:U)=2,AR130,AT130))</f>
        <v>714</v>
      </c>
      <c r="AV130" s="46">
        <f>IFERROR(AVERAGE(_xlfn.XLOOKUP(B130,Animals!B:B,Animals!N:N),_xlfn.XLOOKUP(B130,Animals!B:B,Animals!O:O)),0)</f>
        <v>0</v>
      </c>
      <c r="AW130" s="8">
        <f>MROUND(40*Animals!AO130*_xlfn.XLOOKUP(AG130,Leathers!$A$2:$A$99,Leathers!$B$2:$B$99,0)+(140*_xlfn.XLOOKUP(B130,Animals!B:B,Animals!AO:AO)*2),5)</f>
        <v>230</v>
      </c>
      <c r="AX130" s="8">
        <f>IFERROR(ROUND(SQRT(V130-1)*IF(_xlfn.XLOOKUP(E130,Groups!A:A,Groups!BF:BF)=0,2,1)*IF(_xlfn.XLOOKUP('Base stats'!E130,Groups!A:A,Groups!O:O)=0,1,0.1),1),0)</f>
        <v>2.2000000000000002</v>
      </c>
      <c r="AY130" s="8">
        <f t="shared" si="36"/>
        <v>0</v>
      </c>
      <c r="AZ130" s="8">
        <f t="shared" si="37"/>
        <v>0</v>
      </c>
      <c r="BA130" s="8">
        <f t="shared" si="38"/>
        <v>2.5</v>
      </c>
      <c r="BB130" s="8">
        <f>IF(_xlfn.XLOOKUP(E130,Groups!A:A,Groups!N:N)="Insect",BD130*2.5,IFERROR(AVERAGE(BD130,AT130/9.81/IF(OR(_xlfn.XLOOKUP(E130,Groups!A:A,Groups!N:N)="Pig",_xlfn.XLOOKUP(E130,Groups!A:A,Groups!N:N)="StrongBitingHerbivore"),20,25))*C130^-0.135,BD130))</f>
        <v>1.086362499034718</v>
      </c>
      <c r="BC130" s="8" t="str">
        <f>IF(W130="No","No",IF(_xlfn.XLOOKUP(E130,Groups!A:A,Groups!U:U)=1,'Base stats'!BB130,IF(OR(_xlfn.XLOOKUP(E130,Groups!A:A,Groups!BD:BD)=1,_xlfn.XLOOKUP(E130,Groups!A:A,Groups!U:U)=2),BD130,IF(_xlfn.XLOOKUP(B130,Animals!B:B,Animals!AO:AO)&gt;4,AVERAGE(BD130,BF130),BF130))))</f>
        <v>No</v>
      </c>
      <c r="BD130" s="8">
        <f t="shared" si="39"/>
        <v>0.44394874596231243</v>
      </c>
      <c r="BE130" s="8">
        <f>IF(_xlfn.XLOOKUP(E130,Groups!A:A,Groups!BE:BE)=1,(0.048*C130^1.01)+(0.071*C130^1.03),0.071*C130^1.03)/IF(_xlfn.XLOOKUP(E130,Groups!A:A,Groups!M:M)=1,0.85,IF(OR(_xlfn.XLOOKUP(B130,Animals!B:B,Animals!AO:AO)&gt;4,_xlfn.XLOOKUP(E130,Groups!A:A,Groups!BC:BC)=1),1.7,1))*C130^-0.25</f>
        <v>0.87428203703676388</v>
      </c>
      <c r="BF130" s="8">
        <f>(0.048*C130^1.01)/IF(_xlfn.XLOOKUP(E130,Groups!A:A,Groups!M:M)=1,0.25,0.8)*C130^-0.25</f>
        <v>0.69276455162902584</v>
      </c>
      <c r="BG130" s="8">
        <f>EXP(1.076*LN(AR130)-4.5397)*IF(_xlfn.XLOOKUP(E130,Groups!A:A,Groups!BC:BC)=1,1.25,IF(_xlfn.XLOOKUP(E130,Groups!A:A,Groups!BD:BD)=1,3.5,2.5))</f>
        <v>36.668348939666025</v>
      </c>
      <c r="BH130" s="8">
        <f>EXP(1.076*LN(AS130)-4.5397)*IF(_xlfn.XLOOKUP(E130,Groups!A:A,Groups!M:M)=1,0.8,IF(_xlfn.XLOOKUP(E130,Groups!A:A,Groups!BC:BC)=1,1.3,3))</f>
        <v>49.884831215386384</v>
      </c>
      <c r="BI130" s="8" t="str">
        <f>IF(W130="No","No",IF(_xlfn.XLOOKUP(E130,Groups!A:A,Groups!U:U)=1,'Base stats'!BJ130,IF(OR(_xlfn.XLOOKUP(E130,Groups!A:A,Groups!BD:BD)=1,_xlfn.XLOOKUP(E130,Groups!A:A,Groups!U:U)=2),BG130,BH130))*1.2)</f>
        <v>No</v>
      </c>
      <c r="BJ130" s="8">
        <f>IFERROR(EXP(1.076*LN(AT130)-4.5397)*IF(_xlfn.XLOOKUP(E130,Groups!A:A,Groups!N:N)="Insect",1,IF(OR(_xlfn.XLOOKUP(E130,Groups!A:A,Groups!N:N)="Pig",_xlfn.XLOOKUP(E130,Groups!A:A,Groups!N:N)="StrongBitingHerbivore"),3.5,3.75)),"No")</f>
        <v>47.10249195911851</v>
      </c>
      <c r="BK130" s="8">
        <f t="shared" si="40"/>
        <v>12</v>
      </c>
      <c r="BL130" s="8">
        <f t="shared" si="41"/>
        <v>10</v>
      </c>
      <c r="BM130" s="8" t="str">
        <f t="shared" si="42"/>
        <v>No</v>
      </c>
      <c r="BN130" s="8">
        <f t="shared" si="43"/>
        <v>9</v>
      </c>
      <c r="BO130" s="8">
        <f t="shared" si="44"/>
        <v>12</v>
      </c>
      <c r="BP130" s="8" t="str" cm="1">
        <f t="array" ref="BP130">IF(AND(_xlfn.XLOOKUP('Base stats'!E130,Groups!A:A,Groups!AD:AD=0),_xlfn.XLOOKUP('Base stats'!E130,Groups!A:A,Groups!P:P=0)),"No",IF(U130="No",AVERAGE(EXP(-0.57+0.99*LN(C130)),EXP(0.32+0.67*LN(C130)))/IF(_xlfn.XLOOKUP(E130,Groups!A:A,Groups!AD:AD)=1,10,2),(0.7354*C130^0.4078)*2/IF(_xlfn.XLOOKUP(E130,Groups!A:A,Groups!BK:BK)=1,1000,100)/IF(_xlfn.XLOOKUP(E130,Groups!A:A,Groups!AJ:AJ)="Photonozoa",3,1)))</f>
        <v>No</v>
      </c>
      <c r="BQ130" s="8" t="str">
        <f>IF(W130="No","No",IF(_xlfn.XLOOKUP(E130,Groups!A:A,Groups!BD:BD)=1,(AO130*5%),EXP(0.7354*LN(C130)^0.4078)*2/IF(_xlfn.XLOOKUP(E130,Groups!A:A,Groups!BL:BL)=1,1000,100)/IF(_xlfn.XLOOKUP(E130,Groups!A:A,Groups!AJ:AJ)="Photonozoa",3,1)))</f>
        <v>No</v>
      </c>
      <c r="BR130" s="8">
        <f>IF(BJ130="No","No",IF(_xlfn.XLOOKUP(E130,Groups!A:A,Groups!BF:BF)=1,(0.0315*C130+2.1825)*2,(0.7354*C130^0.4078)*2)/IF(_xlfn.XLOOKUP(E130,Groups!A:A,Groups!BM:BM)=1,1000,100)/IF(_xlfn.XLOOKUP(E130,Groups!A:A,Groups!AJ:AJ)="Photonozoa",3,1))</f>
        <v>5.4655460365074494E-2</v>
      </c>
      <c r="BS130" s="8">
        <f t="shared" si="45"/>
        <v>8.1533740489395656E-2</v>
      </c>
      <c r="BT130" s="8" t="str">
        <f t="shared" si="46"/>
        <v>No</v>
      </c>
      <c r="BU130" s="8" t="str">
        <f t="shared" si="47"/>
        <v>No</v>
      </c>
      <c r="BV130" s="8">
        <f t="shared" si="48"/>
        <v>861.80761527749519</v>
      </c>
      <c r="BW130" s="4">
        <v>0</v>
      </c>
      <c r="BX130" s="4">
        <v>1</v>
      </c>
    </row>
    <row r="131" spans="1:76" x14ac:dyDescent="0.25">
      <c r="A131" s="26" t="s">
        <v>477</v>
      </c>
      <c r="B131" s="6" t="s">
        <v>482</v>
      </c>
      <c r="C131" s="7">
        <v>1.2135</v>
      </c>
      <c r="D131" s="7" t="s">
        <v>597</v>
      </c>
      <c r="E131" s="7" t="str">
        <f>Groups!$A$32</f>
        <v>MiscMammals</v>
      </c>
      <c r="F131" s="7">
        <v>30</v>
      </c>
      <c r="G131" s="7">
        <f>253 /365</f>
        <v>0.69315068493150689</v>
      </c>
      <c r="H131" s="7">
        <v>11.7</v>
      </c>
      <c r="I131" s="4">
        <v>0</v>
      </c>
      <c r="J131" s="7">
        <v>1.5</v>
      </c>
      <c r="K131" s="7" t="s">
        <v>597</v>
      </c>
      <c r="L131" s="7">
        <f>MIN(20*C131^0.183,19.9*C131^0.142,13.7*C131^0.004)</f>
        <v>13.710608384391588</v>
      </c>
      <c r="M131" s="7" t="s">
        <v>626</v>
      </c>
      <c r="N131" s="4">
        <v>0</v>
      </c>
      <c r="O131" s="4">
        <v>0</v>
      </c>
      <c r="P131" s="4">
        <v>0</v>
      </c>
      <c r="Q131" s="4">
        <v>0</v>
      </c>
      <c r="R131" s="4" t="s">
        <v>40</v>
      </c>
      <c r="S131" s="7">
        <f>_xlfn.XLOOKUP(B131,[1]TeethAdjusters!$A:$A,[1]BiteAdjusters!$C:$C,1)</f>
        <v>1</v>
      </c>
      <c r="T131" s="7">
        <f>_xlfn.XLOOKUP(B131,[1]TeethAdjusters!$A:$A,[1]TeethAdjusters!$B:$B,1)</f>
        <v>1</v>
      </c>
      <c r="U131" s="7" t="s">
        <v>45</v>
      </c>
      <c r="V131" s="7">
        <v>0.5</v>
      </c>
      <c r="W131" s="7" t="s">
        <v>45</v>
      </c>
      <c r="X131" s="7" t="s">
        <v>932</v>
      </c>
      <c r="Y131" s="4" t="s">
        <v>56</v>
      </c>
      <c r="Z131" s="4">
        <v>1</v>
      </c>
      <c r="AA131" s="4">
        <v>0</v>
      </c>
      <c r="AB131" s="4">
        <v>0</v>
      </c>
      <c r="AC131" s="4">
        <v>0</v>
      </c>
      <c r="AD131" s="4">
        <v>0</v>
      </c>
      <c r="AE131" s="4" t="s">
        <v>45</v>
      </c>
      <c r="AF131" s="4" t="s">
        <v>45</v>
      </c>
      <c r="AG131" s="49" t="s">
        <v>385</v>
      </c>
      <c r="AH131" s="4" t="s">
        <v>45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4" t="s">
        <v>40</v>
      </c>
      <c r="AO131" s="8">
        <f t="shared" ref="AO131:AO194" si="57">(0.111*C131^0.65)*10000</f>
        <v>1258.7771078426365</v>
      </c>
      <c r="AP131" s="8">
        <f>IFERROR(C131*_xlfn.XLOOKUP(E131,Groups!A:A,Groups!K:K),0.106*C131^0.94)</f>
        <v>0.12714616313592822</v>
      </c>
      <c r="AQ131" s="8">
        <f>AP131*10000/(_xlfn.XLOOKUP(E131,Groups!A:A,Groups!J:J)*AO131)</f>
        <v>0.92667602041099417</v>
      </c>
      <c r="AR131" s="8">
        <f t="shared" ref="AR131:AR194" si="58">EXP(0.8447*LN(C131)+3.996)</f>
        <v>64.03673082694479</v>
      </c>
      <c r="AS131" s="8">
        <f>IF(_xlfn.XLOOKUP(E131,Groups!A:A,Groups!M:M)=1,EXP(0.7444*LN('Base stats'!C131)+6.5696),EXP(0.7927*LN('Base stats'!C131)+4.28))</f>
        <v>84.216796363015334</v>
      </c>
      <c r="AT131" s="8">
        <f>IF(_xlfn.XLOOKUP(E131,Groups!A:A,Groups!N:N)="No","No",
IF(_xlfn.XLOOKUP(E131,Groups!A:A,Groups!N:N)="Crocodile",EXP(0.8129*LN(C131)+4.6742)*S131,
IF(_xlfn.XLOOKUP(E131,Groups!A:A,Groups!N:N)="Felid",EXP(0.7843*LN(C131)+4.7073)*S131,
IF(_xlfn.XLOOKUP(E131,Groups!A:A,Groups!N:N)="Canid",EXP(0.8367*LN(C131)+4.8763)*S131,
IF(_xlfn.XLOOKUP(E131,Groups!A:A,Groups!N:N)="Pig",EXP(0.3439*LN(C131)+6.8519)*S131,
IF(_xlfn.XLOOKUP(E131,Groups!A:A,Groups!N:N)="Rodent",EXP(0.5625*LN(C131)+4.3006)*S131,
IF(_xlfn.XLOOKUP(E131,Groups!A:A,Groups!N:N)="Primate",EXP(0.7847*LN(C131)+3.4931)*S131,
IF(_xlfn.XLOOKUP(E131,Groups!A:A,Groups!N:N)="MiscCarnivora",EXP(0.7486*LN(C131)+4.2207)*S131,
IF(_xlfn.XLOOKUP(E131,Groups!A:A,Groups!N:N)="Lizard",EXP(0.7733*LN(C131)+5.5303)*S131,
IF(_xlfn.XLOOKUP(E131,Groups!A:A,Groups!N:N)="Snake",50*C131^(2/3)*S131,
IF(_xlfn.XLOOKUP(E131,Groups!A:A,Groups!N:N)="StrongBitingHerbivore",87.1133638856975*C131^(2/3)*S131,
IF(_xlfn.XLOOKUP(E131,Groups!A:A,Groups!N:N)="MiscEctotherms",59.4316884072269*C131^(2/3)*S131,
IF(_xlfn.XLOOKUP(E131,Groups!A:A,Groups!N:N)="StrongBeakBird",0.041*(C131*1000)^1.375*S131,
IF(_xlfn.XLOOKUP(E131,Groups!A:A,Groups!N:N)="Bird",0.118*(C131*1000)^0.692*S131,
IF(_xlfn.XLOOKUP(E131,Groups!A:A,Groups!N:N)="Insect",EXP(0.7444*LN(C131)+6.5696)*S131,
IF(_xlfn.XLOOKUP(E131,Groups!A:A,Groups!N:N)="Theropod",EXP(0.6966*LN(C131)+4.158)*S131,
"No"))))))))))))))))</f>
        <v>78.693506885939101</v>
      </c>
      <c r="AU131" s="8">
        <f>IF(_xlfn.XLOOKUP(E131,Groups!A:A,Groups!U:U)=3,AS131,IF(_xlfn.XLOOKUP(E131,Groups!A:A,Groups!U:U)=2,AR131,AT131))</f>
        <v>78.693506885939101</v>
      </c>
      <c r="AV131" s="46">
        <f>IFERROR(AVERAGE(_xlfn.XLOOKUP(B131,Animals!B:B,Animals!N:N),_xlfn.XLOOKUP(B131,Animals!B:B,Animals!O:O)),0)</f>
        <v>0</v>
      </c>
      <c r="AW131" s="8">
        <f>MROUND(40*Animals!AO131*_xlfn.XLOOKUP(AG131,Leathers!$A$2:$A$99,Leathers!$B$2:$B$99,0)+(140*_xlfn.XLOOKUP(B131,Animals!B:B,Animals!AO:AO)*2),5)</f>
        <v>55</v>
      </c>
      <c r="AX131" s="8">
        <f>IFERROR(ROUND(SQRT(V131-1)*IF(_xlfn.XLOOKUP(E131,Groups!A:A,Groups!BF:BF)=0,2,1)*IF(_xlfn.XLOOKUP('Base stats'!E131,Groups!A:A,Groups!O:O)=0,1,0.1),1),0)</f>
        <v>0</v>
      </c>
      <c r="AY131" s="8">
        <f t="shared" ref="AY131:AY194" si="59">IFERROR(ROUND(SQRT(U131-1),1),0)</f>
        <v>0</v>
      </c>
      <c r="AZ131" s="8">
        <f t="shared" ref="AZ131:AZ194" si="60">IFERROR(ROUND(SQRT(W131),1),0)</f>
        <v>0</v>
      </c>
      <c r="BA131" s="8">
        <f t="shared" ref="BA131:BA194" si="61">ROUND(
  EXP(0.3582*LN(C131)-0.2221) *
  (0.75 + 0.25*(C131^4/(C131^4+10^4))),
1)</f>
        <v>0.6</v>
      </c>
      <c r="BB131" s="8">
        <f>IF(_xlfn.XLOOKUP(E131,Groups!A:A,Groups!N:N)="Insect",BD131*2.5,IFERROR(AVERAGE(BD131,AT131/9.81/IF(OR(_xlfn.XLOOKUP(E131,Groups!A:A,Groups!N:N)="Pig",_xlfn.XLOOKUP(E131,Groups!A:A,Groups!N:N)="StrongBitingHerbivore"),20,25))*C131^-0.135,BD131))</f>
        <v>0.17872418508078849</v>
      </c>
      <c r="BC131" s="8" t="str">
        <f>IF(W131="No","No",IF(_xlfn.XLOOKUP(E131,Groups!A:A,Groups!U:U)=1,'Base stats'!BB131,IF(OR(_xlfn.XLOOKUP(E131,Groups!A:A,Groups!BD:BD)=1,_xlfn.XLOOKUP(E131,Groups!A:A,Groups!U:U)=2),BD131,IF(_xlfn.XLOOKUP(B131,Animals!B:B,Animals!AO:AO)&gt;4,AVERAGE(BD131,BF131),BF131))))</f>
        <v>No</v>
      </c>
      <c r="BD131" s="8">
        <f t="shared" ref="BD131:BD194" si="62">(0.0392*C131^IF(OR(Y131="Herbivore",Y131="Dendrovore",Y131="OmnivoreRough"),0.889,0.966))*C131^-0.135</f>
        <v>4.6038707722392644E-2</v>
      </c>
      <c r="BE131" s="8">
        <f>IF(_xlfn.XLOOKUP(E131,Groups!A:A,Groups!BE:BE)=1,(0.048*C131^1.01)+(0.071*C131^1.03),0.071*C131^1.03)/IF(_xlfn.XLOOKUP(E131,Groups!A:A,Groups!M:M)=1,0.85,IF(OR(_xlfn.XLOOKUP(B131,Animals!B:B,Animals!AO:AO)&gt;4,_xlfn.XLOOKUP(E131,Groups!A:A,Groups!BC:BC)=1),1.7,1))*C131^-0.25</f>
        <v>8.2567546108570741E-2</v>
      </c>
      <c r="BF131" s="8">
        <f>(0.048*C131^1.01)/IF(_xlfn.XLOOKUP(E131,Groups!A:A,Groups!M:M)=1,0.25,0.8)*C131^-0.25</f>
        <v>6.9505869992112154E-2</v>
      </c>
      <c r="BG131" s="8">
        <f>EXP(1.076*LN(AR131)-4.5397)*IF(_xlfn.XLOOKUP(E131,Groups!A:A,Groups!BC:BC)=1,1.25,IF(_xlfn.XLOOKUP(E131,Groups!A:A,Groups!BD:BD)=1,3.5,2.5))</f>
        <v>2.3447206979592634</v>
      </c>
      <c r="BH131" s="8">
        <f>EXP(1.076*LN(AS131)-4.5397)*IF(_xlfn.XLOOKUP(E131,Groups!A:A,Groups!M:M)=1,0.8,IF(_xlfn.XLOOKUP(E131,Groups!A:A,Groups!BC:BC)=1,1.3,3))</f>
        <v>3.778188435490045</v>
      </c>
      <c r="BI131" s="8" t="str">
        <f>IF(W131="No","No",IF(_xlfn.XLOOKUP(E131,Groups!A:A,Groups!U:U)=1,'Base stats'!BJ131,IF(OR(_xlfn.XLOOKUP(E131,Groups!A:A,Groups!BD:BD)=1,_xlfn.XLOOKUP(E131,Groups!A:A,Groups!U:U)=2),BG131,BH131))*1.2)</f>
        <v>No</v>
      </c>
      <c r="BJ131" s="8">
        <f>IFERROR(EXP(1.076*LN(AT131)-4.5397)*IF(_xlfn.XLOOKUP(E131,Groups!A:A,Groups!N:N)="Insect",1,IF(OR(_xlfn.XLOOKUP(E131,Groups!A:A,Groups!N:N)="Pig",_xlfn.XLOOKUP(E131,Groups!A:A,Groups!N:N)="StrongBitingHerbivore"),3.5,3.75)),"No")</f>
        <v>4.3903067377807092</v>
      </c>
      <c r="BK131" s="8">
        <f t="shared" ref="BK131:BK194" si="63">ROUNDDOWN(SQRT((2*BG131)/BD131),0)</f>
        <v>10</v>
      </c>
      <c r="BL131" s="8">
        <f t="shared" ref="BL131:BL194" si="64">ROUNDDOWN(SQRT((2*BH131)/BE131),0)</f>
        <v>9</v>
      </c>
      <c r="BM131" s="8" t="str">
        <f t="shared" ref="BM131:BM194" si="65">IF(W131="No","No",ROUNDDOWN(SQRT((2*BI131)/BC131),0))</f>
        <v>No</v>
      </c>
      <c r="BN131" s="8">
        <f t="shared" ref="BN131:BN194" si="66">IF(V131="No","No",ROUNDDOWN(SQRT((2*BJ131)/BB131),0))</f>
        <v>7</v>
      </c>
      <c r="BO131" s="8">
        <f t="shared" ref="BO131:BO194" si="67">ROUNDDOWN(SQRT((2*BH131)/BF131),0)</f>
        <v>10</v>
      </c>
      <c r="BP131" s="8" t="str" cm="1">
        <f t="array" ref="BP131">IF(AND(_xlfn.XLOOKUP('Base stats'!E131,Groups!A:A,Groups!AD:AD=0),_xlfn.XLOOKUP('Base stats'!E131,Groups!A:A,Groups!P:P=0)),"No",IF(U131="No",AVERAGE(EXP(-0.57+0.99*LN(C131)),EXP(0.32+0.67*LN(C131)))/IF(_xlfn.XLOOKUP(E131,Groups!A:A,Groups!AD:AD)=1,10,2),(0.7354*C131^0.4078)*2/IF(_xlfn.XLOOKUP(E131,Groups!A:A,Groups!BK:BK)=1,1000,100)/IF(_xlfn.XLOOKUP(E131,Groups!A:A,Groups!AJ:AJ)="Photonozoa",3,1)))</f>
        <v>No</v>
      </c>
      <c r="BQ131" s="8" t="str">
        <f>IF(W131="No","No",IF(_xlfn.XLOOKUP(E131,Groups!A:A,Groups!BD:BD)=1,(AO131*5%),EXP(0.7354*LN(C131)^0.4078)*2/IF(_xlfn.XLOOKUP(E131,Groups!A:A,Groups!BL:BL)=1,1000,100)/IF(_xlfn.XLOOKUP(E131,Groups!A:A,Groups!AJ:AJ)="Photonozoa",3,1)))</f>
        <v>No</v>
      </c>
      <c r="BR131" s="8">
        <f>IF(BJ131="No","No",IF(_xlfn.XLOOKUP(E131,Groups!A:A,Groups!BF:BF)=1,(0.0315*C131+2.1825)*2,(0.7354*C131^0.4078)*2)/IF(_xlfn.XLOOKUP(E131,Groups!A:A,Groups!BM:BM)=1,1000,100)/IF(_xlfn.XLOOKUP(E131,Groups!A:A,Groups!AJ:AJ)="Photonozoa",3,1))</f>
        <v>1.5915674323270582E-2</v>
      </c>
      <c r="BS131" s="8">
        <f t="shared" ref="BS131:BS194" si="68">BG131/(AO131*5%)</f>
        <v>3.725394564853151E-2</v>
      </c>
      <c r="BT131" s="8" t="str">
        <f t="shared" ref="BT131:BT194" si="69">IF(BP131="No","No",BH131/BP131)</f>
        <v>No</v>
      </c>
      <c r="BU131" s="8" t="str">
        <f t="shared" ref="BU131:BU194" si="70">IF(W131="No","No",BI131/BQ131)</f>
        <v>No</v>
      </c>
      <c r="BV131" s="8">
        <f t="shared" ref="BV131:BV194" si="71">IF(BJ131="No","No",BJ131/BR131)</f>
        <v>275.84798787705563</v>
      </c>
      <c r="BW131" s="4">
        <v>0</v>
      </c>
      <c r="BX131" s="4">
        <v>1</v>
      </c>
    </row>
    <row r="132" spans="1:76" x14ac:dyDescent="0.25">
      <c r="A132" s="26" t="s">
        <v>77</v>
      </c>
      <c r="B132" s="6" t="s">
        <v>78</v>
      </c>
      <c r="C132" s="7">
        <f>AVERAGE(104.5,76.7)</f>
        <v>90.6</v>
      </c>
      <c r="D132" s="7" t="s">
        <v>1159</v>
      </c>
      <c r="E132" s="7" t="str">
        <f>Groups!$A$20</f>
        <v>Catlike (PISCIVORE)</v>
      </c>
      <c r="F132" s="7">
        <v>99</v>
      </c>
      <c r="G132" s="7">
        <f>AVERAGE(30/12,3)</f>
        <v>2.75</v>
      </c>
      <c r="H132" s="7">
        <v>28</v>
      </c>
      <c r="I132" s="4">
        <v>0</v>
      </c>
      <c r="J132" s="7">
        <v>2</v>
      </c>
      <c r="K132" s="7" t="s">
        <v>546</v>
      </c>
      <c r="L132" s="7">
        <f>MIN(37.5*C132^0.089,79.3*C132^-0.072)</f>
        <v>56.003565476844742</v>
      </c>
      <c r="M132" s="7" t="s">
        <v>626</v>
      </c>
      <c r="N132" s="4">
        <v>0</v>
      </c>
      <c r="O132" s="4">
        <v>0</v>
      </c>
      <c r="P132" s="4">
        <v>0</v>
      </c>
      <c r="Q132" s="4">
        <v>0</v>
      </c>
      <c r="R132" s="4" t="s">
        <v>40</v>
      </c>
      <c r="S132" s="7">
        <f>_xlfn.XLOOKUP(B132,[1]TeethAdjusters!$A:$A,[1]BiteAdjusters!$C:$C,1)</f>
        <v>1.7207631063976647</v>
      </c>
      <c r="T132" s="7">
        <f>_xlfn.XLOOKUP(B132,[1]TeethAdjusters!$A:$A,[1]TeethAdjusters!$B:$B,1)</f>
        <v>1.1539667792284651</v>
      </c>
      <c r="U132" s="7">
        <f>MROUND(5.5,0.05)</f>
        <v>5.5</v>
      </c>
      <c r="V132" s="7">
        <f>IF(AT132="No","No",IF(_xlfn.XLOOKUP(E132,Groups!A:A,Groups!AM:AM)=1,MROUND(EXP(0.3582*LN(C132)-0.2221)*T132,0.05),IF(_xlfn.XLOOKUP(E132,Groups!A:A,Groups!AM:AM)=2,MROUND(EXP(0.3582*LN(C132)-0.2221)*T132,0.05),"Need a formula")))</f>
        <v>4.6500000000000004</v>
      </c>
      <c r="W132" s="7" t="s">
        <v>45</v>
      </c>
      <c r="X132" s="7" t="s">
        <v>932</v>
      </c>
      <c r="Y132" s="4" t="s">
        <v>56</v>
      </c>
      <c r="Z132" s="4">
        <v>1</v>
      </c>
      <c r="AA132" s="4">
        <v>0</v>
      </c>
      <c r="AB132" s="4">
        <v>0</v>
      </c>
      <c r="AC132" s="4">
        <v>0</v>
      </c>
      <c r="AD132" s="4">
        <v>0</v>
      </c>
      <c r="AE132" s="4" t="s">
        <v>45</v>
      </c>
      <c r="AF132" s="4" t="s">
        <v>45</v>
      </c>
      <c r="AG132" s="49" t="s">
        <v>389</v>
      </c>
      <c r="AH132" s="4" t="s">
        <v>45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4" t="s">
        <v>40</v>
      </c>
      <c r="AO132" s="8">
        <f t="shared" si="57"/>
        <v>20770.947464227022</v>
      </c>
      <c r="AP132" s="8">
        <f>IFERROR(C132*_xlfn.XLOOKUP(E132,Groups!A:A,Groups!K:K),0.106*C132^0.94)</f>
        <v>11.302349999999999</v>
      </c>
      <c r="AQ132" s="8">
        <f>AP132*10000/(_xlfn.XLOOKUP(E132,Groups!A:A,Groups!J:J)*AO132)</f>
        <v>4.9921306951574111</v>
      </c>
      <c r="AR132" s="8">
        <f t="shared" si="58"/>
        <v>2446.9603841731432</v>
      </c>
      <c r="AS132" s="8">
        <f>IF(_xlfn.XLOOKUP(E132,Groups!A:A,Groups!M:M)=1,EXP(0.7444*LN('Base stats'!C132)+6.5696),EXP(0.7927*LN('Base stats'!C132)+4.28))</f>
        <v>2571.5555179186249</v>
      </c>
      <c r="AT132" s="8">
        <f>IF(_xlfn.XLOOKUP(E132,Groups!A:A,Groups!N:N)="No","No",
IF(_xlfn.XLOOKUP(E132,Groups!A:A,Groups!N:N)="Crocodile",EXP(0.8129*LN(C132)+4.6742)*S132,
IF(_xlfn.XLOOKUP(E132,Groups!A:A,Groups!N:N)="Felid",EXP(0.7843*LN(C132)+4.7073)*S132,
IF(_xlfn.XLOOKUP(E132,Groups!A:A,Groups!N:N)="Canid",EXP(0.8367*LN(C132)+4.8763)*S132,
IF(_xlfn.XLOOKUP(E132,Groups!A:A,Groups!N:N)="Pig",EXP(0.3439*LN(C132)+6.8519)*S132,
IF(_xlfn.XLOOKUP(E132,Groups!A:A,Groups!N:N)="Rodent",EXP(0.5625*LN(C132)+4.3006)*S132,
IF(_xlfn.XLOOKUP(E132,Groups!A:A,Groups!N:N)="Primate",EXP(0.7847*LN(C132)+3.4931)*S132,
IF(_xlfn.XLOOKUP(E132,Groups!A:A,Groups!N:N)="MiscCarnivora",EXP(0.7486*LN(C132)+4.2207)*S132,
IF(_xlfn.XLOOKUP(E132,Groups!A:A,Groups!N:N)="Lizard",EXP(0.7733*LN(C132)+5.5303)*S132,
IF(_xlfn.XLOOKUP(E132,Groups!A:A,Groups!N:N)="Snake",50*C132^(2/3)*S132,
IF(_xlfn.XLOOKUP(E132,Groups!A:A,Groups!N:N)="StrongBitingHerbivore",87.1133638856975*C132^(2/3)*S132,
IF(_xlfn.XLOOKUP(E132,Groups!A:A,Groups!N:N)="MiscEctotherms",59.4316884072269*C132^(2/3)*S132,
IF(_xlfn.XLOOKUP(E132,Groups!A:A,Groups!N:N)="StrongBeakBird",0.041*(C132*1000)^1.375*S132,
IF(_xlfn.XLOOKUP(E132,Groups!A:A,Groups!N:N)="Bird",0.118*(C132*1000)^0.692*S132,
IF(_xlfn.XLOOKUP(E132,Groups!A:A,Groups!N:N)="Insect",EXP(0.7444*LN(C132)+6.5696)*S132,
IF(_xlfn.XLOOKUP(E132,Groups!A:A,Groups!N:N)="Theropod",EXP(0.6966*LN(C132)+4.158)*S132,
"No"))))))))))))))))</f>
        <v>6532.0747536068466</v>
      </c>
      <c r="AU132" s="8">
        <f>IF(_xlfn.XLOOKUP(E132,Groups!A:A,Groups!U:U)=3,AS132,IF(_xlfn.XLOOKUP(E132,Groups!A:A,Groups!U:U)=2,AR132,AT132))</f>
        <v>6532.0747536068466</v>
      </c>
      <c r="AV132" s="46">
        <f>IFERROR(AVERAGE(_xlfn.XLOOKUP(B132,Animals!B:B,Animals!N:N),_xlfn.XLOOKUP(B132,Animals!B:B,Animals!O:O)),0)</f>
        <v>0</v>
      </c>
      <c r="AW132" s="8">
        <f>MROUND(40*Animals!AO132*_xlfn.XLOOKUP(AG132,Leathers!$A$2:$A$99,Leathers!$B$2:$B$99,0)+(140*_xlfn.XLOOKUP(B132,Animals!B:B,Animals!AO:AO)*2),5)</f>
        <v>515</v>
      </c>
      <c r="AX132" s="8">
        <f>IFERROR(ROUND(SQRT(V132-1)*IF(_xlfn.XLOOKUP(E132,Groups!A:A,Groups!BF:BF)=0,2,1)*IF(_xlfn.XLOOKUP('Base stats'!E132,Groups!A:A,Groups!O:O)=0,1,0.1),1),0)</f>
        <v>3.8</v>
      </c>
      <c r="AY132" s="8">
        <f t="shared" si="59"/>
        <v>2.1</v>
      </c>
      <c r="AZ132" s="8">
        <f t="shared" si="60"/>
        <v>0</v>
      </c>
      <c r="BA132" s="8">
        <f t="shared" si="61"/>
        <v>4</v>
      </c>
      <c r="BB132" s="8">
        <f>IF(_xlfn.XLOOKUP(E132,Groups!A:A,Groups!N:N)="Insect",BD132*2.5,IFERROR(AVERAGE(BD132,AT132/9.81/IF(OR(_xlfn.XLOOKUP(E132,Groups!A:A,Groups!N:N)="Pig",_xlfn.XLOOKUP(E132,Groups!A:A,Groups!N:N)="StrongBitingHerbivore"),20,25))*C132^-0.135,BD132))</f>
        <v>7.6989437312914362</v>
      </c>
      <c r="BC132" s="8" t="str">
        <f>IF(W132="No","No",IF(_xlfn.XLOOKUP(E132,Groups!A:A,Groups!U:U)=1,'Base stats'!BB132,IF(OR(_xlfn.XLOOKUP(E132,Groups!A:A,Groups!BD:BD)=1,_xlfn.XLOOKUP(E132,Groups!A:A,Groups!U:U)=2),BD132,IF(_xlfn.XLOOKUP(B132,Animals!B:B,Animals!AO:AO)&gt;4,AVERAGE(BD132,BF132),BF132))))</f>
        <v>No</v>
      </c>
      <c r="BD132" s="8">
        <f t="shared" si="62"/>
        <v>1.6582866302091877</v>
      </c>
      <c r="BE132" s="8">
        <f>IF(_xlfn.XLOOKUP(E132,Groups!A:A,Groups!BE:BE)=1,(0.048*C132^1.01)+(0.071*C132^1.03),0.071*C132^1.03)/IF(_xlfn.XLOOKUP(E132,Groups!A:A,Groups!M:M)=1,0.85,IF(OR(_xlfn.XLOOKUP(B132,Animals!B:B,Animals!AO:AO)&gt;4,_xlfn.XLOOKUP(E132,Groups!A:A,Groups!BC:BC)=1),1.7,1))*C132^-0.25</f>
        <v>2.3868127158816637</v>
      </c>
      <c r="BF132" s="8">
        <f>(0.048*C132^1.01)/IF(_xlfn.XLOOKUP(E132,Groups!A:A,Groups!M:M)=1,0.25,0.8)*C132^-0.25</f>
        <v>1.8431839525028992</v>
      </c>
      <c r="BG132" s="8">
        <f>EXP(1.076*LN(AR132)-4.5397)*IF(_xlfn.XLOOKUP(E132,Groups!A:A,Groups!BC:BC)=1,1.25,IF(_xlfn.XLOOKUP(E132,Groups!A:A,Groups!BD:BD)=1,3.5,2.5))</f>
        <v>118.17780921423952</v>
      </c>
      <c r="BH132" s="8">
        <f>EXP(1.076*LN(AS132)-4.5397)*IF(_xlfn.XLOOKUP(E132,Groups!A:A,Groups!M:M)=1,0.8,IF(_xlfn.XLOOKUP(E132,Groups!A:A,Groups!BC:BC)=1,1.3,3))</f>
        <v>149.59786270514047</v>
      </c>
      <c r="BI132" s="8" t="str">
        <f>IF(W132="No","No",IF(_xlfn.XLOOKUP(E132,Groups!A:A,Groups!U:U)=1,'Base stats'!BJ132,IF(OR(_xlfn.XLOOKUP(E132,Groups!A:A,Groups!BD:BD)=1,_xlfn.XLOOKUP(E132,Groups!A:A,Groups!U:U)=2),BG132,BH132))*1.2)</f>
        <v>No</v>
      </c>
      <c r="BJ132" s="8">
        <f>IFERROR(EXP(1.076*LN(AT132)-4.5397)*IF(_xlfn.XLOOKUP(E132,Groups!A:A,Groups!N:N)="Insect",1,IF(OR(_xlfn.XLOOKUP(E132,Groups!A:A,Groups!N:N)="Pig",_xlfn.XLOOKUP(E132,Groups!A:A,Groups!N:N)="StrongBitingHerbivore"),3.5,3.75)),"No")</f>
        <v>509.87021374925024</v>
      </c>
      <c r="BK132" s="8">
        <f t="shared" si="63"/>
        <v>11</v>
      </c>
      <c r="BL132" s="8">
        <f t="shared" si="64"/>
        <v>11</v>
      </c>
      <c r="BM132" s="8" t="str">
        <f t="shared" si="65"/>
        <v>No</v>
      </c>
      <c r="BN132" s="8">
        <f t="shared" si="66"/>
        <v>11</v>
      </c>
      <c r="BO132" s="8">
        <f t="shared" si="67"/>
        <v>12</v>
      </c>
      <c r="BP132" s="8" cm="1">
        <f t="array" ref="BP132">IF(AND(_xlfn.XLOOKUP('Base stats'!E132,Groups!A:A,Groups!AD:AD=0),_xlfn.XLOOKUP('Base stats'!E132,Groups!A:A,Groups!P:P=0)),"No",IF(U132="No",AVERAGE(EXP(-0.57+0.99*LN(C132)),EXP(0.32+0.67*LN(C132)))/IF(_xlfn.XLOOKUP(E132,Groups!A:A,Groups!AD:AD)=1,10,2),(0.7354*C132^0.4078)*2/IF(_xlfn.XLOOKUP(E132,Groups!A:A,Groups!BK:BK)=1,1000,100)/IF(_xlfn.XLOOKUP(E132,Groups!A:A,Groups!AJ:AJ)="Photonozoa",3,1)))</f>
        <v>9.2399687029971422E-2</v>
      </c>
      <c r="BQ132" s="8" t="str">
        <f>IF(W132="No","No",IF(_xlfn.XLOOKUP(E132,Groups!A:A,Groups!BD:BD)=1,(AO132*5%),EXP(0.7354*LN(C132)^0.4078)*2/IF(_xlfn.XLOOKUP(E132,Groups!A:A,Groups!BL:BL)=1,1000,100)/IF(_xlfn.XLOOKUP(E132,Groups!A:A,Groups!AJ:AJ)="Photonozoa",3,1)))</f>
        <v>No</v>
      </c>
      <c r="BR132" s="8">
        <f>IF(BJ132="No","No",IF(_xlfn.XLOOKUP(E132,Groups!A:A,Groups!BF:BF)=1,(0.0315*C132+2.1825)*2,(0.7354*C132^0.4078)*2)/IF(_xlfn.XLOOKUP(E132,Groups!A:A,Groups!BM:BM)=1,1000,100)/IF(_xlfn.XLOOKUP(E132,Groups!A:A,Groups!AJ:AJ)="Photonozoa",3,1))</f>
        <v>9.2399687029971422E-2</v>
      </c>
      <c r="BS132" s="8">
        <f t="shared" si="68"/>
        <v>0.11379144780734962</v>
      </c>
      <c r="BT132" s="8">
        <f t="shared" si="69"/>
        <v>1619.0299720021328</v>
      </c>
      <c r="BU132" s="8" t="str">
        <f t="shared" si="70"/>
        <v>No</v>
      </c>
      <c r="BV132" s="8">
        <f t="shared" si="71"/>
        <v>5518.094596834133</v>
      </c>
      <c r="BW132" s="4">
        <v>0</v>
      </c>
      <c r="BX132" s="4">
        <v>1</v>
      </c>
    </row>
    <row r="133" spans="1:76" x14ac:dyDescent="0.25">
      <c r="A133" s="26" t="s">
        <v>236</v>
      </c>
      <c r="B133" s="6" t="s">
        <v>247</v>
      </c>
      <c r="C133" s="7">
        <v>2.5550000000000002</v>
      </c>
      <c r="D133" s="7" t="s">
        <v>598</v>
      </c>
      <c r="E133" s="7" t="str">
        <f>Groups!$A$46</f>
        <v>Monkey</v>
      </c>
      <c r="F133" s="7">
        <v>135</v>
      </c>
      <c r="G133" s="7">
        <f>595 /365</f>
        <v>1.6301369863013699</v>
      </c>
      <c r="H133" s="7">
        <v>37.299999999999997</v>
      </c>
      <c r="I133" s="4">
        <v>0</v>
      </c>
      <c r="J133" s="7">
        <v>1.1000000000000001</v>
      </c>
      <c r="K133" s="7" t="s">
        <v>598</v>
      </c>
      <c r="L133" s="7">
        <f>MIN(23.6*C133^0.165,23.3*C133^0.225)</f>
        <v>27.550627963558679</v>
      </c>
      <c r="M133" s="7" t="s">
        <v>626</v>
      </c>
      <c r="N133" s="4">
        <v>0</v>
      </c>
      <c r="O133" s="4">
        <v>0</v>
      </c>
      <c r="P133" s="4">
        <v>0</v>
      </c>
      <c r="Q133" s="4">
        <v>0</v>
      </c>
      <c r="R133" s="4" t="s">
        <v>40</v>
      </c>
      <c r="S133" s="7">
        <f>_xlfn.XLOOKUP(B133,[1]TeethAdjusters!$A:$A,[1]BiteAdjusters!$C:$C,1)</f>
        <v>0.9222456923748853</v>
      </c>
      <c r="T133" s="7">
        <f>_xlfn.XLOOKUP(B133,[1]TeethAdjusters!$A:$A,[1]TeethAdjusters!$B:$B,1)</f>
        <v>0.95146295544256565</v>
      </c>
      <c r="U133" s="7" t="s">
        <v>45</v>
      </c>
      <c r="V133" s="7">
        <f>IF(AT133="No","No",IF(_xlfn.XLOOKUP(E133,Groups!A:A,Groups!AM:AM)=1,MROUND(EXP(0.3582*LN(C133)-0.2221)*T133,0.05),IF(_xlfn.XLOOKUP(E133,Groups!A:A,Groups!AM:AM)=2,MROUND(EXP(0.3582*LN(C133)-0.2221)*T133,0.05),"Need a formula")))</f>
        <v>1.05</v>
      </c>
      <c r="W133" s="7" t="s">
        <v>45</v>
      </c>
      <c r="X133" s="7" t="s">
        <v>932</v>
      </c>
      <c r="Y133" s="4" t="s">
        <v>1003</v>
      </c>
      <c r="Z133" s="4">
        <v>1</v>
      </c>
      <c r="AA133" s="4">
        <v>0</v>
      </c>
      <c r="AB133" s="4">
        <v>0</v>
      </c>
      <c r="AC133" s="4">
        <v>0</v>
      </c>
      <c r="AD133" s="4">
        <v>0</v>
      </c>
      <c r="AE133" s="4" t="s">
        <v>45</v>
      </c>
      <c r="AF133" s="4" t="s">
        <v>398</v>
      </c>
      <c r="AG133" s="49" t="s">
        <v>385</v>
      </c>
      <c r="AH133" s="4" t="str">
        <f>Animals!$C$31</f>
        <v>&lt;li&gt;Monkey&lt;/li&gt;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4" t="s">
        <v>40</v>
      </c>
      <c r="AO133" s="8">
        <f t="shared" si="57"/>
        <v>2042.3354075792172</v>
      </c>
      <c r="AP133" s="8">
        <f>IFERROR(C133*_xlfn.XLOOKUP(E133,Groups!A:A,Groups!K:K),0.106*C133^0.94)</f>
        <v>0.25600786952737459</v>
      </c>
      <c r="AQ133" s="8">
        <f>AP133*10000/(_xlfn.XLOOKUP(E133,Groups!A:A,Groups!J:J)*AO133)</f>
        <v>1.1500050589113424</v>
      </c>
      <c r="AR133" s="8">
        <f t="shared" si="58"/>
        <v>120.10576304501073</v>
      </c>
      <c r="AS133" s="8">
        <f>IF(_xlfn.XLOOKUP(E133,Groups!A:A,Groups!M:M)=1,EXP(0.7444*LN('Base stats'!C133)+6.5696),EXP(0.7927*LN('Base stats'!C133)+4.28))</f>
        <v>151.95645471919045</v>
      </c>
      <c r="AT133" s="8">
        <f>IF(_xlfn.XLOOKUP(E133,Groups!A:A,Groups!N:N)="No","No",
IF(_xlfn.XLOOKUP(E133,Groups!A:A,Groups!N:N)="Crocodile",EXP(0.8129*LN(C133)+4.6742)*S133,
IF(_xlfn.XLOOKUP(E133,Groups!A:A,Groups!N:N)="Felid",EXP(0.7843*LN(C133)+4.7073)*S133,
IF(_xlfn.XLOOKUP(E133,Groups!A:A,Groups!N:N)="Canid",EXP(0.8367*LN(C133)+4.8763)*S133,
IF(_xlfn.XLOOKUP(E133,Groups!A:A,Groups!N:N)="Pig",EXP(0.3439*LN(C133)+6.8519)*S133,
IF(_xlfn.XLOOKUP(E133,Groups!A:A,Groups!N:N)="Rodent",EXP(0.5625*LN(C133)+4.3006)*S133,
IF(_xlfn.XLOOKUP(E133,Groups!A:A,Groups!N:N)="Primate",EXP(0.7847*LN(C133)+3.4931)*S133,
IF(_xlfn.XLOOKUP(E133,Groups!A:A,Groups!N:N)="MiscCarnivora",EXP(0.7486*LN(C133)+4.2207)*S133,
IF(_xlfn.XLOOKUP(E133,Groups!A:A,Groups!N:N)="Lizard",EXP(0.7733*LN(C133)+5.5303)*S133,
IF(_xlfn.XLOOKUP(E133,Groups!A:A,Groups!N:N)="Snake",50*C133^(2/3)*S133,
IF(_xlfn.XLOOKUP(E133,Groups!A:A,Groups!N:N)="StrongBitingHerbivore",87.1133638856975*C133^(2/3)*S133,
IF(_xlfn.XLOOKUP(E133,Groups!A:A,Groups!N:N)="MiscEctotherms",59.4316884072269*C133^(2/3)*S133,
IF(_xlfn.XLOOKUP(E133,Groups!A:A,Groups!N:N)="StrongBeakBird",0.041*(C133*1000)^1.375*S133,
IF(_xlfn.XLOOKUP(E133,Groups!A:A,Groups!N:N)="Bird",0.118*(C133*1000)^0.692*S133,
IF(_xlfn.XLOOKUP(E133,Groups!A:A,Groups!N:N)="Insect",EXP(0.7444*LN(C133)+6.5696)*S133,
IF(_xlfn.XLOOKUP(E133,Groups!A:A,Groups!N:N)="Theropod",EXP(0.6966*LN(C133)+4.158)*S133,
"No"))))))))))))))))</f>
        <v>63.322832467971779</v>
      </c>
      <c r="AU133" s="8">
        <f>IF(_xlfn.XLOOKUP(E133,Groups!A:A,Groups!U:U)=3,AS133,IF(_xlfn.XLOOKUP(E133,Groups!A:A,Groups!U:U)=2,AR133,AT133))</f>
        <v>63.322832467971779</v>
      </c>
      <c r="AV133" s="46">
        <f>IFERROR(AVERAGE(_xlfn.XLOOKUP(B133,Animals!B:B,Animals!N:N),_xlfn.XLOOKUP(B133,Animals!B:B,Animals!O:O)),0)</f>
        <v>0</v>
      </c>
      <c r="AW133" s="8">
        <f>MROUND(40*Animals!AO133*_xlfn.XLOOKUP(AG133,Leathers!$A$2:$A$99,Leathers!$B$2:$B$99,0)+(140*_xlfn.XLOOKUP(B133,Animals!B:B,Animals!AO:AO)*2),5)</f>
        <v>90</v>
      </c>
      <c r="AX133" s="8">
        <f>IFERROR(ROUND(SQRT(V133-1)*IF(_xlfn.XLOOKUP(E133,Groups!A:A,Groups!BF:BF)=0,2,1)*IF(_xlfn.XLOOKUP('Base stats'!E133,Groups!A:A,Groups!O:O)=0,1,0.1),1),0)</f>
        <v>0.4</v>
      </c>
      <c r="AY133" s="8">
        <f t="shared" si="59"/>
        <v>0</v>
      </c>
      <c r="AZ133" s="8">
        <f t="shared" si="60"/>
        <v>0</v>
      </c>
      <c r="BA133" s="8">
        <f t="shared" si="61"/>
        <v>0.8</v>
      </c>
      <c r="BB133" s="8">
        <f>IF(_xlfn.XLOOKUP(E133,Groups!A:A,Groups!N:N)="Insect",BD133*2.5,IFERROR(AVERAGE(BD133,AT133/9.81/IF(OR(_xlfn.XLOOKUP(E133,Groups!A:A,Groups!N:N)="Pig",_xlfn.XLOOKUP(E133,Groups!A:A,Groups!N:N)="StrongBitingHerbivore"),20,25))*C133^-0.135,BD133))</f>
        <v>0.14877197046602339</v>
      </c>
      <c r="BC133" s="8" t="str">
        <f>IF(W133="No","No",IF(_xlfn.XLOOKUP(E133,Groups!A:A,Groups!U:U)=1,'Base stats'!BB133,IF(OR(_xlfn.XLOOKUP(E133,Groups!A:A,Groups!BD:BD)=1,_xlfn.XLOOKUP(E133,Groups!A:A,Groups!U:U)=2),BD133,IF(_xlfn.XLOOKUP(B133,Animals!B:B,Animals!AO:AO)&gt;4,AVERAGE(BD133,BF133),BF133))))</f>
        <v>No</v>
      </c>
      <c r="BD133" s="8">
        <f t="shared" si="62"/>
        <v>7.9516784362456086E-2</v>
      </c>
      <c r="BE133" s="8">
        <f>IF(_xlfn.XLOOKUP(E133,Groups!A:A,Groups!BE:BE)=1,(0.048*C133^1.01)+(0.071*C133^1.03),0.071*C133^1.03)/IF(_xlfn.XLOOKUP(E133,Groups!A:A,Groups!M:M)=1,0.85,IF(OR(_xlfn.XLOOKUP(B133,Animals!B:B,Animals!AO:AO)&gt;4,_xlfn.XLOOKUP(E133,Groups!A:A,Groups!BC:BC)=1),1.7,1))*C133^-0.25</f>
        <v>0.14757855517858257</v>
      </c>
      <c r="BF133" s="8">
        <f>(0.048*C133^1.01)/IF(_xlfn.XLOOKUP(E133,Groups!A:A,Groups!M:M)=1,0.25,0.8)*C133^-0.25</f>
        <v>0.1223963136272683</v>
      </c>
      <c r="BG133" s="8">
        <f>EXP(1.076*LN(AR133)-4.5397)*IF(_xlfn.XLOOKUP(E133,Groups!A:A,Groups!BC:BC)=1,1.25,IF(_xlfn.XLOOKUP(E133,Groups!A:A,Groups!BD:BD)=1,3.5,2.5))</f>
        <v>4.6130063052043973</v>
      </c>
      <c r="BH133" s="8">
        <f>EXP(1.076*LN(AS133)-4.5397)*IF(_xlfn.XLOOKUP(E133,Groups!A:A,Groups!M:M)=1,0.8,IF(_xlfn.XLOOKUP(E133,Groups!A:A,Groups!BC:BC)=1,1.3,3))</f>
        <v>7.1299158362536685</v>
      </c>
      <c r="BI133" s="8" t="str">
        <f>IF(W133="No","No",IF(_xlfn.XLOOKUP(E133,Groups!A:A,Groups!U:U)=1,'Base stats'!BJ133,IF(OR(_xlfn.XLOOKUP(E133,Groups!A:A,Groups!BD:BD)=1,_xlfn.XLOOKUP(E133,Groups!A:A,Groups!U:U)=2),BG133,BH133))*1.2)</f>
        <v>No</v>
      </c>
      <c r="BJ133" s="8">
        <f>IFERROR(EXP(1.076*LN(AT133)-4.5397)*IF(_xlfn.XLOOKUP(E133,Groups!A:A,Groups!N:N)="Insect",1,IF(OR(_xlfn.XLOOKUP(E133,Groups!A:A,Groups!N:N)="Pig",_xlfn.XLOOKUP(E133,Groups!A:A,Groups!N:N)="StrongBitingHerbivore"),3.5,3.75)),"No")</f>
        <v>3.4749097242728064</v>
      </c>
      <c r="BK133" s="8">
        <f t="shared" si="63"/>
        <v>10</v>
      </c>
      <c r="BL133" s="8">
        <f t="shared" si="64"/>
        <v>9</v>
      </c>
      <c r="BM133" s="8" t="str">
        <f t="shared" si="65"/>
        <v>No</v>
      </c>
      <c r="BN133" s="8">
        <f t="shared" si="66"/>
        <v>6</v>
      </c>
      <c r="BO133" s="8">
        <f t="shared" si="67"/>
        <v>10</v>
      </c>
      <c r="BP133" s="8" cm="1">
        <f t="array" ref="BP133">IF(AND(_xlfn.XLOOKUP('Base stats'!E133,Groups!A:A,Groups!AD:AD=0),_xlfn.XLOOKUP('Base stats'!E133,Groups!A:A,Groups!P:P=0)),"No",IF(U133="No",AVERAGE(EXP(-0.57+0.99*LN(C133)),EXP(0.32+0.67*LN(C133)))/IF(_xlfn.XLOOKUP(E133,Groups!A:A,Groups!AD:AD)=1,10,2),(0.7354*C133^0.4078)*2/IF(_xlfn.XLOOKUP(E133,Groups!A:A,Groups!BK:BK)=1,1000,100)/IF(_xlfn.XLOOKUP(E133,Groups!A:A,Groups!AJ:AJ)="Photonozoa",3,1)))</f>
        <v>0.20066239279957276</v>
      </c>
      <c r="BQ133" s="8" t="str">
        <f>IF(W133="No","No",IF(_xlfn.XLOOKUP(E133,Groups!A:A,Groups!BD:BD)=1,(AO133*5%),EXP(0.7354*LN(C133)^0.4078)*2/IF(_xlfn.XLOOKUP(E133,Groups!A:A,Groups!BL:BL)=1,1000,100)/IF(_xlfn.XLOOKUP(E133,Groups!A:A,Groups!AJ:AJ)="Photonozoa",3,1)))</f>
        <v>No</v>
      </c>
      <c r="BR133" s="8">
        <f>IF(BJ133="No","No",IF(_xlfn.XLOOKUP(E133,Groups!A:A,Groups!BF:BF)=1,(0.0315*C133+2.1825)*2,(0.7354*C133^0.4078)*2)/IF(_xlfn.XLOOKUP(E133,Groups!A:A,Groups!BM:BM)=1,1000,100)/IF(_xlfn.XLOOKUP(E133,Groups!A:A,Groups!AJ:AJ)="Photonozoa",3,1))</f>
        <v>2.1561930012640517E-2</v>
      </c>
      <c r="BS133" s="8">
        <f t="shared" si="68"/>
        <v>4.5173836658614262E-2</v>
      </c>
      <c r="BT133" s="8">
        <f t="shared" si="69"/>
        <v>35.531898811628487</v>
      </c>
      <c r="BU133" s="8" t="str">
        <f t="shared" si="70"/>
        <v>No</v>
      </c>
      <c r="BV133" s="8">
        <f t="shared" si="71"/>
        <v>161.15949371116903</v>
      </c>
      <c r="BW133" s="4">
        <v>0</v>
      </c>
      <c r="BX133" s="4">
        <v>1</v>
      </c>
    </row>
    <row r="134" spans="1:76" x14ac:dyDescent="0.25">
      <c r="A134" s="26" t="s">
        <v>111</v>
      </c>
      <c r="B134" s="6" t="s">
        <v>112</v>
      </c>
      <c r="C134" s="7">
        <v>18.2499</v>
      </c>
      <c r="D134" s="7" t="s">
        <v>928</v>
      </c>
      <c r="E134" s="7" t="str">
        <f>Groups!$A$46</f>
        <v>Monkey</v>
      </c>
      <c r="F134" s="7">
        <v>173</v>
      </c>
      <c r="G134" s="7">
        <f>1186 /365</f>
        <v>3.2493150684931509</v>
      </c>
      <c r="H134" s="7">
        <v>40</v>
      </c>
      <c r="I134" s="4">
        <v>0</v>
      </c>
      <c r="J134" s="7">
        <v>1</v>
      </c>
      <c r="K134" s="7" t="s">
        <v>602</v>
      </c>
      <c r="L134" s="7">
        <f>MIN(23.6*C134^0.165,23.3*C134^0.225)</f>
        <v>38.108335819833258</v>
      </c>
      <c r="M134" s="7" t="s">
        <v>626</v>
      </c>
      <c r="N134" s="4">
        <v>0</v>
      </c>
      <c r="O134" s="4">
        <v>0</v>
      </c>
      <c r="P134" s="4">
        <v>0</v>
      </c>
      <c r="Q134" s="4">
        <v>0</v>
      </c>
      <c r="R134" s="4" t="s">
        <v>40</v>
      </c>
      <c r="S134" s="7">
        <f>_xlfn.XLOOKUP(B134,[1]TeethAdjusters!$A:$A,[1]BiteAdjusters!$C:$C,1)</f>
        <v>1</v>
      </c>
      <c r="T134" s="7">
        <f>_xlfn.XLOOKUP(B134,[1]TeethAdjusters!$A:$A,[1]TeethAdjusters!$B:$B,1)</f>
        <v>2.0388052907867817</v>
      </c>
      <c r="U134" s="7" t="s">
        <v>45</v>
      </c>
      <c r="V134" s="7">
        <f>IF(AT134="No","No",IF(_xlfn.XLOOKUP(E134,Groups!A:A,Groups!AM:AM)=1,MROUND(EXP(0.3582*LN(C134)-0.2221)*T134,0.05),IF(_xlfn.XLOOKUP(E134,Groups!A:A,Groups!AM:AM)=2,MROUND(EXP(0.3582*LN(C134)-0.2221)*T134,0.05),"Need a formula")))</f>
        <v>4.6000000000000005</v>
      </c>
      <c r="W134" s="7" t="s">
        <v>45</v>
      </c>
      <c r="X134" s="7" t="s">
        <v>932</v>
      </c>
      <c r="Y134" s="4" t="s">
        <v>1003</v>
      </c>
      <c r="Z134" s="4">
        <v>1</v>
      </c>
      <c r="AA134" s="4">
        <v>0</v>
      </c>
      <c r="AB134" s="4">
        <v>0</v>
      </c>
      <c r="AC134" s="4">
        <v>0</v>
      </c>
      <c r="AD134" s="4">
        <v>0</v>
      </c>
      <c r="AE134" s="4" t="s">
        <v>1045</v>
      </c>
      <c r="AF134" s="4" t="s">
        <v>398</v>
      </c>
      <c r="AG134" s="49" t="s">
        <v>385</v>
      </c>
      <c r="AH134" s="4" t="str">
        <f>Animals!$C$31</f>
        <v>&lt;li&gt;Monkey&lt;/li&gt;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4" t="s">
        <v>40</v>
      </c>
      <c r="AO134" s="8">
        <f t="shared" si="57"/>
        <v>7330.6468262026883</v>
      </c>
      <c r="AP134" s="8">
        <f>IFERROR(C134*_xlfn.XLOOKUP(E134,Groups!A:A,Groups!K:K),0.106*C134^0.94)</f>
        <v>1.6251397948112214</v>
      </c>
      <c r="AQ134" s="8">
        <f>AP134*10000/(_xlfn.XLOOKUP(E134,Groups!A:A,Groups!J:J)*AO134)</f>
        <v>2.0338640989557843</v>
      </c>
      <c r="AR134" s="8">
        <f t="shared" si="58"/>
        <v>632.16068774693792</v>
      </c>
      <c r="AS134" s="8">
        <f>IF(_xlfn.XLOOKUP(E134,Groups!A:A,Groups!M:M)=1,EXP(0.7444*LN('Base stats'!C134)+6.5696),EXP(0.7927*LN('Base stats'!C134)+4.28))</f>
        <v>722.07377518192425</v>
      </c>
      <c r="AT134" s="8">
        <f>IF(_xlfn.XLOOKUP(E134,Groups!A:A,Groups!N:N)="No","No",
IF(_xlfn.XLOOKUP(E134,Groups!A:A,Groups!N:N)="Crocodile",EXP(0.8129*LN(C134)+4.6742)*S134,
IF(_xlfn.XLOOKUP(E134,Groups!A:A,Groups!N:N)="Felid",EXP(0.7843*LN(C134)+4.7073)*S134,
IF(_xlfn.XLOOKUP(E134,Groups!A:A,Groups!N:N)="Canid",EXP(0.8367*LN(C134)+4.8763)*S134,
IF(_xlfn.XLOOKUP(E134,Groups!A:A,Groups!N:N)="Pig",EXP(0.3439*LN(C134)+6.8519)*S134,
IF(_xlfn.XLOOKUP(E134,Groups!A:A,Groups!N:N)="Rodent",EXP(0.5625*LN(C134)+4.3006)*S134,
IF(_xlfn.XLOOKUP(E134,Groups!A:A,Groups!N:N)="Primate",EXP(0.7847*LN(C134)+3.4931)*S134,
IF(_xlfn.XLOOKUP(E134,Groups!A:A,Groups!N:N)="MiscCarnivora",EXP(0.7486*LN(C134)+4.2207)*S134,
IF(_xlfn.XLOOKUP(E134,Groups!A:A,Groups!N:N)="Lizard",EXP(0.7733*LN(C134)+5.5303)*S134,
IF(_xlfn.XLOOKUP(E134,Groups!A:A,Groups!N:N)="Snake",50*C134^(2/3)*S134,
IF(_xlfn.XLOOKUP(E134,Groups!A:A,Groups!N:N)="StrongBitingHerbivore",87.1133638856975*C134^(2/3)*S134,
IF(_xlfn.XLOOKUP(E134,Groups!A:A,Groups!N:N)="MiscEctotherms",59.4316884072269*C134^(2/3)*S134,
IF(_xlfn.XLOOKUP(E134,Groups!A:A,Groups!N:N)="StrongBeakBird",0.041*(C134*1000)^1.375*S134,
IF(_xlfn.XLOOKUP(E134,Groups!A:A,Groups!N:N)="Bird",0.118*(C134*1000)^0.692*S134,
IF(_xlfn.XLOOKUP(E134,Groups!A:A,Groups!N:N)="Insect",EXP(0.7444*LN(C134)+6.5696)*S134,
IF(_xlfn.XLOOKUP(E134,Groups!A:A,Groups!N:N)="Theropod",EXP(0.6966*LN(C134)+4.158)*S134,
"No"))))))))))))))))</f>
        <v>321.17753492958173</v>
      </c>
      <c r="AU134" s="8">
        <f>IF(_xlfn.XLOOKUP(E134,Groups!A:A,Groups!U:U)=3,AS134,IF(_xlfn.XLOOKUP(E134,Groups!A:A,Groups!U:U)=2,AR134,AT134))</f>
        <v>321.17753492958173</v>
      </c>
      <c r="AV134" s="46">
        <f>IFERROR(AVERAGE(_xlfn.XLOOKUP(B134,Animals!B:B,Animals!N:N),_xlfn.XLOOKUP(B134,Animals!B:B,Animals!O:O)),0)</f>
        <v>0</v>
      </c>
      <c r="AW134" s="8">
        <f>MROUND(40*Animals!AO134*_xlfn.XLOOKUP(AG134,Leathers!$A$2:$A$99,Leathers!$B$2:$B$99,0)+(140*_xlfn.XLOOKUP(B134,Animals!B:B,Animals!AO:AO)*2),5)</f>
        <v>195</v>
      </c>
      <c r="AX134" s="8">
        <f>IFERROR(ROUND(SQRT(V134-1)*IF(_xlfn.XLOOKUP(E134,Groups!A:A,Groups!BF:BF)=0,2,1)*IF(_xlfn.XLOOKUP('Base stats'!E134,Groups!A:A,Groups!O:O)=0,1,0.1),1),0)</f>
        <v>3.8</v>
      </c>
      <c r="AY134" s="8">
        <f t="shared" si="59"/>
        <v>0</v>
      </c>
      <c r="AZ134" s="8">
        <f t="shared" si="60"/>
        <v>0</v>
      </c>
      <c r="BA134" s="8">
        <f t="shared" si="61"/>
        <v>2.2000000000000002</v>
      </c>
      <c r="BB134" s="8">
        <f>IF(_xlfn.XLOOKUP(E134,Groups!A:A,Groups!N:N)="Insect",BD134*2.5,IFERROR(AVERAGE(BD134,AT134/9.81/IF(OR(_xlfn.XLOOKUP(E134,Groups!A:A,Groups!N:N)="Pig",_xlfn.XLOOKUP(E134,Groups!A:A,Groups!N:N)="StrongBitingHerbivore"),20,25))*C134^-0.135,BD134))</f>
        <v>0.56071895798608451</v>
      </c>
      <c r="BC134" s="8" t="str">
        <f>IF(W134="No","No",IF(_xlfn.XLOOKUP(E134,Groups!A:A,Groups!U:U)=1,'Base stats'!BB134,IF(OR(_xlfn.XLOOKUP(E134,Groups!A:A,Groups!BD:BD)=1,_xlfn.XLOOKUP(E134,Groups!A:A,Groups!U:U)=2),BD134,IF(_xlfn.XLOOKUP(B134,Animals!B:B,Animals!AO:AO)&gt;4,AVERAGE(BD134,BF134),BF134))))</f>
        <v>No</v>
      </c>
      <c r="BD134" s="8">
        <f t="shared" si="62"/>
        <v>0.35016801621257826</v>
      </c>
      <c r="BE134" s="8">
        <f>IF(_xlfn.XLOOKUP(E134,Groups!A:A,Groups!BE:BE)=1,(0.048*C134^1.01)+(0.071*C134^1.03),0.071*C134^1.03)/IF(_xlfn.XLOOKUP(E134,Groups!A:A,Groups!M:M)=1,0.85,IF(OR(_xlfn.XLOOKUP(B134,Animals!B:B,Animals!AO:AO)&gt;4,_xlfn.XLOOKUP(E134,Groups!A:A,Groups!BC:BC)=1),1.7,1))*C134^-0.25</f>
        <v>0.68397705071897208</v>
      </c>
      <c r="BF134" s="8">
        <f>(0.048*C134^1.01)/IF(_xlfn.XLOOKUP(E134,Groups!A:A,Groups!M:M)=1,0.25,0.8)*C134^-0.25</f>
        <v>0.54539257619515014</v>
      </c>
      <c r="BG134" s="8">
        <f>EXP(1.076*LN(AR134)-4.5397)*IF(_xlfn.XLOOKUP(E134,Groups!A:A,Groups!BC:BC)=1,1.25,IF(_xlfn.XLOOKUP(E134,Groups!A:A,Groups!BD:BD)=1,3.5,2.5))</f>
        <v>27.54632853435314</v>
      </c>
      <c r="BH134" s="8">
        <f>EXP(1.076*LN(AS134)-4.5397)*IF(_xlfn.XLOOKUP(E134,Groups!A:A,Groups!M:M)=1,0.8,IF(_xlfn.XLOOKUP(E134,Groups!A:A,Groups!BC:BC)=1,1.3,3))</f>
        <v>38.140674314624789</v>
      </c>
      <c r="BI134" s="8" t="str">
        <f>IF(W134="No","No",IF(_xlfn.XLOOKUP(E134,Groups!A:A,Groups!U:U)=1,'Base stats'!BJ134,IF(OR(_xlfn.XLOOKUP(E134,Groups!A:A,Groups!BD:BD)=1,_xlfn.XLOOKUP(E134,Groups!A:A,Groups!U:U)=2),BG134,BH134))*1.2)</f>
        <v>No</v>
      </c>
      <c r="BJ134" s="8">
        <f>IFERROR(EXP(1.076*LN(AT134)-4.5397)*IF(_xlfn.XLOOKUP(E134,Groups!A:A,Groups!N:N)="Insect",1,IF(OR(_xlfn.XLOOKUP(E134,Groups!A:A,Groups!N:N)="Pig",_xlfn.XLOOKUP(E134,Groups!A:A,Groups!N:N)="StrongBitingHerbivore"),3.5,3.75)),"No")</f>
        <v>19.939873599539972</v>
      </c>
      <c r="BK134" s="8">
        <f t="shared" si="63"/>
        <v>12</v>
      </c>
      <c r="BL134" s="8">
        <f t="shared" si="64"/>
        <v>10</v>
      </c>
      <c r="BM134" s="8" t="str">
        <f t="shared" si="65"/>
        <v>No</v>
      </c>
      <c r="BN134" s="8">
        <f t="shared" si="66"/>
        <v>8</v>
      </c>
      <c r="BO134" s="8">
        <f t="shared" si="67"/>
        <v>11</v>
      </c>
      <c r="BP134" s="8" cm="1">
        <f t="array" ref="BP134">IF(AND(_xlfn.XLOOKUP('Base stats'!E134,Groups!A:A,Groups!AD:AD=0),_xlfn.XLOOKUP('Base stats'!E134,Groups!A:A,Groups!P:P=0)),"No",IF(U134="No",AVERAGE(EXP(-0.57+0.99*LN(C134)),EXP(0.32+0.67*LN(C134)))/IF(_xlfn.XLOOKUP(E134,Groups!A:A,Groups!AD:AD)=1,10,2),(0.7354*C134^0.4078)*2/IF(_xlfn.XLOOKUP(E134,Groups!A:A,Groups!BK:BK)=1,1000,100)/IF(_xlfn.XLOOKUP(E134,Groups!A:A,Groups!AJ:AJ)="Photonozoa",3,1)))</f>
        <v>0.98320339243405641</v>
      </c>
      <c r="BQ134" s="8" t="str">
        <f>IF(W134="No","No",IF(_xlfn.XLOOKUP(E134,Groups!A:A,Groups!BD:BD)=1,(AO134*5%),EXP(0.7354*LN(C134)^0.4078)*2/IF(_xlfn.XLOOKUP(E134,Groups!A:A,Groups!BL:BL)=1,1000,100)/IF(_xlfn.XLOOKUP(E134,Groups!A:A,Groups!AJ:AJ)="Photonozoa",3,1)))</f>
        <v>No</v>
      </c>
      <c r="BR134" s="8">
        <f>IF(BJ134="No","No",IF(_xlfn.XLOOKUP(E134,Groups!A:A,Groups!BF:BF)=1,(0.0315*C134+2.1825)*2,(0.7354*C134^0.4078)*2)/IF(_xlfn.XLOOKUP(E134,Groups!A:A,Groups!BM:BM)=1,1000,100)/IF(_xlfn.XLOOKUP(E134,Groups!A:A,Groups!AJ:AJ)="Photonozoa",3,1))</f>
        <v>4.807238272753759E-2</v>
      </c>
      <c r="BS134" s="8">
        <f t="shared" si="68"/>
        <v>7.5153882562972341E-2</v>
      </c>
      <c r="BT134" s="8">
        <f t="shared" si="69"/>
        <v>38.792252557430928</v>
      </c>
      <c r="BU134" s="8" t="str">
        <f t="shared" si="70"/>
        <v>No</v>
      </c>
      <c r="BV134" s="8">
        <f t="shared" si="71"/>
        <v>414.78854319650139</v>
      </c>
      <c r="BW134" s="4">
        <v>0</v>
      </c>
      <c r="BX134" s="4">
        <v>1</v>
      </c>
    </row>
    <row r="135" spans="1:76" x14ac:dyDescent="0.25">
      <c r="A135" s="26" t="s">
        <v>94</v>
      </c>
      <c r="B135" s="6" t="s">
        <v>95</v>
      </c>
      <c r="C135" s="7">
        <f>299.9991</f>
        <v>299.9991</v>
      </c>
      <c r="D135" s="7" t="s">
        <v>928</v>
      </c>
      <c r="E135" s="7" t="str">
        <f>Groups!$A$24</f>
        <v>Horse (WILD)</v>
      </c>
      <c r="F135" s="7">
        <v>401</v>
      </c>
      <c r="G135" s="7">
        <f>710 /365</f>
        <v>1.9452054794520548</v>
      </c>
      <c r="H135" s="7">
        <v>29.6</v>
      </c>
      <c r="I135" s="4">
        <v>1</v>
      </c>
      <c r="J135" s="7">
        <v>1</v>
      </c>
      <c r="K135" s="7" t="s">
        <v>607</v>
      </c>
      <c r="L135" s="7">
        <v>40</v>
      </c>
      <c r="M135" s="7" t="s">
        <v>626</v>
      </c>
      <c r="N135" s="4">
        <v>0</v>
      </c>
      <c r="O135" s="4">
        <v>0</v>
      </c>
      <c r="P135" s="4">
        <v>0</v>
      </c>
      <c r="Q135" s="4">
        <v>0</v>
      </c>
      <c r="R135" s="4" t="s">
        <v>40</v>
      </c>
      <c r="S135" s="7">
        <f>_xlfn.XLOOKUP(B135,[1]TeethAdjusters!$A:$A,[1]BiteAdjusters!$C:$C,1)</f>
        <v>1</v>
      </c>
      <c r="T135" s="7">
        <f>_xlfn.XLOOKUP(B135,[1]TeethAdjusters!$A:$A,[1]TeethAdjusters!$B:$B,1)</f>
        <v>1</v>
      </c>
      <c r="U135" s="7" t="s">
        <v>45</v>
      </c>
      <c r="V135" s="7">
        <v>1.5</v>
      </c>
      <c r="W135" s="7" t="s">
        <v>45</v>
      </c>
      <c r="X135" s="7" t="s">
        <v>932</v>
      </c>
      <c r="Y135" s="4" t="s">
        <v>42</v>
      </c>
      <c r="Z135" s="4">
        <v>1</v>
      </c>
      <c r="AA135" s="4">
        <v>0</v>
      </c>
      <c r="AB135" s="4">
        <v>0</v>
      </c>
      <c r="AC135" s="4">
        <v>0</v>
      </c>
      <c r="AD135" s="4">
        <v>0</v>
      </c>
      <c r="AE135" s="4" t="s">
        <v>45</v>
      </c>
      <c r="AF135" s="4" t="s">
        <v>45</v>
      </c>
      <c r="AG135" s="49" t="s">
        <v>392</v>
      </c>
      <c r="AH135" s="4" t="str">
        <f>Animals!$C$30</f>
        <v>&lt;li&gt;Pig&lt;/li&gt;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4" t="s">
        <v>40</v>
      </c>
      <c r="AO135" s="8">
        <f t="shared" si="57"/>
        <v>45232.537038047747</v>
      </c>
      <c r="AP135" s="8">
        <f>IFERROR(C135*_xlfn.XLOOKUP(E135,Groups!A:A,Groups!K:K),0.106*C135^0.94)</f>
        <v>22.583883248956447</v>
      </c>
      <c r="AQ135" s="8">
        <f>AP135*10000/(_xlfn.XLOOKUP(E135,Groups!A:A,Groups!J:J)*AO135)</f>
        <v>4.5805874047190045</v>
      </c>
      <c r="AR135" s="8">
        <f t="shared" si="58"/>
        <v>6727.6590375392534</v>
      </c>
      <c r="AS135" s="8">
        <f>IF(_xlfn.XLOOKUP(E135,Groups!A:A,Groups!M:M)=1,EXP(0.7444*LN('Base stats'!C135)+6.5696),EXP(0.7927*LN('Base stats'!C135)+4.28))</f>
        <v>6643.4453742121968</v>
      </c>
      <c r="AT135" s="8">
        <f>IF(_xlfn.XLOOKUP(E135,Groups!A:A,Groups!N:N)="No","No",
IF(_xlfn.XLOOKUP(E135,Groups!A:A,Groups!N:N)="Crocodile",EXP(0.8129*LN(C135)+4.6742)*S135,
IF(_xlfn.XLOOKUP(E135,Groups!A:A,Groups!N:N)="Felid",EXP(0.7843*LN(C135)+4.7073)*S135,
IF(_xlfn.XLOOKUP(E135,Groups!A:A,Groups!N:N)="Canid",EXP(0.8367*LN(C135)+4.8763)*S135,
IF(_xlfn.XLOOKUP(E135,Groups!A:A,Groups!N:N)="Pig",EXP(0.3439*LN(C135)+6.8519)*S135,
IF(_xlfn.XLOOKUP(E135,Groups!A:A,Groups!N:N)="Rodent",EXP(0.5625*LN(C135)+4.3006)*S135,
IF(_xlfn.XLOOKUP(E135,Groups!A:A,Groups!N:N)="Primate",EXP(0.7847*LN(C135)+3.4931)*S135,
IF(_xlfn.XLOOKUP(E135,Groups!A:A,Groups!N:N)="MiscCarnivora",EXP(0.7486*LN(C135)+4.2207)*S135,
IF(_xlfn.XLOOKUP(E135,Groups!A:A,Groups!N:N)="Lizard",EXP(0.7733*LN(C135)+5.5303)*S135,
IF(_xlfn.XLOOKUP(E135,Groups!A:A,Groups!N:N)="Snake",50*C135^(2/3)*S135,
IF(_xlfn.XLOOKUP(E135,Groups!A:A,Groups!N:N)="StrongBitingHerbivore",87.1133638856975*C135^(2/3)*S135,
IF(_xlfn.XLOOKUP(E135,Groups!A:A,Groups!N:N)="MiscEctotherms",59.4316884072269*C135^(2/3)*S135,
IF(_xlfn.XLOOKUP(E135,Groups!A:A,Groups!N:N)="StrongBeakBird",0.041*(C135*1000)^1.375*S135,
IF(_xlfn.XLOOKUP(E135,Groups!A:A,Groups!N:N)="Bird",0.118*(C135*1000)^0.692*S135,
IF(_xlfn.XLOOKUP(E135,Groups!A:A,Groups!N:N)="Insect",EXP(0.7444*LN(C135)+6.5696)*S135,
IF(_xlfn.XLOOKUP(E135,Groups!A:A,Groups!N:N)="Theropod",EXP(0.6966*LN(C135)+4.158)*S135,
"No"))))))))))))))))</f>
        <v>3903.8946162505104</v>
      </c>
      <c r="AU135" s="8">
        <f>IF(_xlfn.XLOOKUP(E135,Groups!A:A,Groups!U:U)=3,AS135,IF(_xlfn.XLOOKUP(E135,Groups!A:A,Groups!U:U)=2,AR135,AT135))</f>
        <v>3903.8946162505104</v>
      </c>
      <c r="AV135" s="46">
        <f>IFERROR(AVERAGE(_xlfn.XLOOKUP(B135,Animals!B:B,Animals!N:N),_xlfn.XLOOKUP(B135,Animals!B:B,Animals!O:O)),0)</f>
        <v>0</v>
      </c>
      <c r="AW135" s="8">
        <f>MROUND(40*Animals!AO135*_xlfn.XLOOKUP(AG135,Leathers!$A$2:$A$99,Leathers!$B$2:$B$99,0)+(140*_xlfn.XLOOKUP(B135,Animals!B:B,Animals!AO:AO)*2),5)</f>
        <v>820</v>
      </c>
      <c r="AX135" s="8">
        <f>IFERROR(ROUND(SQRT(V135-1)*IF(_xlfn.XLOOKUP(E135,Groups!A:A,Groups!BF:BF)=0,2,1)*IF(_xlfn.XLOOKUP('Base stats'!E135,Groups!A:A,Groups!O:O)=0,1,0.1),1),0)</f>
        <v>0.7</v>
      </c>
      <c r="AY135" s="8">
        <f t="shared" si="59"/>
        <v>0</v>
      </c>
      <c r="AZ135" s="8">
        <f t="shared" si="60"/>
        <v>0</v>
      </c>
      <c r="BA135" s="8">
        <f t="shared" si="61"/>
        <v>6.2</v>
      </c>
      <c r="BB135" s="8">
        <f>IF(_xlfn.XLOOKUP(E135,Groups!A:A,Groups!N:N)="Insect",BD135*2.5,IFERROR(AVERAGE(BD135,AT135/9.81/IF(OR(_xlfn.XLOOKUP(E135,Groups!A:A,Groups!N:N)="Pig",_xlfn.XLOOKUP(E135,Groups!A:A,Groups!N:N)="StrongBitingHerbivore"),20,25))*C135^-0.135,BD135))</f>
        <v>5.2756177964333748</v>
      </c>
      <c r="BC135" s="8" t="str">
        <f>IF(W135="No","No",IF(_xlfn.XLOOKUP(E135,Groups!A:A,Groups!U:U)=1,'Base stats'!BB135,IF(OR(_xlfn.XLOOKUP(E135,Groups!A:A,Groups!BD:BD)=1,_xlfn.XLOOKUP(E135,Groups!A:A,Groups!U:U)=2),BD135,IF(_xlfn.XLOOKUP(B135,Animals!B:B,Animals!AO:AO)&gt;4,AVERAGE(BD135,BF135),BF135))))</f>
        <v>No</v>
      </c>
      <c r="BD135" s="8">
        <f t="shared" si="62"/>
        <v>2.8909095959911428</v>
      </c>
      <c r="BE135" s="8">
        <f>IF(_xlfn.XLOOKUP(E135,Groups!A:A,Groups!BE:BE)=1,(0.048*C135^1.01)+(0.071*C135^1.03),0.071*C135^1.03)/IF(_xlfn.XLOOKUP(E135,Groups!A:A,Groups!M:M)=1,0.85,IF(OR(_xlfn.XLOOKUP(B135,Animals!B:B,Animals!AO:AO)&gt;4,_xlfn.XLOOKUP(E135,Groups!A:A,Groups!BC:BC)=1),1.7,1))*C135^-0.25</f>
        <v>6.0731206800415984</v>
      </c>
      <c r="BF135" s="8">
        <f>(0.048*C135^1.01)/IF(_xlfn.XLOOKUP(E135,Groups!A:A,Groups!M:M)=1,0.25,0.8)*C135^-0.25</f>
        <v>4.5789132301471973</v>
      </c>
      <c r="BG135" s="8">
        <f>EXP(1.076*LN(AR135)-4.5397)*IF(_xlfn.XLOOKUP(E135,Groups!A:A,Groups!BC:BC)=1,1.25,IF(_xlfn.XLOOKUP(E135,Groups!A:A,Groups!BD:BD)=1,3.5,2.5))</f>
        <v>350.87706705299746</v>
      </c>
      <c r="BH135" s="8">
        <f>EXP(1.076*LN(AS135)-4.5397)*IF(_xlfn.XLOOKUP(E135,Groups!A:A,Groups!M:M)=1,0.8,IF(_xlfn.XLOOKUP(E135,Groups!A:A,Groups!BC:BC)=1,1.3,3))</f>
        <v>415.38409131078117</v>
      </c>
      <c r="BI135" s="8" t="str">
        <f>IF(W135="No","No",IF(_xlfn.XLOOKUP(E135,Groups!A:A,Groups!U:U)=1,'Base stats'!BJ135,IF(OR(_xlfn.XLOOKUP(E135,Groups!A:A,Groups!BD:BD)=1,_xlfn.XLOOKUP(E135,Groups!A:A,Groups!U:U)=2),BG135,BH135))*1.2)</f>
        <v>No</v>
      </c>
      <c r="BJ135" s="8">
        <f>IFERROR(EXP(1.076*LN(AT135)-4.5397)*IF(_xlfn.XLOOKUP(E135,Groups!A:A,Groups!N:N)="Insect",1,IF(OR(_xlfn.XLOOKUP(E135,Groups!A:A,Groups!N:N)="Pig",_xlfn.XLOOKUP(E135,Groups!A:A,Groups!N:N)="StrongBitingHerbivore"),3.5,3.75)),"No")</f>
        <v>273.49747737634067</v>
      </c>
      <c r="BK135" s="8">
        <f t="shared" si="63"/>
        <v>15</v>
      </c>
      <c r="BL135" s="8">
        <f t="shared" si="64"/>
        <v>11</v>
      </c>
      <c r="BM135" s="8" t="str">
        <f t="shared" si="65"/>
        <v>No</v>
      </c>
      <c r="BN135" s="8">
        <f t="shared" si="66"/>
        <v>10</v>
      </c>
      <c r="BO135" s="8">
        <f t="shared" si="67"/>
        <v>13</v>
      </c>
      <c r="BP135" s="8" cm="1">
        <f t="array" ref="BP135">IF(AND(_xlfn.XLOOKUP('Base stats'!E135,Groups!A:A,Groups!AD:AD=0),_xlfn.XLOOKUP('Base stats'!E135,Groups!A:A,Groups!P:P=0)),"No",IF(U135="No",AVERAGE(EXP(-0.57+0.99*LN(C135)),EXP(0.32+0.67*LN(C135)))/IF(_xlfn.XLOOKUP(E135,Groups!A:A,Groups!AD:AD)=1,10,2),(0.7354*C135^0.4078)*2/IF(_xlfn.XLOOKUP(E135,Groups!A:A,Groups!BK:BK)=1,1000,100)/IF(_xlfn.XLOOKUP(E135,Groups!A:A,Groups!AJ:AJ)="Photonozoa",3,1)))</f>
        <v>55.787544953852205</v>
      </c>
      <c r="BQ135" s="8" t="str">
        <f>IF(W135="No","No",IF(_xlfn.XLOOKUP(E135,Groups!A:A,Groups!BD:BD)=1,(AO135*5%),EXP(0.7354*LN(C135)^0.4078)*2/IF(_xlfn.XLOOKUP(E135,Groups!A:A,Groups!BL:BL)=1,1000,100)/IF(_xlfn.XLOOKUP(E135,Groups!A:A,Groups!AJ:AJ)="Photonozoa",3,1)))</f>
        <v>No</v>
      </c>
      <c r="BR135" s="8">
        <f>IF(BJ135="No","No",IF(_xlfn.XLOOKUP(E135,Groups!A:A,Groups!BF:BF)=1,(0.0315*C135+2.1825)*2,(0.7354*C135^0.4078)*2)/IF(_xlfn.XLOOKUP(E135,Groups!A:A,Groups!BM:BM)=1,1000,100)/IF(_xlfn.XLOOKUP(E135,Groups!A:A,Groups!AJ:AJ)="Photonozoa",3,1))</f>
        <v>0.23264943299999999</v>
      </c>
      <c r="BS135" s="8">
        <f t="shared" si="68"/>
        <v>0.15514365986495698</v>
      </c>
      <c r="BT135" s="8">
        <f t="shared" si="69"/>
        <v>7.4458213146749763</v>
      </c>
      <c r="BU135" s="8" t="str">
        <f t="shared" si="70"/>
        <v>No</v>
      </c>
      <c r="BV135" s="8">
        <f t="shared" si="71"/>
        <v>1175.5776657162139</v>
      </c>
      <c r="BW135" s="4">
        <v>0</v>
      </c>
      <c r="BX135" s="4">
        <v>1</v>
      </c>
    </row>
    <row r="136" spans="1:76" x14ac:dyDescent="0.25">
      <c r="A136" s="26" t="s">
        <v>478</v>
      </c>
      <c r="B136" s="6" t="s">
        <v>483</v>
      </c>
      <c r="C136" s="7">
        <f>97.5</f>
        <v>97.5</v>
      </c>
      <c r="D136" s="7" t="s">
        <v>606</v>
      </c>
      <c r="E136" s="7" t="str">
        <f>Groups!$A$60</f>
        <v>Snake</v>
      </c>
      <c r="F136" s="7">
        <f>7*30.417</f>
        <v>212.91900000000001</v>
      </c>
      <c r="G136" s="7">
        <f>912 /365</f>
        <v>2.4986301369863013</v>
      </c>
      <c r="H136" s="7">
        <v>31.8</v>
      </c>
      <c r="I136" s="4">
        <v>0</v>
      </c>
      <c r="J136" s="7">
        <v>29</v>
      </c>
      <c r="K136" s="7" t="s">
        <v>606</v>
      </c>
      <c r="L136" s="7">
        <v>10</v>
      </c>
      <c r="M136" s="7" t="s">
        <v>528</v>
      </c>
      <c r="N136" s="4">
        <v>0</v>
      </c>
      <c r="O136" s="4">
        <v>0</v>
      </c>
      <c r="P136" s="4">
        <v>0</v>
      </c>
      <c r="Q136" s="4">
        <v>0</v>
      </c>
      <c r="R136" s="4" t="s">
        <v>40</v>
      </c>
      <c r="S136" s="7">
        <f>_xlfn.XLOOKUP(B136,[1]TeethAdjusters!$A:$A,[1]BiteAdjusters!$C:$C,1)</f>
        <v>1</v>
      </c>
      <c r="T136" s="7">
        <f>_xlfn.XLOOKUP(B136,[1]TeethAdjusters!$A:$A,[1]TeethAdjusters!$B:$B,1)</f>
        <v>1</v>
      </c>
      <c r="U136" s="7" t="s">
        <v>45</v>
      </c>
      <c r="V136" s="7">
        <v>2.5</v>
      </c>
      <c r="W136" s="7" t="s">
        <v>45</v>
      </c>
      <c r="X136" s="7" t="s">
        <v>932</v>
      </c>
      <c r="Y136" s="4" t="s">
        <v>56</v>
      </c>
      <c r="Z136" s="4">
        <v>1</v>
      </c>
      <c r="AA136" s="4">
        <v>0</v>
      </c>
      <c r="AB136" s="4">
        <v>0</v>
      </c>
      <c r="AC136" s="4">
        <v>0</v>
      </c>
      <c r="AD136" s="4">
        <v>0</v>
      </c>
      <c r="AE136" s="4" t="s">
        <v>45</v>
      </c>
      <c r="AF136" s="4" t="s">
        <v>45</v>
      </c>
      <c r="AG136" s="49" t="s">
        <v>386</v>
      </c>
      <c r="AH136" s="4" t="str">
        <f>Animals!$C$33</f>
        <v>&lt;li&gt;Cobra&lt;/li&gt;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4">
        <v>15</v>
      </c>
      <c r="AO136" s="8">
        <f t="shared" si="57"/>
        <v>21785.923735331184</v>
      </c>
      <c r="AP136" s="8">
        <f>IFERROR(C136*_xlfn.XLOOKUP(E136,Groups!A:A,Groups!K:K),0.106*C136^0.94)</f>
        <v>7.8518176318743418</v>
      </c>
      <c r="AQ136" s="8">
        <f>AP136*10000/(_xlfn.XLOOKUP(E136,Groups!A:A,Groups!J:J)*AO136)</f>
        <v>3.3064939095886858</v>
      </c>
      <c r="AR136" s="8">
        <f t="shared" si="58"/>
        <v>2603.4722236588386</v>
      </c>
      <c r="AS136" s="8">
        <f>IF(_xlfn.XLOOKUP(E136,Groups!A:A,Groups!M:M)=1,EXP(0.7444*LN('Base stats'!C136)+6.5696),EXP(0.7927*LN('Base stats'!C136)+4.28))</f>
        <v>2725.6139379277884</v>
      </c>
      <c r="AT136" s="8">
        <f>IF(_xlfn.XLOOKUP(E136,Groups!A:A,Groups!N:N)="No","No",
IF(_xlfn.XLOOKUP(E136,Groups!A:A,Groups!N:N)="Crocodile",EXP(0.8129*LN(C136)+4.6742)*S136,
IF(_xlfn.XLOOKUP(E136,Groups!A:A,Groups!N:N)="Felid",EXP(0.7843*LN(C136)+4.7073)*S136,
IF(_xlfn.XLOOKUP(E136,Groups!A:A,Groups!N:N)="Canid",EXP(0.8367*LN(C136)+4.8763)*S136,
IF(_xlfn.XLOOKUP(E136,Groups!A:A,Groups!N:N)="Pig",EXP(0.3439*LN(C136)+6.8519)*S136,
IF(_xlfn.XLOOKUP(E136,Groups!A:A,Groups!N:N)="Rodent",EXP(0.5625*LN(C136)+4.3006)*S136,
IF(_xlfn.XLOOKUP(E136,Groups!A:A,Groups!N:N)="Primate",EXP(0.7847*LN(C136)+3.4931)*S136,
IF(_xlfn.XLOOKUP(E136,Groups!A:A,Groups!N:N)="MiscCarnivora",EXP(0.7486*LN(C136)+4.2207)*S136,
IF(_xlfn.XLOOKUP(E136,Groups!A:A,Groups!N:N)="Lizard",EXP(0.7733*LN(C136)+5.5303)*S136,
IF(_xlfn.XLOOKUP(E136,Groups!A:A,Groups!N:N)="Snake",50*C136^(2/3)*S136,
IF(_xlfn.XLOOKUP(E136,Groups!A:A,Groups!N:N)="StrongBitingHerbivore",87.1133638856975*C136^(2/3)*S136,
IF(_xlfn.XLOOKUP(E136,Groups!A:A,Groups!N:N)="MiscEctotherms",59.4316884072269*C136^(2/3)*S136,
IF(_xlfn.XLOOKUP(E136,Groups!A:A,Groups!N:N)="StrongBeakBird",0.041*(C136*1000)^1.375*S136,
IF(_xlfn.XLOOKUP(E136,Groups!A:A,Groups!N:N)="Bird",0.118*(C136*1000)^0.692*S136,
IF(_xlfn.XLOOKUP(E136,Groups!A:A,Groups!N:N)="Insect",EXP(0.7444*LN(C136)+6.5696)*S136,
IF(_xlfn.XLOOKUP(E136,Groups!A:A,Groups!N:N)="Theropod",EXP(0.6966*LN(C136)+4.158)*S136,
"No"))))))))))))))))</f>
        <v>1059.1880723255072</v>
      </c>
      <c r="AU136" s="8">
        <f>IF(_xlfn.XLOOKUP(E136,Groups!A:A,Groups!U:U)=3,AS136,IF(_xlfn.XLOOKUP(E136,Groups!A:A,Groups!U:U)=2,AR136,AT136))</f>
        <v>1059.1880723255072</v>
      </c>
      <c r="AV136" s="46">
        <f>IFERROR(AVERAGE(_xlfn.XLOOKUP(B136,Animals!B:B,Animals!N:N),_xlfn.XLOOKUP(B136,Animals!B:B,Animals!O:O)),0)</f>
        <v>0</v>
      </c>
      <c r="AW136" s="8">
        <f>MROUND(40*Animals!AO136*_xlfn.XLOOKUP(AG136,Leathers!$A$2:$A$99,Leathers!$B$2:$B$99,0)+(140*_xlfn.XLOOKUP(B136,Animals!B:B,Animals!AO:AO)*2),5)</f>
        <v>545</v>
      </c>
      <c r="AX136" s="8">
        <f>IFERROR(ROUND(SQRT(V136-1)*IF(_xlfn.XLOOKUP(E136,Groups!A:A,Groups!BF:BF)=0,2,1)*IF(_xlfn.XLOOKUP('Base stats'!E136,Groups!A:A,Groups!O:O)=0,1,0.1),1),0)</f>
        <v>2.4</v>
      </c>
      <c r="AY136" s="8">
        <f t="shared" si="59"/>
        <v>0</v>
      </c>
      <c r="AZ136" s="8">
        <f t="shared" si="60"/>
        <v>0</v>
      </c>
      <c r="BA136" s="8">
        <f t="shared" si="61"/>
        <v>4.0999999999999996</v>
      </c>
      <c r="BB136" s="8">
        <f>IF(_xlfn.XLOOKUP(E136,Groups!A:A,Groups!N:N)="Insect",BD136*2.5,IFERROR(AVERAGE(BD136,AT136/9.81/IF(OR(_xlfn.XLOOKUP(E136,Groups!A:A,Groups!N:N)="Pig",_xlfn.XLOOKUP(E136,Groups!A:A,Groups!N:N)="StrongBitingHerbivore"),20,25))*C136^-0.135,BD136))</f>
        <v>1.6385406959415951</v>
      </c>
      <c r="BC136" s="8" t="str">
        <f>IF(W136="No","No",IF(_xlfn.XLOOKUP(E136,Groups!A:A,Groups!U:U)=1,'Base stats'!BB136,IF(OR(_xlfn.XLOOKUP(E136,Groups!A:A,Groups!BD:BD)=1,_xlfn.XLOOKUP(E136,Groups!A:A,Groups!U:U)=2),BD136,IF(_xlfn.XLOOKUP(B136,Animals!B:B,Animals!AO:AO)&gt;4,AVERAGE(BD136,BF136),BF136))))</f>
        <v>No</v>
      </c>
      <c r="BD136" s="8">
        <f t="shared" si="62"/>
        <v>1.762580262959909</v>
      </c>
      <c r="BE136" s="8">
        <f>IF(_xlfn.XLOOKUP(E136,Groups!A:A,Groups!BE:BE)=1,(0.048*C136^1.01)+(0.071*C136^1.03),0.071*C136^1.03)/IF(_xlfn.XLOOKUP(E136,Groups!A:A,Groups!M:M)=1,0.85,IF(OR(_xlfn.XLOOKUP(B136,Animals!B:B,Animals!AO:AO)&gt;4,_xlfn.XLOOKUP(E136,Groups!A:A,Groups!BC:BC)=1),1.7,1))*C136^-0.25</f>
        <v>2.5274463695203462</v>
      </c>
      <c r="BF136" s="8">
        <f>(0.048*C136^1.01)/IF(_xlfn.XLOOKUP(E136,Groups!A:A,Groups!M:M)=1,0.25,0.8)*C136^-0.25</f>
        <v>1.9489233473323746</v>
      </c>
      <c r="BG136" s="8">
        <f>EXP(1.076*LN(AR136)-4.5397)*IF(_xlfn.XLOOKUP(E136,Groups!A:A,Groups!BC:BC)=1,1.25,IF(_xlfn.XLOOKUP(E136,Groups!A:A,Groups!BD:BD)=1,3.5,2.5))</f>
        <v>126.33053106883851</v>
      </c>
      <c r="BH136" s="8">
        <f>EXP(1.076*LN(AS136)-4.5397)*IF(_xlfn.XLOOKUP(E136,Groups!A:A,Groups!M:M)=1,0.8,IF(_xlfn.XLOOKUP(E136,Groups!A:A,Groups!BC:BC)=1,1.3,3))</f>
        <v>159.26275591713232</v>
      </c>
      <c r="BI136" s="8" t="str">
        <f>IF(W136="No","No",IF(_xlfn.XLOOKUP(E136,Groups!A:A,Groups!U:U)=1,'Base stats'!BJ136,IF(OR(_xlfn.XLOOKUP(E136,Groups!A:A,Groups!BD:BD)=1,_xlfn.XLOOKUP(E136,Groups!A:A,Groups!U:U)=2),BG136,BH136))*1.2)</f>
        <v>No</v>
      </c>
      <c r="BJ136" s="8">
        <f>IFERROR(EXP(1.076*LN(AT136)-4.5397)*IF(_xlfn.XLOOKUP(E136,Groups!A:A,Groups!N:N)="Insect",1,IF(OR(_xlfn.XLOOKUP(E136,Groups!A:A,Groups!N:N)="Pig",_xlfn.XLOOKUP(E136,Groups!A:A,Groups!N:N)="StrongBitingHerbivore"),3.5,3.75)),"No")</f>
        <v>72.000521807131562</v>
      </c>
      <c r="BK136" s="8">
        <f t="shared" si="63"/>
        <v>11</v>
      </c>
      <c r="BL136" s="8">
        <f t="shared" si="64"/>
        <v>11</v>
      </c>
      <c r="BM136" s="8" t="str">
        <f t="shared" si="65"/>
        <v>No</v>
      </c>
      <c r="BN136" s="8">
        <f t="shared" si="66"/>
        <v>9</v>
      </c>
      <c r="BO136" s="8">
        <f t="shared" si="67"/>
        <v>12</v>
      </c>
      <c r="BP136" s="8" t="str" cm="1">
        <f t="array" ref="BP136">IF(AND(_xlfn.XLOOKUP('Base stats'!E136,Groups!A:A,Groups!AD:AD=0),_xlfn.XLOOKUP('Base stats'!E136,Groups!A:A,Groups!P:P=0)),"No",IF(U136="No",AVERAGE(EXP(-0.57+0.99*LN(C136)),EXP(0.32+0.67*LN(C136)))/IF(_xlfn.XLOOKUP(E136,Groups!A:A,Groups!AD:AD)=1,10,2),(0.7354*C136^0.4078)*2/IF(_xlfn.XLOOKUP(E136,Groups!A:A,Groups!BK:BK)=1,1000,100)/IF(_xlfn.XLOOKUP(E136,Groups!A:A,Groups!AJ:AJ)="Photonozoa",3,1)))</f>
        <v>No</v>
      </c>
      <c r="BQ136" s="8" t="str">
        <f>IF(W136="No","No",IF(_xlfn.XLOOKUP(E136,Groups!A:A,Groups!BD:BD)=1,(AO136*5%),EXP(0.7354*LN(C136)^0.4078)*2/IF(_xlfn.XLOOKUP(E136,Groups!A:A,Groups!BL:BL)=1,1000,100)/IF(_xlfn.XLOOKUP(E136,Groups!A:A,Groups!AJ:AJ)="Photonozoa",3,1)))</f>
        <v>No</v>
      </c>
      <c r="BR136" s="8">
        <f>IF(BJ136="No","No",IF(_xlfn.XLOOKUP(E136,Groups!A:A,Groups!BF:BF)=1,(0.0315*C136+2.1825)*2,(0.7354*C136^0.4078)*2)/IF(_xlfn.XLOOKUP(E136,Groups!A:A,Groups!BM:BM)=1,1000,100)/IF(_xlfn.XLOOKUP(E136,Groups!A:A,Groups!AJ:AJ)="Photonozoa",3,1))</f>
        <v>9.5207180387259671E-2</v>
      </c>
      <c r="BS136" s="8">
        <f t="shared" si="68"/>
        <v>0.11597445451804531</v>
      </c>
      <c r="BT136" s="8" t="str">
        <f t="shared" si="69"/>
        <v>No</v>
      </c>
      <c r="BU136" s="8" t="str">
        <f t="shared" si="70"/>
        <v>No</v>
      </c>
      <c r="BV136" s="8">
        <f t="shared" si="71"/>
        <v>756.25096252473884</v>
      </c>
      <c r="BW136" s="4">
        <v>0</v>
      </c>
      <c r="BX136" s="4">
        <v>1</v>
      </c>
    </row>
    <row r="137" spans="1:76" x14ac:dyDescent="0.25">
      <c r="A137" s="26" t="s">
        <v>457</v>
      </c>
      <c r="B137" s="6" t="s">
        <v>230</v>
      </c>
      <c r="C137" s="7">
        <f>AVERAGE(4000,2700)</f>
        <v>3350</v>
      </c>
      <c r="D137" s="7" t="s">
        <v>1135</v>
      </c>
      <c r="E137" s="7" t="str">
        <f>Groups!$A$18</f>
        <v>Elephant</v>
      </c>
      <c r="F137" s="7">
        <v>644</v>
      </c>
      <c r="G137" s="7">
        <f>3287/365</f>
        <v>9.0054794520547947</v>
      </c>
      <c r="H137" s="7">
        <v>79.599999999999994</v>
      </c>
      <c r="I137" s="4">
        <v>1</v>
      </c>
      <c r="J137" s="7">
        <v>1</v>
      </c>
      <c r="K137" s="7" t="s">
        <v>580</v>
      </c>
      <c r="L137" s="7">
        <v>26</v>
      </c>
      <c r="M137" s="7" t="s">
        <v>626</v>
      </c>
      <c r="N137" s="4">
        <v>0</v>
      </c>
      <c r="O137" s="4">
        <v>0</v>
      </c>
      <c r="P137" s="4">
        <v>0</v>
      </c>
      <c r="Q137" s="4">
        <v>0</v>
      </c>
      <c r="R137" s="4" t="s">
        <v>40</v>
      </c>
      <c r="S137" s="7">
        <f>_xlfn.XLOOKUP(B137,[1]TeethAdjusters!$A:$A,[1]BiteAdjusters!$C:$C,1)</f>
        <v>1</v>
      </c>
      <c r="T137" s="7">
        <f>_xlfn.XLOOKUP(B137,[1]TeethAdjusters!$A:$A,[1]TeethAdjusters!$B:$B,1)</f>
        <v>1</v>
      </c>
      <c r="U137" s="7" t="s">
        <v>45</v>
      </c>
      <c r="V137" s="7" t="str">
        <f>IF(AT137="No","No",IF(_xlfn.XLOOKUP(E137,Groups!A:A,Groups!AM:AM)=1,MROUND(EXP(0.3582*LN(C137)-0.2221)*T137,0.05),IF(_xlfn.XLOOKUP(E137,Groups!A:A,Groups!AM:AM)=2,MROUND(EXP(0.3582*LN(C137)-0.2221)*T137,0.05),"Need a formula")))</f>
        <v>No</v>
      </c>
      <c r="W137" s="7">
        <f>AVERAGE(91,182)</f>
        <v>136.5</v>
      </c>
      <c r="X137" s="7" t="s">
        <v>962</v>
      </c>
      <c r="Y137" s="4" t="s">
        <v>42</v>
      </c>
      <c r="Z137" s="4">
        <v>1</v>
      </c>
      <c r="AA137" s="4">
        <v>0</v>
      </c>
      <c r="AB137" s="4">
        <v>0</v>
      </c>
      <c r="AC137" s="4">
        <v>0</v>
      </c>
      <c r="AD137" s="4">
        <v>0</v>
      </c>
      <c r="AE137" s="4" t="s">
        <v>45</v>
      </c>
      <c r="AF137" s="4" t="s">
        <v>1786</v>
      </c>
      <c r="AG137" s="49" t="s">
        <v>380</v>
      </c>
      <c r="AH137" s="4" t="str">
        <f>Animals!$C$26</f>
        <v>&lt;li&gt;Elephant&lt;/li&gt;</v>
      </c>
      <c r="AI137" s="4">
        <v>1</v>
      </c>
      <c r="AJ137" s="4">
        <v>0</v>
      </c>
      <c r="AK137" s="4">
        <v>0</v>
      </c>
      <c r="AL137" s="4">
        <v>0</v>
      </c>
      <c r="AM137" s="4">
        <v>0</v>
      </c>
      <c r="AN137" s="44" t="s">
        <v>40</v>
      </c>
      <c r="AO137" s="8">
        <f t="shared" si="57"/>
        <v>217071.14814899839</v>
      </c>
      <c r="AP137" s="8">
        <f>IFERROR(C137*_xlfn.XLOOKUP(E137,Groups!A:A,Groups!K:K),0.106*C137^0.94)</f>
        <v>268</v>
      </c>
      <c r="AQ137" s="8">
        <f>AP137*10000/(_xlfn.XLOOKUP(E137,Groups!A:A,Groups!J:J)*AO137)</f>
        <v>11.326772891266987</v>
      </c>
      <c r="AR137" s="8">
        <f t="shared" si="58"/>
        <v>51647.118719880513</v>
      </c>
      <c r="AS137" s="8">
        <f>IF(_xlfn.XLOOKUP(E137,Groups!A:A,Groups!M:M)=1,EXP(0.7444*LN('Base stats'!C137)+6.5696),EXP(0.7927*LN('Base stats'!C137)+4.28))</f>
        <v>44986.623805297131</v>
      </c>
      <c r="AT137" s="8" t="str">
        <f>IF(_xlfn.XLOOKUP(E137,Groups!A:A,Groups!N:N)="No","No",
IF(_xlfn.XLOOKUP(E137,Groups!A:A,Groups!N:N)="Crocodile",EXP(0.8129*LN(C137)+4.6742)*S137,
IF(_xlfn.XLOOKUP(E137,Groups!A:A,Groups!N:N)="Felid",EXP(0.7843*LN(C137)+4.7073)*S137,
IF(_xlfn.XLOOKUP(E137,Groups!A:A,Groups!N:N)="Canid",EXP(0.8367*LN(C137)+4.8763)*S137,
IF(_xlfn.XLOOKUP(E137,Groups!A:A,Groups!N:N)="Pig",EXP(0.3439*LN(C137)+6.8519)*S137,
IF(_xlfn.XLOOKUP(E137,Groups!A:A,Groups!N:N)="Rodent",EXP(0.5625*LN(C137)+4.3006)*S137,
IF(_xlfn.XLOOKUP(E137,Groups!A:A,Groups!N:N)="Primate",EXP(0.7847*LN(C137)+3.4931)*S137,
IF(_xlfn.XLOOKUP(E137,Groups!A:A,Groups!N:N)="MiscCarnivora",EXP(0.7486*LN(C137)+4.2207)*S137,
IF(_xlfn.XLOOKUP(E137,Groups!A:A,Groups!N:N)="Lizard",EXP(0.7733*LN(C137)+5.5303)*S137,
IF(_xlfn.XLOOKUP(E137,Groups!A:A,Groups!N:N)="Snake",50*C137^(2/3)*S137,
IF(_xlfn.XLOOKUP(E137,Groups!A:A,Groups!N:N)="StrongBitingHerbivore",87.1133638856975*C137^(2/3)*S137,
IF(_xlfn.XLOOKUP(E137,Groups!A:A,Groups!N:N)="MiscEctotherms",59.4316884072269*C137^(2/3)*S137,
IF(_xlfn.XLOOKUP(E137,Groups!A:A,Groups!N:N)="StrongBeakBird",0.041*(C137*1000)^1.375*S137,
IF(_xlfn.XLOOKUP(E137,Groups!A:A,Groups!N:N)="Bird",0.118*(C137*1000)^0.692*S137,
IF(_xlfn.XLOOKUP(E137,Groups!A:A,Groups!N:N)="Insect",EXP(0.7444*LN(C137)+6.5696)*S137,
IF(_xlfn.XLOOKUP(E137,Groups!A:A,Groups!N:N)="Theropod",EXP(0.6966*LN(C137)+4.158)*S137,
"No"))))))))))))))))</f>
        <v>No</v>
      </c>
      <c r="AU137" s="8">
        <f>IF(_xlfn.XLOOKUP(E137,Groups!A:A,Groups!U:U)=3,AS137,IF(_xlfn.XLOOKUP(E137,Groups!A:A,Groups!U:U)=2,AR137,AT137))</f>
        <v>44986.623805297131</v>
      </c>
      <c r="AV137" s="46">
        <f>IFERROR(AVERAGE(_xlfn.XLOOKUP(B137,Animals!B:B,Animals!N:N),_xlfn.XLOOKUP(B137,Animals!B:B,Animals!O:O)),0)</f>
        <v>0</v>
      </c>
      <c r="AW137" s="8">
        <f>MROUND(40*Animals!AO137*_xlfn.XLOOKUP(AG137,Leathers!$A$2:$A$99,Leathers!$B$2:$B$99,0)+(140*_xlfn.XLOOKUP(B137,Animals!B:B,Animals!AO:AO)*2),5)</f>
        <v>1800</v>
      </c>
      <c r="AX137" s="8">
        <f>IFERROR(ROUND(SQRT(V137-1)*IF(_xlfn.XLOOKUP(E137,Groups!A:A,Groups!BF:BF)=0,2,1)*IF(_xlfn.XLOOKUP('Base stats'!E137,Groups!A:A,Groups!O:O)=0,1,0.1),1),0)</f>
        <v>0</v>
      </c>
      <c r="AY137" s="8">
        <f t="shared" si="59"/>
        <v>0</v>
      </c>
      <c r="AZ137" s="8">
        <f t="shared" si="60"/>
        <v>11.7</v>
      </c>
      <c r="BA137" s="8">
        <f t="shared" si="61"/>
        <v>14.7</v>
      </c>
      <c r="BB137" s="8">
        <f>IF(_xlfn.XLOOKUP(E137,Groups!A:A,Groups!N:N)="Insect",BD137*2.5,IFERROR(AVERAGE(BD137,AT137/9.81/IF(OR(_xlfn.XLOOKUP(E137,Groups!A:A,Groups!N:N)="Pig",_xlfn.XLOOKUP(E137,Groups!A:A,Groups!N:N)="StrongBitingHerbivore"),20,25))*C137^-0.135,BD137))</f>
        <v>17.830759878243917</v>
      </c>
      <c r="BC137" s="8">
        <f>IF(W137="No","No",IF(_xlfn.XLOOKUP(E137,Groups!A:A,Groups!U:U)=1,'Base stats'!BB137,IF(OR(_xlfn.XLOOKUP(E137,Groups!A:A,Groups!BD:BD)=1,_xlfn.XLOOKUP(E137,Groups!A:A,Groups!U:U)=2),BD137,IF(_xlfn.XLOOKUP(B137,Animals!B:B,Animals!AO:AO)&gt;4,AVERAGE(BD137,BF137),BF137))))</f>
        <v>23.2423814954828</v>
      </c>
      <c r="BD137" s="8">
        <f t="shared" si="62"/>
        <v>17.830759878243917</v>
      </c>
      <c r="BE137" s="8">
        <f>IF(_xlfn.XLOOKUP(E137,Groups!A:A,Groups!BE:BE)=1,(0.048*C137^1.01)+(0.071*C137^1.03),0.071*C137^1.03)/IF(_xlfn.XLOOKUP(E137,Groups!A:A,Groups!M:M)=1,0.85,IF(OR(_xlfn.XLOOKUP(B137,Animals!B:B,Animals!AO:AO)&gt;4,_xlfn.XLOOKUP(E137,Groups!A:A,Groups!BC:BC)=1),1.7,1))*C137^-0.25</f>
        <v>23.460884250587643</v>
      </c>
      <c r="BF137" s="8">
        <f>(0.048*C137^1.01)/IF(_xlfn.XLOOKUP(E137,Groups!A:A,Groups!M:M)=1,0.25,0.8)*C137^-0.25</f>
        <v>28.654003112721682</v>
      </c>
      <c r="BG137" s="8">
        <f>EXP(1.076*LN(AR137)-4.5397)*IF(_xlfn.XLOOKUP(E137,Groups!A:A,Groups!BC:BC)=1,1.25,IF(_xlfn.XLOOKUP(E137,Groups!A:A,Groups!BD:BD)=1,3.5,2.5))</f>
        <v>1572.4648822747822</v>
      </c>
      <c r="BH137" s="8">
        <f>EXP(1.076*LN(AS137)-4.5397)*IF(_xlfn.XLOOKUP(E137,Groups!A:A,Groups!M:M)=1,0.8,IF(_xlfn.XLOOKUP(E137,Groups!A:A,Groups!BC:BC)=1,1.3,3))</f>
        <v>1409.5952654999082</v>
      </c>
      <c r="BI137" s="8">
        <f>IF(W137="No","No",IF(_xlfn.XLOOKUP(E137,Groups!A:A,Groups!U:U)=1,'Base stats'!BJ137,IF(OR(_xlfn.XLOOKUP(E137,Groups!A:A,Groups!BD:BD)=1,_xlfn.XLOOKUP(E137,Groups!A:A,Groups!U:U)=2),BG137,BH137))*1.2)</f>
        <v>1691.5143185998897</v>
      </c>
      <c r="BJ137" s="8" t="str">
        <f>IFERROR(EXP(1.076*LN(AT137)-4.5397)*IF(_xlfn.XLOOKUP(E137,Groups!A:A,Groups!N:N)="Insect",1,IF(OR(_xlfn.XLOOKUP(E137,Groups!A:A,Groups!N:N)="Pig",_xlfn.XLOOKUP(E137,Groups!A:A,Groups!N:N)="StrongBitingHerbivore"),3.5,3.75)),"No")</f>
        <v>No</v>
      </c>
      <c r="BK137" s="8">
        <f t="shared" si="63"/>
        <v>13</v>
      </c>
      <c r="BL137" s="8">
        <f t="shared" si="64"/>
        <v>10</v>
      </c>
      <c r="BM137" s="8">
        <f t="shared" si="65"/>
        <v>12</v>
      </c>
      <c r="BN137" s="8" t="str">
        <f t="shared" si="66"/>
        <v>No</v>
      </c>
      <c r="BO137" s="8">
        <f t="shared" si="67"/>
        <v>9</v>
      </c>
      <c r="BP137" s="8" cm="1">
        <f t="array" ref="BP137">IF(AND(_xlfn.XLOOKUP('Base stats'!E137,Groups!A:A,Groups!AD:AD=0),_xlfn.XLOOKUP('Base stats'!E137,Groups!A:A,Groups!P:P=0)),"No",IF(U137="No",AVERAGE(EXP(-0.57+0.99*LN(C137)),EXP(0.32+0.67*LN(C137)))/IF(_xlfn.XLOOKUP(E137,Groups!A:A,Groups!AD:AD)=1,10,2),(0.7354*C137^0.4078)*2/IF(_xlfn.XLOOKUP(E137,Groups!A:A,Groups!BK:BK)=1,1000,100)/IF(_xlfn.XLOOKUP(E137,Groups!A:A,Groups!AJ:AJ)="Photonozoa",3,1)))</f>
        <v>515.8977012888156</v>
      </c>
      <c r="BQ137" s="8">
        <f>IF(W137="No","No",IF(_xlfn.XLOOKUP(E137,Groups!A:A,Groups!BD:BD)=1,(AO137*5%),EXP(0.7354*LN(C137)^0.4078)*2/IF(_xlfn.XLOOKUP(E137,Groups!A:A,Groups!BL:BL)=1,1000,100)/IF(_xlfn.XLOOKUP(E137,Groups!A:A,Groups!AJ:AJ)="Photonozoa",3,1)))</f>
        <v>0.11250940885033911</v>
      </c>
      <c r="BR137" s="8" t="str">
        <f>IF(BJ137="No","No",IF(_xlfn.XLOOKUP(E137,Groups!A:A,Groups!BF:BF)=1,(0.0315*C137+2.1825)*2,(0.7354*C137^0.4078)*2)/IF(_xlfn.XLOOKUP(E137,Groups!A:A,Groups!BM:BM)=1,1000,100)/IF(_xlfn.XLOOKUP(E137,Groups!A:A,Groups!AJ:AJ)="Photonozoa",3,1))</f>
        <v>No</v>
      </c>
      <c r="BS137" s="8">
        <f t="shared" si="68"/>
        <v>0.14488013682918716</v>
      </c>
      <c r="BT137" s="8">
        <f t="shared" si="69"/>
        <v>2.7323154609498306</v>
      </c>
      <c r="BU137" s="8">
        <f t="shared" si="70"/>
        <v>15034.425439475513</v>
      </c>
      <c r="BV137" s="8" t="str">
        <f t="shared" si="71"/>
        <v>No</v>
      </c>
      <c r="BW137" s="4">
        <v>0</v>
      </c>
      <c r="BX137" s="4">
        <v>1</v>
      </c>
    </row>
    <row r="138" spans="1:76" x14ac:dyDescent="0.25">
      <c r="A138" s="26" t="s">
        <v>479</v>
      </c>
      <c r="B138" s="6" t="s">
        <v>484</v>
      </c>
      <c r="C138" s="7">
        <v>3500</v>
      </c>
      <c r="D138" s="7" t="s">
        <v>528</v>
      </c>
      <c r="E138" s="7" t="str">
        <f>Groups!$A$37</f>
        <v>Mustelid (SCAVENGER)</v>
      </c>
      <c r="F138" s="7">
        <f>ROUND(7.545*(C138*1000)^0.2689,0)</f>
        <v>434</v>
      </c>
      <c r="G138" s="7">
        <v>12</v>
      </c>
      <c r="H138" s="7">
        <v>45</v>
      </c>
      <c r="I138" s="4">
        <v>1</v>
      </c>
      <c r="J138" s="7">
        <v>2</v>
      </c>
      <c r="K138" s="7" t="s">
        <v>528</v>
      </c>
      <c r="L138" s="7">
        <v>30</v>
      </c>
      <c r="M138" s="7" t="s">
        <v>528</v>
      </c>
      <c r="N138" s="4">
        <v>0</v>
      </c>
      <c r="O138" s="4">
        <v>1</v>
      </c>
      <c r="P138" s="4">
        <v>0</v>
      </c>
      <c r="Q138" s="4">
        <v>0</v>
      </c>
      <c r="R138" s="4" t="s">
        <v>40</v>
      </c>
      <c r="S138" s="7">
        <f>_xlfn.XLOOKUP(B138,[1]TeethAdjusters!$A:$A,[1]BiteAdjusters!$C:$C,1)</f>
        <v>2.1970451716078339</v>
      </c>
      <c r="T138" s="7">
        <f>_xlfn.XLOOKUP(B138,[1]TeethAdjusters!$A:$A,[1]TeethAdjusters!$B:$B,1)</f>
        <v>1.1999813567066198</v>
      </c>
      <c r="U138" s="7">
        <v>10</v>
      </c>
      <c r="V138" s="7">
        <f>IF(AT138="No","No",IF(_xlfn.XLOOKUP(E138,Groups!A:A,Groups!AM:AM)=1,MROUND(EXP(0.3582*LN(C138)-0.2221)*T138,0.05),IF(_xlfn.XLOOKUP(E138,Groups!A:A,Groups!AM:AM)=2,MROUND(EXP(0.3582*LN(C138)-0.2221)*T138,0.05),"Need a formula")))</f>
        <v>17.850000000000001</v>
      </c>
      <c r="W138" s="7" t="s">
        <v>45</v>
      </c>
      <c r="X138" s="7" t="s">
        <v>932</v>
      </c>
      <c r="Y138" s="4" t="s">
        <v>56</v>
      </c>
      <c r="Z138" s="4">
        <v>1</v>
      </c>
      <c r="AA138" s="4">
        <v>0</v>
      </c>
      <c r="AB138" s="4">
        <v>0</v>
      </c>
      <c r="AC138" s="4">
        <v>0</v>
      </c>
      <c r="AD138" s="4">
        <v>0</v>
      </c>
      <c r="AE138" s="4" t="s">
        <v>45</v>
      </c>
      <c r="AF138" s="4" t="s">
        <v>45</v>
      </c>
      <c r="AG138" s="49" t="s">
        <v>382</v>
      </c>
      <c r="AH138" s="4" t="s">
        <v>45</v>
      </c>
      <c r="AI138" s="4">
        <v>0</v>
      </c>
      <c r="AJ138" s="4">
        <v>0</v>
      </c>
      <c r="AK138" s="4">
        <v>0</v>
      </c>
      <c r="AL138" s="4">
        <v>1</v>
      </c>
      <c r="AM138" s="4">
        <v>1</v>
      </c>
      <c r="AN138" s="44" t="s">
        <v>40</v>
      </c>
      <c r="AO138" s="8">
        <f t="shared" si="57"/>
        <v>223340.35782825897</v>
      </c>
      <c r="AP138" s="8">
        <f>IFERROR(C138*_xlfn.XLOOKUP(E138,Groups!A:A,Groups!K:K),0.106*C138^0.94)</f>
        <v>436.625</v>
      </c>
      <c r="AQ138" s="8">
        <f>AP138*10000/(_xlfn.XLOOKUP(E138,Groups!A:A,Groups!J:J)*AO138)</f>
        <v>17.935558015154605</v>
      </c>
      <c r="AR138" s="8">
        <f t="shared" si="58"/>
        <v>53593.858680828402</v>
      </c>
      <c r="AS138" s="8">
        <f>IF(_xlfn.XLOOKUP(E138,Groups!A:A,Groups!M:M)=1,EXP(0.7444*LN('Base stats'!C138)+6.5696),EXP(0.7927*LN('Base stats'!C138)+4.28))</f>
        <v>46576.100082151221</v>
      </c>
      <c r="AT138" s="8">
        <f>IF(_xlfn.XLOOKUP(E138,Groups!A:A,Groups!N:N)="No","No",
IF(_xlfn.XLOOKUP(E138,Groups!A:A,Groups!N:N)="Crocodile",EXP(0.8129*LN(C138)+4.6742)*S138,
IF(_xlfn.XLOOKUP(E138,Groups!A:A,Groups!N:N)="Felid",EXP(0.7843*LN(C138)+4.7073)*S138,
IF(_xlfn.XLOOKUP(E138,Groups!A:A,Groups!N:N)="Canid",EXP(0.8367*LN(C138)+4.8763)*S138,
IF(_xlfn.XLOOKUP(E138,Groups!A:A,Groups!N:N)="Pig",EXP(0.3439*LN(C138)+6.8519)*S138,
IF(_xlfn.XLOOKUP(E138,Groups!A:A,Groups!N:N)="Rodent",EXP(0.5625*LN(C138)+4.3006)*S138,
IF(_xlfn.XLOOKUP(E138,Groups!A:A,Groups!N:N)="Primate",EXP(0.7847*LN(C138)+3.4931)*S138,
IF(_xlfn.XLOOKUP(E138,Groups!A:A,Groups!N:N)="MiscCarnivora",EXP(0.7486*LN(C138)+4.2207)*S138,
IF(_xlfn.XLOOKUP(E138,Groups!A:A,Groups!N:N)="Lizard",EXP(0.7733*LN(C138)+5.5303)*S138,
IF(_xlfn.XLOOKUP(E138,Groups!A:A,Groups!N:N)="Snake",50*C138^(2/3)*S138,
IF(_xlfn.XLOOKUP(E138,Groups!A:A,Groups!N:N)="StrongBitingHerbivore",87.1133638856975*C138^(2/3)*S138,
IF(_xlfn.XLOOKUP(E138,Groups!A:A,Groups!N:N)="MiscEctotherms",59.4316884072269*C138^(2/3)*S138,
IF(_xlfn.XLOOKUP(E138,Groups!A:A,Groups!N:N)="StrongBeakBird",0.041*(C138*1000)^1.375*S138,
IF(_xlfn.XLOOKUP(E138,Groups!A:A,Groups!N:N)="Bird",0.118*(C138*1000)^0.692*S138,
IF(_xlfn.XLOOKUP(E138,Groups!A:A,Groups!N:N)="Insect",EXP(0.7444*LN(C138)+6.5696)*S138,
IF(_xlfn.XLOOKUP(E138,Groups!A:A,Groups!N:N)="Theropod",EXP(0.6966*LN(C138)+4.158)*S138,
"No"))))))))))))))))</f>
        <v>67290.699661948835</v>
      </c>
      <c r="AU138" s="8">
        <f>IF(_xlfn.XLOOKUP(E138,Groups!A:A,Groups!U:U)=3,AS138,IF(_xlfn.XLOOKUP(E138,Groups!A:A,Groups!U:U)=2,AR138,AT138))</f>
        <v>67290.699661948835</v>
      </c>
      <c r="AV138" s="46">
        <f>IFERROR(AVERAGE(_xlfn.XLOOKUP(B138,Animals!B:B,Animals!N:N),_xlfn.XLOOKUP(B138,Animals!B:B,Animals!O:O)),0)</f>
        <v>0</v>
      </c>
      <c r="AW138" s="8">
        <f>MROUND(40*Animals!AO138*_xlfn.XLOOKUP(AG138,Leathers!$A$2:$A$99,Leathers!$B$2:$B$99,0)+(140*_xlfn.XLOOKUP(B138,Animals!B:B,Animals!AO:AO)*2),5)</f>
        <v>1855</v>
      </c>
      <c r="AX138" s="8">
        <f>IFERROR(ROUND(SQRT(V138-1)*IF(_xlfn.XLOOKUP(E138,Groups!A:A,Groups!BF:BF)=0,2,1)*IF(_xlfn.XLOOKUP('Base stats'!E138,Groups!A:A,Groups!O:O)=0,1,0.1),1),0)</f>
        <v>8.1999999999999993</v>
      </c>
      <c r="AY138" s="8">
        <f t="shared" si="59"/>
        <v>3</v>
      </c>
      <c r="AZ138" s="8">
        <f t="shared" si="60"/>
        <v>0</v>
      </c>
      <c r="BA138" s="8">
        <f t="shared" si="61"/>
        <v>14.9</v>
      </c>
      <c r="BB138" s="8">
        <f>IF(_xlfn.XLOOKUP(E138,Groups!A:A,Groups!N:N)="Insect",BD138*2.5,IFERROR(AVERAGE(BD138,AT138/9.81/IF(OR(_xlfn.XLOOKUP(E138,Groups!A:A,Groups!N:N)="Pig",_xlfn.XLOOKUP(E138,Groups!A:A,Groups!N:N)="StrongBitingHerbivore"),20,25))*C138^-0.135,BD138))</f>
        <v>51.329917109014097</v>
      </c>
      <c r="BC138" s="8" t="str">
        <f>IF(W138="No","No",IF(_xlfn.XLOOKUP(E138,Groups!A:A,Groups!U:U)=1,'Base stats'!BB138,IF(OR(_xlfn.XLOOKUP(E138,Groups!A:A,Groups!BD:BD)=1,_xlfn.XLOOKUP(E138,Groups!A:A,Groups!U:U)=2),BD138,IF(_xlfn.XLOOKUP(B138,Animals!B:B,Animals!AO:AO)&gt;4,AVERAGE(BD138,BF138),BF138))))</f>
        <v>No</v>
      </c>
      <c r="BD138" s="8">
        <f t="shared" si="62"/>
        <v>34.546703439619087</v>
      </c>
      <c r="BE138" s="8">
        <f>IF(_xlfn.XLOOKUP(E138,Groups!A:A,Groups!BE:BE)=1,(0.048*C138^1.01)+(0.071*C138^1.03),0.071*C138^1.03)/IF(_xlfn.XLOOKUP(E138,Groups!A:A,Groups!M:M)=1,0.85,IF(OR(_xlfn.XLOOKUP(B138,Animals!B:B,Animals!AO:AO)&gt;4,_xlfn.XLOOKUP(E138,Groups!A:A,Groups!BC:BC)=1),1.7,1))*C138^-0.25</f>
        <v>24.27630034588584</v>
      </c>
      <c r="BF138" s="8">
        <f>(0.048*C138^1.01)/IF(_xlfn.XLOOKUP(E138,Groups!A:A,Groups!M:M)=1,0.25,0.8)*C138^-0.25</f>
        <v>29.623949867689536</v>
      </c>
      <c r="BG138" s="8">
        <f>EXP(1.076*LN(AR138)-4.5397)*IF(_xlfn.XLOOKUP(E138,Groups!A:A,Groups!BC:BC)=1,1.25,IF(_xlfn.XLOOKUP(E138,Groups!A:A,Groups!BD:BD)=1,3.5,2.5))</f>
        <v>3272.6617301979236</v>
      </c>
      <c r="BH138" s="8">
        <f>EXP(1.076*LN(AS138)-4.5397)*IF(_xlfn.XLOOKUP(E138,Groups!A:A,Groups!M:M)=1,0.8,IF(_xlfn.XLOOKUP(E138,Groups!A:A,Groups!BC:BC)=1,1.3,3))</f>
        <v>3376.7438203018805</v>
      </c>
      <c r="BI138" s="8" t="str">
        <f>IF(W138="No","No",IF(_xlfn.XLOOKUP(E138,Groups!A:A,Groups!U:U)=1,'Base stats'!BJ138,IF(OR(_xlfn.XLOOKUP(E138,Groups!A:A,Groups!BD:BD)=1,_xlfn.XLOOKUP(E138,Groups!A:A,Groups!U:U)=2),BG138,BH138))*1.2)</f>
        <v>No</v>
      </c>
      <c r="BJ138" s="8">
        <f>IFERROR(EXP(1.076*LN(AT138)-4.5397)*IF(_xlfn.XLOOKUP(E138,Groups!A:A,Groups!N:N)="Insect",1,IF(OR(_xlfn.XLOOKUP(E138,Groups!A:A,Groups!N:N)="Pig",_xlfn.XLOOKUP(E138,Groups!A:A,Groups!N:N)="StrongBitingHerbivore"),3.5,3.75)),"No")</f>
        <v>6271.1073549831772</v>
      </c>
      <c r="BK138" s="8">
        <f t="shared" si="63"/>
        <v>13</v>
      </c>
      <c r="BL138" s="8">
        <f t="shared" si="64"/>
        <v>16</v>
      </c>
      <c r="BM138" s="8" t="str">
        <f t="shared" si="65"/>
        <v>No</v>
      </c>
      <c r="BN138" s="8">
        <f t="shared" si="66"/>
        <v>15</v>
      </c>
      <c r="BO138" s="8">
        <f t="shared" si="67"/>
        <v>15</v>
      </c>
      <c r="BP138" s="8" cm="1">
        <f t="array" ref="BP138">IF(AND(_xlfn.XLOOKUP('Base stats'!E138,Groups!A:A,Groups!AD:AD=0),_xlfn.XLOOKUP('Base stats'!E138,Groups!A:A,Groups!P:P=0)),"No",IF(U138="No",AVERAGE(EXP(-0.57+0.99*LN(C138)),EXP(0.32+0.67*LN(C138)))/IF(_xlfn.XLOOKUP(E138,Groups!A:A,Groups!AD:AD)=1,10,2),(0.7354*C138^0.4078)*2/IF(_xlfn.XLOOKUP(E138,Groups!A:A,Groups!BK:BK)=1,1000,100)/IF(_xlfn.XLOOKUP(E138,Groups!A:A,Groups!AJ:AJ)="Photonozoa",3,1)))</f>
        <v>0.4100384372770437</v>
      </c>
      <c r="BQ138" s="8" t="str">
        <f>IF(W138="No","No",IF(_xlfn.XLOOKUP(E138,Groups!A:A,Groups!BD:BD)=1,(AO138*5%),EXP(0.7354*LN(C138)^0.4078)*2/IF(_xlfn.XLOOKUP(E138,Groups!A:A,Groups!BL:BL)=1,1000,100)/IF(_xlfn.XLOOKUP(E138,Groups!A:A,Groups!AJ:AJ)="Photonozoa",3,1)))</f>
        <v>No</v>
      </c>
      <c r="BR138" s="8">
        <f>IF(BJ138="No","No",IF(_xlfn.XLOOKUP(E138,Groups!A:A,Groups!BF:BF)=1,(0.0315*C138+2.1825)*2,(0.7354*C138^0.4078)*2)/IF(_xlfn.XLOOKUP(E138,Groups!A:A,Groups!BM:BM)=1,1000,100)/IF(_xlfn.XLOOKUP(E138,Groups!A:A,Groups!AJ:AJ)="Photonozoa",3,1))</f>
        <v>0.4100384372770437</v>
      </c>
      <c r="BS138" s="8">
        <f t="shared" si="68"/>
        <v>0.29306496703246865</v>
      </c>
      <c r="BT138" s="8">
        <f t="shared" si="69"/>
        <v>8235.1884928787131</v>
      </c>
      <c r="BU138" s="8" t="str">
        <f t="shared" si="70"/>
        <v>No</v>
      </c>
      <c r="BV138" s="8">
        <f t="shared" si="71"/>
        <v>15293.949993146825</v>
      </c>
      <c r="BW138" s="4">
        <v>0</v>
      </c>
      <c r="BX138" s="4">
        <v>1</v>
      </c>
    </row>
    <row r="139" spans="1:76" s="16" customFormat="1" x14ac:dyDescent="0.25">
      <c r="A139" s="26" t="s">
        <v>488</v>
      </c>
      <c r="B139" s="6" t="s">
        <v>892</v>
      </c>
      <c r="C139" s="7">
        <f>AVERAGE(10,11.3,9.1,10.4)</f>
        <v>10.199999999999999</v>
      </c>
      <c r="D139" s="7" t="s">
        <v>1259</v>
      </c>
      <c r="E139" s="7" t="str">
        <f>Groups!$A$15</f>
        <v>Doglike (CANID)</v>
      </c>
      <c r="F139" s="7">
        <v>63</v>
      </c>
      <c r="G139" s="7">
        <f>510/365</f>
        <v>1.3972602739726028</v>
      </c>
      <c r="H139" s="7">
        <v>27</v>
      </c>
      <c r="I139" s="4">
        <v>0</v>
      </c>
      <c r="J139" s="7">
        <v>6</v>
      </c>
      <c r="K139" s="7" t="s">
        <v>507</v>
      </c>
      <c r="L139" s="7">
        <f t="shared" ref="L139:L160" si="72">MIN(37.5*C139^0.089,79.3*C139^-0.072)</f>
        <v>46.110165713347499</v>
      </c>
      <c r="M139" s="7" t="s">
        <v>626</v>
      </c>
      <c r="N139" s="4">
        <v>0</v>
      </c>
      <c r="O139" s="4">
        <v>2</v>
      </c>
      <c r="P139" s="4">
        <v>0</v>
      </c>
      <c r="Q139" s="4">
        <v>0</v>
      </c>
      <c r="R139" s="4" t="s">
        <v>40</v>
      </c>
      <c r="S139" s="7">
        <f>_xlfn.XLOOKUP(B139,[1]TeethAdjusters!$A:$A,[1]BiteAdjusters!$C:$C,1)</f>
        <v>0.71417487730106877</v>
      </c>
      <c r="T139" s="7">
        <f>_xlfn.XLOOKUP(B139,[1]TeethAdjusters!$A:$A,[1]TeethAdjusters!$B:$B,1)</f>
        <v>0.95359131166584876</v>
      </c>
      <c r="U139" s="7" t="s">
        <v>45</v>
      </c>
      <c r="V139" s="7">
        <f>IF(AT139="No","No",IF(_xlfn.XLOOKUP(E139,Groups!A:A,Groups!AM:AM)=1,MROUND(EXP(0.3582*LN(C139)-0.2221)*T139,0.05),IF(_xlfn.XLOOKUP(E139,Groups!A:A,Groups!AM:AM)=2,MROUND(EXP(0.3582*LN(C139)-0.2221)*T139,0.05),"Need a formula")))</f>
        <v>1.75</v>
      </c>
      <c r="W139" s="7" t="s">
        <v>45</v>
      </c>
      <c r="X139" s="7" t="s">
        <v>932</v>
      </c>
      <c r="Y139" s="4" t="s">
        <v>53</v>
      </c>
      <c r="Z139" s="4">
        <v>1</v>
      </c>
      <c r="AA139" s="4">
        <v>0</v>
      </c>
      <c r="AB139" s="4">
        <v>0</v>
      </c>
      <c r="AC139" s="4">
        <v>0</v>
      </c>
      <c r="AD139" s="4">
        <v>0</v>
      </c>
      <c r="AE139" s="4" t="s">
        <v>45</v>
      </c>
      <c r="AF139" s="4" t="s">
        <v>496</v>
      </c>
      <c r="AG139" s="49" t="s">
        <v>379</v>
      </c>
      <c r="AH139" s="4" t="str">
        <f>Animals!$C$14</f>
        <v>&lt;li&gt;YorkshireTerrier&lt;/li&gt;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4" t="s">
        <v>40</v>
      </c>
      <c r="AO139" s="8">
        <f t="shared" si="57"/>
        <v>5022.4207245109683</v>
      </c>
      <c r="AP139" s="8">
        <f>IFERROR(C139*_xlfn.XLOOKUP(E139,Groups!A:A,Groups!K:K),0.106*C139^0.94)</f>
        <v>1.2724499999999999</v>
      </c>
      <c r="AQ139" s="8">
        <f>AP139*10000/(_xlfn.XLOOKUP(E139,Groups!A:A,Groups!J:J)*AO139)</f>
        <v>2.3243479292838121</v>
      </c>
      <c r="AR139" s="8">
        <f t="shared" si="58"/>
        <v>386.72773075469576</v>
      </c>
      <c r="AS139" s="8">
        <f>IF(_xlfn.XLOOKUP(E139,Groups!A:A,Groups!M:M)=1,EXP(0.7444*LN('Base stats'!C139)+6.5696),EXP(0.7927*LN('Base stats'!C139)+4.28))</f>
        <v>455.30009266873242</v>
      </c>
      <c r="AT139" s="8">
        <f>IF(_xlfn.XLOOKUP(E139,Groups!A:A,Groups!N:N)="No","No",
IF(_xlfn.XLOOKUP(E139,Groups!A:A,Groups!N:N)="Crocodile",EXP(0.8129*LN(C139)+4.6742)*S139,
IF(_xlfn.XLOOKUP(E139,Groups!A:A,Groups!N:N)="Felid",EXP(0.7843*LN(C139)+4.7073)*S139,
IF(_xlfn.XLOOKUP(E139,Groups!A:A,Groups!N:N)="Canid",EXP(0.8367*LN(C139)+4.8763)*S139,
IF(_xlfn.XLOOKUP(E139,Groups!A:A,Groups!N:N)="Pig",EXP(0.3439*LN(C139)+6.8519)*S139,
IF(_xlfn.XLOOKUP(E139,Groups!A:A,Groups!N:N)="Rodent",EXP(0.5625*LN(C139)+4.3006)*S139,
IF(_xlfn.XLOOKUP(E139,Groups!A:A,Groups!N:N)="Primate",EXP(0.7847*LN(C139)+3.4931)*S139,
IF(_xlfn.XLOOKUP(E139,Groups!A:A,Groups!N:N)="MiscCarnivora",EXP(0.7486*LN(C139)+4.2207)*S139,
IF(_xlfn.XLOOKUP(E139,Groups!A:A,Groups!N:N)="Lizard",EXP(0.7733*LN(C139)+5.5303)*S139,
IF(_xlfn.XLOOKUP(E139,Groups!A:A,Groups!N:N)="Snake",50*C139^(2/3)*S139,
IF(_xlfn.XLOOKUP(E139,Groups!A:A,Groups!N:N)="StrongBitingHerbivore",87.1133638856975*C139^(2/3)*S139,
IF(_xlfn.XLOOKUP(E139,Groups!A:A,Groups!N:N)="MiscEctotherms",59.4316884072269*C139^(2/3)*S139,
IF(_xlfn.XLOOKUP(E139,Groups!A:A,Groups!N:N)="StrongBeakBird",0.041*(C139*1000)^1.375*S139,
IF(_xlfn.XLOOKUP(E139,Groups!A:A,Groups!N:N)="Bird",0.118*(C139*1000)^0.692*S139,
IF(_xlfn.XLOOKUP(E139,Groups!A:A,Groups!N:N)="Insect",EXP(0.7444*LN(C139)+6.5696)*S139,
IF(_xlfn.XLOOKUP(E139,Groups!A:A,Groups!N:N)="Theropod",EXP(0.6966*LN(C139)+4.158)*S139,
"No"))))))))))))))))</f>
        <v>653.80842808330351</v>
      </c>
      <c r="AU139" s="8">
        <f>IF(_xlfn.XLOOKUP(E139,Groups!A:A,Groups!U:U)=3,AS139,IF(_xlfn.XLOOKUP(E139,Groups!A:A,Groups!U:U)=2,AR139,AT139))</f>
        <v>653.80842808330351</v>
      </c>
      <c r="AV139" s="46">
        <f>IFERROR(AVERAGE(_xlfn.XLOOKUP(B139,Animals!B:B,Animals!N:N),_xlfn.XLOOKUP(B139,Animals!B:B,Animals!O:O)),0)</f>
        <v>0</v>
      </c>
      <c r="AW139" s="8">
        <f>MROUND(40*Animals!AO139*_xlfn.XLOOKUP(AG139,Leathers!$A$2:$A$99,Leathers!$B$2:$B$99,0)+(140*_xlfn.XLOOKUP(B139,Animals!B:B,Animals!AO:AO)*2),5)</f>
        <v>145</v>
      </c>
      <c r="AX139" s="8">
        <f>IFERROR(ROUND(SQRT(V139-1)*IF(_xlfn.XLOOKUP(E139,Groups!A:A,Groups!BF:BF)=0,2,1)*IF(_xlfn.XLOOKUP('Base stats'!E139,Groups!A:A,Groups!O:O)=0,1,0.1),1),0)</f>
        <v>1.7</v>
      </c>
      <c r="AY139" s="8">
        <f t="shared" si="59"/>
        <v>0</v>
      </c>
      <c r="AZ139" s="8">
        <f t="shared" si="60"/>
        <v>0</v>
      </c>
      <c r="BA139" s="8">
        <f t="shared" si="61"/>
        <v>1.6</v>
      </c>
      <c r="BB139" s="8">
        <f>IF(_xlfn.XLOOKUP(E139,Groups!A:A,Groups!N:N)="Insect",BD139*2.5,IFERROR(AVERAGE(BD139,AT139/9.81/IF(OR(_xlfn.XLOOKUP(E139,Groups!A:A,Groups!N:N)="Pig",_xlfn.XLOOKUP(E139,Groups!A:A,Groups!N:N)="StrongBitingHerbivore"),20,25))*C139^-0.135,BD139))</f>
        <v>1.0728881560144221</v>
      </c>
      <c r="BC139" s="8" t="str">
        <f>IF(W139="No","No",IF(_xlfn.XLOOKUP(E139,Groups!A:A,Groups!U:U)=1,'Base stats'!BB139,IF(OR(_xlfn.XLOOKUP(E139,Groups!A:A,Groups!BD:BD)=1,_xlfn.XLOOKUP(E139,Groups!A:A,Groups!U:U)=2),BD139,IF(_xlfn.XLOOKUP(B139,Animals!B:B,Animals!AO:AO)&gt;4,AVERAGE(BD139,BF139),BF139))))</f>
        <v>No</v>
      </c>
      <c r="BD139" s="8">
        <f t="shared" si="62"/>
        <v>0.27004292891939063</v>
      </c>
      <c r="BE139" s="8">
        <f>IF(_xlfn.XLOOKUP(E139,Groups!A:A,Groups!BE:BE)=1,(0.048*C139^1.01)+(0.071*C139^1.03),0.071*C139^1.03)/IF(_xlfn.XLOOKUP(E139,Groups!A:A,Groups!M:M)=1,0.85,IF(OR(_xlfn.XLOOKUP(B139,Animals!B:B,Animals!AO:AO)&gt;4,_xlfn.XLOOKUP(E139,Groups!A:A,Groups!BC:BC)=1),1.7,1))*C139^-0.25</f>
        <v>0.43447669150870244</v>
      </c>
      <c r="BF139" s="8">
        <f>(0.048*C139^1.01)/IF(_xlfn.XLOOKUP(E139,Groups!A:A,Groups!M:M)=1,0.25,0.8)*C139^-0.25</f>
        <v>0.35049948237077561</v>
      </c>
      <c r="BG139" s="8">
        <f>EXP(1.076*LN(AR139)-4.5397)*IF(_xlfn.XLOOKUP(E139,Groups!A:A,Groups!BC:BC)=1,1.25,IF(_xlfn.XLOOKUP(E139,Groups!A:A,Groups!BD:BD)=1,3.5,2.5))</f>
        <v>16.233847722893834</v>
      </c>
      <c r="BH139" s="8">
        <f>EXP(1.076*LN(AS139)-4.5397)*IF(_xlfn.XLOOKUP(E139,Groups!A:A,Groups!M:M)=1,0.8,IF(_xlfn.XLOOKUP(E139,Groups!A:A,Groups!BC:BC)=1,1.3,3))</f>
        <v>23.221109268159807</v>
      </c>
      <c r="BI139" s="8" t="str">
        <f>IF(W139="No","No",IF(_xlfn.XLOOKUP(E139,Groups!A:A,Groups!U:U)=1,'Base stats'!BJ139,IF(OR(_xlfn.XLOOKUP(E139,Groups!A:A,Groups!BD:BD)=1,_xlfn.XLOOKUP(E139,Groups!A:A,Groups!U:U)=2),BG139,BH139))*1.2)</f>
        <v>No</v>
      </c>
      <c r="BJ139" s="8">
        <f>IFERROR(EXP(1.076*LN(AT139)-4.5397)*IF(_xlfn.XLOOKUP(E139,Groups!A:A,Groups!N:N)="Insect",1,IF(OR(_xlfn.XLOOKUP(E139,Groups!A:A,Groups!N:N)="Pig",_xlfn.XLOOKUP(E139,Groups!A:A,Groups!N:N)="StrongBitingHerbivore"),3.5,3.75)),"No")</f>
        <v>42.843936011518259</v>
      </c>
      <c r="BK139" s="8">
        <f t="shared" si="63"/>
        <v>10</v>
      </c>
      <c r="BL139" s="8">
        <f t="shared" si="64"/>
        <v>10</v>
      </c>
      <c r="BM139" s="8" t="str">
        <f t="shared" si="65"/>
        <v>No</v>
      </c>
      <c r="BN139" s="8">
        <f t="shared" si="66"/>
        <v>8</v>
      </c>
      <c r="BO139" s="8">
        <f t="shared" si="67"/>
        <v>11</v>
      </c>
      <c r="BP139" s="8" t="str" cm="1">
        <f t="array" ref="BP139">IF(AND(_xlfn.XLOOKUP('Base stats'!E139,Groups!A:A,Groups!AD:AD=0),_xlfn.XLOOKUP('Base stats'!E139,Groups!A:A,Groups!P:P=0)),"No",IF(U139="No",AVERAGE(EXP(-0.57+0.99*LN(C139)),EXP(0.32+0.67*LN(C139)))/IF(_xlfn.XLOOKUP(E139,Groups!A:A,Groups!AD:AD)=1,10,2),(0.7354*C139^0.4078)*2/IF(_xlfn.XLOOKUP(E139,Groups!A:A,Groups!BK:BK)=1,1000,100)/IF(_xlfn.XLOOKUP(E139,Groups!A:A,Groups!AJ:AJ)="Photonozoa",3,1)))</f>
        <v>No</v>
      </c>
      <c r="BQ139" s="8" t="str">
        <f>IF(W139="No","No",IF(_xlfn.XLOOKUP(E139,Groups!A:A,Groups!BD:BD)=1,(AO139*5%),EXP(0.7354*LN(C139)^0.4078)*2/IF(_xlfn.XLOOKUP(E139,Groups!A:A,Groups!BL:BL)=1,1000,100)/IF(_xlfn.XLOOKUP(E139,Groups!A:A,Groups!AJ:AJ)="Photonozoa",3,1)))</f>
        <v>No</v>
      </c>
      <c r="BR139" s="8">
        <f>IF(BJ139="No","No",IF(_xlfn.XLOOKUP(E139,Groups!A:A,Groups!BF:BF)=1,(0.0315*C139+2.1825)*2,(0.7354*C139^0.4078)*2)/IF(_xlfn.XLOOKUP(E139,Groups!A:A,Groups!BM:BM)=1,1000,100)/IF(_xlfn.XLOOKUP(E139,Groups!A:A,Groups!AJ:AJ)="Photonozoa",3,1))</f>
        <v>3.7919340136559655E-2</v>
      </c>
      <c r="BS139" s="8">
        <f t="shared" si="68"/>
        <v>6.4645511052738497E-2</v>
      </c>
      <c r="BT139" s="8" t="str">
        <f t="shared" si="69"/>
        <v>No</v>
      </c>
      <c r="BU139" s="8" t="str">
        <f t="shared" si="70"/>
        <v>No</v>
      </c>
      <c r="BV139" s="8">
        <f t="shared" si="71"/>
        <v>1129.8702946101794</v>
      </c>
      <c r="BW139" s="4">
        <v>0</v>
      </c>
      <c r="BX139" s="4">
        <v>1</v>
      </c>
    </row>
    <row r="140" spans="1:76" x14ac:dyDescent="0.25">
      <c r="A140" s="26" t="s">
        <v>489</v>
      </c>
      <c r="B140" s="6" t="s">
        <v>893</v>
      </c>
      <c r="C140" s="7">
        <v>2</v>
      </c>
      <c r="D140" s="7" t="s">
        <v>1263</v>
      </c>
      <c r="E140" s="7" t="str">
        <f>Groups!$A$15</f>
        <v>Doglike (CANID)</v>
      </c>
      <c r="F140" s="7">
        <v>63</v>
      </c>
      <c r="G140" s="7">
        <f>510/365</f>
        <v>1.3972602739726028</v>
      </c>
      <c r="H140" s="7">
        <v>27</v>
      </c>
      <c r="I140" s="4">
        <v>0</v>
      </c>
      <c r="J140" s="7">
        <v>6</v>
      </c>
      <c r="K140" s="7" t="s">
        <v>507</v>
      </c>
      <c r="L140" s="7">
        <f t="shared" si="72"/>
        <v>39.886225233494422</v>
      </c>
      <c r="M140" s="7" t="s">
        <v>626</v>
      </c>
      <c r="N140" s="4">
        <v>0</v>
      </c>
      <c r="O140" s="4">
        <v>2</v>
      </c>
      <c r="P140" s="4">
        <v>0</v>
      </c>
      <c r="Q140" s="4">
        <v>0</v>
      </c>
      <c r="R140" s="4" t="s">
        <v>40</v>
      </c>
      <c r="S140" s="7">
        <f>_xlfn.XLOOKUP(B140,[1]TeethAdjusters!$A:$A,[1]BiteAdjusters!$C:$C,1)</f>
        <v>0.71417487730106877</v>
      </c>
      <c r="T140" s="7">
        <f>_xlfn.XLOOKUP(B140,[1]TeethAdjusters!$A:$A,[1]TeethAdjusters!$B:$B,1)</f>
        <v>0.95359131166584876</v>
      </c>
      <c r="U140" s="7" t="s">
        <v>45</v>
      </c>
      <c r="V140" s="7">
        <f>IF(AT140="No","No",IF(_xlfn.XLOOKUP(E140,Groups!A:A,Groups!AM:AM)=1,MROUND(EXP(0.3582*LN(C140)-0.2221)*T140,0.05),IF(_xlfn.XLOOKUP(E140,Groups!A:A,Groups!AM:AM)=2,MROUND(EXP(0.3582*LN(C140)-0.2221)*T140,0.05),"Need a formula")))</f>
        <v>1</v>
      </c>
      <c r="W140" s="7" t="s">
        <v>45</v>
      </c>
      <c r="X140" s="7" t="s">
        <v>932</v>
      </c>
      <c r="Y140" s="4" t="s">
        <v>53</v>
      </c>
      <c r="Z140" s="4">
        <v>1</v>
      </c>
      <c r="AA140" s="4">
        <v>0</v>
      </c>
      <c r="AB140" s="4">
        <v>0</v>
      </c>
      <c r="AC140" s="4">
        <v>0</v>
      </c>
      <c r="AD140" s="4">
        <v>0</v>
      </c>
      <c r="AE140" s="4" t="s">
        <v>45</v>
      </c>
      <c r="AF140" s="4" t="s">
        <v>496</v>
      </c>
      <c r="AG140" s="49" t="s">
        <v>379</v>
      </c>
      <c r="AH140" s="4" t="str">
        <f>Animals!$C$14</f>
        <v>&lt;li&gt;YorkshireTerrier&lt;/li&gt;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4" t="s">
        <v>40</v>
      </c>
      <c r="AO140" s="8">
        <f t="shared" si="57"/>
        <v>1741.7766973307866</v>
      </c>
      <c r="AP140" s="8">
        <f>IFERROR(C140*_xlfn.XLOOKUP(E140,Groups!A:A,Groups!K:K),0.106*C140^0.94)</f>
        <v>0.2495</v>
      </c>
      <c r="AQ140" s="8">
        <f>AP140*10000/(_xlfn.XLOOKUP(E140,Groups!A:A,Groups!J:J)*AO140)</f>
        <v>1.3141700823049669</v>
      </c>
      <c r="AR140" s="8">
        <f t="shared" si="58"/>
        <v>97.660914569231494</v>
      </c>
      <c r="AS140" s="8">
        <f>IF(_xlfn.XLOOKUP(E140,Groups!A:A,Groups!M:M)=1,EXP(0.7444*LN('Base stats'!C140)+6.5696),EXP(0.7927*LN('Base stats'!C140)+4.28))</f>
        <v>125.14308592282921</v>
      </c>
      <c r="AT140" s="8">
        <f>IF(_xlfn.XLOOKUP(E140,Groups!A:A,Groups!N:N)="No","No",
IF(_xlfn.XLOOKUP(E140,Groups!A:A,Groups!N:N)="Crocodile",EXP(0.8129*LN(C140)+4.6742)*S140,
IF(_xlfn.XLOOKUP(E140,Groups!A:A,Groups!N:N)="Felid",EXP(0.7843*LN(C140)+4.7073)*S140,
IF(_xlfn.XLOOKUP(E140,Groups!A:A,Groups!N:N)="Canid",EXP(0.8367*LN(C140)+4.8763)*S140,
IF(_xlfn.XLOOKUP(E140,Groups!A:A,Groups!N:N)="Pig",EXP(0.3439*LN(C140)+6.8519)*S140,
IF(_xlfn.XLOOKUP(E140,Groups!A:A,Groups!N:N)="Rodent",EXP(0.5625*LN(C140)+4.3006)*S140,
IF(_xlfn.XLOOKUP(E140,Groups!A:A,Groups!N:N)="Primate",EXP(0.7847*LN(C140)+3.4931)*S140,
IF(_xlfn.XLOOKUP(E140,Groups!A:A,Groups!N:N)="MiscCarnivora",EXP(0.7486*LN(C140)+4.2207)*S140,
IF(_xlfn.XLOOKUP(E140,Groups!A:A,Groups!N:N)="Lizard",EXP(0.7733*LN(C140)+5.5303)*S140,
IF(_xlfn.XLOOKUP(E140,Groups!A:A,Groups!N:N)="Snake",50*C140^(2/3)*S140,
IF(_xlfn.XLOOKUP(E140,Groups!A:A,Groups!N:N)="StrongBitingHerbivore",87.1133638856975*C140^(2/3)*S140,
IF(_xlfn.XLOOKUP(E140,Groups!A:A,Groups!N:N)="MiscEctotherms",59.4316884072269*C140^(2/3)*S140,
IF(_xlfn.XLOOKUP(E140,Groups!A:A,Groups!N:N)="StrongBeakBird",0.041*(C140*1000)^1.375*S140,
IF(_xlfn.XLOOKUP(E140,Groups!A:A,Groups!N:N)="Bird",0.118*(C140*1000)^0.692*S140,
IF(_xlfn.XLOOKUP(E140,Groups!A:A,Groups!N:N)="Insect",EXP(0.7444*LN(C140)+6.5696)*S140,
IF(_xlfn.XLOOKUP(E140,Groups!A:A,Groups!N:N)="Theropod",EXP(0.6966*LN(C140)+4.158)*S140,
"No"))))))))))))))))</f>
        <v>167.27327053022097</v>
      </c>
      <c r="AU140" s="8">
        <f>IF(_xlfn.XLOOKUP(E140,Groups!A:A,Groups!U:U)=3,AS140,IF(_xlfn.XLOOKUP(E140,Groups!A:A,Groups!U:U)=2,AR140,AT140))</f>
        <v>167.27327053022097</v>
      </c>
      <c r="AV140" s="46">
        <f>IFERROR(AVERAGE(_xlfn.XLOOKUP(B140,Animals!B:B,Animals!N:N),_xlfn.XLOOKUP(B140,Animals!B:B,Animals!O:O)),0)</f>
        <v>0</v>
      </c>
      <c r="AW140" s="8">
        <f>MROUND(40*Animals!AO140*_xlfn.XLOOKUP(AG140,Leathers!$A$2:$A$99,Leathers!$B$2:$B$99,0)+(140*_xlfn.XLOOKUP(B140,Animals!B:B,Animals!AO:AO)*2),5)</f>
        <v>70</v>
      </c>
      <c r="AX140" s="8">
        <f>IFERROR(ROUND(SQRT(V140-1)*IF(_xlfn.XLOOKUP(E140,Groups!A:A,Groups!BF:BF)=0,2,1)*IF(_xlfn.XLOOKUP('Base stats'!E140,Groups!A:A,Groups!O:O)=0,1,0.1),1),0)</f>
        <v>0</v>
      </c>
      <c r="AY140" s="8">
        <f t="shared" si="59"/>
        <v>0</v>
      </c>
      <c r="AZ140" s="8">
        <f t="shared" si="60"/>
        <v>0</v>
      </c>
      <c r="BA140" s="8">
        <f t="shared" si="61"/>
        <v>0.8</v>
      </c>
      <c r="BB140" s="8">
        <f>IF(_xlfn.XLOOKUP(E140,Groups!A:A,Groups!N:N)="Insect",BD140*2.5,IFERROR(AVERAGE(BD140,AT140/9.81/IF(OR(_xlfn.XLOOKUP(E140,Groups!A:A,Groups!N:N)="Pig",_xlfn.XLOOKUP(E140,Groups!A:A,Groups!N:N)="StrongBitingHerbivore"),20,25))*C140^-0.135,BD140))</f>
        <v>0.34231425938379167</v>
      </c>
      <c r="BC140" s="8" t="str">
        <f>IF(W140="No","No",IF(_xlfn.XLOOKUP(E140,Groups!A:A,Groups!U:U)=1,'Base stats'!BB140,IF(OR(_xlfn.XLOOKUP(E140,Groups!A:A,Groups!BD:BD)=1,_xlfn.XLOOKUP(E140,Groups!A:A,Groups!U:U)=2),BD140,IF(_xlfn.XLOOKUP(B140,Animals!B:B,Animals!AO:AO)&gt;4,AVERAGE(BD140,BF140),BF140))))</f>
        <v>No</v>
      </c>
      <c r="BD140" s="8">
        <f t="shared" si="62"/>
        <v>6.9733585093371159E-2</v>
      </c>
      <c r="BE140" s="8">
        <f>IF(_xlfn.XLOOKUP(E140,Groups!A:A,Groups!BE:BE)=1,(0.048*C140^1.01)+(0.071*C140^1.03),0.071*C140^1.03)/IF(_xlfn.XLOOKUP(E140,Groups!A:A,Groups!M:M)=1,0.85,IF(OR(_xlfn.XLOOKUP(B140,Animals!B:B,Animals!AO:AO)&gt;4,_xlfn.XLOOKUP(E140,Groups!A:A,Groups!BC:BC)=1),1.7,1))*C140^-0.25</f>
        <v>0.12191629197416104</v>
      </c>
      <c r="BF140" s="8">
        <f>(0.048*C140^1.01)/IF(_xlfn.XLOOKUP(E140,Groups!A:A,Groups!M:M)=1,0.25,0.8)*C140^-0.25</f>
        <v>0.10160943748350326</v>
      </c>
      <c r="BG140" s="8">
        <f>EXP(1.076*LN(AR140)-4.5397)*IF(_xlfn.XLOOKUP(E140,Groups!A:A,Groups!BC:BC)=1,1.25,IF(_xlfn.XLOOKUP(E140,Groups!A:A,Groups!BD:BD)=1,3.5,2.5))</f>
        <v>3.6924354853866963</v>
      </c>
      <c r="BH140" s="8">
        <f>EXP(1.076*LN(AS140)-4.5397)*IF(_xlfn.XLOOKUP(E140,Groups!A:A,Groups!M:M)=1,0.8,IF(_xlfn.XLOOKUP(E140,Groups!A:A,Groups!BC:BC)=1,1.3,3))</f>
        <v>5.7858127834961763</v>
      </c>
      <c r="BI140" s="8" t="str">
        <f>IF(W140="No","No",IF(_xlfn.XLOOKUP(E140,Groups!A:A,Groups!U:U)=1,'Base stats'!BJ140,IF(OR(_xlfn.XLOOKUP(E140,Groups!A:A,Groups!BD:BD)=1,_xlfn.XLOOKUP(E140,Groups!A:A,Groups!U:U)=2),BG140,BH140))*1.2)</f>
        <v>No</v>
      </c>
      <c r="BJ140" s="8">
        <f>IFERROR(EXP(1.076*LN(AT140)-4.5397)*IF(_xlfn.XLOOKUP(E140,Groups!A:A,Groups!N:N)="Insect",1,IF(OR(_xlfn.XLOOKUP(E140,Groups!A:A,Groups!N:N)="Pig",_xlfn.XLOOKUP(E140,Groups!A:A,Groups!N:N)="StrongBitingHerbivore"),3.5,3.75)),"No")</f>
        <v>9.8826081158196732</v>
      </c>
      <c r="BK140" s="8">
        <f t="shared" si="63"/>
        <v>10</v>
      </c>
      <c r="BL140" s="8">
        <f t="shared" si="64"/>
        <v>9</v>
      </c>
      <c r="BM140" s="8" t="str">
        <f t="shared" si="65"/>
        <v>No</v>
      </c>
      <c r="BN140" s="8">
        <f t="shared" si="66"/>
        <v>7</v>
      </c>
      <c r="BO140" s="8">
        <f t="shared" si="67"/>
        <v>10</v>
      </c>
      <c r="BP140" s="8" t="str" cm="1">
        <f t="array" ref="BP140">IF(AND(_xlfn.XLOOKUP('Base stats'!E140,Groups!A:A,Groups!AD:AD=0),_xlfn.XLOOKUP('Base stats'!E140,Groups!A:A,Groups!P:P=0)),"No",IF(U140="No",AVERAGE(EXP(-0.57+0.99*LN(C140)),EXP(0.32+0.67*LN(C140)))/IF(_xlfn.XLOOKUP(E140,Groups!A:A,Groups!AD:AD)=1,10,2),(0.7354*C140^0.4078)*2/IF(_xlfn.XLOOKUP(E140,Groups!A:A,Groups!BK:BK)=1,1000,100)/IF(_xlfn.XLOOKUP(E140,Groups!A:A,Groups!AJ:AJ)="Photonozoa",3,1)))</f>
        <v>No</v>
      </c>
      <c r="BQ140" s="8" t="str">
        <f>IF(W140="No","No",IF(_xlfn.XLOOKUP(E140,Groups!A:A,Groups!BD:BD)=1,(AO140*5%),EXP(0.7354*LN(C140)^0.4078)*2/IF(_xlfn.XLOOKUP(E140,Groups!A:A,Groups!BL:BL)=1,1000,100)/IF(_xlfn.XLOOKUP(E140,Groups!A:A,Groups!AJ:AJ)="Photonozoa",3,1)))</f>
        <v>No</v>
      </c>
      <c r="BR140" s="8">
        <f>IF(BJ140="No","No",IF(_xlfn.XLOOKUP(E140,Groups!A:A,Groups!BF:BF)=1,(0.0315*C140+2.1825)*2,(0.7354*C140^0.4078)*2)/IF(_xlfn.XLOOKUP(E140,Groups!A:A,Groups!BM:BM)=1,1000,100)/IF(_xlfn.XLOOKUP(E140,Groups!A:A,Groups!AJ:AJ)="Photonozoa",3,1))</f>
        <v>1.9512533128932502E-2</v>
      </c>
      <c r="BS140" s="8">
        <f t="shared" si="68"/>
        <v>4.2398494491805147E-2</v>
      </c>
      <c r="BT140" s="8" t="str">
        <f t="shared" si="69"/>
        <v>No</v>
      </c>
      <c r="BU140" s="8" t="str">
        <f t="shared" si="70"/>
        <v>No</v>
      </c>
      <c r="BV140" s="8">
        <f t="shared" si="71"/>
        <v>506.47489234322359</v>
      </c>
      <c r="BW140" s="4">
        <v>0</v>
      </c>
      <c r="BX140" s="4">
        <v>1</v>
      </c>
    </row>
    <row r="141" spans="1:76" x14ac:dyDescent="0.25">
      <c r="A141" s="26" t="s">
        <v>490</v>
      </c>
      <c r="B141" s="6" t="s">
        <v>894</v>
      </c>
      <c r="C141" s="7">
        <f>AVERAGE(14,17)</f>
        <v>15.5</v>
      </c>
      <c r="D141" s="7" t="s">
        <v>1264</v>
      </c>
      <c r="E141" s="7" t="str">
        <f>Groups!$A$15</f>
        <v>Doglike (CANID)</v>
      </c>
      <c r="F141" s="7">
        <v>63</v>
      </c>
      <c r="G141" s="7">
        <f t="shared" ref="G141:G149" si="73">510/365</f>
        <v>1.3972602739726028</v>
      </c>
      <c r="H141" s="7">
        <v>27</v>
      </c>
      <c r="I141" s="4">
        <v>0</v>
      </c>
      <c r="J141" s="7">
        <v>6</v>
      </c>
      <c r="K141" s="7" t="s">
        <v>507</v>
      </c>
      <c r="L141" s="7">
        <f t="shared" si="72"/>
        <v>47.85979002071614</v>
      </c>
      <c r="M141" s="7" t="s">
        <v>626</v>
      </c>
      <c r="N141" s="4">
        <v>0</v>
      </c>
      <c r="O141" s="4">
        <v>2</v>
      </c>
      <c r="P141" s="4">
        <v>0</v>
      </c>
      <c r="Q141" s="4">
        <v>0</v>
      </c>
      <c r="R141" s="4" t="s">
        <v>40</v>
      </c>
      <c r="S141" s="7">
        <f>_xlfn.XLOOKUP(B141,[1]TeethAdjusters!$A:$A,[1]BiteAdjusters!$C:$C,1)</f>
        <v>0.71417487730106877</v>
      </c>
      <c r="T141" s="7">
        <f>_xlfn.XLOOKUP(B141,[1]TeethAdjusters!$A:$A,[1]TeethAdjusters!$B:$B,1)</f>
        <v>0.95359131166584876</v>
      </c>
      <c r="U141" s="7" t="s">
        <v>45</v>
      </c>
      <c r="V141" s="7">
        <f>IF(AT141="No","No",IF(_xlfn.XLOOKUP(E141,Groups!A:A,Groups!AM:AM)=1,MROUND(EXP(0.3582*LN(C141)-0.2221)*T141,0.05),IF(_xlfn.XLOOKUP(E141,Groups!A:A,Groups!AM:AM)=2,MROUND(EXP(0.3582*LN(C141)-0.2221)*T141,0.05),"Need a formula")))</f>
        <v>2.0500000000000003</v>
      </c>
      <c r="W141" s="7" t="s">
        <v>45</v>
      </c>
      <c r="X141" s="7" t="s">
        <v>932</v>
      </c>
      <c r="Y141" s="4" t="s">
        <v>53</v>
      </c>
      <c r="Z141" s="4">
        <v>1</v>
      </c>
      <c r="AA141" s="4">
        <v>0</v>
      </c>
      <c r="AB141" s="4">
        <v>0</v>
      </c>
      <c r="AC141" s="4">
        <v>0</v>
      </c>
      <c r="AD141" s="4">
        <v>0</v>
      </c>
      <c r="AE141" s="4" t="s">
        <v>45</v>
      </c>
      <c r="AF141" s="4" t="s">
        <v>496</v>
      </c>
      <c r="AG141" s="49" t="s">
        <v>379</v>
      </c>
      <c r="AH141" s="4" t="str">
        <f>Animals!$C$14</f>
        <v>&lt;li&gt;YorkshireTerrier&lt;/li&gt;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4" t="s">
        <v>40</v>
      </c>
      <c r="AO141" s="8">
        <f t="shared" si="57"/>
        <v>6592.3245866566185</v>
      </c>
      <c r="AP141" s="8">
        <f>IFERROR(C141*_xlfn.XLOOKUP(E141,Groups!A:A,Groups!K:K),0.106*C141^0.94)</f>
        <v>1.9336249999999999</v>
      </c>
      <c r="AQ141" s="8">
        <f>AP141*10000/(_xlfn.XLOOKUP(E141,Groups!A:A,Groups!J:J)*AO141)</f>
        <v>2.6909595645501239</v>
      </c>
      <c r="AR141" s="8">
        <f t="shared" si="58"/>
        <v>550.69855272991003</v>
      </c>
      <c r="AS141" s="8">
        <f>IF(_xlfn.XLOOKUP(E141,Groups!A:A,Groups!M:M)=1,EXP(0.7444*LN('Base stats'!C141)+6.5696),EXP(0.7927*LN('Base stats'!C141)+4.28))</f>
        <v>634.38998711852321</v>
      </c>
      <c r="AT141" s="8">
        <f>IF(_xlfn.XLOOKUP(E141,Groups!A:A,Groups!N:N)="No","No",
IF(_xlfn.XLOOKUP(E141,Groups!A:A,Groups!N:N)="Crocodile",EXP(0.8129*LN(C141)+4.6742)*S141,
IF(_xlfn.XLOOKUP(E141,Groups!A:A,Groups!N:N)="Felid",EXP(0.7843*LN(C141)+4.7073)*S141,
IF(_xlfn.XLOOKUP(E141,Groups!A:A,Groups!N:N)="Canid",EXP(0.8367*LN(C141)+4.8763)*S141,
IF(_xlfn.XLOOKUP(E141,Groups!A:A,Groups!N:N)="Pig",EXP(0.3439*LN(C141)+6.8519)*S141,
IF(_xlfn.XLOOKUP(E141,Groups!A:A,Groups!N:N)="Rodent",EXP(0.5625*LN(C141)+4.3006)*S141,
IF(_xlfn.XLOOKUP(E141,Groups!A:A,Groups!N:N)="Primate",EXP(0.7847*LN(C141)+3.4931)*S141,
IF(_xlfn.XLOOKUP(E141,Groups!A:A,Groups!N:N)="MiscCarnivora",EXP(0.7486*LN(C141)+4.2207)*S141,
IF(_xlfn.XLOOKUP(E141,Groups!A:A,Groups!N:N)="Lizard",EXP(0.7733*LN(C141)+5.5303)*S141,
IF(_xlfn.XLOOKUP(E141,Groups!A:A,Groups!N:N)="Snake",50*C141^(2/3)*S141,
IF(_xlfn.XLOOKUP(E141,Groups!A:A,Groups!N:N)="StrongBitingHerbivore",87.1133638856975*C141^(2/3)*S141,
IF(_xlfn.XLOOKUP(E141,Groups!A:A,Groups!N:N)="MiscEctotherms",59.4316884072269*C141^(2/3)*S141,
IF(_xlfn.XLOOKUP(E141,Groups!A:A,Groups!N:N)="StrongBeakBird",0.041*(C141*1000)^1.375*S141,
IF(_xlfn.XLOOKUP(E141,Groups!A:A,Groups!N:N)="Bird",0.118*(C141*1000)^0.692*S141,
IF(_xlfn.XLOOKUP(E141,Groups!A:A,Groups!N:N)="Insect",EXP(0.7444*LN(C141)+6.5696)*S141,
IF(_xlfn.XLOOKUP(E141,Groups!A:A,Groups!N:N)="Theropod",EXP(0.6966*LN(C141)+4.158)*S141,
"No"))))))))))))))))</f>
        <v>927.90877725080361</v>
      </c>
      <c r="AU141" s="8">
        <f>IF(_xlfn.XLOOKUP(E141,Groups!A:A,Groups!U:U)=3,AS141,IF(_xlfn.XLOOKUP(E141,Groups!A:A,Groups!U:U)=2,AR141,AT141))</f>
        <v>927.90877725080361</v>
      </c>
      <c r="AV141" s="46">
        <f>IFERROR(AVERAGE(_xlfn.XLOOKUP(B141,Animals!B:B,Animals!N:N),_xlfn.XLOOKUP(B141,Animals!B:B,Animals!O:O)),0)</f>
        <v>0</v>
      </c>
      <c r="AW141" s="8">
        <f>MROUND(40*Animals!AO141*_xlfn.XLOOKUP(AG141,Leathers!$A$2:$A$99,Leathers!$B$2:$B$99,0)+(140*_xlfn.XLOOKUP(B141,Animals!B:B,Animals!AO:AO)*2),5)</f>
        <v>180</v>
      </c>
      <c r="AX141" s="8">
        <f>IFERROR(ROUND(SQRT(V141-1)*IF(_xlfn.XLOOKUP(E141,Groups!A:A,Groups!BF:BF)=0,2,1)*IF(_xlfn.XLOOKUP('Base stats'!E141,Groups!A:A,Groups!O:O)=0,1,0.1),1),0)</f>
        <v>2</v>
      </c>
      <c r="AY141" s="8">
        <f t="shared" si="59"/>
        <v>0</v>
      </c>
      <c r="AZ141" s="8">
        <f t="shared" si="60"/>
        <v>0</v>
      </c>
      <c r="BA141" s="8">
        <f t="shared" si="61"/>
        <v>2.1</v>
      </c>
      <c r="BB141" s="8">
        <f>IF(_xlfn.XLOOKUP(E141,Groups!A:A,Groups!N:N)="Insect",BD141*2.5,IFERROR(AVERAGE(BD141,AT141/9.81/IF(OR(_xlfn.XLOOKUP(E141,Groups!A:A,Groups!N:N)="Pig",_xlfn.XLOOKUP(E141,Groups!A:A,Groups!N:N)="StrongBitingHerbivore"),20,25))*C141^-0.135,BD141))</f>
        <v>1.4387332754594828</v>
      </c>
      <c r="BC141" s="8" t="str">
        <f>IF(W141="No","No",IF(_xlfn.XLOOKUP(E141,Groups!A:A,Groups!U:U)=1,'Base stats'!BB141,IF(OR(_xlfn.XLOOKUP(E141,Groups!A:A,Groups!BD:BD)=1,_xlfn.XLOOKUP(E141,Groups!A:A,Groups!U:U)=2),BD141,IF(_xlfn.XLOOKUP(B141,Animals!B:B,Animals!AO:AO)&gt;4,AVERAGE(BD141,BF141),BF141))))</f>
        <v>No</v>
      </c>
      <c r="BD141" s="8">
        <f t="shared" si="62"/>
        <v>0.38234173643064095</v>
      </c>
      <c r="BE141" s="8">
        <f>IF(_xlfn.XLOOKUP(E141,Groups!A:A,Groups!BE:BE)=1,(0.048*C141^1.01)+(0.071*C141^1.03),0.071*C141^1.03)/IF(_xlfn.XLOOKUP(E141,Groups!A:A,Groups!M:M)=1,0.85,IF(OR(_xlfn.XLOOKUP(B141,Animals!B:B,Animals!AO:AO)&gt;4,_xlfn.XLOOKUP(E141,Groups!A:A,Groups!BC:BC)=1),1.7,1))*C141^-0.25</f>
        <v>0.60216716874343879</v>
      </c>
      <c r="BF141" s="8">
        <f>(0.048*C141^1.01)/IF(_xlfn.XLOOKUP(E141,Groups!A:A,Groups!M:M)=1,0.25,0.8)*C141^-0.25</f>
        <v>0.48172960945265425</v>
      </c>
      <c r="BG141" s="8">
        <f>EXP(1.076*LN(AR141)-4.5397)*IF(_xlfn.XLOOKUP(E141,Groups!A:A,Groups!BC:BC)=1,1.25,IF(_xlfn.XLOOKUP(E141,Groups!A:A,Groups!BD:BD)=1,3.5,2.5))</f>
        <v>23.746343370214902</v>
      </c>
      <c r="BH141" s="8">
        <f>EXP(1.076*LN(AS141)-4.5397)*IF(_xlfn.XLOOKUP(E141,Groups!A:A,Groups!M:M)=1,0.8,IF(_xlfn.XLOOKUP(E141,Groups!A:A,Groups!BC:BC)=1,1.3,3))</f>
        <v>33.181040085894857</v>
      </c>
      <c r="BI141" s="8" t="str">
        <f>IF(W141="No","No",IF(_xlfn.XLOOKUP(E141,Groups!A:A,Groups!U:U)=1,'Base stats'!BJ141,IF(OR(_xlfn.XLOOKUP(E141,Groups!A:A,Groups!BD:BD)=1,_xlfn.XLOOKUP(E141,Groups!A:A,Groups!U:U)=2),BG141,BH141))*1.2)</f>
        <v>No</v>
      </c>
      <c r="BJ141" s="8">
        <f>IFERROR(EXP(1.076*LN(AT141)-4.5397)*IF(_xlfn.XLOOKUP(E141,Groups!A:A,Groups!N:N)="Insect",1,IF(OR(_xlfn.XLOOKUP(E141,Groups!A:A,Groups!N:N)="Pig",_xlfn.XLOOKUP(E141,Groups!A:A,Groups!N:N)="StrongBitingHerbivore"),3.5,3.75)),"No")</f>
        <v>62.445377090340372</v>
      </c>
      <c r="BK141" s="8">
        <f t="shared" si="63"/>
        <v>11</v>
      </c>
      <c r="BL141" s="8">
        <f t="shared" si="64"/>
        <v>10</v>
      </c>
      <c r="BM141" s="8" t="str">
        <f t="shared" si="65"/>
        <v>No</v>
      </c>
      <c r="BN141" s="8">
        <f t="shared" si="66"/>
        <v>9</v>
      </c>
      <c r="BO141" s="8">
        <f t="shared" si="67"/>
        <v>11</v>
      </c>
      <c r="BP141" s="8" t="str" cm="1">
        <f t="array" ref="BP141">IF(AND(_xlfn.XLOOKUP('Base stats'!E141,Groups!A:A,Groups!AD:AD=0),_xlfn.XLOOKUP('Base stats'!E141,Groups!A:A,Groups!P:P=0)),"No",IF(U141="No",AVERAGE(EXP(-0.57+0.99*LN(C141)),EXP(0.32+0.67*LN(C141)))/IF(_xlfn.XLOOKUP(E141,Groups!A:A,Groups!AD:AD)=1,10,2),(0.7354*C141^0.4078)*2/IF(_xlfn.XLOOKUP(E141,Groups!A:A,Groups!BK:BK)=1,1000,100)/IF(_xlfn.XLOOKUP(E141,Groups!A:A,Groups!AJ:AJ)="Photonozoa",3,1)))</f>
        <v>No</v>
      </c>
      <c r="BQ141" s="8" t="str">
        <f>IF(W141="No","No",IF(_xlfn.XLOOKUP(E141,Groups!A:A,Groups!BD:BD)=1,(AO141*5%),EXP(0.7354*LN(C141)^0.4078)*2/IF(_xlfn.XLOOKUP(E141,Groups!A:A,Groups!BL:BL)=1,1000,100)/IF(_xlfn.XLOOKUP(E141,Groups!A:A,Groups!AJ:AJ)="Photonozoa",3,1)))</f>
        <v>No</v>
      </c>
      <c r="BR141" s="8">
        <f>IF(BJ141="No","No",IF(_xlfn.XLOOKUP(E141,Groups!A:A,Groups!BF:BF)=1,(0.0315*C141+2.1825)*2,(0.7354*C141^0.4078)*2)/IF(_xlfn.XLOOKUP(E141,Groups!A:A,Groups!BM:BM)=1,1000,100)/IF(_xlfn.XLOOKUP(E141,Groups!A:A,Groups!AJ:AJ)="Photonozoa",3,1))</f>
        <v>4.4974970557536319E-2</v>
      </c>
      <c r="BS141" s="8">
        <f t="shared" si="68"/>
        <v>7.2042397360953261E-2</v>
      </c>
      <c r="BT141" s="8" t="str">
        <f t="shared" si="69"/>
        <v>No</v>
      </c>
      <c r="BU141" s="8" t="str">
        <f t="shared" si="70"/>
        <v>No</v>
      </c>
      <c r="BV141" s="8">
        <f t="shared" si="71"/>
        <v>1388.447314500278</v>
      </c>
      <c r="BW141" s="4">
        <v>0</v>
      </c>
      <c r="BX141" s="4">
        <v>1</v>
      </c>
    </row>
    <row r="142" spans="1:76" x14ac:dyDescent="0.25">
      <c r="A142" s="26" t="s">
        <v>495</v>
      </c>
      <c r="B142" s="6" t="s">
        <v>895</v>
      </c>
      <c r="C142" s="7">
        <f>AVERAGE(9,14,8,13)</f>
        <v>11</v>
      </c>
      <c r="D142" s="7" t="s">
        <v>1265</v>
      </c>
      <c r="E142" s="7" t="str">
        <f>Groups!$A$15</f>
        <v>Doglike (CANID)</v>
      </c>
      <c r="F142" s="7">
        <v>63</v>
      </c>
      <c r="G142" s="7">
        <f t="shared" si="73"/>
        <v>1.3972602739726028</v>
      </c>
      <c r="H142" s="7">
        <v>27</v>
      </c>
      <c r="I142" s="4">
        <v>0</v>
      </c>
      <c r="J142" s="7">
        <v>6</v>
      </c>
      <c r="K142" s="7" t="s">
        <v>507</v>
      </c>
      <c r="L142" s="7">
        <f t="shared" si="72"/>
        <v>46.421077486116715</v>
      </c>
      <c r="M142" s="7" t="s">
        <v>626</v>
      </c>
      <c r="N142" s="4">
        <v>0</v>
      </c>
      <c r="O142" s="4">
        <v>2</v>
      </c>
      <c r="P142" s="4">
        <v>0</v>
      </c>
      <c r="Q142" s="4">
        <v>0</v>
      </c>
      <c r="R142" s="4" t="s">
        <v>40</v>
      </c>
      <c r="S142" s="7">
        <f>_xlfn.XLOOKUP(B142,[1]TeethAdjusters!$A:$A,[1]BiteAdjusters!$C:$C,1)</f>
        <v>0.71417487730106877</v>
      </c>
      <c r="T142" s="7">
        <f>_xlfn.XLOOKUP(B142,[1]TeethAdjusters!$A:$A,[1]TeethAdjusters!$B:$B,1)</f>
        <v>0.95359131166584876</v>
      </c>
      <c r="U142" s="7" t="s">
        <v>45</v>
      </c>
      <c r="V142" s="7">
        <f>IF(AT142="No","No",IF(_xlfn.XLOOKUP(E142,Groups!A:A,Groups!AM:AM)=1,MROUND(EXP(0.3582*LN(C142)-0.2221)*T142,0.05),IF(_xlfn.XLOOKUP(E142,Groups!A:A,Groups!AM:AM)=2,MROUND(EXP(0.3582*LN(C142)-0.2221)*T142,0.05),"Need a formula")))</f>
        <v>1.8</v>
      </c>
      <c r="W142" s="7" t="s">
        <v>45</v>
      </c>
      <c r="X142" s="7" t="s">
        <v>932</v>
      </c>
      <c r="Y142" s="4" t="s">
        <v>53</v>
      </c>
      <c r="Z142" s="4">
        <v>1</v>
      </c>
      <c r="AA142" s="4">
        <v>0</v>
      </c>
      <c r="AB142" s="4">
        <v>0</v>
      </c>
      <c r="AC142" s="4">
        <v>0</v>
      </c>
      <c r="AD142" s="4">
        <v>0</v>
      </c>
      <c r="AE142" s="4" t="s">
        <v>45</v>
      </c>
      <c r="AF142" s="4" t="s">
        <v>496</v>
      </c>
      <c r="AG142" s="49" t="s">
        <v>379</v>
      </c>
      <c r="AH142" s="4" t="str">
        <f>Animals!$C$14</f>
        <v>&lt;li&gt;YorkshireTerrier&lt;/li&gt;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4" t="s">
        <v>40</v>
      </c>
      <c r="AO142" s="8">
        <f t="shared" si="57"/>
        <v>5275.0699642715344</v>
      </c>
      <c r="AP142" s="8">
        <f>IFERROR(C142*_xlfn.XLOOKUP(E142,Groups!A:A,Groups!K:K),0.106*C142^0.94)</f>
        <v>1.37225</v>
      </c>
      <c r="AQ142" s="8">
        <f>AP142*10000/(_xlfn.XLOOKUP(E142,Groups!A:A,Groups!J:J)*AO142)</f>
        <v>2.3865938511818303</v>
      </c>
      <c r="AR142" s="8">
        <f t="shared" si="58"/>
        <v>412.19730771477458</v>
      </c>
      <c r="AS142" s="8">
        <f>IF(_xlfn.XLOOKUP(E142,Groups!A:A,Groups!M:M)=1,EXP(0.7444*LN('Base stats'!C142)+6.5696),EXP(0.7927*LN('Base stats'!C142)+4.28))</f>
        <v>483.38410339999547</v>
      </c>
      <c r="AT142" s="8">
        <f>IF(_xlfn.XLOOKUP(E142,Groups!A:A,Groups!N:N)="No","No",
IF(_xlfn.XLOOKUP(E142,Groups!A:A,Groups!N:N)="Crocodile",EXP(0.8129*LN(C142)+4.6742)*S142,
IF(_xlfn.XLOOKUP(E142,Groups!A:A,Groups!N:N)="Felid",EXP(0.7843*LN(C142)+4.7073)*S142,
IF(_xlfn.XLOOKUP(E142,Groups!A:A,Groups!N:N)="Canid",EXP(0.8367*LN(C142)+4.8763)*S142,
IF(_xlfn.XLOOKUP(E142,Groups!A:A,Groups!N:N)="Pig",EXP(0.3439*LN(C142)+6.8519)*S142,
IF(_xlfn.XLOOKUP(E142,Groups!A:A,Groups!N:N)="Rodent",EXP(0.5625*LN(C142)+4.3006)*S142,
IF(_xlfn.XLOOKUP(E142,Groups!A:A,Groups!N:N)="Primate",EXP(0.7847*LN(C142)+3.4931)*S142,
IF(_xlfn.XLOOKUP(E142,Groups!A:A,Groups!N:N)="MiscCarnivora",EXP(0.7486*LN(C142)+4.2207)*S142,
IF(_xlfn.XLOOKUP(E142,Groups!A:A,Groups!N:N)="Lizard",EXP(0.7733*LN(C142)+5.5303)*S142,
IF(_xlfn.XLOOKUP(E142,Groups!A:A,Groups!N:N)="Snake",50*C142^(2/3)*S142,
IF(_xlfn.XLOOKUP(E142,Groups!A:A,Groups!N:N)="StrongBitingHerbivore",87.1133638856975*C142^(2/3)*S142,
IF(_xlfn.XLOOKUP(E142,Groups!A:A,Groups!N:N)="MiscEctotherms",59.4316884072269*C142^(2/3)*S142,
IF(_xlfn.XLOOKUP(E142,Groups!A:A,Groups!N:N)="StrongBeakBird",0.041*(C142*1000)^1.375*S142,
IF(_xlfn.XLOOKUP(E142,Groups!A:A,Groups!N:N)="Bird",0.118*(C142*1000)^0.692*S142,
IF(_xlfn.XLOOKUP(E142,Groups!A:A,Groups!N:N)="Insect",EXP(0.7444*LN(C142)+6.5696)*S142,
IF(_xlfn.XLOOKUP(E142,Groups!A:A,Groups!N:N)="Theropod",EXP(0.6966*LN(C142)+4.158)*S142,
"No"))))))))))))))))</f>
        <v>696.44690162359393</v>
      </c>
      <c r="AU142" s="8">
        <f>IF(_xlfn.XLOOKUP(E142,Groups!A:A,Groups!U:U)=3,AS142,IF(_xlfn.XLOOKUP(E142,Groups!A:A,Groups!U:U)=2,AR142,AT142))</f>
        <v>696.44690162359393</v>
      </c>
      <c r="AV142" s="46">
        <f>IFERROR(AVERAGE(_xlfn.XLOOKUP(B142,Animals!B:B,Animals!N:N),_xlfn.XLOOKUP(B142,Animals!B:B,Animals!O:O)),0)</f>
        <v>0</v>
      </c>
      <c r="AW142" s="8">
        <f>MROUND(40*Animals!AO142*_xlfn.XLOOKUP(AG142,Leathers!$A$2:$A$99,Leathers!$B$2:$B$99,0)+(140*_xlfn.XLOOKUP(B142,Animals!B:B,Animals!AO:AO)*2),5)</f>
        <v>160</v>
      </c>
      <c r="AX142" s="8">
        <f>IFERROR(ROUND(SQRT(V142-1)*IF(_xlfn.XLOOKUP(E142,Groups!A:A,Groups!BF:BF)=0,2,1)*IF(_xlfn.XLOOKUP('Base stats'!E142,Groups!A:A,Groups!O:O)=0,1,0.1),1),0)</f>
        <v>1.8</v>
      </c>
      <c r="AY142" s="8">
        <f t="shared" si="59"/>
        <v>0</v>
      </c>
      <c r="AZ142" s="8">
        <f t="shared" si="60"/>
        <v>0</v>
      </c>
      <c r="BA142" s="8">
        <f t="shared" si="61"/>
        <v>1.7</v>
      </c>
      <c r="BB142" s="8">
        <f>IF(_xlfn.XLOOKUP(E142,Groups!A:A,Groups!N:N)="Insect",BD142*2.5,IFERROR(AVERAGE(BD142,AT142/9.81/IF(OR(_xlfn.XLOOKUP(E142,Groups!A:A,Groups!N:N)="Pig",_xlfn.XLOOKUP(E142,Groups!A:A,Groups!N:N)="StrongBitingHerbivore"),20,25))*C142^-0.135,BD142))</f>
        <v>1.1312218069669866</v>
      </c>
      <c r="BC142" s="8" t="str">
        <f>IF(W142="No","No",IF(_xlfn.XLOOKUP(E142,Groups!A:A,Groups!U:U)=1,'Base stats'!BB142,IF(OR(_xlfn.XLOOKUP(E142,Groups!A:A,Groups!BD:BD)=1,_xlfn.XLOOKUP(E142,Groups!A:A,Groups!U:U)=2),BD142,IF(_xlfn.XLOOKUP(B142,Animals!B:B,Animals!AO:AO)&gt;4,AVERAGE(BD142,BF142),BF142))))</f>
        <v>No</v>
      </c>
      <c r="BD142" s="8">
        <f t="shared" si="62"/>
        <v>0.28753014832877943</v>
      </c>
      <c r="BE142" s="8">
        <f>IF(_xlfn.XLOOKUP(E142,Groups!A:A,Groups!BE:BE)=1,(0.048*C142^1.01)+(0.071*C142^1.03),0.071*C142^1.03)/IF(_xlfn.XLOOKUP(E142,Groups!A:A,Groups!M:M)=1,0.85,IF(OR(_xlfn.XLOOKUP(B142,Animals!B:B,Animals!AO:AO)&gt;4,_xlfn.XLOOKUP(E142,Groups!A:A,Groups!BC:BC)=1),1.7,1))*C142^-0.25</f>
        <v>0.46083413753228697</v>
      </c>
      <c r="BF142" s="8">
        <f>(0.048*C142^1.01)/IF(_xlfn.XLOOKUP(E142,Groups!A:A,Groups!M:M)=1,0.25,0.8)*C142^-0.25</f>
        <v>0.37120147316090957</v>
      </c>
      <c r="BG142" s="8">
        <f>EXP(1.076*LN(AR142)-4.5397)*IF(_xlfn.XLOOKUP(E142,Groups!A:A,Groups!BC:BC)=1,1.25,IF(_xlfn.XLOOKUP(E142,Groups!A:A,Groups!BD:BD)=1,3.5,2.5))</f>
        <v>17.387073558783207</v>
      </c>
      <c r="BH142" s="8">
        <f>EXP(1.076*LN(AS142)-4.5397)*IF(_xlfn.XLOOKUP(E142,Groups!A:A,Groups!M:M)=1,0.8,IF(_xlfn.XLOOKUP(E142,Groups!A:A,Groups!BC:BC)=1,1.3,3))</f>
        <v>24.765846622439327</v>
      </c>
      <c r="BI142" s="8" t="str">
        <f>IF(W142="No","No",IF(_xlfn.XLOOKUP(E142,Groups!A:A,Groups!U:U)=1,'Base stats'!BJ142,IF(OR(_xlfn.XLOOKUP(E142,Groups!A:A,Groups!BD:BD)=1,_xlfn.XLOOKUP(E142,Groups!A:A,Groups!U:U)=2),BG142,BH142))*1.2)</f>
        <v>No</v>
      </c>
      <c r="BJ142" s="8">
        <f>IFERROR(EXP(1.076*LN(AT142)-4.5397)*IF(_xlfn.XLOOKUP(E142,Groups!A:A,Groups!N:N)="Insect",1,IF(OR(_xlfn.XLOOKUP(E142,Groups!A:A,Groups!N:N)="Pig",_xlfn.XLOOKUP(E142,Groups!A:A,Groups!N:N)="StrongBitingHerbivore"),3.5,3.75)),"No")</f>
        <v>45.85768298159568</v>
      </c>
      <c r="BK142" s="8">
        <f t="shared" si="63"/>
        <v>10</v>
      </c>
      <c r="BL142" s="8">
        <f t="shared" si="64"/>
        <v>10</v>
      </c>
      <c r="BM142" s="8" t="str">
        <f t="shared" si="65"/>
        <v>No</v>
      </c>
      <c r="BN142" s="8">
        <f t="shared" si="66"/>
        <v>9</v>
      </c>
      <c r="BO142" s="8">
        <f t="shared" si="67"/>
        <v>11</v>
      </c>
      <c r="BP142" s="8" t="str" cm="1">
        <f t="array" ref="BP142">IF(AND(_xlfn.XLOOKUP('Base stats'!E142,Groups!A:A,Groups!AD:AD=0),_xlfn.XLOOKUP('Base stats'!E142,Groups!A:A,Groups!P:P=0)),"No",IF(U142="No",AVERAGE(EXP(-0.57+0.99*LN(C142)),EXP(0.32+0.67*LN(C142)))/IF(_xlfn.XLOOKUP(E142,Groups!A:A,Groups!AD:AD)=1,10,2),(0.7354*C142^0.4078)*2/IF(_xlfn.XLOOKUP(E142,Groups!A:A,Groups!BK:BK)=1,1000,100)/IF(_xlfn.XLOOKUP(E142,Groups!A:A,Groups!AJ:AJ)="Photonozoa",3,1)))</f>
        <v>No</v>
      </c>
      <c r="BQ142" s="8" t="str">
        <f>IF(W142="No","No",IF(_xlfn.XLOOKUP(E142,Groups!A:A,Groups!BD:BD)=1,(AO142*5%),EXP(0.7354*LN(C142)^0.4078)*2/IF(_xlfn.XLOOKUP(E142,Groups!A:A,Groups!BL:BL)=1,1000,100)/IF(_xlfn.XLOOKUP(E142,Groups!A:A,Groups!AJ:AJ)="Photonozoa",3,1)))</f>
        <v>No</v>
      </c>
      <c r="BR142" s="8">
        <f>IF(BJ142="No","No",IF(_xlfn.XLOOKUP(E142,Groups!A:A,Groups!BF:BF)=1,(0.0315*C142+2.1825)*2,(0.7354*C142^0.4078)*2)/IF(_xlfn.XLOOKUP(E142,Groups!A:A,Groups!BM:BM)=1,1000,100)/IF(_xlfn.XLOOKUP(E142,Groups!A:A,Groups!AJ:AJ)="Photonozoa",3,1))</f>
        <v>3.9105114172400528E-2</v>
      </c>
      <c r="BS142" s="8">
        <f t="shared" si="68"/>
        <v>6.592167943381691E-2</v>
      </c>
      <c r="BT142" s="8" t="str">
        <f t="shared" si="69"/>
        <v>No</v>
      </c>
      <c r="BU142" s="8" t="str">
        <f t="shared" si="70"/>
        <v>No</v>
      </c>
      <c r="BV142" s="8">
        <f t="shared" si="71"/>
        <v>1172.6773838180213</v>
      </c>
      <c r="BW142" s="4">
        <v>0</v>
      </c>
      <c r="BX142" s="4">
        <v>1</v>
      </c>
    </row>
    <row r="143" spans="1:76" x14ac:dyDescent="0.25">
      <c r="A143" s="26" t="s">
        <v>61</v>
      </c>
      <c r="B143" s="6" t="s">
        <v>896</v>
      </c>
      <c r="C143" s="7">
        <f>AVERAGE(AVERAGE(AVERAGE(30,40),AVERAGE(22,32)),AVERAGE(AVERAGE(35,60),AVERAGE(30,50)))</f>
        <v>37.375</v>
      </c>
      <c r="D143" s="7" t="s">
        <v>1266</v>
      </c>
      <c r="E143" s="7" t="str">
        <f>Groups!$A$15</f>
        <v>Doglike (CANID)</v>
      </c>
      <c r="F143" s="7">
        <v>63</v>
      </c>
      <c r="G143" s="7">
        <f t="shared" si="73"/>
        <v>1.3972602739726028</v>
      </c>
      <c r="H143" s="7">
        <v>27</v>
      </c>
      <c r="I143" s="4">
        <v>0</v>
      </c>
      <c r="J143" s="7">
        <v>6</v>
      </c>
      <c r="K143" s="7" t="s">
        <v>507</v>
      </c>
      <c r="L143" s="7">
        <f t="shared" si="72"/>
        <v>51.759609917715728</v>
      </c>
      <c r="M143" s="7" t="s">
        <v>626</v>
      </c>
      <c r="N143" s="4">
        <v>0</v>
      </c>
      <c r="O143" s="4">
        <v>2</v>
      </c>
      <c r="P143" s="4">
        <v>10</v>
      </c>
      <c r="Q143" s="4">
        <v>0</v>
      </c>
      <c r="R143" s="4" t="s">
        <v>40</v>
      </c>
      <c r="S143" s="7">
        <f>_xlfn.XLOOKUP(B143,[1]TeethAdjusters!$A:$A,[1]BiteAdjusters!$C:$C,1)</f>
        <v>0.71417487730106877</v>
      </c>
      <c r="T143" s="7">
        <f>_xlfn.XLOOKUP(B143,[1]TeethAdjusters!$A:$A,[1]TeethAdjusters!$B:$B,1)</f>
        <v>0.95359131166584876</v>
      </c>
      <c r="U143" s="7" t="s">
        <v>45</v>
      </c>
      <c r="V143" s="7">
        <f>IF(AT143="No","No",IF(_xlfn.XLOOKUP(E143,Groups!A:A,Groups!AM:AM)=1,MROUND(EXP(0.3582*LN(C143)-0.2221)*T143,0.05),IF(_xlfn.XLOOKUP(E143,Groups!A:A,Groups!AM:AM)=2,MROUND(EXP(0.3582*LN(C143)-0.2221)*T143,0.05),"Need a formula")))</f>
        <v>2.8000000000000003</v>
      </c>
      <c r="W143" s="7" t="s">
        <v>45</v>
      </c>
      <c r="X143" s="7" t="s">
        <v>932</v>
      </c>
      <c r="Y143" s="4" t="s">
        <v>53</v>
      </c>
      <c r="Z143" s="4">
        <v>1</v>
      </c>
      <c r="AA143" s="4">
        <v>0</v>
      </c>
      <c r="AB143" s="4">
        <v>0</v>
      </c>
      <c r="AC143" s="4">
        <v>0</v>
      </c>
      <c r="AD143" s="4">
        <v>0</v>
      </c>
      <c r="AE143" s="4" t="s">
        <v>45</v>
      </c>
      <c r="AF143" s="4" t="s">
        <v>496</v>
      </c>
      <c r="AG143" s="49" t="s">
        <v>379</v>
      </c>
      <c r="AH143" s="4" t="str">
        <f>Animals!$C$14</f>
        <v>&lt;li&gt;YorkshireTerrier&lt;/li&gt;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4" t="s">
        <v>40</v>
      </c>
      <c r="AO143" s="8">
        <f t="shared" si="57"/>
        <v>11681.557731569081</v>
      </c>
      <c r="AP143" s="8">
        <f>IFERROR(C143*_xlfn.XLOOKUP(E143,Groups!A:A,Groups!K:K),0.106*C143^0.94)</f>
        <v>4.6625312499999998</v>
      </c>
      <c r="AQ143" s="8">
        <f>AP143*10000/(_xlfn.XLOOKUP(E143,Groups!A:A,Groups!J:J)*AO143)</f>
        <v>3.6617989687664894</v>
      </c>
      <c r="AR143" s="8">
        <f t="shared" si="58"/>
        <v>1158.2440835460063</v>
      </c>
      <c r="AS143" s="8">
        <f>IF(_xlfn.XLOOKUP(E143,Groups!A:A,Groups!M:M)=1,EXP(0.7444*LN('Base stats'!C143)+6.5696),EXP(0.7927*LN('Base stats'!C143)+4.28))</f>
        <v>1274.5753082507779</v>
      </c>
      <c r="AT143" s="8">
        <f>IF(_xlfn.XLOOKUP(E143,Groups!A:A,Groups!N:N)="No","No",
IF(_xlfn.XLOOKUP(E143,Groups!A:A,Groups!N:N)="Crocodile",EXP(0.8129*LN(C143)+4.6742)*S143,
IF(_xlfn.XLOOKUP(E143,Groups!A:A,Groups!N:N)="Felid",EXP(0.7843*LN(C143)+4.7073)*S143,
IF(_xlfn.XLOOKUP(E143,Groups!A:A,Groups!N:N)="Canid",EXP(0.8367*LN(C143)+4.8763)*S143,
IF(_xlfn.XLOOKUP(E143,Groups!A:A,Groups!N:N)="Pig",EXP(0.3439*LN(C143)+6.8519)*S143,
IF(_xlfn.XLOOKUP(E143,Groups!A:A,Groups!N:N)="Rodent",EXP(0.5625*LN(C143)+4.3006)*S143,
IF(_xlfn.XLOOKUP(E143,Groups!A:A,Groups!N:N)="Primate",EXP(0.7847*LN(C143)+3.4931)*S143,
IF(_xlfn.XLOOKUP(E143,Groups!A:A,Groups!N:N)="MiscCarnivora",EXP(0.7486*LN(C143)+4.2207)*S143,
IF(_xlfn.XLOOKUP(E143,Groups!A:A,Groups!N:N)="Lizard",EXP(0.7733*LN(C143)+5.5303)*S143,
IF(_xlfn.XLOOKUP(E143,Groups!A:A,Groups!N:N)="Snake",50*C143^(2/3)*S143,
IF(_xlfn.XLOOKUP(E143,Groups!A:A,Groups!N:N)="StrongBitingHerbivore",87.1133638856975*C143^(2/3)*S143,
IF(_xlfn.XLOOKUP(E143,Groups!A:A,Groups!N:N)="MiscEctotherms",59.4316884072269*C143^(2/3)*S143,
IF(_xlfn.XLOOKUP(E143,Groups!A:A,Groups!N:N)="StrongBeakBird",0.041*(C143*1000)^1.375*S143,
IF(_xlfn.XLOOKUP(E143,Groups!A:A,Groups!N:N)="Bird",0.118*(C143*1000)^0.692*S143,
IF(_xlfn.XLOOKUP(E143,Groups!A:A,Groups!N:N)="Insect",EXP(0.7444*LN(C143)+6.5696)*S143,
IF(_xlfn.XLOOKUP(E143,Groups!A:A,Groups!N:N)="Theropod",EXP(0.6966*LN(C143)+4.158)*S143,
"No"))))))))))))))))</f>
        <v>1937.9092786102117</v>
      </c>
      <c r="AU143" s="8">
        <f>IF(_xlfn.XLOOKUP(E143,Groups!A:A,Groups!U:U)=3,AS143,IF(_xlfn.XLOOKUP(E143,Groups!A:A,Groups!U:U)=2,AR143,AT143))</f>
        <v>1937.9092786102117</v>
      </c>
      <c r="AV143" s="46">
        <f>IFERROR(AVERAGE(_xlfn.XLOOKUP(B143,Animals!B:B,Animals!N:N),_xlfn.XLOOKUP(B143,Animals!B:B,Animals!O:O)),0)</f>
        <v>0</v>
      </c>
      <c r="AW143" s="8">
        <f>MROUND(40*Animals!AO143*_xlfn.XLOOKUP(AG143,Leathers!$A$2:$A$99,Leathers!$B$2:$B$99,0)+(140*_xlfn.XLOOKUP(B143,Animals!B:B,Animals!AO:AO)*2),5)</f>
        <v>270</v>
      </c>
      <c r="AX143" s="8">
        <f>IFERROR(ROUND(SQRT(V143-1)*IF(_xlfn.XLOOKUP(E143,Groups!A:A,Groups!BF:BF)=0,2,1)*IF(_xlfn.XLOOKUP('Base stats'!E143,Groups!A:A,Groups!O:O)=0,1,0.1),1),0)</f>
        <v>2.7</v>
      </c>
      <c r="AY143" s="8">
        <f t="shared" si="59"/>
        <v>0</v>
      </c>
      <c r="AZ143" s="8">
        <f t="shared" si="60"/>
        <v>0</v>
      </c>
      <c r="BA143" s="8">
        <f t="shared" si="61"/>
        <v>2.9</v>
      </c>
      <c r="BB143" s="8">
        <f>IF(_xlfn.XLOOKUP(E143,Groups!A:A,Groups!N:N)="Insect",BD143*2.5,IFERROR(AVERAGE(BD143,AT143/9.81/IF(OR(_xlfn.XLOOKUP(E143,Groups!A:A,Groups!N:N)="Pig",_xlfn.XLOOKUP(E143,Groups!A:A,Groups!N:N)="StrongBitingHerbivore"),20,25))*C143^-0.135,BD143))</f>
        <v>2.6668908903033577</v>
      </c>
      <c r="BC143" s="8" t="str">
        <f>IF(W143="No","No",IF(_xlfn.XLOOKUP(E143,Groups!A:A,Groups!U:U)=1,'Base stats'!BB143,IF(OR(_xlfn.XLOOKUP(E143,Groups!A:A,Groups!BD:BD)=1,_xlfn.XLOOKUP(E143,Groups!A:A,Groups!U:U)=2),BD143,IF(_xlfn.XLOOKUP(B143,Animals!B:B,Animals!AO:AO)&gt;4,AVERAGE(BD143,BF143),BF143))))</f>
        <v>No</v>
      </c>
      <c r="BD143" s="8">
        <f t="shared" si="62"/>
        <v>0.79451306897413454</v>
      </c>
      <c r="BE143" s="8">
        <f>IF(_xlfn.XLOOKUP(E143,Groups!A:A,Groups!BE:BE)=1,(0.048*C143^1.01)+(0.071*C143^1.03),0.071*C143^1.03)/IF(_xlfn.XLOOKUP(E143,Groups!A:A,Groups!M:M)=1,0.85,IF(OR(_xlfn.XLOOKUP(B143,Animals!B:B,Animals!AO:AO)&gt;4,_xlfn.XLOOKUP(E143,Groups!A:A,Groups!BC:BC)=1),1.7,1))*C143^-0.25</f>
        <v>1.1963870012085274</v>
      </c>
      <c r="BF143" s="8">
        <f>(0.048*C143^1.01)/IF(_xlfn.XLOOKUP(E143,Groups!A:A,Groups!M:M)=1,0.25,0.8)*C143^-0.25</f>
        <v>0.94040074259320261</v>
      </c>
      <c r="BG143" s="8">
        <f>EXP(1.076*LN(AR143)-4.5397)*IF(_xlfn.XLOOKUP(E143,Groups!A:A,Groups!BC:BC)=1,1.25,IF(_xlfn.XLOOKUP(E143,Groups!A:A,Groups!BD:BD)=1,3.5,2.5))</f>
        <v>52.847232179206785</v>
      </c>
      <c r="BH143" s="8">
        <f>EXP(1.076*LN(AS143)-4.5397)*IF(_xlfn.XLOOKUP(E143,Groups!A:A,Groups!M:M)=1,0.8,IF(_xlfn.XLOOKUP(E143,Groups!A:A,Groups!BC:BC)=1,1.3,3))</f>
        <v>70.29555661729259</v>
      </c>
      <c r="BI143" s="8" t="str">
        <f>IF(W143="No","No",IF(_xlfn.XLOOKUP(E143,Groups!A:A,Groups!U:U)=1,'Base stats'!BJ143,IF(OR(_xlfn.XLOOKUP(E143,Groups!A:A,Groups!BD:BD)=1,_xlfn.XLOOKUP(E143,Groups!A:A,Groups!U:U)=2),BG143,BH143))*1.2)</f>
        <v>No</v>
      </c>
      <c r="BJ143" s="8">
        <f>IFERROR(EXP(1.076*LN(AT143)-4.5397)*IF(_xlfn.XLOOKUP(E143,Groups!A:A,Groups!N:N)="Insect",1,IF(OR(_xlfn.XLOOKUP(E143,Groups!A:A,Groups!N:N)="Pig",_xlfn.XLOOKUP(E143,Groups!A:A,Groups!N:N)="StrongBitingHerbivore"),3.5,3.75)),"No")</f>
        <v>137.92258616226633</v>
      </c>
      <c r="BK143" s="8">
        <f t="shared" si="63"/>
        <v>11</v>
      </c>
      <c r="BL143" s="8">
        <f t="shared" si="64"/>
        <v>10</v>
      </c>
      <c r="BM143" s="8" t="str">
        <f t="shared" si="65"/>
        <v>No</v>
      </c>
      <c r="BN143" s="8">
        <f t="shared" si="66"/>
        <v>10</v>
      </c>
      <c r="BO143" s="8">
        <f t="shared" si="67"/>
        <v>12</v>
      </c>
      <c r="BP143" s="8" t="str" cm="1">
        <f t="array" ref="BP143">IF(AND(_xlfn.XLOOKUP('Base stats'!E143,Groups!A:A,Groups!AD:AD=0),_xlfn.XLOOKUP('Base stats'!E143,Groups!A:A,Groups!P:P=0)),"No",IF(U143="No",AVERAGE(EXP(-0.57+0.99*LN(C143)),EXP(0.32+0.67*LN(C143)))/IF(_xlfn.XLOOKUP(E143,Groups!A:A,Groups!AD:AD)=1,10,2),(0.7354*C143^0.4078)*2/IF(_xlfn.XLOOKUP(E143,Groups!A:A,Groups!BK:BK)=1,1000,100)/IF(_xlfn.XLOOKUP(E143,Groups!A:A,Groups!AJ:AJ)="Photonozoa",3,1)))</f>
        <v>No</v>
      </c>
      <c r="BQ143" s="8" t="str">
        <f>IF(W143="No","No",IF(_xlfn.XLOOKUP(E143,Groups!A:A,Groups!BD:BD)=1,(AO143*5%),EXP(0.7354*LN(C143)^0.4078)*2/IF(_xlfn.XLOOKUP(E143,Groups!A:A,Groups!BL:BL)=1,1000,100)/IF(_xlfn.XLOOKUP(E143,Groups!A:A,Groups!AJ:AJ)="Photonozoa",3,1)))</f>
        <v>No</v>
      </c>
      <c r="BR143" s="8">
        <f>IF(BJ143="No","No",IF(_xlfn.XLOOKUP(E143,Groups!A:A,Groups!BF:BF)=1,(0.0315*C143+2.1825)*2,(0.7354*C143^0.4078)*2)/IF(_xlfn.XLOOKUP(E143,Groups!A:A,Groups!BM:BM)=1,1000,100)/IF(_xlfn.XLOOKUP(E143,Groups!A:A,Groups!AJ:AJ)="Photonozoa",3,1))</f>
        <v>6.4395012983712543E-2</v>
      </c>
      <c r="BS143" s="8">
        <f t="shared" si="68"/>
        <v>9.0479768869161398E-2</v>
      </c>
      <c r="BT143" s="8" t="str">
        <f t="shared" si="69"/>
        <v>No</v>
      </c>
      <c r="BU143" s="8" t="str">
        <f t="shared" si="70"/>
        <v>No</v>
      </c>
      <c r="BV143" s="8">
        <f t="shared" si="71"/>
        <v>2141.8209232623517</v>
      </c>
      <c r="BW143" s="4">
        <v>0</v>
      </c>
      <c r="BX143" s="4">
        <v>1</v>
      </c>
    </row>
    <row r="144" spans="1:76" x14ac:dyDescent="0.25">
      <c r="A144" s="26" t="s">
        <v>494</v>
      </c>
      <c r="B144" s="6" t="s">
        <v>897</v>
      </c>
      <c r="C144" s="7">
        <f>AVERAGE(63,79,50,63)</f>
        <v>63.75</v>
      </c>
      <c r="D144" s="7" t="s">
        <v>1267</v>
      </c>
      <c r="E144" s="7" t="str">
        <f>Groups!$A$15</f>
        <v>Doglike (CANID)</v>
      </c>
      <c r="F144" s="7">
        <v>63</v>
      </c>
      <c r="G144" s="7">
        <f t="shared" si="73"/>
        <v>1.3972602739726028</v>
      </c>
      <c r="H144" s="7">
        <v>27</v>
      </c>
      <c r="I144" s="4">
        <v>0</v>
      </c>
      <c r="J144" s="7">
        <v>6</v>
      </c>
      <c r="K144" s="7" t="s">
        <v>507</v>
      </c>
      <c r="L144" s="7">
        <f t="shared" si="72"/>
        <v>54.278770864438485</v>
      </c>
      <c r="M144" s="7" t="s">
        <v>626</v>
      </c>
      <c r="N144" s="4">
        <v>0</v>
      </c>
      <c r="O144" s="4">
        <v>2</v>
      </c>
      <c r="P144" s="4">
        <v>0</v>
      </c>
      <c r="Q144" s="4">
        <v>0</v>
      </c>
      <c r="R144" s="4" t="s">
        <v>40</v>
      </c>
      <c r="S144" s="7">
        <f>_xlfn.XLOOKUP(B144,[1]TeethAdjusters!$A:$A,[1]BiteAdjusters!$C:$C,1)</f>
        <v>0.71417487730106877</v>
      </c>
      <c r="T144" s="7">
        <f>_xlfn.XLOOKUP(B144,[1]TeethAdjusters!$A:$A,[1]TeethAdjusters!$B:$B,1)</f>
        <v>0.95359131166584876</v>
      </c>
      <c r="U144" s="7" t="s">
        <v>45</v>
      </c>
      <c r="V144" s="7">
        <f>IF(AT144="No","No",IF(_xlfn.XLOOKUP(E144,Groups!A:A,Groups!AM:AM)=1,MROUND(EXP(0.3582*LN(C144)-0.2221)*T144,0.05),IF(_xlfn.XLOOKUP(E144,Groups!A:A,Groups!AM:AM)=2,MROUND(EXP(0.3582*LN(C144)-0.2221)*T144,0.05),"Need a formula")))</f>
        <v>3.4000000000000004</v>
      </c>
      <c r="W144" s="7" t="s">
        <v>45</v>
      </c>
      <c r="X144" s="7" t="s">
        <v>932</v>
      </c>
      <c r="Y144" s="4" t="s">
        <v>53</v>
      </c>
      <c r="Z144" s="4">
        <v>1</v>
      </c>
      <c r="AA144" s="4">
        <v>0</v>
      </c>
      <c r="AB144" s="4">
        <v>0</v>
      </c>
      <c r="AC144" s="4">
        <v>0</v>
      </c>
      <c r="AD144" s="4">
        <v>0</v>
      </c>
      <c r="AE144" s="4" t="s">
        <v>45</v>
      </c>
      <c r="AF144" s="4" t="s">
        <v>496</v>
      </c>
      <c r="AG144" s="49" t="s">
        <v>379</v>
      </c>
      <c r="AH144" s="4" t="str">
        <f>Animals!$C$14</f>
        <v>&lt;li&gt;YorkshireTerrier&lt;/li&gt;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4" t="s">
        <v>40</v>
      </c>
      <c r="AO144" s="8">
        <f t="shared" si="57"/>
        <v>16528.563161064278</v>
      </c>
      <c r="AP144" s="8">
        <f>IFERROR(C144*_xlfn.XLOOKUP(E144,Groups!A:A,Groups!K:K),0.106*C144^0.94)</f>
        <v>7.9528125000000003</v>
      </c>
      <c r="AQ144" s="8">
        <f>AP144*10000/(_xlfn.XLOOKUP(E144,Groups!A:A,Groups!J:J)*AO144)</f>
        <v>4.4142725449166829</v>
      </c>
      <c r="AR144" s="8">
        <f t="shared" si="58"/>
        <v>1818.3821747104298</v>
      </c>
      <c r="AS144" s="8">
        <f>IF(_xlfn.XLOOKUP(E144,Groups!A:A,Groups!M:M)=1,EXP(0.7444*LN('Base stats'!C144)+6.5696),EXP(0.7927*LN('Base stats'!C144)+4.28))</f>
        <v>1946.2195395557933</v>
      </c>
      <c r="AT144" s="8">
        <f>IF(_xlfn.XLOOKUP(E144,Groups!A:A,Groups!N:N)="No","No",
IF(_xlfn.XLOOKUP(E144,Groups!A:A,Groups!N:N)="Crocodile",EXP(0.8129*LN(C144)+4.6742)*S144,
IF(_xlfn.XLOOKUP(E144,Groups!A:A,Groups!N:N)="Felid",EXP(0.7843*LN(C144)+4.7073)*S144,
IF(_xlfn.XLOOKUP(E144,Groups!A:A,Groups!N:N)="Canid",EXP(0.8367*LN(C144)+4.8763)*S144,
IF(_xlfn.XLOOKUP(E144,Groups!A:A,Groups!N:N)="Pig",EXP(0.3439*LN(C144)+6.8519)*S144,
IF(_xlfn.XLOOKUP(E144,Groups!A:A,Groups!N:N)="Rodent",EXP(0.5625*LN(C144)+4.3006)*S144,
IF(_xlfn.XLOOKUP(E144,Groups!A:A,Groups!N:N)="Primate",EXP(0.7847*LN(C144)+3.4931)*S144,
IF(_xlfn.XLOOKUP(E144,Groups!A:A,Groups!N:N)="MiscCarnivora",EXP(0.7486*LN(C144)+4.2207)*S144,
IF(_xlfn.XLOOKUP(E144,Groups!A:A,Groups!N:N)="Lizard",EXP(0.7733*LN(C144)+5.5303)*S144,
IF(_xlfn.XLOOKUP(E144,Groups!A:A,Groups!N:N)="Snake",50*C144^(2/3)*S144,
IF(_xlfn.XLOOKUP(E144,Groups!A:A,Groups!N:N)="StrongBitingHerbivore",87.1133638856975*C144^(2/3)*S144,
IF(_xlfn.XLOOKUP(E144,Groups!A:A,Groups!N:N)="MiscEctotherms",59.4316884072269*C144^(2/3)*S144,
IF(_xlfn.XLOOKUP(E144,Groups!A:A,Groups!N:N)="StrongBeakBird",0.041*(C144*1000)^1.375*S144,
IF(_xlfn.XLOOKUP(E144,Groups!A:A,Groups!N:N)="Bird",0.118*(C144*1000)^0.692*S144,
IF(_xlfn.XLOOKUP(E144,Groups!A:A,Groups!N:N)="Insect",EXP(0.7444*LN(C144)+6.5696)*S144,
IF(_xlfn.XLOOKUP(E144,Groups!A:A,Groups!N:N)="Theropod",EXP(0.6966*LN(C144)+4.158)*S144,
"No"))))))))))))))))</f>
        <v>3029.4467644574979</v>
      </c>
      <c r="AU144" s="8">
        <f>IF(_xlfn.XLOOKUP(E144,Groups!A:A,Groups!U:U)=3,AS144,IF(_xlfn.XLOOKUP(E144,Groups!A:A,Groups!U:U)=2,AR144,AT144))</f>
        <v>3029.4467644574979</v>
      </c>
      <c r="AV144" s="46">
        <f>IFERROR(AVERAGE(_xlfn.XLOOKUP(B144,Animals!B:B,Animals!N:N),_xlfn.XLOOKUP(B144,Animals!B:B,Animals!O:O)),0)</f>
        <v>0</v>
      </c>
      <c r="AW144" s="8">
        <f>MROUND(40*Animals!AO144*_xlfn.XLOOKUP(AG144,Leathers!$A$2:$A$99,Leathers!$B$2:$B$99,0)+(140*_xlfn.XLOOKUP(B144,Animals!B:B,Animals!AO:AO)*2),5)</f>
        <v>340</v>
      </c>
      <c r="AX144" s="8">
        <f>IFERROR(ROUND(SQRT(V144-1)*IF(_xlfn.XLOOKUP(E144,Groups!A:A,Groups!BF:BF)=0,2,1)*IF(_xlfn.XLOOKUP('Base stats'!E144,Groups!A:A,Groups!O:O)=0,1,0.1),1),0)</f>
        <v>3.1</v>
      </c>
      <c r="AY144" s="8">
        <f t="shared" si="59"/>
        <v>0</v>
      </c>
      <c r="AZ144" s="8">
        <f t="shared" si="60"/>
        <v>0</v>
      </c>
      <c r="BA144" s="8">
        <f t="shared" si="61"/>
        <v>3.5</v>
      </c>
      <c r="BB144" s="8">
        <f>IF(_xlfn.XLOOKUP(E144,Groups!A:A,Groups!N:N)="Insect",BD144*2.5,IFERROR(AVERAGE(BD144,AT144/9.81/IF(OR(_xlfn.XLOOKUP(E144,Groups!A:A,Groups!N:N)="Pig",_xlfn.XLOOKUP(E144,Groups!A:A,Groups!N:N)="StrongBitingHerbivore"),20,25))*C144^-0.135,BD144))</f>
        <v>3.8780032568791114</v>
      </c>
      <c r="BC144" s="8" t="str">
        <f>IF(W144="No","No",IF(_xlfn.XLOOKUP(E144,Groups!A:A,Groups!U:U)=1,'Base stats'!BB144,IF(OR(_xlfn.XLOOKUP(E144,Groups!A:A,Groups!BD:BD)=1,_xlfn.XLOOKUP(E144,Groups!A:A,Groups!U:U)=2),BD144,IF(_xlfn.XLOOKUP(B144,Animals!B:B,Animals!AO:AO)&gt;4,AVERAGE(BD144,BF144),BF144))))</f>
        <v>No</v>
      </c>
      <c r="BD144" s="8">
        <f t="shared" si="62"/>
        <v>1.2382521883166966</v>
      </c>
      <c r="BE144" s="8">
        <f>IF(_xlfn.XLOOKUP(E144,Groups!A:A,Groups!BE:BE)=1,(0.048*C144^1.01)+(0.071*C144^1.03),0.071*C144^1.03)/IF(_xlfn.XLOOKUP(E144,Groups!A:A,Groups!M:M)=1,0.85,IF(OR(_xlfn.XLOOKUP(B144,Animals!B:B,Animals!AO:AO)&gt;4,_xlfn.XLOOKUP(E144,Groups!A:A,Groups!BC:BC)=1),1.7,1))*C144^-0.25</f>
        <v>1.8144829690708788</v>
      </c>
      <c r="BF144" s="8">
        <f>(0.048*C144^1.01)/IF(_xlfn.XLOOKUP(E144,Groups!A:A,Groups!M:M)=1,0.25,0.8)*C144^-0.25</f>
        <v>1.4110948086116992</v>
      </c>
      <c r="BG144" s="8">
        <f>EXP(1.076*LN(AR144)-4.5397)*IF(_xlfn.XLOOKUP(E144,Groups!A:A,Groups!BC:BC)=1,1.25,IF(_xlfn.XLOOKUP(E144,Groups!A:A,Groups!BD:BD)=1,3.5,2.5))</f>
        <v>85.860732091557921</v>
      </c>
      <c r="BH144" s="8">
        <f>EXP(1.076*LN(AS144)-4.5397)*IF(_xlfn.XLOOKUP(E144,Groups!A:A,Groups!M:M)=1,0.8,IF(_xlfn.XLOOKUP(E144,Groups!A:A,Groups!BC:BC)=1,1.3,3))</f>
        <v>110.84727027247962</v>
      </c>
      <c r="BI144" s="8" t="str">
        <f>IF(W144="No","No",IF(_xlfn.XLOOKUP(E144,Groups!A:A,Groups!U:U)=1,'Base stats'!BJ144,IF(OR(_xlfn.XLOOKUP(E144,Groups!A:A,Groups!BD:BD)=1,_xlfn.XLOOKUP(E144,Groups!A:A,Groups!U:U)=2),BG144,BH144))*1.2)</f>
        <v>No</v>
      </c>
      <c r="BJ144" s="8">
        <f>IFERROR(EXP(1.076*LN(AT144)-4.5397)*IF(_xlfn.XLOOKUP(E144,Groups!A:A,Groups!N:N)="Insect",1,IF(OR(_xlfn.XLOOKUP(E144,Groups!A:A,Groups!N:N)="Pig",_xlfn.XLOOKUP(E144,Groups!A:A,Groups!N:N)="StrongBitingHerbivore"),3.5,3.75)),"No")</f>
        <v>223.05478597657822</v>
      </c>
      <c r="BK144" s="8">
        <f t="shared" si="63"/>
        <v>11</v>
      </c>
      <c r="BL144" s="8">
        <f t="shared" si="64"/>
        <v>11</v>
      </c>
      <c r="BM144" s="8" t="str">
        <f t="shared" si="65"/>
        <v>No</v>
      </c>
      <c r="BN144" s="8">
        <f t="shared" si="66"/>
        <v>10</v>
      </c>
      <c r="BO144" s="8">
        <f t="shared" si="67"/>
        <v>12</v>
      </c>
      <c r="BP144" s="8" t="str" cm="1">
        <f t="array" ref="BP144">IF(AND(_xlfn.XLOOKUP('Base stats'!E144,Groups!A:A,Groups!AD:AD=0),_xlfn.XLOOKUP('Base stats'!E144,Groups!A:A,Groups!P:P=0)),"No",IF(U144="No",AVERAGE(EXP(-0.57+0.99*LN(C144)),EXP(0.32+0.67*LN(C144)))/IF(_xlfn.XLOOKUP(E144,Groups!A:A,Groups!AD:AD)=1,10,2),(0.7354*C144^0.4078)*2/IF(_xlfn.XLOOKUP(E144,Groups!A:A,Groups!BK:BK)=1,1000,100)/IF(_xlfn.XLOOKUP(E144,Groups!A:A,Groups!AJ:AJ)="Photonozoa",3,1)))</f>
        <v>No</v>
      </c>
      <c r="BQ144" s="8" t="str">
        <f>IF(W144="No","No",IF(_xlfn.XLOOKUP(E144,Groups!A:A,Groups!BD:BD)=1,(AO144*5%),EXP(0.7354*LN(C144)^0.4078)*2/IF(_xlfn.XLOOKUP(E144,Groups!A:A,Groups!BL:BL)=1,1000,100)/IF(_xlfn.XLOOKUP(E144,Groups!A:A,Groups!AJ:AJ)="Photonozoa",3,1)))</f>
        <v>No</v>
      </c>
      <c r="BR144" s="8">
        <f>IF(BJ144="No","No",IF(_xlfn.XLOOKUP(E144,Groups!A:A,Groups!BF:BF)=1,(0.0315*C144+2.1825)*2,(0.7354*C144^0.4078)*2)/IF(_xlfn.XLOOKUP(E144,Groups!A:A,Groups!BM:BM)=1,1000,100)/IF(_xlfn.XLOOKUP(E144,Groups!A:A,Groups!AJ:AJ)="Photonozoa",3,1))</f>
        <v>8.0060932154055159E-2</v>
      </c>
      <c r="BS144" s="8">
        <f t="shared" si="68"/>
        <v>0.10389376409174737</v>
      </c>
      <c r="BT144" s="8" t="str">
        <f t="shared" si="69"/>
        <v>No</v>
      </c>
      <c r="BU144" s="8" t="str">
        <f t="shared" si="70"/>
        <v>No</v>
      </c>
      <c r="BV144" s="8">
        <f t="shared" si="71"/>
        <v>2786.062814599396</v>
      </c>
      <c r="BW144" s="4">
        <v>0</v>
      </c>
      <c r="BX144" s="4">
        <v>1</v>
      </c>
    </row>
    <row r="145" spans="1:76" x14ac:dyDescent="0.25">
      <c r="A145" s="26" t="s">
        <v>491</v>
      </c>
      <c r="B145" s="6" t="s">
        <v>898</v>
      </c>
      <c r="C145" s="7">
        <f>AVERAGE(20,32)</f>
        <v>26</v>
      </c>
      <c r="D145" s="7" t="s">
        <v>1260</v>
      </c>
      <c r="E145" s="7" t="str">
        <f>Groups!$A$15</f>
        <v>Doglike (CANID)</v>
      </c>
      <c r="F145" s="7">
        <v>63</v>
      </c>
      <c r="G145" s="7">
        <f t="shared" si="73"/>
        <v>1.3972602739726028</v>
      </c>
      <c r="H145" s="7">
        <v>27</v>
      </c>
      <c r="I145" s="4">
        <v>0</v>
      </c>
      <c r="J145" s="7">
        <v>6</v>
      </c>
      <c r="K145" s="7" t="s">
        <v>507</v>
      </c>
      <c r="L145" s="7">
        <f t="shared" si="72"/>
        <v>50.114557004574422</v>
      </c>
      <c r="M145" s="7" t="s">
        <v>626</v>
      </c>
      <c r="N145" s="4">
        <v>0</v>
      </c>
      <c r="O145" s="4">
        <v>2</v>
      </c>
      <c r="P145" s="4">
        <v>0</v>
      </c>
      <c r="Q145" s="4">
        <v>0</v>
      </c>
      <c r="R145" s="4" t="s">
        <v>40</v>
      </c>
      <c r="S145" s="7">
        <f>_xlfn.XLOOKUP(B145,[1]TeethAdjusters!$A:$A,[1]BiteAdjusters!$C:$C,1)</f>
        <v>0.71417487730106877</v>
      </c>
      <c r="T145" s="7">
        <f>_xlfn.XLOOKUP(B145,[1]TeethAdjusters!$A:$A,[1]TeethAdjusters!$B:$B,1)</f>
        <v>0.95359131166584876</v>
      </c>
      <c r="U145" s="7" t="s">
        <v>45</v>
      </c>
      <c r="V145" s="7">
        <f>IF(AT145="No","No",IF(_xlfn.XLOOKUP(E145,Groups!A:A,Groups!AM:AM)=1,MROUND(EXP(0.3582*LN(C145)-0.2221)*T145,0.05),IF(_xlfn.XLOOKUP(E145,Groups!A:A,Groups!AM:AM)=2,MROUND(EXP(0.3582*LN(C145)-0.2221)*T145,0.05),"Need a formula")))</f>
        <v>2.4500000000000002</v>
      </c>
      <c r="W145" s="7" t="s">
        <v>45</v>
      </c>
      <c r="X145" s="7" t="s">
        <v>932</v>
      </c>
      <c r="Y145" s="4" t="s">
        <v>53</v>
      </c>
      <c r="Z145" s="4">
        <v>1</v>
      </c>
      <c r="AA145" s="4">
        <v>0</v>
      </c>
      <c r="AB145" s="4">
        <v>0</v>
      </c>
      <c r="AC145" s="4">
        <v>0</v>
      </c>
      <c r="AD145" s="4">
        <v>0</v>
      </c>
      <c r="AE145" s="4" t="s">
        <v>45</v>
      </c>
      <c r="AF145" s="4" t="s">
        <v>496</v>
      </c>
      <c r="AG145" s="49" t="s">
        <v>379</v>
      </c>
      <c r="AH145" s="4" t="str">
        <f>Animals!$C$14</f>
        <v>&lt;li&gt;YorkshireTerrier&lt;/li&gt;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4" t="s">
        <v>40</v>
      </c>
      <c r="AO145" s="8">
        <f t="shared" si="57"/>
        <v>9226.8966253474555</v>
      </c>
      <c r="AP145" s="8">
        <f>IFERROR(C145*_xlfn.XLOOKUP(E145,Groups!A:A,Groups!K:K),0.106*C145^0.94)</f>
        <v>3.2435</v>
      </c>
      <c r="AQ145" s="8">
        <f>AP145*10000/(_xlfn.XLOOKUP(E145,Groups!A:A,Groups!J:J)*AO145)</f>
        <v>3.2250150773553727</v>
      </c>
      <c r="AR145" s="8">
        <f t="shared" si="58"/>
        <v>852.44964986092737</v>
      </c>
      <c r="AS145" s="8">
        <f>IF(_xlfn.XLOOKUP(E145,Groups!A:A,Groups!M:M)=1,EXP(0.7444*LN('Base stats'!C145)+6.5696),EXP(0.7927*LN('Base stats'!C145)+4.28))</f>
        <v>955.93806528846119</v>
      </c>
      <c r="AT145" s="8">
        <f>IF(_xlfn.XLOOKUP(E145,Groups!A:A,Groups!N:N)="No","No",
IF(_xlfn.XLOOKUP(E145,Groups!A:A,Groups!N:N)="Crocodile",EXP(0.8129*LN(C145)+4.6742)*S145,
IF(_xlfn.XLOOKUP(E145,Groups!A:A,Groups!N:N)="Felid",EXP(0.7843*LN(C145)+4.7073)*S145,
IF(_xlfn.XLOOKUP(E145,Groups!A:A,Groups!N:N)="Canid",EXP(0.8367*LN(C145)+4.8763)*S145,
IF(_xlfn.XLOOKUP(E145,Groups!A:A,Groups!N:N)="Pig",EXP(0.3439*LN(C145)+6.8519)*S145,
IF(_xlfn.XLOOKUP(E145,Groups!A:A,Groups!N:N)="Rodent",EXP(0.5625*LN(C145)+4.3006)*S145,
IF(_xlfn.XLOOKUP(E145,Groups!A:A,Groups!N:N)="Primate",EXP(0.7847*LN(C145)+3.4931)*S145,
IF(_xlfn.XLOOKUP(E145,Groups!A:A,Groups!N:N)="MiscCarnivora",EXP(0.7486*LN(C145)+4.2207)*S145,
IF(_xlfn.XLOOKUP(E145,Groups!A:A,Groups!N:N)="Lizard",EXP(0.7733*LN(C145)+5.5303)*S145,
IF(_xlfn.XLOOKUP(E145,Groups!A:A,Groups!N:N)="Snake",50*C145^(2/3)*S145,
IF(_xlfn.XLOOKUP(E145,Groups!A:A,Groups!N:N)="StrongBitingHerbivore",87.1133638856975*C145^(2/3)*S145,
IF(_xlfn.XLOOKUP(E145,Groups!A:A,Groups!N:N)="MiscEctotherms",59.4316884072269*C145^(2/3)*S145,
IF(_xlfn.XLOOKUP(E145,Groups!A:A,Groups!N:N)="StrongBeakBird",0.041*(C145*1000)^1.375*S145,
IF(_xlfn.XLOOKUP(E145,Groups!A:A,Groups!N:N)="Bird",0.118*(C145*1000)^0.692*S145,
IF(_xlfn.XLOOKUP(E145,Groups!A:A,Groups!N:N)="Insect",EXP(0.7444*LN(C145)+6.5696)*S145,
IF(_xlfn.XLOOKUP(E145,Groups!A:A,Groups!N:N)="Theropod",EXP(0.6966*LN(C145)+4.158)*S145,
"No"))))))))))))))))</f>
        <v>1430.4179494916264</v>
      </c>
      <c r="AU145" s="8">
        <f>IF(_xlfn.XLOOKUP(E145,Groups!A:A,Groups!U:U)=3,AS145,IF(_xlfn.XLOOKUP(E145,Groups!A:A,Groups!U:U)=2,AR145,AT145))</f>
        <v>1430.4179494916264</v>
      </c>
      <c r="AV145" s="46">
        <f>IFERROR(AVERAGE(_xlfn.XLOOKUP(B145,Animals!B:B,Animals!N:N),_xlfn.XLOOKUP(B145,Animals!B:B,Animals!O:O)),0)</f>
        <v>0</v>
      </c>
      <c r="AW145" s="8">
        <f>MROUND(40*Animals!AO145*_xlfn.XLOOKUP(AG145,Leathers!$A$2:$A$99,Leathers!$B$2:$B$99,0)+(140*_xlfn.XLOOKUP(B145,Animals!B:B,Animals!AO:AO)*2),5)</f>
        <v>235</v>
      </c>
      <c r="AX145" s="8">
        <f>IFERROR(ROUND(SQRT(V145-1)*IF(_xlfn.XLOOKUP(E145,Groups!A:A,Groups!BF:BF)=0,2,1)*IF(_xlfn.XLOOKUP('Base stats'!E145,Groups!A:A,Groups!O:O)=0,1,0.1),1),0)</f>
        <v>2.4</v>
      </c>
      <c r="AY145" s="8">
        <f t="shared" si="59"/>
        <v>0</v>
      </c>
      <c r="AZ145" s="8">
        <f t="shared" si="60"/>
        <v>0</v>
      </c>
      <c r="BA145" s="8">
        <f t="shared" si="61"/>
        <v>2.6</v>
      </c>
      <c r="BB145" s="8">
        <f>IF(_xlfn.XLOOKUP(E145,Groups!A:A,Groups!N:N)="Insect",BD145*2.5,IFERROR(AVERAGE(BD145,AT145/9.81/IF(OR(_xlfn.XLOOKUP(E145,Groups!A:A,Groups!N:N)="Pig",_xlfn.XLOOKUP(E145,Groups!A:A,Groups!N:N)="StrongBitingHerbivore"),20,25))*C145^-0.135,BD145))</f>
        <v>2.0677306773689037</v>
      </c>
      <c r="BC145" s="8" t="str">
        <f>IF(W145="No","No",IF(_xlfn.XLOOKUP(E145,Groups!A:A,Groups!U:U)=1,'Base stats'!BB145,IF(OR(_xlfn.XLOOKUP(E145,Groups!A:A,Groups!BD:BD)=1,_xlfn.XLOOKUP(E145,Groups!A:A,Groups!U:U)=2),BD145,IF(_xlfn.XLOOKUP(B145,Animals!B:B,Animals!AO:AO)&gt;4,AVERAGE(BD145,BF145),BF145))))</f>
        <v>No</v>
      </c>
      <c r="BD145" s="8">
        <f t="shared" si="62"/>
        <v>0.58766377309862416</v>
      </c>
      <c r="BE145" s="8">
        <f>IF(_xlfn.XLOOKUP(E145,Groups!A:A,Groups!BE:BE)=1,(0.048*C145^1.01)+(0.071*C145^1.03),0.071*C145^1.03)/IF(_xlfn.XLOOKUP(E145,Groups!A:A,Groups!M:M)=1,0.85,IF(OR(_xlfn.XLOOKUP(B145,Animals!B:B,Animals!AO:AO)&gt;4,_xlfn.XLOOKUP(E145,Groups!A:A,Groups!BC:BC)=1),1.7,1))*C145^-0.25</f>
        <v>0.90144152524684229</v>
      </c>
      <c r="BF145" s="8">
        <f>(0.048*C145^1.01)/IF(_xlfn.XLOOKUP(E145,Groups!A:A,Groups!M:M)=1,0.25,0.8)*C145^-0.25</f>
        <v>0.71372514062620962</v>
      </c>
      <c r="BG145" s="8">
        <f>EXP(1.076*LN(AR145)-4.5397)*IF(_xlfn.XLOOKUP(E145,Groups!A:A,Groups!BC:BC)=1,1.25,IF(_xlfn.XLOOKUP(E145,Groups!A:A,Groups!BD:BD)=1,3.5,2.5))</f>
        <v>37.999064941141754</v>
      </c>
      <c r="BH145" s="8">
        <f>EXP(1.076*LN(AS145)-4.5397)*IF(_xlfn.XLOOKUP(E145,Groups!A:A,Groups!M:M)=1,0.8,IF(_xlfn.XLOOKUP(E145,Groups!A:A,Groups!BC:BC)=1,1.3,3))</f>
        <v>51.581861630943912</v>
      </c>
      <c r="BI145" s="8" t="str">
        <f>IF(W145="No","No",IF(_xlfn.XLOOKUP(E145,Groups!A:A,Groups!U:U)=1,'Base stats'!BJ145,IF(OR(_xlfn.XLOOKUP(E145,Groups!A:A,Groups!BD:BD)=1,_xlfn.XLOOKUP(E145,Groups!A:A,Groups!U:U)=2),BG145,BH145))*1.2)</f>
        <v>No</v>
      </c>
      <c r="BJ145" s="8">
        <f>IFERROR(EXP(1.076*LN(AT145)-4.5397)*IF(_xlfn.XLOOKUP(E145,Groups!A:A,Groups!N:N)="Insect",1,IF(OR(_xlfn.XLOOKUP(E145,Groups!A:A,Groups!N:N)="Pig",_xlfn.XLOOKUP(E145,Groups!A:A,Groups!N:N)="StrongBitingHerbivore"),3.5,3.75)),"No")</f>
        <v>99.481595909926881</v>
      </c>
      <c r="BK145" s="8">
        <f t="shared" si="63"/>
        <v>11</v>
      </c>
      <c r="BL145" s="8">
        <f t="shared" si="64"/>
        <v>10</v>
      </c>
      <c r="BM145" s="8" t="str">
        <f t="shared" si="65"/>
        <v>No</v>
      </c>
      <c r="BN145" s="8">
        <f t="shared" si="66"/>
        <v>9</v>
      </c>
      <c r="BO145" s="8">
        <f t="shared" si="67"/>
        <v>12</v>
      </c>
      <c r="BP145" s="8" t="str" cm="1">
        <f t="array" ref="BP145">IF(AND(_xlfn.XLOOKUP('Base stats'!E145,Groups!A:A,Groups!AD:AD=0),_xlfn.XLOOKUP('Base stats'!E145,Groups!A:A,Groups!P:P=0)),"No",IF(U145="No",AVERAGE(EXP(-0.57+0.99*LN(C145)),EXP(0.32+0.67*LN(C145)))/IF(_xlfn.XLOOKUP(E145,Groups!A:A,Groups!AD:AD)=1,10,2),(0.7354*C145^0.4078)*2/IF(_xlfn.XLOOKUP(E145,Groups!A:A,Groups!BK:BK)=1,1000,100)/IF(_xlfn.XLOOKUP(E145,Groups!A:A,Groups!AJ:AJ)="Photonozoa",3,1)))</f>
        <v>No</v>
      </c>
      <c r="BQ145" s="8" t="str">
        <f>IF(W145="No","No",IF(_xlfn.XLOOKUP(E145,Groups!A:A,Groups!BD:BD)=1,(AO145*5%),EXP(0.7354*LN(C145)^0.4078)*2/IF(_xlfn.XLOOKUP(E145,Groups!A:A,Groups!BL:BL)=1,1000,100)/IF(_xlfn.XLOOKUP(E145,Groups!A:A,Groups!AJ:AJ)="Photonozoa",3,1)))</f>
        <v>No</v>
      </c>
      <c r="BR145" s="8">
        <f>IF(BJ145="No","No",IF(_xlfn.XLOOKUP(E145,Groups!A:A,Groups!BF:BF)=1,(0.0315*C145+2.1825)*2,(0.7354*C145^0.4078)*2)/IF(_xlfn.XLOOKUP(E145,Groups!A:A,Groups!BM:BM)=1,1000,100)/IF(_xlfn.XLOOKUP(E145,Groups!A:A,Groups!AJ:AJ)="Photonozoa",3,1))</f>
        <v>5.5536659356448935E-2</v>
      </c>
      <c r="BS145" s="8">
        <f t="shared" si="68"/>
        <v>8.2365862508426729E-2</v>
      </c>
      <c r="BT145" s="8" t="str">
        <f t="shared" si="69"/>
        <v>No</v>
      </c>
      <c r="BU145" s="8" t="str">
        <f t="shared" si="70"/>
        <v>No</v>
      </c>
      <c r="BV145" s="8">
        <f t="shared" si="71"/>
        <v>1791.2779966009073</v>
      </c>
      <c r="BW145" s="4">
        <v>0</v>
      </c>
      <c r="BX145" s="4">
        <v>1</v>
      </c>
    </row>
    <row r="146" spans="1:76" x14ac:dyDescent="0.25">
      <c r="A146" s="26" t="s">
        <v>492</v>
      </c>
      <c r="B146" s="6" t="s">
        <v>899</v>
      </c>
      <c r="C146" s="7">
        <f>AVERAGE(6.35,8.16)</f>
        <v>7.2549999999999999</v>
      </c>
      <c r="D146" s="7" t="s">
        <v>1261</v>
      </c>
      <c r="E146" s="7" t="str">
        <f>Groups!$A$15</f>
        <v>Doglike (CANID)</v>
      </c>
      <c r="F146" s="7">
        <v>63</v>
      </c>
      <c r="G146" s="7">
        <f t="shared" si="73"/>
        <v>1.3972602739726028</v>
      </c>
      <c r="H146" s="7">
        <v>27</v>
      </c>
      <c r="I146" s="4">
        <v>0</v>
      </c>
      <c r="J146" s="7">
        <v>6</v>
      </c>
      <c r="K146" s="7" t="s">
        <v>507</v>
      </c>
      <c r="L146" s="7">
        <f t="shared" si="72"/>
        <v>44.73299720791843</v>
      </c>
      <c r="M146" s="7" t="s">
        <v>626</v>
      </c>
      <c r="N146" s="4">
        <v>0</v>
      </c>
      <c r="O146" s="4">
        <v>2</v>
      </c>
      <c r="P146" s="4">
        <v>0</v>
      </c>
      <c r="Q146" s="4">
        <v>0</v>
      </c>
      <c r="R146" s="4" t="s">
        <v>40</v>
      </c>
      <c r="S146" s="7">
        <f>_xlfn.XLOOKUP(B146,[1]TeethAdjusters!$A:$A,[1]BiteAdjusters!$C:$C,1)</f>
        <v>0.71417487730106877</v>
      </c>
      <c r="T146" s="7">
        <f>_xlfn.XLOOKUP(B146,[1]TeethAdjusters!$A:$A,[1]TeethAdjusters!$B:$B,1)</f>
        <v>0.95359131166584876</v>
      </c>
      <c r="U146" s="7" t="s">
        <v>45</v>
      </c>
      <c r="V146" s="7">
        <f>IF(AT146="No","No",IF(_xlfn.XLOOKUP(E146,Groups!A:A,Groups!AM:AM)=1,MROUND(EXP(0.3582*LN(C146)-0.2221)*T146,0.05),IF(_xlfn.XLOOKUP(E146,Groups!A:A,Groups!AM:AM)=2,MROUND(EXP(0.3582*LN(C146)-0.2221)*T146,0.05),"Need a formula")))</f>
        <v>1.55</v>
      </c>
      <c r="W146" s="7" t="s">
        <v>45</v>
      </c>
      <c r="X146" s="7" t="s">
        <v>932</v>
      </c>
      <c r="Y146" s="4" t="s">
        <v>53</v>
      </c>
      <c r="Z146" s="4">
        <v>1</v>
      </c>
      <c r="AA146" s="4">
        <v>0</v>
      </c>
      <c r="AB146" s="4">
        <v>0</v>
      </c>
      <c r="AC146" s="4">
        <v>0</v>
      </c>
      <c r="AD146" s="4">
        <v>0</v>
      </c>
      <c r="AE146" s="4" t="s">
        <v>45</v>
      </c>
      <c r="AF146" s="4" t="s">
        <v>496</v>
      </c>
      <c r="AG146" s="49" t="s">
        <v>379</v>
      </c>
      <c r="AH146" s="4" t="str">
        <f>Animals!$C$14</f>
        <v>&lt;li&gt;YorkshireTerrier&lt;/li&gt;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4" t="s">
        <v>40</v>
      </c>
      <c r="AO146" s="8">
        <f t="shared" si="57"/>
        <v>4024.7350855215182</v>
      </c>
      <c r="AP146" s="8">
        <f>IFERROR(C146*_xlfn.XLOOKUP(E146,Groups!A:A,Groups!K:K),0.106*C146^0.94)</f>
        <v>0.90506125000000004</v>
      </c>
      <c r="AQ146" s="8">
        <f>AP146*10000/(_xlfn.XLOOKUP(E146,Groups!A:A,Groups!J:J)*AO146)</f>
        <v>2.0630709956671738</v>
      </c>
      <c r="AR146" s="8">
        <f t="shared" si="58"/>
        <v>290.01547733821099</v>
      </c>
      <c r="AS146" s="8">
        <f>IF(_xlfn.XLOOKUP(E146,Groups!A:A,Groups!M:M)=1,EXP(0.7444*LN('Base stats'!C146)+6.5696),EXP(0.7927*LN('Base stats'!C146)+4.28))</f>
        <v>347.54229352987414</v>
      </c>
      <c r="AT146" s="8">
        <f>IF(_xlfn.XLOOKUP(E146,Groups!A:A,Groups!N:N)="No","No",
IF(_xlfn.XLOOKUP(E146,Groups!A:A,Groups!N:N)="Crocodile",EXP(0.8129*LN(C146)+4.6742)*S146,
IF(_xlfn.XLOOKUP(E146,Groups!A:A,Groups!N:N)="Felid",EXP(0.7843*LN(C146)+4.7073)*S146,
IF(_xlfn.XLOOKUP(E146,Groups!A:A,Groups!N:N)="Canid",EXP(0.8367*LN(C146)+4.8763)*S146,
IF(_xlfn.XLOOKUP(E146,Groups!A:A,Groups!N:N)="Pig",EXP(0.3439*LN(C146)+6.8519)*S146,
IF(_xlfn.XLOOKUP(E146,Groups!A:A,Groups!N:N)="Rodent",EXP(0.5625*LN(C146)+4.3006)*S146,
IF(_xlfn.XLOOKUP(E146,Groups!A:A,Groups!N:N)="Primate",EXP(0.7847*LN(C146)+3.4931)*S146,
IF(_xlfn.XLOOKUP(E146,Groups!A:A,Groups!N:N)="MiscCarnivora",EXP(0.7486*LN(C146)+4.2207)*S146,
IF(_xlfn.XLOOKUP(E146,Groups!A:A,Groups!N:N)="Lizard",EXP(0.7733*LN(C146)+5.5303)*S146,
IF(_xlfn.XLOOKUP(E146,Groups!A:A,Groups!N:N)="Snake",50*C146^(2/3)*S146,
IF(_xlfn.XLOOKUP(E146,Groups!A:A,Groups!N:N)="StrongBitingHerbivore",87.1133638856975*C146^(2/3)*S146,
IF(_xlfn.XLOOKUP(E146,Groups!A:A,Groups!N:N)="MiscEctotherms",59.4316884072269*C146^(2/3)*S146,
IF(_xlfn.XLOOKUP(E146,Groups!A:A,Groups!N:N)="StrongBeakBird",0.041*(C146*1000)^1.375*S146,
IF(_xlfn.XLOOKUP(E146,Groups!A:A,Groups!N:N)="Bird",0.118*(C146*1000)^0.692*S146,
IF(_xlfn.XLOOKUP(E146,Groups!A:A,Groups!N:N)="Insect",EXP(0.7444*LN(C146)+6.5696)*S146,
IF(_xlfn.XLOOKUP(E146,Groups!A:A,Groups!N:N)="Theropod",EXP(0.6966*LN(C146)+4.158)*S146,
"No"))))))))))))))))</f>
        <v>491.64324621650781</v>
      </c>
      <c r="AU146" s="8">
        <f>IF(_xlfn.XLOOKUP(E146,Groups!A:A,Groups!U:U)=3,AS146,IF(_xlfn.XLOOKUP(E146,Groups!A:A,Groups!U:U)=2,AR146,AT146))</f>
        <v>491.64324621650781</v>
      </c>
      <c r="AV146" s="46">
        <f>IFERROR(AVERAGE(_xlfn.XLOOKUP(B146,Animals!B:B,Animals!N:N),_xlfn.XLOOKUP(B146,Animals!B:B,Animals!O:O)),0)</f>
        <v>0</v>
      </c>
      <c r="AW146" s="8">
        <f>MROUND(40*Animals!AO146*_xlfn.XLOOKUP(AG146,Leathers!$A$2:$A$99,Leathers!$B$2:$B$99,0)+(140*_xlfn.XLOOKUP(B146,Animals!B:B,Animals!AO:AO)*2),5)</f>
        <v>125</v>
      </c>
      <c r="AX146" s="8">
        <f>IFERROR(ROUND(SQRT(V146-1)*IF(_xlfn.XLOOKUP(E146,Groups!A:A,Groups!BF:BF)=0,2,1)*IF(_xlfn.XLOOKUP('Base stats'!E146,Groups!A:A,Groups!O:O)=0,1,0.1),1),0)</f>
        <v>1.5</v>
      </c>
      <c r="AY146" s="8">
        <f t="shared" si="59"/>
        <v>0</v>
      </c>
      <c r="AZ146" s="8">
        <f t="shared" si="60"/>
        <v>0</v>
      </c>
      <c r="BA146" s="8">
        <f t="shared" si="61"/>
        <v>1.3</v>
      </c>
      <c r="BB146" s="8">
        <f>IF(_xlfn.XLOOKUP(E146,Groups!A:A,Groups!N:N)="Insect",BD146*2.5,IFERROR(AVERAGE(BD146,AT146/9.81/IF(OR(_xlfn.XLOOKUP(E146,Groups!A:A,Groups!N:N)="Pig",_xlfn.XLOOKUP(E146,Groups!A:A,Groups!N:N)="StrongBitingHerbivore"),20,25))*C146^-0.135,BD146))</f>
        <v>0.84490256382363227</v>
      </c>
      <c r="BC146" s="8" t="str">
        <f>IF(W146="No","No",IF(_xlfn.XLOOKUP(E146,Groups!A:A,Groups!U:U)=1,'Base stats'!BB146,IF(OR(_xlfn.XLOOKUP(E146,Groups!A:A,Groups!BD:BD)=1,_xlfn.XLOOKUP(E146,Groups!A:A,Groups!U:U)=2),BD146,IF(_xlfn.XLOOKUP(B146,Animals!B:B,Animals!AO:AO)&gt;4,AVERAGE(BD146,BF146),BF146))))</f>
        <v>No</v>
      </c>
      <c r="BD146" s="8">
        <f t="shared" si="62"/>
        <v>0.20345846347103066</v>
      </c>
      <c r="BE146" s="8">
        <f>IF(_xlfn.XLOOKUP(E146,Groups!A:A,Groups!BE:BE)=1,(0.048*C146^1.01)+(0.071*C146^1.03),0.071*C146^1.03)/IF(_xlfn.XLOOKUP(E146,Groups!A:A,Groups!M:M)=1,0.85,IF(OR(_xlfn.XLOOKUP(B146,Animals!B:B,Animals!AO:AO)&gt;4,_xlfn.XLOOKUP(E146,Groups!A:A,Groups!BC:BC)=1),1.7,1))*C146^-0.25</f>
        <v>0.33308535164464653</v>
      </c>
      <c r="BF146" s="8">
        <f>(0.048*C146^1.01)/IF(_xlfn.XLOOKUP(E146,Groups!A:A,Groups!M:M)=1,0.25,0.8)*C146^-0.25</f>
        <v>0.27054261726437773</v>
      </c>
      <c r="BG146" s="8">
        <f>EXP(1.076*LN(AR146)-4.5397)*IF(_xlfn.XLOOKUP(E146,Groups!A:A,Groups!BC:BC)=1,1.25,IF(_xlfn.XLOOKUP(E146,Groups!A:A,Groups!BD:BD)=1,3.5,2.5))</f>
        <v>11.910734230819106</v>
      </c>
      <c r="BH146" s="8">
        <f>EXP(1.076*LN(AS146)-4.5397)*IF(_xlfn.XLOOKUP(E146,Groups!A:A,Groups!M:M)=1,0.8,IF(_xlfn.XLOOKUP(E146,Groups!A:A,Groups!BC:BC)=1,1.3,3))</f>
        <v>17.365162048439693</v>
      </c>
      <c r="BI146" s="8" t="str">
        <f>IF(W146="No","No",IF(_xlfn.XLOOKUP(E146,Groups!A:A,Groups!U:U)=1,'Base stats'!BJ146,IF(OR(_xlfn.XLOOKUP(E146,Groups!A:A,Groups!BD:BD)=1,_xlfn.XLOOKUP(E146,Groups!A:A,Groups!U:U)=2),BG146,BH146))*1.2)</f>
        <v>No</v>
      </c>
      <c r="BJ146" s="8">
        <f>IFERROR(EXP(1.076*LN(AT146)-4.5397)*IF(_xlfn.XLOOKUP(E146,Groups!A:A,Groups!N:N)="Insect",1,IF(OR(_xlfn.XLOOKUP(E146,Groups!A:A,Groups!N:N)="Pig",_xlfn.XLOOKUP(E146,Groups!A:A,Groups!N:N)="StrongBitingHerbivore"),3.5,3.75)),"No")</f>
        <v>31.52681451913573</v>
      </c>
      <c r="BK146" s="8">
        <f t="shared" si="63"/>
        <v>10</v>
      </c>
      <c r="BL146" s="8">
        <f t="shared" si="64"/>
        <v>10</v>
      </c>
      <c r="BM146" s="8" t="str">
        <f t="shared" si="65"/>
        <v>No</v>
      </c>
      <c r="BN146" s="8">
        <f t="shared" si="66"/>
        <v>8</v>
      </c>
      <c r="BO146" s="8">
        <f t="shared" si="67"/>
        <v>11</v>
      </c>
      <c r="BP146" s="8" t="str" cm="1">
        <f t="array" ref="BP146">IF(AND(_xlfn.XLOOKUP('Base stats'!E146,Groups!A:A,Groups!AD:AD=0),_xlfn.XLOOKUP('Base stats'!E146,Groups!A:A,Groups!P:P=0)),"No",IF(U146="No",AVERAGE(EXP(-0.57+0.99*LN(C146)),EXP(0.32+0.67*LN(C146)))/IF(_xlfn.XLOOKUP(E146,Groups!A:A,Groups!AD:AD)=1,10,2),(0.7354*C146^0.4078)*2/IF(_xlfn.XLOOKUP(E146,Groups!A:A,Groups!BK:BK)=1,1000,100)/IF(_xlfn.XLOOKUP(E146,Groups!A:A,Groups!AJ:AJ)="Photonozoa",3,1)))</f>
        <v>No</v>
      </c>
      <c r="BQ146" s="8" t="str">
        <f>IF(W146="No","No",IF(_xlfn.XLOOKUP(E146,Groups!A:A,Groups!BD:BD)=1,(AO146*5%),EXP(0.7354*LN(C146)^0.4078)*2/IF(_xlfn.XLOOKUP(E146,Groups!A:A,Groups!BL:BL)=1,1000,100)/IF(_xlfn.XLOOKUP(E146,Groups!A:A,Groups!AJ:AJ)="Photonozoa",3,1)))</f>
        <v>No</v>
      </c>
      <c r="BR146" s="8">
        <f>IF(BJ146="No","No",IF(_xlfn.XLOOKUP(E146,Groups!A:A,Groups!BF:BF)=1,(0.0315*C146+2.1825)*2,(0.7354*C146^0.4078)*2)/IF(_xlfn.XLOOKUP(E146,Groups!A:A,Groups!BM:BM)=1,1000,100)/IF(_xlfn.XLOOKUP(E146,Groups!A:A,Groups!AJ:AJ)="Photonozoa",3,1))</f>
        <v>3.3000579003953534E-2</v>
      </c>
      <c r="BS146" s="8">
        <f t="shared" si="68"/>
        <v>5.9187668145744471E-2</v>
      </c>
      <c r="BT146" s="8" t="str">
        <f t="shared" si="69"/>
        <v>No</v>
      </c>
      <c r="BU146" s="8" t="str">
        <f t="shared" si="70"/>
        <v>No</v>
      </c>
      <c r="BV146" s="8">
        <f t="shared" si="71"/>
        <v>955.34125372038943</v>
      </c>
      <c r="BW146" s="4">
        <v>0</v>
      </c>
      <c r="BX146" s="4">
        <v>1</v>
      </c>
    </row>
    <row r="147" spans="1:76" x14ac:dyDescent="0.25">
      <c r="A147" s="26" t="s">
        <v>60</v>
      </c>
      <c r="B147" s="6" t="s">
        <v>900</v>
      </c>
      <c r="C147" s="7">
        <f>AVERAGE(AVERAGE(50,60),AVERAGE(35,48))</f>
        <v>48.25</v>
      </c>
      <c r="D147" s="7" t="s">
        <v>1262</v>
      </c>
      <c r="E147" s="7" t="str">
        <f>Groups!$A$15</f>
        <v>Doglike (CANID)</v>
      </c>
      <c r="F147" s="7">
        <v>63</v>
      </c>
      <c r="G147" s="7">
        <f t="shared" si="73"/>
        <v>1.3972602739726028</v>
      </c>
      <c r="H147" s="7">
        <v>27</v>
      </c>
      <c r="I147" s="4">
        <v>0</v>
      </c>
      <c r="J147" s="7">
        <v>6</v>
      </c>
      <c r="K147" s="7" t="s">
        <v>507</v>
      </c>
      <c r="L147" s="7">
        <f t="shared" si="72"/>
        <v>52.949581146072717</v>
      </c>
      <c r="M147" s="7" t="s">
        <v>626</v>
      </c>
      <c r="N147" s="4">
        <v>0</v>
      </c>
      <c r="O147" s="4">
        <v>2</v>
      </c>
      <c r="P147" s="4">
        <v>0</v>
      </c>
      <c r="Q147" s="4">
        <v>0</v>
      </c>
      <c r="R147" s="4" t="s">
        <v>40</v>
      </c>
      <c r="S147" s="7">
        <f>_xlfn.XLOOKUP(B147,[1]TeethAdjusters!$A:$A,[1]BiteAdjusters!$C:$C,1)</f>
        <v>0.71417487730106877</v>
      </c>
      <c r="T147" s="7">
        <f>_xlfn.XLOOKUP(B147,[1]TeethAdjusters!$A:$A,[1]TeethAdjusters!$B:$B,1)</f>
        <v>0.95359131166584876</v>
      </c>
      <c r="U147" s="7" t="s">
        <v>45</v>
      </c>
      <c r="V147" s="7">
        <f>IF(AT147="No","No",IF(_xlfn.XLOOKUP(E147,Groups!A:A,Groups!AM:AM)=1,MROUND(EXP(0.3582*LN(C147)-0.2221)*T147,0.05),IF(_xlfn.XLOOKUP(E147,Groups!A:A,Groups!AM:AM)=2,MROUND(EXP(0.3582*LN(C147)-0.2221)*T147,0.05),"Need a formula")))</f>
        <v>3.0500000000000003</v>
      </c>
      <c r="W147" s="7" t="s">
        <v>45</v>
      </c>
      <c r="X147" s="7" t="s">
        <v>932</v>
      </c>
      <c r="Y147" s="4" t="s">
        <v>53</v>
      </c>
      <c r="Z147" s="4">
        <v>1</v>
      </c>
      <c r="AA147" s="4">
        <v>0</v>
      </c>
      <c r="AB147" s="4">
        <v>0</v>
      </c>
      <c r="AC147" s="4">
        <v>0</v>
      </c>
      <c r="AD147" s="4">
        <v>0</v>
      </c>
      <c r="AE147" s="4" t="s">
        <v>45</v>
      </c>
      <c r="AF147" s="4" t="s">
        <v>496</v>
      </c>
      <c r="AG147" s="49" t="s">
        <v>379</v>
      </c>
      <c r="AH147" s="4" t="str">
        <f>Animals!$C$14</f>
        <v>&lt;li&gt;YorkshireTerrier&lt;/li&gt;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4" t="s">
        <v>40</v>
      </c>
      <c r="AO147" s="8">
        <f t="shared" si="57"/>
        <v>13791.015141040867</v>
      </c>
      <c r="AP147" s="8">
        <f>IFERROR(C147*_xlfn.XLOOKUP(E147,Groups!A:A,Groups!K:K),0.106*C147^0.94)</f>
        <v>6.0191875000000001</v>
      </c>
      <c r="AQ147" s="8">
        <f>AP147*10000/(_xlfn.XLOOKUP(E147,Groups!A:A,Groups!J:J)*AO147)</f>
        <v>4.0041942601737244</v>
      </c>
      <c r="AR147" s="8">
        <f t="shared" si="58"/>
        <v>1437.1130527352805</v>
      </c>
      <c r="AS147" s="8">
        <f>IF(_xlfn.XLOOKUP(E147,Groups!A:A,Groups!M:M)=1,EXP(0.7444*LN('Base stats'!C147)+6.5696),EXP(0.7927*LN('Base stats'!C147)+4.28))</f>
        <v>1560.5895923972128</v>
      </c>
      <c r="AT147" s="8">
        <f>IF(_xlfn.XLOOKUP(E147,Groups!A:A,Groups!N:N)="No","No",
IF(_xlfn.XLOOKUP(E147,Groups!A:A,Groups!N:N)="Crocodile",EXP(0.8129*LN(C147)+4.6742)*S147,
IF(_xlfn.XLOOKUP(E147,Groups!A:A,Groups!N:N)="Felid",EXP(0.7843*LN(C147)+4.7073)*S147,
IF(_xlfn.XLOOKUP(E147,Groups!A:A,Groups!N:N)="Canid",EXP(0.8367*LN(C147)+4.8763)*S147,
IF(_xlfn.XLOOKUP(E147,Groups!A:A,Groups!N:N)="Pig",EXP(0.3439*LN(C147)+6.8519)*S147,
IF(_xlfn.XLOOKUP(E147,Groups!A:A,Groups!N:N)="Rodent",EXP(0.5625*LN(C147)+4.3006)*S147,
IF(_xlfn.XLOOKUP(E147,Groups!A:A,Groups!N:N)="Primate",EXP(0.7847*LN(C147)+3.4931)*S147,
IF(_xlfn.XLOOKUP(E147,Groups!A:A,Groups!N:N)="MiscCarnivora",EXP(0.7486*LN(C147)+4.2207)*S147,
IF(_xlfn.XLOOKUP(E147,Groups!A:A,Groups!N:N)="Lizard",EXP(0.7733*LN(C147)+5.5303)*S147,
IF(_xlfn.XLOOKUP(E147,Groups!A:A,Groups!N:N)="Snake",50*C147^(2/3)*S147,
IF(_xlfn.XLOOKUP(E147,Groups!A:A,Groups!N:N)="StrongBitingHerbivore",87.1133638856975*C147^(2/3)*S147,
IF(_xlfn.XLOOKUP(E147,Groups!A:A,Groups!N:N)="MiscEctotherms",59.4316884072269*C147^(2/3)*S147,
IF(_xlfn.XLOOKUP(E147,Groups!A:A,Groups!N:N)="StrongBeakBird",0.041*(C147*1000)^1.375*S147,
IF(_xlfn.XLOOKUP(E147,Groups!A:A,Groups!N:N)="Bird",0.118*(C147*1000)^0.692*S147,
IF(_xlfn.XLOOKUP(E147,Groups!A:A,Groups!N:N)="Insect",EXP(0.7444*LN(C147)+6.5696)*S147,
IF(_xlfn.XLOOKUP(E147,Groups!A:A,Groups!N:N)="Theropod",EXP(0.6966*LN(C147)+4.158)*S147,
"No"))))))))))))))))</f>
        <v>2399.589520702521</v>
      </c>
      <c r="AU147" s="8">
        <f>IF(_xlfn.XLOOKUP(E147,Groups!A:A,Groups!U:U)=3,AS147,IF(_xlfn.XLOOKUP(E147,Groups!A:A,Groups!U:U)=2,AR147,AT147))</f>
        <v>2399.589520702521</v>
      </c>
      <c r="AV147" s="46">
        <f>IFERROR(AVERAGE(_xlfn.XLOOKUP(B147,Animals!B:B,Animals!N:N),_xlfn.XLOOKUP(B147,Animals!B:B,Animals!O:O)),0)</f>
        <v>0</v>
      </c>
      <c r="AW147" s="8">
        <f>MROUND(40*Animals!AO147*_xlfn.XLOOKUP(AG147,Leathers!$A$2:$A$99,Leathers!$B$2:$B$99,0)+(140*_xlfn.XLOOKUP(B147,Animals!B:B,Animals!AO:AO)*2),5)</f>
        <v>305</v>
      </c>
      <c r="AX147" s="8">
        <f>IFERROR(ROUND(SQRT(V147-1)*IF(_xlfn.XLOOKUP(E147,Groups!A:A,Groups!BF:BF)=0,2,1)*IF(_xlfn.XLOOKUP('Base stats'!E147,Groups!A:A,Groups!O:O)=0,1,0.1),1),0)</f>
        <v>2.9</v>
      </c>
      <c r="AY147" s="8">
        <f t="shared" si="59"/>
        <v>0</v>
      </c>
      <c r="AZ147" s="8">
        <f t="shared" si="60"/>
        <v>0</v>
      </c>
      <c r="BA147" s="8">
        <f t="shared" si="61"/>
        <v>3.2</v>
      </c>
      <c r="BB147" s="8">
        <f>IF(_xlfn.XLOOKUP(E147,Groups!A:A,Groups!N:N)="Insect",BD147*2.5,IFERROR(AVERAGE(BD147,AT147/9.81/IF(OR(_xlfn.XLOOKUP(E147,Groups!A:A,Groups!N:N)="Pig",_xlfn.XLOOKUP(E147,Groups!A:A,Groups!N:N)="StrongBitingHerbivore"),20,25))*C147^-0.135,BD147))</f>
        <v>3.1899021670776677</v>
      </c>
      <c r="BC147" s="8" t="str">
        <f>IF(W147="No","No",IF(_xlfn.XLOOKUP(E147,Groups!A:A,Groups!U:U)=1,'Base stats'!BB147,IF(OR(_xlfn.XLOOKUP(E147,Groups!A:A,Groups!BD:BD)=1,_xlfn.XLOOKUP(E147,Groups!A:A,Groups!U:U)=2),BD147,IF(_xlfn.XLOOKUP(B147,Animals!B:B,Animals!AO:AO)&gt;4,AVERAGE(BD147,BF147),BF147))))</f>
        <v>No</v>
      </c>
      <c r="BD147" s="8">
        <f t="shared" si="62"/>
        <v>0.98236377200852176</v>
      </c>
      <c r="BE147" s="8">
        <f>IF(_xlfn.XLOOKUP(E147,Groups!A:A,Groups!BE:BE)=1,(0.048*C147^1.01)+(0.071*C147^1.03),0.071*C147^1.03)/IF(_xlfn.XLOOKUP(E147,Groups!A:A,Groups!M:M)=1,0.85,IF(OR(_xlfn.XLOOKUP(B147,Animals!B:B,Animals!AO:AO)&gt;4,_xlfn.XLOOKUP(E147,Groups!A:A,Groups!BC:BC)=1),1.7,1))*C147^-0.25</f>
        <v>1.4601122900143402</v>
      </c>
      <c r="BF147" s="8">
        <f>(0.048*C147^1.01)/IF(_xlfn.XLOOKUP(E147,Groups!A:A,Groups!M:M)=1,0.25,0.8)*C147^-0.25</f>
        <v>1.1418504090805055</v>
      </c>
      <c r="BG147" s="8">
        <f>EXP(1.076*LN(AR147)-4.5397)*IF(_xlfn.XLOOKUP(E147,Groups!A:A,Groups!BC:BC)=1,1.25,IF(_xlfn.XLOOKUP(E147,Groups!A:A,Groups!BD:BD)=1,3.5,2.5))</f>
        <v>66.65513219525819</v>
      </c>
      <c r="BH147" s="8">
        <f>EXP(1.076*LN(AS147)-4.5397)*IF(_xlfn.XLOOKUP(E147,Groups!A:A,Groups!M:M)=1,0.8,IF(_xlfn.XLOOKUP(E147,Groups!A:A,Groups!BC:BC)=1,1.3,3))</f>
        <v>87.404389392044067</v>
      </c>
      <c r="BI147" s="8" t="str">
        <f>IF(W147="No","No",IF(_xlfn.XLOOKUP(E147,Groups!A:A,Groups!U:U)=1,'Base stats'!BJ147,IF(OR(_xlfn.XLOOKUP(E147,Groups!A:A,Groups!BD:BD)=1,_xlfn.XLOOKUP(E147,Groups!A:A,Groups!U:U)=2),BG147,BH147))*1.2)</f>
        <v>No</v>
      </c>
      <c r="BJ147" s="8">
        <f>IFERROR(EXP(1.076*LN(AT147)-4.5397)*IF(_xlfn.XLOOKUP(E147,Groups!A:A,Groups!N:N)="Insect",1,IF(OR(_xlfn.XLOOKUP(E147,Groups!A:A,Groups!N:N)="Pig",_xlfn.XLOOKUP(E147,Groups!A:A,Groups!N:N)="StrongBitingHerbivore"),3.5,3.75)),"No")</f>
        <v>173.57691829716006</v>
      </c>
      <c r="BK147" s="8">
        <f t="shared" si="63"/>
        <v>11</v>
      </c>
      <c r="BL147" s="8">
        <f t="shared" si="64"/>
        <v>10</v>
      </c>
      <c r="BM147" s="8" t="str">
        <f t="shared" si="65"/>
        <v>No</v>
      </c>
      <c r="BN147" s="8">
        <f t="shared" si="66"/>
        <v>10</v>
      </c>
      <c r="BO147" s="8">
        <f t="shared" si="67"/>
        <v>12</v>
      </c>
      <c r="BP147" s="8" t="str" cm="1">
        <f t="array" ref="BP147">IF(AND(_xlfn.XLOOKUP('Base stats'!E147,Groups!A:A,Groups!AD:AD=0),_xlfn.XLOOKUP('Base stats'!E147,Groups!A:A,Groups!P:P=0)),"No",IF(U147="No",AVERAGE(EXP(-0.57+0.99*LN(C147)),EXP(0.32+0.67*LN(C147)))/IF(_xlfn.XLOOKUP(E147,Groups!A:A,Groups!AD:AD)=1,10,2),(0.7354*C147^0.4078)*2/IF(_xlfn.XLOOKUP(E147,Groups!A:A,Groups!BK:BK)=1,1000,100)/IF(_xlfn.XLOOKUP(E147,Groups!A:A,Groups!AJ:AJ)="Photonozoa",3,1)))</f>
        <v>No</v>
      </c>
      <c r="BQ147" s="8" t="str">
        <f>IF(W147="No","No",IF(_xlfn.XLOOKUP(E147,Groups!A:A,Groups!BD:BD)=1,(AO147*5%),EXP(0.7354*LN(C147)^0.4078)*2/IF(_xlfn.XLOOKUP(E147,Groups!A:A,Groups!BL:BL)=1,1000,100)/IF(_xlfn.XLOOKUP(E147,Groups!A:A,Groups!AJ:AJ)="Photonozoa",3,1)))</f>
        <v>No</v>
      </c>
      <c r="BR147" s="8">
        <f>IF(BJ147="No","No",IF(_xlfn.XLOOKUP(E147,Groups!A:A,Groups!BF:BF)=1,(0.0315*C147+2.1825)*2,(0.7354*C147^0.4078)*2)/IF(_xlfn.XLOOKUP(E147,Groups!A:A,Groups!BM:BM)=1,1000,100)/IF(_xlfn.XLOOKUP(E147,Groups!A:A,Groups!AJ:AJ)="Photonozoa",3,1))</f>
        <v>7.1463425118040241E-2</v>
      </c>
      <c r="BS147" s="8">
        <f t="shared" si="68"/>
        <v>9.6664576919937212E-2</v>
      </c>
      <c r="BT147" s="8" t="str">
        <f t="shared" si="69"/>
        <v>No</v>
      </c>
      <c r="BU147" s="8" t="str">
        <f t="shared" si="70"/>
        <v>No</v>
      </c>
      <c r="BV147" s="8">
        <f t="shared" si="71"/>
        <v>2428.8916744537937</v>
      </c>
      <c r="BW147" s="4">
        <v>0</v>
      </c>
      <c r="BX147" s="4">
        <v>1</v>
      </c>
    </row>
    <row r="148" spans="1:76" x14ac:dyDescent="0.25">
      <c r="A148" s="26" t="s">
        <v>493</v>
      </c>
      <c r="B148" s="6" t="s">
        <v>901</v>
      </c>
      <c r="C148" s="7">
        <f>AVERAGE(4,7.5)</f>
        <v>5.75</v>
      </c>
      <c r="D148" s="7" t="s">
        <v>1268</v>
      </c>
      <c r="E148" s="7" t="str">
        <f>Groups!$A$15</f>
        <v>Doglike (CANID)</v>
      </c>
      <c r="F148" s="7">
        <v>63</v>
      </c>
      <c r="G148" s="7">
        <f t="shared" si="73"/>
        <v>1.3972602739726028</v>
      </c>
      <c r="H148" s="7">
        <v>27</v>
      </c>
      <c r="I148" s="4">
        <v>0</v>
      </c>
      <c r="J148" s="7">
        <v>6</v>
      </c>
      <c r="K148" s="7" t="s">
        <v>507</v>
      </c>
      <c r="L148" s="7">
        <f t="shared" si="72"/>
        <v>43.816905798819768</v>
      </c>
      <c r="M148" s="7" t="s">
        <v>626</v>
      </c>
      <c r="N148" s="4">
        <v>0</v>
      </c>
      <c r="O148" s="4">
        <v>2</v>
      </c>
      <c r="P148" s="4">
        <v>0</v>
      </c>
      <c r="Q148" s="4">
        <v>0</v>
      </c>
      <c r="R148" s="4" t="s">
        <v>40</v>
      </c>
      <c r="S148" s="7">
        <f>_xlfn.XLOOKUP(B148,[1]TeethAdjusters!$A:$A,[1]BiteAdjusters!$C:$C,1)</f>
        <v>0.71417487730106877</v>
      </c>
      <c r="T148" s="7">
        <f>_xlfn.XLOOKUP(B148,[1]TeethAdjusters!$A:$A,[1]TeethAdjusters!$B:$B,1)</f>
        <v>0.95359131166584876</v>
      </c>
      <c r="U148" s="7" t="s">
        <v>45</v>
      </c>
      <c r="V148" s="7">
        <f>IF(AT148="No","No",IF(_xlfn.XLOOKUP(E148,Groups!A:A,Groups!AM:AM)=1,MROUND(EXP(0.3582*LN(C148)-0.2221)*T148,0.05),IF(_xlfn.XLOOKUP(E148,Groups!A:A,Groups!AM:AM)=2,MROUND(EXP(0.3582*LN(C148)-0.2221)*T148,0.05),"Need a formula")))</f>
        <v>1.4500000000000002</v>
      </c>
      <c r="W148" s="7" t="s">
        <v>45</v>
      </c>
      <c r="X148" s="7" t="s">
        <v>932</v>
      </c>
      <c r="Y148" s="4" t="s">
        <v>53</v>
      </c>
      <c r="Z148" s="4">
        <v>1</v>
      </c>
      <c r="AA148" s="4">
        <v>0</v>
      </c>
      <c r="AB148" s="4">
        <v>0</v>
      </c>
      <c r="AC148" s="4">
        <v>0</v>
      </c>
      <c r="AD148" s="4">
        <v>0</v>
      </c>
      <c r="AE148" s="4" t="s">
        <v>45</v>
      </c>
      <c r="AF148" s="4" t="s">
        <v>496</v>
      </c>
      <c r="AG148" s="49" t="s">
        <v>379</v>
      </c>
      <c r="AH148" s="4" t="str">
        <f>Animals!$C$14</f>
        <v>&lt;li&gt;YorkshireTerrier&lt;/li&gt;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4" t="s">
        <v>40</v>
      </c>
      <c r="AO148" s="8">
        <f t="shared" si="57"/>
        <v>3460.2468171098335</v>
      </c>
      <c r="AP148" s="8">
        <f>IFERROR(C148*_xlfn.XLOOKUP(E148,Groups!A:A,Groups!K:K),0.106*C148^0.94)</f>
        <v>0.71731250000000002</v>
      </c>
      <c r="AQ148" s="8">
        <f>AP148*10000/(_xlfn.XLOOKUP(E148,Groups!A:A,Groups!J:J)*AO148)</f>
        <v>1.9018437041291336</v>
      </c>
      <c r="AR148" s="8">
        <f t="shared" si="58"/>
        <v>238.30446417592884</v>
      </c>
      <c r="AS148" s="8">
        <f>IF(_xlfn.XLOOKUP(E148,Groups!A:A,Groups!M:M)=1,EXP(0.7444*LN('Base stats'!C148)+6.5696),EXP(0.7927*LN('Base stats'!C148)+4.28))</f>
        <v>289.04741052214547</v>
      </c>
      <c r="AT148" s="8">
        <f>IF(_xlfn.XLOOKUP(E148,Groups!A:A,Groups!N:N)="No","No",
IF(_xlfn.XLOOKUP(E148,Groups!A:A,Groups!N:N)="Crocodile",EXP(0.8129*LN(C148)+4.6742)*S148,
IF(_xlfn.XLOOKUP(E148,Groups!A:A,Groups!N:N)="Felid",EXP(0.7843*LN(C148)+4.7073)*S148,
IF(_xlfn.XLOOKUP(E148,Groups!A:A,Groups!N:N)="Canid",EXP(0.8367*LN(C148)+4.8763)*S148,
IF(_xlfn.XLOOKUP(E148,Groups!A:A,Groups!N:N)="Pig",EXP(0.3439*LN(C148)+6.8519)*S148,
IF(_xlfn.XLOOKUP(E148,Groups!A:A,Groups!N:N)="Rodent",EXP(0.5625*LN(C148)+4.3006)*S148,
IF(_xlfn.XLOOKUP(E148,Groups!A:A,Groups!N:N)="Primate",EXP(0.7847*LN(C148)+3.4931)*S148,
IF(_xlfn.XLOOKUP(E148,Groups!A:A,Groups!N:N)="MiscCarnivora",EXP(0.7486*LN(C148)+4.2207)*S148,
IF(_xlfn.XLOOKUP(E148,Groups!A:A,Groups!N:N)="Lizard",EXP(0.7733*LN(C148)+5.5303)*S148,
IF(_xlfn.XLOOKUP(E148,Groups!A:A,Groups!N:N)="Snake",50*C148^(2/3)*S148,
IF(_xlfn.XLOOKUP(E148,Groups!A:A,Groups!N:N)="StrongBitingHerbivore",87.1133638856975*C148^(2/3)*S148,
IF(_xlfn.XLOOKUP(E148,Groups!A:A,Groups!N:N)="MiscEctotherms",59.4316884072269*C148^(2/3)*S148,
IF(_xlfn.XLOOKUP(E148,Groups!A:A,Groups!N:N)="StrongBeakBird",0.041*(C148*1000)^1.375*S148,
IF(_xlfn.XLOOKUP(E148,Groups!A:A,Groups!N:N)="Bird",0.118*(C148*1000)^0.692*S148,
IF(_xlfn.XLOOKUP(E148,Groups!A:A,Groups!N:N)="Insect",EXP(0.7444*LN(C148)+6.5696)*S148,
IF(_xlfn.XLOOKUP(E148,Groups!A:A,Groups!N:N)="Theropod",EXP(0.6966*LN(C148)+4.158)*S148,
"No"))))))))))))))))</f>
        <v>404.73320545809173</v>
      </c>
      <c r="AU148" s="8">
        <f>IF(_xlfn.XLOOKUP(E148,Groups!A:A,Groups!U:U)=3,AS148,IF(_xlfn.XLOOKUP(E148,Groups!A:A,Groups!U:U)=2,AR148,AT148))</f>
        <v>404.73320545809173</v>
      </c>
      <c r="AV148" s="46">
        <f>IFERROR(AVERAGE(_xlfn.XLOOKUP(B148,Animals!B:B,Animals!N:N),_xlfn.XLOOKUP(B148,Animals!B:B,Animals!O:O)),0)</f>
        <v>0</v>
      </c>
      <c r="AW148" s="8">
        <f>MROUND(40*Animals!AO148*_xlfn.XLOOKUP(AG148,Leathers!$A$2:$A$99,Leathers!$B$2:$B$99,0)+(140*_xlfn.XLOOKUP(B148,Animals!B:B,Animals!AO:AO)*2),5)</f>
        <v>125</v>
      </c>
      <c r="AX148" s="8">
        <f>IFERROR(ROUND(SQRT(V148-1)*IF(_xlfn.XLOOKUP(E148,Groups!A:A,Groups!BF:BF)=0,2,1)*IF(_xlfn.XLOOKUP('Base stats'!E148,Groups!A:A,Groups!O:O)=0,1,0.1),1),0)</f>
        <v>1.3</v>
      </c>
      <c r="AY148" s="8">
        <f t="shared" si="59"/>
        <v>0</v>
      </c>
      <c r="AZ148" s="8">
        <f t="shared" si="60"/>
        <v>0</v>
      </c>
      <c r="BA148" s="8">
        <f t="shared" si="61"/>
        <v>1.2</v>
      </c>
      <c r="BB148" s="8">
        <f>IF(_xlfn.XLOOKUP(E148,Groups!A:A,Groups!N:N)="Insect",BD148*2.5,IFERROR(AVERAGE(BD148,AT148/9.81/IF(OR(_xlfn.XLOOKUP(E148,Groups!A:A,Groups!N:N)="Pig",_xlfn.XLOOKUP(E148,Groups!A:A,Groups!N:N)="StrongBitingHerbivore"),20,25))*C148^-0.135,BD148))</f>
        <v>0.71780972967466561</v>
      </c>
      <c r="BC148" s="8" t="str">
        <f>IF(W148="No","No",IF(_xlfn.XLOOKUP(E148,Groups!A:A,Groups!U:U)=1,'Base stats'!BB148,IF(OR(_xlfn.XLOOKUP(E148,Groups!A:A,Groups!BD:BD)=1,_xlfn.XLOOKUP(E148,Groups!A:A,Groups!U:U)=2),BD148,IF(_xlfn.XLOOKUP(B148,Animals!B:B,Animals!AO:AO)&gt;4,AVERAGE(BD148,BF148),BF148))))</f>
        <v>No</v>
      </c>
      <c r="BD148" s="8">
        <f t="shared" si="62"/>
        <v>0.16771428148959355</v>
      </c>
      <c r="BE148" s="8">
        <f>IF(_xlfn.XLOOKUP(E148,Groups!A:A,Groups!BE:BE)=1,(0.048*C148^1.01)+(0.071*C148^1.03),0.071*C148^1.03)/IF(_xlfn.XLOOKUP(E148,Groups!A:A,Groups!M:M)=1,0.85,IF(OR(_xlfn.XLOOKUP(B148,Animals!B:B,Animals!AO:AO)&gt;4,_xlfn.XLOOKUP(E148,Groups!A:A,Groups!BC:BC)=1),1.7,1))*C148^-0.25</f>
        <v>0.27784287714720768</v>
      </c>
      <c r="BF148" s="8">
        <f>(0.048*C148^1.01)/IF(_xlfn.XLOOKUP(E148,Groups!A:A,Groups!M:M)=1,0.25,0.8)*C148^-0.25</f>
        <v>0.22672468769639151</v>
      </c>
      <c r="BG148" s="8">
        <f>EXP(1.076*LN(AR148)-4.5397)*IF(_xlfn.XLOOKUP(E148,Groups!A:A,Groups!BC:BC)=1,1.25,IF(_xlfn.XLOOKUP(E148,Groups!A:A,Groups!BD:BD)=1,3.5,2.5))</f>
        <v>9.6420098943098669</v>
      </c>
      <c r="BH148" s="8">
        <f>EXP(1.076*LN(AS148)-4.5397)*IF(_xlfn.XLOOKUP(E148,Groups!A:A,Groups!M:M)=1,0.8,IF(_xlfn.XLOOKUP(E148,Groups!A:A,Groups!BC:BC)=1,1.3,3))</f>
        <v>14.241552282827737</v>
      </c>
      <c r="BI148" s="8" t="str">
        <f>IF(W148="No","No",IF(_xlfn.XLOOKUP(E148,Groups!A:A,Groups!U:U)=1,'Base stats'!BJ148,IF(OR(_xlfn.XLOOKUP(E148,Groups!A:A,Groups!BD:BD)=1,_xlfn.XLOOKUP(E148,Groups!A:A,Groups!U:U)=2),BG148,BH148))*1.2)</f>
        <v>No</v>
      </c>
      <c r="BJ148" s="8">
        <f>IFERROR(EXP(1.076*LN(AT148)-4.5397)*IF(_xlfn.XLOOKUP(E148,Groups!A:A,Groups!N:N)="Insect",1,IF(OR(_xlfn.XLOOKUP(E148,Groups!A:A,Groups!N:N)="Pig",_xlfn.XLOOKUP(E148,Groups!A:A,Groups!N:N)="StrongBitingHerbivore"),3.5,3.75)),"No")</f>
        <v>25.572799664558062</v>
      </c>
      <c r="BK148" s="8">
        <f t="shared" si="63"/>
        <v>10</v>
      </c>
      <c r="BL148" s="8">
        <f t="shared" si="64"/>
        <v>10</v>
      </c>
      <c r="BM148" s="8" t="str">
        <f t="shared" si="65"/>
        <v>No</v>
      </c>
      <c r="BN148" s="8">
        <f t="shared" si="66"/>
        <v>8</v>
      </c>
      <c r="BO148" s="8">
        <f t="shared" si="67"/>
        <v>11</v>
      </c>
      <c r="BP148" s="8" t="str" cm="1">
        <f t="array" ref="BP148">IF(AND(_xlfn.XLOOKUP('Base stats'!E148,Groups!A:A,Groups!AD:AD=0),_xlfn.XLOOKUP('Base stats'!E148,Groups!A:A,Groups!P:P=0)),"No",IF(U148="No",AVERAGE(EXP(-0.57+0.99*LN(C148)),EXP(0.32+0.67*LN(C148)))/IF(_xlfn.XLOOKUP(E148,Groups!A:A,Groups!AD:AD)=1,10,2),(0.7354*C148^0.4078)*2/IF(_xlfn.XLOOKUP(E148,Groups!A:A,Groups!BK:BK)=1,1000,100)/IF(_xlfn.XLOOKUP(E148,Groups!A:A,Groups!AJ:AJ)="Photonozoa",3,1)))</f>
        <v>No</v>
      </c>
      <c r="BQ148" s="8" t="str">
        <f>IF(W148="No","No",IF(_xlfn.XLOOKUP(E148,Groups!A:A,Groups!BD:BD)=1,(AO148*5%),EXP(0.7354*LN(C148)^0.4078)*2/IF(_xlfn.XLOOKUP(E148,Groups!A:A,Groups!BL:BL)=1,1000,100)/IF(_xlfn.XLOOKUP(E148,Groups!A:A,Groups!AJ:AJ)="Photonozoa",3,1)))</f>
        <v>No</v>
      </c>
      <c r="BR148" s="8">
        <f>IF(BJ148="No","No",IF(_xlfn.XLOOKUP(E148,Groups!A:A,Groups!BF:BF)=1,(0.0315*C148+2.1825)*2,(0.7354*C148^0.4078)*2)/IF(_xlfn.XLOOKUP(E148,Groups!A:A,Groups!BM:BM)=1,1000,100)/IF(_xlfn.XLOOKUP(E148,Groups!A:A,Groups!AJ:AJ)="Photonozoa",3,1))</f>
        <v>3.0015540500772476E-2</v>
      </c>
      <c r="BS148" s="8">
        <f t="shared" si="68"/>
        <v>5.5730185758039896E-2</v>
      </c>
      <c r="BT148" s="8" t="str">
        <f t="shared" si="69"/>
        <v>No</v>
      </c>
      <c r="BU148" s="8" t="str">
        <f t="shared" si="70"/>
        <v>No</v>
      </c>
      <c r="BV148" s="8">
        <f t="shared" si="71"/>
        <v>851.98531287150809</v>
      </c>
      <c r="BW148" s="4">
        <v>0</v>
      </c>
      <c r="BX148" s="4">
        <v>1</v>
      </c>
    </row>
    <row r="149" spans="1:76" x14ac:dyDescent="0.25">
      <c r="A149" s="26" t="s">
        <v>666</v>
      </c>
      <c r="B149" s="6" t="s">
        <v>902</v>
      </c>
      <c r="C149" s="7">
        <f>AVERAGE(AVERAGE(18,20),AVERAGE(23,29))</f>
        <v>22.5</v>
      </c>
      <c r="D149" s="7" t="s">
        <v>1269</v>
      </c>
      <c r="E149" s="7" t="str">
        <f>Groups!$A$15</f>
        <v>Doglike (CANID)</v>
      </c>
      <c r="F149" s="7">
        <v>63</v>
      </c>
      <c r="G149" s="7">
        <f t="shared" si="73"/>
        <v>1.3972602739726028</v>
      </c>
      <c r="H149" s="7">
        <v>27</v>
      </c>
      <c r="I149" s="4">
        <v>0</v>
      </c>
      <c r="J149" s="7">
        <v>6</v>
      </c>
      <c r="K149" s="7" t="s">
        <v>507</v>
      </c>
      <c r="L149" s="7">
        <f t="shared" si="72"/>
        <v>49.473827654659033</v>
      </c>
      <c r="M149" s="7" t="s">
        <v>626</v>
      </c>
      <c r="N149" s="4">
        <v>0</v>
      </c>
      <c r="O149" s="4">
        <v>2</v>
      </c>
      <c r="P149" s="4">
        <v>0</v>
      </c>
      <c r="Q149" s="4">
        <v>0</v>
      </c>
      <c r="R149" s="4" t="s">
        <v>40</v>
      </c>
      <c r="S149" s="7">
        <f>_xlfn.XLOOKUP(B149,[1]TeethAdjusters!$A:$A,[1]BiteAdjusters!$C:$C,1)</f>
        <v>0.71417487730106877</v>
      </c>
      <c r="T149" s="7">
        <f>_xlfn.XLOOKUP(B149,[1]TeethAdjusters!$A:$A,[1]TeethAdjusters!$B:$B,1)</f>
        <v>0.95359131166584876</v>
      </c>
      <c r="U149" s="7" t="s">
        <v>45</v>
      </c>
      <c r="V149" s="7">
        <f>IF(AT149="No","No",IF(_xlfn.XLOOKUP(E149,Groups!A:A,Groups!AM:AM)=1,MROUND(EXP(0.3582*LN(C149)-0.2221)*T149,0.05),IF(_xlfn.XLOOKUP(E149,Groups!A:A,Groups!AM:AM)=2,MROUND(EXP(0.3582*LN(C149)-0.2221)*T149,0.05),"Need a formula")))</f>
        <v>2.35</v>
      </c>
      <c r="W149" s="7" t="s">
        <v>45</v>
      </c>
      <c r="X149" s="7" t="s">
        <v>932</v>
      </c>
      <c r="Y149" s="4" t="s">
        <v>53</v>
      </c>
      <c r="Z149" s="4">
        <v>1</v>
      </c>
      <c r="AA149" s="4">
        <v>0</v>
      </c>
      <c r="AB149" s="4">
        <v>0</v>
      </c>
      <c r="AC149" s="4">
        <v>0</v>
      </c>
      <c r="AD149" s="4">
        <v>0</v>
      </c>
      <c r="AE149" s="4" t="s">
        <v>45</v>
      </c>
      <c r="AF149" s="4" t="s">
        <v>496</v>
      </c>
      <c r="AG149" s="49" t="s">
        <v>379</v>
      </c>
      <c r="AH149" s="4" t="str">
        <f>Animals!$C$14</f>
        <v>&lt;li&gt;YorkshireTerrier&lt;/li&gt;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4" t="s">
        <v>40</v>
      </c>
      <c r="AO149" s="8">
        <f t="shared" si="57"/>
        <v>8399.2714194772561</v>
      </c>
      <c r="AP149" s="8">
        <f>IFERROR(C149*_xlfn.XLOOKUP(E149,Groups!A:A,Groups!K:K),0.106*C149^0.94)</f>
        <v>2.8068749999999998</v>
      </c>
      <c r="AQ149" s="8">
        <f>AP149*10000/(_xlfn.XLOOKUP(E149,Groups!A:A,Groups!J:J)*AO149)</f>
        <v>3.0658786343391542</v>
      </c>
      <c r="AR149" s="8">
        <f t="shared" si="58"/>
        <v>754.44801936790702</v>
      </c>
      <c r="AS149" s="8">
        <f>IF(_xlfn.XLOOKUP(E149,Groups!A:A,Groups!M:M)=1,EXP(0.7444*LN('Base stats'!C149)+6.5696),EXP(0.7927*LN('Base stats'!C149)+4.28))</f>
        <v>852.42359935021648</v>
      </c>
      <c r="AT149" s="8">
        <f>IF(_xlfn.XLOOKUP(E149,Groups!A:A,Groups!N:N)="No","No",
IF(_xlfn.XLOOKUP(E149,Groups!A:A,Groups!N:N)="Crocodile",EXP(0.8129*LN(C149)+4.6742)*S149,
IF(_xlfn.XLOOKUP(E149,Groups!A:A,Groups!N:N)="Felid",EXP(0.7843*LN(C149)+4.7073)*S149,
IF(_xlfn.XLOOKUP(E149,Groups!A:A,Groups!N:N)="Canid",EXP(0.8367*LN(C149)+4.8763)*S149,
IF(_xlfn.XLOOKUP(E149,Groups!A:A,Groups!N:N)="Pig",EXP(0.3439*LN(C149)+6.8519)*S149,
IF(_xlfn.XLOOKUP(E149,Groups!A:A,Groups!N:N)="Rodent",EXP(0.5625*LN(C149)+4.3006)*S149,
IF(_xlfn.XLOOKUP(E149,Groups!A:A,Groups!N:N)="Primate",EXP(0.7847*LN(C149)+3.4931)*S149,
IF(_xlfn.XLOOKUP(E149,Groups!A:A,Groups!N:N)="MiscCarnivora",EXP(0.7486*LN(C149)+4.2207)*S149,
IF(_xlfn.XLOOKUP(E149,Groups!A:A,Groups!N:N)="Lizard",EXP(0.7733*LN(C149)+5.5303)*S149,
IF(_xlfn.XLOOKUP(E149,Groups!A:A,Groups!N:N)="Snake",50*C149^(2/3)*S149,
IF(_xlfn.XLOOKUP(E149,Groups!A:A,Groups!N:N)="StrongBitingHerbivore",87.1133638856975*C149^(2/3)*S149,
IF(_xlfn.XLOOKUP(E149,Groups!A:A,Groups!N:N)="MiscEctotherms",59.4316884072269*C149^(2/3)*S149,
IF(_xlfn.XLOOKUP(E149,Groups!A:A,Groups!N:N)="StrongBeakBird",0.041*(C149*1000)^1.375*S149,
IF(_xlfn.XLOOKUP(E149,Groups!A:A,Groups!N:N)="Bird",0.118*(C149*1000)^0.692*S149,
IF(_xlfn.XLOOKUP(E149,Groups!A:A,Groups!N:N)="Insect",EXP(0.7444*LN(C149)+6.5696)*S149,
IF(_xlfn.XLOOKUP(E149,Groups!A:A,Groups!N:N)="Theropod",EXP(0.6966*LN(C149)+4.158)*S149,
"No"))))))))))))))))</f>
        <v>1267.4354900882233</v>
      </c>
      <c r="AU149" s="8">
        <f>IF(_xlfn.XLOOKUP(E149,Groups!A:A,Groups!U:U)=3,AS149,IF(_xlfn.XLOOKUP(E149,Groups!A:A,Groups!U:U)=2,AR149,AT149))</f>
        <v>1267.4354900882233</v>
      </c>
      <c r="AV149" s="46">
        <f>IFERROR(AVERAGE(_xlfn.XLOOKUP(B149,Animals!B:B,Animals!N:N),_xlfn.XLOOKUP(B149,Animals!B:B,Animals!O:O)),0)</f>
        <v>0</v>
      </c>
      <c r="AW149" s="8">
        <f>MROUND(40*Animals!AO149*_xlfn.XLOOKUP(AG149,Leathers!$A$2:$A$99,Leathers!$B$2:$B$99,0)+(140*_xlfn.XLOOKUP(B149,Animals!B:B,Animals!AO:AO)*2),5)</f>
        <v>215</v>
      </c>
      <c r="AX149" s="8">
        <f>IFERROR(ROUND(SQRT(V149-1)*IF(_xlfn.XLOOKUP(E149,Groups!A:A,Groups!BF:BF)=0,2,1)*IF(_xlfn.XLOOKUP('Base stats'!E149,Groups!A:A,Groups!O:O)=0,1,0.1),1),0)</f>
        <v>2.2999999999999998</v>
      </c>
      <c r="AY149" s="8">
        <f t="shared" si="59"/>
        <v>0</v>
      </c>
      <c r="AZ149" s="8">
        <f t="shared" si="60"/>
        <v>0</v>
      </c>
      <c r="BA149" s="8">
        <f t="shared" si="61"/>
        <v>2.4</v>
      </c>
      <c r="BB149" s="8">
        <f>IF(_xlfn.XLOOKUP(E149,Groups!A:A,Groups!N:N)="Insect",BD149*2.5,IFERROR(AVERAGE(BD149,AT149/9.81/IF(OR(_xlfn.XLOOKUP(E149,Groups!A:A,Groups!N:N)="Pig",_xlfn.XLOOKUP(E149,Groups!A:A,Groups!N:N)="StrongBitingHerbivore"),20,25))*C149^-0.135,BD149))</f>
        <v>1.8683852017303559</v>
      </c>
      <c r="BC149" s="8" t="str">
        <f>IF(W149="No","No",IF(_xlfn.XLOOKUP(E149,Groups!A:A,Groups!U:U)=1,'Base stats'!BB149,IF(OR(_xlfn.XLOOKUP(E149,Groups!A:A,Groups!BD:BD)=1,_xlfn.XLOOKUP(E149,Groups!A:A,Groups!U:U)=2),BD149,IF(_xlfn.XLOOKUP(B149,Animals!B:B,Animals!AO:AO)&gt;4,AVERAGE(BD149,BF149),BF149))))</f>
        <v>No</v>
      </c>
      <c r="BD149" s="8">
        <f t="shared" si="62"/>
        <v>0.5211343972969702</v>
      </c>
      <c r="BE149" s="8">
        <f>IF(_xlfn.XLOOKUP(E149,Groups!A:A,Groups!BE:BE)=1,(0.048*C149^1.01)+(0.071*C149^1.03),0.071*C149^1.03)/IF(_xlfn.XLOOKUP(E149,Groups!A:A,Groups!M:M)=1,0.85,IF(OR(_xlfn.XLOOKUP(B149,Animals!B:B,Animals!AO:AO)&gt;4,_xlfn.XLOOKUP(E149,Groups!A:A,Groups!BC:BC)=1),1.7,1))*C149^-0.25</f>
        <v>0.80530558833746313</v>
      </c>
      <c r="BF149" s="8">
        <f>(0.048*C149^1.01)/IF(_xlfn.XLOOKUP(E149,Groups!A:A,Groups!M:M)=1,0.25,0.8)*C149^-0.25</f>
        <v>0.63945496556764092</v>
      </c>
      <c r="BG149" s="8">
        <f>EXP(1.076*LN(AR149)-4.5397)*IF(_xlfn.XLOOKUP(E149,Groups!A:A,Groups!BC:BC)=1,1.25,IF(_xlfn.XLOOKUP(E149,Groups!A:A,Groups!BD:BD)=1,3.5,2.5))</f>
        <v>33.319808786196916</v>
      </c>
      <c r="BH149" s="8">
        <f>EXP(1.076*LN(AS149)-4.5397)*IF(_xlfn.XLOOKUP(E149,Groups!A:A,Groups!M:M)=1,0.8,IF(_xlfn.XLOOKUP(E149,Groups!A:A,Groups!BC:BC)=1,1.3,3))</f>
        <v>45.597378543450688</v>
      </c>
      <c r="BI149" s="8" t="str">
        <f>IF(W149="No","No",IF(_xlfn.XLOOKUP(E149,Groups!A:A,Groups!U:U)=1,'Base stats'!BJ149,IF(OR(_xlfn.XLOOKUP(E149,Groups!A:A,Groups!BD:BD)=1,_xlfn.XLOOKUP(E149,Groups!A:A,Groups!U:U)=2),BG149,BH149))*1.2)</f>
        <v>No</v>
      </c>
      <c r="BJ149" s="8">
        <f>IFERROR(EXP(1.076*LN(AT149)-4.5397)*IF(_xlfn.XLOOKUP(E149,Groups!A:A,Groups!N:N)="Insect",1,IF(OR(_xlfn.XLOOKUP(E149,Groups!A:A,Groups!N:N)="Pig",_xlfn.XLOOKUP(E149,Groups!A:A,Groups!N:N)="StrongBitingHerbivore"),3.5,3.75)),"No")</f>
        <v>87.339929643126638</v>
      </c>
      <c r="BK149" s="8">
        <f t="shared" si="63"/>
        <v>11</v>
      </c>
      <c r="BL149" s="8">
        <f t="shared" si="64"/>
        <v>10</v>
      </c>
      <c r="BM149" s="8" t="str">
        <f t="shared" si="65"/>
        <v>No</v>
      </c>
      <c r="BN149" s="8">
        <f t="shared" si="66"/>
        <v>9</v>
      </c>
      <c r="BO149" s="8">
        <f t="shared" si="67"/>
        <v>11</v>
      </c>
      <c r="BP149" s="8" t="str" cm="1">
        <f t="array" ref="BP149">IF(AND(_xlfn.XLOOKUP('Base stats'!E149,Groups!A:A,Groups!AD:AD=0),_xlfn.XLOOKUP('Base stats'!E149,Groups!A:A,Groups!P:P=0)),"No",IF(U149="No",AVERAGE(EXP(-0.57+0.99*LN(C149)),EXP(0.32+0.67*LN(C149)))/IF(_xlfn.XLOOKUP(E149,Groups!A:A,Groups!AD:AD)=1,10,2),(0.7354*C149^0.4078)*2/IF(_xlfn.XLOOKUP(E149,Groups!A:A,Groups!BK:BK)=1,1000,100)/IF(_xlfn.XLOOKUP(E149,Groups!A:A,Groups!AJ:AJ)="Photonozoa",3,1)))</f>
        <v>No</v>
      </c>
      <c r="BQ149" s="8" t="str">
        <f>IF(W149="No","No",IF(_xlfn.XLOOKUP(E149,Groups!A:A,Groups!BD:BD)=1,(AO149*5%),EXP(0.7354*LN(C149)^0.4078)*2/IF(_xlfn.XLOOKUP(E149,Groups!A:A,Groups!BL:BL)=1,1000,100)/IF(_xlfn.XLOOKUP(E149,Groups!A:A,Groups!AJ:AJ)="Photonozoa",3,1)))</f>
        <v>No</v>
      </c>
      <c r="BR149" s="8">
        <f>IF(BJ149="No","No",IF(_xlfn.XLOOKUP(E149,Groups!A:A,Groups!BF:BF)=1,(0.0315*C149+2.1825)*2,(0.7354*C149^0.4078)*2)/IF(_xlfn.XLOOKUP(E149,Groups!A:A,Groups!BM:BM)=1,1000,100)/IF(_xlfn.XLOOKUP(E149,Groups!A:A,Groups!AJ:AJ)="Photonozoa",3,1))</f>
        <v>5.2356867158957016E-2</v>
      </c>
      <c r="BS149" s="8">
        <f t="shared" si="68"/>
        <v>7.9339759658036232E-2</v>
      </c>
      <c r="BT149" s="8" t="str">
        <f t="shared" si="69"/>
        <v>No</v>
      </c>
      <c r="BU149" s="8" t="str">
        <f t="shared" si="70"/>
        <v>No</v>
      </c>
      <c r="BV149" s="8">
        <f t="shared" si="71"/>
        <v>1668.1656940618695</v>
      </c>
      <c r="BW149" s="4">
        <v>0</v>
      </c>
      <c r="BX149" s="4">
        <v>1</v>
      </c>
    </row>
    <row r="150" spans="1:76" x14ac:dyDescent="0.25">
      <c r="A150" s="26" t="s">
        <v>883</v>
      </c>
      <c r="B150" s="6" t="s">
        <v>903</v>
      </c>
      <c r="C150" s="7">
        <v>4.5</v>
      </c>
      <c r="D150" s="7" t="s">
        <v>1270</v>
      </c>
      <c r="E150" s="7" t="str">
        <f>Groups!$A$19</f>
        <v>Catlike</v>
      </c>
      <c r="F150" s="7">
        <v>65</v>
      </c>
      <c r="G150" s="7">
        <f>289/365</f>
        <v>0.79178082191780819</v>
      </c>
      <c r="H150" s="7">
        <v>30</v>
      </c>
      <c r="I150" s="4">
        <v>0</v>
      </c>
      <c r="J150" s="7">
        <v>4</v>
      </c>
      <c r="K150" s="7" t="s">
        <v>510</v>
      </c>
      <c r="L150" s="7">
        <f t="shared" si="72"/>
        <v>42.871352170257147</v>
      </c>
      <c r="M150" s="7" t="s">
        <v>626</v>
      </c>
      <c r="N150" s="4">
        <v>0</v>
      </c>
      <c r="O150" s="4">
        <v>2</v>
      </c>
      <c r="P150" s="4">
        <v>-5</v>
      </c>
      <c r="Q150" s="4">
        <v>0</v>
      </c>
      <c r="R150" s="4" t="s">
        <v>40</v>
      </c>
      <c r="S150" s="7">
        <f>_xlfn.XLOOKUP(B150,[1]TeethAdjusters!$A:$A,[1]BiteAdjusters!$C:$C,1)</f>
        <v>0.9224429531163798</v>
      </c>
      <c r="T150" s="7">
        <f>_xlfn.XLOOKUP(B150,[1]TeethAdjusters!$A:$A,[1]TeethAdjusters!$B:$B,1)</f>
        <v>0.89529411549459281</v>
      </c>
      <c r="U150" s="7">
        <f>MROUND(1.2,0.05)</f>
        <v>1.2000000000000002</v>
      </c>
      <c r="V150" s="7">
        <f>IF(AT150="No","No",IF(_xlfn.XLOOKUP(E150,Groups!A:A,Groups!AM:AM)=1,MROUND(EXP(0.3582*LN(C150)-0.2221)*T150,0.05),IF(_xlfn.XLOOKUP(E150,Groups!A:A,Groups!AM:AM)=2,MROUND(EXP(0.3582*LN(C150)-0.2221)*T150,0.05),"Need a formula")))</f>
        <v>1.25</v>
      </c>
      <c r="W150" s="7" t="s">
        <v>45</v>
      </c>
      <c r="X150" s="7" t="s">
        <v>932</v>
      </c>
      <c r="Y150" s="4" t="s">
        <v>56</v>
      </c>
      <c r="Z150" s="4">
        <v>1</v>
      </c>
      <c r="AA150" s="4">
        <v>0</v>
      </c>
      <c r="AB150" s="4">
        <v>0</v>
      </c>
      <c r="AC150" s="4">
        <v>0</v>
      </c>
      <c r="AD150" s="4">
        <v>0</v>
      </c>
      <c r="AE150" s="4" t="s">
        <v>45</v>
      </c>
      <c r="AF150" s="4" t="s">
        <v>45</v>
      </c>
      <c r="AG150" s="49" t="s">
        <v>385</v>
      </c>
      <c r="AH150" s="4" t="str">
        <f>Animals!$C$20</f>
        <v>&lt;li&gt;Cat&lt;/li&gt;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4" t="s">
        <v>40</v>
      </c>
      <c r="AO150" s="8">
        <f t="shared" si="57"/>
        <v>2950.6052630710305</v>
      </c>
      <c r="AP150" s="8">
        <f>IFERROR(C150*_xlfn.XLOOKUP(E150,Groups!A:A,Groups!K:K),0.106*C150^0.94)</f>
        <v>0.56137499999999996</v>
      </c>
      <c r="AQ150" s="8">
        <f>AP150*10000/(_xlfn.XLOOKUP(E150,Groups!A:A,Groups!J:J)*AO150)</f>
        <v>1.7454823328138902</v>
      </c>
      <c r="AR150" s="8">
        <f t="shared" si="58"/>
        <v>193.73556787208551</v>
      </c>
      <c r="AS150" s="8">
        <f>IF(_xlfn.XLOOKUP(E150,Groups!A:A,Groups!M:M)=1,EXP(0.7444*LN('Base stats'!C150)+6.5696),EXP(0.7927*LN('Base stats'!C150)+4.28))</f>
        <v>238.00273195891231</v>
      </c>
      <c r="AT150" s="8">
        <f>IF(_xlfn.XLOOKUP(E150,Groups!A:A,Groups!N:N)="No","No",
IF(_xlfn.XLOOKUP(E150,Groups!A:A,Groups!N:N)="Crocodile",EXP(0.8129*LN(C150)+4.6742)*S150,
IF(_xlfn.XLOOKUP(E150,Groups!A:A,Groups!N:N)="Felid",EXP(0.7843*LN(C150)+4.7073)*S150,
IF(_xlfn.XLOOKUP(E150,Groups!A:A,Groups!N:N)="Canid",EXP(0.8367*LN(C150)+4.8763)*S150,
IF(_xlfn.XLOOKUP(E150,Groups!A:A,Groups!N:N)="Pig",EXP(0.3439*LN(C150)+6.8519)*S150,
IF(_xlfn.XLOOKUP(E150,Groups!A:A,Groups!N:N)="Rodent",EXP(0.5625*LN(C150)+4.3006)*S150,
IF(_xlfn.XLOOKUP(E150,Groups!A:A,Groups!N:N)="Primate",EXP(0.7847*LN(C150)+3.4931)*S150,
IF(_xlfn.XLOOKUP(E150,Groups!A:A,Groups!N:N)="MiscCarnivora",EXP(0.7486*LN(C150)+4.2207)*S150,
IF(_xlfn.XLOOKUP(E150,Groups!A:A,Groups!N:N)="Lizard",EXP(0.7733*LN(C150)+5.5303)*S150,
IF(_xlfn.XLOOKUP(E150,Groups!A:A,Groups!N:N)="Snake",50*C150^(2/3)*S150,
IF(_xlfn.XLOOKUP(E150,Groups!A:A,Groups!N:N)="StrongBitingHerbivore",87.1133638856975*C150^(2/3)*S150,
IF(_xlfn.XLOOKUP(E150,Groups!A:A,Groups!N:N)="MiscEctotherms",59.4316884072269*C150^(2/3)*S150,
IF(_xlfn.XLOOKUP(E150,Groups!A:A,Groups!N:N)="StrongBeakBird",0.041*(C150*1000)^1.375*S150,
IF(_xlfn.XLOOKUP(E150,Groups!A:A,Groups!N:N)="Bird",0.118*(C150*1000)^0.692*S150,
IF(_xlfn.XLOOKUP(E150,Groups!A:A,Groups!N:N)="Insect",EXP(0.7444*LN(C150)+6.5696)*S150,
IF(_xlfn.XLOOKUP(E150,Groups!A:A,Groups!N:N)="Theropod",EXP(0.6966*LN(C150)+4.158)*S150,
"No"))))))))))))))))</f>
        <v>332.35981357102617</v>
      </c>
      <c r="AU150" s="8">
        <f>IF(_xlfn.XLOOKUP(E150,Groups!A:A,Groups!U:U)=3,AS150,IF(_xlfn.XLOOKUP(E150,Groups!A:A,Groups!U:U)=2,AR150,AT150))</f>
        <v>332.35981357102617</v>
      </c>
      <c r="AV150" s="46">
        <f>IFERROR(AVERAGE(_xlfn.XLOOKUP(B150,Animals!B:B,Animals!N:N),_xlfn.XLOOKUP(B150,Animals!B:B,Animals!O:O)),0)</f>
        <v>0</v>
      </c>
      <c r="AW150" s="8">
        <f>MROUND(40*Animals!AO150*_xlfn.XLOOKUP(AG150,Leathers!$A$2:$A$99,Leathers!$B$2:$B$99,0)+(140*_xlfn.XLOOKUP(B150,Animals!B:B,Animals!AO:AO)*2),5)</f>
        <v>105</v>
      </c>
      <c r="AX150" s="8">
        <f>IFERROR(ROUND(SQRT(V150-1)*IF(_xlfn.XLOOKUP(E150,Groups!A:A,Groups!BF:BF)=0,2,1)*IF(_xlfn.XLOOKUP('Base stats'!E150,Groups!A:A,Groups!O:O)=0,1,0.1),1),0)</f>
        <v>1</v>
      </c>
      <c r="AY150" s="8">
        <f t="shared" si="59"/>
        <v>0.4</v>
      </c>
      <c r="AZ150" s="8">
        <f t="shared" si="60"/>
        <v>0</v>
      </c>
      <c r="BA150" s="8">
        <f t="shared" si="61"/>
        <v>1</v>
      </c>
      <c r="BB150" s="8">
        <f>IF(_xlfn.XLOOKUP(E150,Groups!A:A,Groups!N:N)="Insect",BD150*2.5,IFERROR(AVERAGE(BD150,AT150/9.81/IF(OR(_xlfn.XLOOKUP(E150,Groups!A:A,Groups!N:N)="Pig",_xlfn.XLOOKUP(E150,Groups!A:A,Groups!N:N)="StrongBitingHerbivore"),20,25))*C150^-0.135,BD150))</f>
        <v>0.60891039454806106</v>
      </c>
      <c r="BC150" s="8" t="str">
        <f>IF(W150="No","No",IF(_xlfn.XLOOKUP(E150,Groups!A:A,Groups!U:U)=1,'Base stats'!BB150,IF(OR(_xlfn.XLOOKUP(E150,Groups!A:A,Groups!BD:BD)=1,_xlfn.XLOOKUP(E150,Groups!A:A,Groups!U:U)=2),BD150,IF(_xlfn.XLOOKUP(B150,Animals!B:B,Animals!AO:AO)&gt;4,AVERAGE(BD150,BF150),BF150))))</f>
        <v>No</v>
      </c>
      <c r="BD150" s="8">
        <f t="shared" si="62"/>
        <v>0.1368061641182855</v>
      </c>
      <c r="BE150" s="8">
        <f>IF(_xlfn.XLOOKUP(E150,Groups!A:A,Groups!BE:BE)=1,(0.048*C150^1.01)+(0.071*C150^1.03),0.071*C150^1.03)/IF(_xlfn.XLOOKUP(E150,Groups!A:A,Groups!M:M)=1,0.85,IF(OR(_xlfn.XLOOKUP(B150,Animals!B:B,Animals!AO:AO)&gt;4,_xlfn.XLOOKUP(E150,Groups!A:A,Groups!BC:BC)=1),1.7,1))*C150^-0.25</f>
        <v>0.22949018151754852</v>
      </c>
      <c r="BF150" s="8">
        <f>(0.048*C150^1.01)/IF(_xlfn.XLOOKUP(E150,Groups!A:A,Groups!M:M)=1,0.25,0.8)*C150^-0.25</f>
        <v>0.18818836143592041</v>
      </c>
      <c r="BG150" s="8">
        <f>EXP(1.076*LN(AR150)-4.5397)*IF(_xlfn.XLOOKUP(E150,Groups!A:A,Groups!BC:BC)=1,1.25,IF(_xlfn.XLOOKUP(E150,Groups!A:A,Groups!BD:BD)=1,3.5,2.5))</f>
        <v>7.716326944216144</v>
      </c>
      <c r="BH150" s="8">
        <f>EXP(1.076*LN(AS150)-4.5397)*IF(_xlfn.XLOOKUP(E150,Groups!A:A,Groups!M:M)=1,0.8,IF(_xlfn.XLOOKUP(E150,Groups!A:A,Groups!BC:BC)=1,1.3,3))</f>
        <v>11.55464920650892</v>
      </c>
      <c r="BI150" s="8" t="str">
        <f>IF(W150="No","No",IF(_xlfn.XLOOKUP(E150,Groups!A:A,Groups!U:U)=1,'Base stats'!BJ150,IF(OR(_xlfn.XLOOKUP(E150,Groups!A:A,Groups!BD:BD)=1,_xlfn.XLOOKUP(E150,Groups!A:A,Groups!U:U)=2),BG150,BH150))*1.2)</f>
        <v>No</v>
      </c>
      <c r="BJ150" s="8">
        <f>IFERROR(EXP(1.076*LN(AT150)-4.5397)*IF(_xlfn.XLOOKUP(E150,Groups!A:A,Groups!N:N)="Insect",1,IF(OR(_xlfn.XLOOKUP(E150,Groups!A:A,Groups!N:N)="Pig",_xlfn.XLOOKUP(E150,Groups!A:A,Groups!N:N)="StrongBitingHerbivore"),3.5,3.75)),"No")</f>
        <v>20.687850133006499</v>
      </c>
      <c r="BK150" s="8">
        <f t="shared" si="63"/>
        <v>10</v>
      </c>
      <c r="BL150" s="8">
        <f t="shared" si="64"/>
        <v>10</v>
      </c>
      <c r="BM150" s="8" t="str">
        <f t="shared" si="65"/>
        <v>No</v>
      </c>
      <c r="BN150" s="8">
        <f t="shared" si="66"/>
        <v>8</v>
      </c>
      <c r="BO150" s="8">
        <f t="shared" si="67"/>
        <v>11</v>
      </c>
      <c r="BP150" s="8" cm="1">
        <f t="array" ref="BP150">IF(AND(_xlfn.XLOOKUP('Base stats'!E150,Groups!A:A,Groups!AD:AD=0),_xlfn.XLOOKUP('Base stats'!E150,Groups!A:A,Groups!P:P=0)),"No",IF(U150="No",AVERAGE(EXP(-0.57+0.99*LN(C150)),EXP(0.32+0.67*LN(C150)))/IF(_xlfn.XLOOKUP(E150,Groups!A:A,Groups!AD:AD)=1,10,2),(0.7354*C150^0.4078)*2/IF(_xlfn.XLOOKUP(E150,Groups!A:A,Groups!BK:BK)=1,1000,100)/IF(_xlfn.XLOOKUP(E150,Groups!A:A,Groups!AJ:AJ)="Photonozoa",3,1)))</f>
        <v>2.7160245069965436E-2</v>
      </c>
      <c r="BQ150" s="8" t="str">
        <f>IF(W150="No","No",IF(_xlfn.XLOOKUP(E150,Groups!A:A,Groups!BD:BD)=1,(AO150*5%),EXP(0.7354*LN(C150)^0.4078)*2/IF(_xlfn.XLOOKUP(E150,Groups!A:A,Groups!BL:BL)=1,1000,100)/IF(_xlfn.XLOOKUP(E150,Groups!A:A,Groups!AJ:AJ)="Photonozoa",3,1)))</f>
        <v>No</v>
      </c>
      <c r="BR150" s="8">
        <f>IF(BJ150="No","No",IF(_xlfn.XLOOKUP(E150,Groups!A:A,Groups!BF:BF)=1,(0.0315*C150+2.1825)*2,(0.7354*C150^0.4078)*2)/IF(_xlfn.XLOOKUP(E150,Groups!A:A,Groups!BM:BM)=1,1000,100)/IF(_xlfn.XLOOKUP(E150,Groups!A:A,Groups!AJ:AJ)="Photonozoa",3,1))</f>
        <v>2.7160245069965436E-2</v>
      </c>
      <c r="BS150" s="8">
        <f t="shared" si="68"/>
        <v>5.2303349694325998E-2</v>
      </c>
      <c r="BT150" s="8">
        <f t="shared" si="69"/>
        <v>425.4250717084426</v>
      </c>
      <c r="BU150" s="8" t="str">
        <f t="shared" si="70"/>
        <v>No</v>
      </c>
      <c r="BV150" s="8">
        <f t="shared" si="71"/>
        <v>761.69600383627267</v>
      </c>
      <c r="BW150" s="4">
        <v>0</v>
      </c>
      <c r="BX150" s="4">
        <v>1</v>
      </c>
    </row>
    <row r="151" spans="1:76" x14ac:dyDescent="0.25">
      <c r="A151" s="26" t="s">
        <v>882</v>
      </c>
      <c r="B151" s="6" t="s">
        <v>904</v>
      </c>
      <c r="C151" s="7">
        <f>AVERAGE(5,6)</f>
        <v>5.5</v>
      </c>
      <c r="D151" s="7" t="s">
        <v>1271</v>
      </c>
      <c r="E151" s="7" t="str">
        <f>Groups!$A$19</f>
        <v>Catlike</v>
      </c>
      <c r="F151" s="7">
        <v>65</v>
      </c>
      <c r="G151" s="7">
        <f>289/365</f>
        <v>0.79178082191780819</v>
      </c>
      <c r="H151" s="7">
        <v>30</v>
      </c>
      <c r="I151" s="4">
        <v>0</v>
      </c>
      <c r="J151" s="7">
        <v>4</v>
      </c>
      <c r="K151" s="7" t="s">
        <v>510</v>
      </c>
      <c r="L151" s="7">
        <f t="shared" si="72"/>
        <v>43.643899505124125</v>
      </c>
      <c r="M151" s="7" t="s">
        <v>626</v>
      </c>
      <c r="N151" s="4">
        <v>0</v>
      </c>
      <c r="O151" s="4">
        <v>2</v>
      </c>
      <c r="P151" s="4">
        <v>-5</v>
      </c>
      <c r="Q151" s="4">
        <v>0</v>
      </c>
      <c r="R151" s="4" t="s">
        <v>40</v>
      </c>
      <c r="S151" s="7">
        <f>_xlfn.XLOOKUP(B151,[1]TeethAdjusters!$A:$A,[1]BiteAdjusters!$C:$C,1)</f>
        <v>0.9224429531163798</v>
      </c>
      <c r="T151" s="7">
        <f>_xlfn.XLOOKUP(B151,[1]TeethAdjusters!$A:$A,[1]TeethAdjusters!$B:$B,1)</f>
        <v>0.89529411549459281</v>
      </c>
      <c r="U151" s="7">
        <f>MROUND(1.2,0.05)</f>
        <v>1.2000000000000002</v>
      </c>
      <c r="V151" s="7">
        <f>IF(AT151="No","No",IF(_xlfn.XLOOKUP(E151,Groups!A:A,Groups!AM:AM)=1,MROUND(EXP(0.3582*LN(C151)-0.2221)*T151,0.05),IF(_xlfn.XLOOKUP(E151,Groups!A:A,Groups!AM:AM)=2,MROUND(EXP(0.3582*LN(C151)-0.2221)*T151,0.05),"Need a formula")))</f>
        <v>1.3</v>
      </c>
      <c r="W151" s="7" t="s">
        <v>45</v>
      </c>
      <c r="X151" s="7" t="s">
        <v>932</v>
      </c>
      <c r="Y151" s="4" t="s">
        <v>56</v>
      </c>
      <c r="Z151" s="4">
        <v>1</v>
      </c>
      <c r="AA151" s="4">
        <v>0</v>
      </c>
      <c r="AB151" s="4">
        <v>0</v>
      </c>
      <c r="AC151" s="4">
        <v>0</v>
      </c>
      <c r="AD151" s="4">
        <v>0</v>
      </c>
      <c r="AE151" s="4" t="s">
        <v>45</v>
      </c>
      <c r="AF151" s="4" t="s">
        <v>45</v>
      </c>
      <c r="AG151" s="49" t="s">
        <v>385</v>
      </c>
      <c r="AH151" s="4" t="str">
        <f>Animals!$C$20</f>
        <v>&lt;li&gt;Cat&lt;/li&gt;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4" t="s">
        <v>40</v>
      </c>
      <c r="AO151" s="8">
        <f t="shared" si="57"/>
        <v>3361.6982414074623</v>
      </c>
      <c r="AP151" s="8">
        <f>IFERROR(C151*_xlfn.XLOOKUP(E151,Groups!A:A,Groups!K:K),0.106*C151^0.94)</f>
        <v>0.68612499999999998</v>
      </c>
      <c r="AQ151" s="8">
        <f>AP151*10000/(_xlfn.XLOOKUP(E151,Groups!A:A,Groups!J:J)*AO151)</f>
        <v>1.8724835837754288</v>
      </c>
      <c r="AR151" s="8">
        <f t="shared" si="58"/>
        <v>229.52241957602808</v>
      </c>
      <c r="AS151" s="8">
        <f>IF(_xlfn.XLOOKUP(E151,Groups!A:A,Groups!M:M)=1,EXP(0.7444*LN('Base stats'!C151)+6.5696),EXP(0.7927*LN('Base stats'!C151)+4.28))</f>
        <v>279.03962943422897</v>
      </c>
      <c r="AT151" s="8">
        <f>IF(_xlfn.XLOOKUP(E151,Groups!A:A,Groups!N:N)="No","No",
IF(_xlfn.XLOOKUP(E151,Groups!A:A,Groups!N:N)="Crocodile",EXP(0.8129*LN(C151)+4.6742)*S151,
IF(_xlfn.XLOOKUP(E151,Groups!A:A,Groups!N:N)="Felid",EXP(0.7843*LN(C151)+4.7073)*S151,
IF(_xlfn.XLOOKUP(E151,Groups!A:A,Groups!N:N)="Canid",EXP(0.8367*LN(C151)+4.8763)*S151,
IF(_xlfn.XLOOKUP(E151,Groups!A:A,Groups!N:N)="Pig",EXP(0.3439*LN(C151)+6.8519)*S151,
IF(_xlfn.XLOOKUP(E151,Groups!A:A,Groups!N:N)="Rodent",EXP(0.5625*LN(C151)+4.3006)*S151,
IF(_xlfn.XLOOKUP(E151,Groups!A:A,Groups!N:N)="Primate",EXP(0.7847*LN(C151)+3.4931)*S151,
IF(_xlfn.XLOOKUP(E151,Groups!A:A,Groups!N:N)="MiscCarnivora",EXP(0.7486*LN(C151)+4.2207)*S151,
IF(_xlfn.XLOOKUP(E151,Groups!A:A,Groups!N:N)="Lizard",EXP(0.7733*LN(C151)+5.5303)*S151,
IF(_xlfn.XLOOKUP(E151,Groups!A:A,Groups!N:N)="Snake",50*C151^(2/3)*S151,
IF(_xlfn.XLOOKUP(E151,Groups!A:A,Groups!N:N)="StrongBitingHerbivore",87.1133638856975*C151^(2/3)*S151,
IF(_xlfn.XLOOKUP(E151,Groups!A:A,Groups!N:N)="MiscEctotherms",59.4316884072269*C151^(2/3)*S151,
IF(_xlfn.XLOOKUP(E151,Groups!A:A,Groups!N:N)="StrongBeakBird",0.041*(C151*1000)^1.375*S151,
IF(_xlfn.XLOOKUP(E151,Groups!A:A,Groups!N:N)="Bird",0.118*(C151*1000)^0.692*S151,
IF(_xlfn.XLOOKUP(E151,Groups!A:A,Groups!N:N)="Insect",EXP(0.7444*LN(C151)+6.5696)*S151,
IF(_xlfn.XLOOKUP(E151,Groups!A:A,Groups!N:N)="Theropod",EXP(0.6966*LN(C151)+4.158)*S151,
"No"))))))))))))))))</f>
        <v>389.00966315400001</v>
      </c>
      <c r="AU151" s="8">
        <f>IF(_xlfn.XLOOKUP(E151,Groups!A:A,Groups!U:U)=3,AS151,IF(_xlfn.XLOOKUP(E151,Groups!A:A,Groups!U:U)=2,AR151,AT151))</f>
        <v>389.00966315400001</v>
      </c>
      <c r="AV151" s="46">
        <f>IFERROR(AVERAGE(_xlfn.XLOOKUP(B151,Animals!B:B,Animals!N:N),_xlfn.XLOOKUP(B151,Animals!B:B,Animals!O:O)),0)</f>
        <v>0</v>
      </c>
      <c r="AW151" s="8">
        <f>MROUND(40*Animals!AO151*_xlfn.XLOOKUP(AG151,Leathers!$A$2:$A$99,Leathers!$B$2:$B$99,0)+(140*_xlfn.XLOOKUP(B151,Animals!B:B,Animals!AO:AO)*2),5)</f>
        <v>105</v>
      </c>
      <c r="AX151" s="8">
        <f>IFERROR(ROUND(SQRT(V151-1)*IF(_xlfn.XLOOKUP(E151,Groups!A:A,Groups!BF:BF)=0,2,1)*IF(_xlfn.XLOOKUP('Base stats'!E151,Groups!A:A,Groups!O:O)=0,1,0.1),1),0)</f>
        <v>1.1000000000000001</v>
      </c>
      <c r="AY151" s="8">
        <f t="shared" si="59"/>
        <v>0.4</v>
      </c>
      <c r="AZ151" s="8">
        <f t="shared" si="60"/>
        <v>0</v>
      </c>
      <c r="BA151" s="8">
        <f t="shared" si="61"/>
        <v>1.1000000000000001</v>
      </c>
      <c r="BB151" s="8">
        <f>IF(_xlfn.XLOOKUP(E151,Groups!A:A,Groups!N:N)="Insect",BD151*2.5,IFERROR(AVERAGE(BD151,AT151/9.81/IF(OR(_xlfn.XLOOKUP(E151,Groups!A:A,Groups!N:N)="Pig",_xlfn.XLOOKUP(E151,Groups!A:A,Groups!N:N)="StrongBitingHerbivore"),20,25))*C151^-0.135,BD151))</f>
        <v>0.69424821835844897</v>
      </c>
      <c r="BC151" s="8" t="str">
        <f>IF(W151="No","No",IF(_xlfn.XLOOKUP(E151,Groups!A:A,Groups!U:U)=1,'Base stats'!BB151,IF(OR(_xlfn.XLOOKUP(E151,Groups!A:A,Groups!BD:BD)=1,_xlfn.XLOOKUP(E151,Groups!A:A,Groups!U:U)=2),BD151,IF(_xlfn.XLOOKUP(B151,Animals!B:B,Animals!AO:AO)&gt;4,AVERAGE(BD151,BF151),BF151))))</f>
        <v>No</v>
      </c>
      <c r="BD151" s="8">
        <f t="shared" si="62"/>
        <v>0.16163204285849328</v>
      </c>
      <c r="BE151" s="8">
        <f>IF(_xlfn.XLOOKUP(E151,Groups!A:A,Groups!BE:BE)=1,(0.048*C151^1.01)+(0.071*C151^1.03),0.071*C151^1.03)/IF(_xlfn.XLOOKUP(E151,Groups!A:A,Groups!M:M)=1,0.85,IF(OR(_xlfn.XLOOKUP(B151,Animals!B:B,Animals!AO:AO)&gt;4,_xlfn.XLOOKUP(E151,Groups!A:A,Groups!BC:BC)=1),1.7,1))*C151^-0.25</f>
        <v>0.26837449888753917</v>
      </c>
      <c r="BF151" s="8">
        <f>(0.048*C151^1.01)/IF(_xlfn.XLOOKUP(E151,Groups!A:A,Groups!M:M)=1,0.25,0.8)*C151^-0.25</f>
        <v>0.21919310785743251</v>
      </c>
      <c r="BG151" s="8">
        <f>EXP(1.076*LN(AR151)-4.5397)*IF(_xlfn.XLOOKUP(E151,Groups!A:A,Groups!BC:BC)=1,1.25,IF(_xlfn.XLOOKUP(E151,Groups!A:A,Groups!BD:BD)=1,3.5,2.5))</f>
        <v>9.260217158407297</v>
      </c>
      <c r="BH151" s="8">
        <f>EXP(1.076*LN(AS151)-4.5397)*IF(_xlfn.XLOOKUP(E151,Groups!A:A,Groups!M:M)=1,0.8,IF(_xlfn.XLOOKUP(E151,Groups!A:A,Groups!BC:BC)=1,1.3,3))</f>
        <v>13.711693256346145</v>
      </c>
      <c r="BI151" s="8" t="str">
        <f>IF(W151="No","No",IF(_xlfn.XLOOKUP(E151,Groups!A:A,Groups!U:U)=1,'Base stats'!BJ151,IF(OR(_xlfn.XLOOKUP(E151,Groups!A:A,Groups!BD:BD)=1,_xlfn.XLOOKUP(E151,Groups!A:A,Groups!U:U)=2),BG151,BH151))*1.2)</f>
        <v>No</v>
      </c>
      <c r="BJ151" s="8">
        <f>IFERROR(EXP(1.076*LN(AT151)-4.5397)*IF(_xlfn.XLOOKUP(E151,Groups!A:A,Groups!N:N)="Insect",1,IF(OR(_xlfn.XLOOKUP(E151,Groups!A:A,Groups!N:N)="Pig",_xlfn.XLOOKUP(E151,Groups!A:A,Groups!N:N)="StrongBitingHerbivore"),3.5,3.75)),"No")</f>
        <v>24.505410804089706</v>
      </c>
      <c r="BK151" s="8">
        <f t="shared" si="63"/>
        <v>10</v>
      </c>
      <c r="BL151" s="8">
        <f t="shared" si="64"/>
        <v>10</v>
      </c>
      <c r="BM151" s="8" t="str">
        <f t="shared" si="65"/>
        <v>No</v>
      </c>
      <c r="BN151" s="8">
        <f t="shared" si="66"/>
        <v>8</v>
      </c>
      <c r="BO151" s="8">
        <f t="shared" si="67"/>
        <v>11</v>
      </c>
      <c r="BP151" s="8" cm="1">
        <f t="array" ref="BP151">IF(AND(_xlfn.XLOOKUP('Base stats'!E151,Groups!A:A,Groups!AD:AD=0),_xlfn.XLOOKUP('Base stats'!E151,Groups!A:A,Groups!P:P=0)),"No",IF(U151="No",AVERAGE(EXP(-0.57+0.99*LN(C151)),EXP(0.32+0.67*LN(C151)))/IF(_xlfn.XLOOKUP(E151,Groups!A:A,Groups!AD:AD)=1,10,2),(0.7354*C151^0.4078)*2/IF(_xlfn.XLOOKUP(E151,Groups!A:A,Groups!BK:BK)=1,1000,100)/IF(_xlfn.XLOOKUP(E151,Groups!A:A,Groups!AJ:AJ)="Photonozoa",3,1)))</f>
        <v>2.9476337872033787E-2</v>
      </c>
      <c r="BQ151" s="8" t="str">
        <f>IF(W151="No","No",IF(_xlfn.XLOOKUP(E151,Groups!A:A,Groups!BD:BD)=1,(AO151*5%),EXP(0.7354*LN(C151)^0.4078)*2/IF(_xlfn.XLOOKUP(E151,Groups!A:A,Groups!BL:BL)=1,1000,100)/IF(_xlfn.XLOOKUP(E151,Groups!A:A,Groups!AJ:AJ)="Photonozoa",3,1)))</f>
        <v>No</v>
      </c>
      <c r="BR151" s="8">
        <f>IF(BJ151="No","No",IF(_xlfn.XLOOKUP(E151,Groups!A:A,Groups!BF:BF)=1,(0.0315*C151+2.1825)*2,(0.7354*C151^0.4078)*2)/IF(_xlfn.XLOOKUP(E151,Groups!A:A,Groups!BM:BM)=1,1000,100)/IF(_xlfn.XLOOKUP(E151,Groups!A:A,Groups!AJ:AJ)="Photonozoa",3,1))</f>
        <v>2.9476337872033787E-2</v>
      </c>
      <c r="BS151" s="8">
        <f t="shared" si="68"/>
        <v>5.5092494884551362E-2</v>
      </c>
      <c r="BT151" s="8">
        <f t="shared" si="69"/>
        <v>465.17628193410565</v>
      </c>
      <c r="BU151" s="8" t="str">
        <f t="shared" si="70"/>
        <v>No</v>
      </c>
      <c r="BV151" s="8">
        <f t="shared" si="71"/>
        <v>831.35872951638476</v>
      </c>
      <c r="BW151" s="4">
        <v>0</v>
      </c>
      <c r="BX151" s="4">
        <v>1</v>
      </c>
    </row>
    <row r="152" spans="1:76" x14ac:dyDescent="0.25">
      <c r="A152" s="26" t="s">
        <v>884</v>
      </c>
      <c r="B152" s="6" t="s">
        <v>905</v>
      </c>
      <c r="C152" s="7">
        <f>AVERAGE(AVERAGE(4,8),AVERAGE(3,5))</f>
        <v>5</v>
      </c>
      <c r="D152" s="7" t="s">
        <v>1272</v>
      </c>
      <c r="E152" s="7" t="str">
        <f>Groups!$A$19</f>
        <v>Catlike</v>
      </c>
      <c r="F152" s="7">
        <v>65</v>
      </c>
      <c r="G152" s="7">
        <f t="shared" ref="G152:G159" si="74">289/365</f>
        <v>0.79178082191780819</v>
      </c>
      <c r="H152" s="7">
        <v>30</v>
      </c>
      <c r="I152" s="4">
        <v>0</v>
      </c>
      <c r="J152" s="7">
        <v>4</v>
      </c>
      <c r="K152" s="7" t="s">
        <v>510</v>
      </c>
      <c r="L152" s="7">
        <f t="shared" si="72"/>
        <v>43.275251260603888</v>
      </c>
      <c r="M152" s="7" t="s">
        <v>626</v>
      </c>
      <c r="N152" s="4">
        <v>0</v>
      </c>
      <c r="O152" s="4">
        <v>2</v>
      </c>
      <c r="P152" s="4">
        <v>0</v>
      </c>
      <c r="Q152" s="4">
        <v>0</v>
      </c>
      <c r="R152" s="4" t="s">
        <v>40</v>
      </c>
      <c r="S152" s="7">
        <f>_xlfn.XLOOKUP(B152,[1]TeethAdjusters!$A:$A,[1]BiteAdjusters!$C:$C,1)</f>
        <v>0.9224429531163798</v>
      </c>
      <c r="T152" s="7">
        <f>_xlfn.XLOOKUP(B152,[1]TeethAdjusters!$A:$A,[1]TeethAdjusters!$B:$B,1)</f>
        <v>0.89529411549459281</v>
      </c>
      <c r="U152" s="7">
        <f>MROUND(1.2,0.05)</f>
        <v>1.2000000000000002</v>
      </c>
      <c r="V152" s="7">
        <f>IF(AT152="No","No",IF(_xlfn.XLOOKUP(E152,Groups!A:A,Groups!AM:AM)=1,MROUND(EXP(0.3582*LN(C152)-0.2221)*T152,0.05),IF(_xlfn.XLOOKUP(E152,Groups!A:A,Groups!AM:AM)=2,MROUND(EXP(0.3582*LN(C152)-0.2221)*T152,0.05),"Need a formula")))</f>
        <v>1.3</v>
      </c>
      <c r="W152" s="7" t="s">
        <v>45</v>
      </c>
      <c r="X152" s="7" t="s">
        <v>932</v>
      </c>
      <c r="Y152" s="4" t="s">
        <v>56</v>
      </c>
      <c r="Z152" s="4">
        <v>1</v>
      </c>
      <c r="AA152" s="4">
        <v>0</v>
      </c>
      <c r="AB152" s="4">
        <v>0</v>
      </c>
      <c r="AC152" s="4">
        <v>0</v>
      </c>
      <c r="AD152" s="4">
        <v>0</v>
      </c>
      <c r="AE152" s="4" t="s">
        <v>45</v>
      </c>
      <c r="AF152" s="4" t="s">
        <v>45</v>
      </c>
      <c r="AG152" s="49" t="s">
        <v>385</v>
      </c>
      <c r="AH152" s="4" t="str">
        <f>Animals!$C$20</f>
        <v>&lt;li&gt;Cat&lt;/li&gt;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4" t="s">
        <v>40</v>
      </c>
      <c r="AO152" s="8">
        <f t="shared" si="57"/>
        <v>3159.7555228095994</v>
      </c>
      <c r="AP152" s="8">
        <f>IFERROR(C152*_xlfn.XLOOKUP(E152,Groups!A:A,Groups!K:K),0.106*C152^0.94)</f>
        <v>0.62375000000000003</v>
      </c>
      <c r="AQ152" s="8">
        <f>AP152*10000/(_xlfn.XLOOKUP(E152,Groups!A:A,Groups!J:J)*AO152)</f>
        <v>1.8110505774610868</v>
      </c>
      <c r="AR152" s="8">
        <f t="shared" si="58"/>
        <v>211.76818398634828</v>
      </c>
      <c r="AS152" s="8">
        <f>IF(_xlfn.XLOOKUP(E152,Groups!A:A,Groups!M:M)=1,EXP(0.7444*LN('Base stats'!C152)+6.5696),EXP(0.7927*LN('Base stats'!C152)+4.28))</f>
        <v>258.73423965704086</v>
      </c>
      <c r="AT152" s="8">
        <f>IF(_xlfn.XLOOKUP(E152,Groups!A:A,Groups!N:N)="No","No",
IF(_xlfn.XLOOKUP(E152,Groups!A:A,Groups!N:N)="Crocodile",EXP(0.8129*LN(C152)+4.6742)*S152,
IF(_xlfn.XLOOKUP(E152,Groups!A:A,Groups!N:N)="Felid",EXP(0.7843*LN(C152)+4.7073)*S152,
IF(_xlfn.XLOOKUP(E152,Groups!A:A,Groups!N:N)="Canid",EXP(0.8367*LN(C152)+4.8763)*S152,
IF(_xlfn.XLOOKUP(E152,Groups!A:A,Groups!N:N)="Pig",EXP(0.3439*LN(C152)+6.8519)*S152,
IF(_xlfn.XLOOKUP(E152,Groups!A:A,Groups!N:N)="Rodent",EXP(0.5625*LN(C152)+4.3006)*S152,
IF(_xlfn.XLOOKUP(E152,Groups!A:A,Groups!N:N)="Primate",EXP(0.7847*LN(C152)+3.4931)*S152,
IF(_xlfn.XLOOKUP(E152,Groups!A:A,Groups!N:N)="MiscCarnivora",EXP(0.7486*LN(C152)+4.2207)*S152,
IF(_xlfn.XLOOKUP(E152,Groups!A:A,Groups!N:N)="Lizard",EXP(0.7733*LN(C152)+5.5303)*S152,
IF(_xlfn.XLOOKUP(E152,Groups!A:A,Groups!N:N)="Snake",50*C152^(2/3)*S152,
IF(_xlfn.XLOOKUP(E152,Groups!A:A,Groups!N:N)="StrongBitingHerbivore",87.1133638856975*C152^(2/3)*S152,
IF(_xlfn.XLOOKUP(E152,Groups!A:A,Groups!N:N)="MiscEctotherms",59.4316884072269*C152^(2/3)*S152,
IF(_xlfn.XLOOKUP(E152,Groups!A:A,Groups!N:N)="StrongBeakBird",0.041*(C152*1000)^1.375*S152,
IF(_xlfn.XLOOKUP(E152,Groups!A:A,Groups!N:N)="Bird",0.118*(C152*1000)^0.692*S152,
IF(_xlfn.XLOOKUP(E152,Groups!A:A,Groups!N:N)="Insect",EXP(0.7444*LN(C152)+6.5696)*S152,
IF(_xlfn.XLOOKUP(E152,Groups!A:A,Groups!N:N)="Theropod",EXP(0.6966*LN(C152)+4.158)*S152,
"No"))))))))))))))))</f>
        <v>360.99077727874845</v>
      </c>
      <c r="AU152" s="8">
        <f>IF(_xlfn.XLOOKUP(E152,Groups!A:A,Groups!U:U)=3,AS152,IF(_xlfn.XLOOKUP(E152,Groups!A:A,Groups!U:U)=2,AR152,AT152))</f>
        <v>360.99077727874845</v>
      </c>
      <c r="AV152" s="46">
        <f>IFERROR(AVERAGE(_xlfn.XLOOKUP(B152,Animals!B:B,Animals!N:N),_xlfn.XLOOKUP(B152,Animals!B:B,Animals!O:O)),0)</f>
        <v>0</v>
      </c>
      <c r="AW152" s="8">
        <f>MROUND(40*Animals!AO152*_xlfn.XLOOKUP(AG152,Leathers!$A$2:$A$99,Leathers!$B$2:$B$99,0)+(140*_xlfn.XLOOKUP(B152,Animals!B:B,Animals!AO:AO)*2),5)</f>
        <v>105</v>
      </c>
      <c r="AX152" s="8">
        <f>IFERROR(ROUND(SQRT(V152-1)*IF(_xlfn.XLOOKUP(E152,Groups!A:A,Groups!BF:BF)=0,2,1)*IF(_xlfn.XLOOKUP('Base stats'!E152,Groups!A:A,Groups!O:O)=0,1,0.1),1),0)</f>
        <v>1.1000000000000001</v>
      </c>
      <c r="AY152" s="8">
        <f t="shared" si="59"/>
        <v>0.4</v>
      </c>
      <c r="AZ152" s="8">
        <f t="shared" si="60"/>
        <v>0</v>
      </c>
      <c r="BA152" s="8">
        <f t="shared" si="61"/>
        <v>1.1000000000000001</v>
      </c>
      <c r="BB152" s="8">
        <f>IF(_xlfn.XLOOKUP(E152,Groups!A:A,Groups!N:N)="Insect",BD152*2.5,IFERROR(AVERAGE(BD152,AT152/9.81/IF(OR(_xlfn.XLOOKUP(E152,Groups!A:A,Groups!N:N)="Pig",_xlfn.XLOOKUP(E152,Groups!A:A,Groups!N:N)="StrongBitingHerbivore"),20,25))*C152^-0.135,BD152))</f>
        <v>0.65231911130315001</v>
      </c>
      <c r="BC152" s="8" t="str">
        <f>IF(W152="No","No",IF(_xlfn.XLOOKUP(E152,Groups!A:A,Groups!U:U)=1,'Base stats'!BB152,IF(OR(_xlfn.XLOOKUP(E152,Groups!A:A,Groups!BD:BD)=1,_xlfn.XLOOKUP(E152,Groups!A:A,Groups!U:U)=2),BD152,IF(_xlfn.XLOOKUP(B152,Animals!B:B,Animals!AO:AO)&gt;4,AVERAGE(BD152,BF152),BF152))))</f>
        <v>No</v>
      </c>
      <c r="BD152" s="8">
        <f t="shared" si="62"/>
        <v>0.1493241807173129</v>
      </c>
      <c r="BE152" s="8">
        <f>IF(_xlfn.XLOOKUP(E152,Groups!A:A,Groups!BE:BE)=1,(0.048*C152^1.01)+(0.071*C152^1.03),0.071*C152^1.03)/IF(_xlfn.XLOOKUP(E152,Groups!A:A,Groups!M:M)=1,0.85,IF(OR(_xlfn.XLOOKUP(B152,Animals!B:B,Animals!AO:AO)&gt;4,_xlfn.XLOOKUP(E152,Groups!A:A,Groups!BC:BC)=1),1.7,1))*C152^-0.25</f>
        <v>0.24914659265101385</v>
      </c>
      <c r="BF152" s="8">
        <f>(0.048*C152^1.01)/IF(_xlfn.XLOOKUP(E152,Groups!A:A,Groups!M:M)=1,0.25,0.8)*C152^-0.25</f>
        <v>0.20387710292659536</v>
      </c>
      <c r="BG152" s="8">
        <f>EXP(1.076*LN(AR152)-4.5397)*IF(_xlfn.XLOOKUP(E152,Groups!A:A,Groups!BC:BC)=1,1.25,IF(_xlfn.XLOOKUP(E152,Groups!A:A,Groups!BD:BD)=1,3.5,2.5))</f>
        <v>8.4917944979407451</v>
      </c>
      <c r="BH152" s="8">
        <f>EXP(1.076*LN(AS152)-4.5397)*IF(_xlfn.XLOOKUP(E152,Groups!A:A,Groups!M:M)=1,0.8,IF(_xlfn.XLOOKUP(E152,Groups!A:A,Groups!BC:BC)=1,1.3,3))</f>
        <v>12.641115428827339</v>
      </c>
      <c r="BI152" s="8" t="str">
        <f>IF(W152="No","No",IF(_xlfn.XLOOKUP(E152,Groups!A:A,Groups!U:U)=1,'Base stats'!BJ152,IF(OR(_xlfn.XLOOKUP(E152,Groups!A:A,Groups!BD:BD)=1,_xlfn.XLOOKUP(E152,Groups!A:A,Groups!U:U)=2),BG152,BH152))*1.2)</f>
        <v>No</v>
      </c>
      <c r="BJ152" s="8">
        <f>IFERROR(EXP(1.076*LN(AT152)-4.5397)*IF(_xlfn.XLOOKUP(E152,Groups!A:A,Groups!N:N)="Insect",1,IF(OR(_xlfn.XLOOKUP(E152,Groups!A:A,Groups!N:N)="Pig",_xlfn.XLOOKUP(E152,Groups!A:A,Groups!N:N)="StrongBitingHerbivore"),3.5,3.75)),"No")</f>
        <v>22.611554427117202</v>
      </c>
      <c r="BK152" s="8">
        <f t="shared" si="63"/>
        <v>10</v>
      </c>
      <c r="BL152" s="8">
        <f t="shared" si="64"/>
        <v>10</v>
      </c>
      <c r="BM152" s="8" t="str">
        <f t="shared" si="65"/>
        <v>No</v>
      </c>
      <c r="BN152" s="8">
        <f t="shared" si="66"/>
        <v>8</v>
      </c>
      <c r="BO152" s="8">
        <f t="shared" si="67"/>
        <v>11</v>
      </c>
      <c r="BP152" s="8" cm="1">
        <f t="array" ref="BP152">IF(AND(_xlfn.XLOOKUP('Base stats'!E152,Groups!A:A,Groups!AD:AD=0),_xlfn.XLOOKUP('Base stats'!E152,Groups!A:A,Groups!P:P=0)),"No",IF(U152="No",AVERAGE(EXP(-0.57+0.99*LN(C152)),EXP(0.32+0.67*LN(C152)))/IF(_xlfn.XLOOKUP(E152,Groups!A:A,Groups!AD:AD)=1,10,2),(0.7354*C152^0.4078)*2/IF(_xlfn.XLOOKUP(E152,Groups!A:A,Groups!BK:BK)=1,1000,100)/IF(_xlfn.XLOOKUP(E152,Groups!A:A,Groups!AJ:AJ)="Photonozoa",3,1)))</f>
        <v>2.8352645574082073E-2</v>
      </c>
      <c r="BQ152" s="8" t="str">
        <f>IF(W152="No","No",IF(_xlfn.XLOOKUP(E152,Groups!A:A,Groups!BD:BD)=1,(AO152*5%),EXP(0.7354*LN(C152)^0.4078)*2/IF(_xlfn.XLOOKUP(E152,Groups!A:A,Groups!BL:BL)=1,1000,100)/IF(_xlfn.XLOOKUP(E152,Groups!A:A,Groups!AJ:AJ)="Photonozoa",3,1)))</f>
        <v>No</v>
      </c>
      <c r="BR152" s="8">
        <f>IF(BJ152="No","No",IF(_xlfn.XLOOKUP(E152,Groups!A:A,Groups!BF:BF)=1,(0.0315*C152+2.1825)*2,(0.7354*C152^0.4078)*2)/IF(_xlfn.XLOOKUP(E152,Groups!A:A,Groups!BM:BM)=1,1000,100)/IF(_xlfn.XLOOKUP(E152,Groups!A:A,Groups!AJ:AJ)="Photonozoa",3,1))</f>
        <v>2.8352645574082073E-2</v>
      </c>
      <c r="BS152" s="8">
        <f t="shared" si="68"/>
        <v>5.3749693206580677E-2</v>
      </c>
      <c r="BT152" s="8">
        <f t="shared" si="69"/>
        <v>445.85311786152778</v>
      </c>
      <c r="BU152" s="8" t="str">
        <f t="shared" si="70"/>
        <v>No</v>
      </c>
      <c r="BV152" s="8">
        <f t="shared" si="71"/>
        <v>797.51127167431036</v>
      </c>
      <c r="BW152" s="4">
        <v>0</v>
      </c>
      <c r="BX152" s="4">
        <v>1</v>
      </c>
    </row>
    <row r="153" spans="1:76" x14ac:dyDescent="0.25">
      <c r="A153" s="26" t="s">
        <v>886</v>
      </c>
      <c r="B153" s="6" t="s">
        <v>906</v>
      </c>
      <c r="C153" s="7">
        <f>AVERAGE(AVERAGE(8.2,10),AVERAGE(5.4,6.8))</f>
        <v>7.6</v>
      </c>
      <c r="D153" s="7" t="s">
        <v>1273</v>
      </c>
      <c r="E153" s="7" t="str">
        <f>Groups!$A$19</f>
        <v>Catlike</v>
      </c>
      <c r="F153" s="7">
        <v>65</v>
      </c>
      <c r="G153" s="7">
        <f t="shared" si="74"/>
        <v>0.79178082191780819</v>
      </c>
      <c r="H153" s="7">
        <v>30</v>
      </c>
      <c r="I153" s="4">
        <v>0</v>
      </c>
      <c r="J153" s="7">
        <v>4</v>
      </c>
      <c r="K153" s="7" t="s">
        <v>510</v>
      </c>
      <c r="L153" s="7">
        <f t="shared" si="72"/>
        <v>44.918337861164062</v>
      </c>
      <c r="M153" s="7" t="s">
        <v>626</v>
      </c>
      <c r="N153" s="4">
        <v>0</v>
      </c>
      <c r="O153" s="4">
        <v>2</v>
      </c>
      <c r="P153" s="4">
        <v>10</v>
      </c>
      <c r="Q153" s="4">
        <v>0</v>
      </c>
      <c r="R153" s="4" t="s">
        <v>40</v>
      </c>
      <c r="S153" s="7">
        <f>_xlfn.XLOOKUP(B153,[1]TeethAdjusters!$A:$A,[1]BiteAdjusters!$C:$C,1)</f>
        <v>0.9224429531163798</v>
      </c>
      <c r="T153" s="7">
        <f>_xlfn.XLOOKUP(B153,[1]TeethAdjusters!$A:$A,[1]TeethAdjusters!$B:$B,1)</f>
        <v>0.89529411549459281</v>
      </c>
      <c r="U153" s="7">
        <f>MROUND(1.5,0.05)</f>
        <v>1.5</v>
      </c>
      <c r="V153" s="7">
        <f>IF(AT153="No","No",IF(_xlfn.XLOOKUP(E153,Groups!A:A,Groups!AM:AM)=1,MROUND(EXP(0.3582*LN(C153)-0.2221)*T153,0.05),IF(_xlfn.XLOOKUP(E153,Groups!A:A,Groups!AM:AM)=2,MROUND(EXP(0.3582*LN(C153)-0.2221)*T153,0.05),"Need a formula")))</f>
        <v>1.5</v>
      </c>
      <c r="W153" s="7" t="s">
        <v>45</v>
      </c>
      <c r="X153" s="7" t="s">
        <v>932</v>
      </c>
      <c r="Y153" s="4" t="s">
        <v>56</v>
      </c>
      <c r="Z153" s="4">
        <v>1</v>
      </c>
      <c r="AA153" s="4">
        <v>0</v>
      </c>
      <c r="AB153" s="4">
        <v>0</v>
      </c>
      <c r="AC153" s="4">
        <v>0</v>
      </c>
      <c r="AD153" s="4">
        <v>0</v>
      </c>
      <c r="AE153" s="4" t="s">
        <v>45</v>
      </c>
      <c r="AF153" s="4" t="s">
        <v>45</v>
      </c>
      <c r="AG153" s="49" t="s">
        <v>385</v>
      </c>
      <c r="AH153" s="4" t="str">
        <f>Animals!$C$20</f>
        <v>&lt;li&gt;Cat&lt;/li&gt;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4" t="s">
        <v>40</v>
      </c>
      <c r="AO153" s="8">
        <f t="shared" si="57"/>
        <v>4148.1247973482359</v>
      </c>
      <c r="AP153" s="8">
        <f>IFERROR(C153*_xlfn.XLOOKUP(E153,Groups!A:A,Groups!K:K),0.106*C153^0.94)</f>
        <v>0.94809999999999994</v>
      </c>
      <c r="AQ153" s="8">
        <f>AP153*10000/(_xlfn.XLOOKUP(E153,Groups!A:A,Groups!J:J)*AO153)</f>
        <v>2.0968908995156408</v>
      </c>
      <c r="AR153" s="8">
        <f t="shared" si="58"/>
        <v>301.62267766010126</v>
      </c>
      <c r="AS153" s="8">
        <f>IF(_xlfn.XLOOKUP(E153,Groups!A:A,Groups!M:M)=1,EXP(0.7444*LN('Base stats'!C153)+6.5696),EXP(0.7927*LN('Base stats'!C153)+4.28))</f>
        <v>360.57973660164913</v>
      </c>
      <c r="AT153" s="8">
        <f>IF(_xlfn.XLOOKUP(E153,Groups!A:A,Groups!N:N)="No","No",
IF(_xlfn.XLOOKUP(E153,Groups!A:A,Groups!N:N)="Crocodile",EXP(0.8129*LN(C153)+4.6742)*S153,
IF(_xlfn.XLOOKUP(E153,Groups!A:A,Groups!N:N)="Felid",EXP(0.7843*LN(C153)+4.7073)*S153,
IF(_xlfn.XLOOKUP(E153,Groups!A:A,Groups!N:N)="Canid",EXP(0.8367*LN(C153)+4.8763)*S153,
IF(_xlfn.XLOOKUP(E153,Groups!A:A,Groups!N:N)="Pig",EXP(0.3439*LN(C153)+6.8519)*S153,
IF(_xlfn.XLOOKUP(E153,Groups!A:A,Groups!N:N)="Rodent",EXP(0.5625*LN(C153)+4.3006)*S153,
IF(_xlfn.XLOOKUP(E153,Groups!A:A,Groups!N:N)="Primate",EXP(0.7847*LN(C153)+3.4931)*S153,
IF(_xlfn.XLOOKUP(E153,Groups!A:A,Groups!N:N)="MiscCarnivora",EXP(0.7486*LN(C153)+4.2207)*S153,
IF(_xlfn.XLOOKUP(E153,Groups!A:A,Groups!N:N)="Lizard",EXP(0.7733*LN(C153)+5.5303)*S153,
IF(_xlfn.XLOOKUP(E153,Groups!A:A,Groups!N:N)="Snake",50*C153^(2/3)*S153,
IF(_xlfn.XLOOKUP(E153,Groups!A:A,Groups!N:N)="StrongBitingHerbivore",87.1133638856975*C153^(2/3)*S153,
IF(_xlfn.XLOOKUP(E153,Groups!A:A,Groups!N:N)="MiscEctotherms",59.4316884072269*C153^(2/3)*S153,
IF(_xlfn.XLOOKUP(E153,Groups!A:A,Groups!N:N)="StrongBeakBird",0.041*(C153*1000)^1.375*S153,
IF(_xlfn.XLOOKUP(E153,Groups!A:A,Groups!N:N)="Bird",0.118*(C153*1000)^0.692*S153,
IF(_xlfn.XLOOKUP(E153,Groups!A:A,Groups!N:N)="Insect",EXP(0.7444*LN(C153)+6.5696)*S153,
IF(_xlfn.XLOOKUP(E153,Groups!A:A,Groups!N:N)="Theropod",EXP(0.6966*LN(C153)+4.158)*S153,
"No"))))))))))))))))</f>
        <v>501.32115613959508</v>
      </c>
      <c r="AU153" s="8">
        <f>IF(_xlfn.XLOOKUP(E153,Groups!A:A,Groups!U:U)=3,AS153,IF(_xlfn.XLOOKUP(E153,Groups!A:A,Groups!U:U)=2,AR153,AT153))</f>
        <v>501.32115613959508</v>
      </c>
      <c r="AV153" s="46">
        <f>IFERROR(AVERAGE(_xlfn.XLOOKUP(B153,Animals!B:B,Animals!N:N),_xlfn.XLOOKUP(B153,Animals!B:B,Animals!O:O)),0)</f>
        <v>0</v>
      </c>
      <c r="AW153" s="8">
        <f>MROUND(40*Animals!AO153*_xlfn.XLOOKUP(AG153,Leathers!$A$2:$A$99,Leathers!$B$2:$B$99,0)+(140*_xlfn.XLOOKUP(B153,Animals!B:B,Animals!AO:AO)*2),5)</f>
        <v>125</v>
      </c>
      <c r="AX153" s="8">
        <f>IFERROR(ROUND(SQRT(V153-1)*IF(_xlfn.XLOOKUP(E153,Groups!A:A,Groups!BF:BF)=0,2,1)*IF(_xlfn.XLOOKUP('Base stats'!E153,Groups!A:A,Groups!O:O)=0,1,0.1),1),0)</f>
        <v>1.4</v>
      </c>
      <c r="AY153" s="8">
        <f t="shared" si="59"/>
        <v>0.7</v>
      </c>
      <c r="AZ153" s="8">
        <f t="shared" si="60"/>
        <v>0</v>
      </c>
      <c r="BA153" s="8">
        <f t="shared" si="61"/>
        <v>1.3</v>
      </c>
      <c r="BB153" s="8">
        <f>IF(_xlfn.XLOOKUP(E153,Groups!A:A,Groups!N:N)="Insect",BD153*2.5,IFERROR(AVERAGE(BD153,AT153/9.81/IF(OR(_xlfn.XLOOKUP(E153,Groups!A:A,Groups!N:N)="Pig",_xlfn.XLOOKUP(E153,Groups!A:A,Groups!N:N)="StrongBitingHerbivore"),20,25))*C153^-0.135,BD153))</f>
        <v>0.85767012150522703</v>
      </c>
      <c r="BC153" s="8" t="str">
        <f>IF(W153="No","No",IF(_xlfn.XLOOKUP(E153,Groups!A:A,Groups!U:U)=1,'Base stats'!BB153,IF(OR(_xlfn.XLOOKUP(E153,Groups!A:A,Groups!BD:BD)=1,_xlfn.XLOOKUP(E153,Groups!A:A,Groups!U:U)=2),BD153,IF(_xlfn.XLOOKUP(B153,Animals!B:B,Animals!AO:AO)&gt;4,AVERAGE(BD153,BF153),BF153))))</f>
        <v>No</v>
      </c>
      <c r="BD153" s="8">
        <f t="shared" si="62"/>
        <v>0.21146678480123707</v>
      </c>
      <c r="BE153" s="8">
        <f>IF(_xlfn.XLOOKUP(E153,Groups!A:A,Groups!BE:BE)=1,(0.048*C153^1.01)+(0.071*C153^1.03),0.071*C153^1.03)/IF(_xlfn.XLOOKUP(E153,Groups!A:A,Groups!M:M)=1,0.85,IF(OR(_xlfn.XLOOKUP(B153,Animals!B:B,Animals!AO:AO)&gt;4,_xlfn.XLOOKUP(E153,Groups!A:A,Groups!BC:BC)=1),1.7,1))*C153^-0.25</f>
        <v>0.34537663248293771</v>
      </c>
      <c r="BF153" s="8">
        <f>(0.048*C153^1.01)/IF(_xlfn.XLOOKUP(E153,Groups!A:A,Groups!M:M)=1,0.25,0.8)*C153^-0.25</f>
        <v>0.28026546131788677</v>
      </c>
      <c r="BG153" s="8">
        <f>EXP(1.076*LN(AR153)-4.5397)*IF(_xlfn.XLOOKUP(E153,Groups!A:A,Groups!BC:BC)=1,1.25,IF(_xlfn.XLOOKUP(E153,Groups!A:A,Groups!BD:BD)=1,3.5,2.5))</f>
        <v>12.424433719180858</v>
      </c>
      <c r="BH153" s="8">
        <f>EXP(1.076*LN(AS153)-4.5397)*IF(_xlfn.XLOOKUP(E153,Groups!A:A,Groups!M:M)=1,0.8,IF(_xlfn.XLOOKUP(E153,Groups!A:A,Groups!BC:BC)=1,1.3,3))</f>
        <v>18.067081867050479</v>
      </c>
      <c r="BI153" s="8" t="str">
        <f>IF(W153="No","No",IF(_xlfn.XLOOKUP(E153,Groups!A:A,Groups!U:U)=1,'Base stats'!BJ153,IF(OR(_xlfn.XLOOKUP(E153,Groups!A:A,Groups!BD:BD)=1,_xlfn.XLOOKUP(E153,Groups!A:A,Groups!U:U)=2),BG153,BH153))*1.2)</f>
        <v>No</v>
      </c>
      <c r="BJ153" s="8">
        <f>IFERROR(EXP(1.076*LN(AT153)-4.5397)*IF(_xlfn.XLOOKUP(E153,Groups!A:A,Groups!N:N)="Insect",1,IF(OR(_xlfn.XLOOKUP(E153,Groups!A:A,Groups!N:N)="Pig",_xlfn.XLOOKUP(E153,Groups!A:A,Groups!N:N)="StrongBitingHerbivore"),3.5,3.75)),"No")</f>
        <v>32.195076343916185</v>
      </c>
      <c r="BK153" s="8">
        <f t="shared" si="63"/>
        <v>10</v>
      </c>
      <c r="BL153" s="8">
        <f t="shared" si="64"/>
        <v>10</v>
      </c>
      <c r="BM153" s="8" t="str">
        <f t="shared" si="65"/>
        <v>No</v>
      </c>
      <c r="BN153" s="8">
        <f t="shared" si="66"/>
        <v>8</v>
      </c>
      <c r="BO153" s="8">
        <f t="shared" si="67"/>
        <v>11</v>
      </c>
      <c r="BP153" s="8" cm="1">
        <f t="array" ref="BP153">IF(AND(_xlfn.XLOOKUP('Base stats'!E153,Groups!A:A,Groups!AD:AD=0),_xlfn.XLOOKUP('Base stats'!E153,Groups!A:A,Groups!P:P=0)),"No",IF(U153="No",AVERAGE(EXP(-0.57+0.99*LN(C153)),EXP(0.32+0.67*LN(C153)))/IF(_xlfn.XLOOKUP(E153,Groups!A:A,Groups!AD:AD)=1,10,2),(0.7354*C153^0.4078)*2/IF(_xlfn.XLOOKUP(E153,Groups!A:A,Groups!BK:BK)=1,1000,100)/IF(_xlfn.XLOOKUP(E153,Groups!A:A,Groups!AJ:AJ)="Photonozoa",3,1)))</f>
        <v>3.3631745204606232E-2</v>
      </c>
      <c r="BQ153" s="8" t="str">
        <f>IF(W153="No","No",IF(_xlfn.XLOOKUP(E153,Groups!A:A,Groups!BD:BD)=1,(AO153*5%),EXP(0.7354*LN(C153)^0.4078)*2/IF(_xlfn.XLOOKUP(E153,Groups!A:A,Groups!BL:BL)=1,1000,100)/IF(_xlfn.XLOOKUP(E153,Groups!A:A,Groups!AJ:AJ)="Photonozoa",3,1)))</f>
        <v>No</v>
      </c>
      <c r="BR153" s="8">
        <f>IF(BJ153="No","No",IF(_xlfn.XLOOKUP(E153,Groups!A:A,Groups!BF:BF)=1,(0.0315*C153+2.1825)*2,(0.7354*C153^0.4078)*2)/IF(_xlfn.XLOOKUP(E153,Groups!A:A,Groups!BM:BM)=1,1000,100)/IF(_xlfn.XLOOKUP(E153,Groups!A:A,Groups!AJ:AJ)="Photonozoa",3,1))</f>
        <v>3.3631745204606232E-2</v>
      </c>
      <c r="BS153" s="8">
        <f t="shared" si="68"/>
        <v>5.9903856928911113E-2</v>
      </c>
      <c r="BT153" s="8">
        <f t="shared" si="69"/>
        <v>537.20322145447267</v>
      </c>
      <c r="BU153" s="8" t="str">
        <f t="shared" si="70"/>
        <v>No</v>
      </c>
      <c r="BV153" s="8">
        <f t="shared" si="71"/>
        <v>957.28235772631626</v>
      </c>
      <c r="BW153" s="4">
        <v>0</v>
      </c>
      <c r="BX153" s="4">
        <v>1</v>
      </c>
    </row>
    <row r="154" spans="1:76" x14ac:dyDescent="0.25">
      <c r="A154" s="26" t="s">
        <v>885</v>
      </c>
      <c r="B154" s="6" t="s">
        <v>907</v>
      </c>
      <c r="C154" s="7">
        <f>AVERAGE(2.7,4.1)</f>
        <v>3.4</v>
      </c>
      <c r="D154" s="7" t="s">
        <v>1274</v>
      </c>
      <c r="E154" s="7" t="str">
        <f>Groups!$A$19</f>
        <v>Catlike</v>
      </c>
      <c r="F154" s="7">
        <v>65</v>
      </c>
      <c r="G154" s="7">
        <f t="shared" si="74"/>
        <v>0.79178082191780819</v>
      </c>
      <c r="H154" s="7">
        <v>30</v>
      </c>
      <c r="I154" s="4">
        <v>0</v>
      </c>
      <c r="J154" s="7">
        <v>4</v>
      </c>
      <c r="K154" s="7" t="s">
        <v>510</v>
      </c>
      <c r="L154" s="7">
        <f t="shared" si="72"/>
        <v>41.815076084855392</v>
      </c>
      <c r="M154" s="7" t="s">
        <v>626</v>
      </c>
      <c r="N154" s="4">
        <v>0</v>
      </c>
      <c r="O154" s="4">
        <v>2</v>
      </c>
      <c r="P154" s="4">
        <v>0</v>
      </c>
      <c r="Q154" s="4">
        <v>0</v>
      </c>
      <c r="R154" s="4" t="s">
        <v>40</v>
      </c>
      <c r="S154" s="7">
        <f>_xlfn.XLOOKUP(B154,[1]TeethAdjusters!$A:$A,[1]BiteAdjusters!$C:$C,1)</f>
        <v>0.9224429531163798</v>
      </c>
      <c r="T154" s="7">
        <f>_xlfn.XLOOKUP(B154,[1]TeethAdjusters!$A:$A,[1]TeethAdjusters!$B:$B,1)</f>
        <v>0.89529411549459281</v>
      </c>
      <c r="U154" s="7">
        <f>MROUND(1.2,0.05)</f>
        <v>1.2000000000000002</v>
      </c>
      <c r="V154" s="7">
        <f>IF(AT154="No","No",IF(_xlfn.XLOOKUP(E154,Groups!A:A,Groups!AM:AM)=1,MROUND(EXP(0.3582*LN(C154)-0.2221)*T154,0.05),IF(_xlfn.XLOOKUP(E154,Groups!A:A,Groups!AM:AM)=2,MROUND(EXP(0.3582*LN(C154)-0.2221)*T154,0.05),"Need a formula")))</f>
        <v>1.1000000000000001</v>
      </c>
      <c r="W154" s="7" t="s">
        <v>45</v>
      </c>
      <c r="X154" s="7" t="s">
        <v>932</v>
      </c>
      <c r="Y154" s="4" t="s">
        <v>56</v>
      </c>
      <c r="Z154" s="4">
        <v>1</v>
      </c>
      <c r="AA154" s="4">
        <v>0</v>
      </c>
      <c r="AB154" s="4">
        <v>0</v>
      </c>
      <c r="AC154" s="4">
        <v>0</v>
      </c>
      <c r="AD154" s="4">
        <v>0</v>
      </c>
      <c r="AE154" s="4" t="s">
        <v>45</v>
      </c>
      <c r="AF154" s="4" t="s">
        <v>45</v>
      </c>
      <c r="AG154" s="49" t="s">
        <v>385</v>
      </c>
      <c r="AH154" s="4" t="str">
        <f>Animals!$C$20</f>
        <v>&lt;li&gt;Cat&lt;/li&gt;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4" t="s">
        <v>40</v>
      </c>
      <c r="AO154" s="8">
        <f t="shared" si="57"/>
        <v>2459.1457803440585</v>
      </c>
      <c r="AP154" s="8">
        <f>IFERROR(C154*_xlfn.XLOOKUP(E154,Groups!A:A,Groups!K:K),0.106*C154^0.94)</f>
        <v>0.42414999999999997</v>
      </c>
      <c r="AQ154" s="8">
        <f>AP154*10000/(_xlfn.XLOOKUP(E154,Groups!A:A,Groups!J:J)*AO154)</f>
        <v>1.5823723972660524</v>
      </c>
      <c r="AR154" s="8">
        <f t="shared" si="58"/>
        <v>152.89067249099983</v>
      </c>
      <c r="AS154" s="8">
        <f>IF(_xlfn.XLOOKUP(E154,Groups!A:A,Groups!M:M)=1,EXP(0.7444*LN('Base stats'!C154)+6.5696),EXP(0.7927*LN('Base stats'!C154)+4.28))</f>
        <v>190.58280740259272</v>
      </c>
      <c r="AT154" s="8">
        <f>IF(_xlfn.XLOOKUP(E154,Groups!A:A,Groups!N:N)="No","No",
IF(_xlfn.XLOOKUP(E154,Groups!A:A,Groups!N:N)="Crocodile",EXP(0.8129*LN(C154)+4.6742)*S154,
IF(_xlfn.XLOOKUP(E154,Groups!A:A,Groups!N:N)="Felid",EXP(0.7843*LN(C154)+4.7073)*S154,
IF(_xlfn.XLOOKUP(E154,Groups!A:A,Groups!N:N)="Canid",EXP(0.8367*LN(C154)+4.8763)*S154,
IF(_xlfn.XLOOKUP(E154,Groups!A:A,Groups!N:N)="Pig",EXP(0.3439*LN(C154)+6.8519)*S154,
IF(_xlfn.XLOOKUP(E154,Groups!A:A,Groups!N:N)="Rodent",EXP(0.5625*LN(C154)+4.3006)*S154,
IF(_xlfn.XLOOKUP(E154,Groups!A:A,Groups!N:N)="Primate",EXP(0.7847*LN(C154)+3.4931)*S154,
IF(_xlfn.XLOOKUP(E154,Groups!A:A,Groups!N:N)="MiscCarnivora",EXP(0.7486*LN(C154)+4.2207)*S154,
IF(_xlfn.XLOOKUP(E154,Groups!A:A,Groups!N:N)="Lizard",EXP(0.7733*LN(C154)+5.5303)*S154,
IF(_xlfn.XLOOKUP(E154,Groups!A:A,Groups!N:N)="Snake",50*C154^(2/3)*S154,
IF(_xlfn.XLOOKUP(E154,Groups!A:A,Groups!N:N)="StrongBitingHerbivore",87.1133638856975*C154^(2/3)*S154,
IF(_xlfn.XLOOKUP(E154,Groups!A:A,Groups!N:N)="MiscEctotherms",59.4316884072269*C154^(2/3)*S154,
IF(_xlfn.XLOOKUP(E154,Groups!A:A,Groups!N:N)="StrongBeakBird",0.041*(C154*1000)^1.375*S154,
IF(_xlfn.XLOOKUP(E154,Groups!A:A,Groups!N:N)="Bird",0.118*(C154*1000)^0.692*S154,
IF(_xlfn.XLOOKUP(E154,Groups!A:A,Groups!N:N)="Insect",EXP(0.7444*LN(C154)+6.5696)*S154,
IF(_xlfn.XLOOKUP(E154,Groups!A:A,Groups!N:N)="Theropod",EXP(0.6966*LN(C154)+4.158)*S154,
"No"))))))))))))))))</f>
        <v>266.76745573602432</v>
      </c>
      <c r="AU154" s="8">
        <f>IF(_xlfn.XLOOKUP(E154,Groups!A:A,Groups!U:U)=3,AS154,IF(_xlfn.XLOOKUP(E154,Groups!A:A,Groups!U:U)=2,AR154,AT154))</f>
        <v>266.76745573602432</v>
      </c>
      <c r="AV154" s="46">
        <f>IFERROR(AVERAGE(_xlfn.XLOOKUP(B154,Animals!B:B,Animals!N:N),_xlfn.XLOOKUP(B154,Animals!B:B,Animals!O:O)),0)</f>
        <v>0</v>
      </c>
      <c r="AW154" s="8">
        <f>MROUND(40*Animals!AO154*_xlfn.XLOOKUP(AG154,Leathers!$A$2:$A$99,Leathers!$B$2:$B$99,0)+(140*_xlfn.XLOOKUP(B154,Animals!B:B,Animals!AO:AO)*2),5)</f>
        <v>90</v>
      </c>
      <c r="AX154" s="8">
        <f>IFERROR(ROUND(SQRT(V154-1)*IF(_xlfn.XLOOKUP(E154,Groups!A:A,Groups!BF:BF)=0,2,1)*IF(_xlfn.XLOOKUP('Base stats'!E154,Groups!A:A,Groups!O:O)=0,1,0.1),1),0)</f>
        <v>0.6</v>
      </c>
      <c r="AY154" s="8">
        <f t="shared" si="59"/>
        <v>0.4</v>
      </c>
      <c r="AZ154" s="8">
        <f t="shared" si="60"/>
        <v>0</v>
      </c>
      <c r="BA154" s="8">
        <f t="shared" si="61"/>
        <v>0.9</v>
      </c>
      <c r="BB154" s="8">
        <f>IF(_xlfn.XLOOKUP(E154,Groups!A:A,Groups!N:N)="Insect",BD154*2.5,IFERROR(AVERAGE(BD154,AT154/9.81/IF(OR(_xlfn.XLOOKUP(E154,Groups!A:A,Groups!N:N)="Pig",_xlfn.XLOOKUP(E154,Groups!A:A,Groups!N:N)="StrongBitingHerbivore"),20,25))*C154^-0.135,BD154))</f>
        <v>0.50698321083803377</v>
      </c>
      <c r="BC154" s="8" t="str">
        <f>IF(W154="No","No",IF(_xlfn.XLOOKUP(E154,Groups!A:A,Groups!U:U)=1,'Base stats'!BB154,IF(OR(_xlfn.XLOOKUP(E154,Groups!A:A,Groups!BD:BD)=1,_xlfn.XLOOKUP(E154,Groups!A:A,Groups!U:U)=2),BD154,IF(_xlfn.XLOOKUP(B154,Animals!B:B,Animals!AO:AO)&gt;4,AVERAGE(BD154,BF154),BF154))))</f>
        <v>No</v>
      </c>
      <c r="BD154" s="8">
        <f t="shared" si="62"/>
        <v>0.10837897693409064</v>
      </c>
      <c r="BE154" s="8">
        <f>IF(_xlfn.XLOOKUP(E154,Groups!A:A,Groups!BE:BE)=1,(0.048*C154^1.01)+(0.071*C154^1.03),0.071*C154^1.03)/IF(_xlfn.XLOOKUP(E154,Groups!A:A,Groups!M:M)=1,0.85,IF(OR(_xlfn.XLOOKUP(B154,Animals!B:B,Animals!AO:AO)&gt;4,_xlfn.XLOOKUP(E154,Groups!A:A,Groups!BC:BC)=1),1.7,1))*C154^-0.25</f>
        <v>0.18442165030737906</v>
      </c>
      <c r="BF154" s="8">
        <f>(0.048*C154^1.01)/IF(_xlfn.XLOOKUP(E154,Groups!A:A,Groups!M:M)=1,0.25,0.8)*C154^-0.25</f>
        <v>0.15208109377465895</v>
      </c>
      <c r="BG154" s="8">
        <f>EXP(1.076*LN(AR154)-4.5397)*IF(_xlfn.XLOOKUP(E154,Groups!A:A,Groups!BC:BC)=1,1.25,IF(_xlfn.XLOOKUP(E154,Groups!A:A,Groups!BD:BD)=1,3.5,2.5))</f>
        <v>5.9809103875987466</v>
      </c>
      <c r="BH154" s="8">
        <f>EXP(1.076*LN(AS154)-4.5397)*IF(_xlfn.XLOOKUP(E154,Groups!A:A,Groups!M:M)=1,0.8,IF(_xlfn.XLOOKUP(E154,Groups!A:A,Groups!BC:BC)=1,1.3,3))</f>
        <v>9.0975547529585494</v>
      </c>
      <c r="BI154" s="8" t="str">
        <f>IF(W154="No","No",IF(_xlfn.XLOOKUP(E154,Groups!A:A,Groups!U:U)=1,'Base stats'!BJ154,IF(OR(_xlfn.XLOOKUP(E154,Groups!A:A,Groups!BD:BD)=1,_xlfn.XLOOKUP(E154,Groups!A:A,Groups!U:U)=2),BG154,BH154))*1.2)</f>
        <v>No</v>
      </c>
      <c r="BJ154" s="8">
        <f>IFERROR(EXP(1.076*LN(AT154)-4.5397)*IF(_xlfn.XLOOKUP(E154,Groups!A:A,Groups!N:N)="Insect",1,IF(OR(_xlfn.XLOOKUP(E154,Groups!A:A,Groups!N:N)="Pig",_xlfn.XLOOKUP(E154,Groups!A:A,Groups!N:N)="StrongBitingHerbivore"),3.5,3.75)),"No")</f>
        <v>16.329900982088557</v>
      </c>
      <c r="BK154" s="8">
        <f t="shared" si="63"/>
        <v>10</v>
      </c>
      <c r="BL154" s="8">
        <f t="shared" si="64"/>
        <v>9</v>
      </c>
      <c r="BM154" s="8" t="str">
        <f t="shared" si="65"/>
        <v>No</v>
      </c>
      <c r="BN154" s="8">
        <f t="shared" si="66"/>
        <v>8</v>
      </c>
      <c r="BO154" s="8">
        <f t="shared" si="67"/>
        <v>10</v>
      </c>
      <c r="BP154" s="8" cm="1">
        <f t="array" ref="BP154">IF(AND(_xlfn.XLOOKUP('Base stats'!E154,Groups!A:A,Groups!AD:AD=0),_xlfn.XLOOKUP('Base stats'!E154,Groups!A:A,Groups!P:P=0)),"No",IF(U154="No",AVERAGE(EXP(-0.57+0.99*LN(C154)),EXP(0.32+0.67*LN(C154)))/IF(_xlfn.XLOOKUP(E154,Groups!A:A,Groups!AD:AD)=1,10,2),(0.7354*C154^0.4078)*2/IF(_xlfn.XLOOKUP(E154,Groups!A:A,Groups!BK:BK)=1,1000,100)/IF(_xlfn.XLOOKUP(E154,Groups!A:A,Groups!AJ:AJ)="Photonozoa",3,1)))</f>
        <v>2.4226502642868641E-2</v>
      </c>
      <c r="BQ154" s="8" t="str">
        <f>IF(W154="No","No",IF(_xlfn.XLOOKUP(E154,Groups!A:A,Groups!BD:BD)=1,(AO154*5%),EXP(0.7354*LN(C154)^0.4078)*2/IF(_xlfn.XLOOKUP(E154,Groups!A:A,Groups!BL:BL)=1,1000,100)/IF(_xlfn.XLOOKUP(E154,Groups!A:A,Groups!AJ:AJ)="Photonozoa",3,1)))</f>
        <v>No</v>
      </c>
      <c r="BR154" s="8">
        <f>IF(BJ154="No","No",IF(_xlfn.XLOOKUP(E154,Groups!A:A,Groups!BF:BF)=1,(0.0315*C154+2.1825)*2,(0.7354*C154^0.4078)*2)/IF(_xlfn.XLOOKUP(E154,Groups!A:A,Groups!BM:BM)=1,1000,100)/IF(_xlfn.XLOOKUP(E154,Groups!A:A,Groups!AJ:AJ)="Photonozoa",3,1))</f>
        <v>2.4226502642868641E-2</v>
      </c>
      <c r="BS154" s="8">
        <f t="shared" si="68"/>
        <v>4.8642178397101443E-2</v>
      </c>
      <c r="BT154" s="8">
        <f t="shared" si="69"/>
        <v>375.52076282197186</v>
      </c>
      <c r="BU154" s="8" t="str">
        <f t="shared" si="70"/>
        <v>No</v>
      </c>
      <c r="BV154" s="8">
        <f t="shared" si="71"/>
        <v>674.05110934967979</v>
      </c>
      <c r="BW154" s="4">
        <v>0</v>
      </c>
      <c r="BX154" s="4">
        <v>1</v>
      </c>
    </row>
    <row r="155" spans="1:76" x14ac:dyDescent="0.25">
      <c r="A155" s="26" t="s">
        <v>887</v>
      </c>
      <c r="B155" s="6" t="s">
        <v>908</v>
      </c>
      <c r="C155" s="7">
        <f>AVERAGE(AVERAGE(3.6,8),AVERAGE(4.5,9))</f>
        <v>6.2750000000000004</v>
      </c>
      <c r="D155" s="7" t="s">
        <v>1275</v>
      </c>
      <c r="E155" s="7" t="str">
        <f>Groups!$A$19</f>
        <v>Catlike</v>
      </c>
      <c r="F155" s="7">
        <v>65</v>
      </c>
      <c r="G155" s="7">
        <f t="shared" si="74"/>
        <v>0.79178082191780819</v>
      </c>
      <c r="H155" s="7">
        <v>30</v>
      </c>
      <c r="I155" s="4">
        <v>0</v>
      </c>
      <c r="J155" s="7">
        <v>4</v>
      </c>
      <c r="K155" s="7" t="s">
        <v>510</v>
      </c>
      <c r="L155" s="7">
        <f t="shared" si="72"/>
        <v>44.158965395168693</v>
      </c>
      <c r="M155" s="7" t="s">
        <v>626</v>
      </c>
      <c r="N155" s="4">
        <v>0</v>
      </c>
      <c r="O155" s="4">
        <v>2</v>
      </c>
      <c r="P155" s="4">
        <v>10</v>
      </c>
      <c r="Q155" s="4">
        <v>0</v>
      </c>
      <c r="R155" s="4" t="s">
        <v>40</v>
      </c>
      <c r="S155" s="7">
        <f>_xlfn.XLOOKUP(B155,[1]TeethAdjusters!$A:$A,[1]BiteAdjusters!$C:$C,1)</f>
        <v>0.9224429531163798</v>
      </c>
      <c r="T155" s="7">
        <f>_xlfn.XLOOKUP(B155,[1]TeethAdjusters!$A:$A,[1]TeethAdjusters!$B:$B,1)</f>
        <v>0.89529411549459281</v>
      </c>
      <c r="U155" s="7">
        <f>MROUND(1.5,0.05)</f>
        <v>1.5</v>
      </c>
      <c r="V155" s="7">
        <f>IF(AT155="No","No",IF(_xlfn.XLOOKUP(E155,Groups!A:A,Groups!AM:AM)=1,MROUND(EXP(0.3582*LN(C155)-0.2221)*T155,0.05),IF(_xlfn.XLOOKUP(E155,Groups!A:A,Groups!AM:AM)=2,MROUND(EXP(0.3582*LN(C155)-0.2221)*T155,0.05),"Need a formula")))</f>
        <v>1.4000000000000001</v>
      </c>
      <c r="W155" s="7" t="s">
        <v>45</v>
      </c>
      <c r="X155" s="7" t="s">
        <v>932</v>
      </c>
      <c r="Y155" s="4" t="s">
        <v>56</v>
      </c>
      <c r="Z155" s="4">
        <v>1</v>
      </c>
      <c r="AA155" s="4">
        <v>0</v>
      </c>
      <c r="AB155" s="4">
        <v>0</v>
      </c>
      <c r="AC155" s="4">
        <v>0</v>
      </c>
      <c r="AD155" s="4">
        <v>0</v>
      </c>
      <c r="AE155" s="4" t="s">
        <v>45</v>
      </c>
      <c r="AF155" s="4" t="s">
        <v>45</v>
      </c>
      <c r="AG155" s="49" t="s">
        <v>385</v>
      </c>
      <c r="AH155" s="4" t="str">
        <f>Animals!$C$20</f>
        <v>&lt;li&gt;Cat&lt;/li&gt;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4" t="s">
        <v>40</v>
      </c>
      <c r="AO155" s="8">
        <f t="shared" si="57"/>
        <v>3662.4516781825096</v>
      </c>
      <c r="AP155" s="8">
        <f>IFERROR(C155*_xlfn.XLOOKUP(E155,Groups!A:A,Groups!K:K),0.106*C155^0.94)</f>
        <v>0.78280625000000004</v>
      </c>
      <c r="AQ155" s="8">
        <f>AP155*10000/(_xlfn.XLOOKUP(E155,Groups!A:A,Groups!J:J)*AO155)</f>
        <v>1.9609019713156324</v>
      </c>
      <c r="AR155" s="8">
        <f t="shared" si="58"/>
        <v>256.55770826486224</v>
      </c>
      <c r="AS155" s="8">
        <f>IF(_xlfn.XLOOKUP(E155,Groups!A:A,Groups!M:M)=1,EXP(0.7444*LN('Base stats'!C155)+6.5696),EXP(0.7927*LN('Base stats'!C155)+4.28))</f>
        <v>309.77672671268465</v>
      </c>
      <c r="AT155" s="8">
        <f>IF(_xlfn.XLOOKUP(E155,Groups!A:A,Groups!N:N)="No","No",
IF(_xlfn.XLOOKUP(E155,Groups!A:A,Groups!N:N)="Crocodile",EXP(0.8129*LN(C155)+4.6742)*S155,
IF(_xlfn.XLOOKUP(E155,Groups!A:A,Groups!N:N)="Felid",EXP(0.7843*LN(C155)+4.7073)*S155,
IF(_xlfn.XLOOKUP(E155,Groups!A:A,Groups!N:N)="Canid",EXP(0.8367*LN(C155)+4.8763)*S155,
IF(_xlfn.XLOOKUP(E155,Groups!A:A,Groups!N:N)="Pig",EXP(0.3439*LN(C155)+6.8519)*S155,
IF(_xlfn.XLOOKUP(E155,Groups!A:A,Groups!N:N)="Rodent",EXP(0.5625*LN(C155)+4.3006)*S155,
IF(_xlfn.XLOOKUP(E155,Groups!A:A,Groups!N:N)="Primate",EXP(0.7847*LN(C155)+3.4931)*S155,
IF(_xlfn.XLOOKUP(E155,Groups!A:A,Groups!N:N)="MiscCarnivora",EXP(0.7486*LN(C155)+4.2207)*S155,
IF(_xlfn.XLOOKUP(E155,Groups!A:A,Groups!N:N)="Lizard",EXP(0.7733*LN(C155)+5.5303)*S155,
IF(_xlfn.XLOOKUP(E155,Groups!A:A,Groups!N:N)="Snake",50*C155^(2/3)*S155,
IF(_xlfn.XLOOKUP(E155,Groups!A:A,Groups!N:N)="StrongBitingHerbivore",87.1133638856975*C155^(2/3)*S155,
IF(_xlfn.XLOOKUP(E155,Groups!A:A,Groups!N:N)="MiscEctotherms",59.4316884072269*C155^(2/3)*S155,
IF(_xlfn.XLOOKUP(E155,Groups!A:A,Groups!N:N)="StrongBeakBird",0.041*(C155*1000)^1.375*S155,
IF(_xlfn.XLOOKUP(E155,Groups!A:A,Groups!N:N)="Bird",0.118*(C155*1000)^0.692*S155,
IF(_xlfn.XLOOKUP(E155,Groups!A:A,Groups!N:N)="Insect",EXP(0.7444*LN(C155)+6.5696)*S155,
IF(_xlfn.XLOOKUP(E155,Groups!A:A,Groups!N:N)="Theropod",EXP(0.6966*LN(C155)+4.158)*S155,
"No"))))))))))))))))</f>
        <v>431.382358656593</v>
      </c>
      <c r="AU155" s="8">
        <f>IF(_xlfn.XLOOKUP(E155,Groups!A:A,Groups!U:U)=3,AS155,IF(_xlfn.XLOOKUP(E155,Groups!A:A,Groups!U:U)=2,AR155,AT155))</f>
        <v>431.382358656593</v>
      </c>
      <c r="AV155" s="46">
        <f>IFERROR(AVERAGE(_xlfn.XLOOKUP(B155,Animals!B:B,Animals!N:N),_xlfn.XLOOKUP(B155,Animals!B:B,Animals!O:O)),0)</f>
        <v>0</v>
      </c>
      <c r="AW155" s="8">
        <f>MROUND(40*Animals!AO155*_xlfn.XLOOKUP(AG155,Leathers!$A$2:$A$99,Leathers!$B$2:$B$99,0)+(140*_xlfn.XLOOKUP(B155,Animals!B:B,Animals!AO:AO)*2),5)</f>
        <v>125</v>
      </c>
      <c r="AX155" s="8">
        <f>IFERROR(ROUND(SQRT(V155-1)*IF(_xlfn.XLOOKUP(E155,Groups!A:A,Groups!BF:BF)=0,2,1)*IF(_xlfn.XLOOKUP('Base stats'!E155,Groups!A:A,Groups!O:O)=0,1,0.1),1),0)</f>
        <v>1.3</v>
      </c>
      <c r="AY155" s="8">
        <f t="shared" si="59"/>
        <v>0.7</v>
      </c>
      <c r="AZ155" s="8">
        <f t="shared" si="60"/>
        <v>0</v>
      </c>
      <c r="BA155" s="8">
        <f t="shared" si="61"/>
        <v>1.2</v>
      </c>
      <c r="BB155" s="8">
        <f>IF(_xlfn.XLOOKUP(E155,Groups!A:A,Groups!N:N)="Insect",BD155*2.5,IFERROR(AVERAGE(BD155,AT155/9.81/IF(OR(_xlfn.XLOOKUP(E155,Groups!A:A,Groups!N:N)="Pig",_xlfn.XLOOKUP(E155,Groups!A:A,Groups!N:N)="StrongBitingHerbivore"),20,25))*C155^-0.135,BD155))</f>
        <v>0.75672105008977442</v>
      </c>
      <c r="BC155" s="8" t="str">
        <f>IF(W155="No","No",IF(_xlfn.XLOOKUP(E155,Groups!A:A,Groups!U:U)=1,'Base stats'!BB155,IF(OR(_xlfn.XLOOKUP(E155,Groups!A:A,Groups!BD:BD)=1,_xlfn.XLOOKUP(E155,Groups!A:A,Groups!U:U)=2),BD155,IF(_xlfn.XLOOKUP(B155,Animals!B:B,Animals!AO:AO)&gt;4,AVERAGE(BD155,BF155),BF155))))</f>
        <v>No</v>
      </c>
      <c r="BD155" s="8">
        <f t="shared" si="62"/>
        <v>0.18034457253799871</v>
      </c>
      <c r="BE155" s="8">
        <f>IF(_xlfn.XLOOKUP(E155,Groups!A:A,Groups!BE:BE)=1,(0.048*C155^1.01)+(0.071*C155^1.03),0.071*C155^1.03)/IF(_xlfn.XLOOKUP(E155,Groups!A:A,Groups!M:M)=1,0.85,IF(OR(_xlfn.XLOOKUP(B155,Animals!B:B,Animals!AO:AO)&gt;4,_xlfn.XLOOKUP(E155,Groups!A:A,Groups!BC:BC)=1),1.7,1))*C155^-0.25</f>
        <v>0.29743841506011542</v>
      </c>
      <c r="BF155" s="8">
        <f>(0.048*C155^1.01)/IF(_xlfn.XLOOKUP(E155,Groups!A:A,Groups!M:M)=1,0.25,0.8)*C155^-0.25</f>
        <v>0.24229122478300158</v>
      </c>
      <c r="BG155" s="8">
        <f>EXP(1.076*LN(AR155)-4.5397)*IF(_xlfn.XLOOKUP(E155,Groups!A:A,Groups!BC:BC)=1,1.25,IF(_xlfn.XLOOKUP(E155,Groups!A:A,Groups!BD:BD)=1,3.5,2.5))</f>
        <v>10.438941934006483</v>
      </c>
      <c r="BH155" s="8">
        <f>EXP(1.076*LN(AS155)-4.5397)*IF(_xlfn.XLOOKUP(E155,Groups!A:A,Groups!M:M)=1,0.8,IF(_xlfn.XLOOKUP(E155,Groups!A:A,Groups!BC:BC)=1,1.3,3))</f>
        <v>15.343452367379893</v>
      </c>
      <c r="BI155" s="8" t="str">
        <f>IF(W155="No","No",IF(_xlfn.XLOOKUP(E155,Groups!A:A,Groups!U:U)=1,'Base stats'!BJ155,IF(OR(_xlfn.XLOOKUP(E155,Groups!A:A,Groups!BD:BD)=1,_xlfn.XLOOKUP(E155,Groups!A:A,Groups!U:U)=2),BG155,BH155))*1.2)</f>
        <v>No</v>
      </c>
      <c r="BJ155" s="8">
        <f>IFERROR(EXP(1.076*LN(AT155)-4.5397)*IF(_xlfn.XLOOKUP(E155,Groups!A:A,Groups!N:N)="Insect",1,IF(OR(_xlfn.XLOOKUP(E155,Groups!A:A,Groups!N:N)="Pig",_xlfn.XLOOKUP(E155,Groups!A:A,Groups!N:N)="StrongBitingHerbivore"),3.5,3.75)),"No")</f>
        <v>27.389022315454682</v>
      </c>
      <c r="BK155" s="8">
        <f t="shared" si="63"/>
        <v>10</v>
      </c>
      <c r="BL155" s="8">
        <f t="shared" si="64"/>
        <v>10</v>
      </c>
      <c r="BM155" s="8" t="str">
        <f t="shared" si="65"/>
        <v>No</v>
      </c>
      <c r="BN155" s="8">
        <f t="shared" si="66"/>
        <v>8</v>
      </c>
      <c r="BO155" s="8">
        <f t="shared" si="67"/>
        <v>11</v>
      </c>
      <c r="BP155" s="8" cm="1">
        <f t="array" ref="BP155">IF(AND(_xlfn.XLOOKUP('Base stats'!E155,Groups!A:A,Groups!AD:AD=0),_xlfn.XLOOKUP('Base stats'!E155,Groups!A:A,Groups!P:P=0)),"No",IF(U155="No",AVERAGE(EXP(-0.57+0.99*LN(C155)),EXP(0.32+0.67*LN(C155)))/IF(_xlfn.XLOOKUP(E155,Groups!A:A,Groups!AD:AD)=1,10,2),(0.7354*C155^0.4078)*2/IF(_xlfn.XLOOKUP(E155,Groups!A:A,Groups!BK:BK)=1,1000,100)/IF(_xlfn.XLOOKUP(E155,Groups!A:A,Groups!AJ:AJ)="Photonozoa",3,1)))</f>
        <v>3.1104304893828406E-2</v>
      </c>
      <c r="BQ155" s="8" t="str">
        <f>IF(W155="No","No",IF(_xlfn.XLOOKUP(E155,Groups!A:A,Groups!BD:BD)=1,(AO155*5%),EXP(0.7354*LN(C155)^0.4078)*2/IF(_xlfn.XLOOKUP(E155,Groups!A:A,Groups!BL:BL)=1,1000,100)/IF(_xlfn.XLOOKUP(E155,Groups!A:A,Groups!AJ:AJ)="Photonozoa",3,1)))</f>
        <v>No</v>
      </c>
      <c r="BR155" s="8">
        <f>IF(BJ155="No","No",IF(_xlfn.XLOOKUP(E155,Groups!A:A,Groups!BF:BF)=1,(0.0315*C155+2.1825)*2,(0.7354*C155^0.4078)*2)/IF(_xlfn.XLOOKUP(E155,Groups!A:A,Groups!BM:BM)=1,1000,100)/IF(_xlfn.XLOOKUP(E155,Groups!A:A,Groups!AJ:AJ)="Photonozoa",3,1))</f>
        <v>3.1104304893828406E-2</v>
      </c>
      <c r="BS155" s="8">
        <f t="shared" si="68"/>
        <v>5.700521318106129E-2</v>
      </c>
      <c r="BT155" s="8">
        <f t="shared" si="69"/>
        <v>493.29031527157775</v>
      </c>
      <c r="BU155" s="8" t="str">
        <f t="shared" si="70"/>
        <v>No</v>
      </c>
      <c r="BV155" s="8">
        <f t="shared" si="71"/>
        <v>880.55407150053702</v>
      </c>
      <c r="BW155" s="4">
        <v>0</v>
      </c>
      <c r="BX155" s="4">
        <v>1</v>
      </c>
    </row>
    <row r="156" spans="1:76" x14ac:dyDescent="0.25">
      <c r="A156" s="26" t="s">
        <v>888</v>
      </c>
      <c r="B156" s="6" t="s">
        <v>909</v>
      </c>
      <c r="C156" s="7">
        <f>AVERAGE(AVERAGE(2.4,3.8),AVERAGE(3.3,4.7))</f>
        <v>3.55</v>
      </c>
      <c r="D156" s="7" t="s">
        <v>1276</v>
      </c>
      <c r="E156" s="7" t="str">
        <f>Groups!$A$19</f>
        <v>Catlike</v>
      </c>
      <c r="F156" s="7">
        <v>65</v>
      </c>
      <c r="G156" s="7">
        <f t="shared" si="74"/>
        <v>0.79178082191780819</v>
      </c>
      <c r="H156" s="7">
        <v>30</v>
      </c>
      <c r="I156" s="4">
        <v>0</v>
      </c>
      <c r="J156" s="7">
        <v>4</v>
      </c>
      <c r="K156" s="7" t="s">
        <v>510</v>
      </c>
      <c r="L156" s="7">
        <f t="shared" si="72"/>
        <v>41.976052188890897</v>
      </c>
      <c r="M156" s="7" t="s">
        <v>626</v>
      </c>
      <c r="N156" s="4">
        <v>0</v>
      </c>
      <c r="O156" s="4">
        <v>2</v>
      </c>
      <c r="P156" s="4">
        <v>0</v>
      </c>
      <c r="Q156" s="4">
        <v>0</v>
      </c>
      <c r="R156" s="4" t="s">
        <v>40</v>
      </c>
      <c r="S156" s="7">
        <f>_xlfn.XLOOKUP(B156,[1]TeethAdjusters!$A:$A,[1]BiteAdjusters!$C:$C,1)</f>
        <v>0.9224429531163798</v>
      </c>
      <c r="T156" s="7">
        <f>_xlfn.XLOOKUP(B156,[1]TeethAdjusters!$A:$A,[1]TeethAdjusters!$B:$B,1)</f>
        <v>0.89529411549459281</v>
      </c>
      <c r="U156" s="7">
        <f>MROUND(1.2,0.05)</f>
        <v>1.2000000000000002</v>
      </c>
      <c r="V156" s="7">
        <f>IF(AT156="No","No",IF(_xlfn.XLOOKUP(E156,Groups!A:A,Groups!AM:AM)=1,MROUND(EXP(0.3582*LN(C156)-0.2221)*T156,0.05),IF(_xlfn.XLOOKUP(E156,Groups!A:A,Groups!AM:AM)=2,MROUND(EXP(0.3582*LN(C156)-0.2221)*T156,0.05),"Need a formula")))</f>
        <v>1.1500000000000001</v>
      </c>
      <c r="W156" s="7" t="s">
        <v>45</v>
      </c>
      <c r="X156" s="7" t="s">
        <v>932</v>
      </c>
      <c r="Y156" s="4" t="s">
        <v>56</v>
      </c>
      <c r="Z156" s="4">
        <v>1</v>
      </c>
      <c r="AA156" s="4">
        <v>0</v>
      </c>
      <c r="AB156" s="4">
        <v>0</v>
      </c>
      <c r="AC156" s="4">
        <v>0</v>
      </c>
      <c r="AD156" s="4">
        <v>0</v>
      </c>
      <c r="AE156" s="4" t="s">
        <v>45</v>
      </c>
      <c r="AF156" s="4" t="s">
        <v>45</v>
      </c>
      <c r="AG156" s="49" t="s">
        <v>385</v>
      </c>
      <c r="AH156" s="4" t="str">
        <f>Animals!$C$20</f>
        <v>&lt;li&gt;Cat&lt;/li&gt;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4" t="s">
        <v>40</v>
      </c>
      <c r="AO156" s="8">
        <f t="shared" si="57"/>
        <v>2529.1314858830706</v>
      </c>
      <c r="AP156" s="8">
        <f>IFERROR(C156*_xlfn.XLOOKUP(E156,Groups!A:A,Groups!K:K),0.106*C156^0.94)</f>
        <v>0.44286249999999999</v>
      </c>
      <c r="AQ156" s="8">
        <f>AP156*10000/(_xlfn.XLOOKUP(E156,Groups!A:A,Groups!J:J)*AO156)</f>
        <v>1.6064640127548404</v>
      </c>
      <c r="AR156" s="8">
        <f t="shared" si="58"/>
        <v>158.56912857529332</v>
      </c>
      <c r="AS156" s="8">
        <f>IF(_xlfn.XLOOKUP(E156,Groups!A:A,Groups!M:M)=1,EXP(0.7444*LN('Base stats'!C156)+6.5696),EXP(0.7927*LN('Base stats'!C156)+4.28))</f>
        <v>197.21793085360119</v>
      </c>
      <c r="AT156" s="8">
        <f>IF(_xlfn.XLOOKUP(E156,Groups!A:A,Groups!N:N)="No","No",
IF(_xlfn.XLOOKUP(E156,Groups!A:A,Groups!N:N)="Crocodile",EXP(0.8129*LN(C156)+4.6742)*S156,
IF(_xlfn.XLOOKUP(E156,Groups!A:A,Groups!N:N)="Felid",EXP(0.7843*LN(C156)+4.7073)*S156,
IF(_xlfn.XLOOKUP(E156,Groups!A:A,Groups!N:N)="Canid",EXP(0.8367*LN(C156)+4.8763)*S156,
IF(_xlfn.XLOOKUP(E156,Groups!A:A,Groups!N:N)="Pig",EXP(0.3439*LN(C156)+6.8519)*S156,
IF(_xlfn.XLOOKUP(E156,Groups!A:A,Groups!N:N)="Rodent",EXP(0.5625*LN(C156)+4.3006)*S156,
IF(_xlfn.XLOOKUP(E156,Groups!A:A,Groups!N:N)="Primate",EXP(0.7847*LN(C156)+3.4931)*S156,
IF(_xlfn.XLOOKUP(E156,Groups!A:A,Groups!N:N)="MiscCarnivora",EXP(0.7486*LN(C156)+4.2207)*S156,
IF(_xlfn.XLOOKUP(E156,Groups!A:A,Groups!N:N)="Lizard",EXP(0.7733*LN(C156)+5.5303)*S156,
IF(_xlfn.XLOOKUP(E156,Groups!A:A,Groups!N:N)="Snake",50*C156^(2/3)*S156,
IF(_xlfn.XLOOKUP(E156,Groups!A:A,Groups!N:N)="StrongBitingHerbivore",87.1133638856975*C156^(2/3)*S156,
IF(_xlfn.XLOOKUP(E156,Groups!A:A,Groups!N:N)="MiscEctotherms",59.4316884072269*C156^(2/3)*S156,
IF(_xlfn.XLOOKUP(E156,Groups!A:A,Groups!N:N)="StrongBeakBird",0.041*(C156*1000)^1.375*S156,
IF(_xlfn.XLOOKUP(E156,Groups!A:A,Groups!N:N)="Bird",0.118*(C156*1000)^0.692*S156,
IF(_xlfn.XLOOKUP(E156,Groups!A:A,Groups!N:N)="Insect",EXP(0.7444*LN(C156)+6.5696)*S156,
IF(_xlfn.XLOOKUP(E156,Groups!A:A,Groups!N:N)="Theropod",EXP(0.6966*LN(C156)+4.158)*S156,
"No"))))))))))))))))</f>
        <v>275.95484879033961</v>
      </c>
      <c r="AU156" s="8">
        <f>IF(_xlfn.XLOOKUP(E156,Groups!A:A,Groups!U:U)=3,AS156,IF(_xlfn.XLOOKUP(E156,Groups!A:A,Groups!U:U)=2,AR156,AT156))</f>
        <v>275.95484879033961</v>
      </c>
      <c r="AV156" s="46">
        <f>IFERROR(AVERAGE(_xlfn.XLOOKUP(B156,Animals!B:B,Animals!N:N),_xlfn.XLOOKUP(B156,Animals!B:B,Animals!O:O)),0)</f>
        <v>0</v>
      </c>
      <c r="AW156" s="8">
        <f>MROUND(40*Animals!AO156*_xlfn.XLOOKUP(AG156,Leathers!$A$2:$A$99,Leathers!$B$2:$B$99,0)+(140*_xlfn.XLOOKUP(B156,Animals!B:B,Animals!AO:AO)*2),5)</f>
        <v>90</v>
      </c>
      <c r="AX156" s="8">
        <f>IFERROR(ROUND(SQRT(V156-1)*IF(_xlfn.XLOOKUP(E156,Groups!A:A,Groups!BF:BF)=0,2,1)*IF(_xlfn.XLOOKUP('Base stats'!E156,Groups!A:A,Groups!O:O)=0,1,0.1),1),0)</f>
        <v>0.8</v>
      </c>
      <c r="AY156" s="8">
        <f t="shared" si="59"/>
        <v>0.4</v>
      </c>
      <c r="AZ156" s="8">
        <f t="shared" si="60"/>
        <v>0</v>
      </c>
      <c r="BA156" s="8">
        <f t="shared" si="61"/>
        <v>1</v>
      </c>
      <c r="BB156" s="8">
        <f>IF(_xlfn.XLOOKUP(E156,Groups!A:A,Groups!N:N)="Insect",BD156*2.5,IFERROR(AVERAGE(BD156,AT156/9.81/IF(OR(_xlfn.XLOOKUP(E156,Groups!A:A,Groups!N:N)="Pig",_xlfn.XLOOKUP(E156,Groups!A:A,Groups!N:N)="StrongBitingHerbivore"),20,25))*C156^-0.135,BD156))</f>
        <v>0.5214912145242121</v>
      </c>
      <c r="BC156" s="8" t="str">
        <f>IF(W156="No","No",IF(_xlfn.XLOOKUP(E156,Groups!A:A,Groups!U:U)=1,'Base stats'!BB156,IF(OR(_xlfn.XLOOKUP(E156,Groups!A:A,Groups!BD:BD)=1,_xlfn.XLOOKUP(E156,Groups!A:A,Groups!U:U)=2),BD156,IF(_xlfn.XLOOKUP(B156,Animals!B:B,Animals!AO:AO)&gt;4,AVERAGE(BD156,BF156),BF156))))</f>
        <v>No</v>
      </c>
      <c r="BD156" s="8">
        <f t="shared" si="62"/>
        <v>0.11233777773345578</v>
      </c>
      <c r="BE156" s="8">
        <f>IF(_xlfn.XLOOKUP(E156,Groups!A:A,Groups!BE:BE)=1,(0.048*C156^1.01)+(0.071*C156^1.03),0.071*C156^1.03)/IF(_xlfn.XLOOKUP(E156,Groups!A:A,Groups!M:M)=1,0.85,IF(OR(_xlfn.XLOOKUP(B156,Animals!B:B,Animals!AO:AO)&gt;4,_xlfn.XLOOKUP(E156,Groups!A:A,Groups!BC:BC)=1),1.7,1))*C156^-0.25</f>
        <v>0.19073766604537726</v>
      </c>
      <c r="BF156" s="8">
        <f>(0.048*C156^1.01)/IF(_xlfn.XLOOKUP(E156,Groups!A:A,Groups!M:M)=1,0.25,0.8)*C156^-0.25</f>
        <v>0.15715376812955539</v>
      </c>
      <c r="BG156" s="8">
        <f>EXP(1.076*LN(AR156)-4.5397)*IF(_xlfn.XLOOKUP(E156,Groups!A:A,Groups!BC:BC)=1,1.25,IF(_xlfn.XLOOKUP(E156,Groups!A:A,Groups!BD:BD)=1,3.5,2.5))</f>
        <v>6.2202609623361447</v>
      </c>
      <c r="BH156" s="8">
        <f>EXP(1.076*LN(AS156)-4.5397)*IF(_xlfn.XLOOKUP(E156,Groups!A:A,Groups!M:M)=1,0.8,IF(_xlfn.XLOOKUP(E156,Groups!A:A,Groups!BC:BC)=1,1.3,3))</f>
        <v>9.438802947558786</v>
      </c>
      <c r="BI156" s="8" t="str">
        <f>IF(W156="No","No",IF(_xlfn.XLOOKUP(E156,Groups!A:A,Groups!U:U)=1,'Base stats'!BJ156,IF(OR(_xlfn.XLOOKUP(E156,Groups!A:A,Groups!BD:BD)=1,_xlfn.XLOOKUP(E156,Groups!A:A,Groups!U:U)=2),BG156,BH156))*1.2)</f>
        <v>No</v>
      </c>
      <c r="BJ156" s="8">
        <f>IFERROR(EXP(1.076*LN(AT156)-4.5397)*IF(_xlfn.XLOOKUP(E156,Groups!A:A,Groups!N:N)="Insect",1,IF(OR(_xlfn.XLOOKUP(E156,Groups!A:A,Groups!N:N)="Pig",_xlfn.XLOOKUP(E156,Groups!A:A,Groups!N:N)="StrongBitingHerbivore"),3.5,3.75)),"No")</f>
        <v>16.935823849252799</v>
      </c>
      <c r="BK156" s="8">
        <f t="shared" si="63"/>
        <v>10</v>
      </c>
      <c r="BL156" s="8">
        <f t="shared" si="64"/>
        <v>9</v>
      </c>
      <c r="BM156" s="8" t="str">
        <f t="shared" si="65"/>
        <v>No</v>
      </c>
      <c r="BN156" s="8">
        <f t="shared" si="66"/>
        <v>8</v>
      </c>
      <c r="BO156" s="8">
        <f t="shared" si="67"/>
        <v>10</v>
      </c>
      <c r="BP156" s="8" cm="1">
        <f t="array" ref="BP156">IF(AND(_xlfn.XLOOKUP('Base stats'!E156,Groups!A:A,Groups!AD:AD=0),_xlfn.XLOOKUP('Base stats'!E156,Groups!A:A,Groups!P:P=0)),"No",IF(U156="No",AVERAGE(EXP(-0.57+0.99*LN(C156)),EXP(0.32+0.67*LN(C156)))/IF(_xlfn.XLOOKUP(E156,Groups!A:A,Groups!AD:AD)=1,10,2),(0.7354*C156^0.4078)*2/IF(_xlfn.XLOOKUP(E156,Groups!A:A,Groups!BK:BK)=1,1000,100)/IF(_xlfn.XLOOKUP(E156,Groups!A:A,Groups!AJ:AJ)="Photonozoa",3,1)))</f>
        <v>2.4656801766078776E-2</v>
      </c>
      <c r="BQ156" s="8" t="str">
        <f>IF(W156="No","No",IF(_xlfn.XLOOKUP(E156,Groups!A:A,Groups!BD:BD)=1,(AO156*5%),EXP(0.7354*LN(C156)^0.4078)*2/IF(_xlfn.XLOOKUP(E156,Groups!A:A,Groups!BL:BL)=1,1000,100)/IF(_xlfn.XLOOKUP(E156,Groups!A:A,Groups!AJ:AJ)="Photonozoa",3,1)))</f>
        <v>No</v>
      </c>
      <c r="BR156" s="8">
        <f>IF(BJ156="No","No",IF(_xlfn.XLOOKUP(E156,Groups!A:A,Groups!BF:BF)=1,(0.0315*C156+2.1825)*2,(0.7354*C156^0.4078)*2)/IF(_xlfn.XLOOKUP(E156,Groups!A:A,Groups!BM:BM)=1,1000,100)/IF(_xlfn.XLOOKUP(E156,Groups!A:A,Groups!AJ:AJ)="Photonozoa",3,1))</f>
        <v>2.4656801766078776E-2</v>
      </c>
      <c r="BS156" s="8">
        <f t="shared" si="68"/>
        <v>4.9188909292031374E-2</v>
      </c>
      <c r="BT156" s="8">
        <f t="shared" si="69"/>
        <v>382.80726904914638</v>
      </c>
      <c r="BU156" s="8" t="str">
        <f t="shared" si="70"/>
        <v>No</v>
      </c>
      <c r="BV156" s="8">
        <f t="shared" si="71"/>
        <v>686.86214902988775</v>
      </c>
      <c r="BW156" s="4">
        <v>0</v>
      </c>
      <c r="BX156" s="4">
        <v>1</v>
      </c>
    </row>
    <row r="157" spans="1:76" x14ac:dyDescent="0.25">
      <c r="A157" s="26" t="s">
        <v>889</v>
      </c>
      <c r="B157" s="6" t="s">
        <v>910</v>
      </c>
      <c r="C157" s="7">
        <f>AVERAGE(AVERAGE(3.5,4.8),AVERAGE(4.5,5.5))</f>
        <v>4.5750000000000002</v>
      </c>
      <c r="D157" s="7" t="s">
        <v>1277</v>
      </c>
      <c r="E157" s="7" t="str">
        <f>Groups!$A$19</f>
        <v>Catlike</v>
      </c>
      <c r="F157" s="7">
        <v>65</v>
      </c>
      <c r="G157" s="7">
        <f t="shared" si="74"/>
        <v>0.79178082191780819</v>
      </c>
      <c r="H157" s="7">
        <v>30</v>
      </c>
      <c r="I157" s="4">
        <v>0</v>
      </c>
      <c r="J157" s="7">
        <v>4</v>
      </c>
      <c r="K157" s="7" t="s">
        <v>510</v>
      </c>
      <c r="L157" s="7">
        <f t="shared" si="72"/>
        <v>42.934466966943809</v>
      </c>
      <c r="M157" s="7" t="s">
        <v>626</v>
      </c>
      <c r="N157" s="4">
        <v>0</v>
      </c>
      <c r="O157" s="4">
        <v>2</v>
      </c>
      <c r="P157" s="4">
        <v>0</v>
      </c>
      <c r="Q157" s="4">
        <v>0</v>
      </c>
      <c r="R157" s="4" t="s">
        <v>40</v>
      </c>
      <c r="S157" s="7">
        <f>_xlfn.XLOOKUP(B157,[1]TeethAdjusters!$A:$A,[1]BiteAdjusters!$C:$C,1)</f>
        <v>0.9224429531163798</v>
      </c>
      <c r="T157" s="7">
        <f>_xlfn.XLOOKUP(B157,[1]TeethAdjusters!$A:$A,[1]TeethAdjusters!$B:$B,1)</f>
        <v>0.89529411549459281</v>
      </c>
      <c r="U157" s="7">
        <f>MROUND(1.2,0.05)</f>
        <v>1.2000000000000002</v>
      </c>
      <c r="V157" s="7">
        <f>IF(AT157="No","No",IF(_xlfn.XLOOKUP(E157,Groups!A:A,Groups!AM:AM)=1,MROUND(EXP(0.3582*LN(C157)-0.2221)*T157,0.05),IF(_xlfn.XLOOKUP(E157,Groups!A:A,Groups!AM:AM)=2,MROUND(EXP(0.3582*LN(C157)-0.2221)*T157,0.05),"Need a formula")))</f>
        <v>1.25</v>
      </c>
      <c r="W157" s="7" t="s">
        <v>45</v>
      </c>
      <c r="X157" s="7" t="s">
        <v>932</v>
      </c>
      <c r="Y157" s="4" t="s">
        <v>56</v>
      </c>
      <c r="Z157" s="4">
        <v>1</v>
      </c>
      <c r="AA157" s="4">
        <v>0</v>
      </c>
      <c r="AB157" s="4">
        <v>0</v>
      </c>
      <c r="AC157" s="4">
        <v>0</v>
      </c>
      <c r="AD157" s="4">
        <v>0</v>
      </c>
      <c r="AE157" s="4" t="s">
        <v>45</v>
      </c>
      <c r="AF157" s="4" t="s">
        <v>45</v>
      </c>
      <c r="AG157" s="49" t="s">
        <v>385</v>
      </c>
      <c r="AH157" s="4" t="str">
        <f>Animals!$C$20</f>
        <v>&lt;li&gt;Cat&lt;/li&gt;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4" t="s">
        <v>40</v>
      </c>
      <c r="AO157" s="8">
        <f t="shared" si="57"/>
        <v>2982.4776149516515</v>
      </c>
      <c r="AP157" s="8">
        <f>IFERROR(C157*_xlfn.XLOOKUP(E157,Groups!A:A,Groups!K:K),0.106*C157^0.94)</f>
        <v>0.57073125000000002</v>
      </c>
      <c r="AQ157" s="8">
        <f>AP157*10000/(_xlfn.XLOOKUP(E157,Groups!A:A,Groups!J:J)*AO157)</f>
        <v>1.755609660743874</v>
      </c>
      <c r="AR157" s="8">
        <f t="shared" si="58"/>
        <v>196.45953442343205</v>
      </c>
      <c r="AS157" s="8">
        <f>IF(_xlfn.XLOOKUP(E157,Groups!A:A,Groups!M:M)=1,EXP(0.7444*LN('Base stats'!C157)+6.5696),EXP(0.7927*LN('Base stats'!C157)+4.28))</f>
        <v>241.14174884817575</v>
      </c>
      <c r="AT157" s="8">
        <f>IF(_xlfn.XLOOKUP(E157,Groups!A:A,Groups!N:N)="No","No",
IF(_xlfn.XLOOKUP(E157,Groups!A:A,Groups!N:N)="Crocodile",EXP(0.8129*LN(C157)+4.6742)*S157,
IF(_xlfn.XLOOKUP(E157,Groups!A:A,Groups!N:N)="Felid",EXP(0.7843*LN(C157)+4.7073)*S157,
IF(_xlfn.XLOOKUP(E157,Groups!A:A,Groups!N:N)="Canid",EXP(0.8367*LN(C157)+4.8763)*S157,
IF(_xlfn.XLOOKUP(E157,Groups!A:A,Groups!N:N)="Pig",EXP(0.3439*LN(C157)+6.8519)*S157,
IF(_xlfn.XLOOKUP(E157,Groups!A:A,Groups!N:N)="Rodent",EXP(0.5625*LN(C157)+4.3006)*S157,
IF(_xlfn.XLOOKUP(E157,Groups!A:A,Groups!N:N)="Primate",EXP(0.7847*LN(C157)+3.4931)*S157,
IF(_xlfn.XLOOKUP(E157,Groups!A:A,Groups!N:N)="MiscCarnivora",EXP(0.7486*LN(C157)+4.2207)*S157,
IF(_xlfn.XLOOKUP(E157,Groups!A:A,Groups!N:N)="Lizard",EXP(0.7733*LN(C157)+5.5303)*S157,
IF(_xlfn.XLOOKUP(E157,Groups!A:A,Groups!N:N)="Snake",50*C157^(2/3)*S157,
IF(_xlfn.XLOOKUP(E157,Groups!A:A,Groups!N:N)="StrongBitingHerbivore",87.1133638856975*C157^(2/3)*S157,
IF(_xlfn.XLOOKUP(E157,Groups!A:A,Groups!N:N)="MiscEctotherms",59.4316884072269*C157^(2/3)*S157,
IF(_xlfn.XLOOKUP(E157,Groups!A:A,Groups!N:N)="StrongBeakBird",0.041*(C157*1000)^1.375*S157,
IF(_xlfn.XLOOKUP(E157,Groups!A:A,Groups!N:N)="Bird",0.118*(C157*1000)^0.692*S157,
IF(_xlfn.XLOOKUP(E157,Groups!A:A,Groups!N:N)="Insect",EXP(0.7444*LN(C157)+6.5696)*S157,
IF(_xlfn.XLOOKUP(E157,Groups!A:A,Groups!N:N)="Theropod",EXP(0.6966*LN(C157)+4.158)*S157,
"No"))))))))))))))))</f>
        <v>336.69655329553518</v>
      </c>
      <c r="AU157" s="8">
        <f>IF(_xlfn.XLOOKUP(E157,Groups!A:A,Groups!U:U)=3,AS157,IF(_xlfn.XLOOKUP(E157,Groups!A:A,Groups!U:U)=2,AR157,AT157))</f>
        <v>336.69655329553518</v>
      </c>
      <c r="AV157" s="46">
        <f>IFERROR(AVERAGE(_xlfn.XLOOKUP(B157,Animals!B:B,Animals!N:N),_xlfn.XLOOKUP(B157,Animals!B:B,Animals!O:O)),0)</f>
        <v>0</v>
      </c>
      <c r="AW157" s="8">
        <f>MROUND(40*Animals!AO157*_xlfn.XLOOKUP(AG157,Leathers!$A$2:$A$99,Leathers!$B$2:$B$99,0)+(140*_xlfn.XLOOKUP(B157,Animals!B:B,Animals!AO:AO)*2),5)</f>
        <v>105</v>
      </c>
      <c r="AX157" s="8">
        <f>IFERROR(ROUND(SQRT(V157-1)*IF(_xlfn.XLOOKUP(E157,Groups!A:A,Groups!BF:BF)=0,2,1)*IF(_xlfn.XLOOKUP('Base stats'!E157,Groups!A:A,Groups!O:O)=0,1,0.1),1),0)</f>
        <v>1</v>
      </c>
      <c r="AY157" s="8">
        <f t="shared" si="59"/>
        <v>0.4</v>
      </c>
      <c r="AZ157" s="8">
        <f t="shared" si="60"/>
        <v>0</v>
      </c>
      <c r="BA157" s="8">
        <f t="shared" si="61"/>
        <v>1.1000000000000001</v>
      </c>
      <c r="BB157" s="8">
        <f>IF(_xlfn.XLOOKUP(E157,Groups!A:A,Groups!N:N)="Insect",BD157*2.5,IFERROR(AVERAGE(BD157,AT157/9.81/IF(OR(_xlfn.XLOOKUP(E157,Groups!A:A,Groups!N:N)="Pig",_xlfn.XLOOKUP(E157,Groups!A:A,Groups!N:N)="StrongBitingHerbivore"),20,25))*C157^-0.135,BD157))</f>
        <v>0.61552428586446339</v>
      </c>
      <c r="BC157" s="8" t="str">
        <f>IF(W157="No","No",IF(_xlfn.XLOOKUP(E157,Groups!A:A,Groups!U:U)=1,'Base stats'!BB157,IF(OR(_xlfn.XLOOKUP(E157,Groups!A:A,Groups!BD:BD)=1,_xlfn.XLOOKUP(E157,Groups!A:A,Groups!U:U)=2),BD157,IF(_xlfn.XLOOKUP(B157,Animals!B:B,Animals!AO:AO)&gt;4,AVERAGE(BD157,BF157),BF157))))</f>
        <v>No</v>
      </c>
      <c r="BD157" s="8">
        <f t="shared" si="62"/>
        <v>0.13869827820527736</v>
      </c>
      <c r="BE157" s="8">
        <f>IF(_xlfn.XLOOKUP(E157,Groups!A:A,Groups!BE:BE)=1,(0.048*C157^1.01)+(0.071*C157^1.03),0.071*C157^1.03)/IF(_xlfn.XLOOKUP(E157,Groups!A:A,Groups!M:M)=1,0.85,IF(OR(_xlfn.XLOOKUP(B157,Animals!B:B,Animals!AO:AO)&gt;4,_xlfn.XLOOKUP(E157,Groups!A:A,Groups!BC:BC)=1),1.7,1))*C157^-0.25</f>
        <v>0.23246812109317738</v>
      </c>
      <c r="BF157" s="8">
        <f>(0.048*C157^1.01)/IF(_xlfn.XLOOKUP(E157,Groups!A:A,Groups!M:M)=1,0.25,0.8)*C157^-0.25</f>
        <v>0.19056734578138307</v>
      </c>
      <c r="BG157" s="8">
        <f>EXP(1.076*LN(AR157)-4.5397)*IF(_xlfn.XLOOKUP(E157,Groups!A:A,Groups!BC:BC)=1,1.25,IF(_xlfn.XLOOKUP(E157,Groups!A:A,Groups!BD:BD)=1,3.5,2.5))</f>
        <v>7.8331278690013058</v>
      </c>
      <c r="BH157" s="8">
        <f>EXP(1.076*LN(AS157)-4.5397)*IF(_xlfn.XLOOKUP(E157,Groups!A:A,Groups!M:M)=1,0.8,IF(_xlfn.XLOOKUP(E157,Groups!A:A,Groups!BC:BC)=1,1.3,3))</f>
        <v>11.718707229744618</v>
      </c>
      <c r="BI157" s="8" t="str">
        <f>IF(W157="No","No",IF(_xlfn.XLOOKUP(E157,Groups!A:A,Groups!U:U)=1,'Base stats'!BJ157,IF(OR(_xlfn.XLOOKUP(E157,Groups!A:A,Groups!BD:BD)=1,_xlfn.XLOOKUP(E157,Groups!A:A,Groups!U:U)=2),BG157,BH157))*1.2)</f>
        <v>No</v>
      </c>
      <c r="BJ157" s="8">
        <f>IFERROR(EXP(1.076*LN(AT157)-4.5397)*IF(_xlfn.XLOOKUP(E157,Groups!A:A,Groups!N:N)="Insect",1,IF(OR(_xlfn.XLOOKUP(E157,Groups!A:A,Groups!N:N)="Pig",_xlfn.XLOOKUP(E157,Groups!A:A,Groups!N:N)="StrongBitingHerbivore"),3.5,3.75)),"No")</f>
        <v>20.978451003083897</v>
      </c>
      <c r="BK157" s="8">
        <f t="shared" si="63"/>
        <v>10</v>
      </c>
      <c r="BL157" s="8">
        <f t="shared" si="64"/>
        <v>10</v>
      </c>
      <c r="BM157" s="8" t="str">
        <f t="shared" si="65"/>
        <v>No</v>
      </c>
      <c r="BN157" s="8">
        <f t="shared" si="66"/>
        <v>8</v>
      </c>
      <c r="BO157" s="8">
        <f t="shared" si="67"/>
        <v>11</v>
      </c>
      <c r="BP157" s="8" cm="1">
        <f t="array" ref="BP157">IF(AND(_xlfn.XLOOKUP('Base stats'!E157,Groups!A:A,Groups!AD:AD=0),_xlfn.XLOOKUP('Base stats'!E157,Groups!A:A,Groups!P:P=0)),"No",IF(U157="No",AVERAGE(EXP(-0.57+0.99*LN(C157)),EXP(0.32+0.67*LN(C157)))/IF(_xlfn.XLOOKUP(E157,Groups!A:A,Groups!AD:AD)=1,10,2),(0.7354*C157^0.4078)*2/IF(_xlfn.XLOOKUP(E157,Groups!A:A,Groups!BK:BK)=1,1000,100)/IF(_xlfn.XLOOKUP(E157,Groups!A:A,Groups!AJ:AJ)="Photonozoa",3,1)))</f>
        <v>2.7343941177838019E-2</v>
      </c>
      <c r="BQ157" s="8" t="str">
        <f>IF(W157="No","No",IF(_xlfn.XLOOKUP(E157,Groups!A:A,Groups!BD:BD)=1,(AO157*5%),EXP(0.7354*LN(C157)^0.4078)*2/IF(_xlfn.XLOOKUP(E157,Groups!A:A,Groups!BL:BL)=1,1000,100)/IF(_xlfn.XLOOKUP(E157,Groups!A:A,Groups!AJ:AJ)="Photonozoa",3,1)))</f>
        <v>No</v>
      </c>
      <c r="BR157" s="8">
        <f>IF(BJ157="No","No",IF(_xlfn.XLOOKUP(E157,Groups!A:A,Groups!BF:BF)=1,(0.0315*C157+2.1825)*2,(0.7354*C157^0.4078)*2)/IF(_xlfn.XLOOKUP(E157,Groups!A:A,Groups!BM:BM)=1,1000,100)/IF(_xlfn.XLOOKUP(E157,Groups!A:A,Groups!AJ:AJ)="Photonozoa",3,1))</f>
        <v>2.7343941177838019E-2</v>
      </c>
      <c r="BS157" s="8">
        <f t="shared" si="68"/>
        <v>5.2527655729803606E-2</v>
      </c>
      <c r="BT157" s="8">
        <f t="shared" si="69"/>
        <v>428.56686801398291</v>
      </c>
      <c r="BU157" s="8" t="str">
        <f t="shared" si="70"/>
        <v>No</v>
      </c>
      <c r="BV157" s="8">
        <f t="shared" si="71"/>
        <v>767.20655836133506</v>
      </c>
      <c r="BW157" s="4">
        <v>0</v>
      </c>
      <c r="BX157" s="4">
        <v>1</v>
      </c>
    </row>
    <row r="158" spans="1:76" x14ac:dyDescent="0.25">
      <c r="A158" s="26" t="s">
        <v>890</v>
      </c>
      <c r="B158" s="6" t="s">
        <v>911</v>
      </c>
      <c r="C158" s="7">
        <v>4.5</v>
      </c>
      <c r="D158" s="7" t="s">
        <v>1130</v>
      </c>
      <c r="E158" s="7" t="str">
        <f>Groups!$A$19</f>
        <v>Catlike</v>
      </c>
      <c r="F158" s="7">
        <v>65</v>
      </c>
      <c r="G158" s="7">
        <f t="shared" si="74"/>
        <v>0.79178082191780819</v>
      </c>
      <c r="H158" s="7">
        <v>30</v>
      </c>
      <c r="I158" s="4">
        <v>0</v>
      </c>
      <c r="J158" s="7">
        <v>4</v>
      </c>
      <c r="K158" s="7" t="s">
        <v>510</v>
      </c>
      <c r="L158" s="7">
        <f t="shared" si="72"/>
        <v>42.871352170257147</v>
      </c>
      <c r="M158" s="7" t="s">
        <v>626</v>
      </c>
      <c r="N158" s="4">
        <v>0</v>
      </c>
      <c r="O158" s="4">
        <v>2</v>
      </c>
      <c r="P158" s="4">
        <v>0</v>
      </c>
      <c r="Q158" s="4">
        <v>0</v>
      </c>
      <c r="R158" s="4" t="s">
        <v>40</v>
      </c>
      <c r="S158" s="7">
        <f>_xlfn.XLOOKUP(B158,[1]TeethAdjusters!$A:$A,[1]BiteAdjusters!$C:$C,1)</f>
        <v>0.9224429531163798</v>
      </c>
      <c r="T158" s="7">
        <f>_xlfn.XLOOKUP(B158,[1]TeethAdjusters!$A:$A,[1]TeethAdjusters!$B:$B,1)</f>
        <v>0.89529411549459281</v>
      </c>
      <c r="U158" s="7">
        <f>MROUND(1.2,0.05)</f>
        <v>1.2000000000000002</v>
      </c>
      <c r="V158" s="7">
        <f>IF(AT158="No","No",IF(_xlfn.XLOOKUP(E158,Groups!A:A,Groups!AM:AM)=1,MROUND(EXP(0.3582*LN(C158)-0.2221)*T158,0.05),IF(_xlfn.XLOOKUP(E158,Groups!A:A,Groups!AM:AM)=2,MROUND(EXP(0.3582*LN(C158)-0.2221)*T158,0.05),"Need a formula")))</f>
        <v>1.25</v>
      </c>
      <c r="W158" s="7" t="s">
        <v>45</v>
      </c>
      <c r="X158" s="7" t="s">
        <v>932</v>
      </c>
      <c r="Y158" s="4" t="s">
        <v>56</v>
      </c>
      <c r="Z158" s="4">
        <v>1</v>
      </c>
      <c r="AA158" s="4">
        <v>0</v>
      </c>
      <c r="AB158" s="4">
        <v>0</v>
      </c>
      <c r="AC158" s="4">
        <v>0</v>
      </c>
      <c r="AD158" s="4">
        <v>0</v>
      </c>
      <c r="AE158" s="4" t="s">
        <v>45</v>
      </c>
      <c r="AF158" s="4" t="s">
        <v>45</v>
      </c>
      <c r="AG158" s="49" t="s">
        <v>385</v>
      </c>
      <c r="AH158" s="4" t="str">
        <f>Animals!$C$20</f>
        <v>&lt;li&gt;Cat&lt;/li&gt;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4" t="s">
        <v>40</v>
      </c>
      <c r="AO158" s="8">
        <f t="shared" si="57"/>
        <v>2950.6052630710305</v>
      </c>
      <c r="AP158" s="8">
        <f>IFERROR(C158*_xlfn.XLOOKUP(E158,Groups!A:A,Groups!K:K),0.106*C158^0.94)</f>
        <v>0.56137499999999996</v>
      </c>
      <c r="AQ158" s="8">
        <f>AP158*10000/(_xlfn.XLOOKUP(E158,Groups!A:A,Groups!J:J)*AO158)</f>
        <v>1.7454823328138902</v>
      </c>
      <c r="AR158" s="8">
        <f t="shared" si="58"/>
        <v>193.73556787208551</v>
      </c>
      <c r="AS158" s="8">
        <f>IF(_xlfn.XLOOKUP(E158,Groups!A:A,Groups!M:M)=1,EXP(0.7444*LN('Base stats'!C158)+6.5696),EXP(0.7927*LN('Base stats'!C158)+4.28))</f>
        <v>238.00273195891231</v>
      </c>
      <c r="AT158" s="8">
        <f>IF(_xlfn.XLOOKUP(E158,Groups!A:A,Groups!N:N)="No","No",
IF(_xlfn.XLOOKUP(E158,Groups!A:A,Groups!N:N)="Crocodile",EXP(0.8129*LN(C158)+4.6742)*S158,
IF(_xlfn.XLOOKUP(E158,Groups!A:A,Groups!N:N)="Felid",EXP(0.7843*LN(C158)+4.7073)*S158,
IF(_xlfn.XLOOKUP(E158,Groups!A:A,Groups!N:N)="Canid",EXP(0.8367*LN(C158)+4.8763)*S158,
IF(_xlfn.XLOOKUP(E158,Groups!A:A,Groups!N:N)="Pig",EXP(0.3439*LN(C158)+6.8519)*S158,
IF(_xlfn.XLOOKUP(E158,Groups!A:A,Groups!N:N)="Rodent",EXP(0.5625*LN(C158)+4.3006)*S158,
IF(_xlfn.XLOOKUP(E158,Groups!A:A,Groups!N:N)="Primate",EXP(0.7847*LN(C158)+3.4931)*S158,
IF(_xlfn.XLOOKUP(E158,Groups!A:A,Groups!N:N)="MiscCarnivora",EXP(0.7486*LN(C158)+4.2207)*S158,
IF(_xlfn.XLOOKUP(E158,Groups!A:A,Groups!N:N)="Lizard",EXP(0.7733*LN(C158)+5.5303)*S158,
IF(_xlfn.XLOOKUP(E158,Groups!A:A,Groups!N:N)="Snake",50*C158^(2/3)*S158,
IF(_xlfn.XLOOKUP(E158,Groups!A:A,Groups!N:N)="StrongBitingHerbivore",87.1133638856975*C158^(2/3)*S158,
IF(_xlfn.XLOOKUP(E158,Groups!A:A,Groups!N:N)="MiscEctotherms",59.4316884072269*C158^(2/3)*S158,
IF(_xlfn.XLOOKUP(E158,Groups!A:A,Groups!N:N)="StrongBeakBird",0.041*(C158*1000)^1.375*S158,
IF(_xlfn.XLOOKUP(E158,Groups!A:A,Groups!N:N)="Bird",0.118*(C158*1000)^0.692*S158,
IF(_xlfn.XLOOKUP(E158,Groups!A:A,Groups!N:N)="Insect",EXP(0.7444*LN(C158)+6.5696)*S158,
IF(_xlfn.XLOOKUP(E158,Groups!A:A,Groups!N:N)="Theropod",EXP(0.6966*LN(C158)+4.158)*S158,
"No"))))))))))))))))</f>
        <v>332.35981357102617</v>
      </c>
      <c r="AU158" s="8">
        <f>IF(_xlfn.XLOOKUP(E158,Groups!A:A,Groups!U:U)=3,AS158,IF(_xlfn.XLOOKUP(E158,Groups!A:A,Groups!U:U)=2,AR158,AT158))</f>
        <v>332.35981357102617</v>
      </c>
      <c r="AV158" s="46">
        <f>IFERROR(AVERAGE(_xlfn.XLOOKUP(B158,Animals!B:B,Animals!N:N),_xlfn.XLOOKUP(B158,Animals!B:B,Animals!O:O)),0)</f>
        <v>0</v>
      </c>
      <c r="AW158" s="8">
        <f>MROUND(40*Animals!AO158*_xlfn.XLOOKUP(AG158,Leathers!$A$2:$A$99,Leathers!$B$2:$B$99,0)+(140*_xlfn.XLOOKUP(B158,Animals!B:B,Animals!AO:AO)*2),5)</f>
        <v>105</v>
      </c>
      <c r="AX158" s="8">
        <f>IFERROR(ROUND(SQRT(V158-1)*IF(_xlfn.XLOOKUP(E158,Groups!A:A,Groups!BF:BF)=0,2,1)*IF(_xlfn.XLOOKUP('Base stats'!E158,Groups!A:A,Groups!O:O)=0,1,0.1),1),0)</f>
        <v>1</v>
      </c>
      <c r="AY158" s="8">
        <f t="shared" si="59"/>
        <v>0.4</v>
      </c>
      <c r="AZ158" s="8">
        <f t="shared" si="60"/>
        <v>0</v>
      </c>
      <c r="BA158" s="8">
        <f t="shared" si="61"/>
        <v>1</v>
      </c>
      <c r="BB158" s="8">
        <f>IF(_xlfn.XLOOKUP(E158,Groups!A:A,Groups!N:N)="Insect",BD158*2.5,IFERROR(AVERAGE(BD158,AT158/9.81/IF(OR(_xlfn.XLOOKUP(E158,Groups!A:A,Groups!N:N)="Pig",_xlfn.XLOOKUP(E158,Groups!A:A,Groups!N:N)="StrongBitingHerbivore"),20,25))*C158^-0.135,BD158))</f>
        <v>0.60891039454806106</v>
      </c>
      <c r="BC158" s="8" t="str">
        <f>IF(W158="No","No",IF(_xlfn.XLOOKUP(E158,Groups!A:A,Groups!U:U)=1,'Base stats'!BB158,IF(OR(_xlfn.XLOOKUP(E158,Groups!A:A,Groups!BD:BD)=1,_xlfn.XLOOKUP(E158,Groups!A:A,Groups!U:U)=2),BD158,IF(_xlfn.XLOOKUP(B158,Animals!B:B,Animals!AO:AO)&gt;4,AVERAGE(BD158,BF158),BF158))))</f>
        <v>No</v>
      </c>
      <c r="BD158" s="8">
        <f t="shared" si="62"/>
        <v>0.1368061641182855</v>
      </c>
      <c r="BE158" s="8">
        <f>IF(_xlfn.XLOOKUP(E158,Groups!A:A,Groups!BE:BE)=1,(0.048*C158^1.01)+(0.071*C158^1.03),0.071*C158^1.03)/IF(_xlfn.XLOOKUP(E158,Groups!A:A,Groups!M:M)=1,0.85,IF(OR(_xlfn.XLOOKUP(B158,Animals!B:B,Animals!AO:AO)&gt;4,_xlfn.XLOOKUP(E158,Groups!A:A,Groups!BC:BC)=1),1.7,1))*C158^-0.25</f>
        <v>0.22949018151754852</v>
      </c>
      <c r="BF158" s="8">
        <f>(0.048*C158^1.01)/IF(_xlfn.XLOOKUP(E158,Groups!A:A,Groups!M:M)=1,0.25,0.8)*C158^-0.25</f>
        <v>0.18818836143592041</v>
      </c>
      <c r="BG158" s="8">
        <f>EXP(1.076*LN(AR158)-4.5397)*IF(_xlfn.XLOOKUP(E158,Groups!A:A,Groups!BC:BC)=1,1.25,IF(_xlfn.XLOOKUP(E158,Groups!A:A,Groups!BD:BD)=1,3.5,2.5))</f>
        <v>7.716326944216144</v>
      </c>
      <c r="BH158" s="8">
        <f>EXP(1.076*LN(AS158)-4.5397)*IF(_xlfn.XLOOKUP(E158,Groups!A:A,Groups!M:M)=1,0.8,IF(_xlfn.XLOOKUP(E158,Groups!A:A,Groups!BC:BC)=1,1.3,3))</f>
        <v>11.55464920650892</v>
      </c>
      <c r="BI158" s="8" t="str">
        <f>IF(W158="No","No",IF(_xlfn.XLOOKUP(E158,Groups!A:A,Groups!U:U)=1,'Base stats'!BJ158,IF(OR(_xlfn.XLOOKUP(E158,Groups!A:A,Groups!BD:BD)=1,_xlfn.XLOOKUP(E158,Groups!A:A,Groups!U:U)=2),BG158,BH158))*1.2)</f>
        <v>No</v>
      </c>
      <c r="BJ158" s="8">
        <f>IFERROR(EXP(1.076*LN(AT158)-4.5397)*IF(_xlfn.XLOOKUP(E158,Groups!A:A,Groups!N:N)="Insect",1,IF(OR(_xlfn.XLOOKUP(E158,Groups!A:A,Groups!N:N)="Pig",_xlfn.XLOOKUP(E158,Groups!A:A,Groups!N:N)="StrongBitingHerbivore"),3.5,3.75)),"No")</f>
        <v>20.687850133006499</v>
      </c>
      <c r="BK158" s="8">
        <f t="shared" si="63"/>
        <v>10</v>
      </c>
      <c r="BL158" s="8">
        <f t="shared" si="64"/>
        <v>10</v>
      </c>
      <c r="BM158" s="8" t="str">
        <f t="shared" si="65"/>
        <v>No</v>
      </c>
      <c r="BN158" s="8">
        <f t="shared" si="66"/>
        <v>8</v>
      </c>
      <c r="BO158" s="8">
        <f t="shared" si="67"/>
        <v>11</v>
      </c>
      <c r="BP158" s="8" cm="1">
        <f t="array" ref="BP158">IF(AND(_xlfn.XLOOKUP('Base stats'!E158,Groups!A:A,Groups!AD:AD=0),_xlfn.XLOOKUP('Base stats'!E158,Groups!A:A,Groups!P:P=0)),"No",IF(U158="No",AVERAGE(EXP(-0.57+0.99*LN(C158)),EXP(0.32+0.67*LN(C158)))/IF(_xlfn.XLOOKUP(E158,Groups!A:A,Groups!AD:AD)=1,10,2),(0.7354*C158^0.4078)*2/IF(_xlfn.XLOOKUP(E158,Groups!A:A,Groups!BK:BK)=1,1000,100)/IF(_xlfn.XLOOKUP(E158,Groups!A:A,Groups!AJ:AJ)="Photonozoa",3,1)))</f>
        <v>2.7160245069965436E-2</v>
      </c>
      <c r="BQ158" s="8" t="str">
        <f>IF(W158="No","No",IF(_xlfn.XLOOKUP(E158,Groups!A:A,Groups!BD:BD)=1,(AO158*5%),EXP(0.7354*LN(C158)^0.4078)*2/IF(_xlfn.XLOOKUP(E158,Groups!A:A,Groups!BL:BL)=1,1000,100)/IF(_xlfn.XLOOKUP(E158,Groups!A:A,Groups!AJ:AJ)="Photonozoa",3,1)))</f>
        <v>No</v>
      </c>
      <c r="BR158" s="8">
        <f>IF(BJ158="No","No",IF(_xlfn.XLOOKUP(E158,Groups!A:A,Groups!BF:BF)=1,(0.0315*C158+2.1825)*2,(0.7354*C158^0.4078)*2)/IF(_xlfn.XLOOKUP(E158,Groups!A:A,Groups!BM:BM)=1,1000,100)/IF(_xlfn.XLOOKUP(E158,Groups!A:A,Groups!AJ:AJ)="Photonozoa",3,1))</f>
        <v>2.7160245069965436E-2</v>
      </c>
      <c r="BS158" s="8">
        <f t="shared" si="68"/>
        <v>5.2303349694325998E-2</v>
      </c>
      <c r="BT158" s="8">
        <f t="shared" si="69"/>
        <v>425.4250717084426</v>
      </c>
      <c r="BU158" s="8" t="str">
        <f t="shared" si="70"/>
        <v>No</v>
      </c>
      <c r="BV158" s="8">
        <f t="shared" si="71"/>
        <v>761.69600383627267</v>
      </c>
      <c r="BW158" s="4">
        <v>0</v>
      </c>
      <c r="BX158" s="4">
        <v>1</v>
      </c>
    </row>
    <row r="159" spans="1:76" x14ac:dyDescent="0.25">
      <c r="A159" s="26" t="s">
        <v>891</v>
      </c>
      <c r="B159" s="6" t="s">
        <v>912</v>
      </c>
      <c r="C159" s="7">
        <f>AVERAGE(3.5,7)</f>
        <v>5.25</v>
      </c>
      <c r="D159" s="7" t="s">
        <v>1129</v>
      </c>
      <c r="E159" s="7" t="str">
        <f>Groups!$A$19</f>
        <v>Catlike</v>
      </c>
      <c r="F159" s="7">
        <v>65</v>
      </c>
      <c r="G159" s="7">
        <f t="shared" si="74"/>
        <v>0.79178082191780819</v>
      </c>
      <c r="H159" s="7">
        <v>30</v>
      </c>
      <c r="I159" s="4">
        <v>0</v>
      </c>
      <c r="J159" s="7">
        <v>4</v>
      </c>
      <c r="K159" s="7" t="s">
        <v>510</v>
      </c>
      <c r="L159" s="7">
        <f t="shared" si="72"/>
        <v>43.463575034767231</v>
      </c>
      <c r="M159" s="7" t="s">
        <v>626</v>
      </c>
      <c r="N159" s="4">
        <v>0</v>
      </c>
      <c r="O159" s="4">
        <v>2</v>
      </c>
      <c r="P159" s="4">
        <v>-20</v>
      </c>
      <c r="Q159" s="4">
        <v>0</v>
      </c>
      <c r="R159" s="4" t="s">
        <v>40</v>
      </c>
      <c r="S159" s="7">
        <f>_xlfn.XLOOKUP(B159,[1]TeethAdjusters!$A:$A,[1]BiteAdjusters!$C:$C,1)</f>
        <v>0.9224429531163798</v>
      </c>
      <c r="T159" s="7">
        <f>_xlfn.XLOOKUP(B159,[1]TeethAdjusters!$A:$A,[1]TeethAdjusters!$B:$B,1)</f>
        <v>0.89529411549459281</v>
      </c>
      <c r="U159" s="7">
        <f>MROUND(1.2,0.05)</f>
        <v>1.2000000000000002</v>
      </c>
      <c r="V159" s="7">
        <f>IF(AT159="No","No",IF(_xlfn.XLOOKUP(E159,Groups!A:A,Groups!AM:AM)=1,MROUND(EXP(0.3582*LN(C159)-0.2221)*T159,0.05),IF(_xlfn.XLOOKUP(E159,Groups!A:A,Groups!AM:AM)=2,MROUND(EXP(0.3582*LN(C159)-0.2221)*T159,0.05),"Need a formula")))</f>
        <v>1.3</v>
      </c>
      <c r="W159" s="7" t="s">
        <v>45</v>
      </c>
      <c r="X159" s="7" t="s">
        <v>932</v>
      </c>
      <c r="Y159" s="4" t="s">
        <v>56</v>
      </c>
      <c r="Z159" s="4">
        <v>1</v>
      </c>
      <c r="AA159" s="4">
        <v>0</v>
      </c>
      <c r="AB159" s="4">
        <v>0</v>
      </c>
      <c r="AC159" s="4">
        <v>0</v>
      </c>
      <c r="AD159" s="4">
        <v>0</v>
      </c>
      <c r="AE159" s="4" t="s">
        <v>45</v>
      </c>
      <c r="AF159" s="4" t="s">
        <v>45</v>
      </c>
      <c r="AG159" s="49" t="s">
        <v>385</v>
      </c>
      <c r="AH159" s="4" t="str">
        <f>Animals!$C$20</f>
        <v>&lt;li&gt;Cat&lt;/li&gt;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4" t="s">
        <v>40</v>
      </c>
      <c r="AO159" s="8">
        <f t="shared" si="57"/>
        <v>3261.5686646339173</v>
      </c>
      <c r="AP159" s="8">
        <f>IFERROR(C159*_xlfn.XLOOKUP(E159,Groups!A:A,Groups!K:K),0.106*C159^0.94)</f>
        <v>0.65493749999999995</v>
      </c>
      <c r="AQ159" s="8">
        <f>AP159*10000/(_xlfn.XLOOKUP(E159,Groups!A:A,Groups!J:J)*AO159)</f>
        <v>1.8422426553774867</v>
      </c>
      <c r="AR159" s="8">
        <f t="shared" si="58"/>
        <v>220.67813921262933</v>
      </c>
      <c r="AS159" s="8">
        <f>IF(_xlfn.XLOOKUP(E159,Groups!A:A,Groups!M:M)=1,EXP(0.7444*LN('Base stats'!C159)+6.5696),EXP(0.7927*LN('Base stats'!C159)+4.28))</f>
        <v>268.93706586121436</v>
      </c>
      <c r="AT159" s="8">
        <f>IF(_xlfn.XLOOKUP(E159,Groups!A:A,Groups!N:N)="No","No",
IF(_xlfn.XLOOKUP(E159,Groups!A:A,Groups!N:N)="Crocodile",EXP(0.8129*LN(C159)+4.6742)*S159,
IF(_xlfn.XLOOKUP(E159,Groups!A:A,Groups!N:N)="Felid",EXP(0.7843*LN(C159)+4.7073)*S159,
IF(_xlfn.XLOOKUP(E159,Groups!A:A,Groups!N:N)="Canid",EXP(0.8367*LN(C159)+4.8763)*S159,
IF(_xlfn.XLOOKUP(E159,Groups!A:A,Groups!N:N)="Pig",EXP(0.3439*LN(C159)+6.8519)*S159,
IF(_xlfn.XLOOKUP(E159,Groups!A:A,Groups!N:N)="Rodent",EXP(0.5625*LN(C159)+4.3006)*S159,
IF(_xlfn.XLOOKUP(E159,Groups!A:A,Groups!N:N)="Primate",EXP(0.7847*LN(C159)+3.4931)*S159,
IF(_xlfn.XLOOKUP(E159,Groups!A:A,Groups!N:N)="MiscCarnivora",EXP(0.7486*LN(C159)+4.2207)*S159,
IF(_xlfn.XLOOKUP(E159,Groups!A:A,Groups!N:N)="Lizard",EXP(0.7733*LN(C159)+5.5303)*S159,
IF(_xlfn.XLOOKUP(E159,Groups!A:A,Groups!N:N)="Snake",50*C159^(2/3)*S159,
IF(_xlfn.XLOOKUP(E159,Groups!A:A,Groups!N:N)="StrongBitingHerbivore",87.1133638856975*C159^(2/3)*S159,
IF(_xlfn.XLOOKUP(E159,Groups!A:A,Groups!N:N)="MiscEctotherms",59.4316884072269*C159^(2/3)*S159,
IF(_xlfn.XLOOKUP(E159,Groups!A:A,Groups!N:N)="StrongBeakBird",0.041*(C159*1000)^1.375*S159,
IF(_xlfn.XLOOKUP(E159,Groups!A:A,Groups!N:N)="Bird",0.118*(C159*1000)^0.692*S159,
IF(_xlfn.XLOOKUP(E159,Groups!A:A,Groups!N:N)="Insect",EXP(0.7444*LN(C159)+6.5696)*S159,
IF(_xlfn.XLOOKUP(E159,Groups!A:A,Groups!N:N)="Theropod",EXP(0.6966*LN(C159)+4.158)*S159,
"No"))))))))))))))))</f>
        <v>375.07219823293701</v>
      </c>
      <c r="AU159" s="8">
        <f>IF(_xlfn.XLOOKUP(E159,Groups!A:A,Groups!U:U)=3,AS159,IF(_xlfn.XLOOKUP(E159,Groups!A:A,Groups!U:U)=2,AR159,AT159))</f>
        <v>375.07219823293701</v>
      </c>
      <c r="AV159" s="46">
        <f>IFERROR(AVERAGE(_xlfn.XLOOKUP(B159,Animals!B:B,Animals!N:N),_xlfn.XLOOKUP(B159,Animals!B:B,Animals!O:O)),0)</f>
        <v>0</v>
      </c>
      <c r="AW159" s="8">
        <f>MROUND(40*Animals!AO159*_xlfn.XLOOKUP(AG159,Leathers!$A$2:$A$99,Leathers!$B$2:$B$99,0)+(140*_xlfn.XLOOKUP(B159,Animals!B:B,Animals!AO:AO)*2),5)</f>
        <v>105</v>
      </c>
      <c r="AX159" s="8">
        <f>IFERROR(ROUND(SQRT(V159-1)*IF(_xlfn.XLOOKUP(E159,Groups!A:A,Groups!BF:BF)=0,2,1)*IF(_xlfn.XLOOKUP('Base stats'!E159,Groups!A:A,Groups!O:O)=0,1,0.1),1),0)</f>
        <v>1.1000000000000001</v>
      </c>
      <c r="AY159" s="8">
        <f t="shared" si="59"/>
        <v>0.4</v>
      </c>
      <c r="AZ159" s="8">
        <f t="shared" si="60"/>
        <v>0</v>
      </c>
      <c r="BA159" s="8">
        <f t="shared" si="61"/>
        <v>1.1000000000000001</v>
      </c>
      <c r="BB159" s="8">
        <f>IF(_xlfn.XLOOKUP(E159,Groups!A:A,Groups!N:N)="Insect",BD159*2.5,IFERROR(AVERAGE(BD159,AT159/9.81/IF(OR(_xlfn.XLOOKUP(E159,Groups!A:A,Groups!N:N)="Pig",_xlfn.XLOOKUP(E159,Groups!A:A,Groups!N:N)="StrongBitingHerbivore"),20,25))*C159^-0.135,BD159))</f>
        <v>0.67345650068859608</v>
      </c>
      <c r="BC159" s="8" t="str">
        <f>IF(W159="No","No",IF(_xlfn.XLOOKUP(E159,Groups!A:A,Groups!U:U)=1,'Base stats'!BB159,IF(OR(_xlfn.XLOOKUP(E159,Groups!A:A,Groups!BD:BD)=1,_xlfn.XLOOKUP(E159,Groups!A:A,Groups!U:U)=2),BD159,IF(_xlfn.XLOOKUP(B159,Animals!B:B,Animals!AO:AO)&gt;4,AVERAGE(BD159,BF159),BF159))))</f>
        <v>No</v>
      </c>
      <c r="BD159" s="8">
        <f t="shared" si="62"/>
        <v>0.15550288405953519</v>
      </c>
      <c r="BE159" s="8">
        <f>IF(_xlfn.XLOOKUP(E159,Groups!A:A,Groups!BE:BE)=1,(0.048*C159^1.01)+(0.071*C159^1.03),0.071*C159^1.03)/IF(_xlfn.XLOOKUP(E159,Groups!A:A,Groups!M:M)=1,0.85,IF(OR(_xlfn.XLOOKUP(B159,Animals!B:B,Animals!AO:AO)&gt;4,_xlfn.XLOOKUP(E159,Groups!A:A,Groups!BC:BC)=1),1.7,1))*C159^-0.25</f>
        <v>0.25881092525658478</v>
      </c>
      <c r="BF159" s="8">
        <f>(0.048*C159^1.01)/IF(_xlfn.XLOOKUP(E159,Groups!A:A,Groups!M:M)=1,0.25,0.8)*C159^-0.25</f>
        <v>0.21157888347035275</v>
      </c>
      <c r="BG159" s="8">
        <f>EXP(1.076*LN(AR159)-4.5397)*IF(_xlfn.XLOOKUP(E159,Groups!A:A,Groups!BC:BC)=1,1.25,IF(_xlfn.XLOOKUP(E159,Groups!A:A,Groups!BD:BD)=1,3.5,2.5))</f>
        <v>8.8768395547731256</v>
      </c>
      <c r="BH159" s="8">
        <f>EXP(1.076*LN(AS159)-4.5397)*IF(_xlfn.XLOOKUP(E159,Groups!A:A,Groups!M:M)=1,0.8,IF(_xlfn.XLOOKUP(E159,Groups!A:A,Groups!BC:BC)=1,1.3,3))</f>
        <v>13.178279305671431</v>
      </c>
      <c r="BI159" s="8" t="str">
        <f>IF(W159="No","No",IF(_xlfn.XLOOKUP(E159,Groups!A:A,Groups!U:U)=1,'Base stats'!BJ159,IF(OR(_xlfn.XLOOKUP(E159,Groups!A:A,Groups!BD:BD)=1,_xlfn.XLOOKUP(E159,Groups!A:A,Groups!U:U)=2),BG159,BH159))*1.2)</f>
        <v>No</v>
      </c>
      <c r="BJ159" s="8">
        <f>IFERROR(EXP(1.076*LN(AT159)-4.5397)*IF(_xlfn.XLOOKUP(E159,Groups!A:A,Groups!N:N)="Insect",1,IF(OR(_xlfn.XLOOKUP(E159,Groups!A:A,Groups!N:N)="Pig",_xlfn.XLOOKUP(E159,Groups!A:A,Groups!N:N)="StrongBitingHerbivore"),3.5,3.75)),"No")</f>
        <v>23.562003297721184</v>
      </c>
      <c r="BK159" s="8">
        <f t="shared" si="63"/>
        <v>10</v>
      </c>
      <c r="BL159" s="8">
        <f t="shared" si="64"/>
        <v>10</v>
      </c>
      <c r="BM159" s="8" t="str">
        <f t="shared" si="65"/>
        <v>No</v>
      </c>
      <c r="BN159" s="8">
        <f t="shared" si="66"/>
        <v>8</v>
      </c>
      <c r="BO159" s="8">
        <f t="shared" si="67"/>
        <v>11</v>
      </c>
      <c r="BP159" s="8" cm="1">
        <f t="array" ref="BP159">IF(AND(_xlfn.XLOOKUP('Base stats'!E159,Groups!A:A,Groups!AD:AD=0),_xlfn.XLOOKUP('Base stats'!E159,Groups!A:A,Groups!P:P=0)),"No",IF(U159="No",AVERAGE(EXP(-0.57+0.99*LN(C159)),EXP(0.32+0.67*LN(C159)))/IF(_xlfn.XLOOKUP(E159,Groups!A:A,Groups!AD:AD)=1,10,2),(0.7354*C159^0.4078)*2/IF(_xlfn.XLOOKUP(E159,Groups!A:A,Groups!BK:BK)=1,1000,100)/IF(_xlfn.XLOOKUP(E159,Groups!A:A,Groups!AJ:AJ)="Photonozoa",3,1)))</f>
        <v>2.8922417112775739E-2</v>
      </c>
      <c r="BQ159" s="8" t="str">
        <f>IF(W159="No","No",IF(_xlfn.XLOOKUP(E159,Groups!A:A,Groups!BD:BD)=1,(AO159*5%),EXP(0.7354*LN(C159)^0.4078)*2/IF(_xlfn.XLOOKUP(E159,Groups!A:A,Groups!BL:BL)=1,1000,100)/IF(_xlfn.XLOOKUP(E159,Groups!A:A,Groups!AJ:AJ)="Photonozoa",3,1)))</f>
        <v>No</v>
      </c>
      <c r="BR159" s="8">
        <f>IF(BJ159="No","No",IF(_xlfn.XLOOKUP(E159,Groups!A:A,Groups!BF:BF)=1,(0.0315*C159+2.1825)*2,(0.7354*C159^0.4078)*2)/IF(_xlfn.XLOOKUP(E159,Groups!A:A,Groups!BM:BM)=1,1000,100)/IF(_xlfn.XLOOKUP(E159,Groups!A:A,Groups!AJ:AJ)="Photonozoa",3,1))</f>
        <v>2.8922417112775739E-2</v>
      </c>
      <c r="BS159" s="8">
        <f t="shared" si="68"/>
        <v>5.4432946030093611E-2</v>
      </c>
      <c r="BT159" s="8">
        <f t="shared" si="69"/>
        <v>455.64239165371356</v>
      </c>
      <c r="BU159" s="8" t="str">
        <f t="shared" si="70"/>
        <v>No</v>
      </c>
      <c r="BV159" s="8">
        <f t="shared" si="71"/>
        <v>814.66231559578989</v>
      </c>
      <c r="BW159" s="4">
        <v>0</v>
      </c>
      <c r="BX159" s="4">
        <v>1</v>
      </c>
    </row>
    <row r="160" spans="1:76" x14ac:dyDescent="0.25">
      <c r="A160" s="26" t="s">
        <v>453</v>
      </c>
      <c r="B160" s="6" t="s">
        <v>454</v>
      </c>
      <c r="C160" s="7">
        <v>10000</v>
      </c>
      <c r="D160" s="7" t="s">
        <v>528</v>
      </c>
      <c r="E160" s="7" t="str">
        <f>Groups!$A$34</f>
        <v>Kalisk</v>
      </c>
      <c r="F160" s="7">
        <f>ROUND(7.545*(C160*1000)^0.2689,0)</f>
        <v>575</v>
      </c>
      <c r="G160" s="7">
        <v>15</v>
      </c>
      <c r="H160" s="7">
        <v>500</v>
      </c>
      <c r="I160" s="4">
        <v>0</v>
      </c>
      <c r="J160" s="7">
        <v>1</v>
      </c>
      <c r="K160" s="7" t="s">
        <v>528</v>
      </c>
      <c r="L160" s="7">
        <f t="shared" si="72"/>
        <v>40.857631515333281</v>
      </c>
      <c r="M160" s="7" t="s">
        <v>626</v>
      </c>
      <c r="N160" s="4">
        <v>0</v>
      </c>
      <c r="O160" s="4">
        <v>0</v>
      </c>
      <c r="P160" s="4">
        <v>0</v>
      </c>
      <c r="Q160" s="4">
        <v>0</v>
      </c>
      <c r="R160" s="4">
        <v>1</v>
      </c>
      <c r="S160" s="7">
        <f>_xlfn.XLOOKUP(B160,[1]TeethAdjusters!$A:$A,[1]BiteAdjusters!$C:$C,1)</f>
        <v>1</v>
      </c>
      <c r="T160" s="7">
        <f>_xlfn.XLOOKUP(B160,[1]TeethAdjusters!$A:$A,[1]TeethAdjusters!$B:$B,1)</f>
        <v>1</v>
      </c>
      <c r="U160" s="7">
        <v>10</v>
      </c>
      <c r="V160" s="7">
        <v>5</v>
      </c>
      <c r="W160" s="7" t="s">
        <v>45</v>
      </c>
      <c r="X160" s="7" t="s">
        <v>932</v>
      </c>
      <c r="Y160" s="4" t="s">
        <v>56</v>
      </c>
      <c r="Z160" s="4">
        <v>1</v>
      </c>
      <c r="AA160" s="4">
        <v>0</v>
      </c>
      <c r="AB160" s="4">
        <v>0</v>
      </c>
      <c r="AC160" s="4">
        <v>0</v>
      </c>
      <c r="AD160" s="4">
        <v>0</v>
      </c>
      <c r="AE160" s="4" t="s">
        <v>45</v>
      </c>
      <c r="AF160" s="4" t="s">
        <v>45</v>
      </c>
      <c r="AG160" s="49" t="s">
        <v>455</v>
      </c>
      <c r="AH160" s="4" t="s">
        <v>45</v>
      </c>
      <c r="AI160" s="4">
        <v>0</v>
      </c>
      <c r="AJ160" s="4">
        <v>0</v>
      </c>
      <c r="AK160" s="4">
        <v>0</v>
      </c>
      <c r="AL160" s="4">
        <v>1</v>
      </c>
      <c r="AM160" s="4">
        <v>1</v>
      </c>
      <c r="AN160" s="44" t="s">
        <v>40</v>
      </c>
      <c r="AO160" s="8">
        <f t="shared" si="57"/>
        <v>441898.95931438234</v>
      </c>
      <c r="AP160" s="8">
        <f>IFERROR(C160*_xlfn.XLOOKUP(E160,Groups!A:A,Groups!K:K),0.106*C160^0.94)</f>
        <v>609.96633357738608</v>
      </c>
      <c r="AQ160" s="8">
        <f>AP160*10000/(_xlfn.XLOOKUP(E160,Groups!A:A,Groups!J:J)*AO160)</f>
        <v>10.617922085867505</v>
      </c>
      <c r="AR160" s="8">
        <f t="shared" si="58"/>
        <v>130089.05224741565</v>
      </c>
      <c r="AS160" s="8">
        <f>IF(_xlfn.XLOOKUP(E160,Groups!A:A,Groups!M:M)=1,EXP(0.7444*LN('Base stats'!C160)+6.5696),EXP(0.7927*LN('Base stats'!C160)+4.28))</f>
        <v>107048.44980386966</v>
      </c>
      <c r="AT160" s="8">
        <f>IF(_xlfn.XLOOKUP(E160,Groups!A:A,Groups!N:N)="No","No",
IF(_xlfn.XLOOKUP(E160,Groups!A:A,Groups!N:N)="Crocodile",EXP(0.8129*LN(C160)+4.6742)*S160,
IF(_xlfn.XLOOKUP(E160,Groups!A:A,Groups!N:N)="Felid",EXP(0.7843*LN(C160)+4.7073)*S160,
IF(_xlfn.XLOOKUP(E160,Groups!A:A,Groups!N:N)="Canid",EXP(0.8367*LN(C160)+4.8763)*S160,
IF(_xlfn.XLOOKUP(E160,Groups!A:A,Groups!N:N)="Pig",EXP(0.3439*LN(C160)+6.8519)*S160,
IF(_xlfn.XLOOKUP(E160,Groups!A:A,Groups!N:N)="Rodent",EXP(0.5625*LN(C160)+4.3006)*S160,
IF(_xlfn.XLOOKUP(E160,Groups!A:A,Groups!N:N)="Primate",EXP(0.7847*LN(C160)+3.4931)*S160,
IF(_xlfn.XLOOKUP(E160,Groups!A:A,Groups!N:N)="MiscCarnivora",EXP(0.7486*LN(C160)+4.2207)*S160,
IF(_xlfn.XLOOKUP(E160,Groups!A:A,Groups!N:N)="Lizard",EXP(0.7733*LN(C160)+5.5303)*S160,
IF(_xlfn.XLOOKUP(E160,Groups!A:A,Groups!N:N)="Snake",50*C160^(2/3)*S160,
IF(_xlfn.XLOOKUP(E160,Groups!A:A,Groups!N:N)="StrongBitingHerbivore",87.1133638856975*C160^(2/3)*S160,
IF(_xlfn.XLOOKUP(E160,Groups!A:A,Groups!N:N)="MiscEctotherms",59.4316884072269*C160^(2/3)*S160,
IF(_xlfn.XLOOKUP(E160,Groups!A:A,Groups!N:N)="StrongBeakBird",0.041*(C160*1000)^1.375*S160,
IF(_xlfn.XLOOKUP(E160,Groups!A:A,Groups!N:N)="Bird",0.118*(C160*1000)^0.692*S160,
IF(_xlfn.XLOOKUP(E160,Groups!A:A,Groups!N:N)="Insect",EXP(0.7444*LN(C160)+6.5696)*S160,
IF(_xlfn.XLOOKUP(E160,Groups!A:A,Groups!N:N)="Theropod",EXP(0.6966*LN(C160)+4.158)*S160,
"No"))))))))))))))))</f>
        <v>67208.889531771376</v>
      </c>
      <c r="AU160" s="8">
        <f>IF(_xlfn.XLOOKUP(E160,Groups!A:A,Groups!U:U)=3,AS160,IF(_xlfn.XLOOKUP(E160,Groups!A:A,Groups!U:U)=2,AR160,AT160))</f>
        <v>67208.889531771376</v>
      </c>
      <c r="AV160" s="46">
        <f>IFERROR(AVERAGE(_xlfn.XLOOKUP(B160,Animals!B:B,Animals!N:N),_xlfn.XLOOKUP(B160,Animals!B:B,Animals!O:O)),0)</f>
        <v>1.05</v>
      </c>
      <c r="AW160" s="8">
        <f>MROUND(40*Animals!AO160*_xlfn.XLOOKUP(AG160,Leathers!$A$2:$A$99,Leathers!$B$2:$B$99,0)+(140*_xlfn.XLOOKUP(B160,Animals!B:B,Animals!AO:AO)*2),5)</f>
        <v>7280</v>
      </c>
      <c r="AX160" s="8">
        <f>IFERROR(ROUND(SQRT(V160-1)*IF(_xlfn.XLOOKUP(E160,Groups!A:A,Groups!BF:BF)=0,2,1)*IF(_xlfn.XLOOKUP('Base stats'!E160,Groups!A:A,Groups!O:O)=0,1,0.1),1),0)</f>
        <v>4</v>
      </c>
      <c r="AY160" s="8">
        <f t="shared" si="59"/>
        <v>3</v>
      </c>
      <c r="AZ160" s="8">
        <f t="shared" si="60"/>
        <v>0</v>
      </c>
      <c r="BA160" s="8">
        <f t="shared" si="61"/>
        <v>21.7</v>
      </c>
      <c r="BB160" s="8">
        <f>IF(_xlfn.XLOOKUP(E160,Groups!A:A,Groups!N:N)="Insect",BD160*2.5,IFERROR(AVERAGE(BD160,AT160/9.81/IF(OR(_xlfn.XLOOKUP(E160,Groups!A:A,Groups!N:N)="Pig",_xlfn.XLOOKUP(E160,Groups!A:A,Groups!N:N)="StrongBitingHerbivore"),20,25))*C160^-0.135,BD160))</f>
        <v>51.436786432766141</v>
      </c>
      <c r="BC160" s="8" t="str">
        <f>IF(W160="No","No",IF(_xlfn.XLOOKUP(E160,Groups!A:A,Groups!U:U)=1,'Base stats'!BB160,IF(OR(_xlfn.XLOOKUP(E160,Groups!A:A,Groups!BD:BD)=1,_xlfn.XLOOKUP(E160,Groups!A:A,Groups!U:U)=2),BD160,IF(_xlfn.XLOOKUP(B160,Animals!B:B,Animals!AO:AO)&gt;4,AVERAGE(BD160,BF160),BF160))))</f>
        <v>No</v>
      </c>
      <c r="BD160" s="8">
        <f t="shared" si="62"/>
        <v>82.658223477384908</v>
      </c>
      <c r="BE160" s="8">
        <f>IF(_xlfn.XLOOKUP(E160,Groups!A:A,Groups!BE:BE)=1,(0.048*C160^1.01)+(0.071*C160^1.03),0.071*C160^1.03)/IF(_xlfn.XLOOKUP(E160,Groups!A:A,Groups!M:M)=1,0.85,IF(OR(_xlfn.XLOOKUP(B160,Animals!B:B,Animals!AO:AO)&gt;4,_xlfn.XLOOKUP(E160,Groups!A:A,Groups!BC:BC)=1),1.7,1))*C160^-0.25</f>
        <v>55.05660496323825</v>
      </c>
      <c r="BF160" s="8">
        <f>(0.048*C160^1.01)/IF(_xlfn.XLOOKUP(E160,Groups!A:A,Groups!M:M)=1,0.25,0.8)*C160^-0.25</f>
        <v>65.788691768591107</v>
      </c>
      <c r="BG160" s="8">
        <f>EXP(1.076*LN(AR160)-4.5397)*IF(_xlfn.XLOOKUP(E160,Groups!A:A,Groups!BC:BC)=1,1.25,IF(_xlfn.XLOOKUP(E160,Groups!A:A,Groups!BD:BD)=1,3.5,2.5))</f>
        <v>8497.6021867907875</v>
      </c>
      <c r="BH160" s="8">
        <f>EXP(1.076*LN(AS160)-4.5397)*IF(_xlfn.XLOOKUP(E160,Groups!A:A,Groups!M:M)=1,0.8,IF(_xlfn.XLOOKUP(E160,Groups!A:A,Groups!BC:BC)=1,1.3,3))</f>
        <v>8267.6691089400374</v>
      </c>
      <c r="BI160" s="8" t="str">
        <f>IF(W160="No","No",IF(_xlfn.XLOOKUP(E160,Groups!A:A,Groups!U:U)=1,'Base stats'!BJ160,IF(OR(_xlfn.XLOOKUP(E160,Groups!A:A,Groups!BD:BD)=1,_xlfn.XLOOKUP(E160,Groups!A:A,Groups!U:U)=2),BG160,BH160))*1.2)</f>
        <v>No</v>
      </c>
      <c r="BJ160" s="8">
        <f>IFERROR(EXP(1.076*LN(AT160)-4.5397)*IF(_xlfn.XLOOKUP(E160,Groups!A:A,Groups!N:N)="Insect",1,IF(OR(_xlfn.XLOOKUP(E160,Groups!A:A,Groups!N:N)="Pig",_xlfn.XLOOKUP(E160,Groups!A:A,Groups!N:N)="StrongBitingHerbivore"),3.5,3.75)),"No")</f>
        <v>6262.9040572450376</v>
      </c>
      <c r="BK160" s="8">
        <f t="shared" si="63"/>
        <v>14</v>
      </c>
      <c r="BL160" s="8">
        <f t="shared" si="64"/>
        <v>17</v>
      </c>
      <c r="BM160" s="8" t="str">
        <f t="shared" si="65"/>
        <v>No</v>
      </c>
      <c r="BN160" s="8">
        <f t="shared" si="66"/>
        <v>15</v>
      </c>
      <c r="BO160" s="8">
        <f t="shared" si="67"/>
        <v>15</v>
      </c>
      <c r="BP160" s="8" cm="1">
        <f t="array" ref="BP160">IF(AND(_xlfn.XLOOKUP('Base stats'!E160,Groups!A:A,Groups!AD:AD=0),_xlfn.XLOOKUP('Base stats'!E160,Groups!A:A,Groups!P:P=0)),"No",IF(U160="No",AVERAGE(EXP(-0.57+0.99*LN(C160)),EXP(0.32+0.67*LN(C160)))/IF(_xlfn.XLOOKUP(E160,Groups!A:A,Groups!AD:AD)=1,10,2),(0.7354*C160^0.4078)*2/IF(_xlfn.XLOOKUP(E160,Groups!A:A,Groups!BK:BK)=1,1000,100)/IF(_xlfn.XLOOKUP(E160,Groups!A:A,Groups!AJ:AJ)="Photonozoa",3,1)))</f>
        <v>6.2914916014378153E-2</v>
      </c>
      <c r="BQ160" s="8" t="str">
        <f>IF(W160="No","No",IF(_xlfn.XLOOKUP(E160,Groups!A:A,Groups!BD:BD)=1,(AO160*5%),EXP(0.7354*LN(C160)^0.4078)*2/IF(_xlfn.XLOOKUP(E160,Groups!A:A,Groups!BL:BL)=1,1000,100)/IF(_xlfn.XLOOKUP(E160,Groups!A:A,Groups!AJ:AJ)="Photonozoa",3,1)))</f>
        <v>No</v>
      </c>
      <c r="BR160" s="8">
        <f>IF(BJ160="No","No",IF(_xlfn.XLOOKUP(E160,Groups!A:A,Groups!BF:BF)=1,(0.0315*C160+2.1825)*2,(0.7354*C160^0.4078)*2)/IF(_xlfn.XLOOKUP(E160,Groups!A:A,Groups!BM:BM)=1,1000,100)/IF(_xlfn.XLOOKUP(E160,Groups!A:A,Groups!AJ:AJ)="Photonozoa",3,1))</f>
        <v>6.2914916014378153E-2</v>
      </c>
      <c r="BS160" s="8">
        <f t="shared" si="68"/>
        <v>0.38459480420479092</v>
      </c>
      <c r="BT160" s="8">
        <f t="shared" si="69"/>
        <v>131410.31781796546</v>
      </c>
      <c r="BU160" s="8" t="str">
        <f t="shared" si="70"/>
        <v>No</v>
      </c>
      <c r="BV160" s="8">
        <f t="shared" si="71"/>
        <v>99545.615793459147</v>
      </c>
      <c r="BW160" s="4">
        <v>0</v>
      </c>
      <c r="BX160" s="4">
        <v>1</v>
      </c>
    </row>
    <row r="161" spans="1:76" x14ac:dyDescent="0.25">
      <c r="A161" s="26" t="s">
        <v>1110</v>
      </c>
      <c r="B161" s="6" t="s">
        <v>2130</v>
      </c>
      <c r="C161" s="7">
        <f>AVERAGE(316.2,231.2,246.8,238.5)</f>
        <v>258.17500000000001</v>
      </c>
      <c r="D161" s="7" t="s">
        <v>2131</v>
      </c>
      <c r="E161" s="7" t="str">
        <f>Groups!$A$19</f>
        <v>Catlike</v>
      </c>
      <c r="F161" s="7">
        <v>110</v>
      </c>
      <c r="G161" s="7">
        <v>3.7</v>
      </c>
      <c r="H161" s="7">
        <v>30</v>
      </c>
      <c r="I161" s="4">
        <v>0</v>
      </c>
      <c r="J161" s="7">
        <v>2.5</v>
      </c>
      <c r="K161" s="7" t="s">
        <v>528</v>
      </c>
      <c r="L161" s="7">
        <f>MIN(37.5*C161^0.089,79.3*C161^-0.072)</f>
        <v>53.16372048109389</v>
      </c>
      <c r="M161" s="7" t="s">
        <v>626</v>
      </c>
      <c r="N161" s="4">
        <v>0</v>
      </c>
      <c r="O161" s="4">
        <v>1</v>
      </c>
      <c r="P161" s="4">
        <v>0</v>
      </c>
      <c r="Q161" s="4">
        <v>0</v>
      </c>
      <c r="R161" s="4" t="s">
        <v>40</v>
      </c>
      <c r="S161" s="7">
        <f>_xlfn.XLOOKUP(B161,[1]TeethAdjusters!$A:$A,[1]BiteAdjusters!$C:$C,1)</f>
        <v>1</v>
      </c>
      <c r="T161" s="7">
        <f>_xlfn.XLOOKUP(B161,[1]TeethAdjusters!$A:$A,[1]TeethAdjusters!$B:$B,1)</f>
        <v>1</v>
      </c>
      <c r="U161" s="7">
        <v>12</v>
      </c>
      <c r="V161" s="7">
        <v>18</v>
      </c>
      <c r="W161" s="7" t="s">
        <v>45</v>
      </c>
      <c r="X161" s="7" t="s">
        <v>932</v>
      </c>
      <c r="Y161" s="4" t="s">
        <v>56</v>
      </c>
      <c r="Z161" s="4">
        <v>1</v>
      </c>
      <c r="AA161" s="4">
        <v>0</v>
      </c>
      <c r="AB161" s="4">
        <v>0</v>
      </c>
      <c r="AC161" s="4">
        <v>0</v>
      </c>
      <c r="AD161" s="4">
        <v>0</v>
      </c>
      <c r="AE161" s="4" t="s">
        <v>45</v>
      </c>
      <c r="AF161" s="4" t="s">
        <v>45</v>
      </c>
      <c r="AG161" s="49" t="s">
        <v>389</v>
      </c>
      <c r="AH161" s="4" t="s">
        <v>45</v>
      </c>
      <c r="AI161" s="4">
        <v>0</v>
      </c>
      <c r="AJ161" s="4">
        <v>0</v>
      </c>
      <c r="AK161" s="4">
        <v>0</v>
      </c>
      <c r="AL161" s="4">
        <v>0</v>
      </c>
      <c r="AM161" s="4">
        <v>1</v>
      </c>
      <c r="AN161" s="44" t="s">
        <v>40</v>
      </c>
      <c r="AO161" s="8">
        <f t="shared" si="57"/>
        <v>41026.757981907132</v>
      </c>
      <c r="AP161" s="8">
        <f>IFERROR(C161*_xlfn.XLOOKUP(E161,Groups!A:A,Groups!K:K),0.106*C161^0.94)</f>
        <v>32.207331250000003</v>
      </c>
      <c r="AQ161" s="8">
        <f>AP161*10000/(_xlfn.XLOOKUP(E161,Groups!A:A,Groups!J:J)*AO161)</f>
        <v>7.2021314319136884</v>
      </c>
      <c r="AR161" s="8">
        <f t="shared" si="58"/>
        <v>5926.3140534184322</v>
      </c>
      <c r="AS161" s="8">
        <f>IF(_xlfn.XLOOKUP(E161,Groups!A:A,Groups!M:M)=1,EXP(0.7444*LN('Base stats'!C161)+6.5696),EXP(0.7927*LN('Base stats'!C161)+4.28))</f>
        <v>5897.9998550801383</v>
      </c>
      <c r="AT161" s="8">
        <f>IF(_xlfn.XLOOKUP(E161,Groups!A:A,Groups!N:N)="No","No",
IF(_xlfn.XLOOKUP(E161,Groups!A:A,Groups!N:N)="Crocodile",EXP(0.8129*LN(C161)+4.6742)*S161,
IF(_xlfn.XLOOKUP(E161,Groups!A:A,Groups!N:N)="Felid",EXP(0.7843*LN(C161)+4.7073)*S161,
IF(_xlfn.XLOOKUP(E161,Groups!A:A,Groups!N:N)="Canid",EXP(0.8367*LN(C161)+4.8763)*S161,
IF(_xlfn.XLOOKUP(E161,Groups!A:A,Groups!N:N)="Pig",EXP(0.3439*LN(C161)+6.8519)*S161,
IF(_xlfn.XLOOKUP(E161,Groups!A:A,Groups!N:N)="Rodent",EXP(0.5625*LN(C161)+4.3006)*S161,
IF(_xlfn.XLOOKUP(E161,Groups!A:A,Groups!N:N)="Primate",EXP(0.7847*LN(C161)+3.4931)*S161,
IF(_xlfn.XLOOKUP(E161,Groups!A:A,Groups!N:N)="MiscCarnivora",EXP(0.7486*LN(C161)+4.2207)*S161,
IF(_xlfn.XLOOKUP(E161,Groups!A:A,Groups!N:N)="Lizard",EXP(0.7733*LN(C161)+5.5303)*S161,
IF(_xlfn.XLOOKUP(E161,Groups!A:A,Groups!N:N)="Snake",50*C161^(2/3)*S161,
IF(_xlfn.XLOOKUP(E161,Groups!A:A,Groups!N:N)="StrongBitingHerbivore",87.1133638856975*C161^(2/3)*S161,
IF(_xlfn.XLOOKUP(E161,Groups!A:A,Groups!N:N)="MiscEctotherms",59.4316884072269*C161^(2/3)*S161,
IF(_xlfn.XLOOKUP(E161,Groups!A:A,Groups!N:N)="StrongBeakBird",0.041*(C161*1000)^1.375*S161,
IF(_xlfn.XLOOKUP(E161,Groups!A:A,Groups!N:N)="Bird",0.118*(C161*1000)^0.692*S161,
IF(_xlfn.XLOOKUP(E161,Groups!A:A,Groups!N:N)="Insect",EXP(0.7444*LN(C161)+6.5696)*S161,
IF(_xlfn.XLOOKUP(E161,Groups!A:A,Groups!N:N)="Theropod",EXP(0.6966*LN(C161)+4.158)*S161,
"No"))))))))))))))))</f>
        <v>8630.1572786131164</v>
      </c>
      <c r="AU161" s="8">
        <f>IF(_xlfn.XLOOKUP(E161,Groups!A:A,Groups!U:U)=3,AS161,IF(_xlfn.XLOOKUP(E161,Groups!A:A,Groups!U:U)=2,AR161,AT161))</f>
        <v>8630.1572786131164</v>
      </c>
      <c r="AV161" s="46">
        <f>IFERROR(AVERAGE(_xlfn.XLOOKUP(B161,Animals!B:B,Animals!N:N),_xlfn.XLOOKUP(B161,Animals!B:B,Animals!O:O)),0)</f>
        <v>0</v>
      </c>
      <c r="AW161" s="8">
        <f>MROUND(40*Animals!AO161*_xlfn.XLOOKUP(AG161,Leathers!$A$2:$A$99,Leathers!$B$2:$B$99,0)+(140*_xlfn.XLOOKUP(B161,Animals!B:B,Animals!AO:AO)*2),5)</f>
        <v>895</v>
      </c>
      <c r="AX161" s="8">
        <f>IFERROR(ROUND(SQRT(V161-1)*IF(_xlfn.XLOOKUP(E161,Groups!A:A,Groups!BF:BF)=0,2,1)*IF(_xlfn.XLOOKUP('Base stats'!E161,Groups!A:A,Groups!O:O)=0,1,0.1),1),0)</f>
        <v>8.1999999999999993</v>
      </c>
      <c r="AY161" s="8">
        <f t="shared" si="59"/>
        <v>3.3</v>
      </c>
      <c r="AZ161" s="8">
        <f t="shared" si="60"/>
        <v>0</v>
      </c>
      <c r="BA161" s="8">
        <f t="shared" si="61"/>
        <v>5.9</v>
      </c>
      <c r="BB161" s="8">
        <f>IF(_xlfn.XLOOKUP(E161,Groups!A:A,Groups!N:N)="Insect",BD161*2.5,IFERROR(AVERAGE(BD161,AT161/9.81/IF(OR(_xlfn.XLOOKUP(E161,Groups!A:A,Groups!N:N)="Pig",_xlfn.XLOOKUP(E161,Groups!A:A,Groups!N:N)="StrongBitingHerbivore"),20,25))*C161^-0.135,BD161))</f>
        <v>9.248552897053484</v>
      </c>
      <c r="BC161" s="8" t="str">
        <f>IF(W161="No","No",IF(_xlfn.XLOOKUP(E161,Groups!A:A,Groups!U:U)=1,'Base stats'!BB161,IF(OR(_xlfn.XLOOKUP(E161,Groups!A:A,Groups!BD:BD)=1,_xlfn.XLOOKUP(E161,Groups!A:A,Groups!U:U)=2),BD161,IF(_xlfn.XLOOKUP(B161,Animals!B:B,Animals!AO:AO)&gt;4,AVERAGE(BD161,BF161),BF161))))</f>
        <v>No</v>
      </c>
      <c r="BD161" s="8">
        <f t="shared" si="62"/>
        <v>3.9590114275612853</v>
      </c>
      <c r="BE161" s="8">
        <f>IF(_xlfn.XLOOKUP(E161,Groups!A:A,Groups!BE:BE)=1,(0.048*C161^1.01)+(0.071*C161^1.03),0.071*C161^1.03)/IF(_xlfn.XLOOKUP(E161,Groups!A:A,Groups!M:M)=1,0.85,IF(OR(_xlfn.XLOOKUP(B161,Animals!B:B,Animals!AO:AO)&gt;4,_xlfn.XLOOKUP(E161,Groups!A:A,Groups!BC:BC)=1),1.7,1))*C161^-0.25</f>
        <v>5.4019606160175808</v>
      </c>
      <c r="BF161" s="8">
        <f>(0.048*C161^1.01)/IF(_xlfn.XLOOKUP(E161,Groups!A:A,Groups!M:M)=1,0.25,0.8)*C161^-0.25</f>
        <v>4.0851314108106207</v>
      </c>
      <c r="BG161" s="8">
        <f>EXP(1.076*LN(AR161)-4.5397)*IF(_xlfn.XLOOKUP(E161,Groups!A:A,Groups!BC:BC)=1,1.25,IF(_xlfn.XLOOKUP(E161,Groups!A:A,Groups!BD:BD)=1,3.5,2.5))</f>
        <v>306.1185488200893</v>
      </c>
      <c r="BH161" s="8">
        <f>EXP(1.076*LN(AS161)-4.5397)*IF(_xlfn.XLOOKUP(E161,Groups!A:A,Groups!M:M)=1,0.8,IF(_xlfn.XLOOKUP(E161,Groups!A:A,Groups!BC:BC)=1,1.3,3))</f>
        <v>365.45416376770896</v>
      </c>
      <c r="BI161" s="8" t="str">
        <f>IF(W161="No","No",IF(_xlfn.XLOOKUP(E161,Groups!A:A,Groups!U:U)=1,'Base stats'!BJ161,IF(OR(_xlfn.XLOOKUP(E161,Groups!A:A,Groups!BD:BD)=1,_xlfn.XLOOKUP(E161,Groups!A:A,Groups!U:U)=2),BG161,BH161))*1.2)</f>
        <v>No</v>
      </c>
      <c r="BJ161" s="8">
        <f>IFERROR(EXP(1.076*LN(AT161)-4.5397)*IF(_xlfn.XLOOKUP(E161,Groups!A:A,Groups!N:N)="Insect",1,IF(OR(_xlfn.XLOOKUP(E161,Groups!A:A,Groups!N:N)="Pig",_xlfn.XLOOKUP(E161,Groups!A:A,Groups!N:N)="StrongBitingHerbivore"),3.5,3.75)),"No")</f>
        <v>688.05117482476794</v>
      </c>
      <c r="BK161" s="8">
        <f t="shared" si="63"/>
        <v>12</v>
      </c>
      <c r="BL161" s="8">
        <f t="shared" si="64"/>
        <v>11</v>
      </c>
      <c r="BM161" s="8" t="str">
        <f t="shared" si="65"/>
        <v>No</v>
      </c>
      <c r="BN161" s="8">
        <f t="shared" si="66"/>
        <v>12</v>
      </c>
      <c r="BO161" s="8">
        <f t="shared" si="67"/>
        <v>13</v>
      </c>
      <c r="BP161" s="8" cm="1">
        <f t="array" ref="BP161">IF(AND(_xlfn.XLOOKUP('Base stats'!E161,Groups!A:A,Groups!AD:AD=0),_xlfn.XLOOKUP('Base stats'!E161,Groups!A:A,Groups!P:P=0)),"No",IF(U161="No",AVERAGE(EXP(-0.57+0.99*LN(C161)),EXP(0.32+0.67*LN(C161)))/IF(_xlfn.XLOOKUP(E161,Groups!A:A,Groups!AD:AD)=1,10,2),(0.7354*C161^0.4078)*2/IF(_xlfn.XLOOKUP(E161,Groups!A:A,Groups!BK:BK)=1,1000,100)/IF(_xlfn.XLOOKUP(E161,Groups!A:A,Groups!AJ:AJ)="Photonozoa",3,1)))</f>
        <v>0.14162249008456379</v>
      </c>
      <c r="BQ161" s="8" t="str">
        <f>IF(W161="No","No",IF(_xlfn.XLOOKUP(E161,Groups!A:A,Groups!BD:BD)=1,(AO161*5%),EXP(0.7354*LN(C161)^0.4078)*2/IF(_xlfn.XLOOKUP(E161,Groups!A:A,Groups!BL:BL)=1,1000,100)/IF(_xlfn.XLOOKUP(E161,Groups!A:A,Groups!AJ:AJ)="Photonozoa",3,1)))</f>
        <v>No</v>
      </c>
      <c r="BR161" s="8">
        <f>IF(BJ161="No","No",IF(_xlfn.XLOOKUP(E161,Groups!A:A,Groups!BF:BF)=1,(0.0315*C161+2.1825)*2,(0.7354*C161^0.4078)*2)/IF(_xlfn.XLOOKUP(E161,Groups!A:A,Groups!BM:BM)=1,1000,100)/IF(_xlfn.XLOOKUP(E161,Groups!A:A,Groups!AJ:AJ)="Photonozoa",3,1))</f>
        <v>0.14162249008456379</v>
      </c>
      <c r="BS161" s="8">
        <f t="shared" si="68"/>
        <v>0.14922872967690409</v>
      </c>
      <c r="BT161" s="8">
        <f t="shared" si="69"/>
        <v>2580.4811336779467</v>
      </c>
      <c r="BU161" s="8" t="str">
        <f t="shared" si="70"/>
        <v>No</v>
      </c>
      <c r="BV161" s="8">
        <f t="shared" si="71"/>
        <v>4858.3468234030324</v>
      </c>
      <c r="BW161" s="4">
        <v>0</v>
      </c>
      <c r="BX161" s="4">
        <v>1</v>
      </c>
    </row>
    <row r="162" spans="1:76" s="16" customFormat="1" x14ac:dyDescent="0.25">
      <c r="A162" s="26" t="s">
        <v>1117</v>
      </c>
      <c r="B162" s="6" t="s">
        <v>1114</v>
      </c>
      <c r="C162" s="7">
        <v>1.095</v>
      </c>
      <c r="D162" s="7" t="s">
        <v>1115</v>
      </c>
      <c r="E162" s="7" t="str">
        <f>Groups!$A$13</f>
        <v>Bird</v>
      </c>
      <c r="F162" s="7" t="str">
        <f t="shared" ref="F162:F165" si="75">"Lay eggs"</f>
        <v>Lay eggs</v>
      </c>
      <c r="G162" s="7">
        <f>240/365</f>
        <v>0.65753424657534243</v>
      </c>
      <c r="H162" s="7">
        <v>27</v>
      </c>
      <c r="I162" s="4">
        <v>0</v>
      </c>
      <c r="J162" s="7" t="str">
        <f t="shared" ref="J162" si="76">"Lay eggs"</f>
        <v>Lay eggs</v>
      </c>
      <c r="K162" s="7" t="s">
        <v>1115</v>
      </c>
      <c r="L162" s="7">
        <f>10*1.60934</f>
        <v>16.093399999999999</v>
      </c>
      <c r="M162" s="7" t="s">
        <v>628</v>
      </c>
      <c r="N162" s="4">
        <v>0</v>
      </c>
      <c r="O162" s="4">
        <v>0</v>
      </c>
      <c r="P162" s="4">
        <v>0</v>
      </c>
      <c r="Q162" s="4">
        <v>0</v>
      </c>
      <c r="R162" s="4" t="s">
        <v>40</v>
      </c>
      <c r="S162" s="7">
        <f>_xlfn.XLOOKUP(B162,[1]TeethAdjusters!$A:$A,[1]BiteAdjusters!$C:$C,1)</f>
        <v>1</v>
      </c>
      <c r="T162" s="7">
        <f>_xlfn.XLOOKUP(B162,[1]TeethAdjusters!$A:$A,[1]TeethAdjusters!$B:$B,1)</f>
        <v>1</v>
      </c>
      <c r="U162" s="7">
        <v>0.75</v>
      </c>
      <c r="V162" s="7">
        <v>1</v>
      </c>
      <c r="W162" s="7" t="s">
        <v>45</v>
      </c>
      <c r="X162" s="7" t="s">
        <v>932</v>
      </c>
      <c r="Y162" s="4" t="s">
        <v>42</v>
      </c>
      <c r="Z162" s="4">
        <v>1</v>
      </c>
      <c r="AA162" s="4">
        <v>0</v>
      </c>
      <c r="AB162" s="4">
        <v>0</v>
      </c>
      <c r="AC162" s="4">
        <v>0</v>
      </c>
      <c r="AD162" s="4">
        <v>0</v>
      </c>
      <c r="AE162" s="4" t="s">
        <v>45</v>
      </c>
      <c r="AF162" s="4" t="s">
        <v>399</v>
      </c>
      <c r="AG162" s="49" t="s">
        <v>45</v>
      </c>
      <c r="AH162" s="4" t="s">
        <v>45</v>
      </c>
      <c r="AI162" s="4">
        <v>0</v>
      </c>
      <c r="AJ162" s="4">
        <v>0</v>
      </c>
      <c r="AK162" s="4">
        <v>0</v>
      </c>
      <c r="AL162" s="4">
        <v>0</v>
      </c>
      <c r="AM162" s="4">
        <v>1</v>
      </c>
      <c r="AN162" s="44" t="s">
        <v>40</v>
      </c>
      <c r="AO162" s="8">
        <f t="shared" si="57"/>
        <v>1177.4491384447158</v>
      </c>
      <c r="AP162" s="8">
        <f>IFERROR(C162*_xlfn.XLOOKUP(E162,Groups!A:A,Groups!K:K),0.106*C162^0.94)</f>
        <v>0.11543968613278187</v>
      </c>
      <c r="AQ162" s="8">
        <f>AP162*10000/(_xlfn.XLOOKUP(E162,Groups!A:A,Groups!J:J)*AO162)</f>
        <v>0.89946958616871342</v>
      </c>
      <c r="AR162" s="8">
        <f t="shared" si="58"/>
        <v>58.712943827064578</v>
      </c>
      <c r="AS162" s="8">
        <f>IF(_xlfn.XLOOKUP(E162,Groups!A:A,Groups!M:M)=1,EXP(0.7444*LN('Base stats'!C162)+6.5696),EXP(0.7927*LN('Base stats'!C162)+4.28))</f>
        <v>77.628993405123524</v>
      </c>
      <c r="AT162" s="8">
        <f>IF(_xlfn.XLOOKUP(E162,Groups!A:A,Groups!N:N)="No","No",
IF(_xlfn.XLOOKUP(E162,Groups!A:A,Groups!N:N)="Crocodile",EXP(0.8129*LN(C162)+4.6742)*S162,
IF(_xlfn.XLOOKUP(E162,Groups!A:A,Groups!N:N)="Felid",EXP(0.7843*LN(C162)+4.7073)*S162,
IF(_xlfn.XLOOKUP(E162,Groups!A:A,Groups!N:N)="Canid",EXP(0.8367*LN(C162)+4.8763)*S162,
IF(_xlfn.XLOOKUP(E162,Groups!A:A,Groups!N:N)="Pig",EXP(0.3439*LN(C162)+6.8519)*S162,
IF(_xlfn.XLOOKUP(E162,Groups!A:A,Groups!N:N)="Rodent",EXP(0.5625*LN(C162)+4.3006)*S162,
IF(_xlfn.XLOOKUP(E162,Groups!A:A,Groups!N:N)="Primate",EXP(0.7847*LN(C162)+3.4931)*S162,
IF(_xlfn.XLOOKUP(E162,Groups!A:A,Groups!N:N)="MiscCarnivora",EXP(0.7486*LN(C162)+4.2207)*S162,
IF(_xlfn.XLOOKUP(E162,Groups!A:A,Groups!N:N)="Lizard",EXP(0.7733*LN(C162)+5.5303)*S162,
IF(_xlfn.XLOOKUP(E162,Groups!A:A,Groups!N:N)="Snake",50*C162^(2/3)*S162,
IF(_xlfn.XLOOKUP(E162,Groups!A:A,Groups!N:N)="StrongBitingHerbivore",87.1133638856975*C162^(2/3)*S162,
IF(_xlfn.XLOOKUP(E162,Groups!A:A,Groups!N:N)="MiscEctotherms",59.4316884072269*C162^(2/3)*S162,
IF(_xlfn.XLOOKUP(E162,Groups!A:A,Groups!N:N)="StrongBeakBird",0.041*(C162*1000)^1.375*S162,
IF(_xlfn.XLOOKUP(E162,Groups!A:A,Groups!N:N)="Bird",0.118*(C162*1000)^0.692*S162,
IF(_xlfn.XLOOKUP(E162,Groups!A:A,Groups!N:N)="Insect",EXP(0.7444*LN(C162)+6.5696)*S162,
IF(_xlfn.XLOOKUP(E162,Groups!A:A,Groups!N:N)="Theropod",EXP(0.6966*LN(C162)+4.158)*S162,
"No"))))))))))))))))</f>
        <v>14.967751966566047</v>
      </c>
      <c r="AU162" s="8">
        <f>IF(_xlfn.XLOOKUP(E162,Groups!A:A,Groups!U:U)=3,AS162,IF(_xlfn.XLOOKUP(E162,Groups!A:A,Groups!U:U)=2,AR162,AT162))</f>
        <v>14.967751966566047</v>
      </c>
      <c r="AV162" s="46">
        <f>IFERROR(AVERAGE(_xlfn.XLOOKUP(B162,Animals!B:B,Animals!N:N),_xlfn.XLOOKUP(B162,Animals!B:B,Animals!O:O)),0)</f>
        <v>0</v>
      </c>
      <c r="AW162" s="8">
        <f>MROUND(40*Animals!AO162*_xlfn.XLOOKUP(AG162,Leathers!$A$2:$A$99,Leathers!$B$2:$B$99,0)+(140*_xlfn.XLOOKUP(B162,Animals!B:B,Animals!AO:AO)*2),5)</f>
        <v>40</v>
      </c>
      <c r="AX162" s="8">
        <f>IFERROR(ROUND(SQRT(V162-1)*IF(_xlfn.XLOOKUP(E162,Groups!A:A,Groups!BF:BF)=0,2,1)*IF(_xlfn.XLOOKUP('Base stats'!E162,Groups!A:A,Groups!O:O)=0,1,0.1),1),0)</f>
        <v>0</v>
      </c>
      <c r="AY162" s="8">
        <f t="shared" si="59"/>
        <v>0</v>
      </c>
      <c r="AZ162" s="8">
        <f t="shared" si="60"/>
        <v>0</v>
      </c>
      <c r="BA162" s="8">
        <f t="shared" si="61"/>
        <v>0.6</v>
      </c>
      <c r="BB162" s="8">
        <f>IF(_xlfn.XLOOKUP(E162,Groups!A:A,Groups!N:N)="Insect",BD162*2.5,IFERROR(AVERAGE(BD162,AT162/9.81/IF(OR(_xlfn.XLOOKUP(E162,Groups!A:A,Groups!N:N)="Pig",_xlfn.XLOOKUP(E162,Groups!A:A,Groups!N:N)="StrongBitingHerbivore"),20,25))*C162^-0.135,BD162))</f>
        <v>5.0876289940800463E-2</v>
      </c>
      <c r="BC162" s="8" t="str">
        <f>IF(W162="No","No",IF(_xlfn.XLOOKUP(E162,Groups!A:A,Groups!U:U)=1,'Base stats'!BB162,IF(OR(_xlfn.XLOOKUP(E162,Groups!A:A,Groups!BD:BD)=1,_xlfn.XLOOKUP(E162,Groups!A:A,Groups!U:U)=2),BD162,IF(_xlfn.XLOOKUP(B162,Animals!B:B,Animals!AO:AO)&gt;4,AVERAGE(BD162,BF162),BF162))))</f>
        <v>No</v>
      </c>
      <c r="BD162" s="8">
        <f t="shared" si="62"/>
        <v>4.1976315254226217E-2</v>
      </c>
      <c r="BE162" s="8">
        <f>IF(_xlfn.XLOOKUP(E162,Groups!A:A,Groups!BE:BE)=1,(0.048*C162^1.01)+(0.071*C162^1.03),0.071*C162^1.03)/IF(_xlfn.XLOOKUP(E162,Groups!A:A,Groups!M:M)=1,0.85,IF(OR(_xlfn.XLOOKUP(B162,Animals!B:B,Animals!AO:AO)&gt;4,_xlfn.XLOOKUP(E162,Groups!A:A,Groups!BC:BC)=1),1.7,1))*C162^-0.25</f>
        <v>0.1276357056753028</v>
      </c>
      <c r="BF162" s="8">
        <f>(0.048*C162^1.01)/IF(_xlfn.XLOOKUP(E162,Groups!A:A,Groups!M:M)=1,0.25,0.8)*C162^-0.25</f>
        <v>6.4284457164961284E-2</v>
      </c>
      <c r="BG162" s="8">
        <f>EXP(1.076*LN(AR162)-4.5397)*IF(_xlfn.XLOOKUP(E162,Groups!A:A,Groups!BC:BC)=1,1.25,IF(_xlfn.XLOOKUP(E162,Groups!A:A,Groups!BD:BD)=1,3.5,2.5))</f>
        <v>2.1356544176878636</v>
      </c>
      <c r="BH162" s="8">
        <f>EXP(1.076*LN(AS162)-4.5397)*IF(_xlfn.XLOOKUP(E162,Groups!A:A,Groups!M:M)=1,0.8,IF(_xlfn.XLOOKUP(E162,Groups!A:A,Groups!BC:BC)=1,1.3,3))</f>
        <v>3.4611495964570245</v>
      </c>
      <c r="BI162" s="8" t="str">
        <f>IF(W162="No","No",IF(_xlfn.XLOOKUP(E162,Groups!A:A,Groups!U:U)=1,'Base stats'!BJ162,IF(OR(_xlfn.XLOOKUP(E162,Groups!A:A,Groups!BD:BD)=1,_xlfn.XLOOKUP(E162,Groups!A:A,Groups!U:U)=2),BG162,BH162))*1.2)</f>
        <v>No</v>
      </c>
      <c r="BJ162" s="8">
        <f>IFERROR(EXP(1.076*LN(AT162)-4.5397)*IF(_xlfn.XLOOKUP(E162,Groups!A:A,Groups!N:N)="Insect",1,IF(OR(_xlfn.XLOOKUP(E162,Groups!A:A,Groups!N:N)="Pig",_xlfn.XLOOKUP(E162,Groups!A:A,Groups!N:N)="StrongBitingHerbivore"),3.5,3.75)),"No")</f>
        <v>0.73609367485438459</v>
      </c>
      <c r="BK162" s="8">
        <f t="shared" si="63"/>
        <v>10</v>
      </c>
      <c r="BL162" s="8">
        <f t="shared" si="64"/>
        <v>7</v>
      </c>
      <c r="BM162" s="8" t="str">
        <f t="shared" si="65"/>
        <v>No</v>
      </c>
      <c r="BN162" s="8">
        <f t="shared" si="66"/>
        <v>5</v>
      </c>
      <c r="BO162" s="8">
        <f t="shared" si="67"/>
        <v>10</v>
      </c>
      <c r="BP162" s="8" cm="1">
        <f t="array" ref="BP162">IF(AND(_xlfn.XLOOKUP('Base stats'!E162,Groups!A:A,Groups!AD:AD=0),_xlfn.XLOOKUP('Base stats'!E162,Groups!A:A,Groups!P:P=0)),"No",IF(U162="No",AVERAGE(EXP(-0.57+0.99*LN(C162)),EXP(0.32+0.67*LN(C162)))/IF(_xlfn.XLOOKUP(E162,Groups!A:A,Groups!AD:AD)=1,10,2),(0.7354*C162^0.4078)*2/IF(_xlfn.XLOOKUP(E162,Groups!A:A,Groups!BK:BK)=1,1000,100)/IF(_xlfn.XLOOKUP(E162,Groups!A:A,Groups!AJ:AJ)="Photonozoa",3,1)))</f>
        <v>1.5262535917941055E-2</v>
      </c>
      <c r="BQ162" s="8" t="str">
        <f>IF(W162="No","No",IF(_xlfn.XLOOKUP(E162,Groups!A:A,Groups!BD:BD)=1,(AO162*5%),EXP(0.7354*LN(C162)^0.4078)*2/IF(_xlfn.XLOOKUP(E162,Groups!A:A,Groups!BL:BL)=1,1000,100)/IF(_xlfn.XLOOKUP(E162,Groups!A:A,Groups!AJ:AJ)="Photonozoa",3,1)))</f>
        <v>No</v>
      </c>
      <c r="BR162" s="8">
        <f>IF(BJ162="No","No",IF(_xlfn.XLOOKUP(E162,Groups!A:A,Groups!BF:BF)=1,(0.0315*C162+2.1825)*2,(0.7354*C162^0.4078)*2)/IF(_xlfn.XLOOKUP(E162,Groups!A:A,Groups!BM:BM)=1,1000,100)/IF(_xlfn.XLOOKUP(E162,Groups!A:A,Groups!AJ:AJ)="Photonozoa",3,1))</f>
        <v>1.5262535917941055E-2</v>
      </c>
      <c r="BS162" s="8">
        <f t="shared" si="68"/>
        <v>3.6275951936384006E-2</v>
      </c>
      <c r="BT162" s="8">
        <f t="shared" si="69"/>
        <v>226.77421465645534</v>
      </c>
      <c r="BU162" s="8" t="str">
        <f t="shared" si="70"/>
        <v>No</v>
      </c>
      <c r="BV162" s="8">
        <f t="shared" si="71"/>
        <v>48.2287923063368</v>
      </c>
      <c r="BW162" s="4">
        <v>0</v>
      </c>
      <c r="BX162" s="4">
        <v>1</v>
      </c>
    </row>
    <row r="163" spans="1:76" s="16" customFormat="1" x14ac:dyDescent="0.25">
      <c r="A163" s="26" t="s">
        <v>1126</v>
      </c>
      <c r="B163" s="6" t="s">
        <v>1118</v>
      </c>
      <c r="C163" s="7">
        <v>64.474999999999994</v>
      </c>
      <c r="D163" s="7" t="s">
        <v>1127</v>
      </c>
      <c r="E163" s="7" t="str">
        <f>Groups!$A$45</f>
        <v>Ape</v>
      </c>
      <c r="F163" s="7">
        <v>249</v>
      </c>
      <c r="G163" s="7">
        <f>2555  /365</f>
        <v>7</v>
      </c>
      <c r="H163" s="7">
        <v>59</v>
      </c>
      <c r="I163" s="4">
        <v>1</v>
      </c>
      <c r="J163" s="7">
        <v>1</v>
      </c>
      <c r="K163" s="7" t="s">
        <v>1127</v>
      </c>
      <c r="L163" s="7">
        <v>32</v>
      </c>
      <c r="M163" s="7" t="s">
        <v>626</v>
      </c>
      <c r="N163" s="4">
        <v>0</v>
      </c>
      <c r="O163" s="4">
        <v>0</v>
      </c>
      <c r="P163" s="4">
        <v>0</v>
      </c>
      <c r="Q163" s="4">
        <v>0</v>
      </c>
      <c r="R163" s="4" t="s">
        <v>40</v>
      </c>
      <c r="S163" s="7">
        <f>_xlfn.XLOOKUP(B163,[1]TeethAdjusters!$A:$A,[1]BiteAdjusters!$C:$C,1)</f>
        <v>1.8280676541174832</v>
      </c>
      <c r="T163" s="7">
        <f>_xlfn.XLOOKUP(B163,[1]TeethAdjusters!$A:$A,[1]TeethAdjusters!$B:$B,1)</f>
        <v>0.823477289474559</v>
      </c>
      <c r="U163" s="7" t="s">
        <v>45</v>
      </c>
      <c r="V163" s="7">
        <f>IF(AT163="No","No",IF(_xlfn.XLOOKUP(E163,Groups!A:A,Groups!AM:AM)=1,MROUND(EXP(0.3582*LN(C163)-0.2221)*T163,0.05),IF(_xlfn.XLOOKUP(E163,Groups!A:A,Groups!AM:AM)=2,MROUND(EXP(0.3582*LN(C163)-0.2221)*T163,0.05),"Need a formula")))</f>
        <v>2.95</v>
      </c>
      <c r="W163" s="7" t="s">
        <v>45</v>
      </c>
      <c r="X163" s="7" t="s">
        <v>932</v>
      </c>
      <c r="Y163" s="4" t="s">
        <v>42</v>
      </c>
      <c r="Z163" s="4">
        <v>1</v>
      </c>
      <c r="AA163" s="4">
        <v>0</v>
      </c>
      <c r="AB163" s="4">
        <v>0</v>
      </c>
      <c r="AC163" s="4">
        <v>0</v>
      </c>
      <c r="AD163" s="4">
        <v>0</v>
      </c>
      <c r="AE163" s="4" t="s">
        <v>45</v>
      </c>
      <c r="AF163" s="4" t="s">
        <v>45</v>
      </c>
      <c r="AG163" s="49" t="s">
        <v>385</v>
      </c>
      <c r="AH163" s="4" t="str">
        <f>Animals!$C$31</f>
        <v>&lt;li&gt;Monkey&lt;/li&gt;</v>
      </c>
      <c r="AI163" s="4">
        <v>0</v>
      </c>
      <c r="AJ163" s="4">
        <v>0</v>
      </c>
      <c r="AK163" s="4">
        <v>0</v>
      </c>
      <c r="AL163" s="4">
        <v>0</v>
      </c>
      <c r="AM163" s="4">
        <v>1</v>
      </c>
      <c r="AN163" s="44" t="s">
        <v>40</v>
      </c>
      <c r="AO163" s="8">
        <f t="shared" si="57"/>
        <v>16650.502963247593</v>
      </c>
      <c r="AP163" s="8">
        <f>IFERROR(C163*_xlfn.XLOOKUP(E163,Groups!A:A,Groups!K:K),0.106*C163^0.94)</f>
        <v>5.3227213993454852</v>
      </c>
      <c r="AQ163" s="8">
        <f>AP163*10000/(_xlfn.XLOOKUP(E163,Groups!A:A,Groups!J:J)*AO163)</f>
        <v>2.9327826627099767</v>
      </c>
      <c r="AR163" s="8">
        <f t="shared" si="58"/>
        <v>1835.8349084230915</v>
      </c>
      <c r="AS163" s="8">
        <f>IF(_xlfn.XLOOKUP(E163,Groups!A:A,Groups!M:M)=1,EXP(0.7444*LN('Base stats'!C163)+6.5696),EXP(0.7927*LN('Base stats'!C163)+4.28))</f>
        <v>1963.7441592588623</v>
      </c>
      <c r="AT163" s="8">
        <f>IF(_xlfn.XLOOKUP(E163,Groups!A:A,Groups!N:N)="No","No",
IF(_xlfn.XLOOKUP(E163,Groups!A:A,Groups!N:N)="Crocodile",EXP(0.8129*LN(C163)+4.6742)*S163,
IF(_xlfn.XLOOKUP(E163,Groups!A:A,Groups!N:N)="Felid",EXP(0.7843*LN(C163)+4.7073)*S163,
IF(_xlfn.XLOOKUP(E163,Groups!A:A,Groups!N:N)="Canid",EXP(0.8367*LN(C163)+4.8763)*S163,
IF(_xlfn.XLOOKUP(E163,Groups!A:A,Groups!N:N)="Pig",EXP(0.3439*LN(C163)+6.8519)*S163,
IF(_xlfn.XLOOKUP(E163,Groups!A:A,Groups!N:N)="Rodent",EXP(0.5625*LN(C163)+4.3006)*S163,
IF(_xlfn.XLOOKUP(E163,Groups!A:A,Groups!N:N)="Primate",EXP(0.7847*LN(C163)+3.4931)*S163,
IF(_xlfn.XLOOKUP(E163,Groups!A:A,Groups!N:N)="MiscCarnivora",EXP(0.7486*LN(C163)+4.2207)*S163,
IF(_xlfn.XLOOKUP(E163,Groups!A:A,Groups!N:N)="Lizard",EXP(0.7733*LN(C163)+5.5303)*S163,
IF(_xlfn.XLOOKUP(E163,Groups!A:A,Groups!N:N)="Snake",50*C163^(2/3)*S163,
IF(_xlfn.XLOOKUP(E163,Groups!A:A,Groups!N:N)="StrongBitingHerbivore",87.1133638856975*C163^(2/3)*S163,
IF(_xlfn.XLOOKUP(E163,Groups!A:A,Groups!N:N)="MiscEctotherms",59.4316884072269*C163^(2/3)*S163,
IF(_xlfn.XLOOKUP(E163,Groups!A:A,Groups!N:N)="StrongBeakBird",0.041*(C163*1000)^1.375*S163,
IF(_xlfn.XLOOKUP(E163,Groups!A:A,Groups!N:N)="Bird",0.118*(C163*1000)^0.692*S163,
IF(_xlfn.XLOOKUP(E163,Groups!A:A,Groups!N:N)="Insect",EXP(0.7444*LN(C163)+6.5696)*S163,
IF(_xlfn.XLOOKUP(E163,Groups!A:A,Groups!N:N)="Theropod",EXP(0.6966*LN(C163)+4.158)*S163,
"No"))))))))))))))))</f>
        <v>1580.7227800218652</v>
      </c>
      <c r="AU163" s="8">
        <f>IF(_xlfn.XLOOKUP(E163,Groups!A:A,Groups!U:U)=3,AS163,IF(_xlfn.XLOOKUP(E163,Groups!A:A,Groups!U:U)=2,AR163,AT163))</f>
        <v>1580.7227800218652</v>
      </c>
      <c r="AV163" s="46">
        <f>IFERROR(AVERAGE(_xlfn.XLOOKUP(B163,Animals!B:B,Animals!N:N),_xlfn.XLOOKUP(B163,Animals!B:B,Animals!O:O)),0)</f>
        <v>0</v>
      </c>
      <c r="AW163" s="8">
        <f>MROUND(40*Animals!AO163*_xlfn.XLOOKUP(AG163,Leathers!$A$2:$A$99,Leathers!$B$2:$B$99,0)+(140*_xlfn.XLOOKUP(B163,Animals!B:B,Animals!AO:AO)*2),5)</f>
        <v>340</v>
      </c>
      <c r="AX163" s="8">
        <f>IFERROR(ROUND(SQRT(V163-1)*IF(_xlfn.XLOOKUP(E163,Groups!A:A,Groups!BF:BF)=0,2,1)*IF(_xlfn.XLOOKUP('Base stats'!E163,Groups!A:A,Groups!O:O)=0,1,0.1),1),0)</f>
        <v>2.8</v>
      </c>
      <c r="AY163" s="8">
        <f t="shared" si="59"/>
        <v>0</v>
      </c>
      <c r="AZ163" s="8">
        <f t="shared" si="60"/>
        <v>0</v>
      </c>
      <c r="BA163" s="8">
        <f t="shared" si="61"/>
        <v>3.6</v>
      </c>
      <c r="BB163" s="8">
        <f>IF(_xlfn.XLOOKUP(E163,Groups!A:A,Groups!N:N)="Insect",BD163*2.5,IFERROR(AVERAGE(BD163,AT163/9.81/IF(OR(_xlfn.XLOOKUP(E163,Groups!A:A,Groups!N:N)="Pig",_xlfn.XLOOKUP(E163,Groups!A:A,Groups!N:N)="StrongBitingHerbivore"),20,25))*C163^-0.135,BD163))</f>
        <v>2.0947083310725234</v>
      </c>
      <c r="BC163" s="8" t="str">
        <f>IF(W163="No","No",IF(_xlfn.XLOOKUP(E163,Groups!A:A,Groups!U:U)=1,'Base stats'!BB163,IF(OR(_xlfn.XLOOKUP(E163,Groups!A:A,Groups!BD:BD)=1,_xlfn.XLOOKUP(E163,Groups!A:A,Groups!U:U)=2),BD163,IF(_xlfn.XLOOKUP(B163,Animals!B:B,Animals!AO:AO)&gt;4,AVERAGE(BD163,BF163),BF163))))</f>
        <v>No</v>
      </c>
      <c r="BD163" s="8">
        <f t="shared" si="62"/>
        <v>0.90691617051172224</v>
      </c>
      <c r="BE163" s="8">
        <f>IF(_xlfn.XLOOKUP(E163,Groups!A:A,Groups!BE:BE)=1,(0.048*C163^1.01)+(0.071*C163^1.03),0.071*C163^1.03)/IF(_xlfn.XLOOKUP(E163,Groups!A:A,Groups!M:M)=1,0.85,IF(OR(_xlfn.XLOOKUP(B163,Animals!B:B,Animals!AO:AO)&gt;4,_xlfn.XLOOKUP(E163,Groups!A:A,Groups!BC:BC)=1),1.7,1))*C163^-0.25</f>
        <v>1.8305584576939176</v>
      </c>
      <c r="BF163" s="8">
        <f>(0.048*C163^1.01)/IF(_xlfn.XLOOKUP(E163,Groups!A:A,Groups!M:M)=1,0.25,0.8)*C163^-0.25</f>
        <v>1.4232745281234689</v>
      </c>
      <c r="BG163" s="8">
        <f>EXP(1.076*LN(AR163)-4.5397)*IF(_xlfn.XLOOKUP(E163,Groups!A:A,Groups!BC:BC)=1,1.25,IF(_xlfn.XLOOKUP(E163,Groups!A:A,Groups!BD:BD)=1,3.5,2.5))</f>
        <v>86.747771791664036</v>
      </c>
      <c r="BH163" s="8">
        <f>EXP(1.076*LN(AS163)-4.5397)*IF(_xlfn.XLOOKUP(E163,Groups!A:A,Groups!M:M)=1,0.8,IF(_xlfn.XLOOKUP(E163,Groups!A:A,Groups!BC:BC)=1,1.3,3))</f>
        <v>111.92161143113256</v>
      </c>
      <c r="BI163" s="8" t="str">
        <f>IF(W163="No","No",IF(_xlfn.XLOOKUP(E163,Groups!A:A,Groups!U:U)=1,'Base stats'!BJ163,IF(OR(_xlfn.XLOOKUP(E163,Groups!A:A,Groups!BD:BD)=1,_xlfn.XLOOKUP(E163,Groups!A:A,Groups!U:U)=2),BG163,BH163))*1.2)</f>
        <v>No</v>
      </c>
      <c r="BJ163" s="8">
        <f>IFERROR(EXP(1.076*LN(AT163)-4.5397)*IF(_xlfn.XLOOKUP(E163,Groups!A:A,Groups!N:N)="Insect",1,IF(OR(_xlfn.XLOOKUP(E163,Groups!A:A,Groups!N:N)="Pig",_xlfn.XLOOKUP(E163,Groups!A:A,Groups!N:N)="StrongBitingHerbivore"),3.5,3.75)),"No")</f>
        <v>110.77285633492741</v>
      </c>
      <c r="BK163" s="8">
        <f t="shared" si="63"/>
        <v>13</v>
      </c>
      <c r="BL163" s="8">
        <f t="shared" si="64"/>
        <v>11</v>
      </c>
      <c r="BM163" s="8" t="str">
        <f t="shared" si="65"/>
        <v>No</v>
      </c>
      <c r="BN163" s="8">
        <f t="shared" si="66"/>
        <v>10</v>
      </c>
      <c r="BO163" s="8">
        <f t="shared" si="67"/>
        <v>12</v>
      </c>
      <c r="BP163" s="8" cm="1">
        <f t="array" ref="BP163">IF(AND(_xlfn.XLOOKUP('Base stats'!E163,Groups!A:A,Groups!AD:AD=0),_xlfn.XLOOKUP('Base stats'!E163,Groups!A:A,Groups!P:P=0)),"No",IF(U163="No",AVERAGE(EXP(-0.57+0.99*LN(C163)),EXP(0.32+0.67*LN(C163)))/IF(_xlfn.XLOOKUP(E163,Groups!A:A,Groups!AD:AD)=1,10,2),(0.7354*C163^0.4078)*2/IF(_xlfn.XLOOKUP(E163,Groups!A:A,Groups!BK:BK)=1,1000,100)/IF(_xlfn.XLOOKUP(E163,Groups!A:A,Groups!AJ:AJ)="Photonozoa",3,1)))</f>
        <v>2.8713467039960521</v>
      </c>
      <c r="BQ163" s="8" t="str">
        <f>IF(W163="No","No",IF(_xlfn.XLOOKUP(E163,Groups!A:A,Groups!BD:BD)=1,(AO163*5%),EXP(0.7354*LN(C163)^0.4078)*2/IF(_xlfn.XLOOKUP(E163,Groups!A:A,Groups!BL:BL)=1,1000,100)/IF(_xlfn.XLOOKUP(E163,Groups!A:A,Groups!AJ:AJ)="Photonozoa",3,1)))</f>
        <v>No</v>
      </c>
      <c r="BR163" s="8">
        <f>IF(BJ163="No","No",IF(_xlfn.XLOOKUP(E163,Groups!A:A,Groups!BF:BF)=1,(0.0315*C163+2.1825)*2,(0.7354*C163^0.4078)*2)/IF(_xlfn.XLOOKUP(E163,Groups!A:A,Groups!BM:BM)=1,1000,100)/IF(_xlfn.XLOOKUP(E163,Groups!A:A,Groups!AJ:AJ)="Photonozoa",3,1))</f>
        <v>8.0430989949293499E-2</v>
      </c>
      <c r="BS163" s="8">
        <f t="shared" si="68"/>
        <v>0.10419838005271204</v>
      </c>
      <c r="BT163" s="8">
        <f t="shared" si="69"/>
        <v>38.97878694877609</v>
      </c>
      <c r="BU163" s="8" t="str">
        <f t="shared" si="70"/>
        <v>No</v>
      </c>
      <c r="BV163" s="8">
        <f t="shared" si="71"/>
        <v>1377.2409913736294</v>
      </c>
      <c r="BW163" s="4">
        <v>0</v>
      </c>
      <c r="BX163" s="4">
        <v>1</v>
      </c>
    </row>
    <row r="164" spans="1:76" s="16" customFormat="1" x14ac:dyDescent="0.25">
      <c r="A164" s="26" t="s">
        <v>1138</v>
      </c>
      <c r="B164" s="6" t="s">
        <v>1121</v>
      </c>
      <c r="C164" s="7">
        <v>5</v>
      </c>
      <c r="D164" s="7" t="s">
        <v>528</v>
      </c>
      <c r="E164" s="7" t="str">
        <f>Groups!$A$13</f>
        <v>Bird</v>
      </c>
      <c r="F164" s="7" t="str">
        <f t="shared" si="75"/>
        <v>Lay eggs</v>
      </c>
      <c r="G164" s="7" t="s">
        <v>1700</v>
      </c>
      <c r="H164" s="7">
        <v>25</v>
      </c>
      <c r="I164" s="4">
        <v>1</v>
      </c>
      <c r="J164" s="7" t="str">
        <f t="shared" ref="J164:J165" si="77">"Lay eggs"</f>
        <v>Lay eggs</v>
      </c>
      <c r="K164" s="7" t="s">
        <v>528</v>
      </c>
      <c r="L164" s="7">
        <v>25</v>
      </c>
      <c r="M164" s="7" t="s">
        <v>528</v>
      </c>
      <c r="N164" s="4">
        <v>0</v>
      </c>
      <c r="O164" s="4">
        <v>1</v>
      </c>
      <c r="P164" s="4">
        <v>0</v>
      </c>
      <c r="Q164" s="4">
        <v>0</v>
      </c>
      <c r="R164" s="4" t="s">
        <v>40</v>
      </c>
      <c r="S164" s="7">
        <f>_xlfn.XLOOKUP(B164,[1]TeethAdjusters!$A:$A,[1]BiteAdjusters!$C:$C,1)</f>
        <v>1</v>
      </c>
      <c r="T164" s="7">
        <f>_xlfn.XLOOKUP(B164,[1]TeethAdjusters!$A:$A,[1]TeethAdjusters!$B:$B,1)</f>
        <v>1</v>
      </c>
      <c r="U164" s="7">
        <f>MROUND(20.21/10,19.48/10)</f>
        <v>1.948</v>
      </c>
      <c r="V164" s="7">
        <f>MROUND(AVERAGE(2.06,1.78),0.05)</f>
        <v>1.9000000000000001</v>
      </c>
      <c r="W164" s="7" t="s">
        <v>45</v>
      </c>
      <c r="X164" s="7" t="s">
        <v>932</v>
      </c>
      <c r="Y164" s="4" t="s">
        <v>1003</v>
      </c>
      <c r="Z164" s="4">
        <v>1</v>
      </c>
      <c r="AA164" s="4">
        <v>0</v>
      </c>
      <c r="AB164" s="4">
        <v>0</v>
      </c>
      <c r="AC164" s="4">
        <v>0</v>
      </c>
      <c r="AD164" s="4">
        <v>0</v>
      </c>
      <c r="AE164" s="4" t="s">
        <v>45</v>
      </c>
      <c r="AF164" s="4" t="s">
        <v>45</v>
      </c>
      <c r="AG164" s="49" t="s">
        <v>375</v>
      </c>
      <c r="AH164" s="4" t="str">
        <f>Animals!$C$11</f>
        <v>&lt;li&gt;Chicken&lt;/li&gt;</v>
      </c>
      <c r="AI164" s="4">
        <v>0</v>
      </c>
      <c r="AJ164" s="4">
        <v>0</v>
      </c>
      <c r="AK164" s="4">
        <v>0</v>
      </c>
      <c r="AL164" s="4">
        <v>1</v>
      </c>
      <c r="AM164" s="4">
        <v>1</v>
      </c>
      <c r="AN164" s="44" t="s">
        <v>40</v>
      </c>
      <c r="AO164" s="8">
        <f t="shared" si="57"/>
        <v>3159.7555228095994</v>
      </c>
      <c r="AP164" s="8">
        <f>IFERROR(C164*_xlfn.XLOOKUP(E164,Groups!A:A,Groups!K:K),0.106*C164^0.94)</f>
        <v>0.48121335237829438</v>
      </c>
      <c r="AQ164" s="8">
        <f>AP164*10000/(_xlfn.XLOOKUP(E164,Groups!A:A,Groups!J:J)*AO164)</f>
        <v>1.3971971458223575</v>
      </c>
      <c r="AR164" s="8">
        <f t="shared" si="58"/>
        <v>211.76818398634828</v>
      </c>
      <c r="AS164" s="8">
        <f>IF(_xlfn.XLOOKUP(E164,Groups!A:A,Groups!M:M)=1,EXP(0.7444*LN('Base stats'!C164)+6.5696),EXP(0.7927*LN('Base stats'!C164)+4.28))</f>
        <v>258.73423965704086</v>
      </c>
      <c r="AT164" s="8">
        <f>IF(_xlfn.XLOOKUP(E164,Groups!A:A,Groups!N:N)="No","No",
IF(_xlfn.XLOOKUP(E164,Groups!A:A,Groups!N:N)="Crocodile",EXP(0.8129*LN(C164)+4.6742)*S164,
IF(_xlfn.XLOOKUP(E164,Groups!A:A,Groups!N:N)="Felid",EXP(0.7843*LN(C164)+4.7073)*S164,
IF(_xlfn.XLOOKUP(E164,Groups!A:A,Groups!N:N)="Canid",EXP(0.8367*LN(C164)+4.8763)*S164,
IF(_xlfn.XLOOKUP(E164,Groups!A:A,Groups!N:N)="Pig",EXP(0.3439*LN(C164)+6.8519)*S164,
IF(_xlfn.XLOOKUP(E164,Groups!A:A,Groups!N:N)="Rodent",EXP(0.5625*LN(C164)+4.3006)*S164,
IF(_xlfn.XLOOKUP(E164,Groups!A:A,Groups!N:N)="Primate",EXP(0.7847*LN(C164)+3.4931)*S164,
IF(_xlfn.XLOOKUP(E164,Groups!A:A,Groups!N:N)="MiscCarnivora",EXP(0.7486*LN(C164)+4.2207)*S164,
IF(_xlfn.XLOOKUP(E164,Groups!A:A,Groups!N:N)="Lizard",EXP(0.7733*LN(C164)+5.5303)*S164,
IF(_xlfn.XLOOKUP(E164,Groups!A:A,Groups!N:N)="Snake",50*C164^(2/3)*S164,
IF(_xlfn.XLOOKUP(E164,Groups!A:A,Groups!N:N)="StrongBitingHerbivore",87.1133638856975*C164^(2/3)*S164,
IF(_xlfn.XLOOKUP(E164,Groups!A:A,Groups!N:N)="MiscEctotherms",59.4316884072269*C164^(2/3)*S164,
IF(_xlfn.XLOOKUP(E164,Groups!A:A,Groups!N:N)="StrongBeakBird",0.041*(C164*1000)^1.375*S164,
IF(_xlfn.XLOOKUP(E164,Groups!A:A,Groups!N:N)="Bird",0.118*(C164*1000)^0.692*S164,
IF(_xlfn.XLOOKUP(E164,Groups!A:A,Groups!N:N)="Insect",EXP(0.7444*LN(C164)+6.5696)*S164,
IF(_xlfn.XLOOKUP(E164,Groups!A:A,Groups!N:N)="Theropod",EXP(0.6966*LN(C164)+4.158)*S164,
"No"))))))))))))))))</f>
        <v>42.812368048701295</v>
      </c>
      <c r="AU164" s="8">
        <f>IF(_xlfn.XLOOKUP(E164,Groups!A:A,Groups!U:U)=3,AS164,IF(_xlfn.XLOOKUP(E164,Groups!A:A,Groups!U:U)=2,AR164,AT164))</f>
        <v>42.812368048701295</v>
      </c>
      <c r="AV164" s="46">
        <f>IFERROR(AVERAGE(_xlfn.XLOOKUP(B164,Animals!B:B,Animals!N:N),_xlfn.XLOOKUP(B164,Animals!B:B,Animals!O:O)),0)</f>
        <v>0</v>
      </c>
      <c r="AW164" s="8">
        <f>MROUND(40*Animals!AO164*_xlfn.XLOOKUP(AG164,Leathers!$A$2:$A$99,Leathers!$B$2:$B$99,0)+(140*_xlfn.XLOOKUP(B164,Animals!B:B,Animals!AO:AO)*2),5)</f>
        <v>105</v>
      </c>
      <c r="AX164" s="8">
        <f>IFERROR(ROUND(SQRT(V164-1)*IF(_xlfn.XLOOKUP(E164,Groups!A:A,Groups!BF:BF)=0,2,1)*IF(_xlfn.XLOOKUP('Base stats'!E164,Groups!A:A,Groups!O:O)=0,1,0.1),1),0)</f>
        <v>0.1</v>
      </c>
      <c r="AY164" s="8">
        <f t="shared" si="59"/>
        <v>1</v>
      </c>
      <c r="AZ164" s="8">
        <f t="shared" si="60"/>
        <v>0</v>
      </c>
      <c r="BA164" s="8">
        <f t="shared" si="61"/>
        <v>1.1000000000000001</v>
      </c>
      <c r="BB164" s="8">
        <f>IF(_xlfn.XLOOKUP(E164,Groups!A:A,Groups!N:N)="Insect",BD164*2.5,IFERROR(AVERAGE(BD164,AT164/9.81/IF(OR(_xlfn.XLOOKUP(E164,Groups!A:A,Groups!N:N)="Pig",_xlfn.XLOOKUP(E164,Groups!A:A,Groups!N:N)="StrongBitingHerbivore"),20,25))*C164^-0.135,BD164))</f>
        <v>0.12331602252188387</v>
      </c>
      <c r="BC164" s="8" t="str">
        <f>IF(W164="No","No",IF(_xlfn.XLOOKUP(E164,Groups!A:A,Groups!U:U)=1,'Base stats'!BB164,IF(OR(_xlfn.XLOOKUP(E164,Groups!A:A,Groups!BD:BD)=1,_xlfn.XLOOKUP(E164,Groups!A:A,Groups!U:U)=2),BD164,IF(_xlfn.XLOOKUP(B164,Animals!B:B,Animals!AO:AO)&gt;4,AVERAGE(BD164,BF164),BF164))))</f>
        <v>No</v>
      </c>
      <c r="BD164" s="8">
        <f t="shared" si="62"/>
        <v>0.13191963781682639</v>
      </c>
      <c r="BE164" s="8">
        <f>IF(_xlfn.XLOOKUP(E164,Groups!A:A,Groups!BE:BE)=1,(0.048*C164^1.01)+(0.071*C164^1.03),0.071*C164^1.03)/IF(_xlfn.XLOOKUP(E164,Groups!A:A,Groups!M:M)=1,0.85,IF(OR(_xlfn.XLOOKUP(B164,Animals!B:B,Animals!AO:AO)&gt;4,_xlfn.XLOOKUP(E164,Groups!A:A,Groups!BC:BC)=1),1.7,1))*C164^-0.25</f>
        <v>0.41224827499229011</v>
      </c>
      <c r="BF164" s="8">
        <f>(0.048*C164^1.01)/IF(_xlfn.XLOOKUP(E164,Groups!A:A,Groups!M:M)=1,0.25,0.8)*C164^-0.25</f>
        <v>0.20387710292659536</v>
      </c>
      <c r="BG164" s="8">
        <f>EXP(1.076*LN(AR164)-4.5397)*IF(_xlfn.XLOOKUP(E164,Groups!A:A,Groups!BC:BC)=1,1.25,IF(_xlfn.XLOOKUP(E164,Groups!A:A,Groups!BD:BD)=1,3.5,2.5))</f>
        <v>8.4917944979407451</v>
      </c>
      <c r="BH164" s="8">
        <f>EXP(1.076*LN(AS164)-4.5397)*IF(_xlfn.XLOOKUP(E164,Groups!A:A,Groups!M:M)=1,0.8,IF(_xlfn.XLOOKUP(E164,Groups!A:A,Groups!BC:BC)=1,1.3,3))</f>
        <v>12.641115428827339</v>
      </c>
      <c r="BI164" s="8" t="str">
        <f>IF(W164="No","No",IF(_xlfn.XLOOKUP(E164,Groups!A:A,Groups!U:U)=1,'Base stats'!BJ164,IF(OR(_xlfn.XLOOKUP(E164,Groups!A:A,Groups!BD:BD)=1,_xlfn.XLOOKUP(E164,Groups!A:A,Groups!U:U)=2),BG164,BH164))*1.2)</f>
        <v>No</v>
      </c>
      <c r="BJ164" s="8">
        <f>IFERROR(EXP(1.076*LN(AT164)-4.5397)*IF(_xlfn.XLOOKUP(E164,Groups!A:A,Groups!N:N)="Insect",1,IF(OR(_xlfn.XLOOKUP(E164,Groups!A:A,Groups!N:N)="Pig",_xlfn.XLOOKUP(E164,Groups!A:A,Groups!N:N)="StrongBitingHerbivore"),3.5,3.75)),"No")</f>
        <v>2.2805159894077489</v>
      </c>
      <c r="BK164" s="8">
        <f t="shared" si="63"/>
        <v>11</v>
      </c>
      <c r="BL164" s="8">
        <f t="shared" si="64"/>
        <v>7</v>
      </c>
      <c r="BM164" s="8" t="str">
        <f t="shared" si="65"/>
        <v>No</v>
      </c>
      <c r="BN164" s="8">
        <f t="shared" si="66"/>
        <v>6</v>
      </c>
      <c r="BO164" s="8">
        <f t="shared" si="67"/>
        <v>11</v>
      </c>
      <c r="BP164" s="8" cm="1">
        <f t="array" ref="BP164">IF(AND(_xlfn.XLOOKUP('Base stats'!E164,Groups!A:A,Groups!AD:AD=0),_xlfn.XLOOKUP('Base stats'!E164,Groups!A:A,Groups!P:P=0)),"No",IF(U164="No",AVERAGE(EXP(-0.57+0.99*LN(C164)),EXP(0.32+0.67*LN(C164)))/IF(_xlfn.XLOOKUP(E164,Groups!A:A,Groups!AD:AD)=1,10,2),(0.7354*C164^0.4078)*2/IF(_xlfn.XLOOKUP(E164,Groups!A:A,Groups!BK:BK)=1,1000,100)/IF(_xlfn.XLOOKUP(E164,Groups!A:A,Groups!AJ:AJ)="Photonozoa",3,1)))</f>
        <v>2.8352645574082073E-2</v>
      </c>
      <c r="BQ164" s="8" t="str">
        <f>IF(W164="No","No",IF(_xlfn.XLOOKUP(E164,Groups!A:A,Groups!BD:BD)=1,(AO164*5%),EXP(0.7354*LN(C164)^0.4078)*2/IF(_xlfn.XLOOKUP(E164,Groups!A:A,Groups!BL:BL)=1,1000,100)/IF(_xlfn.XLOOKUP(E164,Groups!A:A,Groups!AJ:AJ)="Photonozoa",3,1)))</f>
        <v>No</v>
      </c>
      <c r="BR164" s="8">
        <f>IF(BJ164="No","No",IF(_xlfn.XLOOKUP(E164,Groups!A:A,Groups!BF:BF)=1,(0.0315*C164+2.1825)*2,(0.7354*C164^0.4078)*2)/IF(_xlfn.XLOOKUP(E164,Groups!A:A,Groups!BM:BM)=1,1000,100)/IF(_xlfn.XLOOKUP(E164,Groups!A:A,Groups!AJ:AJ)="Photonozoa",3,1))</f>
        <v>2.8352645574082073E-2</v>
      </c>
      <c r="BS164" s="8">
        <f t="shared" si="68"/>
        <v>5.3749693206580677E-2</v>
      </c>
      <c r="BT164" s="8">
        <f t="shared" si="69"/>
        <v>445.85311786152778</v>
      </c>
      <c r="BU164" s="8" t="str">
        <f t="shared" si="70"/>
        <v>No</v>
      </c>
      <c r="BV164" s="8">
        <f t="shared" si="71"/>
        <v>80.433975145248198</v>
      </c>
      <c r="BW164" s="4">
        <v>0</v>
      </c>
      <c r="BX164" s="4">
        <v>1</v>
      </c>
    </row>
    <row r="165" spans="1:76" s="16" customFormat="1" x14ac:dyDescent="0.25">
      <c r="A165" s="26" t="s">
        <v>1139</v>
      </c>
      <c r="B165" s="6" t="s">
        <v>1123</v>
      </c>
      <c r="C165" s="7">
        <v>8.5</v>
      </c>
      <c r="D165" s="7" t="s">
        <v>1140</v>
      </c>
      <c r="E165" s="7" t="str">
        <f>Groups!$A$9</f>
        <v>Bird (WATER)</v>
      </c>
      <c r="F165" s="7" t="str">
        <f t="shared" si="75"/>
        <v>Lay eggs</v>
      </c>
      <c r="G165" s="7">
        <f>1095/365</f>
        <v>3</v>
      </c>
      <c r="H165" s="7">
        <v>25.2</v>
      </c>
      <c r="I165" s="4">
        <v>1</v>
      </c>
      <c r="J165" s="7" t="str">
        <f t="shared" si="77"/>
        <v>Lay eggs</v>
      </c>
      <c r="K165" s="7" t="s">
        <v>1140</v>
      </c>
      <c r="L165" s="7">
        <f>8.2*1.60934</f>
        <v>13.196587999999998</v>
      </c>
      <c r="M165" s="7" t="s">
        <v>628</v>
      </c>
      <c r="N165" s="4">
        <v>0</v>
      </c>
      <c r="O165" s="4">
        <v>0</v>
      </c>
      <c r="P165" s="4">
        <v>0</v>
      </c>
      <c r="Q165" s="4">
        <v>0</v>
      </c>
      <c r="R165" s="4" t="s">
        <v>40</v>
      </c>
      <c r="S165" s="7">
        <f>_xlfn.XLOOKUP(B165,[1]TeethAdjusters!$A:$A,[1]BiteAdjusters!$C:$C,1)</f>
        <v>1</v>
      </c>
      <c r="T165" s="7">
        <f>_xlfn.XLOOKUP(B165,[1]TeethAdjusters!$A:$A,[1]TeethAdjusters!$B:$B,1)</f>
        <v>1</v>
      </c>
      <c r="U165" s="7" t="s">
        <v>45</v>
      </c>
      <c r="V165" s="7">
        <f>MROUND(AVERAGE(159,150.9)/10,0.05)</f>
        <v>15.5</v>
      </c>
      <c r="W165" s="7" t="s">
        <v>45</v>
      </c>
      <c r="X165" s="7" t="s">
        <v>932</v>
      </c>
      <c r="Y165" s="4" t="s">
        <v>56</v>
      </c>
      <c r="Z165" s="4">
        <v>1</v>
      </c>
      <c r="AA165" s="4">
        <v>0</v>
      </c>
      <c r="AB165" s="4">
        <v>0</v>
      </c>
      <c r="AC165" s="4">
        <v>0</v>
      </c>
      <c r="AD165" s="4">
        <v>0</v>
      </c>
      <c r="AE165" s="4" t="s">
        <v>45</v>
      </c>
      <c r="AF165" s="4" t="s">
        <v>45</v>
      </c>
      <c r="AG165" s="49" t="s">
        <v>45</v>
      </c>
      <c r="AH165" s="4" t="str">
        <f>Animals!$C$6</f>
        <v>&lt;li&gt;Cassowary&lt;/li&gt;</v>
      </c>
      <c r="AI165" s="4">
        <v>0</v>
      </c>
      <c r="AJ165" s="4">
        <v>0</v>
      </c>
      <c r="AK165" s="4">
        <v>0</v>
      </c>
      <c r="AL165" s="4">
        <v>0</v>
      </c>
      <c r="AM165" s="4">
        <v>1</v>
      </c>
      <c r="AN165" s="44" t="s">
        <v>40</v>
      </c>
      <c r="AO165" s="8">
        <f t="shared" si="57"/>
        <v>4461.134123991772</v>
      </c>
      <c r="AP165" s="8">
        <f>IFERROR(C165*_xlfn.XLOOKUP(E165,Groups!A:A,Groups!K:K),0.106*C165^0.94)</f>
        <v>0.79242771306933013</v>
      </c>
      <c r="AQ165" s="8">
        <f>AP165*10000/(_xlfn.XLOOKUP(E165,Groups!A:A,Groups!J:J)*AO165)</f>
        <v>1.6296257446928282</v>
      </c>
      <c r="AR165" s="8">
        <f t="shared" si="58"/>
        <v>331.52853631038164</v>
      </c>
      <c r="AS165" s="8">
        <f>IF(_xlfn.XLOOKUP(E165,Groups!A:A,Groups!M:M)=1,EXP(0.7444*LN('Base stats'!C165)+6.5696),EXP(0.7927*LN('Base stats'!C165)+4.28))</f>
        <v>394.03133941751958</v>
      </c>
      <c r="AT165" s="8">
        <f>IF(_xlfn.XLOOKUP(E165,Groups!A:A,Groups!N:N)="No","No",
IF(_xlfn.XLOOKUP(E165,Groups!A:A,Groups!N:N)="Crocodile",EXP(0.8129*LN(C165)+4.6742)*S165,
IF(_xlfn.XLOOKUP(E165,Groups!A:A,Groups!N:N)="Felid",EXP(0.7843*LN(C165)+4.7073)*S165,
IF(_xlfn.XLOOKUP(E165,Groups!A:A,Groups!N:N)="Canid",EXP(0.8367*LN(C165)+4.8763)*S165,
IF(_xlfn.XLOOKUP(E165,Groups!A:A,Groups!N:N)="Pig",EXP(0.3439*LN(C165)+6.8519)*S165,
IF(_xlfn.XLOOKUP(E165,Groups!A:A,Groups!N:N)="Rodent",EXP(0.5625*LN(C165)+4.3006)*S165,
IF(_xlfn.XLOOKUP(E165,Groups!A:A,Groups!N:N)="Primate",EXP(0.7847*LN(C165)+3.4931)*S165,
IF(_xlfn.XLOOKUP(E165,Groups!A:A,Groups!N:N)="MiscCarnivora",EXP(0.7486*LN(C165)+4.2207)*S165,
IF(_xlfn.XLOOKUP(E165,Groups!A:A,Groups!N:N)="Lizard",EXP(0.7733*LN(C165)+5.5303)*S165,
IF(_xlfn.XLOOKUP(E165,Groups!A:A,Groups!N:N)="Snake",50*C165^(2/3)*S165,
IF(_xlfn.XLOOKUP(E165,Groups!A:A,Groups!N:N)="StrongBitingHerbivore",87.1133638856975*C165^(2/3)*S165,
IF(_xlfn.XLOOKUP(E165,Groups!A:A,Groups!N:N)="MiscEctotherms",59.4316884072269*C165^(2/3)*S165,
IF(_xlfn.XLOOKUP(E165,Groups!A:A,Groups!N:N)="StrongBeakBird",0.041*(C165*1000)^1.375*S165,
IF(_xlfn.XLOOKUP(E165,Groups!A:A,Groups!N:N)="Bird",0.118*(C165*1000)^0.692*S165,
IF(_xlfn.XLOOKUP(E165,Groups!A:A,Groups!N:N)="Insect",EXP(0.7444*LN(C165)+6.5696)*S165,
IF(_xlfn.XLOOKUP(E165,Groups!A:A,Groups!N:N)="Theropod",EXP(0.6966*LN(C165)+4.158)*S165,
"No"))))))))))))))))</f>
        <v>61.807318740814573</v>
      </c>
      <c r="AU165" s="8">
        <f>IF(_xlfn.XLOOKUP(E165,Groups!A:A,Groups!U:U)=3,AS165,IF(_xlfn.XLOOKUP(E165,Groups!A:A,Groups!U:U)=2,AR165,AT165))</f>
        <v>61.807318740814573</v>
      </c>
      <c r="AV165" s="46">
        <f>IFERROR(AVERAGE(_xlfn.XLOOKUP(B165,Animals!B:B,Animals!N:N),_xlfn.XLOOKUP(B165,Animals!B:B,Animals!O:O)),0)</f>
        <v>0</v>
      </c>
      <c r="AW165" s="8">
        <f>MROUND(40*Animals!AO165*_xlfn.XLOOKUP(AG165,Leathers!$A$2:$A$99,Leathers!$B$2:$B$99,0)+(140*_xlfn.XLOOKUP(B165,Animals!B:B,Animals!AO:AO)*2),5)</f>
        <v>110</v>
      </c>
      <c r="AX165" s="8">
        <f>IFERROR(ROUND(SQRT(V165-1)*IF(_xlfn.XLOOKUP(E165,Groups!A:A,Groups!BF:BF)=0,2,1)*IF(_xlfn.XLOOKUP('Base stats'!E165,Groups!A:A,Groups!O:O)=0,1,0.1),1),0)</f>
        <v>0.4</v>
      </c>
      <c r="AY165" s="8">
        <f t="shared" si="59"/>
        <v>0</v>
      </c>
      <c r="AZ165" s="8">
        <f t="shared" si="60"/>
        <v>0</v>
      </c>
      <c r="BA165" s="8">
        <f t="shared" si="61"/>
        <v>1.4</v>
      </c>
      <c r="BB165" s="8">
        <f>IF(_xlfn.XLOOKUP(E165,Groups!A:A,Groups!N:N)="Insect",BD165*2.5,IFERROR(AVERAGE(BD165,AT165/9.81/IF(OR(_xlfn.XLOOKUP(E165,Groups!A:A,Groups!N:N)="Pig",_xlfn.XLOOKUP(E165,Groups!A:A,Groups!N:N)="StrongBitingHerbivore"),20,25))*C165^-0.135,BD165))</f>
        <v>0.18131311525105787</v>
      </c>
      <c r="BC165" s="8" t="str">
        <f>IF(W165="No","No",IF(_xlfn.XLOOKUP(E165,Groups!A:A,Groups!U:U)=1,'Base stats'!BB165,IF(OR(_xlfn.XLOOKUP(E165,Groups!A:A,Groups!BD:BD)=1,_xlfn.XLOOKUP(E165,Groups!A:A,Groups!U:U)=2),BD165,IF(_xlfn.XLOOKUP(B165,Animals!B:B,Animals!AO:AO)&gt;4,AVERAGE(BD165,BF165),BF165))))</f>
        <v>No</v>
      </c>
      <c r="BD165" s="8">
        <f t="shared" si="62"/>
        <v>0.23207758379257695</v>
      </c>
      <c r="BE165" s="8">
        <f>IF(_xlfn.XLOOKUP(E165,Groups!A:A,Groups!BE:BE)=1,(0.048*C165^1.01)+(0.071*C165^1.03),0.071*C165^1.03)/IF(_xlfn.XLOOKUP(E165,Groups!A:A,Groups!M:M)=1,0.85,IF(OR(_xlfn.XLOOKUP(B165,Animals!B:B,Animals!AO:AO)&gt;4,_xlfn.XLOOKUP(E165,Groups!A:A,Groups!BC:BC)=1),1.7,1))*C165^-0.25</f>
        <v>0.62099965008545033</v>
      </c>
      <c r="BF165" s="8">
        <f>(0.048*C165^1.01)/IF(_xlfn.XLOOKUP(E165,Groups!A:A,Groups!M:M)=1,0.25,0.8)*C165^-0.25</f>
        <v>0.30514737190351315</v>
      </c>
      <c r="BG165" s="8">
        <f>EXP(1.076*LN(AR165)-4.5397)*IF(_xlfn.XLOOKUP(E165,Groups!A:A,Groups!BC:BC)=1,1.25,IF(_xlfn.XLOOKUP(E165,Groups!A:A,Groups!BD:BD)=1,3.5,2.5))</f>
        <v>13.754786542132019</v>
      </c>
      <c r="BH165" s="8">
        <f>EXP(1.076*LN(AS165)-4.5397)*IF(_xlfn.XLOOKUP(E165,Groups!A:A,Groups!M:M)=1,0.8,IF(_xlfn.XLOOKUP(E165,Groups!A:A,Groups!BC:BC)=1,1.3,3))</f>
        <v>19.876764778886127</v>
      </c>
      <c r="BI165" s="8" t="str">
        <f>IF(W165="No","No",IF(_xlfn.XLOOKUP(E165,Groups!A:A,Groups!U:U)=1,'Base stats'!BJ165,IF(OR(_xlfn.XLOOKUP(E165,Groups!A:A,Groups!BD:BD)=1,_xlfn.XLOOKUP(E165,Groups!A:A,Groups!U:U)=2),BG165,BH165))*1.2)</f>
        <v>No</v>
      </c>
      <c r="BJ165" s="8">
        <f>IFERROR(EXP(1.076*LN(AT165)-4.5397)*IF(_xlfn.XLOOKUP(E165,Groups!A:A,Groups!N:N)="Insect",1,IF(OR(_xlfn.XLOOKUP(E165,Groups!A:A,Groups!N:N)="Pig",_xlfn.XLOOKUP(E165,Groups!A:A,Groups!N:N)="StrongBitingHerbivore"),3.5,3.75)),"No")</f>
        <v>3.3855056648837354</v>
      </c>
      <c r="BK165" s="8">
        <f t="shared" si="63"/>
        <v>10</v>
      </c>
      <c r="BL165" s="8">
        <f t="shared" si="64"/>
        <v>8</v>
      </c>
      <c r="BM165" s="8" t="str">
        <f t="shared" si="65"/>
        <v>No</v>
      </c>
      <c r="BN165" s="8">
        <f t="shared" si="66"/>
        <v>6</v>
      </c>
      <c r="BO165" s="8">
        <f t="shared" si="67"/>
        <v>11</v>
      </c>
      <c r="BP165" s="8" t="str" cm="1">
        <f t="array" ref="BP165">IF(AND(_xlfn.XLOOKUP('Base stats'!E165,Groups!A:A,Groups!AD:AD=0),_xlfn.XLOOKUP('Base stats'!E165,Groups!A:A,Groups!P:P=0)),"No",IF(U165="No",AVERAGE(EXP(-0.57+0.99*LN(C165)),EXP(0.32+0.67*LN(C165)))/IF(_xlfn.XLOOKUP(E165,Groups!A:A,Groups!AD:AD)=1,10,2),(0.7354*C165^0.4078)*2/IF(_xlfn.XLOOKUP(E165,Groups!A:A,Groups!BK:BK)=1,1000,100)/IF(_xlfn.XLOOKUP(E165,Groups!A:A,Groups!AJ:AJ)="Photonozoa",3,1)))</f>
        <v>No</v>
      </c>
      <c r="BQ165" s="8" t="str">
        <f>IF(W165="No","No",IF(_xlfn.XLOOKUP(E165,Groups!A:A,Groups!BD:BD)=1,(AO165*5%),EXP(0.7354*LN(C165)^0.4078)*2/IF(_xlfn.XLOOKUP(E165,Groups!A:A,Groups!BL:BL)=1,1000,100)/IF(_xlfn.XLOOKUP(E165,Groups!A:A,Groups!AJ:AJ)="Photonozoa",3,1)))</f>
        <v>No</v>
      </c>
      <c r="BR165" s="8">
        <f>IF(BJ165="No","No",IF(_xlfn.XLOOKUP(E165,Groups!A:A,Groups!BF:BF)=1,(0.0315*C165+2.1825)*2,(0.7354*C165^0.4078)*2)/IF(_xlfn.XLOOKUP(E165,Groups!A:A,Groups!BM:BM)=1,1000,100)/IF(_xlfn.XLOOKUP(E165,Groups!A:A,Groups!AJ:AJ)="Photonozoa",3,1))</f>
        <v>3.5202269146404543E-2</v>
      </c>
      <c r="BS165" s="8">
        <f t="shared" si="68"/>
        <v>6.166497648281595E-2</v>
      </c>
      <c r="BT165" s="8" t="str">
        <f t="shared" si="69"/>
        <v>No</v>
      </c>
      <c r="BU165" s="8" t="str">
        <f t="shared" si="70"/>
        <v>No</v>
      </c>
      <c r="BV165" s="8">
        <f t="shared" si="71"/>
        <v>96.172938477448156</v>
      </c>
      <c r="BW165" s="4">
        <v>0</v>
      </c>
      <c r="BX165" s="4">
        <v>1</v>
      </c>
    </row>
    <row r="166" spans="1:76" x14ac:dyDescent="0.25">
      <c r="A166" s="26" t="s">
        <v>1142</v>
      </c>
      <c r="B166" s="48" t="s">
        <v>1141</v>
      </c>
      <c r="C166" s="7">
        <f>AVERAGE(2,5.5)</f>
        <v>3.75</v>
      </c>
      <c r="D166" s="7" t="s">
        <v>1143</v>
      </c>
      <c r="E166" s="7" t="str">
        <f>Groups!$A$49</f>
        <v>Rodent (TAILLESS)</v>
      </c>
      <c r="F166" s="7">
        <v>30</v>
      </c>
      <c r="G166" s="7">
        <f>730/365</f>
        <v>2</v>
      </c>
      <c r="H166" s="7">
        <v>13</v>
      </c>
      <c r="I166" s="4">
        <v>0</v>
      </c>
      <c r="J166" s="7">
        <v>5</v>
      </c>
      <c r="K166" s="7" t="s">
        <v>1144</v>
      </c>
      <c r="L166" s="7">
        <v>56</v>
      </c>
      <c r="M166" s="7" t="s">
        <v>626</v>
      </c>
      <c r="N166" s="4">
        <v>0</v>
      </c>
      <c r="O166" s="4">
        <v>1</v>
      </c>
      <c r="P166" s="4">
        <v>0</v>
      </c>
      <c r="Q166" s="4">
        <v>0</v>
      </c>
      <c r="R166" s="4" t="s">
        <v>40</v>
      </c>
      <c r="S166" s="7">
        <f>_xlfn.XLOOKUP(B166,[1]TeethAdjusters!$A:$A,[1]BiteAdjusters!$C:$C,1)</f>
        <v>1</v>
      </c>
      <c r="T166" s="7">
        <f>_xlfn.XLOOKUP(B166,[1]TeethAdjusters!$A:$A,[1]TeethAdjusters!$B:$B,1)</f>
        <v>1</v>
      </c>
      <c r="U166" s="7" t="s">
        <v>45</v>
      </c>
      <c r="V166" s="7">
        <v>0.64</v>
      </c>
      <c r="W166" s="7" t="s">
        <v>45</v>
      </c>
      <c r="X166" s="7" t="s">
        <v>932</v>
      </c>
      <c r="Y166" s="4" t="s">
        <v>42</v>
      </c>
      <c r="Z166" s="4">
        <v>1</v>
      </c>
      <c r="AA166" s="4">
        <v>0</v>
      </c>
      <c r="AB166" s="4">
        <v>0</v>
      </c>
      <c r="AC166" s="4">
        <v>0</v>
      </c>
      <c r="AD166" s="4">
        <v>0</v>
      </c>
      <c r="AE166" s="4" t="s">
        <v>45</v>
      </c>
      <c r="AF166" s="4" t="s">
        <v>399</v>
      </c>
      <c r="AG166" s="49" t="s">
        <v>385</v>
      </c>
      <c r="AH166" s="4" t="str">
        <f>Animals!$C$23</f>
        <v>&lt;li&gt;Hare&lt;/li&gt;</v>
      </c>
      <c r="AI166" s="4">
        <v>0</v>
      </c>
      <c r="AJ166" s="4">
        <v>0</v>
      </c>
      <c r="AK166" s="4">
        <v>0</v>
      </c>
      <c r="AL166" s="4">
        <v>0</v>
      </c>
      <c r="AM166" s="4">
        <v>1</v>
      </c>
      <c r="AN166" s="44" t="s">
        <v>40</v>
      </c>
      <c r="AO166" s="8">
        <f t="shared" si="57"/>
        <v>2620.8568631608559</v>
      </c>
      <c r="AP166" s="8">
        <f>IFERROR(C166*_xlfn.XLOOKUP(E166,Groups!A:A,Groups!K:K),0.106*C166^0.94)</f>
        <v>0.36719373009484357</v>
      </c>
      <c r="AQ166" s="8">
        <f>AP166*10000/(_xlfn.XLOOKUP(E166,Groups!A:A,Groups!J:J)*AO166)</f>
        <v>1.2853619992512837</v>
      </c>
      <c r="AR166" s="8">
        <f t="shared" si="58"/>
        <v>166.08291606746454</v>
      </c>
      <c r="AS166" s="8">
        <f>IF(_xlfn.XLOOKUP(E166,Groups!A:A,Groups!M:M)=1,EXP(0.7444*LN('Base stats'!C166)+6.5696),EXP(0.7927*LN('Base stats'!C166)+4.28))</f>
        <v>205.97521671719039</v>
      </c>
      <c r="AT166" s="8">
        <f>IF(_xlfn.XLOOKUP(E166,Groups!A:A,Groups!N:N)="No","No",
IF(_xlfn.XLOOKUP(E166,Groups!A:A,Groups!N:N)="Crocodile",EXP(0.8129*LN(C166)+4.6742)*S166,
IF(_xlfn.XLOOKUP(E166,Groups!A:A,Groups!N:N)="Felid",EXP(0.7843*LN(C166)+4.7073)*S166,
IF(_xlfn.XLOOKUP(E166,Groups!A:A,Groups!N:N)="Canid",EXP(0.8367*LN(C166)+4.8763)*S166,
IF(_xlfn.XLOOKUP(E166,Groups!A:A,Groups!N:N)="Pig",EXP(0.3439*LN(C166)+6.8519)*S166,
IF(_xlfn.XLOOKUP(E166,Groups!A:A,Groups!N:N)="Rodent",EXP(0.5625*LN(C166)+4.3006)*S166,
IF(_xlfn.XLOOKUP(E166,Groups!A:A,Groups!N:N)="Primate",EXP(0.7847*LN(C166)+3.4931)*S166,
IF(_xlfn.XLOOKUP(E166,Groups!A:A,Groups!N:N)="MiscCarnivora",EXP(0.7486*LN(C166)+4.2207)*S166,
IF(_xlfn.XLOOKUP(E166,Groups!A:A,Groups!N:N)="Lizard",EXP(0.7733*LN(C166)+5.5303)*S166,
IF(_xlfn.XLOOKUP(E166,Groups!A:A,Groups!N:N)="Snake",50*C166^(2/3)*S166,
IF(_xlfn.XLOOKUP(E166,Groups!A:A,Groups!N:N)="StrongBitingHerbivore",87.1133638856975*C166^(2/3)*S166,
IF(_xlfn.XLOOKUP(E166,Groups!A:A,Groups!N:N)="MiscEctotherms",59.4316884072269*C166^(2/3)*S166,
IF(_xlfn.XLOOKUP(E166,Groups!A:A,Groups!N:N)="StrongBeakBird",0.041*(C166*1000)^1.375*S166,
IF(_xlfn.XLOOKUP(E166,Groups!A:A,Groups!N:N)="Bird",0.118*(C166*1000)^0.692*S166,
IF(_xlfn.XLOOKUP(E166,Groups!A:A,Groups!N:N)="Insect",EXP(0.7444*LN(C166)+6.5696)*S166,
IF(_xlfn.XLOOKUP(E166,Groups!A:A,Groups!N:N)="Theropod",EXP(0.6966*LN(C166)+4.158)*S166,
"No"))))))))))))))))</f>
        <v>155.10272820314702</v>
      </c>
      <c r="AU166" s="8">
        <f>IF(_xlfn.XLOOKUP(E166,Groups!A:A,Groups!U:U)=3,AS166,IF(_xlfn.XLOOKUP(E166,Groups!A:A,Groups!U:U)=2,AR166,AT166))</f>
        <v>155.10272820314702</v>
      </c>
      <c r="AV166" s="46">
        <f>IFERROR(AVERAGE(_xlfn.XLOOKUP(B166,Animals!B:B,Animals!N:N),_xlfn.XLOOKUP(B166,Animals!B:B,Animals!O:O)),0)</f>
        <v>0</v>
      </c>
      <c r="AW166" s="8">
        <f>MROUND(40*Animals!AO166*_xlfn.XLOOKUP(AG166,Leathers!$A$2:$A$99,Leathers!$B$2:$B$99,0)+(140*_xlfn.XLOOKUP(B166,Animals!B:B,Animals!AO:AO)*2),5)</f>
        <v>90</v>
      </c>
      <c r="AX166" s="8">
        <f>IFERROR(ROUND(SQRT(V166-1)*IF(_xlfn.XLOOKUP(E166,Groups!A:A,Groups!BF:BF)=0,2,1)*IF(_xlfn.XLOOKUP('Base stats'!E166,Groups!A:A,Groups!O:O)=0,1,0.1),1),0)</f>
        <v>0</v>
      </c>
      <c r="AY166" s="8">
        <f t="shared" si="59"/>
        <v>0</v>
      </c>
      <c r="AZ166" s="8">
        <f t="shared" si="60"/>
        <v>0</v>
      </c>
      <c r="BA166" s="8">
        <f t="shared" si="61"/>
        <v>1</v>
      </c>
      <c r="BB166" s="8">
        <f>IF(_xlfn.XLOOKUP(E166,Groups!A:A,Groups!N:N)="Insect",BD166*2.5,IFERROR(AVERAGE(BD166,AT166/9.81/IF(OR(_xlfn.XLOOKUP(E166,Groups!A:A,Groups!N:N)="Pig",_xlfn.XLOOKUP(E166,Groups!A:A,Groups!N:N)="StrongBitingHerbivore"),20,25))*C166^-0.135,BD166))</f>
        <v>0.30895715974354143</v>
      </c>
      <c r="BC166" s="8" t="str">
        <f>IF(W166="No","No",IF(_xlfn.XLOOKUP(E166,Groups!A:A,Groups!U:U)=1,'Base stats'!BB166,IF(OR(_xlfn.XLOOKUP(E166,Groups!A:A,Groups!BD:BD)=1,_xlfn.XLOOKUP(E166,Groups!A:A,Groups!U:U)=2),BD166,IF(_xlfn.XLOOKUP(B166,Animals!B:B,Animals!AO:AO)&gt;4,AVERAGE(BD166,BF166),BF166))))</f>
        <v>No</v>
      </c>
      <c r="BD166" s="8">
        <f t="shared" si="62"/>
        <v>0.10619538479008944</v>
      </c>
      <c r="BE166" s="8">
        <f>IF(_xlfn.XLOOKUP(E166,Groups!A:A,Groups!BE:BE)=1,(0.048*C166^1.01)+(0.071*C166^1.03),0.071*C166^1.03)/IF(_xlfn.XLOOKUP(E166,Groups!A:A,Groups!M:M)=1,0.85,IF(OR(_xlfn.XLOOKUP(B166,Animals!B:B,Animals!AO:AO)&gt;4,_xlfn.XLOOKUP(E166,Groups!A:A,Groups!BC:BC)=1),1.7,1))*C166^-0.25</f>
        <v>0.1990685887105168</v>
      </c>
      <c r="BF166" s="8">
        <f>(0.048*C166^1.01)/IF(_xlfn.XLOOKUP(E166,Groups!A:A,Groups!M:M)=1,0.25,0.8)*C166^-0.25</f>
        <v>0.163838141861369</v>
      </c>
      <c r="BG166" s="8">
        <f>EXP(1.076*LN(AR166)-4.5397)*IF(_xlfn.XLOOKUP(E166,Groups!A:A,Groups!BC:BC)=1,1.25,IF(_xlfn.XLOOKUP(E166,Groups!A:A,Groups!BD:BD)=1,3.5,2.5))</f>
        <v>6.5379712695786694</v>
      </c>
      <c r="BH166" s="8">
        <f>EXP(1.076*LN(AS166)-4.5397)*IF(_xlfn.XLOOKUP(E166,Groups!A:A,Groups!M:M)=1,0.8,IF(_xlfn.XLOOKUP(E166,Groups!A:A,Groups!BC:BC)=1,1.3,3))</f>
        <v>9.8905285586523277</v>
      </c>
      <c r="BI166" s="8" t="str">
        <f>IF(W166="No","No",IF(_xlfn.XLOOKUP(E166,Groups!A:A,Groups!U:U)=1,'Base stats'!BJ166,IF(OR(_xlfn.XLOOKUP(E166,Groups!A:A,Groups!BD:BD)=1,_xlfn.XLOOKUP(E166,Groups!A:A,Groups!U:U)=2),BG166,BH166))*1.2)</f>
        <v>No</v>
      </c>
      <c r="BJ166" s="8">
        <f>IFERROR(EXP(1.076*LN(AT166)-4.5397)*IF(_xlfn.XLOOKUP(E166,Groups!A:A,Groups!N:N)="Insect",1,IF(OR(_xlfn.XLOOKUP(E166,Groups!A:A,Groups!N:N)="Pig",_xlfn.XLOOKUP(E166,Groups!A:A,Groups!N:N)="StrongBitingHerbivore"),3.5,3.75)),"No")</f>
        <v>9.1111064845227325</v>
      </c>
      <c r="BK166" s="8">
        <f t="shared" si="63"/>
        <v>11</v>
      </c>
      <c r="BL166" s="8">
        <f t="shared" si="64"/>
        <v>9</v>
      </c>
      <c r="BM166" s="8" t="str">
        <f t="shared" si="65"/>
        <v>No</v>
      </c>
      <c r="BN166" s="8">
        <f t="shared" si="66"/>
        <v>7</v>
      </c>
      <c r="BO166" s="8">
        <f t="shared" si="67"/>
        <v>10</v>
      </c>
      <c r="BP166" s="8" t="str" cm="1">
        <f t="array" ref="BP166">IF(AND(_xlfn.XLOOKUP('Base stats'!E166,Groups!A:A,Groups!AD:AD=0),_xlfn.XLOOKUP('Base stats'!E166,Groups!A:A,Groups!P:P=0)),"No",IF(U166="No",AVERAGE(EXP(-0.57+0.99*LN(C166)),EXP(0.32+0.67*LN(C166)))/IF(_xlfn.XLOOKUP(E166,Groups!A:A,Groups!AD:AD)=1,10,2),(0.7354*C166^0.4078)*2/IF(_xlfn.XLOOKUP(E166,Groups!A:A,Groups!BK:BK)=1,1000,100)/IF(_xlfn.XLOOKUP(E166,Groups!A:A,Groups!AJ:AJ)="Photonozoa",3,1)))</f>
        <v>No</v>
      </c>
      <c r="BQ166" s="8" t="str">
        <f>IF(W166="No","No",IF(_xlfn.XLOOKUP(E166,Groups!A:A,Groups!BD:BD)=1,(AO166*5%),EXP(0.7354*LN(C166)^0.4078)*2/IF(_xlfn.XLOOKUP(E166,Groups!A:A,Groups!BL:BL)=1,1000,100)/IF(_xlfn.XLOOKUP(E166,Groups!A:A,Groups!AJ:AJ)="Photonozoa",3,1)))</f>
        <v>No</v>
      </c>
      <c r="BR166" s="8">
        <f>IF(BJ166="No","No",IF(_xlfn.XLOOKUP(E166,Groups!A:A,Groups!BF:BF)=1,(0.0315*C166+2.1825)*2,(0.7354*C166^0.4078)*2)/IF(_xlfn.XLOOKUP(E166,Groups!A:A,Groups!BM:BM)=1,1000,100)/IF(_xlfn.XLOOKUP(E166,Groups!A:A,Groups!AJ:AJ)="Photonozoa",3,1))</f>
        <v>2.5214105878214141E-2</v>
      </c>
      <c r="BS166" s="8">
        <f t="shared" si="68"/>
        <v>4.9891860646625465E-2</v>
      </c>
      <c r="BT166" s="8" t="str">
        <f t="shared" si="69"/>
        <v>No</v>
      </c>
      <c r="BU166" s="8" t="str">
        <f t="shared" si="70"/>
        <v>No</v>
      </c>
      <c r="BV166" s="8">
        <f t="shared" si="71"/>
        <v>361.34957664293159</v>
      </c>
      <c r="BW166" s="4">
        <v>0</v>
      </c>
      <c r="BX166" s="4">
        <v>1</v>
      </c>
    </row>
    <row r="167" spans="1:76" x14ac:dyDescent="0.25">
      <c r="A167" s="26" t="s">
        <v>1162</v>
      </c>
      <c r="B167" s="6" t="s">
        <v>1163</v>
      </c>
      <c r="C167" s="7">
        <v>7000</v>
      </c>
      <c r="D167" s="7" t="s">
        <v>1164</v>
      </c>
      <c r="E167" s="7" t="str">
        <f>Groups!$A$65</f>
        <v>Carnophagus (PHOTONOZOA)</v>
      </c>
      <c r="F167" s="7" t="s">
        <v>1700</v>
      </c>
      <c r="G167" s="7">
        <v>15</v>
      </c>
      <c r="H167" s="7">
        <v>1200</v>
      </c>
      <c r="I167" s="4">
        <v>1</v>
      </c>
      <c r="J167" s="7" t="s">
        <v>1700</v>
      </c>
      <c r="K167" s="7" t="s">
        <v>528</v>
      </c>
      <c r="L167" s="7">
        <v>100</v>
      </c>
      <c r="M167" s="7" t="s">
        <v>1164</v>
      </c>
      <c r="N167" s="4">
        <v>0</v>
      </c>
      <c r="O167" s="4">
        <v>0</v>
      </c>
      <c r="P167" s="4">
        <v>100</v>
      </c>
      <c r="Q167" s="4">
        <v>100</v>
      </c>
      <c r="R167" s="4">
        <v>1</v>
      </c>
      <c r="S167" s="7">
        <f>_xlfn.XLOOKUP(B167,[1]TeethAdjusters!$A:$A,[1]BiteAdjusters!$C:$C,1)</f>
        <v>1</v>
      </c>
      <c r="T167" s="7">
        <f>_xlfn.XLOOKUP(B167,[1]TeethAdjusters!$A:$A,[1]TeethAdjusters!$B:$B,1)</f>
        <v>1</v>
      </c>
      <c r="U167" s="4">
        <v>30</v>
      </c>
      <c r="V167" s="7">
        <v>30</v>
      </c>
      <c r="W167" s="7" t="s">
        <v>45</v>
      </c>
      <c r="X167" s="7" t="s">
        <v>932</v>
      </c>
      <c r="Y167" s="4" t="s">
        <v>56</v>
      </c>
      <c r="Z167" s="4">
        <v>1</v>
      </c>
      <c r="AA167" s="4">
        <v>0</v>
      </c>
      <c r="AB167" s="4">
        <v>1</v>
      </c>
      <c r="AC167" s="4">
        <v>0</v>
      </c>
      <c r="AD167" s="4">
        <v>0</v>
      </c>
      <c r="AE167" s="4" t="s">
        <v>1881</v>
      </c>
      <c r="AF167" s="4" t="s">
        <v>45</v>
      </c>
      <c r="AG167" s="49" t="s">
        <v>1761</v>
      </c>
      <c r="AH167" s="4" t="s">
        <v>45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4" t="s">
        <v>40</v>
      </c>
      <c r="AO167" s="8">
        <f t="shared" si="57"/>
        <v>350458.58634124394</v>
      </c>
      <c r="AP167" s="8">
        <f>IFERROR(C167*_xlfn.XLOOKUP(E167,Groups!A:A,Groups!K:K),0.106*C167^0.94)</f>
        <v>436.21241605032162</v>
      </c>
      <c r="AQ167" s="8">
        <f>AP167*10000/(_xlfn.XLOOKUP(E167,Groups!A:A,Groups!J:J)*AO167)</f>
        <v>10.459582666567771</v>
      </c>
      <c r="AR167" s="8">
        <f t="shared" si="58"/>
        <v>96248.742493610582</v>
      </c>
      <c r="AS167" s="8">
        <f>IF(_xlfn.XLOOKUP(E167,Groups!A:A,Groups!M:M)=1,EXP(0.7444*LN('Base stats'!C167)+6.5696),EXP(0.7927*LN('Base stats'!C167)+4.28))</f>
        <v>80684.404662262488</v>
      </c>
      <c r="AT167" s="8">
        <f>IF(_xlfn.XLOOKUP(E167,Groups!A:A,Groups!N:N)="No","No",
IF(_xlfn.XLOOKUP(E167,Groups!A:A,Groups!N:N)="Crocodile",EXP(0.8129*LN(C167)+4.6742)*S167,
IF(_xlfn.XLOOKUP(E167,Groups!A:A,Groups!N:N)="Felid",EXP(0.7843*LN(C167)+4.7073)*S167,
IF(_xlfn.XLOOKUP(E167,Groups!A:A,Groups!N:N)="Canid",EXP(0.8367*LN(C167)+4.8763)*S167,
IF(_xlfn.XLOOKUP(E167,Groups!A:A,Groups!N:N)="Pig",EXP(0.3439*LN(C167)+6.8519)*S167,
IF(_xlfn.XLOOKUP(E167,Groups!A:A,Groups!N:N)="Rodent",EXP(0.5625*LN(C167)+4.3006)*S167,
IF(_xlfn.XLOOKUP(E167,Groups!A:A,Groups!N:N)="Primate",EXP(0.7847*LN(C167)+3.4931)*S167,
IF(_xlfn.XLOOKUP(E167,Groups!A:A,Groups!N:N)="MiscCarnivora",EXP(0.7486*LN(C167)+4.2207)*S167,
IF(_xlfn.XLOOKUP(E167,Groups!A:A,Groups!N:N)="Lizard",EXP(0.7733*LN(C167)+5.5303)*S167,
IF(_xlfn.XLOOKUP(E167,Groups!A:A,Groups!N:N)="Snake",50*C167^(2/3)*S167,
IF(_xlfn.XLOOKUP(E167,Groups!A:A,Groups!N:N)="StrongBitingHerbivore",87.1133638856975*C167^(2/3)*S167,
IF(_xlfn.XLOOKUP(E167,Groups!A:A,Groups!N:N)="MiscEctotherms",59.4316884072269*C167^(2/3)*S167,
IF(_xlfn.XLOOKUP(E167,Groups!A:A,Groups!N:N)="StrongBeakBird",0.041*(C167*1000)^1.375*S167,
IF(_xlfn.XLOOKUP(E167,Groups!A:A,Groups!N:N)="Bird",0.118*(C167*1000)^0.692*S167,
IF(_xlfn.XLOOKUP(E167,Groups!A:A,Groups!N:N)="Insect",EXP(0.7444*LN(C167)+6.5696)*S167,
IF(_xlfn.XLOOKUP(E167,Groups!A:A,Groups!N:N)="Theropod",EXP(0.6966*LN(C167)+4.158)*S167,
"No"))))))))))))))))</f>
        <v>519316.36589283083</v>
      </c>
      <c r="AU167" s="8">
        <f>IF(_xlfn.XLOOKUP(E167,Groups!A:A,Groups!U:U)=3,AS167,IF(_xlfn.XLOOKUP(E167,Groups!A:A,Groups!U:U)=2,AR167,AT167))</f>
        <v>519316.36589283083</v>
      </c>
      <c r="AV167" s="46">
        <f>IFERROR(AVERAGE(_xlfn.XLOOKUP(B167,Animals!B:B,Animals!N:N),_xlfn.XLOOKUP(B167,Animals!B:B,Animals!O:O)),0)</f>
        <v>1.4</v>
      </c>
      <c r="AW167" s="8">
        <f>MROUND(40*Animals!AO167*_xlfn.XLOOKUP(AG167,Leathers!$A$2:$A$99,Leathers!$B$2:$B$99,0)+(140*_xlfn.XLOOKUP(B167,Animals!B:B,Animals!AO:AO)*2),5)</f>
        <v>7680</v>
      </c>
      <c r="AX167" s="8">
        <f>IFERROR(ROUND(SQRT(V167-1)*IF(_xlfn.XLOOKUP(E167,Groups!A:A,Groups!BF:BF)=0,2,1)*IF(_xlfn.XLOOKUP('Base stats'!E167,Groups!A:A,Groups!O:O)=0,1,0.1),1),0)</f>
        <v>10.8</v>
      </c>
      <c r="AY167" s="8">
        <f t="shared" si="59"/>
        <v>5.4</v>
      </c>
      <c r="AZ167" s="8">
        <f t="shared" si="60"/>
        <v>0</v>
      </c>
      <c r="BA167" s="8">
        <f t="shared" si="61"/>
        <v>19.100000000000001</v>
      </c>
      <c r="BB167" s="8">
        <f>IF(_xlfn.XLOOKUP(E167,Groups!A:A,Groups!N:N)="Insect",BD167*2.5,IFERROR(AVERAGE(BD167,AT167/9.81/IF(OR(_xlfn.XLOOKUP(E167,Groups!A:A,Groups!N:N)="Pig",_xlfn.XLOOKUP(E167,Groups!A:A,Groups!N:N)="StrongBitingHerbivore"),20,25))*C167^-0.135,BD167))</f>
        <v>153.63938035727926</v>
      </c>
      <c r="BC167" s="8" t="str">
        <f>IF(W167="No","No",IF(_xlfn.XLOOKUP(E167,Groups!A:A,Groups!U:U)=1,'Base stats'!BB167,IF(OR(_xlfn.XLOOKUP(E167,Groups!A:A,Groups!BD:BD)=1,_xlfn.XLOOKUP(E167,Groups!A:A,Groups!U:U)=2),BD167,IF(_xlfn.XLOOKUP(B167,Animals!B:B,Animals!AO:AO)&gt;4,AVERAGE(BD167,BF167),BF167))))</f>
        <v>No</v>
      </c>
      <c r="BD167" s="8">
        <f t="shared" si="62"/>
        <v>61.455752142911706</v>
      </c>
      <c r="BE167" s="8">
        <f>IF(_xlfn.XLOOKUP(E167,Groups!A:A,Groups!BE:BE)=1,(0.048*C167^1.01)+(0.071*C167^1.03),0.071*C167^1.03)/IF(_xlfn.XLOOKUP(E167,Groups!A:A,Groups!M:M)=1,0.85,IF(OR(_xlfn.XLOOKUP(B167,Animals!B:B,Animals!AO:AO)&gt;4,_xlfn.XLOOKUP(E167,Groups!A:A,Groups!BC:BC)=1),1.7,1))*C167^-0.25</f>
        <v>41.685584803118928</v>
      </c>
      <c r="BF167" s="8">
        <f>(0.048*C167^1.01)/IF(_xlfn.XLOOKUP(E167,Groups!A:A,Groups!M:M)=1,0.25,0.8)*C167^-0.25</f>
        <v>50.167881368257298</v>
      </c>
      <c r="BG167" s="8">
        <f>EXP(1.076*LN(AR167)-4.5397)*IF(_xlfn.XLOOKUP(E167,Groups!A:A,Groups!BC:BC)=1,1.25,IF(_xlfn.XLOOKUP(E167,Groups!A:A,Groups!BD:BD)=1,3.5,2.5))</f>
        <v>6144.7814087496872</v>
      </c>
      <c r="BH167" s="8">
        <f>EXP(1.076*LN(AS167)-4.5397)*IF(_xlfn.XLOOKUP(E167,Groups!A:A,Groups!M:M)=1,0.8,IF(_xlfn.XLOOKUP(E167,Groups!A:A,Groups!BC:BC)=1,1.3,3))</f>
        <v>6099.0220517193065</v>
      </c>
      <c r="BI167" s="8" t="str">
        <f>IF(W167="No","No",IF(_xlfn.XLOOKUP(E167,Groups!A:A,Groups!U:U)=1,'Base stats'!BJ167,IF(OR(_xlfn.XLOOKUP(E167,Groups!A:A,Groups!BD:BD)=1,_xlfn.XLOOKUP(E167,Groups!A:A,Groups!U:U)=2),BG167,BH167))*1.2)</f>
        <v>No</v>
      </c>
      <c r="BJ167" s="8">
        <f>IFERROR(EXP(1.076*LN(AT167)-4.5397)*IF(_xlfn.XLOOKUP(E167,Groups!A:A,Groups!N:N)="Insect",1,IF(OR(_xlfn.XLOOKUP(E167,Groups!A:A,Groups!N:N)="Pig",_xlfn.XLOOKUP(E167,Groups!A:A,Groups!N:N)="StrongBitingHerbivore"),3.5,3.75)),"No")</f>
        <v>15074.335695984135</v>
      </c>
      <c r="BK167" s="8">
        <f t="shared" si="63"/>
        <v>14</v>
      </c>
      <c r="BL167" s="8">
        <f t="shared" si="64"/>
        <v>17</v>
      </c>
      <c r="BM167" s="8" t="str">
        <f t="shared" si="65"/>
        <v>No</v>
      </c>
      <c r="BN167" s="8">
        <f t="shared" si="66"/>
        <v>14</v>
      </c>
      <c r="BO167" s="8">
        <f t="shared" si="67"/>
        <v>15</v>
      </c>
      <c r="BP167" s="8" cm="1">
        <f t="array" ref="BP167">IF(AND(_xlfn.XLOOKUP('Base stats'!E167,Groups!A:A,Groups!AD:AD=0),_xlfn.XLOOKUP('Base stats'!E167,Groups!A:A,Groups!P:P=0)),"No",IF(U167="No",AVERAGE(EXP(-0.57+0.99*LN(C167)),EXP(0.32+0.67*LN(C167)))/IF(_xlfn.XLOOKUP(E167,Groups!A:A,Groups!AD:AD)=1,10,2),(0.7354*C167^0.4078)*2/IF(_xlfn.XLOOKUP(E167,Groups!A:A,Groups!BK:BK)=1,1000,100)/IF(_xlfn.XLOOKUP(E167,Groups!A:A,Groups!AJ:AJ)="Photonozoa",3,1)))</f>
        <v>1.8132736360039949E-2</v>
      </c>
      <c r="BQ167" s="8" t="str">
        <f>IF(W167="No","No",IF(_xlfn.XLOOKUP(E167,Groups!A:A,Groups!BD:BD)=1,(AO167*5%),EXP(0.7354*LN(C167)^0.4078)*2/IF(_xlfn.XLOOKUP(E167,Groups!A:A,Groups!BL:BL)=1,1000,100)/IF(_xlfn.XLOOKUP(E167,Groups!A:A,Groups!AJ:AJ)="Photonozoa",3,1)))</f>
        <v>No</v>
      </c>
      <c r="BR167" s="8">
        <f>IF(BJ167="No","No",IF(_xlfn.XLOOKUP(E167,Groups!A:A,Groups!BF:BF)=1,(0.0315*C167+2.1825)*2,(0.7354*C167^0.4078)*2)/IF(_xlfn.XLOOKUP(E167,Groups!A:A,Groups!BM:BM)=1,1000,100)/IF(_xlfn.XLOOKUP(E167,Groups!A:A,Groups!AJ:AJ)="Photonozoa",3,1))</f>
        <v>1.8132736360039949E-2</v>
      </c>
      <c r="BS167" s="8">
        <f t="shared" si="68"/>
        <v>0.35067090082743591</v>
      </c>
      <c r="BT167" s="8">
        <f t="shared" si="69"/>
        <v>336354.20107690076</v>
      </c>
      <c r="BU167" s="8" t="str">
        <f t="shared" si="70"/>
        <v>No</v>
      </c>
      <c r="BV167" s="8">
        <f t="shared" si="71"/>
        <v>831332.64592123171</v>
      </c>
      <c r="BW167" s="4">
        <v>0</v>
      </c>
      <c r="BX167" s="4">
        <v>1</v>
      </c>
    </row>
    <row r="168" spans="1:76" s="16" customFormat="1" x14ac:dyDescent="0.25">
      <c r="A168" s="26" t="s">
        <v>1758</v>
      </c>
      <c r="B168" s="6" t="s">
        <v>1759</v>
      </c>
      <c r="C168" s="7">
        <v>350</v>
      </c>
      <c r="D168" s="7" t="s">
        <v>1164</v>
      </c>
      <c r="E168" s="7" t="str">
        <f>Groups!$A$66</f>
        <v>Daspletosuchus (PHOTONOZOA)</v>
      </c>
      <c r="F168" s="7" t="s">
        <v>1700</v>
      </c>
      <c r="G168" s="7">
        <v>15</v>
      </c>
      <c r="H168" s="7">
        <v>1200</v>
      </c>
      <c r="I168" s="4">
        <v>1</v>
      </c>
      <c r="J168" s="7" t="s">
        <v>1700</v>
      </c>
      <c r="K168" s="7" t="s">
        <v>528</v>
      </c>
      <c r="L168" s="7">
        <v>80</v>
      </c>
      <c r="M168" s="7" t="s">
        <v>1164</v>
      </c>
      <c r="N168" s="4">
        <v>0</v>
      </c>
      <c r="O168" s="4">
        <v>0</v>
      </c>
      <c r="P168" s="4">
        <v>100</v>
      </c>
      <c r="Q168" s="4">
        <v>100</v>
      </c>
      <c r="R168" s="4">
        <v>1</v>
      </c>
      <c r="S168" s="7">
        <f>_xlfn.XLOOKUP(B168,[1]TeethAdjusters!$A:$A,[1]BiteAdjusters!$C:$C,1)</f>
        <v>1</v>
      </c>
      <c r="T168" s="7">
        <f>_xlfn.XLOOKUP(B168,[1]TeethAdjusters!$A:$A,[1]TeethAdjusters!$B:$B,1)</f>
        <v>1</v>
      </c>
      <c r="U168" s="4">
        <v>5</v>
      </c>
      <c r="V168" s="7">
        <v>8</v>
      </c>
      <c r="W168" s="7" t="s">
        <v>45</v>
      </c>
      <c r="X168" s="7" t="s">
        <v>932</v>
      </c>
      <c r="Y168" s="4" t="s">
        <v>56</v>
      </c>
      <c r="Z168" s="4">
        <v>1</v>
      </c>
      <c r="AA168" s="4">
        <v>0</v>
      </c>
      <c r="AB168" s="4">
        <v>1</v>
      </c>
      <c r="AC168" s="4">
        <v>0</v>
      </c>
      <c r="AD168" s="4">
        <v>0</v>
      </c>
      <c r="AE168" s="4" t="s">
        <v>1881</v>
      </c>
      <c r="AF168" s="4" t="s">
        <v>45</v>
      </c>
      <c r="AG168" s="49" t="s">
        <v>1761</v>
      </c>
      <c r="AH168" s="4" t="s">
        <v>45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4" t="s">
        <v>40</v>
      </c>
      <c r="AO168" s="8">
        <f t="shared" si="57"/>
        <v>49999.678016554004</v>
      </c>
      <c r="AP168" s="8">
        <f>IFERROR(C168*_xlfn.XLOOKUP(E168,Groups!A:A,Groups!K:K),0.106*C168^0.94)</f>
        <v>26.105368435044046</v>
      </c>
      <c r="AQ168" s="8">
        <f>AP168*10000/(_xlfn.XLOOKUP(E168,Groups!A:A,Groups!J:J)*AO168)</f>
        <v>4.1111081174891932</v>
      </c>
      <c r="AR168" s="8">
        <f t="shared" si="58"/>
        <v>7663.2858706487614</v>
      </c>
      <c r="AS168" s="8">
        <f>IF(_xlfn.XLOOKUP(E168,Groups!A:A,Groups!M:M)=1,EXP(0.7444*LN('Base stats'!C168)+6.5696),EXP(0.7927*LN('Base stats'!C168)+4.28))</f>
        <v>7506.9430520091801</v>
      </c>
      <c r="AT168" s="8">
        <f>IF(_xlfn.XLOOKUP(E168,Groups!A:A,Groups!N:N)="No","No",
IF(_xlfn.XLOOKUP(E168,Groups!A:A,Groups!N:N)="Crocodile",EXP(0.8129*LN(C168)+4.6742)*S168,
IF(_xlfn.XLOOKUP(E168,Groups!A:A,Groups!N:N)="Felid",EXP(0.7843*LN(C168)+4.7073)*S168,
IF(_xlfn.XLOOKUP(E168,Groups!A:A,Groups!N:N)="Canid",EXP(0.8367*LN(C168)+4.8763)*S168,
IF(_xlfn.XLOOKUP(E168,Groups!A:A,Groups!N:N)="Pig",EXP(0.3439*LN(C168)+6.8519)*S168,
IF(_xlfn.XLOOKUP(E168,Groups!A:A,Groups!N:N)="Rodent",EXP(0.5625*LN(C168)+4.3006)*S168,
IF(_xlfn.XLOOKUP(E168,Groups!A:A,Groups!N:N)="Primate",EXP(0.7847*LN(C168)+3.4931)*S168,
IF(_xlfn.XLOOKUP(E168,Groups!A:A,Groups!N:N)="MiscCarnivora",EXP(0.7486*LN(C168)+4.2207)*S168,
IF(_xlfn.XLOOKUP(E168,Groups!A:A,Groups!N:N)="Lizard",EXP(0.7733*LN(C168)+5.5303)*S168,
IF(_xlfn.XLOOKUP(E168,Groups!A:A,Groups!N:N)="Snake",50*C168^(2/3)*S168,
IF(_xlfn.XLOOKUP(E168,Groups!A:A,Groups!N:N)="StrongBitingHerbivore",87.1133638856975*C168^(2/3)*S168,
IF(_xlfn.XLOOKUP(E168,Groups!A:A,Groups!N:N)="MiscEctotherms",59.4316884072269*C168^(2/3)*S168,
IF(_xlfn.XLOOKUP(E168,Groups!A:A,Groups!N:N)="StrongBeakBird",0.041*(C168*1000)^1.375*S168,
IF(_xlfn.XLOOKUP(E168,Groups!A:A,Groups!N:N)="Bird",0.118*(C168*1000)^0.692*S168,
IF(_xlfn.XLOOKUP(E168,Groups!A:A,Groups!N:N)="Insect",EXP(0.7444*LN(C168)+6.5696)*S168,
IF(_xlfn.XLOOKUP(E168,Groups!A:A,Groups!N:N)="Theropod",EXP(0.6966*LN(C168)+4.158)*S168,
"No"))))))))))))))))</f>
        <v>55839.983402189697</v>
      </c>
      <c r="AU168" s="8">
        <f>IF(_xlfn.XLOOKUP(E168,Groups!A:A,Groups!U:U)=3,AS168,IF(_xlfn.XLOOKUP(E168,Groups!A:A,Groups!U:U)=2,AR168,AT168))</f>
        <v>55839.983402189697</v>
      </c>
      <c r="AV168" s="46">
        <f>IFERROR(AVERAGE(_xlfn.XLOOKUP(B168,Animals!B:B,Animals!N:N),_xlfn.XLOOKUP(B168,Animals!B:B,Animals!O:O)),0)</f>
        <v>1.05</v>
      </c>
      <c r="AW168" s="8">
        <f>MROUND(40*Animals!AO168*_xlfn.XLOOKUP(AG168,Leathers!$A$2:$A$99,Leathers!$B$2:$B$99,0)+(140*_xlfn.XLOOKUP(B168,Animals!B:B,Animals!AO:AO)*2),5)</f>
        <v>3200</v>
      </c>
      <c r="AX168" s="8">
        <f>IFERROR(ROUND(SQRT(V168-1)*IF(_xlfn.XLOOKUP(E168,Groups!A:A,Groups!BF:BF)=0,2,1)*IF(_xlfn.XLOOKUP('Base stats'!E168,Groups!A:A,Groups!O:O)=0,1,0.1),1),0)</f>
        <v>5.3</v>
      </c>
      <c r="AY168" s="8">
        <f t="shared" si="59"/>
        <v>2</v>
      </c>
      <c r="AZ168" s="8">
        <f t="shared" si="60"/>
        <v>0</v>
      </c>
      <c r="BA168" s="8">
        <f t="shared" si="61"/>
        <v>6.5</v>
      </c>
      <c r="BB168" s="8">
        <f>IF(_xlfn.XLOOKUP(E168,Groups!A:A,Groups!N:N)="Insect",BD168*2.5,IFERROR(AVERAGE(BD168,AT168/9.81/IF(OR(_xlfn.XLOOKUP(E168,Groups!A:A,Groups!N:N)="Pig",_xlfn.XLOOKUP(E168,Groups!A:A,Groups!N:N)="StrongBitingHerbivore"),20,25))*C168^-0.135,BD168))</f>
        <v>12.745198992247673</v>
      </c>
      <c r="BC168" s="8" t="str">
        <f>IF(W168="No","No",IF(_xlfn.XLOOKUP(E168,Groups!A:A,Groups!U:U)=1,'Base stats'!BB168,IF(OR(_xlfn.XLOOKUP(E168,Groups!A:A,Groups!BD:BD)=1,_xlfn.XLOOKUP(E168,Groups!A:A,Groups!U:U)=2),BD168,IF(_xlfn.XLOOKUP(B168,Animals!B:B,Animals!AO:AO)&gt;4,AVERAGE(BD168,BF168),BF168))))</f>
        <v>No</v>
      </c>
      <c r="BD168" s="8">
        <f t="shared" si="62"/>
        <v>5.0980795968990691</v>
      </c>
      <c r="BE168" s="8">
        <f>IF(_xlfn.XLOOKUP(E168,Groups!A:A,Groups!BE:BE)=1,(0.048*C168^1.01)+(0.071*C168^1.03),0.071*C168^1.03)/IF(_xlfn.XLOOKUP(E168,Groups!A:A,Groups!M:M)=1,0.85,IF(OR(_xlfn.XLOOKUP(B168,Animals!B:B,Animals!AO:AO)&gt;4,_xlfn.XLOOKUP(E168,Groups!A:A,Groups!BC:BC)=1),1.7,1))*C168^-0.25</f>
        <v>6.8490671365591904</v>
      </c>
      <c r="BF168" s="8">
        <f>(0.048*C168^1.01)/IF(_xlfn.XLOOKUP(E168,Groups!A:A,Groups!M:M)=1,0.25,0.8)*C168^-0.25</f>
        <v>5.1480524630900852</v>
      </c>
      <c r="BG168" s="8">
        <f>EXP(1.076*LN(AR168)-4.5397)*IF(_xlfn.XLOOKUP(E168,Groups!A:A,Groups!BC:BC)=1,1.25,IF(_xlfn.XLOOKUP(E168,Groups!A:A,Groups!BD:BD)=1,3.5,2.5))</f>
        <v>403.64903444222597</v>
      </c>
      <c r="BH168" s="8">
        <f>EXP(1.076*LN(AS168)-4.5397)*IF(_xlfn.XLOOKUP(E168,Groups!A:A,Groups!M:M)=1,0.8,IF(_xlfn.XLOOKUP(E168,Groups!A:A,Groups!BC:BC)=1,1.3,3))</f>
        <v>473.75402609099581</v>
      </c>
      <c r="BI168" s="8" t="str">
        <f>IF(W168="No","No",IF(_xlfn.XLOOKUP(E168,Groups!A:A,Groups!U:U)=1,'Base stats'!BJ168,IF(OR(_xlfn.XLOOKUP(E168,Groups!A:A,Groups!BD:BD)=1,_xlfn.XLOOKUP(E168,Groups!A:A,Groups!U:U)=2),BG168,BH168))*1.2)</f>
        <v>No</v>
      </c>
      <c r="BJ168" s="8">
        <f>IFERROR(EXP(1.076*LN(AT168)-4.5397)*IF(_xlfn.XLOOKUP(E168,Groups!A:A,Groups!N:N)="Insect",1,IF(OR(_xlfn.XLOOKUP(E168,Groups!A:A,Groups!N:N)="Pig",_xlfn.XLOOKUP(E168,Groups!A:A,Groups!N:N)="StrongBitingHerbivore"),3.5,3.75)),"No")</f>
        <v>1368.1901590182752</v>
      </c>
      <c r="BK168" s="8">
        <f t="shared" si="63"/>
        <v>12</v>
      </c>
      <c r="BL168" s="8">
        <f t="shared" si="64"/>
        <v>11</v>
      </c>
      <c r="BM168" s="8" t="str">
        <f t="shared" si="65"/>
        <v>No</v>
      </c>
      <c r="BN168" s="8">
        <f t="shared" si="66"/>
        <v>14</v>
      </c>
      <c r="BO168" s="8">
        <f t="shared" si="67"/>
        <v>13</v>
      </c>
      <c r="BP168" s="8" cm="1">
        <f t="array" ref="BP168">IF(AND(_xlfn.XLOOKUP('Base stats'!E168,Groups!A:A,Groups!AD:AD=0),_xlfn.XLOOKUP('Base stats'!E168,Groups!A:A,Groups!P:P=0)),"No",IF(U168="No",AVERAGE(EXP(-0.57+0.99*LN(C168)),EXP(0.32+0.67*LN(C168)))/IF(_xlfn.XLOOKUP(E168,Groups!A:A,Groups!AD:AD)=1,10,2),(0.7354*C168^0.4078)*2/IF(_xlfn.XLOOKUP(E168,Groups!A:A,Groups!BK:BK)=1,1000,100)/IF(_xlfn.XLOOKUP(E168,Groups!A:A,Groups!AJ:AJ)="Photonozoa",3,1)))</f>
        <v>5.3444536497220347E-3</v>
      </c>
      <c r="BQ168" s="8" t="str">
        <f>IF(W168="No","No",IF(_xlfn.XLOOKUP(E168,Groups!A:A,Groups!BD:BD)=1,(AO168*5%),EXP(0.7354*LN(C168)^0.4078)*2/IF(_xlfn.XLOOKUP(E168,Groups!A:A,Groups!BL:BL)=1,1000,100)/IF(_xlfn.XLOOKUP(E168,Groups!A:A,Groups!AJ:AJ)="Photonozoa",3,1)))</f>
        <v>No</v>
      </c>
      <c r="BR168" s="8">
        <f>IF(BJ168="No","No",IF(_xlfn.XLOOKUP(E168,Groups!A:A,Groups!BF:BF)=1,(0.0315*C168+2.1825)*2,(0.7354*C168^0.4078)*2)/IF(_xlfn.XLOOKUP(E168,Groups!A:A,Groups!BM:BM)=1,1000,100)/IF(_xlfn.XLOOKUP(E168,Groups!A:A,Groups!AJ:AJ)="Photonozoa",3,1))</f>
        <v>5.3444536497220347E-3</v>
      </c>
      <c r="BS168" s="8">
        <f t="shared" si="68"/>
        <v>0.16146065353004271</v>
      </c>
      <c r="BT168" s="8">
        <f t="shared" si="69"/>
        <v>88644.051785468429</v>
      </c>
      <c r="BU168" s="8" t="str">
        <f t="shared" si="70"/>
        <v>No</v>
      </c>
      <c r="BV168" s="8">
        <f t="shared" si="71"/>
        <v>256001.87571828504</v>
      </c>
      <c r="BW168" s="4">
        <v>0</v>
      </c>
      <c r="BX168" s="4">
        <v>1</v>
      </c>
    </row>
    <row r="169" spans="1:76" s="16" customFormat="1" x14ac:dyDescent="0.25">
      <c r="A169" s="26" t="s">
        <v>1181</v>
      </c>
      <c r="B169" s="6" t="s">
        <v>1182</v>
      </c>
      <c r="C169" s="7">
        <v>5000</v>
      </c>
      <c r="D169" s="7" t="s">
        <v>1164</v>
      </c>
      <c r="E169" s="7" t="str">
        <f>Groups!$A$67</f>
        <v>Xenotaurus (PHOTONOZOA)</v>
      </c>
      <c r="F169" s="7" t="s">
        <v>1700</v>
      </c>
      <c r="G169" s="7">
        <v>10</v>
      </c>
      <c r="H169" s="7">
        <v>1200</v>
      </c>
      <c r="I169" s="4">
        <v>1</v>
      </c>
      <c r="J169" s="7" t="s">
        <v>1700</v>
      </c>
      <c r="K169" s="7" t="s">
        <v>528</v>
      </c>
      <c r="L169" s="7">
        <v>60</v>
      </c>
      <c r="M169" s="7" t="s">
        <v>1164</v>
      </c>
      <c r="N169" s="4">
        <v>0</v>
      </c>
      <c r="O169" s="4">
        <v>0</v>
      </c>
      <c r="P169" s="4">
        <v>100</v>
      </c>
      <c r="Q169" s="4">
        <v>100</v>
      </c>
      <c r="R169" s="4">
        <v>1</v>
      </c>
      <c r="S169" s="7">
        <f>_xlfn.XLOOKUP(B169,[1]TeethAdjusters!$A:$A,[1]BiteAdjusters!$C:$C,1)</f>
        <v>1</v>
      </c>
      <c r="T169" s="7">
        <f>_xlfn.XLOOKUP(B169,[1]TeethAdjusters!$A:$A,[1]TeethAdjusters!$B:$B,1)</f>
        <v>1</v>
      </c>
      <c r="U169" s="7" t="s">
        <v>45</v>
      </c>
      <c r="V169" s="7" t="s">
        <v>45</v>
      </c>
      <c r="W169" s="7">
        <v>25</v>
      </c>
      <c r="X169" s="7" t="s">
        <v>932</v>
      </c>
      <c r="Y169" s="4" t="s">
        <v>1003</v>
      </c>
      <c r="Z169" s="4">
        <v>1</v>
      </c>
      <c r="AA169" s="4">
        <v>0</v>
      </c>
      <c r="AB169" s="4">
        <v>1</v>
      </c>
      <c r="AC169" s="4">
        <v>0</v>
      </c>
      <c r="AD169" s="4">
        <v>0</v>
      </c>
      <c r="AE169" s="4" t="s">
        <v>1881</v>
      </c>
      <c r="AF169" s="4" t="s">
        <v>398</v>
      </c>
      <c r="AG169" s="49" t="s">
        <v>1761</v>
      </c>
      <c r="AH169" s="4" t="s">
        <v>45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4" t="s">
        <v>40</v>
      </c>
      <c r="AO169" s="8">
        <f t="shared" si="57"/>
        <v>281613.50739773398</v>
      </c>
      <c r="AP169" s="8">
        <f>IFERROR(C169*_xlfn.XLOOKUP(E169,Groups!A:A,Groups!K:K),0.106*C169^0.94)</f>
        <v>317.93450901010999</v>
      </c>
      <c r="AQ169" s="8">
        <f>AP169*10000/(_xlfn.XLOOKUP(E169,Groups!A:A,Groups!J:J)*AO169)</f>
        <v>9.487181874897761</v>
      </c>
      <c r="AR169" s="8">
        <f t="shared" si="58"/>
        <v>72437.042827169687</v>
      </c>
      <c r="AS169" s="8">
        <f>IF(_xlfn.XLOOKUP(E169,Groups!A:A,Groups!M:M)=1,EXP(0.7444*LN('Base stats'!C169)+6.5696),EXP(0.7927*LN('Base stats'!C169)+4.28))</f>
        <v>61795.080878079119</v>
      </c>
      <c r="AT169" s="8" t="str">
        <f>IF(_xlfn.XLOOKUP(E169,Groups!A:A,Groups!N:N)="No","No",
IF(_xlfn.XLOOKUP(E169,Groups!A:A,Groups!N:N)="Crocodile",EXP(0.8129*LN(C169)+4.6742)*S169,
IF(_xlfn.XLOOKUP(E169,Groups!A:A,Groups!N:N)="Felid",EXP(0.7843*LN(C169)+4.7073)*S169,
IF(_xlfn.XLOOKUP(E169,Groups!A:A,Groups!N:N)="Canid",EXP(0.8367*LN(C169)+4.8763)*S169,
IF(_xlfn.XLOOKUP(E169,Groups!A:A,Groups!N:N)="Pig",EXP(0.3439*LN(C169)+6.8519)*S169,
IF(_xlfn.XLOOKUP(E169,Groups!A:A,Groups!N:N)="Rodent",EXP(0.5625*LN(C169)+4.3006)*S169,
IF(_xlfn.XLOOKUP(E169,Groups!A:A,Groups!N:N)="Primate",EXP(0.7847*LN(C169)+3.4931)*S169,
IF(_xlfn.XLOOKUP(E169,Groups!A:A,Groups!N:N)="MiscCarnivora",EXP(0.7486*LN(C169)+4.2207)*S169,
IF(_xlfn.XLOOKUP(E169,Groups!A:A,Groups!N:N)="Lizard",EXP(0.7733*LN(C169)+5.5303)*S169,
IF(_xlfn.XLOOKUP(E169,Groups!A:A,Groups!N:N)="Snake",50*C169^(2/3)*S169,
IF(_xlfn.XLOOKUP(E169,Groups!A:A,Groups!N:N)="StrongBitingHerbivore",87.1133638856975*C169^(2/3)*S169,
IF(_xlfn.XLOOKUP(E169,Groups!A:A,Groups!N:N)="MiscEctotherms",59.4316884072269*C169^(2/3)*S169,
IF(_xlfn.XLOOKUP(E169,Groups!A:A,Groups!N:N)="StrongBeakBird",0.041*(C169*1000)^1.375*S169,
IF(_xlfn.XLOOKUP(E169,Groups!A:A,Groups!N:N)="Bird",0.118*(C169*1000)^0.692*S169,
IF(_xlfn.XLOOKUP(E169,Groups!A:A,Groups!N:N)="Insect",EXP(0.7444*LN(C169)+6.5696)*S169,
IF(_xlfn.XLOOKUP(E169,Groups!A:A,Groups!N:N)="Theropod",EXP(0.6966*LN(C169)+4.158)*S169,
"No"))))))))))))))))</f>
        <v>No</v>
      </c>
      <c r="AU169" s="8">
        <f>IF(_xlfn.XLOOKUP(E169,Groups!A:A,Groups!U:U)=3,AS169,IF(_xlfn.XLOOKUP(E169,Groups!A:A,Groups!U:U)=2,AR169,AT169))</f>
        <v>72437.042827169687</v>
      </c>
      <c r="AV169" s="46">
        <f>IFERROR(AVERAGE(_xlfn.XLOOKUP(B169,Animals!B:B,Animals!N:N),_xlfn.XLOOKUP(B169,Animals!B:B,Animals!O:O)),0)</f>
        <v>1.35</v>
      </c>
      <c r="AW169" s="8">
        <f>MROUND(40*Animals!AO169*_xlfn.XLOOKUP(AG169,Leathers!$A$2:$A$99,Leathers!$B$2:$B$99,0)+(140*_xlfn.XLOOKUP(B169,Animals!B:B,Animals!AO:AO)*2),5)</f>
        <v>6400</v>
      </c>
      <c r="AX169" s="8">
        <f>IFERROR(ROUND(SQRT(V169-1)*IF(_xlfn.XLOOKUP(E169,Groups!A:A,Groups!BF:BF)=0,2,1)*IF(_xlfn.XLOOKUP('Base stats'!E169,Groups!A:A,Groups!O:O)=0,1,0.1),1),0)</f>
        <v>0</v>
      </c>
      <c r="AY169" s="8">
        <f t="shared" si="59"/>
        <v>0</v>
      </c>
      <c r="AZ169" s="8">
        <f t="shared" si="60"/>
        <v>5</v>
      </c>
      <c r="BA169" s="8">
        <f t="shared" si="61"/>
        <v>16.899999999999999</v>
      </c>
      <c r="BB169" s="8">
        <f>IF(_xlfn.XLOOKUP(E169,Groups!A:A,Groups!N:N)="Insect",BD169*2.5,IFERROR(AVERAGE(BD169,AT169/9.81/IF(OR(_xlfn.XLOOKUP(E169,Groups!A:A,Groups!N:N)="Pig",_xlfn.XLOOKUP(E169,Groups!A:A,Groups!N:N)="StrongBitingHerbivore"),20,25))*C169^-0.135,BD169))</f>
        <v>24.116231840641284</v>
      </c>
      <c r="BC169" s="8">
        <f>IF(W169="No","No",IF(_xlfn.XLOOKUP(E169,Groups!A:A,Groups!U:U)=1,'Base stats'!BB169,IF(OR(_xlfn.XLOOKUP(E169,Groups!A:A,Groups!BD:BD)=1,_xlfn.XLOOKUP(E169,Groups!A:A,Groups!U:U)=2),BD169,IF(_xlfn.XLOOKUP(B169,Animals!B:B,Animals!AO:AO)&gt;4,AVERAGE(BD169,BF169),BF169))))</f>
        <v>24.116231840641284</v>
      </c>
      <c r="BD169" s="8">
        <f t="shared" si="62"/>
        <v>24.116231840641284</v>
      </c>
      <c r="BE169" s="8">
        <f>IF(_xlfn.XLOOKUP(E169,Groups!A:A,Groups!BE:BE)=1,(0.048*C169^1.01)+(0.071*C169^1.03),0.071*C169^1.03)/IF(_xlfn.XLOOKUP(E169,Groups!A:A,Groups!M:M)=1,0.85,IF(OR(_xlfn.XLOOKUP(B169,Animals!B:B,Animals!AO:AO)&gt;4,_xlfn.XLOOKUP(E169,Groups!A:A,Groups!BC:BC)=1),1.7,1))*C169^-0.25</f>
        <v>32.063138478804731</v>
      </c>
      <c r="BF169" s="8">
        <f>(0.048*C169^1.01)/IF(_xlfn.XLOOKUP(E169,Groups!A:A,Groups!M:M)=1,0.25,0.8)*C169^-0.25</f>
        <v>38.847981091877756</v>
      </c>
      <c r="BG169" s="8">
        <f>EXP(1.076*LN(AR169)-4.5397)*IF(_xlfn.XLOOKUP(E169,Groups!A:A,Groups!BC:BC)=1,1.25,IF(_xlfn.XLOOKUP(E169,Groups!A:A,Groups!BD:BD)=1,3.5,2.5))</f>
        <v>4525.755372771675</v>
      </c>
      <c r="BH169" s="8">
        <f>EXP(1.076*LN(AS169)-4.5397)*IF(_xlfn.XLOOKUP(E169,Groups!A:A,Groups!M:M)=1,0.8,IF(_xlfn.XLOOKUP(E169,Groups!A:A,Groups!BC:BC)=1,1.3,3))</f>
        <v>4577.4224679256631</v>
      </c>
      <c r="BI169" s="8">
        <f>IF(W169="No","No",IF(_xlfn.XLOOKUP(E169,Groups!A:A,Groups!U:U)=1,'Base stats'!BJ169,IF(OR(_xlfn.XLOOKUP(E169,Groups!A:A,Groups!BD:BD)=1,_xlfn.XLOOKUP(E169,Groups!A:A,Groups!U:U)=2),BG169,BH169))*1.2)</f>
        <v>5430.9064473260096</v>
      </c>
      <c r="BJ169" s="8" t="str">
        <f>IFERROR(EXP(1.076*LN(AT169)-4.5397)*IF(_xlfn.XLOOKUP(E169,Groups!A:A,Groups!N:N)="Insect",1,IF(OR(_xlfn.XLOOKUP(E169,Groups!A:A,Groups!N:N)="Pig",_xlfn.XLOOKUP(E169,Groups!A:A,Groups!N:N)="StrongBitingHerbivore"),3.5,3.75)),"No")</f>
        <v>No</v>
      </c>
      <c r="BK169" s="8">
        <f t="shared" si="63"/>
        <v>19</v>
      </c>
      <c r="BL169" s="8">
        <f t="shared" si="64"/>
        <v>16</v>
      </c>
      <c r="BM169" s="8">
        <f t="shared" si="65"/>
        <v>21</v>
      </c>
      <c r="BN169" s="8" t="str">
        <f t="shared" si="66"/>
        <v>No</v>
      </c>
      <c r="BO169" s="8">
        <f t="shared" si="67"/>
        <v>15</v>
      </c>
      <c r="BP169" s="8" cm="1">
        <f t="array" ref="BP169">IF(AND(_xlfn.XLOOKUP('Base stats'!E169,Groups!A:A,Groups!AD:AD=0),_xlfn.XLOOKUP('Base stats'!E169,Groups!A:A,Groups!P:P=0)),"No",IF(U169="No",AVERAGE(EXP(-0.57+0.99*LN(C169)),EXP(0.32+0.67*LN(C169)))/IF(_xlfn.XLOOKUP(E169,Groups!A:A,Groups!AD:AD)=1,10,2),(0.7354*C169^0.4078)*2/IF(_xlfn.XLOOKUP(E169,Groups!A:A,Groups!BK:BK)=1,1000,100)/IF(_xlfn.XLOOKUP(E169,Groups!A:A,Groups!AJ:AJ)="Photonozoa",3,1)))</f>
        <v>752.75860766571407</v>
      </c>
      <c r="BQ169" s="8">
        <f>IF(W169="No","No",IF(_xlfn.XLOOKUP(E169,Groups!A:A,Groups!BD:BD)=1,(AO169*5%),EXP(0.7354*LN(C169)^0.4078)*2/IF(_xlfn.XLOOKUP(E169,Groups!A:A,Groups!BL:BL)=1,1000,100)/IF(_xlfn.XLOOKUP(E169,Groups!A:A,Groups!AJ:AJ)="Photonozoa",3,1)))</f>
        <v>3.8810251900678831E-3</v>
      </c>
      <c r="BR169" s="8" t="str">
        <f>IF(BJ169="No","No",IF(_xlfn.XLOOKUP(E169,Groups!A:A,Groups!BF:BF)=1,(0.0315*C169+2.1825)*2,(0.7354*C169^0.4078)*2)/IF(_xlfn.XLOOKUP(E169,Groups!A:A,Groups!BM:BM)=1,1000,100)/IF(_xlfn.XLOOKUP(E169,Groups!A:A,Groups!AJ:AJ)="Photonozoa",3,1))</f>
        <v>No</v>
      </c>
      <c r="BS169" s="8">
        <f t="shared" si="68"/>
        <v>0.32141607230364627</v>
      </c>
      <c r="BT169" s="8">
        <f t="shared" si="69"/>
        <v>6.0808636677302674</v>
      </c>
      <c r="BU169" s="8">
        <f t="shared" si="70"/>
        <v>1399348.4147499227</v>
      </c>
      <c r="BV169" s="8" t="str">
        <f t="shared" si="71"/>
        <v>No</v>
      </c>
      <c r="BW169" s="4">
        <v>0</v>
      </c>
      <c r="BX169" s="4">
        <v>1</v>
      </c>
    </row>
    <row r="170" spans="1:76" s="16" customFormat="1" x14ac:dyDescent="0.25">
      <c r="A170" s="26" t="s">
        <v>1169</v>
      </c>
      <c r="B170" s="6" t="s">
        <v>1170</v>
      </c>
      <c r="C170" s="7">
        <v>50</v>
      </c>
      <c r="D170" s="7" t="s">
        <v>1164</v>
      </c>
      <c r="E170" s="7" t="str">
        <f>Groups!$A$68</f>
        <v>Predatory larva (PHOTONOZOA)</v>
      </c>
      <c r="F170" s="7" t="s">
        <v>1700</v>
      </c>
      <c r="G170" s="7">
        <v>3</v>
      </c>
      <c r="H170" s="7">
        <v>6</v>
      </c>
      <c r="I170" s="4">
        <v>1</v>
      </c>
      <c r="J170" s="7" t="s">
        <v>1700</v>
      </c>
      <c r="K170" s="7" t="s">
        <v>528</v>
      </c>
      <c r="L170" s="7">
        <v>25</v>
      </c>
      <c r="M170" s="7" t="s">
        <v>1164</v>
      </c>
      <c r="N170" s="4">
        <v>0</v>
      </c>
      <c r="O170" s="4">
        <v>0</v>
      </c>
      <c r="P170" s="4">
        <v>100</v>
      </c>
      <c r="Q170" s="4">
        <v>100</v>
      </c>
      <c r="R170" s="4">
        <v>1</v>
      </c>
      <c r="S170" s="7">
        <f>_xlfn.XLOOKUP(B170,[1]TeethAdjusters!$A:$A,[1]BiteAdjusters!$C:$C,1)</f>
        <v>1</v>
      </c>
      <c r="T170" s="7">
        <f>_xlfn.XLOOKUP(B170,[1]TeethAdjusters!$A:$A,[1]TeethAdjusters!$B:$B,1)</f>
        <v>1</v>
      </c>
      <c r="U170" s="4">
        <v>10</v>
      </c>
      <c r="V170" s="7">
        <v>2</v>
      </c>
      <c r="W170" s="7" t="s">
        <v>45</v>
      </c>
      <c r="X170" s="7" t="s">
        <v>932</v>
      </c>
      <c r="Y170" s="4" t="s">
        <v>56</v>
      </c>
      <c r="Z170" s="4">
        <v>1</v>
      </c>
      <c r="AA170" s="4">
        <v>0</v>
      </c>
      <c r="AB170" s="4">
        <v>1</v>
      </c>
      <c r="AC170" s="4">
        <v>0</v>
      </c>
      <c r="AD170" s="4">
        <v>0</v>
      </c>
      <c r="AE170" s="4" t="s">
        <v>1881</v>
      </c>
      <c r="AF170" s="4" t="s">
        <v>45</v>
      </c>
      <c r="AG170" s="49" t="s">
        <v>1761</v>
      </c>
      <c r="AH170" s="4" t="s">
        <v>45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4" t="s">
        <v>40</v>
      </c>
      <c r="AO170" s="8">
        <f t="shared" si="57"/>
        <v>14114.109472474363</v>
      </c>
      <c r="AP170" s="8">
        <f>IFERROR(C170*_xlfn.XLOOKUP(E170,Groups!A:A,Groups!K:K),0.106*C170^0.94)</f>
        <v>4.1911930892219962</v>
      </c>
      <c r="AQ170" s="8">
        <f>AP170*10000/(_xlfn.XLOOKUP(E170,Groups!A:A,Groups!J:J)*AO170)</f>
        <v>2.0912013150994331</v>
      </c>
      <c r="AR170" s="8">
        <f t="shared" si="58"/>
        <v>1481.019280401604</v>
      </c>
      <c r="AS170" s="8">
        <f>IF(_xlfn.XLOOKUP(E170,Groups!A:A,Groups!M:M)=1,EXP(0.7444*LN('Base stats'!C170)+6.5696),EXP(0.7927*LN('Base stats'!C170)+4.28))</f>
        <v>13117.597459187402</v>
      </c>
      <c r="AT170" s="8">
        <f>IF(_xlfn.XLOOKUP(E170,Groups!A:A,Groups!N:N)="No","No",
IF(_xlfn.XLOOKUP(E170,Groups!A:A,Groups!N:N)="Crocodile",EXP(0.8129*LN(C170)+4.6742)*S170,
IF(_xlfn.XLOOKUP(E170,Groups!A:A,Groups!N:N)="Felid",EXP(0.7843*LN(C170)+4.7073)*S170,
IF(_xlfn.XLOOKUP(E170,Groups!A:A,Groups!N:N)="Canid",EXP(0.8367*LN(C170)+4.8763)*S170,
IF(_xlfn.XLOOKUP(E170,Groups!A:A,Groups!N:N)="Pig",EXP(0.3439*LN(C170)+6.8519)*S170,
IF(_xlfn.XLOOKUP(E170,Groups!A:A,Groups!N:N)="Rodent",EXP(0.5625*LN(C170)+4.3006)*S170,
IF(_xlfn.XLOOKUP(E170,Groups!A:A,Groups!N:N)="Primate",EXP(0.7847*LN(C170)+3.4931)*S170,
IF(_xlfn.XLOOKUP(E170,Groups!A:A,Groups!N:N)="MiscCarnivora",EXP(0.7486*LN(C170)+4.2207)*S170,
IF(_xlfn.XLOOKUP(E170,Groups!A:A,Groups!N:N)="Lizard",EXP(0.7733*LN(C170)+5.5303)*S170,
IF(_xlfn.XLOOKUP(E170,Groups!A:A,Groups!N:N)="Snake",50*C170^(2/3)*S170,
IF(_xlfn.XLOOKUP(E170,Groups!A:A,Groups!N:N)="StrongBitingHerbivore",87.1133638856975*C170^(2/3)*S170,
IF(_xlfn.XLOOKUP(E170,Groups!A:A,Groups!N:N)="MiscEctotherms",59.4316884072269*C170^(2/3)*S170,
IF(_xlfn.XLOOKUP(E170,Groups!A:A,Groups!N:N)="StrongBeakBird",0.041*(C170*1000)^1.375*S170,
IF(_xlfn.XLOOKUP(E170,Groups!A:A,Groups!N:N)="Bird",0.118*(C170*1000)^0.692*S170,
IF(_xlfn.XLOOKUP(E170,Groups!A:A,Groups!N:N)="Insect",EXP(0.7444*LN(C170)+6.5696)*S170,
IF(_xlfn.XLOOKUP(E170,Groups!A:A,Groups!N:N)="Theropod",EXP(0.6966*LN(C170)+4.158)*S170,
"No"))))))))))))))))</f>
        <v>13117.597459187402</v>
      </c>
      <c r="AU170" s="8">
        <f>IF(_xlfn.XLOOKUP(E170,Groups!A:A,Groups!U:U)=3,AS170,IF(_xlfn.XLOOKUP(E170,Groups!A:A,Groups!U:U)=2,AR170,AT170))</f>
        <v>13117.597459187402</v>
      </c>
      <c r="AV170" s="46">
        <f>IFERROR(AVERAGE(_xlfn.XLOOKUP(B170,Animals!B:B,Animals!N:N),_xlfn.XLOOKUP(B170,Animals!B:B,Animals!O:O)),0)</f>
        <v>0.95000000000000007</v>
      </c>
      <c r="AW170" s="8">
        <f>MROUND(40*Animals!AO170*_xlfn.XLOOKUP(AG170,Leathers!$A$2:$A$99,Leathers!$B$2:$B$99,0)+(140*_xlfn.XLOOKUP(B170,Animals!B:B,Animals!AO:AO)*2),5)</f>
        <v>1090</v>
      </c>
      <c r="AX170" s="8">
        <f>IFERROR(ROUND(SQRT(V170-1)*IF(_xlfn.XLOOKUP(E170,Groups!A:A,Groups!BF:BF)=0,2,1)*IF(_xlfn.XLOOKUP('Base stats'!E170,Groups!A:A,Groups!O:O)=0,1,0.1),1),0)</f>
        <v>2</v>
      </c>
      <c r="AY170" s="8">
        <f t="shared" si="59"/>
        <v>3</v>
      </c>
      <c r="AZ170" s="8">
        <f t="shared" si="60"/>
        <v>0</v>
      </c>
      <c r="BA170" s="8">
        <f t="shared" si="61"/>
        <v>3.3</v>
      </c>
      <c r="BB170" s="8">
        <f>IF(_xlfn.XLOOKUP(E170,Groups!A:A,Groups!N:N)="Insect",BD170*2.5,IFERROR(AVERAGE(BD170,AT170/9.81/IF(OR(_xlfn.XLOOKUP(E170,Groups!A:A,Groups!N:N)="Pig",_xlfn.XLOOKUP(E170,Groups!A:A,Groups!N:N)="StrongBitingHerbivore"),20,25))*C170^-0.135,BD170))</f>
        <v>2.5297065736002207</v>
      </c>
      <c r="BC170" s="8" t="str">
        <f>IF(W170="No","No",IF(_xlfn.XLOOKUP(E170,Groups!A:A,Groups!U:U)=1,'Base stats'!BB170,IF(OR(_xlfn.XLOOKUP(E170,Groups!A:A,Groups!BD:BD)=1,_xlfn.XLOOKUP(E170,Groups!A:A,Groups!U:U)=2),BD170,IF(_xlfn.XLOOKUP(B170,Animals!B:B,Animals!AO:AO)&gt;4,AVERAGE(BD170,BF170),BF170))))</f>
        <v>No</v>
      </c>
      <c r="BD170" s="8">
        <f t="shared" si="62"/>
        <v>1.0118826294400882</v>
      </c>
      <c r="BE170" s="8">
        <f>IF(_xlfn.XLOOKUP(E170,Groups!A:A,Groups!BE:BE)=1,(0.048*C170^1.01)+(0.071*C170^1.03),0.071*C170^1.03)/IF(_xlfn.XLOOKUP(E170,Groups!A:A,Groups!M:M)=1,0.85,IF(OR(_xlfn.XLOOKUP(B170,Animals!B:B,Animals!AO:AO)&gt;4,_xlfn.XLOOKUP(E170,Groups!A:A,Groups!BC:BC)=1),1.7,1))*C170^-0.25</f>
        <v>1.7661843263486061</v>
      </c>
      <c r="BF170" s="8">
        <f>(0.048*C170^1.01)/IF(_xlfn.XLOOKUP(E170,Groups!A:A,Groups!M:M)=1,0.25,0.8)*C170^-0.25</f>
        <v>3.754208874641956</v>
      </c>
      <c r="BG170" s="8">
        <f>EXP(1.076*LN(AR170)-4.5397)*IF(_xlfn.XLOOKUP(E170,Groups!A:A,Groups!BC:BC)=1,1.25,IF(_xlfn.XLOOKUP(E170,Groups!A:A,Groups!BD:BD)=1,3.5,2.5))</f>
        <v>68.848847644384961</v>
      </c>
      <c r="BH170" s="8">
        <f>EXP(1.076*LN(AS170)-4.5397)*IF(_xlfn.XLOOKUP(E170,Groups!A:A,Groups!M:M)=1,0.8,IF(_xlfn.XLOOKUP(E170,Groups!A:A,Groups!BC:BC)=1,1.3,3))</f>
        <v>230.32153898976432</v>
      </c>
      <c r="BI170" s="8" t="str">
        <f>IF(W170="No","No",IF(_xlfn.XLOOKUP(E170,Groups!A:A,Groups!U:U)=1,'Base stats'!BJ170,IF(OR(_xlfn.XLOOKUP(E170,Groups!A:A,Groups!BD:BD)=1,_xlfn.XLOOKUP(E170,Groups!A:A,Groups!U:U)=2),BG170,BH170))*1.2)</f>
        <v>No</v>
      </c>
      <c r="BJ170" s="8">
        <f>IFERROR(EXP(1.076*LN(AT170)-4.5397)*IF(_xlfn.XLOOKUP(E170,Groups!A:A,Groups!N:N)="Insect",1,IF(OR(_xlfn.XLOOKUP(E170,Groups!A:A,Groups!N:N)="Pig",_xlfn.XLOOKUP(E170,Groups!A:A,Groups!N:N)="StrongBitingHerbivore"),3.5,3.75)),"No")</f>
        <v>287.90192373720538</v>
      </c>
      <c r="BK170" s="8">
        <f t="shared" si="63"/>
        <v>11</v>
      </c>
      <c r="BL170" s="8">
        <f t="shared" si="64"/>
        <v>16</v>
      </c>
      <c r="BM170" s="8" t="str">
        <f t="shared" si="65"/>
        <v>No</v>
      </c>
      <c r="BN170" s="8">
        <f t="shared" si="66"/>
        <v>15</v>
      </c>
      <c r="BO170" s="8">
        <f t="shared" si="67"/>
        <v>11</v>
      </c>
      <c r="BP170" s="8" cm="1">
        <f t="array" ref="BP170">IF(AND(_xlfn.XLOOKUP('Base stats'!E170,Groups!A:A,Groups!AD:AD=0),_xlfn.XLOOKUP('Base stats'!E170,Groups!A:A,Groups!P:P=0)),"No",IF(U170="No",AVERAGE(EXP(-0.57+0.99*LN(C170)),EXP(0.32+0.67*LN(C170)))/IF(_xlfn.XLOOKUP(E170,Groups!A:A,Groups!AD:AD)=1,10,2),(0.7354*C170^0.4078)*2/IF(_xlfn.XLOOKUP(E170,Groups!A:A,Groups!BK:BK)=1,1000,100)/IF(_xlfn.XLOOKUP(E170,Groups!A:A,Groups!AJ:AJ)="Photonozoa",3,1)))</f>
        <v>2.4169759791736324E-3</v>
      </c>
      <c r="BQ170" s="8" t="str">
        <f>IF(W170="No","No",IF(_xlfn.XLOOKUP(E170,Groups!A:A,Groups!BD:BD)=1,(AO170*5%),EXP(0.7354*LN(C170)^0.4078)*2/IF(_xlfn.XLOOKUP(E170,Groups!A:A,Groups!BL:BL)=1,1000,100)/IF(_xlfn.XLOOKUP(E170,Groups!A:A,Groups!AJ:AJ)="Photonozoa",3,1)))</f>
        <v>No</v>
      </c>
      <c r="BR170" s="8">
        <f>IF(BJ170="No","No",IF(_xlfn.XLOOKUP(E170,Groups!A:A,Groups!BF:BF)=1,(0.0315*C170+2.1825)*2,(0.7354*C170^0.4078)*2)/IF(_xlfn.XLOOKUP(E170,Groups!A:A,Groups!BM:BM)=1,1000,100)/IF(_xlfn.XLOOKUP(E170,Groups!A:A,Groups!AJ:AJ)="Photonozoa",3,1))</f>
        <v>2.4169759791736324E-3</v>
      </c>
      <c r="BS170" s="8">
        <f t="shared" si="68"/>
        <v>9.756031406537613E-2</v>
      </c>
      <c r="BT170" s="8">
        <f t="shared" si="69"/>
        <v>95293.267692512018</v>
      </c>
      <c r="BU170" s="8" t="str">
        <f t="shared" si="70"/>
        <v>No</v>
      </c>
      <c r="BV170" s="8">
        <f t="shared" si="71"/>
        <v>119116.58461564002</v>
      </c>
      <c r="BW170" s="4">
        <v>0</v>
      </c>
      <c r="BX170" s="4">
        <v>1</v>
      </c>
    </row>
    <row r="171" spans="1:76" s="16" customFormat="1" x14ac:dyDescent="0.25">
      <c r="A171" s="26" t="s">
        <v>1762</v>
      </c>
      <c r="B171" s="6" t="s">
        <v>1763</v>
      </c>
      <c r="C171" s="7">
        <v>75</v>
      </c>
      <c r="D171" s="7" t="s">
        <v>1164</v>
      </c>
      <c r="E171" s="7" t="str">
        <f>Groups!$A$69</f>
        <v>Armored larva (PHOTONOZOA)</v>
      </c>
      <c r="F171" s="7" t="s">
        <v>1700</v>
      </c>
      <c r="G171" s="7">
        <v>3</v>
      </c>
      <c r="H171" s="7">
        <v>6</v>
      </c>
      <c r="I171" s="4">
        <v>1</v>
      </c>
      <c r="J171" s="7" t="s">
        <v>1700</v>
      </c>
      <c r="K171" s="7" t="s">
        <v>528</v>
      </c>
      <c r="L171" s="7">
        <v>25</v>
      </c>
      <c r="M171" s="7" t="s">
        <v>1164</v>
      </c>
      <c r="N171" s="4">
        <v>0</v>
      </c>
      <c r="O171" s="4">
        <v>0</v>
      </c>
      <c r="P171" s="4">
        <v>100</v>
      </c>
      <c r="Q171" s="4">
        <v>100</v>
      </c>
      <c r="R171" s="4">
        <v>1</v>
      </c>
      <c r="S171" s="7">
        <f>_xlfn.XLOOKUP(B171,[1]TeethAdjusters!$A:$A,[1]BiteAdjusters!$C:$C,1)</f>
        <v>1</v>
      </c>
      <c r="T171" s="7">
        <f>_xlfn.XLOOKUP(B171,[1]TeethAdjusters!$A:$A,[1]TeethAdjusters!$B:$B,1)</f>
        <v>1</v>
      </c>
      <c r="U171" s="4">
        <v>10</v>
      </c>
      <c r="V171" s="7">
        <v>2</v>
      </c>
      <c r="W171" s="7" t="s">
        <v>45</v>
      </c>
      <c r="X171" s="7" t="s">
        <v>932</v>
      </c>
      <c r="Y171" s="4" t="s">
        <v>1003</v>
      </c>
      <c r="Z171" s="4">
        <v>1</v>
      </c>
      <c r="AA171" s="4">
        <v>0</v>
      </c>
      <c r="AB171" s="4">
        <v>1</v>
      </c>
      <c r="AC171" s="4">
        <v>0</v>
      </c>
      <c r="AD171" s="4">
        <v>0</v>
      </c>
      <c r="AE171" s="4" t="s">
        <v>1882</v>
      </c>
      <c r="AF171" s="4" t="s">
        <v>45</v>
      </c>
      <c r="AG171" s="49" t="s">
        <v>1761</v>
      </c>
      <c r="AH171" s="4" t="s">
        <v>45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4" t="s">
        <v>40</v>
      </c>
      <c r="AO171" s="8">
        <f t="shared" si="57"/>
        <v>18370.154123032575</v>
      </c>
      <c r="AP171" s="8">
        <f>IFERROR(C171*_xlfn.XLOOKUP(E171,Groups!A:A,Groups!K:K),0.106*C171^0.94)</f>
        <v>6.1356906171139078</v>
      </c>
      <c r="AQ171" s="8">
        <f>AP171*10000/(_xlfn.XLOOKUP(E171,Groups!A:A,Groups!J:J)*AO171)</f>
        <v>2.3521353475602642</v>
      </c>
      <c r="AR171" s="8">
        <f t="shared" si="58"/>
        <v>2085.9553057247513</v>
      </c>
      <c r="AS171" s="8">
        <f>IF(_xlfn.XLOOKUP(E171,Groups!A:A,Groups!M:M)=1,EXP(0.7444*LN('Base stats'!C171)+6.5696),EXP(0.7927*LN('Base stats'!C171)+4.28))</f>
        <v>2213.8156132087702</v>
      </c>
      <c r="AT171" s="8">
        <f>IF(_xlfn.XLOOKUP(E171,Groups!A:A,Groups!N:N)="No","No",
IF(_xlfn.XLOOKUP(E171,Groups!A:A,Groups!N:N)="Crocodile",EXP(0.8129*LN(C171)+4.6742)*S171,
IF(_xlfn.XLOOKUP(E171,Groups!A:A,Groups!N:N)="Felid",EXP(0.7843*LN(C171)+4.7073)*S171,
IF(_xlfn.XLOOKUP(E171,Groups!A:A,Groups!N:N)="Canid",EXP(0.8367*LN(C171)+4.8763)*S171,
IF(_xlfn.XLOOKUP(E171,Groups!A:A,Groups!N:N)="Pig",EXP(0.3439*LN(C171)+6.8519)*S171,
IF(_xlfn.XLOOKUP(E171,Groups!A:A,Groups!N:N)="Rodent",EXP(0.5625*LN(C171)+4.3006)*S171,
IF(_xlfn.XLOOKUP(E171,Groups!A:A,Groups!N:N)="Primate",EXP(0.7847*LN(C171)+3.4931)*S171,
IF(_xlfn.XLOOKUP(E171,Groups!A:A,Groups!N:N)="MiscCarnivora",EXP(0.7486*LN(C171)+4.2207)*S171,
IF(_xlfn.XLOOKUP(E171,Groups!A:A,Groups!N:N)="Lizard",EXP(0.7733*LN(C171)+5.5303)*S171,
IF(_xlfn.XLOOKUP(E171,Groups!A:A,Groups!N:N)="Snake",50*C171^(2/3)*S171,
IF(_xlfn.XLOOKUP(E171,Groups!A:A,Groups!N:N)="StrongBitingHerbivore",87.1133638856975*C171^(2/3)*S171,
IF(_xlfn.XLOOKUP(E171,Groups!A:A,Groups!N:N)="MiscEctotherms",59.4316884072269*C171^(2/3)*S171,
IF(_xlfn.XLOOKUP(E171,Groups!A:A,Groups!N:N)="StrongBeakBird",0.041*(C171*1000)^1.375*S171,
IF(_xlfn.XLOOKUP(E171,Groups!A:A,Groups!N:N)="Bird",0.118*(C171*1000)^0.692*S171,
IF(_xlfn.XLOOKUP(E171,Groups!A:A,Groups!N:N)="Insect",EXP(0.7444*LN(C171)+6.5696)*S171,
IF(_xlfn.XLOOKUP(E171,Groups!A:A,Groups!N:N)="Theropod",EXP(0.6966*LN(C171)+4.158)*S171,
"No"))))))))))))))))</f>
        <v>17739.306305992966</v>
      </c>
      <c r="AU171" s="8">
        <f>IF(_xlfn.XLOOKUP(E171,Groups!A:A,Groups!U:U)=3,AS171,IF(_xlfn.XLOOKUP(E171,Groups!A:A,Groups!U:U)=2,AR171,AT171))</f>
        <v>17739.306305992966</v>
      </c>
      <c r="AV171" s="46">
        <f>IFERROR(AVERAGE(_xlfn.XLOOKUP(B171,Animals!B:B,Animals!N:N),_xlfn.XLOOKUP(B171,Animals!B:B,Animals!O:O)),0)</f>
        <v>0.97500000000000009</v>
      </c>
      <c r="AW171" s="8">
        <f>MROUND(40*Animals!AO171*_xlfn.XLOOKUP(AG171,Leathers!$A$2:$A$99,Leathers!$B$2:$B$99,0)+(140*_xlfn.XLOOKUP(B171,Animals!B:B,Animals!AO:AO)*2),5)</f>
        <v>1345</v>
      </c>
      <c r="AX171" s="8">
        <f>IFERROR(ROUND(SQRT(V171-1)*IF(_xlfn.XLOOKUP(E171,Groups!A:A,Groups!BF:BF)=0,2,1)*IF(_xlfn.XLOOKUP('Base stats'!E171,Groups!A:A,Groups!O:O)=0,1,0.1),1),0)</f>
        <v>2</v>
      </c>
      <c r="AY171" s="8">
        <f t="shared" si="59"/>
        <v>3</v>
      </c>
      <c r="AZ171" s="8">
        <f t="shared" si="60"/>
        <v>0</v>
      </c>
      <c r="BA171" s="8">
        <f t="shared" si="61"/>
        <v>3.8</v>
      </c>
      <c r="BB171" s="8">
        <f>IF(_xlfn.XLOOKUP(E171,Groups!A:A,Groups!N:N)="Insect",BD171*2.5,IFERROR(AVERAGE(BD171,AT171/9.81/IF(OR(_xlfn.XLOOKUP(E171,Groups!A:A,Groups!N:N)="Pig",_xlfn.XLOOKUP(E171,Groups!A:A,Groups!N:N)="StrongBitingHerbivore"),20,25))*C171^-0.135,BD171))</f>
        <v>2.5411029963305514</v>
      </c>
      <c r="BC171" s="8" t="str">
        <f>IF(W171="No","No",IF(_xlfn.XLOOKUP(E171,Groups!A:A,Groups!U:U)=1,'Base stats'!BB171,IF(OR(_xlfn.XLOOKUP(E171,Groups!A:A,Groups!BD:BD)=1,_xlfn.XLOOKUP(E171,Groups!A:A,Groups!U:U)=2),BD171,IF(_xlfn.XLOOKUP(B171,Animals!B:B,Animals!AO:AO)&gt;4,AVERAGE(BD171,BF171),BF171))))</f>
        <v>No</v>
      </c>
      <c r="BD171" s="8">
        <f t="shared" si="62"/>
        <v>1.0164411985322206</v>
      </c>
      <c r="BE171" s="8">
        <f>IF(_xlfn.XLOOKUP(E171,Groups!A:A,Groups!BE:BE)=1,(0.048*C171^1.01)+(0.071*C171^1.03),0.071*C171^1.03)/IF(_xlfn.XLOOKUP(E171,Groups!A:A,Groups!M:M)=1,0.85,IF(OR(_xlfn.XLOOKUP(B171,Animals!B:B,Animals!AO:AO)&gt;4,_xlfn.XLOOKUP(E171,Groups!A:A,Groups!BC:BC)=1),1.7,1))*C171^-0.25</f>
        <v>2.0597102686377133</v>
      </c>
      <c r="BF171" s="8">
        <f>(0.048*C171^1.01)/IF(_xlfn.XLOOKUP(E171,Groups!A:A,Groups!M:M)=1,0.25,0.8)*C171^-0.25</f>
        <v>1.5966061968924099</v>
      </c>
      <c r="BG171" s="8">
        <f>EXP(1.076*LN(AR171)-4.5397)*IF(_xlfn.XLOOKUP(E171,Groups!A:A,Groups!BC:BC)=1,1.25,IF(_xlfn.XLOOKUP(E171,Groups!A:A,Groups!BD:BD)=1,3.5,2.5))</f>
        <v>99.528057496187628</v>
      </c>
      <c r="BH171" s="8">
        <f>EXP(1.076*LN(AS171)-4.5397)*IF(_xlfn.XLOOKUP(E171,Groups!A:A,Groups!M:M)=1,0.8,IF(_xlfn.XLOOKUP(E171,Groups!A:A,Groups!BC:BC)=1,1.3,3))</f>
        <v>127.32884252216101</v>
      </c>
      <c r="BI171" s="8" t="str">
        <f>IF(W171="No","No",IF(_xlfn.XLOOKUP(E171,Groups!A:A,Groups!U:U)=1,'Base stats'!BJ171,IF(OR(_xlfn.XLOOKUP(E171,Groups!A:A,Groups!BD:BD)=1,_xlfn.XLOOKUP(E171,Groups!A:A,Groups!U:U)=2),BG171,BH171))*1.2)</f>
        <v>No</v>
      </c>
      <c r="BJ171" s="8">
        <f>IFERROR(EXP(1.076*LN(AT171)-4.5397)*IF(_xlfn.XLOOKUP(E171,Groups!A:A,Groups!N:N)="Insect",1,IF(OR(_xlfn.XLOOKUP(E171,Groups!A:A,Groups!N:N)="Pig",_xlfn.XLOOKUP(E171,Groups!A:A,Groups!N:N)="StrongBitingHerbivore"),3.5,3.75)),"No")</f>
        <v>398.37232233517256</v>
      </c>
      <c r="BK171" s="8">
        <f t="shared" si="63"/>
        <v>13</v>
      </c>
      <c r="BL171" s="8">
        <f t="shared" si="64"/>
        <v>11</v>
      </c>
      <c r="BM171" s="8" t="str">
        <f t="shared" si="65"/>
        <v>No</v>
      </c>
      <c r="BN171" s="8">
        <f t="shared" si="66"/>
        <v>17</v>
      </c>
      <c r="BO171" s="8">
        <f t="shared" si="67"/>
        <v>12</v>
      </c>
      <c r="BP171" s="8" t="str" cm="1">
        <f t="array" ref="BP171">IF(AND(_xlfn.XLOOKUP('Base stats'!E171,Groups!A:A,Groups!AD:AD=0),_xlfn.XLOOKUP('Base stats'!E171,Groups!A:A,Groups!P:P=0)),"No",IF(U171="No",AVERAGE(EXP(-0.57+0.99*LN(C171)),EXP(0.32+0.67*LN(C171)))/IF(_xlfn.XLOOKUP(E171,Groups!A:A,Groups!AD:AD)=1,10,2),(0.7354*C171^0.4078)*2/IF(_xlfn.XLOOKUP(E171,Groups!A:A,Groups!BK:BK)=1,1000,100)/IF(_xlfn.XLOOKUP(E171,Groups!A:A,Groups!AJ:AJ)="Photonozoa",3,1)))</f>
        <v>No</v>
      </c>
      <c r="BQ171" s="8" t="str">
        <f>IF(W171="No","No",IF(_xlfn.XLOOKUP(E171,Groups!A:A,Groups!BD:BD)=1,(AO171*5%),EXP(0.7354*LN(C171)^0.4078)*2/IF(_xlfn.XLOOKUP(E171,Groups!A:A,Groups!BL:BL)=1,1000,100)/IF(_xlfn.XLOOKUP(E171,Groups!A:A,Groups!AJ:AJ)="Photonozoa",3,1)))</f>
        <v>No</v>
      </c>
      <c r="BR171" s="8">
        <f>IF(BJ171="No","No",IF(_xlfn.XLOOKUP(E171,Groups!A:A,Groups!BF:BF)=1,(0.0315*C171+2.1825)*2,(0.7354*C171^0.4078)*2)/IF(_xlfn.XLOOKUP(E171,Groups!A:A,Groups!BM:BM)=1,1000,100)/IF(_xlfn.XLOOKUP(E171,Groups!A:A,Groups!AJ:AJ)="Photonozoa",3,1))</f>
        <v>2.8515589207612126E-2</v>
      </c>
      <c r="BS171" s="8">
        <f t="shared" si="68"/>
        <v>0.10835843491525086</v>
      </c>
      <c r="BT171" s="8" t="str">
        <f t="shared" si="69"/>
        <v>No</v>
      </c>
      <c r="BU171" s="8" t="str">
        <f t="shared" si="70"/>
        <v>No</v>
      </c>
      <c r="BV171" s="8">
        <f t="shared" si="71"/>
        <v>13970.334592589397</v>
      </c>
      <c r="BW171" s="4">
        <v>0</v>
      </c>
      <c r="BX171" s="4">
        <v>1</v>
      </c>
    </row>
    <row r="172" spans="1:76" s="16" customFormat="1" x14ac:dyDescent="0.25">
      <c r="A172" s="26" t="s">
        <v>1171</v>
      </c>
      <c r="B172" s="6" t="s">
        <v>1172</v>
      </c>
      <c r="C172" s="7">
        <v>100</v>
      </c>
      <c r="D172" s="7" t="s">
        <v>1164</v>
      </c>
      <c r="E172" s="7" t="str">
        <f>Groups!$A$70</f>
        <v>Paragnathia (PHOTONOZOA)</v>
      </c>
      <c r="F172" s="7" t="s">
        <v>1700</v>
      </c>
      <c r="G172" s="7">
        <v>2</v>
      </c>
      <c r="H172" s="7">
        <v>4</v>
      </c>
      <c r="I172" s="4">
        <v>1</v>
      </c>
      <c r="J172" s="7" t="s">
        <v>1700</v>
      </c>
      <c r="K172" s="7" t="s">
        <v>528</v>
      </c>
      <c r="L172" s="7">
        <v>35</v>
      </c>
      <c r="M172" s="7" t="s">
        <v>1164</v>
      </c>
      <c r="N172" s="4">
        <v>0</v>
      </c>
      <c r="O172" s="4">
        <v>0</v>
      </c>
      <c r="P172" s="4">
        <v>100</v>
      </c>
      <c r="Q172" s="4">
        <v>100</v>
      </c>
      <c r="R172" s="4">
        <v>1</v>
      </c>
      <c r="S172" s="7">
        <f>_xlfn.XLOOKUP(B172,[1]TeethAdjusters!$A:$A,[1]BiteAdjusters!$C:$C,1)</f>
        <v>1</v>
      </c>
      <c r="T172" s="7">
        <f>_xlfn.XLOOKUP(B172,[1]TeethAdjusters!$A:$A,[1]TeethAdjusters!$B:$B,1)</f>
        <v>1</v>
      </c>
      <c r="U172" s="7" t="s">
        <v>45</v>
      </c>
      <c r="V172" s="7">
        <v>1</v>
      </c>
      <c r="W172" s="7" t="s">
        <v>45</v>
      </c>
      <c r="X172" s="7" t="s">
        <v>932</v>
      </c>
      <c r="Y172" s="4" t="s">
        <v>1003</v>
      </c>
      <c r="Z172" s="4">
        <v>1</v>
      </c>
      <c r="AA172" s="4">
        <v>0</v>
      </c>
      <c r="AB172" s="4">
        <v>1</v>
      </c>
      <c r="AC172" s="4">
        <v>0</v>
      </c>
      <c r="AD172" s="4">
        <v>0</v>
      </c>
      <c r="AE172" s="4" t="s">
        <v>1883</v>
      </c>
      <c r="AF172" s="4" t="s">
        <v>45</v>
      </c>
      <c r="AG172" s="49" t="s">
        <v>1761</v>
      </c>
      <c r="AH172" s="4" t="s">
        <v>45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4" t="s">
        <v>40</v>
      </c>
      <c r="AO172" s="8">
        <f t="shared" si="57"/>
        <v>22147.411696154573</v>
      </c>
      <c r="AP172" s="8">
        <f>IFERROR(C172*_xlfn.XLOOKUP(E172,Groups!A:A,Groups!K:K),0.106*C172^0.94)</f>
        <v>8.0409222953093469</v>
      </c>
      <c r="AQ172" s="8">
        <f>AP172*10000/(_xlfn.XLOOKUP(E172,Groups!A:A,Groups!J:J)*AO172)</f>
        <v>3.2708445751139892</v>
      </c>
      <c r="AR172" s="8">
        <f t="shared" si="58"/>
        <v>2659.7495843014949</v>
      </c>
      <c r="AS172" s="8">
        <f>IF(_xlfn.XLOOKUP(E172,Groups!A:A,Groups!M:M)=1,EXP(0.7444*LN('Base stats'!C172)+6.5696),EXP(0.7927*LN('Base stats'!C172)+4.28))</f>
        <v>2780.8680507952254</v>
      </c>
      <c r="AT172" s="8">
        <f>IF(_xlfn.XLOOKUP(E172,Groups!A:A,Groups!N:N)="No","No",
IF(_xlfn.XLOOKUP(E172,Groups!A:A,Groups!N:N)="Crocodile",EXP(0.8129*LN(C172)+4.6742)*S172,
IF(_xlfn.XLOOKUP(E172,Groups!A:A,Groups!N:N)="Felid",EXP(0.7843*LN(C172)+4.7073)*S172,
IF(_xlfn.XLOOKUP(E172,Groups!A:A,Groups!N:N)="Canid",EXP(0.8367*LN(C172)+4.8763)*S172,
IF(_xlfn.XLOOKUP(E172,Groups!A:A,Groups!N:N)="Pig",EXP(0.3439*LN(C172)+6.8519)*S172,
IF(_xlfn.XLOOKUP(E172,Groups!A:A,Groups!N:N)="Rodent",EXP(0.5625*LN(C172)+4.3006)*S172,
IF(_xlfn.XLOOKUP(E172,Groups!A:A,Groups!N:N)="Primate",EXP(0.7847*LN(C172)+3.4931)*S172,
IF(_xlfn.XLOOKUP(E172,Groups!A:A,Groups!N:N)="MiscCarnivora",EXP(0.7486*LN(C172)+4.2207)*S172,
IF(_xlfn.XLOOKUP(E172,Groups!A:A,Groups!N:N)="Lizard",EXP(0.7733*LN(C172)+5.5303)*S172,
IF(_xlfn.XLOOKUP(E172,Groups!A:A,Groups!N:N)="Snake",50*C172^(2/3)*S172,
IF(_xlfn.XLOOKUP(E172,Groups!A:A,Groups!N:N)="StrongBitingHerbivore",87.1133638856975*C172^(2/3)*S172,
IF(_xlfn.XLOOKUP(E172,Groups!A:A,Groups!N:N)="MiscEctotherms",59.4316884072269*C172^(2/3)*S172,
IF(_xlfn.XLOOKUP(E172,Groups!A:A,Groups!N:N)="StrongBeakBird",0.041*(C172*1000)^1.375*S172,
IF(_xlfn.XLOOKUP(E172,Groups!A:A,Groups!N:N)="Bird",0.118*(C172*1000)^0.692*S172,
IF(_xlfn.XLOOKUP(E172,Groups!A:A,Groups!N:N)="Insect",EXP(0.7444*LN(C172)+6.5696)*S172,
IF(_xlfn.XLOOKUP(E172,Groups!A:A,Groups!N:N)="Theropod",EXP(0.6966*LN(C172)+4.158)*S172,
"No"))))))))))))))))</f>
        <v>21975.614515210149</v>
      </c>
      <c r="AU172" s="8">
        <f>IF(_xlfn.XLOOKUP(E172,Groups!A:A,Groups!U:U)=3,AS172,IF(_xlfn.XLOOKUP(E172,Groups!A:A,Groups!U:U)=2,AR172,AT172))</f>
        <v>21975.614515210149</v>
      </c>
      <c r="AV172" s="46">
        <f>IFERROR(AVERAGE(_xlfn.XLOOKUP(B172,Animals!B:B,Animals!N:N),_xlfn.XLOOKUP(B172,Animals!B:B,Animals!O:O)),0)</f>
        <v>0.95000000000000007</v>
      </c>
      <c r="AW172" s="8">
        <f>MROUND(40*Animals!AO172*_xlfn.XLOOKUP(AG172,Leathers!$A$2:$A$99,Leathers!$B$2:$B$99,0)+(140*_xlfn.XLOOKUP(B172,Animals!B:B,Animals!AO:AO)*2),5)</f>
        <v>1600</v>
      </c>
      <c r="AX172" s="8">
        <f>IFERROR(ROUND(SQRT(V172-1)*IF(_xlfn.XLOOKUP(E172,Groups!A:A,Groups!BF:BF)=0,2,1)*IF(_xlfn.XLOOKUP('Base stats'!E172,Groups!A:A,Groups!O:O)=0,1,0.1),1),0)</f>
        <v>0</v>
      </c>
      <c r="AY172" s="8">
        <f t="shared" si="59"/>
        <v>0</v>
      </c>
      <c r="AZ172" s="8">
        <f t="shared" si="60"/>
        <v>0</v>
      </c>
      <c r="BA172" s="8">
        <f t="shared" si="61"/>
        <v>4.2</v>
      </c>
      <c r="BB172" s="8">
        <f>IF(_xlfn.XLOOKUP(E172,Groups!A:A,Groups!N:N)="Insect",BD172*2.5,IFERROR(AVERAGE(BD172,AT172/9.81/IF(OR(_xlfn.XLOOKUP(E172,Groups!A:A,Groups!N:N)="Pig",_xlfn.XLOOKUP(E172,Groups!A:A,Groups!N:N)="StrongBitingHerbivore"),20,25))*C172^-0.135,BD172))</f>
        <v>3.1566474154577655</v>
      </c>
      <c r="BC172" s="8" t="str">
        <f>IF(W172="No","No",IF(_xlfn.XLOOKUP(E172,Groups!A:A,Groups!U:U)=1,'Base stats'!BB172,IF(OR(_xlfn.XLOOKUP(E172,Groups!A:A,Groups!BD:BD)=1,_xlfn.XLOOKUP(E172,Groups!A:A,Groups!U:U)=2),BD172,IF(_xlfn.XLOOKUP(B172,Animals!B:B,Animals!AO:AO)&gt;4,AVERAGE(BD172,BF172),BF172))))</f>
        <v>No</v>
      </c>
      <c r="BD172" s="8">
        <f t="shared" si="62"/>
        <v>1.2626589661831062</v>
      </c>
      <c r="BE172" s="8">
        <f>IF(_xlfn.XLOOKUP(E172,Groups!A:A,Groups!BE:BE)=1,(0.048*C172^1.01)+(0.071*C172^1.03),0.071*C172^1.03)/IF(_xlfn.XLOOKUP(E172,Groups!A:A,Groups!M:M)=1,0.85,IF(OR(_xlfn.XLOOKUP(B172,Animals!B:B,Animals!AO:AO)&gt;4,_xlfn.XLOOKUP(E172,Groups!A:A,Groups!BC:BC)=1),1.7,1))*C172^-0.25</f>
        <v>2.5778541888677213</v>
      </c>
      <c r="BF172" s="8">
        <f>(0.048*C172^1.01)/IF(_xlfn.XLOOKUP(E172,Groups!A:A,Groups!M:M)=1,0.25,0.8)*C172^-0.25</f>
        <v>1.986786728895547</v>
      </c>
      <c r="BG172" s="8">
        <f>EXP(1.076*LN(AR172)-4.5397)*IF(_xlfn.XLOOKUP(E172,Groups!A:A,Groups!BC:BC)=1,1.25,IF(_xlfn.XLOOKUP(E172,Groups!A:A,Groups!BD:BD)=1,3.5,2.5))</f>
        <v>129.27126415643053</v>
      </c>
      <c r="BH172" s="8">
        <f>EXP(1.076*LN(AS172)-4.5397)*IF(_xlfn.XLOOKUP(E172,Groups!A:A,Groups!M:M)=1,0.8,IF(_xlfn.XLOOKUP(E172,Groups!A:A,Groups!BC:BC)=1,1.3,3))</f>
        <v>162.73939114543509</v>
      </c>
      <c r="BI172" s="8" t="str">
        <f>IF(W172="No","No",IF(_xlfn.XLOOKUP(E172,Groups!A:A,Groups!U:U)=1,'Base stats'!BJ172,IF(OR(_xlfn.XLOOKUP(E172,Groups!A:A,Groups!BD:BD)=1,_xlfn.XLOOKUP(E172,Groups!A:A,Groups!U:U)=2),BG172,BH172))*1.2)</f>
        <v>No</v>
      </c>
      <c r="BJ172" s="8">
        <f>IFERROR(EXP(1.076*LN(AT172)-4.5397)*IF(_xlfn.XLOOKUP(E172,Groups!A:A,Groups!N:N)="Insect",1,IF(OR(_xlfn.XLOOKUP(E172,Groups!A:A,Groups!N:N)="Pig",_xlfn.XLOOKUP(E172,Groups!A:A,Groups!N:N)="StrongBitingHerbivore"),3.5,3.75)),"No")</f>
        <v>501.60503473544446</v>
      </c>
      <c r="BK172" s="8">
        <f t="shared" si="63"/>
        <v>14</v>
      </c>
      <c r="BL172" s="8">
        <f t="shared" si="64"/>
        <v>11</v>
      </c>
      <c r="BM172" s="8" t="str">
        <f t="shared" si="65"/>
        <v>No</v>
      </c>
      <c r="BN172" s="8">
        <f t="shared" si="66"/>
        <v>17</v>
      </c>
      <c r="BO172" s="8">
        <f t="shared" si="67"/>
        <v>12</v>
      </c>
      <c r="BP172" s="8" t="str" cm="1">
        <f t="array" ref="BP172">IF(AND(_xlfn.XLOOKUP('Base stats'!E172,Groups!A:A,Groups!AD:AD=0),_xlfn.XLOOKUP('Base stats'!E172,Groups!A:A,Groups!P:P=0)),"No",IF(U172="No",AVERAGE(EXP(-0.57+0.99*LN(C172)),EXP(0.32+0.67*LN(C172)))/IF(_xlfn.XLOOKUP(E172,Groups!A:A,Groups!AD:AD)=1,10,2),(0.7354*C172^0.4078)*2/IF(_xlfn.XLOOKUP(E172,Groups!A:A,Groups!BK:BK)=1,1000,100)/IF(_xlfn.XLOOKUP(E172,Groups!A:A,Groups!AJ:AJ)="Photonozoa",3,1)))</f>
        <v>No</v>
      </c>
      <c r="BQ172" s="8" t="str">
        <f>IF(W172="No","No",IF(_xlfn.XLOOKUP(E172,Groups!A:A,Groups!BD:BD)=1,(AO172*5%),EXP(0.7354*LN(C172)^0.4078)*2/IF(_xlfn.XLOOKUP(E172,Groups!A:A,Groups!BL:BL)=1,1000,100)/IF(_xlfn.XLOOKUP(E172,Groups!A:A,Groups!AJ:AJ)="Photonozoa",3,1)))</f>
        <v>No</v>
      </c>
      <c r="BR172" s="8">
        <f>IF(BJ172="No","No",IF(_xlfn.XLOOKUP(E172,Groups!A:A,Groups!BF:BF)=1,(0.0315*C172+2.1825)*2,(0.7354*C172^0.4078)*2)/IF(_xlfn.XLOOKUP(E172,Groups!A:A,Groups!BM:BM)=1,1000,100)/IF(_xlfn.XLOOKUP(E172,Groups!A:A,Groups!AJ:AJ)="Photonozoa",3,1))</f>
        <v>3.2065082856581169E-2</v>
      </c>
      <c r="BS172" s="8">
        <f t="shared" si="68"/>
        <v>0.11673713021632748</v>
      </c>
      <c r="BT172" s="8" t="str">
        <f t="shared" si="69"/>
        <v>No</v>
      </c>
      <c r="BU172" s="8" t="str">
        <f t="shared" si="70"/>
        <v>No</v>
      </c>
      <c r="BV172" s="8">
        <f t="shared" si="71"/>
        <v>15643.341293674312</v>
      </c>
      <c r="BW172" s="4">
        <v>0</v>
      </c>
      <c r="BX172" s="4">
        <v>1</v>
      </c>
    </row>
    <row r="173" spans="1:76" x14ac:dyDescent="0.25">
      <c r="A173" s="26" t="s">
        <v>1185</v>
      </c>
      <c r="B173" s="6" t="s">
        <v>1186</v>
      </c>
      <c r="C173" s="7">
        <v>1.0209999999999999</v>
      </c>
      <c r="D173" s="7" t="s">
        <v>1187</v>
      </c>
      <c r="E173" s="7" t="str">
        <f>Groups!$A$38</f>
        <v>Mustelid</v>
      </c>
      <c r="F173" s="7">
        <v>43</v>
      </c>
      <c r="G173" s="7">
        <v>1</v>
      </c>
      <c r="H173" s="7">
        <v>9.4</v>
      </c>
      <c r="I173" s="4">
        <v>0</v>
      </c>
      <c r="J173" s="7">
        <v>3</v>
      </c>
      <c r="K173" s="7" t="s">
        <v>1187</v>
      </c>
      <c r="L173" s="7">
        <f>MIN(20*C173^0.183,19.9*C173^0.142)</f>
        <v>19.958814040198892</v>
      </c>
      <c r="M173" s="7" t="s">
        <v>626</v>
      </c>
      <c r="N173" s="4">
        <v>0</v>
      </c>
      <c r="O173" s="4">
        <v>0</v>
      </c>
      <c r="P173" s="4">
        <v>0</v>
      </c>
      <c r="Q173" s="4">
        <v>0</v>
      </c>
      <c r="R173" s="4" t="s">
        <v>40</v>
      </c>
      <c r="S173" s="7">
        <f>_xlfn.XLOOKUP(B173,[1]TeethAdjusters!$A:$A,[1]BiteAdjusters!$C:$C,1)</f>
        <v>1.1315200874177178</v>
      </c>
      <c r="T173" s="7">
        <f>_xlfn.XLOOKUP(B173,[1]TeethAdjusters!$A:$A,[1]TeethAdjusters!$B:$B,1)</f>
        <v>1.2697912324530132</v>
      </c>
      <c r="U173" s="7">
        <v>1</v>
      </c>
      <c r="V173" s="7">
        <f>IF(AT173="No","No",IF(_xlfn.XLOOKUP(E173,Groups!A:A,Groups!AM:AM)=1,MROUND(EXP(0.3582*LN(C173)-0.2221)*T173,0.05),IF(_xlfn.XLOOKUP(E173,Groups!A:A,Groups!AM:AM)=2,MROUND(EXP(0.3582*LN(C173)-0.2221)*T173,0.05),"Need a formula")))</f>
        <v>1</v>
      </c>
      <c r="W173" s="7" t="s">
        <v>45</v>
      </c>
      <c r="X173" s="7" t="s">
        <v>932</v>
      </c>
      <c r="Y173" s="4" t="s">
        <v>56</v>
      </c>
      <c r="Z173" s="4">
        <v>1</v>
      </c>
      <c r="AA173" s="4">
        <v>1</v>
      </c>
      <c r="AB173" s="4">
        <v>0</v>
      </c>
      <c r="AC173" s="4">
        <v>0</v>
      </c>
      <c r="AD173" s="4">
        <v>0</v>
      </c>
      <c r="AE173" s="4" t="s">
        <v>45</v>
      </c>
      <c r="AF173" s="4" t="s">
        <v>45</v>
      </c>
      <c r="AG173" s="49" t="s">
        <v>385</v>
      </c>
      <c r="AH173" s="4" t="s">
        <v>45</v>
      </c>
      <c r="AI173" s="4">
        <v>0</v>
      </c>
      <c r="AJ173" s="4">
        <v>0</v>
      </c>
      <c r="AK173" s="4">
        <v>0</v>
      </c>
      <c r="AL173" s="4">
        <v>0</v>
      </c>
      <c r="AM173" s="4">
        <v>1</v>
      </c>
      <c r="AN173" s="44" t="s">
        <v>40</v>
      </c>
      <c r="AO173" s="8">
        <f t="shared" si="57"/>
        <v>1125.096338028226</v>
      </c>
      <c r="AP173" s="8">
        <f>IFERROR(C173*_xlfn.XLOOKUP(E173,Groups!A:A,Groups!K:K),0.106*C173^0.94)</f>
        <v>0.12736974999999998</v>
      </c>
      <c r="AQ173" s="8">
        <f>AP173*10000/(_xlfn.XLOOKUP(E173,Groups!A:A,Groups!J:J)*AO173)</f>
        <v>1.0386042306045133</v>
      </c>
      <c r="AR173" s="8">
        <f t="shared" si="58"/>
        <v>55.343267175725082</v>
      </c>
      <c r="AS173" s="8">
        <f>IF(_xlfn.XLOOKUP(E173,Groups!A:A,Groups!M:M)=1,EXP(0.7444*LN('Base stats'!C173)+6.5696),EXP(0.7927*LN('Base stats'!C173)+4.28))</f>
        <v>73.440409245375434</v>
      </c>
      <c r="AT173" s="8">
        <f>IF(_xlfn.XLOOKUP(E173,Groups!A:A,Groups!N:N)="No","No",
IF(_xlfn.XLOOKUP(E173,Groups!A:A,Groups!N:N)="Crocodile",EXP(0.8129*LN(C173)+4.6742)*S173,
IF(_xlfn.XLOOKUP(E173,Groups!A:A,Groups!N:N)="Felid",EXP(0.7843*LN(C173)+4.7073)*S173,
IF(_xlfn.XLOOKUP(E173,Groups!A:A,Groups!N:N)="Canid",EXP(0.8367*LN(C173)+4.8763)*S173,
IF(_xlfn.XLOOKUP(E173,Groups!A:A,Groups!N:N)="Pig",EXP(0.3439*LN(C173)+6.8519)*S173,
IF(_xlfn.XLOOKUP(E173,Groups!A:A,Groups!N:N)="Rodent",EXP(0.5625*LN(C173)+4.3006)*S173,
IF(_xlfn.XLOOKUP(E173,Groups!A:A,Groups!N:N)="Primate",EXP(0.7847*LN(C173)+3.4931)*S173,
IF(_xlfn.XLOOKUP(E173,Groups!A:A,Groups!N:N)="MiscCarnivora",EXP(0.7486*LN(C173)+4.2207)*S173,
IF(_xlfn.XLOOKUP(E173,Groups!A:A,Groups!N:N)="Lizard",EXP(0.7733*LN(C173)+5.5303)*S173,
IF(_xlfn.XLOOKUP(E173,Groups!A:A,Groups!N:N)="Snake",50*C173^(2/3)*S173,
IF(_xlfn.XLOOKUP(E173,Groups!A:A,Groups!N:N)="StrongBitingHerbivore",87.1133638856975*C173^(2/3)*S173,
IF(_xlfn.XLOOKUP(E173,Groups!A:A,Groups!N:N)="MiscEctotherms",59.4316884072269*C173^(2/3)*S173,
IF(_xlfn.XLOOKUP(E173,Groups!A:A,Groups!N:N)="StrongBeakBird",0.041*(C173*1000)^1.375*S173,
IF(_xlfn.XLOOKUP(E173,Groups!A:A,Groups!N:N)="Bird",0.118*(C173*1000)^0.692*S173,
IF(_xlfn.XLOOKUP(E173,Groups!A:A,Groups!N:N)="Insect",EXP(0.7444*LN(C173)+6.5696)*S173,
IF(_xlfn.XLOOKUP(E173,Groups!A:A,Groups!N:N)="Theropod",EXP(0.6966*LN(C173)+4.158)*S173,
"No"))))))))))))))))</f>
        <v>78.243029663977865</v>
      </c>
      <c r="AU173" s="8">
        <f>IF(_xlfn.XLOOKUP(E173,Groups!A:A,Groups!U:U)=3,AS173,IF(_xlfn.XLOOKUP(E173,Groups!A:A,Groups!U:U)=2,AR173,AT173))</f>
        <v>78.243029663977865</v>
      </c>
      <c r="AV173" s="46">
        <f>IFERROR(AVERAGE(_xlfn.XLOOKUP(B173,Animals!B:B,Animals!N:N),_xlfn.XLOOKUP(B173,Animals!B:B,Animals!O:O)),0)</f>
        <v>0</v>
      </c>
      <c r="AW173" s="8">
        <f>MROUND(40*Animals!AO173*_xlfn.XLOOKUP(AG173,Leathers!$A$2:$A$99,Leathers!$B$2:$B$99,0)+(140*_xlfn.XLOOKUP(B173,Animals!B:B,Animals!AO:AO)*2),5)</f>
        <v>55</v>
      </c>
      <c r="AX173" s="8">
        <f>IFERROR(ROUND(SQRT(V173-1)*IF(_xlfn.XLOOKUP(E173,Groups!A:A,Groups!BF:BF)=0,2,1)*IF(_xlfn.XLOOKUP('Base stats'!E173,Groups!A:A,Groups!O:O)=0,1,0.1),1),0)</f>
        <v>0</v>
      </c>
      <c r="AY173" s="8">
        <f t="shared" si="59"/>
        <v>0</v>
      </c>
      <c r="AZ173" s="8">
        <f t="shared" si="60"/>
        <v>0</v>
      </c>
      <c r="BA173" s="8">
        <f t="shared" si="61"/>
        <v>0.6</v>
      </c>
      <c r="BB173" s="8">
        <f>IF(_xlfn.XLOOKUP(E173,Groups!A:A,Groups!N:N)="Insect",BD173*2.5,IFERROR(AVERAGE(BD173,AT173/9.81/IF(OR(_xlfn.XLOOKUP(E173,Groups!A:A,Groups!N:N)="Pig",_xlfn.XLOOKUP(E173,Groups!A:A,Groups!N:N)="StrongBitingHerbivore"),20,25))*C173^-0.135,BD173))</f>
        <v>0.17895552733039746</v>
      </c>
      <c r="BC173" s="8" t="str">
        <f>IF(W173="No","No",IF(_xlfn.XLOOKUP(E173,Groups!A:A,Groups!U:U)=1,'Base stats'!BB173,IF(OR(_xlfn.XLOOKUP(E173,Groups!A:A,Groups!BD:BD)=1,_xlfn.XLOOKUP(E173,Groups!A:A,Groups!U:U)=2),BD173,IF(_xlfn.XLOOKUP(B173,Animals!B:B,Animals!AO:AO)&gt;4,AVERAGE(BD173,BF173),BF173))))</f>
        <v>No</v>
      </c>
      <c r="BD173" s="8">
        <f t="shared" si="62"/>
        <v>3.9882875123161909E-2</v>
      </c>
      <c r="BE173" s="8">
        <f>IF(_xlfn.XLOOKUP(E173,Groups!A:A,Groups!BE:BE)=1,(0.048*C173^1.01)+(0.071*C173^1.03),0.071*C173^1.03)/IF(_xlfn.XLOOKUP(E173,Groups!A:A,Groups!M:M)=1,0.85,IF(OR(_xlfn.XLOOKUP(B173,Animals!B:B,Animals!AO:AO)&gt;4,_xlfn.XLOOKUP(E173,Groups!A:A,Groups!BC:BC)=1),1.7,1))*C173^-0.25</f>
        <v>7.2160316194939636E-2</v>
      </c>
      <c r="BF173" s="8">
        <f>(0.048*C173^1.01)/IF(_xlfn.XLOOKUP(E173,Groups!A:A,Groups!M:M)=1,0.25,0.8)*C173^-0.25</f>
        <v>6.0955207551135558E-2</v>
      </c>
      <c r="BG173" s="8">
        <f>EXP(1.076*LN(AR173)-4.5397)*IF(_xlfn.XLOOKUP(E173,Groups!A:A,Groups!BC:BC)=1,1.25,IF(_xlfn.XLOOKUP(E173,Groups!A:A,Groups!BD:BD)=1,3.5,2.5))</f>
        <v>2.0040616045550155</v>
      </c>
      <c r="BH173" s="8">
        <f>EXP(1.076*LN(AS173)-4.5397)*IF(_xlfn.XLOOKUP(E173,Groups!A:A,Groups!M:M)=1,0.8,IF(_xlfn.XLOOKUP(E173,Groups!A:A,Groups!BC:BC)=1,1.3,3))</f>
        <v>3.2606242204274993</v>
      </c>
      <c r="BI173" s="8" t="str">
        <f>IF(W173="No","No",IF(_xlfn.XLOOKUP(E173,Groups!A:A,Groups!U:U)=1,'Base stats'!BJ173,IF(OR(_xlfn.XLOOKUP(E173,Groups!A:A,Groups!BD:BD)=1,_xlfn.XLOOKUP(E173,Groups!A:A,Groups!U:U)=2),BG173,BH173))*1.2)</f>
        <v>No</v>
      </c>
      <c r="BJ173" s="8">
        <f>IFERROR(EXP(1.076*LN(AT173)-4.5397)*IF(_xlfn.XLOOKUP(E173,Groups!A:A,Groups!N:N)="Insect",1,IF(OR(_xlfn.XLOOKUP(E173,Groups!A:A,Groups!N:N)="Pig",_xlfn.XLOOKUP(E173,Groups!A:A,Groups!N:N)="StrongBitingHerbivore"),3.5,3.75)),"No")</f>
        <v>4.3632704896905388</v>
      </c>
      <c r="BK173" s="8">
        <f t="shared" si="63"/>
        <v>10</v>
      </c>
      <c r="BL173" s="8">
        <f t="shared" si="64"/>
        <v>9</v>
      </c>
      <c r="BM173" s="8" t="str">
        <f t="shared" si="65"/>
        <v>No</v>
      </c>
      <c r="BN173" s="8">
        <f t="shared" si="66"/>
        <v>6</v>
      </c>
      <c r="BO173" s="8">
        <f t="shared" si="67"/>
        <v>10</v>
      </c>
      <c r="BP173" s="8" cm="1">
        <f t="array" ref="BP173">IF(AND(_xlfn.XLOOKUP('Base stats'!E173,Groups!A:A,Groups!AD:AD=0),_xlfn.XLOOKUP('Base stats'!E173,Groups!A:A,Groups!P:P=0)),"No",IF(U173="No",AVERAGE(EXP(-0.57+0.99*LN(C173)),EXP(0.32+0.67*LN(C173)))/IF(_xlfn.XLOOKUP(E173,Groups!A:A,Groups!AD:AD)=1,10,2),(0.7354*C173^0.4078)*2/IF(_xlfn.XLOOKUP(E173,Groups!A:A,Groups!BK:BK)=1,1000,100)/IF(_xlfn.XLOOKUP(E173,Groups!A:A,Groups!AJ:AJ)="Photonozoa",3,1)))</f>
        <v>1.4833181773242334E-2</v>
      </c>
      <c r="BQ173" s="8" t="str">
        <f>IF(W173="No","No",IF(_xlfn.XLOOKUP(E173,Groups!A:A,Groups!BD:BD)=1,(AO173*5%),EXP(0.7354*LN(C173)^0.4078)*2/IF(_xlfn.XLOOKUP(E173,Groups!A:A,Groups!BL:BL)=1,1000,100)/IF(_xlfn.XLOOKUP(E173,Groups!A:A,Groups!AJ:AJ)="Photonozoa",3,1)))</f>
        <v>No</v>
      </c>
      <c r="BR173" s="8">
        <f>IF(BJ173="No","No",IF(_xlfn.XLOOKUP(E173,Groups!A:A,Groups!BF:BF)=1,(0.0315*C173+2.1825)*2,(0.7354*C173^0.4078)*2)/IF(_xlfn.XLOOKUP(E173,Groups!A:A,Groups!BM:BM)=1,1000,100)/IF(_xlfn.XLOOKUP(E173,Groups!A:A,Groups!AJ:AJ)="Photonozoa",3,1))</f>
        <v>1.4833181773242334E-2</v>
      </c>
      <c r="BS173" s="8">
        <f t="shared" si="68"/>
        <v>3.5624711179261491E-2</v>
      </c>
      <c r="BT173" s="8">
        <f t="shared" si="69"/>
        <v>219.81960918926774</v>
      </c>
      <c r="BU173" s="8" t="str">
        <f t="shared" si="70"/>
        <v>No</v>
      </c>
      <c r="BV173" s="8">
        <f t="shared" si="71"/>
        <v>294.15607227044632</v>
      </c>
      <c r="BW173" s="4">
        <v>0</v>
      </c>
      <c r="BX173" s="4">
        <v>1</v>
      </c>
    </row>
    <row r="174" spans="1:76" x14ac:dyDescent="0.25">
      <c r="A174" s="26" t="s">
        <v>1216</v>
      </c>
      <c r="B174" s="6" t="s">
        <v>1208</v>
      </c>
      <c r="C174" s="7">
        <v>1100</v>
      </c>
      <c r="D174" s="7" t="s">
        <v>1217</v>
      </c>
      <c r="E174" s="7" t="str">
        <f>Groups!$A$47</f>
        <v>Rhinoceros</v>
      </c>
      <c r="F174" s="7">
        <v>474</v>
      </c>
      <c r="G174" s="7">
        <f>1826/365</f>
        <v>5.0027397260273974</v>
      </c>
      <c r="H174" s="7">
        <v>57</v>
      </c>
      <c r="I174" s="4">
        <v>1</v>
      </c>
      <c r="J174" s="7">
        <v>1</v>
      </c>
      <c r="K174" s="7" t="s">
        <v>1217</v>
      </c>
      <c r="L174" s="7">
        <v>45</v>
      </c>
      <c r="M174" s="7" t="s">
        <v>626</v>
      </c>
      <c r="N174" s="4">
        <v>0</v>
      </c>
      <c r="O174" s="4">
        <v>0</v>
      </c>
      <c r="P174" s="4">
        <v>0</v>
      </c>
      <c r="Q174" s="4">
        <v>0</v>
      </c>
      <c r="R174" s="4" t="s">
        <v>40</v>
      </c>
      <c r="S174" s="7">
        <f>_xlfn.XLOOKUP(B174,[1]TeethAdjusters!$A:$A,[1]BiteAdjusters!$C:$C,1)</f>
        <v>1</v>
      </c>
      <c r="T174" s="7">
        <f>_xlfn.XLOOKUP(B174,[1]TeethAdjusters!$A:$A,[1]TeethAdjusters!$B:$B,1)</f>
        <v>1</v>
      </c>
      <c r="U174" s="7" t="s">
        <v>45</v>
      </c>
      <c r="V174" s="7">
        <f>MROUND(22.7/10,0.05)</f>
        <v>2.25</v>
      </c>
      <c r="W174" s="7">
        <f>MROUND(48.26,0.05)</f>
        <v>48.25</v>
      </c>
      <c r="X174" s="7" t="s">
        <v>932</v>
      </c>
      <c r="Y174" s="4" t="s">
        <v>42</v>
      </c>
      <c r="Z174" s="4">
        <v>1</v>
      </c>
      <c r="AA174" s="4">
        <v>0</v>
      </c>
      <c r="AB174" s="4">
        <v>0</v>
      </c>
      <c r="AC174" s="4">
        <v>0</v>
      </c>
      <c r="AD174" s="4">
        <v>0</v>
      </c>
      <c r="AE174" s="4" t="s">
        <v>45</v>
      </c>
      <c r="AF174" s="4" t="s">
        <v>45</v>
      </c>
      <c r="AG174" s="49" t="s">
        <v>393</v>
      </c>
      <c r="AH174" s="4" t="str">
        <f>Animals!$C$25</f>
        <v>&lt;li&gt;Rhinoceros&lt;/li&gt;</v>
      </c>
      <c r="AI174" s="4">
        <v>0</v>
      </c>
      <c r="AJ174" s="4">
        <v>0</v>
      </c>
      <c r="AK174" s="4">
        <v>0</v>
      </c>
      <c r="AL174" s="4">
        <v>0</v>
      </c>
      <c r="AM174" s="4">
        <v>1</v>
      </c>
      <c r="AN174" s="44" t="s">
        <v>40</v>
      </c>
      <c r="AO174" s="8">
        <f t="shared" si="57"/>
        <v>105251.48308535226</v>
      </c>
      <c r="AP174" s="8">
        <f>IFERROR(C174*_xlfn.XLOOKUP(E174,Groups!A:A,Groups!K:K),0.106*C174^0.94)</f>
        <v>76.597569493188232</v>
      </c>
      <c r="AQ174" s="8">
        <f>AP174*10000/(_xlfn.XLOOKUP(E174,Groups!A:A,Groups!J:J)*AO174)</f>
        <v>6.6766754705060203</v>
      </c>
      <c r="AR174" s="8">
        <f t="shared" si="58"/>
        <v>20160.678815796717</v>
      </c>
      <c r="AS174" s="8">
        <f>IF(_xlfn.XLOOKUP(E174,Groups!A:A,Groups!M:M)=1,EXP(0.7444*LN('Base stats'!C174)+6.5696),EXP(0.7927*LN('Base stats'!C174)+4.28))</f>
        <v>18607.685795809553</v>
      </c>
      <c r="AT174" s="8">
        <f>IF(_xlfn.XLOOKUP(E174,Groups!A:A,Groups!N:N)="No","No",
IF(_xlfn.XLOOKUP(E174,Groups!A:A,Groups!N:N)="Crocodile",EXP(0.8129*LN(C174)+4.6742)*S174,
IF(_xlfn.XLOOKUP(E174,Groups!A:A,Groups!N:N)="Felid",EXP(0.7843*LN(C174)+4.7073)*S174,
IF(_xlfn.XLOOKUP(E174,Groups!A:A,Groups!N:N)="Canid",EXP(0.8367*LN(C174)+4.8763)*S174,
IF(_xlfn.XLOOKUP(E174,Groups!A:A,Groups!N:N)="Pig",EXP(0.3439*LN(C174)+6.8519)*S174,
IF(_xlfn.XLOOKUP(E174,Groups!A:A,Groups!N:N)="Rodent",EXP(0.5625*LN(C174)+4.3006)*S174,
IF(_xlfn.XLOOKUP(E174,Groups!A:A,Groups!N:N)="Primate",EXP(0.7847*LN(C174)+3.4931)*S174,
IF(_xlfn.XLOOKUP(E174,Groups!A:A,Groups!N:N)="MiscCarnivora",EXP(0.7486*LN(C174)+4.2207)*S174,
IF(_xlfn.XLOOKUP(E174,Groups!A:A,Groups!N:N)="Lizard",EXP(0.7733*LN(C174)+5.5303)*S174,
IF(_xlfn.XLOOKUP(E174,Groups!A:A,Groups!N:N)="Snake",50*C174^(2/3)*S174,
IF(_xlfn.XLOOKUP(E174,Groups!A:A,Groups!N:N)="StrongBitingHerbivore",87.1133638856975*C174^(2/3)*S174,
IF(_xlfn.XLOOKUP(E174,Groups!A:A,Groups!N:N)="MiscEctotherms",59.4316884072269*C174^(2/3)*S174,
IF(_xlfn.XLOOKUP(E174,Groups!A:A,Groups!N:N)="StrongBeakBird",0.041*(C174*1000)^1.375*S174,
IF(_xlfn.XLOOKUP(E174,Groups!A:A,Groups!N:N)="Bird",0.118*(C174*1000)^0.692*S174,
IF(_xlfn.XLOOKUP(E174,Groups!A:A,Groups!N:N)="Insect",EXP(0.7444*LN(C174)+6.5696)*S174,
IF(_xlfn.XLOOKUP(E174,Groups!A:A,Groups!N:N)="Theropod",EXP(0.6966*LN(C174)+4.158)*S174,
"No"))))))))))))))))</f>
        <v>9282.8195408862866</v>
      </c>
      <c r="AU174" s="8">
        <f>IF(_xlfn.XLOOKUP(E174,Groups!A:A,Groups!U:U)=3,AS174,IF(_xlfn.XLOOKUP(E174,Groups!A:A,Groups!U:U)=2,AR174,AT174))</f>
        <v>20160.678815796717</v>
      </c>
      <c r="AV174" s="46">
        <f>IFERROR(AVERAGE(_xlfn.XLOOKUP(B174,Animals!B:B,Animals!N:N),_xlfn.XLOOKUP(B174,Animals!B:B,Animals!O:O)),0)</f>
        <v>0.17500000000000002</v>
      </c>
      <c r="AW174" s="8">
        <f>MROUND(40*Animals!AO174*_xlfn.XLOOKUP(AG174,Leathers!$A$2:$A$99,Leathers!$B$2:$B$99,0)+(140*_xlfn.XLOOKUP(B174,Animals!B:B,Animals!AO:AO)*2),5)</f>
        <v>1570</v>
      </c>
      <c r="AX174" s="8">
        <f>IFERROR(ROUND(SQRT(V174-1)*IF(_xlfn.XLOOKUP(E174,Groups!A:A,Groups!BF:BF)=0,2,1)*IF(_xlfn.XLOOKUP('Base stats'!E174,Groups!A:A,Groups!O:O)=0,1,0.1),1),0)</f>
        <v>2.2000000000000002</v>
      </c>
      <c r="AY174" s="8">
        <f t="shared" si="59"/>
        <v>0</v>
      </c>
      <c r="AZ174" s="8">
        <f t="shared" si="60"/>
        <v>6.9</v>
      </c>
      <c r="BA174" s="8">
        <f t="shared" si="61"/>
        <v>9.8000000000000007</v>
      </c>
      <c r="BB174" s="8">
        <f>IF(_xlfn.XLOOKUP(E174,Groups!A:A,Groups!N:N)="Insect",BD174*2.5,IFERROR(AVERAGE(BD174,AT174/9.81/IF(OR(_xlfn.XLOOKUP(E174,Groups!A:A,Groups!N:N)="Pig",_xlfn.XLOOKUP(E174,Groups!A:A,Groups!N:N)="StrongBitingHerbivore"),20,25))*C174^-0.135,BD174))</f>
        <v>10.6868186552502</v>
      </c>
      <c r="BC174" s="8">
        <f>IF(W174="No","No",IF(_xlfn.XLOOKUP(E174,Groups!A:A,Groups!U:U)=1,'Base stats'!BB174,IF(OR(_xlfn.XLOOKUP(E174,Groups!A:A,Groups!BD:BD)=1,_xlfn.XLOOKUP(E174,Groups!A:A,Groups!U:U)=2),BD174,IF(_xlfn.XLOOKUP(B174,Animals!B:B,Animals!AO:AO)&gt;4,AVERAGE(BD174,BF174),BF174))))</f>
        <v>7.700096211174249</v>
      </c>
      <c r="BD174" s="8">
        <f t="shared" si="62"/>
        <v>7.700096211174249</v>
      </c>
      <c r="BE174" s="8">
        <f>IF(_xlfn.XLOOKUP(E174,Groups!A:A,Groups!BE:BE)=1,(0.048*C174^1.01)+(0.071*C174^1.03),0.071*C174^1.03)/IF(_xlfn.XLOOKUP(E174,Groups!A:A,Groups!M:M)=1,0.85,IF(OR(_xlfn.XLOOKUP(B174,Animals!B:B,Animals!AO:AO)&gt;4,_xlfn.XLOOKUP(E174,Groups!A:A,Groups!BC:BC)=1),1.7,1))*C174^-0.25</f>
        <v>16.731876222688001</v>
      </c>
      <c r="BF174" s="8">
        <f>(0.048*C174^1.01)/IF(_xlfn.XLOOKUP(E174,Groups!A:A,Groups!M:M)=1,0.25,0.8)*C174^-0.25</f>
        <v>12.291636010376193</v>
      </c>
      <c r="BG174" s="8">
        <f>EXP(1.076*LN(AR174)-4.5397)*IF(_xlfn.XLOOKUP(E174,Groups!A:A,Groups!BC:BC)=1,1.25,IF(_xlfn.XLOOKUP(E174,Groups!A:A,Groups!BD:BD)=1,3.5,2.5))</f>
        <v>1142.9333135956558</v>
      </c>
      <c r="BH174" s="8">
        <f>EXP(1.076*LN(AS174)-4.5397)*IF(_xlfn.XLOOKUP(E174,Groups!A:A,Groups!M:M)=1,0.8,IF(_xlfn.XLOOKUP(E174,Groups!A:A,Groups!BC:BC)=1,1.3,3))</f>
        <v>1258.182322275647</v>
      </c>
      <c r="BI174" s="8">
        <f>IF(W174="No","No",IF(_xlfn.XLOOKUP(E174,Groups!A:A,Groups!U:U)=1,'Base stats'!BJ174,IF(OR(_xlfn.XLOOKUP(E174,Groups!A:A,Groups!BD:BD)=1,_xlfn.XLOOKUP(E174,Groups!A:A,Groups!U:U)=2),BG174,BH174))*1.2)</f>
        <v>1371.5199763147868</v>
      </c>
      <c r="BJ174" s="8">
        <f>IFERROR(EXP(1.076*LN(AT174)-4.5397)*IF(_xlfn.XLOOKUP(E174,Groups!A:A,Groups!N:N)="Insect",1,IF(OR(_xlfn.XLOOKUP(E174,Groups!A:A,Groups!N:N)="Pig",_xlfn.XLOOKUP(E174,Groups!A:A,Groups!N:N)="StrongBitingHerbivore"),3.5,3.75)),"No")</f>
        <v>694.58430497858171</v>
      </c>
      <c r="BK174" s="8">
        <f t="shared" si="63"/>
        <v>17</v>
      </c>
      <c r="BL174" s="8">
        <f t="shared" si="64"/>
        <v>12</v>
      </c>
      <c r="BM174" s="8">
        <f t="shared" si="65"/>
        <v>18</v>
      </c>
      <c r="BN174" s="8">
        <f t="shared" si="66"/>
        <v>11</v>
      </c>
      <c r="BO174" s="8">
        <f t="shared" si="67"/>
        <v>14</v>
      </c>
      <c r="BP174" s="8" t="str" cm="1">
        <f t="array" ref="BP174">IF(AND(_xlfn.XLOOKUP('Base stats'!E174,Groups!A:A,Groups!AD:AD=0),_xlfn.XLOOKUP('Base stats'!E174,Groups!A:A,Groups!P:P=0)),"No",IF(U174="No",AVERAGE(EXP(-0.57+0.99*LN(C174)),EXP(0.32+0.67*LN(C174)))/IF(_xlfn.XLOOKUP(E174,Groups!A:A,Groups!AD:AD)=1,10,2),(0.7354*C174^0.4078)*2/IF(_xlfn.XLOOKUP(E174,Groups!A:A,Groups!BK:BK)=1,1000,100)/IF(_xlfn.XLOOKUP(E174,Groups!A:A,Groups!AJ:AJ)="Photonozoa",3,1)))</f>
        <v>No</v>
      </c>
      <c r="BQ174" s="8">
        <f>IF(W174="No","No",IF(_xlfn.XLOOKUP(E174,Groups!A:A,Groups!BD:BD)=1,(AO174*5%),EXP(0.7354*LN(C174)^0.4078)*2/IF(_xlfn.XLOOKUP(E174,Groups!A:A,Groups!BL:BL)=1,1000,100)/IF(_xlfn.XLOOKUP(E174,Groups!A:A,Groups!AJ:AJ)="Photonozoa",3,1)))</f>
        <v>0.10171249757005109</v>
      </c>
      <c r="BR174" s="8">
        <f>IF(BJ174="No","No",IF(_xlfn.XLOOKUP(E174,Groups!A:A,Groups!BF:BF)=1,(0.0315*C174+2.1825)*2,(0.7354*C174^0.4078)*2)/IF(_xlfn.XLOOKUP(E174,Groups!A:A,Groups!BM:BM)=1,1000,100)/IF(_xlfn.XLOOKUP(E174,Groups!A:A,Groups!AJ:AJ)="Photonozoa",3,1))</f>
        <v>0.25576055059574831</v>
      </c>
      <c r="BS174" s="8">
        <f t="shared" si="68"/>
        <v>0.21718141732384133</v>
      </c>
      <c r="BT174" s="8" t="str">
        <f t="shared" si="69"/>
        <v>No</v>
      </c>
      <c r="BU174" s="8">
        <f t="shared" si="70"/>
        <v>13484.281765573578</v>
      </c>
      <c r="BV174" s="8">
        <f t="shared" si="71"/>
        <v>2715.7601254793681</v>
      </c>
      <c r="BW174" s="4">
        <v>0</v>
      </c>
      <c r="BX174" s="4">
        <v>1</v>
      </c>
    </row>
    <row r="175" spans="1:76" x14ac:dyDescent="0.25">
      <c r="A175" s="26" t="s">
        <v>1200</v>
      </c>
      <c r="B175" s="6" t="s">
        <v>1209</v>
      </c>
      <c r="C175" s="7">
        <v>39.924999999999997</v>
      </c>
      <c r="D175" s="7" t="s">
        <v>1218</v>
      </c>
      <c r="E175" s="7" t="str">
        <f>Groups!$A$45</f>
        <v>Ape</v>
      </c>
      <c r="F175" s="7">
        <v>232</v>
      </c>
      <c r="G175" s="7">
        <f>3194/365</f>
        <v>8.75068493150685</v>
      </c>
      <c r="H175" s="7">
        <v>55</v>
      </c>
      <c r="I175" s="4">
        <v>1</v>
      </c>
      <c r="J175" s="7">
        <v>1</v>
      </c>
      <c r="K175" s="7" t="s">
        <v>1218</v>
      </c>
      <c r="L175" s="7">
        <v>32</v>
      </c>
      <c r="M175" s="7" t="s">
        <v>626</v>
      </c>
      <c r="N175" s="4">
        <v>0</v>
      </c>
      <c r="O175" s="4">
        <v>0</v>
      </c>
      <c r="P175" s="4">
        <v>0</v>
      </c>
      <c r="Q175" s="4">
        <v>0</v>
      </c>
      <c r="R175" s="4" t="s">
        <v>40</v>
      </c>
      <c r="S175" s="7">
        <f>_xlfn.XLOOKUP(B175,[1]TeethAdjusters!$A:$A,[1]BiteAdjusters!$C:$C,1)</f>
        <v>2.1366378200334371</v>
      </c>
      <c r="T175" s="7">
        <f>_xlfn.XLOOKUP(B175,[1]TeethAdjusters!$A:$A,[1]TeethAdjusters!$B:$B,1)</f>
        <v>0.52290607632225938</v>
      </c>
      <c r="U175" s="7" t="s">
        <v>45</v>
      </c>
      <c r="V175" s="7">
        <f>IF(AT175="No","No",IF(_xlfn.XLOOKUP(E175,Groups!A:A,Groups!AM:AM)=1,MROUND(EXP(0.3582*LN(C175)-0.2221)*T175,0.05),IF(_xlfn.XLOOKUP(E175,Groups!A:A,Groups!AM:AM)=2,MROUND(EXP(0.3582*LN(C175)-0.2221)*T175,0.05),"Need a formula")))</f>
        <v>1.55</v>
      </c>
      <c r="W175" s="7" t="s">
        <v>45</v>
      </c>
      <c r="X175" s="7" t="s">
        <v>932</v>
      </c>
      <c r="Y175" s="4" t="s">
        <v>42</v>
      </c>
      <c r="Z175" s="4">
        <v>1</v>
      </c>
      <c r="AA175" s="4">
        <v>0</v>
      </c>
      <c r="AB175" s="4">
        <v>0</v>
      </c>
      <c r="AC175" s="4">
        <v>0</v>
      </c>
      <c r="AD175" s="4">
        <v>0</v>
      </c>
      <c r="AE175" s="4" t="s">
        <v>1046</v>
      </c>
      <c r="AF175" s="4" t="s">
        <v>398</v>
      </c>
      <c r="AG175" s="49" t="s">
        <v>385</v>
      </c>
      <c r="AH175" s="4" t="str">
        <f>Animals!$C$31</f>
        <v>&lt;li&gt;Monkey&lt;/li&gt;</v>
      </c>
      <c r="AI175" s="4">
        <v>0</v>
      </c>
      <c r="AJ175" s="4">
        <v>0</v>
      </c>
      <c r="AK175" s="4">
        <v>0</v>
      </c>
      <c r="AL175" s="4">
        <v>0</v>
      </c>
      <c r="AM175" s="4">
        <v>1</v>
      </c>
      <c r="AN175" s="44" t="s">
        <v>40</v>
      </c>
      <c r="AO175" s="8">
        <f t="shared" si="57"/>
        <v>12193.606615764173</v>
      </c>
      <c r="AP175" s="8">
        <f>IFERROR(C175*_xlfn.XLOOKUP(E175,Groups!A:A,Groups!K:K),0.106*C175^0.94)</f>
        <v>3.392158171478437</v>
      </c>
      <c r="AQ175" s="8">
        <f>AP175*10000/(_xlfn.XLOOKUP(E175,Groups!A:A,Groups!J:J)*AO175)</f>
        <v>2.5522159398920881</v>
      </c>
      <c r="AR175" s="8">
        <f t="shared" si="58"/>
        <v>1224.6509893194125</v>
      </c>
      <c r="AS175" s="8">
        <f>IF(_xlfn.XLOOKUP(E175,Groups!A:A,Groups!M:M)=1,EXP(0.7444*LN('Base stats'!C175)+6.5696),EXP(0.7927*LN('Base stats'!C175)+4.28))</f>
        <v>1343.0347023471277</v>
      </c>
      <c r="AT175" s="8">
        <f>IF(_xlfn.XLOOKUP(E175,Groups!A:A,Groups!N:N)="No","No",
IF(_xlfn.XLOOKUP(E175,Groups!A:A,Groups!N:N)="Crocodile",EXP(0.8129*LN(C175)+4.6742)*S175,
IF(_xlfn.XLOOKUP(E175,Groups!A:A,Groups!N:N)="Felid",EXP(0.7843*LN(C175)+4.7073)*S175,
IF(_xlfn.XLOOKUP(E175,Groups!A:A,Groups!N:N)="Canid",EXP(0.8367*LN(C175)+4.8763)*S175,
IF(_xlfn.XLOOKUP(E175,Groups!A:A,Groups!N:N)="Pig",EXP(0.3439*LN(C175)+6.8519)*S175,
IF(_xlfn.XLOOKUP(E175,Groups!A:A,Groups!N:N)="Rodent",EXP(0.5625*LN(C175)+4.3006)*S175,
IF(_xlfn.XLOOKUP(E175,Groups!A:A,Groups!N:N)="Primate",EXP(0.7847*LN(C175)+3.4931)*S175,
IF(_xlfn.XLOOKUP(E175,Groups!A:A,Groups!N:N)="MiscCarnivora",EXP(0.7486*LN(C175)+4.2207)*S175,
IF(_xlfn.XLOOKUP(E175,Groups!A:A,Groups!N:N)="Lizard",EXP(0.7733*LN(C175)+5.5303)*S175,
IF(_xlfn.XLOOKUP(E175,Groups!A:A,Groups!N:N)="Snake",50*C175^(2/3)*S175,
IF(_xlfn.XLOOKUP(E175,Groups!A:A,Groups!N:N)="StrongBitingHerbivore",87.1133638856975*C175^(2/3)*S175,
IF(_xlfn.XLOOKUP(E175,Groups!A:A,Groups!N:N)="MiscEctotherms",59.4316884072269*C175^(2/3)*S175,
IF(_xlfn.XLOOKUP(E175,Groups!A:A,Groups!N:N)="StrongBeakBird",0.041*(C175*1000)^1.375*S175,
IF(_xlfn.XLOOKUP(E175,Groups!A:A,Groups!N:N)="Bird",0.118*(C175*1000)^0.692*S175,
IF(_xlfn.XLOOKUP(E175,Groups!A:A,Groups!N:N)="Insect",EXP(0.7444*LN(C175)+6.5696)*S175,
IF(_xlfn.XLOOKUP(E175,Groups!A:A,Groups!N:N)="Theropod",EXP(0.6966*LN(C175)+4.158)*S175,
"No"))))))))))))))))</f>
        <v>1268.4164294453722</v>
      </c>
      <c r="AU175" s="8">
        <f>IF(_xlfn.XLOOKUP(E175,Groups!A:A,Groups!U:U)=3,AS175,IF(_xlfn.XLOOKUP(E175,Groups!A:A,Groups!U:U)=2,AR175,AT175))</f>
        <v>1268.4164294453722</v>
      </c>
      <c r="AV175" s="46">
        <f>IFERROR(AVERAGE(_xlfn.XLOOKUP(B175,Animals!B:B,Animals!N:N),_xlfn.XLOOKUP(B175,Animals!B:B,Animals!O:O)),0)</f>
        <v>0</v>
      </c>
      <c r="AW175" s="8">
        <f>MROUND(40*Animals!AO175*_xlfn.XLOOKUP(AG175,Leathers!$A$2:$A$99,Leathers!$B$2:$B$99,0)+(140*_xlfn.XLOOKUP(B175,Animals!B:B,Animals!AO:AO)*2),5)</f>
        <v>285</v>
      </c>
      <c r="AX175" s="8">
        <f>IFERROR(ROUND(SQRT(V175-1)*IF(_xlfn.XLOOKUP(E175,Groups!A:A,Groups!BF:BF)=0,2,1)*IF(_xlfn.XLOOKUP('Base stats'!E175,Groups!A:A,Groups!O:O)=0,1,0.1),1),0)</f>
        <v>1.5</v>
      </c>
      <c r="AY175" s="8">
        <f t="shared" si="59"/>
        <v>0</v>
      </c>
      <c r="AZ175" s="8">
        <f t="shared" si="60"/>
        <v>0</v>
      </c>
      <c r="BA175" s="8">
        <f t="shared" si="61"/>
        <v>3</v>
      </c>
      <c r="BB175" s="8">
        <f>IF(_xlfn.XLOOKUP(E175,Groups!A:A,Groups!N:N)="Insect",BD175*2.5,IFERROR(AVERAGE(BD175,AT175/9.81/IF(OR(_xlfn.XLOOKUP(E175,Groups!A:A,Groups!N:N)="Pig",_xlfn.XLOOKUP(E175,Groups!A:A,Groups!N:N)="StrongBitingHerbivore"),20,25))*C175^-0.135,BD175))</f>
        <v>1.764063579069902</v>
      </c>
      <c r="BC175" s="8" t="str">
        <f>IF(W175="No","No",IF(_xlfn.XLOOKUP(E175,Groups!A:A,Groups!U:U)=1,'Base stats'!BB175,IF(OR(_xlfn.XLOOKUP(E175,Groups!A:A,Groups!BD:BD)=1,_xlfn.XLOOKUP(E175,Groups!A:A,Groups!U:U)=2),BD175,IF(_xlfn.XLOOKUP(B175,Animals!B:B,Animals!AO:AO)&gt;4,AVERAGE(BD175,BF175),BF175))))</f>
        <v>No</v>
      </c>
      <c r="BD175" s="8">
        <f t="shared" si="62"/>
        <v>0.63186564097306441</v>
      </c>
      <c r="BE175" s="8">
        <f>IF(_xlfn.XLOOKUP(E175,Groups!A:A,Groups!BE:BE)=1,(0.048*C175^1.01)+(0.071*C175^1.03),0.071*C175^1.03)/IF(_xlfn.XLOOKUP(E175,Groups!A:A,Groups!M:M)=1,0.85,IF(OR(_xlfn.XLOOKUP(B175,Animals!B:B,Animals!AO:AO)&gt;4,_xlfn.XLOOKUP(E175,Groups!A:A,Groups!BC:BC)=1),1.7,1))*C175^-0.25</f>
        <v>1.2595905394485822</v>
      </c>
      <c r="BF175" s="8">
        <f>(0.048*C175^1.01)/IF(_xlfn.XLOOKUP(E175,Groups!A:A,Groups!M:M)=1,0.25,0.8)*C175^-0.25</f>
        <v>0.98877480869839474</v>
      </c>
      <c r="BG175" s="8">
        <f>EXP(1.076*LN(AR175)-4.5397)*IF(_xlfn.XLOOKUP(E175,Groups!A:A,Groups!BC:BC)=1,1.25,IF(_xlfn.XLOOKUP(E175,Groups!A:A,Groups!BD:BD)=1,3.5,2.5))</f>
        <v>56.114438879003373</v>
      </c>
      <c r="BH175" s="8">
        <f>EXP(1.076*LN(AS175)-4.5397)*IF(_xlfn.XLOOKUP(E175,Groups!A:A,Groups!M:M)=1,0.8,IF(_xlfn.XLOOKUP(E175,Groups!A:A,Groups!BC:BC)=1,1.3,3))</f>
        <v>74.366348840447856</v>
      </c>
      <c r="BI175" s="8" t="str">
        <f>IF(W175="No","No",IF(_xlfn.XLOOKUP(E175,Groups!A:A,Groups!U:U)=1,'Base stats'!BJ175,IF(OR(_xlfn.XLOOKUP(E175,Groups!A:A,Groups!BD:BD)=1,_xlfn.XLOOKUP(E175,Groups!A:A,Groups!U:U)=2),BG175,BH175))*1.2)</f>
        <v>No</v>
      </c>
      <c r="BJ175" s="8">
        <f>IFERROR(EXP(1.076*LN(AT175)-4.5397)*IF(_xlfn.XLOOKUP(E175,Groups!A:A,Groups!N:N)="Insect",1,IF(OR(_xlfn.XLOOKUP(E175,Groups!A:A,Groups!N:N)="Pig",_xlfn.XLOOKUP(E175,Groups!A:A,Groups!N:N)="StrongBitingHerbivore"),3.5,3.75)),"No")</f>
        <v>87.412666440387568</v>
      </c>
      <c r="BK175" s="8">
        <f t="shared" si="63"/>
        <v>13</v>
      </c>
      <c r="BL175" s="8">
        <f t="shared" si="64"/>
        <v>10</v>
      </c>
      <c r="BM175" s="8" t="str">
        <f t="shared" si="65"/>
        <v>No</v>
      </c>
      <c r="BN175" s="8">
        <f t="shared" si="66"/>
        <v>9</v>
      </c>
      <c r="BO175" s="8">
        <f t="shared" si="67"/>
        <v>12</v>
      </c>
      <c r="BP175" s="8" cm="1">
        <f t="array" ref="BP175">IF(AND(_xlfn.XLOOKUP('Base stats'!E175,Groups!A:A,Groups!AD:AD=0),_xlfn.XLOOKUP('Base stats'!E175,Groups!A:A,Groups!P:P=0)),"No",IF(U175="No",AVERAGE(EXP(-0.57+0.99*LN(C175)),EXP(0.32+0.67*LN(C175)))/IF(_xlfn.XLOOKUP(E175,Groups!A:A,Groups!AD:AD)=1,10,2),(0.7354*C175^0.4078)*2/IF(_xlfn.XLOOKUP(E175,Groups!A:A,Groups!BK:BK)=1,1000,100)/IF(_xlfn.XLOOKUP(E175,Groups!A:A,Groups!AJ:AJ)="Photonozoa",3,1)))</f>
        <v>1.9023530295960598</v>
      </c>
      <c r="BQ175" s="8" t="str">
        <f>IF(W175="No","No",IF(_xlfn.XLOOKUP(E175,Groups!A:A,Groups!BD:BD)=1,(AO175*5%),EXP(0.7354*LN(C175)^0.4078)*2/IF(_xlfn.XLOOKUP(E175,Groups!A:A,Groups!BL:BL)=1,1000,100)/IF(_xlfn.XLOOKUP(E175,Groups!A:A,Groups!AJ:AJ)="Photonozoa",3,1)))</f>
        <v>No</v>
      </c>
      <c r="BR175" s="8">
        <f>IF(BJ175="No","No",IF(_xlfn.XLOOKUP(E175,Groups!A:A,Groups!BF:BF)=1,(0.0315*C175+2.1825)*2,(0.7354*C175^0.4078)*2)/IF(_xlfn.XLOOKUP(E175,Groups!A:A,Groups!BM:BM)=1,1000,100)/IF(_xlfn.XLOOKUP(E175,Groups!A:A,Groups!AJ:AJ)="Photonozoa",3,1))</f>
        <v>6.6151744499875986E-2</v>
      </c>
      <c r="BS175" s="8">
        <f t="shared" si="68"/>
        <v>9.2039116312736133E-2</v>
      </c>
      <c r="BT175" s="8">
        <f t="shared" si="69"/>
        <v>39.091770919217133</v>
      </c>
      <c r="BU175" s="8" t="str">
        <f t="shared" si="70"/>
        <v>No</v>
      </c>
      <c r="BV175" s="8">
        <f t="shared" si="71"/>
        <v>1321.3962398308549</v>
      </c>
      <c r="BW175" s="4">
        <v>0</v>
      </c>
      <c r="BX175" s="4">
        <v>1</v>
      </c>
    </row>
    <row r="176" spans="1:76" x14ac:dyDescent="0.25">
      <c r="A176" s="26" t="s">
        <v>1201</v>
      </c>
      <c r="B176" s="6" t="s">
        <v>1210</v>
      </c>
      <c r="C176" s="7">
        <v>158</v>
      </c>
      <c r="D176" s="7" t="s">
        <v>1219</v>
      </c>
      <c r="E176" s="7" t="str">
        <f>Groups!$A$13</f>
        <v>Bird</v>
      </c>
      <c r="F176" s="7" t="str">
        <f t="shared" ref="F176" si="78">"Lay eggs"</f>
        <v>Lay eggs</v>
      </c>
      <c r="G176" s="7">
        <f>5</f>
        <v>5</v>
      </c>
      <c r="H176" s="7">
        <v>50</v>
      </c>
      <c r="I176" s="4">
        <v>0</v>
      </c>
      <c r="J176" s="7" t="str">
        <f t="shared" ref="J176:J178" si="79">"Lay eggs"</f>
        <v>Lay eggs</v>
      </c>
      <c r="K176" s="7" t="s">
        <v>528</v>
      </c>
      <c r="L176" s="7">
        <f>$L$5*(C176/$C$5)^0.165</f>
        <v>50.859758862058797</v>
      </c>
      <c r="M176" s="7" t="s">
        <v>627</v>
      </c>
      <c r="N176" s="4">
        <v>0</v>
      </c>
      <c r="O176" s="4">
        <v>0</v>
      </c>
      <c r="P176" s="4">
        <v>0</v>
      </c>
      <c r="Q176" s="4">
        <v>0</v>
      </c>
      <c r="R176" s="4" t="s">
        <v>40</v>
      </c>
      <c r="S176" s="7">
        <f>_xlfn.XLOOKUP(B176,[1]TeethAdjusters!$A:$A,[1]BiteAdjusters!$C:$C,1)</f>
        <v>1</v>
      </c>
      <c r="T176" s="7">
        <f>_xlfn.XLOOKUP(B176,[1]TeethAdjusters!$A:$A,[1]TeethAdjusters!$B:$B,1)</f>
        <v>1</v>
      </c>
      <c r="U176" s="7">
        <v>6</v>
      </c>
      <c r="V176" s="7">
        <v>8</v>
      </c>
      <c r="W176" s="7" t="s">
        <v>45</v>
      </c>
      <c r="X176" s="7" t="s">
        <v>932</v>
      </c>
      <c r="Y176" s="4" t="s">
        <v>42</v>
      </c>
      <c r="Z176" s="4">
        <v>1</v>
      </c>
      <c r="AA176" s="4">
        <v>0</v>
      </c>
      <c r="AB176" s="4">
        <v>0</v>
      </c>
      <c r="AC176" s="4">
        <v>0</v>
      </c>
      <c r="AD176" s="4">
        <v>0</v>
      </c>
      <c r="AE176" s="4" t="s">
        <v>45</v>
      </c>
      <c r="AF176" s="4" t="s">
        <v>311</v>
      </c>
      <c r="AG176" s="49" t="s">
        <v>375</v>
      </c>
      <c r="AH176" s="4" t="str">
        <f>Animals!$C$6</f>
        <v>&lt;li&gt;Cassowary&lt;/li&gt;</v>
      </c>
      <c r="AI176" s="4">
        <v>0</v>
      </c>
      <c r="AJ176" s="4">
        <v>0</v>
      </c>
      <c r="AK176" s="4">
        <v>0</v>
      </c>
      <c r="AL176" s="4">
        <v>0</v>
      </c>
      <c r="AM176" s="4">
        <v>1</v>
      </c>
      <c r="AN176" s="44" t="s">
        <v>40</v>
      </c>
      <c r="AO176" s="8">
        <f t="shared" si="57"/>
        <v>29816.048439554645</v>
      </c>
      <c r="AP176" s="8">
        <f>IFERROR(C176*_xlfn.XLOOKUP(E176,Groups!A:A,Groups!K:K),0.106*C176^0.94)</f>
        <v>12.360713120212504</v>
      </c>
      <c r="AQ176" s="8">
        <f>AP176*10000/(_xlfn.XLOOKUP(E176,Groups!A:A,Groups!J:J)*AO176)</f>
        <v>3.8033557005385839</v>
      </c>
      <c r="AR176" s="8">
        <f t="shared" si="58"/>
        <v>3914.2304491773752</v>
      </c>
      <c r="AS176" s="8">
        <f>IF(_xlfn.XLOOKUP(E176,Groups!A:A,Groups!M:M)=1,EXP(0.7444*LN('Base stats'!C176)+6.5696),EXP(0.7927*LN('Base stats'!C176)+4.28))</f>
        <v>3996.2795016509476</v>
      </c>
      <c r="AT176" s="8">
        <f>IF(_xlfn.XLOOKUP(E176,Groups!A:A,Groups!N:N)="No","No",
IF(_xlfn.XLOOKUP(E176,Groups!A:A,Groups!N:N)="Crocodile",EXP(0.8129*LN(C176)+4.6742)*S176,
IF(_xlfn.XLOOKUP(E176,Groups!A:A,Groups!N:N)="Felid",EXP(0.7843*LN(C176)+4.7073)*S176,
IF(_xlfn.XLOOKUP(E176,Groups!A:A,Groups!N:N)="Canid",EXP(0.8367*LN(C176)+4.8763)*S176,
IF(_xlfn.XLOOKUP(E176,Groups!A:A,Groups!N:N)="Pig",EXP(0.3439*LN(C176)+6.8519)*S176,
IF(_xlfn.XLOOKUP(E176,Groups!A:A,Groups!N:N)="Rodent",EXP(0.5625*LN(C176)+4.3006)*S176,
IF(_xlfn.XLOOKUP(E176,Groups!A:A,Groups!N:N)="Primate",EXP(0.7847*LN(C176)+3.4931)*S176,
IF(_xlfn.XLOOKUP(E176,Groups!A:A,Groups!N:N)="MiscCarnivora",EXP(0.7486*LN(C176)+4.2207)*S176,
IF(_xlfn.XLOOKUP(E176,Groups!A:A,Groups!N:N)="Lizard",EXP(0.7733*LN(C176)+5.5303)*S176,
IF(_xlfn.XLOOKUP(E176,Groups!A:A,Groups!N:N)="Snake",50*C176^(2/3)*S176,
IF(_xlfn.XLOOKUP(E176,Groups!A:A,Groups!N:N)="StrongBitingHerbivore",87.1133638856975*C176^(2/3)*S176,
IF(_xlfn.XLOOKUP(E176,Groups!A:A,Groups!N:N)="MiscEctotherms",59.4316884072269*C176^(2/3)*S176,
IF(_xlfn.XLOOKUP(E176,Groups!A:A,Groups!N:N)="StrongBeakBird",0.041*(C176*1000)^1.375*S176,
IF(_xlfn.XLOOKUP(E176,Groups!A:A,Groups!N:N)="Bird",0.118*(C176*1000)^0.692*S176,
IF(_xlfn.XLOOKUP(E176,Groups!A:A,Groups!N:N)="Insect",EXP(0.7444*LN(C176)+6.5696)*S176,
IF(_xlfn.XLOOKUP(E176,Groups!A:A,Groups!N:N)="Theropod",EXP(0.6966*LN(C176)+4.158)*S176,
"No"))))))))))))))))</f>
        <v>467.03853082898877</v>
      </c>
      <c r="AU176" s="8">
        <f>IF(_xlfn.XLOOKUP(E176,Groups!A:A,Groups!U:U)=3,AS176,IF(_xlfn.XLOOKUP(E176,Groups!A:A,Groups!U:U)=2,AR176,AT176))</f>
        <v>467.03853082898877</v>
      </c>
      <c r="AV176" s="46">
        <f>IFERROR(AVERAGE(_xlfn.XLOOKUP(B176,Animals!B:B,Animals!N:N),_xlfn.XLOOKUP(B176,Animals!B:B,Animals!O:O)),0)</f>
        <v>0</v>
      </c>
      <c r="AW176" s="8">
        <f>MROUND(40*Animals!AO176*_xlfn.XLOOKUP(AG176,Leathers!$A$2:$A$99,Leathers!$B$2:$B$99,0)+(140*_xlfn.XLOOKUP(B176,Animals!B:B,Animals!AO:AO)*2),5)</f>
        <v>565</v>
      </c>
      <c r="AX176" s="8">
        <f>IFERROR(ROUND(SQRT(V176-1)*IF(_xlfn.XLOOKUP(E176,Groups!A:A,Groups!BF:BF)=0,2,1)*IF(_xlfn.XLOOKUP('Base stats'!E176,Groups!A:A,Groups!O:O)=0,1,0.1),1),0)</f>
        <v>0.3</v>
      </c>
      <c r="AY176" s="8">
        <f t="shared" si="59"/>
        <v>2.2000000000000002</v>
      </c>
      <c r="AZ176" s="8">
        <f t="shared" si="60"/>
        <v>0</v>
      </c>
      <c r="BA176" s="8">
        <f t="shared" si="61"/>
        <v>4.9000000000000004</v>
      </c>
      <c r="BB176" s="8">
        <f>IF(_xlfn.XLOOKUP(E176,Groups!A:A,Groups!N:N)="Insect",BD176*2.5,IFERROR(AVERAGE(BD176,AT176/9.81/IF(OR(_xlfn.XLOOKUP(E176,Groups!A:A,Groups!N:N)="Pig",_xlfn.XLOOKUP(E176,Groups!A:A,Groups!N:N)="StrongBitingHerbivore"),20,25))*C176^-0.135,BD176))</f>
        <v>0.93073584075318005</v>
      </c>
      <c r="BC176" s="8" t="str">
        <f>IF(W176="No","No",IF(_xlfn.XLOOKUP(E176,Groups!A:A,Groups!U:U)=1,'Base stats'!BB176,IF(OR(_xlfn.XLOOKUP(E176,Groups!A:A,Groups!BD:BD)=1,_xlfn.XLOOKUP(E176,Groups!A:A,Groups!U:U)=2),BD176,IF(_xlfn.XLOOKUP(B176,Animals!B:B,Animals!AO:AO)&gt;4,AVERAGE(BD176,BF176),BF176))))</f>
        <v>No</v>
      </c>
      <c r="BD176" s="8">
        <f t="shared" si="62"/>
        <v>1.7826804862107648</v>
      </c>
      <c r="BE176" s="8">
        <f>IF(_xlfn.XLOOKUP(E176,Groups!A:A,Groups!BE:BE)=1,(0.048*C176^1.01)+(0.071*C176^1.03),0.071*C176^1.03)/IF(_xlfn.XLOOKUP(E176,Groups!A:A,Groups!M:M)=1,0.85,IF(OR(_xlfn.XLOOKUP(B176,Animals!B:B,Animals!AO:AO)&gt;4,_xlfn.XLOOKUP(E176,Groups!A:A,Groups!BC:BC)=1),1.7,1))*C176^-0.25</f>
        <v>5.9332750873560087</v>
      </c>
      <c r="BF176" s="8">
        <f>(0.048*C176^1.01)/IF(_xlfn.XLOOKUP(E176,Groups!A:A,Groups!M:M)=1,0.25,0.8)*C176^-0.25</f>
        <v>2.8127467818541616</v>
      </c>
      <c r="BG176" s="8">
        <f>EXP(1.076*LN(AR176)-4.5397)*IF(_xlfn.XLOOKUP(E176,Groups!A:A,Groups!BC:BC)=1,1.25,IF(_xlfn.XLOOKUP(E176,Groups!A:A,Groups!BD:BD)=1,3.5,2.5))</f>
        <v>195.91192228350945</v>
      </c>
      <c r="BH176" s="8">
        <f>EXP(1.076*LN(AS176)-4.5397)*IF(_xlfn.XLOOKUP(E176,Groups!A:A,Groups!M:M)=1,0.8,IF(_xlfn.XLOOKUP(E176,Groups!A:A,Groups!BC:BC)=1,1.3,3))</f>
        <v>240.40101424282807</v>
      </c>
      <c r="BI176" s="8" t="str">
        <f>IF(W176="No","No",IF(_xlfn.XLOOKUP(E176,Groups!A:A,Groups!U:U)=1,'Base stats'!BJ176,IF(OR(_xlfn.XLOOKUP(E176,Groups!A:A,Groups!BD:BD)=1,_xlfn.XLOOKUP(E176,Groups!A:A,Groups!U:U)=2),BG176,BH176))*1.2)</f>
        <v>No</v>
      </c>
      <c r="BJ176" s="8">
        <f>IFERROR(EXP(1.076*LN(AT176)-4.5397)*IF(_xlfn.XLOOKUP(E176,Groups!A:A,Groups!N:N)="Insect",1,IF(OR(_xlfn.XLOOKUP(E176,Groups!A:A,Groups!N:N)="Pig",_xlfn.XLOOKUP(E176,Groups!A:A,Groups!N:N)="StrongBitingHerbivore"),3.5,3.75)),"No")</f>
        <v>29.832395347188957</v>
      </c>
      <c r="BK176" s="8">
        <f t="shared" si="63"/>
        <v>14</v>
      </c>
      <c r="BL176" s="8">
        <f t="shared" si="64"/>
        <v>9</v>
      </c>
      <c r="BM176" s="8" t="str">
        <f t="shared" si="65"/>
        <v>No</v>
      </c>
      <c r="BN176" s="8">
        <f t="shared" si="66"/>
        <v>8</v>
      </c>
      <c r="BO176" s="8">
        <f t="shared" si="67"/>
        <v>13</v>
      </c>
      <c r="BP176" s="8" cm="1">
        <f t="array" ref="BP176">IF(AND(_xlfn.XLOOKUP('Base stats'!E176,Groups!A:A,Groups!AD:AD=0),_xlfn.XLOOKUP('Base stats'!E176,Groups!A:A,Groups!P:P=0)),"No",IF(U176="No",AVERAGE(EXP(-0.57+0.99*LN(C176)),EXP(0.32+0.67*LN(C176)))/IF(_xlfn.XLOOKUP(E176,Groups!A:A,Groups!AD:AD)=1,10,2),(0.7354*C176^0.4078)*2/IF(_xlfn.XLOOKUP(E176,Groups!A:A,Groups!BK:BK)=1,1000,100)/IF(_xlfn.XLOOKUP(E176,Groups!A:A,Groups!AJ:AJ)="Photonozoa",3,1)))</f>
        <v>0.11592203092401863</v>
      </c>
      <c r="BQ176" s="8" t="str">
        <f>IF(W176="No","No",IF(_xlfn.XLOOKUP(E176,Groups!A:A,Groups!BD:BD)=1,(AO176*5%),EXP(0.7354*LN(C176)^0.4078)*2/IF(_xlfn.XLOOKUP(E176,Groups!A:A,Groups!BL:BL)=1,1000,100)/IF(_xlfn.XLOOKUP(E176,Groups!A:A,Groups!AJ:AJ)="Photonozoa",3,1)))</f>
        <v>No</v>
      </c>
      <c r="BR176" s="8">
        <f>IF(BJ176="No","No",IF(_xlfn.XLOOKUP(E176,Groups!A:A,Groups!BF:BF)=1,(0.0315*C176+2.1825)*2,(0.7354*C176^0.4078)*2)/IF(_xlfn.XLOOKUP(E176,Groups!A:A,Groups!BM:BM)=1,1000,100)/IF(_xlfn.XLOOKUP(E176,Groups!A:A,Groups!AJ:AJ)="Photonozoa",3,1))</f>
        <v>0.11592203092401863</v>
      </c>
      <c r="BS176" s="8">
        <f t="shared" si="68"/>
        <v>0.13141374027525946</v>
      </c>
      <c r="BT176" s="8">
        <f t="shared" si="69"/>
        <v>2073.8164465079071</v>
      </c>
      <c r="BU176" s="8" t="str">
        <f t="shared" si="70"/>
        <v>No</v>
      </c>
      <c r="BV176" s="8">
        <f t="shared" si="71"/>
        <v>257.3487982344156</v>
      </c>
      <c r="BW176" s="4">
        <v>0</v>
      </c>
      <c r="BX176" s="4">
        <v>1</v>
      </c>
    </row>
    <row r="177" spans="1:76" x14ac:dyDescent="0.25">
      <c r="A177" s="26" t="s">
        <v>1202</v>
      </c>
      <c r="B177" s="6" t="s">
        <v>1211</v>
      </c>
      <c r="C177" s="7">
        <v>280</v>
      </c>
      <c r="D177" s="7" t="s">
        <v>596</v>
      </c>
      <c r="E177" s="7" t="str">
        <f>Groups!$A$24</f>
        <v>Horse (WILD)</v>
      </c>
      <c r="F177" s="7">
        <v>365</v>
      </c>
      <c r="G177" s="7">
        <f>900 /365</f>
        <v>2.4657534246575343</v>
      </c>
      <c r="H177" s="7">
        <v>55</v>
      </c>
      <c r="I177" s="4">
        <v>0</v>
      </c>
      <c r="J177" s="7">
        <v>0</v>
      </c>
      <c r="K177" s="7" t="s">
        <v>596</v>
      </c>
      <c r="L177" s="7">
        <v>70</v>
      </c>
      <c r="M177" s="7" t="s">
        <v>626</v>
      </c>
      <c r="N177" s="4">
        <v>0</v>
      </c>
      <c r="O177" s="4">
        <v>0</v>
      </c>
      <c r="P177" s="4">
        <v>0</v>
      </c>
      <c r="Q177" s="4">
        <v>0</v>
      </c>
      <c r="R177" s="4" t="s">
        <v>40</v>
      </c>
      <c r="S177" s="7">
        <f>_xlfn.XLOOKUP(B177,[1]TeethAdjusters!$A:$A,[1]BiteAdjusters!$C:$C,1)</f>
        <v>1</v>
      </c>
      <c r="T177" s="7">
        <f>_xlfn.XLOOKUP(B177,[1]TeethAdjusters!$A:$A,[1]TeethAdjusters!$B:$B,1)</f>
        <v>1</v>
      </c>
      <c r="U177" s="7" t="s">
        <v>45</v>
      </c>
      <c r="V177" s="7">
        <f>MROUND(1.5,0.05)</f>
        <v>1.5</v>
      </c>
      <c r="W177" s="7" t="s">
        <v>45</v>
      </c>
      <c r="X177" s="7" t="s">
        <v>932</v>
      </c>
      <c r="Y177" s="4" t="s">
        <v>42</v>
      </c>
      <c r="Z177" s="4">
        <v>1</v>
      </c>
      <c r="AA177" s="4">
        <v>0</v>
      </c>
      <c r="AB177" s="4">
        <v>0</v>
      </c>
      <c r="AC177" s="4">
        <v>0</v>
      </c>
      <c r="AD177" s="4">
        <v>0</v>
      </c>
      <c r="AE177" s="4" t="s">
        <v>45</v>
      </c>
      <c r="AF177" s="4" t="s">
        <v>401</v>
      </c>
      <c r="AG177" s="49" t="s">
        <v>392</v>
      </c>
      <c r="AH177" s="4" t="str">
        <f>Animals!$C$21</f>
        <v>&lt;li&gt;Horse&lt;/li&gt;</v>
      </c>
      <c r="AI177" s="4">
        <v>0</v>
      </c>
      <c r="AJ177" s="4">
        <v>0</v>
      </c>
      <c r="AK177" s="4">
        <v>0</v>
      </c>
      <c r="AL177" s="4">
        <v>0</v>
      </c>
      <c r="AM177" s="4">
        <v>1</v>
      </c>
      <c r="AN177" s="44" t="s">
        <v>40</v>
      </c>
      <c r="AO177" s="8">
        <f t="shared" si="57"/>
        <v>43248.963050706334</v>
      </c>
      <c r="AP177" s="8">
        <f>IFERROR(C177*_xlfn.XLOOKUP(E177,Groups!A:A,Groups!K:K),0.106*C177^0.94)</f>
        <v>21.165786678220933</v>
      </c>
      <c r="AQ177" s="8">
        <f>AP177*10000/(_xlfn.XLOOKUP(E177,Groups!A:A,Groups!J:J)*AO177)</f>
        <v>4.4898539863331788</v>
      </c>
      <c r="AR177" s="8">
        <f t="shared" si="58"/>
        <v>6346.804759702758</v>
      </c>
      <c r="AS177" s="8">
        <f>IF(_xlfn.XLOOKUP(E177,Groups!A:A,Groups!M:M)=1,EXP(0.7444*LN('Base stats'!C177)+6.5696),EXP(0.7927*LN('Base stats'!C177)+4.28))</f>
        <v>6289.8828104523209</v>
      </c>
      <c r="AT177" s="8">
        <f>IF(_xlfn.XLOOKUP(E177,Groups!A:A,Groups!N:N)="No","No",
IF(_xlfn.XLOOKUP(E177,Groups!A:A,Groups!N:N)="Crocodile",EXP(0.8129*LN(C177)+4.6742)*S177,
IF(_xlfn.XLOOKUP(E177,Groups!A:A,Groups!N:N)="Felid",EXP(0.7843*LN(C177)+4.7073)*S177,
IF(_xlfn.XLOOKUP(E177,Groups!A:A,Groups!N:N)="Canid",EXP(0.8367*LN(C177)+4.8763)*S177,
IF(_xlfn.XLOOKUP(E177,Groups!A:A,Groups!N:N)="Pig",EXP(0.3439*LN(C177)+6.8519)*S177,
IF(_xlfn.XLOOKUP(E177,Groups!A:A,Groups!N:N)="Rodent",EXP(0.5625*LN(C177)+4.3006)*S177,
IF(_xlfn.XLOOKUP(E177,Groups!A:A,Groups!N:N)="Primate",EXP(0.7847*LN(C177)+3.4931)*S177,
IF(_xlfn.XLOOKUP(E177,Groups!A:A,Groups!N:N)="MiscCarnivora",EXP(0.7486*LN(C177)+4.2207)*S177,
IF(_xlfn.XLOOKUP(E177,Groups!A:A,Groups!N:N)="Lizard",EXP(0.7733*LN(C177)+5.5303)*S177,
IF(_xlfn.XLOOKUP(E177,Groups!A:A,Groups!N:N)="Snake",50*C177^(2/3)*S177,
IF(_xlfn.XLOOKUP(E177,Groups!A:A,Groups!N:N)="StrongBitingHerbivore",87.1133638856975*C177^(2/3)*S177,
IF(_xlfn.XLOOKUP(E177,Groups!A:A,Groups!N:N)="MiscEctotherms",59.4316884072269*C177^(2/3)*S177,
IF(_xlfn.XLOOKUP(E177,Groups!A:A,Groups!N:N)="StrongBeakBird",0.041*(C177*1000)^1.375*S177,
IF(_xlfn.XLOOKUP(E177,Groups!A:A,Groups!N:N)="Bird",0.118*(C177*1000)^0.692*S177,
IF(_xlfn.XLOOKUP(E177,Groups!A:A,Groups!N:N)="Insect",EXP(0.7444*LN(C177)+6.5696)*S177,
IF(_xlfn.XLOOKUP(E177,Groups!A:A,Groups!N:N)="Theropod",EXP(0.6966*LN(C177)+4.158)*S177,
"No"))))))))))))))))</f>
        <v>3728.4083499042572</v>
      </c>
      <c r="AU177" s="8">
        <f>IF(_xlfn.XLOOKUP(E177,Groups!A:A,Groups!U:U)=3,AS177,IF(_xlfn.XLOOKUP(E177,Groups!A:A,Groups!U:U)=2,AR177,AT177))</f>
        <v>3728.4083499042572</v>
      </c>
      <c r="AV177" s="46">
        <f>IFERROR(AVERAGE(_xlfn.XLOOKUP(B177,Animals!B:B,Animals!N:N),_xlfn.XLOOKUP(B177,Animals!B:B,Animals!O:O)),0)</f>
        <v>0</v>
      </c>
      <c r="AW177" s="8">
        <f>MROUND(40*Animals!AO177*_xlfn.XLOOKUP(AG177,Leathers!$A$2:$A$99,Leathers!$B$2:$B$99,0)+(140*_xlfn.XLOOKUP(B177,Animals!B:B,Animals!AO:AO)*2),5)</f>
        <v>820</v>
      </c>
      <c r="AX177" s="8">
        <f>IFERROR(ROUND(SQRT(V177-1)*IF(_xlfn.XLOOKUP(E177,Groups!A:A,Groups!BF:BF)=0,2,1)*IF(_xlfn.XLOOKUP('Base stats'!E177,Groups!A:A,Groups!O:O)=0,1,0.1),1),0)</f>
        <v>0.7</v>
      </c>
      <c r="AY177" s="8">
        <f t="shared" si="59"/>
        <v>0</v>
      </c>
      <c r="AZ177" s="8">
        <f t="shared" si="60"/>
        <v>0</v>
      </c>
      <c r="BA177" s="8">
        <f t="shared" si="61"/>
        <v>6</v>
      </c>
      <c r="BB177" s="8">
        <f>IF(_xlfn.XLOOKUP(E177,Groups!A:A,Groups!N:N)="Insect",BD177*2.5,IFERROR(AVERAGE(BD177,AT177/9.81/IF(OR(_xlfn.XLOOKUP(E177,Groups!A:A,Groups!N:N)="Pig",_xlfn.XLOOKUP(E177,Groups!A:A,Groups!N:N)="StrongBitingHerbivore"),20,25))*C177^-0.135,BD177))</f>
        <v>5.0817406215823828</v>
      </c>
      <c r="BC177" s="8" t="str">
        <f>IF(W177="No","No",IF(_xlfn.XLOOKUP(E177,Groups!A:A,Groups!U:U)=1,'Base stats'!BB177,IF(OR(_xlfn.XLOOKUP(E177,Groups!A:A,Groups!BD:BD)=1,_xlfn.XLOOKUP(E177,Groups!A:A,Groups!U:U)=2),BD177,IF(_xlfn.XLOOKUP(B177,Animals!B:B,Animals!AO:AO)&gt;4,AVERAGE(BD177,BF177),BF177))))</f>
        <v>No</v>
      </c>
      <c r="BD177" s="8">
        <f t="shared" si="62"/>
        <v>2.7443735352452556</v>
      </c>
      <c r="BE177" s="8">
        <f>IF(_xlfn.XLOOKUP(E177,Groups!A:A,Groups!BE:BE)=1,(0.048*C177^1.01)+(0.071*C177^1.03),0.071*C177^1.03)/IF(_xlfn.XLOOKUP(E177,Groups!A:A,Groups!M:M)=1,0.85,IF(OR(_xlfn.XLOOKUP(B177,Animals!B:B,Animals!AO:AO)&gt;4,_xlfn.XLOOKUP(E177,Groups!A:A,Groups!BC:BC)=1),1.7,1))*C177^-0.25</f>
        <v>5.7549507739970602</v>
      </c>
      <c r="BF177" s="8">
        <f>(0.048*C177^1.01)/IF(_xlfn.XLOOKUP(E177,Groups!A:A,Groups!M:M)=1,0.25,0.8)*C177^-0.25</f>
        <v>4.3450157416647412</v>
      </c>
      <c r="BG177" s="8">
        <f>EXP(1.076*LN(AR177)-4.5397)*IF(_xlfn.XLOOKUP(E177,Groups!A:A,Groups!BC:BC)=1,1.25,IF(_xlfn.XLOOKUP(E177,Groups!A:A,Groups!BD:BD)=1,3.5,2.5))</f>
        <v>329.55103389391587</v>
      </c>
      <c r="BH177" s="8">
        <f>EXP(1.076*LN(AS177)-4.5397)*IF(_xlfn.XLOOKUP(E177,Groups!A:A,Groups!M:M)=1,0.8,IF(_xlfn.XLOOKUP(E177,Groups!A:A,Groups!BC:BC)=1,1.3,3))</f>
        <v>391.64625971648672</v>
      </c>
      <c r="BI177" s="8" t="str">
        <f>IF(W177="No","No",IF(_xlfn.XLOOKUP(E177,Groups!A:A,Groups!U:U)=1,'Base stats'!BJ177,IF(OR(_xlfn.XLOOKUP(E177,Groups!A:A,Groups!BD:BD)=1,_xlfn.XLOOKUP(E177,Groups!A:A,Groups!U:U)=2),BG177,BH177))*1.2)</f>
        <v>No</v>
      </c>
      <c r="BJ177" s="8">
        <f>IFERROR(EXP(1.076*LN(AT177)-4.5397)*IF(_xlfn.XLOOKUP(E177,Groups!A:A,Groups!N:N)="Insect",1,IF(OR(_xlfn.XLOOKUP(E177,Groups!A:A,Groups!N:N)="Pig",_xlfn.XLOOKUP(E177,Groups!A:A,Groups!N:N)="StrongBitingHerbivore"),3.5,3.75)),"No")</f>
        <v>260.29189226422181</v>
      </c>
      <c r="BK177" s="8">
        <f t="shared" si="63"/>
        <v>15</v>
      </c>
      <c r="BL177" s="8">
        <f t="shared" si="64"/>
        <v>11</v>
      </c>
      <c r="BM177" s="8" t="str">
        <f t="shared" si="65"/>
        <v>No</v>
      </c>
      <c r="BN177" s="8">
        <f t="shared" si="66"/>
        <v>10</v>
      </c>
      <c r="BO177" s="8">
        <f t="shared" si="67"/>
        <v>13</v>
      </c>
      <c r="BP177" s="8" cm="1">
        <f t="array" ref="BP177">IF(AND(_xlfn.XLOOKUP('Base stats'!E177,Groups!A:A,Groups!AD:AD=0),_xlfn.XLOOKUP('Base stats'!E177,Groups!A:A,Groups!P:P=0)),"No",IF(U177="No",AVERAGE(EXP(-0.57+0.99*LN(C177)),EXP(0.32+0.67*LN(C177)))/IF(_xlfn.XLOOKUP(E177,Groups!A:A,Groups!AD:AD)=1,10,2),(0.7354*C177^0.4078)*2/IF(_xlfn.XLOOKUP(E177,Groups!A:A,Groups!BK:BK)=1,1000,100)/IF(_xlfn.XLOOKUP(E177,Groups!A:A,Groups!AJ:AJ)="Photonozoa",3,1)))</f>
        <v>52.432304702118707</v>
      </c>
      <c r="BQ177" s="8" t="str">
        <f>IF(W177="No","No",IF(_xlfn.XLOOKUP(E177,Groups!A:A,Groups!BD:BD)=1,(AO177*5%),EXP(0.7354*LN(C177)^0.4078)*2/IF(_xlfn.XLOOKUP(E177,Groups!A:A,Groups!BL:BL)=1,1000,100)/IF(_xlfn.XLOOKUP(E177,Groups!A:A,Groups!AJ:AJ)="Photonozoa",3,1)))</f>
        <v>No</v>
      </c>
      <c r="BR177" s="8">
        <f>IF(BJ177="No","No",IF(_xlfn.XLOOKUP(E177,Groups!A:A,Groups!BF:BF)=1,(0.0315*C177+2.1825)*2,(0.7354*C177^0.4078)*2)/IF(_xlfn.XLOOKUP(E177,Groups!A:A,Groups!BM:BM)=1,1000,100)/IF(_xlfn.XLOOKUP(E177,Groups!A:A,Groups!AJ:AJ)="Photonozoa",3,1))</f>
        <v>0.22005000000000002</v>
      </c>
      <c r="BS177" s="8">
        <f t="shared" si="68"/>
        <v>0.15239719551543501</v>
      </c>
      <c r="BT177" s="8">
        <f t="shared" si="69"/>
        <v>7.4695602633057803</v>
      </c>
      <c r="BU177" s="8" t="str">
        <f t="shared" si="70"/>
        <v>No</v>
      </c>
      <c r="BV177" s="8">
        <f t="shared" si="71"/>
        <v>1182.8761293534278</v>
      </c>
      <c r="BW177" s="4">
        <v>0</v>
      </c>
      <c r="BX177" s="4">
        <v>1</v>
      </c>
    </row>
    <row r="178" spans="1:76" x14ac:dyDescent="0.25">
      <c r="A178" s="26" t="s">
        <v>1203</v>
      </c>
      <c r="B178" s="6" t="s">
        <v>1212</v>
      </c>
      <c r="C178" s="7">
        <v>4.5</v>
      </c>
      <c r="D178" s="7" t="s">
        <v>1220</v>
      </c>
      <c r="E178" s="7" t="str">
        <f>Groups!$A$9</f>
        <v>Bird (WATER)</v>
      </c>
      <c r="F178" s="7" t="str">
        <f t="shared" ref="F178" si="80">"Lay eggs"</f>
        <v>Lay eggs</v>
      </c>
      <c r="G178" s="7">
        <f>1817 /365</f>
        <v>4.978082191780822</v>
      </c>
      <c r="H178" s="7">
        <v>15.8</v>
      </c>
      <c r="I178" s="4">
        <v>1</v>
      </c>
      <c r="J178" s="7" t="str">
        <f t="shared" si="79"/>
        <v>Lay eggs</v>
      </c>
      <c r="K178" s="7" t="s">
        <v>1220</v>
      </c>
      <c r="L178" s="7">
        <f>8.2*1.60934</f>
        <v>13.196587999999998</v>
      </c>
      <c r="M178" s="7" t="s">
        <v>628</v>
      </c>
      <c r="N178" s="4">
        <v>0</v>
      </c>
      <c r="O178" s="4">
        <v>0</v>
      </c>
      <c r="P178" s="4">
        <v>0</v>
      </c>
      <c r="Q178" s="4">
        <v>0</v>
      </c>
      <c r="R178" s="4" t="s">
        <v>40</v>
      </c>
      <c r="S178" s="7">
        <f>_xlfn.XLOOKUP(B178,[1]TeethAdjusters!$A:$A,[1]BiteAdjusters!$C:$C,1)</f>
        <v>1</v>
      </c>
      <c r="T178" s="7">
        <f>_xlfn.XLOOKUP(B178,[1]TeethAdjusters!$A:$A,[1]TeethAdjusters!$B:$B,1)</f>
        <v>1</v>
      </c>
      <c r="U178" s="7" t="s">
        <v>45</v>
      </c>
      <c r="V178" s="7">
        <v>8</v>
      </c>
      <c r="W178" s="7" t="s">
        <v>45</v>
      </c>
      <c r="X178" s="7" t="s">
        <v>932</v>
      </c>
      <c r="Y178" s="4" t="s">
        <v>56</v>
      </c>
      <c r="Z178" s="4">
        <v>1</v>
      </c>
      <c r="AA178" s="4">
        <v>0</v>
      </c>
      <c r="AB178" s="4">
        <v>0</v>
      </c>
      <c r="AC178" s="4">
        <v>0</v>
      </c>
      <c r="AD178" s="4">
        <v>0</v>
      </c>
      <c r="AE178" s="4" t="s">
        <v>45</v>
      </c>
      <c r="AF178" s="4" t="s">
        <v>401</v>
      </c>
      <c r="AG178" s="49" t="s">
        <v>375</v>
      </c>
      <c r="AH178" s="4" t="str">
        <f>Animals!$C$6</f>
        <v>&lt;li&gt;Cassowary&lt;/li&gt;</v>
      </c>
      <c r="AI178" s="4">
        <v>0</v>
      </c>
      <c r="AJ178" s="4">
        <v>1</v>
      </c>
      <c r="AK178" s="4">
        <v>0</v>
      </c>
      <c r="AL178" s="4">
        <v>0</v>
      </c>
      <c r="AM178" s="4">
        <v>1</v>
      </c>
      <c r="AN178" s="44">
        <v>11</v>
      </c>
      <c r="AO178" s="8">
        <f t="shared" si="57"/>
        <v>2950.6052630710305</v>
      </c>
      <c r="AP178" s="8">
        <f>IFERROR(C178*_xlfn.XLOOKUP(E178,Groups!A:A,Groups!K:K),0.106*C178^0.94)</f>
        <v>0.43583853713193826</v>
      </c>
      <c r="AQ178" s="8">
        <f>AP178*10000/(_xlfn.XLOOKUP(E178,Groups!A:A,Groups!J:J)*AO178)</f>
        <v>1.3551520223081701</v>
      </c>
      <c r="AR178" s="8">
        <f t="shared" si="58"/>
        <v>193.73556787208551</v>
      </c>
      <c r="AS178" s="8">
        <f>IF(_xlfn.XLOOKUP(E178,Groups!A:A,Groups!M:M)=1,EXP(0.7444*LN('Base stats'!C178)+6.5696),EXP(0.7927*LN('Base stats'!C178)+4.28))</f>
        <v>238.00273195891231</v>
      </c>
      <c r="AT178" s="8">
        <f>IF(_xlfn.XLOOKUP(E178,Groups!A:A,Groups!N:N)="No","No",
IF(_xlfn.XLOOKUP(E178,Groups!A:A,Groups!N:N)="Crocodile",EXP(0.8129*LN(C178)+4.6742)*S178,
IF(_xlfn.XLOOKUP(E178,Groups!A:A,Groups!N:N)="Felid",EXP(0.7843*LN(C178)+4.7073)*S178,
IF(_xlfn.XLOOKUP(E178,Groups!A:A,Groups!N:N)="Canid",EXP(0.8367*LN(C178)+4.8763)*S178,
IF(_xlfn.XLOOKUP(E178,Groups!A:A,Groups!N:N)="Pig",EXP(0.3439*LN(C178)+6.8519)*S178,
IF(_xlfn.XLOOKUP(E178,Groups!A:A,Groups!N:N)="Rodent",EXP(0.5625*LN(C178)+4.3006)*S178,
IF(_xlfn.XLOOKUP(E178,Groups!A:A,Groups!N:N)="Primate",EXP(0.7847*LN(C178)+3.4931)*S178,
IF(_xlfn.XLOOKUP(E178,Groups!A:A,Groups!N:N)="MiscCarnivora",EXP(0.7486*LN(C178)+4.2207)*S178,
IF(_xlfn.XLOOKUP(E178,Groups!A:A,Groups!N:N)="Lizard",EXP(0.7733*LN(C178)+5.5303)*S178,
IF(_xlfn.XLOOKUP(E178,Groups!A:A,Groups!N:N)="Snake",50*C178^(2/3)*S178,
IF(_xlfn.XLOOKUP(E178,Groups!A:A,Groups!N:N)="StrongBitingHerbivore",87.1133638856975*C178^(2/3)*S178,
IF(_xlfn.XLOOKUP(E178,Groups!A:A,Groups!N:N)="MiscEctotherms",59.4316884072269*C178^(2/3)*S178,
IF(_xlfn.XLOOKUP(E178,Groups!A:A,Groups!N:N)="StrongBeakBird",0.041*(C178*1000)^1.375*S178,
IF(_xlfn.XLOOKUP(E178,Groups!A:A,Groups!N:N)="Bird",0.118*(C178*1000)^0.692*S178,
IF(_xlfn.XLOOKUP(E178,Groups!A:A,Groups!N:N)="Insect",EXP(0.7444*LN(C178)+6.5696)*S178,
IF(_xlfn.XLOOKUP(E178,Groups!A:A,Groups!N:N)="Theropod",EXP(0.6966*LN(C178)+4.158)*S178,
"No"))))))))))))))))</f>
        <v>39.802015714796987</v>
      </c>
      <c r="AU178" s="8">
        <f>IF(_xlfn.XLOOKUP(E178,Groups!A:A,Groups!U:U)=3,AS178,IF(_xlfn.XLOOKUP(E178,Groups!A:A,Groups!U:U)=2,AR178,AT178))</f>
        <v>39.802015714796987</v>
      </c>
      <c r="AV178" s="46">
        <f>IFERROR(AVERAGE(_xlfn.XLOOKUP(B178,Animals!B:B,Animals!N:N),_xlfn.XLOOKUP(B178,Animals!B:B,Animals!O:O)),0)</f>
        <v>0</v>
      </c>
      <c r="AW178" s="8">
        <f>MROUND(40*Animals!AO178*_xlfn.XLOOKUP(AG178,Leathers!$A$2:$A$99,Leathers!$B$2:$B$99,0)+(140*_xlfn.XLOOKUP(B178,Animals!B:B,Animals!AO:AO)*2),5)</f>
        <v>105</v>
      </c>
      <c r="AX178" s="8">
        <f>IFERROR(ROUND(SQRT(V178-1)*IF(_xlfn.XLOOKUP(E178,Groups!A:A,Groups!BF:BF)=0,2,1)*IF(_xlfn.XLOOKUP('Base stats'!E178,Groups!A:A,Groups!O:O)=0,1,0.1),1),0)</f>
        <v>0.3</v>
      </c>
      <c r="AY178" s="8">
        <f t="shared" si="59"/>
        <v>0</v>
      </c>
      <c r="AZ178" s="8">
        <f t="shared" si="60"/>
        <v>0</v>
      </c>
      <c r="BA178" s="8">
        <f t="shared" si="61"/>
        <v>1</v>
      </c>
      <c r="BB178" s="8">
        <f>IF(_xlfn.XLOOKUP(E178,Groups!A:A,Groups!N:N)="Insect",BD178*2.5,IFERROR(AVERAGE(BD178,AT178/9.81/IF(OR(_xlfn.XLOOKUP(E178,Groups!A:A,Groups!N:N)="Pig",_xlfn.XLOOKUP(E178,Groups!A:A,Groups!N:N)="StrongBitingHerbivore"),20,25))*C178^-0.135,BD178))</f>
        <v>0.12206734153284268</v>
      </c>
      <c r="BC178" s="8" t="str">
        <f>IF(W178="No","No",IF(_xlfn.XLOOKUP(E178,Groups!A:A,Groups!U:U)=1,'Base stats'!BB178,IF(OR(_xlfn.XLOOKUP(E178,Groups!A:A,Groups!BD:BD)=1,_xlfn.XLOOKUP(E178,Groups!A:A,Groups!U:U)=2),BD178,IF(_xlfn.XLOOKUP(B178,Animals!B:B,Animals!AO:AO)&gt;4,AVERAGE(BD178,BF178),BF178))))</f>
        <v>No</v>
      </c>
      <c r="BD178" s="8">
        <f t="shared" si="62"/>
        <v>0.1368061641182855</v>
      </c>
      <c r="BE178" s="8">
        <f>IF(_xlfn.XLOOKUP(E178,Groups!A:A,Groups!BE:BE)=1,(0.048*C178^1.01)+(0.071*C178^1.03),0.071*C178^1.03)/IF(_xlfn.XLOOKUP(E178,Groups!A:A,Groups!M:M)=1,0.85,IF(OR(_xlfn.XLOOKUP(B178,Animals!B:B,Animals!AO:AO)&gt;4,_xlfn.XLOOKUP(E178,Groups!A:A,Groups!BC:BC)=1),1.7,1))*C178^-0.25</f>
        <v>0.38004087066628489</v>
      </c>
      <c r="BF178" s="8">
        <f>(0.048*C178^1.01)/IF(_xlfn.XLOOKUP(E178,Groups!A:A,Groups!M:M)=1,0.25,0.8)*C178^-0.25</f>
        <v>0.18818836143592041</v>
      </c>
      <c r="BG178" s="8">
        <f>EXP(1.076*LN(AR178)-4.5397)*IF(_xlfn.XLOOKUP(E178,Groups!A:A,Groups!BC:BC)=1,1.25,IF(_xlfn.XLOOKUP(E178,Groups!A:A,Groups!BD:BD)=1,3.5,2.5))</f>
        <v>7.716326944216144</v>
      </c>
      <c r="BH178" s="8">
        <f>EXP(1.076*LN(AS178)-4.5397)*IF(_xlfn.XLOOKUP(E178,Groups!A:A,Groups!M:M)=1,0.8,IF(_xlfn.XLOOKUP(E178,Groups!A:A,Groups!BC:BC)=1,1.3,3))</f>
        <v>11.55464920650892</v>
      </c>
      <c r="BI178" s="8" t="str">
        <f>IF(W178="No","No",IF(_xlfn.XLOOKUP(E178,Groups!A:A,Groups!U:U)=1,'Base stats'!BJ178,IF(OR(_xlfn.XLOOKUP(E178,Groups!A:A,Groups!BD:BD)=1,_xlfn.XLOOKUP(E178,Groups!A:A,Groups!U:U)=2),BG178,BH178))*1.2)</f>
        <v>No</v>
      </c>
      <c r="BJ178" s="8">
        <f>IFERROR(EXP(1.076*LN(AT178)-4.5397)*IF(_xlfn.XLOOKUP(E178,Groups!A:A,Groups!N:N)="Insect",1,IF(OR(_xlfn.XLOOKUP(E178,Groups!A:A,Groups!N:N)="Pig",_xlfn.XLOOKUP(E178,Groups!A:A,Groups!N:N)="StrongBitingHerbivore"),3.5,3.75)),"No")</f>
        <v>2.1084458907362174</v>
      </c>
      <c r="BK178" s="8">
        <f t="shared" si="63"/>
        <v>10</v>
      </c>
      <c r="BL178" s="8">
        <f t="shared" si="64"/>
        <v>7</v>
      </c>
      <c r="BM178" s="8" t="str">
        <f t="shared" si="65"/>
        <v>No</v>
      </c>
      <c r="BN178" s="8">
        <f t="shared" si="66"/>
        <v>5</v>
      </c>
      <c r="BO178" s="8">
        <f t="shared" si="67"/>
        <v>11</v>
      </c>
      <c r="BP178" s="8" t="str" cm="1">
        <f t="array" ref="BP178">IF(AND(_xlfn.XLOOKUP('Base stats'!E178,Groups!A:A,Groups!AD:AD=0),_xlfn.XLOOKUP('Base stats'!E178,Groups!A:A,Groups!P:P=0)),"No",IF(U178="No",AVERAGE(EXP(-0.57+0.99*LN(C178)),EXP(0.32+0.67*LN(C178)))/IF(_xlfn.XLOOKUP(E178,Groups!A:A,Groups!AD:AD)=1,10,2),(0.7354*C178^0.4078)*2/IF(_xlfn.XLOOKUP(E178,Groups!A:A,Groups!BK:BK)=1,1000,100)/IF(_xlfn.XLOOKUP(E178,Groups!A:A,Groups!AJ:AJ)="Photonozoa",3,1)))</f>
        <v>No</v>
      </c>
      <c r="BQ178" s="8" t="str">
        <f>IF(W178="No","No",IF(_xlfn.XLOOKUP(E178,Groups!A:A,Groups!BD:BD)=1,(AO178*5%),EXP(0.7354*LN(C178)^0.4078)*2/IF(_xlfn.XLOOKUP(E178,Groups!A:A,Groups!BL:BL)=1,1000,100)/IF(_xlfn.XLOOKUP(E178,Groups!A:A,Groups!AJ:AJ)="Photonozoa",3,1)))</f>
        <v>No</v>
      </c>
      <c r="BR178" s="8">
        <f>IF(BJ178="No","No",IF(_xlfn.XLOOKUP(E178,Groups!A:A,Groups!BF:BF)=1,(0.0315*C178+2.1825)*2,(0.7354*C178^0.4078)*2)/IF(_xlfn.XLOOKUP(E178,Groups!A:A,Groups!BM:BM)=1,1000,100)/IF(_xlfn.XLOOKUP(E178,Groups!A:A,Groups!AJ:AJ)="Photonozoa",3,1))</f>
        <v>2.7160245069965436E-2</v>
      </c>
      <c r="BS178" s="8">
        <f t="shared" si="68"/>
        <v>5.2303349694325998E-2</v>
      </c>
      <c r="BT178" s="8" t="str">
        <f t="shared" si="69"/>
        <v>No</v>
      </c>
      <c r="BU178" s="8" t="str">
        <f t="shared" si="70"/>
        <v>No</v>
      </c>
      <c r="BV178" s="8">
        <f t="shared" si="71"/>
        <v>77.629855154281955</v>
      </c>
      <c r="BW178" s="4">
        <v>0</v>
      </c>
      <c r="BX178" s="4">
        <v>1</v>
      </c>
    </row>
    <row r="179" spans="1:76" x14ac:dyDescent="0.25">
      <c r="A179" s="26" t="s">
        <v>1204</v>
      </c>
      <c r="B179" s="6" t="s">
        <v>1213</v>
      </c>
      <c r="C179" s="7">
        <v>6.1268000000000002</v>
      </c>
      <c r="D179" s="7" t="s">
        <v>1221</v>
      </c>
      <c r="E179" s="7" t="str">
        <f>Groups!$A$37</f>
        <v>Mustelid (SCAVENGER)</v>
      </c>
      <c r="F179" s="7">
        <v>26</v>
      </c>
      <c r="G179" s="7">
        <f>730/365</f>
        <v>2</v>
      </c>
      <c r="H179" s="7">
        <v>13</v>
      </c>
      <c r="I179" s="4">
        <v>1</v>
      </c>
      <c r="J179" s="7">
        <v>3</v>
      </c>
      <c r="K179" s="7" t="s">
        <v>1221</v>
      </c>
      <c r="L179" s="7">
        <f>MIN(20*C179^0.183,19.9*C179^0.142)</f>
        <v>25.741880052805641</v>
      </c>
      <c r="M179" s="7" t="s">
        <v>626</v>
      </c>
      <c r="N179" s="4">
        <v>0</v>
      </c>
      <c r="O179" s="4">
        <v>0</v>
      </c>
      <c r="P179" s="4">
        <v>0</v>
      </c>
      <c r="Q179" s="4">
        <v>0</v>
      </c>
      <c r="R179" s="4" t="s">
        <v>40</v>
      </c>
      <c r="S179" s="7">
        <f>_xlfn.XLOOKUP(B179,[1]TeethAdjusters!$A:$A,[1]BiteAdjusters!$C:$C,1)</f>
        <v>1</v>
      </c>
      <c r="T179" s="7">
        <f>_xlfn.XLOOKUP(B179,[1]TeethAdjusters!$A:$A,[1]TeethAdjusters!$B:$B,1)</f>
        <v>1</v>
      </c>
      <c r="U179" s="7">
        <v>2.5</v>
      </c>
      <c r="V179" s="7">
        <f>IF(AT179="No","No",IF(_xlfn.XLOOKUP(E179,Groups!A:A,Groups!AM:AM)=1,MROUND(EXP(0.3582*LN(C179)-0.2221)*T179,0.05),IF(_xlfn.XLOOKUP(E179,Groups!A:A,Groups!AM:AM)=2,MROUND(EXP(0.3582*LN(C179)-0.2221)*T179,0.05),"Need a formula")))</f>
        <v>1.55</v>
      </c>
      <c r="W179" s="7" t="s">
        <v>45</v>
      </c>
      <c r="X179" s="7" t="s">
        <v>932</v>
      </c>
      <c r="Y179" s="4" t="s">
        <v>56</v>
      </c>
      <c r="Z179" s="4">
        <v>1</v>
      </c>
      <c r="AA179" s="4">
        <v>1</v>
      </c>
      <c r="AB179" s="4">
        <v>0</v>
      </c>
      <c r="AC179" s="4">
        <v>0</v>
      </c>
      <c r="AD179" s="4">
        <v>0</v>
      </c>
      <c r="AE179" s="4" t="s">
        <v>45</v>
      </c>
      <c r="AF179" s="4" t="s">
        <v>45</v>
      </c>
      <c r="AG179" s="49" t="s">
        <v>385</v>
      </c>
      <c r="AH179" s="4" t="s">
        <v>45</v>
      </c>
      <c r="AI179" s="4">
        <v>0</v>
      </c>
      <c r="AJ179" s="4">
        <v>0</v>
      </c>
      <c r="AK179" s="4">
        <v>0</v>
      </c>
      <c r="AL179" s="4">
        <v>0</v>
      </c>
      <c r="AM179" s="4">
        <v>1</v>
      </c>
      <c r="AN179" s="44" t="s">
        <v>40</v>
      </c>
      <c r="AO179" s="8">
        <f t="shared" si="57"/>
        <v>3605.9930569006506</v>
      </c>
      <c r="AP179" s="8">
        <f>IFERROR(C179*_xlfn.XLOOKUP(E179,Groups!A:A,Groups!K:K),0.106*C179^0.94)</f>
        <v>0.76431830000000001</v>
      </c>
      <c r="AQ179" s="8">
        <f>AP179*10000/(_xlfn.XLOOKUP(E179,Groups!A:A,Groups!J:J)*AO179)</f>
        <v>1.9445668321501803</v>
      </c>
      <c r="AR179" s="8">
        <f t="shared" si="58"/>
        <v>251.42997905005222</v>
      </c>
      <c r="AS179" s="8">
        <f>IF(_xlfn.XLOOKUP(E179,Groups!A:A,Groups!M:M)=1,EXP(0.7444*LN('Base stats'!C179)+6.5696),EXP(0.7927*LN('Base stats'!C179)+4.28))</f>
        <v>303.96287211097786</v>
      </c>
      <c r="AT179" s="8">
        <f>IF(_xlfn.XLOOKUP(E179,Groups!A:A,Groups!N:N)="No","No",
IF(_xlfn.XLOOKUP(E179,Groups!A:A,Groups!N:N)="Crocodile",EXP(0.8129*LN(C179)+4.6742)*S179,
IF(_xlfn.XLOOKUP(E179,Groups!A:A,Groups!N:N)="Felid",EXP(0.7843*LN(C179)+4.7073)*S179,
IF(_xlfn.XLOOKUP(E179,Groups!A:A,Groups!N:N)="Canid",EXP(0.8367*LN(C179)+4.8763)*S179,
IF(_xlfn.XLOOKUP(E179,Groups!A:A,Groups!N:N)="Pig",EXP(0.3439*LN(C179)+6.8519)*S179,
IF(_xlfn.XLOOKUP(E179,Groups!A:A,Groups!N:N)="Rodent",EXP(0.5625*LN(C179)+4.3006)*S179,
IF(_xlfn.XLOOKUP(E179,Groups!A:A,Groups!N:N)="Primate",EXP(0.7847*LN(C179)+3.4931)*S179,
IF(_xlfn.XLOOKUP(E179,Groups!A:A,Groups!N:N)="MiscCarnivora",EXP(0.7486*LN(C179)+4.2207)*S179,
IF(_xlfn.XLOOKUP(E179,Groups!A:A,Groups!N:N)="Lizard",EXP(0.7733*LN(C179)+5.5303)*S179,
IF(_xlfn.XLOOKUP(E179,Groups!A:A,Groups!N:N)="Snake",50*C179^(2/3)*S179,
IF(_xlfn.XLOOKUP(E179,Groups!A:A,Groups!N:N)="StrongBitingHerbivore",87.1133638856975*C179^(2/3)*S179,
IF(_xlfn.XLOOKUP(E179,Groups!A:A,Groups!N:N)="MiscEctotherms",59.4316884072269*C179^(2/3)*S179,
IF(_xlfn.XLOOKUP(E179,Groups!A:A,Groups!N:N)="StrongBeakBird",0.041*(C179*1000)^1.375*S179,
IF(_xlfn.XLOOKUP(E179,Groups!A:A,Groups!N:N)="Bird",0.118*(C179*1000)^0.692*S179,
IF(_xlfn.XLOOKUP(E179,Groups!A:A,Groups!N:N)="Insect",EXP(0.7444*LN(C179)+6.5696)*S179,
IF(_xlfn.XLOOKUP(E179,Groups!A:A,Groups!N:N)="Theropod",EXP(0.6966*LN(C179)+4.158)*S179,
"No"))))))))))))))))</f>
        <v>264.45383560190891</v>
      </c>
      <c r="AU179" s="8">
        <f>IF(_xlfn.XLOOKUP(E179,Groups!A:A,Groups!U:U)=3,AS179,IF(_xlfn.XLOOKUP(E179,Groups!A:A,Groups!U:U)=2,AR179,AT179))</f>
        <v>264.45383560190891</v>
      </c>
      <c r="AV179" s="46">
        <f>IFERROR(AVERAGE(_xlfn.XLOOKUP(B179,Animals!B:B,Animals!N:N),_xlfn.XLOOKUP(B179,Animals!B:B,Animals!O:O)),0)</f>
        <v>0</v>
      </c>
      <c r="AW179" s="8">
        <f>MROUND(40*Animals!AO179*_xlfn.XLOOKUP(AG179,Leathers!$A$2:$A$99,Leathers!$B$2:$B$99,0)+(140*_xlfn.XLOOKUP(B179,Animals!B:B,Animals!AO:AO)*2),5)</f>
        <v>125</v>
      </c>
      <c r="AX179" s="8">
        <f>IFERROR(ROUND(SQRT(V179-1)*IF(_xlfn.XLOOKUP(E179,Groups!A:A,Groups!BF:BF)=0,2,1)*IF(_xlfn.XLOOKUP('Base stats'!E179,Groups!A:A,Groups!O:O)=0,1,0.1),1),0)</f>
        <v>1.5</v>
      </c>
      <c r="AY179" s="8">
        <f t="shared" si="59"/>
        <v>1.2</v>
      </c>
      <c r="AZ179" s="8">
        <f t="shared" si="60"/>
        <v>0</v>
      </c>
      <c r="BA179" s="8">
        <f t="shared" si="61"/>
        <v>1.2</v>
      </c>
      <c r="BB179" s="8">
        <f>IF(_xlfn.XLOOKUP(E179,Groups!A:A,Groups!N:N)="Insect",BD179*2.5,IFERROR(AVERAGE(BD179,AT179/9.81/IF(OR(_xlfn.XLOOKUP(E179,Groups!A:A,Groups!N:N)="Pig",_xlfn.XLOOKUP(E179,Groups!A:A,Groups!N:N)="StrongBitingHerbivore"),20,25))*C179^-0.135,BD179))</f>
        <v>0.49132872418829543</v>
      </c>
      <c r="BC179" s="8" t="str">
        <f>IF(W179="No","No",IF(_xlfn.XLOOKUP(E179,Groups!A:A,Groups!U:U)=1,'Base stats'!BB179,IF(OR(_xlfn.XLOOKUP(E179,Groups!A:A,Groups!BD:BD)=1,_xlfn.XLOOKUP(E179,Groups!A:A,Groups!U:U)=2),BD179,IF(_xlfn.XLOOKUP(B179,Animals!B:B,Animals!AO:AO)&gt;4,AVERAGE(BD179,BF179),BF179))))</f>
        <v>No</v>
      </c>
      <c r="BD179" s="8">
        <f t="shared" si="62"/>
        <v>0.17679797026889368</v>
      </c>
      <c r="BE179" s="8">
        <f>IF(_xlfn.XLOOKUP(E179,Groups!A:A,Groups!BE:BE)=1,(0.048*C179^1.01)+(0.071*C179^1.03),0.071*C179^1.03)/IF(_xlfn.XLOOKUP(E179,Groups!A:A,Groups!M:M)=1,0.85,IF(OR(_xlfn.XLOOKUP(B179,Animals!B:B,Animals!AO:AO)&gt;4,_xlfn.XLOOKUP(E179,Groups!A:A,Groups!BC:BC)=1),1.7,1))*C179^-0.25</f>
        <v>0.29194472834796398</v>
      </c>
      <c r="BF179" s="8">
        <f>(0.048*C179^1.01)/IF(_xlfn.XLOOKUP(E179,Groups!A:A,Groups!M:M)=1,0.25,0.8)*C179^-0.25</f>
        <v>0.23792981405136351</v>
      </c>
      <c r="BG179" s="8">
        <f>EXP(1.076*LN(AR179)-4.5397)*IF(_xlfn.XLOOKUP(E179,Groups!A:A,Groups!BC:BC)=1,1.25,IF(_xlfn.XLOOKUP(E179,Groups!A:A,Groups!BD:BD)=1,3.5,2.5))</f>
        <v>10.214617413604199</v>
      </c>
      <c r="BH179" s="8">
        <f>EXP(1.076*LN(AS179)-4.5397)*IF(_xlfn.XLOOKUP(E179,Groups!A:A,Groups!M:M)=1,0.8,IF(_xlfn.XLOOKUP(E179,Groups!A:A,Groups!BC:BC)=1,1.3,3))</f>
        <v>15.033825176859128</v>
      </c>
      <c r="BI179" s="8" t="str">
        <f>IF(W179="No","No",IF(_xlfn.XLOOKUP(E179,Groups!A:A,Groups!U:U)=1,'Base stats'!BJ179,IF(OR(_xlfn.XLOOKUP(E179,Groups!A:A,Groups!BD:BD)=1,_xlfn.XLOOKUP(E179,Groups!A:A,Groups!U:U)=2),BG179,BH179))*1.2)</f>
        <v>No</v>
      </c>
      <c r="BJ179" s="8">
        <f>IFERROR(EXP(1.076*LN(AT179)-4.5397)*IF(_xlfn.XLOOKUP(E179,Groups!A:A,Groups!N:N)="Insect",1,IF(OR(_xlfn.XLOOKUP(E179,Groups!A:A,Groups!N:N)="Pig",_xlfn.XLOOKUP(E179,Groups!A:A,Groups!N:N)="StrongBitingHerbivore"),3.5,3.75)),"No")</f>
        <v>16.17756184386171</v>
      </c>
      <c r="BK179" s="8">
        <f t="shared" si="63"/>
        <v>10</v>
      </c>
      <c r="BL179" s="8">
        <f t="shared" si="64"/>
        <v>10</v>
      </c>
      <c r="BM179" s="8" t="str">
        <f t="shared" si="65"/>
        <v>No</v>
      </c>
      <c r="BN179" s="8">
        <f t="shared" si="66"/>
        <v>8</v>
      </c>
      <c r="BO179" s="8">
        <f t="shared" si="67"/>
        <v>11</v>
      </c>
      <c r="BP179" s="8" cm="1">
        <f t="array" ref="BP179">IF(AND(_xlfn.XLOOKUP('Base stats'!E179,Groups!A:A,Groups!AD:AD=0),_xlfn.XLOOKUP('Base stats'!E179,Groups!A:A,Groups!P:P=0)),"No",IF(U179="No",AVERAGE(EXP(-0.57+0.99*LN(C179)),EXP(0.32+0.67*LN(C179)))/IF(_xlfn.XLOOKUP(E179,Groups!A:A,Groups!AD:AD)=1,10,2),(0.7354*C179^0.4078)*2/IF(_xlfn.XLOOKUP(E179,Groups!A:A,Groups!BK:BK)=1,1000,100)/IF(_xlfn.XLOOKUP(E179,Groups!A:A,Groups!AJ:AJ)="Photonozoa",3,1)))</f>
        <v>3.0802610595156293E-2</v>
      </c>
      <c r="BQ179" s="8" t="str">
        <f>IF(W179="No","No",IF(_xlfn.XLOOKUP(E179,Groups!A:A,Groups!BD:BD)=1,(AO179*5%),EXP(0.7354*LN(C179)^0.4078)*2/IF(_xlfn.XLOOKUP(E179,Groups!A:A,Groups!BL:BL)=1,1000,100)/IF(_xlfn.XLOOKUP(E179,Groups!A:A,Groups!AJ:AJ)="Photonozoa",3,1)))</f>
        <v>No</v>
      </c>
      <c r="BR179" s="8">
        <f>IF(BJ179="No","No",IF(_xlfn.XLOOKUP(E179,Groups!A:A,Groups!BF:BF)=1,(0.0315*C179+2.1825)*2,(0.7354*C179^0.4078)*2)/IF(_xlfn.XLOOKUP(E179,Groups!A:A,Groups!BM:BM)=1,1000,100)/IF(_xlfn.XLOOKUP(E179,Groups!A:A,Groups!AJ:AJ)="Photonozoa",3,1))</f>
        <v>3.0802610595156293E-2</v>
      </c>
      <c r="BS179" s="8">
        <f t="shared" si="68"/>
        <v>5.6653561182303865E-2</v>
      </c>
      <c r="BT179" s="8">
        <f t="shared" si="69"/>
        <v>488.069838444901</v>
      </c>
      <c r="BU179" s="8" t="str">
        <f t="shared" si="70"/>
        <v>No</v>
      </c>
      <c r="BV179" s="8">
        <f t="shared" si="71"/>
        <v>525.20099859346431</v>
      </c>
      <c r="BW179" s="4">
        <v>0</v>
      </c>
      <c r="BX179" s="4">
        <v>1</v>
      </c>
    </row>
    <row r="180" spans="1:76" x14ac:dyDescent="0.25">
      <c r="A180" s="26" t="s">
        <v>1205</v>
      </c>
      <c r="B180" s="6" t="s">
        <v>1214</v>
      </c>
      <c r="C180" s="7">
        <v>16.7</v>
      </c>
      <c r="D180" s="7" t="s">
        <v>1222</v>
      </c>
      <c r="E180" s="7" t="str">
        <f>Groups!$A$15</f>
        <v>Doglike (CANID)</v>
      </c>
      <c r="F180" s="7">
        <v>26</v>
      </c>
      <c r="G180" s="7">
        <v>2.5</v>
      </c>
      <c r="H180" s="7">
        <v>12</v>
      </c>
      <c r="I180" s="4">
        <v>1</v>
      </c>
      <c r="J180" s="7">
        <v>1</v>
      </c>
      <c r="K180" s="7" t="s">
        <v>528</v>
      </c>
      <c r="L180" s="7">
        <f>MIN(37.5*C180^0.089,79.3*C180^-0.072)</f>
        <v>48.178473287593313</v>
      </c>
      <c r="M180" s="7" t="s">
        <v>626</v>
      </c>
      <c r="N180" s="4">
        <v>0</v>
      </c>
      <c r="O180" s="4">
        <v>0</v>
      </c>
      <c r="P180" s="4">
        <v>0</v>
      </c>
      <c r="Q180" s="4">
        <v>0</v>
      </c>
      <c r="R180" s="4" t="s">
        <v>40</v>
      </c>
      <c r="S180" s="7">
        <f>_xlfn.XLOOKUP(B180,[1]TeethAdjusters!$A:$A,[1]BiteAdjusters!$C:$C,1)</f>
        <v>1</v>
      </c>
      <c r="T180" s="7">
        <f>_xlfn.XLOOKUP(B180,[1]TeethAdjusters!$A:$A,[1]TeethAdjusters!$B:$B,1)</f>
        <v>1</v>
      </c>
      <c r="U180" s="7" t="s">
        <v>45</v>
      </c>
      <c r="V180" s="7">
        <f>IF(AT180="No","No",IF(_xlfn.XLOOKUP(E180,Groups!A:A,Groups!AM:AM)=1,MROUND(EXP(0.3582*LN(C180)-0.2221)*T180,0.05),IF(_xlfn.XLOOKUP(E180,Groups!A:A,Groups!AM:AM)=2,MROUND(EXP(0.3582*LN(C180)-0.2221)*T180,0.05),"Need a formula")))</f>
        <v>2.2000000000000002</v>
      </c>
      <c r="W180" s="7" t="s">
        <v>45</v>
      </c>
      <c r="X180" s="7" t="s">
        <v>932</v>
      </c>
      <c r="Y180" s="4" t="s">
        <v>56</v>
      </c>
      <c r="Z180" s="4">
        <v>1</v>
      </c>
      <c r="AA180" s="4">
        <v>0</v>
      </c>
      <c r="AB180" s="4">
        <v>0</v>
      </c>
      <c r="AC180" s="4">
        <v>0</v>
      </c>
      <c r="AD180" s="4">
        <v>0</v>
      </c>
      <c r="AE180" s="4" t="s">
        <v>45</v>
      </c>
      <c r="AF180" s="4" t="s">
        <v>45</v>
      </c>
      <c r="AG180" s="49" t="s">
        <v>379</v>
      </c>
      <c r="AH180" s="4" t="s">
        <v>45</v>
      </c>
      <c r="AI180" s="4">
        <v>0</v>
      </c>
      <c r="AJ180" s="4">
        <v>0</v>
      </c>
      <c r="AK180" s="4">
        <v>0</v>
      </c>
      <c r="AL180" s="4">
        <v>0</v>
      </c>
      <c r="AM180" s="4">
        <v>1</v>
      </c>
      <c r="AN180" s="44" t="s">
        <v>40</v>
      </c>
      <c r="AO180" s="8">
        <f t="shared" si="57"/>
        <v>6919.7226057303715</v>
      </c>
      <c r="AP180" s="8">
        <f>IFERROR(C180*_xlfn.XLOOKUP(E180,Groups!A:A,Groups!K:K),0.106*C180^0.94)</f>
        <v>2.0833249999999999</v>
      </c>
      <c r="AQ180" s="8">
        <f>AP180*10000/(_xlfn.XLOOKUP(E180,Groups!A:A,Groups!J:J)*AO180)</f>
        <v>2.762115547618551</v>
      </c>
      <c r="AR180" s="8">
        <f t="shared" si="58"/>
        <v>586.50180478223808</v>
      </c>
      <c r="AS180" s="8">
        <f>IF(_xlfn.XLOOKUP(E180,Groups!A:A,Groups!M:M)=1,EXP(0.7444*LN('Base stats'!C180)+6.5696),EXP(0.7927*LN('Base stats'!C180)+4.28))</f>
        <v>673.01962647480741</v>
      </c>
      <c r="AT180" s="8">
        <f>IF(_xlfn.XLOOKUP(E180,Groups!A:A,Groups!N:N)="No","No",
IF(_xlfn.XLOOKUP(E180,Groups!A:A,Groups!N:N)="Crocodile",EXP(0.8129*LN(C180)+4.6742)*S180,
IF(_xlfn.XLOOKUP(E180,Groups!A:A,Groups!N:N)="Felid",EXP(0.7843*LN(C180)+4.7073)*S180,
IF(_xlfn.XLOOKUP(E180,Groups!A:A,Groups!N:N)="Canid",EXP(0.8367*LN(C180)+4.8763)*S180,
IF(_xlfn.XLOOKUP(E180,Groups!A:A,Groups!N:N)="Pig",EXP(0.3439*LN(C180)+6.8519)*S180,
IF(_xlfn.XLOOKUP(E180,Groups!A:A,Groups!N:N)="Rodent",EXP(0.5625*LN(C180)+4.3006)*S180,
IF(_xlfn.XLOOKUP(E180,Groups!A:A,Groups!N:N)="Primate",EXP(0.7847*LN(C180)+3.4931)*S180,
IF(_xlfn.XLOOKUP(E180,Groups!A:A,Groups!N:N)="MiscCarnivora",EXP(0.7486*LN(C180)+4.2207)*S180,
IF(_xlfn.XLOOKUP(E180,Groups!A:A,Groups!N:N)="Lizard",EXP(0.7733*LN(C180)+5.5303)*S180,
IF(_xlfn.XLOOKUP(E180,Groups!A:A,Groups!N:N)="Snake",50*C180^(2/3)*S180,
IF(_xlfn.XLOOKUP(E180,Groups!A:A,Groups!N:N)="StrongBitingHerbivore",87.1133638856975*C180^(2/3)*S180,
IF(_xlfn.XLOOKUP(E180,Groups!A:A,Groups!N:N)="MiscEctotherms",59.4316884072269*C180^(2/3)*S180,
IF(_xlfn.XLOOKUP(E180,Groups!A:A,Groups!N:N)="StrongBeakBird",0.041*(C180*1000)^1.375*S180,
IF(_xlfn.XLOOKUP(E180,Groups!A:A,Groups!N:N)="Bird",0.118*(C180*1000)^0.692*S180,
IF(_xlfn.XLOOKUP(E180,Groups!A:A,Groups!N:N)="Insect",EXP(0.7444*LN(C180)+6.5696)*S180,
IF(_xlfn.XLOOKUP(E180,Groups!A:A,Groups!N:N)="Theropod",EXP(0.6966*LN(C180)+4.158)*S180,
"No"))))))))))))))))</f>
        <v>1382.9199872954503</v>
      </c>
      <c r="AU180" s="8">
        <f>IF(_xlfn.XLOOKUP(E180,Groups!A:A,Groups!U:U)=3,AS180,IF(_xlfn.XLOOKUP(E180,Groups!A:A,Groups!U:U)=2,AR180,AT180))</f>
        <v>1382.9199872954503</v>
      </c>
      <c r="AV180" s="46">
        <f>IFERROR(AVERAGE(_xlfn.XLOOKUP(B180,Animals!B:B,Animals!N:N),_xlfn.XLOOKUP(B180,Animals!B:B,Animals!O:O)),0)</f>
        <v>0</v>
      </c>
      <c r="AW180" s="8">
        <f>MROUND(40*Animals!AO180*_xlfn.XLOOKUP(AG180,Leathers!$A$2:$A$99,Leathers!$B$2:$B$99,0)+(140*_xlfn.XLOOKUP(B180,Animals!B:B,Animals!AO:AO)*2),5)</f>
        <v>200</v>
      </c>
      <c r="AX180" s="8">
        <f>IFERROR(ROUND(SQRT(V180-1)*IF(_xlfn.XLOOKUP(E180,Groups!A:A,Groups!BF:BF)=0,2,1)*IF(_xlfn.XLOOKUP('Base stats'!E180,Groups!A:A,Groups!O:O)=0,1,0.1),1),0)</f>
        <v>2.2000000000000002</v>
      </c>
      <c r="AY180" s="8">
        <f t="shared" si="59"/>
        <v>0</v>
      </c>
      <c r="AZ180" s="8">
        <f t="shared" si="60"/>
        <v>0</v>
      </c>
      <c r="BA180" s="8">
        <f t="shared" si="61"/>
        <v>2.1</v>
      </c>
      <c r="BB180" s="8">
        <f>IF(_xlfn.XLOOKUP(E180,Groups!A:A,Groups!N:N)="Insect",BD180*2.5,IFERROR(AVERAGE(BD180,AT180/9.81/IF(OR(_xlfn.XLOOKUP(E180,Groups!A:A,Groups!N:N)="Pig",_xlfn.XLOOKUP(E180,Groups!A:A,Groups!N:N)="StrongBitingHerbivore"),20,25))*C180^-0.135,BD180))</f>
        <v>2.0670109099857714</v>
      </c>
      <c r="BC180" s="8" t="str">
        <f>IF(W180="No","No",IF(_xlfn.XLOOKUP(E180,Groups!A:A,Groups!U:U)=1,'Base stats'!BB180,IF(OR(_xlfn.XLOOKUP(E180,Groups!A:A,Groups!BD:BD)=1,_xlfn.XLOOKUP(E180,Groups!A:A,Groups!U:U)=2),BD180,IF(_xlfn.XLOOKUP(B180,Animals!B:B,Animals!AO:AO)&gt;4,AVERAGE(BD180,BF180),BF180))))</f>
        <v>No</v>
      </c>
      <c r="BD180" s="8">
        <f t="shared" si="62"/>
        <v>0.40678361786832601</v>
      </c>
      <c r="BE180" s="8">
        <f>IF(_xlfn.XLOOKUP(E180,Groups!A:A,Groups!BE:BE)=1,(0.048*C180^1.01)+(0.071*C180^1.03),0.071*C180^1.03)/IF(_xlfn.XLOOKUP(E180,Groups!A:A,Groups!M:M)=1,0.85,IF(OR(_xlfn.XLOOKUP(B180,Animals!B:B,Animals!AO:AO)&gt;4,_xlfn.XLOOKUP(E180,Groups!A:A,Groups!BC:BC)=1),1.7,1))*C180^-0.25</f>
        <v>0.63822997335001663</v>
      </c>
      <c r="BF180" s="8">
        <f>(0.048*C180^1.01)/IF(_xlfn.XLOOKUP(E180,Groups!A:A,Groups!M:M)=1,0.25,0.8)*C180^-0.25</f>
        <v>0.50981870849494881</v>
      </c>
      <c r="BG180" s="8">
        <f>EXP(1.076*LN(AR180)-4.5397)*IF(_xlfn.XLOOKUP(E180,Groups!A:A,Groups!BC:BC)=1,1.25,IF(_xlfn.XLOOKUP(E180,Groups!A:A,Groups!BD:BD)=1,3.5,2.5))</f>
        <v>25.41155098431426</v>
      </c>
      <c r="BH180" s="8">
        <f>EXP(1.076*LN(AS180)-4.5397)*IF(_xlfn.XLOOKUP(E180,Groups!A:A,Groups!M:M)=1,0.8,IF(_xlfn.XLOOKUP(E180,Groups!A:A,Groups!BC:BC)=1,1.3,3))</f>
        <v>35.360014291397988</v>
      </c>
      <c r="BI180" s="8" t="str">
        <f>IF(W180="No","No",IF(_xlfn.XLOOKUP(E180,Groups!A:A,Groups!U:U)=1,'Base stats'!BJ180,IF(OR(_xlfn.XLOOKUP(E180,Groups!A:A,Groups!BD:BD)=1,_xlfn.XLOOKUP(E180,Groups!A:A,Groups!U:U)=2),BG180,BH180))*1.2)</f>
        <v>No</v>
      </c>
      <c r="BJ180" s="8">
        <f>IFERROR(EXP(1.076*LN(AT180)-4.5397)*IF(_xlfn.XLOOKUP(E180,Groups!A:A,Groups!N:N)="Insect",1,IF(OR(_xlfn.XLOOKUP(E180,Groups!A:A,Groups!N:N)="Pig",_xlfn.XLOOKUP(E180,Groups!A:A,Groups!N:N)="StrongBitingHerbivore"),3.5,3.75)),"No")</f>
        <v>95.931721463424893</v>
      </c>
      <c r="BK180" s="8">
        <f t="shared" si="63"/>
        <v>11</v>
      </c>
      <c r="BL180" s="8">
        <f t="shared" si="64"/>
        <v>10</v>
      </c>
      <c r="BM180" s="8" t="str">
        <f t="shared" si="65"/>
        <v>No</v>
      </c>
      <c r="BN180" s="8">
        <f t="shared" si="66"/>
        <v>9</v>
      </c>
      <c r="BO180" s="8">
        <f t="shared" si="67"/>
        <v>11</v>
      </c>
      <c r="BP180" s="8" t="str" cm="1">
        <f t="array" ref="BP180">IF(AND(_xlfn.XLOOKUP('Base stats'!E180,Groups!A:A,Groups!AD:AD=0),_xlfn.XLOOKUP('Base stats'!E180,Groups!A:A,Groups!P:P=0)),"No",IF(U180="No",AVERAGE(EXP(-0.57+0.99*LN(C180)),EXP(0.32+0.67*LN(C180)))/IF(_xlfn.XLOOKUP(E180,Groups!A:A,Groups!AD:AD)=1,10,2),(0.7354*C180^0.4078)*2/IF(_xlfn.XLOOKUP(E180,Groups!A:A,Groups!BK:BK)=1,1000,100)/IF(_xlfn.XLOOKUP(E180,Groups!A:A,Groups!AJ:AJ)="Photonozoa",3,1)))</f>
        <v>No</v>
      </c>
      <c r="BQ180" s="8" t="str">
        <f>IF(W180="No","No",IF(_xlfn.XLOOKUP(E180,Groups!A:A,Groups!BD:BD)=1,(AO180*5%),EXP(0.7354*LN(C180)^0.4078)*2/IF(_xlfn.XLOOKUP(E180,Groups!A:A,Groups!BL:BL)=1,1000,100)/IF(_xlfn.XLOOKUP(E180,Groups!A:A,Groups!AJ:AJ)="Photonozoa",3,1)))</f>
        <v>No</v>
      </c>
      <c r="BR180" s="8">
        <f>IF(BJ180="No","No",IF(_xlfn.XLOOKUP(E180,Groups!A:A,Groups!BF:BF)=1,(0.0315*C180+2.1825)*2,(0.7354*C180^0.4078)*2)/IF(_xlfn.XLOOKUP(E180,Groups!A:A,Groups!BM:BM)=1,1000,100)/IF(_xlfn.XLOOKUP(E180,Groups!A:A,Groups!AJ:AJ)="Photonozoa",3,1))</f>
        <v>4.6363626455710044E-2</v>
      </c>
      <c r="BS180" s="8">
        <f t="shared" si="68"/>
        <v>7.3446733148725948E-2</v>
      </c>
      <c r="BT180" s="8" t="str">
        <f t="shared" si="69"/>
        <v>No</v>
      </c>
      <c r="BU180" s="8" t="str">
        <f t="shared" si="70"/>
        <v>No</v>
      </c>
      <c r="BV180" s="8">
        <f t="shared" si="71"/>
        <v>2069.1160031466898</v>
      </c>
      <c r="BW180" s="4">
        <v>0</v>
      </c>
      <c r="BX180" s="4">
        <v>1</v>
      </c>
    </row>
    <row r="181" spans="1:76" x14ac:dyDescent="0.25">
      <c r="A181" s="26" t="s">
        <v>1206</v>
      </c>
      <c r="B181" s="6" t="s">
        <v>1215</v>
      </c>
      <c r="C181" s="7">
        <v>26.5</v>
      </c>
      <c r="D181" s="7" t="s">
        <v>1223</v>
      </c>
      <c r="E181" s="7" t="str">
        <f>Groups!$A$15</f>
        <v>Doglike (CANID)</v>
      </c>
      <c r="F181" s="7">
        <v>72</v>
      </c>
      <c r="G181" s="7">
        <f>639/365</f>
        <v>1.7506849315068493</v>
      </c>
      <c r="H181" s="7">
        <v>17</v>
      </c>
      <c r="I181" s="4">
        <v>0</v>
      </c>
      <c r="J181" s="7">
        <v>8</v>
      </c>
      <c r="K181" s="7" t="s">
        <v>1223</v>
      </c>
      <c r="L181" s="7">
        <v>70</v>
      </c>
      <c r="M181" s="7" t="s">
        <v>626</v>
      </c>
      <c r="N181" s="4">
        <v>0</v>
      </c>
      <c r="O181" s="4">
        <v>0</v>
      </c>
      <c r="P181" s="4">
        <v>0</v>
      </c>
      <c r="Q181" s="4">
        <v>0</v>
      </c>
      <c r="R181" s="4" t="s">
        <v>40</v>
      </c>
      <c r="S181" s="7">
        <f>_xlfn.XLOOKUP(B181,[1]TeethAdjusters!$A:$A,[1]BiteAdjusters!$C:$C,1)</f>
        <v>1.0735019524462699</v>
      </c>
      <c r="T181" s="7">
        <f>_xlfn.XLOOKUP(B181,[1]TeethAdjusters!$A:$A,[1]TeethAdjusters!$B:$B,1)</f>
        <v>1.0222399759593972</v>
      </c>
      <c r="U181" s="7" t="s">
        <v>45</v>
      </c>
      <c r="V181" s="7">
        <f>IF(AT181="No","No",IF(_xlfn.XLOOKUP(E181,Groups!A:A,Groups!AM:AM)=1,MROUND(EXP(0.3582*LN(C181)-0.2221)*T181,0.05),IF(_xlfn.XLOOKUP(E181,Groups!A:A,Groups!AM:AM)=2,MROUND(EXP(0.3582*LN(C181)-0.2221)*T181,0.05),"Need a formula")))</f>
        <v>2.6500000000000004</v>
      </c>
      <c r="W181" s="7" t="s">
        <v>45</v>
      </c>
      <c r="X181" s="7" t="s">
        <v>932</v>
      </c>
      <c r="Y181" s="4" t="s">
        <v>56</v>
      </c>
      <c r="Z181" s="4">
        <v>1</v>
      </c>
      <c r="AA181" s="4">
        <v>0</v>
      </c>
      <c r="AB181" s="4">
        <v>0</v>
      </c>
      <c r="AC181" s="4">
        <v>0</v>
      </c>
      <c r="AD181" s="4">
        <v>0</v>
      </c>
      <c r="AE181" s="4" t="s">
        <v>45</v>
      </c>
      <c r="AF181" s="4" t="s">
        <v>1786</v>
      </c>
      <c r="AG181" s="49" t="s">
        <v>379</v>
      </c>
      <c r="AH181" s="4" t="str">
        <f>Animals!$C$14</f>
        <v>&lt;li&gt;YorkshireTerrier&lt;/li&gt;</v>
      </c>
      <c r="AI181" s="4">
        <v>0</v>
      </c>
      <c r="AJ181" s="4">
        <v>0</v>
      </c>
      <c r="AK181" s="4">
        <v>0</v>
      </c>
      <c r="AL181" s="4">
        <v>0</v>
      </c>
      <c r="AM181" s="4">
        <v>1</v>
      </c>
      <c r="AN181" s="44" t="s">
        <v>40</v>
      </c>
      <c r="AO181" s="8">
        <f t="shared" si="57"/>
        <v>9341.8480039934075</v>
      </c>
      <c r="AP181" s="8">
        <f>IFERROR(C181*_xlfn.XLOOKUP(E181,Groups!A:A,Groups!K:K),0.106*C181^0.94)</f>
        <v>3.3058749999999999</v>
      </c>
      <c r="AQ181" s="8">
        <f>AP181*10000/(_xlfn.XLOOKUP(E181,Groups!A:A,Groups!J:J)*AO181)</f>
        <v>3.2465876588231817</v>
      </c>
      <c r="AR181" s="8">
        <f t="shared" si="58"/>
        <v>866.27651238056524</v>
      </c>
      <c r="AS181" s="8">
        <f>IF(_xlfn.XLOOKUP(E181,Groups!A:A,Groups!M:M)=1,EXP(0.7444*LN('Base stats'!C181)+6.5696),EXP(0.7927*LN('Base stats'!C181)+4.28))</f>
        <v>970.48178120144519</v>
      </c>
      <c r="AT181" s="8">
        <f>IF(_xlfn.XLOOKUP(E181,Groups!A:A,Groups!N:N)="No","No",
IF(_xlfn.XLOOKUP(E181,Groups!A:A,Groups!N:N)="Crocodile",EXP(0.8129*LN(C181)+4.6742)*S181,
IF(_xlfn.XLOOKUP(E181,Groups!A:A,Groups!N:N)="Felid",EXP(0.7843*LN(C181)+4.7073)*S181,
IF(_xlfn.XLOOKUP(E181,Groups!A:A,Groups!N:N)="Canid",EXP(0.8367*LN(C181)+4.8763)*S181,
IF(_xlfn.XLOOKUP(E181,Groups!A:A,Groups!N:N)="Pig",EXP(0.3439*LN(C181)+6.8519)*S181,
IF(_xlfn.XLOOKUP(E181,Groups!A:A,Groups!N:N)="Rodent",EXP(0.5625*LN(C181)+4.3006)*S181,
IF(_xlfn.XLOOKUP(E181,Groups!A:A,Groups!N:N)="Primate",EXP(0.7847*LN(C181)+3.4931)*S181,
IF(_xlfn.XLOOKUP(E181,Groups!A:A,Groups!N:N)="MiscCarnivora",EXP(0.7486*LN(C181)+4.2207)*S181,
IF(_xlfn.XLOOKUP(E181,Groups!A:A,Groups!N:N)="Lizard",EXP(0.7733*LN(C181)+5.5303)*S181,
IF(_xlfn.XLOOKUP(E181,Groups!A:A,Groups!N:N)="Snake",50*C181^(2/3)*S181,
IF(_xlfn.XLOOKUP(E181,Groups!A:A,Groups!N:N)="StrongBitingHerbivore",87.1133638856975*C181^(2/3)*S181,
IF(_xlfn.XLOOKUP(E181,Groups!A:A,Groups!N:N)="MiscEctotherms",59.4316884072269*C181^(2/3)*S181,
IF(_xlfn.XLOOKUP(E181,Groups!A:A,Groups!N:N)="StrongBeakBird",0.041*(C181*1000)^1.375*S181,
IF(_xlfn.XLOOKUP(E181,Groups!A:A,Groups!N:N)="Bird",0.118*(C181*1000)^0.692*S181,
IF(_xlfn.XLOOKUP(E181,Groups!A:A,Groups!N:N)="Insect",EXP(0.7444*LN(C181)+6.5696)*S181,
IF(_xlfn.XLOOKUP(E181,Groups!A:A,Groups!N:N)="Theropod",EXP(0.6966*LN(C181)+4.158)*S181,
"No"))))))))))))))))</f>
        <v>2184.654901407263</v>
      </c>
      <c r="AU181" s="8">
        <f>IF(_xlfn.XLOOKUP(E181,Groups!A:A,Groups!U:U)=3,AS181,IF(_xlfn.XLOOKUP(E181,Groups!A:A,Groups!U:U)=2,AR181,AT181))</f>
        <v>2184.654901407263</v>
      </c>
      <c r="AV181" s="46">
        <f>IFERROR(AVERAGE(_xlfn.XLOOKUP(B181,Animals!B:B,Animals!N:N),_xlfn.XLOOKUP(B181,Animals!B:B,Animals!O:O)),0)</f>
        <v>0</v>
      </c>
      <c r="AW181" s="8">
        <f>MROUND(40*Animals!AO181*_xlfn.XLOOKUP(AG181,Leathers!$A$2:$A$99,Leathers!$B$2:$B$99,0)+(140*_xlfn.XLOOKUP(B181,Animals!B:B,Animals!AO:AO)*2),5)</f>
        <v>235</v>
      </c>
      <c r="AX181" s="8">
        <f>IFERROR(ROUND(SQRT(V181-1)*IF(_xlfn.XLOOKUP(E181,Groups!A:A,Groups!BF:BF)=0,2,1)*IF(_xlfn.XLOOKUP('Base stats'!E181,Groups!A:A,Groups!O:O)=0,1,0.1),1),0)</f>
        <v>2.6</v>
      </c>
      <c r="AY181" s="8">
        <f t="shared" si="59"/>
        <v>0</v>
      </c>
      <c r="AZ181" s="8">
        <f t="shared" si="60"/>
        <v>0</v>
      </c>
      <c r="BA181" s="8">
        <f t="shared" si="61"/>
        <v>2.6</v>
      </c>
      <c r="BB181" s="8">
        <f>IF(_xlfn.XLOOKUP(E181,Groups!A:A,Groups!N:N)="Insect",BD181*2.5,IFERROR(AVERAGE(BD181,AT181/9.81/IF(OR(_xlfn.XLOOKUP(E181,Groups!A:A,Groups!N:N)="Pig",_xlfn.XLOOKUP(E181,Groups!A:A,Groups!N:N)="StrongBitingHerbivore"),20,25))*C181^-0.135,BD181))</f>
        <v>3.0533724135823399</v>
      </c>
      <c r="BC181" s="8" t="str">
        <f>IF(W181="No","No",IF(_xlfn.XLOOKUP(E181,Groups!A:A,Groups!U:U)=1,'Base stats'!BB181,IF(OR(_xlfn.XLOOKUP(E181,Groups!A:A,Groups!BD:BD)=1,_xlfn.XLOOKUP(E181,Groups!A:A,Groups!U:U)=2),BD181,IF(_xlfn.XLOOKUP(B181,Animals!B:B,Animals!AO:AO)&gt;4,AVERAGE(BD181,BF181),BF181))))</f>
        <v>No</v>
      </c>
      <c r="BD181" s="8">
        <f t="shared" si="62"/>
        <v>0.59703994452888687</v>
      </c>
      <c r="BE181" s="8">
        <f>IF(_xlfn.XLOOKUP(E181,Groups!A:A,Groups!BE:BE)=1,(0.048*C181^1.01)+(0.071*C181^1.03),0.071*C181^1.03)/IF(_xlfn.XLOOKUP(E181,Groups!A:A,Groups!M:M)=1,0.85,IF(OR(_xlfn.XLOOKUP(B181,Animals!B:B,Animals!AO:AO)&gt;4,_xlfn.XLOOKUP(E181,Groups!A:A,Groups!BC:BC)=1),1.7,1))*C181^-0.25</f>
        <v>0.9149347660277225</v>
      </c>
      <c r="BF181" s="8">
        <f>(0.048*C181^1.01)/IF(_xlfn.XLOOKUP(E181,Groups!A:A,Groups!M:M)=1,0.25,0.8)*C181^-0.25</f>
        <v>0.72413262498904141</v>
      </c>
      <c r="BG181" s="8">
        <f>EXP(1.076*LN(AR181)-4.5397)*IF(_xlfn.XLOOKUP(E181,Groups!A:A,Groups!BC:BC)=1,1.25,IF(_xlfn.XLOOKUP(E181,Groups!A:A,Groups!BD:BD)=1,3.5,2.5))</f>
        <v>38.66266492198455</v>
      </c>
      <c r="BH181" s="8">
        <f>EXP(1.076*LN(AS181)-4.5397)*IF(_xlfn.XLOOKUP(E181,Groups!A:A,Groups!M:M)=1,0.8,IF(_xlfn.XLOOKUP(E181,Groups!A:A,Groups!BC:BC)=1,1.3,3))</f>
        <v>52.426760544473467</v>
      </c>
      <c r="BI181" s="8" t="str">
        <f>IF(W181="No","No",IF(_xlfn.XLOOKUP(E181,Groups!A:A,Groups!U:U)=1,'Base stats'!BJ181,IF(OR(_xlfn.XLOOKUP(E181,Groups!A:A,Groups!BD:BD)=1,_xlfn.XLOOKUP(E181,Groups!A:A,Groups!U:U)=2),BG181,BH181))*1.2)</f>
        <v>No</v>
      </c>
      <c r="BJ181" s="8">
        <f>IFERROR(EXP(1.076*LN(AT181)-4.5397)*IF(_xlfn.XLOOKUP(E181,Groups!A:A,Groups!N:N)="Insect",1,IF(OR(_xlfn.XLOOKUP(E181,Groups!A:A,Groups!N:N)="Pig",_xlfn.XLOOKUP(E181,Groups!A:A,Groups!N:N)="StrongBitingHerbivore"),3.5,3.75)),"No")</f>
        <v>156.90636010723844</v>
      </c>
      <c r="BK181" s="8">
        <f t="shared" si="63"/>
        <v>11</v>
      </c>
      <c r="BL181" s="8">
        <f t="shared" si="64"/>
        <v>10</v>
      </c>
      <c r="BM181" s="8" t="str">
        <f t="shared" si="65"/>
        <v>No</v>
      </c>
      <c r="BN181" s="8">
        <f t="shared" si="66"/>
        <v>10</v>
      </c>
      <c r="BO181" s="8">
        <f t="shared" si="67"/>
        <v>12</v>
      </c>
      <c r="BP181" s="8" t="str" cm="1">
        <f t="array" ref="BP181">IF(AND(_xlfn.XLOOKUP('Base stats'!E181,Groups!A:A,Groups!AD:AD=0),_xlfn.XLOOKUP('Base stats'!E181,Groups!A:A,Groups!P:P=0)),"No",IF(U181="No",AVERAGE(EXP(-0.57+0.99*LN(C181)),EXP(0.32+0.67*LN(C181)))/IF(_xlfn.XLOOKUP(E181,Groups!A:A,Groups!AD:AD)=1,10,2),(0.7354*C181^0.4078)*2/IF(_xlfn.XLOOKUP(E181,Groups!A:A,Groups!BK:BK)=1,1000,100)/IF(_xlfn.XLOOKUP(E181,Groups!A:A,Groups!AJ:AJ)="Photonozoa",3,1)))</f>
        <v>No</v>
      </c>
      <c r="BQ181" s="8" t="str">
        <f>IF(W181="No","No",IF(_xlfn.XLOOKUP(E181,Groups!A:A,Groups!BD:BD)=1,(AO181*5%),EXP(0.7354*LN(C181)^0.4078)*2/IF(_xlfn.XLOOKUP(E181,Groups!A:A,Groups!BL:BL)=1,1000,100)/IF(_xlfn.XLOOKUP(E181,Groups!A:A,Groups!AJ:AJ)="Photonozoa",3,1)))</f>
        <v>No</v>
      </c>
      <c r="BR181" s="8">
        <f>IF(BJ181="No","No",IF(_xlfn.XLOOKUP(E181,Groups!A:A,Groups!BF:BF)=1,(0.0315*C181+2.1825)*2,(0.7354*C181^0.4078)*2)/IF(_xlfn.XLOOKUP(E181,Groups!A:A,Groups!BM:BM)=1,1000,100)/IF(_xlfn.XLOOKUP(E181,Groups!A:A,Groups!AJ:AJ)="Photonozoa",3,1))</f>
        <v>5.5969739888423069E-2</v>
      </c>
      <c r="BS181" s="8">
        <f t="shared" si="68"/>
        <v>8.2773054978966087E-2</v>
      </c>
      <c r="BT181" s="8" t="str">
        <f t="shared" si="69"/>
        <v>No</v>
      </c>
      <c r="BU181" s="8" t="str">
        <f t="shared" si="70"/>
        <v>No</v>
      </c>
      <c r="BV181" s="8">
        <f t="shared" si="71"/>
        <v>2803.4141380687993</v>
      </c>
      <c r="BW181" s="4">
        <v>0</v>
      </c>
      <c r="BX181" s="4">
        <v>1</v>
      </c>
    </row>
    <row r="182" spans="1:76" x14ac:dyDescent="0.25">
      <c r="A182" s="26" t="s">
        <v>1207</v>
      </c>
      <c r="B182" s="6" t="s">
        <v>1224</v>
      </c>
      <c r="C182" s="7">
        <v>13.015000000000001</v>
      </c>
      <c r="D182" s="7" t="s">
        <v>1225</v>
      </c>
      <c r="E182" s="7" t="str">
        <f>Groups!$A$33</f>
        <v>ArmoredMammal</v>
      </c>
      <c r="F182" s="7">
        <v>67</v>
      </c>
      <c r="G182" s="7">
        <f>755/365</f>
        <v>2.0684931506849313</v>
      </c>
      <c r="H182" s="7">
        <v>20</v>
      </c>
      <c r="I182" s="4">
        <v>1</v>
      </c>
      <c r="J182" s="7">
        <v>1</v>
      </c>
      <c r="K182" s="7" t="s">
        <v>1225</v>
      </c>
      <c r="L182" s="7">
        <f>MIN(20*C182^0.183,19.9*C182^0.142)</f>
        <v>28.648649156530904</v>
      </c>
      <c r="M182" s="7" t="s">
        <v>626</v>
      </c>
      <c r="N182" s="4">
        <v>0</v>
      </c>
      <c r="O182" s="4">
        <v>0</v>
      </c>
      <c r="P182" s="4">
        <v>0</v>
      </c>
      <c r="Q182" s="4">
        <v>0</v>
      </c>
      <c r="R182" s="4" t="s">
        <v>40</v>
      </c>
      <c r="S182" s="7">
        <f>_xlfn.XLOOKUP(B182,[1]TeethAdjusters!$A:$A,[1]BiteAdjusters!$C:$C,1)</f>
        <v>1</v>
      </c>
      <c r="T182" s="7">
        <f>_xlfn.XLOOKUP(B182,[1]TeethAdjusters!$A:$A,[1]TeethAdjusters!$B:$B,1)</f>
        <v>1</v>
      </c>
      <c r="U182" s="7">
        <v>4</v>
      </c>
      <c r="V182" s="7">
        <v>1.5</v>
      </c>
      <c r="W182" s="7" t="s">
        <v>45</v>
      </c>
      <c r="X182" s="7" t="s">
        <v>932</v>
      </c>
      <c r="Y182" s="4" t="s">
        <v>56</v>
      </c>
      <c r="Z182" s="4">
        <v>1</v>
      </c>
      <c r="AA182" s="4">
        <v>0</v>
      </c>
      <c r="AB182" s="4">
        <v>0</v>
      </c>
      <c r="AC182" s="4">
        <v>0</v>
      </c>
      <c r="AD182" s="4">
        <v>0</v>
      </c>
      <c r="AE182" s="4" t="s">
        <v>45</v>
      </c>
      <c r="AF182" s="4" t="s">
        <v>45</v>
      </c>
      <c r="AG182" s="49" t="s">
        <v>373</v>
      </c>
      <c r="AH182" s="4" t="s">
        <v>45</v>
      </c>
      <c r="AI182" s="4">
        <v>0</v>
      </c>
      <c r="AJ182" s="4">
        <v>0</v>
      </c>
      <c r="AK182" s="4">
        <v>0</v>
      </c>
      <c r="AL182" s="4">
        <v>0</v>
      </c>
      <c r="AM182" s="4">
        <v>1</v>
      </c>
      <c r="AN182" s="44" t="s">
        <v>40</v>
      </c>
      <c r="AO182" s="8">
        <f t="shared" si="57"/>
        <v>5884.5287751512305</v>
      </c>
      <c r="AP182" s="8">
        <f>IFERROR(C182*_xlfn.XLOOKUP(E182,Groups!A:A,Groups!K:K),0.106*C182^0.94)</f>
        <v>4.1648000000000005</v>
      </c>
      <c r="AQ182" s="8">
        <f>AP182*10000/(_xlfn.XLOOKUP(E182,Groups!A:A,Groups!J:J)*AO182)</f>
        <v>7.3724396618688308</v>
      </c>
      <c r="AR182" s="8">
        <f t="shared" si="58"/>
        <v>475.12922241490219</v>
      </c>
      <c r="AS182" s="8">
        <f>IF(_xlfn.XLOOKUP(E182,Groups!A:A,Groups!M:M)=1,EXP(0.7444*LN('Base stats'!C182)+6.5696),EXP(0.7927*LN('Base stats'!C182)+4.28))</f>
        <v>552.33209250027983</v>
      </c>
      <c r="AT182" s="8">
        <f>IF(_xlfn.XLOOKUP(E182,Groups!A:A,Groups!N:N)="No","No",
IF(_xlfn.XLOOKUP(E182,Groups!A:A,Groups!N:N)="Crocodile",EXP(0.8129*LN(C182)+4.6742)*S182,
IF(_xlfn.XLOOKUP(E182,Groups!A:A,Groups!N:N)="Felid",EXP(0.7843*LN(C182)+4.7073)*S182,
IF(_xlfn.XLOOKUP(E182,Groups!A:A,Groups!N:N)="Canid",EXP(0.8367*LN(C182)+4.8763)*S182,
IF(_xlfn.XLOOKUP(E182,Groups!A:A,Groups!N:N)="Pig",EXP(0.3439*LN(C182)+6.8519)*S182,
IF(_xlfn.XLOOKUP(E182,Groups!A:A,Groups!N:N)="Rodent",EXP(0.5625*LN(C182)+4.3006)*S182,
IF(_xlfn.XLOOKUP(E182,Groups!A:A,Groups!N:N)="Primate",EXP(0.7847*LN(C182)+3.4931)*S182,
IF(_xlfn.XLOOKUP(E182,Groups!A:A,Groups!N:N)="MiscCarnivora",EXP(0.7486*LN(C182)+4.2207)*S182,
IF(_xlfn.XLOOKUP(E182,Groups!A:A,Groups!N:N)="Lizard",EXP(0.7733*LN(C182)+5.5303)*S182,
IF(_xlfn.XLOOKUP(E182,Groups!A:A,Groups!N:N)="Snake",50*C182^(2/3)*S182,
IF(_xlfn.XLOOKUP(E182,Groups!A:A,Groups!N:N)="StrongBitingHerbivore",87.1133638856975*C182^(2/3)*S182,
IF(_xlfn.XLOOKUP(E182,Groups!A:A,Groups!N:N)="MiscEctotherms",59.4316884072269*C182^(2/3)*S182,
IF(_xlfn.XLOOKUP(E182,Groups!A:A,Groups!N:N)="StrongBeakBird",0.041*(C182*1000)^1.375*S182,
IF(_xlfn.XLOOKUP(E182,Groups!A:A,Groups!N:N)="Bird",0.118*(C182*1000)^0.692*S182,
IF(_xlfn.XLOOKUP(E182,Groups!A:A,Groups!N:N)="Insect",EXP(0.7444*LN(C182)+6.5696)*S182,
IF(_xlfn.XLOOKUP(E182,Groups!A:A,Groups!N:N)="Theropod",EXP(0.6966*LN(C182)+4.158)*S182,
"No"))))))))))))))))</f>
        <v>464.83586290819727</v>
      </c>
      <c r="AU182" s="8">
        <f>IF(_xlfn.XLOOKUP(E182,Groups!A:A,Groups!U:U)=3,AS182,IF(_xlfn.XLOOKUP(E182,Groups!A:A,Groups!U:U)=2,AR182,AT182))</f>
        <v>464.83586290819727</v>
      </c>
      <c r="AV182" s="46">
        <f>IFERROR(AVERAGE(_xlfn.XLOOKUP(B182,Animals!B:B,Animals!N:N),_xlfn.XLOOKUP(B182,Animals!B:B,Animals!O:O)),0)</f>
        <v>0.32500000000000007</v>
      </c>
      <c r="AW182" s="8">
        <f>MROUND(40*Animals!AO182*_xlfn.XLOOKUP(AG182,Leathers!$A$2:$A$99,Leathers!$B$2:$B$99,0)+(140*_xlfn.XLOOKUP(B182,Animals!B:B,Animals!AO:AO)*2),5)</f>
        <v>185</v>
      </c>
      <c r="AX182" s="8">
        <f>IFERROR(ROUND(SQRT(V182-1)*IF(_xlfn.XLOOKUP(E182,Groups!A:A,Groups!BF:BF)=0,2,1)*IF(_xlfn.XLOOKUP('Base stats'!E182,Groups!A:A,Groups!O:O)=0,1,0.1),1),0)</f>
        <v>1.4</v>
      </c>
      <c r="AY182" s="8">
        <f t="shared" si="59"/>
        <v>1.7</v>
      </c>
      <c r="AZ182" s="8">
        <f t="shared" si="60"/>
        <v>0</v>
      </c>
      <c r="BA182" s="8">
        <f t="shared" si="61"/>
        <v>1.9</v>
      </c>
      <c r="BB182" s="8">
        <f>IF(_xlfn.XLOOKUP(E182,Groups!A:A,Groups!N:N)="Insect",BD182*2.5,IFERROR(AVERAGE(BD182,AT182/9.81/IF(OR(_xlfn.XLOOKUP(E182,Groups!A:A,Groups!N:N)="Pig",_xlfn.XLOOKUP(E182,Groups!A:A,Groups!N:N)="StrongBitingHerbivore"),20,25))*C182^-0.135,BD182))</f>
        <v>0.78713510677615284</v>
      </c>
      <c r="BC182" s="8" t="str">
        <f>IF(W182="No","No",IF(_xlfn.XLOOKUP(E182,Groups!A:A,Groups!U:U)=1,'Base stats'!BB182,IF(OR(_xlfn.XLOOKUP(E182,Groups!A:A,Groups!BD:BD)=1,_xlfn.XLOOKUP(E182,Groups!A:A,Groups!U:U)=2),BD182,IF(_xlfn.XLOOKUP(B182,Animals!B:B,Animals!AO:AO)&gt;4,AVERAGE(BD182,BF182),BF182))))</f>
        <v>No</v>
      </c>
      <c r="BD182" s="8">
        <f t="shared" si="62"/>
        <v>0.33066572017725104</v>
      </c>
      <c r="BE182" s="8">
        <f>IF(_xlfn.XLOOKUP(E182,Groups!A:A,Groups!BE:BE)=1,(0.048*C182^1.01)+(0.071*C182^1.03),0.071*C182^1.03)/IF(_xlfn.XLOOKUP(E182,Groups!A:A,Groups!M:M)=1,0.85,IF(OR(_xlfn.XLOOKUP(B182,Animals!B:B,Animals!AO:AO)&gt;4,_xlfn.XLOOKUP(E182,Groups!A:A,Groups!BC:BC)=1),1.7,1))*C182^-0.25</f>
        <v>0.52544202305592447</v>
      </c>
      <c r="BF182" s="8">
        <f>(0.048*C182^1.01)/IF(_xlfn.XLOOKUP(E182,Groups!A:A,Groups!M:M)=1,0.25,0.8)*C182^-0.25</f>
        <v>0.42182160658214174</v>
      </c>
      <c r="BG182" s="8">
        <f>EXP(1.076*LN(AR182)-4.5397)*IF(_xlfn.XLOOKUP(E182,Groups!A:A,Groups!BC:BC)=1,1.25,IF(_xlfn.XLOOKUP(E182,Groups!A:A,Groups!BD:BD)=1,3.5,2.5))</f>
        <v>20.259222945854933</v>
      </c>
      <c r="BH182" s="8">
        <f>EXP(1.076*LN(AS182)-4.5397)*IF(_xlfn.XLOOKUP(E182,Groups!A:A,Groups!M:M)=1,0.8,IF(_xlfn.XLOOKUP(E182,Groups!A:A,Groups!BC:BC)=1,1.3,3))</f>
        <v>28.586572985154973</v>
      </c>
      <c r="BI182" s="8" t="str">
        <f>IF(W182="No","No",IF(_xlfn.XLOOKUP(E182,Groups!A:A,Groups!U:U)=1,'Base stats'!BJ182,IF(OR(_xlfn.XLOOKUP(E182,Groups!A:A,Groups!BD:BD)=1,_xlfn.XLOOKUP(E182,Groups!A:A,Groups!U:U)=2),BG182,BH182))*1.2)</f>
        <v>No</v>
      </c>
      <c r="BJ182" s="8">
        <f>IFERROR(EXP(1.076*LN(AT182)-4.5397)*IF(_xlfn.XLOOKUP(E182,Groups!A:A,Groups!N:N)="Insect",1,IF(OR(_xlfn.XLOOKUP(E182,Groups!A:A,Groups!N:N)="Pig",_xlfn.XLOOKUP(E182,Groups!A:A,Groups!N:N)="StrongBitingHerbivore"),3.5,3.75)),"No")</f>
        <v>29.681032684461776</v>
      </c>
      <c r="BK182" s="8">
        <f t="shared" si="63"/>
        <v>11</v>
      </c>
      <c r="BL182" s="8">
        <f t="shared" si="64"/>
        <v>10</v>
      </c>
      <c r="BM182" s="8" t="str">
        <f t="shared" si="65"/>
        <v>No</v>
      </c>
      <c r="BN182" s="8">
        <f t="shared" si="66"/>
        <v>8</v>
      </c>
      <c r="BO182" s="8">
        <f t="shared" si="67"/>
        <v>11</v>
      </c>
      <c r="BP182" s="8" t="str" cm="1">
        <f t="array" ref="BP182">IF(AND(_xlfn.XLOOKUP('Base stats'!E182,Groups!A:A,Groups!AD:AD=0),_xlfn.XLOOKUP('Base stats'!E182,Groups!A:A,Groups!P:P=0)),"No",IF(U182="No",AVERAGE(EXP(-0.57+0.99*LN(C182)),EXP(0.32+0.67*LN(C182)))/IF(_xlfn.XLOOKUP(E182,Groups!A:A,Groups!AD:AD)=1,10,2),(0.7354*C182^0.4078)*2/IF(_xlfn.XLOOKUP(E182,Groups!A:A,Groups!BK:BK)=1,1000,100)/IF(_xlfn.XLOOKUP(E182,Groups!A:A,Groups!AJ:AJ)="Photonozoa",3,1)))</f>
        <v>No</v>
      </c>
      <c r="BQ182" s="8" t="str">
        <f>IF(W182="No","No",IF(_xlfn.XLOOKUP(E182,Groups!A:A,Groups!BD:BD)=1,(AO182*5%),EXP(0.7354*LN(C182)^0.4078)*2/IF(_xlfn.XLOOKUP(E182,Groups!A:A,Groups!BL:BL)=1,1000,100)/IF(_xlfn.XLOOKUP(E182,Groups!A:A,Groups!AJ:AJ)="Photonozoa",3,1)))</f>
        <v>No</v>
      </c>
      <c r="BR182" s="8">
        <f>IF(BJ182="No","No",IF(_xlfn.XLOOKUP(E182,Groups!A:A,Groups!BF:BF)=1,(0.0315*C182+2.1825)*2,(0.7354*C182^0.4078)*2)/IF(_xlfn.XLOOKUP(E182,Groups!A:A,Groups!BM:BM)=1,1000,100)/IF(_xlfn.XLOOKUP(E182,Groups!A:A,Groups!AJ:AJ)="Photonozoa",3,1))</f>
        <v>4.1881666547881835E-2</v>
      </c>
      <c r="BS182" s="8">
        <f t="shared" si="68"/>
        <v>6.8855888788934602E-2</v>
      </c>
      <c r="BT182" s="8" t="str">
        <f t="shared" si="69"/>
        <v>No</v>
      </c>
      <c r="BU182" s="8" t="str">
        <f t="shared" si="70"/>
        <v>No</v>
      </c>
      <c r="BV182" s="8">
        <f t="shared" si="71"/>
        <v>708.68795659142404</v>
      </c>
      <c r="BW182" s="4">
        <v>0</v>
      </c>
      <c r="BX182" s="4">
        <v>1</v>
      </c>
    </row>
    <row r="183" spans="1:76" s="16" customFormat="1" x14ac:dyDescent="0.25">
      <c r="A183" s="26" t="s">
        <v>1279</v>
      </c>
      <c r="B183" s="6" t="s">
        <v>1282</v>
      </c>
      <c r="C183" s="7">
        <v>10</v>
      </c>
      <c r="D183" s="7" t="s">
        <v>528</v>
      </c>
      <c r="E183" s="7" t="str">
        <f>Groups!$A$112</f>
        <v>Snake (THREE HEADS)</v>
      </c>
      <c r="F183" s="7" t="str">
        <f t="shared" ref="F183" si="81">"Lay eggs"</f>
        <v>Lay eggs</v>
      </c>
      <c r="G183" s="7">
        <v>5</v>
      </c>
      <c r="H183" s="7">
        <v>22.5</v>
      </c>
      <c r="I183" s="4">
        <v>0</v>
      </c>
      <c r="J183" s="7" t="str">
        <f t="shared" ref="J183" si="82">"Lay eggs"</f>
        <v>Lay eggs</v>
      </c>
      <c r="K183" s="7" t="s">
        <v>528</v>
      </c>
      <c r="L183" s="7">
        <v>19</v>
      </c>
      <c r="M183" s="7" t="s">
        <v>528</v>
      </c>
      <c r="N183" s="4">
        <v>1</v>
      </c>
      <c r="O183" s="4">
        <v>0</v>
      </c>
      <c r="P183" s="4">
        <v>0</v>
      </c>
      <c r="Q183" s="4">
        <v>0</v>
      </c>
      <c r="R183" s="4">
        <v>1</v>
      </c>
      <c r="S183" s="7">
        <f>_xlfn.XLOOKUP(B183,[1]TeethAdjusters!$A:$A,[1]BiteAdjusters!$C:$C,1)</f>
        <v>1</v>
      </c>
      <c r="T183" s="7">
        <f>_xlfn.XLOOKUP(B183,[1]TeethAdjusters!$A:$A,[1]TeethAdjusters!$B:$B,1)</f>
        <v>1</v>
      </c>
      <c r="U183" s="7" t="s">
        <v>45</v>
      </c>
      <c r="V183" s="7">
        <f>MROUND(1.27,0.05)</f>
        <v>1.25</v>
      </c>
      <c r="W183" s="7" t="s">
        <v>45</v>
      </c>
      <c r="X183" s="7" t="s">
        <v>932</v>
      </c>
      <c r="Y183" s="4" t="s">
        <v>56</v>
      </c>
      <c r="Z183" s="4">
        <v>1</v>
      </c>
      <c r="AA183" s="4">
        <v>1</v>
      </c>
      <c r="AB183" s="4">
        <v>0</v>
      </c>
      <c r="AC183" s="4">
        <v>0</v>
      </c>
      <c r="AD183" s="4">
        <v>0</v>
      </c>
      <c r="AE183" s="4" t="s">
        <v>45</v>
      </c>
      <c r="AF183" s="4" t="s">
        <v>45</v>
      </c>
      <c r="AG183" s="49" t="s">
        <v>1787</v>
      </c>
      <c r="AH183" s="4" t="s">
        <v>45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4" t="s">
        <v>40</v>
      </c>
      <c r="AO183" s="8">
        <f t="shared" si="57"/>
        <v>4958.187872875691</v>
      </c>
      <c r="AP183" s="8">
        <f>IFERROR(C183*_xlfn.XLOOKUP(E183,Groups!A:A,Groups!K:K),0.106*C183^0.94)</f>
        <v>0.92322140535344532</v>
      </c>
      <c r="AQ183" s="8">
        <f>AP183*10000/(_xlfn.XLOOKUP(E183,Groups!A:A,Groups!J:J)*AO183)</f>
        <v>1.7082695063588127</v>
      </c>
      <c r="AR183" s="8">
        <f t="shared" si="58"/>
        <v>380.31263115847975</v>
      </c>
      <c r="AS183" s="8">
        <f>IF(_xlfn.XLOOKUP(E183,Groups!A:A,Groups!M:M)=1,EXP(0.7444*LN('Base stats'!C183)+6.5696),EXP(0.7927*LN('Base stats'!C183)+4.28))</f>
        <v>448.20880356342906</v>
      </c>
      <c r="AT183" s="8">
        <f>IF(_xlfn.XLOOKUP(E183,Groups!A:A,Groups!N:N)="No","No",
IF(_xlfn.XLOOKUP(E183,Groups!A:A,Groups!N:N)="Crocodile",EXP(0.8129*LN(C183)+4.6742)*S183,
IF(_xlfn.XLOOKUP(E183,Groups!A:A,Groups!N:N)="Felid",EXP(0.7843*LN(C183)+4.7073)*S183,
IF(_xlfn.XLOOKUP(E183,Groups!A:A,Groups!N:N)="Canid",EXP(0.8367*LN(C183)+4.8763)*S183,
IF(_xlfn.XLOOKUP(E183,Groups!A:A,Groups!N:N)="Pig",EXP(0.3439*LN(C183)+6.8519)*S183,
IF(_xlfn.XLOOKUP(E183,Groups!A:A,Groups!N:N)="Rodent",EXP(0.5625*LN(C183)+4.3006)*S183,
IF(_xlfn.XLOOKUP(E183,Groups!A:A,Groups!N:N)="Primate",EXP(0.7847*LN(C183)+3.4931)*S183,
IF(_xlfn.XLOOKUP(E183,Groups!A:A,Groups!N:N)="MiscCarnivora",EXP(0.7486*LN(C183)+4.2207)*S183,
IF(_xlfn.XLOOKUP(E183,Groups!A:A,Groups!N:N)="Lizard",EXP(0.7733*LN(C183)+5.5303)*S183,
IF(_xlfn.XLOOKUP(E183,Groups!A:A,Groups!N:N)="Snake",50*C183^(2/3)*S183,
IF(_xlfn.XLOOKUP(E183,Groups!A:A,Groups!N:N)="StrongBitingHerbivore",87.1133638856975*C183^(2/3)*S183,
IF(_xlfn.XLOOKUP(E183,Groups!A:A,Groups!N:N)="MiscEctotherms",59.4316884072269*C183^(2/3)*S183,
IF(_xlfn.XLOOKUP(E183,Groups!A:A,Groups!N:N)="StrongBeakBird",0.041*(C183*1000)^1.375*S183,
IF(_xlfn.XLOOKUP(E183,Groups!A:A,Groups!N:N)="Bird",0.118*(C183*1000)^0.692*S183,
IF(_xlfn.XLOOKUP(E183,Groups!A:A,Groups!N:N)="Insect",EXP(0.7444*LN(C183)+6.5696)*S183,
IF(_xlfn.XLOOKUP(E183,Groups!A:A,Groups!N:N)="Theropod",EXP(0.6966*LN(C183)+4.158)*S183,
"No"))))))))))))))))</f>
        <v>232.07944168063898</v>
      </c>
      <c r="AU183" s="8">
        <f>IF(_xlfn.XLOOKUP(E183,Groups!A:A,Groups!U:U)=3,AS183,IF(_xlfn.XLOOKUP(E183,Groups!A:A,Groups!U:U)=2,AR183,AT183))</f>
        <v>232.07944168063898</v>
      </c>
      <c r="AV183" s="46">
        <f>IFERROR(AVERAGE(_xlfn.XLOOKUP(B183,Animals!B:B,Animals!N:N),_xlfn.XLOOKUP(B183,Animals!B:B,Animals!O:O)),0)</f>
        <v>0</v>
      </c>
      <c r="AW183" s="8">
        <f>MROUND(40*Animals!AO183*_xlfn.XLOOKUP(AG183,Leathers!$A$2:$A$99,Leathers!$B$2:$B$99,0)+(140*_xlfn.XLOOKUP(B183,Animals!B:B,Animals!AO:AO)*2),5)</f>
        <v>200</v>
      </c>
      <c r="AX183" s="8">
        <f>IFERROR(ROUND(SQRT(V183-1)*IF(_xlfn.XLOOKUP(E183,Groups!A:A,Groups!BF:BF)=0,2,1)*IF(_xlfn.XLOOKUP('Base stats'!E183,Groups!A:A,Groups!O:O)=0,1,0.1),1),0)</f>
        <v>1</v>
      </c>
      <c r="AY183" s="8">
        <f t="shared" si="59"/>
        <v>0</v>
      </c>
      <c r="AZ183" s="8">
        <f t="shared" si="60"/>
        <v>0</v>
      </c>
      <c r="BA183" s="8">
        <f t="shared" si="61"/>
        <v>1.6</v>
      </c>
      <c r="BB183" s="8">
        <f>IF(_xlfn.XLOOKUP(E183,Groups!A:A,Groups!N:N)="Insect",BD183*2.5,IFERROR(AVERAGE(BD183,AT183/9.81/IF(OR(_xlfn.XLOOKUP(E183,Groups!A:A,Groups!N:N)="Pig",_xlfn.XLOOKUP(E183,Groups!A:A,Groups!N:N)="StrongBitingHerbivore"),20,25))*C183^-0.135,BD183))</f>
        <v>0.44406707665717465</v>
      </c>
      <c r="BC183" s="8" t="str">
        <f>IF(W183="No","No",IF(_xlfn.XLOOKUP(E183,Groups!A:A,Groups!U:U)=1,'Base stats'!BB183,IF(OR(_xlfn.XLOOKUP(E183,Groups!A:A,Groups!BD:BD)=1,_xlfn.XLOOKUP(E183,Groups!A:A,Groups!U:U)=2),BD183,IF(_xlfn.XLOOKUP(B183,Animals!B:B,Animals!AO:AO)&gt;4,AVERAGE(BD183,BF183),BF183))))</f>
        <v>No</v>
      </c>
      <c r="BD183" s="8">
        <f t="shared" si="62"/>
        <v>0.26563547098338458</v>
      </c>
      <c r="BE183" s="8">
        <f>IF(_xlfn.XLOOKUP(E183,Groups!A:A,Groups!BE:BE)=1,(0.048*C183^1.01)+(0.071*C183^1.03),0.071*C183^1.03)/IF(_xlfn.XLOOKUP(E183,Groups!A:A,Groups!M:M)=1,0.85,IF(OR(_xlfn.XLOOKUP(B183,Animals!B:B,Animals!AO:AO)&gt;4,_xlfn.XLOOKUP(E183,Groups!A:A,Groups!BC:BC)=1),1.7,1))*C183^-0.25</f>
        <v>0.42781730611279417</v>
      </c>
      <c r="BF183" s="8">
        <f>(0.048*C183^1.01)/IF(_xlfn.XLOOKUP(E183,Groups!A:A,Groups!M:M)=1,0.25,0.8)*C183^-0.25</f>
        <v>0.34526396240229418</v>
      </c>
      <c r="BG183" s="8">
        <f>EXP(1.076*LN(AR183)-4.5397)*IF(_xlfn.XLOOKUP(E183,Groups!A:A,Groups!BC:BC)=1,1.25,IF(_xlfn.XLOOKUP(E183,Groups!A:A,Groups!BD:BD)=1,3.5,2.5))</f>
        <v>15.944275717953127</v>
      </c>
      <c r="BH183" s="8">
        <f>EXP(1.076*LN(AS183)-4.5397)*IF(_xlfn.XLOOKUP(E183,Groups!A:A,Groups!M:M)=1,0.8,IF(_xlfn.XLOOKUP(E183,Groups!A:A,Groups!BC:BC)=1,1.3,3))</f>
        <v>22.832185638487289</v>
      </c>
      <c r="BI183" s="8" t="str">
        <f>IF(W183="No","No",IF(_xlfn.XLOOKUP(E183,Groups!A:A,Groups!U:U)=1,'Base stats'!BJ183,IF(OR(_xlfn.XLOOKUP(E183,Groups!A:A,Groups!BD:BD)=1,_xlfn.XLOOKUP(E183,Groups!A:A,Groups!U:U)=2),BG183,BH183))*1.2)</f>
        <v>No</v>
      </c>
      <c r="BJ183" s="8">
        <f>IFERROR(EXP(1.076*LN(AT183)-4.5397)*IF(_xlfn.XLOOKUP(E183,Groups!A:A,Groups!N:N)="Insect",1,IF(OR(_xlfn.XLOOKUP(E183,Groups!A:A,Groups!N:N)="Pig",_xlfn.XLOOKUP(E183,Groups!A:A,Groups!N:N)="StrongBitingHerbivore"),3.5,3.75)),"No")</f>
        <v>14.056903590599084</v>
      </c>
      <c r="BK183" s="8">
        <f t="shared" si="63"/>
        <v>10</v>
      </c>
      <c r="BL183" s="8">
        <f t="shared" si="64"/>
        <v>10</v>
      </c>
      <c r="BM183" s="8" t="str">
        <f t="shared" si="65"/>
        <v>No</v>
      </c>
      <c r="BN183" s="8">
        <f t="shared" si="66"/>
        <v>7</v>
      </c>
      <c r="BO183" s="8">
        <f t="shared" si="67"/>
        <v>11</v>
      </c>
      <c r="BP183" s="8" t="str" cm="1">
        <f t="array" ref="BP183">IF(AND(_xlfn.XLOOKUP('Base stats'!E183,Groups!A:A,Groups!AD:AD=0),_xlfn.XLOOKUP('Base stats'!E183,Groups!A:A,Groups!P:P=0)),"No",IF(U183="No",AVERAGE(EXP(-0.57+0.99*LN(C183)),EXP(0.32+0.67*LN(C183)))/IF(_xlfn.XLOOKUP(E183,Groups!A:A,Groups!AD:AD)=1,10,2),(0.7354*C183^0.4078)*2/IF(_xlfn.XLOOKUP(E183,Groups!A:A,Groups!BK:BK)=1,1000,100)/IF(_xlfn.XLOOKUP(E183,Groups!A:A,Groups!AJ:AJ)="Photonozoa",3,1)))</f>
        <v>No</v>
      </c>
      <c r="BQ183" s="8" t="str">
        <f>IF(W183="No","No",IF(_xlfn.XLOOKUP(E183,Groups!A:A,Groups!BD:BD)=1,(AO183*5%),EXP(0.7354*LN(C183)^0.4078)*2/IF(_xlfn.XLOOKUP(E183,Groups!A:A,Groups!BL:BL)=1,1000,100)/IF(_xlfn.XLOOKUP(E183,Groups!A:A,Groups!AJ:AJ)="Photonozoa",3,1)))</f>
        <v>No</v>
      </c>
      <c r="BR183" s="8">
        <f>IF(BJ183="No","No",IF(_xlfn.XLOOKUP(E183,Groups!A:A,Groups!BF:BF)=1,(0.0315*C183+2.1825)*2,(0.7354*C183^0.4078)*2)/IF(_xlfn.XLOOKUP(E183,Groups!A:A,Groups!BM:BM)=1,1000,100)/IF(_xlfn.XLOOKUP(E183,Groups!A:A,Groups!AJ:AJ)="Photonozoa",3,1))</f>
        <v>3.7614355184740135E-2</v>
      </c>
      <c r="BS183" s="8">
        <f t="shared" si="68"/>
        <v>6.4314931691790186E-2</v>
      </c>
      <c r="BT183" s="8" t="str">
        <f t="shared" si="69"/>
        <v>No</v>
      </c>
      <c r="BU183" s="8" t="str">
        <f t="shared" si="70"/>
        <v>No</v>
      </c>
      <c r="BV183" s="8">
        <f t="shared" si="71"/>
        <v>373.71114090776348</v>
      </c>
      <c r="BW183" s="4">
        <v>0</v>
      </c>
      <c r="BX183" s="4">
        <v>1</v>
      </c>
    </row>
    <row r="184" spans="1:76" s="16" customFormat="1" x14ac:dyDescent="0.25">
      <c r="A184" s="26" t="s">
        <v>1285</v>
      </c>
      <c r="B184" s="6" t="s">
        <v>1286</v>
      </c>
      <c r="C184" s="7">
        <v>250</v>
      </c>
      <c r="D184" s="7" t="s">
        <v>528</v>
      </c>
      <c r="E184" s="7" t="str">
        <f>Groups!$A$71</f>
        <v>Megatardi</v>
      </c>
      <c r="F184" s="7" t="s">
        <v>1700</v>
      </c>
      <c r="G184" s="7" t="s">
        <v>1700</v>
      </c>
      <c r="H184" s="7">
        <v>12</v>
      </c>
      <c r="I184" s="4">
        <v>1</v>
      </c>
      <c r="J184" s="7" t="s">
        <v>1700</v>
      </c>
      <c r="K184" s="7" t="s">
        <v>528</v>
      </c>
      <c r="L184" s="7">
        <v>12</v>
      </c>
      <c r="M184" s="7" t="s">
        <v>528</v>
      </c>
      <c r="N184" s="4">
        <v>1</v>
      </c>
      <c r="O184" s="4">
        <v>0</v>
      </c>
      <c r="P184" s="4">
        <v>30</v>
      </c>
      <c r="Q184" s="4">
        <v>30</v>
      </c>
      <c r="R184" s="4">
        <v>1</v>
      </c>
      <c r="S184" s="7">
        <f>_xlfn.XLOOKUP(B184,[1]TeethAdjusters!$A:$A,[1]BiteAdjusters!$C:$C,1)</f>
        <v>1</v>
      </c>
      <c r="T184" s="7">
        <f>_xlfn.XLOOKUP(B184,[1]TeethAdjusters!$A:$A,[1]TeethAdjusters!$B:$B,1)</f>
        <v>1</v>
      </c>
      <c r="U184" s="7" t="s">
        <v>45</v>
      </c>
      <c r="V184" s="7">
        <v>1</v>
      </c>
      <c r="W184" s="7" t="s">
        <v>45</v>
      </c>
      <c r="X184" s="7" t="s">
        <v>932</v>
      </c>
      <c r="Y184" s="4" t="s">
        <v>1003</v>
      </c>
      <c r="Z184" s="4">
        <v>1</v>
      </c>
      <c r="AA184" s="4">
        <v>1</v>
      </c>
      <c r="AB184" s="4">
        <v>0</v>
      </c>
      <c r="AC184" s="4">
        <v>0</v>
      </c>
      <c r="AD184" s="4">
        <v>0</v>
      </c>
      <c r="AE184" s="4" t="s">
        <v>45</v>
      </c>
      <c r="AF184" s="4" t="s">
        <v>45</v>
      </c>
      <c r="AG184" s="49" t="s">
        <v>1712</v>
      </c>
      <c r="AH184" s="4" t="s">
        <v>45</v>
      </c>
      <c r="AI184" s="4">
        <v>1</v>
      </c>
      <c r="AJ184" s="4">
        <v>0</v>
      </c>
      <c r="AK184" s="4">
        <v>1</v>
      </c>
      <c r="AL184" s="4">
        <v>0</v>
      </c>
      <c r="AM184" s="4">
        <v>0</v>
      </c>
      <c r="AN184" s="44" t="s">
        <v>40</v>
      </c>
      <c r="AO184" s="8">
        <f t="shared" si="57"/>
        <v>40177.59941909022</v>
      </c>
      <c r="AP184" s="8">
        <f>IFERROR(C184*_xlfn.XLOOKUP(E184,Groups!A:A,Groups!K:K),0.106*C184^0.94)</f>
        <v>80</v>
      </c>
      <c r="AQ184" s="8">
        <f>AP184*10000/(_xlfn.XLOOKUP(E184,Groups!A:A,Groups!J:J)*AO184)</f>
        <v>16.592994014219347</v>
      </c>
      <c r="AR184" s="8">
        <f t="shared" si="58"/>
        <v>5767.4079933655148</v>
      </c>
      <c r="AS184" s="8">
        <f>IF(_xlfn.XLOOKUP(E184,Groups!A:A,Groups!M:M)=1,EXP(0.7444*LN('Base stats'!C184)+6.5696),EXP(0.7927*LN('Base stats'!C184)+4.28))</f>
        <v>43467.791053039065</v>
      </c>
      <c r="AT184" s="8">
        <f>IF(_xlfn.XLOOKUP(E184,Groups!A:A,Groups!N:N)="No","No",
IF(_xlfn.XLOOKUP(E184,Groups!A:A,Groups!N:N)="Crocodile",EXP(0.8129*LN(C184)+4.6742)*S184,
IF(_xlfn.XLOOKUP(E184,Groups!A:A,Groups!N:N)="Felid",EXP(0.7843*LN(C184)+4.7073)*S184,
IF(_xlfn.XLOOKUP(E184,Groups!A:A,Groups!N:N)="Canid",EXP(0.8367*LN(C184)+4.8763)*S184,
IF(_xlfn.XLOOKUP(E184,Groups!A:A,Groups!N:N)="Pig",EXP(0.3439*LN(C184)+6.8519)*S184,
IF(_xlfn.XLOOKUP(E184,Groups!A:A,Groups!N:N)="Rodent",EXP(0.5625*LN(C184)+4.3006)*S184,
IF(_xlfn.XLOOKUP(E184,Groups!A:A,Groups!N:N)="Primate",EXP(0.7847*LN(C184)+3.4931)*S184,
IF(_xlfn.XLOOKUP(E184,Groups!A:A,Groups!N:N)="MiscCarnivora",EXP(0.7486*LN(C184)+4.2207)*S184,
IF(_xlfn.XLOOKUP(E184,Groups!A:A,Groups!N:N)="Lizard",EXP(0.7733*LN(C184)+5.5303)*S184,
IF(_xlfn.XLOOKUP(E184,Groups!A:A,Groups!N:N)="Snake",50*C184^(2/3)*S184,
IF(_xlfn.XLOOKUP(E184,Groups!A:A,Groups!N:N)="StrongBitingHerbivore",87.1133638856975*C184^(2/3)*S184,
IF(_xlfn.XLOOKUP(E184,Groups!A:A,Groups!N:N)="MiscEctotherms",59.4316884072269*C184^(2/3)*S184,
IF(_xlfn.XLOOKUP(E184,Groups!A:A,Groups!N:N)="StrongBeakBird",0.041*(C184*1000)^1.375*S184,
IF(_xlfn.XLOOKUP(E184,Groups!A:A,Groups!N:N)="Bird",0.118*(C184*1000)^0.692*S184,
IF(_xlfn.XLOOKUP(E184,Groups!A:A,Groups!N:N)="Insect",EXP(0.7444*LN(C184)+6.5696)*S184,
IF(_xlfn.XLOOKUP(E184,Groups!A:A,Groups!N:N)="Theropod",EXP(0.6966*LN(C184)+4.158)*S184,
"No"))))))))))))))))</f>
        <v>43467.791053039065</v>
      </c>
      <c r="AU184" s="8">
        <f>IF(_xlfn.XLOOKUP(E184,Groups!A:A,Groups!U:U)=3,AS184,IF(_xlfn.XLOOKUP(E184,Groups!A:A,Groups!U:U)=2,AR184,AT184))</f>
        <v>43467.791053039065</v>
      </c>
      <c r="AV184" s="46">
        <f>IFERROR(AVERAGE(_xlfn.XLOOKUP(B184,Animals!B:B,Animals!N:N),_xlfn.XLOOKUP(B184,Animals!B:B,Animals!O:O)),0)</f>
        <v>0.45</v>
      </c>
      <c r="AW184" s="8">
        <f>MROUND(40*Animals!AO184*_xlfn.XLOOKUP(AG184,Leathers!$A$2:$A$99,Leathers!$B$2:$B$99,0)+(140*_xlfn.XLOOKUP(B184,Animals!B:B,Animals!AO:AO)*2),5)</f>
        <v>590</v>
      </c>
      <c r="AX184" s="8">
        <f>IFERROR(ROUND(SQRT(V184-1)*IF(_xlfn.XLOOKUP(E184,Groups!A:A,Groups!BF:BF)=0,2,1)*IF(_xlfn.XLOOKUP('Base stats'!E184,Groups!A:A,Groups!O:O)=0,1,0.1),1),0)</f>
        <v>0</v>
      </c>
      <c r="AY184" s="8">
        <f t="shared" si="59"/>
        <v>0</v>
      </c>
      <c r="AZ184" s="8">
        <f t="shared" si="60"/>
        <v>0</v>
      </c>
      <c r="BA184" s="8">
        <f t="shared" si="61"/>
        <v>5.8</v>
      </c>
      <c r="BB184" s="8">
        <f>IF(_xlfn.XLOOKUP(E184,Groups!A:A,Groups!N:N)="Insect",BD184*2.5,IFERROR(AVERAGE(BD184,AT184/9.81/IF(OR(_xlfn.XLOOKUP(E184,Groups!A:A,Groups!N:N)="Pig",_xlfn.XLOOKUP(E184,Groups!A:A,Groups!N:N)="StrongBitingHerbivore"),20,25))*C184^-0.135,BD184))</f>
        <v>6.2990178962199987</v>
      </c>
      <c r="BC184" s="8" t="str">
        <f>IF(W184="No","No",IF(_xlfn.XLOOKUP(E184,Groups!A:A,Groups!U:U)=1,'Base stats'!BB184,IF(OR(_xlfn.XLOOKUP(E184,Groups!A:A,Groups!BD:BD)=1,_xlfn.XLOOKUP(E184,Groups!A:A,Groups!U:U)=2),BD184,IF(_xlfn.XLOOKUP(B184,Animals!B:B,Animals!AO:AO)&gt;4,AVERAGE(BD184,BF184),BF184))))</f>
        <v>No</v>
      </c>
      <c r="BD184" s="8">
        <f t="shared" si="62"/>
        <v>2.5196071584879993</v>
      </c>
      <c r="BE184" s="8">
        <f>IF(_xlfn.XLOOKUP(E184,Groups!A:A,Groups!BE:BE)=1,(0.048*C184^1.01)+(0.071*C184^1.03),0.071*C184^1.03)/IF(_xlfn.XLOOKUP(E184,Groups!A:A,Groups!M:M)=1,0.85,IF(OR(_xlfn.XLOOKUP(B184,Animals!B:B,Animals!AO:AO)&gt;4,_xlfn.XLOOKUP(E184,Groups!A:A,Groups!BC:BC)=1),1.7,1))*C184^-0.25</f>
        <v>6.1977296746955153</v>
      </c>
      <c r="BF184" s="8">
        <f>(0.048*C184^1.01)/IF(_xlfn.XLOOKUP(E184,Groups!A:A,Groups!M:M)=1,0.25,0.8)*C184^-0.25</f>
        <v>12.756620485721925</v>
      </c>
      <c r="BG184" s="8">
        <f>EXP(1.076*LN(AR184)-4.5397)*IF(_xlfn.XLOOKUP(E184,Groups!A:A,Groups!BC:BC)=1,1.25,IF(_xlfn.XLOOKUP(E184,Groups!A:A,Groups!BD:BD)=1,3.5,2.5))</f>
        <v>148.64782527005457</v>
      </c>
      <c r="BH184" s="8">
        <f>EXP(1.076*LN(AS184)-4.5397)*IF(_xlfn.XLOOKUP(E184,Groups!A:A,Groups!M:M)=1,0.8,IF(_xlfn.XLOOKUP(E184,Groups!A:A,Groups!BC:BC)=1,1.3,3))</f>
        <v>835.97181173337106</v>
      </c>
      <c r="BI184" s="8" t="str">
        <f>IF(W184="No","No",IF(_xlfn.XLOOKUP(E184,Groups!A:A,Groups!U:U)=1,'Base stats'!BJ184,IF(OR(_xlfn.XLOOKUP(E184,Groups!A:A,Groups!BD:BD)=1,_xlfn.XLOOKUP(E184,Groups!A:A,Groups!U:U)=2),BG184,BH184))*1.2)</f>
        <v>No</v>
      </c>
      <c r="BJ184" s="8">
        <f>IFERROR(EXP(1.076*LN(AT184)-4.5397)*IF(_xlfn.XLOOKUP(E184,Groups!A:A,Groups!N:N)="Insect",1,IF(OR(_xlfn.XLOOKUP(E184,Groups!A:A,Groups!N:N)="Pig",_xlfn.XLOOKUP(E184,Groups!A:A,Groups!N:N)="StrongBitingHerbivore"),3.5,3.75)),"No")</f>
        <v>1044.9647646667138</v>
      </c>
      <c r="BK184" s="8">
        <f t="shared" si="63"/>
        <v>10</v>
      </c>
      <c r="BL184" s="8">
        <f t="shared" si="64"/>
        <v>16</v>
      </c>
      <c r="BM184" s="8" t="str">
        <f t="shared" si="65"/>
        <v>No</v>
      </c>
      <c r="BN184" s="8">
        <f t="shared" si="66"/>
        <v>18</v>
      </c>
      <c r="BO184" s="8">
        <f t="shared" si="67"/>
        <v>11</v>
      </c>
      <c r="BP184" s="8" t="str" cm="1">
        <f t="array" ref="BP184">IF(AND(_xlfn.XLOOKUP('Base stats'!E184,Groups!A:A,Groups!AD:AD=0),_xlfn.XLOOKUP('Base stats'!E184,Groups!A:A,Groups!P:P=0)),"No",IF(U184="No",AVERAGE(EXP(-0.57+0.99*LN(C184)),EXP(0.32+0.67*LN(C184)))/IF(_xlfn.XLOOKUP(E184,Groups!A:A,Groups!AD:AD)=1,10,2),(0.7354*C184^0.4078)*2/IF(_xlfn.XLOOKUP(E184,Groups!A:A,Groups!BK:BK)=1,1000,100)/IF(_xlfn.XLOOKUP(E184,Groups!A:A,Groups!AJ:AJ)="Photonozoa",3,1)))</f>
        <v>No</v>
      </c>
      <c r="BQ184" s="8" t="str">
        <f>IF(W184="No","No",IF(_xlfn.XLOOKUP(E184,Groups!A:A,Groups!BD:BD)=1,(AO184*5%),EXP(0.7354*LN(C184)^0.4078)*2/IF(_xlfn.XLOOKUP(E184,Groups!A:A,Groups!BL:BL)=1,1000,100)/IF(_xlfn.XLOOKUP(E184,Groups!A:A,Groups!AJ:AJ)="Photonozoa",3,1)))</f>
        <v>No</v>
      </c>
      <c r="BR184" s="8">
        <f>IF(BJ184="No","No",IF(_xlfn.XLOOKUP(E184,Groups!A:A,Groups!BF:BF)=1,(0.0315*C184+2.1825)*2,(0.7354*C184^0.4078)*2)/IF(_xlfn.XLOOKUP(E184,Groups!A:A,Groups!BM:BM)=1,1000,100)/IF(_xlfn.XLOOKUP(E184,Groups!A:A,Groups!AJ:AJ)="Photonozoa",3,1))</f>
        <v>0.13977630534113397</v>
      </c>
      <c r="BS184" s="8">
        <f t="shared" si="68"/>
        <v>7.3995374247982151E-2</v>
      </c>
      <c r="BT184" s="8" t="str">
        <f t="shared" si="69"/>
        <v>No</v>
      </c>
      <c r="BU184" s="8" t="str">
        <f t="shared" si="70"/>
        <v>No</v>
      </c>
      <c r="BV184" s="8">
        <f t="shared" si="71"/>
        <v>7475.9792950343281</v>
      </c>
      <c r="BW184" s="4">
        <v>0</v>
      </c>
      <c r="BX184" s="4">
        <v>1</v>
      </c>
    </row>
    <row r="185" spans="1:76" s="16" customFormat="1" x14ac:dyDescent="0.25">
      <c r="A185" s="26" t="s">
        <v>1289</v>
      </c>
      <c r="B185" s="6" t="s">
        <v>1288</v>
      </c>
      <c r="C185" s="7">
        <v>1000</v>
      </c>
      <c r="D185" s="7" t="s">
        <v>528</v>
      </c>
      <c r="E185" s="7" t="str">
        <f>Groups!A17</f>
        <v>Crocodile</v>
      </c>
      <c r="F185" s="7" t="str">
        <f t="shared" ref="F185" si="83">"Lay eggs"</f>
        <v>Lay eggs</v>
      </c>
      <c r="G185" s="7">
        <v>14</v>
      </c>
      <c r="H185" s="7">
        <v>70</v>
      </c>
      <c r="I185" s="4">
        <v>0</v>
      </c>
      <c r="J185" s="7" t="str">
        <f t="shared" ref="J185" si="84">"Lay eggs"</f>
        <v>Lay eggs</v>
      </c>
      <c r="K185" s="7" t="s">
        <v>528</v>
      </c>
      <c r="L185" s="7">
        <v>12</v>
      </c>
      <c r="M185" s="7" t="s">
        <v>528</v>
      </c>
      <c r="N185" s="4">
        <v>1</v>
      </c>
      <c r="O185" s="4">
        <v>0</v>
      </c>
      <c r="P185" s="4">
        <v>0</v>
      </c>
      <c r="Q185" s="4">
        <v>0</v>
      </c>
      <c r="R185" s="4">
        <v>1</v>
      </c>
      <c r="S185" s="7">
        <f>_xlfn.XLOOKUP(B185,[1]TeethAdjusters!$A:$A,[1]BiteAdjusters!$C:$C,1)</f>
        <v>1</v>
      </c>
      <c r="T185" s="7">
        <f>_xlfn.XLOOKUP(B185,[1]TeethAdjusters!$A:$A,[1]TeethAdjusters!$B:$B,1)</f>
        <v>1</v>
      </c>
      <c r="U185" s="7" t="s">
        <v>45</v>
      </c>
      <c r="V185" s="7">
        <v>7</v>
      </c>
      <c r="W185" s="7" t="s">
        <v>45</v>
      </c>
      <c r="X185" s="7" t="s">
        <v>932</v>
      </c>
      <c r="Y185" s="4" t="s">
        <v>56</v>
      </c>
      <c r="Z185" s="4">
        <v>1</v>
      </c>
      <c r="AA185" s="4">
        <v>1</v>
      </c>
      <c r="AB185" s="4">
        <v>1</v>
      </c>
      <c r="AC185" s="4">
        <v>0</v>
      </c>
      <c r="AD185" s="4">
        <v>0</v>
      </c>
      <c r="AE185" s="4" t="s">
        <v>45</v>
      </c>
      <c r="AF185" s="4" t="s">
        <v>45</v>
      </c>
      <c r="AG185" s="49" t="s">
        <v>1787</v>
      </c>
      <c r="AH185" s="4" t="s">
        <v>45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4">
        <v>15</v>
      </c>
      <c r="AO185" s="8">
        <f t="shared" si="57"/>
        <v>98928.854132845765</v>
      </c>
      <c r="AP185" s="8">
        <f>IFERROR(C185*_xlfn.XLOOKUP(E185,Groups!A:A,Groups!K:K),0.106*C185^0.94)</f>
        <v>200</v>
      </c>
      <c r="AQ185" s="8">
        <f>AP185*10000/(_xlfn.XLOOKUP(E185,Groups!A:A,Groups!J:J)*AO185)</f>
        <v>10.869112218366398</v>
      </c>
      <c r="AR185" s="8">
        <f t="shared" si="58"/>
        <v>18601.190892984225</v>
      </c>
      <c r="AS185" s="8">
        <f>IF(_xlfn.XLOOKUP(E185,Groups!A:A,Groups!M:M)=1,EXP(0.7444*LN('Base stats'!C185)+6.5696),EXP(0.7927*LN('Base stats'!C185)+4.28))</f>
        <v>17253.62611008879</v>
      </c>
      <c r="AT185" s="8">
        <f>IF(_xlfn.XLOOKUP(E185,Groups!A:A,Groups!N:N)="No","No",
IF(_xlfn.XLOOKUP(E185,Groups!A:A,Groups!N:N)="Crocodile",EXP(0.8129*LN(C185)+4.6742)*S185,
IF(_xlfn.XLOOKUP(E185,Groups!A:A,Groups!N:N)="Felid",EXP(0.7843*LN(C185)+4.7073)*S185,
IF(_xlfn.XLOOKUP(E185,Groups!A:A,Groups!N:N)="Canid",EXP(0.8367*LN(C185)+4.8763)*S185,
IF(_xlfn.XLOOKUP(E185,Groups!A:A,Groups!N:N)="Pig",EXP(0.3439*LN(C185)+6.8519)*S185,
IF(_xlfn.XLOOKUP(E185,Groups!A:A,Groups!N:N)="Rodent",EXP(0.5625*LN(C185)+4.3006)*S185,
IF(_xlfn.XLOOKUP(E185,Groups!A:A,Groups!N:N)="Primate",EXP(0.7847*LN(C185)+3.4931)*S185,
IF(_xlfn.XLOOKUP(E185,Groups!A:A,Groups!N:N)="MiscCarnivora",EXP(0.7486*LN(C185)+4.2207)*S185,
IF(_xlfn.XLOOKUP(E185,Groups!A:A,Groups!N:N)="Lizard",EXP(0.7733*LN(C185)+5.5303)*S185,
IF(_xlfn.XLOOKUP(E185,Groups!A:A,Groups!N:N)="Snake",50*C185^(2/3)*S185,
IF(_xlfn.XLOOKUP(E185,Groups!A:A,Groups!N:N)="StrongBitingHerbivore",87.1133638856975*C185^(2/3)*S185,
IF(_xlfn.XLOOKUP(E185,Groups!A:A,Groups!N:N)="MiscEctotherms",59.4316884072269*C185^(2/3)*S185,
IF(_xlfn.XLOOKUP(E185,Groups!A:A,Groups!N:N)="StrongBeakBird",0.041*(C185*1000)^1.375*S185,
IF(_xlfn.XLOOKUP(E185,Groups!A:A,Groups!N:N)="Bird",0.118*(C185*1000)^0.692*S185,
IF(_xlfn.XLOOKUP(E185,Groups!A:A,Groups!N:N)="Insect",EXP(0.7444*LN(C185)+6.5696)*S185,
IF(_xlfn.XLOOKUP(E185,Groups!A:A,Groups!N:N)="Theropod",EXP(0.6966*LN(C185)+4.158)*S185,
"No"))))))))))))))))</f>
        <v>29422.479390509896</v>
      </c>
      <c r="AU185" s="8">
        <f>IF(_xlfn.XLOOKUP(E185,Groups!A:A,Groups!U:U)=3,AS185,IF(_xlfn.XLOOKUP(E185,Groups!A:A,Groups!U:U)=2,AR185,AT185))</f>
        <v>29422.479390509896</v>
      </c>
      <c r="AV185" s="46">
        <f>IFERROR(AVERAGE(_xlfn.XLOOKUP(B185,Animals!B:B,Animals!N:N),_xlfn.XLOOKUP(B185,Animals!B:B,Animals!O:O)),0)</f>
        <v>0.375</v>
      </c>
      <c r="AW185" s="8">
        <f>MROUND(40*Animals!AO185*_xlfn.XLOOKUP(AG185,Leathers!$A$2:$A$99,Leathers!$B$2:$B$99,0)+(140*_xlfn.XLOOKUP(B185,Animals!B:B,Animals!AO:AO)*2),5)</f>
        <v>1005</v>
      </c>
      <c r="AX185" s="8">
        <f>IFERROR(ROUND(SQRT(V185-1)*IF(_xlfn.XLOOKUP(E185,Groups!A:A,Groups!BF:BF)=0,2,1)*IF(_xlfn.XLOOKUP('Base stats'!E185,Groups!A:A,Groups!O:O)=0,1,0.1),1),0)</f>
        <v>2.4</v>
      </c>
      <c r="AY185" s="8">
        <f t="shared" si="59"/>
        <v>0</v>
      </c>
      <c r="AZ185" s="8">
        <f t="shared" si="60"/>
        <v>0</v>
      </c>
      <c r="BA185" s="8">
        <f t="shared" si="61"/>
        <v>9.5</v>
      </c>
      <c r="BB185" s="8">
        <f>IF(_xlfn.XLOOKUP(E185,Groups!A:A,Groups!N:N)="Insect",BD185*2.5,IFERROR(AVERAGE(BD185,AT185/9.81/IF(OR(_xlfn.XLOOKUP(E185,Groups!A:A,Groups!N:N)="Pig",_xlfn.XLOOKUP(E185,Groups!A:A,Groups!N:N)="StrongBitingHerbivore"),20,25))*C185^-0.135,BD185))</f>
        <v>26.007218156739359</v>
      </c>
      <c r="BC185" s="8" t="str">
        <f>IF(W185="No","No",IF(_xlfn.XLOOKUP(E185,Groups!A:A,Groups!U:U)=1,'Base stats'!BB185,IF(OR(_xlfn.XLOOKUP(E185,Groups!A:A,Groups!BD:BD)=1,_xlfn.XLOOKUP(E185,Groups!A:A,Groups!U:U)=2),BD185,IF(_xlfn.XLOOKUP(B185,Animals!B:B,Animals!AO:AO)&gt;4,AVERAGE(BD185,BF185),BF185))))</f>
        <v>No</v>
      </c>
      <c r="BD185" s="8">
        <f t="shared" si="62"/>
        <v>12.19792804145558</v>
      </c>
      <c r="BE185" s="8">
        <f>IF(_xlfn.XLOOKUP(E185,Groups!A:A,Groups!BE:BE)=1,(0.048*C185^1.01)+(0.071*C185^1.03),0.071*C185^1.03)/IF(_xlfn.XLOOKUP(E185,Groups!A:A,Groups!M:M)=1,0.85,IF(OR(_xlfn.XLOOKUP(B185,Animals!B:B,Animals!AO:AO)&gt;4,_xlfn.XLOOKUP(E185,Groups!A:A,Groups!BC:BC)=1),1.7,1))*C185^-0.25</f>
        <v>9.1371220764951868</v>
      </c>
      <c r="BF185" s="8">
        <f>(0.048*C185^1.01)/IF(_xlfn.XLOOKUP(E185,Groups!A:A,Groups!M:M)=1,0.25,0.8)*C185^-0.25</f>
        <v>11.432764307779475</v>
      </c>
      <c r="BG185" s="8">
        <f>EXP(1.076*LN(AR185)-4.5397)*IF(_xlfn.XLOOKUP(E185,Groups!A:A,Groups!BC:BC)=1,1.25,IF(_xlfn.XLOOKUP(E185,Groups!A:A,Groups!BD:BD)=1,3.5,2.5))</f>
        <v>524.04574632967251</v>
      </c>
      <c r="BH185" s="8">
        <f>EXP(1.076*LN(AS185)-4.5397)*IF(_xlfn.XLOOKUP(E185,Groups!A:A,Groups!M:M)=1,0.8,IF(_xlfn.XLOOKUP(E185,Groups!A:A,Groups!BC:BC)=1,1.3,3))</f>
        <v>502.64340004703536</v>
      </c>
      <c r="BI185" s="8" t="str">
        <f>IF(W185="No","No",IF(_xlfn.XLOOKUP(E185,Groups!A:A,Groups!U:U)=1,'Base stats'!BJ185,IF(OR(_xlfn.XLOOKUP(E185,Groups!A:A,Groups!BD:BD)=1,_xlfn.XLOOKUP(E185,Groups!A:A,Groups!U:U)=2),BG185,BH185))*1.2)</f>
        <v>No</v>
      </c>
      <c r="BJ185" s="8">
        <f>IFERROR(EXP(1.076*LN(AT185)-4.5397)*IF(_xlfn.XLOOKUP(E185,Groups!A:A,Groups!N:N)="Insect",1,IF(OR(_xlfn.XLOOKUP(E185,Groups!A:A,Groups!N:N)="Pig",_xlfn.XLOOKUP(E185,Groups!A:A,Groups!N:N)="StrongBitingHerbivore"),3.5,3.75)),"No")</f>
        <v>2574.9185731096982</v>
      </c>
      <c r="BK185" s="8">
        <f t="shared" si="63"/>
        <v>9</v>
      </c>
      <c r="BL185" s="8">
        <f t="shared" si="64"/>
        <v>10</v>
      </c>
      <c r="BM185" s="8" t="str">
        <f t="shared" si="65"/>
        <v>No</v>
      </c>
      <c r="BN185" s="8">
        <f t="shared" si="66"/>
        <v>14</v>
      </c>
      <c r="BO185" s="8">
        <f t="shared" si="67"/>
        <v>9</v>
      </c>
      <c r="BP185" s="8" t="str" cm="1">
        <f t="array" ref="BP185">IF(AND(_xlfn.XLOOKUP('Base stats'!E185,Groups!A:A,Groups!AD:AD=0),_xlfn.XLOOKUP('Base stats'!E185,Groups!A:A,Groups!P:P=0)),"No",IF(U185="No",AVERAGE(EXP(-0.57+0.99*LN(C185)),EXP(0.32+0.67*LN(C185)))/IF(_xlfn.XLOOKUP(E185,Groups!A:A,Groups!AD:AD)=1,10,2),(0.7354*C185^0.4078)*2/IF(_xlfn.XLOOKUP(E185,Groups!A:A,Groups!BK:BK)=1,1000,100)/IF(_xlfn.XLOOKUP(E185,Groups!A:A,Groups!AJ:AJ)="Photonozoa",3,1)))</f>
        <v>No</v>
      </c>
      <c r="BQ185" s="8" t="str">
        <f>IF(W185="No","No",IF(_xlfn.XLOOKUP(E185,Groups!A:A,Groups!BD:BD)=1,(AO185*5%),EXP(0.7354*LN(C185)^0.4078)*2/IF(_xlfn.XLOOKUP(E185,Groups!A:A,Groups!BL:BL)=1,1000,100)/IF(_xlfn.XLOOKUP(E185,Groups!A:A,Groups!AJ:AJ)="Photonozoa",3,1)))</f>
        <v>No</v>
      </c>
      <c r="BR185" s="8">
        <f>IF(BJ185="No","No",IF(_xlfn.XLOOKUP(E185,Groups!A:A,Groups!BF:BF)=1,(0.0315*C185+2.1825)*2,(0.7354*C185^0.4078)*2)/IF(_xlfn.XLOOKUP(E185,Groups!A:A,Groups!BM:BM)=1,1000,100)/IF(_xlfn.XLOOKUP(E185,Groups!A:A,Groups!AJ:AJ)="Photonozoa",3,1))</f>
        <v>0.67364999999999997</v>
      </c>
      <c r="BS185" s="8">
        <f t="shared" si="68"/>
        <v>0.10594396365411493</v>
      </c>
      <c r="BT185" s="8" t="str">
        <f t="shared" si="69"/>
        <v>No</v>
      </c>
      <c r="BU185" s="8" t="str">
        <f t="shared" si="70"/>
        <v>No</v>
      </c>
      <c r="BV185" s="8">
        <f t="shared" si="71"/>
        <v>3822.3388601049483</v>
      </c>
      <c r="BW185" s="4">
        <v>0</v>
      </c>
      <c r="BX185" s="4">
        <v>1</v>
      </c>
    </row>
    <row r="186" spans="1:76" s="16" customFormat="1" x14ac:dyDescent="0.25">
      <c r="A186" s="26" t="s">
        <v>1292</v>
      </c>
      <c r="B186" s="6" t="s">
        <v>1290</v>
      </c>
      <c r="C186" s="7">
        <v>8</v>
      </c>
      <c r="D186" s="7" t="s">
        <v>528</v>
      </c>
      <c r="E186" s="7" t="str">
        <f>Groups!$A$15</f>
        <v>Doglike (CANID)</v>
      </c>
      <c r="F186" s="7">
        <v>52</v>
      </c>
      <c r="G186" s="7">
        <f>300/365</f>
        <v>0.82191780821917804</v>
      </c>
      <c r="H186" s="7">
        <v>20</v>
      </c>
      <c r="I186" s="4">
        <v>0</v>
      </c>
      <c r="J186" s="7">
        <v>5</v>
      </c>
      <c r="K186" s="7" t="s">
        <v>528</v>
      </c>
      <c r="L186" s="7">
        <f>MIN(37.5*C186^0.089,79.3*C186^-0.072)</f>
        <v>45.123863474981334</v>
      </c>
      <c r="M186" s="7" t="s">
        <v>626</v>
      </c>
      <c r="N186" s="4">
        <v>1</v>
      </c>
      <c r="O186" s="4">
        <v>0</v>
      </c>
      <c r="P186" s="4">
        <v>0</v>
      </c>
      <c r="Q186" s="4">
        <v>0</v>
      </c>
      <c r="R186" s="4">
        <v>1</v>
      </c>
      <c r="S186" s="7">
        <f>_xlfn.XLOOKUP(B186,[1]TeethAdjusters!$A:$A,[1]BiteAdjusters!$C:$C,1)</f>
        <v>1.0347115248382959</v>
      </c>
      <c r="T186" s="7">
        <f>_xlfn.XLOOKUP(B186,[1]TeethAdjusters!$A:$A,[1]TeethAdjusters!$B:$B,1)</f>
        <v>1.2266423062576042</v>
      </c>
      <c r="U186" s="7" t="s">
        <v>45</v>
      </c>
      <c r="V186" s="7">
        <f>IF(AT186="No","No",IF(_xlfn.XLOOKUP(E186,Groups!A:A,Groups!AM:AM)=1,MROUND(EXP(0.3582*LN(C186)-0.2221)*T186,0.05),IF(_xlfn.XLOOKUP(E186,Groups!A:A,Groups!AM:AM)=2,MROUND(EXP(0.3582*LN(C186)-0.2221)*T186,0.05),"Need a formula")))</f>
        <v>2.0500000000000003</v>
      </c>
      <c r="W186" s="7" t="s">
        <v>45</v>
      </c>
      <c r="X186" s="7" t="s">
        <v>932</v>
      </c>
      <c r="Y186" s="4" t="s">
        <v>56</v>
      </c>
      <c r="Z186" s="4">
        <v>1</v>
      </c>
      <c r="AA186" s="4">
        <v>1</v>
      </c>
      <c r="AB186" s="4">
        <v>0</v>
      </c>
      <c r="AC186" s="4">
        <v>0</v>
      </c>
      <c r="AD186" s="4">
        <v>0</v>
      </c>
      <c r="AE186" s="4" t="s">
        <v>45</v>
      </c>
      <c r="AF186" s="4" t="s">
        <v>45</v>
      </c>
      <c r="AG186" s="49" t="s">
        <v>1787</v>
      </c>
      <c r="AH186" s="4" t="s">
        <v>45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4" t="s">
        <v>40</v>
      </c>
      <c r="AO186" s="8">
        <f t="shared" si="57"/>
        <v>4288.757300426314</v>
      </c>
      <c r="AP186" s="8">
        <f>IFERROR(C186*_xlfn.XLOOKUP(E186,Groups!A:A,Groups!K:K),0.106*C186^0.94)</f>
        <v>0.998</v>
      </c>
      <c r="AQ186" s="8">
        <f>AP186*10000/(_xlfn.XLOOKUP(E186,Groups!A:A,Groups!J:J)*AO186)</f>
        <v>2.1348755971437612</v>
      </c>
      <c r="AR186" s="8">
        <f t="shared" si="58"/>
        <v>314.9784646370465</v>
      </c>
      <c r="AS186" s="8">
        <f>IF(_xlfn.XLOOKUP(E186,Groups!A:A,Groups!M:M)=1,EXP(0.7444*LN('Base stats'!C186)+6.5696),EXP(0.7927*LN('Base stats'!C186)+4.28))</f>
        <v>375.54312447761004</v>
      </c>
      <c r="AT186" s="8">
        <f>IF(_xlfn.XLOOKUP(E186,Groups!A:A,Groups!N:N)="No","No",
IF(_xlfn.XLOOKUP(E186,Groups!A:A,Groups!N:N)="Crocodile",EXP(0.8129*LN(C186)+4.6742)*S186,
IF(_xlfn.XLOOKUP(E186,Groups!A:A,Groups!N:N)="Felid",EXP(0.7843*LN(C186)+4.7073)*S186,
IF(_xlfn.XLOOKUP(E186,Groups!A:A,Groups!N:N)="Canid",EXP(0.8367*LN(C186)+4.8763)*S186,
IF(_xlfn.XLOOKUP(E186,Groups!A:A,Groups!N:N)="Pig",EXP(0.3439*LN(C186)+6.8519)*S186,
IF(_xlfn.XLOOKUP(E186,Groups!A:A,Groups!N:N)="Rodent",EXP(0.5625*LN(C186)+4.3006)*S186,
IF(_xlfn.XLOOKUP(E186,Groups!A:A,Groups!N:N)="Primate",EXP(0.7847*LN(C186)+3.4931)*S186,
IF(_xlfn.XLOOKUP(E186,Groups!A:A,Groups!N:N)="MiscCarnivora",EXP(0.7486*LN(C186)+4.2207)*S186,
IF(_xlfn.XLOOKUP(E186,Groups!A:A,Groups!N:N)="Lizard",EXP(0.7733*LN(C186)+5.5303)*S186,
IF(_xlfn.XLOOKUP(E186,Groups!A:A,Groups!N:N)="Snake",50*C186^(2/3)*S186,
IF(_xlfn.XLOOKUP(E186,Groups!A:A,Groups!N:N)="StrongBitingHerbivore",87.1133638856975*C186^(2/3)*S186,
IF(_xlfn.XLOOKUP(E186,Groups!A:A,Groups!N:N)="MiscEctotherms",59.4316884072269*C186^(2/3)*S186,
IF(_xlfn.XLOOKUP(E186,Groups!A:A,Groups!N:N)="StrongBeakBird",0.041*(C186*1000)^1.375*S186,
IF(_xlfn.XLOOKUP(E186,Groups!A:A,Groups!N:N)="Bird",0.118*(C186*1000)^0.692*S186,
IF(_xlfn.XLOOKUP(E186,Groups!A:A,Groups!N:N)="Insect",EXP(0.7444*LN(C186)+6.5696)*S186,
IF(_xlfn.XLOOKUP(E186,Groups!A:A,Groups!N:N)="Theropod",EXP(0.6966*LN(C186)+4.158)*S186,
"No"))))))))))))))))</f>
        <v>773.00955220615879</v>
      </c>
      <c r="AU186" s="8">
        <f>IF(_xlfn.XLOOKUP(E186,Groups!A:A,Groups!U:U)=3,AS186,IF(_xlfn.XLOOKUP(E186,Groups!A:A,Groups!U:U)=2,AR186,AT186))</f>
        <v>773.00955220615879</v>
      </c>
      <c r="AV186" s="46">
        <f>IFERROR(AVERAGE(_xlfn.XLOOKUP(B186,Animals!B:B,Animals!N:N),_xlfn.XLOOKUP(B186,Animals!B:B,Animals!O:O)),0)</f>
        <v>0</v>
      </c>
      <c r="AW186" s="8">
        <f>MROUND(40*Animals!AO186*_xlfn.XLOOKUP(AG186,Leathers!$A$2:$A$99,Leathers!$B$2:$B$99,0)+(140*_xlfn.XLOOKUP(B186,Animals!B:B,Animals!AO:AO)*2),5)</f>
        <v>130</v>
      </c>
      <c r="AX186" s="8">
        <f>IFERROR(ROUND(SQRT(V186-1)*IF(_xlfn.XLOOKUP(E186,Groups!A:A,Groups!BF:BF)=0,2,1)*IF(_xlfn.XLOOKUP('Base stats'!E186,Groups!A:A,Groups!O:O)=0,1,0.1),1),0)</f>
        <v>2</v>
      </c>
      <c r="AY186" s="8">
        <f t="shared" si="59"/>
        <v>0</v>
      </c>
      <c r="AZ186" s="8">
        <f t="shared" si="60"/>
        <v>0</v>
      </c>
      <c r="BA186" s="8">
        <f t="shared" si="61"/>
        <v>1.4</v>
      </c>
      <c r="BB186" s="8">
        <f>IF(_xlfn.XLOOKUP(E186,Groups!A:A,Groups!N:N)="Insect",BD186*2.5,IFERROR(AVERAGE(BD186,AT186/9.81/IF(OR(_xlfn.XLOOKUP(E186,Groups!A:A,Groups!N:N)="Pig",_xlfn.XLOOKUP(E186,Groups!A:A,Groups!N:N)="StrongBitingHerbivore"),20,25))*C186^-0.135,BD186))</f>
        <v>1.2735550137194542</v>
      </c>
      <c r="BC186" s="8" t="str">
        <f>IF(W186="No","No",IF(_xlfn.XLOOKUP(E186,Groups!A:A,Groups!U:U)=1,'Base stats'!BB186,IF(OR(_xlfn.XLOOKUP(E186,Groups!A:A,Groups!BD:BD)=1,_xlfn.XLOOKUP(E186,Groups!A:A,Groups!U:U)=2),BD186,IF(_xlfn.XLOOKUP(B186,Animals!B:B,Animals!AO:AO)&gt;4,AVERAGE(BD186,BF186),BF186))))</f>
        <v>No</v>
      </c>
      <c r="BD186" s="8">
        <f t="shared" si="62"/>
        <v>0.22067536125102225</v>
      </c>
      <c r="BE186" s="8">
        <f>IF(_xlfn.XLOOKUP(E186,Groups!A:A,Groups!BE:BE)=1,(0.048*C186^1.01)+(0.071*C186^1.03),0.071*C186^1.03)/IF(_xlfn.XLOOKUP(E186,Groups!A:A,Groups!M:M)=1,0.85,IF(OR(_xlfn.XLOOKUP(B186,Animals!B:B,Animals!AO:AO)&gt;4,_xlfn.XLOOKUP(E186,Groups!A:A,Groups!BC:BC)=1),1.7,1))*C186^-0.25</f>
        <v>0.3594748726875594</v>
      </c>
      <c r="BF186" s="8">
        <f>(0.048*C186^1.01)/IF(_xlfn.XLOOKUP(E186,Groups!A:A,Groups!M:M)=1,0.25,0.8)*C186^-0.25</f>
        <v>0.29140677225481115</v>
      </c>
      <c r="BG186" s="8">
        <f>EXP(1.076*LN(AR186)-4.5397)*IF(_xlfn.XLOOKUP(E186,Groups!A:A,Groups!BC:BC)=1,1.25,IF(_xlfn.XLOOKUP(E186,Groups!A:A,Groups!BD:BD)=1,3.5,2.5))</f>
        <v>13.017379206175637</v>
      </c>
      <c r="BH186" s="8">
        <f>EXP(1.076*LN(AS186)-4.5397)*IF(_xlfn.XLOOKUP(E186,Groups!A:A,Groups!M:M)=1,0.8,IF(_xlfn.XLOOKUP(E186,Groups!A:A,Groups!BC:BC)=1,1.3,3))</f>
        <v>18.875069369328124</v>
      </c>
      <c r="BI186" s="8" t="str">
        <f>IF(W186="No","No",IF(_xlfn.XLOOKUP(E186,Groups!A:A,Groups!U:U)=1,'Base stats'!BJ186,IF(OR(_xlfn.XLOOKUP(E186,Groups!A:A,Groups!BD:BD)=1,_xlfn.XLOOKUP(E186,Groups!A:A,Groups!U:U)=2),BG186,BH186))*1.2)</f>
        <v>No</v>
      </c>
      <c r="BJ186" s="8">
        <f>IFERROR(EXP(1.076*LN(AT186)-4.5397)*IF(_xlfn.XLOOKUP(E186,Groups!A:A,Groups!N:N)="Insect",1,IF(OR(_xlfn.XLOOKUP(E186,Groups!A:A,Groups!N:N)="Pig",_xlfn.XLOOKUP(E186,Groups!A:A,Groups!N:N)="StrongBitingHerbivore"),3.5,3.75)),"No")</f>
        <v>51.304034415090108</v>
      </c>
      <c r="BK186" s="8">
        <f t="shared" si="63"/>
        <v>10</v>
      </c>
      <c r="BL186" s="8">
        <f t="shared" si="64"/>
        <v>10</v>
      </c>
      <c r="BM186" s="8" t="str">
        <f t="shared" si="65"/>
        <v>No</v>
      </c>
      <c r="BN186" s="8">
        <f t="shared" si="66"/>
        <v>8</v>
      </c>
      <c r="BO186" s="8">
        <f t="shared" si="67"/>
        <v>11</v>
      </c>
      <c r="BP186" s="8" t="str" cm="1">
        <f t="array" ref="BP186">IF(AND(_xlfn.XLOOKUP('Base stats'!E186,Groups!A:A,Groups!AD:AD=0),_xlfn.XLOOKUP('Base stats'!E186,Groups!A:A,Groups!P:P=0)),"No",IF(U186="No",AVERAGE(EXP(-0.57+0.99*LN(C186)),EXP(0.32+0.67*LN(C186)))/IF(_xlfn.XLOOKUP(E186,Groups!A:A,Groups!AD:AD)=1,10,2),(0.7354*C186^0.4078)*2/IF(_xlfn.XLOOKUP(E186,Groups!A:A,Groups!BK:BK)=1,1000,100)/IF(_xlfn.XLOOKUP(E186,Groups!A:A,Groups!AJ:AJ)="Photonozoa",3,1)))</f>
        <v>No</v>
      </c>
      <c r="BQ186" s="8" t="str">
        <f>IF(W186="No","No",IF(_xlfn.XLOOKUP(E186,Groups!A:A,Groups!BD:BD)=1,(AO186*5%),EXP(0.7354*LN(C186)^0.4078)*2/IF(_xlfn.XLOOKUP(E186,Groups!A:A,Groups!BL:BL)=1,1000,100)/IF(_xlfn.XLOOKUP(E186,Groups!A:A,Groups!AJ:AJ)="Photonozoa",3,1)))</f>
        <v>No</v>
      </c>
      <c r="BR186" s="8">
        <f>IF(BJ186="No","No",IF(_xlfn.XLOOKUP(E186,Groups!A:A,Groups!BF:BF)=1,(0.0315*C186+2.1825)*2,(0.7354*C186^0.4078)*2)/IF(_xlfn.XLOOKUP(E186,Groups!A:A,Groups!BM:BM)=1,1000,100)/IF(_xlfn.XLOOKUP(E186,Groups!A:A,Groups!AJ:AJ)="Photonozoa",3,1))</f>
        <v>3.434264320573633E-2</v>
      </c>
      <c r="BS186" s="8">
        <f t="shared" si="68"/>
        <v>6.07046670833142E-2</v>
      </c>
      <c r="BT186" s="8" t="str">
        <f t="shared" si="69"/>
        <v>No</v>
      </c>
      <c r="BU186" s="8" t="str">
        <f t="shared" si="70"/>
        <v>No</v>
      </c>
      <c r="BV186" s="8">
        <f t="shared" si="71"/>
        <v>1493.8871800793911</v>
      </c>
      <c r="BW186" s="4">
        <v>0</v>
      </c>
      <c r="BX186" s="4">
        <v>1</v>
      </c>
    </row>
    <row r="187" spans="1:76" s="16" customFormat="1" x14ac:dyDescent="0.25">
      <c r="A187" s="26" t="s">
        <v>1293</v>
      </c>
      <c r="B187" s="6" t="s">
        <v>1295</v>
      </c>
      <c r="C187" s="7">
        <v>2000</v>
      </c>
      <c r="D187" s="7" t="s">
        <v>528</v>
      </c>
      <c r="E187" s="7" t="str">
        <f>Groups!A63</f>
        <v>Bear</v>
      </c>
      <c r="F187" s="7">
        <v>110</v>
      </c>
      <c r="G187" s="7">
        <v>5</v>
      </c>
      <c r="H187" s="7">
        <v>40</v>
      </c>
      <c r="I187" s="4">
        <v>0</v>
      </c>
      <c r="J187" s="7">
        <v>2</v>
      </c>
      <c r="K187" s="7" t="s">
        <v>528</v>
      </c>
      <c r="L187" s="7">
        <v>48</v>
      </c>
      <c r="M187" s="7" t="s">
        <v>626</v>
      </c>
      <c r="N187" s="4">
        <v>1</v>
      </c>
      <c r="O187" s="4">
        <v>0</v>
      </c>
      <c r="P187" s="4">
        <v>0</v>
      </c>
      <c r="Q187" s="4">
        <v>0</v>
      </c>
      <c r="R187" s="4">
        <v>1</v>
      </c>
      <c r="S187" s="7">
        <f>_xlfn.XLOOKUP(B187,[1]TeethAdjusters!$A:$A,[1]BiteAdjusters!$C:$C,1)</f>
        <v>0.95286851108357262</v>
      </c>
      <c r="T187" s="7">
        <f>_xlfn.XLOOKUP(B187,[1]TeethAdjusters!$A:$A,[1]TeethAdjusters!$B:$B,1)</f>
        <v>0.77716495074174219</v>
      </c>
      <c r="U187" s="7">
        <v>10</v>
      </c>
      <c r="V187" s="7">
        <f>IF(AT187="No","No",IF(_xlfn.XLOOKUP(E187,Groups!A:A,Groups!AM:AM)=1,MROUND(EXP(0.3582*LN(C187)-0.2221)*T187,0.05),IF(_xlfn.XLOOKUP(E187,Groups!A:A,Groups!AM:AM)=2,MROUND(EXP(0.3582*LN(C187)-0.2221)*T187,0.05),"Need a formula")))</f>
        <v>9.4500000000000011</v>
      </c>
      <c r="W187" s="7" t="s">
        <v>45</v>
      </c>
      <c r="X187" s="7" t="s">
        <v>932</v>
      </c>
      <c r="Y187" s="4" t="s">
        <v>53</v>
      </c>
      <c r="Z187" s="4">
        <v>1</v>
      </c>
      <c r="AA187" s="4">
        <v>0</v>
      </c>
      <c r="AB187" s="4">
        <v>1</v>
      </c>
      <c r="AC187" s="4">
        <v>0</v>
      </c>
      <c r="AD187" s="4">
        <v>0</v>
      </c>
      <c r="AE187" s="4" t="s">
        <v>45</v>
      </c>
      <c r="AF187" s="4" t="s">
        <v>45</v>
      </c>
      <c r="AG187" s="49" t="s">
        <v>1787</v>
      </c>
      <c r="AH187" s="4" t="s">
        <v>45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4" t="s">
        <v>40</v>
      </c>
      <c r="AO187" s="8">
        <f t="shared" si="57"/>
        <v>155236.011551556</v>
      </c>
      <c r="AP187" s="8">
        <f>IFERROR(C187*_xlfn.XLOOKUP(E187,Groups!A:A,Groups!K:K),0.106*C187^0.94)</f>
        <v>249.5</v>
      </c>
      <c r="AQ187" s="8">
        <f>AP187*10000/(_xlfn.XLOOKUP(E187,Groups!A:A,Groups!J:J)*AO187)</f>
        <v>14.745230844377033</v>
      </c>
      <c r="AR187" s="8">
        <f t="shared" si="58"/>
        <v>33405.716184674973</v>
      </c>
      <c r="AS187" s="8">
        <f>IF(_xlfn.XLOOKUP(E187,Groups!A:A,Groups!M:M)=1,EXP(0.7444*LN('Base stats'!C187)+6.5696),EXP(0.7927*LN('Base stats'!C187)+4.28))</f>
        <v>29888.688587116343</v>
      </c>
      <c r="AT187" s="8">
        <f>IF(_xlfn.XLOOKUP(E187,Groups!A:A,Groups!N:N)="No","No",
IF(_xlfn.XLOOKUP(E187,Groups!A:A,Groups!N:N)="Crocodile",EXP(0.8129*LN(C187)+4.6742)*S187,
IF(_xlfn.XLOOKUP(E187,Groups!A:A,Groups!N:N)="Felid",EXP(0.7843*LN(C187)+4.7073)*S187,
IF(_xlfn.XLOOKUP(E187,Groups!A:A,Groups!N:N)="Canid",EXP(0.8367*LN(C187)+4.8763)*S187,
IF(_xlfn.XLOOKUP(E187,Groups!A:A,Groups!N:N)="Pig",EXP(0.3439*LN(C187)+6.8519)*S187,
IF(_xlfn.XLOOKUP(E187,Groups!A:A,Groups!N:N)="Rodent",EXP(0.5625*LN(C187)+4.3006)*S187,
IF(_xlfn.XLOOKUP(E187,Groups!A:A,Groups!N:N)="Primate",EXP(0.7847*LN(C187)+3.4931)*S187,
IF(_xlfn.XLOOKUP(E187,Groups!A:A,Groups!N:N)="MiscCarnivora",EXP(0.7486*LN(C187)+4.2207)*S187,
IF(_xlfn.XLOOKUP(E187,Groups!A:A,Groups!N:N)="Lizard",EXP(0.7733*LN(C187)+5.5303)*S187,
IF(_xlfn.XLOOKUP(E187,Groups!A:A,Groups!N:N)="Snake",50*C187^(2/3)*S187,
IF(_xlfn.XLOOKUP(E187,Groups!A:A,Groups!N:N)="StrongBitingHerbivore",87.1133638856975*C187^(2/3)*S187,
IF(_xlfn.XLOOKUP(E187,Groups!A:A,Groups!N:N)="MiscEctotherms",59.4316884072269*C187^(2/3)*S187,
IF(_xlfn.XLOOKUP(E187,Groups!A:A,Groups!N:N)="StrongBeakBird",0.041*(C187*1000)^1.375*S187,
IF(_xlfn.XLOOKUP(E187,Groups!A:A,Groups!N:N)="Bird",0.118*(C187*1000)^0.692*S187,
IF(_xlfn.XLOOKUP(E187,Groups!A:A,Groups!N:N)="Insect",EXP(0.7444*LN(C187)+6.5696)*S187,
IF(_xlfn.XLOOKUP(E187,Groups!A:A,Groups!N:N)="Theropod",EXP(0.6966*LN(C187)+4.158)*S187,
"No"))))))))))))))))</f>
        <v>19196.000378324963</v>
      </c>
      <c r="AU187" s="8">
        <f>IF(_xlfn.XLOOKUP(E187,Groups!A:A,Groups!U:U)=3,AS187,IF(_xlfn.XLOOKUP(E187,Groups!A:A,Groups!U:U)=2,AR187,AT187))</f>
        <v>19196.000378324963</v>
      </c>
      <c r="AV187" s="46">
        <f>IFERROR(AVERAGE(_xlfn.XLOOKUP(B187,Animals!B:B,Animals!N:N),_xlfn.XLOOKUP(B187,Animals!B:B,Animals!O:O)),0)</f>
        <v>0</v>
      </c>
      <c r="AW187" s="8">
        <f>MROUND(40*Animals!AO187*_xlfn.XLOOKUP(AG187,Leathers!$A$2:$A$99,Leathers!$B$2:$B$99,0)+(140*_xlfn.XLOOKUP(B187,Animals!B:B,Animals!AO:AO)*2),5)</f>
        <v>1235</v>
      </c>
      <c r="AX187" s="8">
        <f>IFERROR(ROUND(SQRT(V187-1)*IF(_xlfn.XLOOKUP(E187,Groups!A:A,Groups!BF:BF)=0,2,1)*IF(_xlfn.XLOOKUP('Base stats'!E187,Groups!A:A,Groups!O:O)=0,1,0.1),1),0)</f>
        <v>5.8</v>
      </c>
      <c r="AY187" s="8">
        <f t="shared" si="59"/>
        <v>3</v>
      </c>
      <c r="AZ187" s="8">
        <f t="shared" si="60"/>
        <v>0</v>
      </c>
      <c r="BA187" s="8">
        <f t="shared" si="61"/>
        <v>12.2</v>
      </c>
      <c r="BB187" s="8">
        <f>IF(_xlfn.XLOOKUP(E187,Groups!A:A,Groups!N:N)="Insect",BD187*2.5,IFERROR(AVERAGE(BD187,AT187/9.81/IF(OR(_xlfn.XLOOKUP(E187,Groups!A:A,Groups!N:N)="Pig",_xlfn.XLOOKUP(E187,Groups!A:A,Groups!N:N)="StrongBitingHerbivore"),20,25))*C187^-0.135,BD187))</f>
        <v>17.914381023906838</v>
      </c>
      <c r="BC187" s="8" t="str">
        <f>IF(W187="No","No",IF(_xlfn.XLOOKUP(E187,Groups!A:A,Groups!U:U)=1,'Base stats'!BB187,IF(OR(_xlfn.XLOOKUP(E187,Groups!A:A,Groups!BD:BD)=1,_xlfn.XLOOKUP(E187,Groups!A:A,Groups!U:U)=2),BD187,IF(_xlfn.XLOOKUP(B187,Animals!B:B,Animals!AO:AO)&gt;4,AVERAGE(BD187,BF187),BF187))))</f>
        <v>No</v>
      </c>
      <c r="BD187" s="8">
        <f t="shared" si="62"/>
        <v>21.699113598001556</v>
      </c>
      <c r="BE187" s="8">
        <f>IF(_xlfn.XLOOKUP(E187,Groups!A:A,Groups!BE:BE)=1,(0.048*C187^1.01)+(0.071*C187^1.03),0.071*C187^1.03)/IF(_xlfn.XLOOKUP(E187,Groups!A:A,Groups!M:M)=1,0.85,IF(OR(_xlfn.XLOOKUP(B187,Animals!B:B,Animals!AO:AO)&gt;4,_xlfn.XLOOKUP(E187,Groups!A:A,Groups!BC:BC)=1),1.7,1))*C187^-0.25</f>
        <v>26.672378491529827</v>
      </c>
      <c r="BF187" s="8">
        <f>(0.048*C187^1.01)/IF(_xlfn.XLOOKUP(E187,Groups!A:A,Groups!M:M)=1,0.25,0.8)*C187^-0.25</f>
        <v>19.361279169915775</v>
      </c>
      <c r="BG187" s="8">
        <f>EXP(1.076*LN(AR187)-4.5397)*IF(_xlfn.XLOOKUP(E187,Groups!A:A,Groups!BC:BC)=1,1.25,IF(_xlfn.XLOOKUP(E187,Groups!A:A,Groups!BD:BD)=1,3.5,2.5))</f>
        <v>1967.9067528840988</v>
      </c>
      <c r="BH187" s="8">
        <f>EXP(1.076*LN(AS187)-4.5397)*IF(_xlfn.XLOOKUP(E187,Groups!A:A,Groups!M:M)=1,0.8,IF(_xlfn.XLOOKUP(E187,Groups!A:A,Groups!BC:BC)=1,1.3,3))</f>
        <v>2095.0769399661822</v>
      </c>
      <c r="BI187" s="8" t="str">
        <f>IF(W187="No","No",IF(_xlfn.XLOOKUP(E187,Groups!A:A,Groups!U:U)=1,'Base stats'!BJ187,IF(OR(_xlfn.XLOOKUP(E187,Groups!A:A,Groups!BD:BD)=1,_xlfn.XLOOKUP(E187,Groups!A:A,Groups!U:U)=2),BG187,BH187))*1.2)</f>
        <v>No</v>
      </c>
      <c r="BJ187" s="8">
        <f>IFERROR(EXP(1.076*LN(AT187)-4.5397)*IF(_xlfn.XLOOKUP(E187,Groups!A:A,Groups!N:N)="Insect",1,IF(OR(_xlfn.XLOOKUP(E187,Groups!A:A,Groups!N:N)="Pig",_xlfn.XLOOKUP(E187,Groups!A:A,Groups!N:N)="StrongBitingHerbivore"),3.5,3.75)),"No")</f>
        <v>1626.2951807253</v>
      </c>
      <c r="BK187" s="8">
        <f t="shared" si="63"/>
        <v>13</v>
      </c>
      <c r="BL187" s="8">
        <f t="shared" si="64"/>
        <v>12</v>
      </c>
      <c r="BM187" s="8" t="str">
        <f t="shared" si="65"/>
        <v>No</v>
      </c>
      <c r="BN187" s="8">
        <f t="shared" si="66"/>
        <v>13</v>
      </c>
      <c r="BO187" s="8">
        <f t="shared" si="67"/>
        <v>14</v>
      </c>
      <c r="BP187" s="8" cm="1">
        <f t="array" ref="BP187">IF(AND(_xlfn.XLOOKUP('Base stats'!E187,Groups!A:A,Groups!AD:AD=0),_xlfn.XLOOKUP('Base stats'!E187,Groups!A:A,Groups!P:P=0)),"No",IF(U187="No",AVERAGE(EXP(-0.57+0.99*LN(C187)),EXP(0.32+0.67*LN(C187)))/IF(_xlfn.XLOOKUP(E187,Groups!A:A,Groups!AD:AD)=1,10,2),(0.7354*C187^0.4078)*2/IF(_xlfn.XLOOKUP(E187,Groups!A:A,Groups!BK:BK)=1,1000,100)/IF(_xlfn.XLOOKUP(E187,Groups!A:A,Groups!AJ:AJ)="Photonozoa",3,1)))</f>
        <v>0.32637257159006128</v>
      </c>
      <c r="BQ187" s="8" t="str">
        <f>IF(W187="No","No",IF(_xlfn.XLOOKUP(E187,Groups!A:A,Groups!BD:BD)=1,(AO187*5%),EXP(0.7354*LN(C187)^0.4078)*2/IF(_xlfn.XLOOKUP(E187,Groups!A:A,Groups!BL:BL)=1,1000,100)/IF(_xlfn.XLOOKUP(E187,Groups!A:A,Groups!AJ:AJ)="Photonozoa",3,1)))</f>
        <v>No</v>
      </c>
      <c r="BR187" s="8">
        <f>IF(BJ187="No","No",IF(_xlfn.XLOOKUP(E187,Groups!A:A,Groups!BF:BF)=1,(0.0315*C187+2.1825)*2,(0.7354*C187^0.4078)*2)/IF(_xlfn.XLOOKUP(E187,Groups!A:A,Groups!BM:BM)=1,1000,100)/IF(_xlfn.XLOOKUP(E187,Groups!A:A,Groups!AJ:AJ)="Photonozoa",3,1))</f>
        <v>0.32637257159006128</v>
      </c>
      <c r="BS187" s="8">
        <f t="shared" si="68"/>
        <v>0.25353740194884228</v>
      </c>
      <c r="BT187" s="8">
        <f t="shared" si="69"/>
        <v>6419.280057019294</v>
      </c>
      <c r="BU187" s="8" t="str">
        <f t="shared" si="70"/>
        <v>No</v>
      </c>
      <c r="BV187" s="8">
        <f t="shared" si="71"/>
        <v>4982.940731821056</v>
      </c>
      <c r="BW187" s="4">
        <v>0</v>
      </c>
      <c r="BX187" s="4">
        <v>1</v>
      </c>
    </row>
    <row r="188" spans="1:76" s="16" customFormat="1" x14ac:dyDescent="0.25">
      <c r="A188" s="26" t="s">
        <v>1308</v>
      </c>
      <c r="B188" s="6" t="s">
        <v>1297</v>
      </c>
      <c r="C188" s="7">
        <v>12</v>
      </c>
      <c r="D188" s="7" t="s">
        <v>528</v>
      </c>
      <c r="E188" s="7" t="str">
        <f>Groups!$A$26</f>
        <v>Lizard (IGUANA)</v>
      </c>
      <c r="F188" s="7" t="str">
        <f t="shared" ref="F188" si="85">"Lay eggs"</f>
        <v>Lay eggs</v>
      </c>
      <c r="G188" s="7">
        <f>1640/365</f>
        <v>4.493150684931507</v>
      </c>
      <c r="H188" s="7">
        <v>19.8</v>
      </c>
      <c r="I188" s="4">
        <v>0</v>
      </c>
      <c r="J188" s="7" t="str">
        <f t="shared" ref="J188" si="86">"Lay eggs"</f>
        <v>Lay eggs</v>
      </c>
      <c r="K188" s="7" t="s">
        <v>528</v>
      </c>
      <c r="L188" s="7">
        <f>164.31*1.5/33.3*3.6</f>
        <v>26.644864864864868</v>
      </c>
      <c r="M188" s="7" t="s">
        <v>632</v>
      </c>
      <c r="N188" s="4">
        <v>1</v>
      </c>
      <c r="O188" s="4">
        <v>0</v>
      </c>
      <c r="P188" s="4">
        <v>0</v>
      </c>
      <c r="Q188" s="4">
        <v>0</v>
      </c>
      <c r="R188" s="4">
        <v>1</v>
      </c>
      <c r="S188" s="7">
        <f>_xlfn.XLOOKUP(B188,[1]TeethAdjusters!$A:$A,[1]BiteAdjusters!$C:$C,1)</f>
        <v>1</v>
      </c>
      <c r="T188" s="7">
        <f>_xlfn.XLOOKUP(B188,[1]TeethAdjusters!$A:$A,[1]TeethAdjusters!$B:$B,1)</f>
        <v>1</v>
      </c>
      <c r="U188" s="7">
        <v>1.5</v>
      </c>
      <c r="V188" s="7">
        <v>1</v>
      </c>
      <c r="W188" s="7" t="s">
        <v>45</v>
      </c>
      <c r="X188" s="7" t="s">
        <v>932</v>
      </c>
      <c r="Y188" s="4" t="s">
        <v>42</v>
      </c>
      <c r="Z188" s="4">
        <v>1</v>
      </c>
      <c r="AA188" s="4">
        <v>0</v>
      </c>
      <c r="AB188" s="4">
        <v>0</v>
      </c>
      <c r="AC188" s="4">
        <v>0</v>
      </c>
      <c r="AD188" s="4">
        <v>0</v>
      </c>
      <c r="AE188" s="4" t="s">
        <v>45</v>
      </c>
      <c r="AF188" s="4" t="s">
        <v>45</v>
      </c>
      <c r="AG188" s="49" t="s">
        <v>1787</v>
      </c>
      <c r="AH188" s="4" t="s">
        <v>45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4" t="s">
        <v>40</v>
      </c>
      <c r="AO188" s="8">
        <f t="shared" si="57"/>
        <v>5582.0122947721893</v>
      </c>
      <c r="AP188" s="8">
        <f>IFERROR(C188*_xlfn.XLOOKUP(E188,Groups!A:A,Groups!K:K),0.106*C188^0.94)</f>
        <v>1.0958124656818273</v>
      </c>
      <c r="AQ188" s="8">
        <f>AP188*10000/(_xlfn.XLOOKUP(E188,Groups!A:A,Groups!J:J)*AO188)</f>
        <v>1.801021718035837</v>
      </c>
      <c r="AR188" s="8">
        <f t="shared" si="58"/>
        <v>443.63433224212878</v>
      </c>
      <c r="AS188" s="8">
        <f>IF(_xlfn.XLOOKUP(E188,Groups!A:A,Groups!M:M)=1,EXP(0.7444*LN('Base stats'!C188)+6.5696),EXP(0.7927*LN('Base stats'!C188)+4.28))</f>
        <v>517.90172350006105</v>
      </c>
      <c r="AT188" s="8">
        <f>IF(_xlfn.XLOOKUP(E188,Groups!A:A,Groups!N:N)="No","No",
IF(_xlfn.XLOOKUP(E188,Groups!A:A,Groups!N:N)="Crocodile",EXP(0.8129*LN(C188)+4.6742)*S188,
IF(_xlfn.XLOOKUP(E188,Groups!A:A,Groups!N:N)="Felid",EXP(0.7843*LN(C188)+4.7073)*S188,
IF(_xlfn.XLOOKUP(E188,Groups!A:A,Groups!N:N)="Canid",EXP(0.8367*LN(C188)+4.8763)*S188,
IF(_xlfn.XLOOKUP(E188,Groups!A:A,Groups!N:N)="Pig",EXP(0.3439*LN(C188)+6.8519)*S188,
IF(_xlfn.XLOOKUP(E188,Groups!A:A,Groups!N:N)="Rodent",EXP(0.5625*LN(C188)+4.3006)*S188,
IF(_xlfn.XLOOKUP(E188,Groups!A:A,Groups!N:N)="Primate",EXP(0.7847*LN(C188)+3.4931)*S188,
IF(_xlfn.XLOOKUP(E188,Groups!A:A,Groups!N:N)="MiscCarnivora",EXP(0.7486*LN(C188)+4.2207)*S188,
IF(_xlfn.XLOOKUP(E188,Groups!A:A,Groups!N:N)="Lizard",EXP(0.7733*LN(C188)+5.5303)*S188,
IF(_xlfn.XLOOKUP(E188,Groups!A:A,Groups!N:N)="Snake",50*C188^(2/3)*S188,
IF(_xlfn.XLOOKUP(E188,Groups!A:A,Groups!N:N)="StrongBitingHerbivore",87.1133638856975*C188^(2/3)*S188,
IF(_xlfn.XLOOKUP(E188,Groups!A:A,Groups!N:N)="MiscEctotherms",59.4316884072269*C188^(2/3)*S188,
IF(_xlfn.XLOOKUP(E188,Groups!A:A,Groups!N:N)="StrongBeakBird",0.041*(C188*1000)^1.375*S188,
IF(_xlfn.XLOOKUP(E188,Groups!A:A,Groups!N:N)="Bird",0.118*(C188*1000)^0.692*S188,
IF(_xlfn.XLOOKUP(E188,Groups!A:A,Groups!N:N)="Insect",EXP(0.7444*LN(C188)+6.5696)*S188,
IF(_xlfn.XLOOKUP(E188,Groups!A:A,Groups!N:N)="Theropod",EXP(0.6966*LN(C188)+4.158)*S188,
"No"))))))))))))))))</f>
        <v>1723.0966212316746</v>
      </c>
      <c r="AU188" s="8">
        <f>IF(_xlfn.XLOOKUP(E188,Groups!A:A,Groups!U:U)=3,AS188,IF(_xlfn.XLOOKUP(E188,Groups!A:A,Groups!U:U)=2,AR188,AT188))</f>
        <v>1723.0966212316746</v>
      </c>
      <c r="AV188" s="46">
        <f>IFERROR(AVERAGE(_xlfn.XLOOKUP(B188,Animals!B:B,Animals!N:N),_xlfn.XLOOKUP(B188,Animals!B:B,Animals!O:O)),0)</f>
        <v>0</v>
      </c>
      <c r="AW188" s="8">
        <f>MROUND(40*Animals!AO188*_xlfn.XLOOKUP(AG188,Leathers!$A$2:$A$99,Leathers!$B$2:$B$99,0)+(140*_xlfn.XLOOKUP(B188,Animals!B:B,Animals!AO:AO)*2),5)</f>
        <v>235</v>
      </c>
      <c r="AX188" s="8">
        <f>IFERROR(ROUND(SQRT(V188-1)*IF(_xlfn.XLOOKUP(E188,Groups!A:A,Groups!BF:BF)=0,2,1)*IF(_xlfn.XLOOKUP('Base stats'!E188,Groups!A:A,Groups!O:O)=0,1,0.1),1),0)</f>
        <v>0</v>
      </c>
      <c r="AY188" s="8">
        <f t="shared" si="59"/>
        <v>0.7</v>
      </c>
      <c r="AZ188" s="8">
        <f t="shared" si="60"/>
        <v>0</v>
      </c>
      <c r="BA188" s="8">
        <f t="shared" si="61"/>
        <v>1.8</v>
      </c>
      <c r="BB188" s="8">
        <f>IF(_xlfn.XLOOKUP(E188,Groups!A:A,Groups!N:N)="Insect",BD188*2.5,IFERROR(AVERAGE(BD188,AT188/9.81/IF(OR(_xlfn.XLOOKUP(E188,Groups!A:A,Groups!N:N)="Pig",_xlfn.XLOOKUP(E188,Groups!A:A,Groups!N:N)="StrongBitingHerbivore"),20,25))*C188^-0.135,BD188))</f>
        <v>2.6030350600334806</v>
      </c>
      <c r="BC188" s="8" t="str">
        <f>IF(W188="No","No",IF(_xlfn.XLOOKUP(E188,Groups!A:A,Groups!U:U)=1,'Base stats'!BB188,IF(OR(_xlfn.XLOOKUP(E188,Groups!A:A,Groups!BD:BD)=1,_xlfn.XLOOKUP(E188,Groups!A:A,Groups!U:U)=2),BD188,IF(_xlfn.XLOOKUP(B188,Animals!B:B,Animals!AO:AO)&gt;4,AVERAGE(BD188,BF188),BF188))))</f>
        <v>No</v>
      </c>
      <c r="BD188" s="8">
        <f t="shared" si="62"/>
        <v>0.25526350402453363</v>
      </c>
      <c r="BE188" s="8">
        <f>IF(_xlfn.XLOOKUP(E188,Groups!A:A,Groups!BE:BE)=1,(0.048*C188^1.01)+(0.071*C188^1.03),0.071*C188^1.03)/IF(_xlfn.XLOOKUP(E188,Groups!A:A,Groups!M:M)=1,0.85,IF(OR(_xlfn.XLOOKUP(B188,Animals!B:B,Animals!AO:AO)&gt;4,_xlfn.XLOOKUP(E188,Groups!A:A,Groups!BC:BC)=1),1.7,1))*C188^-0.25</f>
        <v>0.49319619871794912</v>
      </c>
      <c r="BF188" s="8">
        <f>(0.048*C188^1.01)/IF(_xlfn.XLOOKUP(E188,Groups!A:A,Groups!M:M)=1,0.25,0.8)*C188^-0.25</f>
        <v>0.39657834622135213</v>
      </c>
      <c r="BG188" s="8">
        <f>EXP(1.076*LN(AR188)-4.5397)*IF(_xlfn.XLOOKUP(E188,Groups!A:A,Groups!BC:BC)=1,1.25,IF(_xlfn.XLOOKUP(E188,Groups!A:A,Groups!BD:BD)=1,3.5,2.5))</f>
        <v>18.817954263720956</v>
      </c>
      <c r="BH188" s="8">
        <f>EXP(1.076*LN(AS188)-4.5397)*IF(_xlfn.XLOOKUP(E188,Groups!A:A,Groups!M:M)=1,0.8,IF(_xlfn.XLOOKUP(E188,Groups!A:A,Groups!BC:BC)=1,1.3,3))</f>
        <v>26.673791406205577</v>
      </c>
      <c r="BI188" s="8" t="str">
        <f>IF(W188="No","No",IF(_xlfn.XLOOKUP(E188,Groups!A:A,Groups!U:U)=1,'Base stats'!BJ188,IF(OR(_xlfn.XLOOKUP(E188,Groups!A:A,Groups!BD:BD)=1,_xlfn.XLOOKUP(E188,Groups!A:A,Groups!U:U)=2),BG188,BH188))*1.2)</f>
        <v>No</v>
      </c>
      <c r="BJ188" s="8">
        <f>IFERROR(EXP(1.076*LN(AT188)-4.5397)*IF(_xlfn.XLOOKUP(E188,Groups!A:A,Groups!N:N)="Insect",1,IF(OR(_xlfn.XLOOKUP(E188,Groups!A:A,Groups!N:N)="Pig",_xlfn.XLOOKUP(E188,Groups!A:A,Groups!N:N)="StrongBitingHerbivore"),3.5,3.75)),"No")</f>
        <v>121.54406889787731</v>
      </c>
      <c r="BK188" s="8">
        <f t="shared" si="63"/>
        <v>12</v>
      </c>
      <c r="BL188" s="8">
        <f t="shared" si="64"/>
        <v>10</v>
      </c>
      <c r="BM188" s="8" t="str">
        <f t="shared" si="65"/>
        <v>No</v>
      </c>
      <c r="BN188" s="8">
        <f t="shared" si="66"/>
        <v>9</v>
      </c>
      <c r="BO188" s="8">
        <f t="shared" si="67"/>
        <v>11</v>
      </c>
      <c r="BP188" s="8" cm="1">
        <f t="array" ref="BP188">IF(AND(_xlfn.XLOOKUP('Base stats'!E188,Groups!A:A,Groups!AD:AD=0),_xlfn.XLOOKUP('Base stats'!E188,Groups!A:A,Groups!P:P=0)),"No",IF(U188="No",AVERAGE(EXP(-0.57+0.99*LN(C188)),EXP(0.32+0.67*LN(C188)))/IF(_xlfn.XLOOKUP(E188,Groups!A:A,Groups!AD:AD)=1,10,2),(0.7354*C188^0.4078)*2/IF(_xlfn.XLOOKUP(E188,Groups!A:A,Groups!BK:BK)=1,1000,100)/IF(_xlfn.XLOOKUP(E188,Groups!A:A,Groups!AJ:AJ)="Photonozoa",3,1)))</f>
        <v>4.0517601928886079E-2</v>
      </c>
      <c r="BQ188" s="8" t="str">
        <f>IF(W188="No","No",IF(_xlfn.XLOOKUP(E188,Groups!A:A,Groups!BD:BD)=1,(AO188*5%),EXP(0.7354*LN(C188)^0.4078)*2/IF(_xlfn.XLOOKUP(E188,Groups!A:A,Groups!BL:BL)=1,1000,100)/IF(_xlfn.XLOOKUP(E188,Groups!A:A,Groups!AJ:AJ)="Photonozoa",3,1)))</f>
        <v>No</v>
      </c>
      <c r="BR188" s="8">
        <f>IF(BJ188="No","No",IF(_xlfn.XLOOKUP(E188,Groups!A:A,Groups!BF:BF)=1,(0.0315*C188+2.1825)*2,(0.7354*C188^0.4078)*2)/IF(_xlfn.XLOOKUP(E188,Groups!A:A,Groups!BM:BM)=1,1000,100)/IF(_xlfn.XLOOKUP(E188,Groups!A:A,Groups!AJ:AJ)="Photonozoa",3,1))</f>
        <v>4.0517601928886079E-2</v>
      </c>
      <c r="BS188" s="8">
        <f t="shared" si="68"/>
        <v>6.7423550038916369E-2</v>
      </c>
      <c r="BT188" s="8">
        <f t="shared" si="69"/>
        <v>658.32601477801472</v>
      </c>
      <c r="BU188" s="8" t="str">
        <f t="shared" si="70"/>
        <v>No</v>
      </c>
      <c r="BV188" s="8">
        <f t="shared" si="71"/>
        <v>2999.7843680680739</v>
      </c>
      <c r="BW188" s="4">
        <v>0</v>
      </c>
      <c r="BX188" s="4">
        <v>1</v>
      </c>
    </row>
    <row r="189" spans="1:76" s="16" customFormat="1" x14ac:dyDescent="0.25">
      <c r="A189" s="26" t="s">
        <v>1309</v>
      </c>
      <c r="B189" s="6" t="s">
        <v>1298</v>
      </c>
      <c r="C189" s="7">
        <v>160</v>
      </c>
      <c r="D189" s="7" t="s">
        <v>528</v>
      </c>
      <c r="E189" s="7" t="str">
        <f>Groups!$A$104</f>
        <v>Catlike (FLU)</v>
      </c>
      <c r="F189" s="7">
        <v>109</v>
      </c>
      <c r="G189" s="7">
        <f>1095/365</f>
        <v>3</v>
      </c>
      <c r="H189" s="7">
        <v>28</v>
      </c>
      <c r="I189" s="4">
        <v>0</v>
      </c>
      <c r="J189" s="7">
        <v>3</v>
      </c>
      <c r="K189" s="7" t="s">
        <v>528</v>
      </c>
      <c r="L189" s="7">
        <v>59</v>
      </c>
      <c r="M189" s="7" t="s">
        <v>626</v>
      </c>
      <c r="N189" s="4">
        <v>1</v>
      </c>
      <c r="O189" s="4">
        <v>0</v>
      </c>
      <c r="P189" s="4">
        <v>0</v>
      </c>
      <c r="Q189" s="4">
        <v>0</v>
      </c>
      <c r="R189" s="4">
        <v>1</v>
      </c>
      <c r="S189" s="7">
        <f>_xlfn.XLOOKUP(B188,[1]TeethAdjusters!$A:$A,[1]BiteAdjusters!$C:$C,1)</f>
        <v>1</v>
      </c>
      <c r="T189" s="7">
        <f>_xlfn.XLOOKUP(B188,[1]TeethAdjusters!$A:$A,[1]TeethAdjusters!$B:$B,1)</f>
        <v>1</v>
      </c>
      <c r="U189" s="7">
        <f>MROUND(6.985,0.05)</f>
        <v>7</v>
      </c>
      <c r="V189" s="7">
        <f>IF(AT189="No","No",IF(_xlfn.XLOOKUP(E189,Groups!A:A,Groups!AM:AM)=1,MROUND(EXP(0.3582*LN(C189)-0.2221)*T189,0.05),IF(_xlfn.XLOOKUP(E189,Groups!A:A,Groups!AM:AM)=2,MROUND(EXP(0.3582*LN(C189)-0.2221)*T189,0.05),"Need a formula")))</f>
        <v>4.95</v>
      </c>
      <c r="W189" s="7" t="s">
        <v>45</v>
      </c>
      <c r="X189" s="7" t="s">
        <v>932</v>
      </c>
      <c r="Y189" s="4" t="s">
        <v>56</v>
      </c>
      <c r="Z189" s="4">
        <v>1</v>
      </c>
      <c r="AA189" s="4">
        <v>0</v>
      </c>
      <c r="AB189" s="4">
        <v>0</v>
      </c>
      <c r="AC189" s="4">
        <v>0</v>
      </c>
      <c r="AD189" s="4">
        <v>0</v>
      </c>
      <c r="AE189" s="4" t="s">
        <v>45</v>
      </c>
      <c r="AF189" s="4" t="s">
        <v>311</v>
      </c>
      <c r="AG189" s="49" t="s">
        <v>1787</v>
      </c>
      <c r="AH189" s="4" t="s">
        <v>45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4" t="s">
        <v>40</v>
      </c>
      <c r="AO189" s="8">
        <f t="shared" si="57"/>
        <v>30060.829995154538</v>
      </c>
      <c r="AP189" s="8">
        <f>IFERROR(C189*_xlfn.XLOOKUP(E189,Groups!A:A,Groups!K:K),0.106*C189^0.94)</f>
        <v>19.96</v>
      </c>
      <c r="AQ189" s="8">
        <f>AP189*10000/(_xlfn.XLOOKUP(E189,Groups!A:A,Groups!J:J)*AO189)</f>
        <v>6.0916237537207918</v>
      </c>
      <c r="AR189" s="8">
        <f t="shared" si="58"/>
        <v>3956.0420484897504</v>
      </c>
      <c r="AS189" s="8">
        <f>IF(_xlfn.XLOOKUP(E189,Groups!A:A,Groups!M:M)=1,EXP(0.7444*LN('Base stats'!C189)+6.5696),EXP(0.7927*LN('Base stats'!C189)+4.28))</f>
        <v>4036.3265331248585</v>
      </c>
      <c r="AT189" s="8">
        <f>IF(_xlfn.XLOOKUP(E189,Groups!A:A,Groups!N:N)="No","No",
IF(_xlfn.XLOOKUP(E189,Groups!A:A,Groups!N:N)="Crocodile",EXP(0.8129*LN(C189)+4.6742)*S189,
IF(_xlfn.XLOOKUP(E189,Groups!A:A,Groups!N:N)="Felid",EXP(0.7843*LN(C189)+4.7073)*S189,
IF(_xlfn.XLOOKUP(E189,Groups!A:A,Groups!N:N)="Canid",EXP(0.8367*LN(C189)+4.8763)*S189,
IF(_xlfn.XLOOKUP(E189,Groups!A:A,Groups!N:N)="Pig",EXP(0.3439*LN(C189)+6.8519)*S189,
IF(_xlfn.XLOOKUP(E189,Groups!A:A,Groups!N:N)="Rodent",EXP(0.5625*LN(C189)+4.3006)*S189,
IF(_xlfn.XLOOKUP(E189,Groups!A:A,Groups!N:N)="Primate",EXP(0.7847*LN(C189)+3.4931)*S189,
IF(_xlfn.XLOOKUP(E189,Groups!A:A,Groups!N:N)="MiscCarnivora",EXP(0.7486*LN(C189)+4.2207)*S189,
IF(_xlfn.XLOOKUP(E189,Groups!A:A,Groups!N:N)="Lizard",EXP(0.7733*LN(C189)+5.5303)*S189,
IF(_xlfn.XLOOKUP(E189,Groups!A:A,Groups!N:N)="Snake",50*C189^(2/3)*S189,
IF(_xlfn.XLOOKUP(E189,Groups!A:A,Groups!N:N)="StrongBitingHerbivore",87.1133638856975*C189^(2/3)*S189,
IF(_xlfn.XLOOKUP(E189,Groups!A:A,Groups!N:N)="MiscEctotherms",59.4316884072269*C189^(2/3)*S189,
IF(_xlfn.XLOOKUP(E189,Groups!A:A,Groups!N:N)="StrongBeakBird",0.041*(C189*1000)^1.375*S189,
IF(_xlfn.XLOOKUP(E189,Groups!A:A,Groups!N:N)="Bird",0.118*(C189*1000)^0.692*S189,
IF(_xlfn.XLOOKUP(E189,Groups!A:A,Groups!N:N)="Insect",EXP(0.7444*LN(C189)+6.5696)*S189,
IF(_xlfn.XLOOKUP(E189,Groups!A:A,Groups!N:N)="Theropod",EXP(0.6966*LN(C189)+4.158)*S189,
"No"))))))))))))))))</f>
        <v>5929.8774358526098</v>
      </c>
      <c r="AU189" s="8">
        <f>IF(_xlfn.XLOOKUP(E189,Groups!A:A,Groups!U:U)=3,AS189,IF(_xlfn.XLOOKUP(E189,Groups!A:A,Groups!U:U)=2,AR189,AT189))</f>
        <v>5929.8774358526098</v>
      </c>
      <c r="AV189" s="46">
        <f>IFERROR(AVERAGE(_xlfn.XLOOKUP(B189,Animals!B:B,Animals!N:N),_xlfn.XLOOKUP(B189,Animals!B:B,Animals!O:O)),0)</f>
        <v>0</v>
      </c>
      <c r="AW189" s="8">
        <f>MROUND(40*Animals!AO189*_xlfn.XLOOKUP(AG189,Leathers!$A$2:$A$99,Leathers!$B$2:$B$99,0)+(140*_xlfn.XLOOKUP(B189,Animals!B:B,Animals!AO:AO)*2),5)</f>
        <v>635</v>
      </c>
      <c r="AX189" s="8">
        <f>IFERROR(ROUND(SQRT(V189-1)*IF(_xlfn.XLOOKUP(E189,Groups!A:A,Groups!BF:BF)=0,2,1)*IF(_xlfn.XLOOKUP('Base stats'!E189,Groups!A:A,Groups!O:O)=0,1,0.1),1),0)</f>
        <v>4</v>
      </c>
      <c r="AY189" s="8">
        <f t="shared" si="59"/>
        <v>2.4</v>
      </c>
      <c r="AZ189" s="8">
        <f t="shared" si="60"/>
        <v>0</v>
      </c>
      <c r="BA189" s="8">
        <f t="shared" si="61"/>
        <v>4.9000000000000004</v>
      </c>
      <c r="BB189" s="8">
        <f>IF(_xlfn.XLOOKUP(E189,Groups!A:A,Groups!N:N)="Insect",BD189*2.5,IFERROR(AVERAGE(BD189,AT189/9.81/IF(OR(_xlfn.XLOOKUP(E189,Groups!A:A,Groups!N:N)="Pig",_xlfn.XLOOKUP(E189,Groups!A:A,Groups!N:N)="StrongBitingHerbivore"),20,25))*C189^-0.135,BD189))</f>
        <v>6.7636550985785888</v>
      </c>
      <c r="BC189" s="8" t="str">
        <f>IF(W189="No","No",IF(_xlfn.XLOOKUP(E189,Groups!A:A,Groups!U:U)=1,'Base stats'!BB189,IF(OR(_xlfn.XLOOKUP(E189,Groups!A:A,Groups!BD:BD)=1,_xlfn.XLOOKUP(E189,Groups!A:A,Groups!U:U)=2),BD189,IF(_xlfn.XLOOKUP(B189,Animals!B:B,Animals!AO:AO)&gt;4,AVERAGE(BD189,BF189),BF189))))</f>
        <v>No</v>
      </c>
      <c r="BD189" s="8">
        <f t="shared" si="62"/>
        <v>2.660172334959094</v>
      </c>
      <c r="BE189" s="8">
        <f>IF(_xlfn.XLOOKUP(E189,Groups!A:A,Groups!BE:BE)=1,(0.048*C189^1.01)+(0.071*C189^1.03),0.071*C189^1.03)/IF(_xlfn.XLOOKUP(E189,Groups!A:A,Groups!M:M)=1,0.85,IF(OR(_xlfn.XLOOKUP(B189,Animals!B:B,Animals!AO:AO)&gt;4,_xlfn.XLOOKUP(E189,Groups!A:A,Groups!BC:BC)=1),1.7,1))*C189^-0.25</f>
        <v>3.7193918507580448</v>
      </c>
      <c r="BF189" s="8">
        <f>(0.048*C189^1.01)/IF(_xlfn.XLOOKUP(E189,Groups!A:A,Groups!M:M)=1,0.25,0.8)*C189^-0.25</f>
        <v>2.8397652287348705</v>
      </c>
      <c r="BG189" s="8">
        <f>EXP(1.076*LN(AR189)-4.5397)*IF(_xlfn.XLOOKUP(E189,Groups!A:A,Groups!BC:BC)=1,1.25,IF(_xlfn.XLOOKUP(E189,Groups!A:A,Groups!BD:BD)=1,3.5,2.5))</f>
        <v>198.16460070884057</v>
      </c>
      <c r="BH189" s="8">
        <f>EXP(1.076*LN(AS189)-4.5397)*IF(_xlfn.XLOOKUP(E189,Groups!A:A,Groups!M:M)=1,0.8,IF(_xlfn.XLOOKUP(E189,Groups!A:A,Groups!BC:BC)=1,1.3,3))</f>
        <v>242.99416568789746</v>
      </c>
      <c r="BI189" s="8" t="str">
        <f>IF(W189="No","No",IF(_xlfn.XLOOKUP(E189,Groups!A:A,Groups!U:U)=1,'Base stats'!BJ189,IF(OR(_xlfn.XLOOKUP(E189,Groups!A:A,Groups!BD:BD)=1,_xlfn.XLOOKUP(E189,Groups!A:A,Groups!U:U)=2),BG189,BH189))*1.2)</f>
        <v>No</v>
      </c>
      <c r="BJ189" s="8">
        <f>IFERROR(EXP(1.076*LN(AT189)-4.5397)*IF(_xlfn.XLOOKUP(E189,Groups!A:A,Groups!N:N)="Insect",1,IF(OR(_xlfn.XLOOKUP(E189,Groups!A:A,Groups!N:N)="Pig",_xlfn.XLOOKUP(E189,Groups!A:A,Groups!N:N)="StrongBitingHerbivore"),3.5,3.75)),"No")</f>
        <v>459.47490832948648</v>
      </c>
      <c r="BK189" s="8">
        <f t="shared" si="63"/>
        <v>12</v>
      </c>
      <c r="BL189" s="8">
        <f t="shared" si="64"/>
        <v>11</v>
      </c>
      <c r="BM189" s="8" t="str">
        <f t="shared" si="65"/>
        <v>No</v>
      </c>
      <c r="BN189" s="8">
        <f t="shared" si="66"/>
        <v>11</v>
      </c>
      <c r="BO189" s="8">
        <f t="shared" si="67"/>
        <v>13</v>
      </c>
      <c r="BP189" s="8" cm="1">
        <f t="array" ref="BP189">IF(AND(_xlfn.XLOOKUP('Base stats'!E189,Groups!A:A,Groups!AD:AD=0),_xlfn.XLOOKUP('Base stats'!E189,Groups!A:A,Groups!P:P=0)),"No",IF(U189="No",AVERAGE(EXP(-0.57+0.99*LN(C189)),EXP(0.32+0.67*LN(C189)))/IF(_xlfn.XLOOKUP(E189,Groups!A:A,Groups!AD:AD)=1,10,2),(0.7354*C189^0.4078)*2/IF(_xlfn.XLOOKUP(E189,Groups!A:A,Groups!BK:BK)=1,1000,100)/IF(_xlfn.XLOOKUP(E189,Groups!A:A,Groups!AJ:AJ)="Photonozoa",3,1)))</f>
        <v>0.11651819549205408</v>
      </c>
      <c r="BQ189" s="8" t="str">
        <f>IF(W189="No","No",IF(_xlfn.XLOOKUP(E189,Groups!A:A,Groups!BD:BD)=1,(AO189*5%),EXP(0.7354*LN(C189)^0.4078)*2/IF(_xlfn.XLOOKUP(E189,Groups!A:A,Groups!BL:BL)=1,1000,100)/IF(_xlfn.XLOOKUP(E189,Groups!A:A,Groups!AJ:AJ)="Photonozoa",3,1)))</f>
        <v>No</v>
      </c>
      <c r="BR189" s="8">
        <f>IF(BJ189="No","No",IF(_xlfn.XLOOKUP(E189,Groups!A:A,Groups!BF:BF)=1,(0.0315*C189+2.1825)*2,(0.7354*C189^0.4078)*2)/IF(_xlfn.XLOOKUP(E189,Groups!A:A,Groups!BM:BM)=1,1000,100)/IF(_xlfn.XLOOKUP(E189,Groups!A:A,Groups!AJ:AJ)="Photonozoa",3,1))</f>
        <v>0.11651819549205408</v>
      </c>
      <c r="BS189" s="8">
        <f t="shared" si="68"/>
        <v>0.13184240138464734</v>
      </c>
      <c r="BT189" s="8">
        <f t="shared" si="69"/>
        <v>2085.4611132770965</v>
      </c>
      <c r="BU189" s="8" t="str">
        <f t="shared" si="70"/>
        <v>No</v>
      </c>
      <c r="BV189" s="8">
        <f t="shared" si="71"/>
        <v>3943.3747355006044</v>
      </c>
      <c r="BW189" s="4">
        <v>0</v>
      </c>
      <c r="BX189" s="4">
        <v>1</v>
      </c>
    </row>
    <row r="190" spans="1:76" s="16" customFormat="1" x14ac:dyDescent="0.25">
      <c r="A190" s="26" t="s">
        <v>1310</v>
      </c>
      <c r="B190" s="6" t="s">
        <v>1301</v>
      </c>
      <c r="C190" s="7">
        <v>400</v>
      </c>
      <c r="D190" s="7" t="s">
        <v>528</v>
      </c>
      <c r="E190" s="7" t="str">
        <f>Groups!$A$78</f>
        <v>Scorpion (WASTE)</v>
      </c>
      <c r="F190" s="7" t="str">
        <f t="shared" ref="F190" si="87">"Lay eggs"</f>
        <v>Lay eggs</v>
      </c>
      <c r="G190" s="7">
        <v>2</v>
      </c>
      <c r="H190" s="7">
        <v>20</v>
      </c>
      <c r="I190" s="4">
        <v>0</v>
      </c>
      <c r="J190" s="7" t="str">
        <f t="shared" ref="J190" si="88">"Lay eggs"</f>
        <v>Lay eggs</v>
      </c>
      <c r="K190" s="7" t="s">
        <v>528</v>
      </c>
      <c r="L190" s="7">
        <v>20</v>
      </c>
      <c r="M190" s="7" t="s">
        <v>528</v>
      </c>
      <c r="N190" s="4">
        <v>1</v>
      </c>
      <c r="O190" s="4">
        <v>0</v>
      </c>
      <c r="P190" s="4">
        <v>0</v>
      </c>
      <c r="Q190" s="4">
        <v>0</v>
      </c>
      <c r="R190" s="4">
        <v>1</v>
      </c>
      <c r="S190" s="7">
        <f>_xlfn.XLOOKUP(B190,[1]TeethAdjusters!$A:$A,[1]BiteAdjusters!$C:$C,1)</f>
        <v>1</v>
      </c>
      <c r="T190" s="7">
        <f>_xlfn.XLOOKUP(B190,[1]TeethAdjusters!$A:$A,[1]TeethAdjusters!$B:$B,1)</f>
        <v>1</v>
      </c>
      <c r="U190" s="7">
        <v>19</v>
      </c>
      <c r="V190" s="7">
        <v>6</v>
      </c>
      <c r="W190" s="7">
        <v>9</v>
      </c>
      <c r="X190" s="7" t="s">
        <v>932</v>
      </c>
      <c r="Y190" s="4" t="s">
        <v>56</v>
      </c>
      <c r="Z190" s="4">
        <v>1</v>
      </c>
      <c r="AA190" s="4">
        <v>0</v>
      </c>
      <c r="AB190" s="4">
        <v>0</v>
      </c>
      <c r="AC190" s="4">
        <v>0</v>
      </c>
      <c r="AD190" s="4">
        <v>0</v>
      </c>
      <c r="AE190" s="4" t="s">
        <v>45</v>
      </c>
      <c r="AF190" s="4" t="s">
        <v>45</v>
      </c>
      <c r="AG190" s="49" t="s">
        <v>1712</v>
      </c>
      <c r="AH190" s="4" t="str">
        <f>Animals!$C$105</f>
        <v>&lt;li&gt;Megaspider&lt;/li&gt;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4" t="s">
        <v>40</v>
      </c>
      <c r="AO190" s="8">
        <f t="shared" si="57"/>
        <v>54533.324359541104</v>
      </c>
      <c r="AP190" s="8">
        <f>IFERROR(C190*_xlfn.XLOOKUP(E190,Groups!A:A,Groups!K:K),0.106*C190^0.94)</f>
        <v>128</v>
      </c>
      <c r="AQ190" s="8">
        <f>AP190*10000/(_xlfn.XLOOKUP(E190,Groups!A:A,Groups!J:J)*AO190)</f>
        <v>19.559905419190599</v>
      </c>
      <c r="AR190" s="8">
        <f t="shared" si="58"/>
        <v>8578.2919817776201</v>
      </c>
      <c r="AS190" s="8">
        <f>IF(_xlfn.XLOOKUP(E190,Groups!A:A,Groups!M:M)=1,EXP(0.7444*LN('Base stats'!C190)+6.5696),EXP(0.7927*LN('Base stats'!C190)+4.28))</f>
        <v>61675.756600829809</v>
      </c>
      <c r="AT190" s="8">
        <f>IF(_xlfn.XLOOKUP(E190,Groups!A:A,Groups!N:N)="No","No",
IF(_xlfn.XLOOKUP(E190,Groups!A:A,Groups!N:N)="Crocodile",EXP(0.8129*LN(C190)+4.6742)*S190,
IF(_xlfn.XLOOKUP(E190,Groups!A:A,Groups!N:N)="Felid",EXP(0.7843*LN(C190)+4.7073)*S190,
IF(_xlfn.XLOOKUP(E190,Groups!A:A,Groups!N:N)="Canid",EXP(0.8367*LN(C190)+4.8763)*S190,
IF(_xlfn.XLOOKUP(E190,Groups!A:A,Groups!N:N)="Pig",EXP(0.3439*LN(C190)+6.8519)*S190,
IF(_xlfn.XLOOKUP(E190,Groups!A:A,Groups!N:N)="Rodent",EXP(0.5625*LN(C190)+4.3006)*S190,
IF(_xlfn.XLOOKUP(E190,Groups!A:A,Groups!N:N)="Primate",EXP(0.7847*LN(C190)+3.4931)*S190,
IF(_xlfn.XLOOKUP(E190,Groups!A:A,Groups!N:N)="MiscCarnivora",EXP(0.7486*LN(C190)+4.2207)*S190,
IF(_xlfn.XLOOKUP(E190,Groups!A:A,Groups!N:N)="Lizard",EXP(0.7733*LN(C190)+5.5303)*S190,
IF(_xlfn.XLOOKUP(E190,Groups!A:A,Groups!N:N)="Snake",50*C190^(2/3)*S190,
IF(_xlfn.XLOOKUP(E190,Groups!A:A,Groups!N:N)="StrongBitingHerbivore",87.1133638856975*C190^(2/3)*S190,
IF(_xlfn.XLOOKUP(E190,Groups!A:A,Groups!N:N)="MiscEctotherms",59.4316884072269*C190^(2/3)*S190,
IF(_xlfn.XLOOKUP(E190,Groups!A:A,Groups!N:N)="StrongBeakBird",0.041*(C190*1000)^1.375*S190,
IF(_xlfn.XLOOKUP(E190,Groups!A:A,Groups!N:N)="Bird",0.118*(C190*1000)^0.692*S190,
IF(_xlfn.XLOOKUP(E190,Groups!A:A,Groups!N:N)="Insect",EXP(0.7444*LN(C190)+6.5696)*S190,
IF(_xlfn.XLOOKUP(E190,Groups!A:A,Groups!N:N)="Theropod",EXP(0.6966*LN(C190)+4.158)*S190,
"No"))))))))))))))))</f>
        <v>61675.756600829809</v>
      </c>
      <c r="AU190" s="8">
        <f>IF(_xlfn.XLOOKUP(E190,Groups!A:A,Groups!U:U)=3,AS190,IF(_xlfn.XLOOKUP(E190,Groups!A:A,Groups!U:U)=2,AR190,AT190))</f>
        <v>61675.756600829809</v>
      </c>
      <c r="AV190" s="46">
        <f>IFERROR(AVERAGE(_xlfn.XLOOKUP(B190,Animals!B:B,Animals!N:N),_xlfn.XLOOKUP(B190,Animals!B:B,Animals!O:O)),0)</f>
        <v>0.47500000000000003</v>
      </c>
      <c r="AW190" s="8">
        <f>MROUND(40*Animals!AO190*_xlfn.XLOOKUP(AG190,Leathers!$A$2:$A$99,Leathers!$B$2:$B$99,0)+(140*_xlfn.XLOOKUP(B190,Animals!B:B,Animals!AO:AO)*2),5)</f>
        <v>770</v>
      </c>
      <c r="AX190" s="8">
        <f>IFERROR(ROUND(SQRT(V190-1)*IF(_xlfn.XLOOKUP(E190,Groups!A:A,Groups!BF:BF)=0,2,1)*IF(_xlfn.XLOOKUP('Base stats'!E190,Groups!A:A,Groups!O:O)=0,1,0.1),1),0)</f>
        <v>4.5</v>
      </c>
      <c r="AY190" s="8">
        <f t="shared" si="59"/>
        <v>4.2</v>
      </c>
      <c r="AZ190" s="8">
        <f t="shared" si="60"/>
        <v>3</v>
      </c>
      <c r="BA190" s="8">
        <f t="shared" si="61"/>
        <v>6.8</v>
      </c>
      <c r="BB190" s="8">
        <f>IF(_xlfn.XLOOKUP(E190,Groups!A:A,Groups!N:N)="Insect",BD190*2.5,IFERROR(AVERAGE(BD190,AT190/9.81/IF(OR(_xlfn.XLOOKUP(E190,Groups!A:A,Groups!N:N)="Pig",_xlfn.XLOOKUP(E190,Groups!A:A,Groups!N:N)="StrongBitingHerbivore"),20,25))*C190^-0.135,BD190))</f>
        <v>14.24091612215088</v>
      </c>
      <c r="BC190" s="8">
        <f>IF(W190="No","No",IF(_xlfn.XLOOKUP(E190,Groups!A:A,Groups!U:U)=1,'Base stats'!BB190,IF(OR(_xlfn.XLOOKUP(E190,Groups!A:A,Groups!BD:BD)=1,_xlfn.XLOOKUP(E190,Groups!A:A,Groups!U:U)=2),BD190,IF(_xlfn.XLOOKUP(B190,Animals!B:B,Animals!AO:AO)&gt;4,AVERAGE(BD190,BF190),BF190))))</f>
        <v>18.233364842162999</v>
      </c>
      <c r="BD190" s="8">
        <f t="shared" si="62"/>
        <v>5.6963664488603518</v>
      </c>
      <c r="BE190" s="8">
        <f>IF(_xlfn.XLOOKUP(E190,Groups!A:A,Groups!BE:BE)=1,(0.048*C190^1.01)+(0.071*C190^1.03),0.071*C190^1.03)/IF(_xlfn.XLOOKUP(E190,Groups!A:A,Groups!M:M)=1,0.85,IF(OR(_xlfn.XLOOKUP(B190,Animals!B:B,Animals!AO:AO)&gt;4,_xlfn.XLOOKUP(E190,Groups!A:A,Groups!BC:BC)=1),1.7,1))*C190^-0.25</f>
        <v>8.9422378289708213</v>
      </c>
      <c r="BF190" s="8">
        <f>(0.048*C190^1.01)/IF(_xlfn.XLOOKUP(E190,Groups!A:A,Groups!M:M)=1,0.25,0.8)*C190^-0.25</f>
        <v>18.233364842162999</v>
      </c>
      <c r="BG190" s="8">
        <f>EXP(1.076*LN(AR190)-4.5397)*IF(_xlfn.XLOOKUP(E190,Groups!A:A,Groups!BC:BC)=1,1.25,IF(_xlfn.XLOOKUP(E190,Groups!A:A,Groups!BD:BD)=1,3.5,2.5))</f>
        <v>227.86763271095117</v>
      </c>
      <c r="BH190" s="8">
        <f>EXP(1.076*LN(AS190)-4.5397)*IF(_xlfn.XLOOKUP(E190,Groups!A:A,Groups!M:M)=1,0.8,IF(_xlfn.XLOOKUP(E190,Groups!A:A,Groups!BC:BC)=1,1.3,3))</f>
        <v>1218.1100161375859</v>
      </c>
      <c r="BI190" s="8">
        <f>IF(W190="No","No",IF(_xlfn.XLOOKUP(E190,Groups!A:A,Groups!U:U)=1,'Base stats'!BJ190,IF(OR(_xlfn.XLOOKUP(E190,Groups!A:A,Groups!BD:BD)=1,_xlfn.XLOOKUP(E190,Groups!A:A,Groups!U:U)=2),BG190,BH190))*1.2)</f>
        <v>1461.732019365103</v>
      </c>
      <c r="BJ190" s="8">
        <f>IFERROR(EXP(1.076*LN(AT190)-4.5397)*IF(_xlfn.XLOOKUP(E190,Groups!A:A,Groups!N:N)="Insect",1,IF(OR(_xlfn.XLOOKUP(E190,Groups!A:A,Groups!N:N)="Pig",_xlfn.XLOOKUP(E190,Groups!A:A,Groups!N:N)="StrongBitingHerbivore"),3.5,3.75)),"No")</f>
        <v>1522.6375201719823</v>
      </c>
      <c r="BK190" s="8">
        <f t="shared" si="63"/>
        <v>8</v>
      </c>
      <c r="BL190" s="8">
        <f t="shared" si="64"/>
        <v>16</v>
      </c>
      <c r="BM190" s="8">
        <f t="shared" si="65"/>
        <v>12</v>
      </c>
      <c r="BN190" s="8">
        <f t="shared" si="66"/>
        <v>14</v>
      </c>
      <c r="BO190" s="8">
        <f t="shared" si="67"/>
        <v>11</v>
      </c>
      <c r="BP190" s="8" cm="1">
        <f t="array" ref="BP190">IF(AND(_xlfn.XLOOKUP('Base stats'!E190,Groups!A:A,Groups!AD:AD=0),_xlfn.XLOOKUP('Base stats'!E190,Groups!A:A,Groups!P:P=0)),"No",IF(U190="No",AVERAGE(EXP(-0.57+0.99*LN(C190)),EXP(0.32+0.67*LN(C190)))/IF(_xlfn.XLOOKUP(E190,Groups!A:A,Groups!AD:AD)=1,10,2),(0.7354*C190^0.4078)*2/IF(_xlfn.XLOOKUP(E190,Groups!A:A,Groups!BK:BK)=1,1000,100)/IF(_xlfn.XLOOKUP(E190,Groups!A:A,Groups!AJ:AJ)="Photonozoa",3,1)))</f>
        <v>1.6930652098775201E-2</v>
      </c>
      <c r="BQ190" s="8">
        <f>IF(W190="No","No",IF(_xlfn.XLOOKUP(E190,Groups!A:A,Groups!BD:BD)=1,(AO190*5%),EXP(0.7354*LN(C190)^0.4078)*2/IF(_xlfn.XLOOKUP(E190,Groups!A:A,Groups!BL:BL)=1,1000,100)/IF(_xlfn.XLOOKUP(E190,Groups!A:A,Groups!AJ:AJ)="Photonozoa",3,1)))</f>
        <v>9.2010030010980081E-3</v>
      </c>
      <c r="BR190" s="8">
        <f>IF(BJ190="No","No",IF(_xlfn.XLOOKUP(E190,Groups!A:A,Groups!BF:BF)=1,(0.0315*C190+2.1825)*2,(0.7354*C190^0.4078)*2)/IF(_xlfn.XLOOKUP(E190,Groups!A:A,Groups!BM:BM)=1,1000,100)/IF(_xlfn.XLOOKUP(E190,Groups!A:A,Groups!AJ:AJ)="Photonozoa",3,1))</f>
        <v>0.16930652098775201</v>
      </c>
      <c r="BS190" s="8">
        <f t="shared" si="68"/>
        <v>8.3570050198519985E-2</v>
      </c>
      <c r="BT190" s="8">
        <f t="shared" si="69"/>
        <v>71947.023010750228</v>
      </c>
      <c r="BU190" s="8">
        <f t="shared" si="70"/>
        <v>158866.59521691996</v>
      </c>
      <c r="BV190" s="8">
        <f t="shared" si="71"/>
        <v>8993.3778763437767</v>
      </c>
      <c r="BW190" s="4">
        <v>0</v>
      </c>
      <c r="BX190" s="4">
        <v>1</v>
      </c>
    </row>
    <row r="191" spans="1:76" s="16" customFormat="1" x14ac:dyDescent="0.25">
      <c r="A191" s="26" t="s">
        <v>1311</v>
      </c>
      <c r="B191" s="6" t="s">
        <v>1302</v>
      </c>
      <c r="C191" s="7">
        <v>150</v>
      </c>
      <c r="D191" s="7" t="s">
        <v>528</v>
      </c>
      <c r="E191" s="7" t="str">
        <f>Groups!$A$40</f>
        <v>Pig (TUSKS)</v>
      </c>
      <c r="F191" s="7">
        <v>115</v>
      </c>
      <c r="G191" s="7">
        <f>334/365</f>
        <v>0.91506849315068495</v>
      </c>
      <c r="H191" s="7">
        <v>27</v>
      </c>
      <c r="I191" s="4">
        <v>0</v>
      </c>
      <c r="J191" s="7">
        <v>7</v>
      </c>
      <c r="K191" s="7" t="s">
        <v>528</v>
      </c>
      <c r="L191" s="7">
        <f>AVERAGE(5.83,4.56)*3.6*(23.3/11)</f>
        <v>39.614236363636365</v>
      </c>
      <c r="M191" s="7" t="s">
        <v>630</v>
      </c>
      <c r="N191" s="4">
        <v>1</v>
      </c>
      <c r="O191" s="4">
        <v>0</v>
      </c>
      <c r="P191" s="4">
        <v>0</v>
      </c>
      <c r="Q191" s="4">
        <v>0</v>
      </c>
      <c r="R191" s="4">
        <v>1</v>
      </c>
      <c r="S191" s="7">
        <f>_xlfn.XLOOKUP(B191,[1]TeethAdjusters!$A:$A,[1]BiteAdjusters!$C:$C,1)</f>
        <v>0.97083004636870796</v>
      </c>
      <c r="T191" s="7">
        <f>_xlfn.XLOOKUP(B191,[1]TeethAdjusters!$A:$A,[1]TeethAdjusters!$B:$B,1)</f>
        <v>1</v>
      </c>
      <c r="U191" s="7" t="s">
        <v>45</v>
      </c>
      <c r="V191" s="7">
        <f>MROUND(AVERAGE(140/10,55/10),0.05)</f>
        <v>9.75</v>
      </c>
      <c r="W191" s="7">
        <f>MROUND(AVERAGE(230/10,100/10),0.05)</f>
        <v>16.5</v>
      </c>
      <c r="X191" s="7" t="s">
        <v>962</v>
      </c>
      <c r="Y191" s="4" t="s">
        <v>1003</v>
      </c>
      <c r="Z191" s="4">
        <v>1</v>
      </c>
      <c r="AA191" s="4">
        <v>0</v>
      </c>
      <c r="AB191" s="4">
        <v>0</v>
      </c>
      <c r="AC191" s="4">
        <v>0</v>
      </c>
      <c r="AD191" s="4">
        <v>0</v>
      </c>
      <c r="AE191" s="4" t="s">
        <v>45</v>
      </c>
      <c r="AF191" s="4" t="s">
        <v>398</v>
      </c>
      <c r="AG191" s="49" t="s">
        <v>1787</v>
      </c>
      <c r="AH191" s="4" t="s">
        <v>45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4" t="s">
        <v>40</v>
      </c>
      <c r="AO191" s="8">
        <f t="shared" si="57"/>
        <v>28825.861601687579</v>
      </c>
      <c r="AP191" s="8">
        <f>IFERROR(C191*_xlfn.XLOOKUP(E191,Groups!A:A,Groups!K:K),0.106*C191^0.94)</f>
        <v>11.771495712556113</v>
      </c>
      <c r="AQ191" s="8">
        <f>AP191*10000/(_xlfn.XLOOKUP(E191,Groups!A:A,Groups!J:J)*AO191)</f>
        <v>3.7464751271603496</v>
      </c>
      <c r="AR191" s="8">
        <f t="shared" si="58"/>
        <v>3746.1489061563307</v>
      </c>
      <c r="AS191" s="8">
        <f>IF(_xlfn.XLOOKUP(E191,Groups!A:A,Groups!M:M)=1,EXP(0.7444*LN('Base stats'!C191)+6.5696),EXP(0.7927*LN('Base stats'!C191)+4.28))</f>
        <v>3835.0225645496203</v>
      </c>
      <c r="AT191" s="8">
        <f>IF(_xlfn.XLOOKUP(E191,Groups!A:A,Groups!N:N)="No","No",
IF(_xlfn.XLOOKUP(E191,Groups!A:A,Groups!N:N)="Crocodile",EXP(0.8129*LN(C191)+4.6742)*S191,
IF(_xlfn.XLOOKUP(E191,Groups!A:A,Groups!N:N)="Felid",EXP(0.7843*LN(C191)+4.7073)*S191,
IF(_xlfn.XLOOKUP(E191,Groups!A:A,Groups!N:N)="Canid",EXP(0.8367*LN(C191)+4.8763)*S191,
IF(_xlfn.XLOOKUP(E191,Groups!A:A,Groups!N:N)="Pig",EXP(0.3439*LN(C191)+6.8519)*S191,
IF(_xlfn.XLOOKUP(E191,Groups!A:A,Groups!N:N)="Rodent",EXP(0.5625*LN(C191)+4.3006)*S191,
IF(_xlfn.XLOOKUP(E191,Groups!A:A,Groups!N:N)="Primate",EXP(0.7847*LN(C191)+3.4931)*S191,
IF(_xlfn.XLOOKUP(E191,Groups!A:A,Groups!N:N)="MiscCarnivora",EXP(0.7486*LN(C191)+4.2207)*S191,
IF(_xlfn.XLOOKUP(E191,Groups!A:A,Groups!N:N)="Lizard",EXP(0.7733*LN(C191)+5.5303)*S191,
IF(_xlfn.XLOOKUP(E191,Groups!A:A,Groups!N:N)="Snake",50*C191^(2/3)*S191,
IF(_xlfn.XLOOKUP(E191,Groups!A:A,Groups!N:N)="StrongBitingHerbivore",87.1133638856975*C191^(2/3)*S191,
IF(_xlfn.XLOOKUP(E191,Groups!A:A,Groups!N:N)="MiscEctotherms",59.4316884072269*C191^(2/3)*S191,
IF(_xlfn.XLOOKUP(E191,Groups!A:A,Groups!N:N)="StrongBeakBird",0.041*(C191*1000)^1.375*S191,
IF(_xlfn.XLOOKUP(E191,Groups!A:A,Groups!N:N)="Bird",0.118*(C191*1000)^0.692*S191,
IF(_xlfn.XLOOKUP(E191,Groups!A:A,Groups!N:N)="Insect",EXP(0.7444*LN(C191)+6.5696)*S191,
IF(_xlfn.XLOOKUP(E191,Groups!A:A,Groups!N:N)="Theropod",EXP(0.6966*LN(C191)+4.158)*S191,
"No"))))))))))))))))</f>
        <v>5143.317725675146</v>
      </c>
      <c r="AU191" s="8">
        <f>IF(_xlfn.XLOOKUP(E191,Groups!A:A,Groups!U:U)=3,AS191,IF(_xlfn.XLOOKUP(E191,Groups!A:A,Groups!U:U)=2,AR191,AT191))</f>
        <v>5143.317725675146</v>
      </c>
      <c r="AV191" s="46">
        <f>IFERROR(AVERAGE(_xlfn.XLOOKUP(B191,Animals!B:B,Animals!N:N),_xlfn.XLOOKUP(B191,Animals!B:B,Animals!O:O)),0)</f>
        <v>0</v>
      </c>
      <c r="AW191" s="8">
        <f>MROUND(40*Animals!AO191*_xlfn.XLOOKUP(AG191,Leathers!$A$2:$A$99,Leathers!$B$2:$B$99,0)+(140*_xlfn.XLOOKUP(B191,Animals!B:B,Animals!AO:AO)*2),5)</f>
        <v>450</v>
      </c>
      <c r="AX191" s="8">
        <f>IFERROR(ROUND(SQRT(V191-1)*IF(_xlfn.XLOOKUP(E191,Groups!A:A,Groups!BF:BF)=0,2,1)*IF(_xlfn.XLOOKUP('Base stats'!E191,Groups!A:A,Groups!O:O)=0,1,0.1),1),0)</f>
        <v>5.9</v>
      </c>
      <c r="AY191" s="8">
        <f t="shared" si="59"/>
        <v>0</v>
      </c>
      <c r="AZ191" s="8">
        <f t="shared" si="60"/>
        <v>4.0999999999999996</v>
      </c>
      <c r="BA191" s="8">
        <f t="shared" si="61"/>
        <v>4.8</v>
      </c>
      <c r="BB191" s="8">
        <f>IF(_xlfn.XLOOKUP(E191,Groups!A:A,Groups!N:N)="Insect",BD191*2.5,IFERROR(AVERAGE(BD191,AT191/9.81/IF(OR(_xlfn.XLOOKUP(E191,Groups!A:A,Groups!N:N)="Pig",_xlfn.XLOOKUP(E191,Groups!A:A,Groups!N:N)="StrongBitingHerbivore"),20,25))*C191^-0.135,BD191))</f>
        <v>7.0998773530906982</v>
      </c>
      <c r="BC191" s="8">
        <f>IF(W191="No","No",IF(_xlfn.XLOOKUP(E191,Groups!A:A,Groups!U:U)=1,'Base stats'!BB191,IF(OR(_xlfn.XLOOKUP(E191,Groups!A:A,Groups!BD:BD)=1,_xlfn.XLOOKUP(E191,Groups!A:A,Groups!U:U)=2),BD191,IF(_xlfn.XLOOKUP(B191,Animals!B:B,Animals!AO:AO)&gt;4,AVERAGE(BD191,BF191),BF191))))</f>
        <v>7.0998773530906982</v>
      </c>
      <c r="BD191" s="8">
        <f t="shared" si="62"/>
        <v>1.7141896806845596</v>
      </c>
      <c r="BE191" s="8">
        <f>IF(_xlfn.XLOOKUP(E191,Groups!A:A,Groups!BE:BE)=1,(0.048*C191^1.01)+(0.071*C191^1.03),0.071*C191^1.03)/IF(_xlfn.XLOOKUP(E191,Groups!A:A,Groups!M:M)=1,0.85,IF(OR(_xlfn.XLOOKUP(B191,Animals!B:B,Animals!AO:AO)&gt;4,_xlfn.XLOOKUP(E191,Groups!A:A,Groups!BC:BC)=1),1.7,1))*C191^-0.25</f>
        <v>3.5367920914565221</v>
      </c>
      <c r="BF191" s="8">
        <f>(0.048*C191^1.01)/IF(_xlfn.XLOOKUP(E191,Groups!A:A,Groups!M:M)=1,0.25,0.8)*C191^-0.25</f>
        <v>2.7038376258152188</v>
      </c>
      <c r="BG191" s="8">
        <f>EXP(1.076*LN(AR191)-4.5397)*IF(_xlfn.XLOOKUP(E191,Groups!A:A,Groups!BC:BC)=1,1.25,IF(_xlfn.XLOOKUP(E191,Groups!A:A,Groups!BD:BD)=1,3.5,2.5))</f>
        <v>186.87484615605439</v>
      </c>
      <c r="BH191" s="8">
        <f>EXP(1.076*LN(AS191)-4.5397)*IF(_xlfn.XLOOKUP(E191,Groups!A:A,Groups!M:M)=1,0.8,IF(_xlfn.XLOOKUP(E191,Groups!A:A,Groups!BC:BC)=1,1.3,3))</f>
        <v>229.97937056804284</v>
      </c>
      <c r="BI191" s="8">
        <f>IF(W191="No","No",IF(_xlfn.XLOOKUP(E191,Groups!A:A,Groups!U:U)=1,'Base stats'!BJ191,IF(OR(_xlfn.XLOOKUP(E191,Groups!A:A,Groups!BD:BD)=1,_xlfn.XLOOKUP(E191,Groups!A:A,Groups!U:U)=2),BG191,BH191))*1.2)</f>
        <v>441.55059997873565</v>
      </c>
      <c r="BJ191" s="8">
        <f>IFERROR(EXP(1.076*LN(AT191)-4.5397)*IF(_xlfn.XLOOKUP(E191,Groups!A:A,Groups!N:N)="Insect",1,IF(OR(_xlfn.XLOOKUP(E191,Groups!A:A,Groups!N:N)="Pig",_xlfn.XLOOKUP(E191,Groups!A:A,Groups!N:N)="StrongBitingHerbivore"),3.5,3.75)),"No")</f>
        <v>367.95883331561305</v>
      </c>
      <c r="BK191" s="8">
        <f t="shared" si="63"/>
        <v>14</v>
      </c>
      <c r="BL191" s="8">
        <f t="shared" si="64"/>
        <v>11</v>
      </c>
      <c r="BM191" s="8">
        <f t="shared" si="65"/>
        <v>11</v>
      </c>
      <c r="BN191" s="8">
        <f t="shared" si="66"/>
        <v>10</v>
      </c>
      <c r="BO191" s="8">
        <f t="shared" si="67"/>
        <v>13</v>
      </c>
      <c r="BP191" s="8" t="str" cm="1">
        <f t="array" ref="BP191">IF(AND(_xlfn.XLOOKUP('Base stats'!E191,Groups!A:A,Groups!AD:AD=0),_xlfn.XLOOKUP('Base stats'!E191,Groups!A:A,Groups!P:P=0)),"No",IF(U191="No",AVERAGE(EXP(-0.57+0.99*LN(C191)),EXP(0.32+0.67*LN(C191)))/IF(_xlfn.XLOOKUP(E191,Groups!A:A,Groups!AD:AD)=1,10,2),(0.7354*C191^0.4078)*2/IF(_xlfn.XLOOKUP(E191,Groups!A:A,Groups!BK:BK)=1,1000,100)/IF(_xlfn.XLOOKUP(E191,Groups!A:A,Groups!AJ:AJ)="Photonozoa",3,1)))</f>
        <v>No</v>
      </c>
      <c r="BQ191" s="8">
        <f>IF(W191="No","No",IF(_xlfn.XLOOKUP(E191,Groups!A:A,Groups!BD:BD)=1,(AO191*5%),EXP(0.7354*LN(C191)^0.4078)*2/IF(_xlfn.XLOOKUP(E191,Groups!A:A,Groups!BL:BL)=1,1000,100)/IF(_xlfn.XLOOKUP(E191,Groups!A:A,Groups!AJ:AJ)="Photonozoa",3,1)))</f>
        <v>8.2648233730893056E-2</v>
      </c>
      <c r="BR191" s="8">
        <f>IF(BJ191="No","No",IF(_xlfn.XLOOKUP(E191,Groups!A:A,Groups!BF:BF)=1,(0.0315*C191+2.1825)*2,(0.7354*C191^0.4078)*2)/IF(_xlfn.XLOOKUP(E191,Groups!A:A,Groups!BM:BM)=1,1000,100)/IF(_xlfn.XLOOKUP(E191,Groups!A:A,Groups!AJ:AJ)="Photonozoa",3,1))</f>
        <v>0.11349157855001941</v>
      </c>
      <c r="BS191" s="8">
        <f t="shared" si="68"/>
        <v>0.12965776963635597</v>
      </c>
      <c r="BT191" s="8" t="str">
        <f t="shared" si="69"/>
        <v>No</v>
      </c>
      <c r="BU191" s="8">
        <f t="shared" si="70"/>
        <v>5342.5291751115619</v>
      </c>
      <c r="BV191" s="8">
        <f t="shared" si="71"/>
        <v>3242.1686086024583</v>
      </c>
      <c r="BW191" s="4">
        <v>0</v>
      </c>
      <c r="BX191" s="4">
        <v>1</v>
      </c>
    </row>
    <row r="192" spans="1:76" s="16" customFormat="1" x14ac:dyDescent="0.25">
      <c r="A192" s="26" t="s">
        <v>1312</v>
      </c>
      <c r="B192" s="6" t="s">
        <v>1303</v>
      </c>
      <c r="C192" s="7">
        <v>70</v>
      </c>
      <c r="D192" s="7" t="s">
        <v>528</v>
      </c>
      <c r="E192" s="7" t="str">
        <f>Groups!$A$111</f>
        <v>Ruminant (ANTLERS, TWO HEADS)</v>
      </c>
      <c r="F192" s="7">
        <f>ROUND(7.545*(C192*1000)^0.2689,0)</f>
        <v>152</v>
      </c>
      <c r="G192" s="7">
        <f>478/365</f>
        <v>1.3095890410958904</v>
      </c>
      <c r="H192" s="7">
        <v>22</v>
      </c>
      <c r="I192" s="4">
        <v>0</v>
      </c>
      <c r="J192" s="7">
        <v>1</v>
      </c>
      <c r="K192" s="7" t="s">
        <v>528</v>
      </c>
      <c r="L192" s="7">
        <f>MIN(114.4*C192^-0.13,97.8*C192^-0.094)</f>
        <v>65.599365542046741</v>
      </c>
      <c r="M192" s="7" t="s">
        <v>626</v>
      </c>
      <c r="N192" s="4">
        <v>1</v>
      </c>
      <c r="O192" s="4">
        <v>0</v>
      </c>
      <c r="P192" s="4">
        <v>0</v>
      </c>
      <c r="Q192" s="4">
        <v>0</v>
      </c>
      <c r="R192" s="4">
        <v>1</v>
      </c>
      <c r="S192" s="7">
        <f>_xlfn.XLOOKUP(B192,[1]TeethAdjusters!$A:$A,[1]BiteAdjusters!$C:$C,1)</f>
        <v>1</v>
      </c>
      <c r="T192" s="7">
        <f>_xlfn.XLOOKUP(B192,[1]TeethAdjusters!$A:$A,[1]TeethAdjusters!$B:$B,1)</f>
        <v>1</v>
      </c>
      <c r="U192" s="7" t="s">
        <v>45</v>
      </c>
      <c r="V192" s="7" t="str">
        <f>IF(AT192="No","No",IF(_xlfn.XLOOKUP(E192,Groups!A:A,Groups!AM:AM)=1,MROUND(EXP(0.3582*LN(C192)-0.2221)*T192,0.05),IF(_xlfn.XLOOKUP(E192,Groups!A:A,Groups!AM:AM)=2,MROUND(EXP(0.3582*LN(C192)-0.2221)*T192,0.05),"Need a formula")))</f>
        <v>No</v>
      </c>
      <c r="W192" s="7">
        <v>41.2</v>
      </c>
      <c r="X192" s="7" t="s">
        <v>962</v>
      </c>
      <c r="Y192" s="4" t="s">
        <v>42</v>
      </c>
      <c r="Z192" s="4">
        <v>1</v>
      </c>
      <c r="AA192" s="4">
        <v>0</v>
      </c>
      <c r="AB192" s="4">
        <v>0</v>
      </c>
      <c r="AC192" s="4">
        <v>0</v>
      </c>
      <c r="AD192" s="4">
        <v>0</v>
      </c>
      <c r="AE192" s="4" t="s">
        <v>45</v>
      </c>
      <c r="AF192" s="4" t="s">
        <v>398</v>
      </c>
      <c r="AG192" s="49" t="s">
        <v>1787</v>
      </c>
      <c r="AH192" s="4" t="s">
        <v>45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4" t="s">
        <v>40</v>
      </c>
      <c r="AO192" s="8">
        <f t="shared" si="57"/>
        <v>17564.536938929268</v>
      </c>
      <c r="AP192" s="8">
        <f>IFERROR(C192*_xlfn.XLOOKUP(E192,Groups!A:A,Groups!K:K),0.106*C192^0.94)</f>
        <v>5.7503995690030791</v>
      </c>
      <c r="AQ192" s="8">
        <f>AP192*10000/(_xlfn.XLOOKUP(E192,Groups!A:A,Groups!J:J)*AO192)</f>
        <v>3.0035496826407138</v>
      </c>
      <c r="AR192" s="8">
        <f t="shared" si="58"/>
        <v>1967.863924091341</v>
      </c>
      <c r="AS192" s="8">
        <f>IF(_xlfn.XLOOKUP(E192,Groups!A:A,Groups!M:M)=1,EXP(0.7444*LN('Base stats'!C192)+6.5696),EXP(0.7927*LN('Base stats'!C192)+4.28))</f>
        <v>2095.9918946402931</v>
      </c>
      <c r="AT192" s="8" t="str">
        <f>IF(_xlfn.XLOOKUP(E192,Groups!A:A,Groups!N:N)="No","No",
IF(_xlfn.XLOOKUP(E192,Groups!A:A,Groups!N:N)="Crocodile",EXP(0.8129*LN(C192)+4.6742)*S192,
IF(_xlfn.XLOOKUP(E192,Groups!A:A,Groups!N:N)="Felid",EXP(0.7843*LN(C192)+4.7073)*S192,
IF(_xlfn.XLOOKUP(E192,Groups!A:A,Groups!N:N)="Canid",EXP(0.8367*LN(C192)+4.8763)*S192,
IF(_xlfn.XLOOKUP(E192,Groups!A:A,Groups!N:N)="Pig",EXP(0.3439*LN(C192)+6.8519)*S192,
IF(_xlfn.XLOOKUP(E192,Groups!A:A,Groups!N:N)="Rodent",EXP(0.5625*LN(C192)+4.3006)*S192,
IF(_xlfn.XLOOKUP(E192,Groups!A:A,Groups!N:N)="Primate",EXP(0.7847*LN(C192)+3.4931)*S192,
IF(_xlfn.XLOOKUP(E192,Groups!A:A,Groups!N:N)="MiscCarnivora",EXP(0.7486*LN(C192)+4.2207)*S192,
IF(_xlfn.XLOOKUP(E192,Groups!A:A,Groups!N:N)="Lizard",EXP(0.7733*LN(C192)+5.5303)*S192,
IF(_xlfn.XLOOKUP(E192,Groups!A:A,Groups!N:N)="Snake",50*C192^(2/3)*S192,
IF(_xlfn.XLOOKUP(E192,Groups!A:A,Groups!N:N)="StrongBitingHerbivore",87.1133638856975*C192^(2/3)*S192,
IF(_xlfn.XLOOKUP(E192,Groups!A:A,Groups!N:N)="MiscEctotherms",59.4316884072269*C192^(2/3)*S192,
IF(_xlfn.XLOOKUP(E192,Groups!A:A,Groups!N:N)="StrongBeakBird",0.041*(C192*1000)^1.375*S192,
IF(_xlfn.XLOOKUP(E192,Groups!A:A,Groups!N:N)="Bird",0.118*(C192*1000)^0.692*S192,
IF(_xlfn.XLOOKUP(E192,Groups!A:A,Groups!N:N)="Insect",EXP(0.7444*LN(C192)+6.5696)*S192,
IF(_xlfn.XLOOKUP(E192,Groups!A:A,Groups!N:N)="Theropod",EXP(0.6966*LN(C192)+4.158)*S192,
"No"))))))))))))))))</f>
        <v>No</v>
      </c>
      <c r="AU192" s="8">
        <f>IF(_xlfn.XLOOKUP(E192,Groups!A:A,Groups!U:U)=3,AS192,IF(_xlfn.XLOOKUP(E192,Groups!A:A,Groups!U:U)=2,AR192,AT192))</f>
        <v>2095.9918946402931</v>
      </c>
      <c r="AV192" s="46">
        <f>IFERROR(AVERAGE(_xlfn.XLOOKUP(B192,Animals!B:B,Animals!N:N),_xlfn.XLOOKUP(B192,Animals!B:B,Animals!O:O)),0)</f>
        <v>0</v>
      </c>
      <c r="AW192" s="8">
        <f>MROUND(40*Animals!AO192*_xlfn.XLOOKUP(AG192,Leathers!$A$2:$A$99,Leathers!$B$2:$B$99,0)+(140*_xlfn.XLOOKUP(B192,Animals!B:B,Animals!AO:AO)*2),5)</f>
        <v>380</v>
      </c>
      <c r="AX192" s="8">
        <f>IFERROR(ROUND(SQRT(V192-1)*IF(_xlfn.XLOOKUP(E192,Groups!A:A,Groups!BF:BF)=0,2,1)*IF(_xlfn.XLOOKUP('Base stats'!E192,Groups!A:A,Groups!O:O)=0,1,0.1),1),0)</f>
        <v>0</v>
      </c>
      <c r="AY192" s="8">
        <f t="shared" si="59"/>
        <v>0</v>
      </c>
      <c r="AZ192" s="8">
        <f t="shared" si="60"/>
        <v>6.4</v>
      </c>
      <c r="BA192" s="8">
        <f t="shared" si="61"/>
        <v>3.7</v>
      </c>
      <c r="BB192" s="8">
        <f>IF(_xlfn.XLOOKUP(E192,Groups!A:A,Groups!N:N)="Insect",BD192*2.5,IFERROR(AVERAGE(BD192,AT192/9.81/IF(OR(_xlfn.XLOOKUP(E192,Groups!A:A,Groups!N:N)="Pig",_xlfn.XLOOKUP(E192,Groups!A:A,Groups!N:N)="StrongBitingHerbivore"),20,25))*C192^-0.135,BD192))</f>
        <v>0.96491706949761447</v>
      </c>
      <c r="BC192" s="8">
        <f>IF(W192="No","No",IF(_xlfn.XLOOKUP(E192,Groups!A:A,Groups!U:U)=1,'Base stats'!BB192,IF(OR(_xlfn.XLOOKUP(E192,Groups!A:A,Groups!BD:BD)=1,_xlfn.XLOOKUP(E192,Groups!A:A,Groups!U:U)=2),BD192,IF(_xlfn.XLOOKUP(B192,Animals!B:B,Animals!AO:AO)&gt;4,AVERAGE(BD192,BF192),BF192))))</f>
        <v>1.515045796469928</v>
      </c>
      <c r="BD192" s="8">
        <f t="shared" si="62"/>
        <v>0.96491706949761447</v>
      </c>
      <c r="BE192" s="8">
        <f>IF(_xlfn.XLOOKUP(E192,Groups!A:A,Groups!BE:BE)=1,(0.048*C192^1.01)+(0.071*C192^1.03),0.071*C192^1.03)/IF(_xlfn.XLOOKUP(E192,Groups!A:A,Groups!M:M)=1,0.85,IF(OR(_xlfn.XLOOKUP(B192,Animals!B:B,Animals!AO:AO)&gt;4,_xlfn.XLOOKUP(E192,Groups!A:A,Groups!BC:BC)=1),1.7,1))*C192^-0.25</f>
        <v>1.9517977810631861</v>
      </c>
      <c r="BF192" s="8">
        <f>(0.048*C192^1.01)/IF(_xlfn.XLOOKUP(E192,Groups!A:A,Groups!M:M)=1,0.25,0.8)*C192^-0.25</f>
        <v>1.515045796469928</v>
      </c>
      <c r="BG192" s="8">
        <f>EXP(1.076*LN(AR192)-4.5397)*IF(_xlfn.XLOOKUP(E192,Groups!A:A,Groups!BC:BC)=1,1.25,IF(_xlfn.XLOOKUP(E192,Groups!A:A,Groups!BD:BD)=1,3.5,2.5))</f>
        <v>93.478565272069602</v>
      </c>
      <c r="BH192" s="8">
        <f>EXP(1.076*LN(AS192)-4.5397)*IF(_xlfn.XLOOKUP(E192,Groups!A:A,Groups!M:M)=1,0.8,IF(_xlfn.XLOOKUP(E192,Groups!A:A,Groups!BC:BC)=1,1.3,3))</f>
        <v>120.05211168963112</v>
      </c>
      <c r="BI192" s="8">
        <f>IF(W192="No","No",IF(_xlfn.XLOOKUP(E192,Groups!A:A,Groups!U:U)=1,'Base stats'!BJ192,IF(OR(_xlfn.XLOOKUP(E192,Groups!A:A,Groups!BD:BD)=1,_xlfn.XLOOKUP(E192,Groups!A:A,Groups!U:U)=2),BG192,BH192))*1.2)</f>
        <v>144.06253402755735</v>
      </c>
      <c r="BJ192" s="8" t="str">
        <f>IFERROR(EXP(1.076*LN(AT192)-4.5397)*IF(_xlfn.XLOOKUP(E192,Groups!A:A,Groups!N:N)="Insect",1,IF(OR(_xlfn.XLOOKUP(E192,Groups!A:A,Groups!N:N)="Pig",_xlfn.XLOOKUP(E192,Groups!A:A,Groups!N:N)="StrongBitingHerbivore"),3.5,3.75)),"No")</f>
        <v>No</v>
      </c>
      <c r="BK192" s="8">
        <f t="shared" si="63"/>
        <v>13</v>
      </c>
      <c r="BL192" s="8">
        <f t="shared" si="64"/>
        <v>11</v>
      </c>
      <c r="BM192" s="8">
        <f t="shared" si="65"/>
        <v>13</v>
      </c>
      <c r="BN192" s="8" t="str">
        <f t="shared" si="66"/>
        <v>No</v>
      </c>
      <c r="BO192" s="8">
        <f t="shared" si="67"/>
        <v>12</v>
      </c>
      <c r="BP192" s="8" cm="1">
        <f t="array" ref="BP192">IF(AND(_xlfn.XLOOKUP('Base stats'!E192,Groups!A:A,Groups!AD:AD=0),_xlfn.XLOOKUP('Base stats'!E192,Groups!A:A,Groups!P:P=0)),"No",IF(U192="No",AVERAGE(EXP(-0.57+0.99*LN(C192)),EXP(0.32+0.67*LN(C192)))/IF(_xlfn.XLOOKUP(E192,Groups!A:A,Groups!AD:AD)=1,10,2),(0.7354*C192^0.4078)*2/IF(_xlfn.XLOOKUP(E192,Groups!A:A,Groups!BK:BK)=1,1000,100)/IF(_xlfn.XLOOKUP(E192,Groups!A:A,Groups!AJ:AJ)="Photonozoa",3,1)))</f>
        <v>15.416068414458092</v>
      </c>
      <c r="BQ192" s="8">
        <f>IF(W192="No","No",IF(_xlfn.XLOOKUP(E192,Groups!A:A,Groups!BD:BD)=1,(AO192*5%),EXP(0.7354*LN(C192)^0.4078)*2/IF(_xlfn.XLOOKUP(E192,Groups!A:A,Groups!BL:BL)=1,1000,100)/IF(_xlfn.XLOOKUP(E192,Groups!A:A,Groups!AJ:AJ)="Photonozoa",3,1)))</f>
        <v>7.5359110956583139E-2</v>
      </c>
      <c r="BR192" s="8" t="str">
        <f>IF(BJ192="No","No",IF(_xlfn.XLOOKUP(E192,Groups!A:A,Groups!BF:BF)=1,(0.0315*C192+2.1825)*2,(0.7354*C192^0.4078)*2)/IF(_xlfn.XLOOKUP(E192,Groups!A:A,Groups!BM:BM)=1,1000,100)/IF(_xlfn.XLOOKUP(E192,Groups!A:A,Groups!AJ:AJ)="Photonozoa",3,1))</f>
        <v>No</v>
      </c>
      <c r="BS192" s="8">
        <f t="shared" si="68"/>
        <v>0.10644011350494281</v>
      </c>
      <c r="BT192" s="8">
        <f t="shared" si="69"/>
        <v>7.7874661983881195</v>
      </c>
      <c r="BU192" s="8">
        <f t="shared" si="70"/>
        <v>1911.68038209151</v>
      </c>
      <c r="BV192" s="8" t="str">
        <f t="shared" si="71"/>
        <v>No</v>
      </c>
      <c r="BW192" s="4">
        <v>0</v>
      </c>
      <c r="BX192" s="4">
        <v>1</v>
      </c>
    </row>
    <row r="193" spans="1:76" s="16" customFormat="1" x14ac:dyDescent="0.25">
      <c r="A193" s="26" t="s">
        <v>1313</v>
      </c>
      <c r="B193" s="6" t="s">
        <v>1304</v>
      </c>
      <c r="C193" s="7">
        <v>400</v>
      </c>
      <c r="D193" s="7" t="s">
        <v>528</v>
      </c>
      <c r="E193" s="7" t="str">
        <f>Groups!$A$110</f>
        <v>Ruminant (HORNS, TWO HEADS)</v>
      </c>
      <c r="F193" s="7">
        <f>ROUND(7.545*(C193*1000)^0.2689,0)</f>
        <v>242</v>
      </c>
      <c r="G193" s="7">
        <v>2</v>
      </c>
      <c r="H193" s="7">
        <v>25</v>
      </c>
      <c r="I193" s="4">
        <v>0</v>
      </c>
      <c r="J193" s="7">
        <v>1</v>
      </c>
      <c r="K193" s="7" t="s">
        <v>528</v>
      </c>
      <c r="L193" s="7">
        <f>MIN(114.4*C193^-0.13,97.8*C193^-0.094)</f>
        <v>52.499869706925978</v>
      </c>
      <c r="M193" s="7" t="s">
        <v>626</v>
      </c>
      <c r="N193" s="4">
        <v>1</v>
      </c>
      <c r="O193" s="4">
        <v>0</v>
      </c>
      <c r="P193" s="4">
        <v>0</v>
      </c>
      <c r="Q193" s="4">
        <v>0</v>
      </c>
      <c r="R193" s="4">
        <v>1</v>
      </c>
      <c r="S193" s="7">
        <f>_xlfn.XLOOKUP(B193,[1]TeethAdjusters!$A:$A,[1]BiteAdjusters!$C:$C,1)</f>
        <v>1</v>
      </c>
      <c r="T193" s="7">
        <f>_xlfn.XLOOKUP(B193,[1]TeethAdjusters!$A:$A,[1]TeethAdjusters!$B:$B,1)</f>
        <v>1</v>
      </c>
      <c r="U193" s="7" t="s">
        <v>45</v>
      </c>
      <c r="V193" s="7" t="str">
        <f>IF(AT193="No","No",IF(_xlfn.XLOOKUP(E193,Groups!A:A,Groups!AM:AM)=1,MROUND(EXP(0.3582*LN(C193)-0.2221)*T193,0.05),IF(_xlfn.XLOOKUP(E193,Groups!A:A,Groups!AM:AM)=2,MROUND(EXP(0.3582*LN(C193)-0.2221)*T193,0.05),"Need a formula")))</f>
        <v>No</v>
      </c>
      <c r="W193" s="7">
        <v>30</v>
      </c>
      <c r="X193" s="7" t="s">
        <v>932</v>
      </c>
      <c r="Y193" s="4" t="s">
        <v>42</v>
      </c>
      <c r="Z193" s="4">
        <v>1</v>
      </c>
      <c r="AA193" s="4">
        <v>0</v>
      </c>
      <c r="AB193" s="4">
        <v>0</v>
      </c>
      <c r="AC193" s="4">
        <v>0</v>
      </c>
      <c r="AD193" s="4">
        <v>0</v>
      </c>
      <c r="AE193" s="4" t="s">
        <v>45</v>
      </c>
      <c r="AF193" s="4" t="s">
        <v>398</v>
      </c>
      <c r="AG193" s="49" t="s">
        <v>1787</v>
      </c>
      <c r="AH193" s="4" t="s">
        <v>45</v>
      </c>
      <c r="AI193" s="4">
        <v>1</v>
      </c>
      <c r="AJ193" s="4">
        <v>0</v>
      </c>
      <c r="AK193" s="4">
        <v>0</v>
      </c>
      <c r="AL193" s="4">
        <v>0</v>
      </c>
      <c r="AM193" s="4">
        <v>0</v>
      </c>
      <c r="AN193" s="44" t="s">
        <v>40</v>
      </c>
      <c r="AO193" s="8">
        <f t="shared" si="57"/>
        <v>54533.324359541104</v>
      </c>
      <c r="AP193" s="8">
        <f>IFERROR(C193*_xlfn.XLOOKUP(E193,Groups!A:A,Groups!K:K),0.106*C193^0.94)</f>
        <v>29.596629583111532</v>
      </c>
      <c r="AQ193" s="8">
        <f>AP193*10000/(_xlfn.XLOOKUP(E193,Groups!A:A,Groups!J:J)*AO193)</f>
        <v>4.9791336757954134</v>
      </c>
      <c r="AR193" s="8">
        <f t="shared" si="58"/>
        <v>8578.2919817776201</v>
      </c>
      <c r="AS193" s="8">
        <f>IF(_xlfn.XLOOKUP(E193,Groups!A:A,Groups!M:M)=1,EXP(0.7444*LN('Base stats'!C193)+6.5696),EXP(0.7927*LN('Base stats'!C193)+4.28))</f>
        <v>8345.1344423422543</v>
      </c>
      <c r="AT193" s="8" t="str">
        <f>IF(_xlfn.XLOOKUP(E193,Groups!A:A,Groups!N:N)="No","No",
IF(_xlfn.XLOOKUP(E193,Groups!A:A,Groups!N:N)="Crocodile",EXP(0.8129*LN(C193)+4.6742)*S193,
IF(_xlfn.XLOOKUP(E193,Groups!A:A,Groups!N:N)="Felid",EXP(0.7843*LN(C193)+4.7073)*S193,
IF(_xlfn.XLOOKUP(E193,Groups!A:A,Groups!N:N)="Canid",EXP(0.8367*LN(C193)+4.8763)*S193,
IF(_xlfn.XLOOKUP(E193,Groups!A:A,Groups!N:N)="Pig",EXP(0.3439*LN(C193)+6.8519)*S193,
IF(_xlfn.XLOOKUP(E193,Groups!A:A,Groups!N:N)="Rodent",EXP(0.5625*LN(C193)+4.3006)*S193,
IF(_xlfn.XLOOKUP(E193,Groups!A:A,Groups!N:N)="Primate",EXP(0.7847*LN(C193)+3.4931)*S193,
IF(_xlfn.XLOOKUP(E193,Groups!A:A,Groups!N:N)="MiscCarnivora",EXP(0.7486*LN(C193)+4.2207)*S193,
IF(_xlfn.XLOOKUP(E193,Groups!A:A,Groups!N:N)="Lizard",EXP(0.7733*LN(C193)+5.5303)*S193,
IF(_xlfn.XLOOKUP(E193,Groups!A:A,Groups!N:N)="Snake",50*C193^(2/3)*S193,
IF(_xlfn.XLOOKUP(E193,Groups!A:A,Groups!N:N)="StrongBitingHerbivore",87.1133638856975*C193^(2/3)*S193,
IF(_xlfn.XLOOKUP(E193,Groups!A:A,Groups!N:N)="MiscEctotherms",59.4316884072269*C193^(2/3)*S193,
IF(_xlfn.XLOOKUP(E193,Groups!A:A,Groups!N:N)="StrongBeakBird",0.041*(C193*1000)^1.375*S193,
IF(_xlfn.XLOOKUP(E193,Groups!A:A,Groups!N:N)="Bird",0.118*(C193*1000)^0.692*S193,
IF(_xlfn.XLOOKUP(E193,Groups!A:A,Groups!N:N)="Insect",EXP(0.7444*LN(C193)+6.5696)*S193,
IF(_xlfn.XLOOKUP(E193,Groups!A:A,Groups!N:N)="Theropod",EXP(0.6966*LN(C193)+4.158)*S193,
"No"))))))))))))))))</f>
        <v>No</v>
      </c>
      <c r="AU193" s="8">
        <f>IF(_xlfn.XLOOKUP(E193,Groups!A:A,Groups!U:U)=3,AS193,IF(_xlfn.XLOOKUP(E193,Groups!A:A,Groups!U:U)=2,AR193,AT193))</f>
        <v>8345.1344423422543</v>
      </c>
      <c r="AV193" s="46">
        <f>IFERROR(AVERAGE(_xlfn.XLOOKUP(B193,Animals!B:B,Animals!N:N),_xlfn.XLOOKUP(B193,Animals!B:B,Animals!O:O)),0)</f>
        <v>0</v>
      </c>
      <c r="AW193" s="8">
        <f>MROUND(40*Animals!AO193*_xlfn.XLOOKUP(AG193,Leathers!$A$2:$A$99,Leathers!$B$2:$B$99,0)+(140*_xlfn.XLOOKUP(B193,Animals!B:B,Animals!AO:AO)*2),5)</f>
        <v>820</v>
      </c>
      <c r="AX193" s="8">
        <f>IFERROR(ROUND(SQRT(V193-1)*IF(_xlfn.XLOOKUP(E193,Groups!A:A,Groups!BF:BF)=0,2,1)*IF(_xlfn.XLOOKUP('Base stats'!E193,Groups!A:A,Groups!O:O)=0,1,0.1),1),0)</f>
        <v>0</v>
      </c>
      <c r="AY193" s="8">
        <f t="shared" si="59"/>
        <v>0</v>
      </c>
      <c r="AZ193" s="8">
        <f t="shared" si="60"/>
        <v>5.5</v>
      </c>
      <c r="BA193" s="8">
        <f t="shared" si="61"/>
        <v>6.8</v>
      </c>
      <c r="BB193" s="8">
        <f>IF(_xlfn.XLOOKUP(E193,Groups!A:A,Groups!N:N)="Insect",BD193*2.5,IFERROR(AVERAGE(BD193,AT193/9.81/IF(OR(_xlfn.XLOOKUP(E193,Groups!A:A,Groups!N:N)="Pig",_xlfn.XLOOKUP(E193,Groups!A:A,Groups!N:N)="StrongBitingHerbivore"),20,25))*C193^-0.135,BD193))</f>
        <v>3.5911975861689553</v>
      </c>
      <c r="BC193" s="8">
        <f>IF(W193="No","No",IF(_xlfn.XLOOKUP(E193,Groups!A:A,Groups!U:U)=1,'Base stats'!BB193,IF(OR(_xlfn.XLOOKUP(E193,Groups!A:A,Groups!BD:BD)=1,_xlfn.XLOOKUP(E193,Groups!A:A,Groups!U:U)=2),BD193,IF(_xlfn.XLOOKUP(B193,Animals!B:B,Animals!AO:AO)&gt;4,AVERAGE(BD193,BF193),BF193))))</f>
        <v>5.6979265131759371</v>
      </c>
      <c r="BD193" s="8">
        <f t="shared" si="62"/>
        <v>3.5911975861689553</v>
      </c>
      <c r="BE193" s="8">
        <f>IF(_xlfn.XLOOKUP(E193,Groups!A:A,Groups!BE:BE)=1,(0.048*C193^1.01)+(0.071*C193^1.03),0.071*C193^1.03)/IF(_xlfn.XLOOKUP(E193,Groups!A:A,Groups!M:M)=1,0.85,IF(OR(_xlfn.XLOOKUP(B193,Animals!B:B,Animals!AO:AO)&gt;4,_xlfn.XLOOKUP(E193,Groups!A:A,Groups!BC:BC)=1),1.7,1))*C193^-0.25</f>
        <v>7.6009021546251976</v>
      </c>
      <c r="BF193" s="8">
        <f>(0.048*C193^1.01)/IF(_xlfn.XLOOKUP(E193,Groups!A:A,Groups!M:M)=1,0.25,0.8)*C193^-0.25</f>
        <v>5.6979265131759371</v>
      </c>
      <c r="BG193" s="8">
        <f>EXP(1.076*LN(AR193)-4.5397)*IF(_xlfn.XLOOKUP(E193,Groups!A:A,Groups!BC:BC)=1,1.25,IF(_xlfn.XLOOKUP(E193,Groups!A:A,Groups!BD:BD)=1,3.5,2.5))</f>
        <v>455.73526542190234</v>
      </c>
      <c r="BH193" s="8">
        <f>EXP(1.076*LN(AS193)-4.5397)*IF(_xlfn.XLOOKUP(E193,Groups!A:A,Groups!M:M)=1,0.8,IF(_xlfn.XLOOKUP(E193,Groups!A:A,Groups!BC:BC)=1,1.3,3))</f>
        <v>530.90506242342735</v>
      </c>
      <c r="BI193" s="8">
        <f>IF(W193="No","No",IF(_xlfn.XLOOKUP(E193,Groups!A:A,Groups!U:U)=1,'Base stats'!BJ193,IF(OR(_xlfn.XLOOKUP(E193,Groups!A:A,Groups!BD:BD)=1,_xlfn.XLOOKUP(E193,Groups!A:A,Groups!U:U)=2),BG193,BH193))*1.2)</f>
        <v>637.08607490811278</v>
      </c>
      <c r="BJ193" s="8" t="str">
        <f>IFERROR(EXP(1.076*LN(AT193)-4.5397)*IF(_xlfn.XLOOKUP(E193,Groups!A:A,Groups!N:N)="Insect",1,IF(OR(_xlfn.XLOOKUP(E193,Groups!A:A,Groups!N:N)="Pig",_xlfn.XLOOKUP(E193,Groups!A:A,Groups!N:N)="StrongBitingHerbivore"),3.5,3.75)),"No")</f>
        <v>No</v>
      </c>
      <c r="BK193" s="8">
        <f t="shared" si="63"/>
        <v>15</v>
      </c>
      <c r="BL193" s="8">
        <f t="shared" si="64"/>
        <v>11</v>
      </c>
      <c r="BM193" s="8">
        <f t="shared" si="65"/>
        <v>14</v>
      </c>
      <c r="BN193" s="8" t="str">
        <f t="shared" si="66"/>
        <v>No</v>
      </c>
      <c r="BO193" s="8">
        <f t="shared" si="67"/>
        <v>13</v>
      </c>
      <c r="BP193" s="8" cm="1">
        <f t="array" ref="BP193">IF(AND(_xlfn.XLOOKUP('Base stats'!E193,Groups!A:A,Groups!AD:AD=0),_xlfn.XLOOKUP('Base stats'!E193,Groups!A:A,Groups!P:P=0)),"No",IF(U193="No",AVERAGE(EXP(-0.57+0.99*LN(C193)),EXP(0.32+0.67*LN(C193)))/IF(_xlfn.XLOOKUP(E193,Groups!A:A,Groups!AD:AD)=1,10,2),(0.7354*C193^0.4078)*2/IF(_xlfn.XLOOKUP(E193,Groups!A:A,Groups!BK:BK)=1,1000,100)/IF(_xlfn.XLOOKUP(E193,Groups!A:A,Groups!AJ:AJ)="Photonozoa",3,1)))</f>
        <v>72.331256150292859</v>
      </c>
      <c r="BQ193" s="8">
        <f>IF(W193="No","No",IF(_xlfn.XLOOKUP(E193,Groups!A:A,Groups!BD:BD)=1,(AO193*5%),EXP(0.7354*LN(C193)^0.4078)*2/IF(_xlfn.XLOOKUP(E193,Groups!A:A,Groups!BL:BL)=1,1000,100)/IF(_xlfn.XLOOKUP(E193,Groups!A:A,Groups!AJ:AJ)="Photonozoa",3,1)))</f>
        <v>9.2010030010980084E-2</v>
      </c>
      <c r="BR193" s="8" t="str">
        <f>IF(BJ193="No","No",IF(_xlfn.XLOOKUP(E193,Groups!A:A,Groups!BF:BF)=1,(0.0315*C193+2.1825)*2,(0.7354*C193^0.4078)*2)/IF(_xlfn.XLOOKUP(E193,Groups!A:A,Groups!BM:BM)=1,1000,100)/IF(_xlfn.XLOOKUP(E193,Groups!A:A,Groups!AJ:AJ)="Photonozoa",3,1))</f>
        <v>No</v>
      </c>
      <c r="BS193" s="8">
        <f t="shared" si="68"/>
        <v>0.16714010039703997</v>
      </c>
      <c r="BT193" s="8">
        <f t="shared" si="69"/>
        <v>7.3399121027331669</v>
      </c>
      <c r="BU193" s="8">
        <f t="shared" si="70"/>
        <v>6924.093762735276</v>
      </c>
      <c r="BV193" s="8" t="str">
        <f t="shared" si="71"/>
        <v>No</v>
      </c>
      <c r="BW193" s="4">
        <v>0</v>
      </c>
      <c r="BX193" s="4">
        <v>1</v>
      </c>
    </row>
    <row r="194" spans="1:76" s="16" customFormat="1" x14ac:dyDescent="0.25">
      <c r="A194" s="26" t="s">
        <v>1331</v>
      </c>
      <c r="B194" s="6" t="s">
        <v>1334</v>
      </c>
      <c r="C194" s="7">
        <v>15</v>
      </c>
      <c r="D194" s="7" t="s">
        <v>528</v>
      </c>
      <c r="E194" s="7" t="str">
        <f>Groups!$A$89</f>
        <v>Goo</v>
      </c>
      <c r="F194" s="7" t="s">
        <v>1700</v>
      </c>
      <c r="G194" s="7" t="s">
        <v>1700</v>
      </c>
      <c r="H194" s="7">
        <v>3</v>
      </c>
      <c r="I194" s="4">
        <v>1</v>
      </c>
      <c r="J194" s="7" t="s">
        <v>1700</v>
      </c>
      <c r="K194" s="7" t="s">
        <v>528</v>
      </c>
      <c r="L194" s="7">
        <v>10</v>
      </c>
      <c r="M194" s="7" t="s">
        <v>528</v>
      </c>
      <c r="N194" s="4">
        <v>0</v>
      </c>
      <c r="O194" s="4">
        <v>0</v>
      </c>
      <c r="P194" s="4">
        <v>0</v>
      </c>
      <c r="Q194" s="4">
        <v>0</v>
      </c>
      <c r="R194" s="4" t="s">
        <v>40</v>
      </c>
      <c r="S194" s="7">
        <f>_xlfn.XLOOKUP(B194,[1]TeethAdjusters!$A:$A,[1]BiteAdjusters!$C:$C,1)</f>
        <v>1</v>
      </c>
      <c r="T194" s="7">
        <f>_xlfn.XLOOKUP(B194,[1]TeethAdjusters!$A:$A,[1]TeethAdjusters!$B:$B,1)</f>
        <v>1</v>
      </c>
      <c r="U194" s="7" t="s">
        <v>45</v>
      </c>
      <c r="V194" s="7" t="str">
        <f>IF(AT194="No","No",IF(_xlfn.XLOOKUP(E194,Groups!A:A,Groups!AM:AM)=1,MROUND(EXP(0.3582*LN(C194)-0.2221)*T194,0.05),IF(_xlfn.XLOOKUP(E194,Groups!A:A,Groups!AM:AM)=2,MROUND(EXP(0.3582*LN(C194)-0.2221)*T194,0.05),"Need a formula")))</f>
        <v>No</v>
      </c>
      <c r="W194" s="7" t="str">
        <f>IF(_xlfn.XLOOKUP(E194,Groups!A:A,Groups!V:V)&lt;&gt;"No","Need a formula","No")</f>
        <v>No</v>
      </c>
      <c r="X194" s="7" t="s">
        <v>932</v>
      </c>
      <c r="Y194" s="4" t="s">
        <v>42</v>
      </c>
      <c r="Z194" s="4">
        <v>1</v>
      </c>
      <c r="AA194" s="4">
        <v>0</v>
      </c>
      <c r="AB194" s="4">
        <v>0</v>
      </c>
      <c r="AC194" s="4">
        <v>0</v>
      </c>
      <c r="AD194" s="4">
        <v>0</v>
      </c>
      <c r="AE194" s="4" t="s">
        <v>45</v>
      </c>
      <c r="AF194" s="4" t="s">
        <v>45</v>
      </c>
      <c r="AG194" s="49" t="s">
        <v>45</v>
      </c>
      <c r="AH194" s="4" t="str">
        <f>Animals!$C$105</f>
        <v>&lt;li&gt;Megaspider&lt;/li&gt;</v>
      </c>
      <c r="AI194" s="4">
        <v>0</v>
      </c>
      <c r="AJ194" s="4">
        <v>0</v>
      </c>
      <c r="AK194" s="4">
        <v>0</v>
      </c>
      <c r="AL194" s="4">
        <v>0</v>
      </c>
      <c r="AM194" s="4">
        <v>1</v>
      </c>
      <c r="AN194" s="44" t="s">
        <v>40</v>
      </c>
      <c r="AO194" s="8">
        <f t="shared" si="57"/>
        <v>6453.306570514339</v>
      </c>
      <c r="AP194" s="8">
        <f>IFERROR(C194*_xlfn.XLOOKUP(E194,Groups!A:A,Groups!K:K),0.106*C194^0.94)</f>
        <v>1.3515485432806338</v>
      </c>
      <c r="AQ194" s="8">
        <f>AP194*10000/(_xlfn.XLOOKUP(E194,Groups!A:A,Groups!J:J)*AO194)</f>
        <v>2.0943504364971042</v>
      </c>
      <c r="AR194" s="8">
        <f t="shared" si="58"/>
        <v>535.65484345622485</v>
      </c>
      <c r="AS194" s="8">
        <f>IF(_xlfn.XLOOKUP(E194,Groups!A:A,Groups!M:M)=1,EXP(0.7444*LN('Base stats'!C194)+6.5696),EXP(0.7927*LN('Base stats'!C194)+4.28))</f>
        <v>618.11306538043016</v>
      </c>
      <c r="AT194" s="8" t="str">
        <f>IF(_xlfn.XLOOKUP(E194,Groups!A:A,Groups!N:N)="No","No",
IF(_xlfn.XLOOKUP(E194,Groups!A:A,Groups!N:N)="Crocodile",EXP(0.8129*LN(C194)+4.6742)*S194,
IF(_xlfn.XLOOKUP(E194,Groups!A:A,Groups!N:N)="Felid",EXP(0.7843*LN(C194)+4.7073)*S194,
IF(_xlfn.XLOOKUP(E194,Groups!A:A,Groups!N:N)="Canid",EXP(0.8367*LN(C194)+4.8763)*S194,
IF(_xlfn.XLOOKUP(E194,Groups!A:A,Groups!N:N)="Pig",EXP(0.3439*LN(C194)+6.8519)*S194,
IF(_xlfn.XLOOKUP(E194,Groups!A:A,Groups!N:N)="Rodent",EXP(0.5625*LN(C194)+4.3006)*S194,
IF(_xlfn.XLOOKUP(E194,Groups!A:A,Groups!N:N)="Primate",EXP(0.7847*LN(C194)+3.4931)*S194,
IF(_xlfn.XLOOKUP(E194,Groups!A:A,Groups!N:N)="MiscCarnivora",EXP(0.7486*LN(C194)+4.2207)*S194,
IF(_xlfn.XLOOKUP(E194,Groups!A:A,Groups!N:N)="Lizard",EXP(0.7733*LN(C194)+5.5303)*S194,
IF(_xlfn.XLOOKUP(E194,Groups!A:A,Groups!N:N)="Snake",50*C194^(2/3)*S194,
IF(_xlfn.XLOOKUP(E194,Groups!A:A,Groups!N:N)="StrongBitingHerbivore",87.1133638856975*C194^(2/3)*S194,
IF(_xlfn.XLOOKUP(E194,Groups!A:A,Groups!N:N)="MiscEctotherms",59.4316884072269*C194^(2/3)*S194,
IF(_xlfn.XLOOKUP(E194,Groups!A:A,Groups!N:N)="StrongBeakBird",0.041*(C194*1000)^1.375*S194,
IF(_xlfn.XLOOKUP(E194,Groups!A:A,Groups!N:N)="Bird",0.118*(C194*1000)^0.692*S194,
IF(_xlfn.XLOOKUP(E194,Groups!A:A,Groups!N:N)="Insect",EXP(0.7444*LN(C194)+6.5696)*S194,
IF(_xlfn.XLOOKUP(E194,Groups!A:A,Groups!N:N)="Theropod",EXP(0.6966*LN(C194)+4.158)*S194,
"No"))))))))))))))))</f>
        <v>No</v>
      </c>
      <c r="AU194" s="8" t="str">
        <f>IF(_xlfn.XLOOKUP(E194,Groups!A:A,Groups!U:U)=3,AS194,IF(_xlfn.XLOOKUP(E194,Groups!A:A,Groups!U:U)=2,AR194,AT194))</f>
        <v>No</v>
      </c>
      <c r="AV194" s="46">
        <f>IFERROR(AVERAGE(_xlfn.XLOOKUP(B194,Animals!B:B,Animals!N:N),_xlfn.XLOOKUP(B194,Animals!B:B,Animals!O:O)),0)</f>
        <v>0</v>
      </c>
      <c r="AW194" s="8">
        <f>MROUND(40*Animals!AO194*_xlfn.XLOOKUP(AG194,Leathers!$A$2:$A$99,Leathers!$B$2:$B$99,0)+(140*_xlfn.XLOOKUP(B194,Animals!B:B,Animals!AO:AO)*2),5)</f>
        <v>140</v>
      </c>
      <c r="AX194" s="8">
        <f>IFERROR(ROUND(SQRT(V194-1)*IF(_xlfn.XLOOKUP(E194,Groups!A:A,Groups!BF:BF)=0,2,1)*IF(_xlfn.XLOOKUP('Base stats'!E194,Groups!A:A,Groups!O:O)=0,1,0.1),1),0)</f>
        <v>0</v>
      </c>
      <c r="AY194" s="8">
        <f t="shared" si="59"/>
        <v>0</v>
      </c>
      <c r="AZ194" s="8">
        <f t="shared" si="60"/>
        <v>0</v>
      </c>
      <c r="BA194" s="8">
        <f t="shared" si="61"/>
        <v>2</v>
      </c>
      <c r="BB194" s="8">
        <f>IF(_xlfn.XLOOKUP(E194,Groups!A:A,Groups!N:N)="Insect",BD194*2.5,IFERROR(AVERAGE(BD194,AT194/9.81/IF(OR(_xlfn.XLOOKUP(E194,Groups!A:A,Groups!N:N)="Pig",_xlfn.XLOOKUP(E194,Groups!A:A,Groups!N:N)="StrongBitingHerbivore"),20,25))*C194^-0.135,BD194))</f>
        <v>0.30203611563721933</v>
      </c>
      <c r="BC194" s="8" t="str">
        <f>IF(W194="No","No",IF(_xlfn.XLOOKUP(E194,Groups!A:A,Groups!U:U)=1,'Base stats'!BB194,IF(OR(_xlfn.XLOOKUP(E194,Groups!A:A,Groups!BD:BD)=1,_xlfn.XLOOKUP(E194,Groups!A:A,Groups!U:U)=2),BD194,IF(_xlfn.XLOOKUP(B194,Animals!B:B,Animals!AO:AO)&gt;4,AVERAGE(BD194,BF194),BF194))))</f>
        <v>No</v>
      </c>
      <c r="BD194" s="8">
        <f t="shared" si="62"/>
        <v>0.30203611563721933</v>
      </c>
      <c r="BE194" s="8">
        <f>IF(_xlfn.XLOOKUP(E194,Groups!A:A,Groups!BE:BE)=1,(0.048*C194^1.01)+(0.071*C194^1.03),0.071*C194^1.03)/IF(_xlfn.XLOOKUP(E194,Groups!A:A,Groups!M:M)=1,0.85,IF(OR(_xlfn.XLOOKUP(B194,Animals!B:B,Animals!AO:AO)&gt;4,_xlfn.XLOOKUP(E194,Groups!A:A,Groups!BC:BC)=1),1.7,1))*C194^-0.25</f>
        <v>0.34527140290058561</v>
      </c>
      <c r="BF194" s="8">
        <f>(0.048*C194^1.01)/IF(_xlfn.XLOOKUP(E194,Groups!A:A,Groups!M:M)=1,0.25,0.8)*C194^-0.25</f>
        <v>0.46987312669454345</v>
      </c>
      <c r="BG194" s="8">
        <f>EXP(1.076*LN(AR194)-4.5397)*IF(_xlfn.XLOOKUP(E194,Groups!A:A,Groups!BC:BC)=1,1.25,IF(_xlfn.XLOOKUP(E194,Groups!A:A,Groups!BD:BD)=1,3.5,2.5))</f>
        <v>11.524541402552655</v>
      </c>
      <c r="BH194" s="8">
        <f>EXP(1.076*LN(AS194)-4.5397)*IF(_xlfn.XLOOKUP(E194,Groups!A:A,Groups!M:M)=1,0.8,IF(_xlfn.XLOOKUP(E194,Groups!A:A,Groups!BC:BC)=1,1.3,3))</f>
        <v>13.981886701053329</v>
      </c>
      <c r="BI194" s="8" t="str">
        <f>IF(W194="No","No",IF(_xlfn.XLOOKUP(E194,Groups!A:A,Groups!U:U)=1,'Base stats'!BJ194,IF(OR(_xlfn.XLOOKUP(E194,Groups!A:A,Groups!BD:BD)=1,_xlfn.XLOOKUP(E194,Groups!A:A,Groups!U:U)=2),BG194,BH194))*1.2)</f>
        <v>No</v>
      </c>
      <c r="BJ194" s="8" t="str">
        <f>IFERROR(EXP(1.076*LN(AT194)-4.5397)*IF(_xlfn.XLOOKUP(E194,Groups!A:A,Groups!N:N)="Insect",1,IF(OR(_xlfn.XLOOKUP(E194,Groups!A:A,Groups!N:N)="Pig",_xlfn.XLOOKUP(E194,Groups!A:A,Groups!N:N)="StrongBitingHerbivore"),3.5,3.75)),"No")</f>
        <v>No</v>
      </c>
      <c r="BK194" s="8">
        <f t="shared" si="63"/>
        <v>8</v>
      </c>
      <c r="BL194" s="8">
        <f t="shared" si="64"/>
        <v>8</v>
      </c>
      <c r="BM194" s="8" t="str">
        <f t="shared" si="65"/>
        <v>No</v>
      </c>
      <c r="BN194" s="8" t="str">
        <f t="shared" si="66"/>
        <v>No</v>
      </c>
      <c r="BO194" s="8">
        <f t="shared" si="67"/>
        <v>7</v>
      </c>
      <c r="BP194" s="8" cm="1">
        <f t="array" ref="BP194">IF(AND(_xlfn.XLOOKUP('Base stats'!E194,Groups!A:A,Groups!AD:AD=0),_xlfn.XLOOKUP('Base stats'!E194,Groups!A:A,Groups!P:P=0)),"No",IF(U194="No",AVERAGE(EXP(-0.57+0.99*LN(C194)),EXP(0.32+0.67*LN(C194)))/IF(_xlfn.XLOOKUP(E194,Groups!A:A,Groups!AD:AD)=1,10,2),(0.7354*C194^0.4078)*2/IF(_xlfn.XLOOKUP(E194,Groups!A:A,Groups!BK:BK)=1,1000,100)/IF(_xlfn.XLOOKUP(E194,Groups!A:A,Groups!AJ:AJ)="Photonozoa",3,1)))</f>
        <v>0.8354081739002529</v>
      </c>
      <c r="BQ194" s="8" t="str">
        <f>IF(W194="No","No",IF(_xlfn.XLOOKUP(E194,Groups!A:A,Groups!BD:BD)=1,(AO194*5%),EXP(0.7354*LN(C194)^0.4078)*2/IF(_xlfn.XLOOKUP(E194,Groups!A:A,Groups!BL:BL)=1,1000,100)/IF(_xlfn.XLOOKUP(E194,Groups!A:A,Groups!AJ:AJ)="Photonozoa",3,1)))</f>
        <v>No</v>
      </c>
      <c r="BR194" s="8" t="str">
        <f>IF(BJ194="No","No",IF(_xlfn.XLOOKUP(E194,Groups!A:A,Groups!BF:BF)=1,(0.0315*C194+2.1825)*2,(0.7354*C194^0.4078)*2)/IF(_xlfn.XLOOKUP(E194,Groups!A:A,Groups!BM:BM)=1,1000,100)/IF(_xlfn.XLOOKUP(E194,Groups!A:A,Groups!AJ:AJ)="Photonozoa",3,1))</f>
        <v>No</v>
      </c>
      <c r="BS194" s="8">
        <f t="shared" si="68"/>
        <v>3.5716702055374784E-2</v>
      </c>
      <c r="BT194" s="8">
        <f t="shared" si="69"/>
        <v>16.736593126419127</v>
      </c>
      <c r="BU194" s="8" t="str">
        <f t="shared" si="70"/>
        <v>No</v>
      </c>
      <c r="BV194" s="8" t="str">
        <f t="shared" si="71"/>
        <v>No</v>
      </c>
      <c r="BW194" s="4">
        <v>0</v>
      </c>
      <c r="BX194" s="4">
        <v>1</v>
      </c>
    </row>
    <row r="195" spans="1:76" s="16" customFormat="1" x14ac:dyDescent="0.25">
      <c r="A195" s="26" t="s">
        <v>1332</v>
      </c>
      <c r="B195" s="6" t="s">
        <v>1335</v>
      </c>
      <c r="C195" s="7">
        <v>50</v>
      </c>
      <c r="D195" s="7" t="s">
        <v>528</v>
      </c>
      <c r="E195" s="7" t="str">
        <f>Groups!$A$89</f>
        <v>Goo</v>
      </c>
      <c r="F195" s="7" t="s">
        <v>1700</v>
      </c>
      <c r="G195" s="7" t="s">
        <v>1700</v>
      </c>
      <c r="H195" s="7">
        <v>3</v>
      </c>
      <c r="I195" s="4">
        <v>1</v>
      </c>
      <c r="J195" s="7" t="s">
        <v>1700</v>
      </c>
      <c r="K195" s="7" t="s">
        <v>528</v>
      </c>
      <c r="L195" s="7">
        <v>10</v>
      </c>
      <c r="M195" s="7" t="s">
        <v>528</v>
      </c>
      <c r="N195" s="4">
        <v>0</v>
      </c>
      <c r="O195" s="4">
        <v>0</v>
      </c>
      <c r="P195" s="4">
        <v>0</v>
      </c>
      <c r="Q195" s="4">
        <v>0</v>
      </c>
      <c r="R195" s="4" t="s">
        <v>40</v>
      </c>
      <c r="S195" s="7">
        <f>_xlfn.XLOOKUP(B195,[1]TeethAdjusters!$A:$A,[1]BiteAdjusters!$C:$C,1)</f>
        <v>1</v>
      </c>
      <c r="T195" s="7">
        <f>_xlfn.XLOOKUP(B195,[1]TeethAdjusters!$A:$A,[1]TeethAdjusters!$B:$B,1)</f>
        <v>1</v>
      </c>
      <c r="U195" s="7" t="s">
        <v>45</v>
      </c>
      <c r="V195" s="7" t="str">
        <f>IF(AT195="No","No",IF(_xlfn.XLOOKUP(E195,Groups!A:A,Groups!AM:AM)=1,MROUND(EXP(0.3582*LN(C195)-0.2221)*T195,0.05),IF(_xlfn.XLOOKUP(E195,Groups!A:A,Groups!AM:AM)=2,MROUND(EXP(0.3582*LN(C195)-0.2221)*T195,0.05),"Need a formula")))</f>
        <v>No</v>
      </c>
      <c r="W195" s="7" t="str">
        <f>IF(_xlfn.XLOOKUP(E195,Groups!A:A,Groups!V:V)&lt;&gt;"No","Need a formula","No")</f>
        <v>No</v>
      </c>
      <c r="X195" s="7" t="s">
        <v>932</v>
      </c>
      <c r="Y195" s="4" t="s">
        <v>42</v>
      </c>
      <c r="Z195" s="4">
        <v>1</v>
      </c>
      <c r="AA195" s="4">
        <v>0</v>
      </c>
      <c r="AB195" s="4">
        <v>0</v>
      </c>
      <c r="AC195" s="4">
        <v>0</v>
      </c>
      <c r="AD195" s="4">
        <v>0</v>
      </c>
      <c r="AE195" s="4" t="s">
        <v>45</v>
      </c>
      <c r="AF195" s="4" t="s">
        <v>45</v>
      </c>
      <c r="AG195" s="49" t="s">
        <v>45</v>
      </c>
      <c r="AH195" s="4" t="str">
        <f>Animals!$C$105</f>
        <v>&lt;li&gt;Megaspider&lt;/li&gt;</v>
      </c>
      <c r="AI195" s="4">
        <v>0</v>
      </c>
      <c r="AJ195" s="4">
        <v>0</v>
      </c>
      <c r="AK195" s="4">
        <v>0</v>
      </c>
      <c r="AL195" s="4">
        <v>0</v>
      </c>
      <c r="AM195" s="4">
        <v>1</v>
      </c>
      <c r="AN195" s="44" t="s">
        <v>40</v>
      </c>
      <c r="AO195" s="8">
        <f t="shared" ref="AO195:AO258" si="89">(0.111*C195^0.65)*10000</f>
        <v>14114.109472474363</v>
      </c>
      <c r="AP195" s="8">
        <f>IFERROR(C195*_xlfn.XLOOKUP(E195,Groups!A:A,Groups!K:K),0.106*C195^0.94)</f>
        <v>4.1911930892219962</v>
      </c>
      <c r="AQ195" s="8">
        <f>AP195*10000/(_xlfn.XLOOKUP(E195,Groups!A:A,Groups!J:J)*AO195)</f>
        <v>2.9695058674411943</v>
      </c>
      <c r="AR195" s="8">
        <f t="shared" ref="AR195:AR258" si="90">EXP(0.8447*LN(C195)+3.996)</f>
        <v>1481.019280401604</v>
      </c>
      <c r="AS195" s="8">
        <f>IF(_xlfn.XLOOKUP(E195,Groups!A:A,Groups!M:M)=1,EXP(0.7444*LN('Base stats'!C195)+6.5696),EXP(0.7927*LN('Base stats'!C195)+4.28))</f>
        <v>1605.2914958133745</v>
      </c>
      <c r="AT195" s="8" t="str">
        <f>IF(_xlfn.XLOOKUP(E195,Groups!A:A,Groups!N:N)="No","No",
IF(_xlfn.XLOOKUP(E195,Groups!A:A,Groups!N:N)="Crocodile",EXP(0.8129*LN(C195)+4.6742)*S195,
IF(_xlfn.XLOOKUP(E195,Groups!A:A,Groups!N:N)="Felid",EXP(0.7843*LN(C195)+4.7073)*S195,
IF(_xlfn.XLOOKUP(E195,Groups!A:A,Groups!N:N)="Canid",EXP(0.8367*LN(C195)+4.8763)*S195,
IF(_xlfn.XLOOKUP(E195,Groups!A:A,Groups!N:N)="Pig",EXP(0.3439*LN(C195)+6.8519)*S195,
IF(_xlfn.XLOOKUP(E195,Groups!A:A,Groups!N:N)="Rodent",EXP(0.5625*LN(C195)+4.3006)*S195,
IF(_xlfn.XLOOKUP(E195,Groups!A:A,Groups!N:N)="Primate",EXP(0.7847*LN(C195)+3.4931)*S195,
IF(_xlfn.XLOOKUP(E195,Groups!A:A,Groups!N:N)="MiscCarnivora",EXP(0.7486*LN(C195)+4.2207)*S195,
IF(_xlfn.XLOOKUP(E195,Groups!A:A,Groups!N:N)="Lizard",EXP(0.7733*LN(C195)+5.5303)*S195,
IF(_xlfn.XLOOKUP(E195,Groups!A:A,Groups!N:N)="Snake",50*C195^(2/3)*S195,
IF(_xlfn.XLOOKUP(E195,Groups!A:A,Groups!N:N)="StrongBitingHerbivore",87.1133638856975*C195^(2/3)*S195,
IF(_xlfn.XLOOKUP(E195,Groups!A:A,Groups!N:N)="MiscEctotherms",59.4316884072269*C195^(2/3)*S195,
IF(_xlfn.XLOOKUP(E195,Groups!A:A,Groups!N:N)="StrongBeakBird",0.041*(C195*1000)^1.375*S195,
IF(_xlfn.XLOOKUP(E195,Groups!A:A,Groups!N:N)="Bird",0.118*(C195*1000)^0.692*S195,
IF(_xlfn.XLOOKUP(E195,Groups!A:A,Groups!N:N)="Insect",EXP(0.7444*LN(C195)+6.5696)*S195,
IF(_xlfn.XLOOKUP(E195,Groups!A:A,Groups!N:N)="Theropod",EXP(0.6966*LN(C195)+4.158)*S195,
"No"))))))))))))))))</f>
        <v>No</v>
      </c>
      <c r="AU195" s="8" t="str">
        <f>IF(_xlfn.XLOOKUP(E195,Groups!A:A,Groups!U:U)=3,AS195,IF(_xlfn.XLOOKUP(E195,Groups!A:A,Groups!U:U)=2,AR195,AT195))</f>
        <v>No</v>
      </c>
      <c r="AV195" s="46">
        <f>IFERROR(AVERAGE(_xlfn.XLOOKUP(B195,Animals!B:B,Animals!N:N),_xlfn.XLOOKUP(B195,Animals!B:B,Animals!O:O)),0)</f>
        <v>0</v>
      </c>
      <c r="AW195" s="8">
        <f>MROUND(40*Animals!AO195*_xlfn.XLOOKUP(AG195,Leathers!$A$2:$A$99,Leathers!$B$2:$B$99,0)+(140*_xlfn.XLOOKUP(B195,Animals!B:B,Animals!AO:AO)*2),5)</f>
        <v>240</v>
      </c>
      <c r="AX195" s="8">
        <f>IFERROR(ROUND(SQRT(V195-1)*IF(_xlfn.XLOOKUP(E195,Groups!A:A,Groups!BF:BF)=0,2,1)*IF(_xlfn.XLOOKUP('Base stats'!E195,Groups!A:A,Groups!O:O)=0,1,0.1),1),0)</f>
        <v>0</v>
      </c>
      <c r="AY195" s="8">
        <f t="shared" ref="AY195:AY258" si="91">IFERROR(ROUND(SQRT(U195-1),1),0)</f>
        <v>0</v>
      </c>
      <c r="AZ195" s="8">
        <f t="shared" ref="AZ195:AZ258" si="92">IFERROR(ROUND(SQRT(W195),1),0)</f>
        <v>0</v>
      </c>
      <c r="BA195" s="8">
        <f t="shared" ref="BA195:BA258" si="93">ROUND(
  EXP(0.3582*LN(C195)-0.2221) *
  (0.75 + 0.25*(C195^4/(C195^4+10^4))),
1)</f>
        <v>3.3</v>
      </c>
      <c r="BB195" s="8">
        <f>IF(_xlfn.XLOOKUP(E195,Groups!A:A,Groups!N:N)="Insect",BD195*2.5,IFERROR(AVERAGE(BD195,AT195/9.81/IF(OR(_xlfn.XLOOKUP(E195,Groups!A:A,Groups!N:N)="Pig",_xlfn.XLOOKUP(E195,Groups!A:A,Groups!N:N)="StrongBitingHerbivore"),20,25))*C195^-0.135,BD195))</f>
        <v>0.74870278790389155</v>
      </c>
      <c r="BC195" s="8" t="str">
        <f>IF(W195="No","No",IF(_xlfn.XLOOKUP(E195,Groups!A:A,Groups!U:U)=1,'Base stats'!BB195,IF(OR(_xlfn.XLOOKUP(E195,Groups!A:A,Groups!BD:BD)=1,_xlfn.XLOOKUP(E195,Groups!A:A,Groups!U:U)=2),BD195,IF(_xlfn.XLOOKUP(B195,Animals!B:B,Animals!AO:AO)&gt;4,AVERAGE(BD195,BF195),BF195))))</f>
        <v>No</v>
      </c>
      <c r="BD195" s="8">
        <f t="shared" ref="BD195:BD258" si="94">(0.0392*C195^IF(OR(Y195="Herbivore",Y195="Dendrovore",Y195="OmnivoreRough"),0.889,0.966))*C195^-0.135</f>
        <v>0.74870278790389155</v>
      </c>
      <c r="BE195" s="8">
        <f>IF(_xlfn.XLOOKUP(E195,Groups!A:A,Groups!BE:BE)=1,(0.048*C195^1.01)+(0.071*C195^1.03),0.071*C195^1.03)/IF(_xlfn.XLOOKUP(E195,Groups!A:A,Groups!M:M)=1,0.85,IF(OR(_xlfn.XLOOKUP(B195,Animals!B:B,Animals!AO:AO)&gt;4,_xlfn.XLOOKUP(E195,Groups!A:A,Groups!BC:BC)=1),1.7,1))*C195^-0.25</f>
        <v>0.88309216317430306</v>
      </c>
      <c r="BF195" s="8">
        <f>(0.048*C195^1.01)/IF(_xlfn.XLOOKUP(E195,Groups!A:A,Groups!M:M)=1,0.25,0.8)*C195^-0.25</f>
        <v>1.1731902733256112</v>
      </c>
      <c r="BG195" s="8">
        <f>EXP(1.076*LN(AR195)-4.5397)*IF(_xlfn.XLOOKUP(E195,Groups!A:A,Groups!BC:BC)=1,1.25,IF(_xlfn.XLOOKUP(E195,Groups!A:A,Groups!BD:BD)=1,3.5,2.5))</f>
        <v>34.42442382219248</v>
      </c>
      <c r="BH195" s="8">
        <f>EXP(1.076*LN(AS195)-4.5397)*IF(_xlfn.XLOOKUP(E195,Groups!A:A,Groups!M:M)=1,0.8,IF(_xlfn.XLOOKUP(E195,Groups!A:A,Groups!BC:BC)=1,1.3,3))</f>
        <v>39.043855300247856</v>
      </c>
      <c r="BI195" s="8" t="str">
        <f>IF(W195="No","No",IF(_xlfn.XLOOKUP(E195,Groups!A:A,Groups!U:U)=1,'Base stats'!BJ195,IF(OR(_xlfn.XLOOKUP(E195,Groups!A:A,Groups!BD:BD)=1,_xlfn.XLOOKUP(E195,Groups!A:A,Groups!U:U)=2),BG195,BH195))*1.2)</f>
        <v>No</v>
      </c>
      <c r="BJ195" s="8" t="str">
        <f>IFERROR(EXP(1.076*LN(AT195)-4.5397)*IF(_xlfn.XLOOKUP(E195,Groups!A:A,Groups!N:N)="Insect",1,IF(OR(_xlfn.XLOOKUP(E195,Groups!A:A,Groups!N:N)="Pig",_xlfn.XLOOKUP(E195,Groups!A:A,Groups!N:N)="StrongBitingHerbivore"),3.5,3.75)),"No")</f>
        <v>No</v>
      </c>
      <c r="BK195" s="8">
        <f t="shared" ref="BK195:BK258" si="95">ROUNDDOWN(SQRT((2*BG195)/BD195),0)</f>
        <v>9</v>
      </c>
      <c r="BL195" s="8">
        <f t="shared" ref="BL195:BL258" si="96">ROUNDDOWN(SQRT((2*BH195)/BE195),0)</f>
        <v>9</v>
      </c>
      <c r="BM195" s="8" t="str">
        <f t="shared" ref="BM195:BM258" si="97">IF(W195="No","No",ROUNDDOWN(SQRT((2*BI195)/BC195),0))</f>
        <v>No</v>
      </c>
      <c r="BN195" s="8" t="str">
        <f t="shared" ref="BN195:BN258" si="98">IF(V195="No","No",ROUNDDOWN(SQRT((2*BJ195)/BB195),0))</f>
        <v>No</v>
      </c>
      <c r="BO195" s="8">
        <f t="shared" ref="BO195:BO258" si="99">ROUNDDOWN(SQRT((2*BH195)/BF195),0)</f>
        <v>8</v>
      </c>
      <c r="BP195" s="8" cm="1">
        <f t="array" ref="BP195">IF(AND(_xlfn.XLOOKUP('Base stats'!E195,Groups!A:A,Groups!AD:AD=0),_xlfn.XLOOKUP('Base stats'!E195,Groups!A:A,Groups!P:P=0)),"No",IF(U195="No",AVERAGE(EXP(-0.57+0.99*LN(C195)),EXP(0.32+0.67*LN(C195)))/IF(_xlfn.XLOOKUP(E195,Groups!A:A,Groups!AD:AD)=1,10,2),(0.7354*C195^0.4078)*2/IF(_xlfn.XLOOKUP(E195,Groups!A:A,Groups!BK:BK)=1,1000,100)/IF(_xlfn.XLOOKUP(E195,Groups!A:A,Groups!AJ:AJ)="Photonozoa",3,1)))</f>
        <v>2.3063638026043094</v>
      </c>
      <c r="BQ195" s="8" t="str">
        <f>IF(W195="No","No",IF(_xlfn.XLOOKUP(E195,Groups!A:A,Groups!BD:BD)=1,(AO195*5%),EXP(0.7354*LN(C195)^0.4078)*2/IF(_xlfn.XLOOKUP(E195,Groups!A:A,Groups!BL:BL)=1,1000,100)/IF(_xlfn.XLOOKUP(E195,Groups!A:A,Groups!AJ:AJ)="Photonozoa",3,1)))</f>
        <v>No</v>
      </c>
      <c r="BR195" s="8" t="str">
        <f>IF(BJ195="No","No",IF(_xlfn.XLOOKUP(E195,Groups!A:A,Groups!BF:BF)=1,(0.0315*C195+2.1825)*2,(0.7354*C195^0.4078)*2)/IF(_xlfn.XLOOKUP(E195,Groups!A:A,Groups!BM:BM)=1,1000,100)/IF(_xlfn.XLOOKUP(E195,Groups!A:A,Groups!AJ:AJ)="Photonozoa",3,1))</f>
        <v>No</v>
      </c>
      <c r="BS195" s="8">
        <f t="shared" ref="BS195:BS258" si="100">BG195/(AO195*5%)</f>
        <v>4.8780157032688065E-2</v>
      </c>
      <c r="BT195" s="8">
        <f t="shared" ref="BT195:BT258" si="101">IF(BP195="No","No",BH195/BP195)</f>
        <v>16.928749599763989</v>
      </c>
      <c r="BU195" s="8" t="str">
        <f t="shared" ref="BU195:BU258" si="102">IF(W195="No","No",BI195/BQ195)</f>
        <v>No</v>
      </c>
      <c r="BV195" s="8" t="str">
        <f t="shared" ref="BV195:BV258" si="103">IF(BJ195="No","No",BJ195/BR195)</f>
        <v>No</v>
      </c>
      <c r="BW195" s="4">
        <v>0</v>
      </c>
      <c r="BX195" s="4">
        <v>1</v>
      </c>
    </row>
    <row r="196" spans="1:76" s="16" customFormat="1" x14ac:dyDescent="0.25">
      <c r="A196" s="26" t="s">
        <v>1333</v>
      </c>
      <c r="B196" s="6" t="s">
        <v>1336</v>
      </c>
      <c r="C196" s="7">
        <v>350</v>
      </c>
      <c r="D196" s="7" t="s">
        <v>528</v>
      </c>
      <c r="E196" s="7" t="str">
        <f>Groups!$A$89</f>
        <v>Goo</v>
      </c>
      <c r="F196" s="7" t="s">
        <v>1700</v>
      </c>
      <c r="G196" s="7" t="s">
        <v>1700</v>
      </c>
      <c r="H196" s="7">
        <v>3</v>
      </c>
      <c r="I196" s="4">
        <v>1</v>
      </c>
      <c r="J196" s="7" t="s">
        <v>1700</v>
      </c>
      <c r="K196" s="7" t="s">
        <v>528</v>
      </c>
      <c r="L196" s="7">
        <v>10</v>
      </c>
      <c r="M196" s="7" t="s">
        <v>528</v>
      </c>
      <c r="N196" s="4">
        <v>0</v>
      </c>
      <c r="O196" s="4">
        <v>0</v>
      </c>
      <c r="P196" s="4">
        <v>0</v>
      </c>
      <c r="Q196" s="4">
        <v>0</v>
      </c>
      <c r="R196" s="4" t="s">
        <v>40</v>
      </c>
      <c r="S196" s="7">
        <f>_xlfn.XLOOKUP(B196,[1]TeethAdjusters!$A:$A,[1]BiteAdjusters!$C:$C,1)</f>
        <v>1</v>
      </c>
      <c r="T196" s="7">
        <f>_xlfn.XLOOKUP(B196,[1]TeethAdjusters!$A:$A,[1]TeethAdjusters!$B:$B,1)</f>
        <v>1</v>
      </c>
      <c r="U196" s="7" t="s">
        <v>45</v>
      </c>
      <c r="V196" s="7" t="str">
        <f>IF(AT196="No","No",IF(_xlfn.XLOOKUP(E196,Groups!A:A,Groups!AM:AM)=1,MROUND(EXP(0.3582*LN(C196)-0.2221)*T196,0.05),IF(_xlfn.XLOOKUP(E196,Groups!A:A,Groups!AM:AM)=2,MROUND(EXP(0.3582*LN(C196)-0.2221)*T196,0.05),"Need a formula")))</f>
        <v>No</v>
      </c>
      <c r="W196" s="7" t="str">
        <f>IF(_xlfn.XLOOKUP(E196,Groups!A:A,Groups!V:V)&lt;&gt;"No","Need a formula","No")</f>
        <v>No</v>
      </c>
      <c r="X196" s="7" t="s">
        <v>932</v>
      </c>
      <c r="Y196" s="4" t="s">
        <v>42</v>
      </c>
      <c r="Z196" s="4">
        <v>1</v>
      </c>
      <c r="AA196" s="4">
        <v>0</v>
      </c>
      <c r="AB196" s="4">
        <v>0</v>
      </c>
      <c r="AC196" s="4">
        <v>0</v>
      </c>
      <c r="AD196" s="4">
        <v>0</v>
      </c>
      <c r="AE196" s="4" t="s">
        <v>45</v>
      </c>
      <c r="AF196" s="4" t="s">
        <v>45</v>
      </c>
      <c r="AG196" s="49" t="s">
        <v>45</v>
      </c>
      <c r="AH196" s="4" t="str">
        <f>Animals!$C$105</f>
        <v>&lt;li&gt;Megaspider&lt;/li&gt;</v>
      </c>
      <c r="AI196" s="4">
        <v>0</v>
      </c>
      <c r="AJ196" s="4">
        <v>0</v>
      </c>
      <c r="AK196" s="4">
        <v>0</v>
      </c>
      <c r="AL196" s="4">
        <v>0</v>
      </c>
      <c r="AM196" s="4">
        <v>1</v>
      </c>
      <c r="AN196" s="44" t="s">
        <v>40</v>
      </c>
      <c r="AO196" s="8">
        <f t="shared" si="89"/>
        <v>49999.678016554004</v>
      </c>
      <c r="AP196" s="8">
        <f>IFERROR(C196*_xlfn.XLOOKUP(E196,Groups!A:A,Groups!K:K),0.106*C196^0.94)</f>
        <v>26.105368435044046</v>
      </c>
      <c r="AQ196" s="8">
        <f>AP196*10000/(_xlfn.XLOOKUP(E196,Groups!A:A,Groups!J:J)*AO196)</f>
        <v>5.2211073092112761</v>
      </c>
      <c r="AR196" s="8">
        <f t="shared" si="90"/>
        <v>7663.2858706487614</v>
      </c>
      <c r="AS196" s="8">
        <f>IF(_xlfn.XLOOKUP(E196,Groups!A:A,Groups!M:M)=1,EXP(0.7444*LN('Base stats'!C196)+6.5696),EXP(0.7927*LN('Base stats'!C196)+4.28))</f>
        <v>7506.9430520091801</v>
      </c>
      <c r="AT196" s="8" t="str">
        <f>IF(_xlfn.XLOOKUP(E196,Groups!A:A,Groups!N:N)="No","No",
IF(_xlfn.XLOOKUP(E196,Groups!A:A,Groups!N:N)="Crocodile",EXP(0.8129*LN(C196)+4.6742)*S196,
IF(_xlfn.XLOOKUP(E196,Groups!A:A,Groups!N:N)="Felid",EXP(0.7843*LN(C196)+4.7073)*S196,
IF(_xlfn.XLOOKUP(E196,Groups!A:A,Groups!N:N)="Canid",EXP(0.8367*LN(C196)+4.8763)*S196,
IF(_xlfn.XLOOKUP(E196,Groups!A:A,Groups!N:N)="Pig",EXP(0.3439*LN(C196)+6.8519)*S196,
IF(_xlfn.XLOOKUP(E196,Groups!A:A,Groups!N:N)="Rodent",EXP(0.5625*LN(C196)+4.3006)*S196,
IF(_xlfn.XLOOKUP(E196,Groups!A:A,Groups!N:N)="Primate",EXP(0.7847*LN(C196)+3.4931)*S196,
IF(_xlfn.XLOOKUP(E196,Groups!A:A,Groups!N:N)="MiscCarnivora",EXP(0.7486*LN(C196)+4.2207)*S196,
IF(_xlfn.XLOOKUP(E196,Groups!A:A,Groups!N:N)="Lizard",EXP(0.7733*LN(C196)+5.5303)*S196,
IF(_xlfn.XLOOKUP(E196,Groups!A:A,Groups!N:N)="Snake",50*C196^(2/3)*S196,
IF(_xlfn.XLOOKUP(E196,Groups!A:A,Groups!N:N)="StrongBitingHerbivore",87.1133638856975*C196^(2/3)*S196,
IF(_xlfn.XLOOKUP(E196,Groups!A:A,Groups!N:N)="MiscEctotherms",59.4316884072269*C196^(2/3)*S196,
IF(_xlfn.XLOOKUP(E196,Groups!A:A,Groups!N:N)="StrongBeakBird",0.041*(C196*1000)^1.375*S196,
IF(_xlfn.XLOOKUP(E196,Groups!A:A,Groups!N:N)="Bird",0.118*(C196*1000)^0.692*S196,
IF(_xlfn.XLOOKUP(E196,Groups!A:A,Groups!N:N)="Insect",EXP(0.7444*LN(C196)+6.5696)*S196,
IF(_xlfn.XLOOKUP(E196,Groups!A:A,Groups!N:N)="Theropod",EXP(0.6966*LN(C196)+4.158)*S196,
"No"))))))))))))))))</f>
        <v>No</v>
      </c>
      <c r="AU196" s="8" t="str">
        <f>IF(_xlfn.XLOOKUP(E196,Groups!A:A,Groups!U:U)=3,AS196,IF(_xlfn.XLOOKUP(E196,Groups!A:A,Groups!U:U)=2,AR196,AT196))</f>
        <v>No</v>
      </c>
      <c r="AV196" s="46">
        <f>IFERROR(AVERAGE(_xlfn.XLOOKUP(B196,Animals!B:B,Animals!N:N),_xlfn.XLOOKUP(B196,Animals!B:B,Animals!O:O)),0)</f>
        <v>0</v>
      </c>
      <c r="AW196" s="8">
        <f>MROUND(40*Animals!AO196*_xlfn.XLOOKUP(AG196,Leathers!$A$2:$A$99,Leathers!$B$2:$B$99,0)+(140*_xlfn.XLOOKUP(B196,Animals!B:B,Animals!AO:AO)*2),5)</f>
        <v>700</v>
      </c>
      <c r="AX196" s="8">
        <f>IFERROR(ROUND(SQRT(V196-1)*IF(_xlfn.XLOOKUP(E196,Groups!A:A,Groups!BF:BF)=0,2,1)*IF(_xlfn.XLOOKUP('Base stats'!E196,Groups!A:A,Groups!O:O)=0,1,0.1),1),0)</f>
        <v>0</v>
      </c>
      <c r="AY196" s="8">
        <f t="shared" si="91"/>
        <v>0</v>
      </c>
      <c r="AZ196" s="8">
        <f t="shared" si="92"/>
        <v>0</v>
      </c>
      <c r="BA196" s="8">
        <f t="shared" si="93"/>
        <v>6.5</v>
      </c>
      <c r="BB196" s="8">
        <f>IF(_xlfn.XLOOKUP(E196,Groups!A:A,Groups!N:N)="Insect",BD196*2.5,IFERROR(AVERAGE(BD196,AT196/9.81/IF(OR(_xlfn.XLOOKUP(E196,Groups!A:A,Groups!N:N)="Pig",_xlfn.XLOOKUP(E196,Groups!A:A,Groups!N:N)="StrongBitingHerbivore"),20,25))*C196^-0.135,BD196))</f>
        <v>3.2472324064132327</v>
      </c>
      <c r="BC196" s="8" t="str">
        <f>IF(W196="No","No",IF(_xlfn.XLOOKUP(E196,Groups!A:A,Groups!U:U)=1,'Base stats'!BB196,IF(OR(_xlfn.XLOOKUP(E196,Groups!A:A,Groups!BD:BD)=1,_xlfn.XLOOKUP(E196,Groups!A:A,Groups!U:U)=2),BD196,IF(_xlfn.XLOOKUP(B196,Animals!B:B,Animals!AO:AO)&gt;4,AVERAGE(BD196,BF196),BF196))))</f>
        <v>No</v>
      </c>
      <c r="BD196" s="8">
        <f t="shared" si="94"/>
        <v>3.2472324064132327</v>
      </c>
      <c r="BE196" s="8">
        <f>IF(_xlfn.XLOOKUP(E196,Groups!A:A,Groups!BE:BE)=1,(0.048*C196^1.01)+(0.071*C196^1.03),0.071*C196^1.03)/IF(_xlfn.XLOOKUP(E196,Groups!A:A,Groups!M:M)=1,0.85,IF(OR(_xlfn.XLOOKUP(B196,Animals!B:B,Animals!AO:AO)&gt;4,_xlfn.XLOOKUP(E196,Groups!A:A,Groups!BC:BC)=1),1.7,1))*C196^-0.25</f>
        <v>4.0288630215054066</v>
      </c>
      <c r="BF196" s="8">
        <f>(0.048*C196^1.01)/IF(_xlfn.XLOOKUP(E196,Groups!A:A,Groups!M:M)=1,0.25,0.8)*C196^-0.25</f>
        <v>5.1480524630900852</v>
      </c>
      <c r="BG196" s="8">
        <f>EXP(1.076*LN(AR196)-4.5397)*IF(_xlfn.XLOOKUP(E196,Groups!A:A,Groups!BC:BC)=1,1.25,IF(_xlfn.XLOOKUP(E196,Groups!A:A,Groups!BD:BD)=1,3.5,2.5))</f>
        <v>201.82451722111298</v>
      </c>
      <c r="BH196" s="8">
        <f>EXP(1.076*LN(AS196)-4.5397)*IF(_xlfn.XLOOKUP(E196,Groups!A:A,Groups!M:M)=1,0.8,IF(_xlfn.XLOOKUP(E196,Groups!A:A,Groups!BC:BC)=1,1.3,3))</f>
        <v>205.29341130609819</v>
      </c>
      <c r="BI196" s="8" t="str">
        <f>IF(W196="No","No",IF(_xlfn.XLOOKUP(E196,Groups!A:A,Groups!U:U)=1,'Base stats'!BJ196,IF(OR(_xlfn.XLOOKUP(E196,Groups!A:A,Groups!BD:BD)=1,_xlfn.XLOOKUP(E196,Groups!A:A,Groups!U:U)=2),BG196,BH196))*1.2)</f>
        <v>No</v>
      </c>
      <c r="BJ196" s="8" t="str">
        <f>IFERROR(EXP(1.076*LN(AT196)-4.5397)*IF(_xlfn.XLOOKUP(E196,Groups!A:A,Groups!N:N)="Insect",1,IF(OR(_xlfn.XLOOKUP(E196,Groups!A:A,Groups!N:N)="Pig",_xlfn.XLOOKUP(E196,Groups!A:A,Groups!N:N)="StrongBitingHerbivore"),3.5,3.75)),"No")</f>
        <v>No</v>
      </c>
      <c r="BK196" s="8">
        <f t="shared" si="95"/>
        <v>11</v>
      </c>
      <c r="BL196" s="8">
        <f t="shared" si="96"/>
        <v>10</v>
      </c>
      <c r="BM196" s="8" t="str">
        <f t="shared" si="97"/>
        <v>No</v>
      </c>
      <c r="BN196" s="8" t="str">
        <f t="shared" si="98"/>
        <v>No</v>
      </c>
      <c r="BO196" s="8">
        <f t="shared" si="99"/>
        <v>8</v>
      </c>
      <c r="BP196" s="8" cm="1">
        <f t="array" ref="BP196">IF(AND(_xlfn.XLOOKUP('Base stats'!E196,Groups!A:A,Groups!AD:AD=0),_xlfn.XLOOKUP('Base stats'!E196,Groups!A:A,Groups!P:P=0)),"No",IF(U196="No",AVERAGE(EXP(-0.57+0.99*LN(C196)),EXP(0.32+0.67*LN(C196)))/IF(_xlfn.XLOOKUP(E196,Groups!A:A,Groups!AD:AD)=1,10,2),(0.7354*C196^0.4078)*2/IF(_xlfn.XLOOKUP(E196,Groups!A:A,Groups!BK:BK)=1,1000,100)/IF(_xlfn.XLOOKUP(E196,Groups!A:A,Groups!AJ:AJ)="Photonozoa",3,1)))</f>
        <v>12.820750634817964</v>
      </c>
      <c r="BQ196" s="8" t="str">
        <f>IF(W196="No","No",IF(_xlfn.XLOOKUP(E196,Groups!A:A,Groups!BD:BD)=1,(AO196*5%),EXP(0.7354*LN(C196)^0.4078)*2/IF(_xlfn.XLOOKUP(E196,Groups!A:A,Groups!BL:BL)=1,1000,100)/IF(_xlfn.XLOOKUP(E196,Groups!A:A,Groups!AJ:AJ)="Photonozoa",3,1)))</f>
        <v>No</v>
      </c>
      <c r="BR196" s="8" t="str">
        <f>IF(BJ196="No","No",IF(_xlfn.XLOOKUP(E196,Groups!A:A,Groups!BF:BF)=1,(0.0315*C196+2.1825)*2,(0.7354*C196^0.4078)*2)/IF(_xlfn.XLOOKUP(E196,Groups!A:A,Groups!BM:BM)=1,1000,100)/IF(_xlfn.XLOOKUP(E196,Groups!A:A,Groups!AJ:AJ)="Photonozoa",3,1))</f>
        <v>No</v>
      </c>
      <c r="BS196" s="8">
        <f t="shared" si="100"/>
        <v>8.0730326765021357E-2</v>
      </c>
      <c r="BT196" s="8">
        <f t="shared" si="101"/>
        <v>16.012589056101945</v>
      </c>
      <c r="BU196" s="8" t="str">
        <f t="shared" si="102"/>
        <v>No</v>
      </c>
      <c r="BV196" s="8" t="str">
        <f t="shared" si="103"/>
        <v>No</v>
      </c>
      <c r="BW196" s="4">
        <v>0</v>
      </c>
      <c r="BX196" s="4">
        <v>1</v>
      </c>
    </row>
    <row r="197" spans="1:76" s="16" customFormat="1" x14ac:dyDescent="0.25">
      <c r="A197" s="26" t="s">
        <v>1584</v>
      </c>
      <c r="B197" s="6" t="s">
        <v>1690</v>
      </c>
      <c r="C197" s="7">
        <v>500</v>
      </c>
      <c r="D197" s="7" t="s">
        <v>528</v>
      </c>
      <c r="E197" s="7" t="str">
        <f>Groups!$A$89</f>
        <v>Goo</v>
      </c>
      <c r="F197" s="7" t="s">
        <v>1700</v>
      </c>
      <c r="G197" s="7" t="s">
        <v>1700</v>
      </c>
      <c r="H197" s="7">
        <v>3</v>
      </c>
      <c r="I197" s="4">
        <v>1</v>
      </c>
      <c r="J197" s="7" t="s">
        <v>1700</v>
      </c>
      <c r="K197" s="7" t="s">
        <v>528</v>
      </c>
      <c r="L197" s="7">
        <v>10</v>
      </c>
      <c r="M197" s="7" t="s">
        <v>528</v>
      </c>
      <c r="N197" s="4">
        <v>0</v>
      </c>
      <c r="O197" s="4">
        <v>0</v>
      </c>
      <c r="P197" s="4">
        <v>0</v>
      </c>
      <c r="Q197" s="4">
        <v>0</v>
      </c>
      <c r="R197" s="4" t="s">
        <v>40</v>
      </c>
      <c r="S197" s="7">
        <f>_xlfn.XLOOKUP(B197,[1]TeethAdjusters!$A:$A,[1]BiteAdjusters!$C:$C,1)</f>
        <v>1</v>
      </c>
      <c r="T197" s="7">
        <f>_xlfn.XLOOKUP(B197,[1]TeethAdjusters!$A:$A,[1]TeethAdjusters!$B:$B,1)</f>
        <v>1</v>
      </c>
      <c r="U197" s="7" t="s">
        <v>45</v>
      </c>
      <c r="V197" s="7" t="str">
        <f>IF(AT197="No","No",IF(_xlfn.XLOOKUP(E197,Groups!A:A,Groups!AM:AM)=1,MROUND(EXP(0.3582*LN(C197)-0.2221)*T197,0.05),IF(_xlfn.XLOOKUP(E197,Groups!A:A,Groups!AM:AM)=2,MROUND(EXP(0.3582*LN(C197)-0.2221)*T197,0.05),"Need a formula")))</f>
        <v>No</v>
      </c>
      <c r="W197" s="7" t="str">
        <f>IF(_xlfn.XLOOKUP(E197,Groups!A:A,Groups!V:V)&lt;&gt;"No","Need a formula","No")</f>
        <v>No</v>
      </c>
      <c r="X197" s="7" t="s">
        <v>932</v>
      </c>
      <c r="Y197" s="4" t="s">
        <v>42</v>
      </c>
      <c r="Z197" s="4">
        <v>1</v>
      </c>
      <c r="AA197" s="4">
        <v>0</v>
      </c>
      <c r="AB197" s="4">
        <v>0</v>
      </c>
      <c r="AC197" s="4">
        <v>0</v>
      </c>
      <c r="AD197" s="4">
        <v>0</v>
      </c>
      <c r="AE197" s="4" t="s">
        <v>45</v>
      </c>
      <c r="AF197" s="4" t="s">
        <v>45</v>
      </c>
      <c r="AG197" s="49" t="s">
        <v>45</v>
      </c>
      <c r="AH197" s="4" t="str">
        <f>Animals!$C$105</f>
        <v>&lt;li&gt;Megaspider&lt;/li&gt;</v>
      </c>
      <c r="AI197" s="4">
        <v>0</v>
      </c>
      <c r="AJ197" s="4">
        <v>0</v>
      </c>
      <c r="AK197" s="4">
        <v>0</v>
      </c>
      <c r="AL197" s="4">
        <v>0</v>
      </c>
      <c r="AM197" s="4">
        <v>1</v>
      </c>
      <c r="AN197" s="44" t="s">
        <v>40</v>
      </c>
      <c r="AO197" s="8">
        <f t="shared" si="89"/>
        <v>63045.411191767809</v>
      </c>
      <c r="AP197" s="8">
        <f>IFERROR(C197*_xlfn.XLOOKUP(E197,Groups!A:A,Groups!K:K),0.106*C197^0.94)</f>
        <v>36.503765791879047</v>
      </c>
      <c r="AQ197" s="8">
        <f>AP197*10000/(_xlfn.XLOOKUP(E197,Groups!A:A,Groups!J:J)*AO197)</f>
        <v>5.7900749795800444</v>
      </c>
      <c r="AR197" s="8">
        <f t="shared" si="90"/>
        <v>10357.637618796818</v>
      </c>
      <c r="AS197" s="8">
        <f>IF(_xlfn.XLOOKUP(E197,Groups!A:A,Groups!M:M)=1,EXP(0.7444*LN('Base stats'!C197)+6.5696),EXP(0.7927*LN('Base stats'!C197)+4.28))</f>
        <v>9959.8753916241294</v>
      </c>
      <c r="AT197" s="8" t="str">
        <f>IF(_xlfn.XLOOKUP(E197,Groups!A:A,Groups!N:N)="No","No",
IF(_xlfn.XLOOKUP(E197,Groups!A:A,Groups!N:N)="Crocodile",EXP(0.8129*LN(C197)+4.6742)*S197,
IF(_xlfn.XLOOKUP(E197,Groups!A:A,Groups!N:N)="Felid",EXP(0.7843*LN(C197)+4.7073)*S197,
IF(_xlfn.XLOOKUP(E197,Groups!A:A,Groups!N:N)="Canid",EXP(0.8367*LN(C197)+4.8763)*S197,
IF(_xlfn.XLOOKUP(E197,Groups!A:A,Groups!N:N)="Pig",EXP(0.3439*LN(C197)+6.8519)*S197,
IF(_xlfn.XLOOKUP(E197,Groups!A:A,Groups!N:N)="Rodent",EXP(0.5625*LN(C197)+4.3006)*S197,
IF(_xlfn.XLOOKUP(E197,Groups!A:A,Groups!N:N)="Primate",EXP(0.7847*LN(C197)+3.4931)*S197,
IF(_xlfn.XLOOKUP(E197,Groups!A:A,Groups!N:N)="MiscCarnivora",EXP(0.7486*LN(C197)+4.2207)*S197,
IF(_xlfn.XLOOKUP(E197,Groups!A:A,Groups!N:N)="Lizard",EXP(0.7733*LN(C197)+5.5303)*S197,
IF(_xlfn.XLOOKUP(E197,Groups!A:A,Groups!N:N)="Snake",50*C197^(2/3)*S197,
IF(_xlfn.XLOOKUP(E197,Groups!A:A,Groups!N:N)="StrongBitingHerbivore",87.1133638856975*C197^(2/3)*S197,
IF(_xlfn.XLOOKUP(E197,Groups!A:A,Groups!N:N)="MiscEctotherms",59.4316884072269*C197^(2/3)*S197,
IF(_xlfn.XLOOKUP(E197,Groups!A:A,Groups!N:N)="StrongBeakBird",0.041*(C197*1000)^1.375*S197,
IF(_xlfn.XLOOKUP(E197,Groups!A:A,Groups!N:N)="Bird",0.118*(C197*1000)^0.692*S197,
IF(_xlfn.XLOOKUP(E197,Groups!A:A,Groups!N:N)="Insect",EXP(0.7444*LN(C197)+6.5696)*S197,
IF(_xlfn.XLOOKUP(E197,Groups!A:A,Groups!N:N)="Theropod",EXP(0.6966*LN(C197)+4.158)*S197,
"No"))))))))))))))))</f>
        <v>No</v>
      </c>
      <c r="AU197" s="8" t="str">
        <f>IF(_xlfn.XLOOKUP(E197,Groups!A:A,Groups!U:U)=3,AS197,IF(_xlfn.XLOOKUP(E197,Groups!A:A,Groups!U:U)=2,AR197,AT197))</f>
        <v>No</v>
      </c>
      <c r="AV197" s="46">
        <f>IFERROR(AVERAGE(_xlfn.XLOOKUP(B197,Animals!B:B,Animals!N:N),_xlfn.XLOOKUP(B197,Animals!B:B,Animals!O:O)),0)</f>
        <v>0</v>
      </c>
      <c r="AW197" s="8">
        <f>MROUND(40*Animals!AO197*_xlfn.XLOOKUP(AG197,Leathers!$A$2:$A$99,Leathers!$B$2:$B$99,0)+(140*_xlfn.XLOOKUP(B197,Animals!B:B,Animals!AO:AO)*2),5)</f>
        <v>770</v>
      </c>
      <c r="AX197" s="8">
        <f>IFERROR(ROUND(SQRT(V197-1)*IF(_xlfn.XLOOKUP(E197,Groups!A:A,Groups!BF:BF)=0,2,1)*IF(_xlfn.XLOOKUP('Base stats'!E197,Groups!A:A,Groups!O:O)=0,1,0.1),1),0)</f>
        <v>0</v>
      </c>
      <c r="AY197" s="8">
        <f t="shared" si="91"/>
        <v>0</v>
      </c>
      <c r="AZ197" s="8">
        <f t="shared" si="92"/>
        <v>0</v>
      </c>
      <c r="BA197" s="8">
        <f t="shared" si="93"/>
        <v>7.4</v>
      </c>
      <c r="BB197" s="8">
        <f>IF(_xlfn.XLOOKUP(E197,Groups!A:A,Groups!N:N)="Insect",BD197*2.5,IFERROR(AVERAGE(BD197,AT197/9.81/IF(OR(_xlfn.XLOOKUP(E197,Groups!A:A,Groups!N:N)="Pig",_xlfn.XLOOKUP(E197,Groups!A:A,Groups!N:N)="StrongBitingHerbivore"),20,25))*C197^-0.135,BD197))</f>
        <v>4.2492222832919326</v>
      </c>
      <c r="BC197" s="8" t="str">
        <f>IF(W197="No","No",IF(_xlfn.XLOOKUP(E197,Groups!A:A,Groups!U:U)=1,'Base stats'!BB197,IF(OR(_xlfn.XLOOKUP(E197,Groups!A:A,Groups!BD:BD)=1,_xlfn.XLOOKUP(E197,Groups!A:A,Groups!U:U)=2),BD197,IF(_xlfn.XLOOKUP(B197,Animals!B:B,Animals!AO:AO)&gt;4,AVERAGE(BD197,BF197),BF197))))</f>
        <v>No</v>
      </c>
      <c r="BD197" s="8">
        <f t="shared" si="94"/>
        <v>4.2492222832919326</v>
      </c>
      <c r="BE197" s="8">
        <f>IF(_xlfn.XLOOKUP(E197,Groups!A:A,Groups!BE:BE)=1,(0.048*C197^1.01)+(0.071*C197^1.03),0.071*C197^1.03)/IF(_xlfn.XLOOKUP(E197,Groups!A:A,Groups!M:M)=1,0.85,IF(OR(_xlfn.XLOOKUP(B197,Animals!B:B,Animals!AO:AO)&gt;4,_xlfn.XLOOKUP(E197,Groups!A:A,Groups!BC:BC)=1),1.7,1))*C197^-0.25</f>
        <v>5.3211564830781724</v>
      </c>
      <c r="BF197" s="8">
        <f>(0.048*C197^1.01)/IF(_xlfn.XLOOKUP(E197,Groups!A:A,Groups!M:M)=1,0.25,0.8)*C197^-0.25</f>
        <v>6.7510053736705169</v>
      </c>
      <c r="BG197" s="8">
        <f>EXP(1.076*LN(AR197)-4.5397)*IF(_xlfn.XLOOKUP(E197,Groups!A:A,Groups!BC:BC)=1,1.25,IF(_xlfn.XLOOKUP(E197,Groups!A:A,Groups!BD:BD)=1,3.5,2.5))</f>
        <v>279.10259857967731</v>
      </c>
      <c r="BH197" s="8">
        <f>EXP(1.076*LN(AS197)-4.5397)*IF(_xlfn.XLOOKUP(E197,Groups!A:A,Groups!M:M)=1,0.8,IF(_xlfn.XLOOKUP(E197,Groups!A:A,Groups!BC:BC)=1,1.3,3))</f>
        <v>278.29018825171823</v>
      </c>
      <c r="BI197" s="8" t="str">
        <f>IF(W197="No","No",IF(_xlfn.XLOOKUP(E197,Groups!A:A,Groups!U:U)=1,'Base stats'!BJ197,IF(OR(_xlfn.XLOOKUP(E197,Groups!A:A,Groups!BD:BD)=1,_xlfn.XLOOKUP(E197,Groups!A:A,Groups!U:U)=2),BG197,BH197))*1.2)</f>
        <v>No</v>
      </c>
      <c r="BJ197" s="8" t="str">
        <f>IFERROR(EXP(1.076*LN(AT197)-4.5397)*IF(_xlfn.XLOOKUP(E197,Groups!A:A,Groups!N:N)="Insect",1,IF(OR(_xlfn.XLOOKUP(E197,Groups!A:A,Groups!N:N)="Pig",_xlfn.XLOOKUP(E197,Groups!A:A,Groups!N:N)="StrongBitingHerbivore"),3.5,3.75)),"No")</f>
        <v>No</v>
      </c>
      <c r="BK197" s="8">
        <f t="shared" si="95"/>
        <v>11</v>
      </c>
      <c r="BL197" s="8">
        <f t="shared" si="96"/>
        <v>10</v>
      </c>
      <c r="BM197" s="8" t="str">
        <f t="shared" si="97"/>
        <v>No</v>
      </c>
      <c r="BN197" s="8" t="str">
        <f t="shared" si="98"/>
        <v>No</v>
      </c>
      <c r="BO197" s="8">
        <f t="shared" si="99"/>
        <v>9</v>
      </c>
      <c r="BP197" s="8" cm="1">
        <f t="array" ref="BP197">IF(AND(_xlfn.XLOOKUP('Base stats'!E197,Groups!A:A,Groups!AD:AD=0),_xlfn.XLOOKUP('Base stats'!E197,Groups!A:A,Groups!P:P=0)),"No",IF(U197="No",AVERAGE(EXP(-0.57+0.99*LN(C197)),EXP(0.32+0.67*LN(C197)))/IF(_xlfn.XLOOKUP(E197,Groups!A:A,Groups!AD:AD)=1,10,2),(0.7354*C197^0.4078)*2/IF(_xlfn.XLOOKUP(E197,Groups!A:A,Groups!BK:BK)=1,1000,100)/IF(_xlfn.XLOOKUP(E197,Groups!A:A,Groups!AJ:AJ)="Photonozoa",3,1)))</f>
        <v>17.714725467023328</v>
      </c>
      <c r="BQ197" s="8" t="str">
        <f>IF(W197="No","No",IF(_xlfn.XLOOKUP(E197,Groups!A:A,Groups!BD:BD)=1,(AO197*5%),EXP(0.7354*LN(C197)^0.4078)*2/IF(_xlfn.XLOOKUP(E197,Groups!A:A,Groups!BL:BL)=1,1000,100)/IF(_xlfn.XLOOKUP(E197,Groups!A:A,Groups!AJ:AJ)="Photonozoa",3,1)))</f>
        <v>No</v>
      </c>
      <c r="BR197" s="8" t="str">
        <f>IF(BJ197="No","No",IF(_xlfn.XLOOKUP(E197,Groups!A:A,Groups!BF:BF)=1,(0.0315*C197+2.1825)*2,(0.7354*C197^0.4078)*2)/IF(_xlfn.XLOOKUP(E197,Groups!A:A,Groups!BM:BM)=1,1000,100)/IF(_xlfn.XLOOKUP(E197,Groups!A:A,Groups!AJ:AJ)="Photonozoa",3,1))</f>
        <v>No</v>
      </c>
      <c r="BS197" s="8">
        <f t="shared" si="100"/>
        <v>8.8540178675564338E-2</v>
      </c>
      <c r="BT197" s="8">
        <f t="shared" si="101"/>
        <v>15.709539996528118</v>
      </c>
      <c r="BU197" s="8" t="str">
        <f t="shared" si="102"/>
        <v>No</v>
      </c>
      <c r="BV197" s="8" t="str">
        <f t="shared" si="103"/>
        <v>No</v>
      </c>
      <c r="BW197" s="4">
        <v>0</v>
      </c>
      <c r="BX197" s="4">
        <v>1</v>
      </c>
    </row>
    <row r="198" spans="1:76" s="16" customFormat="1" x14ac:dyDescent="0.25">
      <c r="A198" s="26" t="s">
        <v>1476</v>
      </c>
      <c r="B198" s="6" t="s">
        <v>1652</v>
      </c>
      <c r="C198" s="7">
        <v>60</v>
      </c>
      <c r="D198" s="7" t="s">
        <v>528</v>
      </c>
      <c r="E198" s="7" t="str">
        <f>Groups!$A$89</f>
        <v>Goo</v>
      </c>
      <c r="F198" s="7" t="s">
        <v>1700</v>
      </c>
      <c r="G198" s="7">
        <v>0.5</v>
      </c>
      <c r="H198" s="7">
        <v>3</v>
      </c>
      <c r="I198" s="4">
        <v>1</v>
      </c>
      <c r="J198" s="7" t="s">
        <v>1700</v>
      </c>
      <c r="K198" s="7" t="s">
        <v>528</v>
      </c>
      <c r="L198" s="7">
        <v>10</v>
      </c>
      <c r="M198" s="7" t="s">
        <v>528</v>
      </c>
      <c r="N198" s="4">
        <v>0</v>
      </c>
      <c r="O198" s="4">
        <v>0</v>
      </c>
      <c r="P198" s="4">
        <v>0</v>
      </c>
      <c r="Q198" s="4">
        <v>0</v>
      </c>
      <c r="R198" s="4" t="s">
        <v>40</v>
      </c>
      <c r="S198" s="7">
        <f>_xlfn.XLOOKUP(B198,[1]TeethAdjusters!$A:$A,[1]BiteAdjusters!$C:$C,1)</f>
        <v>1</v>
      </c>
      <c r="T198" s="7">
        <f>_xlfn.XLOOKUP(B198,[1]TeethAdjusters!$A:$A,[1]TeethAdjusters!$B:$B,1)</f>
        <v>1</v>
      </c>
      <c r="U198" s="7" t="s">
        <v>45</v>
      </c>
      <c r="V198" s="7" t="str">
        <f>IF(AT198="No","No",IF(_xlfn.XLOOKUP(E198,Groups!A:A,Groups!AM:AM)=1,MROUND(EXP(0.3582*LN(C198)-0.2221)*T198,0.05),IF(_xlfn.XLOOKUP(E198,Groups!A:A,Groups!AM:AM)=2,MROUND(EXP(0.3582*LN(C198)-0.2221)*T198,0.05),"Need a formula")))</f>
        <v>No</v>
      </c>
      <c r="W198" s="7" t="str">
        <f>IF(_xlfn.XLOOKUP(E198,Groups!A:A,Groups!V:V)&lt;&gt;"No","Need a formula","No")</f>
        <v>No</v>
      </c>
      <c r="X198" s="7" t="s">
        <v>932</v>
      </c>
      <c r="Y198" s="4" t="s">
        <v>42</v>
      </c>
      <c r="Z198" s="4">
        <v>1</v>
      </c>
      <c r="AA198" s="4">
        <v>0</v>
      </c>
      <c r="AB198" s="4">
        <v>0</v>
      </c>
      <c r="AC198" s="4">
        <v>0</v>
      </c>
      <c r="AD198" s="4">
        <v>0</v>
      </c>
      <c r="AE198" s="4" t="s">
        <v>45</v>
      </c>
      <c r="AF198" s="4" t="s">
        <v>45</v>
      </c>
      <c r="AG198" s="49" t="s">
        <v>45</v>
      </c>
      <c r="AH198" s="4" t="str">
        <f>Animals!$C$105</f>
        <v>&lt;li&gt;Megaspider&lt;/li&gt;</v>
      </c>
      <c r="AI198" s="4">
        <v>0</v>
      </c>
      <c r="AJ198" s="4">
        <v>0</v>
      </c>
      <c r="AK198" s="4">
        <v>0</v>
      </c>
      <c r="AL198" s="4">
        <v>0</v>
      </c>
      <c r="AM198" s="4">
        <v>1</v>
      </c>
      <c r="AN198" s="44" t="s">
        <v>40</v>
      </c>
      <c r="AO198" s="8">
        <f t="shared" si="89"/>
        <v>15889.904663781534</v>
      </c>
      <c r="AP198" s="8">
        <f>IFERROR(C198*_xlfn.XLOOKUP(E198,Groups!A:A,Groups!K:K),0.106*C198^0.94)</f>
        <v>4.9747131149875132</v>
      </c>
      <c r="AQ198" s="8">
        <f>AP198*10000/(_xlfn.XLOOKUP(E198,Groups!A:A,Groups!J:J)*AO198)</f>
        <v>3.1307381763759521</v>
      </c>
      <c r="AR198" s="8">
        <f t="shared" si="90"/>
        <v>1727.6076198081698</v>
      </c>
      <c r="AS198" s="8">
        <f>IF(_xlfn.XLOOKUP(E198,Groups!A:A,Groups!M:M)=1,EXP(0.7444*LN('Base stats'!C198)+6.5696),EXP(0.7927*LN('Base stats'!C198)+4.28))</f>
        <v>1854.9016123555098</v>
      </c>
      <c r="AT198" s="8" t="str">
        <f>IF(_xlfn.XLOOKUP(E198,Groups!A:A,Groups!N:N)="No","No",
IF(_xlfn.XLOOKUP(E198,Groups!A:A,Groups!N:N)="Crocodile",EXP(0.8129*LN(C198)+4.6742)*S198,
IF(_xlfn.XLOOKUP(E198,Groups!A:A,Groups!N:N)="Felid",EXP(0.7843*LN(C198)+4.7073)*S198,
IF(_xlfn.XLOOKUP(E198,Groups!A:A,Groups!N:N)="Canid",EXP(0.8367*LN(C198)+4.8763)*S198,
IF(_xlfn.XLOOKUP(E198,Groups!A:A,Groups!N:N)="Pig",EXP(0.3439*LN(C198)+6.8519)*S198,
IF(_xlfn.XLOOKUP(E198,Groups!A:A,Groups!N:N)="Rodent",EXP(0.5625*LN(C198)+4.3006)*S198,
IF(_xlfn.XLOOKUP(E198,Groups!A:A,Groups!N:N)="Primate",EXP(0.7847*LN(C198)+3.4931)*S198,
IF(_xlfn.XLOOKUP(E198,Groups!A:A,Groups!N:N)="MiscCarnivora",EXP(0.7486*LN(C198)+4.2207)*S198,
IF(_xlfn.XLOOKUP(E198,Groups!A:A,Groups!N:N)="Lizard",EXP(0.7733*LN(C198)+5.5303)*S198,
IF(_xlfn.XLOOKUP(E198,Groups!A:A,Groups!N:N)="Snake",50*C198^(2/3)*S198,
IF(_xlfn.XLOOKUP(E198,Groups!A:A,Groups!N:N)="StrongBitingHerbivore",87.1133638856975*C198^(2/3)*S198,
IF(_xlfn.XLOOKUP(E198,Groups!A:A,Groups!N:N)="MiscEctotherms",59.4316884072269*C198^(2/3)*S198,
IF(_xlfn.XLOOKUP(E198,Groups!A:A,Groups!N:N)="StrongBeakBird",0.041*(C198*1000)^1.375*S198,
IF(_xlfn.XLOOKUP(E198,Groups!A:A,Groups!N:N)="Bird",0.118*(C198*1000)^0.692*S198,
IF(_xlfn.XLOOKUP(E198,Groups!A:A,Groups!N:N)="Insect",EXP(0.7444*LN(C198)+6.5696)*S198,
IF(_xlfn.XLOOKUP(E198,Groups!A:A,Groups!N:N)="Theropod",EXP(0.6966*LN(C198)+4.158)*S198,
"No"))))))))))))))))</f>
        <v>No</v>
      </c>
      <c r="AU198" s="8" t="str">
        <f>IF(_xlfn.XLOOKUP(E198,Groups!A:A,Groups!U:U)=3,AS198,IF(_xlfn.XLOOKUP(E198,Groups!A:A,Groups!U:U)=2,AR198,AT198))</f>
        <v>No</v>
      </c>
      <c r="AV198" s="46">
        <f>IFERROR(AVERAGE(_xlfn.XLOOKUP(B198,Animals!B:B,Animals!N:N),_xlfn.XLOOKUP(B198,Animals!B:B,Animals!O:O)),0)</f>
        <v>0</v>
      </c>
      <c r="AW198" s="8">
        <f>MROUND(40*Animals!AO198*_xlfn.XLOOKUP(AG198,Leathers!$A$2:$A$99,Leathers!$B$2:$B$99,0)+(140*_xlfn.XLOOKUP(B198,Animals!B:B,Animals!AO:AO)*2),5)</f>
        <v>265</v>
      </c>
      <c r="AX198" s="8">
        <f>IFERROR(ROUND(SQRT(V198-1)*IF(_xlfn.XLOOKUP(E198,Groups!A:A,Groups!BF:BF)=0,2,1)*IF(_xlfn.XLOOKUP('Base stats'!E198,Groups!A:A,Groups!O:O)=0,1,0.1),1),0)</f>
        <v>0</v>
      </c>
      <c r="AY198" s="8">
        <f t="shared" si="91"/>
        <v>0</v>
      </c>
      <c r="AZ198" s="8">
        <f t="shared" si="92"/>
        <v>0</v>
      </c>
      <c r="BA198" s="8">
        <f t="shared" si="93"/>
        <v>3.5</v>
      </c>
      <c r="BB198" s="8">
        <f>IF(_xlfn.XLOOKUP(E198,Groups!A:A,Groups!N:N)="Insect",BD198*2.5,IFERROR(AVERAGE(BD198,AT198/9.81/IF(OR(_xlfn.XLOOKUP(E198,Groups!A:A,Groups!N:N)="Pig",_xlfn.XLOOKUP(E198,Groups!A:A,Groups!N:N)="StrongBitingHerbivore"),20,25))*C198^-0.135,BD198))</f>
        <v>0.85903747445843048</v>
      </c>
      <c r="BC198" s="8" t="str">
        <f>IF(W198="No","No",IF(_xlfn.XLOOKUP(E198,Groups!A:A,Groups!U:U)=1,'Base stats'!BB198,IF(OR(_xlfn.XLOOKUP(E198,Groups!A:A,Groups!BD:BD)=1,_xlfn.XLOOKUP(E198,Groups!A:A,Groups!U:U)=2),BD198,IF(_xlfn.XLOOKUP(B198,Animals!B:B,Animals!AO:AO)&gt;4,AVERAGE(BD198,BF198),BF198))))</f>
        <v>No</v>
      </c>
      <c r="BD198" s="8">
        <f t="shared" si="94"/>
        <v>0.85903747445843048</v>
      </c>
      <c r="BE198" s="8">
        <f>IF(_xlfn.XLOOKUP(E198,Groups!A:A,Groups!BE:BE)=1,(0.048*C198^1.01)+(0.071*C198^1.03),0.071*C198^1.03)/IF(_xlfn.XLOOKUP(E198,Groups!A:A,Groups!M:M)=1,0.85,IF(OR(_xlfn.XLOOKUP(B198,Animals!B:B,Animals!AO:AO)&gt;4,_xlfn.XLOOKUP(E198,Groups!A:A,Groups!BC:BC)=1),1.7,1))*C198^-0.25</f>
        <v>1.018046001814493</v>
      </c>
      <c r="BF198" s="8">
        <f>(0.048*C198^1.01)/IF(_xlfn.XLOOKUP(E198,Groups!A:A,Groups!M:M)=1,0.25,0.8)*C198^-0.25</f>
        <v>1.3475540718504924</v>
      </c>
      <c r="BG198" s="8">
        <f>EXP(1.076*LN(AR198)-4.5397)*IF(_xlfn.XLOOKUP(E198,Groups!A:A,Groups!BC:BC)=1,1.25,IF(_xlfn.XLOOKUP(E198,Groups!A:A,Groups!BD:BD)=1,3.5,2.5))</f>
        <v>40.628827831392194</v>
      </c>
      <c r="BH198" s="8">
        <f>EXP(1.076*LN(AS198)-4.5397)*IF(_xlfn.XLOOKUP(E198,Groups!A:A,Groups!M:M)=1,0.8,IF(_xlfn.XLOOKUP(E198,Groups!A:A,Groups!BC:BC)=1,1.3,3))</f>
        <v>45.613138770970757</v>
      </c>
      <c r="BI198" s="8" t="str">
        <f>IF(W198="No","No",IF(_xlfn.XLOOKUP(E198,Groups!A:A,Groups!U:U)=1,'Base stats'!BJ198,IF(OR(_xlfn.XLOOKUP(E198,Groups!A:A,Groups!BD:BD)=1,_xlfn.XLOOKUP(E198,Groups!A:A,Groups!U:U)=2),BG198,BH198))*1.2)</f>
        <v>No</v>
      </c>
      <c r="BJ198" s="8" t="str">
        <f>IFERROR(EXP(1.076*LN(AT198)-4.5397)*IF(_xlfn.XLOOKUP(E198,Groups!A:A,Groups!N:N)="Insect",1,IF(OR(_xlfn.XLOOKUP(E198,Groups!A:A,Groups!N:N)="Pig",_xlfn.XLOOKUP(E198,Groups!A:A,Groups!N:N)="StrongBitingHerbivore"),3.5,3.75)),"No")</f>
        <v>No</v>
      </c>
      <c r="BK198" s="8">
        <f t="shared" si="95"/>
        <v>9</v>
      </c>
      <c r="BL198" s="8">
        <f t="shared" si="96"/>
        <v>9</v>
      </c>
      <c r="BM198" s="8" t="str">
        <f t="shared" si="97"/>
        <v>No</v>
      </c>
      <c r="BN198" s="8" t="str">
        <f t="shared" si="98"/>
        <v>No</v>
      </c>
      <c r="BO198" s="8">
        <f t="shared" si="99"/>
        <v>8</v>
      </c>
      <c r="BP198" s="8" cm="1">
        <f t="array" ref="BP198">IF(AND(_xlfn.XLOOKUP('Base stats'!E198,Groups!A:A,Groups!AD:AD=0),_xlfn.XLOOKUP('Base stats'!E198,Groups!A:A,Groups!P:P=0)),"No",IF(U198="No",AVERAGE(EXP(-0.57+0.99*LN(C198)),EXP(0.32+0.67*LN(C198)))/IF(_xlfn.XLOOKUP(E198,Groups!A:A,Groups!AD:AD)=1,10,2),(0.7354*C198^0.4078)*2/IF(_xlfn.XLOOKUP(E198,Groups!A:A,Groups!BK:BK)=1,1000,100)/IF(_xlfn.XLOOKUP(E198,Groups!A:A,Groups!AJ:AJ)="Photonozoa",3,1)))</f>
        <v>2.6983228138784257</v>
      </c>
      <c r="BQ198" s="8" t="str">
        <f>IF(W198="No","No",IF(_xlfn.XLOOKUP(E198,Groups!A:A,Groups!BD:BD)=1,(AO198*5%),EXP(0.7354*LN(C198)^0.4078)*2/IF(_xlfn.XLOOKUP(E198,Groups!A:A,Groups!BL:BL)=1,1000,100)/IF(_xlfn.XLOOKUP(E198,Groups!A:A,Groups!AJ:AJ)="Photonozoa",3,1)))</f>
        <v>No</v>
      </c>
      <c r="BR198" s="8" t="str">
        <f>IF(BJ198="No","No",IF(_xlfn.XLOOKUP(E198,Groups!A:A,Groups!BF:BF)=1,(0.0315*C198+2.1825)*2,(0.7354*C198^0.4078)*2)/IF(_xlfn.XLOOKUP(E198,Groups!A:A,Groups!BM:BM)=1,1000,100)/IF(_xlfn.XLOOKUP(E198,Groups!A:A,Groups!AJ:AJ)="Photonozoa",3,1))</f>
        <v>No</v>
      </c>
      <c r="BS198" s="8">
        <f t="shared" si="100"/>
        <v>5.1137912644622759E-2</v>
      </c>
      <c r="BT198" s="8">
        <f t="shared" si="101"/>
        <v>16.90425568666814</v>
      </c>
      <c r="BU198" s="8" t="str">
        <f t="shared" si="102"/>
        <v>No</v>
      </c>
      <c r="BV198" s="8" t="str">
        <f t="shared" si="103"/>
        <v>No</v>
      </c>
      <c r="BW198" s="4">
        <v>0</v>
      </c>
      <c r="BX198" s="4">
        <v>1</v>
      </c>
    </row>
    <row r="199" spans="1:76" s="16" customFormat="1" x14ac:dyDescent="0.25">
      <c r="A199" s="26" t="s">
        <v>1550</v>
      </c>
      <c r="B199" s="6" t="s">
        <v>1679</v>
      </c>
      <c r="C199" s="7">
        <v>60</v>
      </c>
      <c r="D199" s="7" t="s">
        <v>528</v>
      </c>
      <c r="E199" s="7" t="str">
        <f>Groups!$A$89</f>
        <v>Goo</v>
      </c>
      <c r="F199" s="7" t="s">
        <v>1700</v>
      </c>
      <c r="G199" s="7">
        <v>0.5</v>
      </c>
      <c r="H199" s="7">
        <v>3</v>
      </c>
      <c r="I199" s="4">
        <v>1</v>
      </c>
      <c r="J199" s="7" t="s">
        <v>1700</v>
      </c>
      <c r="K199" s="7" t="s">
        <v>528</v>
      </c>
      <c r="L199" s="7">
        <v>10</v>
      </c>
      <c r="M199" s="7" t="s">
        <v>528</v>
      </c>
      <c r="N199" s="4">
        <v>0</v>
      </c>
      <c r="O199" s="4">
        <v>0</v>
      </c>
      <c r="P199" s="4">
        <v>0</v>
      </c>
      <c r="Q199" s="4">
        <v>0</v>
      </c>
      <c r="R199" s="4" t="s">
        <v>40</v>
      </c>
      <c r="S199" s="7">
        <f>_xlfn.XLOOKUP(B199,[1]TeethAdjusters!$A:$A,[1]BiteAdjusters!$C:$C,1)</f>
        <v>1</v>
      </c>
      <c r="T199" s="7">
        <f>_xlfn.XLOOKUP(B199,[1]TeethAdjusters!$A:$A,[1]TeethAdjusters!$B:$B,1)</f>
        <v>1</v>
      </c>
      <c r="U199" s="7" t="s">
        <v>45</v>
      </c>
      <c r="V199" s="7" t="str">
        <f>IF(AT199="No","No",IF(_xlfn.XLOOKUP(E199,Groups!A:A,Groups!AM:AM)=1,MROUND(EXP(0.3582*LN(C199)-0.2221)*T199,0.05),IF(_xlfn.XLOOKUP(E199,Groups!A:A,Groups!AM:AM)=2,MROUND(EXP(0.3582*LN(C199)-0.2221)*T199,0.05),"Need a formula")))</f>
        <v>No</v>
      </c>
      <c r="W199" s="7" t="str">
        <f>IF(_xlfn.XLOOKUP(E199,Groups!A:A,Groups!V:V)&lt;&gt;"No","Need a formula","No")</f>
        <v>No</v>
      </c>
      <c r="X199" s="7" t="s">
        <v>932</v>
      </c>
      <c r="Y199" s="4" t="s">
        <v>42</v>
      </c>
      <c r="Z199" s="4">
        <v>1</v>
      </c>
      <c r="AA199" s="4">
        <v>0</v>
      </c>
      <c r="AB199" s="4">
        <v>0</v>
      </c>
      <c r="AC199" s="4">
        <v>0</v>
      </c>
      <c r="AD199" s="4">
        <v>0</v>
      </c>
      <c r="AE199" s="4" t="s">
        <v>45</v>
      </c>
      <c r="AF199" s="4" t="s">
        <v>45</v>
      </c>
      <c r="AG199" s="49" t="s">
        <v>45</v>
      </c>
      <c r="AH199" s="4" t="str">
        <f>Animals!$C$105</f>
        <v>&lt;li&gt;Megaspider&lt;/li&gt;</v>
      </c>
      <c r="AI199" s="4">
        <v>0</v>
      </c>
      <c r="AJ199" s="4">
        <v>0</v>
      </c>
      <c r="AK199" s="4">
        <v>0</v>
      </c>
      <c r="AL199" s="4">
        <v>0</v>
      </c>
      <c r="AM199" s="4">
        <v>1</v>
      </c>
      <c r="AN199" s="44" t="s">
        <v>40</v>
      </c>
      <c r="AO199" s="8">
        <f t="shared" si="89"/>
        <v>15889.904663781534</v>
      </c>
      <c r="AP199" s="8">
        <f>IFERROR(C199*_xlfn.XLOOKUP(E199,Groups!A:A,Groups!K:K),0.106*C199^0.94)</f>
        <v>4.9747131149875132</v>
      </c>
      <c r="AQ199" s="8">
        <f>AP199*10000/(_xlfn.XLOOKUP(E199,Groups!A:A,Groups!J:J)*AO199)</f>
        <v>3.1307381763759521</v>
      </c>
      <c r="AR199" s="8">
        <f t="shared" si="90"/>
        <v>1727.6076198081698</v>
      </c>
      <c r="AS199" s="8">
        <f>IF(_xlfn.XLOOKUP(E199,Groups!A:A,Groups!M:M)=1,EXP(0.7444*LN('Base stats'!C199)+6.5696),EXP(0.7927*LN('Base stats'!C199)+4.28))</f>
        <v>1854.9016123555098</v>
      </c>
      <c r="AT199" s="8" t="str">
        <f>IF(_xlfn.XLOOKUP(E199,Groups!A:A,Groups!N:N)="No","No",
IF(_xlfn.XLOOKUP(E199,Groups!A:A,Groups!N:N)="Crocodile",EXP(0.8129*LN(C199)+4.6742)*S199,
IF(_xlfn.XLOOKUP(E199,Groups!A:A,Groups!N:N)="Felid",EXP(0.7843*LN(C199)+4.7073)*S199,
IF(_xlfn.XLOOKUP(E199,Groups!A:A,Groups!N:N)="Canid",EXP(0.8367*LN(C199)+4.8763)*S199,
IF(_xlfn.XLOOKUP(E199,Groups!A:A,Groups!N:N)="Pig",EXP(0.3439*LN(C199)+6.8519)*S199,
IF(_xlfn.XLOOKUP(E199,Groups!A:A,Groups!N:N)="Rodent",EXP(0.5625*LN(C199)+4.3006)*S199,
IF(_xlfn.XLOOKUP(E199,Groups!A:A,Groups!N:N)="Primate",EXP(0.7847*LN(C199)+3.4931)*S199,
IF(_xlfn.XLOOKUP(E199,Groups!A:A,Groups!N:N)="MiscCarnivora",EXP(0.7486*LN(C199)+4.2207)*S199,
IF(_xlfn.XLOOKUP(E199,Groups!A:A,Groups!N:N)="Lizard",EXP(0.7733*LN(C199)+5.5303)*S199,
IF(_xlfn.XLOOKUP(E199,Groups!A:A,Groups!N:N)="Snake",50*C199^(2/3)*S199,
IF(_xlfn.XLOOKUP(E199,Groups!A:A,Groups!N:N)="StrongBitingHerbivore",87.1133638856975*C199^(2/3)*S199,
IF(_xlfn.XLOOKUP(E199,Groups!A:A,Groups!N:N)="MiscEctotherms",59.4316884072269*C199^(2/3)*S199,
IF(_xlfn.XLOOKUP(E199,Groups!A:A,Groups!N:N)="StrongBeakBird",0.041*(C199*1000)^1.375*S199,
IF(_xlfn.XLOOKUP(E199,Groups!A:A,Groups!N:N)="Bird",0.118*(C199*1000)^0.692*S199,
IF(_xlfn.XLOOKUP(E199,Groups!A:A,Groups!N:N)="Insect",EXP(0.7444*LN(C199)+6.5696)*S199,
IF(_xlfn.XLOOKUP(E199,Groups!A:A,Groups!N:N)="Theropod",EXP(0.6966*LN(C199)+4.158)*S199,
"No"))))))))))))))))</f>
        <v>No</v>
      </c>
      <c r="AU199" s="8" t="str">
        <f>IF(_xlfn.XLOOKUP(E199,Groups!A:A,Groups!U:U)=3,AS199,IF(_xlfn.XLOOKUP(E199,Groups!A:A,Groups!U:U)=2,AR199,AT199))</f>
        <v>No</v>
      </c>
      <c r="AV199" s="46">
        <f>IFERROR(AVERAGE(_xlfn.XLOOKUP(B199,Animals!B:B,Animals!N:N),_xlfn.XLOOKUP(B199,Animals!B:B,Animals!O:O)),0)</f>
        <v>0</v>
      </c>
      <c r="AW199" s="8">
        <f>MROUND(40*Animals!AO199*_xlfn.XLOOKUP(AG199,Leathers!$A$2:$A$99,Leathers!$B$2:$B$99,0)+(140*_xlfn.XLOOKUP(B199,Animals!B:B,Animals!AO:AO)*2),5)</f>
        <v>265</v>
      </c>
      <c r="AX199" s="8">
        <f>IFERROR(ROUND(SQRT(V199-1)*IF(_xlfn.XLOOKUP(E199,Groups!A:A,Groups!BF:BF)=0,2,1)*IF(_xlfn.XLOOKUP('Base stats'!E199,Groups!A:A,Groups!O:O)=0,1,0.1),1),0)</f>
        <v>0</v>
      </c>
      <c r="AY199" s="8">
        <f t="shared" si="91"/>
        <v>0</v>
      </c>
      <c r="AZ199" s="8">
        <f t="shared" si="92"/>
        <v>0</v>
      </c>
      <c r="BA199" s="8">
        <f t="shared" si="93"/>
        <v>3.5</v>
      </c>
      <c r="BB199" s="8">
        <f>IF(_xlfn.XLOOKUP(E199,Groups!A:A,Groups!N:N)="Insect",BD199*2.5,IFERROR(AVERAGE(BD199,AT199/9.81/IF(OR(_xlfn.XLOOKUP(E199,Groups!A:A,Groups!N:N)="Pig",_xlfn.XLOOKUP(E199,Groups!A:A,Groups!N:N)="StrongBitingHerbivore"),20,25))*C199^-0.135,BD199))</f>
        <v>0.85903747445843048</v>
      </c>
      <c r="BC199" s="8" t="str">
        <f>IF(W199="No","No",IF(_xlfn.XLOOKUP(E199,Groups!A:A,Groups!U:U)=1,'Base stats'!BB199,IF(OR(_xlfn.XLOOKUP(E199,Groups!A:A,Groups!BD:BD)=1,_xlfn.XLOOKUP(E199,Groups!A:A,Groups!U:U)=2),BD199,IF(_xlfn.XLOOKUP(B199,Animals!B:B,Animals!AO:AO)&gt;4,AVERAGE(BD199,BF199),BF199))))</f>
        <v>No</v>
      </c>
      <c r="BD199" s="8">
        <f t="shared" si="94"/>
        <v>0.85903747445843048</v>
      </c>
      <c r="BE199" s="8">
        <f>IF(_xlfn.XLOOKUP(E199,Groups!A:A,Groups!BE:BE)=1,(0.048*C199^1.01)+(0.071*C199^1.03),0.071*C199^1.03)/IF(_xlfn.XLOOKUP(E199,Groups!A:A,Groups!M:M)=1,0.85,IF(OR(_xlfn.XLOOKUP(B199,Animals!B:B,Animals!AO:AO)&gt;4,_xlfn.XLOOKUP(E199,Groups!A:A,Groups!BC:BC)=1),1.7,1))*C199^-0.25</f>
        <v>1.018046001814493</v>
      </c>
      <c r="BF199" s="8">
        <f>(0.048*C199^1.01)/IF(_xlfn.XLOOKUP(E199,Groups!A:A,Groups!M:M)=1,0.25,0.8)*C199^-0.25</f>
        <v>1.3475540718504924</v>
      </c>
      <c r="BG199" s="8">
        <f>EXP(1.076*LN(AR199)-4.5397)*IF(_xlfn.XLOOKUP(E199,Groups!A:A,Groups!BC:BC)=1,1.25,IF(_xlfn.XLOOKUP(E199,Groups!A:A,Groups!BD:BD)=1,3.5,2.5))</f>
        <v>40.628827831392194</v>
      </c>
      <c r="BH199" s="8">
        <f>EXP(1.076*LN(AS199)-4.5397)*IF(_xlfn.XLOOKUP(E199,Groups!A:A,Groups!M:M)=1,0.8,IF(_xlfn.XLOOKUP(E199,Groups!A:A,Groups!BC:BC)=1,1.3,3))</f>
        <v>45.613138770970757</v>
      </c>
      <c r="BI199" s="8" t="str">
        <f>IF(W199="No","No",IF(_xlfn.XLOOKUP(E199,Groups!A:A,Groups!U:U)=1,'Base stats'!BJ199,IF(OR(_xlfn.XLOOKUP(E199,Groups!A:A,Groups!BD:BD)=1,_xlfn.XLOOKUP(E199,Groups!A:A,Groups!U:U)=2),BG199,BH199))*1.2)</f>
        <v>No</v>
      </c>
      <c r="BJ199" s="8" t="str">
        <f>IFERROR(EXP(1.076*LN(AT199)-4.5397)*IF(_xlfn.XLOOKUP(E199,Groups!A:A,Groups!N:N)="Insect",1,IF(OR(_xlfn.XLOOKUP(E199,Groups!A:A,Groups!N:N)="Pig",_xlfn.XLOOKUP(E199,Groups!A:A,Groups!N:N)="StrongBitingHerbivore"),3.5,3.75)),"No")</f>
        <v>No</v>
      </c>
      <c r="BK199" s="8">
        <f t="shared" si="95"/>
        <v>9</v>
      </c>
      <c r="BL199" s="8">
        <f t="shared" si="96"/>
        <v>9</v>
      </c>
      <c r="BM199" s="8" t="str">
        <f t="shared" si="97"/>
        <v>No</v>
      </c>
      <c r="BN199" s="8" t="str">
        <f t="shared" si="98"/>
        <v>No</v>
      </c>
      <c r="BO199" s="8">
        <f t="shared" si="99"/>
        <v>8</v>
      </c>
      <c r="BP199" s="8" cm="1">
        <f t="array" ref="BP199">IF(AND(_xlfn.XLOOKUP('Base stats'!E199,Groups!A:A,Groups!AD:AD=0),_xlfn.XLOOKUP('Base stats'!E199,Groups!A:A,Groups!P:P=0)),"No",IF(U199="No",AVERAGE(EXP(-0.57+0.99*LN(C199)),EXP(0.32+0.67*LN(C199)))/IF(_xlfn.XLOOKUP(E199,Groups!A:A,Groups!AD:AD)=1,10,2),(0.7354*C199^0.4078)*2/IF(_xlfn.XLOOKUP(E199,Groups!A:A,Groups!BK:BK)=1,1000,100)/IF(_xlfn.XLOOKUP(E199,Groups!A:A,Groups!AJ:AJ)="Photonozoa",3,1)))</f>
        <v>2.6983228138784257</v>
      </c>
      <c r="BQ199" s="8" t="str">
        <f>IF(W199="No","No",IF(_xlfn.XLOOKUP(E199,Groups!A:A,Groups!BD:BD)=1,(AO199*5%),EXP(0.7354*LN(C199)^0.4078)*2/IF(_xlfn.XLOOKUP(E199,Groups!A:A,Groups!BL:BL)=1,1000,100)/IF(_xlfn.XLOOKUP(E199,Groups!A:A,Groups!AJ:AJ)="Photonozoa",3,1)))</f>
        <v>No</v>
      </c>
      <c r="BR199" s="8" t="str">
        <f>IF(BJ199="No","No",IF(_xlfn.XLOOKUP(E199,Groups!A:A,Groups!BF:BF)=1,(0.0315*C199+2.1825)*2,(0.7354*C199^0.4078)*2)/IF(_xlfn.XLOOKUP(E199,Groups!A:A,Groups!BM:BM)=1,1000,100)/IF(_xlfn.XLOOKUP(E199,Groups!A:A,Groups!AJ:AJ)="Photonozoa",3,1))</f>
        <v>No</v>
      </c>
      <c r="BS199" s="8">
        <f t="shared" si="100"/>
        <v>5.1137912644622759E-2</v>
      </c>
      <c r="BT199" s="8">
        <f t="shared" si="101"/>
        <v>16.90425568666814</v>
      </c>
      <c r="BU199" s="8" t="str">
        <f t="shared" si="102"/>
        <v>No</v>
      </c>
      <c r="BV199" s="8" t="str">
        <f t="shared" si="103"/>
        <v>No</v>
      </c>
      <c r="BW199" s="4">
        <v>0</v>
      </c>
      <c r="BX199" s="4">
        <v>1</v>
      </c>
    </row>
    <row r="200" spans="1:76" s="16" customFormat="1" x14ac:dyDescent="0.25">
      <c r="A200" s="26" t="s">
        <v>1552</v>
      </c>
      <c r="B200" s="6" t="s">
        <v>1680</v>
      </c>
      <c r="C200" s="7">
        <v>225</v>
      </c>
      <c r="D200" s="7" t="s">
        <v>528</v>
      </c>
      <c r="E200" s="7" t="str">
        <f>Groups!$A$90</f>
        <v>SporeLayer</v>
      </c>
      <c r="F200" s="7" t="s">
        <v>1700</v>
      </c>
      <c r="G200" s="7">
        <v>0.5</v>
      </c>
      <c r="H200" s="7">
        <v>4</v>
      </c>
      <c r="I200" s="4">
        <v>1</v>
      </c>
      <c r="J200" s="7" t="s">
        <v>1700</v>
      </c>
      <c r="K200" s="7" t="s">
        <v>528</v>
      </c>
      <c r="L200" s="7">
        <v>22</v>
      </c>
      <c r="M200" s="7" t="s">
        <v>528</v>
      </c>
      <c r="N200" s="4">
        <v>0</v>
      </c>
      <c r="O200" s="4">
        <v>0</v>
      </c>
      <c r="P200" s="4">
        <v>0</v>
      </c>
      <c r="Q200" s="4">
        <v>0</v>
      </c>
      <c r="R200" s="4" t="s">
        <v>40</v>
      </c>
      <c r="S200" s="7">
        <f>_xlfn.XLOOKUP(B200,[1]TeethAdjusters!$A:$A,[1]BiteAdjusters!$C:$C,1)</f>
        <v>1</v>
      </c>
      <c r="T200" s="7">
        <f>_xlfn.XLOOKUP(B200,[1]TeethAdjusters!$A:$A,[1]TeethAdjusters!$B:$B,1)</f>
        <v>1</v>
      </c>
      <c r="U200" s="7" t="s">
        <v>45</v>
      </c>
      <c r="V200" s="7">
        <v>4</v>
      </c>
      <c r="W200" s="7" t="str">
        <f>IF(_xlfn.XLOOKUP(E200,Groups!A:A,Groups!V:V)&lt;&gt;"No","Need a formula","No")</f>
        <v>No</v>
      </c>
      <c r="X200" s="7" t="s">
        <v>932</v>
      </c>
      <c r="Y200" s="4" t="s">
        <v>42</v>
      </c>
      <c r="Z200" s="4">
        <v>1</v>
      </c>
      <c r="AA200" s="4">
        <v>0</v>
      </c>
      <c r="AB200" s="4">
        <v>0</v>
      </c>
      <c r="AC200" s="4">
        <v>0</v>
      </c>
      <c r="AD200" s="4">
        <v>0</v>
      </c>
      <c r="AE200" s="4" t="s">
        <v>45</v>
      </c>
      <c r="AF200" s="4" t="s">
        <v>45</v>
      </c>
      <c r="AG200" s="49" t="s">
        <v>45</v>
      </c>
      <c r="AH200" s="4" t="str">
        <f>Animals!$C$105</f>
        <v>&lt;li&gt;Megaspider&lt;/li&gt;</v>
      </c>
      <c r="AI200" s="4">
        <v>0</v>
      </c>
      <c r="AJ200" s="4">
        <v>0</v>
      </c>
      <c r="AK200" s="4">
        <v>1</v>
      </c>
      <c r="AL200" s="4">
        <v>0</v>
      </c>
      <c r="AM200" s="4">
        <v>1</v>
      </c>
      <c r="AN200" s="44" t="s">
        <v>40</v>
      </c>
      <c r="AO200" s="8">
        <f t="shared" si="89"/>
        <v>37518.167291030215</v>
      </c>
      <c r="AP200" s="8">
        <f>IFERROR(C200*_xlfn.XLOOKUP(E200,Groups!A:A,Groups!K:K),0.106*C200^0.94)</f>
        <v>17.232862875886827</v>
      </c>
      <c r="AQ200" s="8">
        <f>AP200*10000/(_xlfn.XLOOKUP(E200,Groups!A:A,Groups!J:J)*AO200)</f>
        <v>4.213949423099991</v>
      </c>
      <c r="AR200" s="8">
        <f t="shared" si="90"/>
        <v>5276.2980808141829</v>
      </c>
      <c r="AS200" s="8">
        <f>IF(_xlfn.XLOOKUP(E200,Groups!A:A,Groups!M:M)=1,EXP(0.7444*LN('Base stats'!C200)+6.5696),EXP(0.7927*LN('Base stats'!C200)+4.28))</f>
        <v>5288.7795472348907</v>
      </c>
      <c r="AT200" s="8" t="str">
        <f>IF(_xlfn.XLOOKUP(E200,Groups!A:A,Groups!N:N)="No","No",
IF(_xlfn.XLOOKUP(E200,Groups!A:A,Groups!N:N)="Crocodile",EXP(0.8129*LN(C200)+4.6742)*S200,
IF(_xlfn.XLOOKUP(E200,Groups!A:A,Groups!N:N)="Felid",EXP(0.7843*LN(C200)+4.7073)*S200,
IF(_xlfn.XLOOKUP(E200,Groups!A:A,Groups!N:N)="Canid",EXP(0.8367*LN(C200)+4.8763)*S200,
IF(_xlfn.XLOOKUP(E200,Groups!A:A,Groups!N:N)="Pig",EXP(0.3439*LN(C200)+6.8519)*S200,
IF(_xlfn.XLOOKUP(E200,Groups!A:A,Groups!N:N)="Rodent",EXP(0.5625*LN(C200)+4.3006)*S200,
IF(_xlfn.XLOOKUP(E200,Groups!A:A,Groups!N:N)="Primate",EXP(0.7847*LN(C200)+3.4931)*S200,
IF(_xlfn.XLOOKUP(E200,Groups!A:A,Groups!N:N)="MiscCarnivora",EXP(0.7486*LN(C200)+4.2207)*S200,
IF(_xlfn.XLOOKUP(E200,Groups!A:A,Groups!N:N)="Lizard",EXP(0.7733*LN(C200)+5.5303)*S200,
IF(_xlfn.XLOOKUP(E200,Groups!A:A,Groups!N:N)="Snake",50*C200^(2/3)*S200,
IF(_xlfn.XLOOKUP(E200,Groups!A:A,Groups!N:N)="StrongBitingHerbivore",87.1133638856975*C200^(2/3)*S200,
IF(_xlfn.XLOOKUP(E200,Groups!A:A,Groups!N:N)="MiscEctotherms",59.4316884072269*C200^(2/3)*S200,
IF(_xlfn.XLOOKUP(E200,Groups!A:A,Groups!N:N)="StrongBeakBird",0.041*(C200*1000)^1.375*S200,
IF(_xlfn.XLOOKUP(E200,Groups!A:A,Groups!N:N)="Bird",0.118*(C200*1000)^0.692*S200,
IF(_xlfn.XLOOKUP(E200,Groups!A:A,Groups!N:N)="Insect",EXP(0.7444*LN(C200)+6.5696)*S200,
IF(_xlfn.XLOOKUP(E200,Groups!A:A,Groups!N:N)="Theropod",EXP(0.6966*LN(C200)+4.158)*S200,
"No"))))))))))))))))</f>
        <v>No</v>
      </c>
      <c r="AU200" s="8" t="str">
        <f>IF(_xlfn.XLOOKUP(E200,Groups!A:A,Groups!U:U)=3,AS200,IF(_xlfn.XLOOKUP(E200,Groups!A:A,Groups!U:U)=2,AR200,AT200))</f>
        <v>No</v>
      </c>
      <c r="AV200" s="46">
        <f>IFERROR(AVERAGE(_xlfn.XLOOKUP(B200,Animals!B:B,Animals!N:N),_xlfn.XLOOKUP(B200,Animals!B:B,Animals!O:O)),0)</f>
        <v>0</v>
      </c>
      <c r="AW200" s="8">
        <f>MROUND(40*Animals!AO200*_xlfn.XLOOKUP(AG200,Leathers!$A$2:$A$99,Leathers!$B$2:$B$99,0)+(140*_xlfn.XLOOKUP(B200,Animals!B:B,Animals!AO:AO)*2),5)</f>
        <v>560</v>
      </c>
      <c r="AX200" s="8">
        <f>IFERROR(ROUND(SQRT(V200-1)*IF(_xlfn.XLOOKUP(E200,Groups!A:A,Groups!BF:BF)=0,2,1)*IF(_xlfn.XLOOKUP('Base stats'!E200,Groups!A:A,Groups!O:O)=0,1,0.1),1),0)</f>
        <v>3.5</v>
      </c>
      <c r="AY200" s="8">
        <f t="shared" si="91"/>
        <v>0</v>
      </c>
      <c r="AZ200" s="8">
        <f t="shared" si="92"/>
        <v>0</v>
      </c>
      <c r="BA200" s="8">
        <f t="shared" si="93"/>
        <v>5.6</v>
      </c>
      <c r="BB200" s="8">
        <f>IF(_xlfn.XLOOKUP(E200,Groups!A:A,Groups!N:N)="Insect",BD200*2.5,IFERROR(AVERAGE(BD200,AT200/9.81/IF(OR(_xlfn.XLOOKUP(E200,Groups!A:A,Groups!N:N)="Pig",_xlfn.XLOOKUP(E200,Groups!A:A,Groups!N:N)="StrongBitingHerbivore"),20,25))*C200^-0.135,BD200))</f>
        <v>2.3271891619698901</v>
      </c>
      <c r="BC200" s="8" t="str">
        <f>IF(W200="No","No",IF(_xlfn.XLOOKUP(E200,Groups!A:A,Groups!U:U)=1,'Base stats'!BB200,IF(OR(_xlfn.XLOOKUP(E200,Groups!A:A,Groups!BD:BD)=1,_xlfn.XLOOKUP(E200,Groups!A:A,Groups!U:U)=2),BD200,IF(_xlfn.XLOOKUP(B200,Animals!B:B,Animals!AO:AO)&gt;4,AVERAGE(BD200,BF200),BF200))))</f>
        <v>No</v>
      </c>
      <c r="BD200" s="8">
        <f t="shared" si="94"/>
        <v>2.3271891619698901</v>
      </c>
      <c r="BE200" s="8">
        <f>IF(_xlfn.XLOOKUP(E200,Groups!A:A,Groups!BE:BE)=1,(0.048*C200^1.01)+(0.071*C200^1.03),0.071*C200^1.03)/IF(_xlfn.XLOOKUP(E200,Groups!A:A,Groups!M:M)=1,0.85,IF(OR(_xlfn.XLOOKUP(B200,Animals!B:B,Animals!AO:AO)&gt;4,_xlfn.XLOOKUP(E200,Groups!A:A,Groups!BC:BC)=1),1.7,1))*C200^-0.25</f>
        <v>2.8543800115999356</v>
      </c>
      <c r="BF200" s="8">
        <f>(0.048*C200^1.01)/IF(_xlfn.XLOOKUP(E200,Groups!A:A,Groups!M:M)=1,0.25,0.8)*C200^-0.25</f>
        <v>3.6796792531617739</v>
      </c>
      <c r="BG200" s="8">
        <f>EXP(1.076*LN(AR200)-4.5397)*IF(_xlfn.XLOOKUP(E200,Groups!A:A,Groups!BC:BC)=1,1.25,IF(_xlfn.XLOOKUP(E200,Groups!A:A,Groups!BD:BD)=1,3.5,2.5))</f>
        <v>135.07336047858988</v>
      </c>
      <c r="BH200" s="8">
        <f>EXP(1.076*LN(AS200)-4.5397)*IF(_xlfn.XLOOKUP(E200,Groups!A:A,Groups!M:M)=1,0.8,IF(_xlfn.XLOOKUP(E200,Groups!A:A,Groups!BC:BC)=1,1.3,3))</f>
        <v>140.83388922003255</v>
      </c>
      <c r="BI200" s="8" t="str">
        <f>IF(W200="No","No",IF(_xlfn.XLOOKUP(E200,Groups!A:A,Groups!U:U)=1,'Base stats'!BJ200,IF(OR(_xlfn.XLOOKUP(E200,Groups!A:A,Groups!BD:BD)=1,_xlfn.XLOOKUP(E200,Groups!A:A,Groups!U:U)=2),BG200,BH200))*1.2)</f>
        <v>No</v>
      </c>
      <c r="BJ200" s="8" t="str">
        <f>IFERROR(EXP(1.076*LN(AT200)-4.5397)*IF(_xlfn.XLOOKUP(E200,Groups!A:A,Groups!N:N)="Insect",1,IF(OR(_xlfn.XLOOKUP(E200,Groups!A:A,Groups!N:N)="Pig",_xlfn.XLOOKUP(E200,Groups!A:A,Groups!N:N)="StrongBitingHerbivore"),3.5,3.75)),"No")</f>
        <v>No</v>
      </c>
      <c r="BK200" s="8">
        <f t="shared" si="95"/>
        <v>10</v>
      </c>
      <c r="BL200" s="8">
        <f t="shared" si="96"/>
        <v>9</v>
      </c>
      <c r="BM200" s="8" t="str">
        <f t="shared" si="97"/>
        <v>No</v>
      </c>
      <c r="BN200" s="8" t="e">
        <f t="shared" si="98"/>
        <v>#VALUE!</v>
      </c>
      <c r="BO200" s="8">
        <f t="shared" si="99"/>
        <v>8</v>
      </c>
      <c r="BP200" s="8" cm="1">
        <f t="array" ref="BP200">IF(AND(_xlfn.XLOOKUP('Base stats'!E200,Groups!A:A,Groups!AD:AD=0),_xlfn.XLOOKUP('Base stats'!E200,Groups!A:A,Groups!P:P=0)),"No",IF(U200="No",AVERAGE(EXP(-0.57+0.99*LN(C200)),EXP(0.32+0.67*LN(C200)))/IF(_xlfn.XLOOKUP(E200,Groups!A:A,Groups!AD:AD)=1,10,2),(0.7354*C200^0.4078)*2/IF(_xlfn.XLOOKUP(E200,Groups!A:A,Groups!BK:BK)=1,1000,100)/IF(_xlfn.XLOOKUP(E200,Groups!A:A,Groups!AJ:AJ)="Photonozoa",3,1)))</f>
        <v>8.620366435691567</v>
      </c>
      <c r="BQ200" s="8" t="str">
        <f>IF(W200="No","No",IF(_xlfn.XLOOKUP(E200,Groups!A:A,Groups!BD:BD)=1,(AO200*5%),EXP(0.7354*LN(C200)^0.4078)*2/IF(_xlfn.XLOOKUP(E200,Groups!A:A,Groups!BL:BL)=1,1000,100)/IF(_xlfn.XLOOKUP(E200,Groups!A:A,Groups!AJ:AJ)="Photonozoa",3,1)))</f>
        <v>No</v>
      </c>
      <c r="BR200" s="8" t="str">
        <f>IF(BJ200="No","No",IF(_xlfn.XLOOKUP(E200,Groups!A:A,Groups!BF:BF)=1,(0.0315*C200+2.1825)*2,(0.7354*C200^0.4078)*2)/IF(_xlfn.XLOOKUP(E200,Groups!A:A,Groups!BM:BM)=1,1000,100)/IF(_xlfn.XLOOKUP(E200,Groups!A:A,Groups!AJ:AJ)="Photonozoa",3,1))</f>
        <v>No</v>
      </c>
      <c r="BS200" s="8">
        <f t="shared" si="100"/>
        <v>7.2004242334557211E-2</v>
      </c>
      <c r="BT200" s="8">
        <f t="shared" si="101"/>
        <v>16.337343693062415</v>
      </c>
      <c r="BU200" s="8" t="str">
        <f t="shared" si="102"/>
        <v>No</v>
      </c>
      <c r="BV200" s="8" t="str">
        <f t="shared" si="103"/>
        <v>No</v>
      </c>
      <c r="BW200" s="4">
        <v>0</v>
      </c>
      <c r="BX200" s="4">
        <v>1</v>
      </c>
    </row>
    <row r="201" spans="1:76" s="16" customFormat="1" x14ac:dyDescent="0.25">
      <c r="A201" s="26" t="s">
        <v>1526</v>
      </c>
      <c r="B201" s="6" t="s">
        <v>1670</v>
      </c>
      <c r="C201" s="7">
        <v>20</v>
      </c>
      <c r="D201" s="7" t="s">
        <v>528</v>
      </c>
      <c r="E201" s="7" t="str">
        <f>Groups!$A$91</f>
        <v>LandJellyfish</v>
      </c>
      <c r="F201" s="7" t="s">
        <v>1700</v>
      </c>
      <c r="G201" s="7">
        <v>0.5</v>
      </c>
      <c r="H201" s="7">
        <v>4</v>
      </c>
      <c r="I201" s="4">
        <v>1</v>
      </c>
      <c r="J201" s="7" t="s">
        <v>1700</v>
      </c>
      <c r="K201" s="7" t="s">
        <v>528</v>
      </c>
      <c r="L201" s="7">
        <v>22</v>
      </c>
      <c r="M201" s="7" t="s">
        <v>528</v>
      </c>
      <c r="N201" s="4">
        <v>0</v>
      </c>
      <c r="O201" s="4">
        <v>0</v>
      </c>
      <c r="P201" s="4">
        <v>0</v>
      </c>
      <c r="Q201" s="4">
        <v>0</v>
      </c>
      <c r="R201" s="4" t="s">
        <v>40</v>
      </c>
      <c r="S201" s="7">
        <f>_xlfn.XLOOKUP(B201,[1]TeethAdjusters!$A:$A,[1]BiteAdjusters!$C:$C,1)</f>
        <v>1</v>
      </c>
      <c r="T201" s="7">
        <f>_xlfn.XLOOKUP(B201,[1]TeethAdjusters!$A:$A,[1]TeethAdjusters!$B:$B,1)</f>
        <v>1</v>
      </c>
      <c r="U201" s="7" t="s">
        <v>45</v>
      </c>
      <c r="V201" s="7">
        <v>4</v>
      </c>
      <c r="W201" s="7" t="str">
        <f>IF(_xlfn.XLOOKUP(E201,Groups!A:A,Groups!V:V)&lt;&gt;"No","Need a formula","No")</f>
        <v>No</v>
      </c>
      <c r="X201" s="7" t="s">
        <v>932</v>
      </c>
      <c r="Y201" s="4" t="s">
        <v>42</v>
      </c>
      <c r="Z201" s="4">
        <v>1</v>
      </c>
      <c r="AA201" s="4">
        <v>0</v>
      </c>
      <c r="AB201" s="4">
        <v>0</v>
      </c>
      <c r="AC201" s="4">
        <v>0</v>
      </c>
      <c r="AD201" s="4">
        <v>0</v>
      </c>
      <c r="AE201" s="4" t="s">
        <v>45</v>
      </c>
      <c r="AF201" s="4" t="s">
        <v>45</v>
      </c>
      <c r="AG201" s="49" t="s">
        <v>45</v>
      </c>
      <c r="AH201" s="4" t="s">
        <v>45</v>
      </c>
      <c r="AI201" s="4">
        <v>0</v>
      </c>
      <c r="AJ201" s="4">
        <v>0</v>
      </c>
      <c r="AK201" s="4">
        <v>1</v>
      </c>
      <c r="AL201" s="4">
        <v>0</v>
      </c>
      <c r="AM201" s="4">
        <v>1</v>
      </c>
      <c r="AN201" s="44" t="s">
        <v>40</v>
      </c>
      <c r="AO201" s="8">
        <f t="shared" si="89"/>
        <v>7780.2307188855666</v>
      </c>
      <c r="AP201" s="8">
        <f>IFERROR(C201*_xlfn.XLOOKUP(E201,Groups!A:A,Groups!K:K),0.106*C201^0.94)</f>
        <v>1.7712263366972112</v>
      </c>
      <c r="AQ201" s="8">
        <f>AP201*10000/(_xlfn.XLOOKUP(E201,Groups!A:A,Groups!J:J)*AO201)</f>
        <v>2.0885991036274314</v>
      </c>
      <c r="AR201" s="8">
        <f t="shared" si="90"/>
        <v>683.0001310678939</v>
      </c>
      <c r="AS201" s="8">
        <f>IF(_xlfn.XLOOKUP(E201,Groups!A:A,Groups!M:M)=1,EXP(0.7444*LN('Base stats'!C201)+6.5696),EXP(0.7927*LN('Base stats'!C201)+4.28))</f>
        <v>776.43813921979063</v>
      </c>
      <c r="AT201" s="8" t="str">
        <f>IF(_xlfn.XLOOKUP(E201,Groups!A:A,Groups!N:N)="No","No",
IF(_xlfn.XLOOKUP(E201,Groups!A:A,Groups!N:N)="Crocodile",EXP(0.8129*LN(C201)+4.6742)*S201,
IF(_xlfn.XLOOKUP(E201,Groups!A:A,Groups!N:N)="Felid",EXP(0.7843*LN(C201)+4.7073)*S201,
IF(_xlfn.XLOOKUP(E201,Groups!A:A,Groups!N:N)="Canid",EXP(0.8367*LN(C201)+4.8763)*S201,
IF(_xlfn.XLOOKUP(E201,Groups!A:A,Groups!N:N)="Pig",EXP(0.3439*LN(C201)+6.8519)*S201,
IF(_xlfn.XLOOKUP(E201,Groups!A:A,Groups!N:N)="Rodent",EXP(0.5625*LN(C201)+4.3006)*S201,
IF(_xlfn.XLOOKUP(E201,Groups!A:A,Groups!N:N)="Primate",EXP(0.7847*LN(C201)+3.4931)*S201,
IF(_xlfn.XLOOKUP(E201,Groups!A:A,Groups!N:N)="MiscCarnivora",EXP(0.7486*LN(C201)+4.2207)*S201,
IF(_xlfn.XLOOKUP(E201,Groups!A:A,Groups!N:N)="Lizard",EXP(0.7733*LN(C201)+5.5303)*S201,
IF(_xlfn.XLOOKUP(E201,Groups!A:A,Groups!N:N)="Snake",50*C201^(2/3)*S201,
IF(_xlfn.XLOOKUP(E201,Groups!A:A,Groups!N:N)="StrongBitingHerbivore",87.1133638856975*C201^(2/3)*S201,
IF(_xlfn.XLOOKUP(E201,Groups!A:A,Groups!N:N)="MiscEctotherms",59.4316884072269*C201^(2/3)*S201,
IF(_xlfn.XLOOKUP(E201,Groups!A:A,Groups!N:N)="StrongBeakBird",0.041*(C201*1000)^1.375*S201,
IF(_xlfn.XLOOKUP(E201,Groups!A:A,Groups!N:N)="Bird",0.118*(C201*1000)^0.692*S201,
IF(_xlfn.XLOOKUP(E201,Groups!A:A,Groups!N:N)="Insect",EXP(0.7444*LN(C201)+6.5696)*S201,
IF(_xlfn.XLOOKUP(E201,Groups!A:A,Groups!N:N)="Theropod",EXP(0.6966*LN(C201)+4.158)*S201,
"No"))))))))))))))))</f>
        <v>No</v>
      </c>
      <c r="AU201" s="8" t="str">
        <f>IF(_xlfn.XLOOKUP(E201,Groups!A:A,Groups!U:U)=3,AS201,IF(_xlfn.XLOOKUP(E201,Groups!A:A,Groups!U:U)=2,AR201,AT201))</f>
        <v>No</v>
      </c>
      <c r="AV201" s="46">
        <f>IFERROR(AVERAGE(_xlfn.XLOOKUP(B201,Animals!B:B,Animals!N:N),_xlfn.XLOOKUP(B201,Animals!B:B,Animals!O:O)),0)</f>
        <v>0</v>
      </c>
      <c r="AW201" s="8">
        <f>MROUND(40*Animals!AO201*_xlfn.XLOOKUP(AG201,Leathers!$A$2:$A$99,Leathers!$B$2:$B$99,0)+(140*_xlfn.XLOOKUP(B201,Animals!B:B,Animals!AO:AO)*2),5)</f>
        <v>155</v>
      </c>
      <c r="AX201" s="8">
        <f>IFERROR(ROUND(SQRT(V201-1)*IF(_xlfn.XLOOKUP(E201,Groups!A:A,Groups!BF:BF)=0,2,1)*IF(_xlfn.XLOOKUP('Base stats'!E201,Groups!A:A,Groups!O:O)=0,1,0.1),1),0)</f>
        <v>3.5</v>
      </c>
      <c r="AY201" s="8">
        <f t="shared" si="91"/>
        <v>0</v>
      </c>
      <c r="AZ201" s="8">
        <f t="shared" si="92"/>
        <v>0</v>
      </c>
      <c r="BA201" s="8">
        <f t="shared" si="93"/>
        <v>2.2999999999999998</v>
      </c>
      <c r="BB201" s="8">
        <f>IF(_xlfn.XLOOKUP(E201,Groups!A:A,Groups!N:N)="Insect",BD201*2.5,IFERROR(AVERAGE(BD201,AT201/9.81/IF(OR(_xlfn.XLOOKUP(E201,Groups!A:A,Groups!N:N)="Pig",_xlfn.XLOOKUP(E201,Groups!A:A,Groups!N:N)="StrongBitingHerbivore"),20,25))*C201^-0.135,BD201))</f>
        <v>0.37519987390432724</v>
      </c>
      <c r="BC201" s="8" t="str">
        <f>IF(W201="No","No",IF(_xlfn.XLOOKUP(E201,Groups!A:A,Groups!U:U)=1,'Base stats'!BB201,IF(OR(_xlfn.XLOOKUP(E201,Groups!A:A,Groups!BD:BD)=1,_xlfn.XLOOKUP(E201,Groups!A:A,Groups!U:U)=2),BD201,IF(_xlfn.XLOOKUP(B201,Animals!B:B,Animals!AO:AO)&gt;4,AVERAGE(BD201,BF201),BF201))))</f>
        <v>No</v>
      </c>
      <c r="BD201" s="8">
        <f t="shared" si="94"/>
        <v>0.37519987390432724</v>
      </c>
      <c r="BE201" s="8">
        <f>IF(_xlfn.XLOOKUP(E201,Groups!A:A,Groups!BE:BE)=1,(0.048*C201^1.01)+(0.071*C201^1.03),0.071*C201^1.03)/IF(_xlfn.XLOOKUP(E201,Groups!A:A,Groups!M:M)=1,0.85,IF(OR(_xlfn.XLOOKUP(B201,Animals!B:B,Animals!AO:AO)&gt;4,_xlfn.XLOOKUP(E201,Groups!A:A,Groups!BC:BC)=1),1.7,1))*C201^-0.25</f>
        <v>0.43212841428041765</v>
      </c>
      <c r="BF201" s="8">
        <f>(0.048*C201^1.01)/IF(_xlfn.XLOOKUP(E201,Groups!A:A,Groups!M:M)=1,0.25,0.8)*C201^-0.25</f>
        <v>0.58470128338370886</v>
      </c>
      <c r="BG201" s="8">
        <f>EXP(1.076*LN(AR201)-4.5397)*IF(_xlfn.XLOOKUP(E201,Groups!A:A,Groups!BC:BC)=1,1.25,IF(_xlfn.XLOOKUP(E201,Groups!A:A,Groups!BD:BD)=1,3.5,2.5))</f>
        <v>14.968563372073916</v>
      </c>
      <c r="BH201" s="8">
        <f>EXP(1.076*LN(AS201)-4.5397)*IF(_xlfn.XLOOKUP(E201,Groups!A:A,Groups!M:M)=1,0.8,IF(_xlfn.XLOOKUP(E201,Groups!A:A,Groups!BC:BC)=1,1.3,3))</f>
        <v>17.870293043760679</v>
      </c>
      <c r="BI201" s="8" t="str">
        <f>IF(W201="No","No",IF(_xlfn.XLOOKUP(E201,Groups!A:A,Groups!U:U)=1,'Base stats'!BJ201,IF(OR(_xlfn.XLOOKUP(E201,Groups!A:A,Groups!BD:BD)=1,_xlfn.XLOOKUP(E201,Groups!A:A,Groups!U:U)=2),BG201,BH201))*1.2)</f>
        <v>No</v>
      </c>
      <c r="BJ201" s="8" t="str">
        <f>IFERROR(EXP(1.076*LN(AT201)-4.5397)*IF(_xlfn.XLOOKUP(E201,Groups!A:A,Groups!N:N)="Insect",1,IF(OR(_xlfn.XLOOKUP(E201,Groups!A:A,Groups!N:N)="Pig",_xlfn.XLOOKUP(E201,Groups!A:A,Groups!N:N)="StrongBitingHerbivore"),3.5,3.75)),"No")</f>
        <v>No</v>
      </c>
      <c r="BK201" s="8">
        <f t="shared" si="95"/>
        <v>8</v>
      </c>
      <c r="BL201" s="8">
        <f t="shared" si="96"/>
        <v>9</v>
      </c>
      <c r="BM201" s="8" t="str">
        <f t="shared" si="97"/>
        <v>No</v>
      </c>
      <c r="BN201" s="8" t="e">
        <f t="shared" si="98"/>
        <v>#VALUE!</v>
      </c>
      <c r="BO201" s="8">
        <f t="shared" si="99"/>
        <v>7</v>
      </c>
      <c r="BP201" s="8" cm="1">
        <f t="array" ref="BP201">IF(AND(_xlfn.XLOOKUP('Base stats'!E201,Groups!A:A,Groups!AD:AD=0),_xlfn.XLOOKUP('Base stats'!E201,Groups!A:A,Groups!P:P=0)),"No",IF(U201="No",AVERAGE(EXP(-0.57+0.99*LN(C201)),EXP(0.32+0.67*LN(C201)))/IF(_xlfn.XLOOKUP(E201,Groups!A:A,Groups!AD:AD)=1,10,2),(0.7354*C201^0.4078)*2/IF(_xlfn.XLOOKUP(E201,Groups!A:A,Groups!BK:BK)=1,1000,100)/IF(_xlfn.XLOOKUP(E201,Groups!A:A,Groups!AJ:AJ)="Photonozoa",3,1)))</f>
        <v>1.0612648085078589</v>
      </c>
      <c r="BQ201" s="8" t="str">
        <f>IF(W201="No","No",IF(_xlfn.XLOOKUP(E201,Groups!A:A,Groups!BD:BD)=1,(AO201*5%),EXP(0.7354*LN(C201)^0.4078)*2/IF(_xlfn.XLOOKUP(E201,Groups!A:A,Groups!BL:BL)=1,1000,100)/IF(_xlfn.XLOOKUP(E201,Groups!A:A,Groups!AJ:AJ)="Photonozoa",3,1)))</f>
        <v>No</v>
      </c>
      <c r="BR201" s="8" t="str">
        <f>IF(BJ201="No","No",IF(_xlfn.XLOOKUP(E201,Groups!A:A,Groups!BF:BF)=1,(0.0315*C201+2.1825)*2,(0.7354*C201^0.4078)*2)/IF(_xlfn.XLOOKUP(E201,Groups!A:A,Groups!BM:BM)=1,1000,100)/IF(_xlfn.XLOOKUP(E201,Groups!A:A,Groups!AJ:AJ)="Photonozoa",3,1))</f>
        <v>No</v>
      </c>
      <c r="BS201" s="8">
        <f t="shared" si="100"/>
        <v>3.8478456264129914E-2</v>
      </c>
      <c r="BT201" s="8">
        <f t="shared" si="101"/>
        <v>16.838674853344433</v>
      </c>
      <c r="BU201" s="8" t="str">
        <f t="shared" si="102"/>
        <v>No</v>
      </c>
      <c r="BV201" s="8" t="str">
        <f t="shared" si="103"/>
        <v>No</v>
      </c>
      <c r="BW201" s="4">
        <v>0</v>
      </c>
      <c r="BX201" s="4">
        <v>1</v>
      </c>
    </row>
    <row r="202" spans="1:76" s="16" customFormat="1" x14ac:dyDescent="0.25">
      <c r="A202" s="26" t="s">
        <v>1337</v>
      </c>
      <c r="B202" s="6" t="s">
        <v>1604</v>
      </c>
      <c r="C202" s="7">
        <v>5</v>
      </c>
      <c r="D202" s="7" t="s">
        <v>528</v>
      </c>
      <c r="E202" s="7" t="str">
        <f>Groups!$A$91</f>
        <v>LandJellyfish</v>
      </c>
      <c r="F202" s="7" t="s">
        <v>1700</v>
      </c>
      <c r="G202" s="7">
        <v>0.5</v>
      </c>
      <c r="H202" s="7">
        <v>10</v>
      </c>
      <c r="I202" s="4">
        <v>1</v>
      </c>
      <c r="J202" s="7" t="s">
        <v>1700</v>
      </c>
      <c r="K202" s="7" t="s">
        <v>528</v>
      </c>
      <c r="L202" s="7">
        <v>22</v>
      </c>
      <c r="M202" s="7" t="s">
        <v>528</v>
      </c>
      <c r="N202" s="4">
        <v>0</v>
      </c>
      <c r="O202" s="4">
        <v>0</v>
      </c>
      <c r="P202" s="4">
        <v>0</v>
      </c>
      <c r="Q202" s="4">
        <v>0</v>
      </c>
      <c r="R202" s="4" t="s">
        <v>40</v>
      </c>
      <c r="S202" s="7">
        <f>_xlfn.XLOOKUP(B202,[1]TeethAdjusters!$A:$A,[1]BiteAdjusters!$C:$C,1)</f>
        <v>1</v>
      </c>
      <c r="T202" s="7">
        <f>_xlfn.XLOOKUP(B202,[1]TeethAdjusters!$A:$A,[1]TeethAdjusters!$B:$B,1)</f>
        <v>1</v>
      </c>
      <c r="U202" s="7" t="s">
        <v>45</v>
      </c>
      <c r="V202" s="7">
        <v>1</v>
      </c>
      <c r="W202" s="7" t="str">
        <f>IF(_xlfn.XLOOKUP(E202,Groups!A:A,Groups!V:V)&lt;&gt;"No","Need a formula","No")</f>
        <v>No</v>
      </c>
      <c r="X202" s="7" t="s">
        <v>932</v>
      </c>
      <c r="Y202" s="4" t="s">
        <v>42</v>
      </c>
      <c r="Z202" s="4">
        <v>1</v>
      </c>
      <c r="AA202" s="4">
        <v>0</v>
      </c>
      <c r="AB202" s="4">
        <v>0</v>
      </c>
      <c r="AC202" s="4">
        <v>0</v>
      </c>
      <c r="AD202" s="4">
        <v>0</v>
      </c>
      <c r="AE202" s="4" t="s">
        <v>45</v>
      </c>
      <c r="AF202" s="4" t="s">
        <v>399</v>
      </c>
      <c r="AG202" s="49" t="s">
        <v>45</v>
      </c>
      <c r="AH202" s="4" t="s">
        <v>45</v>
      </c>
      <c r="AI202" s="4">
        <v>0</v>
      </c>
      <c r="AJ202" s="4">
        <v>0</v>
      </c>
      <c r="AK202" s="4">
        <v>1</v>
      </c>
      <c r="AL202" s="4">
        <v>0</v>
      </c>
      <c r="AM202" s="4">
        <v>1</v>
      </c>
      <c r="AN202" s="44" t="s">
        <v>40</v>
      </c>
      <c r="AO202" s="8">
        <f t="shared" si="89"/>
        <v>3159.7555228095994</v>
      </c>
      <c r="AP202" s="8">
        <f>IFERROR(C202*_xlfn.XLOOKUP(E202,Groups!A:A,Groups!K:K),0.106*C202^0.94)</f>
        <v>0.48121335237829438</v>
      </c>
      <c r="AQ202" s="8">
        <f>AP202*10000/(_xlfn.XLOOKUP(E202,Groups!A:A,Groups!J:J)*AO202)</f>
        <v>1.3971971458223575</v>
      </c>
      <c r="AR202" s="8">
        <f t="shared" si="90"/>
        <v>211.76818398634828</v>
      </c>
      <c r="AS202" s="8">
        <f>IF(_xlfn.XLOOKUP(E202,Groups!A:A,Groups!M:M)=1,EXP(0.7444*LN('Base stats'!C202)+6.5696),EXP(0.7927*LN('Base stats'!C202)+4.28))</f>
        <v>258.73423965704086</v>
      </c>
      <c r="AT202" s="8" t="str">
        <f>IF(_xlfn.XLOOKUP(E202,Groups!A:A,Groups!N:N)="No","No",
IF(_xlfn.XLOOKUP(E202,Groups!A:A,Groups!N:N)="Crocodile",EXP(0.8129*LN(C202)+4.6742)*S202,
IF(_xlfn.XLOOKUP(E202,Groups!A:A,Groups!N:N)="Felid",EXP(0.7843*LN(C202)+4.7073)*S202,
IF(_xlfn.XLOOKUP(E202,Groups!A:A,Groups!N:N)="Canid",EXP(0.8367*LN(C202)+4.8763)*S202,
IF(_xlfn.XLOOKUP(E202,Groups!A:A,Groups!N:N)="Pig",EXP(0.3439*LN(C202)+6.8519)*S202,
IF(_xlfn.XLOOKUP(E202,Groups!A:A,Groups!N:N)="Rodent",EXP(0.5625*LN(C202)+4.3006)*S202,
IF(_xlfn.XLOOKUP(E202,Groups!A:A,Groups!N:N)="Primate",EXP(0.7847*LN(C202)+3.4931)*S202,
IF(_xlfn.XLOOKUP(E202,Groups!A:A,Groups!N:N)="MiscCarnivora",EXP(0.7486*LN(C202)+4.2207)*S202,
IF(_xlfn.XLOOKUP(E202,Groups!A:A,Groups!N:N)="Lizard",EXP(0.7733*LN(C202)+5.5303)*S202,
IF(_xlfn.XLOOKUP(E202,Groups!A:A,Groups!N:N)="Snake",50*C202^(2/3)*S202,
IF(_xlfn.XLOOKUP(E202,Groups!A:A,Groups!N:N)="StrongBitingHerbivore",87.1133638856975*C202^(2/3)*S202,
IF(_xlfn.XLOOKUP(E202,Groups!A:A,Groups!N:N)="MiscEctotherms",59.4316884072269*C202^(2/3)*S202,
IF(_xlfn.XLOOKUP(E202,Groups!A:A,Groups!N:N)="StrongBeakBird",0.041*(C202*1000)^1.375*S202,
IF(_xlfn.XLOOKUP(E202,Groups!A:A,Groups!N:N)="Bird",0.118*(C202*1000)^0.692*S202,
IF(_xlfn.XLOOKUP(E202,Groups!A:A,Groups!N:N)="Insect",EXP(0.7444*LN(C202)+6.5696)*S202,
IF(_xlfn.XLOOKUP(E202,Groups!A:A,Groups!N:N)="Theropod",EXP(0.6966*LN(C202)+4.158)*S202,
"No"))))))))))))))))</f>
        <v>No</v>
      </c>
      <c r="AU202" s="8" t="str">
        <f>IF(_xlfn.XLOOKUP(E202,Groups!A:A,Groups!U:U)=3,AS202,IF(_xlfn.XLOOKUP(E202,Groups!A:A,Groups!U:U)=2,AR202,AT202))</f>
        <v>No</v>
      </c>
      <c r="AV202" s="46">
        <f>IFERROR(AVERAGE(_xlfn.XLOOKUP(B202,Animals!B:B,Animals!N:N),_xlfn.XLOOKUP(B202,Animals!B:B,Animals!O:O)),0)</f>
        <v>0</v>
      </c>
      <c r="AW202" s="8">
        <f>MROUND(40*Animals!AO202*_xlfn.XLOOKUP(AG202,Leathers!$A$2:$A$99,Leathers!$B$2:$B$99,0)+(140*_xlfn.XLOOKUP(B202,Animals!B:B,Animals!AO:AO)*2),5)</f>
        <v>85</v>
      </c>
      <c r="AX202" s="8">
        <f>IFERROR(ROUND(SQRT(V202-1)*IF(_xlfn.XLOOKUP(E202,Groups!A:A,Groups!BF:BF)=0,2,1)*IF(_xlfn.XLOOKUP('Base stats'!E202,Groups!A:A,Groups!O:O)=0,1,0.1),1),0)</f>
        <v>0</v>
      </c>
      <c r="AY202" s="8">
        <f t="shared" si="91"/>
        <v>0</v>
      </c>
      <c r="AZ202" s="8">
        <f t="shared" si="92"/>
        <v>0</v>
      </c>
      <c r="BA202" s="8">
        <f t="shared" si="93"/>
        <v>1.1000000000000001</v>
      </c>
      <c r="BB202" s="8">
        <f>IF(_xlfn.XLOOKUP(E202,Groups!A:A,Groups!N:N)="Insect",BD202*2.5,IFERROR(AVERAGE(BD202,AT202/9.81/IF(OR(_xlfn.XLOOKUP(E202,Groups!A:A,Groups!N:N)="Pig",_xlfn.XLOOKUP(E202,Groups!A:A,Groups!N:N)="StrongBitingHerbivore"),20,25))*C202^-0.135,BD202))</f>
        <v>0.13191963781682639</v>
      </c>
      <c r="BC202" s="8" t="str">
        <f>IF(W202="No","No",IF(_xlfn.XLOOKUP(E202,Groups!A:A,Groups!U:U)=1,'Base stats'!BB202,IF(OR(_xlfn.XLOOKUP(E202,Groups!A:A,Groups!BD:BD)=1,_xlfn.XLOOKUP(E202,Groups!A:A,Groups!U:U)=2),BD202,IF(_xlfn.XLOOKUP(B202,Animals!B:B,Animals!AO:AO)&gt;4,AVERAGE(BD202,BF202),BF202))))</f>
        <v>No</v>
      </c>
      <c r="BD202" s="8">
        <f t="shared" si="94"/>
        <v>0.13191963781682639</v>
      </c>
      <c r="BE202" s="8">
        <f>IF(_xlfn.XLOOKUP(E202,Groups!A:A,Groups!BE:BE)=1,(0.048*C202^1.01)+(0.071*C202^1.03),0.071*C202^1.03)/IF(_xlfn.XLOOKUP(E202,Groups!A:A,Groups!M:M)=1,0.85,IF(OR(_xlfn.XLOOKUP(B202,Animals!B:B,Animals!AO:AO)&gt;4,_xlfn.XLOOKUP(E202,Groups!A:A,Groups!BC:BC)=1),1.7,1))*C202^-0.25</f>
        <v>0.14655681920647873</v>
      </c>
      <c r="BF202" s="8">
        <f>(0.048*C202^1.01)/IF(_xlfn.XLOOKUP(E202,Groups!A:A,Groups!M:M)=1,0.25,0.8)*C202^-0.25</f>
        <v>0.20387710292659536</v>
      </c>
      <c r="BG202" s="8">
        <f>EXP(1.076*LN(AR202)-4.5397)*IF(_xlfn.XLOOKUP(E202,Groups!A:A,Groups!BC:BC)=1,1.25,IF(_xlfn.XLOOKUP(E202,Groups!A:A,Groups!BD:BD)=1,3.5,2.5))</f>
        <v>4.2458972489703726</v>
      </c>
      <c r="BH202" s="8">
        <f>EXP(1.076*LN(AS202)-4.5397)*IF(_xlfn.XLOOKUP(E202,Groups!A:A,Groups!M:M)=1,0.8,IF(_xlfn.XLOOKUP(E202,Groups!A:A,Groups!BC:BC)=1,1.3,3))</f>
        <v>5.4778166858251804</v>
      </c>
      <c r="BI202" s="8" t="str">
        <f>IF(W202="No","No",IF(_xlfn.XLOOKUP(E202,Groups!A:A,Groups!U:U)=1,'Base stats'!BJ202,IF(OR(_xlfn.XLOOKUP(E202,Groups!A:A,Groups!BD:BD)=1,_xlfn.XLOOKUP(E202,Groups!A:A,Groups!U:U)=2),BG202,BH202))*1.2)</f>
        <v>No</v>
      </c>
      <c r="BJ202" s="8" t="str">
        <f>IFERROR(EXP(1.076*LN(AT202)-4.5397)*IF(_xlfn.XLOOKUP(E202,Groups!A:A,Groups!N:N)="Insect",1,IF(OR(_xlfn.XLOOKUP(E202,Groups!A:A,Groups!N:N)="Pig",_xlfn.XLOOKUP(E202,Groups!A:A,Groups!N:N)="StrongBitingHerbivore"),3.5,3.75)),"No")</f>
        <v>No</v>
      </c>
      <c r="BK202" s="8">
        <f t="shared" si="95"/>
        <v>8</v>
      </c>
      <c r="BL202" s="8">
        <f t="shared" si="96"/>
        <v>8</v>
      </c>
      <c r="BM202" s="8" t="str">
        <f t="shared" si="97"/>
        <v>No</v>
      </c>
      <c r="BN202" s="8" t="e">
        <f t="shared" si="98"/>
        <v>#VALUE!</v>
      </c>
      <c r="BO202" s="8">
        <f t="shared" si="99"/>
        <v>7</v>
      </c>
      <c r="BP202" s="8" cm="1">
        <f t="array" ref="BP202">IF(AND(_xlfn.XLOOKUP('Base stats'!E202,Groups!A:A,Groups!AD:AD=0),_xlfn.XLOOKUP('Base stats'!E202,Groups!A:A,Groups!P:P=0)),"No",IF(U202="No",AVERAGE(EXP(-0.57+0.99*LN(C202)),EXP(0.32+0.67*LN(C202)))/IF(_xlfn.XLOOKUP(E202,Groups!A:A,Groups!AD:AD)=1,10,2),(0.7354*C202^0.4078)*2/IF(_xlfn.XLOOKUP(E202,Groups!A:A,Groups!BK:BK)=1,1000,100)/IF(_xlfn.XLOOKUP(E202,Groups!A:A,Groups!AJ:AJ)="Photonozoa",3,1)))</f>
        <v>0.34154446358676577</v>
      </c>
      <c r="BQ202" s="8" t="str">
        <f>IF(W202="No","No",IF(_xlfn.XLOOKUP(E202,Groups!A:A,Groups!BD:BD)=1,(AO202*5%),EXP(0.7354*LN(C202)^0.4078)*2/IF(_xlfn.XLOOKUP(E202,Groups!A:A,Groups!BL:BL)=1,1000,100)/IF(_xlfn.XLOOKUP(E202,Groups!A:A,Groups!AJ:AJ)="Photonozoa",3,1)))</f>
        <v>No</v>
      </c>
      <c r="BR202" s="8" t="str">
        <f>IF(BJ202="No","No",IF(_xlfn.XLOOKUP(E202,Groups!A:A,Groups!BF:BF)=1,(0.0315*C202+2.1825)*2,(0.7354*C202^0.4078)*2)/IF(_xlfn.XLOOKUP(E202,Groups!A:A,Groups!BM:BM)=1,1000,100)/IF(_xlfn.XLOOKUP(E202,Groups!A:A,Groups!AJ:AJ)="Photonozoa",3,1))</f>
        <v>No</v>
      </c>
      <c r="BS202" s="8">
        <f t="shared" si="100"/>
        <v>2.6874846603290339E-2</v>
      </c>
      <c r="BT202" s="8">
        <f t="shared" si="101"/>
        <v>16.038370607151123</v>
      </c>
      <c r="BU202" s="8" t="str">
        <f t="shared" si="102"/>
        <v>No</v>
      </c>
      <c r="BV202" s="8" t="str">
        <f t="shared" si="103"/>
        <v>No</v>
      </c>
      <c r="BW202" s="4">
        <v>0</v>
      </c>
      <c r="BX202" s="4">
        <v>1</v>
      </c>
    </row>
    <row r="203" spans="1:76" s="16" customFormat="1" x14ac:dyDescent="0.25">
      <c r="A203" s="26" t="s">
        <v>1338</v>
      </c>
      <c r="B203" s="6" t="s">
        <v>1605</v>
      </c>
      <c r="C203" s="7">
        <v>150</v>
      </c>
      <c r="D203" s="7" t="s">
        <v>528</v>
      </c>
      <c r="E203" s="7" t="str">
        <f>Groups!$A$91</f>
        <v>LandJellyfish</v>
      </c>
      <c r="F203" s="7" t="s">
        <v>1700</v>
      </c>
      <c r="G203" s="7" t="s">
        <v>1700</v>
      </c>
      <c r="H203" s="7">
        <v>110</v>
      </c>
      <c r="I203" s="4">
        <v>1</v>
      </c>
      <c r="J203" s="7" t="s">
        <v>1700</v>
      </c>
      <c r="K203" s="7" t="s">
        <v>528</v>
      </c>
      <c r="L203" s="7">
        <v>22</v>
      </c>
      <c r="M203" s="7" t="s">
        <v>528</v>
      </c>
      <c r="N203" s="4">
        <v>0</v>
      </c>
      <c r="O203" s="4">
        <v>0</v>
      </c>
      <c r="P203" s="4">
        <v>0</v>
      </c>
      <c r="Q203" s="4">
        <v>0</v>
      </c>
      <c r="R203" s="4" t="s">
        <v>40</v>
      </c>
      <c r="S203" s="7">
        <f>_xlfn.XLOOKUP(B203,[1]TeethAdjusters!$A:$A,[1]BiteAdjusters!$C:$C,1)</f>
        <v>1</v>
      </c>
      <c r="T203" s="7">
        <f>_xlfn.XLOOKUP(B203,[1]TeethAdjusters!$A:$A,[1]TeethAdjusters!$B:$B,1)</f>
        <v>1</v>
      </c>
      <c r="U203" s="7" t="s">
        <v>45</v>
      </c>
      <c r="V203" s="7">
        <v>4</v>
      </c>
      <c r="W203" s="7" t="str">
        <f>IF(_xlfn.XLOOKUP(E203,Groups!A:A,Groups!V:V)&lt;&gt;"No","Need a formula","No")</f>
        <v>No</v>
      </c>
      <c r="X203" s="7" t="s">
        <v>932</v>
      </c>
      <c r="Y203" s="4" t="s">
        <v>42</v>
      </c>
      <c r="Z203" s="4">
        <v>1</v>
      </c>
      <c r="AA203" s="4">
        <v>0</v>
      </c>
      <c r="AB203" s="4">
        <v>0</v>
      </c>
      <c r="AC203" s="4">
        <v>0</v>
      </c>
      <c r="AD203" s="4">
        <v>0</v>
      </c>
      <c r="AE203" s="4" t="s">
        <v>45</v>
      </c>
      <c r="AF203" s="4" t="s">
        <v>45</v>
      </c>
      <c r="AG203" s="49" t="s">
        <v>45</v>
      </c>
      <c r="AH203" s="4" t="s">
        <v>45</v>
      </c>
      <c r="AI203" s="4">
        <v>0</v>
      </c>
      <c r="AJ203" s="4">
        <v>0</v>
      </c>
      <c r="AK203" s="4">
        <v>1</v>
      </c>
      <c r="AL203" s="4">
        <v>0</v>
      </c>
      <c r="AM203" s="4">
        <v>1</v>
      </c>
      <c r="AN203" s="44" t="s">
        <v>40</v>
      </c>
      <c r="AO203" s="8">
        <f t="shared" si="89"/>
        <v>28825.861601687579</v>
      </c>
      <c r="AP203" s="8">
        <f>IFERROR(C203*_xlfn.XLOOKUP(E203,Groups!A:A,Groups!K:K),0.106*C203^0.94)</f>
        <v>11.771495712556113</v>
      </c>
      <c r="AQ203" s="8">
        <f>AP203*10000/(_xlfn.XLOOKUP(E203,Groups!A:A,Groups!J:J)*AO203)</f>
        <v>3.7464751271603496</v>
      </c>
      <c r="AR203" s="8">
        <f t="shared" si="90"/>
        <v>3746.1489061563307</v>
      </c>
      <c r="AS203" s="8">
        <f>IF(_xlfn.XLOOKUP(E203,Groups!A:A,Groups!M:M)=1,EXP(0.7444*LN('Base stats'!C203)+6.5696),EXP(0.7927*LN('Base stats'!C203)+4.28))</f>
        <v>3835.0225645496203</v>
      </c>
      <c r="AT203" s="8" t="str">
        <f>IF(_xlfn.XLOOKUP(E203,Groups!A:A,Groups!N:N)="No","No",
IF(_xlfn.XLOOKUP(E203,Groups!A:A,Groups!N:N)="Crocodile",EXP(0.8129*LN(C203)+4.6742)*S203,
IF(_xlfn.XLOOKUP(E203,Groups!A:A,Groups!N:N)="Felid",EXP(0.7843*LN(C203)+4.7073)*S203,
IF(_xlfn.XLOOKUP(E203,Groups!A:A,Groups!N:N)="Canid",EXP(0.8367*LN(C203)+4.8763)*S203,
IF(_xlfn.XLOOKUP(E203,Groups!A:A,Groups!N:N)="Pig",EXP(0.3439*LN(C203)+6.8519)*S203,
IF(_xlfn.XLOOKUP(E203,Groups!A:A,Groups!N:N)="Rodent",EXP(0.5625*LN(C203)+4.3006)*S203,
IF(_xlfn.XLOOKUP(E203,Groups!A:A,Groups!N:N)="Primate",EXP(0.7847*LN(C203)+3.4931)*S203,
IF(_xlfn.XLOOKUP(E203,Groups!A:A,Groups!N:N)="MiscCarnivora",EXP(0.7486*LN(C203)+4.2207)*S203,
IF(_xlfn.XLOOKUP(E203,Groups!A:A,Groups!N:N)="Lizard",EXP(0.7733*LN(C203)+5.5303)*S203,
IF(_xlfn.XLOOKUP(E203,Groups!A:A,Groups!N:N)="Snake",50*C203^(2/3)*S203,
IF(_xlfn.XLOOKUP(E203,Groups!A:A,Groups!N:N)="StrongBitingHerbivore",87.1133638856975*C203^(2/3)*S203,
IF(_xlfn.XLOOKUP(E203,Groups!A:A,Groups!N:N)="MiscEctotherms",59.4316884072269*C203^(2/3)*S203,
IF(_xlfn.XLOOKUP(E203,Groups!A:A,Groups!N:N)="StrongBeakBird",0.041*(C203*1000)^1.375*S203,
IF(_xlfn.XLOOKUP(E203,Groups!A:A,Groups!N:N)="Bird",0.118*(C203*1000)^0.692*S203,
IF(_xlfn.XLOOKUP(E203,Groups!A:A,Groups!N:N)="Insect",EXP(0.7444*LN(C203)+6.5696)*S203,
IF(_xlfn.XLOOKUP(E203,Groups!A:A,Groups!N:N)="Theropod",EXP(0.6966*LN(C203)+4.158)*S203,
"No"))))))))))))))))</f>
        <v>No</v>
      </c>
      <c r="AU203" s="8" t="str">
        <f>IF(_xlfn.XLOOKUP(E203,Groups!A:A,Groups!U:U)=3,AS203,IF(_xlfn.XLOOKUP(E203,Groups!A:A,Groups!U:U)=2,AR203,AT203))</f>
        <v>No</v>
      </c>
      <c r="AV203" s="46">
        <f>IFERROR(AVERAGE(_xlfn.XLOOKUP(B203,Animals!B:B,Animals!N:N),_xlfn.XLOOKUP(B203,Animals!B:B,Animals!O:O)),0)</f>
        <v>0</v>
      </c>
      <c r="AW203" s="8">
        <f>MROUND(40*Animals!AO203*_xlfn.XLOOKUP(AG203,Leathers!$A$2:$A$99,Leathers!$B$2:$B$99,0)+(140*_xlfn.XLOOKUP(B203,Animals!B:B,Animals!AO:AO)*2),5)</f>
        <v>420</v>
      </c>
      <c r="AX203" s="8">
        <f>IFERROR(ROUND(SQRT(V203-1)*IF(_xlfn.XLOOKUP(E203,Groups!A:A,Groups!BF:BF)=0,2,1)*IF(_xlfn.XLOOKUP('Base stats'!E203,Groups!A:A,Groups!O:O)=0,1,0.1),1),0)</f>
        <v>3.5</v>
      </c>
      <c r="AY203" s="8">
        <f t="shared" si="91"/>
        <v>0</v>
      </c>
      <c r="AZ203" s="8">
        <f t="shared" si="92"/>
        <v>0</v>
      </c>
      <c r="BA203" s="8">
        <f t="shared" si="93"/>
        <v>4.8</v>
      </c>
      <c r="BB203" s="8">
        <f>IF(_xlfn.XLOOKUP(E203,Groups!A:A,Groups!N:N)="Insect",BD203*2.5,IFERROR(AVERAGE(BD203,AT203/9.81/IF(OR(_xlfn.XLOOKUP(E203,Groups!A:A,Groups!N:N)="Pig",_xlfn.XLOOKUP(E203,Groups!A:A,Groups!N:N)="StrongBitingHerbivore"),20,25))*C203^-0.135,BD203))</f>
        <v>1.7141896806845596</v>
      </c>
      <c r="BC203" s="8" t="str">
        <f>IF(W203="No","No",IF(_xlfn.XLOOKUP(E203,Groups!A:A,Groups!U:U)=1,'Base stats'!BB203,IF(OR(_xlfn.XLOOKUP(E203,Groups!A:A,Groups!BD:BD)=1,_xlfn.XLOOKUP(E203,Groups!A:A,Groups!U:U)=2),BD203,IF(_xlfn.XLOOKUP(B203,Animals!B:B,Animals!AO:AO)&gt;4,AVERAGE(BD203,BF203),BF203))))</f>
        <v>No</v>
      </c>
      <c r="BD203" s="8">
        <f t="shared" si="94"/>
        <v>1.7141896806845596</v>
      </c>
      <c r="BE203" s="8">
        <f>IF(_xlfn.XLOOKUP(E203,Groups!A:A,Groups!BE:BE)=1,(0.048*C203^1.01)+(0.071*C203^1.03),0.071*C203^1.03)/IF(_xlfn.XLOOKUP(E203,Groups!A:A,Groups!M:M)=1,0.85,IF(OR(_xlfn.XLOOKUP(B203,Animals!B:B,Animals!AO:AO)&gt;4,_xlfn.XLOOKUP(E203,Groups!A:A,Groups!BC:BC)=1),1.7,1))*C203^-0.25</f>
        <v>2.0804659361508957</v>
      </c>
      <c r="BF203" s="8">
        <f>(0.048*C203^1.01)/IF(_xlfn.XLOOKUP(E203,Groups!A:A,Groups!M:M)=1,0.25,0.8)*C203^-0.25</f>
        <v>2.7038376258152188</v>
      </c>
      <c r="BG203" s="8">
        <f>EXP(1.076*LN(AR203)-4.5397)*IF(_xlfn.XLOOKUP(E203,Groups!A:A,Groups!BC:BC)=1,1.25,IF(_xlfn.XLOOKUP(E203,Groups!A:A,Groups!BD:BD)=1,3.5,2.5))</f>
        <v>93.437423078027194</v>
      </c>
      <c r="BH203" s="8">
        <f>EXP(1.076*LN(AS203)-4.5397)*IF(_xlfn.XLOOKUP(E203,Groups!A:A,Groups!M:M)=1,0.8,IF(_xlfn.XLOOKUP(E203,Groups!A:A,Groups!BC:BC)=1,1.3,3))</f>
        <v>99.657727246151907</v>
      </c>
      <c r="BI203" s="8" t="str">
        <f>IF(W203="No","No",IF(_xlfn.XLOOKUP(E203,Groups!A:A,Groups!U:U)=1,'Base stats'!BJ203,IF(OR(_xlfn.XLOOKUP(E203,Groups!A:A,Groups!BD:BD)=1,_xlfn.XLOOKUP(E203,Groups!A:A,Groups!U:U)=2),BG203,BH203))*1.2)</f>
        <v>No</v>
      </c>
      <c r="BJ203" s="8" t="str">
        <f>IFERROR(EXP(1.076*LN(AT203)-4.5397)*IF(_xlfn.XLOOKUP(E203,Groups!A:A,Groups!N:N)="Insect",1,IF(OR(_xlfn.XLOOKUP(E203,Groups!A:A,Groups!N:N)="Pig",_xlfn.XLOOKUP(E203,Groups!A:A,Groups!N:N)="StrongBitingHerbivore"),3.5,3.75)),"No")</f>
        <v>No</v>
      </c>
      <c r="BK203" s="8">
        <f t="shared" si="95"/>
        <v>10</v>
      </c>
      <c r="BL203" s="8">
        <f t="shared" si="96"/>
        <v>9</v>
      </c>
      <c r="BM203" s="8" t="str">
        <f t="shared" si="97"/>
        <v>No</v>
      </c>
      <c r="BN203" s="8" t="e">
        <f t="shared" si="98"/>
        <v>#VALUE!</v>
      </c>
      <c r="BO203" s="8">
        <f t="shared" si="99"/>
        <v>8</v>
      </c>
      <c r="BP203" s="8" cm="1">
        <f t="array" ref="BP203">IF(AND(_xlfn.XLOOKUP('Base stats'!E203,Groups!A:A,Groups!AD:AD=0),_xlfn.XLOOKUP('Base stats'!E203,Groups!A:A,Groups!P:P=0)),"No",IF(U203="No",AVERAGE(EXP(-0.57+0.99*LN(C203)),EXP(0.32+0.67*LN(C203)))/IF(_xlfn.XLOOKUP(E203,Groups!A:A,Groups!AD:AD)=1,10,2),(0.7354*C203^0.4078)*2/IF(_xlfn.XLOOKUP(E203,Groups!A:A,Groups!BK:BK)=1,1000,100)/IF(_xlfn.XLOOKUP(E203,Groups!A:A,Groups!AJ:AJ)="Photonozoa",3,1)))</f>
        <v>6.0107842131370601</v>
      </c>
      <c r="BQ203" s="8" t="str">
        <f>IF(W203="No","No",IF(_xlfn.XLOOKUP(E203,Groups!A:A,Groups!BD:BD)=1,(AO203*5%),EXP(0.7354*LN(C203)^0.4078)*2/IF(_xlfn.XLOOKUP(E203,Groups!A:A,Groups!BL:BL)=1,1000,100)/IF(_xlfn.XLOOKUP(E203,Groups!A:A,Groups!AJ:AJ)="Photonozoa",3,1)))</f>
        <v>No</v>
      </c>
      <c r="BR203" s="8" t="str">
        <f>IF(BJ203="No","No",IF(_xlfn.XLOOKUP(E203,Groups!A:A,Groups!BF:BF)=1,(0.0315*C203+2.1825)*2,(0.7354*C203^0.4078)*2)/IF(_xlfn.XLOOKUP(E203,Groups!A:A,Groups!BM:BM)=1,1000,100)/IF(_xlfn.XLOOKUP(E203,Groups!A:A,Groups!AJ:AJ)="Photonozoa",3,1))</f>
        <v>No</v>
      </c>
      <c r="BS203" s="8">
        <f t="shared" si="100"/>
        <v>6.4828884818177987E-2</v>
      </c>
      <c r="BT203" s="8">
        <f t="shared" si="101"/>
        <v>16.579821153509688</v>
      </c>
      <c r="BU203" s="8" t="str">
        <f t="shared" si="102"/>
        <v>No</v>
      </c>
      <c r="BV203" s="8" t="str">
        <f t="shared" si="103"/>
        <v>No</v>
      </c>
      <c r="BW203" s="4">
        <v>0</v>
      </c>
      <c r="BX203" s="4">
        <v>1</v>
      </c>
    </row>
    <row r="204" spans="1:76" s="16" customFormat="1" x14ac:dyDescent="0.25">
      <c r="A204" s="26" t="s">
        <v>1484</v>
      </c>
      <c r="B204" s="6" t="s">
        <v>1606</v>
      </c>
      <c r="C204" s="7">
        <v>5</v>
      </c>
      <c r="D204" s="7" t="s">
        <v>528</v>
      </c>
      <c r="E204" s="7" t="str">
        <f>Groups!$A$91</f>
        <v>LandJellyfish</v>
      </c>
      <c r="F204" s="7" t="s">
        <v>1700</v>
      </c>
      <c r="G204" s="7">
        <v>0.5</v>
      </c>
      <c r="H204" s="7">
        <v>10</v>
      </c>
      <c r="I204" s="4">
        <v>1</v>
      </c>
      <c r="J204" s="7" t="s">
        <v>1700</v>
      </c>
      <c r="K204" s="7" t="s">
        <v>528</v>
      </c>
      <c r="L204" s="7">
        <v>22</v>
      </c>
      <c r="M204" s="7" t="s">
        <v>528</v>
      </c>
      <c r="N204" s="4">
        <v>0</v>
      </c>
      <c r="O204" s="4">
        <v>0</v>
      </c>
      <c r="P204" s="4">
        <v>0</v>
      </c>
      <c r="Q204" s="4">
        <v>0</v>
      </c>
      <c r="R204" s="4" t="s">
        <v>40</v>
      </c>
      <c r="S204" s="7">
        <f>_xlfn.XLOOKUP(B204,[1]TeethAdjusters!$A:$A,[1]BiteAdjusters!$C:$C,1)</f>
        <v>1</v>
      </c>
      <c r="T204" s="7">
        <f>_xlfn.XLOOKUP(B204,[1]TeethAdjusters!$A:$A,[1]TeethAdjusters!$B:$B,1)</f>
        <v>1</v>
      </c>
      <c r="U204" s="7" t="s">
        <v>45</v>
      </c>
      <c r="V204" s="7">
        <v>1</v>
      </c>
      <c r="W204" s="7" t="str">
        <f>IF(_xlfn.XLOOKUP(E204,Groups!A:A,Groups!V:V)&lt;&gt;"No","Need a formula","No")</f>
        <v>No</v>
      </c>
      <c r="X204" s="7" t="s">
        <v>932</v>
      </c>
      <c r="Y204" s="4" t="s">
        <v>42</v>
      </c>
      <c r="Z204" s="4">
        <v>1</v>
      </c>
      <c r="AA204" s="4">
        <v>0</v>
      </c>
      <c r="AB204" s="4">
        <v>0</v>
      </c>
      <c r="AC204" s="4">
        <v>0</v>
      </c>
      <c r="AD204" s="4">
        <v>0</v>
      </c>
      <c r="AE204" s="4" t="s">
        <v>45</v>
      </c>
      <c r="AF204" s="4" t="s">
        <v>399</v>
      </c>
      <c r="AG204" s="49" t="s">
        <v>45</v>
      </c>
      <c r="AH204" s="4" t="s">
        <v>45</v>
      </c>
      <c r="AI204" s="4">
        <v>0</v>
      </c>
      <c r="AJ204" s="4">
        <v>0</v>
      </c>
      <c r="AK204" s="4">
        <v>1</v>
      </c>
      <c r="AL204" s="4">
        <v>0</v>
      </c>
      <c r="AM204" s="4">
        <v>1</v>
      </c>
      <c r="AN204" s="44" t="s">
        <v>40</v>
      </c>
      <c r="AO204" s="8">
        <f t="shared" si="89"/>
        <v>3159.7555228095994</v>
      </c>
      <c r="AP204" s="8">
        <f>IFERROR(C204*_xlfn.XLOOKUP(E204,Groups!A:A,Groups!K:K),0.106*C204^0.94)</f>
        <v>0.48121335237829438</v>
      </c>
      <c r="AQ204" s="8">
        <f>AP204*10000/(_xlfn.XLOOKUP(E204,Groups!A:A,Groups!J:J)*AO204)</f>
        <v>1.3971971458223575</v>
      </c>
      <c r="AR204" s="8">
        <f t="shared" si="90"/>
        <v>211.76818398634828</v>
      </c>
      <c r="AS204" s="8">
        <f>IF(_xlfn.XLOOKUP(E204,Groups!A:A,Groups!M:M)=1,EXP(0.7444*LN('Base stats'!C204)+6.5696),EXP(0.7927*LN('Base stats'!C204)+4.28))</f>
        <v>258.73423965704086</v>
      </c>
      <c r="AT204" s="8" t="str">
        <f>IF(_xlfn.XLOOKUP(E204,Groups!A:A,Groups!N:N)="No","No",
IF(_xlfn.XLOOKUP(E204,Groups!A:A,Groups!N:N)="Crocodile",EXP(0.8129*LN(C204)+4.6742)*S204,
IF(_xlfn.XLOOKUP(E204,Groups!A:A,Groups!N:N)="Felid",EXP(0.7843*LN(C204)+4.7073)*S204,
IF(_xlfn.XLOOKUP(E204,Groups!A:A,Groups!N:N)="Canid",EXP(0.8367*LN(C204)+4.8763)*S204,
IF(_xlfn.XLOOKUP(E204,Groups!A:A,Groups!N:N)="Pig",EXP(0.3439*LN(C204)+6.8519)*S204,
IF(_xlfn.XLOOKUP(E204,Groups!A:A,Groups!N:N)="Rodent",EXP(0.5625*LN(C204)+4.3006)*S204,
IF(_xlfn.XLOOKUP(E204,Groups!A:A,Groups!N:N)="Primate",EXP(0.7847*LN(C204)+3.4931)*S204,
IF(_xlfn.XLOOKUP(E204,Groups!A:A,Groups!N:N)="MiscCarnivora",EXP(0.7486*LN(C204)+4.2207)*S204,
IF(_xlfn.XLOOKUP(E204,Groups!A:A,Groups!N:N)="Lizard",EXP(0.7733*LN(C204)+5.5303)*S204,
IF(_xlfn.XLOOKUP(E204,Groups!A:A,Groups!N:N)="Snake",50*C204^(2/3)*S204,
IF(_xlfn.XLOOKUP(E204,Groups!A:A,Groups!N:N)="StrongBitingHerbivore",87.1133638856975*C204^(2/3)*S204,
IF(_xlfn.XLOOKUP(E204,Groups!A:A,Groups!N:N)="MiscEctotherms",59.4316884072269*C204^(2/3)*S204,
IF(_xlfn.XLOOKUP(E204,Groups!A:A,Groups!N:N)="StrongBeakBird",0.041*(C204*1000)^1.375*S204,
IF(_xlfn.XLOOKUP(E204,Groups!A:A,Groups!N:N)="Bird",0.118*(C204*1000)^0.692*S204,
IF(_xlfn.XLOOKUP(E204,Groups!A:A,Groups!N:N)="Insect",EXP(0.7444*LN(C204)+6.5696)*S204,
IF(_xlfn.XLOOKUP(E204,Groups!A:A,Groups!N:N)="Theropod",EXP(0.6966*LN(C204)+4.158)*S204,
"No"))))))))))))))))</f>
        <v>No</v>
      </c>
      <c r="AU204" s="8" t="str">
        <f>IF(_xlfn.XLOOKUP(E204,Groups!A:A,Groups!U:U)=3,AS204,IF(_xlfn.XLOOKUP(E204,Groups!A:A,Groups!U:U)=2,AR204,AT204))</f>
        <v>No</v>
      </c>
      <c r="AV204" s="46">
        <f>IFERROR(AVERAGE(_xlfn.XLOOKUP(B204,Animals!B:B,Animals!N:N),_xlfn.XLOOKUP(B204,Animals!B:B,Animals!O:O)),0)</f>
        <v>0</v>
      </c>
      <c r="AW204" s="8">
        <f>MROUND(40*Animals!AO204*_xlfn.XLOOKUP(AG204,Leathers!$A$2:$A$99,Leathers!$B$2:$B$99,0)+(140*_xlfn.XLOOKUP(B204,Animals!B:B,Animals!AO:AO)*2),5)</f>
        <v>85</v>
      </c>
      <c r="AX204" s="8">
        <f>IFERROR(ROUND(SQRT(V204-1)*IF(_xlfn.XLOOKUP(E204,Groups!A:A,Groups!BF:BF)=0,2,1)*IF(_xlfn.XLOOKUP('Base stats'!E204,Groups!A:A,Groups!O:O)=0,1,0.1),1),0)</f>
        <v>0</v>
      </c>
      <c r="AY204" s="8">
        <f t="shared" si="91"/>
        <v>0</v>
      </c>
      <c r="AZ204" s="8">
        <f t="shared" si="92"/>
        <v>0</v>
      </c>
      <c r="BA204" s="8">
        <f t="shared" si="93"/>
        <v>1.1000000000000001</v>
      </c>
      <c r="BB204" s="8">
        <f>IF(_xlfn.XLOOKUP(E204,Groups!A:A,Groups!N:N)="Insect",BD204*2.5,IFERROR(AVERAGE(BD204,AT204/9.81/IF(OR(_xlfn.XLOOKUP(E204,Groups!A:A,Groups!N:N)="Pig",_xlfn.XLOOKUP(E204,Groups!A:A,Groups!N:N)="StrongBitingHerbivore"),20,25))*C204^-0.135,BD204))</f>
        <v>0.13191963781682639</v>
      </c>
      <c r="BC204" s="8" t="str">
        <f>IF(W204="No","No",IF(_xlfn.XLOOKUP(E204,Groups!A:A,Groups!U:U)=1,'Base stats'!BB204,IF(OR(_xlfn.XLOOKUP(E204,Groups!A:A,Groups!BD:BD)=1,_xlfn.XLOOKUP(E204,Groups!A:A,Groups!U:U)=2),BD204,IF(_xlfn.XLOOKUP(B204,Animals!B:B,Animals!AO:AO)&gt;4,AVERAGE(BD204,BF204),BF204))))</f>
        <v>No</v>
      </c>
      <c r="BD204" s="8">
        <f t="shared" si="94"/>
        <v>0.13191963781682639</v>
      </c>
      <c r="BE204" s="8">
        <f>IF(_xlfn.XLOOKUP(E204,Groups!A:A,Groups!BE:BE)=1,(0.048*C204^1.01)+(0.071*C204^1.03),0.071*C204^1.03)/IF(_xlfn.XLOOKUP(E204,Groups!A:A,Groups!M:M)=1,0.85,IF(OR(_xlfn.XLOOKUP(B204,Animals!B:B,Animals!AO:AO)&gt;4,_xlfn.XLOOKUP(E204,Groups!A:A,Groups!BC:BC)=1),1.7,1))*C204^-0.25</f>
        <v>0.14655681920647873</v>
      </c>
      <c r="BF204" s="8">
        <f>(0.048*C204^1.01)/IF(_xlfn.XLOOKUP(E204,Groups!A:A,Groups!M:M)=1,0.25,0.8)*C204^-0.25</f>
        <v>0.20387710292659536</v>
      </c>
      <c r="BG204" s="8">
        <f>EXP(1.076*LN(AR204)-4.5397)*IF(_xlfn.XLOOKUP(E204,Groups!A:A,Groups!BC:BC)=1,1.25,IF(_xlfn.XLOOKUP(E204,Groups!A:A,Groups!BD:BD)=1,3.5,2.5))</f>
        <v>4.2458972489703726</v>
      </c>
      <c r="BH204" s="8">
        <f>EXP(1.076*LN(AS204)-4.5397)*IF(_xlfn.XLOOKUP(E204,Groups!A:A,Groups!M:M)=1,0.8,IF(_xlfn.XLOOKUP(E204,Groups!A:A,Groups!BC:BC)=1,1.3,3))</f>
        <v>5.4778166858251804</v>
      </c>
      <c r="BI204" s="8" t="str">
        <f>IF(W204="No","No",IF(_xlfn.XLOOKUP(E204,Groups!A:A,Groups!U:U)=1,'Base stats'!BJ204,IF(OR(_xlfn.XLOOKUP(E204,Groups!A:A,Groups!BD:BD)=1,_xlfn.XLOOKUP(E204,Groups!A:A,Groups!U:U)=2),BG204,BH204))*1.2)</f>
        <v>No</v>
      </c>
      <c r="BJ204" s="8" t="str">
        <f>IFERROR(EXP(1.076*LN(AT204)-4.5397)*IF(_xlfn.XLOOKUP(E204,Groups!A:A,Groups!N:N)="Insect",1,IF(OR(_xlfn.XLOOKUP(E204,Groups!A:A,Groups!N:N)="Pig",_xlfn.XLOOKUP(E204,Groups!A:A,Groups!N:N)="StrongBitingHerbivore"),3.5,3.75)),"No")</f>
        <v>No</v>
      </c>
      <c r="BK204" s="8">
        <f t="shared" si="95"/>
        <v>8</v>
      </c>
      <c r="BL204" s="8">
        <f t="shared" si="96"/>
        <v>8</v>
      </c>
      <c r="BM204" s="8" t="str">
        <f t="shared" si="97"/>
        <v>No</v>
      </c>
      <c r="BN204" s="8" t="e">
        <f t="shared" si="98"/>
        <v>#VALUE!</v>
      </c>
      <c r="BO204" s="8">
        <f t="shared" si="99"/>
        <v>7</v>
      </c>
      <c r="BP204" s="8" cm="1">
        <f t="array" ref="BP204">IF(AND(_xlfn.XLOOKUP('Base stats'!E204,Groups!A:A,Groups!AD:AD=0),_xlfn.XLOOKUP('Base stats'!E204,Groups!A:A,Groups!P:P=0)),"No",IF(U204="No",AVERAGE(EXP(-0.57+0.99*LN(C204)),EXP(0.32+0.67*LN(C204)))/IF(_xlfn.XLOOKUP(E204,Groups!A:A,Groups!AD:AD)=1,10,2),(0.7354*C204^0.4078)*2/IF(_xlfn.XLOOKUP(E204,Groups!A:A,Groups!BK:BK)=1,1000,100)/IF(_xlfn.XLOOKUP(E204,Groups!A:A,Groups!AJ:AJ)="Photonozoa",3,1)))</f>
        <v>0.34154446358676577</v>
      </c>
      <c r="BQ204" s="8" t="str">
        <f>IF(W204="No","No",IF(_xlfn.XLOOKUP(E204,Groups!A:A,Groups!BD:BD)=1,(AO204*5%),EXP(0.7354*LN(C204)^0.4078)*2/IF(_xlfn.XLOOKUP(E204,Groups!A:A,Groups!BL:BL)=1,1000,100)/IF(_xlfn.XLOOKUP(E204,Groups!A:A,Groups!AJ:AJ)="Photonozoa",3,1)))</f>
        <v>No</v>
      </c>
      <c r="BR204" s="8" t="str">
        <f>IF(BJ204="No","No",IF(_xlfn.XLOOKUP(E204,Groups!A:A,Groups!BF:BF)=1,(0.0315*C204+2.1825)*2,(0.7354*C204^0.4078)*2)/IF(_xlfn.XLOOKUP(E204,Groups!A:A,Groups!BM:BM)=1,1000,100)/IF(_xlfn.XLOOKUP(E204,Groups!A:A,Groups!AJ:AJ)="Photonozoa",3,1))</f>
        <v>No</v>
      </c>
      <c r="BS204" s="8">
        <f t="shared" si="100"/>
        <v>2.6874846603290339E-2</v>
      </c>
      <c r="BT204" s="8">
        <f t="shared" si="101"/>
        <v>16.038370607151123</v>
      </c>
      <c r="BU204" s="8" t="str">
        <f t="shared" si="102"/>
        <v>No</v>
      </c>
      <c r="BV204" s="8" t="str">
        <f t="shared" si="103"/>
        <v>No</v>
      </c>
      <c r="BW204" s="4">
        <v>0</v>
      </c>
      <c r="BX204" s="4">
        <v>1</v>
      </c>
    </row>
    <row r="205" spans="1:76" s="16" customFormat="1" x14ac:dyDescent="0.25">
      <c r="A205" s="26" t="s">
        <v>1347</v>
      </c>
      <c r="B205" s="6" t="s">
        <v>1607</v>
      </c>
      <c r="C205" s="7">
        <v>35</v>
      </c>
      <c r="D205" s="7" t="s">
        <v>528</v>
      </c>
      <c r="E205" s="7" t="str">
        <f>Groups!$A$74</f>
        <v>Butterfly</v>
      </c>
      <c r="F205" s="7" t="str">
        <f t="shared" ref="F205" si="104">"Lay eggs"</f>
        <v>Lay eggs</v>
      </c>
      <c r="G205" s="7" t="s">
        <v>1700</v>
      </c>
      <c r="H205" s="7">
        <v>2</v>
      </c>
      <c r="I205" s="4">
        <v>1</v>
      </c>
      <c r="J205" s="7" t="str">
        <f t="shared" ref="J205" si="105">"Lay eggs"</f>
        <v>Lay eggs</v>
      </c>
      <c r="K205" s="7" t="s">
        <v>528</v>
      </c>
      <c r="L205" s="7">
        <v>26</v>
      </c>
      <c r="M205" s="7" t="s">
        <v>528</v>
      </c>
      <c r="N205" s="4">
        <v>0</v>
      </c>
      <c r="O205" s="4">
        <v>0</v>
      </c>
      <c r="P205" s="4">
        <v>0</v>
      </c>
      <c r="Q205" s="4">
        <v>0</v>
      </c>
      <c r="R205" s="4" t="s">
        <v>40</v>
      </c>
      <c r="S205" s="7">
        <f>_xlfn.XLOOKUP(B205,[1]TeethAdjusters!$A:$A,[1]BiteAdjusters!$C:$C,1)</f>
        <v>1</v>
      </c>
      <c r="T205" s="7">
        <f>_xlfn.XLOOKUP(B205,[1]TeethAdjusters!$A:$A,[1]TeethAdjusters!$B:$B,1)</f>
        <v>1</v>
      </c>
      <c r="U205" s="7" t="str">
        <f>IF(OR(_xlfn.XLOOKUP(E205,Groups!A:A,Groups!P:P)=1,_xlfn.XLOOKUP(E205,Groups!A:A,Groups!AD:AD)=1),"Need a formula","No")</f>
        <v>No</v>
      </c>
      <c r="V205" s="7" t="str">
        <f>IF(AT205="No","No",IF(_xlfn.XLOOKUP(E205,Groups!A:A,Groups!AM:AM)=1,MROUND(EXP(0.3582*LN(C205)-0.2221)*T205,0.05),IF(_xlfn.XLOOKUP(E205,Groups!A:A,Groups!AM:AM)=2,MROUND(EXP(0.3582*LN(C205)-0.2221)*T205,0.05),"Need a formula")))</f>
        <v>No</v>
      </c>
      <c r="W205" s="7" t="str">
        <f>IF(_xlfn.XLOOKUP(E205,Groups!A:A,Groups!V:V)&lt;&gt;"No","Need a formula","No")</f>
        <v>No</v>
      </c>
      <c r="X205" s="7" t="s">
        <v>932</v>
      </c>
      <c r="Y205" s="4" t="s">
        <v>42</v>
      </c>
      <c r="Z205" s="4">
        <v>1</v>
      </c>
      <c r="AA205" s="4">
        <v>0</v>
      </c>
      <c r="AB205" s="4">
        <v>0</v>
      </c>
      <c r="AC205" s="4">
        <v>0</v>
      </c>
      <c r="AD205" s="4">
        <v>0</v>
      </c>
      <c r="AE205" s="4" t="s">
        <v>45</v>
      </c>
      <c r="AF205" s="4" t="s">
        <v>45</v>
      </c>
      <c r="AG205" s="49" t="s">
        <v>1712</v>
      </c>
      <c r="AH205" s="4" t="str">
        <f>Animals!$C$105</f>
        <v>&lt;li&gt;Megaspider&lt;/li&gt;</v>
      </c>
      <c r="AI205" s="4">
        <v>0</v>
      </c>
      <c r="AJ205" s="4">
        <v>0</v>
      </c>
      <c r="AK205" s="4">
        <v>0</v>
      </c>
      <c r="AL205" s="4">
        <v>0</v>
      </c>
      <c r="AM205" s="4">
        <v>1</v>
      </c>
      <c r="AN205" s="44" t="s">
        <v>40</v>
      </c>
      <c r="AO205" s="8">
        <f t="shared" si="89"/>
        <v>11193.533609727016</v>
      </c>
      <c r="AP205" s="8">
        <f>IFERROR(C205*_xlfn.XLOOKUP(E205,Groups!A:A,Groups!K:K),0.106*C205^0.94)</f>
        <v>11.200000000000001</v>
      </c>
      <c r="AQ205" s="8">
        <f>AP205*10000/(_xlfn.XLOOKUP(E205,Groups!A:A,Groups!J:J)*AO205)</f>
        <v>8.3381474150600727</v>
      </c>
      <c r="AR205" s="8">
        <f t="shared" si="90"/>
        <v>1095.7589503868378</v>
      </c>
      <c r="AS205" s="8">
        <f>IF(_xlfn.XLOOKUP(E205,Groups!A:A,Groups!M:M)=1,EXP(0.7444*LN('Base stats'!C205)+6.5696),EXP(0.7927*LN('Base stats'!C205)+4.28))</f>
        <v>1209.9380129875831</v>
      </c>
      <c r="AT205" s="8" t="str">
        <f>IF(_xlfn.XLOOKUP(E205,Groups!A:A,Groups!N:N)="No","No",
IF(_xlfn.XLOOKUP(E205,Groups!A:A,Groups!N:N)="Crocodile",EXP(0.8129*LN(C205)+4.6742)*S205,
IF(_xlfn.XLOOKUP(E205,Groups!A:A,Groups!N:N)="Felid",EXP(0.7843*LN(C205)+4.7073)*S205,
IF(_xlfn.XLOOKUP(E205,Groups!A:A,Groups!N:N)="Canid",EXP(0.8367*LN(C205)+4.8763)*S205,
IF(_xlfn.XLOOKUP(E205,Groups!A:A,Groups!N:N)="Pig",EXP(0.3439*LN(C205)+6.8519)*S205,
IF(_xlfn.XLOOKUP(E205,Groups!A:A,Groups!N:N)="Rodent",EXP(0.5625*LN(C205)+4.3006)*S205,
IF(_xlfn.XLOOKUP(E205,Groups!A:A,Groups!N:N)="Primate",EXP(0.7847*LN(C205)+3.4931)*S205,
IF(_xlfn.XLOOKUP(E205,Groups!A:A,Groups!N:N)="MiscCarnivora",EXP(0.7486*LN(C205)+4.2207)*S205,
IF(_xlfn.XLOOKUP(E205,Groups!A:A,Groups!N:N)="Lizard",EXP(0.7733*LN(C205)+5.5303)*S205,
IF(_xlfn.XLOOKUP(E205,Groups!A:A,Groups!N:N)="Snake",50*C205^(2/3)*S205,
IF(_xlfn.XLOOKUP(E205,Groups!A:A,Groups!N:N)="StrongBitingHerbivore",87.1133638856975*C205^(2/3)*S205,
IF(_xlfn.XLOOKUP(E205,Groups!A:A,Groups!N:N)="MiscEctotherms",59.4316884072269*C205^(2/3)*S205,
IF(_xlfn.XLOOKUP(E205,Groups!A:A,Groups!N:N)="StrongBeakBird",0.041*(C205*1000)^1.375*S205,
IF(_xlfn.XLOOKUP(E205,Groups!A:A,Groups!N:N)="Bird",0.118*(C205*1000)^0.692*S205,
IF(_xlfn.XLOOKUP(E205,Groups!A:A,Groups!N:N)="Insect",EXP(0.7444*LN(C205)+6.5696)*S205,
IF(_xlfn.XLOOKUP(E205,Groups!A:A,Groups!N:N)="Theropod",EXP(0.6966*LN(C205)+4.158)*S205,
"No"))))))))))))))))</f>
        <v>No</v>
      </c>
      <c r="AU205" s="8" t="str">
        <f>IF(_xlfn.XLOOKUP(E205,Groups!A:A,Groups!U:U)=3,AS205,IF(_xlfn.XLOOKUP(E205,Groups!A:A,Groups!U:U)=2,AR205,AT205))</f>
        <v>No</v>
      </c>
      <c r="AV205" s="46">
        <f>IFERROR(AVERAGE(_xlfn.XLOOKUP(B205,Animals!B:B,Animals!N:N),_xlfn.XLOOKUP(B205,Animals!B:B,Animals!O:O)),0)</f>
        <v>0.27500000000000002</v>
      </c>
      <c r="AW205" s="8">
        <f>MROUND(40*Animals!AO205*_xlfn.XLOOKUP(AG205,Leathers!$A$2:$A$99,Leathers!$B$2:$B$99,0)+(140*_xlfn.XLOOKUP(B205,Animals!B:B,Animals!AO:AO)*2),5)</f>
        <v>210</v>
      </c>
      <c r="AX205" s="8">
        <f>IFERROR(ROUND(SQRT(V205-1)*IF(_xlfn.XLOOKUP(E205,Groups!A:A,Groups!BF:BF)=0,2,1)*IF(_xlfn.XLOOKUP('Base stats'!E205,Groups!A:A,Groups!O:O)=0,1,0.1),1),0)</f>
        <v>0</v>
      </c>
      <c r="AY205" s="8">
        <f t="shared" si="91"/>
        <v>0</v>
      </c>
      <c r="AZ205" s="8">
        <f t="shared" si="92"/>
        <v>0</v>
      </c>
      <c r="BA205" s="8">
        <f t="shared" si="93"/>
        <v>2.9</v>
      </c>
      <c r="BB205" s="8">
        <f>IF(_xlfn.XLOOKUP(E205,Groups!A:A,Groups!N:N)="Insect",BD205*2.5,IFERROR(AVERAGE(BD205,AT205/9.81/IF(OR(_xlfn.XLOOKUP(E205,Groups!A:A,Groups!N:N)="Pig",_xlfn.XLOOKUP(E205,Groups!A:A,Groups!N:N)="StrongBitingHerbivore"),20,25))*C205^-0.135,BD205))</f>
        <v>0.57215457172317086</v>
      </c>
      <c r="BC205" s="8" t="str">
        <f>IF(W205="No","No",IF(_xlfn.XLOOKUP(E205,Groups!A:A,Groups!U:U)=1,'Base stats'!BB205,IF(OR(_xlfn.XLOOKUP(E205,Groups!A:A,Groups!BD:BD)=1,_xlfn.XLOOKUP(E205,Groups!A:A,Groups!U:U)=2),BD205,IF(_xlfn.XLOOKUP(B205,Animals!B:B,Animals!AO:AO)&gt;4,AVERAGE(BD205,BF205),BF205))))</f>
        <v>No</v>
      </c>
      <c r="BD205" s="8">
        <f t="shared" si="94"/>
        <v>0.57215457172317086</v>
      </c>
      <c r="BE205" s="8">
        <f>IF(_xlfn.XLOOKUP(E205,Groups!A:A,Groups!BE:BE)=1,(0.048*C205^1.01)+(0.071*C205^1.03),0.071*C205^1.03)/IF(_xlfn.XLOOKUP(E205,Groups!A:A,Groups!M:M)=1,0.85,IF(OR(_xlfn.XLOOKUP(B205,Animals!B:B,Animals!AO:AO)&gt;4,_xlfn.XLOOKUP(E205,Groups!A:A,Groups!BC:BC)=1),1.7,1))*C205^-0.25</f>
        <v>0.66862483223497027</v>
      </c>
      <c r="BF205" s="8">
        <f>(0.048*C205^1.01)/IF(_xlfn.XLOOKUP(E205,Groups!A:A,Groups!M:M)=1,0.25,0.8)*C205^-0.25</f>
        <v>0.89462898368032151</v>
      </c>
      <c r="BG205" s="8">
        <f>EXP(1.076*LN(AR205)-4.5397)*IF(_xlfn.XLOOKUP(E205,Groups!A:A,Groups!BC:BC)=1,1.25,IF(_xlfn.XLOOKUP(E205,Groups!A:A,Groups!BD:BD)=1,3.5,2.5))</f>
        <v>24.892970376789926</v>
      </c>
      <c r="BH205" s="8">
        <f>EXP(1.076*LN(AS205)-4.5397)*IF(_xlfn.XLOOKUP(E205,Groups!A:A,Groups!M:M)=1,0.8,IF(_xlfn.XLOOKUP(E205,Groups!A:A,Groups!BC:BC)=1,1.3,3))</f>
        <v>28.80247519858462</v>
      </c>
      <c r="BI205" s="8" t="str">
        <f>IF(W205="No","No",IF(_xlfn.XLOOKUP(E205,Groups!A:A,Groups!U:U)=1,'Base stats'!BJ205,IF(OR(_xlfn.XLOOKUP(E205,Groups!A:A,Groups!BD:BD)=1,_xlfn.XLOOKUP(E205,Groups!A:A,Groups!U:U)=2),BG205,BH205))*1.2)</f>
        <v>No</v>
      </c>
      <c r="BJ205" s="8" t="str">
        <f>IFERROR(EXP(1.076*LN(AT205)-4.5397)*IF(_xlfn.XLOOKUP(E205,Groups!A:A,Groups!N:N)="Insect",1,IF(OR(_xlfn.XLOOKUP(E205,Groups!A:A,Groups!N:N)="Pig",_xlfn.XLOOKUP(E205,Groups!A:A,Groups!N:N)="StrongBitingHerbivore"),3.5,3.75)),"No")</f>
        <v>No</v>
      </c>
      <c r="BK205" s="8">
        <f t="shared" si="95"/>
        <v>9</v>
      </c>
      <c r="BL205" s="8">
        <f t="shared" si="96"/>
        <v>9</v>
      </c>
      <c r="BM205" s="8" t="str">
        <f t="shared" si="97"/>
        <v>No</v>
      </c>
      <c r="BN205" s="8" t="str">
        <f t="shared" si="98"/>
        <v>No</v>
      </c>
      <c r="BO205" s="8">
        <f t="shared" si="99"/>
        <v>8</v>
      </c>
      <c r="BP205" s="8" t="str" cm="1">
        <f t="array" ref="BP205">IF(AND(_xlfn.XLOOKUP('Base stats'!E205,Groups!A:A,Groups!AD:AD=0),_xlfn.XLOOKUP('Base stats'!E205,Groups!A:A,Groups!P:P=0)),"No",IF(U205="No",AVERAGE(EXP(-0.57+0.99*LN(C205)),EXP(0.32+0.67*LN(C205)))/IF(_xlfn.XLOOKUP(E205,Groups!A:A,Groups!AD:AD)=1,10,2),(0.7354*C205^0.4078)*2/IF(_xlfn.XLOOKUP(E205,Groups!A:A,Groups!BK:BK)=1,1000,100)/IF(_xlfn.XLOOKUP(E205,Groups!A:A,Groups!AJ:AJ)="Photonozoa",3,1)))</f>
        <v>No</v>
      </c>
      <c r="BQ205" s="8" t="str">
        <f>IF(W205="No","No",IF(_xlfn.XLOOKUP(E205,Groups!A:A,Groups!BD:BD)=1,(AO205*5%),EXP(0.7354*LN(C205)^0.4078)*2/IF(_xlfn.XLOOKUP(E205,Groups!A:A,Groups!BL:BL)=1,1000,100)/IF(_xlfn.XLOOKUP(E205,Groups!A:A,Groups!AJ:AJ)="Photonozoa",3,1)))</f>
        <v>No</v>
      </c>
      <c r="BR205" s="8" t="str">
        <f>IF(BJ205="No","No",IF(_xlfn.XLOOKUP(E205,Groups!A:A,Groups!BF:BF)=1,(0.0315*C205+2.1825)*2,(0.7354*C205^0.4078)*2)/IF(_xlfn.XLOOKUP(E205,Groups!A:A,Groups!BM:BM)=1,1000,100)/IF(_xlfn.XLOOKUP(E205,Groups!A:A,Groups!AJ:AJ)="Photonozoa",3,1))</f>
        <v>No</v>
      </c>
      <c r="BS205" s="8">
        <f t="shared" si="100"/>
        <v>4.447741212865667E-2</v>
      </c>
      <c r="BT205" s="8" t="str">
        <f t="shared" si="101"/>
        <v>No</v>
      </c>
      <c r="BU205" s="8" t="str">
        <f t="shared" si="102"/>
        <v>No</v>
      </c>
      <c r="BV205" s="8" t="str">
        <f t="shared" si="103"/>
        <v>No</v>
      </c>
      <c r="BW205" s="4">
        <v>0</v>
      </c>
      <c r="BX205" s="4">
        <v>1</v>
      </c>
    </row>
    <row r="206" spans="1:76" s="16" customFormat="1" x14ac:dyDescent="0.25">
      <c r="A206" s="26" t="s">
        <v>1346</v>
      </c>
      <c r="B206" s="6" t="s">
        <v>1608</v>
      </c>
      <c r="C206" s="7">
        <v>0.5</v>
      </c>
      <c r="D206" s="7" t="s">
        <v>528</v>
      </c>
      <c r="E206" s="7" t="str">
        <f>Groups!$A$4</f>
        <v>Beetle (LARVA)</v>
      </c>
      <c r="F206" s="7" t="s">
        <v>1700</v>
      </c>
      <c r="G206" s="7" t="s">
        <v>1700</v>
      </c>
      <c r="H206" s="7">
        <v>1</v>
      </c>
      <c r="I206" s="4">
        <v>1</v>
      </c>
      <c r="J206" s="7" t="s">
        <v>1700</v>
      </c>
      <c r="K206" s="7" t="s">
        <v>528</v>
      </c>
      <c r="L206" s="7">
        <v>16</v>
      </c>
      <c r="M206" s="7" t="s">
        <v>528</v>
      </c>
      <c r="N206" s="4">
        <v>0</v>
      </c>
      <c r="O206" s="4">
        <v>0</v>
      </c>
      <c r="P206" s="4">
        <v>0</v>
      </c>
      <c r="Q206" s="4">
        <v>0</v>
      </c>
      <c r="R206" s="4" t="s">
        <v>40</v>
      </c>
      <c r="S206" s="7">
        <f>_xlfn.XLOOKUP(B206,[1]TeethAdjusters!$A:$A,[1]BiteAdjusters!$C:$C,1)</f>
        <v>1</v>
      </c>
      <c r="T206" s="7">
        <f>_xlfn.XLOOKUP(B206,[1]TeethAdjusters!$A:$A,[1]TeethAdjusters!$B:$B,1)</f>
        <v>1</v>
      </c>
      <c r="U206" s="7" t="str">
        <f>IF(OR(_xlfn.XLOOKUP(E206,Groups!A:A,Groups!P:P)=1,_xlfn.XLOOKUP(E206,Groups!A:A,Groups!AD:AD)=1),"Need a formula","No")</f>
        <v>No</v>
      </c>
      <c r="V206" s="7">
        <v>1</v>
      </c>
      <c r="W206" s="7" t="str">
        <f>IF(_xlfn.XLOOKUP(E206,Groups!A:A,Groups!V:V)&lt;&gt;"No","Need a formula","No")</f>
        <v>No</v>
      </c>
      <c r="X206" s="7" t="s">
        <v>932</v>
      </c>
      <c r="Y206" s="4" t="s">
        <v>42</v>
      </c>
      <c r="Z206" s="4">
        <v>1</v>
      </c>
      <c r="AA206" s="4">
        <v>0</v>
      </c>
      <c r="AB206" s="4">
        <v>0</v>
      </c>
      <c r="AC206" s="4">
        <v>0</v>
      </c>
      <c r="AD206" s="4">
        <v>0</v>
      </c>
      <c r="AE206" s="4" t="s">
        <v>45</v>
      </c>
      <c r="AF206" s="4" t="s">
        <v>311</v>
      </c>
      <c r="AG206" s="49" t="s">
        <v>1712</v>
      </c>
      <c r="AH206" s="4" t="str">
        <f>Animals!$C$105</f>
        <v>&lt;li&gt;Megaspider&lt;/li&gt;</v>
      </c>
      <c r="AI206" s="4">
        <v>0</v>
      </c>
      <c r="AJ206" s="4">
        <v>0</v>
      </c>
      <c r="AK206" s="4">
        <v>0</v>
      </c>
      <c r="AL206" s="4">
        <v>0</v>
      </c>
      <c r="AM206" s="4">
        <v>1</v>
      </c>
      <c r="AN206" s="44" t="s">
        <v>40</v>
      </c>
      <c r="AO206" s="8">
        <f t="shared" si="89"/>
        <v>707.38114816219058</v>
      </c>
      <c r="AP206" s="8">
        <f>IFERROR(C206*_xlfn.XLOOKUP(E206,Groups!A:A,Groups!K:K),0.106*C206^0.94)</f>
        <v>0.16</v>
      </c>
      <c r="AQ206" s="8">
        <f>AP206*10000/(_xlfn.XLOOKUP(E206,Groups!A:A,Groups!J:J)*AO206)</f>
        <v>1.8848867216738756</v>
      </c>
      <c r="AR206" s="8">
        <f t="shared" si="90"/>
        <v>30.280337563677854</v>
      </c>
      <c r="AS206" s="8">
        <f>IF(_xlfn.XLOOKUP(E206,Groups!A:A,Groups!M:M)=1,EXP(0.7444*LN('Base stats'!C206)+6.5696),EXP(0.7927*LN('Base stats'!C206)+4.28))</f>
        <v>425.65162873628793</v>
      </c>
      <c r="AT206" s="8">
        <f>IF(_xlfn.XLOOKUP(E206,Groups!A:A,Groups!N:N)="No","No",
IF(_xlfn.XLOOKUP(E206,Groups!A:A,Groups!N:N)="Crocodile",EXP(0.8129*LN(C206)+4.6742)*S206,
IF(_xlfn.XLOOKUP(E206,Groups!A:A,Groups!N:N)="Felid",EXP(0.7843*LN(C206)+4.7073)*S206,
IF(_xlfn.XLOOKUP(E206,Groups!A:A,Groups!N:N)="Canid",EXP(0.8367*LN(C206)+4.8763)*S206,
IF(_xlfn.XLOOKUP(E206,Groups!A:A,Groups!N:N)="Pig",EXP(0.3439*LN(C206)+6.8519)*S206,
IF(_xlfn.XLOOKUP(E206,Groups!A:A,Groups!N:N)="Rodent",EXP(0.5625*LN(C206)+4.3006)*S206,
IF(_xlfn.XLOOKUP(E206,Groups!A:A,Groups!N:N)="Primate",EXP(0.7847*LN(C206)+3.4931)*S206,
IF(_xlfn.XLOOKUP(E206,Groups!A:A,Groups!N:N)="MiscCarnivora",EXP(0.7486*LN(C206)+4.2207)*S206,
IF(_xlfn.XLOOKUP(E206,Groups!A:A,Groups!N:N)="Lizard",EXP(0.7733*LN(C206)+5.5303)*S206,
IF(_xlfn.XLOOKUP(E206,Groups!A:A,Groups!N:N)="Snake",50*C206^(2/3)*S206,
IF(_xlfn.XLOOKUP(E206,Groups!A:A,Groups!N:N)="StrongBitingHerbivore",87.1133638856975*C206^(2/3)*S206,
IF(_xlfn.XLOOKUP(E206,Groups!A:A,Groups!N:N)="MiscEctotherms",59.4316884072269*C206^(2/3)*S206,
IF(_xlfn.XLOOKUP(E206,Groups!A:A,Groups!N:N)="StrongBeakBird",0.041*(C206*1000)^1.375*S206,
IF(_xlfn.XLOOKUP(E206,Groups!A:A,Groups!N:N)="Bird",0.118*(C206*1000)^0.692*S206,
IF(_xlfn.XLOOKUP(E206,Groups!A:A,Groups!N:N)="Insect",EXP(0.7444*LN(C206)+6.5696)*S206,
IF(_xlfn.XLOOKUP(E206,Groups!A:A,Groups!N:N)="Theropod",EXP(0.6966*LN(C206)+4.158)*S206,
"No"))))))))))))))))</f>
        <v>425.65162873628793</v>
      </c>
      <c r="AU206" s="8">
        <f>IF(_xlfn.XLOOKUP(E206,Groups!A:A,Groups!U:U)=3,AS206,IF(_xlfn.XLOOKUP(E206,Groups!A:A,Groups!U:U)=2,AR206,AT206))</f>
        <v>425.65162873628793</v>
      </c>
      <c r="AV206" s="46">
        <f>IFERROR(AVERAGE(_xlfn.XLOOKUP(B206,Animals!B:B,Animals!N:N),_xlfn.XLOOKUP(B206,Animals!B:B,Animals!O:O)),0)</f>
        <v>0.1</v>
      </c>
      <c r="AW206" s="8">
        <f>MROUND(40*Animals!AO206*_xlfn.XLOOKUP(AG206,Leathers!$A$2:$A$99,Leathers!$B$2:$B$99,0)+(140*_xlfn.XLOOKUP(B206,Animals!B:B,Animals!AO:AO)*2),5)</f>
        <v>30</v>
      </c>
      <c r="AX206" s="8">
        <f>IFERROR(ROUND(SQRT(V206-1)*IF(_xlfn.XLOOKUP(E206,Groups!A:A,Groups!BF:BF)=0,2,1)*IF(_xlfn.XLOOKUP('Base stats'!E206,Groups!A:A,Groups!O:O)=0,1,0.1),1),0)</f>
        <v>0</v>
      </c>
      <c r="AY206" s="8">
        <f t="shared" si="91"/>
        <v>0</v>
      </c>
      <c r="AZ206" s="8">
        <f t="shared" si="92"/>
        <v>0</v>
      </c>
      <c r="BA206" s="8">
        <f t="shared" si="93"/>
        <v>0.5</v>
      </c>
      <c r="BB206" s="8">
        <f>IF(_xlfn.XLOOKUP(E206,Groups!A:A,Groups!N:N)="Insect",BD206*2.5,IFERROR(AVERAGE(BD206,AT206/9.81/IF(OR(_xlfn.XLOOKUP(E206,Groups!A:A,Groups!N:N)="Pig",_xlfn.XLOOKUP(E206,Groups!A:A,Groups!N:N)="StrongBitingHerbivore"),20,25))*C206^-0.135,BD206))</f>
        <v>5.8109810471136447E-2</v>
      </c>
      <c r="BC206" s="8" t="str">
        <f>IF(W206="No","No",IF(_xlfn.XLOOKUP(E206,Groups!A:A,Groups!U:U)=1,'Base stats'!BB206,IF(OR(_xlfn.XLOOKUP(E206,Groups!A:A,Groups!BD:BD)=1,_xlfn.XLOOKUP(E206,Groups!A:A,Groups!U:U)=2),BD206,IF(_xlfn.XLOOKUP(B206,Animals!B:B,Animals!AO:AO)&gt;4,AVERAGE(BD206,BF206),BF206))))</f>
        <v>No</v>
      </c>
      <c r="BD206" s="8">
        <f t="shared" si="94"/>
        <v>2.3243924188454577E-2</v>
      </c>
      <c r="BE206" s="8">
        <f>IF(_xlfn.XLOOKUP(E206,Groups!A:A,Groups!BE:BE)=1,(0.048*C206^1.01)+(0.071*C206^1.03),0.071*C206^1.03)/IF(_xlfn.XLOOKUP(E206,Groups!A:A,Groups!M:M)=1,0.85,IF(OR(_xlfn.XLOOKUP(B206,Animals!B:B,Animals!AO:AO)&gt;4,_xlfn.XLOOKUP(E206,Groups!A:A,Groups!BC:BC)=1),1.7,1))*C206^-0.25</f>
        <v>4.8644755670153153E-2</v>
      </c>
      <c r="BF206" s="8">
        <f>(0.048*C206^1.01)/IF(_xlfn.XLOOKUP(E206,Groups!A:A,Groups!M:M)=1,0.25,0.8)*C206^-0.25</f>
        <v>0.11337529549723492</v>
      </c>
      <c r="BG206" s="8">
        <f>EXP(1.076*LN(AR206)-4.5397)*IF(_xlfn.XLOOKUP(E206,Groups!A:A,Groups!BC:BC)=1,1.25,IF(_xlfn.XLOOKUP(E206,Groups!A:A,Groups!BD:BD)=1,3.5,2.5))</f>
        <v>0.52368758710181385</v>
      </c>
      <c r="BH206" s="8">
        <f>EXP(1.076*LN(AS206)-4.5397)*IF(_xlfn.XLOOKUP(E206,Groups!A:A,Groups!M:M)=1,0.8,IF(_xlfn.XLOOKUP(E206,Groups!A:A,Groups!BC:BC)=1,1.3,3))</f>
        <v>5.7595128796425588</v>
      </c>
      <c r="BI206" s="8" t="str">
        <f>IF(W206="No","No",IF(_xlfn.XLOOKUP(E206,Groups!A:A,Groups!U:U)=1,'Base stats'!BJ206,IF(OR(_xlfn.XLOOKUP(E206,Groups!A:A,Groups!BD:BD)=1,_xlfn.XLOOKUP(E206,Groups!A:A,Groups!U:U)=2),BG206,BH206))*1.2)</f>
        <v>No</v>
      </c>
      <c r="BJ206" s="8">
        <f>IFERROR(EXP(1.076*LN(AT206)-4.5397)*IF(_xlfn.XLOOKUP(E206,Groups!A:A,Groups!N:N)="Insect",1,IF(OR(_xlfn.XLOOKUP(E206,Groups!A:A,Groups!N:N)="Pig",_xlfn.XLOOKUP(E206,Groups!A:A,Groups!N:N)="StrongBitingHerbivore"),3.5,3.75)),"No")</f>
        <v>7.199391099553198</v>
      </c>
      <c r="BK206" s="8">
        <f t="shared" si="95"/>
        <v>6</v>
      </c>
      <c r="BL206" s="8">
        <f t="shared" si="96"/>
        <v>15</v>
      </c>
      <c r="BM206" s="8" t="str">
        <f t="shared" si="97"/>
        <v>No</v>
      </c>
      <c r="BN206" s="8">
        <f t="shared" si="98"/>
        <v>15</v>
      </c>
      <c r="BO206" s="8">
        <f t="shared" si="99"/>
        <v>10</v>
      </c>
      <c r="BP206" s="8" t="str" cm="1">
        <f t="array" ref="BP206">IF(AND(_xlfn.XLOOKUP('Base stats'!E206,Groups!A:A,Groups!AD:AD=0),_xlfn.XLOOKUP('Base stats'!E206,Groups!A:A,Groups!P:P=0)),"No",IF(U206="No",AVERAGE(EXP(-0.57+0.99*LN(C206)),EXP(0.32+0.67*LN(C206)))/IF(_xlfn.XLOOKUP(E206,Groups!A:A,Groups!AD:AD)=1,10,2),(0.7354*C206^0.4078)*2/IF(_xlfn.XLOOKUP(E206,Groups!A:A,Groups!BK:BK)=1,1000,100)/IF(_xlfn.XLOOKUP(E206,Groups!A:A,Groups!AJ:AJ)="Photonozoa",3,1)))</f>
        <v>No</v>
      </c>
      <c r="BQ206" s="8" t="str">
        <f>IF(W206="No","No",IF(_xlfn.XLOOKUP(E206,Groups!A:A,Groups!BD:BD)=1,(AO206*5%),EXP(0.7354*LN(C206)^0.4078)*2/IF(_xlfn.XLOOKUP(E206,Groups!A:A,Groups!BL:BL)=1,1000,100)/IF(_xlfn.XLOOKUP(E206,Groups!A:A,Groups!AJ:AJ)="Photonozoa",3,1)))</f>
        <v>No</v>
      </c>
      <c r="BR206" s="8">
        <f>IF(BJ206="No","No",IF(_xlfn.XLOOKUP(E206,Groups!A:A,Groups!BF:BF)=1,(0.0315*C206+2.1825)*2,(0.7354*C206^0.4078)*2)/IF(_xlfn.XLOOKUP(E206,Groups!A:A,Groups!BM:BM)=1,1000,100)/IF(_xlfn.XLOOKUP(E206,Groups!A:A,Groups!AJ:AJ)="Photonozoa",3,1))</f>
        <v>1.1086477730522874E-2</v>
      </c>
      <c r="BS206" s="8">
        <f t="shared" si="100"/>
        <v>1.4806376688504598E-2</v>
      </c>
      <c r="BT206" s="8" t="str">
        <f t="shared" si="101"/>
        <v>No</v>
      </c>
      <c r="BU206" s="8" t="str">
        <f t="shared" si="102"/>
        <v>No</v>
      </c>
      <c r="BV206" s="8">
        <f t="shared" si="103"/>
        <v>649.38488801832023</v>
      </c>
      <c r="BW206" s="4">
        <v>0</v>
      </c>
      <c r="BX206" s="4">
        <v>1</v>
      </c>
    </row>
    <row r="207" spans="1:76" s="16" customFormat="1" x14ac:dyDescent="0.25">
      <c r="A207" s="26" t="s">
        <v>1416</v>
      </c>
      <c r="B207" s="6" t="s">
        <v>1631</v>
      </c>
      <c r="C207" s="7">
        <v>5</v>
      </c>
      <c r="D207" s="7" t="s">
        <v>528</v>
      </c>
      <c r="E207" s="7" t="str">
        <f>Groups!$A$74</f>
        <v>Butterfly</v>
      </c>
      <c r="F207" s="7" t="str">
        <f t="shared" ref="F207" si="106">"Lay eggs"</f>
        <v>Lay eggs</v>
      </c>
      <c r="G207" s="7" t="s">
        <v>1700</v>
      </c>
      <c r="H207" s="7">
        <v>2</v>
      </c>
      <c r="I207" s="4">
        <v>1</v>
      </c>
      <c r="J207" s="7" t="str">
        <f t="shared" ref="J207" si="107">"Lay eggs"</f>
        <v>Lay eggs</v>
      </c>
      <c r="K207" s="7" t="s">
        <v>528</v>
      </c>
      <c r="L207" s="7">
        <v>26</v>
      </c>
      <c r="M207" s="7" t="s">
        <v>528</v>
      </c>
      <c r="N207" s="4">
        <v>0</v>
      </c>
      <c r="O207" s="4">
        <v>0</v>
      </c>
      <c r="P207" s="4">
        <v>0</v>
      </c>
      <c r="Q207" s="4">
        <v>0</v>
      </c>
      <c r="R207" s="4" t="s">
        <v>40</v>
      </c>
      <c r="S207" s="7">
        <f>_xlfn.XLOOKUP(B207,[1]TeethAdjusters!$A:$A,[1]BiteAdjusters!$C:$C,1)</f>
        <v>1</v>
      </c>
      <c r="T207" s="7">
        <f>_xlfn.XLOOKUP(B207,[1]TeethAdjusters!$A:$A,[1]TeethAdjusters!$B:$B,1)</f>
        <v>1</v>
      </c>
      <c r="U207" s="7" t="str">
        <f>IF(OR(_xlfn.XLOOKUP(E207,Groups!A:A,Groups!P:P)=1,_xlfn.XLOOKUP(E207,Groups!A:A,Groups!AD:AD)=1),"Need a formula","No")</f>
        <v>No</v>
      </c>
      <c r="V207" s="7" t="str">
        <f>IF(AT207="No","No",IF(_xlfn.XLOOKUP(E207,Groups!A:A,Groups!AM:AM)=1,MROUND(EXP(0.3582*LN(C207)-0.2221)*T207,0.05),IF(_xlfn.XLOOKUP(E207,Groups!A:A,Groups!AM:AM)=2,MROUND(EXP(0.3582*LN(C207)-0.2221)*T207,0.05),"Need a formula")))</f>
        <v>No</v>
      </c>
      <c r="W207" s="7" t="str">
        <f>IF(_xlfn.XLOOKUP(E207,Groups!A:A,Groups!V:V)&lt;&gt;"No","Need a formula","No")</f>
        <v>No</v>
      </c>
      <c r="X207" s="7" t="s">
        <v>932</v>
      </c>
      <c r="Y207" s="4" t="s">
        <v>42</v>
      </c>
      <c r="Z207" s="4">
        <v>1</v>
      </c>
      <c r="AA207" s="4">
        <v>0</v>
      </c>
      <c r="AB207" s="4">
        <v>0</v>
      </c>
      <c r="AC207" s="4">
        <v>0</v>
      </c>
      <c r="AD207" s="4">
        <v>0</v>
      </c>
      <c r="AE207" s="4" t="s">
        <v>45</v>
      </c>
      <c r="AF207" s="4" t="s">
        <v>45</v>
      </c>
      <c r="AG207" s="49" t="s">
        <v>1712</v>
      </c>
      <c r="AH207" s="4" t="str">
        <f>Animals!$C$105</f>
        <v>&lt;li&gt;Megaspider&lt;/li&gt;</v>
      </c>
      <c r="AI207" s="4">
        <v>0</v>
      </c>
      <c r="AJ207" s="4">
        <v>0</v>
      </c>
      <c r="AK207" s="4">
        <v>0</v>
      </c>
      <c r="AL207" s="4">
        <v>0</v>
      </c>
      <c r="AM207" s="4">
        <v>1</v>
      </c>
      <c r="AN207" s="44" t="s">
        <v>40</v>
      </c>
      <c r="AO207" s="8">
        <f t="shared" si="89"/>
        <v>3159.7555228095994</v>
      </c>
      <c r="AP207" s="8">
        <f>IFERROR(C207*_xlfn.XLOOKUP(E207,Groups!A:A,Groups!K:K),0.106*C207^0.94)</f>
        <v>1.6</v>
      </c>
      <c r="AQ207" s="8">
        <f>AP207*10000/(_xlfn.XLOOKUP(E207,Groups!A:A,Groups!J:J)*AO207)</f>
        <v>4.2197357476180839</v>
      </c>
      <c r="AR207" s="8">
        <f t="shared" si="90"/>
        <v>211.76818398634828</v>
      </c>
      <c r="AS207" s="8">
        <f>IF(_xlfn.XLOOKUP(E207,Groups!A:A,Groups!M:M)=1,EXP(0.7444*LN('Base stats'!C207)+6.5696),EXP(0.7927*LN('Base stats'!C207)+4.28))</f>
        <v>258.73423965704086</v>
      </c>
      <c r="AT207" s="8" t="str">
        <f>IF(_xlfn.XLOOKUP(E207,Groups!A:A,Groups!N:N)="No","No",
IF(_xlfn.XLOOKUP(E207,Groups!A:A,Groups!N:N)="Crocodile",EXP(0.8129*LN(C207)+4.6742)*S207,
IF(_xlfn.XLOOKUP(E207,Groups!A:A,Groups!N:N)="Felid",EXP(0.7843*LN(C207)+4.7073)*S207,
IF(_xlfn.XLOOKUP(E207,Groups!A:A,Groups!N:N)="Canid",EXP(0.8367*LN(C207)+4.8763)*S207,
IF(_xlfn.XLOOKUP(E207,Groups!A:A,Groups!N:N)="Pig",EXP(0.3439*LN(C207)+6.8519)*S207,
IF(_xlfn.XLOOKUP(E207,Groups!A:A,Groups!N:N)="Rodent",EXP(0.5625*LN(C207)+4.3006)*S207,
IF(_xlfn.XLOOKUP(E207,Groups!A:A,Groups!N:N)="Primate",EXP(0.7847*LN(C207)+3.4931)*S207,
IF(_xlfn.XLOOKUP(E207,Groups!A:A,Groups!N:N)="MiscCarnivora",EXP(0.7486*LN(C207)+4.2207)*S207,
IF(_xlfn.XLOOKUP(E207,Groups!A:A,Groups!N:N)="Lizard",EXP(0.7733*LN(C207)+5.5303)*S207,
IF(_xlfn.XLOOKUP(E207,Groups!A:A,Groups!N:N)="Snake",50*C207^(2/3)*S207,
IF(_xlfn.XLOOKUP(E207,Groups!A:A,Groups!N:N)="StrongBitingHerbivore",87.1133638856975*C207^(2/3)*S207,
IF(_xlfn.XLOOKUP(E207,Groups!A:A,Groups!N:N)="MiscEctotherms",59.4316884072269*C207^(2/3)*S207,
IF(_xlfn.XLOOKUP(E207,Groups!A:A,Groups!N:N)="StrongBeakBird",0.041*(C207*1000)^1.375*S207,
IF(_xlfn.XLOOKUP(E207,Groups!A:A,Groups!N:N)="Bird",0.118*(C207*1000)^0.692*S207,
IF(_xlfn.XLOOKUP(E207,Groups!A:A,Groups!N:N)="Insect",EXP(0.7444*LN(C207)+6.5696)*S207,
IF(_xlfn.XLOOKUP(E207,Groups!A:A,Groups!N:N)="Theropod",EXP(0.6966*LN(C207)+4.158)*S207,
"No"))))))))))))))))</f>
        <v>No</v>
      </c>
      <c r="AU207" s="8" t="str">
        <f>IF(_xlfn.XLOOKUP(E207,Groups!A:A,Groups!U:U)=3,AS207,IF(_xlfn.XLOOKUP(E207,Groups!A:A,Groups!U:U)=2,AR207,AT207))</f>
        <v>No</v>
      </c>
      <c r="AV207" s="46">
        <f>IFERROR(AVERAGE(_xlfn.XLOOKUP(B207,Animals!B:B,Animals!N:N),_xlfn.XLOOKUP(B207,Animals!B:B,Animals!O:O)),0)</f>
        <v>0.17499999999999999</v>
      </c>
      <c r="AW207" s="8">
        <f>MROUND(40*Animals!AO207*_xlfn.XLOOKUP(AG207,Leathers!$A$2:$A$99,Leathers!$B$2:$B$99,0)+(140*_xlfn.XLOOKUP(B207,Animals!B:B,Animals!AO:AO)*2),5)</f>
        <v>85</v>
      </c>
      <c r="AX207" s="8">
        <f>IFERROR(ROUND(SQRT(V207-1)*IF(_xlfn.XLOOKUP(E207,Groups!A:A,Groups!BF:BF)=0,2,1)*IF(_xlfn.XLOOKUP('Base stats'!E207,Groups!A:A,Groups!O:O)=0,1,0.1),1),0)</f>
        <v>0</v>
      </c>
      <c r="AY207" s="8">
        <f t="shared" si="91"/>
        <v>0</v>
      </c>
      <c r="AZ207" s="8">
        <f t="shared" si="92"/>
        <v>0</v>
      </c>
      <c r="BA207" s="8">
        <f t="shared" si="93"/>
        <v>1.1000000000000001</v>
      </c>
      <c r="BB207" s="8">
        <f>IF(_xlfn.XLOOKUP(E207,Groups!A:A,Groups!N:N)="Insect",BD207*2.5,IFERROR(AVERAGE(BD207,AT207/9.81/IF(OR(_xlfn.XLOOKUP(E207,Groups!A:A,Groups!N:N)="Pig",_xlfn.XLOOKUP(E207,Groups!A:A,Groups!N:N)="StrongBitingHerbivore"),20,25))*C207^-0.135,BD207))</f>
        <v>0.13191963781682639</v>
      </c>
      <c r="BC207" s="8" t="str">
        <f>IF(W207="No","No",IF(_xlfn.XLOOKUP(E207,Groups!A:A,Groups!U:U)=1,'Base stats'!BB207,IF(OR(_xlfn.XLOOKUP(E207,Groups!A:A,Groups!BD:BD)=1,_xlfn.XLOOKUP(E207,Groups!A:A,Groups!U:U)=2),BD207,IF(_xlfn.XLOOKUP(B207,Animals!B:B,Animals!AO:AO)&gt;4,AVERAGE(BD207,BF207),BF207))))</f>
        <v>No</v>
      </c>
      <c r="BD207" s="8">
        <f t="shared" si="94"/>
        <v>0.13191963781682639</v>
      </c>
      <c r="BE207" s="8">
        <f>IF(_xlfn.XLOOKUP(E207,Groups!A:A,Groups!BE:BE)=1,(0.048*C207^1.01)+(0.071*C207^1.03),0.071*C207^1.03)/IF(_xlfn.XLOOKUP(E207,Groups!A:A,Groups!M:M)=1,0.85,IF(OR(_xlfn.XLOOKUP(B207,Animals!B:B,Animals!AO:AO)&gt;4,_xlfn.XLOOKUP(E207,Groups!A:A,Groups!BC:BC)=1),1.7,1))*C207^-0.25</f>
        <v>0.14655681920647873</v>
      </c>
      <c r="BF207" s="8">
        <f>(0.048*C207^1.01)/IF(_xlfn.XLOOKUP(E207,Groups!A:A,Groups!M:M)=1,0.25,0.8)*C207^-0.25</f>
        <v>0.20387710292659536</v>
      </c>
      <c r="BG207" s="8">
        <f>EXP(1.076*LN(AR207)-4.5397)*IF(_xlfn.XLOOKUP(E207,Groups!A:A,Groups!BC:BC)=1,1.25,IF(_xlfn.XLOOKUP(E207,Groups!A:A,Groups!BD:BD)=1,3.5,2.5))</f>
        <v>4.2458972489703726</v>
      </c>
      <c r="BH207" s="8">
        <f>EXP(1.076*LN(AS207)-4.5397)*IF(_xlfn.XLOOKUP(E207,Groups!A:A,Groups!M:M)=1,0.8,IF(_xlfn.XLOOKUP(E207,Groups!A:A,Groups!BC:BC)=1,1.3,3))</f>
        <v>5.4778166858251804</v>
      </c>
      <c r="BI207" s="8" t="str">
        <f>IF(W207="No","No",IF(_xlfn.XLOOKUP(E207,Groups!A:A,Groups!U:U)=1,'Base stats'!BJ207,IF(OR(_xlfn.XLOOKUP(E207,Groups!A:A,Groups!BD:BD)=1,_xlfn.XLOOKUP(E207,Groups!A:A,Groups!U:U)=2),BG207,BH207))*1.2)</f>
        <v>No</v>
      </c>
      <c r="BJ207" s="8" t="str">
        <f>IFERROR(EXP(1.076*LN(AT207)-4.5397)*IF(_xlfn.XLOOKUP(E207,Groups!A:A,Groups!N:N)="Insect",1,IF(OR(_xlfn.XLOOKUP(E207,Groups!A:A,Groups!N:N)="Pig",_xlfn.XLOOKUP(E207,Groups!A:A,Groups!N:N)="StrongBitingHerbivore"),3.5,3.75)),"No")</f>
        <v>No</v>
      </c>
      <c r="BK207" s="8">
        <f t="shared" si="95"/>
        <v>8</v>
      </c>
      <c r="BL207" s="8">
        <f t="shared" si="96"/>
        <v>8</v>
      </c>
      <c r="BM207" s="8" t="str">
        <f t="shared" si="97"/>
        <v>No</v>
      </c>
      <c r="BN207" s="8" t="str">
        <f t="shared" si="98"/>
        <v>No</v>
      </c>
      <c r="BO207" s="8">
        <f t="shared" si="99"/>
        <v>7</v>
      </c>
      <c r="BP207" s="8" t="str" cm="1">
        <f t="array" ref="BP207">IF(AND(_xlfn.XLOOKUP('Base stats'!E207,Groups!A:A,Groups!AD:AD=0),_xlfn.XLOOKUP('Base stats'!E207,Groups!A:A,Groups!P:P=0)),"No",IF(U207="No",AVERAGE(EXP(-0.57+0.99*LN(C207)),EXP(0.32+0.67*LN(C207)))/IF(_xlfn.XLOOKUP(E207,Groups!A:A,Groups!AD:AD)=1,10,2),(0.7354*C207^0.4078)*2/IF(_xlfn.XLOOKUP(E207,Groups!A:A,Groups!BK:BK)=1,1000,100)/IF(_xlfn.XLOOKUP(E207,Groups!A:A,Groups!AJ:AJ)="Photonozoa",3,1)))</f>
        <v>No</v>
      </c>
      <c r="BQ207" s="8" t="str">
        <f>IF(W207="No","No",IF(_xlfn.XLOOKUP(E207,Groups!A:A,Groups!BD:BD)=1,(AO207*5%),EXP(0.7354*LN(C207)^0.4078)*2/IF(_xlfn.XLOOKUP(E207,Groups!A:A,Groups!BL:BL)=1,1000,100)/IF(_xlfn.XLOOKUP(E207,Groups!A:A,Groups!AJ:AJ)="Photonozoa",3,1)))</f>
        <v>No</v>
      </c>
      <c r="BR207" s="8" t="str">
        <f>IF(BJ207="No","No",IF(_xlfn.XLOOKUP(E207,Groups!A:A,Groups!BF:BF)=1,(0.0315*C207+2.1825)*2,(0.7354*C207^0.4078)*2)/IF(_xlfn.XLOOKUP(E207,Groups!A:A,Groups!BM:BM)=1,1000,100)/IF(_xlfn.XLOOKUP(E207,Groups!A:A,Groups!AJ:AJ)="Photonozoa",3,1))</f>
        <v>No</v>
      </c>
      <c r="BS207" s="8">
        <f t="shared" si="100"/>
        <v>2.6874846603290339E-2</v>
      </c>
      <c r="BT207" s="8" t="str">
        <f t="shared" si="101"/>
        <v>No</v>
      </c>
      <c r="BU207" s="8" t="str">
        <f t="shared" si="102"/>
        <v>No</v>
      </c>
      <c r="BV207" s="8" t="str">
        <f t="shared" si="103"/>
        <v>No</v>
      </c>
      <c r="BW207" s="4">
        <v>0</v>
      </c>
      <c r="BX207" s="4">
        <v>1</v>
      </c>
    </row>
    <row r="208" spans="1:76" s="16" customFormat="1" x14ac:dyDescent="0.25">
      <c r="A208" s="26" t="s">
        <v>1418</v>
      </c>
      <c r="B208" s="6" t="s">
        <v>1632</v>
      </c>
      <c r="C208" s="7">
        <v>0.5</v>
      </c>
      <c r="D208" s="7" t="s">
        <v>528</v>
      </c>
      <c r="E208" s="7" t="str">
        <f>Groups!$A$4</f>
        <v>Beetle (LARVA)</v>
      </c>
      <c r="F208" s="7" t="s">
        <v>1700</v>
      </c>
      <c r="G208" s="7" t="s">
        <v>1700</v>
      </c>
      <c r="H208" s="7">
        <v>1</v>
      </c>
      <c r="I208" s="4">
        <v>1</v>
      </c>
      <c r="J208" s="7" t="s">
        <v>1700</v>
      </c>
      <c r="K208" s="7" t="s">
        <v>528</v>
      </c>
      <c r="L208" s="7">
        <v>16</v>
      </c>
      <c r="M208" s="7" t="s">
        <v>528</v>
      </c>
      <c r="N208" s="4">
        <v>0</v>
      </c>
      <c r="O208" s="4">
        <v>0</v>
      </c>
      <c r="P208" s="4">
        <v>0</v>
      </c>
      <c r="Q208" s="4">
        <v>0</v>
      </c>
      <c r="R208" s="4" t="s">
        <v>40</v>
      </c>
      <c r="S208" s="7">
        <f>_xlfn.XLOOKUP(B208,[1]TeethAdjusters!$A:$A,[1]BiteAdjusters!$C:$C,1)</f>
        <v>1</v>
      </c>
      <c r="T208" s="7">
        <f>_xlfn.XLOOKUP(B208,[1]TeethAdjusters!$A:$A,[1]TeethAdjusters!$B:$B,1)</f>
        <v>1</v>
      </c>
      <c r="U208" s="7" t="str">
        <f>IF(OR(_xlfn.XLOOKUP(E208,Groups!A:A,Groups!P:P)=1,_xlfn.XLOOKUP(E208,Groups!A:A,Groups!AD:AD)=1),"Need a formula","No")</f>
        <v>No</v>
      </c>
      <c r="V208" s="7">
        <v>1</v>
      </c>
      <c r="W208" s="7" t="str">
        <f>IF(_xlfn.XLOOKUP(E208,Groups!A:A,Groups!V:V)&lt;&gt;"No","Need a formula","No")</f>
        <v>No</v>
      </c>
      <c r="X208" s="7" t="s">
        <v>932</v>
      </c>
      <c r="Y208" s="4" t="s">
        <v>42</v>
      </c>
      <c r="Z208" s="4">
        <v>1</v>
      </c>
      <c r="AA208" s="4">
        <v>0</v>
      </c>
      <c r="AB208" s="4">
        <v>0</v>
      </c>
      <c r="AC208" s="4">
        <v>0</v>
      </c>
      <c r="AD208" s="4">
        <v>0</v>
      </c>
      <c r="AE208" s="4" t="s">
        <v>45</v>
      </c>
      <c r="AF208" s="4" t="s">
        <v>311</v>
      </c>
      <c r="AG208" s="49" t="s">
        <v>1712</v>
      </c>
      <c r="AH208" s="4" t="str">
        <f>Animals!$C$105</f>
        <v>&lt;li&gt;Megaspider&lt;/li&gt;</v>
      </c>
      <c r="AI208" s="4">
        <v>0</v>
      </c>
      <c r="AJ208" s="4">
        <v>0</v>
      </c>
      <c r="AK208" s="4">
        <v>0</v>
      </c>
      <c r="AL208" s="4">
        <v>0</v>
      </c>
      <c r="AM208" s="4">
        <v>1</v>
      </c>
      <c r="AN208" s="44" t="s">
        <v>40</v>
      </c>
      <c r="AO208" s="8">
        <f t="shared" si="89"/>
        <v>707.38114816219058</v>
      </c>
      <c r="AP208" s="8">
        <f>IFERROR(C208*_xlfn.XLOOKUP(E208,Groups!A:A,Groups!K:K),0.106*C208^0.94)</f>
        <v>0.16</v>
      </c>
      <c r="AQ208" s="8">
        <f>AP208*10000/(_xlfn.XLOOKUP(E208,Groups!A:A,Groups!J:J)*AO208)</f>
        <v>1.8848867216738756</v>
      </c>
      <c r="AR208" s="8">
        <f t="shared" si="90"/>
        <v>30.280337563677854</v>
      </c>
      <c r="AS208" s="8">
        <f>IF(_xlfn.XLOOKUP(E208,Groups!A:A,Groups!M:M)=1,EXP(0.7444*LN('Base stats'!C208)+6.5696),EXP(0.7927*LN('Base stats'!C208)+4.28))</f>
        <v>425.65162873628793</v>
      </c>
      <c r="AT208" s="8">
        <f>IF(_xlfn.XLOOKUP(E208,Groups!A:A,Groups!N:N)="No","No",
IF(_xlfn.XLOOKUP(E208,Groups!A:A,Groups!N:N)="Crocodile",EXP(0.8129*LN(C208)+4.6742)*S208,
IF(_xlfn.XLOOKUP(E208,Groups!A:A,Groups!N:N)="Felid",EXP(0.7843*LN(C208)+4.7073)*S208,
IF(_xlfn.XLOOKUP(E208,Groups!A:A,Groups!N:N)="Canid",EXP(0.8367*LN(C208)+4.8763)*S208,
IF(_xlfn.XLOOKUP(E208,Groups!A:A,Groups!N:N)="Pig",EXP(0.3439*LN(C208)+6.8519)*S208,
IF(_xlfn.XLOOKUP(E208,Groups!A:A,Groups!N:N)="Rodent",EXP(0.5625*LN(C208)+4.3006)*S208,
IF(_xlfn.XLOOKUP(E208,Groups!A:A,Groups!N:N)="Primate",EXP(0.7847*LN(C208)+3.4931)*S208,
IF(_xlfn.XLOOKUP(E208,Groups!A:A,Groups!N:N)="MiscCarnivora",EXP(0.7486*LN(C208)+4.2207)*S208,
IF(_xlfn.XLOOKUP(E208,Groups!A:A,Groups!N:N)="Lizard",EXP(0.7733*LN(C208)+5.5303)*S208,
IF(_xlfn.XLOOKUP(E208,Groups!A:A,Groups!N:N)="Snake",50*C208^(2/3)*S208,
IF(_xlfn.XLOOKUP(E208,Groups!A:A,Groups!N:N)="StrongBitingHerbivore",87.1133638856975*C208^(2/3)*S208,
IF(_xlfn.XLOOKUP(E208,Groups!A:A,Groups!N:N)="MiscEctotherms",59.4316884072269*C208^(2/3)*S208,
IF(_xlfn.XLOOKUP(E208,Groups!A:A,Groups!N:N)="StrongBeakBird",0.041*(C208*1000)^1.375*S208,
IF(_xlfn.XLOOKUP(E208,Groups!A:A,Groups!N:N)="Bird",0.118*(C208*1000)^0.692*S208,
IF(_xlfn.XLOOKUP(E208,Groups!A:A,Groups!N:N)="Insect",EXP(0.7444*LN(C208)+6.5696)*S208,
IF(_xlfn.XLOOKUP(E208,Groups!A:A,Groups!N:N)="Theropod",EXP(0.6966*LN(C208)+4.158)*S208,
"No"))))))))))))))))</f>
        <v>425.65162873628793</v>
      </c>
      <c r="AU208" s="8">
        <f>IF(_xlfn.XLOOKUP(E208,Groups!A:A,Groups!U:U)=3,AS208,IF(_xlfn.XLOOKUP(E208,Groups!A:A,Groups!U:U)=2,AR208,AT208))</f>
        <v>425.65162873628793</v>
      </c>
      <c r="AV208" s="46">
        <f>IFERROR(AVERAGE(_xlfn.XLOOKUP(B208,Animals!B:B,Animals!N:N),_xlfn.XLOOKUP(B208,Animals!B:B,Animals!O:O)),0)</f>
        <v>0.1</v>
      </c>
      <c r="AW208" s="8">
        <f>MROUND(40*Animals!AO208*_xlfn.XLOOKUP(AG208,Leathers!$A$2:$A$99,Leathers!$B$2:$B$99,0)+(140*_xlfn.XLOOKUP(B208,Animals!B:B,Animals!AO:AO)*2),5)</f>
        <v>30</v>
      </c>
      <c r="AX208" s="8">
        <f>IFERROR(ROUND(SQRT(V208-1)*IF(_xlfn.XLOOKUP(E208,Groups!A:A,Groups!BF:BF)=0,2,1)*IF(_xlfn.XLOOKUP('Base stats'!E208,Groups!A:A,Groups!O:O)=0,1,0.1),1),0)</f>
        <v>0</v>
      </c>
      <c r="AY208" s="8">
        <f t="shared" si="91"/>
        <v>0</v>
      </c>
      <c r="AZ208" s="8">
        <f t="shared" si="92"/>
        <v>0</v>
      </c>
      <c r="BA208" s="8">
        <f t="shared" si="93"/>
        <v>0.5</v>
      </c>
      <c r="BB208" s="8">
        <f>IF(_xlfn.XLOOKUP(E208,Groups!A:A,Groups!N:N)="Insect",BD208*2.5,IFERROR(AVERAGE(BD208,AT208/9.81/IF(OR(_xlfn.XLOOKUP(E208,Groups!A:A,Groups!N:N)="Pig",_xlfn.XLOOKUP(E208,Groups!A:A,Groups!N:N)="StrongBitingHerbivore"),20,25))*C208^-0.135,BD208))</f>
        <v>5.8109810471136447E-2</v>
      </c>
      <c r="BC208" s="8" t="str">
        <f>IF(W208="No","No",IF(_xlfn.XLOOKUP(E208,Groups!A:A,Groups!U:U)=1,'Base stats'!BB208,IF(OR(_xlfn.XLOOKUP(E208,Groups!A:A,Groups!BD:BD)=1,_xlfn.XLOOKUP(E208,Groups!A:A,Groups!U:U)=2),BD208,IF(_xlfn.XLOOKUP(B208,Animals!B:B,Animals!AO:AO)&gt;4,AVERAGE(BD208,BF208),BF208))))</f>
        <v>No</v>
      </c>
      <c r="BD208" s="8">
        <f t="shared" si="94"/>
        <v>2.3243924188454577E-2</v>
      </c>
      <c r="BE208" s="8">
        <f>IF(_xlfn.XLOOKUP(E208,Groups!A:A,Groups!BE:BE)=1,(0.048*C208^1.01)+(0.071*C208^1.03),0.071*C208^1.03)/IF(_xlfn.XLOOKUP(E208,Groups!A:A,Groups!M:M)=1,0.85,IF(OR(_xlfn.XLOOKUP(B208,Animals!B:B,Animals!AO:AO)&gt;4,_xlfn.XLOOKUP(E208,Groups!A:A,Groups!BC:BC)=1),1.7,1))*C208^-0.25</f>
        <v>4.8644755670153153E-2</v>
      </c>
      <c r="BF208" s="8">
        <f>(0.048*C208^1.01)/IF(_xlfn.XLOOKUP(E208,Groups!A:A,Groups!M:M)=1,0.25,0.8)*C208^-0.25</f>
        <v>0.11337529549723492</v>
      </c>
      <c r="BG208" s="8">
        <f>EXP(1.076*LN(AR208)-4.5397)*IF(_xlfn.XLOOKUP(E208,Groups!A:A,Groups!BC:BC)=1,1.25,IF(_xlfn.XLOOKUP(E208,Groups!A:A,Groups!BD:BD)=1,3.5,2.5))</f>
        <v>0.52368758710181385</v>
      </c>
      <c r="BH208" s="8">
        <f>EXP(1.076*LN(AS208)-4.5397)*IF(_xlfn.XLOOKUP(E208,Groups!A:A,Groups!M:M)=1,0.8,IF(_xlfn.XLOOKUP(E208,Groups!A:A,Groups!BC:BC)=1,1.3,3))</f>
        <v>5.7595128796425588</v>
      </c>
      <c r="BI208" s="8" t="str">
        <f>IF(W208="No","No",IF(_xlfn.XLOOKUP(E208,Groups!A:A,Groups!U:U)=1,'Base stats'!BJ208,IF(OR(_xlfn.XLOOKUP(E208,Groups!A:A,Groups!BD:BD)=1,_xlfn.XLOOKUP(E208,Groups!A:A,Groups!U:U)=2),BG208,BH208))*1.2)</f>
        <v>No</v>
      </c>
      <c r="BJ208" s="8">
        <f>IFERROR(EXP(1.076*LN(AT208)-4.5397)*IF(_xlfn.XLOOKUP(E208,Groups!A:A,Groups!N:N)="Insect",1,IF(OR(_xlfn.XLOOKUP(E208,Groups!A:A,Groups!N:N)="Pig",_xlfn.XLOOKUP(E208,Groups!A:A,Groups!N:N)="StrongBitingHerbivore"),3.5,3.75)),"No")</f>
        <v>7.199391099553198</v>
      </c>
      <c r="BK208" s="8">
        <f t="shared" si="95"/>
        <v>6</v>
      </c>
      <c r="BL208" s="8">
        <f t="shared" si="96"/>
        <v>15</v>
      </c>
      <c r="BM208" s="8" t="str">
        <f t="shared" si="97"/>
        <v>No</v>
      </c>
      <c r="BN208" s="8">
        <f t="shared" si="98"/>
        <v>15</v>
      </c>
      <c r="BO208" s="8">
        <f t="shared" si="99"/>
        <v>10</v>
      </c>
      <c r="BP208" s="8" t="str" cm="1">
        <f t="array" ref="BP208">IF(AND(_xlfn.XLOOKUP('Base stats'!E208,Groups!A:A,Groups!AD:AD=0),_xlfn.XLOOKUP('Base stats'!E208,Groups!A:A,Groups!P:P=0)),"No",IF(U208="No",AVERAGE(EXP(-0.57+0.99*LN(C208)),EXP(0.32+0.67*LN(C208)))/IF(_xlfn.XLOOKUP(E208,Groups!A:A,Groups!AD:AD)=1,10,2),(0.7354*C208^0.4078)*2/IF(_xlfn.XLOOKUP(E208,Groups!A:A,Groups!BK:BK)=1,1000,100)/IF(_xlfn.XLOOKUP(E208,Groups!A:A,Groups!AJ:AJ)="Photonozoa",3,1)))</f>
        <v>No</v>
      </c>
      <c r="BQ208" s="8" t="str">
        <f>IF(W208="No","No",IF(_xlfn.XLOOKUP(E208,Groups!A:A,Groups!BD:BD)=1,(AO208*5%),EXP(0.7354*LN(C208)^0.4078)*2/IF(_xlfn.XLOOKUP(E208,Groups!A:A,Groups!BL:BL)=1,1000,100)/IF(_xlfn.XLOOKUP(E208,Groups!A:A,Groups!AJ:AJ)="Photonozoa",3,1)))</f>
        <v>No</v>
      </c>
      <c r="BR208" s="8">
        <f>IF(BJ208="No","No",IF(_xlfn.XLOOKUP(E208,Groups!A:A,Groups!BF:BF)=1,(0.0315*C208+2.1825)*2,(0.7354*C208^0.4078)*2)/IF(_xlfn.XLOOKUP(E208,Groups!A:A,Groups!BM:BM)=1,1000,100)/IF(_xlfn.XLOOKUP(E208,Groups!A:A,Groups!AJ:AJ)="Photonozoa",3,1))</f>
        <v>1.1086477730522874E-2</v>
      </c>
      <c r="BS208" s="8">
        <f t="shared" si="100"/>
        <v>1.4806376688504598E-2</v>
      </c>
      <c r="BT208" s="8" t="str">
        <f t="shared" si="101"/>
        <v>No</v>
      </c>
      <c r="BU208" s="8" t="str">
        <f t="shared" si="102"/>
        <v>No</v>
      </c>
      <c r="BV208" s="8">
        <f t="shared" si="103"/>
        <v>649.38488801832023</v>
      </c>
      <c r="BW208" s="4">
        <v>0</v>
      </c>
      <c r="BX208" s="4">
        <v>1</v>
      </c>
    </row>
    <row r="209" spans="1:76" s="16" customFormat="1" x14ac:dyDescent="0.25">
      <c r="A209" s="26" t="s">
        <v>1428</v>
      </c>
      <c r="B209" s="6" t="s">
        <v>1634</v>
      </c>
      <c r="C209" s="7">
        <v>35</v>
      </c>
      <c r="D209" s="7" t="s">
        <v>528</v>
      </c>
      <c r="E209" s="7" t="str">
        <f>Groups!$A$74</f>
        <v>Butterfly</v>
      </c>
      <c r="F209" s="7" t="str">
        <f t="shared" ref="F209" si="108">"Lay eggs"</f>
        <v>Lay eggs</v>
      </c>
      <c r="G209" s="7" t="s">
        <v>1700</v>
      </c>
      <c r="H209" s="7">
        <v>2</v>
      </c>
      <c r="I209" s="4">
        <v>1</v>
      </c>
      <c r="J209" s="7" t="str">
        <f t="shared" ref="J209" si="109">"Lay eggs"</f>
        <v>Lay eggs</v>
      </c>
      <c r="K209" s="7" t="s">
        <v>528</v>
      </c>
      <c r="L209" s="7">
        <v>26</v>
      </c>
      <c r="M209" s="7" t="s">
        <v>528</v>
      </c>
      <c r="N209" s="4">
        <v>0</v>
      </c>
      <c r="O209" s="4">
        <v>0</v>
      </c>
      <c r="P209" s="4">
        <v>0</v>
      </c>
      <c r="Q209" s="4">
        <v>0</v>
      </c>
      <c r="R209" s="4" t="s">
        <v>40</v>
      </c>
      <c r="S209" s="7">
        <f>_xlfn.XLOOKUP(B209,[1]TeethAdjusters!$A:$A,[1]BiteAdjusters!$C:$C,1)</f>
        <v>1</v>
      </c>
      <c r="T209" s="7">
        <f>_xlfn.XLOOKUP(B209,[1]TeethAdjusters!$A:$A,[1]TeethAdjusters!$B:$B,1)</f>
        <v>1</v>
      </c>
      <c r="U209" s="7" t="str">
        <f>IF(OR(_xlfn.XLOOKUP(E209,Groups!A:A,Groups!P:P)=1,_xlfn.XLOOKUP(E209,Groups!A:A,Groups!AD:AD)=1),"Need a formula","No")</f>
        <v>No</v>
      </c>
      <c r="V209" s="7" t="str">
        <f>IF(AT209="No","No",IF(_xlfn.XLOOKUP(E209,Groups!A:A,Groups!AM:AM)=1,MROUND(EXP(0.3582*LN(C209)-0.2221)*T209,0.05),IF(_xlfn.XLOOKUP(E209,Groups!A:A,Groups!AM:AM)=2,MROUND(EXP(0.3582*LN(C209)-0.2221)*T209,0.05),"Need a formula")))</f>
        <v>No</v>
      </c>
      <c r="W209" s="7" t="str">
        <f>IF(_xlfn.XLOOKUP(E209,Groups!A:A,Groups!V:V)&lt;&gt;"No","Need a formula","No")</f>
        <v>No</v>
      </c>
      <c r="X209" s="7" t="s">
        <v>932</v>
      </c>
      <c r="Y209" s="4" t="s">
        <v>42</v>
      </c>
      <c r="Z209" s="4">
        <v>1</v>
      </c>
      <c r="AA209" s="4">
        <v>0</v>
      </c>
      <c r="AB209" s="4">
        <v>0</v>
      </c>
      <c r="AC209" s="4">
        <v>0</v>
      </c>
      <c r="AD209" s="4">
        <v>0</v>
      </c>
      <c r="AE209" s="4" t="s">
        <v>45</v>
      </c>
      <c r="AF209" s="4" t="s">
        <v>45</v>
      </c>
      <c r="AG209" s="49" t="s">
        <v>1712</v>
      </c>
      <c r="AH209" s="4" t="str">
        <f>Animals!$C$105</f>
        <v>&lt;li&gt;Megaspider&lt;/li&gt;</v>
      </c>
      <c r="AI209" s="4">
        <v>0</v>
      </c>
      <c r="AJ209" s="4">
        <v>0</v>
      </c>
      <c r="AK209" s="4">
        <v>0</v>
      </c>
      <c r="AL209" s="4">
        <v>0</v>
      </c>
      <c r="AM209" s="4">
        <v>1</v>
      </c>
      <c r="AN209" s="44" t="s">
        <v>40</v>
      </c>
      <c r="AO209" s="8">
        <f t="shared" si="89"/>
        <v>11193.533609727016</v>
      </c>
      <c r="AP209" s="8">
        <f>IFERROR(C209*_xlfn.XLOOKUP(E209,Groups!A:A,Groups!K:K),0.106*C209^0.94)</f>
        <v>11.200000000000001</v>
      </c>
      <c r="AQ209" s="8">
        <f>AP209*10000/(_xlfn.XLOOKUP(E209,Groups!A:A,Groups!J:J)*AO209)</f>
        <v>8.3381474150600727</v>
      </c>
      <c r="AR209" s="8">
        <f t="shared" si="90"/>
        <v>1095.7589503868378</v>
      </c>
      <c r="AS209" s="8">
        <f>IF(_xlfn.XLOOKUP(E209,Groups!A:A,Groups!M:M)=1,EXP(0.7444*LN('Base stats'!C209)+6.5696),EXP(0.7927*LN('Base stats'!C209)+4.28))</f>
        <v>1209.9380129875831</v>
      </c>
      <c r="AT209" s="8" t="str">
        <f>IF(_xlfn.XLOOKUP(E209,Groups!A:A,Groups!N:N)="No","No",
IF(_xlfn.XLOOKUP(E209,Groups!A:A,Groups!N:N)="Crocodile",EXP(0.8129*LN(C209)+4.6742)*S209,
IF(_xlfn.XLOOKUP(E209,Groups!A:A,Groups!N:N)="Felid",EXP(0.7843*LN(C209)+4.7073)*S209,
IF(_xlfn.XLOOKUP(E209,Groups!A:A,Groups!N:N)="Canid",EXP(0.8367*LN(C209)+4.8763)*S209,
IF(_xlfn.XLOOKUP(E209,Groups!A:A,Groups!N:N)="Pig",EXP(0.3439*LN(C209)+6.8519)*S209,
IF(_xlfn.XLOOKUP(E209,Groups!A:A,Groups!N:N)="Rodent",EXP(0.5625*LN(C209)+4.3006)*S209,
IF(_xlfn.XLOOKUP(E209,Groups!A:A,Groups!N:N)="Primate",EXP(0.7847*LN(C209)+3.4931)*S209,
IF(_xlfn.XLOOKUP(E209,Groups!A:A,Groups!N:N)="MiscCarnivora",EXP(0.7486*LN(C209)+4.2207)*S209,
IF(_xlfn.XLOOKUP(E209,Groups!A:A,Groups!N:N)="Lizard",EXP(0.7733*LN(C209)+5.5303)*S209,
IF(_xlfn.XLOOKUP(E209,Groups!A:A,Groups!N:N)="Snake",50*C209^(2/3)*S209,
IF(_xlfn.XLOOKUP(E209,Groups!A:A,Groups!N:N)="StrongBitingHerbivore",87.1133638856975*C209^(2/3)*S209,
IF(_xlfn.XLOOKUP(E209,Groups!A:A,Groups!N:N)="MiscEctotherms",59.4316884072269*C209^(2/3)*S209,
IF(_xlfn.XLOOKUP(E209,Groups!A:A,Groups!N:N)="StrongBeakBird",0.041*(C209*1000)^1.375*S209,
IF(_xlfn.XLOOKUP(E209,Groups!A:A,Groups!N:N)="Bird",0.118*(C209*1000)^0.692*S209,
IF(_xlfn.XLOOKUP(E209,Groups!A:A,Groups!N:N)="Insect",EXP(0.7444*LN(C209)+6.5696)*S209,
IF(_xlfn.XLOOKUP(E209,Groups!A:A,Groups!N:N)="Theropod",EXP(0.6966*LN(C209)+4.158)*S209,
"No"))))))))))))))))</f>
        <v>No</v>
      </c>
      <c r="AU209" s="8" t="str">
        <f>IF(_xlfn.XLOOKUP(E209,Groups!A:A,Groups!U:U)=3,AS209,IF(_xlfn.XLOOKUP(E209,Groups!A:A,Groups!U:U)=2,AR209,AT209))</f>
        <v>No</v>
      </c>
      <c r="AV209" s="46">
        <f>IFERROR(AVERAGE(_xlfn.XLOOKUP(B209,Animals!B:B,Animals!N:N),_xlfn.XLOOKUP(B209,Animals!B:B,Animals!O:O)),0)</f>
        <v>0.27500000000000002</v>
      </c>
      <c r="AW209" s="8">
        <f>MROUND(40*Animals!AO209*_xlfn.XLOOKUP(AG209,Leathers!$A$2:$A$99,Leathers!$B$2:$B$99,0)+(140*_xlfn.XLOOKUP(B209,Animals!B:B,Animals!AO:AO)*2),5)</f>
        <v>210</v>
      </c>
      <c r="AX209" s="8">
        <f>IFERROR(ROUND(SQRT(V209-1)*IF(_xlfn.XLOOKUP(E209,Groups!A:A,Groups!BF:BF)=0,2,1)*IF(_xlfn.XLOOKUP('Base stats'!E209,Groups!A:A,Groups!O:O)=0,1,0.1),1),0)</f>
        <v>0</v>
      </c>
      <c r="AY209" s="8">
        <f t="shared" si="91"/>
        <v>0</v>
      </c>
      <c r="AZ209" s="8">
        <f t="shared" si="92"/>
        <v>0</v>
      </c>
      <c r="BA209" s="8">
        <f t="shared" si="93"/>
        <v>2.9</v>
      </c>
      <c r="BB209" s="8">
        <f>IF(_xlfn.XLOOKUP(E209,Groups!A:A,Groups!N:N)="Insect",BD209*2.5,IFERROR(AVERAGE(BD209,AT209/9.81/IF(OR(_xlfn.XLOOKUP(E209,Groups!A:A,Groups!N:N)="Pig",_xlfn.XLOOKUP(E209,Groups!A:A,Groups!N:N)="StrongBitingHerbivore"),20,25))*C209^-0.135,BD209))</f>
        <v>0.57215457172317086</v>
      </c>
      <c r="BC209" s="8" t="str">
        <f>IF(W209="No","No",IF(_xlfn.XLOOKUP(E209,Groups!A:A,Groups!U:U)=1,'Base stats'!BB209,IF(OR(_xlfn.XLOOKUP(E209,Groups!A:A,Groups!BD:BD)=1,_xlfn.XLOOKUP(E209,Groups!A:A,Groups!U:U)=2),BD209,IF(_xlfn.XLOOKUP(B209,Animals!B:B,Animals!AO:AO)&gt;4,AVERAGE(BD209,BF209),BF209))))</f>
        <v>No</v>
      </c>
      <c r="BD209" s="8">
        <f t="shared" si="94"/>
        <v>0.57215457172317086</v>
      </c>
      <c r="BE209" s="8">
        <f>IF(_xlfn.XLOOKUP(E209,Groups!A:A,Groups!BE:BE)=1,(0.048*C209^1.01)+(0.071*C209^1.03),0.071*C209^1.03)/IF(_xlfn.XLOOKUP(E209,Groups!A:A,Groups!M:M)=1,0.85,IF(OR(_xlfn.XLOOKUP(B209,Animals!B:B,Animals!AO:AO)&gt;4,_xlfn.XLOOKUP(E209,Groups!A:A,Groups!BC:BC)=1),1.7,1))*C209^-0.25</f>
        <v>0.66862483223497027</v>
      </c>
      <c r="BF209" s="8">
        <f>(0.048*C209^1.01)/IF(_xlfn.XLOOKUP(E209,Groups!A:A,Groups!M:M)=1,0.25,0.8)*C209^-0.25</f>
        <v>0.89462898368032151</v>
      </c>
      <c r="BG209" s="8">
        <f>EXP(1.076*LN(AR209)-4.5397)*IF(_xlfn.XLOOKUP(E209,Groups!A:A,Groups!BC:BC)=1,1.25,IF(_xlfn.XLOOKUP(E209,Groups!A:A,Groups!BD:BD)=1,3.5,2.5))</f>
        <v>24.892970376789926</v>
      </c>
      <c r="BH209" s="8">
        <f>EXP(1.076*LN(AS209)-4.5397)*IF(_xlfn.XLOOKUP(E209,Groups!A:A,Groups!M:M)=1,0.8,IF(_xlfn.XLOOKUP(E209,Groups!A:A,Groups!BC:BC)=1,1.3,3))</f>
        <v>28.80247519858462</v>
      </c>
      <c r="BI209" s="8" t="str">
        <f>IF(W209="No","No",IF(_xlfn.XLOOKUP(E209,Groups!A:A,Groups!U:U)=1,'Base stats'!BJ209,IF(OR(_xlfn.XLOOKUP(E209,Groups!A:A,Groups!BD:BD)=1,_xlfn.XLOOKUP(E209,Groups!A:A,Groups!U:U)=2),BG209,BH209))*1.2)</f>
        <v>No</v>
      </c>
      <c r="BJ209" s="8" t="str">
        <f>IFERROR(EXP(1.076*LN(AT209)-4.5397)*IF(_xlfn.XLOOKUP(E209,Groups!A:A,Groups!N:N)="Insect",1,IF(OR(_xlfn.XLOOKUP(E209,Groups!A:A,Groups!N:N)="Pig",_xlfn.XLOOKUP(E209,Groups!A:A,Groups!N:N)="StrongBitingHerbivore"),3.5,3.75)),"No")</f>
        <v>No</v>
      </c>
      <c r="BK209" s="8">
        <f t="shared" si="95"/>
        <v>9</v>
      </c>
      <c r="BL209" s="8">
        <f t="shared" si="96"/>
        <v>9</v>
      </c>
      <c r="BM209" s="8" t="str">
        <f t="shared" si="97"/>
        <v>No</v>
      </c>
      <c r="BN209" s="8" t="str">
        <f t="shared" si="98"/>
        <v>No</v>
      </c>
      <c r="BO209" s="8">
        <f t="shared" si="99"/>
        <v>8</v>
      </c>
      <c r="BP209" s="8" t="str" cm="1">
        <f t="array" ref="BP209">IF(AND(_xlfn.XLOOKUP('Base stats'!E209,Groups!A:A,Groups!AD:AD=0),_xlfn.XLOOKUP('Base stats'!E209,Groups!A:A,Groups!P:P=0)),"No",IF(U209="No",AVERAGE(EXP(-0.57+0.99*LN(C209)),EXP(0.32+0.67*LN(C209)))/IF(_xlfn.XLOOKUP(E209,Groups!A:A,Groups!AD:AD)=1,10,2),(0.7354*C209^0.4078)*2/IF(_xlfn.XLOOKUP(E209,Groups!A:A,Groups!BK:BK)=1,1000,100)/IF(_xlfn.XLOOKUP(E209,Groups!A:A,Groups!AJ:AJ)="Photonozoa",3,1)))</f>
        <v>No</v>
      </c>
      <c r="BQ209" s="8" t="str">
        <f>IF(W209="No","No",IF(_xlfn.XLOOKUP(E209,Groups!A:A,Groups!BD:BD)=1,(AO209*5%),EXP(0.7354*LN(C209)^0.4078)*2/IF(_xlfn.XLOOKUP(E209,Groups!A:A,Groups!BL:BL)=1,1000,100)/IF(_xlfn.XLOOKUP(E209,Groups!A:A,Groups!AJ:AJ)="Photonozoa",3,1)))</f>
        <v>No</v>
      </c>
      <c r="BR209" s="8" t="str">
        <f>IF(BJ209="No","No",IF(_xlfn.XLOOKUP(E209,Groups!A:A,Groups!BF:BF)=1,(0.0315*C209+2.1825)*2,(0.7354*C209^0.4078)*2)/IF(_xlfn.XLOOKUP(E209,Groups!A:A,Groups!BM:BM)=1,1000,100)/IF(_xlfn.XLOOKUP(E209,Groups!A:A,Groups!AJ:AJ)="Photonozoa",3,1))</f>
        <v>No</v>
      </c>
      <c r="BS209" s="8">
        <f t="shared" si="100"/>
        <v>4.447741212865667E-2</v>
      </c>
      <c r="BT209" s="8" t="str">
        <f t="shared" si="101"/>
        <v>No</v>
      </c>
      <c r="BU209" s="8" t="str">
        <f t="shared" si="102"/>
        <v>No</v>
      </c>
      <c r="BV209" s="8" t="str">
        <f t="shared" si="103"/>
        <v>No</v>
      </c>
      <c r="BW209" s="4">
        <v>0</v>
      </c>
      <c r="BX209" s="4">
        <v>1</v>
      </c>
    </row>
    <row r="210" spans="1:76" s="16" customFormat="1" x14ac:dyDescent="0.25">
      <c r="A210" s="26" t="s">
        <v>1430</v>
      </c>
      <c r="B210" s="6" t="s">
        <v>1635</v>
      </c>
      <c r="C210" s="7">
        <v>0.5</v>
      </c>
      <c r="D210" s="7" t="s">
        <v>528</v>
      </c>
      <c r="E210" s="7" t="str">
        <f>Groups!$A$4</f>
        <v>Beetle (LARVA)</v>
      </c>
      <c r="F210" s="7" t="s">
        <v>1700</v>
      </c>
      <c r="G210" s="7" t="s">
        <v>1700</v>
      </c>
      <c r="H210" s="7">
        <v>1</v>
      </c>
      <c r="I210" s="4">
        <v>1</v>
      </c>
      <c r="J210" s="7" t="s">
        <v>1700</v>
      </c>
      <c r="K210" s="7" t="s">
        <v>528</v>
      </c>
      <c r="L210" s="7">
        <v>16</v>
      </c>
      <c r="M210" s="7" t="s">
        <v>528</v>
      </c>
      <c r="N210" s="4">
        <v>0</v>
      </c>
      <c r="O210" s="4">
        <v>0</v>
      </c>
      <c r="P210" s="4">
        <v>0</v>
      </c>
      <c r="Q210" s="4">
        <v>0</v>
      </c>
      <c r="R210" s="4" t="s">
        <v>40</v>
      </c>
      <c r="S210" s="7">
        <f>_xlfn.XLOOKUP(B210,[1]TeethAdjusters!$A:$A,[1]BiteAdjusters!$C:$C,1)</f>
        <v>1</v>
      </c>
      <c r="T210" s="7">
        <f>_xlfn.XLOOKUP(B210,[1]TeethAdjusters!$A:$A,[1]TeethAdjusters!$B:$B,1)</f>
        <v>1</v>
      </c>
      <c r="U210" s="7" t="str">
        <f>IF(OR(_xlfn.XLOOKUP(E210,Groups!A:A,Groups!P:P)=1,_xlfn.XLOOKUP(E210,Groups!A:A,Groups!AD:AD)=1),"Need a formula","No")</f>
        <v>No</v>
      </c>
      <c r="V210" s="7">
        <v>1</v>
      </c>
      <c r="W210" s="7" t="str">
        <f>IF(_xlfn.XLOOKUP(E210,Groups!A:A,Groups!V:V)&lt;&gt;"No","Need a formula","No")</f>
        <v>No</v>
      </c>
      <c r="X210" s="7" t="s">
        <v>932</v>
      </c>
      <c r="Y210" s="4" t="s">
        <v>42</v>
      </c>
      <c r="Z210" s="4">
        <v>1</v>
      </c>
      <c r="AA210" s="4">
        <v>0</v>
      </c>
      <c r="AB210" s="4">
        <v>0</v>
      </c>
      <c r="AC210" s="4">
        <v>0</v>
      </c>
      <c r="AD210" s="4">
        <v>0</v>
      </c>
      <c r="AE210" s="4" t="s">
        <v>45</v>
      </c>
      <c r="AF210" s="4" t="s">
        <v>311</v>
      </c>
      <c r="AG210" s="49" t="s">
        <v>1712</v>
      </c>
      <c r="AH210" s="4" t="str">
        <f>Animals!$C$105</f>
        <v>&lt;li&gt;Megaspider&lt;/li&gt;</v>
      </c>
      <c r="AI210" s="4">
        <v>0</v>
      </c>
      <c r="AJ210" s="4">
        <v>0</v>
      </c>
      <c r="AK210" s="4">
        <v>0</v>
      </c>
      <c r="AL210" s="4">
        <v>0</v>
      </c>
      <c r="AM210" s="4">
        <v>1</v>
      </c>
      <c r="AN210" s="44" t="s">
        <v>40</v>
      </c>
      <c r="AO210" s="8">
        <f t="shared" si="89"/>
        <v>707.38114816219058</v>
      </c>
      <c r="AP210" s="8">
        <f>IFERROR(C210*_xlfn.XLOOKUP(E210,Groups!A:A,Groups!K:K),0.106*C210^0.94)</f>
        <v>0.16</v>
      </c>
      <c r="AQ210" s="8">
        <f>AP210*10000/(_xlfn.XLOOKUP(E210,Groups!A:A,Groups!J:J)*AO210)</f>
        <v>1.8848867216738756</v>
      </c>
      <c r="AR210" s="8">
        <f t="shared" si="90"/>
        <v>30.280337563677854</v>
      </c>
      <c r="AS210" s="8">
        <f>IF(_xlfn.XLOOKUP(E210,Groups!A:A,Groups!M:M)=1,EXP(0.7444*LN('Base stats'!C210)+6.5696),EXP(0.7927*LN('Base stats'!C210)+4.28))</f>
        <v>425.65162873628793</v>
      </c>
      <c r="AT210" s="8">
        <f>IF(_xlfn.XLOOKUP(E210,Groups!A:A,Groups!N:N)="No","No",
IF(_xlfn.XLOOKUP(E210,Groups!A:A,Groups!N:N)="Crocodile",EXP(0.8129*LN(C210)+4.6742)*S210,
IF(_xlfn.XLOOKUP(E210,Groups!A:A,Groups!N:N)="Felid",EXP(0.7843*LN(C210)+4.7073)*S210,
IF(_xlfn.XLOOKUP(E210,Groups!A:A,Groups!N:N)="Canid",EXP(0.8367*LN(C210)+4.8763)*S210,
IF(_xlfn.XLOOKUP(E210,Groups!A:A,Groups!N:N)="Pig",EXP(0.3439*LN(C210)+6.8519)*S210,
IF(_xlfn.XLOOKUP(E210,Groups!A:A,Groups!N:N)="Rodent",EXP(0.5625*LN(C210)+4.3006)*S210,
IF(_xlfn.XLOOKUP(E210,Groups!A:A,Groups!N:N)="Primate",EXP(0.7847*LN(C210)+3.4931)*S210,
IF(_xlfn.XLOOKUP(E210,Groups!A:A,Groups!N:N)="MiscCarnivora",EXP(0.7486*LN(C210)+4.2207)*S210,
IF(_xlfn.XLOOKUP(E210,Groups!A:A,Groups!N:N)="Lizard",EXP(0.7733*LN(C210)+5.5303)*S210,
IF(_xlfn.XLOOKUP(E210,Groups!A:A,Groups!N:N)="Snake",50*C210^(2/3)*S210,
IF(_xlfn.XLOOKUP(E210,Groups!A:A,Groups!N:N)="StrongBitingHerbivore",87.1133638856975*C210^(2/3)*S210,
IF(_xlfn.XLOOKUP(E210,Groups!A:A,Groups!N:N)="MiscEctotherms",59.4316884072269*C210^(2/3)*S210,
IF(_xlfn.XLOOKUP(E210,Groups!A:A,Groups!N:N)="StrongBeakBird",0.041*(C210*1000)^1.375*S210,
IF(_xlfn.XLOOKUP(E210,Groups!A:A,Groups!N:N)="Bird",0.118*(C210*1000)^0.692*S210,
IF(_xlfn.XLOOKUP(E210,Groups!A:A,Groups!N:N)="Insect",EXP(0.7444*LN(C210)+6.5696)*S210,
IF(_xlfn.XLOOKUP(E210,Groups!A:A,Groups!N:N)="Theropod",EXP(0.6966*LN(C210)+4.158)*S210,
"No"))))))))))))))))</f>
        <v>425.65162873628793</v>
      </c>
      <c r="AU210" s="8">
        <f>IF(_xlfn.XLOOKUP(E210,Groups!A:A,Groups!U:U)=3,AS210,IF(_xlfn.XLOOKUP(E210,Groups!A:A,Groups!U:U)=2,AR210,AT210))</f>
        <v>425.65162873628793</v>
      </c>
      <c r="AV210" s="46">
        <f>IFERROR(AVERAGE(_xlfn.XLOOKUP(B210,Animals!B:B,Animals!N:N),_xlfn.XLOOKUP(B210,Animals!B:B,Animals!O:O)),0)</f>
        <v>0.1</v>
      </c>
      <c r="AW210" s="8">
        <f>MROUND(40*Animals!AO210*_xlfn.XLOOKUP(AG210,Leathers!$A$2:$A$99,Leathers!$B$2:$B$99,0)+(140*_xlfn.XLOOKUP(B210,Animals!B:B,Animals!AO:AO)*2),5)</f>
        <v>30</v>
      </c>
      <c r="AX210" s="8">
        <f>IFERROR(ROUND(SQRT(V210-1)*IF(_xlfn.XLOOKUP(E210,Groups!A:A,Groups!BF:BF)=0,2,1)*IF(_xlfn.XLOOKUP('Base stats'!E210,Groups!A:A,Groups!O:O)=0,1,0.1),1),0)</f>
        <v>0</v>
      </c>
      <c r="AY210" s="8">
        <f t="shared" si="91"/>
        <v>0</v>
      </c>
      <c r="AZ210" s="8">
        <f t="shared" si="92"/>
        <v>0</v>
      </c>
      <c r="BA210" s="8">
        <f t="shared" si="93"/>
        <v>0.5</v>
      </c>
      <c r="BB210" s="8">
        <f>IF(_xlfn.XLOOKUP(E210,Groups!A:A,Groups!N:N)="Insect",BD210*2.5,IFERROR(AVERAGE(BD210,AT210/9.81/IF(OR(_xlfn.XLOOKUP(E210,Groups!A:A,Groups!N:N)="Pig",_xlfn.XLOOKUP(E210,Groups!A:A,Groups!N:N)="StrongBitingHerbivore"),20,25))*C210^-0.135,BD210))</f>
        <v>5.8109810471136447E-2</v>
      </c>
      <c r="BC210" s="8" t="str">
        <f>IF(W210="No","No",IF(_xlfn.XLOOKUP(E210,Groups!A:A,Groups!U:U)=1,'Base stats'!BB210,IF(OR(_xlfn.XLOOKUP(E210,Groups!A:A,Groups!BD:BD)=1,_xlfn.XLOOKUP(E210,Groups!A:A,Groups!U:U)=2),BD210,IF(_xlfn.XLOOKUP(B210,Animals!B:B,Animals!AO:AO)&gt;4,AVERAGE(BD210,BF210),BF210))))</f>
        <v>No</v>
      </c>
      <c r="BD210" s="8">
        <f t="shared" si="94"/>
        <v>2.3243924188454577E-2</v>
      </c>
      <c r="BE210" s="8">
        <f>IF(_xlfn.XLOOKUP(E210,Groups!A:A,Groups!BE:BE)=1,(0.048*C210^1.01)+(0.071*C210^1.03),0.071*C210^1.03)/IF(_xlfn.XLOOKUP(E210,Groups!A:A,Groups!M:M)=1,0.85,IF(OR(_xlfn.XLOOKUP(B210,Animals!B:B,Animals!AO:AO)&gt;4,_xlfn.XLOOKUP(E210,Groups!A:A,Groups!BC:BC)=1),1.7,1))*C210^-0.25</f>
        <v>4.8644755670153153E-2</v>
      </c>
      <c r="BF210" s="8">
        <f>(0.048*C210^1.01)/IF(_xlfn.XLOOKUP(E210,Groups!A:A,Groups!M:M)=1,0.25,0.8)*C210^-0.25</f>
        <v>0.11337529549723492</v>
      </c>
      <c r="BG210" s="8">
        <f>EXP(1.076*LN(AR210)-4.5397)*IF(_xlfn.XLOOKUP(E210,Groups!A:A,Groups!BC:BC)=1,1.25,IF(_xlfn.XLOOKUP(E210,Groups!A:A,Groups!BD:BD)=1,3.5,2.5))</f>
        <v>0.52368758710181385</v>
      </c>
      <c r="BH210" s="8">
        <f>EXP(1.076*LN(AS210)-4.5397)*IF(_xlfn.XLOOKUP(E210,Groups!A:A,Groups!M:M)=1,0.8,IF(_xlfn.XLOOKUP(E210,Groups!A:A,Groups!BC:BC)=1,1.3,3))</f>
        <v>5.7595128796425588</v>
      </c>
      <c r="BI210" s="8" t="str">
        <f>IF(W210="No","No",IF(_xlfn.XLOOKUP(E210,Groups!A:A,Groups!U:U)=1,'Base stats'!BJ210,IF(OR(_xlfn.XLOOKUP(E210,Groups!A:A,Groups!BD:BD)=1,_xlfn.XLOOKUP(E210,Groups!A:A,Groups!U:U)=2),BG210,BH210))*1.2)</f>
        <v>No</v>
      </c>
      <c r="BJ210" s="8">
        <f>IFERROR(EXP(1.076*LN(AT210)-4.5397)*IF(_xlfn.XLOOKUP(E210,Groups!A:A,Groups!N:N)="Insect",1,IF(OR(_xlfn.XLOOKUP(E210,Groups!A:A,Groups!N:N)="Pig",_xlfn.XLOOKUP(E210,Groups!A:A,Groups!N:N)="StrongBitingHerbivore"),3.5,3.75)),"No")</f>
        <v>7.199391099553198</v>
      </c>
      <c r="BK210" s="8">
        <f t="shared" si="95"/>
        <v>6</v>
      </c>
      <c r="BL210" s="8">
        <f t="shared" si="96"/>
        <v>15</v>
      </c>
      <c r="BM210" s="8" t="str">
        <f t="shared" si="97"/>
        <v>No</v>
      </c>
      <c r="BN210" s="8">
        <f t="shared" si="98"/>
        <v>15</v>
      </c>
      <c r="BO210" s="8">
        <f t="shared" si="99"/>
        <v>10</v>
      </c>
      <c r="BP210" s="8" t="str" cm="1">
        <f t="array" ref="BP210">IF(AND(_xlfn.XLOOKUP('Base stats'!E210,Groups!A:A,Groups!AD:AD=0),_xlfn.XLOOKUP('Base stats'!E210,Groups!A:A,Groups!P:P=0)),"No",IF(U210="No",AVERAGE(EXP(-0.57+0.99*LN(C210)),EXP(0.32+0.67*LN(C210)))/IF(_xlfn.XLOOKUP(E210,Groups!A:A,Groups!AD:AD)=1,10,2),(0.7354*C210^0.4078)*2/IF(_xlfn.XLOOKUP(E210,Groups!A:A,Groups!BK:BK)=1,1000,100)/IF(_xlfn.XLOOKUP(E210,Groups!A:A,Groups!AJ:AJ)="Photonozoa",3,1)))</f>
        <v>No</v>
      </c>
      <c r="BQ210" s="8" t="str">
        <f>IF(W210="No","No",IF(_xlfn.XLOOKUP(E210,Groups!A:A,Groups!BD:BD)=1,(AO210*5%),EXP(0.7354*LN(C210)^0.4078)*2/IF(_xlfn.XLOOKUP(E210,Groups!A:A,Groups!BL:BL)=1,1000,100)/IF(_xlfn.XLOOKUP(E210,Groups!A:A,Groups!AJ:AJ)="Photonozoa",3,1)))</f>
        <v>No</v>
      </c>
      <c r="BR210" s="8">
        <f>IF(BJ210="No","No",IF(_xlfn.XLOOKUP(E210,Groups!A:A,Groups!BF:BF)=1,(0.0315*C210+2.1825)*2,(0.7354*C210^0.4078)*2)/IF(_xlfn.XLOOKUP(E210,Groups!A:A,Groups!BM:BM)=1,1000,100)/IF(_xlfn.XLOOKUP(E210,Groups!A:A,Groups!AJ:AJ)="Photonozoa",3,1))</f>
        <v>1.1086477730522874E-2</v>
      </c>
      <c r="BS210" s="8">
        <f t="shared" si="100"/>
        <v>1.4806376688504598E-2</v>
      </c>
      <c r="BT210" s="8" t="str">
        <f t="shared" si="101"/>
        <v>No</v>
      </c>
      <c r="BU210" s="8" t="str">
        <f t="shared" si="102"/>
        <v>No</v>
      </c>
      <c r="BV210" s="8">
        <f t="shared" si="103"/>
        <v>649.38488801832023</v>
      </c>
      <c r="BW210" s="4">
        <v>0</v>
      </c>
      <c r="BX210" s="4">
        <v>1</v>
      </c>
    </row>
    <row r="211" spans="1:76" s="16" customFormat="1" x14ac:dyDescent="0.25">
      <c r="A211" s="26" t="s">
        <v>1504</v>
      </c>
      <c r="B211" s="6" t="s">
        <v>1662</v>
      </c>
      <c r="C211" s="7">
        <v>55</v>
      </c>
      <c r="D211" s="7" t="s">
        <v>528</v>
      </c>
      <c r="E211" s="7" t="str">
        <f>Groups!$A$75</f>
        <v>ArmoredWorm</v>
      </c>
      <c r="F211" s="7">
        <f>ROUND(7.545*(C211*1000)^0.2689,0)</f>
        <v>142</v>
      </c>
      <c r="G211" s="7">
        <v>2</v>
      </c>
      <c r="H211" s="7">
        <v>15</v>
      </c>
      <c r="I211" s="4">
        <v>0</v>
      </c>
      <c r="J211" s="7">
        <v>1</v>
      </c>
      <c r="K211" s="7" t="s">
        <v>528</v>
      </c>
      <c r="L211" s="7">
        <v>22</v>
      </c>
      <c r="M211" s="7" t="s">
        <v>528</v>
      </c>
      <c r="N211" s="4">
        <v>0</v>
      </c>
      <c r="O211" s="4">
        <v>0</v>
      </c>
      <c r="P211" s="4">
        <v>0</v>
      </c>
      <c r="Q211" s="4">
        <v>0</v>
      </c>
      <c r="R211" s="4">
        <v>1</v>
      </c>
      <c r="S211" s="7">
        <f>_xlfn.XLOOKUP(B211,[1]TeethAdjusters!$A:$A,[1]BiteAdjusters!$C:$C,1)</f>
        <v>1</v>
      </c>
      <c r="T211" s="7">
        <f>_xlfn.XLOOKUP(B211,[1]TeethAdjusters!$A:$A,[1]TeethAdjusters!$B:$B,1)</f>
        <v>1</v>
      </c>
      <c r="U211" s="7" t="s">
        <v>45</v>
      </c>
      <c r="V211" s="7">
        <v>6</v>
      </c>
      <c r="W211" s="7" t="s">
        <v>45</v>
      </c>
      <c r="X211" s="7" t="s">
        <v>932</v>
      </c>
      <c r="Y211" s="4" t="s">
        <v>53</v>
      </c>
      <c r="Z211" s="4">
        <v>1</v>
      </c>
      <c r="AA211" s="4">
        <v>0</v>
      </c>
      <c r="AB211" s="4">
        <v>0</v>
      </c>
      <c r="AC211" s="4">
        <v>0</v>
      </c>
      <c r="AD211" s="4">
        <v>0</v>
      </c>
      <c r="AE211" s="4" t="s">
        <v>1046</v>
      </c>
      <c r="AF211" s="4" t="s">
        <v>45</v>
      </c>
      <c r="AG211" s="49" t="s">
        <v>1800</v>
      </c>
      <c r="AH211" s="4" t="str">
        <f>Animals!$C$105</f>
        <v>&lt;li&gt;Megaspider&lt;/li&gt;</v>
      </c>
      <c r="AI211" s="4">
        <v>0</v>
      </c>
      <c r="AJ211" s="4">
        <v>0</v>
      </c>
      <c r="AK211" s="4">
        <v>0</v>
      </c>
      <c r="AL211" s="4">
        <v>0</v>
      </c>
      <c r="AM211" s="4">
        <v>1</v>
      </c>
      <c r="AN211" s="44" t="s">
        <v>40</v>
      </c>
      <c r="AO211" s="8">
        <f t="shared" si="89"/>
        <v>15016.154461994613</v>
      </c>
      <c r="AP211" s="8">
        <f>IFERROR(C211*_xlfn.XLOOKUP(E211,Groups!A:A,Groups!K:K),0.106*C211^0.94)</f>
        <v>17.600000000000001</v>
      </c>
      <c r="AQ211" s="8">
        <f>AP211*10000/(_xlfn.XLOOKUP(E211,Groups!A:A,Groups!J:J)*AO211)</f>
        <v>13.169337694898505</v>
      </c>
      <c r="AR211" s="8">
        <f t="shared" si="90"/>
        <v>1605.1850768028401</v>
      </c>
      <c r="AS211" s="8">
        <f>IF(_xlfn.XLOOKUP(E211,Groups!A:A,Groups!M:M)=1,EXP(0.7444*LN('Base stats'!C211)+6.5696),EXP(0.7927*LN('Base stats'!C211)+4.28))</f>
        <v>1731.2743173050442</v>
      </c>
      <c r="AT211" s="8">
        <f>IF(_xlfn.XLOOKUP(E211,Groups!A:A,Groups!N:N)="No","No",
IF(_xlfn.XLOOKUP(E211,Groups!A:A,Groups!N:N)="Crocodile",EXP(0.8129*LN(C211)+4.6742)*S211,
IF(_xlfn.XLOOKUP(E211,Groups!A:A,Groups!N:N)="Felid",EXP(0.7843*LN(C211)+4.7073)*S211,
IF(_xlfn.XLOOKUP(E211,Groups!A:A,Groups!N:N)="Canid",EXP(0.8367*LN(C211)+4.8763)*S211,
IF(_xlfn.XLOOKUP(E211,Groups!A:A,Groups!N:N)="Pig",EXP(0.3439*LN(C211)+6.8519)*S211,
IF(_xlfn.XLOOKUP(E211,Groups!A:A,Groups!N:N)="Rodent",EXP(0.5625*LN(C211)+4.3006)*S211,
IF(_xlfn.XLOOKUP(E211,Groups!A:A,Groups!N:N)="Primate",EXP(0.7847*LN(C211)+3.4931)*S211,
IF(_xlfn.XLOOKUP(E211,Groups!A:A,Groups!N:N)="MiscCarnivora",EXP(0.7486*LN(C211)+4.2207)*S211,
IF(_xlfn.XLOOKUP(E211,Groups!A:A,Groups!N:N)="Lizard",EXP(0.7733*LN(C211)+5.5303)*S211,
IF(_xlfn.XLOOKUP(E211,Groups!A:A,Groups!N:N)="Snake",50*C211^(2/3)*S211,
IF(_xlfn.XLOOKUP(E211,Groups!A:A,Groups!N:N)="StrongBitingHerbivore",87.1133638856975*C211^(2/3)*S211,
IF(_xlfn.XLOOKUP(E211,Groups!A:A,Groups!N:N)="MiscEctotherms",59.4316884072269*C211^(2/3)*S211,
IF(_xlfn.XLOOKUP(E211,Groups!A:A,Groups!N:N)="StrongBeakBird",0.041*(C211*1000)^1.375*S211,
IF(_xlfn.XLOOKUP(E211,Groups!A:A,Groups!N:N)="Bird",0.118*(C211*1000)^0.692*S211,
IF(_xlfn.XLOOKUP(E211,Groups!A:A,Groups!N:N)="Insect",EXP(0.7444*LN(C211)+6.5696)*S211,
IF(_xlfn.XLOOKUP(E211,Groups!A:A,Groups!N:N)="Theropod",EXP(0.6966*LN(C211)+4.158)*S211,
"No"))))))))))))))))</f>
        <v>14082.086717335285</v>
      </c>
      <c r="AU211" s="8">
        <f>IF(_xlfn.XLOOKUP(E211,Groups!A:A,Groups!U:U)=3,AS211,IF(_xlfn.XLOOKUP(E211,Groups!A:A,Groups!U:U)=2,AR211,AT211))</f>
        <v>14082.086717335285</v>
      </c>
      <c r="AV211" s="46">
        <f>IFERROR(AVERAGE(_xlfn.XLOOKUP(B211,Animals!B:B,Animals!N:N),_xlfn.XLOOKUP(B211,Animals!B:B,Animals!O:O)),0)</f>
        <v>0.8</v>
      </c>
      <c r="AW211" s="8">
        <f>MROUND(40*Animals!AO211*_xlfn.XLOOKUP(AG211,Leathers!$A$2:$A$99,Leathers!$B$2:$B$99,0)+(140*_xlfn.XLOOKUP(B211,Animals!B:B,Animals!AO:AO)*2),5)</f>
        <v>250</v>
      </c>
      <c r="AX211" s="8">
        <f>IFERROR(ROUND(SQRT(V211-1)*IF(_xlfn.XLOOKUP(E211,Groups!A:A,Groups!BF:BF)=0,2,1)*IF(_xlfn.XLOOKUP('Base stats'!E211,Groups!A:A,Groups!O:O)=0,1,0.1),1),0)</f>
        <v>4.5</v>
      </c>
      <c r="AY211" s="8">
        <f t="shared" si="91"/>
        <v>0</v>
      </c>
      <c r="AZ211" s="8">
        <f t="shared" si="92"/>
        <v>0</v>
      </c>
      <c r="BA211" s="8">
        <f t="shared" si="93"/>
        <v>3.4</v>
      </c>
      <c r="BB211" s="8">
        <f>IF(_xlfn.XLOOKUP(E211,Groups!A:A,Groups!N:N)="Insect",BD211*2.5,IFERROR(AVERAGE(BD211,AT211/9.81/IF(OR(_xlfn.XLOOKUP(E211,Groups!A:A,Groups!N:N)="Pig",_xlfn.XLOOKUP(E211,Groups!A:A,Groups!N:N)="StrongBitingHerbivore"),20,25))*C211^-0.135,BD211))</f>
        <v>2.7382145300205654</v>
      </c>
      <c r="BC211" s="8" t="str">
        <f>IF(W211="No","No",IF(_xlfn.XLOOKUP(E211,Groups!A:A,Groups!U:U)=1,'Base stats'!BB211,IF(OR(_xlfn.XLOOKUP(E211,Groups!A:A,Groups!BD:BD)=1,_xlfn.XLOOKUP(E211,Groups!A:A,Groups!U:U)=2),BD211,IF(_xlfn.XLOOKUP(B211,Animals!B:B,Animals!AO:AO)&gt;4,AVERAGE(BD211,BF211),BF211))))</f>
        <v>No</v>
      </c>
      <c r="BD211" s="8">
        <f t="shared" si="94"/>
        <v>1.0952858120082261</v>
      </c>
      <c r="BE211" s="8">
        <f>IF(_xlfn.XLOOKUP(E211,Groups!A:A,Groups!BE:BE)=1,(0.048*C211^1.01)+(0.071*C211^1.03),0.071*C211^1.03)/IF(_xlfn.XLOOKUP(E211,Groups!A:A,Groups!M:M)=1,0.85,IF(OR(_xlfn.XLOOKUP(B211,Animals!B:B,Animals!AO:AO)&gt;4,_xlfn.XLOOKUP(E211,Groups!A:A,Groups!BC:BC)=1),1.7,1))*C211^-0.25</f>
        <v>0.95124486448581658</v>
      </c>
      <c r="BF211" s="8">
        <f>(0.048*C211^1.01)/IF(_xlfn.XLOOKUP(E211,Groups!A:A,Groups!M:M)=1,0.25,0.8)*C211^-0.25</f>
        <v>1.2613246825021767</v>
      </c>
      <c r="BG211" s="8">
        <f>EXP(1.076*LN(AR211)-4.5397)*IF(_xlfn.XLOOKUP(E211,Groups!A:A,Groups!BC:BC)=1,1.25,IF(_xlfn.XLOOKUP(E211,Groups!A:A,Groups!BD:BD)=1,3.5,2.5))</f>
        <v>37.539490648749812</v>
      </c>
      <c r="BH211" s="8">
        <f>EXP(1.076*LN(AS211)-4.5397)*IF(_xlfn.XLOOKUP(E211,Groups!A:A,Groups!M:M)=1,0.8,IF(_xlfn.XLOOKUP(E211,Groups!A:A,Groups!BC:BC)=1,1.3,3))</f>
        <v>42.350484847350685</v>
      </c>
      <c r="BI211" s="8" t="str">
        <f>IF(W211="No","No",IF(_xlfn.XLOOKUP(E211,Groups!A:A,Groups!U:U)=1,'Base stats'!BJ211,IF(OR(_xlfn.XLOOKUP(E211,Groups!A:A,Groups!BD:BD)=1,_xlfn.XLOOKUP(E211,Groups!A:A,Groups!U:U)=2),BG211,BH211))*1.2)</f>
        <v>No</v>
      </c>
      <c r="BJ211" s="8">
        <f>IFERROR(EXP(1.076*LN(AT211)-4.5397)*IF(_xlfn.XLOOKUP(E211,Groups!A:A,Groups!N:N)="Insect",1,IF(OR(_xlfn.XLOOKUP(E211,Groups!A:A,Groups!N:N)="Pig",_xlfn.XLOOKUP(E211,Groups!A:A,Groups!N:N)="StrongBitingHerbivore"),3.5,3.75)),"No")</f>
        <v>310.74134985059737</v>
      </c>
      <c r="BK211" s="8">
        <f t="shared" si="95"/>
        <v>8</v>
      </c>
      <c r="BL211" s="8">
        <f t="shared" si="96"/>
        <v>9</v>
      </c>
      <c r="BM211" s="8" t="str">
        <f t="shared" si="97"/>
        <v>No</v>
      </c>
      <c r="BN211" s="8">
        <f t="shared" si="98"/>
        <v>15</v>
      </c>
      <c r="BO211" s="8">
        <f t="shared" si="99"/>
        <v>8</v>
      </c>
      <c r="BP211" s="8" t="str" cm="1">
        <f t="array" ref="BP211">IF(AND(_xlfn.XLOOKUP('Base stats'!E211,Groups!A:A,Groups!AD:AD=0),_xlfn.XLOOKUP('Base stats'!E211,Groups!A:A,Groups!P:P=0)),"No",IF(U211="No",AVERAGE(EXP(-0.57+0.99*LN(C211)),EXP(0.32+0.67*LN(C211)))/IF(_xlfn.XLOOKUP(E211,Groups!A:A,Groups!AD:AD)=1,10,2),(0.7354*C211^0.4078)*2/IF(_xlfn.XLOOKUP(E211,Groups!A:A,Groups!BK:BK)=1,1000,100)/IF(_xlfn.XLOOKUP(E211,Groups!A:A,Groups!AJ:AJ)="Photonozoa",3,1)))</f>
        <v>No</v>
      </c>
      <c r="BQ211" s="8" t="str">
        <f>IF(W211="No","No",IF(_xlfn.XLOOKUP(E211,Groups!A:A,Groups!BD:BD)=1,(AO211*5%),EXP(0.7354*LN(C211)^0.4078)*2/IF(_xlfn.XLOOKUP(E211,Groups!A:A,Groups!BL:BL)=1,1000,100)/IF(_xlfn.XLOOKUP(E211,Groups!A:A,Groups!AJ:AJ)="Photonozoa",3,1)))</f>
        <v>No</v>
      </c>
      <c r="BR211" s="8">
        <f>IF(BJ211="No","No",IF(_xlfn.XLOOKUP(E211,Groups!A:A,Groups!BF:BF)=1,(0.0315*C211+2.1825)*2,(0.7354*C211^0.4078)*2)/IF(_xlfn.XLOOKUP(E211,Groups!A:A,Groups!BM:BM)=1,1000,100)/IF(_xlfn.XLOOKUP(E211,Groups!A:A,Groups!AJ:AJ)="Photonozoa",3,1))</f>
        <v>7.5383018919233477E-2</v>
      </c>
      <c r="BS211" s="8">
        <f t="shared" si="100"/>
        <v>4.9998807276205121E-2</v>
      </c>
      <c r="BT211" s="8" t="str">
        <f t="shared" si="101"/>
        <v>No</v>
      </c>
      <c r="BU211" s="8" t="str">
        <f t="shared" si="102"/>
        <v>No</v>
      </c>
      <c r="BV211" s="8">
        <f t="shared" si="103"/>
        <v>4122.1664282712054</v>
      </c>
      <c r="BW211" s="4">
        <v>0</v>
      </c>
      <c r="BX211" s="4">
        <v>1</v>
      </c>
    </row>
    <row r="212" spans="1:76" s="16" customFormat="1" x14ac:dyDescent="0.25">
      <c r="A212" s="26" t="s">
        <v>1378</v>
      </c>
      <c r="B212" s="6" t="s">
        <v>1616</v>
      </c>
      <c r="C212" s="7">
        <v>70</v>
      </c>
      <c r="D212" s="7" t="s">
        <v>528</v>
      </c>
      <c r="E212" s="7" t="str">
        <f>Groups!$A$80</f>
        <v>MantisSnake (VAMPIRE)</v>
      </c>
      <c r="F212" s="7">
        <v>100</v>
      </c>
      <c r="G212" s="7">
        <v>3</v>
      </c>
      <c r="H212" s="7">
        <v>15</v>
      </c>
      <c r="I212" s="4">
        <v>1</v>
      </c>
      <c r="J212" s="7">
        <v>4</v>
      </c>
      <c r="K212" s="7" t="s">
        <v>528</v>
      </c>
      <c r="L212" s="7">
        <v>24</v>
      </c>
      <c r="M212" s="7" t="s">
        <v>528</v>
      </c>
      <c r="N212" s="4">
        <v>0</v>
      </c>
      <c r="O212" s="4">
        <v>0</v>
      </c>
      <c r="P212" s="4">
        <v>0</v>
      </c>
      <c r="Q212" s="4">
        <v>0</v>
      </c>
      <c r="R212" s="4" t="s">
        <v>40</v>
      </c>
      <c r="S212" s="7">
        <f>_xlfn.XLOOKUP(B212,[1]TeethAdjusters!$A:$A,[1]BiteAdjusters!$C:$C,1)</f>
        <v>1</v>
      </c>
      <c r="T212" s="7">
        <f>_xlfn.XLOOKUP(B212,[1]TeethAdjusters!$A:$A,[1]TeethAdjusters!$B:$B,1)</f>
        <v>1</v>
      </c>
      <c r="U212" s="7">
        <v>12</v>
      </c>
      <c r="V212" s="7">
        <v>3</v>
      </c>
      <c r="W212" s="7" t="str">
        <f>IF(_xlfn.XLOOKUP(E212,Groups!A:A,Groups!V:V)&lt;&gt;"No","Need a formula","No")</f>
        <v>No</v>
      </c>
      <c r="X212" s="7" t="s">
        <v>932</v>
      </c>
      <c r="Y212" s="4" t="s">
        <v>56</v>
      </c>
      <c r="Z212" s="4">
        <v>1</v>
      </c>
      <c r="AA212" s="4">
        <v>0</v>
      </c>
      <c r="AB212" s="4">
        <v>0</v>
      </c>
      <c r="AC212" s="4">
        <v>0</v>
      </c>
      <c r="AD212" s="4">
        <v>0</v>
      </c>
      <c r="AE212" s="4" t="s">
        <v>45</v>
      </c>
      <c r="AF212" s="4" t="s">
        <v>45</v>
      </c>
      <c r="AG212" s="49" t="s">
        <v>1770</v>
      </c>
      <c r="AH212" s="4" t="str">
        <f>Animals!$C$105</f>
        <v>&lt;li&gt;Megaspider&lt;/li&gt;</v>
      </c>
      <c r="AI212" s="4">
        <v>0</v>
      </c>
      <c r="AJ212" s="4">
        <v>0</v>
      </c>
      <c r="AK212" s="4">
        <v>0</v>
      </c>
      <c r="AL212" s="4">
        <v>0</v>
      </c>
      <c r="AM212" s="4">
        <v>1</v>
      </c>
      <c r="AN212" s="44" t="s">
        <v>40</v>
      </c>
      <c r="AO212" s="8">
        <f t="shared" si="89"/>
        <v>17564.536938929268</v>
      </c>
      <c r="AP212" s="8">
        <f>IFERROR(C212*_xlfn.XLOOKUP(E212,Groups!A:A,Groups!K:K),0.106*C212^0.94)</f>
        <v>22.400000000000002</v>
      </c>
      <c r="AQ212" s="8">
        <f>AP212*10000/(_xlfn.XLOOKUP(E212,Groups!A:A,Groups!J:J)*AO212)</f>
        <v>14.329178966318352</v>
      </c>
      <c r="AR212" s="8">
        <f t="shared" si="90"/>
        <v>1967.863924091341</v>
      </c>
      <c r="AS212" s="8">
        <f>IF(_xlfn.XLOOKUP(E212,Groups!A:A,Groups!M:M)=1,EXP(0.7444*LN('Base stats'!C212)+6.5696),EXP(0.7927*LN('Base stats'!C212)+4.28))</f>
        <v>16851.245638497156</v>
      </c>
      <c r="AT212" s="8">
        <f>IF(_xlfn.XLOOKUP(E212,Groups!A:A,Groups!N:N)="No","No",
IF(_xlfn.XLOOKUP(E212,Groups!A:A,Groups!N:N)="Crocodile",EXP(0.8129*LN(C212)+4.6742)*S212,
IF(_xlfn.XLOOKUP(E212,Groups!A:A,Groups!N:N)="Felid",EXP(0.7843*LN(C212)+4.7073)*S212,
IF(_xlfn.XLOOKUP(E212,Groups!A:A,Groups!N:N)="Canid",EXP(0.8367*LN(C212)+4.8763)*S212,
IF(_xlfn.XLOOKUP(E212,Groups!A:A,Groups!N:N)="Pig",EXP(0.3439*LN(C212)+6.8519)*S212,
IF(_xlfn.XLOOKUP(E212,Groups!A:A,Groups!N:N)="Rodent",EXP(0.5625*LN(C212)+4.3006)*S212,
IF(_xlfn.XLOOKUP(E212,Groups!A:A,Groups!N:N)="Primate",EXP(0.7847*LN(C212)+3.4931)*S212,
IF(_xlfn.XLOOKUP(E212,Groups!A:A,Groups!N:N)="MiscCarnivora",EXP(0.7486*LN(C212)+4.2207)*S212,
IF(_xlfn.XLOOKUP(E212,Groups!A:A,Groups!N:N)="Lizard",EXP(0.7733*LN(C212)+5.5303)*S212,
IF(_xlfn.XLOOKUP(E212,Groups!A:A,Groups!N:N)="Snake",50*C212^(2/3)*S212,
IF(_xlfn.XLOOKUP(E212,Groups!A:A,Groups!N:N)="StrongBitingHerbivore",87.1133638856975*C212^(2/3)*S212,
IF(_xlfn.XLOOKUP(E212,Groups!A:A,Groups!N:N)="MiscEctotherms",59.4316884072269*C212^(2/3)*S212,
IF(_xlfn.XLOOKUP(E212,Groups!A:A,Groups!N:N)="StrongBeakBird",0.041*(C212*1000)^1.375*S212,
IF(_xlfn.XLOOKUP(E212,Groups!A:A,Groups!N:N)="Bird",0.118*(C212*1000)^0.692*S212,
IF(_xlfn.XLOOKUP(E212,Groups!A:A,Groups!N:N)="Insect",EXP(0.7444*LN(C212)+6.5696)*S212,
IF(_xlfn.XLOOKUP(E212,Groups!A:A,Groups!N:N)="Theropod",EXP(0.6966*LN(C212)+4.158)*S212,
"No"))))))))))))))))</f>
        <v>16851.245638497156</v>
      </c>
      <c r="AU212" s="8">
        <f>IF(_xlfn.XLOOKUP(E212,Groups!A:A,Groups!U:U)=3,AS212,IF(_xlfn.XLOOKUP(E212,Groups!A:A,Groups!U:U)=2,AR212,AT212))</f>
        <v>16851.245638497156</v>
      </c>
      <c r="AV212" s="46">
        <f>IFERROR(AVERAGE(_xlfn.XLOOKUP(B212,Animals!B:B,Animals!N:N),_xlfn.XLOOKUP(B212,Animals!B:B,Animals!O:O)),0)</f>
        <v>0.8</v>
      </c>
      <c r="AW212" s="8">
        <f>MROUND(40*Animals!AO212*_xlfn.XLOOKUP(AG212,Leathers!$A$2:$A$99,Leathers!$B$2:$B$99,0)+(140*_xlfn.XLOOKUP(B212,Animals!B:B,Animals!AO:AO)*2),5)</f>
        <v>280</v>
      </c>
      <c r="AX212" s="8">
        <f>IFERROR(ROUND(SQRT(V212-1)*IF(_xlfn.XLOOKUP(E212,Groups!A:A,Groups!BF:BF)=0,2,1)*IF(_xlfn.XLOOKUP('Base stats'!E212,Groups!A:A,Groups!O:O)=0,1,0.1),1),0)</f>
        <v>2.8</v>
      </c>
      <c r="AY212" s="8">
        <f t="shared" si="91"/>
        <v>3.3</v>
      </c>
      <c r="AZ212" s="8">
        <f t="shared" si="92"/>
        <v>0</v>
      </c>
      <c r="BA212" s="8">
        <f t="shared" si="93"/>
        <v>3.7</v>
      </c>
      <c r="BB212" s="8">
        <f>IF(_xlfn.XLOOKUP(E212,Groups!A:A,Groups!N:N)="Insect",BD212*2.5,IFERROR(AVERAGE(BD212,AT212/9.81/IF(OR(_xlfn.XLOOKUP(E212,Groups!A:A,Groups!N:N)="Pig",_xlfn.XLOOKUP(E212,Groups!A:A,Groups!N:N)="StrongBitingHerbivore"),20,25))*C212^-0.135,BD212))</f>
        <v>3.345819800223309</v>
      </c>
      <c r="BC212" s="8" t="str">
        <f>IF(W212="No","No",IF(_xlfn.XLOOKUP(E212,Groups!A:A,Groups!U:U)=1,'Base stats'!BB212,IF(OR(_xlfn.XLOOKUP(E212,Groups!A:A,Groups!BD:BD)=1,_xlfn.XLOOKUP(E212,Groups!A:A,Groups!U:U)=2),BD212,IF(_xlfn.XLOOKUP(B212,Animals!B:B,Animals!AO:AO)&gt;4,AVERAGE(BD212,BF212),BF212))))</f>
        <v>No</v>
      </c>
      <c r="BD212" s="8">
        <f t="shared" si="94"/>
        <v>1.3383279200893237</v>
      </c>
      <c r="BE212" s="8">
        <f>IF(_xlfn.XLOOKUP(E212,Groups!A:A,Groups!BE:BE)=1,(0.048*C212^1.01)+(0.071*C212^1.03),0.071*C212^1.03)/IF(_xlfn.XLOOKUP(E212,Groups!A:A,Groups!M:M)=1,0.85,IF(OR(_xlfn.XLOOKUP(B212,Animals!B:B,Animals!AO:AO)&gt;4,_xlfn.XLOOKUP(E212,Groups!A:A,Groups!BC:BC)=1),1.7,1))*C212^-0.25</f>
        <v>2.2962326836037485</v>
      </c>
      <c r="BF212" s="8">
        <f>(0.048*C212^1.01)/IF(_xlfn.XLOOKUP(E212,Groups!A:A,Groups!M:M)=1,0.25,0.8)*C212^-0.25</f>
        <v>4.8481465487037703</v>
      </c>
      <c r="BG212" s="8">
        <f>EXP(1.076*LN(AR212)-4.5397)*IF(_xlfn.XLOOKUP(E212,Groups!A:A,Groups!BC:BC)=1,1.25,IF(_xlfn.XLOOKUP(E212,Groups!A:A,Groups!BD:BD)=1,3.5,2.5))</f>
        <v>46.739282636034801</v>
      </c>
      <c r="BH212" s="8">
        <f>EXP(1.076*LN(AS212)-4.5397)*IF(_xlfn.XLOOKUP(E212,Groups!A:A,Groups!M:M)=1,0.8,IF(_xlfn.XLOOKUP(E212,Groups!A:A,Groups!BC:BC)=1,1.3,3))</f>
        <v>301.56391268967485</v>
      </c>
      <c r="BI212" s="8" t="str">
        <f>IF(W212="No","No",IF(_xlfn.XLOOKUP(E212,Groups!A:A,Groups!U:U)=1,'Base stats'!BJ212,IF(OR(_xlfn.XLOOKUP(E212,Groups!A:A,Groups!BD:BD)=1,_xlfn.XLOOKUP(E212,Groups!A:A,Groups!U:U)=2),BG212,BH212))*1.2)</f>
        <v>No</v>
      </c>
      <c r="BJ212" s="8">
        <f>IFERROR(EXP(1.076*LN(AT212)-4.5397)*IF(_xlfn.XLOOKUP(E212,Groups!A:A,Groups!N:N)="Insect",1,IF(OR(_xlfn.XLOOKUP(E212,Groups!A:A,Groups!N:N)="Pig",_xlfn.XLOOKUP(E212,Groups!A:A,Groups!N:N)="StrongBitingHerbivore"),3.5,3.75)),"No")</f>
        <v>376.95489086209358</v>
      </c>
      <c r="BK212" s="8">
        <f t="shared" si="95"/>
        <v>8</v>
      </c>
      <c r="BL212" s="8">
        <f t="shared" si="96"/>
        <v>16</v>
      </c>
      <c r="BM212" s="8" t="str">
        <f t="shared" si="97"/>
        <v>No</v>
      </c>
      <c r="BN212" s="8">
        <f t="shared" si="98"/>
        <v>15</v>
      </c>
      <c r="BO212" s="8">
        <f t="shared" si="99"/>
        <v>11</v>
      </c>
      <c r="BP212" s="8" cm="1">
        <f t="array" ref="BP212">IF(AND(_xlfn.XLOOKUP('Base stats'!E212,Groups!A:A,Groups!AD:AD=0),_xlfn.XLOOKUP('Base stats'!E212,Groups!A:A,Groups!P:P=0)),"No",IF(U212="No",AVERAGE(EXP(-0.57+0.99*LN(C212)),EXP(0.32+0.67*LN(C212)))/IF(_xlfn.XLOOKUP(E212,Groups!A:A,Groups!AD:AD)=1,10,2),(0.7354*C212^0.4078)*2/IF(_xlfn.XLOOKUP(E212,Groups!A:A,Groups!BK:BK)=1,1000,100)/IF(_xlfn.XLOOKUP(E212,Groups!A:A,Groups!AJ:AJ)="Photonozoa",3,1)))</f>
        <v>8.3173428110674564E-3</v>
      </c>
      <c r="BQ212" s="8" t="str">
        <f>IF(W212="No","No",IF(_xlfn.XLOOKUP(E212,Groups!A:A,Groups!BD:BD)=1,(AO212*5%),EXP(0.7354*LN(C212)^0.4078)*2/IF(_xlfn.XLOOKUP(E212,Groups!A:A,Groups!BL:BL)=1,1000,100)/IF(_xlfn.XLOOKUP(E212,Groups!A:A,Groups!AJ:AJ)="Photonozoa",3,1)))</f>
        <v>No</v>
      </c>
      <c r="BR212" s="8">
        <f>IF(BJ212="No","No",IF(_xlfn.XLOOKUP(E212,Groups!A:A,Groups!BF:BF)=1,(0.0315*C212+2.1825)*2,(0.7354*C212^0.4078)*2)/IF(_xlfn.XLOOKUP(E212,Groups!A:A,Groups!BM:BM)=1,1000,100)/IF(_xlfn.XLOOKUP(E212,Groups!A:A,Groups!AJ:AJ)="Photonozoa",3,1))</f>
        <v>8.3173428110674574E-2</v>
      </c>
      <c r="BS212" s="8">
        <f t="shared" si="100"/>
        <v>5.3220056752471406E-2</v>
      </c>
      <c r="BT212" s="8">
        <f t="shared" si="101"/>
        <v>36257.242191388264</v>
      </c>
      <c r="BU212" s="8" t="str">
        <f t="shared" si="102"/>
        <v>No</v>
      </c>
      <c r="BV212" s="8">
        <f t="shared" si="103"/>
        <v>4532.1552739235331</v>
      </c>
      <c r="BW212" s="4">
        <v>0</v>
      </c>
      <c r="BX212" s="4">
        <v>1</v>
      </c>
    </row>
    <row r="213" spans="1:76" s="16" customFormat="1" x14ac:dyDescent="0.25">
      <c r="A213" s="26" t="s">
        <v>1542</v>
      </c>
      <c r="B213" s="6" t="s">
        <v>1676</v>
      </c>
      <c r="C213" s="7">
        <v>450</v>
      </c>
      <c r="D213" s="7" t="s">
        <v>528</v>
      </c>
      <c r="E213" s="7" t="str">
        <f>Groups!$A$79</f>
        <v>MantisSnake</v>
      </c>
      <c r="F213" s="7">
        <v>150</v>
      </c>
      <c r="G213" s="7">
        <v>4</v>
      </c>
      <c r="H213" s="7">
        <v>20</v>
      </c>
      <c r="I213" s="4">
        <v>1</v>
      </c>
      <c r="J213" s="7">
        <v>3</v>
      </c>
      <c r="K213" s="7" t="s">
        <v>528</v>
      </c>
      <c r="L213" s="7">
        <v>24</v>
      </c>
      <c r="M213" s="7" t="s">
        <v>528</v>
      </c>
      <c r="N213" s="4">
        <v>0</v>
      </c>
      <c r="O213" s="4">
        <v>0</v>
      </c>
      <c r="P213" s="4">
        <v>0</v>
      </c>
      <c r="Q213" s="4">
        <v>0</v>
      </c>
      <c r="R213" s="4" t="s">
        <v>40</v>
      </c>
      <c r="S213" s="7">
        <f>_xlfn.XLOOKUP(B213,[1]TeethAdjusters!$A:$A,[1]BiteAdjusters!$C:$C,1)</f>
        <v>1</v>
      </c>
      <c r="T213" s="7">
        <f>_xlfn.XLOOKUP(B213,[1]TeethAdjusters!$A:$A,[1]TeethAdjusters!$B:$B,1)</f>
        <v>1</v>
      </c>
      <c r="U213" s="7">
        <v>48</v>
      </c>
      <c r="V213" s="7">
        <v>8</v>
      </c>
      <c r="W213" s="7" t="str">
        <f>IF(_xlfn.XLOOKUP(E213,Groups!A:A,Groups!V:V)&lt;&gt;"No","Need a formula","No")</f>
        <v>No</v>
      </c>
      <c r="X213" s="7" t="s">
        <v>932</v>
      </c>
      <c r="Y213" s="4" t="s">
        <v>56</v>
      </c>
      <c r="Z213" s="4">
        <v>1</v>
      </c>
      <c r="AA213" s="4">
        <v>0</v>
      </c>
      <c r="AB213" s="4">
        <v>0</v>
      </c>
      <c r="AC213" s="4">
        <v>0</v>
      </c>
      <c r="AD213" s="4">
        <v>0</v>
      </c>
      <c r="AE213" s="4" t="s">
        <v>45</v>
      </c>
      <c r="AF213" s="4" t="s">
        <v>45</v>
      </c>
      <c r="AG213" s="49" t="s">
        <v>1770</v>
      </c>
      <c r="AH213" s="4" t="str">
        <f>Animals!$C$105</f>
        <v>&lt;li&gt;Megaspider&lt;/li&gt;</v>
      </c>
      <c r="AI213" s="4">
        <v>0</v>
      </c>
      <c r="AJ213" s="4">
        <v>0</v>
      </c>
      <c r="AK213" s="4">
        <v>0</v>
      </c>
      <c r="AL213" s="4">
        <v>0</v>
      </c>
      <c r="AM213" s="4">
        <v>1</v>
      </c>
      <c r="AN213" s="44" t="s">
        <v>40</v>
      </c>
      <c r="AO213" s="8">
        <f t="shared" si="89"/>
        <v>58872.314877544653</v>
      </c>
      <c r="AP213" s="8">
        <f>IFERROR(C213*_xlfn.XLOOKUP(E213,Groups!A:A,Groups!K:K),0.106*C213^0.94)</f>
        <v>144</v>
      </c>
      <c r="AQ213" s="8">
        <f>AP213*10000/(_xlfn.XLOOKUP(E213,Groups!A:A,Groups!J:J)*AO213)</f>
        <v>27.482825016398735</v>
      </c>
      <c r="AR213" s="8">
        <f t="shared" si="90"/>
        <v>9475.6576182389981</v>
      </c>
      <c r="AS213" s="8">
        <f>IF(_xlfn.XLOOKUP(E213,Groups!A:A,Groups!M:M)=1,EXP(0.7444*LN('Base stats'!C213)+6.5696),EXP(0.7927*LN('Base stats'!C213)+4.28))</f>
        <v>67327.489921803863</v>
      </c>
      <c r="AT213" s="8">
        <f>IF(_xlfn.XLOOKUP(E213,Groups!A:A,Groups!N:N)="No","No",
IF(_xlfn.XLOOKUP(E213,Groups!A:A,Groups!N:N)="Crocodile",EXP(0.8129*LN(C213)+4.6742)*S213,
IF(_xlfn.XLOOKUP(E213,Groups!A:A,Groups!N:N)="Felid",EXP(0.7843*LN(C213)+4.7073)*S213,
IF(_xlfn.XLOOKUP(E213,Groups!A:A,Groups!N:N)="Canid",EXP(0.8367*LN(C213)+4.8763)*S213,
IF(_xlfn.XLOOKUP(E213,Groups!A:A,Groups!N:N)="Pig",EXP(0.3439*LN(C213)+6.8519)*S213,
IF(_xlfn.XLOOKUP(E213,Groups!A:A,Groups!N:N)="Rodent",EXP(0.5625*LN(C213)+4.3006)*S213,
IF(_xlfn.XLOOKUP(E213,Groups!A:A,Groups!N:N)="Primate",EXP(0.7847*LN(C213)+3.4931)*S213,
IF(_xlfn.XLOOKUP(E213,Groups!A:A,Groups!N:N)="MiscCarnivora",EXP(0.7486*LN(C213)+4.2207)*S213,
IF(_xlfn.XLOOKUP(E213,Groups!A:A,Groups!N:N)="Lizard",EXP(0.7733*LN(C213)+5.5303)*S213,
IF(_xlfn.XLOOKUP(E213,Groups!A:A,Groups!N:N)="Snake",50*C213^(2/3)*S213,
IF(_xlfn.XLOOKUP(E213,Groups!A:A,Groups!N:N)="StrongBitingHerbivore",87.1133638856975*C213^(2/3)*S213,
IF(_xlfn.XLOOKUP(E213,Groups!A:A,Groups!N:N)="MiscEctotherms",59.4316884072269*C213^(2/3)*S213,
IF(_xlfn.XLOOKUP(E213,Groups!A:A,Groups!N:N)="StrongBeakBird",0.041*(C213*1000)^1.375*S213,
IF(_xlfn.XLOOKUP(E213,Groups!A:A,Groups!N:N)="Bird",0.118*(C213*1000)^0.692*S213,
IF(_xlfn.XLOOKUP(E213,Groups!A:A,Groups!N:N)="Insect",EXP(0.7444*LN(C213)+6.5696)*S213,
IF(_xlfn.XLOOKUP(E213,Groups!A:A,Groups!N:N)="Theropod",EXP(0.6966*LN(C213)+4.158)*S213,
"No"))))))))))))))))</f>
        <v>67327.489921803863</v>
      </c>
      <c r="AU213" s="8">
        <f>IF(_xlfn.XLOOKUP(E213,Groups!A:A,Groups!U:U)=3,AS213,IF(_xlfn.XLOOKUP(E213,Groups!A:A,Groups!U:U)=2,AR213,AT213))</f>
        <v>67327.489921803863</v>
      </c>
      <c r="AV213" s="46">
        <f>IFERROR(AVERAGE(_xlfn.XLOOKUP(B213,Animals!B:B,Animals!N:N),_xlfn.XLOOKUP(B213,Animals!B:B,Animals!O:O)),0)</f>
        <v>0.85000000000000009</v>
      </c>
      <c r="AW213" s="8">
        <f>MROUND(40*Animals!AO213*_xlfn.XLOOKUP(AG213,Leathers!$A$2:$A$99,Leathers!$B$2:$B$99,0)+(140*_xlfn.XLOOKUP(B213,Animals!B:B,Animals!AO:AO)*2),5)</f>
        <v>770</v>
      </c>
      <c r="AX213" s="8">
        <f>IFERROR(ROUND(SQRT(V213-1)*IF(_xlfn.XLOOKUP(E213,Groups!A:A,Groups!BF:BF)=0,2,1)*IF(_xlfn.XLOOKUP('Base stats'!E213,Groups!A:A,Groups!O:O)=0,1,0.1),1),0)</f>
        <v>5.3</v>
      </c>
      <c r="AY213" s="8">
        <f t="shared" si="91"/>
        <v>6.9</v>
      </c>
      <c r="AZ213" s="8">
        <f t="shared" si="92"/>
        <v>0</v>
      </c>
      <c r="BA213" s="8">
        <f t="shared" si="93"/>
        <v>7.1</v>
      </c>
      <c r="BB213" s="8">
        <f>IF(_xlfn.XLOOKUP(E213,Groups!A:A,Groups!N:N)="Insect",BD213*2.5,IFERROR(AVERAGE(BD213,AT213/9.81/IF(OR(_xlfn.XLOOKUP(E213,Groups!A:A,Groups!N:N)="Pig",_xlfn.XLOOKUP(E213,Groups!A:A,Groups!N:N)="StrongBitingHerbivore"),20,25))*C213^-0.135,BD213))</f>
        <v>15.705279676737799</v>
      </c>
      <c r="BC213" s="8" t="str">
        <f>IF(W213="No","No",IF(_xlfn.XLOOKUP(E213,Groups!A:A,Groups!U:U)=1,'Base stats'!BB213,IF(OR(_xlfn.XLOOKUP(E213,Groups!A:A,Groups!BD:BD)=1,_xlfn.XLOOKUP(E213,Groups!A:A,Groups!U:U)=2),BD213,IF(_xlfn.XLOOKUP(B213,Animals!B:B,Animals!AO:AO)&gt;4,AVERAGE(BD213,BF213),BF213))))</f>
        <v>No</v>
      </c>
      <c r="BD213" s="8">
        <f t="shared" si="94"/>
        <v>6.28211187069512</v>
      </c>
      <c r="BE213" s="8">
        <f>IF(_xlfn.XLOOKUP(E213,Groups!A:A,Groups!BE:BE)=1,(0.048*C213^1.01)+(0.071*C213^1.03),0.071*C213^1.03)/IF(_xlfn.XLOOKUP(E213,Groups!A:A,Groups!M:M)=1,0.85,IF(OR(_xlfn.XLOOKUP(B213,Animals!B:B,Animals!AO:AO)&gt;4,_xlfn.XLOOKUP(E213,Groups!A:A,Groups!BC:BC)=1),1.7,1))*C213^-0.25</f>
        <v>9.8026880816739972</v>
      </c>
      <c r="BF213" s="8">
        <f>(0.048*C213^1.01)/IF(_xlfn.XLOOKUP(E213,Groups!A:A,Groups!M:M)=1,0.25,0.8)*C213^-0.25</f>
        <v>19.940807415119203</v>
      </c>
      <c r="BG213" s="8">
        <f>EXP(1.076*LN(AR213)-4.5397)*IF(_xlfn.XLOOKUP(E213,Groups!A:A,Groups!BC:BC)=1,1.25,IF(_xlfn.XLOOKUP(E213,Groups!A:A,Groups!BD:BD)=1,3.5,2.5))</f>
        <v>253.61505181777144</v>
      </c>
      <c r="BH213" s="8">
        <f>EXP(1.076*LN(AS213)-4.5397)*IF(_xlfn.XLOOKUP(E213,Groups!A:A,Groups!M:M)=1,0.8,IF(_xlfn.XLOOKUP(E213,Groups!A:A,Groups!BC:BC)=1,1.3,3))</f>
        <v>1338.6232852504363</v>
      </c>
      <c r="BI213" s="8" t="str">
        <f>IF(W213="No","No",IF(_xlfn.XLOOKUP(E213,Groups!A:A,Groups!U:U)=1,'Base stats'!BJ213,IF(OR(_xlfn.XLOOKUP(E213,Groups!A:A,Groups!BD:BD)=1,_xlfn.XLOOKUP(E213,Groups!A:A,Groups!U:U)=2),BG213,BH213))*1.2)</f>
        <v>No</v>
      </c>
      <c r="BJ213" s="8">
        <f>IFERROR(EXP(1.076*LN(AT213)-4.5397)*IF(_xlfn.XLOOKUP(E213,Groups!A:A,Groups!N:N)="Insect",1,IF(OR(_xlfn.XLOOKUP(E213,Groups!A:A,Groups!N:N)="Pig",_xlfn.XLOOKUP(E213,Groups!A:A,Groups!N:N)="StrongBitingHerbivore"),3.5,3.75)),"No")</f>
        <v>1673.2791065630452</v>
      </c>
      <c r="BK213" s="8">
        <f t="shared" si="95"/>
        <v>8</v>
      </c>
      <c r="BL213" s="8">
        <f t="shared" si="96"/>
        <v>16</v>
      </c>
      <c r="BM213" s="8" t="str">
        <f t="shared" si="97"/>
        <v>No</v>
      </c>
      <c r="BN213" s="8">
        <f t="shared" si="98"/>
        <v>14</v>
      </c>
      <c r="BO213" s="8">
        <f t="shared" si="99"/>
        <v>11</v>
      </c>
      <c r="BP213" s="8" cm="1">
        <f t="array" ref="BP213">IF(AND(_xlfn.XLOOKUP('Base stats'!E213,Groups!A:A,Groups!AD:AD=0),_xlfn.XLOOKUP('Base stats'!E213,Groups!A:A,Groups!P:P=0)),"No",IF(U213="No",AVERAGE(EXP(-0.57+0.99*LN(C213)),EXP(0.32+0.67*LN(C213)))/IF(_xlfn.XLOOKUP(E213,Groups!A:A,Groups!AD:AD)=1,10,2),(0.7354*C213^0.4078)*2/IF(_xlfn.XLOOKUP(E213,Groups!A:A,Groups!BK:BK)=1,1000,100)/IF(_xlfn.XLOOKUP(E213,Groups!A:A,Groups!AJ:AJ)="Photonozoa",3,1)))</f>
        <v>1.7763710400601547E-2</v>
      </c>
      <c r="BQ213" s="8" t="str">
        <f>IF(W213="No","No",IF(_xlfn.XLOOKUP(E213,Groups!A:A,Groups!BD:BD)=1,(AO213*5%),EXP(0.7354*LN(C213)^0.4078)*2/IF(_xlfn.XLOOKUP(E213,Groups!A:A,Groups!BL:BL)=1,1000,100)/IF(_xlfn.XLOOKUP(E213,Groups!A:A,Groups!AJ:AJ)="Photonozoa",3,1)))</f>
        <v>No</v>
      </c>
      <c r="BR213" s="8">
        <f>IF(BJ213="No","No",IF(_xlfn.XLOOKUP(E213,Groups!A:A,Groups!BF:BF)=1,(0.0315*C213+2.1825)*2,(0.7354*C213^0.4078)*2)/IF(_xlfn.XLOOKUP(E213,Groups!A:A,Groups!BM:BM)=1,1000,100)/IF(_xlfn.XLOOKUP(E213,Groups!A:A,Groups!AJ:AJ)="Photonozoa",3,1))</f>
        <v>0.17763710400601546</v>
      </c>
      <c r="BS213" s="8">
        <f t="shared" si="100"/>
        <v>8.6157662509209892E-2</v>
      </c>
      <c r="BT213" s="8">
        <f t="shared" si="101"/>
        <v>75357.189183015813</v>
      </c>
      <c r="BU213" s="8" t="str">
        <f t="shared" si="102"/>
        <v>No</v>
      </c>
      <c r="BV213" s="8">
        <f t="shared" si="103"/>
        <v>9419.6486478769748</v>
      </c>
      <c r="BW213" s="4">
        <v>0</v>
      </c>
      <c r="BX213" s="4">
        <v>1</v>
      </c>
    </row>
    <row r="214" spans="1:76" s="16" customFormat="1" x14ac:dyDescent="0.25">
      <c r="A214" s="26" t="s">
        <v>1506</v>
      </c>
      <c r="B214" s="6" t="s">
        <v>1663</v>
      </c>
      <c r="C214" s="7">
        <v>45</v>
      </c>
      <c r="D214" s="7" t="s">
        <v>528</v>
      </c>
      <c r="E214" s="7" t="str">
        <f>Groups!$A$82</f>
        <v>Beetle (ROAMER)</v>
      </c>
      <c r="F214" s="7">
        <f>ROUND(7.545*(C214*1000)^0.2689,0)</f>
        <v>135</v>
      </c>
      <c r="G214" s="7">
        <v>2</v>
      </c>
      <c r="H214" s="7">
        <v>10</v>
      </c>
      <c r="I214" s="4">
        <v>0</v>
      </c>
      <c r="J214" s="7">
        <v>1</v>
      </c>
      <c r="K214" s="7" t="s">
        <v>528</v>
      </c>
      <c r="L214" s="7">
        <v>24</v>
      </c>
      <c r="M214" s="7" t="s">
        <v>528</v>
      </c>
      <c r="N214" s="4">
        <v>0</v>
      </c>
      <c r="O214" s="4">
        <v>0</v>
      </c>
      <c r="P214" s="4">
        <v>0</v>
      </c>
      <c r="Q214" s="4">
        <v>0</v>
      </c>
      <c r="R214" s="4">
        <v>0.8</v>
      </c>
      <c r="S214" s="7">
        <f>_xlfn.XLOOKUP(B214,[1]TeethAdjusters!$A:$A,[1]BiteAdjusters!$C:$C,1)</f>
        <v>1</v>
      </c>
      <c r="T214" s="7">
        <f>_xlfn.XLOOKUP(B214,[1]TeethAdjusters!$A:$A,[1]TeethAdjusters!$B:$B,1)</f>
        <v>1</v>
      </c>
      <c r="U214" s="7" t="s">
        <v>45</v>
      </c>
      <c r="V214" s="7">
        <v>3</v>
      </c>
      <c r="W214" s="7" t="s">
        <v>45</v>
      </c>
      <c r="X214" s="7" t="s">
        <v>932</v>
      </c>
      <c r="Y214" s="4" t="s">
        <v>42</v>
      </c>
      <c r="Z214" s="4">
        <v>1</v>
      </c>
      <c r="AA214" s="4">
        <v>0</v>
      </c>
      <c r="AB214" s="4">
        <v>0</v>
      </c>
      <c r="AC214" s="4">
        <v>0</v>
      </c>
      <c r="AD214" s="4">
        <v>0</v>
      </c>
      <c r="AE214" s="4" t="s">
        <v>45</v>
      </c>
      <c r="AF214" s="4" t="s">
        <v>45</v>
      </c>
      <c r="AG214" s="49" t="s">
        <v>1712</v>
      </c>
      <c r="AH214" s="4" t="str">
        <f>Animals!$C$105</f>
        <v>&lt;li&gt;Megaspider&lt;/li&gt;</v>
      </c>
      <c r="AI214" s="4">
        <v>0</v>
      </c>
      <c r="AJ214" s="4">
        <v>0</v>
      </c>
      <c r="AK214" s="4">
        <v>0</v>
      </c>
      <c r="AL214" s="4">
        <v>0</v>
      </c>
      <c r="AM214" s="4">
        <v>1</v>
      </c>
      <c r="AN214" s="44" t="s">
        <v>40</v>
      </c>
      <c r="AO214" s="8">
        <f t="shared" si="89"/>
        <v>13179.869579281049</v>
      </c>
      <c r="AP214" s="8">
        <f>IFERROR(C214*_xlfn.XLOOKUP(E214,Groups!A:A,Groups!K:K),0.106*C214^0.94)</f>
        <v>14.4</v>
      </c>
      <c r="AQ214" s="8">
        <f>AP214*10000/(_xlfn.XLOOKUP(E214,Groups!A:A,Groups!J:J)*AO214)</f>
        <v>9.1047941922461657</v>
      </c>
      <c r="AR214" s="8">
        <f t="shared" si="90"/>
        <v>1354.9066055012743</v>
      </c>
      <c r="AS214" s="8">
        <f>IF(_xlfn.XLOOKUP(E214,Groups!A:A,Groups!M:M)=1,EXP(0.7444*LN('Base stats'!C214)+6.5696),EXP(0.7927*LN('Base stats'!C214)+4.28))</f>
        <v>12128.090347907375</v>
      </c>
      <c r="AT214" s="8">
        <f>IF(_xlfn.XLOOKUP(E214,Groups!A:A,Groups!N:N)="No","No",
IF(_xlfn.XLOOKUP(E214,Groups!A:A,Groups!N:N)="Crocodile",EXP(0.8129*LN(C214)+4.6742)*S214,
IF(_xlfn.XLOOKUP(E214,Groups!A:A,Groups!N:N)="Felid",EXP(0.7843*LN(C214)+4.7073)*S214,
IF(_xlfn.XLOOKUP(E214,Groups!A:A,Groups!N:N)="Canid",EXP(0.8367*LN(C214)+4.8763)*S214,
IF(_xlfn.XLOOKUP(E214,Groups!A:A,Groups!N:N)="Pig",EXP(0.3439*LN(C214)+6.8519)*S214,
IF(_xlfn.XLOOKUP(E214,Groups!A:A,Groups!N:N)="Rodent",EXP(0.5625*LN(C214)+4.3006)*S214,
IF(_xlfn.XLOOKUP(E214,Groups!A:A,Groups!N:N)="Primate",EXP(0.7847*LN(C214)+3.4931)*S214,
IF(_xlfn.XLOOKUP(E214,Groups!A:A,Groups!N:N)="MiscCarnivora",EXP(0.7486*LN(C214)+4.2207)*S214,
IF(_xlfn.XLOOKUP(E214,Groups!A:A,Groups!N:N)="Lizard",EXP(0.7733*LN(C214)+5.5303)*S214,
IF(_xlfn.XLOOKUP(E214,Groups!A:A,Groups!N:N)="Snake",50*C214^(2/3)*S214,
IF(_xlfn.XLOOKUP(E214,Groups!A:A,Groups!N:N)="StrongBitingHerbivore",87.1133638856975*C214^(2/3)*S214,
IF(_xlfn.XLOOKUP(E214,Groups!A:A,Groups!N:N)="MiscEctotherms",59.4316884072269*C214^(2/3)*S214,
IF(_xlfn.XLOOKUP(E214,Groups!A:A,Groups!N:N)="StrongBeakBird",0.041*(C214*1000)^1.375*S214,
IF(_xlfn.XLOOKUP(E214,Groups!A:A,Groups!N:N)="Bird",0.118*(C214*1000)^0.692*S214,
IF(_xlfn.XLOOKUP(E214,Groups!A:A,Groups!N:N)="Insect",EXP(0.7444*LN(C214)+6.5696)*S214,
IF(_xlfn.XLOOKUP(E214,Groups!A:A,Groups!N:N)="Theropod",EXP(0.6966*LN(C214)+4.158)*S214,
"No"))))))))))))))))</f>
        <v>12128.090347907375</v>
      </c>
      <c r="AU214" s="8">
        <f>IF(_xlfn.XLOOKUP(E214,Groups!A:A,Groups!U:U)=3,AS214,IF(_xlfn.XLOOKUP(E214,Groups!A:A,Groups!U:U)=2,AR214,AT214))</f>
        <v>12128.090347907375</v>
      </c>
      <c r="AV214" s="46">
        <f>IFERROR(AVERAGE(_xlfn.XLOOKUP(B214,Animals!B:B,Animals!N:N),_xlfn.XLOOKUP(B214,Animals!B:B,Animals!O:O)),0)</f>
        <v>0.3</v>
      </c>
      <c r="AW214" s="8">
        <f>MROUND(40*Animals!AO214*_xlfn.XLOOKUP(AG214,Leathers!$A$2:$A$99,Leathers!$B$2:$B$99,0)+(140*_xlfn.XLOOKUP(B214,Animals!B:B,Animals!AO:AO)*2),5)</f>
        <v>225</v>
      </c>
      <c r="AX214" s="8">
        <f>IFERROR(ROUND(SQRT(V214-1)*IF(_xlfn.XLOOKUP(E214,Groups!A:A,Groups!BF:BF)=0,2,1)*IF(_xlfn.XLOOKUP('Base stats'!E214,Groups!A:A,Groups!O:O)=0,1,0.1),1),0)</f>
        <v>2.8</v>
      </c>
      <c r="AY214" s="8">
        <f t="shared" si="91"/>
        <v>0</v>
      </c>
      <c r="AZ214" s="8">
        <f t="shared" si="92"/>
        <v>0</v>
      </c>
      <c r="BA214" s="8">
        <f t="shared" si="93"/>
        <v>3.1</v>
      </c>
      <c r="BB214" s="8">
        <f>IF(_xlfn.XLOOKUP(E214,Groups!A:A,Groups!N:N)="Insect",BD214*2.5,IFERROR(AVERAGE(BD214,AT214/9.81/IF(OR(_xlfn.XLOOKUP(E214,Groups!A:A,Groups!N:N)="Pig",_xlfn.XLOOKUP(E214,Groups!A:A,Groups!N:N)="StrongBitingHerbivore"),20,25))*C214^-0.135,BD214))</f>
        <v>1.7288141602520344</v>
      </c>
      <c r="BC214" s="8" t="str">
        <f>IF(W214="No","No",IF(_xlfn.XLOOKUP(E214,Groups!A:A,Groups!U:U)=1,'Base stats'!BB214,IF(OR(_xlfn.XLOOKUP(E214,Groups!A:A,Groups!BD:BD)=1,_xlfn.XLOOKUP(E214,Groups!A:A,Groups!U:U)=2),BD214,IF(_xlfn.XLOOKUP(B214,Animals!B:B,Animals!AO:AO)&gt;4,AVERAGE(BD214,BF214),BF214))))</f>
        <v>No</v>
      </c>
      <c r="BD214" s="8">
        <f t="shared" si="94"/>
        <v>0.69152566410081373</v>
      </c>
      <c r="BE214" s="8">
        <f>IF(_xlfn.XLOOKUP(E214,Groups!A:A,Groups!BE:BE)=1,(0.048*C214^1.01)+(0.071*C214^1.03),0.071*C214^1.03)/IF(_xlfn.XLOOKUP(E214,Groups!A:A,Groups!M:M)=1,0.85,IF(OR(_xlfn.XLOOKUP(B214,Animals!B:B,Animals!AO:AO)&gt;4,_xlfn.XLOOKUP(E214,Groups!A:A,Groups!BC:BC)=1),1.7,1))*C214^-0.25</f>
        <v>1.6268412798040379</v>
      </c>
      <c r="BF214" s="8">
        <f>(0.048*C214^1.01)/IF(_xlfn.XLOOKUP(E214,Groups!A:A,Groups!M:M)=1,0.25,0.8)*C214^-0.25</f>
        <v>3.4653151651925835</v>
      </c>
      <c r="BG214" s="8">
        <f>EXP(1.076*LN(AR214)-4.5397)*IF(_xlfn.XLOOKUP(E214,Groups!A:A,Groups!BC:BC)=1,1.25,IF(_xlfn.XLOOKUP(E214,Groups!A:A,Groups!BD:BD)=1,3.5,2.5))</f>
        <v>31.280798086048279</v>
      </c>
      <c r="BH214" s="8">
        <f>EXP(1.076*LN(AS214)-4.5397)*IF(_xlfn.XLOOKUP(E214,Groups!A:A,Groups!M:M)=1,0.8,IF(_xlfn.XLOOKUP(E214,Groups!A:A,Groups!BC:BC)=1,1.3,3))</f>
        <v>211.68202199086832</v>
      </c>
      <c r="BI214" s="8" t="str">
        <f>IF(W214="No","No",IF(_xlfn.XLOOKUP(E214,Groups!A:A,Groups!U:U)=1,'Base stats'!BJ214,IF(OR(_xlfn.XLOOKUP(E214,Groups!A:A,Groups!BD:BD)=1,_xlfn.XLOOKUP(E214,Groups!A:A,Groups!U:U)=2),BG214,BH214))*1.2)</f>
        <v>No</v>
      </c>
      <c r="BJ214" s="8">
        <f>IFERROR(EXP(1.076*LN(AT214)-4.5397)*IF(_xlfn.XLOOKUP(E214,Groups!A:A,Groups!N:N)="Insect",1,IF(OR(_xlfn.XLOOKUP(E214,Groups!A:A,Groups!N:N)="Pig",_xlfn.XLOOKUP(E214,Groups!A:A,Groups!N:N)="StrongBitingHerbivore"),3.5,3.75)),"No")</f>
        <v>264.60252748858539</v>
      </c>
      <c r="BK214" s="8">
        <f t="shared" si="95"/>
        <v>9</v>
      </c>
      <c r="BL214" s="8">
        <f t="shared" si="96"/>
        <v>16</v>
      </c>
      <c r="BM214" s="8" t="str">
        <f t="shared" si="97"/>
        <v>No</v>
      </c>
      <c r="BN214" s="8">
        <f t="shared" si="98"/>
        <v>17</v>
      </c>
      <c r="BO214" s="8">
        <f t="shared" si="99"/>
        <v>11</v>
      </c>
      <c r="BP214" s="8" t="str" cm="1">
        <f t="array" ref="BP214">IF(AND(_xlfn.XLOOKUP('Base stats'!E214,Groups!A:A,Groups!AD:AD=0),_xlfn.XLOOKUP('Base stats'!E214,Groups!A:A,Groups!P:P=0)),"No",IF(U214="No",AVERAGE(EXP(-0.57+0.99*LN(C214)),EXP(0.32+0.67*LN(C214)))/IF(_xlfn.XLOOKUP(E214,Groups!A:A,Groups!AD:AD)=1,10,2),(0.7354*C214^0.4078)*2/IF(_xlfn.XLOOKUP(E214,Groups!A:A,Groups!BK:BK)=1,1000,100)/IF(_xlfn.XLOOKUP(E214,Groups!A:A,Groups!AJ:AJ)="Photonozoa",3,1)))</f>
        <v>No</v>
      </c>
      <c r="BQ214" s="8" t="str">
        <f>IF(W214="No","No",IF(_xlfn.XLOOKUP(E214,Groups!A:A,Groups!BD:BD)=1,(AO214*5%),EXP(0.7354*LN(C214)^0.4078)*2/IF(_xlfn.XLOOKUP(E214,Groups!A:A,Groups!BL:BL)=1,1000,100)/IF(_xlfn.XLOOKUP(E214,Groups!A:A,Groups!AJ:AJ)="Photonozoa",3,1)))</f>
        <v>No</v>
      </c>
      <c r="BR214" s="8">
        <f>IF(BJ214="No","No",IF(_xlfn.XLOOKUP(E214,Groups!A:A,Groups!BF:BF)=1,(0.0315*C214+2.1825)*2,(0.7354*C214^0.4078)*2)/IF(_xlfn.XLOOKUP(E214,Groups!A:A,Groups!BM:BM)=1,1000,100)/IF(_xlfn.XLOOKUP(E214,Groups!A:A,Groups!AJ:AJ)="Photonozoa",3,1))</f>
        <v>6.9459824922917246E-2</v>
      </c>
      <c r="BS214" s="8">
        <f t="shared" si="100"/>
        <v>4.7467538123779553E-2</v>
      </c>
      <c r="BT214" s="8" t="str">
        <f t="shared" si="101"/>
        <v>No</v>
      </c>
      <c r="BU214" s="8" t="str">
        <f t="shared" si="102"/>
        <v>No</v>
      </c>
      <c r="BV214" s="8">
        <f t="shared" si="103"/>
        <v>3809.4326869125707</v>
      </c>
      <c r="BW214" s="4">
        <v>0</v>
      </c>
      <c r="BX214" s="4">
        <v>1</v>
      </c>
    </row>
    <row r="215" spans="1:76" s="16" customFormat="1" x14ac:dyDescent="0.25">
      <c r="A215" s="26" t="s">
        <v>1460</v>
      </c>
      <c r="B215" s="6" t="s">
        <v>1646</v>
      </c>
      <c r="C215" s="7">
        <v>35</v>
      </c>
      <c r="D215" s="7" t="s">
        <v>528</v>
      </c>
      <c r="E215" s="7" t="str">
        <f>Groups!$A$82</f>
        <v>Beetle (ROAMER)</v>
      </c>
      <c r="F215" s="7" t="str">
        <f t="shared" ref="F215" si="110">"Lay eggs"</f>
        <v>Lay eggs</v>
      </c>
      <c r="G215" s="7">
        <v>2</v>
      </c>
      <c r="H215" s="7">
        <v>10</v>
      </c>
      <c r="I215" s="4">
        <v>0</v>
      </c>
      <c r="J215" s="7" t="str">
        <f t="shared" ref="J215" si="111">"Lay eggs"</f>
        <v>Lay eggs</v>
      </c>
      <c r="K215" s="7" t="s">
        <v>528</v>
      </c>
      <c r="L215" s="7">
        <v>24</v>
      </c>
      <c r="M215" s="7" t="s">
        <v>528</v>
      </c>
      <c r="N215" s="4">
        <v>0</v>
      </c>
      <c r="O215" s="4">
        <v>0</v>
      </c>
      <c r="P215" s="4">
        <v>0</v>
      </c>
      <c r="Q215" s="4">
        <v>0</v>
      </c>
      <c r="R215" s="4">
        <v>0.8</v>
      </c>
      <c r="S215" s="7">
        <f>_xlfn.XLOOKUP(B215,[1]TeethAdjusters!$A:$A,[1]BiteAdjusters!$C:$C,1)</f>
        <v>1</v>
      </c>
      <c r="T215" s="7">
        <f>_xlfn.XLOOKUP(B215,[1]TeethAdjusters!$A:$A,[1]TeethAdjusters!$B:$B,1)</f>
        <v>1</v>
      </c>
      <c r="U215" s="7">
        <v>4</v>
      </c>
      <c r="V215" s="7">
        <v>3</v>
      </c>
      <c r="W215" s="7" t="s">
        <v>45</v>
      </c>
      <c r="X215" s="7" t="s">
        <v>932</v>
      </c>
      <c r="Y215" s="4" t="s">
        <v>53</v>
      </c>
      <c r="Z215" s="4">
        <v>1</v>
      </c>
      <c r="AA215" s="4">
        <v>0</v>
      </c>
      <c r="AB215" s="4">
        <v>0</v>
      </c>
      <c r="AC215" s="4">
        <v>0</v>
      </c>
      <c r="AD215" s="4">
        <v>0</v>
      </c>
      <c r="AE215" s="4" t="s">
        <v>45</v>
      </c>
      <c r="AF215" s="4" t="s">
        <v>45</v>
      </c>
      <c r="AG215" s="49" t="s">
        <v>1712</v>
      </c>
      <c r="AH215" s="4" t="str">
        <f>Animals!$C$105</f>
        <v>&lt;li&gt;Megaspider&lt;/li&gt;</v>
      </c>
      <c r="AI215" s="4">
        <v>0</v>
      </c>
      <c r="AJ215" s="4">
        <v>0</v>
      </c>
      <c r="AK215" s="4">
        <v>0</v>
      </c>
      <c r="AL215" s="4">
        <v>0</v>
      </c>
      <c r="AM215" s="4">
        <v>1</v>
      </c>
      <c r="AN215" s="44" t="s">
        <v>40</v>
      </c>
      <c r="AO215" s="8">
        <f t="shared" si="89"/>
        <v>11193.533609727016</v>
      </c>
      <c r="AP215" s="8">
        <f>IFERROR(C215*_xlfn.XLOOKUP(E215,Groups!A:A,Groups!K:K),0.106*C215^0.94)</f>
        <v>11.200000000000001</v>
      </c>
      <c r="AQ215" s="8">
        <f>AP215*10000/(_xlfn.XLOOKUP(E215,Groups!A:A,Groups!J:J)*AO215)</f>
        <v>8.3381474150600727</v>
      </c>
      <c r="AR215" s="8">
        <f t="shared" si="90"/>
        <v>1095.7589503868378</v>
      </c>
      <c r="AS215" s="8">
        <f>IF(_xlfn.XLOOKUP(E215,Groups!A:A,Groups!M:M)=1,EXP(0.7444*LN('Base stats'!C215)+6.5696),EXP(0.7927*LN('Base stats'!C215)+4.28))</f>
        <v>10058.779326452872</v>
      </c>
      <c r="AT215" s="8">
        <f>IF(_xlfn.XLOOKUP(E215,Groups!A:A,Groups!N:N)="No","No",
IF(_xlfn.XLOOKUP(E215,Groups!A:A,Groups!N:N)="Crocodile",EXP(0.8129*LN(C215)+4.6742)*S215,
IF(_xlfn.XLOOKUP(E215,Groups!A:A,Groups!N:N)="Felid",EXP(0.7843*LN(C215)+4.7073)*S215,
IF(_xlfn.XLOOKUP(E215,Groups!A:A,Groups!N:N)="Canid",EXP(0.8367*LN(C215)+4.8763)*S215,
IF(_xlfn.XLOOKUP(E215,Groups!A:A,Groups!N:N)="Pig",EXP(0.3439*LN(C215)+6.8519)*S215,
IF(_xlfn.XLOOKUP(E215,Groups!A:A,Groups!N:N)="Rodent",EXP(0.5625*LN(C215)+4.3006)*S215,
IF(_xlfn.XLOOKUP(E215,Groups!A:A,Groups!N:N)="Primate",EXP(0.7847*LN(C215)+3.4931)*S215,
IF(_xlfn.XLOOKUP(E215,Groups!A:A,Groups!N:N)="MiscCarnivora",EXP(0.7486*LN(C215)+4.2207)*S215,
IF(_xlfn.XLOOKUP(E215,Groups!A:A,Groups!N:N)="Lizard",EXP(0.7733*LN(C215)+5.5303)*S215,
IF(_xlfn.XLOOKUP(E215,Groups!A:A,Groups!N:N)="Snake",50*C215^(2/3)*S215,
IF(_xlfn.XLOOKUP(E215,Groups!A:A,Groups!N:N)="StrongBitingHerbivore",87.1133638856975*C215^(2/3)*S215,
IF(_xlfn.XLOOKUP(E215,Groups!A:A,Groups!N:N)="MiscEctotherms",59.4316884072269*C215^(2/3)*S215,
IF(_xlfn.XLOOKUP(E215,Groups!A:A,Groups!N:N)="StrongBeakBird",0.041*(C215*1000)^1.375*S215,
IF(_xlfn.XLOOKUP(E215,Groups!A:A,Groups!N:N)="Bird",0.118*(C215*1000)^0.692*S215,
IF(_xlfn.XLOOKUP(E215,Groups!A:A,Groups!N:N)="Insect",EXP(0.7444*LN(C215)+6.5696)*S215,
IF(_xlfn.XLOOKUP(E215,Groups!A:A,Groups!N:N)="Theropod",EXP(0.6966*LN(C215)+4.158)*S215,
"No"))))))))))))))))</f>
        <v>10058.779326452872</v>
      </c>
      <c r="AU215" s="8">
        <f>IF(_xlfn.XLOOKUP(E215,Groups!A:A,Groups!U:U)=3,AS215,IF(_xlfn.XLOOKUP(E215,Groups!A:A,Groups!U:U)=2,AR215,AT215))</f>
        <v>10058.779326452872</v>
      </c>
      <c r="AV215" s="46">
        <f>IFERROR(AVERAGE(_xlfn.XLOOKUP(B215,Animals!B:B,Animals!N:N),_xlfn.XLOOKUP(B215,Animals!B:B,Animals!O:O)),0)</f>
        <v>0.27500000000000002</v>
      </c>
      <c r="AW215" s="8">
        <f>MROUND(40*Animals!AO215*_xlfn.XLOOKUP(AG215,Leathers!$A$2:$A$99,Leathers!$B$2:$B$99,0)+(140*_xlfn.XLOOKUP(B215,Animals!B:B,Animals!AO:AO)*2),5)</f>
        <v>210</v>
      </c>
      <c r="AX215" s="8">
        <f>IFERROR(ROUND(SQRT(V215-1)*IF(_xlfn.XLOOKUP(E215,Groups!A:A,Groups!BF:BF)=0,2,1)*IF(_xlfn.XLOOKUP('Base stats'!E215,Groups!A:A,Groups!O:O)=0,1,0.1),1),0)</f>
        <v>2.8</v>
      </c>
      <c r="AY215" s="8">
        <f t="shared" si="91"/>
        <v>1.7</v>
      </c>
      <c r="AZ215" s="8">
        <f t="shared" si="92"/>
        <v>0</v>
      </c>
      <c r="BA215" s="8">
        <f t="shared" si="93"/>
        <v>2.9</v>
      </c>
      <c r="BB215" s="8">
        <f>IF(_xlfn.XLOOKUP(E215,Groups!A:A,Groups!N:N)="Insect",BD215*2.5,IFERROR(AVERAGE(BD215,AT215/9.81/IF(OR(_xlfn.XLOOKUP(E215,Groups!A:A,Groups!N:N)="Pig",_xlfn.XLOOKUP(E215,Groups!A:A,Groups!N:N)="StrongBitingHerbivore"),20,25))*C215^-0.135,BD215))</f>
        <v>1.8808173420761245</v>
      </c>
      <c r="BC215" s="8" t="str">
        <f>IF(W215="No","No",IF(_xlfn.XLOOKUP(E215,Groups!A:A,Groups!U:U)=1,'Base stats'!BB215,IF(OR(_xlfn.XLOOKUP(E215,Groups!A:A,Groups!BD:BD)=1,_xlfn.XLOOKUP(E215,Groups!A:A,Groups!U:U)=2),BD215,IF(_xlfn.XLOOKUP(B215,Animals!B:B,Animals!AO:AO)&gt;4,AVERAGE(BD215,BF215),BF215))))</f>
        <v>No</v>
      </c>
      <c r="BD215" s="8">
        <f t="shared" si="94"/>
        <v>0.75232693683044982</v>
      </c>
      <c r="BE215" s="8">
        <f>IF(_xlfn.XLOOKUP(E215,Groups!A:A,Groups!BE:BE)=1,(0.048*C215^1.01)+(0.071*C215^1.03),0.071*C215^1.03)/IF(_xlfn.XLOOKUP(E215,Groups!A:A,Groups!M:M)=1,0.85,IF(OR(_xlfn.XLOOKUP(B215,Animals!B:B,Animals!AO:AO)&gt;4,_xlfn.XLOOKUP(E215,Groups!A:A,Groups!BC:BC)=1),1.7,1))*C215^-0.25</f>
        <v>1.3372496644699405</v>
      </c>
      <c r="BF215" s="8">
        <f>(0.048*C215^1.01)/IF(_xlfn.XLOOKUP(E215,Groups!A:A,Groups!M:M)=1,0.25,0.8)*C215^-0.25</f>
        <v>2.8628127477770291</v>
      </c>
      <c r="BG215" s="8">
        <f>EXP(1.076*LN(AR215)-4.5397)*IF(_xlfn.XLOOKUP(E215,Groups!A:A,Groups!BC:BC)=1,1.25,IF(_xlfn.XLOOKUP(E215,Groups!A:A,Groups!BD:BD)=1,3.5,2.5))</f>
        <v>24.892970376789926</v>
      </c>
      <c r="BH215" s="8">
        <f>EXP(1.076*LN(AS215)-4.5397)*IF(_xlfn.XLOOKUP(E215,Groups!A:A,Groups!M:M)=1,0.8,IF(_xlfn.XLOOKUP(E215,Groups!A:A,Groups!BC:BC)=1,1.3,3))</f>
        <v>173.08604296379735</v>
      </c>
      <c r="BI215" s="8" t="str">
        <f>IF(W215="No","No",IF(_xlfn.XLOOKUP(E215,Groups!A:A,Groups!U:U)=1,'Base stats'!BJ215,IF(OR(_xlfn.XLOOKUP(E215,Groups!A:A,Groups!BD:BD)=1,_xlfn.XLOOKUP(E215,Groups!A:A,Groups!U:U)=2),BG215,BH215))*1.2)</f>
        <v>No</v>
      </c>
      <c r="BJ215" s="8">
        <f>IFERROR(EXP(1.076*LN(AT215)-4.5397)*IF(_xlfn.XLOOKUP(E215,Groups!A:A,Groups!N:N)="Insect",1,IF(OR(_xlfn.XLOOKUP(E215,Groups!A:A,Groups!N:N)="Pig",_xlfn.XLOOKUP(E215,Groups!A:A,Groups!N:N)="StrongBitingHerbivore"),3.5,3.75)),"No")</f>
        <v>216.35755370474666</v>
      </c>
      <c r="BK215" s="8">
        <f t="shared" si="95"/>
        <v>8</v>
      </c>
      <c r="BL215" s="8">
        <f t="shared" si="96"/>
        <v>16</v>
      </c>
      <c r="BM215" s="8" t="str">
        <f t="shared" si="97"/>
        <v>No</v>
      </c>
      <c r="BN215" s="8">
        <f t="shared" si="98"/>
        <v>15</v>
      </c>
      <c r="BO215" s="8">
        <f t="shared" si="99"/>
        <v>10</v>
      </c>
      <c r="BP215" s="8" t="str" cm="1">
        <f t="array" ref="BP215">IF(AND(_xlfn.XLOOKUP('Base stats'!E215,Groups!A:A,Groups!AD:AD=0),_xlfn.XLOOKUP('Base stats'!E215,Groups!A:A,Groups!P:P=0)),"No",IF(U215="No",AVERAGE(EXP(-0.57+0.99*LN(C215)),EXP(0.32+0.67*LN(C215)))/IF(_xlfn.XLOOKUP(E215,Groups!A:A,Groups!AD:AD)=1,10,2),(0.7354*C215^0.4078)*2/IF(_xlfn.XLOOKUP(E215,Groups!A:A,Groups!BK:BK)=1,1000,100)/IF(_xlfn.XLOOKUP(E215,Groups!A:A,Groups!AJ:AJ)="Photonozoa",3,1)))</f>
        <v>No</v>
      </c>
      <c r="BQ215" s="8" t="str">
        <f>IF(W215="No","No",IF(_xlfn.XLOOKUP(E215,Groups!A:A,Groups!BD:BD)=1,(AO215*5%),EXP(0.7354*LN(C215)^0.4078)*2/IF(_xlfn.XLOOKUP(E215,Groups!A:A,Groups!BL:BL)=1,1000,100)/IF(_xlfn.XLOOKUP(E215,Groups!A:A,Groups!AJ:AJ)="Photonozoa",3,1)))</f>
        <v>No</v>
      </c>
      <c r="BR215" s="8">
        <f>IF(BJ215="No","No",IF(_xlfn.XLOOKUP(E215,Groups!A:A,Groups!BF:BF)=1,(0.0315*C215+2.1825)*2,(0.7354*C215^0.4078)*2)/IF(_xlfn.XLOOKUP(E215,Groups!A:A,Groups!BM:BM)=1,1000,100)/IF(_xlfn.XLOOKUP(E215,Groups!A:A,Groups!AJ:AJ)="Photonozoa",3,1))</f>
        <v>6.2693796472684152E-2</v>
      </c>
      <c r="BS215" s="8">
        <f t="shared" si="100"/>
        <v>4.447741212865667E-2</v>
      </c>
      <c r="BT215" s="8" t="str">
        <f t="shared" si="101"/>
        <v>No</v>
      </c>
      <c r="BU215" s="8" t="str">
        <f t="shared" si="102"/>
        <v>No</v>
      </c>
      <c r="BV215" s="8">
        <f t="shared" si="103"/>
        <v>3451.0201308197088</v>
      </c>
      <c r="BW215" s="4">
        <v>0</v>
      </c>
      <c r="BX215" s="4">
        <v>1</v>
      </c>
    </row>
    <row r="216" spans="1:76" s="16" customFormat="1" x14ac:dyDescent="0.25">
      <c r="A216" s="26" t="s">
        <v>1486</v>
      </c>
      <c r="B216" s="6" t="s">
        <v>1655</v>
      </c>
      <c r="C216" s="7">
        <v>1200</v>
      </c>
      <c r="D216" s="7" t="s">
        <v>528</v>
      </c>
      <c r="E216" s="7" t="str">
        <f>Groups!$A$83</f>
        <v>Beetle (ROAMER, ARMORED)</v>
      </c>
      <c r="F216" s="7" t="str">
        <f t="shared" ref="F216" si="112">"Lay eggs"</f>
        <v>Lay eggs</v>
      </c>
      <c r="G216" s="7">
        <v>5</v>
      </c>
      <c r="H216" s="7">
        <v>50</v>
      </c>
      <c r="I216" s="4">
        <v>1</v>
      </c>
      <c r="J216" s="7" t="str">
        <f t="shared" ref="J216" si="113">"Lay eggs"</f>
        <v>Lay eggs</v>
      </c>
      <c r="K216" s="7" t="s">
        <v>528</v>
      </c>
      <c r="L216" s="7">
        <v>20</v>
      </c>
      <c r="M216" s="7" t="s">
        <v>528</v>
      </c>
      <c r="N216" s="4">
        <v>0</v>
      </c>
      <c r="O216" s="4">
        <v>0</v>
      </c>
      <c r="P216" s="4">
        <v>0</v>
      </c>
      <c r="Q216" s="4">
        <v>0</v>
      </c>
      <c r="R216" s="4" t="s">
        <v>40</v>
      </c>
      <c r="S216" s="7">
        <f>_xlfn.XLOOKUP(B216,[1]TeethAdjusters!$A:$A,[1]BiteAdjusters!$C:$C,1)</f>
        <v>1</v>
      </c>
      <c r="T216" s="7">
        <f>_xlfn.XLOOKUP(B216,[1]TeethAdjusters!$A:$A,[1]TeethAdjusters!$B:$B,1)</f>
        <v>1</v>
      </c>
      <c r="U216" s="7" t="str">
        <f>IF(OR(_xlfn.XLOOKUP(E216,Groups!A:A,Groups!P:P)=1,_xlfn.XLOOKUP(E216,Groups!A:A,Groups!AD:AD)=1),"Need a formula","No")</f>
        <v>No</v>
      </c>
      <c r="V216" s="7">
        <v>32</v>
      </c>
      <c r="W216" s="7" t="str">
        <f>IF(_xlfn.XLOOKUP(E216,Groups!A:A,Groups!V:V)&lt;&gt;"No","Need a formula","No")</f>
        <v>No</v>
      </c>
      <c r="X216" s="7" t="s">
        <v>932</v>
      </c>
      <c r="Y216" s="4" t="s">
        <v>1003</v>
      </c>
      <c r="Z216" s="4">
        <v>1</v>
      </c>
      <c r="AA216" s="4">
        <v>0</v>
      </c>
      <c r="AB216" s="4">
        <v>0</v>
      </c>
      <c r="AC216" s="4">
        <v>0</v>
      </c>
      <c r="AD216" s="4">
        <v>0</v>
      </c>
      <c r="AE216" s="4" t="s">
        <v>45</v>
      </c>
      <c r="AF216" s="4" t="s">
        <v>45</v>
      </c>
      <c r="AG216" s="49" t="s">
        <v>1712</v>
      </c>
      <c r="AH216" s="4" t="str">
        <f>Animals!$C$105</f>
        <v>&lt;li&gt;Megaspider&lt;/li&gt;</v>
      </c>
      <c r="AI216" s="4">
        <v>0</v>
      </c>
      <c r="AJ216" s="4">
        <v>0</v>
      </c>
      <c r="AK216" s="4">
        <v>0</v>
      </c>
      <c r="AL216" s="4">
        <v>0</v>
      </c>
      <c r="AM216" s="4">
        <v>1</v>
      </c>
      <c r="AN216" s="44" t="s">
        <v>40</v>
      </c>
      <c r="AO216" s="8">
        <f t="shared" si="89"/>
        <v>111375.78773451904</v>
      </c>
      <c r="AP216" s="8">
        <f>IFERROR(C216*_xlfn.XLOOKUP(E216,Groups!A:A,Groups!K:K),0.106*C216^0.94)</f>
        <v>384</v>
      </c>
      <c r="AQ216" s="8">
        <f>AP216*10000/(_xlfn.XLOOKUP(E216,Groups!A:A,Groups!J:J)*AO216)</f>
        <v>38.739180474822305</v>
      </c>
      <c r="AR216" s="8">
        <f t="shared" si="90"/>
        <v>21698.27196004615</v>
      </c>
      <c r="AS216" s="8">
        <f>IF(_xlfn.XLOOKUP(E216,Groups!A:A,Groups!M:M)=1,EXP(0.7444*LN('Base stats'!C216)+6.5696),EXP(0.7927*LN('Base stats'!C216)+4.28))</f>
        <v>139728.0337999569</v>
      </c>
      <c r="AT216" s="8">
        <f>IF(_xlfn.XLOOKUP(E216,Groups!A:A,Groups!N:N)="No","No",
IF(_xlfn.XLOOKUP(E216,Groups!A:A,Groups!N:N)="Crocodile",EXP(0.8129*LN(C216)+4.6742)*S216,
IF(_xlfn.XLOOKUP(E216,Groups!A:A,Groups!N:N)="Felid",EXP(0.7843*LN(C216)+4.7073)*S216,
IF(_xlfn.XLOOKUP(E216,Groups!A:A,Groups!N:N)="Canid",EXP(0.8367*LN(C216)+4.8763)*S216,
IF(_xlfn.XLOOKUP(E216,Groups!A:A,Groups!N:N)="Pig",EXP(0.3439*LN(C216)+6.8519)*S216,
IF(_xlfn.XLOOKUP(E216,Groups!A:A,Groups!N:N)="Rodent",EXP(0.5625*LN(C216)+4.3006)*S216,
IF(_xlfn.XLOOKUP(E216,Groups!A:A,Groups!N:N)="Primate",EXP(0.7847*LN(C216)+3.4931)*S216,
IF(_xlfn.XLOOKUP(E216,Groups!A:A,Groups!N:N)="MiscCarnivora",EXP(0.7486*LN(C216)+4.2207)*S216,
IF(_xlfn.XLOOKUP(E216,Groups!A:A,Groups!N:N)="Lizard",EXP(0.7733*LN(C216)+5.5303)*S216,
IF(_xlfn.XLOOKUP(E216,Groups!A:A,Groups!N:N)="Snake",50*C216^(2/3)*S216,
IF(_xlfn.XLOOKUP(E216,Groups!A:A,Groups!N:N)="StrongBitingHerbivore",87.1133638856975*C216^(2/3)*S216,
IF(_xlfn.XLOOKUP(E216,Groups!A:A,Groups!N:N)="MiscEctotherms",59.4316884072269*C216^(2/3)*S216,
IF(_xlfn.XLOOKUP(E216,Groups!A:A,Groups!N:N)="StrongBeakBird",0.041*(C216*1000)^1.375*S216,
IF(_xlfn.XLOOKUP(E216,Groups!A:A,Groups!N:N)="Bird",0.118*(C216*1000)^0.692*S216,
IF(_xlfn.XLOOKUP(E216,Groups!A:A,Groups!N:N)="Insect",EXP(0.7444*LN(C216)+6.5696)*S216,
IF(_xlfn.XLOOKUP(E216,Groups!A:A,Groups!N:N)="Theropod",EXP(0.6966*LN(C216)+4.158)*S216,
"No"))))))))))))))))</f>
        <v>139728.0337999569</v>
      </c>
      <c r="AU216" s="8">
        <f>IF(_xlfn.XLOOKUP(E216,Groups!A:A,Groups!U:U)=3,AS216,IF(_xlfn.XLOOKUP(E216,Groups!A:A,Groups!U:U)=2,AR216,AT216))</f>
        <v>139728.0337999569</v>
      </c>
      <c r="AV216" s="46">
        <f>IFERROR(AVERAGE(_xlfn.XLOOKUP(B216,Animals!B:B,Animals!N:N),_xlfn.XLOOKUP(B216,Animals!B:B,Animals!O:O)),0)</f>
        <v>0.875</v>
      </c>
      <c r="AW216" s="8">
        <f>MROUND(40*Animals!AO216*_xlfn.XLOOKUP(AG216,Leathers!$A$2:$A$99,Leathers!$B$2:$B$99,0)+(140*_xlfn.XLOOKUP(B216,Animals!B:B,Animals!AO:AO)*2),5)</f>
        <v>980</v>
      </c>
      <c r="AX216" s="8">
        <f>IFERROR(ROUND(SQRT(V216-1)*IF(_xlfn.XLOOKUP(E216,Groups!A:A,Groups!BF:BF)=0,2,1)*IF(_xlfn.XLOOKUP('Base stats'!E216,Groups!A:A,Groups!O:O)=0,1,0.1),1),0)</f>
        <v>11.1</v>
      </c>
      <c r="AY216" s="8">
        <f t="shared" si="91"/>
        <v>0</v>
      </c>
      <c r="AZ216" s="8">
        <f t="shared" si="92"/>
        <v>0</v>
      </c>
      <c r="BA216" s="8">
        <f t="shared" si="93"/>
        <v>10.199999999999999</v>
      </c>
      <c r="BB216" s="8">
        <f>IF(_xlfn.XLOOKUP(E216,Groups!A:A,Groups!N:N)="Insect",BD216*2.5,IFERROR(AVERAGE(BD216,AT216/9.81/IF(OR(_xlfn.XLOOKUP(E216,Groups!A:A,Groups!N:N)="Pig",_xlfn.XLOOKUP(E216,Groups!A:A,Groups!N:N)="StrongBitingHerbivore"),20,25))*C216^-0.135,BD216))</f>
        <v>20.555532659176965</v>
      </c>
      <c r="BC216" s="8" t="str">
        <f>IF(W216="No","No",IF(_xlfn.XLOOKUP(E216,Groups!A:A,Groups!U:U)=1,'Base stats'!BB216,IF(OR(_xlfn.XLOOKUP(E216,Groups!A:A,Groups!BD:BD)=1,_xlfn.XLOOKUP(E216,Groups!A:A,Groups!U:U)=2),BD216,IF(_xlfn.XLOOKUP(B216,Animals!B:B,Animals!AO:AO)&gt;4,AVERAGE(BD216,BF216),BF216))))</f>
        <v>No</v>
      </c>
      <c r="BD216" s="8">
        <f t="shared" si="94"/>
        <v>8.222213063670786</v>
      </c>
      <c r="BE216" s="8">
        <f>IF(_xlfn.XLOOKUP(E216,Groups!A:A,Groups!BE:BE)=1,(0.048*C216^1.01)+(0.071*C216^1.03),0.071*C216^1.03)/IF(_xlfn.XLOOKUP(E216,Groups!A:A,Groups!M:M)=1,0.85,IF(OR(_xlfn.XLOOKUP(B216,Animals!B:B,Animals!AO:AO)&gt;4,_xlfn.XLOOKUP(E216,Groups!A:A,Groups!BC:BC)=1),1.7,1))*C216^-0.25</f>
        <v>21.066907817708397</v>
      </c>
      <c r="BF216" s="8">
        <f>(0.048*C216^1.01)/IF(_xlfn.XLOOKUP(E216,Groups!A:A,Groups!M:M)=1,0.25,0.8)*C216^-0.25</f>
        <v>42.022218412796043</v>
      </c>
      <c r="BG216" s="8">
        <f>EXP(1.076*LN(AR216)-4.5397)*IF(_xlfn.XLOOKUP(E216,Groups!A:A,Groups!BC:BC)=1,1.25,IF(_xlfn.XLOOKUP(E216,Groups!A:A,Groups!BD:BD)=1,3.5,2.5))</f>
        <v>618.4958828468674</v>
      </c>
      <c r="BH216" s="8">
        <f>EXP(1.076*LN(AS216)-4.5397)*IF(_xlfn.XLOOKUP(E216,Groups!A:A,Groups!M:M)=1,0.8,IF(_xlfn.XLOOKUP(E216,Groups!A:A,Groups!BC:BC)=1,1.3,3))</f>
        <v>2936.6245490408382</v>
      </c>
      <c r="BI216" s="8" t="str">
        <f>IF(W216="No","No",IF(_xlfn.XLOOKUP(E216,Groups!A:A,Groups!U:U)=1,'Base stats'!BJ216,IF(OR(_xlfn.XLOOKUP(E216,Groups!A:A,Groups!BD:BD)=1,_xlfn.XLOOKUP(E216,Groups!A:A,Groups!U:U)=2),BG216,BH216))*1.2)</f>
        <v>No</v>
      </c>
      <c r="BJ216" s="8">
        <f>IFERROR(EXP(1.076*LN(AT216)-4.5397)*IF(_xlfn.XLOOKUP(E216,Groups!A:A,Groups!N:N)="Insect",1,IF(OR(_xlfn.XLOOKUP(E216,Groups!A:A,Groups!N:N)="Pig",_xlfn.XLOOKUP(E216,Groups!A:A,Groups!N:N)="StrongBitingHerbivore"),3.5,3.75)),"No")</f>
        <v>3670.7806863010474</v>
      </c>
      <c r="BK216" s="8">
        <f t="shared" si="95"/>
        <v>12</v>
      </c>
      <c r="BL216" s="8">
        <f t="shared" si="96"/>
        <v>16</v>
      </c>
      <c r="BM216" s="8" t="str">
        <f t="shared" si="97"/>
        <v>No</v>
      </c>
      <c r="BN216" s="8">
        <f t="shared" si="98"/>
        <v>18</v>
      </c>
      <c r="BO216" s="8">
        <f t="shared" si="99"/>
        <v>11</v>
      </c>
      <c r="BP216" s="8" t="str" cm="1">
        <f t="array" ref="BP216">IF(AND(_xlfn.XLOOKUP('Base stats'!E216,Groups!A:A,Groups!AD:AD=0),_xlfn.XLOOKUP('Base stats'!E216,Groups!A:A,Groups!P:P=0)),"No",IF(U216="No",AVERAGE(EXP(-0.57+0.99*LN(C216)),EXP(0.32+0.67*LN(C216)))/IF(_xlfn.XLOOKUP(E216,Groups!A:A,Groups!AD:AD)=1,10,2),(0.7354*C216^0.4078)*2/IF(_xlfn.XLOOKUP(E216,Groups!A:A,Groups!BK:BK)=1,1000,100)/IF(_xlfn.XLOOKUP(E216,Groups!A:A,Groups!AJ:AJ)="Photonozoa",3,1)))</f>
        <v>No</v>
      </c>
      <c r="BQ216" s="8" t="str">
        <f>IF(W216="No","No",IF(_xlfn.XLOOKUP(E216,Groups!A:A,Groups!BD:BD)=1,(AO216*5%),EXP(0.7354*LN(C216)^0.4078)*2/IF(_xlfn.XLOOKUP(E216,Groups!A:A,Groups!BL:BL)=1,1000,100)/IF(_xlfn.XLOOKUP(E216,Groups!A:A,Groups!AJ:AJ)="Photonozoa",3,1)))</f>
        <v>No</v>
      </c>
      <c r="BR216" s="8">
        <f>IF(BJ216="No","No",IF(_xlfn.XLOOKUP(E216,Groups!A:A,Groups!BF:BF)=1,(0.0315*C216+2.1825)*2,(0.7354*C216^0.4078)*2)/IF(_xlfn.XLOOKUP(E216,Groups!A:A,Groups!BM:BM)=1,1000,100)/IF(_xlfn.XLOOKUP(E216,Groups!A:A,Groups!AJ:AJ)="Photonozoa",3,1))</f>
        <v>0.26499869384002678</v>
      </c>
      <c r="BS216" s="8">
        <f t="shared" si="100"/>
        <v>0.11106469286145845</v>
      </c>
      <c r="BT216" s="8" t="str">
        <f t="shared" si="101"/>
        <v>No</v>
      </c>
      <c r="BU216" s="8" t="str">
        <f t="shared" si="102"/>
        <v>No</v>
      </c>
      <c r="BV216" s="8">
        <f t="shared" si="103"/>
        <v>13852.070865364369</v>
      </c>
      <c r="BW216" s="4">
        <v>0</v>
      </c>
      <c r="BX216" s="4">
        <v>1</v>
      </c>
    </row>
    <row r="217" spans="1:76" s="16" customFormat="1" x14ac:dyDescent="0.25">
      <c r="A217" s="26" t="s">
        <v>1494</v>
      </c>
      <c r="B217" s="6" t="s">
        <v>1657</v>
      </c>
      <c r="C217" s="7">
        <v>10</v>
      </c>
      <c r="D217" s="7" t="s">
        <v>528</v>
      </c>
      <c r="E217" s="7" t="str">
        <f>Groups!$A$82</f>
        <v>Beetle (ROAMER)</v>
      </c>
      <c r="F217" s="7" t="str">
        <f t="shared" ref="F217:F245" si="114">"Lay eggs"</f>
        <v>Lay eggs</v>
      </c>
      <c r="G217" s="7">
        <v>1</v>
      </c>
      <c r="H217" s="7">
        <v>10</v>
      </c>
      <c r="I217" s="4">
        <v>0</v>
      </c>
      <c r="J217" s="7" t="str">
        <f t="shared" ref="J217:J245" si="115">"Lay eggs"</f>
        <v>Lay eggs</v>
      </c>
      <c r="K217" s="7" t="s">
        <v>528</v>
      </c>
      <c r="L217" s="7">
        <v>25</v>
      </c>
      <c r="M217" s="7" t="s">
        <v>528</v>
      </c>
      <c r="N217" s="4">
        <v>0</v>
      </c>
      <c r="O217" s="4">
        <v>0</v>
      </c>
      <c r="P217" s="4">
        <v>0</v>
      </c>
      <c r="Q217" s="4">
        <v>0</v>
      </c>
      <c r="R217" s="4" t="s">
        <v>40</v>
      </c>
      <c r="S217" s="7">
        <f>_xlfn.XLOOKUP(B217,[1]TeethAdjusters!$A:$A,[1]BiteAdjusters!$C:$C,1)</f>
        <v>1</v>
      </c>
      <c r="T217" s="7">
        <f>_xlfn.XLOOKUP(B217,[1]TeethAdjusters!$A:$A,[1]TeethAdjusters!$B:$B,1)</f>
        <v>1</v>
      </c>
      <c r="U217" s="7" t="s">
        <v>45</v>
      </c>
      <c r="V217" s="7">
        <v>2</v>
      </c>
      <c r="W217" s="7" t="s">
        <v>45</v>
      </c>
      <c r="X217" s="7" t="s">
        <v>932</v>
      </c>
      <c r="Y217" s="4" t="s">
        <v>1003</v>
      </c>
      <c r="Z217" s="4">
        <v>1</v>
      </c>
      <c r="AA217" s="4">
        <v>0</v>
      </c>
      <c r="AB217" s="4">
        <v>0</v>
      </c>
      <c r="AC217" s="4">
        <v>0</v>
      </c>
      <c r="AD217" s="4">
        <v>0</v>
      </c>
      <c r="AE217" s="4" t="s">
        <v>45</v>
      </c>
      <c r="AF217" s="4" t="s">
        <v>45</v>
      </c>
      <c r="AG217" s="49" t="s">
        <v>1712</v>
      </c>
      <c r="AH217" s="4" t="str">
        <f>Animals!$C$105</f>
        <v>&lt;li&gt;Megaspider&lt;/li&gt;</v>
      </c>
      <c r="AI217" s="4">
        <v>0</v>
      </c>
      <c r="AJ217" s="4">
        <v>0</v>
      </c>
      <c r="AK217" s="4">
        <v>0</v>
      </c>
      <c r="AL217" s="4">
        <v>0</v>
      </c>
      <c r="AM217" s="4">
        <v>1</v>
      </c>
      <c r="AN217" s="44" t="s">
        <v>40</v>
      </c>
      <c r="AO217" s="8">
        <f t="shared" si="89"/>
        <v>4958.187872875691</v>
      </c>
      <c r="AP217" s="8">
        <f>IFERROR(C217*_xlfn.XLOOKUP(E217,Groups!A:A,Groups!K:K),0.106*C217^0.94)</f>
        <v>3.2</v>
      </c>
      <c r="AQ217" s="8">
        <f>AP217*10000/(_xlfn.XLOOKUP(E217,Groups!A:A,Groups!J:J)*AO217)</f>
        <v>5.3783090416056201</v>
      </c>
      <c r="AR217" s="8">
        <f t="shared" si="90"/>
        <v>380.31263115847975</v>
      </c>
      <c r="AS217" s="8">
        <f>IF(_xlfn.XLOOKUP(E217,Groups!A:A,Groups!M:M)=1,EXP(0.7444*LN('Base stats'!C217)+6.5696),EXP(0.7927*LN('Base stats'!C217)+4.28))</f>
        <v>3958.594603791114</v>
      </c>
      <c r="AT217" s="8">
        <f>IF(_xlfn.XLOOKUP(E217,Groups!A:A,Groups!N:N)="No","No",
IF(_xlfn.XLOOKUP(E217,Groups!A:A,Groups!N:N)="Crocodile",EXP(0.8129*LN(C217)+4.6742)*S217,
IF(_xlfn.XLOOKUP(E217,Groups!A:A,Groups!N:N)="Felid",EXP(0.7843*LN(C217)+4.7073)*S217,
IF(_xlfn.XLOOKUP(E217,Groups!A:A,Groups!N:N)="Canid",EXP(0.8367*LN(C217)+4.8763)*S217,
IF(_xlfn.XLOOKUP(E217,Groups!A:A,Groups!N:N)="Pig",EXP(0.3439*LN(C217)+6.8519)*S217,
IF(_xlfn.XLOOKUP(E217,Groups!A:A,Groups!N:N)="Rodent",EXP(0.5625*LN(C217)+4.3006)*S217,
IF(_xlfn.XLOOKUP(E217,Groups!A:A,Groups!N:N)="Primate",EXP(0.7847*LN(C217)+3.4931)*S217,
IF(_xlfn.XLOOKUP(E217,Groups!A:A,Groups!N:N)="MiscCarnivora",EXP(0.7486*LN(C217)+4.2207)*S217,
IF(_xlfn.XLOOKUP(E217,Groups!A:A,Groups!N:N)="Lizard",EXP(0.7733*LN(C217)+5.5303)*S217,
IF(_xlfn.XLOOKUP(E217,Groups!A:A,Groups!N:N)="Snake",50*C217^(2/3)*S217,
IF(_xlfn.XLOOKUP(E217,Groups!A:A,Groups!N:N)="StrongBitingHerbivore",87.1133638856975*C217^(2/3)*S217,
IF(_xlfn.XLOOKUP(E217,Groups!A:A,Groups!N:N)="MiscEctotherms",59.4316884072269*C217^(2/3)*S217,
IF(_xlfn.XLOOKUP(E217,Groups!A:A,Groups!N:N)="StrongBeakBird",0.041*(C217*1000)^1.375*S217,
IF(_xlfn.XLOOKUP(E217,Groups!A:A,Groups!N:N)="Bird",0.118*(C217*1000)^0.692*S217,
IF(_xlfn.XLOOKUP(E217,Groups!A:A,Groups!N:N)="Insect",EXP(0.7444*LN(C217)+6.5696)*S217,
IF(_xlfn.XLOOKUP(E217,Groups!A:A,Groups!N:N)="Theropod",EXP(0.6966*LN(C217)+4.158)*S217,
"No"))))))))))))))))</f>
        <v>3958.594603791114</v>
      </c>
      <c r="AU217" s="8">
        <f>IF(_xlfn.XLOOKUP(E217,Groups!A:A,Groups!U:U)=3,AS217,IF(_xlfn.XLOOKUP(E217,Groups!A:A,Groups!U:U)=2,AR217,AT217))</f>
        <v>3958.594603791114</v>
      </c>
      <c r="AV217" s="46">
        <f>IFERROR(AVERAGE(_xlfn.XLOOKUP(B217,Animals!B:B,Animals!N:N),_xlfn.XLOOKUP(B217,Animals!B:B,Animals!O:O)),0)</f>
        <v>0.2</v>
      </c>
      <c r="AW217" s="8">
        <f>MROUND(40*Animals!AO217*_xlfn.XLOOKUP(AG217,Leathers!$A$2:$A$99,Leathers!$B$2:$B$99,0)+(140*_xlfn.XLOOKUP(B217,Animals!B:B,Animals!AO:AO)*2),5)</f>
        <v>110</v>
      </c>
      <c r="AX217" s="8">
        <f>IFERROR(ROUND(SQRT(V217-1)*IF(_xlfn.XLOOKUP(E217,Groups!A:A,Groups!BF:BF)=0,2,1)*IF(_xlfn.XLOOKUP('Base stats'!E217,Groups!A:A,Groups!O:O)=0,1,0.1),1),0)</f>
        <v>2</v>
      </c>
      <c r="AY217" s="8">
        <f t="shared" si="91"/>
        <v>0</v>
      </c>
      <c r="AZ217" s="8">
        <f t="shared" si="92"/>
        <v>0</v>
      </c>
      <c r="BA217" s="8">
        <f t="shared" si="93"/>
        <v>1.6</v>
      </c>
      <c r="BB217" s="8">
        <f>IF(_xlfn.XLOOKUP(E217,Groups!A:A,Groups!N:N)="Insect",BD217*2.5,IFERROR(AVERAGE(BD217,AT217/9.81/IF(OR(_xlfn.XLOOKUP(E217,Groups!A:A,Groups!N:N)="Pig",_xlfn.XLOOKUP(E217,Groups!A:A,Groups!N:N)="StrongBitingHerbivore"),20,25))*C217^-0.135,BD217))</f>
        <v>0.55619371330037626</v>
      </c>
      <c r="BC217" s="8" t="str">
        <f>IF(W217="No","No",IF(_xlfn.XLOOKUP(E217,Groups!A:A,Groups!U:U)=1,'Base stats'!BB217,IF(OR(_xlfn.XLOOKUP(E217,Groups!A:A,Groups!BD:BD)=1,_xlfn.XLOOKUP(E217,Groups!A:A,Groups!U:U)=2),BD217,IF(_xlfn.XLOOKUP(B217,Animals!B:B,Animals!AO:AO)&gt;4,AVERAGE(BD217,BF217),BF217))))</f>
        <v>No</v>
      </c>
      <c r="BD217" s="8">
        <f t="shared" si="94"/>
        <v>0.22247748532015049</v>
      </c>
      <c r="BE217" s="8">
        <f>IF(_xlfn.XLOOKUP(E217,Groups!A:A,Groups!BE:BE)=1,(0.048*C217^1.01)+(0.071*C217^1.03),0.071*C217^1.03)/IF(_xlfn.XLOOKUP(E217,Groups!A:A,Groups!M:M)=1,0.85,IF(OR(_xlfn.XLOOKUP(B217,Animals!B:B,Animals!AO:AO)&gt;4,_xlfn.XLOOKUP(E217,Groups!A:A,Groups!BC:BC)=1),1.7,1))*C217^-0.25</f>
        <v>0.5033144777797578</v>
      </c>
      <c r="BF217" s="8">
        <f>(0.048*C217^1.01)/IF(_xlfn.XLOOKUP(E217,Groups!A:A,Groups!M:M)=1,0.25,0.8)*C217^-0.25</f>
        <v>1.1048446796873415</v>
      </c>
      <c r="BG217" s="8">
        <f>EXP(1.076*LN(AR217)-4.5397)*IF(_xlfn.XLOOKUP(E217,Groups!A:A,Groups!BC:BC)=1,1.25,IF(_xlfn.XLOOKUP(E217,Groups!A:A,Groups!BD:BD)=1,3.5,2.5))</f>
        <v>7.9721378589765637</v>
      </c>
      <c r="BH217" s="8">
        <f>EXP(1.076*LN(AS217)-4.5397)*IF(_xlfn.XLOOKUP(E217,Groups!A:A,Groups!M:M)=1,0.8,IF(_xlfn.XLOOKUP(E217,Groups!A:A,Groups!BC:BC)=1,1.3,3))</f>
        <v>63.456698632720183</v>
      </c>
      <c r="BI217" s="8" t="str">
        <f>IF(W217="No","No",IF(_xlfn.XLOOKUP(E217,Groups!A:A,Groups!U:U)=1,'Base stats'!BJ217,IF(OR(_xlfn.XLOOKUP(E217,Groups!A:A,Groups!BD:BD)=1,_xlfn.XLOOKUP(E217,Groups!A:A,Groups!U:U)=2),BG217,BH217))*1.2)</f>
        <v>No</v>
      </c>
      <c r="BJ217" s="8">
        <f>IFERROR(EXP(1.076*LN(AT217)-4.5397)*IF(_xlfn.XLOOKUP(E217,Groups!A:A,Groups!N:N)="Insect",1,IF(OR(_xlfn.XLOOKUP(E217,Groups!A:A,Groups!N:N)="Pig",_xlfn.XLOOKUP(E217,Groups!A:A,Groups!N:N)="StrongBitingHerbivore"),3.5,3.75)),"No")</f>
        <v>79.320873290900224</v>
      </c>
      <c r="BK217" s="8">
        <f t="shared" si="95"/>
        <v>8</v>
      </c>
      <c r="BL217" s="8">
        <f t="shared" si="96"/>
        <v>15</v>
      </c>
      <c r="BM217" s="8" t="str">
        <f t="shared" si="97"/>
        <v>No</v>
      </c>
      <c r="BN217" s="8">
        <f t="shared" si="98"/>
        <v>16</v>
      </c>
      <c r="BO217" s="8">
        <f t="shared" si="99"/>
        <v>10</v>
      </c>
      <c r="BP217" s="8" t="str" cm="1">
        <f t="array" ref="BP217">IF(AND(_xlfn.XLOOKUP('Base stats'!E217,Groups!A:A,Groups!AD:AD=0),_xlfn.XLOOKUP('Base stats'!E217,Groups!A:A,Groups!P:P=0)),"No",IF(U217="No",AVERAGE(EXP(-0.57+0.99*LN(C217)),EXP(0.32+0.67*LN(C217)))/IF(_xlfn.XLOOKUP(E217,Groups!A:A,Groups!AD:AD)=1,10,2),(0.7354*C217^0.4078)*2/IF(_xlfn.XLOOKUP(E217,Groups!A:A,Groups!BK:BK)=1,1000,100)/IF(_xlfn.XLOOKUP(E217,Groups!A:A,Groups!AJ:AJ)="Photonozoa",3,1)))</f>
        <v>No</v>
      </c>
      <c r="BQ217" s="8" t="str">
        <f>IF(W217="No","No",IF(_xlfn.XLOOKUP(E217,Groups!A:A,Groups!BD:BD)=1,(AO217*5%),EXP(0.7354*LN(C217)^0.4078)*2/IF(_xlfn.XLOOKUP(E217,Groups!A:A,Groups!BL:BL)=1,1000,100)/IF(_xlfn.XLOOKUP(E217,Groups!A:A,Groups!AJ:AJ)="Photonozoa",3,1)))</f>
        <v>No</v>
      </c>
      <c r="BR217" s="8">
        <f>IF(BJ217="No","No",IF(_xlfn.XLOOKUP(E217,Groups!A:A,Groups!BF:BF)=1,(0.0315*C217+2.1825)*2,(0.7354*C217^0.4078)*2)/IF(_xlfn.XLOOKUP(E217,Groups!A:A,Groups!BM:BM)=1,1000,100)/IF(_xlfn.XLOOKUP(E217,Groups!A:A,Groups!AJ:AJ)="Photonozoa",3,1))</f>
        <v>3.7614355184740135E-2</v>
      </c>
      <c r="BS217" s="8">
        <f t="shared" si="100"/>
        <v>3.2157465845895093E-2</v>
      </c>
      <c r="BT217" s="8" t="str">
        <f t="shared" si="101"/>
        <v>No</v>
      </c>
      <c r="BU217" s="8" t="str">
        <f t="shared" si="102"/>
        <v>No</v>
      </c>
      <c r="BV217" s="8">
        <f t="shared" si="103"/>
        <v>2108.7925846746966</v>
      </c>
      <c r="BW217" s="4">
        <v>0</v>
      </c>
      <c r="BX217" s="4">
        <v>1</v>
      </c>
    </row>
    <row r="218" spans="1:76" s="16" customFormat="1" x14ac:dyDescent="0.25">
      <c r="A218" s="26" t="s">
        <v>1490</v>
      </c>
      <c r="B218" s="6" t="s">
        <v>1612</v>
      </c>
      <c r="C218" s="7">
        <v>10</v>
      </c>
      <c r="D218" s="7" t="s">
        <v>528</v>
      </c>
      <c r="E218" s="7" t="str">
        <f>Groups!$A$4</f>
        <v>Beetle (LARVA)</v>
      </c>
      <c r="F218" s="7" t="s">
        <v>1700</v>
      </c>
      <c r="G218" s="7" t="s">
        <v>1700</v>
      </c>
      <c r="H218" s="7">
        <v>1</v>
      </c>
      <c r="I218" s="4">
        <v>1</v>
      </c>
      <c r="J218" s="7" t="s">
        <v>1700</v>
      </c>
      <c r="K218" s="7" t="s">
        <v>528</v>
      </c>
      <c r="L218" s="7">
        <v>16</v>
      </c>
      <c r="M218" s="7" t="s">
        <v>528</v>
      </c>
      <c r="N218" s="4">
        <v>0</v>
      </c>
      <c r="O218" s="4">
        <v>0</v>
      </c>
      <c r="P218" s="4">
        <v>0</v>
      </c>
      <c r="Q218" s="4">
        <v>0</v>
      </c>
      <c r="R218" s="4" t="s">
        <v>40</v>
      </c>
      <c r="S218" s="7">
        <f>_xlfn.XLOOKUP(B218,[1]TeethAdjusters!$A:$A,[1]BiteAdjusters!$C:$C,1)</f>
        <v>1</v>
      </c>
      <c r="T218" s="7">
        <f>_xlfn.XLOOKUP(B218,[1]TeethAdjusters!$A:$A,[1]TeethAdjusters!$B:$B,1)</f>
        <v>1</v>
      </c>
      <c r="U218" s="7" t="str">
        <f>IF(OR(_xlfn.XLOOKUP(E218,Groups!A:A,Groups!P:P)=1,_xlfn.XLOOKUP(E218,Groups!A:A,Groups!AD:AD)=1),"Need a formula","No")</f>
        <v>No</v>
      </c>
      <c r="V218" s="7">
        <v>1</v>
      </c>
      <c r="W218" s="7" t="str">
        <f>IF(_xlfn.XLOOKUP(E218,Groups!A:A,Groups!V:V)&lt;&gt;"No","Need a formula","No")</f>
        <v>No</v>
      </c>
      <c r="X218" s="7" t="s">
        <v>932</v>
      </c>
      <c r="Y218" s="4" t="s">
        <v>42</v>
      </c>
      <c r="Z218" s="4">
        <v>1</v>
      </c>
      <c r="AA218" s="4">
        <v>0</v>
      </c>
      <c r="AB218" s="4">
        <v>0</v>
      </c>
      <c r="AC218" s="4">
        <v>0</v>
      </c>
      <c r="AD218" s="4">
        <v>0</v>
      </c>
      <c r="AE218" s="4" t="s">
        <v>45</v>
      </c>
      <c r="AF218" s="4" t="s">
        <v>399</v>
      </c>
      <c r="AG218" s="49" t="s">
        <v>1712</v>
      </c>
      <c r="AH218" s="4" t="str">
        <f>Animals!$C$105</f>
        <v>&lt;li&gt;Megaspider&lt;/li&gt;</v>
      </c>
      <c r="AI218" s="4">
        <v>0</v>
      </c>
      <c r="AJ218" s="4">
        <v>0</v>
      </c>
      <c r="AK218" s="4">
        <v>0</v>
      </c>
      <c r="AL218" s="4">
        <v>0</v>
      </c>
      <c r="AM218" s="4">
        <v>1</v>
      </c>
      <c r="AN218" s="44" t="s">
        <v>40</v>
      </c>
      <c r="AO218" s="8">
        <f t="shared" si="89"/>
        <v>4958.187872875691</v>
      </c>
      <c r="AP218" s="8">
        <f>IFERROR(C218*_xlfn.XLOOKUP(E218,Groups!A:A,Groups!K:K),0.106*C218^0.94)</f>
        <v>3.2</v>
      </c>
      <c r="AQ218" s="8">
        <f>AP218*10000/(_xlfn.XLOOKUP(E218,Groups!A:A,Groups!J:J)*AO218)</f>
        <v>5.3783090416056201</v>
      </c>
      <c r="AR218" s="8">
        <f t="shared" si="90"/>
        <v>380.31263115847975</v>
      </c>
      <c r="AS218" s="8">
        <f>IF(_xlfn.XLOOKUP(E218,Groups!A:A,Groups!M:M)=1,EXP(0.7444*LN('Base stats'!C218)+6.5696),EXP(0.7927*LN('Base stats'!C218)+4.28))</f>
        <v>3958.594603791114</v>
      </c>
      <c r="AT218" s="8">
        <f>IF(_xlfn.XLOOKUP(E218,Groups!A:A,Groups!N:N)="No","No",
IF(_xlfn.XLOOKUP(E218,Groups!A:A,Groups!N:N)="Crocodile",EXP(0.8129*LN(C218)+4.6742)*S218,
IF(_xlfn.XLOOKUP(E218,Groups!A:A,Groups!N:N)="Felid",EXP(0.7843*LN(C218)+4.7073)*S218,
IF(_xlfn.XLOOKUP(E218,Groups!A:A,Groups!N:N)="Canid",EXP(0.8367*LN(C218)+4.8763)*S218,
IF(_xlfn.XLOOKUP(E218,Groups!A:A,Groups!N:N)="Pig",EXP(0.3439*LN(C218)+6.8519)*S218,
IF(_xlfn.XLOOKUP(E218,Groups!A:A,Groups!N:N)="Rodent",EXP(0.5625*LN(C218)+4.3006)*S218,
IF(_xlfn.XLOOKUP(E218,Groups!A:A,Groups!N:N)="Primate",EXP(0.7847*LN(C218)+3.4931)*S218,
IF(_xlfn.XLOOKUP(E218,Groups!A:A,Groups!N:N)="MiscCarnivora",EXP(0.7486*LN(C218)+4.2207)*S218,
IF(_xlfn.XLOOKUP(E218,Groups!A:A,Groups!N:N)="Lizard",EXP(0.7733*LN(C218)+5.5303)*S218,
IF(_xlfn.XLOOKUP(E218,Groups!A:A,Groups!N:N)="Snake",50*C218^(2/3)*S218,
IF(_xlfn.XLOOKUP(E218,Groups!A:A,Groups!N:N)="StrongBitingHerbivore",87.1133638856975*C218^(2/3)*S218,
IF(_xlfn.XLOOKUP(E218,Groups!A:A,Groups!N:N)="MiscEctotherms",59.4316884072269*C218^(2/3)*S218,
IF(_xlfn.XLOOKUP(E218,Groups!A:A,Groups!N:N)="StrongBeakBird",0.041*(C218*1000)^1.375*S218,
IF(_xlfn.XLOOKUP(E218,Groups!A:A,Groups!N:N)="Bird",0.118*(C218*1000)^0.692*S218,
IF(_xlfn.XLOOKUP(E218,Groups!A:A,Groups!N:N)="Insect",EXP(0.7444*LN(C218)+6.5696)*S218,
IF(_xlfn.XLOOKUP(E218,Groups!A:A,Groups!N:N)="Theropod",EXP(0.6966*LN(C218)+4.158)*S218,
"No"))))))))))))))))</f>
        <v>3958.594603791114</v>
      </c>
      <c r="AU218" s="8">
        <f>IF(_xlfn.XLOOKUP(E218,Groups!A:A,Groups!U:U)=3,AS218,IF(_xlfn.XLOOKUP(E218,Groups!A:A,Groups!U:U)=2,AR218,AT218))</f>
        <v>3958.594603791114</v>
      </c>
      <c r="AV218" s="46">
        <f>IFERROR(AVERAGE(_xlfn.XLOOKUP(B218,Animals!B:B,Animals!N:N),_xlfn.XLOOKUP(B218,Animals!B:B,Animals!O:O)),0)</f>
        <v>0.2</v>
      </c>
      <c r="AW218" s="8">
        <f>MROUND(40*Animals!AO218*_xlfn.XLOOKUP(AG218,Leathers!$A$2:$A$99,Leathers!$B$2:$B$99,0)+(140*_xlfn.XLOOKUP(B218,Animals!B:B,Animals!AO:AO)*2),5)</f>
        <v>110</v>
      </c>
      <c r="AX218" s="8">
        <f>IFERROR(ROUND(SQRT(V218-1)*IF(_xlfn.XLOOKUP(E218,Groups!A:A,Groups!BF:BF)=0,2,1)*IF(_xlfn.XLOOKUP('Base stats'!E218,Groups!A:A,Groups!O:O)=0,1,0.1),1),0)</f>
        <v>0</v>
      </c>
      <c r="AY218" s="8">
        <f t="shared" si="91"/>
        <v>0</v>
      </c>
      <c r="AZ218" s="8">
        <f t="shared" si="92"/>
        <v>0</v>
      </c>
      <c r="BA218" s="8">
        <f t="shared" si="93"/>
        <v>1.6</v>
      </c>
      <c r="BB218" s="8">
        <f>IF(_xlfn.XLOOKUP(E218,Groups!A:A,Groups!N:N)="Insect",BD218*2.5,IFERROR(AVERAGE(BD218,AT218/9.81/IF(OR(_xlfn.XLOOKUP(E218,Groups!A:A,Groups!N:N)="Pig",_xlfn.XLOOKUP(E218,Groups!A:A,Groups!N:N)="StrongBitingHerbivore"),20,25))*C218^-0.135,BD218))</f>
        <v>0.55619371330037626</v>
      </c>
      <c r="BC218" s="8" t="str">
        <f>IF(W218="No","No",IF(_xlfn.XLOOKUP(E218,Groups!A:A,Groups!U:U)=1,'Base stats'!BB218,IF(OR(_xlfn.XLOOKUP(E218,Groups!A:A,Groups!BD:BD)=1,_xlfn.XLOOKUP(E218,Groups!A:A,Groups!U:U)=2),BD218,IF(_xlfn.XLOOKUP(B218,Animals!B:B,Animals!AO:AO)&gt;4,AVERAGE(BD218,BF218),BF218))))</f>
        <v>No</v>
      </c>
      <c r="BD218" s="8">
        <f t="shared" si="94"/>
        <v>0.22247748532015049</v>
      </c>
      <c r="BE218" s="8">
        <f>IF(_xlfn.XLOOKUP(E218,Groups!A:A,Groups!BE:BE)=1,(0.048*C218^1.01)+(0.071*C218^1.03),0.071*C218^1.03)/IF(_xlfn.XLOOKUP(E218,Groups!A:A,Groups!M:M)=1,0.85,IF(OR(_xlfn.XLOOKUP(B218,Animals!B:B,Animals!AO:AO)&gt;4,_xlfn.XLOOKUP(E218,Groups!A:A,Groups!BC:BC)=1),1.7,1))*C218^-0.25</f>
        <v>0.5033144777797578</v>
      </c>
      <c r="BF218" s="8">
        <f>(0.048*C218^1.01)/IF(_xlfn.XLOOKUP(E218,Groups!A:A,Groups!M:M)=1,0.25,0.8)*C218^-0.25</f>
        <v>1.1048446796873415</v>
      </c>
      <c r="BG218" s="8">
        <f>EXP(1.076*LN(AR218)-4.5397)*IF(_xlfn.XLOOKUP(E218,Groups!A:A,Groups!BC:BC)=1,1.25,IF(_xlfn.XLOOKUP(E218,Groups!A:A,Groups!BD:BD)=1,3.5,2.5))</f>
        <v>7.9721378589765637</v>
      </c>
      <c r="BH218" s="8">
        <f>EXP(1.076*LN(AS218)-4.5397)*IF(_xlfn.XLOOKUP(E218,Groups!A:A,Groups!M:M)=1,0.8,IF(_xlfn.XLOOKUP(E218,Groups!A:A,Groups!BC:BC)=1,1.3,3))</f>
        <v>63.456698632720183</v>
      </c>
      <c r="BI218" s="8" t="str">
        <f>IF(W218="No","No",IF(_xlfn.XLOOKUP(E218,Groups!A:A,Groups!U:U)=1,'Base stats'!BJ218,IF(OR(_xlfn.XLOOKUP(E218,Groups!A:A,Groups!BD:BD)=1,_xlfn.XLOOKUP(E218,Groups!A:A,Groups!U:U)=2),BG218,BH218))*1.2)</f>
        <v>No</v>
      </c>
      <c r="BJ218" s="8">
        <f>IFERROR(EXP(1.076*LN(AT218)-4.5397)*IF(_xlfn.XLOOKUP(E218,Groups!A:A,Groups!N:N)="Insect",1,IF(OR(_xlfn.XLOOKUP(E218,Groups!A:A,Groups!N:N)="Pig",_xlfn.XLOOKUP(E218,Groups!A:A,Groups!N:N)="StrongBitingHerbivore"),3.5,3.75)),"No")</f>
        <v>79.320873290900224</v>
      </c>
      <c r="BK218" s="8">
        <f t="shared" si="95"/>
        <v>8</v>
      </c>
      <c r="BL218" s="8">
        <f t="shared" si="96"/>
        <v>15</v>
      </c>
      <c r="BM218" s="8" t="str">
        <f t="shared" si="97"/>
        <v>No</v>
      </c>
      <c r="BN218" s="8">
        <f t="shared" si="98"/>
        <v>16</v>
      </c>
      <c r="BO218" s="8">
        <f t="shared" si="99"/>
        <v>10</v>
      </c>
      <c r="BP218" s="8" t="str" cm="1">
        <f t="array" ref="BP218">IF(AND(_xlfn.XLOOKUP('Base stats'!E218,Groups!A:A,Groups!AD:AD=0),_xlfn.XLOOKUP('Base stats'!E218,Groups!A:A,Groups!P:P=0)),"No",IF(U218="No",AVERAGE(EXP(-0.57+0.99*LN(C218)),EXP(0.32+0.67*LN(C218)))/IF(_xlfn.XLOOKUP(E218,Groups!A:A,Groups!AD:AD)=1,10,2),(0.7354*C218^0.4078)*2/IF(_xlfn.XLOOKUP(E218,Groups!A:A,Groups!BK:BK)=1,1000,100)/IF(_xlfn.XLOOKUP(E218,Groups!A:A,Groups!AJ:AJ)="Photonozoa",3,1)))</f>
        <v>No</v>
      </c>
      <c r="BQ218" s="8" t="str">
        <f>IF(W218="No","No",IF(_xlfn.XLOOKUP(E218,Groups!A:A,Groups!BD:BD)=1,(AO218*5%),EXP(0.7354*LN(C218)^0.4078)*2/IF(_xlfn.XLOOKUP(E218,Groups!A:A,Groups!BL:BL)=1,1000,100)/IF(_xlfn.XLOOKUP(E218,Groups!A:A,Groups!AJ:AJ)="Photonozoa",3,1)))</f>
        <v>No</v>
      </c>
      <c r="BR218" s="8">
        <f>IF(BJ218="No","No",IF(_xlfn.XLOOKUP(E218,Groups!A:A,Groups!BF:BF)=1,(0.0315*C218+2.1825)*2,(0.7354*C218^0.4078)*2)/IF(_xlfn.XLOOKUP(E218,Groups!A:A,Groups!BM:BM)=1,1000,100)/IF(_xlfn.XLOOKUP(E218,Groups!A:A,Groups!AJ:AJ)="Photonozoa",3,1))</f>
        <v>3.7614355184740135E-2</v>
      </c>
      <c r="BS218" s="8">
        <f t="shared" si="100"/>
        <v>3.2157465845895093E-2</v>
      </c>
      <c r="BT218" s="8" t="str">
        <f t="shared" si="101"/>
        <v>No</v>
      </c>
      <c r="BU218" s="8" t="str">
        <f t="shared" si="102"/>
        <v>No</v>
      </c>
      <c r="BV218" s="8">
        <f t="shared" si="103"/>
        <v>2108.7925846746966</v>
      </c>
      <c r="BW218" s="4">
        <v>0</v>
      </c>
      <c r="BX218" s="4">
        <v>1</v>
      </c>
    </row>
    <row r="219" spans="1:76" s="16" customFormat="1" x14ac:dyDescent="0.25">
      <c r="A219" s="26" t="s">
        <v>1358</v>
      </c>
      <c r="B219" s="6" t="s">
        <v>1611</v>
      </c>
      <c r="C219" s="7">
        <v>4000</v>
      </c>
      <c r="D219" s="7" t="s">
        <v>528</v>
      </c>
      <c r="E219" s="7" t="str">
        <f>Groups!$A$73</f>
        <v>Wasp</v>
      </c>
      <c r="F219" s="7" t="str">
        <f t="shared" ref="F219" si="116">"Lay eggs"</f>
        <v>Lay eggs</v>
      </c>
      <c r="G219" s="7" t="s">
        <v>1700</v>
      </c>
      <c r="H219" s="7">
        <v>100</v>
      </c>
      <c r="I219" s="4">
        <v>1</v>
      </c>
      <c r="J219" s="7" t="str">
        <f t="shared" ref="J219" si="117">"Lay eggs"</f>
        <v>Lay eggs</v>
      </c>
      <c r="K219" s="7" t="s">
        <v>528</v>
      </c>
      <c r="L219" s="7">
        <v>24</v>
      </c>
      <c r="M219" s="7" t="s">
        <v>528</v>
      </c>
      <c r="N219" s="4">
        <v>0</v>
      </c>
      <c r="O219" s="4">
        <v>0</v>
      </c>
      <c r="P219" s="4">
        <v>0</v>
      </c>
      <c r="Q219" s="4">
        <v>0</v>
      </c>
      <c r="R219" s="4" t="s">
        <v>40</v>
      </c>
      <c r="S219" s="7">
        <f>_xlfn.XLOOKUP(B219,[1]TeethAdjusters!$A:$A,[1]BiteAdjusters!$C:$C,1)</f>
        <v>1</v>
      </c>
      <c r="T219" s="7">
        <f>_xlfn.XLOOKUP(B219,[1]TeethAdjusters!$A:$A,[1]TeethAdjusters!$B:$B,1)</f>
        <v>1</v>
      </c>
      <c r="U219" s="7">
        <v>32</v>
      </c>
      <c r="V219" s="7">
        <v>12</v>
      </c>
      <c r="W219" s="7">
        <v>15</v>
      </c>
      <c r="X219" s="7" t="s">
        <v>932</v>
      </c>
      <c r="Y219" s="4" t="s">
        <v>56</v>
      </c>
      <c r="Z219" s="4">
        <v>1</v>
      </c>
      <c r="AA219" s="4">
        <v>0</v>
      </c>
      <c r="AB219" s="4">
        <v>0</v>
      </c>
      <c r="AC219" s="4">
        <v>0</v>
      </c>
      <c r="AD219" s="4">
        <v>0</v>
      </c>
      <c r="AE219" s="4" t="s">
        <v>45</v>
      </c>
      <c r="AF219" s="4" t="s">
        <v>45</v>
      </c>
      <c r="AG219" s="49" t="s">
        <v>1712</v>
      </c>
      <c r="AH219" s="4" t="str">
        <f>Animals!$C$105</f>
        <v>&lt;li&gt;Megaspider&lt;/li&gt;</v>
      </c>
      <c r="AI219" s="4">
        <v>0</v>
      </c>
      <c r="AJ219" s="4">
        <v>0</v>
      </c>
      <c r="AK219" s="4">
        <v>0</v>
      </c>
      <c r="AL219" s="4">
        <v>0</v>
      </c>
      <c r="AM219" s="4">
        <v>1</v>
      </c>
      <c r="AN219" s="44" t="s">
        <v>40</v>
      </c>
      <c r="AO219" s="8">
        <f t="shared" si="89"/>
        <v>243591.41216853441</v>
      </c>
      <c r="AP219" s="8">
        <f>IFERROR(C219*_xlfn.XLOOKUP(E219,Groups!A:A,Groups!K:K),0.106*C219^0.94)</f>
        <v>1280</v>
      </c>
      <c r="AQ219" s="8">
        <f>AP219*10000/(_xlfn.XLOOKUP(E219,Groups!A:A,Groups!J:J)*AO219)</f>
        <v>59.041582557760997</v>
      </c>
      <c r="AR219" s="8">
        <f t="shared" si="90"/>
        <v>59993.033791828515</v>
      </c>
      <c r="AS219" s="8">
        <f>IF(_xlfn.XLOOKUP(E219,Groups!A:A,Groups!M:M)=1,EXP(0.7444*LN('Base stats'!C219)+6.5696),EXP(0.7927*LN('Base stats'!C219)+4.28))</f>
        <v>342384.80765263102</v>
      </c>
      <c r="AT219" s="8">
        <f>IF(_xlfn.XLOOKUP(E219,Groups!A:A,Groups!N:N)="No","No",
IF(_xlfn.XLOOKUP(E219,Groups!A:A,Groups!N:N)="Crocodile",EXP(0.8129*LN(C219)+4.6742)*S219,
IF(_xlfn.XLOOKUP(E219,Groups!A:A,Groups!N:N)="Felid",EXP(0.7843*LN(C219)+4.7073)*S219,
IF(_xlfn.XLOOKUP(E219,Groups!A:A,Groups!N:N)="Canid",EXP(0.8367*LN(C219)+4.8763)*S219,
IF(_xlfn.XLOOKUP(E219,Groups!A:A,Groups!N:N)="Pig",EXP(0.3439*LN(C219)+6.8519)*S219,
IF(_xlfn.XLOOKUP(E219,Groups!A:A,Groups!N:N)="Rodent",EXP(0.5625*LN(C219)+4.3006)*S219,
IF(_xlfn.XLOOKUP(E219,Groups!A:A,Groups!N:N)="Primate",EXP(0.7847*LN(C219)+3.4931)*S219,
IF(_xlfn.XLOOKUP(E219,Groups!A:A,Groups!N:N)="MiscCarnivora",EXP(0.7486*LN(C219)+4.2207)*S219,
IF(_xlfn.XLOOKUP(E219,Groups!A:A,Groups!N:N)="Lizard",EXP(0.7733*LN(C219)+5.5303)*S219,
IF(_xlfn.XLOOKUP(E219,Groups!A:A,Groups!N:N)="Snake",50*C219^(2/3)*S219,
IF(_xlfn.XLOOKUP(E219,Groups!A:A,Groups!N:N)="StrongBitingHerbivore",87.1133638856975*C219^(2/3)*S219,
IF(_xlfn.XLOOKUP(E219,Groups!A:A,Groups!N:N)="MiscEctotherms",59.4316884072269*C219^(2/3)*S219,
IF(_xlfn.XLOOKUP(E219,Groups!A:A,Groups!N:N)="StrongBeakBird",0.041*(C219*1000)^1.375*S219,
IF(_xlfn.XLOOKUP(E219,Groups!A:A,Groups!N:N)="Bird",0.118*(C219*1000)^0.692*S219,
IF(_xlfn.XLOOKUP(E219,Groups!A:A,Groups!N:N)="Insect",EXP(0.7444*LN(C219)+6.5696)*S219,
IF(_xlfn.XLOOKUP(E219,Groups!A:A,Groups!N:N)="Theropod",EXP(0.6966*LN(C219)+4.158)*S219,
"No"))))))))))))))))</f>
        <v>342384.80765263102</v>
      </c>
      <c r="AU219" s="8">
        <f>IF(_xlfn.XLOOKUP(E219,Groups!A:A,Groups!U:U)=3,AS219,IF(_xlfn.XLOOKUP(E219,Groups!A:A,Groups!U:U)=2,AR219,AT219))</f>
        <v>342384.80765263102</v>
      </c>
      <c r="AV219" s="46">
        <f>IFERROR(AVERAGE(_xlfn.XLOOKUP(B219,Animals!B:B,Animals!N:N),_xlfn.XLOOKUP(B219,Animals!B:B,Animals!O:O)),0)</f>
        <v>0.95</v>
      </c>
      <c r="AW219" s="8">
        <f>MROUND(40*Animals!AO219*_xlfn.XLOOKUP(AG219,Leathers!$A$2:$A$99,Leathers!$B$2:$B$99,0)+(140*_xlfn.XLOOKUP(B219,Animals!B:B,Animals!AO:AO)*2),5)</f>
        <v>1330</v>
      </c>
      <c r="AX219" s="8">
        <f>IFERROR(ROUND(SQRT(V219-1)*IF(_xlfn.XLOOKUP(E219,Groups!A:A,Groups!BF:BF)=0,2,1)*IF(_xlfn.XLOOKUP('Base stats'!E219,Groups!A:A,Groups!O:O)=0,1,0.1),1),0)</f>
        <v>6.6</v>
      </c>
      <c r="AY219" s="8">
        <f t="shared" si="91"/>
        <v>5.6</v>
      </c>
      <c r="AZ219" s="8">
        <f t="shared" si="92"/>
        <v>3.9</v>
      </c>
      <c r="BA219" s="8">
        <f t="shared" si="93"/>
        <v>15.6</v>
      </c>
      <c r="BB219" s="8">
        <f>IF(_xlfn.XLOOKUP(E219,Groups!A:A,Groups!N:N)="Insect",BD219*2.5,IFERROR(AVERAGE(BD219,AT219/9.81/IF(OR(_xlfn.XLOOKUP(E219,Groups!A:A,Groups!N:N)="Pig",_xlfn.XLOOKUP(E219,Groups!A:A,Groups!N:N)="StrongBitingHerbivore"),20,25))*C219^-0.135,BD219))</f>
        <v>96.502358707714833</v>
      </c>
      <c r="BC219" s="8">
        <f>IF(W219="No","No",IF(_xlfn.XLOOKUP(E219,Groups!A:A,Groups!U:U)=1,'Base stats'!BB219,IF(OR(_xlfn.XLOOKUP(E219,Groups!A:A,Groups!BD:BD)=1,_xlfn.XLOOKUP(E219,Groups!A:A,Groups!U:U)=2),BD219,IF(_xlfn.XLOOKUP(B219,Animals!B:B,Animals!AO:AO)&gt;4,AVERAGE(BD219,BF219),BF219))))</f>
        <v>71.761503352641952</v>
      </c>
      <c r="BD219" s="8">
        <f t="shared" si="94"/>
        <v>38.600943483085935</v>
      </c>
      <c r="BE219" s="8">
        <f>IF(_xlfn.XLOOKUP(E219,Groups!A:A,Groups!BE:BE)=1,(0.048*C219^1.01)+(0.071*C219^1.03),0.071*C219^1.03)/IF(_xlfn.XLOOKUP(E219,Groups!A:A,Groups!M:M)=1,0.85,IF(OR(_xlfn.XLOOKUP(B219,Animals!B:B,Animals!AO:AO)&gt;4,_xlfn.XLOOKUP(E219,Groups!A:A,Groups!BC:BC)=1),1.7,1))*C219^-0.25</f>
        <v>53.88231124803125</v>
      </c>
      <c r="BF219" s="8">
        <f>(0.048*C219^1.01)/IF(_xlfn.XLOOKUP(E219,Groups!A:A,Groups!M:M)=1,0.25,0.8)*C219^-0.25</f>
        <v>104.92206322219798</v>
      </c>
      <c r="BG219" s="8">
        <f>EXP(1.076*LN(AR219)-4.5397)*IF(_xlfn.XLOOKUP(E219,Groups!A:A,Groups!BC:BC)=1,1.25,IF(_xlfn.XLOOKUP(E219,Groups!A:A,Groups!BD:BD)=1,3.5,2.5))</f>
        <v>1847.480403748275</v>
      </c>
      <c r="BH219" s="8">
        <f>EXP(1.076*LN(AS219)-4.5397)*IF(_xlfn.XLOOKUP(E219,Groups!A:A,Groups!M:M)=1,0.8,IF(_xlfn.XLOOKUP(E219,Groups!A:A,Groups!BC:BC)=1,1.3,3))</f>
        <v>7703.0180279972064</v>
      </c>
      <c r="BI219" s="8">
        <f>IF(W219="No","No",IF(_xlfn.XLOOKUP(E219,Groups!A:A,Groups!U:U)=1,'Base stats'!BJ219,IF(OR(_xlfn.XLOOKUP(E219,Groups!A:A,Groups!BD:BD)=1,_xlfn.XLOOKUP(E219,Groups!A:A,Groups!U:U)=2),BG219,BH219))*1.2)</f>
        <v>9243.6216335966474</v>
      </c>
      <c r="BJ219" s="8">
        <f>IFERROR(EXP(1.076*LN(AT219)-4.5397)*IF(_xlfn.XLOOKUP(E219,Groups!A:A,Groups!N:N)="Insect",1,IF(OR(_xlfn.XLOOKUP(E219,Groups!A:A,Groups!N:N)="Pig",_xlfn.XLOOKUP(E219,Groups!A:A,Groups!N:N)="StrongBitingHerbivore"),3.5,3.75)),"No")</f>
        <v>9628.7725349965076</v>
      </c>
      <c r="BK219" s="8">
        <f t="shared" si="95"/>
        <v>9</v>
      </c>
      <c r="BL219" s="8">
        <f t="shared" si="96"/>
        <v>16</v>
      </c>
      <c r="BM219" s="8">
        <f t="shared" si="97"/>
        <v>16</v>
      </c>
      <c r="BN219" s="8">
        <f t="shared" si="98"/>
        <v>14</v>
      </c>
      <c r="BO219" s="8">
        <f t="shared" si="99"/>
        <v>12</v>
      </c>
      <c r="BP219" s="8" cm="1">
        <f t="array" ref="BP219">IF(AND(_xlfn.XLOOKUP('Base stats'!E219,Groups!A:A,Groups!AD:AD=0),_xlfn.XLOOKUP('Base stats'!E219,Groups!A:A,Groups!P:P=0)),"No",IF(U219="No",AVERAGE(EXP(-0.57+0.99*LN(C219)),EXP(0.32+0.67*LN(C219)))/IF(_xlfn.XLOOKUP(E219,Groups!A:A,Groups!AD:AD)=1,10,2),(0.7354*C219^0.4078)*2/IF(_xlfn.XLOOKUP(E219,Groups!A:A,Groups!BK:BK)=1,1000,100)/IF(_xlfn.XLOOKUP(E219,Groups!A:A,Groups!AJ:AJ)="Photonozoa",3,1)))</f>
        <v>4.3298583189597249E-2</v>
      </c>
      <c r="BQ219" s="8">
        <f>IF(W219="No","No",IF(_xlfn.XLOOKUP(E219,Groups!A:A,Groups!BD:BD)=1,(AO219*5%),EXP(0.7354*LN(C219)^0.4078)*2/IF(_xlfn.XLOOKUP(E219,Groups!A:A,Groups!BL:BL)=1,1000,100)/IF(_xlfn.XLOOKUP(E219,Groups!A:A,Groups!AJ:AJ)="Photonozoa",3,1)))</f>
        <v>1.1424303339940694E-2</v>
      </c>
      <c r="BR219" s="8">
        <f>IF(BJ219="No","No",IF(_xlfn.XLOOKUP(E219,Groups!A:A,Groups!BF:BF)=1,(0.0315*C219+2.1825)*2,(0.7354*C219^0.4078)*2)/IF(_xlfn.XLOOKUP(E219,Groups!A:A,Groups!BM:BM)=1,1000,100)/IF(_xlfn.XLOOKUP(E219,Groups!A:A,Groups!AJ:AJ)="Photonozoa",3,1))</f>
        <v>0.43298583189597251</v>
      </c>
      <c r="BS219" s="8">
        <f t="shared" si="100"/>
        <v>0.15168682568087025</v>
      </c>
      <c r="BT219" s="8">
        <f t="shared" si="101"/>
        <v>177904.6209033441</v>
      </c>
      <c r="BU219" s="8">
        <f t="shared" si="102"/>
        <v>809119.06472930126</v>
      </c>
      <c r="BV219" s="8">
        <f t="shared" si="103"/>
        <v>22238.077612918012</v>
      </c>
      <c r="BW219" s="4">
        <v>0</v>
      </c>
      <c r="BX219" s="4">
        <v>1</v>
      </c>
    </row>
    <row r="220" spans="1:76" s="16" customFormat="1" x14ac:dyDescent="0.25">
      <c r="A220" s="26" t="s">
        <v>1442</v>
      </c>
      <c r="B220" s="6" t="s">
        <v>1639</v>
      </c>
      <c r="C220" s="7">
        <v>15</v>
      </c>
      <c r="D220" s="7" t="s">
        <v>528</v>
      </c>
      <c r="E220" s="7" t="str">
        <f>Groups!$A$73</f>
        <v>Wasp</v>
      </c>
      <c r="F220" s="7" t="str">
        <f t="shared" ref="F220:F237" si="118">"Lay eggs"</f>
        <v>Lay eggs</v>
      </c>
      <c r="G220" s="7">
        <v>2</v>
      </c>
      <c r="H220" s="7">
        <v>15</v>
      </c>
      <c r="I220" s="4">
        <v>1</v>
      </c>
      <c r="J220" s="7" t="str">
        <f t="shared" ref="J220:J237" si="119">"Lay eggs"</f>
        <v>Lay eggs</v>
      </c>
      <c r="K220" s="7" t="s">
        <v>528</v>
      </c>
      <c r="L220" s="7">
        <v>24</v>
      </c>
      <c r="M220" s="7" t="s">
        <v>528</v>
      </c>
      <c r="N220" s="4">
        <v>0</v>
      </c>
      <c r="O220" s="4">
        <v>0</v>
      </c>
      <c r="P220" s="4">
        <v>0</v>
      </c>
      <c r="Q220" s="4">
        <v>0</v>
      </c>
      <c r="R220" s="4" t="s">
        <v>40</v>
      </c>
      <c r="S220" s="7">
        <f>_xlfn.XLOOKUP(B220,[1]TeethAdjusters!$A:$A,[1]BiteAdjusters!$C:$C,1)</f>
        <v>1</v>
      </c>
      <c r="T220" s="7">
        <f>_xlfn.XLOOKUP(B220,[1]TeethAdjusters!$A:$A,[1]TeethAdjusters!$B:$B,1)</f>
        <v>1</v>
      </c>
      <c r="U220" s="7">
        <v>7</v>
      </c>
      <c r="V220" s="7">
        <v>5</v>
      </c>
      <c r="W220" s="7">
        <v>7</v>
      </c>
      <c r="X220" s="7" t="s">
        <v>932</v>
      </c>
      <c r="Y220" s="4" t="s">
        <v>53</v>
      </c>
      <c r="Z220" s="4">
        <v>1</v>
      </c>
      <c r="AA220" s="4">
        <v>0</v>
      </c>
      <c r="AB220" s="4">
        <v>0</v>
      </c>
      <c r="AC220" s="4">
        <v>0</v>
      </c>
      <c r="AD220" s="4">
        <v>0</v>
      </c>
      <c r="AE220" s="4" t="s">
        <v>45</v>
      </c>
      <c r="AF220" s="4" t="s">
        <v>45</v>
      </c>
      <c r="AG220" s="49" t="s">
        <v>1712</v>
      </c>
      <c r="AH220" s="4" t="str">
        <f>Animals!$C$105</f>
        <v>&lt;li&gt;Megaspider&lt;/li&gt;</v>
      </c>
      <c r="AI220" s="4">
        <v>0</v>
      </c>
      <c r="AJ220" s="4">
        <v>0</v>
      </c>
      <c r="AK220" s="4">
        <v>0</v>
      </c>
      <c r="AL220" s="4">
        <v>0</v>
      </c>
      <c r="AM220" s="4">
        <v>1</v>
      </c>
      <c r="AN220" s="44" t="s">
        <v>40</v>
      </c>
      <c r="AO220" s="8">
        <f t="shared" si="89"/>
        <v>6453.306570514339</v>
      </c>
      <c r="AP220" s="8">
        <f>IFERROR(C220*_xlfn.XLOOKUP(E220,Groups!A:A,Groups!K:K),0.106*C220^0.94)</f>
        <v>4.8</v>
      </c>
      <c r="AQ220" s="8">
        <f>AP220*10000/(_xlfn.XLOOKUP(E220,Groups!A:A,Groups!J:J)*AO220)</f>
        <v>8.3573566016660514</v>
      </c>
      <c r="AR220" s="8">
        <f t="shared" si="90"/>
        <v>535.65484345622485</v>
      </c>
      <c r="AS220" s="8">
        <f>IF(_xlfn.XLOOKUP(E220,Groups!A:A,Groups!M:M)=1,EXP(0.7444*LN('Base stats'!C220)+6.5696),EXP(0.7927*LN('Base stats'!C220)+4.28))</f>
        <v>5353.3219353913164</v>
      </c>
      <c r="AT220" s="8">
        <f>IF(_xlfn.XLOOKUP(E220,Groups!A:A,Groups!N:N)="No","No",
IF(_xlfn.XLOOKUP(E220,Groups!A:A,Groups!N:N)="Crocodile",EXP(0.8129*LN(C220)+4.6742)*S220,
IF(_xlfn.XLOOKUP(E220,Groups!A:A,Groups!N:N)="Felid",EXP(0.7843*LN(C220)+4.7073)*S220,
IF(_xlfn.XLOOKUP(E220,Groups!A:A,Groups!N:N)="Canid",EXP(0.8367*LN(C220)+4.8763)*S220,
IF(_xlfn.XLOOKUP(E220,Groups!A:A,Groups!N:N)="Pig",EXP(0.3439*LN(C220)+6.8519)*S220,
IF(_xlfn.XLOOKUP(E220,Groups!A:A,Groups!N:N)="Rodent",EXP(0.5625*LN(C220)+4.3006)*S220,
IF(_xlfn.XLOOKUP(E220,Groups!A:A,Groups!N:N)="Primate",EXP(0.7847*LN(C220)+3.4931)*S220,
IF(_xlfn.XLOOKUP(E220,Groups!A:A,Groups!N:N)="MiscCarnivora",EXP(0.7486*LN(C220)+4.2207)*S220,
IF(_xlfn.XLOOKUP(E220,Groups!A:A,Groups!N:N)="Lizard",EXP(0.7733*LN(C220)+5.5303)*S220,
IF(_xlfn.XLOOKUP(E220,Groups!A:A,Groups!N:N)="Snake",50*C220^(2/3)*S220,
IF(_xlfn.XLOOKUP(E220,Groups!A:A,Groups!N:N)="StrongBitingHerbivore",87.1133638856975*C220^(2/3)*S220,
IF(_xlfn.XLOOKUP(E220,Groups!A:A,Groups!N:N)="MiscEctotherms",59.4316884072269*C220^(2/3)*S220,
IF(_xlfn.XLOOKUP(E220,Groups!A:A,Groups!N:N)="StrongBeakBird",0.041*(C220*1000)^1.375*S220,
IF(_xlfn.XLOOKUP(E220,Groups!A:A,Groups!N:N)="Bird",0.118*(C220*1000)^0.692*S220,
IF(_xlfn.XLOOKUP(E220,Groups!A:A,Groups!N:N)="Insect",EXP(0.7444*LN(C220)+6.5696)*S220,
IF(_xlfn.XLOOKUP(E220,Groups!A:A,Groups!N:N)="Theropod",EXP(0.6966*LN(C220)+4.158)*S220,
"No"))))))))))))))))</f>
        <v>5353.3219353913164</v>
      </c>
      <c r="AU220" s="8">
        <f>IF(_xlfn.XLOOKUP(E220,Groups!A:A,Groups!U:U)=3,AS220,IF(_xlfn.XLOOKUP(E220,Groups!A:A,Groups!U:U)=2,AR220,AT220))</f>
        <v>5353.3219353913164</v>
      </c>
      <c r="AV220" s="46">
        <f>IFERROR(AVERAGE(_xlfn.XLOOKUP(B220,Animals!B:B,Animals!N:N),_xlfn.XLOOKUP(B220,Animals!B:B,Animals!O:O)),0)</f>
        <v>0.67500000000000004</v>
      </c>
      <c r="AW220" s="8">
        <f>MROUND(40*Animals!AO220*_xlfn.XLOOKUP(AG220,Leathers!$A$2:$A$99,Leathers!$B$2:$B$99,0)+(140*_xlfn.XLOOKUP(B220,Animals!B:B,Animals!AO:AO)*2),5)</f>
        <v>140</v>
      </c>
      <c r="AX220" s="8">
        <f>IFERROR(ROUND(SQRT(V220-1)*IF(_xlfn.XLOOKUP(E220,Groups!A:A,Groups!BF:BF)=0,2,1)*IF(_xlfn.XLOOKUP('Base stats'!E220,Groups!A:A,Groups!O:O)=0,1,0.1),1),0)</f>
        <v>4</v>
      </c>
      <c r="AY220" s="8">
        <f t="shared" si="91"/>
        <v>2.4</v>
      </c>
      <c r="AZ220" s="8">
        <f t="shared" si="92"/>
        <v>2.6</v>
      </c>
      <c r="BA220" s="8">
        <f t="shared" si="93"/>
        <v>2</v>
      </c>
      <c r="BB220" s="8">
        <f>IF(_xlfn.XLOOKUP(E220,Groups!A:A,Groups!N:N)="Insect",BD220*2.5,IFERROR(AVERAGE(BD220,AT220/9.81/IF(OR(_xlfn.XLOOKUP(E220,Groups!A:A,Groups!N:N)="Pig",_xlfn.XLOOKUP(E220,Groups!A:A,Groups!N:N)="StrongBitingHerbivore"),20,25))*C220^-0.135,BD220))</f>
        <v>0.93016054081951027</v>
      </c>
      <c r="BC220" s="8">
        <f>IF(W220="No","No",IF(_xlfn.XLOOKUP(E220,Groups!A:A,Groups!U:U)=1,'Base stats'!BB220,IF(OR(_xlfn.XLOOKUP(E220,Groups!A:A,Groups!BD:BD)=1,_xlfn.XLOOKUP(E220,Groups!A:A,Groups!U:U)=2),BD220,IF(_xlfn.XLOOKUP(B220,Animals!B:B,Animals!AO:AO)&gt;4,AVERAGE(BD220,BF220),BF220))))</f>
        <v>1.503594005422539</v>
      </c>
      <c r="BD220" s="8">
        <f t="shared" si="94"/>
        <v>0.37206421632780412</v>
      </c>
      <c r="BE220" s="8">
        <f>IF(_xlfn.XLOOKUP(E220,Groups!A:A,Groups!BE:BE)=1,(0.048*C220^1.01)+(0.071*C220^1.03),0.071*C220^1.03)/IF(_xlfn.XLOOKUP(E220,Groups!A:A,Groups!M:M)=1,0.85,IF(OR(_xlfn.XLOOKUP(B220,Animals!B:B,Animals!AO:AO)&gt;4,_xlfn.XLOOKUP(E220,Groups!A:A,Groups!BC:BC)=1),1.7,1))*C220^-0.25</f>
        <v>0.69054280580117122</v>
      </c>
      <c r="BF220" s="8">
        <f>(0.048*C220^1.01)/IF(_xlfn.XLOOKUP(E220,Groups!A:A,Groups!M:M)=1,0.25,0.8)*C220^-0.25</f>
        <v>1.503594005422539</v>
      </c>
      <c r="BG220" s="8">
        <f>EXP(1.076*LN(AR220)-4.5397)*IF(_xlfn.XLOOKUP(E220,Groups!A:A,Groups!BC:BC)=1,1.25,IF(_xlfn.XLOOKUP(E220,Groups!A:A,Groups!BD:BD)=1,3.5,2.5))</f>
        <v>11.524541402552655</v>
      </c>
      <c r="BH220" s="8">
        <f>EXP(1.076*LN(AS220)-4.5397)*IF(_xlfn.XLOOKUP(E220,Groups!A:A,Groups!M:M)=1,0.8,IF(_xlfn.XLOOKUP(E220,Groups!A:A,Groups!BC:BC)=1,1.3,3))</f>
        <v>87.805569597772788</v>
      </c>
      <c r="BI220" s="8">
        <f>IF(W220="No","No",IF(_xlfn.XLOOKUP(E220,Groups!A:A,Groups!U:U)=1,'Base stats'!BJ220,IF(OR(_xlfn.XLOOKUP(E220,Groups!A:A,Groups!BD:BD)=1,_xlfn.XLOOKUP(E220,Groups!A:A,Groups!U:U)=2),BG220,BH220))*1.2)</f>
        <v>105.36668351732735</v>
      </c>
      <c r="BJ220" s="8">
        <f>IFERROR(EXP(1.076*LN(AT220)-4.5397)*IF(_xlfn.XLOOKUP(E220,Groups!A:A,Groups!N:N)="Insect",1,IF(OR(_xlfn.XLOOKUP(E220,Groups!A:A,Groups!N:N)="Pig",_xlfn.XLOOKUP(E220,Groups!A:A,Groups!N:N)="StrongBitingHerbivore"),3.5,3.75)),"No")</f>
        <v>109.75696199721598</v>
      </c>
      <c r="BK220" s="8">
        <f t="shared" si="95"/>
        <v>7</v>
      </c>
      <c r="BL220" s="8">
        <f t="shared" si="96"/>
        <v>15</v>
      </c>
      <c r="BM220" s="8">
        <f t="shared" si="97"/>
        <v>11</v>
      </c>
      <c r="BN220" s="8">
        <f t="shared" si="98"/>
        <v>15</v>
      </c>
      <c r="BO220" s="8">
        <f t="shared" si="99"/>
        <v>10</v>
      </c>
      <c r="BP220" s="8" cm="1">
        <f t="array" ref="BP220">IF(AND(_xlfn.XLOOKUP('Base stats'!E220,Groups!A:A,Groups!AD:AD=0),_xlfn.XLOOKUP('Base stats'!E220,Groups!A:A,Groups!P:P=0)),"No",IF(U220="No",AVERAGE(EXP(-0.57+0.99*LN(C220)),EXP(0.32+0.67*LN(C220)))/IF(_xlfn.XLOOKUP(E220,Groups!A:A,Groups!AD:AD)=1,10,2),(0.7354*C220^0.4078)*2/IF(_xlfn.XLOOKUP(E220,Groups!A:A,Groups!BK:BK)=1,1000,100)/IF(_xlfn.XLOOKUP(E220,Groups!A:A,Groups!AJ:AJ)="Photonozoa",3,1)))</f>
        <v>4.4377582152222601E-3</v>
      </c>
      <c r="BQ220" s="8">
        <f>IF(W220="No","No",IF(_xlfn.XLOOKUP(E220,Groups!A:A,Groups!BD:BD)=1,(AO220*5%),EXP(0.7354*LN(C220)^0.4078)*2/IF(_xlfn.XLOOKUP(E220,Groups!A:A,Groups!BL:BL)=1,1000,100)/IF(_xlfn.XLOOKUP(E220,Groups!A:A,Groups!AJ:AJ)="Photonozoa",3,1)))</f>
        <v>6.0322902005597199E-3</v>
      </c>
      <c r="BR220" s="8">
        <f>IF(BJ220="No","No",IF(_xlfn.XLOOKUP(E220,Groups!A:A,Groups!BF:BF)=1,(0.0315*C220+2.1825)*2,(0.7354*C220^0.4078)*2)/IF(_xlfn.XLOOKUP(E220,Groups!A:A,Groups!BM:BM)=1,1000,100)/IF(_xlfn.XLOOKUP(E220,Groups!A:A,Groups!AJ:AJ)="Photonozoa",3,1))</f>
        <v>4.4377582152222601E-2</v>
      </c>
      <c r="BS220" s="8">
        <f t="shared" si="100"/>
        <v>3.5716702055374784E-2</v>
      </c>
      <c r="BT220" s="8">
        <f t="shared" si="101"/>
        <v>19786.019278063606</v>
      </c>
      <c r="BU220" s="8">
        <f t="shared" si="102"/>
        <v>17467.111165764316</v>
      </c>
      <c r="BV220" s="8">
        <f t="shared" si="103"/>
        <v>2473.2524097579508</v>
      </c>
      <c r="BW220" s="4">
        <v>0</v>
      </c>
      <c r="BX220" s="4">
        <v>1</v>
      </c>
    </row>
    <row r="221" spans="1:76" s="16" customFormat="1" x14ac:dyDescent="0.25">
      <c r="A221" s="26" t="s">
        <v>1384</v>
      </c>
      <c r="B221" s="6" t="s">
        <v>1617</v>
      </c>
      <c r="C221" s="7">
        <v>15</v>
      </c>
      <c r="D221" s="7" t="s">
        <v>528</v>
      </c>
      <c r="E221" s="7" t="str">
        <f>Groups!$A$73</f>
        <v>Wasp</v>
      </c>
      <c r="F221" s="7" t="s">
        <v>1700</v>
      </c>
      <c r="G221" s="7">
        <v>1</v>
      </c>
      <c r="H221" s="7">
        <v>12</v>
      </c>
      <c r="I221" s="4">
        <v>1</v>
      </c>
      <c r="J221" s="7" t="s">
        <v>1700</v>
      </c>
      <c r="K221" s="7" t="s">
        <v>528</v>
      </c>
      <c r="L221" s="7">
        <v>24</v>
      </c>
      <c r="M221" s="7" t="s">
        <v>528</v>
      </c>
      <c r="N221" s="4">
        <v>0</v>
      </c>
      <c r="O221" s="4">
        <v>0</v>
      </c>
      <c r="P221" s="4">
        <v>0</v>
      </c>
      <c r="Q221" s="4">
        <v>0</v>
      </c>
      <c r="R221" s="4" t="s">
        <v>40</v>
      </c>
      <c r="S221" s="7">
        <f>_xlfn.XLOOKUP(B221,[1]TeethAdjusters!$A:$A,[1]BiteAdjusters!$C:$C,1)</f>
        <v>1</v>
      </c>
      <c r="T221" s="7">
        <f>_xlfn.XLOOKUP(B221,[1]TeethAdjusters!$A:$A,[1]TeethAdjusters!$B:$B,1)</f>
        <v>1</v>
      </c>
      <c r="U221" s="7">
        <v>4</v>
      </c>
      <c r="V221" s="7">
        <v>2</v>
      </c>
      <c r="W221" s="7">
        <v>4</v>
      </c>
      <c r="X221" s="7" t="s">
        <v>932</v>
      </c>
      <c r="Y221" s="4" t="s">
        <v>53</v>
      </c>
      <c r="Z221" s="4">
        <v>1</v>
      </c>
      <c r="AA221" s="4">
        <v>0</v>
      </c>
      <c r="AB221" s="4">
        <v>0</v>
      </c>
      <c r="AC221" s="4">
        <v>0</v>
      </c>
      <c r="AD221" s="4">
        <v>0</v>
      </c>
      <c r="AE221" s="4" t="s">
        <v>45</v>
      </c>
      <c r="AF221" s="4" t="s">
        <v>45</v>
      </c>
      <c r="AG221" s="49" t="s">
        <v>1712</v>
      </c>
      <c r="AH221" s="4" t="str">
        <f>Animals!$C$105</f>
        <v>&lt;li&gt;Megaspider&lt;/li&gt;</v>
      </c>
      <c r="AI221" s="4">
        <v>0</v>
      </c>
      <c r="AJ221" s="4">
        <v>0</v>
      </c>
      <c r="AK221" s="4">
        <v>0</v>
      </c>
      <c r="AL221" s="4">
        <v>0</v>
      </c>
      <c r="AM221" s="4">
        <v>1</v>
      </c>
      <c r="AN221" s="44" t="s">
        <v>40</v>
      </c>
      <c r="AO221" s="8">
        <f t="shared" si="89"/>
        <v>6453.306570514339</v>
      </c>
      <c r="AP221" s="8">
        <f>IFERROR(C221*_xlfn.XLOOKUP(E221,Groups!A:A,Groups!K:K),0.106*C221^0.94)</f>
        <v>4.8</v>
      </c>
      <c r="AQ221" s="8">
        <f>AP221*10000/(_xlfn.XLOOKUP(E221,Groups!A:A,Groups!J:J)*AO221)</f>
        <v>8.3573566016660514</v>
      </c>
      <c r="AR221" s="8">
        <f t="shared" si="90"/>
        <v>535.65484345622485</v>
      </c>
      <c r="AS221" s="8">
        <f>IF(_xlfn.XLOOKUP(E221,Groups!A:A,Groups!M:M)=1,EXP(0.7444*LN('Base stats'!C221)+6.5696),EXP(0.7927*LN('Base stats'!C221)+4.28))</f>
        <v>5353.3219353913164</v>
      </c>
      <c r="AT221" s="8">
        <f>IF(_xlfn.XLOOKUP(E221,Groups!A:A,Groups!N:N)="No","No",
IF(_xlfn.XLOOKUP(E221,Groups!A:A,Groups!N:N)="Crocodile",EXP(0.8129*LN(C221)+4.6742)*S221,
IF(_xlfn.XLOOKUP(E221,Groups!A:A,Groups!N:N)="Felid",EXP(0.7843*LN(C221)+4.7073)*S221,
IF(_xlfn.XLOOKUP(E221,Groups!A:A,Groups!N:N)="Canid",EXP(0.8367*LN(C221)+4.8763)*S221,
IF(_xlfn.XLOOKUP(E221,Groups!A:A,Groups!N:N)="Pig",EXP(0.3439*LN(C221)+6.8519)*S221,
IF(_xlfn.XLOOKUP(E221,Groups!A:A,Groups!N:N)="Rodent",EXP(0.5625*LN(C221)+4.3006)*S221,
IF(_xlfn.XLOOKUP(E221,Groups!A:A,Groups!N:N)="Primate",EXP(0.7847*LN(C221)+3.4931)*S221,
IF(_xlfn.XLOOKUP(E221,Groups!A:A,Groups!N:N)="MiscCarnivora",EXP(0.7486*LN(C221)+4.2207)*S221,
IF(_xlfn.XLOOKUP(E221,Groups!A:A,Groups!N:N)="Lizard",EXP(0.7733*LN(C221)+5.5303)*S221,
IF(_xlfn.XLOOKUP(E221,Groups!A:A,Groups!N:N)="Snake",50*C221^(2/3)*S221,
IF(_xlfn.XLOOKUP(E221,Groups!A:A,Groups!N:N)="StrongBitingHerbivore",87.1133638856975*C221^(2/3)*S221,
IF(_xlfn.XLOOKUP(E221,Groups!A:A,Groups!N:N)="MiscEctotherms",59.4316884072269*C221^(2/3)*S221,
IF(_xlfn.XLOOKUP(E221,Groups!A:A,Groups!N:N)="StrongBeakBird",0.041*(C221*1000)^1.375*S221,
IF(_xlfn.XLOOKUP(E221,Groups!A:A,Groups!N:N)="Bird",0.118*(C221*1000)^0.692*S221,
IF(_xlfn.XLOOKUP(E221,Groups!A:A,Groups!N:N)="Insect",EXP(0.7444*LN(C221)+6.5696)*S221,
IF(_xlfn.XLOOKUP(E221,Groups!A:A,Groups!N:N)="Theropod",EXP(0.6966*LN(C221)+4.158)*S221,
"No"))))))))))))))))</f>
        <v>5353.3219353913164</v>
      </c>
      <c r="AU221" s="8">
        <f>IF(_xlfn.XLOOKUP(E221,Groups!A:A,Groups!U:U)=3,AS221,IF(_xlfn.XLOOKUP(E221,Groups!A:A,Groups!U:U)=2,AR221,AT221))</f>
        <v>5353.3219353913164</v>
      </c>
      <c r="AV221" s="46">
        <f>IFERROR(AVERAGE(_xlfn.XLOOKUP(B221,Animals!B:B,Animals!N:N),_xlfn.XLOOKUP(B221,Animals!B:B,Animals!O:O)),0)</f>
        <v>0.67500000000000004</v>
      </c>
      <c r="AW221" s="8">
        <f>MROUND(40*Animals!AO221*_xlfn.XLOOKUP(AG221,Leathers!$A$2:$A$99,Leathers!$B$2:$B$99,0)+(140*_xlfn.XLOOKUP(B221,Animals!B:B,Animals!AO:AO)*2),5)</f>
        <v>140</v>
      </c>
      <c r="AX221" s="8">
        <f>IFERROR(ROUND(SQRT(V221-1)*IF(_xlfn.XLOOKUP(E221,Groups!A:A,Groups!BF:BF)=0,2,1)*IF(_xlfn.XLOOKUP('Base stats'!E221,Groups!A:A,Groups!O:O)=0,1,0.1),1),0)</f>
        <v>2</v>
      </c>
      <c r="AY221" s="8">
        <f t="shared" si="91"/>
        <v>1.7</v>
      </c>
      <c r="AZ221" s="8">
        <f t="shared" si="92"/>
        <v>2</v>
      </c>
      <c r="BA221" s="8">
        <f t="shared" si="93"/>
        <v>2</v>
      </c>
      <c r="BB221" s="8">
        <f>IF(_xlfn.XLOOKUP(E221,Groups!A:A,Groups!N:N)="Insect",BD221*2.5,IFERROR(AVERAGE(BD221,AT221/9.81/IF(OR(_xlfn.XLOOKUP(E221,Groups!A:A,Groups!N:N)="Pig",_xlfn.XLOOKUP(E221,Groups!A:A,Groups!N:N)="StrongBitingHerbivore"),20,25))*C221^-0.135,BD221))</f>
        <v>0.93016054081951027</v>
      </c>
      <c r="BC221" s="8">
        <f>IF(W221="No","No",IF(_xlfn.XLOOKUP(E221,Groups!A:A,Groups!U:U)=1,'Base stats'!BB221,IF(OR(_xlfn.XLOOKUP(E221,Groups!A:A,Groups!BD:BD)=1,_xlfn.XLOOKUP(E221,Groups!A:A,Groups!U:U)=2),BD221,IF(_xlfn.XLOOKUP(B221,Animals!B:B,Animals!AO:AO)&gt;4,AVERAGE(BD221,BF221),BF221))))</f>
        <v>1.503594005422539</v>
      </c>
      <c r="BD221" s="8">
        <f t="shared" si="94"/>
        <v>0.37206421632780412</v>
      </c>
      <c r="BE221" s="8">
        <f>IF(_xlfn.XLOOKUP(E221,Groups!A:A,Groups!BE:BE)=1,(0.048*C221^1.01)+(0.071*C221^1.03),0.071*C221^1.03)/IF(_xlfn.XLOOKUP(E221,Groups!A:A,Groups!M:M)=1,0.85,IF(OR(_xlfn.XLOOKUP(B221,Animals!B:B,Animals!AO:AO)&gt;4,_xlfn.XLOOKUP(E221,Groups!A:A,Groups!BC:BC)=1),1.7,1))*C221^-0.25</f>
        <v>0.69054280580117122</v>
      </c>
      <c r="BF221" s="8">
        <f>(0.048*C221^1.01)/IF(_xlfn.XLOOKUP(E221,Groups!A:A,Groups!M:M)=1,0.25,0.8)*C221^-0.25</f>
        <v>1.503594005422539</v>
      </c>
      <c r="BG221" s="8">
        <f>EXP(1.076*LN(AR221)-4.5397)*IF(_xlfn.XLOOKUP(E221,Groups!A:A,Groups!BC:BC)=1,1.25,IF(_xlfn.XLOOKUP(E221,Groups!A:A,Groups!BD:BD)=1,3.5,2.5))</f>
        <v>11.524541402552655</v>
      </c>
      <c r="BH221" s="8">
        <f>EXP(1.076*LN(AS221)-4.5397)*IF(_xlfn.XLOOKUP(E221,Groups!A:A,Groups!M:M)=1,0.8,IF(_xlfn.XLOOKUP(E221,Groups!A:A,Groups!BC:BC)=1,1.3,3))</f>
        <v>87.805569597772788</v>
      </c>
      <c r="BI221" s="8">
        <f>IF(W221="No","No",IF(_xlfn.XLOOKUP(E221,Groups!A:A,Groups!U:U)=1,'Base stats'!BJ221,IF(OR(_xlfn.XLOOKUP(E221,Groups!A:A,Groups!BD:BD)=1,_xlfn.XLOOKUP(E221,Groups!A:A,Groups!U:U)=2),BG221,BH221))*1.2)</f>
        <v>105.36668351732735</v>
      </c>
      <c r="BJ221" s="8">
        <f>IFERROR(EXP(1.076*LN(AT221)-4.5397)*IF(_xlfn.XLOOKUP(E221,Groups!A:A,Groups!N:N)="Insect",1,IF(OR(_xlfn.XLOOKUP(E221,Groups!A:A,Groups!N:N)="Pig",_xlfn.XLOOKUP(E221,Groups!A:A,Groups!N:N)="StrongBitingHerbivore"),3.5,3.75)),"No")</f>
        <v>109.75696199721598</v>
      </c>
      <c r="BK221" s="8">
        <f t="shared" si="95"/>
        <v>7</v>
      </c>
      <c r="BL221" s="8">
        <f t="shared" si="96"/>
        <v>15</v>
      </c>
      <c r="BM221" s="8">
        <f t="shared" si="97"/>
        <v>11</v>
      </c>
      <c r="BN221" s="8">
        <f t="shared" si="98"/>
        <v>15</v>
      </c>
      <c r="BO221" s="8">
        <f t="shared" si="99"/>
        <v>10</v>
      </c>
      <c r="BP221" s="8" cm="1">
        <f t="array" ref="BP221">IF(AND(_xlfn.XLOOKUP('Base stats'!E221,Groups!A:A,Groups!AD:AD=0),_xlfn.XLOOKUP('Base stats'!E221,Groups!A:A,Groups!P:P=0)),"No",IF(U221="No",AVERAGE(EXP(-0.57+0.99*LN(C221)),EXP(0.32+0.67*LN(C221)))/IF(_xlfn.XLOOKUP(E221,Groups!A:A,Groups!AD:AD)=1,10,2),(0.7354*C221^0.4078)*2/IF(_xlfn.XLOOKUP(E221,Groups!A:A,Groups!BK:BK)=1,1000,100)/IF(_xlfn.XLOOKUP(E221,Groups!A:A,Groups!AJ:AJ)="Photonozoa",3,1)))</f>
        <v>4.4377582152222601E-3</v>
      </c>
      <c r="BQ221" s="8">
        <f>IF(W221="No","No",IF(_xlfn.XLOOKUP(E221,Groups!A:A,Groups!BD:BD)=1,(AO221*5%),EXP(0.7354*LN(C221)^0.4078)*2/IF(_xlfn.XLOOKUP(E221,Groups!A:A,Groups!BL:BL)=1,1000,100)/IF(_xlfn.XLOOKUP(E221,Groups!A:A,Groups!AJ:AJ)="Photonozoa",3,1)))</f>
        <v>6.0322902005597199E-3</v>
      </c>
      <c r="BR221" s="8">
        <f>IF(BJ221="No","No",IF(_xlfn.XLOOKUP(E221,Groups!A:A,Groups!BF:BF)=1,(0.0315*C221+2.1825)*2,(0.7354*C221^0.4078)*2)/IF(_xlfn.XLOOKUP(E221,Groups!A:A,Groups!BM:BM)=1,1000,100)/IF(_xlfn.XLOOKUP(E221,Groups!A:A,Groups!AJ:AJ)="Photonozoa",3,1))</f>
        <v>4.4377582152222601E-2</v>
      </c>
      <c r="BS221" s="8">
        <f t="shared" si="100"/>
        <v>3.5716702055374784E-2</v>
      </c>
      <c r="BT221" s="8">
        <f t="shared" si="101"/>
        <v>19786.019278063606</v>
      </c>
      <c r="BU221" s="8">
        <f t="shared" si="102"/>
        <v>17467.111165764316</v>
      </c>
      <c r="BV221" s="8">
        <f t="shared" si="103"/>
        <v>2473.2524097579508</v>
      </c>
      <c r="BW221" s="4">
        <v>0</v>
      </c>
      <c r="BX221" s="4">
        <v>1</v>
      </c>
    </row>
    <row r="222" spans="1:76" s="16" customFormat="1" x14ac:dyDescent="0.25">
      <c r="A222" s="26" t="s">
        <v>1386</v>
      </c>
      <c r="B222" s="6" t="s">
        <v>1618</v>
      </c>
      <c r="C222" s="7">
        <v>20</v>
      </c>
      <c r="D222" s="7" t="s">
        <v>528</v>
      </c>
      <c r="E222" s="7" t="str">
        <f>Groups!$A$73</f>
        <v>Wasp</v>
      </c>
      <c r="F222" s="7" t="s">
        <v>1700</v>
      </c>
      <c r="G222" s="7">
        <v>1</v>
      </c>
      <c r="H222" s="7">
        <v>12</v>
      </c>
      <c r="I222" s="4">
        <v>1</v>
      </c>
      <c r="J222" s="7" t="s">
        <v>1700</v>
      </c>
      <c r="K222" s="7" t="s">
        <v>528</v>
      </c>
      <c r="L222" s="7">
        <v>24</v>
      </c>
      <c r="M222" s="7" t="s">
        <v>528</v>
      </c>
      <c r="N222" s="4">
        <v>0</v>
      </c>
      <c r="O222" s="4">
        <v>0</v>
      </c>
      <c r="P222" s="4">
        <v>0</v>
      </c>
      <c r="Q222" s="4">
        <v>0</v>
      </c>
      <c r="R222" s="4" t="s">
        <v>40</v>
      </c>
      <c r="S222" s="7">
        <f>_xlfn.XLOOKUP(B222,[1]TeethAdjusters!$A:$A,[1]BiteAdjusters!$C:$C,1)</f>
        <v>1</v>
      </c>
      <c r="T222" s="7">
        <f>_xlfn.XLOOKUP(B222,[1]TeethAdjusters!$A:$A,[1]TeethAdjusters!$B:$B,1)</f>
        <v>1</v>
      </c>
      <c r="U222" s="7">
        <v>6</v>
      </c>
      <c r="V222" s="7">
        <v>4</v>
      </c>
      <c r="W222" s="7">
        <v>6</v>
      </c>
      <c r="X222" s="7" t="s">
        <v>932</v>
      </c>
      <c r="Y222" s="4" t="s">
        <v>53</v>
      </c>
      <c r="Z222" s="4">
        <v>1</v>
      </c>
      <c r="AA222" s="4">
        <v>0</v>
      </c>
      <c r="AB222" s="4">
        <v>0</v>
      </c>
      <c r="AC222" s="4">
        <v>0</v>
      </c>
      <c r="AD222" s="4">
        <v>0</v>
      </c>
      <c r="AE222" s="4" t="s">
        <v>45</v>
      </c>
      <c r="AF222" s="4" t="s">
        <v>45</v>
      </c>
      <c r="AG222" s="49" t="s">
        <v>1712</v>
      </c>
      <c r="AH222" s="4" t="str">
        <f>Animals!$C$105</f>
        <v>&lt;li&gt;Megaspider&lt;/li&gt;</v>
      </c>
      <c r="AI222" s="4">
        <v>0</v>
      </c>
      <c r="AJ222" s="4">
        <v>0</v>
      </c>
      <c r="AK222" s="4">
        <v>0</v>
      </c>
      <c r="AL222" s="4">
        <v>0</v>
      </c>
      <c r="AM222" s="4">
        <v>1</v>
      </c>
      <c r="AN222" s="44" t="s">
        <v>40</v>
      </c>
      <c r="AO222" s="8">
        <f t="shared" si="89"/>
        <v>7780.2307188855666</v>
      </c>
      <c r="AP222" s="8">
        <f>IFERROR(C222*_xlfn.XLOOKUP(E222,Groups!A:A,Groups!K:K),0.106*C222^0.94)</f>
        <v>6.4</v>
      </c>
      <c r="AQ222" s="8">
        <f>AP222*10000/(_xlfn.XLOOKUP(E222,Groups!A:A,Groups!J:J)*AO222)</f>
        <v>9.242670938407711</v>
      </c>
      <c r="AR222" s="8">
        <f t="shared" si="90"/>
        <v>683.0001310678939</v>
      </c>
      <c r="AS222" s="8">
        <f>IF(_xlfn.XLOOKUP(E222,Groups!A:A,Groups!M:M)=1,EXP(0.7444*LN('Base stats'!C222)+6.5696),EXP(0.7927*LN('Base stats'!C222)+4.28))</f>
        <v>6631.7440602643219</v>
      </c>
      <c r="AT222" s="8">
        <f>IF(_xlfn.XLOOKUP(E222,Groups!A:A,Groups!N:N)="No","No",
IF(_xlfn.XLOOKUP(E222,Groups!A:A,Groups!N:N)="Crocodile",EXP(0.8129*LN(C222)+4.6742)*S222,
IF(_xlfn.XLOOKUP(E222,Groups!A:A,Groups!N:N)="Felid",EXP(0.7843*LN(C222)+4.7073)*S222,
IF(_xlfn.XLOOKUP(E222,Groups!A:A,Groups!N:N)="Canid",EXP(0.8367*LN(C222)+4.8763)*S222,
IF(_xlfn.XLOOKUP(E222,Groups!A:A,Groups!N:N)="Pig",EXP(0.3439*LN(C222)+6.8519)*S222,
IF(_xlfn.XLOOKUP(E222,Groups!A:A,Groups!N:N)="Rodent",EXP(0.5625*LN(C222)+4.3006)*S222,
IF(_xlfn.XLOOKUP(E222,Groups!A:A,Groups!N:N)="Primate",EXP(0.7847*LN(C222)+3.4931)*S222,
IF(_xlfn.XLOOKUP(E222,Groups!A:A,Groups!N:N)="MiscCarnivora",EXP(0.7486*LN(C222)+4.2207)*S222,
IF(_xlfn.XLOOKUP(E222,Groups!A:A,Groups!N:N)="Lizard",EXP(0.7733*LN(C222)+5.5303)*S222,
IF(_xlfn.XLOOKUP(E222,Groups!A:A,Groups!N:N)="Snake",50*C222^(2/3)*S222,
IF(_xlfn.XLOOKUP(E222,Groups!A:A,Groups!N:N)="StrongBitingHerbivore",87.1133638856975*C222^(2/3)*S222,
IF(_xlfn.XLOOKUP(E222,Groups!A:A,Groups!N:N)="MiscEctotherms",59.4316884072269*C222^(2/3)*S222,
IF(_xlfn.XLOOKUP(E222,Groups!A:A,Groups!N:N)="StrongBeakBird",0.041*(C222*1000)^1.375*S222,
IF(_xlfn.XLOOKUP(E222,Groups!A:A,Groups!N:N)="Bird",0.118*(C222*1000)^0.692*S222,
IF(_xlfn.XLOOKUP(E222,Groups!A:A,Groups!N:N)="Insect",EXP(0.7444*LN(C222)+6.5696)*S222,
IF(_xlfn.XLOOKUP(E222,Groups!A:A,Groups!N:N)="Theropod",EXP(0.6966*LN(C222)+4.158)*S222,
"No"))))))))))))))))</f>
        <v>6631.7440602643219</v>
      </c>
      <c r="AU222" s="8">
        <f>IF(_xlfn.XLOOKUP(E222,Groups!A:A,Groups!U:U)=3,AS222,IF(_xlfn.XLOOKUP(E222,Groups!A:A,Groups!U:U)=2,AR222,AT222))</f>
        <v>6631.7440602643219</v>
      </c>
      <c r="AV222" s="46">
        <f>IFERROR(AVERAGE(_xlfn.XLOOKUP(B222,Animals!B:B,Animals!N:N),_xlfn.XLOOKUP(B222,Animals!B:B,Animals!O:O)),0)</f>
        <v>0.70000000000000007</v>
      </c>
      <c r="AW222" s="8">
        <f>MROUND(40*Animals!AO222*_xlfn.XLOOKUP(AG222,Leathers!$A$2:$A$99,Leathers!$B$2:$B$99,0)+(140*_xlfn.XLOOKUP(B222,Animals!B:B,Animals!AO:AO)*2),5)</f>
        <v>155</v>
      </c>
      <c r="AX222" s="8">
        <f>IFERROR(ROUND(SQRT(V222-1)*IF(_xlfn.XLOOKUP(E222,Groups!A:A,Groups!BF:BF)=0,2,1)*IF(_xlfn.XLOOKUP('Base stats'!E222,Groups!A:A,Groups!O:O)=0,1,0.1),1),0)</f>
        <v>3.5</v>
      </c>
      <c r="AY222" s="8">
        <f t="shared" si="91"/>
        <v>2.2000000000000002</v>
      </c>
      <c r="AZ222" s="8">
        <f t="shared" si="92"/>
        <v>2.4</v>
      </c>
      <c r="BA222" s="8">
        <f t="shared" si="93"/>
        <v>2.2999999999999998</v>
      </c>
      <c r="BB222" s="8">
        <f>IF(_xlfn.XLOOKUP(E222,Groups!A:A,Groups!N:N)="Insect",BD222*2.5,IFERROR(AVERAGE(BD222,AT222/9.81/IF(OR(_xlfn.XLOOKUP(E222,Groups!A:A,Groups!N:N)="Pig",_xlfn.XLOOKUP(E222,Groups!A:A,Groups!N:N)="StrongBitingHerbivore"),20,25))*C222^-0.135,BD222))</f>
        <v>1.1813592933442334</v>
      </c>
      <c r="BC222" s="8">
        <f>IF(W222="No","No",IF(_xlfn.XLOOKUP(E222,Groups!A:A,Groups!U:U)=1,'Base stats'!BB222,IF(OR(_xlfn.XLOOKUP(E222,Groups!A:A,Groups!BD:BD)=1,_xlfn.XLOOKUP(E222,Groups!A:A,Groups!U:U)=2),BD222,IF(_xlfn.XLOOKUP(B222,Animals!B:B,Animals!AO:AO)&gt;4,AVERAGE(BD222,BF222),BF222))))</f>
        <v>1.8710441068278683</v>
      </c>
      <c r="BD222" s="8">
        <f t="shared" si="94"/>
        <v>0.4725437173376934</v>
      </c>
      <c r="BE222" s="8">
        <f>IF(_xlfn.XLOOKUP(E222,Groups!A:A,Groups!BE:BE)=1,(0.048*C222^1.01)+(0.071*C222^1.03),0.071*C222^1.03)/IF(_xlfn.XLOOKUP(E222,Groups!A:A,Groups!M:M)=1,0.85,IF(OR(_xlfn.XLOOKUP(B222,Animals!B:B,Animals!AO:AO)&gt;4,_xlfn.XLOOKUP(E222,Groups!A:A,Groups!BC:BC)=1),1.7,1))*C222^-0.25</f>
        <v>0.8642568285608353</v>
      </c>
      <c r="BF222" s="8">
        <f>(0.048*C222^1.01)/IF(_xlfn.XLOOKUP(E222,Groups!A:A,Groups!M:M)=1,0.25,0.8)*C222^-0.25</f>
        <v>1.8710441068278683</v>
      </c>
      <c r="BG222" s="8">
        <f>EXP(1.076*LN(AR222)-4.5397)*IF(_xlfn.XLOOKUP(E222,Groups!A:A,Groups!BC:BC)=1,1.25,IF(_xlfn.XLOOKUP(E222,Groups!A:A,Groups!BD:BD)=1,3.5,2.5))</f>
        <v>14.968563372073916</v>
      </c>
      <c r="BH222" s="8">
        <f>EXP(1.076*LN(AS222)-4.5397)*IF(_xlfn.XLOOKUP(E222,Groups!A:A,Groups!M:M)=1,0.8,IF(_xlfn.XLOOKUP(E222,Groups!A:A,Groups!BC:BC)=1,1.3,3))</f>
        <v>110.55917622459702</v>
      </c>
      <c r="BI222" s="8">
        <f>IF(W222="No","No",IF(_xlfn.XLOOKUP(E222,Groups!A:A,Groups!U:U)=1,'Base stats'!BJ222,IF(OR(_xlfn.XLOOKUP(E222,Groups!A:A,Groups!BD:BD)=1,_xlfn.XLOOKUP(E222,Groups!A:A,Groups!U:U)=2),BG222,BH222))*1.2)</f>
        <v>132.67101146951643</v>
      </c>
      <c r="BJ222" s="8">
        <f>IFERROR(EXP(1.076*LN(AT222)-4.5397)*IF(_xlfn.XLOOKUP(E222,Groups!A:A,Groups!N:N)="Insect",1,IF(OR(_xlfn.XLOOKUP(E222,Groups!A:A,Groups!N:N)="Pig",_xlfn.XLOOKUP(E222,Groups!A:A,Groups!N:N)="StrongBitingHerbivore"),3.5,3.75)),"No")</f>
        <v>138.19897028074627</v>
      </c>
      <c r="BK222" s="8">
        <f t="shared" si="95"/>
        <v>7</v>
      </c>
      <c r="BL222" s="8">
        <f t="shared" si="96"/>
        <v>15</v>
      </c>
      <c r="BM222" s="8">
        <f t="shared" si="97"/>
        <v>11</v>
      </c>
      <c r="BN222" s="8">
        <f t="shared" si="98"/>
        <v>15</v>
      </c>
      <c r="BO222" s="8">
        <f t="shared" si="99"/>
        <v>10</v>
      </c>
      <c r="BP222" s="8" cm="1">
        <f t="array" ref="BP222">IF(AND(_xlfn.XLOOKUP('Base stats'!E222,Groups!A:A,Groups!AD:AD=0),_xlfn.XLOOKUP('Base stats'!E222,Groups!A:A,Groups!P:P=0)),"No",IF(U222="No",AVERAGE(EXP(-0.57+0.99*LN(C222)),EXP(0.32+0.67*LN(C222)))/IF(_xlfn.XLOOKUP(E222,Groups!A:A,Groups!AD:AD)=1,10,2),(0.7354*C222^0.4078)*2/IF(_xlfn.XLOOKUP(E222,Groups!A:A,Groups!BK:BK)=1,1000,100)/IF(_xlfn.XLOOKUP(E222,Groups!A:A,Groups!AJ:AJ)="Photonozoa",3,1)))</f>
        <v>4.9901506096388087E-3</v>
      </c>
      <c r="BQ222" s="8">
        <f>IF(W222="No","No",IF(_xlfn.XLOOKUP(E222,Groups!A:A,Groups!BD:BD)=1,(AO222*5%),EXP(0.7354*LN(C222)^0.4078)*2/IF(_xlfn.XLOOKUP(E222,Groups!A:A,Groups!BL:BL)=1,1000,100)/IF(_xlfn.XLOOKUP(E222,Groups!A:A,Groups!AJ:AJ)="Photonozoa",3,1)))</f>
        <v>6.3187902770166955E-3</v>
      </c>
      <c r="BR222" s="8">
        <f>IF(BJ222="No","No",IF(_xlfn.XLOOKUP(E222,Groups!A:A,Groups!BF:BF)=1,(0.0315*C222+2.1825)*2,(0.7354*C222^0.4078)*2)/IF(_xlfn.XLOOKUP(E222,Groups!A:A,Groups!BM:BM)=1,1000,100)/IF(_xlfn.XLOOKUP(E222,Groups!A:A,Groups!AJ:AJ)="Photonozoa",3,1))</f>
        <v>4.9901506096388083E-2</v>
      </c>
      <c r="BS222" s="8">
        <f t="shared" si="100"/>
        <v>3.8478456264129914E-2</v>
      </c>
      <c r="BT222" s="8">
        <f t="shared" si="101"/>
        <v>22155.478836860075</v>
      </c>
      <c r="BU222" s="8">
        <f t="shared" si="102"/>
        <v>20996.267584964804</v>
      </c>
      <c r="BV222" s="8">
        <f t="shared" si="103"/>
        <v>2769.4348546075094</v>
      </c>
      <c r="BW222" s="4">
        <v>0</v>
      </c>
      <c r="BX222" s="4">
        <v>1</v>
      </c>
    </row>
    <row r="223" spans="1:76" s="16" customFormat="1" x14ac:dyDescent="0.25">
      <c r="A223" s="26" t="s">
        <v>1388</v>
      </c>
      <c r="B223" s="6" t="s">
        <v>1619</v>
      </c>
      <c r="C223" s="7">
        <v>35</v>
      </c>
      <c r="D223" s="7" t="s">
        <v>528</v>
      </c>
      <c r="E223" s="7" t="str">
        <f>Groups!$A$73</f>
        <v>Wasp</v>
      </c>
      <c r="F223" s="7" t="str">
        <f t="shared" ref="F223" si="120">"Lay eggs"</f>
        <v>Lay eggs</v>
      </c>
      <c r="G223" s="7">
        <v>1</v>
      </c>
      <c r="H223" s="7">
        <v>12</v>
      </c>
      <c r="I223" s="4">
        <v>1</v>
      </c>
      <c r="J223" s="7" t="str">
        <f t="shared" ref="J223" si="121">"Lay eggs"</f>
        <v>Lay eggs</v>
      </c>
      <c r="K223" s="7" t="s">
        <v>528</v>
      </c>
      <c r="L223" s="7">
        <v>24</v>
      </c>
      <c r="M223" s="7" t="s">
        <v>528</v>
      </c>
      <c r="N223" s="4">
        <v>0</v>
      </c>
      <c r="O223" s="4">
        <v>0</v>
      </c>
      <c r="P223" s="4">
        <v>0</v>
      </c>
      <c r="Q223" s="4">
        <v>0</v>
      </c>
      <c r="R223" s="4" t="s">
        <v>40</v>
      </c>
      <c r="S223" s="7">
        <f>_xlfn.XLOOKUP(B223,[1]TeethAdjusters!$A:$A,[1]BiteAdjusters!$C:$C,1)</f>
        <v>1</v>
      </c>
      <c r="T223" s="7">
        <f>_xlfn.XLOOKUP(B223,[1]TeethAdjusters!$A:$A,[1]TeethAdjusters!$B:$B,1)</f>
        <v>1</v>
      </c>
      <c r="U223" s="7">
        <v>7</v>
      </c>
      <c r="V223" s="7">
        <v>5</v>
      </c>
      <c r="W223" s="7">
        <v>7</v>
      </c>
      <c r="X223" s="7" t="s">
        <v>932</v>
      </c>
      <c r="Y223" s="4" t="s">
        <v>53</v>
      </c>
      <c r="Z223" s="4">
        <v>1</v>
      </c>
      <c r="AA223" s="4">
        <v>0</v>
      </c>
      <c r="AB223" s="4">
        <v>0</v>
      </c>
      <c r="AC223" s="4">
        <v>0</v>
      </c>
      <c r="AD223" s="4">
        <v>0</v>
      </c>
      <c r="AE223" s="4" t="s">
        <v>45</v>
      </c>
      <c r="AF223" s="4" t="s">
        <v>45</v>
      </c>
      <c r="AG223" s="49" t="s">
        <v>1712</v>
      </c>
      <c r="AH223" s="4" t="str">
        <f>Animals!$C$105</f>
        <v>&lt;li&gt;Megaspider&lt;/li&gt;</v>
      </c>
      <c r="AI223" s="4">
        <v>0</v>
      </c>
      <c r="AJ223" s="4">
        <v>0</v>
      </c>
      <c r="AK223" s="4">
        <v>0</v>
      </c>
      <c r="AL223" s="4">
        <v>0</v>
      </c>
      <c r="AM223" s="4">
        <v>1</v>
      </c>
      <c r="AN223" s="44" t="s">
        <v>40</v>
      </c>
      <c r="AO223" s="8">
        <f t="shared" si="89"/>
        <v>11193.533609727016</v>
      </c>
      <c r="AP223" s="8">
        <f>IFERROR(C223*_xlfn.XLOOKUP(E223,Groups!A:A,Groups!K:K),0.106*C223^0.94)</f>
        <v>11.200000000000001</v>
      </c>
      <c r="AQ223" s="8">
        <f>AP223*10000/(_xlfn.XLOOKUP(E223,Groups!A:A,Groups!J:J)*AO223)</f>
        <v>11.242445952889984</v>
      </c>
      <c r="AR223" s="8">
        <f t="shared" si="90"/>
        <v>1095.7589503868378</v>
      </c>
      <c r="AS223" s="8">
        <f>IF(_xlfn.XLOOKUP(E223,Groups!A:A,Groups!M:M)=1,EXP(0.7444*LN('Base stats'!C223)+6.5696),EXP(0.7927*LN('Base stats'!C223)+4.28))</f>
        <v>10058.779326452872</v>
      </c>
      <c r="AT223" s="8">
        <f>IF(_xlfn.XLOOKUP(E223,Groups!A:A,Groups!N:N)="No","No",
IF(_xlfn.XLOOKUP(E223,Groups!A:A,Groups!N:N)="Crocodile",EXP(0.8129*LN(C223)+4.6742)*S223,
IF(_xlfn.XLOOKUP(E223,Groups!A:A,Groups!N:N)="Felid",EXP(0.7843*LN(C223)+4.7073)*S223,
IF(_xlfn.XLOOKUP(E223,Groups!A:A,Groups!N:N)="Canid",EXP(0.8367*LN(C223)+4.8763)*S223,
IF(_xlfn.XLOOKUP(E223,Groups!A:A,Groups!N:N)="Pig",EXP(0.3439*LN(C223)+6.8519)*S223,
IF(_xlfn.XLOOKUP(E223,Groups!A:A,Groups!N:N)="Rodent",EXP(0.5625*LN(C223)+4.3006)*S223,
IF(_xlfn.XLOOKUP(E223,Groups!A:A,Groups!N:N)="Primate",EXP(0.7847*LN(C223)+3.4931)*S223,
IF(_xlfn.XLOOKUP(E223,Groups!A:A,Groups!N:N)="MiscCarnivora",EXP(0.7486*LN(C223)+4.2207)*S223,
IF(_xlfn.XLOOKUP(E223,Groups!A:A,Groups!N:N)="Lizard",EXP(0.7733*LN(C223)+5.5303)*S223,
IF(_xlfn.XLOOKUP(E223,Groups!A:A,Groups!N:N)="Snake",50*C223^(2/3)*S223,
IF(_xlfn.XLOOKUP(E223,Groups!A:A,Groups!N:N)="StrongBitingHerbivore",87.1133638856975*C223^(2/3)*S223,
IF(_xlfn.XLOOKUP(E223,Groups!A:A,Groups!N:N)="MiscEctotherms",59.4316884072269*C223^(2/3)*S223,
IF(_xlfn.XLOOKUP(E223,Groups!A:A,Groups!N:N)="StrongBeakBird",0.041*(C223*1000)^1.375*S223,
IF(_xlfn.XLOOKUP(E223,Groups!A:A,Groups!N:N)="Bird",0.118*(C223*1000)^0.692*S223,
IF(_xlfn.XLOOKUP(E223,Groups!A:A,Groups!N:N)="Insect",EXP(0.7444*LN(C223)+6.5696)*S223,
IF(_xlfn.XLOOKUP(E223,Groups!A:A,Groups!N:N)="Theropod",EXP(0.6966*LN(C223)+4.158)*S223,
"No"))))))))))))))))</f>
        <v>10058.779326452872</v>
      </c>
      <c r="AU223" s="8">
        <f>IF(_xlfn.XLOOKUP(E223,Groups!A:A,Groups!U:U)=3,AS223,IF(_xlfn.XLOOKUP(E223,Groups!A:A,Groups!U:U)=2,AR223,AT223))</f>
        <v>10058.779326452872</v>
      </c>
      <c r="AV223" s="46">
        <f>IFERROR(AVERAGE(_xlfn.XLOOKUP(B223,Animals!B:B,Animals!N:N),_xlfn.XLOOKUP(B223,Animals!B:B,Animals!O:O)),0)</f>
        <v>0.75</v>
      </c>
      <c r="AW223" s="8">
        <f>MROUND(40*Animals!AO223*_xlfn.XLOOKUP(AG223,Leathers!$A$2:$A$99,Leathers!$B$2:$B$99,0)+(140*_xlfn.XLOOKUP(B223,Animals!B:B,Animals!AO:AO)*2),5)</f>
        <v>210</v>
      </c>
      <c r="AX223" s="8">
        <f>IFERROR(ROUND(SQRT(V223-1)*IF(_xlfn.XLOOKUP(E223,Groups!A:A,Groups!BF:BF)=0,2,1)*IF(_xlfn.XLOOKUP('Base stats'!E223,Groups!A:A,Groups!O:O)=0,1,0.1),1),0)</f>
        <v>4</v>
      </c>
      <c r="AY223" s="8">
        <f t="shared" si="91"/>
        <v>2.4</v>
      </c>
      <c r="AZ223" s="8">
        <f t="shared" si="92"/>
        <v>2.6</v>
      </c>
      <c r="BA223" s="8">
        <f t="shared" si="93"/>
        <v>2.9</v>
      </c>
      <c r="BB223" s="8">
        <f>IF(_xlfn.XLOOKUP(E223,Groups!A:A,Groups!N:N)="Insect",BD223*2.5,IFERROR(AVERAGE(BD223,AT223/9.81/IF(OR(_xlfn.XLOOKUP(E223,Groups!A:A,Groups!N:N)="Pig",_xlfn.XLOOKUP(E223,Groups!A:A,Groups!N:N)="StrongBitingHerbivore"),20,25))*C223^-0.135,BD223))</f>
        <v>1.8808173420761245</v>
      </c>
      <c r="BC223" s="8">
        <f>IF(W223="No","No",IF(_xlfn.XLOOKUP(E223,Groups!A:A,Groups!U:U)=1,'Base stats'!BB223,IF(OR(_xlfn.XLOOKUP(E223,Groups!A:A,Groups!BD:BD)=1,_xlfn.XLOOKUP(E223,Groups!A:A,Groups!U:U)=2),BD223,IF(_xlfn.XLOOKUP(B223,Animals!B:B,Animals!AO:AO)&gt;4,AVERAGE(BD223,BF223),BF223))))</f>
        <v>2.8628127477770291</v>
      </c>
      <c r="BD223" s="8">
        <f t="shared" si="94"/>
        <v>0.75232693683044982</v>
      </c>
      <c r="BE223" s="8">
        <f>IF(_xlfn.XLOOKUP(E223,Groups!A:A,Groups!BE:BE)=1,(0.048*C223^1.01)+(0.071*C223^1.03),0.071*C223^1.03)/IF(_xlfn.XLOOKUP(E223,Groups!A:A,Groups!M:M)=1,0.85,IF(OR(_xlfn.XLOOKUP(B223,Animals!B:B,Animals!AO:AO)&gt;4,_xlfn.XLOOKUP(E223,Groups!A:A,Groups!BC:BC)=1),1.7,1))*C223^-0.25</f>
        <v>1.3372496644699405</v>
      </c>
      <c r="BF223" s="8">
        <f>(0.048*C223^1.01)/IF(_xlfn.XLOOKUP(E223,Groups!A:A,Groups!M:M)=1,0.25,0.8)*C223^-0.25</f>
        <v>2.8628127477770291</v>
      </c>
      <c r="BG223" s="8">
        <f>EXP(1.076*LN(AR223)-4.5397)*IF(_xlfn.XLOOKUP(E223,Groups!A:A,Groups!BC:BC)=1,1.25,IF(_xlfn.XLOOKUP(E223,Groups!A:A,Groups!BD:BD)=1,3.5,2.5))</f>
        <v>24.892970376789926</v>
      </c>
      <c r="BH223" s="8">
        <f>EXP(1.076*LN(AS223)-4.5397)*IF(_xlfn.XLOOKUP(E223,Groups!A:A,Groups!M:M)=1,0.8,IF(_xlfn.XLOOKUP(E223,Groups!A:A,Groups!BC:BC)=1,1.3,3))</f>
        <v>173.08604296379735</v>
      </c>
      <c r="BI223" s="8">
        <f>IF(W223="No","No",IF(_xlfn.XLOOKUP(E223,Groups!A:A,Groups!U:U)=1,'Base stats'!BJ223,IF(OR(_xlfn.XLOOKUP(E223,Groups!A:A,Groups!BD:BD)=1,_xlfn.XLOOKUP(E223,Groups!A:A,Groups!U:U)=2),BG223,BH223))*1.2)</f>
        <v>207.70325155655681</v>
      </c>
      <c r="BJ223" s="8">
        <f>IFERROR(EXP(1.076*LN(AT223)-4.5397)*IF(_xlfn.XLOOKUP(E223,Groups!A:A,Groups!N:N)="Insect",1,IF(OR(_xlfn.XLOOKUP(E223,Groups!A:A,Groups!N:N)="Pig",_xlfn.XLOOKUP(E223,Groups!A:A,Groups!N:N)="StrongBitingHerbivore"),3.5,3.75)),"No")</f>
        <v>216.35755370474666</v>
      </c>
      <c r="BK223" s="8">
        <f t="shared" si="95"/>
        <v>8</v>
      </c>
      <c r="BL223" s="8">
        <f t="shared" si="96"/>
        <v>16</v>
      </c>
      <c r="BM223" s="8">
        <f t="shared" si="97"/>
        <v>12</v>
      </c>
      <c r="BN223" s="8">
        <f t="shared" si="98"/>
        <v>15</v>
      </c>
      <c r="BO223" s="8">
        <f t="shared" si="99"/>
        <v>10</v>
      </c>
      <c r="BP223" s="8" cm="1">
        <f t="array" ref="BP223">IF(AND(_xlfn.XLOOKUP('Base stats'!E223,Groups!A:A,Groups!AD:AD=0),_xlfn.XLOOKUP('Base stats'!E223,Groups!A:A,Groups!P:P=0)),"No",IF(U223="No",AVERAGE(EXP(-0.57+0.99*LN(C223)),EXP(0.32+0.67*LN(C223)))/IF(_xlfn.XLOOKUP(E223,Groups!A:A,Groups!AD:AD)=1,10,2),(0.7354*C223^0.4078)*2/IF(_xlfn.XLOOKUP(E223,Groups!A:A,Groups!BK:BK)=1,1000,100)/IF(_xlfn.XLOOKUP(E223,Groups!A:A,Groups!AJ:AJ)="Photonozoa",3,1)))</f>
        <v>6.2693796472684154E-3</v>
      </c>
      <c r="BQ223" s="8">
        <f>IF(W223="No","No",IF(_xlfn.XLOOKUP(E223,Groups!A:A,Groups!BD:BD)=1,(AO223*5%),EXP(0.7354*LN(C223)^0.4078)*2/IF(_xlfn.XLOOKUP(E223,Groups!A:A,Groups!BL:BL)=1,1000,100)/IF(_xlfn.XLOOKUP(E223,Groups!A:A,Groups!AJ:AJ)="Photonozoa",3,1)))</f>
        <v>6.8671167118340192E-3</v>
      </c>
      <c r="BR223" s="8">
        <f>IF(BJ223="No","No",IF(_xlfn.XLOOKUP(E223,Groups!A:A,Groups!BF:BF)=1,(0.0315*C223+2.1825)*2,(0.7354*C223^0.4078)*2)/IF(_xlfn.XLOOKUP(E223,Groups!A:A,Groups!BM:BM)=1,1000,100)/IF(_xlfn.XLOOKUP(E223,Groups!A:A,Groups!AJ:AJ)="Photonozoa",3,1))</f>
        <v>6.2693796472684152E-2</v>
      </c>
      <c r="BS223" s="8">
        <f t="shared" si="100"/>
        <v>4.447741212865667E-2</v>
      </c>
      <c r="BT223" s="8">
        <f t="shared" si="101"/>
        <v>27608.161046557674</v>
      </c>
      <c r="BU223" s="8">
        <f t="shared" si="102"/>
        <v>30246.063999265414</v>
      </c>
      <c r="BV223" s="8">
        <f t="shared" si="103"/>
        <v>3451.0201308197088</v>
      </c>
      <c r="BW223" s="4">
        <v>0</v>
      </c>
      <c r="BX223" s="4">
        <v>1</v>
      </c>
    </row>
    <row r="224" spans="1:76" s="16" customFormat="1" x14ac:dyDescent="0.25">
      <c r="A224" s="26" t="s">
        <v>1362</v>
      </c>
      <c r="B224" s="6" t="s">
        <v>1614</v>
      </c>
      <c r="C224" s="7">
        <v>75</v>
      </c>
      <c r="D224" s="7" t="s">
        <v>528</v>
      </c>
      <c r="E224" s="7" t="str">
        <f>Groups!$A$77</f>
        <v>Scorpion</v>
      </c>
      <c r="F224" s="7">
        <v>65</v>
      </c>
      <c r="G224" s="7">
        <v>3</v>
      </c>
      <c r="H224" s="7">
        <v>10</v>
      </c>
      <c r="I224" s="4">
        <v>0</v>
      </c>
      <c r="J224" s="7">
        <v>5</v>
      </c>
      <c r="K224" s="7" t="s">
        <v>528</v>
      </c>
      <c r="L224" s="7">
        <v>23</v>
      </c>
      <c r="M224" s="7" t="s">
        <v>528</v>
      </c>
      <c r="N224" s="4">
        <v>0</v>
      </c>
      <c r="O224" s="4">
        <v>0</v>
      </c>
      <c r="P224" s="4">
        <v>0</v>
      </c>
      <c r="Q224" s="4">
        <v>0</v>
      </c>
      <c r="R224" s="4" t="s">
        <v>40</v>
      </c>
      <c r="S224" s="7">
        <f>_xlfn.XLOOKUP(B224,[1]TeethAdjusters!$A:$A,[1]BiteAdjusters!$C:$C,1)</f>
        <v>1</v>
      </c>
      <c r="T224" s="7">
        <f>_xlfn.XLOOKUP(B224,[1]TeethAdjusters!$A:$A,[1]TeethAdjusters!$B:$B,1)</f>
        <v>1</v>
      </c>
      <c r="U224" s="7">
        <v>9</v>
      </c>
      <c r="V224" s="7">
        <v>3</v>
      </c>
      <c r="W224" s="7">
        <v>9</v>
      </c>
      <c r="X224" s="7" t="s">
        <v>932</v>
      </c>
      <c r="Y224" s="4" t="s">
        <v>56</v>
      </c>
      <c r="Z224" s="4">
        <v>1</v>
      </c>
      <c r="AA224" s="4">
        <v>0</v>
      </c>
      <c r="AB224" s="4">
        <v>0</v>
      </c>
      <c r="AC224" s="4">
        <v>0</v>
      </c>
      <c r="AD224" s="4">
        <v>0</v>
      </c>
      <c r="AE224" s="4" t="s">
        <v>45</v>
      </c>
      <c r="AF224" s="4" t="s">
        <v>45</v>
      </c>
      <c r="AG224" s="49" t="s">
        <v>1712</v>
      </c>
      <c r="AH224" s="4" t="str">
        <f>Animals!$C$105</f>
        <v>&lt;li&gt;Megaspider&lt;/li&gt;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4" t="s">
        <v>40</v>
      </c>
      <c r="AO224" s="8">
        <f t="shared" si="89"/>
        <v>18370.154123032575</v>
      </c>
      <c r="AP224" s="8">
        <f>IFERROR(C224*_xlfn.XLOOKUP(E224,Groups!A:A,Groups!K:K),0.106*C224^0.94)</f>
        <v>24</v>
      </c>
      <c r="AQ224" s="8">
        <f>AP224*10000/(_xlfn.XLOOKUP(E224,Groups!A:A,Groups!J:J)*AO224)</f>
        <v>10.887224933471799</v>
      </c>
      <c r="AR224" s="8">
        <f t="shared" si="90"/>
        <v>2085.9553057247513</v>
      </c>
      <c r="AS224" s="8">
        <f>IF(_xlfn.XLOOKUP(E224,Groups!A:A,Groups!M:M)=1,EXP(0.7444*LN('Base stats'!C224)+6.5696),EXP(0.7927*LN('Base stats'!C224)+4.28))</f>
        <v>17739.306305992966</v>
      </c>
      <c r="AT224" s="8">
        <f>IF(_xlfn.XLOOKUP(E224,Groups!A:A,Groups!N:N)="No","No",
IF(_xlfn.XLOOKUP(E224,Groups!A:A,Groups!N:N)="Crocodile",EXP(0.8129*LN(C224)+4.6742)*S224,
IF(_xlfn.XLOOKUP(E224,Groups!A:A,Groups!N:N)="Felid",EXP(0.7843*LN(C224)+4.7073)*S224,
IF(_xlfn.XLOOKUP(E224,Groups!A:A,Groups!N:N)="Canid",EXP(0.8367*LN(C224)+4.8763)*S224,
IF(_xlfn.XLOOKUP(E224,Groups!A:A,Groups!N:N)="Pig",EXP(0.3439*LN(C224)+6.8519)*S224,
IF(_xlfn.XLOOKUP(E224,Groups!A:A,Groups!N:N)="Rodent",EXP(0.5625*LN(C224)+4.3006)*S224,
IF(_xlfn.XLOOKUP(E224,Groups!A:A,Groups!N:N)="Primate",EXP(0.7847*LN(C224)+3.4931)*S224,
IF(_xlfn.XLOOKUP(E224,Groups!A:A,Groups!N:N)="MiscCarnivora",EXP(0.7486*LN(C224)+4.2207)*S224,
IF(_xlfn.XLOOKUP(E224,Groups!A:A,Groups!N:N)="Lizard",EXP(0.7733*LN(C224)+5.5303)*S224,
IF(_xlfn.XLOOKUP(E224,Groups!A:A,Groups!N:N)="Snake",50*C224^(2/3)*S224,
IF(_xlfn.XLOOKUP(E224,Groups!A:A,Groups!N:N)="StrongBitingHerbivore",87.1133638856975*C224^(2/3)*S224,
IF(_xlfn.XLOOKUP(E224,Groups!A:A,Groups!N:N)="MiscEctotherms",59.4316884072269*C224^(2/3)*S224,
IF(_xlfn.XLOOKUP(E224,Groups!A:A,Groups!N:N)="StrongBeakBird",0.041*(C224*1000)^1.375*S224,
IF(_xlfn.XLOOKUP(E224,Groups!A:A,Groups!N:N)="Bird",0.118*(C224*1000)^0.692*S224,
IF(_xlfn.XLOOKUP(E224,Groups!A:A,Groups!N:N)="Insect",EXP(0.7444*LN(C224)+6.5696)*S224,
IF(_xlfn.XLOOKUP(E224,Groups!A:A,Groups!N:N)="Theropod",EXP(0.6966*LN(C224)+4.158)*S224,
"No"))))))))))))))))</f>
        <v>17739.306305992966</v>
      </c>
      <c r="AU224" s="8">
        <f>IF(_xlfn.XLOOKUP(E224,Groups!A:A,Groups!U:U)=3,AS224,IF(_xlfn.XLOOKUP(E224,Groups!A:A,Groups!U:U)=2,AR224,AT224))</f>
        <v>17739.306305992966</v>
      </c>
      <c r="AV224" s="46">
        <f>IFERROR(AVERAGE(_xlfn.XLOOKUP(B224,Animals!B:B,Animals!N:N),_xlfn.XLOOKUP(B224,Animals!B:B,Animals!O:O)),0)</f>
        <v>0.35000000000000003</v>
      </c>
      <c r="AW224" s="8">
        <f>MROUND(40*Animals!AO224*_xlfn.XLOOKUP(AG224,Leathers!$A$2:$A$99,Leathers!$B$2:$B$99,0)+(140*_xlfn.XLOOKUP(B224,Animals!B:B,Animals!AO:AO)*2),5)</f>
        <v>295</v>
      </c>
      <c r="AX224" s="8">
        <f>IFERROR(ROUND(SQRT(V224-1)*IF(_xlfn.XLOOKUP(E224,Groups!A:A,Groups!BF:BF)=0,2,1)*IF(_xlfn.XLOOKUP('Base stats'!E224,Groups!A:A,Groups!O:O)=0,1,0.1),1),0)</f>
        <v>2.8</v>
      </c>
      <c r="AY224" s="8">
        <f t="shared" si="91"/>
        <v>2.8</v>
      </c>
      <c r="AZ224" s="8">
        <f t="shared" si="92"/>
        <v>3</v>
      </c>
      <c r="BA224" s="8">
        <f t="shared" si="93"/>
        <v>3.8</v>
      </c>
      <c r="BB224" s="8">
        <f>IF(_xlfn.XLOOKUP(E224,Groups!A:A,Groups!N:N)="Insect",BD224*2.5,IFERROR(AVERAGE(BD224,AT224/9.81/IF(OR(_xlfn.XLOOKUP(E224,Groups!A:A,Groups!N:N)="Pig",_xlfn.XLOOKUP(E224,Groups!A:A,Groups!N:N)="StrongBitingHerbivore"),20,25))*C224^-0.135,BD224))</f>
        <v>3.5432515483021945</v>
      </c>
      <c r="BC224" s="8">
        <f>IF(W224="No","No",IF(_xlfn.XLOOKUP(E224,Groups!A:A,Groups!U:U)=1,'Base stats'!BB224,IF(OR(_xlfn.XLOOKUP(E224,Groups!A:A,Groups!BD:BD)=1,_xlfn.XLOOKUP(E224,Groups!A:A,Groups!U:U)=2),BD224,IF(_xlfn.XLOOKUP(B224,Animals!B:B,Animals!AO:AO)&gt;4,AVERAGE(BD224,BF224),BF224))))</f>
        <v>5.1091398300557112</v>
      </c>
      <c r="BD224" s="8">
        <f t="shared" si="94"/>
        <v>1.4173006193208777</v>
      </c>
      <c r="BE224" s="8">
        <f>IF(_xlfn.XLOOKUP(E224,Groups!A:A,Groups!BE:BE)=1,(0.048*C224^1.01)+(0.071*C224^1.03),0.071*C224^1.03)/IF(_xlfn.XLOOKUP(E224,Groups!A:A,Groups!M:M)=1,0.85,IF(OR(_xlfn.XLOOKUP(B224,Animals!B:B,Animals!AO:AO)&gt;4,_xlfn.XLOOKUP(E224,Groups!A:A,Groups!BC:BC)=1),1.7,1))*C224^-0.25</f>
        <v>2.4231885513384861</v>
      </c>
      <c r="BF224" s="8">
        <f>(0.048*C224^1.01)/IF(_xlfn.XLOOKUP(E224,Groups!A:A,Groups!M:M)=1,0.25,0.8)*C224^-0.25</f>
        <v>5.1091398300557112</v>
      </c>
      <c r="BG224" s="8">
        <f>EXP(1.076*LN(AR224)-4.5397)*IF(_xlfn.XLOOKUP(E224,Groups!A:A,Groups!BC:BC)=1,1.25,IF(_xlfn.XLOOKUP(E224,Groups!A:A,Groups!BD:BD)=1,3.5,2.5))</f>
        <v>49.764028748093814</v>
      </c>
      <c r="BH224" s="8">
        <f>EXP(1.076*LN(AS224)-4.5397)*IF(_xlfn.XLOOKUP(E224,Groups!A:A,Groups!M:M)=1,0.8,IF(_xlfn.XLOOKUP(E224,Groups!A:A,Groups!BC:BC)=1,1.3,3))</f>
        <v>318.69785786813804</v>
      </c>
      <c r="BI224" s="8">
        <f>IF(W224="No","No",IF(_xlfn.XLOOKUP(E224,Groups!A:A,Groups!U:U)=1,'Base stats'!BJ224,IF(OR(_xlfn.XLOOKUP(E224,Groups!A:A,Groups!BD:BD)=1,_xlfn.XLOOKUP(E224,Groups!A:A,Groups!U:U)=2),BG224,BH224))*1.2)</f>
        <v>382.43742944176563</v>
      </c>
      <c r="BJ224" s="8">
        <f>IFERROR(EXP(1.076*LN(AT224)-4.5397)*IF(_xlfn.XLOOKUP(E224,Groups!A:A,Groups!N:N)="Insect",1,IF(OR(_xlfn.XLOOKUP(E224,Groups!A:A,Groups!N:N)="Pig",_xlfn.XLOOKUP(E224,Groups!A:A,Groups!N:N)="StrongBitingHerbivore"),3.5,3.75)),"No")</f>
        <v>398.37232233517256</v>
      </c>
      <c r="BK224" s="8">
        <f t="shared" si="95"/>
        <v>8</v>
      </c>
      <c r="BL224" s="8">
        <f t="shared" si="96"/>
        <v>16</v>
      </c>
      <c r="BM224" s="8">
        <f t="shared" si="97"/>
        <v>12</v>
      </c>
      <c r="BN224" s="8">
        <f t="shared" si="98"/>
        <v>14</v>
      </c>
      <c r="BO224" s="8">
        <f t="shared" si="99"/>
        <v>11</v>
      </c>
      <c r="BP224" s="8" cm="1">
        <f t="array" ref="BP224">IF(AND(_xlfn.XLOOKUP('Base stats'!E224,Groups!A:A,Groups!AD:AD=0),_xlfn.XLOOKUP('Base stats'!E224,Groups!A:A,Groups!P:P=0)),"No",IF(U224="No",AVERAGE(EXP(-0.57+0.99*LN(C224)),EXP(0.32+0.67*LN(C224)))/IF(_xlfn.XLOOKUP(E224,Groups!A:A,Groups!AD:AD)=1,10,2),(0.7354*C224^0.4078)*2/IF(_xlfn.XLOOKUP(E224,Groups!A:A,Groups!BK:BK)=1,1000,100)/IF(_xlfn.XLOOKUP(E224,Groups!A:A,Groups!AJ:AJ)="Photonozoa",3,1)))</f>
        <v>8.5546767622836379E-3</v>
      </c>
      <c r="BQ224" s="8">
        <f>IF(W224="No","No",IF(_xlfn.XLOOKUP(E224,Groups!A:A,Groups!BD:BD)=1,(AO224*5%),EXP(0.7354*LN(C224)^0.4078)*2/IF(_xlfn.XLOOKUP(E224,Groups!A:A,Groups!BL:BL)=1,1000,100)/IF(_xlfn.XLOOKUP(E224,Groups!A:A,Groups!AJ:AJ)="Photonozoa",3,1)))</f>
        <v>7.6020861711933747E-3</v>
      </c>
      <c r="BR224" s="8">
        <f>IF(BJ224="No","No",IF(_xlfn.XLOOKUP(E224,Groups!A:A,Groups!BF:BF)=1,(0.0315*C224+2.1825)*2,(0.7354*C224^0.4078)*2)/IF(_xlfn.XLOOKUP(E224,Groups!A:A,Groups!BM:BM)=1,1000,100)/IF(_xlfn.XLOOKUP(E224,Groups!A:A,Groups!AJ:AJ)="Photonozoa",3,1))</f>
        <v>8.5546767622836375E-2</v>
      </c>
      <c r="BS224" s="8">
        <f t="shared" si="100"/>
        <v>5.4179217457625432E-2</v>
      </c>
      <c r="BT224" s="8">
        <f t="shared" si="101"/>
        <v>37254.225580238388</v>
      </c>
      <c r="BU224" s="8">
        <f t="shared" si="102"/>
        <v>50306.905345395557</v>
      </c>
      <c r="BV224" s="8">
        <f t="shared" si="103"/>
        <v>4656.7781975297994</v>
      </c>
      <c r="BW224" s="4">
        <v>0</v>
      </c>
      <c r="BX224" s="4">
        <v>1</v>
      </c>
    </row>
    <row r="225" spans="1:76" s="16" customFormat="1" x14ac:dyDescent="0.25">
      <c r="A225" s="26" t="s">
        <v>1394</v>
      </c>
      <c r="B225" s="6" t="s">
        <v>1622</v>
      </c>
      <c r="C225" s="7">
        <v>250</v>
      </c>
      <c r="D225" s="7" t="s">
        <v>528</v>
      </c>
      <c r="E225" s="7" t="str">
        <f>Groups!$A$82</f>
        <v>Beetle (ROAMER)</v>
      </c>
      <c r="F225" s="7">
        <v>150</v>
      </c>
      <c r="G225" s="7">
        <v>4</v>
      </c>
      <c r="H225" s="7">
        <v>10</v>
      </c>
      <c r="I225" s="4">
        <v>1</v>
      </c>
      <c r="J225" s="7">
        <v>1</v>
      </c>
      <c r="K225" s="7" t="s">
        <v>528</v>
      </c>
      <c r="L225" s="7">
        <v>25</v>
      </c>
      <c r="M225" s="7" t="s">
        <v>528</v>
      </c>
      <c r="N225" s="4">
        <v>0</v>
      </c>
      <c r="O225" s="4">
        <v>0</v>
      </c>
      <c r="P225" s="4">
        <v>0</v>
      </c>
      <c r="Q225" s="4">
        <v>0</v>
      </c>
      <c r="R225" s="4" t="s">
        <v>40</v>
      </c>
      <c r="S225" s="7">
        <f>_xlfn.XLOOKUP(B225,[1]TeethAdjusters!$A:$A,[1]BiteAdjusters!$C:$C,1)</f>
        <v>1</v>
      </c>
      <c r="T225" s="7">
        <f>_xlfn.XLOOKUP(B225,[1]TeethAdjusters!$A:$A,[1]TeethAdjusters!$B:$B,1)</f>
        <v>1</v>
      </c>
      <c r="U225" s="7" t="str">
        <f>IF(OR(_xlfn.XLOOKUP(E225,Groups!A:A,Groups!P:P)=1,_xlfn.XLOOKUP(E225,Groups!A:A,Groups!AD:AD)=1),"Need a formula","No")</f>
        <v>No</v>
      </c>
      <c r="V225" s="7">
        <v>12</v>
      </c>
      <c r="W225" s="7" t="str">
        <f>IF(_xlfn.XLOOKUP(E225,Groups!A:A,Groups!V:V)&lt;&gt;"No","Need a formula","No")</f>
        <v>No</v>
      </c>
      <c r="X225" s="7" t="s">
        <v>932</v>
      </c>
      <c r="Y225" s="4" t="s">
        <v>42</v>
      </c>
      <c r="Z225" s="4">
        <v>1</v>
      </c>
      <c r="AA225" s="4">
        <v>0</v>
      </c>
      <c r="AB225" s="4">
        <v>0</v>
      </c>
      <c r="AC225" s="4">
        <v>0</v>
      </c>
      <c r="AD225" s="4">
        <v>0</v>
      </c>
      <c r="AE225" s="4" t="s">
        <v>45</v>
      </c>
      <c r="AF225" s="4" t="s">
        <v>45</v>
      </c>
      <c r="AG225" s="49" t="s">
        <v>1712</v>
      </c>
      <c r="AH225" s="4" t="str">
        <f>Animals!$C$105</f>
        <v>&lt;li&gt;Megaspider&lt;/li&gt;</v>
      </c>
      <c r="AI225" s="4">
        <v>0</v>
      </c>
      <c r="AJ225" s="4">
        <v>0</v>
      </c>
      <c r="AK225" s="4">
        <v>1</v>
      </c>
      <c r="AL225" s="4">
        <v>0</v>
      </c>
      <c r="AM225" s="4">
        <v>0</v>
      </c>
      <c r="AN225" s="44" t="s">
        <v>40</v>
      </c>
      <c r="AO225" s="8">
        <f t="shared" si="89"/>
        <v>40177.59941909022</v>
      </c>
      <c r="AP225" s="8">
        <f>IFERROR(C225*_xlfn.XLOOKUP(E225,Groups!A:A,Groups!K:K),0.106*C225^0.94)</f>
        <v>80</v>
      </c>
      <c r="AQ225" s="8">
        <f>AP225*10000/(_xlfn.XLOOKUP(E225,Groups!A:A,Groups!J:J)*AO225)</f>
        <v>16.592994014219347</v>
      </c>
      <c r="AR225" s="8">
        <f t="shared" si="90"/>
        <v>5767.4079933655148</v>
      </c>
      <c r="AS225" s="8">
        <f>IF(_xlfn.XLOOKUP(E225,Groups!A:A,Groups!M:M)=1,EXP(0.7444*LN('Base stats'!C225)+6.5696),EXP(0.7927*LN('Base stats'!C225)+4.28))</f>
        <v>43467.791053039065</v>
      </c>
      <c r="AT225" s="8">
        <f>IF(_xlfn.XLOOKUP(E225,Groups!A:A,Groups!N:N)="No","No",
IF(_xlfn.XLOOKUP(E225,Groups!A:A,Groups!N:N)="Crocodile",EXP(0.8129*LN(C225)+4.6742)*S225,
IF(_xlfn.XLOOKUP(E225,Groups!A:A,Groups!N:N)="Felid",EXP(0.7843*LN(C225)+4.7073)*S225,
IF(_xlfn.XLOOKUP(E225,Groups!A:A,Groups!N:N)="Canid",EXP(0.8367*LN(C225)+4.8763)*S225,
IF(_xlfn.XLOOKUP(E225,Groups!A:A,Groups!N:N)="Pig",EXP(0.3439*LN(C225)+6.8519)*S225,
IF(_xlfn.XLOOKUP(E225,Groups!A:A,Groups!N:N)="Rodent",EXP(0.5625*LN(C225)+4.3006)*S225,
IF(_xlfn.XLOOKUP(E225,Groups!A:A,Groups!N:N)="Primate",EXP(0.7847*LN(C225)+3.4931)*S225,
IF(_xlfn.XLOOKUP(E225,Groups!A:A,Groups!N:N)="MiscCarnivora",EXP(0.7486*LN(C225)+4.2207)*S225,
IF(_xlfn.XLOOKUP(E225,Groups!A:A,Groups!N:N)="Lizard",EXP(0.7733*LN(C225)+5.5303)*S225,
IF(_xlfn.XLOOKUP(E225,Groups!A:A,Groups!N:N)="Snake",50*C225^(2/3)*S225,
IF(_xlfn.XLOOKUP(E225,Groups!A:A,Groups!N:N)="StrongBitingHerbivore",87.1133638856975*C225^(2/3)*S225,
IF(_xlfn.XLOOKUP(E225,Groups!A:A,Groups!N:N)="MiscEctotherms",59.4316884072269*C225^(2/3)*S225,
IF(_xlfn.XLOOKUP(E225,Groups!A:A,Groups!N:N)="StrongBeakBird",0.041*(C225*1000)^1.375*S225,
IF(_xlfn.XLOOKUP(E225,Groups!A:A,Groups!N:N)="Bird",0.118*(C225*1000)^0.692*S225,
IF(_xlfn.XLOOKUP(E225,Groups!A:A,Groups!N:N)="Insect",EXP(0.7444*LN(C225)+6.5696)*S225,
IF(_xlfn.XLOOKUP(E225,Groups!A:A,Groups!N:N)="Theropod",EXP(0.6966*LN(C225)+4.158)*S225,
"No"))))))))))))))))</f>
        <v>43467.791053039065</v>
      </c>
      <c r="AU225" s="8">
        <f>IF(_xlfn.XLOOKUP(E225,Groups!A:A,Groups!U:U)=3,AS225,IF(_xlfn.XLOOKUP(E225,Groups!A:A,Groups!U:U)=2,AR225,AT225))</f>
        <v>43467.791053039065</v>
      </c>
      <c r="AV225" s="46">
        <f>IFERROR(AVERAGE(_xlfn.XLOOKUP(B225,Animals!B:B,Animals!N:N),_xlfn.XLOOKUP(B225,Animals!B:B,Animals!O:O)),0)</f>
        <v>0.47500000000000003</v>
      </c>
      <c r="AW225" s="8">
        <f>MROUND(40*Animals!AO225*_xlfn.XLOOKUP(AG225,Leathers!$A$2:$A$99,Leathers!$B$2:$B$99,0)+(140*_xlfn.XLOOKUP(B225,Animals!B:B,Animals!AO:AO)*2),5)</f>
        <v>590</v>
      </c>
      <c r="AX225" s="8">
        <f>IFERROR(ROUND(SQRT(V225-1)*IF(_xlfn.XLOOKUP(E225,Groups!A:A,Groups!BF:BF)=0,2,1)*IF(_xlfn.XLOOKUP('Base stats'!E225,Groups!A:A,Groups!O:O)=0,1,0.1),1),0)</f>
        <v>6.6</v>
      </c>
      <c r="AY225" s="8">
        <f t="shared" si="91"/>
        <v>0</v>
      </c>
      <c r="AZ225" s="8">
        <f t="shared" si="92"/>
        <v>0</v>
      </c>
      <c r="BA225" s="8">
        <f t="shared" si="93"/>
        <v>5.8</v>
      </c>
      <c r="BB225" s="8">
        <f>IF(_xlfn.XLOOKUP(E225,Groups!A:A,Groups!N:N)="Insect",BD225*2.5,IFERROR(AVERAGE(BD225,AT225/9.81/IF(OR(_xlfn.XLOOKUP(E225,Groups!A:A,Groups!N:N)="Pig",_xlfn.XLOOKUP(E225,Groups!A:A,Groups!N:N)="StrongBitingHerbivore"),20,25))*C225^-0.135,BD225))</f>
        <v>6.2990178962199987</v>
      </c>
      <c r="BC225" s="8" t="str">
        <f>IF(W225="No","No",IF(_xlfn.XLOOKUP(E225,Groups!A:A,Groups!U:U)=1,'Base stats'!BB225,IF(OR(_xlfn.XLOOKUP(E225,Groups!A:A,Groups!BD:BD)=1,_xlfn.XLOOKUP(E225,Groups!A:A,Groups!U:U)=2),BD225,IF(_xlfn.XLOOKUP(B225,Animals!B:B,Animals!AO:AO)&gt;4,AVERAGE(BD225,BF225),BF225))))</f>
        <v>No</v>
      </c>
      <c r="BD225" s="8">
        <f t="shared" si="94"/>
        <v>2.5196071584879993</v>
      </c>
      <c r="BE225" s="8">
        <f>IF(_xlfn.XLOOKUP(E225,Groups!A:A,Groups!BE:BE)=1,(0.048*C225^1.01)+(0.071*C225^1.03),0.071*C225^1.03)/IF(_xlfn.XLOOKUP(E225,Groups!A:A,Groups!M:M)=1,0.85,IF(OR(_xlfn.XLOOKUP(B225,Animals!B:B,Animals!AO:AO)&gt;4,_xlfn.XLOOKUP(E225,Groups!A:A,Groups!BC:BC)=1),1.7,1))*C225^-0.25</f>
        <v>6.1977296746955153</v>
      </c>
      <c r="BF225" s="8">
        <f>(0.048*C225^1.01)/IF(_xlfn.XLOOKUP(E225,Groups!A:A,Groups!M:M)=1,0.25,0.8)*C225^-0.25</f>
        <v>12.756620485721925</v>
      </c>
      <c r="BG225" s="8">
        <f>EXP(1.076*LN(AR225)-4.5397)*IF(_xlfn.XLOOKUP(E225,Groups!A:A,Groups!BC:BC)=1,1.25,IF(_xlfn.XLOOKUP(E225,Groups!A:A,Groups!BD:BD)=1,3.5,2.5))</f>
        <v>148.64782527005457</v>
      </c>
      <c r="BH225" s="8">
        <f>EXP(1.076*LN(AS225)-4.5397)*IF(_xlfn.XLOOKUP(E225,Groups!A:A,Groups!M:M)=1,0.8,IF(_xlfn.XLOOKUP(E225,Groups!A:A,Groups!BC:BC)=1,1.3,3))</f>
        <v>835.97181173337106</v>
      </c>
      <c r="BI225" s="8" t="str">
        <f>IF(W225="No","No",IF(_xlfn.XLOOKUP(E225,Groups!A:A,Groups!U:U)=1,'Base stats'!BJ225,IF(OR(_xlfn.XLOOKUP(E225,Groups!A:A,Groups!BD:BD)=1,_xlfn.XLOOKUP(E225,Groups!A:A,Groups!U:U)=2),BG225,BH225))*1.2)</f>
        <v>No</v>
      </c>
      <c r="BJ225" s="8">
        <f>IFERROR(EXP(1.076*LN(AT225)-4.5397)*IF(_xlfn.XLOOKUP(E225,Groups!A:A,Groups!N:N)="Insect",1,IF(OR(_xlfn.XLOOKUP(E225,Groups!A:A,Groups!N:N)="Pig",_xlfn.XLOOKUP(E225,Groups!A:A,Groups!N:N)="StrongBitingHerbivore"),3.5,3.75)),"No")</f>
        <v>1044.9647646667138</v>
      </c>
      <c r="BK225" s="8">
        <f t="shared" si="95"/>
        <v>10</v>
      </c>
      <c r="BL225" s="8">
        <f t="shared" si="96"/>
        <v>16</v>
      </c>
      <c r="BM225" s="8" t="str">
        <f t="shared" si="97"/>
        <v>No</v>
      </c>
      <c r="BN225" s="8">
        <f t="shared" si="98"/>
        <v>18</v>
      </c>
      <c r="BO225" s="8">
        <f t="shared" si="99"/>
        <v>11</v>
      </c>
      <c r="BP225" s="8" t="str" cm="1">
        <f t="array" ref="BP225">IF(AND(_xlfn.XLOOKUP('Base stats'!E225,Groups!A:A,Groups!AD:AD=0),_xlfn.XLOOKUP('Base stats'!E225,Groups!A:A,Groups!P:P=0)),"No",IF(U225="No",AVERAGE(EXP(-0.57+0.99*LN(C225)),EXP(0.32+0.67*LN(C225)))/IF(_xlfn.XLOOKUP(E225,Groups!A:A,Groups!AD:AD)=1,10,2),(0.7354*C225^0.4078)*2/IF(_xlfn.XLOOKUP(E225,Groups!A:A,Groups!BK:BK)=1,1000,100)/IF(_xlfn.XLOOKUP(E225,Groups!A:A,Groups!AJ:AJ)="Photonozoa",3,1)))</f>
        <v>No</v>
      </c>
      <c r="BQ225" s="8" t="str">
        <f>IF(W225="No","No",IF(_xlfn.XLOOKUP(E225,Groups!A:A,Groups!BD:BD)=1,(AO225*5%),EXP(0.7354*LN(C225)^0.4078)*2/IF(_xlfn.XLOOKUP(E225,Groups!A:A,Groups!BL:BL)=1,1000,100)/IF(_xlfn.XLOOKUP(E225,Groups!A:A,Groups!AJ:AJ)="Photonozoa",3,1)))</f>
        <v>No</v>
      </c>
      <c r="BR225" s="8">
        <f>IF(BJ225="No","No",IF(_xlfn.XLOOKUP(E225,Groups!A:A,Groups!BF:BF)=1,(0.0315*C225+2.1825)*2,(0.7354*C225^0.4078)*2)/IF(_xlfn.XLOOKUP(E225,Groups!A:A,Groups!BM:BM)=1,1000,100)/IF(_xlfn.XLOOKUP(E225,Groups!A:A,Groups!AJ:AJ)="Photonozoa",3,1))</f>
        <v>0.13977630534113397</v>
      </c>
      <c r="BS225" s="8">
        <f t="shared" si="100"/>
        <v>7.3995374247982151E-2</v>
      </c>
      <c r="BT225" s="8" t="str">
        <f t="shared" si="101"/>
        <v>No</v>
      </c>
      <c r="BU225" s="8" t="str">
        <f t="shared" si="102"/>
        <v>No</v>
      </c>
      <c r="BV225" s="8">
        <f t="shared" si="103"/>
        <v>7475.9792950343281</v>
      </c>
      <c r="BW225" s="4">
        <v>0</v>
      </c>
      <c r="BX225" s="4">
        <v>1</v>
      </c>
    </row>
    <row r="226" spans="1:76" s="16" customFormat="1" x14ac:dyDescent="0.25">
      <c r="A226" s="26" t="s">
        <v>1364</v>
      </c>
      <c r="B226" s="6" t="s">
        <v>1615</v>
      </c>
      <c r="C226" s="7">
        <v>40</v>
      </c>
      <c r="D226" s="7" t="s">
        <v>528</v>
      </c>
      <c r="E226" s="7" t="str">
        <f>Groups!$A$84</f>
        <v>Beetle (PARALYSIS)</v>
      </c>
      <c r="F226" s="7" t="str">
        <f t="shared" ref="F226" si="122">"Lay eggs"</f>
        <v>Lay eggs</v>
      </c>
      <c r="G226" s="7">
        <v>2</v>
      </c>
      <c r="H226" s="7">
        <v>10</v>
      </c>
      <c r="I226" s="4">
        <v>0</v>
      </c>
      <c r="J226" s="7" t="str">
        <f t="shared" ref="J226" si="123">"Lay eggs"</f>
        <v>Lay eggs</v>
      </c>
      <c r="K226" s="7" t="s">
        <v>528</v>
      </c>
      <c r="L226" s="7">
        <v>24</v>
      </c>
      <c r="M226" s="7" t="s">
        <v>528</v>
      </c>
      <c r="N226" s="4">
        <v>0</v>
      </c>
      <c r="O226" s="4">
        <v>0</v>
      </c>
      <c r="P226" s="4">
        <v>0</v>
      </c>
      <c r="Q226" s="4">
        <v>0</v>
      </c>
      <c r="R226" s="4">
        <v>0.8</v>
      </c>
      <c r="S226" s="7">
        <f>_xlfn.XLOOKUP(B226,[1]TeethAdjusters!$A:$A,[1]BiteAdjusters!$C:$C,1)</f>
        <v>1</v>
      </c>
      <c r="T226" s="7">
        <f>_xlfn.XLOOKUP(B226,[1]TeethAdjusters!$A:$A,[1]TeethAdjusters!$B:$B,1)</f>
        <v>1</v>
      </c>
      <c r="U226" s="7" t="s">
        <v>45</v>
      </c>
      <c r="V226" s="7">
        <v>4</v>
      </c>
      <c r="W226" s="7" t="s">
        <v>45</v>
      </c>
      <c r="X226" s="7" t="s">
        <v>932</v>
      </c>
      <c r="Y226" s="4" t="s">
        <v>53</v>
      </c>
      <c r="Z226" s="4">
        <v>1</v>
      </c>
      <c r="AA226" s="4">
        <v>0</v>
      </c>
      <c r="AB226" s="4">
        <v>0</v>
      </c>
      <c r="AC226" s="4">
        <v>0</v>
      </c>
      <c r="AD226" s="4">
        <v>0</v>
      </c>
      <c r="AE226" s="4" t="s">
        <v>45</v>
      </c>
      <c r="AF226" s="4" t="s">
        <v>45</v>
      </c>
      <c r="AG226" s="49" t="s">
        <v>1712</v>
      </c>
      <c r="AH226" s="4" t="str">
        <f>Animals!$C$105</f>
        <v>&lt;li&gt;Megaspider&lt;/li&gt;</v>
      </c>
      <c r="AI226" s="4">
        <v>0</v>
      </c>
      <c r="AJ226" s="4">
        <v>0</v>
      </c>
      <c r="AK226" s="4">
        <v>0</v>
      </c>
      <c r="AL226" s="4">
        <v>0</v>
      </c>
      <c r="AM226" s="4">
        <v>1</v>
      </c>
      <c r="AN226" s="44" t="s">
        <v>40</v>
      </c>
      <c r="AO226" s="8">
        <f t="shared" si="89"/>
        <v>12208.490600010842</v>
      </c>
      <c r="AP226" s="8">
        <f>IFERROR(C226*_xlfn.XLOOKUP(E226,Groups!A:A,Groups!K:K),0.106*C226^0.94)</f>
        <v>12.8</v>
      </c>
      <c r="AQ226" s="8">
        <f>AP226*10000/(_xlfn.XLOOKUP(E226,Groups!A:A,Groups!J:J)*AO226)</f>
        <v>8.737088814777147</v>
      </c>
      <c r="AR226" s="8">
        <f t="shared" si="90"/>
        <v>1226.5939672257964</v>
      </c>
      <c r="AS226" s="8">
        <f>IF(_xlfn.XLOOKUP(E226,Groups!A:A,Groups!M:M)=1,EXP(0.7444*LN('Base stats'!C226)+6.5696),EXP(0.7927*LN('Base stats'!C226)+4.28))</f>
        <v>11110.010921232448</v>
      </c>
      <c r="AT226" s="8">
        <f>IF(_xlfn.XLOOKUP(E226,Groups!A:A,Groups!N:N)="No","No",
IF(_xlfn.XLOOKUP(E226,Groups!A:A,Groups!N:N)="Crocodile",EXP(0.8129*LN(C226)+4.6742)*S226,
IF(_xlfn.XLOOKUP(E226,Groups!A:A,Groups!N:N)="Felid",EXP(0.7843*LN(C226)+4.7073)*S226,
IF(_xlfn.XLOOKUP(E226,Groups!A:A,Groups!N:N)="Canid",EXP(0.8367*LN(C226)+4.8763)*S226,
IF(_xlfn.XLOOKUP(E226,Groups!A:A,Groups!N:N)="Pig",EXP(0.3439*LN(C226)+6.8519)*S226,
IF(_xlfn.XLOOKUP(E226,Groups!A:A,Groups!N:N)="Rodent",EXP(0.5625*LN(C226)+4.3006)*S226,
IF(_xlfn.XLOOKUP(E226,Groups!A:A,Groups!N:N)="Primate",EXP(0.7847*LN(C226)+3.4931)*S226,
IF(_xlfn.XLOOKUP(E226,Groups!A:A,Groups!N:N)="MiscCarnivora",EXP(0.7486*LN(C226)+4.2207)*S226,
IF(_xlfn.XLOOKUP(E226,Groups!A:A,Groups!N:N)="Lizard",EXP(0.7733*LN(C226)+5.5303)*S226,
IF(_xlfn.XLOOKUP(E226,Groups!A:A,Groups!N:N)="Snake",50*C226^(2/3)*S226,
IF(_xlfn.XLOOKUP(E226,Groups!A:A,Groups!N:N)="StrongBitingHerbivore",87.1133638856975*C226^(2/3)*S226,
IF(_xlfn.XLOOKUP(E226,Groups!A:A,Groups!N:N)="MiscEctotherms",59.4316884072269*C226^(2/3)*S226,
IF(_xlfn.XLOOKUP(E226,Groups!A:A,Groups!N:N)="StrongBeakBird",0.041*(C226*1000)^1.375*S226,
IF(_xlfn.XLOOKUP(E226,Groups!A:A,Groups!N:N)="Bird",0.118*(C226*1000)^0.692*S226,
IF(_xlfn.XLOOKUP(E226,Groups!A:A,Groups!N:N)="Insect",EXP(0.7444*LN(C226)+6.5696)*S226,
IF(_xlfn.XLOOKUP(E226,Groups!A:A,Groups!N:N)="Theropod",EXP(0.6966*LN(C226)+4.158)*S226,
"No"))))))))))))))))</f>
        <v>11110.010921232448</v>
      </c>
      <c r="AU226" s="8">
        <f>IF(_xlfn.XLOOKUP(E226,Groups!A:A,Groups!U:U)=3,AS226,IF(_xlfn.XLOOKUP(E226,Groups!A:A,Groups!U:U)=2,AR226,AT226))</f>
        <v>11110.010921232448</v>
      </c>
      <c r="AV226" s="46">
        <f>IFERROR(AVERAGE(_xlfn.XLOOKUP(B226,Animals!B:B,Animals!N:N),_xlfn.XLOOKUP(B226,Animals!B:B,Animals!O:O)),0)</f>
        <v>0.27500000000000002</v>
      </c>
      <c r="AW226" s="8">
        <f>MROUND(40*Animals!AO226*_xlfn.XLOOKUP(AG226,Leathers!$A$2:$A$99,Leathers!$B$2:$B$99,0)+(140*_xlfn.XLOOKUP(B226,Animals!B:B,Animals!AO:AO)*2),5)</f>
        <v>225</v>
      </c>
      <c r="AX226" s="8">
        <f>IFERROR(ROUND(SQRT(V226-1)*IF(_xlfn.XLOOKUP(E226,Groups!A:A,Groups!BF:BF)=0,2,1)*IF(_xlfn.XLOOKUP('Base stats'!E226,Groups!A:A,Groups!O:O)=0,1,0.1),1),0)</f>
        <v>3.5</v>
      </c>
      <c r="AY226" s="8">
        <f t="shared" si="91"/>
        <v>0</v>
      </c>
      <c r="AZ226" s="8">
        <f t="shared" si="92"/>
        <v>0</v>
      </c>
      <c r="BA226" s="8">
        <f t="shared" si="93"/>
        <v>3</v>
      </c>
      <c r="BB226" s="8">
        <f>IF(_xlfn.XLOOKUP(E226,Groups!A:A,Groups!N:N)="Insect",BD226*2.5,IFERROR(AVERAGE(BD226,AT226/9.81/IF(OR(_xlfn.XLOOKUP(E226,Groups!A:A,Groups!N:N)="Pig",_xlfn.XLOOKUP(E226,Groups!A:A,Groups!N:N)="StrongBitingHerbivore"),20,25))*C226^-0.135,BD226))</f>
        <v>2.101541296129207</v>
      </c>
      <c r="BC226" s="8" t="str">
        <f>IF(W226="No","No",IF(_xlfn.XLOOKUP(E226,Groups!A:A,Groups!U:U)=1,'Base stats'!BB226,IF(OR(_xlfn.XLOOKUP(E226,Groups!A:A,Groups!BD:BD)=1,_xlfn.XLOOKUP(E226,Groups!A:A,Groups!U:U)=2),BD226,IF(_xlfn.XLOOKUP(B226,Animals!B:B,Animals!AO:AO)&gt;4,AVERAGE(BD226,BF226),BF226))))</f>
        <v>No</v>
      </c>
      <c r="BD226" s="8">
        <f t="shared" si="94"/>
        <v>0.84061651845168284</v>
      </c>
      <c r="BE226" s="8">
        <f>IF(_xlfn.XLOOKUP(E226,Groups!A:A,Groups!BE:BE)=1,(0.048*C226^1.01)+(0.071*C226^1.03),0.071*C226^1.03)/IF(_xlfn.XLOOKUP(E226,Groups!A:A,Groups!M:M)=1,0.85,IF(OR(_xlfn.XLOOKUP(B226,Animals!B:B,Animals!AO:AO)&gt;4,_xlfn.XLOOKUP(E226,Groups!A:A,Groups!BC:BC)=1),1.7,1))*C226^-0.25</f>
        <v>1.4840420824152849</v>
      </c>
      <c r="BF226" s="8">
        <f>(0.048*C226^1.01)/IF(_xlfn.XLOOKUP(E226,Groups!A:A,Groups!M:M)=1,0.25,0.8)*C226^-0.25</f>
        <v>3.1685956533600574</v>
      </c>
      <c r="BG226" s="8">
        <f>EXP(1.076*LN(AR226)-4.5397)*IF(_xlfn.XLOOKUP(E226,Groups!A:A,Groups!BC:BC)=1,1.25,IF(_xlfn.XLOOKUP(E226,Groups!A:A,Groups!BD:BD)=1,3.5,2.5))</f>
        <v>28.105119779320624</v>
      </c>
      <c r="BH226" s="8">
        <f>EXP(1.076*LN(AS226)-4.5397)*IF(_xlfn.XLOOKUP(E226,Groups!A:A,Groups!M:M)=1,0.8,IF(_xlfn.XLOOKUP(E226,Groups!A:A,Groups!BC:BC)=1,1.3,3))</f>
        <v>192.62476162223132</v>
      </c>
      <c r="BI226" s="8" t="str">
        <f>IF(W226="No","No",IF(_xlfn.XLOOKUP(E226,Groups!A:A,Groups!U:U)=1,'Base stats'!BJ226,IF(OR(_xlfn.XLOOKUP(E226,Groups!A:A,Groups!BD:BD)=1,_xlfn.XLOOKUP(E226,Groups!A:A,Groups!U:U)=2),BG226,BH226))*1.2)</f>
        <v>No</v>
      </c>
      <c r="BJ226" s="8">
        <f>IFERROR(EXP(1.076*LN(AT226)-4.5397)*IF(_xlfn.XLOOKUP(E226,Groups!A:A,Groups!N:N)="Insect",1,IF(OR(_xlfn.XLOOKUP(E226,Groups!A:A,Groups!N:N)="Pig",_xlfn.XLOOKUP(E226,Groups!A:A,Groups!N:N)="StrongBitingHerbivore"),3.5,3.75)),"No")</f>
        <v>240.78095202778914</v>
      </c>
      <c r="BK226" s="8">
        <f t="shared" si="95"/>
        <v>8</v>
      </c>
      <c r="BL226" s="8">
        <f t="shared" si="96"/>
        <v>16</v>
      </c>
      <c r="BM226" s="8" t="str">
        <f t="shared" si="97"/>
        <v>No</v>
      </c>
      <c r="BN226" s="8">
        <f t="shared" si="98"/>
        <v>15</v>
      </c>
      <c r="BO226" s="8">
        <f t="shared" si="99"/>
        <v>11</v>
      </c>
      <c r="BP226" s="8" t="str" cm="1">
        <f t="array" ref="BP226">IF(AND(_xlfn.XLOOKUP('Base stats'!E226,Groups!A:A,Groups!AD:AD=0),_xlfn.XLOOKUP('Base stats'!E226,Groups!A:A,Groups!P:P=0)),"No",IF(U226="No",AVERAGE(EXP(-0.57+0.99*LN(C226)),EXP(0.32+0.67*LN(C226)))/IF(_xlfn.XLOOKUP(E226,Groups!A:A,Groups!AD:AD)=1,10,2),(0.7354*C226^0.4078)*2/IF(_xlfn.XLOOKUP(E226,Groups!A:A,Groups!BK:BK)=1,1000,100)/IF(_xlfn.XLOOKUP(E226,Groups!A:A,Groups!AJ:AJ)="Photonozoa",3,1)))</f>
        <v>No</v>
      </c>
      <c r="BQ226" s="8" t="str">
        <f>IF(W226="No","No",IF(_xlfn.XLOOKUP(E226,Groups!A:A,Groups!BD:BD)=1,(AO226*5%),EXP(0.7354*LN(C226)^0.4078)*2/IF(_xlfn.XLOOKUP(E226,Groups!A:A,Groups!BL:BL)=1,1000,100)/IF(_xlfn.XLOOKUP(E226,Groups!A:A,Groups!AJ:AJ)="Photonozoa",3,1)))</f>
        <v>No</v>
      </c>
      <c r="BR226" s="8">
        <f>IF(BJ226="No","No",IF(_xlfn.XLOOKUP(E226,Groups!A:A,Groups!BF:BF)=1,(0.0315*C226+2.1825)*2,(0.7354*C226^0.4078)*2)/IF(_xlfn.XLOOKUP(E226,Groups!A:A,Groups!BM:BM)=1,1000,100)/IF(_xlfn.XLOOKUP(E226,Groups!A:A,Groups!AJ:AJ)="Photonozoa",3,1))</f>
        <v>6.6202392635939605E-2</v>
      </c>
      <c r="BS226" s="8">
        <f t="shared" si="100"/>
        <v>4.6041923936601406E-2</v>
      </c>
      <c r="BT226" s="8" t="str">
        <f t="shared" si="101"/>
        <v>No</v>
      </c>
      <c r="BU226" s="8" t="str">
        <f t="shared" si="102"/>
        <v>No</v>
      </c>
      <c r="BV226" s="8">
        <f t="shared" si="103"/>
        <v>3637.0430499678837</v>
      </c>
      <c r="BW226" s="4">
        <v>0</v>
      </c>
      <c r="BX226" s="4">
        <v>1</v>
      </c>
    </row>
    <row r="227" spans="1:76" s="16" customFormat="1" x14ac:dyDescent="0.25">
      <c r="A227" s="26" t="s">
        <v>1398</v>
      </c>
      <c r="B227" s="6" t="s">
        <v>1623</v>
      </c>
      <c r="C227" s="7">
        <v>1500</v>
      </c>
      <c r="D227" s="7" t="s">
        <v>528</v>
      </c>
      <c r="E227" s="7" t="str">
        <f>Groups!$A$83</f>
        <v>Beetle (ROAMER, ARMORED)</v>
      </c>
      <c r="F227" s="7" t="str">
        <f t="shared" ref="F227:F305" si="124">"Lay eggs"</f>
        <v>Lay eggs</v>
      </c>
      <c r="G227" s="7">
        <v>5</v>
      </c>
      <c r="H227" s="7">
        <v>50</v>
      </c>
      <c r="I227" s="4">
        <v>1</v>
      </c>
      <c r="J227" s="7" t="str">
        <f t="shared" ref="J227:J305" si="125">"Lay eggs"</f>
        <v>Lay eggs</v>
      </c>
      <c r="K227" s="7" t="s">
        <v>528</v>
      </c>
      <c r="L227" s="7">
        <v>20</v>
      </c>
      <c r="M227" s="7" t="s">
        <v>528</v>
      </c>
      <c r="N227" s="4">
        <v>0</v>
      </c>
      <c r="O227" s="4">
        <v>0</v>
      </c>
      <c r="P227" s="4">
        <v>0</v>
      </c>
      <c r="Q227" s="4">
        <v>0</v>
      </c>
      <c r="R227" s="4" t="s">
        <v>40</v>
      </c>
      <c r="S227" s="7">
        <f>_xlfn.XLOOKUP(B227,[1]TeethAdjusters!$A:$A,[1]BiteAdjusters!$C:$C,1)</f>
        <v>1</v>
      </c>
      <c r="T227" s="7">
        <f>_xlfn.XLOOKUP(B227,[1]TeethAdjusters!$A:$A,[1]TeethAdjusters!$B:$B,1)</f>
        <v>1</v>
      </c>
      <c r="U227" s="7" t="str">
        <f>IF(OR(_xlfn.XLOOKUP(E227,Groups!A:A,Groups!P:P)=1,_xlfn.XLOOKUP(E227,Groups!A:A,Groups!AD:AD)=1),"Need a formula","No")</f>
        <v>No</v>
      </c>
      <c r="V227" s="7">
        <v>32</v>
      </c>
      <c r="W227" s="7" t="str">
        <f>IF(_xlfn.XLOOKUP(E227,Groups!A:A,Groups!V:V)&lt;&gt;"No","Need a formula","No")</f>
        <v>No</v>
      </c>
      <c r="X227" s="7" t="s">
        <v>932</v>
      </c>
      <c r="Y227" s="4" t="s">
        <v>42</v>
      </c>
      <c r="Z227" s="4">
        <v>1</v>
      </c>
      <c r="AA227" s="4">
        <v>0</v>
      </c>
      <c r="AB227" s="4">
        <v>0</v>
      </c>
      <c r="AC227" s="4">
        <v>0</v>
      </c>
      <c r="AD227" s="4">
        <v>0</v>
      </c>
      <c r="AE227" s="4" t="s">
        <v>45</v>
      </c>
      <c r="AF227" s="4" t="s">
        <v>45</v>
      </c>
      <c r="AG227" s="49" t="s">
        <v>1712</v>
      </c>
      <c r="AH227" s="4" t="str">
        <f>Animals!$C$105</f>
        <v>&lt;li&gt;Megaspider&lt;/li&gt;</v>
      </c>
      <c r="AI227" s="4">
        <v>1</v>
      </c>
      <c r="AJ227" s="4">
        <v>0</v>
      </c>
      <c r="AK227" s="4">
        <v>0</v>
      </c>
      <c r="AL227" s="4">
        <v>0</v>
      </c>
      <c r="AM227" s="4">
        <v>1</v>
      </c>
      <c r="AN227" s="44" t="s">
        <v>40</v>
      </c>
      <c r="AO227" s="8">
        <f t="shared" si="89"/>
        <v>128760.39407088321</v>
      </c>
      <c r="AP227" s="8">
        <f>IFERROR(C227*_xlfn.XLOOKUP(E227,Groups!A:A,Groups!K:K),0.106*C227^0.94)</f>
        <v>480</v>
      </c>
      <c r="AQ227" s="8">
        <f>AP227*10000/(_xlfn.XLOOKUP(E227,Groups!A:A,Groups!J:J)*AO227)</f>
        <v>41.886004356256301</v>
      </c>
      <c r="AR227" s="8">
        <f t="shared" si="90"/>
        <v>26199.019384472653</v>
      </c>
      <c r="AS227" s="8">
        <f>IF(_xlfn.XLOOKUP(E227,Groups!A:A,Groups!M:M)=1,EXP(0.7444*LN('Base stats'!C227)+6.5696),EXP(0.7927*LN('Base stats'!C227)+4.28))</f>
        <v>164976.9846444256</v>
      </c>
      <c r="AT227" s="8">
        <f>IF(_xlfn.XLOOKUP(E227,Groups!A:A,Groups!N:N)="No","No",
IF(_xlfn.XLOOKUP(E227,Groups!A:A,Groups!N:N)="Crocodile",EXP(0.8129*LN(C227)+4.6742)*S227,
IF(_xlfn.XLOOKUP(E227,Groups!A:A,Groups!N:N)="Felid",EXP(0.7843*LN(C227)+4.7073)*S227,
IF(_xlfn.XLOOKUP(E227,Groups!A:A,Groups!N:N)="Canid",EXP(0.8367*LN(C227)+4.8763)*S227,
IF(_xlfn.XLOOKUP(E227,Groups!A:A,Groups!N:N)="Pig",EXP(0.3439*LN(C227)+6.8519)*S227,
IF(_xlfn.XLOOKUP(E227,Groups!A:A,Groups!N:N)="Rodent",EXP(0.5625*LN(C227)+4.3006)*S227,
IF(_xlfn.XLOOKUP(E227,Groups!A:A,Groups!N:N)="Primate",EXP(0.7847*LN(C227)+3.4931)*S227,
IF(_xlfn.XLOOKUP(E227,Groups!A:A,Groups!N:N)="MiscCarnivora",EXP(0.7486*LN(C227)+4.2207)*S227,
IF(_xlfn.XLOOKUP(E227,Groups!A:A,Groups!N:N)="Lizard",EXP(0.7733*LN(C227)+5.5303)*S227,
IF(_xlfn.XLOOKUP(E227,Groups!A:A,Groups!N:N)="Snake",50*C227^(2/3)*S227,
IF(_xlfn.XLOOKUP(E227,Groups!A:A,Groups!N:N)="StrongBitingHerbivore",87.1133638856975*C227^(2/3)*S227,
IF(_xlfn.XLOOKUP(E227,Groups!A:A,Groups!N:N)="MiscEctotherms",59.4316884072269*C227^(2/3)*S227,
IF(_xlfn.XLOOKUP(E227,Groups!A:A,Groups!N:N)="StrongBeakBird",0.041*(C227*1000)^1.375*S227,
IF(_xlfn.XLOOKUP(E227,Groups!A:A,Groups!N:N)="Bird",0.118*(C227*1000)^0.692*S227,
IF(_xlfn.XLOOKUP(E227,Groups!A:A,Groups!N:N)="Insect",EXP(0.7444*LN(C227)+6.5696)*S227,
IF(_xlfn.XLOOKUP(E227,Groups!A:A,Groups!N:N)="Theropod",EXP(0.6966*LN(C227)+4.158)*S227,
"No"))))))))))))))))</f>
        <v>164976.9846444256</v>
      </c>
      <c r="AU227" s="8">
        <f>IF(_xlfn.XLOOKUP(E227,Groups!A:A,Groups!U:U)=3,AS227,IF(_xlfn.XLOOKUP(E227,Groups!A:A,Groups!U:U)=2,AR227,AT227))</f>
        <v>164976.9846444256</v>
      </c>
      <c r="AV227" s="46">
        <f>IFERROR(AVERAGE(_xlfn.XLOOKUP(B227,Animals!B:B,Animals!N:N),_xlfn.XLOOKUP(B227,Animals!B:B,Animals!O:O)),0)</f>
        <v>0.875</v>
      </c>
      <c r="AW227" s="8">
        <f>MROUND(40*Animals!AO227*_xlfn.XLOOKUP(AG227,Leathers!$A$2:$A$99,Leathers!$B$2:$B$99,0)+(140*_xlfn.XLOOKUP(B227,Animals!B:B,Animals!AO:AO)*2),5)</f>
        <v>1050</v>
      </c>
      <c r="AX227" s="8">
        <f>IFERROR(ROUND(SQRT(V227-1)*IF(_xlfn.XLOOKUP(E227,Groups!A:A,Groups!BF:BF)=0,2,1)*IF(_xlfn.XLOOKUP('Base stats'!E227,Groups!A:A,Groups!O:O)=0,1,0.1),1),0)</f>
        <v>11.1</v>
      </c>
      <c r="AY227" s="8">
        <f t="shared" si="91"/>
        <v>0</v>
      </c>
      <c r="AZ227" s="8">
        <f t="shared" si="92"/>
        <v>0</v>
      </c>
      <c r="BA227" s="8">
        <f t="shared" si="93"/>
        <v>11</v>
      </c>
      <c r="BB227" s="8">
        <f>IF(_xlfn.XLOOKUP(E227,Groups!A:A,Groups!N:N)="Insect",BD227*2.5,IFERROR(AVERAGE(BD227,AT227/9.81/IF(OR(_xlfn.XLOOKUP(E227,Groups!A:A,Groups!N:N)="Pig",_xlfn.XLOOKUP(E227,Groups!A:A,Groups!N:N)="StrongBitingHerbivore"),20,25))*C227^-0.135,BD227))</f>
        <v>24.321977647988035</v>
      </c>
      <c r="BC227" s="8" t="str">
        <f>IF(W227="No","No",IF(_xlfn.XLOOKUP(E227,Groups!A:A,Groups!U:U)=1,'Base stats'!BB227,IF(OR(_xlfn.XLOOKUP(E227,Groups!A:A,Groups!BD:BD)=1,_xlfn.XLOOKUP(E227,Groups!A:A,Groups!U:U)=2),BD227,IF(_xlfn.XLOOKUP(B227,Animals!B:B,Animals!AO:AO)&gt;4,AVERAGE(BD227,BF227),BF227))))</f>
        <v>No</v>
      </c>
      <c r="BD227" s="8">
        <f t="shared" si="94"/>
        <v>9.7287910591952134</v>
      </c>
      <c r="BE227" s="8">
        <f>IF(_xlfn.XLOOKUP(E227,Groups!A:A,Groups!BE:BE)=1,(0.048*C227^1.01)+(0.071*C227^1.03),0.071*C227^1.03)/IF(_xlfn.XLOOKUP(E227,Groups!A:A,Groups!M:M)=1,0.85,IF(OR(_xlfn.XLOOKUP(B227,Animals!B:B,Animals!AO:AO)&gt;4,_xlfn.XLOOKUP(E227,Groups!A:A,Groups!BC:BC)=1),1.7,1))*C227^-0.25</f>
        <v>25.07209386657771</v>
      </c>
      <c r="BF227" s="8">
        <f>(0.048*C227^1.01)/IF(_xlfn.XLOOKUP(E227,Groups!A:A,Groups!M:M)=1,0.25,0.8)*C227^-0.25</f>
        <v>49.788676927006655</v>
      </c>
      <c r="BG227" s="8">
        <f>EXP(1.076*LN(AR227)-4.5397)*IF(_xlfn.XLOOKUP(E227,Groups!A:A,Groups!BC:BC)=1,1.25,IF(_xlfn.XLOOKUP(E227,Groups!A:A,Groups!BD:BD)=1,3.5,2.5))</f>
        <v>757.56177417424044</v>
      </c>
      <c r="BH227" s="8">
        <f>EXP(1.076*LN(AS227)-4.5397)*IF(_xlfn.XLOOKUP(E227,Groups!A:A,Groups!M:M)=1,0.8,IF(_xlfn.XLOOKUP(E227,Groups!A:A,Groups!BC:BC)=1,1.3,3))</f>
        <v>3511.3236734157599</v>
      </c>
      <c r="BI227" s="8" t="str">
        <f>IF(W227="No","No",IF(_xlfn.XLOOKUP(E227,Groups!A:A,Groups!U:U)=1,'Base stats'!BJ227,IF(OR(_xlfn.XLOOKUP(E227,Groups!A:A,Groups!BD:BD)=1,_xlfn.XLOOKUP(E227,Groups!A:A,Groups!U:U)=2),BG227,BH227))*1.2)</f>
        <v>No</v>
      </c>
      <c r="BJ227" s="8">
        <f>IFERROR(EXP(1.076*LN(AT227)-4.5397)*IF(_xlfn.XLOOKUP(E227,Groups!A:A,Groups!N:N)="Insect",1,IF(OR(_xlfn.XLOOKUP(E227,Groups!A:A,Groups!N:N)="Pig",_xlfn.XLOOKUP(E227,Groups!A:A,Groups!N:N)="StrongBitingHerbivore"),3.5,3.75)),"No")</f>
        <v>4389.1545917696994</v>
      </c>
      <c r="BK227" s="8">
        <f t="shared" si="95"/>
        <v>12</v>
      </c>
      <c r="BL227" s="8">
        <f t="shared" si="96"/>
        <v>16</v>
      </c>
      <c r="BM227" s="8" t="str">
        <f t="shared" si="97"/>
        <v>No</v>
      </c>
      <c r="BN227" s="8">
        <f t="shared" si="98"/>
        <v>18</v>
      </c>
      <c r="BO227" s="8">
        <f t="shared" si="99"/>
        <v>11</v>
      </c>
      <c r="BP227" s="8" t="str" cm="1">
        <f t="array" ref="BP227">IF(AND(_xlfn.XLOOKUP('Base stats'!E227,Groups!A:A,Groups!AD:AD=0),_xlfn.XLOOKUP('Base stats'!E227,Groups!A:A,Groups!P:P=0)),"No",IF(U227="No",AVERAGE(EXP(-0.57+0.99*LN(C227)),EXP(0.32+0.67*LN(C227)))/IF(_xlfn.XLOOKUP(E227,Groups!A:A,Groups!AD:AD)=1,10,2),(0.7354*C227^0.4078)*2/IF(_xlfn.XLOOKUP(E227,Groups!A:A,Groups!BK:BK)=1,1000,100)/IF(_xlfn.XLOOKUP(E227,Groups!A:A,Groups!AJ:AJ)="Photonozoa",3,1)))</f>
        <v>No</v>
      </c>
      <c r="BQ227" s="8" t="str">
        <f>IF(W227="No","No",IF(_xlfn.XLOOKUP(E227,Groups!A:A,Groups!BD:BD)=1,(AO227*5%),EXP(0.7354*LN(C227)^0.4078)*2/IF(_xlfn.XLOOKUP(E227,Groups!A:A,Groups!BL:BL)=1,1000,100)/IF(_xlfn.XLOOKUP(E227,Groups!A:A,Groups!AJ:AJ)="Photonozoa",3,1)))</f>
        <v>No</v>
      </c>
      <c r="BR227" s="8">
        <f>IF(BJ227="No","No",IF(_xlfn.XLOOKUP(E227,Groups!A:A,Groups!BF:BF)=1,(0.0315*C227+2.1825)*2,(0.7354*C227^0.4078)*2)/IF(_xlfn.XLOOKUP(E227,Groups!A:A,Groups!BM:BM)=1,1000,100)/IF(_xlfn.XLOOKUP(E227,Groups!A:A,Groups!AJ:AJ)="Photonozoa",3,1))</f>
        <v>0.29024425795874792</v>
      </c>
      <c r="BS227" s="8">
        <f t="shared" si="100"/>
        <v>0.11766999932559993</v>
      </c>
      <c r="BT227" s="8" t="str">
        <f t="shared" si="101"/>
        <v>No</v>
      </c>
      <c r="BU227" s="8" t="str">
        <f t="shared" si="102"/>
        <v>No</v>
      </c>
      <c r="BV227" s="8">
        <f t="shared" si="103"/>
        <v>15122.278809710422</v>
      </c>
      <c r="BW227" s="4">
        <v>0</v>
      </c>
      <c r="BX227" s="4">
        <v>1</v>
      </c>
    </row>
    <row r="228" spans="1:76" s="16" customFormat="1" x14ac:dyDescent="0.25">
      <c r="A228" s="26" t="s">
        <v>1456</v>
      </c>
      <c r="B228" s="6" t="s">
        <v>1754</v>
      </c>
      <c r="C228" s="7">
        <v>1500</v>
      </c>
      <c r="D228" s="7" t="s">
        <v>528</v>
      </c>
      <c r="E228" s="7" t="str">
        <f>Groups!$A$75</f>
        <v>ArmoredWorm</v>
      </c>
      <c r="F228" s="7">
        <f>ROUND(7.545*(C228*1000)^0.2689,0)</f>
        <v>345</v>
      </c>
      <c r="G228" s="7">
        <v>5</v>
      </c>
      <c r="H228" s="7">
        <v>40</v>
      </c>
      <c r="I228" s="4">
        <v>0</v>
      </c>
      <c r="J228" s="7">
        <v>1</v>
      </c>
      <c r="K228" s="7" t="s">
        <v>528</v>
      </c>
      <c r="L228" s="7">
        <v>16</v>
      </c>
      <c r="M228" s="7" t="s">
        <v>528</v>
      </c>
      <c r="N228" s="4">
        <v>0</v>
      </c>
      <c r="O228" s="4">
        <v>0</v>
      </c>
      <c r="P228" s="4">
        <v>0</v>
      </c>
      <c r="Q228" s="4">
        <v>0</v>
      </c>
      <c r="R228" s="4" t="s">
        <v>40</v>
      </c>
      <c r="S228" s="7">
        <f>_xlfn.XLOOKUP(B228,[1]TeethAdjusters!$A:$A,[1]BiteAdjusters!$C:$C,1)</f>
        <v>1</v>
      </c>
      <c r="T228" s="7">
        <f>_xlfn.XLOOKUP(B228,[1]TeethAdjusters!$A:$A,[1]TeethAdjusters!$B:$B,1)</f>
        <v>1</v>
      </c>
      <c r="U228" s="7" t="str">
        <f>IF(OR(_xlfn.XLOOKUP(E228,Groups!A:A,Groups!P:P)=1,_xlfn.XLOOKUP(E228,Groups!A:A,Groups!AD:AD)=1),"Need a formula","No")</f>
        <v>No</v>
      </c>
      <c r="V228" s="7">
        <v>16</v>
      </c>
      <c r="W228" s="7" t="str">
        <f>IF(_xlfn.XLOOKUP(E228,Groups!A:A,Groups!V:V)&lt;&gt;"No","Need a formula","No")</f>
        <v>No</v>
      </c>
      <c r="X228" s="7" t="s">
        <v>932</v>
      </c>
      <c r="Y228" s="4" t="s">
        <v>42</v>
      </c>
      <c r="Z228" s="4">
        <v>1</v>
      </c>
      <c r="AA228" s="4">
        <v>0</v>
      </c>
      <c r="AB228" s="4">
        <v>0</v>
      </c>
      <c r="AC228" s="4">
        <v>0</v>
      </c>
      <c r="AD228" s="4">
        <v>0</v>
      </c>
      <c r="AE228" s="4" t="s">
        <v>45</v>
      </c>
      <c r="AF228" s="4" t="s">
        <v>311</v>
      </c>
      <c r="AG228" s="49" t="s">
        <v>1712</v>
      </c>
      <c r="AH228" s="4" t="str">
        <f>Animals!$C$105</f>
        <v>&lt;li&gt;Megaspider&lt;/li&gt;</v>
      </c>
      <c r="AI228" s="4">
        <v>0</v>
      </c>
      <c r="AJ228" s="4">
        <v>0</v>
      </c>
      <c r="AK228" s="4">
        <v>0</v>
      </c>
      <c r="AL228" s="4">
        <v>0</v>
      </c>
      <c r="AM228" s="4">
        <v>1</v>
      </c>
      <c r="AN228" s="44" t="s">
        <v>40</v>
      </c>
      <c r="AO228" s="8">
        <f t="shared" si="89"/>
        <v>128760.39407088321</v>
      </c>
      <c r="AP228" s="8">
        <f>IFERROR(C228*_xlfn.XLOOKUP(E228,Groups!A:A,Groups!K:K),0.106*C228^0.94)</f>
        <v>480</v>
      </c>
      <c r="AQ228" s="8">
        <f>AP228*10000/(_xlfn.XLOOKUP(E228,Groups!A:A,Groups!J:J)*AO228)</f>
        <v>41.886004356256301</v>
      </c>
      <c r="AR228" s="8">
        <f t="shared" si="90"/>
        <v>26199.019384472653</v>
      </c>
      <c r="AS228" s="8">
        <f>IF(_xlfn.XLOOKUP(E228,Groups!A:A,Groups!M:M)=1,EXP(0.7444*LN('Base stats'!C228)+6.5696),EXP(0.7927*LN('Base stats'!C228)+4.28))</f>
        <v>23794.025550249138</v>
      </c>
      <c r="AT228" s="8">
        <f>IF(_xlfn.XLOOKUP(E228,Groups!A:A,Groups!N:N)="No","No",
IF(_xlfn.XLOOKUP(E228,Groups!A:A,Groups!N:N)="Crocodile",EXP(0.8129*LN(C228)+4.6742)*S228,
IF(_xlfn.XLOOKUP(E228,Groups!A:A,Groups!N:N)="Felid",EXP(0.7843*LN(C228)+4.7073)*S228,
IF(_xlfn.XLOOKUP(E228,Groups!A:A,Groups!N:N)="Canid",EXP(0.8367*LN(C228)+4.8763)*S228,
IF(_xlfn.XLOOKUP(E228,Groups!A:A,Groups!N:N)="Pig",EXP(0.3439*LN(C228)+6.8519)*S228,
IF(_xlfn.XLOOKUP(E228,Groups!A:A,Groups!N:N)="Rodent",EXP(0.5625*LN(C228)+4.3006)*S228,
IF(_xlfn.XLOOKUP(E228,Groups!A:A,Groups!N:N)="Primate",EXP(0.7847*LN(C228)+3.4931)*S228,
IF(_xlfn.XLOOKUP(E228,Groups!A:A,Groups!N:N)="MiscCarnivora",EXP(0.7486*LN(C228)+4.2207)*S228,
IF(_xlfn.XLOOKUP(E228,Groups!A:A,Groups!N:N)="Lizard",EXP(0.7733*LN(C228)+5.5303)*S228,
IF(_xlfn.XLOOKUP(E228,Groups!A:A,Groups!N:N)="Snake",50*C228^(2/3)*S228,
IF(_xlfn.XLOOKUP(E228,Groups!A:A,Groups!N:N)="StrongBitingHerbivore",87.1133638856975*C228^(2/3)*S228,
IF(_xlfn.XLOOKUP(E228,Groups!A:A,Groups!N:N)="MiscEctotherms",59.4316884072269*C228^(2/3)*S228,
IF(_xlfn.XLOOKUP(E228,Groups!A:A,Groups!N:N)="StrongBeakBird",0.041*(C228*1000)^1.375*S228,
IF(_xlfn.XLOOKUP(E228,Groups!A:A,Groups!N:N)="Bird",0.118*(C228*1000)^0.692*S228,
IF(_xlfn.XLOOKUP(E228,Groups!A:A,Groups!N:N)="Insect",EXP(0.7444*LN(C228)+6.5696)*S228,
IF(_xlfn.XLOOKUP(E228,Groups!A:A,Groups!N:N)="Theropod",EXP(0.6966*LN(C228)+4.158)*S228,
"No"))))))))))))))))</f>
        <v>164976.9846444256</v>
      </c>
      <c r="AU228" s="8">
        <f>IF(_xlfn.XLOOKUP(E228,Groups!A:A,Groups!U:U)=3,AS228,IF(_xlfn.XLOOKUP(E228,Groups!A:A,Groups!U:U)=2,AR228,AT228))</f>
        <v>164976.9846444256</v>
      </c>
      <c r="AV228" s="46">
        <f>IFERROR(AVERAGE(_xlfn.XLOOKUP(B228,Animals!B:B,Animals!N:N),_xlfn.XLOOKUP(B228,Animals!B:B,Animals!O:O)),0)</f>
        <v>0.875</v>
      </c>
      <c r="AW228" s="8">
        <f>MROUND(40*Animals!AO228*_xlfn.XLOOKUP(AG228,Leathers!$A$2:$A$99,Leathers!$B$2:$B$99,0)+(140*_xlfn.XLOOKUP(B228,Animals!B:B,Animals!AO:AO)*2),5)</f>
        <v>1050</v>
      </c>
      <c r="AX228" s="8">
        <f>IFERROR(ROUND(SQRT(V228-1)*IF(_xlfn.XLOOKUP(E228,Groups!A:A,Groups!BF:BF)=0,2,1)*IF(_xlfn.XLOOKUP('Base stats'!E228,Groups!A:A,Groups!O:O)=0,1,0.1),1),0)</f>
        <v>7.7</v>
      </c>
      <c r="AY228" s="8">
        <f t="shared" si="91"/>
        <v>0</v>
      </c>
      <c r="AZ228" s="8">
        <f t="shared" si="92"/>
        <v>0</v>
      </c>
      <c r="BA228" s="8">
        <f t="shared" si="93"/>
        <v>11</v>
      </c>
      <c r="BB228" s="8">
        <f>IF(_xlfn.XLOOKUP(E228,Groups!A:A,Groups!N:N)="Insect",BD228*2.5,IFERROR(AVERAGE(BD228,AT228/9.81/IF(OR(_xlfn.XLOOKUP(E228,Groups!A:A,Groups!N:N)="Pig",_xlfn.XLOOKUP(E228,Groups!A:A,Groups!N:N)="StrongBitingHerbivore"),20,25))*C228^-0.135,BD228))</f>
        <v>24.321977647988035</v>
      </c>
      <c r="BC228" s="8" t="str">
        <f>IF(W228="No","No",IF(_xlfn.XLOOKUP(E228,Groups!A:A,Groups!U:U)=1,'Base stats'!BB228,IF(OR(_xlfn.XLOOKUP(E228,Groups!A:A,Groups!BD:BD)=1,_xlfn.XLOOKUP(E228,Groups!A:A,Groups!U:U)=2),BD228,IF(_xlfn.XLOOKUP(B228,Animals!B:B,Animals!AO:AO)&gt;4,AVERAGE(BD228,BF228),BF228))))</f>
        <v>No</v>
      </c>
      <c r="BD228" s="8">
        <f t="shared" si="94"/>
        <v>9.7287910591952134</v>
      </c>
      <c r="BE228" s="8">
        <f>IF(_xlfn.XLOOKUP(E228,Groups!A:A,Groups!BE:BE)=1,(0.048*C228^1.01)+(0.071*C228^1.03),0.071*C228^1.03)/IF(_xlfn.XLOOKUP(E228,Groups!A:A,Groups!M:M)=1,0.85,IF(OR(_xlfn.XLOOKUP(B228,Animals!B:B,Animals!AO:AO)&gt;4,_xlfn.XLOOKUP(E228,Groups!A:A,Groups!BC:BC)=1),1.7,1))*C228^-0.25</f>
        <v>12.536046933288855</v>
      </c>
      <c r="BF228" s="8">
        <f>(0.048*C228^1.01)/IF(_xlfn.XLOOKUP(E228,Groups!A:A,Groups!M:M)=1,0.25,0.8)*C228^-0.25</f>
        <v>15.558961539689577</v>
      </c>
      <c r="BG228" s="8">
        <f>EXP(1.076*LN(AR228)-4.5397)*IF(_xlfn.XLOOKUP(E228,Groups!A:A,Groups!BC:BC)=1,1.25,IF(_xlfn.XLOOKUP(E228,Groups!A:A,Groups!BD:BD)=1,3.5,2.5))</f>
        <v>757.56177417424044</v>
      </c>
      <c r="BH228" s="8">
        <f>EXP(1.076*LN(AS228)-4.5397)*IF(_xlfn.XLOOKUP(E228,Groups!A:A,Groups!M:M)=1,0.8,IF(_xlfn.XLOOKUP(E228,Groups!A:A,Groups!BC:BC)=1,1.3,3))</f>
        <v>710.32349297468113</v>
      </c>
      <c r="BI228" s="8" t="str">
        <f>IF(W228="No","No",IF(_xlfn.XLOOKUP(E228,Groups!A:A,Groups!U:U)=1,'Base stats'!BJ228,IF(OR(_xlfn.XLOOKUP(E228,Groups!A:A,Groups!BD:BD)=1,_xlfn.XLOOKUP(E228,Groups!A:A,Groups!U:U)=2),BG228,BH228))*1.2)</f>
        <v>No</v>
      </c>
      <c r="BJ228" s="8">
        <f>IFERROR(EXP(1.076*LN(AT228)-4.5397)*IF(_xlfn.XLOOKUP(E228,Groups!A:A,Groups!N:N)="Insect",1,IF(OR(_xlfn.XLOOKUP(E228,Groups!A:A,Groups!N:N)="Pig",_xlfn.XLOOKUP(E228,Groups!A:A,Groups!N:N)="StrongBitingHerbivore"),3.5,3.75)),"No")</f>
        <v>4389.1545917696994</v>
      </c>
      <c r="BK228" s="8">
        <f t="shared" si="95"/>
        <v>12</v>
      </c>
      <c r="BL228" s="8">
        <f t="shared" si="96"/>
        <v>10</v>
      </c>
      <c r="BM228" s="8" t="str">
        <f t="shared" si="97"/>
        <v>No</v>
      </c>
      <c r="BN228" s="8">
        <f t="shared" si="98"/>
        <v>18</v>
      </c>
      <c r="BO228" s="8">
        <f t="shared" si="99"/>
        <v>9</v>
      </c>
      <c r="BP228" s="8" t="str" cm="1">
        <f t="array" ref="BP228">IF(AND(_xlfn.XLOOKUP('Base stats'!E228,Groups!A:A,Groups!AD:AD=0),_xlfn.XLOOKUP('Base stats'!E228,Groups!A:A,Groups!P:P=0)),"No",IF(U228="No",AVERAGE(EXP(-0.57+0.99*LN(C228)),EXP(0.32+0.67*LN(C228)))/IF(_xlfn.XLOOKUP(E228,Groups!A:A,Groups!AD:AD)=1,10,2),(0.7354*C228^0.4078)*2/IF(_xlfn.XLOOKUP(E228,Groups!A:A,Groups!BK:BK)=1,1000,100)/IF(_xlfn.XLOOKUP(E228,Groups!A:A,Groups!AJ:AJ)="Photonozoa",3,1)))</f>
        <v>No</v>
      </c>
      <c r="BQ228" s="8" t="str">
        <f>IF(W228="No","No",IF(_xlfn.XLOOKUP(E228,Groups!A:A,Groups!BD:BD)=1,(AO228*5%),EXP(0.7354*LN(C228)^0.4078)*2/IF(_xlfn.XLOOKUP(E228,Groups!A:A,Groups!BL:BL)=1,1000,100)/IF(_xlfn.XLOOKUP(E228,Groups!A:A,Groups!AJ:AJ)="Photonozoa",3,1)))</f>
        <v>No</v>
      </c>
      <c r="BR228" s="8">
        <f>IF(BJ228="No","No",IF(_xlfn.XLOOKUP(E228,Groups!A:A,Groups!BF:BF)=1,(0.0315*C228+2.1825)*2,(0.7354*C228^0.4078)*2)/IF(_xlfn.XLOOKUP(E228,Groups!A:A,Groups!BM:BM)=1,1000,100)/IF(_xlfn.XLOOKUP(E228,Groups!A:A,Groups!AJ:AJ)="Photonozoa",3,1))</f>
        <v>0.29024425795874792</v>
      </c>
      <c r="BS228" s="8">
        <f t="shared" si="100"/>
        <v>0.11766999932559993</v>
      </c>
      <c r="BT228" s="8" t="str">
        <f t="shared" si="101"/>
        <v>No</v>
      </c>
      <c r="BU228" s="8" t="str">
        <f t="shared" si="102"/>
        <v>No</v>
      </c>
      <c r="BV228" s="8">
        <f t="shared" si="103"/>
        <v>15122.278809710422</v>
      </c>
      <c r="BW228" s="4">
        <v>0</v>
      </c>
      <c r="BX228" s="4">
        <v>1</v>
      </c>
    </row>
    <row r="229" spans="1:76" s="16" customFormat="1" x14ac:dyDescent="0.25">
      <c r="A229" s="26" t="s">
        <v>1474</v>
      </c>
      <c r="B229" s="6" t="s">
        <v>1651</v>
      </c>
      <c r="C229" s="7">
        <v>1300</v>
      </c>
      <c r="D229" s="7" t="s">
        <v>528</v>
      </c>
      <c r="E229" s="7" t="str">
        <f>Groups!$A$75</f>
        <v>ArmoredWorm</v>
      </c>
      <c r="F229" s="7">
        <f>ROUND(7.545*(C229*1000)^0.2689,0)</f>
        <v>332</v>
      </c>
      <c r="G229" s="7">
        <v>6</v>
      </c>
      <c r="H229" s="7">
        <v>40</v>
      </c>
      <c r="I229" s="4">
        <v>0</v>
      </c>
      <c r="J229" s="7">
        <v>1</v>
      </c>
      <c r="K229" s="7" t="s">
        <v>528</v>
      </c>
      <c r="L229" s="7">
        <v>16</v>
      </c>
      <c r="M229" s="7" t="s">
        <v>528</v>
      </c>
      <c r="N229" s="4">
        <v>0</v>
      </c>
      <c r="O229" s="4">
        <v>0</v>
      </c>
      <c r="P229" s="4">
        <v>0</v>
      </c>
      <c r="Q229" s="4">
        <v>0</v>
      </c>
      <c r="R229" s="4" t="s">
        <v>40</v>
      </c>
      <c r="S229" s="7">
        <f>_xlfn.XLOOKUP(B229,[1]TeethAdjusters!$A:$A,[1]BiteAdjusters!$C:$C,1)</f>
        <v>1</v>
      </c>
      <c r="T229" s="7">
        <f>_xlfn.XLOOKUP(B229,[1]TeethAdjusters!$A:$A,[1]TeethAdjusters!$B:$B,1)</f>
        <v>1</v>
      </c>
      <c r="U229" s="7" t="str">
        <f>IF(OR(_xlfn.XLOOKUP(E229,Groups!A:A,Groups!P:P)=1,_xlfn.XLOOKUP(E229,Groups!A:A,Groups!AD:AD)=1),"Need a formula","No")</f>
        <v>No</v>
      </c>
      <c r="V229" s="7">
        <v>12</v>
      </c>
      <c r="W229" s="7" t="str">
        <f>IF(_xlfn.XLOOKUP(E229,Groups!A:A,Groups!V:V)&lt;&gt;"No","Need a formula","No")</f>
        <v>No</v>
      </c>
      <c r="X229" s="7" t="s">
        <v>932</v>
      </c>
      <c r="Y229" s="4" t="s">
        <v>56</v>
      </c>
      <c r="Z229" s="4">
        <v>1</v>
      </c>
      <c r="AA229" s="4">
        <v>0</v>
      </c>
      <c r="AB229" s="4">
        <v>0</v>
      </c>
      <c r="AC229" s="4">
        <v>0</v>
      </c>
      <c r="AD229" s="4">
        <v>0</v>
      </c>
      <c r="AE229" s="4" t="s">
        <v>45</v>
      </c>
      <c r="AF229" s="4" t="s">
        <v>311</v>
      </c>
      <c r="AG229" s="49" t="s">
        <v>1712</v>
      </c>
      <c r="AH229" s="4" t="str">
        <f>Animals!$C$105</f>
        <v>&lt;li&gt;Megaspider&lt;/li&gt;</v>
      </c>
      <c r="AI229" s="4">
        <v>0</v>
      </c>
      <c r="AJ229" s="4">
        <v>0</v>
      </c>
      <c r="AK229" s="4">
        <v>0</v>
      </c>
      <c r="AL229" s="4">
        <v>0</v>
      </c>
      <c r="AM229" s="4">
        <v>1</v>
      </c>
      <c r="AN229" s="44" t="s">
        <v>40</v>
      </c>
      <c r="AO229" s="8">
        <f t="shared" si="89"/>
        <v>117323.80996518758</v>
      </c>
      <c r="AP229" s="8">
        <f>IFERROR(C229*_xlfn.XLOOKUP(E229,Groups!A:A,Groups!K:K),0.106*C229^0.94)</f>
        <v>416</v>
      </c>
      <c r="AQ229" s="8">
        <f>AP229*10000/(_xlfn.XLOOKUP(E229,Groups!A:A,Groups!J:J)*AO229)</f>
        <v>39.839801526712321</v>
      </c>
      <c r="AR229" s="8">
        <f t="shared" si="90"/>
        <v>23216.069723044377</v>
      </c>
      <c r="AS229" s="8">
        <f>IF(_xlfn.XLOOKUP(E229,Groups!A:A,Groups!M:M)=1,EXP(0.7444*LN('Base stats'!C229)+6.5696),EXP(0.7927*LN('Base stats'!C229)+4.28))</f>
        <v>21242.385104191602</v>
      </c>
      <c r="AT229" s="8">
        <f>IF(_xlfn.XLOOKUP(E229,Groups!A:A,Groups!N:N)="No","No",
IF(_xlfn.XLOOKUP(E229,Groups!A:A,Groups!N:N)="Crocodile",EXP(0.8129*LN(C229)+4.6742)*S229,
IF(_xlfn.XLOOKUP(E229,Groups!A:A,Groups!N:N)="Felid",EXP(0.7843*LN(C229)+4.7073)*S229,
IF(_xlfn.XLOOKUP(E229,Groups!A:A,Groups!N:N)="Canid",EXP(0.8367*LN(C229)+4.8763)*S229,
IF(_xlfn.XLOOKUP(E229,Groups!A:A,Groups!N:N)="Pig",EXP(0.3439*LN(C229)+6.8519)*S229,
IF(_xlfn.XLOOKUP(E229,Groups!A:A,Groups!N:N)="Rodent",EXP(0.5625*LN(C229)+4.3006)*S229,
IF(_xlfn.XLOOKUP(E229,Groups!A:A,Groups!N:N)="Primate",EXP(0.7847*LN(C229)+3.4931)*S229,
IF(_xlfn.XLOOKUP(E229,Groups!A:A,Groups!N:N)="MiscCarnivora",EXP(0.7486*LN(C229)+4.2207)*S229,
IF(_xlfn.XLOOKUP(E229,Groups!A:A,Groups!N:N)="Lizard",EXP(0.7733*LN(C229)+5.5303)*S229,
IF(_xlfn.XLOOKUP(E229,Groups!A:A,Groups!N:N)="Snake",50*C229^(2/3)*S229,
IF(_xlfn.XLOOKUP(E229,Groups!A:A,Groups!N:N)="StrongBitingHerbivore",87.1133638856975*C229^(2/3)*S229,
IF(_xlfn.XLOOKUP(E229,Groups!A:A,Groups!N:N)="MiscEctotherms",59.4316884072269*C229^(2/3)*S229,
IF(_xlfn.XLOOKUP(E229,Groups!A:A,Groups!N:N)="StrongBeakBird",0.041*(C229*1000)^1.375*S229,
IF(_xlfn.XLOOKUP(E229,Groups!A:A,Groups!N:N)="Bird",0.118*(C229*1000)^0.692*S229,
IF(_xlfn.XLOOKUP(E229,Groups!A:A,Groups!N:N)="Insect",EXP(0.7444*LN(C229)+6.5696)*S229,
IF(_xlfn.XLOOKUP(E229,Groups!A:A,Groups!N:N)="Theropod",EXP(0.6966*LN(C229)+4.158)*S229,
"No"))))))))))))))))</f>
        <v>148306.59356722567</v>
      </c>
      <c r="AU229" s="8">
        <f>IF(_xlfn.XLOOKUP(E229,Groups!A:A,Groups!U:U)=3,AS229,IF(_xlfn.XLOOKUP(E229,Groups!A:A,Groups!U:U)=2,AR229,AT229))</f>
        <v>148306.59356722567</v>
      </c>
      <c r="AV229" s="46">
        <f>IFERROR(AVERAGE(_xlfn.XLOOKUP(B229,Animals!B:B,Animals!N:N),_xlfn.XLOOKUP(B229,Animals!B:B,Animals!O:O)),0)</f>
        <v>0.875</v>
      </c>
      <c r="AW229" s="8">
        <f>MROUND(40*Animals!AO229*_xlfn.XLOOKUP(AG229,Leathers!$A$2:$A$99,Leathers!$B$2:$B$99,0)+(140*_xlfn.XLOOKUP(B229,Animals!B:B,Animals!AO:AO)*2),5)</f>
        <v>1050</v>
      </c>
      <c r="AX229" s="8">
        <f>IFERROR(ROUND(SQRT(V229-1)*IF(_xlfn.XLOOKUP(E229,Groups!A:A,Groups!BF:BF)=0,2,1)*IF(_xlfn.XLOOKUP('Base stats'!E229,Groups!A:A,Groups!O:O)=0,1,0.1),1),0)</f>
        <v>6.6</v>
      </c>
      <c r="AY229" s="8">
        <f t="shared" si="91"/>
        <v>0</v>
      </c>
      <c r="AZ229" s="8">
        <f t="shared" si="92"/>
        <v>0</v>
      </c>
      <c r="BA229" s="8">
        <f t="shared" si="93"/>
        <v>10.4</v>
      </c>
      <c r="BB229" s="8">
        <f>IF(_xlfn.XLOOKUP(E229,Groups!A:A,Groups!N:N)="Insect",BD229*2.5,IFERROR(AVERAGE(BD229,AT229/9.81/IF(OR(_xlfn.XLOOKUP(E229,Groups!A:A,Groups!N:N)="Pig",_xlfn.XLOOKUP(E229,Groups!A:A,Groups!N:N)="StrongBitingHerbivore"),20,25))*C229^-0.135,BD229))</f>
        <v>37.923900762099436</v>
      </c>
      <c r="BC229" s="8" t="str">
        <f>IF(W229="No","No",IF(_xlfn.XLOOKUP(E229,Groups!A:A,Groups!U:U)=1,'Base stats'!BB229,IF(OR(_xlfn.XLOOKUP(E229,Groups!A:A,Groups!BD:BD)=1,_xlfn.XLOOKUP(E229,Groups!A:A,Groups!U:U)=2),BD229,IF(_xlfn.XLOOKUP(B229,Animals!B:B,Animals!AO:AO)&gt;4,AVERAGE(BD229,BF229),BF229))))</f>
        <v>No</v>
      </c>
      <c r="BD229" s="8">
        <f t="shared" si="94"/>
        <v>15.169560304839775</v>
      </c>
      <c r="BE229" s="8">
        <f>IF(_xlfn.XLOOKUP(E229,Groups!A:A,Groups!BE:BE)=1,(0.048*C229^1.01)+(0.071*C229^1.03),0.071*C229^1.03)/IF(_xlfn.XLOOKUP(E229,Groups!A:A,Groups!M:M)=1,0.85,IF(OR(_xlfn.XLOOKUP(B229,Animals!B:B,Animals!AO:AO)&gt;4,_xlfn.XLOOKUP(E229,Groups!A:A,Groups!BC:BC)=1),1.7,1))*C229^-0.25</f>
        <v>11.212055584582782</v>
      </c>
      <c r="BF229" s="8">
        <f>(0.048*C229^1.01)/IF(_xlfn.XLOOKUP(E229,Groups!A:A,Groups!M:M)=1,0.25,0.8)*C229^-0.25</f>
        <v>13.955589880177047</v>
      </c>
      <c r="BG229" s="8">
        <f>EXP(1.076*LN(AR229)-4.5397)*IF(_xlfn.XLOOKUP(E229,Groups!A:A,Groups!BC:BC)=1,1.25,IF(_xlfn.XLOOKUP(E229,Groups!A:A,Groups!BD:BD)=1,3.5,2.5))</f>
        <v>665.1689895658742</v>
      </c>
      <c r="BH229" s="8">
        <f>EXP(1.076*LN(AS229)-4.5397)*IF(_xlfn.XLOOKUP(E229,Groups!A:A,Groups!M:M)=1,0.8,IF(_xlfn.XLOOKUP(E229,Groups!A:A,Groups!BC:BC)=1,1.3,3))</f>
        <v>628.70573194062922</v>
      </c>
      <c r="BI229" s="8" t="str">
        <f>IF(W229="No","No",IF(_xlfn.XLOOKUP(E229,Groups!A:A,Groups!U:U)=1,'Base stats'!BJ229,IF(OR(_xlfn.XLOOKUP(E229,Groups!A:A,Groups!BD:BD)=1,_xlfn.XLOOKUP(E229,Groups!A:A,Groups!U:U)=2),BG229,BH229))*1.2)</f>
        <v>No</v>
      </c>
      <c r="BJ229" s="8">
        <f>IFERROR(EXP(1.076*LN(AT229)-4.5397)*IF(_xlfn.XLOOKUP(E229,Groups!A:A,Groups!N:N)="Insect",1,IF(OR(_xlfn.XLOOKUP(E229,Groups!A:A,Groups!N:N)="Pig",_xlfn.XLOOKUP(E229,Groups!A:A,Groups!N:N)="StrongBitingHerbivore"),3.5,3.75)),"No")</f>
        <v>3913.8303368139841</v>
      </c>
      <c r="BK229" s="8">
        <f t="shared" si="95"/>
        <v>9</v>
      </c>
      <c r="BL229" s="8">
        <f t="shared" si="96"/>
        <v>10</v>
      </c>
      <c r="BM229" s="8" t="str">
        <f t="shared" si="97"/>
        <v>No</v>
      </c>
      <c r="BN229" s="8">
        <f t="shared" si="98"/>
        <v>14</v>
      </c>
      <c r="BO229" s="8">
        <f t="shared" si="99"/>
        <v>9</v>
      </c>
      <c r="BP229" s="8" t="str" cm="1">
        <f t="array" ref="BP229">IF(AND(_xlfn.XLOOKUP('Base stats'!E229,Groups!A:A,Groups!AD:AD=0),_xlfn.XLOOKUP('Base stats'!E229,Groups!A:A,Groups!P:P=0)),"No",IF(U229="No",AVERAGE(EXP(-0.57+0.99*LN(C229)),EXP(0.32+0.67*LN(C229)))/IF(_xlfn.XLOOKUP(E229,Groups!A:A,Groups!AD:AD)=1,10,2),(0.7354*C229^0.4078)*2/IF(_xlfn.XLOOKUP(E229,Groups!A:A,Groups!BK:BK)=1,1000,100)/IF(_xlfn.XLOOKUP(E229,Groups!A:A,Groups!AJ:AJ)="Photonozoa",3,1)))</f>
        <v>No</v>
      </c>
      <c r="BQ229" s="8" t="str">
        <f>IF(W229="No","No",IF(_xlfn.XLOOKUP(E229,Groups!A:A,Groups!BD:BD)=1,(AO229*5%),EXP(0.7354*LN(C229)^0.4078)*2/IF(_xlfn.XLOOKUP(E229,Groups!A:A,Groups!BL:BL)=1,1000,100)/IF(_xlfn.XLOOKUP(E229,Groups!A:A,Groups!AJ:AJ)="Photonozoa",3,1)))</f>
        <v>No</v>
      </c>
      <c r="BR229" s="8">
        <f>IF(BJ229="No","No",IF(_xlfn.XLOOKUP(E229,Groups!A:A,Groups!BF:BF)=1,(0.0315*C229+2.1825)*2,(0.7354*C229^0.4078)*2)/IF(_xlfn.XLOOKUP(E229,Groups!A:A,Groups!BM:BM)=1,1000,100)/IF(_xlfn.XLOOKUP(E229,Groups!A:A,Groups!AJ:AJ)="Photonozoa",3,1))</f>
        <v>0.27379134816715855</v>
      </c>
      <c r="BS229" s="8">
        <f t="shared" si="100"/>
        <v>0.11339028109694761</v>
      </c>
      <c r="BT229" s="8" t="str">
        <f t="shared" si="101"/>
        <v>No</v>
      </c>
      <c r="BU229" s="8" t="str">
        <f t="shared" si="102"/>
        <v>No</v>
      </c>
      <c r="BV229" s="8">
        <f t="shared" si="103"/>
        <v>14294.937962847764</v>
      </c>
      <c r="BW229" s="4">
        <v>0</v>
      </c>
      <c r="BX229" s="4">
        <v>1</v>
      </c>
    </row>
    <row r="230" spans="1:76" s="16" customFormat="1" x14ac:dyDescent="0.25">
      <c r="A230" s="26" t="s">
        <v>1580</v>
      </c>
      <c r="B230" s="6" t="s">
        <v>1688</v>
      </c>
      <c r="C230" s="7">
        <v>4.5</v>
      </c>
      <c r="D230" s="7" t="s">
        <v>528</v>
      </c>
      <c r="E230" s="7" t="str">
        <f>Groups!$A$115</f>
        <v>Beetle (CLAWS, SWARMLING)</v>
      </c>
      <c r="F230" s="7" t="str">
        <f t="shared" ref="F230" si="126">"Lay eggs"</f>
        <v>Lay eggs</v>
      </c>
      <c r="G230" s="7">
        <v>1</v>
      </c>
      <c r="H230" s="7">
        <v>10</v>
      </c>
      <c r="I230" s="4">
        <v>0</v>
      </c>
      <c r="J230" s="7" t="str">
        <f t="shared" ref="J230" si="127">"Lay eggs"</f>
        <v>Lay eggs</v>
      </c>
      <c r="K230" s="7" t="s">
        <v>528</v>
      </c>
      <c r="L230" s="7">
        <v>25</v>
      </c>
      <c r="M230" s="7" t="s">
        <v>528</v>
      </c>
      <c r="N230" s="4">
        <v>0</v>
      </c>
      <c r="O230" s="4">
        <v>0</v>
      </c>
      <c r="P230" s="4">
        <v>0</v>
      </c>
      <c r="Q230" s="4">
        <v>0</v>
      </c>
      <c r="R230" s="4">
        <v>1</v>
      </c>
      <c r="S230" s="7">
        <f>_xlfn.XLOOKUP(B230,[1]TeethAdjusters!$A:$A,[1]BiteAdjusters!$C:$C,1)</f>
        <v>1</v>
      </c>
      <c r="T230" s="7">
        <f>_xlfn.XLOOKUP(B230,[1]TeethAdjusters!$A:$A,[1]TeethAdjusters!$B:$B,1)</f>
        <v>1</v>
      </c>
      <c r="U230" s="7" t="s">
        <v>45</v>
      </c>
      <c r="V230" s="7">
        <v>2</v>
      </c>
      <c r="W230" s="7" t="s">
        <v>45</v>
      </c>
      <c r="X230" s="7" t="s">
        <v>932</v>
      </c>
      <c r="Y230" s="4" t="s">
        <v>53</v>
      </c>
      <c r="Z230" s="4">
        <v>1</v>
      </c>
      <c r="AA230" s="4">
        <v>0</v>
      </c>
      <c r="AB230" s="4">
        <v>0</v>
      </c>
      <c r="AC230" s="4">
        <v>0</v>
      </c>
      <c r="AD230" s="4">
        <v>0</v>
      </c>
      <c r="AE230" s="4" t="s">
        <v>1046</v>
      </c>
      <c r="AF230" s="4" t="s">
        <v>398</v>
      </c>
      <c r="AG230" s="49" t="s">
        <v>1712</v>
      </c>
      <c r="AH230" s="4" t="str">
        <f>Animals!$C$105</f>
        <v>&lt;li&gt;Megaspider&lt;/li&gt;</v>
      </c>
      <c r="AI230" s="4">
        <v>0</v>
      </c>
      <c r="AJ230" s="4">
        <v>0</v>
      </c>
      <c r="AK230" s="4">
        <v>0</v>
      </c>
      <c r="AL230" s="4">
        <v>0</v>
      </c>
      <c r="AM230" s="4">
        <v>1</v>
      </c>
      <c r="AN230" s="44" t="s">
        <v>40</v>
      </c>
      <c r="AO230" s="8">
        <f t="shared" si="89"/>
        <v>2950.6052630710305</v>
      </c>
      <c r="AP230" s="8">
        <f>IFERROR(C230*_xlfn.XLOOKUP(E230,Groups!A:A,Groups!K:K),0.106*C230^0.94)</f>
        <v>1.44</v>
      </c>
      <c r="AQ230" s="8">
        <f>AP230*10000/(_xlfn.XLOOKUP(E230,Groups!A:A,Groups!J:J)*AO230)</f>
        <v>4.0669621755877419</v>
      </c>
      <c r="AR230" s="8">
        <f t="shared" si="90"/>
        <v>193.73556787208551</v>
      </c>
      <c r="AS230" s="8">
        <f>IF(_xlfn.XLOOKUP(E230,Groups!A:A,Groups!M:M)=1,EXP(0.7444*LN('Base stats'!C230)+6.5696),EXP(0.7927*LN('Base stats'!C230)+4.28))</f>
        <v>2184.703093162083</v>
      </c>
      <c r="AT230" s="8">
        <f>IF(_xlfn.XLOOKUP(E230,Groups!A:A,Groups!N:N)="No","No",
IF(_xlfn.XLOOKUP(E230,Groups!A:A,Groups!N:N)="Crocodile",EXP(0.8129*LN(C230)+4.6742)*S230,
IF(_xlfn.XLOOKUP(E230,Groups!A:A,Groups!N:N)="Felid",EXP(0.7843*LN(C230)+4.7073)*S230,
IF(_xlfn.XLOOKUP(E230,Groups!A:A,Groups!N:N)="Canid",EXP(0.8367*LN(C230)+4.8763)*S230,
IF(_xlfn.XLOOKUP(E230,Groups!A:A,Groups!N:N)="Pig",EXP(0.3439*LN(C230)+6.8519)*S230,
IF(_xlfn.XLOOKUP(E230,Groups!A:A,Groups!N:N)="Rodent",EXP(0.5625*LN(C230)+4.3006)*S230,
IF(_xlfn.XLOOKUP(E230,Groups!A:A,Groups!N:N)="Primate",EXP(0.7847*LN(C230)+3.4931)*S230,
IF(_xlfn.XLOOKUP(E230,Groups!A:A,Groups!N:N)="MiscCarnivora",EXP(0.7486*LN(C230)+4.2207)*S230,
IF(_xlfn.XLOOKUP(E230,Groups!A:A,Groups!N:N)="Lizard",EXP(0.7733*LN(C230)+5.5303)*S230,
IF(_xlfn.XLOOKUP(E230,Groups!A:A,Groups!N:N)="Snake",50*C230^(2/3)*S230,
IF(_xlfn.XLOOKUP(E230,Groups!A:A,Groups!N:N)="StrongBitingHerbivore",87.1133638856975*C230^(2/3)*S230,
IF(_xlfn.XLOOKUP(E230,Groups!A:A,Groups!N:N)="MiscEctotherms",59.4316884072269*C230^(2/3)*S230,
IF(_xlfn.XLOOKUP(E230,Groups!A:A,Groups!N:N)="StrongBeakBird",0.041*(C230*1000)^1.375*S230,
IF(_xlfn.XLOOKUP(E230,Groups!A:A,Groups!N:N)="Bird",0.118*(C230*1000)^0.692*S230,
IF(_xlfn.XLOOKUP(E230,Groups!A:A,Groups!N:N)="Insect",EXP(0.7444*LN(C230)+6.5696)*S230,
IF(_xlfn.XLOOKUP(E230,Groups!A:A,Groups!N:N)="Theropod",EXP(0.6966*LN(C230)+4.158)*S230,
"No"))))))))))))))))</f>
        <v>2184.703093162083</v>
      </c>
      <c r="AU230" s="8">
        <f>IF(_xlfn.XLOOKUP(E230,Groups!A:A,Groups!U:U)=3,AS230,IF(_xlfn.XLOOKUP(E230,Groups!A:A,Groups!U:U)=2,AR230,AT230))</f>
        <v>2184.703093162083</v>
      </c>
      <c r="AV230" s="46">
        <f>IFERROR(AVERAGE(_xlfn.XLOOKUP(B230,Animals!B:B,Animals!N:N),_xlfn.XLOOKUP(B230,Animals!B:B,Animals!O:O)),0)</f>
        <v>0.17499999999999999</v>
      </c>
      <c r="AW230" s="8">
        <f>MROUND(40*Animals!AO230*_xlfn.XLOOKUP(AG230,Leathers!$A$2:$A$99,Leathers!$B$2:$B$99,0)+(140*_xlfn.XLOOKUP(B230,Animals!B:B,Animals!AO:AO)*2),5)</f>
        <v>85</v>
      </c>
      <c r="AX230" s="8">
        <f>IFERROR(ROUND(SQRT(V230-1)*IF(_xlfn.XLOOKUP(E230,Groups!A:A,Groups!BF:BF)=0,2,1)*IF(_xlfn.XLOOKUP('Base stats'!E230,Groups!A:A,Groups!O:O)=0,1,0.1),1),0)</f>
        <v>2</v>
      </c>
      <c r="AY230" s="8">
        <f t="shared" si="91"/>
        <v>0</v>
      </c>
      <c r="AZ230" s="8">
        <f t="shared" si="92"/>
        <v>0</v>
      </c>
      <c r="BA230" s="8">
        <f t="shared" si="93"/>
        <v>1</v>
      </c>
      <c r="BB230" s="8">
        <f>IF(_xlfn.XLOOKUP(E230,Groups!A:A,Groups!N:N)="Insect",BD230*2.5,IFERROR(AVERAGE(BD230,AT230/9.81/IF(OR(_xlfn.XLOOKUP(E230,Groups!A:A,Groups!N:N)="Pig",_xlfn.XLOOKUP(E230,Groups!A:A,Groups!N:N)="StrongBitingHerbivore"),20,25))*C230^-0.135,BD230))</f>
        <v>0.34201541029571375</v>
      </c>
      <c r="BC230" s="8" t="str">
        <f>IF(W230="No","No",IF(_xlfn.XLOOKUP(E230,Groups!A:A,Groups!U:U)=1,'Base stats'!BB230,IF(OR(_xlfn.XLOOKUP(E230,Groups!A:A,Groups!BD:BD)=1,_xlfn.XLOOKUP(E230,Groups!A:A,Groups!U:U)=2),BD230,IF(_xlfn.XLOOKUP(B230,Animals!B:B,Animals!AO:AO)&gt;4,AVERAGE(BD230,BF230),BF230))))</f>
        <v>No</v>
      </c>
      <c r="BD230" s="8">
        <f t="shared" si="94"/>
        <v>0.1368061641182855</v>
      </c>
      <c r="BE230" s="8">
        <f>IF(_xlfn.XLOOKUP(E230,Groups!A:A,Groups!BE:BE)=1,(0.048*C230^1.01)+(0.071*C230^1.03),0.071*C230^1.03)/IF(_xlfn.XLOOKUP(E230,Groups!A:A,Groups!M:M)=1,0.85,IF(OR(_xlfn.XLOOKUP(B230,Animals!B:B,Animals!AO:AO)&gt;4,_xlfn.XLOOKUP(E230,Groups!A:A,Groups!BC:BC)=1),1.7,1))*C230^-0.25</f>
        <v>0.26998844884417478</v>
      </c>
      <c r="BF230" s="8">
        <f>(0.048*C230^1.01)/IF(_xlfn.XLOOKUP(E230,Groups!A:A,Groups!M:M)=1,0.25,0.8)*C230^-0.25</f>
        <v>0.60220275659494538</v>
      </c>
      <c r="BG230" s="8">
        <f>EXP(1.076*LN(AR230)-4.5397)*IF(_xlfn.XLOOKUP(E230,Groups!A:A,Groups!BC:BC)=1,1.25,IF(_xlfn.XLOOKUP(E230,Groups!A:A,Groups!BD:BD)=1,3.5,2.5))</f>
        <v>3.858163472108072</v>
      </c>
      <c r="BH230" s="8">
        <f>EXP(1.076*LN(AS230)-4.5397)*IF(_xlfn.XLOOKUP(E230,Groups!A:A,Groups!M:M)=1,0.8,IF(_xlfn.XLOOKUP(E230,Groups!A:A,Groups!BC:BC)=1,1.3,3))</f>
        <v>33.474151337326525</v>
      </c>
      <c r="BI230" s="8" t="str">
        <f>IF(W230="No","No",IF(_xlfn.XLOOKUP(E230,Groups!A:A,Groups!U:U)=1,'Base stats'!BJ230,IF(OR(_xlfn.XLOOKUP(E230,Groups!A:A,Groups!BD:BD)=1,_xlfn.XLOOKUP(E230,Groups!A:A,Groups!U:U)=2),BG230,BH230))*1.2)</f>
        <v>No</v>
      </c>
      <c r="BJ230" s="8">
        <f>IFERROR(EXP(1.076*LN(AT230)-4.5397)*IF(_xlfn.XLOOKUP(E230,Groups!A:A,Groups!N:N)="Insect",1,IF(OR(_xlfn.XLOOKUP(E230,Groups!A:A,Groups!N:N)="Pig",_xlfn.XLOOKUP(E230,Groups!A:A,Groups!N:N)="StrongBitingHerbivore"),3.5,3.75)),"No")</f>
        <v>41.842689171658151</v>
      </c>
      <c r="BK230" s="8">
        <f t="shared" si="95"/>
        <v>7</v>
      </c>
      <c r="BL230" s="8">
        <f t="shared" si="96"/>
        <v>15</v>
      </c>
      <c r="BM230" s="8" t="str">
        <f t="shared" si="97"/>
        <v>No</v>
      </c>
      <c r="BN230" s="8">
        <f t="shared" si="98"/>
        <v>15</v>
      </c>
      <c r="BO230" s="8">
        <f t="shared" si="99"/>
        <v>10</v>
      </c>
      <c r="BP230" s="8" cm="1">
        <f t="array" ref="BP230">IF(AND(_xlfn.XLOOKUP('Base stats'!E230,Groups!A:A,Groups!AD:AD=0),_xlfn.XLOOKUP('Base stats'!E230,Groups!A:A,Groups!P:P=0)),"No",IF(U230="No",AVERAGE(EXP(-0.57+0.99*LN(C230)),EXP(0.32+0.67*LN(C230)))/IF(_xlfn.XLOOKUP(E230,Groups!A:A,Groups!AD:AD)=1,10,2),(0.7354*C230^0.4078)*2/IF(_xlfn.XLOOKUP(E230,Groups!A:A,Groups!BK:BK)=1,1000,100)/IF(_xlfn.XLOOKUP(E230,Groups!A:A,Groups!AJ:AJ)="Photonozoa",3,1)))</f>
        <v>0.31396756576768964</v>
      </c>
      <c r="BQ230" s="8" t="str">
        <f>IF(W230="No","No",IF(_xlfn.XLOOKUP(E230,Groups!A:A,Groups!BD:BD)=1,(AO230*5%),EXP(0.7354*LN(C230)^0.4078)*2/IF(_xlfn.XLOOKUP(E230,Groups!A:A,Groups!BL:BL)=1,1000,100)/IF(_xlfn.XLOOKUP(E230,Groups!A:A,Groups!AJ:AJ)="Photonozoa",3,1)))</f>
        <v>No</v>
      </c>
      <c r="BR230" s="8">
        <f>IF(BJ230="No","No",IF(_xlfn.XLOOKUP(E230,Groups!A:A,Groups!BF:BF)=1,(0.0315*C230+2.1825)*2,(0.7354*C230^0.4078)*2)/IF(_xlfn.XLOOKUP(E230,Groups!A:A,Groups!BM:BM)=1,1000,100)/IF(_xlfn.XLOOKUP(E230,Groups!A:A,Groups!AJ:AJ)="Photonozoa",3,1))</f>
        <v>2.7160245069965436E-2</v>
      </c>
      <c r="BS230" s="8">
        <f t="shared" si="100"/>
        <v>2.6151674847162999E-2</v>
      </c>
      <c r="BT230" s="8">
        <f t="shared" si="101"/>
        <v>106.61659033307492</v>
      </c>
      <c r="BU230" s="8" t="str">
        <f t="shared" si="102"/>
        <v>No</v>
      </c>
      <c r="BV230" s="8">
        <f t="shared" si="103"/>
        <v>1540.5858475823907</v>
      </c>
      <c r="BW230" s="4">
        <v>0</v>
      </c>
      <c r="BX230" s="4">
        <v>1</v>
      </c>
    </row>
    <row r="231" spans="1:76" s="16" customFormat="1" x14ac:dyDescent="0.25">
      <c r="A231" s="26" t="s">
        <v>1353</v>
      </c>
      <c r="B231" s="6" t="s">
        <v>1832</v>
      </c>
      <c r="C231" s="7">
        <v>400</v>
      </c>
      <c r="D231" s="7" t="s">
        <v>528</v>
      </c>
      <c r="E231" s="7" t="str">
        <f>Groups!$A$76</f>
        <v>Arachnid</v>
      </c>
      <c r="F231" s="7" t="str">
        <f t="shared" ref="F231" si="128">"Lay eggs"</f>
        <v>Lay eggs</v>
      </c>
      <c r="G231" s="7">
        <v>5</v>
      </c>
      <c r="H231" s="7">
        <v>15</v>
      </c>
      <c r="I231" s="4">
        <v>1</v>
      </c>
      <c r="J231" s="7" t="str">
        <f t="shared" ref="J231" si="129">"Lay eggs"</f>
        <v>Lay eggs</v>
      </c>
      <c r="K231" s="7" t="s">
        <v>528</v>
      </c>
      <c r="L231" s="7">
        <v>32</v>
      </c>
      <c r="M231" s="7" t="s">
        <v>528</v>
      </c>
      <c r="N231" s="4">
        <v>0</v>
      </c>
      <c r="O231" s="4">
        <v>0</v>
      </c>
      <c r="P231" s="4">
        <v>0</v>
      </c>
      <c r="Q231" s="4">
        <v>0</v>
      </c>
      <c r="R231" s="4" t="s">
        <v>40</v>
      </c>
      <c r="S231" s="7">
        <f>_xlfn.XLOOKUP(B231,[1]TeethAdjusters!$A:$A,[1]BiteAdjusters!$C:$C,1)</f>
        <v>1</v>
      </c>
      <c r="T231" s="7">
        <f>_xlfn.XLOOKUP(B231,[1]TeethAdjusters!$A:$A,[1]TeethAdjusters!$B:$B,1)</f>
        <v>1</v>
      </c>
      <c r="U231" s="7" t="str">
        <f>IF(OR(_xlfn.XLOOKUP(E231,Groups!A:A,Groups!P:P)=1,_xlfn.XLOOKUP(E231,Groups!A:A,Groups!AD:AD)=1),"Need a formula","No")</f>
        <v>No</v>
      </c>
      <c r="V231" s="7">
        <v>4</v>
      </c>
      <c r="W231" s="7" t="str">
        <f>IF(_xlfn.XLOOKUP(E231,Groups!A:A,Groups!V:V)&lt;&gt;"No","Need a formula","No")</f>
        <v>No</v>
      </c>
      <c r="X231" s="7" t="s">
        <v>932</v>
      </c>
      <c r="Y231" s="4" t="s">
        <v>42</v>
      </c>
      <c r="Z231" s="4">
        <v>1</v>
      </c>
      <c r="AA231" s="4">
        <v>0</v>
      </c>
      <c r="AB231" s="4">
        <v>0</v>
      </c>
      <c r="AC231" s="4">
        <v>0</v>
      </c>
      <c r="AD231" s="4">
        <v>0</v>
      </c>
      <c r="AE231" s="4" t="s">
        <v>45</v>
      </c>
      <c r="AF231" s="4" t="s">
        <v>45</v>
      </c>
      <c r="AG231" s="49" t="s">
        <v>1712</v>
      </c>
      <c r="AH231" s="4" t="str">
        <f>Animals!$C$105</f>
        <v>&lt;li&gt;Megaspider&lt;/li&gt;</v>
      </c>
      <c r="AI231" s="4">
        <v>0</v>
      </c>
      <c r="AJ231" s="4">
        <v>0</v>
      </c>
      <c r="AK231" s="4">
        <v>0</v>
      </c>
      <c r="AL231" s="4">
        <v>0</v>
      </c>
      <c r="AM231" s="4">
        <v>1</v>
      </c>
      <c r="AN231" s="44" t="s">
        <v>40</v>
      </c>
      <c r="AO231" s="8">
        <f t="shared" si="89"/>
        <v>54533.324359541104</v>
      </c>
      <c r="AP231" s="8">
        <f>IFERROR(C231*_xlfn.XLOOKUP(E231,Groups!A:A,Groups!K:K),0.106*C231^0.94)</f>
        <v>128</v>
      </c>
      <c r="AQ231" s="8">
        <f>AP231*10000/(_xlfn.XLOOKUP(E231,Groups!A:A,Groups!J:J)*AO231)</f>
        <v>19.559905419190599</v>
      </c>
      <c r="AR231" s="8">
        <f t="shared" si="90"/>
        <v>8578.2919817776201</v>
      </c>
      <c r="AS231" s="8">
        <f>IF(_xlfn.XLOOKUP(E231,Groups!A:A,Groups!M:M)=1,EXP(0.7444*LN('Base stats'!C231)+6.5696),EXP(0.7927*LN('Base stats'!C231)+4.28))</f>
        <v>8345.1344423422543</v>
      </c>
      <c r="AT231" s="8">
        <f>IF(_xlfn.XLOOKUP(E231,Groups!A:A,Groups!N:N)="No","No",
IF(_xlfn.XLOOKUP(E231,Groups!A:A,Groups!N:N)="Crocodile",EXP(0.8129*LN(C231)+4.6742)*S231,
IF(_xlfn.XLOOKUP(E231,Groups!A:A,Groups!N:N)="Felid",EXP(0.7843*LN(C231)+4.7073)*S231,
IF(_xlfn.XLOOKUP(E231,Groups!A:A,Groups!N:N)="Canid",EXP(0.8367*LN(C231)+4.8763)*S231,
IF(_xlfn.XLOOKUP(E231,Groups!A:A,Groups!N:N)="Pig",EXP(0.3439*LN(C231)+6.8519)*S231,
IF(_xlfn.XLOOKUP(E231,Groups!A:A,Groups!N:N)="Rodent",EXP(0.5625*LN(C231)+4.3006)*S231,
IF(_xlfn.XLOOKUP(E231,Groups!A:A,Groups!N:N)="Primate",EXP(0.7847*LN(C231)+3.4931)*S231,
IF(_xlfn.XLOOKUP(E231,Groups!A:A,Groups!N:N)="MiscCarnivora",EXP(0.7486*LN(C231)+4.2207)*S231,
IF(_xlfn.XLOOKUP(E231,Groups!A:A,Groups!N:N)="Lizard",EXP(0.7733*LN(C231)+5.5303)*S231,
IF(_xlfn.XLOOKUP(E231,Groups!A:A,Groups!N:N)="Snake",50*C231^(2/3)*S231,
IF(_xlfn.XLOOKUP(E231,Groups!A:A,Groups!N:N)="StrongBitingHerbivore",87.1133638856975*C231^(2/3)*S231,
IF(_xlfn.XLOOKUP(E231,Groups!A:A,Groups!N:N)="MiscEctotherms",59.4316884072269*C231^(2/3)*S231,
IF(_xlfn.XLOOKUP(E231,Groups!A:A,Groups!N:N)="StrongBeakBird",0.041*(C231*1000)^1.375*S231,
IF(_xlfn.XLOOKUP(E231,Groups!A:A,Groups!N:N)="Bird",0.118*(C231*1000)^0.692*S231,
IF(_xlfn.XLOOKUP(E231,Groups!A:A,Groups!N:N)="Insect",EXP(0.7444*LN(C231)+6.5696)*S231,
IF(_xlfn.XLOOKUP(E231,Groups!A:A,Groups!N:N)="Theropod",EXP(0.6966*LN(C231)+4.158)*S231,
"No"))))))))))))))))</f>
        <v>61675.756600829809</v>
      </c>
      <c r="AU231" s="8">
        <f>IF(_xlfn.XLOOKUP(E231,Groups!A:A,Groups!U:U)=3,AS231,IF(_xlfn.XLOOKUP(E231,Groups!A:A,Groups!U:U)=2,AR231,AT231))</f>
        <v>61675.756600829809</v>
      </c>
      <c r="AV231" s="46">
        <f>IFERROR(AVERAGE(_xlfn.XLOOKUP(B231,Animals!B:B,Animals!N:N),_xlfn.XLOOKUP(B231,Animals!B:B,Animals!O:O)),0)</f>
        <v>0.47500000000000003</v>
      </c>
      <c r="AW231" s="8">
        <f>MROUND(40*Animals!AO231*_xlfn.XLOOKUP(AG231,Leathers!$A$2:$A$99,Leathers!$B$2:$B$99,0)+(140*_xlfn.XLOOKUP(B231,Animals!B:B,Animals!AO:AO)*2),5)</f>
        <v>770</v>
      </c>
      <c r="AX231" s="8">
        <f>IFERROR(ROUND(SQRT(V231-1)*IF(_xlfn.XLOOKUP(E231,Groups!A:A,Groups!BF:BF)=0,2,1)*IF(_xlfn.XLOOKUP('Base stats'!E231,Groups!A:A,Groups!O:O)=0,1,0.1),1),0)</f>
        <v>3.5</v>
      </c>
      <c r="AY231" s="8">
        <f t="shared" si="91"/>
        <v>0</v>
      </c>
      <c r="AZ231" s="8">
        <f t="shared" si="92"/>
        <v>0</v>
      </c>
      <c r="BA231" s="8">
        <f t="shared" si="93"/>
        <v>6.8</v>
      </c>
      <c r="BB231" s="8">
        <f>IF(_xlfn.XLOOKUP(E231,Groups!A:A,Groups!N:N)="Insect",BD231*2.5,IFERROR(AVERAGE(BD231,AT231/9.81/IF(OR(_xlfn.XLOOKUP(E231,Groups!A:A,Groups!N:N)="Pig",_xlfn.XLOOKUP(E231,Groups!A:A,Groups!N:N)="StrongBitingHerbivore"),20,25))*C231^-0.135,BD231))</f>
        <v>8.9779939654223888</v>
      </c>
      <c r="BC231" s="8" t="str">
        <f>IF(W231="No","No",IF(_xlfn.XLOOKUP(E231,Groups!A:A,Groups!U:U)=1,'Base stats'!BB231,IF(OR(_xlfn.XLOOKUP(E231,Groups!A:A,Groups!BD:BD)=1,_xlfn.XLOOKUP(E231,Groups!A:A,Groups!U:U)=2),BD231,IF(_xlfn.XLOOKUP(B231,Animals!B:B,Animals!AO:AO)&gt;4,AVERAGE(BD231,BF231),BF231))))</f>
        <v>No</v>
      </c>
      <c r="BD231" s="8">
        <f t="shared" si="94"/>
        <v>3.5911975861689553</v>
      </c>
      <c r="BE231" s="8">
        <f>IF(_xlfn.XLOOKUP(E231,Groups!A:A,Groups!BE:BE)=1,(0.048*C231^1.01)+(0.071*C231^1.03),0.071*C231^1.03)/IF(_xlfn.XLOOKUP(E231,Groups!A:A,Groups!M:M)=1,0.85,IF(OR(_xlfn.XLOOKUP(B231,Animals!B:B,Animals!AO:AO)&gt;4,_xlfn.XLOOKUP(E231,Groups!A:A,Groups!BC:BC)=1),1.7,1))*C231^-0.25</f>
        <v>4.4711189144854107</v>
      </c>
      <c r="BF231" s="8">
        <f>(0.048*C231^1.01)/IF(_xlfn.XLOOKUP(E231,Groups!A:A,Groups!M:M)=1,0.25,0.8)*C231^-0.25</f>
        <v>5.6979265131759371</v>
      </c>
      <c r="BG231" s="8">
        <f>EXP(1.076*LN(AR231)-4.5397)*IF(_xlfn.XLOOKUP(E231,Groups!A:A,Groups!BC:BC)=1,1.25,IF(_xlfn.XLOOKUP(E231,Groups!A:A,Groups!BD:BD)=1,3.5,2.5))</f>
        <v>227.86763271095117</v>
      </c>
      <c r="BH231" s="8">
        <f>EXP(1.076*LN(AS231)-4.5397)*IF(_xlfn.XLOOKUP(E231,Groups!A:A,Groups!M:M)=1,0.8,IF(_xlfn.XLOOKUP(E231,Groups!A:A,Groups!BC:BC)=1,1.3,3))</f>
        <v>230.05886038348521</v>
      </c>
      <c r="BI231" s="8" t="str">
        <f>IF(W231="No","No",IF(_xlfn.XLOOKUP(E231,Groups!A:A,Groups!U:U)=1,'Base stats'!BJ231,IF(OR(_xlfn.XLOOKUP(E231,Groups!A:A,Groups!BD:BD)=1,_xlfn.XLOOKUP(E231,Groups!A:A,Groups!U:U)=2),BG231,BH231))*1.2)</f>
        <v>No</v>
      </c>
      <c r="BJ231" s="8">
        <f>IFERROR(EXP(1.076*LN(AT231)-4.5397)*IF(_xlfn.XLOOKUP(E231,Groups!A:A,Groups!N:N)="Insect",1,IF(OR(_xlfn.XLOOKUP(E231,Groups!A:A,Groups!N:N)="Pig",_xlfn.XLOOKUP(E231,Groups!A:A,Groups!N:N)="StrongBitingHerbivore"),3.5,3.75)),"No")</f>
        <v>1522.6375201719823</v>
      </c>
      <c r="BK231" s="8">
        <f t="shared" si="95"/>
        <v>11</v>
      </c>
      <c r="BL231" s="8">
        <f t="shared" si="96"/>
        <v>10</v>
      </c>
      <c r="BM231" s="8" t="str">
        <f t="shared" si="97"/>
        <v>No</v>
      </c>
      <c r="BN231" s="8">
        <f t="shared" si="98"/>
        <v>18</v>
      </c>
      <c r="BO231" s="8">
        <f t="shared" si="99"/>
        <v>8</v>
      </c>
      <c r="BP231" s="8" t="str" cm="1">
        <f t="array" ref="BP231">IF(AND(_xlfn.XLOOKUP('Base stats'!E231,Groups!A:A,Groups!AD:AD=0),_xlfn.XLOOKUP('Base stats'!E231,Groups!A:A,Groups!P:P=0)),"No",IF(U231="No",AVERAGE(EXP(-0.57+0.99*LN(C231)),EXP(0.32+0.67*LN(C231)))/IF(_xlfn.XLOOKUP(E231,Groups!A:A,Groups!AD:AD)=1,10,2),(0.7354*C231^0.4078)*2/IF(_xlfn.XLOOKUP(E231,Groups!A:A,Groups!BK:BK)=1,1000,100)/IF(_xlfn.XLOOKUP(E231,Groups!A:A,Groups!AJ:AJ)="Photonozoa",3,1)))</f>
        <v>No</v>
      </c>
      <c r="BQ231" s="8" t="str">
        <f>IF(W231="No","No",IF(_xlfn.XLOOKUP(E231,Groups!A:A,Groups!BD:BD)=1,(AO231*5%),EXP(0.7354*LN(C231)^0.4078)*2/IF(_xlfn.XLOOKUP(E231,Groups!A:A,Groups!BL:BL)=1,1000,100)/IF(_xlfn.XLOOKUP(E231,Groups!A:A,Groups!AJ:AJ)="Photonozoa",3,1)))</f>
        <v>No</v>
      </c>
      <c r="BR231" s="8">
        <f>IF(BJ231="No","No",IF(_xlfn.XLOOKUP(E231,Groups!A:A,Groups!BF:BF)=1,(0.0315*C231+2.1825)*2,(0.7354*C231^0.4078)*2)/IF(_xlfn.XLOOKUP(E231,Groups!A:A,Groups!BM:BM)=1,1000,100)/IF(_xlfn.XLOOKUP(E231,Groups!A:A,Groups!AJ:AJ)="Photonozoa",3,1))</f>
        <v>1.6930652098775201E-2</v>
      </c>
      <c r="BS231" s="8">
        <f t="shared" si="100"/>
        <v>8.3570050198519985E-2</v>
      </c>
      <c r="BT231" s="8" t="str">
        <f t="shared" si="101"/>
        <v>No</v>
      </c>
      <c r="BU231" s="8" t="str">
        <f t="shared" si="102"/>
        <v>No</v>
      </c>
      <c r="BV231" s="8">
        <f t="shared" si="103"/>
        <v>89933.778763437775</v>
      </c>
      <c r="BW231" s="4">
        <v>0</v>
      </c>
      <c r="BX231" s="4">
        <v>1</v>
      </c>
    </row>
    <row r="232" spans="1:76" s="16" customFormat="1" x14ac:dyDescent="0.25">
      <c r="A232" s="26" t="s">
        <v>1438</v>
      </c>
      <c r="B232" s="6" t="s">
        <v>1701</v>
      </c>
      <c r="C232" s="7">
        <v>300</v>
      </c>
      <c r="D232" s="7" t="s">
        <v>528</v>
      </c>
      <c r="E232" s="7" t="str">
        <f>Groups!$A$76</f>
        <v>Arachnid</v>
      </c>
      <c r="F232" s="7" t="str">
        <f t="shared" ref="F232" si="130">"Lay eggs"</f>
        <v>Lay eggs</v>
      </c>
      <c r="G232" s="7">
        <v>5</v>
      </c>
      <c r="H232" s="7">
        <v>15</v>
      </c>
      <c r="I232" s="4">
        <v>1</v>
      </c>
      <c r="J232" s="7" t="str">
        <f t="shared" ref="J232" si="131">"Lay eggs"</f>
        <v>Lay eggs</v>
      </c>
      <c r="K232" s="7" t="s">
        <v>528</v>
      </c>
      <c r="L232" s="7">
        <v>32</v>
      </c>
      <c r="M232" s="7" t="s">
        <v>528</v>
      </c>
      <c r="N232" s="4">
        <v>0</v>
      </c>
      <c r="O232" s="4">
        <v>0</v>
      </c>
      <c r="P232" s="4">
        <v>0</v>
      </c>
      <c r="Q232" s="4">
        <v>0</v>
      </c>
      <c r="R232" s="4" t="s">
        <v>40</v>
      </c>
      <c r="S232" s="7">
        <f>_xlfn.XLOOKUP(B232,[1]TeethAdjusters!$A:$A,[1]BiteAdjusters!$C:$C,1)</f>
        <v>1</v>
      </c>
      <c r="T232" s="7">
        <f>_xlfn.XLOOKUP(B232,[1]TeethAdjusters!$A:$A,[1]TeethAdjusters!$B:$B,1)</f>
        <v>1</v>
      </c>
      <c r="U232" s="7" t="str">
        <f>IF(OR(_xlfn.XLOOKUP(E232,Groups!A:A,Groups!P:P)=1,_xlfn.XLOOKUP(E232,Groups!A:A,Groups!AD:AD)=1),"Need a formula","No")</f>
        <v>No</v>
      </c>
      <c r="V232" s="7">
        <v>4</v>
      </c>
      <c r="W232" s="7" t="str">
        <f>IF(_xlfn.XLOOKUP(E232,Groups!A:A,Groups!V:V)&lt;&gt;"No","Need a formula","No")</f>
        <v>No</v>
      </c>
      <c r="X232" s="7" t="s">
        <v>932</v>
      </c>
      <c r="Y232" s="4" t="s">
        <v>56</v>
      </c>
      <c r="Z232" s="4">
        <v>1</v>
      </c>
      <c r="AA232" s="4">
        <v>0</v>
      </c>
      <c r="AB232" s="4">
        <v>0</v>
      </c>
      <c r="AC232" s="4">
        <v>0</v>
      </c>
      <c r="AD232" s="4">
        <v>0</v>
      </c>
      <c r="AE232" s="4" t="s">
        <v>45</v>
      </c>
      <c r="AF232" s="4" t="s">
        <v>45</v>
      </c>
      <c r="AG232" s="49" t="s">
        <v>1712</v>
      </c>
      <c r="AH232" s="4" t="str">
        <f>Animals!$C$105</f>
        <v>&lt;li&gt;Megaspider&lt;/li&gt;</v>
      </c>
      <c r="AI232" s="4">
        <v>0</v>
      </c>
      <c r="AJ232" s="4">
        <v>0</v>
      </c>
      <c r="AK232" s="4">
        <v>0</v>
      </c>
      <c r="AL232" s="4">
        <v>0</v>
      </c>
      <c r="AM232" s="4">
        <v>1</v>
      </c>
      <c r="AN232" s="44" t="s">
        <v>40</v>
      </c>
      <c r="AO232" s="8">
        <f t="shared" si="89"/>
        <v>45232.625241713278</v>
      </c>
      <c r="AP232" s="8">
        <f>IFERROR(C232*_xlfn.XLOOKUP(E232,Groups!A:A,Groups!K:K),0.106*C232^0.94)</f>
        <v>96</v>
      </c>
      <c r="AQ232" s="8">
        <f>AP232*10000/(_xlfn.XLOOKUP(E232,Groups!A:A,Groups!J:J)*AO232)</f>
        <v>17.686349083763645</v>
      </c>
      <c r="AR232" s="8">
        <f t="shared" si="90"/>
        <v>6727.6760861471967</v>
      </c>
      <c r="AS232" s="8">
        <f>IF(_xlfn.XLOOKUP(E232,Groups!A:A,Groups!M:M)=1,EXP(0.7444*LN('Base stats'!C232)+6.5696),EXP(0.7927*LN('Base stats'!C232)+4.28))</f>
        <v>6643.4611730321203</v>
      </c>
      <c r="AT232" s="8">
        <f>IF(_xlfn.XLOOKUP(E232,Groups!A:A,Groups!N:N)="No","No",
IF(_xlfn.XLOOKUP(E232,Groups!A:A,Groups!N:N)="Crocodile",EXP(0.8129*LN(C232)+4.6742)*S232,
IF(_xlfn.XLOOKUP(E232,Groups!A:A,Groups!N:N)="Felid",EXP(0.7843*LN(C232)+4.7073)*S232,
IF(_xlfn.XLOOKUP(E232,Groups!A:A,Groups!N:N)="Canid",EXP(0.8367*LN(C232)+4.8763)*S232,
IF(_xlfn.XLOOKUP(E232,Groups!A:A,Groups!N:N)="Pig",EXP(0.3439*LN(C232)+6.8519)*S232,
IF(_xlfn.XLOOKUP(E232,Groups!A:A,Groups!N:N)="Rodent",EXP(0.5625*LN(C232)+4.3006)*S232,
IF(_xlfn.XLOOKUP(E232,Groups!A:A,Groups!N:N)="Primate",EXP(0.7847*LN(C232)+3.4931)*S232,
IF(_xlfn.XLOOKUP(E232,Groups!A:A,Groups!N:N)="MiscCarnivora",EXP(0.7486*LN(C232)+4.2207)*S232,
IF(_xlfn.XLOOKUP(E232,Groups!A:A,Groups!N:N)="Lizard",EXP(0.7733*LN(C232)+5.5303)*S232,
IF(_xlfn.XLOOKUP(E232,Groups!A:A,Groups!N:N)="Snake",50*C232^(2/3)*S232,
IF(_xlfn.XLOOKUP(E232,Groups!A:A,Groups!N:N)="StrongBitingHerbivore",87.1133638856975*C232^(2/3)*S232,
IF(_xlfn.XLOOKUP(E232,Groups!A:A,Groups!N:N)="MiscEctotherms",59.4316884072269*C232^(2/3)*S232,
IF(_xlfn.XLOOKUP(E232,Groups!A:A,Groups!N:N)="StrongBeakBird",0.041*(C232*1000)^1.375*S232,
IF(_xlfn.XLOOKUP(E232,Groups!A:A,Groups!N:N)="Bird",0.118*(C232*1000)^0.692*S232,
IF(_xlfn.XLOOKUP(E232,Groups!A:A,Groups!N:N)="Insect",EXP(0.7444*LN(C232)+6.5696)*S232,
IF(_xlfn.XLOOKUP(E232,Groups!A:A,Groups!N:N)="Theropod",EXP(0.6966*LN(C232)+4.158)*S232,
"No"))))))))))))))))</f>
        <v>49786.327351106935</v>
      </c>
      <c r="AU232" s="8">
        <f>IF(_xlfn.XLOOKUP(E232,Groups!A:A,Groups!U:U)=3,AS232,IF(_xlfn.XLOOKUP(E232,Groups!A:A,Groups!U:U)=2,AR232,AT232))</f>
        <v>49786.327351106935</v>
      </c>
      <c r="AV232" s="46">
        <f>IFERROR(AVERAGE(_xlfn.XLOOKUP(B232,Animals!B:B,Animals!N:N),_xlfn.XLOOKUP(B232,Animals!B:B,Animals!O:O)),0)</f>
        <v>0.47500000000000003</v>
      </c>
      <c r="AW232" s="8">
        <f>MROUND(40*Animals!AO232*_xlfn.XLOOKUP(AG232,Leathers!$A$2:$A$99,Leathers!$B$2:$B$99,0)+(140*_xlfn.XLOOKUP(B232,Animals!B:B,Animals!AO:AO)*2),5)</f>
        <v>630</v>
      </c>
      <c r="AX232" s="8">
        <f>IFERROR(ROUND(SQRT(V232-1)*IF(_xlfn.XLOOKUP(E232,Groups!A:A,Groups!BF:BF)=0,2,1)*IF(_xlfn.XLOOKUP('Base stats'!E232,Groups!A:A,Groups!O:O)=0,1,0.1),1),0)</f>
        <v>3.5</v>
      </c>
      <c r="AY232" s="8">
        <f t="shared" si="91"/>
        <v>0</v>
      </c>
      <c r="AZ232" s="8">
        <f t="shared" si="92"/>
        <v>0</v>
      </c>
      <c r="BA232" s="8">
        <f t="shared" si="93"/>
        <v>6.2</v>
      </c>
      <c r="BB232" s="8">
        <f>IF(_xlfn.XLOOKUP(E232,Groups!A:A,Groups!N:N)="Insect",BD232*2.5,IFERROR(AVERAGE(BD232,AT232/9.81/IF(OR(_xlfn.XLOOKUP(E232,Groups!A:A,Groups!N:N)="Pig",_xlfn.XLOOKUP(E232,Groups!A:A,Groups!N:N)="StrongBitingHerbivore"),20,25))*C232^-0.135,BD232))</f>
        <v>11.212793869379865</v>
      </c>
      <c r="BC232" s="8" t="str">
        <f>IF(W232="No","No",IF(_xlfn.XLOOKUP(E232,Groups!A:A,Groups!U:U)=1,'Base stats'!BB232,IF(OR(_xlfn.XLOOKUP(E232,Groups!A:A,Groups!BD:BD)=1,_xlfn.XLOOKUP(E232,Groups!A:A,Groups!U:U)=2),BD232,IF(_xlfn.XLOOKUP(B232,Animals!B:B,Animals!AO:AO)&gt;4,AVERAGE(BD232,BF232),BF232))))</f>
        <v>No</v>
      </c>
      <c r="BD232" s="8">
        <f t="shared" si="94"/>
        <v>4.4851175477519458</v>
      </c>
      <c r="BE232" s="8">
        <f>IF(_xlfn.XLOOKUP(E232,Groups!A:A,Groups!BE:BE)=1,(0.048*C232^1.01)+(0.071*C232^1.03),0.071*C232^1.03)/IF(_xlfn.XLOOKUP(E232,Groups!A:A,Groups!M:M)=1,0.85,IF(OR(_xlfn.XLOOKUP(B232,Animals!B:B,Animals!AO:AO)&gt;4,_xlfn.XLOOKUP(E232,Groups!A:A,Groups!BC:BC)=1),1.7,1))*C232^-0.25</f>
        <v>3.5724322889305471</v>
      </c>
      <c r="BF232" s="8">
        <f>(0.048*C232^1.01)/IF(_xlfn.XLOOKUP(E232,Groups!A:A,Groups!M:M)=1,0.25,0.8)*C232^-0.25</f>
        <v>4.5789236700969242</v>
      </c>
      <c r="BG232" s="8">
        <f>EXP(1.076*LN(AR232)-4.5397)*IF(_xlfn.XLOOKUP(E232,Groups!A:A,Groups!BC:BC)=1,1.25,IF(_xlfn.XLOOKUP(E232,Groups!A:A,Groups!BD:BD)=1,3.5,2.5))</f>
        <v>175.43901189464424</v>
      </c>
      <c r="BH232" s="8">
        <f>EXP(1.076*LN(AS232)-4.5397)*IF(_xlfn.XLOOKUP(E232,Groups!A:A,Groups!M:M)=1,0.8,IF(_xlfn.XLOOKUP(E232,Groups!A:A,Groups!BC:BC)=1,1.3,3))</f>
        <v>180.0002334924454</v>
      </c>
      <c r="BI232" s="8" t="str">
        <f>IF(W232="No","No",IF(_xlfn.XLOOKUP(E232,Groups!A:A,Groups!U:U)=1,'Base stats'!BJ232,IF(OR(_xlfn.XLOOKUP(E232,Groups!A:A,Groups!BD:BD)=1,_xlfn.XLOOKUP(E232,Groups!A:A,Groups!U:U)=2),BG232,BH232))*1.2)</f>
        <v>No</v>
      </c>
      <c r="BJ232" s="8">
        <f>IFERROR(EXP(1.076*LN(AT232)-4.5397)*IF(_xlfn.XLOOKUP(E232,Groups!A:A,Groups!N:N)="Insect",1,IF(OR(_xlfn.XLOOKUP(E232,Groups!A:A,Groups!N:N)="Pig",_xlfn.XLOOKUP(E232,Groups!A:A,Groups!N:N)="StrongBitingHerbivore"),3.5,3.75)),"No")</f>
        <v>1209.271444624758</v>
      </c>
      <c r="BK232" s="8">
        <f t="shared" si="95"/>
        <v>8</v>
      </c>
      <c r="BL232" s="8">
        <f t="shared" si="96"/>
        <v>10</v>
      </c>
      <c r="BM232" s="8" t="str">
        <f t="shared" si="97"/>
        <v>No</v>
      </c>
      <c r="BN232" s="8">
        <f t="shared" si="98"/>
        <v>14</v>
      </c>
      <c r="BO232" s="8">
        <f t="shared" si="99"/>
        <v>8</v>
      </c>
      <c r="BP232" s="8" t="str" cm="1">
        <f t="array" ref="BP232">IF(AND(_xlfn.XLOOKUP('Base stats'!E232,Groups!A:A,Groups!AD:AD=0),_xlfn.XLOOKUP('Base stats'!E232,Groups!A:A,Groups!P:P=0)),"No",IF(U232="No",AVERAGE(EXP(-0.57+0.99*LN(C232)),EXP(0.32+0.67*LN(C232)))/IF(_xlfn.XLOOKUP(E232,Groups!A:A,Groups!AD:AD)=1,10,2),(0.7354*C232^0.4078)*2/IF(_xlfn.XLOOKUP(E232,Groups!A:A,Groups!BK:BK)=1,1000,100)/IF(_xlfn.XLOOKUP(E232,Groups!A:A,Groups!AJ:AJ)="Photonozoa",3,1)))</f>
        <v>No</v>
      </c>
      <c r="BQ232" s="8" t="str">
        <f>IF(W232="No","No",IF(_xlfn.XLOOKUP(E232,Groups!A:A,Groups!BD:BD)=1,(AO232*5%),EXP(0.7354*LN(C232)^0.4078)*2/IF(_xlfn.XLOOKUP(E232,Groups!A:A,Groups!BL:BL)=1,1000,100)/IF(_xlfn.XLOOKUP(E232,Groups!A:A,Groups!AJ:AJ)="Photonozoa",3,1)))</f>
        <v>No</v>
      </c>
      <c r="BR232" s="8">
        <f>IF(BJ232="No","No",IF(_xlfn.XLOOKUP(E232,Groups!A:A,Groups!BF:BF)=1,(0.0315*C232+2.1825)*2,(0.7354*C232^0.4078)*2)/IF(_xlfn.XLOOKUP(E232,Groups!A:A,Groups!BM:BM)=1,1000,100)/IF(_xlfn.XLOOKUP(E232,Groups!A:A,Groups!AJ:AJ)="Photonozoa",3,1))</f>
        <v>1.5056487532717558E-2</v>
      </c>
      <c r="BS232" s="8">
        <f t="shared" si="100"/>
        <v>7.7571890181981018E-2</v>
      </c>
      <c r="BT232" s="8" t="str">
        <f t="shared" si="101"/>
        <v>No</v>
      </c>
      <c r="BU232" s="8" t="str">
        <f t="shared" si="102"/>
        <v>No</v>
      </c>
      <c r="BV232" s="8">
        <f t="shared" si="103"/>
        <v>80315.640815763065</v>
      </c>
      <c r="BW232" s="4">
        <v>0</v>
      </c>
      <c r="BX232" s="4">
        <v>1</v>
      </c>
    </row>
    <row r="233" spans="1:76" s="16" customFormat="1" x14ac:dyDescent="0.25">
      <c r="A233" s="26" t="s">
        <v>1440</v>
      </c>
      <c r="B233" s="6" t="s">
        <v>1707</v>
      </c>
      <c r="C233" s="7">
        <v>1000</v>
      </c>
      <c r="D233" s="7" t="s">
        <v>528</v>
      </c>
      <c r="E233" s="7" t="str">
        <f>Groups!$A$76</f>
        <v>Arachnid</v>
      </c>
      <c r="F233" s="7" t="str">
        <f t="shared" si="118"/>
        <v>Lay eggs</v>
      </c>
      <c r="G233" s="7" t="s">
        <v>1700</v>
      </c>
      <c r="H233" s="7">
        <v>15</v>
      </c>
      <c r="I233" s="4">
        <v>1</v>
      </c>
      <c r="J233" s="7" t="str">
        <f t="shared" si="119"/>
        <v>Lay eggs</v>
      </c>
      <c r="K233" s="7" t="s">
        <v>528</v>
      </c>
      <c r="L233" s="7">
        <v>32</v>
      </c>
      <c r="M233" s="7" t="s">
        <v>528</v>
      </c>
      <c r="N233" s="4">
        <v>0</v>
      </c>
      <c r="O233" s="4">
        <v>0</v>
      </c>
      <c r="P233" s="4">
        <v>0</v>
      </c>
      <c r="Q233" s="4">
        <v>0</v>
      </c>
      <c r="R233" s="4" t="s">
        <v>40</v>
      </c>
      <c r="S233" s="7">
        <f>_xlfn.XLOOKUP(B233,[1]TeethAdjusters!$A:$A,[1]BiteAdjusters!$C:$C,1)</f>
        <v>1</v>
      </c>
      <c r="T233" s="7">
        <f>_xlfn.XLOOKUP(B233,[1]TeethAdjusters!$A:$A,[1]TeethAdjusters!$B:$B,1)</f>
        <v>1</v>
      </c>
      <c r="U233" s="7" t="str">
        <f>IF(OR(_xlfn.XLOOKUP(E233,Groups!A:A,Groups!P:P)=1,_xlfn.XLOOKUP(E233,Groups!A:A,Groups!AD:AD)=1),"Need a formula","No")</f>
        <v>No</v>
      </c>
      <c r="V233" s="7">
        <v>4</v>
      </c>
      <c r="W233" s="7" t="str">
        <f>IF(_xlfn.XLOOKUP(E233,Groups!A:A,Groups!V:V)&lt;&gt;"No","Need a formula","No")</f>
        <v>No</v>
      </c>
      <c r="X233" s="7" t="s">
        <v>932</v>
      </c>
      <c r="Y233" s="4" t="s">
        <v>56</v>
      </c>
      <c r="Z233" s="4">
        <v>1</v>
      </c>
      <c r="AA233" s="4">
        <v>0</v>
      </c>
      <c r="AB233" s="4">
        <v>1</v>
      </c>
      <c r="AC233" s="4">
        <v>0</v>
      </c>
      <c r="AD233" s="4">
        <v>0</v>
      </c>
      <c r="AE233" s="4" t="s">
        <v>45</v>
      </c>
      <c r="AF233" s="4" t="s">
        <v>45</v>
      </c>
      <c r="AG233" s="49" t="s">
        <v>1712</v>
      </c>
      <c r="AH233" s="4" t="str">
        <f>Animals!$C$105</f>
        <v>&lt;li&gt;Megaspider&lt;/li&gt;</v>
      </c>
      <c r="AI233" s="4">
        <v>0</v>
      </c>
      <c r="AJ233" s="4">
        <v>0</v>
      </c>
      <c r="AK233" s="4">
        <v>0</v>
      </c>
      <c r="AL233" s="4">
        <v>0</v>
      </c>
      <c r="AM233" s="4">
        <v>1</v>
      </c>
      <c r="AN233" s="44" t="s">
        <v>40</v>
      </c>
      <c r="AO233" s="8">
        <f t="shared" si="89"/>
        <v>98928.854132845765</v>
      </c>
      <c r="AP233" s="8">
        <f>IFERROR(C233*_xlfn.XLOOKUP(E233,Groups!A:A,Groups!K:K),0.106*C233^0.94)</f>
        <v>320</v>
      </c>
      <c r="AQ233" s="8">
        <f>AP233*10000/(_xlfn.XLOOKUP(E233,Groups!A:A,Groups!J:J)*AO233)</f>
        <v>26.955398301548669</v>
      </c>
      <c r="AR233" s="8">
        <f t="shared" si="90"/>
        <v>18601.190892984225</v>
      </c>
      <c r="AS233" s="8">
        <f>IF(_xlfn.XLOOKUP(E233,Groups!A:A,Groups!M:M)=1,EXP(0.7444*LN('Base stats'!C233)+6.5696),EXP(0.7927*LN('Base stats'!C233)+4.28))</f>
        <v>17253.62611008879</v>
      </c>
      <c r="AT233" s="8">
        <f>IF(_xlfn.XLOOKUP(E233,Groups!A:A,Groups!N:N)="No","No",
IF(_xlfn.XLOOKUP(E233,Groups!A:A,Groups!N:N)="Crocodile",EXP(0.8129*LN(C233)+4.6742)*S233,
IF(_xlfn.XLOOKUP(E233,Groups!A:A,Groups!N:N)="Felid",EXP(0.7843*LN(C233)+4.7073)*S233,
IF(_xlfn.XLOOKUP(E233,Groups!A:A,Groups!N:N)="Canid",EXP(0.8367*LN(C233)+4.8763)*S233,
IF(_xlfn.XLOOKUP(E233,Groups!A:A,Groups!N:N)="Pig",EXP(0.3439*LN(C233)+6.8519)*S233,
IF(_xlfn.XLOOKUP(E233,Groups!A:A,Groups!N:N)="Rodent",EXP(0.5625*LN(C233)+4.3006)*S233,
IF(_xlfn.XLOOKUP(E233,Groups!A:A,Groups!N:N)="Primate",EXP(0.7847*LN(C233)+3.4931)*S233,
IF(_xlfn.XLOOKUP(E233,Groups!A:A,Groups!N:N)="MiscCarnivora",EXP(0.7486*LN(C233)+4.2207)*S233,
IF(_xlfn.XLOOKUP(E233,Groups!A:A,Groups!N:N)="Lizard",EXP(0.7733*LN(C233)+5.5303)*S233,
IF(_xlfn.XLOOKUP(E233,Groups!A:A,Groups!N:N)="Snake",50*C233^(2/3)*S233,
IF(_xlfn.XLOOKUP(E233,Groups!A:A,Groups!N:N)="StrongBitingHerbivore",87.1133638856975*C233^(2/3)*S233,
IF(_xlfn.XLOOKUP(E233,Groups!A:A,Groups!N:N)="MiscEctotherms",59.4316884072269*C233^(2/3)*S233,
IF(_xlfn.XLOOKUP(E233,Groups!A:A,Groups!N:N)="StrongBeakBird",0.041*(C233*1000)^1.375*S233,
IF(_xlfn.XLOOKUP(E233,Groups!A:A,Groups!N:N)="Bird",0.118*(C233*1000)^0.692*S233,
IF(_xlfn.XLOOKUP(E233,Groups!A:A,Groups!N:N)="Insect",EXP(0.7444*LN(C233)+6.5696)*S233,
IF(_xlfn.XLOOKUP(E233,Groups!A:A,Groups!N:N)="Theropod",EXP(0.6966*LN(C233)+4.158)*S233,
"No"))))))))))))))))</f>
        <v>121994.71824132207</v>
      </c>
      <c r="AU233" s="8">
        <f>IF(_xlfn.XLOOKUP(E233,Groups!A:A,Groups!U:U)=3,AS233,IF(_xlfn.XLOOKUP(E233,Groups!A:A,Groups!U:U)=2,AR233,AT233))</f>
        <v>121994.71824132207</v>
      </c>
      <c r="AV233" s="46">
        <f>IFERROR(AVERAGE(_xlfn.XLOOKUP(B233,Animals!B:B,Animals!N:N),_xlfn.XLOOKUP(B233,Animals!B:B,Animals!O:O)),0)</f>
        <v>0.5</v>
      </c>
      <c r="AW233" s="8">
        <f>MROUND(40*Animals!AO233*_xlfn.XLOOKUP(AG233,Leathers!$A$2:$A$99,Leathers!$B$2:$B$99,0)+(140*_xlfn.XLOOKUP(B233,Animals!B:B,Animals!AO:AO)*2),5)</f>
        <v>980</v>
      </c>
      <c r="AX233" s="8">
        <f>IFERROR(ROUND(SQRT(V233-1)*IF(_xlfn.XLOOKUP(E233,Groups!A:A,Groups!BF:BF)=0,2,1)*IF(_xlfn.XLOOKUP('Base stats'!E233,Groups!A:A,Groups!O:O)=0,1,0.1),1),0)</f>
        <v>3.5</v>
      </c>
      <c r="AY233" s="8">
        <f t="shared" si="91"/>
        <v>0</v>
      </c>
      <c r="AZ233" s="8">
        <f t="shared" si="92"/>
        <v>0</v>
      </c>
      <c r="BA233" s="8">
        <f t="shared" si="93"/>
        <v>9.5</v>
      </c>
      <c r="BB233" s="8">
        <f>IF(_xlfn.XLOOKUP(E233,Groups!A:A,Groups!N:N)="Insect",BD233*2.5,IFERROR(AVERAGE(BD233,AT233/9.81/IF(OR(_xlfn.XLOOKUP(E233,Groups!A:A,Groups!N:N)="Pig",_xlfn.XLOOKUP(E233,Groups!A:A,Groups!N:N)="StrongBitingHerbivore"),20,25))*C233^-0.135,BD233))</f>
        <v>30.494820103638951</v>
      </c>
      <c r="BC233" s="8" t="str">
        <f>IF(W233="No","No",IF(_xlfn.XLOOKUP(E233,Groups!A:A,Groups!U:U)=1,'Base stats'!BB233,IF(OR(_xlfn.XLOOKUP(E233,Groups!A:A,Groups!BD:BD)=1,_xlfn.XLOOKUP(E233,Groups!A:A,Groups!U:U)=2),BD233,IF(_xlfn.XLOOKUP(B233,Animals!B:B,Animals!AO:AO)&gt;4,AVERAGE(BD233,BF233),BF233))))</f>
        <v>No</v>
      </c>
      <c r="BD233" s="8">
        <f t="shared" si="94"/>
        <v>12.19792804145558</v>
      </c>
      <c r="BE233" s="8">
        <f>IF(_xlfn.XLOOKUP(E233,Groups!A:A,Groups!BE:BE)=1,(0.048*C233^1.01)+(0.071*C233^1.03),0.071*C233^1.03)/IF(_xlfn.XLOOKUP(E233,Groups!A:A,Groups!M:M)=1,0.85,IF(OR(_xlfn.XLOOKUP(B233,Animals!B:B,Animals!AO:AO)&gt;4,_xlfn.XLOOKUP(E233,Groups!A:A,Groups!BC:BC)=1),1.7,1))*C233^-0.25</f>
        <v>9.1371220764951868</v>
      </c>
      <c r="BF233" s="8">
        <f>(0.048*C233^1.01)/IF(_xlfn.XLOOKUP(E233,Groups!A:A,Groups!M:M)=1,0.25,0.8)*C233^-0.25</f>
        <v>11.432764307779475</v>
      </c>
      <c r="BG233" s="8">
        <f>EXP(1.076*LN(AR233)-4.5397)*IF(_xlfn.XLOOKUP(E233,Groups!A:A,Groups!BC:BC)=1,1.25,IF(_xlfn.XLOOKUP(E233,Groups!A:A,Groups!BD:BD)=1,3.5,2.5))</f>
        <v>524.04574632967251</v>
      </c>
      <c r="BH233" s="8">
        <f>EXP(1.076*LN(AS233)-4.5397)*IF(_xlfn.XLOOKUP(E233,Groups!A:A,Groups!M:M)=1,0.8,IF(_xlfn.XLOOKUP(E233,Groups!A:A,Groups!BC:BC)=1,1.3,3))</f>
        <v>502.64340004703536</v>
      </c>
      <c r="BI233" s="8" t="str">
        <f>IF(W233="No","No",IF(_xlfn.XLOOKUP(E233,Groups!A:A,Groups!U:U)=1,'Base stats'!BJ233,IF(OR(_xlfn.XLOOKUP(E233,Groups!A:A,Groups!BD:BD)=1,_xlfn.XLOOKUP(E233,Groups!A:A,Groups!U:U)=2),BG233,BH233))*1.2)</f>
        <v>No</v>
      </c>
      <c r="BJ233" s="8">
        <f>IFERROR(EXP(1.076*LN(AT233)-4.5397)*IF(_xlfn.XLOOKUP(E233,Groups!A:A,Groups!N:N)="Insect",1,IF(OR(_xlfn.XLOOKUP(E233,Groups!A:A,Groups!N:N)="Pig",_xlfn.XLOOKUP(E233,Groups!A:A,Groups!N:N)="StrongBitingHerbivore"),3.5,3.75)),"No")</f>
        <v>3172.0227026397488</v>
      </c>
      <c r="BK233" s="8">
        <f t="shared" si="95"/>
        <v>9</v>
      </c>
      <c r="BL233" s="8">
        <f t="shared" si="96"/>
        <v>10</v>
      </c>
      <c r="BM233" s="8" t="str">
        <f t="shared" si="97"/>
        <v>No</v>
      </c>
      <c r="BN233" s="8">
        <f t="shared" si="98"/>
        <v>14</v>
      </c>
      <c r="BO233" s="8">
        <f t="shared" si="99"/>
        <v>9</v>
      </c>
      <c r="BP233" s="8" t="str" cm="1">
        <f t="array" ref="BP233">IF(AND(_xlfn.XLOOKUP('Base stats'!E233,Groups!A:A,Groups!AD:AD=0),_xlfn.XLOOKUP('Base stats'!E233,Groups!A:A,Groups!P:P=0)),"No",IF(U233="No",AVERAGE(EXP(-0.57+0.99*LN(C233)),EXP(0.32+0.67*LN(C233)))/IF(_xlfn.XLOOKUP(E233,Groups!A:A,Groups!AD:AD)=1,10,2),(0.7354*C233^0.4078)*2/IF(_xlfn.XLOOKUP(E233,Groups!A:A,Groups!BK:BK)=1,1000,100)/IF(_xlfn.XLOOKUP(E233,Groups!A:A,Groups!AJ:AJ)="Photonozoa",3,1)))</f>
        <v>No</v>
      </c>
      <c r="BQ233" s="8" t="str">
        <f>IF(W233="No","No",IF(_xlfn.XLOOKUP(E233,Groups!A:A,Groups!BD:BD)=1,(AO233*5%),EXP(0.7354*LN(C233)^0.4078)*2/IF(_xlfn.XLOOKUP(E233,Groups!A:A,Groups!BL:BL)=1,1000,100)/IF(_xlfn.XLOOKUP(E233,Groups!A:A,Groups!AJ:AJ)="Photonozoa",3,1)))</f>
        <v>No</v>
      </c>
      <c r="BR233" s="8">
        <f>IF(BJ233="No","No",IF(_xlfn.XLOOKUP(E233,Groups!A:A,Groups!BF:BF)=1,(0.0315*C233+2.1825)*2,(0.7354*C233^0.4078)*2)/IF(_xlfn.XLOOKUP(E233,Groups!A:A,Groups!BM:BM)=1,1000,100)/IF(_xlfn.XLOOKUP(E233,Groups!A:A,Groups!AJ:AJ)="Photonozoa",3,1))</f>
        <v>2.460104872713283E-2</v>
      </c>
      <c r="BS233" s="8">
        <f t="shared" si="100"/>
        <v>0.10594396365411493</v>
      </c>
      <c r="BT233" s="8" t="str">
        <f t="shared" si="101"/>
        <v>No</v>
      </c>
      <c r="BU233" s="8" t="str">
        <f t="shared" si="102"/>
        <v>No</v>
      </c>
      <c r="BV233" s="8">
        <f t="shared" si="103"/>
        <v>128938.51550081611</v>
      </c>
      <c r="BW233" s="4">
        <v>0</v>
      </c>
      <c r="BX233" s="4">
        <v>1</v>
      </c>
    </row>
    <row r="234" spans="1:76" s="16" customFormat="1" x14ac:dyDescent="0.25">
      <c r="A234" s="26" t="s">
        <v>1420</v>
      </c>
      <c r="B234" s="6" t="s">
        <v>1705</v>
      </c>
      <c r="C234" s="7">
        <v>300</v>
      </c>
      <c r="D234" s="7" t="s">
        <v>528</v>
      </c>
      <c r="E234" s="7" t="str">
        <f>Groups!$A$76</f>
        <v>Arachnid</v>
      </c>
      <c r="F234" s="7" t="str">
        <f t="shared" ref="F234" si="132">"Lay eggs"</f>
        <v>Lay eggs</v>
      </c>
      <c r="G234" s="7">
        <v>5</v>
      </c>
      <c r="H234" s="7">
        <v>15</v>
      </c>
      <c r="I234" s="4">
        <v>1</v>
      </c>
      <c r="J234" s="7" t="str">
        <f t="shared" ref="J234" si="133">"Lay eggs"</f>
        <v>Lay eggs</v>
      </c>
      <c r="K234" s="7" t="s">
        <v>528</v>
      </c>
      <c r="L234" s="7">
        <v>32</v>
      </c>
      <c r="M234" s="7" t="s">
        <v>528</v>
      </c>
      <c r="N234" s="4">
        <v>0</v>
      </c>
      <c r="O234" s="4">
        <v>0</v>
      </c>
      <c r="P234" s="4">
        <v>0</v>
      </c>
      <c r="Q234" s="4">
        <v>0</v>
      </c>
      <c r="R234" s="4" t="s">
        <v>40</v>
      </c>
      <c r="S234" s="7">
        <f>_xlfn.XLOOKUP(B234,[1]TeethAdjusters!$A:$A,[1]BiteAdjusters!$C:$C,1)</f>
        <v>1</v>
      </c>
      <c r="T234" s="7">
        <f>_xlfn.XLOOKUP(B234,[1]TeethAdjusters!$A:$A,[1]TeethAdjusters!$B:$B,1)</f>
        <v>1</v>
      </c>
      <c r="U234" s="7" t="str">
        <f>IF(OR(_xlfn.XLOOKUP(E234,Groups!A:A,Groups!P:P)=1,_xlfn.XLOOKUP(E234,Groups!A:A,Groups!AD:AD)=1),"Need a formula","No")</f>
        <v>No</v>
      </c>
      <c r="V234" s="7">
        <v>4</v>
      </c>
      <c r="W234" s="7" t="str">
        <f>IF(_xlfn.XLOOKUP(E234,Groups!A:A,Groups!V:V)&lt;&gt;"No","Need a formula","No")</f>
        <v>No</v>
      </c>
      <c r="X234" s="7" t="s">
        <v>932</v>
      </c>
      <c r="Y234" s="4" t="s">
        <v>56</v>
      </c>
      <c r="Z234" s="4">
        <v>1</v>
      </c>
      <c r="AA234" s="4">
        <v>0</v>
      </c>
      <c r="AB234" s="4">
        <v>0</v>
      </c>
      <c r="AC234" s="4">
        <v>0</v>
      </c>
      <c r="AD234" s="4">
        <v>0</v>
      </c>
      <c r="AE234" s="4" t="s">
        <v>45</v>
      </c>
      <c r="AF234" s="4" t="s">
        <v>45</v>
      </c>
      <c r="AG234" s="49" t="s">
        <v>1712</v>
      </c>
      <c r="AH234" s="4" t="str">
        <f>Animals!$C$105</f>
        <v>&lt;li&gt;Megaspider&lt;/li&gt;</v>
      </c>
      <c r="AI234" s="4">
        <v>0</v>
      </c>
      <c r="AJ234" s="4">
        <v>0</v>
      </c>
      <c r="AK234" s="4">
        <v>0</v>
      </c>
      <c r="AL234" s="4">
        <v>0</v>
      </c>
      <c r="AM234" s="4">
        <v>1</v>
      </c>
      <c r="AN234" s="44" t="s">
        <v>40</v>
      </c>
      <c r="AO234" s="8">
        <f t="shared" si="89"/>
        <v>45232.625241713278</v>
      </c>
      <c r="AP234" s="8">
        <f>IFERROR(C234*_xlfn.XLOOKUP(E234,Groups!A:A,Groups!K:K),0.106*C234^0.94)</f>
        <v>96</v>
      </c>
      <c r="AQ234" s="8">
        <f>AP234*10000/(_xlfn.XLOOKUP(E234,Groups!A:A,Groups!J:J)*AO234)</f>
        <v>17.686349083763645</v>
      </c>
      <c r="AR234" s="8">
        <f t="shared" si="90"/>
        <v>6727.6760861471967</v>
      </c>
      <c r="AS234" s="8">
        <f>IF(_xlfn.XLOOKUP(E234,Groups!A:A,Groups!M:M)=1,EXP(0.7444*LN('Base stats'!C234)+6.5696),EXP(0.7927*LN('Base stats'!C234)+4.28))</f>
        <v>6643.4611730321203</v>
      </c>
      <c r="AT234" s="8">
        <f>IF(_xlfn.XLOOKUP(E234,Groups!A:A,Groups!N:N)="No","No",
IF(_xlfn.XLOOKUP(E234,Groups!A:A,Groups!N:N)="Crocodile",EXP(0.8129*LN(C234)+4.6742)*S234,
IF(_xlfn.XLOOKUP(E234,Groups!A:A,Groups!N:N)="Felid",EXP(0.7843*LN(C234)+4.7073)*S234,
IF(_xlfn.XLOOKUP(E234,Groups!A:A,Groups!N:N)="Canid",EXP(0.8367*LN(C234)+4.8763)*S234,
IF(_xlfn.XLOOKUP(E234,Groups!A:A,Groups!N:N)="Pig",EXP(0.3439*LN(C234)+6.8519)*S234,
IF(_xlfn.XLOOKUP(E234,Groups!A:A,Groups!N:N)="Rodent",EXP(0.5625*LN(C234)+4.3006)*S234,
IF(_xlfn.XLOOKUP(E234,Groups!A:A,Groups!N:N)="Primate",EXP(0.7847*LN(C234)+3.4931)*S234,
IF(_xlfn.XLOOKUP(E234,Groups!A:A,Groups!N:N)="MiscCarnivora",EXP(0.7486*LN(C234)+4.2207)*S234,
IF(_xlfn.XLOOKUP(E234,Groups!A:A,Groups!N:N)="Lizard",EXP(0.7733*LN(C234)+5.5303)*S234,
IF(_xlfn.XLOOKUP(E234,Groups!A:A,Groups!N:N)="Snake",50*C234^(2/3)*S234,
IF(_xlfn.XLOOKUP(E234,Groups!A:A,Groups!N:N)="StrongBitingHerbivore",87.1133638856975*C234^(2/3)*S234,
IF(_xlfn.XLOOKUP(E234,Groups!A:A,Groups!N:N)="MiscEctotherms",59.4316884072269*C234^(2/3)*S234,
IF(_xlfn.XLOOKUP(E234,Groups!A:A,Groups!N:N)="StrongBeakBird",0.041*(C234*1000)^1.375*S234,
IF(_xlfn.XLOOKUP(E234,Groups!A:A,Groups!N:N)="Bird",0.118*(C234*1000)^0.692*S234,
IF(_xlfn.XLOOKUP(E234,Groups!A:A,Groups!N:N)="Insect",EXP(0.7444*LN(C234)+6.5696)*S234,
IF(_xlfn.XLOOKUP(E234,Groups!A:A,Groups!N:N)="Theropod",EXP(0.6966*LN(C234)+4.158)*S234,
"No"))))))))))))))))</f>
        <v>49786.327351106935</v>
      </c>
      <c r="AU234" s="8">
        <f>IF(_xlfn.XLOOKUP(E234,Groups!A:A,Groups!U:U)=3,AS234,IF(_xlfn.XLOOKUP(E234,Groups!A:A,Groups!U:U)=2,AR234,AT234))</f>
        <v>49786.327351106935</v>
      </c>
      <c r="AV234" s="46">
        <f>IFERROR(AVERAGE(_xlfn.XLOOKUP(B234,Animals!B:B,Animals!N:N),_xlfn.XLOOKUP(B234,Animals!B:B,Animals!O:O)),0)</f>
        <v>0.47500000000000003</v>
      </c>
      <c r="AW234" s="8">
        <f>MROUND(40*Animals!AO234*_xlfn.XLOOKUP(AG234,Leathers!$A$2:$A$99,Leathers!$B$2:$B$99,0)+(140*_xlfn.XLOOKUP(B234,Animals!B:B,Animals!AO:AO)*2),5)</f>
        <v>630</v>
      </c>
      <c r="AX234" s="8">
        <f>IFERROR(ROUND(SQRT(V234-1)*IF(_xlfn.XLOOKUP(E234,Groups!A:A,Groups!BF:BF)=0,2,1)*IF(_xlfn.XLOOKUP('Base stats'!E234,Groups!A:A,Groups!O:O)=0,1,0.1),1),0)</f>
        <v>3.5</v>
      </c>
      <c r="AY234" s="8">
        <f t="shared" si="91"/>
        <v>0</v>
      </c>
      <c r="AZ234" s="8">
        <f t="shared" si="92"/>
        <v>0</v>
      </c>
      <c r="BA234" s="8">
        <f t="shared" si="93"/>
        <v>6.2</v>
      </c>
      <c r="BB234" s="8">
        <f>IF(_xlfn.XLOOKUP(E234,Groups!A:A,Groups!N:N)="Insect",BD234*2.5,IFERROR(AVERAGE(BD234,AT234/9.81/IF(OR(_xlfn.XLOOKUP(E234,Groups!A:A,Groups!N:N)="Pig",_xlfn.XLOOKUP(E234,Groups!A:A,Groups!N:N)="StrongBitingHerbivore"),20,25))*C234^-0.135,BD234))</f>
        <v>11.212793869379865</v>
      </c>
      <c r="BC234" s="8" t="str">
        <f>IF(W234="No","No",IF(_xlfn.XLOOKUP(E234,Groups!A:A,Groups!U:U)=1,'Base stats'!BB234,IF(OR(_xlfn.XLOOKUP(E234,Groups!A:A,Groups!BD:BD)=1,_xlfn.XLOOKUP(E234,Groups!A:A,Groups!U:U)=2),BD234,IF(_xlfn.XLOOKUP(B234,Animals!B:B,Animals!AO:AO)&gt;4,AVERAGE(BD234,BF234),BF234))))</f>
        <v>No</v>
      </c>
      <c r="BD234" s="8">
        <f t="shared" si="94"/>
        <v>4.4851175477519458</v>
      </c>
      <c r="BE234" s="8">
        <f>IF(_xlfn.XLOOKUP(E234,Groups!A:A,Groups!BE:BE)=1,(0.048*C234^1.01)+(0.071*C234^1.03),0.071*C234^1.03)/IF(_xlfn.XLOOKUP(E234,Groups!A:A,Groups!M:M)=1,0.85,IF(OR(_xlfn.XLOOKUP(B234,Animals!B:B,Animals!AO:AO)&gt;4,_xlfn.XLOOKUP(E234,Groups!A:A,Groups!BC:BC)=1),1.7,1))*C234^-0.25</f>
        <v>3.5724322889305471</v>
      </c>
      <c r="BF234" s="8">
        <f>(0.048*C234^1.01)/IF(_xlfn.XLOOKUP(E234,Groups!A:A,Groups!M:M)=1,0.25,0.8)*C234^-0.25</f>
        <v>4.5789236700969242</v>
      </c>
      <c r="BG234" s="8">
        <f>EXP(1.076*LN(AR234)-4.5397)*IF(_xlfn.XLOOKUP(E234,Groups!A:A,Groups!BC:BC)=1,1.25,IF(_xlfn.XLOOKUP(E234,Groups!A:A,Groups!BD:BD)=1,3.5,2.5))</f>
        <v>175.43901189464424</v>
      </c>
      <c r="BH234" s="8">
        <f>EXP(1.076*LN(AS234)-4.5397)*IF(_xlfn.XLOOKUP(E234,Groups!A:A,Groups!M:M)=1,0.8,IF(_xlfn.XLOOKUP(E234,Groups!A:A,Groups!BC:BC)=1,1.3,3))</f>
        <v>180.0002334924454</v>
      </c>
      <c r="BI234" s="8" t="str">
        <f>IF(W234="No","No",IF(_xlfn.XLOOKUP(E234,Groups!A:A,Groups!U:U)=1,'Base stats'!BJ234,IF(OR(_xlfn.XLOOKUP(E234,Groups!A:A,Groups!BD:BD)=1,_xlfn.XLOOKUP(E234,Groups!A:A,Groups!U:U)=2),BG234,BH234))*1.2)</f>
        <v>No</v>
      </c>
      <c r="BJ234" s="8">
        <f>IFERROR(EXP(1.076*LN(AT234)-4.5397)*IF(_xlfn.XLOOKUP(E234,Groups!A:A,Groups!N:N)="Insect",1,IF(OR(_xlfn.XLOOKUP(E234,Groups!A:A,Groups!N:N)="Pig",_xlfn.XLOOKUP(E234,Groups!A:A,Groups!N:N)="StrongBitingHerbivore"),3.5,3.75)),"No")</f>
        <v>1209.271444624758</v>
      </c>
      <c r="BK234" s="8">
        <f t="shared" si="95"/>
        <v>8</v>
      </c>
      <c r="BL234" s="8">
        <f t="shared" si="96"/>
        <v>10</v>
      </c>
      <c r="BM234" s="8" t="str">
        <f t="shared" si="97"/>
        <v>No</v>
      </c>
      <c r="BN234" s="8">
        <f t="shared" si="98"/>
        <v>14</v>
      </c>
      <c r="BO234" s="8">
        <f t="shared" si="99"/>
        <v>8</v>
      </c>
      <c r="BP234" s="8" t="str" cm="1">
        <f t="array" ref="BP234">IF(AND(_xlfn.XLOOKUP('Base stats'!E234,Groups!A:A,Groups!AD:AD=0),_xlfn.XLOOKUP('Base stats'!E234,Groups!A:A,Groups!P:P=0)),"No",IF(U234="No",AVERAGE(EXP(-0.57+0.99*LN(C234)),EXP(0.32+0.67*LN(C234)))/IF(_xlfn.XLOOKUP(E234,Groups!A:A,Groups!AD:AD)=1,10,2),(0.7354*C234^0.4078)*2/IF(_xlfn.XLOOKUP(E234,Groups!A:A,Groups!BK:BK)=1,1000,100)/IF(_xlfn.XLOOKUP(E234,Groups!A:A,Groups!AJ:AJ)="Photonozoa",3,1)))</f>
        <v>No</v>
      </c>
      <c r="BQ234" s="8" t="str">
        <f>IF(W234="No","No",IF(_xlfn.XLOOKUP(E234,Groups!A:A,Groups!BD:BD)=1,(AO234*5%),EXP(0.7354*LN(C234)^0.4078)*2/IF(_xlfn.XLOOKUP(E234,Groups!A:A,Groups!BL:BL)=1,1000,100)/IF(_xlfn.XLOOKUP(E234,Groups!A:A,Groups!AJ:AJ)="Photonozoa",3,1)))</f>
        <v>No</v>
      </c>
      <c r="BR234" s="8">
        <f>IF(BJ234="No","No",IF(_xlfn.XLOOKUP(E234,Groups!A:A,Groups!BF:BF)=1,(0.0315*C234+2.1825)*2,(0.7354*C234^0.4078)*2)/IF(_xlfn.XLOOKUP(E234,Groups!A:A,Groups!BM:BM)=1,1000,100)/IF(_xlfn.XLOOKUP(E234,Groups!A:A,Groups!AJ:AJ)="Photonozoa",3,1))</f>
        <v>1.5056487532717558E-2</v>
      </c>
      <c r="BS234" s="8">
        <f t="shared" si="100"/>
        <v>7.7571890181981018E-2</v>
      </c>
      <c r="BT234" s="8" t="str">
        <f t="shared" si="101"/>
        <v>No</v>
      </c>
      <c r="BU234" s="8" t="str">
        <f t="shared" si="102"/>
        <v>No</v>
      </c>
      <c r="BV234" s="8">
        <f t="shared" si="103"/>
        <v>80315.640815763065</v>
      </c>
      <c r="BW234" s="4">
        <v>0</v>
      </c>
      <c r="BX234" s="4">
        <v>1</v>
      </c>
    </row>
    <row r="235" spans="1:76" s="16" customFormat="1" x14ac:dyDescent="0.25">
      <c r="A235" s="26" t="s">
        <v>1422</v>
      </c>
      <c r="B235" s="6" t="s">
        <v>1706</v>
      </c>
      <c r="C235" s="7">
        <v>1000</v>
      </c>
      <c r="D235" s="7" t="s">
        <v>528</v>
      </c>
      <c r="E235" s="7" t="str">
        <f>Groups!$A$76</f>
        <v>Arachnid</v>
      </c>
      <c r="F235" s="7" t="str">
        <f t="shared" si="118"/>
        <v>Lay eggs</v>
      </c>
      <c r="G235" s="7" t="s">
        <v>1700</v>
      </c>
      <c r="H235" s="7">
        <v>15</v>
      </c>
      <c r="I235" s="4">
        <v>1</v>
      </c>
      <c r="J235" s="7" t="str">
        <f t="shared" si="119"/>
        <v>Lay eggs</v>
      </c>
      <c r="K235" s="7" t="s">
        <v>528</v>
      </c>
      <c r="L235" s="7">
        <v>32</v>
      </c>
      <c r="M235" s="7" t="s">
        <v>528</v>
      </c>
      <c r="N235" s="4">
        <v>0</v>
      </c>
      <c r="O235" s="4">
        <v>0</v>
      </c>
      <c r="P235" s="4">
        <v>0</v>
      </c>
      <c r="Q235" s="4">
        <v>0</v>
      </c>
      <c r="R235" s="4" t="s">
        <v>40</v>
      </c>
      <c r="S235" s="7">
        <f>_xlfn.XLOOKUP(B235,[1]TeethAdjusters!$A:$A,[1]BiteAdjusters!$C:$C,1)</f>
        <v>1</v>
      </c>
      <c r="T235" s="7">
        <f>_xlfn.XLOOKUP(B235,[1]TeethAdjusters!$A:$A,[1]TeethAdjusters!$B:$B,1)</f>
        <v>1</v>
      </c>
      <c r="U235" s="7" t="str">
        <f>IF(OR(_xlfn.XLOOKUP(E235,Groups!A:A,Groups!P:P)=1,_xlfn.XLOOKUP(E235,Groups!A:A,Groups!AD:AD)=1),"Need a formula","No")</f>
        <v>No</v>
      </c>
      <c r="V235" s="7">
        <v>4</v>
      </c>
      <c r="W235" s="7" t="str">
        <f>IF(_xlfn.XLOOKUP(E235,Groups!A:A,Groups!V:V)&lt;&gt;"No","Need a formula","No")</f>
        <v>No</v>
      </c>
      <c r="X235" s="7" t="s">
        <v>932</v>
      </c>
      <c r="Y235" s="4" t="s">
        <v>56</v>
      </c>
      <c r="Z235" s="4">
        <v>1</v>
      </c>
      <c r="AA235" s="4">
        <v>0</v>
      </c>
      <c r="AB235" s="4">
        <v>1</v>
      </c>
      <c r="AC235" s="4">
        <v>0</v>
      </c>
      <c r="AD235" s="4">
        <v>0</v>
      </c>
      <c r="AE235" s="4" t="s">
        <v>45</v>
      </c>
      <c r="AF235" s="4" t="s">
        <v>45</v>
      </c>
      <c r="AG235" s="49" t="s">
        <v>1712</v>
      </c>
      <c r="AH235" s="4" t="str">
        <f>Animals!$C$105</f>
        <v>&lt;li&gt;Megaspider&lt;/li&gt;</v>
      </c>
      <c r="AI235" s="4">
        <v>0</v>
      </c>
      <c r="AJ235" s="4">
        <v>0</v>
      </c>
      <c r="AK235" s="4">
        <v>0</v>
      </c>
      <c r="AL235" s="4">
        <v>0</v>
      </c>
      <c r="AM235" s="4">
        <v>1</v>
      </c>
      <c r="AN235" s="44" t="s">
        <v>40</v>
      </c>
      <c r="AO235" s="8">
        <f t="shared" si="89"/>
        <v>98928.854132845765</v>
      </c>
      <c r="AP235" s="8">
        <f>IFERROR(C235*_xlfn.XLOOKUP(E235,Groups!A:A,Groups!K:K),0.106*C235^0.94)</f>
        <v>320</v>
      </c>
      <c r="AQ235" s="8">
        <f>AP235*10000/(_xlfn.XLOOKUP(E235,Groups!A:A,Groups!J:J)*AO235)</f>
        <v>26.955398301548669</v>
      </c>
      <c r="AR235" s="8">
        <f t="shared" si="90"/>
        <v>18601.190892984225</v>
      </c>
      <c r="AS235" s="8">
        <f>IF(_xlfn.XLOOKUP(E235,Groups!A:A,Groups!M:M)=1,EXP(0.7444*LN('Base stats'!C235)+6.5696),EXP(0.7927*LN('Base stats'!C235)+4.28))</f>
        <v>17253.62611008879</v>
      </c>
      <c r="AT235" s="8">
        <f>IF(_xlfn.XLOOKUP(E235,Groups!A:A,Groups!N:N)="No","No",
IF(_xlfn.XLOOKUP(E235,Groups!A:A,Groups!N:N)="Crocodile",EXP(0.8129*LN(C235)+4.6742)*S235,
IF(_xlfn.XLOOKUP(E235,Groups!A:A,Groups!N:N)="Felid",EXP(0.7843*LN(C235)+4.7073)*S235,
IF(_xlfn.XLOOKUP(E235,Groups!A:A,Groups!N:N)="Canid",EXP(0.8367*LN(C235)+4.8763)*S235,
IF(_xlfn.XLOOKUP(E235,Groups!A:A,Groups!N:N)="Pig",EXP(0.3439*LN(C235)+6.8519)*S235,
IF(_xlfn.XLOOKUP(E235,Groups!A:A,Groups!N:N)="Rodent",EXP(0.5625*LN(C235)+4.3006)*S235,
IF(_xlfn.XLOOKUP(E235,Groups!A:A,Groups!N:N)="Primate",EXP(0.7847*LN(C235)+3.4931)*S235,
IF(_xlfn.XLOOKUP(E235,Groups!A:A,Groups!N:N)="MiscCarnivora",EXP(0.7486*LN(C235)+4.2207)*S235,
IF(_xlfn.XLOOKUP(E235,Groups!A:A,Groups!N:N)="Lizard",EXP(0.7733*LN(C235)+5.5303)*S235,
IF(_xlfn.XLOOKUP(E235,Groups!A:A,Groups!N:N)="Snake",50*C235^(2/3)*S235,
IF(_xlfn.XLOOKUP(E235,Groups!A:A,Groups!N:N)="StrongBitingHerbivore",87.1133638856975*C235^(2/3)*S235,
IF(_xlfn.XLOOKUP(E235,Groups!A:A,Groups!N:N)="MiscEctotherms",59.4316884072269*C235^(2/3)*S235,
IF(_xlfn.XLOOKUP(E235,Groups!A:A,Groups!N:N)="StrongBeakBird",0.041*(C235*1000)^1.375*S235,
IF(_xlfn.XLOOKUP(E235,Groups!A:A,Groups!N:N)="Bird",0.118*(C235*1000)^0.692*S235,
IF(_xlfn.XLOOKUP(E235,Groups!A:A,Groups!N:N)="Insect",EXP(0.7444*LN(C235)+6.5696)*S235,
IF(_xlfn.XLOOKUP(E235,Groups!A:A,Groups!N:N)="Theropod",EXP(0.6966*LN(C235)+4.158)*S235,
"No"))))))))))))))))</f>
        <v>121994.71824132207</v>
      </c>
      <c r="AU235" s="8">
        <f>IF(_xlfn.XLOOKUP(E235,Groups!A:A,Groups!U:U)=3,AS235,IF(_xlfn.XLOOKUP(E235,Groups!A:A,Groups!U:U)=2,AR235,AT235))</f>
        <v>121994.71824132207</v>
      </c>
      <c r="AV235" s="46">
        <f>IFERROR(AVERAGE(_xlfn.XLOOKUP(B235,Animals!B:B,Animals!N:N),_xlfn.XLOOKUP(B235,Animals!B:B,Animals!O:O)),0)</f>
        <v>0.5</v>
      </c>
      <c r="AW235" s="8">
        <f>MROUND(40*Animals!AO235*_xlfn.XLOOKUP(AG235,Leathers!$A$2:$A$99,Leathers!$B$2:$B$99,0)+(140*_xlfn.XLOOKUP(B235,Animals!B:B,Animals!AO:AO)*2),5)</f>
        <v>980</v>
      </c>
      <c r="AX235" s="8">
        <f>IFERROR(ROUND(SQRT(V235-1)*IF(_xlfn.XLOOKUP(E235,Groups!A:A,Groups!BF:BF)=0,2,1)*IF(_xlfn.XLOOKUP('Base stats'!E235,Groups!A:A,Groups!O:O)=0,1,0.1),1),0)</f>
        <v>3.5</v>
      </c>
      <c r="AY235" s="8">
        <f t="shared" si="91"/>
        <v>0</v>
      </c>
      <c r="AZ235" s="8">
        <f t="shared" si="92"/>
        <v>0</v>
      </c>
      <c r="BA235" s="8">
        <f t="shared" si="93"/>
        <v>9.5</v>
      </c>
      <c r="BB235" s="8">
        <f>IF(_xlfn.XLOOKUP(E235,Groups!A:A,Groups!N:N)="Insect",BD235*2.5,IFERROR(AVERAGE(BD235,AT235/9.81/IF(OR(_xlfn.XLOOKUP(E235,Groups!A:A,Groups!N:N)="Pig",_xlfn.XLOOKUP(E235,Groups!A:A,Groups!N:N)="StrongBitingHerbivore"),20,25))*C235^-0.135,BD235))</f>
        <v>30.494820103638951</v>
      </c>
      <c r="BC235" s="8" t="str">
        <f>IF(W235="No","No",IF(_xlfn.XLOOKUP(E235,Groups!A:A,Groups!U:U)=1,'Base stats'!BB235,IF(OR(_xlfn.XLOOKUP(E235,Groups!A:A,Groups!BD:BD)=1,_xlfn.XLOOKUP(E235,Groups!A:A,Groups!U:U)=2),BD235,IF(_xlfn.XLOOKUP(B235,Animals!B:B,Animals!AO:AO)&gt;4,AVERAGE(BD235,BF235),BF235))))</f>
        <v>No</v>
      </c>
      <c r="BD235" s="8">
        <f t="shared" si="94"/>
        <v>12.19792804145558</v>
      </c>
      <c r="BE235" s="8">
        <f>IF(_xlfn.XLOOKUP(E235,Groups!A:A,Groups!BE:BE)=1,(0.048*C235^1.01)+(0.071*C235^1.03),0.071*C235^1.03)/IF(_xlfn.XLOOKUP(E235,Groups!A:A,Groups!M:M)=1,0.85,IF(OR(_xlfn.XLOOKUP(B235,Animals!B:B,Animals!AO:AO)&gt;4,_xlfn.XLOOKUP(E235,Groups!A:A,Groups!BC:BC)=1),1.7,1))*C235^-0.25</f>
        <v>9.1371220764951868</v>
      </c>
      <c r="BF235" s="8">
        <f>(0.048*C235^1.01)/IF(_xlfn.XLOOKUP(E235,Groups!A:A,Groups!M:M)=1,0.25,0.8)*C235^-0.25</f>
        <v>11.432764307779475</v>
      </c>
      <c r="BG235" s="8">
        <f>EXP(1.076*LN(AR235)-4.5397)*IF(_xlfn.XLOOKUP(E235,Groups!A:A,Groups!BC:BC)=1,1.25,IF(_xlfn.XLOOKUP(E235,Groups!A:A,Groups!BD:BD)=1,3.5,2.5))</f>
        <v>524.04574632967251</v>
      </c>
      <c r="BH235" s="8">
        <f>EXP(1.076*LN(AS235)-4.5397)*IF(_xlfn.XLOOKUP(E235,Groups!A:A,Groups!M:M)=1,0.8,IF(_xlfn.XLOOKUP(E235,Groups!A:A,Groups!BC:BC)=1,1.3,3))</f>
        <v>502.64340004703536</v>
      </c>
      <c r="BI235" s="8" t="str">
        <f>IF(W235="No","No",IF(_xlfn.XLOOKUP(E235,Groups!A:A,Groups!U:U)=1,'Base stats'!BJ235,IF(OR(_xlfn.XLOOKUP(E235,Groups!A:A,Groups!BD:BD)=1,_xlfn.XLOOKUP(E235,Groups!A:A,Groups!U:U)=2),BG235,BH235))*1.2)</f>
        <v>No</v>
      </c>
      <c r="BJ235" s="8">
        <f>IFERROR(EXP(1.076*LN(AT235)-4.5397)*IF(_xlfn.XLOOKUP(E235,Groups!A:A,Groups!N:N)="Insect",1,IF(OR(_xlfn.XLOOKUP(E235,Groups!A:A,Groups!N:N)="Pig",_xlfn.XLOOKUP(E235,Groups!A:A,Groups!N:N)="StrongBitingHerbivore"),3.5,3.75)),"No")</f>
        <v>3172.0227026397488</v>
      </c>
      <c r="BK235" s="8">
        <f t="shared" si="95"/>
        <v>9</v>
      </c>
      <c r="BL235" s="8">
        <f t="shared" si="96"/>
        <v>10</v>
      </c>
      <c r="BM235" s="8" t="str">
        <f t="shared" si="97"/>
        <v>No</v>
      </c>
      <c r="BN235" s="8">
        <f t="shared" si="98"/>
        <v>14</v>
      </c>
      <c r="BO235" s="8">
        <f t="shared" si="99"/>
        <v>9</v>
      </c>
      <c r="BP235" s="8" t="str" cm="1">
        <f t="array" ref="BP235">IF(AND(_xlfn.XLOOKUP('Base stats'!E235,Groups!A:A,Groups!AD:AD=0),_xlfn.XLOOKUP('Base stats'!E235,Groups!A:A,Groups!P:P=0)),"No",IF(U235="No",AVERAGE(EXP(-0.57+0.99*LN(C235)),EXP(0.32+0.67*LN(C235)))/IF(_xlfn.XLOOKUP(E235,Groups!A:A,Groups!AD:AD)=1,10,2),(0.7354*C235^0.4078)*2/IF(_xlfn.XLOOKUP(E235,Groups!A:A,Groups!BK:BK)=1,1000,100)/IF(_xlfn.XLOOKUP(E235,Groups!A:A,Groups!AJ:AJ)="Photonozoa",3,1)))</f>
        <v>No</v>
      </c>
      <c r="BQ235" s="8" t="str">
        <f>IF(W235="No","No",IF(_xlfn.XLOOKUP(E235,Groups!A:A,Groups!BD:BD)=1,(AO235*5%),EXP(0.7354*LN(C235)^0.4078)*2/IF(_xlfn.XLOOKUP(E235,Groups!A:A,Groups!BL:BL)=1,1000,100)/IF(_xlfn.XLOOKUP(E235,Groups!A:A,Groups!AJ:AJ)="Photonozoa",3,1)))</f>
        <v>No</v>
      </c>
      <c r="BR235" s="8">
        <f>IF(BJ235="No","No",IF(_xlfn.XLOOKUP(E235,Groups!A:A,Groups!BF:BF)=1,(0.0315*C235+2.1825)*2,(0.7354*C235^0.4078)*2)/IF(_xlfn.XLOOKUP(E235,Groups!A:A,Groups!BM:BM)=1,1000,100)/IF(_xlfn.XLOOKUP(E235,Groups!A:A,Groups!AJ:AJ)="Photonozoa",3,1))</f>
        <v>2.460104872713283E-2</v>
      </c>
      <c r="BS235" s="8">
        <f t="shared" si="100"/>
        <v>0.10594396365411493</v>
      </c>
      <c r="BT235" s="8" t="str">
        <f t="shared" si="101"/>
        <v>No</v>
      </c>
      <c r="BU235" s="8" t="str">
        <f t="shared" si="102"/>
        <v>No</v>
      </c>
      <c r="BV235" s="8">
        <f t="shared" si="103"/>
        <v>128938.51550081611</v>
      </c>
      <c r="BW235" s="4">
        <v>0</v>
      </c>
      <c r="BX235" s="4">
        <v>1</v>
      </c>
    </row>
    <row r="236" spans="1:76" s="16" customFormat="1" x14ac:dyDescent="0.25">
      <c r="A236" s="26" t="s">
        <v>1374</v>
      </c>
      <c r="B236" s="6" t="s">
        <v>1702</v>
      </c>
      <c r="C236" s="7">
        <v>300</v>
      </c>
      <c r="D236" s="7" t="s">
        <v>528</v>
      </c>
      <c r="E236" s="7" t="str">
        <f>Groups!$A$76</f>
        <v>Arachnid</v>
      </c>
      <c r="F236" s="7" t="str">
        <f t="shared" ref="F236:F244" si="134">"Lay eggs"</f>
        <v>Lay eggs</v>
      </c>
      <c r="G236" s="7">
        <v>5</v>
      </c>
      <c r="H236" s="7">
        <v>15</v>
      </c>
      <c r="I236" s="4">
        <v>1</v>
      </c>
      <c r="J236" s="7" t="str">
        <f t="shared" ref="J236:J244" si="135">"Lay eggs"</f>
        <v>Lay eggs</v>
      </c>
      <c r="K236" s="7" t="s">
        <v>528</v>
      </c>
      <c r="L236" s="7">
        <v>32</v>
      </c>
      <c r="M236" s="7" t="s">
        <v>528</v>
      </c>
      <c r="N236" s="4">
        <v>0</v>
      </c>
      <c r="O236" s="4">
        <v>0</v>
      </c>
      <c r="P236" s="4">
        <v>0</v>
      </c>
      <c r="Q236" s="4">
        <v>0</v>
      </c>
      <c r="R236" s="4" t="s">
        <v>40</v>
      </c>
      <c r="S236" s="7">
        <f>_xlfn.XLOOKUP(B236,[1]TeethAdjusters!$A:$A,[1]BiteAdjusters!$C:$C,1)</f>
        <v>1</v>
      </c>
      <c r="T236" s="7">
        <f>_xlfn.XLOOKUP(B236,[1]TeethAdjusters!$A:$A,[1]TeethAdjusters!$B:$B,1)</f>
        <v>1</v>
      </c>
      <c r="U236" s="7" t="str">
        <f>IF(OR(_xlfn.XLOOKUP(E236,Groups!A:A,Groups!P:P)=1,_xlfn.XLOOKUP(E236,Groups!A:A,Groups!AD:AD)=1),"Need a formula","No")</f>
        <v>No</v>
      </c>
      <c r="V236" s="7">
        <v>4</v>
      </c>
      <c r="W236" s="7" t="str">
        <f>IF(_xlfn.XLOOKUP(E236,Groups!A:A,Groups!V:V)&lt;&gt;"No","Need a formula","No")</f>
        <v>No</v>
      </c>
      <c r="X236" s="7" t="s">
        <v>932</v>
      </c>
      <c r="Y236" s="4" t="s">
        <v>56</v>
      </c>
      <c r="Z236" s="4">
        <v>1</v>
      </c>
      <c r="AA236" s="4">
        <v>0</v>
      </c>
      <c r="AB236" s="4">
        <v>0</v>
      </c>
      <c r="AC236" s="4">
        <v>0</v>
      </c>
      <c r="AD236" s="4">
        <v>0</v>
      </c>
      <c r="AE236" s="4" t="s">
        <v>45</v>
      </c>
      <c r="AF236" s="4" t="s">
        <v>45</v>
      </c>
      <c r="AG236" s="49" t="s">
        <v>1712</v>
      </c>
      <c r="AH236" s="4" t="str">
        <f>Animals!$C$105</f>
        <v>&lt;li&gt;Megaspider&lt;/li&gt;</v>
      </c>
      <c r="AI236" s="4">
        <v>0</v>
      </c>
      <c r="AJ236" s="4">
        <v>0</v>
      </c>
      <c r="AK236" s="4">
        <v>0</v>
      </c>
      <c r="AL236" s="4">
        <v>0</v>
      </c>
      <c r="AM236" s="4">
        <v>1</v>
      </c>
      <c r="AN236" s="44" t="s">
        <v>40</v>
      </c>
      <c r="AO236" s="8">
        <f t="shared" si="89"/>
        <v>45232.625241713278</v>
      </c>
      <c r="AP236" s="8">
        <f>IFERROR(C236*_xlfn.XLOOKUP(E236,Groups!A:A,Groups!K:K),0.106*C236^0.94)</f>
        <v>96</v>
      </c>
      <c r="AQ236" s="8">
        <f>AP236*10000/(_xlfn.XLOOKUP(E236,Groups!A:A,Groups!J:J)*AO236)</f>
        <v>17.686349083763645</v>
      </c>
      <c r="AR236" s="8">
        <f t="shared" si="90"/>
        <v>6727.6760861471967</v>
      </c>
      <c r="AS236" s="8">
        <f>IF(_xlfn.XLOOKUP(E236,Groups!A:A,Groups!M:M)=1,EXP(0.7444*LN('Base stats'!C236)+6.5696),EXP(0.7927*LN('Base stats'!C236)+4.28))</f>
        <v>6643.4611730321203</v>
      </c>
      <c r="AT236" s="8">
        <f>IF(_xlfn.XLOOKUP(E236,Groups!A:A,Groups!N:N)="No","No",
IF(_xlfn.XLOOKUP(E236,Groups!A:A,Groups!N:N)="Crocodile",EXP(0.8129*LN(C236)+4.6742)*S236,
IF(_xlfn.XLOOKUP(E236,Groups!A:A,Groups!N:N)="Felid",EXP(0.7843*LN(C236)+4.7073)*S236,
IF(_xlfn.XLOOKUP(E236,Groups!A:A,Groups!N:N)="Canid",EXP(0.8367*LN(C236)+4.8763)*S236,
IF(_xlfn.XLOOKUP(E236,Groups!A:A,Groups!N:N)="Pig",EXP(0.3439*LN(C236)+6.8519)*S236,
IF(_xlfn.XLOOKUP(E236,Groups!A:A,Groups!N:N)="Rodent",EXP(0.5625*LN(C236)+4.3006)*S236,
IF(_xlfn.XLOOKUP(E236,Groups!A:A,Groups!N:N)="Primate",EXP(0.7847*LN(C236)+3.4931)*S236,
IF(_xlfn.XLOOKUP(E236,Groups!A:A,Groups!N:N)="MiscCarnivora",EXP(0.7486*LN(C236)+4.2207)*S236,
IF(_xlfn.XLOOKUP(E236,Groups!A:A,Groups!N:N)="Lizard",EXP(0.7733*LN(C236)+5.5303)*S236,
IF(_xlfn.XLOOKUP(E236,Groups!A:A,Groups!N:N)="Snake",50*C236^(2/3)*S236,
IF(_xlfn.XLOOKUP(E236,Groups!A:A,Groups!N:N)="StrongBitingHerbivore",87.1133638856975*C236^(2/3)*S236,
IF(_xlfn.XLOOKUP(E236,Groups!A:A,Groups!N:N)="MiscEctotherms",59.4316884072269*C236^(2/3)*S236,
IF(_xlfn.XLOOKUP(E236,Groups!A:A,Groups!N:N)="StrongBeakBird",0.041*(C236*1000)^1.375*S236,
IF(_xlfn.XLOOKUP(E236,Groups!A:A,Groups!N:N)="Bird",0.118*(C236*1000)^0.692*S236,
IF(_xlfn.XLOOKUP(E236,Groups!A:A,Groups!N:N)="Insect",EXP(0.7444*LN(C236)+6.5696)*S236,
IF(_xlfn.XLOOKUP(E236,Groups!A:A,Groups!N:N)="Theropod",EXP(0.6966*LN(C236)+4.158)*S236,
"No"))))))))))))))))</f>
        <v>49786.327351106935</v>
      </c>
      <c r="AU236" s="8">
        <f>IF(_xlfn.XLOOKUP(E236,Groups!A:A,Groups!U:U)=3,AS236,IF(_xlfn.XLOOKUP(E236,Groups!A:A,Groups!U:U)=2,AR236,AT236))</f>
        <v>49786.327351106935</v>
      </c>
      <c r="AV236" s="46">
        <f>IFERROR(AVERAGE(_xlfn.XLOOKUP(B236,Animals!B:B,Animals!N:N),_xlfn.XLOOKUP(B236,Animals!B:B,Animals!O:O)),0)</f>
        <v>0.47500000000000003</v>
      </c>
      <c r="AW236" s="8">
        <f>MROUND(40*Animals!AO236*_xlfn.XLOOKUP(AG236,Leathers!$A$2:$A$99,Leathers!$B$2:$B$99,0)+(140*_xlfn.XLOOKUP(B236,Animals!B:B,Animals!AO:AO)*2),5)</f>
        <v>630</v>
      </c>
      <c r="AX236" s="8">
        <f>IFERROR(ROUND(SQRT(V236-1)*IF(_xlfn.XLOOKUP(E236,Groups!A:A,Groups!BF:BF)=0,2,1)*IF(_xlfn.XLOOKUP('Base stats'!E236,Groups!A:A,Groups!O:O)=0,1,0.1),1),0)</f>
        <v>3.5</v>
      </c>
      <c r="AY236" s="8">
        <f t="shared" si="91"/>
        <v>0</v>
      </c>
      <c r="AZ236" s="8">
        <f t="shared" si="92"/>
        <v>0</v>
      </c>
      <c r="BA236" s="8">
        <f t="shared" si="93"/>
        <v>6.2</v>
      </c>
      <c r="BB236" s="8">
        <f>IF(_xlfn.XLOOKUP(E236,Groups!A:A,Groups!N:N)="Insect",BD236*2.5,IFERROR(AVERAGE(BD236,AT236/9.81/IF(OR(_xlfn.XLOOKUP(E236,Groups!A:A,Groups!N:N)="Pig",_xlfn.XLOOKUP(E236,Groups!A:A,Groups!N:N)="StrongBitingHerbivore"),20,25))*C236^-0.135,BD236))</f>
        <v>11.212793869379865</v>
      </c>
      <c r="BC236" s="8" t="str">
        <f>IF(W236="No","No",IF(_xlfn.XLOOKUP(E236,Groups!A:A,Groups!U:U)=1,'Base stats'!BB236,IF(OR(_xlfn.XLOOKUP(E236,Groups!A:A,Groups!BD:BD)=1,_xlfn.XLOOKUP(E236,Groups!A:A,Groups!U:U)=2),BD236,IF(_xlfn.XLOOKUP(B236,Animals!B:B,Animals!AO:AO)&gt;4,AVERAGE(BD236,BF236),BF236))))</f>
        <v>No</v>
      </c>
      <c r="BD236" s="8">
        <f t="shared" si="94"/>
        <v>4.4851175477519458</v>
      </c>
      <c r="BE236" s="8">
        <f>IF(_xlfn.XLOOKUP(E236,Groups!A:A,Groups!BE:BE)=1,(0.048*C236^1.01)+(0.071*C236^1.03),0.071*C236^1.03)/IF(_xlfn.XLOOKUP(E236,Groups!A:A,Groups!M:M)=1,0.85,IF(OR(_xlfn.XLOOKUP(B236,Animals!B:B,Animals!AO:AO)&gt;4,_xlfn.XLOOKUP(E236,Groups!A:A,Groups!BC:BC)=1),1.7,1))*C236^-0.25</f>
        <v>3.5724322889305471</v>
      </c>
      <c r="BF236" s="8">
        <f>(0.048*C236^1.01)/IF(_xlfn.XLOOKUP(E236,Groups!A:A,Groups!M:M)=1,0.25,0.8)*C236^-0.25</f>
        <v>4.5789236700969242</v>
      </c>
      <c r="BG236" s="8">
        <f>EXP(1.076*LN(AR236)-4.5397)*IF(_xlfn.XLOOKUP(E236,Groups!A:A,Groups!BC:BC)=1,1.25,IF(_xlfn.XLOOKUP(E236,Groups!A:A,Groups!BD:BD)=1,3.5,2.5))</f>
        <v>175.43901189464424</v>
      </c>
      <c r="BH236" s="8">
        <f>EXP(1.076*LN(AS236)-4.5397)*IF(_xlfn.XLOOKUP(E236,Groups!A:A,Groups!M:M)=1,0.8,IF(_xlfn.XLOOKUP(E236,Groups!A:A,Groups!BC:BC)=1,1.3,3))</f>
        <v>180.0002334924454</v>
      </c>
      <c r="BI236" s="8" t="str">
        <f>IF(W236="No","No",IF(_xlfn.XLOOKUP(E236,Groups!A:A,Groups!U:U)=1,'Base stats'!BJ236,IF(OR(_xlfn.XLOOKUP(E236,Groups!A:A,Groups!BD:BD)=1,_xlfn.XLOOKUP(E236,Groups!A:A,Groups!U:U)=2),BG236,BH236))*1.2)</f>
        <v>No</v>
      </c>
      <c r="BJ236" s="8">
        <f>IFERROR(EXP(1.076*LN(AT236)-4.5397)*IF(_xlfn.XLOOKUP(E236,Groups!A:A,Groups!N:N)="Insect",1,IF(OR(_xlfn.XLOOKUP(E236,Groups!A:A,Groups!N:N)="Pig",_xlfn.XLOOKUP(E236,Groups!A:A,Groups!N:N)="StrongBitingHerbivore"),3.5,3.75)),"No")</f>
        <v>1209.271444624758</v>
      </c>
      <c r="BK236" s="8">
        <f t="shared" si="95"/>
        <v>8</v>
      </c>
      <c r="BL236" s="8">
        <f t="shared" si="96"/>
        <v>10</v>
      </c>
      <c r="BM236" s="8" t="str">
        <f t="shared" si="97"/>
        <v>No</v>
      </c>
      <c r="BN236" s="8">
        <f t="shared" si="98"/>
        <v>14</v>
      </c>
      <c r="BO236" s="8">
        <f t="shared" si="99"/>
        <v>8</v>
      </c>
      <c r="BP236" s="8" t="str" cm="1">
        <f t="array" ref="BP236">IF(AND(_xlfn.XLOOKUP('Base stats'!E236,Groups!A:A,Groups!AD:AD=0),_xlfn.XLOOKUP('Base stats'!E236,Groups!A:A,Groups!P:P=0)),"No",IF(U236="No",AVERAGE(EXP(-0.57+0.99*LN(C236)),EXP(0.32+0.67*LN(C236)))/IF(_xlfn.XLOOKUP(E236,Groups!A:A,Groups!AD:AD)=1,10,2),(0.7354*C236^0.4078)*2/IF(_xlfn.XLOOKUP(E236,Groups!A:A,Groups!BK:BK)=1,1000,100)/IF(_xlfn.XLOOKUP(E236,Groups!A:A,Groups!AJ:AJ)="Photonozoa",3,1)))</f>
        <v>No</v>
      </c>
      <c r="BQ236" s="8" t="str">
        <f>IF(W236="No","No",IF(_xlfn.XLOOKUP(E236,Groups!A:A,Groups!BD:BD)=1,(AO236*5%),EXP(0.7354*LN(C236)^0.4078)*2/IF(_xlfn.XLOOKUP(E236,Groups!A:A,Groups!BL:BL)=1,1000,100)/IF(_xlfn.XLOOKUP(E236,Groups!A:A,Groups!AJ:AJ)="Photonozoa",3,1)))</f>
        <v>No</v>
      </c>
      <c r="BR236" s="8">
        <f>IF(BJ236="No","No",IF(_xlfn.XLOOKUP(E236,Groups!A:A,Groups!BF:BF)=1,(0.0315*C236+2.1825)*2,(0.7354*C236^0.4078)*2)/IF(_xlfn.XLOOKUP(E236,Groups!A:A,Groups!BM:BM)=1,1000,100)/IF(_xlfn.XLOOKUP(E236,Groups!A:A,Groups!AJ:AJ)="Photonozoa",3,1))</f>
        <v>1.5056487532717558E-2</v>
      </c>
      <c r="BS236" s="8">
        <f t="shared" si="100"/>
        <v>7.7571890181981018E-2</v>
      </c>
      <c r="BT236" s="8" t="str">
        <f t="shared" si="101"/>
        <v>No</v>
      </c>
      <c r="BU236" s="8" t="str">
        <f t="shared" si="102"/>
        <v>No</v>
      </c>
      <c r="BV236" s="8">
        <f t="shared" si="103"/>
        <v>80315.640815763065</v>
      </c>
      <c r="BW236" s="4">
        <v>0</v>
      </c>
      <c r="BX236" s="4">
        <v>1</v>
      </c>
    </row>
    <row r="237" spans="1:76" s="16" customFormat="1" x14ac:dyDescent="0.25">
      <c r="A237" s="26" t="s">
        <v>1376</v>
      </c>
      <c r="B237" s="6" t="s">
        <v>1703</v>
      </c>
      <c r="C237" s="7">
        <v>1000</v>
      </c>
      <c r="D237" s="7" t="s">
        <v>528</v>
      </c>
      <c r="E237" s="7" t="str">
        <f>Groups!$A$76</f>
        <v>Arachnid</v>
      </c>
      <c r="F237" s="7" t="str">
        <f t="shared" si="118"/>
        <v>Lay eggs</v>
      </c>
      <c r="G237" s="7" t="s">
        <v>1700</v>
      </c>
      <c r="H237" s="7">
        <v>15</v>
      </c>
      <c r="I237" s="4">
        <v>1</v>
      </c>
      <c r="J237" s="7" t="str">
        <f t="shared" si="119"/>
        <v>Lay eggs</v>
      </c>
      <c r="K237" s="7" t="s">
        <v>528</v>
      </c>
      <c r="L237" s="7">
        <v>32</v>
      </c>
      <c r="M237" s="7" t="s">
        <v>528</v>
      </c>
      <c r="N237" s="4">
        <v>0</v>
      </c>
      <c r="O237" s="4">
        <v>0</v>
      </c>
      <c r="P237" s="4">
        <v>0</v>
      </c>
      <c r="Q237" s="4">
        <v>0</v>
      </c>
      <c r="R237" s="4" t="s">
        <v>40</v>
      </c>
      <c r="S237" s="7">
        <f>_xlfn.XLOOKUP(B237,[1]TeethAdjusters!$A:$A,[1]BiteAdjusters!$C:$C,1)</f>
        <v>1</v>
      </c>
      <c r="T237" s="7">
        <f>_xlfn.XLOOKUP(B237,[1]TeethAdjusters!$A:$A,[1]TeethAdjusters!$B:$B,1)</f>
        <v>1</v>
      </c>
      <c r="U237" s="7" t="str">
        <f>IF(OR(_xlfn.XLOOKUP(E237,Groups!A:A,Groups!P:P)=1,_xlfn.XLOOKUP(E237,Groups!A:A,Groups!AD:AD)=1),"Need a formula","No")</f>
        <v>No</v>
      </c>
      <c r="V237" s="7">
        <v>4</v>
      </c>
      <c r="W237" s="7" t="str">
        <f>IF(_xlfn.XLOOKUP(E237,Groups!A:A,Groups!V:V)&lt;&gt;"No","Need a formula","No")</f>
        <v>No</v>
      </c>
      <c r="X237" s="7" t="s">
        <v>932</v>
      </c>
      <c r="Y237" s="4" t="s">
        <v>56</v>
      </c>
      <c r="Z237" s="4">
        <v>1</v>
      </c>
      <c r="AA237" s="4">
        <v>0</v>
      </c>
      <c r="AB237" s="4">
        <v>1</v>
      </c>
      <c r="AC237" s="4">
        <v>0</v>
      </c>
      <c r="AD237" s="4">
        <v>0</v>
      </c>
      <c r="AE237" s="4" t="s">
        <v>45</v>
      </c>
      <c r="AF237" s="4" t="s">
        <v>45</v>
      </c>
      <c r="AG237" s="49" t="s">
        <v>1712</v>
      </c>
      <c r="AH237" s="4" t="str">
        <f>Animals!$C$105</f>
        <v>&lt;li&gt;Megaspider&lt;/li&gt;</v>
      </c>
      <c r="AI237" s="4">
        <v>0</v>
      </c>
      <c r="AJ237" s="4">
        <v>0</v>
      </c>
      <c r="AK237" s="4">
        <v>0</v>
      </c>
      <c r="AL237" s="4">
        <v>0</v>
      </c>
      <c r="AM237" s="4">
        <v>1</v>
      </c>
      <c r="AN237" s="44" t="s">
        <v>40</v>
      </c>
      <c r="AO237" s="8">
        <f t="shared" si="89"/>
        <v>98928.854132845765</v>
      </c>
      <c r="AP237" s="8">
        <f>IFERROR(C237*_xlfn.XLOOKUP(E237,Groups!A:A,Groups!K:K),0.106*C237^0.94)</f>
        <v>320</v>
      </c>
      <c r="AQ237" s="8">
        <f>AP237*10000/(_xlfn.XLOOKUP(E237,Groups!A:A,Groups!J:J)*AO237)</f>
        <v>26.955398301548669</v>
      </c>
      <c r="AR237" s="8">
        <f t="shared" si="90"/>
        <v>18601.190892984225</v>
      </c>
      <c r="AS237" s="8">
        <f>IF(_xlfn.XLOOKUP(E237,Groups!A:A,Groups!M:M)=1,EXP(0.7444*LN('Base stats'!C237)+6.5696),EXP(0.7927*LN('Base stats'!C237)+4.28))</f>
        <v>17253.62611008879</v>
      </c>
      <c r="AT237" s="8">
        <f>IF(_xlfn.XLOOKUP(E237,Groups!A:A,Groups!N:N)="No","No",
IF(_xlfn.XLOOKUP(E237,Groups!A:A,Groups!N:N)="Crocodile",EXP(0.8129*LN(C237)+4.6742)*S237,
IF(_xlfn.XLOOKUP(E237,Groups!A:A,Groups!N:N)="Felid",EXP(0.7843*LN(C237)+4.7073)*S237,
IF(_xlfn.XLOOKUP(E237,Groups!A:A,Groups!N:N)="Canid",EXP(0.8367*LN(C237)+4.8763)*S237,
IF(_xlfn.XLOOKUP(E237,Groups!A:A,Groups!N:N)="Pig",EXP(0.3439*LN(C237)+6.8519)*S237,
IF(_xlfn.XLOOKUP(E237,Groups!A:A,Groups!N:N)="Rodent",EXP(0.5625*LN(C237)+4.3006)*S237,
IF(_xlfn.XLOOKUP(E237,Groups!A:A,Groups!N:N)="Primate",EXP(0.7847*LN(C237)+3.4931)*S237,
IF(_xlfn.XLOOKUP(E237,Groups!A:A,Groups!N:N)="MiscCarnivora",EXP(0.7486*LN(C237)+4.2207)*S237,
IF(_xlfn.XLOOKUP(E237,Groups!A:A,Groups!N:N)="Lizard",EXP(0.7733*LN(C237)+5.5303)*S237,
IF(_xlfn.XLOOKUP(E237,Groups!A:A,Groups!N:N)="Snake",50*C237^(2/3)*S237,
IF(_xlfn.XLOOKUP(E237,Groups!A:A,Groups!N:N)="StrongBitingHerbivore",87.1133638856975*C237^(2/3)*S237,
IF(_xlfn.XLOOKUP(E237,Groups!A:A,Groups!N:N)="MiscEctotherms",59.4316884072269*C237^(2/3)*S237,
IF(_xlfn.XLOOKUP(E237,Groups!A:A,Groups!N:N)="StrongBeakBird",0.041*(C237*1000)^1.375*S237,
IF(_xlfn.XLOOKUP(E237,Groups!A:A,Groups!N:N)="Bird",0.118*(C237*1000)^0.692*S237,
IF(_xlfn.XLOOKUP(E237,Groups!A:A,Groups!N:N)="Insect",EXP(0.7444*LN(C237)+6.5696)*S237,
IF(_xlfn.XLOOKUP(E237,Groups!A:A,Groups!N:N)="Theropod",EXP(0.6966*LN(C237)+4.158)*S237,
"No"))))))))))))))))</f>
        <v>121994.71824132207</v>
      </c>
      <c r="AU237" s="8">
        <f>IF(_xlfn.XLOOKUP(E237,Groups!A:A,Groups!U:U)=3,AS237,IF(_xlfn.XLOOKUP(E237,Groups!A:A,Groups!U:U)=2,AR237,AT237))</f>
        <v>121994.71824132207</v>
      </c>
      <c r="AV237" s="46">
        <f>IFERROR(AVERAGE(_xlfn.XLOOKUP(B237,Animals!B:B,Animals!N:N),_xlfn.XLOOKUP(B237,Animals!B:B,Animals!O:O)),0)</f>
        <v>0.5</v>
      </c>
      <c r="AW237" s="8">
        <f>MROUND(40*Animals!AO237*_xlfn.XLOOKUP(AG237,Leathers!$A$2:$A$99,Leathers!$B$2:$B$99,0)+(140*_xlfn.XLOOKUP(B237,Animals!B:B,Animals!AO:AO)*2),5)</f>
        <v>980</v>
      </c>
      <c r="AX237" s="8">
        <f>IFERROR(ROUND(SQRT(V237-1)*IF(_xlfn.XLOOKUP(E237,Groups!A:A,Groups!BF:BF)=0,2,1)*IF(_xlfn.XLOOKUP('Base stats'!E237,Groups!A:A,Groups!O:O)=0,1,0.1),1),0)</f>
        <v>3.5</v>
      </c>
      <c r="AY237" s="8">
        <f t="shared" si="91"/>
        <v>0</v>
      </c>
      <c r="AZ237" s="8">
        <f t="shared" si="92"/>
        <v>0</v>
      </c>
      <c r="BA237" s="8">
        <f t="shared" si="93"/>
        <v>9.5</v>
      </c>
      <c r="BB237" s="8">
        <f>IF(_xlfn.XLOOKUP(E237,Groups!A:A,Groups!N:N)="Insect",BD237*2.5,IFERROR(AVERAGE(BD237,AT237/9.81/IF(OR(_xlfn.XLOOKUP(E237,Groups!A:A,Groups!N:N)="Pig",_xlfn.XLOOKUP(E237,Groups!A:A,Groups!N:N)="StrongBitingHerbivore"),20,25))*C237^-0.135,BD237))</f>
        <v>30.494820103638951</v>
      </c>
      <c r="BC237" s="8" t="str">
        <f>IF(W237="No","No",IF(_xlfn.XLOOKUP(E237,Groups!A:A,Groups!U:U)=1,'Base stats'!BB237,IF(OR(_xlfn.XLOOKUP(E237,Groups!A:A,Groups!BD:BD)=1,_xlfn.XLOOKUP(E237,Groups!A:A,Groups!U:U)=2),BD237,IF(_xlfn.XLOOKUP(B237,Animals!B:B,Animals!AO:AO)&gt;4,AVERAGE(BD237,BF237),BF237))))</f>
        <v>No</v>
      </c>
      <c r="BD237" s="8">
        <f t="shared" si="94"/>
        <v>12.19792804145558</v>
      </c>
      <c r="BE237" s="8">
        <f>IF(_xlfn.XLOOKUP(E237,Groups!A:A,Groups!BE:BE)=1,(0.048*C237^1.01)+(0.071*C237^1.03),0.071*C237^1.03)/IF(_xlfn.XLOOKUP(E237,Groups!A:A,Groups!M:M)=1,0.85,IF(OR(_xlfn.XLOOKUP(B237,Animals!B:B,Animals!AO:AO)&gt;4,_xlfn.XLOOKUP(E237,Groups!A:A,Groups!BC:BC)=1),1.7,1))*C237^-0.25</f>
        <v>9.1371220764951868</v>
      </c>
      <c r="BF237" s="8">
        <f>(0.048*C237^1.01)/IF(_xlfn.XLOOKUP(E237,Groups!A:A,Groups!M:M)=1,0.25,0.8)*C237^-0.25</f>
        <v>11.432764307779475</v>
      </c>
      <c r="BG237" s="8">
        <f>EXP(1.076*LN(AR237)-4.5397)*IF(_xlfn.XLOOKUP(E237,Groups!A:A,Groups!BC:BC)=1,1.25,IF(_xlfn.XLOOKUP(E237,Groups!A:A,Groups!BD:BD)=1,3.5,2.5))</f>
        <v>524.04574632967251</v>
      </c>
      <c r="BH237" s="8">
        <f>EXP(1.076*LN(AS237)-4.5397)*IF(_xlfn.XLOOKUP(E237,Groups!A:A,Groups!M:M)=1,0.8,IF(_xlfn.XLOOKUP(E237,Groups!A:A,Groups!BC:BC)=1,1.3,3))</f>
        <v>502.64340004703536</v>
      </c>
      <c r="BI237" s="8" t="str">
        <f>IF(W237="No","No",IF(_xlfn.XLOOKUP(E237,Groups!A:A,Groups!U:U)=1,'Base stats'!BJ237,IF(OR(_xlfn.XLOOKUP(E237,Groups!A:A,Groups!BD:BD)=1,_xlfn.XLOOKUP(E237,Groups!A:A,Groups!U:U)=2),BG237,BH237))*1.2)</f>
        <v>No</v>
      </c>
      <c r="BJ237" s="8">
        <f>IFERROR(EXP(1.076*LN(AT237)-4.5397)*IF(_xlfn.XLOOKUP(E237,Groups!A:A,Groups!N:N)="Insect",1,IF(OR(_xlfn.XLOOKUP(E237,Groups!A:A,Groups!N:N)="Pig",_xlfn.XLOOKUP(E237,Groups!A:A,Groups!N:N)="StrongBitingHerbivore"),3.5,3.75)),"No")</f>
        <v>3172.0227026397488</v>
      </c>
      <c r="BK237" s="8">
        <f t="shared" si="95"/>
        <v>9</v>
      </c>
      <c r="BL237" s="8">
        <f t="shared" si="96"/>
        <v>10</v>
      </c>
      <c r="BM237" s="8" t="str">
        <f t="shared" si="97"/>
        <v>No</v>
      </c>
      <c r="BN237" s="8">
        <f t="shared" si="98"/>
        <v>14</v>
      </c>
      <c r="BO237" s="8">
        <f t="shared" si="99"/>
        <v>9</v>
      </c>
      <c r="BP237" s="8" t="str" cm="1">
        <f t="array" ref="BP237">IF(AND(_xlfn.XLOOKUP('Base stats'!E237,Groups!A:A,Groups!AD:AD=0),_xlfn.XLOOKUP('Base stats'!E237,Groups!A:A,Groups!P:P=0)),"No",IF(U237="No",AVERAGE(EXP(-0.57+0.99*LN(C237)),EXP(0.32+0.67*LN(C237)))/IF(_xlfn.XLOOKUP(E237,Groups!A:A,Groups!AD:AD)=1,10,2),(0.7354*C237^0.4078)*2/IF(_xlfn.XLOOKUP(E237,Groups!A:A,Groups!BK:BK)=1,1000,100)/IF(_xlfn.XLOOKUP(E237,Groups!A:A,Groups!AJ:AJ)="Photonozoa",3,1)))</f>
        <v>No</v>
      </c>
      <c r="BQ237" s="8" t="str">
        <f>IF(W237="No","No",IF(_xlfn.XLOOKUP(E237,Groups!A:A,Groups!BD:BD)=1,(AO237*5%),EXP(0.7354*LN(C237)^0.4078)*2/IF(_xlfn.XLOOKUP(E237,Groups!A:A,Groups!BL:BL)=1,1000,100)/IF(_xlfn.XLOOKUP(E237,Groups!A:A,Groups!AJ:AJ)="Photonozoa",3,1)))</f>
        <v>No</v>
      </c>
      <c r="BR237" s="8">
        <f>IF(BJ237="No","No",IF(_xlfn.XLOOKUP(E237,Groups!A:A,Groups!BF:BF)=1,(0.0315*C237+2.1825)*2,(0.7354*C237^0.4078)*2)/IF(_xlfn.XLOOKUP(E237,Groups!A:A,Groups!BM:BM)=1,1000,100)/IF(_xlfn.XLOOKUP(E237,Groups!A:A,Groups!AJ:AJ)="Photonozoa",3,1))</f>
        <v>2.460104872713283E-2</v>
      </c>
      <c r="BS237" s="8">
        <f t="shared" si="100"/>
        <v>0.10594396365411493</v>
      </c>
      <c r="BT237" s="8" t="str">
        <f t="shared" si="101"/>
        <v>No</v>
      </c>
      <c r="BU237" s="8" t="str">
        <f t="shared" si="102"/>
        <v>No</v>
      </c>
      <c r="BV237" s="8">
        <f t="shared" si="103"/>
        <v>128938.51550081611</v>
      </c>
      <c r="BW237" s="4">
        <v>0</v>
      </c>
      <c r="BX237" s="4">
        <v>1</v>
      </c>
    </row>
    <row r="238" spans="1:76" s="16" customFormat="1" x14ac:dyDescent="0.25">
      <c r="A238" s="26" t="s">
        <v>1396</v>
      </c>
      <c r="B238" s="6" t="s">
        <v>1704</v>
      </c>
      <c r="C238" s="7">
        <v>350</v>
      </c>
      <c r="D238" s="7" t="s">
        <v>528</v>
      </c>
      <c r="E238" s="7" t="str">
        <f>Groups!$A$76</f>
        <v>Arachnid</v>
      </c>
      <c r="F238" s="7" t="str">
        <f t="shared" si="124"/>
        <v>Lay eggs</v>
      </c>
      <c r="G238" s="7">
        <v>5</v>
      </c>
      <c r="H238" s="7">
        <v>15</v>
      </c>
      <c r="I238" s="4">
        <v>1</v>
      </c>
      <c r="J238" s="7" t="str">
        <f t="shared" si="125"/>
        <v>Lay eggs</v>
      </c>
      <c r="K238" s="7" t="s">
        <v>528</v>
      </c>
      <c r="L238" s="7">
        <v>32</v>
      </c>
      <c r="M238" s="7" t="s">
        <v>528</v>
      </c>
      <c r="N238" s="4">
        <v>0</v>
      </c>
      <c r="O238" s="4">
        <v>0</v>
      </c>
      <c r="P238" s="4">
        <v>0</v>
      </c>
      <c r="Q238" s="4">
        <v>0</v>
      </c>
      <c r="R238" s="4" t="s">
        <v>40</v>
      </c>
      <c r="S238" s="7">
        <f>_xlfn.XLOOKUP(B238,[1]TeethAdjusters!$A:$A,[1]BiteAdjusters!$C:$C,1)</f>
        <v>1</v>
      </c>
      <c r="T238" s="7">
        <f>_xlfn.XLOOKUP(B238,[1]TeethAdjusters!$A:$A,[1]TeethAdjusters!$B:$B,1)</f>
        <v>1</v>
      </c>
      <c r="U238" s="7" t="str">
        <f>IF(OR(_xlfn.XLOOKUP(E238,Groups!A:A,Groups!P:P)=1,_xlfn.XLOOKUP(E238,Groups!A:A,Groups!AD:AD)=1),"Need a formula","No")</f>
        <v>No</v>
      </c>
      <c r="V238" s="7">
        <v>4</v>
      </c>
      <c r="W238" s="7" t="str">
        <f>IF(_xlfn.XLOOKUP(E238,Groups!A:A,Groups!V:V)&lt;&gt;"No","Need a formula","No")</f>
        <v>No</v>
      </c>
      <c r="X238" s="7" t="s">
        <v>932</v>
      </c>
      <c r="Y238" s="4" t="s">
        <v>56</v>
      </c>
      <c r="Z238" s="4">
        <v>1</v>
      </c>
      <c r="AA238" s="4">
        <v>0</v>
      </c>
      <c r="AB238" s="4">
        <v>0</v>
      </c>
      <c r="AC238" s="4">
        <v>0</v>
      </c>
      <c r="AD238" s="4">
        <v>0</v>
      </c>
      <c r="AE238" s="4" t="s">
        <v>45</v>
      </c>
      <c r="AF238" s="4" t="s">
        <v>45</v>
      </c>
      <c r="AG238" s="49" t="s">
        <v>1712</v>
      </c>
      <c r="AH238" s="4" t="str">
        <f>Animals!$C$105</f>
        <v>&lt;li&gt;Megaspider&lt;/li&gt;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4" t="s">
        <v>40</v>
      </c>
      <c r="AO238" s="8">
        <f t="shared" si="89"/>
        <v>49999.678016554004</v>
      </c>
      <c r="AP238" s="8">
        <f>IFERROR(C238*_xlfn.XLOOKUP(E238,Groups!A:A,Groups!K:K),0.106*C238^0.94)</f>
        <v>112</v>
      </c>
      <c r="AQ238" s="8">
        <f>AP238*10000/(_xlfn.XLOOKUP(E238,Groups!A:A,Groups!J:J)*AO238)</f>
        <v>18.666786874593939</v>
      </c>
      <c r="AR238" s="8">
        <f t="shared" si="90"/>
        <v>7663.2858706487614</v>
      </c>
      <c r="AS238" s="8">
        <f>IF(_xlfn.XLOOKUP(E238,Groups!A:A,Groups!M:M)=1,EXP(0.7444*LN('Base stats'!C238)+6.5696),EXP(0.7927*LN('Base stats'!C238)+4.28))</f>
        <v>7506.9430520091801</v>
      </c>
      <c r="AT238" s="8">
        <f>IF(_xlfn.XLOOKUP(E238,Groups!A:A,Groups!N:N)="No","No",
IF(_xlfn.XLOOKUP(E238,Groups!A:A,Groups!N:N)="Crocodile",EXP(0.8129*LN(C238)+4.6742)*S238,
IF(_xlfn.XLOOKUP(E238,Groups!A:A,Groups!N:N)="Felid",EXP(0.7843*LN(C238)+4.7073)*S238,
IF(_xlfn.XLOOKUP(E238,Groups!A:A,Groups!N:N)="Canid",EXP(0.8367*LN(C238)+4.8763)*S238,
IF(_xlfn.XLOOKUP(E238,Groups!A:A,Groups!N:N)="Pig",EXP(0.3439*LN(C238)+6.8519)*S238,
IF(_xlfn.XLOOKUP(E238,Groups!A:A,Groups!N:N)="Rodent",EXP(0.5625*LN(C238)+4.3006)*S238,
IF(_xlfn.XLOOKUP(E238,Groups!A:A,Groups!N:N)="Primate",EXP(0.7847*LN(C238)+3.4931)*S238,
IF(_xlfn.XLOOKUP(E238,Groups!A:A,Groups!N:N)="MiscCarnivora",EXP(0.7486*LN(C238)+4.2207)*S238,
IF(_xlfn.XLOOKUP(E238,Groups!A:A,Groups!N:N)="Lizard",EXP(0.7733*LN(C238)+5.5303)*S238,
IF(_xlfn.XLOOKUP(E238,Groups!A:A,Groups!N:N)="Snake",50*C238^(2/3)*S238,
IF(_xlfn.XLOOKUP(E238,Groups!A:A,Groups!N:N)="StrongBitingHerbivore",87.1133638856975*C238^(2/3)*S238,
IF(_xlfn.XLOOKUP(E238,Groups!A:A,Groups!N:N)="MiscEctotherms",59.4316884072269*C238^(2/3)*S238,
IF(_xlfn.XLOOKUP(E238,Groups!A:A,Groups!N:N)="StrongBeakBird",0.041*(C238*1000)^1.375*S238,
IF(_xlfn.XLOOKUP(E238,Groups!A:A,Groups!N:N)="Bird",0.118*(C238*1000)^0.692*S238,
IF(_xlfn.XLOOKUP(E238,Groups!A:A,Groups!N:N)="Insect",EXP(0.7444*LN(C238)+6.5696)*S238,
IF(_xlfn.XLOOKUP(E238,Groups!A:A,Groups!N:N)="Theropod",EXP(0.6966*LN(C238)+4.158)*S238,
"No"))))))))))))))))</f>
        <v>55839.983402189697</v>
      </c>
      <c r="AU238" s="8">
        <f>IF(_xlfn.XLOOKUP(E238,Groups!A:A,Groups!U:U)=3,AS238,IF(_xlfn.XLOOKUP(E238,Groups!A:A,Groups!U:U)=2,AR238,AT238))</f>
        <v>55839.983402189697</v>
      </c>
      <c r="AV238" s="46">
        <f>IFERROR(AVERAGE(_xlfn.XLOOKUP(B238,Animals!B:B,Animals!N:N),_xlfn.XLOOKUP(B238,Animals!B:B,Animals!O:O)),0)</f>
        <v>0.47500000000000003</v>
      </c>
      <c r="AW238" s="8">
        <f>MROUND(40*Animals!AO238*_xlfn.XLOOKUP(AG238,Leathers!$A$2:$A$99,Leathers!$B$2:$B$99,0)+(140*_xlfn.XLOOKUP(B238,Animals!B:B,Animals!AO:AO)*2),5)</f>
        <v>700</v>
      </c>
      <c r="AX238" s="8">
        <f>IFERROR(ROUND(SQRT(V238-1)*IF(_xlfn.XLOOKUP(E238,Groups!A:A,Groups!BF:BF)=0,2,1)*IF(_xlfn.XLOOKUP('Base stats'!E238,Groups!A:A,Groups!O:O)=0,1,0.1),1),0)</f>
        <v>3.5</v>
      </c>
      <c r="AY238" s="8">
        <f t="shared" si="91"/>
        <v>0</v>
      </c>
      <c r="AZ238" s="8">
        <f t="shared" si="92"/>
        <v>0</v>
      </c>
      <c r="BA238" s="8">
        <f t="shared" si="93"/>
        <v>6.5</v>
      </c>
      <c r="BB238" s="8">
        <f>IF(_xlfn.XLOOKUP(E238,Groups!A:A,Groups!N:N)="Insect",BD238*2.5,IFERROR(AVERAGE(BD238,AT238/9.81/IF(OR(_xlfn.XLOOKUP(E238,Groups!A:A,Groups!N:N)="Pig",_xlfn.XLOOKUP(E238,Groups!A:A,Groups!N:N)="StrongBitingHerbivore"),20,25))*C238^-0.135,BD238))</f>
        <v>12.745198992247673</v>
      </c>
      <c r="BC238" s="8" t="str">
        <f>IF(W238="No","No",IF(_xlfn.XLOOKUP(E238,Groups!A:A,Groups!U:U)=1,'Base stats'!BB238,IF(OR(_xlfn.XLOOKUP(E238,Groups!A:A,Groups!BD:BD)=1,_xlfn.XLOOKUP(E238,Groups!A:A,Groups!U:U)=2),BD238,IF(_xlfn.XLOOKUP(B238,Animals!B:B,Animals!AO:AO)&gt;4,AVERAGE(BD238,BF238),BF238))))</f>
        <v>No</v>
      </c>
      <c r="BD238" s="8">
        <f t="shared" si="94"/>
        <v>5.0980795968990691</v>
      </c>
      <c r="BE238" s="8">
        <f>IF(_xlfn.XLOOKUP(E238,Groups!A:A,Groups!BE:BE)=1,(0.048*C238^1.01)+(0.071*C238^1.03),0.071*C238^1.03)/IF(_xlfn.XLOOKUP(E238,Groups!A:A,Groups!M:M)=1,0.85,IF(OR(_xlfn.XLOOKUP(B238,Animals!B:B,Animals!AO:AO)&gt;4,_xlfn.XLOOKUP(E238,Groups!A:A,Groups!BC:BC)=1),1.7,1))*C238^-0.25</f>
        <v>4.0288630215054066</v>
      </c>
      <c r="BF238" s="8">
        <f>(0.048*C238^1.01)/IF(_xlfn.XLOOKUP(E238,Groups!A:A,Groups!M:M)=1,0.25,0.8)*C238^-0.25</f>
        <v>5.1480524630900852</v>
      </c>
      <c r="BG238" s="8">
        <f>EXP(1.076*LN(AR238)-4.5397)*IF(_xlfn.XLOOKUP(E238,Groups!A:A,Groups!BC:BC)=1,1.25,IF(_xlfn.XLOOKUP(E238,Groups!A:A,Groups!BD:BD)=1,3.5,2.5))</f>
        <v>201.82451722111298</v>
      </c>
      <c r="BH238" s="8">
        <f>EXP(1.076*LN(AS238)-4.5397)*IF(_xlfn.XLOOKUP(E238,Groups!A:A,Groups!M:M)=1,0.8,IF(_xlfn.XLOOKUP(E238,Groups!A:A,Groups!BC:BC)=1,1.3,3))</f>
        <v>205.29341130609819</v>
      </c>
      <c r="BI238" s="8" t="str">
        <f>IF(W238="No","No",IF(_xlfn.XLOOKUP(E238,Groups!A:A,Groups!U:U)=1,'Base stats'!BJ238,IF(OR(_xlfn.XLOOKUP(E238,Groups!A:A,Groups!BD:BD)=1,_xlfn.XLOOKUP(E238,Groups!A:A,Groups!U:U)=2),BG238,BH238))*1.2)</f>
        <v>No</v>
      </c>
      <c r="BJ238" s="8">
        <f>IFERROR(EXP(1.076*LN(AT238)-4.5397)*IF(_xlfn.XLOOKUP(E238,Groups!A:A,Groups!N:N)="Insect",1,IF(OR(_xlfn.XLOOKUP(E238,Groups!A:A,Groups!N:N)="Pig",_xlfn.XLOOKUP(E238,Groups!A:A,Groups!N:N)="StrongBitingHerbivore"),3.5,3.75)),"No")</f>
        <v>1368.1901590182752</v>
      </c>
      <c r="BK238" s="8">
        <f t="shared" si="95"/>
        <v>8</v>
      </c>
      <c r="BL238" s="8">
        <f t="shared" si="96"/>
        <v>10</v>
      </c>
      <c r="BM238" s="8" t="str">
        <f t="shared" si="97"/>
        <v>No</v>
      </c>
      <c r="BN238" s="8">
        <f t="shared" si="98"/>
        <v>14</v>
      </c>
      <c r="BO238" s="8">
        <f t="shared" si="99"/>
        <v>8</v>
      </c>
      <c r="BP238" s="8" t="str" cm="1">
        <f t="array" ref="BP238">IF(AND(_xlfn.XLOOKUP('Base stats'!E238,Groups!A:A,Groups!AD:AD=0),_xlfn.XLOOKUP('Base stats'!E238,Groups!A:A,Groups!P:P=0)),"No",IF(U238="No",AVERAGE(EXP(-0.57+0.99*LN(C238)),EXP(0.32+0.67*LN(C238)))/IF(_xlfn.XLOOKUP(E238,Groups!A:A,Groups!AD:AD)=1,10,2),(0.7354*C238^0.4078)*2/IF(_xlfn.XLOOKUP(E238,Groups!A:A,Groups!BK:BK)=1,1000,100)/IF(_xlfn.XLOOKUP(E238,Groups!A:A,Groups!AJ:AJ)="Photonozoa",3,1)))</f>
        <v>No</v>
      </c>
      <c r="BQ238" s="8" t="str">
        <f>IF(W238="No","No",IF(_xlfn.XLOOKUP(E238,Groups!A:A,Groups!BD:BD)=1,(AO238*5%),EXP(0.7354*LN(C238)^0.4078)*2/IF(_xlfn.XLOOKUP(E238,Groups!A:A,Groups!BL:BL)=1,1000,100)/IF(_xlfn.XLOOKUP(E238,Groups!A:A,Groups!AJ:AJ)="Photonozoa",3,1)))</f>
        <v>No</v>
      </c>
      <c r="BR238" s="8">
        <f>IF(BJ238="No","No",IF(_xlfn.XLOOKUP(E238,Groups!A:A,Groups!BF:BF)=1,(0.0315*C238+2.1825)*2,(0.7354*C238^0.4078)*2)/IF(_xlfn.XLOOKUP(E238,Groups!A:A,Groups!BM:BM)=1,1000,100)/IF(_xlfn.XLOOKUP(E238,Groups!A:A,Groups!AJ:AJ)="Photonozoa",3,1))</f>
        <v>1.6033360949166103E-2</v>
      </c>
      <c r="BS238" s="8">
        <f t="shared" si="100"/>
        <v>8.0730326765021357E-2</v>
      </c>
      <c r="BT238" s="8" t="str">
        <f t="shared" si="101"/>
        <v>No</v>
      </c>
      <c r="BU238" s="8" t="str">
        <f t="shared" si="102"/>
        <v>No</v>
      </c>
      <c r="BV238" s="8">
        <f t="shared" si="103"/>
        <v>85333.95857276168</v>
      </c>
      <c r="BW238" s="4">
        <v>0</v>
      </c>
      <c r="BX238" s="4">
        <v>1</v>
      </c>
    </row>
    <row r="239" spans="1:76" s="16" customFormat="1" x14ac:dyDescent="0.25">
      <c r="A239" s="26" t="s">
        <v>1488</v>
      </c>
      <c r="B239" s="6" t="s">
        <v>1708</v>
      </c>
      <c r="C239" s="7">
        <v>400</v>
      </c>
      <c r="D239" s="7" t="s">
        <v>528</v>
      </c>
      <c r="E239" s="7" t="str">
        <f>Groups!$A$76</f>
        <v>Arachnid</v>
      </c>
      <c r="F239" s="7" t="str">
        <f t="shared" ref="F239" si="136">"Lay eggs"</f>
        <v>Lay eggs</v>
      </c>
      <c r="G239" s="7">
        <v>5</v>
      </c>
      <c r="H239" s="7">
        <v>15</v>
      </c>
      <c r="I239" s="4">
        <v>1</v>
      </c>
      <c r="J239" s="7" t="str">
        <f t="shared" ref="J239" si="137">"Lay eggs"</f>
        <v>Lay eggs</v>
      </c>
      <c r="K239" s="7" t="s">
        <v>528</v>
      </c>
      <c r="L239" s="7">
        <v>32</v>
      </c>
      <c r="M239" s="7" t="s">
        <v>528</v>
      </c>
      <c r="N239" s="4">
        <v>0</v>
      </c>
      <c r="O239" s="4">
        <v>0</v>
      </c>
      <c r="P239" s="4">
        <v>0</v>
      </c>
      <c r="Q239" s="4">
        <v>0</v>
      </c>
      <c r="R239" s="4" t="s">
        <v>40</v>
      </c>
      <c r="S239" s="7">
        <f>_xlfn.XLOOKUP(B239,[1]TeethAdjusters!$A:$A,[1]BiteAdjusters!$C:$C,1)</f>
        <v>1</v>
      </c>
      <c r="T239" s="7">
        <f>_xlfn.XLOOKUP(B239,[1]TeethAdjusters!$A:$A,[1]TeethAdjusters!$B:$B,1)</f>
        <v>1</v>
      </c>
      <c r="U239" s="7" t="str">
        <f>IF(OR(_xlfn.XLOOKUP(E239,Groups!A:A,Groups!P:P)=1,_xlfn.XLOOKUP(E239,Groups!A:A,Groups!AD:AD)=1),"Need a formula","No")</f>
        <v>No</v>
      </c>
      <c r="V239" s="7">
        <v>4</v>
      </c>
      <c r="W239" s="7" t="str">
        <f>IF(_xlfn.XLOOKUP(E239,Groups!A:A,Groups!V:V)&lt;&gt;"No","Need a formula","No")</f>
        <v>No</v>
      </c>
      <c r="X239" s="7" t="s">
        <v>932</v>
      </c>
      <c r="Y239" s="4" t="s">
        <v>56</v>
      </c>
      <c r="Z239" s="4">
        <v>1</v>
      </c>
      <c r="AA239" s="4">
        <v>0</v>
      </c>
      <c r="AB239" s="4">
        <v>0</v>
      </c>
      <c r="AC239" s="4">
        <v>0</v>
      </c>
      <c r="AD239" s="4">
        <v>0</v>
      </c>
      <c r="AE239" s="4" t="s">
        <v>45</v>
      </c>
      <c r="AF239" s="4" t="s">
        <v>45</v>
      </c>
      <c r="AG239" s="49" t="s">
        <v>1712</v>
      </c>
      <c r="AH239" s="4" t="str">
        <f>Animals!$C$105</f>
        <v>&lt;li&gt;Megaspider&lt;/li&gt;</v>
      </c>
      <c r="AI239" s="4">
        <v>0</v>
      </c>
      <c r="AJ239" s="4">
        <v>0</v>
      </c>
      <c r="AK239" s="4">
        <v>0</v>
      </c>
      <c r="AL239" s="4">
        <v>0</v>
      </c>
      <c r="AM239" s="4">
        <v>1</v>
      </c>
      <c r="AN239" s="44" t="s">
        <v>40</v>
      </c>
      <c r="AO239" s="8">
        <f t="shared" si="89"/>
        <v>54533.324359541104</v>
      </c>
      <c r="AP239" s="8">
        <f>IFERROR(C239*_xlfn.XLOOKUP(E239,Groups!A:A,Groups!K:K),0.106*C239^0.94)</f>
        <v>128</v>
      </c>
      <c r="AQ239" s="8">
        <f>AP239*10000/(_xlfn.XLOOKUP(E239,Groups!A:A,Groups!J:J)*AO239)</f>
        <v>19.559905419190599</v>
      </c>
      <c r="AR239" s="8">
        <f t="shared" si="90"/>
        <v>8578.2919817776201</v>
      </c>
      <c r="AS239" s="8">
        <f>IF(_xlfn.XLOOKUP(E239,Groups!A:A,Groups!M:M)=1,EXP(0.7444*LN('Base stats'!C239)+6.5696),EXP(0.7927*LN('Base stats'!C239)+4.28))</f>
        <v>8345.1344423422543</v>
      </c>
      <c r="AT239" s="8">
        <f>IF(_xlfn.XLOOKUP(E239,Groups!A:A,Groups!N:N)="No","No",
IF(_xlfn.XLOOKUP(E239,Groups!A:A,Groups!N:N)="Crocodile",EXP(0.8129*LN(C239)+4.6742)*S239,
IF(_xlfn.XLOOKUP(E239,Groups!A:A,Groups!N:N)="Felid",EXP(0.7843*LN(C239)+4.7073)*S239,
IF(_xlfn.XLOOKUP(E239,Groups!A:A,Groups!N:N)="Canid",EXP(0.8367*LN(C239)+4.8763)*S239,
IF(_xlfn.XLOOKUP(E239,Groups!A:A,Groups!N:N)="Pig",EXP(0.3439*LN(C239)+6.8519)*S239,
IF(_xlfn.XLOOKUP(E239,Groups!A:A,Groups!N:N)="Rodent",EXP(0.5625*LN(C239)+4.3006)*S239,
IF(_xlfn.XLOOKUP(E239,Groups!A:A,Groups!N:N)="Primate",EXP(0.7847*LN(C239)+3.4931)*S239,
IF(_xlfn.XLOOKUP(E239,Groups!A:A,Groups!N:N)="MiscCarnivora",EXP(0.7486*LN(C239)+4.2207)*S239,
IF(_xlfn.XLOOKUP(E239,Groups!A:A,Groups!N:N)="Lizard",EXP(0.7733*LN(C239)+5.5303)*S239,
IF(_xlfn.XLOOKUP(E239,Groups!A:A,Groups!N:N)="Snake",50*C239^(2/3)*S239,
IF(_xlfn.XLOOKUP(E239,Groups!A:A,Groups!N:N)="StrongBitingHerbivore",87.1133638856975*C239^(2/3)*S239,
IF(_xlfn.XLOOKUP(E239,Groups!A:A,Groups!N:N)="MiscEctotherms",59.4316884072269*C239^(2/3)*S239,
IF(_xlfn.XLOOKUP(E239,Groups!A:A,Groups!N:N)="StrongBeakBird",0.041*(C239*1000)^1.375*S239,
IF(_xlfn.XLOOKUP(E239,Groups!A:A,Groups!N:N)="Bird",0.118*(C239*1000)^0.692*S239,
IF(_xlfn.XLOOKUP(E239,Groups!A:A,Groups!N:N)="Insect",EXP(0.7444*LN(C239)+6.5696)*S239,
IF(_xlfn.XLOOKUP(E239,Groups!A:A,Groups!N:N)="Theropod",EXP(0.6966*LN(C239)+4.158)*S239,
"No"))))))))))))))))</f>
        <v>61675.756600829809</v>
      </c>
      <c r="AU239" s="8">
        <f>IF(_xlfn.XLOOKUP(E239,Groups!A:A,Groups!U:U)=3,AS239,IF(_xlfn.XLOOKUP(E239,Groups!A:A,Groups!U:U)=2,AR239,AT239))</f>
        <v>61675.756600829809</v>
      </c>
      <c r="AV239" s="46">
        <f>IFERROR(AVERAGE(_xlfn.XLOOKUP(B239,Animals!B:B,Animals!N:N),_xlfn.XLOOKUP(B239,Animals!B:B,Animals!O:O)),0)</f>
        <v>0.47500000000000003</v>
      </c>
      <c r="AW239" s="8">
        <f>MROUND(40*Animals!AO239*_xlfn.XLOOKUP(AG239,Leathers!$A$2:$A$99,Leathers!$B$2:$B$99,0)+(140*_xlfn.XLOOKUP(B239,Animals!B:B,Animals!AO:AO)*2),5)</f>
        <v>770</v>
      </c>
      <c r="AX239" s="8">
        <f>IFERROR(ROUND(SQRT(V239-1)*IF(_xlfn.XLOOKUP(E239,Groups!A:A,Groups!BF:BF)=0,2,1)*IF(_xlfn.XLOOKUP('Base stats'!E239,Groups!A:A,Groups!O:O)=0,1,0.1),1),0)</f>
        <v>3.5</v>
      </c>
      <c r="AY239" s="8">
        <f t="shared" si="91"/>
        <v>0</v>
      </c>
      <c r="AZ239" s="8">
        <f t="shared" si="92"/>
        <v>0</v>
      </c>
      <c r="BA239" s="8">
        <f t="shared" si="93"/>
        <v>6.8</v>
      </c>
      <c r="BB239" s="8">
        <f>IF(_xlfn.XLOOKUP(E239,Groups!A:A,Groups!N:N)="Insect",BD239*2.5,IFERROR(AVERAGE(BD239,AT239/9.81/IF(OR(_xlfn.XLOOKUP(E239,Groups!A:A,Groups!N:N)="Pig",_xlfn.XLOOKUP(E239,Groups!A:A,Groups!N:N)="StrongBitingHerbivore"),20,25))*C239^-0.135,BD239))</f>
        <v>14.24091612215088</v>
      </c>
      <c r="BC239" s="8" t="str">
        <f>IF(W239="No","No",IF(_xlfn.XLOOKUP(E239,Groups!A:A,Groups!U:U)=1,'Base stats'!BB239,IF(OR(_xlfn.XLOOKUP(E239,Groups!A:A,Groups!BD:BD)=1,_xlfn.XLOOKUP(E239,Groups!A:A,Groups!U:U)=2),BD239,IF(_xlfn.XLOOKUP(B239,Animals!B:B,Animals!AO:AO)&gt;4,AVERAGE(BD239,BF239),BF239))))</f>
        <v>No</v>
      </c>
      <c r="BD239" s="8">
        <f t="shared" si="94"/>
        <v>5.6963664488603518</v>
      </c>
      <c r="BE239" s="8">
        <f>IF(_xlfn.XLOOKUP(E239,Groups!A:A,Groups!BE:BE)=1,(0.048*C239^1.01)+(0.071*C239^1.03),0.071*C239^1.03)/IF(_xlfn.XLOOKUP(E239,Groups!A:A,Groups!M:M)=1,0.85,IF(OR(_xlfn.XLOOKUP(B239,Animals!B:B,Animals!AO:AO)&gt;4,_xlfn.XLOOKUP(E239,Groups!A:A,Groups!BC:BC)=1),1.7,1))*C239^-0.25</f>
        <v>4.4711189144854107</v>
      </c>
      <c r="BF239" s="8">
        <f>(0.048*C239^1.01)/IF(_xlfn.XLOOKUP(E239,Groups!A:A,Groups!M:M)=1,0.25,0.8)*C239^-0.25</f>
        <v>5.6979265131759371</v>
      </c>
      <c r="BG239" s="8">
        <f>EXP(1.076*LN(AR239)-4.5397)*IF(_xlfn.XLOOKUP(E239,Groups!A:A,Groups!BC:BC)=1,1.25,IF(_xlfn.XLOOKUP(E239,Groups!A:A,Groups!BD:BD)=1,3.5,2.5))</f>
        <v>227.86763271095117</v>
      </c>
      <c r="BH239" s="8">
        <f>EXP(1.076*LN(AS239)-4.5397)*IF(_xlfn.XLOOKUP(E239,Groups!A:A,Groups!M:M)=1,0.8,IF(_xlfn.XLOOKUP(E239,Groups!A:A,Groups!BC:BC)=1,1.3,3))</f>
        <v>230.05886038348521</v>
      </c>
      <c r="BI239" s="8" t="str">
        <f>IF(W239="No","No",IF(_xlfn.XLOOKUP(E239,Groups!A:A,Groups!U:U)=1,'Base stats'!BJ239,IF(OR(_xlfn.XLOOKUP(E239,Groups!A:A,Groups!BD:BD)=1,_xlfn.XLOOKUP(E239,Groups!A:A,Groups!U:U)=2),BG239,BH239))*1.2)</f>
        <v>No</v>
      </c>
      <c r="BJ239" s="8">
        <f>IFERROR(EXP(1.076*LN(AT239)-4.5397)*IF(_xlfn.XLOOKUP(E239,Groups!A:A,Groups!N:N)="Insect",1,IF(OR(_xlfn.XLOOKUP(E239,Groups!A:A,Groups!N:N)="Pig",_xlfn.XLOOKUP(E239,Groups!A:A,Groups!N:N)="StrongBitingHerbivore"),3.5,3.75)),"No")</f>
        <v>1522.6375201719823</v>
      </c>
      <c r="BK239" s="8">
        <f t="shared" si="95"/>
        <v>8</v>
      </c>
      <c r="BL239" s="8">
        <f t="shared" si="96"/>
        <v>10</v>
      </c>
      <c r="BM239" s="8" t="str">
        <f t="shared" si="97"/>
        <v>No</v>
      </c>
      <c r="BN239" s="8">
        <f t="shared" si="98"/>
        <v>14</v>
      </c>
      <c r="BO239" s="8">
        <f t="shared" si="99"/>
        <v>8</v>
      </c>
      <c r="BP239" s="8" t="str" cm="1">
        <f t="array" ref="BP239">IF(AND(_xlfn.XLOOKUP('Base stats'!E239,Groups!A:A,Groups!AD:AD=0),_xlfn.XLOOKUP('Base stats'!E239,Groups!A:A,Groups!P:P=0)),"No",IF(U239="No",AVERAGE(EXP(-0.57+0.99*LN(C239)),EXP(0.32+0.67*LN(C239)))/IF(_xlfn.XLOOKUP(E239,Groups!A:A,Groups!AD:AD)=1,10,2),(0.7354*C239^0.4078)*2/IF(_xlfn.XLOOKUP(E239,Groups!A:A,Groups!BK:BK)=1,1000,100)/IF(_xlfn.XLOOKUP(E239,Groups!A:A,Groups!AJ:AJ)="Photonozoa",3,1)))</f>
        <v>No</v>
      </c>
      <c r="BQ239" s="8" t="str">
        <f>IF(W239="No","No",IF(_xlfn.XLOOKUP(E239,Groups!A:A,Groups!BD:BD)=1,(AO239*5%),EXP(0.7354*LN(C239)^0.4078)*2/IF(_xlfn.XLOOKUP(E239,Groups!A:A,Groups!BL:BL)=1,1000,100)/IF(_xlfn.XLOOKUP(E239,Groups!A:A,Groups!AJ:AJ)="Photonozoa",3,1)))</f>
        <v>No</v>
      </c>
      <c r="BR239" s="8">
        <f>IF(BJ239="No","No",IF(_xlfn.XLOOKUP(E239,Groups!A:A,Groups!BF:BF)=1,(0.0315*C239+2.1825)*2,(0.7354*C239^0.4078)*2)/IF(_xlfn.XLOOKUP(E239,Groups!A:A,Groups!BM:BM)=1,1000,100)/IF(_xlfn.XLOOKUP(E239,Groups!A:A,Groups!AJ:AJ)="Photonozoa",3,1))</f>
        <v>1.6930652098775201E-2</v>
      </c>
      <c r="BS239" s="8">
        <f t="shared" si="100"/>
        <v>8.3570050198519985E-2</v>
      </c>
      <c r="BT239" s="8" t="str">
        <f t="shared" si="101"/>
        <v>No</v>
      </c>
      <c r="BU239" s="8" t="str">
        <f t="shared" si="102"/>
        <v>No</v>
      </c>
      <c r="BV239" s="8">
        <f t="shared" si="103"/>
        <v>89933.778763437775</v>
      </c>
      <c r="BW239" s="4">
        <v>0</v>
      </c>
      <c r="BX239" s="4">
        <v>1</v>
      </c>
    </row>
    <row r="240" spans="1:76" s="16" customFormat="1" x14ac:dyDescent="0.25">
      <c r="A240" s="26" t="s">
        <v>1368</v>
      </c>
      <c r="B240" s="6" t="s">
        <v>1838</v>
      </c>
      <c r="C240" s="7">
        <v>15</v>
      </c>
      <c r="D240" s="7" t="s">
        <v>528</v>
      </c>
      <c r="E240" s="7" t="str">
        <f>Groups!$A$81</f>
        <v>Beetle (ARMORED)</v>
      </c>
      <c r="F240" s="7" t="str">
        <f t="shared" si="134"/>
        <v>Lay eggs</v>
      </c>
      <c r="G240" s="7">
        <v>1</v>
      </c>
      <c r="H240" s="7">
        <v>10</v>
      </c>
      <c r="I240" s="4">
        <v>0</v>
      </c>
      <c r="J240" s="7" t="str">
        <f t="shared" si="135"/>
        <v>Lay eggs</v>
      </c>
      <c r="K240" s="7" t="s">
        <v>528</v>
      </c>
      <c r="L240" s="7">
        <v>25</v>
      </c>
      <c r="M240" s="7" t="s">
        <v>528</v>
      </c>
      <c r="N240" s="4">
        <v>0</v>
      </c>
      <c r="O240" s="4">
        <v>0</v>
      </c>
      <c r="P240" s="4">
        <v>0</v>
      </c>
      <c r="Q240" s="4">
        <v>0</v>
      </c>
      <c r="R240" s="4">
        <v>1</v>
      </c>
      <c r="S240" s="7">
        <f>_xlfn.XLOOKUP(B240,[1]TeethAdjusters!$A:$A,[1]BiteAdjusters!$C:$C,1)</f>
        <v>1</v>
      </c>
      <c r="T240" s="7">
        <f>_xlfn.XLOOKUP(B240,[1]TeethAdjusters!$A:$A,[1]TeethAdjusters!$B:$B,1)</f>
        <v>1</v>
      </c>
      <c r="U240" s="7" t="s">
        <v>45</v>
      </c>
      <c r="V240" s="7">
        <v>5</v>
      </c>
      <c r="W240" s="7" t="s">
        <v>45</v>
      </c>
      <c r="X240" s="7" t="s">
        <v>932</v>
      </c>
      <c r="Y240" s="4" t="s">
        <v>53</v>
      </c>
      <c r="Z240" s="4">
        <v>1</v>
      </c>
      <c r="AA240" s="4">
        <v>0</v>
      </c>
      <c r="AB240" s="4">
        <v>0</v>
      </c>
      <c r="AC240" s="4">
        <v>0</v>
      </c>
      <c r="AD240" s="4">
        <v>0</v>
      </c>
      <c r="AE240" s="4" t="s">
        <v>1046</v>
      </c>
      <c r="AF240" s="4" t="s">
        <v>45</v>
      </c>
      <c r="AG240" s="49" t="s">
        <v>1800</v>
      </c>
      <c r="AH240" s="4" t="str">
        <f>Animals!$C$105</f>
        <v>&lt;li&gt;Megaspider&lt;/li&gt;</v>
      </c>
      <c r="AI240" s="4">
        <v>0</v>
      </c>
      <c r="AJ240" s="4">
        <v>0</v>
      </c>
      <c r="AK240" s="4">
        <v>0</v>
      </c>
      <c r="AL240" s="4">
        <v>0</v>
      </c>
      <c r="AM240" s="4">
        <v>1</v>
      </c>
      <c r="AN240" s="44" t="s">
        <v>40</v>
      </c>
      <c r="AO240" s="8">
        <f t="shared" si="89"/>
        <v>6453.306570514339</v>
      </c>
      <c r="AP240" s="8">
        <f>IFERROR(C240*_xlfn.XLOOKUP(E240,Groups!A:A,Groups!K:K),0.106*C240^0.94)</f>
        <v>4.8</v>
      </c>
      <c r="AQ240" s="8">
        <f>AP240*10000/(_xlfn.XLOOKUP(E240,Groups!A:A,Groups!J:J)*AO240)</f>
        <v>8.3573566016660514</v>
      </c>
      <c r="AR240" s="8">
        <f t="shared" si="90"/>
        <v>535.65484345622485</v>
      </c>
      <c r="AS240" s="8">
        <f>IF(_xlfn.XLOOKUP(E240,Groups!A:A,Groups!M:M)=1,EXP(0.7444*LN('Base stats'!C240)+6.5696),EXP(0.7927*LN('Base stats'!C240)+4.28))</f>
        <v>5353.3219353913164</v>
      </c>
      <c r="AT240" s="8">
        <f>IF(_xlfn.XLOOKUP(E240,Groups!A:A,Groups!N:N)="No","No",
IF(_xlfn.XLOOKUP(E240,Groups!A:A,Groups!N:N)="Crocodile",EXP(0.8129*LN(C240)+4.6742)*S240,
IF(_xlfn.XLOOKUP(E240,Groups!A:A,Groups!N:N)="Felid",EXP(0.7843*LN(C240)+4.7073)*S240,
IF(_xlfn.XLOOKUP(E240,Groups!A:A,Groups!N:N)="Canid",EXP(0.8367*LN(C240)+4.8763)*S240,
IF(_xlfn.XLOOKUP(E240,Groups!A:A,Groups!N:N)="Pig",EXP(0.3439*LN(C240)+6.8519)*S240,
IF(_xlfn.XLOOKUP(E240,Groups!A:A,Groups!N:N)="Rodent",EXP(0.5625*LN(C240)+4.3006)*S240,
IF(_xlfn.XLOOKUP(E240,Groups!A:A,Groups!N:N)="Primate",EXP(0.7847*LN(C240)+3.4931)*S240,
IF(_xlfn.XLOOKUP(E240,Groups!A:A,Groups!N:N)="MiscCarnivora",EXP(0.7486*LN(C240)+4.2207)*S240,
IF(_xlfn.XLOOKUP(E240,Groups!A:A,Groups!N:N)="Lizard",EXP(0.7733*LN(C240)+5.5303)*S240,
IF(_xlfn.XLOOKUP(E240,Groups!A:A,Groups!N:N)="Snake",50*C240^(2/3)*S240,
IF(_xlfn.XLOOKUP(E240,Groups!A:A,Groups!N:N)="StrongBitingHerbivore",87.1133638856975*C240^(2/3)*S240,
IF(_xlfn.XLOOKUP(E240,Groups!A:A,Groups!N:N)="MiscEctotherms",59.4316884072269*C240^(2/3)*S240,
IF(_xlfn.XLOOKUP(E240,Groups!A:A,Groups!N:N)="StrongBeakBird",0.041*(C240*1000)^1.375*S240,
IF(_xlfn.XLOOKUP(E240,Groups!A:A,Groups!N:N)="Bird",0.118*(C240*1000)^0.692*S240,
IF(_xlfn.XLOOKUP(E240,Groups!A:A,Groups!N:N)="Insect",EXP(0.7444*LN(C240)+6.5696)*S240,
IF(_xlfn.XLOOKUP(E240,Groups!A:A,Groups!N:N)="Theropod",EXP(0.6966*LN(C240)+4.158)*S240,
"No"))))))))))))))))</f>
        <v>5353.3219353913164</v>
      </c>
      <c r="AU240" s="8">
        <f>IF(_xlfn.XLOOKUP(E240,Groups!A:A,Groups!U:U)=3,AS240,IF(_xlfn.XLOOKUP(E240,Groups!A:A,Groups!U:U)=2,AR240,AT240))</f>
        <v>5353.3219353913164</v>
      </c>
      <c r="AV240" s="46">
        <f>IFERROR(AVERAGE(_xlfn.XLOOKUP(B240,Animals!B:B,Animals!N:N),_xlfn.XLOOKUP(B240,Animals!B:B,Animals!O:O)),0)</f>
        <v>0.67500000000000004</v>
      </c>
      <c r="AW240" s="8">
        <f>MROUND(40*Animals!AO240*_xlfn.XLOOKUP(AG240,Leathers!$A$2:$A$99,Leathers!$B$2:$B$99,0)+(140*_xlfn.XLOOKUP(B240,Animals!B:B,Animals!AO:AO)*2),5)</f>
        <v>140</v>
      </c>
      <c r="AX240" s="8">
        <f>IFERROR(ROUND(SQRT(V240-1)*IF(_xlfn.XLOOKUP(E240,Groups!A:A,Groups!BF:BF)=0,2,1)*IF(_xlfn.XLOOKUP('Base stats'!E240,Groups!A:A,Groups!O:O)=0,1,0.1),1),0)</f>
        <v>4</v>
      </c>
      <c r="AY240" s="8">
        <f t="shared" si="91"/>
        <v>0</v>
      </c>
      <c r="AZ240" s="8">
        <f t="shared" si="92"/>
        <v>0</v>
      </c>
      <c r="BA240" s="8">
        <f t="shared" si="93"/>
        <v>2</v>
      </c>
      <c r="BB240" s="8">
        <f>IF(_xlfn.XLOOKUP(E240,Groups!A:A,Groups!N:N)="Insect",BD240*2.5,IFERROR(AVERAGE(BD240,AT240/9.81/IF(OR(_xlfn.XLOOKUP(E240,Groups!A:A,Groups!N:N)="Pig",_xlfn.XLOOKUP(E240,Groups!A:A,Groups!N:N)="StrongBitingHerbivore"),20,25))*C240^-0.135,BD240))</f>
        <v>0.93016054081951027</v>
      </c>
      <c r="BC240" s="8" t="str">
        <f>IF(W240="No","No",IF(_xlfn.XLOOKUP(E240,Groups!A:A,Groups!U:U)=1,'Base stats'!BB240,IF(OR(_xlfn.XLOOKUP(E240,Groups!A:A,Groups!BD:BD)=1,_xlfn.XLOOKUP(E240,Groups!A:A,Groups!U:U)=2),BD240,IF(_xlfn.XLOOKUP(B240,Animals!B:B,Animals!AO:AO)&gt;4,AVERAGE(BD240,BF240),BF240))))</f>
        <v>No</v>
      </c>
      <c r="BD240" s="8">
        <f t="shared" si="94"/>
        <v>0.37206421632780412</v>
      </c>
      <c r="BE240" s="8">
        <f>IF(_xlfn.XLOOKUP(E240,Groups!A:A,Groups!BE:BE)=1,(0.048*C240^1.01)+(0.071*C240^1.03),0.071*C240^1.03)/IF(_xlfn.XLOOKUP(E240,Groups!A:A,Groups!M:M)=1,0.85,IF(OR(_xlfn.XLOOKUP(B240,Animals!B:B,Animals!AO:AO)&gt;4,_xlfn.XLOOKUP(E240,Groups!A:A,Groups!BC:BC)=1),1.7,1))*C240^-0.25</f>
        <v>0.69054280580117122</v>
      </c>
      <c r="BF240" s="8">
        <f>(0.048*C240^1.01)/IF(_xlfn.XLOOKUP(E240,Groups!A:A,Groups!M:M)=1,0.25,0.8)*C240^-0.25</f>
        <v>1.503594005422539</v>
      </c>
      <c r="BG240" s="8">
        <f>EXP(1.076*LN(AR240)-4.5397)*IF(_xlfn.XLOOKUP(E240,Groups!A:A,Groups!BC:BC)=1,1.25,IF(_xlfn.XLOOKUP(E240,Groups!A:A,Groups!BD:BD)=1,3.5,2.5))</f>
        <v>11.524541402552655</v>
      </c>
      <c r="BH240" s="8">
        <f>EXP(1.076*LN(AS240)-4.5397)*IF(_xlfn.XLOOKUP(E240,Groups!A:A,Groups!M:M)=1,0.8,IF(_xlfn.XLOOKUP(E240,Groups!A:A,Groups!BC:BC)=1,1.3,3))</f>
        <v>87.805569597772788</v>
      </c>
      <c r="BI240" s="8" t="str">
        <f>IF(W240="No","No",IF(_xlfn.XLOOKUP(E240,Groups!A:A,Groups!U:U)=1,'Base stats'!BJ240,IF(OR(_xlfn.XLOOKUP(E240,Groups!A:A,Groups!BD:BD)=1,_xlfn.XLOOKUP(E240,Groups!A:A,Groups!U:U)=2),BG240,BH240))*1.2)</f>
        <v>No</v>
      </c>
      <c r="BJ240" s="8">
        <f>IFERROR(EXP(1.076*LN(AT240)-4.5397)*IF(_xlfn.XLOOKUP(E240,Groups!A:A,Groups!N:N)="Insect",1,IF(OR(_xlfn.XLOOKUP(E240,Groups!A:A,Groups!N:N)="Pig",_xlfn.XLOOKUP(E240,Groups!A:A,Groups!N:N)="StrongBitingHerbivore"),3.5,3.75)),"No")</f>
        <v>109.75696199721598</v>
      </c>
      <c r="BK240" s="8">
        <f t="shared" si="95"/>
        <v>7</v>
      </c>
      <c r="BL240" s="8">
        <f t="shared" si="96"/>
        <v>15</v>
      </c>
      <c r="BM240" s="8" t="str">
        <f t="shared" si="97"/>
        <v>No</v>
      </c>
      <c r="BN240" s="8">
        <f t="shared" si="98"/>
        <v>15</v>
      </c>
      <c r="BO240" s="8">
        <f t="shared" si="99"/>
        <v>10</v>
      </c>
      <c r="BP240" s="8" t="str" cm="1">
        <f t="array" ref="BP240">IF(AND(_xlfn.XLOOKUP('Base stats'!E240,Groups!A:A,Groups!AD:AD=0),_xlfn.XLOOKUP('Base stats'!E240,Groups!A:A,Groups!P:P=0)),"No",IF(U240="No",AVERAGE(EXP(-0.57+0.99*LN(C240)),EXP(0.32+0.67*LN(C240)))/IF(_xlfn.XLOOKUP(E240,Groups!A:A,Groups!AD:AD)=1,10,2),(0.7354*C240^0.4078)*2/IF(_xlfn.XLOOKUP(E240,Groups!A:A,Groups!BK:BK)=1,1000,100)/IF(_xlfn.XLOOKUP(E240,Groups!A:A,Groups!AJ:AJ)="Photonozoa",3,1)))</f>
        <v>No</v>
      </c>
      <c r="BQ240" s="8" t="str">
        <f>IF(W240="No","No",IF(_xlfn.XLOOKUP(E240,Groups!A:A,Groups!BD:BD)=1,(AO240*5%),EXP(0.7354*LN(C240)^0.4078)*2/IF(_xlfn.XLOOKUP(E240,Groups!A:A,Groups!BL:BL)=1,1000,100)/IF(_xlfn.XLOOKUP(E240,Groups!A:A,Groups!AJ:AJ)="Photonozoa",3,1)))</f>
        <v>No</v>
      </c>
      <c r="BR240" s="8">
        <f>IF(BJ240="No","No",IF(_xlfn.XLOOKUP(E240,Groups!A:A,Groups!BF:BF)=1,(0.0315*C240+2.1825)*2,(0.7354*C240^0.4078)*2)/IF(_xlfn.XLOOKUP(E240,Groups!A:A,Groups!BM:BM)=1,1000,100)/IF(_xlfn.XLOOKUP(E240,Groups!A:A,Groups!AJ:AJ)="Photonozoa",3,1))</f>
        <v>4.4377582152222601E-2</v>
      </c>
      <c r="BS240" s="8">
        <f t="shared" si="100"/>
        <v>3.5716702055374784E-2</v>
      </c>
      <c r="BT240" s="8" t="str">
        <f t="shared" si="101"/>
        <v>No</v>
      </c>
      <c r="BU240" s="8" t="str">
        <f t="shared" si="102"/>
        <v>No</v>
      </c>
      <c r="BV240" s="8">
        <f t="shared" si="103"/>
        <v>2473.2524097579508</v>
      </c>
      <c r="BW240" s="4">
        <v>0</v>
      </c>
      <c r="BX240" s="4">
        <v>1</v>
      </c>
    </row>
    <row r="241" spans="1:76" s="16" customFormat="1" x14ac:dyDescent="0.25">
      <c r="A241" s="26" t="s">
        <v>1370</v>
      </c>
      <c r="B241" s="6" t="s">
        <v>1839</v>
      </c>
      <c r="C241" s="7">
        <v>200</v>
      </c>
      <c r="D241" s="7" t="s">
        <v>528</v>
      </c>
      <c r="E241" s="7" t="str">
        <f>Groups!$A$85</f>
        <v>Beetle (CLAWS, ARMORED)</v>
      </c>
      <c r="F241" s="7" t="str">
        <f t="shared" si="134"/>
        <v>Lay eggs</v>
      </c>
      <c r="G241" s="7">
        <v>1.5</v>
      </c>
      <c r="H241" s="7">
        <v>15</v>
      </c>
      <c r="I241" s="4">
        <v>0</v>
      </c>
      <c r="J241" s="7" t="str">
        <f t="shared" si="135"/>
        <v>Lay eggs</v>
      </c>
      <c r="K241" s="7" t="s">
        <v>528</v>
      </c>
      <c r="L241" s="7">
        <v>27</v>
      </c>
      <c r="M241" s="7" t="s">
        <v>528</v>
      </c>
      <c r="N241" s="4">
        <v>0</v>
      </c>
      <c r="O241" s="4">
        <v>0</v>
      </c>
      <c r="P241" s="4">
        <v>0</v>
      </c>
      <c r="Q241" s="4">
        <v>0</v>
      </c>
      <c r="R241" s="4">
        <v>1</v>
      </c>
      <c r="S241" s="7">
        <f>_xlfn.XLOOKUP(B241,[1]TeethAdjusters!$A:$A,[1]BiteAdjusters!$C:$C,1)</f>
        <v>1</v>
      </c>
      <c r="T241" s="7">
        <f>_xlfn.XLOOKUP(B241,[1]TeethAdjusters!$A:$A,[1]TeethAdjusters!$B:$B,1)</f>
        <v>1</v>
      </c>
      <c r="U241" s="7">
        <v>8</v>
      </c>
      <c r="V241" s="7">
        <v>16</v>
      </c>
      <c r="W241" s="7" t="s">
        <v>45</v>
      </c>
      <c r="X241" s="7" t="s">
        <v>932</v>
      </c>
      <c r="Y241" s="4" t="s">
        <v>53</v>
      </c>
      <c r="Z241" s="4">
        <v>1</v>
      </c>
      <c r="AA241" s="4">
        <v>0</v>
      </c>
      <c r="AB241" s="4">
        <v>0</v>
      </c>
      <c r="AC241" s="4">
        <v>0</v>
      </c>
      <c r="AD241" s="4">
        <v>0</v>
      </c>
      <c r="AE241" s="4" t="s">
        <v>1044</v>
      </c>
      <c r="AF241" s="4" t="s">
        <v>45</v>
      </c>
      <c r="AG241" s="49" t="s">
        <v>1800</v>
      </c>
      <c r="AH241" s="4" t="str">
        <f>Animals!$C$105</f>
        <v>&lt;li&gt;Megaspider&lt;/li&gt;</v>
      </c>
      <c r="AI241" s="4">
        <v>0</v>
      </c>
      <c r="AJ241" s="4">
        <v>0</v>
      </c>
      <c r="AK241" s="4">
        <v>0</v>
      </c>
      <c r="AL241" s="4">
        <v>0</v>
      </c>
      <c r="AM241" s="4">
        <v>1</v>
      </c>
      <c r="AN241" s="44" t="s">
        <v>40</v>
      </c>
      <c r="AO241" s="8">
        <f t="shared" si="89"/>
        <v>34753.014052750754</v>
      </c>
      <c r="AP241" s="8">
        <f>IFERROR(C241*_xlfn.XLOOKUP(E241,Groups!A:A,Groups!K:K),0.106*C241^0.94)</f>
        <v>64</v>
      </c>
      <c r="AQ241" s="8">
        <f>AP241*10000/(_xlfn.XLOOKUP(E241,Groups!A:A,Groups!J:J)*AO241)</f>
        <v>20.691762806644611</v>
      </c>
      <c r="AR241" s="8">
        <f t="shared" si="90"/>
        <v>4776.6210371506204</v>
      </c>
      <c r="AS241" s="8">
        <f>IF(_xlfn.XLOOKUP(E241,Groups!A:A,Groups!M:M)=1,EXP(0.7444*LN('Base stats'!C241)+6.5696),EXP(0.7927*LN('Base stats'!C241)+4.28))</f>
        <v>36815.250263902373</v>
      </c>
      <c r="AT241" s="8">
        <f>IF(_xlfn.XLOOKUP(E241,Groups!A:A,Groups!N:N)="No","No",
IF(_xlfn.XLOOKUP(E241,Groups!A:A,Groups!N:N)="Crocodile",EXP(0.8129*LN(C241)+4.6742)*S241,
IF(_xlfn.XLOOKUP(E241,Groups!A:A,Groups!N:N)="Felid",EXP(0.7843*LN(C241)+4.7073)*S241,
IF(_xlfn.XLOOKUP(E241,Groups!A:A,Groups!N:N)="Canid",EXP(0.8367*LN(C241)+4.8763)*S241,
IF(_xlfn.XLOOKUP(E241,Groups!A:A,Groups!N:N)="Pig",EXP(0.3439*LN(C241)+6.8519)*S241,
IF(_xlfn.XLOOKUP(E241,Groups!A:A,Groups!N:N)="Rodent",EXP(0.5625*LN(C241)+4.3006)*S241,
IF(_xlfn.XLOOKUP(E241,Groups!A:A,Groups!N:N)="Primate",EXP(0.7847*LN(C241)+3.4931)*S241,
IF(_xlfn.XLOOKUP(E241,Groups!A:A,Groups!N:N)="MiscCarnivora",EXP(0.7486*LN(C241)+4.2207)*S241,
IF(_xlfn.XLOOKUP(E241,Groups!A:A,Groups!N:N)="Lizard",EXP(0.7733*LN(C241)+5.5303)*S241,
IF(_xlfn.XLOOKUP(E241,Groups!A:A,Groups!N:N)="Snake",50*C241^(2/3)*S241,
IF(_xlfn.XLOOKUP(E241,Groups!A:A,Groups!N:N)="StrongBitingHerbivore",87.1133638856975*C241^(2/3)*S241,
IF(_xlfn.XLOOKUP(E241,Groups!A:A,Groups!N:N)="MiscEctotherms",59.4316884072269*C241^(2/3)*S241,
IF(_xlfn.XLOOKUP(E241,Groups!A:A,Groups!N:N)="StrongBeakBird",0.041*(C241*1000)^1.375*S241,
IF(_xlfn.XLOOKUP(E241,Groups!A:A,Groups!N:N)="Bird",0.118*(C241*1000)^0.692*S241,
IF(_xlfn.XLOOKUP(E241,Groups!A:A,Groups!N:N)="Insect",EXP(0.7444*LN(C241)+6.5696)*S241,
IF(_xlfn.XLOOKUP(E241,Groups!A:A,Groups!N:N)="Theropod",EXP(0.6966*LN(C241)+4.158)*S241,
"No"))))))))))))))))</f>
        <v>36815.250263902373</v>
      </c>
      <c r="AU241" s="8">
        <f>IF(_xlfn.XLOOKUP(E241,Groups!A:A,Groups!U:U)=3,AS241,IF(_xlfn.XLOOKUP(E241,Groups!A:A,Groups!U:U)=2,AR241,AT241))</f>
        <v>36815.250263902373</v>
      </c>
      <c r="AV241" s="46">
        <f>IFERROR(AVERAGE(_xlfn.XLOOKUP(B241,Animals!B:B,Animals!N:N),_xlfn.XLOOKUP(B241,Animals!B:B,Animals!O:O)),0)</f>
        <v>0.82500000000000007</v>
      </c>
      <c r="AW241" s="8">
        <f>MROUND(40*Animals!AO241*_xlfn.XLOOKUP(AG241,Leathers!$A$2:$A$99,Leathers!$B$2:$B$99,0)+(140*_xlfn.XLOOKUP(B241,Animals!B:B,Animals!AO:AO)*2),5)</f>
        <v>505</v>
      </c>
      <c r="AX241" s="8">
        <f>IFERROR(ROUND(SQRT(V241-1)*IF(_xlfn.XLOOKUP(E241,Groups!A:A,Groups!BF:BF)=0,2,1)*IF(_xlfn.XLOOKUP('Base stats'!E241,Groups!A:A,Groups!O:O)=0,1,0.1),1),0)</f>
        <v>7.7</v>
      </c>
      <c r="AY241" s="8">
        <f t="shared" si="91"/>
        <v>2.6</v>
      </c>
      <c r="AZ241" s="8">
        <f t="shared" si="92"/>
        <v>0</v>
      </c>
      <c r="BA241" s="8">
        <f t="shared" si="93"/>
        <v>5.3</v>
      </c>
      <c r="BB241" s="8">
        <f>IF(_xlfn.XLOOKUP(E241,Groups!A:A,Groups!N:N)="Insect",BD241*2.5,IFERROR(AVERAGE(BD241,AT241/9.81/IF(OR(_xlfn.XLOOKUP(E241,Groups!A:A,Groups!N:N)="Pig",_xlfn.XLOOKUP(E241,Groups!A:A,Groups!N:N)="StrongBitingHerbivore"),20,25))*C241^-0.135,BD241))</f>
        <v>8.005380925716679</v>
      </c>
      <c r="BC241" s="8" t="str">
        <f>IF(W241="No","No",IF(_xlfn.XLOOKUP(E241,Groups!A:A,Groups!U:U)=1,'Base stats'!BB241,IF(OR(_xlfn.XLOOKUP(E241,Groups!A:A,Groups!BD:BD)=1,_xlfn.XLOOKUP(E241,Groups!A:A,Groups!U:U)=2),BD241,IF(_xlfn.XLOOKUP(B241,Animals!B:B,Animals!AO:AO)&gt;4,AVERAGE(BD241,BF241),BF241))))</f>
        <v>No</v>
      </c>
      <c r="BD241" s="8">
        <f t="shared" si="94"/>
        <v>3.2021523702866714</v>
      </c>
      <c r="BE241" s="8">
        <f>IF(_xlfn.XLOOKUP(E241,Groups!A:A,Groups!BE:BE)=1,(0.048*C241^1.01)+(0.071*C241^1.03),0.071*C241^1.03)/IF(_xlfn.XLOOKUP(E241,Groups!A:A,Groups!M:M)=1,0.85,IF(OR(_xlfn.XLOOKUP(B241,Animals!B:B,Animals!AO:AO)&gt;4,_xlfn.XLOOKUP(E241,Groups!A:A,Groups!BC:BC)=1),1.7,1))*C241^-0.25</f>
        <v>5.2076623687955417</v>
      </c>
      <c r="BF241" s="8">
        <f>(0.048*C241^1.01)/IF(_xlfn.XLOOKUP(E241,Groups!A:A,Groups!M:M)=1,0.25,0.8)*C241^-0.25</f>
        <v>10.766735035880851</v>
      </c>
      <c r="BG241" s="8">
        <f>EXP(1.076*LN(AR241)-4.5397)*IF(_xlfn.XLOOKUP(E241,Groups!A:A,Groups!BC:BC)=1,1.25,IF(_xlfn.XLOOKUP(E241,Groups!A:A,Groups!BD:BD)=1,3.5,2.5))</f>
        <v>121.36048974208589</v>
      </c>
      <c r="BH241" s="8">
        <f>EXP(1.076*LN(AS241)-4.5397)*IF(_xlfn.XLOOKUP(E241,Groups!A:A,Groups!M:M)=1,0.8,IF(_xlfn.XLOOKUP(E241,Groups!A:A,Groups!BC:BC)=1,1.3,3))</f>
        <v>699.14811990380849</v>
      </c>
      <c r="BI241" s="8" t="str">
        <f>IF(W241="No","No",IF(_xlfn.XLOOKUP(E241,Groups!A:A,Groups!U:U)=1,'Base stats'!BJ241,IF(OR(_xlfn.XLOOKUP(E241,Groups!A:A,Groups!BD:BD)=1,_xlfn.XLOOKUP(E241,Groups!A:A,Groups!U:U)=2),BG241,BH241))*1.2)</f>
        <v>No</v>
      </c>
      <c r="BJ241" s="8">
        <f>IFERROR(EXP(1.076*LN(AT241)-4.5397)*IF(_xlfn.XLOOKUP(E241,Groups!A:A,Groups!N:N)="Insect",1,IF(OR(_xlfn.XLOOKUP(E241,Groups!A:A,Groups!N:N)="Pig",_xlfn.XLOOKUP(E241,Groups!A:A,Groups!N:N)="StrongBitingHerbivore"),3.5,3.75)),"No")</f>
        <v>873.9351498797605</v>
      </c>
      <c r="BK241" s="8">
        <f t="shared" si="95"/>
        <v>8</v>
      </c>
      <c r="BL241" s="8">
        <f t="shared" si="96"/>
        <v>16</v>
      </c>
      <c r="BM241" s="8" t="str">
        <f t="shared" si="97"/>
        <v>No</v>
      </c>
      <c r="BN241" s="8">
        <f t="shared" si="98"/>
        <v>14</v>
      </c>
      <c r="BO241" s="8">
        <f t="shared" si="99"/>
        <v>11</v>
      </c>
      <c r="BP241" s="8" cm="1">
        <f t="array" ref="BP241">IF(AND(_xlfn.XLOOKUP('Base stats'!E241,Groups!A:A,Groups!AD:AD=0),_xlfn.XLOOKUP('Base stats'!E241,Groups!A:A,Groups!P:P=0)),"No",IF(U241="No",AVERAGE(EXP(-0.57+0.99*LN(C241)),EXP(0.32+0.67*LN(C241)))/IF(_xlfn.XLOOKUP(E241,Groups!A:A,Groups!AD:AD)=1,10,2),(0.7354*C241^0.4078)*2/IF(_xlfn.XLOOKUP(E241,Groups!A:A,Groups!BK:BK)=1,1000,100)/IF(_xlfn.XLOOKUP(E241,Groups!A:A,Groups!AJ:AJ)="Photonozoa",3,1)))</f>
        <v>1.2761850520553555E-2</v>
      </c>
      <c r="BQ241" s="8" t="str">
        <f>IF(W241="No","No",IF(_xlfn.XLOOKUP(E241,Groups!A:A,Groups!BD:BD)=1,(AO241*5%),EXP(0.7354*LN(C241)^0.4078)*2/IF(_xlfn.XLOOKUP(E241,Groups!A:A,Groups!BL:BL)=1,1000,100)/IF(_xlfn.XLOOKUP(E241,Groups!A:A,Groups!AJ:AJ)="Photonozoa",3,1)))</f>
        <v>No</v>
      </c>
      <c r="BR241" s="8">
        <f>IF(BJ241="No","No",IF(_xlfn.XLOOKUP(E241,Groups!A:A,Groups!BF:BF)=1,(0.0315*C241+2.1825)*2,(0.7354*C241^0.4078)*2)/IF(_xlfn.XLOOKUP(E241,Groups!A:A,Groups!BM:BM)=1,1000,100)/IF(_xlfn.XLOOKUP(E241,Groups!A:A,Groups!AJ:AJ)="Photonozoa",3,1))</f>
        <v>0.12761850520553555</v>
      </c>
      <c r="BS241" s="8">
        <f t="shared" si="100"/>
        <v>6.984170613684082E-2</v>
      </c>
      <c r="BT241" s="8">
        <f t="shared" si="101"/>
        <v>54784.227317017845</v>
      </c>
      <c r="BU241" s="8" t="str">
        <f t="shared" si="102"/>
        <v>No</v>
      </c>
      <c r="BV241" s="8">
        <f t="shared" si="103"/>
        <v>6848.0284146272297</v>
      </c>
      <c r="BW241" s="4">
        <v>0</v>
      </c>
      <c r="BX241" s="4">
        <v>1</v>
      </c>
    </row>
    <row r="242" spans="1:76" s="16" customFormat="1" x14ac:dyDescent="0.25">
      <c r="A242" s="26" t="s">
        <v>1372</v>
      </c>
      <c r="B242" s="6" t="s">
        <v>1840</v>
      </c>
      <c r="C242" s="7">
        <v>400</v>
      </c>
      <c r="D242" s="7" t="s">
        <v>528</v>
      </c>
      <c r="E242" s="7" t="str">
        <f>Groups!$A$85</f>
        <v>Beetle (CLAWS, ARMORED)</v>
      </c>
      <c r="F242" s="7" t="str">
        <f t="shared" si="134"/>
        <v>Lay eggs</v>
      </c>
      <c r="G242" s="7">
        <v>2</v>
      </c>
      <c r="H242" s="7">
        <v>20</v>
      </c>
      <c r="I242" s="4">
        <v>0</v>
      </c>
      <c r="J242" s="7" t="str">
        <f t="shared" si="135"/>
        <v>Lay eggs</v>
      </c>
      <c r="K242" s="7" t="s">
        <v>528</v>
      </c>
      <c r="L242" s="7">
        <v>20</v>
      </c>
      <c r="M242" s="7" t="s">
        <v>528</v>
      </c>
      <c r="N242" s="4">
        <v>0</v>
      </c>
      <c r="O242" s="4">
        <v>0</v>
      </c>
      <c r="P242" s="4">
        <v>0</v>
      </c>
      <c r="Q242" s="4">
        <v>0</v>
      </c>
      <c r="R242" s="4">
        <v>1</v>
      </c>
      <c r="S242" s="7">
        <f>_xlfn.XLOOKUP(B242,[1]TeethAdjusters!$A:$A,[1]BiteAdjusters!$C:$C,1)</f>
        <v>1</v>
      </c>
      <c r="T242" s="7">
        <f>_xlfn.XLOOKUP(B242,[1]TeethAdjusters!$A:$A,[1]TeethAdjusters!$B:$B,1)</f>
        <v>1</v>
      </c>
      <c r="U242" s="7">
        <v>10</v>
      </c>
      <c r="V242" s="7">
        <v>22</v>
      </c>
      <c r="W242" s="7" t="s">
        <v>45</v>
      </c>
      <c r="X242" s="7" t="s">
        <v>932</v>
      </c>
      <c r="Y242" s="4" t="s">
        <v>53</v>
      </c>
      <c r="Z242" s="4">
        <v>1</v>
      </c>
      <c r="AA242" s="4">
        <v>0</v>
      </c>
      <c r="AB242" s="4">
        <v>0</v>
      </c>
      <c r="AC242" s="4">
        <v>0</v>
      </c>
      <c r="AD242" s="4">
        <v>0</v>
      </c>
      <c r="AE242" s="4" t="s">
        <v>45</v>
      </c>
      <c r="AF242" s="4" t="s">
        <v>45</v>
      </c>
      <c r="AG242" s="49" t="s">
        <v>1800</v>
      </c>
      <c r="AH242" s="4" t="str">
        <f>Animals!$C$105</f>
        <v>&lt;li&gt;Megaspider&lt;/li&gt;</v>
      </c>
      <c r="AI242" s="4">
        <v>0</v>
      </c>
      <c r="AJ242" s="4">
        <v>0</v>
      </c>
      <c r="AK242" s="4">
        <v>0</v>
      </c>
      <c r="AL242" s="4">
        <v>0</v>
      </c>
      <c r="AM242" s="4">
        <v>1</v>
      </c>
      <c r="AN242" s="44" t="s">
        <v>40</v>
      </c>
      <c r="AO242" s="8">
        <f t="shared" si="89"/>
        <v>54533.324359541104</v>
      </c>
      <c r="AP242" s="8">
        <f>IFERROR(C242*_xlfn.XLOOKUP(E242,Groups!A:A,Groups!K:K),0.106*C242^0.94)</f>
        <v>128</v>
      </c>
      <c r="AQ242" s="8">
        <f>AP242*10000/(_xlfn.XLOOKUP(E242,Groups!A:A,Groups!J:J)*AO242)</f>
        <v>26.372906183178333</v>
      </c>
      <c r="AR242" s="8">
        <f t="shared" si="90"/>
        <v>8578.2919817776201</v>
      </c>
      <c r="AS242" s="8">
        <f>IF(_xlfn.XLOOKUP(E242,Groups!A:A,Groups!M:M)=1,EXP(0.7444*LN('Base stats'!C242)+6.5696),EXP(0.7927*LN('Base stats'!C242)+4.28))</f>
        <v>61675.756600829809</v>
      </c>
      <c r="AT242" s="8">
        <f>IF(_xlfn.XLOOKUP(E242,Groups!A:A,Groups!N:N)="No","No",
IF(_xlfn.XLOOKUP(E242,Groups!A:A,Groups!N:N)="Crocodile",EXP(0.8129*LN(C242)+4.6742)*S242,
IF(_xlfn.XLOOKUP(E242,Groups!A:A,Groups!N:N)="Felid",EXP(0.7843*LN(C242)+4.7073)*S242,
IF(_xlfn.XLOOKUP(E242,Groups!A:A,Groups!N:N)="Canid",EXP(0.8367*LN(C242)+4.8763)*S242,
IF(_xlfn.XLOOKUP(E242,Groups!A:A,Groups!N:N)="Pig",EXP(0.3439*LN(C242)+6.8519)*S242,
IF(_xlfn.XLOOKUP(E242,Groups!A:A,Groups!N:N)="Rodent",EXP(0.5625*LN(C242)+4.3006)*S242,
IF(_xlfn.XLOOKUP(E242,Groups!A:A,Groups!N:N)="Primate",EXP(0.7847*LN(C242)+3.4931)*S242,
IF(_xlfn.XLOOKUP(E242,Groups!A:A,Groups!N:N)="MiscCarnivora",EXP(0.7486*LN(C242)+4.2207)*S242,
IF(_xlfn.XLOOKUP(E242,Groups!A:A,Groups!N:N)="Lizard",EXP(0.7733*LN(C242)+5.5303)*S242,
IF(_xlfn.XLOOKUP(E242,Groups!A:A,Groups!N:N)="Snake",50*C242^(2/3)*S242,
IF(_xlfn.XLOOKUP(E242,Groups!A:A,Groups!N:N)="StrongBitingHerbivore",87.1133638856975*C242^(2/3)*S242,
IF(_xlfn.XLOOKUP(E242,Groups!A:A,Groups!N:N)="MiscEctotherms",59.4316884072269*C242^(2/3)*S242,
IF(_xlfn.XLOOKUP(E242,Groups!A:A,Groups!N:N)="StrongBeakBird",0.041*(C242*1000)^1.375*S242,
IF(_xlfn.XLOOKUP(E242,Groups!A:A,Groups!N:N)="Bird",0.118*(C242*1000)^0.692*S242,
IF(_xlfn.XLOOKUP(E242,Groups!A:A,Groups!N:N)="Insect",EXP(0.7444*LN(C242)+6.5696)*S242,
IF(_xlfn.XLOOKUP(E242,Groups!A:A,Groups!N:N)="Theropod",EXP(0.6966*LN(C242)+4.158)*S242,
"No"))))))))))))))))</f>
        <v>61675.756600829809</v>
      </c>
      <c r="AU242" s="8">
        <f>IF(_xlfn.XLOOKUP(E242,Groups!A:A,Groups!U:U)=3,AS242,IF(_xlfn.XLOOKUP(E242,Groups!A:A,Groups!U:U)=2,AR242,AT242))</f>
        <v>61675.756600829809</v>
      </c>
      <c r="AV242" s="46">
        <f>IFERROR(AVERAGE(_xlfn.XLOOKUP(B242,Animals!B:B,Animals!N:N),_xlfn.XLOOKUP(B242,Animals!B:B,Animals!O:O)),0)</f>
        <v>0.85000000000000009</v>
      </c>
      <c r="AW242" s="8">
        <f>MROUND(40*Animals!AO242*_xlfn.XLOOKUP(AG242,Leathers!$A$2:$A$99,Leathers!$B$2:$B$99,0)+(140*_xlfn.XLOOKUP(B242,Animals!B:B,Animals!AO:AO)*2),5)</f>
        <v>770</v>
      </c>
      <c r="AX242" s="8">
        <f>IFERROR(ROUND(SQRT(V242-1)*IF(_xlfn.XLOOKUP(E242,Groups!A:A,Groups!BF:BF)=0,2,1)*IF(_xlfn.XLOOKUP('Base stats'!E242,Groups!A:A,Groups!O:O)=0,1,0.1),1),0)</f>
        <v>9.1999999999999993</v>
      </c>
      <c r="AY242" s="8">
        <f t="shared" si="91"/>
        <v>3</v>
      </c>
      <c r="AZ242" s="8">
        <f t="shared" si="92"/>
        <v>0</v>
      </c>
      <c r="BA242" s="8">
        <f t="shared" si="93"/>
        <v>6.8</v>
      </c>
      <c r="BB242" s="8">
        <f>IF(_xlfn.XLOOKUP(E242,Groups!A:A,Groups!N:N)="Insect",BD242*2.5,IFERROR(AVERAGE(BD242,AT242/9.81/IF(OR(_xlfn.XLOOKUP(E242,Groups!A:A,Groups!N:N)="Pig",_xlfn.XLOOKUP(E242,Groups!A:A,Groups!N:N)="StrongBitingHerbivore"),20,25))*C242^-0.135,BD242))</f>
        <v>14.24091612215088</v>
      </c>
      <c r="BC242" s="8" t="str">
        <f>IF(W242="No","No",IF(_xlfn.XLOOKUP(E242,Groups!A:A,Groups!U:U)=1,'Base stats'!BB242,IF(OR(_xlfn.XLOOKUP(E242,Groups!A:A,Groups!BD:BD)=1,_xlfn.XLOOKUP(E242,Groups!A:A,Groups!U:U)=2),BD242,IF(_xlfn.XLOOKUP(B242,Animals!B:B,Animals!AO:AO)&gt;4,AVERAGE(BD242,BF242),BF242))))</f>
        <v>No</v>
      </c>
      <c r="BD242" s="8">
        <f t="shared" si="94"/>
        <v>5.6963664488603518</v>
      </c>
      <c r="BE242" s="8">
        <f>IF(_xlfn.XLOOKUP(E242,Groups!A:A,Groups!BE:BE)=1,(0.048*C242^1.01)+(0.071*C242^1.03),0.071*C242^1.03)/IF(_xlfn.XLOOKUP(E242,Groups!A:A,Groups!M:M)=1,0.85,IF(OR(_xlfn.XLOOKUP(B242,Animals!B:B,Animals!AO:AO)&gt;4,_xlfn.XLOOKUP(E242,Groups!A:A,Groups!BC:BC)=1),1.7,1))*C242^-0.25</f>
        <v>8.9422378289708213</v>
      </c>
      <c r="BF242" s="8">
        <f>(0.048*C242^1.01)/IF(_xlfn.XLOOKUP(E242,Groups!A:A,Groups!M:M)=1,0.25,0.8)*C242^-0.25</f>
        <v>18.233364842162999</v>
      </c>
      <c r="BG242" s="8">
        <f>EXP(1.076*LN(AR242)-4.5397)*IF(_xlfn.XLOOKUP(E242,Groups!A:A,Groups!BC:BC)=1,1.25,IF(_xlfn.XLOOKUP(E242,Groups!A:A,Groups!BD:BD)=1,3.5,2.5))</f>
        <v>227.86763271095117</v>
      </c>
      <c r="BH242" s="8">
        <f>EXP(1.076*LN(AS242)-4.5397)*IF(_xlfn.XLOOKUP(E242,Groups!A:A,Groups!M:M)=1,0.8,IF(_xlfn.XLOOKUP(E242,Groups!A:A,Groups!BC:BC)=1,1.3,3))</f>
        <v>1218.1100161375859</v>
      </c>
      <c r="BI242" s="8" t="str">
        <f>IF(W242="No","No",IF(_xlfn.XLOOKUP(E242,Groups!A:A,Groups!U:U)=1,'Base stats'!BJ242,IF(OR(_xlfn.XLOOKUP(E242,Groups!A:A,Groups!BD:BD)=1,_xlfn.XLOOKUP(E242,Groups!A:A,Groups!U:U)=2),BG242,BH242))*1.2)</f>
        <v>No</v>
      </c>
      <c r="BJ242" s="8">
        <f>IFERROR(EXP(1.076*LN(AT242)-4.5397)*IF(_xlfn.XLOOKUP(E242,Groups!A:A,Groups!N:N)="Insect",1,IF(OR(_xlfn.XLOOKUP(E242,Groups!A:A,Groups!N:N)="Pig",_xlfn.XLOOKUP(E242,Groups!A:A,Groups!N:N)="StrongBitingHerbivore"),3.5,3.75)),"No")</f>
        <v>1522.6375201719823</v>
      </c>
      <c r="BK242" s="8">
        <f t="shared" si="95"/>
        <v>8</v>
      </c>
      <c r="BL242" s="8">
        <f t="shared" si="96"/>
        <v>16</v>
      </c>
      <c r="BM242" s="8" t="str">
        <f t="shared" si="97"/>
        <v>No</v>
      </c>
      <c r="BN242" s="8">
        <f t="shared" si="98"/>
        <v>14</v>
      </c>
      <c r="BO242" s="8">
        <f t="shared" si="99"/>
        <v>11</v>
      </c>
      <c r="BP242" s="8" cm="1">
        <f t="array" ref="BP242">IF(AND(_xlfn.XLOOKUP('Base stats'!E242,Groups!A:A,Groups!AD:AD=0),_xlfn.XLOOKUP('Base stats'!E242,Groups!A:A,Groups!P:P=0)),"No",IF(U242="No",AVERAGE(EXP(-0.57+0.99*LN(C242)),EXP(0.32+0.67*LN(C242)))/IF(_xlfn.XLOOKUP(E242,Groups!A:A,Groups!AD:AD)=1,10,2),(0.7354*C242^0.4078)*2/IF(_xlfn.XLOOKUP(E242,Groups!A:A,Groups!BK:BK)=1,1000,100)/IF(_xlfn.XLOOKUP(E242,Groups!A:A,Groups!AJ:AJ)="Photonozoa",3,1)))</f>
        <v>1.6930652098775201E-2</v>
      </c>
      <c r="BQ242" s="8" t="str">
        <f>IF(W242="No","No",IF(_xlfn.XLOOKUP(E242,Groups!A:A,Groups!BD:BD)=1,(AO242*5%),EXP(0.7354*LN(C242)^0.4078)*2/IF(_xlfn.XLOOKUP(E242,Groups!A:A,Groups!BL:BL)=1,1000,100)/IF(_xlfn.XLOOKUP(E242,Groups!A:A,Groups!AJ:AJ)="Photonozoa",3,1)))</f>
        <v>No</v>
      </c>
      <c r="BR242" s="8">
        <f>IF(BJ242="No","No",IF(_xlfn.XLOOKUP(E242,Groups!A:A,Groups!BF:BF)=1,(0.0315*C242+2.1825)*2,(0.7354*C242^0.4078)*2)/IF(_xlfn.XLOOKUP(E242,Groups!A:A,Groups!BM:BM)=1,1000,100)/IF(_xlfn.XLOOKUP(E242,Groups!A:A,Groups!AJ:AJ)="Photonozoa",3,1))</f>
        <v>0.16930652098775201</v>
      </c>
      <c r="BS242" s="8">
        <f t="shared" si="100"/>
        <v>8.3570050198519985E-2</v>
      </c>
      <c r="BT242" s="8">
        <f t="shared" si="101"/>
        <v>71947.023010750228</v>
      </c>
      <c r="BU242" s="8" t="str">
        <f t="shared" si="102"/>
        <v>No</v>
      </c>
      <c r="BV242" s="8">
        <f t="shared" si="103"/>
        <v>8993.3778763437767</v>
      </c>
      <c r="BW242" s="4">
        <v>0</v>
      </c>
      <c r="BX242" s="4">
        <v>1</v>
      </c>
    </row>
    <row r="243" spans="1:76" s="16" customFormat="1" x14ac:dyDescent="0.25">
      <c r="A243" s="26" t="s">
        <v>1544</v>
      </c>
      <c r="B243" s="6" t="s">
        <v>1677</v>
      </c>
      <c r="C243" s="7">
        <v>350</v>
      </c>
      <c r="D243" s="7" t="s">
        <v>528</v>
      </c>
      <c r="E243" s="7" t="str">
        <f>Groups!$A$85</f>
        <v>Beetle (CLAWS, ARMORED)</v>
      </c>
      <c r="F243" s="7" t="str">
        <f t="shared" ref="F243" si="138">"Lay eggs"</f>
        <v>Lay eggs</v>
      </c>
      <c r="G243" s="7">
        <v>2</v>
      </c>
      <c r="H243" s="7">
        <v>20</v>
      </c>
      <c r="I243" s="4">
        <v>0</v>
      </c>
      <c r="J243" s="7" t="str">
        <f t="shared" ref="J243" si="139">"Lay eggs"</f>
        <v>Lay eggs</v>
      </c>
      <c r="K243" s="7" t="s">
        <v>528</v>
      </c>
      <c r="L243" s="7">
        <v>20</v>
      </c>
      <c r="M243" s="7" t="s">
        <v>528</v>
      </c>
      <c r="N243" s="4">
        <v>0</v>
      </c>
      <c r="O243" s="4">
        <v>0</v>
      </c>
      <c r="P243" s="4">
        <v>0</v>
      </c>
      <c r="Q243" s="4">
        <v>0</v>
      </c>
      <c r="R243" s="4">
        <v>1</v>
      </c>
      <c r="S243" s="7">
        <f>_xlfn.XLOOKUP(B243,[1]TeethAdjusters!$A:$A,[1]BiteAdjusters!$C:$C,1)</f>
        <v>1</v>
      </c>
      <c r="T243" s="7">
        <f>_xlfn.XLOOKUP(B243,[1]TeethAdjusters!$A:$A,[1]TeethAdjusters!$B:$B,1)</f>
        <v>1</v>
      </c>
      <c r="U243" s="7">
        <v>12</v>
      </c>
      <c r="V243" s="7">
        <v>25</v>
      </c>
      <c r="W243" s="7" t="s">
        <v>45</v>
      </c>
      <c r="X243" s="7" t="s">
        <v>932</v>
      </c>
      <c r="Y243" s="4" t="s">
        <v>53</v>
      </c>
      <c r="Z243" s="4">
        <v>1</v>
      </c>
      <c r="AA243" s="4">
        <v>0</v>
      </c>
      <c r="AB243" s="4">
        <v>0</v>
      </c>
      <c r="AC243" s="4">
        <v>0</v>
      </c>
      <c r="AD243" s="4">
        <v>0</v>
      </c>
      <c r="AE243" s="4" t="s">
        <v>45</v>
      </c>
      <c r="AF243" s="4" t="s">
        <v>45</v>
      </c>
      <c r="AG243" s="49" t="s">
        <v>1800</v>
      </c>
      <c r="AH243" s="4" t="str">
        <f>Animals!$C$105</f>
        <v>&lt;li&gt;Megaspider&lt;/li&gt;</v>
      </c>
      <c r="AI243" s="4">
        <v>0</v>
      </c>
      <c r="AJ243" s="4">
        <v>0</v>
      </c>
      <c r="AK243" s="4">
        <v>0</v>
      </c>
      <c r="AL243" s="4">
        <v>0</v>
      </c>
      <c r="AM243" s="4">
        <v>1</v>
      </c>
      <c r="AN243" s="44" t="s">
        <v>40</v>
      </c>
      <c r="AO243" s="8">
        <f t="shared" si="89"/>
        <v>49999.678016554004</v>
      </c>
      <c r="AP243" s="8">
        <f>IFERROR(C243*_xlfn.XLOOKUP(E243,Groups!A:A,Groups!K:K),0.106*C243^0.94)</f>
        <v>112</v>
      </c>
      <c r="AQ243" s="8">
        <f>AP243*10000/(_xlfn.XLOOKUP(E243,Groups!A:A,Groups!J:J)*AO243)</f>
        <v>25.16870140394688</v>
      </c>
      <c r="AR243" s="8">
        <f t="shared" si="90"/>
        <v>7663.2858706487614</v>
      </c>
      <c r="AS243" s="8">
        <f>IF(_xlfn.XLOOKUP(E243,Groups!A:A,Groups!M:M)=1,EXP(0.7444*LN('Base stats'!C243)+6.5696),EXP(0.7927*LN('Base stats'!C243)+4.28))</f>
        <v>55839.983402189697</v>
      </c>
      <c r="AT243" s="8">
        <f>IF(_xlfn.XLOOKUP(E243,Groups!A:A,Groups!N:N)="No","No",
IF(_xlfn.XLOOKUP(E243,Groups!A:A,Groups!N:N)="Crocodile",EXP(0.8129*LN(C243)+4.6742)*S243,
IF(_xlfn.XLOOKUP(E243,Groups!A:A,Groups!N:N)="Felid",EXP(0.7843*LN(C243)+4.7073)*S243,
IF(_xlfn.XLOOKUP(E243,Groups!A:A,Groups!N:N)="Canid",EXP(0.8367*LN(C243)+4.8763)*S243,
IF(_xlfn.XLOOKUP(E243,Groups!A:A,Groups!N:N)="Pig",EXP(0.3439*LN(C243)+6.8519)*S243,
IF(_xlfn.XLOOKUP(E243,Groups!A:A,Groups!N:N)="Rodent",EXP(0.5625*LN(C243)+4.3006)*S243,
IF(_xlfn.XLOOKUP(E243,Groups!A:A,Groups!N:N)="Primate",EXP(0.7847*LN(C243)+3.4931)*S243,
IF(_xlfn.XLOOKUP(E243,Groups!A:A,Groups!N:N)="MiscCarnivora",EXP(0.7486*LN(C243)+4.2207)*S243,
IF(_xlfn.XLOOKUP(E243,Groups!A:A,Groups!N:N)="Lizard",EXP(0.7733*LN(C243)+5.5303)*S243,
IF(_xlfn.XLOOKUP(E243,Groups!A:A,Groups!N:N)="Snake",50*C243^(2/3)*S243,
IF(_xlfn.XLOOKUP(E243,Groups!A:A,Groups!N:N)="StrongBitingHerbivore",87.1133638856975*C243^(2/3)*S243,
IF(_xlfn.XLOOKUP(E243,Groups!A:A,Groups!N:N)="MiscEctotherms",59.4316884072269*C243^(2/3)*S243,
IF(_xlfn.XLOOKUP(E243,Groups!A:A,Groups!N:N)="StrongBeakBird",0.041*(C243*1000)^1.375*S243,
IF(_xlfn.XLOOKUP(E243,Groups!A:A,Groups!N:N)="Bird",0.118*(C243*1000)^0.692*S243,
IF(_xlfn.XLOOKUP(E243,Groups!A:A,Groups!N:N)="Insect",EXP(0.7444*LN(C243)+6.5696)*S243,
IF(_xlfn.XLOOKUP(E243,Groups!A:A,Groups!N:N)="Theropod",EXP(0.6966*LN(C243)+4.158)*S243,
"No"))))))))))))))))</f>
        <v>55839.983402189697</v>
      </c>
      <c r="AU243" s="8">
        <f>IF(_xlfn.XLOOKUP(E243,Groups!A:A,Groups!U:U)=3,AS243,IF(_xlfn.XLOOKUP(E243,Groups!A:A,Groups!U:U)=2,AR243,AT243))</f>
        <v>55839.983402189697</v>
      </c>
      <c r="AV243" s="46">
        <f>IFERROR(AVERAGE(_xlfn.XLOOKUP(B243,Animals!B:B,Animals!N:N),_xlfn.XLOOKUP(B243,Animals!B:B,Animals!O:O)),0)</f>
        <v>0.85000000000000009</v>
      </c>
      <c r="AW243" s="8">
        <f>MROUND(40*Animals!AO243*_xlfn.XLOOKUP(AG243,Leathers!$A$2:$A$99,Leathers!$B$2:$B$99,0)+(140*_xlfn.XLOOKUP(B243,Animals!B:B,Animals!AO:AO)*2),5)</f>
        <v>700</v>
      </c>
      <c r="AX243" s="8">
        <f>IFERROR(ROUND(SQRT(V243-1)*IF(_xlfn.XLOOKUP(E243,Groups!A:A,Groups!BF:BF)=0,2,1)*IF(_xlfn.XLOOKUP('Base stats'!E243,Groups!A:A,Groups!O:O)=0,1,0.1),1),0)</f>
        <v>9.8000000000000007</v>
      </c>
      <c r="AY243" s="8">
        <f t="shared" si="91"/>
        <v>3.3</v>
      </c>
      <c r="AZ243" s="8">
        <f t="shared" si="92"/>
        <v>0</v>
      </c>
      <c r="BA243" s="8">
        <f t="shared" si="93"/>
        <v>6.5</v>
      </c>
      <c r="BB243" s="8">
        <f>IF(_xlfn.XLOOKUP(E243,Groups!A:A,Groups!N:N)="Insect",BD243*2.5,IFERROR(AVERAGE(BD243,AT243/9.81/IF(OR(_xlfn.XLOOKUP(E243,Groups!A:A,Groups!N:N)="Pig",_xlfn.XLOOKUP(E243,Groups!A:A,Groups!N:N)="StrongBitingHerbivore"),20,25))*C243^-0.135,BD243))</f>
        <v>12.745198992247673</v>
      </c>
      <c r="BC243" s="8" t="str">
        <f>IF(W243="No","No",IF(_xlfn.XLOOKUP(E243,Groups!A:A,Groups!U:U)=1,'Base stats'!BB243,IF(OR(_xlfn.XLOOKUP(E243,Groups!A:A,Groups!BD:BD)=1,_xlfn.XLOOKUP(E243,Groups!A:A,Groups!U:U)=2),BD243,IF(_xlfn.XLOOKUP(B243,Animals!B:B,Animals!AO:AO)&gt;4,AVERAGE(BD243,BF243),BF243))))</f>
        <v>No</v>
      </c>
      <c r="BD243" s="8">
        <f t="shared" si="94"/>
        <v>5.0980795968990691</v>
      </c>
      <c r="BE243" s="8">
        <f>IF(_xlfn.XLOOKUP(E243,Groups!A:A,Groups!BE:BE)=1,(0.048*C243^1.01)+(0.071*C243^1.03),0.071*C243^1.03)/IF(_xlfn.XLOOKUP(E243,Groups!A:A,Groups!M:M)=1,0.85,IF(OR(_xlfn.XLOOKUP(B243,Animals!B:B,Animals!AO:AO)&gt;4,_xlfn.XLOOKUP(E243,Groups!A:A,Groups!BC:BC)=1),1.7,1))*C243^-0.25</f>
        <v>8.0577260430108133</v>
      </c>
      <c r="BF243" s="8">
        <f>(0.048*C243^1.01)/IF(_xlfn.XLOOKUP(E243,Groups!A:A,Groups!M:M)=1,0.25,0.8)*C243^-0.25</f>
        <v>16.473767881888275</v>
      </c>
      <c r="BG243" s="8">
        <f>EXP(1.076*LN(AR243)-4.5397)*IF(_xlfn.XLOOKUP(E243,Groups!A:A,Groups!BC:BC)=1,1.25,IF(_xlfn.XLOOKUP(E243,Groups!A:A,Groups!BD:BD)=1,3.5,2.5))</f>
        <v>201.82451722111298</v>
      </c>
      <c r="BH243" s="8">
        <f>EXP(1.076*LN(AS243)-4.5397)*IF(_xlfn.XLOOKUP(E243,Groups!A:A,Groups!M:M)=1,0.8,IF(_xlfn.XLOOKUP(E243,Groups!A:A,Groups!BC:BC)=1,1.3,3))</f>
        <v>1094.5521272146202</v>
      </c>
      <c r="BI243" s="8" t="str">
        <f>IF(W243="No","No",IF(_xlfn.XLOOKUP(E243,Groups!A:A,Groups!U:U)=1,'Base stats'!BJ243,IF(OR(_xlfn.XLOOKUP(E243,Groups!A:A,Groups!BD:BD)=1,_xlfn.XLOOKUP(E243,Groups!A:A,Groups!U:U)=2),BG243,BH243))*1.2)</f>
        <v>No</v>
      </c>
      <c r="BJ243" s="8">
        <f>IFERROR(EXP(1.076*LN(AT243)-4.5397)*IF(_xlfn.XLOOKUP(E243,Groups!A:A,Groups!N:N)="Insect",1,IF(OR(_xlfn.XLOOKUP(E243,Groups!A:A,Groups!N:N)="Pig",_xlfn.XLOOKUP(E243,Groups!A:A,Groups!N:N)="StrongBitingHerbivore"),3.5,3.75)),"No")</f>
        <v>1368.1901590182752</v>
      </c>
      <c r="BK243" s="8">
        <f t="shared" si="95"/>
        <v>8</v>
      </c>
      <c r="BL243" s="8">
        <f t="shared" si="96"/>
        <v>16</v>
      </c>
      <c r="BM243" s="8" t="str">
        <f t="shared" si="97"/>
        <v>No</v>
      </c>
      <c r="BN243" s="8">
        <f t="shared" si="98"/>
        <v>14</v>
      </c>
      <c r="BO243" s="8">
        <f t="shared" si="99"/>
        <v>11</v>
      </c>
      <c r="BP243" s="8" cm="1">
        <f t="array" ref="BP243">IF(AND(_xlfn.XLOOKUP('Base stats'!E243,Groups!A:A,Groups!AD:AD=0),_xlfn.XLOOKUP('Base stats'!E243,Groups!A:A,Groups!P:P=0)),"No",IF(U243="No",AVERAGE(EXP(-0.57+0.99*LN(C243)),EXP(0.32+0.67*LN(C243)))/IF(_xlfn.XLOOKUP(E243,Groups!A:A,Groups!AD:AD)=1,10,2),(0.7354*C243^0.4078)*2/IF(_xlfn.XLOOKUP(E243,Groups!A:A,Groups!BK:BK)=1,1000,100)/IF(_xlfn.XLOOKUP(E243,Groups!A:A,Groups!AJ:AJ)="Photonozoa",3,1)))</f>
        <v>1.6033360949166103E-2</v>
      </c>
      <c r="BQ243" s="8" t="str">
        <f>IF(W243="No","No",IF(_xlfn.XLOOKUP(E243,Groups!A:A,Groups!BD:BD)=1,(AO243*5%),EXP(0.7354*LN(C243)^0.4078)*2/IF(_xlfn.XLOOKUP(E243,Groups!A:A,Groups!BL:BL)=1,1000,100)/IF(_xlfn.XLOOKUP(E243,Groups!A:A,Groups!AJ:AJ)="Photonozoa",3,1)))</f>
        <v>No</v>
      </c>
      <c r="BR243" s="8">
        <f>IF(BJ243="No","No",IF(_xlfn.XLOOKUP(E243,Groups!A:A,Groups!BF:BF)=1,(0.0315*C243+2.1825)*2,(0.7354*C243^0.4078)*2)/IF(_xlfn.XLOOKUP(E243,Groups!A:A,Groups!BM:BM)=1,1000,100)/IF(_xlfn.XLOOKUP(E243,Groups!A:A,Groups!AJ:AJ)="Photonozoa",3,1))</f>
        <v>0.16033360949166103</v>
      </c>
      <c r="BS243" s="8">
        <f t="shared" si="100"/>
        <v>8.0730326765021357E-2</v>
      </c>
      <c r="BT243" s="8">
        <f t="shared" si="101"/>
        <v>68267.166858209355</v>
      </c>
      <c r="BU243" s="8" t="str">
        <f t="shared" si="102"/>
        <v>No</v>
      </c>
      <c r="BV243" s="8">
        <f t="shared" si="103"/>
        <v>8533.3958572761676</v>
      </c>
      <c r="BW243" s="4">
        <v>0</v>
      </c>
      <c r="BX243" s="4">
        <v>1</v>
      </c>
    </row>
    <row r="244" spans="1:76" s="16" customFormat="1" x14ac:dyDescent="0.25">
      <c r="A244" s="26" t="s">
        <v>1590</v>
      </c>
      <c r="B244" s="6" t="s">
        <v>1693</v>
      </c>
      <c r="C244" s="7">
        <v>450</v>
      </c>
      <c r="D244" s="7" t="s">
        <v>528</v>
      </c>
      <c r="E244" s="7" t="str">
        <f>Groups!$A$85</f>
        <v>Beetle (CLAWS, ARMORED)</v>
      </c>
      <c r="F244" s="7" t="str">
        <f t="shared" si="134"/>
        <v>Lay eggs</v>
      </c>
      <c r="G244" s="7">
        <v>2</v>
      </c>
      <c r="H244" s="7">
        <v>20</v>
      </c>
      <c r="I244" s="4">
        <v>0</v>
      </c>
      <c r="J244" s="7" t="str">
        <f t="shared" si="135"/>
        <v>Lay eggs</v>
      </c>
      <c r="K244" s="7" t="s">
        <v>528</v>
      </c>
      <c r="L244" s="7">
        <v>20</v>
      </c>
      <c r="M244" s="7" t="s">
        <v>528</v>
      </c>
      <c r="N244" s="4">
        <v>0</v>
      </c>
      <c r="O244" s="4">
        <v>0</v>
      </c>
      <c r="P244" s="4">
        <v>0</v>
      </c>
      <c r="Q244" s="4">
        <v>0</v>
      </c>
      <c r="R244" s="4">
        <v>1</v>
      </c>
      <c r="S244" s="7">
        <f>_xlfn.XLOOKUP(B244,[1]TeethAdjusters!$A:$A,[1]BiteAdjusters!$C:$C,1)</f>
        <v>1</v>
      </c>
      <c r="T244" s="7">
        <f>_xlfn.XLOOKUP(B244,[1]TeethAdjusters!$A:$A,[1]TeethAdjusters!$B:$B,1)</f>
        <v>1</v>
      </c>
      <c r="U244" s="7">
        <v>9</v>
      </c>
      <c r="V244" s="7">
        <v>20</v>
      </c>
      <c r="W244" s="7" t="s">
        <v>45</v>
      </c>
      <c r="X244" s="7" t="s">
        <v>932</v>
      </c>
      <c r="Y244" s="4" t="s">
        <v>53</v>
      </c>
      <c r="Z244" s="4">
        <v>1</v>
      </c>
      <c r="AA244" s="4">
        <v>0</v>
      </c>
      <c r="AB244" s="4">
        <v>0</v>
      </c>
      <c r="AC244" s="4">
        <v>0</v>
      </c>
      <c r="AD244" s="4">
        <v>0</v>
      </c>
      <c r="AE244" s="4" t="s">
        <v>45</v>
      </c>
      <c r="AF244" s="4" t="s">
        <v>45</v>
      </c>
      <c r="AG244" s="49" t="s">
        <v>1800</v>
      </c>
      <c r="AH244" s="4" t="str">
        <f>Animals!$C$105</f>
        <v>&lt;li&gt;Megaspider&lt;/li&gt;</v>
      </c>
      <c r="AI244" s="4">
        <v>0</v>
      </c>
      <c r="AJ244" s="4">
        <v>0</v>
      </c>
      <c r="AK244" s="4">
        <v>0</v>
      </c>
      <c r="AL244" s="4">
        <v>0</v>
      </c>
      <c r="AM244" s="4">
        <v>1</v>
      </c>
      <c r="AN244" s="44" t="s">
        <v>40</v>
      </c>
      <c r="AO244" s="8">
        <f t="shared" si="89"/>
        <v>58872.314877544653</v>
      </c>
      <c r="AP244" s="8">
        <f>IFERROR(C244*_xlfn.XLOOKUP(E244,Groups!A:A,Groups!K:K),0.106*C244^0.94)</f>
        <v>144</v>
      </c>
      <c r="AQ244" s="8">
        <f>AP244*10000/(_xlfn.XLOOKUP(E244,Groups!A:A,Groups!J:J)*AO244)</f>
        <v>27.482825016398735</v>
      </c>
      <c r="AR244" s="8">
        <f t="shared" si="90"/>
        <v>9475.6576182389981</v>
      </c>
      <c r="AS244" s="8">
        <f>IF(_xlfn.XLOOKUP(E244,Groups!A:A,Groups!M:M)=1,EXP(0.7444*LN('Base stats'!C244)+6.5696),EXP(0.7927*LN('Base stats'!C244)+4.28))</f>
        <v>67327.489921803863</v>
      </c>
      <c r="AT244" s="8">
        <f>IF(_xlfn.XLOOKUP(E244,Groups!A:A,Groups!N:N)="No","No",
IF(_xlfn.XLOOKUP(E244,Groups!A:A,Groups!N:N)="Crocodile",EXP(0.8129*LN(C244)+4.6742)*S244,
IF(_xlfn.XLOOKUP(E244,Groups!A:A,Groups!N:N)="Felid",EXP(0.7843*LN(C244)+4.7073)*S244,
IF(_xlfn.XLOOKUP(E244,Groups!A:A,Groups!N:N)="Canid",EXP(0.8367*LN(C244)+4.8763)*S244,
IF(_xlfn.XLOOKUP(E244,Groups!A:A,Groups!N:N)="Pig",EXP(0.3439*LN(C244)+6.8519)*S244,
IF(_xlfn.XLOOKUP(E244,Groups!A:A,Groups!N:N)="Rodent",EXP(0.5625*LN(C244)+4.3006)*S244,
IF(_xlfn.XLOOKUP(E244,Groups!A:A,Groups!N:N)="Primate",EXP(0.7847*LN(C244)+3.4931)*S244,
IF(_xlfn.XLOOKUP(E244,Groups!A:A,Groups!N:N)="MiscCarnivora",EXP(0.7486*LN(C244)+4.2207)*S244,
IF(_xlfn.XLOOKUP(E244,Groups!A:A,Groups!N:N)="Lizard",EXP(0.7733*LN(C244)+5.5303)*S244,
IF(_xlfn.XLOOKUP(E244,Groups!A:A,Groups!N:N)="Snake",50*C244^(2/3)*S244,
IF(_xlfn.XLOOKUP(E244,Groups!A:A,Groups!N:N)="StrongBitingHerbivore",87.1133638856975*C244^(2/3)*S244,
IF(_xlfn.XLOOKUP(E244,Groups!A:A,Groups!N:N)="MiscEctotherms",59.4316884072269*C244^(2/3)*S244,
IF(_xlfn.XLOOKUP(E244,Groups!A:A,Groups!N:N)="StrongBeakBird",0.041*(C244*1000)^1.375*S244,
IF(_xlfn.XLOOKUP(E244,Groups!A:A,Groups!N:N)="Bird",0.118*(C244*1000)^0.692*S244,
IF(_xlfn.XLOOKUP(E244,Groups!A:A,Groups!N:N)="Insect",EXP(0.7444*LN(C244)+6.5696)*S244,
IF(_xlfn.XLOOKUP(E244,Groups!A:A,Groups!N:N)="Theropod",EXP(0.6966*LN(C244)+4.158)*S244,
"No"))))))))))))))))</f>
        <v>67327.489921803863</v>
      </c>
      <c r="AU244" s="8">
        <f>IF(_xlfn.XLOOKUP(E244,Groups!A:A,Groups!U:U)=3,AS244,IF(_xlfn.XLOOKUP(E244,Groups!A:A,Groups!U:U)=2,AR244,AT244))</f>
        <v>67327.489921803863</v>
      </c>
      <c r="AV244" s="46">
        <f>IFERROR(AVERAGE(_xlfn.XLOOKUP(B244,Animals!B:B,Animals!N:N),_xlfn.XLOOKUP(B244,Animals!B:B,Animals!O:O)),0)</f>
        <v>0.85000000000000009</v>
      </c>
      <c r="AW244" s="8">
        <f>MROUND(40*Animals!AO244*_xlfn.XLOOKUP(AG244,Leathers!$A$2:$A$99,Leathers!$B$2:$B$99,0)+(140*_xlfn.XLOOKUP(B244,Animals!B:B,Animals!AO:AO)*2),5)</f>
        <v>770</v>
      </c>
      <c r="AX244" s="8">
        <f>IFERROR(ROUND(SQRT(V244-1)*IF(_xlfn.XLOOKUP(E244,Groups!A:A,Groups!BF:BF)=0,2,1)*IF(_xlfn.XLOOKUP('Base stats'!E244,Groups!A:A,Groups!O:O)=0,1,0.1),1),0)</f>
        <v>8.6999999999999993</v>
      </c>
      <c r="AY244" s="8">
        <f t="shared" si="91"/>
        <v>2.8</v>
      </c>
      <c r="AZ244" s="8">
        <f t="shared" si="92"/>
        <v>0</v>
      </c>
      <c r="BA244" s="8">
        <f t="shared" si="93"/>
        <v>7.1</v>
      </c>
      <c r="BB244" s="8">
        <f>IF(_xlfn.XLOOKUP(E244,Groups!A:A,Groups!N:N)="Insect",BD244*2.5,IFERROR(AVERAGE(BD244,AT244/9.81/IF(OR(_xlfn.XLOOKUP(E244,Groups!A:A,Groups!N:N)="Pig",_xlfn.XLOOKUP(E244,Groups!A:A,Groups!N:N)="StrongBitingHerbivore"),20,25))*C244^-0.135,BD244))</f>
        <v>15.705279676737799</v>
      </c>
      <c r="BC244" s="8" t="str">
        <f>IF(W244="No","No",IF(_xlfn.XLOOKUP(E244,Groups!A:A,Groups!U:U)=1,'Base stats'!BB244,IF(OR(_xlfn.XLOOKUP(E244,Groups!A:A,Groups!BD:BD)=1,_xlfn.XLOOKUP(E244,Groups!A:A,Groups!U:U)=2),BD244,IF(_xlfn.XLOOKUP(B244,Animals!B:B,Animals!AO:AO)&gt;4,AVERAGE(BD244,BF244),BF244))))</f>
        <v>No</v>
      </c>
      <c r="BD244" s="8">
        <f t="shared" si="94"/>
        <v>6.28211187069512</v>
      </c>
      <c r="BE244" s="8">
        <f>IF(_xlfn.XLOOKUP(E244,Groups!A:A,Groups!BE:BE)=1,(0.048*C244^1.01)+(0.071*C244^1.03),0.071*C244^1.03)/IF(_xlfn.XLOOKUP(E244,Groups!A:A,Groups!M:M)=1,0.85,IF(OR(_xlfn.XLOOKUP(B244,Animals!B:B,Animals!AO:AO)&gt;4,_xlfn.XLOOKUP(E244,Groups!A:A,Groups!BC:BC)=1),1.7,1))*C244^-0.25</f>
        <v>9.8026880816739972</v>
      </c>
      <c r="BF244" s="8">
        <f>(0.048*C244^1.01)/IF(_xlfn.XLOOKUP(E244,Groups!A:A,Groups!M:M)=1,0.25,0.8)*C244^-0.25</f>
        <v>19.940807415119203</v>
      </c>
      <c r="BG244" s="8">
        <f>EXP(1.076*LN(AR244)-4.5397)*IF(_xlfn.XLOOKUP(E244,Groups!A:A,Groups!BC:BC)=1,1.25,IF(_xlfn.XLOOKUP(E244,Groups!A:A,Groups!BD:BD)=1,3.5,2.5))</f>
        <v>253.61505181777144</v>
      </c>
      <c r="BH244" s="8">
        <f>EXP(1.076*LN(AS244)-4.5397)*IF(_xlfn.XLOOKUP(E244,Groups!A:A,Groups!M:M)=1,0.8,IF(_xlfn.XLOOKUP(E244,Groups!A:A,Groups!BC:BC)=1,1.3,3))</f>
        <v>1338.6232852504363</v>
      </c>
      <c r="BI244" s="8" t="str">
        <f>IF(W244="No","No",IF(_xlfn.XLOOKUP(E244,Groups!A:A,Groups!U:U)=1,'Base stats'!BJ244,IF(OR(_xlfn.XLOOKUP(E244,Groups!A:A,Groups!BD:BD)=1,_xlfn.XLOOKUP(E244,Groups!A:A,Groups!U:U)=2),BG244,BH244))*1.2)</f>
        <v>No</v>
      </c>
      <c r="BJ244" s="8">
        <f>IFERROR(EXP(1.076*LN(AT244)-4.5397)*IF(_xlfn.XLOOKUP(E244,Groups!A:A,Groups!N:N)="Insect",1,IF(OR(_xlfn.XLOOKUP(E244,Groups!A:A,Groups!N:N)="Pig",_xlfn.XLOOKUP(E244,Groups!A:A,Groups!N:N)="StrongBitingHerbivore"),3.5,3.75)),"No")</f>
        <v>1673.2791065630452</v>
      </c>
      <c r="BK244" s="8">
        <f t="shared" si="95"/>
        <v>8</v>
      </c>
      <c r="BL244" s="8">
        <f t="shared" si="96"/>
        <v>16</v>
      </c>
      <c r="BM244" s="8" t="str">
        <f t="shared" si="97"/>
        <v>No</v>
      </c>
      <c r="BN244" s="8">
        <f t="shared" si="98"/>
        <v>14</v>
      </c>
      <c r="BO244" s="8">
        <f t="shared" si="99"/>
        <v>11</v>
      </c>
      <c r="BP244" s="8" cm="1">
        <f t="array" ref="BP244">IF(AND(_xlfn.XLOOKUP('Base stats'!E244,Groups!A:A,Groups!AD:AD=0),_xlfn.XLOOKUP('Base stats'!E244,Groups!A:A,Groups!P:P=0)),"No",IF(U244="No",AVERAGE(EXP(-0.57+0.99*LN(C244)),EXP(0.32+0.67*LN(C244)))/IF(_xlfn.XLOOKUP(E244,Groups!A:A,Groups!AD:AD)=1,10,2),(0.7354*C244^0.4078)*2/IF(_xlfn.XLOOKUP(E244,Groups!A:A,Groups!BK:BK)=1,1000,100)/IF(_xlfn.XLOOKUP(E244,Groups!A:A,Groups!AJ:AJ)="Photonozoa",3,1)))</f>
        <v>1.7763710400601547E-2</v>
      </c>
      <c r="BQ244" s="8" t="str">
        <f>IF(W244="No","No",IF(_xlfn.XLOOKUP(E244,Groups!A:A,Groups!BD:BD)=1,(AO244*5%),EXP(0.7354*LN(C244)^0.4078)*2/IF(_xlfn.XLOOKUP(E244,Groups!A:A,Groups!BL:BL)=1,1000,100)/IF(_xlfn.XLOOKUP(E244,Groups!A:A,Groups!AJ:AJ)="Photonozoa",3,1)))</f>
        <v>No</v>
      </c>
      <c r="BR244" s="8">
        <f>IF(BJ244="No","No",IF(_xlfn.XLOOKUP(E244,Groups!A:A,Groups!BF:BF)=1,(0.0315*C244+2.1825)*2,(0.7354*C244^0.4078)*2)/IF(_xlfn.XLOOKUP(E244,Groups!A:A,Groups!BM:BM)=1,1000,100)/IF(_xlfn.XLOOKUP(E244,Groups!A:A,Groups!AJ:AJ)="Photonozoa",3,1))</f>
        <v>0.17763710400601546</v>
      </c>
      <c r="BS244" s="8">
        <f t="shared" si="100"/>
        <v>8.6157662509209892E-2</v>
      </c>
      <c r="BT244" s="8">
        <f t="shared" si="101"/>
        <v>75357.189183015813</v>
      </c>
      <c r="BU244" s="8" t="str">
        <f t="shared" si="102"/>
        <v>No</v>
      </c>
      <c r="BV244" s="8">
        <f t="shared" si="103"/>
        <v>9419.6486478769748</v>
      </c>
      <c r="BW244" s="4">
        <v>0</v>
      </c>
      <c r="BX244" s="4">
        <v>1</v>
      </c>
    </row>
    <row r="245" spans="1:76" s="16" customFormat="1" x14ac:dyDescent="0.25">
      <c r="A245" s="26" t="s">
        <v>1496</v>
      </c>
      <c r="B245" s="6" t="s">
        <v>1658</v>
      </c>
      <c r="C245" s="7">
        <v>4000</v>
      </c>
      <c r="D245" s="7" t="s">
        <v>528</v>
      </c>
      <c r="E245" s="7" t="str">
        <f>Groups!$A$75</f>
        <v>ArmoredWorm</v>
      </c>
      <c r="F245" s="7" t="str">
        <f t="shared" si="114"/>
        <v>Lay eggs</v>
      </c>
      <c r="G245" s="7">
        <v>5</v>
      </c>
      <c r="H245" s="7">
        <v>40</v>
      </c>
      <c r="I245" s="4">
        <v>0</v>
      </c>
      <c r="J245" s="7" t="str">
        <f t="shared" si="115"/>
        <v>Lay eggs</v>
      </c>
      <c r="K245" s="7" t="s">
        <v>528</v>
      </c>
      <c r="L245" s="7">
        <v>16</v>
      </c>
      <c r="M245" s="7" t="s">
        <v>528</v>
      </c>
      <c r="N245" s="4">
        <v>0</v>
      </c>
      <c r="O245" s="4">
        <v>0</v>
      </c>
      <c r="P245" s="4">
        <v>0</v>
      </c>
      <c r="Q245" s="4">
        <v>0</v>
      </c>
      <c r="R245" s="4" t="s">
        <v>40</v>
      </c>
      <c r="S245" s="7">
        <f>_xlfn.XLOOKUP(B245,[1]TeethAdjusters!$A:$A,[1]BiteAdjusters!$C:$C,1)</f>
        <v>1</v>
      </c>
      <c r="T245" s="7">
        <f>_xlfn.XLOOKUP(B245,[1]TeethAdjusters!$A:$A,[1]TeethAdjusters!$B:$B,1)</f>
        <v>1</v>
      </c>
      <c r="U245" s="7" t="str">
        <f>IF(OR(_xlfn.XLOOKUP(E245,Groups!A:A,Groups!P:P)=1,_xlfn.XLOOKUP(E245,Groups!A:A,Groups!AD:AD)=1),"Need a formula","No")</f>
        <v>No</v>
      </c>
      <c r="V245" s="7">
        <v>10</v>
      </c>
      <c r="W245" s="7" t="str">
        <f>IF(_xlfn.XLOOKUP(E245,Groups!A:A,Groups!V:V)&lt;&gt;"No","Need a formula","No")</f>
        <v>No</v>
      </c>
      <c r="X245" s="7" t="s">
        <v>932</v>
      </c>
      <c r="Y245" s="4" t="s">
        <v>1003</v>
      </c>
      <c r="Z245" s="4">
        <v>1</v>
      </c>
      <c r="AA245" s="4">
        <v>0</v>
      </c>
      <c r="AB245" s="4">
        <v>0</v>
      </c>
      <c r="AC245" s="4">
        <v>0</v>
      </c>
      <c r="AD245" s="4">
        <v>0</v>
      </c>
      <c r="AE245" s="4" t="s">
        <v>45</v>
      </c>
      <c r="AF245" s="4" t="s">
        <v>45</v>
      </c>
      <c r="AG245" s="49" t="s">
        <v>1800</v>
      </c>
      <c r="AH245" s="4" t="str">
        <f>Animals!$C$105</f>
        <v>&lt;li&gt;Megaspider&lt;/li&gt;</v>
      </c>
      <c r="AI245" s="4">
        <v>1</v>
      </c>
      <c r="AJ245" s="4">
        <v>0</v>
      </c>
      <c r="AK245" s="4">
        <v>0</v>
      </c>
      <c r="AL245" s="4">
        <v>0</v>
      </c>
      <c r="AM245" s="4">
        <v>1</v>
      </c>
      <c r="AN245" s="44" t="s">
        <v>40</v>
      </c>
      <c r="AO245" s="8">
        <f t="shared" si="89"/>
        <v>243591.41216853441</v>
      </c>
      <c r="AP245" s="8">
        <f>IFERROR(C245*_xlfn.XLOOKUP(E245,Groups!A:A,Groups!K:K),0.106*C245^0.94)</f>
        <v>1280</v>
      </c>
      <c r="AQ245" s="8">
        <f>AP245*10000/(_xlfn.XLOOKUP(E245,Groups!A:A,Groups!J:J)*AO245)</f>
        <v>59.041582557760997</v>
      </c>
      <c r="AR245" s="8">
        <f t="shared" si="90"/>
        <v>59993.033791828515</v>
      </c>
      <c r="AS245" s="8">
        <f>IF(_xlfn.XLOOKUP(E245,Groups!A:A,Groups!M:M)=1,EXP(0.7444*LN('Base stats'!C245)+6.5696),EXP(0.7927*LN('Base stats'!C245)+4.28))</f>
        <v>51776.577268894063</v>
      </c>
      <c r="AT245" s="8">
        <f>IF(_xlfn.XLOOKUP(E245,Groups!A:A,Groups!N:N)="No","No",
IF(_xlfn.XLOOKUP(E245,Groups!A:A,Groups!N:N)="Crocodile",EXP(0.8129*LN(C245)+4.6742)*S245,
IF(_xlfn.XLOOKUP(E245,Groups!A:A,Groups!N:N)="Felid",EXP(0.7843*LN(C245)+4.7073)*S245,
IF(_xlfn.XLOOKUP(E245,Groups!A:A,Groups!N:N)="Canid",EXP(0.8367*LN(C245)+4.8763)*S245,
IF(_xlfn.XLOOKUP(E245,Groups!A:A,Groups!N:N)="Pig",EXP(0.3439*LN(C245)+6.8519)*S245,
IF(_xlfn.XLOOKUP(E245,Groups!A:A,Groups!N:N)="Rodent",EXP(0.5625*LN(C245)+4.3006)*S245,
IF(_xlfn.XLOOKUP(E245,Groups!A:A,Groups!N:N)="Primate",EXP(0.7847*LN(C245)+3.4931)*S245,
IF(_xlfn.XLOOKUP(E245,Groups!A:A,Groups!N:N)="MiscCarnivora",EXP(0.7486*LN(C245)+4.2207)*S245,
IF(_xlfn.XLOOKUP(E245,Groups!A:A,Groups!N:N)="Lizard",EXP(0.7733*LN(C245)+5.5303)*S245,
IF(_xlfn.XLOOKUP(E245,Groups!A:A,Groups!N:N)="Snake",50*C245^(2/3)*S245,
IF(_xlfn.XLOOKUP(E245,Groups!A:A,Groups!N:N)="StrongBitingHerbivore",87.1133638856975*C245^(2/3)*S245,
IF(_xlfn.XLOOKUP(E245,Groups!A:A,Groups!N:N)="MiscEctotherms",59.4316884072269*C245^(2/3)*S245,
IF(_xlfn.XLOOKUP(E245,Groups!A:A,Groups!N:N)="StrongBeakBird",0.041*(C245*1000)^1.375*S245,
IF(_xlfn.XLOOKUP(E245,Groups!A:A,Groups!N:N)="Bird",0.118*(C245*1000)^0.692*S245,
IF(_xlfn.XLOOKUP(E245,Groups!A:A,Groups!N:N)="Insect",EXP(0.7444*LN(C245)+6.5696)*S245,
IF(_xlfn.XLOOKUP(E245,Groups!A:A,Groups!N:N)="Theropod",EXP(0.6966*LN(C245)+4.158)*S245,
"No"))))))))))))))))</f>
        <v>342384.80765263102</v>
      </c>
      <c r="AU245" s="8">
        <f>IF(_xlfn.XLOOKUP(E245,Groups!A:A,Groups!U:U)=3,AS245,IF(_xlfn.XLOOKUP(E245,Groups!A:A,Groups!U:U)=2,AR245,AT245))</f>
        <v>342384.80765263102</v>
      </c>
      <c r="AV245" s="46">
        <f>IFERROR(AVERAGE(_xlfn.XLOOKUP(B245,Animals!B:B,Animals!N:N),_xlfn.XLOOKUP(B245,Animals!B:B,Animals!O:O)),0)</f>
        <v>0.95</v>
      </c>
      <c r="AW245" s="8">
        <f>MROUND(40*Animals!AO245*_xlfn.XLOOKUP(AG245,Leathers!$A$2:$A$99,Leathers!$B$2:$B$99,0)+(140*_xlfn.XLOOKUP(B245,Animals!B:B,Animals!AO:AO)*2),5)</f>
        <v>1330</v>
      </c>
      <c r="AX245" s="8">
        <f>IFERROR(ROUND(SQRT(V245-1)*IF(_xlfn.XLOOKUP(E245,Groups!A:A,Groups!BF:BF)=0,2,1)*IF(_xlfn.XLOOKUP('Base stats'!E245,Groups!A:A,Groups!O:O)=0,1,0.1),1),0)</f>
        <v>6</v>
      </c>
      <c r="AY245" s="8">
        <f t="shared" si="91"/>
        <v>0</v>
      </c>
      <c r="AZ245" s="8">
        <f t="shared" si="92"/>
        <v>0</v>
      </c>
      <c r="BA245" s="8">
        <f t="shared" si="93"/>
        <v>15.6</v>
      </c>
      <c r="BB245" s="8">
        <f>IF(_xlfn.XLOOKUP(E245,Groups!A:A,Groups!N:N)="Insect",BD245*2.5,IFERROR(AVERAGE(BD245,AT245/9.81/IF(OR(_xlfn.XLOOKUP(E245,Groups!A:A,Groups!N:N)="Pig",_xlfn.XLOOKUP(E245,Groups!A:A,Groups!N:N)="StrongBitingHerbivore"),20,25))*C245^-0.135,BD245))</f>
        <v>50.954120424659635</v>
      </c>
      <c r="BC245" s="8" t="str">
        <f>IF(W245="No","No",IF(_xlfn.XLOOKUP(E245,Groups!A:A,Groups!U:U)=1,'Base stats'!BB245,IF(OR(_xlfn.XLOOKUP(E245,Groups!A:A,Groups!BD:BD)=1,_xlfn.XLOOKUP(E245,Groups!A:A,Groups!U:U)=2),BD245,IF(_xlfn.XLOOKUP(B245,Animals!B:B,Animals!AO:AO)&gt;4,AVERAGE(BD245,BF245),BF245))))</f>
        <v>No</v>
      </c>
      <c r="BD245" s="8">
        <f t="shared" si="94"/>
        <v>20.381648169863855</v>
      </c>
      <c r="BE245" s="8">
        <f>IF(_xlfn.XLOOKUP(E245,Groups!A:A,Groups!BE:BE)=1,(0.048*C245^1.01)+(0.071*C245^1.03),0.071*C245^1.03)/IF(_xlfn.XLOOKUP(E245,Groups!A:A,Groups!M:M)=1,0.85,IF(OR(_xlfn.XLOOKUP(B245,Animals!B:B,Animals!AO:AO)&gt;4,_xlfn.XLOOKUP(E245,Groups!A:A,Groups!BC:BC)=1),1.7,1))*C245^-0.25</f>
        <v>26.941155624015625</v>
      </c>
      <c r="BF245" s="8">
        <f>(0.048*C245^1.01)/IF(_xlfn.XLOOKUP(E245,Groups!A:A,Groups!M:M)=1,0.25,0.8)*C245^-0.25</f>
        <v>32.788144756936866</v>
      </c>
      <c r="BG245" s="8">
        <f>EXP(1.076*LN(AR245)-4.5397)*IF(_xlfn.XLOOKUP(E245,Groups!A:A,Groups!BC:BC)=1,1.25,IF(_xlfn.XLOOKUP(E245,Groups!A:A,Groups!BD:BD)=1,3.5,2.5))</f>
        <v>1847.480403748275</v>
      </c>
      <c r="BH245" s="8">
        <f>EXP(1.076*LN(AS245)-4.5397)*IF(_xlfn.XLOOKUP(E245,Groups!A:A,Groups!M:M)=1,0.8,IF(_xlfn.XLOOKUP(E245,Groups!A:A,Groups!BC:BC)=1,1.3,3))</f>
        <v>1639.7746347730574</v>
      </c>
      <c r="BI245" s="8" t="str">
        <f>IF(W245="No","No",IF(_xlfn.XLOOKUP(E245,Groups!A:A,Groups!U:U)=1,'Base stats'!BJ245,IF(OR(_xlfn.XLOOKUP(E245,Groups!A:A,Groups!BD:BD)=1,_xlfn.XLOOKUP(E245,Groups!A:A,Groups!U:U)=2),BG245,BH245))*1.2)</f>
        <v>No</v>
      </c>
      <c r="BJ245" s="8">
        <f>IFERROR(EXP(1.076*LN(AT245)-4.5397)*IF(_xlfn.XLOOKUP(E245,Groups!A:A,Groups!N:N)="Insect",1,IF(OR(_xlfn.XLOOKUP(E245,Groups!A:A,Groups!N:N)="Pig",_xlfn.XLOOKUP(E245,Groups!A:A,Groups!N:N)="StrongBitingHerbivore"),3.5,3.75)),"No")</f>
        <v>9628.7725349965076</v>
      </c>
      <c r="BK245" s="8">
        <f t="shared" si="95"/>
        <v>13</v>
      </c>
      <c r="BL245" s="8">
        <f t="shared" si="96"/>
        <v>11</v>
      </c>
      <c r="BM245" s="8" t="str">
        <f t="shared" si="97"/>
        <v>No</v>
      </c>
      <c r="BN245" s="8">
        <f t="shared" si="98"/>
        <v>19</v>
      </c>
      <c r="BO245" s="8">
        <f t="shared" si="99"/>
        <v>10</v>
      </c>
      <c r="BP245" s="8" t="str" cm="1">
        <f t="array" ref="BP245">IF(AND(_xlfn.XLOOKUP('Base stats'!E245,Groups!A:A,Groups!AD:AD=0),_xlfn.XLOOKUP('Base stats'!E245,Groups!A:A,Groups!P:P=0)),"No",IF(U245="No",AVERAGE(EXP(-0.57+0.99*LN(C245)),EXP(0.32+0.67*LN(C245)))/IF(_xlfn.XLOOKUP(E245,Groups!A:A,Groups!AD:AD)=1,10,2),(0.7354*C245^0.4078)*2/IF(_xlfn.XLOOKUP(E245,Groups!A:A,Groups!BK:BK)=1,1000,100)/IF(_xlfn.XLOOKUP(E245,Groups!A:A,Groups!AJ:AJ)="Photonozoa",3,1)))</f>
        <v>No</v>
      </c>
      <c r="BQ245" s="8" t="str">
        <f>IF(W245="No","No",IF(_xlfn.XLOOKUP(E245,Groups!A:A,Groups!BD:BD)=1,(AO245*5%),EXP(0.7354*LN(C245)^0.4078)*2/IF(_xlfn.XLOOKUP(E245,Groups!A:A,Groups!BL:BL)=1,1000,100)/IF(_xlfn.XLOOKUP(E245,Groups!A:A,Groups!AJ:AJ)="Photonozoa",3,1)))</f>
        <v>No</v>
      </c>
      <c r="BR245" s="8">
        <f>IF(BJ245="No","No",IF(_xlfn.XLOOKUP(E245,Groups!A:A,Groups!BF:BF)=1,(0.0315*C245+2.1825)*2,(0.7354*C245^0.4078)*2)/IF(_xlfn.XLOOKUP(E245,Groups!A:A,Groups!BM:BM)=1,1000,100)/IF(_xlfn.XLOOKUP(E245,Groups!A:A,Groups!AJ:AJ)="Photonozoa",3,1))</f>
        <v>0.43298583189597251</v>
      </c>
      <c r="BS245" s="8">
        <f t="shared" si="100"/>
        <v>0.15168682568087025</v>
      </c>
      <c r="BT245" s="8" t="str">
        <f t="shared" si="101"/>
        <v>No</v>
      </c>
      <c r="BU245" s="8" t="str">
        <f t="shared" si="102"/>
        <v>No</v>
      </c>
      <c r="BV245" s="8">
        <f t="shared" si="103"/>
        <v>22238.077612918012</v>
      </c>
      <c r="BW245" s="4">
        <v>0</v>
      </c>
      <c r="BX245" s="4">
        <v>1</v>
      </c>
    </row>
    <row r="246" spans="1:76" s="16" customFormat="1" x14ac:dyDescent="0.25">
      <c r="A246" s="26" t="s">
        <v>1578</v>
      </c>
      <c r="B246" s="6" t="s">
        <v>1828</v>
      </c>
      <c r="C246" s="7">
        <v>30000</v>
      </c>
      <c r="D246" s="7" t="s">
        <v>528</v>
      </c>
      <c r="E246" s="7" t="str">
        <f>Groups!$A$72</f>
        <v>BoulderCrab</v>
      </c>
      <c r="F246" s="7">
        <v>300</v>
      </c>
      <c r="G246" s="7">
        <v>100</v>
      </c>
      <c r="H246" s="7">
        <v>700</v>
      </c>
      <c r="I246" s="4">
        <v>1</v>
      </c>
      <c r="J246" s="7">
        <v>2</v>
      </c>
      <c r="K246" s="7" t="s">
        <v>528</v>
      </c>
      <c r="L246" s="7">
        <v>8</v>
      </c>
      <c r="M246" s="7" t="s">
        <v>528</v>
      </c>
      <c r="N246" s="4">
        <v>0</v>
      </c>
      <c r="O246" s="4">
        <v>0</v>
      </c>
      <c r="P246" s="4">
        <v>0</v>
      </c>
      <c r="Q246" s="4">
        <v>0</v>
      </c>
      <c r="R246" s="4" t="s">
        <v>40</v>
      </c>
      <c r="S246" s="7">
        <f>_xlfn.XLOOKUP(B246,[1]TeethAdjusters!$A:$A,[1]BiteAdjusters!$C:$C,1)</f>
        <v>1</v>
      </c>
      <c r="T246" s="7">
        <f>_xlfn.XLOOKUP(B246,[1]TeethAdjusters!$A:$A,[1]TeethAdjusters!$B:$B,1)</f>
        <v>1</v>
      </c>
      <c r="U246" s="7">
        <v>10</v>
      </c>
      <c r="V246" s="7" t="str">
        <f>IF(AT246="No","No",IF(_xlfn.XLOOKUP(E246,Groups!A:A,Groups!AM:AM)=1,MROUND(EXP(0.3582*LN(C246)-0.2221)*T246,0.05),IF(_xlfn.XLOOKUP(E246,Groups!A:A,Groups!AM:AM)=2,MROUND(EXP(0.3582*LN(C246)-0.2221)*T246,0.05),"Need a formula")))</f>
        <v>No</v>
      </c>
      <c r="W246" s="7" t="str">
        <f>IF(_xlfn.XLOOKUP(E246,Groups!A:A,Groups!V:V)&lt;&gt;"No","Need a formula","No")</f>
        <v>No</v>
      </c>
      <c r="X246" s="7" t="s">
        <v>932</v>
      </c>
      <c r="Y246" s="4" t="s">
        <v>1003</v>
      </c>
      <c r="Z246" s="4">
        <v>1</v>
      </c>
      <c r="AA246" s="4">
        <v>0</v>
      </c>
      <c r="AB246" s="4">
        <v>1</v>
      </c>
      <c r="AC246" s="4">
        <v>0</v>
      </c>
      <c r="AD246" s="4">
        <v>0</v>
      </c>
      <c r="AE246" s="4" t="s">
        <v>45</v>
      </c>
      <c r="AF246" s="4" t="s">
        <v>45</v>
      </c>
      <c r="AG246" s="49" t="s">
        <v>45</v>
      </c>
      <c r="AH246" s="4" t="str">
        <f>Animals!$C$238</f>
        <v>&lt;li&gt;AA_BoulderMit&lt;/li&gt;</v>
      </c>
      <c r="AI246" s="4">
        <v>0</v>
      </c>
      <c r="AJ246" s="4">
        <v>0</v>
      </c>
      <c r="AK246" s="4">
        <v>0</v>
      </c>
      <c r="AL246" s="4">
        <v>0</v>
      </c>
      <c r="AM246" s="4">
        <v>1</v>
      </c>
      <c r="AN246" s="44" t="s">
        <v>40</v>
      </c>
      <c r="AO246" s="8">
        <f t="shared" si="89"/>
        <v>902509.52551900642</v>
      </c>
      <c r="AP246" s="8">
        <f>IFERROR(C246*_xlfn.XLOOKUP(E246,Groups!A:A,Groups!K:K),0.106*C246^0.94)</f>
        <v>9600</v>
      </c>
      <c r="AQ246" s="8">
        <f>AP246*10000/(_xlfn.XLOOKUP(E246,Groups!A:A,Groups!J:J)*AO246)</f>
        <v>39.396321645589957</v>
      </c>
      <c r="AR246" s="8">
        <f t="shared" si="90"/>
        <v>329052.40818162821</v>
      </c>
      <c r="AS246" s="8">
        <f>IF(_xlfn.XLOOKUP(E246,Groups!A:A,Groups!M:M)=1,EXP(0.7444*LN('Base stats'!C246)+6.5696),EXP(0.7927*LN('Base stats'!C246)+4.28))</f>
        <v>255737.49164471042</v>
      </c>
      <c r="AT246" s="8" t="str">
        <f>IF(_xlfn.XLOOKUP(E246,Groups!A:A,Groups!N:N)="No","No",
IF(_xlfn.XLOOKUP(E246,Groups!A:A,Groups!N:N)="Crocodile",EXP(0.8129*LN(C246)+4.6742)*S246,
IF(_xlfn.XLOOKUP(E246,Groups!A:A,Groups!N:N)="Felid",EXP(0.7843*LN(C246)+4.7073)*S246,
IF(_xlfn.XLOOKUP(E246,Groups!A:A,Groups!N:N)="Canid",EXP(0.8367*LN(C246)+4.8763)*S246,
IF(_xlfn.XLOOKUP(E246,Groups!A:A,Groups!N:N)="Pig",EXP(0.3439*LN(C246)+6.8519)*S246,
IF(_xlfn.XLOOKUP(E246,Groups!A:A,Groups!N:N)="Rodent",EXP(0.5625*LN(C246)+4.3006)*S246,
IF(_xlfn.XLOOKUP(E246,Groups!A:A,Groups!N:N)="Primate",EXP(0.7847*LN(C246)+3.4931)*S246,
IF(_xlfn.XLOOKUP(E246,Groups!A:A,Groups!N:N)="MiscCarnivora",EXP(0.7486*LN(C246)+4.2207)*S246,
IF(_xlfn.XLOOKUP(E246,Groups!A:A,Groups!N:N)="Lizard",EXP(0.7733*LN(C246)+5.5303)*S246,
IF(_xlfn.XLOOKUP(E246,Groups!A:A,Groups!N:N)="Snake",50*C246^(2/3)*S246,
IF(_xlfn.XLOOKUP(E246,Groups!A:A,Groups!N:N)="StrongBitingHerbivore",87.1133638856975*C246^(2/3)*S246,
IF(_xlfn.XLOOKUP(E246,Groups!A:A,Groups!N:N)="MiscEctotherms",59.4316884072269*C246^(2/3)*S246,
IF(_xlfn.XLOOKUP(E246,Groups!A:A,Groups!N:N)="StrongBeakBird",0.041*(C246*1000)^1.375*S246,
IF(_xlfn.XLOOKUP(E246,Groups!A:A,Groups!N:N)="Bird",0.118*(C246*1000)^0.692*S246,
IF(_xlfn.XLOOKUP(E246,Groups!A:A,Groups!N:N)="Insect",EXP(0.7444*LN(C246)+6.5696)*S246,
IF(_xlfn.XLOOKUP(E246,Groups!A:A,Groups!N:N)="Theropod",EXP(0.6966*LN(C246)+4.158)*S246,
"No"))))))))))))))))</f>
        <v>No</v>
      </c>
      <c r="AU246" s="8" t="str">
        <f>IF(_xlfn.XLOOKUP(E246,Groups!A:A,Groups!U:U)=3,AS246,IF(_xlfn.XLOOKUP(E246,Groups!A:A,Groups!U:U)=2,AR246,AT246))</f>
        <v>No</v>
      </c>
      <c r="AV246" s="46">
        <f>IFERROR(AVERAGE(_xlfn.XLOOKUP(B246,Animals!B:B,Animals!N:N),_xlfn.XLOOKUP(B246,Animals!B:B,Animals!O:O)),0)</f>
        <v>0.6</v>
      </c>
      <c r="AW246" s="8">
        <f>MROUND(40*Animals!AO246*_xlfn.XLOOKUP(AG246,Leathers!$A$2:$A$99,Leathers!$B$2:$B$99,0)+(140*_xlfn.XLOOKUP(B246,Animals!B:B,Animals!AO:AO)*2),5)</f>
        <v>2800</v>
      </c>
      <c r="AX246" s="8">
        <f>IFERROR(ROUND(SQRT(V246-1)*IF(_xlfn.XLOOKUP(E246,Groups!A:A,Groups!BF:BF)=0,2,1)*IF(_xlfn.XLOOKUP('Base stats'!E246,Groups!A:A,Groups!O:O)=0,1,0.1),1),0)</f>
        <v>0</v>
      </c>
      <c r="AY246" s="8">
        <f t="shared" si="91"/>
        <v>3</v>
      </c>
      <c r="AZ246" s="8">
        <f t="shared" si="92"/>
        <v>0</v>
      </c>
      <c r="BA246" s="8">
        <f t="shared" si="93"/>
        <v>32.200000000000003</v>
      </c>
      <c r="BB246" s="8">
        <f>IF(_xlfn.XLOOKUP(E246,Groups!A:A,Groups!N:N)="Insect",BD246*2.5,IFERROR(AVERAGE(BD246,AT246/9.81/IF(OR(_xlfn.XLOOKUP(E246,Groups!A:A,Groups!N:N)="Pig",_xlfn.XLOOKUP(E246,Groups!A:A,Groups!N:N)="StrongBitingHerbivore"),20,25))*C246^-0.135,BD246))</f>
        <v>93.118397414581352</v>
      </c>
      <c r="BC246" s="8" t="str">
        <f>IF(W246="No","No",IF(_xlfn.XLOOKUP(E246,Groups!A:A,Groups!U:U)=1,'Base stats'!BB246,IF(OR(_xlfn.XLOOKUP(E246,Groups!A:A,Groups!BD:BD)=1,_xlfn.XLOOKUP(E246,Groups!A:A,Groups!U:U)=2),BD246,IF(_xlfn.XLOOKUP(B246,Animals!B:B,Animals!AO:AO)&gt;4,AVERAGE(BD246,BF246),BF246))))</f>
        <v>No</v>
      </c>
      <c r="BD246" s="8">
        <f t="shared" si="94"/>
        <v>93.118397414581352</v>
      </c>
      <c r="BE246" s="8">
        <f>IF(_xlfn.XLOOKUP(E246,Groups!A:A,Groups!BE:BE)=1,(0.048*C246^1.01)+(0.071*C246^1.03),0.071*C246^1.03)/IF(_xlfn.XLOOKUP(E246,Groups!A:A,Groups!M:M)=1,0.85,IF(OR(_xlfn.XLOOKUP(B246,Animals!B:B,Animals!AO:AO)&gt;4,_xlfn.XLOOKUP(E246,Groups!A:A,Groups!BC:BC)=1),1.7,1))*C246^-0.25</f>
        <v>129.70717662628056</v>
      </c>
      <c r="BF246" s="8">
        <f>(0.048*C246^1.01)/IF(_xlfn.XLOOKUP(E246,Groups!A:A,Groups!M:M)=1,0.25,0.8)*C246^-0.25</f>
        <v>151.62241300623762</v>
      </c>
      <c r="BG246" s="8">
        <f>EXP(1.076*LN(AR246)-4.5397)*IF(_xlfn.XLOOKUP(E246,Groups!A:A,Groups!BC:BC)=1,1.25,IF(_xlfn.XLOOKUP(E246,Groups!A:A,Groups!BD:BD)=1,3.5,2.5))</f>
        <v>11532.423240793278</v>
      </c>
      <c r="BH246" s="8">
        <f>EXP(1.076*LN(AS246)-4.5397)*IF(_xlfn.XLOOKUP(E246,Groups!A:A,Groups!M:M)=1,0.8,IF(_xlfn.XLOOKUP(E246,Groups!A:A,Groups!BC:BC)=1,1.3,3))</f>
        <v>9144.5737849513207</v>
      </c>
      <c r="BI246" s="8" t="str">
        <f>IF(W246="No","No",IF(_xlfn.XLOOKUP(E246,Groups!A:A,Groups!U:U)=1,'Base stats'!BJ246,IF(OR(_xlfn.XLOOKUP(E246,Groups!A:A,Groups!BD:BD)=1,_xlfn.XLOOKUP(E246,Groups!A:A,Groups!U:U)=2),BG246,BH246))*1.2)</f>
        <v>No</v>
      </c>
      <c r="BJ246" s="8" t="str">
        <f>IFERROR(EXP(1.076*LN(AT246)-4.5397)*IF(_xlfn.XLOOKUP(E246,Groups!A:A,Groups!N:N)="Insect",1,IF(OR(_xlfn.XLOOKUP(E246,Groups!A:A,Groups!N:N)="Pig",_xlfn.XLOOKUP(E246,Groups!A:A,Groups!N:N)="StrongBitingHerbivore"),3.5,3.75)),"No")</f>
        <v>No</v>
      </c>
      <c r="BK246" s="8">
        <f t="shared" si="95"/>
        <v>15</v>
      </c>
      <c r="BL246" s="8">
        <f t="shared" si="96"/>
        <v>11</v>
      </c>
      <c r="BM246" s="8" t="str">
        <f t="shared" si="97"/>
        <v>No</v>
      </c>
      <c r="BN246" s="8" t="str">
        <f t="shared" si="98"/>
        <v>No</v>
      </c>
      <c r="BO246" s="8">
        <f t="shared" si="99"/>
        <v>10</v>
      </c>
      <c r="BP246" s="8" cm="1">
        <f t="array" ref="BP246">IF(AND(_xlfn.XLOOKUP('Base stats'!E246,Groups!A:A,Groups!AD:AD=0),_xlfn.XLOOKUP('Base stats'!E246,Groups!A:A,Groups!P:P=0)),"No",IF(U246="No",AVERAGE(EXP(-0.57+0.99*LN(C246)),EXP(0.32+0.67*LN(C246)))/IF(_xlfn.XLOOKUP(E246,Groups!A:A,Groups!AD:AD)=1,10,2),(0.7354*C246^0.4078)*2/IF(_xlfn.XLOOKUP(E246,Groups!A:A,Groups!BK:BK)=1,1000,100)/IF(_xlfn.XLOOKUP(E246,Groups!A:A,Groups!AJ:AJ)="Photonozoa",3,1)))</f>
        <v>9.8474473809968058E-2</v>
      </c>
      <c r="BQ246" s="8" t="str">
        <f>IF(W246="No","No",IF(_xlfn.XLOOKUP(E246,Groups!A:A,Groups!BD:BD)=1,(AO246*5%),EXP(0.7354*LN(C246)^0.4078)*2/IF(_xlfn.XLOOKUP(E246,Groups!A:A,Groups!BL:BL)=1,1000,100)/IF(_xlfn.XLOOKUP(E246,Groups!A:A,Groups!AJ:AJ)="Photonozoa",3,1)))</f>
        <v>No</v>
      </c>
      <c r="BR246" s="8" t="str">
        <f>IF(BJ246="No","No",IF(_xlfn.XLOOKUP(E246,Groups!A:A,Groups!BF:BF)=1,(0.0315*C246+2.1825)*2,(0.7354*C246^0.4078)*2)/IF(_xlfn.XLOOKUP(E246,Groups!A:A,Groups!BM:BM)=1,1000,100)/IF(_xlfn.XLOOKUP(E246,Groups!A:A,Groups!AJ:AJ)="Photonozoa",3,1))</f>
        <v>No</v>
      </c>
      <c r="BS246" s="8">
        <f t="shared" si="100"/>
        <v>0.25556346863289503</v>
      </c>
      <c r="BT246" s="8">
        <f t="shared" si="101"/>
        <v>92862.377742663943</v>
      </c>
      <c r="BU246" s="8" t="str">
        <f t="shared" si="102"/>
        <v>No</v>
      </c>
      <c r="BV246" s="8" t="str">
        <f t="shared" si="103"/>
        <v>No</v>
      </c>
      <c r="BW246" s="4">
        <v>0</v>
      </c>
      <c r="BX246" s="4">
        <v>1</v>
      </c>
    </row>
    <row r="247" spans="1:76" s="16" customFormat="1" x14ac:dyDescent="0.25">
      <c r="A247" s="26" t="s">
        <v>1532</v>
      </c>
      <c r="B247" s="6" t="s">
        <v>1829</v>
      </c>
      <c r="C247" s="7">
        <v>25</v>
      </c>
      <c r="D247" s="7" t="s">
        <v>528</v>
      </c>
      <c r="E247" s="7" t="str">
        <f>Groups!$A$72</f>
        <v>BoulderCrab</v>
      </c>
      <c r="F247" s="7">
        <v>30</v>
      </c>
      <c r="G247" s="7">
        <v>4</v>
      </c>
      <c r="H247" s="7">
        <v>25</v>
      </c>
      <c r="I247" s="4">
        <v>1</v>
      </c>
      <c r="J247" s="7">
        <v>2</v>
      </c>
      <c r="K247" s="7" t="s">
        <v>528</v>
      </c>
      <c r="L247" s="7">
        <v>8</v>
      </c>
      <c r="M247" s="7" t="s">
        <v>528</v>
      </c>
      <c r="N247" s="4">
        <v>0</v>
      </c>
      <c r="O247" s="4">
        <v>0</v>
      </c>
      <c r="P247" s="4">
        <v>0</v>
      </c>
      <c r="Q247" s="4">
        <v>0</v>
      </c>
      <c r="R247" s="4" t="s">
        <v>40</v>
      </c>
      <c r="S247" s="7">
        <f>_xlfn.XLOOKUP(B247,[1]TeethAdjusters!$A:$A,[1]BiteAdjusters!$C:$C,1)</f>
        <v>1</v>
      </c>
      <c r="T247" s="7">
        <f>_xlfn.XLOOKUP(B247,[1]TeethAdjusters!$A:$A,[1]TeethAdjusters!$B:$B,1)</f>
        <v>1</v>
      </c>
      <c r="U247" s="7">
        <v>2</v>
      </c>
      <c r="V247" s="7" t="str">
        <f>IF(AT247="No","No",IF(_xlfn.XLOOKUP(E247,Groups!A:A,Groups!AM:AM)=1,MROUND(EXP(0.3582*LN(C247)-0.2221)*T247,0.05),IF(_xlfn.XLOOKUP(E247,Groups!A:A,Groups!AM:AM)=2,MROUND(EXP(0.3582*LN(C247)-0.2221)*T247,0.05),"Need a formula")))</f>
        <v>No</v>
      </c>
      <c r="W247" s="7" t="str">
        <f>IF(_xlfn.XLOOKUP(E247,Groups!A:A,Groups!V:V)&lt;&gt;"No","Need a formula","No")</f>
        <v>No</v>
      </c>
      <c r="X247" s="7" t="s">
        <v>932</v>
      </c>
      <c r="Y247" s="4" t="s">
        <v>1003</v>
      </c>
      <c r="Z247" s="4">
        <v>1</v>
      </c>
      <c r="AA247" s="4">
        <v>0</v>
      </c>
      <c r="AB247" s="4">
        <v>0</v>
      </c>
      <c r="AC247" s="4">
        <v>0</v>
      </c>
      <c r="AD247" s="4">
        <v>0</v>
      </c>
      <c r="AE247" s="4" t="s">
        <v>45</v>
      </c>
      <c r="AF247" s="4" t="s">
        <v>45</v>
      </c>
      <c r="AG247" s="49" t="s">
        <v>45</v>
      </c>
      <c r="AH247" s="4" t="str">
        <f>Animals!$C$238</f>
        <v>&lt;li&gt;AA_BoulderMit&lt;/li&gt;</v>
      </c>
      <c r="AI247" s="4">
        <v>0</v>
      </c>
      <c r="AJ247" s="4">
        <v>0</v>
      </c>
      <c r="AK247" s="4">
        <v>0</v>
      </c>
      <c r="AL247" s="4">
        <v>0</v>
      </c>
      <c r="AM247" s="4">
        <v>1</v>
      </c>
      <c r="AN247" s="44" t="s">
        <v>40</v>
      </c>
      <c r="AO247" s="8">
        <f t="shared" si="89"/>
        <v>8994.6441116448314</v>
      </c>
      <c r="AP247" s="8">
        <f>IFERROR(C247*_xlfn.XLOOKUP(E247,Groups!A:A,Groups!K:K),0.106*C247^0.94)</f>
        <v>8</v>
      </c>
      <c r="AQ247" s="8">
        <f>AP247*10000/(_xlfn.XLOOKUP(E247,Groups!A:A,Groups!J:J)*AO247)</f>
        <v>3.2941414092493009</v>
      </c>
      <c r="AR247" s="8">
        <f t="shared" si="90"/>
        <v>824.67090957260996</v>
      </c>
      <c r="AS247" s="8">
        <f>IF(_xlfn.XLOOKUP(E247,Groups!A:A,Groups!M:M)=1,EXP(0.7444*LN('Base stats'!C247)+6.5696),EXP(0.7927*LN('Base stats'!C247)+4.28))</f>
        <v>926.67495884741118</v>
      </c>
      <c r="AT247" s="8" t="str">
        <f>IF(_xlfn.XLOOKUP(E247,Groups!A:A,Groups!N:N)="No","No",
IF(_xlfn.XLOOKUP(E247,Groups!A:A,Groups!N:N)="Crocodile",EXP(0.8129*LN(C247)+4.6742)*S247,
IF(_xlfn.XLOOKUP(E247,Groups!A:A,Groups!N:N)="Felid",EXP(0.7843*LN(C247)+4.7073)*S247,
IF(_xlfn.XLOOKUP(E247,Groups!A:A,Groups!N:N)="Canid",EXP(0.8367*LN(C247)+4.8763)*S247,
IF(_xlfn.XLOOKUP(E247,Groups!A:A,Groups!N:N)="Pig",EXP(0.3439*LN(C247)+6.8519)*S247,
IF(_xlfn.XLOOKUP(E247,Groups!A:A,Groups!N:N)="Rodent",EXP(0.5625*LN(C247)+4.3006)*S247,
IF(_xlfn.XLOOKUP(E247,Groups!A:A,Groups!N:N)="Primate",EXP(0.7847*LN(C247)+3.4931)*S247,
IF(_xlfn.XLOOKUP(E247,Groups!A:A,Groups!N:N)="MiscCarnivora",EXP(0.7486*LN(C247)+4.2207)*S247,
IF(_xlfn.XLOOKUP(E247,Groups!A:A,Groups!N:N)="Lizard",EXP(0.7733*LN(C247)+5.5303)*S247,
IF(_xlfn.XLOOKUP(E247,Groups!A:A,Groups!N:N)="Snake",50*C247^(2/3)*S247,
IF(_xlfn.XLOOKUP(E247,Groups!A:A,Groups!N:N)="StrongBitingHerbivore",87.1133638856975*C247^(2/3)*S247,
IF(_xlfn.XLOOKUP(E247,Groups!A:A,Groups!N:N)="MiscEctotherms",59.4316884072269*C247^(2/3)*S247,
IF(_xlfn.XLOOKUP(E247,Groups!A:A,Groups!N:N)="StrongBeakBird",0.041*(C247*1000)^1.375*S247,
IF(_xlfn.XLOOKUP(E247,Groups!A:A,Groups!N:N)="Bird",0.118*(C247*1000)^0.692*S247,
IF(_xlfn.XLOOKUP(E247,Groups!A:A,Groups!N:N)="Insect",EXP(0.7444*LN(C247)+6.5696)*S247,
IF(_xlfn.XLOOKUP(E247,Groups!A:A,Groups!N:N)="Theropod",EXP(0.6966*LN(C247)+4.158)*S247,
"No"))))))))))))))))</f>
        <v>No</v>
      </c>
      <c r="AU247" s="8" t="str">
        <f>IF(_xlfn.XLOOKUP(E247,Groups!A:A,Groups!U:U)=3,AS247,IF(_xlfn.XLOOKUP(E247,Groups!A:A,Groups!U:U)=2,AR247,AT247))</f>
        <v>No</v>
      </c>
      <c r="AV247" s="46">
        <f>IFERROR(AVERAGE(_xlfn.XLOOKUP(B247,Animals!B:B,Animals!N:N),_xlfn.XLOOKUP(B247,Animals!B:B,Animals!O:O)),0)</f>
        <v>0.27500000000000002</v>
      </c>
      <c r="AW247" s="8">
        <f>MROUND(40*Animals!AO247*_xlfn.XLOOKUP(AG247,Leathers!$A$2:$A$99,Leathers!$B$2:$B$99,0)+(140*_xlfn.XLOOKUP(B247,Animals!B:B,Animals!AO:AO)*2),5)</f>
        <v>180</v>
      </c>
      <c r="AX247" s="8">
        <f>IFERROR(ROUND(SQRT(V247-1)*IF(_xlfn.XLOOKUP(E247,Groups!A:A,Groups!BF:BF)=0,2,1)*IF(_xlfn.XLOOKUP('Base stats'!E247,Groups!A:A,Groups!O:O)=0,1,0.1),1),0)</f>
        <v>0</v>
      </c>
      <c r="AY247" s="8">
        <f t="shared" si="91"/>
        <v>1</v>
      </c>
      <c r="AZ247" s="8">
        <f t="shared" si="92"/>
        <v>0</v>
      </c>
      <c r="BA247" s="8">
        <f t="shared" si="93"/>
        <v>2.5</v>
      </c>
      <c r="BB247" s="8">
        <f>IF(_xlfn.XLOOKUP(E247,Groups!A:A,Groups!N:N)="Insect",BD247*2.5,IFERROR(AVERAGE(BD247,AT247/9.81/IF(OR(_xlfn.XLOOKUP(E247,Groups!A:A,Groups!N:N)="Pig",_xlfn.XLOOKUP(E247,Groups!A:A,Groups!N:N)="StrongBitingHerbivore"),20,25))*C247^-0.135,BD247))</f>
        <v>0.44394874596231243</v>
      </c>
      <c r="BC247" s="8" t="str">
        <f>IF(W247="No","No",IF(_xlfn.XLOOKUP(E247,Groups!A:A,Groups!U:U)=1,'Base stats'!BB247,IF(OR(_xlfn.XLOOKUP(E247,Groups!A:A,Groups!BD:BD)=1,_xlfn.XLOOKUP(E247,Groups!A:A,Groups!U:U)=2),BD247,IF(_xlfn.XLOOKUP(B247,Animals!B:B,Animals!AO:AO)&gt;4,AVERAGE(BD247,BF247),BF247))))</f>
        <v>No</v>
      </c>
      <c r="BD247" s="8">
        <f t="shared" si="94"/>
        <v>0.44394874596231243</v>
      </c>
      <c r="BE247" s="8">
        <f>IF(_xlfn.XLOOKUP(E247,Groups!A:A,Groups!BE:BE)=1,(0.048*C247^1.01)+(0.071*C247^1.03),0.071*C247^1.03)/IF(_xlfn.XLOOKUP(E247,Groups!A:A,Groups!M:M)=1,0.85,IF(OR(_xlfn.XLOOKUP(B247,Animals!B:B,Animals!AO:AO)&gt;4,_xlfn.XLOOKUP(E247,Groups!A:A,Groups!BC:BC)=1),1.7,1))*C247^-0.25</f>
        <v>0.51428355119809632</v>
      </c>
      <c r="BF247" s="8">
        <f>(0.048*C247^1.01)/IF(_xlfn.XLOOKUP(E247,Groups!A:A,Groups!M:M)=1,0.25,0.8)*C247^-0.25</f>
        <v>0.69276455162902584</v>
      </c>
      <c r="BG247" s="8">
        <f>EXP(1.076*LN(AR247)-4.5397)*IF(_xlfn.XLOOKUP(E247,Groups!A:A,Groups!BC:BC)=1,1.25,IF(_xlfn.XLOOKUP(E247,Groups!A:A,Groups!BD:BD)=1,3.5,2.5))</f>
        <v>18.334174469833012</v>
      </c>
      <c r="BH247" s="8">
        <f>EXP(1.076*LN(AS247)-4.5397)*IF(_xlfn.XLOOKUP(E247,Groups!A:A,Groups!M:M)=1,0.8,IF(_xlfn.XLOOKUP(E247,Groups!A:A,Groups!BC:BC)=1,1.3,3))</f>
        <v>21.616760193334102</v>
      </c>
      <c r="BI247" s="8" t="str">
        <f>IF(W247="No","No",IF(_xlfn.XLOOKUP(E247,Groups!A:A,Groups!U:U)=1,'Base stats'!BJ247,IF(OR(_xlfn.XLOOKUP(E247,Groups!A:A,Groups!BD:BD)=1,_xlfn.XLOOKUP(E247,Groups!A:A,Groups!U:U)=2),BG247,BH247))*1.2)</f>
        <v>No</v>
      </c>
      <c r="BJ247" s="8" t="str">
        <f>IFERROR(EXP(1.076*LN(AT247)-4.5397)*IF(_xlfn.XLOOKUP(E247,Groups!A:A,Groups!N:N)="Insect",1,IF(OR(_xlfn.XLOOKUP(E247,Groups!A:A,Groups!N:N)="Pig",_xlfn.XLOOKUP(E247,Groups!A:A,Groups!N:N)="StrongBitingHerbivore"),3.5,3.75)),"No")</f>
        <v>No</v>
      </c>
      <c r="BK247" s="8">
        <f t="shared" si="95"/>
        <v>9</v>
      </c>
      <c r="BL247" s="8">
        <f t="shared" si="96"/>
        <v>9</v>
      </c>
      <c r="BM247" s="8" t="str">
        <f t="shared" si="97"/>
        <v>No</v>
      </c>
      <c r="BN247" s="8" t="str">
        <f t="shared" si="98"/>
        <v>No</v>
      </c>
      <c r="BO247" s="8">
        <f t="shared" si="99"/>
        <v>7</v>
      </c>
      <c r="BP247" s="8" cm="1">
        <f t="array" ref="BP247">IF(AND(_xlfn.XLOOKUP('Base stats'!E247,Groups!A:A,Groups!AD:AD=0),_xlfn.XLOOKUP('Base stats'!E247,Groups!A:A,Groups!P:P=0)),"No",IF(U247="No",AVERAGE(EXP(-0.57+0.99*LN(C247)),EXP(0.32+0.67*LN(C247)))/IF(_xlfn.XLOOKUP(E247,Groups!A:A,Groups!AD:AD)=1,10,2),(0.7354*C247^0.4078)*2/IF(_xlfn.XLOOKUP(E247,Groups!A:A,Groups!BK:BK)=1,1000,100)/IF(_xlfn.XLOOKUP(E247,Groups!A:A,Groups!AJ:AJ)="Photonozoa",3,1)))</f>
        <v>5.4655460365074489E-3</v>
      </c>
      <c r="BQ247" s="8" t="str">
        <f>IF(W247="No","No",IF(_xlfn.XLOOKUP(E247,Groups!A:A,Groups!BD:BD)=1,(AO247*5%),EXP(0.7354*LN(C247)^0.4078)*2/IF(_xlfn.XLOOKUP(E247,Groups!A:A,Groups!BL:BL)=1,1000,100)/IF(_xlfn.XLOOKUP(E247,Groups!A:A,Groups!AJ:AJ)="Photonozoa",3,1)))</f>
        <v>No</v>
      </c>
      <c r="BR247" s="8" t="str">
        <f>IF(BJ247="No","No",IF(_xlfn.XLOOKUP(E247,Groups!A:A,Groups!BF:BF)=1,(0.0315*C247+2.1825)*2,(0.7354*C247^0.4078)*2)/IF(_xlfn.XLOOKUP(E247,Groups!A:A,Groups!BM:BM)=1,1000,100)/IF(_xlfn.XLOOKUP(E247,Groups!A:A,Groups!AJ:AJ)="Photonozoa",3,1))</f>
        <v>No</v>
      </c>
      <c r="BS247" s="8">
        <f t="shared" si="100"/>
        <v>4.0766870244697828E-2</v>
      </c>
      <c r="BT247" s="8">
        <f t="shared" si="101"/>
        <v>3955.0961695215137</v>
      </c>
      <c r="BU247" s="8" t="str">
        <f t="shared" si="102"/>
        <v>No</v>
      </c>
      <c r="BV247" s="8" t="str">
        <f t="shared" si="103"/>
        <v>No</v>
      </c>
      <c r="BW247" s="4">
        <v>0</v>
      </c>
      <c r="BX247" s="4">
        <v>1</v>
      </c>
    </row>
    <row r="248" spans="1:76" s="16" customFormat="1" x14ac:dyDescent="0.25">
      <c r="A248" s="26" t="s">
        <v>1382</v>
      </c>
      <c r="B248" s="6" t="s">
        <v>1831</v>
      </c>
      <c r="C248" s="7">
        <v>4500</v>
      </c>
      <c r="D248" s="7" t="s">
        <v>528</v>
      </c>
      <c r="E248" s="7" t="str">
        <f>Groups!$A$72</f>
        <v>BoulderCrab</v>
      </c>
      <c r="F248" s="7">
        <v>300</v>
      </c>
      <c r="G248" s="7">
        <v>15</v>
      </c>
      <c r="H248" s="7">
        <v>100</v>
      </c>
      <c r="I248" s="4">
        <v>1</v>
      </c>
      <c r="J248" s="7">
        <v>2</v>
      </c>
      <c r="K248" s="7" t="s">
        <v>528</v>
      </c>
      <c r="L248" s="7">
        <v>8</v>
      </c>
      <c r="M248" s="7" t="s">
        <v>528</v>
      </c>
      <c r="N248" s="4">
        <v>0</v>
      </c>
      <c r="O248" s="4">
        <v>0</v>
      </c>
      <c r="P248" s="4">
        <v>0</v>
      </c>
      <c r="Q248" s="4">
        <v>0</v>
      </c>
      <c r="R248" s="4" t="s">
        <v>40</v>
      </c>
      <c r="S248" s="7">
        <f>_xlfn.XLOOKUP(B248,[1]TeethAdjusters!$A:$A,[1]BiteAdjusters!$C:$C,1)</f>
        <v>1</v>
      </c>
      <c r="T248" s="7">
        <f>_xlfn.XLOOKUP(B248,[1]TeethAdjusters!$A:$A,[1]TeethAdjusters!$B:$B,1)</f>
        <v>1</v>
      </c>
      <c r="U248" s="7">
        <v>6</v>
      </c>
      <c r="V248" s="7" t="str">
        <f>IF(AT248="No","No",IF(_xlfn.XLOOKUP(E248,Groups!A:A,Groups!AM:AM)=1,MROUND(EXP(0.3582*LN(C248)-0.2221)*T248,0.05),IF(_xlfn.XLOOKUP(E248,Groups!A:A,Groups!AM:AM)=2,MROUND(EXP(0.3582*LN(C248)-0.2221)*T248,0.05),"Need a formula")))</f>
        <v>No</v>
      </c>
      <c r="W248" s="7" t="str">
        <f>IF(_xlfn.XLOOKUP(E248,Groups!A:A,Groups!V:V)&lt;&gt;"No","Need a formula","No")</f>
        <v>No</v>
      </c>
      <c r="X248" s="7" t="s">
        <v>932</v>
      </c>
      <c r="Y248" s="4" t="s">
        <v>1003</v>
      </c>
      <c r="Z248" s="4">
        <v>1</v>
      </c>
      <c r="AA248" s="4">
        <v>0</v>
      </c>
      <c r="AB248" s="4">
        <v>0</v>
      </c>
      <c r="AC248" s="4">
        <v>0</v>
      </c>
      <c r="AD248" s="4">
        <v>0</v>
      </c>
      <c r="AE248" s="4" t="s">
        <v>45</v>
      </c>
      <c r="AF248" s="4" t="s">
        <v>45</v>
      </c>
      <c r="AG248" s="49" t="s">
        <v>45</v>
      </c>
      <c r="AH248" s="4" t="s">
        <v>45</v>
      </c>
      <c r="AI248" s="4">
        <v>0</v>
      </c>
      <c r="AJ248" s="4">
        <v>0</v>
      </c>
      <c r="AK248" s="4">
        <v>0</v>
      </c>
      <c r="AL248" s="4">
        <v>0</v>
      </c>
      <c r="AM248" s="4">
        <v>1</v>
      </c>
      <c r="AN248" s="44" t="s">
        <v>40</v>
      </c>
      <c r="AO248" s="8">
        <f t="shared" si="89"/>
        <v>262972.97087744245</v>
      </c>
      <c r="AP248" s="8">
        <f>IFERROR(C248*_xlfn.XLOOKUP(E248,Groups!A:A,Groups!K:K),0.106*C248^0.94)</f>
        <v>1440</v>
      </c>
      <c r="AQ248" s="8">
        <f>AP248*10000/(_xlfn.XLOOKUP(E248,Groups!A:A,Groups!J:J)*AO248)</f>
        <v>20.280918284255581</v>
      </c>
      <c r="AR248" s="8">
        <f t="shared" si="90"/>
        <v>66268.838703367117</v>
      </c>
      <c r="AS248" s="8">
        <f>IF(_xlfn.XLOOKUP(E248,Groups!A:A,Groups!M:M)=1,EXP(0.7444*LN('Base stats'!C248)+6.5696),EXP(0.7927*LN('Base stats'!C248)+4.28))</f>
        <v>56843.648100459453</v>
      </c>
      <c r="AT248" s="8" t="str">
        <f>IF(_xlfn.XLOOKUP(E248,Groups!A:A,Groups!N:N)="No","No",
IF(_xlfn.XLOOKUP(E248,Groups!A:A,Groups!N:N)="Crocodile",EXP(0.8129*LN(C248)+4.6742)*S248,
IF(_xlfn.XLOOKUP(E248,Groups!A:A,Groups!N:N)="Felid",EXP(0.7843*LN(C248)+4.7073)*S248,
IF(_xlfn.XLOOKUP(E248,Groups!A:A,Groups!N:N)="Canid",EXP(0.8367*LN(C248)+4.8763)*S248,
IF(_xlfn.XLOOKUP(E248,Groups!A:A,Groups!N:N)="Pig",EXP(0.3439*LN(C248)+6.8519)*S248,
IF(_xlfn.XLOOKUP(E248,Groups!A:A,Groups!N:N)="Rodent",EXP(0.5625*LN(C248)+4.3006)*S248,
IF(_xlfn.XLOOKUP(E248,Groups!A:A,Groups!N:N)="Primate",EXP(0.7847*LN(C248)+3.4931)*S248,
IF(_xlfn.XLOOKUP(E248,Groups!A:A,Groups!N:N)="MiscCarnivora",EXP(0.7486*LN(C248)+4.2207)*S248,
IF(_xlfn.XLOOKUP(E248,Groups!A:A,Groups!N:N)="Lizard",EXP(0.7733*LN(C248)+5.5303)*S248,
IF(_xlfn.XLOOKUP(E248,Groups!A:A,Groups!N:N)="Snake",50*C248^(2/3)*S248,
IF(_xlfn.XLOOKUP(E248,Groups!A:A,Groups!N:N)="StrongBitingHerbivore",87.1133638856975*C248^(2/3)*S248,
IF(_xlfn.XLOOKUP(E248,Groups!A:A,Groups!N:N)="MiscEctotherms",59.4316884072269*C248^(2/3)*S248,
IF(_xlfn.XLOOKUP(E248,Groups!A:A,Groups!N:N)="StrongBeakBird",0.041*(C248*1000)^1.375*S248,
IF(_xlfn.XLOOKUP(E248,Groups!A:A,Groups!N:N)="Bird",0.118*(C248*1000)^0.692*S248,
IF(_xlfn.XLOOKUP(E248,Groups!A:A,Groups!N:N)="Insect",EXP(0.7444*LN(C248)+6.5696)*S248,
IF(_xlfn.XLOOKUP(E248,Groups!A:A,Groups!N:N)="Theropod",EXP(0.6966*LN(C248)+4.158)*S248,
"No"))))))))))))))))</f>
        <v>No</v>
      </c>
      <c r="AU248" s="8" t="str">
        <f>IF(_xlfn.XLOOKUP(E248,Groups!A:A,Groups!U:U)=3,AS248,IF(_xlfn.XLOOKUP(E248,Groups!A:A,Groups!U:U)=2,AR248,AT248))</f>
        <v>No</v>
      </c>
      <c r="AV248" s="46">
        <f>IFERROR(AVERAGE(_xlfn.XLOOKUP(B248,Animals!B:B,Animals!N:N),_xlfn.XLOOKUP(B248,Animals!B:B,Animals!O:O)),0)</f>
        <v>0.52500000000000002</v>
      </c>
      <c r="AW248" s="8">
        <f>MROUND(40*Animals!AO248*_xlfn.XLOOKUP(AG248,Leathers!$A$2:$A$99,Leathers!$B$2:$B$99,0)+(140*_xlfn.XLOOKUP(B248,Animals!B:B,Animals!AO:AO)*2),5)</f>
        <v>1400</v>
      </c>
      <c r="AX248" s="8">
        <f>IFERROR(ROUND(SQRT(V248-1)*IF(_xlfn.XLOOKUP(E248,Groups!A:A,Groups!BF:BF)=0,2,1)*IF(_xlfn.XLOOKUP('Base stats'!E248,Groups!A:A,Groups!O:O)=0,1,0.1),1),0)</f>
        <v>0</v>
      </c>
      <c r="AY248" s="8">
        <f t="shared" si="91"/>
        <v>2.2000000000000002</v>
      </c>
      <c r="AZ248" s="8">
        <f t="shared" si="92"/>
        <v>0</v>
      </c>
      <c r="BA248" s="8">
        <f t="shared" si="93"/>
        <v>16.3</v>
      </c>
      <c r="BB248" s="8">
        <f>IF(_xlfn.XLOOKUP(E248,Groups!A:A,Groups!N:N)="Insect",BD248*2.5,IFERROR(AVERAGE(BD248,AT248/9.81/IF(OR(_xlfn.XLOOKUP(E248,Groups!A:A,Groups!N:N)="Pig",_xlfn.XLOOKUP(E248,Groups!A:A,Groups!N:N)="StrongBitingHerbivore"),20,25))*C248^-0.135,BD248))</f>
        <v>22.274517350066827</v>
      </c>
      <c r="BC248" s="8" t="str">
        <f>IF(W248="No","No",IF(_xlfn.XLOOKUP(E248,Groups!A:A,Groups!U:U)=1,'Base stats'!BB248,IF(OR(_xlfn.XLOOKUP(E248,Groups!A:A,Groups!BD:BD)=1,_xlfn.XLOOKUP(E248,Groups!A:A,Groups!U:U)=2),BD248,IF(_xlfn.XLOOKUP(B248,Animals!B:B,Animals!AO:AO)&gt;4,AVERAGE(BD248,BF248),BF248))))</f>
        <v>No</v>
      </c>
      <c r="BD248" s="8">
        <f t="shared" si="94"/>
        <v>22.274517350066827</v>
      </c>
      <c r="BE248" s="8">
        <f>IF(_xlfn.XLOOKUP(E248,Groups!A:A,Groups!BE:BE)=1,(0.048*C248^1.01)+(0.071*C248^1.03),0.071*C248^1.03)/IF(_xlfn.XLOOKUP(E248,Groups!A:A,Groups!M:M)=1,0.85,IF(OR(_xlfn.XLOOKUP(B248,Animals!B:B,Animals!AO:AO)&gt;4,_xlfn.XLOOKUP(E248,Groups!A:A,Groups!BC:BC)=1),1.7,1))*C248^-0.25</f>
        <v>29.533518364547621</v>
      </c>
      <c r="BF248" s="8">
        <f>(0.048*C248^1.01)/IF(_xlfn.XLOOKUP(E248,Groups!A:A,Groups!M:M)=1,0.25,0.8)*C248^-0.25</f>
        <v>35.858553029401619</v>
      </c>
      <c r="BG248" s="8">
        <f>EXP(1.076*LN(AR248)-4.5397)*IF(_xlfn.XLOOKUP(E248,Groups!A:A,Groups!BC:BC)=1,1.25,IF(_xlfn.XLOOKUP(E248,Groups!A:A,Groups!BD:BD)=1,3.5,2.5))</f>
        <v>2056.2325274309005</v>
      </c>
      <c r="BH248" s="8">
        <f>EXP(1.076*LN(AS248)-4.5397)*IF(_xlfn.XLOOKUP(E248,Groups!A:A,Groups!M:M)=1,0.8,IF(_xlfn.XLOOKUP(E248,Groups!A:A,Groups!BC:BC)=1,1.3,3))</f>
        <v>1813.0695438509977</v>
      </c>
      <c r="BI248" s="8" t="str">
        <f>IF(W248="No","No",IF(_xlfn.XLOOKUP(E248,Groups!A:A,Groups!U:U)=1,'Base stats'!BJ248,IF(OR(_xlfn.XLOOKUP(E248,Groups!A:A,Groups!BD:BD)=1,_xlfn.XLOOKUP(E248,Groups!A:A,Groups!U:U)=2),BG248,BH248))*1.2)</f>
        <v>No</v>
      </c>
      <c r="BJ248" s="8" t="str">
        <f>IFERROR(EXP(1.076*LN(AT248)-4.5397)*IF(_xlfn.XLOOKUP(E248,Groups!A:A,Groups!N:N)="Insect",1,IF(OR(_xlfn.XLOOKUP(E248,Groups!A:A,Groups!N:N)="Pig",_xlfn.XLOOKUP(E248,Groups!A:A,Groups!N:N)="StrongBitingHerbivore"),3.5,3.75)),"No")</f>
        <v>No</v>
      </c>
      <c r="BK248" s="8">
        <f t="shared" si="95"/>
        <v>13</v>
      </c>
      <c r="BL248" s="8">
        <f t="shared" si="96"/>
        <v>11</v>
      </c>
      <c r="BM248" s="8" t="str">
        <f t="shared" si="97"/>
        <v>No</v>
      </c>
      <c r="BN248" s="8" t="str">
        <f t="shared" si="98"/>
        <v>No</v>
      </c>
      <c r="BO248" s="8">
        <f t="shared" si="99"/>
        <v>10</v>
      </c>
      <c r="BP248" s="8" cm="1">
        <f t="array" ref="BP248">IF(AND(_xlfn.XLOOKUP('Base stats'!E248,Groups!A:A,Groups!AD:AD=0),_xlfn.XLOOKUP('Base stats'!E248,Groups!A:A,Groups!P:P=0)),"No",IF(U248="No",AVERAGE(EXP(-0.57+0.99*LN(C248)),EXP(0.32+0.67*LN(C248)))/IF(_xlfn.XLOOKUP(E248,Groups!A:A,Groups!AD:AD)=1,10,2),(0.7354*C248^0.4078)*2/IF(_xlfn.XLOOKUP(E248,Groups!A:A,Groups!BK:BK)=1,1000,100)/IF(_xlfn.XLOOKUP(E248,Groups!A:A,Groups!AJ:AJ)="Photonozoa",3,1)))</f>
        <v>4.5429053060041399E-2</v>
      </c>
      <c r="BQ248" s="8" t="str">
        <f>IF(W248="No","No",IF(_xlfn.XLOOKUP(E248,Groups!A:A,Groups!BD:BD)=1,(AO248*5%),EXP(0.7354*LN(C248)^0.4078)*2/IF(_xlfn.XLOOKUP(E248,Groups!A:A,Groups!BL:BL)=1,1000,100)/IF(_xlfn.XLOOKUP(E248,Groups!A:A,Groups!AJ:AJ)="Photonozoa",3,1)))</f>
        <v>No</v>
      </c>
      <c r="BR248" s="8" t="str">
        <f>IF(BJ248="No","No",IF(_xlfn.XLOOKUP(E248,Groups!A:A,Groups!BF:BF)=1,(0.0315*C248+2.1825)*2,(0.7354*C248^0.4078)*2)/IF(_xlfn.XLOOKUP(E248,Groups!A:A,Groups!BM:BM)=1,1000,100)/IF(_xlfn.XLOOKUP(E248,Groups!A:A,Groups!AJ:AJ)="Photonozoa",3,1))</f>
        <v>No</v>
      </c>
      <c r="BS248" s="8">
        <f t="shared" si="100"/>
        <v>0.15638356448345406</v>
      </c>
      <c r="BT248" s="8">
        <f t="shared" si="101"/>
        <v>39909.912748010633</v>
      </c>
      <c r="BU248" s="8" t="str">
        <f t="shared" si="102"/>
        <v>No</v>
      </c>
      <c r="BV248" s="8" t="str">
        <f t="shared" si="103"/>
        <v>No</v>
      </c>
      <c r="BW248" s="4">
        <v>0</v>
      </c>
      <c r="BX248" s="4">
        <v>1</v>
      </c>
    </row>
    <row r="249" spans="1:76" s="16" customFormat="1" x14ac:dyDescent="0.25">
      <c r="A249" s="26" t="s">
        <v>1402</v>
      </c>
      <c r="B249" s="6" t="s">
        <v>1626</v>
      </c>
      <c r="C249" s="7">
        <v>15</v>
      </c>
      <c r="D249" s="7" t="s">
        <v>528</v>
      </c>
      <c r="E249" s="7" t="str">
        <f>Groups!$A$72</f>
        <v>BoulderCrab</v>
      </c>
      <c r="F249" s="7">
        <v>100</v>
      </c>
      <c r="G249" s="7">
        <v>3</v>
      </c>
      <c r="H249" s="7">
        <v>70</v>
      </c>
      <c r="I249" s="4">
        <v>1</v>
      </c>
      <c r="J249" s="7">
        <v>2</v>
      </c>
      <c r="K249" s="7" t="s">
        <v>528</v>
      </c>
      <c r="L249" s="7">
        <v>8</v>
      </c>
      <c r="M249" s="7" t="s">
        <v>528</v>
      </c>
      <c r="N249" s="4">
        <v>0</v>
      </c>
      <c r="O249" s="4">
        <v>0</v>
      </c>
      <c r="P249" s="4">
        <v>0</v>
      </c>
      <c r="Q249" s="4">
        <v>0</v>
      </c>
      <c r="R249" s="4" t="s">
        <v>40</v>
      </c>
      <c r="S249" s="7">
        <f>_xlfn.XLOOKUP(B249,[1]TeethAdjusters!$A:$A,[1]BiteAdjusters!$C:$C,1)</f>
        <v>1</v>
      </c>
      <c r="T249" s="7">
        <f>_xlfn.XLOOKUP(B249,[1]TeethAdjusters!$A:$A,[1]TeethAdjusters!$B:$B,1)</f>
        <v>1</v>
      </c>
      <c r="U249" s="7">
        <v>3</v>
      </c>
      <c r="V249" s="7" t="str">
        <f>IF(AT249="No","No",IF(_xlfn.XLOOKUP(E249,Groups!A:A,Groups!AM:AM)=1,MROUND(EXP(0.3582*LN(C249)-0.2221)*T249,0.05),IF(_xlfn.XLOOKUP(E249,Groups!A:A,Groups!AM:AM)=2,MROUND(EXP(0.3582*LN(C249)-0.2221)*T249,0.05),"Need a formula")))</f>
        <v>No</v>
      </c>
      <c r="W249" s="7" t="str">
        <f>IF(_xlfn.XLOOKUP(E249,Groups!A:A,Groups!V:V)&lt;&gt;"No","Need a formula","No")</f>
        <v>No</v>
      </c>
      <c r="X249" s="7" t="s">
        <v>932</v>
      </c>
      <c r="Y249" s="4" t="s">
        <v>1003</v>
      </c>
      <c r="Z249" s="4">
        <v>1</v>
      </c>
      <c r="AA249" s="4">
        <v>0</v>
      </c>
      <c r="AB249" s="4">
        <v>0</v>
      </c>
      <c r="AC249" s="4">
        <v>0</v>
      </c>
      <c r="AD249" s="4">
        <v>0</v>
      </c>
      <c r="AE249" s="4" t="s">
        <v>45</v>
      </c>
      <c r="AF249" s="4" t="s">
        <v>45</v>
      </c>
      <c r="AG249" s="49" t="s">
        <v>45</v>
      </c>
      <c r="AH249" s="4" t="str">
        <f>Animals!$C$238</f>
        <v>&lt;li&gt;AA_BoulderMit&lt;/li&gt;</v>
      </c>
      <c r="AI249" s="4">
        <v>0</v>
      </c>
      <c r="AJ249" s="4">
        <v>0</v>
      </c>
      <c r="AK249" s="4">
        <v>0</v>
      </c>
      <c r="AL249" s="4">
        <v>0</v>
      </c>
      <c r="AM249" s="4">
        <v>1</v>
      </c>
      <c r="AN249" s="44" t="s">
        <v>40</v>
      </c>
      <c r="AO249" s="8">
        <f t="shared" si="89"/>
        <v>6453.306570514339</v>
      </c>
      <c r="AP249" s="8">
        <f>IFERROR(C249*_xlfn.XLOOKUP(E249,Groups!A:A,Groups!K:K),0.106*C249^0.94)</f>
        <v>4.8</v>
      </c>
      <c r="AQ249" s="8">
        <f>AP249*10000/(_xlfn.XLOOKUP(E249,Groups!A:A,Groups!J:J)*AO249)</f>
        <v>2.7548323612899206</v>
      </c>
      <c r="AR249" s="8">
        <f t="shared" si="90"/>
        <v>535.65484345622485</v>
      </c>
      <c r="AS249" s="8">
        <f>IF(_xlfn.XLOOKUP(E249,Groups!A:A,Groups!M:M)=1,EXP(0.7444*LN('Base stats'!C249)+6.5696),EXP(0.7927*LN('Base stats'!C249)+4.28))</f>
        <v>618.11306538043016</v>
      </c>
      <c r="AT249" s="8" t="str">
        <f>IF(_xlfn.XLOOKUP(E249,Groups!A:A,Groups!N:N)="No","No",
IF(_xlfn.XLOOKUP(E249,Groups!A:A,Groups!N:N)="Crocodile",EXP(0.8129*LN(C249)+4.6742)*S249,
IF(_xlfn.XLOOKUP(E249,Groups!A:A,Groups!N:N)="Felid",EXP(0.7843*LN(C249)+4.7073)*S249,
IF(_xlfn.XLOOKUP(E249,Groups!A:A,Groups!N:N)="Canid",EXP(0.8367*LN(C249)+4.8763)*S249,
IF(_xlfn.XLOOKUP(E249,Groups!A:A,Groups!N:N)="Pig",EXP(0.3439*LN(C249)+6.8519)*S249,
IF(_xlfn.XLOOKUP(E249,Groups!A:A,Groups!N:N)="Rodent",EXP(0.5625*LN(C249)+4.3006)*S249,
IF(_xlfn.XLOOKUP(E249,Groups!A:A,Groups!N:N)="Primate",EXP(0.7847*LN(C249)+3.4931)*S249,
IF(_xlfn.XLOOKUP(E249,Groups!A:A,Groups!N:N)="MiscCarnivora",EXP(0.7486*LN(C249)+4.2207)*S249,
IF(_xlfn.XLOOKUP(E249,Groups!A:A,Groups!N:N)="Lizard",EXP(0.7733*LN(C249)+5.5303)*S249,
IF(_xlfn.XLOOKUP(E249,Groups!A:A,Groups!N:N)="Snake",50*C249^(2/3)*S249,
IF(_xlfn.XLOOKUP(E249,Groups!A:A,Groups!N:N)="StrongBitingHerbivore",87.1133638856975*C249^(2/3)*S249,
IF(_xlfn.XLOOKUP(E249,Groups!A:A,Groups!N:N)="MiscEctotherms",59.4316884072269*C249^(2/3)*S249,
IF(_xlfn.XLOOKUP(E249,Groups!A:A,Groups!N:N)="StrongBeakBird",0.041*(C249*1000)^1.375*S249,
IF(_xlfn.XLOOKUP(E249,Groups!A:A,Groups!N:N)="Bird",0.118*(C249*1000)^0.692*S249,
IF(_xlfn.XLOOKUP(E249,Groups!A:A,Groups!N:N)="Insect",EXP(0.7444*LN(C249)+6.5696)*S249,
IF(_xlfn.XLOOKUP(E249,Groups!A:A,Groups!N:N)="Theropod",EXP(0.6966*LN(C249)+4.158)*S249,
"No"))))))))))))))))</f>
        <v>No</v>
      </c>
      <c r="AU249" s="8" t="str">
        <f>IF(_xlfn.XLOOKUP(E249,Groups!A:A,Groups!U:U)=3,AS249,IF(_xlfn.XLOOKUP(E249,Groups!A:A,Groups!U:U)=2,AR249,AT249))</f>
        <v>No</v>
      </c>
      <c r="AV249" s="46">
        <f>IFERROR(AVERAGE(_xlfn.XLOOKUP(B249,Animals!B:B,Animals!N:N),_xlfn.XLOOKUP(B249,Animals!B:B,Animals!O:O)),0)</f>
        <v>0.22500000000000001</v>
      </c>
      <c r="AW249" s="8">
        <f>MROUND(40*Animals!AO249*_xlfn.XLOOKUP(AG249,Leathers!$A$2:$A$99,Leathers!$B$2:$B$99,0)+(140*_xlfn.XLOOKUP(B249,Animals!B:B,Animals!AO:AO)*2),5)</f>
        <v>140</v>
      </c>
      <c r="AX249" s="8">
        <f>IFERROR(ROUND(SQRT(V249-1)*IF(_xlfn.XLOOKUP(E249,Groups!A:A,Groups!BF:BF)=0,2,1)*IF(_xlfn.XLOOKUP('Base stats'!E249,Groups!A:A,Groups!O:O)=0,1,0.1),1),0)</f>
        <v>0</v>
      </c>
      <c r="AY249" s="8">
        <f t="shared" si="91"/>
        <v>1.4</v>
      </c>
      <c r="AZ249" s="8">
        <f t="shared" si="92"/>
        <v>0</v>
      </c>
      <c r="BA249" s="8">
        <f t="shared" si="93"/>
        <v>2</v>
      </c>
      <c r="BB249" s="8">
        <f>IF(_xlfn.XLOOKUP(E249,Groups!A:A,Groups!N:N)="Insect",BD249*2.5,IFERROR(AVERAGE(BD249,AT249/9.81/IF(OR(_xlfn.XLOOKUP(E249,Groups!A:A,Groups!N:N)="Pig",_xlfn.XLOOKUP(E249,Groups!A:A,Groups!N:N)="StrongBitingHerbivore"),20,25))*C249^-0.135,BD249))</f>
        <v>0.30203611563721933</v>
      </c>
      <c r="BC249" s="8" t="str">
        <f>IF(W249="No","No",IF(_xlfn.XLOOKUP(E249,Groups!A:A,Groups!U:U)=1,'Base stats'!BB249,IF(OR(_xlfn.XLOOKUP(E249,Groups!A:A,Groups!BD:BD)=1,_xlfn.XLOOKUP(E249,Groups!A:A,Groups!U:U)=2),BD249,IF(_xlfn.XLOOKUP(B249,Animals!B:B,Animals!AO:AO)&gt;4,AVERAGE(BD249,BF249),BF249))))</f>
        <v>No</v>
      </c>
      <c r="BD249" s="8">
        <f t="shared" si="94"/>
        <v>0.30203611563721933</v>
      </c>
      <c r="BE249" s="8">
        <f>IF(_xlfn.XLOOKUP(E249,Groups!A:A,Groups!BE:BE)=1,(0.048*C249^1.01)+(0.071*C249^1.03),0.071*C249^1.03)/IF(_xlfn.XLOOKUP(E249,Groups!A:A,Groups!M:M)=1,0.85,IF(OR(_xlfn.XLOOKUP(B249,Animals!B:B,Animals!AO:AO)&gt;4,_xlfn.XLOOKUP(E249,Groups!A:A,Groups!BC:BC)=1),1.7,1))*C249^-0.25</f>
        <v>0.34527140290058561</v>
      </c>
      <c r="BF249" s="8">
        <f>(0.048*C249^1.01)/IF(_xlfn.XLOOKUP(E249,Groups!A:A,Groups!M:M)=1,0.25,0.8)*C249^-0.25</f>
        <v>0.46987312669454345</v>
      </c>
      <c r="BG249" s="8">
        <f>EXP(1.076*LN(AR249)-4.5397)*IF(_xlfn.XLOOKUP(E249,Groups!A:A,Groups!BC:BC)=1,1.25,IF(_xlfn.XLOOKUP(E249,Groups!A:A,Groups!BD:BD)=1,3.5,2.5))</f>
        <v>11.524541402552655</v>
      </c>
      <c r="BH249" s="8">
        <f>EXP(1.076*LN(AS249)-4.5397)*IF(_xlfn.XLOOKUP(E249,Groups!A:A,Groups!M:M)=1,0.8,IF(_xlfn.XLOOKUP(E249,Groups!A:A,Groups!BC:BC)=1,1.3,3))</f>
        <v>13.981886701053329</v>
      </c>
      <c r="BI249" s="8" t="str">
        <f>IF(W249="No","No",IF(_xlfn.XLOOKUP(E249,Groups!A:A,Groups!U:U)=1,'Base stats'!BJ249,IF(OR(_xlfn.XLOOKUP(E249,Groups!A:A,Groups!BD:BD)=1,_xlfn.XLOOKUP(E249,Groups!A:A,Groups!U:U)=2),BG249,BH249))*1.2)</f>
        <v>No</v>
      </c>
      <c r="BJ249" s="8" t="str">
        <f>IFERROR(EXP(1.076*LN(AT249)-4.5397)*IF(_xlfn.XLOOKUP(E249,Groups!A:A,Groups!N:N)="Insect",1,IF(OR(_xlfn.XLOOKUP(E249,Groups!A:A,Groups!N:N)="Pig",_xlfn.XLOOKUP(E249,Groups!A:A,Groups!N:N)="StrongBitingHerbivore"),3.5,3.75)),"No")</f>
        <v>No</v>
      </c>
      <c r="BK249" s="8">
        <f t="shared" si="95"/>
        <v>8</v>
      </c>
      <c r="BL249" s="8">
        <f t="shared" si="96"/>
        <v>8</v>
      </c>
      <c r="BM249" s="8" t="str">
        <f t="shared" si="97"/>
        <v>No</v>
      </c>
      <c r="BN249" s="8" t="str">
        <f t="shared" si="98"/>
        <v>No</v>
      </c>
      <c r="BO249" s="8">
        <f t="shared" si="99"/>
        <v>7</v>
      </c>
      <c r="BP249" s="8" cm="1">
        <f t="array" ref="BP249">IF(AND(_xlfn.XLOOKUP('Base stats'!E249,Groups!A:A,Groups!AD:AD=0),_xlfn.XLOOKUP('Base stats'!E249,Groups!A:A,Groups!P:P=0)),"No",IF(U249="No",AVERAGE(EXP(-0.57+0.99*LN(C249)),EXP(0.32+0.67*LN(C249)))/IF(_xlfn.XLOOKUP(E249,Groups!A:A,Groups!AD:AD)=1,10,2),(0.7354*C249^0.4078)*2/IF(_xlfn.XLOOKUP(E249,Groups!A:A,Groups!BK:BK)=1,1000,100)/IF(_xlfn.XLOOKUP(E249,Groups!A:A,Groups!AJ:AJ)="Photonozoa",3,1)))</f>
        <v>4.4377582152222601E-3</v>
      </c>
      <c r="BQ249" s="8" t="str">
        <f>IF(W249="No","No",IF(_xlfn.XLOOKUP(E249,Groups!A:A,Groups!BD:BD)=1,(AO249*5%),EXP(0.7354*LN(C249)^0.4078)*2/IF(_xlfn.XLOOKUP(E249,Groups!A:A,Groups!BL:BL)=1,1000,100)/IF(_xlfn.XLOOKUP(E249,Groups!A:A,Groups!AJ:AJ)="Photonozoa",3,1)))</f>
        <v>No</v>
      </c>
      <c r="BR249" s="8" t="str">
        <f>IF(BJ249="No","No",IF(_xlfn.XLOOKUP(E249,Groups!A:A,Groups!BF:BF)=1,(0.0315*C249+2.1825)*2,(0.7354*C249^0.4078)*2)/IF(_xlfn.XLOOKUP(E249,Groups!A:A,Groups!BM:BM)=1,1000,100)/IF(_xlfn.XLOOKUP(E249,Groups!A:A,Groups!AJ:AJ)="Photonozoa",3,1))</f>
        <v>No</v>
      </c>
      <c r="BS249" s="8">
        <f t="shared" si="100"/>
        <v>3.5716702055374784E-2</v>
      </c>
      <c r="BT249" s="8">
        <f t="shared" si="101"/>
        <v>3150.6643721807773</v>
      </c>
      <c r="BU249" s="8" t="str">
        <f t="shared" si="102"/>
        <v>No</v>
      </c>
      <c r="BV249" s="8" t="str">
        <f t="shared" si="103"/>
        <v>No</v>
      </c>
      <c r="BW249" s="4">
        <v>0</v>
      </c>
      <c r="BX249" s="4">
        <v>1</v>
      </c>
    </row>
    <row r="250" spans="1:76" s="16" customFormat="1" x14ac:dyDescent="0.25">
      <c r="A250" s="26" t="s">
        <v>1586</v>
      </c>
      <c r="B250" s="6" t="s">
        <v>1691</v>
      </c>
      <c r="C250" s="7">
        <v>40</v>
      </c>
      <c r="D250" s="7" t="s">
        <v>528</v>
      </c>
      <c r="E250" s="7" t="str">
        <f>Groups!$A$86</f>
        <v>Slug</v>
      </c>
      <c r="F250" s="7">
        <f t="shared" ref="F250:F255" si="140">ROUND(7.545*(C250*1000)^0.2689,0)</f>
        <v>130</v>
      </c>
      <c r="G250" s="7">
        <v>1.5</v>
      </c>
      <c r="H250" s="7">
        <v>20</v>
      </c>
      <c r="I250" s="4">
        <v>1</v>
      </c>
      <c r="J250" s="7">
        <v>1</v>
      </c>
      <c r="K250" s="7" t="s">
        <v>528</v>
      </c>
      <c r="L250" s="7">
        <v>8</v>
      </c>
      <c r="M250" s="7" t="s">
        <v>528</v>
      </c>
      <c r="N250" s="4">
        <v>0</v>
      </c>
      <c r="O250" s="4">
        <v>0</v>
      </c>
      <c r="P250" s="4">
        <v>0</v>
      </c>
      <c r="Q250" s="4">
        <v>0</v>
      </c>
      <c r="R250" s="4" t="s">
        <v>40</v>
      </c>
      <c r="S250" s="7">
        <f>_xlfn.XLOOKUP(B250,[1]TeethAdjusters!$A:$A,[1]BiteAdjusters!$C:$C,1)</f>
        <v>1</v>
      </c>
      <c r="T250" s="7">
        <f>_xlfn.XLOOKUP(B250,[1]TeethAdjusters!$A:$A,[1]TeethAdjusters!$B:$B,1)</f>
        <v>1</v>
      </c>
      <c r="U250" s="7" t="s">
        <v>45</v>
      </c>
      <c r="V250" s="7">
        <v>2</v>
      </c>
      <c r="W250" s="7" t="str">
        <f>IF(_xlfn.XLOOKUP(E250,Groups!A:A,Groups!V:V)&lt;&gt;"No","Need a formula","No")</f>
        <v>No</v>
      </c>
      <c r="X250" s="7" t="s">
        <v>932</v>
      </c>
      <c r="Y250" s="4" t="s">
        <v>42</v>
      </c>
      <c r="Z250" s="4">
        <v>1</v>
      </c>
      <c r="AA250" s="4">
        <v>0</v>
      </c>
      <c r="AB250" s="4">
        <v>0</v>
      </c>
      <c r="AC250" s="4">
        <v>0</v>
      </c>
      <c r="AD250" s="4">
        <v>0</v>
      </c>
      <c r="AE250" s="4" t="s">
        <v>45</v>
      </c>
      <c r="AF250" s="4" t="s">
        <v>45</v>
      </c>
      <c r="AG250" s="49" t="s">
        <v>45</v>
      </c>
      <c r="AH250" s="4" t="str">
        <f>Animals!$C$238</f>
        <v>&lt;li&gt;AA_BoulderMit&lt;/li&gt;</v>
      </c>
      <c r="AI250" s="4">
        <v>0</v>
      </c>
      <c r="AJ250" s="4">
        <v>0</v>
      </c>
      <c r="AK250" s="4">
        <v>0</v>
      </c>
      <c r="AL250" s="4">
        <v>0</v>
      </c>
      <c r="AM250" s="4">
        <v>1</v>
      </c>
      <c r="AN250" s="44" t="s">
        <v>40</v>
      </c>
      <c r="AO250" s="8">
        <f t="shared" si="89"/>
        <v>12208.490600010842</v>
      </c>
      <c r="AP250" s="8">
        <f>IFERROR(C250*_xlfn.XLOOKUP(E250,Groups!A:A,Groups!K:K),0.106*C250^0.94)</f>
        <v>3.398147743995128</v>
      </c>
      <c r="AQ250" s="8">
        <f>AP250*10000/(_xlfn.XLOOKUP(E250,Groups!A:A,Groups!J:J)*AO250)</f>
        <v>2.5536053880464471</v>
      </c>
      <c r="AR250" s="8">
        <f t="shared" si="90"/>
        <v>1226.5939672257964</v>
      </c>
      <c r="AS250" s="8">
        <f>IF(_xlfn.XLOOKUP(E250,Groups!A:A,Groups!M:M)=1,EXP(0.7444*LN('Base stats'!C250)+6.5696),EXP(0.7927*LN('Base stats'!C250)+4.28))</f>
        <v>1345.0342323536652</v>
      </c>
      <c r="AT250" s="8">
        <f>IF(_xlfn.XLOOKUP(E250,Groups!A:A,Groups!N:N)="No","No",
IF(_xlfn.XLOOKUP(E250,Groups!A:A,Groups!N:N)="Crocodile",EXP(0.8129*LN(C250)+4.6742)*S250,
IF(_xlfn.XLOOKUP(E250,Groups!A:A,Groups!N:N)="Felid",EXP(0.7843*LN(C250)+4.7073)*S250,
IF(_xlfn.XLOOKUP(E250,Groups!A:A,Groups!N:N)="Canid",EXP(0.8367*LN(C250)+4.8763)*S250,
IF(_xlfn.XLOOKUP(E250,Groups!A:A,Groups!N:N)="Pig",EXP(0.3439*LN(C250)+6.8519)*S250,
IF(_xlfn.XLOOKUP(E250,Groups!A:A,Groups!N:N)="Rodent",EXP(0.5625*LN(C250)+4.3006)*S250,
IF(_xlfn.XLOOKUP(E250,Groups!A:A,Groups!N:N)="Primate",EXP(0.7847*LN(C250)+3.4931)*S250,
IF(_xlfn.XLOOKUP(E250,Groups!A:A,Groups!N:N)="MiscCarnivora",EXP(0.7486*LN(C250)+4.2207)*S250,
IF(_xlfn.XLOOKUP(E250,Groups!A:A,Groups!N:N)="Lizard",EXP(0.7733*LN(C250)+5.5303)*S250,
IF(_xlfn.XLOOKUP(E250,Groups!A:A,Groups!N:N)="Snake",50*C250^(2/3)*S250,
IF(_xlfn.XLOOKUP(E250,Groups!A:A,Groups!N:N)="StrongBitingHerbivore",87.1133638856975*C250^(2/3)*S250,
IF(_xlfn.XLOOKUP(E250,Groups!A:A,Groups!N:N)="MiscEctotherms",59.4316884072269*C250^(2/3)*S250,
IF(_xlfn.XLOOKUP(E250,Groups!A:A,Groups!N:N)="StrongBeakBird",0.041*(C250*1000)^1.375*S250,
IF(_xlfn.XLOOKUP(E250,Groups!A:A,Groups!N:N)="Bird",0.118*(C250*1000)^0.692*S250,
IF(_xlfn.XLOOKUP(E250,Groups!A:A,Groups!N:N)="Insect",EXP(0.7444*LN(C250)+6.5696)*S250,
IF(_xlfn.XLOOKUP(E250,Groups!A:A,Groups!N:N)="Theropod",EXP(0.6966*LN(C250)+4.158)*S250,
"No"))))))))))))))))</f>
        <v>695.1172444586856</v>
      </c>
      <c r="AU250" s="8">
        <f>IF(_xlfn.XLOOKUP(E250,Groups!A:A,Groups!U:U)=3,AS250,IF(_xlfn.XLOOKUP(E250,Groups!A:A,Groups!U:U)=2,AR250,AT250))</f>
        <v>695.1172444586856</v>
      </c>
      <c r="AV250" s="46">
        <f>IFERROR(AVERAGE(_xlfn.XLOOKUP(B250,Animals!B:B,Animals!N:N),_xlfn.XLOOKUP(B250,Animals!B:B,Animals!O:O)),0)</f>
        <v>0.125</v>
      </c>
      <c r="AW250" s="8">
        <f>MROUND(40*Animals!AO250*_xlfn.XLOOKUP(AG250,Leathers!$A$2:$A$99,Leathers!$B$2:$B$99,0)+(140*_xlfn.XLOOKUP(B250,Animals!B:B,Animals!AO:AO)*2),5)</f>
        <v>225</v>
      </c>
      <c r="AX250" s="8">
        <f>IFERROR(ROUND(SQRT(V250-1)*IF(_xlfn.XLOOKUP(E250,Groups!A:A,Groups!BF:BF)=0,2,1)*IF(_xlfn.XLOOKUP('Base stats'!E250,Groups!A:A,Groups!O:O)=0,1,0.1),1),0)</f>
        <v>2</v>
      </c>
      <c r="AY250" s="8">
        <f t="shared" si="91"/>
        <v>0</v>
      </c>
      <c r="AZ250" s="8">
        <f t="shared" si="92"/>
        <v>0</v>
      </c>
      <c r="BA250" s="8">
        <f t="shared" si="93"/>
        <v>3</v>
      </c>
      <c r="BB250" s="8">
        <f>IF(_xlfn.XLOOKUP(E250,Groups!A:A,Groups!N:N)="Insect",BD250*2.5,IFERROR(AVERAGE(BD250,AT250/9.81/IF(OR(_xlfn.XLOOKUP(E250,Groups!A:A,Groups!N:N)="Pig",_xlfn.XLOOKUP(E250,Groups!A:A,Groups!N:N)="StrongBitingHerbivore"),20,25))*C250^-0.135,BD250))</f>
        <v>1.0535519493662189</v>
      </c>
      <c r="BC250" s="8" t="str">
        <f>IF(W250="No","No",IF(_xlfn.XLOOKUP(E250,Groups!A:A,Groups!U:U)=1,'Base stats'!BB250,IF(OR(_xlfn.XLOOKUP(E250,Groups!A:A,Groups!BD:BD)=1,_xlfn.XLOOKUP(E250,Groups!A:A,Groups!U:U)=2),BD250,IF(_xlfn.XLOOKUP(B250,Animals!B:B,Animals!AO:AO)&gt;4,AVERAGE(BD250,BF250),BF250))))</f>
        <v>No</v>
      </c>
      <c r="BD250" s="8">
        <f t="shared" si="94"/>
        <v>0.63276041247609605</v>
      </c>
      <c r="BE250" s="8">
        <f>IF(_xlfn.XLOOKUP(E250,Groups!A:A,Groups!BE:BE)=1,(0.048*C250^1.01)+(0.071*C250^1.03),0.071*C250^1.03)/IF(_xlfn.XLOOKUP(E250,Groups!A:A,Groups!M:M)=1,0.85,IF(OR(_xlfn.XLOOKUP(B250,Animals!B:B,Animals!AO:AO)&gt;4,_xlfn.XLOOKUP(E250,Groups!A:A,Groups!BC:BC)=1),1.7,1))*C250^-0.25</f>
        <v>0.74202104120764245</v>
      </c>
      <c r="BF250" s="8">
        <f>(0.048*C250^1.01)/IF(_xlfn.XLOOKUP(E250,Groups!A:A,Groups!M:M)=1,0.25,0.8)*C250^-0.25</f>
        <v>0.99018614167501795</v>
      </c>
      <c r="BG250" s="8">
        <f>EXP(1.076*LN(AR250)-4.5397)*IF(_xlfn.XLOOKUP(E250,Groups!A:A,Groups!BC:BC)=1,1.25,IF(_xlfn.XLOOKUP(E250,Groups!A:A,Groups!BD:BD)=1,3.5,2.5))</f>
        <v>28.105119779320624</v>
      </c>
      <c r="BH250" s="8">
        <f>EXP(1.076*LN(AS250)-4.5397)*IF(_xlfn.XLOOKUP(E250,Groups!A:A,Groups!M:M)=1,0.8,IF(_xlfn.XLOOKUP(E250,Groups!A:A,Groups!BC:BC)=1,1.3,3))</f>
        <v>32.277044734426674</v>
      </c>
      <c r="BI250" s="8" t="str">
        <f>IF(W250="No","No",IF(_xlfn.XLOOKUP(E250,Groups!A:A,Groups!U:U)=1,'Base stats'!BJ250,IF(OR(_xlfn.XLOOKUP(E250,Groups!A:A,Groups!BD:BD)=1,_xlfn.XLOOKUP(E250,Groups!A:A,Groups!U:U)=2),BG250,BH250))*1.2)</f>
        <v>No</v>
      </c>
      <c r="BJ250" s="8">
        <f>IFERROR(EXP(1.076*LN(AT250)-4.5397)*IF(_xlfn.XLOOKUP(E250,Groups!A:A,Groups!N:N)="Insect",1,IF(OR(_xlfn.XLOOKUP(E250,Groups!A:A,Groups!N:N)="Pig",_xlfn.XLOOKUP(E250,Groups!A:A,Groups!N:N)="StrongBitingHerbivore"),3.5,3.75)),"No")</f>
        <v>45.763484366275321</v>
      </c>
      <c r="BK250" s="8">
        <f t="shared" si="95"/>
        <v>9</v>
      </c>
      <c r="BL250" s="8">
        <f t="shared" si="96"/>
        <v>9</v>
      </c>
      <c r="BM250" s="8" t="str">
        <f t="shared" si="97"/>
        <v>No</v>
      </c>
      <c r="BN250" s="8">
        <f t="shared" si="98"/>
        <v>9</v>
      </c>
      <c r="BO250" s="8">
        <f t="shared" si="99"/>
        <v>8</v>
      </c>
      <c r="BP250" s="8" t="str" cm="1">
        <f t="array" ref="BP250">IF(AND(_xlfn.XLOOKUP('Base stats'!E250,Groups!A:A,Groups!AD:AD=0),_xlfn.XLOOKUP('Base stats'!E250,Groups!A:A,Groups!P:P=0)),"No",IF(U250="No",AVERAGE(EXP(-0.57+0.99*LN(C250)),EXP(0.32+0.67*LN(C250)))/IF(_xlfn.XLOOKUP(E250,Groups!A:A,Groups!AD:AD)=1,10,2),(0.7354*C250^0.4078)*2/IF(_xlfn.XLOOKUP(E250,Groups!A:A,Groups!BK:BK)=1,1000,100)/IF(_xlfn.XLOOKUP(E250,Groups!A:A,Groups!AJ:AJ)="Photonozoa",3,1)))</f>
        <v>No</v>
      </c>
      <c r="BQ250" s="8" t="str">
        <f>IF(W250="No","No",IF(_xlfn.XLOOKUP(E250,Groups!A:A,Groups!BD:BD)=1,(AO250*5%),EXP(0.7354*LN(C250)^0.4078)*2/IF(_xlfn.XLOOKUP(E250,Groups!A:A,Groups!BL:BL)=1,1000,100)/IF(_xlfn.XLOOKUP(E250,Groups!A:A,Groups!AJ:AJ)="Photonozoa",3,1)))</f>
        <v>No</v>
      </c>
      <c r="BR250" s="8">
        <f>IF(BJ250="No","No",IF(_xlfn.XLOOKUP(E250,Groups!A:A,Groups!BF:BF)=1,(0.0315*C250+2.1825)*2,(0.7354*C250^0.4078)*2)/IF(_xlfn.XLOOKUP(E250,Groups!A:A,Groups!BM:BM)=1,1000,100)/IF(_xlfn.XLOOKUP(E250,Groups!A:A,Groups!AJ:AJ)="Photonozoa",3,1))</f>
        <v>6.6202392635939605E-2</v>
      </c>
      <c r="BS250" s="8">
        <f t="shared" si="100"/>
        <v>4.6041923936601406E-2</v>
      </c>
      <c r="BT250" s="8" t="str">
        <f t="shared" si="101"/>
        <v>No</v>
      </c>
      <c r="BU250" s="8" t="str">
        <f t="shared" si="102"/>
        <v>No</v>
      </c>
      <c r="BV250" s="8">
        <f t="shared" si="103"/>
        <v>691.26632050805188</v>
      </c>
      <c r="BW250" s="4">
        <v>0</v>
      </c>
      <c r="BX250" s="4">
        <v>1</v>
      </c>
    </row>
    <row r="251" spans="1:76" s="16" customFormat="1" x14ac:dyDescent="0.25">
      <c r="A251" s="26" t="s">
        <v>1482</v>
      </c>
      <c r="B251" s="6" t="s">
        <v>1654</v>
      </c>
      <c r="C251" s="7">
        <v>800</v>
      </c>
      <c r="D251" s="7" t="s">
        <v>528</v>
      </c>
      <c r="E251" s="7" t="str">
        <f>Groups!$A$86</f>
        <v>Slug</v>
      </c>
      <c r="F251" s="7">
        <f t="shared" si="140"/>
        <v>292</v>
      </c>
      <c r="G251" s="7">
        <v>5</v>
      </c>
      <c r="H251" s="7">
        <v>90</v>
      </c>
      <c r="I251" s="4">
        <v>1</v>
      </c>
      <c r="J251" s="7" t="s">
        <v>1700</v>
      </c>
      <c r="K251" s="7" t="s">
        <v>528</v>
      </c>
      <c r="L251" s="7">
        <v>6</v>
      </c>
      <c r="M251" s="7" t="s">
        <v>528</v>
      </c>
      <c r="N251" s="4">
        <v>0</v>
      </c>
      <c r="O251" s="4">
        <v>1</v>
      </c>
      <c r="P251" s="4">
        <v>0</v>
      </c>
      <c r="Q251" s="4">
        <v>0</v>
      </c>
      <c r="R251" s="4" t="s">
        <v>40</v>
      </c>
      <c r="S251" s="7">
        <f>_xlfn.XLOOKUP(B251,[1]TeethAdjusters!$A:$A,[1]BiteAdjusters!$C:$C,1)</f>
        <v>1</v>
      </c>
      <c r="T251" s="7">
        <f>_xlfn.XLOOKUP(B251,[1]TeethAdjusters!$A:$A,[1]TeethAdjusters!$B:$B,1)</f>
        <v>1</v>
      </c>
      <c r="U251" s="7" t="str">
        <f>IF(OR(_xlfn.XLOOKUP(E251,Groups!A:A,Groups!P:P)=1,_xlfn.XLOOKUP(E251,Groups!A:A,Groups!AD:AD)=1),"Need a formula","No")</f>
        <v>No</v>
      </c>
      <c r="V251" s="7">
        <v>2</v>
      </c>
      <c r="W251" s="7" t="str">
        <f>IF(_xlfn.XLOOKUP(E251,Groups!A:A,Groups!V:V)&lt;&gt;"No","Need a formula","No")</f>
        <v>No</v>
      </c>
      <c r="X251" s="7" t="s">
        <v>932</v>
      </c>
      <c r="Y251" s="4" t="s">
        <v>42</v>
      </c>
      <c r="Z251" s="4">
        <v>1</v>
      </c>
      <c r="AA251" s="4">
        <v>0</v>
      </c>
      <c r="AB251" s="4">
        <v>0</v>
      </c>
      <c r="AC251" s="4">
        <v>0</v>
      </c>
      <c r="AD251" s="4">
        <v>0</v>
      </c>
      <c r="AE251" s="4" t="s">
        <v>45</v>
      </c>
      <c r="AF251" s="4" t="s">
        <v>45</v>
      </c>
      <c r="AG251" s="49" t="s">
        <v>45</v>
      </c>
      <c r="AH251" s="4" t="s">
        <v>45</v>
      </c>
      <c r="AI251" s="4">
        <v>0</v>
      </c>
      <c r="AJ251" s="4">
        <v>0</v>
      </c>
      <c r="AK251" s="4">
        <v>0</v>
      </c>
      <c r="AL251" s="4">
        <v>0</v>
      </c>
      <c r="AM251" s="4">
        <v>1</v>
      </c>
      <c r="AN251" s="44" t="s">
        <v>40</v>
      </c>
      <c r="AO251" s="8">
        <f t="shared" si="89"/>
        <v>85571.958195882878</v>
      </c>
      <c r="AP251" s="8">
        <f>IFERROR(C251*_xlfn.XLOOKUP(E251,Groups!A:A,Groups!K:K),0.106*C251^0.94)</f>
        <v>56.78196962407911</v>
      </c>
      <c r="AQ251" s="8">
        <f>AP251*10000/(_xlfn.XLOOKUP(E251,Groups!A:A,Groups!J:J)*AO251)</f>
        <v>6.0876893800404366</v>
      </c>
      <c r="AR251" s="8">
        <f t="shared" si="90"/>
        <v>15405.679611654272</v>
      </c>
      <c r="AS251" s="8">
        <f>IF(_xlfn.XLOOKUP(E251,Groups!A:A,Groups!M:M)=1,EXP(0.7444*LN('Base stats'!C251)+6.5696),EXP(0.7927*LN('Base stats'!C251)+4.28))</f>
        <v>14456.38864394653</v>
      </c>
      <c r="AT251" s="8">
        <f>IF(_xlfn.XLOOKUP(E251,Groups!A:A,Groups!N:N)="No","No",
IF(_xlfn.XLOOKUP(E251,Groups!A:A,Groups!N:N)="Crocodile",EXP(0.8129*LN(C251)+4.6742)*S251,
IF(_xlfn.XLOOKUP(E251,Groups!A:A,Groups!N:N)="Felid",EXP(0.7843*LN(C251)+4.7073)*S251,
IF(_xlfn.XLOOKUP(E251,Groups!A:A,Groups!N:N)="Canid",EXP(0.8367*LN(C251)+4.8763)*S251,
IF(_xlfn.XLOOKUP(E251,Groups!A:A,Groups!N:N)="Pig",EXP(0.3439*LN(C251)+6.8519)*S251,
IF(_xlfn.XLOOKUP(E251,Groups!A:A,Groups!N:N)="Rodent",EXP(0.5625*LN(C251)+4.3006)*S251,
IF(_xlfn.XLOOKUP(E251,Groups!A:A,Groups!N:N)="Primate",EXP(0.7847*LN(C251)+3.4931)*S251,
IF(_xlfn.XLOOKUP(E251,Groups!A:A,Groups!N:N)="MiscCarnivora",EXP(0.7486*LN(C251)+4.2207)*S251,
IF(_xlfn.XLOOKUP(E251,Groups!A:A,Groups!N:N)="Lizard",EXP(0.7733*LN(C251)+5.5303)*S251,
IF(_xlfn.XLOOKUP(E251,Groups!A:A,Groups!N:N)="Snake",50*C251^(2/3)*S251,
IF(_xlfn.XLOOKUP(E251,Groups!A:A,Groups!N:N)="StrongBitingHerbivore",87.1133638856975*C251^(2/3)*S251,
IF(_xlfn.XLOOKUP(E251,Groups!A:A,Groups!N:N)="MiscEctotherms",59.4316884072269*C251^(2/3)*S251,
IF(_xlfn.XLOOKUP(E251,Groups!A:A,Groups!N:N)="StrongBeakBird",0.041*(C251*1000)^1.375*S251,
IF(_xlfn.XLOOKUP(E251,Groups!A:A,Groups!N:N)="Bird",0.118*(C251*1000)^0.692*S251,
IF(_xlfn.XLOOKUP(E251,Groups!A:A,Groups!N:N)="Insect",EXP(0.7444*LN(C251)+6.5696)*S251,
IF(_xlfn.XLOOKUP(E251,Groups!A:A,Groups!N:N)="Theropod",EXP(0.6966*LN(C251)+4.158)*S251,
"No"))))))))))))))))</f>
        <v>5121.6676476678131</v>
      </c>
      <c r="AU251" s="8">
        <f>IF(_xlfn.XLOOKUP(E251,Groups!A:A,Groups!U:U)=3,AS251,IF(_xlfn.XLOOKUP(E251,Groups!A:A,Groups!U:U)=2,AR251,AT251))</f>
        <v>5121.6676476678131</v>
      </c>
      <c r="AV251" s="46">
        <f>IFERROR(AVERAGE(_xlfn.XLOOKUP(B251,Animals!B:B,Animals!N:N),_xlfn.XLOOKUP(B251,Animals!B:B,Animals!O:O)),0)</f>
        <v>0.22500000000000003</v>
      </c>
      <c r="AW251" s="8">
        <f>MROUND(40*Animals!AO251*_xlfn.XLOOKUP(AG251,Leathers!$A$2:$A$99,Leathers!$B$2:$B$99,0)+(140*_xlfn.XLOOKUP(B251,Animals!B:B,Animals!AO:AO)*2),5)</f>
        <v>910</v>
      </c>
      <c r="AX251" s="8">
        <f>IFERROR(ROUND(SQRT(V251-1)*IF(_xlfn.XLOOKUP(E251,Groups!A:A,Groups!BF:BF)=0,2,1)*IF(_xlfn.XLOOKUP('Base stats'!E251,Groups!A:A,Groups!O:O)=0,1,0.1),1),0)</f>
        <v>2</v>
      </c>
      <c r="AY251" s="8">
        <f t="shared" si="91"/>
        <v>0</v>
      </c>
      <c r="AZ251" s="8">
        <f t="shared" si="92"/>
        <v>0</v>
      </c>
      <c r="BA251" s="8">
        <f t="shared" si="93"/>
        <v>8.8000000000000007</v>
      </c>
      <c r="BB251" s="8">
        <f>IF(_xlfn.XLOOKUP(E251,Groups!A:A,Groups!N:N)="Insect",BD251*2.5,IFERROR(AVERAGE(BD251,AT251/9.81/IF(OR(_xlfn.XLOOKUP(E251,Groups!A:A,Groups!N:N)="Pig",_xlfn.XLOOKUP(E251,Groups!A:A,Groups!N:N)="StrongBitingHerbivore"),20,25))*C251^-0.135,BD251))</f>
        <v>5.4632168281284494</v>
      </c>
      <c r="BC251" s="8" t="str">
        <f>IF(W251="No","No",IF(_xlfn.XLOOKUP(E251,Groups!A:A,Groups!U:U)=1,'Base stats'!BB251,IF(OR(_xlfn.XLOOKUP(E251,Groups!A:A,Groups!BD:BD)=1,_xlfn.XLOOKUP(E251,Groups!A:A,Groups!U:U)=2),BD251,IF(_xlfn.XLOOKUP(B251,Animals!B:B,Animals!AO:AO)&gt;4,AVERAGE(BD251,BF251),BF251))))</f>
        <v>No</v>
      </c>
      <c r="BD251" s="8">
        <f t="shared" si="94"/>
        <v>6.0564190554255397</v>
      </c>
      <c r="BE251" s="8">
        <f>IF(_xlfn.XLOOKUP(E251,Groups!A:A,Groups!BE:BE)=1,(0.048*C251^1.01)+(0.071*C251^1.03),0.071*C251^1.03)/IF(_xlfn.XLOOKUP(E251,Groups!A:A,Groups!M:M)=1,0.85,IF(OR(_xlfn.XLOOKUP(B251,Animals!B:B,Animals!AO:AO)&gt;4,_xlfn.XLOOKUP(E251,Groups!A:A,Groups!BC:BC)=1),1.7,1))*C251^-0.25</f>
        <v>7.6774963243605248</v>
      </c>
      <c r="BF251" s="8">
        <f>(0.048*C251^1.01)/IF(_xlfn.XLOOKUP(E251,Groups!A:A,Groups!M:M)=1,0.25,0.8)*C251^-0.25</f>
        <v>9.6493851304357605</v>
      </c>
      <c r="BG251" s="8">
        <f>EXP(1.076*LN(AR251)-4.5397)*IF(_xlfn.XLOOKUP(E251,Groups!A:A,Groups!BC:BC)=1,1.25,IF(_xlfn.XLOOKUP(E251,Groups!A:A,Groups!BD:BD)=1,3.5,2.5))</f>
        <v>427.84647744616552</v>
      </c>
      <c r="BH251" s="8">
        <f>EXP(1.076*LN(AS251)-4.5397)*IF(_xlfn.XLOOKUP(E251,Groups!A:A,Groups!M:M)=1,0.8,IF(_xlfn.XLOOKUP(E251,Groups!A:A,Groups!BC:BC)=1,1.3,3))</f>
        <v>415.52872747890433</v>
      </c>
      <c r="BI251" s="8" t="str">
        <f>IF(W251="No","No",IF(_xlfn.XLOOKUP(E251,Groups!A:A,Groups!U:U)=1,'Base stats'!BJ251,IF(OR(_xlfn.XLOOKUP(E251,Groups!A:A,Groups!BD:BD)=1,_xlfn.XLOOKUP(E251,Groups!A:A,Groups!U:U)=2),BG251,BH251))*1.2)</f>
        <v>No</v>
      </c>
      <c r="BJ251" s="8">
        <f>IFERROR(EXP(1.076*LN(AT251)-4.5397)*IF(_xlfn.XLOOKUP(E251,Groups!A:A,Groups!N:N)="Insect",1,IF(OR(_xlfn.XLOOKUP(E251,Groups!A:A,Groups!N:N)="Pig",_xlfn.XLOOKUP(E251,Groups!A:A,Groups!N:N)="StrongBitingHerbivore"),3.5,3.75)),"No")</f>
        <v>392.45626572246931</v>
      </c>
      <c r="BK251" s="8">
        <f t="shared" si="95"/>
        <v>11</v>
      </c>
      <c r="BL251" s="8">
        <f t="shared" si="96"/>
        <v>10</v>
      </c>
      <c r="BM251" s="8" t="str">
        <f t="shared" si="97"/>
        <v>No</v>
      </c>
      <c r="BN251" s="8">
        <f t="shared" si="98"/>
        <v>11</v>
      </c>
      <c r="BO251" s="8">
        <f t="shared" si="99"/>
        <v>9</v>
      </c>
      <c r="BP251" s="8" t="str" cm="1">
        <f t="array" ref="BP251">IF(AND(_xlfn.XLOOKUP('Base stats'!E251,Groups!A:A,Groups!AD:AD=0),_xlfn.XLOOKUP('Base stats'!E251,Groups!A:A,Groups!P:P=0)),"No",IF(U251="No",AVERAGE(EXP(-0.57+0.99*LN(C251)),EXP(0.32+0.67*LN(C251)))/IF(_xlfn.XLOOKUP(E251,Groups!A:A,Groups!AD:AD)=1,10,2),(0.7354*C251^0.4078)*2/IF(_xlfn.XLOOKUP(E251,Groups!A:A,Groups!BK:BK)=1,1000,100)/IF(_xlfn.XLOOKUP(E251,Groups!A:A,Groups!AJ:AJ)="Photonozoa",3,1)))</f>
        <v>No</v>
      </c>
      <c r="BQ251" s="8" t="str">
        <f>IF(W251="No","No",IF(_xlfn.XLOOKUP(E251,Groups!A:A,Groups!BD:BD)=1,(AO251*5%),EXP(0.7354*LN(C251)^0.4078)*2/IF(_xlfn.XLOOKUP(E251,Groups!A:A,Groups!BL:BL)=1,1000,100)/IF(_xlfn.XLOOKUP(E251,Groups!A:A,Groups!AJ:AJ)="Photonozoa",3,1)))</f>
        <v>No</v>
      </c>
      <c r="BR251" s="8">
        <f>IF(BJ251="No","No",IF(_xlfn.XLOOKUP(E251,Groups!A:A,Groups!BF:BF)=1,(0.0315*C251+2.1825)*2,(0.7354*C251^0.4078)*2)/IF(_xlfn.XLOOKUP(E251,Groups!A:A,Groups!BM:BM)=1,1000,100)/IF(_xlfn.XLOOKUP(E251,Groups!A:A,Groups!AJ:AJ)="Photonozoa",3,1))</f>
        <v>0.22461239459598975</v>
      </c>
      <c r="BS251" s="8">
        <f t="shared" si="100"/>
        <v>9.9996888342038764E-2</v>
      </c>
      <c r="BT251" s="8" t="str">
        <f t="shared" si="101"/>
        <v>No</v>
      </c>
      <c r="BU251" s="8" t="str">
        <f t="shared" si="102"/>
        <v>No</v>
      </c>
      <c r="BV251" s="8">
        <f t="shared" si="103"/>
        <v>1747.2600585038074</v>
      </c>
      <c r="BW251" s="4">
        <v>0</v>
      </c>
      <c r="BX251" s="4">
        <v>1</v>
      </c>
    </row>
    <row r="252" spans="1:76" s="16" customFormat="1" x14ac:dyDescent="0.25">
      <c r="A252" s="26" t="s">
        <v>1588</v>
      </c>
      <c r="B252" s="6" t="s">
        <v>1692</v>
      </c>
      <c r="C252" s="7">
        <v>4500</v>
      </c>
      <c r="D252" s="7" t="s">
        <v>528</v>
      </c>
      <c r="E252" s="7" t="str">
        <f>Groups!$A$87</f>
        <v>Slug (TRAINABLE)</v>
      </c>
      <c r="F252" s="7">
        <f t="shared" si="140"/>
        <v>464</v>
      </c>
      <c r="G252" s="7">
        <v>15</v>
      </c>
      <c r="H252" s="7">
        <v>120</v>
      </c>
      <c r="I252" s="4">
        <v>1</v>
      </c>
      <c r="J252" s="7" t="s">
        <v>1700</v>
      </c>
      <c r="K252" s="7" t="s">
        <v>528</v>
      </c>
      <c r="L252" s="7">
        <v>6</v>
      </c>
      <c r="M252" s="7" t="s">
        <v>528</v>
      </c>
      <c r="N252" s="4">
        <v>0</v>
      </c>
      <c r="O252" s="4">
        <v>1</v>
      </c>
      <c r="P252" s="4">
        <v>0</v>
      </c>
      <c r="Q252" s="4">
        <v>0</v>
      </c>
      <c r="R252" s="4" t="s">
        <v>40</v>
      </c>
      <c r="S252" s="7">
        <f>_xlfn.XLOOKUP(B252,[1]TeethAdjusters!$A:$A,[1]BiteAdjusters!$C:$C,1)</f>
        <v>1</v>
      </c>
      <c r="T252" s="7">
        <f>_xlfn.XLOOKUP(B252,[1]TeethAdjusters!$A:$A,[1]TeethAdjusters!$B:$B,1)</f>
        <v>1</v>
      </c>
      <c r="U252" s="7" t="str">
        <f>IF(OR(_xlfn.XLOOKUP(E252,Groups!A:A,Groups!P:P)=1,_xlfn.XLOOKUP(E252,Groups!A:A,Groups!AD:AD)=1),"Need a formula","No")</f>
        <v>No</v>
      </c>
      <c r="V252" s="7">
        <v>3</v>
      </c>
      <c r="W252" s="7" t="str">
        <f>IF(_xlfn.XLOOKUP(E252,Groups!A:A,Groups!V:V)&lt;&gt;"No","Need a formula","No")</f>
        <v>No</v>
      </c>
      <c r="X252" s="7" t="s">
        <v>932</v>
      </c>
      <c r="Y252" s="4" t="s">
        <v>42</v>
      </c>
      <c r="Z252" s="4">
        <v>1</v>
      </c>
      <c r="AA252" s="4">
        <v>0</v>
      </c>
      <c r="AB252" s="4">
        <v>0</v>
      </c>
      <c r="AC252" s="4">
        <v>0</v>
      </c>
      <c r="AD252" s="4">
        <v>0</v>
      </c>
      <c r="AE252" s="4" t="s">
        <v>45</v>
      </c>
      <c r="AF252" s="4" t="s">
        <v>45</v>
      </c>
      <c r="AG252" s="49" t="s">
        <v>45</v>
      </c>
      <c r="AH252" s="4" t="str">
        <f>Animals!$C$287</f>
        <v>&lt;li&gt;AA_Helixien&lt;/li&gt;</v>
      </c>
      <c r="AI252" s="4">
        <v>0</v>
      </c>
      <c r="AJ252" s="4">
        <v>0</v>
      </c>
      <c r="AK252" s="4">
        <v>0</v>
      </c>
      <c r="AL252" s="4">
        <v>1</v>
      </c>
      <c r="AM252" s="4">
        <v>1</v>
      </c>
      <c r="AN252" s="44" t="s">
        <v>40</v>
      </c>
      <c r="AO252" s="8">
        <f t="shared" si="89"/>
        <v>262972.97087744245</v>
      </c>
      <c r="AP252" s="8">
        <f>IFERROR(C252*_xlfn.XLOOKUP(E252,Groups!A:A,Groups!K:K),0.106*C252^0.94)</f>
        <v>287.95566587228683</v>
      </c>
      <c r="AQ252" s="8">
        <f>AP252*10000/(_xlfn.XLOOKUP(E252,Groups!A:A,Groups!J:J)*AO252)</f>
        <v>10.045880726566947</v>
      </c>
      <c r="AR252" s="8">
        <f t="shared" si="90"/>
        <v>66268.838703367117</v>
      </c>
      <c r="AS252" s="8">
        <f>IF(_xlfn.XLOOKUP(E252,Groups!A:A,Groups!M:M)=1,EXP(0.7444*LN('Base stats'!C252)+6.5696),EXP(0.7927*LN('Base stats'!C252)+4.28))</f>
        <v>56843.648100459453</v>
      </c>
      <c r="AT252" s="8">
        <f>IF(_xlfn.XLOOKUP(E252,Groups!A:A,Groups!N:N)="No","No",
IF(_xlfn.XLOOKUP(E252,Groups!A:A,Groups!N:N)="Crocodile",EXP(0.8129*LN(C252)+4.6742)*S252,
IF(_xlfn.XLOOKUP(E252,Groups!A:A,Groups!N:N)="Felid",EXP(0.7843*LN(C252)+4.7073)*S252,
IF(_xlfn.XLOOKUP(E252,Groups!A:A,Groups!N:N)="Canid",EXP(0.8367*LN(C252)+4.8763)*S252,
IF(_xlfn.XLOOKUP(E252,Groups!A:A,Groups!N:N)="Pig",EXP(0.3439*LN(C252)+6.8519)*S252,
IF(_xlfn.XLOOKUP(E252,Groups!A:A,Groups!N:N)="Rodent",EXP(0.5625*LN(C252)+4.3006)*S252,
IF(_xlfn.XLOOKUP(E252,Groups!A:A,Groups!N:N)="Primate",EXP(0.7847*LN(C252)+3.4931)*S252,
IF(_xlfn.XLOOKUP(E252,Groups!A:A,Groups!N:N)="MiscCarnivora",EXP(0.7486*LN(C252)+4.2207)*S252,
IF(_xlfn.XLOOKUP(E252,Groups!A:A,Groups!N:N)="Lizard",EXP(0.7733*LN(C252)+5.5303)*S252,
IF(_xlfn.XLOOKUP(E252,Groups!A:A,Groups!N:N)="Snake",50*C252^(2/3)*S252,
IF(_xlfn.XLOOKUP(E252,Groups!A:A,Groups!N:N)="StrongBitingHerbivore",87.1133638856975*C252^(2/3)*S252,
IF(_xlfn.XLOOKUP(E252,Groups!A:A,Groups!N:N)="MiscEctotherms",59.4316884072269*C252^(2/3)*S252,
IF(_xlfn.XLOOKUP(E252,Groups!A:A,Groups!N:N)="StrongBeakBird",0.041*(C252*1000)^1.375*S252,
IF(_xlfn.XLOOKUP(E252,Groups!A:A,Groups!N:N)="Bird",0.118*(C252*1000)^0.692*S252,
IF(_xlfn.XLOOKUP(E252,Groups!A:A,Groups!N:N)="Insect",EXP(0.7444*LN(C252)+6.5696)*S252,
IF(_xlfn.XLOOKUP(E252,Groups!A:A,Groups!N:N)="Theropod",EXP(0.6966*LN(C252)+4.158)*S252,
"No"))))))))))))))))</f>
        <v>16199.181730733268</v>
      </c>
      <c r="AU252" s="8">
        <f>IF(_xlfn.XLOOKUP(E252,Groups!A:A,Groups!U:U)=3,AS252,IF(_xlfn.XLOOKUP(E252,Groups!A:A,Groups!U:U)=2,AR252,AT252))</f>
        <v>16199.181730733268</v>
      </c>
      <c r="AV252" s="46">
        <f>IFERROR(AVERAGE(_xlfn.XLOOKUP(B252,Animals!B:B,Animals!N:N),_xlfn.XLOOKUP(B252,Animals!B:B,Animals!O:O)),0)</f>
        <v>0.32500000000000001</v>
      </c>
      <c r="AW252" s="8">
        <f>MROUND(40*Animals!AO252*_xlfn.XLOOKUP(AG252,Leathers!$A$2:$A$99,Leathers!$B$2:$B$99,0)+(140*_xlfn.XLOOKUP(B252,Animals!B:B,Animals!AO:AO)*2),5)</f>
        <v>1400</v>
      </c>
      <c r="AX252" s="8">
        <f>IFERROR(ROUND(SQRT(V252-1)*IF(_xlfn.XLOOKUP(E252,Groups!A:A,Groups!BF:BF)=0,2,1)*IF(_xlfn.XLOOKUP('Base stats'!E252,Groups!A:A,Groups!O:O)=0,1,0.1),1),0)</f>
        <v>2.8</v>
      </c>
      <c r="AY252" s="8">
        <f t="shared" si="91"/>
        <v>0</v>
      </c>
      <c r="AZ252" s="8">
        <f t="shared" si="92"/>
        <v>0</v>
      </c>
      <c r="BA252" s="8">
        <f t="shared" si="93"/>
        <v>16.3</v>
      </c>
      <c r="BB252" s="8">
        <f>IF(_xlfn.XLOOKUP(E252,Groups!A:A,Groups!N:N)="Insect",BD252*2.5,IFERROR(AVERAGE(BD252,AT252/9.81/IF(OR(_xlfn.XLOOKUP(E252,Groups!A:A,Groups!N:N)="Pig",_xlfn.XLOOKUP(E252,Groups!A:A,Groups!N:N)="StrongBitingHerbivore"),20,25))*C252^-0.135,BD252))</f>
        <v>14.186523865260316</v>
      </c>
      <c r="BC252" s="8" t="str">
        <f>IF(W252="No","No",IF(_xlfn.XLOOKUP(E252,Groups!A:A,Groups!U:U)=1,'Base stats'!BB252,IF(OR(_xlfn.XLOOKUP(E252,Groups!A:A,Groups!BD:BD)=1,_xlfn.XLOOKUP(E252,Groups!A:A,Groups!U:U)=2),BD252,IF(_xlfn.XLOOKUP(B252,Animals!B:B,Animals!AO:AO)&gt;4,AVERAGE(BD252,BF252),BF252))))</f>
        <v>No</v>
      </c>
      <c r="BD252" s="8">
        <f t="shared" si="94"/>
        <v>22.274517350066827</v>
      </c>
      <c r="BE252" s="8">
        <f>IF(_xlfn.XLOOKUP(E252,Groups!A:A,Groups!BE:BE)=1,(0.048*C252^1.01)+(0.071*C252^1.03),0.071*C252^1.03)/IF(_xlfn.XLOOKUP(E252,Groups!A:A,Groups!M:M)=1,0.85,IF(OR(_xlfn.XLOOKUP(B252,Animals!B:B,Animals!AO:AO)&gt;4,_xlfn.XLOOKUP(E252,Groups!A:A,Groups!BC:BC)=1),1.7,1))*C252^-0.25</f>
        <v>29.533518364547621</v>
      </c>
      <c r="BF252" s="8">
        <f>(0.048*C252^1.01)/IF(_xlfn.XLOOKUP(E252,Groups!A:A,Groups!M:M)=1,0.25,0.8)*C252^-0.25</f>
        <v>35.858553029401619</v>
      </c>
      <c r="BG252" s="8">
        <f>EXP(1.076*LN(AR252)-4.5397)*IF(_xlfn.XLOOKUP(E252,Groups!A:A,Groups!BC:BC)=1,1.25,IF(_xlfn.XLOOKUP(E252,Groups!A:A,Groups!BD:BD)=1,3.5,2.5))</f>
        <v>2056.2325274309005</v>
      </c>
      <c r="BH252" s="8">
        <f>EXP(1.076*LN(AS252)-4.5397)*IF(_xlfn.XLOOKUP(E252,Groups!A:A,Groups!M:M)=1,0.8,IF(_xlfn.XLOOKUP(E252,Groups!A:A,Groups!BC:BC)=1,1.3,3))</f>
        <v>1813.0695438509977</v>
      </c>
      <c r="BI252" s="8" t="str">
        <f>IF(W252="No","No",IF(_xlfn.XLOOKUP(E252,Groups!A:A,Groups!U:U)=1,'Base stats'!BJ252,IF(OR(_xlfn.XLOOKUP(E252,Groups!A:A,Groups!BD:BD)=1,_xlfn.XLOOKUP(E252,Groups!A:A,Groups!U:U)=2),BG252,BH252))*1.2)</f>
        <v>No</v>
      </c>
      <c r="BJ252" s="8">
        <f>IFERROR(EXP(1.076*LN(AT252)-4.5397)*IF(_xlfn.XLOOKUP(E252,Groups!A:A,Groups!N:N)="Insect",1,IF(OR(_xlfn.XLOOKUP(E252,Groups!A:A,Groups!N:N)="Pig",_xlfn.XLOOKUP(E252,Groups!A:A,Groups!N:N)="StrongBitingHerbivore"),3.5,3.75)),"No")</f>
        <v>1354.8123900503408</v>
      </c>
      <c r="BK252" s="8">
        <f t="shared" si="95"/>
        <v>13</v>
      </c>
      <c r="BL252" s="8">
        <f t="shared" si="96"/>
        <v>11</v>
      </c>
      <c r="BM252" s="8" t="str">
        <f t="shared" si="97"/>
        <v>No</v>
      </c>
      <c r="BN252" s="8">
        <f t="shared" si="98"/>
        <v>13</v>
      </c>
      <c r="BO252" s="8">
        <f t="shared" si="99"/>
        <v>10</v>
      </c>
      <c r="BP252" s="8" t="str" cm="1">
        <f t="array" ref="BP252">IF(AND(_xlfn.XLOOKUP('Base stats'!E252,Groups!A:A,Groups!AD:AD=0),_xlfn.XLOOKUP('Base stats'!E252,Groups!A:A,Groups!P:P=0)),"No",IF(U252="No",AVERAGE(EXP(-0.57+0.99*LN(C252)),EXP(0.32+0.67*LN(C252)))/IF(_xlfn.XLOOKUP(E252,Groups!A:A,Groups!AD:AD)=1,10,2),(0.7354*C252^0.4078)*2/IF(_xlfn.XLOOKUP(E252,Groups!A:A,Groups!BK:BK)=1,1000,100)/IF(_xlfn.XLOOKUP(E252,Groups!A:A,Groups!AJ:AJ)="Photonozoa",3,1)))</f>
        <v>No</v>
      </c>
      <c r="BQ252" s="8" t="str">
        <f>IF(W252="No","No",IF(_xlfn.XLOOKUP(E252,Groups!A:A,Groups!BD:BD)=1,(AO252*5%),EXP(0.7354*LN(C252)^0.4078)*2/IF(_xlfn.XLOOKUP(E252,Groups!A:A,Groups!BL:BL)=1,1000,100)/IF(_xlfn.XLOOKUP(E252,Groups!A:A,Groups!AJ:AJ)="Photonozoa",3,1)))</f>
        <v>No</v>
      </c>
      <c r="BR252" s="8">
        <f>IF(BJ252="No","No",IF(_xlfn.XLOOKUP(E252,Groups!A:A,Groups!BF:BF)=1,(0.0315*C252+2.1825)*2,(0.7354*C252^0.4078)*2)/IF(_xlfn.XLOOKUP(E252,Groups!A:A,Groups!BM:BM)=1,1000,100)/IF(_xlfn.XLOOKUP(E252,Groups!A:A,Groups!AJ:AJ)="Photonozoa",3,1))</f>
        <v>0.45429053060041397</v>
      </c>
      <c r="BS252" s="8">
        <f t="shared" si="100"/>
        <v>0.15638356448345406</v>
      </c>
      <c r="BT252" s="8" t="str">
        <f t="shared" si="101"/>
        <v>No</v>
      </c>
      <c r="BU252" s="8" t="str">
        <f t="shared" si="102"/>
        <v>No</v>
      </c>
      <c r="BV252" s="8">
        <f t="shared" si="103"/>
        <v>2982.2598068679758</v>
      </c>
      <c r="BW252" s="4">
        <v>0</v>
      </c>
      <c r="BX252" s="4">
        <v>1</v>
      </c>
    </row>
    <row r="253" spans="1:76" s="16" customFormat="1" x14ac:dyDescent="0.25">
      <c r="A253" s="26" t="s">
        <v>1538</v>
      </c>
      <c r="B253" s="6" t="s">
        <v>1674</v>
      </c>
      <c r="C253" s="7">
        <v>20</v>
      </c>
      <c r="D253" s="7" t="s">
        <v>528</v>
      </c>
      <c r="E253" s="7" t="str">
        <f>Groups!$A$58</f>
        <v>Snail</v>
      </c>
      <c r="F253" s="7">
        <f t="shared" si="140"/>
        <v>108</v>
      </c>
      <c r="G253" s="7">
        <v>5</v>
      </c>
      <c r="H253" s="7">
        <v>30</v>
      </c>
      <c r="I253" s="4">
        <v>0</v>
      </c>
      <c r="J253" s="7">
        <v>10</v>
      </c>
      <c r="K253" s="7" t="s">
        <v>528</v>
      </c>
      <c r="L253" s="7">
        <v>5</v>
      </c>
      <c r="M253" s="7" t="s">
        <v>528</v>
      </c>
      <c r="N253" s="4">
        <v>0</v>
      </c>
      <c r="O253" s="4">
        <v>0</v>
      </c>
      <c r="P253" s="4">
        <v>0</v>
      </c>
      <c r="Q253" s="4">
        <v>0</v>
      </c>
      <c r="R253" s="4" t="s">
        <v>40</v>
      </c>
      <c r="S253" s="7">
        <f>_xlfn.XLOOKUP(B253,[1]TeethAdjusters!$A:$A,[1]BiteAdjusters!$C:$C,1)</f>
        <v>1</v>
      </c>
      <c r="T253" s="7">
        <f>_xlfn.XLOOKUP(B253,[1]TeethAdjusters!$A:$A,[1]TeethAdjusters!$B:$B,1)</f>
        <v>1</v>
      </c>
      <c r="U253" s="7" t="s">
        <v>45</v>
      </c>
      <c r="V253" s="7">
        <v>1</v>
      </c>
      <c r="W253" s="7" t="s">
        <v>45</v>
      </c>
      <c r="X253" s="7" t="s">
        <v>932</v>
      </c>
      <c r="Y253" s="4" t="s">
        <v>42</v>
      </c>
      <c r="Z253" s="4">
        <v>1</v>
      </c>
      <c r="AA253" s="4">
        <v>0</v>
      </c>
      <c r="AB253" s="4">
        <v>0</v>
      </c>
      <c r="AC253" s="4">
        <v>0</v>
      </c>
      <c r="AD253" s="4">
        <v>0</v>
      </c>
      <c r="AE253" s="4" t="s">
        <v>45</v>
      </c>
      <c r="AF253" s="4" t="s">
        <v>45</v>
      </c>
      <c r="AG253" s="49" t="s">
        <v>45</v>
      </c>
      <c r="AH253" s="4" t="str">
        <f>Animals!$C$287</f>
        <v>&lt;li&gt;AA_Helixien&lt;/li&gt;</v>
      </c>
      <c r="AI253" s="4">
        <v>0</v>
      </c>
      <c r="AJ253" s="4">
        <v>0</v>
      </c>
      <c r="AK253" s="4">
        <v>0</v>
      </c>
      <c r="AL253" s="4">
        <v>0</v>
      </c>
      <c r="AM253" s="4">
        <v>1</v>
      </c>
      <c r="AN253" s="44" t="s">
        <v>40</v>
      </c>
      <c r="AO253" s="8">
        <f t="shared" si="89"/>
        <v>7780.2307188855666</v>
      </c>
      <c r="AP253" s="8">
        <f>IFERROR(C253*_xlfn.XLOOKUP(E253,Groups!A:A,Groups!K:K),0.106*C253^0.94)</f>
        <v>6.4</v>
      </c>
      <c r="AQ253" s="8">
        <f>AP253*10000/(_xlfn.XLOOKUP(E253,Groups!A:A,Groups!J:J)*AO253)</f>
        <v>3.0466581982158751</v>
      </c>
      <c r="AR253" s="8">
        <f t="shared" si="90"/>
        <v>683.0001310678939</v>
      </c>
      <c r="AS253" s="8">
        <f>IF(_xlfn.XLOOKUP(E253,Groups!A:A,Groups!M:M)=1,EXP(0.7444*LN('Base stats'!C253)+6.5696),EXP(0.7927*LN('Base stats'!C253)+4.28))</f>
        <v>776.43813921979063</v>
      </c>
      <c r="AT253" s="8">
        <f>IF(_xlfn.XLOOKUP(E253,Groups!A:A,Groups!N:N)="No","No",
IF(_xlfn.XLOOKUP(E253,Groups!A:A,Groups!N:N)="Crocodile",EXP(0.8129*LN(C253)+4.6742)*S253,
IF(_xlfn.XLOOKUP(E253,Groups!A:A,Groups!N:N)="Felid",EXP(0.7843*LN(C253)+4.7073)*S253,
IF(_xlfn.XLOOKUP(E253,Groups!A:A,Groups!N:N)="Canid",EXP(0.8367*LN(C253)+4.8763)*S253,
IF(_xlfn.XLOOKUP(E253,Groups!A:A,Groups!N:N)="Pig",EXP(0.3439*LN(C253)+6.8519)*S253,
IF(_xlfn.XLOOKUP(E253,Groups!A:A,Groups!N:N)="Rodent",EXP(0.5625*LN(C253)+4.3006)*S253,
IF(_xlfn.XLOOKUP(E253,Groups!A:A,Groups!N:N)="Primate",EXP(0.7847*LN(C253)+3.4931)*S253,
IF(_xlfn.XLOOKUP(E253,Groups!A:A,Groups!N:N)="MiscCarnivora",EXP(0.7486*LN(C253)+4.2207)*S253,
IF(_xlfn.XLOOKUP(E253,Groups!A:A,Groups!N:N)="Lizard",EXP(0.7733*LN(C253)+5.5303)*S253,
IF(_xlfn.XLOOKUP(E253,Groups!A:A,Groups!N:N)="Snake",50*C253^(2/3)*S253,
IF(_xlfn.XLOOKUP(E253,Groups!A:A,Groups!N:N)="StrongBitingHerbivore",87.1133638856975*C253^(2/3)*S253,
IF(_xlfn.XLOOKUP(E253,Groups!A:A,Groups!N:N)="MiscEctotherms",59.4316884072269*C253^(2/3)*S253,
IF(_xlfn.XLOOKUP(E253,Groups!A:A,Groups!N:N)="StrongBeakBird",0.041*(C253*1000)^1.375*S253,
IF(_xlfn.XLOOKUP(E253,Groups!A:A,Groups!N:N)="Bird",0.118*(C253*1000)^0.692*S253,
IF(_xlfn.XLOOKUP(E253,Groups!A:A,Groups!N:N)="Insect",EXP(0.7444*LN(C253)+6.5696)*S253,
IF(_xlfn.XLOOKUP(E253,Groups!A:A,Groups!N:N)="Theropod",EXP(0.6966*LN(C253)+4.158)*S253,
"No"))))))))))))))))</f>
        <v>437.89642421920917</v>
      </c>
      <c r="AU253" s="8">
        <f>IF(_xlfn.XLOOKUP(E253,Groups!A:A,Groups!U:U)=3,AS253,IF(_xlfn.XLOOKUP(E253,Groups!A:A,Groups!U:U)=2,AR253,AT253))</f>
        <v>437.89642421920917</v>
      </c>
      <c r="AV253" s="46">
        <f>IFERROR(AVERAGE(_xlfn.XLOOKUP(B253,Animals!B:B,Animals!N:N),_xlfn.XLOOKUP(B253,Animals!B:B,Animals!O:O)),0)</f>
        <v>0.25</v>
      </c>
      <c r="AW253" s="8">
        <f>MROUND(40*Animals!AO253*_xlfn.XLOOKUP(AG253,Leathers!$A$2:$A$99,Leathers!$B$2:$B$99,0)+(140*_xlfn.XLOOKUP(B253,Animals!B:B,Animals!AO:AO)*2),5)</f>
        <v>155</v>
      </c>
      <c r="AX253" s="8">
        <f>IFERROR(ROUND(SQRT(V253-1)*IF(_xlfn.XLOOKUP(E253,Groups!A:A,Groups!BF:BF)=0,2,1)*IF(_xlfn.XLOOKUP('Base stats'!E253,Groups!A:A,Groups!O:O)=0,1,0.1),1),0)</f>
        <v>0</v>
      </c>
      <c r="AY253" s="8">
        <f t="shared" si="91"/>
        <v>0</v>
      </c>
      <c r="AZ253" s="8">
        <f t="shared" si="92"/>
        <v>0</v>
      </c>
      <c r="BA253" s="8">
        <f t="shared" si="93"/>
        <v>2.2999999999999998</v>
      </c>
      <c r="BB253" s="8">
        <f>IF(_xlfn.XLOOKUP(E253,Groups!A:A,Groups!N:N)="Insect",BD253*2.5,IFERROR(AVERAGE(BD253,AT253/9.81/IF(OR(_xlfn.XLOOKUP(E253,Groups!A:A,Groups!N:N)="Pig",_xlfn.XLOOKUP(E253,Groups!A:A,Groups!N:N)="StrongBitingHerbivore"),20,25))*C253^-0.135,BD253))</f>
        <v>0.72098709403972994</v>
      </c>
      <c r="BC253" s="8" t="str">
        <f>IF(W253="No","No",IF(_xlfn.XLOOKUP(E253,Groups!A:A,Groups!U:U)=1,'Base stats'!BB253,IF(OR(_xlfn.XLOOKUP(E253,Groups!A:A,Groups!BD:BD)=1,_xlfn.XLOOKUP(E253,Groups!A:A,Groups!U:U)=2),BD253,IF(_xlfn.XLOOKUP(B253,Animals!B:B,Animals!AO:AO)&gt;4,AVERAGE(BD253,BF253),BF253))))</f>
        <v>No</v>
      </c>
      <c r="BD253" s="8">
        <f t="shared" si="94"/>
        <v>0.37519987390432724</v>
      </c>
      <c r="BE253" s="8">
        <f>IF(_xlfn.XLOOKUP(E253,Groups!A:A,Groups!BE:BE)=1,(0.048*C253^1.01)+(0.071*C253^1.03),0.071*C253^1.03)/IF(_xlfn.XLOOKUP(E253,Groups!A:A,Groups!M:M)=1,0.85,IF(OR(_xlfn.XLOOKUP(B253,Animals!B:B,Animals!AO:AO)&gt;4,_xlfn.XLOOKUP(E253,Groups!A:A,Groups!BC:BC)=1),1.7,1))*C253^-0.25</f>
        <v>0.43212841428041765</v>
      </c>
      <c r="BF253" s="8">
        <f>(0.048*C253^1.01)/IF(_xlfn.XLOOKUP(E253,Groups!A:A,Groups!M:M)=1,0.25,0.8)*C253^-0.25</f>
        <v>0.58470128338370886</v>
      </c>
      <c r="BG253" s="8">
        <f>EXP(1.076*LN(AR253)-4.5397)*IF(_xlfn.XLOOKUP(E253,Groups!A:A,Groups!BC:BC)=1,1.25,IF(_xlfn.XLOOKUP(E253,Groups!A:A,Groups!BD:BD)=1,3.5,2.5))</f>
        <v>14.968563372073916</v>
      </c>
      <c r="BH253" s="8">
        <f>EXP(1.076*LN(AS253)-4.5397)*IF(_xlfn.XLOOKUP(E253,Groups!A:A,Groups!M:M)=1,0.8,IF(_xlfn.XLOOKUP(E253,Groups!A:A,Groups!BC:BC)=1,1.3,3))</f>
        <v>17.870293043760679</v>
      </c>
      <c r="BI253" s="8" t="str">
        <f>IF(W253="No","No",IF(_xlfn.XLOOKUP(E253,Groups!A:A,Groups!U:U)=1,'Base stats'!BJ253,IF(OR(_xlfn.XLOOKUP(E253,Groups!A:A,Groups!BD:BD)=1,_xlfn.XLOOKUP(E253,Groups!A:A,Groups!U:U)=2),BG253,BH253))*1.2)</f>
        <v>No</v>
      </c>
      <c r="BJ253" s="8">
        <f>IFERROR(EXP(1.076*LN(AT253)-4.5397)*IF(_xlfn.XLOOKUP(E253,Groups!A:A,Groups!N:N)="Insect",1,IF(OR(_xlfn.XLOOKUP(E253,Groups!A:A,Groups!N:N)="Pig",_xlfn.XLOOKUP(E253,Groups!A:A,Groups!N:N)="StrongBitingHerbivore"),3.5,3.75)),"No")</f>
        <v>27.834295487904829</v>
      </c>
      <c r="BK253" s="8">
        <f t="shared" si="95"/>
        <v>8</v>
      </c>
      <c r="BL253" s="8">
        <f t="shared" si="96"/>
        <v>9</v>
      </c>
      <c r="BM253" s="8" t="str">
        <f t="shared" si="97"/>
        <v>No</v>
      </c>
      <c r="BN253" s="8">
        <f t="shared" si="98"/>
        <v>8</v>
      </c>
      <c r="BO253" s="8">
        <f t="shared" si="99"/>
        <v>7</v>
      </c>
      <c r="BP253" s="8" t="str" cm="1">
        <f t="array" ref="BP253">IF(AND(_xlfn.XLOOKUP('Base stats'!E253,Groups!A:A,Groups!AD:AD=0),_xlfn.XLOOKUP('Base stats'!E253,Groups!A:A,Groups!P:P=0)),"No",IF(U253="No",AVERAGE(EXP(-0.57+0.99*LN(C253)),EXP(0.32+0.67*LN(C253)))/IF(_xlfn.XLOOKUP(E253,Groups!A:A,Groups!AD:AD)=1,10,2),(0.7354*C253^0.4078)*2/IF(_xlfn.XLOOKUP(E253,Groups!A:A,Groups!BK:BK)=1,1000,100)/IF(_xlfn.XLOOKUP(E253,Groups!A:A,Groups!AJ:AJ)="Photonozoa",3,1)))</f>
        <v>No</v>
      </c>
      <c r="BQ253" s="8" t="str">
        <f>IF(W253="No","No",IF(_xlfn.XLOOKUP(E253,Groups!A:A,Groups!BD:BD)=1,(AO253*5%),EXP(0.7354*LN(C253)^0.4078)*2/IF(_xlfn.XLOOKUP(E253,Groups!A:A,Groups!BL:BL)=1,1000,100)/IF(_xlfn.XLOOKUP(E253,Groups!A:A,Groups!AJ:AJ)="Photonozoa",3,1)))</f>
        <v>No</v>
      </c>
      <c r="BR253" s="8">
        <f>IF(BJ253="No","No",IF(_xlfn.XLOOKUP(E253,Groups!A:A,Groups!BF:BF)=1,(0.0315*C253+2.1825)*2,(0.7354*C253^0.4078)*2)/IF(_xlfn.XLOOKUP(E253,Groups!A:A,Groups!BM:BM)=1,1000,100)/IF(_xlfn.XLOOKUP(E253,Groups!A:A,Groups!AJ:AJ)="Photonozoa",3,1))</f>
        <v>4.9901506096388083E-2</v>
      </c>
      <c r="BS253" s="8">
        <f t="shared" si="100"/>
        <v>3.8478456264129914E-2</v>
      </c>
      <c r="BT253" s="8" t="str">
        <f t="shared" si="101"/>
        <v>No</v>
      </c>
      <c r="BU253" s="8" t="str">
        <f t="shared" si="102"/>
        <v>No</v>
      </c>
      <c r="BV253" s="8">
        <f t="shared" si="103"/>
        <v>557.78467756345935</v>
      </c>
      <c r="BW253" s="4">
        <v>0</v>
      </c>
      <c r="BX253" s="4">
        <v>1</v>
      </c>
    </row>
    <row r="254" spans="1:76" s="16" customFormat="1" x14ac:dyDescent="0.25">
      <c r="A254" s="26" t="s">
        <v>1564</v>
      </c>
      <c r="B254" s="6" t="s">
        <v>1684</v>
      </c>
      <c r="C254" s="7">
        <v>200</v>
      </c>
      <c r="D254" s="7" t="s">
        <v>528</v>
      </c>
      <c r="E254" s="7" t="str">
        <f>Groups!$A$92</f>
        <v>LandSquid</v>
      </c>
      <c r="F254" s="7">
        <f t="shared" si="140"/>
        <v>201</v>
      </c>
      <c r="G254" s="7">
        <v>1.5</v>
      </c>
      <c r="H254" s="7">
        <v>20</v>
      </c>
      <c r="I254" s="4">
        <v>1</v>
      </c>
      <c r="J254" s="7">
        <v>3</v>
      </c>
      <c r="K254" s="7" t="s">
        <v>528</v>
      </c>
      <c r="L254" s="7">
        <v>10</v>
      </c>
      <c r="M254" s="7" t="s">
        <v>528</v>
      </c>
      <c r="N254" s="4">
        <v>0</v>
      </c>
      <c r="O254" s="4">
        <v>1</v>
      </c>
      <c r="P254" s="4">
        <v>0</v>
      </c>
      <c r="Q254" s="4">
        <v>0</v>
      </c>
      <c r="R254" s="4">
        <v>0.8</v>
      </c>
      <c r="S254" s="7">
        <f>_xlfn.XLOOKUP(B254,[1]TeethAdjusters!$A:$A,[1]BiteAdjusters!$C:$C,1)</f>
        <v>1</v>
      </c>
      <c r="T254" s="7">
        <f>_xlfn.XLOOKUP(B254,[1]TeethAdjusters!$A:$A,[1]TeethAdjusters!$B:$B,1)</f>
        <v>1</v>
      </c>
      <c r="U254" s="7" t="s">
        <v>45</v>
      </c>
      <c r="V254" s="7">
        <v>8</v>
      </c>
      <c r="W254" s="7" t="str">
        <f>IF(_xlfn.XLOOKUP(E254,Groups!A:A,Groups!V:V)&lt;&gt;"No","Need a formula","No")</f>
        <v>No</v>
      </c>
      <c r="X254" s="7" t="s">
        <v>932</v>
      </c>
      <c r="Y254" s="4" t="s">
        <v>1003</v>
      </c>
      <c r="Z254" s="4">
        <v>1</v>
      </c>
      <c r="AA254" s="4">
        <v>0</v>
      </c>
      <c r="AB254" s="4">
        <v>0</v>
      </c>
      <c r="AC254" s="4">
        <v>0</v>
      </c>
      <c r="AD254" s="4">
        <v>0</v>
      </c>
      <c r="AE254" s="4" t="s">
        <v>45</v>
      </c>
      <c r="AF254" s="4" t="s">
        <v>45</v>
      </c>
      <c r="AG254" s="49" t="s">
        <v>45</v>
      </c>
      <c r="AH254" s="4" t="s">
        <v>45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4" t="s">
        <v>40</v>
      </c>
      <c r="AO254" s="8">
        <f t="shared" si="89"/>
        <v>34753.014052750754</v>
      </c>
      <c r="AP254" s="8">
        <f>IFERROR(C254*_xlfn.XLOOKUP(E254,Groups!A:A,Groups!K:K),0.106*C254^0.94)</f>
        <v>15.426736488345595</v>
      </c>
      <c r="AQ254" s="8">
        <f>AP254*10000/(_xlfn.XLOOKUP(E254,Groups!A:A,Groups!J:J)*AO254)</f>
        <v>4.0724436832674371</v>
      </c>
      <c r="AR254" s="8">
        <f t="shared" si="90"/>
        <v>4776.6210371506204</v>
      </c>
      <c r="AS254" s="8">
        <f>IF(_xlfn.XLOOKUP(E254,Groups!A:A,Groups!M:M)=1,EXP(0.7444*LN('Base stats'!C254)+6.5696),EXP(0.7927*LN('Base stats'!C254)+4.28))</f>
        <v>4817.3351295400244</v>
      </c>
      <c r="AT254" s="8">
        <f>IF(_xlfn.XLOOKUP(E254,Groups!A:A,Groups!N:N)="No","No",
IF(_xlfn.XLOOKUP(E254,Groups!A:A,Groups!N:N)="Crocodile",EXP(0.8129*LN(C254)+4.6742)*S254,
IF(_xlfn.XLOOKUP(E254,Groups!A:A,Groups!N:N)="Felid",EXP(0.7843*LN(C254)+4.7073)*S254,
IF(_xlfn.XLOOKUP(E254,Groups!A:A,Groups!N:N)="Canid",EXP(0.8367*LN(C254)+4.8763)*S254,
IF(_xlfn.XLOOKUP(E254,Groups!A:A,Groups!N:N)="Pig",EXP(0.3439*LN(C254)+6.8519)*S254,
IF(_xlfn.XLOOKUP(E254,Groups!A:A,Groups!N:N)="Rodent",EXP(0.5625*LN(C254)+4.3006)*S254,
IF(_xlfn.XLOOKUP(E254,Groups!A:A,Groups!N:N)="Primate",EXP(0.7847*LN(C254)+3.4931)*S254,
IF(_xlfn.XLOOKUP(E254,Groups!A:A,Groups!N:N)="MiscCarnivora",EXP(0.7486*LN(C254)+4.2207)*S254,
IF(_xlfn.XLOOKUP(E254,Groups!A:A,Groups!N:N)="Lizard",EXP(0.7733*LN(C254)+5.5303)*S254,
IF(_xlfn.XLOOKUP(E254,Groups!A:A,Groups!N:N)="Snake",50*C254^(2/3)*S254,
IF(_xlfn.XLOOKUP(E254,Groups!A:A,Groups!N:N)="StrongBitingHerbivore",87.1133638856975*C254^(2/3)*S254,
IF(_xlfn.XLOOKUP(E254,Groups!A:A,Groups!N:N)="MiscEctotherms",59.4316884072269*C254^(2/3)*S254,
IF(_xlfn.XLOOKUP(E254,Groups!A:A,Groups!N:N)="StrongBeakBird",0.041*(C254*1000)^1.375*S254,
IF(_xlfn.XLOOKUP(E254,Groups!A:A,Groups!N:N)="Bird",0.118*(C254*1000)^0.692*S254,
IF(_xlfn.XLOOKUP(E254,Groups!A:A,Groups!N:N)="Insect",EXP(0.7444*LN(C254)+6.5696)*S254,
IF(_xlfn.XLOOKUP(E254,Groups!A:A,Groups!N:N)="Theropod",EXP(0.6966*LN(C254)+4.158)*S254,
"No"))))))))))))))))</f>
        <v>2032.5351529348454</v>
      </c>
      <c r="AU254" s="8">
        <f>IF(_xlfn.XLOOKUP(E254,Groups!A:A,Groups!U:U)=3,AS254,IF(_xlfn.XLOOKUP(E254,Groups!A:A,Groups!U:U)=2,AR254,AT254))</f>
        <v>2032.5351529348454</v>
      </c>
      <c r="AV254" s="46">
        <f>IFERROR(AVERAGE(_xlfn.XLOOKUP(B254,Animals!B:B,Animals!N:N),_xlfn.XLOOKUP(B254,Animals!B:B,Animals!O:O)),0)</f>
        <v>0</v>
      </c>
      <c r="AW254" s="8">
        <f>MROUND(40*Animals!AO254*_xlfn.XLOOKUP(AG254,Leathers!$A$2:$A$99,Leathers!$B$2:$B$99,0)+(140*_xlfn.XLOOKUP(B254,Animals!B:B,Animals!AO:AO)*2),5)</f>
        <v>505</v>
      </c>
      <c r="AX254" s="8">
        <f>IFERROR(ROUND(SQRT(V254-1)*IF(_xlfn.XLOOKUP(E254,Groups!A:A,Groups!BF:BF)=0,2,1)*IF(_xlfn.XLOOKUP('Base stats'!E254,Groups!A:A,Groups!O:O)=0,1,0.1),1),0)</f>
        <v>5.3</v>
      </c>
      <c r="AY254" s="8">
        <f t="shared" si="91"/>
        <v>0</v>
      </c>
      <c r="AZ254" s="8">
        <f t="shared" si="92"/>
        <v>0</v>
      </c>
      <c r="BA254" s="8">
        <f t="shared" si="93"/>
        <v>5.3</v>
      </c>
      <c r="BB254" s="8">
        <f>IF(_xlfn.XLOOKUP(E254,Groups!A:A,Groups!N:N)="Insect",BD254*2.5,IFERROR(AVERAGE(BD254,AT254/9.81/IF(OR(_xlfn.XLOOKUP(E254,Groups!A:A,Groups!N:N)="Pig",_xlfn.XLOOKUP(E254,Groups!A:A,Groups!N:N)="StrongBitingHerbivore"),20,25))*C254^-0.135,BD254))</f>
        <v>2.547269777532978</v>
      </c>
      <c r="BC254" s="8" t="str">
        <f>IF(W254="No","No",IF(_xlfn.XLOOKUP(E254,Groups!A:A,Groups!U:U)=1,'Base stats'!BB254,IF(OR(_xlfn.XLOOKUP(E254,Groups!A:A,Groups!BD:BD)=1,_xlfn.XLOOKUP(E254,Groups!A:A,Groups!U:U)=2),BD254,IF(_xlfn.XLOOKUP(B254,Animals!B:B,Animals!AO:AO)&gt;4,AVERAGE(BD254,BF254),BF254))))</f>
        <v>No</v>
      </c>
      <c r="BD254" s="8">
        <f t="shared" si="94"/>
        <v>2.1294266438436793</v>
      </c>
      <c r="BE254" s="8">
        <f>IF(_xlfn.XLOOKUP(E254,Groups!A:A,Groups!BE:BE)=1,(0.048*C254^1.01)+(0.071*C254^1.03),0.071*C254^1.03)/IF(_xlfn.XLOOKUP(E254,Groups!A:A,Groups!M:M)=1,0.85,IF(OR(_xlfn.XLOOKUP(B254,Animals!B:B,Animals!AO:AO)&gt;4,_xlfn.XLOOKUP(E254,Groups!A:A,Groups!BC:BC)=1),1.7,1))*C254^-0.25</f>
        <v>4.4265130134762103</v>
      </c>
      <c r="BF254" s="8">
        <f>(0.048*C254^1.01)/IF(_xlfn.XLOOKUP(E254,Groups!A:A,Groups!M:M)=1,0.25,0.8)*C254^-0.25</f>
        <v>3.3646046987127658</v>
      </c>
      <c r="BG254" s="8">
        <f>EXP(1.076*LN(AR254)-4.5397)*IF(_xlfn.XLOOKUP(E254,Groups!A:A,Groups!BC:BC)=1,1.25,IF(_xlfn.XLOOKUP(E254,Groups!A:A,Groups!BD:BD)=1,3.5,2.5))</f>
        <v>242.72097948417178</v>
      </c>
      <c r="BH254" s="8">
        <f>EXP(1.076*LN(AS254)-4.5397)*IF(_xlfn.XLOOKUP(E254,Groups!A:A,Groups!M:M)=1,0.8,IF(_xlfn.XLOOKUP(E254,Groups!A:A,Groups!BC:BC)=1,1.3,3))</f>
        <v>293.93735151357987</v>
      </c>
      <c r="BI254" s="8" t="str">
        <f>IF(W254="No","No",IF(_xlfn.XLOOKUP(E254,Groups!A:A,Groups!U:U)=1,'Base stats'!BJ254,IF(OR(_xlfn.XLOOKUP(E254,Groups!A:A,Groups!BD:BD)=1,_xlfn.XLOOKUP(E254,Groups!A:A,Groups!U:U)=2),BG254,BH254))*1.2)</f>
        <v>No</v>
      </c>
      <c r="BJ254" s="8">
        <f>IFERROR(EXP(1.076*LN(AT254)-4.5397)*IF(_xlfn.XLOOKUP(E254,Groups!A:A,Groups!N:N)="Insect",1,IF(OR(_xlfn.XLOOKUP(E254,Groups!A:A,Groups!N:N)="Pig",_xlfn.XLOOKUP(E254,Groups!A:A,Groups!N:N)="StrongBitingHerbivore"),3.5,3.75)),"No")</f>
        <v>145.18226471000062</v>
      </c>
      <c r="BK254" s="8">
        <f t="shared" si="95"/>
        <v>15</v>
      </c>
      <c r="BL254" s="8">
        <f t="shared" si="96"/>
        <v>11</v>
      </c>
      <c r="BM254" s="8" t="str">
        <f t="shared" si="97"/>
        <v>No</v>
      </c>
      <c r="BN254" s="8">
        <f t="shared" si="98"/>
        <v>10</v>
      </c>
      <c r="BO254" s="8">
        <f t="shared" si="99"/>
        <v>13</v>
      </c>
      <c r="BP254" s="8" cm="1">
        <f t="array" ref="BP254">IF(AND(_xlfn.XLOOKUP('Base stats'!E254,Groups!A:A,Groups!AD:AD=0),_xlfn.XLOOKUP('Base stats'!E254,Groups!A:A,Groups!P:P=0)),"No",IF(U254="No",AVERAGE(EXP(-0.57+0.99*LN(C254)),EXP(0.32+0.67*LN(C254)))/IF(_xlfn.XLOOKUP(E254,Groups!A:A,Groups!AD:AD)=1,10,2),(0.7354*C254^0.4078)*2/IF(_xlfn.XLOOKUP(E254,Groups!A:A,Groups!BK:BK)=1,1000,100)/IF(_xlfn.XLOOKUP(E254,Groups!A:A,Groups!AJ:AJ)="Photonozoa",3,1)))</f>
        <v>7.7602344878672103</v>
      </c>
      <c r="BQ254" s="8" t="str">
        <f>IF(W254="No","No",IF(_xlfn.XLOOKUP(E254,Groups!A:A,Groups!BD:BD)=1,(AO254*5%),EXP(0.7354*LN(C254)^0.4078)*2/IF(_xlfn.XLOOKUP(E254,Groups!A:A,Groups!BL:BL)=1,1000,100)/IF(_xlfn.XLOOKUP(E254,Groups!A:A,Groups!AJ:AJ)="Photonozoa",3,1)))</f>
        <v>No</v>
      </c>
      <c r="BR254" s="8">
        <f>IF(BJ254="No","No",IF(_xlfn.XLOOKUP(E254,Groups!A:A,Groups!BF:BF)=1,(0.0315*C254+2.1825)*2,(0.7354*C254^0.4078)*2)/IF(_xlfn.XLOOKUP(E254,Groups!A:A,Groups!BM:BM)=1,1000,100)/IF(_xlfn.XLOOKUP(E254,Groups!A:A,Groups!AJ:AJ)="Photonozoa",3,1))</f>
        <v>0.12761850520553555</v>
      </c>
      <c r="BS254" s="8">
        <f t="shared" si="100"/>
        <v>0.13968341227368164</v>
      </c>
      <c r="BT254" s="8">
        <f t="shared" si="101"/>
        <v>37.87738011952321</v>
      </c>
      <c r="BU254" s="8" t="str">
        <f t="shared" si="102"/>
        <v>No</v>
      </c>
      <c r="BV254" s="8">
        <f t="shared" si="103"/>
        <v>1137.6270586791297</v>
      </c>
      <c r="BW254" s="4">
        <v>0</v>
      </c>
      <c r="BX254" s="4">
        <v>1</v>
      </c>
    </row>
    <row r="255" spans="1:76" s="16" customFormat="1" x14ac:dyDescent="0.25">
      <c r="A255" s="26" t="s">
        <v>1582</v>
      </c>
      <c r="B255" s="6" t="s">
        <v>1689</v>
      </c>
      <c r="C255" s="7">
        <v>200</v>
      </c>
      <c r="D255" s="7" t="s">
        <v>528</v>
      </c>
      <c r="E255" s="7" t="str">
        <f>Groups!$A$92</f>
        <v>LandSquid</v>
      </c>
      <c r="F255" s="7">
        <f t="shared" si="140"/>
        <v>201</v>
      </c>
      <c r="G255" s="7">
        <v>1.5</v>
      </c>
      <c r="H255" s="7">
        <v>20</v>
      </c>
      <c r="I255" s="4">
        <v>1</v>
      </c>
      <c r="J255" s="7">
        <v>1</v>
      </c>
      <c r="K255" s="7" t="s">
        <v>528</v>
      </c>
      <c r="L255" s="7">
        <v>10</v>
      </c>
      <c r="M255" s="7" t="s">
        <v>528</v>
      </c>
      <c r="N255" s="4">
        <v>1</v>
      </c>
      <c r="O255" s="4">
        <v>0</v>
      </c>
      <c r="P255" s="4">
        <v>0</v>
      </c>
      <c r="Q255" s="4">
        <v>0</v>
      </c>
      <c r="R255" s="4">
        <v>1</v>
      </c>
      <c r="S255" s="7">
        <f>_xlfn.XLOOKUP(B255,[1]TeethAdjusters!$A:$A,[1]BiteAdjusters!$C:$C,1)</f>
        <v>1</v>
      </c>
      <c r="T255" s="7">
        <f>_xlfn.XLOOKUP(B255,[1]TeethAdjusters!$A:$A,[1]TeethAdjusters!$B:$B,1)</f>
        <v>1</v>
      </c>
      <c r="U255" s="7" t="s">
        <v>45</v>
      </c>
      <c r="V255" s="7">
        <v>4</v>
      </c>
      <c r="W255" s="7" t="str">
        <f>IF(_xlfn.XLOOKUP(E255,Groups!A:A,Groups!V:V)&lt;&gt;"No","Need a formula","No")</f>
        <v>No</v>
      </c>
      <c r="X255" s="7" t="s">
        <v>932</v>
      </c>
      <c r="Y255" s="4" t="s">
        <v>53</v>
      </c>
      <c r="Z255" s="4">
        <v>1</v>
      </c>
      <c r="AA255" s="4">
        <v>0</v>
      </c>
      <c r="AB255" s="4">
        <v>0</v>
      </c>
      <c r="AC255" s="4">
        <v>0</v>
      </c>
      <c r="AD255" s="4">
        <v>0</v>
      </c>
      <c r="AE255" s="4" t="s">
        <v>45</v>
      </c>
      <c r="AF255" s="4" t="s">
        <v>45</v>
      </c>
      <c r="AG255" s="49" t="s">
        <v>45</v>
      </c>
      <c r="AH255" s="4" t="str">
        <f>Animals!$C$326</f>
        <v>&lt;li&gt;AA_SandSquid&lt;/li&gt;</v>
      </c>
      <c r="AI255" s="4">
        <v>0</v>
      </c>
      <c r="AJ255" s="4">
        <v>0</v>
      </c>
      <c r="AK255" s="4">
        <v>0</v>
      </c>
      <c r="AL255" s="4">
        <v>0</v>
      </c>
      <c r="AM255" s="4">
        <v>1</v>
      </c>
      <c r="AN255" s="44" t="s">
        <v>40</v>
      </c>
      <c r="AO255" s="8">
        <f t="shared" si="89"/>
        <v>34753.014052750754</v>
      </c>
      <c r="AP255" s="8">
        <f>IFERROR(C255*_xlfn.XLOOKUP(E255,Groups!A:A,Groups!K:K),0.106*C255^0.94)</f>
        <v>15.426736488345595</v>
      </c>
      <c r="AQ255" s="8">
        <f>AP255*10000/(_xlfn.XLOOKUP(E255,Groups!A:A,Groups!J:J)*AO255)</f>
        <v>4.0724436832674371</v>
      </c>
      <c r="AR255" s="8">
        <f t="shared" si="90"/>
        <v>4776.6210371506204</v>
      </c>
      <c r="AS255" s="8">
        <f>IF(_xlfn.XLOOKUP(E255,Groups!A:A,Groups!M:M)=1,EXP(0.7444*LN('Base stats'!C255)+6.5696),EXP(0.7927*LN('Base stats'!C255)+4.28))</f>
        <v>4817.3351295400244</v>
      </c>
      <c r="AT255" s="8">
        <f>IF(_xlfn.XLOOKUP(E255,Groups!A:A,Groups!N:N)="No","No",
IF(_xlfn.XLOOKUP(E255,Groups!A:A,Groups!N:N)="Crocodile",EXP(0.8129*LN(C255)+4.6742)*S255,
IF(_xlfn.XLOOKUP(E255,Groups!A:A,Groups!N:N)="Felid",EXP(0.7843*LN(C255)+4.7073)*S255,
IF(_xlfn.XLOOKUP(E255,Groups!A:A,Groups!N:N)="Canid",EXP(0.8367*LN(C255)+4.8763)*S255,
IF(_xlfn.XLOOKUP(E255,Groups!A:A,Groups!N:N)="Pig",EXP(0.3439*LN(C255)+6.8519)*S255,
IF(_xlfn.XLOOKUP(E255,Groups!A:A,Groups!N:N)="Rodent",EXP(0.5625*LN(C255)+4.3006)*S255,
IF(_xlfn.XLOOKUP(E255,Groups!A:A,Groups!N:N)="Primate",EXP(0.7847*LN(C255)+3.4931)*S255,
IF(_xlfn.XLOOKUP(E255,Groups!A:A,Groups!N:N)="MiscCarnivora",EXP(0.7486*LN(C255)+4.2207)*S255,
IF(_xlfn.XLOOKUP(E255,Groups!A:A,Groups!N:N)="Lizard",EXP(0.7733*LN(C255)+5.5303)*S255,
IF(_xlfn.XLOOKUP(E255,Groups!A:A,Groups!N:N)="Snake",50*C255^(2/3)*S255,
IF(_xlfn.XLOOKUP(E255,Groups!A:A,Groups!N:N)="StrongBitingHerbivore",87.1133638856975*C255^(2/3)*S255,
IF(_xlfn.XLOOKUP(E255,Groups!A:A,Groups!N:N)="MiscEctotherms",59.4316884072269*C255^(2/3)*S255,
IF(_xlfn.XLOOKUP(E255,Groups!A:A,Groups!N:N)="StrongBeakBird",0.041*(C255*1000)^1.375*S255,
IF(_xlfn.XLOOKUP(E255,Groups!A:A,Groups!N:N)="Bird",0.118*(C255*1000)^0.692*S255,
IF(_xlfn.XLOOKUP(E255,Groups!A:A,Groups!N:N)="Insect",EXP(0.7444*LN(C255)+6.5696)*S255,
IF(_xlfn.XLOOKUP(E255,Groups!A:A,Groups!N:N)="Theropod",EXP(0.6966*LN(C255)+4.158)*S255,
"No"))))))))))))))))</f>
        <v>2032.5351529348454</v>
      </c>
      <c r="AU255" s="8">
        <f>IF(_xlfn.XLOOKUP(E255,Groups!A:A,Groups!U:U)=3,AS255,IF(_xlfn.XLOOKUP(E255,Groups!A:A,Groups!U:U)=2,AR255,AT255))</f>
        <v>2032.5351529348454</v>
      </c>
      <c r="AV255" s="46">
        <f>IFERROR(AVERAGE(_xlfn.XLOOKUP(B255,Animals!B:B,Animals!N:N),_xlfn.XLOOKUP(B255,Animals!B:B,Animals!O:O)),0)</f>
        <v>0</v>
      </c>
      <c r="AW255" s="8">
        <f>MROUND(40*Animals!AO255*_xlfn.XLOOKUP(AG255,Leathers!$A$2:$A$99,Leathers!$B$2:$B$99,0)+(140*_xlfn.XLOOKUP(B255,Animals!B:B,Animals!AO:AO)*2),5)</f>
        <v>505</v>
      </c>
      <c r="AX255" s="8">
        <f>IFERROR(ROUND(SQRT(V255-1)*IF(_xlfn.XLOOKUP(E255,Groups!A:A,Groups!BF:BF)=0,2,1)*IF(_xlfn.XLOOKUP('Base stats'!E255,Groups!A:A,Groups!O:O)=0,1,0.1),1),0)</f>
        <v>3.5</v>
      </c>
      <c r="AY255" s="8">
        <f t="shared" si="91"/>
        <v>0</v>
      </c>
      <c r="AZ255" s="8">
        <f t="shared" si="92"/>
        <v>0</v>
      </c>
      <c r="BA255" s="8">
        <f t="shared" si="93"/>
        <v>5.3</v>
      </c>
      <c r="BB255" s="8">
        <f>IF(_xlfn.XLOOKUP(E255,Groups!A:A,Groups!N:N)="Insect",BD255*2.5,IFERROR(AVERAGE(BD255,AT255/9.81/IF(OR(_xlfn.XLOOKUP(E255,Groups!A:A,Groups!N:N)="Pig",_xlfn.XLOOKUP(E255,Groups!A:A,Groups!N:N)="StrongBitingHerbivore"),20,25))*C255^-0.135,BD255))</f>
        <v>2.8095826788885021</v>
      </c>
      <c r="BC255" s="8" t="str">
        <f>IF(W255="No","No",IF(_xlfn.XLOOKUP(E255,Groups!A:A,Groups!U:U)=1,'Base stats'!BB255,IF(OR(_xlfn.XLOOKUP(E255,Groups!A:A,Groups!BD:BD)=1,_xlfn.XLOOKUP(E255,Groups!A:A,Groups!U:U)=2),BD255,IF(_xlfn.XLOOKUP(B255,Animals!B:B,Animals!AO:AO)&gt;4,AVERAGE(BD255,BF255),BF255))))</f>
        <v>No</v>
      </c>
      <c r="BD255" s="8">
        <f t="shared" si="94"/>
        <v>3.2021523702866714</v>
      </c>
      <c r="BE255" s="8">
        <f>IF(_xlfn.XLOOKUP(E255,Groups!A:A,Groups!BE:BE)=1,(0.048*C255^1.01)+(0.071*C255^1.03),0.071*C255^1.03)/IF(_xlfn.XLOOKUP(E255,Groups!A:A,Groups!M:M)=1,0.85,IF(OR(_xlfn.XLOOKUP(B255,Animals!B:B,Animals!AO:AO)&gt;4,_xlfn.XLOOKUP(E255,Groups!A:A,Groups!BC:BC)=1),1.7,1))*C255^-0.25</f>
        <v>4.4265130134762103</v>
      </c>
      <c r="BF255" s="8">
        <f>(0.048*C255^1.01)/IF(_xlfn.XLOOKUP(E255,Groups!A:A,Groups!M:M)=1,0.25,0.8)*C255^-0.25</f>
        <v>3.3646046987127658</v>
      </c>
      <c r="BG255" s="8">
        <f>EXP(1.076*LN(AR255)-4.5397)*IF(_xlfn.XLOOKUP(E255,Groups!A:A,Groups!BC:BC)=1,1.25,IF(_xlfn.XLOOKUP(E255,Groups!A:A,Groups!BD:BD)=1,3.5,2.5))</f>
        <v>242.72097948417178</v>
      </c>
      <c r="BH255" s="8">
        <f>EXP(1.076*LN(AS255)-4.5397)*IF(_xlfn.XLOOKUP(E255,Groups!A:A,Groups!M:M)=1,0.8,IF(_xlfn.XLOOKUP(E255,Groups!A:A,Groups!BC:BC)=1,1.3,3))</f>
        <v>293.93735151357987</v>
      </c>
      <c r="BI255" s="8" t="str">
        <f>IF(W255="No","No",IF(_xlfn.XLOOKUP(E255,Groups!A:A,Groups!U:U)=1,'Base stats'!BJ255,IF(OR(_xlfn.XLOOKUP(E255,Groups!A:A,Groups!BD:BD)=1,_xlfn.XLOOKUP(E255,Groups!A:A,Groups!U:U)=2),BG255,BH255))*1.2)</f>
        <v>No</v>
      </c>
      <c r="BJ255" s="8">
        <f>IFERROR(EXP(1.076*LN(AT255)-4.5397)*IF(_xlfn.XLOOKUP(E255,Groups!A:A,Groups!N:N)="Insect",1,IF(OR(_xlfn.XLOOKUP(E255,Groups!A:A,Groups!N:N)="Pig",_xlfn.XLOOKUP(E255,Groups!A:A,Groups!N:N)="StrongBitingHerbivore"),3.5,3.75)),"No")</f>
        <v>145.18226471000062</v>
      </c>
      <c r="BK255" s="8">
        <f t="shared" si="95"/>
        <v>12</v>
      </c>
      <c r="BL255" s="8">
        <f t="shared" si="96"/>
        <v>11</v>
      </c>
      <c r="BM255" s="8" t="str">
        <f t="shared" si="97"/>
        <v>No</v>
      </c>
      <c r="BN255" s="8">
        <f t="shared" si="98"/>
        <v>10</v>
      </c>
      <c r="BO255" s="8">
        <f t="shared" si="99"/>
        <v>13</v>
      </c>
      <c r="BP255" s="8" cm="1">
        <f t="array" ref="BP255">IF(AND(_xlfn.XLOOKUP('Base stats'!E255,Groups!A:A,Groups!AD:AD=0),_xlfn.XLOOKUP('Base stats'!E255,Groups!A:A,Groups!P:P=0)),"No",IF(U255="No",AVERAGE(EXP(-0.57+0.99*LN(C255)),EXP(0.32+0.67*LN(C255)))/IF(_xlfn.XLOOKUP(E255,Groups!A:A,Groups!AD:AD)=1,10,2),(0.7354*C255^0.4078)*2/IF(_xlfn.XLOOKUP(E255,Groups!A:A,Groups!BK:BK)=1,1000,100)/IF(_xlfn.XLOOKUP(E255,Groups!A:A,Groups!AJ:AJ)="Photonozoa",3,1)))</f>
        <v>7.7602344878672103</v>
      </c>
      <c r="BQ255" s="8" t="str">
        <f>IF(W255="No","No",IF(_xlfn.XLOOKUP(E255,Groups!A:A,Groups!BD:BD)=1,(AO255*5%),EXP(0.7354*LN(C255)^0.4078)*2/IF(_xlfn.XLOOKUP(E255,Groups!A:A,Groups!BL:BL)=1,1000,100)/IF(_xlfn.XLOOKUP(E255,Groups!A:A,Groups!AJ:AJ)="Photonozoa",3,1)))</f>
        <v>No</v>
      </c>
      <c r="BR255" s="8">
        <f>IF(BJ255="No","No",IF(_xlfn.XLOOKUP(E255,Groups!A:A,Groups!BF:BF)=1,(0.0315*C255+2.1825)*2,(0.7354*C255^0.4078)*2)/IF(_xlfn.XLOOKUP(E255,Groups!A:A,Groups!BM:BM)=1,1000,100)/IF(_xlfn.XLOOKUP(E255,Groups!A:A,Groups!AJ:AJ)="Photonozoa",3,1))</f>
        <v>0.12761850520553555</v>
      </c>
      <c r="BS255" s="8">
        <f t="shared" si="100"/>
        <v>0.13968341227368164</v>
      </c>
      <c r="BT255" s="8">
        <f t="shared" si="101"/>
        <v>37.87738011952321</v>
      </c>
      <c r="BU255" s="8" t="str">
        <f t="shared" si="102"/>
        <v>No</v>
      </c>
      <c r="BV255" s="8">
        <f t="shared" si="103"/>
        <v>1137.6270586791297</v>
      </c>
      <c r="BW255" s="4">
        <v>0</v>
      </c>
      <c r="BX255" s="4">
        <v>1</v>
      </c>
    </row>
    <row r="256" spans="1:76" s="16" customFormat="1" x14ac:dyDescent="0.25">
      <c r="A256" s="26" t="s">
        <v>1360</v>
      </c>
      <c r="B256" s="6" t="s">
        <v>1613</v>
      </c>
      <c r="C256" s="7">
        <v>70</v>
      </c>
      <c r="D256" s="7" t="s">
        <v>528</v>
      </c>
      <c r="E256" s="7" t="str">
        <f>Groups!$A$74</f>
        <v>Butterfly</v>
      </c>
      <c r="F256" s="7" t="s">
        <v>1700</v>
      </c>
      <c r="G256" s="7" t="s">
        <v>1700</v>
      </c>
      <c r="H256" s="7">
        <v>8</v>
      </c>
      <c r="I256" s="4">
        <v>1</v>
      </c>
      <c r="J256" s="7" t="s">
        <v>1700</v>
      </c>
      <c r="K256" s="7" t="s">
        <v>528</v>
      </c>
      <c r="L256" s="7">
        <v>26</v>
      </c>
      <c r="M256" s="7" t="s">
        <v>528</v>
      </c>
      <c r="N256" s="4">
        <v>0</v>
      </c>
      <c r="O256" s="4">
        <v>0</v>
      </c>
      <c r="P256" s="4">
        <v>100</v>
      </c>
      <c r="Q256" s="4">
        <v>500</v>
      </c>
      <c r="R256" s="4" t="s">
        <v>40</v>
      </c>
      <c r="S256" s="7">
        <f>_xlfn.XLOOKUP(B256,[1]TeethAdjusters!$A:$A,[1]BiteAdjusters!$C:$C,1)</f>
        <v>1</v>
      </c>
      <c r="T256" s="7">
        <f>_xlfn.XLOOKUP(B256,[1]TeethAdjusters!$A:$A,[1]TeethAdjusters!$B:$B,1)</f>
        <v>1</v>
      </c>
      <c r="U256" s="7" t="str">
        <f>IF(OR(_xlfn.XLOOKUP(E256,Groups!A:A,Groups!P:P)=1,_xlfn.XLOOKUP(E256,Groups!A:A,Groups!AD:AD)=1),"Need a formula","No")</f>
        <v>No</v>
      </c>
      <c r="V256" s="7" t="str">
        <f>IF(AT256="No","No",IF(_xlfn.XLOOKUP(E256,Groups!A:A,Groups!AM:AM)=1,MROUND(EXP(0.3582*LN(C256)-0.2221)*T256,0.05),IF(_xlfn.XLOOKUP(E256,Groups!A:A,Groups!AM:AM)=2,MROUND(EXP(0.3582*LN(C256)-0.2221)*T256,0.05),"Need a formula")))</f>
        <v>No</v>
      </c>
      <c r="W256" s="7" t="str">
        <f>IF(_xlfn.XLOOKUP(E256,Groups!A:A,Groups!V:V)&lt;&gt;"No","Need a formula","No")</f>
        <v>No</v>
      </c>
      <c r="X256" s="7" t="s">
        <v>932</v>
      </c>
      <c r="Y256" s="4" t="s">
        <v>42</v>
      </c>
      <c r="Z256" s="4">
        <v>1</v>
      </c>
      <c r="AA256" s="4">
        <v>0</v>
      </c>
      <c r="AB256" s="4">
        <v>0</v>
      </c>
      <c r="AC256" s="4">
        <v>0</v>
      </c>
      <c r="AD256" s="4">
        <v>0</v>
      </c>
      <c r="AE256" s="4" t="s">
        <v>45</v>
      </c>
      <c r="AF256" s="4" t="s">
        <v>45</v>
      </c>
      <c r="AG256" s="49" t="s">
        <v>1712</v>
      </c>
      <c r="AH256" s="4" t="str">
        <f>Animals!$C$105</f>
        <v>&lt;li&gt;Megaspider&lt;/li&gt;</v>
      </c>
      <c r="AI256" s="4">
        <v>0</v>
      </c>
      <c r="AJ256" s="4">
        <v>0</v>
      </c>
      <c r="AK256" s="4">
        <v>0</v>
      </c>
      <c r="AL256" s="4">
        <v>0</v>
      </c>
      <c r="AM256" s="4">
        <v>1</v>
      </c>
      <c r="AN256" s="44" t="s">
        <v>40</v>
      </c>
      <c r="AO256" s="8">
        <f t="shared" si="89"/>
        <v>17564.536938929268</v>
      </c>
      <c r="AP256" s="8">
        <f>IFERROR(C256*_xlfn.XLOOKUP(E256,Groups!A:A,Groups!K:K),0.106*C256^0.94)</f>
        <v>22.400000000000002</v>
      </c>
      <c r="AQ256" s="8">
        <f>AP256*10000/(_xlfn.XLOOKUP(E256,Groups!A:A,Groups!J:J)*AO256)</f>
        <v>10.627474400019445</v>
      </c>
      <c r="AR256" s="8">
        <f t="shared" si="90"/>
        <v>1967.863924091341</v>
      </c>
      <c r="AS256" s="8">
        <f>IF(_xlfn.XLOOKUP(E256,Groups!A:A,Groups!M:M)=1,EXP(0.7444*LN('Base stats'!C256)+6.5696),EXP(0.7927*LN('Base stats'!C256)+4.28))</f>
        <v>2095.9918946402931</v>
      </c>
      <c r="AT256" s="8" t="str">
        <f>IF(_xlfn.XLOOKUP(E256,Groups!A:A,Groups!N:N)="No","No",
IF(_xlfn.XLOOKUP(E256,Groups!A:A,Groups!N:N)="Crocodile",EXP(0.8129*LN(C256)+4.6742)*S256,
IF(_xlfn.XLOOKUP(E256,Groups!A:A,Groups!N:N)="Felid",EXP(0.7843*LN(C256)+4.7073)*S256,
IF(_xlfn.XLOOKUP(E256,Groups!A:A,Groups!N:N)="Canid",EXP(0.8367*LN(C256)+4.8763)*S256,
IF(_xlfn.XLOOKUP(E256,Groups!A:A,Groups!N:N)="Pig",EXP(0.3439*LN(C256)+6.8519)*S256,
IF(_xlfn.XLOOKUP(E256,Groups!A:A,Groups!N:N)="Rodent",EXP(0.5625*LN(C256)+4.3006)*S256,
IF(_xlfn.XLOOKUP(E256,Groups!A:A,Groups!N:N)="Primate",EXP(0.7847*LN(C256)+3.4931)*S256,
IF(_xlfn.XLOOKUP(E256,Groups!A:A,Groups!N:N)="MiscCarnivora",EXP(0.7486*LN(C256)+4.2207)*S256,
IF(_xlfn.XLOOKUP(E256,Groups!A:A,Groups!N:N)="Lizard",EXP(0.7733*LN(C256)+5.5303)*S256,
IF(_xlfn.XLOOKUP(E256,Groups!A:A,Groups!N:N)="Snake",50*C256^(2/3)*S256,
IF(_xlfn.XLOOKUP(E256,Groups!A:A,Groups!N:N)="StrongBitingHerbivore",87.1133638856975*C256^(2/3)*S256,
IF(_xlfn.XLOOKUP(E256,Groups!A:A,Groups!N:N)="MiscEctotherms",59.4316884072269*C256^(2/3)*S256,
IF(_xlfn.XLOOKUP(E256,Groups!A:A,Groups!N:N)="StrongBeakBird",0.041*(C256*1000)^1.375*S256,
IF(_xlfn.XLOOKUP(E256,Groups!A:A,Groups!N:N)="Bird",0.118*(C256*1000)^0.692*S256,
IF(_xlfn.XLOOKUP(E256,Groups!A:A,Groups!N:N)="Insect",EXP(0.7444*LN(C256)+6.5696)*S256,
IF(_xlfn.XLOOKUP(E256,Groups!A:A,Groups!N:N)="Theropod",EXP(0.6966*LN(C256)+4.158)*S256,
"No"))))))))))))))))</f>
        <v>No</v>
      </c>
      <c r="AU256" s="8" t="str">
        <f>IF(_xlfn.XLOOKUP(E256,Groups!A:A,Groups!U:U)=3,AS256,IF(_xlfn.XLOOKUP(E256,Groups!A:A,Groups!U:U)=2,AR256,AT256))</f>
        <v>No</v>
      </c>
      <c r="AV256" s="46">
        <f>IFERROR(AVERAGE(_xlfn.XLOOKUP(B256,Animals!B:B,Animals!N:N),_xlfn.XLOOKUP(B256,Animals!B:B,Animals!O:O)),0)</f>
        <v>0.32500000000000001</v>
      </c>
      <c r="AW256" s="8">
        <f>MROUND(40*Animals!AO256*_xlfn.XLOOKUP(AG256,Leathers!$A$2:$A$99,Leathers!$B$2:$B$99,0)+(140*_xlfn.XLOOKUP(B256,Animals!B:B,Animals!AO:AO)*2),5)</f>
        <v>280</v>
      </c>
      <c r="AX256" s="8">
        <f>IFERROR(ROUND(SQRT(V256-1)*IF(_xlfn.XLOOKUP(E256,Groups!A:A,Groups!BF:BF)=0,2,1)*IF(_xlfn.XLOOKUP('Base stats'!E256,Groups!A:A,Groups!O:O)=0,1,0.1),1),0)</f>
        <v>0</v>
      </c>
      <c r="AY256" s="8">
        <f t="shared" si="91"/>
        <v>0</v>
      </c>
      <c r="AZ256" s="8">
        <f t="shared" si="92"/>
        <v>0</v>
      </c>
      <c r="BA256" s="8">
        <f t="shared" si="93"/>
        <v>3.7</v>
      </c>
      <c r="BB256" s="8">
        <f>IF(_xlfn.XLOOKUP(E256,Groups!A:A,Groups!N:N)="Insect",BD256*2.5,IFERROR(AVERAGE(BD256,AT256/9.81/IF(OR(_xlfn.XLOOKUP(E256,Groups!A:A,Groups!N:N)="Pig",_xlfn.XLOOKUP(E256,Groups!A:A,Groups!N:N)="StrongBitingHerbivore"),20,25))*C256^-0.135,BD256))</f>
        <v>0.96491706949761447</v>
      </c>
      <c r="BC256" s="8" t="str">
        <f>IF(W256="No","No",IF(_xlfn.XLOOKUP(E256,Groups!A:A,Groups!U:U)=1,'Base stats'!BB256,IF(OR(_xlfn.XLOOKUP(E256,Groups!A:A,Groups!BD:BD)=1,_xlfn.XLOOKUP(E256,Groups!A:A,Groups!U:U)=2),BD256,IF(_xlfn.XLOOKUP(B256,Animals!B:B,Animals!AO:AO)&gt;4,AVERAGE(BD256,BF256),BF256))))</f>
        <v>No</v>
      </c>
      <c r="BD256" s="8">
        <f t="shared" si="94"/>
        <v>0.96491706949761447</v>
      </c>
      <c r="BE256" s="8">
        <f>IF(_xlfn.XLOOKUP(E256,Groups!A:A,Groups!BE:BE)=1,(0.048*C256^1.01)+(0.071*C256^1.03),0.071*C256^1.03)/IF(_xlfn.XLOOKUP(E256,Groups!A:A,Groups!M:M)=1,0.85,IF(OR(_xlfn.XLOOKUP(B256,Animals!B:B,Animals!AO:AO)&gt;4,_xlfn.XLOOKUP(E256,Groups!A:A,Groups!BC:BC)=1),1.7,1))*C256^-0.25</f>
        <v>1.1481163418018743</v>
      </c>
      <c r="BF256" s="8">
        <f>(0.048*C256^1.01)/IF(_xlfn.XLOOKUP(E256,Groups!A:A,Groups!M:M)=1,0.25,0.8)*C256^-0.25</f>
        <v>1.515045796469928</v>
      </c>
      <c r="BG256" s="8">
        <f>EXP(1.076*LN(AR256)-4.5397)*IF(_xlfn.XLOOKUP(E256,Groups!A:A,Groups!BC:BC)=1,1.25,IF(_xlfn.XLOOKUP(E256,Groups!A:A,Groups!BD:BD)=1,3.5,2.5))</f>
        <v>46.739282636034801</v>
      </c>
      <c r="BH256" s="8">
        <f>EXP(1.076*LN(AS256)-4.5397)*IF(_xlfn.XLOOKUP(E256,Groups!A:A,Groups!M:M)=1,0.8,IF(_xlfn.XLOOKUP(E256,Groups!A:A,Groups!BC:BC)=1,1.3,3))</f>
        <v>52.022581732173485</v>
      </c>
      <c r="BI256" s="8" t="str">
        <f>IF(W256="No","No",IF(_xlfn.XLOOKUP(E256,Groups!A:A,Groups!U:U)=1,'Base stats'!BJ256,IF(OR(_xlfn.XLOOKUP(E256,Groups!A:A,Groups!BD:BD)=1,_xlfn.XLOOKUP(E256,Groups!A:A,Groups!U:U)=2),BG256,BH256))*1.2)</f>
        <v>No</v>
      </c>
      <c r="BJ256" s="8" t="str">
        <f>IFERROR(EXP(1.076*LN(AT256)-4.5397)*IF(_xlfn.XLOOKUP(E256,Groups!A:A,Groups!N:N)="Insect",1,IF(OR(_xlfn.XLOOKUP(E256,Groups!A:A,Groups!N:N)="Pig",_xlfn.XLOOKUP(E256,Groups!A:A,Groups!N:N)="StrongBitingHerbivore"),3.5,3.75)),"No")</f>
        <v>No</v>
      </c>
      <c r="BK256" s="8">
        <f t="shared" si="95"/>
        <v>9</v>
      </c>
      <c r="BL256" s="8">
        <f t="shared" si="96"/>
        <v>9</v>
      </c>
      <c r="BM256" s="8" t="str">
        <f t="shared" si="97"/>
        <v>No</v>
      </c>
      <c r="BN256" s="8" t="str">
        <f t="shared" si="98"/>
        <v>No</v>
      </c>
      <c r="BO256" s="8">
        <f t="shared" si="99"/>
        <v>8</v>
      </c>
      <c r="BP256" s="8" t="str" cm="1">
        <f t="array" ref="BP256">IF(AND(_xlfn.XLOOKUP('Base stats'!E256,Groups!A:A,Groups!AD:AD=0),_xlfn.XLOOKUP('Base stats'!E256,Groups!A:A,Groups!P:P=0)),"No",IF(U256="No",AVERAGE(EXP(-0.57+0.99*LN(C256)),EXP(0.32+0.67*LN(C256)))/IF(_xlfn.XLOOKUP(E256,Groups!A:A,Groups!AD:AD)=1,10,2),(0.7354*C256^0.4078)*2/IF(_xlfn.XLOOKUP(E256,Groups!A:A,Groups!BK:BK)=1,1000,100)/IF(_xlfn.XLOOKUP(E256,Groups!A:A,Groups!AJ:AJ)="Photonozoa",3,1)))</f>
        <v>No</v>
      </c>
      <c r="BQ256" s="8" t="str">
        <f>IF(W256="No","No",IF(_xlfn.XLOOKUP(E256,Groups!A:A,Groups!BD:BD)=1,(AO256*5%),EXP(0.7354*LN(C256)^0.4078)*2/IF(_xlfn.XLOOKUP(E256,Groups!A:A,Groups!BL:BL)=1,1000,100)/IF(_xlfn.XLOOKUP(E256,Groups!A:A,Groups!AJ:AJ)="Photonozoa",3,1)))</f>
        <v>No</v>
      </c>
      <c r="BR256" s="8" t="str">
        <f>IF(BJ256="No","No",IF(_xlfn.XLOOKUP(E256,Groups!A:A,Groups!BF:BF)=1,(0.0315*C256+2.1825)*2,(0.7354*C256^0.4078)*2)/IF(_xlfn.XLOOKUP(E256,Groups!A:A,Groups!BM:BM)=1,1000,100)/IF(_xlfn.XLOOKUP(E256,Groups!A:A,Groups!AJ:AJ)="Photonozoa",3,1))</f>
        <v>No</v>
      </c>
      <c r="BS256" s="8">
        <f t="shared" si="100"/>
        <v>5.3220056752471406E-2</v>
      </c>
      <c r="BT256" s="8" t="str">
        <f t="shared" si="101"/>
        <v>No</v>
      </c>
      <c r="BU256" s="8" t="str">
        <f t="shared" si="102"/>
        <v>No</v>
      </c>
      <c r="BV256" s="8" t="str">
        <f t="shared" si="103"/>
        <v>No</v>
      </c>
      <c r="BW256" s="4">
        <v>0</v>
      </c>
      <c r="BX256" s="4">
        <v>1</v>
      </c>
    </row>
    <row r="257" spans="1:76" s="16" customFormat="1" x14ac:dyDescent="0.25">
      <c r="A257" s="26" t="s">
        <v>1462</v>
      </c>
      <c r="B257" s="6" t="s">
        <v>1647</v>
      </c>
      <c r="C257" s="7">
        <v>70</v>
      </c>
      <c r="D257" s="7" t="s">
        <v>528</v>
      </c>
      <c r="E257" s="7" t="str">
        <f>Groups!$A$118</f>
        <v>Human (MYCOTICHUSK)</v>
      </c>
      <c r="F257" s="7" t="s">
        <v>1700</v>
      </c>
      <c r="G257" s="7" t="s">
        <v>1700</v>
      </c>
      <c r="H257" s="7">
        <v>85</v>
      </c>
      <c r="I257" s="4">
        <v>1</v>
      </c>
      <c r="J257" s="7" t="s">
        <v>1700</v>
      </c>
      <c r="K257" s="7" t="s">
        <v>528</v>
      </c>
      <c r="L257" s="7">
        <v>24</v>
      </c>
      <c r="M257" s="7" t="s">
        <v>528</v>
      </c>
      <c r="N257" s="4">
        <v>0</v>
      </c>
      <c r="O257" s="4">
        <v>0</v>
      </c>
      <c r="P257" s="4">
        <v>0</v>
      </c>
      <c r="Q257" s="4">
        <v>0</v>
      </c>
      <c r="R257" s="4">
        <v>1</v>
      </c>
      <c r="S257" s="7">
        <f>_xlfn.XLOOKUP(B257,[1]TeethAdjusters!$A:$A,[1]BiteAdjusters!$C:$C,1)</f>
        <v>1</v>
      </c>
      <c r="T257" s="7">
        <f>_xlfn.XLOOKUP(B257,[1]TeethAdjusters!$A:$A,[1]TeethAdjusters!$B:$B,1)</f>
        <v>1</v>
      </c>
      <c r="U257" s="7" t="s">
        <v>45</v>
      </c>
      <c r="V257" s="7">
        <v>1.5</v>
      </c>
      <c r="W257" s="7" t="str">
        <f>IF(_xlfn.XLOOKUP(E257,Groups!A:A,Groups!V:V)&lt;&gt;"No","Need a formula","No")</f>
        <v>No</v>
      </c>
      <c r="X257" s="7" t="s">
        <v>932</v>
      </c>
      <c r="Y257" s="4" t="s">
        <v>1792</v>
      </c>
      <c r="Z257" s="4">
        <v>1</v>
      </c>
      <c r="AA257" s="4">
        <v>0</v>
      </c>
      <c r="AB257" s="4">
        <v>1</v>
      </c>
      <c r="AC257" s="4">
        <v>0</v>
      </c>
      <c r="AD257" s="4">
        <v>0</v>
      </c>
      <c r="AE257" s="4" t="s">
        <v>45</v>
      </c>
      <c r="AF257" s="4" t="s">
        <v>45</v>
      </c>
      <c r="AG257" s="49" t="s">
        <v>45</v>
      </c>
      <c r="AH257" s="4" t="s">
        <v>45</v>
      </c>
      <c r="AI257" s="4">
        <v>0</v>
      </c>
      <c r="AJ257" s="4">
        <v>0</v>
      </c>
      <c r="AK257" s="4">
        <v>0</v>
      </c>
      <c r="AL257" s="4">
        <v>0</v>
      </c>
      <c r="AM257" s="4">
        <v>1</v>
      </c>
      <c r="AN257" s="44" t="s">
        <v>40</v>
      </c>
      <c r="AO257" s="8">
        <f t="shared" si="89"/>
        <v>17564.536938929268</v>
      </c>
      <c r="AP257" s="8">
        <f>IFERROR(C257*_xlfn.XLOOKUP(E257,Groups!A:A,Groups!K:K),0.106*C257^0.94)</f>
        <v>5.7503995690030791</v>
      </c>
      <c r="AQ257" s="8">
        <f>AP257*10000/(_xlfn.XLOOKUP(E257,Groups!A:A,Groups!J:J)*AO257)</f>
        <v>3.273869154078378</v>
      </c>
      <c r="AR257" s="8">
        <f t="shared" si="90"/>
        <v>1967.863924091341</v>
      </c>
      <c r="AS257" s="8">
        <f>IF(_xlfn.XLOOKUP(E257,Groups!A:A,Groups!M:M)=1,EXP(0.7444*LN('Base stats'!C257)+6.5696),EXP(0.7927*LN('Base stats'!C257)+4.28))</f>
        <v>2095.9918946402931</v>
      </c>
      <c r="AT257" s="8">
        <f>IF(_xlfn.XLOOKUP(E257,Groups!A:A,Groups!N:N)="No","No",
IF(_xlfn.XLOOKUP(E257,Groups!A:A,Groups!N:N)="Crocodile",EXP(0.8129*LN(C257)+4.6742)*S257,
IF(_xlfn.XLOOKUP(E257,Groups!A:A,Groups!N:N)="Felid",EXP(0.7843*LN(C257)+4.7073)*S257,
IF(_xlfn.XLOOKUP(E257,Groups!A:A,Groups!N:N)="Canid",EXP(0.8367*LN(C257)+4.8763)*S257,
IF(_xlfn.XLOOKUP(E257,Groups!A:A,Groups!N:N)="Pig",EXP(0.3439*LN(C257)+6.8519)*S257,
IF(_xlfn.XLOOKUP(E257,Groups!A:A,Groups!N:N)="Rodent",EXP(0.5625*LN(C257)+4.3006)*S257,
IF(_xlfn.XLOOKUP(E257,Groups!A:A,Groups!N:N)="Primate",EXP(0.7847*LN(C257)+3.4931)*S257,
IF(_xlfn.XLOOKUP(E257,Groups!A:A,Groups!N:N)="MiscCarnivora",EXP(0.7486*LN(C257)+4.2207)*S257,
IF(_xlfn.XLOOKUP(E257,Groups!A:A,Groups!N:N)="Lizard",EXP(0.7733*LN(C257)+5.5303)*S257,
IF(_xlfn.XLOOKUP(E257,Groups!A:A,Groups!N:N)="Snake",50*C257^(2/3)*S257,
IF(_xlfn.XLOOKUP(E257,Groups!A:A,Groups!N:N)="StrongBitingHerbivore",87.1133638856975*C257^(2/3)*S257,
IF(_xlfn.XLOOKUP(E257,Groups!A:A,Groups!N:N)="MiscEctotherms",59.4316884072269*C257^(2/3)*S257,
IF(_xlfn.XLOOKUP(E257,Groups!A:A,Groups!N:N)="StrongBeakBird",0.041*(C257*1000)^1.375*S257,
IF(_xlfn.XLOOKUP(E257,Groups!A:A,Groups!N:N)="Bird",0.118*(C257*1000)^0.692*S257,
IF(_xlfn.XLOOKUP(E257,Groups!A:A,Groups!N:N)="Insect",EXP(0.7444*LN(C257)+6.5696)*S257,
IF(_xlfn.XLOOKUP(E257,Groups!A:A,Groups!N:N)="Theropod",EXP(0.6966*LN(C257)+4.158)*S257,
"No"))))))))))))))))</f>
        <v>922.32182758943668</v>
      </c>
      <c r="AU257" s="8">
        <f>IF(_xlfn.XLOOKUP(E257,Groups!A:A,Groups!U:U)=3,AS257,IF(_xlfn.XLOOKUP(E257,Groups!A:A,Groups!U:U)=2,AR257,AT257))</f>
        <v>922.32182758943668</v>
      </c>
      <c r="AV257" s="46">
        <f>IFERROR(AVERAGE(_xlfn.XLOOKUP(B257,Animals!B:B,Animals!N:N),_xlfn.XLOOKUP(B257,Animals!B:B,Animals!O:O)),0)</f>
        <v>0.52500000000000002</v>
      </c>
      <c r="AW257" s="8">
        <f>MROUND(40*Animals!AO257*_xlfn.XLOOKUP(AG257,Leathers!$A$2:$A$99,Leathers!$B$2:$B$99,0)+(140*_xlfn.XLOOKUP(B257,Animals!B:B,Animals!AO:AO)*2),5)</f>
        <v>280</v>
      </c>
      <c r="AX257" s="8">
        <f>IFERROR(ROUND(SQRT(V257-1)*IF(_xlfn.XLOOKUP(E257,Groups!A:A,Groups!BF:BF)=0,2,1)*IF(_xlfn.XLOOKUP('Base stats'!E257,Groups!A:A,Groups!O:O)=0,1,0.1),1),0)</f>
        <v>1.4</v>
      </c>
      <c r="AY257" s="8">
        <f t="shared" si="91"/>
        <v>0</v>
      </c>
      <c r="AZ257" s="8">
        <f t="shared" si="92"/>
        <v>0</v>
      </c>
      <c r="BA257" s="8">
        <f t="shared" si="93"/>
        <v>3.7</v>
      </c>
      <c r="BB257" s="8">
        <f>IF(_xlfn.XLOOKUP(E257,Groups!A:A,Groups!N:N)="Insect",BD257*2.5,IFERROR(AVERAGE(BD257,AT257/9.81/IF(OR(_xlfn.XLOOKUP(E257,Groups!A:A,Groups!N:N)="Pig",_xlfn.XLOOKUP(E257,Groups!A:A,Groups!N:N)="StrongBitingHerbivore"),20,25))*C257^-0.135,BD257))</f>
        <v>1.4367218106239352</v>
      </c>
      <c r="BC257" s="8" t="str">
        <f>IF(W257="No","No",IF(_xlfn.XLOOKUP(E257,Groups!A:A,Groups!U:U)=1,'Base stats'!BB257,IF(OR(_xlfn.XLOOKUP(E257,Groups!A:A,Groups!BD:BD)=1,_xlfn.XLOOKUP(E257,Groups!A:A,Groups!U:U)=2),BD257,IF(_xlfn.XLOOKUP(B257,Animals!B:B,Animals!AO:AO)&gt;4,AVERAGE(BD257,BF257),BF257))))</f>
        <v>No</v>
      </c>
      <c r="BD257" s="8">
        <f t="shared" si="94"/>
        <v>1.3383279200893237</v>
      </c>
      <c r="BE257" s="8">
        <f>IF(_xlfn.XLOOKUP(E257,Groups!A:A,Groups!BE:BE)=1,(0.048*C257^1.01)+(0.071*C257^1.03),0.071*C257^1.03)/IF(_xlfn.XLOOKUP(E257,Groups!A:A,Groups!M:M)=1,0.85,IF(OR(_xlfn.XLOOKUP(B257,Animals!B:B,Animals!AO:AO)&gt;4,_xlfn.XLOOKUP(E257,Groups!A:A,Groups!BC:BC)=1),1.7,1))*C257^-0.25</f>
        <v>1.8610790695524286</v>
      </c>
      <c r="BF257" s="8">
        <f>(0.048*C257^1.01)/IF(_xlfn.XLOOKUP(E257,Groups!A:A,Groups!M:M)=1,0.25,0.8)*C257^-0.25</f>
        <v>1.515045796469928</v>
      </c>
      <c r="BG257" s="8">
        <f>EXP(1.076*LN(AR257)-4.5397)*IF(_xlfn.XLOOKUP(E257,Groups!A:A,Groups!BC:BC)=1,1.25,IF(_xlfn.XLOOKUP(E257,Groups!A:A,Groups!BD:BD)=1,3.5,2.5))</f>
        <v>46.739282636034801</v>
      </c>
      <c r="BH257" s="8">
        <f>EXP(1.076*LN(AS257)-4.5397)*IF(_xlfn.XLOOKUP(E257,Groups!A:A,Groups!M:M)=1,0.8,IF(_xlfn.XLOOKUP(E257,Groups!A:A,Groups!BC:BC)=1,1.3,3))</f>
        <v>52.022581732173485</v>
      </c>
      <c r="BI257" s="8" t="str">
        <f>IF(W257="No","No",IF(_xlfn.XLOOKUP(E257,Groups!A:A,Groups!U:U)=1,'Base stats'!BJ257,IF(OR(_xlfn.XLOOKUP(E257,Groups!A:A,Groups!BD:BD)=1,_xlfn.XLOOKUP(E257,Groups!A:A,Groups!U:U)=2),BG257,BH257))*1.2)</f>
        <v>No</v>
      </c>
      <c r="BJ257" s="8">
        <f>IFERROR(EXP(1.076*LN(AT257)-4.5397)*IF(_xlfn.XLOOKUP(E257,Groups!A:A,Groups!N:N)="Insect",1,IF(OR(_xlfn.XLOOKUP(E257,Groups!A:A,Groups!N:N)="Pig",_xlfn.XLOOKUP(E257,Groups!A:A,Groups!N:N)="StrongBitingHerbivore"),3.5,3.75)),"No")</f>
        <v>62.040910664500117</v>
      </c>
      <c r="BK257" s="8">
        <f t="shared" si="95"/>
        <v>8</v>
      </c>
      <c r="BL257" s="8">
        <f t="shared" si="96"/>
        <v>7</v>
      </c>
      <c r="BM257" s="8" t="str">
        <f t="shared" si="97"/>
        <v>No</v>
      </c>
      <c r="BN257" s="8">
        <f t="shared" si="98"/>
        <v>9</v>
      </c>
      <c r="BO257" s="8">
        <f t="shared" si="99"/>
        <v>8</v>
      </c>
      <c r="BP257" s="8" cm="1">
        <f t="array" ref="BP257">IF(AND(_xlfn.XLOOKUP('Base stats'!E257,Groups!A:A,Groups!AD:AD=0),_xlfn.XLOOKUP('Base stats'!E257,Groups!A:A,Groups!P:P=0)),"No",IF(U257="No",AVERAGE(EXP(-0.57+0.99*LN(C257)),EXP(0.32+0.67*LN(C257)))/IF(_xlfn.XLOOKUP(E257,Groups!A:A,Groups!AD:AD)=1,10,2),(0.7354*C257^0.4078)*2/IF(_xlfn.XLOOKUP(E257,Groups!A:A,Groups!BK:BK)=1,1000,100)/IF(_xlfn.XLOOKUP(E257,Groups!A:A,Groups!AJ:AJ)="Photonozoa",3,1)))</f>
        <v>3.0832136828916186</v>
      </c>
      <c r="BQ257" s="8" t="str">
        <f>IF(W257="No","No",IF(_xlfn.XLOOKUP(E257,Groups!A:A,Groups!BD:BD)=1,(AO257*5%),EXP(0.7354*LN(C257)^0.4078)*2/IF(_xlfn.XLOOKUP(E257,Groups!A:A,Groups!BL:BL)=1,1000,100)/IF(_xlfn.XLOOKUP(E257,Groups!A:A,Groups!AJ:AJ)="Photonozoa",3,1)))</f>
        <v>No</v>
      </c>
      <c r="BR257" s="8">
        <f>IF(BJ257="No","No",IF(_xlfn.XLOOKUP(E257,Groups!A:A,Groups!BF:BF)=1,(0.0315*C257+2.1825)*2,(0.7354*C257^0.4078)*2)/IF(_xlfn.XLOOKUP(E257,Groups!A:A,Groups!BM:BM)=1,1000,100)/IF(_xlfn.XLOOKUP(E257,Groups!A:A,Groups!AJ:AJ)="Photonozoa",3,1))</f>
        <v>8.3173428110674564E-3</v>
      </c>
      <c r="BS257" s="8">
        <f t="shared" si="100"/>
        <v>5.3220056752471406E-2</v>
      </c>
      <c r="BT257" s="8">
        <f t="shared" si="101"/>
        <v>16.872843429840923</v>
      </c>
      <c r="BU257" s="8" t="str">
        <f t="shared" si="102"/>
        <v>No</v>
      </c>
      <c r="BV257" s="8">
        <f t="shared" si="103"/>
        <v>7459.222503363153</v>
      </c>
      <c r="BW257" s="4">
        <v>0</v>
      </c>
      <c r="BX257" s="4">
        <v>1</v>
      </c>
    </row>
    <row r="258" spans="1:76" s="16" customFormat="1" x14ac:dyDescent="0.25">
      <c r="A258" s="26" t="s">
        <v>1508</v>
      </c>
      <c r="B258" s="6" t="s">
        <v>1664</v>
      </c>
      <c r="C258" s="7">
        <v>70</v>
      </c>
      <c r="D258" s="7" t="s">
        <v>528</v>
      </c>
      <c r="E258" s="7" t="str">
        <f>Groups!$A$117</f>
        <v>Human (MIME)</v>
      </c>
      <c r="F258" s="7" t="s">
        <v>1700</v>
      </c>
      <c r="G258" s="7" t="s">
        <v>1700</v>
      </c>
      <c r="H258" s="7">
        <v>85</v>
      </c>
      <c r="I258" s="4">
        <v>1</v>
      </c>
      <c r="J258" s="7" t="s">
        <v>1700</v>
      </c>
      <c r="K258" s="7" t="s">
        <v>528</v>
      </c>
      <c r="L258" s="7">
        <v>24</v>
      </c>
      <c r="M258" s="7" t="s">
        <v>528</v>
      </c>
      <c r="N258" s="4">
        <v>0</v>
      </c>
      <c r="O258" s="4">
        <v>0</v>
      </c>
      <c r="P258" s="4">
        <v>0</v>
      </c>
      <c r="Q258" s="4">
        <v>0</v>
      </c>
      <c r="R258" s="4">
        <v>1</v>
      </c>
      <c r="S258" s="7">
        <f>_xlfn.XLOOKUP(B258,[1]TeethAdjusters!$A:$A,[1]BiteAdjusters!$C:$C,1)</f>
        <v>1</v>
      </c>
      <c r="T258" s="7">
        <f>_xlfn.XLOOKUP(B258,[1]TeethAdjusters!$A:$A,[1]TeethAdjusters!$B:$B,1)</f>
        <v>1</v>
      </c>
      <c r="U258" s="7" t="s">
        <v>45</v>
      </c>
      <c r="V258" s="7">
        <v>1.5</v>
      </c>
      <c r="W258" s="7" t="str">
        <f>IF(_xlfn.XLOOKUP(E258,Groups!A:A,Groups!V:V)&lt;&gt;"No","Need a formula","No")</f>
        <v>No</v>
      </c>
      <c r="X258" s="7" t="s">
        <v>932</v>
      </c>
      <c r="Y258" s="4" t="s">
        <v>1792</v>
      </c>
      <c r="Z258" s="4">
        <v>1</v>
      </c>
      <c r="AA258" s="4">
        <v>0</v>
      </c>
      <c r="AB258" s="4">
        <v>1</v>
      </c>
      <c r="AC258" s="4">
        <v>0</v>
      </c>
      <c r="AD258" s="4">
        <v>0</v>
      </c>
      <c r="AE258" s="4" t="s">
        <v>45</v>
      </c>
      <c r="AF258" s="4" t="s">
        <v>45</v>
      </c>
      <c r="AG258" s="49" t="s">
        <v>384</v>
      </c>
      <c r="AH258" s="4" t="s">
        <v>1815</v>
      </c>
      <c r="AI258" s="4">
        <v>0</v>
      </c>
      <c r="AJ258" s="4">
        <v>0</v>
      </c>
      <c r="AK258" s="4">
        <v>0</v>
      </c>
      <c r="AL258" s="4">
        <v>0</v>
      </c>
      <c r="AM258" s="4">
        <v>1</v>
      </c>
      <c r="AN258" s="44" t="s">
        <v>40</v>
      </c>
      <c r="AO258" s="8">
        <f t="shared" si="89"/>
        <v>17564.536938929268</v>
      </c>
      <c r="AP258" s="8">
        <f>IFERROR(C258*_xlfn.XLOOKUP(E258,Groups!A:A,Groups!K:K),0.106*C258^0.94)</f>
        <v>5.7503995690030791</v>
      </c>
      <c r="AQ258" s="8">
        <f>AP258*10000/(_xlfn.XLOOKUP(E258,Groups!A:A,Groups!J:J)*AO258)</f>
        <v>3.0035496826407138</v>
      </c>
      <c r="AR258" s="8">
        <f t="shared" si="90"/>
        <v>1967.863924091341</v>
      </c>
      <c r="AS258" s="8">
        <f>IF(_xlfn.XLOOKUP(E258,Groups!A:A,Groups!M:M)=1,EXP(0.7444*LN('Base stats'!C258)+6.5696),EXP(0.7927*LN('Base stats'!C258)+4.28))</f>
        <v>2095.9918946402931</v>
      </c>
      <c r="AT258" s="8">
        <f>IF(_xlfn.XLOOKUP(E258,Groups!A:A,Groups!N:N)="No","No",
IF(_xlfn.XLOOKUP(E258,Groups!A:A,Groups!N:N)="Crocodile",EXP(0.8129*LN(C258)+4.6742)*S258,
IF(_xlfn.XLOOKUP(E258,Groups!A:A,Groups!N:N)="Felid",EXP(0.7843*LN(C258)+4.7073)*S258,
IF(_xlfn.XLOOKUP(E258,Groups!A:A,Groups!N:N)="Canid",EXP(0.8367*LN(C258)+4.8763)*S258,
IF(_xlfn.XLOOKUP(E258,Groups!A:A,Groups!N:N)="Pig",EXP(0.3439*LN(C258)+6.8519)*S258,
IF(_xlfn.XLOOKUP(E258,Groups!A:A,Groups!N:N)="Rodent",EXP(0.5625*LN(C258)+4.3006)*S258,
IF(_xlfn.XLOOKUP(E258,Groups!A:A,Groups!N:N)="Primate",EXP(0.7847*LN(C258)+3.4931)*S258,
IF(_xlfn.XLOOKUP(E258,Groups!A:A,Groups!N:N)="MiscCarnivora",EXP(0.7486*LN(C258)+4.2207)*S258,
IF(_xlfn.XLOOKUP(E258,Groups!A:A,Groups!N:N)="Lizard",EXP(0.7733*LN(C258)+5.5303)*S258,
IF(_xlfn.XLOOKUP(E258,Groups!A:A,Groups!N:N)="Snake",50*C258^(2/3)*S258,
IF(_xlfn.XLOOKUP(E258,Groups!A:A,Groups!N:N)="StrongBitingHerbivore",87.1133638856975*C258^(2/3)*S258,
IF(_xlfn.XLOOKUP(E258,Groups!A:A,Groups!N:N)="MiscEctotherms",59.4316884072269*C258^(2/3)*S258,
IF(_xlfn.XLOOKUP(E258,Groups!A:A,Groups!N:N)="StrongBeakBird",0.041*(C258*1000)^1.375*S258,
IF(_xlfn.XLOOKUP(E258,Groups!A:A,Groups!N:N)="Bird",0.118*(C258*1000)^0.692*S258,
IF(_xlfn.XLOOKUP(E258,Groups!A:A,Groups!N:N)="Insect",EXP(0.7444*LN(C258)+6.5696)*S258,
IF(_xlfn.XLOOKUP(E258,Groups!A:A,Groups!N:N)="Theropod",EXP(0.6966*LN(C258)+4.158)*S258,
"No"))))))))))))))))</f>
        <v>922.32182758943668</v>
      </c>
      <c r="AU258" s="8">
        <f>IF(_xlfn.XLOOKUP(E258,Groups!A:A,Groups!U:U)=3,AS258,IF(_xlfn.XLOOKUP(E258,Groups!A:A,Groups!U:U)=2,AR258,AT258))</f>
        <v>922.32182758943668</v>
      </c>
      <c r="AV258" s="46">
        <f>IFERROR(AVERAGE(_xlfn.XLOOKUP(B258,Animals!B:B,Animals!N:N),_xlfn.XLOOKUP(B258,Animals!B:B,Animals!O:O)),0)</f>
        <v>0</v>
      </c>
      <c r="AW258" s="8">
        <f>MROUND(40*Animals!AO258*_xlfn.XLOOKUP(AG258,Leathers!$A$2:$A$99,Leathers!$B$2:$B$99,0)+(140*_xlfn.XLOOKUP(B258,Animals!B:B,Animals!AO:AO)*2),5)</f>
        <v>560</v>
      </c>
      <c r="AX258" s="8">
        <f>IFERROR(ROUND(SQRT(V258-1)*IF(_xlfn.XLOOKUP(E258,Groups!A:A,Groups!BF:BF)=0,2,1)*IF(_xlfn.XLOOKUP('Base stats'!E258,Groups!A:A,Groups!O:O)=0,1,0.1),1),0)</f>
        <v>1.4</v>
      </c>
      <c r="AY258" s="8">
        <f t="shared" si="91"/>
        <v>0</v>
      </c>
      <c r="AZ258" s="8">
        <f t="shared" si="92"/>
        <v>0</v>
      </c>
      <c r="BA258" s="8">
        <f t="shared" si="93"/>
        <v>3.7</v>
      </c>
      <c r="BB258" s="8">
        <f>IF(_xlfn.XLOOKUP(E258,Groups!A:A,Groups!N:N)="Insect",BD258*2.5,IFERROR(AVERAGE(BD258,AT258/9.81/IF(OR(_xlfn.XLOOKUP(E258,Groups!A:A,Groups!N:N)="Pig",_xlfn.XLOOKUP(E258,Groups!A:A,Groups!N:N)="StrongBitingHerbivore"),20,25))*C258^-0.135,BD258))</f>
        <v>1.4367218106239352</v>
      </c>
      <c r="BC258" s="8" t="str">
        <f>IF(W258="No","No",IF(_xlfn.XLOOKUP(E258,Groups!A:A,Groups!U:U)=1,'Base stats'!BB258,IF(OR(_xlfn.XLOOKUP(E258,Groups!A:A,Groups!BD:BD)=1,_xlfn.XLOOKUP(E258,Groups!A:A,Groups!U:U)=2),BD258,IF(_xlfn.XLOOKUP(B258,Animals!B:B,Animals!AO:AO)&gt;4,AVERAGE(BD258,BF258),BF258))))</f>
        <v>No</v>
      </c>
      <c r="BD258" s="8">
        <f t="shared" si="94"/>
        <v>1.3383279200893237</v>
      </c>
      <c r="BE258" s="8">
        <f>IF(_xlfn.XLOOKUP(E258,Groups!A:A,Groups!BE:BE)=1,(0.048*C258^1.01)+(0.071*C258^1.03),0.071*C258^1.03)/IF(_xlfn.XLOOKUP(E258,Groups!A:A,Groups!M:M)=1,0.85,IF(OR(_xlfn.XLOOKUP(B258,Animals!B:B,Animals!AO:AO)&gt;4,_xlfn.XLOOKUP(E258,Groups!A:A,Groups!BC:BC)=1),1.7,1))*C258^-0.25</f>
        <v>3.1638344182391287</v>
      </c>
      <c r="BF258" s="8">
        <f>(0.048*C258^1.01)/IF(_xlfn.XLOOKUP(E258,Groups!A:A,Groups!M:M)=1,0.25,0.8)*C258^-0.25</f>
        <v>1.515045796469928</v>
      </c>
      <c r="BG258" s="8">
        <f>EXP(1.076*LN(AR258)-4.5397)*IF(_xlfn.XLOOKUP(E258,Groups!A:A,Groups!BC:BC)=1,1.25,IF(_xlfn.XLOOKUP(E258,Groups!A:A,Groups!BD:BD)=1,3.5,2.5))</f>
        <v>93.478565272069602</v>
      </c>
      <c r="BH258" s="8">
        <f>EXP(1.076*LN(AS258)-4.5397)*IF(_xlfn.XLOOKUP(E258,Groups!A:A,Groups!M:M)=1,0.8,IF(_xlfn.XLOOKUP(E258,Groups!A:A,Groups!BC:BC)=1,1.3,3))</f>
        <v>120.05211168963112</v>
      </c>
      <c r="BI258" s="8" t="str">
        <f>IF(W258="No","No",IF(_xlfn.XLOOKUP(E258,Groups!A:A,Groups!U:U)=1,'Base stats'!BJ258,IF(OR(_xlfn.XLOOKUP(E258,Groups!A:A,Groups!BD:BD)=1,_xlfn.XLOOKUP(E258,Groups!A:A,Groups!U:U)=2),BG258,BH258))*1.2)</f>
        <v>No</v>
      </c>
      <c r="BJ258" s="8">
        <f>IFERROR(EXP(1.076*LN(AT258)-4.5397)*IF(_xlfn.XLOOKUP(E258,Groups!A:A,Groups!N:N)="Insect",1,IF(OR(_xlfn.XLOOKUP(E258,Groups!A:A,Groups!N:N)="Pig",_xlfn.XLOOKUP(E258,Groups!A:A,Groups!N:N)="StrongBitingHerbivore"),3.5,3.75)),"No")</f>
        <v>62.040910664500117</v>
      </c>
      <c r="BK258" s="8">
        <f t="shared" si="95"/>
        <v>11</v>
      </c>
      <c r="BL258" s="8">
        <f t="shared" si="96"/>
        <v>8</v>
      </c>
      <c r="BM258" s="8" t="str">
        <f t="shared" si="97"/>
        <v>No</v>
      </c>
      <c r="BN258" s="8">
        <f t="shared" si="98"/>
        <v>9</v>
      </c>
      <c r="BO258" s="8">
        <f t="shared" si="99"/>
        <v>12</v>
      </c>
      <c r="BP258" s="8" cm="1">
        <f t="array" ref="BP258">IF(AND(_xlfn.XLOOKUP('Base stats'!E258,Groups!A:A,Groups!AD:AD=0),_xlfn.XLOOKUP('Base stats'!E258,Groups!A:A,Groups!P:P=0)),"No",IF(U258="No",AVERAGE(EXP(-0.57+0.99*LN(C258)),EXP(0.32+0.67*LN(C258)))/IF(_xlfn.XLOOKUP(E258,Groups!A:A,Groups!AD:AD)=1,10,2),(0.7354*C258^0.4078)*2/IF(_xlfn.XLOOKUP(E258,Groups!A:A,Groups!BK:BK)=1,1000,100)/IF(_xlfn.XLOOKUP(E258,Groups!A:A,Groups!AJ:AJ)="Photonozoa",3,1)))</f>
        <v>3.0832136828916186</v>
      </c>
      <c r="BQ258" s="8" t="str">
        <f>IF(W258="No","No",IF(_xlfn.XLOOKUP(E258,Groups!A:A,Groups!BD:BD)=1,(AO258*5%),EXP(0.7354*LN(C258)^0.4078)*2/IF(_xlfn.XLOOKUP(E258,Groups!A:A,Groups!BL:BL)=1,1000,100)/IF(_xlfn.XLOOKUP(E258,Groups!A:A,Groups!AJ:AJ)="Photonozoa",3,1)))</f>
        <v>No</v>
      </c>
      <c r="BR258" s="8">
        <f>IF(BJ258="No","No",IF(_xlfn.XLOOKUP(E258,Groups!A:A,Groups!BF:BF)=1,(0.0315*C258+2.1825)*2,(0.7354*C258^0.4078)*2)/IF(_xlfn.XLOOKUP(E258,Groups!A:A,Groups!BM:BM)=1,1000,100)/IF(_xlfn.XLOOKUP(E258,Groups!A:A,Groups!AJ:AJ)="Photonozoa",3,1))</f>
        <v>8.3173428110674564E-3</v>
      </c>
      <c r="BS258" s="8">
        <f t="shared" si="100"/>
        <v>0.10644011350494281</v>
      </c>
      <c r="BT258" s="8">
        <f t="shared" si="101"/>
        <v>38.937330991940591</v>
      </c>
      <c r="BU258" s="8" t="str">
        <f t="shared" si="102"/>
        <v>No</v>
      </c>
      <c r="BV258" s="8">
        <f t="shared" si="103"/>
        <v>7459.222503363153</v>
      </c>
      <c r="BW258" s="4">
        <v>0</v>
      </c>
      <c r="BX258" s="4">
        <v>1</v>
      </c>
    </row>
    <row r="259" spans="1:76" s="16" customFormat="1" x14ac:dyDescent="0.25">
      <c r="A259" s="26" t="s">
        <v>1498</v>
      </c>
      <c r="B259" s="6" t="s">
        <v>1659</v>
      </c>
      <c r="C259" s="7">
        <v>40</v>
      </c>
      <c r="D259" s="7" t="s">
        <v>528</v>
      </c>
      <c r="E259" s="7" t="str">
        <f>Groups!A$95</f>
        <v>SentientPlant (ACID)</v>
      </c>
      <c r="F259" s="7">
        <f>ROUND(7.545*(C259*1000)^0.2689,0)</f>
        <v>130</v>
      </c>
      <c r="G259" s="7">
        <v>3</v>
      </c>
      <c r="H259" s="7">
        <v>20</v>
      </c>
      <c r="I259" s="4">
        <v>1</v>
      </c>
      <c r="J259" s="7">
        <v>2</v>
      </c>
      <c r="K259" s="7" t="s">
        <v>528</v>
      </c>
      <c r="L259" s="7">
        <v>18</v>
      </c>
      <c r="M259" s="7" t="s">
        <v>528</v>
      </c>
      <c r="N259" s="4">
        <v>0</v>
      </c>
      <c r="O259" s="4">
        <v>0</v>
      </c>
      <c r="P259" s="4">
        <v>0</v>
      </c>
      <c r="Q259" s="4">
        <v>0</v>
      </c>
      <c r="R259" s="4" t="s">
        <v>40</v>
      </c>
      <c r="S259" s="7">
        <f>_xlfn.XLOOKUP(B259,[1]TeethAdjusters!$A:$A,[1]BiteAdjusters!$C:$C,1)</f>
        <v>1</v>
      </c>
      <c r="T259" s="7">
        <f>_xlfn.XLOOKUP(B259,[1]TeethAdjusters!$A:$A,[1]TeethAdjusters!$B:$B,1)</f>
        <v>1</v>
      </c>
      <c r="U259" s="7" t="s">
        <v>45</v>
      </c>
      <c r="V259" s="7">
        <v>5</v>
      </c>
      <c r="W259" s="7" t="str">
        <f>IF(_xlfn.XLOOKUP(E259,Groups!A:A,Groups!V:V)&lt;&gt;"No","Need a formula","No")</f>
        <v>No</v>
      </c>
      <c r="X259" s="7" t="s">
        <v>932</v>
      </c>
      <c r="Y259" s="4" t="s">
        <v>56</v>
      </c>
      <c r="Z259" s="4">
        <v>1</v>
      </c>
      <c r="AA259" s="4">
        <v>0</v>
      </c>
      <c r="AB259" s="4">
        <v>0</v>
      </c>
      <c r="AC259" s="4">
        <v>0</v>
      </c>
      <c r="AD259" s="4">
        <v>0</v>
      </c>
      <c r="AE259" s="4" t="s">
        <v>45</v>
      </c>
      <c r="AF259" s="4" t="s">
        <v>45</v>
      </c>
      <c r="AG259" s="49" t="s">
        <v>1777</v>
      </c>
      <c r="AH259" s="4" t="s">
        <v>45</v>
      </c>
      <c r="AI259" s="4">
        <v>0</v>
      </c>
      <c r="AJ259" s="4">
        <v>0</v>
      </c>
      <c r="AK259" s="4">
        <v>0</v>
      </c>
      <c r="AL259" s="4">
        <v>0</v>
      </c>
      <c r="AM259" s="4">
        <v>1</v>
      </c>
      <c r="AN259" s="44" t="s">
        <v>40</v>
      </c>
      <c r="AO259" s="8">
        <f t="shared" ref="AO259:AO322" si="141">(0.111*C259^0.65)*10000</f>
        <v>12208.490600010842</v>
      </c>
      <c r="AP259" s="8">
        <f>IFERROR(C259*_xlfn.XLOOKUP(E259,Groups!A:A,Groups!K:K),0.106*C259^0.94)</f>
        <v>28</v>
      </c>
      <c r="AQ259" s="8">
        <f>AP259*10000/(_xlfn.XLOOKUP(E259,Groups!A:A,Groups!J:J)*AO259)</f>
        <v>22.934858138790009</v>
      </c>
      <c r="AR259" s="8">
        <f t="shared" ref="AR259:AR322" si="142">EXP(0.8447*LN(C259)+3.996)</f>
        <v>1226.5939672257964</v>
      </c>
      <c r="AS259" s="8">
        <f>IF(_xlfn.XLOOKUP(E259,Groups!A:A,Groups!M:M)=1,EXP(0.7444*LN('Base stats'!C259)+6.5696),EXP(0.7927*LN('Base stats'!C259)+4.28))</f>
        <v>1345.0342323536652</v>
      </c>
      <c r="AT259" s="8">
        <f>IF(_xlfn.XLOOKUP(E259,Groups!A:A,Groups!N:N)="No","No",
IF(_xlfn.XLOOKUP(E259,Groups!A:A,Groups!N:N)="Crocodile",EXP(0.8129*LN(C259)+4.6742)*S259,
IF(_xlfn.XLOOKUP(E259,Groups!A:A,Groups!N:N)="Felid",EXP(0.7843*LN(C259)+4.7073)*S259,
IF(_xlfn.XLOOKUP(E259,Groups!A:A,Groups!N:N)="Canid",EXP(0.8367*LN(C259)+4.8763)*S259,
IF(_xlfn.XLOOKUP(E259,Groups!A:A,Groups!N:N)="Pig",EXP(0.3439*LN(C259)+6.8519)*S259,
IF(_xlfn.XLOOKUP(E259,Groups!A:A,Groups!N:N)="Rodent",EXP(0.5625*LN(C259)+4.3006)*S259,
IF(_xlfn.XLOOKUP(E259,Groups!A:A,Groups!N:N)="Primate",EXP(0.7847*LN(C259)+3.4931)*S259,
IF(_xlfn.XLOOKUP(E259,Groups!A:A,Groups!N:N)="MiscCarnivora",EXP(0.7486*LN(C259)+4.2207)*S259,
IF(_xlfn.XLOOKUP(E259,Groups!A:A,Groups!N:N)="Lizard",EXP(0.7733*LN(C259)+5.5303)*S259,
IF(_xlfn.XLOOKUP(E259,Groups!A:A,Groups!N:N)="Snake",50*C259^(2/3)*S259,
IF(_xlfn.XLOOKUP(E259,Groups!A:A,Groups!N:N)="StrongBitingHerbivore",87.1133638856975*C259^(2/3)*S259,
IF(_xlfn.XLOOKUP(E259,Groups!A:A,Groups!N:N)="MiscEctotherms",59.4316884072269*C259^(2/3)*S259,
IF(_xlfn.XLOOKUP(E259,Groups!A:A,Groups!N:N)="StrongBeakBird",0.041*(C259*1000)^1.375*S259,
IF(_xlfn.XLOOKUP(E259,Groups!A:A,Groups!N:N)="Bird",0.118*(C259*1000)^0.692*S259,
IF(_xlfn.XLOOKUP(E259,Groups!A:A,Groups!N:N)="Insect",EXP(0.7444*LN(C259)+6.5696)*S259,
IF(_xlfn.XLOOKUP(E259,Groups!A:A,Groups!N:N)="Theropod",EXP(0.6966*LN(C259)+4.158)*S259,
"No"))))))))))))))))</f>
        <v>11110.010921232448</v>
      </c>
      <c r="AU259" s="8">
        <f>IF(_xlfn.XLOOKUP(E259,Groups!A:A,Groups!U:U)=3,AS259,IF(_xlfn.XLOOKUP(E259,Groups!A:A,Groups!U:U)=2,AR259,AT259))</f>
        <v>11110.010921232448</v>
      </c>
      <c r="AV259" s="46">
        <f>IFERROR(AVERAGE(_xlfn.XLOOKUP(B259,Animals!B:B,Animals!N:N),_xlfn.XLOOKUP(B259,Animals!B:B,Animals!O:O)),0)</f>
        <v>0</v>
      </c>
      <c r="AW259" s="8">
        <f>MROUND(40*Animals!AO259*_xlfn.XLOOKUP(AG259,Leathers!$A$2:$A$99,Leathers!$B$2:$B$99,0)+(140*_xlfn.XLOOKUP(B259,Animals!B:B,Animals!AO:AO)*2),5)</f>
        <v>225</v>
      </c>
      <c r="AX259" s="8">
        <f>IFERROR(ROUND(SQRT(V259-1)*IF(_xlfn.XLOOKUP(E259,Groups!A:A,Groups!BF:BF)=0,2,1)*IF(_xlfn.XLOOKUP('Base stats'!E259,Groups!A:A,Groups!O:O)=0,1,0.1),1),0)</f>
        <v>4</v>
      </c>
      <c r="AY259" s="8">
        <f t="shared" ref="AY259:AY322" si="143">IFERROR(ROUND(SQRT(U259-1),1),0)</f>
        <v>0</v>
      </c>
      <c r="AZ259" s="8">
        <f t="shared" ref="AZ259:AZ322" si="144">IFERROR(ROUND(SQRT(W259),1),0)</f>
        <v>0</v>
      </c>
      <c r="BA259" s="8">
        <f t="shared" ref="BA259:BA322" si="145">ROUND(
  EXP(0.3582*LN(C259)-0.2221) *
  (0.75 + 0.25*(C259^4/(C259^4+10^4))),
1)</f>
        <v>3</v>
      </c>
      <c r="BB259" s="8">
        <f>IF(_xlfn.XLOOKUP(E259,Groups!A:A,Groups!N:N)="Insect",BD259*2.5,IFERROR(AVERAGE(BD259,AT259/9.81/IF(OR(_xlfn.XLOOKUP(E259,Groups!A:A,Groups!N:N)="Pig",_xlfn.XLOOKUP(E259,Groups!A:A,Groups!N:N)="StrongBitingHerbivore"),20,25))*C259^-0.135,BD259))</f>
        <v>2.101541296129207</v>
      </c>
      <c r="BC259" s="8" t="str">
        <f>IF(W259="No","No",IF(_xlfn.XLOOKUP(E259,Groups!A:A,Groups!U:U)=1,'Base stats'!BB259,IF(OR(_xlfn.XLOOKUP(E259,Groups!A:A,Groups!BD:BD)=1,_xlfn.XLOOKUP(E259,Groups!A:A,Groups!U:U)=2),BD259,IF(_xlfn.XLOOKUP(B259,Animals!B:B,Animals!AO:AO)&gt;4,AVERAGE(BD259,BF259),BF259))))</f>
        <v>No</v>
      </c>
      <c r="BD259" s="8">
        <f t="shared" ref="BD259:BD322" si="146">(0.0392*C259^IF(OR(Y259="Herbivore",Y259="Dendrovore",Y259="OmnivoreRough"),0.889,0.966))*C259^-0.135</f>
        <v>0.84061651845168284</v>
      </c>
      <c r="BE259" s="8">
        <f>IF(_xlfn.XLOOKUP(E259,Groups!A:A,Groups!BE:BE)=1,(0.048*C259^1.01)+(0.071*C259^1.03),0.071*C259^1.03)/IF(_xlfn.XLOOKUP(E259,Groups!A:A,Groups!M:M)=1,0.85,IF(OR(_xlfn.XLOOKUP(B259,Animals!B:B,Animals!AO:AO)&gt;4,_xlfn.XLOOKUP(E259,Groups!A:A,Groups!BC:BC)=1),1.7,1))*C259^-0.25</f>
        <v>0.74202104120764245</v>
      </c>
      <c r="BF259" s="8">
        <f>(0.048*C259^1.01)/IF(_xlfn.XLOOKUP(E259,Groups!A:A,Groups!M:M)=1,0.25,0.8)*C259^-0.25</f>
        <v>0.99018614167501795</v>
      </c>
      <c r="BG259" s="8">
        <f>EXP(1.076*LN(AR259)-4.5397)*IF(_xlfn.XLOOKUP(E259,Groups!A:A,Groups!BC:BC)=1,1.25,IF(_xlfn.XLOOKUP(E259,Groups!A:A,Groups!BD:BD)=1,3.5,2.5))</f>
        <v>28.105119779320624</v>
      </c>
      <c r="BH259" s="8">
        <f>EXP(1.076*LN(AS259)-4.5397)*IF(_xlfn.XLOOKUP(E259,Groups!A:A,Groups!M:M)=1,0.8,IF(_xlfn.XLOOKUP(E259,Groups!A:A,Groups!BC:BC)=1,1.3,3))</f>
        <v>32.277044734426674</v>
      </c>
      <c r="BI259" s="8" t="str">
        <f>IF(W259="No","No",IF(_xlfn.XLOOKUP(E259,Groups!A:A,Groups!U:U)=1,'Base stats'!BJ259,IF(OR(_xlfn.XLOOKUP(E259,Groups!A:A,Groups!BD:BD)=1,_xlfn.XLOOKUP(E259,Groups!A:A,Groups!U:U)=2),BG259,BH259))*1.2)</f>
        <v>No</v>
      </c>
      <c r="BJ259" s="8">
        <f>IFERROR(EXP(1.076*LN(AT259)-4.5397)*IF(_xlfn.XLOOKUP(E259,Groups!A:A,Groups!N:N)="Insect",1,IF(OR(_xlfn.XLOOKUP(E259,Groups!A:A,Groups!N:N)="Pig",_xlfn.XLOOKUP(E259,Groups!A:A,Groups!N:N)="StrongBitingHerbivore"),3.5,3.75)),"No")</f>
        <v>240.78095202778914</v>
      </c>
      <c r="BK259" s="8">
        <f t="shared" ref="BK259:BK322" si="147">ROUNDDOWN(SQRT((2*BG259)/BD259),0)</f>
        <v>8</v>
      </c>
      <c r="BL259" s="8">
        <f t="shared" ref="BL259:BL322" si="148">ROUNDDOWN(SQRT((2*BH259)/BE259),0)</f>
        <v>9</v>
      </c>
      <c r="BM259" s="8" t="str">
        <f t="shared" ref="BM259:BM322" si="149">IF(W259="No","No",ROUNDDOWN(SQRT((2*BI259)/BC259),0))</f>
        <v>No</v>
      </c>
      <c r="BN259" s="8">
        <f t="shared" ref="BN259:BN322" si="150">IF(V259="No","No",ROUNDDOWN(SQRT((2*BJ259)/BB259),0))</f>
        <v>15</v>
      </c>
      <c r="BO259" s="8">
        <f t="shared" ref="BO259:BO322" si="151">ROUNDDOWN(SQRT((2*BH259)/BF259),0)</f>
        <v>8</v>
      </c>
      <c r="BP259" s="8" cm="1">
        <f t="array" ref="BP259">IF(AND(_xlfn.XLOOKUP('Base stats'!E259,Groups!A:A,Groups!AD:AD=0),_xlfn.XLOOKUP('Base stats'!E259,Groups!A:A,Groups!P:P=0)),"No",IF(U259="No",AVERAGE(EXP(-0.57+0.99*LN(C259)),EXP(0.32+0.67*LN(C259)))/IF(_xlfn.XLOOKUP(E259,Groups!A:A,Groups!AD:AD)=1,10,2),(0.7354*C259^0.4078)*2/IF(_xlfn.XLOOKUP(E259,Groups!A:A,Groups!BK:BK)=1,1000,100)/IF(_xlfn.XLOOKUP(E259,Groups!A:A,Groups!AJ:AJ)="Photonozoa",3,1)))</f>
        <v>1.9054010785934037</v>
      </c>
      <c r="BQ259" s="8" t="str">
        <f>IF(W259="No","No",IF(_xlfn.XLOOKUP(E259,Groups!A:A,Groups!BD:BD)=1,(AO259*5%),EXP(0.7354*LN(C259)^0.4078)*2/IF(_xlfn.XLOOKUP(E259,Groups!A:A,Groups!BL:BL)=1,1000,100)/IF(_xlfn.XLOOKUP(E259,Groups!A:A,Groups!AJ:AJ)="Photonozoa",3,1)))</f>
        <v>No</v>
      </c>
      <c r="BR259" s="8">
        <f>IF(BJ259="No","No",IF(_xlfn.XLOOKUP(E259,Groups!A:A,Groups!BF:BF)=1,(0.0315*C259+2.1825)*2,(0.7354*C259^0.4078)*2)/IF(_xlfn.XLOOKUP(E259,Groups!A:A,Groups!BM:BM)=1,1000,100)/IF(_xlfn.XLOOKUP(E259,Groups!A:A,Groups!AJ:AJ)="Photonozoa",3,1))</f>
        <v>6.6202392635939605E-2</v>
      </c>
      <c r="BS259" s="8">
        <f t="shared" ref="BS259:BS322" si="152">BG259/(AO259*5%)</f>
        <v>4.6041923936601406E-2</v>
      </c>
      <c r="BT259" s="8">
        <f t="shared" ref="BT259:BT322" si="153">IF(BP259="No","No",BH259/BP259)</f>
        <v>16.939764072272954</v>
      </c>
      <c r="BU259" s="8" t="str">
        <f t="shared" ref="BU259:BU322" si="154">IF(W259="No","No",BI259/BQ259)</f>
        <v>No</v>
      </c>
      <c r="BV259" s="8">
        <f t="shared" ref="BV259:BV322" si="155">IF(BJ259="No","No",BJ259/BR259)</f>
        <v>3637.0430499678837</v>
      </c>
      <c r="BW259" s="4">
        <v>0</v>
      </c>
      <c r="BX259" s="4">
        <v>1</v>
      </c>
    </row>
    <row r="260" spans="1:76" s="16" customFormat="1" x14ac:dyDescent="0.25">
      <c r="A260" s="26" t="s">
        <v>1514</v>
      </c>
      <c r="B260" s="6" t="s">
        <v>1667</v>
      </c>
      <c r="C260" s="7">
        <v>35</v>
      </c>
      <c r="D260" s="7" t="s">
        <v>528</v>
      </c>
      <c r="E260" s="7" t="str">
        <f>Groups!A$94</f>
        <v>SentientPlant</v>
      </c>
      <c r="F260" s="7">
        <f>ROUND(7.545*(C260*1000)^0.2689,0)</f>
        <v>126</v>
      </c>
      <c r="G260" s="7">
        <v>3</v>
      </c>
      <c r="H260" s="7">
        <v>20</v>
      </c>
      <c r="I260" s="4">
        <v>1</v>
      </c>
      <c r="J260" s="7">
        <v>2</v>
      </c>
      <c r="K260" s="7" t="s">
        <v>528</v>
      </c>
      <c r="L260" s="7">
        <v>18</v>
      </c>
      <c r="M260" s="7" t="s">
        <v>528</v>
      </c>
      <c r="N260" s="4">
        <v>0</v>
      </c>
      <c r="O260" s="4">
        <v>0</v>
      </c>
      <c r="P260" s="4">
        <v>0</v>
      </c>
      <c r="Q260" s="4">
        <v>0</v>
      </c>
      <c r="R260" s="4" t="s">
        <v>40</v>
      </c>
      <c r="S260" s="7">
        <f>_xlfn.XLOOKUP(B260,[1]TeethAdjusters!$A:$A,[1]BiteAdjusters!$C:$C,1)</f>
        <v>1</v>
      </c>
      <c r="T260" s="7">
        <f>_xlfn.XLOOKUP(B260,[1]TeethAdjusters!$A:$A,[1]TeethAdjusters!$B:$B,1)</f>
        <v>1</v>
      </c>
      <c r="U260" s="7" t="s">
        <v>45</v>
      </c>
      <c r="V260" s="7">
        <v>5</v>
      </c>
      <c r="W260" s="7" t="str">
        <f>IF(_xlfn.XLOOKUP(E260,Groups!A:A,Groups!V:V)&lt;&gt;"No","Need a formula","No")</f>
        <v>No</v>
      </c>
      <c r="X260" s="7" t="s">
        <v>932</v>
      </c>
      <c r="Y260" s="4" t="s">
        <v>42</v>
      </c>
      <c r="Z260" s="4">
        <v>1</v>
      </c>
      <c r="AA260" s="4">
        <v>0</v>
      </c>
      <c r="AB260" s="4">
        <v>0</v>
      </c>
      <c r="AC260" s="4">
        <v>0</v>
      </c>
      <c r="AD260" s="4">
        <v>0</v>
      </c>
      <c r="AE260" s="4" t="s">
        <v>45</v>
      </c>
      <c r="AF260" s="4" t="s">
        <v>45</v>
      </c>
      <c r="AG260" s="49" t="s">
        <v>1777</v>
      </c>
      <c r="AH260" s="4" t="s">
        <v>45</v>
      </c>
      <c r="AI260" s="4">
        <v>0</v>
      </c>
      <c r="AJ260" s="4">
        <v>0</v>
      </c>
      <c r="AK260" s="4">
        <v>0</v>
      </c>
      <c r="AL260" s="4">
        <v>0</v>
      </c>
      <c r="AM260" s="4">
        <v>1</v>
      </c>
      <c r="AN260" s="44" t="s">
        <v>40</v>
      </c>
      <c r="AO260" s="8">
        <f t="shared" si="141"/>
        <v>11193.533609727016</v>
      </c>
      <c r="AP260" s="8">
        <f>IFERROR(C260*_xlfn.XLOOKUP(E260,Groups!A:A,Groups!K:K),0.106*C260^0.94)</f>
        <v>24.5</v>
      </c>
      <c r="AQ260" s="8">
        <f>AP260*10000/(_xlfn.XLOOKUP(E260,Groups!A:A,Groups!J:J)*AO260)</f>
        <v>21.887636964532685</v>
      </c>
      <c r="AR260" s="8">
        <f t="shared" si="142"/>
        <v>1095.7589503868378</v>
      </c>
      <c r="AS260" s="8">
        <f>IF(_xlfn.XLOOKUP(E260,Groups!A:A,Groups!M:M)=1,EXP(0.7444*LN('Base stats'!C260)+6.5696),EXP(0.7927*LN('Base stats'!C260)+4.28))</f>
        <v>1209.9380129875831</v>
      </c>
      <c r="AT260" s="8">
        <f>IF(_xlfn.XLOOKUP(E260,Groups!A:A,Groups!N:N)="No","No",
IF(_xlfn.XLOOKUP(E260,Groups!A:A,Groups!N:N)="Crocodile",EXP(0.8129*LN(C260)+4.6742)*S260,
IF(_xlfn.XLOOKUP(E260,Groups!A:A,Groups!N:N)="Felid",EXP(0.7843*LN(C260)+4.7073)*S260,
IF(_xlfn.XLOOKUP(E260,Groups!A:A,Groups!N:N)="Canid",EXP(0.8367*LN(C260)+4.8763)*S260,
IF(_xlfn.XLOOKUP(E260,Groups!A:A,Groups!N:N)="Pig",EXP(0.3439*LN(C260)+6.8519)*S260,
IF(_xlfn.XLOOKUP(E260,Groups!A:A,Groups!N:N)="Rodent",EXP(0.5625*LN(C260)+4.3006)*S260,
IF(_xlfn.XLOOKUP(E260,Groups!A:A,Groups!N:N)="Primate",EXP(0.7847*LN(C260)+3.4931)*S260,
IF(_xlfn.XLOOKUP(E260,Groups!A:A,Groups!N:N)="MiscCarnivora",EXP(0.7486*LN(C260)+4.2207)*S260,
IF(_xlfn.XLOOKUP(E260,Groups!A:A,Groups!N:N)="Lizard",EXP(0.7733*LN(C260)+5.5303)*S260,
IF(_xlfn.XLOOKUP(E260,Groups!A:A,Groups!N:N)="Snake",50*C260^(2/3)*S260,
IF(_xlfn.XLOOKUP(E260,Groups!A:A,Groups!N:N)="StrongBitingHerbivore",87.1133638856975*C260^(2/3)*S260,
IF(_xlfn.XLOOKUP(E260,Groups!A:A,Groups!N:N)="MiscEctotherms",59.4316884072269*C260^(2/3)*S260,
IF(_xlfn.XLOOKUP(E260,Groups!A:A,Groups!N:N)="StrongBeakBird",0.041*(C260*1000)^1.375*S260,
IF(_xlfn.XLOOKUP(E260,Groups!A:A,Groups!N:N)="Bird",0.118*(C260*1000)^0.692*S260,
IF(_xlfn.XLOOKUP(E260,Groups!A:A,Groups!N:N)="Insect",EXP(0.7444*LN(C260)+6.5696)*S260,
IF(_xlfn.XLOOKUP(E260,Groups!A:A,Groups!N:N)="Theropod",EXP(0.6966*LN(C260)+4.158)*S260,
"No"))))))))))))))))</f>
        <v>10058.779326452872</v>
      </c>
      <c r="AU260" s="8">
        <f>IF(_xlfn.XLOOKUP(E260,Groups!A:A,Groups!U:U)=3,AS260,IF(_xlfn.XLOOKUP(E260,Groups!A:A,Groups!U:U)=2,AR260,AT260))</f>
        <v>10058.779326452872</v>
      </c>
      <c r="AV260" s="46">
        <f>IFERROR(AVERAGE(_xlfn.XLOOKUP(B260,Animals!B:B,Animals!N:N),_xlfn.XLOOKUP(B260,Animals!B:B,Animals!O:O)),0)</f>
        <v>0</v>
      </c>
      <c r="AW260" s="8">
        <f>MROUND(40*Animals!AO260*_xlfn.XLOOKUP(AG260,Leathers!$A$2:$A$99,Leathers!$B$2:$B$99,0)+(140*_xlfn.XLOOKUP(B260,Animals!B:B,Animals!AO:AO)*2),5)</f>
        <v>210</v>
      </c>
      <c r="AX260" s="8">
        <f>IFERROR(ROUND(SQRT(V260-1)*IF(_xlfn.XLOOKUP(E260,Groups!A:A,Groups!BF:BF)=0,2,1)*IF(_xlfn.XLOOKUP('Base stats'!E260,Groups!A:A,Groups!O:O)=0,1,0.1),1),0)</f>
        <v>4</v>
      </c>
      <c r="AY260" s="8">
        <f t="shared" si="143"/>
        <v>0</v>
      </c>
      <c r="AZ260" s="8">
        <f t="shared" si="144"/>
        <v>0</v>
      </c>
      <c r="BA260" s="8">
        <f t="shared" si="145"/>
        <v>2.9</v>
      </c>
      <c r="BB260" s="8">
        <f>IF(_xlfn.XLOOKUP(E260,Groups!A:A,Groups!N:N)="Insect",BD260*2.5,IFERROR(AVERAGE(BD260,AT260/9.81/IF(OR(_xlfn.XLOOKUP(E260,Groups!A:A,Groups!N:N)="Pig",_xlfn.XLOOKUP(E260,Groups!A:A,Groups!N:N)="StrongBitingHerbivore"),20,25))*C260^-0.135,BD260))</f>
        <v>1.4303864293079271</v>
      </c>
      <c r="BC260" s="8" t="str">
        <f>IF(W260="No","No",IF(_xlfn.XLOOKUP(E260,Groups!A:A,Groups!U:U)=1,'Base stats'!BB260,IF(OR(_xlfn.XLOOKUP(E260,Groups!A:A,Groups!BD:BD)=1,_xlfn.XLOOKUP(E260,Groups!A:A,Groups!U:U)=2),BD260,IF(_xlfn.XLOOKUP(B260,Animals!B:B,Animals!AO:AO)&gt;4,AVERAGE(BD260,BF260),BF260))))</f>
        <v>No</v>
      </c>
      <c r="BD260" s="8">
        <f t="shared" si="146"/>
        <v>0.57215457172317086</v>
      </c>
      <c r="BE260" s="8">
        <f>IF(_xlfn.XLOOKUP(E260,Groups!A:A,Groups!BE:BE)=1,(0.048*C260^1.01)+(0.071*C260^1.03),0.071*C260^1.03)/IF(_xlfn.XLOOKUP(E260,Groups!A:A,Groups!M:M)=1,0.85,IF(OR(_xlfn.XLOOKUP(B260,Animals!B:B,Animals!AO:AO)&gt;4,_xlfn.XLOOKUP(E260,Groups!A:A,Groups!BC:BC)=1),1.7,1))*C260^-0.25</f>
        <v>0.66862483223497027</v>
      </c>
      <c r="BF260" s="8">
        <f>(0.048*C260^1.01)/IF(_xlfn.XLOOKUP(E260,Groups!A:A,Groups!M:M)=1,0.25,0.8)*C260^-0.25</f>
        <v>0.89462898368032151</v>
      </c>
      <c r="BG260" s="8">
        <f>EXP(1.076*LN(AR260)-4.5397)*IF(_xlfn.XLOOKUP(E260,Groups!A:A,Groups!BC:BC)=1,1.25,IF(_xlfn.XLOOKUP(E260,Groups!A:A,Groups!BD:BD)=1,3.5,2.5))</f>
        <v>24.892970376789926</v>
      </c>
      <c r="BH260" s="8">
        <f>EXP(1.076*LN(AS260)-4.5397)*IF(_xlfn.XLOOKUP(E260,Groups!A:A,Groups!M:M)=1,0.8,IF(_xlfn.XLOOKUP(E260,Groups!A:A,Groups!BC:BC)=1,1.3,3))</f>
        <v>28.80247519858462</v>
      </c>
      <c r="BI260" s="8" t="str">
        <f>IF(W260="No","No",IF(_xlfn.XLOOKUP(E260,Groups!A:A,Groups!U:U)=1,'Base stats'!BJ260,IF(OR(_xlfn.XLOOKUP(E260,Groups!A:A,Groups!BD:BD)=1,_xlfn.XLOOKUP(E260,Groups!A:A,Groups!U:U)=2),BG260,BH260))*1.2)</f>
        <v>No</v>
      </c>
      <c r="BJ260" s="8">
        <f>IFERROR(EXP(1.076*LN(AT260)-4.5397)*IF(_xlfn.XLOOKUP(E260,Groups!A:A,Groups!N:N)="Insect",1,IF(OR(_xlfn.XLOOKUP(E260,Groups!A:A,Groups!N:N)="Pig",_xlfn.XLOOKUP(E260,Groups!A:A,Groups!N:N)="StrongBitingHerbivore"),3.5,3.75)),"No")</f>
        <v>216.35755370474666</v>
      </c>
      <c r="BK260" s="8">
        <f t="shared" si="147"/>
        <v>9</v>
      </c>
      <c r="BL260" s="8">
        <f t="shared" si="148"/>
        <v>9</v>
      </c>
      <c r="BM260" s="8" t="str">
        <f t="shared" si="149"/>
        <v>No</v>
      </c>
      <c r="BN260" s="8">
        <f t="shared" si="150"/>
        <v>17</v>
      </c>
      <c r="BO260" s="8">
        <f t="shared" si="151"/>
        <v>8</v>
      </c>
      <c r="BP260" s="8" cm="1">
        <f t="array" ref="BP260">IF(AND(_xlfn.XLOOKUP('Base stats'!E260,Groups!A:A,Groups!AD:AD=0),_xlfn.XLOOKUP('Base stats'!E260,Groups!A:A,Groups!P:P=0)),"No",IF(U260="No",AVERAGE(EXP(-0.57+0.99*LN(C260)),EXP(0.32+0.67*LN(C260)))/IF(_xlfn.XLOOKUP(E260,Groups!A:A,Groups!AD:AD)=1,10,2),(0.7354*C260^0.4078)*2/IF(_xlfn.XLOOKUP(E260,Groups!A:A,Groups!BK:BK)=1,1000,100)/IF(_xlfn.XLOOKUP(E260,Groups!A:A,Groups!AJ:AJ)="Photonozoa",3,1)))</f>
        <v>1.7006395456125865</v>
      </c>
      <c r="BQ260" s="8" t="str">
        <f>IF(W260="No","No",IF(_xlfn.XLOOKUP(E260,Groups!A:A,Groups!BD:BD)=1,(AO260*5%),EXP(0.7354*LN(C260)^0.4078)*2/IF(_xlfn.XLOOKUP(E260,Groups!A:A,Groups!BL:BL)=1,1000,100)/IF(_xlfn.XLOOKUP(E260,Groups!A:A,Groups!AJ:AJ)="Photonozoa",3,1)))</f>
        <v>No</v>
      </c>
      <c r="BR260" s="8">
        <f>IF(BJ260="No","No",IF(_xlfn.XLOOKUP(E260,Groups!A:A,Groups!BF:BF)=1,(0.0315*C260+2.1825)*2,(0.7354*C260^0.4078)*2)/IF(_xlfn.XLOOKUP(E260,Groups!A:A,Groups!BM:BM)=1,1000,100)/IF(_xlfn.XLOOKUP(E260,Groups!A:A,Groups!AJ:AJ)="Photonozoa",3,1))</f>
        <v>6.2693796472684152E-2</v>
      </c>
      <c r="BS260" s="8">
        <f t="shared" si="152"/>
        <v>4.447741212865667E-2</v>
      </c>
      <c r="BT260" s="8">
        <f t="shared" si="153"/>
        <v>16.936260992454869</v>
      </c>
      <c r="BU260" s="8" t="str">
        <f t="shared" si="154"/>
        <v>No</v>
      </c>
      <c r="BV260" s="8">
        <f t="shared" si="155"/>
        <v>3451.0201308197088</v>
      </c>
      <c r="BW260" s="4">
        <v>0</v>
      </c>
      <c r="BX260" s="4">
        <v>1</v>
      </c>
    </row>
    <row r="261" spans="1:76" s="16" customFormat="1" x14ac:dyDescent="0.25">
      <c r="A261" s="26" t="s">
        <v>1516</v>
      </c>
      <c r="B261" s="6" t="s">
        <v>1668</v>
      </c>
      <c r="C261" s="7">
        <v>35</v>
      </c>
      <c r="D261" s="7" t="s">
        <v>528</v>
      </c>
      <c r="E261" s="7" t="str">
        <f>Groups!A$94</f>
        <v>SentientPlant</v>
      </c>
      <c r="F261" s="7">
        <f>ROUND(7.545*(C261*1000)^0.2689,0)</f>
        <v>126</v>
      </c>
      <c r="G261" s="7">
        <v>3</v>
      </c>
      <c r="H261" s="7">
        <v>20</v>
      </c>
      <c r="I261" s="4">
        <v>1</v>
      </c>
      <c r="J261" s="7">
        <v>2</v>
      </c>
      <c r="K261" s="7" t="s">
        <v>528</v>
      </c>
      <c r="L261" s="7">
        <v>18</v>
      </c>
      <c r="M261" s="7" t="s">
        <v>528</v>
      </c>
      <c r="N261" s="4">
        <v>0</v>
      </c>
      <c r="O261" s="4">
        <v>0</v>
      </c>
      <c r="P261" s="4">
        <v>0</v>
      </c>
      <c r="Q261" s="4">
        <v>0</v>
      </c>
      <c r="R261" s="4" t="s">
        <v>40</v>
      </c>
      <c r="S261" s="7">
        <f>_xlfn.XLOOKUP(B261,[1]TeethAdjusters!$A:$A,[1]BiteAdjusters!$C:$C,1)</f>
        <v>1</v>
      </c>
      <c r="T261" s="7">
        <f>_xlfn.XLOOKUP(B261,[1]TeethAdjusters!$A:$A,[1]TeethAdjusters!$B:$B,1)</f>
        <v>1</v>
      </c>
      <c r="U261" s="7" t="s">
        <v>45</v>
      </c>
      <c r="V261" s="7">
        <v>5</v>
      </c>
      <c r="W261" s="7" t="str">
        <f>IF(_xlfn.XLOOKUP(E261,Groups!A:A,Groups!V:V)&lt;&gt;"No","Need a formula","No")</f>
        <v>No</v>
      </c>
      <c r="X261" s="7" t="s">
        <v>932</v>
      </c>
      <c r="Y261" s="4" t="s">
        <v>42</v>
      </c>
      <c r="Z261" s="4">
        <v>1</v>
      </c>
      <c r="AA261" s="4">
        <v>0</v>
      </c>
      <c r="AB261" s="4">
        <v>0</v>
      </c>
      <c r="AC261" s="4">
        <v>0</v>
      </c>
      <c r="AD261" s="4">
        <v>0</v>
      </c>
      <c r="AE261" s="4" t="s">
        <v>45</v>
      </c>
      <c r="AF261" s="4" t="s">
        <v>45</v>
      </c>
      <c r="AG261" s="49" t="s">
        <v>1777</v>
      </c>
      <c r="AH261" s="4" t="s">
        <v>45</v>
      </c>
      <c r="AI261" s="4">
        <v>0</v>
      </c>
      <c r="AJ261" s="4">
        <v>0</v>
      </c>
      <c r="AK261" s="4">
        <v>0</v>
      </c>
      <c r="AL261" s="4">
        <v>0</v>
      </c>
      <c r="AM261" s="4">
        <v>1</v>
      </c>
      <c r="AN261" s="44" t="s">
        <v>40</v>
      </c>
      <c r="AO261" s="8">
        <f t="shared" si="141"/>
        <v>11193.533609727016</v>
      </c>
      <c r="AP261" s="8">
        <f>IFERROR(C261*_xlfn.XLOOKUP(E261,Groups!A:A,Groups!K:K),0.106*C261^0.94)</f>
        <v>24.5</v>
      </c>
      <c r="AQ261" s="8">
        <f>AP261*10000/(_xlfn.XLOOKUP(E261,Groups!A:A,Groups!J:J)*AO261)</f>
        <v>21.887636964532685</v>
      </c>
      <c r="AR261" s="8">
        <f t="shared" si="142"/>
        <v>1095.7589503868378</v>
      </c>
      <c r="AS261" s="8">
        <f>IF(_xlfn.XLOOKUP(E261,Groups!A:A,Groups!M:M)=1,EXP(0.7444*LN('Base stats'!C261)+6.5696),EXP(0.7927*LN('Base stats'!C261)+4.28))</f>
        <v>1209.9380129875831</v>
      </c>
      <c r="AT261" s="8">
        <f>IF(_xlfn.XLOOKUP(E261,Groups!A:A,Groups!N:N)="No","No",
IF(_xlfn.XLOOKUP(E261,Groups!A:A,Groups!N:N)="Crocodile",EXP(0.8129*LN(C261)+4.6742)*S261,
IF(_xlfn.XLOOKUP(E261,Groups!A:A,Groups!N:N)="Felid",EXP(0.7843*LN(C261)+4.7073)*S261,
IF(_xlfn.XLOOKUP(E261,Groups!A:A,Groups!N:N)="Canid",EXP(0.8367*LN(C261)+4.8763)*S261,
IF(_xlfn.XLOOKUP(E261,Groups!A:A,Groups!N:N)="Pig",EXP(0.3439*LN(C261)+6.8519)*S261,
IF(_xlfn.XLOOKUP(E261,Groups!A:A,Groups!N:N)="Rodent",EXP(0.5625*LN(C261)+4.3006)*S261,
IF(_xlfn.XLOOKUP(E261,Groups!A:A,Groups!N:N)="Primate",EXP(0.7847*LN(C261)+3.4931)*S261,
IF(_xlfn.XLOOKUP(E261,Groups!A:A,Groups!N:N)="MiscCarnivora",EXP(0.7486*LN(C261)+4.2207)*S261,
IF(_xlfn.XLOOKUP(E261,Groups!A:A,Groups!N:N)="Lizard",EXP(0.7733*LN(C261)+5.5303)*S261,
IF(_xlfn.XLOOKUP(E261,Groups!A:A,Groups!N:N)="Snake",50*C261^(2/3)*S261,
IF(_xlfn.XLOOKUP(E261,Groups!A:A,Groups!N:N)="StrongBitingHerbivore",87.1133638856975*C261^(2/3)*S261,
IF(_xlfn.XLOOKUP(E261,Groups!A:A,Groups!N:N)="MiscEctotherms",59.4316884072269*C261^(2/3)*S261,
IF(_xlfn.XLOOKUP(E261,Groups!A:A,Groups!N:N)="StrongBeakBird",0.041*(C261*1000)^1.375*S261,
IF(_xlfn.XLOOKUP(E261,Groups!A:A,Groups!N:N)="Bird",0.118*(C261*1000)^0.692*S261,
IF(_xlfn.XLOOKUP(E261,Groups!A:A,Groups!N:N)="Insect",EXP(0.7444*LN(C261)+6.5696)*S261,
IF(_xlfn.XLOOKUP(E261,Groups!A:A,Groups!N:N)="Theropod",EXP(0.6966*LN(C261)+4.158)*S261,
"No"))))))))))))))))</f>
        <v>10058.779326452872</v>
      </c>
      <c r="AU261" s="8">
        <f>IF(_xlfn.XLOOKUP(E261,Groups!A:A,Groups!U:U)=3,AS261,IF(_xlfn.XLOOKUP(E261,Groups!A:A,Groups!U:U)=2,AR261,AT261))</f>
        <v>10058.779326452872</v>
      </c>
      <c r="AV261" s="46">
        <f>IFERROR(AVERAGE(_xlfn.XLOOKUP(B261,Animals!B:B,Animals!N:N),_xlfn.XLOOKUP(B261,Animals!B:B,Animals!O:O)),0)</f>
        <v>0</v>
      </c>
      <c r="AW261" s="8">
        <f>MROUND(40*Animals!AO261*_xlfn.XLOOKUP(AG261,Leathers!$A$2:$A$99,Leathers!$B$2:$B$99,0)+(140*_xlfn.XLOOKUP(B261,Animals!B:B,Animals!AO:AO)*2),5)</f>
        <v>210</v>
      </c>
      <c r="AX261" s="8">
        <f>IFERROR(ROUND(SQRT(V261-1)*IF(_xlfn.XLOOKUP(E261,Groups!A:A,Groups!BF:BF)=0,2,1)*IF(_xlfn.XLOOKUP('Base stats'!E261,Groups!A:A,Groups!O:O)=0,1,0.1),1),0)</f>
        <v>4</v>
      </c>
      <c r="AY261" s="8">
        <f t="shared" si="143"/>
        <v>0</v>
      </c>
      <c r="AZ261" s="8">
        <f t="shared" si="144"/>
        <v>0</v>
      </c>
      <c r="BA261" s="8">
        <f t="shared" si="145"/>
        <v>2.9</v>
      </c>
      <c r="BB261" s="8">
        <f>IF(_xlfn.XLOOKUP(E261,Groups!A:A,Groups!N:N)="Insect",BD261*2.5,IFERROR(AVERAGE(BD261,AT261/9.81/IF(OR(_xlfn.XLOOKUP(E261,Groups!A:A,Groups!N:N)="Pig",_xlfn.XLOOKUP(E261,Groups!A:A,Groups!N:N)="StrongBitingHerbivore"),20,25))*C261^-0.135,BD261))</f>
        <v>1.4303864293079271</v>
      </c>
      <c r="BC261" s="8" t="str">
        <f>IF(W261="No","No",IF(_xlfn.XLOOKUP(E261,Groups!A:A,Groups!U:U)=1,'Base stats'!BB261,IF(OR(_xlfn.XLOOKUP(E261,Groups!A:A,Groups!BD:BD)=1,_xlfn.XLOOKUP(E261,Groups!A:A,Groups!U:U)=2),BD261,IF(_xlfn.XLOOKUP(B261,Animals!B:B,Animals!AO:AO)&gt;4,AVERAGE(BD261,BF261),BF261))))</f>
        <v>No</v>
      </c>
      <c r="BD261" s="8">
        <f t="shared" si="146"/>
        <v>0.57215457172317086</v>
      </c>
      <c r="BE261" s="8">
        <f>IF(_xlfn.XLOOKUP(E261,Groups!A:A,Groups!BE:BE)=1,(0.048*C261^1.01)+(0.071*C261^1.03),0.071*C261^1.03)/IF(_xlfn.XLOOKUP(E261,Groups!A:A,Groups!M:M)=1,0.85,IF(OR(_xlfn.XLOOKUP(B261,Animals!B:B,Animals!AO:AO)&gt;4,_xlfn.XLOOKUP(E261,Groups!A:A,Groups!BC:BC)=1),1.7,1))*C261^-0.25</f>
        <v>0.66862483223497027</v>
      </c>
      <c r="BF261" s="8">
        <f>(0.048*C261^1.01)/IF(_xlfn.XLOOKUP(E261,Groups!A:A,Groups!M:M)=1,0.25,0.8)*C261^-0.25</f>
        <v>0.89462898368032151</v>
      </c>
      <c r="BG261" s="8">
        <f>EXP(1.076*LN(AR261)-4.5397)*IF(_xlfn.XLOOKUP(E261,Groups!A:A,Groups!BC:BC)=1,1.25,IF(_xlfn.XLOOKUP(E261,Groups!A:A,Groups!BD:BD)=1,3.5,2.5))</f>
        <v>24.892970376789926</v>
      </c>
      <c r="BH261" s="8">
        <f>EXP(1.076*LN(AS261)-4.5397)*IF(_xlfn.XLOOKUP(E261,Groups!A:A,Groups!M:M)=1,0.8,IF(_xlfn.XLOOKUP(E261,Groups!A:A,Groups!BC:BC)=1,1.3,3))</f>
        <v>28.80247519858462</v>
      </c>
      <c r="BI261" s="8" t="str">
        <f>IF(W261="No","No",IF(_xlfn.XLOOKUP(E261,Groups!A:A,Groups!U:U)=1,'Base stats'!BJ261,IF(OR(_xlfn.XLOOKUP(E261,Groups!A:A,Groups!BD:BD)=1,_xlfn.XLOOKUP(E261,Groups!A:A,Groups!U:U)=2),BG261,BH261))*1.2)</f>
        <v>No</v>
      </c>
      <c r="BJ261" s="8">
        <f>IFERROR(EXP(1.076*LN(AT261)-4.5397)*IF(_xlfn.XLOOKUP(E261,Groups!A:A,Groups!N:N)="Insect",1,IF(OR(_xlfn.XLOOKUP(E261,Groups!A:A,Groups!N:N)="Pig",_xlfn.XLOOKUP(E261,Groups!A:A,Groups!N:N)="StrongBitingHerbivore"),3.5,3.75)),"No")</f>
        <v>216.35755370474666</v>
      </c>
      <c r="BK261" s="8">
        <f t="shared" si="147"/>
        <v>9</v>
      </c>
      <c r="BL261" s="8">
        <f t="shared" si="148"/>
        <v>9</v>
      </c>
      <c r="BM261" s="8" t="str">
        <f t="shared" si="149"/>
        <v>No</v>
      </c>
      <c r="BN261" s="8">
        <f t="shared" si="150"/>
        <v>17</v>
      </c>
      <c r="BO261" s="8">
        <f t="shared" si="151"/>
        <v>8</v>
      </c>
      <c r="BP261" s="8" cm="1">
        <f t="array" ref="BP261">IF(AND(_xlfn.XLOOKUP('Base stats'!E261,Groups!A:A,Groups!AD:AD=0),_xlfn.XLOOKUP('Base stats'!E261,Groups!A:A,Groups!P:P=0)),"No",IF(U261="No",AVERAGE(EXP(-0.57+0.99*LN(C261)),EXP(0.32+0.67*LN(C261)))/IF(_xlfn.XLOOKUP(E261,Groups!A:A,Groups!AD:AD)=1,10,2),(0.7354*C261^0.4078)*2/IF(_xlfn.XLOOKUP(E261,Groups!A:A,Groups!BK:BK)=1,1000,100)/IF(_xlfn.XLOOKUP(E261,Groups!A:A,Groups!AJ:AJ)="Photonozoa",3,1)))</f>
        <v>1.7006395456125865</v>
      </c>
      <c r="BQ261" s="8" t="str">
        <f>IF(W261="No","No",IF(_xlfn.XLOOKUP(E261,Groups!A:A,Groups!BD:BD)=1,(AO261*5%),EXP(0.7354*LN(C261)^0.4078)*2/IF(_xlfn.XLOOKUP(E261,Groups!A:A,Groups!BL:BL)=1,1000,100)/IF(_xlfn.XLOOKUP(E261,Groups!A:A,Groups!AJ:AJ)="Photonozoa",3,1)))</f>
        <v>No</v>
      </c>
      <c r="BR261" s="8">
        <f>IF(BJ261="No","No",IF(_xlfn.XLOOKUP(E261,Groups!A:A,Groups!BF:BF)=1,(0.0315*C261+2.1825)*2,(0.7354*C261^0.4078)*2)/IF(_xlfn.XLOOKUP(E261,Groups!A:A,Groups!BM:BM)=1,1000,100)/IF(_xlfn.XLOOKUP(E261,Groups!A:A,Groups!AJ:AJ)="Photonozoa",3,1))</f>
        <v>6.2693796472684152E-2</v>
      </c>
      <c r="BS261" s="8">
        <f t="shared" si="152"/>
        <v>4.447741212865667E-2</v>
      </c>
      <c r="BT261" s="8">
        <f t="shared" si="153"/>
        <v>16.936260992454869</v>
      </c>
      <c r="BU261" s="8" t="str">
        <f t="shared" si="154"/>
        <v>No</v>
      </c>
      <c r="BV261" s="8">
        <f t="shared" si="155"/>
        <v>3451.0201308197088</v>
      </c>
      <c r="BW261" s="4">
        <v>0</v>
      </c>
      <c r="BX261" s="4">
        <v>1</v>
      </c>
    </row>
    <row r="262" spans="1:76" s="16" customFormat="1" x14ac:dyDescent="0.25">
      <c r="A262" s="26" t="s">
        <v>1390</v>
      </c>
      <c r="B262" s="6" t="s">
        <v>1620</v>
      </c>
      <c r="C262" s="7">
        <v>10</v>
      </c>
      <c r="D262" s="7" t="s">
        <v>528</v>
      </c>
      <c r="E262" s="7" t="str">
        <f>Groups!$A$49</f>
        <v>Rodent (TAILLESS)</v>
      </c>
      <c r="F262" s="7">
        <f>ROUND(7.545*(C262*1000)^0.2689,0)</f>
        <v>90</v>
      </c>
      <c r="G262" s="7">
        <v>1</v>
      </c>
      <c r="H262" s="7">
        <v>15</v>
      </c>
      <c r="I262" s="4">
        <v>0</v>
      </c>
      <c r="J262" s="7">
        <v>5</v>
      </c>
      <c r="K262" s="7" t="s">
        <v>528</v>
      </c>
      <c r="L262" s="7">
        <f>MIN(20*C262^0.183,19.9*C262^0.142)</f>
        <v>27.596440994550576</v>
      </c>
      <c r="M262" s="7" t="s">
        <v>626</v>
      </c>
      <c r="N262" s="4">
        <v>0</v>
      </c>
      <c r="O262" s="4">
        <v>0</v>
      </c>
      <c r="P262" s="4">
        <v>0</v>
      </c>
      <c r="Q262" s="4">
        <v>0</v>
      </c>
      <c r="R262" s="4" t="s">
        <v>40</v>
      </c>
      <c r="S262" s="7">
        <f>_xlfn.XLOOKUP(B262,[1]TeethAdjusters!$A:$A,[1]BiteAdjusters!$C:$C,1)</f>
        <v>1</v>
      </c>
      <c r="T262" s="7">
        <f>_xlfn.XLOOKUP(B262,[1]TeethAdjusters!$A:$A,[1]TeethAdjusters!$B:$B,1)</f>
        <v>1</v>
      </c>
      <c r="U262" s="7" t="s">
        <v>45</v>
      </c>
      <c r="V262" s="7">
        <v>4.5</v>
      </c>
      <c r="W262" s="7" t="s">
        <v>45</v>
      </c>
      <c r="X262" s="7" t="s">
        <v>932</v>
      </c>
      <c r="Y262" s="4" t="s">
        <v>1003</v>
      </c>
      <c r="Z262" s="4">
        <v>1</v>
      </c>
      <c r="AA262" s="4">
        <v>0</v>
      </c>
      <c r="AB262" s="4">
        <v>0</v>
      </c>
      <c r="AC262" s="4">
        <v>0</v>
      </c>
      <c r="AD262" s="4">
        <v>0</v>
      </c>
      <c r="AE262" s="4" t="s">
        <v>45</v>
      </c>
      <c r="AF262" s="4" t="s">
        <v>45</v>
      </c>
      <c r="AG262" s="49" t="s">
        <v>1777</v>
      </c>
      <c r="AH262" s="4" t="s">
        <v>45</v>
      </c>
      <c r="AI262" s="4">
        <v>0</v>
      </c>
      <c r="AJ262" s="4">
        <v>0</v>
      </c>
      <c r="AK262" s="4">
        <v>0</v>
      </c>
      <c r="AL262" s="4">
        <v>0</v>
      </c>
      <c r="AM262" s="4">
        <v>1</v>
      </c>
      <c r="AN262" s="44" t="s">
        <v>40</v>
      </c>
      <c r="AO262" s="8">
        <f t="shared" si="141"/>
        <v>4958.187872875691</v>
      </c>
      <c r="AP262" s="8">
        <f>IFERROR(C262*_xlfn.XLOOKUP(E262,Groups!A:A,Groups!K:K),0.106*C262^0.94)</f>
        <v>0.92322140535344532</v>
      </c>
      <c r="AQ262" s="8">
        <f>AP262*10000/(_xlfn.XLOOKUP(E262,Groups!A:A,Groups!J:J)*AO262)</f>
        <v>1.7082695063588127</v>
      </c>
      <c r="AR262" s="8">
        <f t="shared" si="142"/>
        <v>380.31263115847975</v>
      </c>
      <c r="AS262" s="8">
        <f>IF(_xlfn.XLOOKUP(E262,Groups!A:A,Groups!M:M)=1,EXP(0.7444*LN('Base stats'!C262)+6.5696),EXP(0.7927*LN('Base stats'!C262)+4.28))</f>
        <v>448.20880356342906</v>
      </c>
      <c r="AT262" s="8">
        <f>IF(_xlfn.XLOOKUP(E262,Groups!A:A,Groups!N:N)="No","No",
IF(_xlfn.XLOOKUP(E262,Groups!A:A,Groups!N:N)="Crocodile",EXP(0.8129*LN(C262)+4.6742)*S262,
IF(_xlfn.XLOOKUP(E262,Groups!A:A,Groups!N:N)="Felid",EXP(0.7843*LN(C262)+4.7073)*S262,
IF(_xlfn.XLOOKUP(E262,Groups!A:A,Groups!N:N)="Canid",EXP(0.8367*LN(C262)+4.8763)*S262,
IF(_xlfn.XLOOKUP(E262,Groups!A:A,Groups!N:N)="Pig",EXP(0.3439*LN(C262)+6.8519)*S262,
IF(_xlfn.XLOOKUP(E262,Groups!A:A,Groups!N:N)="Rodent",EXP(0.5625*LN(C262)+4.3006)*S262,
IF(_xlfn.XLOOKUP(E262,Groups!A:A,Groups!N:N)="Primate",EXP(0.7847*LN(C262)+3.4931)*S262,
IF(_xlfn.XLOOKUP(E262,Groups!A:A,Groups!N:N)="MiscCarnivora",EXP(0.7486*LN(C262)+4.2207)*S262,
IF(_xlfn.XLOOKUP(E262,Groups!A:A,Groups!N:N)="Lizard",EXP(0.7733*LN(C262)+5.5303)*S262,
IF(_xlfn.XLOOKUP(E262,Groups!A:A,Groups!N:N)="Snake",50*C262^(2/3)*S262,
IF(_xlfn.XLOOKUP(E262,Groups!A:A,Groups!N:N)="StrongBitingHerbivore",87.1133638856975*C262^(2/3)*S262,
IF(_xlfn.XLOOKUP(E262,Groups!A:A,Groups!N:N)="MiscEctotherms",59.4316884072269*C262^(2/3)*S262,
IF(_xlfn.XLOOKUP(E262,Groups!A:A,Groups!N:N)="StrongBeakBird",0.041*(C262*1000)^1.375*S262,
IF(_xlfn.XLOOKUP(E262,Groups!A:A,Groups!N:N)="Bird",0.118*(C262*1000)^0.692*S262,
IF(_xlfn.XLOOKUP(E262,Groups!A:A,Groups!N:N)="Insect",EXP(0.7444*LN(C262)+6.5696)*S262,
IF(_xlfn.XLOOKUP(E262,Groups!A:A,Groups!N:N)="Theropod",EXP(0.6966*LN(C262)+4.158)*S262,
"No"))))))))))))))))</f>
        <v>269.29410643172787</v>
      </c>
      <c r="AU262" s="8">
        <f>IF(_xlfn.XLOOKUP(E262,Groups!A:A,Groups!U:U)=3,AS262,IF(_xlfn.XLOOKUP(E262,Groups!A:A,Groups!U:U)=2,AR262,AT262))</f>
        <v>269.29410643172787</v>
      </c>
      <c r="AV262" s="46">
        <f>IFERROR(AVERAGE(_xlfn.XLOOKUP(B262,Animals!B:B,Animals!N:N),_xlfn.XLOOKUP(B262,Animals!B:B,Animals!O:O)),0)</f>
        <v>0</v>
      </c>
      <c r="AW262" s="8">
        <f>MROUND(40*Animals!AO262*_xlfn.XLOOKUP(AG262,Leathers!$A$2:$A$99,Leathers!$B$2:$B$99,0)+(140*_xlfn.XLOOKUP(B262,Animals!B:B,Animals!AO:AO)*2),5)</f>
        <v>110</v>
      </c>
      <c r="AX262" s="8">
        <f>IFERROR(ROUND(SQRT(V262-1)*IF(_xlfn.XLOOKUP(E262,Groups!A:A,Groups!BF:BF)=0,2,1)*IF(_xlfn.XLOOKUP('Base stats'!E262,Groups!A:A,Groups!O:O)=0,1,0.1),1),0)</f>
        <v>3.7</v>
      </c>
      <c r="AY262" s="8">
        <f t="shared" si="143"/>
        <v>0</v>
      </c>
      <c r="AZ262" s="8">
        <f t="shared" si="144"/>
        <v>0</v>
      </c>
      <c r="BA262" s="8">
        <f t="shared" si="145"/>
        <v>1.6</v>
      </c>
      <c r="BB262" s="8">
        <f>IF(_xlfn.XLOOKUP(E262,Groups!A:A,Groups!N:N)="Insect",BD262*2.5,IFERROR(AVERAGE(BD262,AT262/9.81/IF(OR(_xlfn.XLOOKUP(E262,Groups!A:A,Groups!N:N)="Pig",_xlfn.XLOOKUP(E262,Groups!A:A,Groups!N:N)="StrongBitingHerbivore"),20,25))*C262^-0.135,BD262))</f>
        <v>0.48385350070247429</v>
      </c>
      <c r="BC262" s="8" t="str">
        <f>IF(W262="No","No",IF(_xlfn.XLOOKUP(E262,Groups!A:A,Groups!U:U)=1,'Base stats'!BB262,IF(OR(_xlfn.XLOOKUP(E262,Groups!A:A,Groups!BD:BD)=1,_xlfn.XLOOKUP(E262,Groups!A:A,Groups!U:U)=2),BD262,IF(_xlfn.XLOOKUP(B262,Animals!B:B,Animals!AO:AO)&gt;4,AVERAGE(BD262,BF262),BF262))))</f>
        <v>No</v>
      </c>
      <c r="BD262" s="8">
        <f t="shared" si="146"/>
        <v>0.22247748532015049</v>
      </c>
      <c r="BE262" s="8">
        <f>IF(_xlfn.XLOOKUP(E262,Groups!A:A,Groups!BE:BE)=1,(0.048*C262^1.01)+(0.071*C262^1.03),0.071*C262^1.03)/IF(_xlfn.XLOOKUP(E262,Groups!A:A,Groups!M:M)=1,0.85,IF(OR(_xlfn.XLOOKUP(B262,Animals!B:B,Animals!AO:AO)&gt;4,_xlfn.XLOOKUP(E262,Groups!A:A,Groups!BC:BC)=1),1.7,1))*C262^-0.25</f>
        <v>0.42781730611279417</v>
      </c>
      <c r="BF262" s="8">
        <f>(0.048*C262^1.01)/IF(_xlfn.XLOOKUP(E262,Groups!A:A,Groups!M:M)=1,0.25,0.8)*C262^-0.25</f>
        <v>0.34526396240229418</v>
      </c>
      <c r="BG262" s="8">
        <f>EXP(1.076*LN(AR262)-4.5397)*IF(_xlfn.XLOOKUP(E262,Groups!A:A,Groups!BC:BC)=1,1.25,IF(_xlfn.XLOOKUP(E262,Groups!A:A,Groups!BD:BD)=1,3.5,2.5))</f>
        <v>15.944275717953127</v>
      </c>
      <c r="BH262" s="8">
        <f>EXP(1.076*LN(AS262)-4.5397)*IF(_xlfn.XLOOKUP(E262,Groups!A:A,Groups!M:M)=1,0.8,IF(_xlfn.XLOOKUP(E262,Groups!A:A,Groups!BC:BC)=1,1.3,3))</f>
        <v>22.832185638487289</v>
      </c>
      <c r="BI262" s="8" t="str">
        <f>IF(W262="No","No",IF(_xlfn.XLOOKUP(E262,Groups!A:A,Groups!U:U)=1,'Base stats'!BJ262,IF(OR(_xlfn.XLOOKUP(E262,Groups!A:A,Groups!BD:BD)=1,_xlfn.XLOOKUP(E262,Groups!A:A,Groups!U:U)=2),BG262,BH262))*1.2)</f>
        <v>No</v>
      </c>
      <c r="BJ262" s="8">
        <f>IFERROR(EXP(1.076*LN(AT262)-4.5397)*IF(_xlfn.XLOOKUP(E262,Groups!A:A,Groups!N:N)="Insect",1,IF(OR(_xlfn.XLOOKUP(E262,Groups!A:A,Groups!N:N)="Pig",_xlfn.XLOOKUP(E262,Groups!A:A,Groups!N:N)="StrongBitingHerbivore"),3.5,3.75)),"No")</f>
        <v>16.496381725854601</v>
      </c>
      <c r="BK262" s="8">
        <f t="shared" si="147"/>
        <v>11</v>
      </c>
      <c r="BL262" s="8">
        <f t="shared" si="148"/>
        <v>10</v>
      </c>
      <c r="BM262" s="8" t="str">
        <f t="shared" si="149"/>
        <v>No</v>
      </c>
      <c r="BN262" s="8">
        <f t="shared" si="150"/>
        <v>8</v>
      </c>
      <c r="BO262" s="8">
        <f t="shared" si="151"/>
        <v>11</v>
      </c>
      <c r="BP262" s="8" t="str" cm="1">
        <f t="array" ref="BP262">IF(AND(_xlfn.XLOOKUP('Base stats'!E262,Groups!A:A,Groups!AD:AD=0),_xlfn.XLOOKUP('Base stats'!E262,Groups!A:A,Groups!P:P=0)),"No",IF(U262="No",AVERAGE(EXP(-0.57+0.99*LN(C262)),EXP(0.32+0.67*LN(C262)))/IF(_xlfn.XLOOKUP(E262,Groups!A:A,Groups!AD:AD)=1,10,2),(0.7354*C262^0.4078)*2/IF(_xlfn.XLOOKUP(E262,Groups!A:A,Groups!BK:BK)=1,1000,100)/IF(_xlfn.XLOOKUP(E262,Groups!A:A,Groups!AJ:AJ)="Photonozoa",3,1)))</f>
        <v>No</v>
      </c>
      <c r="BQ262" s="8" t="str">
        <f>IF(W262="No","No",IF(_xlfn.XLOOKUP(E262,Groups!A:A,Groups!BD:BD)=1,(AO262*5%),EXP(0.7354*LN(C262)^0.4078)*2/IF(_xlfn.XLOOKUP(E262,Groups!A:A,Groups!BL:BL)=1,1000,100)/IF(_xlfn.XLOOKUP(E262,Groups!A:A,Groups!AJ:AJ)="Photonozoa",3,1)))</f>
        <v>No</v>
      </c>
      <c r="BR262" s="8">
        <f>IF(BJ262="No","No",IF(_xlfn.XLOOKUP(E262,Groups!A:A,Groups!BF:BF)=1,(0.0315*C262+2.1825)*2,(0.7354*C262^0.4078)*2)/IF(_xlfn.XLOOKUP(E262,Groups!A:A,Groups!BM:BM)=1,1000,100)/IF(_xlfn.XLOOKUP(E262,Groups!A:A,Groups!AJ:AJ)="Photonozoa",3,1))</f>
        <v>3.7614355184740135E-2</v>
      </c>
      <c r="BS262" s="8">
        <f t="shared" si="152"/>
        <v>6.4314931691790186E-2</v>
      </c>
      <c r="BT262" s="8" t="str">
        <f t="shared" si="153"/>
        <v>No</v>
      </c>
      <c r="BU262" s="8" t="str">
        <f t="shared" si="154"/>
        <v>No</v>
      </c>
      <c r="BV262" s="8">
        <f t="shared" si="155"/>
        <v>438.56611777162834</v>
      </c>
      <c r="BW262" s="4">
        <v>0</v>
      </c>
      <c r="BX262" s="4">
        <v>1</v>
      </c>
    </row>
    <row r="263" spans="1:76" s="16" customFormat="1" x14ac:dyDescent="0.25">
      <c r="A263" s="26" t="s">
        <v>1574</v>
      </c>
      <c r="B263" s="6" t="s">
        <v>1857</v>
      </c>
      <c r="C263" s="7">
        <v>4000</v>
      </c>
      <c r="D263" s="7" t="s">
        <v>528</v>
      </c>
      <c r="E263" s="7" t="str">
        <f>Groups!$A$116</f>
        <v>MechaWorm</v>
      </c>
      <c r="F263" s="7" t="s">
        <v>1700</v>
      </c>
      <c r="G263" s="7" t="s">
        <v>1700</v>
      </c>
      <c r="H263" s="7">
        <v>3000</v>
      </c>
      <c r="I263" s="4">
        <v>1</v>
      </c>
      <c r="J263" s="7" t="s">
        <v>1700</v>
      </c>
      <c r="K263" s="7" t="s">
        <v>528</v>
      </c>
      <c r="L263" s="7">
        <v>8</v>
      </c>
      <c r="M263" s="7" t="s">
        <v>528</v>
      </c>
      <c r="N263" s="4">
        <v>1</v>
      </c>
      <c r="O263" s="4">
        <v>2</v>
      </c>
      <c r="P263" s="4">
        <v>100</v>
      </c>
      <c r="Q263" s="4">
        <v>100</v>
      </c>
      <c r="R263" s="4">
        <v>1</v>
      </c>
      <c r="S263" s="7">
        <f>_xlfn.XLOOKUP(B263,[1]TeethAdjusters!$A:$A,[1]BiteAdjusters!$C:$C,1)</f>
        <v>1</v>
      </c>
      <c r="T263" s="7">
        <f>_xlfn.XLOOKUP(B263,[1]TeethAdjusters!$A:$A,[1]TeethAdjusters!$B:$B,1)</f>
        <v>1</v>
      </c>
      <c r="U263" s="7" t="str">
        <f>IF(OR(_xlfn.XLOOKUP(E263,Groups!A:A,Groups!P:P)=1,_xlfn.XLOOKUP(E263,Groups!A:A,Groups!AD:AD)=1),"Need a formula","No")</f>
        <v>No</v>
      </c>
      <c r="V263" s="7" t="str">
        <f>IF(AT263="No","No",IF(_xlfn.XLOOKUP(E263,Groups!A:A,Groups!AM:AM)=1,MROUND(EXP(0.3582*LN(C263)-0.2221)*T263,0.05),IF(_xlfn.XLOOKUP(E263,Groups!A:A,Groups!AM:AM)=2,MROUND(EXP(0.3582*LN(C263)-0.2221)*T263,0.05),"Need a formula")))</f>
        <v>No</v>
      </c>
      <c r="W263" s="7" t="str">
        <f>IF(_xlfn.XLOOKUP(E263,Groups!A:A,Groups!V:V)&lt;&gt;"No","Need a formula","No")</f>
        <v>No</v>
      </c>
      <c r="X263" s="7" t="s">
        <v>932</v>
      </c>
      <c r="Y263" s="4" t="s">
        <v>1003</v>
      </c>
      <c r="Z263" s="4">
        <v>1</v>
      </c>
      <c r="AA263" s="4">
        <v>0</v>
      </c>
      <c r="AB263" s="4">
        <v>0</v>
      </c>
      <c r="AC263" s="4">
        <v>0</v>
      </c>
      <c r="AD263" s="4">
        <v>0</v>
      </c>
      <c r="AE263" s="4" t="s">
        <v>45</v>
      </c>
      <c r="AF263" s="4" t="s">
        <v>45</v>
      </c>
      <c r="AG263" s="49" t="s">
        <v>45</v>
      </c>
      <c r="AH263" s="4" t="s">
        <v>45</v>
      </c>
      <c r="AI263" s="4">
        <v>0</v>
      </c>
      <c r="AJ263" s="4">
        <v>0</v>
      </c>
      <c r="AK263" s="4">
        <v>0</v>
      </c>
      <c r="AL263" s="4">
        <v>0</v>
      </c>
      <c r="AM263" s="4">
        <v>1</v>
      </c>
      <c r="AN263" s="44" t="s">
        <v>40</v>
      </c>
      <c r="AO263" s="8">
        <f t="shared" si="141"/>
        <v>243591.41216853441</v>
      </c>
      <c r="AP263" s="8">
        <f>IFERROR(C263*_xlfn.XLOOKUP(E263,Groups!A:A,Groups!K:K),0.106*C263^0.94)</f>
        <v>1280</v>
      </c>
      <c r="AQ263" s="8">
        <f>AP263*10000/(_xlfn.XLOOKUP(E263,Groups!A:A,Groups!J:J)*AO263)</f>
        <v>18.700003016515051</v>
      </c>
      <c r="AR263" s="8">
        <f t="shared" si="142"/>
        <v>59993.033791828515</v>
      </c>
      <c r="AS263" s="8">
        <f>IF(_xlfn.XLOOKUP(E263,Groups!A:A,Groups!M:M)=1,EXP(0.7444*LN('Base stats'!C263)+6.5696),EXP(0.7927*LN('Base stats'!C263)+4.28))</f>
        <v>51776.577268894063</v>
      </c>
      <c r="AT263" s="8" t="str">
        <f>IF(_xlfn.XLOOKUP(E263,Groups!A:A,Groups!N:N)="No","No",
IF(_xlfn.XLOOKUP(E263,Groups!A:A,Groups!N:N)="Crocodile",EXP(0.8129*LN(C263)+4.6742)*S263,
IF(_xlfn.XLOOKUP(E263,Groups!A:A,Groups!N:N)="Felid",EXP(0.7843*LN(C263)+4.7073)*S263,
IF(_xlfn.XLOOKUP(E263,Groups!A:A,Groups!N:N)="Canid",EXP(0.8367*LN(C263)+4.8763)*S263,
IF(_xlfn.XLOOKUP(E263,Groups!A:A,Groups!N:N)="Pig",EXP(0.3439*LN(C263)+6.8519)*S263,
IF(_xlfn.XLOOKUP(E263,Groups!A:A,Groups!N:N)="Rodent",EXP(0.5625*LN(C263)+4.3006)*S263,
IF(_xlfn.XLOOKUP(E263,Groups!A:A,Groups!N:N)="Primate",EXP(0.7847*LN(C263)+3.4931)*S263,
IF(_xlfn.XLOOKUP(E263,Groups!A:A,Groups!N:N)="MiscCarnivora",EXP(0.7486*LN(C263)+4.2207)*S263,
IF(_xlfn.XLOOKUP(E263,Groups!A:A,Groups!N:N)="Lizard",EXP(0.7733*LN(C263)+5.5303)*S263,
IF(_xlfn.XLOOKUP(E263,Groups!A:A,Groups!N:N)="Snake",50*C263^(2/3)*S263,
IF(_xlfn.XLOOKUP(E263,Groups!A:A,Groups!N:N)="StrongBitingHerbivore",87.1133638856975*C263^(2/3)*S263,
IF(_xlfn.XLOOKUP(E263,Groups!A:A,Groups!N:N)="MiscEctotherms",59.4316884072269*C263^(2/3)*S263,
IF(_xlfn.XLOOKUP(E263,Groups!A:A,Groups!N:N)="StrongBeakBird",0.041*(C263*1000)^1.375*S263,
IF(_xlfn.XLOOKUP(E263,Groups!A:A,Groups!N:N)="Bird",0.118*(C263*1000)^0.692*S263,
IF(_xlfn.XLOOKUP(E263,Groups!A:A,Groups!N:N)="Insect",EXP(0.7444*LN(C263)+6.5696)*S263,
IF(_xlfn.XLOOKUP(E263,Groups!A:A,Groups!N:N)="Theropod",EXP(0.6966*LN(C263)+4.158)*S263,
"No"))))))))))))))))</f>
        <v>No</v>
      </c>
      <c r="AU263" s="8" t="str">
        <f>IF(_xlfn.XLOOKUP(E263,Groups!A:A,Groups!U:U)=3,AS263,IF(_xlfn.XLOOKUP(E263,Groups!A:A,Groups!U:U)=2,AR263,AT263))</f>
        <v>No</v>
      </c>
      <c r="AV263" s="46">
        <f>IFERROR(AVERAGE(_xlfn.XLOOKUP(B263,Animals!B:B,Animals!N:N),_xlfn.XLOOKUP(B263,Animals!B:B,Animals!O:O)),0)</f>
        <v>0.95</v>
      </c>
      <c r="AW263" s="8">
        <f>MROUND(40*Animals!AO263*_xlfn.XLOOKUP(AG263,Leathers!$A$2:$A$99,Leathers!$B$2:$B$99,0)+(140*_xlfn.XLOOKUP(B263,Animals!B:B,Animals!AO:AO)*2),5)</f>
        <v>1330</v>
      </c>
      <c r="AX263" s="8">
        <f>IFERROR(ROUND(SQRT(V263-1)*IF(_xlfn.XLOOKUP(E263,Groups!A:A,Groups!BF:BF)=0,2,1)*IF(_xlfn.XLOOKUP('Base stats'!E263,Groups!A:A,Groups!O:O)=0,1,0.1),1),0)</f>
        <v>0</v>
      </c>
      <c r="AY263" s="8">
        <f t="shared" si="143"/>
        <v>0</v>
      </c>
      <c r="AZ263" s="8">
        <f t="shared" si="144"/>
        <v>0</v>
      </c>
      <c r="BA263" s="8">
        <f t="shared" si="145"/>
        <v>15.6</v>
      </c>
      <c r="BB263" s="8">
        <f>IF(_xlfn.XLOOKUP(E263,Groups!A:A,Groups!N:N)="Insect",BD263*2.5,IFERROR(AVERAGE(BD263,AT263/9.81/IF(OR(_xlfn.XLOOKUP(E263,Groups!A:A,Groups!N:N)="Pig",_xlfn.XLOOKUP(E263,Groups!A:A,Groups!N:N)="StrongBitingHerbivore"),20,25))*C263^-0.135,BD263))</f>
        <v>20.381648169863855</v>
      </c>
      <c r="BC263" s="8" t="str">
        <f>IF(W263="No","No",IF(_xlfn.XLOOKUP(E263,Groups!A:A,Groups!U:U)=1,'Base stats'!BB263,IF(OR(_xlfn.XLOOKUP(E263,Groups!A:A,Groups!BD:BD)=1,_xlfn.XLOOKUP(E263,Groups!A:A,Groups!U:U)=2),BD263,IF(_xlfn.XLOOKUP(B263,Animals!B:B,Animals!AO:AO)&gt;4,AVERAGE(BD263,BF263),BF263))))</f>
        <v>No</v>
      </c>
      <c r="BD263" s="8">
        <f t="shared" si="146"/>
        <v>20.381648169863855</v>
      </c>
      <c r="BE263" s="8">
        <f>IF(_xlfn.XLOOKUP(E263,Groups!A:A,Groups!BE:BE)=1,(0.048*C263^1.01)+(0.071*C263^1.03),0.071*C263^1.03)/IF(_xlfn.XLOOKUP(E263,Groups!A:A,Groups!M:M)=1,0.85,IF(OR(_xlfn.XLOOKUP(B263,Animals!B:B,Animals!AO:AO)&gt;4,_xlfn.XLOOKUP(E263,Groups!A:A,Groups!BC:BC)=1),1.7,1))*C263^-0.25</f>
        <v>26.941155624015625</v>
      </c>
      <c r="BF263" s="8">
        <f>(0.048*C263^1.01)/IF(_xlfn.XLOOKUP(E263,Groups!A:A,Groups!M:M)=1,0.25,0.8)*C263^-0.25</f>
        <v>32.788144756936866</v>
      </c>
      <c r="BG263" s="8">
        <f>EXP(1.076*LN(AR263)-4.5397)*IF(_xlfn.XLOOKUP(E263,Groups!A:A,Groups!BC:BC)=1,1.25,IF(_xlfn.XLOOKUP(E263,Groups!A:A,Groups!BD:BD)=1,3.5,2.5))</f>
        <v>1847.480403748275</v>
      </c>
      <c r="BH263" s="8">
        <f>EXP(1.076*LN(AS263)-4.5397)*IF(_xlfn.XLOOKUP(E263,Groups!A:A,Groups!M:M)=1,0.8,IF(_xlfn.XLOOKUP(E263,Groups!A:A,Groups!BC:BC)=1,1.3,3))</f>
        <v>1639.7746347730574</v>
      </c>
      <c r="BI263" s="8" t="str">
        <f>IF(W263="No","No",IF(_xlfn.XLOOKUP(E263,Groups!A:A,Groups!U:U)=1,'Base stats'!BJ263,IF(OR(_xlfn.XLOOKUP(E263,Groups!A:A,Groups!BD:BD)=1,_xlfn.XLOOKUP(E263,Groups!A:A,Groups!U:U)=2),BG263,BH263))*1.2)</f>
        <v>No</v>
      </c>
      <c r="BJ263" s="8" t="str">
        <f>IFERROR(EXP(1.076*LN(AT263)-4.5397)*IF(_xlfn.XLOOKUP(E263,Groups!A:A,Groups!N:N)="Insect",1,IF(OR(_xlfn.XLOOKUP(E263,Groups!A:A,Groups!N:N)="Pig",_xlfn.XLOOKUP(E263,Groups!A:A,Groups!N:N)="StrongBitingHerbivore"),3.5,3.75)),"No")</f>
        <v>No</v>
      </c>
      <c r="BK263" s="8">
        <f t="shared" si="147"/>
        <v>13</v>
      </c>
      <c r="BL263" s="8">
        <f t="shared" si="148"/>
        <v>11</v>
      </c>
      <c r="BM263" s="8" t="str">
        <f t="shared" si="149"/>
        <v>No</v>
      </c>
      <c r="BN263" s="8" t="str">
        <f t="shared" si="150"/>
        <v>No</v>
      </c>
      <c r="BO263" s="8">
        <f t="shared" si="151"/>
        <v>10</v>
      </c>
      <c r="BP263" s="8" t="str" cm="1">
        <f t="array" ref="BP263">IF(AND(_xlfn.XLOOKUP('Base stats'!E263,Groups!A:A,Groups!AD:AD=0),_xlfn.XLOOKUP('Base stats'!E263,Groups!A:A,Groups!P:P=0)),"No",IF(U263="No",AVERAGE(EXP(-0.57+0.99*LN(C263)),EXP(0.32+0.67*LN(C263)))/IF(_xlfn.XLOOKUP(E263,Groups!A:A,Groups!AD:AD)=1,10,2),(0.7354*C263^0.4078)*2/IF(_xlfn.XLOOKUP(E263,Groups!A:A,Groups!BK:BK)=1,1000,100)/IF(_xlfn.XLOOKUP(E263,Groups!A:A,Groups!AJ:AJ)="Photonozoa",3,1)))</f>
        <v>No</v>
      </c>
      <c r="BQ263" s="8" t="str">
        <f>IF(W263="No","No",IF(_xlfn.XLOOKUP(E263,Groups!A:A,Groups!BD:BD)=1,(AO263*5%),EXP(0.7354*LN(C263)^0.4078)*2/IF(_xlfn.XLOOKUP(E263,Groups!A:A,Groups!BL:BL)=1,1000,100)/IF(_xlfn.XLOOKUP(E263,Groups!A:A,Groups!AJ:AJ)="Photonozoa",3,1)))</f>
        <v>No</v>
      </c>
      <c r="BR263" s="8" t="str">
        <f>IF(BJ263="No","No",IF(_xlfn.XLOOKUP(E263,Groups!A:A,Groups!BF:BF)=1,(0.0315*C263+2.1825)*2,(0.7354*C263^0.4078)*2)/IF(_xlfn.XLOOKUP(E263,Groups!A:A,Groups!BM:BM)=1,1000,100)/IF(_xlfn.XLOOKUP(E263,Groups!A:A,Groups!AJ:AJ)="Photonozoa",3,1))</f>
        <v>No</v>
      </c>
      <c r="BS263" s="8">
        <f t="shared" si="152"/>
        <v>0.15168682568087025</v>
      </c>
      <c r="BT263" s="8" t="str">
        <f t="shared" si="153"/>
        <v>No</v>
      </c>
      <c r="BU263" s="8" t="str">
        <f t="shared" si="154"/>
        <v>No</v>
      </c>
      <c r="BV263" s="8" t="str">
        <f t="shared" si="155"/>
        <v>No</v>
      </c>
      <c r="BW263" s="4">
        <v>0</v>
      </c>
      <c r="BX263" s="4">
        <v>1</v>
      </c>
    </row>
    <row r="264" spans="1:76" s="16" customFormat="1" x14ac:dyDescent="0.25">
      <c r="A264" s="26" t="s">
        <v>1432</v>
      </c>
      <c r="B264" s="6" t="s">
        <v>1636</v>
      </c>
      <c r="C264" s="7">
        <v>7500</v>
      </c>
      <c r="D264" s="7" t="s">
        <v>528</v>
      </c>
      <c r="E264" s="7" t="str">
        <f>Groups!$A$88</f>
        <v>TeethedGoo</v>
      </c>
      <c r="F264" s="7" t="s">
        <v>1700</v>
      </c>
      <c r="G264" s="7" t="s">
        <v>1700</v>
      </c>
      <c r="H264" s="7">
        <v>100</v>
      </c>
      <c r="I264" s="4">
        <v>1</v>
      </c>
      <c r="J264" s="7" t="s">
        <v>1700</v>
      </c>
      <c r="K264" s="7" t="s">
        <v>528</v>
      </c>
      <c r="L264" s="7">
        <v>10</v>
      </c>
      <c r="M264" s="7" t="s">
        <v>528</v>
      </c>
      <c r="N264" s="4">
        <v>0</v>
      </c>
      <c r="O264" s="4">
        <v>0</v>
      </c>
      <c r="P264" s="4">
        <v>0</v>
      </c>
      <c r="Q264" s="4">
        <v>0</v>
      </c>
      <c r="R264" s="4" t="s">
        <v>40</v>
      </c>
      <c r="S264" s="7">
        <f>_xlfn.XLOOKUP(B264,[1]TeethAdjusters!$A:$A,[1]BiteAdjusters!$C:$C,1)</f>
        <v>1</v>
      </c>
      <c r="T264" s="7">
        <f>_xlfn.XLOOKUP(B264,[1]TeethAdjusters!$A:$A,[1]TeethAdjusters!$B:$B,1)</f>
        <v>1</v>
      </c>
      <c r="U264" s="7" t="s">
        <v>45</v>
      </c>
      <c r="V264" s="7">
        <v>10</v>
      </c>
      <c r="W264" s="7" t="str">
        <f>IF(_xlfn.XLOOKUP(E264,Groups!A:A,Groups!V:V)&lt;&gt;"No","Need a formula","No")</f>
        <v>No</v>
      </c>
      <c r="X264" s="7" t="s">
        <v>932</v>
      </c>
      <c r="Y264" s="4" t="s">
        <v>53</v>
      </c>
      <c r="Z264" s="4">
        <v>1</v>
      </c>
      <c r="AA264" s="4">
        <v>0</v>
      </c>
      <c r="AB264" s="4">
        <v>0</v>
      </c>
      <c r="AC264" s="4">
        <v>0</v>
      </c>
      <c r="AD264" s="4">
        <v>0</v>
      </c>
      <c r="AE264" s="4" t="s">
        <v>45</v>
      </c>
      <c r="AF264" s="4" t="s">
        <v>45</v>
      </c>
      <c r="AG264" s="49" t="s">
        <v>45</v>
      </c>
      <c r="AH264" s="4" t="str">
        <f>Animals!$C$30</f>
        <v>&lt;li&gt;Pig&lt;/li&gt;</v>
      </c>
      <c r="AI264" s="4">
        <v>0</v>
      </c>
      <c r="AJ264" s="4">
        <v>0</v>
      </c>
      <c r="AK264" s="4">
        <v>0</v>
      </c>
      <c r="AL264" s="4">
        <v>0</v>
      </c>
      <c r="AM264" s="4">
        <v>1</v>
      </c>
      <c r="AN264" s="44" t="s">
        <v>40</v>
      </c>
      <c r="AO264" s="8">
        <f t="shared" si="141"/>
        <v>366532.76241857099</v>
      </c>
      <c r="AP264" s="8">
        <f>IFERROR(C264*_xlfn.XLOOKUP(E264,Groups!A:A,Groups!K:K),0.106*C264^0.94)</f>
        <v>465.43973094595839</v>
      </c>
      <c r="AQ264" s="8">
        <f>AP264*10000/(_xlfn.XLOOKUP(E264,Groups!A:A,Groups!J:J)*AO264)</f>
        <v>12.698448233515295</v>
      </c>
      <c r="AR264" s="8">
        <f t="shared" si="142"/>
        <v>102024.62305242383</v>
      </c>
      <c r="AS264" s="8">
        <f>IF(_xlfn.XLOOKUP(E264,Groups!A:A,Groups!M:M)=1,EXP(0.7444*LN('Base stats'!C264)+6.5696),EXP(0.7927*LN('Base stats'!C264)+4.28))</f>
        <v>85219.983550759658</v>
      </c>
      <c r="AT264" s="8">
        <f>IF(_xlfn.XLOOKUP(E264,Groups!A:A,Groups!N:N)="No","No",
IF(_xlfn.XLOOKUP(E264,Groups!A:A,Groups!N:N)="Crocodile",EXP(0.8129*LN(C264)+4.6742)*S264,
IF(_xlfn.XLOOKUP(E264,Groups!A:A,Groups!N:N)="Felid",EXP(0.7843*LN(C264)+4.7073)*S264,
IF(_xlfn.XLOOKUP(E264,Groups!A:A,Groups!N:N)="Canid",EXP(0.8367*LN(C264)+4.8763)*S264,
IF(_xlfn.XLOOKUP(E264,Groups!A:A,Groups!N:N)="Pig",EXP(0.3439*LN(C264)+6.8519)*S264,
IF(_xlfn.XLOOKUP(E264,Groups!A:A,Groups!N:N)="Rodent",EXP(0.5625*LN(C264)+4.3006)*S264,
IF(_xlfn.XLOOKUP(E264,Groups!A:A,Groups!N:N)="Primate",EXP(0.7847*LN(C264)+3.4931)*S264,
IF(_xlfn.XLOOKUP(E264,Groups!A:A,Groups!N:N)="MiscCarnivora",EXP(0.7486*LN(C264)+4.2207)*S264,
IF(_xlfn.XLOOKUP(E264,Groups!A:A,Groups!N:N)="Lizard",EXP(0.7733*LN(C264)+5.5303)*S264,
IF(_xlfn.XLOOKUP(E264,Groups!A:A,Groups!N:N)="Snake",50*C264^(2/3)*S264,
IF(_xlfn.XLOOKUP(E264,Groups!A:A,Groups!N:N)="StrongBitingHerbivore",87.1133638856975*C264^(2/3)*S264,
IF(_xlfn.XLOOKUP(E264,Groups!A:A,Groups!N:N)="MiscEctotherms",59.4316884072269*C264^(2/3)*S264,
IF(_xlfn.XLOOKUP(E264,Groups!A:A,Groups!N:N)="StrongBeakBird",0.041*(C264*1000)^1.375*S264,
IF(_xlfn.XLOOKUP(E264,Groups!A:A,Groups!N:N)="Bird",0.118*(C264*1000)^0.692*S264,
IF(_xlfn.XLOOKUP(E264,Groups!A:A,Groups!N:N)="Insect",EXP(0.7444*LN(C264)+6.5696)*S264,
IF(_xlfn.XLOOKUP(E264,Groups!A:A,Groups!N:N)="Theropod",EXP(0.6966*LN(C264)+4.158)*S264,
"No"))))))))))))))))</f>
        <v>54187.308691426901</v>
      </c>
      <c r="AU264" s="8">
        <f>IF(_xlfn.XLOOKUP(E264,Groups!A:A,Groups!U:U)=3,AS264,IF(_xlfn.XLOOKUP(E264,Groups!A:A,Groups!U:U)=2,AR264,AT264))</f>
        <v>54187.308691426901</v>
      </c>
      <c r="AV264" s="46">
        <f>IFERROR(AVERAGE(_xlfn.XLOOKUP(B264,Animals!B:B,Animals!N:N),_xlfn.XLOOKUP(B264,Animals!B:B,Animals!O:O)),0)</f>
        <v>0</v>
      </c>
      <c r="AW264" s="8">
        <f>MROUND(40*Animals!AO264*_xlfn.XLOOKUP(AG264,Leathers!$A$2:$A$99,Leathers!$B$2:$B$99,0)+(140*_xlfn.XLOOKUP(B264,Animals!B:B,Animals!AO:AO)*2),5)</f>
        <v>1680</v>
      </c>
      <c r="AX264" s="8">
        <f>IFERROR(ROUND(SQRT(V264-1)*IF(_xlfn.XLOOKUP(E264,Groups!A:A,Groups!BF:BF)=0,2,1)*IF(_xlfn.XLOOKUP('Base stats'!E264,Groups!A:A,Groups!O:O)=0,1,0.1),1),0)</f>
        <v>6</v>
      </c>
      <c r="AY264" s="8">
        <f t="shared" si="143"/>
        <v>0</v>
      </c>
      <c r="AZ264" s="8">
        <f t="shared" si="144"/>
        <v>0</v>
      </c>
      <c r="BA264" s="8">
        <f t="shared" si="145"/>
        <v>19.600000000000001</v>
      </c>
      <c r="BB264" s="8">
        <f>IF(_xlfn.XLOOKUP(E264,Groups!A:A,Groups!N:N)="Insect",BD264*2.5,IFERROR(AVERAGE(BD264,AT264/9.81/IF(OR(_xlfn.XLOOKUP(E264,Groups!A:A,Groups!N:N)="Pig",_xlfn.XLOOKUP(E264,Groups!A:A,Groups!N:N)="StrongBitingHerbivore"),20,25))*C264^-0.135,BD264))</f>
        <v>42.879271792931441</v>
      </c>
      <c r="BC264" s="8" t="str">
        <f>IF(W264="No","No",IF(_xlfn.XLOOKUP(E264,Groups!A:A,Groups!U:U)=1,'Base stats'!BB264,IF(OR(_xlfn.XLOOKUP(E264,Groups!A:A,Groups!BD:BD)=1,_xlfn.XLOOKUP(E264,Groups!A:A,Groups!U:U)=2),BD264,IF(_xlfn.XLOOKUP(B264,Animals!B:B,Animals!AO:AO)&gt;4,AVERAGE(BD264,BF264),BF264))))</f>
        <v>No</v>
      </c>
      <c r="BD264" s="8">
        <f t="shared" si="146"/>
        <v>65.082162798460999</v>
      </c>
      <c r="BE264" s="8">
        <f>IF(_xlfn.XLOOKUP(E264,Groups!A:A,Groups!BE:BE)=1,(0.048*C264^1.01)+(0.071*C264^1.03),0.071*C264^1.03)/IF(_xlfn.XLOOKUP(E264,Groups!A:A,Groups!M:M)=1,0.85,IF(OR(_xlfn.XLOOKUP(B264,Animals!B:B,Animals!AO:AO)&gt;4,_xlfn.XLOOKUP(E264,Groups!A:A,Groups!BC:BC)=1),1.7,1))*C264^-0.25</f>
        <v>43.990329278057857</v>
      </c>
      <c r="BF264" s="8">
        <f>(0.048*C264^1.01)/IF(_xlfn.XLOOKUP(E264,Groups!A:A,Groups!M:M)=1,0.25,0.8)*C264^-0.25</f>
        <v>52.868600054303784</v>
      </c>
      <c r="BG264" s="8">
        <f>EXP(1.076*LN(AR264)-4.5397)*IF(_xlfn.XLOOKUP(E264,Groups!A:A,Groups!BC:BC)=1,1.25,IF(_xlfn.XLOOKUP(E264,Groups!A:A,Groups!BD:BD)=1,3.5,2.5))</f>
        <v>3271.2213520369346</v>
      </c>
      <c r="BH264" s="8">
        <f>EXP(1.076*LN(AS264)-4.5397)*IF(_xlfn.XLOOKUP(E264,Groups!A:A,Groups!M:M)=1,0.8,IF(_xlfn.XLOOKUP(E264,Groups!A:A,Groups!BC:BC)=1,1.3,3))</f>
        <v>2803.1045009334848</v>
      </c>
      <c r="BI264" s="8" t="str">
        <f>IF(W264="No","No",IF(_xlfn.XLOOKUP(E264,Groups!A:A,Groups!U:U)=1,'Base stats'!BJ264,IF(OR(_xlfn.XLOOKUP(E264,Groups!A:A,Groups!BD:BD)=1,_xlfn.XLOOKUP(E264,Groups!A:A,Groups!U:U)=2),BG264,BH264))*1.2)</f>
        <v>No</v>
      </c>
      <c r="BJ264" s="8">
        <f>IFERROR(EXP(1.076*LN(AT264)-4.5397)*IF(_xlfn.XLOOKUP(E264,Groups!A:A,Groups!N:N)="Insect",1,IF(OR(_xlfn.XLOOKUP(E264,Groups!A:A,Groups!N:N)="Pig",_xlfn.XLOOKUP(E264,Groups!A:A,Groups!N:N)="StrongBitingHerbivore"),3.5,3.75)),"No")</f>
        <v>4967.5060643780553</v>
      </c>
      <c r="BK264" s="8">
        <f t="shared" si="147"/>
        <v>10</v>
      </c>
      <c r="BL264" s="8">
        <f t="shared" si="148"/>
        <v>11</v>
      </c>
      <c r="BM264" s="8" t="str">
        <f t="shared" si="149"/>
        <v>No</v>
      </c>
      <c r="BN264" s="8">
        <f t="shared" si="150"/>
        <v>15</v>
      </c>
      <c r="BO264" s="8">
        <f t="shared" si="151"/>
        <v>10</v>
      </c>
      <c r="BP264" s="8" cm="1">
        <f t="array" ref="BP264">IF(AND(_xlfn.XLOOKUP('Base stats'!E264,Groups!A:A,Groups!AD:AD=0),_xlfn.XLOOKUP('Base stats'!E264,Groups!A:A,Groups!P:P=0)),"No",IF(U264="No",AVERAGE(EXP(-0.57+0.99*LN(C264)),EXP(0.32+0.67*LN(C264)))/IF(_xlfn.XLOOKUP(E264,Groups!A:A,Groups!AD:AD)=1,10,2),(0.7354*C264^0.4078)*2/IF(_xlfn.XLOOKUP(E264,Groups!A:A,Groups!BK:BK)=1,1000,100)/IF(_xlfn.XLOOKUP(E264,Groups!A:A,Groups!AJ:AJ)="Photonozoa",3,1)))</f>
        <v>221.14832488176725</v>
      </c>
      <c r="BQ264" s="8" t="str">
        <f>IF(W264="No","No",IF(_xlfn.XLOOKUP(E264,Groups!A:A,Groups!BD:BD)=1,(AO264*5%),EXP(0.7354*LN(C264)^0.4078)*2/IF(_xlfn.XLOOKUP(E264,Groups!A:A,Groups!BL:BL)=1,1000,100)/IF(_xlfn.XLOOKUP(E264,Groups!A:A,Groups!AJ:AJ)="Photonozoa",3,1)))</f>
        <v>No</v>
      </c>
      <c r="BR264" s="8">
        <f>IF(BJ264="No","No",IF(_xlfn.XLOOKUP(E264,Groups!A:A,Groups!BF:BF)=1,(0.0315*C264+2.1825)*2,(0.7354*C264^0.4078)*2)/IF(_xlfn.XLOOKUP(E264,Groups!A:A,Groups!BM:BM)=1,1000,100)/IF(_xlfn.XLOOKUP(E264,Groups!A:A,Groups!AJ:AJ)="Photonozoa",3,1))</f>
        <v>0.55950452650372784</v>
      </c>
      <c r="BS264" s="8">
        <f t="shared" si="152"/>
        <v>0.17849544092330191</v>
      </c>
      <c r="BT264" s="8">
        <f t="shared" si="153"/>
        <v>12.675223755061728</v>
      </c>
      <c r="BU264" s="8" t="str">
        <f t="shared" si="154"/>
        <v>No</v>
      </c>
      <c r="BV264" s="8">
        <f t="shared" si="155"/>
        <v>8878.4019236079548</v>
      </c>
      <c r="BW264" s="4">
        <v>0</v>
      </c>
      <c r="BX264" s="4">
        <v>1</v>
      </c>
    </row>
    <row r="265" spans="1:76" s="16" customFormat="1" x14ac:dyDescent="0.25">
      <c r="A265" s="26" t="s">
        <v>1500</v>
      </c>
      <c r="B265" s="6" t="s">
        <v>1660</v>
      </c>
      <c r="C265" s="7">
        <v>7500</v>
      </c>
      <c r="D265" s="7" t="s">
        <v>528</v>
      </c>
      <c r="E265" s="7" t="str">
        <f>Groups!$A$102</f>
        <v>Fleshbeast</v>
      </c>
      <c r="F265" s="7" t="s">
        <v>1700</v>
      </c>
      <c r="G265" s="7" t="s">
        <v>1700</v>
      </c>
      <c r="H265" s="7">
        <v>100</v>
      </c>
      <c r="I265" s="4">
        <v>1</v>
      </c>
      <c r="J265" s="7" t="s">
        <v>1700</v>
      </c>
      <c r="K265" s="7" t="s">
        <v>528</v>
      </c>
      <c r="L265" s="7">
        <v>10</v>
      </c>
      <c r="M265" s="7" t="s">
        <v>528</v>
      </c>
      <c r="N265" s="4">
        <v>0</v>
      </c>
      <c r="O265" s="4">
        <v>0</v>
      </c>
      <c r="P265" s="4">
        <v>0</v>
      </c>
      <c r="Q265" s="4">
        <v>0</v>
      </c>
      <c r="R265" s="4" t="s">
        <v>40</v>
      </c>
      <c r="S265" s="7">
        <f>_xlfn.XLOOKUP(B265,[1]TeethAdjusters!$A:$A,[1]BiteAdjusters!$C:$C,1)</f>
        <v>1</v>
      </c>
      <c r="T265" s="7">
        <f>_xlfn.XLOOKUP(B265,[1]TeethAdjusters!$A:$A,[1]TeethAdjusters!$B:$B,1)</f>
        <v>1</v>
      </c>
      <c r="U265" s="7">
        <v>10</v>
      </c>
      <c r="V265" s="7">
        <v>10</v>
      </c>
      <c r="W265" s="7">
        <v>10</v>
      </c>
      <c r="X265" s="7" t="s">
        <v>932</v>
      </c>
      <c r="Y265" s="4" t="s">
        <v>53</v>
      </c>
      <c r="Z265" s="4">
        <v>1</v>
      </c>
      <c r="AA265" s="4">
        <v>0</v>
      </c>
      <c r="AB265" s="4">
        <v>0</v>
      </c>
      <c r="AC265" s="4">
        <v>0</v>
      </c>
      <c r="AD265" s="4">
        <v>0</v>
      </c>
      <c r="AE265" s="4" t="s">
        <v>45</v>
      </c>
      <c r="AF265" s="4" t="s">
        <v>45</v>
      </c>
      <c r="AG265" s="49" t="s">
        <v>45</v>
      </c>
      <c r="AH265" s="4" t="str">
        <f>Animals!$C$287</f>
        <v>&lt;li&gt;AA_Helixien&lt;/li&gt;</v>
      </c>
      <c r="AI265" s="4">
        <v>0</v>
      </c>
      <c r="AJ265" s="4">
        <v>0</v>
      </c>
      <c r="AK265" s="4">
        <v>0</v>
      </c>
      <c r="AL265" s="4">
        <v>0</v>
      </c>
      <c r="AM265" s="4">
        <v>1</v>
      </c>
      <c r="AN265" s="44" t="s">
        <v>40</v>
      </c>
      <c r="AO265" s="8">
        <f t="shared" si="141"/>
        <v>366532.76241857099</v>
      </c>
      <c r="AP265" s="8">
        <f>IFERROR(C265*_xlfn.XLOOKUP(E265,Groups!A:A,Groups!K:K),0.106*C265^0.94)</f>
        <v>465.43973094595839</v>
      </c>
      <c r="AQ265" s="8">
        <f>AP265*10000/(_xlfn.XLOOKUP(E265,Groups!A:A,Groups!J:J)*AO265)</f>
        <v>12.698448233515295</v>
      </c>
      <c r="AR265" s="8">
        <f t="shared" si="142"/>
        <v>102024.62305242383</v>
      </c>
      <c r="AS265" s="8">
        <f>IF(_xlfn.XLOOKUP(E265,Groups!A:A,Groups!M:M)=1,EXP(0.7444*LN('Base stats'!C265)+6.5696),EXP(0.7927*LN('Base stats'!C265)+4.28))</f>
        <v>85219.983550759658</v>
      </c>
      <c r="AT265" s="8">
        <f>IF(_xlfn.XLOOKUP(E265,Groups!A:A,Groups!N:N)="No","No",
IF(_xlfn.XLOOKUP(E265,Groups!A:A,Groups!N:N)="Crocodile",EXP(0.8129*LN(C265)+4.6742)*S265,
IF(_xlfn.XLOOKUP(E265,Groups!A:A,Groups!N:N)="Felid",EXP(0.7843*LN(C265)+4.7073)*S265,
IF(_xlfn.XLOOKUP(E265,Groups!A:A,Groups!N:N)="Canid",EXP(0.8367*LN(C265)+4.8763)*S265,
IF(_xlfn.XLOOKUP(E265,Groups!A:A,Groups!N:N)="Pig",EXP(0.3439*LN(C265)+6.8519)*S265,
IF(_xlfn.XLOOKUP(E265,Groups!A:A,Groups!N:N)="Rodent",EXP(0.5625*LN(C265)+4.3006)*S265,
IF(_xlfn.XLOOKUP(E265,Groups!A:A,Groups!N:N)="Primate",EXP(0.7847*LN(C265)+3.4931)*S265,
IF(_xlfn.XLOOKUP(E265,Groups!A:A,Groups!N:N)="MiscCarnivora",EXP(0.7486*LN(C265)+4.2207)*S265,
IF(_xlfn.XLOOKUP(E265,Groups!A:A,Groups!N:N)="Lizard",EXP(0.7733*LN(C265)+5.5303)*S265,
IF(_xlfn.XLOOKUP(E265,Groups!A:A,Groups!N:N)="Snake",50*C265^(2/3)*S265,
IF(_xlfn.XLOOKUP(E265,Groups!A:A,Groups!N:N)="StrongBitingHerbivore",87.1133638856975*C265^(2/3)*S265,
IF(_xlfn.XLOOKUP(E265,Groups!A:A,Groups!N:N)="MiscEctotherms",59.4316884072269*C265^(2/3)*S265,
IF(_xlfn.XLOOKUP(E265,Groups!A:A,Groups!N:N)="StrongBeakBird",0.041*(C265*1000)^1.375*S265,
IF(_xlfn.XLOOKUP(E265,Groups!A:A,Groups!N:N)="Bird",0.118*(C265*1000)^0.692*S265,
IF(_xlfn.XLOOKUP(E265,Groups!A:A,Groups!N:N)="Insect",EXP(0.7444*LN(C265)+6.5696)*S265,
IF(_xlfn.XLOOKUP(E265,Groups!A:A,Groups!N:N)="Theropod",EXP(0.6966*LN(C265)+4.158)*S265,
"No"))))))))))))))))</f>
        <v>54187.308691426901</v>
      </c>
      <c r="AU265" s="8">
        <f>IF(_xlfn.XLOOKUP(E265,Groups!A:A,Groups!U:U)=3,AS265,IF(_xlfn.XLOOKUP(E265,Groups!A:A,Groups!U:U)=2,AR265,AT265))</f>
        <v>85219.983550759658</v>
      </c>
      <c r="AV265" s="46">
        <f>IFERROR(AVERAGE(_xlfn.XLOOKUP(B265,Animals!B:B,Animals!N:N),_xlfn.XLOOKUP(B265,Animals!B:B,Animals!O:O)),0)</f>
        <v>0</v>
      </c>
      <c r="AW265" s="8">
        <f>MROUND(40*Animals!AO265*_xlfn.XLOOKUP(AG265,Leathers!$A$2:$A$99,Leathers!$B$2:$B$99,0)+(140*_xlfn.XLOOKUP(B265,Animals!B:B,Animals!AO:AO)*2),5)</f>
        <v>1680</v>
      </c>
      <c r="AX265" s="8">
        <f>IFERROR(ROUND(SQRT(V265-1)*IF(_xlfn.XLOOKUP(E265,Groups!A:A,Groups!BF:BF)=0,2,1)*IF(_xlfn.XLOOKUP('Base stats'!E265,Groups!A:A,Groups!O:O)=0,1,0.1),1),0)</f>
        <v>6</v>
      </c>
      <c r="AY265" s="8">
        <f t="shared" si="143"/>
        <v>3</v>
      </c>
      <c r="AZ265" s="8">
        <f t="shared" si="144"/>
        <v>3.2</v>
      </c>
      <c r="BA265" s="8">
        <f t="shared" si="145"/>
        <v>19.600000000000001</v>
      </c>
      <c r="BB265" s="8">
        <f>IF(_xlfn.XLOOKUP(E265,Groups!A:A,Groups!N:N)="Insect",BD265*2.5,IFERROR(AVERAGE(BD265,AT265/9.81/IF(OR(_xlfn.XLOOKUP(E265,Groups!A:A,Groups!N:N)="Pig",_xlfn.XLOOKUP(E265,Groups!A:A,Groups!N:N)="StrongBitingHerbivore"),20,25))*C265^-0.135,BD265))</f>
        <v>42.879271792931441</v>
      </c>
      <c r="BC265" s="8">
        <f>IF(W265="No","No",IF(_xlfn.XLOOKUP(E265,Groups!A:A,Groups!U:U)=1,'Base stats'!BB265,IF(OR(_xlfn.XLOOKUP(E265,Groups!A:A,Groups!BD:BD)=1,_xlfn.XLOOKUP(E265,Groups!A:A,Groups!U:U)=2),BD265,IF(_xlfn.XLOOKUP(B265,Animals!B:B,Animals!AO:AO)&gt;4,AVERAGE(BD265,BF265),BF265))))</f>
        <v>58.975381426382391</v>
      </c>
      <c r="BD265" s="8">
        <f t="shared" si="146"/>
        <v>65.082162798460999</v>
      </c>
      <c r="BE265" s="8">
        <f>IF(_xlfn.XLOOKUP(E265,Groups!A:A,Groups!BE:BE)=1,(0.048*C265^1.01)+(0.071*C265^1.03),0.071*C265^1.03)/IF(_xlfn.XLOOKUP(E265,Groups!A:A,Groups!M:M)=1,0.85,IF(OR(_xlfn.XLOOKUP(B265,Animals!B:B,Animals!AO:AO)&gt;4,_xlfn.XLOOKUP(E265,Groups!A:A,Groups!BC:BC)=1),1.7,1))*C265^-0.25</f>
        <v>43.990329278057857</v>
      </c>
      <c r="BF265" s="8">
        <f>(0.048*C265^1.01)/IF(_xlfn.XLOOKUP(E265,Groups!A:A,Groups!M:M)=1,0.25,0.8)*C265^-0.25</f>
        <v>52.868600054303784</v>
      </c>
      <c r="BG265" s="8">
        <f>EXP(1.076*LN(AR265)-4.5397)*IF(_xlfn.XLOOKUP(E265,Groups!A:A,Groups!BC:BC)=1,1.25,IF(_xlfn.XLOOKUP(E265,Groups!A:A,Groups!BD:BD)=1,3.5,2.5))</f>
        <v>3271.2213520369346</v>
      </c>
      <c r="BH265" s="8">
        <f>EXP(1.076*LN(AS265)-4.5397)*IF(_xlfn.XLOOKUP(E265,Groups!A:A,Groups!M:M)=1,0.8,IF(_xlfn.XLOOKUP(E265,Groups!A:A,Groups!BC:BC)=1,1.3,3))</f>
        <v>2803.1045009334848</v>
      </c>
      <c r="BI265" s="8">
        <f>IF(W265="No","No",IF(_xlfn.XLOOKUP(E265,Groups!A:A,Groups!U:U)=1,'Base stats'!BJ265,IF(OR(_xlfn.XLOOKUP(E265,Groups!A:A,Groups!BD:BD)=1,_xlfn.XLOOKUP(E265,Groups!A:A,Groups!U:U)=2),BG265,BH265))*1.2)</f>
        <v>3363.7254011201817</v>
      </c>
      <c r="BJ265" s="8">
        <f>IFERROR(EXP(1.076*LN(AT265)-4.5397)*IF(_xlfn.XLOOKUP(E265,Groups!A:A,Groups!N:N)="Insect",1,IF(OR(_xlfn.XLOOKUP(E265,Groups!A:A,Groups!N:N)="Pig",_xlfn.XLOOKUP(E265,Groups!A:A,Groups!N:N)="StrongBitingHerbivore"),3.5,3.75)),"No")</f>
        <v>4967.5060643780553</v>
      </c>
      <c r="BK265" s="8">
        <f t="shared" si="147"/>
        <v>10</v>
      </c>
      <c r="BL265" s="8">
        <f t="shared" si="148"/>
        <v>11</v>
      </c>
      <c r="BM265" s="8">
        <f t="shared" si="149"/>
        <v>10</v>
      </c>
      <c r="BN265" s="8">
        <f t="shared" si="150"/>
        <v>15</v>
      </c>
      <c r="BO265" s="8">
        <f t="shared" si="151"/>
        <v>10</v>
      </c>
      <c r="BP265" s="8" cm="1">
        <f t="array" ref="BP265">IF(AND(_xlfn.XLOOKUP('Base stats'!E265,Groups!A:A,Groups!AD:AD=0),_xlfn.XLOOKUP('Base stats'!E265,Groups!A:A,Groups!P:P=0)),"No",IF(U265="No",AVERAGE(EXP(-0.57+0.99*LN(C265)),EXP(0.32+0.67*LN(C265)))/IF(_xlfn.XLOOKUP(E265,Groups!A:A,Groups!AD:AD)=1,10,2),(0.7354*C265^0.4078)*2/IF(_xlfn.XLOOKUP(E265,Groups!A:A,Groups!BK:BK)=1,1000,100)/IF(_xlfn.XLOOKUP(E265,Groups!A:A,Groups!AJ:AJ)="Photonozoa",3,1)))</f>
        <v>5.5950452650372781E-2</v>
      </c>
      <c r="BQ265" s="8">
        <f>IF(W265="No","No",IF(_xlfn.XLOOKUP(E265,Groups!A:A,Groups!BD:BD)=1,(AO265*5%),EXP(0.7354*LN(C265)^0.4078)*2/IF(_xlfn.XLOOKUP(E265,Groups!A:A,Groups!BL:BL)=1,1000,100)/IF(_xlfn.XLOOKUP(E265,Groups!A:A,Groups!AJ:AJ)="Photonozoa",3,1)))</f>
        <v>0.12042469800538096</v>
      </c>
      <c r="BR265" s="8">
        <f>IF(BJ265="No","No",IF(_xlfn.XLOOKUP(E265,Groups!A:A,Groups!BF:BF)=1,(0.0315*C265+2.1825)*2,(0.7354*C265^0.4078)*2)/IF(_xlfn.XLOOKUP(E265,Groups!A:A,Groups!BM:BM)=1,1000,100)/IF(_xlfn.XLOOKUP(E265,Groups!A:A,Groups!AJ:AJ)="Photonozoa",3,1))</f>
        <v>5.5950452650372781E-2</v>
      </c>
      <c r="BS265" s="8">
        <f t="shared" si="152"/>
        <v>0.17849544092330191</v>
      </c>
      <c r="BT265" s="8">
        <f t="shared" si="153"/>
        <v>50099.764490731221</v>
      </c>
      <c r="BU265" s="8">
        <f t="shared" si="154"/>
        <v>27932.188802083438</v>
      </c>
      <c r="BV265" s="8">
        <f t="shared" si="155"/>
        <v>88784.019236079548</v>
      </c>
      <c r="BW265" s="4">
        <v>0</v>
      </c>
      <c r="BX265" s="4">
        <v>1</v>
      </c>
    </row>
    <row r="266" spans="1:76" s="16" customFormat="1" x14ac:dyDescent="0.25">
      <c r="A266" s="26" t="s">
        <v>1436</v>
      </c>
      <c r="B266" s="6" t="s">
        <v>1638</v>
      </c>
      <c r="C266" s="7">
        <v>12</v>
      </c>
      <c r="D266" s="7" t="s">
        <v>528</v>
      </c>
      <c r="E266" s="7" t="str">
        <f>Groups!$A$93</f>
        <v>FlyingEye</v>
      </c>
      <c r="F266" s="7" t="s">
        <v>1700</v>
      </c>
      <c r="G266" s="7">
        <v>1</v>
      </c>
      <c r="H266" s="7">
        <v>15</v>
      </c>
      <c r="I266" s="4">
        <v>1</v>
      </c>
      <c r="J266" s="7" t="s">
        <v>1700</v>
      </c>
      <c r="K266" s="7" t="s">
        <v>528</v>
      </c>
      <c r="L266" s="7">
        <v>10</v>
      </c>
      <c r="M266" s="7" t="s">
        <v>528</v>
      </c>
      <c r="N266" s="4">
        <v>0</v>
      </c>
      <c r="O266" s="4">
        <v>0</v>
      </c>
      <c r="P266" s="4">
        <v>0</v>
      </c>
      <c r="Q266" s="4">
        <v>0</v>
      </c>
      <c r="R266" s="4" t="s">
        <v>40</v>
      </c>
      <c r="S266" s="7">
        <f>_xlfn.XLOOKUP(B266,[1]TeethAdjusters!$A:$A,[1]BiteAdjusters!$C:$C,1)</f>
        <v>1</v>
      </c>
      <c r="T266" s="7">
        <f>_xlfn.XLOOKUP(B266,[1]TeethAdjusters!$A:$A,[1]TeethAdjusters!$B:$B,1)</f>
        <v>1</v>
      </c>
      <c r="U266" s="7" t="s">
        <v>45</v>
      </c>
      <c r="V266" s="7" t="str">
        <f>IF(AT266="No","No",IF(_xlfn.XLOOKUP(E266,Groups!A:A,Groups!AM:AM)=1,MROUND(EXP(0.3582*LN(C266)-0.2221)*T266,0.05),IF(_xlfn.XLOOKUP(E266,Groups!A:A,Groups!AM:AM)=2,MROUND(EXP(0.3582*LN(C266)-0.2221)*T266,0.05),"Need a formula")))</f>
        <v>No</v>
      </c>
      <c r="W266" s="7">
        <v>2</v>
      </c>
      <c r="X266" s="7" t="s">
        <v>932</v>
      </c>
      <c r="Y266" s="4" t="s">
        <v>53</v>
      </c>
      <c r="Z266" s="4">
        <v>1</v>
      </c>
      <c r="AA266" s="4">
        <v>0</v>
      </c>
      <c r="AB266" s="4">
        <v>0</v>
      </c>
      <c r="AC266" s="4">
        <v>0</v>
      </c>
      <c r="AD266" s="4">
        <v>0</v>
      </c>
      <c r="AE266" s="4" t="s">
        <v>45</v>
      </c>
      <c r="AF266" s="4" t="s">
        <v>45</v>
      </c>
      <c r="AG266" s="49" t="s">
        <v>1712</v>
      </c>
      <c r="AH266" s="4" t="str">
        <f>Animals!$C$30</f>
        <v>&lt;li&gt;Pig&lt;/li&gt;</v>
      </c>
      <c r="AI266" s="4">
        <v>0</v>
      </c>
      <c r="AJ266" s="4">
        <v>0</v>
      </c>
      <c r="AK266" s="4">
        <v>0</v>
      </c>
      <c r="AL266" s="4">
        <v>0</v>
      </c>
      <c r="AM266" s="4">
        <v>1</v>
      </c>
      <c r="AN266" s="44" t="s">
        <v>40</v>
      </c>
      <c r="AO266" s="8">
        <f t="shared" si="141"/>
        <v>5582.0122947721893</v>
      </c>
      <c r="AP266" s="8">
        <f>IFERROR(C266*_xlfn.XLOOKUP(E266,Groups!A:A,Groups!K:K),0.106*C266^0.94)</f>
        <v>1.0958124656818273</v>
      </c>
      <c r="AQ266" s="8">
        <f>AP266*10000/(_xlfn.XLOOKUP(E266,Groups!A:A,Groups!J:J)*AO266)</f>
        <v>1.9631136726590626</v>
      </c>
      <c r="AR266" s="8">
        <f t="shared" si="142"/>
        <v>443.63433224212878</v>
      </c>
      <c r="AS266" s="8">
        <f>IF(_xlfn.XLOOKUP(E266,Groups!A:A,Groups!M:M)=1,EXP(0.7444*LN('Base stats'!C266)+6.5696),EXP(0.7927*LN('Base stats'!C266)+4.28))</f>
        <v>517.90172350006105</v>
      </c>
      <c r="AT266" s="8" t="str">
        <f>IF(_xlfn.XLOOKUP(E266,Groups!A:A,Groups!N:N)="No","No",
IF(_xlfn.XLOOKUP(E266,Groups!A:A,Groups!N:N)="Crocodile",EXP(0.8129*LN(C266)+4.6742)*S266,
IF(_xlfn.XLOOKUP(E266,Groups!A:A,Groups!N:N)="Felid",EXP(0.7843*LN(C266)+4.7073)*S266,
IF(_xlfn.XLOOKUP(E266,Groups!A:A,Groups!N:N)="Canid",EXP(0.8367*LN(C266)+4.8763)*S266,
IF(_xlfn.XLOOKUP(E266,Groups!A:A,Groups!N:N)="Pig",EXP(0.3439*LN(C266)+6.8519)*S266,
IF(_xlfn.XLOOKUP(E266,Groups!A:A,Groups!N:N)="Rodent",EXP(0.5625*LN(C266)+4.3006)*S266,
IF(_xlfn.XLOOKUP(E266,Groups!A:A,Groups!N:N)="Primate",EXP(0.7847*LN(C266)+3.4931)*S266,
IF(_xlfn.XLOOKUP(E266,Groups!A:A,Groups!N:N)="MiscCarnivora",EXP(0.7486*LN(C266)+4.2207)*S266,
IF(_xlfn.XLOOKUP(E266,Groups!A:A,Groups!N:N)="Lizard",EXP(0.7733*LN(C266)+5.5303)*S266,
IF(_xlfn.XLOOKUP(E266,Groups!A:A,Groups!N:N)="Snake",50*C266^(2/3)*S266,
IF(_xlfn.XLOOKUP(E266,Groups!A:A,Groups!N:N)="StrongBitingHerbivore",87.1133638856975*C266^(2/3)*S266,
IF(_xlfn.XLOOKUP(E266,Groups!A:A,Groups!N:N)="MiscEctotherms",59.4316884072269*C266^(2/3)*S266,
IF(_xlfn.XLOOKUP(E266,Groups!A:A,Groups!N:N)="StrongBeakBird",0.041*(C266*1000)^1.375*S266,
IF(_xlfn.XLOOKUP(E266,Groups!A:A,Groups!N:N)="Bird",0.118*(C266*1000)^0.692*S266,
IF(_xlfn.XLOOKUP(E266,Groups!A:A,Groups!N:N)="Insect",EXP(0.7444*LN(C266)+6.5696)*S266,
IF(_xlfn.XLOOKUP(E266,Groups!A:A,Groups!N:N)="Theropod",EXP(0.6966*LN(C266)+4.158)*S266,
"No"))))))))))))))))</f>
        <v>No</v>
      </c>
      <c r="AU266" s="8">
        <f>IF(_xlfn.XLOOKUP(E266,Groups!A:A,Groups!U:U)=3,AS266,IF(_xlfn.XLOOKUP(E266,Groups!A:A,Groups!U:U)=2,AR266,AT266))</f>
        <v>517.90172350006105</v>
      </c>
      <c r="AV266" s="46">
        <f>IFERROR(AVERAGE(_xlfn.XLOOKUP(B266,Animals!B:B,Animals!N:N),_xlfn.XLOOKUP(B266,Animals!B:B,Animals!O:O)),0)</f>
        <v>0</v>
      </c>
      <c r="AW266" s="8">
        <f>MROUND(40*Animals!AO266*_xlfn.XLOOKUP(AG266,Leathers!$A$2:$A$99,Leathers!$B$2:$B$99,0)+(140*_xlfn.XLOOKUP(B266,Animals!B:B,Animals!AO:AO)*2),5)</f>
        <v>125</v>
      </c>
      <c r="AX266" s="8">
        <f>IFERROR(ROUND(SQRT(V266-1)*IF(_xlfn.XLOOKUP(E266,Groups!A:A,Groups!BF:BF)=0,2,1)*IF(_xlfn.XLOOKUP('Base stats'!E266,Groups!A:A,Groups!O:O)=0,1,0.1),1),0)</f>
        <v>0</v>
      </c>
      <c r="AY266" s="8">
        <f t="shared" si="143"/>
        <v>0</v>
      </c>
      <c r="AZ266" s="8">
        <f t="shared" si="144"/>
        <v>1.4</v>
      </c>
      <c r="BA266" s="8">
        <f t="shared" si="145"/>
        <v>1.8</v>
      </c>
      <c r="BB266" s="8">
        <f>IF(_xlfn.XLOOKUP(E266,Groups!A:A,Groups!N:N)="Insect",BD266*2.5,IFERROR(AVERAGE(BD266,AT266/9.81/IF(OR(_xlfn.XLOOKUP(E266,Groups!A:A,Groups!N:N)="Pig",_xlfn.XLOOKUP(E266,Groups!A:A,Groups!N:N)="StrongBitingHerbivore"),20,25))*C266^-0.135,BD266))</f>
        <v>0.30909051808014126</v>
      </c>
      <c r="BC266" s="8">
        <f>IF(W266="No","No",IF(_xlfn.XLOOKUP(E266,Groups!A:A,Groups!U:U)=1,'Base stats'!BB266,IF(OR(_xlfn.XLOOKUP(E266,Groups!A:A,Groups!BD:BD)=1,_xlfn.XLOOKUP(E266,Groups!A:A,Groups!U:U)=2),BD266,IF(_xlfn.XLOOKUP(B266,Animals!B:B,Animals!AO:AO)&gt;4,AVERAGE(BD266,BF266),BF266))))</f>
        <v>0.39657834622135213</v>
      </c>
      <c r="BD266" s="8">
        <f t="shared" si="146"/>
        <v>0.30909051808014126</v>
      </c>
      <c r="BE266" s="8">
        <f>IF(_xlfn.XLOOKUP(E266,Groups!A:A,Groups!BE:BE)=1,(0.048*C266^1.01)+(0.071*C266^1.03),0.071*C266^1.03)/IF(_xlfn.XLOOKUP(E266,Groups!A:A,Groups!M:M)=1,0.85,IF(OR(_xlfn.XLOOKUP(B266,Animals!B:B,Animals!AO:AO)&gt;4,_xlfn.XLOOKUP(E266,Groups!A:A,Groups!BC:BC)=1),1.7,1))*C266^-0.25</f>
        <v>0.29011541101055832</v>
      </c>
      <c r="BF266" s="8">
        <f>(0.048*C266^1.01)/IF(_xlfn.XLOOKUP(E266,Groups!A:A,Groups!M:M)=1,0.25,0.8)*C266^-0.25</f>
        <v>0.39657834622135213</v>
      </c>
      <c r="BG266" s="8">
        <f>EXP(1.076*LN(AR266)-4.5397)*IF(_xlfn.XLOOKUP(E266,Groups!A:A,Groups!BC:BC)=1,1.25,IF(_xlfn.XLOOKUP(E266,Groups!A:A,Groups!BD:BD)=1,3.5,2.5))</f>
        <v>9.4089771318604782</v>
      </c>
      <c r="BH266" s="8">
        <f>EXP(1.076*LN(AS266)-4.5397)*IF(_xlfn.XLOOKUP(E266,Groups!A:A,Groups!M:M)=1,0.8,IF(_xlfn.XLOOKUP(E266,Groups!A:A,Groups!BC:BC)=1,1.3,3))</f>
        <v>11.558642942689083</v>
      </c>
      <c r="BI266" s="8">
        <f>IF(W266="No","No",IF(_xlfn.XLOOKUP(E266,Groups!A:A,Groups!U:U)=1,'Base stats'!BJ266,IF(OR(_xlfn.XLOOKUP(E266,Groups!A:A,Groups!BD:BD)=1,_xlfn.XLOOKUP(E266,Groups!A:A,Groups!U:U)=2),BG266,BH266))*1.2)</f>
        <v>13.870371531226899</v>
      </c>
      <c r="BJ266" s="8" t="str">
        <f>IFERROR(EXP(1.076*LN(AT266)-4.5397)*IF(_xlfn.XLOOKUP(E266,Groups!A:A,Groups!N:N)="Insect",1,IF(OR(_xlfn.XLOOKUP(E266,Groups!A:A,Groups!N:N)="Pig",_xlfn.XLOOKUP(E266,Groups!A:A,Groups!N:N)="StrongBitingHerbivore"),3.5,3.75)),"No")</f>
        <v>No</v>
      </c>
      <c r="BK266" s="8">
        <f t="shared" si="147"/>
        <v>7</v>
      </c>
      <c r="BL266" s="8">
        <f t="shared" si="148"/>
        <v>8</v>
      </c>
      <c r="BM266" s="8">
        <f t="shared" si="149"/>
        <v>8</v>
      </c>
      <c r="BN266" s="8" t="str">
        <f t="shared" si="150"/>
        <v>No</v>
      </c>
      <c r="BO266" s="8">
        <f t="shared" si="151"/>
        <v>7</v>
      </c>
      <c r="BP266" s="8" t="str" cm="1">
        <f t="array" ref="BP266">IF(AND(_xlfn.XLOOKUP('Base stats'!E266,Groups!A:A,Groups!AD:AD=0),_xlfn.XLOOKUP('Base stats'!E266,Groups!A:A,Groups!P:P=0)),"No",IF(U266="No",AVERAGE(EXP(-0.57+0.99*LN(C266)),EXP(0.32+0.67*LN(C266)))/IF(_xlfn.XLOOKUP(E266,Groups!A:A,Groups!AD:AD)=1,10,2),(0.7354*C266^0.4078)*2/IF(_xlfn.XLOOKUP(E266,Groups!A:A,Groups!BK:BK)=1,1000,100)/IF(_xlfn.XLOOKUP(E266,Groups!A:A,Groups!AJ:AJ)="Photonozoa",3,1)))</f>
        <v>No</v>
      </c>
      <c r="BQ266" s="8">
        <f>IF(W266="No","No",IF(_xlfn.XLOOKUP(E266,Groups!A:A,Groups!BD:BD)=1,(AO266*5%),EXP(0.7354*LN(C266)^0.4078)*2/IF(_xlfn.XLOOKUP(E266,Groups!A:A,Groups!BL:BL)=1,1000,100)/IF(_xlfn.XLOOKUP(E266,Groups!A:A,Groups!AJ:AJ)="Photonozoa",3,1)))</f>
        <v>5.8071101043151156E-2</v>
      </c>
      <c r="BR266" s="8" t="str">
        <f>IF(BJ266="No","No",IF(_xlfn.XLOOKUP(E266,Groups!A:A,Groups!BF:BF)=1,(0.0315*C266+2.1825)*2,(0.7354*C266^0.4078)*2)/IF(_xlfn.XLOOKUP(E266,Groups!A:A,Groups!BM:BM)=1,1000,100)/IF(_xlfn.XLOOKUP(E266,Groups!A:A,Groups!AJ:AJ)="Photonozoa",3,1))</f>
        <v>No</v>
      </c>
      <c r="BS266" s="8">
        <f t="shared" si="152"/>
        <v>3.3711775019458184E-2</v>
      </c>
      <c r="BT266" s="8" t="str">
        <f t="shared" si="153"/>
        <v>No</v>
      </c>
      <c r="BU266" s="8">
        <f t="shared" si="154"/>
        <v>238.8515334145323</v>
      </c>
      <c r="BV266" s="8" t="str">
        <f t="shared" si="155"/>
        <v>No</v>
      </c>
      <c r="BW266" s="4">
        <v>0</v>
      </c>
      <c r="BX266" s="4">
        <v>1</v>
      </c>
    </row>
    <row r="267" spans="1:76" s="16" customFormat="1" x14ac:dyDescent="0.25">
      <c r="A267" s="26" t="s">
        <v>1596</v>
      </c>
      <c r="B267" s="6" t="s">
        <v>1695</v>
      </c>
      <c r="C267" s="7">
        <v>10000</v>
      </c>
      <c r="D267" s="7" t="s">
        <v>528</v>
      </c>
      <c r="E267" s="7" t="str">
        <f>Groups!$A$93</f>
        <v>FlyingEye</v>
      </c>
      <c r="F267" s="7" t="s">
        <v>1700</v>
      </c>
      <c r="G267" s="7" t="s">
        <v>1700</v>
      </c>
      <c r="H267" s="7">
        <v>300</v>
      </c>
      <c r="I267" s="4">
        <v>1</v>
      </c>
      <c r="J267" s="7" t="s">
        <v>1700</v>
      </c>
      <c r="K267" s="7" t="s">
        <v>528</v>
      </c>
      <c r="L267" s="7">
        <v>10</v>
      </c>
      <c r="M267" s="7" t="s">
        <v>528</v>
      </c>
      <c r="N267" s="4">
        <v>0</v>
      </c>
      <c r="O267" s="4">
        <v>0</v>
      </c>
      <c r="P267" s="4">
        <v>0</v>
      </c>
      <c r="Q267" s="4">
        <v>0</v>
      </c>
      <c r="R267" s="4" t="s">
        <v>40</v>
      </c>
      <c r="S267" s="7">
        <f>_xlfn.XLOOKUP(B267,[1]TeethAdjusters!$A:$A,[1]BiteAdjusters!$C:$C,1)</f>
        <v>1</v>
      </c>
      <c r="T267" s="7">
        <f>_xlfn.XLOOKUP(B267,[1]TeethAdjusters!$A:$A,[1]TeethAdjusters!$B:$B,1)</f>
        <v>1</v>
      </c>
      <c r="U267" s="7" t="s">
        <v>45</v>
      </c>
      <c r="V267" s="7" t="str">
        <f>IF(AT267="No","No",IF(_xlfn.XLOOKUP(E267,Groups!A:A,Groups!AM:AM)=1,MROUND(EXP(0.3582*LN(C267)-0.2221)*T267,0.05),IF(_xlfn.XLOOKUP(E267,Groups!A:A,Groups!AM:AM)=2,MROUND(EXP(0.3582*LN(C267)-0.2221)*T267,0.05),"Need a formula")))</f>
        <v>No</v>
      </c>
      <c r="W267" s="7">
        <v>2</v>
      </c>
      <c r="X267" s="7" t="s">
        <v>932</v>
      </c>
      <c r="Y267" s="4" t="s">
        <v>53</v>
      </c>
      <c r="Z267" s="4">
        <v>1</v>
      </c>
      <c r="AA267" s="4">
        <v>0</v>
      </c>
      <c r="AB267" s="4">
        <v>0</v>
      </c>
      <c r="AC267" s="4">
        <v>0</v>
      </c>
      <c r="AD267" s="4">
        <v>0</v>
      </c>
      <c r="AE267" s="4" t="s">
        <v>45</v>
      </c>
      <c r="AF267" s="4" t="s">
        <v>45</v>
      </c>
      <c r="AG267" s="49" t="s">
        <v>1712</v>
      </c>
      <c r="AH267" s="4" t="str">
        <f>Animals!$C$30</f>
        <v>&lt;li&gt;Pig&lt;/li&gt;</v>
      </c>
      <c r="AI267" s="4">
        <v>0</v>
      </c>
      <c r="AJ267" s="4">
        <v>0</v>
      </c>
      <c r="AK267" s="4">
        <v>0</v>
      </c>
      <c r="AL267" s="4">
        <v>0</v>
      </c>
      <c r="AM267" s="4">
        <v>1</v>
      </c>
      <c r="AN267" s="44" t="s">
        <v>40</v>
      </c>
      <c r="AO267" s="8">
        <f t="shared" si="141"/>
        <v>441898.95931438234</v>
      </c>
      <c r="AP267" s="8">
        <f>IFERROR(C267*_xlfn.XLOOKUP(E267,Groups!A:A,Groups!K:K),0.106*C267^0.94)</f>
        <v>609.96633357738608</v>
      </c>
      <c r="AQ267" s="8">
        <f>AP267*10000/(_xlfn.XLOOKUP(E267,Groups!A:A,Groups!J:J)*AO267)</f>
        <v>13.803298711627759</v>
      </c>
      <c r="AR267" s="8">
        <f t="shared" si="142"/>
        <v>130089.05224741565</v>
      </c>
      <c r="AS267" s="8">
        <f>IF(_xlfn.XLOOKUP(E267,Groups!A:A,Groups!M:M)=1,EXP(0.7444*LN('Base stats'!C267)+6.5696),EXP(0.7927*LN('Base stats'!C267)+4.28))</f>
        <v>107048.44980386966</v>
      </c>
      <c r="AT267" s="8" t="str">
        <f>IF(_xlfn.XLOOKUP(E267,Groups!A:A,Groups!N:N)="No","No",
IF(_xlfn.XLOOKUP(E267,Groups!A:A,Groups!N:N)="Crocodile",EXP(0.8129*LN(C267)+4.6742)*S267,
IF(_xlfn.XLOOKUP(E267,Groups!A:A,Groups!N:N)="Felid",EXP(0.7843*LN(C267)+4.7073)*S267,
IF(_xlfn.XLOOKUP(E267,Groups!A:A,Groups!N:N)="Canid",EXP(0.8367*LN(C267)+4.8763)*S267,
IF(_xlfn.XLOOKUP(E267,Groups!A:A,Groups!N:N)="Pig",EXP(0.3439*LN(C267)+6.8519)*S267,
IF(_xlfn.XLOOKUP(E267,Groups!A:A,Groups!N:N)="Rodent",EXP(0.5625*LN(C267)+4.3006)*S267,
IF(_xlfn.XLOOKUP(E267,Groups!A:A,Groups!N:N)="Primate",EXP(0.7847*LN(C267)+3.4931)*S267,
IF(_xlfn.XLOOKUP(E267,Groups!A:A,Groups!N:N)="MiscCarnivora",EXP(0.7486*LN(C267)+4.2207)*S267,
IF(_xlfn.XLOOKUP(E267,Groups!A:A,Groups!N:N)="Lizard",EXP(0.7733*LN(C267)+5.5303)*S267,
IF(_xlfn.XLOOKUP(E267,Groups!A:A,Groups!N:N)="Snake",50*C267^(2/3)*S267,
IF(_xlfn.XLOOKUP(E267,Groups!A:A,Groups!N:N)="StrongBitingHerbivore",87.1133638856975*C267^(2/3)*S267,
IF(_xlfn.XLOOKUP(E267,Groups!A:A,Groups!N:N)="MiscEctotherms",59.4316884072269*C267^(2/3)*S267,
IF(_xlfn.XLOOKUP(E267,Groups!A:A,Groups!N:N)="StrongBeakBird",0.041*(C267*1000)^1.375*S267,
IF(_xlfn.XLOOKUP(E267,Groups!A:A,Groups!N:N)="Bird",0.118*(C267*1000)^0.692*S267,
IF(_xlfn.XLOOKUP(E267,Groups!A:A,Groups!N:N)="Insect",EXP(0.7444*LN(C267)+6.5696)*S267,
IF(_xlfn.XLOOKUP(E267,Groups!A:A,Groups!N:N)="Theropod",EXP(0.6966*LN(C267)+4.158)*S267,
"No"))))))))))))))))</f>
        <v>No</v>
      </c>
      <c r="AU267" s="8">
        <f>IF(_xlfn.XLOOKUP(E267,Groups!A:A,Groups!U:U)=3,AS267,IF(_xlfn.XLOOKUP(E267,Groups!A:A,Groups!U:U)=2,AR267,AT267))</f>
        <v>107048.44980386966</v>
      </c>
      <c r="AV267" s="46">
        <f>IFERROR(AVERAGE(_xlfn.XLOOKUP(B267,Animals!B:B,Animals!N:N),_xlfn.XLOOKUP(B267,Animals!B:B,Animals!O:O)),0)</f>
        <v>0</v>
      </c>
      <c r="AW267" s="8">
        <f>MROUND(40*Animals!AO267*_xlfn.XLOOKUP(AG267,Leathers!$A$2:$A$99,Leathers!$B$2:$B$99,0)+(140*_xlfn.XLOOKUP(B267,Animals!B:B,Animals!AO:AO)*2),5)</f>
        <v>1820</v>
      </c>
      <c r="AX267" s="8">
        <f>IFERROR(ROUND(SQRT(V267-1)*IF(_xlfn.XLOOKUP(E267,Groups!A:A,Groups!BF:BF)=0,2,1)*IF(_xlfn.XLOOKUP('Base stats'!E267,Groups!A:A,Groups!O:O)=0,1,0.1),1),0)</f>
        <v>0</v>
      </c>
      <c r="AY267" s="8">
        <f t="shared" si="143"/>
        <v>0</v>
      </c>
      <c r="AZ267" s="8">
        <f t="shared" si="144"/>
        <v>1.4</v>
      </c>
      <c r="BA267" s="8">
        <f t="shared" si="145"/>
        <v>21.7</v>
      </c>
      <c r="BB267" s="8">
        <f>IF(_xlfn.XLOOKUP(E267,Groups!A:A,Groups!N:N)="Insect",BD267*2.5,IFERROR(AVERAGE(BD267,AT267/9.81/IF(OR(_xlfn.XLOOKUP(E267,Groups!A:A,Groups!N:N)="Pig",_xlfn.XLOOKUP(E267,Groups!A:A,Groups!N:N)="StrongBitingHerbivore"),20,25))*C267^-0.135,BD267))</f>
        <v>82.658223477384908</v>
      </c>
      <c r="BC267" s="8">
        <f>IF(W267="No","No",IF(_xlfn.XLOOKUP(E267,Groups!A:A,Groups!U:U)=1,'Base stats'!BB267,IF(OR(_xlfn.XLOOKUP(E267,Groups!A:A,Groups!BD:BD)=1,_xlfn.XLOOKUP(E267,Groups!A:A,Groups!U:U)=2),BD267,IF(_xlfn.XLOOKUP(B267,Animals!B:B,Animals!AO:AO)&gt;4,AVERAGE(BD267,BF267),BF267))))</f>
        <v>74.223457622988008</v>
      </c>
      <c r="BD267" s="8">
        <f t="shared" si="146"/>
        <v>82.658223477384908</v>
      </c>
      <c r="BE267" s="8">
        <f>IF(_xlfn.XLOOKUP(E267,Groups!A:A,Groups!BE:BE)=1,(0.048*C267^1.01)+(0.071*C267^1.03),0.071*C267^1.03)/IF(_xlfn.XLOOKUP(E267,Groups!A:A,Groups!M:M)=1,0.85,IF(OR(_xlfn.XLOOKUP(B267,Animals!B:B,Animals!AO:AO)&gt;4,_xlfn.XLOOKUP(E267,Groups!A:A,Groups!BC:BC)=1),1.7,1))*C267^-0.25</f>
        <v>55.05660496323825</v>
      </c>
      <c r="BF267" s="8">
        <f>(0.048*C267^1.01)/IF(_xlfn.XLOOKUP(E267,Groups!A:A,Groups!M:M)=1,0.25,0.8)*C267^-0.25</f>
        <v>65.788691768591107</v>
      </c>
      <c r="BG267" s="8">
        <f>EXP(1.076*LN(AR267)-4.5397)*IF(_xlfn.XLOOKUP(E267,Groups!A:A,Groups!BC:BC)=1,1.25,IF(_xlfn.XLOOKUP(E267,Groups!A:A,Groups!BD:BD)=1,3.5,2.5))</f>
        <v>4248.8010933953938</v>
      </c>
      <c r="BH267" s="8">
        <f>EXP(1.076*LN(AS267)-4.5397)*IF(_xlfn.XLOOKUP(E267,Groups!A:A,Groups!M:M)=1,0.8,IF(_xlfn.XLOOKUP(E267,Groups!A:A,Groups!BC:BC)=1,1.3,3))</f>
        <v>3582.6566138740168</v>
      </c>
      <c r="BI267" s="8">
        <f>IF(W267="No","No",IF(_xlfn.XLOOKUP(E267,Groups!A:A,Groups!U:U)=1,'Base stats'!BJ267,IF(OR(_xlfn.XLOOKUP(E267,Groups!A:A,Groups!BD:BD)=1,_xlfn.XLOOKUP(E267,Groups!A:A,Groups!U:U)=2),BG267,BH267))*1.2)</f>
        <v>4299.1879366488201</v>
      </c>
      <c r="BJ267" s="8" t="str">
        <f>IFERROR(EXP(1.076*LN(AT267)-4.5397)*IF(_xlfn.XLOOKUP(E267,Groups!A:A,Groups!N:N)="Insect",1,IF(OR(_xlfn.XLOOKUP(E267,Groups!A:A,Groups!N:N)="Pig",_xlfn.XLOOKUP(E267,Groups!A:A,Groups!N:N)="StrongBitingHerbivore"),3.5,3.75)),"No")</f>
        <v>No</v>
      </c>
      <c r="BK267" s="8">
        <f t="shared" si="147"/>
        <v>10</v>
      </c>
      <c r="BL267" s="8">
        <f t="shared" si="148"/>
        <v>11</v>
      </c>
      <c r="BM267" s="8">
        <f t="shared" si="149"/>
        <v>10</v>
      </c>
      <c r="BN267" s="8" t="str">
        <f t="shared" si="150"/>
        <v>No</v>
      </c>
      <c r="BO267" s="8">
        <f t="shared" si="151"/>
        <v>10</v>
      </c>
      <c r="BP267" s="8" t="str" cm="1">
        <f t="array" ref="BP267">IF(AND(_xlfn.XLOOKUP('Base stats'!E267,Groups!A:A,Groups!AD:AD=0),_xlfn.XLOOKUP('Base stats'!E267,Groups!A:A,Groups!P:P=0)),"No",IF(U267="No",AVERAGE(EXP(-0.57+0.99*LN(C267)),EXP(0.32+0.67*LN(C267)))/IF(_xlfn.XLOOKUP(E267,Groups!A:A,Groups!AD:AD)=1,10,2),(0.7354*C267^0.4078)*2/IF(_xlfn.XLOOKUP(E267,Groups!A:A,Groups!BK:BK)=1,1000,100)/IF(_xlfn.XLOOKUP(E267,Groups!A:A,Groups!AJ:AJ)="Photonozoa",3,1)))</f>
        <v>No</v>
      </c>
      <c r="BQ267" s="8">
        <f>IF(W267="No","No",IF(_xlfn.XLOOKUP(E267,Groups!A:A,Groups!BD:BD)=1,(AO267*5%),EXP(0.7354*LN(C267)^0.4078)*2/IF(_xlfn.XLOOKUP(E267,Groups!A:A,Groups!BL:BL)=1,1000,100)/IF(_xlfn.XLOOKUP(E267,Groups!A:A,Groups!AJ:AJ)="Photonozoa",3,1)))</f>
        <v>0.12327380097407088</v>
      </c>
      <c r="BR267" s="8" t="str">
        <f>IF(BJ267="No","No",IF(_xlfn.XLOOKUP(E267,Groups!A:A,Groups!BF:BF)=1,(0.0315*C267+2.1825)*2,(0.7354*C267^0.4078)*2)/IF(_xlfn.XLOOKUP(E267,Groups!A:A,Groups!BM:BM)=1,1000,100)/IF(_xlfn.XLOOKUP(E267,Groups!A:A,Groups!AJ:AJ)="Photonozoa",3,1))</f>
        <v>No</v>
      </c>
      <c r="BS267" s="8">
        <f t="shared" si="152"/>
        <v>0.19229740210239546</v>
      </c>
      <c r="BT267" s="8" t="str">
        <f t="shared" si="153"/>
        <v>No</v>
      </c>
      <c r="BU267" s="8">
        <f t="shared" si="154"/>
        <v>34875.114604060123</v>
      </c>
      <c r="BV267" s="8" t="str">
        <f t="shared" si="155"/>
        <v>No</v>
      </c>
      <c r="BW267" s="4">
        <v>0</v>
      </c>
      <c r="BX267" s="4">
        <v>1</v>
      </c>
    </row>
    <row r="268" spans="1:76" s="16" customFormat="1" x14ac:dyDescent="0.25">
      <c r="A268" s="26" t="s">
        <v>1572</v>
      </c>
      <c r="B268" s="6" t="s">
        <v>1687</v>
      </c>
      <c r="C268" s="7">
        <v>10</v>
      </c>
      <c r="D268" s="7" t="s">
        <v>528</v>
      </c>
      <c r="E268" s="7" t="str">
        <f>Groups!$A$113</f>
        <v>Snake (SMART, ELECTRIC)</v>
      </c>
      <c r="F268" s="7">
        <f>ROUND(7.545*(C268*1000)^0.2689,0)</f>
        <v>90</v>
      </c>
      <c r="G268" s="7">
        <v>5</v>
      </c>
      <c r="H268" s="7">
        <v>20</v>
      </c>
      <c r="I268" s="4">
        <v>1</v>
      </c>
      <c r="J268" s="7">
        <v>3</v>
      </c>
      <c r="K268" s="7" t="s">
        <v>528</v>
      </c>
      <c r="L268" s="7">
        <v>25</v>
      </c>
      <c r="M268" s="7" t="s">
        <v>528</v>
      </c>
      <c r="N268" s="4">
        <v>0</v>
      </c>
      <c r="O268" s="4">
        <v>0</v>
      </c>
      <c r="P268" s="4">
        <v>0</v>
      </c>
      <c r="Q268" s="4">
        <v>0</v>
      </c>
      <c r="R268" s="4" t="s">
        <v>40</v>
      </c>
      <c r="S268" s="7">
        <f>_xlfn.XLOOKUP(B268,[1]TeethAdjusters!$A:$A,[1]BiteAdjusters!$C:$C,1)</f>
        <v>1</v>
      </c>
      <c r="T268" s="7">
        <f>_xlfn.XLOOKUP(B268,[1]TeethAdjusters!$A:$A,[1]TeethAdjusters!$B:$B,1)</f>
        <v>1</v>
      </c>
      <c r="U268" s="7" t="s">
        <v>45</v>
      </c>
      <c r="V268" s="7">
        <f>MROUND(1.27,0.05)</f>
        <v>1.25</v>
      </c>
      <c r="W268" s="7" t="s">
        <v>45</v>
      </c>
      <c r="X268" s="7" t="s">
        <v>932</v>
      </c>
      <c r="Y268" s="4" t="s">
        <v>56</v>
      </c>
      <c r="Z268" s="4">
        <v>1</v>
      </c>
      <c r="AA268" s="4">
        <v>1</v>
      </c>
      <c r="AB268" s="4">
        <v>0</v>
      </c>
      <c r="AC268" s="4">
        <v>0</v>
      </c>
      <c r="AD268" s="4">
        <v>0</v>
      </c>
      <c r="AE268" s="4" t="s">
        <v>45</v>
      </c>
      <c r="AF268" s="4" t="s">
        <v>45</v>
      </c>
      <c r="AG268" s="49" t="s">
        <v>45</v>
      </c>
      <c r="AH268" s="4" t="s">
        <v>45</v>
      </c>
      <c r="AI268" s="4">
        <v>0</v>
      </c>
      <c r="AJ268" s="4">
        <v>0</v>
      </c>
      <c r="AK268" s="4">
        <v>0</v>
      </c>
      <c r="AL268" s="4">
        <v>0</v>
      </c>
      <c r="AM268" s="4">
        <v>1</v>
      </c>
      <c r="AN268" s="44" t="s">
        <v>40</v>
      </c>
      <c r="AO268" s="8">
        <f t="shared" si="141"/>
        <v>4958.187872875691</v>
      </c>
      <c r="AP268" s="8">
        <f>IFERROR(C268*_xlfn.XLOOKUP(E268,Groups!A:A,Groups!K:K),0.106*C268^0.94)</f>
        <v>0.92322140535344532</v>
      </c>
      <c r="AQ268" s="8">
        <f>AP268*10000/(_xlfn.XLOOKUP(E268,Groups!A:A,Groups!J:J)*AO268)</f>
        <v>1.7082695063588127</v>
      </c>
      <c r="AR268" s="8">
        <f t="shared" si="142"/>
        <v>380.31263115847975</v>
      </c>
      <c r="AS268" s="8">
        <f>IF(_xlfn.XLOOKUP(E268,Groups!A:A,Groups!M:M)=1,EXP(0.7444*LN('Base stats'!C268)+6.5696),EXP(0.7927*LN('Base stats'!C268)+4.28))</f>
        <v>448.20880356342906</v>
      </c>
      <c r="AT268" s="8">
        <f>IF(_xlfn.XLOOKUP(E268,Groups!A:A,Groups!N:N)="No","No",
IF(_xlfn.XLOOKUP(E268,Groups!A:A,Groups!N:N)="Crocodile",EXP(0.8129*LN(C268)+4.6742)*S268,
IF(_xlfn.XLOOKUP(E268,Groups!A:A,Groups!N:N)="Felid",EXP(0.7843*LN(C268)+4.7073)*S268,
IF(_xlfn.XLOOKUP(E268,Groups!A:A,Groups!N:N)="Canid",EXP(0.8367*LN(C268)+4.8763)*S268,
IF(_xlfn.XLOOKUP(E268,Groups!A:A,Groups!N:N)="Pig",EXP(0.3439*LN(C268)+6.8519)*S268,
IF(_xlfn.XLOOKUP(E268,Groups!A:A,Groups!N:N)="Rodent",EXP(0.5625*LN(C268)+4.3006)*S268,
IF(_xlfn.XLOOKUP(E268,Groups!A:A,Groups!N:N)="Primate",EXP(0.7847*LN(C268)+3.4931)*S268,
IF(_xlfn.XLOOKUP(E268,Groups!A:A,Groups!N:N)="MiscCarnivora",EXP(0.7486*LN(C268)+4.2207)*S268,
IF(_xlfn.XLOOKUP(E268,Groups!A:A,Groups!N:N)="Lizard",EXP(0.7733*LN(C268)+5.5303)*S268,
IF(_xlfn.XLOOKUP(E268,Groups!A:A,Groups!N:N)="Snake",50*C268^(2/3)*S268,
IF(_xlfn.XLOOKUP(E268,Groups!A:A,Groups!N:N)="StrongBitingHerbivore",87.1133638856975*C268^(2/3)*S268,
IF(_xlfn.XLOOKUP(E268,Groups!A:A,Groups!N:N)="MiscEctotherms",59.4316884072269*C268^(2/3)*S268,
IF(_xlfn.XLOOKUP(E268,Groups!A:A,Groups!N:N)="StrongBeakBird",0.041*(C268*1000)^1.375*S268,
IF(_xlfn.XLOOKUP(E268,Groups!A:A,Groups!N:N)="Bird",0.118*(C268*1000)^0.692*S268,
IF(_xlfn.XLOOKUP(E268,Groups!A:A,Groups!N:N)="Insect",EXP(0.7444*LN(C268)+6.5696)*S268,
IF(_xlfn.XLOOKUP(E268,Groups!A:A,Groups!N:N)="Theropod",EXP(0.6966*LN(C268)+4.158)*S268,
"No"))))))))))))))))</f>
        <v>232.07944168063898</v>
      </c>
      <c r="AU268" s="8">
        <f>IF(_xlfn.XLOOKUP(E268,Groups!A:A,Groups!U:U)=3,AS268,IF(_xlfn.XLOOKUP(E268,Groups!A:A,Groups!U:U)=2,AR268,AT268))</f>
        <v>232.07944168063898</v>
      </c>
      <c r="AV268" s="46">
        <f>IFERROR(AVERAGE(_xlfn.XLOOKUP(B268,Animals!B:B,Animals!N:N),_xlfn.XLOOKUP(B268,Animals!B:B,Animals!O:O)),0)</f>
        <v>0</v>
      </c>
      <c r="AW268" s="8">
        <f>MROUND(40*Animals!AO268*_xlfn.XLOOKUP(AG268,Leathers!$A$2:$A$99,Leathers!$B$2:$B$99,0)+(140*_xlfn.XLOOKUP(B268,Animals!B:B,Animals!AO:AO)*2),5)</f>
        <v>110</v>
      </c>
      <c r="AX268" s="8">
        <f>IFERROR(ROUND(SQRT(V268-1)*IF(_xlfn.XLOOKUP(E268,Groups!A:A,Groups!BF:BF)=0,2,1)*IF(_xlfn.XLOOKUP('Base stats'!E268,Groups!A:A,Groups!O:O)=0,1,0.1),1),0)</f>
        <v>1</v>
      </c>
      <c r="AY268" s="8">
        <f t="shared" si="143"/>
        <v>0</v>
      </c>
      <c r="AZ268" s="8">
        <f t="shared" si="144"/>
        <v>0</v>
      </c>
      <c r="BA268" s="8">
        <f t="shared" si="145"/>
        <v>1.6</v>
      </c>
      <c r="BB268" s="8">
        <f>IF(_xlfn.XLOOKUP(E268,Groups!A:A,Groups!N:N)="Insect",BD268*2.5,IFERROR(AVERAGE(BD268,AT268/9.81/IF(OR(_xlfn.XLOOKUP(E268,Groups!A:A,Groups!N:N)="Pig",_xlfn.XLOOKUP(E268,Groups!A:A,Groups!N:N)="StrongBitingHerbivore"),20,25))*C268^-0.135,BD268))</f>
        <v>0.44406707665717465</v>
      </c>
      <c r="BC268" s="8" t="str">
        <f>IF(W268="No","No",IF(_xlfn.XLOOKUP(E268,Groups!A:A,Groups!U:U)=1,'Base stats'!BB268,IF(OR(_xlfn.XLOOKUP(E268,Groups!A:A,Groups!BD:BD)=1,_xlfn.XLOOKUP(E268,Groups!A:A,Groups!U:U)=2),BD268,IF(_xlfn.XLOOKUP(B268,Animals!B:B,Animals!AO:AO)&gt;4,AVERAGE(BD268,BF268),BF268))))</f>
        <v>No</v>
      </c>
      <c r="BD268" s="8">
        <f t="shared" si="146"/>
        <v>0.26563547098338458</v>
      </c>
      <c r="BE268" s="8">
        <f>IF(_xlfn.XLOOKUP(E268,Groups!A:A,Groups!BE:BE)=1,(0.048*C268^1.01)+(0.071*C268^1.03),0.071*C268^1.03)/IF(_xlfn.XLOOKUP(E268,Groups!A:A,Groups!M:M)=1,0.85,IF(OR(_xlfn.XLOOKUP(B268,Animals!B:B,Animals!AO:AO)&gt;4,_xlfn.XLOOKUP(E268,Groups!A:A,Groups!BC:BC)=1),1.7,1))*C268^-0.25</f>
        <v>0.42781730611279417</v>
      </c>
      <c r="BF268" s="8">
        <f>(0.048*C268^1.01)/IF(_xlfn.XLOOKUP(E268,Groups!A:A,Groups!M:M)=1,0.25,0.8)*C268^-0.25</f>
        <v>0.34526396240229418</v>
      </c>
      <c r="BG268" s="8">
        <f>EXP(1.076*LN(AR268)-4.5397)*IF(_xlfn.XLOOKUP(E268,Groups!A:A,Groups!BC:BC)=1,1.25,IF(_xlfn.XLOOKUP(E268,Groups!A:A,Groups!BD:BD)=1,3.5,2.5))</f>
        <v>15.944275717953127</v>
      </c>
      <c r="BH268" s="8">
        <f>EXP(1.076*LN(AS268)-4.5397)*IF(_xlfn.XLOOKUP(E268,Groups!A:A,Groups!M:M)=1,0.8,IF(_xlfn.XLOOKUP(E268,Groups!A:A,Groups!BC:BC)=1,1.3,3))</f>
        <v>22.832185638487289</v>
      </c>
      <c r="BI268" s="8" t="str">
        <f>IF(W268="No","No",IF(_xlfn.XLOOKUP(E268,Groups!A:A,Groups!U:U)=1,'Base stats'!BJ268,IF(OR(_xlfn.XLOOKUP(E268,Groups!A:A,Groups!BD:BD)=1,_xlfn.XLOOKUP(E268,Groups!A:A,Groups!U:U)=2),BG268,BH268))*1.2)</f>
        <v>No</v>
      </c>
      <c r="BJ268" s="8">
        <f>IFERROR(EXP(1.076*LN(AT268)-4.5397)*IF(_xlfn.XLOOKUP(E268,Groups!A:A,Groups!N:N)="Insect",1,IF(OR(_xlfn.XLOOKUP(E268,Groups!A:A,Groups!N:N)="Pig",_xlfn.XLOOKUP(E268,Groups!A:A,Groups!N:N)="StrongBitingHerbivore"),3.5,3.75)),"No")</f>
        <v>14.056903590599084</v>
      </c>
      <c r="BK268" s="8">
        <f t="shared" si="147"/>
        <v>10</v>
      </c>
      <c r="BL268" s="8">
        <f t="shared" si="148"/>
        <v>10</v>
      </c>
      <c r="BM268" s="8" t="str">
        <f t="shared" si="149"/>
        <v>No</v>
      </c>
      <c r="BN268" s="8">
        <f t="shared" si="150"/>
        <v>7</v>
      </c>
      <c r="BO268" s="8">
        <f t="shared" si="151"/>
        <v>11</v>
      </c>
      <c r="BP268" s="8" t="str" cm="1">
        <f t="array" ref="BP268">IF(AND(_xlfn.XLOOKUP('Base stats'!E268,Groups!A:A,Groups!AD:AD=0),_xlfn.XLOOKUP('Base stats'!E268,Groups!A:A,Groups!P:P=0)),"No",IF(U268="No",AVERAGE(EXP(-0.57+0.99*LN(C268)),EXP(0.32+0.67*LN(C268)))/IF(_xlfn.XLOOKUP(E268,Groups!A:A,Groups!AD:AD)=1,10,2),(0.7354*C268^0.4078)*2/IF(_xlfn.XLOOKUP(E268,Groups!A:A,Groups!BK:BK)=1,1000,100)/IF(_xlfn.XLOOKUP(E268,Groups!A:A,Groups!AJ:AJ)="Photonozoa",3,1)))</f>
        <v>No</v>
      </c>
      <c r="BQ268" s="8" t="str">
        <f>IF(W268="No","No",IF(_xlfn.XLOOKUP(E268,Groups!A:A,Groups!BD:BD)=1,(AO268*5%),EXP(0.7354*LN(C268)^0.4078)*2/IF(_xlfn.XLOOKUP(E268,Groups!A:A,Groups!BL:BL)=1,1000,100)/IF(_xlfn.XLOOKUP(E268,Groups!A:A,Groups!AJ:AJ)="Photonozoa",3,1)))</f>
        <v>No</v>
      </c>
      <c r="BR268" s="8">
        <f>IF(BJ268="No","No",IF(_xlfn.XLOOKUP(E268,Groups!A:A,Groups!BF:BF)=1,(0.0315*C268+2.1825)*2,(0.7354*C268^0.4078)*2)/IF(_xlfn.XLOOKUP(E268,Groups!A:A,Groups!BM:BM)=1,1000,100)/IF(_xlfn.XLOOKUP(E268,Groups!A:A,Groups!AJ:AJ)="Photonozoa",3,1))</f>
        <v>3.7614355184740135E-2</v>
      </c>
      <c r="BS268" s="8">
        <f t="shared" si="152"/>
        <v>6.4314931691790186E-2</v>
      </c>
      <c r="BT268" s="8" t="str">
        <f t="shared" si="153"/>
        <v>No</v>
      </c>
      <c r="BU268" s="8" t="str">
        <f t="shared" si="154"/>
        <v>No</v>
      </c>
      <c r="BV268" s="8">
        <f t="shared" si="155"/>
        <v>373.71114090776348</v>
      </c>
      <c r="BW268" s="4">
        <v>0</v>
      </c>
      <c r="BX268" s="4">
        <v>1</v>
      </c>
    </row>
    <row r="269" spans="1:76" s="16" customFormat="1" x14ac:dyDescent="0.25">
      <c r="A269" s="26" t="s">
        <v>1343</v>
      </c>
      <c r="B269" s="6" t="s">
        <v>1825</v>
      </c>
      <c r="C269" s="7">
        <v>20</v>
      </c>
      <c r="D269" s="7" t="s">
        <v>528</v>
      </c>
      <c r="E269" s="7" t="str">
        <f>Groups!$A$96</f>
        <v>MycoticCreature</v>
      </c>
      <c r="F269" s="7" t="s">
        <v>1700</v>
      </c>
      <c r="G269" s="7">
        <v>3</v>
      </c>
      <c r="H269" s="7">
        <v>35</v>
      </c>
      <c r="I269" s="4">
        <v>1</v>
      </c>
      <c r="J269" s="7" t="s">
        <v>1700</v>
      </c>
      <c r="K269" s="7" t="s">
        <v>528</v>
      </c>
      <c r="L269" s="7">
        <v>28</v>
      </c>
      <c r="M269" s="7" t="s">
        <v>528</v>
      </c>
      <c r="N269" s="4">
        <v>0</v>
      </c>
      <c r="O269" s="4">
        <v>0</v>
      </c>
      <c r="P269" s="4">
        <v>0</v>
      </c>
      <c r="Q269" s="4">
        <v>0</v>
      </c>
      <c r="R269" s="4" t="s">
        <v>40</v>
      </c>
      <c r="S269" s="7">
        <f>_xlfn.XLOOKUP(B269,[1]TeethAdjusters!$A:$A,[1]BiteAdjusters!$C:$C,1)</f>
        <v>1</v>
      </c>
      <c r="T269" s="7">
        <f>_xlfn.XLOOKUP(B269,[1]TeethAdjusters!$A:$A,[1]TeethAdjusters!$B:$B,1)</f>
        <v>1</v>
      </c>
      <c r="U269" s="7">
        <v>3</v>
      </c>
      <c r="V269" s="7">
        <f>IF(AT269="No","No",IF(_xlfn.XLOOKUP(E269,Groups!A:A,Groups!AM:AM)=1,MROUND(EXP(0.3582*LN(C269)-0.2221)*T269,0.05),IF(_xlfn.XLOOKUP(E269,Groups!A:A,Groups!AM:AM)=2,MROUND(EXP(0.3582*LN(C269)-0.2221)*T269,0.05),"Need a formula")))</f>
        <v>2.35</v>
      </c>
      <c r="W269" s="7" t="str">
        <f>IF(_xlfn.XLOOKUP(E269,Groups!A:A,Groups!V:V)&lt;&gt;"No","Need a formula","No")</f>
        <v>No</v>
      </c>
      <c r="X269" s="7" t="s">
        <v>932</v>
      </c>
      <c r="Y269" s="4" t="s">
        <v>42</v>
      </c>
      <c r="Z269" s="4">
        <v>1</v>
      </c>
      <c r="AA269" s="4">
        <v>0</v>
      </c>
      <c r="AB269" s="4">
        <v>0</v>
      </c>
      <c r="AC269" s="4">
        <v>0</v>
      </c>
      <c r="AD269" s="4">
        <v>0</v>
      </c>
      <c r="AE269" s="4" t="s">
        <v>45</v>
      </c>
      <c r="AF269" s="4" t="s">
        <v>452</v>
      </c>
      <c r="AG269" s="49" t="s">
        <v>45</v>
      </c>
      <c r="AH269" s="4" t="s">
        <v>45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4" t="s">
        <v>40</v>
      </c>
      <c r="AO269" s="8">
        <f t="shared" si="141"/>
        <v>7780.2307188855666</v>
      </c>
      <c r="AP269" s="8">
        <f>IFERROR(C269*_xlfn.XLOOKUP(E269,Groups!A:A,Groups!K:K),0.106*C269^0.94)</f>
        <v>14</v>
      </c>
      <c r="AQ269" s="8">
        <f>AP269*10000/(_xlfn.XLOOKUP(E269,Groups!A:A,Groups!J:J)*AO269)</f>
        <v>17.994324983212511</v>
      </c>
      <c r="AR269" s="8">
        <f t="shared" si="142"/>
        <v>683.0001310678939</v>
      </c>
      <c r="AS269" s="8">
        <f>IF(_xlfn.XLOOKUP(E269,Groups!A:A,Groups!M:M)=1,EXP(0.7444*LN('Base stats'!C269)+6.5696),EXP(0.7927*LN('Base stats'!C269)+4.28))</f>
        <v>776.43813921979063</v>
      </c>
      <c r="AT269" s="8">
        <f>IF(_xlfn.XLOOKUP(E269,Groups!A:A,Groups!N:N)="No","No",
IF(_xlfn.XLOOKUP(E269,Groups!A:A,Groups!N:N)="Crocodile",EXP(0.8129*LN(C269)+4.6742)*S269,
IF(_xlfn.XLOOKUP(E269,Groups!A:A,Groups!N:N)="Felid",EXP(0.7843*LN(C269)+4.7073)*S269,
IF(_xlfn.XLOOKUP(E269,Groups!A:A,Groups!N:N)="Canid",EXP(0.8367*LN(C269)+4.8763)*S269,
IF(_xlfn.XLOOKUP(E269,Groups!A:A,Groups!N:N)="Pig",EXP(0.3439*LN(C269)+6.8519)*S269,
IF(_xlfn.XLOOKUP(E269,Groups!A:A,Groups!N:N)="Rodent",EXP(0.5625*LN(C269)+4.3006)*S269,
IF(_xlfn.XLOOKUP(E269,Groups!A:A,Groups!N:N)="Primate",EXP(0.7847*LN(C269)+3.4931)*S269,
IF(_xlfn.XLOOKUP(E269,Groups!A:A,Groups!N:N)="MiscCarnivora",EXP(0.7486*LN(C269)+4.2207)*S269,
IF(_xlfn.XLOOKUP(E269,Groups!A:A,Groups!N:N)="Lizard",EXP(0.7733*LN(C269)+5.5303)*S269,
IF(_xlfn.XLOOKUP(E269,Groups!A:A,Groups!N:N)="Snake",50*C269^(2/3)*S269,
IF(_xlfn.XLOOKUP(E269,Groups!A:A,Groups!N:N)="StrongBitingHerbivore",87.1133638856975*C269^(2/3)*S269,
IF(_xlfn.XLOOKUP(E269,Groups!A:A,Groups!N:N)="MiscEctotherms",59.4316884072269*C269^(2/3)*S269,
IF(_xlfn.XLOOKUP(E269,Groups!A:A,Groups!N:N)="StrongBeakBird",0.041*(C269*1000)^1.375*S269,
IF(_xlfn.XLOOKUP(E269,Groups!A:A,Groups!N:N)="Bird",0.118*(C269*1000)^0.692*S269,
IF(_xlfn.XLOOKUP(E269,Groups!A:A,Groups!N:N)="Insect",EXP(0.7444*LN(C269)+6.5696)*S269,
IF(_xlfn.XLOOKUP(E269,Groups!A:A,Groups!N:N)="Theropod",EXP(0.6966*LN(C269)+4.158)*S269,
"No"))))))))))))))))</f>
        <v>641.17676285032178</v>
      </c>
      <c r="AU269" s="8">
        <f>IF(_xlfn.XLOOKUP(E269,Groups!A:A,Groups!U:U)=3,AS269,IF(_xlfn.XLOOKUP(E269,Groups!A:A,Groups!U:U)=2,AR269,AT269))</f>
        <v>641.17676285032178</v>
      </c>
      <c r="AV269" s="46">
        <f>IFERROR(AVERAGE(_xlfn.XLOOKUP(B269,Animals!B:B,Animals!N:N),_xlfn.XLOOKUP(B269,Animals!B:B,Animals!O:O)),0)</f>
        <v>0.97500000000000009</v>
      </c>
      <c r="AW269" s="8">
        <f>MROUND(40*Animals!AO269*_xlfn.XLOOKUP(AG269,Leathers!$A$2:$A$99,Leathers!$B$2:$B$99,0)+(140*_xlfn.XLOOKUP(B269,Animals!B:B,Animals!AO:AO)*2),5)</f>
        <v>155</v>
      </c>
      <c r="AX269" s="8">
        <f>IFERROR(ROUND(SQRT(V269-1)*IF(_xlfn.XLOOKUP(E269,Groups!A:A,Groups!BF:BF)=0,2,1)*IF(_xlfn.XLOOKUP('Base stats'!E269,Groups!A:A,Groups!O:O)=0,1,0.1),1),0)</f>
        <v>2.2999999999999998</v>
      </c>
      <c r="AY269" s="8">
        <f t="shared" si="143"/>
        <v>1.4</v>
      </c>
      <c r="AZ269" s="8">
        <f t="shared" si="144"/>
        <v>0</v>
      </c>
      <c r="BA269" s="8">
        <f t="shared" si="145"/>
        <v>2.2999999999999998</v>
      </c>
      <c r="BB269" s="8">
        <f>IF(_xlfn.XLOOKUP(E269,Groups!A:A,Groups!N:N)="Insect",BD269*2.5,IFERROR(AVERAGE(BD269,AT269/9.81/IF(OR(_xlfn.XLOOKUP(E269,Groups!A:A,Groups!N:N)="Pig",_xlfn.XLOOKUP(E269,Groups!A:A,Groups!N:N)="StrongBitingHerbivore"),20,25))*C269^-0.135,BD269))</f>
        <v>0.99756489187892916</v>
      </c>
      <c r="BC269" s="8" t="str">
        <f>IF(W269="No","No",IF(_xlfn.XLOOKUP(E269,Groups!A:A,Groups!U:U)=1,'Base stats'!BB269,IF(OR(_xlfn.XLOOKUP(E269,Groups!A:A,Groups!BD:BD)=1,_xlfn.XLOOKUP(E269,Groups!A:A,Groups!U:U)=2),BD269,IF(_xlfn.XLOOKUP(B269,Animals!B:B,Animals!AO:AO)&gt;4,AVERAGE(BD269,BF269),BF269))))</f>
        <v>No</v>
      </c>
      <c r="BD269" s="8">
        <f t="shared" si="146"/>
        <v>0.37519987390432724</v>
      </c>
      <c r="BE269" s="8">
        <f>IF(_xlfn.XLOOKUP(E269,Groups!A:A,Groups!BE:BE)=1,(0.048*C269^1.01)+(0.071*C269^1.03),0.071*C269^1.03)/IF(_xlfn.XLOOKUP(E269,Groups!A:A,Groups!M:M)=1,0.85,IF(OR(_xlfn.XLOOKUP(B269,Animals!B:B,Animals!AO:AO)&gt;4,_xlfn.XLOOKUP(E269,Groups!A:A,Groups!BC:BC)=1),1.7,1))*C269^-0.25</f>
        <v>0.43212841428041765</v>
      </c>
      <c r="BF269" s="8">
        <f>(0.048*C269^1.01)/IF(_xlfn.XLOOKUP(E269,Groups!A:A,Groups!M:M)=1,0.25,0.8)*C269^-0.25</f>
        <v>0.58470128338370886</v>
      </c>
      <c r="BG269" s="8">
        <f>EXP(1.076*LN(AR269)-4.5397)*IF(_xlfn.XLOOKUP(E269,Groups!A:A,Groups!BC:BC)=1,1.25,IF(_xlfn.XLOOKUP(E269,Groups!A:A,Groups!BD:BD)=1,3.5,2.5))</f>
        <v>14.968563372073916</v>
      </c>
      <c r="BH269" s="8">
        <f>EXP(1.076*LN(AS269)-4.5397)*IF(_xlfn.XLOOKUP(E269,Groups!A:A,Groups!M:M)=1,0.8,IF(_xlfn.XLOOKUP(E269,Groups!A:A,Groups!BC:BC)=1,1.3,3))</f>
        <v>17.870293043760679</v>
      </c>
      <c r="BI269" s="8" t="str">
        <f>IF(W269="No","No",IF(_xlfn.XLOOKUP(E269,Groups!A:A,Groups!U:U)=1,'Base stats'!BJ269,IF(OR(_xlfn.XLOOKUP(E269,Groups!A:A,Groups!BD:BD)=1,_xlfn.XLOOKUP(E269,Groups!A:A,Groups!U:U)=2),BG269,BH269))*1.2)</f>
        <v>No</v>
      </c>
      <c r="BJ269" s="8">
        <f>IFERROR(EXP(1.076*LN(AT269)-4.5397)*IF(_xlfn.XLOOKUP(E269,Groups!A:A,Groups!N:N)="Insect",1,IF(OR(_xlfn.XLOOKUP(E269,Groups!A:A,Groups!N:N)="Pig",_xlfn.XLOOKUP(E269,Groups!A:A,Groups!N:N)="StrongBitingHerbivore"),3.5,3.75)),"No")</f>
        <v>41.953934286113075</v>
      </c>
      <c r="BK269" s="8">
        <f t="shared" si="147"/>
        <v>8</v>
      </c>
      <c r="BL269" s="8">
        <f t="shared" si="148"/>
        <v>9</v>
      </c>
      <c r="BM269" s="8" t="str">
        <f t="shared" si="149"/>
        <v>No</v>
      </c>
      <c r="BN269" s="8">
        <f t="shared" si="150"/>
        <v>9</v>
      </c>
      <c r="BO269" s="8">
        <f t="shared" si="151"/>
        <v>7</v>
      </c>
      <c r="BP269" s="8" cm="1">
        <f t="array" ref="BP269">IF(AND(_xlfn.XLOOKUP('Base stats'!E269,Groups!A:A,Groups!AD:AD=0),_xlfn.XLOOKUP('Base stats'!E269,Groups!A:A,Groups!P:P=0)),"No",IF(U269="No",AVERAGE(EXP(-0.57+0.99*LN(C269)),EXP(0.32+0.67*LN(C269)))/IF(_xlfn.XLOOKUP(E269,Groups!A:A,Groups!AD:AD)=1,10,2),(0.7354*C269^0.4078)*2/IF(_xlfn.XLOOKUP(E269,Groups!A:A,Groups!BK:BK)=1,1000,100)/IF(_xlfn.XLOOKUP(E269,Groups!A:A,Groups!AJ:AJ)="Photonozoa",3,1)))</f>
        <v>4.9901506096388087E-3</v>
      </c>
      <c r="BQ269" s="8" t="str">
        <f>IF(W269="No","No",IF(_xlfn.XLOOKUP(E269,Groups!A:A,Groups!BD:BD)=1,(AO269*5%),EXP(0.7354*LN(C269)^0.4078)*2/IF(_xlfn.XLOOKUP(E269,Groups!A:A,Groups!BL:BL)=1,1000,100)/IF(_xlfn.XLOOKUP(E269,Groups!A:A,Groups!AJ:AJ)="Photonozoa",3,1)))</f>
        <v>No</v>
      </c>
      <c r="BR269" s="8">
        <f>IF(BJ269="No","No",IF(_xlfn.XLOOKUP(E269,Groups!A:A,Groups!BF:BF)=1,(0.0315*C269+2.1825)*2,(0.7354*C269^0.4078)*2)/IF(_xlfn.XLOOKUP(E269,Groups!A:A,Groups!BM:BM)=1,1000,100)/IF(_xlfn.XLOOKUP(E269,Groups!A:A,Groups!AJ:AJ)="Photonozoa",3,1))</f>
        <v>4.9901506096388083E-2</v>
      </c>
      <c r="BS269" s="8">
        <f t="shared" si="152"/>
        <v>3.8478456264129914E-2</v>
      </c>
      <c r="BT269" s="8">
        <f t="shared" si="153"/>
        <v>3581.1129646554186</v>
      </c>
      <c r="BU269" s="8" t="str">
        <f t="shared" si="154"/>
        <v>No</v>
      </c>
      <c r="BV269" s="8">
        <f t="shared" si="155"/>
        <v>840.73483083008068</v>
      </c>
      <c r="BW269" s="4">
        <v>0</v>
      </c>
      <c r="BX269" s="4">
        <v>1</v>
      </c>
    </row>
    <row r="270" spans="1:76" s="16" customFormat="1" x14ac:dyDescent="0.25">
      <c r="A270" s="26" t="s">
        <v>1345</v>
      </c>
      <c r="B270" s="6" t="s">
        <v>1826</v>
      </c>
      <c r="C270" s="7">
        <v>5000</v>
      </c>
      <c r="D270" s="7" t="s">
        <v>528</v>
      </c>
      <c r="E270" s="7" t="str">
        <f>Groups!$A$96</f>
        <v>MycoticCreature</v>
      </c>
      <c r="F270" s="7" t="s">
        <v>1700</v>
      </c>
      <c r="G270" s="7">
        <v>6</v>
      </c>
      <c r="H270" s="7">
        <v>70</v>
      </c>
      <c r="I270" s="4">
        <v>1</v>
      </c>
      <c r="J270" s="7" t="s">
        <v>1700</v>
      </c>
      <c r="K270" s="7" t="s">
        <v>528</v>
      </c>
      <c r="L270" s="7">
        <v>18</v>
      </c>
      <c r="M270" s="7" t="s">
        <v>528</v>
      </c>
      <c r="N270" s="4">
        <v>0</v>
      </c>
      <c r="O270" s="4">
        <v>0</v>
      </c>
      <c r="P270" s="4">
        <v>0</v>
      </c>
      <c r="Q270" s="4">
        <v>0</v>
      </c>
      <c r="R270" s="4" t="s">
        <v>40</v>
      </c>
      <c r="S270" s="7">
        <f>_xlfn.XLOOKUP(B270,[1]TeethAdjusters!$A:$A,[1]BiteAdjusters!$C:$C,1)</f>
        <v>1</v>
      </c>
      <c r="T270" s="7">
        <f>_xlfn.XLOOKUP(B270,[1]TeethAdjusters!$A:$A,[1]TeethAdjusters!$B:$B,1)</f>
        <v>1</v>
      </c>
      <c r="U270" s="7">
        <v>20</v>
      </c>
      <c r="V270" s="7">
        <f>IF(AT270="No","No",IF(_xlfn.XLOOKUP(E270,Groups!A:A,Groups!AM:AM)=1,MROUND(EXP(0.3582*LN(C270)-0.2221)*T270,0.05),IF(_xlfn.XLOOKUP(E270,Groups!A:A,Groups!AM:AM)=2,MROUND(EXP(0.3582*LN(C270)-0.2221)*T270,0.05),"Need a formula")))</f>
        <v>16.900000000000002</v>
      </c>
      <c r="W270" s="7" t="str">
        <f>IF(_xlfn.XLOOKUP(E270,Groups!A:A,Groups!V:V)&lt;&gt;"No","Need a formula","No")</f>
        <v>No</v>
      </c>
      <c r="X270" s="7" t="s">
        <v>932</v>
      </c>
      <c r="Y270" s="4" t="s">
        <v>42</v>
      </c>
      <c r="Z270" s="4">
        <v>1</v>
      </c>
      <c r="AA270" s="4">
        <v>0</v>
      </c>
      <c r="AB270" s="4">
        <v>0</v>
      </c>
      <c r="AC270" s="4">
        <v>0</v>
      </c>
      <c r="AD270" s="4">
        <v>0</v>
      </c>
      <c r="AE270" s="4" t="s">
        <v>45</v>
      </c>
      <c r="AF270" s="4" t="s">
        <v>45</v>
      </c>
      <c r="AG270" s="49" t="s">
        <v>45</v>
      </c>
      <c r="AH270" s="4" t="s">
        <v>45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4" t="s">
        <v>40</v>
      </c>
      <c r="AO270" s="8">
        <f t="shared" si="141"/>
        <v>281613.50739773398</v>
      </c>
      <c r="AP270" s="8">
        <f>IFERROR(C270*_xlfn.XLOOKUP(E270,Groups!A:A,Groups!K:K),0.106*C270^0.94)</f>
        <v>3500</v>
      </c>
      <c r="AQ270" s="8">
        <f>AP270*10000/(_xlfn.XLOOKUP(E270,Groups!A:A,Groups!J:J)*AO270)</f>
        <v>124.283811254011</v>
      </c>
      <c r="AR270" s="8">
        <f t="shared" si="142"/>
        <v>72437.042827169687</v>
      </c>
      <c r="AS270" s="8">
        <f>IF(_xlfn.XLOOKUP(E270,Groups!A:A,Groups!M:M)=1,EXP(0.7444*LN('Base stats'!C270)+6.5696),EXP(0.7927*LN('Base stats'!C270)+4.28))</f>
        <v>61795.080878079119</v>
      </c>
      <c r="AT270" s="8">
        <f>IF(_xlfn.XLOOKUP(E270,Groups!A:A,Groups!N:N)="No","No",
IF(_xlfn.XLOOKUP(E270,Groups!A:A,Groups!N:N)="Crocodile",EXP(0.8129*LN(C270)+4.6742)*S270,
IF(_xlfn.XLOOKUP(E270,Groups!A:A,Groups!N:N)="Felid",EXP(0.7843*LN(C270)+4.7073)*S270,
IF(_xlfn.XLOOKUP(E270,Groups!A:A,Groups!N:N)="Canid",EXP(0.8367*LN(C270)+4.8763)*S270,
IF(_xlfn.XLOOKUP(E270,Groups!A:A,Groups!N:N)="Pig",EXP(0.3439*LN(C270)+6.8519)*S270,
IF(_xlfn.XLOOKUP(E270,Groups!A:A,Groups!N:N)="Rodent",EXP(0.5625*LN(C270)+4.3006)*S270,
IF(_xlfn.XLOOKUP(E270,Groups!A:A,Groups!N:N)="Primate",EXP(0.7847*LN(C270)+3.4931)*S270,
IF(_xlfn.XLOOKUP(E270,Groups!A:A,Groups!N:N)="MiscCarnivora",EXP(0.7486*LN(C270)+4.2207)*S270,
IF(_xlfn.XLOOKUP(E270,Groups!A:A,Groups!N:N)="Lizard",EXP(0.7733*LN(C270)+5.5303)*S270,
IF(_xlfn.XLOOKUP(E270,Groups!A:A,Groups!N:N)="Snake",50*C270^(2/3)*S270,
IF(_xlfn.XLOOKUP(E270,Groups!A:A,Groups!N:N)="StrongBitingHerbivore",87.1133638856975*C270^(2/3)*S270,
IF(_xlfn.XLOOKUP(E270,Groups!A:A,Groups!N:N)="MiscEctotherms",59.4316884072269*C270^(2/3)*S270,
IF(_xlfn.XLOOKUP(E270,Groups!A:A,Groups!N:N)="StrongBeakBird",0.041*(C270*1000)^1.375*S270,
IF(_xlfn.XLOOKUP(E270,Groups!A:A,Groups!N:N)="Bird",0.118*(C270*1000)^0.692*S270,
IF(_xlfn.XLOOKUP(E270,Groups!A:A,Groups!N:N)="Insect",EXP(0.7444*LN(C270)+6.5696)*S270,
IF(_xlfn.XLOOKUP(E270,Groups!A:A,Groups!N:N)="Theropod",EXP(0.6966*LN(C270)+4.158)*S270,
"No"))))))))))))))))</f>
        <v>40001.443625975015</v>
      </c>
      <c r="AU270" s="8">
        <f>IF(_xlfn.XLOOKUP(E270,Groups!A:A,Groups!U:U)=3,AS270,IF(_xlfn.XLOOKUP(E270,Groups!A:A,Groups!U:U)=2,AR270,AT270))</f>
        <v>40001.443625975015</v>
      </c>
      <c r="AV270" s="46">
        <f>IFERROR(AVERAGE(_xlfn.XLOOKUP(B270,Animals!B:B,Animals!N:N),_xlfn.XLOOKUP(B270,Animals!B:B,Animals!O:O)),0)</f>
        <v>1.5249999999999999</v>
      </c>
      <c r="AW270" s="8">
        <f>MROUND(40*Animals!AO270*_xlfn.XLOOKUP(AG270,Leathers!$A$2:$A$99,Leathers!$B$2:$B$99,0)+(140*_xlfn.XLOOKUP(B270,Animals!B:B,Animals!AO:AO)*2),5)</f>
        <v>1400</v>
      </c>
      <c r="AX270" s="8">
        <f>IFERROR(ROUND(SQRT(V270-1)*IF(_xlfn.XLOOKUP(E270,Groups!A:A,Groups!BF:BF)=0,2,1)*IF(_xlfn.XLOOKUP('Base stats'!E270,Groups!A:A,Groups!O:O)=0,1,0.1),1),0)</f>
        <v>8</v>
      </c>
      <c r="AY270" s="8">
        <f t="shared" si="143"/>
        <v>4.4000000000000004</v>
      </c>
      <c r="AZ270" s="8">
        <f t="shared" si="144"/>
        <v>0</v>
      </c>
      <c r="BA270" s="8">
        <f t="shared" si="145"/>
        <v>16.899999999999999</v>
      </c>
      <c r="BB270" s="8">
        <f>IF(_xlfn.XLOOKUP(E270,Groups!A:A,Groups!N:N)="Insect",BD270*2.5,IFERROR(AVERAGE(BD270,AT270/9.81/IF(OR(_xlfn.XLOOKUP(E270,Groups!A:A,Groups!N:N)="Pig",_xlfn.XLOOKUP(E270,Groups!A:A,Groups!N:N)="StrongBitingHerbivore"),20,25))*C270^-0.135,BD270))</f>
        <v>29.645829538450528</v>
      </c>
      <c r="BC270" s="8" t="str">
        <f>IF(W270="No","No",IF(_xlfn.XLOOKUP(E270,Groups!A:A,Groups!U:U)=1,'Base stats'!BB270,IF(OR(_xlfn.XLOOKUP(E270,Groups!A:A,Groups!BD:BD)=1,_xlfn.XLOOKUP(E270,Groups!A:A,Groups!U:U)=2),BD270,IF(_xlfn.XLOOKUP(B270,Animals!B:B,Animals!AO:AO)&gt;4,AVERAGE(BD270,BF270),BF270))))</f>
        <v>No</v>
      </c>
      <c r="BD270" s="8">
        <f t="shared" si="146"/>
        <v>24.116231840641284</v>
      </c>
      <c r="BE270" s="8">
        <f>IF(_xlfn.XLOOKUP(E270,Groups!A:A,Groups!BE:BE)=1,(0.048*C270^1.01)+(0.071*C270^1.03),0.071*C270^1.03)/IF(_xlfn.XLOOKUP(E270,Groups!A:A,Groups!M:M)=1,0.85,IF(OR(_xlfn.XLOOKUP(B270,Animals!B:B,Animals!AO:AO)&gt;4,_xlfn.XLOOKUP(E270,Groups!A:A,Groups!BC:BC)=1),1.7,1))*C270^-0.25</f>
        <v>32.063138478804731</v>
      </c>
      <c r="BF270" s="8">
        <f>(0.048*C270^1.01)/IF(_xlfn.XLOOKUP(E270,Groups!A:A,Groups!M:M)=1,0.25,0.8)*C270^-0.25</f>
        <v>38.847981091877756</v>
      </c>
      <c r="BG270" s="8">
        <f>EXP(1.076*LN(AR270)-4.5397)*IF(_xlfn.XLOOKUP(E270,Groups!A:A,Groups!BC:BC)=1,1.25,IF(_xlfn.XLOOKUP(E270,Groups!A:A,Groups!BD:BD)=1,3.5,2.5))</f>
        <v>2262.8776863858375</v>
      </c>
      <c r="BH270" s="8">
        <f>EXP(1.076*LN(AS270)-4.5397)*IF(_xlfn.XLOOKUP(E270,Groups!A:A,Groups!M:M)=1,0.8,IF(_xlfn.XLOOKUP(E270,Groups!A:A,Groups!BC:BC)=1,1.3,3))</f>
        <v>1983.5497361011207</v>
      </c>
      <c r="BI270" s="8" t="str">
        <f>IF(W270="No","No",IF(_xlfn.XLOOKUP(E270,Groups!A:A,Groups!U:U)=1,'Base stats'!BJ270,IF(OR(_xlfn.XLOOKUP(E270,Groups!A:A,Groups!BD:BD)=1,_xlfn.XLOOKUP(E270,Groups!A:A,Groups!U:U)=2),BG270,BH270))*1.2)</f>
        <v>No</v>
      </c>
      <c r="BJ270" s="8">
        <f>IFERROR(EXP(1.076*LN(AT270)-4.5397)*IF(_xlfn.XLOOKUP(E270,Groups!A:A,Groups!N:N)="Insect",1,IF(OR(_xlfn.XLOOKUP(E270,Groups!A:A,Groups!N:N)="Pig",_xlfn.XLOOKUP(E270,Groups!A:A,Groups!N:N)="StrongBitingHerbivore"),3.5,3.75)),"No")</f>
        <v>3583.4225621101755</v>
      </c>
      <c r="BK270" s="8">
        <f t="shared" si="147"/>
        <v>13</v>
      </c>
      <c r="BL270" s="8">
        <f t="shared" si="148"/>
        <v>11</v>
      </c>
      <c r="BM270" s="8" t="str">
        <f t="shared" si="149"/>
        <v>No</v>
      </c>
      <c r="BN270" s="8">
        <f t="shared" si="150"/>
        <v>15</v>
      </c>
      <c r="BO270" s="8">
        <f t="shared" si="151"/>
        <v>10</v>
      </c>
      <c r="BP270" s="8" cm="1">
        <f t="array" ref="BP270">IF(AND(_xlfn.XLOOKUP('Base stats'!E270,Groups!A:A,Groups!AD:AD=0),_xlfn.XLOOKUP('Base stats'!E270,Groups!A:A,Groups!P:P=0)),"No",IF(U270="No",AVERAGE(EXP(-0.57+0.99*LN(C270)),EXP(0.32+0.67*LN(C270)))/IF(_xlfn.XLOOKUP(E270,Groups!A:A,Groups!AD:AD)=1,10,2),(0.7354*C270^0.4078)*2/IF(_xlfn.XLOOKUP(E270,Groups!A:A,Groups!BK:BK)=1,1000,100)/IF(_xlfn.XLOOKUP(E270,Groups!A:A,Groups!AJ:AJ)="Photonozoa",3,1)))</f>
        <v>4.7423498457378303E-2</v>
      </c>
      <c r="BQ270" s="8" t="str">
        <f>IF(W270="No","No",IF(_xlfn.XLOOKUP(E270,Groups!A:A,Groups!BD:BD)=1,(AO270*5%),EXP(0.7354*LN(C270)^0.4078)*2/IF(_xlfn.XLOOKUP(E270,Groups!A:A,Groups!BL:BL)=1,1000,100)/IF(_xlfn.XLOOKUP(E270,Groups!A:A,Groups!AJ:AJ)="Photonozoa",3,1)))</f>
        <v>No</v>
      </c>
      <c r="BR270" s="8">
        <f>IF(BJ270="No","No",IF(_xlfn.XLOOKUP(E270,Groups!A:A,Groups!BF:BF)=1,(0.0315*C270+2.1825)*2,(0.7354*C270^0.4078)*2)/IF(_xlfn.XLOOKUP(E270,Groups!A:A,Groups!BM:BM)=1,1000,100)/IF(_xlfn.XLOOKUP(E270,Groups!A:A,Groups!AJ:AJ)="Photonozoa",3,1))</f>
        <v>0.47423498457378299</v>
      </c>
      <c r="BS270" s="8">
        <f t="shared" si="152"/>
        <v>0.16070803615182314</v>
      </c>
      <c r="BT270" s="8">
        <f t="shared" si="153"/>
        <v>41826.305536775799</v>
      </c>
      <c r="BU270" s="8" t="str">
        <f t="shared" si="154"/>
        <v>No</v>
      </c>
      <c r="BV270" s="8">
        <f t="shared" si="155"/>
        <v>7556.2172312756802</v>
      </c>
      <c r="BW270" s="4">
        <v>0</v>
      </c>
      <c r="BX270" s="4">
        <v>1</v>
      </c>
    </row>
    <row r="271" spans="1:76" s="16" customFormat="1" x14ac:dyDescent="0.25">
      <c r="A271" s="26" t="s">
        <v>1598</v>
      </c>
      <c r="B271" s="6" t="s">
        <v>1824</v>
      </c>
      <c r="C271" s="7">
        <v>20</v>
      </c>
      <c r="D271" s="7" t="s">
        <v>528</v>
      </c>
      <c r="E271" s="7" t="str">
        <f>Groups!$A$96</f>
        <v>MycoticCreature</v>
      </c>
      <c r="F271" s="7" t="s">
        <v>1700</v>
      </c>
      <c r="G271" s="7">
        <v>3</v>
      </c>
      <c r="H271" s="7">
        <v>35</v>
      </c>
      <c r="I271" s="4">
        <v>1</v>
      </c>
      <c r="J271" s="7" t="s">
        <v>1700</v>
      </c>
      <c r="K271" s="7" t="s">
        <v>528</v>
      </c>
      <c r="L271" s="7">
        <v>28</v>
      </c>
      <c r="M271" s="7" t="s">
        <v>528</v>
      </c>
      <c r="N271" s="4">
        <v>0</v>
      </c>
      <c r="O271" s="4">
        <v>0</v>
      </c>
      <c r="P271" s="4">
        <v>0</v>
      </c>
      <c r="Q271" s="4">
        <v>0</v>
      </c>
      <c r="R271" s="4" t="s">
        <v>40</v>
      </c>
      <c r="S271" s="7">
        <f>_xlfn.XLOOKUP(B271,[1]TeethAdjusters!$A:$A,[1]BiteAdjusters!$C:$C,1)</f>
        <v>1</v>
      </c>
      <c r="T271" s="7">
        <f>_xlfn.XLOOKUP(B271,[1]TeethAdjusters!$A:$A,[1]TeethAdjusters!$B:$B,1)</f>
        <v>1</v>
      </c>
      <c r="U271" s="7">
        <v>3</v>
      </c>
      <c r="V271" s="7">
        <f>IF(AT271="No","No",IF(_xlfn.XLOOKUP(E271,Groups!A:A,Groups!AM:AM)=1,MROUND(EXP(0.3582*LN(C271)-0.2221)*T271,0.05),IF(_xlfn.XLOOKUP(E271,Groups!A:A,Groups!AM:AM)=2,MROUND(EXP(0.3582*LN(C271)-0.2221)*T271,0.05),"Need a formula")))</f>
        <v>2.35</v>
      </c>
      <c r="W271" s="7" t="str">
        <f>IF(_xlfn.XLOOKUP(E271,Groups!A:A,Groups!V:V)&lt;&gt;"No","Need a formula","No")</f>
        <v>No</v>
      </c>
      <c r="X271" s="7" t="s">
        <v>932</v>
      </c>
      <c r="Y271" s="4" t="s">
        <v>42</v>
      </c>
      <c r="Z271" s="4">
        <v>1</v>
      </c>
      <c r="AA271" s="4">
        <v>0</v>
      </c>
      <c r="AB271" s="4">
        <v>0</v>
      </c>
      <c r="AC271" s="4">
        <v>0</v>
      </c>
      <c r="AD271" s="4">
        <v>0</v>
      </c>
      <c r="AE271" s="4" t="s">
        <v>45</v>
      </c>
      <c r="AF271" s="4" t="s">
        <v>452</v>
      </c>
      <c r="AG271" s="49" t="s">
        <v>45</v>
      </c>
      <c r="AH271" s="4" t="s">
        <v>45</v>
      </c>
      <c r="AI271" s="4">
        <v>0</v>
      </c>
      <c r="AJ271" s="4">
        <v>0</v>
      </c>
      <c r="AK271" s="4">
        <v>0</v>
      </c>
      <c r="AL271" s="4">
        <v>0</v>
      </c>
      <c r="AM271" s="4">
        <v>1</v>
      </c>
      <c r="AN271" s="44" t="s">
        <v>40</v>
      </c>
      <c r="AO271" s="8">
        <f t="shared" si="141"/>
        <v>7780.2307188855666</v>
      </c>
      <c r="AP271" s="8">
        <f>IFERROR(C271*_xlfn.XLOOKUP(E271,Groups!A:A,Groups!K:K),0.106*C271^0.94)</f>
        <v>14</v>
      </c>
      <c r="AQ271" s="8">
        <f>AP271*10000/(_xlfn.XLOOKUP(E271,Groups!A:A,Groups!J:J)*AO271)</f>
        <v>17.994324983212511</v>
      </c>
      <c r="AR271" s="8">
        <f t="shared" si="142"/>
        <v>683.0001310678939</v>
      </c>
      <c r="AS271" s="8">
        <f>IF(_xlfn.XLOOKUP(E271,Groups!A:A,Groups!M:M)=1,EXP(0.7444*LN('Base stats'!C271)+6.5696),EXP(0.7927*LN('Base stats'!C271)+4.28))</f>
        <v>776.43813921979063</v>
      </c>
      <c r="AT271" s="8">
        <f>IF(_xlfn.XLOOKUP(E271,Groups!A:A,Groups!N:N)="No","No",
IF(_xlfn.XLOOKUP(E271,Groups!A:A,Groups!N:N)="Crocodile",EXP(0.8129*LN(C271)+4.6742)*S271,
IF(_xlfn.XLOOKUP(E271,Groups!A:A,Groups!N:N)="Felid",EXP(0.7843*LN(C271)+4.7073)*S271,
IF(_xlfn.XLOOKUP(E271,Groups!A:A,Groups!N:N)="Canid",EXP(0.8367*LN(C271)+4.8763)*S271,
IF(_xlfn.XLOOKUP(E271,Groups!A:A,Groups!N:N)="Pig",EXP(0.3439*LN(C271)+6.8519)*S271,
IF(_xlfn.XLOOKUP(E271,Groups!A:A,Groups!N:N)="Rodent",EXP(0.5625*LN(C271)+4.3006)*S271,
IF(_xlfn.XLOOKUP(E271,Groups!A:A,Groups!N:N)="Primate",EXP(0.7847*LN(C271)+3.4931)*S271,
IF(_xlfn.XLOOKUP(E271,Groups!A:A,Groups!N:N)="MiscCarnivora",EXP(0.7486*LN(C271)+4.2207)*S271,
IF(_xlfn.XLOOKUP(E271,Groups!A:A,Groups!N:N)="Lizard",EXP(0.7733*LN(C271)+5.5303)*S271,
IF(_xlfn.XLOOKUP(E271,Groups!A:A,Groups!N:N)="Snake",50*C271^(2/3)*S271,
IF(_xlfn.XLOOKUP(E271,Groups!A:A,Groups!N:N)="StrongBitingHerbivore",87.1133638856975*C271^(2/3)*S271,
IF(_xlfn.XLOOKUP(E271,Groups!A:A,Groups!N:N)="MiscEctotherms",59.4316884072269*C271^(2/3)*S271,
IF(_xlfn.XLOOKUP(E271,Groups!A:A,Groups!N:N)="StrongBeakBird",0.041*(C271*1000)^1.375*S271,
IF(_xlfn.XLOOKUP(E271,Groups!A:A,Groups!N:N)="Bird",0.118*(C271*1000)^0.692*S271,
IF(_xlfn.XLOOKUP(E271,Groups!A:A,Groups!N:N)="Insect",EXP(0.7444*LN(C271)+6.5696)*S271,
IF(_xlfn.XLOOKUP(E271,Groups!A:A,Groups!N:N)="Theropod",EXP(0.6966*LN(C271)+4.158)*S271,
"No"))))))))))))))))</f>
        <v>641.17676285032178</v>
      </c>
      <c r="AU271" s="8">
        <f>IF(_xlfn.XLOOKUP(E271,Groups!A:A,Groups!U:U)=3,AS271,IF(_xlfn.XLOOKUP(E271,Groups!A:A,Groups!U:U)=2,AR271,AT271))</f>
        <v>641.17676285032178</v>
      </c>
      <c r="AV271" s="46">
        <f>IFERROR(AVERAGE(_xlfn.XLOOKUP(B271,Animals!B:B,Animals!N:N),_xlfn.XLOOKUP(B271,Animals!B:B,Animals!O:O)),0)</f>
        <v>0.97500000000000009</v>
      </c>
      <c r="AW271" s="8">
        <f>MROUND(40*Animals!AO271*_xlfn.XLOOKUP(AG271,Leathers!$A$2:$A$99,Leathers!$B$2:$B$99,0)+(140*_xlfn.XLOOKUP(B271,Animals!B:B,Animals!AO:AO)*2),5)</f>
        <v>155</v>
      </c>
      <c r="AX271" s="8">
        <f>IFERROR(ROUND(SQRT(V271-1)*IF(_xlfn.XLOOKUP(E271,Groups!A:A,Groups!BF:BF)=0,2,1)*IF(_xlfn.XLOOKUP('Base stats'!E271,Groups!A:A,Groups!O:O)=0,1,0.1),1),0)</f>
        <v>2.2999999999999998</v>
      </c>
      <c r="AY271" s="8">
        <f t="shared" si="143"/>
        <v>1.4</v>
      </c>
      <c r="AZ271" s="8">
        <f t="shared" si="144"/>
        <v>0</v>
      </c>
      <c r="BA271" s="8">
        <f t="shared" si="145"/>
        <v>2.2999999999999998</v>
      </c>
      <c r="BB271" s="8">
        <f>IF(_xlfn.XLOOKUP(E271,Groups!A:A,Groups!N:N)="Insect",BD271*2.5,IFERROR(AVERAGE(BD271,AT271/9.81/IF(OR(_xlfn.XLOOKUP(E271,Groups!A:A,Groups!N:N)="Pig",_xlfn.XLOOKUP(E271,Groups!A:A,Groups!N:N)="StrongBitingHerbivore"),20,25))*C271^-0.135,BD271))</f>
        <v>0.99756489187892916</v>
      </c>
      <c r="BC271" s="8" t="str">
        <f>IF(W271="No","No",IF(_xlfn.XLOOKUP(E271,Groups!A:A,Groups!U:U)=1,'Base stats'!BB271,IF(OR(_xlfn.XLOOKUP(E271,Groups!A:A,Groups!BD:BD)=1,_xlfn.XLOOKUP(E271,Groups!A:A,Groups!U:U)=2),BD271,IF(_xlfn.XLOOKUP(B271,Animals!B:B,Animals!AO:AO)&gt;4,AVERAGE(BD271,BF271),BF271))))</f>
        <v>No</v>
      </c>
      <c r="BD271" s="8">
        <f t="shared" si="146"/>
        <v>0.37519987390432724</v>
      </c>
      <c r="BE271" s="8">
        <f>IF(_xlfn.XLOOKUP(E271,Groups!A:A,Groups!BE:BE)=1,(0.048*C271^1.01)+(0.071*C271^1.03),0.071*C271^1.03)/IF(_xlfn.XLOOKUP(E271,Groups!A:A,Groups!M:M)=1,0.85,IF(OR(_xlfn.XLOOKUP(B271,Animals!B:B,Animals!AO:AO)&gt;4,_xlfn.XLOOKUP(E271,Groups!A:A,Groups!BC:BC)=1),1.7,1))*C271^-0.25</f>
        <v>0.43212841428041765</v>
      </c>
      <c r="BF271" s="8">
        <f>(0.048*C271^1.01)/IF(_xlfn.XLOOKUP(E271,Groups!A:A,Groups!M:M)=1,0.25,0.8)*C271^-0.25</f>
        <v>0.58470128338370886</v>
      </c>
      <c r="BG271" s="8">
        <f>EXP(1.076*LN(AR271)-4.5397)*IF(_xlfn.XLOOKUP(E271,Groups!A:A,Groups!BC:BC)=1,1.25,IF(_xlfn.XLOOKUP(E271,Groups!A:A,Groups!BD:BD)=1,3.5,2.5))</f>
        <v>14.968563372073916</v>
      </c>
      <c r="BH271" s="8">
        <f>EXP(1.076*LN(AS271)-4.5397)*IF(_xlfn.XLOOKUP(E271,Groups!A:A,Groups!M:M)=1,0.8,IF(_xlfn.XLOOKUP(E271,Groups!A:A,Groups!BC:BC)=1,1.3,3))</f>
        <v>17.870293043760679</v>
      </c>
      <c r="BI271" s="8" t="str">
        <f>IF(W271="No","No",IF(_xlfn.XLOOKUP(E271,Groups!A:A,Groups!U:U)=1,'Base stats'!BJ271,IF(OR(_xlfn.XLOOKUP(E271,Groups!A:A,Groups!BD:BD)=1,_xlfn.XLOOKUP(E271,Groups!A:A,Groups!U:U)=2),BG271,BH271))*1.2)</f>
        <v>No</v>
      </c>
      <c r="BJ271" s="8">
        <f>IFERROR(EXP(1.076*LN(AT271)-4.5397)*IF(_xlfn.XLOOKUP(E271,Groups!A:A,Groups!N:N)="Insect",1,IF(OR(_xlfn.XLOOKUP(E271,Groups!A:A,Groups!N:N)="Pig",_xlfn.XLOOKUP(E271,Groups!A:A,Groups!N:N)="StrongBitingHerbivore"),3.5,3.75)),"No")</f>
        <v>41.953934286113075</v>
      </c>
      <c r="BK271" s="8">
        <f t="shared" si="147"/>
        <v>8</v>
      </c>
      <c r="BL271" s="8">
        <f t="shared" si="148"/>
        <v>9</v>
      </c>
      <c r="BM271" s="8" t="str">
        <f t="shared" si="149"/>
        <v>No</v>
      </c>
      <c r="BN271" s="8">
        <f t="shared" si="150"/>
        <v>9</v>
      </c>
      <c r="BO271" s="8">
        <f t="shared" si="151"/>
        <v>7</v>
      </c>
      <c r="BP271" s="8" cm="1">
        <f t="array" ref="BP271">IF(AND(_xlfn.XLOOKUP('Base stats'!E271,Groups!A:A,Groups!AD:AD=0),_xlfn.XLOOKUP('Base stats'!E271,Groups!A:A,Groups!P:P=0)),"No",IF(U271="No",AVERAGE(EXP(-0.57+0.99*LN(C271)),EXP(0.32+0.67*LN(C271)))/IF(_xlfn.XLOOKUP(E271,Groups!A:A,Groups!AD:AD)=1,10,2),(0.7354*C271^0.4078)*2/IF(_xlfn.XLOOKUP(E271,Groups!A:A,Groups!BK:BK)=1,1000,100)/IF(_xlfn.XLOOKUP(E271,Groups!A:A,Groups!AJ:AJ)="Photonozoa",3,1)))</f>
        <v>4.9901506096388087E-3</v>
      </c>
      <c r="BQ271" s="8" t="str">
        <f>IF(W271="No","No",IF(_xlfn.XLOOKUP(E271,Groups!A:A,Groups!BD:BD)=1,(AO271*5%),EXP(0.7354*LN(C271)^0.4078)*2/IF(_xlfn.XLOOKUP(E271,Groups!A:A,Groups!BL:BL)=1,1000,100)/IF(_xlfn.XLOOKUP(E271,Groups!A:A,Groups!AJ:AJ)="Photonozoa",3,1)))</f>
        <v>No</v>
      </c>
      <c r="BR271" s="8">
        <f>IF(BJ271="No","No",IF(_xlfn.XLOOKUP(E271,Groups!A:A,Groups!BF:BF)=1,(0.0315*C271+2.1825)*2,(0.7354*C271^0.4078)*2)/IF(_xlfn.XLOOKUP(E271,Groups!A:A,Groups!BM:BM)=1,1000,100)/IF(_xlfn.XLOOKUP(E271,Groups!A:A,Groups!AJ:AJ)="Photonozoa",3,1))</f>
        <v>4.9901506096388083E-2</v>
      </c>
      <c r="BS271" s="8">
        <f t="shared" si="152"/>
        <v>3.8478456264129914E-2</v>
      </c>
      <c r="BT271" s="8">
        <f t="shared" si="153"/>
        <v>3581.1129646554186</v>
      </c>
      <c r="BU271" s="8" t="str">
        <f t="shared" si="154"/>
        <v>No</v>
      </c>
      <c r="BV271" s="8">
        <f t="shared" si="155"/>
        <v>840.73483083008068</v>
      </c>
      <c r="BW271" s="4">
        <v>0</v>
      </c>
      <c r="BX271" s="4">
        <v>1</v>
      </c>
    </row>
    <row r="272" spans="1:76" s="16" customFormat="1" x14ac:dyDescent="0.25">
      <c r="A272" s="26" t="s">
        <v>1600</v>
      </c>
      <c r="B272" s="6" t="s">
        <v>1827</v>
      </c>
      <c r="C272" s="7">
        <v>5000</v>
      </c>
      <c r="D272" s="7" t="s">
        <v>528</v>
      </c>
      <c r="E272" s="7" t="str">
        <f>Groups!$A$96</f>
        <v>MycoticCreature</v>
      </c>
      <c r="F272" s="7" t="s">
        <v>1700</v>
      </c>
      <c r="G272" s="7">
        <v>6</v>
      </c>
      <c r="H272" s="7">
        <v>70</v>
      </c>
      <c r="I272" s="4">
        <v>1</v>
      </c>
      <c r="J272" s="7" t="s">
        <v>1700</v>
      </c>
      <c r="K272" s="7" t="s">
        <v>528</v>
      </c>
      <c r="L272" s="7">
        <v>18</v>
      </c>
      <c r="M272" s="7" t="s">
        <v>528</v>
      </c>
      <c r="N272" s="4">
        <v>0</v>
      </c>
      <c r="O272" s="4">
        <v>0</v>
      </c>
      <c r="P272" s="4">
        <v>0</v>
      </c>
      <c r="Q272" s="4">
        <v>0</v>
      </c>
      <c r="R272" s="4" t="s">
        <v>40</v>
      </c>
      <c r="S272" s="7">
        <f>_xlfn.XLOOKUP(B272,[1]TeethAdjusters!$A:$A,[1]BiteAdjusters!$C:$C,1)</f>
        <v>1</v>
      </c>
      <c r="T272" s="7">
        <f>_xlfn.XLOOKUP(B272,[1]TeethAdjusters!$A:$A,[1]TeethAdjusters!$B:$B,1)</f>
        <v>1</v>
      </c>
      <c r="U272" s="7">
        <v>20</v>
      </c>
      <c r="V272" s="7">
        <f>IF(AT272="No","No",IF(_xlfn.XLOOKUP(E272,Groups!A:A,Groups!AM:AM)=1,MROUND(EXP(0.3582*LN(C272)-0.2221)*T272,0.05),IF(_xlfn.XLOOKUP(E272,Groups!A:A,Groups!AM:AM)=2,MROUND(EXP(0.3582*LN(C272)-0.2221)*T272,0.05),"Need a formula")))</f>
        <v>16.900000000000002</v>
      </c>
      <c r="W272" s="7" t="str">
        <f>IF(_xlfn.XLOOKUP(E272,Groups!A:A,Groups!V:V)&lt;&gt;"No","Need a formula","No")</f>
        <v>No</v>
      </c>
      <c r="X272" s="7" t="s">
        <v>932</v>
      </c>
      <c r="Y272" s="4" t="s">
        <v>42</v>
      </c>
      <c r="Z272" s="4">
        <v>1</v>
      </c>
      <c r="AA272" s="4">
        <v>0</v>
      </c>
      <c r="AB272" s="4">
        <v>0</v>
      </c>
      <c r="AC272" s="4">
        <v>0</v>
      </c>
      <c r="AD272" s="4">
        <v>0</v>
      </c>
      <c r="AE272" s="4" t="s">
        <v>45</v>
      </c>
      <c r="AF272" s="4" t="s">
        <v>45</v>
      </c>
      <c r="AG272" s="49" t="s">
        <v>45</v>
      </c>
      <c r="AH272" s="4" t="s">
        <v>45</v>
      </c>
      <c r="AI272" s="4">
        <v>0</v>
      </c>
      <c r="AJ272" s="4">
        <v>0</v>
      </c>
      <c r="AK272" s="4">
        <v>0</v>
      </c>
      <c r="AL272" s="4">
        <v>0</v>
      </c>
      <c r="AM272" s="4">
        <v>1</v>
      </c>
      <c r="AN272" s="44" t="s">
        <v>40</v>
      </c>
      <c r="AO272" s="8">
        <f t="shared" si="141"/>
        <v>281613.50739773398</v>
      </c>
      <c r="AP272" s="8">
        <f>IFERROR(C272*_xlfn.XLOOKUP(E272,Groups!A:A,Groups!K:K),0.106*C272^0.94)</f>
        <v>3500</v>
      </c>
      <c r="AQ272" s="8">
        <f>AP272*10000/(_xlfn.XLOOKUP(E272,Groups!A:A,Groups!J:J)*AO272)</f>
        <v>124.283811254011</v>
      </c>
      <c r="AR272" s="8">
        <f t="shared" si="142"/>
        <v>72437.042827169687</v>
      </c>
      <c r="AS272" s="8">
        <f>IF(_xlfn.XLOOKUP(E272,Groups!A:A,Groups!M:M)=1,EXP(0.7444*LN('Base stats'!C272)+6.5696),EXP(0.7927*LN('Base stats'!C272)+4.28))</f>
        <v>61795.080878079119</v>
      </c>
      <c r="AT272" s="8">
        <f>IF(_xlfn.XLOOKUP(E272,Groups!A:A,Groups!N:N)="No","No",
IF(_xlfn.XLOOKUP(E272,Groups!A:A,Groups!N:N)="Crocodile",EXP(0.8129*LN(C272)+4.6742)*S272,
IF(_xlfn.XLOOKUP(E272,Groups!A:A,Groups!N:N)="Felid",EXP(0.7843*LN(C272)+4.7073)*S272,
IF(_xlfn.XLOOKUP(E272,Groups!A:A,Groups!N:N)="Canid",EXP(0.8367*LN(C272)+4.8763)*S272,
IF(_xlfn.XLOOKUP(E272,Groups!A:A,Groups!N:N)="Pig",EXP(0.3439*LN(C272)+6.8519)*S272,
IF(_xlfn.XLOOKUP(E272,Groups!A:A,Groups!N:N)="Rodent",EXP(0.5625*LN(C272)+4.3006)*S272,
IF(_xlfn.XLOOKUP(E272,Groups!A:A,Groups!N:N)="Primate",EXP(0.7847*LN(C272)+3.4931)*S272,
IF(_xlfn.XLOOKUP(E272,Groups!A:A,Groups!N:N)="MiscCarnivora",EXP(0.7486*LN(C272)+4.2207)*S272,
IF(_xlfn.XLOOKUP(E272,Groups!A:A,Groups!N:N)="Lizard",EXP(0.7733*LN(C272)+5.5303)*S272,
IF(_xlfn.XLOOKUP(E272,Groups!A:A,Groups!N:N)="Snake",50*C272^(2/3)*S272,
IF(_xlfn.XLOOKUP(E272,Groups!A:A,Groups!N:N)="StrongBitingHerbivore",87.1133638856975*C272^(2/3)*S272,
IF(_xlfn.XLOOKUP(E272,Groups!A:A,Groups!N:N)="MiscEctotherms",59.4316884072269*C272^(2/3)*S272,
IF(_xlfn.XLOOKUP(E272,Groups!A:A,Groups!N:N)="StrongBeakBird",0.041*(C272*1000)^1.375*S272,
IF(_xlfn.XLOOKUP(E272,Groups!A:A,Groups!N:N)="Bird",0.118*(C272*1000)^0.692*S272,
IF(_xlfn.XLOOKUP(E272,Groups!A:A,Groups!N:N)="Insect",EXP(0.7444*LN(C272)+6.5696)*S272,
IF(_xlfn.XLOOKUP(E272,Groups!A:A,Groups!N:N)="Theropod",EXP(0.6966*LN(C272)+4.158)*S272,
"No"))))))))))))))))</f>
        <v>40001.443625975015</v>
      </c>
      <c r="AU272" s="8">
        <f>IF(_xlfn.XLOOKUP(E272,Groups!A:A,Groups!U:U)=3,AS272,IF(_xlfn.XLOOKUP(E272,Groups!A:A,Groups!U:U)=2,AR272,AT272))</f>
        <v>40001.443625975015</v>
      </c>
      <c r="AV272" s="46">
        <f>IFERROR(AVERAGE(_xlfn.XLOOKUP(B272,Animals!B:B,Animals!N:N),_xlfn.XLOOKUP(B272,Animals!B:B,Animals!O:O)),0)</f>
        <v>1.5249999999999999</v>
      </c>
      <c r="AW272" s="8">
        <f>MROUND(40*Animals!AO272*_xlfn.XLOOKUP(AG272,Leathers!$A$2:$A$99,Leathers!$B$2:$B$99,0)+(140*_xlfn.XLOOKUP(B272,Animals!B:B,Animals!AO:AO)*2),5)</f>
        <v>1400</v>
      </c>
      <c r="AX272" s="8">
        <f>IFERROR(ROUND(SQRT(V272-1)*IF(_xlfn.XLOOKUP(E272,Groups!A:A,Groups!BF:BF)=0,2,1)*IF(_xlfn.XLOOKUP('Base stats'!E272,Groups!A:A,Groups!O:O)=0,1,0.1),1),0)</f>
        <v>8</v>
      </c>
      <c r="AY272" s="8">
        <f t="shared" si="143"/>
        <v>4.4000000000000004</v>
      </c>
      <c r="AZ272" s="8">
        <f t="shared" si="144"/>
        <v>0</v>
      </c>
      <c r="BA272" s="8">
        <f t="shared" si="145"/>
        <v>16.899999999999999</v>
      </c>
      <c r="BB272" s="8">
        <f>IF(_xlfn.XLOOKUP(E272,Groups!A:A,Groups!N:N)="Insect",BD272*2.5,IFERROR(AVERAGE(BD272,AT272/9.81/IF(OR(_xlfn.XLOOKUP(E272,Groups!A:A,Groups!N:N)="Pig",_xlfn.XLOOKUP(E272,Groups!A:A,Groups!N:N)="StrongBitingHerbivore"),20,25))*C272^-0.135,BD272))</f>
        <v>29.645829538450528</v>
      </c>
      <c r="BC272" s="8" t="str">
        <f>IF(W272="No","No",IF(_xlfn.XLOOKUP(E272,Groups!A:A,Groups!U:U)=1,'Base stats'!BB272,IF(OR(_xlfn.XLOOKUP(E272,Groups!A:A,Groups!BD:BD)=1,_xlfn.XLOOKUP(E272,Groups!A:A,Groups!U:U)=2),BD272,IF(_xlfn.XLOOKUP(B272,Animals!B:B,Animals!AO:AO)&gt;4,AVERAGE(BD272,BF272),BF272))))</f>
        <v>No</v>
      </c>
      <c r="BD272" s="8">
        <f t="shared" si="146"/>
        <v>24.116231840641284</v>
      </c>
      <c r="BE272" s="8">
        <f>IF(_xlfn.XLOOKUP(E272,Groups!A:A,Groups!BE:BE)=1,(0.048*C272^1.01)+(0.071*C272^1.03),0.071*C272^1.03)/IF(_xlfn.XLOOKUP(E272,Groups!A:A,Groups!M:M)=1,0.85,IF(OR(_xlfn.XLOOKUP(B272,Animals!B:B,Animals!AO:AO)&gt;4,_xlfn.XLOOKUP(E272,Groups!A:A,Groups!BC:BC)=1),1.7,1))*C272^-0.25</f>
        <v>32.063138478804731</v>
      </c>
      <c r="BF272" s="8">
        <f>(0.048*C272^1.01)/IF(_xlfn.XLOOKUP(E272,Groups!A:A,Groups!M:M)=1,0.25,0.8)*C272^-0.25</f>
        <v>38.847981091877756</v>
      </c>
      <c r="BG272" s="8">
        <f>EXP(1.076*LN(AR272)-4.5397)*IF(_xlfn.XLOOKUP(E272,Groups!A:A,Groups!BC:BC)=1,1.25,IF(_xlfn.XLOOKUP(E272,Groups!A:A,Groups!BD:BD)=1,3.5,2.5))</f>
        <v>2262.8776863858375</v>
      </c>
      <c r="BH272" s="8">
        <f>EXP(1.076*LN(AS272)-4.5397)*IF(_xlfn.XLOOKUP(E272,Groups!A:A,Groups!M:M)=1,0.8,IF(_xlfn.XLOOKUP(E272,Groups!A:A,Groups!BC:BC)=1,1.3,3))</f>
        <v>1983.5497361011207</v>
      </c>
      <c r="BI272" s="8" t="str">
        <f>IF(W272="No","No",IF(_xlfn.XLOOKUP(E272,Groups!A:A,Groups!U:U)=1,'Base stats'!BJ272,IF(OR(_xlfn.XLOOKUP(E272,Groups!A:A,Groups!BD:BD)=1,_xlfn.XLOOKUP(E272,Groups!A:A,Groups!U:U)=2),BG272,BH272))*1.2)</f>
        <v>No</v>
      </c>
      <c r="BJ272" s="8">
        <f>IFERROR(EXP(1.076*LN(AT272)-4.5397)*IF(_xlfn.XLOOKUP(E272,Groups!A:A,Groups!N:N)="Insect",1,IF(OR(_xlfn.XLOOKUP(E272,Groups!A:A,Groups!N:N)="Pig",_xlfn.XLOOKUP(E272,Groups!A:A,Groups!N:N)="StrongBitingHerbivore"),3.5,3.75)),"No")</f>
        <v>3583.4225621101755</v>
      </c>
      <c r="BK272" s="8">
        <f t="shared" si="147"/>
        <v>13</v>
      </c>
      <c r="BL272" s="8">
        <f t="shared" si="148"/>
        <v>11</v>
      </c>
      <c r="BM272" s="8" t="str">
        <f t="shared" si="149"/>
        <v>No</v>
      </c>
      <c r="BN272" s="8">
        <f t="shared" si="150"/>
        <v>15</v>
      </c>
      <c r="BO272" s="8">
        <f t="shared" si="151"/>
        <v>10</v>
      </c>
      <c r="BP272" s="8" cm="1">
        <f t="array" ref="BP272">IF(AND(_xlfn.XLOOKUP('Base stats'!E272,Groups!A:A,Groups!AD:AD=0),_xlfn.XLOOKUP('Base stats'!E272,Groups!A:A,Groups!P:P=0)),"No",IF(U272="No",AVERAGE(EXP(-0.57+0.99*LN(C272)),EXP(0.32+0.67*LN(C272)))/IF(_xlfn.XLOOKUP(E272,Groups!A:A,Groups!AD:AD)=1,10,2),(0.7354*C272^0.4078)*2/IF(_xlfn.XLOOKUP(E272,Groups!A:A,Groups!BK:BK)=1,1000,100)/IF(_xlfn.XLOOKUP(E272,Groups!A:A,Groups!AJ:AJ)="Photonozoa",3,1)))</f>
        <v>4.7423498457378303E-2</v>
      </c>
      <c r="BQ272" s="8" t="str">
        <f>IF(W272="No","No",IF(_xlfn.XLOOKUP(E272,Groups!A:A,Groups!BD:BD)=1,(AO272*5%),EXP(0.7354*LN(C272)^0.4078)*2/IF(_xlfn.XLOOKUP(E272,Groups!A:A,Groups!BL:BL)=1,1000,100)/IF(_xlfn.XLOOKUP(E272,Groups!A:A,Groups!AJ:AJ)="Photonozoa",3,1)))</f>
        <v>No</v>
      </c>
      <c r="BR272" s="8">
        <f>IF(BJ272="No","No",IF(_xlfn.XLOOKUP(E272,Groups!A:A,Groups!BF:BF)=1,(0.0315*C272+2.1825)*2,(0.7354*C272^0.4078)*2)/IF(_xlfn.XLOOKUP(E272,Groups!A:A,Groups!BM:BM)=1,1000,100)/IF(_xlfn.XLOOKUP(E272,Groups!A:A,Groups!AJ:AJ)="Photonozoa",3,1))</f>
        <v>0.47423498457378299</v>
      </c>
      <c r="BS272" s="8">
        <f t="shared" si="152"/>
        <v>0.16070803615182314</v>
      </c>
      <c r="BT272" s="8">
        <f t="shared" si="153"/>
        <v>41826.305536775799</v>
      </c>
      <c r="BU272" s="8" t="str">
        <f t="shared" si="154"/>
        <v>No</v>
      </c>
      <c r="BV272" s="8">
        <f t="shared" si="155"/>
        <v>7556.2172312756802</v>
      </c>
      <c r="BW272" s="4">
        <v>0</v>
      </c>
      <c r="BX272" s="4">
        <v>1</v>
      </c>
    </row>
    <row r="273" spans="1:76" s="16" customFormat="1" x14ac:dyDescent="0.25">
      <c r="A273" s="26" t="s">
        <v>1464</v>
      </c>
      <c r="B273" s="6" t="s">
        <v>1648</v>
      </c>
      <c r="C273" s="7">
        <v>12500</v>
      </c>
      <c r="D273" s="7" t="s">
        <v>528</v>
      </c>
      <c r="E273" s="7" t="str">
        <f>Groups!$A$99</f>
        <v>Gallatros</v>
      </c>
      <c r="F273" s="7">
        <v>700</v>
      </c>
      <c r="G273" s="7">
        <v>14</v>
      </c>
      <c r="H273" s="7">
        <v>360</v>
      </c>
      <c r="I273" s="4">
        <v>1</v>
      </c>
      <c r="J273" s="7">
        <v>1</v>
      </c>
      <c r="K273" s="7" t="s">
        <v>528</v>
      </c>
      <c r="L273" s="7">
        <v>35</v>
      </c>
      <c r="M273" s="7" t="s">
        <v>626</v>
      </c>
      <c r="N273" s="4">
        <v>0</v>
      </c>
      <c r="O273" s="4">
        <v>0</v>
      </c>
      <c r="P273" s="4">
        <v>0</v>
      </c>
      <c r="Q273" s="4">
        <v>0</v>
      </c>
      <c r="R273" s="4">
        <v>1</v>
      </c>
      <c r="S273" s="7">
        <f>_xlfn.XLOOKUP(B273,[1]TeethAdjusters!$A:$A,[1]BiteAdjusters!$C:$C,1)</f>
        <v>1</v>
      </c>
      <c r="T273" s="7">
        <f>_xlfn.XLOOKUP(B273,[1]TeethAdjusters!$A:$A,[1]TeethAdjusters!$B:$B,1)</f>
        <v>1</v>
      </c>
      <c r="U273" s="7">
        <v>32</v>
      </c>
      <c r="V273" s="7">
        <f>IF(AT273="No","No",IF(_xlfn.XLOOKUP(E273,Groups!A:A,Groups!AM:AM)=1,MROUND(EXP(0.3582*LN(C273)-0.2221)*T273,0.05),IF(_xlfn.XLOOKUP(E273,Groups!A:A,Groups!AM:AM)=2,MROUND(EXP(0.3582*LN(C273)-0.2221)*T273,0.05),"Need a formula")))</f>
        <v>23.5</v>
      </c>
      <c r="W273" s="7">
        <v>80</v>
      </c>
      <c r="X273" s="7" t="s">
        <v>932</v>
      </c>
      <c r="Y273" s="4" t="s">
        <v>1002</v>
      </c>
      <c r="Z273" s="4">
        <v>5.7149999999999999</v>
      </c>
      <c r="AA273" s="4">
        <v>0</v>
      </c>
      <c r="AB273" s="4">
        <v>0</v>
      </c>
      <c r="AC273" s="4">
        <v>0</v>
      </c>
      <c r="AD273" s="4">
        <v>0</v>
      </c>
      <c r="AE273" s="4" t="s">
        <v>45</v>
      </c>
      <c r="AF273" s="4" t="s">
        <v>45</v>
      </c>
      <c r="AG273" s="49" t="s">
        <v>1880</v>
      </c>
      <c r="AH273" s="4" t="s">
        <v>45</v>
      </c>
      <c r="AI273" s="4">
        <v>0</v>
      </c>
      <c r="AJ273" s="4">
        <v>0</v>
      </c>
      <c r="AK273" s="4">
        <v>0</v>
      </c>
      <c r="AL273" s="4">
        <v>1</v>
      </c>
      <c r="AM273" s="4">
        <v>1</v>
      </c>
      <c r="AN273" s="44" t="s">
        <v>40</v>
      </c>
      <c r="AO273" s="8">
        <f t="shared" si="141"/>
        <v>510874.8076957314</v>
      </c>
      <c r="AP273" s="8">
        <f>IFERROR(C273*_xlfn.XLOOKUP(E273,Groups!A:A,Groups!K:K),0.106*C273^0.94)</f>
        <v>752.31769615231951</v>
      </c>
      <c r="AQ273" s="8">
        <f>AP273*10000/(_xlfn.XLOOKUP(E273,Groups!A:A,Groups!J:J)*AO273)</f>
        <v>11.327744320127771</v>
      </c>
      <c r="AR273" s="8">
        <f t="shared" si="142"/>
        <v>157072.67416563726</v>
      </c>
      <c r="AS273" s="8">
        <f>IF(_xlfn.XLOOKUP(E273,Groups!A:A,Groups!M:M)=1,EXP(0.7444*LN('Base stats'!C273)+6.5696),EXP(0.7927*LN('Base stats'!C273)+4.28))</f>
        <v>127761.7788280736</v>
      </c>
      <c r="AT273" s="8">
        <f>IF(_xlfn.XLOOKUP(E273,Groups!A:A,Groups!N:N)="No","No",
IF(_xlfn.XLOOKUP(E273,Groups!A:A,Groups!N:N)="Crocodile",EXP(0.8129*LN(C273)+4.6742)*S273,
IF(_xlfn.XLOOKUP(E273,Groups!A:A,Groups!N:N)="Felid",EXP(0.7843*LN(C273)+4.7073)*S273,
IF(_xlfn.XLOOKUP(E273,Groups!A:A,Groups!N:N)="Canid",EXP(0.8367*LN(C273)+4.8763)*S273,
IF(_xlfn.XLOOKUP(E273,Groups!A:A,Groups!N:N)="Pig",EXP(0.3439*LN(C273)+6.8519)*S273,
IF(_xlfn.XLOOKUP(E273,Groups!A:A,Groups!N:N)="Rodent",EXP(0.5625*LN(C273)+4.3006)*S273,
IF(_xlfn.XLOOKUP(E273,Groups!A:A,Groups!N:N)="Primate",EXP(0.7847*LN(C273)+3.4931)*S273,
IF(_xlfn.XLOOKUP(E273,Groups!A:A,Groups!N:N)="MiscCarnivora",EXP(0.7486*LN(C273)+4.2207)*S273,
IF(_xlfn.XLOOKUP(E273,Groups!A:A,Groups!N:N)="Lizard",EXP(0.7733*LN(C273)+5.5303)*S273,
IF(_xlfn.XLOOKUP(E273,Groups!A:A,Groups!N:N)="Snake",50*C273^(2/3)*S273,
IF(_xlfn.XLOOKUP(E273,Groups!A:A,Groups!N:N)="StrongBitingHerbivore",87.1133638856975*C273^(2/3)*S273,
IF(_xlfn.XLOOKUP(E273,Groups!A:A,Groups!N:N)="MiscEctotherms",59.4316884072269*C273^(2/3)*S273,
IF(_xlfn.XLOOKUP(E273,Groups!A:A,Groups!N:N)="StrongBeakBird",0.041*(C273*1000)^1.375*S273,
IF(_xlfn.XLOOKUP(E273,Groups!A:A,Groups!N:N)="Bird",0.118*(C273*1000)^0.692*S273,
IF(_xlfn.XLOOKUP(E273,Groups!A:A,Groups!N:N)="Insect",EXP(0.7444*LN(C273)+6.5696)*S273,
IF(_xlfn.XLOOKUP(E273,Groups!A:A,Groups!N:N)="Theropod",EXP(0.6966*LN(C273)+4.158)*S273,
"No"))))))))))))))))</f>
        <v>46920.013280179322</v>
      </c>
      <c r="AU273" s="8">
        <f>IF(_xlfn.XLOOKUP(E273,Groups!A:A,Groups!U:U)=3,AS273,IF(_xlfn.XLOOKUP(E273,Groups!A:A,Groups!U:U)=2,AR273,AT273))</f>
        <v>157072.67416563726</v>
      </c>
      <c r="AV273" s="46">
        <f>IFERROR(AVERAGE(_xlfn.XLOOKUP(B273,Animals!B:B,Animals!N:N),_xlfn.XLOOKUP(B273,Animals!B:B,Animals!O:O)),0)</f>
        <v>1.05</v>
      </c>
      <c r="AW273" s="8">
        <f>MROUND(40*Animals!AO273*_xlfn.XLOOKUP(AG273,Leathers!$A$2:$A$99,Leathers!$B$2:$B$99,0)+(140*_xlfn.XLOOKUP(B273,Animals!B:B,Animals!AO:AO)*2),5)</f>
        <v>1960</v>
      </c>
      <c r="AX273" s="8">
        <f>IFERROR(ROUND(SQRT(V273-1)*IF(_xlfn.XLOOKUP(E273,Groups!A:A,Groups!BF:BF)=0,2,1)*IF(_xlfn.XLOOKUP('Base stats'!E273,Groups!A:A,Groups!O:O)=0,1,0.1),1),0)</f>
        <v>9.5</v>
      </c>
      <c r="AY273" s="8">
        <f t="shared" si="143"/>
        <v>5.6</v>
      </c>
      <c r="AZ273" s="8">
        <f t="shared" si="144"/>
        <v>8.9</v>
      </c>
      <c r="BA273" s="8">
        <f t="shared" si="145"/>
        <v>23.5</v>
      </c>
      <c r="BB273" s="8">
        <f>IF(_xlfn.XLOOKUP(E273,Groups!A:A,Groups!N:N)="Insect",BD273*2.5,IFERROR(AVERAGE(BD273,AT273/9.81/IF(OR(_xlfn.XLOOKUP(E273,Groups!A:A,Groups!N:N)="Pig",_xlfn.XLOOKUP(E273,Groups!A:A,Groups!N:N)="StrongBitingHerbivore"),20,25))*C273^-0.135,BD273))</f>
        <v>40.195105903950676</v>
      </c>
      <c r="BC273" s="8">
        <f>IF(W273="No","No",IF(_xlfn.XLOOKUP(E273,Groups!A:A,Groups!U:U)=1,'Base stats'!BB273,IF(OR(_xlfn.XLOOKUP(E273,Groups!A:A,Groups!BD:BD)=1,_xlfn.XLOOKUP(E273,Groups!A:A,Groups!U:U)=2),BD273,IF(_xlfn.XLOOKUP(B273,Animals!B:B,Animals!AO:AO)&gt;4,AVERAGE(BD273,BF273),BF273))))</f>
        <v>48.123390407718603</v>
      </c>
      <c r="BD273" s="8">
        <f t="shared" si="146"/>
        <v>48.123390407718603</v>
      </c>
      <c r="BE273" s="8">
        <f>IF(_xlfn.XLOOKUP(E273,Groups!A:A,Groups!BE:BE)=1,(0.048*C273^1.01)+(0.071*C273^1.03),0.071*C273^1.03)/IF(_xlfn.XLOOKUP(E273,Groups!A:A,Groups!M:M)=1,0.85,IF(OR(_xlfn.XLOOKUP(B273,Animals!B:B,Animals!AO:AO)&gt;4,_xlfn.XLOOKUP(E273,Groups!A:A,Groups!BC:BC)=1),1.7,1))*C273^-0.25</f>
        <v>65.523824357985504</v>
      </c>
      <c r="BF273" s="8">
        <f>(0.048*C273^1.01)/IF(_xlfn.XLOOKUP(E273,Groups!A:A,Groups!M:M)=1,0.25,0.8)*C273^-0.25</f>
        <v>77.947620178933292</v>
      </c>
      <c r="BG273" s="8">
        <f>EXP(1.076*LN(AR273)-4.5397)*IF(_xlfn.XLOOKUP(E273,Groups!A:A,Groups!BC:BC)=1,1.25,IF(_xlfn.XLOOKUP(E273,Groups!A:A,Groups!BD:BD)=1,3.5,2.5))</f>
        <v>5204.1240430099715</v>
      </c>
      <c r="BH273" s="8">
        <f>EXP(1.076*LN(AS273)-4.5397)*IF(_xlfn.XLOOKUP(E273,Groups!A:A,Groups!M:M)=1,0.8,IF(_xlfn.XLOOKUP(E273,Groups!A:A,Groups!BC:BC)=1,1.3,3))</f>
        <v>4333.7525964195929</v>
      </c>
      <c r="BI273" s="8">
        <f>IF(W273="No","No",IF(_xlfn.XLOOKUP(E273,Groups!A:A,Groups!U:U)=1,'Base stats'!BJ273,IF(OR(_xlfn.XLOOKUP(E273,Groups!A:A,Groups!BD:BD)=1,_xlfn.XLOOKUP(E273,Groups!A:A,Groups!U:U)=2),BG273,BH273))*1.2)</f>
        <v>6244.9488516119654</v>
      </c>
      <c r="BJ273" s="8">
        <f>IFERROR(EXP(1.076*LN(AT273)-4.5397)*IF(_xlfn.XLOOKUP(E273,Groups!A:A,Groups!N:N)="Insect",1,IF(OR(_xlfn.XLOOKUP(E273,Groups!A:A,Groups!N:N)="Pig",_xlfn.XLOOKUP(E273,Groups!A:A,Groups!N:N)="StrongBitingHerbivore"),3.5,3.75)),"No")</f>
        <v>3970.8431156062097</v>
      </c>
      <c r="BK273" s="8">
        <f t="shared" si="147"/>
        <v>14</v>
      </c>
      <c r="BL273" s="8">
        <f t="shared" si="148"/>
        <v>11</v>
      </c>
      <c r="BM273" s="8">
        <f t="shared" si="149"/>
        <v>16</v>
      </c>
      <c r="BN273" s="8">
        <f t="shared" si="150"/>
        <v>14</v>
      </c>
      <c r="BO273" s="8">
        <f t="shared" si="151"/>
        <v>10</v>
      </c>
      <c r="BP273" s="8" cm="1">
        <f t="array" ref="BP273">IF(AND(_xlfn.XLOOKUP('Base stats'!E273,Groups!A:A,Groups!AD:AD=0),_xlfn.XLOOKUP('Base stats'!E273,Groups!A:A,Groups!P:P=0)),"No",IF(U273="No",AVERAGE(EXP(-0.57+0.99*LN(C273)),EXP(0.32+0.67*LN(C273)))/IF(_xlfn.XLOOKUP(E273,Groups!A:A,Groups!AD:AD)=1,10,2),(0.7354*C273^0.4078)*2/IF(_xlfn.XLOOKUP(E273,Groups!A:A,Groups!BK:BK)=1,1000,100)/IF(_xlfn.XLOOKUP(E273,Groups!A:A,Groups!AJ:AJ)="Photonozoa",3,1)))</f>
        <v>6.8908615542662463E-2</v>
      </c>
      <c r="BQ273" s="8">
        <f>IF(W273="No","No",IF(_xlfn.XLOOKUP(E273,Groups!A:A,Groups!BD:BD)=1,(AO273*5%),EXP(0.7354*LN(C273)^0.4078)*2/IF(_xlfn.XLOOKUP(E273,Groups!A:A,Groups!BL:BL)=1,1000,100)/IF(_xlfn.XLOOKUP(E273,Groups!A:A,Groups!AJ:AJ)="Photonozoa",3,1)))</f>
        <v>1.2549289045750445E-2</v>
      </c>
      <c r="BR273" s="8">
        <f>IF(BJ273="No","No",IF(_xlfn.XLOOKUP(E273,Groups!A:A,Groups!BF:BF)=1,(0.0315*C273+2.1825)*2,(0.7354*C273^0.4078)*2)/IF(_xlfn.XLOOKUP(E273,Groups!A:A,Groups!BM:BM)=1,1000,100)/IF(_xlfn.XLOOKUP(E273,Groups!A:A,Groups!AJ:AJ)="Photonozoa",3,1))</f>
        <v>6.8908615542662463E-2</v>
      </c>
      <c r="BS273" s="8">
        <f t="shared" si="152"/>
        <v>0.20373382929108774</v>
      </c>
      <c r="BT273" s="8">
        <f t="shared" si="153"/>
        <v>62891.302666449526</v>
      </c>
      <c r="BU273" s="8">
        <f t="shared" si="154"/>
        <v>497633.67700313567</v>
      </c>
      <c r="BV273" s="8">
        <f t="shared" si="155"/>
        <v>57624.769912084434</v>
      </c>
      <c r="BW273" s="4">
        <v>0</v>
      </c>
      <c r="BX273" s="4">
        <v>1</v>
      </c>
    </row>
    <row r="274" spans="1:76" s="16" customFormat="1" x14ac:dyDescent="0.25">
      <c r="A274" s="26" t="s">
        <v>1466</v>
      </c>
      <c r="B274" s="6" t="s">
        <v>1649</v>
      </c>
      <c r="C274" s="7">
        <v>12500</v>
      </c>
      <c r="D274" s="7" t="s">
        <v>528</v>
      </c>
      <c r="E274" s="7" t="str">
        <f>Groups!$A$99</f>
        <v>Gallatros</v>
      </c>
      <c r="F274" s="7">
        <v>700</v>
      </c>
      <c r="G274" s="7">
        <v>14</v>
      </c>
      <c r="H274" s="7">
        <v>360</v>
      </c>
      <c r="I274" s="4">
        <v>1</v>
      </c>
      <c r="J274" s="7">
        <v>1</v>
      </c>
      <c r="K274" s="7" t="s">
        <v>528</v>
      </c>
      <c r="L274" s="7">
        <v>35</v>
      </c>
      <c r="M274" s="7" t="s">
        <v>626</v>
      </c>
      <c r="N274" s="4">
        <v>0</v>
      </c>
      <c r="O274" s="4">
        <v>0</v>
      </c>
      <c r="P274" s="4">
        <v>0</v>
      </c>
      <c r="Q274" s="4">
        <v>0</v>
      </c>
      <c r="R274" s="4">
        <v>1</v>
      </c>
      <c r="S274" s="7">
        <f>_xlfn.XLOOKUP(B274,[1]TeethAdjusters!$A:$A,[1]BiteAdjusters!$C:$C,1)</f>
        <v>1</v>
      </c>
      <c r="T274" s="7">
        <f>_xlfn.XLOOKUP(B274,[1]TeethAdjusters!$A:$A,[1]TeethAdjusters!$B:$B,1)</f>
        <v>1</v>
      </c>
      <c r="U274" s="7">
        <v>32</v>
      </c>
      <c r="V274" s="7">
        <f>IF(AT274="No","No",IF(_xlfn.XLOOKUP(E274,Groups!A:A,Groups!AM:AM)=1,MROUND(EXP(0.3582*LN(C274)-0.2221)*T274,0.05),IF(_xlfn.XLOOKUP(E274,Groups!A:A,Groups!AM:AM)=2,MROUND(EXP(0.3582*LN(C274)-0.2221)*T274,0.05),"Need a formula")))</f>
        <v>23.5</v>
      </c>
      <c r="W274" s="7">
        <v>80</v>
      </c>
      <c r="X274" s="7" t="s">
        <v>932</v>
      </c>
      <c r="Y274" s="4" t="s">
        <v>1002</v>
      </c>
      <c r="Z274" s="4">
        <v>5.7149999999999999</v>
      </c>
      <c r="AA274" s="4">
        <v>0</v>
      </c>
      <c r="AB274" s="4">
        <v>1</v>
      </c>
      <c r="AC274" s="4">
        <v>0</v>
      </c>
      <c r="AD274" s="4">
        <v>0</v>
      </c>
      <c r="AE274" s="4" t="s">
        <v>45</v>
      </c>
      <c r="AF274" s="4" t="s">
        <v>45</v>
      </c>
      <c r="AG274" s="49" t="s">
        <v>1880</v>
      </c>
      <c r="AH274" s="4" t="str">
        <f>Animals!$C$278</f>
        <v>&lt;li&gt;AA_Gallatross&lt;/li&gt;</v>
      </c>
      <c r="AI274" s="4">
        <v>0</v>
      </c>
      <c r="AJ274" s="4">
        <v>0</v>
      </c>
      <c r="AK274" s="4">
        <v>0</v>
      </c>
      <c r="AL274" s="4">
        <v>1</v>
      </c>
      <c r="AM274" s="4">
        <v>1</v>
      </c>
      <c r="AN274" s="44" t="s">
        <v>40</v>
      </c>
      <c r="AO274" s="8">
        <f t="shared" si="141"/>
        <v>510874.8076957314</v>
      </c>
      <c r="AP274" s="8">
        <f>IFERROR(C274*_xlfn.XLOOKUP(E274,Groups!A:A,Groups!K:K),0.106*C274^0.94)</f>
        <v>752.31769615231951</v>
      </c>
      <c r="AQ274" s="8">
        <f>AP274*10000/(_xlfn.XLOOKUP(E274,Groups!A:A,Groups!J:J)*AO274)</f>
        <v>11.327744320127771</v>
      </c>
      <c r="AR274" s="8">
        <f t="shared" si="142"/>
        <v>157072.67416563726</v>
      </c>
      <c r="AS274" s="8">
        <f>IF(_xlfn.XLOOKUP(E274,Groups!A:A,Groups!M:M)=1,EXP(0.7444*LN('Base stats'!C274)+6.5696),EXP(0.7927*LN('Base stats'!C274)+4.28))</f>
        <v>127761.7788280736</v>
      </c>
      <c r="AT274" s="8">
        <f>IF(_xlfn.XLOOKUP(E274,Groups!A:A,Groups!N:N)="No","No",
IF(_xlfn.XLOOKUP(E274,Groups!A:A,Groups!N:N)="Crocodile",EXP(0.8129*LN(C274)+4.6742)*S274,
IF(_xlfn.XLOOKUP(E274,Groups!A:A,Groups!N:N)="Felid",EXP(0.7843*LN(C274)+4.7073)*S274,
IF(_xlfn.XLOOKUP(E274,Groups!A:A,Groups!N:N)="Canid",EXP(0.8367*LN(C274)+4.8763)*S274,
IF(_xlfn.XLOOKUP(E274,Groups!A:A,Groups!N:N)="Pig",EXP(0.3439*LN(C274)+6.8519)*S274,
IF(_xlfn.XLOOKUP(E274,Groups!A:A,Groups!N:N)="Rodent",EXP(0.5625*LN(C274)+4.3006)*S274,
IF(_xlfn.XLOOKUP(E274,Groups!A:A,Groups!N:N)="Primate",EXP(0.7847*LN(C274)+3.4931)*S274,
IF(_xlfn.XLOOKUP(E274,Groups!A:A,Groups!N:N)="MiscCarnivora",EXP(0.7486*LN(C274)+4.2207)*S274,
IF(_xlfn.XLOOKUP(E274,Groups!A:A,Groups!N:N)="Lizard",EXP(0.7733*LN(C274)+5.5303)*S274,
IF(_xlfn.XLOOKUP(E274,Groups!A:A,Groups!N:N)="Snake",50*C274^(2/3)*S274,
IF(_xlfn.XLOOKUP(E274,Groups!A:A,Groups!N:N)="StrongBitingHerbivore",87.1133638856975*C274^(2/3)*S274,
IF(_xlfn.XLOOKUP(E274,Groups!A:A,Groups!N:N)="MiscEctotherms",59.4316884072269*C274^(2/3)*S274,
IF(_xlfn.XLOOKUP(E274,Groups!A:A,Groups!N:N)="StrongBeakBird",0.041*(C274*1000)^1.375*S274,
IF(_xlfn.XLOOKUP(E274,Groups!A:A,Groups!N:N)="Bird",0.118*(C274*1000)^0.692*S274,
IF(_xlfn.XLOOKUP(E274,Groups!A:A,Groups!N:N)="Insect",EXP(0.7444*LN(C274)+6.5696)*S274,
IF(_xlfn.XLOOKUP(E274,Groups!A:A,Groups!N:N)="Theropod",EXP(0.6966*LN(C274)+4.158)*S274,
"No"))))))))))))))))</f>
        <v>46920.013280179322</v>
      </c>
      <c r="AU274" s="8">
        <f>IF(_xlfn.XLOOKUP(E274,Groups!A:A,Groups!U:U)=3,AS274,IF(_xlfn.XLOOKUP(E274,Groups!A:A,Groups!U:U)=2,AR274,AT274))</f>
        <v>157072.67416563726</v>
      </c>
      <c r="AV274" s="46">
        <f>IFERROR(AVERAGE(_xlfn.XLOOKUP(B274,Animals!B:B,Animals!N:N),_xlfn.XLOOKUP(B274,Animals!B:B,Animals!O:O)),0)</f>
        <v>1.05</v>
      </c>
      <c r="AW274" s="8">
        <f>MROUND(40*Animals!AO274*_xlfn.XLOOKUP(AG274,Leathers!$A$2:$A$99,Leathers!$B$2:$B$99,0)+(140*_xlfn.XLOOKUP(B274,Animals!B:B,Animals!AO:AO)*2),5)</f>
        <v>1960</v>
      </c>
      <c r="AX274" s="8">
        <f>IFERROR(ROUND(SQRT(V274-1)*IF(_xlfn.XLOOKUP(E274,Groups!A:A,Groups!BF:BF)=0,2,1)*IF(_xlfn.XLOOKUP('Base stats'!E274,Groups!A:A,Groups!O:O)=0,1,0.1),1),0)</f>
        <v>9.5</v>
      </c>
      <c r="AY274" s="8">
        <f t="shared" si="143"/>
        <v>5.6</v>
      </c>
      <c r="AZ274" s="8">
        <f t="shared" si="144"/>
        <v>8.9</v>
      </c>
      <c r="BA274" s="8">
        <f t="shared" si="145"/>
        <v>23.5</v>
      </c>
      <c r="BB274" s="8">
        <f>IF(_xlfn.XLOOKUP(E274,Groups!A:A,Groups!N:N)="Insect",BD274*2.5,IFERROR(AVERAGE(BD274,AT274/9.81/IF(OR(_xlfn.XLOOKUP(E274,Groups!A:A,Groups!N:N)="Pig",_xlfn.XLOOKUP(E274,Groups!A:A,Groups!N:N)="StrongBitingHerbivore"),20,25))*C274^-0.135,BD274))</f>
        <v>40.195105903950676</v>
      </c>
      <c r="BC274" s="8">
        <f>IF(W274="No","No",IF(_xlfn.XLOOKUP(E274,Groups!A:A,Groups!U:U)=1,'Base stats'!BB274,IF(OR(_xlfn.XLOOKUP(E274,Groups!A:A,Groups!BD:BD)=1,_xlfn.XLOOKUP(E274,Groups!A:A,Groups!U:U)=2),BD274,IF(_xlfn.XLOOKUP(B274,Animals!B:B,Animals!AO:AO)&gt;4,AVERAGE(BD274,BF274),BF274))))</f>
        <v>48.123390407718603</v>
      </c>
      <c r="BD274" s="8">
        <f t="shared" si="146"/>
        <v>48.123390407718603</v>
      </c>
      <c r="BE274" s="8">
        <f>IF(_xlfn.XLOOKUP(E274,Groups!A:A,Groups!BE:BE)=1,(0.048*C274^1.01)+(0.071*C274^1.03),0.071*C274^1.03)/IF(_xlfn.XLOOKUP(E274,Groups!A:A,Groups!M:M)=1,0.85,IF(OR(_xlfn.XLOOKUP(B274,Animals!B:B,Animals!AO:AO)&gt;4,_xlfn.XLOOKUP(E274,Groups!A:A,Groups!BC:BC)=1),1.7,1))*C274^-0.25</f>
        <v>65.523824357985504</v>
      </c>
      <c r="BF274" s="8">
        <f>(0.048*C274^1.01)/IF(_xlfn.XLOOKUP(E274,Groups!A:A,Groups!M:M)=1,0.25,0.8)*C274^-0.25</f>
        <v>77.947620178933292</v>
      </c>
      <c r="BG274" s="8">
        <f>EXP(1.076*LN(AR274)-4.5397)*IF(_xlfn.XLOOKUP(E274,Groups!A:A,Groups!BC:BC)=1,1.25,IF(_xlfn.XLOOKUP(E274,Groups!A:A,Groups!BD:BD)=1,3.5,2.5))</f>
        <v>5204.1240430099715</v>
      </c>
      <c r="BH274" s="8">
        <f>EXP(1.076*LN(AS274)-4.5397)*IF(_xlfn.XLOOKUP(E274,Groups!A:A,Groups!M:M)=1,0.8,IF(_xlfn.XLOOKUP(E274,Groups!A:A,Groups!BC:BC)=1,1.3,3))</f>
        <v>4333.7525964195929</v>
      </c>
      <c r="BI274" s="8">
        <f>IF(W274="No","No",IF(_xlfn.XLOOKUP(E274,Groups!A:A,Groups!U:U)=1,'Base stats'!BJ274,IF(OR(_xlfn.XLOOKUP(E274,Groups!A:A,Groups!BD:BD)=1,_xlfn.XLOOKUP(E274,Groups!A:A,Groups!U:U)=2),BG274,BH274))*1.2)</f>
        <v>6244.9488516119654</v>
      </c>
      <c r="BJ274" s="8">
        <f>IFERROR(EXP(1.076*LN(AT274)-4.5397)*IF(_xlfn.XLOOKUP(E274,Groups!A:A,Groups!N:N)="Insect",1,IF(OR(_xlfn.XLOOKUP(E274,Groups!A:A,Groups!N:N)="Pig",_xlfn.XLOOKUP(E274,Groups!A:A,Groups!N:N)="StrongBitingHerbivore"),3.5,3.75)),"No")</f>
        <v>3970.8431156062097</v>
      </c>
      <c r="BK274" s="8">
        <f t="shared" si="147"/>
        <v>14</v>
      </c>
      <c r="BL274" s="8">
        <f t="shared" si="148"/>
        <v>11</v>
      </c>
      <c r="BM274" s="8">
        <f t="shared" si="149"/>
        <v>16</v>
      </c>
      <c r="BN274" s="8">
        <f t="shared" si="150"/>
        <v>14</v>
      </c>
      <c r="BO274" s="8">
        <f t="shared" si="151"/>
        <v>10</v>
      </c>
      <c r="BP274" s="8" cm="1">
        <f t="array" ref="BP274">IF(AND(_xlfn.XLOOKUP('Base stats'!E274,Groups!A:A,Groups!AD:AD=0),_xlfn.XLOOKUP('Base stats'!E274,Groups!A:A,Groups!P:P=0)),"No",IF(U274="No",AVERAGE(EXP(-0.57+0.99*LN(C274)),EXP(0.32+0.67*LN(C274)))/IF(_xlfn.XLOOKUP(E274,Groups!A:A,Groups!AD:AD)=1,10,2),(0.7354*C274^0.4078)*2/IF(_xlfn.XLOOKUP(E274,Groups!A:A,Groups!BK:BK)=1,1000,100)/IF(_xlfn.XLOOKUP(E274,Groups!A:A,Groups!AJ:AJ)="Photonozoa",3,1)))</f>
        <v>6.8908615542662463E-2</v>
      </c>
      <c r="BQ274" s="8">
        <f>IF(W274="No","No",IF(_xlfn.XLOOKUP(E274,Groups!A:A,Groups!BD:BD)=1,(AO274*5%),EXP(0.7354*LN(C274)^0.4078)*2/IF(_xlfn.XLOOKUP(E274,Groups!A:A,Groups!BL:BL)=1,1000,100)/IF(_xlfn.XLOOKUP(E274,Groups!A:A,Groups!AJ:AJ)="Photonozoa",3,1)))</f>
        <v>1.2549289045750445E-2</v>
      </c>
      <c r="BR274" s="8">
        <f>IF(BJ274="No","No",IF(_xlfn.XLOOKUP(E274,Groups!A:A,Groups!BF:BF)=1,(0.0315*C274+2.1825)*2,(0.7354*C274^0.4078)*2)/IF(_xlfn.XLOOKUP(E274,Groups!A:A,Groups!BM:BM)=1,1000,100)/IF(_xlfn.XLOOKUP(E274,Groups!A:A,Groups!AJ:AJ)="Photonozoa",3,1))</f>
        <v>6.8908615542662463E-2</v>
      </c>
      <c r="BS274" s="8">
        <f t="shared" si="152"/>
        <v>0.20373382929108774</v>
      </c>
      <c r="BT274" s="8">
        <f t="shared" si="153"/>
        <v>62891.302666449526</v>
      </c>
      <c r="BU274" s="8">
        <f t="shared" si="154"/>
        <v>497633.67700313567</v>
      </c>
      <c r="BV274" s="8">
        <f t="shared" si="155"/>
        <v>57624.769912084434</v>
      </c>
      <c r="BW274" s="4">
        <v>0</v>
      </c>
      <c r="BX274" s="4">
        <v>1</v>
      </c>
    </row>
    <row r="275" spans="1:76" s="16" customFormat="1" x14ac:dyDescent="0.25">
      <c r="A275" s="26" t="s">
        <v>1602</v>
      </c>
      <c r="B275" s="6" t="s">
        <v>1696</v>
      </c>
      <c r="C275" s="7">
        <v>300</v>
      </c>
      <c r="D275" s="7" t="s">
        <v>528</v>
      </c>
      <c r="E275" s="7" t="str">
        <f>Groups!$A$98</f>
        <v>AlphaBeast</v>
      </c>
      <c r="F275" s="7">
        <f>ROUND(7.545*(C275*1000)^0.2689,0)</f>
        <v>224</v>
      </c>
      <c r="G275" s="7">
        <v>1.2</v>
      </c>
      <c r="H275" s="7">
        <v>25</v>
      </c>
      <c r="I275" s="4">
        <v>1</v>
      </c>
      <c r="J275" s="7">
        <v>1</v>
      </c>
      <c r="K275" s="7" t="s">
        <v>528</v>
      </c>
      <c r="L275" s="7">
        <f>MIN(97.8*C275^-0.094,114.4 *C275^-0.13)</f>
        <v>54.500471730671563</v>
      </c>
      <c r="M275" s="7" t="s">
        <v>626</v>
      </c>
      <c r="N275" s="4">
        <v>0</v>
      </c>
      <c r="O275" s="4">
        <v>0</v>
      </c>
      <c r="P275" s="4">
        <v>0</v>
      </c>
      <c r="Q275" s="4">
        <v>0</v>
      </c>
      <c r="R275" s="4" t="s">
        <v>40</v>
      </c>
      <c r="S275" s="7">
        <f>_xlfn.XLOOKUP(B275,[1]TeethAdjusters!$A:$A,[1]BiteAdjusters!$C:$C,1)</f>
        <v>1</v>
      </c>
      <c r="T275" s="7">
        <f>_xlfn.XLOOKUP(B275,[1]TeethAdjusters!$A:$A,[1]TeethAdjusters!$B:$B,1)</f>
        <v>1</v>
      </c>
      <c r="U275" s="7" t="s">
        <v>45</v>
      </c>
      <c r="V275" s="7">
        <v>7</v>
      </c>
      <c r="W275" s="7">
        <v>20</v>
      </c>
      <c r="X275" s="7" t="s">
        <v>932</v>
      </c>
      <c r="Y275" s="4" t="s">
        <v>42</v>
      </c>
      <c r="Z275" s="4">
        <v>1</v>
      </c>
      <c r="AA275" s="4">
        <v>0</v>
      </c>
      <c r="AB275" s="4">
        <v>0</v>
      </c>
      <c r="AC275" s="4">
        <v>0</v>
      </c>
      <c r="AD275" s="4">
        <v>0</v>
      </c>
      <c r="AE275" s="4" t="s">
        <v>45</v>
      </c>
      <c r="AF275" s="4" t="s">
        <v>45</v>
      </c>
      <c r="AG275" s="49" t="s">
        <v>395</v>
      </c>
      <c r="AH275" s="4" t="str">
        <f>Animals!$C$27</f>
        <v>&lt;li&gt;Thrumbo&lt;/li&gt;</v>
      </c>
      <c r="AI275" s="4">
        <v>0</v>
      </c>
      <c r="AJ275" s="4">
        <v>0</v>
      </c>
      <c r="AK275" s="4">
        <v>0</v>
      </c>
      <c r="AL275" s="4">
        <v>0</v>
      </c>
      <c r="AM275" s="4">
        <v>1</v>
      </c>
      <c r="AN275" s="44" t="s">
        <v>40</v>
      </c>
      <c r="AO275" s="8">
        <f t="shared" si="141"/>
        <v>45232.625241713278</v>
      </c>
      <c r="AP275" s="8">
        <f>IFERROR(C275*_xlfn.XLOOKUP(E275,Groups!A:A,Groups!K:K),0.106*C275^0.94)</f>
        <v>22.583946935692541</v>
      </c>
      <c r="AQ275" s="8">
        <f>AP275*10000/(_xlfn.XLOOKUP(E275,Groups!A:A,Groups!J:J)*AO275)</f>
        <v>3.8406497037870437</v>
      </c>
      <c r="AR275" s="8">
        <f t="shared" si="142"/>
        <v>6727.6760861471967</v>
      </c>
      <c r="AS275" s="8">
        <f>IF(_xlfn.XLOOKUP(E275,Groups!A:A,Groups!M:M)=1,EXP(0.7444*LN('Base stats'!C275)+6.5696),EXP(0.7927*LN('Base stats'!C275)+4.28))</f>
        <v>6643.4611730321203</v>
      </c>
      <c r="AT275" s="8">
        <f>IF(_xlfn.XLOOKUP(E275,Groups!A:A,Groups!N:N)="No","No",
IF(_xlfn.XLOOKUP(E275,Groups!A:A,Groups!N:N)="Crocodile",EXP(0.8129*LN(C275)+4.6742)*S275,
IF(_xlfn.XLOOKUP(E275,Groups!A:A,Groups!N:N)="Felid",EXP(0.7843*LN(C275)+4.7073)*S275,
IF(_xlfn.XLOOKUP(E275,Groups!A:A,Groups!N:N)="Canid",EXP(0.8367*LN(C275)+4.8763)*S275,
IF(_xlfn.XLOOKUP(E275,Groups!A:A,Groups!N:N)="Pig",EXP(0.3439*LN(C275)+6.8519)*S275,
IF(_xlfn.XLOOKUP(E275,Groups!A:A,Groups!N:N)="Rodent",EXP(0.5625*LN(C275)+4.3006)*S275,
IF(_xlfn.XLOOKUP(E275,Groups!A:A,Groups!N:N)="Primate",EXP(0.7847*LN(C275)+3.4931)*S275,
IF(_xlfn.XLOOKUP(E275,Groups!A:A,Groups!N:N)="MiscCarnivora",EXP(0.7486*LN(C275)+4.2207)*S275,
IF(_xlfn.XLOOKUP(E275,Groups!A:A,Groups!N:N)="Lizard",EXP(0.7733*LN(C275)+5.5303)*S275,
IF(_xlfn.XLOOKUP(E275,Groups!A:A,Groups!N:N)="Snake",50*C275^(2/3)*S275,
IF(_xlfn.XLOOKUP(E275,Groups!A:A,Groups!N:N)="StrongBitingHerbivore",87.1133638856975*C275^(2/3)*S275,
IF(_xlfn.XLOOKUP(E275,Groups!A:A,Groups!N:N)="MiscEctotherms",59.4316884072269*C275^(2/3)*S275,
IF(_xlfn.XLOOKUP(E275,Groups!A:A,Groups!N:N)="StrongBeakBird",0.041*(C275*1000)^1.375*S275,
IF(_xlfn.XLOOKUP(E275,Groups!A:A,Groups!N:N)="Bird",0.118*(C275*1000)^0.692*S275,
IF(_xlfn.XLOOKUP(E275,Groups!A:A,Groups!N:N)="Insect",EXP(0.7444*LN(C275)+6.5696)*S275,
IF(_xlfn.XLOOKUP(E275,Groups!A:A,Groups!N:N)="Theropod",EXP(0.6966*LN(C275)+4.158)*S275,
"No"))))))))))))))))</f>
        <v>3903.9024240592607</v>
      </c>
      <c r="AU275" s="8">
        <f>IF(_xlfn.XLOOKUP(E275,Groups!A:A,Groups!U:U)=3,AS275,IF(_xlfn.XLOOKUP(E275,Groups!A:A,Groups!U:U)=2,AR275,AT275))</f>
        <v>6727.6760861471967</v>
      </c>
      <c r="AV275" s="46">
        <f>IFERROR(AVERAGE(_xlfn.XLOOKUP(B275,Animals!B:B,Animals!N:N),_xlfn.XLOOKUP(B275,Animals!B:B,Animals!O:O)),0)</f>
        <v>0.875</v>
      </c>
      <c r="AW275" s="8">
        <f>MROUND(40*Animals!AO275*_xlfn.XLOOKUP(AG275,Leathers!$A$2:$A$99,Leathers!$B$2:$B$99,0)+(140*_xlfn.XLOOKUP(B275,Animals!B:B,Animals!AO:AO)*2),5)</f>
        <v>1330</v>
      </c>
      <c r="AX275" s="8">
        <f>IFERROR(ROUND(SQRT(V275-1)*IF(_xlfn.XLOOKUP(E275,Groups!A:A,Groups!BF:BF)=0,2,1)*IF(_xlfn.XLOOKUP('Base stats'!E275,Groups!A:A,Groups!O:O)=0,1,0.1),1),0)</f>
        <v>4.9000000000000004</v>
      </c>
      <c r="AY275" s="8">
        <f t="shared" si="143"/>
        <v>0</v>
      </c>
      <c r="AZ275" s="8">
        <f t="shared" si="144"/>
        <v>4.5</v>
      </c>
      <c r="BA275" s="8">
        <f t="shared" si="145"/>
        <v>6.2</v>
      </c>
      <c r="BB275" s="8">
        <f>IF(_xlfn.XLOOKUP(E275,Groups!A:A,Groups!N:N)="Insect",BD275*2.5,IFERROR(AVERAGE(BD275,AT275/9.81/IF(OR(_xlfn.XLOOKUP(E275,Groups!A:A,Groups!N:N)="Pig",_xlfn.XLOOKUP(E275,Groups!A:A,Groups!N:N)="StrongBitingHerbivore"),20,25))*C275^-0.135,BD275))</f>
        <v>5.2756263864091508</v>
      </c>
      <c r="BC275" s="8">
        <f>IF(W275="No","No",IF(_xlfn.XLOOKUP(E275,Groups!A:A,Groups!U:U)=1,'Base stats'!BB275,IF(OR(_xlfn.XLOOKUP(E275,Groups!A:A,Groups!BD:BD)=1,_xlfn.XLOOKUP(E275,Groups!A:A,Groups!U:U)=2),BD275,IF(_xlfn.XLOOKUP(B275,Animals!B:B,Animals!AO:AO)&gt;4,AVERAGE(BD275,BF275),BF275))))</f>
        <v>2.8909161352458521</v>
      </c>
      <c r="BD275" s="8">
        <f t="shared" si="146"/>
        <v>2.8909161352458521</v>
      </c>
      <c r="BE275" s="8">
        <f>IF(_xlfn.XLOOKUP(E275,Groups!A:A,Groups!BE:BE)=1,(0.048*C275^1.01)+(0.071*C275^1.03),0.071*C275^1.03)/IF(_xlfn.XLOOKUP(E275,Groups!A:A,Groups!M:M)=1,0.85,IF(OR(_xlfn.XLOOKUP(B275,Animals!B:B,Animals!AO:AO)&gt;4,_xlfn.XLOOKUP(E275,Groups!A:A,Groups!BC:BC)=1),1.7,1))*C275^-0.25</f>
        <v>6.0731348911819296</v>
      </c>
      <c r="BF275" s="8">
        <f>(0.048*C275^1.01)/IF(_xlfn.XLOOKUP(E275,Groups!A:A,Groups!M:M)=1,0.25,0.8)*C275^-0.25</f>
        <v>4.5789236700969242</v>
      </c>
      <c r="BG275" s="8">
        <f>EXP(1.076*LN(AR275)-4.5397)*IF(_xlfn.XLOOKUP(E275,Groups!A:A,Groups!BC:BC)=1,1.25,IF(_xlfn.XLOOKUP(E275,Groups!A:A,Groups!BD:BD)=1,3.5,2.5))</f>
        <v>350.87802378928848</v>
      </c>
      <c r="BH275" s="8">
        <f>EXP(1.076*LN(AS275)-4.5397)*IF(_xlfn.XLOOKUP(E275,Groups!A:A,Groups!M:M)=1,0.8,IF(_xlfn.XLOOKUP(E275,Groups!A:A,Groups!BC:BC)=1,1.3,3))</f>
        <v>415.38515421333557</v>
      </c>
      <c r="BI275" s="8">
        <f>IF(W275="No","No",IF(_xlfn.XLOOKUP(E275,Groups!A:A,Groups!U:U)=1,'Base stats'!BJ275,IF(OR(_xlfn.XLOOKUP(E275,Groups!A:A,Groups!BD:BD)=1,_xlfn.XLOOKUP(E275,Groups!A:A,Groups!U:U)=2),BG275,BH275))*1.2)</f>
        <v>421.05362854714616</v>
      </c>
      <c r="BJ275" s="8">
        <f>IFERROR(EXP(1.076*LN(AT275)-4.5397)*IF(_xlfn.XLOOKUP(E275,Groups!A:A,Groups!N:N)="Insect",1,IF(OR(_xlfn.XLOOKUP(E275,Groups!A:A,Groups!N:N)="Pig",_xlfn.XLOOKUP(E275,Groups!A:A,Groups!N:N)="StrongBitingHerbivore"),3.5,3.75)),"No")</f>
        <v>273.49806594442816</v>
      </c>
      <c r="BK275" s="8">
        <f t="shared" si="147"/>
        <v>15</v>
      </c>
      <c r="BL275" s="8">
        <f t="shared" si="148"/>
        <v>11</v>
      </c>
      <c r="BM275" s="8">
        <f t="shared" si="149"/>
        <v>17</v>
      </c>
      <c r="BN275" s="8">
        <f t="shared" si="150"/>
        <v>10</v>
      </c>
      <c r="BO275" s="8">
        <f t="shared" si="151"/>
        <v>13</v>
      </c>
      <c r="BP275" s="8" cm="1">
        <f t="array" ref="BP275">IF(AND(_xlfn.XLOOKUP('Base stats'!E275,Groups!A:A,Groups!AD:AD=0),_xlfn.XLOOKUP('Base stats'!E275,Groups!A:A,Groups!P:P=0)),"No",IF(U275="No",AVERAGE(EXP(-0.57+0.99*LN(C275)),EXP(0.32+0.67*LN(C275)))/IF(_xlfn.XLOOKUP(E275,Groups!A:A,Groups!AD:AD)=1,10,2),(0.7354*C275^0.4078)*2/IF(_xlfn.XLOOKUP(E275,Groups!A:A,Groups!BK:BK)=1,1000,100)/IF(_xlfn.XLOOKUP(E275,Groups!A:A,Groups!AJ:AJ)="Photonozoa",3,1)))</f>
        <v>55.78769554750513</v>
      </c>
      <c r="BQ275" s="8">
        <f>IF(W275="No","No",IF(_xlfn.XLOOKUP(E275,Groups!A:A,Groups!BD:BD)=1,(AO275*5%),EXP(0.7354*LN(C275)^0.4078)*2/IF(_xlfn.XLOOKUP(E275,Groups!A:A,Groups!BL:BL)=1,1000,100)/IF(_xlfn.XLOOKUP(E275,Groups!A:A,Groups!AJ:AJ)="Photonozoa",3,1)))</f>
        <v>8.9262213086682366E-3</v>
      </c>
      <c r="BR275" s="8">
        <f>IF(BJ275="No","No",IF(_xlfn.XLOOKUP(E275,Groups!A:A,Groups!BF:BF)=1,(0.0315*C275+2.1825)*2,(0.7354*C275^0.4078)*2)/IF(_xlfn.XLOOKUP(E275,Groups!A:A,Groups!BM:BM)=1,1000,100)/IF(_xlfn.XLOOKUP(E275,Groups!A:A,Groups!AJ:AJ)="Photonozoa",3,1))</f>
        <v>1.5056487532717558E-2</v>
      </c>
      <c r="BS275" s="8">
        <f t="shared" si="152"/>
        <v>0.15514378036396204</v>
      </c>
      <c r="BT275" s="8">
        <f t="shared" si="153"/>
        <v>7.4458202680127004</v>
      </c>
      <c r="BU275" s="8">
        <f t="shared" si="154"/>
        <v>47170.422285885048</v>
      </c>
      <c r="BV275" s="8">
        <f t="shared" si="155"/>
        <v>18164.798752040959</v>
      </c>
      <c r="BW275" s="4">
        <v>0</v>
      </c>
      <c r="BX275" s="4">
        <v>1</v>
      </c>
    </row>
    <row r="276" spans="1:76" s="16" customFormat="1" x14ac:dyDescent="0.25">
      <c r="A276" s="26" t="s">
        <v>1592</v>
      </c>
      <c r="B276" s="6" t="s">
        <v>1694</v>
      </c>
      <c r="C276" s="7">
        <v>300</v>
      </c>
      <c r="D276" s="7" t="s">
        <v>528</v>
      </c>
      <c r="E276" s="7" t="str">
        <f>Groups!$A$98</f>
        <v>AlphaBeast</v>
      </c>
      <c r="F276" s="7">
        <f>ROUND(7.545*(C276*1000)^0.2689,0)</f>
        <v>224</v>
      </c>
      <c r="G276" s="7">
        <v>1.2</v>
      </c>
      <c r="H276" s="7">
        <v>25</v>
      </c>
      <c r="I276" s="4">
        <v>1</v>
      </c>
      <c r="J276" s="7">
        <v>1</v>
      </c>
      <c r="K276" s="7" t="s">
        <v>528</v>
      </c>
      <c r="L276" s="7">
        <f>MIN(97.8*C276^-0.094,114.4 *C276^-0.13)</f>
        <v>54.500471730671563</v>
      </c>
      <c r="M276" s="7" t="s">
        <v>626</v>
      </c>
      <c r="N276" s="4">
        <v>0</v>
      </c>
      <c r="O276" s="4">
        <v>0</v>
      </c>
      <c r="P276" s="4">
        <v>0</v>
      </c>
      <c r="Q276" s="4">
        <v>0</v>
      </c>
      <c r="R276" s="4" t="s">
        <v>40</v>
      </c>
      <c r="S276" s="7">
        <f>_xlfn.XLOOKUP(B276,[1]TeethAdjusters!$A:$A,[1]BiteAdjusters!$C:$C,1)</f>
        <v>1</v>
      </c>
      <c r="T276" s="7">
        <f>_xlfn.XLOOKUP(B276,[1]TeethAdjusters!$A:$A,[1]TeethAdjusters!$B:$B,1)</f>
        <v>1</v>
      </c>
      <c r="U276" s="7" t="s">
        <v>45</v>
      </c>
      <c r="V276" s="7">
        <v>7</v>
      </c>
      <c r="W276" s="7">
        <v>20</v>
      </c>
      <c r="X276" s="7" t="s">
        <v>932</v>
      </c>
      <c r="Y276" s="4" t="s">
        <v>42</v>
      </c>
      <c r="Z276" s="4">
        <v>1</v>
      </c>
      <c r="AA276" s="4">
        <v>0</v>
      </c>
      <c r="AB276" s="4">
        <v>0</v>
      </c>
      <c r="AC276" s="4">
        <v>0</v>
      </c>
      <c r="AD276" s="4">
        <v>0</v>
      </c>
      <c r="AE276" s="4" t="s">
        <v>45</v>
      </c>
      <c r="AF276" s="4" t="s">
        <v>45</v>
      </c>
      <c r="AG276" s="49" t="s">
        <v>395</v>
      </c>
      <c r="AH276" s="4" t="str">
        <f>Animals!$C$27</f>
        <v>&lt;li&gt;Thrumbo&lt;/li&gt;</v>
      </c>
      <c r="AI276" s="4">
        <v>0</v>
      </c>
      <c r="AJ276" s="4">
        <v>0</v>
      </c>
      <c r="AK276" s="4">
        <v>0</v>
      </c>
      <c r="AL276" s="4">
        <v>0</v>
      </c>
      <c r="AM276" s="4">
        <v>1</v>
      </c>
      <c r="AN276" s="44" t="s">
        <v>40</v>
      </c>
      <c r="AO276" s="8">
        <f t="shared" si="141"/>
        <v>45232.625241713278</v>
      </c>
      <c r="AP276" s="8">
        <f>IFERROR(C276*_xlfn.XLOOKUP(E276,Groups!A:A,Groups!K:K),0.106*C276^0.94)</f>
        <v>22.583946935692541</v>
      </c>
      <c r="AQ276" s="8">
        <f>AP276*10000/(_xlfn.XLOOKUP(E276,Groups!A:A,Groups!J:J)*AO276)</f>
        <v>3.8406497037870437</v>
      </c>
      <c r="AR276" s="8">
        <f t="shared" si="142"/>
        <v>6727.6760861471967</v>
      </c>
      <c r="AS276" s="8">
        <f>IF(_xlfn.XLOOKUP(E276,Groups!A:A,Groups!M:M)=1,EXP(0.7444*LN('Base stats'!C276)+6.5696),EXP(0.7927*LN('Base stats'!C276)+4.28))</f>
        <v>6643.4611730321203</v>
      </c>
      <c r="AT276" s="8">
        <f>IF(_xlfn.XLOOKUP(E276,Groups!A:A,Groups!N:N)="No","No",
IF(_xlfn.XLOOKUP(E276,Groups!A:A,Groups!N:N)="Crocodile",EXP(0.8129*LN(C276)+4.6742)*S276,
IF(_xlfn.XLOOKUP(E276,Groups!A:A,Groups!N:N)="Felid",EXP(0.7843*LN(C276)+4.7073)*S276,
IF(_xlfn.XLOOKUP(E276,Groups!A:A,Groups!N:N)="Canid",EXP(0.8367*LN(C276)+4.8763)*S276,
IF(_xlfn.XLOOKUP(E276,Groups!A:A,Groups!N:N)="Pig",EXP(0.3439*LN(C276)+6.8519)*S276,
IF(_xlfn.XLOOKUP(E276,Groups!A:A,Groups!N:N)="Rodent",EXP(0.5625*LN(C276)+4.3006)*S276,
IF(_xlfn.XLOOKUP(E276,Groups!A:A,Groups!N:N)="Primate",EXP(0.7847*LN(C276)+3.4931)*S276,
IF(_xlfn.XLOOKUP(E276,Groups!A:A,Groups!N:N)="MiscCarnivora",EXP(0.7486*LN(C276)+4.2207)*S276,
IF(_xlfn.XLOOKUP(E276,Groups!A:A,Groups!N:N)="Lizard",EXP(0.7733*LN(C276)+5.5303)*S276,
IF(_xlfn.XLOOKUP(E276,Groups!A:A,Groups!N:N)="Snake",50*C276^(2/3)*S276,
IF(_xlfn.XLOOKUP(E276,Groups!A:A,Groups!N:N)="StrongBitingHerbivore",87.1133638856975*C276^(2/3)*S276,
IF(_xlfn.XLOOKUP(E276,Groups!A:A,Groups!N:N)="MiscEctotherms",59.4316884072269*C276^(2/3)*S276,
IF(_xlfn.XLOOKUP(E276,Groups!A:A,Groups!N:N)="StrongBeakBird",0.041*(C276*1000)^1.375*S276,
IF(_xlfn.XLOOKUP(E276,Groups!A:A,Groups!N:N)="Bird",0.118*(C276*1000)^0.692*S276,
IF(_xlfn.XLOOKUP(E276,Groups!A:A,Groups!N:N)="Insect",EXP(0.7444*LN(C276)+6.5696)*S276,
IF(_xlfn.XLOOKUP(E276,Groups!A:A,Groups!N:N)="Theropod",EXP(0.6966*LN(C276)+4.158)*S276,
"No"))))))))))))))))</f>
        <v>3903.9024240592607</v>
      </c>
      <c r="AU276" s="8">
        <f>IF(_xlfn.XLOOKUP(E276,Groups!A:A,Groups!U:U)=3,AS276,IF(_xlfn.XLOOKUP(E276,Groups!A:A,Groups!U:U)=2,AR276,AT276))</f>
        <v>6727.6760861471967</v>
      </c>
      <c r="AV276" s="46">
        <f>IFERROR(AVERAGE(_xlfn.XLOOKUP(B276,Animals!B:B,Animals!N:N),_xlfn.XLOOKUP(B276,Animals!B:B,Animals!O:O)),0)</f>
        <v>0.875</v>
      </c>
      <c r="AW276" s="8">
        <f>MROUND(40*Animals!AO276*_xlfn.XLOOKUP(AG276,Leathers!$A$2:$A$99,Leathers!$B$2:$B$99,0)+(140*_xlfn.XLOOKUP(B276,Animals!B:B,Animals!AO:AO)*2),5)</f>
        <v>1050</v>
      </c>
      <c r="AX276" s="8">
        <f>IFERROR(ROUND(SQRT(V276-1)*IF(_xlfn.XLOOKUP(E276,Groups!A:A,Groups!BF:BF)=0,2,1)*IF(_xlfn.XLOOKUP('Base stats'!E276,Groups!A:A,Groups!O:O)=0,1,0.1),1),0)</f>
        <v>4.9000000000000004</v>
      </c>
      <c r="AY276" s="8">
        <f t="shared" si="143"/>
        <v>0</v>
      </c>
      <c r="AZ276" s="8">
        <f t="shared" si="144"/>
        <v>4.5</v>
      </c>
      <c r="BA276" s="8">
        <f t="shared" si="145"/>
        <v>6.2</v>
      </c>
      <c r="BB276" s="8">
        <f>IF(_xlfn.XLOOKUP(E276,Groups!A:A,Groups!N:N)="Insect",BD276*2.5,IFERROR(AVERAGE(BD276,AT276/9.81/IF(OR(_xlfn.XLOOKUP(E276,Groups!A:A,Groups!N:N)="Pig",_xlfn.XLOOKUP(E276,Groups!A:A,Groups!N:N)="StrongBitingHerbivore"),20,25))*C276^-0.135,BD276))</f>
        <v>5.2756263864091508</v>
      </c>
      <c r="BC276" s="8">
        <f>IF(W276="No","No",IF(_xlfn.XLOOKUP(E276,Groups!A:A,Groups!U:U)=1,'Base stats'!BB276,IF(OR(_xlfn.XLOOKUP(E276,Groups!A:A,Groups!BD:BD)=1,_xlfn.XLOOKUP(E276,Groups!A:A,Groups!U:U)=2),BD276,IF(_xlfn.XLOOKUP(B276,Animals!B:B,Animals!AO:AO)&gt;4,AVERAGE(BD276,BF276),BF276))))</f>
        <v>2.8909161352458521</v>
      </c>
      <c r="BD276" s="8">
        <f t="shared" si="146"/>
        <v>2.8909161352458521</v>
      </c>
      <c r="BE276" s="8">
        <f>IF(_xlfn.XLOOKUP(E276,Groups!A:A,Groups!BE:BE)=1,(0.048*C276^1.01)+(0.071*C276^1.03),0.071*C276^1.03)/IF(_xlfn.XLOOKUP(E276,Groups!A:A,Groups!M:M)=1,0.85,IF(OR(_xlfn.XLOOKUP(B276,Animals!B:B,Animals!AO:AO)&gt;4,_xlfn.XLOOKUP(E276,Groups!A:A,Groups!BC:BC)=1),1.7,1))*C276^-0.25</f>
        <v>6.0731348911819296</v>
      </c>
      <c r="BF276" s="8">
        <f>(0.048*C276^1.01)/IF(_xlfn.XLOOKUP(E276,Groups!A:A,Groups!M:M)=1,0.25,0.8)*C276^-0.25</f>
        <v>4.5789236700969242</v>
      </c>
      <c r="BG276" s="8">
        <f>EXP(1.076*LN(AR276)-4.5397)*IF(_xlfn.XLOOKUP(E276,Groups!A:A,Groups!BC:BC)=1,1.25,IF(_xlfn.XLOOKUP(E276,Groups!A:A,Groups!BD:BD)=1,3.5,2.5))</f>
        <v>350.87802378928848</v>
      </c>
      <c r="BH276" s="8">
        <f>EXP(1.076*LN(AS276)-4.5397)*IF(_xlfn.XLOOKUP(E276,Groups!A:A,Groups!M:M)=1,0.8,IF(_xlfn.XLOOKUP(E276,Groups!A:A,Groups!BC:BC)=1,1.3,3))</f>
        <v>415.38515421333557</v>
      </c>
      <c r="BI276" s="8">
        <f>IF(W276="No","No",IF(_xlfn.XLOOKUP(E276,Groups!A:A,Groups!U:U)=1,'Base stats'!BJ276,IF(OR(_xlfn.XLOOKUP(E276,Groups!A:A,Groups!BD:BD)=1,_xlfn.XLOOKUP(E276,Groups!A:A,Groups!U:U)=2),BG276,BH276))*1.2)</f>
        <v>421.05362854714616</v>
      </c>
      <c r="BJ276" s="8">
        <f>IFERROR(EXP(1.076*LN(AT276)-4.5397)*IF(_xlfn.XLOOKUP(E276,Groups!A:A,Groups!N:N)="Insect",1,IF(OR(_xlfn.XLOOKUP(E276,Groups!A:A,Groups!N:N)="Pig",_xlfn.XLOOKUP(E276,Groups!A:A,Groups!N:N)="StrongBitingHerbivore"),3.5,3.75)),"No")</f>
        <v>273.49806594442816</v>
      </c>
      <c r="BK276" s="8">
        <f t="shared" si="147"/>
        <v>15</v>
      </c>
      <c r="BL276" s="8">
        <f t="shared" si="148"/>
        <v>11</v>
      </c>
      <c r="BM276" s="8">
        <f t="shared" si="149"/>
        <v>17</v>
      </c>
      <c r="BN276" s="8">
        <f t="shared" si="150"/>
        <v>10</v>
      </c>
      <c r="BO276" s="8">
        <f t="shared" si="151"/>
        <v>13</v>
      </c>
      <c r="BP276" s="8" cm="1">
        <f t="array" ref="BP276">IF(AND(_xlfn.XLOOKUP('Base stats'!E276,Groups!A:A,Groups!AD:AD=0),_xlfn.XLOOKUP('Base stats'!E276,Groups!A:A,Groups!P:P=0)),"No",IF(U276="No",AVERAGE(EXP(-0.57+0.99*LN(C276)),EXP(0.32+0.67*LN(C276)))/IF(_xlfn.XLOOKUP(E276,Groups!A:A,Groups!AD:AD)=1,10,2),(0.7354*C276^0.4078)*2/IF(_xlfn.XLOOKUP(E276,Groups!A:A,Groups!BK:BK)=1,1000,100)/IF(_xlfn.XLOOKUP(E276,Groups!A:A,Groups!AJ:AJ)="Photonozoa",3,1)))</f>
        <v>55.78769554750513</v>
      </c>
      <c r="BQ276" s="8">
        <f>IF(W276="No","No",IF(_xlfn.XLOOKUP(E276,Groups!A:A,Groups!BD:BD)=1,(AO276*5%),EXP(0.7354*LN(C276)^0.4078)*2/IF(_xlfn.XLOOKUP(E276,Groups!A:A,Groups!BL:BL)=1,1000,100)/IF(_xlfn.XLOOKUP(E276,Groups!A:A,Groups!AJ:AJ)="Photonozoa",3,1)))</f>
        <v>8.9262213086682366E-3</v>
      </c>
      <c r="BR276" s="8">
        <f>IF(BJ276="No","No",IF(_xlfn.XLOOKUP(E276,Groups!A:A,Groups!BF:BF)=1,(0.0315*C276+2.1825)*2,(0.7354*C276^0.4078)*2)/IF(_xlfn.XLOOKUP(E276,Groups!A:A,Groups!BM:BM)=1,1000,100)/IF(_xlfn.XLOOKUP(E276,Groups!A:A,Groups!AJ:AJ)="Photonozoa",3,1))</f>
        <v>1.5056487532717558E-2</v>
      </c>
      <c r="BS276" s="8">
        <f t="shared" si="152"/>
        <v>0.15514378036396204</v>
      </c>
      <c r="BT276" s="8">
        <f t="shared" si="153"/>
        <v>7.4458202680127004</v>
      </c>
      <c r="BU276" s="8">
        <f t="shared" si="154"/>
        <v>47170.422285885048</v>
      </c>
      <c r="BV276" s="8">
        <f t="shared" si="155"/>
        <v>18164.798752040959</v>
      </c>
      <c r="BW276" s="4">
        <v>0</v>
      </c>
      <c r="BX276" s="4">
        <v>1</v>
      </c>
    </row>
    <row r="277" spans="1:76" s="16" customFormat="1" x14ac:dyDescent="0.25">
      <c r="A277" s="26" t="s">
        <v>1408</v>
      </c>
      <c r="B277" s="6" t="s">
        <v>1836</v>
      </c>
      <c r="C277" s="7">
        <v>300</v>
      </c>
      <c r="D277" s="7" t="s">
        <v>528</v>
      </c>
      <c r="E277" s="7" t="str">
        <f>Groups!$A$98</f>
        <v>AlphaBeast</v>
      </c>
      <c r="F277" s="7">
        <f>ROUND(7.545*(C277*1000)^0.2689,0)</f>
        <v>224</v>
      </c>
      <c r="G277" s="7">
        <v>1.2</v>
      </c>
      <c r="H277" s="7">
        <v>25</v>
      </c>
      <c r="I277" s="4">
        <v>1</v>
      </c>
      <c r="J277" s="7">
        <v>1</v>
      </c>
      <c r="K277" s="7" t="s">
        <v>528</v>
      </c>
      <c r="L277" s="7">
        <f>MIN(97.8*C277^-0.094,114.4 *C277^-0.13)</f>
        <v>54.500471730671563</v>
      </c>
      <c r="M277" s="7" t="s">
        <v>626</v>
      </c>
      <c r="N277" s="4">
        <v>0</v>
      </c>
      <c r="O277" s="4">
        <v>0</v>
      </c>
      <c r="P277" s="4">
        <v>0</v>
      </c>
      <c r="Q277" s="4">
        <v>0</v>
      </c>
      <c r="R277" s="4" t="s">
        <v>40</v>
      </c>
      <c r="S277" s="7">
        <f>_xlfn.XLOOKUP(B277,[1]TeethAdjusters!$A:$A,[1]BiteAdjusters!$C:$C,1)</f>
        <v>1</v>
      </c>
      <c r="T277" s="7">
        <f>_xlfn.XLOOKUP(B277,[1]TeethAdjusters!$A:$A,[1]TeethAdjusters!$B:$B,1)</f>
        <v>1</v>
      </c>
      <c r="U277" s="7" t="s">
        <v>45</v>
      </c>
      <c r="V277" s="7">
        <v>7</v>
      </c>
      <c r="W277" s="7">
        <v>20</v>
      </c>
      <c r="X277" s="7" t="s">
        <v>932</v>
      </c>
      <c r="Y277" s="4" t="s">
        <v>42</v>
      </c>
      <c r="Z277" s="4">
        <v>1</v>
      </c>
      <c r="AA277" s="4">
        <v>0</v>
      </c>
      <c r="AB277" s="4">
        <v>0</v>
      </c>
      <c r="AC277" s="4">
        <v>0</v>
      </c>
      <c r="AD277" s="4">
        <v>0</v>
      </c>
      <c r="AE277" s="4" t="s">
        <v>45</v>
      </c>
      <c r="AF277" s="4" t="s">
        <v>45</v>
      </c>
      <c r="AG277" s="49" t="s">
        <v>395</v>
      </c>
      <c r="AH277" s="4" t="str">
        <f>Animals!$C$27</f>
        <v>&lt;li&gt;Thrumbo&lt;/li&gt;</v>
      </c>
      <c r="AI277" s="4">
        <v>0</v>
      </c>
      <c r="AJ277" s="4">
        <v>0</v>
      </c>
      <c r="AK277" s="4">
        <v>0</v>
      </c>
      <c r="AL277" s="4">
        <v>0</v>
      </c>
      <c r="AM277" s="4">
        <v>1</v>
      </c>
      <c r="AN277" s="44" t="s">
        <v>40</v>
      </c>
      <c r="AO277" s="8">
        <f t="shared" si="141"/>
        <v>45232.625241713278</v>
      </c>
      <c r="AP277" s="8">
        <f>IFERROR(C277*_xlfn.XLOOKUP(E277,Groups!A:A,Groups!K:K),0.106*C277^0.94)</f>
        <v>22.583946935692541</v>
      </c>
      <c r="AQ277" s="8">
        <f>AP277*10000/(_xlfn.XLOOKUP(E277,Groups!A:A,Groups!J:J)*AO277)</f>
        <v>3.8406497037870437</v>
      </c>
      <c r="AR277" s="8">
        <f t="shared" si="142"/>
        <v>6727.6760861471967</v>
      </c>
      <c r="AS277" s="8">
        <f>IF(_xlfn.XLOOKUP(E277,Groups!A:A,Groups!M:M)=1,EXP(0.7444*LN('Base stats'!C277)+6.5696),EXP(0.7927*LN('Base stats'!C277)+4.28))</f>
        <v>6643.4611730321203</v>
      </c>
      <c r="AT277" s="8">
        <f>IF(_xlfn.XLOOKUP(E277,Groups!A:A,Groups!N:N)="No","No",
IF(_xlfn.XLOOKUP(E277,Groups!A:A,Groups!N:N)="Crocodile",EXP(0.8129*LN(C277)+4.6742)*S277,
IF(_xlfn.XLOOKUP(E277,Groups!A:A,Groups!N:N)="Felid",EXP(0.7843*LN(C277)+4.7073)*S277,
IF(_xlfn.XLOOKUP(E277,Groups!A:A,Groups!N:N)="Canid",EXP(0.8367*LN(C277)+4.8763)*S277,
IF(_xlfn.XLOOKUP(E277,Groups!A:A,Groups!N:N)="Pig",EXP(0.3439*LN(C277)+6.8519)*S277,
IF(_xlfn.XLOOKUP(E277,Groups!A:A,Groups!N:N)="Rodent",EXP(0.5625*LN(C277)+4.3006)*S277,
IF(_xlfn.XLOOKUP(E277,Groups!A:A,Groups!N:N)="Primate",EXP(0.7847*LN(C277)+3.4931)*S277,
IF(_xlfn.XLOOKUP(E277,Groups!A:A,Groups!N:N)="MiscCarnivora",EXP(0.7486*LN(C277)+4.2207)*S277,
IF(_xlfn.XLOOKUP(E277,Groups!A:A,Groups!N:N)="Lizard",EXP(0.7733*LN(C277)+5.5303)*S277,
IF(_xlfn.XLOOKUP(E277,Groups!A:A,Groups!N:N)="Snake",50*C277^(2/3)*S277,
IF(_xlfn.XLOOKUP(E277,Groups!A:A,Groups!N:N)="StrongBitingHerbivore",87.1133638856975*C277^(2/3)*S277,
IF(_xlfn.XLOOKUP(E277,Groups!A:A,Groups!N:N)="MiscEctotherms",59.4316884072269*C277^(2/3)*S277,
IF(_xlfn.XLOOKUP(E277,Groups!A:A,Groups!N:N)="StrongBeakBird",0.041*(C277*1000)^1.375*S277,
IF(_xlfn.XLOOKUP(E277,Groups!A:A,Groups!N:N)="Bird",0.118*(C277*1000)^0.692*S277,
IF(_xlfn.XLOOKUP(E277,Groups!A:A,Groups!N:N)="Insect",EXP(0.7444*LN(C277)+6.5696)*S277,
IF(_xlfn.XLOOKUP(E277,Groups!A:A,Groups!N:N)="Theropod",EXP(0.6966*LN(C277)+4.158)*S277,
"No"))))))))))))))))</f>
        <v>3903.9024240592607</v>
      </c>
      <c r="AU277" s="8">
        <f>IF(_xlfn.XLOOKUP(E277,Groups!A:A,Groups!U:U)=3,AS277,IF(_xlfn.XLOOKUP(E277,Groups!A:A,Groups!U:U)=2,AR277,AT277))</f>
        <v>6727.6760861471967</v>
      </c>
      <c r="AV277" s="46">
        <f>IFERROR(AVERAGE(_xlfn.XLOOKUP(B277,Animals!B:B,Animals!N:N),_xlfn.XLOOKUP(B277,Animals!B:B,Animals!O:O)),0)</f>
        <v>0.875</v>
      </c>
      <c r="AW277" s="8">
        <f>MROUND(40*Animals!AO277*_xlfn.XLOOKUP(AG277,Leathers!$A$2:$A$99,Leathers!$B$2:$B$99,0)+(140*_xlfn.XLOOKUP(B277,Animals!B:B,Animals!AO:AO)*2),5)</f>
        <v>1190</v>
      </c>
      <c r="AX277" s="8">
        <f>IFERROR(ROUND(SQRT(V277-1)*IF(_xlfn.XLOOKUP(E277,Groups!A:A,Groups!BF:BF)=0,2,1)*IF(_xlfn.XLOOKUP('Base stats'!E277,Groups!A:A,Groups!O:O)=0,1,0.1),1),0)</f>
        <v>4.9000000000000004</v>
      </c>
      <c r="AY277" s="8">
        <f t="shared" si="143"/>
        <v>0</v>
      </c>
      <c r="AZ277" s="8">
        <f t="shared" si="144"/>
        <v>4.5</v>
      </c>
      <c r="BA277" s="8">
        <f t="shared" si="145"/>
        <v>6.2</v>
      </c>
      <c r="BB277" s="8">
        <f>IF(_xlfn.XLOOKUP(E277,Groups!A:A,Groups!N:N)="Insect",BD277*2.5,IFERROR(AVERAGE(BD277,AT277/9.81/IF(OR(_xlfn.XLOOKUP(E277,Groups!A:A,Groups!N:N)="Pig",_xlfn.XLOOKUP(E277,Groups!A:A,Groups!N:N)="StrongBitingHerbivore"),20,25))*C277^-0.135,BD277))</f>
        <v>5.2756263864091508</v>
      </c>
      <c r="BC277" s="8">
        <f>IF(W277="No","No",IF(_xlfn.XLOOKUP(E277,Groups!A:A,Groups!U:U)=1,'Base stats'!BB277,IF(OR(_xlfn.XLOOKUP(E277,Groups!A:A,Groups!BD:BD)=1,_xlfn.XLOOKUP(E277,Groups!A:A,Groups!U:U)=2),BD277,IF(_xlfn.XLOOKUP(B277,Animals!B:B,Animals!AO:AO)&gt;4,AVERAGE(BD277,BF277),BF277))))</f>
        <v>2.8909161352458521</v>
      </c>
      <c r="BD277" s="8">
        <f t="shared" si="146"/>
        <v>2.8909161352458521</v>
      </c>
      <c r="BE277" s="8">
        <f>IF(_xlfn.XLOOKUP(E277,Groups!A:A,Groups!BE:BE)=1,(0.048*C277^1.01)+(0.071*C277^1.03),0.071*C277^1.03)/IF(_xlfn.XLOOKUP(E277,Groups!A:A,Groups!M:M)=1,0.85,IF(OR(_xlfn.XLOOKUP(B277,Animals!B:B,Animals!AO:AO)&gt;4,_xlfn.XLOOKUP(E277,Groups!A:A,Groups!BC:BC)=1),1.7,1))*C277^-0.25</f>
        <v>6.0731348911819296</v>
      </c>
      <c r="BF277" s="8">
        <f>(0.048*C277^1.01)/IF(_xlfn.XLOOKUP(E277,Groups!A:A,Groups!M:M)=1,0.25,0.8)*C277^-0.25</f>
        <v>4.5789236700969242</v>
      </c>
      <c r="BG277" s="8">
        <f>EXP(1.076*LN(AR277)-4.5397)*IF(_xlfn.XLOOKUP(E277,Groups!A:A,Groups!BC:BC)=1,1.25,IF(_xlfn.XLOOKUP(E277,Groups!A:A,Groups!BD:BD)=1,3.5,2.5))</f>
        <v>350.87802378928848</v>
      </c>
      <c r="BH277" s="8">
        <f>EXP(1.076*LN(AS277)-4.5397)*IF(_xlfn.XLOOKUP(E277,Groups!A:A,Groups!M:M)=1,0.8,IF(_xlfn.XLOOKUP(E277,Groups!A:A,Groups!BC:BC)=1,1.3,3))</f>
        <v>415.38515421333557</v>
      </c>
      <c r="BI277" s="8">
        <f>IF(W277="No","No",IF(_xlfn.XLOOKUP(E277,Groups!A:A,Groups!U:U)=1,'Base stats'!BJ277,IF(OR(_xlfn.XLOOKUP(E277,Groups!A:A,Groups!BD:BD)=1,_xlfn.XLOOKUP(E277,Groups!A:A,Groups!U:U)=2),BG277,BH277))*1.2)</f>
        <v>421.05362854714616</v>
      </c>
      <c r="BJ277" s="8">
        <f>IFERROR(EXP(1.076*LN(AT277)-4.5397)*IF(_xlfn.XLOOKUP(E277,Groups!A:A,Groups!N:N)="Insect",1,IF(OR(_xlfn.XLOOKUP(E277,Groups!A:A,Groups!N:N)="Pig",_xlfn.XLOOKUP(E277,Groups!A:A,Groups!N:N)="StrongBitingHerbivore"),3.5,3.75)),"No")</f>
        <v>273.49806594442816</v>
      </c>
      <c r="BK277" s="8">
        <f t="shared" si="147"/>
        <v>15</v>
      </c>
      <c r="BL277" s="8">
        <f t="shared" si="148"/>
        <v>11</v>
      </c>
      <c r="BM277" s="8">
        <f t="shared" si="149"/>
        <v>17</v>
      </c>
      <c r="BN277" s="8">
        <f t="shared" si="150"/>
        <v>10</v>
      </c>
      <c r="BO277" s="8">
        <f t="shared" si="151"/>
        <v>13</v>
      </c>
      <c r="BP277" s="8" cm="1">
        <f t="array" ref="BP277">IF(AND(_xlfn.XLOOKUP('Base stats'!E277,Groups!A:A,Groups!AD:AD=0),_xlfn.XLOOKUP('Base stats'!E277,Groups!A:A,Groups!P:P=0)),"No",IF(U277="No",AVERAGE(EXP(-0.57+0.99*LN(C277)),EXP(0.32+0.67*LN(C277)))/IF(_xlfn.XLOOKUP(E277,Groups!A:A,Groups!AD:AD)=1,10,2),(0.7354*C277^0.4078)*2/IF(_xlfn.XLOOKUP(E277,Groups!A:A,Groups!BK:BK)=1,1000,100)/IF(_xlfn.XLOOKUP(E277,Groups!A:A,Groups!AJ:AJ)="Photonozoa",3,1)))</f>
        <v>55.78769554750513</v>
      </c>
      <c r="BQ277" s="8">
        <f>IF(W277="No","No",IF(_xlfn.XLOOKUP(E277,Groups!A:A,Groups!BD:BD)=1,(AO277*5%),EXP(0.7354*LN(C277)^0.4078)*2/IF(_xlfn.XLOOKUP(E277,Groups!A:A,Groups!BL:BL)=1,1000,100)/IF(_xlfn.XLOOKUP(E277,Groups!A:A,Groups!AJ:AJ)="Photonozoa",3,1)))</f>
        <v>8.9262213086682366E-3</v>
      </c>
      <c r="BR277" s="8">
        <f>IF(BJ277="No","No",IF(_xlfn.XLOOKUP(E277,Groups!A:A,Groups!BF:BF)=1,(0.0315*C277+2.1825)*2,(0.7354*C277^0.4078)*2)/IF(_xlfn.XLOOKUP(E277,Groups!A:A,Groups!BM:BM)=1,1000,100)/IF(_xlfn.XLOOKUP(E277,Groups!A:A,Groups!AJ:AJ)="Photonozoa",3,1))</f>
        <v>1.5056487532717558E-2</v>
      </c>
      <c r="BS277" s="8">
        <f t="shared" si="152"/>
        <v>0.15514378036396204</v>
      </c>
      <c r="BT277" s="8">
        <f t="shared" si="153"/>
        <v>7.4458202680127004</v>
      </c>
      <c r="BU277" s="8">
        <f t="shared" si="154"/>
        <v>47170.422285885048</v>
      </c>
      <c r="BV277" s="8">
        <f t="shared" si="155"/>
        <v>18164.798752040959</v>
      </c>
      <c r="BW277" s="4">
        <v>0</v>
      </c>
      <c r="BX277" s="4">
        <v>1</v>
      </c>
    </row>
    <row r="278" spans="1:76" s="16" customFormat="1" x14ac:dyDescent="0.25">
      <c r="A278" s="26" t="s">
        <v>1356</v>
      </c>
      <c r="B278" s="6" t="s">
        <v>1610</v>
      </c>
      <c r="C278" s="7">
        <v>300</v>
      </c>
      <c r="D278" s="7" t="s">
        <v>528</v>
      </c>
      <c r="E278" s="7" t="str">
        <f>Groups!$A$19</f>
        <v>Catlike</v>
      </c>
      <c r="F278" s="7">
        <v>109</v>
      </c>
      <c r="G278" s="7">
        <f>1095/365</f>
        <v>3</v>
      </c>
      <c r="H278" s="7">
        <v>28</v>
      </c>
      <c r="I278" s="4">
        <v>0</v>
      </c>
      <c r="J278" s="7">
        <v>3</v>
      </c>
      <c r="K278" s="7" t="s">
        <v>528</v>
      </c>
      <c r="L278" s="7">
        <v>59</v>
      </c>
      <c r="M278" s="7" t="s">
        <v>528</v>
      </c>
      <c r="N278" s="4">
        <v>0</v>
      </c>
      <c r="O278" s="4">
        <v>0</v>
      </c>
      <c r="P278" s="4">
        <v>0</v>
      </c>
      <c r="Q278" s="4">
        <v>0</v>
      </c>
      <c r="R278" s="4" t="s">
        <v>40</v>
      </c>
      <c r="S278" s="7">
        <f>_xlfn.XLOOKUP(B278,[1]TeethAdjusters!$A:$A,[1]BiteAdjusters!$C:$C,1)</f>
        <v>1.0893763961400491</v>
      </c>
      <c r="T278" s="7">
        <f>_xlfn.XLOOKUP(B278,[1]TeethAdjusters!$A:$A,[1]TeethAdjusters!$B:$B,1)</f>
        <v>1.1021218846899565</v>
      </c>
      <c r="U278" s="7">
        <v>10.5</v>
      </c>
      <c r="V278" s="7">
        <f>IF(AT278="No","No",IF(_xlfn.XLOOKUP(E278,Groups!A:A,Groups!AM:AM)=1,MROUND(EXP(0.3582*LN(C278)-0.2221)*T278,0.05),IF(_xlfn.XLOOKUP(E278,Groups!A:A,Groups!AM:AM)=2,MROUND(EXP(0.3582*LN(C278)-0.2221)*T278,0.05),"Need a formula")))</f>
        <v>6.8000000000000007</v>
      </c>
      <c r="W278" s="7" t="s">
        <v>45</v>
      </c>
      <c r="X278" s="7" t="s">
        <v>932</v>
      </c>
      <c r="Y278" s="4" t="s">
        <v>56</v>
      </c>
      <c r="Z278" s="4">
        <v>1</v>
      </c>
      <c r="AA278" s="4">
        <v>0</v>
      </c>
      <c r="AB278" s="4">
        <v>0</v>
      </c>
      <c r="AC278" s="4">
        <v>0</v>
      </c>
      <c r="AD278" s="4">
        <v>0</v>
      </c>
      <c r="AE278" s="4" t="s">
        <v>45</v>
      </c>
      <c r="AF278" s="4" t="s">
        <v>45</v>
      </c>
      <c r="AG278" s="49" t="s">
        <v>1742</v>
      </c>
      <c r="AH278" s="4" t="s">
        <v>45</v>
      </c>
      <c r="AI278" s="4">
        <v>0</v>
      </c>
      <c r="AJ278" s="4">
        <v>0</v>
      </c>
      <c r="AK278" s="4">
        <v>0</v>
      </c>
      <c r="AL278" s="4">
        <v>0</v>
      </c>
      <c r="AM278" s="4">
        <v>1</v>
      </c>
      <c r="AN278" s="44" t="s">
        <v>40</v>
      </c>
      <c r="AO278" s="8">
        <f t="shared" si="141"/>
        <v>45232.625241713278</v>
      </c>
      <c r="AP278" s="8">
        <f>IFERROR(C278*_xlfn.XLOOKUP(E278,Groups!A:A,Groups!K:K),0.106*C278^0.94)</f>
        <v>37.424999999999997</v>
      </c>
      <c r="AQ278" s="8">
        <f>AP278*10000/(_xlfn.XLOOKUP(E278,Groups!A:A,Groups!J:J)*AO278)</f>
        <v>7.5907295236221843</v>
      </c>
      <c r="AR278" s="8">
        <f t="shared" si="142"/>
        <v>6727.6760861471967</v>
      </c>
      <c r="AS278" s="8">
        <f>IF(_xlfn.XLOOKUP(E278,Groups!A:A,Groups!M:M)=1,EXP(0.7444*LN('Base stats'!C278)+6.5696),EXP(0.7927*LN('Base stats'!C278)+4.28))</f>
        <v>6643.4611730321203</v>
      </c>
      <c r="AT278" s="8">
        <f>IF(_xlfn.XLOOKUP(E278,Groups!A:A,Groups!N:N)="No","No",
IF(_xlfn.XLOOKUP(E278,Groups!A:A,Groups!N:N)="Crocodile",EXP(0.8129*LN(C278)+4.6742)*S278,
IF(_xlfn.XLOOKUP(E278,Groups!A:A,Groups!N:N)="Felid",EXP(0.7843*LN(C278)+4.7073)*S278,
IF(_xlfn.XLOOKUP(E278,Groups!A:A,Groups!N:N)="Canid",EXP(0.8367*LN(C278)+4.8763)*S278,
IF(_xlfn.XLOOKUP(E278,Groups!A:A,Groups!N:N)="Pig",EXP(0.3439*LN(C278)+6.8519)*S278,
IF(_xlfn.XLOOKUP(E278,Groups!A:A,Groups!N:N)="Rodent",EXP(0.5625*LN(C278)+4.3006)*S278,
IF(_xlfn.XLOOKUP(E278,Groups!A:A,Groups!N:N)="Primate",EXP(0.7847*LN(C278)+3.4931)*S278,
IF(_xlfn.XLOOKUP(E278,Groups!A:A,Groups!N:N)="MiscCarnivora",EXP(0.7486*LN(C278)+4.2207)*S278,
IF(_xlfn.XLOOKUP(E278,Groups!A:A,Groups!N:N)="Lizard",EXP(0.7733*LN(C278)+5.5303)*S278,
IF(_xlfn.XLOOKUP(E278,Groups!A:A,Groups!N:N)="Snake",50*C278^(2/3)*S278,
IF(_xlfn.XLOOKUP(E278,Groups!A:A,Groups!N:N)="StrongBitingHerbivore",87.1133638856975*C278^(2/3)*S278,
IF(_xlfn.XLOOKUP(E278,Groups!A:A,Groups!N:N)="MiscEctotherms",59.4316884072269*C278^(2/3)*S278,
IF(_xlfn.XLOOKUP(E278,Groups!A:A,Groups!N:N)="StrongBeakBird",0.041*(C278*1000)^1.375*S278,
IF(_xlfn.XLOOKUP(E278,Groups!A:A,Groups!N:N)="Bird",0.118*(C278*1000)^0.692*S278,
IF(_xlfn.XLOOKUP(E278,Groups!A:A,Groups!N:N)="Insect",EXP(0.7444*LN(C278)+6.5696)*S278,
IF(_xlfn.XLOOKUP(E278,Groups!A:A,Groups!N:N)="Theropod",EXP(0.6966*LN(C278)+4.158)*S278,
"No"))))))))))))))))</f>
        <v>10576.417249092548</v>
      </c>
      <c r="AU278" s="8">
        <f>IF(_xlfn.XLOOKUP(E278,Groups!A:A,Groups!U:U)=3,AS278,IF(_xlfn.XLOOKUP(E278,Groups!A:A,Groups!U:U)=2,AR278,AT278))</f>
        <v>10576.417249092548</v>
      </c>
      <c r="AV278" s="46">
        <f>IFERROR(AVERAGE(_xlfn.XLOOKUP(B278,Animals!B:B,Animals!N:N),_xlfn.XLOOKUP(B278,Animals!B:B,Animals!O:O)),0)</f>
        <v>0</v>
      </c>
      <c r="AW278" s="8">
        <f>MROUND(40*Animals!AO278*_xlfn.XLOOKUP(AG278,Leathers!$A$2:$A$99,Leathers!$B$2:$B$99,0)+(140*_xlfn.XLOOKUP(B278,Animals!B:B,Animals!AO:AO)*2),5)</f>
        <v>630</v>
      </c>
      <c r="AX278" s="8">
        <f>IFERROR(ROUND(SQRT(V278-1)*IF(_xlfn.XLOOKUP(E278,Groups!A:A,Groups!BF:BF)=0,2,1)*IF(_xlfn.XLOOKUP('Base stats'!E278,Groups!A:A,Groups!O:O)=0,1,0.1),1),0)</f>
        <v>4.8</v>
      </c>
      <c r="AY278" s="8">
        <f t="shared" si="143"/>
        <v>3.1</v>
      </c>
      <c r="AZ278" s="8">
        <f t="shared" si="144"/>
        <v>0</v>
      </c>
      <c r="BA278" s="8">
        <f t="shared" si="145"/>
        <v>6.2</v>
      </c>
      <c r="BB278" s="8">
        <f>IF(_xlfn.XLOOKUP(E278,Groups!A:A,Groups!N:N)="Insect",BD278*2.5,IFERROR(AVERAGE(BD278,AT278/9.81/IF(OR(_xlfn.XLOOKUP(E278,Groups!A:A,Groups!N:N)="Pig",_xlfn.XLOOKUP(E278,Groups!A:A,Groups!N:N)="StrongBitingHerbivore"),20,25))*C278^-0.135,BD278))</f>
        <v>11.021946478072037</v>
      </c>
      <c r="BC278" s="8" t="str">
        <f>IF(W278="No","No",IF(_xlfn.XLOOKUP(E278,Groups!A:A,Groups!U:U)=1,'Base stats'!BB278,IF(OR(_xlfn.XLOOKUP(E278,Groups!A:A,Groups!BD:BD)=1,_xlfn.XLOOKUP(E278,Groups!A:A,Groups!U:U)=2),BD278,IF(_xlfn.XLOOKUP(B278,Animals!B:B,Animals!AO:AO)&gt;4,AVERAGE(BD278,BF278),BF278))))</f>
        <v>No</v>
      </c>
      <c r="BD278" s="8">
        <f t="shared" si="146"/>
        <v>4.4851175477519458</v>
      </c>
      <c r="BE278" s="8">
        <f>IF(_xlfn.XLOOKUP(E278,Groups!A:A,Groups!BE:BE)=1,(0.048*C278^1.01)+(0.071*C278^1.03),0.071*C278^1.03)/IF(_xlfn.XLOOKUP(E278,Groups!A:A,Groups!M:M)=1,0.85,IF(OR(_xlfn.XLOOKUP(B278,Animals!B:B,Animals!AO:AO)&gt;4,_xlfn.XLOOKUP(E278,Groups!A:A,Groups!BC:BC)=1),1.7,1))*C278^-0.25</f>
        <v>6.0731348911819296</v>
      </c>
      <c r="BF278" s="8">
        <f>(0.048*C278^1.01)/IF(_xlfn.XLOOKUP(E278,Groups!A:A,Groups!M:M)=1,0.25,0.8)*C278^-0.25</f>
        <v>4.5789236700969242</v>
      </c>
      <c r="BG278" s="8">
        <f>EXP(1.076*LN(AR278)-4.5397)*IF(_xlfn.XLOOKUP(E278,Groups!A:A,Groups!BC:BC)=1,1.25,IF(_xlfn.XLOOKUP(E278,Groups!A:A,Groups!BD:BD)=1,3.5,2.5))</f>
        <v>350.87802378928848</v>
      </c>
      <c r="BH278" s="8">
        <f>EXP(1.076*LN(AS278)-4.5397)*IF(_xlfn.XLOOKUP(E278,Groups!A:A,Groups!M:M)=1,0.8,IF(_xlfn.XLOOKUP(E278,Groups!A:A,Groups!BC:BC)=1,1.3,3))</f>
        <v>415.38515421333557</v>
      </c>
      <c r="BI278" s="8" t="str">
        <f>IF(W278="No","No",IF(_xlfn.XLOOKUP(E278,Groups!A:A,Groups!U:U)=1,'Base stats'!BJ278,IF(OR(_xlfn.XLOOKUP(E278,Groups!A:A,Groups!BD:BD)=1,_xlfn.XLOOKUP(E278,Groups!A:A,Groups!U:U)=2),BG278,BH278))*1.2)</f>
        <v>No</v>
      </c>
      <c r="BJ278" s="8">
        <f>IFERROR(EXP(1.076*LN(AT278)-4.5397)*IF(_xlfn.XLOOKUP(E278,Groups!A:A,Groups!N:N)="Insect",1,IF(OR(_xlfn.XLOOKUP(E278,Groups!A:A,Groups!N:N)="Pig",_xlfn.XLOOKUP(E278,Groups!A:A,Groups!N:N)="StrongBitingHerbivore"),3.5,3.75)),"No")</f>
        <v>856.35318195527589</v>
      </c>
      <c r="BK278" s="8">
        <f t="shared" si="147"/>
        <v>12</v>
      </c>
      <c r="BL278" s="8">
        <f t="shared" si="148"/>
        <v>11</v>
      </c>
      <c r="BM278" s="8" t="str">
        <f t="shared" si="149"/>
        <v>No</v>
      </c>
      <c r="BN278" s="8">
        <f t="shared" si="150"/>
        <v>12</v>
      </c>
      <c r="BO278" s="8">
        <f t="shared" si="151"/>
        <v>13</v>
      </c>
      <c r="BP278" s="8" cm="1">
        <f t="array" ref="BP278">IF(AND(_xlfn.XLOOKUP('Base stats'!E278,Groups!A:A,Groups!AD:AD=0),_xlfn.XLOOKUP('Base stats'!E278,Groups!A:A,Groups!P:P=0)),"No",IF(U278="No",AVERAGE(EXP(-0.57+0.99*LN(C278)),EXP(0.32+0.67*LN(C278)))/IF(_xlfn.XLOOKUP(E278,Groups!A:A,Groups!AD:AD)=1,10,2),(0.7354*C278^0.4078)*2/IF(_xlfn.XLOOKUP(E278,Groups!A:A,Groups!BK:BK)=1,1000,100)/IF(_xlfn.XLOOKUP(E278,Groups!A:A,Groups!AJ:AJ)="Photonozoa",3,1)))</f>
        <v>0.15056487532717558</v>
      </c>
      <c r="BQ278" s="8" t="str">
        <f>IF(W278="No","No",IF(_xlfn.XLOOKUP(E278,Groups!A:A,Groups!BD:BD)=1,(AO278*5%),EXP(0.7354*LN(C278)^0.4078)*2/IF(_xlfn.XLOOKUP(E278,Groups!A:A,Groups!BL:BL)=1,1000,100)/IF(_xlfn.XLOOKUP(E278,Groups!A:A,Groups!AJ:AJ)="Photonozoa",3,1)))</f>
        <v>No</v>
      </c>
      <c r="BR278" s="8">
        <f>IF(BJ278="No","No",IF(_xlfn.XLOOKUP(E278,Groups!A:A,Groups!BF:BF)=1,(0.0315*C278+2.1825)*2,(0.7354*C278^0.4078)*2)/IF(_xlfn.XLOOKUP(E278,Groups!A:A,Groups!BM:BM)=1,1000,100)/IF(_xlfn.XLOOKUP(E278,Groups!A:A,Groups!AJ:AJ)="Photonozoa",3,1))</f>
        <v>0.15056487532717558</v>
      </c>
      <c r="BS278" s="8">
        <f t="shared" si="152"/>
        <v>0.15514378036396204</v>
      </c>
      <c r="BT278" s="8">
        <f t="shared" si="153"/>
        <v>2758.845004923684</v>
      </c>
      <c r="BU278" s="8" t="str">
        <f t="shared" si="154"/>
        <v>No</v>
      </c>
      <c r="BV278" s="8">
        <f t="shared" si="155"/>
        <v>5687.6026370322506</v>
      </c>
      <c r="BW278" s="4">
        <v>0</v>
      </c>
      <c r="BX278" s="4">
        <v>1</v>
      </c>
    </row>
    <row r="279" spans="1:76" s="16" customFormat="1" x14ac:dyDescent="0.25">
      <c r="A279" s="26" t="s">
        <v>1560</v>
      </c>
      <c r="B279" s="6" t="s">
        <v>1683</v>
      </c>
      <c r="C279" s="7">
        <v>300</v>
      </c>
      <c r="D279" s="7" t="s">
        <v>528</v>
      </c>
      <c r="E279" s="7" t="str">
        <f>Groups!$A$19</f>
        <v>Catlike</v>
      </c>
      <c r="F279" s="7">
        <v>109</v>
      </c>
      <c r="G279" s="7">
        <f>1095/365</f>
        <v>3</v>
      </c>
      <c r="H279" s="7">
        <v>28</v>
      </c>
      <c r="I279" s="4">
        <v>1</v>
      </c>
      <c r="J279" s="7">
        <v>3</v>
      </c>
      <c r="K279" s="7" t="s">
        <v>528</v>
      </c>
      <c r="L279" s="7">
        <v>59</v>
      </c>
      <c r="M279" s="7" t="s">
        <v>528</v>
      </c>
      <c r="N279" s="4">
        <v>0</v>
      </c>
      <c r="O279" s="4">
        <v>0</v>
      </c>
      <c r="P279" s="4">
        <v>0</v>
      </c>
      <c r="Q279" s="4">
        <v>0</v>
      </c>
      <c r="R279" s="4" t="s">
        <v>40</v>
      </c>
      <c r="S279" s="7">
        <f>_xlfn.XLOOKUP(B279,[1]TeethAdjusters!$A:$A,[1]BiteAdjusters!$C:$C,1)</f>
        <v>1.0893763961400491</v>
      </c>
      <c r="T279" s="7">
        <f>_xlfn.XLOOKUP(B279,[1]TeethAdjusters!$A:$A,[1]TeethAdjusters!$B:$B,1)</f>
        <v>1.1021218846899565</v>
      </c>
      <c r="U279" s="7">
        <v>10.5</v>
      </c>
      <c r="V279" s="7">
        <f>IF(AT279="No","No",IF(_xlfn.XLOOKUP(E279,Groups!A:A,Groups!AM:AM)=1,MROUND(EXP(0.3582*LN(C279)-0.2221)*T279,0.05),IF(_xlfn.XLOOKUP(E279,Groups!A:A,Groups!AM:AM)=2,MROUND(EXP(0.3582*LN(C279)-0.2221)*T279,0.05),"Need a formula")))</f>
        <v>6.8000000000000007</v>
      </c>
      <c r="W279" s="7" t="s">
        <v>45</v>
      </c>
      <c r="X279" s="7" t="s">
        <v>932</v>
      </c>
      <c r="Y279" s="4" t="s">
        <v>56</v>
      </c>
      <c r="Z279" s="4">
        <v>1</v>
      </c>
      <c r="AA279" s="4">
        <v>0</v>
      </c>
      <c r="AB279" s="4">
        <v>0</v>
      </c>
      <c r="AC279" s="4">
        <v>0</v>
      </c>
      <c r="AD279" s="4">
        <v>0</v>
      </c>
      <c r="AE279" s="4" t="s">
        <v>45</v>
      </c>
      <c r="AF279" s="4" t="s">
        <v>45</v>
      </c>
      <c r="AG279" s="49" t="s">
        <v>1743</v>
      </c>
      <c r="AH279" s="4" t="str">
        <f>Animals!$C$223</f>
        <v>&lt;li&gt;AA_ArcticLion&lt;/li&gt;</v>
      </c>
      <c r="AI279" s="4">
        <v>0</v>
      </c>
      <c r="AJ279" s="4">
        <v>0</v>
      </c>
      <c r="AK279" s="4">
        <v>0</v>
      </c>
      <c r="AL279" s="4">
        <v>0</v>
      </c>
      <c r="AM279" s="4">
        <v>1</v>
      </c>
      <c r="AN279" s="44" t="s">
        <v>40</v>
      </c>
      <c r="AO279" s="8">
        <f t="shared" si="141"/>
        <v>45232.625241713278</v>
      </c>
      <c r="AP279" s="8">
        <f>IFERROR(C279*_xlfn.XLOOKUP(E279,Groups!A:A,Groups!K:K),0.106*C279^0.94)</f>
        <v>37.424999999999997</v>
      </c>
      <c r="AQ279" s="8">
        <f>AP279*10000/(_xlfn.XLOOKUP(E279,Groups!A:A,Groups!J:J)*AO279)</f>
        <v>7.5907295236221843</v>
      </c>
      <c r="AR279" s="8">
        <f t="shared" si="142"/>
        <v>6727.6760861471967</v>
      </c>
      <c r="AS279" s="8">
        <f>IF(_xlfn.XLOOKUP(E279,Groups!A:A,Groups!M:M)=1,EXP(0.7444*LN('Base stats'!C279)+6.5696),EXP(0.7927*LN('Base stats'!C279)+4.28))</f>
        <v>6643.4611730321203</v>
      </c>
      <c r="AT279" s="8">
        <f>IF(_xlfn.XLOOKUP(E279,Groups!A:A,Groups!N:N)="No","No",
IF(_xlfn.XLOOKUP(E279,Groups!A:A,Groups!N:N)="Crocodile",EXP(0.8129*LN(C279)+4.6742)*S279,
IF(_xlfn.XLOOKUP(E279,Groups!A:A,Groups!N:N)="Felid",EXP(0.7843*LN(C279)+4.7073)*S279,
IF(_xlfn.XLOOKUP(E279,Groups!A:A,Groups!N:N)="Canid",EXP(0.8367*LN(C279)+4.8763)*S279,
IF(_xlfn.XLOOKUP(E279,Groups!A:A,Groups!N:N)="Pig",EXP(0.3439*LN(C279)+6.8519)*S279,
IF(_xlfn.XLOOKUP(E279,Groups!A:A,Groups!N:N)="Rodent",EXP(0.5625*LN(C279)+4.3006)*S279,
IF(_xlfn.XLOOKUP(E279,Groups!A:A,Groups!N:N)="Primate",EXP(0.7847*LN(C279)+3.4931)*S279,
IF(_xlfn.XLOOKUP(E279,Groups!A:A,Groups!N:N)="MiscCarnivora",EXP(0.7486*LN(C279)+4.2207)*S279,
IF(_xlfn.XLOOKUP(E279,Groups!A:A,Groups!N:N)="Lizard",EXP(0.7733*LN(C279)+5.5303)*S279,
IF(_xlfn.XLOOKUP(E279,Groups!A:A,Groups!N:N)="Snake",50*C279^(2/3)*S279,
IF(_xlfn.XLOOKUP(E279,Groups!A:A,Groups!N:N)="StrongBitingHerbivore",87.1133638856975*C279^(2/3)*S279,
IF(_xlfn.XLOOKUP(E279,Groups!A:A,Groups!N:N)="MiscEctotherms",59.4316884072269*C279^(2/3)*S279,
IF(_xlfn.XLOOKUP(E279,Groups!A:A,Groups!N:N)="StrongBeakBird",0.041*(C279*1000)^1.375*S279,
IF(_xlfn.XLOOKUP(E279,Groups!A:A,Groups!N:N)="Bird",0.118*(C279*1000)^0.692*S279,
IF(_xlfn.XLOOKUP(E279,Groups!A:A,Groups!N:N)="Insect",EXP(0.7444*LN(C279)+6.5696)*S279,
IF(_xlfn.XLOOKUP(E279,Groups!A:A,Groups!N:N)="Theropod",EXP(0.6966*LN(C279)+4.158)*S279,
"No"))))))))))))))))</f>
        <v>10576.417249092548</v>
      </c>
      <c r="AU279" s="8">
        <f>IF(_xlfn.XLOOKUP(E279,Groups!A:A,Groups!U:U)=3,AS279,IF(_xlfn.XLOOKUP(E279,Groups!A:A,Groups!U:U)=2,AR279,AT279))</f>
        <v>10576.417249092548</v>
      </c>
      <c r="AV279" s="46">
        <f>IFERROR(AVERAGE(_xlfn.XLOOKUP(B279,Animals!B:B,Animals!N:N),_xlfn.XLOOKUP(B279,Animals!B:B,Animals!O:O)),0)</f>
        <v>0</v>
      </c>
      <c r="AW279" s="8">
        <f>MROUND(40*Animals!AO279*_xlfn.XLOOKUP(AG279,Leathers!$A$2:$A$99,Leathers!$B$2:$B$99,0)+(140*_xlfn.XLOOKUP(B279,Animals!B:B,Animals!AO:AO)*2),5)</f>
        <v>630</v>
      </c>
      <c r="AX279" s="8">
        <f>IFERROR(ROUND(SQRT(V279-1)*IF(_xlfn.XLOOKUP(E279,Groups!A:A,Groups!BF:BF)=0,2,1)*IF(_xlfn.XLOOKUP('Base stats'!E279,Groups!A:A,Groups!O:O)=0,1,0.1),1),0)</f>
        <v>4.8</v>
      </c>
      <c r="AY279" s="8">
        <f t="shared" si="143"/>
        <v>3.1</v>
      </c>
      <c r="AZ279" s="8">
        <f t="shared" si="144"/>
        <v>0</v>
      </c>
      <c r="BA279" s="8">
        <f t="shared" si="145"/>
        <v>6.2</v>
      </c>
      <c r="BB279" s="8">
        <f>IF(_xlfn.XLOOKUP(E279,Groups!A:A,Groups!N:N)="Insect",BD279*2.5,IFERROR(AVERAGE(BD279,AT279/9.81/IF(OR(_xlfn.XLOOKUP(E279,Groups!A:A,Groups!N:N)="Pig",_xlfn.XLOOKUP(E279,Groups!A:A,Groups!N:N)="StrongBitingHerbivore"),20,25))*C279^-0.135,BD279))</f>
        <v>11.021946478072037</v>
      </c>
      <c r="BC279" s="8" t="str">
        <f>IF(W279="No","No",IF(_xlfn.XLOOKUP(E279,Groups!A:A,Groups!U:U)=1,'Base stats'!BB279,IF(OR(_xlfn.XLOOKUP(E279,Groups!A:A,Groups!BD:BD)=1,_xlfn.XLOOKUP(E279,Groups!A:A,Groups!U:U)=2),BD279,IF(_xlfn.XLOOKUP(B279,Animals!B:B,Animals!AO:AO)&gt;4,AVERAGE(BD279,BF279),BF279))))</f>
        <v>No</v>
      </c>
      <c r="BD279" s="8">
        <f t="shared" si="146"/>
        <v>4.4851175477519458</v>
      </c>
      <c r="BE279" s="8">
        <f>IF(_xlfn.XLOOKUP(E279,Groups!A:A,Groups!BE:BE)=1,(0.048*C279^1.01)+(0.071*C279^1.03),0.071*C279^1.03)/IF(_xlfn.XLOOKUP(E279,Groups!A:A,Groups!M:M)=1,0.85,IF(OR(_xlfn.XLOOKUP(B279,Animals!B:B,Animals!AO:AO)&gt;4,_xlfn.XLOOKUP(E279,Groups!A:A,Groups!BC:BC)=1),1.7,1))*C279^-0.25</f>
        <v>6.0731348911819296</v>
      </c>
      <c r="BF279" s="8">
        <f>(0.048*C279^1.01)/IF(_xlfn.XLOOKUP(E279,Groups!A:A,Groups!M:M)=1,0.25,0.8)*C279^-0.25</f>
        <v>4.5789236700969242</v>
      </c>
      <c r="BG279" s="8">
        <f>EXP(1.076*LN(AR279)-4.5397)*IF(_xlfn.XLOOKUP(E279,Groups!A:A,Groups!BC:BC)=1,1.25,IF(_xlfn.XLOOKUP(E279,Groups!A:A,Groups!BD:BD)=1,3.5,2.5))</f>
        <v>350.87802378928848</v>
      </c>
      <c r="BH279" s="8">
        <f>EXP(1.076*LN(AS279)-4.5397)*IF(_xlfn.XLOOKUP(E279,Groups!A:A,Groups!M:M)=1,0.8,IF(_xlfn.XLOOKUP(E279,Groups!A:A,Groups!BC:BC)=1,1.3,3))</f>
        <v>415.38515421333557</v>
      </c>
      <c r="BI279" s="8" t="str">
        <f>IF(W279="No","No",IF(_xlfn.XLOOKUP(E279,Groups!A:A,Groups!U:U)=1,'Base stats'!BJ279,IF(OR(_xlfn.XLOOKUP(E279,Groups!A:A,Groups!BD:BD)=1,_xlfn.XLOOKUP(E279,Groups!A:A,Groups!U:U)=2),BG279,BH279))*1.2)</f>
        <v>No</v>
      </c>
      <c r="BJ279" s="8">
        <f>IFERROR(EXP(1.076*LN(AT279)-4.5397)*IF(_xlfn.XLOOKUP(E279,Groups!A:A,Groups!N:N)="Insect",1,IF(OR(_xlfn.XLOOKUP(E279,Groups!A:A,Groups!N:N)="Pig",_xlfn.XLOOKUP(E279,Groups!A:A,Groups!N:N)="StrongBitingHerbivore"),3.5,3.75)),"No")</f>
        <v>856.35318195527589</v>
      </c>
      <c r="BK279" s="8">
        <f t="shared" si="147"/>
        <v>12</v>
      </c>
      <c r="BL279" s="8">
        <f t="shared" si="148"/>
        <v>11</v>
      </c>
      <c r="BM279" s="8" t="str">
        <f t="shared" si="149"/>
        <v>No</v>
      </c>
      <c r="BN279" s="8">
        <f t="shared" si="150"/>
        <v>12</v>
      </c>
      <c r="BO279" s="8">
        <f t="shared" si="151"/>
        <v>13</v>
      </c>
      <c r="BP279" s="8" cm="1">
        <f t="array" ref="BP279">IF(AND(_xlfn.XLOOKUP('Base stats'!E279,Groups!A:A,Groups!AD:AD=0),_xlfn.XLOOKUP('Base stats'!E279,Groups!A:A,Groups!P:P=0)),"No",IF(U279="No",AVERAGE(EXP(-0.57+0.99*LN(C279)),EXP(0.32+0.67*LN(C279)))/IF(_xlfn.XLOOKUP(E279,Groups!A:A,Groups!AD:AD)=1,10,2),(0.7354*C279^0.4078)*2/IF(_xlfn.XLOOKUP(E279,Groups!A:A,Groups!BK:BK)=1,1000,100)/IF(_xlfn.XLOOKUP(E279,Groups!A:A,Groups!AJ:AJ)="Photonozoa",3,1)))</f>
        <v>0.15056487532717558</v>
      </c>
      <c r="BQ279" s="8" t="str">
        <f>IF(W279="No","No",IF(_xlfn.XLOOKUP(E279,Groups!A:A,Groups!BD:BD)=1,(AO279*5%),EXP(0.7354*LN(C279)^0.4078)*2/IF(_xlfn.XLOOKUP(E279,Groups!A:A,Groups!BL:BL)=1,1000,100)/IF(_xlfn.XLOOKUP(E279,Groups!A:A,Groups!AJ:AJ)="Photonozoa",3,1)))</f>
        <v>No</v>
      </c>
      <c r="BR279" s="8">
        <f>IF(BJ279="No","No",IF(_xlfn.XLOOKUP(E279,Groups!A:A,Groups!BF:BF)=1,(0.0315*C279+2.1825)*2,(0.7354*C279^0.4078)*2)/IF(_xlfn.XLOOKUP(E279,Groups!A:A,Groups!BM:BM)=1,1000,100)/IF(_xlfn.XLOOKUP(E279,Groups!A:A,Groups!AJ:AJ)="Photonozoa",3,1))</f>
        <v>0.15056487532717558</v>
      </c>
      <c r="BS279" s="8">
        <f t="shared" si="152"/>
        <v>0.15514378036396204</v>
      </c>
      <c r="BT279" s="8">
        <f t="shared" si="153"/>
        <v>2758.845004923684</v>
      </c>
      <c r="BU279" s="8" t="str">
        <f t="shared" si="154"/>
        <v>No</v>
      </c>
      <c r="BV279" s="8">
        <f t="shared" si="155"/>
        <v>5687.6026370322506</v>
      </c>
      <c r="BW279" s="4">
        <v>0</v>
      </c>
      <c r="BX279" s="4">
        <v>1</v>
      </c>
    </row>
    <row r="280" spans="1:76" s="16" customFormat="1" x14ac:dyDescent="0.25">
      <c r="A280" s="26" t="s">
        <v>1468</v>
      </c>
      <c r="B280" s="6" t="s">
        <v>1834</v>
      </c>
      <c r="C280" s="7">
        <v>175</v>
      </c>
      <c r="D280" s="7" t="s">
        <v>528</v>
      </c>
      <c r="E280" s="7" t="str">
        <f>Groups!$A$19</f>
        <v>Catlike</v>
      </c>
      <c r="F280" s="7">
        <v>99</v>
      </c>
      <c r="G280" s="7">
        <f>AVERAGE(30/12,3)</f>
        <v>2.75</v>
      </c>
      <c r="H280" s="7">
        <v>28</v>
      </c>
      <c r="I280" s="4">
        <v>1</v>
      </c>
      <c r="J280" s="7">
        <v>2</v>
      </c>
      <c r="K280" s="7" t="s">
        <v>528</v>
      </c>
      <c r="L280" s="7">
        <f>MIN(37.5*C280^0.089,79.3*C280^-0.072)</f>
        <v>54.673194221486575</v>
      </c>
      <c r="M280" s="7" t="s">
        <v>528</v>
      </c>
      <c r="N280" s="4">
        <v>0</v>
      </c>
      <c r="O280" s="4">
        <v>0</v>
      </c>
      <c r="P280" s="4">
        <v>0</v>
      </c>
      <c r="Q280" s="4">
        <v>0</v>
      </c>
      <c r="R280" s="4" t="s">
        <v>40</v>
      </c>
      <c r="S280" s="7">
        <f>_xlfn.XLOOKUP(B280,[1]TeethAdjusters!$A:$A,[1]BiteAdjusters!$C:$C,1)</f>
        <v>1</v>
      </c>
      <c r="T280" s="7">
        <f>_xlfn.XLOOKUP(B280,[1]TeethAdjusters!$A:$A,[1]TeethAdjusters!$B:$B,1)</f>
        <v>1</v>
      </c>
      <c r="U280" s="7">
        <v>7</v>
      </c>
      <c r="V280" s="7">
        <f>IF(AT280="No","No",IF(_xlfn.XLOOKUP(E280,Groups!A:A,Groups!AM:AM)=1,MROUND(EXP(0.3582*LN(C280)-0.2221)*T280,0.05),IF(_xlfn.XLOOKUP(E280,Groups!A:A,Groups!AM:AM)=2,MROUND(EXP(0.3582*LN(C280)-0.2221)*T280,0.05),"Need a formula")))</f>
        <v>5.1000000000000005</v>
      </c>
      <c r="W280" s="7" t="s">
        <v>45</v>
      </c>
      <c r="X280" s="7" t="s">
        <v>932</v>
      </c>
      <c r="Y280" s="4" t="s">
        <v>56</v>
      </c>
      <c r="Z280" s="4">
        <v>1</v>
      </c>
      <c r="AA280" s="4">
        <v>0</v>
      </c>
      <c r="AB280" s="4">
        <v>0</v>
      </c>
      <c r="AC280" s="4">
        <v>0</v>
      </c>
      <c r="AD280" s="4">
        <v>0</v>
      </c>
      <c r="AE280" s="4" t="s">
        <v>45</v>
      </c>
      <c r="AF280" s="4" t="s">
        <v>45</v>
      </c>
      <c r="AG280" s="49" t="s">
        <v>389</v>
      </c>
      <c r="AH280" s="4" t="str">
        <f>Animals!$C$19</f>
        <v>&lt;li&gt;Lynx&lt;/li&gt;</v>
      </c>
      <c r="AI280" s="4">
        <v>0</v>
      </c>
      <c r="AJ280" s="4">
        <v>0</v>
      </c>
      <c r="AK280" s="4">
        <v>0</v>
      </c>
      <c r="AL280" s="4">
        <v>0</v>
      </c>
      <c r="AM280" s="4">
        <v>1</v>
      </c>
      <c r="AN280" s="44" t="s">
        <v>40</v>
      </c>
      <c r="AO280" s="8">
        <f t="shared" si="141"/>
        <v>31863.810489270105</v>
      </c>
      <c r="AP280" s="8">
        <f>IFERROR(C280*_xlfn.XLOOKUP(E280,Groups!A:A,Groups!K:K),0.106*C280^0.94)</f>
        <v>21.831250000000001</v>
      </c>
      <c r="AQ280" s="8">
        <f>AP280*10000/(_xlfn.XLOOKUP(E280,Groups!A:A,Groups!J:J)*AO280)</f>
        <v>6.2857107851288347</v>
      </c>
      <c r="AR280" s="8">
        <f t="shared" si="142"/>
        <v>4267.1213082041459</v>
      </c>
      <c r="AS280" s="8">
        <f>IF(_xlfn.XLOOKUP(E280,Groups!A:A,Groups!M:M)=1,EXP(0.7444*LN('Base stats'!C280)+6.5696),EXP(0.7927*LN('Base stats'!C280)+4.28))</f>
        <v>4333.4784753629592</v>
      </c>
      <c r="AT280" s="8">
        <f>IF(_xlfn.XLOOKUP(E280,Groups!A:A,Groups!N:N)="No","No",
IF(_xlfn.XLOOKUP(E280,Groups!A:A,Groups!N:N)="Crocodile",EXP(0.8129*LN(C280)+4.6742)*S280,
IF(_xlfn.XLOOKUP(E280,Groups!A:A,Groups!N:N)="Felid",EXP(0.7843*LN(C280)+4.7073)*S280,
IF(_xlfn.XLOOKUP(E280,Groups!A:A,Groups!N:N)="Canid",EXP(0.8367*LN(C280)+4.8763)*S280,
IF(_xlfn.XLOOKUP(E280,Groups!A:A,Groups!N:N)="Pig",EXP(0.3439*LN(C280)+6.8519)*S280,
IF(_xlfn.XLOOKUP(E280,Groups!A:A,Groups!N:N)="Rodent",EXP(0.5625*LN(C280)+4.3006)*S280,
IF(_xlfn.XLOOKUP(E280,Groups!A:A,Groups!N:N)="Primate",EXP(0.7847*LN(C280)+3.4931)*S280,
IF(_xlfn.XLOOKUP(E280,Groups!A:A,Groups!N:N)="MiscCarnivora",EXP(0.7486*LN(C280)+4.2207)*S280,
IF(_xlfn.XLOOKUP(E280,Groups!A:A,Groups!N:N)="Lizard",EXP(0.7733*LN(C280)+5.5303)*S280,
IF(_xlfn.XLOOKUP(E280,Groups!A:A,Groups!N:N)="Snake",50*C280^(2/3)*S280,
IF(_xlfn.XLOOKUP(E280,Groups!A:A,Groups!N:N)="StrongBitingHerbivore",87.1133638856975*C280^(2/3)*S280,
IF(_xlfn.XLOOKUP(E280,Groups!A:A,Groups!N:N)="MiscEctotherms",59.4316884072269*C280^(2/3)*S280,
IF(_xlfn.XLOOKUP(E280,Groups!A:A,Groups!N:N)="StrongBeakBird",0.041*(C280*1000)^1.375*S280,
IF(_xlfn.XLOOKUP(E280,Groups!A:A,Groups!N:N)="Bird",0.118*(C280*1000)^0.692*S280,
IF(_xlfn.XLOOKUP(E280,Groups!A:A,Groups!N:N)="Insect",EXP(0.7444*LN(C280)+6.5696)*S280,
IF(_xlfn.XLOOKUP(E280,Groups!A:A,Groups!N:N)="Theropod",EXP(0.6966*LN(C280)+4.158)*S280,
"No"))))))))))))))))</f>
        <v>6361.6409836331723</v>
      </c>
      <c r="AU280" s="8">
        <f>IF(_xlfn.XLOOKUP(E280,Groups!A:A,Groups!U:U)=3,AS280,IF(_xlfn.XLOOKUP(E280,Groups!A:A,Groups!U:U)=2,AR280,AT280))</f>
        <v>6361.6409836331723</v>
      </c>
      <c r="AV280" s="46">
        <f>IFERROR(AVERAGE(_xlfn.XLOOKUP(B280,Animals!B:B,Animals!N:N),_xlfn.XLOOKUP(B280,Animals!B:B,Animals!O:O)),0)</f>
        <v>0</v>
      </c>
      <c r="AW280" s="8">
        <f>MROUND(40*Animals!AO280*_xlfn.XLOOKUP(AG280,Leathers!$A$2:$A$99,Leathers!$B$2:$B$99,0)+(140*_xlfn.XLOOKUP(B280,Animals!B:B,Animals!AO:AO)*2),5)</f>
        <v>760</v>
      </c>
      <c r="AX280" s="8">
        <f>IFERROR(ROUND(SQRT(V280-1)*IF(_xlfn.XLOOKUP(E280,Groups!A:A,Groups!BF:BF)=0,2,1)*IF(_xlfn.XLOOKUP('Base stats'!E280,Groups!A:A,Groups!O:O)=0,1,0.1),1),0)</f>
        <v>4</v>
      </c>
      <c r="AY280" s="8">
        <f t="shared" si="143"/>
        <v>2.4</v>
      </c>
      <c r="AZ280" s="8">
        <f t="shared" si="144"/>
        <v>0</v>
      </c>
      <c r="BA280" s="8">
        <f t="shared" si="145"/>
        <v>5.0999999999999996</v>
      </c>
      <c r="BB280" s="8">
        <f>IF(_xlfn.XLOOKUP(E280,Groups!A:A,Groups!N:N)="Insect",BD280*2.5,IFERROR(AVERAGE(BD280,AT280/9.81/IF(OR(_xlfn.XLOOKUP(E280,Groups!A:A,Groups!N:N)="Pig",_xlfn.XLOOKUP(E280,Groups!A:A,Groups!N:N)="StrongBitingHerbivore"),20,25))*C280^-0.135,BD280))</f>
        <v>7.1718538965588454</v>
      </c>
      <c r="BC280" s="8" t="str">
        <f>IF(W280="No","No",IF(_xlfn.XLOOKUP(E280,Groups!A:A,Groups!U:U)=1,'Base stats'!BB280,IF(OR(_xlfn.XLOOKUP(E280,Groups!A:A,Groups!BD:BD)=1,_xlfn.XLOOKUP(E280,Groups!A:A,Groups!U:U)=2),BD280,IF(_xlfn.XLOOKUP(B280,Animals!B:B,Animals!AO:AO)&gt;4,AVERAGE(BD280,BF280),BF280))))</f>
        <v>No</v>
      </c>
      <c r="BD280" s="8">
        <f t="shared" si="146"/>
        <v>2.8658317212697093</v>
      </c>
      <c r="BE280" s="8">
        <f>IF(_xlfn.XLOOKUP(E280,Groups!A:A,Groups!BE:BE)=1,(0.048*C280^1.01)+(0.071*C280^1.03),0.071*C280^1.03)/IF(_xlfn.XLOOKUP(E280,Groups!A:A,Groups!M:M)=1,0.85,IF(OR(_xlfn.XLOOKUP(B280,Animals!B:B,Animals!AO:AO)&gt;4,_xlfn.XLOOKUP(E280,Groups!A:A,Groups!BC:BC)=1),1.7,1))*C280^-0.25</f>
        <v>3.9886692649639115</v>
      </c>
      <c r="BF280" s="8">
        <f>(0.048*C280^1.01)/IF(_xlfn.XLOOKUP(E280,Groups!A:A,Groups!M:M)=1,0.25,0.8)*C280^-0.25</f>
        <v>3.0399060897818067</v>
      </c>
      <c r="BG280" s="8">
        <f>EXP(1.076*LN(AR280)-4.5397)*IF(_xlfn.XLOOKUP(E280,Groups!A:A,Groups!BC:BC)=1,1.25,IF(_xlfn.XLOOKUP(E280,Groups!A:A,Groups!BD:BD)=1,3.5,2.5))</f>
        <v>214.98026692526588</v>
      </c>
      <c r="BH280" s="8">
        <f>EXP(1.076*LN(AS280)-4.5397)*IF(_xlfn.XLOOKUP(E280,Groups!A:A,Groups!M:M)=1,0.8,IF(_xlfn.XLOOKUP(E280,Groups!A:A,Groups!BC:BC)=1,1.3,3))</f>
        <v>262.29549038848609</v>
      </c>
      <c r="BI280" s="8" t="str">
        <f>IF(W280="No","No",IF(_xlfn.XLOOKUP(E280,Groups!A:A,Groups!U:U)=1,'Base stats'!BJ280,IF(OR(_xlfn.XLOOKUP(E280,Groups!A:A,Groups!BD:BD)=1,_xlfn.XLOOKUP(E280,Groups!A:A,Groups!U:U)=2),BG280,BH280))*1.2)</f>
        <v>No</v>
      </c>
      <c r="BJ280" s="8">
        <f>IFERROR(EXP(1.076*LN(AT280)-4.5397)*IF(_xlfn.XLOOKUP(E280,Groups!A:A,Groups!N:N)="Insect",1,IF(OR(_xlfn.XLOOKUP(E280,Groups!A:A,Groups!N:N)="Pig",_xlfn.XLOOKUP(E280,Groups!A:A,Groups!N:N)="StrongBitingHerbivore"),3.5,3.75)),"No")</f>
        <v>495.57001421584039</v>
      </c>
      <c r="BK280" s="8">
        <f t="shared" si="147"/>
        <v>12</v>
      </c>
      <c r="BL280" s="8">
        <f t="shared" si="148"/>
        <v>11</v>
      </c>
      <c r="BM280" s="8" t="str">
        <f t="shared" si="149"/>
        <v>No</v>
      </c>
      <c r="BN280" s="8">
        <f t="shared" si="150"/>
        <v>11</v>
      </c>
      <c r="BO280" s="8">
        <f t="shared" si="151"/>
        <v>13</v>
      </c>
      <c r="BP280" s="8" cm="1">
        <f t="array" ref="BP280">IF(AND(_xlfn.XLOOKUP('Base stats'!E280,Groups!A:A,Groups!AD:AD=0),_xlfn.XLOOKUP('Base stats'!E280,Groups!A:A,Groups!P:P=0)),"No",IF(U280="No",AVERAGE(EXP(-0.57+0.99*LN(C280)),EXP(0.32+0.67*LN(C280)))/IF(_xlfn.XLOOKUP(E280,Groups!A:A,Groups!AD:AD)=1,10,2),(0.7354*C280^0.4078)*2/IF(_xlfn.XLOOKUP(E280,Groups!A:A,Groups!BK:BK)=1,1000,100)/IF(_xlfn.XLOOKUP(E280,Groups!A:A,Groups!AJ:AJ)="Photonozoa",3,1)))</f>
        <v>0.12085497627710437</v>
      </c>
      <c r="BQ280" s="8" t="str">
        <f>IF(W280="No","No",IF(_xlfn.XLOOKUP(E280,Groups!A:A,Groups!BD:BD)=1,(AO280*5%),EXP(0.7354*LN(C280)^0.4078)*2/IF(_xlfn.XLOOKUP(E280,Groups!A:A,Groups!BL:BL)=1,1000,100)/IF(_xlfn.XLOOKUP(E280,Groups!A:A,Groups!AJ:AJ)="Photonozoa",3,1)))</f>
        <v>No</v>
      </c>
      <c r="BR280" s="8">
        <f>IF(BJ280="No","No",IF(_xlfn.XLOOKUP(E280,Groups!A:A,Groups!BF:BF)=1,(0.0315*C280+2.1825)*2,(0.7354*C280^0.4078)*2)/IF(_xlfn.XLOOKUP(E280,Groups!A:A,Groups!BM:BM)=1,1000,100)/IF(_xlfn.XLOOKUP(E280,Groups!A:A,Groups!AJ:AJ)="Photonozoa",3,1))</f>
        <v>0.12085497627710437</v>
      </c>
      <c r="BS280" s="8">
        <f t="shared" si="152"/>
        <v>0.13493694798219993</v>
      </c>
      <c r="BT280" s="8">
        <f t="shared" si="153"/>
        <v>2170.3325627823338</v>
      </c>
      <c r="BU280" s="8" t="str">
        <f t="shared" si="154"/>
        <v>No</v>
      </c>
      <c r="BV280" s="8">
        <f t="shared" si="155"/>
        <v>4100.5346199362475</v>
      </c>
      <c r="BW280" s="4">
        <v>0</v>
      </c>
      <c r="BX280" s="4">
        <v>1</v>
      </c>
    </row>
    <row r="281" spans="1:76" s="16" customFormat="1" x14ac:dyDescent="0.25">
      <c r="A281" s="26" t="s">
        <v>1454</v>
      </c>
      <c r="B281" s="6" t="s">
        <v>1833</v>
      </c>
      <c r="C281" s="7">
        <v>110</v>
      </c>
      <c r="D281" s="7" t="s">
        <v>528</v>
      </c>
      <c r="E281" s="7" t="str">
        <f>Groups!$A$19</f>
        <v>Catlike</v>
      </c>
      <c r="F281" s="7">
        <v>99</v>
      </c>
      <c r="G281" s="7">
        <f>AVERAGE(30/12,3)</f>
        <v>2.75</v>
      </c>
      <c r="H281" s="7">
        <v>28</v>
      </c>
      <c r="I281" s="4">
        <v>1</v>
      </c>
      <c r="J281" s="7">
        <v>2</v>
      </c>
      <c r="K281" s="7" t="s">
        <v>528</v>
      </c>
      <c r="L281" s="7">
        <f>MIN(37.5*C281^0.089,79.3*C281^-0.072)</f>
        <v>56.53181303755688</v>
      </c>
      <c r="M281" s="7" t="s">
        <v>528</v>
      </c>
      <c r="N281" s="4">
        <v>0</v>
      </c>
      <c r="O281" s="4">
        <v>0</v>
      </c>
      <c r="P281" s="4">
        <v>0</v>
      </c>
      <c r="Q281" s="4">
        <v>0</v>
      </c>
      <c r="R281" s="4" t="s">
        <v>40</v>
      </c>
      <c r="S281" s="7">
        <f>_xlfn.XLOOKUP(B281,[1]TeethAdjusters!$A:$A,[1]BiteAdjusters!$C:$C,1)</f>
        <v>1</v>
      </c>
      <c r="T281" s="7">
        <f>_xlfn.XLOOKUP(B281,[1]TeethAdjusters!$A:$A,[1]TeethAdjusters!$B:$B,1)</f>
        <v>1</v>
      </c>
      <c r="U281" s="7">
        <v>5.5</v>
      </c>
      <c r="V281" s="7">
        <f>IF(AT281="No","No",IF(_xlfn.XLOOKUP(E281,Groups!A:A,Groups!AM:AM)=1,MROUND(EXP(0.3582*LN(C281)-0.2221)*T281,0.05),IF(_xlfn.XLOOKUP(E281,Groups!A:A,Groups!AM:AM)=2,MROUND(EXP(0.3582*LN(C281)-0.2221)*T281,0.05),"Need a formula")))</f>
        <v>4.3</v>
      </c>
      <c r="W281" s="7" t="s">
        <v>45</v>
      </c>
      <c r="X281" s="7" t="s">
        <v>932</v>
      </c>
      <c r="Y281" s="4" t="s">
        <v>56</v>
      </c>
      <c r="Z281" s="4">
        <v>1</v>
      </c>
      <c r="AA281" s="4">
        <v>0</v>
      </c>
      <c r="AB281" s="4">
        <v>0</v>
      </c>
      <c r="AC281" s="4">
        <v>0</v>
      </c>
      <c r="AD281" s="4">
        <v>0</v>
      </c>
      <c r="AE281" s="4" t="s">
        <v>45</v>
      </c>
      <c r="AF281" s="4" t="s">
        <v>45</v>
      </c>
      <c r="AG281" s="49" t="s">
        <v>389</v>
      </c>
      <c r="AH281" s="4" t="str">
        <f>Animals!$C$19</f>
        <v>&lt;li&gt;Lynx&lt;/li&gt;</v>
      </c>
      <c r="AI281" s="4">
        <v>0</v>
      </c>
      <c r="AJ281" s="4">
        <v>0</v>
      </c>
      <c r="AK281" s="4">
        <v>0</v>
      </c>
      <c r="AL281" s="4">
        <v>0</v>
      </c>
      <c r="AM281" s="4">
        <v>1</v>
      </c>
      <c r="AN281" s="44" t="s">
        <v>40</v>
      </c>
      <c r="AO281" s="8">
        <f t="shared" si="141"/>
        <v>23562.872004884623</v>
      </c>
      <c r="AP281" s="8">
        <f>IFERROR(C281*_xlfn.XLOOKUP(E281,Groups!A:A,Groups!K:K),0.106*C281^0.94)</f>
        <v>13.7225</v>
      </c>
      <c r="AQ281" s="8">
        <f>AP281*10000/(_xlfn.XLOOKUP(E281,Groups!A:A,Groups!J:J)*AO281)</f>
        <v>5.3429181038179845</v>
      </c>
      <c r="AR281" s="8">
        <f t="shared" si="142"/>
        <v>2882.7378530788596</v>
      </c>
      <c r="AS281" s="8">
        <f>IF(_xlfn.XLOOKUP(E281,Groups!A:A,Groups!M:M)=1,EXP(0.7444*LN('Base stats'!C281)+6.5696),EXP(0.7927*LN('Base stats'!C281)+4.28))</f>
        <v>2999.1097870461922</v>
      </c>
      <c r="AT281" s="8">
        <f>IF(_xlfn.XLOOKUP(E281,Groups!A:A,Groups!N:N)="No","No",
IF(_xlfn.XLOOKUP(E281,Groups!A:A,Groups!N:N)="Crocodile",EXP(0.8129*LN(C281)+4.6742)*S281,
IF(_xlfn.XLOOKUP(E281,Groups!A:A,Groups!N:N)="Felid",EXP(0.7843*LN(C281)+4.7073)*S281,
IF(_xlfn.XLOOKUP(E281,Groups!A:A,Groups!N:N)="Canid",EXP(0.8367*LN(C281)+4.8763)*S281,
IF(_xlfn.XLOOKUP(E281,Groups!A:A,Groups!N:N)="Pig",EXP(0.3439*LN(C281)+6.8519)*S281,
IF(_xlfn.XLOOKUP(E281,Groups!A:A,Groups!N:N)="Rodent",EXP(0.5625*LN(C281)+4.3006)*S281,
IF(_xlfn.XLOOKUP(E281,Groups!A:A,Groups!N:N)="Primate",EXP(0.7847*LN(C281)+3.4931)*S281,
IF(_xlfn.XLOOKUP(E281,Groups!A:A,Groups!N:N)="MiscCarnivora",EXP(0.7486*LN(C281)+4.2207)*S281,
IF(_xlfn.XLOOKUP(E281,Groups!A:A,Groups!N:N)="Lizard",EXP(0.7733*LN(C281)+5.5303)*S281,
IF(_xlfn.XLOOKUP(E281,Groups!A:A,Groups!N:N)="Snake",50*C281^(2/3)*S281,
IF(_xlfn.XLOOKUP(E281,Groups!A:A,Groups!N:N)="StrongBitingHerbivore",87.1133638856975*C281^(2/3)*S281,
IF(_xlfn.XLOOKUP(E281,Groups!A:A,Groups!N:N)="MiscEctotherms",59.4316884072269*C281^(2/3)*S281,
IF(_xlfn.XLOOKUP(E281,Groups!A:A,Groups!N:N)="StrongBeakBird",0.041*(C281*1000)^1.375*S281,
IF(_xlfn.XLOOKUP(E281,Groups!A:A,Groups!N:N)="Bird",0.118*(C281*1000)^0.692*S281,
IF(_xlfn.XLOOKUP(E281,Groups!A:A,Groups!N:N)="Insect",EXP(0.7444*LN(C281)+6.5696)*S281,
IF(_xlfn.XLOOKUP(E281,Groups!A:A,Groups!N:N)="Theropod",EXP(0.6966*LN(C281)+4.158)*S281,
"No"))))))))))))))))</f>
        <v>4419.9636492705558</v>
      </c>
      <c r="AU281" s="8">
        <f>IF(_xlfn.XLOOKUP(E281,Groups!A:A,Groups!U:U)=3,AS281,IF(_xlfn.XLOOKUP(E281,Groups!A:A,Groups!U:U)=2,AR281,AT281))</f>
        <v>4419.9636492705558</v>
      </c>
      <c r="AV281" s="46">
        <f>IFERROR(AVERAGE(_xlfn.XLOOKUP(B281,Animals!B:B,Animals!N:N),_xlfn.XLOOKUP(B281,Animals!B:B,Animals!O:O)),0)</f>
        <v>0</v>
      </c>
      <c r="AW281" s="8">
        <f>MROUND(40*Animals!AO281*_xlfn.XLOOKUP(AG281,Leathers!$A$2:$A$99,Leathers!$B$2:$B$99,0)+(140*_xlfn.XLOOKUP(B281,Animals!B:B,Animals!AO:AO)*2),5)</f>
        <v>715</v>
      </c>
      <c r="AX281" s="8">
        <f>IFERROR(ROUND(SQRT(V281-1)*IF(_xlfn.XLOOKUP(E281,Groups!A:A,Groups!BF:BF)=0,2,1)*IF(_xlfn.XLOOKUP('Base stats'!E281,Groups!A:A,Groups!O:O)=0,1,0.1),1),0)</f>
        <v>3.6</v>
      </c>
      <c r="AY281" s="8">
        <f t="shared" si="143"/>
        <v>2.1</v>
      </c>
      <c r="AZ281" s="8">
        <f t="shared" si="144"/>
        <v>0</v>
      </c>
      <c r="BA281" s="8">
        <f t="shared" si="145"/>
        <v>4.3</v>
      </c>
      <c r="BB281" s="8">
        <f>IF(_xlfn.XLOOKUP(E281,Groups!A:A,Groups!N:N)="Insect",BD281*2.5,IFERROR(AVERAGE(BD281,AT281/9.81/IF(OR(_xlfn.XLOOKUP(E281,Groups!A:A,Groups!N:N)="Pig",_xlfn.XLOOKUP(E281,Groups!A:A,Groups!N:N)="StrongBitingHerbivore"),20,25))*C281^-0.135,BD281))</f>
        <v>5.2938948685124299</v>
      </c>
      <c r="BC281" s="8" t="str">
        <f>IF(W281="No","No",IF(_xlfn.XLOOKUP(E281,Groups!A:A,Groups!U:U)=1,'Base stats'!BB281,IF(OR(_xlfn.XLOOKUP(E281,Groups!A:A,Groups!BD:BD)=1,_xlfn.XLOOKUP(E281,Groups!A:A,Groups!U:U)=2),BD281,IF(_xlfn.XLOOKUP(B281,Animals!B:B,Animals!AO:AO)&gt;4,AVERAGE(BD281,BF281),BF281))))</f>
        <v>No</v>
      </c>
      <c r="BD281" s="8">
        <f t="shared" si="146"/>
        <v>1.9484236319703521</v>
      </c>
      <c r="BE281" s="8">
        <f>IF(_xlfn.XLOOKUP(E281,Groups!A:A,Groups!BE:BE)=1,(0.048*C281^1.01)+(0.071*C281^1.03),0.071*C281^1.03)/IF(_xlfn.XLOOKUP(E281,Groups!A:A,Groups!M:M)=1,0.85,IF(OR(_xlfn.XLOOKUP(B281,Animals!B:B,Animals!AO:AO)&gt;4,_xlfn.XLOOKUP(E281,Groups!A:A,Groups!BC:BC)=1),1.7,1))*C281^-0.25</f>
        <v>2.7768002716038853</v>
      </c>
      <c r="BF281" s="8">
        <f>(0.048*C281^1.01)/IF(_xlfn.XLOOKUP(E281,Groups!A:A,Groups!M:M)=1,0.25,0.8)*C281^-0.25</f>
        <v>2.136041524551743</v>
      </c>
      <c r="BG281" s="8">
        <f>EXP(1.076*LN(AR281)-4.5397)*IF(_xlfn.XLOOKUP(E281,Groups!A:A,Groups!BC:BC)=1,1.25,IF(_xlfn.XLOOKUP(E281,Groups!A:A,Groups!BD:BD)=1,3.5,2.5))</f>
        <v>140.96902353450386</v>
      </c>
      <c r="BH281" s="8">
        <f>EXP(1.076*LN(AS281)-4.5397)*IF(_xlfn.XLOOKUP(E281,Groups!A:A,Groups!M:M)=1,0.8,IF(_xlfn.XLOOKUP(E281,Groups!A:A,Groups!BC:BC)=1,1.3,3))</f>
        <v>176.52181286329241</v>
      </c>
      <c r="BI281" s="8" t="str">
        <f>IF(W281="No","No",IF(_xlfn.XLOOKUP(E281,Groups!A:A,Groups!U:U)=1,'Base stats'!BJ281,IF(OR(_xlfn.XLOOKUP(E281,Groups!A:A,Groups!BD:BD)=1,_xlfn.XLOOKUP(E281,Groups!A:A,Groups!U:U)=2),BG281,BH281))*1.2)</f>
        <v>No</v>
      </c>
      <c r="BJ281" s="8">
        <f>IFERROR(EXP(1.076*LN(AT281)-4.5397)*IF(_xlfn.XLOOKUP(E281,Groups!A:A,Groups!N:N)="Insect",1,IF(OR(_xlfn.XLOOKUP(E281,Groups!A:A,Groups!N:N)="Pig",_xlfn.XLOOKUP(E281,Groups!A:A,Groups!N:N)="StrongBitingHerbivore"),3.5,3.75)),"No")</f>
        <v>334.91540714117036</v>
      </c>
      <c r="BK281" s="8">
        <f t="shared" si="147"/>
        <v>12</v>
      </c>
      <c r="BL281" s="8">
        <f t="shared" si="148"/>
        <v>11</v>
      </c>
      <c r="BM281" s="8" t="str">
        <f t="shared" si="149"/>
        <v>No</v>
      </c>
      <c r="BN281" s="8">
        <f t="shared" si="150"/>
        <v>11</v>
      </c>
      <c r="BO281" s="8">
        <f t="shared" si="151"/>
        <v>12</v>
      </c>
      <c r="BP281" s="8" cm="1">
        <f t="array" ref="BP281">IF(AND(_xlfn.XLOOKUP('Base stats'!E281,Groups!A:A,Groups!AD:AD=0),_xlfn.XLOOKUP('Base stats'!E281,Groups!A:A,Groups!P:P=0)),"No",IF(U281="No",AVERAGE(EXP(-0.57+0.99*LN(C281)),EXP(0.32+0.67*LN(C281)))/IF(_xlfn.XLOOKUP(E281,Groups!A:A,Groups!AD:AD)=1,10,2),(0.7354*C281^0.4078)*2/IF(_xlfn.XLOOKUP(E281,Groups!A:A,Groups!BK:BK)=1,1000,100)/IF(_xlfn.XLOOKUP(E281,Groups!A:A,Groups!AJ:AJ)="Photonozoa",3,1)))</f>
        <v>0.10000772736065329</v>
      </c>
      <c r="BQ281" s="8" t="str">
        <f>IF(W281="No","No",IF(_xlfn.XLOOKUP(E281,Groups!A:A,Groups!BD:BD)=1,(AO281*5%),EXP(0.7354*LN(C281)^0.4078)*2/IF(_xlfn.XLOOKUP(E281,Groups!A:A,Groups!BL:BL)=1,1000,100)/IF(_xlfn.XLOOKUP(E281,Groups!A:A,Groups!AJ:AJ)="Photonozoa",3,1)))</f>
        <v>No</v>
      </c>
      <c r="BR281" s="8">
        <f>IF(BJ281="No","No",IF(_xlfn.XLOOKUP(E281,Groups!A:A,Groups!BF:BF)=1,(0.0315*C281+2.1825)*2,(0.7354*C281^0.4078)*2)/IF(_xlfn.XLOOKUP(E281,Groups!A:A,Groups!BM:BM)=1,1000,100)/IF(_xlfn.XLOOKUP(E281,Groups!A:A,Groups!AJ:AJ)="Photonozoa",3,1))</f>
        <v>0.10000772736065329</v>
      </c>
      <c r="BS281" s="8">
        <f t="shared" si="152"/>
        <v>0.11965351550123493</v>
      </c>
      <c r="BT281" s="8">
        <f t="shared" si="153"/>
        <v>1765.0817344014815</v>
      </c>
      <c r="BU281" s="8" t="str">
        <f t="shared" si="154"/>
        <v>No</v>
      </c>
      <c r="BV281" s="8">
        <f t="shared" si="155"/>
        <v>3348.8952901947291</v>
      </c>
      <c r="BW281" s="4">
        <v>0</v>
      </c>
      <c r="BX281" s="4">
        <v>1</v>
      </c>
    </row>
    <row r="282" spans="1:76" s="16" customFormat="1" x14ac:dyDescent="0.25">
      <c r="A282" s="26" t="s">
        <v>1536</v>
      </c>
      <c r="B282" s="6" t="s">
        <v>1835</v>
      </c>
      <c r="C282" s="7">
        <v>4</v>
      </c>
      <c r="D282" s="7" t="s">
        <v>528</v>
      </c>
      <c r="E282" s="7" t="str">
        <f>Groups!$A$19</f>
        <v>Catlike</v>
      </c>
      <c r="F282" s="7">
        <v>65</v>
      </c>
      <c r="G282" s="7">
        <f>289/365</f>
        <v>0.79178082191780819</v>
      </c>
      <c r="H282" s="7">
        <v>30</v>
      </c>
      <c r="I282" s="4">
        <v>0</v>
      </c>
      <c r="J282" s="7">
        <v>4</v>
      </c>
      <c r="K282" s="7" t="s">
        <v>528</v>
      </c>
      <c r="L282" s="7">
        <f>MIN(37.5*C282^0.089,79.3*C282^-0.072)</f>
        <v>42.42429235672126</v>
      </c>
      <c r="M282" s="7" t="s">
        <v>528</v>
      </c>
      <c r="N282" s="4">
        <v>0</v>
      </c>
      <c r="O282" s="4">
        <v>2</v>
      </c>
      <c r="P282" s="4">
        <v>0</v>
      </c>
      <c r="Q282" s="4">
        <v>0</v>
      </c>
      <c r="R282" s="4" t="s">
        <v>40</v>
      </c>
      <c r="S282" s="7">
        <f>_xlfn.XLOOKUP(B282,[1]TeethAdjusters!$A:$A,[1]BiteAdjusters!$C:$C,1)</f>
        <v>1</v>
      </c>
      <c r="T282" s="7">
        <f>_xlfn.XLOOKUP(B282,[1]TeethAdjusters!$A:$A,[1]TeethAdjusters!$B:$B,1)</f>
        <v>1</v>
      </c>
      <c r="U282" s="7">
        <f>MROUND(1.2,0.05)</f>
        <v>1.2000000000000002</v>
      </c>
      <c r="V282" s="7">
        <f>IF(AT282="No","No",IF(_xlfn.XLOOKUP(E282,Groups!A:A,Groups!AM:AM)=1,MROUND(EXP(0.3582*LN(C282)-0.2221)*T282,0.05),IF(_xlfn.XLOOKUP(E282,Groups!A:A,Groups!AM:AM)=2,MROUND(EXP(0.3582*LN(C282)-0.2221)*T282,0.05),"Need a formula")))</f>
        <v>1.3</v>
      </c>
      <c r="W282" s="7" t="s">
        <v>45</v>
      </c>
      <c r="X282" s="7" t="s">
        <v>932</v>
      </c>
      <c r="Y282" s="4" t="s">
        <v>56</v>
      </c>
      <c r="Z282" s="4">
        <v>1</v>
      </c>
      <c r="AA282" s="4">
        <v>0</v>
      </c>
      <c r="AB282" s="4">
        <v>0</v>
      </c>
      <c r="AC282" s="4">
        <v>0</v>
      </c>
      <c r="AD282" s="4">
        <v>0</v>
      </c>
      <c r="AE282" s="4" t="s">
        <v>45</v>
      </c>
      <c r="AF282" s="4" t="s">
        <v>45</v>
      </c>
      <c r="AG282" s="49" t="s">
        <v>385</v>
      </c>
      <c r="AH282" s="4" t="str">
        <f>Animals!$C$20</f>
        <v>&lt;li&gt;Cat&lt;/li&gt;</v>
      </c>
      <c r="AI282" s="4">
        <v>0</v>
      </c>
      <c r="AJ282" s="4">
        <v>0</v>
      </c>
      <c r="AK282" s="4">
        <v>0</v>
      </c>
      <c r="AL282" s="4">
        <v>0</v>
      </c>
      <c r="AM282" s="4">
        <v>1</v>
      </c>
      <c r="AN282" s="44" t="s">
        <v>40</v>
      </c>
      <c r="AO282" s="8">
        <f t="shared" si="141"/>
        <v>2733.1405976257147</v>
      </c>
      <c r="AP282" s="8">
        <f>IFERROR(C282*_xlfn.XLOOKUP(E282,Groups!A:A,Groups!K:K),0.106*C282^0.94)</f>
        <v>0.499</v>
      </c>
      <c r="AQ282" s="8">
        <f>AP282*10000/(_xlfn.XLOOKUP(E282,Groups!A:A,Groups!J:J)*AO282)</f>
        <v>1.6749894445068245</v>
      </c>
      <c r="AR282" s="8">
        <f t="shared" si="142"/>
        <v>175.38838309895641</v>
      </c>
      <c r="AS282" s="8">
        <f>IF(_xlfn.XLOOKUP(E282,Groups!A:A,Groups!M:M)=1,EXP(0.7444*LN('Base stats'!C282)+6.5696),EXP(0.7927*LN('Base stats'!C282)+4.28))</f>
        <v>216.78705102987425</v>
      </c>
      <c r="AT282" s="8">
        <f>IF(_xlfn.XLOOKUP(E282,Groups!A:A,Groups!N:N)="No","No",
IF(_xlfn.XLOOKUP(E282,Groups!A:A,Groups!N:N)="Crocodile",EXP(0.8129*LN(C282)+4.6742)*S282,
IF(_xlfn.XLOOKUP(E282,Groups!A:A,Groups!N:N)="Felid",EXP(0.7843*LN(C282)+4.7073)*S282,
IF(_xlfn.XLOOKUP(E282,Groups!A:A,Groups!N:N)="Canid",EXP(0.8367*LN(C282)+4.8763)*S282,
IF(_xlfn.XLOOKUP(E282,Groups!A:A,Groups!N:N)="Pig",EXP(0.3439*LN(C282)+6.8519)*S282,
IF(_xlfn.XLOOKUP(E282,Groups!A:A,Groups!N:N)="Rodent",EXP(0.5625*LN(C282)+4.3006)*S282,
IF(_xlfn.XLOOKUP(E282,Groups!A:A,Groups!N:N)="Primate",EXP(0.7847*LN(C282)+3.4931)*S282,
IF(_xlfn.XLOOKUP(E282,Groups!A:A,Groups!N:N)="MiscCarnivora",EXP(0.7486*LN(C282)+4.2207)*S282,
IF(_xlfn.XLOOKUP(E282,Groups!A:A,Groups!N:N)="Lizard",EXP(0.7733*LN(C282)+5.5303)*S282,
IF(_xlfn.XLOOKUP(E282,Groups!A:A,Groups!N:N)="Snake",50*C282^(2/3)*S282,
IF(_xlfn.XLOOKUP(E282,Groups!A:A,Groups!N:N)="StrongBitingHerbivore",87.1133638856975*C282^(2/3)*S282,
IF(_xlfn.XLOOKUP(E282,Groups!A:A,Groups!N:N)="MiscEctotherms",59.4316884072269*C282^(2/3)*S282,
IF(_xlfn.XLOOKUP(E282,Groups!A:A,Groups!N:N)="StrongBeakBird",0.041*(C282*1000)^1.375*S282,
IF(_xlfn.XLOOKUP(E282,Groups!A:A,Groups!N:N)="Bird",0.118*(C282*1000)^0.692*S282,
IF(_xlfn.XLOOKUP(E282,Groups!A:A,Groups!N:N)="Insect",EXP(0.7444*LN(C282)+6.5696)*S282,
IF(_xlfn.XLOOKUP(E282,Groups!A:A,Groups!N:N)="Theropod",EXP(0.6966*LN(C282)+4.158)*S282,
"No"))))))))))))))))</f>
        <v>328.51111317927263</v>
      </c>
      <c r="AU282" s="8">
        <f>IF(_xlfn.XLOOKUP(E282,Groups!A:A,Groups!U:U)=3,AS282,IF(_xlfn.XLOOKUP(E282,Groups!A:A,Groups!U:U)=2,AR282,AT282))</f>
        <v>328.51111317927263</v>
      </c>
      <c r="AV282" s="46">
        <f>IFERROR(AVERAGE(_xlfn.XLOOKUP(B282,Animals!B:B,Animals!N:N),_xlfn.XLOOKUP(B282,Animals!B:B,Animals!O:O)),0)</f>
        <v>0</v>
      </c>
      <c r="AW282" s="8">
        <f>MROUND(40*Animals!AO282*_xlfn.XLOOKUP(AG282,Leathers!$A$2:$A$99,Leathers!$B$2:$B$99,0)+(140*_xlfn.XLOOKUP(B282,Animals!B:B,Animals!AO:AO)*2),5)</f>
        <v>330</v>
      </c>
      <c r="AX282" s="8">
        <f>IFERROR(ROUND(SQRT(V282-1)*IF(_xlfn.XLOOKUP(E282,Groups!A:A,Groups!BF:BF)=0,2,1)*IF(_xlfn.XLOOKUP('Base stats'!E282,Groups!A:A,Groups!O:O)=0,1,0.1),1),0)</f>
        <v>1.1000000000000001</v>
      </c>
      <c r="AY282" s="8">
        <f t="shared" si="143"/>
        <v>0.4</v>
      </c>
      <c r="AZ282" s="8">
        <f t="shared" si="144"/>
        <v>0</v>
      </c>
      <c r="BA282" s="8">
        <f t="shared" si="145"/>
        <v>1</v>
      </c>
      <c r="BB282" s="8">
        <f>IF(_xlfn.XLOOKUP(E282,Groups!A:A,Groups!N:N)="Insect",BD282*2.5,IFERROR(AVERAGE(BD282,AT282/9.81/IF(OR(_xlfn.XLOOKUP(E282,Groups!A:A,Groups!N:N)="Pig",_xlfn.XLOOKUP(E282,Groups!A:A,Groups!N:N)="StrongBitingHerbivore"),20,25))*C282^-0.135,BD282))</f>
        <v>0.60687331354867147</v>
      </c>
      <c r="BC282" s="8" t="str">
        <f>IF(W282="No","No",IF(_xlfn.XLOOKUP(E282,Groups!A:A,Groups!U:U)=1,'Base stats'!BB282,IF(OR(_xlfn.XLOOKUP(E282,Groups!A:A,Groups!BD:BD)=1,_xlfn.XLOOKUP(E282,Groups!A:A,Groups!U:U)=2),BD282,IF(_xlfn.XLOOKUP(B282,Animals!B:B,Animals!AO:AO)&gt;4,AVERAGE(BD282,BF282),BF282))))</f>
        <v>No</v>
      </c>
      <c r="BD282" s="8">
        <f t="shared" si="146"/>
        <v>0.12405032882587851</v>
      </c>
      <c r="BE282" s="8">
        <f>IF(_xlfn.XLOOKUP(E282,Groups!A:A,Groups!BE:BE)=1,(0.048*C282^1.01)+(0.071*C282^1.03),0.071*C282^1.03)/IF(_xlfn.XLOOKUP(E282,Groups!A:A,Groups!M:M)=1,0.85,IF(OR(_xlfn.XLOOKUP(B282,Animals!B:B,Animals!AO:AO)&gt;4,_xlfn.XLOOKUP(E282,Groups!A:A,Groups!BC:BC)=1),1.7,1))*C282^-0.25</f>
        <v>0.20934622885533638</v>
      </c>
      <c r="BF282" s="8">
        <f>(0.048*C282^1.01)/IF(_xlfn.XLOOKUP(E282,Groups!A:A,Groups!M:M)=1,0.25,0.8)*C282^-0.25</f>
        <v>0.17207462976189927</v>
      </c>
      <c r="BG282" s="8">
        <f>EXP(1.076*LN(AR282)-4.5397)*IF(_xlfn.XLOOKUP(E282,Groups!A:A,Groups!BC:BC)=1,1.25,IF(_xlfn.XLOOKUP(E282,Groups!A:A,Groups!BD:BD)=1,3.5,2.5))</f>
        <v>6.9329526832092121</v>
      </c>
      <c r="BH282" s="8">
        <f>EXP(1.076*LN(AS282)-4.5397)*IF(_xlfn.XLOOKUP(E282,Groups!A:A,Groups!M:M)=1,0.8,IF(_xlfn.XLOOKUP(E282,Groups!A:A,Groups!BC:BC)=1,1.3,3))</f>
        <v>10.450244860597079</v>
      </c>
      <c r="BI282" s="8" t="str">
        <f>IF(W282="No","No",IF(_xlfn.XLOOKUP(E282,Groups!A:A,Groups!U:U)=1,'Base stats'!BJ282,IF(OR(_xlfn.XLOOKUP(E282,Groups!A:A,Groups!BD:BD)=1,_xlfn.XLOOKUP(E282,Groups!A:A,Groups!U:U)=2),BG282,BH282))*1.2)</f>
        <v>No</v>
      </c>
      <c r="BJ282" s="8">
        <f>IFERROR(EXP(1.076*LN(AT282)-4.5397)*IF(_xlfn.XLOOKUP(E282,Groups!A:A,Groups!N:N)="Insect",1,IF(OR(_xlfn.XLOOKUP(E282,Groups!A:A,Groups!N:N)="Pig",_xlfn.XLOOKUP(E282,Groups!A:A,Groups!N:N)="StrongBitingHerbivore"),3.5,3.75)),"No")</f>
        <v>20.430193458786896</v>
      </c>
      <c r="BK282" s="8">
        <f t="shared" si="147"/>
        <v>10</v>
      </c>
      <c r="BL282" s="8">
        <f t="shared" si="148"/>
        <v>9</v>
      </c>
      <c r="BM282" s="8" t="str">
        <f t="shared" si="149"/>
        <v>No</v>
      </c>
      <c r="BN282" s="8">
        <f t="shared" si="150"/>
        <v>8</v>
      </c>
      <c r="BO282" s="8">
        <f t="shared" si="151"/>
        <v>11</v>
      </c>
      <c r="BP282" s="8" cm="1">
        <f t="array" ref="BP282">IF(AND(_xlfn.XLOOKUP('Base stats'!E282,Groups!A:A,Groups!AD:AD=0),_xlfn.XLOOKUP('Base stats'!E282,Groups!A:A,Groups!P:P=0)),"No",IF(U282="No",AVERAGE(EXP(-0.57+0.99*LN(C282)),EXP(0.32+0.67*LN(C282)))/IF(_xlfn.XLOOKUP(E282,Groups!A:A,Groups!AD:AD)=1,10,2),(0.7354*C282^0.4078)*2/IF(_xlfn.XLOOKUP(E282,Groups!A:A,Groups!BK:BK)=1,1000,100)/IF(_xlfn.XLOOKUP(E282,Groups!A:A,Groups!AJ:AJ)="Photonozoa",3,1)))</f>
        <v>2.5886520880316049E-2</v>
      </c>
      <c r="BQ282" s="8" t="str">
        <f>IF(W282="No","No",IF(_xlfn.XLOOKUP(E282,Groups!A:A,Groups!BD:BD)=1,(AO282*5%),EXP(0.7354*LN(C282)^0.4078)*2/IF(_xlfn.XLOOKUP(E282,Groups!A:A,Groups!BL:BL)=1,1000,100)/IF(_xlfn.XLOOKUP(E282,Groups!A:A,Groups!AJ:AJ)="Photonozoa",3,1)))</f>
        <v>No</v>
      </c>
      <c r="BR282" s="8">
        <f>IF(BJ282="No","No",IF(_xlfn.XLOOKUP(E282,Groups!A:A,Groups!BF:BF)=1,(0.0315*C282+2.1825)*2,(0.7354*C282^0.4078)*2)/IF(_xlfn.XLOOKUP(E282,Groups!A:A,Groups!BM:BM)=1,1000,100)/IF(_xlfn.XLOOKUP(E282,Groups!A:A,Groups!AJ:AJ)="Photonozoa",3,1))</f>
        <v>2.5886520880316049E-2</v>
      </c>
      <c r="BS282" s="8">
        <f t="shared" si="152"/>
        <v>5.0732499376225891E-2</v>
      </c>
      <c r="BT282" s="8">
        <f t="shared" si="153"/>
        <v>403.69445198575841</v>
      </c>
      <c r="BU282" s="8" t="str">
        <f t="shared" si="154"/>
        <v>No</v>
      </c>
      <c r="BV282" s="8">
        <f t="shared" si="155"/>
        <v>789.22129216374879</v>
      </c>
      <c r="BW282" s="4">
        <v>0</v>
      </c>
      <c r="BX282" s="4">
        <v>1</v>
      </c>
    </row>
    <row r="283" spans="1:76" s="16" customFormat="1" x14ac:dyDescent="0.25">
      <c r="A283" s="26" t="s">
        <v>1404</v>
      </c>
      <c r="B283" s="6" t="s">
        <v>1625</v>
      </c>
      <c r="C283" s="7">
        <v>20</v>
      </c>
      <c r="D283" s="7" t="s">
        <v>528</v>
      </c>
      <c r="E283" s="7" t="str">
        <f>Groups!$A$19</f>
        <v>Catlike</v>
      </c>
      <c r="F283" s="7">
        <v>66</v>
      </c>
      <c r="G283" s="7">
        <f>639/365</f>
        <v>1.7506849315068493</v>
      </c>
      <c r="H283" s="7">
        <v>26</v>
      </c>
      <c r="I283" s="4">
        <v>1</v>
      </c>
      <c r="J283" s="7">
        <v>2</v>
      </c>
      <c r="K283" s="7" t="s">
        <v>528</v>
      </c>
      <c r="L283" s="7">
        <f>MIN(37.5*C283^0.089,79.3*C283^-0.072)</f>
        <v>48.957917634411459</v>
      </c>
      <c r="M283" s="7" t="s">
        <v>528</v>
      </c>
      <c r="N283" s="4">
        <v>0</v>
      </c>
      <c r="O283" s="4">
        <v>0</v>
      </c>
      <c r="P283" s="4">
        <v>0</v>
      </c>
      <c r="Q283" s="4">
        <v>0</v>
      </c>
      <c r="R283" s="4" t="s">
        <v>40</v>
      </c>
      <c r="S283" s="7">
        <f>_xlfn.XLOOKUP(B283,[1]TeethAdjusters!$A:$A,[1]BiteAdjusters!$C:$C,1)</f>
        <v>1.006394342764126</v>
      </c>
      <c r="T283" s="7">
        <f>_xlfn.XLOOKUP(B283,[1]TeethAdjusters!$A:$A,[1]TeethAdjusters!$B:$B,1)</f>
        <v>0.90811679292382275</v>
      </c>
      <c r="U283" s="7">
        <v>3.5</v>
      </c>
      <c r="V283" s="7">
        <f>IF(AT283="No","No",IF(_xlfn.XLOOKUP(E283,Groups!A:A,Groups!AM:AM)=1,MROUND(EXP(0.3582*LN(C283)-0.2221)*T283,0.05),IF(_xlfn.XLOOKUP(E283,Groups!A:A,Groups!AM:AM)=2,MROUND(EXP(0.3582*LN(C283)-0.2221)*T283,0.05),"Need a formula")))</f>
        <v>2.15</v>
      </c>
      <c r="W283" s="7" t="s">
        <v>45</v>
      </c>
      <c r="X283" s="7" t="s">
        <v>932</v>
      </c>
      <c r="Y283" s="4" t="s">
        <v>56</v>
      </c>
      <c r="Z283" s="4">
        <v>1</v>
      </c>
      <c r="AA283" s="4">
        <v>0</v>
      </c>
      <c r="AB283" s="4">
        <v>0</v>
      </c>
      <c r="AC283" s="4">
        <v>0</v>
      </c>
      <c r="AD283" s="4">
        <v>0</v>
      </c>
      <c r="AE283" s="4" t="s">
        <v>45</v>
      </c>
      <c r="AF283" s="4" t="s">
        <v>45</v>
      </c>
      <c r="AG283" s="49" t="s">
        <v>389</v>
      </c>
      <c r="AH283" s="4" t="str">
        <f>Animals!$C$19</f>
        <v>&lt;li&gt;Lynx&lt;/li&gt;</v>
      </c>
      <c r="AI283" s="4">
        <v>0</v>
      </c>
      <c r="AJ283" s="4">
        <v>0</v>
      </c>
      <c r="AK283" s="4">
        <v>0</v>
      </c>
      <c r="AL283" s="4">
        <v>0</v>
      </c>
      <c r="AM283" s="4">
        <v>1</v>
      </c>
      <c r="AN283" s="44" t="s">
        <v>40</v>
      </c>
      <c r="AO283" s="8">
        <f t="shared" si="141"/>
        <v>7780.2307188855666</v>
      </c>
      <c r="AP283" s="8">
        <f>IFERROR(C283*_xlfn.XLOOKUP(E283,Groups!A:A,Groups!K:K),0.106*C283^0.94)</f>
        <v>2.4950000000000001</v>
      </c>
      <c r="AQ283" s="8">
        <f>AP283*10000/(_xlfn.XLOOKUP(E283,Groups!A:A,Groups!J:J)*AO283)</f>
        <v>2.9420603429302239</v>
      </c>
      <c r="AR283" s="8">
        <f t="shared" si="142"/>
        <v>683.0001310678939</v>
      </c>
      <c r="AS283" s="8">
        <f>IF(_xlfn.XLOOKUP(E283,Groups!A:A,Groups!M:M)=1,EXP(0.7444*LN('Base stats'!C283)+6.5696),EXP(0.7927*LN('Base stats'!C283)+4.28))</f>
        <v>776.43813921979063</v>
      </c>
      <c r="AT283" s="8">
        <f>IF(_xlfn.XLOOKUP(E283,Groups!A:A,Groups!N:N)="No","No",
IF(_xlfn.XLOOKUP(E283,Groups!A:A,Groups!N:N)="Crocodile",EXP(0.8129*LN(C283)+4.6742)*S283,
IF(_xlfn.XLOOKUP(E283,Groups!A:A,Groups!N:N)="Felid",EXP(0.7843*LN(C283)+4.7073)*S283,
IF(_xlfn.XLOOKUP(E283,Groups!A:A,Groups!N:N)="Canid",EXP(0.8367*LN(C283)+4.8763)*S283,
IF(_xlfn.XLOOKUP(E283,Groups!A:A,Groups!N:N)="Pig",EXP(0.3439*LN(C283)+6.8519)*S283,
IF(_xlfn.XLOOKUP(E283,Groups!A:A,Groups!N:N)="Rodent",EXP(0.5625*LN(C283)+4.3006)*S283,
IF(_xlfn.XLOOKUP(E283,Groups!A:A,Groups!N:N)="Primate",EXP(0.7847*LN(C283)+3.4931)*S283,
IF(_xlfn.XLOOKUP(E283,Groups!A:A,Groups!N:N)="MiscCarnivora",EXP(0.7486*LN(C283)+4.2207)*S283,
IF(_xlfn.XLOOKUP(E283,Groups!A:A,Groups!N:N)="Lizard",EXP(0.7733*LN(C283)+5.5303)*S283,
IF(_xlfn.XLOOKUP(E283,Groups!A:A,Groups!N:N)="Snake",50*C283^(2/3)*S283,
IF(_xlfn.XLOOKUP(E283,Groups!A:A,Groups!N:N)="StrongBitingHerbivore",87.1133638856975*C283^(2/3)*S283,
IF(_xlfn.XLOOKUP(E283,Groups!A:A,Groups!N:N)="MiscEctotherms",59.4316884072269*C283^(2/3)*S283,
IF(_xlfn.XLOOKUP(E283,Groups!A:A,Groups!N:N)="StrongBeakBird",0.041*(C283*1000)^1.375*S283,
IF(_xlfn.XLOOKUP(E283,Groups!A:A,Groups!N:N)="Bird",0.118*(C283*1000)^0.692*S283,
IF(_xlfn.XLOOKUP(E283,Groups!A:A,Groups!N:N)="Insect",EXP(0.7444*LN(C283)+6.5696)*S283,
IF(_xlfn.XLOOKUP(E283,Groups!A:A,Groups!N:N)="Theropod",EXP(0.6966*LN(C283)+4.158)*S283,
"No"))))))))))))))))</f>
        <v>1168.208675354816</v>
      </c>
      <c r="AU283" s="8">
        <f>IF(_xlfn.XLOOKUP(E283,Groups!A:A,Groups!U:U)=3,AS283,IF(_xlfn.XLOOKUP(E283,Groups!A:A,Groups!U:U)=2,AR283,AT283))</f>
        <v>1168.208675354816</v>
      </c>
      <c r="AV283" s="46">
        <f>IFERROR(AVERAGE(_xlfn.XLOOKUP(B283,Animals!B:B,Animals!N:N),_xlfn.XLOOKUP(B283,Animals!B:B,Animals!O:O)),0)</f>
        <v>0</v>
      </c>
      <c r="AW283" s="8">
        <f>MROUND(40*Animals!AO283*_xlfn.XLOOKUP(AG283,Leathers!$A$2:$A$99,Leathers!$B$2:$B$99,0)+(140*_xlfn.XLOOKUP(B283,Animals!B:B,Animals!AO:AO)*2),5)</f>
        <v>785</v>
      </c>
      <c r="AX283" s="8">
        <f>IFERROR(ROUND(SQRT(V283-1)*IF(_xlfn.XLOOKUP(E283,Groups!A:A,Groups!BF:BF)=0,2,1)*IF(_xlfn.XLOOKUP('Base stats'!E283,Groups!A:A,Groups!O:O)=0,1,0.1),1),0)</f>
        <v>2.1</v>
      </c>
      <c r="AY283" s="8">
        <f t="shared" si="143"/>
        <v>1.6</v>
      </c>
      <c r="AZ283" s="8">
        <f t="shared" si="144"/>
        <v>0</v>
      </c>
      <c r="BA283" s="8">
        <f t="shared" si="145"/>
        <v>2.2999999999999998</v>
      </c>
      <c r="BB283" s="8">
        <f>IF(_xlfn.XLOOKUP(E283,Groups!A:A,Groups!N:N)="Insect",BD283*2.5,IFERROR(AVERAGE(BD283,AT283/9.81/IF(OR(_xlfn.XLOOKUP(E283,Groups!A:A,Groups!N:N)="Pig",_xlfn.XLOOKUP(E283,Groups!A:A,Groups!N:N)="StrongBitingHerbivore"),20,25))*C283^-0.135,BD283))</f>
        <v>1.7471121835512762</v>
      </c>
      <c r="BC283" s="8" t="str">
        <f>IF(W283="No","No",IF(_xlfn.XLOOKUP(E283,Groups!A:A,Groups!U:U)=1,'Base stats'!BB283,IF(OR(_xlfn.XLOOKUP(E283,Groups!A:A,Groups!BD:BD)=1,_xlfn.XLOOKUP(E283,Groups!A:A,Groups!U:U)=2),BD283,IF(_xlfn.XLOOKUP(B283,Animals!B:B,Animals!AO:AO)&gt;4,AVERAGE(BD283,BF283),BF283))))</f>
        <v>No</v>
      </c>
      <c r="BD283" s="8">
        <f t="shared" si="146"/>
        <v>0.4725437173376934</v>
      </c>
      <c r="BE283" s="8">
        <f>IF(_xlfn.XLOOKUP(E283,Groups!A:A,Groups!BE:BE)=1,(0.048*C283^1.01)+(0.071*C283^1.03),0.071*C283^1.03)/IF(_xlfn.XLOOKUP(E283,Groups!A:A,Groups!M:M)=1,0.85,IF(OR(_xlfn.XLOOKUP(B283,Animals!B:B,Animals!AO:AO)&gt;4,_xlfn.XLOOKUP(E283,Groups!A:A,Groups!BC:BC)=1),1.7,1))*C283^-0.25</f>
        <v>0.73461830427671004</v>
      </c>
      <c r="BF283" s="8">
        <f>(0.048*C283^1.01)/IF(_xlfn.XLOOKUP(E283,Groups!A:A,Groups!M:M)=1,0.25,0.8)*C283^-0.25</f>
        <v>0.58470128338370886</v>
      </c>
      <c r="BG283" s="8">
        <f>EXP(1.076*LN(AR283)-4.5397)*IF(_xlfn.XLOOKUP(E283,Groups!A:A,Groups!BC:BC)=1,1.25,IF(_xlfn.XLOOKUP(E283,Groups!A:A,Groups!BD:BD)=1,3.5,2.5))</f>
        <v>29.937126744147832</v>
      </c>
      <c r="BH283" s="8">
        <f>EXP(1.076*LN(AS283)-4.5397)*IF(_xlfn.XLOOKUP(E283,Groups!A:A,Groups!M:M)=1,0.8,IF(_xlfn.XLOOKUP(E283,Groups!A:A,Groups!BC:BC)=1,1.3,3))</f>
        <v>41.239137793293878</v>
      </c>
      <c r="BI283" s="8" t="str">
        <f>IF(W283="No","No",IF(_xlfn.XLOOKUP(E283,Groups!A:A,Groups!U:U)=1,'Base stats'!BJ283,IF(OR(_xlfn.XLOOKUP(E283,Groups!A:A,Groups!BD:BD)=1,_xlfn.XLOOKUP(E283,Groups!A:A,Groups!U:U)=2),BG283,BH283))*1.2)</f>
        <v>No</v>
      </c>
      <c r="BJ283" s="8">
        <f>IFERROR(EXP(1.076*LN(AT283)-4.5397)*IF(_xlfn.XLOOKUP(E283,Groups!A:A,Groups!N:N)="Insect",1,IF(OR(_xlfn.XLOOKUP(E283,Groups!A:A,Groups!N:N)="Pig",_xlfn.XLOOKUP(E283,Groups!A:A,Groups!N:N)="StrongBitingHerbivore"),3.5,3.75)),"No")</f>
        <v>80.004900193337079</v>
      </c>
      <c r="BK283" s="8">
        <f t="shared" si="147"/>
        <v>11</v>
      </c>
      <c r="BL283" s="8">
        <f t="shared" si="148"/>
        <v>10</v>
      </c>
      <c r="BM283" s="8" t="str">
        <f t="shared" si="149"/>
        <v>No</v>
      </c>
      <c r="BN283" s="8">
        <f t="shared" si="150"/>
        <v>9</v>
      </c>
      <c r="BO283" s="8">
        <f t="shared" si="151"/>
        <v>11</v>
      </c>
      <c r="BP283" s="8" cm="1">
        <f t="array" ref="BP283">IF(AND(_xlfn.XLOOKUP('Base stats'!E283,Groups!A:A,Groups!AD:AD=0),_xlfn.XLOOKUP('Base stats'!E283,Groups!A:A,Groups!P:P=0)),"No",IF(U283="No",AVERAGE(EXP(-0.57+0.99*LN(C283)),EXP(0.32+0.67*LN(C283)))/IF(_xlfn.XLOOKUP(E283,Groups!A:A,Groups!AD:AD)=1,10,2),(0.7354*C283^0.4078)*2/IF(_xlfn.XLOOKUP(E283,Groups!A:A,Groups!BK:BK)=1,1000,100)/IF(_xlfn.XLOOKUP(E283,Groups!A:A,Groups!AJ:AJ)="Photonozoa",3,1)))</f>
        <v>4.9901506096388083E-2</v>
      </c>
      <c r="BQ283" s="8" t="str">
        <f>IF(W283="No","No",IF(_xlfn.XLOOKUP(E283,Groups!A:A,Groups!BD:BD)=1,(AO283*5%),EXP(0.7354*LN(C283)^0.4078)*2/IF(_xlfn.XLOOKUP(E283,Groups!A:A,Groups!BL:BL)=1,1000,100)/IF(_xlfn.XLOOKUP(E283,Groups!A:A,Groups!AJ:AJ)="Photonozoa",3,1)))</f>
        <v>No</v>
      </c>
      <c r="BR283" s="8">
        <f>IF(BJ283="No","No",IF(_xlfn.XLOOKUP(E283,Groups!A:A,Groups!BF:BF)=1,(0.0315*C283+2.1825)*2,(0.7354*C283^0.4078)*2)/IF(_xlfn.XLOOKUP(E283,Groups!A:A,Groups!BM:BM)=1,1000,100)/IF(_xlfn.XLOOKUP(E283,Groups!A:A,Groups!AJ:AJ)="Photonozoa",3,1))</f>
        <v>4.9901506096388083E-2</v>
      </c>
      <c r="BS283" s="8">
        <f t="shared" si="152"/>
        <v>7.6956912528259827E-2</v>
      </c>
      <c r="BT283" s="8">
        <f t="shared" si="153"/>
        <v>826.41068415125062</v>
      </c>
      <c r="BU283" s="8" t="str">
        <f t="shared" si="154"/>
        <v>No</v>
      </c>
      <c r="BV283" s="8">
        <f t="shared" si="155"/>
        <v>1603.2562231448944</v>
      </c>
      <c r="BW283" s="4">
        <v>0</v>
      </c>
      <c r="BX283" s="4">
        <v>1</v>
      </c>
    </row>
    <row r="284" spans="1:76" s="16" customFormat="1" x14ac:dyDescent="0.25">
      <c r="A284" s="26" t="s">
        <v>1458</v>
      </c>
      <c r="B284" s="6" t="s">
        <v>1645</v>
      </c>
      <c r="C284" s="7">
        <v>100</v>
      </c>
      <c r="D284" s="7" t="s">
        <v>528</v>
      </c>
      <c r="E284" s="7" t="str">
        <f>Groups!$A$103</f>
        <v>Mustelid (NIGHTLING)</v>
      </c>
      <c r="F284" s="7">
        <v>72</v>
      </c>
      <c r="G284" s="7">
        <v>3</v>
      </c>
      <c r="H284" s="7">
        <v>15</v>
      </c>
      <c r="I284" s="4">
        <v>0</v>
      </c>
      <c r="J284" s="7">
        <v>4</v>
      </c>
      <c r="K284" s="7" t="s">
        <v>528</v>
      </c>
      <c r="L284" s="7">
        <f>MIN(37.5*C284^0.089,79.3*C284^-0.072)</f>
        <v>56.497764982002828</v>
      </c>
      <c r="M284" s="7" t="s">
        <v>626</v>
      </c>
      <c r="N284" s="4">
        <v>0</v>
      </c>
      <c r="O284" s="4">
        <v>0</v>
      </c>
      <c r="P284" s="4">
        <v>0</v>
      </c>
      <c r="Q284" s="4">
        <v>0</v>
      </c>
      <c r="R284" s="4" t="s">
        <v>40</v>
      </c>
      <c r="S284" s="7">
        <f>_xlfn.XLOOKUP(B284,[1]TeethAdjusters!$A:$A,[1]BiteAdjusters!$C:$C,1)</f>
        <v>1</v>
      </c>
      <c r="T284" s="7">
        <f>_xlfn.XLOOKUP(B284,[1]TeethAdjusters!$A:$A,[1]TeethAdjusters!$B:$B,1)</f>
        <v>1</v>
      </c>
      <c r="U284" s="7">
        <v>6</v>
      </c>
      <c r="V284" s="7">
        <f>IF(AT284="No","No",IF(_xlfn.XLOOKUP(E284,Groups!A:A,Groups!AM:AM)=1,MROUND(EXP(0.3582*LN(C284)-0.2221)*T284,0.05),IF(_xlfn.XLOOKUP(E284,Groups!A:A,Groups!AM:AM)=2,MROUND(EXP(0.3582*LN(C284)-0.2221)*T284,0.05),"Need a formula")))</f>
        <v>4.1500000000000004</v>
      </c>
      <c r="W284" s="7" t="s">
        <v>45</v>
      </c>
      <c r="X284" s="7" t="s">
        <v>932</v>
      </c>
      <c r="Y284" s="4" t="s">
        <v>56</v>
      </c>
      <c r="Z284" s="4">
        <v>1</v>
      </c>
      <c r="AA284" s="4">
        <v>0</v>
      </c>
      <c r="AB284" s="4">
        <v>0</v>
      </c>
      <c r="AC284" s="4">
        <v>0</v>
      </c>
      <c r="AD284" s="4">
        <v>0</v>
      </c>
      <c r="AE284" s="4" t="s">
        <v>45</v>
      </c>
      <c r="AF284" s="4" t="s">
        <v>45</v>
      </c>
      <c r="AG284" s="49" t="s">
        <v>396</v>
      </c>
      <c r="AH284" s="4" t="str">
        <f>Animals!$C$306</f>
        <v>&lt;li&gt;AA_Nightling&lt;/li&gt;</v>
      </c>
      <c r="AI284" s="4">
        <v>0</v>
      </c>
      <c r="AJ284" s="4">
        <v>0</v>
      </c>
      <c r="AK284" s="4">
        <v>0</v>
      </c>
      <c r="AL284" s="4">
        <v>0</v>
      </c>
      <c r="AM284" s="4">
        <v>1</v>
      </c>
      <c r="AN284" s="44" t="s">
        <v>40</v>
      </c>
      <c r="AO284" s="8">
        <f t="shared" si="141"/>
        <v>22147.411696154573</v>
      </c>
      <c r="AP284" s="8">
        <f>IFERROR(C284*_xlfn.XLOOKUP(E284,Groups!A:A,Groups!K:K),0.106*C284^0.94)</f>
        <v>12.475</v>
      </c>
      <c r="AQ284" s="8">
        <f>AP284*10000/(_xlfn.XLOOKUP(E284,Groups!A:A,Groups!J:J)*AO284)</f>
        <v>5.1676260347964442</v>
      </c>
      <c r="AR284" s="8">
        <f t="shared" si="142"/>
        <v>2659.7495843014949</v>
      </c>
      <c r="AS284" s="8">
        <f>IF(_xlfn.XLOOKUP(E284,Groups!A:A,Groups!M:M)=1,EXP(0.7444*LN('Base stats'!C284)+6.5696),EXP(0.7927*LN('Base stats'!C284)+4.28))</f>
        <v>2780.8680507952254</v>
      </c>
      <c r="AT284" s="8">
        <f>IF(_xlfn.XLOOKUP(E284,Groups!A:A,Groups!N:N)="No","No",
IF(_xlfn.XLOOKUP(E284,Groups!A:A,Groups!N:N)="Crocodile",EXP(0.8129*LN(C284)+4.6742)*S284,
IF(_xlfn.XLOOKUP(E284,Groups!A:A,Groups!N:N)="Felid",EXP(0.7843*LN(C284)+4.7073)*S284,
IF(_xlfn.XLOOKUP(E284,Groups!A:A,Groups!N:N)="Canid",EXP(0.8367*LN(C284)+4.8763)*S284,
IF(_xlfn.XLOOKUP(E284,Groups!A:A,Groups!N:N)="Pig",EXP(0.3439*LN(C284)+6.8519)*S284,
IF(_xlfn.XLOOKUP(E284,Groups!A:A,Groups!N:N)="Rodent",EXP(0.5625*LN(C284)+4.3006)*S284,
IF(_xlfn.XLOOKUP(E284,Groups!A:A,Groups!N:N)="Primate",EXP(0.7847*LN(C284)+3.4931)*S284,
IF(_xlfn.XLOOKUP(E284,Groups!A:A,Groups!N:N)="MiscCarnivora",EXP(0.7486*LN(C284)+4.2207)*S284,
IF(_xlfn.XLOOKUP(E284,Groups!A:A,Groups!N:N)="Lizard",EXP(0.7733*LN(C284)+5.5303)*S284,
IF(_xlfn.XLOOKUP(E284,Groups!A:A,Groups!N:N)="Snake",50*C284^(2/3)*S284,
IF(_xlfn.XLOOKUP(E284,Groups!A:A,Groups!N:N)="StrongBitingHerbivore",87.1133638856975*C284^(2/3)*S284,
IF(_xlfn.XLOOKUP(E284,Groups!A:A,Groups!N:N)="MiscEctotherms",59.4316884072269*C284^(2/3)*S284,
IF(_xlfn.XLOOKUP(E284,Groups!A:A,Groups!N:N)="StrongBeakBird",0.041*(C284*1000)^1.375*S284,
IF(_xlfn.XLOOKUP(E284,Groups!A:A,Groups!N:N)="Bird",0.118*(C284*1000)^0.692*S284,
IF(_xlfn.XLOOKUP(E284,Groups!A:A,Groups!N:N)="Insect",EXP(0.7444*LN(C284)+6.5696)*S284,
IF(_xlfn.XLOOKUP(E284,Groups!A:A,Groups!N:N)="Theropod",EXP(0.6966*LN(C284)+4.158)*S284,
"No"))))))))))))))))</f>
        <v>2139.0784859450714</v>
      </c>
      <c r="AU284" s="8">
        <f>IF(_xlfn.XLOOKUP(E284,Groups!A:A,Groups!U:U)=3,AS284,IF(_xlfn.XLOOKUP(E284,Groups!A:A,Groups!U:U)=2,AR284,AT284))</f>
        <v>2139.0784859450714</v>
      </c>
      <c r="AV284" s="46">
        <f>IFERROR(AVERAGE(_xlfn.XLOOKUP(B284,Animals!B:B,Animals!N:N),_xlfn.XLOOKUP(B284,Animals!B:B,Animals!O:O)),0)</f>
        <v>0</v>
      </c>
      <c r="AW284" s="8">
        <f>MROUND(40*Animals!AO284*_xlfn.XLOOKUP(AG284,Leathers!$A$2:$A$99,Leathers!$B$2:$B$99,0)+(140*_xlfn.XLOOKUP(B284,Animals!B:B,Animals!AO:AO)*2),5)</f>
        <v>465</v>
      </c>
      <c r="AX284" s="8">
        <f>IFERROR(ROUND(SQRT(V284-1)*IF(_xlfn.XLOOKUP(E284,Groups!A:A,Groups!BF:BF)=0,2,1)*IF(_xlfn.XLOOKUP('Base stats'!E284,Groups!A:A,Groups!O:O)=0,1,0.1),1),0)</f>
        <v>3.5</v>
      </c>
      <c r="AY284" s="8">
        <f t="shared" si="143"/>
        <v>2.2000000000000002</v>
      </c>
      <c r="AZ284" s="8">
        <f t="shared" si="144"/>
        <v>0</v>
      </c>
      <c r="BA284" s="8">
        <f t="shared" si="145"/>
        <v>4.2</v>
      </c>
      <c r="BB284" s="8">
        <f>IF(_xlfn.XLOOKUP(E284,Groups!A:A,Groups!N:N)="Insect",BD284*2.5,IFERROR(AVERAGE(BD284,AT284/9.81/IF(OR(_xlfn.XLOOKUP(E284,Groups!A:A,Groups!N:N)="Pig",_xlfn.XLOOKUP(E284,Groups!A:A,Groups!N:N)="StrongBitingHerbivore"),20,25))*C284^-0.135,BD284))</f>
        <v>2.8253481176087192</v>
      </c>
      <c r="BC284" s="8" t="str">
        <f>IF(W284="No","No",IF(_xlfn.XLOOKUP(E284,Groups!A:A,Groups!U:U)=1,'Base stats'!BB284,IF(OR(_xlfn.XLOOKUP(E284,Groups!A:A,Groups!BD:BD)=1,_xlfn.XLOOKUP(E284,Groups!A:A,Groups!U:U)=2),BD284,IF(_xlfn.XLOOKUP(B284,Animals!B:B,Animals!AO:AO)&gt;4,AVERAGE(BD284,BF284),BF284))))</f>
        <v>No</v>
      </c>
      <c r="BD284" s="8">
        <f t="shared" si="146"/>
        <v>1.8000562103205242</v>
      </c>
      <c r="BE284" s="8">
        <f>IF(_xlfn.XLOOKUP(E284,Groups!A:A,Groups!BE:BE)=1,(0.048*C284^1.01)+(0.071*C284^1.03),0.071*C284^1.03)/IF(_xlfn.XLOOKUP(E284,Groups!A:A,Groups!M:M)=1,0.85,IF(OR(_xlfn.XLOOKUP(B284,Animals!B:B,Animals!AO:AO)&gt;4,_xlfn.XLOOKUP(E284,Groups!A:A,Groups!BC:BC)=1),1.7,1))*C284^-0.25</f>
        <v>2.5778541888677213</v>
      </c>
      <c r="BF284" s="8">
        <f>(0.048*C284^1.01)/IF(_xlfn.XLOOKUP(E284,Groups!A:A,Groups!M:M)=1,0.25,0.8)*C284^-0.25</f>
        <v>1.986786728895547</v>
      </c>
      <c r="BG284" s="8">
        <f>EXP(1.076*LN(AR284)-4.5397)*IF(_xlfn.XLOOKUP(E284,Groups!A:A,Groups!BC:BC)=1,1.25,IF(_xlfn.XLOOKUP(E284,Groups!A:A,Groups!BD:BD)=1,3.5,2.5))</f>
        <v>129.27126415643053</v>
      </c>
      <c r="BH284" s="8">
        <f>EXP(1.076*LN(AS284)-4.5397)*IF(_xlfn.XLOOKUP(E284,Groups!A:A,Groups!M:M)=1,0.8,IF(_xlfn.XLOOKUP(E284,Groups!A:A,Groups!BC:BC)=1,1.3,3))</f>
        <v>162.73939114543509</v>
      </c>
      <c r="BI284" s="8" t="str">
        <f>IF(W284="No","No",IF(_xlfn.XLOOKUP(E284,Groups!A:A,Groups!U:U)=1,'Base stats'!BJ284,IF(OR(_xlfn.XLOOKUP(E284,Groups!A:A,Groups!BD:BD)=1,_xlfn.XLOOKUP(E284,Groups!A:A,Groups!U:U)=2),BG284,BH284))*1.2)</f>
        <v>No</v>
      </c>
      <c r="BJ284" s="8">
        <f>IFERROR(EXP(1.076*LN(AT284)-4.5397)*IF(_xlfn.XLOOKUP(E284,Groups!A:A,Groups!N:N)="Insect",1,IF(OR(_xlfn.XLOOKUP(E284,Groups!A:A,Groups!N:N)="Pig",_xlfn.XLOOKUP(E284,Groups!A:A,Groups!N:N)="StrongBitingHerbivore"),3.5,3.75)),"No")</f>
        <v>153.38700186015782</v>
      </c>
      <c r="BK284" s="8">
        <f t="shared" si="147"/>
        <v>11</v>
      </c>
      <c r="BL284" s="8">
        <f t="shared" si="148"/>
        <v>11</v>
      </c>
      <c r="BM284" s="8" t="str">
        <f t="shared" si="149"/>
        <v>No</v>
      </c>
      <c r="BN284" s="8">
        <f t="shared" si="150"/>
        <v>10</v>
      </c>
      <c r="BO284" s="8">
        <f t="shared" si="151"/>
        <v>12</v>
      </c>
      <c r="BP284" s="8" cm="1">
        <f t="array" ref="BP284">IF(AND(_xlfn.XLOOKUP('Base stats'!E284,Groups!A:A,Groups!AD:AD=0),_xlfn.XLOOKUP('Base stats'!E284,Groups!A:A,Groups!P:P=0)),"No",IF(U284="No",AVERAGE(EXP(-0.57+0.99*LN(C284)),EXP(0.32+0.67*LN(C284)))/IF(_xlfn.XLOOKUP(E284,Groups!A:A,Groups!AD:AD)=1,10,2),(0.7354*C284^0.4078)*2/IF(_xlfn.XLOOKUP(E284,Groups!A:A,Groups!BK:BK)=1,1000,100)/IF(_xlfn.XLOOKUP(E284,Groups!A:A,Groups!AJ:AJ)="Photonozoa",3,1)))</f>
        <v>9.6195248569743513E-2</v>
      </c>
      <c r="BQ284" s="8" t="str">
        <f>IF(W284="No","No",IF(_xlfn.XLOOKUP(E284,Groups!A:A,Groups!BD:BD)=1,(AO284*5%),EXP(0.7354*LN(C284)^0.4078)*2/IF(_xlfn.XLOOKUP(E284,Groups!A:A,Groups!BL:BL)=1,1000,100)/IF(_xlfn.XLOOKUP(E284,Groups!A:A,Groups!AJ:AJ)="Photonozoa",3,1)))</f>
        <v>No</v>
      </c>
      <c r="BR284" s="8">
        <f>IF(BJ284="No","No",IF(_xlfn.XLOOKUP(E284,Groups!A:A,Groups!BF:BF)=1,(0.0315*C284+2.1825)*2,(0.7354*C284^0.4078)*2)/IF(_xlfn.XLOOKUP(E284,Groups!A:A,Groups!BM:BM)=1,1000,100)/IF(_xlfn.XLOOKUP(E284,Groups!A:A,Groups!AJ:AJ)="Photonozoa",3,1))</f>
        <v>9.6195248569743513E-2</v>
      </c>
      <c r="BS284" s="8">
        <f t="shared" si="152"/>
        <v>0.11673713021632748</v>
      </c>
      <c r="BT284" s="8">
        <f t="shared" si="153"/>
        <v>1691.7612206952792</v>
      </c>
      <c r="BU284" s="8" t="str">
        <f t="shared" si="154"/>
        <v>No</v>
      </c>
      <c r="BV284" s="8">
        <f t="shared" si="155"/>
        <v>1594.5382348999194</v>
      </c>
      <c r="BW284" s="4">
        <v>0</v>
      </c>
      <c r="BX284" s="4">
        <v>1</v>
      </c>
    </row>
    <row r="285" spans="1:76" s="16" customFormat="1" x14ac:dyDescent="0.25">
      <c r="A285" s="26" t="s">
        <v>1548</v>
      </c>
      <c r="B285" s="6" t="s">
        <v>1678</v>
      </c>
      <c r="C285" s="7">
        <v>100</v>
      </c>
      <c r="D285" s="7" t="s">
        <v>528</v>
      </c>
      <c r="E285" s="7" t="str">
        <f>Groups!$A$108</f>
        <v>Doglike (CLAWED, INFECTED)</v>
      </c>
      <c r="F285" s="7">
        <v>110</v>
      </c>
      <c r="G285" s="7">
        <f>1095  /365</f>
        <v>3</v>
      </c>
      <c r="H285" s="7">
        <v>41.1</v>
      </c>
      <c r="I285" s="4">
        <v>0</v>
      </c>
      <c r="J285" s="7">
        <v>2</v>
      </c>
      <c r="K285" s="7" t="s">
        <v>528</v>
      </c>
      <c r="L285" s="7">
        <v>65</v>
      </c>
      <c r="M285" s="7" t="s">
        <v>528</v>
      </c>
      <c r="N285" s="4">
        <v>0</v>
      </c>
      <c r="O285" s="4">
        <v>0</v>
      </c>
      <c r="P285" s="4">
        <v>0</v>
      </c>
      <c r="Q285" s="4">
        <v>0</v>
      </c>
      <c r="R285" s="4" t="s">
        <v>40</v>
      </c>
      <c r="S285" s="7">
        <f>_xlfn.XLOOKUP(B285,[1]TeethAdjusters!$A:$A,[1]BiteAdjusters!$C:$C,1)</f>
        <v>1</v>
      </c>
      <c r="T285" s="7">
        <f>_xlfn.XLOOKUP(B285,[1]TeethAdjusters!$A:$A,[1]TeethAdjusters!$B:$B,1)</f>
        <v>1</v>
      </c>
      <c r="U285" s="7">
        <v>3.5</v>
      </c>
      <c r="V285" s="7">
        <f>IF(AT285="No","No",IF(_xlfn.XLOOKUP(E285,Groups!A:A,Groups!AM:AM)=1,MROUND(EXP(0.3582*LN(C285)-0.2221)*T285,0.05),IF(_xlfn.XLOOKUP(E285,Groups!A:A,Groups!AM:AM)=2,MROUND(EXP(0.3582*LN(C285)-0.2221)*T285,0.05),"Need a formula")))</f>
        <v>4.1500000000000004</v>
      </c>
      <c r="W285" s="7" t="s">
        <v>45</v>
      </c>
      <c r="X285" s="7" t="s">
        <v>932</v>
      </c>
      <c r="Y285" s="4" t="s">
        <v>56</v>
      </c>
      <c r="Z285" s="4">
        <v>1</v>
      </c>
      <c r="AA285" s="4">
        <v>0</v>
      </c>
      <c r="AB285" s="4">
        <v>0</v>
      </c>
      <c r="AC285" s="4">
        <v>0</v>
      </c>
      <c r="AD285" s="4">
        <v>0</v>
      </c>
      <c r="AE285" s="4" t="s">
        <v>45</v>
      </c>
      <c r="AF285" s="4" t="s">
        <v>45</v>
      </c>
      <c r="AG285" s="49" t="s">
        <v>392</v>
      </c>
      <c r="AH285" s="4" t="s">
        <v>45</v>
      </c>
      <c r="AI285" s="4">
        <v>0</v>
      </c>
      <c r="AJ285" s="4">
        <v>0</v>
      </c>
      <c r="AK285" s="4">
        <v>0</v>
      </c>
      <c r="AL285" s="4">
        <v>0</v>
      </c>
      <c r="AM285" s="4">
        <v>1</v>
      </c>
      <c r="AN285" s="44" t="s">
        <v>40</v>
      </c>
      <c r="AO285" s="8">
        <f t="shared" si="141"/>
        <v>22147.411696154573</v>
      </c>
      <c r="AP285" s="8">
        <f>IFERROR(C285*_xlfn.XLOOKUP(E285,Groups!A:A,Groups!K:K),0.106*C285^0.94)</f>
        <v>12.475</v>
      </c>
      <c r="AQ285" s="8">
        <f>AP285*10000/(_xlfn.XLOOKUP(E285,Groups!A:A,Groups!J:J)*AO285)</f>
        <v>5.1676260347964442</v>
      </c>
      <c r="AR285" s="8">
        <f t="shared" si="142"/>
        <v>2659.7495843014949</v>
      </c>
      <c r="AS285" s="8">
        <f>IF(_xlfn.XLOOKUP(E285,Groups!A:A,Groups!M:M)=1,EXP(0.7444*LN('Base stats'!C285)+6.5696),EXP(0.7927*LN('Base stats'!C285)+4.28))</f>
        <v>2780.8680507952254</v>
      </c>
      <c r="AT285" s="8">
        <f>IF(_xlfn.XLOOKUP(E285,Groups!A:A,Groups!N:N)="No","No",
IF(_xlfn.XLOOKUP(E285,Groups!A:A,Groups!N:N)="Crocodile",EXP(0.8129*LN(C285)+4.6742)*S285,
IF(_xlfn.XLOOKUP(E285,Groups!A:A,Groups!N:N)="Felid",EXP(0.7843*LN(C285)+4.7073)*S285,
IF(_xlfn.XLOOKUP(E285,Groups!A:A,Groups!N:N)="Canid",EXP(0.8367*LN(C285)+4.8763)*S285,
IF(_xlfn.XLOOKUP(E285,Groups!A:A,Groups!N:N)="Pig",EXP(0.3439*LN(C285)+6.8519)*S285,
IF(_xlfn.XLOOKUP(E285,Groups!A:A,Groups!N:N)="Rodent",EXP(0.5625*LN(C285)+4.3006)*S285,
IF(_xlfn.XLOOKUP(E285,Groups!A:A,Groups!N:N)="Primate",EXP(0.7847*LN(C285)+3.4931)*S285,
IF(_xlfn.XLOOKUP(E285,Groups!A:A,Groups!N:N)="MiscCarnivora",EXP(0.7486*LN(C285)+4.2207)*S285,
IF(_xlfn.XLOOKUP(E285,Groups!A:A,Groups!N:N)="Lizard",EXP(0.7733*LN(C285)+5.5303)*S285,
IF(_xlfn.XLOOKUP(E285,Groups!A:A,Groups!N:N)="Snake",50*C285^(2/3)*S285,
IF(_xlfn.XLOOKUP(E285,Groups!A:A,Groups!N:N)="StrongBitingHerbivore",87.1133638856975*C285^(2/3)*S285,
IF(_xlfn.XLOOKUP(E285,Groups!A:A,Groups!N:N)="MiscEctotherms",59.4316884072269*C285^(2/3)*S285,
IF(_xlfn.XLOOKUP(E285,Groups!A:A,Groups!N:N)="StrongBeakBird",0.041*(C285*1000)^1.375*S285,
IF(_xlfn.XLOOKUP(E285,Groups!A:A,Groups!N:N)="Bird",0.118*(C285*1000)^0.692*S285,
IF(_xlfn.XLOOKUP(E285,Groups!A:A,Groups!N:N)="Insect",EXP(0.7444*LN(C285)+6.5696)*S285,
IF(_xlfn.XLOOKUP(E285,Groups!A:A,Groups!N:N)="Theropod",EXP(0.6966*LN(C285)+4.158)*S285,
"No"))))))))))))))))</f>
        <v>6182.301515387926</v>
      </c>
      <c r="AU285" s="8">
        <f>IF(_xlfn.XLOOKUP(E285,Groups!A:A,Groups!U:U)=3,AS285,IF(_xlfn.XLOOKUP(E285,Groups!A:A,Groups!U:U)=2,AR285,AT285))</f>
        <v>6182.301515387926</v>
      </c>
      <c r="AV285" s="46">
        <f>IFERROR(AVERAGE(_xlfn.XLOOKUP(B285,Animals!B:B,Animals!N:N),_xlfn.XLOOKUP(B285,Animals!B:B,Animals!O:O)),0)</f>
        <v>0</v>
      </c>
      <c r="AW285" s="8">
        <f>MROUND(40*Animals!AO285*_xlfn.XLOOKUP(AG285,Leathers!$A$2:$A$99,Leathers!$B$2:$B$99,0)+(140*_xlfn.XLOOKUP(B285,Animals!B:B,Animals!AO:AO)*2),5)</f>
        <v>455</v>
      </c>
      <c r="AX285" s="8">
        <f>IFERROR(ROUND(SQRT(V285-1)*IF(_xlfn.XLOOKUP(E285,Groups!A:A,Groups!BF:BF)=0,2,1)*IF(_xlfn.XLOOKUP('Base stats'!E285,Groups!A:A,Groups!O:O)=0,1,0.1),1),0)</f>
        <v>3.5</v>
      </c>
      <c r="AY285" s="8">
        <f t="shared" si="143"/>
        <v>1.6</v>
      </c>
      <c r="AZ285" s="8">
        <f t="shared" si="144"/>
        <v>0</v>
      </c>
      <c r="BA285" s="8">
        <f t="shared" si="145"/>
        <v>4.2</v>
      </c>
      <c r="BB285" s="8">
        <f>IF(_xlfn.XLOOKUP(E285,Groups!A:A,Groups!N:N)="Insect",BD285*2.5,IFERROR(AVERAGE(BD285,AT285/9.81/IF(OR(_xlfn.XLOOKUP(E285,Groups!A:A,Groups!N:N)="Pig",_xlfn.XLOOKUP(E285,Groups!A:A,Groups!N:N)="StrongBitingHerbivore"),20,25))*C285^-0.135,BD285))</f>
        <v>7.2521357356051928</v>
      </c>
      <c r="BC285" s="8" t="str">
        <f>IF(W285="No","No",IF(_xlfn.XLOOKUP(E285,Groups!A:A,Groups!U:U)=1,'Base stats'!BB285,IF(OR(_xlfn.XLOOKUP(E285,Groups!A:A,Groups!BD:BD)=1,_xlfn.XLOOKUP(E285,Groups!A:A,Groups!U:U)=2),BD285,IF(_xlfn.XLOOKUP(B285,Animals!B:B,Animals!AO:AO)&gt;4,AVERAGE(BD285,BF285),BF285))))</f>
        <v>No</v>
      </c>
      <c r="BD285" s="8">
        <f t="shared" si="146"/>
        <v>1.8000562103205242</v>
      </c>
      <c r="BE285" s="8">
        <f>IF(_xlfn.XLOOKUP(E285,Groups!A:A,Groups!BE:BE)=1,(0.048*C285^1.01)+(0.071*C285^1.03),0.071*C285^1.03)/IF(_xlfn.XLOOKUP(E285,Groups!A:A,Groups!M:M)=1,0.85,IF(OR(_xlfn.XLOOKUP(B285,Animals!B:B,Animals!AO:AO)&gt;4,_xlfn.XLOOKUP(E285,Groups!A:A,Groups!BC:BC)=1),1.7,1))*C285^-0.25</f>
        <v>2.5778541888677213</v>
      </c>
      <c r="BF285" s="8">
        <f>(0.048*C285^1.01)/IF(_xlfn.XLOOKUP(E285,Groups!A:A,Groups!M:M)=1,0.25,0.8)*C285^-0.25</f>
        <v>1.986786728895547</v>
      </c>
      <c r="BG285" s="8">
        <f>EXP(1.076*LN(AR285)-4.5397)*IF(_xlfn.XLOOKUP(E285,Groups!A:A,Groups!BC:BC)=1,1.25,IF(_xlfn.XLOOKUP(E285,Groups!A:A,Groups!BD:BD)=1,3.5,2.5))</f>
        <v>129.27126415643053</v>
      </c>
      <c r="BH285" s="8">
        <f>EXP(1.076*LN(AS285)-4.5397)*IF(_xlfn.XLOOKUP(E285,Groups!A:A,Groups!M:M)=1,0.8,IF(_xlfn.XLOOKUP(E285,Groups!A:A,Groups!BC:BC)=1,1.3,3))</f>
        <v>162.73939114543509</v>
      </c>
      <c r="BI285" s="8" t="str">
        <f>IF(W285="No","No",IF(_xlfn.XLOOKUP(E285,Groups!A:A,Groups!U:U)=1,'Base stats'!BJ285,IF(OR(_xlfn.XLOOKUP(E285,Groups!A:A,Groups!BD:BD)=1,_xlfn.XLOOKUP(E285,Groups!A:A,Groups!U:U)=2),BG285,BH285))*1.2)</f>
        <v>No</v>
      </c>
      <c r="BJ285" s="8">
        <f>IFERROR(EXP(1.076*LN(AT285)-4.5397)*IF(_xlfn.XLOOKUP(E285,Groups!A:A,Groups!N:N)="Insect",1,IF(OR(_xlfn.XLOOKUP(E285,Groups!A:A,Groups!N:N)="Pig",_xlfn.XLOOKUP(E285,Groups!A:A,Groups!N:N)="StrongBitingHerbivore"),3.5,3.75)),"No")</f>
        <v>480.55400843809008</v>
      </c>
      <c r="BK285" s="8">
        <f t="shared" si="147"/>
        <v>11</v>
      </c>
      <c r="BL285" s="8">
        <f t="shared" si="148"/>
        <v>11</v>
      </c>
      <c r="BM285" s="8" t="str">
        <f t="shared" si="149"/>
        <v>No</v>
      </c>
      <c r="BN285" s="8">
        <f t="shared" si="150"/>
        <v>11</v>
      </c>
      <c r="BO285" s="8">
        <f t="shared" si="151"/>
        <v>12</v>
      </c>
      <c r="BP285" s="8" cm="1">
        <f t="array" ref="BP285">IF(AND(_xlfn.XLOOKUP('Base stats'!E285,Groups!A:A,Groups!AD:AD=0),_xlfn.XLOOKUP('Base stats'!E285,Groups!A:A,Groups!P:P=0)),"No",IF(U285="No",AVERAGE(EXP(-0.57+0.99*LN(C285)),EXP(0.32+0.67*LN(C285)))/IF(_xlfn.XLOOKUP(E285,Groups!A:A,Groups!AD:AD)=1,10,2),(0.7354*C285^0.4078)*2/IF(_xlfn.XLOOKUP(E285,Groups!A:A,Groups!BK:BK)=1,1000,100)/IF(_xlfn.XLOOKUP(E285,Groups!A:A,Groups!AJ:AJ)="Photonozoa",3,1)))</f>
        <v>9.6195248569743513E-2</v>
      </c>
      <c r="BQ285" s="8" t="str">
        <f>IF(W285="No","No",IF(_xlfn.XLOOKUP(E285,Groups!A:A,Groups!BD:BD)=1,(AO285*5%),EXP(0.7354*LN(C285)^0.4078)*2/IF(_xlfn.XLOOKUP(E285,Groups!A:A,Groups!BL:BL)=1,1000,100)/IF(_xlfn.XLOOKUP(E285,Groups!A:A,Groups!AJ:AJ)="Photonozoa",3,1)))</f>
        <v>No</v>
      </c>
      <c r="BR285" s="8">
        <f>IF(BJ285="No","No",IF(_xlfn.XLOOKUP(E285,Groups!A:A,Groups!BF:BF)=1,(0.0315*C285+2.1825)*2,(0.7354*C285^0.4078)*2)/IF(_xlfn.XLOOKUP(E285,Groups!A:A,Groups!BM:BM)=1,1000,100)/IF(_xlfn.XLOOKUP(E285,Groups!A:A,Groups!AJ:AJ)="Photonozoa",3,1))</f>
        <v>9.6195248569743513E-2</v>
      </c>
      <c r="BS285" s="8">
        <f t="shared" si="152"/>
        <v>0.11673713021632748</v>
      </c>
      <c r="BT285" s="8">
        <f t="shared" si="153"/>
        <v>1691.7612206952792</v>
      </c>
      <c r="BU285" s="8" t="str">
        <f t="shared" si="154"/>
        <v>No</v>
      </c>
      <c r="BV285" s="8">
        <f t="shared" si="155"/>
        <v>4995.6106521173824</v>
      </c>
      <c r="BW285" s="4">
        <v>0</v>
      </c>
      <c r="BX285" s="4">
        <v>1</v>
      </c>
    </row>
    <row r="286" spans="1:76" s="16" customFormat="1" x14ac:dyDescent="0.25">
      <c r="A286" s="26" t="s">
        <v>1434</v>
      </c>
      <c r="B286" s="6" t="s">
        <v>1637</v>
      </c>
      <c r="C286" s="7">
        <v>165</v>
      </c>
      <c r="D286" s="7" t="s">
        <v>528</v>
      </c>
      <c r="E286" s="7" t="str">
        <f>Groups!$A$14</f>
        <v>Doglike (HYENA)</v>
      </c>
      <c r="F286" s="7">
        <v>110</v>
      </c>
      <c r="G286" s="7">
        <f>1095  /365</f>
        <v>3</v>
      </c>
      <c r="H286" s="7">
        <v>41.1</v>
      </c>
      <c r="I286" s="4">
        <v>0</v>
      </c>
      <c r="J286" s="7">
        <v>2</v>
      </c>
      <c r="K286" s="7" t="s">
        <v>528</v>
      </c>
      <c r="L286" s="7">
        <v>65</v>
      </c>
      <c r="M286" s="7" t="s">
        <v>528</v>
      </c>
      <c r="N286" s="4">
        <v>0</v>
      </c>
      <c r="O286" s="4">
        <v>0</v>
      </c>
      <c r="P286" s="4">
        <v>0</v>
      </c>
      <c r="Q286" s="4">
        <v>0</v>
      </c>
      <c r="R286" s="4" t="s">
        <v>40</v>
      </c>
      <c r="S286" s="7">
        <f>_xlfn.XLOOKUP(B286,[1]TeethAdjusters!$A:$A,[1]BiteAdjusters!$C:$C,1)</f>
        <v>1</v>
      </c>
      <c r="T286" s="7">
        <f>_xlfn.XLOOKUP(B286,[1]TeethAdjusters!$A:$A,[1]TeethAdjusters!$B:$B,1)</f>
        <v>1</v>
      </c>
      <c r="U286" s="7" t="s">
        <v>45</v>
      </c>
      <c r="V286" s="7">
        <f>IF(AT286="No","No",IF(_xlfn.XLOOKUP(E286,Groups!A:A,Groups!AM:AM)=1,MROUND(EXP(0.3582*LN(C286)-0.2221)*T286,0.05),IF(_xlfn.XLOOKUP(E286,Groups!A:A,Groups!AM:AM)=2,MROUND(EXP(0.3582*LN(C286)-0.2221)*T286,0.05),"Need a formula")))</f>
        <v>5</v>
      </c>
      <c r="W286" s="7" t="s">
        <v>45</v>
      </c>
      <c r="X286" s="7" t="s">
        <v>932</v>
      </c>
      <c r="Y286" s="4" t="s">
        <v>56</v>
      </c>
      <c r="Z286" s="4">
        <v>1</v>
      </c>
      <c r="AA286" s="4">
        <v>0</v>
      </c>
      <c r="AB286" s="4">
        <v>0</v>
      </c>
      <c r="AC286" s="4">
        <v>0</v>
      </c>
      <c r="AD286" s="4">
        <v>0</v>
      </c>
      <c r="AE286" s="4" t="s">
        <v>45</v>
      </c>
      <c r="AF286" s="4" t="s">
        <v>311</v>
      </c>
      <c r="AG286" s="49" t="s">
        <v>386</v>
      </c>
      <c r="AH286" s="4" t="str">
        <f>Animals!$C$32</f>
        <v>&lt;li&gt;Iguana&lt;/li&gt;</v>
      </c>
      <c r="AI286" s="4">
        <v>0</v>
      </c>
      <c r="AJ286" s="4">
        <v>0</v>
      </c>
      <c r="AK286" s="4">
        <v>0</v>
      </c>
      <c r="AL286" s="4">
        <v>0</v>
      </c>
      <c r="AM286" s="4">
        <v>1</v>
      </c>
      <c r="AN286" s="44" t="s">
        <v>40</v>
      </c>
      <c r="AO286" s="8">
        <f t="shared" si="141"/>
        <v>30668.147441762459</v>
      </c>
      <c r="AP286" s="8">
        <f>IFERROR(C286*_xlfn.XLOOKUP(E286,Groups!A:A,Groups!K:K),0.106*C286^0.94)</f>
        <v>20.583749999999998</v>
      </c>
      <c r="AQ286" s="8">
        <f>AP286*10000/(_xlfn.XLOOKUP(E286,Groups!A:A,Groups!J:J)*AO286)</f>
        <v>6.1575856017344597</v>
      </c>
      <c r="AR286" s="8">
        <f t="shared" si="142"/>
        <v>4060.2187960799706</v>
      </c>
      <c r="AS286" s="8">
        <f>IF(_xlfn.XLOOKUP(E286,Groups!A:A,Groups!M:M)=1,EXP(0.7444*LN('Base stats'!C286)+6.5696),EXP(0.7927*LN('Base stats'!C286)+4.28))</f>
        <v>4135.9940481874737</v>
      </c>
      <c r="AT286" s="8">
        <f>IF(_xlfn.XLOOKUP(E286,Groups!A:A,Groups!N:N)="No","No",
IF(_xlfn.XLOOKUP(E286,Groups!A:A,Groups!N:N)="Crocodile",EXP(0.8129*LN(C286)+4.6742)*S286,
IF(_xlfn.XLOOKUP(E286,Groups!A:A,Groups!N:N)="Felid",EXP(0.7843*LN(C286)+4.7073)*S286,
IF(_xlfn.XLOOKUP(E286,Groups!A:A,Groups!N:N)="Canid",EXP(0.8367*LN(C286)+4.8763)*S286,
IF(_xlfn.XLOOKUP(E286,Groups!A:A,Groups!N:N)="Pig",EXP(0.3439*LN(C286)+6.8519)*S286,
IF(_xlfn.XLOOKUP(E286,Groups!A:A,Groups!N:N)="Rodent",EXP(0.5625*LN(C286)+4.3006)*S286,
IF(_xlfn.XLOOKUP(E286,Groups!A:A,Groups!N:N)="Primate",EXP(0.7847*LN(C286)+3.4931)*S286,
IF(_xlfn.XLOOKUP(E286,Groups!A:A,Groups!N:N)="MiscCarnivora",EXP(0.7486*LN(C286)+4.2207)*S286,
IF(_xlfn.XLOOKUP(E286,Groups!A:A,Groups!N:N)="Lizard",EXP(0.7733*LN(C286)+5.5303)*S286,
IF(_xlfn.XLOOKUP(E286,Groups!A:A,Groups!N:N)="Snake",50*C286^(2/3)*S286,
IF(_xlfn.XLOOKUP(E286,Groups!A:A,Groups!N:N)="StrongBitingHerbivore",87.1133638856975*C286^(2/3)*S286,
IF(_xlfn.XLOOKUP(E286,Groups!A:A,Groups!N:N)="MiscEctotherms",59.4316884072269*C286^(2/3)*S286,
IF(_xlfn.XLOOKUP(E286,Groups!A:A,Groups!N:N)="StrongBeakBird",0.041*(C286*1000)^1.375*S286,
IF(_xlfn.XLOOKUP(E286,Groups!A:A,Groups!N:N)="Bird",0.118*(C286*1000)^0.692*S286,
IF(_xlfn.XLOOKUP(E286,Groups!A:A,Groups!N:N)="Insect",EXP(0.7444*LN(C286)+6.5696)*S286,
IF(_xlfn.XLOOKUP(E286,Groups!A:A,Groups!N:N)="Theropod",EXP(0.6966*LN(C286)+4.158)*S286,
"No"))))))))))))))))</f>
        <v>9399.8083336465552</v>
      </c>
      <c r="AU286" s="8">
        <f>IF(_xlfn.XLOOKUP(E286,Groups!A:A,Groups!U:U)=3,AS286,IF(_xlfn.XLOOKUP(E286,Groups!A:A,Groups!U:U)=2,AR286,AT286))</f>
        <v>9399.8083336465552</v>
      </c>
      <c r="AV286" s="46">
        <f>IFERROR(AVERAGE(_xlfn.XLOOKUP(B286,Animals!B:B,Animals!N:N),_xlfn.XLOOKUP(B286,Animals!B:B,Animals!O:O)),0)</f>
        <v>0</v>
      </c>
      <c r="AW286" s="8">
        <f>MROUND(40*Animals!AO286*_xlfn.XLOOKUP(AG286,Leathers!$A$2:$A$99,Leathers!$B$2:$B$99,0)+(140*_xlfn.XLOOKUP(B286,Animals!B:B,Animals!AO:AO)*2),5)</f>
        <v>800</v>
      </c>
      <c r="AX286" s="8">
        <f>IFERROR(ROUND(SQRT(V286-1)*IF(_xlfn.XLOOKUP(E286,Groups!A:A,Groups!BF:BF)=0,2,1)*IF(_xlfn.XLOOKUP('Base stats'!E286,Groups!A:A,Groups!O:O)=0,1,0.1),1),0)</f>
        <v>4</v>
      </c>
      <c r="AY286" s="8">
        <f t="shared" si="143"/>
        <v>0</v>
      </c>
      <c r="AZ286" s="8">
        <f t="shared" si="144"/>
        <v>0</v>
      </c>
      <c r="BA286" s="8">
        <f t="shared" si="145"/>
        <v>5</v>
      </c>
      <c r="BB286" s="8">
        <f>IF(_xlfn.XLOOKUP(E286,Groups!A:A,Groups!N:N)="Insect",BD286*2.5,IFERROR(AVERAGE(BD286,AT286/9.81/IF(OR(_xlfn.XLOOKUP(E286,Groups!A:A,Groups!N:N)="Pig",_xlfn.XLOOKUP(E286,Groups!A:A,Groups!N:N)="StrongBitingHerbivore"),20,25))*C286^-0.135,BD286))</f>
        <v>10.303668942244679</v>
      </c>
      <c r="BC286" s="8" t="str">
        <f>IF(W286="No","No",IF(_xlfn.XLOOKUP(E286,Groups!A:A,Groups!U:U)=1,'Base stats'!BB286,IF(OR(_xlfn.XLOOKUP(E286,Groups!A:A,Groups!BD:BD)=1,_xlfn.XLOOKUP(E286,Groups!A:A,Groups!U:U)=2),BD286,IF(_xlfn.XLOOKUP(B286,Animals!B:B,Animals!AO:AO)&gt;4,AVERAGE(BD286,BF286),BF286))))</f>
        <v>No</v>
      </c>
      <c r="BD286" s="8">
        <f t="shared" si="146"/>
        <v>2.7290734517490969</v>
      </c>
      <c r="BE286" s="8">
        <f>IF(_xlfn.XLOOKUP(E286,Groups!A:A,Groups!BE:BE)=1,(0.048*C286^1.01)+(0.071*C286^1.03),0.071*C286^1.03)/IF(_xlfn.XLOOKUP(E286,Groups!A:A,Groups!M:M)=1,0.85,IF(OR(_xlfn.XLOOKUP(B286,Animals!B:B,Animals!AO:AO)&gt;4,_xlfn.XLOOKUP(E286,Groups!A:A,Groups!BC:BC)=1),1.7,1))*C286^-0.25</f>
        <v>3.8097442759074935</v>
      </c>
      <c r="BF286" s="8">
        <f>(0.048*C286^1.01)/IF(_xlfn.XLOOKUP(E286,Groups!A:A,Groups!M:M)=1,0.25,0.8)*C286^-0.25</f>
        <v>2.9069599471289527</v>
      </c>
      <c r="BG286" s="8">
        <f>EXP(1.076*LN(AR286)-4.5397)*IF(_xlfn.XLOOKUP(E286,Groups!A:A,Groups!BC:BC)=1,1.25,IF(_xlfn.XLOOKUP(E286,Groups!A:A,Groups!BD:BD)=1,3.5,2.5))</f>
        <v>203.78515486551942</v>
      </c>
      <c r="BH286" s="8">
        <f>EXP(1.076*LN(AS286)-4.5397)*IF(_xlfn.XLOOKUP(E286,Groups!A:A,Groups!M:M)=1,0.8,IF(_xlfn.XLOOKUP(E286,Groups!A:A,Groups!BC:BC)=1,1.3,3))</f>
        <v>249.45635551475181</v>
      </c>
      <c r="BI286" s="8" t="str">
        <f>IF(W286="No","No",IF(_xlfn.XLOOKUP(E286,Groups!A:A,Groups!U:U)=1,'Base stats'!BJ286,IF(OR(_xlfn.XLOOKUP(E286,Groups!A:A,Groups!BD:BD)=1,_xlfn.XLOOKUP(E286,Groups!A:A,Groups!U:U)=2),BG286,BH286))*1.2)</f>
        <v>No</v>
      </c>
      <c r="BJ286" s="8">
        <f>IFERROR(EXP(1.076*LN(AT286)-4.5397)*IF(_xlfn.XLOOKUP(E286,Groups!A:A,Groups!N:N)="Insect",1,IF(OR(_xlfn.XLOOKUP(E286,Groups!A:A,Groups!N:N)="Pig",_xlfn.XLOOKUP(E286,Groups!A:A,Groups!N:N)="StrongBitingHerbivore"),3.5,3.75)),"No")</f>
        <v>754.29399509011023</v>
      </c>
      <c r="BK286" s="8">
        <f t="shared" si="147"/>
        <v>12</v>
      </c>
      <c r="BL286" s="8">
        <f t="shared" si="148"/>
        <v>11</v>
      </c>
      <c r="BM286" s="8" t="str">
        <f t="shared" si="149"/>
        <v>No</v>
      </c>
      <c r="BN286" s="8">
        <f t="shared" si="150"/>
        <v>12</v>
      </c>
      <c r="BO286" s="8">
        <f t="shared" si="151"/>
        <v>13</v>
      </c>
      <c r="BP286" s="8" t="str" cm="1">
        <f t="array" ref="BP286">IF(AND(_xlfn.XLOOKUP('Base stats'!E286,Groups!A:A,Groups!AD:AD=0),_xlfn.XLOOKUP('Base stats'!E286,Groups!A:A,Groups!P:P=0)),"No",IF(U286="No",AVERAGE(EXP(-0.57+0.99*LN(C286)),EXP(0.32+0.67*LN(C286)))/IF(_xlfn.XLOOKUP(E286,Groups!A:A,Groups!AD:AD)=1,10,2),(0.7354*C286^0.4078)*2/IF(_xlfn.XLOOKUP(E286,Groups!A:A,Groups!BK:BK)=1,1000,100)/IF(_xlfn.XLOOKUP(E286,Groups!A:A,Groups!AJ:AJ)="Photonozoa",3,1)))</f>
        <v>No</v>
      </c>
      <c r="BQ286" s="8" t="str">
        <f>IF(W286="No","No",IF(_xlfn.XLOOKUP(E286,Groups!A:A,Groups!BD:BD)=1,(AO286*5%),EXP(0.7354*LN(C286)^0.4078)*2/IF(_xlfn.XLOOKUP(E286,Groups!A:A,Groups!BL:BL)=1,1000,100)/IF(_xlfn.XLOOKUP(E286,Groups!A:A,Groups!AJ:AJ)="Photonozoa",3,1)))</f>
        <v>No</v>
      </c>
      <c r="BR286" s="8">
        <f>IF(BJ286="No","No",IF(_xlfn.XLOOKUP(E286,Groups!A:A,Groups!BF:BF)=1,(0.0315*C286+2.1825)*2,(0.7354*C286^0.4078)*2)/IF(_xlfn.XLOOKUP(E286,Groups!A:A,Groups!BM:BM)=1,1000,100)/IF(_xlfn.XLOOKUP(E286,Groups!A:A,Groups!AJ:AJ)="Photonozoa",3,1))</f>
        <v>0.11798955784319745</v>
      </c>
      <c r="BS286" s="8">
        <f t="shared" si="152"/>
        <v>0.13289694478774694</v>
      </c>
      <c r="BT286" s="8" t="str">
        <f t="shared" si="153"/>
        <v>No</v>
      </c>
      <c r="BU286" s="8" t="str">
        <f t="shared" si="154"/>
        <v>No</v>
      </c>
      <c r="BV286" s="8">
        <f t="shared" si="155"/>
        <v>6392.8877171701188</v>
      </c>
      <c r="BW286" s="4">
        <v>0</v>
      </c>
      <c r="BX286" s="4">
        <v>1</v>
      </c>
    </row>
    <row r="287" spans="1:76" s="16" customFormat="1" x14ac:dyDescent="0.25">
      <c r="A287" s="26" t="s">
        <v>1570</v>
      </c>
      <c r="B287" s="6" t="s">
        <v>1686</v>
      </c>
      <c r="C287" s="7">
        <v>40</v>
      </c>
      <c r="D287" s="7" t="s">
        <v>528</v>
      </c>
      <c r="E287" s="7" t="str">
        <f>Groups!$A$15</f>
        <v>Doglike (CANID)</v>
      </c>
      <c r="F287" s="7">
        <v>62</v>
      </c>
      <c r="G287" s="7">
        <f>669/365</f>
        <v>1.832876712328767</v>
      </c>
      <c r="H287" s="7">
        <v>20.6</v>
      </c>
      <c r="I287" s="4">
        <v>1</v>
      </c>
      <c r="J287" s="7">
        <v>6</v>
      </c>
      <c r="K287" s="7" t="s">
        <v>528</v>
      </c>
      <c r="L287" s="7">
        <v>64</v>
      </c>
      <c r="M287" s="7" t="s">
        <v>626</v>
      </c>
      <c r="N287" s="4">
        <v>0</v>
      </c>
      <c r="O287" s="4">
        <v>1</v>
      </c>
      <c r="P287" s="4">
        <v>0</v>
      </c>
      <c r="Q287" s="4">
        <v>0</v>
      </c>
      <c r="R287" s="4" t="s">
        <v>40</v>
      </c>
      <c r="S287" s="7">
        <f>_xlfn.XLOOKUP(B287,[1]TeethAdjusters!$A:$A,[1]BiteAdjusters!$C:$C,1)</f>
        <v>1.0425371059413748</v>
      </c>
      <c r="T287" s="7">
        <f>_xlfn.XLOOKUP(B287,[1]TeethAdjusters!$A:$A,[1]TeethAdjusters!$B:$B,1)</f>
        <v>1.038364019968949</v>
      </c>
      <c r="U287" s="7" t="s">
        <v>45</v>
      </c>
      <c r="V287" s="7">
        <f>IF(AT287="No","No",IF(_xlfn.XLOOKUP(E287,Groups!A:A,Groups!AM:AM)=1,MROUND(EXP(0.3582*LN(C287)-0.2221)*T287,0.05),IF(_xlfn.XLOOKUP(E287,Groups!A:A,Groups!AM:AM)=2,MROUND(EXP(0.3582*LN(C287)-0.2221)*T287,0.05),"Need a formula")))</f>
        <v>3.1</v>
      </c>
      <c r="W287" s="7" t="s">
        <v>45</v>
      </c>
      <c r="X287" s="7" t="s">
        <v>932</v>
      </c>
      <c r="Y287" s="4" t="s">
        <v>56</v>
      </c>
      <c r="Z287" s="4">
        <v>1</v>
      </c>
      <c r="AA287" s="4">
        <v>0</v>
      </c>
      <c r="AB287" s="4">
        <v>0</v>
      </c>
      <c r="AC287" s="4">
        <v>0</v>
      </c>
      <c r="AD287" s="4">
        <v>0</v>
      </c>
      <c r="AE287" s="4" t="s">
        <v>45</v>
      </c>
      <c r="AF287" s="4" t="s">
        <v>311</v>
      </c>
      <c r="AG287" s="49" t="s">
        <v>379</v>
      </c>
      <c r="AH287" s="4" t="str">
        <f>Animals!$C$14</f>
        <v>&lt;li&gt;YorkshireTerrier&lt;/li&gt;</v>
      </c>
      <c r="AI287" s="4">
        <v>0</v>
      </c>
      <c r="AJ287" s="4">
        <v>0</v>
      </c>
      <c r="AK287" s="4">
        <v>0</v>
      </c>
      <c r="AL287" s="4">
        <v>0</v>
      </c>
      <c r="AM287" s="4">
        <v>1</v>
      </c>
      <c r="AN287" s="44" t="s">
        <v>40</v>
      </c>
      <c r="AO287" s="8">
        <f t="shared" si="141"/>
        <v>12208.490600010842</v>
      </c>
      <c r="AP287" s="8">
        <f>IFERROR(C287*_xlfn.XLOOKUP(E287,Groups!A:A,Groups!K:K),0.106*C287^0.94)</f>
        <v>4.99</v>
      </c>
      <c r="AQ287" s="8">
        <f>AP287*10000/(_xlfn.XLOOKUP(E287,Groups!A:A,Groups!J:J)*AO287)</f>
        <v>3.7498342762962693</v>
      </c>
      <c r="AR287" s="8">
        <f t="shared" si="142"/>
        <v>1226.5939672257964</v>
      </c>
      <c r="AS287" s="8">
        <f>IF(_xlfn.XLOOKUP(E287,Groups!A:A,Groups!M:M)=1,EXP(0.7444*LN('Base stats'!C287)+6.5696),EXP(0.7927*LN('Base stats'!C287)+4.28))</f>
        <v>1345.0342323536652</v>
      </c>
      <c r="AT287" s="8">
        <f>IF(_xlfn.XLOOKUP(E287,Groups!A:A,Groups!N:N)="No","No",
IF(_xlfn.XLOOKUP(E287,Groups!A:A,Groups!N:N)="Crocodile",EXP(0.8129*LN(C287)+4.6742)*S287,
IF(_xlfn.XLOOKUP(E287,Groups!A:A,Groups!N:N)="Felid",EXP(0.7843*LN(C287)+4.7073)*S287,
IF(_xlfn.XLOOKUP(E287,Groups!A:A,Groups!N:N)="Canid",EXP(0.8367*LN(C287)+4.8763)*S287,
IF(_xlfn.XLOOKUP(E287,Groups!A:A,Groups!N:N)="Pig",EXP(0.3439*LN(C287)+6.8519)*S287,
IF(_xlfn.XLOOKUP(E287,Groups!A:A,Groups!N:N)="Rodent",EXP(0.5625*LN(C287)+4.3006)*S287,
IF(_xlfn.XLOOKUP(E287,Groups!A:A,Groups!N:N)="Primate",EXP(0.7847*LN(C287)+3.4931)*S287,
IF(_xlfn.XLOOKUP(E287,Groups!A:A,Groups!N:N)="MiscCarnivora",EXP(0.7486*LN(C287)+4.2207)*S287,
IF(_xlfn.XLOOKUP(E287,Groups!A:A,Groups!N:N)="Lizard",EXP(0.7733*LN(C287)+5.5303)*S287,
IF(_xlfn.XLOOKUP(E287,Groups!A:A,Groups!N:N)="Snake",50*C287^(2/3)*S287,
IF(_xlfn.XLOOKUP(E287,Groups!A:A,Groups!N:N)="StrongBitingHerbivore",87.1133638856975*C287^(2/3)*S287,
IF(_xlfn.XLOOKUP(E287,Groups!A:A,Groups!N:N)="MiscEctotherms",59.4316884072269*C287^(2/3)*S287,
IF(_xlfn.XLOOKUP(E287,Groups!A:A,Groups!N:N)="StrongBeakBird",0.041*(C287*1000)^1.375*S287,
IF(_xlfn.XLOOKUP(E287,Groups!A:A,Groups!N:N)="Bird",0.118*(C287*1000)^0.692*S287,
IF(_xlfn.XLOOKUP(E287,Groups!A:A,Groups!N:N)="Insect",EXP(0.7444*LN(C287)+6.5696)*S287,
IF(_xlfn.XLOOKUP(E287,Groups!A:A,Groups!N:N)="Theropod",EXP(0.6966*LN(C287)+4.158)*S287,
"No"))))))))))))))))</f>
        <v>2994.2309707514896</v>
      </c>
      <c r="AU287" s="8">
        <f>IF(_xlfn.XLOOKUP(E287,Groups!A:A,Groups!U:U)=3,AS287,IF(_xlfn.XLOOKUP(E287,Groups!A:A,Groups!U:U)=2,AR287,AT287))</f>
        <v>2994.2309707514896</v>
      </c>
      <c r="AV287" s="46">
        <f>IFERROR(AVERAGE(_xlfn.XLOOKUP(B287,Animals!B:B,Animals!N:N),_xlfn.XLOOKUP(B287,Animals!B:B,Animals!O:O)),0)</f>
        <v>0</v>
      </c>
      <c r="AW287" s="8">
        <f>MROUND(40*Animals!AO287*_xlfn.XLOOKUP(AG287,Leathers!$A$2:$A$99,Leathers!$B$2:$B$99,0)+(140*_xlfn.XLOOKUP(B287,Animals!B:B,Animals!AO:AO)*2),5)</f>
        <v>485</v>
      </c>
      <c r="AX287" s="8">
        <f>IFERROR(ROUND(SQRT(V287-1)*IF(_xlfn.XLOOKUP(E287,Groups!A:A,Groups!BF:BF)=0,2,1)*IF(_xlfn.XLOOKUP('Base stats'!E287,Groups!A:A,Groups!O:O)=0,1,0.1),1),0)</f>
        <v>2.9</v>
      </c>
      <c r="AY287" s="8">
        <f t="shared" si="143"/>
        <v>0</v>
      </c>
      <c r="AZ287" s="8">
        <f t="shared" si="144"/>
        <v>0</v>
      </c>
      <c r="BA287" s="8">
        <f t="shared" si="145"/>
        <v>3</v>
      </c>
      <c r="BB287" s="8">
        <f>IF(_xlfn.XLOOKUP(E287,Groups!A:A,Groups!N:N)="Insect",BD287*2.5,IFERROR(AVERAGE(BD287,AT287/9.81/IF(OR(_xlfn.XLOOKUP(E287,Groups!A:A,Groups!N:N)="Pig",_xlfn.XLOOKUP(E287,Groups!A:A,Groups!N:N)="StrongBitingHerbivore"),20,25))*C287^-0.135,BD287))</f>
        <v>3.9653916606333888</v>
      </c>
      <c r="BC287" s="8" t="str">
        <f>IF(W287="No","No",IF(_xlfn.XLOOKUP(E287,Groups!A:A,Groups!U:U)=1,'Base stats'!BB287,IF(OR(_xlfn.XLOOKUP(E287,Groups!A:A,Groups!BD:BD)=1,_xlfn.XLOOKUP(E287,Groups!A:A,Groups!U:U)=2),BD287,IF(_xlfn.XLOOKUP(B287,Animals!B:B,Animals!AO:AO)&gt;4,AVERAGE(BD287,BF287),BF287))))</f>
        <v>No</v>
      </c>
      <c r="BD287" s="8">
        <f t="shared" si="146"/>
        <v>0.84061651845168284</v>
      </c>
      <c r="BE287" s="8">
        <f>IF(_xlfn.XLOOKUP(E287,Groups!A:A,Groups!BE:BE)=1,(0.048*C287^1.01)+(0.071*C287^1.03),0.071*C287^1.03)/IF(_xlfn.XLOOKUP(E287,Groups!A:A,Groups!M:M)=1,0.85,IF(OR(_xlfn.XLOOKUP(B287,Animals!B:B,Animals!AO:AO)&gt;4,_xlfn.XLOOKUP(E287,Groups!A:A,Groups!BC:BC)=1),1.7,1))*C287^-0.25</f>
        <v>1.2614357700529921</v>
      </c>
      <c r="BF287" s="8">
        <f>(0.048*C287^1.01)/IF(_xlfn.XLOOKUP(E287,Groups!A:A,Groups!M:M)=1,0.25,0.8)*C287^-0.25</f>
        <v>0.99018614167501795</v>
      </c>
      <c r="BG287" s="8">
        <f>EXP(1.076*LN(AR287)-4.5397)*IF(_xlfn.XLOOKUP(E287,Groups!A:A,Groups!BC:BC)=1,1.25,IF(_xlfn.XLOOKUP(E287,Groups!A:A,Groups!BD:BD)=1,3.5,2.5))</f>
        <v>56.210239558641248</v>
      </c>
      <c r="BH287" s="8">
        <f>EXP(1.076*LN(AS287)-4.5397)*IF(_xlfn.XLOOKUP(E287,Groups!A:A,Groups!M:M)=1,0.8,IF(_xlfn.XLOOKUP(E287,Groups!A:A,Groups!BC:BC)=1,1.3,3))</f>
        <v>74.485487848676939</v>
      </c>
      <c r="BI287" s="8" t="str">
        <f>IF(W287="No","No",IF(_xlfn.XLOOKUP(E287,Groups!A:A,Groups!U:U)=1,'Base stats'!BJ287,IF(OR(_xlfn.XLOOKUP(E287,Groups!A:A,Groups!BD:BD)=1,_xlfn.XLOOKUP(E287,Groups!A:A,Groups!U:U)=2),BG287,BH287))*1.2)</f>
        <v>No</v>
      </c>
      <c r="BJ287" s="8">
        <f>IFERROR(EXP(1.076*LN(AT287)-4.5397)*IF(_xlfn.XLOOKUP(E287,Groups!A:A,Groups!N:N)="Insect",1,IF(OR(_xlfn.XLOOKUP(E287,Groups!A:A,Groups!N:N)="Pig",_xlfn.XLOOKUP(E287,Groups!A:A,Groups!N:N)="StrongBitingHerbivore"),3.5,3.75)),"No")</f>
        <v>220.26606284709794</v>
      </c>
      <c r="BK287" s="8">
        <f t="shared" si="147"/>
        <v>11</v>
      </c>
      <c r="BL287" s="8">
        <f t="shared" si="148"/>
        <v>10</v>
      </c>
      <c r="BM287" s="8" t="str">
        <f t="shared" si="149"/>
        <v>No</v>
      </c>
      <c r="BN287" s="8">
        <f t="shared" si="150"/>
        <v>10</v>
      </c>
      <c r="BO287" s="8">
        <f t="shared" si="151"/>
        <v>12</v>
      </c>
      <c r="BP287" s="8" t="str" cm="1">
        <f t="array" ref="BP287">IF(AND(_xlfn.XLOOKUP('Base stats'!E287,Groups!A:A,Groups!AD:AD=0),_xlfn.XLOOKUP('Base stats'!E287,Groups!A:A,Groups!P:P=0)),"No",IF(U287="No",AVERAGE(EXP(-0.57+0.99*LN(C287)),EXP(0.32+0.67*LN(C287)))/IF(_xlfn.XLOOKUP(E287,Groups!A:A,Groups!AD:AD)=1,10,2),(0.7354*C287^0.4078)*2/IF(_xlfn.XLOOKUP(E287,Groups!A:A,Groups!BK:BK)=1,1000,100)/IF(_xlfn.XLOOKUP(E287,Groups!A:A,Groups!AJ:AJ)="Photonozoa",3,1)))</f>
        <v>No</v>
      </c>
      <c r="BQ287" s="8" t="str">
        <f>IF(W287="No","No",IF(_xlfn.XLOOKUP(E287,Groups!A:A,Groups!BD:BD)=1,(AO287*5%),EXP(0.7354*LN(C287)^0.4078)*2/IF(_xlfn.XLOOKUP(E287,Groups!A:A,Groups!BL:BL)=1,1000,100)/IF(_xlfn.XLOOKUP(E287,Groups!A:A,Groups!AJ:AJ)="Photonozoa",3,1)))</f>
        <v>No</v>
      </c>
      <c r="BR287" s="8">
        <f>IF(BJ287="No","No",IF(_xlfn.XLOOKUP(E287,Groups!A:A,Groups!BF:BF)=1,(0.0315*C287+2.1825)*2,(0.7354*C287^0.4078)*2)/IF(_xlfn.XLOOKUP(E287,Groups!A:A,Groups!BM:BM)=1,1000,100)/IF(_xlfn.XLOOKUP(E287,Groups!A:A,Groups!AJ:AJ)="Photonozoa",3,1))</f>
        <v>6.6202392635939605E-2</v>
      </c>
      <c r="BS287" s="8">
        <f t="shared" si="152"/>
        <v>9.2083847873202812E-2</v>
      </c>
      <c r="BT287" s="8" t="str">
        <f t="shared" si="153"/>
        <v>No</v>
      </c>
      <c r="BU287" s="8" t="str">
        <f t="shared" si="154"/>
        <v>No</v>
      </c>
      <c r="BV287" s="8">
        <f t="shared" si="155"/>
        <v>3327.1616640562484</v>
      </c>
      <c r="BW287" s="4">
        <v>0</v>
      </c>
      <c r="BX287" s="4">
        <v>1</v>
      </c>
    </row>
    <row r="288" spans="1:76" s="16" customFormat="1" x14ac:dyDescent="0.25">
      <c r="A288" s="26" t="s">
        <v>1554</v>
      </c>
      <c r="B288" s="6" t="s">
        <v>1681</v>
      </c>
      <c r="C288" s="7">
        <v>90</v>
      </c>
      <c r="D288" s="7" t="s">
        <v>528</v>
      </c>
      <c r="E288" s="7" t="str">
        <f>Groups!$A$107</f>
        <v>Doglike (RIPPER)</v>
      </c>
      <c r="F288" s="7">
        <v>100</v>
      </c>
      <c r="G288" s="7">
        <v>2.5</v>
      </c>
      <c r="H288" s="7">
        <v>25</v>
      </c>
      <c r="I288" s="4">
        <v>0</v>
      </c>
      <c r="J288" s="7">
        <v>3</v>
      </c>
      <c r="K288" s="7" t="s">
        <v>528</v>
      </c>
      <c r="L288" s="7">
        <v>65</v>
      </c>
      <c r="M288" s="7" t="s">
        <v>626</v>
      </c>
      <c r="N288" s="4">
        <v>0</v>
      </c>
      <c r="O288" s="4">
        <v>1</v>
      </c>
      <c r="P288" s="4">
        <v>0</v>
      </c>
      <c r="Q288" s="4">
        <v>0</v>
      </c>
      <c r="R288" s="4" t="s">
        <v>40</v>
      </c>
      <c r="S288" s="7">
        <f>_xlfn.XLOOKUP(B288,[1]TeethAdjusters!$A:$A,[1]BiteAdjusters!$C:$C,1)</f>
        <v>1.0425371059413748</v>
      </c>
      <c r="T288" s="7">
        <f>_xlfn.XLOOKUP(B288,[1]TeethAdjusters!$A:$A,[1]TeethAdjusters!$B:$B,1)</f>
        <v>1.038364019968949</v>
      </c>
      <c r="U288" s="7" t="s">
        <v>45</v>
      </c>
      <c r="V288" s="7">
        <f>IF(AT288="No","No",IF(_xlfn.XLOOKUP(E288,Groups!A:A,Groups!AM:AM)=1,MROUND(EXP(0.3582*LN(C288)-0.2221)*T288,0.05),IF(_xlfn.XLOOKUP(E288,Groups!A:A,Groups!AM:AM)=2,MROUND(EXP(0.3582*LN(C288)-0.2221)*T288,0.05),"Need a formula")))</f>
        <v>4.1500000000000004</v>
      </c>
      <c r="W288" s="7">
        <v>10</v>
      </c>
      <c r="X288" s="7" t="s">
        <v>932</v>
      </c>
      <c r="Y288" s="4" t="s">
        <v>56</v>
      </c>
      <c r="Z288" s="4">
        <v>1</v>
      </c>
      <c r="AA288" s="4">
        <v>0</v>
      </c>
      <c r="AB288" s="4">
        <v>0</v>
      </c>
      <c r="AC288" s="4">
        <v>0</v>
      </c>
      <c r="AD288" s="4">
        <v>0</v>
      </c>
      <c r="AE288" s="4" t="s">
        <v>45</v>
      </c>
      <c r="AF288" s="4" t="s">
        <v>452</v>
      </c>
      <c r="AG288" s="49" t="s">
        <v>379</v>
      </c>
      <c r="AH288" s="4" t="str">
        <f>Animals!$C$14</f>
        <v>&lt;li&gt;YorkshireTerrier&lt;/li&gt;</v>
      </c>
      <c r="AI288" s="4">
        <v>0</v>
      </c>
      <c r="AJ288" s="4">
        <v>0</v>
      </c>
      <c r="AK288" s="4">
        <v>0</v>
      </c>
      <c r="AL288" s="4">
        <v>0</v>
      </c>
      <c r="AM288" s="4">
        <v>1</v>
      </c>
      <c r="AN288" s="44" t="s">
        <v>40</v>
      </c>
      <c r="AO288" s="8">
        <f t="shared" si="141"/>
        <v>20681.432168514104</v>
      </c>
      <c r="AP288" s="8">
        <f>IFERROR(C288*_xlfn.XLOOKUP(E288,Groups!A:A,Groups!K:K),0.106*C288^0.94)</f>
        <v>11.227499999999999</v>
      </c>
      <c r="AQ288" s="8">
        <f>AP288*10000/(_xlfn.XLOOKUP(E288,Groups!A:A,Groups!J:J)*AO288)</f>
        <v>4.9805345353587196</v>
      </c>
      <c r="AR288" s="8">
        <f t="shared" si="142"/>
        <v>2433.2649334397288</v>
      </c>
      <c r="AS288" s="8">
        <f>IF(_xlfn.XLOOKUP(E288,Groups!A:A,Groups!M:M)=1,EXP(0.7444*LN('Base stats'!C288)+6.5696),EXP(0.7927*LN('Base stats'!C288)+4.28))</f>
        <v>2558.0464115759232</v>
      </c>
      <c r="AT288" s="8">
        <f>IF(_xlfn.XLOOKUP(E288,Groups!A:A,Groups!N:N)="No","No",
IF(_xlfn.XLOOKUP(E288,Groups!A:A,Groups!N:N)="Crocodile",EXP(0.8129*LN(C288)+4.6742)*S288,
IF(_xlfn.XLOOKUP(E288,Groups!A:A,Groups!N:N)="Felid",EXP(0.7843*LN(C288)+4.7073)*S288,
IF(_xlfn.XLOOKUP(E288,Groups!A:A,Groups!N:N)="Canid",EXP(0.8367*LN(C288)+4.8763)*S288,
IF(_xlfn.XLOOKUP(E288,Groups!A:A,Groups!N:N)="Pig",EXP(0.3439*LN(C288)+6.8519)*S288,
IF(_xlfn.XLOOKUP(E288,Groups!A:A,Groups!N:N)="Rodent",EXP(0.5625*LN(C288)+4.3006)*S288,
IF(_xlfn.XLOOKUP(E288,Groups!A:A,Groups!N:N)="Primate",EXP(0.7847*LN(C288)+3.4931)*S288,
IF(_xlfn.XLOOKUP(E288,Groups!A:A,Groups!N:N)="MiscCarnivora",EXP(0.7486*LN(C288)+4.2207)*S288,
IF(_xlfn.XLOOKUP(E288,Groups!A:A,Groups!N:N)="Lizard",EXP(0.7733*LN(C288)+5.5303)*S288,
IF(_xlfn.XLOOKUP(E288,Groups!A:A,Groups!N:N)="Snake",50*C288^(2/3)*S288,
IF(_xlfn.XLOOKUP(E288,Groups!A:A,Groups!N:N)="StrongBitingHerbivore",87.1133638856975*C288^(2/3)*S288,
IF(_xlfn.XLOOKUP(E288,Groups!A:A,Groups!N:N)="MiscEctotherms",59.4316884072269*C288^(2/3)*S288,
IF(_xlfn.XLOOKUP(E288,Groups!A:A,Groups!N:N)="StrongBeakBird",0.041*(C288*1000)^1.375*S288,
IF(_xlfn.XLOOKUP(E288,Groups!A:A,Groups!N:N)="Bird",0.118*(C288*1000)^0.692*S288,
IF(_xlfn.XLOOKUP(E288,Groups!A:A,Groups!N:N)="Insect",EXP(0.7444*LN(C288)+6.5696)*S288,
IF(_xlfn.XLOOKUP(E288,Groups!A:A,Groups!N:N)="Theropod",EXP(0.6966*LN(C288)+4.158)*S288,
"No"))))))))))))))))</f>
        <v>5901.4184629768206</v>
      </c>
      <c r="AU288" s="8">
        <f>IF(_xlfn.XLOOKUP(E288,Groups!A:A,Groups!U:U)=3,AS288,IF(_xlfn.XLOOKUP(E288,Groups!A:A,Groups!U:U)=2,AR288,AT288))</f>
        <v>2558.0464115759232</v>
      </c>
      <c r="AV288" s="46">
        <f>IFERROR(AVERAGE(_xlfn.XLOOKUP(B288,Animals!B:B,Animals!N:N),_xlfn.XLOOKUP(B288,Animals!B:B,Animals!O:O)),0)</f>
        <v>0</v>
      </c>
      <c r="AW288" s="8">
        <f>MROUND(40*Animals!AO288*_xlfn.XLOOKUP(AG288,Leathers!$A$2:$A$99,Leathers!$B$2:$B$99,0)+(140*_xlfn.XLOOKUP(B288,Animals!B:B,Animals!AO:AO)*2),5)</f>
        <v>600</v>
      </c>
      <c r="AX288" s="8">
        <f>IFERROR(ROUND(SQRT(V288-1)*IF(_xlfn.XLOOKUP(E288,Groups!A:A,Groups!BF:BF)=0,2,1)*IF(_xlfn.XLOOKUP('Base stats'!E288,Groups!A:A,Groups!O:O)=0,1,0.1),1),0)</f>
        <v>3.5</v>
      </c>
      <c r="AY288" s="8">
        <f t="shared" si="143"/>
        <v>0</v>
      </c>
      <c r="AZ288" s="8">
        <f t="shared" si="144"/>
        <v>3.2</v>
      </c>
      <c r="BA288" s="8">
        <f t="shared" si="145"/>
        <v>4</v>
      </c>
      <c r="BB288" s="8">
        <f>IF(_xlfn.XLOOKUP(E288,Groups!A:A,Groups!N:N)="Insect",BD288*2.5,IFERROR(AVERAGE(BD288,AT288/9.81/IF(OR(_xlfn.XLOOKUP(E288,Groups!A:A,Groups!N:N)="Pig",_xlfn.XLOOKUP(E288,Groups!A:A,Groups!N:N)="StrongBitingHerbivore"),20,25))*C288^-0.135,BD288))</f>
        <v>7.0029903333190404</v>
      </c>
      <c r="BC288" s="8">
        <f>IF(W288="No","No",IF(_xlfn.XLOOKUP(E288,Groups!A:A,Groups!U:U)=1,'Base stats'!BB288,IF(OR(_xlfn.XLOOKUP(E288,Groups!A:A,Groups!BD:BD)=1,_xlfn.XLOOKUP(E288,Groups!A:A,Groups!U:U)=2),BD288,IF(_xlfn.XLOOKUP(B288,Animals!B:B,Animals!AO:AO)&gt;4,AVERAGE(BD288,BF288),BF288))))</f>
        <v>1.8338996074909986</v>
      </c>
      <c r="BD288" s="8">
        <f t="shared" si="146"/>
        <v>1.6491554425297243</v>
      </c>
      <c r="BE288" s="8">
        <f>IF(_xlfn.XLOOKUP(E288,Groups!A:A,Groups!BE:BE)=1,(0.048*C288^1.01)+(0.071*C288^1.03),0.071*C288^1.03)/IF(_xlfn.XLOOKUP(E288,Groups!A:A,Groups!M:M)=1,0.85,IF(OR(_xlfn.XLOOKUP(B288,Animals!B:B,Animals!AO:AO)&gt;4,_xlfn.XLOOKUP(E288,Groups!A:A,Groups!BC:BC)=1),1.7,1))*C288^-0.25</f>
        <v>2.3744744787968441</v>
      </c>
      <c r="BF288" s="8">
        <f>(0.048*C288^1.01)/IF(_xlfn.XLOOKUP(E288,Groups!A:A,Groups!M:M)=1,0.25,0.8)*C288^-0.25</f>
        <v>1.8338996074909986</v>
      </c>
      <c r="BG288" s="8">
        <f>EXP(1.076*LN(AR288)-4.5397)*IF(_xlfn.XLOOKUP(E288,Groups!A:A,Groups!BC:BC)=1,1.25,IF(_xlfn.XLOOKUP(E288,Groups!A:A,Groups!BD:BD)=1,3.5,2.5))</f>
        <v>117.46625980704566</v>
      </c>
      <c r="BH288" s="8">
        <f>EXP(1.076*LN(AS288)-4.5397)*IF(_xlfn.XLOOKUP(E288,Groups!A:A,Groups!M:M)=1,0.8,IF(_xlfn.XLOOKUP(E288,Groups!A:A,Groups!BC:BC)=1,1.3,3))</f>
        <v>148.75242516006193</v>
      </c>
      <c r="BI288" s="8">
        <f>IF(W288="No","No",IF(_xlfn.XLOOKUP(E288,Groups!A:A,Groups!U:U)=1,'Base stats'!BJ288,IF(OR(_xlfn.XLOOKUP(E288,Groups!A:A,Groups!BD:BD)=1,_xlfn.XLOOKUP(E288,Groups!A:A,Groups!U:U)=2),BG288,BH288))*1.2)</f>
        <v>178.50291019207432</v>
      </c>
      <c r="BJ288" s="8">
        <f>IFERROR(EXP(1.076*LN(AT288)-4.5397)*IF(_xlfn.XLOOKUP(E288,Groups!A:A,Groups!N:N)="Insect",1,IF(OR(_xlfn.XLOOKUP(E288,Groups!A:A,Groups!N:N)="Pig",_xlfn.XLOOKUP(E288,Groups!A:A,Groups!N:N)="StrongBitingHerbivore"),3.5,3.75)),"No")</f>
        <v>457.1026157616983</v>
      </c>
      <c r="BK288" s="8">
        <f t="shared" si="147"/>
        <v>11</v>
      </c>
      <c r="BL288" s="8">
        <f t="shared" si="148"/>
        <v>11</v>
      </c>
      <c r="BM288" s="8">
        <f t="shared" si="149"/>
        <v>13</v>
      </c>
      <c r="BN288" s="8">
        <f t="shared" si="150"/>
        <v>11</v>
      </c>
      <c r="BO288" s="8">
        <f t="shared" si="151"/>
        <v>12</v>
      </c>
      <c r="BP288" s="8" cm="1">
        <f t="array" ref="BP288">IF(AND(_xlfn.XLOOKUP('Base stats'!E288,Groups!A:A,Groups!AD:AD=0),_xlfn.XLOOKUP('Base stats'!E288,Groups!A:A,Groups!P:P=0)),"No",IF(U288="No",AVERAGE(EXP(-0.57+0.99*LN(C288)),EXP(0.32+0.67*LN(C288)))/IF(_xlfn.XLOOKUP(E288,Groups!A:A,Groups!AD:AD)=1,10,2),(0.7354*C288^0.4078)*2/IF(_xlfn.XLOOKUP(E288,Groups!A:A,Groups!BK:BK)=1,1000,100)/IF(_xlfn.XLOOKUP(E288,Groups!A:A,Groups!AJ:AJ)="Photonozoa",3,1)))</f>
        <v>3.8366288029959135</v>
      </c>
      <c r="BQ288" s="8">
        <f>IF(W288="No","No",IF(_xlfn.XLOOKUP(E288,Groups!A:A,Groups!BD:BD)=1,(AO288*5%),EXP(0.7354*LN(C288)^0.4078)*2/IF(_xlfn.XLOOKUP(E288,Groups!A:A,Groups!BL:BL)=1,1000,100)/IF(_xlfn.XLOOKUP(E288,Groups!A:A,Groups!AJ:AJ)="Photonozoa",3,1)))</f>
        <v>7.7767305388053093E-3</v>
      </c>
      <c r="BR288" s="8">
        <f>IF(BJ288="No","No",IF(_xlfn.XLOOKUP(E288,Groups!A:A,Groups!BF:BF)=1,(0.0315*C288+2.1825)*2,(0.7354*C288^0.4078)*2)/IF(_xlfn.XLOOKUP(E288,Groups!A:A,Groups!BM:BM)=1,1000,100)/IF(_xlfn.XLOOKUP(E288,Groups!A:A,Groups!AJ:AJ)="Photonozoa",3,1))</f>
        <v>9.214965562539261E-2</v>
      </c>
      <c r="BS288" s="8">
        <f t="shared" si="152"/>
        <v>0.11359586594382862</v>
      </c>
      <c r="BT288" s="8">
        <f t="shared" si="153"/>
        <v>38.77164896533786</v>
      </c>
      <c r="BU288" s="8">
        <f t="shared" si="154"/>
        <v>22953.464737058592</v>
      </c>
      <c r="BV288" s="8">
        <f t="shared" si="155"/>
        <v>4960.437590997788</v>
      </c>
      <c r="BW288" s="4">
        <v>0</v>
      </c>
      <c r="BX288" s="4">
        <v>1</v>
      </c>
    </row>
    <row r="289" spans="1:76" s="16" customFormat="1" x14ac:dyDescent="0.25">
      <c r="A289" s="26" t="s">
        <v>1354</v>
      </c>
      <c r="B289" s="6" t="s">
        <v>1830</v>
      </c>
      <c r="C289" s="7">
        <v>10</v>
      </c>
      <c r="D289" s="7" t="s">
        <v>528</v>
      </c>
      <c r="E289" s="7" t="str">
        <f>Groups!$A$15</f>
        <v>Doglike (CANID)</v>
      </c>
      <c r="F289" s="7">
        <v>52</v>
      </c>
      <c r="G289" s="7">
        <f>304/365</f>
        <v>0.83287671232876714</v>
      </c>
      <c r="H289" s="7">
        <v>21.3</v>
      </c>
      <c r="I289" s="4">
        <v>0</v>
      </c>
      <c r="J289" s="7">
        <v>5</v>
      </c>
      <c r="K289" s="7" t="s">
        <v>528</v>
      </c>
      <c r="L289" s="7">
        <f>MIN(37.5*C289^0.089,79.3*C289^-0.072)</f>
        <v>46.028971168440272</v>
      </c>
      <c r="M289" s="7" t="s">
        <v>626</v>
      </c>
      <c r="N289" s="4">
        <v>0</v>
      </c>
      <c r="O289" s="4">
        <v>1</v>
      </c>
      <c r="P289" s="4">
        <v>0</v>
      </c>
      <c r="Q289" s="4">
        <v>0</v>
      </c>
      <c r="R289" s="4" t="s">
        <v>40</v>
      </c>
      <c r="S289" s="7">
        <f>_xlfn.XLOOKUP(B289,[1]TeethAdjusters!$A:$A,[1]BiteAdjusters!$C:$C,1)</f>
        <v>1.0347115248382959</v>
      </c>
      <c r="T289" s="7">
        <f>_xlfn.XLOOKUP(B289,[1]TeethAdjusters!$A:$A,[1]TeethAdjusters!$B:$B,1)</f>
        <v>1.2266423062576042</v>
      </c>
      <c r="U289" s="7" t="str">
        <f>IF(OR(_xlfn.XLOOKUP(E289,Groups!A:A,Groups!P:P)=1,_xlfn.XLOOKUP(E289,Groups!A:A,Groups!AD:AD)=1),"Need a formula","No")</f>
        <v>No</v>
      </c>
      <c r="V289" s="7">
        <f>IF(AT289="No","No",IF(_xlfn.XLOOKUP(E289,Groups!A:A,Groups!AM:AM)=1,MROUND(EXP(0.3582*LN(C289)-0.2221)*T289,0.05),IF(_xlfn.XLOOKUP(E289,Groups!A:A,Groups!AM:AM)=2,MROUND(EXP(0.3582*LN(C289)-0.2221)*T289,0.05),"Need a formula")))</f>
        <v>2.25</v>
      </c>
      <c r="W289" s="7" t="str">
        <f>IF(_xlfn.XLOOKUP(E289,Groups!A:A,Groups!V:V)&lt;&gt;"No","Need a formula","No")</f>
        <v>No</v>
      </c>
      <c r="X289" s="7" t="s">
        <v>932</v>
      </c>
      <c r="Y289" s="4" t="s">
        <v>56</v>
      </c>
      <c r="Z289" s="4">
        <v>1</v>
      </c>
      <c r="AA289" s="4">
        <v>0</v>
      </c>
      <c r="AB289" s="4">
        <v>0</v>
      </c>
      <c r="AC289" s="4">
        <v>0</v>
      </c>
      <c r="AD289" s="4">
        <v>0</v>
      </c>
      <c r="AE289" s="4" t="s">
        <v>45</v>
      </c>
      <c r="AF289" s="4" t="s">
        <v>45</v>
      </c>
      <c r="AG289" s="49" t="s">
        <v>381</v>
      </c>
      <c r="AH289" s="4" t="str">
        <f>Animals!$C$60</f>
        <v xml:space="preserve">&lt;li&gt;Fox_Fennec&lt;/li&gt; </v>
      </c>
      <c r="AI289" s="4">
        <v>0</v>
      </c>
      <c r="AJ289" s="4">
        <v>0</v>
      </c>
      <c r="AK289" s="4">
        <v>0</v>
      </c>
      <c r="AL289" s="4">
        <v>0</v>
      </c>
      <c r="AM289" s="4">
        <v>1</v>
      </c>
      <c r="AN289" s="44" t="s">
        <v>40</v>
      </c>
      <c r="AO289" s="8">
        <f t="shared" si="141"/>
        <v>4958.187872875691</v>
      </c>
      <c r="AP289" s="8">
        <f>IFERROR(C289*_xlfn.XLOOKUP(E289,Groups!A:A,Groups!K:K),0.106*C289^0.94)</f>
        <v>1.2475000000000001</v>
      </c>
      <c r="AQ289" s="8">
        <f>AP289*10000/(_xlfn.XLOOKUP(E289,Groups!A:A,Groups!J:J)*AO289)</f>
        <v>2.3082937601157147</v>
      </c>
      <c r="AR289" s="8">
        <f t="shared" si="142"/>
        <v>380.31263115847975</v>
      </c>
      <c r="AS289" s="8">
        <f>IF(_xlfn.XLOOKUP(E289,Groups!A:A,Groups!M:M)=1,EXP(0.7444*LN('Base stats'!C289)+6.5696),EXP(0.7927*LN('Base stats'!C289)+4.28))</f>
        <v>448.20880356342906</v>
      </c>
      <c r="AT289" s="8">
        <f>IF(_xlfn.XLOOKUP(E289,Groups!A:A,Groups!N:N)="No","No",
IF(_xlfn.XLOOKUP(E289,Groups!A:A,Groups!N:N)="Crocodile",EXP(0.8129*LN(C289)+4.6742)*S289,
IF(_xlfn.XLOOKUP(E289,Groups!A:A,Groups!N:N)="Felid",EXP(0.7843*LN(C289)+4.7073)*S289,
IF(_xlfn.XLOOKUP(E289,Groups!A:A,Groups!N:N)="Canid",EXP(0.8367*LN(C289)+4.8763)*S289,
IF(_xlfn.XLOOKUP(E289,Groups!A:A,Groups!N:N)="Pig",EXP(0.3439*LN(C289)+6.8519)*S289,
IF(_xlfn.XLOOKUP(E289,Groups!A:A,Groups!N:N)="Rodent",EXP(0.5625*LN(C289)+4.3006)*S289,
IF(_xlfn.XLOOKUP(E289,Groups!A:A,Groups!N:N)="Primate",EXP(0.7847*LN(C289)+3.4931)*S289,
IF(_xlfn.XLOOKUP(E289,Groups!A:A,Groups!N:N)="MiscCarnivora",EXP(0.7486*LN(C289)+4.2207)*S289,
IF(_xlfn.XLOOKUP(E289,Groups!A:A,Groups!N:N)="Lizard",EXP(0.7733*LN(C289)+5.5303)*S289,
IF(_xlfn.XLOOKUP(E289,Groups!A:A,Groups!N:N)="Snake",50*C289^(2/3)*S289,
IF(_xlfn.XLOOKUP(E289,Groups!A:A,Groups!N:N)="StrongBitingHerbivore",87.1133638856975*C289^(2/3)*S289,
IF(_xlfn.XLOOKUP(E289,Groups!A:A,Groups!N:N)="MiscEctotherms",59.4316884072269*C289^(2/3)*S289,
IF(_xlfn.XLOOKUP(E289,Groups!A:A,Groups!N:N)="StrongBeakBird",0.041*(C289*1000)^1.375*S289,
IF(_xlfn.XLOOKUP(E289,Groups!A:A,Groups!N:N)="Bird",0.118*(C289*1000)^0.692*S289,
IF(_xlfn.XLOOKUP(E289,Groups!A:A,Groups!N:N)="Insect",EXP(0.7444*LN(C289)+6.5696)*S289,
IF(_xlfn.XLOOKUP(E289,Groups!A:A,Groups!N:N)="Theropod",EXP(0.6966*LN(C289)+4.158)*S289,
"No"))))))))))))))))</f>
        <v>931.68578307124903</v>
      </c>
      <c r="AU289" s="8">
        <f>IF(_xlfn.XLOOKUP(E289,Groups!A:A,Groups!U:U)=3,AS289,IF(_xlfn.XLOOKUP(E289,Groups!A:A,Groups!U:U)=2,AR289,AT289))</f>
        <v>931.68578307124903</v>
      </c>
      <c r="AV289" s="46">
        <f>IFERROR(AVERAGE(_xlfn.XLOOKUP(B289,Animals!B:B,Animals!N:N),_xlfn.XLOOKUP(B289,Animals!B:B,Animals!O:O)),0)</f>
        <v>0</v>
      </c>
      <c r="AW289" s="8">
        <f>MROUND(40*Animals!AO289*_xlfn.XLOOKUP(AG289,Leathers!$A$2:$A$99,Leathers!$B$2:$B$99,0)+(140*_xlfn.XLOOKUP(B289,Animals!B:B,Animals!AO:AO)*2),5)</f>
        <v>620</v>
      </c>
      <c r="AX289" s="8">
        <f>IFERROR(ROUND(SQRT(V289-1)*IF(_xlfn.XLOOKUP(E289,Groups!A:A,Groups!BF:BF)=0,2,1)*IF(_xlfn.XLOOKUP('Base stats'!E289,Groups!A:A,Groups!O:O)=0,1,0.1),1),0)</f>
        <v>2.2000000000000002</v>
      </c>
      <c r="AY289" s="8">
        <f t="shared" si="143"/>
        <v>0</v>
      </c>
      <c r="AZ289" s="8">
        <f t="shared" si="144"/>
        <v>0</v>
      </c>
      <c r="BA289" s="8">
        <f t="shared" si="145"/>
        <v>1.6</v>
      </c>
      <c r="BB289" s="8">
        <f>IF(_xlfn.XLOOKUP(E289,Groups!A:A,Groups!N:N)="Insect",BD289*2.5,IFERROR(AVERAGE(BD289,AT289/9.81/IF(OR(_xlfn.XLOOKUP(E289,Groups!A:A,Groups!N:N)="Pig",_xlfn.XLOOKUP(E289,Groups!A:A,Groups!N:N)="StrongBitingHerbivore"),20,25))*C289^-0.135,BD289))</f>
        <v>1.4893039584320786</v>
      </c>
      <c r="BC289" s="8" t="str">
        <f>IF(W289="No","No",IF(_xlfn.XLOOKUP(E289,Groups!A:A,Groups!U:U)=1,'Base stats'!BB289,IF(OR(_xlfn.XLOOKUP(E289,Groups!A:A,Groups!BD:BD)=1,_xlfn.XLOOKUP(E289,Groups!A:A,Groups!U:U)=2),BD289,IF(_xlfn.XLOOKUP(B289,Animals!B:B,Animals!AO:AO)&gt;4,AVERAGE(BD289,BF289),BF289))))</f>
        <v>No</v>
      </c>
      <c r="BD289" s="8">
        <f t="shared" si="146"/>
        <v>0.26563547098338458</v>
      </c>
      <c r="BE289" s="8">
        <f>IF(_xlfn.XLOOKUP(E289,Groups!A:A,Groups!BE:BE)=1,(0.048*C289^1.01)+(0.071*C289^1.03),0.071*C289^1.03)/IF(_xlfn.XLOOKUP(E289,Groups!A:A,Groups!M:M)=1,0.85,IF(OR(_xlfn.XLOOKUP(B289,Animals!B:B,Animals!AO:AO)&gt;4,_xlfn.XLOOKUP(E289,Groups!A:A,Groups!BC:BC)=1),1.7,1))*C289^-0.25</f>
        <v>0.42781730611279417</v>
      </c>
      <c r="BF289" s="8">
        <f>(0.048*C289^1.01)/IF(_xlfn.XLOOKUP(E289,Groups!A:A,Groups!M:M)=1,0.25,0.8)*C289^-0.25</f>
        <v>0.34526396240229418</v>
      </c>
      <c r="BG289" s="8">
        <f>EXP(1.076*LN(AR289)-4.5397)*IF(_xlfn.XLOOKUP(E289,Groups!A:A,Groups!BC:BC)=1,1.25,IF(_xlfn.XLOOKUP(E289,Groups!A:A,Groups!BD:BD)=1,3.5,2.5))</f>
        <v>15.944275717953127</v>
      </c>
      <c r="BH289" s="8">
        <f>EXP(1.076*LN(AS289)-4.5397)*IF(_xlfn.XLOOKUP(E289,Groups!A:A,Groups!M:M)=1,0.8,IF(_xlfn.XLOOKUP(E289,Groups!A:A,Groups!BC:BC)=1,1.3,3))</f>
        <v>22.832185638487289</v>
      </c>
      <c r="BI289" s="8" t="str">
        <f>IF(W289="No","No",IF(_xlfn.XLOOKUP(E289,Groups!A:A,Groups!U:U)=1,'Base stats'!BJ289,IF(OR(_xlfn.XLOOKUP(E289,Groups!A:A,Groups!BD:BD)=1,_xlfn.XLOOKUP(E289,Groups!A:A,Groups!U:U)=2),BG289,BH289))*1.2)</f>
        <v>No</v>
      </c>
      <c r="BJ289" s="8">
        <f>IFERROR(EXP(1.076*LN(AT289)-4.5397)*IF(_xlfn.XLOOKUP(E289,Groups!A:A,Groups!N:N)="Insect",1,IF(OR(_xlfn.XLOOKUP(E289,Groups!A:A,Groups!N:N)="Pig",_xlfn.XLOOKUP(E289,Groups!A:A,Groups!N:N)="StrongBitingHerbivore"),3.5,3.75)),"No")</f>
        <v>62.718917832758819</v>
      </c>
      <c r="BK289" s="8">
        <f t="shared" si="147"/>
        <v>10</v>
      </c>
      <c r="BL289" s="8">
        <f t="shared" si="148"/>
        <v>10</v>
      </c>
      <c r="BM289" s="8" t="str">
        <f t="shared" si="149"/>
        <v>No</v>
      </c>
      <c r="BN289" s="8">
        <f t="shared" si="150"/>
        <v>9</v>
      </c>
      <c r="BO289" s="8">
        <f t="shared" si="151"/>
        <v>11</v>
      </c>
      <c r="BP289" s="8" t="str" cm="1">
        <f t="array" ref="BP289">IF(AND(_xlfn.XLOOKUP('Base stats'!E289,Groups!A:A,Groups!AD:AD=0),_xlfn.XLOOKUP('Base stats'!E289,Groups!A:A,Groups!P:P=0)),"No",IF(U289="No",AVERAGE(EXP(-0.57+0.99*LN(C289)),EXP(0.32+0.67*LN(C289)))/IF(_xlfn.XLOOKUP(E289,Groups!A:A,Groups!AD:AD)=1,10,2),(0.7354*C289^0.4078)*2/IF(_xlfn.XLOOKUP(E289,Groups!A:A,Groups!BK:BK)=1,1000,100)/IF(_xlfn.XLOOKUP(E289,Groups!A:A,Groups!AJ:AJ)="Photonozoa",3,1)))</f>
        <v>No</v>
      </c>
      <c r="BQ289" s="8" t="str">
        <f>IF(W289="No","No",IF(_xlfn.XLOOKUP(E289,Groups!A:A,Groups!BD:BD)=1,(AO289*5%),EXP(0.7354*LN(C289)^0.4078)*2/IF(_xlfn.XLOOKUP(E289,Groups!A:A,Groups!BL:BL)=1,1000,100)/IF(_xlfn.XLOOKUP(E289,Groups!A:A,Groups!AJ:AJ)="Photonozoa",3,1)))</f>
        <v>No</v>
      </c>
      <c r="BR289" s="8">
        <f>IF(BJ289="No","No",IF(_xlfn.XLOOKUP(E289,Groups!A:A,Groups!BF:BF)=1,(0.0315*C289+2.1825)*2,(0.7354*C289^0.4078)*2)/IF(_xlfn.XLOOKUP(E289,Groups!A:A,Groups!BM:BM)=1,1000,100)/IF(_xlfn.XLOOKUP(E289,Groups!A:A,Groups!AJ:AJ)="Photonozoa",3,1))</f>
        <v>3.7614355184740135E-2</v>
      </c>
      <c r="BS289" s="8">
        <f t="shared" si="152"/>
        <v>6.4314931691790186E-2</v>
      </c>
      <c r="BT289" s="8" t="str">
        <f t="shared" si="153"/>
        <v>No</v>
      </c>
      <c r="BU289" s="8" t="str">
        <f t="shared" si="154"/>
        <v>No</v>
      </c>
      <c r="BV289" s="8">
        <f t="shared" si="155"/>
        <v>1667.4197264506988</v>
      </c>
      <c r="BW289" s="4">
        <v>0</v>
      </c>
      <c r="BX289" s="4">
        <v>1</v>
      </c>
    </row>
    <row r="290" spans="1:76" s="16" customFormat="1" x14ac:dyDescent="0.25">
      <c r="A290" s="26" t="s">
        <v>1380</v>
      </c>
      <c r="B290" s="6" t="s">
        <v>1841</v>
      </c>
      <c r="C290" s="7">
        <v>500</v>
      </c>
      <c r="D290" s="7" t="s">
        <v>528</v>
      </c>
      <c r="E290" s="7" t="str">
        <f>Groups!$A$53</f>
        <v>Ruminant (HORNS, GENTLE)</v>
      </c>
      <c r="F290" s="7">
        <v>277</v>
      </c>
      <c r="G290" s="7">
        <f>548/365</f>
        <v>1.5013698630136987</v>
      </c>
      <c r="H290" s="7">
        <v>20</v>
      </c>
      <c r="I290" s="4">
        <v>1</v>
      </c>
      <c r="J290" s="7">
        <v>1</v>
      </c>
      <c r="K290" s="7" t="s">
        <v>528</v>
      </c>
      <c r="L290" s="7">
        <v>29</v>
      </c>
      <c r="M290" s="7" t="s">
        <v>626</v>
      </c>
      <c r="N290" s="4">
        <v>0</v>
      </c>
      <c r="O290" s="4">
        <v>1</v>
      </c>
      <c r="P290" s="4">
        <v>0</v>
      </c>
      <c r="Q290" s="4">
        <v>0</v>
      </c>
      <c r="R290" s="4" t="s">
        <v>40</v>
      </c>
      <c r="S290" s="7">
        <f>_xlfn.XLOOKUP(B290,[1]TeethAdjusters!$A:$A,[1]BiteAdjusters!$C:$C,1)</f>
        <v>1</v>
      </c>
      <c r="T290" s="7">
        <f>_xlfn.XLOOKUP(B290,[1]TeethAdjusters!$A:$A,[1]TeethAdjusters!$B:$B,1)</f>
        <v>1</v>
      </c>
      <c r="U290" s="7" t="s">
        <v>45</v>
      </c>
      <c r="V290" s="7" t="str">
        <f>IF(AT290="No","No",IF(_xlfn.XLOOKUP(E290,Groups!A:A,Groups!AM:AM)=1,MROUND(EXP(0.3582*LN(C290)-0.2221)*T290,0.05),IF(_xlfn.XLOOKUP(E290,Groups!A:A,Groups!AM:AM)=2,MROUND(EXP(0.3582*LN(C290)-0.2221)*T290,0.05),"Need a formula")))</f>
        <v>No</v>
      </c>
      <c r="W290" s="7">
        <v>11.4</v>
      </c>
      <c r="X290" s="7" t="s">
        <v>962</v>
      </c>
      <c r="Y290" s="4" t="s">
        <v>42</v>
      </c>
      <c r="Z290" s="4">
        <v>1</v>
      </c>
      <c r="AA290" s="4">
        <v>0</v>
      </c>
      <c r="AB290" s="4">
        <v>0</v>
      </c>
      <c r="AC290" s="4">
        <v>0</v>
      </c>
      <c r="AD290" s="4">
        <v>0</v>
      </c>
      <c r="AE290" s="4" t="s">
        <v>45</v>
      </c>
      <c r="AF290" s="4" t="s">
        <v>398</v>
      </c>
      <c r="AG290" s="49" t="s">
        <v>1712</v>
      </c>
      <c r="AH290" s="4" t="str">
        <f>Animals!$C$43</f>
        <v>&lt;li&gt;Cow&lt;/li&gt;</v>
      </c>
      <c r="AI290" s="4">
        <v>1</v>
      </c>
      <c r="AJ290" s="4">
        <v>0</v>
      </c>
      <c r="AK290" s="4">
        <v>0</v>
      </c>
      <c r="AL290" s="4">
        <v>0</v>
      </c>
      <c r="AM290" s="4">
        <v>1</v>
      </c>
      <c r="AN290" s="44" t="s">
        <v>40</v>
      </c>
      <c r="AO290" s="8">
        <f t="shared" si="141"/>
        <v>63045.411191767809</v>
      </c>
      <c r="AP290" s="8">
        <f>IFERROR(C290*_xlfn.XLOOKUP(E290,Groups!A:A,Groups!K:K),0.106*C290^0.94)</f>
        <v>36.503765791879047</v>
      </c>
      <c r="AQ290" s="8">
        <f>AP290*10000/(_xlfn.XLOOKUP(E290,Groups!A:A,Groups!J:J)*AO290)</f>
        <v>5.3119953941101317</v>
      </c>
      <c r="AR290" s="8">
        <f t="shared" si="142"/>
        <v>10357.637618796818</v>
      </c>
      <c r="AS290" s="8">
        <f>IF(_xlfn.XLOOKUP(E290,Groups!A:A,Groups!M:M)=1,EXP(0.7444*LN('Base stats'!C290)+6.5696),EXP(0.7927*LN('Base stats'!C290)+4.28))</f>
        <v>9959.8753916241294</v>
      </c>
      <c r="AT290" s="8" t="str">
        <f>IF(_xlfn.XLOOKUP(E290,Groups!A:A,Groups!N:N)="No","No",
IF(_xlfn.XLOOKUP(E290,Groups!A:A,Groups!N:N)="Crocodile",EXP(0.8129*LN(C290)+4.6742)*S290,
IF(_xlfn.XLOOKUP(E290,Groups!A:A,Groups!N:N)="Felid",EXP(0.7843*LN(C290)+4.7073)*S290,
IF(_xlfn.XLOOKUP(E290,Groups!A:A,Groups!N:N)="Canid",EXP(0.8367*LN(C290)+4.8763)*S290,
IF(_xlfn.XLOOKUP(E290,Groups!A:A,Groups!N:N)="Pig",EXP(0.3439*LN(C290)+6.8519)*S290,
IF(_xlfn.XLOOKUP(E290,Groups!A:A,Groups!N:N)="Rodent",EXP(0.5625*LN(C290)+4.3006)*S290,
IF(_xlfn.XLOOKUP(E290,Groups!A:A,Groups!N:N)="Primate",EXP(0.7847*LN(C290)+3.4931)*S290,
IF(_xlfn.XLOOKUP(E290,Groups!A:A,Groups!N:N)="MiscCarnivora",EXP(0.7486*LN(C290)+4.2207)*S290,
IF(_xlfn.XLOOKUP(E290,Groups!A:A,Groups!N:N)="Lizard",EXP(0.7733*LN(C290)+5.5303)*S290,
IF(_xlfn.XLOOKUP(E290,Groups!A:A,Groups!N:N)="Snake",50*C290^(2/3)*S290,
IF(_xlfn.XLOOKUP(E290,Groups!A:A,Groups!N:N)="StrongBitingHerbivore",87.1133638856975*C290^(2/3)*S290,
IF(_xlfn.XLOOKUP(E290,Groups!A:A,Groups!N:N)="MiscEctotherms",59.4316884072269*C290^(2/3)*S290,
IF(_xlfn.XLOOKUP(E290,Groups!A:A,Groups!N:N)="StrongBeakBird",0.041*(C290*1000)^1.375*S290,
IF(_xlfn.XLOOKUP(E290,Groups!A:A,Groups!N:N)="Bird",0.118*(C290*1000)^0.692*S290,
IF(_xlfn.XLOOKUP(E290,Groups!A:A,Groups!N:N)="Insect",EXP(0.7444*LN(C290)+6.5696)*S290,
IF(_xlfn.XLOOKUP(E290,Groups!A:A,Groups!N:N)="Theropod",EXP(0.6966*LN(C290)+4.158)*S290,
"No"))))))))))))))))</f>
        <v>No</v>
      </c>
      <c r="AU290" s="8">
        <f>IF(_xlfn.XLOOKUP(E290,Groups!A:A,Groups!U:U)=3,AS290,IF(_xlfn.XLOOKUP(E290,Groups!A:A,Groups!U:U)=2,AR290,AT290))</f>
        <v>9959.8753916241294</v>
      </c>
      <c r="AV290" s="46">
        <f>IFERROR(AVERAGE(_xlfn.XLOOKUP(B290,Animals!B:B,Animals!N:N),_xlfn.XLOOKUP(B290,Animals!B:B,Animals!O:O)),0)</f>
        <v>0</v>
      </c>
      <c r="AW290" s="8">
        <f>MROUND(40*Animals!AO290*_xlfn.XLOOKUP(AG290,Leathers!$A$2:$A$99,Leathers!$B$2:$B$99,0)+(140*_xlfn.XLOOKUP(B290,Animals!B:B,Animals!AO:AO)*2),5)</f>
        <v>770</v>
      </c>
      <c r="AX290" s="8">
        <f>IFERROR(ROUND(SQRT(V290-1)*IF(_xlfn.XLOOKUP(E290,Groups!A:A,Groups!BF:BF)=0,2,1)*IF(_xlfn.XLOOKUP('Base stats'!E290,Groups!A:A,Groups!O:O)=0,1,0.1),1),0)</f>
        <v>0</v>
      </c>
      <c r="AY290" s="8">
        <f t="shared" si="143"/>
        <v>0</v>
      </c>
      <c r="AZ290" s="8">
        <f t="shared" si="144"/>
        <v>3.4</v>
      </c>
      <c r="BA290" s="8">
        <f t="shared" si="145"/>
        <v>7.4</v>
      </c>
      <c r="BB290" s="8">
        <f>IF(_xlfn.XLOOKUP(E290,Groups!A:A,Groups!N:N)="Insect",BD290*2.5,IFERROR(AVERAGE(BD290,AT290/9.81/IF(OR(_xlfn.XLOOKUP(E290,Groups!A:A,Groups!N:N)="Pig",_xlfn.XLOOKUP(E290,Groups!A:A,Groups!N:N)="StrongBitingHerbivore"),20,25))*C290^-0.135,BD290))</f>
        <v>4.2492222832919326</v>
      </c>
      <c r="BC290" s="8">
        <f>IF(W290="No","No",IF(_xlfn.XLOOKUP(E290,Groups!A:A,Groups!U:U)=1,'Base stats'!BB290,IF(OR(_xlfn.XLOOKUP(E290,Groups!A:A,Groups!BD:BD)=1,_xlfn.XLOOKUP(E290,Groups!A:A,Groups!U:U)=2),BD290,IF(_xlfn.XLOOKUP(B290,Animals!B:B,Animals!AO:AO)&gt;4,AVERAGE(BD290,BF290),BF290))))</f>
        <v>6.7510053736705169</v>
      </c>
      <c r="BD290" s="8">
        <f t="shared" si="146"/>
        <v>4.2492222832919326</v>
      </c>
      <c r="BE290" s="8">
        <f>IF(_xlfn.XLOOKUP(E290,Groups!A:A,Groups!BE:BE)=1,(0.048*C290^1.01)+(0.071*C290^1.03),0.071*C290^1.03)/IF(_xlfn.XLOOKUP(E290,Groups!A:A,Groups!M:M)=1,0.85,IF(OR(_xlfn.XLOOKUP(B290,Animals!B:B,Animals!AO:AO)&gt;4,_xlfn.XLOOKUP(E290,Groups!A:A,Groups!BC:BC)=1),1.7,1))*C290^-0.25</f>
        <v>9.0459660212328927</v>
      </c>
      <c r="BF290" s="8">
        <f>(0.048*C290^1.01)/IF(_xlfn.XLOOKUP(E290,Groups!A:A,Groups!M:M)=1,0.25,0.8)*C290^-0.25</f>
        <v>6.7510053736705169</v>
      </c>
      <c r="BG290" s="8">
        <f>EXP(1.076*LN(AR290)-4.5397)*IF(_xlfn.XLOOKUP(E290,Groups!A:A,Groups!BC:BC)=1,1.25,IF(_xlfn.XLOOKUP(E290,Groups!A:A,Groups!BD:BD)=1,3.5,2.5))</f>
        <v>558.20519715935461</v>
      </c>
      <c r="BH290" s="8">
        <f>EXP(1.076*LN(AS290)-4.5397)*IF(_xlfn.XLOOKUP(E290,Groups!A:A,Groups!M:M)=1,0.8,IF(_xlfn.XLOOKUP(E290,Groups!A:A,Groups!BC:BC)=1,1.3,3))</f>
        <v>642.20812673473438</v>
      </c>
      <c r="BI290" s="8">
        <f>IF(W290="No","No",IF(_xlfn.XLOOKUP(E290,Groups!A:A,Groups!U:U)=1,'Base stats'!BJ290,IF(OR(_xlfn.XLOOKUP(E290,Groups!A:A,Groups!BD:BD)=1,_xlfn.XLOOKUP(E290,Groups!A:A,Groups!U:U)=2),BG290,BH290))*1.2)</f>
        <v>770.64975208168119</v>
      </c>
      <c r="BJ290" s="8" t="str">
        <f>IFERROR(EXP(1.076*LN(AT290)-4.5397)*IF(_xlfn.XLOOKUP(E290,Groups!A:A,Groups!N:N)="Insect",1,IF(OR(_xlfn.XLOOKUP(E290,Groups!A:A,Groups!N:N)="Pig",_xlfn.XLOOKUP(E290,Groups!A:A,Groups!N:N)="StrongBitingHerbivore"),3.5,3.75)),"No")</f>
        <v>No</v>
      </c>
      <c r="BK290" s="8">
        <f t="shared" si="147"/>
        <v>16</v>
      </c>
      <c r="BL290" s="8">
        <f t="shared" si="148"/>
        <v>11</v>
      </c>
      <c r="BM290" s="8">
        <f t="shared" si="149"/>
        <v>15</v>
      </c>
      <c r="BN290" s="8" t="str">
        <f t="shared" si="150"/>
        <v>No</v>
      </c>
      <c r="BO290" s="8">
        <f t="shared" si="151"/>
        <v>13</v>
      </c>
      <c r="BP290" s="8" cm="1">
        <f t="array" ref="BP290">IF(AND(_xlfn.XLOOKUP('Base stats'!E290,Groups!A:A,Groups!AD:AD=0),_xlfn.XLOOKUP('Base stats'!E290,Groups!A:A,Groups!P:P=0)),"No",IF(U290="No",AVERAGE(EXP(-0.57+0.99*LN(C290)),EXP(0.32+0.67*LN(C290)))/IF(_xlfn.XLOOKUP(E290,Groups!A:A,Groups!AD:AD)=1,10,2),(0.7354*C290^0.4078)*2/IF(_xlfn.XLOOKUP(E290,Groups!A:A,Groups!BK:BK)=1,1000,100)/IF(_xlfn.XLOOKUP(E290,Groups!A:A,Groups!AJ:AJ)="Photonozoa",3,1)))</f>
        <v>88.57362733511664</v>
      </c>
      <c r="BQ290" s="8">
        <f>IF(W290="No","No",IF(_xlfn.XLOOKUP(E290,Groups!A:A,Groups!BD:BD)=1,(AO290*5%),EXP(0.7354*LN(C290)^0.4078)*2/IF(_xlfn.XLOOKUP(E290,Groups!A:A,Groups!BL:BL)=1,1000,100)/IF(_xlfn.XLOOKUP(E290,Groups!A:A,Groups!AJ:AJ)="Photonozoa",3,1)))</f>
        <v>9.4144063621096771E-2</v>
      </c>
      <c r="BR290" s="8" t="str">
        <f>IF(BJ290="No","No",IF(_xlfn.XLOOKUP(E290,Groups!A:A,Groups!BF:BF)=1,(0.0315*C290+2.1825)*2,(0.7354*C290^0.4078)*2)/IF(_xlfn.XLOOKUP(E290,Groups!A:A,Groups!BM:BM)=1,1000,100)/IF(_xlfn.XLOOKUP(E290,Groups!A:A,Groups!AJ:AJ)="Photonozoa",3,1))</f>
        <v>No</v>
      </c>
      <c r="BS290" s="8">
        <f t="shared" si="152"/>
        <v>0.17708035735112868</v>
      </c>
      <c r="BT290" s="8">
        <f t="shared" si="153"/>
        <v>7.2505569214745167</v>
      </c>
      <c r="BU290" s="8">
        <f t="shared" si="154"/>
        <v>8185.8560427487864</v>
      </c>
      <c r="BV290" s="8" t="str">
        <f t="shared" si="155"/>
        <v>No</v>
      </c>
      <c r="BW290" s="4">
        <v>0</v>
      </c>
      <c r="BX290" s="4">
        <v>1</v>
      </c>
    </row>
    <row r="291" spans="1:76" s="16" customFormat="1" x14ac:dyDescent="0.25">
      <c r="A291" s="26" t="s">
        <v>1540</v>
      </c>
      <c r="B291" s="6" t="s">
        <v>1675</v>
      </c>
      <c r="C291" s="7">
        <v>350</v>
      </c>
      <c r="D291" s="7" t="s">
        <v>528</v>
      </c>
      <c r="E291" s="7" t="str">
        <f>Groups!$A$53</f>
        <v>Ruminant (HORNS, GENTLE)</v>
      </c>
      <c r="F291" s="7">
        <v>277</v>
      </c>
      <c r="G291" s="7">
        <f>548/365</f>
        <v>1.5013698630136987</v>
      </c>
      <c r="H291" s="7">
        <v>20</v>
      </c>
      <c r="I291" s="4">
        <v>1</v>
      </c>
      <c r="J291" s="7">
        <v>1</v>
      </c>
      <c r="K291" s="7" t="s">
        <v>528</v>
      </c>
      <c r="L291" s="7">
        <v>29</v>
      </c>
      <c r="M291" s="7" t="s">
        <v>626</v>
      </c>
      <c r="N291" s="4">
        <v>1</v>
      </c>
      <c r="O291" s="4">
        <v>1</v>
      </c>
      <c r="P291" s="4">
        <v>0</v>
      </c>
      <c r="Q291" s="4">
        <v>0</v>
      </c>
      <c r="R291" s="4">
        <v>1</v>
      </c>
      <c r="S291" s="7">
        <f>_xlfn.XLOOKUP(B291,[1]TeethAdjusters!$A:$A,[1]BiteAdjusters!$C:$C,1)</f>
        <v>1</v>
      </c>
      <c r="T291" s="7">
        <f>_xlfn.XLOOKUP(B291,[1]TeethAdjusters!$A:$A,[1]TeethAdjusters!$B:$B,1)</f>
        <v>1</v>
      </c>
      <c r="U291" s="7" t="s">
        <v>45</v>
      </c>
      <c r="V291" s="7" t="str">
        <f>IF(AT291="No","No",IF(_xlfn.XLOOKUP(E291,Groups!A:A,Groups!AM:AM)=1,MROUND(EXP(0.3582*LN(C291)-0.2221)*T291,0.05),IF(_xlfn.XLOOKUP(E291,Groups!A:A,Groups!AM:AM)=2,MROUND(EXP(0.3582*LN(C291)-0.2221)*T291,0.05),"Need a formula")))</f>
        <v>No</v>
      </c>
      <c r="W291" s="7">
        <v>11.4</v>
      </c>
      <c r="X291" s="7" t="s">
        <v>962</v>
      </c>
      <c r="Y291" s="4" t="s">
        <v>42</v>
      </c>
      <c r="Z291" s="4">
        <v>1</v>
      </c>
      <c r="AA291" s="4">
        <v>0</v>
      </c>
      <c r="AB291" s="4">
        <v>0</v>
      </c>
      <c r="AC291" s="4">
        <v>0</v>
      </c>
      <c r="AD291" s="4">
        <v>0</v>
      </c>
      <c r="AE291" s="4" t="s">
        <v>45</v>
      </c>
      <c r="AF291" s="4" t="s">
        <v>398</v>
      </c>
      <c r="AG291" s="49" t="s">
        <v>1712</v>
      </c>
      <c r="AH291" s="4" t="str">
        <f>Animals!$C$43</f>
        <v>&lt;li&gt;Cow&lt;/li&gt;</v>
      </c>
      <c r="AI291" s="4">
        <v>1</v>
      </c>
      <c r="AJ291" s="4">
        <v>0</v>
      </c>
      <c r="AK291" s="4">
        <v>0</v>
      </c>
      <c r="AL291" s="4">
        <v>0</v>
      </c>
      <c r="AM291" s="4">
        <v>1</v>
      </c>
      <c r="AN291" s="44" t="s">
        <v>40</v>
      </c>
      <c r="AO291" s="8">
        <f t="shared" si="141"/>
        <v>49999.678016554004</v>
      </c>
      <c r="AP291" s="8">
        <f>IFERROR(C291*_xlfn.XLOOKUP(E291,Groups!A:A,Groups!K:K),0.106*C291^0.94)</f>
        <v>26.105368435044046</v>
      </c>
      <c r="AQ291" s="8">
        <f>AP291*10000/(_xlfn.XLOOKUP(E291,Groups!A:A,Groups!J:J)*AO291)</f>
        <v>4.7900067056984179</v>
      </c>
      <c r="AR291" s="8">
        <f t="shared" si="142"/>
        <v>7663.2858706487614</v>
      </c>
      <c r="AS291" s="8">
        <f>IF(_xlfn.XLOOKUP(E291,Groups!A:A,Groups!M:M)=1,EXP(0.7444*LN('Base stats'!C291)+6.5696),EXP(0.7927*LN('Base stats'!C291)+4.28))</f>
        <v>7506.9430520091801</v>
      </c>
      <c r="AT291" s="8" t="str">
        <f>IF(_xlfn.XLOOKUP(E291,Groups!A:A,Groups!N:N)="No","No",
IF(_xlfn.XLOOKUP(E291,Groups!A:A,Groups!N:N)="Crocodile",EXP(0.8129*LN(C291)+4.6742)*S291,
IF(_xlfn.XLOOKUP(E291,Groups!A:A,Groups!N:N)="Felid",EXP(0.7843*LN(C291)+4.7073)*S291,
IF(_xlfn.XLOOKUP(E291,Groups!A:A,Groups!N:N)="Canid",EXP(0.8367*LN(C291)+4.8763)*S291,
IF(_xlfn.XLOOKUP(E291,Groups!A:A,Groups!N:N)="Pig",EXP(0.3439*LN(C291)+6.8519)*S291,
IF(_xlfn.XLOOKUP(E291,Groups!A:A,Groups!N:N)="Rodent",EXP(0.5625*LN(C291)+4.3006)*S291,
IF(_xlfn.XLOOKUP(E291,Groups!A:A,Groups!N:N)="Primate",EXP(0.7847*LN(C291)+3.4931)*S291,
IF(_xlfn.XLOOKUP(E291,Groups!A:A,Groups!N:N)="MiscCarnivora",EXP(0.7486*LN(C291)+4.2207)*S291,
IF(_xlfn.XLOOKUP(E291,Groups!A:A,Groups!N:N)="Lizard",EXP(0.7733*LN(C291)+5.5303)*S291,
IF(_xlfn.XLOOKUP(E291,Groups!A:A,Groups!N:N)="Snake",50*C291^(2/3)*S291,
IF(_xlfn.XLOOKUP(E291,Groups!A:A,Groups!N:N)="StrongBitingHerbivore",87.1133638856975*C291^(2/3)*S291,
IF(_xlfn.XLOOKUP(E291,Groups!A:A,Groups!N:N)="MiscEctotherms",59.4316884072269*C291^(2/3)*S291,
IF(_xlfn.XLOOKUP(E291,Groups!A:A,Groups!N:N)="StrongBeakBird",0.041*(C291*1000)^1.375*S291,
IF(_xlfn.XLOOKUP(E291,Groups!A:A,Groups!N:N)="Bird",0.118*(C291*1000)^0.692*S291,
IF(_xlfn.XLOOKUP(E291,Groups!A:A,Groups!N:N)="Insect",EXP(0.7444*LN(C291)+6.5696)*S291,
IF(_xlfn.XLOOKUP(E291,Groups!A:A,Groups!N:N)="Theropod",EXP(0.6966*LN(C291)+4.158)*S291,
"No"))))))))))))))))</f>
        <v>No</v>
      </c>
      <c r="AU291" s="8">
        <f>IF(_xlfn.XLOOKUP(E291,Groups!A:A,Groups!U:U)=3,AS291,IF(_xlfn.XLOOKUP(E291,Groups!A:A,Groups!U:U)=2,AR291,AT291))</f>
        <v>7506.9430520091801</v>
      </c>
      <c r="AV291" s="46">
        <f>IFERROR(AVERAGE(_xlfn.XLOOKUP(B291,Animals!B:B,Animals!N:N),_xlfn.XLOOKUP(B291,Animals!B:B,Animals!O:O)),0)</f>
        <v>0</v>
      </c>
      <c r="AW291" s="8">
        <f>MROUND(40*Animals!AO291*_xlfn.XLOOKUP(AG291,Leathers!$A$2:$A$99,Leathers!$B$2:$B$99,0)+(140*_xlfn.XLOOKUP(B291,Animals!B:B,Animals!AO:AO)*2),5)</f>
        <v>700</v>
      </c>
      <c r="AX291" s="8">
        <f>IFERROR(ROUND(SQRT(V291-1)*IF(_xlfn.XLOOKUP(E291,Groups!A:A,Groups!BF:BF)=0,2,1)*IF(_xlfn.XLOOKUP('Base stats'!E291,Groups!A:A,Groups!O:O)=0,1,0.1),1),0)</f>
        <v>0</v>
      </c>
      <c r="AY291" s="8">
        <f t="shared" si="143"/>
        <v>0</v>
      </c>
      <c r="AZ291" s="8">
        <f t="shared" si="144"/>
        <v>3.4</v>
      </c>
      <c r="BA291" s="8">
        <f t="shared" si="145"/>
        <v>6.5</v>
      </c>
      <c r="BB291" s="8">
        <f>IF(_xlfn.XLOOKUP(E291,Groups!A:A,Groups!N:N)="Insect",BD291*2.5,IFERROR(AVERAGE(BD291,AT291/9.81/IF(OR(_xlfn.XLOOKUP(E291,Groups!A:A,Groups!N:N)="Pig",_xlfn.XLOOKUP(E291,Groups!A:A,Groups!N:N)="StrongBitingHerbivore"),20,25))*C291^-0.135,BD291))</f>
        <v>3.2472324064132327</v>
      </c>
      <c r="BC291" s="8">
        <f>IF(W291="No","No",IF(_xlfn.XLOOKUP(E291,Groups!A:A,Groups!U:U)=1,'Base stats'!BB291,IF(OR(_xlfn.XLOOKUP(E291,Groups!A:A,Groups!BD:BD)=1,_xlfn.XLOOKUP(E291,Groups!A:A,Groups!U:U)=2),BD291,IF(_xlfn.XLOOKUP(B291,Animals!B:B,Animals!AO:AO)&gt;4,AVERAGE(BD291,BF291),BF291))))</f>
        <v>5.1480524630900852</v>
      </c>
      <c r="BD291" s="8">
        <f t="shared" si="146"/>
        <v>3.2472324064132327</v>
      </c>
      <c r="BE291" s="8">
        <f>IF(_xlfn.XLOOKUP(E291,Groups!A:A,Groups!BE:BE)=1,(0.048*C291^1.01)+(0.071*C291^1.03),0.071*C291^1.03)/IF(_xlfn.XLOOKUP(E291,Groups!A:A,Groups!M:M)=1,0.85,IF(OR(_xlfn.XLOOKUP(B291,Animals!B:B,Animals!AO:AO)&gt;4,_xlfn.XLOOKUP(E291,Groups!A:A,Groups!BC:BC)=1),1.7,1))*C291^-0.25</f>
        <v>6.8490671365591904</v>
      </c>
      <c r="BF291" s="8">
        <f>(0.048*C291^1.01)/IF(_xlfn.XLOOKUP(E291,Groups!A:A,Groups!M:M)=1,0.25,0.8)*C291^-0.25</f>
        <v>5.1480524630900852</v>
      </c>
      <c r="BG291" s="8">
        <f>EXP(1.076*LN(AR291)-4.5397)*IF(_xlfn.XLOOKUP(E291,Groups!A:A,Groups!BC:BC)=1,1.25,IF(_xlfn.XLOOKUP(E291,Groups!A:A,Groups!BD:BD)=1,3.5,2.5))</f>
        <v>403.64903444222597</v>
      </c>
      <c r="BH291" s="8">
        <f>EXP(1.076*LN(AS291)-4.5397)*IF(_xlfn.XLOOKUP(E291,Groups!A:A,Groups!M:M)=1,0.8,IF(_xlfn.XLOOKUP(E291,Groups!A:A,Groups!BC:BC)=1,1.3,3))</f>
        <v>473.75402609099581</v>
      </c>
      <c r="BI291" s="8">
        <f>IF(W291="No","No",IF(_xlfn.XLOOKUP(E291,Groups!A:A,Groups!U:U)=1,'Base stats'!BJ291,IF(OR(_xlfn.XLOOKUP(E291,Groups!A:A,Groups!BD:BD)=1,_xlfn.XLOOKUP(E291,Groups!A:A,Groups!U:U)=2),BG291,BH291))*1.2)</f>
        <v>568.50483130919497</v>
      </c>
      <c r="BJ291" s="8" t="str">
        <f>IFERROR(EXP(1.076*LN(AT291)-4.5397)*IF(_xlfn.XLOOKUP(E291,Groups!A:A,Groups!N:N)="Insect",1,IF(OR(_xlfn.XLOOKUP(E291,Groups!A:A,Groups!N:N)="Pig",_xlfn.XLOOKUP(E291,Groups!A:A,Groups!N:N)="StrongBitingHerbivore"),3.5,3.75)),"No")</f>
        <v>No</v>
      </c>
      <c r="BK291" s="8">
        <f t="shared" si="147"/>
        <v>15</v>
      </c>
      <c r="BL291" s="8">
        <f t="shared" si="148"/>
        <v>11</v>
      </c>
      <c r="BM291" s="8">
        <f t="shared" si="149"/>
        <v>14</v>
      </c>
      <c r="BN291" s="8" t="str">
        <f t="shared" si="150"/>
        <v>No</v>
      </c>
      <c r="BO291" s="8">
        <f t="shared" si="151"/>
        <v>13</v>
      </c>
      <c r="BP291" s="8" cm="1">
        <f t="array" ref="BP291">IF(AND(_xlfn.XLOOKUP('Base stats'!E291,Groups!A:A,Groups!AD:AD=0),_xlfn.XLOOKUP('Base stats'!E291,Groups!A:A,Groups!P:P=0)),"No",IF(U291="No",AVERAGE(EXP(-0.57+0.99*LN(C291)),EXP(0.32+0.67*LN(C291)))/IF(_xlfn.XLOOKUP(E291,Groups!A:A,Groups!AD:AD)=1,10,2),(0.7354*C291^0.4078)*2/IF(_xlfn.XLOOKUP(E291,Groups!A:A,Groups!BK:BK)=1,1000,100)/IF(_xlfn.XLOOKUP(E291,Groups!A:A,Groups!AJ:AJ)="Photonozoa",3,1)))</f>
        <v>64.103753174089817</v>
      </c>
      <c r="BQ291" s="8">
        <f>IF(W291="No","No",IF(_xlfn.XLOOKUP(E291,Groups!A:A,Groups!BD:BD)=1,(AO291*5%),EXP(0.7354*LN(C291)^0.4078)*2/IF(_xlfn.XLOOKUP(E291,Groups!A:A,Groups!BL:BL)=1,1000,100)/IF(_xlfn.XLOOKUP(E291,Groups!A:A,Groups!AJ:AJ)="Photonozoa",3,1)))</f>
        <v>9.0734189120175002E-2</v>
      </c>
      <c r="BR291" s="8" t="str">
        <f>IF(BJ291="No","No",IF(_xlfn.XLOOKUP(E291,Groups!A:A,Groups!BF:BF)=1,(0.0315*C291+2.1825)*2,(0.7354*C291^0.4078)*2)/IF(_xlfn.XLOOKUP(E291,Groups!A:A,Groups!BM:BM)=1,1000,100)/IF(_xlfn.XLOOKUP(E291,Groups!A:A,Groups!AJ:AJ)="Photonozoa",3,1))</f>
        <v>No</v>
      </c>
      <c r="BS291" s="8">
        <f t="shared" si="152"/>
        <v>0.16146065353004271</v>
      </c>
      <c r="BT291" s="8">
        <f t="shared" si="153"/>
        <v>7.3904257182008974</v>
      </c>
      <c r="BU291" s="8">
        <f t="shared" si="154"/>
        <v>6265.6076702931196</v>
      </c>
      <c r="BV291" s="8" t="str">
        <f t="shared" si="155"/>
        <v>No</v>
      </c>
      <c r="BW291" s="4">
        <v>0</v>
      </c>
      <c r="BX291" s="4">
        <v>1</v>
      </c>
    </row>
    <row r="292" spans="1:76" s="16" customFormat="1" x14ac:dyDescent="0.25">
      <c r="A292" s="26" t="s">
        <v>1392</v>
      </c>
      <c r="B292" s="6" t="s">
        <v>1621</v>
      </c>
      <c r="C292" s="7">
        <v>700</v>
      </c>
      <c r="D292" s="7" t="s">
        <v>528</v>
      </c>
      <c r="E292" s="7" t="str">
        <f>Groups!$A$52</f>
        <v>Ruminant (HORNS)</v>
      </c>
      <c r="F292" s="7">
        <v>274</v>
      </c>
      <c r="G292" s="7">
        <f>738/365</f>
        <v>2.021917808219178</v>
      </c>
      <c r="H292" s="7">
        <v>26.3</v>
      </c>
      <c r="I292" s="4">
        <v>0</v>
      </c>
      <c r="J292" s="7">
        <v>1</v>
      </c>
      <c r="K292" s="7" t="s">
        <v>531</v>
      </c>
      <c r="L292" s="7">
        <v>29</v>
      </c>
      <c r="M292" s="7" t="s">
        <v>626</v>
      </c>
      <c r="N292" s="4">
        <v>0</v>
      </c>
      <c r="O292" s="4">
        <v>1</v>
      </c>
      <c r="P292" s="4">
        <v>0</v>
      </c>
      <c r="Q292" s="4">
        <v>0</v>
      </c>
      <c r="R292" s="4" t="s">
        <v>40</v>
      </c>
      <c r="S292" s="7">
        <f>_xlfn.XLOOKUP(B292,[1]TeethAdjusters!$A:$A,[1]BiteAdjusters!$C:$C,1)</f>
        <v>1</v>
      </c>
      <c r="T292" s="7">
        <f>_xlfn.XLOOKUP(B292,[1]TeethAdjusters!$A:$A,[1]TeethAdjusters!$B:$B,1)</f>
        <v>1</v>
      </c>
      <c r="U292" s="7" t="s">
        <v>45</v>
      </c>
      <c r="V292" s="7" t="str">
        <f>IF(AT292="No","No",IF(_xlfn.XLOOKUP(E292,Groups!A:A,Groups!AM:AM)=1,MROUND(EXP(0.3582*LN(C292)-0.2221)*T292,0.05),IF(_xlfn.XLOOKUP(E292,Groups!A:A,Groups!AM:AM)=2,MROUND(EXP(0.3582*LN(C292)-0.2221)*T292,0.05),"Need a formula")))</f>
        <v>No</v>
      </c>
      <c r="W292" s="7">
        <v>42.6</v>
      </c>
      <c r="X292" s="7" t="s">
        <v>962</v>
      </c>
      <c r="Y292" s="4" t="s">
        <v>42</v>
      </c>
      <c r="Z292" s="4">
        <v>1</v>
      </c>
      <c r="AA292" s="4">
        <v>0</v>
      </c>
      <c r="AB292" s="4">
        <v>0</v>
      </c>
      <c r="AC292" s="4">
        <v>0</v>
      </c>
      <c r="AD292" s="4">
        <v>0</v>
      </c>
      <c r="AE292" s="4" t="s">
        <v>45</v>
      </c>
      <c r="AF292" s="4" t="s">
        <v>398</v>
      </c>
      <c r="AG292" s="49" t="s">
        <v>392</v>
      </c>
      <c r="AH292" s="4" t="str">
        <f>Animals!$C$45</f>
        <v>&lt;li&gt;Yak&lt;/li&gt;</v>
      </c>
      <c r="AI292" s="4">
        <v>1</v>
      </c>
      <c r="AJ292" s="4">
        <v>0</v>
      </c>
      <c r="AK292" s="4">
        <v>0</v>
      </c>
      <c r="AL292" s="4">
        <v>0</v>
      </c>
      <c r="AM292" s="4">
        <v>1</v>
      </c>
      <c r="AN292" s="44" t="s">
        <v>40</v>
      </c>
      <c r="AO292" s="8">
        <f t="shared" si="141"/>
        <v>78457.904543492041</v>
      </c>
      <c r="AP292" s="8">
        <f>IFERROR(C292*_xlfn.XLOOKUP(E292,Groups!A:A,Groups!K:K),0.106*C292^0.94)</f>
        <v>50.083886523008175</v>
      </c>
      <c r="AQ292" s="8">
        <f>AP292*10000/(_xlfn.XLOOKUP(E292,Groups!A:A,Groups!J:J)*AO292)</f>
        <v>5.8564551288019864</v>
      </c>
      <c r="AR292" s="8">
        <f t="shared" si="142"/>
        <v>13762.428132140532</v>
      </c>
      <c r="AS292" s="8">
        <f>IF(_xlfn.XLOOKUP(E292,Groups!A:A,Groups!M:M)=1,EXP(0.7444*LN('Base stats'!C292)+6.5696),EXP(0.7927*LN('Base stats'!C292)+4.28))</f>
        <v>13004.378424053171</v>
      </c>
      <c r="AT292" s="8" t="str">
        <f>IF(_xlfn.XLOOKUP(E292,Groups!A:A,Groups!N:N)="No","No",
IF(_xlfn.XLOOKUP(E292,Groups!A:A,Groups!N:N)="Crocodile",EXP(0.8129*LN(C292)+4.6742)*S292,
IF(_xlfn.XLOOKUP(E292,Groups!A:A,Groups!N:N)="Felid",EXP(0.7843*LN(C292)+4.7073)*S292,
IF(_xlfn.XLOOKUP(E292,Groups!A:A,Groups!N:N)="Canid",EXP(0.8367*LN(C292)+4.8763)*S292,
IF(_xlfn.XLOOKUP(E292,Groups!A:A,Groups!N:N)="Pig",EXP(0.3439*LN(C292)+6.8519)*S292,
IF(_xlfn.XLOOKUP(E292,Groups!A:A,Groups!N:N)="Rodent",EXP(0.5625*LN(C292)+4.3006)*S292,
IF(_xlfn.XLOOKUP(E292,Groups!A:A,Groups!N:N)="Primate",EXP(0.7847*LN(C292)+3.4931)*S292,
IF(_xlfn.XLOOKUP(E292,Groups!A:A,Groups!N:N)="MiscCarnivora",EXP(0.7486*LN(C292)+4.2207)*S292,
IF(_xlfn.XLOOKUP(E292,Groups!A:A,Groups!N:N)="Lizard",EXP(0.7733*LN(C292)+5.5303)*S292,
IF(_xlfn.XLOOKUP(E292,Groups!A:A,Groups!N:N)="Snake",50*C292^(2/3)*S292,
IF(_xlfn.XLOOKUP(E292,Groups!A:A,Groups!N:N)="StrongBitingHerbivore",87.1133638856975*C292^(2/3)*S292,
IF(_xlfn.XLOOKUP(E292,Groups!A:A,Groups!N:N)="MiscEctotherms",59.4316884072269*C292^(2/3)*S292,
IF(_xlfn.XLOOKUP(E292,Groups!A:A,Groups!N:N)="StrongBeakBird",0.041*(C292*1000)^1.375*S292,
IF(_xlfn.XLOOKUP(E292,Groups!A:A,Groups!N:N)="Bird",0.118*(C292*1000)^0.692*S292,
IF(_xlfn.XLOOKUP(E292,Groups!A:A,Groups!N:N)="Insect",EXP(0.7444*LN(C292)+6.5696)*S292,
IF(_xlfn.XLOOKUP(E292,Groups!A:A,Groups!N:N)="Theropod",EXP(0.6966*LN(C292)+4.158)*S292,
"No"))))))))))))))))</f>
        <v>No</v>
      </c>
      <c r="AU292" s="8">
        <f>IF(_xlfn.XLOOKUP(E292,Groups!A:A,Groups!U:U)=3,AS292,IF(_xlfn.XLOOKUP(E292,Groups!A:A,Groups!U:U)=2,AR292,AT292))</f>
        <v>13004.378424053171</v>
      </c>
      <c r="AV292" s="46">
        <f>IFERROR(AVERAGE(_xlfn.XLOOKUP(B292,Animals!B:B,Animals!N:N),_xlfn.XLOOKUP(B292,Animals!B:B,Animals!O:O)),0)</f>
        <v>0</v>
      </c>
      <c r="AW292" s="8">
        <f>MROUND(40*Animals!AO292*_xlfn.XLOOKUP(AG292,Leathers!$A$2:$A$99,Leathers!$B$2:$B$99,0)+(140*_xlfn.XLOOKUP(B292,Animals!B:B,Animals!AO:AO)*2),5)</f>
        <v>1310</v>
      </c>
      <c r="AX292" s="8">
        <f>IFERROR(ROUND(SQRT(V292-1)*IF(_xlfn.XLOOKUP(E292,Groups!A:A,Groups!BF:BF)=0,2,1)*IF(_xlfn.XLOOKUP('Base stats'!E292,Groups!A:A,Groups!O:O)=0,1,0.1),1),0)</f>
        <v>0</v>
      </c>
      <c r="AY292" s="8">
        <f t="shared" si="143"/>
        <v>0</v>
      </c>
      <c r="AZ292" s="8">
        <f t="shared" si="144"/>
        <v>6.5</v>
      </c>
      <c r="BA292" s="8">
        <f t="shared" si="145"/>
        <v>8.4</v>
      </c>
      <c r="BB292" s="8">
        <f>IF(_xlfn.XLOOKUP(E292,Groups!A:A,Groups!N:N)="Insect",BD292*2.5,IFERROR(AVERAGE(BD292,AT292/9.81/IF(OR(_xlfn.XLOOKUP(E292,Groups!A:A,Groups!N:N)="Pig",_xlfn.XLOOKUP(E292,Groups!A:A,Groups!N:N)="StrongBitingHerbivore"),20,25))*C292^-0.135,BD292))</f>
        <v>5.4763347745999518</v>
      </c>
      <c r="BC292" s="8">
        <f>IF(W292="No","No",IF(_xlfn.XLOOKUP(E292,Groups!A:A,Groups!U:U)=1,'Base stats'!BB292,IF(OR(_xlfn.XLOOKUP(E292,Groups!A:A,Groups!BD:BD)=1,_xlfn.XLOOKUP(E292,Groups!A:A,Groups!U:U)=2),BD292,IF(_xlfn.XLOOKUP(B292,Animals!B:B,Animals!AO:AO)&gt;4,AVERAGE(BD292,BF292),BF292))))</f>
        <v>8.7181785818357795</v>
      </c>
      <c r="BD292" s="8">
        <f t="shared" si="146"/>
        <v>5.4763347745999518</v>
      </c>
      <c r="BE292" s="8">
        <f>IF(_xlfn.XLOOKUP(E292,Groups!A:A,Groups!BE:BE)=1,(0.048*C292^1.01)+(0.071*C292^1.03),0.071*C292^1.03)/IF(_xlfn.XLOOKUP(E292,Groups!A:A,Groups!M:M)=1,0.85,IF(OR(_xlfn.XLOOKUP(B292,Animals!B:B,Animals!AO:AO)&gt;4,_xlfn.XLOOKUP(E292,Groups!A:A,Groups!BC:BC)=1),1.7,1))*C292^-0.25</f>
        <v>11.76074463058284</v>
      </c>
      <c r="BF292" s="8">
        <f>(0.048*C292^1.01)/IF(_xlfn.XLOOKUP(E292,Groups!A:A,Groups!M:M)=1,0.25,0.8)*C292^-0.25</f>
        <v>8.7181785818357795</v>
      </c>
      <c r="BG292" s="8">
        <f>EXP(1.076*LN(AR292)-4.5397)*IF(_xlfn.XLOOKUP(E292,Groups!A:A,Groups!BC:BC)=1,1.25,IF(_xlfn.XLOOKUP(E292,Groups!A:A,Groups!BD:BD)=1,3.5,2.5))</f>
        <v>757.89534237941155</v>
      </c>
      <c r="BH292" s="8">
        <f>EXP(1.076*LN(AS292)-4.5397)*IF(_xlfn.XLOOKUP(E292,Groups!A:A,Groups!M:M)=1,0.8,IF(_xlfn.XLOOKUP(E292,Groups!A:A,Groups!BC:BC)=1,1.3,3))</f>
        <v>855.6871370720321</v>
      </c>
      <c r="BI292" s="8">
        <f>IF(W292="No","No",IF(_xlfn.XLOOKUP(E292,Groups!A:A,Groups!U:U)=1,'Base stats'!BJ292,IF(OR(_xlfn.XLOOKUP(E292,Groups!A:A,Groups!BD:BD)=1,_xlfn.XLOOKUP(E292,Groups!A:A,Groups!U:U)=2),BG292,BH292))*1.2)</f>
        <v>1026.8245644864385</v>
      </c>
      <c r="BJ292" s="8" t="str">
        <f>IFERROR(EXP(1.076*LN(AT292)-4.5397)*IF(_xlfn.XLOOKUP(E292,Groups!A:A,Groups!N:N)="Insect",1,IF(OR(_xlfn.XLOOKUP(E292,Groups!A:A,Groups!N:N)="Pig",_xlfn.XLOOKUP(E292,Groups!A:A,Groups!N:N)="StrongBitingHerbivore"),3.5,3.75)),"No")</f>
        <v>No</v>
      </c>
      <c r="BK292" s="8">
        <f t="shared" si="147"/>
        <v>16</v>
      </c>
      <c r="BL292" s="8">
        <f t="shared" si="148"/>
        <v>12</v>
      </c>
      <c r="BM292" s="8">
        <f t="shared" si="149"/>
        <v>15</v>
      </c>
      <c r="BN292" s="8" t="str">
        <f t="shared" si="150"/>
        <v>No</v>
      </c>
      <c r="BO292" s="8">
        <f t="shared" si="151"/>
        <v>14</v>
      </c>
      <c r="BP292" s="8" cm="1">
        <f t="array" ref="BP292">IF(AND(_xlfn.XLOOKUP('Base stats'!E292,Groups!A:A,Groups!AD:AD=0),_xlfn.XLOOKUP('Base stats'!E292,Groups!A:A,Groups!P:P=0)),"No",IF(U292="No",AVERAGE(EXP(-0.57+0.99*LN(C292)),EXP(0.32+0.67*LN(C292)))/IF(_xlfn.XLOOKUP(E292,Groups!A:A,Groups!AD:AD)=1,10,2),(0.7354*C292^0.4078)*2/IF(_xlfn.XLOOKUP(E292,Groups!A:A,Groups!BK:BK)=1,1000,100)/IF(_xlfn.XLOOKUP(E292,Groups!A:A,Groups!AJ:AJ)="Photonozoa",3,1)))</f>
        <v>120.43285065333971</v>
      </c>
      <c r="BQ292" s="8">
        <f>IF(W292="No","No",IF(_xlfn.XLOOKUP(E292,Groups!A:A,Groups!BD:BD)=1,(AO292*5%),EXP(0.7354*LN(C292)^0.4078)*2/IF(_xlfn.XLOOKUP(E292,Groups!A:A,Groups!BL:BL)=1,1000,100)/IF(_xlfn.XLOOKUP(E292,Groups!A:A,Groups!AJ:AJ)="Photonozoa",3,1)))</f>
        <v>9.7367824270848363E-2</v>
      </c>
      <c r="BR292" s="8" t="str">
        <f>IF(BJ292="No","No",IF(_xlfn.XLOOKUP(E292,Groups!A:A,Groups!BF:BF)=1,(0.0315*C292+2.1825)*2,(0.7354*C292^0.4078)*2)/IF(_xlfn.XLOOKUP(E292,Groups!A:A,Groups!BM:BM)=1,1000,100)/IF(_xlfn.XLOOKUP(E292,Groups!A:A,Groups!AJ:AJ)="Photonozoa",3,1))</f>
        <v>No</v>
      </c>
      <c r="BS292" s="8">
        <f t="shared" si="152"/>
        <v>0.19319795673596735</v>
      </c>
      <c r="BT292" s="8">
        <f t="shared" si="153"/>
        <v>7.105097425079534</v>
      </c>
      <c r="BU292" s="8">
        <f t="shared" si="154"/>
        <v>10545.830433985231</v>
      </c>
      <c r="BV292" s="8" t="str">
        <f t="shared" si="155"/>
        <v>No</v>
      </c>
      <c r="BW292" s="4">
        <v>0</v>
      </c>
      <c r="BX292" s="4">
        <v>1</v>
      </c>
    </row>
    <row r="293" spans="1:76" s="16" customFormat="1" x14ac:dyDescent="0.25">
      <c r="A293" s="26" t="s">
        <v>1568</v>
      </c>
      <c r="B293" s="6" t="s">
        <v>1685</v>
      </c>
      <c r="C293" s="7">
        <v>90</v>
      </c>
      <c r="D293" s="7" t="s">
        <v>528</v>
      </c>
      <c r="E293" s="7" t="str">
        <f>Groups!$A$54</f>
        <v>Ruminant  (BLUNT HORNS)</v>
      </c>
      <c r="F293" s="7">
        <v>170</v>
      </c>
      <c r="G293" s="7">
        <v>2.5</v>
      </c>
      <c r="H293" s="7">
        <v>25</v>
      </c>
      <c r="I293" s="4">
        <v>0</v>
      </c>
      <c r="J293" s="7">
        <v>1</v>
      </c>
      <c r="K293" s="7" t="s">
        <v>528</v>
      </c>
      <c r="L293" s="7">
        <v>45</v>
      </c>
      <c r="M293" s="7" t="s">
        <v>626</v>
      </c>
      <c r="N293" s="4">
        <v>0</v>
      </c>
      <c r="O293" s="4">
        <v>2</v>
      </c>
      <c r="P293" s="4">
        <v>0</v>
      </c>
      <c r="Q293" s="4">
        <v>0</v>
      </c>
      <c r="R293" s="4" t="s">
        <v>40</v>
      </c>
      <c r="S293" s="7">
        <f>_xlfn.XLOOKUP(B293,[1]TeethAdjusters!$A:$A,[1]BiteAdjusters!$C:$C,1)</f>
        <v>1</v>
      </c>
      <c r="T293" s="7">
        <f>_xlfn.XLOOKUP(B293,[1]TeethAdjusters!$A:$A,[1]TeethAdjusters!$B:$B,1)</f>
        <v>1</v>
      </c>
      <c r="U293" s="7" t="s">
        <v>45</v>
      </c>
      <c r="V293" s="7" t="str">
        <f>IF(AT293="No","No",IF(_xlfn.XLOOKUP(E293,Groups!A:A,Groups!AM:AM)=1,MROUND(EXP(0.3582*LN(C293)-0.2221)*T293,0.05),IF(_xlfn.XLOOKUP(E293,Groups!A:A,Groups!AM:AM)=2,MROUND(EXP(0.3582*LN(C293)-0.2221)*T293,0.05),"Need a formula")))</f>
        <v>No</v>
      </c>
      <c r="W293" s="7">
        <v>70</v>
      </c>
      <c r="X293" s="7" t="s">
        <v>932</v>
      </c>
      <c r="Y293" s="4" t="s">
        <v>42</v>
      </c>
      <c r="Z293" s="4">
        <v>1</v>
      </c>
      <c r="AA293" s="4">
        <v>0</v>
      </c>
      <c r="AB293" s="4">
        <v>0</v>
      </c>
      <c r="AC293" s="4">
        <v>0</v>
      </c>
      <c r="AD293" s="4">
        <v>0</v>
      </c>
      <c r="AE293" s="4" t="s">
        <v>45</v>
      </c>
      <c r="AF293" s="4" t="s">
        <v>398</v>
      </c>
      <c r="AG293" s="49" t="s">
        <v>392</v>
      </c>
      <c r="AH293" s="4" t="str">
        <f>Animals!$C$51</f>
        <v>&lt;li&gt;Goat&lt;/li&gt;</v>
      </c>
      <c r="AI293" s="4">
        <v>0</v>
      </c>
      <c r="AJ293" s="4">
        <v>0</v>
      </c>
      <c r="AK293" s="4">
        <v>0</v>
      </c>
      <c r="AL293" s="4">
        <v>0</v>
      </c>
      <c r="AM293" s="4">
        <v>1</v>
      </c>
      <c r="AN293" s="44" t="s">
        <v>40</v>
      </c>
      <c r="AO293" s="8">
        <f t="shared" si="141"/>
        <v>20681.432168514104</v>
      </c>
      <c r="AP293" s="8">
        <f>IFERROR(C293*_xlfn.XLOOKUP(E293,Groups!A:A,Groups!K:K),0.106*C293^0.94)</f>
        <v>7.2827235426007038</v>
      </c>
      <c r="AQ293" s="8">
        <f>AP293*10000/(_xlfn.XLOOKUP(E293,Groups!A:A,Groups!J:J)*AO293)</f>
        <v>3.2306262405159485</v>
      </c>
      <c r="AR293" s="8">
        <f t="shared" si="142"/>
        <v>2433.2649334397288</v>
      </c>
      <c r="AS293" s="8">
        <f>IF(_xlfn.XLOOKUP(E293,Groups!A:A,Groups!M:M)=1,EXP(0.7444*LN('Base stats'!C293)+6.5696),EXP(0.7927*LN('Base stats'!C293)+4.28))</f>
        <v>2558.0464115759232</v>
      </c>
      <c r="AT293" s="8" t="str">
        <f>IF(_xlfn.XLOOKUP(E293,Groups!A:A,Groups!N:N)="No","No",
IF(_xlfn.XLOOKUP(E293,Groups!A:A,Groups!N:N)="Crocodile",EXP(0.8129*LN(C293)+4.6742)*S293,
IF(_xlfn.XLOOKUP(E293,Groups!A:A,Groups!N:N)="Felid",EXP(0.7843*LN(C293)+4.7073)*S293,
IF(_xlfn.XLOOKUP(E293,Groups!A:A,Groups!N:N)="Canid",EXP(0.8367*LN(C293)+4.8763)*S293,
IF(_xlfn.XLOOKUP(E293,Groups!A:A,Groups!N:N)="Pig",EXP(0.3439*LN(C293)+6.8519)*S293,
IF(_xlfn.XLOOKUP(E293,Groups!A:A,Groups!N:N)="Rodent",EXP(0.5625*LN(C293)+4.3006)*S293,
IF(_xlfn.XLOOKUP(E293,Groups!A:A,Groups!N:N)="Primate",EXP(0.7847*LN(C293)+3.4931)*S293,
IF(_xlfn.XLOOKUP(E293,Groups!A:A,Groups!N:N)="MiscCarnivora",EXP(0.7486*LN(C293)+4.2207)*S293,
IF(_xlfn.XLOOKUP(E293,Groups!A:A,Groups!N:N)="Lizard",EXP(0.7733*LN(C293)+5.5303)*S293,
IF(_xlfn.XLOOKUP(E293,Groups!A:A,Groups!N:N)="Snake",50*C293^(2/3)*S293,
IF(_xlfn.XLOOKUP(E293,Groups!A:A,Groups!N:N)="StrongBitingHerbivore",87.1133638856975*C293^(2/3)*S293,
IF(_xlfn.XLOOKUP(E293,Groups!A:A,Groups!N:N)="MiscEctotherms",59.4316884072269*C293^(2/3)*S293,
IF(_xlfn.XLOOKUP(E293,Groups!A:A,Groups!N:N)="StrongBeakBird",0.041*(C293*1000)^1.375*S293,
IF(_xlfn.XLOOKUP(E293,Groups!A:A,Groups!N:N)="Bird",0.118*(C293*1000)^0.692*S293,
IF(_xlfn.XLOOKUP(E293,Groups!A:A,Groups!N:N)="Insect",EXP(0.7444*LN(C293)+6.5696)*S293,
IF(_xlfn.XLOOKUP(E293,Groups!A:A,Groups!N:N)="Theropod",EXP(0.6966*LN(C293)+4.158)*S293,
"No"))))))))))))))))</f>
        <v>No</v>
      </c>
      <c r="AU293" s="8">
        <f>IF(_xlfn.XLOOKUP(E293,Groups!A:A,Groups!U:U)=3,AS293,IF(_xlfn.XLOOKUP(E293,Groups!A:A,Groups!U:U)=2,AR293,AT293))</f>
        <v>2558.0464115759232</v>
      </c>
      <c r="AV293" s="46">
        <f>IFERROR(AVERAGE(_xlfn.XLOOKUP(B293,Animals!B:B,Animals!N:N),_xlfn.XLOOKUP(B293,Animals!B:B,Animals!O:O)),0)</f>
        <v>0</v>
      </c>
      <c r="AW293" s="8">
        <f>MROUND(40*Animals!AO293*_xlfn.XLOOKUP(AG293,Leathers!$A$2:$A$99,Leathers!$B$2:$B$99,0)+(140*_xlfn.XLOOKUP(B293,Animals!B:B,Animals!AO:AO)*2),5)</f>
        <v>390</v>
      </c>
      <c r="AX293" s="8">
        <f>IFERROR(ROUND(SQRT(V293-1)*IF(_xlfn.XLOOKUP(E293,Groups!A:A,Groups!BF:BF)=0,2,1)*IF(_xlfn.XLOOKUP('Base stats'!E293,Groups!A:A,Groups!O:O)=0,1,0.1),1),0)</f>
        <v>0</v>
      </c>
      <c r="AY293" s="8">
        <f t="shared" si="143"/>
        <v>0</v>
      </c>
      <c r="AZ293" s="8">
        <f t="shared" si="144"/>
        <v>8.4</v>
      </c>
      <c r="BA293" s="8">
        <f t="shared" si="145"/>
        <v>4</v>
      </c>
      <c r="BB293" s="8">
        <f>IF(_xlfn.XLOOKUP(E293,Groups!A:A,Groups!N:N)="Insect",BD293*2.5,IFERROR(AVERAGE(BD293,AT293/9.81/IF(OR(_xlfn.XLOOKUP(E293,Groups!A:A,Groups!N:N)="Pig",_xlfn.XLOOKUP(E293,Groups!A:A,Groups!N:N)="StrongBitingHerbivore"),20,25))*C293^-0.135,BD293))</f>
        <v>1.1662319070123504</v>
      </c>
      <c r="BC293" s="8">
        <f>IF(W293="No","No",IF(_xlfn.XLOOKUP(E293,Groups!A:A,Groups!U:U)=1,'Base stats'!BB293,IF(OR(_xlfn.XLOOKUP(E293,Groups!A:A,Groups!BD:BD)=1,_xlfn.XLOOKUP(E293,Groups!A:A,Groups!U:U)=2),BD293,IF(_xlfn.XLOOKUP(B293,Animals!B:B,Animals!AO:AO)&gt;4,AVERAGE(BD293,BF293),BF293))))</f>
        <v>1.1662319070123504</v>
      </c>
      <c r="BD293" s="8">
        <f t="shared" si="146"/>
        <v>1.1662319070123504</v>
      </c>
      <c r="BE293" s="8">
        <f>IF(_xlfn.XLOOKUP(E293,Groups!A:A,Groups!BE:BE)=1,(0.048*C293^1.01)+(0.071*C293^1.03),0.071*C293^1.03)/IF(_xlfn.XLOOKUP(E293,Groups!A:A,Groups!M:M)=1,0.85,IF(OR(_xlfn.XLOOKUP(B293,Animals!B:B,Animals!AO:AO)&gt;4,_xlfn.XLOOKUP(E293,Groups!A:A,Groups!BC:BC)=1),1.7,1))*C293^-0.25</f>
        <v>2.3744744787968441</v>
      </c>
      <c r="BF293" s="8">
        <f>(0.048*C293^1.01)/IF(_xlfn.XLOOKUP(E293,Groups!A:A,Groups!M:M)=1,0.25,0.8)*C293^-0.25</f>
        <v>1.8338996074909986</v>
      </c>
      <c r="BG293" s="8">
        <f>EXP(1.076*LN(AR293)-4.5397)*IF(_xlfn.XLOOKUP(E293,Groups!A:A,Groups!BC:BC)=1,1.25,IF(_xlfn.XLOOKUP(E293,Groups!A:A,Groups!BD:BD)=1,3.5,2.5))</f>
        <v>164.45276372986393</v>
      </c>
      <c r="BH293" s="8">
        <f>EXP(1.076*LN(AS293)-4.5397)*IF(_xlfn.XLOOKUP(E293,Groups!A:A,Groups!M:M)=1,0.8,IF(_xlfn.XLOOKUP(E293,Groups!A:A,Groups!BC:BC)=1,1.3,3))</f>
        <v>148.75242516006193</v>
      </c>
      <c r="BI293" s="8">
        <f>IF(W293="No","No",IF(_xlfn.XLOOKUP(E293,Groups!A:A,Groups!U:U)=1,'Base stats'!BJ293,IF(OR(_xlfn.XLOOKUP(E293,Groups!A:A,Groups!BD:BD)=1,_xlfn.XLOOKUP(E293,Groups!A:A,Groups!U:U)=2),BG293,BH293))*1.2)</f>
        <v>197.3433164758367</v>
      </c>
      <c r="BJ293" s="8" t="str">
        <f>IFERROR(EXP(1.076*LN(AT293)-4.5397)*IF(_xlfn.XLOOKUP(E293,Groups!A:A,Groups!N:N)="Insect",1,IF(OR(_xlfn.XLOOKUP(E293,Groups!A:A,Groups!N:N)="Pig",_xlfn.XLOOKUP(E293,Groups!A:A,Groups!N:N)="StrongBitingHerbivore"),3.5,3.75)),"No")</f>
        <v>No</v>
      </c>
      <c r="BK293" s="8">
        <f t="shared" si="147"/>
        <v>16</v>
      </c>
      <c r="BL293" s="8">
        <f t="shared" si="148"/>
        <v>11</v>
      </c>
      <c r="BM293" s="8">
        <f t="shared" si="149"/>
        <v>18</v>
      </c>
      <c r="BN293" s="8" t="str">
        <f t="shared" si="150"/>
        <v>No</v>
      </c>
      <c r="BO293" s="8">
        <f t="shared" si="151"/>
        <v>12</v>
      </c>
      <c r="BP293" s="8" cm="1">
        <f t="array" ref="BP293">IF(AND(_xlfn.XLOOKUP('Base stats'!E293,Groups!A:A,Groups!AD:AD=0),_xlfn.XLOOKUP('Base stats'!E293,Groups!A:A,Groups!P:P=0)),"No",IF(U293="No",AVERAGE(EXP(-0.57+0.99*LN(C293)),EXP(0.32+0.67*LN(C293)))/IF(_xlfn.XLOOKUP(E293,Groups!A:A,Groups!AD:AD)=1,10,2),(0.7354*C293^0.4078)*2/IF(_xlfn.XLOOKUP(E293,Groups!A:A,Groups!BK:BK)=1,1000,100)/IF(_xlfn.XLOOKUP(E293,Groups!A:A,Groups!AJ:AJ)="Photonozoa",3,1)))</f>
        <v>19.183144014979568</v>
      </c>
      <c r="BQ293" s="8">
        <f>IF(W293="No","No",IF(_xlfn.XLOOKUP(E293,Groups!A:A,Groups!BD:BD)=1,(AO293*5%),EXP(0.7354*LN(C293)^0.4078)*2/IF(_xlfn.XLOOKUP(E293,Groups!A:A,Groups!BL:BL)=1,1000,100)/IF(_xlfn.XLOOKUP(E293,Groups!A:A,Groups!AJ:AJ)="Photonozoa",3,1)))</f>
        <v>1034.0716084257053</v>
      </c>
      <c r="BR293" s="8" t="str">
        <f>IF(BJ293="No","No",IF(_xlfn.XLOOKUP(E293,Groups!A:A,Groups!BF:BF)=1,(0.0315*C293+2.1825)*2,(0.7354*C293^0.4078)*2)/IF(_xlfn.XLOOKUP(E293,Groups!A:A,Groups!BM:BM)=1,1000,100)/IF(_xlfn.XLOOKUP(E293,Groups!A:A,Groups!AJ:AJ)="Photonozoa",3,1))</f>
        <v>No</v>
      </c>
      <c r="BS293" s="8">
        <f t="shared" si="152"/>
        <v>0.15903421232136006</v>
      </c>
      <c r="BT293" s="8">
        <f t="shared" si="153"/>
        <v>7.754329793067571</v>
      </c>
      <c r="BU293" s="8">
        <f t="shared" si="154"/>
        <v>0.19084105478563207</v>
      </c>
      <c r="BV293" s="8" t="str">
        <f t="shared" si="155"/>
        <v>No</v>
      </c>
      <c r="BW293" s="4">
        <v>0</v>
      </c>
      <c r="BX293" s="4">
        <v>1</v>
      </c>
    </row>
    <row r="294" spans="1:76" s="16" customFormat="1" x14ac:dyDescent="0.25">
      <c r="A294" s="26" t="s">
        <v>1576</v>
      </c>
      <c r="B294" s="6" t="s">
        <v>1856</v>
      </c>
      <c r="C294" s="7">
        <v>425</v>
      </c>
      <c r="D294" s="7" t="s">
        <v>528</v>
      </c>
      <c r="E294" s="7" t="str">
        <f>Groups!$A$54</f>
        <v>Ruminant  (BLUNT HORNS)</v>
      </c>
      <c r="F294" s="7">
        <f>ROUND(7.545*(C294*1000)^0.2689,0)</f>
        <v>246</v>
      </c>
      <c r="G294" s="7">
        <f>548/365</f>
        <v>1.5013698630136987</v>
      </c>
      <c r="H294" s="7">
        <v>20</v>
      </c>
      <c r="I294" s="4">
        <v>1</v>
      </c>
      <c r="J294" s="7">
        <v>1</v>
      </c>
      <c r="K294" s="7" t="s">
        <v>528</v>
      </c>
      <c r="L294" s="7">
        <v>29</v>
      </c>
      <c r="M294" s="7" t="s">
        <v>626</v>
      </c>
      <c r="N294" s="4">
        <v>0</v>
      </c>
      <c r="O294" s="4">
        <v>2</v>
      </c>
      <c r="P294" s="4">
        <v>0</v>
      </c>
      <c r="Q294" s="4">
        <v>0</v>
      </c>
      <c r="R294" s="4" t="s">
        <v>40</v>
      </c>
      <c r="S294" s="7">
        <f>_xlfn.XLOOKUP(B294,[1]TeethAdjusters!$A:$A,[1]BiteAdjusters!$C:$C,1)</f>
        <v>1</v>
      </c>
      <c r="T294" s="7">
        <f>_xlfn.XLOOKUP(B294,[1]TeethAdjusters!$A:$A,[1]TeethAdjusters!$B:$B,1)</f>
        <v>1</v>
      </c>
      <c r="U294" s="7" t="s">
        <v>45</v>
      </c>
      <c r="V294" s="7" t="str">
        <f>IF(AT294="No","No",IF(_xlfn.XLOOKUP(E294,Groups!A:A,Groups!AM:AM)=1,MROUND(EXP(0.3582*LN(C294)-0.2221)*T294,0.05),IF(_xlfn.XLOOKUP(E294,Groups!A:A,Groups!AM:AM)=2,MROUND(EXP(0.3582*LN(C294)-0.2221)*T294,0.05),"Need a formula")))</f>
        <v>No</v>
      </c>
      <c r="W294" s="7">
        <v>11.4</v>
      </c>
      <c r="X294" s="7" t="s">
        <v>962</v>
      </c>
      <c r="Y294" s="4" t="s">
        <v>42</v>
      </c>
      <c r="Z294" s="4">
        <v>1</v>
      </c>
      <c r="AA294" s="4">
        <v>0</v>
      </c>
      <c r="AB294" s="4">
        <v>0</v>
      </c>
      <c r="AC294" s="4">
        <v>0</v>
      </c>
      <c r="AD294" s="4">
        <v>0</v>
      </c>
      <c r="AE294" s="4" t="s">
        <v>45</v>
      </c>
      <c r="AF294" s="4" t="s">
        <v>398</v>
      </c>
      <c r="AG294" s="49" t="s">
        <v>392</v>
      </c>
      <c r="AH294" s="4" t="str">
        <f>Animals!$C$43</f>
        <v>&lt;li&gt;Cow&lt;/li&gt;</v>
      </c>
      <c r="AI294" s="4">
        <v>1</v>
      </c>
      <c r="AJ294" s="4">
        <v>0</v>
      </c>
      <c r="AK294" s="4">
        <v>0</v>
      </c>
      <c r="AL294" s="4">
        <v>0</v>
      </c>
      <c r="AM294" s="4">
        <v>1</v>
      </c>
      <c r="AN294" s="44" t="s">
        <v>40</v>
      </c>
      <c r="AO294" s="8">
        <f t="shared" si="141"/>
        <v>56725.167024694514</v>
      </c>
      <c r="AP294" s="8">
        <f>IFERROR(C294*_xlfn.XLOOKUP(E294,Groups!A:A,Groups!K:K),0.106*C294^0.94)</f>
        <v>31.332241082303479</v>
      </c>
      <c r="AQ294" s="8">
        <f>AP294*10000/(_xlfn.XLOOKUP(E294,Groups!A:A,Groups!J:J)*AO294)</f>
        <v>5.0674465695890794</v>
      </c>
      <c r="AR294" s="8">
        <f t="shared" si="142"/>
        <v>9029.0254860405639</v>
      </c>
      <c r="AS294" s="8">
        <f>IF(_xlfn.XLOOKUP(E294,Groups!A:A,Groups!M:M)=1,EXP(0.7444*LN('Base stats'!C294)+6.5696),EXP(0.7927*LN('Base stats'!C294)+4.28))</f>
        <v>8755.9704534850171</v>
      </c>
      <c r="AT294" s="8" t="str">
        <f>IF(_xlfn.XLOOKUP(E294,Groups!A:A,Groups!N:N)="No","No",
IF(_xlfn.XLOOKUP(E294,Groups!A:A,Groups!N:N)="Crocodile",EXP(0.8129*LN(C294)+4.6742)*S294,
IF(_xlfn.XLOOKUP(E294,Groups!A:A,Groups!N:N)="Felid",EXP(0.7843*LN(C294)+4.7073)*S294,
IF(_xlfn.XLOOKUP(E294,Groups!A:A,Groups!N:N)="Canid",EXP(0.8367*LN(C294)+4.8763)*S294,
IF(_xlfn.XLOOKUP(E294,Groups!A:A,Groups!N:N)="Pig",EXP(0.3439*LN(C294)+6.8519)*S294,
IF(_xlfn.XLOOKUP(E294,Groups!A:A,Groups!N:N)="Rodent",EXP(0.5625*LN(C294)+4.3006)*S294,
IF(_xlfn.XLOOKUP(E294,Groups!A:A,Groups!N:N)="Primate",EXP(0.7847*LN(C294)+3.4931)*S294,
IF(_xlfn.XLOOKUP(E294,Groups!A:A,Groups!N:N)="MiscCarnivora",EXP(0.7486*LN(C294)+4.2207)*S294,
IF(_xlfn.XLOOKUP(E294,Groups!A:A,Groups!N:N)="Lizard",EXP(0.7733*LN(C294)+5.5303)*S294,
IF(_xlfn.XLOOKUP(E294,Groups!A:A,Groups!N:N)="Snake",50*C294^(2/3)*S294,
IF(_xlfn.XLOOKUP(E294,Groups!A:A,Groups!N:N)="StrongBitingHerbivore",87.1133638856975*C294^(2/3)*S294,
IF(_xlfn.XLOOKUP(E294,Groups!A:A,Groups!N:N)="MiscEctotherms",59.4316884072269*C294^(2/3)*S294,
IF(_xlfn.XLOOKUP(E294,Groups!A:A,Groups!N:N)="StrongBeakBird",0.041*(C294*1000)^1.375*S294,
IF(_xlfn.XLOOKUP(E294,Groups!A:A,Groups!N:N)="Bird",0.118*(C294*1000)^0.692*S294,
IF(_xlfn.XLOOKUP(E294,Groups!A:A,Groups!N:N)="Insect",EXP(0.7444*LN(C294)+6.5696)*S294,
IF(_xlfn.XLOOKUP(E294,Groups!A:A,Groups!N:N)="Theropod",EXP(0.6966*LN(C294)+4.158)*S294,
"No"))))))))))))))))</f>
        <v>No</v>
      </c>
      <c r="AU294" s="8">
        <f>IF(_xlfn.XLOOKUP(E294,Groups!A:A,Groups!U:U)=3,AS294,IF(_xlfn.XLOOKUP(E294,Groups!A:A,Groups!U:U)=2,AR294,AT294))</f>
        <v>8755.9704534850171</v>
      </c>
      <c r="AV294" s="46">
        <f>IFERROR(AVERAGE(_xlfn.XLOOKUP(B294,Animals!B:B,Animals!N:N),_xlfn.XLOOKUP(B294,Animals!B:B,Animals!O:O)),0)</f>
        <v>0</v>
      </c>
      <c r="AW294" s="8">
        <f>MROUND(40*Animals!AO294*_xlfn.XLOOKUP(AG294,Leathers!$A$2:$A$99,Leathers!$B$2:$B$99,0)+(140*_xlfn.XLOOKUP(B294,Animals!B:B,Animals!AO:AO)*2),5)</f>
        <v>1275</v>
      </c>
      <c r="AX294" s="8">
        <f>IFERROR(ROUND(SQRT(V294-1)*IF(_xlfn.XLOOKUP(E294,Groups!A:A,Groups!BF:BF)=0,2,1)*IF(_xlfn.XLOOKUP('Base stats'!E294,Groups!A:A,Groups!O:O)=0,1,0.1),1),0)</f>
        <v>0</v>
      </c>
      <c r="AY294" s="8">
        <f t="shared" si="143"/>
        <v>0</v>
      </c>
      <c r="AZ294" s="8">
        <f t="shared" si="144"/>
        <v>3.4</v>
      </c>
      <c r="BA294" s="8">
        <f t="shared" si="145"/>
        <v>7</v>
      </c>
      <c r="BB294" s="8">
        <f>IF(_xlfn.XLOOKUP(E294,Groups!A:A,Groups!N:N)="Insect",BD294*2.5,IFERROR(AVERAGE(BD294,AT294/9.81/IF(OR(_xlfn.XLOOKUP(E294,Groups!A:A,Groups!N:N)="Pig",_xlfn.XLOOKUP(E294,Groups!A:A,Groups!N:N)="StrongBitingHerbivore"),20,25))*C294^-0.135,BD294))</f>
        <v>3.7591644094794265</v>
      </c>
      <c r="BC294" s="8">
        <f>IF(W294="No","No",IF(_xlfn.XLOOKUP(E294,Groups!A:A,Groups!U:U)=1,'Base stats'!BB294,IF(OR(_xlfn.XLOOKUP(E294,Groups!A:A,Groups!BD:BD)=1,_xlfn.XLOOKUP(E294,Groups!A:A,Groups!U:U)=2),BD294,IF(_xlfn.XLOOKUP(B294,Animals!B:B,Animals!AO:AO)&gt;4,AVERAGE(BD294,BF294),BF294))))</f>
        <v>3.7591644094794265</v>
      </c>
      <c r="BD294" s="8">
        <f t="shared" si="146"/>
        <v>3.7591644094794265</v>
      </c>
      <c r="BE294" s="8">
        <f>IF(_xlfn.XLOOKUP(E294,Groups!A:A,Groups!BE:BE)=1,(0.048*C294^1.01)+(0.071*C294^1.03),0.071*C294^1.03)/IF(_xlfn.XLOOKUP(E294,Groups!A:A,Groups!M:M)=1,0.85,IF(OR(_xlfn.XLOOKUP(B294,Animals!B:B,Animals!AO:AO)&gt;4,_xlfn.XLOOKUP(E294,Groups!A:A,Groups!BC:BC)=1),1.7,1))*C294^-0.25</f>
        <v>7.9689612341336513</v>
      </c>
      <c r="BF294" s="8">
        <f>(0.048*C294^1.01)/IF(_xlfn.XLOOKUP(E294,Groups!A:A,Groups!M:M)=1,0.25,0.8)*C294^-0.25</f>
        <v>5.9665988108012469</v>
      </c>
      <c r="BG294" s="8">
        <f>EXP(1.076*LN(AR294)-4.5397)*IF(_xlfn.XLOOKUP(E294,Groups!A:A,Groups!BC:BC)=1,1.25,IF(_xlfn.XLOOKUP(E294,Groups!A:A,Groups!BD:BD)=1,3.5,2.5))</f>
        <v>674.17240251223291</v>
      </c>
      <c r="BH294" s="8">
        <f>EXP(1.076*LN(AS294)-4.5397)*IF(_xlfn.XLOOKUP(E294,Groups!A:A,Groups!M:M)=1,0.8,IF(_xlfn.XLOOKUP(E294,Groups!A:A,Groups!BC:BC)=1,1.3,3))</f>
        <v>559.08006689810611</v>
      </c>
      <c r="BI294" s="8">
        <f>IF(W294="No","No",IF(_xlfn.XLOOKUP(E294,Groups!A:A,Groups!U:U)=1,'Base stats'!BJ294,IF(OR(_xlfn.XLOOKUP(E294,Groups!A:A,Groups!BD:BD)=1,_xlfn.XLOOKUP(E294,Groups!A:A,Groups!U:U)=2),BG294,BH294))*1.2)</f>
        <v>809.00688301467949</v>
      </c>
      <c r="BJ294" s="8" t="str">
        <f>IFERROR(EXP(1.076*LN(AT294)-4.5397)*IF(_xlfn.XLOOKUP(E294,Groups!A:A,Groups!N:N)="Insect",1,IF(OR(_xlfn.XLOOKUP(E294,Groups!A:A,Groups!N:N)="Pig",_xlfn.XLOOKUP(E294,Groups!A:A,Groups!N:N)="StrongBitingHerbivore"),3.5,3.75)),"No")</f>
        <v>No</v>
      </c>
      <c r="BK294" s="8">
        <f t="shared" si="147"/>
        <v>18</v>
      </c>
      <c r="BL294" s="8">
        <f t="shared" si="148"/>
        <v>11</v>
      </c>
      <c r="BM294" s="8">
        <f t="shared" si="149"/>
        <v>20</v>
      </c>
      <c r="BN294" s="8" t="str">
        <f t="shared" si="150"/>
        <v>No</v>
      </c>
      <c r="BO294" s="8">
        <f t="shared" si="151"/>
        <v>13</v>
      </c>
      <c r="BP294" s="8" cm="1">
        <f t="array" ref="BP294">IF(AND(_xlfn.XLOOKUP('Base stats'!E294,Groups!A:A,Groups!AD:AD=0),_xlfn.XLOOKUP('Base stats'!E294,Groups!A:A,Groups!P:P=0)),"No",IF(U294="No",AVERAGE(EXP(-0.57+0.99*LN(C294)),EXP(0.32+0.67*LN(C294)))/IF(_xlfn.XLOOKUP(E294,Groups!A:A,Groups!AD:AD)=1,10,2),(0.7354*C294^0.4078)*2/IF(_xlfn.XLOOKUP(E294,Groups!A:A,Groups!BK:BK)=1,1000,100)/IF(_xlfn.XLOOKUP(E294,Groups!A:A,Groups!AJ:AJ)="Photonozoa",3,1)))</f>
        <v>76.416379268219856</v>
      </c>
      <c r="BQ294" s="8">
        <f>IF(W294="No","No",IF(_xlfn.XLOOKUP(E294,Groups!A:A,Groups!BD:BD)=1,(AO294*5%),EXP(0.7354*LN(C294)^0.4078)*2/IF(_xlfn.XLOOKUP(E294,Groups!A:A,Groups!BL:BL)=1,1000,100)/IF(_xlfn.XLOOKUP(E294,Groups!A:A,Groups!AJ:AJ)="Photonozoa",3,1)))</f>
        <v>2836.258351234726</v>
      </c>
      <c r="BR294" s="8" t="str">
        <f>IF(BJ294="No","No",IF(_xlfn.XLOOKUP(E294,Groups!A:A,Groups!BF:BF)=1,(0.0315*C294+2.1825)*2,(0.7354*C294^0.4078)*2)/IF(_xlfn.XLOOKUP(E294,Groups!A:A,Groups!BM:BM)=1,1000,100)/IF(_xlfn.XLOOKUP(E294,Groups!A:A,Groups!AJ:AJ)="Photonozoa",3,1))</f>
        <v>No</v>
      </c>
      <c r="BS294" s="8">
        <f t="shared" si="152"/>
        <v>0.23769781135020412</v>
      </c>
      <c r="BT294" s="8">
        <f t="shared" si="153"/>
        <v>7.3162334077063118</v>
      </c>
      <c r="BU294" s="8">
        <f t="shared" si="154"/>
        <v>0.28523737362024498</v>
      </c>
      <c r="BV294" s="8" t="str">
        <f t="shared" si="155"/>
        <v>No</v>
      </c>
      <c r="BW294" s="4">
        <v>0</v>
      </c>
      <c r="BX294" s="4">
        <v>1</v>
      </c>
    </row>
    <row r="295" spans="1:76" s="16" customFormat="1" x14ac:dyDescent="0.25">
      <c r="A295" s="26" t="s">
        <v>1414</v>
      </c>
      <c r="B295" s="6" t="s">
        <v>1630</v>
      </c>
      <c r="C295" s="7">
        <v>65</v>
      </c>
      <c r="D295" s="7" t="s">
        <v>528</v>
      </c>
      <c r="E295" s="7" t="str">
        <f>Groups!$A$54</f>
        <v>Ruminant  (BLUNT HORNS)</v>
      </c>
      <c r="F295" s="7">
        <v>146</v>
      </c>
      <c r="G295" s="7">
        <f>548/365</f>
        <v>1.5013698630136987</v>
      </c>
      <c r="H295" s="7">
        <v>22.8</v>
      </c>
      <c r="I295" s="4">
        <v>0</v>
      </c>
      <c r="J295" s="7">
        <v>1.58</v>
      </c>
      <c r="K295" s="7" t="s">
        <v>528</v>
      </c>
      <c r="L295" s="7">
        <f>MAX(3.1,4.3)*3.6*(23.3/11)</f>
        <v>32.789454545454547</v>
      </c>
      <c r="M295" s="7" t="s">
        <v>635</v>
      </c>
      <c r="N295" s="4">
        <v>0</v>
      </c>
      <c r="O295" s="4">
        <v>2</v>
      </c>
      <c r="P295" s="4">
        <v>10</v>
      </c>
      <c r="Q295" s="4">
        <v>0</v>
      </c>
      <c r="R295" s="4" t="s">
        <v>40</v>
      </c>
      <c r="S295" s="7">
        <f>_xlfn.XLOOKUP(B295,[1]TeethAdjusters!$A:$A,[1]BiteAdjusters!$C:$C,1)</f>
        <v>1</v>
      </c>
      <c r="T295" s="7">
        <f>_xlfn.XLOOKUP(B295,[1]TeethAdjusters!$A:$A,[1]TeethAdjusters!$B:$B,1)</f>
        <v>1</v>
      </c>
      <c r="U295" s="7" t="s">
        <v>45</v>
      </c>
      <c r="V295" s="7" t="str">
        <f>IF(AT295="No","No",IF(_xlfn.XLOOKUP(E295,Groups!A:A,Groups!AM:AM)=1,MROUND(EXP(0.3582*LN(C295)-0.2221)*T295,0.05),IF(_xlfn.XLOOKUP(E295,Groups!A:A,Groups!AM:AM)=2,MROUND(EXP(0.3582*LN(C295)-0.2221)*T295,0.05),"Need a formula")))</f>
        <v>No</v>
      </c>
      <c r="W295" s="7">
        <v>35</v>
      </c>
      <c r="X295" s="7" t="s">
        <v>962</v>
      </c>
      <c r="Y295" s="4" t="s">
        <v>42</v>
      </c>
      <c r="Z295" s="4">
        <v>1</v>
      </c>
      <c r="AA295" s="4">
        <v>0</v>
      </c>
      <c r="AB295" s="4">
        <v>0</v>
      </c>
      <c r="AC295" s="4">
        <v>0</v>
      </c>
      <c r="AD295" s="4">
        <v>0</v>
      </c>
      <c r="AE295" s="4" t="s">
        <v>45</v>
      </c>
      <c r="AF295" s="4" t="s">
        <v>398</v>
      </c>
      <c r="AG295" s="49" t="s">
        <v>392</v>
      </c>
      <c r="AH295" s="4" t="str">
        <f>Animals!$C$52</f>
        <v>&lt;li&gt;Sheep&lt;/li&gt;</v>
      </c>
      <c r="AI295" s="4">
        <v>0</v>
      </c>
      <c r="AJ295" s="4">
        <v>0</v>
      </c>
      <c r="AK295" s="4">
        <v>0</v>
      </c>
      <c r="AL295" s="4">
        <v>0</v>
      </c>
      <c r="AM295" s="4">
        <v>1</v>
      </c>
      <c r="AN295" s="44" t="s">
        <v>40</v>
      </c>
      <c r="AO295" s="8">
        <f t="shared" si="141"/>
        <v>16738.504777916427</v>
      </c>
      <c r="AP295" s="8">
        <f>IFERROR(C295*_xlfn.XLOOKUP(E295,Groups!A:A,Groups!K:K),0.106*C295^0.94)</f>
        <v>5.3634522745904958</v>
      </c>
      <c r="AQ295" s="8">
        <f>AP295*10000/(_xlfn.XLOOKUP(E295,Groups!A:A,Groups!J:J)*AO295)</f>
        <v>2.9396881515649969</v>
      </c>
      <c r="AR295" s="8">
        <f t="shared" si="142"/>
        <v>1848.4540625807454</v>
      </c>
      <c r="AS295" s="8">
        <f>IF(_xlfn.XLOOKUP(E295,Groups!A:A,Groups!M:M)=1,EXP(0.7444*LN('Base stats'!C295)+6.5696),EXP(0.7927*LN('Base stats'!C295)+4.28))</f>
        <v>1976.4088975251395</v>
      </c>
      <c r="AT295" s="8" t="str">
        <f>IF(_xlfn.XLOOKUP(E295,Groups!A:A,Groups!N:N)="No","No",
IF(_xlfn.XLOOKUP(E295,Groups!A:A,Groups!N:N)="Crocodile",EXP(0.8129*LN(C295)+4.6742)*S295,
IF(_xlfn.XLOOKUP(E295,Groups!A:A,Groups!N:N)="Felid",EXP(0.7843*LN(C295)+4.7073)*S295,
IF(_xlfn.XLOOKUP(E295,Groups!A:A,Groups!N:N)="Canid",EXP(0.8367*LN(C295)+4.8763)*S295,
IF(_xlfn.XLOOKUP(E295,Groups!A:A,Groups!N:N)="Pig",EXP(0.3439*LN(C295)+6.8519)*S295,
IF(_xlfn.XLOOKUP(E295,Groups!A:A,Groups!N:N)="Rodent",EXP(0.5625*LN(C295)+4.3006)*S295,
IF(_xlfn.XLOOKUP(E295,Groups!A:A,Groups!N:N)="Primate",EXP(0.7847*LN(C295)+3.4931)*S295,
IF(_xlfn.XLOOKUP(E295,Groups!A:A,Groups!N:N)="MiscCarnivora",EXP(0.7486*LN(C295)+4.2207)*S295,
IF(_xlfn.XLOOKUP(E295,Groups!A:A,Groups!N:N)="Lizard",EXP(0.7733*LN(C295)+5.5303)*S295,
IF(_xlfn.XLOOKUP(E295,Groups!A:A,Groups!N:N)="Snake",50*C295^(2/3)*S295,
IF(_xlfn.XLOOKUP(E295,Groups!A:A,Groups!N:N)="StrongBitingHerbivore",87.1133638856975*C295^(2/3)*S295,
IF(_xlfn.XLOOKUP(E295,Groups!A:A,Groups!N:N)="MiscEctotherms",59.4316884072269*C295^(2/3)*S295,
IF(_xlfn.XLOOKUP(E295,Groups!A:A,Groups!N:N)="StrongBeakBird",0.041*(C295*1000)^1.375*S295,
IF(_xlfn.XLOOKUP(E295,Groups!A:A,Groups!N:N)="Bird",0.118*(C295*1000)^0.692*S295,
IF(_xlfn.XLOOKUP(E295,Groups!A:A,Groups!N:N)="Insect",EXP(0.7444*LN(C295)+6.5696)*S295,
IF(_xlfn.XLOOKUP(E295,Groups!A:A,Groups!N:N)="Theropod",EXP(0.6966*LN(C295)+4.158)*S295,
"No"))))))))))))))))</f>
        <v>No</v>
      </c>
      <c r="AU295" s="8">
        <f>IF(_xlfn.XLOOKUP(E295,Groups!A:A,Groups!U:U)=3,AS295,IF(_xlfn.XLOOKUP(E295,Groups!A:A,Groups!U:U)=2,AR295,AT295))</f>
        <v>1976.4088975251395</v>
      </c>
      <c r="AV295" s="46">
        <f>IFERROR(AVERAGE(_xlfn.XLOOKUP(B295,Animals!B:B,Animals!N:N),_xlfn.XLOOKUP(B295,Animals!B:B,Animals!O:O)),0)</f>
        <v>0</v>
      </c>
      <c r="AW295" s="8">
        <f>MROUND(40*Animals!AO295*_xlfn.XLOOKUP(AG295,Leathers!$A$2:$A$99,Leathers!$B$2:$B$99,0)+(140*_xlfn.XLOOKUP(B295,Animals!B:B,Animals!AO:AO)*2),5)</f>
        <v>415</v>
      </c>
      <c r="AX295" s="8">
        <f>IFERROR(ROUND(SQRT(V295-1)*IF(_xlfn.XLOOKUP(E295,Groups!A:A,Groups!BF:BF)=0,2,1)*IF(_xlfn.XLOOKUP('Base stats'!E295,Groups!A:A,Groups!O:O)=0,1,0.1),1),0)</f>
        <v>0</v>
      </c>
      <c r="AY295" s="8">
        <f t="shared" si="143"/>
        <v>0</v>
      </c>
      <c r="AZ295" s="8">
        <f t="shared" si="144"/>
        <v>5.9</v>
      </c>
      <c r="BA295" s="8">
        <f t="shared" si="145"/>
        <v>3.6</v>
      </c>
      <c r="BB295" s="8">
        <f>IF(_xlfn.XLOOKUP(E295,Groups!A:A,Groups!N:N)="Insect",BD295*2.5,IFERROR(AVERAGE(BD295,AT295/9.81/IF(OR(_xlfn.XLOOKUP(E295,Groups!A:A,Groups!N:N)="Pig",_xlfn.XLOOKUP(E295,Groups!A:A,Groups!N:N)="StrongBitingHerbivore"),20,25))*C295^-0.135,BD295))</f>
        <v>0.9124787050909684</v>
      </c>
      <c r="BC295" s="8">
        <f>IF(W295="No","No",IF(_xlfn.XLOOKUP(E295,Groups!A:A,Groups!U:U)=1,'Base stats'!BB295,IF(OR(_xlfn.XLOOKUP(E295,Groups!A:A,Groups!BD:BD)=1,_xlfn.XLOOKUP(E295,Groups!A:A,Groups!U:U)=2),BD295,IF(_xlfn.XLOOKUP(B295,Animals!B:B,Animals!AO:AO)&gt;4,AVERAGE(BD295,BF295),BF295))))</f>
        <v>0.9124787050909684</v>
      </c>
      <c r="BD295" s="8">
        <f t="shared" si="146"/>
        <v>0.9124787050909684</v>
      </c>
      <c r="BE295" s="8">
        <f>IF(_xlfn.XLOOKUP(E295,Groups!A:A,Groups!BE:BE)=1,(0.048*C295^1.01)+(0.071*C295^1.03),0.071*C295^1.03)/IF(_xlfn.XLOOKUP(E295,Groups!A:A,Groups!M:M)=1,0.85,IF(OR(_xlfn.XLOOKUP(B295,Animals!B:B,Animals!AO:AO)&gt;4,_xlfn.XLOOKUP(E295,Groups!A:A,Groups!BC:BC)=1),1.7,1))*C295^-0.25</f>
        <v>1.8421745022968996</v>
      </c>
      <c r="BF295" s="8">
        <f>(0.048*C295^1.01)/IF(_xlfn.XLOOKUP(E295,Groups!A:A,Groups!M:M)=1,0.25,0.8)*C295^-0.25</f>
        <v>1.4320738069273629</v>
      </c>
      <c r="BG295" s="8">
        <f>EXP(1.076*LN(AR295)-4.5397)*IF(_xlfn.XLOOKUP(E295,Groups!A:A,Groups!BC:BC)=1,1.25,IF(_xlfn.XLOOKUP(E295,Groups!A:A,Groups!BD:BD)=1,3.5,2.5))</f>
        <v>122.34536056745829</v>
      </c>
      <c r="BH295" s="8">
        <f>EXP(1.076*LN(AS295)-4.5397)*IF(_xlfn.XLOOKUP(E295,Groups!A:A,Groups!M:M)=1,0.8,IF(_xlfn.XLOOKUP(E295,Groups!A:A,Groups!BC:BC)=1,1.3,3))</f>
        <v>112.69847319818533</v>
      </c>
      <c r="BI295" s="8">
        <f>IF(W295="No","No",IF(_xlfn.XLOOKUP(E295,Groups!A:A,Groups!U:U)=1,'Base stats'!BJ295,IF(OR(_xlfn.XLOOKUP(E295,Groups!A:A,Groups!BD:BD)=1,_xlfn.XLOOKUP(E295,Groups!A:A,Groups!U:U)=2),BG295,BH295))*1.2)</f>
        <v>146.81443268094995</v>
      </c>
      <c r="BJ295" s="8" t="str">
        <f>IFERROR(EXP(1.076*LN(AT295)-4.5397)*IF(_xlfn.XLOOKUP(E295,Groups!A:A,Groups!N:N)="Insect",1,IF(OR(_xlfn.XLOOKUP(E295,Groups!A:A,Groups!N:N)="Pig",_xlfn.XLOOKUP(E295,Groups!A:A,Groups!N:N)="StrongBitingHerbivore"),3.5,3.75)),"No")</f>
        <v>No</v>
      </c>
      <c r="BK295" s="8">
        <f t="shared" si="147"/>
        <v>16</v>
      </c>
      <c r="BL295" s="8">
        <f t="shared" si="148"/>
        <v>11</v>
      </c>
      <c r="BM295" s="8">
        <f t="shared" si="149"/>
        <v>17</v>
      </c>
      <c r="BN295" s="8" t="str">
        <f t="shared" si="150"/>
        <v>No</v>
      </c>
      <c r="BO295" s="8">
        <f t="shared" si="151"/>
        <v>12</v>
      </c>
      <c r="BP295" s="8" cm="1">
        <f t="array" ref="BP295">IF(AND(_xlfn.XLOOKUP('Base stats'!E295,Groups!A:A,Groups!AD:AD=0),_xlfn.XLOOKUP('Base stats'!E295,Groups!A:A,Groups!P:P=0)),"No",IF(U295="No",AVERAGE(EXP(-0.57+0.99*LN(C295)),EXP(0.32+0.67*LN(C295)))/IF(_xlfn.XLOOKUP(E295,Groups!A:A,Groups!AD:AD)=1,10,2),(0.7354*C295^0.4078)*2/IF(_xlfn.XLOOKUP(E295,Groups!A:A,Groups!BK:BK)=1,1000,100)/IF(_xlfn.XLOOKUP(E295,Groups!A:A,Groups!AJ:AJ)="Photonozoa",3,1)))</f>
        <v>14.457797122458805</v>
      </c>
      <c r="BQ295" s="8">
        <f>IF(W295="No","No",IF(_xlfn.XLOOKUP(E295,Groups!A:A,Groups!BD:BD)=1,(AO295*5%),EXP(0.7354*LN(C295)^0.4078)*2/IF(_xlfn.XLOOKUP(E295,Groups!A:A,Groups!BL:BL)=1,1000,100)/IF(_xlfn.XLOOKUP(E295,Groups!A:A,Groups!AJ:AJ)="Photonozoa",3,1)))</f>
        <v>836.92523889582139</v>
      </c>
      <c r="BR295" s="8" t="str">
        <f>IF(BJ295="No","No",IF(_xlfn.XLOOKUP(E295,Groups!A:A,Groups!BF:BF)=1,(0.0315*C295+2.1825)*2,(0.7354*C295^0.4078)*2)/IF(_xlfn.XLOOKUP(E295,Groups!A:A,Groups!BM:BM)=1,1000,100)/IF(_xlfn.XLOOKUP(E295,Groups!A:A,Groups!AJ:AJ)="Photonozoa",3,1))</f>
        <v>No</v>
      </c>
      <c r="BS295" s="8">
        <f t="shared" si="152"/>
        <v>0.14618433628417266</v>
      </c>
      <c r="BT295" s="8">
        <f t="shared" si="153"/>
        <v>7.7949961701370833</v>
      </c>
      <c r="BU295" s="8">
        <f t="shared" si="154"/>
        <v>0.17542120354100718</v>
      </c>
      <c r="BV295" s="8" t="str">
        <f t="shared" si="155"/>
        <v>No</v>
      </c>
      <c r="BW295" s="4">
        <v>0</v>
      </c>
      <c r="BX295" s="4">
        <v>1</v>
      </c>
    </row>
    <row r="296" spans="1:76" s="16" customFormat="1" x14ac:dyDescent="0.25">
      <c r="A296" s="26" t="s">
        <v>1478</v>
      </c>
      <c r="B296" s="6" t="s">
        <v>1855</v>
      </c>
      <c r="C296" s="7">
        <v>100</v>
      </c>
      <c r="D296" s="7" t="s">
        <v>1153</v>
      </c>
      <c r="E296" s="7" t="str">
        <f>Groups!$A$54</f>
        <v>Ruminant  (BLUNT HORNS)</v>
      </c>
      <c r="F296" s="7">
        <v>160</v>
      </c>
      <c r="G296" s="7">
        <v>2</v>
      </c>
      <c r="H296" s="7">
        <v>25</v>
      </c>
      <c r="I296" s="4">
        <v>0</v>
      </c>
      <c r="J296" s="7">
        <v>1</v>
      </c>
      <c r="K296" s="7" t="s">
        <v>528</v>
      </c>
      <c r="L296" s="7">
        <f>MAX(3.1,4.3)*3.6*(23.3/11)</f>
        <v>32.789454545454547</v>
      </c>
      <c r="M296" s="7" t="s">
        <v>635</v>
      </c>
      <c r="N296" s="4">
        <v>0</v>
      </c>
      <c r="O296" s="4">
        <v>1</v>
      </c>
      <c r="P296" s="4">
        <v>0</v>
      </c>
      <c r="Q296" s="4">
        <v>0</v>
      </c>
      <c r="R296" s="4" t="s">
        <v>40</v>
      </c>
      <c r="S296" s="7">
        <f>_xlfn.XLOOKUP(B296,[1]TeethAdjusters!$A:$A,[1]BiteAdjusters!$C:$C,1)</f>
        <v>1</v>
      </c>
      <c r="T296" s="7">
        <f>_xlfn.XLOOKUP(B296,[1]TeethAdjusters!$A:$A,[1]TeethAdjusters!$B:$B,1)</f>
        <v>1</v>
      </c>
      <c r="U296" s="7" t="s">
        <v>45</v>
      </c>
      <c r="V296" s="7" t="str">
        <f>IF(AT296="No","No",IF(_xlfn.XLOOKUP(E296,Groups!A:A,Groups!AM:AM)=1,MROUND(EXP(0.3582*LN(C296)-0.2221)*T296,0.05),IF(_xlfn.XLOOKUP(E296,Groups!A:A,Groups!AM:AM)=2,MROUND(EXP(0.3582*LN(C296)-0.2221)*T296,0.05),"Need a formula")))</f>
        <v>No</v>
      </c>
      <c r="W296" s="7">
        <v>35</v>
      </c>
      <c r="X296" s="7" t="s">
        <v>932</v>
      </c>
      <c r="Y296" s="4" t="s">
        <v>42</v>
      </c>
      <c r="Z296" s="4">
        <v>1</v>
      </c>
      <c r="AA296" s="4">
        <v>0</v>
      </c>
      <c r="AB296" s="4">
        <v>0</v>
      </c>
      <c r="AC296" s="4">
        <v>0</v>
      </c>
      <c r="AD296" s="4">
        <v>0</v>
      </c>
      <c r="AE296" s="4" t="s">
        <v>45</v>
      </c>
      <c r="AF296" s="4" t="s">
        <v>311</v>
      </c>
      <c r="AG296" s="49" t="s">
        <v>392</v>
      </c>
      <c r="AH296" s="4" t="str">
        <f>Animals!$C$52</f>
        <v>&lt;li&gt;Sheep&lt;/li&gt;</v>
      </c>
      <c r="AI296" s="4">
        <v>0</v>
      </c>
      <c r="AJ296" s="4">
        <v>0</v>
      </c>
      <c r="AK296" s="4">
        <v>0</v>
      </c>
      <c r="AL296" s="4">
        <v>0</v>
      </c>
      <c r="AM296" s="4">
        <v>1</v>
      </c>
      <c r="AN296" s="44" t="s">
        <v>40</v>
      </c>
      <c r="AO296" s="8">
        <f t="shared" si="141"/>
        <v>22147.411696154573</v>
      </c>
      <c r="AP296" s="8">
        <f>IFERROR(C296*_xlfn.XLOOKUP(E296,Groups!A:A,Groups!K:K),0.106*C296^0.94)</f>
        <v>8.0409222953093469</v>
      </c>
      <c r="AQ296" s="8">
        <f>AP296*10000/(_xlfn.XLOOKUP(E296,Groups!A:A,Groups!J:J)*AO296)</f>
        <v>3.3308600719050716</v>
      </c>
      <c r="AR296" s="8">
        <f t="shared" si="142"/>
        <v>2659.7495843014949</v>
      </c>
      <c r="AS296" s="8">
        <f>IF(_xlfn.XLOOKUP(E296,Groups!A:A,Groups!M:M)=1,EXP(0.7444*LN('Base stats'!C296)+6.5696),EXP(0.7927*LN('Base stats'!C296)+4.28))</f>
        <v>2780.8680507952254</v>
      </c>
      <c r="AT296" s="8" t="str">
        <f>IF(_xlfn.XLOOKUP(E296,Groups!A:A,Groups!N:N)="No","No",
IF(_xlfn.XLOOKUP(E296,Groups!A:A,Groups!N:N)="Crocodile",EXP(0.8129*LN(C296)+4.6742)*S296,
IF(_xlfn.XLOOKUP(E296,Groups!A:A,Groups!N:N)="Felid",EXP(0.7843*LN(C296)+4.7073)*S296,
IF(_xlfn.XLOOKUP(E296,Groups!A:A,Groups!N:N)="Canid",EXP(0.8367*LN(C296)+4.8763)*S296,
IF(_xlfn.XLOOKUP(E296,Groups!A:A,Groups!N:N)="Pig",EXP(0.3439*LN(C296)+6.8519)*S296,
IF(_xlfn.XLOOKUP(E296,Groups!A:A,Groups!N:N)="Rodent",EXP(0.5625*LN(C296)+4.3006)*S296,
IF(_xlfn.XLOOKUP(E296,Groups!A:A,Groups!N:N)="Primate",EXP(0.7847*LN(C296)+3.4931)*S296,
IF(_xlfn.XLOOKUP(E296,Groups!A:A,Groups!N:N)="MiscCarnivora",EXP(0.7486*LN(C296)+4.2207)*S296,
IF(_xlfn.XLOOKUP(E296,Groups!A:A,Groups!N:N)="Lizard",EXP(0.7733*LN(C296)+5.5303)*S296,
IF(_xlfn.XLOOKUP(E296,Groups!A:A,Groups!N:N)="Snake",50*C296^(2/3)*S296,
IF(_xlfn.XLOOKUP(E296,Groups!A:A,Groups!N:N)="StrongBitingHerbivore",87.1133638856975*C296^(2/3)*S296,
IF(_xlfn.XLOOKUP(E296,Groups!A:A,Groups!N:N)="MiscEctotherms",59.4316884072269*C296^(2/3)*S296,
IF(_xlfn.XLOOKUP(E296,Groups!A:A,Groups!N:N)="StrongBeakBird",0.041*(C296*1000)^1.375*S296,
IF(_xlfn.XLOOKUP(E296,Groups!A:A,Groups!N:N)="Bird",0.118*(C296*1000)^0.692*S296,
IF(_xlfn.XLOOKUP(E296,Groups!A:A,Groups!N:N)="Insect",EXP(0.7444*LN(C296)+6.5696)*S296,
IF(_xlfn.XLOOKUP(E296,Groups!A:A,Groups!N:N)="Theropod",EXP(0.6966*LN(C296)+4.158)*S296,
"No"))))))))))))))))</f>
        <v>No</v>
      </c>
      <c r="AU296" s="8">
        <f>IF(_xlfn.XLOOKUP(E296,Groups!A:A,Groups!U:U)=3,AS296,IF(_xlfn.XLOOKUP(E296,Groups!A:A,Groups!U:U)=2,AR296,AT296))</f>
        <v>2780.8680507952254</v>
      </c>
      <c r="AV296" s="46">
        <f>IFERROR(AVERAGE(_xlfn.XLOOKUP(B296,Animals!B:B,Animals!N:N),_xlfn.XLOOKUP(B296,Animals!B:B,Animals!O:O)),0)</f>
        <v>0</v>
      </c>
      <c r="AW296" s="8">
        <f>MROUND(40*Animals!AO296*_xlfn.XLOOKUP(AG296,Leathers!$A$2:$A$99,Leathers!$B$2:$B$99,0)+(140*_xlfn.XLOOKUP(B296,Animals!B:B,Animals!AO:AO)*2),5)</f>
        <v>425</v>
      </c>
      <c r="AX296" s="8">
        <f>IFERROR(ROUND(SQRT(V296-1)*IF(_xlfn.XLOOKUP(E296,Groups!A:A,Groups!BF:BF)=0,2,1)*IF(_xlfn.XLOOKUP('Base stats'!E296,Groups!A:A,Groups!O:O)=0,1,0.1),1),0)</f>
        <v>0</v>
      </c>
      <c r="AY296" s="8">
        <f t="shared" si="143"/>
        <v>0</v>
      </c>
      <c r="AZ296" s="8">
        <f t="shared" si="144"/>
        <v>5.9</v>
      </c>
      <c r="BA296" s="8">
        <f t="shared" si="145"/>
        <v>4.2</v>
      </c>
      <c r="BB296" s="8">
        <f>IF(_xlfn.XLOOKUP(E296,Groups!A:A,Groups!N:N)="Insect",BD296*2.5,IFERROR(AVERAGE(BD296,AT296/9.81/IF(OR(_xlfn.XLOOKUP(E296,Groups!A:A,Groups!N:N)="Pig",_xlfn.XLOOKUP(E296,Groups!A:A,Groups!N:N)="StrongBitingHerbivore"),20,25))*C296^-0.135,BD296))</f>
        <v>1.2626589661831062</v>
      </c>
      <c r="BC296" s="8">
        <f>IF(W296="No","No",IF(_xlfn.XLOOKUP(E296,Groups!A:A,Groups!U:U)=1,'Base stats'!BB296,IF(OR(_xlfn.XLOOKUP(E296,Groups!A:A,Groups!BD:BD)=1,_xlfn.XLOOKUP(E296,Groups!A:A,Groups!U:U)=2),BD296,IF(_xlfn.XLOOKUP(B296,Animals!B:B,Animals!AO:AO)&gt;4,AVERAGE(BD296,BF296),BF296))))</f>
        <v>1.2626589661831062</v>
      </c>
      <c r="BD296" s="8">
        <f t="shared" si="146"/>
        <v>1.2626589661831062</v>
      </c>
      <c r="BE296" s="8">
        <f>IF(_xlfn.XLOOKUP(E296,Groups!A:A,Groups!BE:BE)=1,(0.048*C296^1.01)+(0.071*C296^1.03),0.071*C296^1.03)/IF(_xlfn.XLOOKUP(E296,Groups!A:A,Groups!M:M)=1,0.85,IF(OR(_xlfn.XLOOKUP(B296,Animals!B:B,Animals!AO:AO)&gt;4,_xlfn.XLOOKUP(E296,Groups!A:A,Groups!BC:BC)=1),1.7,1))*C296^-0.25</f>
        <v>2.5778541888677213</v>
      </c>
      <c r="BF296" s="8">
        <f>(0.048*C296^1.01)/IF(_xlfn.XLOOKUP(E296,Groups!A:A,Groups!M:M)=1,0.25,0.8)*C296^-0.25</f>
        <v>1.986786728895547</v>
      </c>
      <c r="BG296" s="8">
        <f>EXP(1.076*LN(AR296)-4.5397)*IF(_xlfn.XLOOKUP(E296,Groups!A:A,Groups!BC:BC)=1,1.25,IF(_xlfn.XLOOKUP(E296,Groups!A:A,Groups!BD:BD)=1,3.5,2.5))</f>
        <v>180.97976981900274</v>
      </c>
      <c r="BH296" s="8">
        <f>EXP(1.076*LN(AS296)-4.5397)*IF(_xlfn.XLOOKUP(E296,Groups!A:A,Groups!M:M)=1,0.8,IF(_xlfn.XLOOKUP(E296,Groups!A:A,Groups!BC:BC)=1,1.3,3))</f>
        <v>162.73939114543509</v>
      </c>
      <c r="BI296" s="8">
        <f>IF(W296="No","No",IF(_xlfn.XLOOKUP(E296,Groups!A:A,Groups!U:U)=1,'Base stats'!BJ296,IF(OR(_xlfn.XLOOKUP(E296,Groups!A:A,Groups!BD:BD)=1,_xlfn.XLOOKUP(E296,Groups!A:A,Groups!U:U)=2),BG296,BH296))*1.2)</f>
        <v>217.17572378280329</v>
      </c>
      <c r="BJ296" s="8" t="str">
        <f>IFERROR(EXP(1.076*LN(AT296)-4.5397)*IF(_xlfn.XLOOKUP(E296,Groups!A:A,Groups!N:N)="Insect",1,IF(OR(_xlfn.XLOOKUP(E296,Groups!A:A,Groups!N:N)="Pig",_xlfn.XLOOKUP(E296,Groups!A:A,Groups!N:N)="StrongBitingHerbivore"),3.5,3.75)),"No")</f>
        <v>No</v>
      </c>
      <c r="BK296" s="8">
        <f t="shared" si="147"/>
        <v>16</v>
      </c>
      <c r="BL296" s="8">
        <f t="shared" si="148"/>
        <v>11</v>
      </c>
      <c r="BM296" s="8">
        <f t="shared" si="149"/>
        <v>18</v>
      </c>
      <c r="BN296" s="8" t="str">
        <f t="shared" si="150"/>
        <v>No</v>
      </c>
      <c r="BO296" s="8">
        <f t="shared" si="151"/>
        <v>12</v>
      </c>
      <c r="BP296" s="8" cm="1">
        <f t="array" ref="BP296">IF(AND(_xlfn.XLOOKUP('Base stats'!E296,Groups!A:A,Groups!AD:AD=0),_xlfn.XLOOKUP('Base stats'!E296,Groups!A:A,Groups!P:P=0)),"No",IF(U296="No",AVERAGE(EXP(-0.57+0.99*LN(C296)),EXP(0.32+0.67*LN(C296)))/IF(_xlfn.XLOOKUP(E296,Groups!A:A,Groups!AD:AD)=1,10,2),(0.7354*C296^0.4078)*2/IF(_xlfn.XLOOKUP(E296,Groups!A:A,Groups!BK:BK)=1,1000,100)/IF(_xlfn.XLOOKUP(E296,Groups!A:A,Groups!AJ:AJ)="Photonozoa",3,1)))</f>
        <v>21.033883214338587</v>
      </c>
      <c r="BQ296" s="8">
        <f>IF(W296="No","No",IF(_xlfn.XLOOKUP(E296,Groups!A:A,Groups!BD:BD)=1,(AO296*5%),EXP(0.7354*LN(C296)^0.4078)*2/IF(_xlfn.XLOOKUP(E296,Groups!A:A,Groups!BL:BL)=1,1000,100)/IF(_xlfn.XLOOKUP(E296,Groups!A:A,Groups!AJ:AJ)="Photonozoa",3,1)))</f>
        <v>1107.3705848077286</v>
      </c>
      <c r="BR296" s="8" t="str">
        <f>IF(BJ296="No","No",IF(_xlfn.XLOOKUP(E296,Groups!A:A,Groups!BF:BF)=1,(0.0315*C296+2.1825)*2,(0.7354*C296^0.4078)*2)/IF(_xlfn.XLOOKUP(E296,Groups!A:A,Groups!BM:BM)=1,1000,100)/IF(_xlfn.XLOOKUP(E296,Groups!A:A,Groups!AJ:AJ)="Photonozoa",3,1))</f>
        <v>No</v>
      </c>
      <c r="BS296" s="8">
        <f t="shared" si="152"/>
        <v>0.16343198230285846</v>
      </c>
      <c r="BT296" s="8">
        <f t="shared" si="153"/>
        <v>7.7370112540368812</v>
      </c>
      <c r="BU296" s="8">
        <f t="shared" si="154"/>
        <v>0.19611837876343016</v>
      </c>
      <c r="BV296" s="8" t="str">
        <f t="shared" si="155"/>
        <v>No</v>
      </c>
      <c r="BW296" s="4">
        <v>0</v>
      </c>
      <c r="BX296" s="4">
        <v>1</v>
      </c>
    </row>
    <row r="297" spans="1:76" s="16" customFormat="1" x14ac:dyDescent="0.25">
      <c r="A297" s="26" t="s">
        <v>1472</v>
      </c>
      <c r="B297" s="6" t="s">
        <v>1650</v>
      </c>
      <c r="C297" s="7">
        <v>800</v>
      </c>
      <c r="D297" s="7" t="s">
        <v>528</v>
      </c>
      <c r="E297" s="7" t="str">
        <f>Groups!$A$23</f>
        <v>Camellike (CAMEL)</v>
      </c>
      <c r="F297" s="7">
        <f>385</f>
        <v>385</v>
      </c>
      <c r="G297" s="7">
        <f>1095/365</f>
        <v>3</v>
      </c>
      <c r="H297" s="7">
        <v>28.4</v>
      </c>
      <c r="I297" s="4">
        <v>0</v>
      </c>
      <c r="J297" s="7">
        <v>1</v>
      </c>
      <c r="K297" s="7" t="s">
        <v>528</v>
      </c>
      <c r="L297" s="7">
        <v>40</v>
      </c>
      <c r="M297" s="7" t="s">
        <v>528</v>
      </c>
      <c r="N297" s="4">
        <v>0</v>
      </c>
      <c r="O297" s="4">
        <v>1</v>
      </c>
      <c r="P297" s="4">
        <v>0</v>
      </c>
      <c r="Q297" s="4">
        <v>0</v>
      </c>
      <c r="R297" s="4">
        <v>0.8</v>
      </c>
      <c r="S297" s="7">
        <f>_xlfn.XLOOKUP(B297,[1]TeethAdjusters!$A:$A,[1]BiteAdjusters!$C:$C,1)</f>
        <v>1</v>
      </c>
      <c r="T297" s="7">
        <f>_xlfn.XLOOKUP(B297,[1]TeethAdjusters!$A:$A,[1]TeethAdjusters!$B:$B,1)</f>
        <v>1</v>
      </c>
      <c r="U297" s="7" t="s">
        <v>45</v>
      </c>
      <c r="V297" s="7">
        <f>MROUND(4.5,0.05)</f>
        <v>4.5</v>
      </c>
      <c r="W297" s="7" t="s">
        <v>45</v>
      </c>
      <c r="X297" s="7" t="s">
        <v>932</v>
      </c>
      <c r="Y297" s="4" t="s">
        <v>42</v>
      </c>
      <c r="Z297" s="4">
        <v>1</v>
      </c>
      <c r="AA297" s="4">
        <v>0</v>
      </c>
      <c r="AB297" s="4">
        <v>0</v>
      </c>
      <c r="AC297" s="4">
        <v>0</v>
      </c>
      <c r="AD297" s="4">
        <v>0</v>
      </c>
      <c r="AE297" s="4" t="s">
        <v>45</v>
      </c>
      <c r="AF297" s="4" t="s">
        <v>398</v>
      </c>
      <c r="AG297" s="49" t="s">
        <v>377</v>
      </c>
      <c r="AH297" s="4" t="str">
        <f>Animals!$C$54</f>
        <v>&lt;li&gt;Gazelle&lt;/li&gt;</v>
      </c>
      <c r="AI297" s="4">
        <v>1</v>
      </c>
      <c r="AJ297" s="4">
        <v>0</v>
      </c>
      <c r="AK297" s="4">
        <v>0</v>
      </c>
      <c r="AL297" s="4">
        <v>0</v>
      </c>
      <c r="AM297" s="4">
        <v>1</v>
      </c>
      <c r="AN297" s="44" t="s">
        <v>40</v>
      </c>
      <c r="AO297" s="8">
        <f t="shared" si="141"/>
        <v>85571.958195882878</v>
      </c>
      <c r="AP297" s="8">
        <f>IFERROR(C297*_xlfn.XLOOKUP(E297,Groups!A:A,Groups!K:K),0.106*C297^0.94)</f>
        <v>56.78196962407911</v>
      </c>
      <c r="AQ297" s="8">
        <f>AP297*10000/(_xlfn.XLOOKUP(E297,Groups!A:A,Groups!J:J)*AO297)</f>
        <v>6.0876893800404366</v>
      </c>
      <c r="AR297" s="8">
        <f t="shared" si="142"/>
        <v>15405.679611654272</v>
      </c>
      <c r="AS297" s="8">
        <f>IF(_xlfn.XLOOKUP(E297,Groups!A:A,Groups!M:M)=1,EXP(0.7444*LN('Base stats'!C297)+6.5696),EXP(0.7927*LN('Base stats'!C297)+4.28))</f>
        <v>14456.38864394653</v>
      </c>
      <c r="AT297" s="8">
        <f>IF(_xlfn.XLOOKUP(E297,Groups!A:A,Groups!N:N)="No","No",
IF(_xlfn.XLOOKUP(E297,Groups!A:A,Groups!N:N)="Crocodile",EXP(0.8129*LN(C297)+4.6742)*S297,
IF(_xlfn.XLOOKUP(E297,Groups!A:A,Groups!N:N)="Felid",EXP(0.7843*LN(C297)+4.7073)*S297,
IF(_xlfn.XLOOKUP(E297,Groups!A:A,Groups!N:N)="Canid",EXP(0.8367*LN(C297)+4.8763)*S297,
IF(_xlfn.XLOOKUP(E297,Groups!A:A,Groups!N:N)="Pig",EXP(0.3439*LN(C297)+6.8519)*S297,
IF(_xlfn.XLOOKUP(E297,Groups!A:A,Groups!N:N)="Rodent",EXP(0.5625*LN(C297)+4.3006)*S297,
IF(_xlfn.XLOOKUP(E297,Groups!A:A,Groups!N:N)="Primate",EXP(0.7847*LN(C297)+3.4931)*S297,
IF(_xlfn.XLOOKUP(E297,Groups!A:A,Groups!N:N)="MiscCarnivora",EXP(0.7486*LN(C297)+4.2207)*S297,
IF(_xlfn.XLOOKUP(E297,Groups!A:A,Groups!N:N)="Lizard",EXP(0.7733*LN(C297)+5.5303)*S297,
IF(_xlfn.XLOOKUP(E297,Groups!A:A,Groups!N:N)="Snake",50*C297^(2/3)*S297,
IF(_xlfn.XLOOKUP(E297,Groups!A:A,Groups!N:N)="StrongBitingHerbivore",87.1133638856975*C297^(2/3)*S297,
IF(_xlfn.XLOOKUP(E297,Groups!A:A,Groups!N:N)="MiscEctotherms",59.4316884072269*C297^(2/3)*S297,
IF(_xlfn.XLOOKUP(E297,Groups!A:A,Groups!N:N)="StrongBeakBird",0.041*(C297*1000)^1.375*S297,
IF(_xlfn.XLOOKUP(E297,Groups!A:A,Groups!N:N)="Bird",0.118*(C297*1000)^0.692*S297,
IF(_xlfn.XLOOKUP(E297,Groups!A:A,Groups!N:N)="Insect",EXP(0.7444*LN(C297)+6.5696)*S297,
IF(_xlfn.XLOOKUP(E297,Groups!A:A,Groups!N:N)="Theropod",EXP(0.6966*LN(C297)+4.158)*S297,
"No"))))))))))))))))</f>
        <v>7507.2021248286919</v>
      </c>
      <c r="AU297" s="8">
        <f>IF(_xlfn.XLOOKUP(E297,Groups!A:A,Groups!U:U)=3,AS297,IF(_xlfn.XLOOKUP(E297,Groups!A:A,Groups!U:U)=2,AR297,AT297))</f>
        <v>7507.2021248286919</v>
      </c>
      <c r="AV297" s="46">
        <f>IFERROR(AVERAGE(_xlfn.XLOOKUP(B297,Animals!B:B,Animals!N:N),_xlfn.XLOOKUP(B297,Animals!B:B,Animals!O:O)),0)</f>
        <v>0</v>
      </c>
      <c r="AW297" s="8">
        <f>MROUND(40*Animals!AO297*_xlfn.XLOOKUP(AG297,Leathers!$A$2:$A$99,Leathers!$B$2:$B$99,0)+(140*_xlfn.XLOOKUP(B297,Animals!B:B,Animals!AO:AO)*2),5)</f>
        <v>985</v>
      </c>
      <c r="AX297" s="8">
        <f>IFERROR(ROUND(SQRT(V297-1)*IF(_xlfn.XLOOKUP(E297,Groups!A:A,Groups!BF:BF)=0,2,1)*IF(_xlfn.XLOOKUP('Base stats'!E297,Groups!A:A,Groups!O:O)=0,1,0.1),1),0)</f>
        <v>1.9</v>
      </c>
      <c r="AY297" s="8">
        <f t="shared" si="143"/>
        <v>0</v>
      </c>
      <c r="AZ297" s="8">
        <f t="shared" si="144"/>
        <v>0</v>
      </c>
      <c r="BA297" s="8">
        <f t="shared" si="145"/>
        <v>8.8000000000000007</v>
      </c>
      <c r="BB297" s="8">
        <f>IF(_xlfn.XLOOKUP(E297,Groups!A:A,Groups!N:N)="Insect",BD297*2.5,IFERROR(AVERAGE(BD297,AT297/9.81/IF(OR(_xlfn.XLOOKUP(E297,Groups!A:A,Groups!N:N)="Pig",_xlfn.XLOOKUP(E297,Groups!A:A,Groups!N:N)="StrongBitingHerbivore"),20,25))*C297^-0.135,BD297))</f>
        <v>8.9876673750034257</v>
      </c>
      <c r="BC297" s="8" t="str">
        <f>IF(W297="No","No",IF(_xlfn.XLOOKUP(E297,Groups!A:A,Groups!U:U)=1,'Base stats'!BB297,IF(OR(_xlfn.XLOOKUP(E297,Groups!A:A,Groups!BD:BD)=1,_xlfn.XLOOKUP(E297,Groups!A:A,Groups!U:U)=2),BD297,IF(_xlfn.XLOOKUP(B297,Animals!B:B,Animals!AO:AO)&gt;4,AVERAGE(BD297,BF297),BF297))))</f>
        <v>No</v>
      </c>
      <c r="BD297" s="8">
        <f t="shared" si="146"/>
        <v>6.0564190554255397</v>
      </c>
      <c r="BE297" s="8">
        <f>IF(_xlfn.XLOOKUP(E297,Groups!A:A,Groups!BE:BE)=1,(0.048*C297^1.01)+(0.071*C297^1.03),0.071*C297^1.03)/IF(_xlfn.XLOOKUP(E297,Groups!A:A,Groups!M:M)=1,0.85,IF(OR(_xlfn.XLOOKUP(B297,Animals!B:B,Animals!AO:AO)&gt;4,_xlfn.XLOOKUP(E297,Groups!A:A,Groups!BC:BC)=1),1.7,1))*C297^-0.25</f>
        <v>13.051743751412893</v>
      </c>
      <c r="BF297" s="8">
        <f>(0.048*C297^1.01)/IF(_xlfn.XLOOKUP(E297,Groups!A:A,Groups!M:M)=1,0.25,0.8)*C297^-0.25</f>
        <v>9.6493851304357605</v>
      </c>
      <c r="BG297" s="8">
        <f>EXP(1.076*LN(AR297)-4.5397)*IF(_xlfn.XLOOKUP(E297,Groups!A:A,Groups!BC:BC)=1,1.25,IF(_xlfn.XLOOKUP(E297,Groups!A:A,Groups!BD:BD)=1,3.5,2.5))</f>
        <v>855.69295489233104</v>
      </c>
      <c r="BH297" s="8">
        <f>EXP(1.076*LN(AS297)-4.5397)*IF(_xlfn.XLOOKUP(E297,Groups!A:A,Groups!M:M)=1,0.8,IF(_xlfn.XLOOKUP(E297,Groups!A:A,Groups!BC:BC)=1,1.3,3))</f>
        <v>958.91244802824076</v>
      </c>
      <c r="BI297" s="8" t="str">
        <f>IF(W297="No","No",IF(_xlfn.XLOOKUP(E297,Groups!A:A,Groups!U:U)=1,'Base stats'!BJ297,IF(OR(_xlfn.XLOOKUP(E297,Groups!A:A,Groups!BD:BD)=1,_xlfn.XLOOKUP(E297,Groups!A:A,Groups!U:U)=2),BG297,BH297))*1.2)</f>
        <v>No</v>
      </c>
      <c r="BJ297" s="8">
        <f>IFERROR(EXP(1.076*LN(AT297)-4.5397)*IF(_xlfn.XLOOKUP(E297,Groups!A:A,Groups!N:N)="Insect",1,IF(OR(_xlfn.XLOOKUP(E297,Groups!A:A,Groups!N:N)="Pig",_xlfn.XLOOKUP(E297,Groups!A:A,Groups!N:N)="StrongBitingHerbivore"),3.5,3.75)),"No")</f>
        <v>552.73355487751633</v>
      </c>
      <c r="BK297" s="8">
        <f t="shared" si="147"/>
        <v>16</v>
      </c>
      <c r="BL297" s="8">
        <f t="shared" si="148"/>
        <v>12</v>
      </c>
      <c r="BM297" s="8" t="str">
        <f t="shared" si="149"/>
        <v>No</v>
      </c>
      <c r="BN297" s="8">
        <f t="shared" si="150"/>
        <v>11</v>
      </c>
      <c r="BO297" s="8">
        <f t="shared" si="151"/>
        <v>14</v>
      </c>
      <c r="BP297" s="8" cm="1">
        <f t="array" ref="BP297">IF(AND(_xlfn.XLOOKUP('Base stats'!E297,Groups!A:A,Groups!AD:AD=0),_xlfn.XLOOKUP('Base stats'!E297,Groups!A:A,Groups!P:P=0)),"No",IF(U297="No",AVERAGE(EXP(-0.57+0.99*LN(C297)),EXP(0.32+0.67*LN(C297)))/IF(_xlfn.XLOOKUP(E297,Groups!A:A,Groups!AD:AD)=1,10,2),(0.7354*C297^0.4078)*2/IF(_xlfn.XLOOKUP(E297,Groups!A:A,Groups!BK:BK)=1,1000,100)/IF(_xlfn.XLOOKUP(E297,Groups!A:A,Groups!AJ:AJ)="Photonozoa",3,1)))</f>
        <v>136.1294450002996</v>
      </c>
      <c r="BQ297" s="8" t="str">
        <f>IF(W297="No","No",IF(_xlfn.XLOOKUP(E297,Groups!A:A,Groups!BD:BD)=1,(AO297*5%),EXP(0.7354*LN(C297)^0.4078)*2/IF(_xlfn.XLOOKUP(E297,Groups!A:A,Groups!BL:BL)=1,1000,100)/IF(_xlfn.XLOOKUP(E297,Groups!A:A,Groups!AJ:AJ)="Photonozoa",3,1)))</f>
        <v>No</v>
      </c>
      <c r="BR297" s="8">
        <f>IF(BJ297="No","No",IF(_xlfn.XLOOKUP(E297,Groups!A:A,Groups!BF:BF)=1,(0.0315*C297+2.1825)*2,(0.7354*C297^0.4078)*2)/IF(_xlfn.XLOOKUP(E297,Groups!A:A,Groups!BM:BM)=1,1000,100)/IF(_xlfn.XLOOKUP(E297,Groups!A:A,Groups!AJ:AJ)="Photonozoa",3,1))</f>
        <v>0.54764999999999997</v>
      </c>
      <c r="BS297" s="8">
        <f t="shared" si="152"/>
        <v>0.19999377668407753</v>
      </c>
      <c r="BT297" s="8">
        <f t="shared" si="153"/>
        <v>7.044122217835608</v>
      </c>
      <c r="BU297" s="8" t="str">
        <f t="shared" si="154"/>
        <v>No</v>
      </c>
      <c r="BV297" s="8">
        <f t="shared" si="155"/>
        <v>1009.2824885921964</v>
      </c>
      <c r="BW297" s="4">
        <v>0</v>
      </c>
      <c r="BX297" s="4">
        <v>1</v>
      </c>
    </row>
    <row r="298" spans="1:76" s="16" customFormat="1" x14ac:dyDescent="0.25">
      <c r="A298" s="26" t="s">
        <v>1444</v>
      </c>
      <c r="B298" s="6" t="s">
        <v>1640</v>
      </c>
      <c r="C298" s="7">
        <v>0.4</v>
      </c>
      <c r="D298" s="7" t="s">
        <v>528</v>
      </c>
      <c r="E298" s="7" t="str">
        <f>Groups!$A$51</f>
        <v>Rodent</v>
      </c>
      <c r="F298" s="7">
        <v>19</v>
      </c>
      <c r="G298" s="7">
        <f>42/365</f>
        <v>0.11506849315068493</v>
      </c>
      <c r="H298" s="7">
        <v>4</v>
      </c>
      <c r="I298" s="4">
        <v>0</v>
      </c>
      <c r="J298" s="7">
        <v>7</v>
      </c>
      <c r="K298" s="7" t="s">
        <v>1789</v>
      </c>
      <c r="L298" s="7">
        <v>10</v>
      </c>
      <c r="M298" s="7" t="s">
        <v>528</v>
      </c>
      <c r="N298" s="4">
        <v>0</v>
      </c>
      <c r="O298" s="4">
        <v>0</v>
      </c>
      <c r="P298" s="4">
        <v>0</v>
      </c>
      <c r="Q298" s="4">
        <v>0</v>
      </c>
      <c r="R298" s="4" t="s">
        <v>40</v>
      </c>
      <c r="S298" s="7">
        <f>_xlfn.XLOOKUP(B298,[1]TeethAdjusters!$A:$A,[1]BiteAdjusters!$C:$C,1)</f>
        <v>1</v>
      </c>
      <c r="T298" s="7">
        <f>_xlfn.XLOOKUP(B298,[1]TeethAdjusters!$A:$A,[1]TeethAdjusters!$B:$B,1)</f>
        <v>1</v>
      </c>
      <c r="U298" s="7" t="s">
        <v>45</v>
      </c>
      <c r="V298" s="7">
        <v>0.3</v>
      </c>
      <c r="W298" s="7" t="s">
        <v>45</v>
      </c>
      <c r="X298" s="7" t="s">
        <v>932</v>
      </c>
      <c r="Y298" s="4" t="s">
        <v>42</v>
      </c>
      <c r="Z298" s="4">
        <v>1</v>
      </c>
      <c r="AA298" s="4">
        <v>0</v>
      </c>
      <c r="AB298" s="4">
        <v>0</v>
      </c>
      <c r="AC298" s="4">
        <v>0</v>
      </c>
      <c r="AD298" s="4">
        <v>0</v>
      </c>
      <c r="AE298" s="4" t="s">
        <v>45</v>
      </c>
      <c r="AF298" s="4" t="s">
        <v>45</v>
      </c>
      <c r="AG298" s="49" t="s">
        <v>385</v>
      </c>
      <c r="AH298" s="4" t="str">
        <f>Animals!$C$35</f>
        <v>&lt;li&gt;Rat&lt;/li&gt;</v>
      </c>
      <c r="AI298" s="4">
        <v>0</v>
      </c>
      <c r="AJ298" s="4">
        <v>0</v>
      </c>
      <c r="AK298" s="4">
        <v>0</v>
      </c>
      <c r="AL298" s="4">
        <v>0</v>
      </c>
      <c r="AM298" s="4">
        <v>1</v>
      </c>
      <c r="AN298" s="44" t="s">
        <v>40</v>
      </c>
      <c r="AO298" s="8">
        <f t="shared" si="141"/>
        <v>611.87396305839911</v>
      </c>
      <c r="AP298" s="8">
        <f>IFERROR(C298*_xlfn.XLOOKUP(E298,Groups!A:A,Groups!K:K),0.106*C298^0.94)</f>
        <v>4.4796311621318328E-2</v>
      </c>
      <c r="AQ298" s="8">
        <f>AP298*10000/(_xlfn.XLOOKUP(E298,Groups!A:A,Groups!J:J)*AO298)</f>
        <v>0.67166665161101613</v>
      </c>
      <c r="AR298" s="8">
        <f t="shared" si="142"/>
        <v>25.07845770319501</v>
      </c>
      <c r="AS298" s="8">
        <f>IF(_xlfn.XLOOKUP(E298,Groups!A:A,Groups!M:M)=1,EXP(0.7444*LN('Base stats'!C298)+6.5696),EXP(0.7927*LN('Base stats'!C298)+4.28))</f>
        <v>34.940839692972176</v>
      </c>
      <c r="AT298" s="8">
        <f>IF(_xlfn.XLOOKUP(E298,Groups!A:A,Groups!N:N)="No","No",
IF(_xlfn.XLOOKUP(E298,Groups!A:A,Groups!N:N)="Crocodile",EXP(0.8129*LN(C298)+4.6742)*S298,
IF(_xlfn.XLOOKUP(E298,Groups!A:A,Groups!N:N)="Felid",EXP(0.7843*LN(C298)+4.7073)*S298,
IF(_xlfn.XLOOKUP(E298,Groups!A:A,Groups!N:N)="Canid",EXP(0.8367*LN(C298)+4.8763)*S298,
IF(_xlfn.XLOOKUP(E298,Groups!A:A,Groups!N:N)="Pig",EXP(0.3439*LN(C298)+6.8519)*S298,
IF(_xlfn.XLOOKUP(E298,Groups!A:A,Groups!N:N)="Rodent",EXP(0.5625*LN(C298)+4.3006)*S298,
IF(_xlfn.XLOOKUP(E298,Groups!A:A,Groups!N:N)="Primate",EXP(0.7847*LN(C298)+3.4931)*S298,
IF(_xlfn.XLOOKUP(E298,Groups!A:A,Groups!N:N)="MiscCarnivora",EXP(0.7486*LN(C298)+4.2207)*S298,
IF(_xlfn.XLOOKUP(E298,Groups!A:A,Groups!N:N)="Lizard",EXP(0.7733*LN(C298)+5.5303)*S298,
IF(_xlfn.XLOOKUP(E298,Groups!A:A,Groups!N:N)="Snake",50*C298^(2/3)*S298,
IF(_xlfn.XLOOKUP(E298,Groups!A:A,Groups!N:N)="StrongBitingHerbivore",87.1133638856975*C298^(2/3)*S298,
IF(_xlfn.XLOOKUP(E298,Groups!A:A,Groups!N:N)="MiscEctotherms",59.4316884072269*C298^(2/3)*S298,
IF(_xlfn.XLOOKUP(E298,Groups!A:A,Groups!N:N)="StrongBeakBird",0.041*(C298*1000)^1.375*S298,
IF(_xlfn.XLOOKUP(E298,Groups!A:A,Groups!N:N)="Bird",0.118*(C298*1000)^0.692*S298,
IF(_xlfn.XLOOKUP(E298,Groups!A:A,Groups!N:N)="Insect",EXP(0.7444*LN(C298)+6.5696)*S298,
IF(_xlfn.XLOOKUP(E298,Groups!A:A,Groups!N:N)="Theropod",EXP(0.6966*LN(C298)+4.158)*S298,
"No"))))))))))))))))</f>
        <v>44.043882361691658</v>
      </c>
      <c r="AU298" s="8">
        <f>IF(_xlfn.XLOOKUP(E298,Groups!A:A,Groups!U:U)=3,AS298,IF(_xlfn.XLOOKUP(E298,Groups!A:A,Groups!U:U)=2,AR298,AT298))</f>
        <v>44.043882361691658</v>
      </c>
      <c r="AV298" s="46">
        <f>IFERROR(AVERAGE(_xlfn.XLOOKUP(B298,Animals!B:B,Animals!N:N),_xlfn.XLOOKUP(B298,Animals!B:B,Animals!O:O)),0)</f>
        <v>0</v>
      </c>
      <c r="AW298" s="8">
        <f>MROUND(40*Animals!AO298*_xlfn.XLOOKUP(AG298,Leathers!$A$2:$A$99,Leathers!$B$2:$B$99,0)+(140*_xlfn.XLOOKUP(B298,Animals!B:B,Animals!AO:AO)*2),5)</f>
        <v>105</v>
      </c>
      <c r="AX298" s="8">
        <f>IFERROR(ROUND(SQRT(V298-1)*IF(_xlfn.XLOOKUP(E298,Groups!A:A,Groups!BF:BF)=0,2,1)*IF(_xlfn.XLOOKUP('Base stats'!E298,Groups!A:A,Groups!O:O)=0,1,0.1),1),0)</f>
        <v>0</v>
      </c>
      <c r="AY298" s="8">
        <f t="shared" si="143"/>
        <v>0</v>
      </c>
      <c r="AZ298" s="8">
        <f t="shared" si="144"/>
        <v>0</v>
      </c>
      <c r="BA298" s="8">
        <f t="shared" si="145"/>
        <v>0.4</v>
      </c>
      <c r="BB298" s="8">
        <f>IF(_xlfn.XLOOKUP(E298,Groups!A:A,Groups!N:N)="Insect",BD298*2.5,IFERROR(AVERAGE(BD298,AT298/9.81/IF(OR(_xlfn.XLOOKUP(E298,Groups!A:A,Groups!N:N)="Pig",_xlfn.XLOOKUP(E298,Groups!A:A,Groups!N:N)="StrongBitingHerbivore"),20,25))*C298^-0.135,BD298))</f>
        <v>0.11273305106882422</v>
      </c>
      <c r="BC298" s="8" t="str">
        <f>IF(W298="No","No",IF(_xlfn.XLOOKUP(E298,Groups!A:A,Groups!U:U)=1,'Base stats'!BB298,IF(OR(_xlfn.XLOOKUP(E298,Groups!A:A,Groups!BD:BD)=1,_xlfn.XLOOKUP(E298,Groups!A:A,Groups!U:U)=2),BD298,IF(_xlfn.XLOOKUP(B298,Animals!B:B,Animals!AO:AO)&gt;4,AVERAGE(BD298,BF298),BF298))))</f>
        <v>No</v>
      </c>
      <c r="BD298" s="8">
        <f t="shared" si="146"/>
        <v>1.9644424055407169E-2</v>
      </c>
      <c r="BE298" s="8">
        <f>IF(_xlfn.XLOOKUP(E298,Groups!A:A,Groups!BE:BE)=1,(0.048*C298^1.01)+(0.071*C298^1.03),0.071*C298^1.03)/IF(_xlfn.XLOOKUP(E298,Groups!A:A,Groups!M:M)=1,0.85,IF(OR(_xlfn.XLOOKUP(B298,Animals!B:B,Animals!AO:AO)&gt;4,_xlfn.XLOOKUP(E298,Groups!A:A,Groups!BC:BC)=1),1.7,1))*C298^-0.25</f>
        <v>3.4742826052974352E-2</v>
      </c>
      <c r="BF298" s="8">
        <f>(0.048*C298^1.01)/IF(_xlfn.XLOOKUP(E298,Groups!A:A,Groups!M:M)=1,0.25,0.8)*C298^-0.25</f>
        <v>2.9903143420697054E-2</v>
      </c>
      <c r="BG298" s="8">
        <f>EXP(1.076*LN(AR298)-4.5397)*IF(_xlfn.XLOOKUP(E298,Groups!A:A,Groups!BC:BC)=1,1.25,IF(_xlfn.XLOOKUP(E298,Groups!A:A,Groups!BD:BD)=1,3.5,2.5))</f>
        <v>0.8551081312769222</v>
      </c>
      <c r="BH298" s="8">
        <f>EXP(1.076*LN(AS298)-4.5397)*IF(_xlfn.XLOOKUP(E298,Groups!A:A,Groups!M:M)=1,0.8,IF(_xlfn.XLOOKUP(E298,Groups!A:A,Groups!BC:BC)=1,1.3,3))</f>
        <v>1.466159661440352</v>
      </c>
      <c r="BI298" s="8" t="str">
        <f>IF(W298="No","No",IF(_xlfn.XLOOKUP(E298,Groups!A:A,Groups!U:U)=1,'Base stats'!BJ298,IF(OR(_xlfn.XLOOKUP(E298,Groups!A:A,Groups!BD:BD)=1,_xlfn.XLOOKUP(E298,Groups!A:A,Groups!U:U)=2),BG298,BH298))*1.2)</f>
        <v>No</v>
      </c>
      <c r="BJ298" s="8">
        <f>IFERROR(EXP(1.076*LN(AT298)-4.5397)*IF(_xlfn.XLOOKUP(E298,Groups!A:A,Groups!N:N)="Insect",1,IF(OR(_xlfn.XLOOKUP(E298,Groups!A:A,Groups!N:N)="Pig",_xlfn.XLOOKUP(E298,Groups!A:A,Groups!N:N)="StrongBitingHerbivore"),3.5,3.75)),"No")</f>
        <v>2.3511779890924549</v>
      </c>
      <c r="BK298" s="8">
        <f t="shared" si="147"/>
        <v>9</v>
      </c>
      <c r="BL298" s="8">
        <f t="shared" si="148"/>
        <v>9</v>
      </c>
      <c r="BM298" s="8" t="str">
        <f t="shared" si="149"/>
        <v>No</v>
      </c>
      <c r="BN298" s="8">
        <f t="shared" si="150"/>
        <v>6</v>
      </c>
      <c r="BO298" s="8">
        <f t="shared" si="151"/>
        <v>9</v>
      </c>
      <c r="BP298" s="8" t="str" cm="1">
        <f t="array" ref="BP298">IF(AND(_xlfn.XLOOKUP('Base stats'!E298,Groups!A:A,Groups!AD:AD=0),_xlfn.XLOOKUP('Base stats'!E298,Groups!A:A,Groups!P:P=0)),"No",IF(U298="No",AVERAGE(EXP(-0.57+0.99*LN(C298)),EXP(0.32+0.67*LN(C298)))/IF(_xlfn.XLOOKUP(E298,Groups!A:A,Groups!AD:AD)=1,10,2),(0.7354*C298^0.4078)*2/IF(_xlfn.XLOOKUP(E298,Groups!A:A,Groups!BK:BK)=1,1000,100)/IF(_xlfn.XLOOKUP(E298,Groups!A:A,Groups!AJ:AJ)="Photonozoa",3,1)))</f>
        <v>No</v>
      </c>
      <c r="BQ298" s="8" t="str">
        <f>IF(W298="No","No",IF(_xlfn.XLOOKUP(E298,Groups!A:A,Groups!BD:BD)=1,(AO298*5%),EXP(0.7354*LN(C298)^0.4078)*2/IF(_xlfn.XLOOKUP(E298,Groups!A:A,Groups!BL:BL)=1,1000,100)/IF(_xlfn.XLOOKUP(E298,Groups!A:A,Groups!AJ:AJ)="Photonozoa",3,1)))</f>
        <v>No</v>
      </c>
      <c r="BR298" s="8">
        <f>IF(BJ298="No","No",IF(_xlfn.XLOOKUP(E298,Groups!A:A,Groups!BF:BF)=1,(0.0315*C298+2.1825)*2,(0.7354*C298^0.4078)*2)/IF(_xlfn.XLOOKUP(E298,Groups!A:A,Groups!BM:BM)=1,1000,100)/IF(_xlfn.XLOOKUP(E298,Groups!A:A,Groups!AJ:AJ)="Photonozoa",3,1))</f>
        <v>1.0122171368822279E-2</v>
      </c>
      <c r="BS298" s="8">
        <f t="shared" si="152"/>
        <v>2.7950466367378607E-2</v>
      </c>
      <c r="BT298" s="8" t="str">
        <f t="shared" si="153"/>
        <v>No</v>
      </c>
      <c r="BU298" s="8" t="str">
        <f t="shared" si="154"/>
        <v>No</v>
      </c>
      <c r="BV298" s="8">
        <f t="shared" si="155"/>
        <v>232.28000232582664</v>
      </c>
      <c r="BW298" s="4">
        <v>0</v>
      </c>
      <c r="BX298" s="4">
        <v>1</v>
      </c>
    </row>
    <row r="299" spans="1:76" s="16" customFormat="1" x14ac:dyDescent="0.25">
      <c r="A299" s="26" t="s">
        <v>1446</v>
      </c>
      <c r="B299" s="6" t="s">
        <v>1641</v>
      </c>
      <c r="C299" s="7">
        <v>0.35</v>
      </c>
      <c r="D299" s="7" t="s">
        <v>528</v>
      </c>
      <c r="E299" s="7" t="str">
        <f>Groups!$A$51</f>
        <v>Rodent</v>
      </c>
      <c r="F299" s="7">
        <v>19</v>
      </c>
      <c r="G299" s="7" t="s">
        <v>1700</v>
      </c>
      <c r="H299" s="7">
        <v>4</v>
      </c>
      <c r="I299" s="4">
        <v>0</v>
      </c>
      <c r="J299" s="7">
        <v>7</v>
      </c>
      <c r="K299" s="7" t="s">
        <v>1789</v>
      </c>
      <c r="L299" s="7">
        <v>10</v>
      </c>
      <c r="M299" s="7" t="s">
        <v>528</v>
      </c>
      <c r="N299" s="4">
        <v>0</v>
      </c>
      <c r="O299" s="4">
        <v>0</v>
      </c>
      <c r="P299" s="4">
        <v>0</v>
      </c>
      <c r="Q299" s="4">
        <v>0</v>
      </c>
      <c r="R299" s="4" t="s">
        <v>40</v>
      </c>
      <c r="S299" s="7">
        <f>_xlfn.XLOOKUP(B299,[1]TeethAdjusters!$A:$A,[1]BiteAdjusters!$C:$C,1)</f>
        <v>1</v>
      </c>
      <c r="T299" s="7">
        <f>_xlfn.XLOOKUP(B299,[1]TeethAdjusters!$A:$A,[1]TeethAdjusters!$B:$B,1)</f>
        <v>1</v>
      </c>
      <c r="U299" s="7" t="s">
        <v>45</v>
      </c>
      <c r="V299" s="7">
        <v>0.3</v>
      </c>
      <c r="W299" s="7" t="s">
        <v>45</v>
      </c>
      <c r="X299" s="7" t="s">
        <v>932</v>
      </c>
      <c r="Y299" s="4" t="s">
        <v>42</v>
      </c>
      <c r="Z299" s="4">
        <v>1</v>
      </c>
      <c r="AA299" s="4">
        <v>0</v>
      </c>
      <c r="AB299" s="4">
        <v>0</v>
      </c>
      <c r="AC299" s="4">
        <v>0</v>
      </c>
      <c r="AD299" s="4">
        <v>0</v>
      </c>
      <c r="AE299" s="4" t="s">
        <v>45</v>
      </c>
      <c r="AF299" s="4" t="s">
        <v>45</v>
      </c>
      <c r="AG299" s="49" t="s">
        <v>385</v>
      </c>
      <c r="AH299" s="4" t="str">
        <f>Animals!$C$35</f>
        <v>&lt;li&gt;Rat&lt;/li&gt;</v>
      </c>
      <c r="AI299" s="4">
        <v>0</v>
      </c>
      <c r="AJ299" s="4">
        <v>0</v>
      </c>
      <c r="AK299" s="4">
        <v>0</v>
      </c>
      <c r="AL299" s="4">
        <v>0</v>
      </c>
      <c r="AM299" s="4">
        <v>1</v>
      </c>
      <c r="AN299" s="44" t="s">
        <v>40</v>
      </c>
      <c r="AO299" s="8">
        <f t="shared" si="141"/>
        <v>561.00561443729771</v>
      </c>
      <c r="AP299" s="8">
        <f>IFERROR(C299*_xlfn.XLOOKUP(E299,Groups!A:A,Groups!K:K),0.106*C299^0.94)</f>
        <v>3.9512074039432465E-2</v>
      </c>
      <c r="AQ299" s="8">
        <f>AP299*10000/(_xlfn.XLOOKUP(E299,Groups!A:A,Groups!J:J)*AO299)</f>
        <v>0.6461541253352292</v>
      </c>
      <c r="AR299" s="8">
        <f t="shared" si="142"/>
        <v>22.403456420322531</v>
      </c>
      <c r="AS299" s="8">
        <f>IF(_xlfn.XLOOKUP(E299,Groups!A:A,Groups!M:M)=1,EXP(0.7444*LN('Base stats'!C299)+6.5696),EXP(0.7927*LN('Base stats'!C299)+4.28))</f>
        <v>31.431356268348292</v>
      </c>
      <c r="AT299" s="8">
        <f>IF(_xlfn.XLOOKUP(E299,Groups!A:A,Groups!N:N)="No","No",
IF(_xlfn.XLOOKUP(E299,Groups!A:A,Groups!N:N)="Crocodile",EXP(0.8129*LN(C299)+4.6742)*S299,
IF(_xlfn.XLOOKUP(E299,Groups!A:A,Groups!N:N)="Felid",EXP(0.7843*LN(C299)+4.7073)*S299,
IF(_xlfn.XLOOKUP(E299,Groups!A:A,Groups!N:N)="Canid",EXP(0.8367*LN(C299)+4.8763)*S299,
IF(_xlfn.XLOOKUP(E299,Groups!A:A,Groups!N:N)="Pig",EXP(0.3439*LN(C299)+6.8519)*S299,
IF(_xlfn.XLOOKUP(E299,Groups!A:A,Groups!N:N)="Rodent",EXP(0.5625*LN(C299)+4.3006)*S299,
IF(_xlfn.XLOOKUP(E299,Groups!A:A,Groups!N:N)="Primate",EXP(0.7847*LN(C299)+3.4931)*S299,
IF(_xlfn.XLOOKUP(E299,Groups!A:A,Groups!N:N)="MiscCarnivora",EXP(0.7486*LN(C299)+4.2207)*S299,
IF(_xlfn.XLOOKUP(E299,Groups!A:A,Groups!N:N)="Lizard",EXP(0.7733*LN(C299)+5.5303)*S299,
IF(_xlfn.XLOOKUP(E299,Groups!A:A,Groups!N:N)="Snake",50*C299^(2/3)*S299,
IF(_xlfn.XLOOKUP(E299,Groups!A:A,Groups!N:N)="StrongBitingHerbivore",87.1133638856975*C299^(2/3)*S299,
IF(_xlfn.XLOOKUP(E299,Groups!A:A,Groups!N:N)="MiscEctotherms",59.4316884072269*C299^(2/3)*S299,
IF(_xlfn.XLOOKUP(E299,Groups!A:A,Groups!N:N)="StrongBeakBird",0.041*(C299*1000)^1.375*S299,
IF(_xlfn.XLOOKUP(E299,Groups!A:A,Groups!N:N)="Bird",0.118*(C299*1000)^0.692*S299,
IF(_xlfn.XLOOKUP(E299,Groups!A:A,Groups!N:N)="Insect",EXP(0.7444*LN(C299)+6.5696)*S299,
IF(_xlfn.XLOOKUP(E299,Groups!A:A,Groups!N:N)="Theropod",EXP(0.6966*LN(C299)+4.158)*S299,
"No"))))))))))))))))</f>
        <v>40.856872923265549</v>
      </c>
      <c r="AU299" s="8">
        <f>IF(_xlfn.XLOOKUP(E299,Groups!A:A,Groups!U:U)=3,AS299,IF(_xlfn.XLOOKUP(E299,Groups!A:A,Groups!U:U)=2,AR299,AT299))</f>
        <v>40.856872923265549</v>
      </c>
      <c r="AV299" s="46">
        <f>IFERROR(AVERAGE(_xlfn.XLOOKUP(B299,Animals!B:B,Animals!N:N),_xlfn.XLOOKUP(B299,Animals!B:B,Animals!O:O)),0)</f>
        <v>0</v>
      </c>
      <c r="AW299" s="8">
        <f>MROUND(40*Animals!AO299*_xlfn.XLOOKUP(AG299,Leathers!$A$2:$A$99,Leathers!$B$2:$B$99,0)+(140*_xlfn.XLOOKUP(B299,Animals!B:B,Animals!AO:AO)*2),5)</f>
        <v>75</v>
      </c>
      <c r="AX299" s="8">
        <f>IFERROR(ROUND(SQRT(V299-1)*IF(_xlfn.XLOOKUP(E299,Groups!A:A,Groups!BF:BF)=0,2,1)*IF(_xlfn.XLOOKUP('Base stats'!E299,Groups!A:A,Groups!O:O)=0,1,0.1),1),0)</f>
        <v>0</v>
      </c>
      <c r="AY299" s="8">
        <f t="shared" si="143"/>
        <v>0</v>
      </c>
      <c r="AZ299" s="8">
        <f t="shared" si="144"/>
        <v>0</v>
      </c>
      <c r="BA299" s="8">
        <f t="shared" si="145"/>
        <v>0.4</v>
      </c>
      <c r="BB299" s="8">
        <f>IF(_xlfn.XLOOKUP(E299,Groups!A:A,Groups!N:N)="Insect",BD299*2.5,IFERROR(AVERAGE(BD299,AT299/9.81/IF(OR(_xlfn.XLOOKUP(E299,Groups!A:A,Groups!N:N)="Pig",_xlfn.XLOOKUP(E299,Groups!A:A,Groups!N:N)="StrongBitingHerbivore"),20,25))*C299^-0.135,BD299))</f>
        <v>0.10621289145558502</v>
      </c>
      <c r="BC299" s="8" t="str">
        <f>IF(W299="No","No",IF(_xlfn.XLOOKUP(E299,Groups!A:A,Groups!U:U)=1,'Base stats'!BB299,IF(OR(_xlfn.XLOOKUP(E299,Groups!A:A,Groups!BD:BD)=1,_xlfn.XLOOKUP(E299,Groups!A:A,Groups!U:U)=2),BD299,IF(_xlfn.XLOOKUP(B299,Animals!B:B,Animals!AO:AO)&gt;4,AVERAGE(BD299,BF299),BF299))))</f>
        <v>No</v>
      </c>
      <c r="BD299" s="8">
        <f t="shared" si="146"/>
        <v>1.7762879615346432E-2</v>
      </c>
      <c r="BE299" s="8">
        <f>IF(_xlfn.XLOOKUP(E299,Groups!A:A,Groups!BE:BE)=1,(0.048*C299^1.01)+(0.071*C299^1.03),0.071*C299^1.03)/IF(_xlfn.XLOOKUP(E299,Groups!A:A,Groups!M:M)=1,0.85,IF(OR(_xlfn.XLOOKUP(B299,Animals!B:B,Animals!AO:AO)&gt;4,_xlfn.XLOOKUP(E299,Groups!A:A,Groups!BC:BC)=1),1.7,1))*C299^-0.25</f>
        <v>3.1306276980005751E-2</v>
      </c>
      <c r="BF299" s="8">
        <f>(0.048*C299^1.01)/IF(_xlfn.XLOOKUP(E299,Groups!A:A,Groups!M:M)=1,0.25,0.8)*C299^-0.25</f>
        <v>2.7017363383868932E-2</v>
      </c>
      <c r="BG299" s="8">
        <f>EXP(1.076*LN(AR299)-4.5397)*IF(_xlfn.XLOOKUP(E299,Groups!A:A,Groups!BC:BC)=1,1.25,IF(_xlfn.XLOOKUP(E299,Groups!A:A,Groups!BD:BD)=1,3.5,2.5))</f>
        <v>0.75737735857260691</v>
      </c>
      <c r="BH299" s="8">
        <f>EXP(1.076*LN(AS299)-4.5397)*IF(_xlfn.XLOOKUP(E299,Groups!A:A,Groups!M:M)=1,0.8,IF(_xlfn.XLOOKUP(E299,Groups!A:A,Groups!BC:BC)=1,1.3,3))</f>
        <v>1.3083300417760828</v>
      </c>
      <c r="BI299" s="8" t="str">
        <f>IF(W299="No","No",IF(_xlfn.XLOOKUP(E299,Groups!A:A,Groups!U:U)=1,'Base stats'!BJ299,IF(OR(_xlfn.XLOOKUP(E299,Groups!A:A,Groups!BD:BD)=1,_xlfn.XLOOKUP(E299,Groups!A:A,Groups!U:U)=2),BG299,BH299))*1.2)</f>
        <v>No</v>
      </c>
      <c r="BJ299" s="8">
        <f>IFERROR(EXP(1.076*LN(AT299)-4.5397)*IF(_xlfn.XLOOKUP(E299,Groups!A:A,Groups!N:N)="Insect",1,IF(OR(_xlfn.XLOOKUP(E299,Groups!A:A,Groups!N:N)="Pig",_xlfn.XLOOKUP(E299,Groups!A:A,Groups!N:N)="StrongBitingHerbivore"),3.5,3.75)),"No")</f>
        <v>2.1686320978456428</v>
      </c>
      <c r="BK299" s="8">
        <f t="shared" si="147"/>
        <v>9</v>
      </c>
      <c r="BL299" s="8">
        <f t="shared" si="148"/>
        <v>9</v>
      </c>
      <c r="BM299" s="8" t="str">
        <f t="shared" si="149"/>
        <v>No</v>
      </c>
      <c r="BN299" s="8">
        <f t="shared" si="150"/>
        <v>6</v>
      </c>
      <c r="BO299" s="8">
        <f t="shared" si="151"/>
        <v>9</v>
      </c>
      <c r="BP299" s="8" t="str" cm="1">
        <f t="array" ref="BP299">IF(AND(_xlfn.XLOOKUP('Base stats'!E299,Groups!A:A,Groups!AD:AD=0),_xlfn.XLOOKUP('Base stats'!E299,Groups!A:A,Groups!P:P=0)),"No",IF(U299="No",AVERAGE(EXP(-0.57+0.99*LN(C299)),EXP(0.32+0.67*LN(C299)))/IF(_xlfn.XLOOKUP(E299,Groups!A:A,Groups!AD:AD)=1,10,2),(0.7354*C299^0.4078)*2/IF(_xlfn.XLOOKUP(E299,Groups!A:A,Groups!BK:BK)=1,1000,100)/IF(_xlfn.XLOOKUP(E299,Groups!A:A,Groups!AJ:AJ)="Photonozoa",3,1)))</f>
        <v>No</v>
      </c>
      <c r="BQ299" s="8" t="str">
        <f>IF(W299="No","No",IF(_xlfn.XLOOKUP(E299,Groups!A:A,Groups!BD:BD)=1,(AO299*5%),EXP(0.7354*LN(C299)^0.4078)*2/IF(_xlfn.XLOOKUP(E299,Groups!A:A,Groups!BL:BL)=1,1000,100)/IF(_xlfn.XLOOKUP(E299,Groups!A:A,Groups!AJ:AJ)="Photonozoa",3,1)))</f>
        <v>No</v>
      </c>
      <c r="BR299" s="8">
        <f>IF(BJ299="No","No",IF(_xlfn.XLOOKUP(E299,Groups!A:A,Groups!BF:BF)=1,(0.0315*C299+2.1825)*2,(0.7354*C299^0.4078)*2)/IF(_xlfn.XLOOKUP(E299,Groups!A:A,Groups!BM:BM)=1,1000,100)/IF(_xlfn.XLOOKUP(E299,Groups!A:A,Groups!AJ:AJ)="Photonozoa",3,1))</f>
        <v>9.5857162617725093E-3</v>
      </c>
      <c r="BS299" s="8">
        <f t="shared" si="152"/>
        <v>2.7000705129565407E-2</v>
      </c>
      <c r="BT299" s="8" t="str">
        <f t="shared" si="153"/>
        <v>No</v>
      </c>
      <c r="BU299" s="8" t="str">
        <f t="shared" si="154"/>
        <v>No</v>
      </c>
      <c r="BV299" s="8">
        <f t="shared" si="155"/>
        <v>226.23579069349981</v>
      </c>
      <c r="BW299" s="4">
        <v>0</v>
      </c>
      <c r="BX299" s="4">
        <v>1</v>
      </c>
    </row>
    <row r="300" spans="1:76" s="16" customFormat="1" x14ac:dyDescent="0.25">
      <c r="A300" s="26" t="s">
        <v>1448</v>
      </c>
      <c r="B300" s="6" t="s">
        <v>1642</v>
      </c>
      <c r="C300" s="7">
        <v>0.3</v>
      </c>
      <c r="D300" s="7" t="s">
        <v>528</v>
      </c>
      <c r="E300" s="7" t="str">
        <f>Groups!$A$51</f>
        <v>Rodent</v>
      </c>
      <c r="F300" s="7">
        <v>19</v>
      </c>
      <c r="G300" s="7" t="s">
        <v>1700</v>
      </c>
      <c r="H300" s="7">
        <v>4</v>
      </c>
      <c r="I300" s="4">
        <v>0</v>
      </c>
      <c r="J300" s="7">
        <v>7</v>
      </c>
      <c r="K300" s="7" t="s">
        <v>1789</v>
      </c>
      <c r="L300" s="7">
        <v>10</v>
      </c>
      <c r="M300" s="7" t="s">
        <v>528</v>
      </c>
      <c r="N300" s="4">
        <v>0</v>
      </c>
      <c r="O300" s="4">
        <v>0</v>
      </c>
      <c r="P300" s="4">
        <v>0</v>
      </c>
      <c r="Q300" s="4">
        <v>0</v>
      </c>
      <c r="R300" s="4" t="s">
        <v>40</v>
      </c>
      <c r="S300" s="7">
        <f>_xlfn.XLOOKUP(B300,[1]TeethAdjusters!$A:$A,[1]BiteAdjusters!$C:$C,1)</f>
        <v>1</v>
      </c>
      <c r="T300" s="7">
        <f>_xlfn.XLOOKUP(B300,[1]TeethAdjusters!$A:$A,[1]TeethAdjusters!$B:$B,1)</f>
        <v>1</v>
      </c>
      <c r="U300" s="7" t="s">
        <v>45</v>
      </c>
      <c r="V300" s="7">
        <v>0.3</v>
      </c>
      <c r="W300" s="7" t="s">
        <v>45</v>
      </c>
      <c r="X300" s="7" t="s">
        <v>932</v>
      </c>
      <c r="Y300" s="4" t="s">
        <v>42</v>
      </c>
      <c r="Z300" s="4">
        <v>1</v>
      </c>
      <c r="AA300" s="4">
        <v>0</v>
      </c>
      <c r="AB300" s="4">
        <v>0</v>
      </c>
      <c r="AC300" s="4">
        <v>0</v>
      </c>
      <c r="AD300" s="4">
        <v>0</v>
      </c>
      <c r="AE300" s="4" t="s">
        <v>45</v>
      </c>
      <c r="AF300" s="4" t="s">
        <v>45</v>
      </c>
      <c r="AG300" s="49" t="s">
        <v>385</v>
      </c>
      <c r="AH300" s="4" t="str">
        <f>Animals!$C$35</f>
        <v>&lt;li&gt;Rat&lt;/li&gt;</v>
      </c>
      <c r="AI300" s="4">
        <v>0</v>
      </c>
      <c r="AJ300" s="4">
        <v>0</v>
      </c>
      <c r="AK300" s="4">
        <v>0</v>
      </c>
      <c r="AL300" s="4">
        <v>0</v>
      </c>
      <c r="AM300" s="4">
        <v>1</v>
      </c>
      <c r="AN300" s="44" t="s">
        <v>40</v>
      </c>
      <c r="AO300" s="8">
        <f t="shared" si="141"/>
        <v>507.51840257727082</v>
      </c>
      <c r="AP300" s="8">
        <f>IFERROR(C300*_xlfn.XLOOKUP(E300,Groups!A:A,Groups!K:K),0.106*C300^0.94)</f>
        <v>3.4182186918603891E-2</v>
      </c>
      <c r="AQ300" s="8">
        <f>AP300*10000/(_xlfn.XLOOKUP(E300,Groups!A:A,Groups!J:J)*AO300)</f>
        <v>0.61790477652100573</v>
      </c>
      <c r="AR300" s="8">
        <f t="shared" si="142"/>
        <v>19.668220728047135</v>
      </c>
      <c r="AS300" s="8">
        <f>IF(_xlfn.XLOOKUP(E300,Groups!A:A,Groups!M:M)=1,EXP(0.7444*LN('Base stats'!C300)+6.5696),EXP(0.7927*LN('Base stats'!C300)+4.28))</f>
        <v>27.81598228970504</v>
      </c>
      <c r="AT300" s="8">
        <f>IF(_xlfn.XLOOKUP(E300,Groups!A:A,Groups!N:N)="No","No",
IF(_xlfn.XLOOKUP(E300,Groups!A:A,Groups!N:N)="Crocodile",EXP(0.8129*LN(C300)+4.6742)*S300,
IF(_xlfn.XLOOKUP(E300,Groups!A:A,Groups!N:N)="Felid",EXP(0.7843*LN(C300)+4.7073)*S300,
IF(_xlfn.XLOOKUP(E300,Groups!A:A,Groups!N:N)="Canid",EXP(0.8367*LN(C300)+4.8763)*S300,
IF(_xlfn.XLOOKUP(E300,Groups!A:A,Groups!N:N)="Pig",EXP(0.3439*LN(C300)+6.8519)*S300,
IF(_xlfn.XLOOKUP(E300,Groups!A:A,Groups!N:N)="Rodent",EXP(0.5625*LN(C300)+4.3006)*S300,
IF(_xlfn.XLOOKUP(E300,Groups!A:A,Groups!N:N)="Primate",EXP(0.7847*LN(C300)+3.4931)*S300,
IF(_xlfn.XLOOKUP(E300,Groups!A:A,Groups!N:N)="MiscCarnivora",EXP(0.7486*LN(C300)+4.2207)*S300,
IF(_xlfn.XLOOKUP(E300,Groups!A:A,Groups!N:N)="Lizard",EXP(0.7733*LN(C300)+5.5303)*S300,
IF(_xlfn.XLOOKUP(E300,Groups!A:A,Groups!N:N)="Snake",50*C300^(2/3)*S300,
IF(_xlfn.XLOOKUP(E300,Groups!A:A,Groups!N:N)="StrongBitingHerbivore",87.1133638856975*C300^(2/3)*S300,
IF(_xlfn.XLOOKUP(E300,Groups!A:A,Groups!N:N)="MiscEctotherms",59.4316884072269*C300^(2/3)*S300,
IF(_xlfn.XLOOKUP(E300,Groups!A:A,Groups!N:N)="StrongBeakBird",0.041*(C300*1000)^1.375*S300,
IF(_xlfn.XLOOKUP(E300,Groups!A:A,Groups!N:N)="Bird",0.118*(C300*1000)^0.692*S300,
IF(_xlfn.XLOOKUP(E300,Groups!A:A,Groups!N:N)="Insect",EXP(0.7444*LN(C300)+6.5696)*S300,
IF(_xlfn.XLOOKUP(E300,Groups!A:A,Groups!N:N)="Theropod",EXP(0.6966*LN(C300)+4.158)*S300,
"No"))))))))))))))))</f>
        <v>37.463431513791804</v>
      </c>
      <c r="AU300" s="8">
        <f>IF(_xlfn.XLOOKUP(E300,Groups!A:A,Groups!U:U)=3,AS300,IF(_xlfn.XLOOKUP(E300,Groups!A:A,Groups!U:U)=2,AR300,AT300))</f>
        <v>37.463431513791804</v>
      </c>
      <c r="AV300" s="46">
        <f>IFERROR(AVERAGE(_xlfn.XLOOKUP(B300,Animals!B:B,Animals!N:N),_xlfn.XLOOKUP(B300,Animals!B:B,Animals!O:O)),0)</f>
        <v>0</v>
      </c>
      <c r="AW300" s="8">
        <f>MROUND(40*Animals!AO300*_xlfn.XLOOKUP(AG300,Leathers!$A$2:$A$99,Leathers!$B$2:$B$99,0)+(140*_xlfn.XLOOKUP(B300,Animals!B:B,Animals!AO:AO)*2),5)</f>
        <v>520</v>
      </c>
      <c r="AX300" s="8">
        <f>IFERROR(ROUND(SQRT(V300-1)*IF(_xlfn.XLOOKUP(E300,Groups!A:A,Groups!BF:BF)=0,2,1)*IF(_xlfn.XLOOKUP('Base stats'!E300,Groups!A:A,Groups!O:O)=0,1,0.1),1),0)</f>
        <v>0</v>
      </c>
      <c r="AY300" s="8">
        <f t="shared" si="143"/>
        <v>0</v>
      </c>
      <c r="AZ300" s="8">
        <f t="shared" si="144"/>
        <v>0</v>
      </c>
      <c r="BA300" s="8">
        <f t="shared" si="145"/>
        <v>0.4</v>
      </c>
      <c r="BB300" s="8">
        <f>IF(_xlfn.XLOOKUP(E300,Groups!A:A,Groups!N:N)="Insect",BD300*2.5,IFERROR(AVERAGE(BD300,AT300/9.81/IF(OR(_xlfn.XLOOKUP(E300,Groups!A:A,Groups!N:N)="Pig",_xlfn.XLOOKUP(E300,Groups!A:A,Groups!N:N)="StrongBitingHerbivore"),20,25))*C300^-0.135,BD300))</f>
        <v>9.9160469129500592E-2</v>
      </c>
      <c r="BC300" s="8" t="str">
        <f>IF(W300="No","No",IF(_xlfn.XLOOKUP(E300,Groups!A:A,Groups!U:U)=1,'Base stats'!BB300,IF(OR(_xlfn.XLOOKUP(E300,Groups!A:A,Groups!BD:BD)=1,_xlfn.XLOOKUP(E300,Groups!A:A,Groups!U:U)=2),BD300,IF(_xlfn.XLOOKUP(B300,Animals!B:B,Animals!AO:AO)&gt;4,AVERAGE(BD300,BF300),BF300))))</f>
        <v>No</v>
      </c>
      <c r="BD300" s="8">
        <f t="shared" si="146"/>
        <v>1.581377273367229E-2</v>
      </c>
      <c r="BE300" s="8">
        <f>IF(_xlfn.XLOOKUP(E300,Groups!A:A,Groups!BE:BE)=1,(0.048*C300^1.01)+(0.071*C300^1.03),0.071*C300^1.03)/IF(_xlfn.XLOOKUP(E300,Groups!A:A,Groups!M:M)=1,0.85,IF(OR(_xlfn.XLOOKUP(B300,Animals!B:B,Animals!AO:AO)&gt;4,_xlfn.XLOOKUP(E300,Groups!A:A,Groups!BC:BC)=1),1.7,1))*C300^-0.25</f>
        <v>2.7759582326972801E-2</v>
      </c>
      <c r="BF300" s="8">
        <f>(0.048*C300^1.01)/IF(_xlfn.XLOOKUP(E300,Groups!A:A,Groups!M:M)=1,0.25,0.8)*C300^-0.25</f>
        <v>2.4030533019811343E-2</v>
      </c>
      <c r="BG300" s="8">
        <f>EXP(1.076*LN(AR300)-4.5397)*IF(_xlfn.XLOOKUP(E300,Groups!A:A,Groups!BC:BC)=1,1.25,IF(_xlfn.XLOOKUP(E300,Groups!A:A,Groups!BD:BD)=1,3.5,2.5))</f>
        <v>0.6583617156570799</v>
      </c>
      <c r="BH300" s="8">
        <f>EXP(1.076*LN(AS300)-4.5397)*IF(_xlfn.XLOOKUP(E300,Groups!A:A,Groups!M:M)=1,0.8,IF(_xlfn.XLOOKUP(E300,Groups!A:A,Groups!BC:BC)=1,1.3,3))</f>
        <v>1.1471372193905376</v>
      </c>
      <c r="BI300" s="8" t="str">
        <f>IF(W300="No","No",IF(_xlfn.XLOOKUP(E300,Groups!A:A,Groups!U:U)=1,'Base stats'!BJ300,IF(OR(_xlfn.XLOOKUP(E300,Groups!A:A,Groups!BD:BD)=1,_xlfn.XLOOKUP(E300,Groups!A:A,Groups!U:U)=2),BG300,BH300))*1.2)</f>
        <v>No</v>
      </c>
      <c r="BJ300" s="8">
        <f>IFERROR(EXP(1.076*LN(AT300)-4.5397)*IF(_xlfn.XLOOKUP(E300,Groups!A:A,Groups!N:N)="Insect",1,IF(OR(_xlfn.XLOOKUP(E300,Groups!A:A,Groups!N:N)="Pig",_xlfn.XLOOKUP(E300,Groups!A:A,Groups!N:N)="StrongBitingHerbivore"),3.5,3.75)),"No")</f>
        <v>1.9754513426409921</v>
      </c>
      <c r="BK300" s="8">
        <f t="shared" si="147"/>
        <v>9</v>
      </c>
      <c r="BL300" s="8">
        <f t="shared" si="148"/>
        <v>9</v>
      </c>
      <c r="BM300" s="8" t="str">
        <f t="shared" si="149"/>
        <v>No</v>
      </c>
      <c r="BN300" s="8">
        <f t="shared" si="150"/>
        <v>6</v>
      </c>
      <c r="BO300" s="8">
        <f t="shared" si="151"/>
        <v>9</v>
      </c>
      <c r="BP300" s="8" t="str" cm="1">
        <f t="array" ref="BP300">IF(AND(_xlfn.XLOOKUP('Base stats'!E300,Groups!A:A,Groups!AD:AD=0),_xlfn.XLOOKUP('Base stats'!E300,Groups!A:A,Groups!P:P=0)),"No",IF(U300="No",AVERAGE(EXP(-0.57+0.99*LN(C300)),EXP(0.32+0.67*LN(C300)))/IF(_xlfn.XLOOKUP(E300,Groups!A:A,Groups!AD:AD)=1,10,2),(0.7354*C300^0.4078)*2/IF(_xlfn.XLOOKUP(E300,Groups!A:A,Groups!BK:BK)=1,1000,100)/IF(_xlfn.XLOOKUP(E300,Groups!A:A,Groups!AJ:AJ)="Photonozoa",3,1)))</f>
        <v>No</v>
      </c>
      <c r="BQ300" s="8" t="str">
        <f>IF(W300="No","No",IF(_xlfn.XLOOKUP(E300,Groups!A:A,Groups!BD:BD)=1,(AO300*5%),EXP(0.7354*LN(C300)^0.4078)*2/IF(_xlfn.XLOOKUP(E300,Groups!A:A,Groups!BL:BL)=1,1000,100)/IF(_xlfn.XLOOKUP(E300,Groups!A:A,Groups!AJ:AJ)="Photonozoa",3,1)))</f>
        <v>No</v>
      </c>
      <c r="BR300" s="8">
        <f>IF(BJ300="No","No",IF(_xlfn.XLOOKUP(E300,Groups!A:A,Groups!BF:BF)=1,(0.0315*C300+2.1825)*2,(0.7354*C300^0.4078)*2)/IF(_xlfn.XLOOKUP(E300,Groups!A:A,Groups!BM:BM)=1,1000,100)/IF(_xlfn.XLOOKUP(E300,Groups!A:A,Groups!AJ:AJ)="Photonozoa",3,1))</f>
        <v>9.0016820456507111E-3</v>
      </c>
      <c r="BS300" s="8">
        <f t="shared" si="152"/>
        <v>2.5944348512834187E-2</v>
      </c>
      <c r="BT300" s="8" t="str">
        <f t="shared" si="153"/>
        <v>No</v>
      </c>
      <c r="BU300" s="8" t="str">
        <f t="shared" si="154"/>
        <v>No</v>
      </c>
      <c r="BV300" s="8">
        <f t="shared" si="155"/>
        <v>219.45357907808565</v>
      </c>
      <c r="BW300" s="4">
        <v>0</v>
      </c>
      <c r="BX300" s="4">
        <v>1</v>
      </c>
    </row>
    <row r="301" spans="1:76" s="16" customFormat="1" x14ac:dyDescent="0.25">
      <c r="A301" s="26" t="s">
        <v>1480</v>
      </c>
      <c r="B301" s="6" t="s">
        <v>1653</v>
      </c>
      <c r="C301" s="7">
        <v>225</v>
      </c>
      <c r="D301" s="7" t="s">
        <v>528</v>
      </c>
      <c r="E301" s="7" t="str">
        <f>Groups!$A$51</f>
        <v>Rodent</v>
      </c>
      <c r="F301" s="7">
        <f>ROUND(7.545*(C301*1000)^0.2689,0)</f>
        <v>207</v>
      </c>
      <c r="G301" s="7">
        <v>5</v>
      </c>
      <c r="H301" s="7">
        <v>30</v>
      </c>
      <c r="I301" s="4">
        <v>1</v>
      </c>
      <c r="J301" s="7">
        <v>1</v>
      </c>
      <c r="K301" s="7" t="s">
        <v>528</v>
      </c>
      <c r="L301" s="7">
        <v>18</v>
      </c>
      <c r="M301" s="7" t="s">
        <v>528</v>
      </c>
      <c r="N301" s="4">
        <v>0</v>
      </c>
      <c r="O301" s="4">
        <v>1</v>
      </c>
      <c r="P301" s="4">
        <v>0</v>
      </c>
      <c r="Q301" s="4">
        <v>0</v>
      </c>
      <c r="R301" s="4" t="s">
        <v>40</v>
      </c>
      <c r="S301" s="7">
        <f>_xlfn.XLOOKUP(B301,[1]TeethAdjusters!$A:$A,[1]BiteAdjusters!$C:$C,1)</f>
        <v>1.0425371059413748</v>
      </c>
      <c r="T301" s="7">
        <f>_xlfn.XLOOKUP(B301,[1]TeethAdjusters!$A:$A,[1]TeethAdjusters!$B:$B,1)</f>
        <v>1.038364019968949</v>
      </c>
      <c r="U301" s="7">
        <v>12</v>
      </c>
      <c r="V301" s="7">
        <v>10</v>
      </c>
      <c r="W301" s="7" t="str">
        <f>IF(_xlfn.XLOOKUP(E301,Groups!A:A,Groups!V:V)&lt;&gt;"No","Need a formula","No")</f>
        <v>No</v>
      </c>
      <c r="X301" s="7" t="s">
        <v>932</v>
      </c>
      <c r="Y301" s="4" t="s">
        <v>42</v>
      </c>
      <c r="Z301" s="4">
        <v>1</v>
      </c>
      <c r="AA301" s="4">
        <v>0</v>
      </c>
      <c r="AB301" s="4">
        <v>0</v>
      </c>
      <c r="AC301" s="4">
        <v>0</v>
      </c>
      <c r="AD301" s="4">
        <v>0</v>
      </c>
      <c r="AE301" s="4" t="s">
        <v>1044</v>
      </c>
      <c r="AF301" s="4" t="s">
        <v>1793</v>
      </c>
      <c r="AG301" s="49" t="s">
        <v>392</v>
      </c>
      <c r="AH301" s="4" t="s">
        <v>45</v>
      </c>
      <c r="AI301" s="4">
        <v>0</v>
      </c>
      <c r="AJ301" s="4">
        <v>0</v>
      </c>
      <c r="AK301" s="4">
        <v>0</v>
      </c>
      <c r="AL301" s="4">
        <v>0</v>
      </c>
      <c r="AM301" s="4">
        <v>1</v>
      </c>
      <c r="AN301" s="44" t="s">
        <v>40</v>
      </c>
      <c r="AO301" s="8">
        <f t="shared" si="141"/>
        <v>37518.167291030215</v>
      </c>
      <c r="AP301" s="8">
        <f>IFERROR(C301*_xlfn.XLOOKUP(E301,Groups!A:A,Groups!K:K),0.106*C301^0.94)</f>
        <v>17.232862875886827</v>
      </c>
      <c r="AQ301" s="8">
        <f>AP301*10000/(_xlfn.XLOOKUP(E301,Groups!A:A,Groups!J:J)*AO301)</f>
        <v>4.213949423099991</v>
      </c>
      <c r="AR301" s="8">
        <f t="shared" si="142"/>
        <v>5276.2980808141829</v>
      </c>
      <c r="AS301" s="8">
        <f>IF(_xlfn.XLOOKUP(E301,Groups!A:A,Groups!M:M)=1,EXP(0.7444*LN('Base stats'!C301)+6.5696),EXP(0.7927*LN('Base stats'!C301)+4.28))</f>
        <v>5288.7795472348907</v>
      </c>
      <c r="AT301" s="8">
        <f>IF(_xlfn.XLOOKUP(E301,Groups!A:A,Groups!N:N)="No","No",
IF(_xlfn.XLOOKUP(E301,Groups!A:A,Groups!N:N)="Crocodile",EXP(0.8129*LN(C301)+4.6742)*S301,
IF(_xlfn.XLOOKUP(E301,Groups!A:A,Groups!N:N)="Felid",EXP(0.7843*LN(C301)+4.7073)*S301,
IF(_xlfn.XLOOKUP(E301,Groups!A:A,Groups!N:N)="Canid",EXP(0.8367*LN(C301)+4.8763)*S301,
IF(_xlfn.XLOOKUP(E301,Groups!A:A,Groups!N:N)="Pig",EXP(0.3439*LN(C301)+6.8519)*S301,
IF(_xlfn.XLOOKUP(E301,Groups!A:A,Groups!N:N)="Rodent",EXP(0.5625*LN(C301)+4.3006)*S301,
IF(_xlfn.XLOOKUP(E301,Groups!A:A,Groups!N:N)="Primate",EXP(0.7847*LN(C301)+3.4931)*S301,
IF(_xlfn.XLOOKUP(E301,Groups!A:A,Groups!N:N)="MiscCarnivora",EXP(0.7486*LN(C301)+4.2207)*S301,
IF(_xlfn.XLOOKUP(E301,Groups!A:A,Groups!N:N)="Lizard",EXP(0.7733*LN(C301)+5.5303)*S301,
IF(_xlfn.XLOOKUP(E301,Groups!A:A,Groups!N:N)="Snake",50*C301^(2/3)*S301,
IF(_xlfn.XLOOKUP(E301,Groups!A:A,Groups!N:N)="StrongBitingHerbivore",87.1133638856975*C301^(2/3)*S301,
IF(_xlfn.XLOOKUP(E301,Groups!A:A,Groups!N:N)="MiscEctotherms",59.4316884072269*C301^(2/3)*S301,
IF(_xlfn.XLOOKUP(E301,Groups!A:A,Groups!N:N)="StrongBeakBird",0.041*(C301*1000)^1.375*S301,
IF(_xlfn.XLOOKUP(E301,Groups!A:A,Groups!N:N)="Bird",0.118*(C301*1000)^0.692*S301,
IF(_xlfn.XLOOKUP(E301,Groups!A:A,Groups!N:N)="Insect",EXP(0.7444*LN(C301)+6.5696)*S301,
IF(_xlfn.XLOOKUP(E301,Groups!A:A,Groups!N:N)="Theropod",EXP(0.6966*LN(C301)+4.158)*S301,
"No"))))))))))))))))</f>
        <v>1617.785865250393</v>
      </c>
      <c r="AU301" s="8">
        <f>IF(_xlfn.XLOOKUP(E301,Groups!A:A,Groups!U:U)=3,AS301,IF(_xlfn.XLOOKUP(E301,Groups!A:A,Groups!U:U)=2,AR301,AT301))</f>
        <v>1617.785865250393</v>
      </c>
      <c r="AV301" s="46">
        <f>IFERROR(AVERAGE(_xlfn.XLOOKUP(B301,Animals!B:B,Animals!N:N),_xlfn.XLOOKUP(B301,Animals!B:B,Animals!O:O)),0)</f>
        <v>0</v>
      </c>
      <c r="AW301" s="8">
        <f>MROUND(40*Animals!AO301*_xlfn.XLOOKUP(AG301,Leathers!$A$2:$A$99,Leathers!$B$2:$B$99,0)+(140*_xlfn.XLOOKUP(B301,Animals!B:B,Animals!AO:AO)*2),5)</f>
        <v>625</v>
      </c>
      <c r="AX301" s="8">
        <f>IFERROR(ROUND(SQRT(V301-1)*IF(_xlfn.XLOOKUP(E301,Groups!A:A,Groups!BF:BF)=0,2,1)*IF(_xlfn.XLOOKUP('Base stats'!E301,Groups!A:A,Groups!O:O)=0,1,0.1),1),0)</f>
        <v>6</v>
      </c>
      <c r="AY301" s="8">
        <f t="shared" si="143"/>
        <v>3.3</v>
      </c>
      <c r="AZ301" s="8">
        <f t="shared" si="144"/>
        <v>0</v>
      </c>
      <c r="BA301" s="8">
        <f t="shared" si="145"/>
        <v>5.6</v>
      </c>
      <c r="BB301" s="8">
        <f>IF(_xlfn.XLOOKUP(E301,Groups!A:A,Groups!N:N)="Insect",BD301*2.5,IFERROR(AVERAGE(BD301,AT301/9.81/IF(OR(_xlfn.XLOOKUP(E301,Groups!A:A,Groups!N:N)="Pig",_xlfn.XLOOKUP(E301,Groups!A:A,Groups!N:N)="StrongBitingHerbivore"),20,25))*C301^-0.135,BD301))</f>
        <v>2.1476754638228392</v>
      </c>
      <c r="BC301" s="8" t="str">
        <f>IF(W301="No","No",IF(_xlfn.XLOOKUP(E301,Groups!A:A,Groups!U:U)=1,'Base stats'!BB301,IF(OR(_xlfn.XLOOKUP(E301,Groups!A:A,Groups!BD:BD)=1,_xlfn.XLOOKUP(E301,Groups!A:A,Groups!U:U)=2),BD301,IF(_xlfn.XLOOKUP(B301,Animals!B:B,Animals!AO:AO)&gt;4,AVERAGE(BD301,BF301),BF301))))</f>
        <v>No</v>
      </c>
      <c r="BD301" s="8">
        <f t="shared" si="146"/>
        <v>2.3271891619698901</v>
      </c>
      <c r="BE301" s="8">
        <f>IF(_xlfn.XLOOKUP(E301,Groups!A:A,Groups!BE:BE)=1,(0.048*C301^1.01)+(0.071*C301^1.03),0.071*C301^1.03)/IF(_xlfn.XLOOKUP(E301,Groups!A:A,Groups!M:M)=1,0.85,IF(OR(_xlfn.XLOOKUP(B301,Animals!B:B,Animals!AO:AO)&gt;4,_xlfn.XLOOKUP(E301,Groups!A:A,Groups!BC:BC)=1),1.7,1))*C301^-0.25</f>
        <v>4.8524460197198902</v>
      </c>
      <c r="BF301" s="8">
        <f>(0.048*C301^1.01)/IF(_xlfn.XLOOKUP(E301,Groups!A:A,Groups!M:M)=1,0.25,0.8)*C301^-0.25</f>
        <v>3.6796792531617739</v>
      </c>
      <c r="BG301" s="8">
        <f>EXP(1.076*LN(AR301)-4.5397)*IF(_xlfn.XLOOKUP(E301,Groups!A:A,Groups!BC:BC)=1,1.25,IF(_xlfn.XLOOKUP(E301,Groups!A:A,Groups!BD:BD)=1,3.5,2.5))</f>
        <v>270.14672095717975</v>
      </c>
      <c r="BH301" s="8">
        <f>EXP(1.076*LN(AS301)-4.5397)*IF(_xlfn.XLOOKUP(E301,Groups!A:A,Groups!M:M)=1,0.8,IF(_xlfn.XLOOKUP(E301,Groups!A:A,Groups!BC:BC)=1,1.3,3))</f>
        <v>325.00128281545972</v>
      </c>
      <c r="BI301" s="8" t="str">
        <f>IF(W301="No","No",IF(_xlfn.XLOOKUP(E301,Groups!A:A,Groups!U:U)=1,'Base stats'!BJ301,IF(OR(_xlfn.XLOOKUP(E301,Groups!A:A,Groups!BD:BD)=1,_xlfn.XLOOKUP(E301,Groups!A:A,Groups!U:U)=2),BG301,BH301))*1.2)</f>
        <v>No</v>
      </c>
      <c r="BJ301" s="8">
        <f>IFERROR(EXP(1.076*LN(AT301)-4.5397)*IF(_xlfn.XLOOKUP(E301,Groups!A:A,Groups!N:N)="Insect",1,IF(OR(_xlfn.XLOOKUP(E301,Groups!A:A,Groups!N:N)="Pig",_xlfn.XLOOKUP(E301,Groups!A:A,Groups!N:N)="StrongBitingHerbivore"),3.5,3.75)),"No")</f>
        <v>113.57000466923745</v>
      </c>
      <c r="BK301" s="8">
        <f t="shared" si="147"/>
        <v>15</v>
      </c>
      <c r="BL301" s="8">
        <f t="shared" si="148"/>
        <v>11</v>
      </c>
      <c r="BM301" s="8" t="str">
        <f t="shared" si="149"/>
        <v>No</v>
      </c>
      <c r="BN301" s="8">
        <f t="shared" si="150"/>
        <v>10</v>
      </c>
      <c r="BO301" s="8">
        <f t="shared" si="151"/>
        <v>13</v>
      </c>
      <c r="BP301" s="8" t="str" cm="1">
        <f t="array" ref="BP301">IF(AND(_xlfn.XLOOKUP('Base stats'!E301,Groups!A:A,Groups!AD:AD=0),_xlfn.XLOOKUP('Base stats'!E301,Groups!A:A,Groups!P:P=0)),"No",IF(U301="No",AVERAGE(EXP(-0.57+0.99*LN(C301)),EXP(0.32+0.67*LN(C301)))/IF(_xlfn.XLOOKUP(E301,Groups!A:A,Groups!AD:AD)=1,10,2),(0.7354*C301^0.4078)*2/IF(_xlfn.XLOOKUP(E301,Groups!A:A,Groups!BK:BK)=1,1000,100)/IF(_xlfn.XLOOKUP(E301,Groups!A:A,Groups!AJ:AJ)="Photonozoa",3,1)))</f>
        <v>No</v>
      </c>
      <c r="BQ301" s="8" t="str">
        <f>IF(W301="No","No",IF(_xlfn.XLOOKUP(E301,Groups!A:A,Groups!BD:BD)=1,(AO301*5%),EXP(0.7354*LN(C301)^0.4078)*2/IF(_xlfn.XLOOKUP(E301,Groups!A:A,Groups!BL:BL)=1,1000,100)/IF(_xlfn.XLOOKUP(E301,Groups!A:A,Groups!AJ:AJ)="Photonozoa",3,1)))</f>
        <v>No</v>
      </c>
      <c r="BR301" s="8">
        <f>IF(BJ301="No","No",IF(_xlfn.XLOOKUP(E301,Groups!A:A,Groups!BF:BF)=1,(0.0315*C301+2.1825)*2,(0.7354*C301^0.4078)*2)/IF(_xlfn.XLOOKUP(E301,Groups!A:A,Groups!BM:BM)=1,1000,100)/IF(_xlfn.XLOOKUP(E301,Groups!A:A,Groups!AJ:AJ)="Photonozoa",3,1))</f>
        <v>0.13389786494950129</v>
      </c>
      <c r="BS301" s="8">
        <f t="shared" si="152"/>
        <v>0.14400848466911442</v>
      </c>
      <c r="BT301" s="8" t="str">
        <f t="shared" si="153"/>
        <v>No</v>
      </c>
      <c r="BU301" s="8" t="str">
        <f t="shared" si="154"/>
        <v>No</v>
      </c>
      <c r="BV301" s="8">
        <f t="shared" si="155"/>
        <v>848.18383558296193</v>
      </c>
      <c r="BW301" s="4">
        <v>0</v>
      </c>
      <c r="BX301" s="4">
        <v>1</v>
      </c>
    </row>
    <row r="302" spans="1:76" s="16" customFormat="1" x14ac:dyDescent="0.25">
      <c r="A302" s="26" t="s">
        <v>1410</v>
      </c>
      <c r="B302" s="6" t="s">
        <v>1628</v>
      </c>
      <c r="C302" s="7">
        <v>70</v>
      </c>
      <c r="D302" s="7" t="s">
        <v>528</v>
      </c>
      <c r="E302" s="7" t="str">
        <f>Groups!$A$100</f>
        <v>Drake (SMALL)</v>
      </c>
      <c r="F302" s="7">
        <v>90</v>
      </c>
      <c r="G302" s="7">
        <f>912/365</f>
        <v>2.4986301369863013</v>
      </c>
      <c r="H302" s="7">
        <v>20</v>
      </c>
      <c r="I302" s="4">
        <v>1</v>
      </c>
      <c r="J302" s="7">
        <v>2</v>
      </c>
      <c r="K302" s="7" t="s">
        <v>528</v>
      </c>
      <c r="L302" s="7">
        <f>MIN(20*C302^0.183,19.9*C302^0.142)</f>
        <v>36.379522807087291</v>
      </c>
      <c r="M302" s="7" t="s">
        <v>626</v>
      </c>
      <c r="N302" s="4">
        <v>0</v>
      </c>
      <c r="O302" s="4">
        <v>0</v>
      </c>
      <c r="P302" s="4">
        <v>0</v>
      </c>
      <c r="Q302" s="4">
        <v>0</v>
      </c>
      <c r="R302" s="4" t="s">
        <v>40</v>
      </c>
      <c r="S302" s="7">
        <f>_xlfn.XLOOKUP(B302,[1]TeethAdjusters!$A:$A,[1]BiteAdjusters!$C:$C,1)</f>
        <v>1</v>
      </c>
      <c r="T302" s="7">
        <f>_xlfn.XLOOKUP(B302,[1]TeethAdjusters!$A:$A,[1]TeethAdjusters!$B:$B,1)</f>
        <v>1</v>
      </c>
      <c r="U302" s="7">
        <v>3</v>
      </c>
      <c r="V302" s="7">
        <v>4</v>
      </c>
      <c r="W302" s="7" t="str">
        <f>IF(_xlfn.XLOOKUP(E302,Groups!A:A,Groups!V:V)&lt;&gt;"No","Need a formula","No")</f>
        <v>No</v>
      </c>
      <c r="X302" s="7" t="s">
        <v>932</v>
      </c>
      <c r="Y302" s="4" t="s">
        <v>1779</v>
      </c>
      <c r="Z302" s="4">
        <v>1</v>
      </c>
      <c r="AA302" s="4">
        <v>0</v>
      </c>
      <c r="AB302" s="4">
        <v>0</v>
      </c>
      <c r="AC302" s="4">
        <v>0</v>
      </c>
      <c r="AD302" s="4">
        <v>0</v>
      </c>
      <c r="AE302" s="4" t="s">
        <v>45</v>
      </c>
      <c r="AF302" s="4" t="s">
        <v>45</v>
      </c>
      <c r="AG302" s="49" t="s">
        <v>386</v>
      </c>
      <c r="AH302" s="4" t="str">
        <f>Animals!$C$32</f>
        <v>&lt;li&gt;Iguana&lt;/li&gt;</v>
      </c>
      <c r="AI302" s="4">
        <v>0</v>
      </c>
      <c r="AJ302" s="4">
        <v>0</v>
      </c>
      <c r="AK302" s="4">
        <v>0</v>
      </c>
      <c r="AL302" s="4">
        <v>0</v>
      </c>
      <c r="AM302" s="4">
        <v>1</v>
      </c>
      <c r="AN302" s="44" t="s">
        <v>40</v>
      </c>
      <c r="AO302" s="8">
        <f t="shared" si="141"/>
        <v>17564.536938929268</v>
      </c>
      <c r="AP302" s="8">
        <f>IFERROR(C302*_xlfn.XLOOKUP(E302,Groups!A:A,Groups!K:K),0.106*C302^0.94)</f>
        <v>5.7503995690030791</v>
      </c>
      <c r="AQ302" s="8">
        <f>AP302*10000/(_xlfn.XLOOKUP(E302,Groups!A:A,Groups!J:J)*AO302)</f>
        <v>3.0035496826407138</v>
      </c>
      <c r="AR302" s="8">
        <f t="shared" si="142"/>
        <v>1967.863924091341</v>
      </c>
      <c r="AS302" s="8">
        <f>IF(_xlfn.XLOOKUP(E302,Groups!A:A,Groups!M:M)=1,EXP(0.7444*LN('Base stats'!C302)+6.5696),EXP(0.7927*LN('Base stats'!C302)+4.28))</f>
        <v>2095.9918946402931</v>
      </c>
      <c r="AT302" s="8">
        <f>IF(_xlfn.XLOOKUP(E302,Groups!A:A,Groups!N:N)="No","No",
IF(_xlfn.XLOOKUP(E302,Groups!A:A,Groups!N:N)="Crocodile",EXP(0.8129*LN(C302)+4.6742)*S302,
IF(_xlfn.XLOOKUP(E302,Groups!A:A,Groups!N:N)="Felid",EXP(0.7843*LN(C302)+4.7073)*S302,
IF(_xlfn.XLOOKUP(E302,Groups!A:A,Groups!N:N)="Canid",EXP(0.8367*LN(C302)+4.8763)*S302,
IF(_xlfn.XLOOKUP(E302,Groups!A:A,Groups!N:N)="Pig",EXP(0.3439*LN(C302)+6.8519)*S302,
IF(_xlfn.XLOOKUP(E302,Groups!A:A,Groups!N:N)="Rodent",EXP(0.5625*LN(C302)+4.3006)*S302,
IF(_xlfn.XLOOKUP(E302,Groups!A:A,Groups!N:N)="Primate",EXP(0.7847*LN(C302)+3.4931)*S302,
IF(_xlfn.XLOOKUP(E302,Groups!A:A,Groups!N:N)="MiscCarnivora",EXP(0.7486*LN(C302)+4.2207)*S302,
IF(_xlfn.XLOOKUP(E302,Groups!A:A,Groups!N:N)="Lizard",EXP(0.7733*LN(C302)+5.5303)*S302,
IF(_xlfn.XLOOKUP(E302,Groups!A:A,Groups!N:N)="Snake",50*C302^(2/3)*S302,
IF(_xlfn.XLOOKUP(E302,Groups!A:A,Groups!N:N)="StrongBitingHerbivore",87.1133638856975*C302^(2/3)*S302,
IF(_xlfn.XLOOKUP(E302,Groups!A:A,Groups!N:N)="MiscEctotherms",59.4316884072269*C302^(2/3)*S302,
IF(_xlfn.XLOOKUP(E302,Groups!A:A,Groups!N:N)="StrongBeakBird",0.041*(C302*1000)^1.375*S302,
IF(_xlfn.XLOOKUP(E302,Groups!A:A,Groups!N:N)="Bird",0.118*(C302*1000)^0.692*S302,
IF(_xlfn.XLOOKUP(E302,Groups!A:A,Groups!N:N)="Insect",EXP(0.7444*LN(C302)+6.5696)*S302,
IF(_xlfn.XLOOKUP(E302,Groups!A:A,Groups!N:N)="Theropod",EXP(0.6966*LN(C302)+4.158)*S302,
"No"))))))))))))))))</f>
        <v>3387.3452526227502</v>
      </c>
      <c r="AU302" s="8">
        <f>IF(_xlfn.XLOOKUP(E302,Groups!A:A,Groups!U:U)=3,AS302,IF(_xlfn.XLOOKUP(E302,Groups!A:A,Groups!U:U)=2,AR302,AT302))</f>
        <v>3387.3452526227502</v>
      </c>
      <c r="AV302" s="46">
        <f>IFERROR(AVERAGE(_xlfn.XLOOKUP(B302,Animals!B:B,Animals!N:N),_xlfn.XLOOKUP(B302,Animals!B:B,Animals!O:O)),0)</f>
        <v>0.1</v>
      </c>
      <c r="AW302" s="8">
        <f>MROUND(40*Animals!AO302*_xlfn.XLOOKUP(AG302,Leathers!$A$2:$A$99,Leathers!$B$2:$B$99,0)+(140*_xlfn.XLOOKUP(B302,Animals!B:B,Animals!AO:AO)*2),5)</f>
        <v>410</v>
      </c>
      <c r="AX302" s="8">
        <f>IFERROR(ROUND(SQRT(V302-1)*IF(_xlfn.XLOOKUP(E302,Groups!A:A,Groups!BF:BF)=0,2,1)*IF(_xlfn.XLOOKUP('Base stats'!E302,Groups!A:A,Groups!O:O)=0,1,0.1),1),0)</f>
        <v>3.5</v>
      </c>
      <c r="AY302" s="8">
        <f t="shared" si="143"/>
        <v>1.4</v>
      </c>
      <c r="AZ302" s="8">
        <f t="shared" si="144"/>
        <v>0</v>
      </c>
      <c r="BA302" s="8">
        <f t="shared" si="145"/>
        <v>3.7</v>
      </c>
      <c r="BB302" s="8">
        <f>IF(_xlfn.XLOOKUP(E302,Groups!A:A,Groups!N:N)="Insect",BD302*2.5,IFERROR(AVERAGE(BD302,AT302/9.81/IF(OR(_xlfn.XLOOKUP(E302,Groups!A:A,Groups!N:N)="Pig",_xlfn.XLOOKUP(E302,Groups!A:A,Groups!N:N)="StrongBitingHerbivore"),20,25))*C302^-0.135,BD302))</f>
        <v>4.2687254270171584</v>
      </c>
      <c r="BC302" s="8" t="str">
        <f>IF(W302="No","No",IF(_xlfn.XLOOKUP(E302,Groups!A:A,Groups!U:U)=1,'Base stats'!BB302,IF(OR(_xlfn.XLOOKUP(E302,Groups!A:A,Groups!BD:BD)=1,_xlfn.XLOOKUP(E302,Groups!A:A,Groups!U:U)=2),BD302,IF(_xlfn.XLOOKUP(B302,Animals!B:B,Animals!AO:AO)&gt;4,AVERAGE(BD302,BF302),BF302))))</f>
        <v>No</v>
      </c>
      <c r="BD302" s="8">
        <f t="shared" si="146"/>
        <v>1.3383279200893237</v>
      </c>
      <c r="BE302" s="8">
        <f>IF(_xlfn.XLOOKUP(E302,Groups!A:A,Groups!BE:BE)=1,(0.048*C302^1.01)+(0.071*C302^1.03),0.071*C302^1.03)/IF(_xlfn.XLOOKUP(E302,Groups!A:A,Groups!M:M)=1,0.85,IF(OR(_xlfn.XLOOKUP(B302,Animals!B:B,Animals!AO:AO)&gt;4,_xlfn.XLOOKUP(E302,Groups!A:A,Groups!BC:BC)=1),1.7,1))*C302^-0.25</f>
        <v>1.9517977810631861</v>
      </c>
      <c r="BF302" s="8">
        <f>(0.048*C302^1.01)/IF(_xlfn.XLOOKUP(E302,Groups!A:A,Groups!M:M)=1,0.25,0.8)*C302^-0.25</f>
        <v>1.515045796469928</v>
      </c>
      <c r="BG302" s="8">
        <f>EXP(1.076*LN(AR302)-4.5397)*IF(_xlfn.XLOOKUP(E302,Groups!A:A,Groups!BC:BC)=1,1.25,IF(_xlfn.XLOOKUP(E302,Groups!A:A,Groups!BD:BD)=1,3.5,2.5))</f>
        <v>93.478565272069602</v>
      </c>
      <c r="BH302" s="8">
        <f>EXP(1.076*LN(AS302)-4.5397)*IF(_xlfn.XLOOKUP(E302,Groups!A:A,Groups!M:M)=1,0.8,IF(_xlfn.XLOOKUP(E302,Groups!A:A,Groups!BC:BC)=1,1.3,3))</f>
        <v>120.05211168963112</v>
      </c>
      <c r="BI302" s="8" t="str">
        <f>IF(W302="No","No",IF(_xlfn.XLOOKUP(E302,Groups!A:A,Groups!U:U)=1,'Base stats'!BJ302,IF(OR(_xlfn.XLOOKUP(E302,Groups!A:A,Groups!BD:BD)=1,_xlfn.XLOOKUP(E302,Groups!A:A,Groups!U:U)=2),BG302,BH302))*1.2)</f>
        <v>No</v>
      </c>
      <c r="BJ302" s="8">
        <f>IFERROR(EXP(1.076*LN(AT302)-4.5397)*IF(_xlfn.XLOOKUP(E302,Groups!A:A,Groups!N:N)="Insect",1,IF(OR(_xlfn.XLOOKUP(E302,Groups!A:A,Groups!N:N)="Pig",_xlfn.XLOOKUP(E302,Groups!A:A,Groups!N:N)="StrongBitingHerbivore"),3.5,3.75)),"No")</f>
        <v>251.53208543782037</v>
      </c>
      <c r="BK302" s="8">
        <f t="shared" si="147"/>
        <v>11</v>
      </c>
      <c r="BL302" s="8">
        <f t="shared" si="148"/>
        <v>11</v>
      </c>
      <c r="BM302" s="8" t="str">
        <f t="shared" si="149"/>
        <v>No</v>
      </c>
      <c r="BN302" s="8">
        <f t="shared" si="150"/>
        <v>10</v>
      </c>
      <c r="BO302" s="8">
        <f t="shared" si="151"/>
        <v>12</v>
      </c>
      <c r="BP302" s="8" cm="1">
        <f t="array" ref="BP302">IF(AND(_xlfn.XLOOKUP('Base stats'!E302,Groups!A:A,Groups!AD:AD=0),_xlfn.XLOOKUP('Base stats'!E302,Groups!A:A,Groups!P:P=0)),"No",IF(U302="No",AVERAGE(EXP(-0.57+0.99*LN(C302)),EXP(0.32+0.67*LN(C302)))/IF(_xlfn.XLOOKUP(E302,Groups!A:A,Groups!AD:AD)=1,10,2),(0.7354*C302^0.4078)*2/IF(_xlfn.XLOOKUP(E302,Groups!A:A,Groups!BK:BK)=1,1000,100)/IF(_xlfn.XLOOKUP(E302,Groups!A:A,Groups!AJ:AJ)="Photonozoa",3,1)))</f>
        <v>8.3173428110674574E-2</v>
      </c>
      <c r="BQ302" s="8" t="str">
        <f>IF(W302="No","No",IF(_xlfn.XLOOKUP(E302,Groups!A:A,Groups!BD:BD)=1,(AO302*5%),EXP(0.7354*LN(C302)^0.4078)*2/IF(_xlfn.XLOOKUP(E302,Groups!A:A,Groups!BL:BL)=1,1000,100)/IF(_xlfn.XLOOKUP(E302,Groups!A:A,Groups!AJ:AJ)="Photonozoa",3,1)))</f>
        <v>No</v>
      </c>
      <c r="BR302" s="8">
        <f>IF(BJ302="No","No",IF(_xlfn.XLOOKUP(E302,Groups!A:A,Groups!BF:BF)=1,(0.0315*C302+2.1825)*2,(0.7354*C302^0.4078)*2)/IF(_xlfn.XLOOKUP(E302,Groups!A:A,Groups!BM:BM)=1,1000,100)/IF(_xlfn.XLOOKUP(E302,Groups!A:A,Groups!AJ:AJ)="Photonozoa",3,1))</f>
        <v>8.3173428110674574E-2</v>
      </c>
      <c r="BS302" s="8">
        <f t="shared" si="152"/>
        <v>0.10644011350494281</v>
      </c>
      <c r="BT302" s="8">
        <f t="shared" si="153"/>
        <v>1443.3950170946903</v>
      </c>
      <c r="BU302" s="8" t="str">
        <f t="shared" si="154"/>
        <v>No</v>
      </c>
      <c r="BV302" s="8">
        <f t="shared" si="155"/>
        <v>3024.1880267712381</v>
      </c>
      <c r="BW302" s="4">
        <v>0</v>
      </c>
      <c r="BX302" s="4">
        <v>1</v>
      </c>
    </row>
    <row r="303" spans="1:76" s="16" customFormat="1" x14ac:dyDescent="0.25">
      <c r="A303" s="26" t="s">
        <v>1562</v>
      </c>
      <c r="B303" s="6" t="s">
        <v>1837</v>
      </c>
      <c r="C303" s="7">
        <v>500</v>
      </c>
      <c r="D303" s="7" t="s">
        <v>528</v>
      </c>
      <c r="E303" s="7" t="str">
        <f>Groups!$A$27</f>
        <v>Lizard (MONITOR)</v>
      </c>
      <c r="F303" s="7" t="str">
        <f t="shared" ref="F303" si="156">"Lay eggs"</f>
        <v>Lay eggs</v>
      </c>
      <c r="G303" s="7">
        <f>1825/365</f>
        <v>5</v>
      </c>
      <c r="H303" s="7">
        <v>65</v>
      </c>
      <c r="I303" s="4">
        <v>0</v>
      </c>
      <c r="J303" s="7" t="str">
        <f t="shared" ref="J303" si="157">"Lay eggs"</f>
        <v>Lay eggs</v>
      </c>
      <c r="K303" s="7" t="s">
        <v>528</v>
      </c>
      <c r="L303" s="7">
        <v>20</v>
      </c>
      <c r="M303" s="7" t="s">
        <v>637</v>
      </c>
      <c r="N303" s="4">
        <v>0</v>
      </c>
      <c r="O303" s="4">
        <v>0</v>
      </c>
      <c r="P303" s="4">
        <v>0</v>
      </c>
      <c r="Q303" s="4">
        <v>0</v>
      </c>
      <c r="R303" s="4" t="s">
        <v>40</v>
      </c>
      <c r="S303" s="7">
        <f>_xlfn.XLOOKUP(B303,[1]TeethAdjusters!$A:$A,[1]BiteAdjusters!$C:$C,1)</f>
        <v>1</v>
      </c>
      <c r="T303" s="7">
        <f>_xlfn.XLOOKUP(B303,[1]TeethAdjusters!$A:$A,[1]TeethAdjusters!$B:$B,1)</f>
        <v>1</v>
      </c>
      <c r="U303" s="7">
        <v>4.5</v>
      </c>
      <c r="V303" s="7">
        <v>6</v>
      </c>
      <c r="W303" s="7" t="s">
        <v>45</v>
      </c>
      <c r="X303" s="7" t="s">
        <v>932</v>
      </c>
      <c r="Y303" s="4" t="s">
        <v>56</v>
      </c>
      <c r="Z303" s="4">
        <v>1</v>
      </c>
      <c r="AA303" s="4">
        <v>0</v>
      </c>
      <c r="AB303" s="4">
        <v>0</v>
      </c>
      <c r="AC303" s="4">
        <v>0</v>
      </c>
      <c r="AD303" s="4">
        <v>0</v>
      </c>
      <c r="AE303" s="4" t="s">
        <v>45</v>
      </c>
      <c r="AF303" s="4" t="s">
        <v>45</v>
      </c>
      <c r="AG303" s="49" t="s">
        <v>386</v>
      </c>
      <c r="AH303" s="4" t="str">
        <f>Animals!$C$32</f>
        <v>&lt;li&gt;Iguana&lt;/li&gt;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4" t="s">
        <v>40</v>
      </c>
      <c r="AO303" s="8">
        <f t="shared" si="141"/>
        <v>63045.411191767809</v>
      </c>
      <c r="AP303" s="8">
        <f>IFERROR(C303*_xlfn.XLOOKUP(E303,Groups!A:A,Groups!K:K),0.106*C303^0.94)</f>
        <v>36.503765791879047</v>
      </c>
      <c r="AQ303" s="8">
        <f>AP303*10000/(_xlfn.XLOOKUP(E303,Groups!A:A,Groups!J:J)*AO303)</f>
        <v>5.3119953941101317</v>
      </c>
      <c r="AR303" s="8">
        <f t="shared" si="142"/>
        <v>10357.637618796818</v>
      </c>
      <c r="AS303" s="8">
        <f>IF(_xlfn.XLOOKUP(E303,Groups!A:A,Groups!M:M)=1,EXP(0.7444*LN('Base stats'!C303)+6.5696),EXP(0.7927*LN('Base stats'!C303)+4.28))</f>
        <v>9959.8753916241294</v>
      </c>
      <c r="AT303" s="8">
        <f>IF(_xlfn.XLOOKUP(E303,Groups!A:A,Groups!N:N)="No","No",
IF(_xlfn.XLOOKUP(E303,Groups!A:A,Groups!N:N)="Crocodile",EXP(0.8129*LN(C303)+4.6742)*S303,
IF(_xlfn.XLOOKUP(E303,Groups!A:A,Groups!N:N)="Felid",EXP(0.7843*LN(C303)+4.7073)*S303,
IF(_xlfn.XLOOKUP(E303,Groups!A:A,Groups!N:N)="Canid",EXP(0.8367*LN(C303)+4.8763)*S303,
IF(_xlfn.XLOOKUP(E303,Groups!A:A,Groups!N:N)="Pig",EXP(0.3439*LN(C303)+6.8519)*S303,
IF(_xlfn.XLOOKUP(E303,Groups!A:A,Groups!N:N)="Rodent",EXP(0.5625*LN(C303)+4.3006)*S303,
IF(_xlfn.XLOOKUP(E303,Groups!A:A,Groups!N:N)="Primate",EXP(0.7847*LN(C303)+3.4931)*S303,
IF(_xlfn.XLOOKUP(E303,Groups!A:A,Groups!N:N)="MiscCarnivora",EXP(0.7486*LN(C303)+4.2207)*S303,
IF(_xlfn.XLOOKUP(E303,Groups!A:A,Groups!N:N)="Lizard",EXP(0.7733*LN(C303)+5.5303)*S303,
IF(_xlfn.XLOOKUP(E303,Groups!A:A,Groups!N:N)="Snake",50*C303^(2/3)*S303,
IF(_xlfn.XLOOKUP(E303,Groups!A:A,Groups!N:N)="StrongBitingHerbivore",87.1133638856975*C303^(2/3)*S303,
IF(_xlfn.XLOOKUP(E303,Groups!A:A,Groups!N:N)="MiscEctotherms",59.4316884072269*C303^(2/3)*S303,
IF(_xlfn.XLOOKUP(E303,Groups!A:A,Groups!N:N)="StrongBeakBird",0.041*(C303*1000)^1.375*S303,
IF(_xlfn.XLOOKUP(E303,Groups!A:A,Groups!N:N)="Bird",0.118*(C303*1000)^0.692*S303,
IF(_xlfn.XLOOKUP(E303,Groups!A:A,Groups!N:N)="Insect",EXP(0.7444*LN(C303)+6.5696)*S303,
IF(_xlfn.XLOOKUP(E303,Groups!A:A,Groups!N:N)="Theropod",EXP(0.6966*LN(C303)+4.158)*S303,
"No"))))))))))))))))</f>
        <v>30824.232913308635</v>
      </c>
      <c r="AU303" s="8">
        <f>IF(_xlfn.XLOOKUP(E303,Groups!A:A,Groups!U:U)=3,AS303,IF(_xlfn.XLOOKUP(E303,Groups!A:A,Groups!U:U)=2,AR303,AT303))</f>
        <v>30824.232913308635</v>
      </c>
      <c r="AV303" s="46">
        <f>IFERROR(AVERAGE(_xlfn.XLOOKUP(B303,Animals!B:B,Animals!N:N),_xlfn.XLOOKUP(B303,Animals!B:B,Animals!O:O)),0)</f>
        <v>0</v>
      </c>
      <c r="AW303" s="8">
        <f>MROUND(40*Animals!AO303*_xlfn.XLOOKUP(AG303,Leathers!$A$2:$A$99,Leathers!$B$2:$B$99,0)+(140*_xlfn.XLOOKUP(B303,Animals!B:B,Animals!AO:AO)*2),5)</f>
        <v>1085</v>
      </c>
      <c r="AX303" s="8">
        <f>IFERROR(ROUND(SQRT(V303-1)*IF(_xlfn.XLOOKUP(E303,Groups!A:A,Groups!BF:BF)=0,2,1)*IF(_xlfn.XLOOKUP('Base stats'!E303,Groups!A:A,Groups!O:O)=0,1,0.1),1),0)</f>
        <v>4.5</v>
      </c>
      <c r="AY303" s="8">
        <f t="shared" si="143"/>
        <v>1.9</v>
      </c>
      <c r="AZ303" s="8">
        <f t="shared" si="144"/>
        <v>0</v>
      </c>
      <c r="BA303" s="8">
        <f t="shared" si="145"/>
        <v>7.4</v>
      </c>
      <c r="BB303" s="8">
        <f>IF(_xlfn.XLOOKUP(E303,Groups!A:A,Groups!N:N)="Insect",BD303*2.5,IFERROR(AVERAGE(BD303,AT303/9.81/IF(OR(_xlfn.XLOOKUP(E303,Groups!A:A,Groups!N:N)="Pig",_xlfn.XLOOKUP(E303,Groups!A:A,Groups!N:N)="StrongBitingHerbivore"),20,25))*C303^-0.135,BD303))</f>
        <v>28.639286087071646</v>
      </c>
      <c r="BC303" s="8" t="str">
        <f>IF(W303="No","No",IF(_xlfn.XLOOKUP(E303,Groups!A:A,Groups!U:U)=1,'Base stats'!BB303,IF(OR(_xlfn.XLOOKUP(E303,Groups!A:A,Groups!BD:BD)=1,_xlfn.XLOOKUP(E303,Groups!A:A,Groups!U:U)=2),BD303,IF(_xlfn.XLOOKUP(B303,Animals!B:B,Animals!AO:AO)&gt;4,AVERAGE(BD303,BF303),BF303))))</f>
        <v>No</v>
      </c>
      <c r="BD303" s="8">
        <f t="shared" si="146"/>
        <v>6.8569367053883514</v>
      </c>
      <c r="BE303" s="8">
        <f>IF(_xlfn.XLOOKUP(E303,Groups!A:A,Groups!BE:BE)=1,(0.048*C303^1.01)+(0.071*C303^1.03),0.071*C303^1.03)/IF(_xlfn.XLOOKUP(E303,Groups!A:A,Groups!M:M)=1,0.85,IF(OR(_xlfn.XLOOKUP(B303,Animals!B:B,Animals!AO:AO)&gt;4,_xlfn.XLOOKUP(E303,Groups!A:A,Groups!BC:BC)=1),1.7,1))*C303^-0.25</f>
        <v>9.0459660212328927</v>
      </c>
      <c r="BF303" s="8">
        <f>(0.048*C303^1.01)/IF(_xlfn.XLOOKUP(E303,Groups!A:A,Groups!M:M)=1,0.25,0.8)*C303^-0.25</f>
        <v>6.7510053736705169</v>
      </c>
      <c r="BG303" s="8">
        <f>EXP(1.076*LN(AR303)-4.5397)*IF(_xlfn.XLOOKUP(E303,Groups!A:A,Groups!BC:BC)=1,1.25,IF(_xlfn.XLOOKUP(E303,Groups!A:A,Groups!BD:BD)=1,3.5,2.5))</f>
        <v>558.20519715935461</v>
      </c>
      <c r="BH303" s="8">
        <f>EXP(1.076*LN(AS303)-4.5397)*IF(_xlfn.XLOOKUP(E303,Groups!A:A,Groups!M:M)=1,0.8,IF(_xlfn.XLOOKUP(E303,Groups!A:A,Groups!BC:BC)=1,1.3,3))</f>
        <v>642.20812673473438</v>
      </c>
      <c r="BI303" s="8" t="str">
        <f>IF(W303="No","No",IF(_xlfn.XLOOKUP(E303,Groups!A:A,Groups!U:U)=1,'Base stats'!BJ303,IF(OR(_xlfn.XLOOKUP(E303,Groups!A:A,Groups!BD:BD)=1,_xlfn.XLOOKUP(E303,Groups!A:A,Groups!U:U)=2),BG303,BH303))*1.2)</f>
        <v>No</v>
      </c>
      <c r="BJ303" s="8">
        <f>IFERROR(EXP(1.076*LN(AT303)-4.5397)*IF(_xlfn.XLOOKUP(E303,Groups!A:A,Groups!N:N)="Insect",1,IF(OR(_xlfn.XLOOKUP(E303,Groups!A:A,Groups!N:N)="Pig",_xlfn.XLOOKUP(E303,Groups!A:A,Groups!N:N)="StrongBitingHerbivore"),3.5,3.75)),"No")</f>
        <v>2707.1523610385143</v>
      </c>
      <c r="BK303" s="8">
        <f t="shared" si="147"/>
        <v>12</v>
      </c>
      <c r="BL303" s="8">
        <f t="shared" si="148"/>
        <v>11</v>
      </c>
      <c r="BM303" s="8" t="str">
        <f t="shared" si="149"/>
        <v>No</v>
      </c>
      <c r="BN303" s="8">
        <f t="shared" si="150"/>
        <v>13</v>
      </c>
      <c r="BO303" s="8">
        <f t="shared" si="151"/>
        <v>13</v>
      </c>
      <c r="BP303" s="8" cm="1">
        <f t="array" ref="BP303">IF(AND(_xlfn.XLOOKUP('Base stats'!E303,Groups!A:A,Groups!AD:AD=0),_xlfn.XLOOKUP('Base stats'!E303,Groups!A:A,Groups!P:P=0)),"No",IF(U303="No",AVERAGE(EXP(-0.57+0.99*LN(C303)),EXP(0.32+0.67*LN(C303)))/IF(_xlfn.XLOOKUP(E303,Groups!A:A,Groups!AD:AD)=1,10,2),(0.7354*C303^0.4078)*2/IF(_xlfn.XLOOKUP(E303,Groups!A:A,Groups!BK:BK)=1,1000,100)/IF(_xlfn.XLOOKUP(E303,Groups!A:A,Groups!AJ:AJ)="Photonozoa",3,1)))</f>
        <v>0.18543580286977573</v>
      </c>
      <c r="BQ303" s="8" t="str">
        <f>IF(W303="No","No",IF(_xlfn.XLOOKUP(E303,Groups!A:A,Groups!BD:BD)=1,(AO303*5%),EXP(0.7354*LN(C303)^0.4078)*2/IF(_xlfn.XLOOKUP(E303,Groups!A:A,Groups!BL:BL)=1,1000,100)/IF(_xlfn.XLOOKUP(E303,Groups!A:A,Groups!AJ:AJ)="Photonozoa",3,1)))</f>
        <v>No</v>
      </c>
      <c r="BR303" s="8">
        <f>IF(BJ303="No","No",IF(_xlfn.XLOOKUP(E303,Groups!A:A,Groups!BF:BF)=1,(0.0315*C303+2.1825)*2,(0.7354*C303^0.4078)*2)/IF(_xlfn.XLOOKUP(E303,Groups!A:A,Groups!BM:BM)=1,1000,100)/IF(_xlfn.XLOOKUP(E303,Groups!A:A,Groups!AJ:AJ)="Photonozoa",3,1))</f>
        <v>0.18543580286977573</v>
      </c>
      <c r="BS303" s="8">
        <f t="shared" si="152"/>
        <v>0.17708035735112868</v>
      </c>
      <c r="BT303" s="8">
        <f t="shared" si="153"/>
        <v>3463.2369628519464</v>
      </c>
      <c r="BU303" s="8" t="str">
        <f t="shared" si="154"/>
        <v>No</v>
      </c>
      <c r="BV303" s="8">
        <f t="shared" si="155"/>
        <v>14598.865586596785</v>
      </c>
      <c r="BW303" s="4">
        <v>0</v>
      </c>
      <c r="BX303" s="4">
        <v>1</v>
      </c>
    </row>
    <row r="304" spans="1:76" s="16" customFormat="1" x14ac:dyDescent="0.25">
      <c r="A304" s="26" t="s">
        <v>1546</v>
      </c>
      <c r="B304" s="6" t="s">
        <v>1854</v>
      </c>
      <c r="C304" s="7">
        <v>70</v>
      </c>
      <c r="D304" s="7" t="s">
        <v>528</v>
      </c>
      <c r="E304" s="7" t="str">
        <f>Groups!$A$27</f>
        <v>Lizard (MONITOR)</v>
      </c>
      <c r="F304" s="7" t="str">
        <f t="shared" ref="F304" si="158">"Lay eggs"</f>
        <v>Lay eggs</v>
      </c>
      <c r="G304" s="7">
        <v>4</v>
      </c>
      <c r="H304" s="7">
        <v>45</v>
      </c>
      <c r="I304" s="4">
        <v>0</v>
      </c>
      <c r="J304" s="7" t="str">
        <f t="shared" ref="J304" si="159">"Lay eggs"</f>
        <v>Lay eggs</v>
      </c>
      <c r="K304" s="7" t="s">
        <v>528</v>
      </c>
      <c r="L304" s="7">
        <v>20</v>
      </c>
      <c r="M304" s="7" t="s">
        <v>637</v>
      </c>
      <c r="N304" s="4">
        <v>0</v>
      </c>
      <c r="O304" s="4">
        <v>0</v>
      </c>
      <c r="P304" s="4">
        <v>0</v>
      </c>
      <c r="Q304" s="4">
        <v>0</v>
      </c>
      <c r="R304" s="4" t="s">
        <v>40</v>
      </c>
      <c r="S304" s="7">
        <f>_xlfn.XLOOKUP(B304,[1]TeethAdjusters!$A:$A,[1]BiteAdjusters!$C:$C,1)</f>
        <v>1</v>
      </c>
      <c r="T304" s="7">
        <f>_xlfn.XLOOKUP(B304,[1]TeethAdjusters!$A:$A,[1]TeethAdjusters!$B:$B,1)</f>
        <v>1</v>
      </c>
      <c r="U304" s="7">
        <v>1.5</v>
      </c>
      <c r="V304" s="7">
        <v>2</v>
      </c>
      <c r="W304" s="7" t="s">
        <v>45</v>
      </c>
      <c r="X304" s="7" t="s">
        <v>932</v>
      </c>
      <c r="Y304" s="4" t="s">
        <v>56</v>
      </c>
      <c r="Z304" s="4">
        <v>1</v>
      </c>
      <c r="AA304" s="4">
        <v>0</v>
      </c>
      <c r="AB304" s="4">
        <v>0</v>
      </c>
      <c r="AC304" s="4">
        <v>0</v>
      </c>
      <c r="AD304" s="4">
        <v>0</v>
      </c>
      <c r="AE304" s="4" t="s">
        <v>45</v>
      </c>
      <c r="AF304" s="4" t="s">
        <v>45</v>
      </c>
      <c r="AG304" s="49" t="s">
        <v>386</v>
      </c>
      <c r="AH304" s="4" t="str">
        <f>Animals!$C$32</f>
        <v>&lt;li&gt;Iguana&lt;/li&gt;</v>
      </c>
      <c r="AI304" s="4">
        <v>0</v>
      </c>
      <c r="AJ304" s="4">
        <v>0</v>
      </c>
      <c r="AK304" s="4">
        <v>0</v>
      </c>
      <c r="AL304" s="4">
        <v>0</v>
      </c>
      <c r="AM304" s="4">
        <v>1</v>
      </c>
      <c r="AN304" s="44" t="s">
        <v>40</v>
      </c>
      <c r="AO304" s="8">
        <f t="shared" si="141"/>
        <v>17564.536938929268</v>
      </c>
      <c r="AP304" s="8">
        <f>IFERROR(C304*_xlfn.XLOOKUP(E304,Groups!A:A,Groups!K:K),0.106*C304^0.94)</f>
        <v>5.7503995690030791</v>
      </c>
      <c r="AQ304" s="8">
        <f>AP304*10000/(_xlfn.XLOOKUP(E304,Groups!A:A,Groups!J:J)*AO304)</f>
        <v>3.0035496826407138</v>
      </c>
      <c r="AR304" s="8">
        <f t="shared" si="142"/>
        <v>1967.863924091341</v>
      </c>
      <c r="AS304" s="8">
        <f>IF(_xlfn.XLOOKUP(E304,Groups!A:A,Groups!M:M)=1,EXP(0.7444*LN('Base stats'!C304)+6.5696),EXP(0.7927*LN('Base stats'!C304)+4.28))</f>
        <v>2095.9918946402931</v>
      </c>
      <c r="AT304" s="8">
        <f>IF(_xlfn.XLOOKUP(E304,Groups!A:A,Groups!N:N)="No","No",
IF(_xlfn.XLOOKUP(E304,Groups!A:A,Groups!N:N)="Crocodile",EXP(0.8129*LN(C304)+4.6742)*S304,
IF(_xlfn.XLOOKUP(E304,Groups!A:A,Groups!N:N)="Felid",EXP(0.7843*LN(C304)+4.7073)*S304,
IF(_xlfn.XLOOKUP(E304,Groups!A:A,Groups!N:N)="Canid",EXP(0.8367*LN(C304)+4.8763)*S304,
IF(_xlfn.XLOOKUP(E304,Groups!A:A,Groups!N:N)="Pig",EXP(0.3439*LN(C304)+6.8519)*S304,
IF(_xlfn.XLOOKUP(E304,Groups!A:A,Groups!N:N)="Rodent",EXP(0.5625*LN(C304)+4.3006)*S304,
IF(_xlfn.XLOOKUP(E304,Groups!A:A,Groups!N:N)="Primate",EXP(0.7847*LN(C304)+3.4931)*S304,
IF(_xlfn.XLOOKUP(E304,Groups!A:A,Groups!N:N)="MiscCarnivora",EXP(0.7486*LN(C304)+4.2207)*S304,
IF(_xlfn.XLOOKUP(E304,Groups!A:A,Groups!N:N)="Lizard",EXP(0.7733*LN(C304)+5.5303)*S304,
IF(_xlfn.XLOOKUP(E304,Groups!A:A,Groups!N:N)="Snake",50*C304^(2/3)*S304,
IF(_xlfn.XLOOKUP(E304,Groups!A:A,Groups!N:N)="StrongBitingHerbivore",87.1133638856975*C304^(2/3)*S304,
IF(_xlfn.XLOOKUP(E304,Groups!A:A,Groups!N:N)="MiscEctotherms",59.4316884072269*C304^(2/3)*S304,
IF(_xlfn.XLOOKUP(E304,Groups!A:A,Groups!N:N)="StrongBeakBird",0.041*(C304*1000)^1.375*S304,
IF(_xlfn.XLOOKUP(E304,Groups!A:A,Groups!N:N)="Bird",0.118*(C304*1000)^0.692*S304,
IF(_xlfn.XLOOKUP(E304,Groups!A:A,Groups!N:N)="Insect",EXP(0.7444*LN(C304)+6.5696)*S304,
IF(_xlfn.XLOOKUP(E304,Groups!A:A,Groups!N:N)="Theropod",EXP(0.6966*LN(C304)+4.158)*S304,
"No"))))))))))))))))</f>
        <v>6738.9632437784339</v>
      </c>
      <c r="AU304" s="8">
        <f>IF(_xlfn.XLOOKUP(E304,Groups!A:A,Groups!U:U)=3,AS304,IF(_xlfn.XLOOKUP(E304,Groups!A:A,Groups!U:U)=2,AR304,AT304))</f>
        <v>6738.9632437784339</v>
      </c>
      <c r="AV304" s="46">
        <f>IFERROR(AVERAGE(_xlfn.XLOOKUP(B304,Animals!B:B,Animals!N:N),_xlfn.XLOOKUP(B304,Animals!B:B,Animals!O:O)),0)</f>
        <v>0</v>
      </c>
      <c r="AW304" s="8">
        <f>MROUND(40*Animals!AO304*_xlfn.XLOOKUP(AG304,Leathers!$A$2:$A$99,Leathers!$B$2:$B$99,0)+(140*_xlfn.XLOOKUP(B304,Animals!B:B,Animals!AO:AO)*2),5)</f>
        <v>765</v>
      </c>
      <c r="AX304" s="8">
        <f>IFERROR(ROUND(SQRT(V304-1)*IF(_xlfn.XLOOKUP(E304,Groups!A:A,Groups!BF:BF)=0,2,1)*IF(_xlfn.XLOOKUP('Base stats'!E304,Groups!A:A,Groups!O:O)=0,1,0.1),1),0)</f>
        <v>2</v>
      </c>
      <c r="AY304" s="8">
        <f t="shared" si="143"/>
        <v>0.7</v>
      </c>
      <c r="AZ304" s="8">
        <f t="shared" si="144"/>
        <v>0</v>
      </c>
      <c r="BA304" s="8">
        <f t="shared" si="145"/>
        <v>3.7</v>
      </c>
      <c r="BB304" s="8">
        <f>IF(_xlfn.XLOOKUP(E304,Groups!A:A,Groups!N:N)="Insect",BD304*2.5,IFERROR(AVERAGE(BD304,AT304/9.81/IF(OR(_xlfn.XLOOKUP(E304,Groups!A:A,Groups!N:N)="Pig",_xlfn.XLOOKUP(E304,Groups!A:A,Groups!N:N)="StrongBitingHerbivore"),20,25))*C304^-0.135,BD304))</f>
        <v>8.1193153140455987</v>
      </c>
      <c r="BC304" s="8" t="str">
        <f>IF(W304="No","No",IF(_xlfn.XLOOKUP(E304,Groups!A:A,Groups!U:U)=1,'Base stats'!BB304,IF(OR(_xlfn.XLOOKUP(E304,Groups!A:A,Groups!BD:BD)=1,_xlfn.XLOOKUP(E304,Groups!A:A,Groups!U:U)=2),BD304,IF(_xlfn.XLOOKUP(B304,Animals!B:B,Animals!AO:AO)&gt;4,AVERAGE(BD304,BF304),BF304))))</f>
        <v>No</v>
      </c>
      <c r="BD304" s="8">
        <f t="shared" si="146"/>
        <v>1.3383279200893237</v>
      </c>
      <c r="BE304" s="8">
        <f>IF(_xlfn.XLOOKUP(E304,Groups!A:A,Groups!BE:BE)=1,(0.048*C304^1.01)+(0.071*C304^1.03),0.071*C304^1.03)/IF(_xlfn.XLOOKUP(E304,Groups!A:A,Groups!M:M)=1,0.85,IF(OR(_xlfn.XLOOKUP(B304,Animals!B:B,Animals!AO:AO)&gt;4,_xlfn.XLOOKUP(E304,Groups!A:A,Groups!BC:BC)=1),1.7,1))*C304^-0.25</f>
        <v>1.9517977810631861</v>
      </c>
      <c r="BF304" s="8">
        <f>(0.048*C304^1.01)/IF(_xlfn.XLOOKUP(E304,Groups!A:A,Groups!M:M)=1,0.25,0.8)*C304^-0.25</f>
        <v>1.515045796469928</v>
      </c>
      <c r="BG304" s="8">
        <f>EXP(1.076*LN(AR304)-4.5397)*IF(_xlfn.XLOOKUP(E304,Groups!A:A,Groups!BC:BC)=1,1.25,IF(_xlfn.XLOOKUP(E304,Groups!A:A,Groups!BD:BD)=1,3.5,2.5))</f>
        <v>93.478565272069602</v>
      </c>
      <c r="BH304" s="8">
        <f>EXP(1.076*LN(AS304)-4.5397)*IF(_xlfn.XLOOKUP(E304,Groups!A:A,Groups!M:M)=1,0.8,IF(_xlfn.XLOOKUP(E304,Groups!A:A,Groups!BC:BC)=1,1.3,3))</f>
        <v>120.05211168963112</v>
      </c>
      <c r="BI304" s="8" t="str">
        <f>IF(W304="No","No",IF(_xlfn.XLOOKUP(E304,Groups!A:A,Groups!U:U)=1,'Base stats'!BJ304,IF(OR(_xlfn.XLOOKUP(E304,Groups!A:A,Groups!BD:BD)=1,_xlfn.XLOOKUP(E304,Groups!A:A,Groups!U:U)=2),BG304,BH304))*1.2)</f>
        <v>No</v>
      </c>
      <c r="BJ304" s="8">
        <f>IFERROR(EXP(1.076*LN(AT304)-4.5397)*IF(_xlfn.XLOOKUP(E304,Groups!A:A,Groups!N:N)="Insect",1,IF(OR(_xlfn.XLOOKUP(E304,Groups!A:A,Groups!N:N)="Pig",_xlfn.XLOOKUP(E304,Groups!A:A,Groups!N:N)="StrongBitingHerbivore"),3.5,3.75)),"No")</f>
        <v>527.26721787855001</v>
      </c>
      <c r="BK304" s="8">
        <f t="shared" si="147"/>
        <v>11</v>
      </c>
      <c r="BL304" s="8">
        <f t="shared" si="148"/>
        <v>11</v>
      </c>
      <c r="BM304" s="8" t="str">
        <f t="shared" si="149"/>
        <v>No</v>
      </c>
      <c r="BN304" s="8">
        <f t="shared" si="150"/>
        <v>11</v>
      </c>
      <c r="BO304" s="8">
        <f t="shared" si="151"/>
        <v>12</v>
      </c>
      <c r="BP304" s="8" cm="1">
        <f t="array" ref="BP304">IF(AND(_xlfn.XLOOKUP('Base stats'!E304,Groups!A:A,Groups!AD:AD=0),_xlfn.XLOOKUP('Base stats'!E304,Groups!A:A,Groups!P:P=0)),"No",IF(U304="No",AVERAGE(EXP(-0.57+0.99*LN(C304)),EXP(0.32+0.67*LN(C304)))/IF(_xlfn.XLOOKUP(E304,Groups!A:A,Groups!AD:AD)=1,10,2),(0.7354*C304^0.4078)*2/IF(_xlfn.XLOOKUP(E304,Groups!A:A,Groups!BK:BK)=1,1000,100)/IF(_xlfn.XLOOKUP(E304,Groups!A:A,Groups!AJ:AJ)="Photonozoa",3,1)))</f>
        <v>8.3173428110674574E-2</v>
      </c>
      <c r="BQ304" s="8" t="str">
        <f>IF(W304="No","No",IF(_xlfn.XLOOKUP(E304,Groups!A:A,Groups!BD:BD)=1,(AO304*5%),EXP(0.7354*LN(C304)^0.4078)*2/IF(_xlfn.XLOOKUP(E304,Groups!A:A,Groups!BL:BL)=1,1000,100)/IF(_xlfn.XLOOKUP(E304,Groups!A:A,Groups!AJ:AJ)="Photonozoa",3,1)))</f>
        <v>No</v>
      </c>
      <c r="BR304" s="8">
        <f>IF(BJ304="No","No",IF(_xlfn.XLOOKUP(E304,Groups!A:A,Groups!BF:BF)=1,(0.0315*C304+2.1825)*2,(0.7354*C304^0.4078)*2)/IF(_xlfn.XLOOKUP(E304,Groups!A:A,Groups!BM:BM)=1,1000,100)/IF(_xlfn.XLOOKUP(E304,Groups!A:A,Groups!AJ:AJ)="Photonozoa",3,1))</f>
        <v>8.3173428110674574E-2</v>
      </c>
      <c r="BS304" s="8">
        <f t="shared" si="152"/>
        <v>0.10644011350494281</v>
      </c>
      <c r="BT304" s="8">
        <f t="shared" si="153"/>
        <v>1443.3950170946903</v>
      </c>
      <c r="BU304" s="8" t="str">
        <f t="shared" si="154"/>
        <v>No</v>
      </c>
      <c r="BV304" s="8">
        <f t="shared" si="155"/>
        <v>6339.3709969119327</v>
      </c>
      <c r="BW304" s="4">
        <v>0</v>
      </c>
      <c r="BX304" s="4">
        <v>1</v>
      </c>
    </row>
    <row r="305" spans="1:76" s="16" customFormat="1" x14ac:dyDescent="0.25">
      <c r="A305" s="26" t="s">
        <v>1400</v>
      </c>
      <c r="B305" s="6" t="s">
        <v>1624</v>
      </c>
      <c r="C305" s="7">
        <v>50</v>
      </c>
      <c r="D305" s="7" t="s">
        <v>528</v>
      </c>
      <c r="E305" s="7" t="str">
        <f>Groups!$A$27</f>
        <v>Lizard (MONITOR)</v>
      </c>
      <c r="F305" s="7" t="str">
        <f t="shared" si="124"/>
        <v>Lay eggs</v>
      </c>
      <c r="G305" s="7">
        <f>1825/365</f>
        <v>5</v>
      </c>
      <c r="H305" s="7">
        <v>62</v>
      </c>
      <c r="I305" s="4">
        <v>0</v>
      </c>
      <c r="J305" s="7" t="str">
        <f t="shared" si="125"/>
        <v>Lay eggs</v>
      </c>
      <c r="K305" s="7" t="s">
        <v>528</v>
      </c>
      <c r="L305" s="7">
        <v>20</v>
      </c>
      <c r="M305" s="7" t="s">
        <v>528</v>
      </c>
      <c r="N305" s="4">
        <v>0</v>
      </c>
      <c r="O305" s="4">
        <v>0</v>
      </c>
      <c r="P305" s="4">
        <v>0</v>
      </c>
      <c r="Q305" s="4">
        <v>0</v>
      </c>
      <c r="R305" s="4" t="s">
        <v>40</v>
      </c>
      <c r="S305" s="7">
        <f>_xlfn.XLOOKUP(B305,[1]TeethAdjusters!$A:$A,[1]BiteAdjusters!$C:$C,1)</f>
        <v>1.7200053335432037</v>
      </c>
      <c r="T305" s="7">
        <f>_xlfn.XLOOKUP(B305,[1]TeethAdjusters!$A:$A,[1]TeethAdjusters!$B:$B,1)</f>
        <v>1</v>
      </c>
      <c r="U305" s="7">
        <v>2</v>
      </c>
      <c r="V305" s="7">
        <v>2.5</v>
      </c>
      <c r="W305" s="7" t="s">
        <v>45</v>
      </c>
      <c r="X305" s="7" t="s">
        <v>932</v>
      </c>
      <c r="Y305" s="4" t="s">
        <v>53</v>
      </c>
      <c r="Z305" s="4">
        <v>2.4500000000000002</v>
      </c>
      <c r="AA305" s="4">
        <v>0</v>
      </c>
      <c r="AB305" s="4">
        <v>0</v>
      </c>
      <c r="AC305" s="4">
        <v>0</v>
      </c>
      <c r="AD305" s="4">
        <v>0</v>
      </c>
      <c r="AE305" s="4" t="s">
        <v>45</v>
      </c>
      <c r="AF305" s="4" t="s">
        <v>45</v>
      </c>
      <c r="AG305" s="49" t="s">
        <v>386</v>
      </c>
      <c r="AH305" s="4" t="str">
        <f>Animals!$C$32</f>
        <v>&lt;li&gt;Iguana&lt;/li&gt;</v>
      </c>
      <c r="AI305" s="4">
        <v>0</v>
      </c>
      <c r="AJ305" s="4">
        <v>0</v>
      </c>
      <c r="AK305" s="4">
        <v>0</v>
      </c>
      <c r="AL305" s="4">
        <v>0</v>
      </c>
      <c r="AM305" s="4">
        <v>1</v>
      </c>
      <c r="AN305" s="44" t="s">
        <v>40</v>
      </c>
      <c r="AO305" s="8">
        <f t="shared" si="141"/>
        <v>14114.109472474363</v>
      </c>
      <c r="AP305" s="8">
        <f>IFERROR(C305*_xlfn.XLOOKUP(E305,Groups!A:A,Groups!K:K),0.106*C305^0.94)</f>
        <v>4.1911930892219962</v>
      </c>
      <c r="AQ305" s="8">
        <f>AP305*10000/(_xlfn.XLOOKUP(E305,Groups!A:A,Groups!J:J)*AO305)</f>
        <v>2.7243173095790771</v>
      </c>
      <c r="AR305" s="8">
        <f t="shared" si="142"/>
        <v>1481.019280401604</v>
      </c>
      <c r="AS305" s="8">
        <f>IF(_xlfn.XLOOKUP(E305,Groups!A:A,Groups!M:M)=1,EXP(0.7444*LN('Base stats'!C305)+6.5696),EXP(0.7927*LN('Base stats'!C305)+4.28))</f>
        <v>1605.2914958133745</v>
      </c>
      <c r="AT305" s="8">
        <f>IF(_xlfn.XLOOKUP(E305,Groups!A:A,Groups!N:N)="No","No",
IF(_xlfn.XLOOKUP(E305,Groups!A:A,Groups!N:N)="Crocodile",EXP(0.8129*LN(C305)+4.6742)*S305,
IF(_xlfn.XLOOKUP(E305,Groups!A:A,Groups!N:N)="Felid",EXP(0.7843*LN(C305)+4.7073)*S305,
IF(_xlfn.XLOOKUP(E305,Groups!A:A,Groups!N:N)="Canid",EXP(0.8367*LN(C305)+4.8763)*S305,
IF(_xlfn.XLOOKUP(E305,Groups!A:A,Groups!N:N)="Pig",EXP(0.3439*LN(C305)+6.8519)*S305,
IF(_xlfn.XLOOKUP(E305,Groups!A:A,Groups!N:N)="Rodent",EXP(0.5625*LN(C305)+4.3006)*S305,
IF(_xlfn.XLOOKUP(E305,Groups!A:A,Groups!N:N)="Primate",EXP(0.7847*LN(C305)+3.4931)*S305,
IF(_xlfn.XLOOKUP(E305,Groups!A:A,Groups!N:N)="MiscCarnivora",EXP(0.7486*LN(C305)+4.2207)*S305,
IF(_xlfn.XLOOKUP(E305,Groups!A:A,Groups!N:N)="Lizard",EXP(0.7733*LN(C305)+5.5303)*S305,
IF(_xlfn.XLOOKUP(E305,Groups!A:A,Groups!N:N)="Snake",50*C305^(2/3)*S305,
IF(_xlfn.XLOOKUP(E305,Groups!A:A,Groups!N:N)="StrongBitingHerbivore",87.1133638856975*C305^(2/3)*S305,
IF(_xlfn.XLOOKUP(E305,Groups!A:A,Groups!N:N)="MiscEctotherms",59.4316884072269*C305^(2/3)*S305,
IF(_xlfn.XLOOKUP(E305,Groups!A:A,Groups!N:N)="StrongBeakBird",0.041*(C305*1000)^1.375*S305,
IF(_xlfn.XLOOKUP(E305,Groups!A:A,Groups!N:N)="Bird",0.118*(C305*1000)^0.692*S305,
IF(_xlfn.XLOOKUP(E305,Groups!A:A,Groups!N:N)="Insect",EXP(0.7444*LN(C305)+6.5696)*S305,
IF(_xlfn.XLOOKUP(E305,Groups!A:A,Groups!N:N)="Theropod",EXP(0.6966*LN(C305)+4.158)*S305,
"No"))))))))))))))))</f>
        <v>8935.5660879038314</v>
      </c>
      <c r="AU305" s="8">
        <f>IF(_xlfn.XLOOKUP(E305,Groups!A:A,Groups!U:U)=3,AS305,IF(_xlfn.XLOOKUP(E305,Groups!A:A,Groups!U:U)=2,AR305,AT305))</f>
        <v>8935.5660879038314</v>
      </c>
      <c r="AV305" s="46">
        <f>IFERROR(AVERAGE(_xlfn.XLOOKUP(B305,Animals!B:B,Animals!N:N),_xlfn.XLOOKUP(B305,Animals!B:B,Animals!O:O)),0)</f>
        <v>0</v>
      </c>
      <c r="AW305" s="8">
        <f>MROUND(40*Animals!AO305*_xlfn.XLOOKUP(AG305,Leathers!$A$2:$A$99,Leathers!$B$2:$B$99,0)+(140*_xlfn.XLOOKUP(B305,Animals!B:B,Animals!AO:AO)*2),5)</f>
        <v>500</v>
      </c>
      <c r="AX305" s="8">
        <f>IFERROR(ROUND(SQRT(V305-1)*IF(_xlfn.XLOOKUP(E305,Groups!A:A,Groups!BF:BF)=0,2,1)*IF(_xlfn.XLOOKUP('Base stats'!E305,Groups!A:A,Groups!O:O)=0,1,0.1),1),0)</f>
        <v>2.4</v>
      </c>
      <c r="AY305" s="8">
        <f t="shared" si="143"/>
        <v>1</v>
      </c>
      <c r="AZ305" s="8">
        <f t="shared" si="144"/>
        <v>0</v>
      </c>
      <c r="BA305" s="8">
        <f t="shared" si="145"/>
        <v>3.3</v>
      </c>
      <c r="BB305" s="8">
        <f>IF(_xlfn.XLOOKUP(E305,Groups!A:A,Groups!N:N)="Insect",BD305*2.5,IFERROR(AVERAGE(BD305,AT305/9.81/IF(OR(_xlfn.XLOOKUP(E305,Groups!A:A,Groups!N:N)="Pig",_xlfn.XLOOKUP(E305,Groups!A:A,Groups!N:N)="StrongBitingHerbivore"),20,25))*C305^-0.135,BD305))</f>
        <v>11.041273278574417</v>
      </c>
      <c r="BC305" s="8" t="str">
        <f>IF(W305="No","No",IF(_xlfn.XLOOKUP(E305,Groups!A:A,Groups!U:U)=1,'Base stats'!BB305,IF(OR(_xlfn.XLOOKUP(E305,Groups!A:A,Groups!BD:BD)=1,_xlfn.XLOOKUP(E305,Groups!A:A,Groups!U:U)=2),BD305,IF(_xlfn.XLOOKUP(B305,Animals!B:B,Animals!AO:AO)&gt;4,AVERAGE(BD305,BF305),BF305))))</f>
        <v>No</v>
      </c>
      <c r="BD305" s="8">
        <f t="shared" si="146"/>
        <v>1.0118826294400882</v>
      </c>
      <c r="BE305" s="8">
        <f>IF(_xlfn.XLOOKUP(E305,Groups!A:A,Groups!BE:BE)=1,(0.048*C305^1.01)+(0.071*C305^1.03),0.071*C305^1.03)/IF(_xlfn.XLOOKUP(E305,Groups!A:A,Groups!M:M)=1,0.85,IF(OR(_xlfn.XLOOKUP(B305,Animals!B:B,Animals!AO:AO)&gt;4,_xlfn.XLOOKUP(E305,Groups!A:A,Groups!BC:BC)=1),1.7,1))*C305^-0.25</f>
        <v>1.5012566773963152</v>
      </c>
      <c r="BF305" s="8">
        <f>(0.048*C305^1.01)/IF(_xlfn.XLOOKUP(E305,Groups!A:A,Groups!M:M)=1,0.25,0.8)*C305^-0.25</f>
        <v>1.1731902733256112</v>
      </c>
      <c r="BG305" s="8">
        <f>EXP(1.076*LN(AR305)-4.5397)*IF(_xlfn.XLOOKUP(E305,Groups!A:A,Groups!BC:BC)=1,1.25,IF(_xlfn.XLOOKUP(E305,Groups!A:A,Groups!BD:BD)=1,3.5,2.5))</f>
        <v>68.848847644384961</v>
      </c>
      <c r="BH305" s="8">
        <f>EXP(1.076*LN(AS305)-4.5397)*IF(_xlfn.XLOOKUP(E305,Groups!A:A,Groups!M:M)=1,0.8,IF(_xlfn.XLOOKUP(E305,Groups!A:A,Groups!BC:BC)=1,1.3,3))</f>
        <v>90.101204539033517</v>
      </c>
      <c r="BI305" s="8" t="str">
        <f>IF(W305="No","No",IF(_xlfn.XLOOKUP(E305,Groups!A:A,Groups!U:U)=1,'Base stats'!BJ305,IF(OR(_xlfn.XLOOKUP(E305,Groups!A:A,Groups!BD:BD)=1,_xlfn.XLOOKUP(E305,Groups!A:A,Groups!U:U)=2),BG305,BH305))*1.2)</f>
        <v>No</v>
      </c>
      <c r="BJ305" s="8">
        <f>IFERROR(EXP(1.076*LN(AT305)-4.5397)*IF(_xlfn.XLOOKUP(E305,Groups!A:A,Groups!N:N)="Insect",1,IF(OR(_xlfn.XLOOKUP(E305,Groups!A:A,Groups!N:N)="Pig",_xlfn.XLOOKUP(E305,Groups!A:A,Groups!N:N)="StrongBitingHerbivore"),3.5,3.75)),"No")</f>
        <v>714.28570203908293</v>
      </c>
      <c r="BK305" s="8">
        <f t="shared" si="147"/>
        <v>11</v>
      </c>
      <c r="BL305" s="8">
        <f t="shared" si="148"/>
        <v>10</v>
      </c>
      <c r="BM305" s="8" t="str">
        <f t="shared" si="149"/>
        <v>No</v>
      </c>
      <c r="BN305" s="8">
        <f t="shared" si="150"/>
        <v>11</v>
      </c>
      <c r="BO305" s="8">
        <f t="shared" si="151"/>
        <v>12</v>
      </c>
      <c r="BP305" s="8" cm="1">
        <f t="array" ref="BP305">IF(AND(_xlfn.XLOOKUP('Base stats'!E305,Groups!A:A,Groups!AD:AD=0),_xlfn.XLOOKUP('Base stats'!E305,Groups!A:A,Groups!P:P=0)),"No",IF(U305="No",AVERAGE(EXP(-0.57+0.99*LN(C305)),EXP(0.32+0.67*LN(C305)))/IF(_xlfn.XLOOKUP(E305,Groups!A:A,Groups!AD:AD)=1,10,2),(0.7354*C305^0.4078)*2/IF(_xlfn.XLOOKUP(E305,Groups!A:A,Groups!BK:BK)=1,1000,100)/IF(_xlfn.XLOOKUP(E305,Groups!A:A,Groups!AJ:AJ)="Photonozoa",3,1)))</f>
        <v>7.2509279375208957E-2</v>
      </c>
      <c r="BQ305" s="8" t="str">
        <f>IF(W305="No","No",IF(_xlfn.XLOOKUP(E305,Groups!A:A,Groups!BD:BD)=1,(AO305*5%),EXP(0.7354*LN(C305)^0.4078)*2/IF(_xlfn.XLOOKUP(E305,Groups!A:A,Groups!BL:BL)=1,1000,100)/IF(_xlfn.XLOOKUP(E305,Groups!A:A,Groups!AJ:AJ)="Photonozoa",3,1)))</f>
        <v>No</v>
      </c>
      <c r="BR305" s="8">
        <f>IF(BJ305="No","No",IF(_xlfn.XLOOKUP(E305,Groups!A:A,Groups!BF:BF)=1,(0.0315*C305+2.1825)*2,(0.7354*C305^0.4078)*2)/IF(_xlfn.XLOOKUP(E305,Groups!A:A,Groups!BM:BM)=1,1000,100)/IF(_xlfn.XLOOKUP(E305,Groups!A:A,Groups!AJ:AJ)="Photonozoa",3,1))</f>
        <v>7.2509279375208957E-2</v>
      </c>
      <c r="BS305" s="8">
        <f t="shared" si="152"/>
        <v>9.756031406537613E-2</v>
      </c>
      <c r="BT305" s="8">
        <f t="shared" si="153"/>
        <v>1242.6161908573492</v>
      </c>
      <c r="BU305" s="8" t="str">
        <f t="shared" si="154"/>
        <v>No</v>
      </c>
      <c r="BV305" s="8">
        <f t="shared" si="155"/>
        <v>9850.9557424080322</v>
      </c>
      <c r="BW305" s="4">
        <v>0</v>
      </c>
      <c r="BX305" s="4">
        <v>1</v>
      </c>
    </row>
    <row r="306" spans="1:76" s="16" customFormat="1" x14ac:dyDescent="0.25">
      <c r="A306" s="26" t="s">
        <v>1556</v>
      </c>
      <c r="B306" s="6" t="s">
        <v>1851</v>
      </c>
      <c r="C306" s="7">
        <v>100</v>
      </c>
      <c r="D306" s="7" t="s">
        <v>528</v>
      </c>
      <c r="E306" s="7" t="str">
        <f>Groups!$A$28</f>
        <v>Lizard (MONITOR, SCAVENGER)</v>
      </c>
      <c r="F306" s="7" t="str">
        <f t="shared" ref="F306" si="160">"Lay eggs"</f>
        <v>Lay eggs</v>
      </c>
      <c r="G306" s="7">
        <f>1825/365</f>
        <v>5</v>
      </c>
      <c r="H306" s="7">
        <v>65</v>
      </c>
      <c r="I306" s="4">
        <v>0</v>
      </c>
      <c r="J306" s="7" t="str">
        <f t="shared" ref="J306" si="161">"Lay eggs"</f>
        <v>Lay eggs</v>
      </c>
      <c r="K306" s="7" t="s">
        <v>528</v>
      </c>
      <c r="L306" s="7">
        <v>20</v>
      </c>
      <c r="M306" s="7" t="s">
        <v>637</v>
      </c>
      <c r="N306" s="4">
        <v>0</v>
      </c>
      <c r="O306" s="4">
        <v>0</v>
      </c>
      <c r="P306" s="4">
        <v>0</v>
      </c>
      <c r="Q306" s="4">
        <v>0</v>
      </c>
      <c r="R306" s="4" t="s">
        <v>40</v>
      </c>
      <c r="S306" s="7">
        <f>_xlfn.XLOOKUP(B306,[1]TeethAdjusters!$A:$A,[1]BiteAdjusters!$C:$C,1)</f>
        <v>0.21856036162674039</v>
      </c>
      <c r="T306" s="7">
        <f>_xlfn.XLOOKUP(B306,[1]TeethAdjusters!$A:$A,[1]TeethAdjusters!$B:$B,1)</f>
        <v>1</v>
      </c>
      <c r="U306" s="7">
        <v>2.5</v>
      </c>
      <c r="V306" s="7">
        <v>3</v>
      </c>
      <c r="W306" s="7" t="s">
        <v>45</v>
      </c>
      <c r="X306" s="7" t="s">
        <v>932</v>
      </c>
      <c r="Y306" s="4" t="s">
        <v>56</v>
      </c>
      <c r="Z306" s="4">
        <v>1</v>
      </c>
      <c r="AA306" s="4">
        <v>0</v>
      </c>
      <c r="AB306" s="4">
        <v>0</v>
      </c>
      <c r="AC306" s="4">
        <v>0</v>
      </c>
      <c r="AD306" s="4">
        <v>0</v>
      </c>
      <c r="AE306" s="4" t="s">
        <v>45</v>
      </c>
      <c r="AF306" s="4" t="s">
        <v>45</v>
      </c>
      <c r="AG306" s="49" t="s">
        <v>386</v>
      </c>
      <c r="AH306" s="4" t="str">
        <f>Animals!$C$32</f>
        <v>&lt;li&gt;Iguana&lt;/li&gt;</v>
      </c>
      <c r="AI306" s="4">
        <v>0</v>
      </c>
      <c r="AJ306" s="4">
        <v>0</v>
      </c>
      <c r="AK306" s="4">
        <v>0</v>
      </c>
      <c r="AL306" s="4">
        <v>0</v>
      </c>
      <c r="AM306" s="4">
        <v>1</v>
      </c>
      <c r="AN306" s="44" t="s">
        <v>40</v>
      </c>
      <c r="AO306" s="8">
        <f t="shared" si="141"/>
        <v>22147.411696154573</v>
      </c>
      <c r="AP306" s="8">
        <f>IFERROR(C306*_xlfn.XLOOKUP(E306,Groups!A:A,Groups!K:K),0.106*C306^0.94)</f>
        <v>8.0409222953093469</v>
      </c>
      <c r="AQ306" s="8">
        <f>AP306*10000/(_xlfn.XLOOKUP(E306,Groups!A:A,Groups!J:J)*AO306)</f>
        <v>3.3308600719050716</v>
      </c>
      <c r="AR306" s="8">
        <f t="shared" si="142"/>
        <v>2659.7495843014949</v>
      </c>
      <c r="AS306" s="8">
        <f>IF(_xlfn.XLOOKUP(E306,Groups!A:A,Groups!M:M)=1,EXP(0.7444*LN('Base stats'!C306)+6.5696),EXP(0.7927*LN('Base stats'!C306)+4.28))</f>
        <v>2780.8680507952254</v>
      </c>
      <c r="AT306" s="8">
        <f>IF(_xlfn.XLOOKUP(E306,Groups!A:A,Groups!N:N)="No","No",
IF(_xlfn.XLOOKUP(E306,Groups!A:A,Groups!N:N)="Crocodile",EXP(0.8129*LN(C306)+4.6742)*S306,
IF(_xlfn.XLOOKUP(E306,Groups!A:A,Groups!N:N)="Felid",EXP(0.7843*LN(C306)+4.7073)*S306,
IF(_xlfn.XLOOKUP(E306,Groups!A:A,Groups!N:N)="Canid",EXP(0.8367*LN(C306)+4.8763)*S306,
IF(_xlfn.XLOOKUP(E306,Groups!A:A,Groups!N:N)="Pig",EXP(0.3439*LN(C306)+6.8519)*S306,
IF(_xlfn.XLOOKUP(E306,Groups!A:A,Groups!N:N)="Rodent",EXP(0.5625*LN(C306)+4.3006)*S306,
IF(_xlfn.XLOOKUP(E306,Groups!A:A,Groups!N:N)="Primate",EXP(0.7847*LN(C306)+3.4931)*S306,
IF(_xlfn.XLOOKUP(E306,Groups!A:A,Groups!N:N)="MiscCarnivora",EXP(0.7486*LN(C306)+4.2207)*S306,
IF(_xlfn.XLOOKUP(E306,Groups!A:A,Groups!N:N)="Lizard",EXP(0.7733*LN(C306)+5.5303)*S306,
IF(_xlfn.XLOOKUP(E306,Groups!A:A,Groups!N:N)="Snake",50*C306^(2/3)*S306,
IF(_xlfn.XLOOKUP(E306,Groups!A:A,Groups!N:N)="StrongBitingHerbivore",87.1133638856975*C306^(2/3)*S306,
IF(_xlfn.XLOOKUP(E306,Groups!A:A,Groups!N:N)="MiscEctotherms",59.4316884072269*C306^(2/3)*S306,
IF(_xlfn.XLOOKUP(E306,Groups!A:A,Groups!N:N)="StrongBeakBird",0.041*(C306*1000)^1.375*S306,
IF(_xlfn.XLOOKUP(E306,Groups!A:A,Groups!N:N)="Bird",0.118*(C306*1000)^0.692*S306,
IF(_xlfn.XLOOKUP(E306,Groups!A:A,Groups!N:N)="Insect",EXP(0.7444*LN(C306)+6.5696)*S306,
IF(_xlfn.XLOOKUP(E306,Groups!A:A,Groups!N:N)="Theropod",EXP(0.6966*LN(C306)+4.158)*S306,
"No"))))))))))))))))</f>
        <v>1940.6632145614005</v>
      </c>
      <c r="AU306" s="8">
        <f>IF(_xlfn.XLOOKUP(E306,Groups!A:A,Groups!U:U)=3,AS306,IF(_xlfn.XLOOKUP(E306,Groups!A:A,Groups!U:U)=2,AR306,AT306))</f>
        <v>1940.6632145614005</v>
      </c>
      <c r="AV306" s="46">
        <f>IFERROR(AVERAGE(_xlfn.XLOOKUP(B306,Animals!B:B,Animals!N:N),_xlfn.XLOOKUP(B306,Animals!B:B,Animals!O:O)),0)</f>
        <v>0</v>
      </c>
      <c r="AW306" s="8">
        <f>MROUND(40*Animals!AO306*_xlfn.XLOOKUP(AG306,Leathers!$A$2:$A$99,Leathers!$B$2:$B$99,0)+(140*_xlfn.XLOOKUP(B306,Animals!B:B,Animals!AO:AO)*2),5)</f>
        <v>545</v>
      </c>
      <c r="AX306" s="8">
        <f>IFERROR(ROUND(SQRT(V306-1)*IF(_xlfn.XLOOKUP(E306,Groups!A:A,Groups!BF:BF)=0,2,1)*IF(_xlfn.XLOOKUP('Base stats'!E306,Groups!A:A,Groups!O:O)=0,1,0.1),1),0)</f>
        <v>2.8</v>
      </c>
      <c r="AY306" s="8">
        <f t="shared" si="143"/>
        <v>1.2</v>
      </c>
      <c r="AZ306" s="8">
        <f t="shared" si="144"/>
        <v>0</v>
      </c>
      <c r="BA306" s="8">
        <f t="shared" si="145"/>
        <v>4.2</v>
      </c>
      <c r="BB306" s="8">
        <f>IF(_xlfn.XLOOKUP(E306,Groups!A:A,Groups!N:N)="Insect",BD306*2.5,IFERROR(AVERAGE(BD306,AT306/9.81/IF(OR(_xlfn.XLOOKUP(E306,Groups!A:A,Groups!N:N)="Pig",_xlfn.XLOOKUP(E306,Groups!A:A,Groups!N:N)="StrongBitingHerbivore"),20,25))*C306^-0.135,BD306))</f>
        <v>2.6081099736363154</v>
      </c>
      <c r="BC306" s="8" t="str">
        <f>IF(W306="No","No",IF(_xlfn.XLOOKUP(E306,Groups!A:A,Groups!U:U)=1,'Base stats'!BB306,IF(OR(_xlfn.XLOOKUP(E306,Groups!A:A,Groups!BD:BD)=1,_xlfn.XLOOKUP(E306,Groups!A:A,Groups!U:U)=2),BD306,IF(_xlfn.XLOOKUP(B306,Animals!B:B,Animals!AO:AO)&gt;4,AVERAGE(BD306,BF306),BF306))))</f>
        <v>No</v>
      </c>
      <c r="BD306" s="8">
        <f t="shared" si="146"/>
        <v>1.8000562103205242</v>
      </c>
      <c r="BE306" s="8">
        <f>IF(_xlfn.XLOOKUP(E306,Groups!A:A,Groups!BE:BE)=1,(0.048*C306^1.01)+(0.071*C306^1.03),0.071*C306^1.03)/IF(_xlfn.XLOOKUP(E306,Groups!A:A,Groups!M:M)=1,0.85,IF(OR(_xlfn.XLOOKUP(B306,Animals!B:B,Animals!AO:AO)&gt;4,_xlfn.XLOOKUP(E306,Groups!A:A,Groups!BC:BC)=1),1.7,1))*C306^-0.25</f>
        <v>2.5778541888677213</v>
      </c>
      <c r="BF306" s="8">
        <f>(0.048*C306^1.01)/IF(_xlfn.XLOOKUP(E306,Groups!A:A,Groups!M:M)=1,0.25,0.8)*C306^-0.25</f>
        <v>1.986786728895547</v>
      </c>
      <c r="BG306" s="8">
        <f>EXP(1.076*LN(AR306)-4.5397)*IF(_xlfn.XLOOKUP(E306,Groups!A:A,Groups!BC:BC)=1,1.25,IF(_xlfn.XLOOKUP(E306,Groups!A:A,Groups!BD:BD)=1,3.5,2.5))</f>
        <v>129.27126415643053</v>
      </c>
      <c r="BH306" s="8">
        <f>EXP(1.076*LN(AS306)-4.5397)*IF(_xlfn.XLOOKUP(E306,Groups!A:A,Groups!M:M)=1,0.8,IF(_xlfn.XLOOKUP(E306,Groups!A:A,Groups!BC:BC)=1,1.3,3))</f>
        <v>162.73939114543509</v>
      </c>
      <c r="BI306" s="8" t="str">
        <f>IF(W306="No","No",IF(_xlfn.XLOOKUP(E306,Groups!A:A,Groups!U:U)=1,'Base stats'!BJ306,IF(OR(_xlfn.XLOOKUP(E306,Groups!A:A,Groups!BD:BD)=1,_xlfn.XLOOKUP(E306,Groups!A:A,Groups!U:U)=2),BG306,BH306))*1.2)</f>
        <v>No</v>
      </c>
      <c r="BJ306" s="8">
        <f>IFERROR(EXP(1.076*LN(AT306)-4.5397)*IF(_xlfn.XLOOKUP(E306,Groups!A:A,Groups!N:N)="Insect",1,IF(OR(_xlfn.XLOOKUP(E306,Groups!A:A,Groups!N:N)="Pig",_xlfn.XLOOKUP(E306,Groups!A:A,Groups!N:N)="StrongBitingHerbivore"),3.5,3.75)),"No")</f>
        <v>138.13349340706785</v>
      </c>
      <c r="BK306" s="8">
        <f t="shared" si="147"/>
        <v>11</v>
      </c>
      <c r="BL306" s="8">
        <f t="shared" si="148"/>
        <v>11</v>
      </c>
      <c r="BM306" s="8" t="str">
        <f t="shared" si="149"/>
        <v>No</v>
      </c>
      <c r="BN306" s="8">
        <f t="shared" si="150"/>
        <v>10</v>
      </c>
      <c r="BO306" s="8">
        <f t="shared" si="151"/>
        <v>12</v>
      </c>
      <c r="BP306" s="8" cm="1">
        <f t="array" ref="BP306">IF(AND(_xlfn.XLOOKUP('Base stats'!E306,Groups!A:A,Groups!AD:AD=0),_xlfn.XLOOKUP('Base stats'!E306,Groups!A:A,Groups!P:P=0)),"No",IF(U306="No",AVERAGE(EXP(-0.57+0.99*LN(C306)),EXP(0.32+0.67*LN(C306)))/IF(_xlfn.XLOOKUP(E306,Groups!A:A,Groups!AD:AD)=1,10,2),(0.7354*C306^0.4078)*2/IF(_xlfn.XLOOKUP(E306,Groups!A:A,Groups!BK:BK)=1,1000,100)/IF(_xlfn.XLOOKUP(E306,Groups!A:A,Groups!AJ:AJ)="Photonozoa",3,1)))</f>
        <v>9.6195248569743513E-2</v>
      </c>
      <c r="BQ306" s="8" t="str">
        <f>IF(W306="No","No",IF(_xlfn.XLOOKUP(E306,Groups!A:A,Groups!BD:BD)=1,(AO306*5%),EXP(0.7354*LN(C306)^0.4078)*2/IF(_xlfn.XLOOKUP(E306,Groups!A:A,Groups!BL:BL)=1,1000,100)/IF(_xlfn.XLOOKUP(E306,Groups!A:A,Groups!AJ:AJ)="Photonozoa",3,1)))</f>
        <v>No</v>
      </c>
      <c r="BR306" s="8">
        <f>IF(BJ306="No","No",IF(_xlfn.XLOOKUP(E306,Groups!A:A,Groups!BF:BF)=1,(0.0315*C306+2.1825)*2,(0.7354*C306^0.4078)*2)/IF(_xlfn.XLOOKUP(E306,Groups!A:A,Groups!BM:BM)=1,1000,100)/IF(_xlfn.XLOOKUP(E306,Groups!A:A,Groups!AJ:AJ)="Photonozoa",3,1))</f>
        <v>9.6195248569743513E-2</v>
      </c>
      <c r="BS306" s="8">
        <f t="shared" si="152"/>
        <v>0.11673713021632748</v>
      </c>
      <c r="BT306" s="8">
        <f t="shared" si="153"/>
        <v>1691.7612206952792</v>
      </c>
      <c r="BU306" s="8" t="str">
        <f t="shared" si="154"/>
        <v>No</v>
      </c>
      <c r="BV306" s="8">
        <f t="shared" si="155"/>
        <v>1435.9700241007044</v>
      </c>
      <c r="BW306" s="4">
        <v>0</v>
      </c>
      <c r="BX306" s="4">
        <v>1</v>
      </c>
    </row>
    <row r="307" spans="1:76" s="16" customFormat="1" x14ac:dyDescent="0.25">
      <c r="A307" s="26" t="s">
        <v>1492</v>
      </c>
      <c r="B307" s="6" t="s">
        <v>1656</v>
      </c>
      <c r="C307" s="7">
        <v>1500</v>
      </c>
      <c r="D307" s="7" t="s">
        <v>528</v>
      </c>
      <c r="E307" s="7" t="str">
        <f>Groups!$A$114</f>
        <v>Crocodile (LOCKJAW)</v>
      </c>
      <c r="F307" s="7" t="str">
        <f>"Lay eggs"</f>
        <v>Lay eggs</v>
      </c>
      <c r="G307" s="7">
        <v>15</v>
      </c>
      <c r="H307" s="7">
        <v>100</v>
      </c>
      <c r="I307" s="4">
        <v>1</v>
      </c>
      <c r="J307" s="7" t="str">
        <f>"Lay eggs"</f>
        <v>Lay eggs</v>
      </c>
      <c r="K307" s="7" t="s">
        <v>868</v>
      </c>
      <c r="L307" s="7">
        <v>8</v>
      </c>
      <c r="M307" s="7" t="s">
        <v>528</v>
      </c>
      <c r="N307" s="4">
        <v>0</v>
      </c>
      <c r="O307" s="4">
        <v>0</v>
      </c>
      <c r="P307" s="4">
        <v>0</v>
      </c>
      <c r="Q307" s="4">
        <v>0</v>
      </c>
      <c r="R307" s="4" t="s">
        <v>40</v>
      </c>
      <c r="S307" s="7">
        <f>_xlfn.XLOOKUP(B307,[1]TeethAdjusters!$A:$A,[1]BiteAdjusters!$C:$C,1)</f>
        <v>1</v>
      </c>
      <c r="T307" s="7">
        <f>_xlfn.XLOOKUP(B307,[1]TeethAdjusters!$A:$A,[1]TeethAdjusters!$B:$B,1)</f>
        <v>1</v>
      </c>
      <c r="U307" s="7" t="s">
        <v>45</v>
      </c>
      <c r="V307" s="7">
        <v>8</v>
      </c>
      <c r="W307" s="7" t="s">
        <v>45</v>
      </c>
      <c r="X307" s="7" t="s">
        <v>932</v>
      </c>
      <c r="Y307" s="4" t="s">
        <v>56</v>
      </c>
      <c r="Z307" s="4">
        <v>1</v>
      </c>
      <c r="AA307" s="4">
        <v>0</v>
      </c>
      <c r="AB307" s="4">
        <v>0</v>
      </c>
      <c r="AC307" s="4">
        <v>0</v>
      </c>
      <c r="AD307" s="4">
        <v>0</v>
      </c>
      <c r="AE307" s="4" t="s">
        <v>45</v>
      </c>
      <c r="AF307" s="4" t="s">
        <v>45</v>
      </c>
      <c r="AG307" s="49" t="s">
        <v>386</v>
      </c>
      <c r="AH307" s="4" t="str">
        <f>Animals!$C$32</f>
        <v>&lt;li&gt;Iguana&lt;/li&gt;</v>
      </c>
      <c r="AI307" s="4">
        <v>0</v>
      </c>
      <c r="AJ307" s="4">
        <v>1</v>
      </c>
      <c r="AK307" s="4">
        <v>0</v>
      </c>
      <c r="AL307" s="4">
        <v>0</v>
      </c>
      <c r="AM307" s="4">
        <v>1</v>
      </c>
      <c r="AN307" s="44">
        <v>15</v>
      </c>
      <c r="AO307" s="8">
        <f t="shared" si="141"/>
        <v>128760.39407088321</v>
      </c>
      <c r="AP307" s="8">
        <f>IFERROR(C307*_xlfn.XLOOKUP(E307,Groups!A:A,Groups!K:K),0.106*C307^0.94)</f>
        <v>300</v>
      </c>
      <c r="AQ307" s="8">
        <f>AP307*10000/(_xlfn.XLOOKUP(E307,Groups!A:A,Groups!J:J)*AO307)</f>
        <v>12.526392431810519</v>
      </c>
      <c r="AR307" s="8">
        <f t="shared" si="142"/>
        <v>26199.019384472653</v>
      </c>
      <c r="AS307" s="8">
        <f>IF(_xlfn.XLOOKUP(E307,Groups!A:A,Groups!M:M)=1,EXP(0.7444*LN('Base stats'!C307)+6.5696),EXP(0.7927*LN('Base stats'!C307)+4.28))</f>
        <v>23794.025550249138</v>
      </c>
      <c r="AT307" s="8">
        <f>IF(_xlfn.XLOOKUP(E307,Groups!A:A,Groups!N:N)="No","No",
IF(_xlfn.XLOOKUP(E307,Groups!A:A,Groups!N:N)="Crocodile",EXP(0.8129*LN(C307)+4.6742)*S307,
IF(_xlfn.XLOOKUP(E307,Groups!A:A,Groups!N:N)="Felid",EXP(0.7843*LN(C307)+4.7073)*S307,
IF(_xlfn.XLOOKUP(E307,Groups!A:A,Groups!N:N)="Canid",EXP(0.8367*LN(C307)+4.8763)*S307,
IF(_xlfn.XLOOKUP(E307,Groups!A:A,Groups!N:N)="Pig",EXP(0.3439*LN(C307)+6.8519)*S307,
IF(_xlfn.XLOOKUP(E307,Groups!A:A,Groups!N:N)="Rodent",EXP(0.5625*LN(C307)+4.3006)*S307,
IF(_xlfn.XLOOKUP(E307,Groups!A:A,Groups!N:N)="Primate",EXP(0.7847*LN(C307)+3.4931)*S307,
IF(_xlfn.XLOOKUP(E307,Groups!A:A,Groups!N:N)="MiscCarnivora",EXP(0.7486*LN(C307)+4.2207)*S307,
IF(_xlfn.XLOOKUP(E307,Groups!A:A,Groups!N:N)="Lizard",EXP(0.7733*LN(C307)+5.5303)*S307,
IF(_xlfn.XLOOKUP(E307,Groups!A:A,Groups!N:N)="Snake",50*C307^(2/3)*S307,
IF(_xlfn.XLOOKUP(E307,Groups!A:A,Groups!N:N)="StrongBitingHerbivore",87.1133638856975*C307^(2/3)*S307,
IF(_xlfn.XLOOKUP(E307,Groups!A:A,Groups!N:N)="MiscEctotherms",59.4316884072269*C307^(2/3)*S307,
IF(_xlfn.XLOOKUP(E307,Groups!A:A,Groups!N:N)="StrongBeakBird",0.041*(C307*1000)^1.375*S307,
IF(_xlfn.XLOOKUP(E307,Groups!A:A,Groups!N:N)="Bird",0.118*(C307*1000)^0.692*S307,
IF(_xlfn.XLOOKUP(E307,Groups!A:A,Groups!N:N)="Insect",EXP(0.7444*LN(C307)+6.5696)*S307,
IF(_xlfn.XLOOKUP(E307,Groups!A:A,Groups!N:N)="Theropod",EXP(0.6966*LN(C307)+4.158)*S307,
"No"))))))))))))))))</f>
        <v>40909.469881110606</v>
      </c>
      <c r="AU307" s="8">
        <f>IF(_xlfn.XLOOKUP(E307,Groups!A:A,Groups!U:U)=3,AS307,IF(_xlfn.XLOOKUP(E307,Groups!A:A,Groups!U:U)=2,AR307,AT307))</f>
        <v>40909.469881110606</v>
      </c>
      <c r="AV307" s="46">
        <f>IFERROR(AVERAGE(_xlfn.XLOOKUP(B307,Animals!B:B,Animals!N:N),_xlfn.XLOOKUP(B307,Animals!B:B,Animals!O:O)),0)</f>
        <v>0.42500000000000004</v>
      </c>
      <c r="AW307" s="8">
        <f>MROUND(40*Animals!AO307*_xlfn.XLOOKUP(AG307,Leathers!$A$2:$A$99,Leathers!$B$2:$B$99,0)+(140*_xlfn.XLOOKUP(B307,Animals!B:B,Animals!AO:AO)*2),5)</f>
        <v>1145</v>
      </c>
      <c r="AX307" s="8">
        <f>IFERROR(ROUND(SQRT(V307-1)*IF(_xlfn.XLOOKUP(E307,Groups!A:A,Groups!BF:BF)=0,2,1)*IF(_xlfn.XLOOKUP('Base stats'!E307,Groups!A:A,Groups!O:O)=0,1,0.1),1),0)</f>
        <v>2.6</v>
      </c>
      <c r="AY307" s="8">
        <f t="shared" si="143"/>
        <v>0</v>
      </c>
      <c r="AZ307" s="8">
        <f t="shared" si="144"/>
        <v>0</v>
      </c>
      <c r="BA307" s="8">
        <f t="shared" si="145"/>
        <v>11</v>
      </c>
      <c r="BB307" s="8">
        <f>IF(_xlfn.XLOOKUP(E307,Groups!A:A,Groups!N:N)="Insect",BD307*2.5,IFERROR(AVERAGE(BD307,AT307/9.81/IF(OR(_xlfn.XLOOKUP(E307,Groups!A:A,Groups!N:N)="Pig",_xlfn.XLOOKUP(E307,Groups!A:A,Groups!N:N)="StrongBitingHerbivore"),20,25))*C307^-0.135,BD307))</f>
        <v>34.257944661692385</v>
      </c>
      <c r="BC307" s="8" t="str">
        <f>IF(W307="No","No",IF(_xlfn.XLOOKUP(E307,Groups!A:A,Groups!U:U)=1,'Base stats'!BB307,IF(OR(_xlfn.XLOOKUP(E307,Groups!A:A,Groups!BD:BD)=1,_xlfn.XLOOKUP(E307,Groups!A:A,Groups!U:U)=2),BD307,IF(_xlfn.XLOOKUP(B307,Animals!B:B,Animals!AO:AO)&gt;4,AVERAGE(BD307,BF307),BF307))))</f>
        <v>No</v>
      </c>
      <c r="BD307" s="8">
        <f t="shared" si="146"/>
        <v>17.08511487854344</v>
      </c>
      <c r="BE307" s="8">
        <f>IF(_xlfn.XLOOKUP(E307,Groups!A:A,Groups!BE:BE)=1,(0.048*C307^1.01)+(0.071*C307^1.03),0.071*C307^1.03)/IF(_xlfn.XLOOKUP(E307,Groups!A:A,Groups!M:M)=1,0.85,IF(OR(_xlfn.XLOOKUP(B307,Animals!B:B,Animals!AO:AO)&gt;4,_xlfn.XLOOKUP(E307,Groups!A:A,Groups!BC:BC)=1),1.7,1))*C307^-0.25</f>
        <v>12.536046933288855</v>
      </c>
      <c r="BF307" s="8">
        <f>(0.048*C307^1.01)/IF(_xlfn.XLOOKUP(E307,Groups!A:A,Groups!M:M)=1,0.25,0.8)*C307^-0.25</f>
        <v>15.558961539689577</v>
      </c>
      <c r="BG307" s="8">
        <f>EXP(1.076*LN(AR307)-4.5397)*IF(_xlfn.XLOOKUP(E307,Groups!A:A,Groups!BC:BC)=1,1.25,IF(_xlfn.XLOOKUP(E307,Groups!A:A,Groups!BD:BD)=1,3.5,2.5))</f>
        <v>757.56177417424044</v>
      </c>
      <c r="BH307" s="8">
        <f>EXP(1.076*LN(AS307)-4.5397)*IF(_xlfn.XLOOKUP(E307,Groups!A:A,Groups!M:M)=1,0.8,IF(_xlfn.XLOOKUP(E307,Groups!A:A,Groups!BC:BC)=1,1.3,3))</f>
        <v>710.32349297468113</v>
      </c>
      <c r="BI307" s="8" t="str">
        <f>IF(W307="No","No",IF(_xlfn.XLOOKUP(E307,Groups!A:A,Groups!U:U)=1,'Base stats'!BJ307,IF(OR(_xlfn.XLOOKUP(E307,Groups!A:A,Groups!BD:BD)=1,_xlfn.XLOOKUP(E307,Groups!A:A,Groups!U:U)=2),BG307,BH307))*1.2)</f>
        <v>No</v>
      </c>
      <c r="BJ307" s="8">
        <f>IFERROR(EXP(1.076*LN(AT307)-4.5397)*IF(_xlfn.XLOOKUP(E307,Groups!A:A,Groups!N:N)="Insect",1,IF(OR(_xlfn.XLOOKUP(E307,Groups!A:A,Groups!N:N)="Pig",_xlfn.XLOOKUP(E307,Groups!A:A,Groups!N:N)="StrongBitingHerbivore"),3.5,3.75)),"No")</f>
        <v>3671.0227233906712</v>
      </c>
      <c r="BK307" s="8">
        <f t="shared" si="147"/>
        <v>9</v>
      </c>
      <c r="BL307" s="8">
        <f t="shared" si="148"/>
        <v>10</v>
      </c>
      <c r="BM307" s="8" t="str">
        <f t="shared" si="149"/>
        <v>No</v>
      </c>
      <c r="BN307" s="8">
        <f t="shared" si="150"/>
        <v>14</v>
      </c>
      <c r="BO307" s="8">
        <f t="shared" si="151"/>
        <v>9</v>
      </c>
      <c r="BP307" s="8" t="str" cm="1">
        <f t="array" ref="BP307">IF(AND(_xlfn.XLOOKUP('Base stats'!E307,Groups!A:A,Groups!AD:AD=0),_xlfn.XLOOKUP('Base stats'!E307,Groups!A:A,Groups!P:P=0)),"No",IF(U307="No",AVERAGE(EXP(-0.57+0.99*LN(C307)),EXP(0.32+0.67*LN(C307)))/IF(_xlfn.XLOOKUP(E307,Groups!A:A,Groups!AD:AD)=1,10,2),(0.7354*C307^0.4078)*2/IF(_xlfn.XLOOKUP(E307,Groups!A:A,Groups!BK:BK)=1,1000,100)/IF(_xlfn.XLOOKUP(E307,Groups!A:A,Groups!AJ:AJ)="Photonozoa",3,1)))</f>
        <v>No</v>
      </c>
      <c r="BQ307" s="8" t="str">
        <f>IF(W307="No","No",IF(_xlfn.XLOOKUP(E307,Groups!A:A,Groups!BD:BD)=1,(AO307*5%),EXP(0.7354*LN(C307)^0.4078)*2/IF(_xlfn.XLOOKUP(E307,Groups!A:A,Groups!BL:BL)=1,1000,100)/IF(_xlfn.XLOOKUP(E307,Groups!A:A,Groups!AJ:AJ)="Photonozoa",3,1)))</f>
        <v>No</v>
      </c>
      <c r="BR307" s="8">
        <f>IF(BJ307="No","No",IF(_xlfn.XLOOKUP(E307,Groups!A:A,Groups!BF:BF)=1,(0.0315*C307+2.1825)*2,(0.7354*C307^0.4078)*2)/IF(_xlfn.XLOOKUP(E307,Groups!A:A,Groups!BM:BM)=1,1000,100)/IF(_xlfn.XLOOKUP(E307,Groups!A:A,Groups!AJ:AJ)="Photonozoa",3,1))</f>
        <v>0.98864999999999992</v>
      </c>
      <c r="BS307" s="8">
        <f t="shared" si="152"/>
        <v>0.11766999932559993</v>
      </c>
      <c r="BT307" s="8" t="str">
        <f t="shared" si="153"/>
        <v>No</v>
      </c>
      <c r="BU307" s="8" t="str">
        <f t="shared" si="154"/>
        <v>No</v>
      </c>
      <c r="BV307" s="8">
        <f t="shared" si="155"/>
        <v>3713.1671707790133</v>
      </c>
      <c r="BW307" s="4">
        <v>0</v>
      </c>
      <c r="BX307" s="4">
        <v>1</v>
      </c>
    </row>
    <row r="308" spans="1:76" s="16" customFormat="1" x14ac:dyDescent="0.25">
      <c r="A308" s="26" t="s">
        <v>1366</v>
      </c>
      <c r="B308" s="6" t="s">
        <v>1850</v>
      </c>
      <c r="C308" s="7">
        <v>8000</v>
      </c>
      <c r="D308" s="7" t="s">
        <v>528</v>
      </c>
      <c r="E308" s="7" t="str">
        <f>Groups!$A$101</f>
        <v>Drake (HUGE)</v>
      </c>
      <c r="F308" s="7">
        <v>700</v>
      </c>
      <c r="G308" s="7">
        <v>15</v>
      </c>
      <c r="H308" s="7">
        <v>300</v>
      </c>
      <c r="I308" s="4">
        <v>1</v>
      </c>
      <c r="J308" s="7">
        <v>1</v>
      </c>
      <c r="K308" s="7" t="s">
        <v>528</v>
      </c>
      <c r="L308" s="7">
        <v>30</v>
      </c>
      <c r="M308" s="7" t="s">
        <v>528</v>
      </c>
      <c r="N308" s="4">
        <v>0</v>
      </c>
      <c r="O308" s="4">
        <v>0</v>
      </c>
      <c r="P308" s="4">
        <v>0</v>
      </c>
      <c r="Q308" s="4">
        <v>0</v>
      </c>
      <c r="R308" s="4" t="s">
        <v>40</v>
      </c>
      <c r="S308" s="7">
        <f>_xlfn.XLOOKUP(B308,[1]TeethAdjusters!$A:$A,[1]BiteAdjusters!$C:$C,1)</f>
        <v>1</v>
      </c>
      <c r="T308" s="7">
        <f>_xlfn.XLOOKUP(B308,[1]TeethAdjusters!$A:$A,[1]TeethAdjusters!$B:$B,1)</f>
        <v>1</v>
      </c>
      <c r="U308" s="7">
        <v>18</v>
      </c>
      <c r="V308" s="7">
        <v>8</v>
      </c>
      <c r="W308" s="7" t="str">
        <f>IF(_xlfn.XLOOKUP(E308,Groups!A:A,Groups!V:V)&lt;&gt;"No","Need a formula","No")</f>
        <v>No</v>
      </c>
      <c r="X308" s="7" t="s">
        <v>932</v>
      </c>
      <c r="Y308" s="4" t="s">
        <v>56</v>
      </c>
      <c r="Z308" s="4">
        <v>1</v>
      </c>
      <c r="AA308" s="4">
        <v>0</v>
      </c>
      <c r="AB308" s="4">
        <v>0</v>
      </c>
      <c r="AC308" s="4">
        <v>0</v>
      </c>
      <c r="AD308" s="4">
        <v>0</v>
      </c>
      <c r="AE308" s="4" t="s">
        <v>45</v>
      </c>
      <c r="AF308" s="4" t="s">
        <v>45</v>
      </c>
      <c r="AG308" s="49" t="s">
        <v>1752</v>
      </c>
      <c r="AH308" s="4" t="str">
        <f>Animals!$C$32</f>
        <v>&lt;li&gt;Iguana&lt;/li&gt;</v>
      </c>
      <c r="AI308" s="4">
        <v>1</v>
      </c>
      <c r="AJ308" s="4">
        <v>0</v>
      </c>
      <c r="AK308" s="4">
        <v>0</v>
      </c>
      <c r="AL308" s="4">
        <v>1</v>
      </c>
      <c r="AM308" s="4">
        <v>1</v>
      </c>
      <c r="AN308" s="44" t="s">
        <v>40</v>
      </c>
      <c r="AO308" s="8">
        <f t="shared" si="141"/>
        <v>382235.89674329048</v>
      </c>
      <c r="AP308" s="8">
        <f>IFERROR(C308*_xlfn.XLOOKUP(E308,Groups!A:A,Groups!K:K),0.106*C308^0.94)</f>
        <v>494.55028108565017</v>
      </c>
      <c r="AQ308" s="8">
        <f>AP308*10000/(_xlfn.XLOOKUP(E308,Groups!A:A,Groups!J:J)*AO308)</f>
        <v>9.9525789279362211</v>
      </c>
      <c r="AR308" s="8">
        <f t="shared" si="142"/>
        <v>107740.9651584902</v>
      </c>
      <c r="AS308" s="8">
        <f>IF(_xlfn.XLOOKUP(E308,Groups!A:A,Groups!M:M)=1,EXP(0.7444*LN('Base stats'!C308)+6.5696),EXP(0.7927*LN('Base stats'!C308)+4.28))</f>
        <v>89693.26124389864</v>
      </c>
      <c r="AT308" s="8">
        <f>IF(_xlfn.XLOOKUP(E308,Groups!A:A,Groups!N:N)="No","No",
IF(_xlfn.XLOOKUP(E308,Groups!A:A,Groups!N:N)="Crocodile",EXP(0.8129*LN(C308)+4.6742)*S308,
IF(_xlfn.XLOOKUP(E308,Groups!A:A,Groups!N:N)="Felid",EXP(0.7843*LN(C308)+4.7073)*S308,
IF(_xlfn.XLOOKUP(E308,Groups!A:A,Groups!N:N)="Canid",EXP(0.8367*LN(C308)+4.8763)*S308,
IF(_xlfn.XLOOKUP(E308,Groups!A:A,Groups!N:N)="Pig",EXP(0.3439*LN(C308)+6.8519)*S308,
IF(_xlfn.XLOOKUP(E308,Groups!A:A,Groups!N:N)="Rodent",EXP(0.5625*LN(C308)+4.3006)*S308,
IF(_xlfn.XLOOKUP(E308,Groups!A:A,Groups!N:N)="Primate",EXP(0.7847*LN(C308)+3.4931)*S308,
IF(_xlfn.XLOOKUP(E308,Groups!A:A,Groups!N:N)="MiscCarnivora",EXP(0.7486*LN(C308)+4.2207)*S308,
IF(_xlfn.XLOOKUP(E308,Groups!A:A,Groups!N:N)="Lizard",EXP(0.7733*LN(C308)+5.5303)*S308,
IF(_xlfn.XLOOKUP(E308,Groups!A:A,Groups!N:N)="Snake",50*C308^(2/3)*S308,
IF(_xlfn.XLOOKUP(E308,Groups!A:A,Groups!N:N)="StrongBitingHerbivore",87.1133638856975*C308^(2/3)*S308,
IF(_xlfn.XLOOKUP(E308,Groups!A:A,Groups!N:N)="MiscEctotherms",59.4316884072269*C308^(2/3)*S308,
IF(_xlfn.XLOOKUP(E308,Groups!A:A,Groups!N:N)="StrongBeakBird",0.041*(C308*1000)^1.375*S308,
IF(_xlfn.XLOOKUP(E308,Groups!A:A,Groups!N:N)="Bird",0.118*(C308*1000)^0.692*S308,
IF(_xlfn.XLOOKUP(E308,Groups!A:A,Groups!N:N)="Insect",EXP(0.7444*LN(C308)+6.5696)*S308,
IF(_xlfn.XLOOKUP(E308,Groups!A:A,Groups!N:N)="Theropod",EXP(0.6966*LN(C308)+4.158)*S308,
"No"))))))))))))))))</f>
        <v>159514.84923347735</v>
      </c>
      <c r="AU308" s="8">
        <f>IF(_xlfn.XLOOKUP(E308,Groups!A:A,Groups!U:U)=3,AS308,IF(_xlfn.XLOOKUP(E308,Groups!A:A,Groups!U:U)=2,AR308,AT308))</f>
        <v>159514.84923347735</v>
      </c>
      <c r="AV308" s="46">
        <f>IFERROR(AVERAGE(_xlfn.XLOOKUP(B308,Animals!B:B,Animals!N:N),_xlfn.XLOOKUP(B308,Animals!B:B,Animals!O:O)),0)</f>
        <v>1</v>
      </c>
      <c r="AW308" s="8">
        <f>MROUND(40*Animals!AO308*_xlfn.XLOOKUP(AG308,Leathers!$A$2:$A$99,Leathers!$B$2:$B$99,0)+(140*_xlfn.XLOOKUP(B308,Animals!B:B,Animals!AO:AO)*2),5)</f>
        <v>1680</v>
      </c>
      <c r="AX308" s="8">
        <f>IFERROR(ROUND(SQRT(V308-1)*IF(_xlfn.XLOOKUP(E308,Groups!A:A,Groups!BF:BF)=0,2,1)*IF(_xlfn.XLOOKUP('Base stats'!E308,Groups!A:A,Groups!O:O)=0,1,0.1),1),0)</f>
        <v>5.3</v>
      </c>
      <c r="AY308" s="8">
        <f t="shared" si="143"/>
        <v>4.0999999999999996</v>
      </c>
      <c r="AZ308" s="8">
        <f t="shared" si="144"/>
        <v>0</v>
      </c>
      <c r="BA308" s="8">
        <f t="shared" si="145"/>
        <v>20</v>
      </c>
      <c r="BB308" s="8">
        <f>IF(_xlfn.XLOOKUP(E308,Groups!A:A,Groups!N:N)="Insect",BD308*2.5,IFERROR(AVERAGE(BD308,AT308/9.81/IF(OR(_xlfn.XLOOKUP(E308,Groups!A:A,Groups!N:N)="Pig",_xlfn.XLOOKUP(E308,Groups!A:A,Groups!N:N)="StrongBitingHerbivore"),20,25))*C308^-0.135,BD308))</f>
        <v>106.86444383425798</v>
      </c>
      <c r="BC308" s="8" t="str">
        <f>IF(W308="No","No",IF(_xlfn.XLOOKUP(E308,Groups!A:A,Groups!U:U)=1,'Base stats'!BB308,IF(OR(_xlfn.XLOOKUP(E308,Groups!A:A,Groups!BD:BD)=1,_xlfn.XLOOKUP(E308,Groups!A:A,Groups!U:U)=2),BD308,IF(_xlfn.XLOOKUP(B308,Animals!B:B,Animals!AO:AO)&gt;4,AVERAGE(BD308,BF308),BF308))))</f>
        <v>No</v>
      </c>
      <c r="BD308" s="8">
        <f t="shared" si="146"/>
        <v>68.667912680157826</v>
      </c>
      <c r="BE308" s="8">
        <f>IF(_xlfn.XLOOKUP(E308,Groups!A:A,Groups!BE:BE)=1,(0.048*C308^1.01)+(0.071*C308^1.03),0.071*C308^1.03)/IF(_xlfn.XLOOKUP(E308,Groups!A:A,Groups!M:M)=1,0.85,IF(OR(_xlfn.XLOOKUP(B308,Animals!B:B,Animals!AO:AO)&gt;4,_xlfn.XLOOKUP(E308,Groups!A:A,Groups!BC:BC)=1),1.7,1))*C308^-0.25</f>
        <v>46.261490072940845</v>
      </c>
      <c r="BF308" s="8">
        <f>(0.048*C308^1.01)/IF(_xlfn.XLOOKUP(E308,Groups!A:A,Groups!M:M)=1,0.25,0.8)*C308^-0.25</f>
        <v>55.526415748000481</v>
      </c>
      <c r="BG308" s="8">
        <f>EXP(1.076*LN(AR308)-4.5397)*IF(_xlfn.XLOOKUP(E308,Groups!A:A,Groups!BC:BC)=1,1.25,IF(_xlfn.XLOOKUP(E308,Groups!A:A,Groups!BD:BD)=1,3.5,2.5))</f>
        <v>3468.8471262488838</v>
      </c>
      <c r="BH308" s="8">
        <f>EXP(1.076*LN(AS308)-4.5397)*IF(_xlfn.XLOOKUP(E308,Groups!A:A,Groups!M:M)=1,0.8,IF(_xlfn.XLOOKUP(E308,Groups!A:A,Groups!BC:BC)=1,1.3,3))</f>
        <v>2961.7353846039696</v>
      </c>
      <c r="BI308" s="8" t="str">
        <f>IF(W308="No","No",IF(_xlfn.XLOOKUP(E308,Groups!A:A,Groups!U:U)=1,'Base stats'!BJ308,IF(OR(_xlfn.XLOOKUP(E308,Groups!A:A,Groups!BD:BD)=1,_xlfn.XLOOKUP(E308,Groups!A:A,Groups!U:U)=2),BG308,BH308))*1.2)</f>
        <v>No</v>
      </c>
      <c r="BJ308" s="8">
        <f>IFERROR(EXP(1.076*LN(AT308)-4.5397)*IF(_xlfn.XLOOKUP(E308,Groups!A:A,Groups!N:N)="Insect",1,IF(OR(_xlfn.XLOOKUP(E308,Groups!A:A,Groups!N:N)="Pig",_xlfn.XLOOKUP(E308,Groups!A:A,Groups!N:N)="StrongBitingHerbivore"),3.5,3.75)),"No")</f>
        <v>15873.716180288138</v>
      </c>
      <c r="BK308" s="8">
        <f t="shared" si="147"/>
        <v>10</v>
      </c>
      <c r="BL308" s="8">
        <f t="shared" si="148"/>
        <v>11</v>
      </c>
      <c r="BM308" s="8" t="str">
        <f t="shared" si="149"/>
        <v>No</v>
      </c>
      <c r="BN308" s="8">
        <f t="shared" si="150"/>
        <v>17</v>
      </c>
      <c r="BO308" s="8">
        <f t="shared" si="151"/>
        <v>10</v>
      </c>
      <c r="BP308" s="8" cm="1">
        <f t="array" ref="BP308">IF(AND(_xlfn.XLOOKUP('Base stats'!E308,Groups!A:A,Groups!AD:AD=0),_xlfn.XLOOKUP('Base stats'!E308,Groups!A:A,Groups!P:P=0)),"No",IF(U308="No",AVERAGE(EXP(-0.57+0.99*LN(C308)),EXP(0.32+0.67*LN(C308)))/IF(_xlfn.XLOOKUP(E308,Groups!A:A,Groups!AD:AD)=1,10,2),(0.7354*C308^0.4078)*2/IF(_xlfn.XLOOKUP(E308,Groups!A:A,Groups!BK:BK)=1,1000,100)/IF(_xlfn.XLOOKUP(E308,Groups!A:A,Groups!AJ:AJ)="Photonozoa",3,1)))</f>
        <v>5.7442550919421846E-2</v>
      </c>
      <c r="BQ308" s="8" t="str">
        <f>IF(W308="No","No",IF(_xlfn.XLOOKUP(E308,Groups!A:A,Groups!BD:BD)=1,(AO308*5%),EXP(0.7354*LN(C308)^0.4078)*2/IF(_xlfn.XLOOKUP(E308,Groups!A:A,Groups!BL:BL)=1,1000,100)/IF(_xlfn.XLOOKUP(E308,Groups!A:A,Groups!AJ:AJ)="Photonozoa",3,1)))</f>
        <v>No</v>
      </c>
      <c r="BR308" s="8">
        <f>IF(BJ308="No","No",IF(_xlfn.XLOOKUP(E308,Groups!A:A,Groups!BF:BF)=1,(0.0315*C308+2.1825)*2,(0.7354*C308^0.4078)*2)/IF(_xlfn.XLOOKUP(E308,Groups!A:A,Groups!BM:BM)=1,1000,100)/IF(_xlfn.XLOOKUP(E308,Groups!A:A,Groups!AJ:AJ)="Photonozoa",3,1))</f>
        <v>5.7442550919421846E-2</v>
      </c>
      <c r="BS308" s="8">
        <f t="shared" si="152"/>
        <v>0.18150294913711679</v>
      </c>
      <c r="BT308" s="8">
        <f t="shared" si="153"/>
        <v>51559.95576795633</v>
      </c>
      <c r="BU308" s="8" t="str">
        <f t="shared" si="154"/>
        <v>No</v>
      </c>
      <c r="BV308" s="8">
        <f t="shared" si="155"/>
        <v>276340.72523267922</v>
      </c>
      <c r="BW308" s="4">
        <v>0</v>
      </c>
      <c r="BX308" s="4">
        <v>1</v>
      </c>
    </row>
    <row r="309" spans="1:76" s="16" customFormat="1" x14ac:dyDescent="0.25">
      <c r="A309" s="26" t="s">
        <v>1530</v>
      </c>
      <c r="B309" s="6" t="s">
        <v>1672</v>
      </c>
      <c r="C309" s="7">
        <v>10000</v>
      </c>
      <c r="D309" s="7" t="s">
        <v>528</v>
      </c>
      <c r="E309" s="7" t="str">
        <f>Groups!$A$97</f>
        <v>GiantHexapodReptile</v>
      </c>
      <c r="F309" s="7">
        <v>700</v>
      </c>
      <c r="G309" s="7">
        <v>15</v>
      </c>
      <c r="H309" s="7">
        <v>700</v>
      </c>
      <c r="I309" s="4">
        <v>1</v>
      </c>
      <c r="J309" s="7">
        <v>1</v>
      </c>
      <c r="K309" s="7" t="s">
        <v>528</v>
      </c>
      <c r="L309" s="7">
        <v>16</v>
      </c>
      <c r="M309" s="7" t="s">
        <v>528</v>
      </c>
      <c r="N309" s="4">
        <v>0</v>
      </c>
      <c r="O309" s="4">
        <v>0</v>
      </c>
      <c r="P309" s="4">
        <v>0</v>
      </c>
      <c r="Q309" s="4">
        <v>0</v>
      </c>
      <c r="R309" s="4" t="s">
        <v>40</v>
      </c>
      <c r="S309" s="7">
        <f>_xlfn.XLOOKUP(B309,[1]TeethAdjusters!$A:$A,[1]BiteAdjusters!$C:$C,1)</f>
        <v>1</v>
      </c>
      <c r="T309" s="7">
        <f>_xlfn.XLOOKUP(B309,[1]TeethAdjusters!$A:$A,[1]TeethAdjusters!$B:$B,1)</f>
        <v>1</v>
      </c>
      <c r="U309" s="7" t="str">
        <f>IF(OR(_xlfn.XLOOKUP(E309,Groups!A:A,Groups!P:P)=1,_xlfn.XLOOKUP(E309,Groups!A:A,Groups!AD:AD)=1),"Need a formula","No")</f>
        <v>No</v>
      </c>
      <c r="V309" s="7">
        <v>6</v>
      </c>
      <c r="W309" s="7" t="str">
        <f>IF(_xlfn.XLOOKUP(E309,Groups!A:A,Groups!V:V)&lt;&gt;"No","Need a formula","No")</f>
        <v>No</v>
      </c>
      <c r="X309" s="7" t="s">
        <v>932</v>
      </c>
      <c r="Y309" s="4" t="s">
        <v>1002</v>
      </c>
      <c r="Z309" s="4">
        <v>1</v>
      </c>
      <c r="AA309" s="4">
        <v>0</v>
      </c>
      <c r="AB309" s="4">
        <v>0</v>
      </c>
      <c r="AC309" s="4">
        <v>0</v>
      </c>
      <c r="AD309" s="4">
        <v>0</v>
      </c>
      <c r="AE309" s="4" t="s">
        <v>45</v>
      </c>
      <c r="AF309" s="4" t="s">
        <v>45</v>
      </c>
      <c r="AG309" s="49" t="s">
        <v>386</v>
      </c>
      <c r="AH309" s="4" t="s">
        <v>45</v>
      </c>
      <c r="AI309" s="4">
        <v>0</v>
      </c>
      <c r="AJ309" s="4">
        <v>0</v>
      </c>
      <c r="AK309" s="4">
        <v>0</v>
      </c>
      <c r="AL309" s="4">
        <v>0</v>
      </c>
      <c r="AM309" s="4">
        <v>1</v>
      </c>
      <c r="AN309" s="44" t="s">
        <v>40</v>
      </c>
      <c r="AO309" s="8">
        <f t="shared" si="141"/>
        <v>441898.95931438234</v>
      </c>
      <c r="AP309" s="8">
        <f>IFERROR(C309*_xlfn.XLOOKUP(E309,Groups!A:A,Groups!K:K),0.106*C309^0.94)</f>
        <v>609.96633357738608</v>
      </c>
      <c r="AQ309" s="8">
        <f>AP309*10000/(_xlfn.XLOOKUP(E309,Groups!A:A,Groups!J:J)*AO309)</f>
        <v>10.617922085867505</v>
      </c>
      <c r="AR309" s="8">
        <f t="shared" si="142"/>
        <v>130089.05224741565</v>
      </c>
      <c r="AS309" s="8">
        <f>IF(_xlfn.XLOOKUP(E309,Groups!A:A,Groups!M:M)=1,EXP(0.7444*LN('Base stats'!C309)+6.5696),EXP(0.7927*LN('Base stats'!C309)+4.28))</f>
        <v>107048.44980386966</v>
      </c>
      <c r="AT309" s="8">
        <f>IF(_xlfn.XLOOKUP(E309,Groups!A:A,Groups!N:N)="No","No",
IF(_xlfn.XLOOKUP(E309,Groups!A:A,Groups!N:N)="Crocodile",EXP(0.8129*LN(C309)+4.6742)*S309,
IF(_xlfn.XLOOKUP(E309,Groups!A:A,Groups!N:N)="Felid",EXP(0.7843*LN(C309)+4.7073)*S309,
IF(_xlfn.XLOOKUP(E309,Groups!A:A,Groups!N:N)="Canid",EXP(0.8367*LN(C309)+4.8763)*S309,
IF(_xlfn.XLOOKUP(E309,Groups!A:A,Groups!N:N)="Pig",EXP(0.3439*LN(C309)+6.8519)*S309,
IF(_xlfn.XLOOKUP(E309,Groups!A:A,Groups!N:N)="Rodent",EXP(0.5625*LN(C309)+4.3006)*S309,
IF(_xlfn.XLOOKUP(E309,Groups!A:A,Groups!N:N)="Primate",EXP(0.7847*LN(C309)+3.4931)*S309,
IF(_xlfn.XLOOKUP(E309,Groups!A:A,Groups!N:N)="MiscCarnivora",EXP(0.7486*LN(C309)+4.2207)*S309,
IF(_xlfn.XLOOKUP(E309,Groups!A:A,Groups!N:N)="Lizard",EXP(0.7733*LN(C309)+5.5303)*S309,
IF(_xlfn.XLOOKUP(E309,Groups!A:A,Groups!N:N)="Snake",50*C309^(2/3)*S309,
IF(_xlfn.XLOOKUP(E309,Groups!A:A,Groups!N:N)="StrongBitingHerbivore",87.1133638856975*C309^(2/3)*S309,
IF(_xlfn.XLOOKUP(E309,Groups!A:A,Groups!N:N)="MiscEctotherms",59.4316884072269*C309^(2/3)*S309,
IF(_xlfn.XLOOKUP(E309,Groups!A:A,Groups!N:N)="StrongBeakBird",0.041*(C309*1000)^1.375*S309,
IF(_xlfn.XLOOKUP(E309,Groups!A:A,Groups!N:N)="Bird",0.118*(C309*1000)^0.692*S309,
IF(_xlfn.XLOOKUP(E309,Groups!A:A,Groups!N:N)="Insect",EXP(0.7444*LN(C309)+6.5696)*S309,
IF(_xlfn.XLOOKUP(E309,Groups!A:A,Groups!N:N)="Theropod",EXP(0.6966*LN(C309)+4.158)*S309,
"No"))))))))))))))))</f>
        <v>27585.746127373859</v>
      </c>
      <c r="AU309" s="8">
        <f>IF(_xlfn.XLOOKUP(E309,Groups!A:A,Groups!U:U)=3,AS309,IF(_xlfn.XLOOKUP(E309,Groups!A:A,Groups!U:U)=2,AR309,AT309))</f>
        <v>27585.746127373859</v>
      </c>
      <c r="AV309" s="46">
        <f>IFERROR(AVERAGE(_xlfn.XLOOKUP(B309,Animals!B:B,Animals!N:N),_xlfn.XLOOKUP(B309,Animals!B:B,Animals!O:O)),0)</f>
        <v>1.05</v>
      </c>
      <c r="AW309" s="8">
        <f>MROUND(40*Animals!AO309*_xlfn.XLOOKUP(AG309,Leathers!$A$2:$A$99,Leathers!$B$2:$B$99,0)+(140*_xlfn.XLOOKUP(B309,Animals!B:B,Animals!AO:AO)*2),5)</f>
        <v>2965</v>
      </c>
      <c r="AX309" s="8">
        <f>IFERROR(ROUND(SQRT(V309-1)*IF(_xlfn.XLOOKUP(E309,Groups!A:A,Groups!BF:BF)=0,2,1)*IF(_xlfn.XLOOKUP('Base stats'!E309,Groups!A:A,Groups!O:O)=0,1,0.1),1),0)</f>
        <v>4.5</v>
      </c>
      <c r="AY309" s="8">
        <f t="shared" si="143"/>
        <v>0</v>
      </c>
      <c r="AZ309" s="8">
        <f t="shared" si="144"/>
        <v>0</v>
      </c>
      <c r="BA309" s="8">
        <f t="shared" si="145"/>
        <v>21.7</v>
      </c>
      <c r="BB309" s="8">
        <f>IF(_xlfn.XLOOKUP(E309,Groups!A:A,Groups!N:N)="Insect",BD309*2.5,IFERROR(AVERAGE(BD309,AT309/9.81/IF(OR(_xlfn.XLOOKUP(E309,Groups!A:A,Groups!N:N)="Pig",_xlfn.XLOOKUP(E309,Groups!A:A,Groups!N:N)="StrongBitingHerbivore"),20,25))*C309^-0.135,BD309))</f>
        <v>22.084647223653981</v>
      </c>
      <c r="BC309" s="8" t="str">
        <f>IF(W309="No","No",IF(_xlfn.XLOOKUP(E309,Groups!A:A,Groups!U:U)=1,'Base stats'!BB309,IF(OR(_xlfn.XLOOKUP(E309,Groups!A:A,Groups!BD:BD)=1,_xlfn.XLOOKUP(E309,Groups!A:A,Groups!U:U)=2),BD309,IF(_xlfn.XLOOKUP(B309,Animals!B:B,Animals!AO:AO)&gt;4,AVERAGE(BD309,BF309),BF309))))</f>
        <v>No</v>
      </c>
      <c r="BD309" s="8">
        <f t="shared" si="146"/>
        <v>40.671113900066111</v>
      </c>
      <c r="BE309" s="8">
        <f>IF(_xlfn.XLOOKUP(E309,Groups!A:A,Groups!BE:BE)=1,(0.048*C309^1.01)+(0.071*C309^1.03),0.071*C309^1.03)/IF(_xlfn.XLOOKUP(E309,Groups!A:A,Groups!M:M)=1,0.85,IF(OR(_xlfn.XLOOKUP(B309,Animals!B:B,Animals!AO:AO)&gt;4,_xlfn.XLOOKUP(E309,Groups!A:A,Groups!BC:BC)=1),1.7,1))*C309^-0.25</f>
        <v>55.05660496323825</v>
      </c>
      <c r="BF309" s="8">
        <f>(0.048*C309^1.01)/IF(_xlfn.XLOOKUP(E309,Groups!A:A,Groups!M:M)=1,0.25,0.8)*C309^-0.25</f>
        <v>65.788691768591107</v>
      </c>
      <c r="BG309" s="8">
        <f>EXP(1.076*LN(AR309)-4.5397)*IF(_xlfn.XLOOKUP(E309,Groups!A:A,Groups!BC:BC)=1,1.25,IF(_xlfn.XLOOKUP(E309,Groups!A:A,Groups!BD:BD)=1,3.5,2.5))</f>
        <v>4248.8010933953938</v>
      </c>
      <c r="BH309" s="8">
        <f>EXP(1.076*LN(AS309)-4.5397)*IF(_xlfn.XLOOKUP(E309,Groups!A:A,Groups!M:M)=1,0.8,IF(_xlfn.XLOOKUP(E309,Groups!A:A,Groups!BC:BC)=1,1.3,3))</f>
        <v>3582.6566138740168</v>
      </c>
      <c r="BI309" s="8" t="str">
        <f>IF(W309="No","No",IF(_xlfn.XLOOKUP(E309,Groups!A:A,Groups!U:U)=1,'Base stats'!BJ309,IF(OR(_xlfn.XLOOKUP(E309,Groups!A:A,Groups!BD:BD)=1,_xlfn.XLOOKUP(E309,Groups!A:A,Groups!U:U)=2),BG309,BH309))*1.2)</f>
        <v>No</v>
      </c>
      <c r="BJ309" s="8">
        <f>IFERROR(EXP(1.076*LN(AT309)-4.5397)*IF(_xlfn.XLOOKUP(E309,Groups!A:A,Groups!N:N)="Insect",1,IF(OR(_xlfn.XLOOKUP(E309,Groups!A:A,Groups!N:N)="Pig",_xlfn.XLOOKUP(E309,Groups!A:A,Groups!N:N)="StrongBitingHerbivore"),3.5,3.75)),"No")</f>
        <v>2402.3782270305724</v>
      </c>
      <c r="BK309" s="8">
        <f t="shared" si="147"/>
        <v>14</v>
      </c>
      <c r="BL309" s="8">
        <f t="shared" si="148"/>
        <v>11</v>
      </c>
      <c r="BM309" s="8" t="str">
        <f t="shared" si="149"/>
        <v>No</v>
      </c>
      <c r="BN309" s="8">
        <f t="shared" si="150"/>
        <v>14</v>
      </c>
      <c r="BO309" s="8">
        <f t="shared" si="151"/>
        <v>10</v>
      </c>
      <c r="BP309" s="8" t="str" cm="1">
        <f t="array" ref="BP309">IF(AND(_xlfn.XLOOKUP('Base stats'!E309,Groups!A:A,Groups!AD:AD=0),_xlfn.XLOOKUP('Base stats'!E309,Groups!A:A,Groups!P:P=0)),"No",IF(U309="No",AVERAGE(EXP(-0.57+0.99*LN(C309)),EXP(0.32+0.67*LN(C309)))/IF(_xlfn.XLOOKUP(E309,Groups!A:A,Groups!AD:AD)=1,10,2),(0.7354*C309^0.4078)*2/IF(_xlfn.XLOOKUP(E309,Groups!A:A,Groups!BK:BK)=1,1000,100)/IF(_xlfn.XLOOKUP(E309,Groups!A:A,Groups!AJ:AJ)="Photonozoa",3,1)))</f>
        <v>No</v>
      </c>
      <c r="BQ309" s="8" t="str">
        <f>IF(W309="No","No",IF(_xlfn.XLOOKUP(E309,Groups!A:A,Groups!BD:BD)=1,(AO309*5%),EXP(0.7354*LN(C309)^0.4078)*2/IF(_xlfn.XLOOKUP(E309,Groups!A:A,Groups!BL:BL)=1,1000,100)/IF(_xlfn.XLOOKUP(E309,Groups!A:A,Groups!AJ:AJ)="Photonozoa",3,1)))</f>
        <v>No</v>
      </c>
      <c r="BR309" s="8">
        <f>IF(BJ309="No","No",IF(_xlfn.XLOOKUP(E309,Groups!A:A,Groups!BF:BF)=1,(0.0315*C309+2.1825)*2,(0.7354*C309^0.4078)*2)/IF(_xlfn.XLOOKUP(E309,Groups!A:A,Groups!BM:BM)=1,1000,100)/IF(_xlfn.XLOOKUP(E309,Groups!A:A,Groups!AJ:AJ)="Photonozoa",3,1))</f>
        <v>0.62914916014378153</v>
      </c>
      <c r="BS309" s="8">
        <f t="shared" si="152"/>
        <v>0.19229740210239546</v>
      </c>
      <c r="BT309" s="8" t="str">
        <f t="shared" si="153"/>
        <v>No</v>
      </c>
      <c r="BU309" s="8" t="str">
        <f t="shared" si="154"/>
        <v>No</v>
      </c>
      <c r="BV309" s="8">
        <f t="shared" si="155"/>
        <v>3818.4557482069099</v>
      </c>
      <c r="BW309" s="4">
        <v>0</v>
      </c>
      <c r="BX309" s="4">
        <v>1</v>
      </c>
    </row>
    <row r="310" spans="1:76" s="16" customFormat="1" x14ac:dyDescent="0.25">
      <c r="A310" s="26" t="s">
        <v>1512</v>
      </c>
      <c r="B310" s="6" t="s">
        <v>1666</v>
      </c>
      <c r="C310" s="7">
        <v>10000</v>
      </c>
      <c r="D310" s="7" t="s">
        <v>528</v>
      </c>
      <c r="E310" s="7" t="str">
        <f>Groups!$A$97</f>
        <v>GiantHexapodReptile</v>
      </c>
      <c r="F310" s="7" t="s">
        <v>1700</v>
      </c>
      <c r="G310" s="7">
        <v>15</v>
      </c>
      <c r="H310" s="7">
        <v>700</v>
      </c>
      <c r="I310" s="4">
        <v>1</v>
      </c>
      <c r="J310" s="7" t="s">
        <v>1700</v>
      </c>
      <c r="K310" s="7" t="s">
        <v>528</v>
      </c>
      <c r="L310" s="7">
        <v>16</v>
      </c>
      <c r="M310" s="7" t="s">
        <v>528</v>
      </c>
      <c r="N310" s="4">
        <v>0</v>
      </c>
      <c r="O310" s="4">
        <v>0</v>
      </c>
      <c r="P310" s="4">
        <v>0</v>
      </c>
      <c r="Q310" s="4">
        <v>0</v>
      </c>
      <c r="R310" s="4" t="s">
        <v>40</v>
      </c>
      <c r="S310" s="7">
        <f>_xlfn.XLOOKUP(B310,[1]TeethAdjusters!$A:$A,[1]BiteAdjusters!$C:$C,1)</f>
        <v>1</v>
      </c>
      <c r="T310" s="7">
        <f>_xlfn.XLOOKUP(B310,[1]TeethAdjusters!$A:$A,[1]TeethAdjusters!$B:$B,1)</f>
        <v>1</v>
      </c>
      <c r="U310" s="7" t="str">
        <f>IF(OR(_xlfn.XLOOKUP(E310,Groups!A:A,Groups!P:P)=1,_xlfn.XLOOKUP(E310,Groups!A:A,Groups!AD:AD)=1),"Need a formula","No")</f>
        <v>No</v>
      </c>
      <c r="V310" s="7">
        <v>6</v>
      </c>
      <c r="W310" s="7" t="str">
        <f>IF(_xlfn.XLOOKUP(E310,Groups!A:A,Groups!V:V)&lt;&gt;"No","Need a formula","No")</f>
        <v>No</v>
      </c>
      <c r="X310" s="7" t="s">
        <v>932</v>
      </c>
      <c r="Y310" s="4" t="s">
        <v>1002</v>
      </c>
      <c r="Z310" s="4">
        <v>1</v>
      </c>
      <c r="AA310" s="4">
        <v>0</v>
      </c>
      <c r="AB310" s="4">
        <v>0</v>
      </c>
      <c r="AC310" s="4">
        <v>0</v>
      </c>
      <c r="AD310" s="4">
        <v>0</v>
      </c>
      <c r="AE310" s="4" t="s">
        <v>45</v>
      </c>
      <c r="AF310" s="4" t="s">
        <v>45</v>
      </c>
      <c r="AG310" s="49" t="s">
        <v>45</v>
      </c>
      <c r="AH310" s="4" t="s">
        <v>45</v>
      </c>
      <c r="AI310" s="4">
        <v>0</v>
      </c>
      <c r="AJ310" s="4">
        <v>0</v>
      </c>
      <c r="AK310" s="4">
        <v>0</v>
      </c>
      <c r="AL310" s="4">
        <v>0</v>
      </c>
      <c r="AM310" s="4">
        <v>1</v>
      </c>
      <c r="AN310" s="44" t="s">
        <v>40</v>
      </c>
      <c r="AO310" s="8">
        <f t="shared" si="141"/>
        <v>441898.95931438234</v>
      </c>
      <c r="AP310" s="8">
        <f>IFERROR(C310*_xlfn.XLOOKUP(E310,Groups!A:A,Groups!K:K),0.106*C310^0.94)</f>
        <v>609.96633357738608</v>
      </c>
      <c r="AQ310" s="8">
        <f>AP310*10000/(_xlfn.XLOOKUP(E310,Groups!A:A,Groups!J:J)*AO310)</f>
        <v>10.617922085867505</v>
      </c>
      <c r="AR310" s="8">
        <f t="shared" si="142"/>
        <v>130089.05224741565</v>
      </c>
      <c r="AS310" s="8">
        <f>IF(_xlfn.XLOOKUP(E310,Groups!A:A,Groups!M:M)=1,EXP(0.7444*LN('Base stats'!C310)+6.5696),EXP(0.7927*LN('Base stats'!C310)+4.28))</f>
        <v>107048.44980386966</v>
      </c>
      <c r="AT310" s="8">
        <f>IF(_xlfn.XLOOKUP(E310,Groups!A:A,Groups!N:N)="No","No",
IF(_xlfn.XLOOKUP(E310,Groups!A:A,Groups!N:N)="Crocodile",EXP(0.8129*LN(C310)+4.6742)*S310,
IF(_xlfn.XLOOKUP(E310,Groups!A:A,Groups!N:N)="Felid",EXP(0.7843*LN(C310)+4.7073)*S310,
IF(_xlfn.XLOOKUP(E310,Groups!A:A,Groups!N:N)="Canid",EXP(0.8367*LN(C310)+4.8763)*S310,
IF(_xlfn.XLOOKUP(E310,Groups!A:A,Groups!N:N)="Pig",EXP(0.3439*LN(C310)+6.8519)*S310,
IF(_xlfn.XLOOKUP(E310,Groups!A:A,Groups!N:N)="Rodent",EXP(0.5625*LN(C310)+4.3006)*S310,
IF(_xlfn.XLOOKUP(E310,Groups!A:A,Groups!N:N)="Primate",EXP(0.7847*LN(C310)+3.4931)*S310,
IF(_xlfn.XLOOKUP(E310,Groups!A:A,Groups!N:N)="MiscCarnivora",EXP(0.7486*LN(C310)+4.2207)*S310,
IF(_xlfn.XLOOKUP(E310,Groups!A:A,Groups!N:N)="Lizard",EXP(0.7733*LN(C310)+5.5303)*S310,
IF(_xlfn.XLOOKUP(E310,Groups!A:A,Groups!N:N)="Snake",50*C310^(2/3)*S310,
IF(_xlfn.XLOOKUP(E310,Groups!A:A,Groups!N:N)="StrongBitingHerbivore",87.1133638856975*C310^(2/3)*S310,
IF(_xlfn.XLOOKUP(E310,Groups!A:A,Groups!N:N)="MiscEctotherms",59.4316884072269*C310^(2/3)*S310,
IF(_xlfn.XLOOKUP(E310,Groups!A:A,Groups!N:N)="StrongBeakBird",0.041*(C310*1000)^1.375*S310,
IF(_xlfn.XLOOKUP(E310,Groups!A:A,Groups!N:N)="Bird",0.118*(C310*1000)^0.692*S310,
IF(_xlfn.XLOOKUP(E310,Groups!A:A,Groups!N:N)="Insect",EXP(0.7444*LN(C310)+6.5696)*S310,
IF(_xlfn.XLOOKUP(E310,Groups!A:A,Groups!N:N)="Theropod",EXP(0.6966*LN(C310)+4.158)*S310,
"No"))))))))))))))))</f>
        <v>27585.746127373859</v>
      </c>
      <c r="AU310" s="8">
        <f>IF(_xlfn.XLOOKUP(E310,Groups!A:A,Groups!U:U)=3,AS310,IF(_xlfn.XLOOKUP(E310,Groups!A:A,Groups!U:U)=2,AR310,AT310))</f>
        <v>27585.746127373859</v>
      </c>
      <c r="AV310" s="46">
        <f>IFERROR(AVERAGE(_xlfn.XLOOKUP(B310,Animals!B:B,Animals!N:N),_xlfn.XLOOKUP(B310,Animals!B:B,Animals!O:O)),0)</f>
        <v>1.05</v>
      </c>
      <c r="AW310" s="8">
        <f>MROUND(40*Animals!AO310*_xlfn.XLOOKUP(AG310,Leathers!$A$2:$A$99,Leathers!$B$2:$B$99,0)+(140*_xlfn.XLOOKUP(B310,Animals!B:B,Animals!AO:AO)*2),5)</f>
        <v>1820</v>
      </c>
      <c r="AX310" s="8">
        <f>IFERROR(ROUND(SQRT(V310-1)*IF(_xlfn.XLOOKUP(E310,Groups!A:A,Groups!BF:BF)=0,2,1)*IF(_xlfn.XLOOKUP('Base stats'!E310,Groups!A:A,Groups!O:O)=0,1,0.1),1),0)</f>
        <v>4.5</v>
      </c>
      <c r="AY310" s="8">
        <f t="shared" si="143"/>
        <v>0</v>
      </c>
      <c r="AZ310" s="8">
        <f t="shared" si="144"/>
        <v>0</v>
      </c>
      <c r="BA310" s="8">
        <f t="shared" si="145"/>
        <v>21.7</v>
      </c>
      <c r="BB310" s="8">
        <f>IF(_xlfn.XLOOKUP(E310,Groups!A:A,Groups!N:N)="Insect",BD310*2.5,IFERROR(AVERAGE(BD310,AT310/9.81/IF(OR(_xlfn.XLOOKUP(E310,Groups!A:A,Groups!N:N)="Pig",_xlfn.XLOOKUP(E310,Groups!A:A,Groups!N:N)="StrongBitingHerbivore"),20,25))*C310^-0.135,BD310))</f>
        <v>22.084647223653981</v>
      </c>
      <c r="BC310" s="8" t="str">
        <f>IF(W310="No","No",IF(_xlfn.XLOOKUP(E310,Groups!A:A,Groups!U:U)=1,'Base stats'!BB310,IF(OR(_xlfn.XLOOKUP(E310,Groups!A:A,Groups!BD:BD)=1,_xlfn.XLOOKUP(E310,Groups!A:A,Groups!U:U)=2),BD310,IF(_xlfn.XLOOKUP(B310,Animals!B:B,Animals!AO:AO)&gt;4,AVERAGE(BD310,BF310),BF310))))</f>
        <v>No</v>
      </c>
      <c r="BD310" s="8">
        <f t="shared" si="146"/>
        <v>40.671113900066111</v>
      </c>
      <c r="BE310" s="8">
        <f>IF(_xlfn.XLOOKUP(E310,Groups!A:A,Groups!BE:BE)=1,(0.048*C310^1.01)+(0.071*C310^1.03),0.071*C310^1.03)/IF(_xlfn.XLOOKUP(E310,Groups!A:A,Groups!M:M)=1,0.85,IF(OR(_xlfn.XLOOKUP(B310,Animals!B:B,Animals!AO:AO)&gt;4,_xlfn.XLOOKUP(E310,Groups!A:A,Groups!BC:BC)=1),1.7,1))*C310^-0.25</f>
        <v>55.05660496323825</v>
      </c>
      <c r="BF310" s="8">
        <f>(0.048*C310^1.01)/IF(_xlfn.XLOOKUP(E310,Groups!A:A,Groups!M:M)=1,0.25,0.8)*C310^-0.25</f>
        <v>65.788691768591107</v>
      </c>
      <c r="BG310" s="8">
        <f>EXP(1.076*LN(AR310)-4.5397)*IF(_xlfn.XLOOKUP(E310,Groups!A:A,Groups!BC:BC)=1,1.25,IF(_xlfn.XLOOKUP(E310,Groups!A:A,Groups!BD:BD)=1,3.5,2.5))</f>
        <v>4248.8010933953938</v>
      </c>
      <c r="BH310" s="8">
        <f>EXP(1.076*LN(AS310)-4.5397)*IF(_xlfn.XLOOKUP(E310,Groups!A:A,Groups!M:M)=1,0.8,IF(_xlfn.XLOOKUP(E310,Groups!A:A,Groups!BC:BC)=1,1.3,3))</f>
        <v>3582.6566138740168</v>
      </c>
      <c r="BI310" s="8" t="str">
        <f>IF(W310="No","No",IF(_xlfn.XLOOKUP(E310,Groups!A:A,Groups!U:U)=1,'Base stats'!BJ310,IF(OR(_xlfn.XLOOKUP(E310,Groups!A:A,Groups!BD:BD)=1,_xlfn.XLOOKUP(E310,Groups!A:A,Groups!U:U)=2),BG310,BH310))*1.2)</f>
        <v>No</v>
      </c>
      <c r="BJ310" s="8">
        <f>IFERROR(EXP(1.076*LN(AT310)-4.5397)*IF(_xlfn.XLOOKUP(E310,Groups!A:A,Groups!N:N)="Insect",1,IF(OR(_xlfn.XLOOKUP(E310,Groups!A:A,Groups!N:N)="Pig",_xlfn.XLOOKUP(E310,Groups!A:A,Groups!N:N)="StrongBitingHerbivore"),3.5,3.75)),"No")</f>
        <v>2402.3782270305724</v>
      </c>
      <c r="BK310" s="8">
        <f t="shared" si="147"/>
        <v>14</v>
      </c>
      <c r="BL310" s="8">
        <f t="shared" si="148"/>
        <v>11</v>
      </c>
      <c r="BM310" s="8" t="str">
        <f t="shared" si="149"/>
        <v>No</v>
      </c>
      <c r="BN310" s="8">
        <f t="shared" si="150"/>
        <v>14</v>
      </c>
      <c r="BO310" s="8">
        <f t="shared" si="151"/>
        <v>10</v>
      </c>
      <c r="BP310" s="8" t="str" cm="1">
        <f t="array" ref="BP310">IF(AND(_xlfn.XLOOKUP('Base stats'!E310,Groups!A:A,Groups!AD:AD=0),_xlfn.XLOOKUP('Base stats'!E310,Groups!A:A,Groups!P:P=0)),"No",IF(U310="No",AVERAGE(EXP(-0.57+0.99*LN(C310)),EXP(0.32+0.67*LN(C310)))/IF(_xlfn.XLOOKUP(E310,Groups!A:A,Groups!AD:AD)=1,10,2),(0.7354*C310^0.4078)*2/IF(_xlfn.XLOOKUP(E310,Groups!A:A,Groups!BK:BK)=1,1000,100)/IF(_xlfn.XLOOKUP(E310,Groups!A:A,Groups!AJ:AJ)="Photonozoa",3,1)))</f>
        <v>No</v>
      </c>
      <c r="BQ310" s="8" t="str">
        <f>IF(W310="No","No",IF(_xlfn.XLOOKUP(E310,Groups!A:A,Groups!BD:BD)=1,(AO310*5%),EXP(0.7354*LN(C310)^0.4078)*2/IF(_xlfn.XLOOKUP(E310,Groups!A:A,Groups!BL:BL)=1,1000,100)/IF(_xlfn.XLOOKUP(E310,Groups!A:A,Groups!AJ:AJ)="Photonozoa",3,1)))</f>
        <v>No</v>
      </c>
      <c r="BR310" s="8">
        <f>IF(BJ310="No","No",IF(_xlfn.XLOOKUP(E310,Groups!A:A,Groups!BF:BF)=1,(0.0315*C310+2.1825)*2,(0.7354*C310^0.4078)*2)/IF(_xlfn.XLOOKUP(E310,Groups!A:A,Groups!BM:BM)=1,1000,100)/IF(_xlfn.XLOOKUP(E310,Groups!A:A,Groups!AJ:AJ)="Photonozoa",3,1))</f>
        <v>0.62914916014378153</v>
      </c>
      <c r="BS310" s="8">
        <f t="shared" si="152"/>
        <v>0.19229740210239546</v>
      </c>
      <c r="BT310" s="8" t="str">
        <f t="shared" si="153"/>
        <v>No</v>
      </c>
      <c r="BU310" s="8" t="str">
        <f t="shared" si="154"/>
        <v>No</v>
      </c>
      <c r="BV310" s="8">
        <f t="shared" si="155"/>
        <v>3818.4557482069099</v>
      </c>
      <c r="BW310" s="4">
        <v>0</v>
      </c>
      <c r="BX310" s="4">
        <v>1</v>
      </c>
    </row>
    <row r="311" spans="1:76" s="16" customFormat="1" x14ac:dyDescent="0.25">
      <c r="A311" s="26" t="s">
        <v>1351</v>
      </c>
      <c r="B311" s="6" t="s">
        <v>1609</v>
      </c>
      <c r="C311" s="7">
        <v>10000</v>
      </c>
      <c r="D311" s="7" t="s">
        <v>528</v>
      </c>
      <c r="E311" s="7" t="str">
        <f>Groups!$A$97</f>
        <v>GiantHexapodReptile</v>
      </c>
      <c r="F311" s="7">
        <v>700</v>
      </c>
      <c r="G311" s="7">
        <v>15</v>
      </c>
      <c r="H311" s="7">
        <v>700</v>
      </c>
      <c r="I311" s="4">
        <v>1</v>
      </c>
      <c r="J311" s="7">
        <v>1</v>
      </c>
      <c r="K311" s="7" t="s">
        <v>528</v>
      </c>
      <c r="L311" s="7">
        <v>16</v>
      </c>
      <c r="M311" s="7" t="s">
        <v>528</v>
      </c>
      <c r="N311" s="4">
        <v>0</v>
      </c>
      <c r="O311" s="4">
        <v>0</v>
      </c>
      <c r="P311" s="4">
        <v>0</v>
      </c>
      <c r="Q311" s="4">
        <v>0</v>
      </c>
      <c r="R311" s="4" t="s">
        <v>40</v>
      </c>
      <c r="S311" s="7">
        <f>_xlfn.XLOOKUP(B311,[1]TeethAdjusters!$A:$A,[1]BiteAdjusters!$C:$C,1)</f>
        <v>1</v>
      </c>
      <c r="T311" s="7">
        <f>_xlfn.XLOOKUP(B311,[1]TeethAdjusters!$A:$A,[1]TeethAdjusters!$B:$B,1)</f>
        <v>1</v>
      </c>
      <c r="U311" s="7" t="str">
        <f>IF(OR(_xlfn.XLOOKUP(E311,Groups!A:A,Groups!P:P)=1,_xlfn.XLOOKUP(E311,Groups!A:A,Groups!AD:AD)=1),"Need a formula","No")</f>
        <v>No</v>
      </c>
      <c r="V311" s="7">
        <v>6</v>
      </c>
      <c r="W311" s="7" t="str">
        <f>IF(_xlfn.XLOOKUP(E311,Groups!A:A,Groups!V:V)&lt;&gt;"No","Need a formula","No")</f>
        <v>No</v>
      </c>
      <c r="X311" s="7" t="s">
        <v>932</v>
      </c>
      <c r="Y311" s="4" t="s">
        <v>1002</v>
      </c>
      <c r="Z311" s="4">
        <v>1</v>
      </c>
      <c r="AA311" s="4">
        <v>0</v>
      </c>
      <c r="AB311" s="4">
        <v>0</v>
      </c>
      <c r="AC311" s="4">
        <v>0</v>
      </c>
      <c r="AD311" s="4">
        <v>0</v>
      </c>
      <c r="AE311" s="4" t="s">
        <v>45</v>
      </c>
      <c r="AF311" s="4" t="s">
        <v>45</v>
      </c>
      <c r="AG311" s="49" t="s">
        <v>386</v>
      </c>
      <c r="AH311" s="4" t="str">
        <f>Animals!C309</f>
        <v>&lt;li&gt;AA_OvergrownColossus&lt;/li&gt;</v>
      </c>
      <c r="AI311" s="4">
        <v>0</v>
      </c>
      <c r="AJ311" s="4">
        <v>0</v>
      </c>
      <c r="AK311" s="4">
        <v>0</v>
      </c>
      <c r="AL311" s="4">
        <v>0</v>
      </c>
      <c r="AM311" s="4">
        <v>1</v>
      </c>
      <c r="AN311" s="44" t="s">
        <v>40</v>
      </c>
      <c r="AO311" s="8">
        <f t="shared" si="141"/>
        <v>441898.95931438234</v>
      </c>
      <c r="AP311" s="8">
        <f>IFERROR(C311*_xlfn.XLOOKUP(E311,Groups!A:A,Groups!K:K),0.106*C311^0.94)</f>
        <v>609.96633357738608</v>
      </c>
      <c r="AQ311" s="8">
        <f>AP311*10000/(_xlfn.XLOOKUP(E311,Groups!A:A,Groups!J:J)*AO311)</f>
        <v>10.617922085867505</v>
      </c>
      <c r="AR311" s="8">
        <f t="shared" si="142"/>
        <v>130089.05224741565</v>
      </c>
      <c r="AS311" s="8">
        <f>IF(_xlfn.XLOOKUP(E311,Groups!A:A,Groups!M:M)=1,EXP(0.7444*LN('Base stats'!C311)+6.5696),EXP(0.7927*LN('Base stats'!C311)+4.28))</f>
        <v>107048.44980386966</v>
      </c>
      <c r="AT311" s="8">
        <f>IF(_xlfn.XLOOKUP(E311,Groups!A:A,Groups!N:N)="No","No",
IF(_xlfn.XLOOKUP(E311,Groups!A:A,Groups!N:N)="Crocodile",EXP(0.8129*LN(C311)+4.6742)*S311,
IF(_xlfn.XLOOKUP(E311,Groups!A:A,Groups!N:N)="Felid",EXP(0.7843*LN(C311)+4.7073)*S311,
IF(_xlfn.XLOOKUP(E311,Groups!A:A,Groups!N:N)="Canid",EXP(0.8367*LN(C311)+4.8763)*S311,
IF(_xlfn.XLOOKUP(E311,Groups!A:A,Groups!N:N)="Pig",EXP(0.3439*LN(C311)+6.8519)*S311,
IF(_xlfn.XLOOKUP(E311,Groups!A:A,Groups!N:N)="Rodent",EXP(0.5625*LN(C311)+4.3006)*S311,
IF(_xlfn.XLOOKUP(E311,Groups!A:A,Groups!N:N)="Primate",EXP(0.7847*LN(C311)+3.4931)*S311,
IF(_xlfn.XLOOKUP(E311,Groups!A:A,Groups!N:N)="MiscCarnivora",EXP(0.7486*LN(C311)+4.2207)*S311,
IF(_xlfn.XLOOKUP(E311,Groups!A:A,Groups!N:N)="Lizard",EXP(0.7733*LN(C311)+5.5303)*S311,
IF(_xlfn.XLOOKUP(E311,Groups!A:A,Groups!N:N)="Snake",50*C311^(2/3)*S311,
IF(_xlfn.XLOOKUP(E311,Groups!A:A,Groups!N:N)="StrongBitingHerbivore",87.1133638856975*C311^(2/3)*S311,
IF(_xlfn.XLOOKUP(E311,Groups!A:A,Groups!N:N)="MiscEctotherms",59.4316884072269*C311^(2/3)*S311,
IF(_xlfn.XLOOKUP(E311,Groups!A:A,Groups!N:N)="StrongBeakBird",0.041*(C311*1000)^1.375*S311,
IF(_xlfn.XLOOKUP(E311,Groups!A:A,Groups!N:N)="Bird",0.118*(C311*1000)^0.692*S311,
IF(_xlfn.XLOOKUP(E311,Groups!A:A,Groups!N:N)="Insect",EXP(0.7444*LN(C311)+6.5696)*S311,
IF(_xlfn.XLOOKUP(E311,Groups!A:A,Groups!N:N)="Theropod",EXP(0.6966*LN(C311)+4.158)*S311,
"No"))))))))))))))))</f>
        <v>27585.746127373859</v>
      </c>
      <c r="AU311" s="8">
        <f>IF(_xlfn.XLOOKUP(E311,Groups!A:A,Groups!U:U)=3,AS311,IF(_xlfn.XLOOKUP(E311,Groups!A:A,Groups!U:U)=2,AR311,AT311))</f>
        <v>27585.746127373859</v>
      </c>
      <c r="AV311" s="46">
        <f>IFERROR(AVERAGE(_xlfn.XLOOKUP(B311,Animals!B:B,Animals!N:N),_xlfn.XLOOKUP(B311,Animals!B:B,Animals!O:O)),0)</f>
        <v>1.05</v>
      </c>
      <c r="AW311" s="8">
        <f>MROUND(40*Animals!AO311*_xlfn.XLOOKUP(AG311,Leathers!$A$2:$A$99,Leathers!$B$2:$B$99,0)+(140*_xlfn.XLOOKUP(B311,Animals!B:B,Animals!AO:AO)*2),5)</f>
        <v>1915</v>
      </c>
      <c r="AX311" s="8">
        <f>IFERROR(ROUND(SQRT(V311-1)*IF(_xlfn.XLOOKUP(E311,Groups!A:A,Groups!BF:BF)=0,2,1)*IF(_xlfn.XLOOKUP('Base stats'!E311,Groups!A:A,Groups!O:O)=0,1,0.1),1),0)</f>
        <v>4.5</v>
      </c>
      <c r="AY311" s="8">
        <f t="shared" si="143"/>
        <v>0</v>
      </c>
      <c r="AZ311" s="8">
        <f t="shared" si="144"/>
        <v>0</v>
      </c>
      <c r="BA311" s="8">
        <f t="shared" si="145"/>
        <v>21.7</v>
      </c>
      <c r="BB311" s="8">
        <f>IF(_xlfn.XLOOKUP(E311,Groups!A:A,Groups!N:N)="Insect",BD311*2.5,IFERROR(AVERAGE(BD311,AT311/9.81/IF(OR(_xlfn.XLOOKUP(E311,Groups!A:A,Groups!N:N)="Pig",_xlfn.XLOOKUP(E311,Groups!A:A,Groups!N:N)="StrongBitingHerbivore"),20,25))*C311^-0.135,BD311))</f>
        <v>22.084647223653981</v>
      </c>
      <c r="BC311" s="8" t="str">
        <f>IF(W311="No","No",IF(_xlfn.XLOOKUP(E311,Groups!A:A,Groups!U:U)=1,'Base stats'!BB311,IF(OR(_xlfn.XLOOKUP(E311,Groups!A:A,Groups!BD:BD)=1,_xlfn.XLOOKUP(E311,Groups!A:A,Groups!U:U)=2),BD311,IF(_xlfn.XLOOKUP(B311,Animals!B:B,Animals!AO:AO)&gt;4,AVERAGE(BD311,BF311),BF311))))</f>
        <v>No</v>
      </c>
      <c r="BD311" s="8">
        <f t="shared" si="146"/>
        <v>40.671113900066111</v>
      </c>
      <c r="BE311" s="8">
        <f>IF(_xlfn.XLOOKUP(E311,Groups!A:A,Groups!BE:BE)=1,(0.048*C311^1.01)+(0.071*C311^1.03),0.071*C311^1.03)/IF(_xlfn.XLOOKUP(E311,Groups!A:A,Groups!M:M)=1,0.85,IF(OR(_xlfn.XLOOKUP(B311,Animals!B:B,Animals!AO:AO)&gt;4,_xlfn.XLOOKUP(E311,Groups!A:A,Groups!BC:BC)=1),1.7,1))*C311^-0.25</f>
        <v>55.05660496323825</v>
      </c>
      <c r="BF311" s="8">
        <f>(0.048*C311^1.01)/IF(_xlfn.XLOOKUP(E311,Groups!A:A,Groups!M:M)=1,0.25,0.8)*C311^-0.25</f>
        <v>65.788691768591107</v>
      </c>
      <c r="BG311" s="8">
        <f>EXP(1.076*LN(AR311)-4.5397)*IF(_xlfn.XLOOKUP(E311,Groups!A:A,Groups!BC:BC)=1,1.25,IF(_xlfn.XLOOKUP(E311,Groups!A:A,Groups!BD:BD)=1,3.5,2.5))</f>
        <v>4248.8010933953938</v>
      </c>
      <c r="BH311" s="8">
        <f>EXP(1.076*LN(AS311)-4.5397)*IF(_xlfn.XLOOKUP(E311,Groups!A:A,Groups!M:M)=1,0.8,IF(_xlfn.XLOOKUP(E311,Groups!A:A,Groups!BC:BC)=1,1.3,3))</f>
        <v>3582.6566138740168</v>
      </c>
      <c r="BI311" s="8" t="str">
        <f>IF(W311="No","No",IF(_xlfn.XLOOKUP(E311,Groups!A:A,Groups!U:U)=1,'Base stats'!BJ311,IF(OR(_xlfn.XLOOKUP(E311,Groups!A:A,Groups!BD:BD)=1,_xlfn.XLOOKUP(E311,Groups!A:A,Groups!U:U)=2),BG311,BH311))*1.2)</f>
        <v>No</v>
      </c>
      <c r="BJ311" s="8">
        <f>IFERROR(EXP(1.076*LN(AT311)-4.5397)*IF(_xlfn.XLOOKUP(E311,Groups!A:A,Groups!N:N)="Insect",1,IF(OR(_xlfn.XLOOKUP(E311,Groups!A:A,Groups!N:N)="Pig",_xlfn.XLOOKUP(E311,Groups!A:A,Groups!N:N)="StrongBitingHerbivore"),3.5,3.75)),"No")</f>
        <v>2402.3782270305724</v>
      </c>
      <c r="BK311" s="8">
        <f t="shared" si="147"/>
        <v>14</v>
      </c>
      <c r="BL311" s="8">
        <f t="shared" si="148"/>
        <v>11</v>
      </c>
      <c r="BM311" s="8" t="str">
        <f t="shared" si="149"/>
        <v>No</v>
      </c>
      <c r="BN311" s="8">
        <f t="shared" si="150"/>
        <v>14</v>
      </c>
      <c r="BO311" s="8">
        <f t="shared" si="151"/>
        <v>10</v>
      </c>
      <c r="BP311" s="8" t="str" cm="1">
        <f t="array" ref="BP311">IF(AND(_xlfn.XLOOKUP('Base stats'!E311,Groups!A:A,Groups!AD:AD=0),_xlfn.XLOOKUP('Base stats'!E311,Groups!A:A,Groups!P:P=0)),"No",IF(U311="No",AVERAGE(EXP(-0.57+0.99*LN(C311)),EXP(0.32+0.67*LN(C311)))/IF(_xlfn.XLOOKUP(E311,Groups!A:A,Groups!AD:AD)=1,10,2),(0.7354*C311^0.4078)*2/IF(_xlfn.XLOOKUP(E311,Groups!A:A,Groups!BK:BK)=1,1000,100)/IF(_xlfn.XLOOKUP(E311,Groups!A:A,Groups!AJ:AJ)="Photonozoa",3,1)))</f>
        <v>No</v>
      </c>
      <c r="BQ311" s="8" t="str">
        <f>IF(W311="No","No",IF(_xlfn.XLOOKUP(E311,Groups!A:A,Groups!BD:BD)=1,(AO311*5%),EXP(0.7354*LN(C311)^0.4078)*2/IF(_xlfn.XLOOKUP(E311,Groups!A:A,Groups!BL:BL)=1,1000,100)/IF(_xlfn.XLOOKUP(E311,Groups!A:A,Groups!AJ:AJ)="Photonozoa",3,1)))</f>
        <v>No</v>
      </c>
      <c r="BR311" s="8">
        <f>IF(BJ311="No","No",IF(_xlfn.XLOOKUP(E311,Groups!A:A,Groups!BF:BF)=1,(0.0315*C311+2.1825)*2,(0.7354*C311^0.4078)*2)/IF(_xlfn.XLOOKUP(E311,Groups!A:A,Groups!BM:BM)=1,1000,100)/IF(_xlfn.XLOOKUP(E311,Groups!A:A,Groups!AJ:AJ)="Photonozoa",3,1))</f>
        <v>0.62914916014378153</v>
      </c>
      <c r="BS311" s="8">
        <f t="shared" si="152"/>
        <v>0.19229740210239546</v>
      </c>
      <c r="BT311" s="8" t="str">
        <f t="shared" si="153"/>
        <v>No</v>
      </c>
      <c r="BU311" s="8" t="str">
        <f t="shared" si="154"/>
        <v>No</v>
      </c>
      <c r="BV311" s="8">
        <f t="shared" si="155"/>
        <v>3818.4557482069099</v>
      </c>
      <c r="BW311" s="4">
        <v>0</v>
      </c>
      <c r="BX311" s="4">
        <v>1</v>
      </c>
    </row>
    <row r="312" spans="1:76" s="16" customFormat="1" x14ac:dyDescent="0.25">
      <c r="A312" s="26" t="s">
        <v>1510</v>
      </c>
      <c r="B312" s="6" t="s">
        <v>1665</v>
      </c>
      <c r="C312" s="7">
        <v>25</v>
      </c>
      <c r="D312" s="7" t="s">
        <v>528</v>
      </c>
      <c r="E312" s="7" t="str">
        <f>Groups!$A$106</f>
        <v>Doglike (SCAVENGER, PLAGUE)</v>
      </c>
      <c r="F312" s="7">
        <v>60</v>
      </c>
      <c r="G312" s="7">
        <v>1.5</v>
      </c>
      <c r="H312" s="7">
        <v>20</v>
      </c>
      <c r="I312" s="4">
        <v>0</v>
      </c>
      <c r="J312" s="7">
        <v>5</v>
      </c>
      <c r="K312" s="7" t="s">
        <v>528</v>
      </c>
      <c r="L312" s="7">
        <v>65</v>
      </c>
      <c r="M312" s="7" t="s">
        <v>626</v>
      </c>
      <c r="N312" s="4">
        <v>0</v>
      </c>
      <c r="O312" s="4">
        <v>0</v>
      </c>
      <c r="P312" s="4">
        <v>0</v>
      </c>
      <c r="Q312" s="4">
        <v>0</v>
      </c>
      <c r="R312" s="4" t="s">
        <v>40</v>
      </c>
      <c r="S312" s="7">
        <f>_xlfn.XLOOKUP(B312,[1]TeethAdjusters!$A:$A,[1]BiteAdjusters!$C:$C,1)</f>
        <v>1</v>
      </c>
      <c r="T312" s="7">
        <f>_xlfn.XLOOKUP(B312,[1]TeethAdjusters!$A:$A,[1]TeethAdjusters!$B:$B,1)</f>
        <v>1</v>
      </c>
      <c r="U312" s="7" t="s">
        <v>45</v>
      </c>
      <c r="V312" s="7">
        <f>IF(AT312="No","No",IF(_xlfn.XLOOKUP(E312,Groups!A:A,Groups!AM:AM)=1,MROUND(EXP(0.3582*LN(C312)-0.2221)*T312,0.05),IF(_xlfn.XLOOKUP(E312,Groups!A:A,Groups!AM:AM)=2,MROUND(EXP(0.3582*LN(C312)-0.2221)*T312,0.05),"Need a formula")))</f>
        <v>2.5500000000000003</v>
      </c>
      <c r="W312" s="7" t="s">
        <v>45</v>
      </c>
      <c r="X312" s="7" t="s">
        <v>932</v>
      </c>
      <c r="Y312" s="4" t="s">
        <v>56</v>
      </c>
      <c r="Z312" s="4">
        <v>1</v>
      </c>
      <c r="AA312" s="4">
        <v>0</v>
      </c>
      <c r="AB312" s="4">
        <v>0</v>
      </c>
      <c r="AC312" s="4">
        <v>0</v>
      </c>
      <c r="AD312" s="4">
        <v>0</v>
      </c>
      <c r="AE312" s="4" t="s">
        <v>45</v>
      </c>
      <c r="AF312" s="4" t="s">
        <v>452</v>
      </c>
      <c r="AG312" s="49" t="s">
        <v>1778</v>
      </c>
      <c r="AH312" s="4" t="str">
        <f>Animals!$C$35</f>
        <v>&lt;li&gt;Rat&lt;/li&gt;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4" t="s">
        <v>40</v>
      </c>
      <c r="AO312" s="8">
        <f t="shared" si="141"/>
        <v>8994.6441116448314</v>
      </c>
      <c r="AP312" s="8">
        <f>IFERROR(C312*_xlfn.XLOOKUP(E312,Groups!A:A,Groups!K:K),0.106*C312^0.94)</f>
        <v>3.1187499999999999</v>
      </c>
      <c r="AQ312" s="8">
        <f>AP312*10000/(_xlfn.XLOOKUP(E312,Groups!A:A,Groups!J:J)*AO312)</f>
        <v>3.1810469614976942</v>
      </c>
      <c r="AR312" s="8">
        <f t="shared" si="142"/>
        <v>824.67090957260996</v>
      </c>
      <c r="AS312" s="8">
        <f>IF(_xlfn.XLOOKUP(E312,Groups!A:A,Groups!M:M)=1,EXP(0.7444*LN('Base stats'!C312)+6.5696),EXP(0.7927*LN('Base stats'!C312)+4.28))</f>
        <v>926.67495884741118</v>
      </c>
      <c r="AT312" s="8">
        <f>IF(_xlfn.XLOOKUP(E312,Groups!A:A,Groups!N:N)="No","No",
IF(_xlfn.XLOOKUP(E312,Groups!A:A,Groups!N:N)="Crocodile",EXP(0.8129*LN(C312)+4.6742)*S312,
IF(_xlfn.XLOOKUP(E312,Groups!A:A,Groups!N:N)="Felid",EXP(0.7843*LN(C312)+4.7073)*S312,
IF(_xlfn.XLOOKUP(E312,Groups!A:A,Groups!N:N)="Canid",EXP(0.8367*LN(C312)+4.8763)*S312,
IF(_xlfn.XLOOKUP(E312,Groups!A:A,Groups!N:N)="Pig",EXP(0.3439*LN(C312)+6.8519)*S312,
IF(_xlfn.XLOOKUP(E312,Groups!A:A,Groups!N:N)="Rodent",EXP(0.5625*LN(C312)+4.3006)*S312,
IF(_xlfn.XLOOKUP(E312,Groups!A:A,Groups!N:N)="Primate",EXP(0.7847*LN(C312)+3.4931)*S312,
IF(_xlfn.XLOOKUP(E312,Groups!A:A,Groups!N:N)="MiscCarnivora",EXP(0.7486*LN(C312)+4.2207)*S312,
IF(_xlfn.XLOOKUP(E312,Groups!A:A,Groups!N:N)="Lizard",EXP(0.7733*LN(C312)+5.5303)*S312,
IF(_xlfn.XLOOKUP(E312,Groups!A:A,Groups!N:N)="Snake",50*C312^(2/3)*S312,
IF(_xlfn.XLOOKUP(E312,Groups!A:A,Groups!N:N)="StrongBitingHerbivore",87.1133638856975*C312^(2/3)*S312,
IF(_xlfn.XLOOKUP(E312,Groups!A:A,Groups!N:N)="MiscEctotherms",59.4316884072269*C312^(2/3)*S312,
IF(_xlfn.XLOOKUP(E312,Groups!A:A,Groups!N:N)="StrongBeakBird",0.041*(C312*1000)^1.375*S312,
IF(_xlfn.XLOOKUP(E312,Groups!A:A,Groups!N:N)="Bird",0.118*(C312*1000)^0.692*S312,
IF(_xlfn.XLOOKUP(E312,Groups!A:A,Groups!N:N)="Insect",EXP(0.7444*LN(C312)+6.5696)*S312,
IF(_xlfn.XLOOKUP(E312,Groups!A:A,Groups!N:N)="Theropod",EXP(0.6966*LN(C312)+4.158)*S312,
"No"))))))))))))))))</f>
        <v>1938.2356949307643</v>
      </c>
      <c r="AU312" s="8">
        <f>IF(_xlfn.XLOOKUP(E312,Groups!A:A,Groups!U:U)=3,AS312,IF(_xlfn.XLOOKUP(E312,Groups!A:A,Groups!U:U)=2,AR312,AT312))</f>
        <v>1938.2356949307643</v>
      </c>
      <c r="AV312" s="46">
        <f>IFERROR(AVERAGE(_xlfn.XLOOKUP(B312,Animals!B:B,Animals!N:N),_xlfn.XLOOKUP(B312,Animals!B:B,Animals!O:O)),0)</f>
        <v>0</v>
      </c>
      <c r="AW312" s="8">
        <f>MROUND(40*Animals!AO312*_xlfn.XLOOKUP(AG312,Leathers!$A$2:$A$99,Leathers!$B$2:$B$99,0)+(140*_xlfn.XLOOKUP(B312,Animals!B:B,Animals!AO:AO)*2),5)</f>
        <v>180</v>
      </c>
      <c r="AX312" s="8">
        <f>IFERROR(ROUND(SQRT(V312-1)*IF(_xlfn.XLOOKUP(E312,Groups!A:A,Groups!BF:BF)=0,2,1)*IF(_xlfn.XLOOKUP('Base stats'!E312,Groups!A:A,Groups!O:O)=0,1,0.1),1),0)</f>
        <v>2.5</v>
      </c>
      <c r="AY312" s="8">
        <f t="shared" si="143"/>
        <v>0</v>
      </c>
      <c r="AZ312" s="8">
        <f t="shared" si="144"/>
        <v>0</v>
      </c>
      <c r="BA312" s="8">
        <f t="shared" si="145"/>
        <v>2.5</v>
      </c>
      <c r="BB312" s="8">
        <f>IF(_xlfn.XLOOKUP(E312,Groups!A:A,Groups!N:N)="Insect",BD312*2.5,IFERROR(AVERAGE(BD312,AT312/9.81/IF(OR(_xlfn.XLOOKUP(E312,Groups!A:A,Groups!N:N)="Pig",_xlfn.XLOOKUP(E312,Groups!A:A,Groups!N:N)="StrongBitingHerbivore"),20,25))*C312^-0.135,BD312))</f>
        <v>2.7430264401596109</v>
      </c>
      <c r="BC312" s="8" t="str">
        <f>IF(W312="No","No",IF(_xlfn.XLOOKUP(E312,Groups!A:A,Groups!U:U)=1,'Base stats'!BB312,IF(OR(_xlfn.XLOOKUP(E312,Groups!A:A,Groups!BD:BD)=1,_xlfn.XLOOKUP(E312,Groups!A:A,Groups!U:U)=2),BD312,IF(_xlfn.XLOOKUP(B312,Animals!B:B,Animals!AO:AO)&gt;4,AVERAGE(BD312,BF312),BF312))))</f>
        <v>No</v>
      </c>
      <c r="BD312" s="8">
        <f t="shared" si="146"/>
        <v>0.56881915680859008</v>
      </c>
      <c r="BE312" s="8">
        <f>IF(_xlfn.XLOOKUP(E312,Groups!A:A,Groups!BE:BE)=1,(0.048*C312^1.01)+(0.071*C312^1.03),0.071*C312^1.03)/IF(_xlfn.XLOOKUP(E312,Groups!A:A,Groups!M:M)=1,0.85,IF(OR(_xlfn.XLOOKUP(B312,Animals!B:B,Animals!AO:AO)&gt;4,_xlfn.XLOOKUP(E312,Groups!A:A,Groups!BC:BC)=1),1.7,1))*C312^-0.25</f>
        <v>0.87428203703676388</v>
      </c>
      <c r="BF312" s="8">
        <f>(0.048*C312^1.01)/IF(_xlfn.XLOOKUP(E312,Groups!A:A,Groups!M:M)=1,0.25,0.8)*C312^-0.25</f>
        <v>0.69276455162902584</v>
      </c>
      <c r="BG312" s="8">
        <f>EXP(1.076*LN(AR312)-4.5397)*IF(_xlfn.XLOOKUP(E312,Groups!A:A,Groups!BC:BC)=1,1.25,IF(_xlfn.XLOOKUP(E312,Groups!A:A,Groups!BD:BD)=1,3.5,2.5))</f>
        <v>36.668348939666025</v>
      </c>
      <c r="BH312" s="8">
        <f>EXP(1.076*LN(AS312)-4.5397)*IF(_xlfn.XLOOKUP(E312,Groups!A:A,Groups!M:M)=1,0.8,IF(_xlfn.XLOOKUP(E312,Groups!A:A,Groups!BC:BC)=1,1.3,3))</f>
        <v>49.884831215386384</v>
      </c>
      <c r="BI312" s="8" t="str">
        <f>IF(W312="No","No",IF(_xlfn.XLOOKUP(E312,Groups!A:A,Groups!U:U)=1,'Base stats'!BJ312,IF(OR(_xlfn.XLOOKUP(E312,Groups!A:A,Groups!BD:BD)=1,_xlfn.XLOOKUP(E312,Groups!A:A,Groups!U:U)=2),BG312,BH312))*1.2)</f>
        <v>No</v>
      </c>
      <c r="BJ312" s="8">
        <f>IFERROR(EXP(1.076*LN(AT312)-4.5397)*IF(_xlfn.XLOOKUP(E312,Groups!A:A,Groups!N:N)="Insect",1,IF(OR(_xlfn.XLOOKUP(E312,Groups!A:A,Groups!N:N)="Pig",_xlfn.XLOOKUP(E312,Groups!A:A,Groups!N:N)="StrongBitingHerbivore"),3.5,3.75)),"No")</f>
        <v>137.94758321841701</v>
      </c>
      <c r="BK312" s="8">
        <f t="shared" si="147"/>
        <v>11</v>
      </c>
      <c r="BL312" s="8">
        <f t="shared" si="148"/>
        <v>10</v>
      </c>
      <c r="BM312" s="8" t="str">
        <f t="shared" si="149"/>
        <v>No</v>
      </c>
      <c r="BN312" s="8">
        <f t="shared" si="150"/>
        <v>10</v>
      </c>
      <c r="BO312" s="8">
        <f t="shared" si="151"/>
        <v>12</v>
      </c>
      <c r="BP312" s="8" t="str" cm="1">
        <f t="array" ref="BP312">IF(AND(_xlfn.XLOOKUP('Base stats'!E312,Groups!A:A,Groups!AD:AD=0),_xlfn.XLOOKUP('Base stats'!E312,Groups!A:A,Groups!P:P=0)),"No",IF(U312="No",AVERAGE(EXP(-0.57+0.99*LN(C312)),EXP(0.32+0.67*LN(C312)))/IF(_xlfn.XLOOKUP(E312,Groups!A:A,Groups!AD:AD)=1,10,2),(0.7354*C312^0.4078)*2/IF(_xlfn.XLOOKUP(E312,Groups!A:A,Groups!BK:BK)=1,1000,100)/IF(_xlfn.XLOOKUP(E312,Groups!A:A,Groups!AJ:AJ)="Photonozoa",3,1)))</f>
        <v>No</v>
      </c>
      <c r="BQ312" s="8" t="str">
        <f>IF(W312="No","No",IF(_xlfn.XLOOKUP(E312,Groups!A:A,Groups!BD:BD)=1,(AO312*5%),EXP(0.7354*LN(C312)^0.4078)*2/IF(_xlfn.XLOOKUP(E312,Groups!A:A,Groups!BL:BL)=1,1000,100)/IF(_xlfn.XLOOKUP(E312,Groups!A:A,Groups!AJ:AJ)="Photonozoa",3,1)))</f>
        <v>No</v>
      </c>
      <c r="BR312" s="8">
        <f>IF(BJ312="No","No",IF(_xlfn.XLOOKUP(E312,Groups!A:A,Groups!BF:BF)=1,(0.0315*C312+2.1825)*2,(0.7354*C312^0.4078)*2)/IF(_xlfn.XLOOKUP(E312,Groups!A:A,Groups!BM:BM)=1,1000,100)/IF(_xlfn.XLOOKUP(E312,Groups!A:A,Groups!AJ:AJ)="Photonozoa",3,1))</f>
        <v>5.4655460365074494E-2</v>
      </c>
      <c r="BS312" s="8">
        <f t="shared" si="152"/>
        <v>8.1533740489395656E-2</v>
      </c>
      <c r="BT312" s="8" t="str">
        <f t="shared" si="153"/>
        <v>No</v>
      </c>
      <c r="BU312" s="8" t="str">
        <f t="shared" si="154"/>
        <v>No</v>
      </c>
      <c r="BV312" s="8">
        <f t="shared" si="155"/>
        <v>2523.9487929840438</v>
      </c>
      <c r="BW312" s="4">
        <v>0</v>
      </c>
      <c r="BX312" s="4">
        <v>1</v>
      </c>
    </row>
    <row r="313" spans="1:76" s="16" customFormat="1" x14ac:dyDescent="0.25">
      <c r="A313" s="26" t="s">
        <v>1406</v>
      </c>
      <c r="B313" s="6" t="s">
        <v>1627</v>
      </c>
      <c r="C313" s="7">
        <v>180</v>
      </c>
      <c r="D313" s="7" t="s">
        <v>528</v>
      </c>
      <c r="E313" s="7" t="str">
        <f>Groups!$A$15</f>
        <v>Doglike (CANID)</v>
      </c>
      <c r="F313" s="7">
        <f>ROUND(7.545*(C313*1000)^0.2689,0)</f>
        <v>195</v>
      </c>
      <c r="G313" s="7">
        <v>5</v>
      </c>
      <c r="H313" s="7">
        <v>40</v>
      </c>
      <c r="I313" s="4">
        <v>1</v>
      </c>
      <c r="J313" s="7">
        <v>1</v>
      </c>
      <c r="K313" s="7" t="s">
        <v>528</v>
      </c>
      <c r="L313" s="7">
        <f>MIN(37.5*C313^0.089,79.3*C313^-0.072)</f>
        <v>54.562412797021032</v>
      </c>
      <c r="M313" s="7" t="s">
        <v>626</v>
      </c>
      <c r="N313" s="4">
        <v>0</v>
      </c>
      <c r="O313" s="4">
        <v>0</v>
      </c>
      <c r="P313" s="4">
        <v>0</v>
      </c>
      <c r="Q313" s="4">
        <v>0</v>
      </c>
      <c r="R313" s="4" t="s">
        <v>40</v>
      </c>
      <c r="S313" s="7">
        <f>_xlfn.XLOOKUP(B313,[1]TeethAdjusters!$A:$A,[1]BiteAdjusters!$C:$C,1)</f>
        <v>1</v>
      </c>
      <c r="T313" s="7">
        <f>_xlfn.XLOOKUP(B313,[1]TeethAdjusters!$A:$A,[1]TeethAdjusters!$B:$B,1)</f>
        <v>1</v>
      </c>
      <c r="U313" s="7" t="s">
        <v>45</v>
      </c>
      <c r="V313" s="7">
        <f>IF(AT313="No","No",IF(_xlfn.XLOOKUP(E313,Groups!A:A,Groups!AM:AM)=1,MROUND(EXP(0.3582*LN(C313)-0.2221)*T313,0.05),IF(_xlfn.XLOOKUP(E313,Groups!A:A,Groups!AM:AM)=2,MROUND(EXP(0.3582*LN(C313)-0.2221)*T313,0.05),"Need a formula")))</f>
        <v>5.15</v>
      </c>
      <c r="W313" s="7" t="str">
        <f>IF(_xlfn.XLOOKUP(E313,Groups!A:A,Groups!V:V)&lt;&gt;"No","Need a formula","No")</f>
        <v>No</v>
      </c>
      <c r="X313" s="7" t="s">
        <v>932</v>
      </c>
      <c r="Y313" s="4" t="s">
        <v>53</v>
      </c>
      <c r="Z313" s="4">
        <v>1</v>
      </c>
      <c r="AA313" s="4">
        <v>0</v>
      </c>
      <c r="AB313" s="4">
        <v>0</v>
      </c>
      <c r="AC313" s="4">
        <v>0</v>
      </c>
      <c r="AD313" s="4">
        <v>0</v>
      </c>
      <c r="AE313" s="4" t="s">
        <v>45</v>
      </c>
      <c r="AF313" s="4" t="s">
        <v>311</v>
      </c>
      <c r="AG313" s="49" t="s">
        <v>1778</v>
      </c>
      <c r="AH313" s="4" t="str">
        <f>Animals!$C$30</f>
        <v>&lt;li&gt;Pig&lt;/li&gt;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4" t="s">
        <v>40</v>
      </c>
      <c r="AO313" s="8">
        <f t="shared" si="141"/>
        <v>32452.64560229296</v>
      </c>
      <c r="AP313" s="8">
        <f>IFERROR(C313*_xlfn.XLOOKUP(E313,Groups!A:A,Groups!K:K),0.106*C313^0.94)</f>
        <v>22.454999999999998</v>
      </c>
      <c r="AQ313" s="8">
        <f>AP313*10000/(_xlfn.XLOOKUP(E313,Groups!A:A,Groups!J:J)*AO313)</f>
        <v>6.34799322177206</v>
      </c>
      <c r="AR313" s="8">
        <f t="shared" si="142"/>
        <v>4369.8792317253037</v>
      </c>
      <c r="AS313" s="8">
        <f>IF(_xlfn.XLOOKUP(E313,Groups!A:A,Groups!M:M)=1,EXP(0.7444*LN('Base stats'!C313)+6.5696),EXP(0.7927*LN('Base stats'!C313)+4.28))</f>
        <v>4431.3382067712973</v>
      </c>
      <c r="AT313" s="8">
        <f>IF(_xlfn.XLOOKUP(E313,Groups!A:A,Groups!N:N)="No","No",
IF(_xlfn.XLOOKUP(E313,Groups!A:A,Groups!N:N)="Crocodile",EXP(0.8129*LN(C313)+4.6742)*S313,
IF(_xlfn.XLOOKUP(E313,Groups!A:A,Groups!N:N)="Felid",EXP(0.7843*LN(C313)+4.7073)*S313,
IF(_xlfn.XLOOKUP(E313,Groups!A:A,Groups!N:N)="Canid",EXP(0.8367*LN(C313)+4.8763)*S313,
IF(_xlfn.XLOOKUP(E313,Groups!A:A,Groups!N:N)="Pig",EXP(0.3439*LN(C313)+6.8519)*S313,
IF(_xlfn.XLOOKUP(E313,Groups!A:A,Groups!N:N)="Rodent",EXP(0.5625*LN(C313)+4.3006)*S313,
IF(_xlfn.XLOOKUP(E313,Groups!A:A,Groups!N:N)="Primate",EXP(0.7847*LN(C313)+3.4931)*S313,
IF(_xlfn.XLOOKUP(E313,Groups!A:A,Groups!N:N)="MiscCarnivora",EXP(0.7486*LN(C313)+4.2207)*S313,
IF(_xlfn.XLOOKUP(E313,Groups!A:A,Groups!N:N)="Lizard",EXP(0.7733*LN(C313)+5.5303)*S313,
IF(_xlfn.XLOOKUP(E313,Groups!A:A,Groups!N:N)="Snake",50*C313^(2/3)*S313,
IF(_xlfn.XLOOKUP(E313,Groups!A:A,Groups!N:N)="StrongBitingHerbivore",87.1133638856975*C313^(2/3)*S313,
IF(_xlfn.XLOOKUP(E313,Groups!A:A,Groups!N:N)="MiscEctotherms",59.4316884072269*C313^(2/3)*S313,
IF(_xlfn.XLOOKUP(E313,Groups!A:A,Groups!N:N)="StrongBeakBird",0.041*(C313*1000)^1.375*S313,
IF(_xlfn.XLOOKUP(E313,Groups!A:A,Groups!N:N)="Bird",0.118*(C313*1000)^0.692*S313,
IF(_xlfn.XLOOKUP(E313,Groups!A:A,Groups!N:N)="Insect",EXP(0.7444*LN(C313)+6.5696)*S313,
IF(_xlfn.XLOOKUP(E313,Groups!A:A,Groups!N:N)="Theropod",EXP(0.6966*LN(C313)+4.158)*S313,
"No"))))))))))))))))</f>
        <v>10109.663192227399</v>
      </c>
      <c r="AU313" s="8">
        <f>IF(_xlfn.XLOOKUP(E313,Groups!A:A,Groups!U:U)=3,AS313,IF(_xlfn.XLOOKUP(E313,Groups!A:A,Groups!U:U)=2,AR313,AT313))</f>
        <v>10109.663192227399</v>
      </c>
      <c r="AV313" s="46">
        <f>IFERROR(AVERAGE(_xlfn.XLOOKUP(B313,Animals!B:B,Animals!N:N),_xlfn.XLOOKUP(B313,Animals!B:B,Animals!O:O)),0)</f>
        <v>0</v>
      </c>
      <c r="AW313" s="8">
        <f>MROUND(40*Animals!AO313*_xlfn.XLOOKUP(AG313,Leathers!$A$2:$A$99,Leathers!$B$2:$B$99,0)+(140*_xlfn.XLOOKUP(B313,Animals!B:B,Animals!AO:AO)*2),5)</f>
        <v>475</v>
      </c>
      <c r="AX313" s="8">
        <f>IFERROR(ROUND(SQRT(V313-1)*IF(_xlfn.XLOOKUP(E313,Groups!A:A,Groups!BF:BF)=0,2,1)*IF(_xlfn.XLOOKUP('Base stats'!E313,Groups!A:A,Groups!O:O)=0,1,0.1),1),0)</f>
        <v>4.0999999999999996</v>
      </c>
      <c r="AY313" s="8">
        <f t="shared" si="143"/>
        <v>0</v>
      </c>
      <c r="AZ313" s="8">
        <f t="shared" si="144"/>
        <v>0</v>
      </c>
      <c r="BA313" s="8">
        <f t="shared" si="145"/>
        <v>5.0999999999999996</v>
      </c>
      <c r="BB313" s="8">
        <f>IF(_xlfn.XLOOKUP(E313,Groups!A:A,Groups!N:N)="Insect",BD313*2.5,IFERROR(AVERAGE(BD313,AT313/9.81/IF(OR(_xlfn.XLOOKUP(E313,Groups!A:A,Groups!N:N)="Pig",_xlfn.XLOOKUP(E313,Groups!A:A,Groups!N:N)="StrongBitingHerbivore"),20,25))*C313^-0.135,BD313))</f>
        <v>10.952009586645957</v>
      </c>
      <c r="BC313" s="8" t="str">
        <f>IF(W313="No","No",IF(_xlfn.XLOOKUP(E313,Groups!A:A,Groups!U:U)=1,'Base stats'!BB313,IF(OR(_xlfn.XLOOKUP(E313,Groups!A:A,Groups!BD:BD)=1,_xlfn.XLOOKUP(E313,Groups!A:A,Groups!U:U)=2),BD313,IF(_xlfn.XLOOKUP(B313,Animals!B:B,Animals!AO:AO)&gt;4,AVERAGE(BD313,BF313),BF313))))</f>
        <v>No</v>
      </c>
      <c r="BD313" s="8">
        <f t="shared" si="146"/>
        <v>2.9337122802000692</v>
      </c>
      <c r="BE313" s="8">
        <f>IF(_xlfn.XLOOKUP(E313,Groups!A:A,Groups!BE:BE)=1,(0.048*C313^1.01)+(0.071*C313^1.03),0.071*C313^1.03)/IF(_xlfn.XLOOKUP(E313,Groups!A:A,Groups!M:M)=1,0.85,IF(OR(_xlfn.XLOOKUP(B313,Animals!B:B,Animals!AO:AO)&gt;4,_xlfn.XLOOKUP(E313,Groups!A:A,Groups!BC:BC)=1),1.7,1))*C313^-0.25</f>
        <v>4.0772834343970406</v>
      </c>
      <c r="BF313" s="8">
        <f>(0.048*C313^1.01)/IF(_xlfn.XLOOKUP(E313,Groups!A:A,Groups!M:M)=1,0.25,0.8)*C313^-0.25</f>
        <v>3.1056917919729647</v>
      </c>
      <c r="BG313" s="8">
        <f>EXP(1.076*LN(AR313)-4.5397)*IF(_xlfn.XLOOKUP(E313,Groups!A:A,Groups!BC:BC)=1,1.25,IF(_xlfn.XLOOKUP(E313,Groups!A:A,Groups!BD:BD)=1,3.5,2.5))</f>
        <v>220.55578881170885</v>
      </c>
      <c r="BH313" s="8">
        <f>EXP(1.076*LN(AS313)-4.5397)*IF(_xlfn.XLOOKUP(E313,Groups!A:A,Groups!M:M)=1,0.8,IF(_xlfn.XLOOKUP(E313,Groups!A:A,Groups!BC:BC)=1,1.3,3))</f>
        <v>268.67431157890962</v>
      </c>
      <c r="BI313" s="8" t="str">
        <f>IF(W313="No","No",IF(_xlfn.XLOOKUP(E313,Groups!A:A,Groups!U:U)=1,'Base stats'!BJ313,IF(OR(_xlfn.XLOOKUP(E313,Groups!A:A,Groups!BD:BD)=1,_xlfn.XLOOKUP(E313,Groups!A:A,Groups!U:U)=2),BG313,BH313))*1.2)</f>
        <v>No</v>
      </c>
      <c r="BJ313" s="8">
        <f>IFERROR(EXP(1.076*LN(AT313)-4.5397)*IF(_xlfn.XLOOKUP(E313,Groups!A:A,Groups!N:N)="Insect",1,IF(OR(_xlfn.XLOOKUP(E313,Groups!A:A,Groups!N:N)="Pig",_xlfn.XLOOKUP(E313,Groups!A:A,Groups!N:N)="StrongBitingHerbivore"),3.5,3.75)),"No")</f>
        <v>815.75789113979727</v>
      </c>
      <c r="BK313" s="8">
        <f t="shared" si="147"/>
        <v>12</v>
      </c>
      <c r="BL313" s="8">
        <f t="shared" si="148"/>
        <v>11</v>
      </c>
      <c r="BM313" s="8" t="str">
        <f t="shared" si="149"/>
        <v>No</v>
      </c>
      <c r="BN313" s="8">
        <f t="shared" si="150"/>
        <v>12</v>
      </c>
      <c r="BO313" s="8">
        <f t="shared" si="151"/>
        <v>13</v>
      </c>
      <c r="BP313" s="8" t="str" cm="1">
        <f t="array" ref="BP313">IF(AND(_xlfn.XLOOKUP('Base stats'!E313,Groups!A:A,Groups!AD:AD=0),_xlfn.XLOOKUP('Base stats'!E313,Groups!A:A,Groups!P:P=0)),"No",IF(U313="No",AVERAGE(EXP(-0.57+0.99*LN(C313)),EXP(0.32+0.67*LN(C313)))/IF(_xlfn.XLOOKUP(E313,Groups!A:A,Groups!AD:AD)=1,10,2),(0.7354*C313^0.4078)*2/IF(_xlfn.XLOOKUP(E313,Groups!A:A,Groups!BK:BK)=1,1000,100)/IF(_xlfn.XLOOKUP(E313,Groups!A:A,Groups!AJ:AJ)="Photonozoa",3,1)))</f>
        <v>No</v>
      </c>
      <c r="BQ313" s="8" t="str">
        <f>IF(W313="No","No",IF(_xlfn.XLOOKUP(E313,Groups!A:A,Groups!BD:BD)=1,(AO313*5%),EXP(0.7354*LN(C313)^0.4078)*2/IF(_xlfn.XLOOKUP(E313,Groups!A:A,Groups!BL:BL)=1,1000,100)/IF(_xlfn.XLOOKUP(E313,Groups!A:A,Groups!AJ:AJ)="Photonozoa",3,1)))</f>
        <v>No</v>
      </c>
      <c r="BR313" s="8">
        <f>IF(BJ313="No","No",IF(_xlfn.XLOOKUP(E313,Groups!A:A,Groups!BF:BF)=1,(0.0315*C313+2.1825)*2,(0.7354*C313^0.4078)*2)/IF(_xlfn.XLOOKUP(E313,Groups!A:A,Groups!BM:BM)=1,1000,100)/IF(_xlfn.XLOOKUP(E313,Groups!A:A,Groups!AJ:AJ)="Photonozoa",3,1))</f>
        <v>0.12225137396044293</v>
      </c>
      <c r="BS313" s="8">
        <f t="shared" si="152"/>
        <v>0.13592468947809011</v>
      </c>
      <c r="BT313" s="8" t="str">
        <f t="shared" si="153"/>
        <v>No</v>
      </c>
      <c r="BU313" s="8" t="str">
        <f t="shared" si="154"/>
        <v>No</v>
      </c>
      <c r="BV313" s="8">
        <f t="shared" si="155"/>
        <v>6672.7911900912732</v>
      </c>
      <c r="BW313" s="4">
        <v>0</v>
      </c>
      <c r="BX313" s="4">
        <v>1</v>
      </c>
    </row>
    <row r="314" spans="1:76" s="16" customFormat="1" x14ac:dyDescent="0.25">
      <c r="A314" s="26" t="s">
        <v>1520</v>
      </c>
      <c r="B314" s="6" t="s">
        <v>1858</v>
      </c>
      <c r="C314" s="7">
        <v>400</v>
      </c>
      <c r="D314" s="7" t="s">
        <v>528</v>
      </c>
      <c r="E314" s="7" t="str">
        <f>Groups!$A$109</f>
        <v>Ruminant (HORNS, TAIL)</v>
      </c>
      <c r="F314" s="7">
        <f>ROUND(7.545*(C314*1000)^0.2689,0)</f>
        <v>242</v>
      </c>
      <c r="G314" s="7">
        <v>2</v>
      </c>
      <c r="H314" s="7">
        <v>25</v>
      </c>
      <c r="I314" s="4">
        <v>0</v>
      </c>
      <c r="J314" s="7">
        <v>1</v>
      </c>
      <c r="K314" s="7" t="s">
        <v>528</v>
      </c>
      <c r="L314" s="7">
        <f>MIN(114.4*C314^-0.13,97.8*C314^-0.094)</f>
        <v>52.499869706925978</v>
      </c>
      <c r="M314" s="7" t="s">
        <v>626</v>
      </c>
      <c r="N314" s="4">
        <v>0</v>
      </c>
      <c r="O314" s="4">
        <v>0</v>
      </c>
      <c r="P314" s="4">
        <v>0</v>
      </c>
      <c r="Q314" s="4">
        <v>0</v>
      </c>
      <c r="R314" s="4" t="s">
        <v>40</v>
      </c>
      <c r="S314" s="7">
        <f>_xlfn.XLOOKUP(B314,[1]TeethAdjusters!$A:$A,[1]BiteAdjusters!$C:$C,1)</f>
        <v>1</v>
      </c>
      <c r="T314" s="7">
        <f>_xlfn.XLOOKUP(B314,[1]TeethAdjusters!$A:$A,[1]TeethAdjusters!$B:$B,1)</f>
        <v>1</v>
      </c>
      <c r="U314" s="7" t="s">
        <v>45</v>
      </c>
      <c r="V314" s="7" t="str">
        <f>IF(AT314="No","No",IF(_xlfn.XLOOKUP(E314,Groups!A:A,Groups!AM:AM)=1,MROUND(EXP(0.3582*LN(C314)-0.2221)*T314,0.05),IF(_xlfn.XLOOKUP(E314,Groups!A:A,Groups!AM:AM)=2,MROUND(EXP(0.3582*LN(C314)-0.2221)*T314,0.05),"Need a formula")))</f>
        <v>No</v>
      </c>
      <c r="W314" s="7">
        <v>30</v>
      </c>
      <c r="X314" s="7" t="s">
        <v>932</v>
      </c>
      <c r="Y314" s="4" t="s">
        <v>42</v>
      </c>
      <c r="Z314" s="4">
        <v>1</v>
      </c>
      <c r="AA314" s="4">
        <v>0</v>
      </c>
      <c r="AB314" s="4">
        <v>0</v>
      </c>
      <c r="AC314" s="4">
        <v>0</v>
      </c>
      <c r="AD314" s="4">
        <v>0</v>
      </c>
      <c r="AE314" s="4" t="s">
        <v>45</v>
      </c>
      <c r="AF314" s="4" t="s">
        <v>398</v>
      </c>
      <c r="AG314" s="49" t="s">
        <v>1778</v>
      </c>
      <c r="AH314" s="4" t="str">
        <f>Animals!$C$43</f>
        <v>&lt;li&gt;Cow&lt;/li&gt;</v>
      </c>
      <c r="AI314" s="4">
        <v>1</v>
      </c>
      <c r="AJ314" s="4">
        <v>0</v>
      </c>
      <c r="AK314" s="4">
        <v>0</v>
      </c>
      <c r="AL314" s="4">
        <v>0</v>
      </c>
      <c r="AM314" s="4">
        <v>0</v>
      </c>
      <c r="AN314" s="44" t="s">
        <v>40</v>
      </c>
      <c r="AO314" s="8">
        <f t="shared" si="141"/>
        <v>54533.324359541104</v>
      </c>
      <c r="AP314" s="8">
        <f>IFERROR(C314*_xlfn.XLOOKUP(E314,Groups!A:A,Groups!K:K),0.106*C314^0.94)</f>
        <v>29.596629583111532</v>
      </c>
      <c r="AQ314" s="8">
        <f>AP314*10000/(_xlfn.XLOOKUP(E314,Groups!A:A,Groups!J:J)*AO314)</f>
        <v>4.9791336757954134</v>
      </c>
      <c r="AR314" s="8">
        <f t="shared" si="142"/>
        <v>8578.2919817776201</v>
      </c>
      <c r="AS314" s="8">
        <f>IF(_xlfn.XLOOKUP(E314,Groups!A:A,Groups!M:M)=1,EXP(0.7444*LN('Base stats'!C314)+6.5696),EXP(0.7927*LN('Base stats'!C314)+4.28))</f>
        <v>8345.1344423422543</v>
      </c>
      <c r="AT314" s="8" t="str">
        <f>IF(_xlfn.XLOOKUP(E314,Groups!A:A,Groups!N:N)="No","No",
IF(_xlfn.XLOOKUP(E314,Groups!A:A,Groups!N:N)="Crocodile",EXP(0.8129*LN(C314)+4.6742)*S314,
IF(_xlfn.XLOOKUP(E314,Groups!A:A,Groups!N:N)="Felid",EXP(0.7843*LN(C314)+4.7073)*S314,
IF(_xlfn.XLOOKUP(E314,Groups!A:A,Groups!N:N)="Canid",EXP(0.8367*LN(C314)+4.8763)*S314,
IF(_xlfn.XLOOKUP(E314,Groups!A:A,Groups!N:N)="Pig",EXP(0.3439*LN(C314)+6.8519)*S314,
IF(_xlfn.XLOOKUP(E314,Groups!A:A,Groups!N:N)="Rodent",EXP(0.5625*LN(C314)+4.3006)*S314,
IF(_xlfn.XLOOKUP(E314,Groups!A:A,Groups!N:N)="Primate",EXP(0.7847*LN(C314)+3.4931)*S314,
IF(_xlfn.XLOOKUP(E314,Groups!A:A,Groups!N:N)="MiscCarnivora",EXP(0.7486*LN(C314)+4.2207)*S314,
IF(_xlfn.XLOOKUP(E314,Groups!A:A,Groups!N:N)="Lizard",EXP(0.7733*LN(C314)+5.5303)*S314,
IF(_xlfn.XLOOKUP(E314,Groups!A:A,Groups!N:N)="Snake",50*C314^(2/3)*S314,
IF(_xlfn.XLOOKUP(E314,Groups!A:A,Groups!N:N)="StrongBitingHerbivore",87.1133638856975*C314^(2/3)*S314,
IF(_xlfn.XLOOKUP(E314,Groups!A:A,Groups!N:N)="MiscEctotherms",59.4316884072269*C314^(2/3)*S314,
IF(_xlfn.XLOOKUP(E314,Groups!A:A,Groups!N:N)="StrongBeakBird",0.041*(C314*1000)^1.375*S314,
IF(_xlfn.XLOOKUP(E314,Groups!A:A,Groups!N:N)="Bird",0.118*(C314*1000)^0.692*S314,
IF(_xlfn.XLOOKUP(E314,Groups!A:A,Groups!N:N)="Insect",EXP(0.7444*LN(C314)+6.5696)*S314,
IF(_xlfn.XLOOKUP(E314,Groups!A:A,Groups!N:N)="Theropod",EXP(0.6966*LN(C314)+4.158)*S314,
"No"))))))))))))))))</f>
        <v>No</v>
      </c>
      <c r="AU314" s="8">
        <f>IF(_xlfn.XLOOKUP(E314,Groups!A:A,Groups!U:U)=3,AS314,IF(_xlfn.XLOOKUP(E314,Groups!A:A,Groups!U:U)=2,AR314,AT314))</f>
        <v>8345.1344423422543</v>
      </c>
      <c r="AV314" s="46">
        <f>IFERROR(AVERAGE(_xlfn.XLOOKUP(B314,Animals!B:B,Animals!N:N),_xlfn.XLOOKUP(B314,Animals!B:B,Animals!O:O)),0)</f>
        <v>0</v>
      </c>
      <c r="AW314" s="8">
        <f>MROUND(40*Animals!AO314*_xlfn.XLOOKUP(AG314,Leathers!$A$2:$A$99,Leathers!$B$2:$B$99,0)+(140*_xlfn.XLOOKUP(B314,Animals!B:B,Animals!AO:AO)*2),5)</f>
        <v>770</v>
      </c>
      <c r="AX314" s="8">
        <f>IFERROR(ROUND(SQRT(V314-1)*IF(_xlfn.XLOOKUP(E314,Groups!A:A,Groups!BF:BF)=0,2,1)*IF(_xlfn.XLOOKUP('Base stats'!E314,Groups!A:A,Groups!O:O)=0,1,0.1),1),0)</f>
        <v>0</v>
      </c>
      <c r="AY314" s="8">
        <f t="shared" si="143"/>
        <v>0</v>
      </c>
      <c r="AZ314" s="8">
        <f t="shared" si="144"/>
        <v>5.5</v>
      </c>
      <c r="BA314" s="8">
        <f t="shared" si="145"/>
        <v>6.8</v>
      </c>
      <c r="BB314" s="8">
        <f>IF(_xlfn.XLOOKUP(E314,Groups!A:A,Groups!N:N)="Insect",BD314*2.5,IFERROR(AVERAGE(BD314,AT314/9.81/IF(OR(_xlfn.XLOOKUP(E314,Groups!A:A,Groups!N:N)="Pig",_xlfn.XLOOKUP(E314,Groups!A:A,Groups!N:N)="StrongBitingHerbivore"),20,25))*C314^-0.135,BD314))</f>
        <v>3.5911975861689553</v>
      </c>
      <c r="BC314" s="8">
        <f>IF(W314="No","No",IF(_xlfn.XLOOKUP(E314,Groups!A:A,Groups!U:U)=1,'Base stats'!BB314,IF(OR(_xlfn.XLOOKUP(E314,Groups!A:A,Groups!BD:BD)=1,_xlfn.XLOOKUP(E314,Groups!A:A,Groups!U:U)=2),BD314,IF(_xlfn.XLOOKUP(B314,Animals!B:B,Animals!AO:AO)&gt;4,AVERAGE(BD314,BF314),BF314))))</f>
        <v>5.6979265131759371</v>
      </c>
      <c r="BD314" s="8">
        <f t="shared" si="146"/>
        <v>3.5911975861689553</v>
      </c>
      <c r="BE314" s="8">
        <f>IF(_xlfn.XLOOKUP(E314,Groups!A:A,Groups!BE:BE)=1,(0.048*C314^1.01)+(0.071*C314^1.03),0.071*C314^1.03)/IF(_xlfn.XLOOKUP(E314,Groups!A:A,Groups!M:M)=1,0.85,IF(OR(_xlfn.XLOOKUP(B314,Animals!B:B,Animals!AO:AO)&gt;4,_xlfn.XLOOKUP(E314,Groups!A:A,Groups!BC:BC)=1),1.7,1))*C314^-0.25</f>
        <v>7.6009021546251976</v>
      </c>
      <c r="BF314" s="8">
        <f>(0.048*C314^1.01)/IF(_xlfn.XLOOKUP(E314,Groups!A:A,Groups!M:M)=1,0.25,0.8)*C314^-0.25</f>
        <v>5.6979265131759371</v>
      </c>
      <c r="BG314" s="8">
        <f>EXP(1.076*LN(AR314)-4.5397)*IF(_xlfn.XLOOKUP(E314,Groups!A:A,Groups!BC:BC)=1,1.25,IF(_xlfn.XLOOKUP(E314,Groups!A:A,Groups!BD:BD)=1,3.5,2.5))</f>
        <v>455.73526542190234</v>
      </c>
      <c r="BH314" s="8">
        <f>EXP(1.076*LN(AS314)-4.5397)*IF(_xlfn.XLOOKUP(E314,Groups!A:A,Groups!M:M)=1,0.8,IF(_xlfn.XLOOKUP(E314,Groups!A:A,Groups!BC:BC)=1,1.3,3))</f>
        <v>530.90506242342735</v>
      </c>
      <c r="BI314" s="8">
        <f>IF(W314="No","No",IF(_xlfn.XLOOKUP(E314,Groups!A:A,Groups!U:U)=1,'Base stats'!BJ314,IF(OR(_xlfn.XLOOKUP(E314,Groups!A:A,Groups!BD:BD)=1,_xlfn.XLOOKUP(E314,Groups!A:A,Groups!U:U)=2),BG314,BH314))*1.2)</f>
        <v>637.08607490811278</v>
      </c>
      <c r="BJ314" s="8" t="str">
        <f>IFERROR(EXP(1.076*LN(AT314)-4.5397)*IF(_xlfn.XLOOKUP(E314,Groups!A:A,Groups!N:N)="Insect",1,IF(OR(_xlfn.XLOOKUP(E314,Groups!A:A,Groups!N:N)="Pig",_xlfn.XLOOKUP(E314,Groups!A:A,Groups!N:N)="StrongBitingHerbivore"),3.5,3.75)),"No")</f>
        <v>No</v>
      </c>
      <c r="BK314" s="8">
        <f t="shared" si="147"/>
        <v>15</v>
      </c>
      <c r="BL314" s="8">
        <f t="shared" si="148"/>
        <v>11</v>
      </c>
      <c r="BM314" s="8">
        <f t="shared" si="149"/>
        <v>14</v>
      </c>
      <c r="BN314" s="8" t="str">
        <f t="shared" si="150"/>
        <v>No</v>
      </c>
      <c r="BO314" s="8">
        <f t="shared" si="151"/>
        <v>13</v>
      </c>
      <c r="BP314" s="8" cm="1">
        <f t="array" ref="BP314">IF(AND(_xlfn.XLOOKUP('Base stats'!E314,Groups!A:A,Groups!AD:AD=0),_xlfn.XLOOKUP('Base stats'!E314,Groups!A:A,Groups!P:P=0)),"No",IF(U314="No",AVERAGE(EXP(-0.57+0.99*LN(C314)),EXP(0.32+0.67*LN(C314)))/IF(_xlfn.XLOOKUP(E314,Groups!A:A,Groups!AD:AD)=1,10,2),(0.7354*C314^0.4078)*2/IF(_xlfn.XLOOKUP(E314,Groups!A:A,Groups!BK:BK)=1,1000,100)/IF(_xlfn.XLOOKUP(E314,Groups!A:A,Groups!AJ:AJ)="Photonozoa",3,1)))</f>
        <v>72.331256150292859</v>
      </c>
      <c r="BQ314" s="8">
        <f>IF(W314="No","No",IF(_xlfn.XLOOKUP(E314,Groups!A:A,Groups!BD:BD)=1,(AO314*5%),EXP(0.7354*LN(C314)^0.4078)*2/IF(_xlfn.XLOOKUP(E314,Groups!A:A,Groups!BL:BL)=1,1000,100)/IF(_xlfn.XLOOKUP(E314,Groups!A:A,Groups!AJ:AJ)="Photonozoa",3,1)))</f>
        <v>9.2010030010980084E-2</v>
      </c>
      <c r="BR314" s="8" t="str">
        <f>IF(BJ314="No","No",IF(_xlfn.XLOOKUP(E314,Groups!A:A,Groups!BF:BF)=1,(0.0315*C314+2.1825)*2,(0.7354*C314^0.4078)*2)/IF(_xlfn.XLOOKUP(E314,Groups!A:A,Groups!BM:BM)=1,1000,100)/IF(_xlfn.XLOOKUP(E314,Groups!A:A,Groups!AJ:AJ)="Photonozoa",3,1))</f>
        <v>No</v>
      </c>
      <c r="BS314" s="8">
        <f t="shared" si="152"/>
        <v>0.16714010039703997</v>
      </c>
      <c r="BT314" s="8">
        <f t="shared" si="153"/>
        <v>7.3399121027331669</v>
      </c>
      <c r="BU314" s="8">
        <f t="shared" si="154"/>
        <v>6924.093762735276</v>
      </c>
      <c r="BV314" s="8" t="str">
        <f t="shared" si="155"/>
        <v>No</v>
      </c>
      <c r="BW314" s="4">
        <v>0</v>
      </c>
      <c r="BX314" s="4">
        <v>1</v>
      </c>
    </row>
    <row r="315" spans="1:76" s="16" customFormat="1" x14ac:dyDescent="0.25">
      <c r="A315" s="26" t="s">
        <v>1522</v>
      </c>
      <c r="B315" s="6" t="s">
        <v>1846</v>
      </c>
      <c r="C315" s="7">
        <v>150</v>
      </c>
      <c r="D315" s="7" t="s">
        <v>528</v>
      </c>
      <c r="E315" s="7" t="str">
        <f>Groups!$A$54</f>
        <v>Ruminant  (BLUNT HORNS)</v>
      </c>
      <c r="F315" s="7">
        <v>170</v>
      </c>
      <c r="G315" s="7">
        <v>2.5</v>
      </c>
      <c r="H315" s="7">
        <v>25</v>
      </c>
      <c r="I315" s="4">
        <v>0</v>
      </c>
      <c r="J315" s="7">
        <v>1</v>
      </c>
      <c r="K315" s="7" t="s">
        <v>528</v>
      </c>
      <c r="L315" s="7">
        <v>45</v>
      </c>
      <c r="M315" s="7" t="s">
        <v>626</v>
      </c>
      <c r="N315" s="4">
        <v>0</v>
      </c>
      <c r="O315" s="4">
        <v>0</v>
      </c>
      <c r="P315" s="4">
        <v>0</v>
      </c>
      <c r="Q315" s="4">
        <v>0</v>
      </c>
      <c r="R315" s="4" t="s">
        <v>40</v>
      </c>
      <c r="S315" s="7">
        <f>_xlfn.XLOOKUP(B315,[1]TeethAdjusters!$A:$A,[1]BiteAdjusters!$C:$C,1)</f>
        <v>1</v>
      </c>
      <c r="T315" s="7">
        <f>_xlfn.XLOOKUP(B315,[1]TeethAdjusters!$A:$A,[1]TeethAdjusters!$B:$B,1)</f>
        <v>1</v>
      </c>
      <c r="U315" s="7" t="s">
        <v>45</v>
      </c>
      <c r="V315" s="7" t="str">
        <f>IF(AT315="No","No",IF(_xlfn.XLOOKUP(E315,Groups!A:A,Groups!AM:AM)=1,MROUND(EXP(0.3582*LN(C315)-0.2221)*T315,0.05),IF(_xlfn.XLOOKUP(E315,Groups!A:A,Groups!AM:AM)=2,MROUND(EXP(0.3582*LN(C315)-0.2221)*T315,0.05),"Need a formula")))</f>
        <v>No</v>
      </c>
      <c r="W315" s="7">
        <v>70</v>
      </c>
      <c r="X315" s="7" t="s">
        <v>932</v>
      </c>
      <c r="Y315" s="4" t="s">
        <v>42</v>
      </c>
      <c r="Z315" s="4">
        <v>1</v>
      </c>
      <c r="AA315" s="4">
        <v>0</v>
      </c>
      <c r="AB315" s="4">
        <v>0</v>
      </c>
      <c r="AC315" s="4">
        <v>0</v>
      </c>
      <c r="AD315" s="4">
        <v>0</v>
      </c>
      <c r="AE315" s="4" t="s">
        <v>45</v>
      </c>
      <c r="AF315" s="4" t="s">
        <v>398</v>
      </c>
      <c r="AG315" s="49" t="s">
        <v>1778</v>
      </c>
      <c r="AH315" s="4" t="str">
        <f>Animals!$C$52</f>
        <v>&lt;li&gt;Sheep&lt;/li&gt;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4" t="s">
        <v>40</v>
      </c>
      <c r="AO315" s="8">
        <f t="shared" si="141"/>
        <v>28825.861601687579</v>
      </c>
      <c r="AP315" s="8">
        <f>IFERROR(C315*_xlfn.XLOOKUP(E315,Groups!A:A,Groups!K:K),0.106*C315^0.94)</f>
        <v>11.771495712556113</v>
      </c>
      <c r="AQ315" s="8">
        <f>AP315*10000/(_xlfn.XLOOKUP(E315,Groups!A:A,Groups!J:J)*AO315)</f>
        <v>3.7464751271603496</v>
      </c>
      <c r="AR315" s="8">
        <f t="shared" si="142"/>
        <v>3746.1489061563307</v>
      </c>
      <c r="AS315" s="8">
        <f>IF(_xlfn.XLOOKUP(E315,Groups!A:A,Groups!M:M)=1,EXP(0.7444*LN('Base stats'!C315)+6.5696),EXP(0.7927*LN('Base stats'!C315)+4.28))</f>
        <v>3835.0225645496203</v>
      </c>
      <c r="AT315" s="8" t="str">
        <f>IF(_xlfn.XLOOKUP(E315,Groups!A:A,Groups!N:N)="No","No",
IF(_xlfn.XLOOKUP(E315,Groups!A:A,Groups!N:N)="Crocodile",EXP(0.8129*LN(C315)+4.6742)*S315,
IF(_xlfn.XLOOKUP(E315,Groups!A:A,Groups!N:N)="Felid",EXP(0.7843*LN(C315)+4.7073)*S315,
IF(_xlfn.XLOOKUP(E315,Groups!A:A,Groups!N:N)="Canid",EXP(0.8367*LN(C315)+4.8763)*S315,
IF(_xlfn.XLOOKUP(E315,Groups!A:A,Groups!N:N)="Pig",EXP(0.3439*LN(C315)+6.8519)*S315,
IF(_xlfn.XLOOKUP(E315,Groups!A:A,Groups!N:N)="Rodent",EXP(0.5625*LN(C315)+4.3006)*S315,
IF(_xlfn.XLOOKUP(E315,Groups!A:A,Groups!N:N)="Primate",EXP(0.7847*LN(C315)+3.4931)*S315,
IF(_xlfn.XLOOKUP(E315,Groups!A:A,Groups!N:N)="MiscCarnivora",EXP(0.7486*LN(C315)+4.2207)*S315,
IF(_xlfn.XLOOKUP(E315,Groups!A:A,Groups!N:N)="Lizard",EXP(0.7733*LN(C315)+5.5303)*S315,
IF(_xlfn.XLOOKUP(E315,Groups!A:A,Groups!N:N)="Snake",50*C315^(2/3)*S315,
IF(_xlfn.XLOOKUP(E315,Groups!A:A,Groups!N:N)="StrongBitingHerbivore",87.1133638856975*C315^(2/3)*S315,
IF(_xlfn.XLOOKUP(E315,Groups!A:A,Groups!N:N)="MiscEctotherms",59.4316884072269*C315^(2/3)*S315,
IF(_xlfn.XLOOKUP(E315,Groups!A:A,Groups!N:N)="StrongBeakBird",0.041*(C315*1000)^1.375*S315,
IF(_xlfn.XLOOKUP(E315,Groups!A:A,Groups!N:N)="Bird",0.118*(C315*1000)^0.692*S315,
IF(_xlfn.XLOOKUP(E315,Groups!A:A,Groups!N:N)="Insect",EXP(0.7444*LN(C315)+6.5696)*S315,
IF(_xlfn.XLOOKUP(E315,Groups!A:A,Groups!N:N)="Theropod",EXP(0.6966*LN(C315)+4.158)*S315,
"No"))))))))))))))))</f>
        <v>No</v>
      </c>
      <c r="AU315" s="8">
        <f>IF(_xlfn.XLOOKUP(E315,Groups!A:A,Groups!U:U)=3,AS315,IF(_xlfn.XLOOKUP(E315,Groups!A:A,Groups!U:U)=2,AR315,AT315))</f>
        <v>3835.0225645496203</v>
      </c>
      <c r="AV315" s="46">
        <f>IFERROR(AVERAGE(_xlfn.XLOOKUP(B315,Animals!B:B,Animals!N:N),_xlfn.XLOOKUP(B315,Animals!B:B,Animals!O:O)),0)</f>
        <v>0</v>
      </c>
      <c r="AW315" s="8">
        <f>MROUND(40*Animals!AO315*_xlfn.XLOOKUP(AG315,Leathers!$A$2:$A$99,Leathers!$B$2:$B$99,0)+(140*_xlfn.XLOOKUP(B315,Animals!B:B,Animals!AO:AO)*2),5)</f>
        <v>420</v>
      </c>
      <c r="AX315" s="8">
        <f>IFERROR(ROUND(SQRT(V315-1)*IF(_xlfn.XLOOKUP(E315,Groups!A:A,Groups!BF:BF)=0,2,1)*IF(_xlfn.XLOOKUP('Base stats'!E315,Groups!A:A,Groups!O:O)=0,1,0.1),1),0)</f>
        <v>0</v>
      </c>
      <c r="AY315" s="8">
        <f t="shared" si="143"/>
        <v>0</v>
      </c>
      <c r="AZ315" s="8">
        <f t="shared" si="144"/>
        <v>8.4</v>
      </c>
      <c r="BA315" s="8">
        <f t="shared" si="145"/>
        <v>4.8</v>
      </c>
      <c r="BB315" s="8">
        <f>IF(_xlfn.XLOOKUP(E315,Groups!A:A,Groups!N:N)="Insect",BD315*2.5,IFERROR(AVERAGE(BD315,AT315/9.81/IF(OR(_xlfn.XLOOKUP(E315,Groups!A:A,Groups!N:N)="Pig",_xlfn.XLOOKUP(E315,Groups!A:A,Groups!N:N)="StrongBitingHerbivore"),20,25))*C315^-0.135,BD315))</f>
        <v>1.7141896806845596</v>
      </c>
      <c r="BC315" s="8">
        <f>IF(W315="No","No",IF(_xlfn.XLOOKUP(E315,Groups!A:A,Groups!U:U)=1,'Base stats'!BB315,IF(OR(_xlfn.XLOOKUP(E315,Groups!A:A,Groups!BD:BD)=1,_xlfn.XLOOKUP(E315,Groups!A:A,Groups!U:U)=2),BD315,IF(_xlfn.XLOOKUP(B315,Animals!B:B,Animals!AO:AO)&gt;4,AVERAGE(BD315,BF315),BF315))))</f>
        <v>1.7141896806845596</v>
      </c>
      <c r="BD315" s="8">
        <f t="shared" si="146"/>
        <v>1.7141896806845596</v>
      </c>
      <c r="BE315" s="8">
        <f>IF(_xlfn.XLOOKUP(E315,Groups!A:A,Groups!BE:BE)=1,(0.048*C315^1.01)+(0.071*C315^1.03),0.071*C315^1.03)/IF(_xlfn.XLOOKUP(E315,Groups!A:A,Groups!M:M)=1,0.85,IF(OR(_xlfn.XLOOKUP(B315,Animals!B:B,Animals!AO:AO)&gt;4,_xlfn.XLOOKUP(E315,Groups!A:A,Groups!BC:BC)=1),1.7,1))*C315^-0.25</f>
        <v>3.5367920914565221</v>
      </c>
      <c r="BF315" s="8">
        <f>(0.048*C315^1.01)/IF(_xlfn.XLOOKUP(E315,Groups!A:A,Groups!M:M)=1,0.25,0.8)*C315^-0.25</f>
        <v>2.7038376258152188</v>
      </c>
      <c r="BG315" s="8">
        <f>EXP(1.076*LN(AR315)-4.5397)*IF(_xlfn.XLOOKUP(E315,Groups!A:A,Groups!BC:BC)=1,1.25,IF(_xlfn.XLOOKUP(E315,Groups!A:A,Groups!BD:BD)=1,3.5,2.5))</f>
        <v>261.62478461847616</v>
      </c>
      <c r="BH315" s="8">
        <f>EXP(1.076*LN(AS315)-4.5397)*IF(_xlfn.XLOOKUP(E315,Groups!A:A,Groups!M:M)=1,0.8,IF(_xlfn.XLOOKUP(E315,Groups!A:A,Groups!BC:BC)=1,1.3,3))</f>
        <v>229.97937056804284</v>
      </c>
      <c r="BI315" s="8">
        <f>IF(W315="No","No",IF(_xlfn.XLOOKUP(E315,Groups!A:A,Groups!U:U)=1,'Base stats'!BJ315,IF(OR(_xlfn.XLOOKUP(E315,Groups!A:A,Groups!BD:BD)=1,_xlfn.XLOOKUP(E315,Groups!A:A,Groups!U:U)=2),BG315,BH315))*1.2)</f>
        <v>313.94974154217135</v>
      </c>
      <c r="BJ315" s="8" t="str">
        <f>IFERROR(EXP(1.076*LN(AT315)-4.5397)*IF(_xlfn.XLOOKUP(E315,Groups!A:A,Groups!N:N)="Insect",1,IF(OR(_xlfn.XLOOKUP(E315,Groups!A:A,Groups!N:N)="Pig",_xlfn.XLOOKUP(E315,Groups!A:A,Groups!N:N)="StrongBitingHerbivore"),3.5,3.75)),"No")</f>
        <v>No</v>
      </c>
      <c r="BK315" s="8">
        <f t="shared" si="147"/>
        <v>17</v>
      </c>
      <c r="BL315" s="8">
        <f t="shared" si="148"/>
        <v>11</v>
      </c>
      <c r="BM315" s="8">
        <f t="shared" si="149"/>
        <v>19</v>
      </c>
      <c r="BN315" s="8" t="str">
        <f t="shared" si="150"/>
        <v>No</v>
      </c>
      <c r="BO315" s="8">
        <f t="shared" si="151"/>
        <v>13</v>
      </c>
      <c r="BP315" s="8" cm="1">
        <f t="array" ref="BP315">IF(AND(_xlfn.XLOOKUP('Base stats'!E315,Groups!A:A,Groups!AD:AD=0),_xlfn.XLOOKUP('Base stats'!E315,Groups!A:A,Groups!P:P=0)),"No",IF(U315="No",AVERAGE(EXP(-0.57+0.99*LN(C315)),EXP(0.32+0.67*LN(C315)))/IF(_xlfn.XLOOKUP(E315,Groups!A:A,Groups!AD:AD)=1,10,2),(0.7354*C315^0.4078)*2/IF(_xlfn.XLOOKUP(E315,Groups!A:A,Groups!BK:BK)=1,1000,100)/IF(_xlfn.XLOOKUP(E315,Groups!A:A,Groups!AJ:AJ)="Photonozoa",3,1)))</f>
        <v>30.053921065685302</v>
      </c>
      <c r="BQ315" s="8">
        <f>IF(W315="No","No",IF(_xlfn.XLOOKUP(E315,Groups!A:A,Groups!BD:BD)=1,(AO315*5%),EXP(0.7354*LN(C315)^0.4078)*2/IF(_xlfn.XLOOKUP(E315,Groups!A:A,Groups!BL:BL)=1,1000,100)/IF(_xlfn.XLOOKUP(E315,Groups!A:A,Groups!AJ:AJ)="Photonozoa",3,1)))</f>
        <v>1441.293080084379</v>
      </c>
      <c r="BR315" s="8" t="str">
        <f>IF(BJ315="No","No",IF(_xlfn.XLOOKUP(E315,Groups!A:A,Groups!BF:BF)=1,(0.0315*C315+2.1825)*2,(0.7354*C315^0.4078)*2)/IF(_xlfn.XLOOKUP(E315,Groups!A:A,Groups!BM:BM)=1,1000,100)/IF(_xlfn.XLOOKUP(E315,Groups!A:A,Groups!AJ:AJ)="Photonozoa",3,1))</f>
        <v>No</v>
      </c>
      <c r="BS315" s="8">
        <f t="shared" si="152"/>
        <v>0.1815208774908984</v>
      </c>
      <c r="BT315" s="8">
        <f t="shared" si="153"/>
        <v>7.6522251477737004</v>
      </c>
      <c r="BU315" s="8">
        <f t="shared" si="154"/>
        <v>0.21782505298907803</v>
      </c>
      <c r="BV315" s="8" t="str">
        <f t="shared" si="155"/>
        <v>No</v>
      </c>
      <c r="BW315" s="4">
        <v>0</v>
      </c>
      <c r="BX315" s="4">
        <v>1</v>
      </c>
    </row>
    <row r="316" spans="1:76" s="16" customFormat="1" x14ac:dyDescent="0.25">
      <c r="A316" s="26" t="s">
        <v>1426</v>
      </c>
      <c r="B316" s="6" t="s">
        <v>1633</v>
      </c>
      <c r="C316" s="7">
        <v>0.3</v>
      </c>
      <c r="D316" s="7" t="s">
        <v>523</v>
      </c>
      <c r="E316" s="7" t="str">
        <f>Groups!$A$50</f>
        <v>Rodent (SCAVENGER)</v>
      </c>
      <c r="F316" s="7">
        <v>21</v>
      </c>
      <c r="G316" s="7">
        <f>90/365</f>
        <v>0.24657534246575341</v>
      </c>
      <c r="H316" s="7">
        <v>3.8</v>
      </c>
      <c r="I316" s="4">
        <v>0</v>
      </c>
      <c r="J316" s="7">
        <v>9.9</v>
      </c>
      <c r="K316" s="7" t="s">
        <v>528</v>
      </c>
      <c r="L316" s="7">
        <f>AVERAGE(1.22,1.85)*3.6*(23.3/11)</f>
        <v>11.705072727272729</v>
      </c>
      <c r="M316" s="7" t="s">
        <v>528</v>
      </c>
      <c r="N316" s="4">
        <v>0</v>
      </c>
      <c r="O316" s="4">
        <v>0</v>
      </c>
      <c r="P316" s="4">
        <v>-10</v>
      </c>
      <c r="Q316" s="4">
        <v>0</v>
      </c>
      <c r="R316" s="4">
        <v>0.8</v>
      </c>
      <c r="S316" s="7">
        <f>_xlfn.XLOOKUP(B316,[1]TeethAdjusters!$A:$A,[1]BiteAdjusters!$C:$C,1)</f>
        <v>0.89112849882177569</v>
      </c>
      <c r="T316" s="7">
        <f>_xlfn.XLOOKUP(B316,[1]TeethAdjusters!$A:$A,[1]TeethAdjusters!$B:$B,1)</f>
        <v>1</v>
      </c>
      <c r="U316" s="7" t="s">
        <v>45</v>
      </c>
      <c r="V316" s="7">
        <f>MROUND(AVERAGE(4/10,7/10),0.05)</f>
        <v>0.55000000000000004</v>
      </c>
      <c r="W316" s="7" t="s">
        <v>45</v>
      </c>
      <c r="X316" s="7" t="s">
        <v>932</v>
      </c>
      <c r="Y316" s="4" t="s">
        <v>1003</v>
      </c>
      <c r="Z316" s="4">
        <v>1</v>
      </c>
      <c r="AA316" s="4">
        <v>0</v>
      </c>
      <c r="AB316" s="4">
        <v>0</v>
      </c>
      <c r="AC316" s="4">
        <v>0</v>
      </c>
      <c r="AD316" s="4">
        <v>0</v>
      </c>
      <c r="AE316" s="4" t="s">
        <v>45</v>
      </c>
      <c r="AF316" s="4" t="s">
        <v>400</v>
      </c>
      <c r="AG316" s="49" t="s">
        <v>385</v>
      </c>
      <c r="AH316" s="4" t="str">
        <f>Animals!$C$35</f>
        <v>&lt;li&gt;Rat&lt;/li&gt;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4" t="s">
        <v>40</v>
      </c>
      <c r="AO316" s="8">
        <f t="shared" si="141"/>
        <v>507.51840257727082</v>
      </c>
      <c r="AP316" s="8">
        <f>IFERROR(C316*_xlfn.XLOOKUP(E316,Groups!A:A,Groups!K:K),0.106*C316^0.94)</f>
        <v>3.4182186918603891E-2</v>
      </c>
      <c r="AQ316" s="8">
        <f>AP316*10000/(_xlfn.XLOOKUP(E316,Groups!A:A,Groups!J:J)*AO316)</f>
        <v>0.61790477652100573</v>
      </c>
      <c r="AR316" s="8">
        <f t="shared" si="142"/>
        <v>19.668220728047135</v>
      </c>
      <c r="AS316" s="8">
        <f>IF(_xlfn.XLOOKUP(E316,Groups!A:A,Groups!M:M)=1,EXP(0.7444*LN('Base stats'!C316)+6.5696),EXP(0.7927*LN('Base stats'!C316)+4.28))</f>
        <v>27.81598228970504</v>
      </c>
      <c r="AT316" s="8">
        <f>IF(_xlfn.XLOOKUP(E316,Groups!A:A,Groups!N:N)="No","No",
IF(_xlfn.XLOOKUP(E316,Groups!A:A,Groups!N:N)="Crocodile",EXP(0.8129*LN(C316)+4.6742)*S316,
IF(_xlfn.XLOOKUP(E316,Groups!A:A,Groups!N:N)="Felid",EXP(0.7843*LN(C316)+4.7073)*S316,
IF(_xlfn.XLOOKUP(E316,Groups!A:A,Groups!N:N)="Canid",EXP(0.8367*LN(C316)+4.8763)*S316,
IF(_xlfn.XLOOKUP(E316,Groups!A:A,Groups!N:N)="Pig",EXP(0.3439*LN(C316)+6.8519)*S316,
IF(_xlfn.XLOOKUP(E316,Groups!A:A,Groups!N:N)="Rodent",EXP(0.5625*LN(C316)+4.3006)*S316,
IF(_xlfn.XLOOKUP(E316,Groups!A:A,Groups!N:N)="Primate",EXP(0.7847*LN(C316)+3.4931)*S316,
IF(_xlfn.XLOOKUP(E316,Groups!A:A,Groups!N:N)="MiscCarnivora",EXP(0.7486*LN(C316)+4.2207)*S316,
IF(_xlfn.XLOOKUP(E316,Groups!A:A,Groups!N:N)="Lizard",EXP(0.7733*LN(C316)+5.5303)*S316,
IF(_xlfn.XLOOKUP(E316,Groups!A:A,Groups!N:N)="Snake",50*C316^(2/3)*S316,
IF(_xlfn.XLOOKUP(E316,Groups!A:A,Groups!N:N)="StrongBitingHerbivore",87.1133638856975*C316^(2/3)*S316,
IF(_xlfn.XLOOKUP(E316,Groups!A:A,Groups!N:N)="MiscEctotherms",59.4316884072269*C316^(2/3)*S316,
IF(_xlfn.XLOOKUP(E316,Groups!A:A,Groups!N:N)="StrongBeakBird",0.041*(C316*1000)^1.375*S316,
IF(_xlfn.XLOOKUP(E316,Groups!A:A,Groups!N:N)="Bird",0.118*(C316*1000)^0.692*S316,
IF(_xlfn.XLOOKUP(E316,Groups!A:A,Groups!N:N)="Insect",EXP(0.7444*LN(C316)+6.5696)*S316,
IF(_xlfn.XLOOKUP(E316,Groups!A:A,Groups!N:N)="Theropod",EXP(0.6966*LN(C316)+4.158)*S316,
"No"))))))))))))))))</f>
        <v>33.38473148559769</v>
      </c>
      <c r="AU316" s="8">
        <f>IF(_xlfn.XLOOKUP(E316,Groups!A:A,Groups!U:U)=3,AS316,IF(_xlfn.XLOOKUP(E316,Groups!A:A,Groups!U:U)=2,AR316,AT316))</f>
        <v>33.38473148559769</v>
      </c>
      <c r="AV316" s="46">
        <f>IFERROR(AVERAGE(_xlfn.XLOOKUP(B316,Animals!B:B,Animals!N:N),_xlfn.XLOOKUP(B316,Animals!B:B,Animals!O:O)),0)</f>
        <v>0</v>
      </c>
      <c r="AW316" s="8">
        <f>MROUND(40*Animals!AO316*_xlfn.XLOOKUP(AG316,Leathers!$A$2:$A$99,Leathers!$B$2:$B$99,0)+(140*_xlfn.XLOOKUP(B316,Animals!B:B,Animals!AO:AO)*2),5)</f>
        <v>220</v>
      </c>
      <c r="AX316" s="8">
        <f>IFERROR(ROUND(SQRT(V316-1)*IF(_xlfn.XLOOKUP(E316,Groups!A:A,Groups!BF:BF)=0,2,1)*IF(_xlfn.XLOOKUP('Base stats'!E316,Groups!A:A,Groups!O:O)=0,1,0.1),1),0)</f>
        <v>0</v>
      </c>
      <c r="AY316" s="8">
        <f t="shared" si="143"/>
        <v>0</v>
      </c>
      <c r="AZ316" s="8">
        <f t="shared" si="144"/>
        <v>0</v>
      </c>
      <c r="BA316" s="8">
        <f t="shared" si="145"/>
        <v>0.4</v>
      </c>
      <c r="BB316" s="8">
        <f>IF(_xlfn.XLOOKUP(E316,Groups!A:A,Groups!N:N)="Insect",BD316*2.5,IFERROR(AVERAGE(BD316,AT316/9.81/IF(OR(_xlfn.XLOOKUP(E316,Groups!A:A,Groups!N:N)="Pig",_xlfn.XLOOKUP(E316,Groups!A:A,Groups!N:N)="StrongBitingHerbivore"),20,25))*C316^-0.135,BD316))</f>
        <v>8.9377484193445017E-2</v>
      </c>
      <c r="BC316" s="8" t="str">
        <f>IF(W316="No","No",IF(_xlfn.XLOOKUP(E316,Groups!A:A,Groups!U:U)=1,'Base stats'!BB316,IF(OR(_xlfn.XLOOKUP(E316,Groups!A:A,Groups!BD:BD)=1,_xlfn.XLOOKUP(E316,Groups!A:A,Groups!U:U)=2),BD316,IF(_xlfn.XLOOKUP(B316,Animals!B:B,Animals!AO:AO)&gt;4,AVERAGE(BD316,BF316),BF316))))</f>
        <v>No</v>
      </c>
      <c r="BD316" s="8">
        <f t="shared" si="146"/>
        <v>1.581377273367229E-2</v>
      </c>
      <c r="BE316" s="8">
        <f>IF(_xlfn.XLOOKUP(E316,Groups!A:A,Groups!BE:BE)=1,(0.048*C316^1.01)+(0.071*C316^1.03),0.071*C316^1.03)/IF(_xlfn.XLOOKUP(E316,Groups!A:A,Groups!M:M)=1,0.85,IF(OR(_xlfn.XLOOKUP(B316,Animals!B:B,Animals!AO:AO)&gt;4,_xlfn.XLOOKUP(E316,Groups!A:A,Groups!BC:BC)=1),1.7,1))*C316^-0.25</f>
        <v>2.7759582326972801E-2</v>
      </c>
      <c r="BF316" s="8">
        <f>(0.048*C316^1.01)/IF(_xlfn.XLOOKUP(E316,Groups!A:A,Groups!M:M)=1,0.25,0.8)*C316^-0.25</f>
        <v>2.4030533019811343E-2</v>
      </c>
      <c r="BG316" s="8">
        <f>EXP(1.076*LN(AR316)-4.5397)*IF(_xlfn.XLOOKUP(E316,Groups!A:A,Groups!BC:BC)=1,1.25,IF(_xlfn.XLOOKUP(E316,Groups!A:A,Groups!BD:BD)=1,3.5,2.5))</f>
        <v>0.6583617156570799</v>
      </c>
      <c r="BH316" s="8">
        <f>EXP(1.076*LN(AS316)-4.5397)*IF(_xlfn.XLOOKUP(E316,Groups!A:A,Groups!M:M)=1,0.8,IF(_xlfn.XLOOKUP(E316,Groups!A:A,Groups!BC:BC)=1,1.3,3))</f>
        <v>1.1471372193905376</v>
      </c>
      <c r="BI316" s="8" t="str">
        <f>IF(W316="No","No",IF(_xlfn.XLOOKUP(E316,Groups!A:A,Groups!U:U)=1,'Base stats'!BJ316,IF(OR(_xlfn.XLOOKUP(E316,Groups!A:A,Groups!BD:BD)=1,_xlfn.XLOOKUP(E316,Groups!A:A,Groups!U:U)=2),BG316,BH316))*1.2)</f>
        <v>No</v>
      </c>
      <c r="BJ316" s="8">
        <f>IFERROR(EXP(1.076*LN(AT316)-4.5397)*IF(_xlfn.XLOOKUP(E316,Groups!A:A,Groups!N:N)="Insect",1,IF(OR(_xlfn.XLOOKUP(E316,Groups!A:A,Groups!N:N)="Pig",_xlfn.XLOOKUP(E316,Groups!A:A,Groups!N:N)="StrongBitingHerbivore"),3.5,3.75)),"No")</f>
        <v>1.7450269366694631</v>
      </c>
      <c r="BK316" s="8">
        <f t="shared" si="147"/>
        <v>9</v>
      </c>
      <c r="BL316" s="8">
        <f t="shared" si="148"/>
        <v>9</v>
      </c>
      <c r="BM316" s="8" t="str">
        <f t="shared" si="149"/>
        <v>No</v>
      </c>
      <c r="BN316" s="8">
        <f t="shared" si="150"/>
        <v>6</v>
      </c>
      <c r="BO316" s="8">
        <f t="shared" si="151"/>
        <v>9</v>
      </c>
      <c r="BP316" s="8" t="str" cm="1">
        <f t="array" ref="BP316">IF(AND(_xlfn.XLOOKUP('Base stats'!E316,Groups!A:A,Groups!AD:AD=0),_xlfn.XLOOKUP('Base stats'!E316,Groups!A:A,Groups!P:P=0)),"No",IF(U316="No",AVERAGE(EXP(-0.57+0.99*LN(C316)),EXP(0.32+0.67*LN(C316)))/IF(_xlfn.XLOOKUP(E316,Groups!A:A,Groups!AD:AD)=1,10,2),(0.7354*C316^0.4078)*2/IF(_xlfn.XLOOKUP(E316,Groups!A:A,Groups!BK:BK)=1,1000,100)/IF(_xlfn.XLOOKUP(E316,Groups!A:A,Groups!AJ:AJ)="Photonozoa",3,1)))</f>
        <v>No</v>
      </c>
      <c r="BQ316" s="8" t="str">
        <f>IF(W316="No","No",IF(_xlfn.XLOOKUP(E316,Groups!A:A,Groups!BD:BD)=1,(AO316*5%),EXP(0.7354*LN(C316)^0.4078)*2/IF(_xlfn.XLOOKUP(E316,Groups!A:A,Groups!BL:BL)=1,1000,100)/IF(_xlfn.XLOOKUP(E316,Groups!A:A,Groups!AJ:AJ)="Photonozoa",3,1)))</f>
        <v>No</v>
      </c>
      <c r="BR316" s="8">
        <f>IF(BJ316="No","No",IF(_xlfn.XLOOKUP(E316,Groups!A:A,Groups!BF:BF)=1,(0.0315*C316+2.1825)*2,(0.7354*C316^0.4078)*2)/IF(_xlfn.XLOOKUP(E316,Groups!A:A,Groups!BM:BM)=1,1000,100)/IF(_xlfn.XLOOKUP(E316,Groups!A:A,Groups!AJ:AJ)="Photonozoa",3,1))</f>
        <v>9.0016820456507111E-3</v>
      </c>
      <c r="BS316" s="8">
        <f t="shared" si="152"/>
        <v>2.5944348512834187E-2</v>
      </c>
      <c r="BT316" s="8" t="str">
        <f t="shared" si="153"/>
        <v>No</v>
      </c>
      <c r="BU316" s="8" t="str">
        <f t="shared" si="154"/>
        <v>No</v>
      </c>
      <c r="BV316" s="8">
        <f t="shared" si="155"/>
        <v>193.85565140157303</v>
      </c>
      <c r="BW316" s="4">
        <v>0</v>
      </c>
      <c r="BX316" s="4">
        <v>1</v>
      </c>
    </row>
    <row r="317" spans="1:76" s="16" customFormat="1" x14ac:dyDescent="0.25">
      <c r="A317" s="26" t="s">
        <v>1566</v>
      </c>
      <c r="B317" s="6" t="s">
        <v>1847</v>
      </c>
      <c r="C317" s="7">
        <v>350</v>
      </c>
      <c r="D317" s="7" t="s">
        <v>528</v>
      </c>
      <c r="E317" s="7" t="str">
        <f>Groups!$A$54</f>
        <v>Ruminant  (BLUNT HORNS)</v>
      </c>
      <c r="F317" s="7">
        <v>220</v>
      </c>
      <c r="G317" s="7">
        <v>2.25</v>
      </c>
      <c r="H317" s="7">
        <v>25</v>
      </c>
      <c r="I317" s="4">
        <v>0</v>
      </c>
      <c r="J317" s="7">
        <v>1</v>
      </c>
      <c r="K317" s="7" t="s">
        <v>528</v>
      </c>
      <c r="L317" s="7">
        <v>45</v>
      </c>
      <c r="M317" s="7" t="s">
        <v>626</v>
      </c>
      <c r="N317" s="4">
        <v>0</v>
      </c>
      <c r="O317" s="4">
        <v>0</v>
      </c>
      <c r="P317" s="4">
        <v>0</v>
      </c>
      <c r="Q317" s="4">
        <v>0</v>
      </c>
      <c r="R317" s="4" t="s">
        <v>40</v>
      </c>
      <c r="S317" s="7">
        <f>_xlfn.XLOOKUP(B317,[1]TeethAdjusters!$A:$A,[1]BiteAdjusters!$C:$C,1)</f>
        <v>1</v>
      </c>
      <c r="T317" s="7">
        <f>_xlfn.XLOOKUP(B317,[1]TeethAdjusters!$A:$A,[1]TeethAdjusters!$B:$B,1)</f>
        <v>1</v>
      </c>
      <c r="U317" s="7" t="s">
        <v>45</v>
      </c>
      <c r="V317" s="7" t="str">
        <f>IF(AT317="No","No",IF(_xlfn.XLOOKUP(E317,Groups!A:A,Groups!AM:AM)=1,MROUND(EXP(0.3582*LN(C317)-0.2221)*T317,0.05),IF(_xlfn.XLOOKUP(E317,Groups!A:A,Groups!AM:AM)=2,MROUND(EXP(0.3582*LN(C317)-0.2221)*T317,0.05),"Need a formula")))</f>
        <v>No</v>
      </c>
      <c r="W317" s="7">
        <v>70</v>
      </c>
      <c r="X317" s="7" t="s">
        <v>932</v>
      </c>
      <c r="Y317" s="4" t="s">
        <v>42</v>
      </c>
      <c r="Z317" s="4">
        <v>1</v>
      </c>
      <c r="AA317" s="4">
        <v>0</v>
      </c>
      <c r="AB317" s="4">
        <v>0</v>
      </c>
      <c r="AC317" s="4">
        <v>0</v>
      </c>
      <c r="AD317" s="4">
        <v>0</v>
      </c>
      <c r="AE317" s="4" t="s">
        <v>45</v>
      </c>
      <c r="AF317" s="4" t="s">
        <v>398</v>
      </c>
      <c r="AG317" s="49" t="s">
        <v>1778</v>
      </c>
      <c r="AH317" s="4" t="str">
        <f>Animals!$C$52</f>
        <v>&lt;li&gt;Sheep&lt;/li&gt;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4" t="s">
        <v>40</v>
      </c>
      <c r="AO317" s="8">
        <f t="shared" si="141"/>
        <v>49999.678016554004</v>
      </c>
      <c r="AP317" s="8">
        <f>IFERROR(C317*_xlfn.XLOOKUP(E317,Groups!A:A,Groups!K:K),0.106*C317^0.94)</f>
        <v>26.105368435044046</v>
      </c>
      <c r="AQ317" s="8">
        <f>AP317*10000/(_xlfn.XLOOKUP(E317,Groups!A:A,Groups!J:J)*AO317)</f>
        <v>4.7900067056984179</v>
      </c>
      <c r="AR317" s="8">
        <f t="shared" si="142"/>
        <v>7663.2858706487614</v>
      </c>
      <c r="AS317" s="8">
        <f>IF(_xlfn.XLOOKUP(E317,Groups!A:A,Groups!M:M)=1,EXP(0.7444*LN('Base stats'!C317)+6.5696),EXP(0.7927*LN('Base stats'!C317)+4.28))</f>
        <v>7506.9430520091801</v>
      </c>
      <c r="AT317" s="8" t="str">
        <f>IF(_xlfn.XLOOKUP(E317,Groups!A:A,Groups!N:N)="No","No",
IF(_xlfn.XLOOKUP(E317,Groups!A:A,Groups!N:N)="Crocodile",EXP(0.8129*LN(C317)+4.6742)*S317,
IF(_xlfn.XLOOKUP(E317,Groups!A:A,Groups!N:N)="Felid",EXP(0.7843*LN(C317)+4.7073)*S317,
IF(_xlfn.XLOOKUP(E317,Groups!A:A,Groups!N:N)="Canid",EXP(0.8367*LN(C317)+4.8763)*S317,
IF(_xlfn.XLOOKUP(E317,Groups!A:A,Groups!N:N)="Pig",EXP(0.3439*LN(C317)+6.8519)*S317,
IF(_xlfn.XLOOKUP(E317,Groups!A:A,Groups!N:N)="Rodent",EXP(0.5625*LN(C317)+4.3006)*S317,
IF(_xlfn.XLOOKUP(E317,Groups!A:A,Groups!N:N)="Primate",EXP(0.7847*LN(C317)+3.4931)*S317,
IF(_xlfn.XLOOKUP(E317,Groups!A:A,Groups!N:N)="MiscCarnivora",EXP(0.7486*LN(C317)+4.2207)*S317,
IF(_xlfn.XLOOKUP(E317,Groups!A:A,Groups!N:N)="Lizard",EXP(0.7733*LN(C317)+5.5303)*S317,
IF(_xlfn.XLOOKUP(E317,Groups!A:A,Groups!N:N)="Snake",50*C317^(2/3)*S317,
IF(_xlfn.XLOOKUP(E317,Groups!A:A,Groups!N:N)="StrongBitingHerbivore",87.1133638856975*C317^(2/3)*S317,
IF(_xlfn.XLOOKUP(E317,Groups!A:A,Groups!N:N)="MiscEctotherms",59.4316884072269*C317^(2/3)*S317,
IF(_xlfn.XLOOKUP(E317,Groups!A:A,Groups!N:N)="StrongBeakBird",0.041*(C317*1000)^1.375*S317,
IF(_xlfn.XLOOKUP(E317,Groups!A:A,Groups!N:N)="Bird",0.118*(C317*1000)^0.692*S317,
IF(_xlfn.XLOOKUP(E317,Groups!A:A,Groups!N:N)="Insect",EXP(0.7444*LN(C317)+6.5696)*S317,
IF(_xlfn.XLOOKUP(E317,Groups!A:A,Groups!N:N)="Theropod",EXP(0.6966*LN(C317)+4.158)*S317,
"No"))))))))))))))))</f>
        <v>No</v>
      </c>
      <c r="AU317" s="8">
        <f>IF(_xlfn.XLOOKUP(E317,Groups!A:A,Groups!U:U)=3,AS317,IF(_xlfn.XLOOKUP(E317,Groups!A:A,Groups!U:U)=2,AR317,AT317))</f>
        <v>7506.9430520091801</v>
      </c>
      <c r="AV317" s="46">
        <f>IFERROR(AVERAGE(_xlfn.XLOOKUP(B317,Animals!B:B,Animals!N:N),_xlfn.XLOOKUP(B317,Animals!B:B,Animals!O:O)),0)</f>
        <v>0</v>
      </c>
      <c r="AW317" s="8">
        <f>MROUND(40*Animals!AO317*_xlfn.XLOOKUP(AG317,Leathers!$A$2:$A$99,Leathers!$B$2:$B$99,0)+(140*_xlfn.XLOOKUP(B317,Animals!B:B,Animals!AO:AO)*2),5)</f>
        <v>700</v>
      </c>
      <c r="AX317" s="8">
        <f>IFERROR(ROUND(SQRT(V317-1)*IF(_xlfn.XLOOKUP(E317,Groups!A:A,Groups!BF:BF)=0,2,1)*IF(_xlfn.XLOOKUP('Base stats'!E317,Groups!A:A,Groups!O:O)=0,1,0.1),1),0)</f>
        <v>0</v>
      </c>
      <c r="AY317" s="8">
        <f t="shared" si="143"/>
        <v>0</v>
      </c>
      <c r="AZ317" s="8">
        <f t="shared" si="144"/>
        <v>8.4</v>
      </c>
      <c r="BA317" s="8">
        <f t="shared" si="145"/>
        <v>6.5</v>
      </c>
      <c r="BB317" s="8">
        <f>IF(_xlfn.XLOOKUP(E317,Groups!A:A,Groups!N:N)="Insect",BD317*2.5,IFERROR(AVERAGE(BD317,AT317/9.81/IF(OR(_xlfn.XLOOKUP(E317,Groups!A:A,Groups!N:N)="Pig",_xlfn.XLOOKUP(E317,Groups!A:A,Groups!N:N)="StrongBitingHerbivore"),20,25))*C317^-0.135,BD317))</f>
        <v>3.2472324064132327</v>
      </c>
      <c r="BC317" s="8">
        <f>IF(W317="No","No",IF(_xlfn.XLOOKUP(E317,Groups!A:A,Groups!U:U)=1,'Base stats'!BB317,IF(OR(_xlfn.XLOOKUP(E317,Groups!A:A,Groups!BD:BD)=1,_xlfn.XLOOKUP(E317,Groups!A:A,Groups!U:U)=2),BD317,IF(_xlfn.XLOOKUP(B317,Animals!B:B,Animals!AO:AO)&gt;4,AVERAGE(BD317,BF317),BF317))))</f>
        <v>3.2472324064132327</v>
      </c>
      <c r="BD317" s="8">
        <f t="shared" si="146"/>
        <v>3.2472324064132327</v>
      </c>
      <c r="BE317" s="8">
        <f>IF(_xlfn.XLOOKUP(E317,Groups!A:A,Groups!BE:BE)=1,(0.048*C317^1.01)+(0.071*C317^1.03),0.071*C317^1.03)/IF(_xlfn.XLOOKUP(E317,Groups!A:A,Groups!M:M)=1,0.85,IF(OR(_xlfn.XLOOKUP(B317,Animals!B:B,Animals!AO:AO)&gt;4,_xlfn.XLOOKUP(E317,Groups!A:A,Groups!BC:BC)=1),1.7,1))*C317^-0.25</f>
        <v>6.8490671365591904</v>
      </c>
      <c r="BF317" s="8">
        <f>(0.048*C317^1.01)/IF(_xlfn.XLOOKUP(E317,Groups!A:A,Groups!M:M)=1,0.25,0.8)*C317^-0.25</f>
        <v>5.1480524630900852</v>
      </c>
      <c r="BG317" s="8">
        <f>EXP(1.076*LN(AR317)-4.5397)*IF(_xlfn.XLOOKUP(E317,Groups!A:A,Groups!BC:BC)=1,1.25,IF(_xlfn.XLOOKUP(E317,Groups!A:A,Groups!BD:BD)=1,3.5,2.5))</f>
        <v>565.10864821911639</v>
      </c>
      <c r="BH317" s="8">
        <f>EXP(1.076*LN(AS317)-4.5397)*IF(_xlfn.XLOOKUP(E317,Groups!A:A,Groups!M:M)=1,0.8,IF(_xlfn.XLOOKUP(E317,Groups!A:A,Groups!BC:BC)=1,1.3,3))</f>
        <v>473.75402609099581</v>
      </c>
      <c r="BI317" s="8">
        <f>IF(W317="No","No",IF(_xlfn.XLOOKUP(E317,Groups!A:A,Groups!U:U)=1,'Base stats'!BJ317,IF(OR(_xlfn.XLOOKUP(E317,Groups!A:A,Groups!BD:BD)=1,_xlfn.XLOOKUP(E317,Groups!A:A,Groups!U:U)=2),BG317,BH317))*1.2)</f>
        <v>678.13037786293967</v>
      </c>
      <c r="BJ317" s="8" t="str">
        <f>IFERROR(EXP(1.076*LN(AT317)-4.5397)*IF(_xlfn.XLOOKUP(E317,Groups!A:A,Groups!N:N)="Insect",1,IF(OR(_xlfn.XLOOKUP(E317,Groups!A:A,Groups!N:N)="Pig",_xlfn.XLOOKUP(E317,Groups!A:A,Groups!N:N)="StrongBitingHerbivore"),3.5,3.75)),"No")</f>
        <v>No</v>
      </c>
      <c r="BK317" s="8">
        <f t="shared" si="147"/>
        <v>18</v>
      </c>
      <c r="BL317" s="8">
        <f t="shared" si="148"/>
        <v>11</v>
      </c>
      <c r="BM317" s="8">
        <f t="shared" si="149"/>
        <v>20</v>
      </c>
      <c r="BN317" s="8" t="str">
        <f t="shared" si="150"/>
        <v>No</v>
      </c>
      <c r="BO317" s="8">
        <f t="shared" si="151"/>
        <v>13</v>
      </c>
      <c r="BP317" s="8" cm="1">
        <f t="array" ref="BP317">IF(AND(_xlfn.XLOOKUP('Base stats'!E317,Groups!A:A,Groups!AD:AD=0),_xlfn.XLOOKUP('Base stats'!E317,Groups!A:A,Groups!P:P=0)),"No",IF(U317="No",AVERAGE(EXP(-0.57+0.99*LN(C317)),EXP(0.32+0.67*LN(C317)))/IF(_xlfn.XLOOKUP(E317,Groups!A:A,Groups!AD:AD)=1,10,2),(0.7354*C317^0.4078)*2/IF(_xlfn.XLOOKUP(E317,Groups!A:A,Groups!BK:BK)=1,1000,100)/IF(_xlfn.XLOOKUP(E317,Groups!A:A,Groups!AJ:AJ)="Photonozoa",3,1)))</f>
        <v>64.103753174089817</v>
      </c>
      <c r="BQ317" s="8">
        <f>IF(W317="No","No",IF(_xlfn.XLOOKUP(E317,Groups!A:A,Groups!BD:BD)=1,(AO317*5%),EXP(0.7354*LN(C317)^0.4078)*2/IF(_xlfn.XLOOKUP(E317,Groups!A:A,Groups!BL:BL)=1,1000,100)/IF(_xlfn.XLOOKUP(E317,Groups!A:A,Groups!AJ:AJ)="Photonozoa",3,1)))</f>
        <v>2499.9839008277004</v>
      </c>
      <c r="BR317" s="8" t="str">
        <f>IF(BJ317="No","No",IF(_xlfn.XLOOKUP(E317,Groups!A:A,Groups!BF:BF)=1,(0.0315*C317+2.1825)*2,(0.7354*C317^0.4078)*2)/IF(_xlfn.XLOOKUP(E317,Groups!A:A,Groups!BM:BM)=1,1000,100)/IF(_xlfn.XLOOKUP(E317,Groups!A:A,Groups!AJ:AJ)="Photonozoa",3,1))</f>
        <v>No</v>
      </c>
      <c r="BS317" s="8">
        <f t="shared" si="152"/>
        <v>0.2260449149420598</v>
      </c>
      <c r="BT317" s="8">
        <f t="shared" si="153"/>
        <v>7.3904257182008974</v>
      </c>
      <c r="BU317" s="8">
        <f t="shared" si="154"/>
        <v>0.27125389793047178</v>
      </c>
      <c r="BV317" s="8" t="str">
        <f t="shared" si="155"/>
        <v>No</v>
      </c>
      <c r="BW317" s="4">
        <v>0</v>
      </c>
      <c r="BX317" s="4">
        <v>1</v>
      </c>
    </row>
    <row r="318" spans="1:76" s="16" customFormat="1" x14ac:dyDescent="0.25">
      <c r="A318" s="26" t="s">
        <v>1594</v>
      </c>
      <c r="B318" s="6" t="s">
        <v>1859</v>
      </c>
      <c r="C318" s="7">
        <v>670</v>
      </c>
      <c r="D318" s="7" t="s">
        <v>528</v>
      </c>
      <c r="E318" s="7" t="str">
        <f>Groups!$A$54</f>
        <v>Ruminant  (BLUNT HORNS)</v>
      </c>
      <c r="F318" s="7">
        <v>280</v>
      </c>
      <c r="G318" s="7">
        <v>3</v>
      </c>
      <c r="H318" s="7">
        <v>33.5</v>
      </c>
      <c r="I318" s="4">
        <v>0</v>
      </c>
      <c r="J318" s="7">
        <v>1</v>
      </c>
      <c r="K318" s="7" t="s">
        <v>528</v>
      </c>
      <c r="L318" s="7">
        <v>56</v>
      </c>
      <c r="M318" s="7" t="s">
        <v>626</v>
      </c>
      <c r="N318" s="4">
        <v>0</v>
      </c>
      <c r="O318" s="4">
        <v>0</v>
      </c>
      <c r="P318" s="4">
        <v>0</v>
      </c>
      <c r="Q318" s="4">
        <v>0</v>
      </c>
      <c r="R318" s="4" t="s">
        <v>40</v>
      </c>
      <c r="S318" s="7">
        <f>_xlfn.XLOOKUP(B318,[1]TeethAdjusters!$A:$A,[1]BiteAdjusters!$C:$C,1)</f>
        <v>1</v>
      </c>
      <c r="T318" s="7">
        <f>_xlfn.XLOOKUP(B318,[1]TeethAdjusters!$A:$A,[1]TeethAdjusters!$B:$B,1)</f>
        <v>1</v>
      </c>
      <c r="U318" s="7" t="s">
        <v>45</v>
      </c>
      <c r="V318" s="7" t="str">
        <f>IF(AT318="No","No",IF(_xlfn.XLOOKUP(E318,Groups!A:A,Groups!AM:AM)=1,MROUND(EXP(0.3582*LN(C318)-0.2221)*T318,0.05),IF(_xlfn.XLOOKUP(E318,Groups!A:A,Groups!AM:AM)=2,MROUND(EXP(0.3582*LN(C318)-0.2221)*T318,0.05),"Need a formula")))</f>
        <v>No</v>
      </c>
      <c r="W318" s="7">
        <v>70</v>
      </c>
      <c r="X318" s="7" t="s">
        <v>932</v>
      </c>
      <c r="Y318" s="4" t="s">
        <v>42</v>
      </c>
      <c r="Z318" s="4">
        <v>1</v>
      </c>
      <c r="AA318" s="4">
        <v>0</v>
      </c>
      <c r="AB318" s="4">
        <v>0</v>
      </c>
      <c r="AC318" s="4">
        <v>0</v>
      </c>
      <c r="AD318" s="4">
        <v>0</v>
      </c>
      <c r="AE318" s="4" t="s">
        <v>45</v>
      </c>
      <c r="AF318" s="4" t="s">
        <v>398</v>
      </c>
      <c r="AG318" s="49" t="s">
        <v>1778</v>
      </c>
      <c r="AH318" s="4" t="str">
        <f>Animals!$C$52</f>
        <v>&lt;li&gt;Sheep&lt;/li&gt;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4" t="s">
        <v>40</v>
      </c>
      <c r="AO318" s="8">
        <f t="shared" si="141"/>
        <v>76255.575061434094</v>
      </c>
      <c r="AP318" s="8">
        <f>IFERROR(C318*_xlfn.XLOOKUP(E318,Groups!A:A,Groups!K:K),0.106*C318^0.94)</f>
        <v>48.063587066174399</v>
      </c>
      <c r="AQ318" s="8">
        <f>AP318*10000/(_xlfn.XLOOKUP(E318,Groups!A:A,Groups!J:J)*AO318)</f>
        <v>5.7825324863316707</v>
      </c>
      <c r="AR318" s="8">
        <f t="shared" si="142"/>
        <v>13262.5225559426</v>
      </c>
      <c r="AS318" s="8">
        <f>IF(_xlfn.XLOOKUP(E318,Groups!A:A,Groups!M:M)=1,EXP(0.7444*LN('Base stats'!C318)+6.5696),EXP(0.7927*LN('Base stats'!C318)+4.28))</f>
        <v>12560.585342111865</v>
      </c>
      <c r="AT318" s="8" t="str">
        <f>IF(_xlfn.XLOOKUP(E318,Groups!A:A,Groups!N:N)="No","No",
IF(_xlfn.XLOOKUP(E318,Groups!A:A,Groups!N:N)="Crocodile",EXP(0.8129*LN(C318)+4.6742)*S318,
IF(_xlfn.XLOOKUP(E318,Groups!A:A,Groups!N:N)="Felid",EXP(0.7843*LN(C318)+4.7073)*S318,
IF(_xlfn.XLOOKUP(E318,Groups!A:A,Groups!N:N)="Canid",EXP(0.8367*LN(C318)+4.8763)*S318,
IF(_xlfn.XLOOKUP(E318,Groups!A:A,Groups!N:N)="Pig",EXP(0.3439*LN(C318)+6.8519)*S318,
IF(_xlfn.XLOOKUP(E318,Groups!A:A,Groups!N:N)="Rodent",EXP(0.5625*LN(C318)+4.3006)*S318,
IF(_xlfn.XLOOKUP(E318,Groups!A:A,Groups!N:N)="Primate",EXP(0.7847*LN(C318)+3.4931)*S318,
IF(_xlfn.XLOOKUP(E318,Groups!A:A,Groups!N:N)="MiscCarnivora",EXP(0.7486*LN(C318)+4.2207)*S318,
IF(_xlfn.XLOOKUP(E318,Groups!A:A,Groups!N:N)="Lizard",EXP(0.7733*LN(C318)+5.5303)*S318,
IF(_xlfn.XLOOKUP(E318,Groups!A:A,Groups!N:N)="Snake",50*C318^(2/3)*S318,
IF(_xlfn.XLOOKUP(E318,Groups!A:A,Groups!N:N)="StrongBitingHerbivore",87.1133638856975*C318^(2/3)*S318,
IF(_xlfn.XLOOKUP(E318,Groups!A:A,Groups!N:N)="MiscEctotherms",59.4316884072269*C318^(2/3)*S318,
IF(_xlfn.XLOOKUP(E318,Groups!A:A,Groups!N:N)="StrongBeakBird",0.041*(C318*1000)^1.375*S318,
IF(_xlfn.XLOOKUP(E318,Groups!A:A,Groups!N:N)="Bird",0.118*(C318*1000)^0.692*S318,
IF(_xlfn.XLOOKUP(E318,Groups!A:A,Groups!N:N)="Insect",EXP(0.7444*LN(C318)+6.5696)*S318,
IF(_xlfn.XLOOKUP(E318,Groups!A:A,Groups!N:N)="Theropod",EXP(0.6966*LN(C318)+4.158)*S318,
"No"))))))))))))))))</f>
        <v>No</v>
      </c>
      <c r="AU318" s="8">
        <f>IF(_xlfn.XLOOKUP(E318,Groups!A:A,Groups!U:U)=3,AS318,IF(_xlfn.XLOOKUP(E318,Groups!A:A,Groups!U:U)=2,AR318,AT318))</f>
        <v>12560.585342111865</v>
      </c>
      <c r="AV318" s="46">
        <f>IFERROR(AVERAGE(_xlfn.XLOOKUP(B318,Animals!B:B,Animals!N:N),_xlfn.XLOOKUP(B318,Animals!B:B,Animals!O:O)),0)</f>
        <v>0</v>
      </c>
      <c r="AW318" s="8">
        <f>MROUND(40*Animals!AO318*_xlfn.XLOOKUP(AG318,Leathers!$A$2:$A$99,Leathers!$B$2:$B$99,0)+(140*_xlfn.XLOOKUP(B318,Animals!B:B,Animals!AO:AO)*2),5)</f>
        <v>840</v>
      </c>
      <c r="AX318" s="8">
        <f>IFERROR(ROUND(SQRT(V318-1)*IF(_xlfn.XLOOKUP(E318,Groups!A:A,Groups!BF:BF)=0,2,1)*IF(_xlfn.XLOOKUP('Base stats'!E318,Groups!A:A,Groups!O:O)=0,1,0.1),1),0)</f>
        <v>0</v>
      </c>
      <c r="AY318" s="8">
        <f t="shared" si="143"/>
        <v>0</v>
      </c>
      <c r="AZ318" s="8">
        <f t="shared" si="144"/>
        <v>8.4</v>
      </c>
      <c r="BA318" s="8">
        <f t="shared" si="145"/>
        <v>8.1999999999999993</v>
      </c>
      <c r="BB318" s="8">
        <f>IF(_xlfn.XLOOKUP(E318,Groups!A:A,Groups!N:N)="Insect",BD318*2.5,IFERROR(AVERAGE(BD318,AT318/9.81/IF(OR(_xlfn.XLOOKUP(E318,Groups!A:A,Groups!N:N)="Pig",_xlfn.XLOOKUP(E318,Groups!A:A,Groups!N:N)="StrongBitingHerbivore"),20,25))*C318^-0.135,BD318))</f>
        <v>5.2984210599311439</v>
      </c>
      <c r="BC318" s="8">
        <f>IF(W318="No","No",IF(_xlfn.XLOOKUP(E318,Groups!A:A,Groups!U:U)=1,'Base stats'!BB318,IF(OR(_xlfn.XLOOKUP(E318,Groups!A:A,Groups!BD:BD)=1,_xlfn.XLOOKUP(E318,Groups!A:A,Groups!U:U)=2),BD318,IF(_xlfn.XLOOKUP(B318,Animals!B:B,Animals!AO:AO)&gt;4,AVERAGE(BD318,BF318),BF318))))</f>
        <v>5.2984210599311439</v>
      </c>
      <c r="BD318" s="8">
        <f t="shared" si="146"/>
        <v>5.2984210599311439</v>
      </c>
      <c r="BE318" s="8">
        <f>IF(_xlfn.XLOOKUP(E318,Groups!A:A,Groups!BE:BE)=1,(0.048*C318^1.01)+(0.071*C318^1.03),0.071*C318^1.03)/IF(_xlfn.XLOOKUP(E318,Groups!A:A,Groups!M:M)=1,0.85,IF(OR(_xlfn.XLOOKUP(B318,Animals!B:B,Animals!AO:AO)&gt;4,_xlfn.XLOOKUP(E318,Groups!A:A,Groups!BC:BC)=1),1.7,1))*C318^-0.25</f>
        <v>11.365713249036499</v>
      </c>
      <c r="BF318" s="8">
        <f>(0.048*C318^1.01)/IF(_xlfn.XLOOKUP(E318,Groups!A:A,Groups!M:M)=1,0.25,0.8)*C318^-0.25</f>
        <v>8.4327281587001082</v>
      </c>
      <c r="BG318" s="8">
        <f>EXP(1.076*LN(AR318)-4.5397)*IF(_xlfn.XLOOKUP(E318,Groups!A:A,Groups!BC:BC)=1,1.25,IF(_xlfn.XLOOKUP(E318,Groups!A:A,Groups!BD:BD)=1,3.5,2.5))</f>
        <v>1019.640569062325</v>
      </c>
      <c r="BH318" s="8">
        <f>EXP(1.076*LN(AS318)-4.5397)*IF(_xlfn.XLOOKUP(E318,Groups!A:A,Groups!M:M)=1,0.8,IF(_xlfn.XLOOKUP(E318,Groups!A:A,Groups!BC:BC)=1,1.3,3))</f>
        <v>824.30744939325632</v>
      </c>
      <c r="BI318" s="8">
        <f>IF(W318="No","No",IF(_xlfn.XLOOKUP(E318,Groups!A:A,Groups!U:U)=1,'Base stats'!BJ318,IF(OR(_xlfn.XLOOKUP(E318,Groups!A:A,Groups!BD:BD)=1,_xlfn.XLOOKUP(E318,Groups!A:A,Groups!U:U)=2),BG318,BH318))*1.2)</f>
        <v>1223.5686828747898</v>
      </c>
      <c r="BJ318" s="8" t="str">
        <f>IFERROR(EXP(1.076*LN(AT318)-4.5397)*IF(_xlfn.XLOOKUP(E318,Groups!A:A,Groups!N:N)="Insect",1,IF(OR(_xlfn.XLOOKUP(E318,Groups!A:A,Groups!N:N)="Pig",_xlfn.XLOOKUP(E318,Groups!A:A,Groups!N:N)="StrongBitingHerbivore"),3.5,3.75)),"No")</f>
        <v>No</v>
      </c>
      <c r="BK318" s="8">
        <f t="shared" si="147"/>
        <v>19</v>
      </c>
      <c r="BL318" s="8">
        <f t="shared" si="148"/>
        <v>12</v>
      </c>
      <c r="BM318" s="8">
        <f t="shared" si="149"/>
        <v>21</v>
      </c>
      <c r="BN318" s="8" t="str">
        <f t="shared" si="150"/>
        <v>No</v>
      </c>
      <c r="BO318" s="8">
        <f t="shared" si="151"/>
        <v>13</v>
      </c>
      <c r="BP318" s="8" cm="1">
        <f t="array" ref="BP318">IF(AND(_xlfn.XLOOKUP('Base stats'!E318,Groups!A:A,Groups!AD:AD=0),_xlfn.XLOOKUP('Base stats'!E318,Groups!A:A,Groups!P:P=0)),"No",IF(U318="No",AVERAGE(EXP(-0.57+0.99*LN(C318)),EXP(0.32+0.67*LN(C318)))/IF(_xlfn.XLOOKUP(E318,Groups!A:A,Groups!AD:AD)=1,10,2),(0.7354*C318^0.4078)*2/IF(_xlfn.XLOOKUP(E318,Groups!A:A,Groups!BK:BK)=1,1000,100)/IF(_xlfn.XLOOKUP(E318,Groups!A:A,Groups!AJ:AJ)="Photonozoa",3,1)))</f>
        <v>115.69691381617326</v>
      </c>
      <c r="BQ318" s="8">
        <f>IF(W318="No","No",IF(_xlfn.XLOOKUP(E318,Groups!A:A,Groups!BD:BD)=1,(AO318*5%),EXP(0.7354*LN(C318)^0.4078)*2/IF(_xlfn.XLOOKUP(E318,Groups!A:A,Groups!BL:BL)=1,1000,100)/IF(_xlfn.XLOOKUP(E318,Groups!A:A,Groups!AJ:AJ)="Photonozoa",3,1)))</f>
        <v>3812.7787530717051</v>
      </c>
      <c r="BR318" s="8" t="str">
        <f>IF(BJ318="No","No",IF(_xlfn.XLOOKUP(E318,Groups!A:A,Groups!BF:BF)=1,(0.0315*C318+2.1825)*2,(0.7354*C318^0.4078)*2)/IF(_xlfn.XLOOKUP(E318,Groups!A:A,Groups!BM:BM)=1,1000,100)/IF(_xlfn.XLOOKUP(E318,Groups!A:A,Groups!AJ:AJ)="Photonozoa",3,1))</f>
        <v>No</v>
      </c>
      <c r="BS318" s="8">
        <f t="shared" si="152"/>
        <v>0.26742715355326285</v>
      </c>
      <c r="BT318" s="8">
        <f t="shared" si="153"/>
        <v>7.1247142400269148</v>
      </c>
      <c r="BU318" s="8">
        <f t="shared" si="154"/>
        <v>0.32091258426391539</v>
      </c>
      <c r="BV318" s="8" t="str">
        <f t="shared" si="155"/>
        <v>No</v>
      </c>
      <c r="BW318" s="4">
        <v>0</v>
      </c>
      <c r="BX318" s="4">
        <v>1</v>
      </c>
    </row>
    <row r="319" spans="1:76" s="16" customFormat="1" x14ac:dyDescent="0.25">
      <c r="A319" s="26" t="s">
        <v>1424</v>
      </c>
      <c r="B319" s="6" t="s">
        <v>1848</v>
      </c>
      <c r="C319" s="7">
        <v>95</v>
      </c>
      <c r="D319" s="7" t="s">
        <v>528</v>
      </c>
      <c r="E319" s="7" t="str">
        <f>Groups!$A$105</f>
        <v>Catlike (NINE TAILS)</v>
      </c>
      <c r="F319" s="7">
        <v>99</v>
      </c>
      <c r="G319" s="7">
        <f>AVERAGE(30/12,3)</f>
        <v>2.75</v>
      </c>
      <c r="H319" s="7">
        <v>28</v>
      </c>
      <c r="I319" s="4">
        <v>0</v>
      </c>
      <c r="J319" s="7">
        <v>2</v>
      </c>
      <c r="K319" s="7" t="s">
        <v>528</v>
      </c>
      <c r="L319" s="7">
        <f>MIN(37.5*C319^0.089,79.3*C319^-0.072)</f>
        <v>56.240434670876695</v>
      </c>
      <c r="M319" s="7" t="s">
        <v>528</v>
      </c>
      <c r="N319" s="4">
        <v>0</v>
      </c>
      <c r="O319" s="4">
        <v>0</v>
      </c>
      <c r="P319" s="4">
        <v>0</v>
      </c>
      <c r="Q319" s="4">
        <v>0</v>
      </c>
      <c r="R319" s="4" t="s">
        <v>40</v>
      </c>
      <c r="S319" s="7">
        <f>_xlfn.XLOOKUP(B319,[1]TeethAdjusters!$A:$A,[1]BiteAdjusters!$C:$C,1)</f>
        <v>1</v>
      </c>
      <c r="T319" s="7">
        <f>_xlfn.XLOOKUP(B319,[1]TeethAdjusters!$A:$A,[1]TeethAdjusters!$B:$B,1)</f>
        <v>1</v>
      </c>
      <c r="U319" s="7">
        <v>4</v>
      </c>
      <c r="V319" s="7">
        <f>IF(AT319="No","No",IF(_xlfn.XLOOKUP(E319,Groups!A:A,Groups!AM:AM)=1,MROUND(EXP(0.3582*LN(C319)-0.2221)*T319,0.05),IF(_xlfn.XLOOKUP(E319,Groups!A:A,Groups!AM:AM)=2,MROUND(EXP(0.3582*LN(C319)-0.2221)*T319,0.05),"Need a formula")))</f>
        <v>4.1000000000000005</v>
      </c>
      <c r="W319" s="7">
        <v>10</v>
      </c>
      <c r="X319" s="7" t="s">
        <v>932</v>
      </c>
      <c r="Y319" s="4" t="s">
        <v>53</v>
      </c>
      <c r="Z319" s="4">
        <v>1</v>
      </c>
      <c r="AA319" s="4">
        <v>0</v>
      </c>
      <c r="AB319" s="4">
        <v>0</v>
      </c>
      <c r="AC319" s="4">
        <v>0</v>
      </c>
      <c r="AD319" s="4">
        <v>0</v>
      </c>
      <c r="AE319" s="4" t="s">
        <v>45</v>
      </c>
      <c r="AF319" s="4" t="s">
        <v>45</v>
      </c>
      <c r="AG319" s="49" t="s">
        <v>1778</v>
      </c>
      <c r="AH319" s="4" t="str">
        <f>Animals!$C$306</f>
        <v>&lt;li&gt;AA_Nightling&lt;/li&gt;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4" t="s">
        <v>40</v>
      </c>
      <c r="AO319" s="8">
        <f t="shared" si="141"/>
        <v>21421.176629595462</v>
      </c>
      <c r="AP319" s="8">
        <f>IFERROR(C319*_xlfn.XLOOKUP(E319,Groups!A:A,Groups!K:K),0.106*C319^0.94)</f>
        <v>11.85125</v>
      </c>
      <c r="AQ319" s="8">
        <f>AP319*10000/(_xlfn.XLOOKUP(E319,Groups!A:A,Groups!J:J)*AO319)</f>
        <v>5.0756812335866908</v>
      </c>
      <c r="AR319" s="8">
        <f t="shared" si="142"/>
        <v>2546.9702903237867</v>
      </c>
      <c r="AS319" s="8">
        <f>IF(_xlfn.XLOOKUP(E319,Groups!A:A,Groups!M:M)=1,EXP(0.7444*LN('Base stats'!C319)+6.5696),EXP(0.7927*LN('Base stats'!C319)+4.28))</f>
        <v>2670.065310540565</v>
      </c>
      <c r="AT319" s="8">
        <f>IF(_xlfn.XLOOKUP(E319,Groups!A:A,Groups!N:N)="No","No",
IF(_xlfn.XLOOKUP(E319,Groups!A:A,Groups!N:N)="Crocodile",EXP(0.8129*LN(C319)+4.6742)*S319,
IF(_xlfn.XLOOKUP(E319,Groups!A:A,Groups!N:N)="Felid",EXP(0.7843*LN(C319)+4.7073)*S319,
IF(_xlfn.XLOOKUP(E319,Groups!A:A,Groups!N:N)="Canid",EXP(0.8367*LN(C319)+4.8763)*S319,
IF(_xlfn.XLOOKUP(E319,Groups!A:A,Groups!N:N)="Pig",EXP(0.3439*LN(C319)+6.8519)*S319,
IF(_xlfn.XLOOKUP(E319,Groups!A:A,Groups!N:N)="Rodent",EXP(0.5625*LN(C319)+4.3006)*S319,
IF(_xlfn.XLOOKUP(E319,Groups!A:A,Groups!N:N)="Primate",EXP(0.7847*LN(C319)+3.4931)*S319,
IF(_xlfn.XLOOKUP(E319,Groups!A:A,Groups!N:N)="MiscCarnivora",EXP(0.7486*LN(C319)+4.2207)*S319,
IF(_xlfn.XLOOKUP(E319,Groups!A:A,Groups!N:N)="Lizard",EXP(0.7733*LN(C319)+5.5303)*S319,
IF(_xlfn.XLOOKUP(E319,Groups!A:A,Groups!N:N)="Snake",50*C319^(2/3)*S319,
IF(_xlfn.XLOOKUP(E319,Groups!A:A,Groups!N:N)="StrongBitingHerbivore",87.1133638856975*C319^(2/3)*S319,
IF(_xlfn.XLOOKUP(E319,Groups!A:A,Groups!N:N)="MiscEctotherms",59.4316884072269*C319^(2/3)*S319,
IF(_xlfn.XLOOKUP(E319,Groups!A:A,Groups!N:N)="StrongBeakBird",0.041*(C319*1000)^1.375*S319,
IF(_xlfn.XLOOKUP(E319,Groups!A:A,Groups!N:N)="Bird",0.118*(C319*1000)^0.692*S319,
IF(_xlfn.XLOOKUP(E319,Groups!A:A,Groups!N:N)="Insect",EXP(0.7444*LN(C319)+6.5696)*S319,
IF(_xlfn.XLOOKUP(E319,Groups!A:A,Groups!N:N)="Theropod",EXP(0.6966*LN(C319)+4.158)*S319,
"No"))))))))))))))))</f>
        <v>3939.8803983492144</v>
      </c>
      <c r="AU319" s="8">
        <f>IF(_xlfn.XLOOKUP(E319,Groups!A:A,Groups!U:U)=3,AS319,IF(_xlfn.XLOOKUP(E319,Groups!A:A,Groups!U:U)=2,AR319,AT319))</f>
        <v>2670.065310540565</v>
      </c>
      <c r="AV319" s="46">
        <f>IFERROR(AVERAGE(_xlfn.XLOOKUP(B319,Animals!B:B,Animals!N:N),_xlfn.XLOOKUP(B319,Animals!B:B,Animals!O:O)),0)</f>
        <v>0</v>
      </c>
      <c r="AW319" s="8">
        <f>MROUND(40*Animals!AO319*_xlfn.XLOOKUP(AG319,Leathers!$A$2:$A$99,Leathers!$B$2:$B$99,0)+(140*_xlfn.XLOOKUP(B319,Animals!B:B,Animals!AO:AO)*2),5)</f>
        <v>335</v>
      </c>
      <c r="AX319" s="8">
        <f>IFERROR(ROUND(SQRT(V319-1)*IF(_xlfn.XLOOKUP(E319,Groups!A:A,Groups!BF:BF)=0,2,1)*IF(_xlfn.XLOOKUP('Base stats'!E319,Groups!A:A,Groups!O:O)=0,1,0.1),1),0)</f>
        <v>3.5</v>
      </c>
      <c r="AY319" s="8">
        <f t="shared" si="143"/>
        <v>1.7</v>
      </c>
      <c r="AZ319" s="8">
        <f t="shared" si="144"/>
        <v>3.2</v>
      </c>
      <c r="BA319" s="8">
        <f t="shared" si="145"/>
        <v>4.0999999999999996</v>
      </c>
      <c r="BB319" s="8">
        <f>IF(_xlfn.XLOOKUP(E319,Groups!A:A,Groups!N:N)="Insect",BD319*2.5,IFERROR(AVERAGE(BD319,AT319/9.81/IF(OR(_xlfn.XLOOKUP(E319,Groups!A:A,Groups!N:N)="Pig",_xlfn.XLOOKUP(E319,Groups!A:A,Groups!N:N)="StrongBitingHerbivore"),20,25))*C319^-0.135,BD319))</f>
        <v>4.8100078095783996</v>
      </c>
      <c r="BC319" s="8">
        <f>IF(W319="No","No",IF(_xlfn.XLOOKUP(E319,Groups!A:A,Groups!U:U)=1,'Base stats'!BB319,IF(OR(_xlfn.XLOOKUP(E319,Groups!A:A,Groups!BD:BD)=1,_xlfn.XLOOKUP(E319,Groups!A:A,Groups!U:U)=2),BD319,IF(_xlfn.XLOOKUP(B319,Animals!B:B,Animals!AO:AO)&gt;4,AVERAGE(BD319,BF319),BF319))))</f>
        <v>1.9108262131508238</v>
      </c>
      <c r="BD319" s="8">
        <f t="shared" si="146"/>
        <v>1.724941548073335</v>
      </c>
      <c r="BE319" s="8">
        <f>IF(_xlfn.XLOOKUP(E319,Groups!A:A,Groups!BE:BE)=1,(0.048*C319^1.01)+(0.071*C319^1.03),0.071*C319^1.03)/IF(_xlfn.XLOOKUP(E319,Groups!A:A,Groups!M:M)=1,0.85,IF(OR(_xlfn.XLOOKUP(B319,Animals!B:B,Animals!AO:AO)&gt;4,_xlfn.XLOOKUP(E319,Groups!A:A,Groups!BC:BC)=1),1.7,1))*C319^-0.25</f>
        <v>2.4767533600519727</v>
      </c>
      <c r="BF319" s="8">
        <f>(0.048*C319^1.01)/IF(_xlfn.XLOOKUP(E319,Groups!A:A,Groups!M:M)=1,0.25,0.8)*C319^-0.25</f>
        <v>1.9108262131508238</v>
      </c>
      <c r="BG319" s="8">
        <f>EXP(1.076*LN(AR319)-4.5397)*IF(_xlfn.XLOOKUP(E319,Groups!A:A,Groups!BC:BC)=1,1.25,IF(_xlfn.XLOOKUP(E319,Groups!A:A,Groups!BD:BD)=1,3.5,2.5))</f>
        <v>123.38291970048191</v>
      </c>
      <c r="BH319" s="8">
        <f>EXP(1.076*LN(AS319)-4.5397)*IF(_xlfn.XLOOKUP(E319,Groups!A:A,Groups!M:M)=1,0.8,IF(_xlfn.XLOOKUP(E319,Groups!A:A,Groups!BC:BC)=1,1.3,3))</f>
        <v>155.7729852689375</v>
      </c>
      <c r="BI319" s="8">
        <f>IF(W319="No","No",IF(_xlfn.XLOOKUP(E319,Groups!A:A,Groups!U:U)=1,'Base stats'!BJ319,IF(OR(_xlfn.XLOOKUP(E319,Groups!A:A,Groups!BD:BD)=1,_xlfn.XLOOKUP(E319,Groups!A:A,Groups!U:U)=2),BG319,BH319))*1.2)</f>
        <v>186.92758232272499</v>
      </c>
      <c r="BJ319" s="8">
        <f>IFERROR(EXP(1.076*LN(AT319)-4.5397)*IF(_xlfn.XLOOKUP(E319,Groups!A:A,Groups!N:N)="Insect",1,IF(OR(_xlfn.XLOOKUP(E319,Groups!A:A,Groups!N:N)="Pig",_xlfn.XLOOKUP(E319,Groups!A:A,Groups!N:N)="StrongBitingHerbivore"),3.5,3.75)),"No")</f>
        <v>295.9404687967031</v>
      </c>
      <c r="BK319" s="8">
        <f t="shared" si="147"/>
        <v>11</v>
      </c>
      <c r="BL319" s="8">
        <f t="shared" si="148"/>
        <v>11</v>
      </c>
      <c r="BM319" s="8">
        <f t="shared" si="149"/>
        <v>13</v>
      </c>
      <c r="BN319" s="8">
        <f t="shared" si="150"/>
        <v>11</v>
      </c>
      <c r="BO319" s="8">
        <f t="shared" si="151"/>
        <v>12</v>
      </c>
      <c r="BP319" s="8" cm="1">
        <f t="array" ref="BP319">IF(AND(_xlfn.XLOOKUP('Base stats'!E319,Groups!A:A,Groups!AD:AD=0),_xlfn.XLOOKUP('Base stats'!E319,Groups!A:A,Groups!P:P=0)),"No",IF(U319="No",AVERAGE(EXP(-0.57+0.99*LN(C319)),EXP(0.32+0.67*LN(C319)))/IF(_xlfn.XLOOKUP(E319,Groups!A:A,Groups!AD:AD)=1,10,2),(0.7354*C319^0.4078)*2/IF(_xlfn.XLOOKUP(E319,Groups!A:A,Groups!BK:BK)=1,1000,100)/IF(_xlfn.XLOOKUP(E319,Groups!A:A,Groups!AJ:AJ)="Photonozoa",3,1)))</f>
        <v>9.4203992115871563E-2</v>
      </c>
      <c r="BQ319" s="8">
        <f>IF(W319="No","No",IF(_xlfn.XLOOKUP(E319,Groups!A:A,Groups!BD:BD)=1,(AO319*5%),EXP(0.7354*LN(C319)^0.4078)*2/IF(_xlfn.XLOOKUP(E319,Groups!A:A,Groups!BL:BL)=1,1000,100)/IF(_xlfn.XLOOKUP(E319,Groups!A:A,Groups!AJ:AJ)="Photonozoa",3,1)))</f>
        <v>7.8284653535036636E-3</v>
      </c>
      <c r="BR319" s="8">
        <f>IF(BJ319="No","No",IF(_xlfn.XLOOKUP(E319,Groups!A:A,Groups!BF:BF)=1,(0.0315*C319+2.1825)*2,(0.7354*C319^0.4078)*2)/IF(_xlfn.XLOOKUP(E319,Groups!A:A,Groups!BM:BM)=1,1000,100)/IF(_xlfn.XLOOKUP(E319,Groups!A:A,Groups!AJ:AJ)="Photonozoa",3,1))</f>
        <v>9.4203992115871563E-2</v>
      </c>
      <c r="BS319" s="8">
        <f t="shared" si="152"/>
        <v>0.11519714517457111</v>
      </c>
      <c r="BT319" s="8">
        <f t="shared" si="153"/>
        <v>1653.5709556484151</v>
      </c>
      <c r="BU319" s="8">
        <f t="shared" si="154"/>
        <v>23877.934420322206</v>
      </c>
      <c r="BV319" s="8">
        <f t="shared" si="155"/>
        <v>3141.485431240475</v>
      </c>
      <c r="BW319" s="4">
        <v>0</v>
      </c>
      <c r="BX319" s="4">
        <v>1</v>
      </c>
    </row>
    <row r="320" spans="1:76" s="16" customFormat="1" x14ac:dyDescent="0.25">
      <c r="A320" s="26" t="s">
        <v>1524</v>
      </c>
      <c r="B320" s="6" t="s">
        <v>1849</v>
      </c>
      <c r="C320" s="7">
        <v>85</v>
      </c>
      <c r="D320" s="7" t="s">
        <v>528</v>
      </c>
      <c r="E320" s="7" t="str">
        <f>Groups!$A$103</f>
        <v>Mustelid (NIGHTLING)</v>
      </c>
      <c r="F320" s="7">
        <v>80</v>
      </c>
      <c r="G320" s="7">
        <v>2</v>
      </c>
      <c r="H320" s="7">
        <v>25</v>
      </c>
      <c r="I320" s="4">
        <v>0</v>
      </c>
      <c r="J320" s="7">
        <v>4</v>
      </c>
      <c r="K320" s="7" t="s">
        <v>528</v>
      </c>
      <c r="L320" s="7">
        <v>65</v>
      </c>
      <c r="M320" s="7" t="s">
        <v>626</v>
      </c>
      <c r="N320" s="4">
        <v>0</v>
      </c>
      <c r="O320" s="4">
        <v>0</v>
      </c>
      <c r="P320" s="4">
        <v>0</v>
      </c>
      <c r="Q320" s="4">
        <v>0</v>
      </c>
      <c r="R320" s="4" t="s">
        <v>40</v>
      </c>
      <c r="S320" s="7">
        <f>_xlfn.XLOOKUP(B320,[1]TeethAdjusters!$A:$A,[1]BiteAdjusters!$C:$C,1)</f>
        <v>1</v>
      </c>
      <c r="T320" s="7">
        <f>_xlfn.XLOOKUP(B320,[1]TeethAdjusters!$A:$A,[1]TeethAdjusters!$B:$B,1)</f>
        <v>1</v>
      </c>
      <c r="U320" s="7">
        <v>5</v>
      </c>
      <c r="V320" s="7">
        <f>IF(AT320="No","No",IF(_xlfn.XLOOKUP(E320,Groups!A:A,Groups!AM:AM)=1,MROUND(EXP(0.3582*LN(C320)-0.2221)*T320,0.05),IF(_xlfn.XLOOKUP(E320,Groups!A:A,Groups!AM:AM)=2,MROUND(EXP(0.3582*LN(C320)-0.2221)*T320,0.05),"Need a formula")))</f>
        <v>3.95</v>
      </c>
      <c r="W320" s="7" t="s">
        <v>45</v>
      </c>
      <c r="X320" s="7" t="s">
        <v>932</v>
      </c>
      <c r="Y320" s="4" t="s">
        <v>56</v>
      </c>
      <c r="Z320" s="4">
        <v>1</v>
      </c>
      <c r="AA320" s="4">
        <v>0</v>
      </c>
      <c r="AB320" s="4">
        <v>0</v>
      </c>
      <c r="AC320" s="4">
        <v>0</v>
      </c>
      <c r="AD320" s="4">
        <v>0</v>
      </c>
      <c r="AE320" s="4" t="s">
        <v>45</v>
      </c>
      <c r="AF320" s="4" t="s">
        <v>452</v>
      </c>
      <c r="AG320" s="49" t="s">
        <v>1778</v>
      </c>
      <c r="AH320" s="4" t="s">
        <v>45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4" t="s">
        <v>40</v>
      </c>
      <c r="AO320" s="8">
        <f t="shared" si="141"/>
        <v>19927.154155718847</v>
      </c>
      <c r="AP320" s="8">
        <f>IFERROR(C320*_xlfn.XLOOKUP(E320,Groups!A:A,Groups!K:K),0.106*C320^0.94)</f>
        <v>10.60375</v>
      </c>
      <c r="AQ320" s="8">
        <f>AP320*10000/(_xlfn.XLOOKUP(E320,Groups!A:A,Groups!J:J)*AO320)</f>
        <v>4.881886762732969</v>
      </c>
      <c r="AR320" s="8">
        <f t="shared" si="142"/>
        <v>2318.5737585144111</v>
      </c>
      <c r="AS320" s="8">
        <f>IF(_xlfn.XLOOKUP(E320,Groups!A:A,Groups!M:M)=1,EXP(0.7444*LN('Base stats'!C320)+6.5696),EXP(0.7927*LN('Base stats'!C320)+4.28))</f>
        <v>2444.7292290704922</v>
      </c>
      <c r="AT320" s="8">
        <f>IF(_xlfn.XLOOKUP(E320,Groups!A:A,Groups!N:N)="No","No",
IF(_xlfn.XLOOKUP(E320,Groups!A:A,Groups!N:N)="Crocodile",EXP(0.8129*LN(C320)+4.6742)*S320,
IF(_xlfn.XLOOKUP(E320,Groups!A:A,Groups!N:N)="Felid",EXP(0.7843*LN(C320)+4.7073)*S320,
IF(_xlfn.XLOOKUP(E320,Groups!A:A,Groups!N:N)="Canid",EXP(0.8367*LN(C320)+4.8763)*S320,
IF(_xlfn.XLOOKUP(E320,Groups!A:A,Groups!N:N)="Pig",EXP(0.3439*LN(C320)+6.8519)*S320,
IF(_xlfn.XLOOKUP(E320,Groups!A:A,Groups!N:N)="Rodent",EXP(0.5625*LN(C320)+4.3006)*S320,
IF(_xlfn.XLOOKUP(E320,Groups!A:A,Groups!N:N)="Primate",EXP(0.7847*LN(C320)+3.4931)*S320,
IF(_xlfn.XLOOKUP(E320,Groups!A:A,Groups!N:N)="MiscCarnivora",EXP(0.7486*LN(C320)+4.2207)*S320,
IF(_xlfn.XLOOKUP(E320,Groups!A:A,Groups!N:N)="Lizard",EXP(0.7733*LN(C320)+5.5303)*S320,
IF(_xlfn.XLOOKUP(E320,Groups!A:A,Groups!N:N)="Snake",50*C320^(2/3)*S320,
IF(_xlfn.XLOOKUP(E320,Groups!A:A,Groups!N:N)="StrongBitingHerbivore",87.1133638856975*C320^(2/3)*S320,
IF(_xlfn.XLOOKUP(E320,Groups!A:A,Groups!N:N)="MiscEctotherms",59.4316884072269*C320^(2/3)*S320,
IF(_xlfn.XLOOKUP(E320,Groups!A:A,Groups!N:N)="StrongBeakBird",0.041*(C320*1000)^1.375*S320,
IF(_xlfn.XLOOKUP(E320,Groups!A:A,Groups!N:N)="Bird",0.118*(C320*1000)^0.692*S320,
IF(_xlfn.XLOOKUP(E320,Groups!A:A,Groups!N:N)="Insect",EXP(0.7444*LN(C320)+6.5696)*S320,
IF(_xlfn.XLOOKUP(E320,Groups!A:A,Groups!N:N)="Theropod",EXP(0.6966*LN(C320)+4.158)*S320,
"No"))))))))))))))))</f>
        <v>1894.0425337754036</v>
      </c>
      <c r="AU320" s="8">
        <f>IF(_xlfn.XLOOKUP(E320,Groups!A:A,Groups!U:U)=3,AS320,IF(_xlfn.XLOOKUP(E320,Groups!A:A,Groups!U:U)=2,AR320,AT320))</f>
        <v>1894.0425337754036</v>
      </c>
      <c r="AV320" s="46">
        <f>IFERROR(AVERAGE(_xlfn.XLOOKUP(B320,Animals!B:B,Animals!N:N),_xlfn.XLOOKUP(B320,Animals!B:B,Animals!O:O)),0)</f>
        <v>0</v>
      </c>
      <c r="AW320" s="8">
        <f>MROUND(40*Animals!AO320*_xlfn.XLOOKUP(AG320,Leathers!$A$2:$A$99,Leathers!$B$2:$B$99,0)+(140*_xlfn.XLOOKUP(B320,Animals!B:B,Animals!AO:AO)*2),5)</f>
        <v>310</v>
      </c>
      <c r="AX320" s="8">
        <f>IFERROR(ROUND(SQRT(V320-1)*IF(_xlfn.XLOOKUP(E320,Groups!A:A,Groups!BF:BF)=0,2,1)*IF(_xlfn.XLOOKUP('Base stats'!E320,Groups!A:A,Groups!O:O)=0,1,0.1),1),0)</f>
        <v>3.4</v>
      </c>
      <c r="AY320" s="8">
        <f t="shared" si="143"/>
        <v>2</v>
      </c>
      <c r="AZ320" s="8">
        <f t="shared" si="144"/>
        <v>0</v>
      </c>
      <c r="BA320" s="8">
        <f t="shared" si="145"/>
        <v>3.9</v>
      </c>
      <c r="BB320" s="8">
        <f>IF(_xlfn.XLOOKUP(E320,Groups!A:A,Groups!N:N)="Insect",BD320*2.5,IFERROR(AVERAGE(BD320,AT320/9.81/IF(OR(_xlfn.XLOOKUP(E320,Groups!A:A,Groups!N:N)="Pig",_xlfn.XLOOKUP(E320,Groups!A:A,Groups!N:N)="StrongBitingHerbivore"),20,25))*C320^-0.135,BD320))</f>
        <v>2.5513731368734627</v>
      </c>
      <c r="BC320" s="8" t="str">
        <f>IF(W320="No","No",IF(_xlfn.XLOOKUP(E320,Groups!A:A,Groups!U:U)=1,'Base stats'!BB320,IF(OR(_xlfn.XLOOKUP(E320,Groups!A:A,Groups!BD:BD)=1,_xlfn.XLOOKUP(E320,Groups!A:A,Groups!U:U)=2),BD320,IF(_xlfn.XLOOKUP(B320,Animals!B:B,Animals!AO:AO)&gt;4,AVERAGE(BD320,BF320),BF320))))</f>
        <v>No</v>
      </c>
      <c r="BD320" s="8">
        <f t="shared" si="146"/>
        <v>1.5726540376384468</v>
      </c>
      <c r="BE320" s="8">
        <f>IF(_xlfn.XLOOKUP(E320,Groups!A:A,Groups!BE:BE)=1,(0.048*C320^1.01)+(0.071*C320^1.03),0.071*C320^1.03)/IF(_xlfn.XLOOKUP(E320,Groups!A:A,Groups!M:M)=1,0.85,IF(OR(_xlfn.XLOOKUP(B320,Animals!B:B,Animals!AO:AO)&gt;4,_xlfn.XLOOKUP(E320,Groups!A:A,Groups!BC:BC)=1),1.7,1))*C320^-0.25</f>
        <v>2.2709371282312283</v>
      </c>
      <c r="BF320" s="8">
        <f>(0.048*C320^1.01)/IF(_xlfn.XLOOKUP(E320,Groups!A:A,Groups!M:M)=1,0.25,0.8)*C320^-0.25</f>
        <v>1.7559398456675572</v>
      </c>
      <c r="BG320" s="8">
        <f>EXP(1.076*LN(AR320)-4.5397)*IF(_xlfn.XLOOKUP(E320,Groups!A:A,Groups!BC:BC)=1,1.25,IF(_xlfn.XLOOKUP(E320,Groups!A:A,Groups!BD:BD)=1,3.5,2.5))</f>
        <v>111.519562001875</v>
      </c>
      <c r="BH320" s="8">
        <f>EXP(1.076*LN(AS320)-4.5397)*IF(_xlfn.XLOOKUP(E320,Groups!A:A,Groups!M:M)=1,0.8,IF(_xlfn.XLOOKUP(E320,Groups!A:A,Groups!BC:BC)=1,1.3,3))</f>
        <v>141.67424219800927</v>
      </c>
      <c r="BI320" s="8" t="str">
        <f>IF(W320="No","No",IF(_xlfn.XLOOKUP(E320,Groups!A:A,Groups!U:U)=1,'Base stats'!BJ320,IF(OR(_xlfn.XLOOKUP(E320,Groups!A:A,Groups!BD:BD)=1,_xlfn.XLOOKUP(E320,Groups!A:A,Groups!U:U)=2),BG320,BH320))*1.2)</f>
        <v>No</v>
      </c>
      <c r="BJ320" s="8">
        <f>IFERROR(EXP(1.076*LN(AT320)-4.5397)*IF(_xlfn.XLOOKUP(E320,Groups!A:A,Groups!N:N)="Insect",1,IF(OR(_xlfn.XLOOKUP(E320,Groups!A:A,Groups!N:N)="Pig",_xlfn.XLOOKUP(E320,Groups!A:A,Groups!N:N)="StrongBitingHerbivore"),3.5,3.75)),"No")</f>
        <v>134.56618961878064</v>
      </c>
      <c r="BK320" s="8">
        <f t="shared" si="147"/>
        <v>11</v>
      </c>
      <c r="BL320" s="8">
        <f t="shared" si="148"/>
        <v>11</v>
      </c>
      <c r="BM320" s="8" t="str">
        <f t="shared" si="149"/>
        <v>No</v>
      </c>
      <c r="BN320" s="8">
        <f t="shared" si="150"/>
        <v>10</v>
      </c>
      <c r="BO320" s="8">
        <f t="shared" si="151"/>
        <v>12</v>
      </c>
      <c r="BP320" s="8" cm="1">
        <f t="array" ref="BP320">IF(AND(_xlfn.XLOOKUP('Base stats'!E320,Groups!A:A,Groups!AD:AD=0),_xlfn.XLOOKUP('Base stats'!E320,Groups!A:A,Groups!P:P=0)),"No",IF(U320="No",AVERAGE(EXP(-0.57+0.99*LN(C320)),EXP(0.32+0.67*LN(C320)))/IF(_xlfn.XLOOKUP(E320,Groups!A:A,Groups!AD:AD)=1,10,2),(0.7354*C320^0.4078)*2/IF(_xlfn.XLOOKUP(E320,Groups!A:A,Groups!BK:BK)=1,1000,100)/IF(_xlfn.XLOOKUP(E320,Groups!A:A,Groups!AJ:AJ)="Photonozoa",3,1)))</f>
        <v>9.0026560714011397E-2</v>
      </c>
      <c r="BQ320" s="8" t="str">
        <f>IF(W320="No","No",IF(_xlfn.XLOOKUP(E320,Groups!A:A,Groups!BD:BD)=1,(AO320*5%),EXP(0.7354*LN(C320)^0.4078)*2/IF(_xlfn.XLOOKUP(E320,Groups!A:A,Groups!BL:BL)=1,1000,100)/IF(_xlfn.XLOOKUP(E320,Groups!A:A,Groups!AJ:AJ)="Photonozoa",3,1)))</f>
        <v>No</v>
      </c>
      <c r="BR320" s="8">
        <f>IF(BJ320="No","No",IF(_xlfn.XLOOKUP(E320,Groups!A:A,Groups!BF:BF)=1,(0.0315*C320+2.1825)*2,(0.7354*C320^0.4078)*2)/IF(_xlfn.XLOOKUP(E320,Groups!A:A,Groups!BM:BM)=1,1000,100)/IF(_xlfn.XLOOKUP(E320,Groups!A:A,Groups!AJ:AJ)="Photonozoa",3,1))</f>
        <v>9.0026560714011397E-2</v>
      </c>
      <c r="BS320" s="8">
        <f t="shared" si="152"/>
        <v>0.11192723369369857</v>
      </c>
      <c r="BT320" s="8">
        <f t="shared" si="153"/>
        <v>1573.6938196280514</v>
      </c>
      <c r="BU320" s="8" t="str">
        <f t="shared" si="154"/>
        <v>No</v>
      </c>
      <c r="BV320" s="8">
        <f t="shared" si="155"/>
        <v>1494.7387587787441</v>
      </c>
      <c r="BW320" s="4">
        <v>0</v>
      </c>
      <c r="BX320" s="4">
        <v>1</v>
      </c>
    </row>
    <row r="321" spans="1:76" s="16" customFormat="1" x14ac:dyDescent="0.25">
      <c r="A321" s="26" t="s">
        <v>1528</v>
      </c>
      <c r="B321" s="6" t="s">
        <v>1671</v>
      </c>
      <c r="C321" s="7">
        <v>85</v>
      </c>
      <c r="D321" s="7" t="s">
        <v>528</v>
      </c>
      <c r="E321" s="7" t="str">
        <f>Groups!$A$103</f>
        <v>Mustelid (NIGHTLING)</v>
      </c>
      <c r="F321" s="7">
        <v>80</v>
      </c>
      <c r="G321" s="7">
        <v>2</v>
      </c>
      <c r="H321" s="7">
        <v>25</v>
      </c>
      <c r="I321" s="4">
        <v>0</v>
      </c>
      <c r="J321" s="7">
        <v>4</v>
      </c>
      <c r="K321" s="7" t="s">
        <v>528</v>
      </c>
      <c r="L321" s="7">
        <v>65</v>
      </c>
      <c r="M321" s="7" t="s">
        <v>626</v>
      </c>
      <c r="N321" s="4">
        <v>0</v>
      </c>
      <c r="O321" s="4">
        <v>0</v>
      </c>
      <c r="P321" s="4">
        <v>0</v>
      </c>
      <c r="Q321" s="4">
        <v>0</v>
      </c>
      <c r="R321" s="4" t="s">
        <v>40</v>
      </c>
      <c r="S321" s="7">
        <f>_xlfn.XLOOKUP(B321,[1]TeethAdjusters!$A:$A,[1]BiteAdjusters!$C:$C,1)</f>
        <v>1</v>
      </c>
      <c r="T321" s="7">
        <f>_xlfn.XLOOKUP(B321,[1]TeethAdjusters!$A:$A,[1]TeethAdjusters!$B:$B,1)</f>
        <v>1</v>
      </c>
      <c r="U321" s="7">
        <v>5</v>
      </c>
      <c r="V321" s="7">
        <f>IF(AT321="No","No",IF(_xlfn.XLOOKUP(E321,Groups!A:A,Groups!AM:AM)=1,MROUND(EXP(0.3582*LN(C321)-0.2221)*T321,0.05),IF(_xlfn.XLOOKUP(E321,Groups!A:A,Groups!AM:AM)=2,MROUND(EXP(0.3582*LN(C321)-0.2221)*T321,0.05),"Need a formula")))</f>
        <v>3.95</v>
      </c>
      <c r="W321" s="7" t="s">
        <v>45</v>
      </c>
      <c r="X321" s="7" t="s">
        <v>932</v>
      </c>
      <c r="Y321" s="4" t="s">
        <v>56</v>
      </c>
      <c r="Z321" s="4">
        <v>1</v>
      </c>
      <c r="AA321" s="4">
        <v>0</v>
      </c>
      <c r="AB321" s="4">
        <v>0</v>
      </c>
      <c r="AC321" s="4">
        <v>0</v>
      </c>
      <c r="AD321" s="4">
        <v>0</v>
      </c>
      <c r="AE321" s="4" t="s">
        <v>45</v>
      </c>
      <c r="AF321" s="4" t="s">
        <v>452</v>
      </c>
      <c r="AG321" s="49" t="s">
        <v>1778</v>
      </c>
      <c r="AH321" s="4" t="str">
        <f>Animals!$C$306</f>
        <v>&lt;li&gt;AA_Nightling&lt;/li&gt;</v>
      </c>
      <c r="AI321" s="4">
        <v>0</v>
      </c>
      <c r="AJ321" s="4">
        <v>0</v>
      </c>
      <c r="AK321" s="4">
        <v>0</v>
      </c>
      <c r="AL321" s="4">
        <v>0</v>
      </c>
      <c r="AM321" s="4">
        <v>1</v>
      </c>
      <c r="AN321" s="44" t="s">
        <v>40</v>
      </c>
      <c r="AO321" s="8">
        <f t="shared" si="141"/>
        <v>19927.154155718847</v>
      </c>
      <c r="AP321" s="8">
        <f>IFERROR(C321*_xlfn.XLOOKUP(E321,Groups!A:A,Groups!K:K),0.106*C321^0.94)</f>
        <v>10.60375</v>
      </c>
      <c r="AQ321" s="8">
        <f>AP321*10000/(_xlfn.XLOOKUP(E321,Groups!A:A,Groups!J:J)*AO321)</f>
        <v>4.881886762732969</v>
      </c>
      <c r="AR321" s="8">
        <f t="shared" si="142"/>
        <v>2318.5737585144111</v>
      </c>
      <c r="AS321" s="8">
        <f>IF(_xlfn.XLOOKUP(E321,Groups!A:A,Groups!M:M)=1,EXP(0.7444*LN('Base stats'!C321)+6.5696),EXP(0.7927*LN('Base stats'!C321)+4.28))</f>
        <v>2444.7292290704922</v>
      </c>
      <c r="AT321" s="8">
        <f>IF(_xlfn.XLOOKUP(E321,Groups!A:A,Groups!N:N)="No","No",
IF(_xlfn.XLOOKUP(E321,Groups!A:A,Groups!N:N)="Crocodile",EXP(0.8129*LN(C321)+4.6742)*S321,
IF(_xlfn.XLOOKUP(E321,Groups!A:A,Groups!N:N)="Felid",EXP(0.7843*LN(C321)+4.7073)*S321,
IF(_xlfn.XLOOKUP(E321,Groups!A:A,Groups!N:N)="Canid",EXP(0.8367*LN(C321)+4.8763)*S321,
IF(_xlfn.XLOOKUP(E321,Groups!A:A,Groups!N:N)="Pig",EXP(0.3439*LN(C321)+6.8519)*S321,
IF(_xlfn.XLOOKUP(E321,Groups!A:A,Groups!N:N)="Rodent",EXP(0.5625*LN(C321)+4.3006)*S321,
IF(_xlfn.XLOOKUP(E321,Groups!A:A,Groups!N:N)="Primate",EXP(0.7847*LN(C321)+3.4931)*S321,
IF(_xlfn.XLOOKUP(E321,Groups!A:A,Groups!N:N)="MiscCarnivora",EXP(0.7486*LN(C321)+4.2207)*S321,
IF(_xlfn.XLOOKUP(E321,Groups!A:A,Groups!N:N)="Lizard",EXP(0.7733*LN(C321)+5.5303)*S321,
IF(_xlfn.XLOOKUP(E321,Groups!A:A,Groups!N:N)="Snake",50*C321^(2/3)*S321,
IF(_xlfn.XLOOKUP(E321,Groups!A:A,Groups!N:N)="StrongBitingHerbivore",87.1133638856975*C321^(2/3)*S321,
IF(_xlfn.XLOOKUP(E321,Groups!A:A,Groups!N:N)="MiscEctotherms",59.4316884072269*C321^(2/3)*S321,
IF(_xlfn.XLOOKUP(E321,Groups!A:A,Groups!N:N)="StrongBeakBird",0.041*(C321*1000)^1.375*S321,
IF(_xlfn.XLOOKUP(E321,Groups!A:A,Groups!N:N)="Bird",0.118*(C321*1000)^0.692*S321,
IF(_xlfn.XLOOKUP(E321,Groups!A:A,Groups!N:N)="Insect",EXP(0.7444*LN(C321)+6.5696)*S321,
IF(_xlfn.XLOOKUP(E321,Groups!A:A,Groups!N:N)="Theropod",EXP(0.6966*LN(C321)+4.158)*S321,
"No"))))))))))))))))</f>
        <v>1894.0425337754036</v>
      </c>
      <c r="AU321" s="8">
        <f>IF(_xlfn.XLOOKUP(E321,Groups!A:A,Groups!U:U)=3,AS321,IF(_xlfn.XLOOKUP(E321,Groups!A:A,Groups!U:U)=2,AR321,AT321))</f>
        <v>1894.0425337754036</v>
      </c>
      <c r="AV321" s="46">
        <f>IFERROR(AVERAGE(_xlfn.XLOOKUP(B321,Animals!B:B,Animals!N:N),_xlfn.XLOOKUP(B321,Animals!B:B,Animals!O:O)),0)</f>
        <v>0</v>
      </c>
      <c r="AW321" s="8">
        <f>MROUND(40*Animals!AO321*_xlfn.XLOOKUP(AG321,Leathers!$A$2:$A$99,Leathers!$B$2:$B$99,0)+(140*_xlfn.XLOOKUP(B321,Animals!B:B,Animals!AO:AO)*2),5)</f>
        <v>310</v>
      </c>
      <c r="AX321" s="8">
        <f>IFERROR(ROUND(SQRT(V321-1)*IF(_xlfn.XLOOKUP(E321,Groups!A:A,Groups!BF:BF)=0,2,1)*IF(_xlfn.XLOOKUP('Base stats'!E321,Groups!A:A,Groups!O:O)=0,1,0.1),1),0)</f>
        <v>3.4</v>
      </c>
      <c r="AY321" s="8">
        <f t="shared" si="143"/>
        <v>2</v>
      </c>
      <c r="AZ321" s="8">
        <f t="shared" si="144"/>
        <v>0</v>
      </c>
      <c r="BA321" s="8">
        <f t="shared" si="145"/>
        <v>3.9</v>
      </c>
      <c r="BB321" s="8">
        <f>IF(_xlfn.XLOOKUP(E321,Groups!A:A,Groups!N:N)="Insect",BD321*2.5,IFERROR(AVERAGE(BD321,AT321/9.81/IF(OR(_xlfn.XLOOKUP(E321,Groups!A:A,Groups!N:N)="Pig",_xlfn.XLOOKUP(E321,Groups!A:A,Groups!N:N)="StrongBitingHerbivore"),20,25))*C321^-0.135,BD321))</f>
        <v>2.5513731368734627</v>
      </c>
      <c r="BC321" s="8" t="str">
        <f>IF(W321="No","No",IF(_xlfn.XLOOKUP(E321,Groups!A:A,Groups!U:U)=1,'Base stats'!BB321,IF(OR(_xlfn.XLOOKUP(E321,Groups!A:A,Groups!BD:BD)=1,_xlfn.XLOOKUP(E321,Groups!A:A,Groups!U:U)=2),BD321,IF(_xlfn.XLOOKUP(B321,Animals!B:B,Animals!AO:AO)&gt;4,AVERAGE(BD321,BF321),BF321))))</f>
        <v>No</v>
      </c>
      <c r="BD321" s="8">
        <f t="shared" si="146"/>
        <v>1.5726540376384468</v>
      </c>
      <c r="BE321" s="8">
        <f>IF(_xlfn.XLOOKUP(E321,Groups!A:A,Groups!BE:BE)=1,(0.048*C321^1.01)+(0.071*C321^1.03),0.071*C321^1.03)/IF(_xlfn.XLOOKUP(E321,Groups!A:A,Groups!M:M)=1,0.85,IF(OR(_xlfn.XLOOKUP(B321,Animals!B:B,Animals!AO:AO)&gt;4,_xlfn.XLOOKUP(E321,Groups!A:A,Groups!BC:BC)=1),1.7,1))*C321^-0.25</f>
        <v>2.2709371282312283</v>
      </c>
      <c r="BF321" s="8">
        <f>(0.048*C321^1.01)/IF(_xlfn.XLOOKUP(E321,Groups!A:A,Groups!M:M)=1,0.25,0.8)*C321^-0.25</f>
        <v>1.7559398456675572</v>
      </c>
      <c r="BG321" s="8">
        <f>EXP(1.076*LN(AR321)-4.5397)*IF(_xlfn.XLOOKUP(E321,Groups!A:A,Groups!BC:BC)=1,1.25,IF(_xlfn.XLOOKUP(E321,Groups!A:A,Groups!BD:BD)=1,3.5,2.5))</f>
        <v>111.519562001875</v>
      </c>
      <c r="BH321" s="8">
        <f>EXP(1.076*LN(AS321)-4.5397)*IF(_xlfn.XLOOKUP(E321,Groups!A:A,Groups!M:M)=1,0.8,IF(_xlfn.XLOOKUP(E321,Groups!A:A,Groups!BC:BC)=1,1.3,3))</f>
        <v>141.67424219800927</v>
      </c>
      <c r="BI321" s="8" t="str">
        <f>IF(W321="No","No",IF(_xlfn.XLOOKUP(E321,Groups!A:A,Groups!U:U)=1,'Base stats'!BJ321,IF(OR(_xlfn.XLOOKUP(E321,Groups!A:A,Groups!BD:BD)=1,_xlfn.XLOOKUP(E321,Groups!A:A,Groups!U:U)=2),BG321,BH321))*1.2)</f>
        <v>No</v>
      </c>
      <c r="BJ321" s="8">
        <f>IFERROR(EXP(1.076*LN(AT321)-4.5397)*IF(_xlfn.XLOOKUP(E321,Groups!A:A,Groups!N:N)="Insect",1,IF(OR(_xlfn.XLOOKUP(E321,Groups!A:A,Groups!N:N)="Pig",_xlfn.XLOOKUP(E321,Groups!A:A,Groups!N:N)="StrongBitingHerbivore"),3.5,3.75)),"No")</f>
        <v>134.56618961878064</v>
      </c>
      <c r="BK321" s="8">
        <f t="shared" si="147"/>
        <v>11</v>
      </c>
      <c r="BL321" s="8">
        <f t="shared" si="148"/>
        <v>11</v>
      </c>
      <c r="BM321" s="8" t="str">
        <f t="shared" si="149"/>
        <v>No</v>
      </c>
      <c r="BN321" s="8">
        <f t="shared" si="150"/>
        <v>10</v>
      </c>
      <c r="BO321" s="8">
        <f t="shared" si="151"/>
        <v>12</v>
      </c>
      <c r="BP321" s="8" cm="1">
        <f t="array" ref="BP321">IF(AND(_xlfn.XLOOKUP('Base stats'!E321,Groups!A:A,Groups!AD:AD=0),_xlfn.XLOOKUP('Base stats'!E321,Groups!A:A,Groups!P:P=0)),"No",IF(U321="No",AVERAGE(EXP(-0.57+0.99*LN(C321)),EXP(0.32+0.67*LN(C321)))/IF(_xlfn.XLOOKUP(E321,Groups!A:A,Groups!AD:AD)=1,10,2),(0.7354*C321^0.4078)*2/IF(_xlfn.XLOOKUP(E321,Groups!A:A,Groups!BK:BK)=1,1000,100)/IF(_xlfn.XLOOKUP(E321,Groups!A:A,Groups!AJ:AJ)="Photonozoa",3,1)))</f>
        <v>9.0026560714011397E-2</v>
      </c>
      <c r="BQ321" s="8" t="str">
        <f>IF(W321="No","No",IF(_xlfn.XLOOKUP(E321,Groups!A:A,Groups!BD:BD)=1,(AO321*5%),EXP(0.7354*LN(C321)^0.4078)*2/IF(_xlfn.XLOOKUP(E321,Groups!A:A,Groups!BL:BL)=1,1000,100)/IF(_xlfn.XLOOKUP(E321,Groups!A:A,Groups!AJ:AJ)="Photonozoa",3,1)))</f>
        <v>No</v>
      </c>
      <c r="BR321" s="8">
        <f>IF(BJ321="No","No",IF(_xlfn.XLOOKUP(E321,Groups!A:A,Groups!BF:BF)=1,(0.0315*C321+2.1825)*2,(0.7354*C321^0.4078)*2)/IF(_xlfn.XLOOKUP(E321,Groups!A:A,Groups!BM:BM)=1,1000,100)/IF(_xlfn.XLOOKUP(E321,Groups!A:A,Groups!AJ:AJ)="Photonozoa",3,1))</f>
        <v>9.0026560714011397E-2</v>
      </c>
      <c r="BS321" s="8">
        <f t="shared" si="152"/>
        <v>0.11192723369369857</v>
      </c>
      <c r="BT321" s="8">
        <f t="shared" si="153"/>
        <v>1573.6938196280514</v>
      </c>
      <c r="BU321" s="8" t="str">
        <f t="shared" si="154"/>
        <v>No</v>
      </c>
      <c r="BV321" s="8">
        <f t="shared" si="155"/>
        <v>1494.7387587787441</v>
      </c>
      <c r="BW321" s="4">
        <v>0</v>
      </c>
      <c r="BX321" s="4">
        <v>1</v>
      </c>
    </row>
    <row r="322" spans="1:76" s="16" customFormat="1" x14ac:dyDescent="0.25">
      <c r="A322" s="26" t="s">
        <v>1502</v>
      </c>
      <c r="B322" s="6" t="s">
        <v>1661</v>
      </c>
      <c r="C322" s="7">
        <v>200</v>
      </c>
      <c r="D322" s="7" t="s">
        <v>528</v>
      </c>
      <c r="E322" s="7" t="str">
        <f>Groups!$A$11</f>
        <v>Bird (AGRESSIVE, SMART)</v>
      </c>
      <c r="F322" s="7" t="str">
        <f t="shared" ref="F322" si="162">"Lay eggs"</f>
        <v>Lay eggs</v>
      </c>
      <c r="G322" s="7">
        <v>2.8</v>
      </c>
      <c r="H322" s="7">
        <v>50</v>
      </c>
      <c r="I322" s="4">
        <v>0</v>
      </c>
      <c r="J322" s="7" t="str">
        <f t="shared" ref="J322" si="163">"Lay eggs"</f>
        <v>Lay eggs</v>
      </c>
      <c r="K322" s="7" t="s">
        <v>528</v>
      </c>
      <c r="L322" s="7">
        <f>($L$5*(C322/$C$5)^0.165)*1.3</f>
        <v>68.739944791456935</v>
      </c>
      <c r="M322" s="7" t="s">
        <v>528</v>
      </c>
      <c r="N322" s="4">
        <v>0</v>
      </c>
      <c r="O322" s="4">
        <v>0</v>
      </c>
      <c r="P322" s="4">
        <v>0</v>
      </c>
      <c r="Q322" s="4">
        <v>0</v>
      </c>
      <c r="R322" s="4" t="s">
        <v>40</v>
      </c>
      <c r="S322" s="7">
        <f>_xlfn.XLOOKUP(B322,[1]TeethAdjusters!$A:$A,[1]BiteAdjusters!$C:$C,1)</f>
        <v>1</v>
      </c>
      <c r="T322" s="7">
        <f>_xlfn.XLOOKUP(B322,[1]TeethAdjusters!$A:$A,[1]TeethAdjusters!$B:$B,1)</f>
        <v>1</v>
      </c>
      <c r="U322" s="7">
        <v>14</v>
      </c>
      <c r="V322" s="7">
        <v>16</v>
      </c>
      <c r="W322" s="7" t="str">
        <f>IF(_xlfn.XLOOKUP(E322,Groups!A:A,Groups!V:V)&lt;&gt;"No","Need a formula","No")</f>
        <v>No</v>
      </c>
      <c r="X322" s="7" t="s">
        <v>932</v>
      </c>
      <c r="Y322" s="4" t="s">
        <v>1003</v>
      </c>
      <c r="Z322" s="4">
        <v>1</v>
      </c>
      <c r="AA322" s="4">
        <v>0</v>
      </c>
      <c r="AB322" s="4">
        <v>0</v>
      </c>
      <c r="AC322" s="4">
        <v>0</v>
      </c>
      <c r="AD322" s="4">
        <v>0</v>
      </c>
      <c r="AE322" s="4" t="s">
        <v>45</v>
      </c>
      <c r="AF322" s="4" t="s">
        <v>311</v>
      </c>
      <c r="AG322" s="49" t="s">
        <v>375</v>
      </c>
      <c r="AH322" s="4" t="s">
        <v>45</v>
      </c>
      <c r="AI322" s="4">
        <v>1</v>
      </c>
      <c r="AJ322" s="4">
        <v>0</v>
      </c>
      <c r="AK322" s="4">
        <v>0</v>
      </c>
      <c r="AL322" s="4">
        <v>0</v>
      </c>
      <c r="AM322" s="4">
        <v>1</v>
      </c>
      <c r="AN322" s="44" t="s">
        <v>40</v>
      </c>
      <c r="AO322" s="8">
        <f t="shared" si="141"/>
        <v>34753.014052750754</v>
      </c>
      <c r="AP322" s="8">
        <f>IFERROR(C322*_xlfn.XLOOKUP(E322,Groups!A:A,Groups!K:K),0.106*C322^0.94)</f>
        <v>15.426736488345595</v>
      </c>
      <c r="AQ322" s="8">
        <f>AP322*10000/(_xlfn.XLOOKUP(E322,Groups!A:A,Groups!J:J)*AO322)</f>
        <v>4.0724436832674371</v>
      </c>
      <c r="AR322" s="8">
        <f t="shared" si="142"/>
        <v>4776.6210371506204</v>
      </c>
      <c r="AS322" s="8">
        <f>IF(_xlfn.XLOOKUP(E322,Groups!A:A,Groups!M:M)=1,EXP(0.7444*LN('Base stats'!C322)+6.5696),EXP(0.7927*LN('Base stats'!C322)+4.28))</f>
        <v>4817.3351295400244</v>
      </c>
      <c r="AT322" s="8">
        <f>IF(_xlfn.XLOOKUP(E322,Groups!A:A,Groups!N:N)="No","No",
IF(_xlfn.XLOOKUP(E322,Groups!A:A,Groups!N:N)="Crocodile",EXP(0.8129*LN(C322)+4.6742)*S322,
IF(_xlfn.XLOOKUP(E322,Groups!A:A,Groups!N:N)="Felid",EXP(0.7843*LN(C322)+4.7073)*S322,
IF(_xlfn.XLOOKUP(E322,Groups!A:A,Groups!N:N)="Canid",EXP(0.8367*LN(C322)+4.8763)*S322,
IF(_xlfn.XLOOKUP(E322,Groups!A:A,Groups!N:N)="Pig",EXP(0.3439*LN(C322)+6.8519)*S322,
IF(_xlfn.XLOOKUP(E322,Groups!A:A,Groups!N:N)="Rodent",EXP(0.5625*LN(C322)+4.3006)*S322,
IF(_xlfn.XLOOKUP(E322,Groups!A:A,Groups!N:N)="Primate",EXP(0.7847*LN(C322)+3.4931)*S322,
IF(_xlfn.XLOOKUP(E322,Groups!A:A,Groups!N:N)="MiscCarnivora",EXP(0.7486*LN(C322)+4.2207)*S322,
IF(_xlfn.XLOOKUP(E322,Groups!A:A,Groups!N:N)="Lizard",EXP(0.7733*LN(C322)+5.5303)*S322,
IF(_xlfn.XLOOKUP(E322,Groups!A:A,Groups!N:N)="Snake",50*C322^(2/3)*S322,
IF(_xlfn.XLOOKUP(E322,Groups!A:A,Groups!N:N)="StrongBitingHerbivore",87.1133638856975*C322^(2/3)*S322,
IF(_xlfn.XLOOKUP(E322,Groups!A:A,Groups!N:N)="MiscEctotherms",59.4316884072269*C322^(2/3)*S322,
IF(_xlfn.XLOOKUP(E322,Groups!A:A,Groups!N:N)="StrongBeakBird",0.041*(C322*1000)^1.375*S322,
IF(_xlfn.XLOOKUP(E322,Groups!A:A,Groups!N:N)="Bird",0.118*(C322*1000)^0.692*S322,
IF(_xlfn.XLOOKUP(E322,Groups!A:A,Groups!N:N)="Insect",EXP(0.7444*LN(C322)+6.5696)*S322,
IF(_xlfn.XLOOKUP(E322,Groups!A:A,Groups!N:N)="Theropod",EXP(0.6966*LN(C322)+4.158)*S322,
"No"))))))))))))))))</f>
        <v>549.787376989412</v>
      </c>
      <c r="AU322" s="8">
        <f>IF(_xlfn.XLOOKUP(E322,Groups!A:A,Groups!U:U)=3,AS322,IF(_xlfn.XLOOKUP(E322,Groups!A:A,Groups!U:U)=2,AR322,AT322))</f>
        <v>549.787376989412</v>
      </c>
      <c r="AV322" s="46">
        <f>IFERROR(AVERAGE(_xlfn.XLOOKUP(B322,Animals!B:B,Animals!N:N),_xlfn.XLOOKUP(B322,Animals!B:B,Animals!O:O)),0)</f>
        <v>0</v>
      </c>
      <c r="AW322" s="8">
        <f>MROUND(40*Animals!AO322*_xlfn.XLOOKUP(AG322,Leathers!$A$2:$A$99,Leathers!$B$2:$B$99,0)+(140*_xlfn.XLOOKUP(B322,Animals!B:B,Animals!AO:AO)*2),5)</f>
        <v>595</v>
      </c>
      <c r="AX322" s="8">
        <f>IFERROR(ROUND(SQRT(V322-1)*IF(_xlfn.XLOOKUP(E322,Groups!A:A,Groups!BF:BF)=0,2,1)*IF(_xlfn.XLOOKUP('Base stats'!E322,Groups!A:A,Groups!O:O)=0,1,0.1),1),0)</f>
        <v>0.4</v>
      </c>
      <c r="AY322" s="8">
        <f t="shared" si="143"/>
        <v>3.6</v>
      </c>
      <c r="AZ322" s="8">
        <f t="shared" si="144"/>
        <v>0</v>
      </c>
      <c r="BA322" s="8">
        <f t="shared" si="145"/>
        <v>5.3</v>
      </c>
      <c r="BB322" s="8">
        <f>IF(_xlfn.XLOOKUP(E322,Groups!A:A,Groups!N:N)="Insect",BD322*2.5,IFERROR(AVERAGE(BD322,AT322/9.81/IF(OR(_xlfn.XLOOKUP(E322,Groups!A:A,Groups!N:N)="Pig",_xlfn.XLOOKUP(E322,Groups!A:A,Groups!N:N)="StrongBitingHerbivore"),20,25))*C322^-0.135,BD322))</f>
        <v>1.0688790834839013</v>
      </c>
      <c r="BC322" s="8" t="str">
        <f>IF(W322="No","No",IF(_xlfn.XLOOKUP(E322,Groups!A:A,Groups!U:U)=1,'Base stats'!BB322,IF(OR(_xlfn.XLOOKUP(E322,Groups!A:A,Groups!BD:BD)=1,_xlfn.XLOOKUP(E322,Groups!A:A,Groups!U:U)=2),BD322,IF(_xlfn.XLOOKUP(B322,Animals!B:B,Animals!AO:AO)&gt;4,AVERAGE(BD322,BF322),BF322))))</f>
        <v>No</v>
      </c>
      <c r="BD322" s="8">
        <f t="shared" si="146"/>
        <v>2.1294266438436793</v>
      </c>
      <c r="BE322" s="8">
        <f>IF(_xlfn.XLOOKUP(E322,Groups!A:A,Groups!BE:BE)=1,(0.048*C322^1.01)+(0.071*C322^1.03),0.071*C322^1.03)/IF(_xlfn.XLOOKUP(E322,Groups!A:A,Groups!M:M)=1,0.85,IF(OR(_xlfn.XLOOKUP(B322,Animals!B:B,Animals!AO:AO)&gt;4,_xlfn.XLOOKUP(E322,Groups!A:A,Groups!BC:BC)=1),1.7,1))*C322^-0.25</f>
        <v>7.1181967724464226</v>
      </c>
      <c r="BF322" s="8">
        <f>(0.048*C322^1.01)/IF(_xlfn.XLOOKUP(E322,Groups!A:A,Groups!M:M)=1,0.25,0.8)*C322^-0.25</f>
        <v>3.3646046987127658</v>
      </c>
      <c r="BG322" s="8">
        <f>EXP(1.076*LN(AR322)-4.5397)*IF(_xlfn.XLOOKUP(E322,Groups!A:A,Groups!BC:BC)=1,1.25,IF(_xlfn.XLOOKUP(E322,Groups!A:A,Groups!BD:BD)=1,3.5,2.5))</f>
        <v>242.72097948417178</v>
      </c>
      <c r="BH322" s="8">
        <f>EXP(1.076*LN(AS322)-4.5397)*IF(_xlfn.XLOOKUP(E322,Groups!A:A,Groups!M:M)=1,0.8,IF(_xlfn.XLOOKUP(E322,Groups!A:A,Groups!BC:BC)=1,1.3,3))</f>
        <v>293.93735151357987</v>
      </c>
      <c r="BI322" s="8" t="str">
        <f>IF(W322="No","No",IF(_xlfn.XLOOKUP(E322,Groups!A:A,Groups!U:U)=1,'Base stats'!BJ322,IF(OR(_xlfn.XLOOKUP(E322,Groups!A:A,Groups!BD:BD)=1,_xlfn.XLOOKUP(E322,Groups!A:A,Groups!U:U)=2),BG322,BH322))*1.2)</f>
        <v>No</v>
      </c>
      <c r="BJ322" s="8">
        <f>IFERROR(EXP(1.076*LN(AT322)-4.5397)*IF(_xlfn.XLOOKUP(E322,Groups!A:A,Groups!N:N)="Insect",1,IF(OR(_xlfn.XLOOKUP(E322,Groups!A:A,Groups!N:N)="Pig",_xlfn.XLOOKUP(E322,Groups!A:A,Groups!N:N)="StrongBitingHerbivore"),3.5,3.75)),"No")</f>
        <v>35.556104556972485</v>
      </c>
      <c r="BK322" s="8">
        <f t="shared" si="147"/>
        <v>15</v>
      </c>
      <c r="BL322" s="8">
        <f t="shared" si="148"/>
        <v>9</v>
      </c>
      <c r="BM322" s="8" t="str">
        <f t="shared" si="149"/>
        <v>No</v>
      </c>
      <c r="BN322" s="8">
        <f t="shared" si="150"/>
        <v>8</v>
      </c>
      <c r="BO322" s="8">
        <f t="shared" si="151"/>
        <v>13</v>
      </c>
      <c r="BP322" s="8" cm="1">
        <f t="array" ref="BP322">IF(AND(_xlfn.XLOOKUP('Base stats'!E322,Groups!A:A,Groups!AD:AD=0),_xlfn.XLOOKUP('Base stats'!E322,Groups!A:A,Groups!P:P=0)),"No",IF(U322="No",AVERAGE(EXP(-0.57+0.99*LN(C322)),EXP(0.32+0.67*LN(C322)))/IF(_xlfn.XLOOKUP(E322,Groups!A:A,Groups!AD:AD)=1,10,2),(0.7354*C322^0.4078)*2/IF(_xlfn.XLOOKUP(E322,Groups!A:A,Groups!BK:BK)=1,1000,100)/IF(_xlfn.XLOOKUP(E322,Groups!A:A,Groups!AJ:AJ)="Photonozoa",3,1)))</f>
        <v>0.12761850520553555</v>
      </c>
      <c r="BQ322" s="8" t="str">
        <f>IF(W322="No","No",IF(_xlfn.XLOOKUP(E322,Groups!A:A,Groups!BD:BD)=1,(AO322*5%),EXP(0.7354*LN(C322)^0.4078)*2/IF(_xlfn.XLOOKUP(E322,Groups!A:A,Groups!BL:BL)=1,1000,100)/IF(_xlfn.XLOOKUP(E322,Groups!A:A,Groups!AJ:AJ)="Photonozoa",3,1)))</f>
        <v>No</v>
      </c>
      <c r="BR322" s="8">
        <f>IF(BJ322="No","No",IF(_xlfn.XLOOKUP(E322,Groups!A:A,Groups!BF:BF)=1,(0.0315*C322+2.1825)*2,(0.7354*C322^0.4078)*2)/IF(_xlfn.XLOOKUP(E322,Groups!A:A,Groups!BM:BM)=1,1000,100)/IF(_xlfn.XLOOKUP(E322,Groups!A:A,Groups!AJ:AJ)="Photonozoa",3,1))</f>
        <v>0.16965</v>
      </c>
      <c r="BS322" s="8">
        <f t="shared" si="152"/>
        <v>0.13968341227368164</v>
      </c>
      <c r="BT322" s="8">
        <f t="shared" si="153"/>
        <v>2303.2502303657297</v>
      </c>
      <c r="BU322" s="8" t="str">
        <f t="shared" si="154"/>
        <v>No</v>
      </c>
      <c r="BV322" s="8">
        <f t="shared" si="155"/>
        <v>209.58505485984372</v>
      </c>
      <c r="BW322" s="4">
        <v>0</v>
      </c>
      <c r="BX322" s="4">
        <v>1</v>
      </c>
    </row>
    <row r="323" spans="1:76" s="16" customFormat="1" x14ac:dyDescent="0.25">
      <c r="A323" s="26" t="s">
        <v>1518</v>
      </c>
      <c r="B323" s="6" t="s">
        <v>1669</v>
      </c>
      <c r="C323" s="7">
        <v>200</v>
      </c>
      <c r="D323" s="7" t="s">
        <v>528</v>
      </c>
      <c r="E323" s="7" t="str">
        <f>Groups!$A$11</f>
        <v>Bird (AGRESSIVE, SMART)</v>
      </c>
      <c r="F323" s="7" t="str">
        <f t="shared" ref="F323" si="164">"Lay eggs"</f>
        <v>Lay eggs</v>
      </c>
      <c r="G323" s="7">
        <v>2.8</v>
      </c>
      <c r="H323" s="7">
        <v>50</v>
      </c>
      <c r="I323" s="4">
        <v>0</v>
      </c>
      <c r="J323" s="7" t="str">
        <f t="shared" ref="J323" si="165">"Lay eggs"</f>
        <v>Lay eggs</v>
      </c>
      <c r="K323" s="7" t="s">
        <v>528</v>
      </c>
      <c r="L323" s="7">
        <f>($L$5*(C323/$C$5)^0.165)*1.3</f>
        <v>68.739944791456935</v>
      </c>
      <c r="M323" s="7" t="s">
        <v>528</v>
      </c>
      <c r="N323" s="4">
        <v>0</v>
      </c>
      <c r="O323" s="4">
        <v>0</v>
      </c>
      <c r="P323" s="4">
        <v>0</v>
      </c>
      <c r="Q323" s="4">
        <v>0</v>
      </c>
      <c r="R323" s="4" t="s">
        <v>40</v>
      </c>
      <c r="S323" s="7">
        <f>_xlfn.XLOOKUP(B323,[1]TeethAdjusters!$A:$A,[1]BiteAdjusters!$C:$C,1)</f>
        <v>1</v>
      </c>
      <c r="T323" s="7">
        <f>_xlfn.XLOOKUP(B323,[1]TeethAdjusters!$A:$A,[1]TeethAdjusters!$B:$B,1)</f>
        <v>1</v>
      </c>
      <c r="U323" s="7">
        <v>14</v>
      </c>
      <c r="V323" s="7">
        <v>16</v>
      </c>
      <c r="W323" s="7" t="str">
        <f>IF(_xlfn.XLOOKUP(E323,Groups!A:A,Groups!V:V)&lt;&gt;"No","Need a formula","No")</f>
        <v>No</v>
      </c>
      <c r="X323" s="7" t="s">
        <v>932</v>
      </c>
      <c r="Y323" s="4" t="s">
        <v>1003</v>
      </c>
      <c r="Z323" s="4">
        <v>1</v>
      </c>
      <c r="AA323" s="4">
        <v>0</v>
      </c>
      <c r="AB323" s="4">
        <v>0</v>
      </c>
      <c r="AC323" s="4">
        <v>0</v>
      </c>
      <c r="AD323" s="4">
        <v>0</v>
      </c>
      <c r="AE323" s="4" t="s">
        <v>45</v>
      </c>
      <c r="AF323" s="4" t="s">
        <v>311</v>
      </c>
      <c r="AG323" s="49" t="s">
        <v>375</v>
      </c>
      <c r="AH323" s="4" t="str">
        <f>Animals!$C$295</f>
        <v>&lt;li&gt;AA_MeadowAve&lt;/li&gt;</v>
      </c>
      <c r="AI323" s="4">
        <v>1</v>
      </c>
      <c r="AJ323" s="4">
        <v>0</v>
      </c>
      <c r="AK323" s="4">
        <v>0</v>
      </c>
      <c r="AL323" s="4">
        <v>0</v>
      </c>
      <c r="AM323" s="4">
        <v>1</v>
      </c>
      <c r="AN323" s="44" t="s">
        <v>40</v>
      </c>
      <c r="AO323" s="8">
        <f t="shared" ref="AO323:AO365" si="166">(0.111*C323^0.65)*10000</f>
        <v>34753.014052750754</v>
      </c>
      <c r="AP323" s="8">
        <f>IFERROR(C323*_xlfn.XLOOKUP(E323,Groups!A:A,Groups!K:K),0.106*C323^0.94)</f>
        <v>15.426736488345595</v>
      </c>
      <c r="AQ323" s="8">
        <f>AP323*10000/(_xlfn.XLOOKUP(E323,Groups!A:A,Groups!J:J)*AO323)</f>
        <v>4.0724436832674371</v>
      </c>
      <c r="AR323" s="8">
        <f t="shared" ref="AR323:AR365" si="167">EXP(0.8447*LN(C323)+3.996)</f>
        <v>4776.6210371506204</v>
      </c>
      <c r="AS323" s="8">
        <f>IF(_xlfn.XLOOKUP(E323,Groups!A:A,Groups!M:M)=1,EXP(0.7444*LN('Base stats'!C323)+6.5696),EXP(0.7927*LN('Base stats'!C323)+4.28))</f>
        <v>4817.3351295400244</v>
      </c>
      <c r="AT323" s="8">
        <f>IF(_xlfn.XLOOKUP(E323,Groups!A:A,Groups!N:N)="No","No",
IF(_xlfn.XLOOKUP(E323,Groups!A:A,Groups!N:N)="Crocodile",EXP(0.8129*LN(C323)+4.6742)*S323,
IF(_xlfn.XLOOKUP(E323,Groups!A:A,Groups!N:N)="Felid",EXP(0.7843*LN(C323)+4.7073)*S323,
IF(_xlfn.XLOOKUP(E323,Groups!A:A,Groups!N:N)="Canid",EXP(0.8367*LN(C323)+4.8763)*S323,
IF(_xlfn.XLOOKUP(E323,Groups!A:A,Groups!N:N)="Pig",EXP(0.3439*LN(C323)+6.8519)*S323,
IF(_xlfn.XLOOKUP(E323,Groups!A:A,Groups!N:N)="Rodent",EXP(0.5625*LN(C323)+4.3006)*S323,
IF(_xlfn.XLOOKUP(E323,Groups!A:A,Groups!N:N)="Primate",EXP(0.7847*LN(C323)+3.4931)*S323,
IF(_xlfn.XLOOKUP(E323,Groups!A:A,Groups!N:N)="MiscCarnivora",EXP(0.7486*LN(C323)+4.2207)*S323,
IF(_xlfn.XLOOKUP(E323,Groups!A:A,Groups!N:N)="Lizard",EXP(0.7733*LN(C323)+5.5303)*S323,
IF(_xlfn.XLOOKUP(E323,Groups!A:A,Groups!N:N)="Snake",50*C323^(2/3)*S323,
IF(_xlfn.XLOOKUP(E323,Groups!A:A,Groups!N:N)="StrongBitingHerbivore",87.1133638856975*C323^(2/3)*S323,
IF(_xlfn.XLOOKUP(E323,Groups!A:A,Groups!N:N)="MiscEctotherms",59.4316884072269*C323^(2/3)*S323,
IF(_xlfn.XLOOKUP(E323,Groups!A:A,Groups!N:N)="StrongBeakBird",0.041*(C323*1000)^1.375*S323,
IF(_xlfn.XLOOKUP(E323,Groups!A:A,Groups!N:N)="Bird",0.118*(C323*1000)^0.692*S323,
IF(_xlfn.XLOOKUP(E323,Groups!A:A,Groups!N:N)="Insect",EXP(0.7444*LN(C323)+6.5696)*S323,
IF(_xlfn.XLOOKUP(E323,Groups!A:A,Groups!N:N)="Theropod",EXP(0.6966*LN(C323)+4.158)*S323,
"No"))))))))))))))))</f>
        <v>549.787376989412</v>
      </c>
      <c r="AU323" s="8">
        <f>IF(_xlfn.XLOOKUP(E323,Groups!A:A,Groups!U:U)=3,AS323,IF(_xlfn.XLOOKUP(E323,Groups!A:A,Groups!U:U)=2,AR323,AT323))</f>
        <v>549.787376989412</v>
      </c>
      <c r="AV323" s="46">
        <f>IFERROR(AVERAGE(_xlfn.XLOOKUP(B323,Animals!B:B,Animals!N:N),_xlfn.XLOOKUP(B323,Animals!B:B,Animals!O:O)),0)</f>
        <v>0</v>
      </c>
      <c r="AW323" s="8">
        <f>MROUND(40*Animals!AO323*_xlfn.XLOOKUP(AG323,Leathers!$A$2:$A$99,Leathers!$B$2:$B$99,0)+(140*_xlfn.XLOOKUP(B323,Animals!B:B,Animals!AO:AO)*2),5)</f>
        <v>635</v>
      </c>
      <c r="AX323" s="8">
        <f>IFERROR(ROUND(SQRT(V323-1)*IF(_xlfn.XLOOKUP(E323,Groups!A:A,Groups!BF:BF)=0,2,1)*IF(_xlfn.XLOOKUP('Base stats'!E323,Groups!A:A,Groups!O:O)=0,1,0.1),1),0)</f>
        <v>0.4</v>
      </c>
      <c r="AY323" s="8">
        <f t="shared" ref="AY323:AY365" si="168">IFERROR(ROUND(SQRT(U323-1),1),0)</f>
        <v>3.6</v>
      </c>
      <c r="AZ323" s="8">
        <f t="shared" ref="AZ323:AZ365" si="169">IFERROR(ROUND(SQRT(W323),1),0)</f>
        <v>0</v>
      </c>
      <c r="BA323" s="8">
        <f t="shared" ref="BA323:BA365" si="170">ROUND(
  EXP(0.3582*LN(C323)-0.2221) *
  (0.75 + 0.25*(C323^4/(C323^4+10^4))),
1)</f>
        <v>5.3</v>
      </c>
      <c r="BB323" s="8">
        <f>IF(_xlfn.XLOOKUP(E323,Groups!A:A,Groups!N:N)="Insect",BD323*2.5,IFERROR(AVERAGE(BD323,AT323/9.81/IF(OR(_xlfn.XLOOKUP(E323,Groups!A:A,Groups!N:N)="Pig",_xlfn.XLOOKUP(E323,Groups!A:A,Groups!N:N)="StrongBitingHerbivore"),20,25))*C323^-0.135,BD323))</f>
        <v>1.0688790834839013</v>
      </c>
      <c r="BC323" s="8" t="str">
        <f>IF(W323="No","No",IF(_xlfn.XLOOKUP(E323,Groups!A:A,Groups!U:U)=1,'Base stats'!BB323,IF(OR(_xlfn.XLOOKUP(E323,Groups!A:A,Groups!BD:BD)=1,_xlfn.XLOOKUP(E323,Groups!A:A,Groups!U:U)=2),BD323,IF(_xlfn.XLOOKUP(B323,Animals!B:B,Animals!AO:AO)&gt;4,AVERAGE(BD323,BF323),BF323))))</f>
        <v>No</v>
      </c>
      <c r="BD323" s="8">
        <f t="shared" ref="BD323:BD365" si="171">(0.0392*C323^IF(OR(Y323="Herbivore",Y323="Dendrovore",Y323="OmnivoreRough"),0.889,0.966))*C323^-0.135</f>
        <v>2.1294266438436793</v>
      </c>
      <c r="BE323" s="8">
        <f>IF(_xlfn.XLOOKUP(E323,Groups!A:A,Groups!BE:BE)=1,(0.048*C323^1.01)+(0.071*C323^1.03),0.071*C323^1.03)/IF(_xlfn.XLOOKUP(E323,Groups!A:A,Groups!M:M)=1,0.85,IF(OR(_xlfn.XLOOKUP(B323,Animals!B:B,Animals!AO:AO)&gt;4,_xlfn.XLOOKUP(E323,Groups!A:A,Groups!BC:BC)=1),1.7,1))*C323^-0.25</f>
        <v>7.1181967724464226</v>
      </c>
      <c r="BF323" s="8">
        <f>(0.048*C323^1.01)/IF(_xlfn.XLOOKUP(E323,Groups!A:A,Groups!M:M)=1,0.25,0.8)*C323^-0.25</f>
        <v>3.3646046987127658</v>
      </c>
      <c r="BG323" s="8">
        <f>EXP(1.076*LN(AR323)-4.5397)*IF(_xlfn.XLOOKUP(E323,Groups!A:A,Groups!BC:BC)=1,1.25,IF(_xlfn.XLOOKUP(E323,Groups!A:A,Groups!BD:BD)=1,3.5,2.5))</f>
        <v>242.72097948417178</v>
      </c>
      <c r="BH323" s="8">
        <f>EXP(1.076*LN(AS323)-4.5397)*IF(_xlfn.XLOOKUP(E323,Groups!A:A,Groups!M:M)=1,0.8,IF(_xlfn.XLOOKUP(E323,Groups!A:A,Groups!BC:BC)=1,1.3,3))</f>
        <v>293.93735151357987</v>
      </c>
      <c r="BI323" s="8" t="str">
        <f>IF(W323="No","No",IF(_xlfn.XLOOKUP(E323,Groups!A:A,Groups!U:U)=1,'Base stats'!BJ323,IF(OR(_xlfn.XLOOKUP(E323,Groups!A:A,Groups!BD:BD)=1,_xlfn.XLOOKUP(E323,Groups!A:A,Groups!U:U)=2),BG323,BH323))*1.2)</f>
        <v>No</v>
      </c>
      <c r="BJ323" s="8">
        <f>IFERROR(EXP(1.076*LN(AT323)-4.5397)*IF(_xlfn.XLOOKUP(E323,Groups!A:A,Groups!N:N)="Insect",1,IF(OR(_xlfn.XLOOKUP(E323,Groups!A:A,Groups!N:N)="Pig",_xlfn.XLOOKUP(E323,Groups!A:A,Groups!N:N)="StrongBitingHerbivore"),3.5,3.75)),"No")</f>
        <v>35.556104556972485</v>
      </c>
      <c r="BK323" s="8">
        <f t="shared" ref="BK323:BK365" si="172">ROUNDDOWN(SQRT((2*BG323)/BD323),0)</f>
        <v>15</v>
      </c>
      <c r="BL323" s="8">
        <f t="shared" ref="BL323:BL365" si="173">ROUNDDOWN(SQRT((2*BH323)/BE323),0)</f>
        <v>9</v>
      </c>
      <c r="BM323" s="8" t="str">
        <f t="shared" ref="BM323:BM365" si="174">IF(W323="No","No",ROUNDDOWN(SQRT((2*BI323)/BC323),0))</f>
        <v>No</v>
      </c>
      <c r="BN323" s="8">
        <f t="shared" ref="BN323:BN365" si="175">IF(V323="No","No",ROUNDDOWN(SQRT((2*BJ323)/BB323),0))</f>
        <v>8</v>
      </c>
      <c r="BO323" s="8">
        <f t="shared" ref="BO323:BO365" si="176">ROUNDDOWN(SQRT((2*BH323)/BF323),0)</f>
        <v>13</v>
      </c>
      <c r="BP323" s="8" cm="1">
        <f t="array" ref="BP323">IF(AND(_xlfn.XLOOKUP('Base stats'!E323,Groups!A:A,Groups!AD:AD=0),_xlfn.XLOOKUP('Base stats'!E323,Groups!A:A,Groups!P:P=0)),"No",IF(U323="No",AVERAGE(EXP(-0.57+0.99*LN(C323)),EXP(0.32+0.67*LN(C323)))/IF(_xlfn.XLOOKUP(E323,Groups!A:A,Groups!AD:AD)=1,10,2),(0.7354*C323^0.4078)*2/IF(_xlfn.XLOOKUP(E323,Groups!A:A,Groups!BK:BK)=1,1000,100)/IF(_xlfn.XLOOKUP(E323,Groups!A:A,Groups!AJ:AJ)="Photonozoa",3,1)))</f>
        <v>0.12761850520553555</v>
      </c>
      <c r="BQ323" s="8" t="str">
        <f>IF(W323="No","No",IF(_xlfn.XLOOKUP(E323,Groups!A:A,Groups!BD:BD)=1,(AO323*5%),EXP(0.7354*LN(C323)^0.4078)*2/IF(_xlfn.XLOOKUP(E323,Groups!A:A,Groups!BL:BL)=1,1000,100)/IF(_xlfn.XLOOKUP(E323,Groups!A:A,Groups!AJ:AJ)="Photonozoa",3,1)))</f>
        <v>No</v>
      </c>
      <c r="BR323" s="8">
        <f>IF(BJ323="No","No",IF(_xlfn.XLOOKUP(E323,Groups!A:A,Groups!BF:BF)=1,(0.0315*C323+2.1825)*2,(0.7354*C323^0.4078)*2)/IF(_xlfn.XLOOKUP(E323,Groups!A:A,Groups!BM:BM)=1,1000,100)/IF(_xlfn.XLOOKUP(E323,Groups!A:A,Groups!AJ:AJ)="Photonozoa",3,1))</f>
        <v>0.16965</v>
      </c>
      <c r="BS323" s="8">
        <f t="shared" ref="BS323:BS365" si="177">BG323/(AO323*5%)</f>
        <v>0.13968341227368164</v>
      </c>
      <c r="BT323" s="8">
        <f t="shared" ref="BT323:BT365" si="178">IF(BP323="No","No",BH323/BP323)</f>
        <v>2303.2502303657297</v>
      </c>
      <c r="BU323" s="8" t="str">
        <f t="shared" ref="BU323:BU365" si="179">IF(W323="No","No",BI323/BQ323)</f>
        <v>No</v>
      </c>
      <c r="BV323" s="8">
        <f t="shared" ref="BV323:BV365" si="180">IF(BJ323="No","No",BJ323/BR323)</f>
        <v>209.58505485984372</v>
      </c>
      <c r="BW323" s="4">
        <v>0</v>
      </c>
      <c r="BX323" s="4">
        <v>1</v>
      </c>
    </row>
    <row r="324" spans="1:76" s="16" customFormat="1" x14ac:dyDescent="0.25">
      <c r="A324" s="26" t="s">
        <v>1558</v>
      </c>
      <c r="B324" s="6" t="s">
        <v>1682</v>
      </c>
      <c r="C324" s="7">
        <v>200</v>
      </c>
      <c r="D324" s="7" t="s">
        <v>528</v>
      </c>
      <c r="E324" s="7" t="str">
        <f>Groups!$A$11</f>
        <v>Bird (AGRESSIVE, SMART)</v>
      </c>
      <c r="F324" s="7" t="str">
        <f t="shared" ref="F324" si="181">"Lay eggs"</f>
        <v>Lay eggs</v>
      </c>
      <c r="G324" s="7">
        <v>2.8</v>
      </c>
      <c r="H324" s="7">
        <v>50</v>
      </c>
      <c r="I324" s="4">
        <v>0</v>
      </c>
      <c r="J324" s="7" t="str">
        <f t="shared" ref="J324" si="182">"Lay eggs"</f>
        <v>Lay eggs</v>
      </c>
      <c r="K324" s="7" t="s">
        <v>528</v>
      </c>
      <c r="L324" s="7">
        <f>($L$5*(C324/$C$5)^0.165)*1.3</f>
        <v>68.739944791456935</v>
      </c>
      <c r="M324" s="7" t="s">
        <v>528</v>
      </c>
      <c r="N324" s="4">
        <v>0</v>
      </c>
      <c r="O324" s="4">
        <v>0</v>
      </c>
      <c r="P324" s="4">
        <v>0</v>
      </c>
      <c r="Q324" s="4">
        <v>0</v>
      </c>
      <c r="R324" s="4" t="s">
        <v>40</v>
      </c>
      <c r="S324" s="7">
        <f>_xlfn.XLOOKUP(B324,[1]TeethAdjusters!$A:$A,[1]BiteAdjusters!$C:$C,1)</f>
        <v>1</v>
      </c>
      <c r="T324" s="7">
        <f>_xlfn.XLOOKUP(B324,[1]TeethAdjusters!$A:$A,[1]TeethAdjusters!$B:$B,1)</f>
        <v>1</v>
      </c>
      <c r="U324" s="7">
        <v>14</v>
      </c>
      <c r="V324" s="7">
        <v>16</v>
      </c>
      <c r="W324" s="7" t="str">
        <f>IF(_xlfn.XLOOKUP(E324,Groups!A:A,Groups!V:V)&lt;&gt;"No","Need a formula","No")</f>
        <v>No</v>
      </c>
      <c r="X324" s="7" t="s">
        <v>932</v>
      </c>
      <c r="Y324" s="4" t="s">
        <v>1003</v>
      </c>
      <c r="Z324" s="4">
        <v>1</v>
      </c>
      <c r="AA324" s="4">
        <v>0</v>
      </c>
      <c r="AB324" s="4">
        <v>0</v>
      </c>
      <c r="AC324" s="4">
        <v>0</v>
      </c>
      <c r="AD324" s="4">
        <v>0</v>
      </c>
      <c r="AE324" s="4" t="s">
        <v>45</v>
      </c>
      <c r="AF324" s="4" t="s">
        <v>311</v>
      </c>
      <c r="AG324" s="49" t="s">
        <v>375</v>
      </c>
      <c r="AH324" s="4" t="str">
        <f>Animals!$C$295</f>
        <v>&lt;li&gt;AA_MeadowAve&lt;/li&gt;</v>
      </c>
      <c r="AI324" s="4">
        <v>1</v>
      </c>
      <c r="AJ324" s="4">
        <v>0</v>
      </c>
      <c r="AK324" s="4">
        <v>0</v>
      </c>
      <c r="AL324" s="4">
        <v>0</v>
      </c>
      <c r="AM324" s="4">
        <v>1</v>
      </c>
      <c r="AN324" s="44" t="s">
        <v>40</v>
      </c>
      <c r="AO324" s="8">
        <f t="shared" si="166"/>
        <v>34753.014052750754</v>
      </c>
      <c r="AP324" s="8">
        <f>IFERROR(C324*_xlfn.XLOOKUP(E324,Groups!A:A,Groups!K:K),0.106*C324^0.94)</f>
        <v>15.426736488345595</v>
      </c>
      <c r="AQ324" s="8">
        <f>AP324*10000/(_xlfn.XLOOKUP(E324,Groups!A:A,Groups!J:J)*AO324)</f>
        <v>4.0724436832674371</v>
      </c>
      <c r="AR324" s="8">
        <f t="shared" si="167"/>
        <v>4776.6210371506204</v>
      </c>
      <c r="AS324" s="8">
        <f>IF(_xlfn.XLOOKUP(E324,Groups!A:A,Groups!M:M)=1,EXP(0.7444*LN('Base stats'!C324)+6.5696),EXP(0.7927*LN('Base stats'!C324)+4.28))</f>
        <v>4817.3351295400244</v>
      </c>
      <c r="AT324" s="8">
        <f>IF(_xlfn.XLOOKUP(E324,Groups!A:A,Groups!N:N)="No","No",
IF(_xlfn.XLOOKUP(E324,Groups!A:A,Groups!N:N)="Crocodile",EXP(0.8129*LN(C324)+4.6742)*S324,
IF(_xlfn.XLOOKUP(E324,Groups!A:A,Groups!N:N)="Felid",EXP(0.7843*LN(C324)+4.7073)*S324,
IF(_xlfn.XLOOKUP(E324,Groups!A:A,Groups!N:N)="Canid",EXP(0.8367*LN(C324)+4.8763)*S324,
IF(_xlfn.XLOOKUP(E324,Groups!A:A,Groups!N:N)="Pig",EXP(0.3439*LN(C324)+6.8519)*S324,
IF(_xlfn.XLOOKUP(E324,Groups!A:A,Groups!N:N)="Rodent",EXP(0.5625*LN(C324)+4.3006)*S324,
IF(_xlfn.XLOOKUP(E324,Groups!A:A,Groups!N:N)="Primate",EXP(0.7847*LN(C324)+3.4931)*S324,
IF(_xlfn.XLOOKUP(E324,Groups!A:A,Groups!N:N)="MiscCarnivora",EXP(0.7486*LN(C324)+4.2207)*S324,
IF(_xlfn.XLOOKUP(E324,Groups!A:A,Groups!N:N)="Lizard",EXP(0.7733*LN(C324)+5.5303)*S324,
IF(_xlfn.XLOOKUP(E324,Groups!A:A,Groups!N:N)="Snake",50*C324^(2/3)*S324,
IF(_xlfn.XLOOKUP(E324,Groups!A:A,Groups!N:N)="StrongBitingHerbivore",87.1133638856975*C324^(2/3)*S324,
IF(_xlfn.XLOOKUP(E324,Groups!A:A,Groups!N:N)="MiscEctotherms",59.4316884072269*C324^(2/3)*S324,
IF(_xlfn.XLOOKUP(E324,Groups!A:A,Groups!N:N)="StrongBeakBird",0.041*(C324*1000)^1.375*S324,
IF(_xlfn.XLOOKUP(E324,Groups!A:A,Groups!N:N)="Bird",0.118*(C324*1000)^0.692*S324,
IF(_xlfn.XLOOKUP(E324,Groups!A:A,Groups!N:N)="Insect",EXP(0.7444*LN(C324)+6.5696)*S324,
IF(_xlfn.XLOOKUP(E324,Groups!A:A,Groups!N:N)="Theropod",EXP(0.6966*LN(C324)+4.158)*S324,
"No"))))))))))))))))</f>
        <v>549.787376989412</v>
      </c>
      <c r="AU324" s="8">
        <f>IF(_xlfn.XLOOKUP(E324,Groups!A:A,Groups!U:U)=3,AS324,IF(_xlfn.XLOOKUP(E324,Groups!A:A,Groups!U:U)=2,AR324,AT324))</f>
        <v>549.787376989412</v>
      </c>
      <c r="AV324" s="46">
        <f>IFERROR(AVERAGE(_xlfn.XLOOKUP(B324,Animals!B:B,Animals!N:N),_xlfn.XLOOKUP(B324,Animals!B:B,Animals!O:O)),0)</f>
        <v>0</v>
      </c>
      <c r="AW324" s="8">
        <f>MROUND(40*Animals!AO324*_xlfn.XLOOKUP(AG324,Leathers!$A$2:$A$99,Leathers!$B$2:$B$99,0)+(140*_xlfn.XLOOKUP(B324,Animals!B:B,Animals!AO:AO)*2),5)</f>
        <v>665</v>
      </c>
      <c r="AX324" s="8">
        <f>IFERROR(ROUND(SQRT(V324-1)*IF(_xlfn.XLOOKUP(E324,Groups!A:A,Groups!BF:BF)=0,2,1)*IF(_xlfn.XLOOKUP('Base stats'!E324,Groups!A:A,Groups!O:O)=0,1,0.1),1),0)</f>
        <v>0.4</v>
      </c>
      <c r="AY324" s="8">
        <f t="shared" si="168"/>
        <v>3.6</v>
      </c>
      <c r="AZ324" s="8">
        <f t="shared" si="169"/>
        <v>0</v>
      </c>
      <c r="BA324" s="8">
        <f t="shared" si="170"/>
        <v>5.3</v>
      </c>
      <c r="BB324" s="8">
        <f>IF(_xlfn.XLOOKUP(E324,Groups!A:A,Groups!N:N)="Insect",BD324*2.5,IFERROR(AVERAGE(BD324,AT324/9.81/IF(OR(_xlfn.XLOOKUP(E324,Groups!A:A,Groups!N:N)="Pig",_xlfn.XLOOKUP(E324,Groups!A:A,Groups!N:N)="StrongBitingHerbivore"),20,25))*C324^-0.135,BD324))</f>
        <v>1.0688790834839013</v>
      </c>
      <c r="BC324" s="8" t="str">
        <f>IF(W324="No","No",IF(_xlfn.XLOOKUP(E324,Groups!A:A,Groups!U:U)=1,'Base stats'!BB324,IF(OR(_xlfn.XLOOKUP(E324,Groups!A:A,Groups!BD:BD)=1,_xlfn.XLOOKUP(E324,Groups!A:A,Groups!U:U)=2),BD324,IF(_xlfn.XLOOKUP(B324,Animals!B:B,Animals!AO:AO)&gt;4,AVERAGE(BD324,BF324),BF324))))</f>
        <v>No</v>
      </c>
      <c r="BD324" s="8">
        <f t="shared" si="171"/>
        <v>2.1294266438436793</v>
      </c>
      <c r="BE324" s="8">
        <f>IF(_xlfn.XLOOKUP(E324,Groups!A:A,Groups!BE:BE)=1,(0.048*C324^1.01)+(0.071*C324^1.03),0.071*C324^1.03)/IF(_xlfn.XLOOKUP(E324,Groups!A:A,Groups!M:M)=1,0.85,IF(OR(_xlfn.XLOOKUP(B324,Animals!B:B,Animals!AO:AO)&gt;4,_xlfn.XLOOKUP(E324,Groups!A:A,Groups!BC:BC)=1),1.7,1))*C324^-0.25</f>
        <v>7.1181967724464226</v>
      </c>
      <c r="BF324" s="8">
        <f>(0.048*C324^1.01)/IF(_xlfn.XLOOKUP(E324,Groups!A:A,Groups!M:M)=1,0.25,0.8)*C324^-0.25</f>
        <v>3.3646046987127658</v>
      </c>
      <c r="BG324" s="8">
        <f>EXP(1.076*LN(AR324)-4.5397)*IF(_xlfn.XLOOKUP(E324,Groups!A:A,Groups!BC:BC)=1,1.25,IF(_xlfn.XLOOKUP(E324,Groups!A:A,Groups!BD:BD)=1,3.5,2.5))</f>
        <v>242.72097948417178</v>
      </c>
      <c r="BH324" s="8">
        <f>EXP(1.076*LN(AS324)-4.5397)*IF(_xlfn.XLOOKUP(E324,Groups!A:A,Groups!M:M)=1,0.8,IF(_xlfn.XLOOKUP(E324,Groups!A:A,Groups!BC:BC)=1,1.3,3))</f>
        <v>293.93735151357987</v>
      </c>
      <c r="BI324" s="8" t="str">
        <f>IF(W324="No","No",IF(_xlfn.XLOOKUP(E324,Groups!A:A,Groups!U:U)=1,'Base stats'!BJ324,IF(OR(_xlfn.XLOOKUP(E324,Groups!A:A,Groups!BD:BD)=1,_xlfn.XLOOKUP(E324,Groups!A:A,Groups!U:U)=2),BG324,BH324))*1.2)</f>
        <v>No</v>
      </c>
      <c r="BJ324" s="8">
        <f>IFERROR(EXP(1.076*LN(AT324)-4.5397)*IF(_xlfn.XLOOKUP(E324,Groups!A:A,Groups!N:N)="Insect",1,IF(OR(_xlfn.XLOOKUP(E324,Groups!A:A,Groups!N:N)="Pig",_xlfn.XLOOKUP(E324,Groups!A:A,Groups!N:N)="StrongBitingHerbivore"),3.5,3.75)),"No")</f>
        <v>35.556104556972485</v>
      </c>
      <c r="BK324" s="8">
        <f t="shared" si="172"/>
        <v>15</v>
      </c>
      <c r="BL324" s="8">
        <f t="shared" si="173"/>
        <v>9</v>
      </c>
      <c r="BM324" s="8" t="str">
        <f t="shared" si="174"/>
        <v>No</v>
      </c>
      <c r="BN324" s="8">
        <f t="shared" si="175"/>
        <v>8</v>
      </c>
      <c r="BO324" s="8">
        <f t="shared" si="176"/>
        <v>13</v>
      </c>
      <c r="BP324" s="8" cm="1">
        <f t="array" ref="BP324">IF(AND(_xlfn.XLOOKUP('Base stats'!E324,Groups!A:A,Groups!AD:AD=0),_xlfn.XLOOKUP('Base stats'!E324,Groups!A:A,Groups!P:P=0)),"No",IF(U324="No",AVERAGE(EXP(-0.57+0.99*LN(C324)),EXP(0.32+0.67*LN(C324)))/IF(_xlfn.XLOOKUP(E324,Groups!A:A,Groups!AD:AD)=1,10,2),(0.7354*C324^0.4078)*2/IF(_xlfn.XLOOKUP(E324,Groups!A:A,Groups!BK:BK)=1,1000,100)/IF(_xlfn.XLOOKUP(E324,Groups!A:A,Groups!AJ:AJ)="Photonozoa",3,1)))</f>
        <v>0.12761850520553555</v>
      </c>
      <c r="BQ324" s="8" t="str">
        <f>IF(W324="No","No",IF(_xlfn.XLOOKUP(E324,Groups!A:A,Groups!BD:BD)=1,(AO324*5%),EXP(0.7354*LN(C324)^0.4078)*2/IF(_xlfn.XLOOKUP(E324,Groups!A:A,Groups!BL:BL)=1,1000,100)/IF(_xlfn.XLOOKUP(E324,Groups!A:A,Groups!AJ:AJ)="Photonozoa",3,1)))</f>
        <v>No</v>
      </c>
      <c r="BR324" s="8">
        <f>IF(BJ324="No","No",IF(_xlfn.XLOOKUP(E324,Groups!A:A,Groups!BF:BF)=1,(0.0315*C324+2.1825)*2,(0.7354*C324^0.4078)*2)/IF(_xlfn.XLOOKUP(E324,Groups!A:A,Groups!BM:BM)=1,1000,100)/IF(_xlfn.XLOOKUP(E324,Groups!A:A,Groups!AJ:AJ)="Photonozoa",3,1))</f>
        <v>0.16965</v>
      </c>
      <c r="BS324" s="8">
        <f t="shared" si="177"/>
        <v>0.13968341227368164</v>
      </c>
      <c r="BT324" s="8">
        <f t="shared" si="178"/>
        <v>2303.2502303657297</v>
      </c>
      <c r="BU324" s="8" t="str">
        <f t="shared" si="179"/>
        <v>No</v>
      </c>
      <c r="BV324" s="8">
        <f t="shared" si="180"/>
        <v>209.58505485984372</v>
      </c>
      <c r="BW324" s="4">
        <v>0</v>
      </c>
      <c r="BX324" s="4">
        <v>1</v>
      </c>
    </row>
    <row r="325" spans="1:76" s="16" customFormat="1" x14ac:dyDescent="0.25">
      <c r="A325" s="26" t="s">
        <v>1452</v>
      </c>
      <c r="B325" s="6" t="s">
        <v>1644</v>
      </c>
      <c r="C325" s="7">
        <v>200</v>
      </c>
      <c r="D325" s="7" t="s">
        <v>528</v>
      </c>
      <c r="E325" s="7" t="str">
        <f>Groups!$A$11</f>
        <v>Bird (AGRESSIVE, SMART)</v>
      </c>
      <c r="F325" s="7" t="str">
        <f t="shared" ref="F325" si="183">"Lay eggs"</f>
        <v>Lay eggs</v>
      </c>
      <c r="G325" s="7">
        <v>2.8</v>
      </c>
      <c r="H325" s="7">
        <v>50</v>
      </c>
      <c r="I325" s="4">
        <v>0</v>
      </c>
      <c r="J325" s="7" t="str">
        <f t="shared" ref="J325" si="184">"Lay eggs"</f>
        <v>Lay eggs</v>
      </c>
      <c r="K325" s="7" t="s">
        <v>528</v>
      </c>
      <c r="L325" s="7">
        <f>($L$5*(C325/$C$5)^0.165)*1.3</f>
        <v>68.739944791456935</v>
      </c>
      <c r="M325" s="7" t="s">
        <v>528</v>
      </c>
      <c r="N325" s="4">
        <v>0</v>
      </c>
      <c r="O325" s="4">
        <v>0</v>
      </c>
      <c r="P325" s="4">
        <v>0</v>
      </c>
      <c r="Q325" s="4">
        <v>0</v>
      </c>
      <c r="R325" s="4" t="s">
        <v>40</v>
      </c>
      <c r="S325" s="7">
        <f>_xlfn.XLOOKUP(B325,[1]TeethAdjusters!$A:$A,[1]BiteAdjusters!$C:$C,1)</f>
        <v>1</v>
      </c>
      <c r="T325" s="7">
        <f>_xlfn.XLOOKUP(B325,[1]TeethAdjusters!$A:$A,[1]TeethAdjusters!$B:$B,1)</f>
        <v>1</v>
      </c>
      <c r="U325" s="7">
        <v>14</v>
      </c>
      <c r="V325" s="7">
        <v>16</v>
      </c>
      <c r="W325" s="7" t="str">
        <f>IF(_xlfn.XLOOKUP(E325,Groups!A:A,Groups!V:V)&lt;&gt;"No","Need a formula","No")</f>
        <v>No</v>
      </c>
      <c r="X325" s="7" t="s">
        <v>932</v>
      </c>
      <c r="Y325" s="4" t="s">
        <v>1003</v>
      </c>
      <c r="Z325" s="4">
        <v>1</v>
      </c>
      <c r="AA325" s="4">
        <v>0</v>
      </c>
      <c r="AB325" s="4">
        <v>0</v>
      </c>
      <c r="AC325" s="4">
        <v>0</v>
      </c>
      <c r="AD325" s="4">
        <v>0</v>
      </c>
      <c r="AE325" s="4" t="s">
        <v>45</v>
      </c>
      <c r="AF325" s="4" t="s">
        <v>311</v>
      </c>
      <c r="AG325" s="49" t="s">
        <v>375</v>
      </c>
      <c r="AH325" s="4" t="str">
        <f>Animals!$C$295</f>
        <v>&lt;li&gt;AA_MeadowAve&lt;/li&gt;</v>
      </c>
      <c r="AI325" s="4">
        <v>1</v>
      </c>
      <c r="AJ325" s="4">
        <v>0</v>
      </c>
      <c r="AK325" s="4">
        <v>0</v>
      </c>
      <c r="AL325" s="4">
        <v>0</v>
      </c>
      <c r="AM325" s="4">
        <v>1</v>
      </c>
      <c r="AN325" s="44" t="s">
        <v>40</v>
      </c>
      <c r="AO325" s="8">
        <f t="shared" si="166"/>
        <v>34753.014052750754</v>
      </c>
      <c r="AP325" s="8">
        <f>IFERROR(C325*_xlfn.XLOOKUP(E325,Groups!A:A,Groups!K:K),0.106*C325^0.94)</f>
        <v>15.426736488345595</v>
      </c>
      <c r="AQ325" s="8">
        <f>AP325*10000/(_xlfn.XLOOKUP(E325,Groups!A:A,Groups!J:J)*AO325)</f>
        <v>4.0724436832674371</v>
      </c>
      <c r="AR325" s="8">
        <f t="shared" si="167"/>
        <v>4776.6210371506204</v>
      </c>
      <c r="AS325" s="8">
        <f>IF(_xlfn.XLOOKUP(E325,Groups!A:A,Groups!M:M)=1,EXP(0.7444*LN('Base stats'!C325)+6.5696),EXP(0.7927*LN('Base stats'!C325)+4.28))</f>
        <v>4817.3351295400244</v>
      </c>
      <c r="AT325" s="8">
        <f>IF(_xlfn.XLOOKUP(E325,Groups!A:A,Groups!N:N)="No","No",
IF(_xlfn.XLOOKUP(E325,Groups!A:A,Groups!N:N)="Crocodile",EXP(0.8129*LN(C325)+4.6742)*S325,
IF(_xlfn.XLOOKUP(E325,Groups!A:A,Groups!N:N)="Felid",EXP(0.7843*LN(C325)+4.7073)*S325,
IF(_xlfn.XLOOKUP(E325,Groups!A:A,Groups!N:N)="Canid",EXP(0.8367*LN(C325)+4.8763)*S325,
IF(_xlfn.XLOOKUP(E325,Groups!A:A,Groups!N:N)="Pig",EXP(0.3439*LN(C325)+6.8519)*S325,
IF(_xlfn.XLOOKUP(E325,Groups!A:A,Groups!N:N)="Rodent",EXP(0.5625*LN(C325)+4.3006)*S325,
IF(_xlfn.XLOOKUP(E325,Groups!A:A,Groups!N:N)="Primate",EXP(0.7847*LN(C325)+3.4931)*S325,
IF(_xlfn.XLOOKUP(E325,Groups!A:A,Groups!N:N)="MiscCarnivora",EXP(0.7486*LN(C325)+4.2207)*S325,
IF(_xlfn.XLOOKUP(E325,Groups!A:A,Groups!N:N)="Lizard",EXP(0.7733*LN(C325)+5.5303)*S325,
IF(_xlfn.XLOOKUP(E325,Groups!A:A,Groups!N:N)="Snake",50*C325^(2/3)*S325,
IF(_xlfn.XLOOKUP(E325,Groups!A:A,Groups!N:N)="StrongBitingHerbivore",87.1133638856975*C325^(2/3)*S325,
IF(_xlfn.XLOOKUP(E325,Groups!A:A,Groups!N:N)="MiscEctotherms",59.4316884072269*C325^(2/3)*S325,
IF(_xlfn.XLOOKUP(E325,Groups!A:A,Groups!N:N)="StrongBeakBird",0.041*(C325*1000)^1.375*S325,
IF(_xlfn.XLOOKUP(E325,Groups!A:A,Groups!N:N)="Bird",0.118*(C325*1000)^0.692*S325,
IF(_xlfn.XLOOKUP(E325,Groups!A:A,Groups!N:N)="Insect",EXP(0.7444*LN(C325)+6.5696)*S325,
IF(_xlfn.XLOOKUP(E325,Groups!A:A,Groups!N:N)="Theropod",EXP(0.6966*LN(C325)+4.158)*S325,
"No"))))))))))))))))</f>
        <v>549.787376989412</v>
      </c>
      <c r="AU325" s="8">
        <f>IF(_xlfn.XLOOKUP(E325,Groups!A:A,Groups!U:U)=3,AS325,IF(_xlfn.XLOOKUP(E325,Groups!A:A,Groups!U:U)=2,AR325,AT325))</f>
        <v>549.787376989412</v>
      </c>
      <c r="AV325" s="46">
        <f>IFERROR(AVERAGE(_xlfn.XLOOKUP(B325,Animals!B:B,Animals!N:N),_xlfn.XLOOKUP(B325,Animals!B:B,Animals!O:O)),0)</f>
        <v>0</v>
      </c>
      <c r="AW325" s="8">
        <f>MROUND(40*Animals!AO325*_xlfn.XLOOKUP(AG325,Leathers!$A$2:$A$99,Leathers!$B$2:$B$99,0)+(140*_xlfn.XLOOKUP(B325,Animals!B:B,Animals!AO:AO)*2),5)</f>
        <v>700</v>
      </c>
      <c r="AX325" s="8">
        <f>IFERROR(ROUND(SQRT(V325-1)*IF(_xlfn.XLOOKUP(E325,Groups!A:A,Groups!BF:BF)=0,2,1)*IF(_xlfn.XLOOKUP('Base stats'!E325,Groups!A:A,Groups!O:O)=0,1,0.1),1),0)</f>
        <v>0.4</v>
      </c>
      <c r="AY325" s="8">
        <f t="shared" si="168"/>
        <v>3.6</v>
      </c>
      <c r="AZ325" s="8">
        <f t="shared" si="169"/>
        <v>0</v>
      </c>
      <c r="BA325" s="8">
        <f t="shared" si="170"/>
        <v>5.3</v>
      </c>
      <c r="BB325" s="8">
        <f>IF(_xlfn.XLOOKUP(E325,Groups!A:A,Groups!N:N)="Insect",BD325*2.5,IFERROR(AVERAGE(BD325,AT325/9.81/IF(OR(_xlfn.XLOOKUP(E325,Groups!A:A,Groups!N:N)="Pig",_xlfn.XLOOKUP(E325,Groups!A:A,Groups!N:N)="StrongBitingHerbivore"),20,25))*C325^-0.135,BD325))</f>
        <v>1.0688790834839013</v>
      </c>
      <c r="BC325" s="8" t="str">
        <f>IF(W325="No","No",IF(_xlfn.XLOOKUP(E325,Groups!A:A,Groups!U:U)=1,'Base stats'!BB325,IF(OR(_xlfn.XLOOKUP(E325,Groups!A:A,Groups!BD:BD)=1,_xlfn.XLOOKUP(E325,Groups!A:A,Groups!U:U)=2),BD325,IF(_xlfn.XLOOKUP(B325,Animals!B:B,Animals!AO:AO)&gt;4,AVERAGE(BD325,BF325),BF325))))</f>
        <v>No</v>
      </c>
      <c r="BD325" s="8">
        <f t="shared" si="171"/>
        <v>2.1294266438436793</v>
      </c>
      <c r="BE325" s="8">
        <f>IF(_xlfn.XLOOKUP(E325,Groups!A:A,Groups!BE:BE)=1,(0.048*C325^1.01)+(0.071*C325^1.03),0.071*C325^1.03)/IF(_xlfn.XLOOKUP(E325,Groups!A:A,Groups!M:M)=1,0.85,IF(OR(_xlfn.XLOOKUP(B325,Animals!B:B,Animals!AO:AO)&gt;4,_xlfn.XLOOKUP(E325,Groups!A:A,Groups!BC:BC)=1),1.7,1))*C325^-0.25</f>
        <v>7.1181967724464226</v>
      </c>
      <c r="BF325" s="8">
        <f>(0.048*C325^1.01)/IF(_xlfn.XLOOKUP(E325,Groups!A:A,Groups!M:M)=1,0.25,0.8)*C325^-0.25</f>
        <v>3.3646046987127658</v>
      </c>
      <c r="BG325" s="8">
        <f>EXP(1.076*LN(AR325)-4.5397)*IF(_xlfn.XLOOKUP(E325,Groups!A:A,Groups!BC:BC)=1,1.25,IF(_xlfn.XLOOKUP(E325,Groups!A:A,Groups!BD:BD)=1,3.5,2.5))</f>
        <v>242.72097948417178</v>
      </c>
      <c r="BH325" s="8">
        <f>EXP(1.076*LN(AS325)-4.5397)*IF(_xlfn.XLOOKUP(E325,Groups!A:A,Groups!M:M)=1,0.8,IF(_xlfn.XLOOKUP(E325,Groups!A:A,Groups!BC:BC)=1,1.3,3))</f>
        <v>293.93735151357987</v>
      </c>
      <c r="BI325" s="8" t="str">
        <f>IF(W325="No","No",IF(_xlfn.XLOOKUP(E325,Groups!A:A,Groups!U:U)=1,'Base stats'!BJ325,IF(OR(_xlfn.XLOOKUP(E325,Groups!A:A,Groups!BD:BD)=1,_xlfn.XLOOKUP(E325,Groups!A:A,Groups!U:U)=2),BG325,BH325))*1.2)</f>
        <v>No</v>
      </c>
      <c r="BJ325" s="8">
        <f>IFERROR(EXP(1.076*LN(AT325)-4.5397)*IF(_xlfn.XLOOKUP(E325,Groups!A:A,Groups!N:N)="Insect",1,IF(OR(_xlfn.XLOOKUP(E325,Groups!A:A,Groups!N:N)="Pig",_xlfn.XLOOKUP(E325,Groups!A:A,Groups!N:N)="StrongBitingHerbivore"),3.5,3.75)),"No")</f>
        <v>35.556104556972485</v>
      </c>
      <c r="BK325" s="8">
        <f t="shared" si="172"/>
        <v>15</v>
      </c>
      <c r="BL325" s="8">
        <f t="shared" si="173"/>
        <v>9</v>
      </c>
      <c r="BM325" s="8" t="str">
        <f t="shared" si="174"/>
        <v>No</v>
      </c>
      <c r="BN325" s="8">
        <f t="shared" si="175"/>
        <v>8</v>
      </c>
      <c r="BO325" s="8">
        <f t="shared" si="176"/>
        <v>13</v>
      </c>
      <c r="BP325" s="8" cm="1">
        <f t="array" ref="BP325">IF(AND(_xlfn.XLOOKUP('Base stats'!E325,Groups!A:A,Groups!AD:AD=0),_xlfn.XLOOKUP('Base stats'!E325,Groups!A:A,Groups!P:P=0)),"No",IF(U325="No",AVERAGE(EXP(-0.57+0.99*LN(C325)),EXP(0.32+0.67*LN(C325)))/IF(_xlfn.XLOOKUP(E325,Groups!A:A,Groups!AD:AD)=1,10,2),(0.7354*C325^0.4078)*2/IF(_xlfn.XLOOKUP(E325,Groups!A:A,Groups!BK:BK)=1,1000,100)/IF(_xlfn.XLOOKUP(E325,Groups!A:A,Groups!AJ:AJ)="Photonozoa",3,1)))</f>
        <v>0.12761850520553555</v>
      </c>
      <c r="BQ325" s="8" t="str">
        <f>IF(W325="No","No",IF(_xlfn.XLOOKUP(E325,Groups!A:A,Groups!BD:BD)=1,(AO325*5%),EXP(0.7354*LN(C325)^0.4078)*2/IF(_xlfn.XLOOKUP(E325,Groups!A:A,Groups!BL:BL)=1,1000,100)/IF(_xlfn.XLOOKUP(E325,Groups!A:A,Groups!AJ:AJ)="Photonozoa",3,1)))</f>
        <v>No</v>
      </c>
      <c r="BR325" s="8">
        <f>IF(BJ325="No","No",IF(_xlfn.XLOOKUP(E325,Groups!A:A,Groups!BF:BF)=1,(0.0315*C325+2.1825)*2,(0.7354*C325^0.4078)*2)/IF(_xlfn.XLOOKUP(E325,Groups!A:A,Groups!BM:BM)=1,1000,100)/IF(_xlfn.XLOOKUP(E325,Groups!A:A,Groups!AJ:AJ)="Photonozoa",3,1))</f>
        <v>0.16965</v>
      </c>
      <c r="BS325" s="8">
        <f t="shared" si="177"/>
        <v>0.13968341227368164</v>
      </c>
      <c r="BT325" s="8">
        <f t="shared" si="178"/>
        <v>2303.2502303657297</v>
      </c>
      <c r="BU325" s="8" t="str">
        <f t="shared" si="179"/>
        <v>No</v>
      </c>
      <c r="BV325" s="8">
        <f t="shared" si="180"/>
        <v>209.58505485984372</v>
      </c>
      <c r="BW325" s="4">
        <v>0</v>
      </c>
      <c r="BX325" s="4">
        <v>1</v>
      </c>
    </row>
    <row r="326" spans="1:76" s="16" customFormat="1" x14ac:dyDescent="0.25">
      <c r="A326" s="26" t="s">
        <v>1412</v>
      </c>
      <c r="B326" s="6" t="s">
        <v>1629</v>
      </c>
      <c r="C326" s="7">
        <v>170</v>
      </c>
      <c r="D326" s="7" t="s">
        <v>528</v>
      </c>
      <c r="E326" s="7" t="str">
        <f>Groups!$A$11</f>
        <v>Bird (AGRESSIVE, SMART)</v>
      </c>
      <c r="F326" s="7" t="str">
        <f t="shared" ref="F326:F362" si="185">"Lay eggs"</f>
        <v>Lay eggs</v>
      </c>
      <c r="G326" s="7">
        <v>2.8</v>
      </c>
      <c r="H326" s="7">
        <v>50</v>
      </c>
      <c r="I326" s="4">
        <v>0</v>
      </c>
      <c r="J326" s="7" t="str">
        <f t="shared" ref="J326:J329" si="186">"Lay eggs"</f>
        <v>Lay eggs</v>
      </c>
      <c r="K326" s="7" t="s">
        <v>528</v>
      </c>
      <c r="L326" s="7">
        <f>($L$5*(C326/$C$5)^0.165)*1.3</f>
        <v>66.921135560755744</v>
      </c>
      <c r="M326" s="7" t="s">
        <v>528</v>
      </c>
      <c r="N326" s="4">
        <v>0</v>
      </c>
      <c r="O326" s="4">
        <v>0</v>
      </c>
      <c r="P326" s="4">
        <v>0</v>
      </c>
      <c r="Q326" s="4">
        <v>0</v>
      </c>
      <c r="R326" s="4" t="s">
        <v>40</v>
      </c>
      <c r="S326" s="7">
        <f>_xlfn.XLOOKUP(B326,[1]TeethAdjusters!$A:$A,[1]BiteAdjusters!$C:$C,1)</f>
        <v>1</v>
      </c>
      <c r="T326" s="7">
        <f>_xlfn.XLOOKUP(B326,[1]TeethAdjusters!$A:$A,[1]TeethAdjusters!$B:$B,1)</f>
        <v>1</v>
      </c>
      <c r="U326" s="7">
        <v>13</v>
      </c>
      <c r="V326" s="7">
        <v>14.5</v>
      </c>
      <c r="W326" s="7" t="str">
        <f>IF(_xlfn.XLOOKUP(E326,Groups!A:A,Groups!V:V)&lt;&gt;"No","Need a formula","No")</f>
        <v>No</v>
      </c>
      <c r="X326" s="7" t="s">
        <v>932</v>
      </c>
      <c r="Y326" s="4" t="s">
        <v>1003</v>
      </c>
      <c r="Z326" s="4">
        <v>1</v>
      </c>
      <c r="AA326" s="4">
        <v>0</v>
      </c>
      <c r="AB326" s="4">
        <v>0</v>
      </c>
      <c r="AC326" s="4">
        <v>0</v>
      </c>
      <c r="AD326" s="4">
        <v>0</v>
      </c>
      <c r="AE326" s="4" t="s">
        <v>45</v>
      </c>
      <c r="AF326" s="4" t="s">
        <v>311</v>
      </c>
      <c r="AG326" s="49" t="s">
        <v>375</v>
      </c>
      <c r="AH326" s="4" t="str">
        <f>Animals!$C$295</f>
        <v>&lt;li&gt;AA_MeadowAve&lt;/li&gt;</v>
      </c>
      <c r="AI326" s="4">
        <v>1</v>
      </c>
      <c r="AJ326" s="4">
        <v>0</v>
      </c>
      <c r="AK326" s="4">
        <v>0</v>
      </c>
      <c r="AL326" s="4">
        <v>0</v>
      </c>
      <c r="AM326" s="4">
        <v>1</v>
      </c>
      <c r="AN326" s="44" t="s">
        <v>40</v>
      </c>
      <c r="AO326" s="8">
        <f t="shared" si="166"/>
        <v>31269.05653382832</v>
      </c>
      <c r="AP326" s="8">
        <f>IFERROR(C326*_xlfn.XLOOKUP(E326,Groups!A:A,Groups!K:K),0.106*C326^0.94)</f>
        <v>13.241215427520185</v>
      </c>
      <c r="AQ326" s="8">
        <f>AP326*10000/(_xlfn.XLOOKUP(E326,Groups!A:A,Groups!J:J)*AO326)</f>
        <v>3.8849602157976708</v>
      </c>
      <c r="AR326" s="8">
        <f t="shared" si="167"/>
        <v>4163.906352865858</v>
      </c>
      <c r="AS326" s="8">
        <f>IF(_xlfn.XLOOKUP(E326,Groups!A:A,Groups!M:M)=1,EXP(0.7444*LN('Base stats'!C326)+6.5696),EXP(0.7927*LN('Base stats'!C326)+4.28))</f>
        <v>4235.0373273002915</v>
      </c>
      <c r="AT326" s="8">
        <f>IF(_xlfn.XLOOKUP(E326,Groups!A:A,Groups!N:N)="No","No",
IF(_xlfn.XLOOKUP(E326,Groups!A:A,Groups!N:N)="Crocodile",EXP(0.8129*LN(C326)+4.6742)*S326,
IF(_xlfn.XLOOKUP(E326,Groups!A:A,Groups!N:N)="Felid",EXP(0.7843*LN(C326)+4.7073)*S326,
IF(_xlfn.XLOOKUP(E326,Groups!A:A,Groups!N:N)="Canid",EXP(0.8367*LN(C326)+4.8763)*S326,
IF(_xlfn.XLOOKUP(E326,Groups!A:A,Groups!N:N)="Pig",EXP(0.3439*LN(C326)+6.8519)*S326,
IF(_xlfn.XLOOKUP(E326,Groups!A:A,Groups!N:N)="Rodent",EXP(0.5625*LN(C326)+4.3006)*S326,
IF(_xlfn.XLOOKUP(E326,Groups!A:A,Groups!N:N)="Primate",EXP(0.7847*LN(C326)+3.4931)*S326,
IF(_xlfn.XLOOKUP(E326,Groups!A:A,Groups!N:N)="MiscCarnivora",EXP(0.7486*LN(C326)+4.2207)*S326,
IF(_xlfn.XLOOKUP(E326,Groups!A:A,Groups!N:N)="Lizard",EXP(0.7733*LN(C326)+5.5303)*S326,
IF(_xlfn.XLOOKUP(E326,Groups!A:A,Groups!N:N)="Snake",50*C326^(2/3)*S326,
IF(_xlfn.XLOOKUP(E326,Groups!A:A,Groups!N:N)="StrongBitingHerbivore",87.1133638856975*C326^(2/3)*S326,
IF(_xlfn.XLOOKUP(E326,Groups!A:A,Groups!N:N)="MiscEctotherms",59.4316884072269*C326^(2/3)*S326,
IF(_xlfn.XLOOKUP(E326,Groups!A:A,Groups!N:N)="StrongBeakBird",0.041*(C326*1000)^1.375*S326,
IF(_xlfn.XLOOKUP(E326,Groups!A:A,Groups!N:N)="Bird",0.118*(C326*1000)^0.692*S326,
IF(_xlfn.XLOOKUP(E326,Groups!A:A,Groups!N:N)="Insect",EXP(0.7444*LN(C326)+6.5696)*S326,
IF(_xlfn.XLOOKUP(E326,Groups!A:A,Groups!N:N)="Theropod",EXP(0.6966*LN(C326)+4.158)*S326,
"No"))))))))))))))))</f>
        <v>491.30667082007045</v>
      </c>
      <c r="AU326" s="8">
        <f>IF(_xlfn.XLOOKUP(E326,Groups!A:A,Groups!U:U)=3,AS326,IF(_xlfn.XLOOKUP(E326,Groups!A:A,Groups!U:U)=2,AR326,AT326))</f>
        <v>491.30667082007045</v>
      </c>
      <c r="AV326" s="46">
        <f>IFERROR(AVERAGE(_xlfn.XLOOKUP(B326,Animals!B:B,Animals!N:N),_xlfn.XLOOKUP(B326,Animals!B:B,Animals!O:O)),0)</f>
        <v>0</v>
      </c>
      <c r="AW326" s="8">
        <f>MROUND(40*Animals!AO326*_xlfn.XLOOKUP(AG326,Leathers!$A$2:$A$99,Leathers!$B$2:$B$99,0)+(140*_xlfn.XLOOKUP(B326,Animals!B:B,Animals!AO:AO)*2),5)</f>
        <v>605</v>
      </c>
      <c r="AX326" s="8">
        <f>IFERROR(ROUND(SQRT(V326-1)*IF(_xlfn.XLOOKUP(E326,Groups!A:A,Groups!BF:BF)=0,2,1)*IF(_xlfn.XLOOKUP('Base stats'!E326,Groups!A:A,Groups!O:O)=0,1,0.1),1),0)</f>
        <v>0.4</v>
      </c>
      <c r="AY326" s="8">
        <f t="shared" si="168"/>
        <v>3.5</v>
      </c>
      <c r="AZ326" s="8">
        <f t="shared" si="169"/>
        <v>0</v>
      </c>
      <c r="BA326" s="8">
        <f t="shared" si="170"/>
        <v>5</v>
      </c>
      <c r="BB326" s="8">
        <f>IF(_xlfn.XLOOKUP(E326,Groups!A:A,Groups!N:N)="Insect",BD326*2.5,IFERROR(AVERAGE(BD326,AT326/9.81/IF(OR(_xlfn.XLOOKUP(E326,Groups!A:A,Groups!N:N)="Pig",_xlfn.XLOOKUP(E326,Groups!A:A,Groups!N:N)="StrongBitingHerbivore"),20,25))*C326^-0.135,BD326))</f>
        <v>0.97160252521060664</v>
      </c>
      <c r="BC326" s="8" t="str">
        <f>IF(W326="No","No",IF(_xlfn.XLOOKUP(E326,Groups!A:A,Groups!U:U)=1,'Base stats'!BB326,IF(OR(_xlfn.XLOOKUP(E326,Groups!A:A,Groups!BD:BD)=1,_xlfn.XLOOKUP(E326,Groups!A:A,Groups!U:U)=2),BD326,IF(_xlfn.XLOOKUP(B326,Animals!B:B,Animals!AO:AO)&gt;4,AVERAGE(BD326,BF326),BF326))))</f>
        <v>No</v>
      </c>
      <c r="BD326" s="8">
        <f t="shared" si="171"/>
        <v>1.8838423406583698</v>
      </c>
      <c r="BE326" s="8">
        <f>IF(_xlfn.XLOOKUP(E326,Groups!A:A,Groups!BE:BE)=1,(0.048*C326^1.01)+(0.071*C326^1.03),0.071*C326^1.03)/IF(_xlfn.XLOOKUP(E326,Groups!A:A,Groups!M:M)=1,0.85,IF(OR(_xlfn.XLOOKUP(B326,Animals!B:B,Animals!AO:AO)&gt;4,_xlfn.XLOOKUP(E326,Groups!A:A,Groups!BC:BC)=1),1.7,1))*C326^-0.25</f>
        <v>6.2784303862204238</v>
      </c>
      <c r="BF326" s="8">
        <f>(0.048*C326^1.01)/IF(_xlfn.XLOOKUP(E326,Groups!A:A,Groups!M:M)=1,0.25,0.8)*C326^-0.25</f>
        <v>2.9736676662191686</v>
      </c>
      <c r="BG326" s="8">
        <f>EXP(1.076*LN(AR326)-4.5397)*IF(_xlfn.XLOOKUP(E326,Groups!A:A,Groups!BC:BC)=1,1.25,IF(_xlfn.XLOOKUP(E326,Groups!A:A,Groups!BD:BD)=1,3.5,2.5))</f>
        <v>209.39021133100351</v>
      </c>
      <c r="BH326" s="8">
        <f>EXP(1.076*LN(AS326)-4.5397)*IF(_xlfn.XLOOKUP(E326,Groups!A:A,Groups!M:M)=1,0.8,IF(_xlfn.XLOOKUP(E326,Groups!A:A,Groups!BC:BC)=1,1.3,3))</f>
        <v>255.8898078472036</v>
      </c>
      <c r="BI326" s="8" t="str">
        <f>IF(W326="No","No",IF(_xlfn.XLOOKUP(E326,Groups!A:A,Groups!U:U)=1,'Base stats'!BJ326,IF(OR(_xlfn.XLOOKUP(E326,Groups!A:A,Groups!BD:BD)=1,_xlfn.XLOOKUP(E326,Groups!A:A,Groups!U:U)=2),BG326,BH326))*1.2)</f>
        <v>No</v>
      </c>
      <c r="BJ326" s="8">
        <f>IFERROR(EXP(1.076*LN(AT326)-4.5397)*IF(_xlfn.XLOOKUP(E326,Groups!A:A,Groups!N:N)="Insect",1,IF(OR(_xlfn.XLOOKUP(E326,Groups!A:A,Groups!N:N)="Pig",_xlfn.XLOOKUP(E326,Groups!A:A,Groups!N:N)="StrongBitingHerbivore"),3.5,3.75)),"No")</f>
        <v>31.503591784959518</v>
      </c>
      <c r="BK326" s="8">
        <f t="shared" si="172"/>
        <v>14</v>
      </c>
      <c r="BL326" s="8">
        <f t="shared" si="173"/>
        <v>9</v>
      </c>
      <c r="BM326" s="8" t="str">
        <f t="shared" si="174"/>
        <v>No</v>
      </c>
      <c r="BN326" s="8">
        <f t="shared" si="175"/>
        <v>8</v>
      </c>
      <c r="BO326" s="8">
        <f t="shared" si="176"/>
        <v>13</v>
      </c>
      <c r="BP326" s="8" cm="1">
        <f t="array" ref="BP326">IF(AND(_xlfn.XLOOKUP('Base stats'!E326,Groups!A:A,Groups!AD:AD=0),_xlfn.XLOOKUP('Base stats'!E326,Groups!A:A,Groups!P:P=0)),"No",IF(U326="No",AVERAGE(EXP(-0.57+0.99*LN(C326)),EXP(0.32+0.67*LN(C326)))/IF(_xlfn.XLOOKUP(E326,Groups!A:A,Groups!AD:AD)=1,10,2),(0.7354*C326^0.4078)*2/IF(_xlfn.XLOOKUP(E326,Groups!A:A,Groups!BK:BK)=1,1000,100)/IF(_xlfn.XLOOKUP(E326,Groups!A:A,Groups!AJ:AJ)="Photonozoa",3,1)))</f>
        <v>0.11943474628882245</v>
      </c>
      <c r="BQ326" s="8" t="str">
        <f>IF(W326="No","No",IF(_xlfn.XLOOKUP(E326,Groups!A:A,Groups!BD:BD)=1,(AO326*5%),EXP(0.7354*LN(C326)^0.4078)*2/IF(_xlfn.XLOOKUP(E326,Groups!A:A,Groups!BL:BL)=1,1000,100)/IF(_xlfn.XLOOKUP(E326,Groups!A:A,Groups!AJ:AJ)="Photonozoa",3,1)))</f>
        <v>No</v>
      </c>
      <c r="BR326" s="8">
        <f>IF(BJ326="No","No",IF(_xlfn.XLOOKUP(E326,Groups!A:A,Groups!BF:BF)=1,(0.0315*C326+2.1825)*2,(0.7354*C326^0.4078)*2)/IF(_xlfn.XLOOKUP(E326,Groups!A:A,Groups!BM:BM)=1,1000,100)/IF(_xlfn.XLOOKUP(E326,Groups!A:A,Groups!AJ:AJ)="Photonozoa",3,1))</f>
        <v>0.15075000000000002</v>
      </c>
      <c r="BS326" s="8">
        <f t="shared" si="177"/>
        <v>0.13392806470158475</v>
      </c>
      <c r="BT326" s="8">
        <f t="shared" si="178"/>
        <v>2142.5072334343927</v>
      </c>
      <c r="BU326" s="8" t="str">
        <f t="shared" si="179"/>
        <v>No</v>
      </c>
      <c r="BV326" s="8">
        <f t="shared" si="180"/>
        <v>208.97904998314769</v>
      </c>
      <c r="BW326" s="4">
        <v>0</v>
      </c>
      <c r="BX326" s="4">
        <v>1</v>
      </c>
    </row>
    <row r="327" spans="1:76" s="16" customFormat="1" x14ac:dyDescent="0.25">
      <c r="A327" s="26" t="s">
        <v>1470</v>
      </c>
      <c r="B327" s="6" t="s">
        <v>1845</v>
      </c>
      <c r="C327" s="7">
        <v>250</v>
      </c>
      <c r="D327" s="7" t="s">
        <v>528</v>
      </c>
      <c r="E327" s="7" t="str">
        <f>Groups!$A$13</f>
        <v>Bird</v>
      </c>
      <c r="F327" s="7" t="str">
        <f t="shared" ref="F327" si="187">"Lay eggs"</f>
        <v>Lay eggs</v>
      </c>
      <c r="G327" s="7">
        <v>2.8</v>
      </c>
      <c r="H327" s="7">
        <v>50</v>
      </c>
      <c r="I327" s="4">
        <v>0</v>
      </c>
      <c r="J327" s="7" t="str">
        <f t="shared" ref="J327" si="188">"Lay eggs"</f>
        <v>Lay eggs</v>
      </c>
      <c r="K327" s="7" t="s">
        <v>528</v>
      </c>
      <c r="L327" s="7">
        <f>$L$5*(C327/$C$5)^0.165</f>
        <v>54.860022177767668</v>
      </c>
      <c r="M327" s="7" t="s">
        <v>528</v>
      </c>
      <c r="N327" s="4">
        <v>0</v>
      </c>
      <c r="O327" s="4">
        <v>1</v>
      </c>
      <c r="P327" s="4">
        <v>0</v>
      </c>
      <c r="Q327" s="4">
        <v>0</v>
      </c>
      <c r="R327" s="4" t="s">
        <v>40</v>
      </c>
      <c r="S327" s="7">
        <f>_xlfn.XLOOKUP(B327,[1]TeethAdjusters!$A:$A,[1]BiteAdjusters!$C:$C,1)</f>
        <v>1</v>
      </c>
      <c r="T327" s="7">
        <f>_xlfn.XLOOKUP(B327,[1]TeethAdjusters!$A:$A,[1]TeethAdjusters!$B:$B,1)</f>
        <v>1</v>
      </c>
      <c r="U327" s="7">
        <v>6</v>
      </c>
      <c r="V327" s="7">
        <v>7</v>
      </c>
      <c r="W327" s="7" t="str">
        <f>IF(_xlfn.XLOOKUP(E327,Groups!A:A,Groups!V:V)&lt;&gt;"No","Need a formula","No")</f>
        <v>No</v>
      </c>
      <c r="X327" s="7" t="s">
        <v>932</v>
      </c>
      <c r="Y327" s="4" t="s">
        <v>1003</v>
      </c>
      <c r="Z327" s="4">
        <v>1</v>
      </c>
      <c r="AA327" s="4">
        <v>0</v>
      </c>
      <c r="AB327" s="4">
        <v>0</v>
      </c>
      <c r="AC327" s="4">
        <v>0</v>
      </c>
      <c r="AD327" s="4">
        <v>0</v>
      </c>
      <c r="AE327" s="4" t="s">
        <v>45</v>
      </c>
      <c r="AF327" s="4" t="s">
        <v>452</v>
      </c>
      <c r="AG327" s="49" t="s">
        <v>375</v>
      </c>
      <c r="AH327" s="4" t="str">
        <f>Animals!$C$6</f>
        <v>&lt;li&gt;Cassowary&lt;/li&gt;</v>
      </c>
      <c r="AI327" s="4">
        <v>1</v>
      </c>
      <c r="AJ327" s="4">
        <v>0</v>
      </c>
      <c r="AK327" s="4">
        <v>0</v>
      </c>
      <c r="AL327" s="4">
        <v>0</v>
      </c>
      <c r="AM327" s="4">
        <v>1</v>
      </c>
      <c r="AN327" s="44" t="s">
        <v>40</v>
      </c>
      <c r="AO327" s="8">
        <f t="shared" si="166"/>
        <v>40177.59941909022</v>
      </c>
      <c r="AP327" s="8">
        <f>IFERROR(C327*_xlfn.XLOOKUP(E327,Groups!A:A,Groups!K:K),0.106*C327^0.94)</f>
        <v>19.026962989898642</v>
      </c>
      <c r="AQ327" s="8">
        <f>AP327*10000/(_xlfn.XLOOKUP(E327,Groups!A:A,Groups!J:J)*AO327)</f>
        <v>4.3446919678921265</v>
      </c>
      <c r="AR327" s="8">
        <f t="shared" si="167"/>
        <v>5767.4079933655148</v>
      </c>
      <c r="AS327" s="8">
        <f>IF(_xlfn.XLOOKUP(E327,Groups!A:A,Groups!M:M)=1,EXP(0.7444*LN('Base stats'!C327)+6.5696),EXP(0.7927*LN('Base stats'!C327)+4.28))</f>
        <v>5749.4649057379756</v>
      </c>
      <c r="AT327" s="8">
        <f>IF(_xlfn.XLOOKUP(E327,Groups!A:A,Groups!N:N)="No","No",
IF(_xlfn.XLOOKUP(E327,Groups!A:A,Groups!N:N)="Crocodile",EXP(0.8129*LN(C327)+4.6742)*S327,
IF(_xlfn.XLOOKUP(E327,Groups!A:A,Groups!N:N)="Felid",EXP(0.7843*LN(C327)+4.7073)*S327,
IF(_xlfn.XLOOKUP(E327,Groups!A:A,Groups!N:N)="Canid",EXP(0.8367*LN(C327)+4.8763)*S327,
IF(_xlfn.XLOOKUP(E327,Groups!A:A,Groups!N:N)="Pig",EXP(0.3439*LN(C327)+6.8519)*S327,
IF(_xlfn.XLOOKUP(E327,Groups!A:A,Groups!N:N)="Rodent",EXP(0.5625*LN(C327)+4.3006)*S327,
IF(_xlfn.XLOOKUP(E327,Groups!A:A,Groups!N:N)="Primate",EXP(0.7847*LN(C327)+3.4931)*S327,
IF(_xlfn.XLOOKUP(E327,Groups!A:A,Groups!N:N)="MiscCarnivora",EXP(0.7486*LN(C327)+4.2207)*S327,
IF(_xlfn.XLOOKUP(E327,Groups!A:A,Groups!N:N)="Lizard",EXP(0.7733*LN(C327)+5.5303)*S327,
IF(_xlfn.XLOOKUP(E327,Groups!A:A,Groups!N:N)="Snake",50*C327^(2/3)*S327,
IF(_xlfn.XLOOKUP(E327,Groups!A:A,Groups!N:N)="StrongBitingHerbivore",87.1133638856975*C327^(2/3)*S327,
IF(_xlfn.XLOOKUP(E327,Groups!A:A,Groups!N:N)="MiscEctotherms",59.4316884072269*C327^(2/3)*S327,
IF(_xlfn.XLOOKUP(E327,Groups!A:A,Groups!N:N)="StrongBeakBird",0.041*(C327*1000)^1.375*S327,
IF(_xlfn.XLOOKUP(E327,Groups!A:A,Groups!N:N)="Bird",0.118*(C327*1000)^0.692*S327,
IF(_xlfn.XLOOKUP(E327,Groups!A:A,Groups!N:N)="Insect",EXP(0.7444*LN(C327)+6.5696)*S327,
IF(_xlfn.XLOOKUP(E327,Groups!A:A,Groups!N:N)="Theropod",EXP(0.6966*LN(C327)+4.158)*S327,
"No"))))))))))))))))</f>
        <v>641.58838531498793</v>
      </c>
      <c r="AU327" s="8">
        <f>IF(_xlfn.XLOOKUP(E327,Groups!A:A,Groups!U:U)=3,AS327,IF(_xlfn.XLOOKUP(E327,Groups!A:A,Groups!U:U)=2,AR327,AT327))</f>
        <v>641.58838531498793</v>
      </c>
      <c r="AV327" s="46">
        <f>IFERROR(AVERAGE(_xlfn.XLOOKUP(B327,Animals!B:B,Animals!N:N),_xlfn.XLOOKUP(B327,Animals!B:B,Animals!O:O)),0)</f>
        <v>0</v>
      </c>
      <c r="AW327" s="8">
        <f>MROUND(40*Animals!AO327*_xlfn.XLOOKUP(AG327,Leathers!$A$2:$A$99,Leathers!$B$2:$B$99,0)+(140*_xlfn.XLOOKUP(B327,Animals!B:B,Animals!AO:AO)*2),5)</f>
        <v>770</v>
      </c>
      <c r="AX327" s="8">
        <f>IFERROR(ROUND(SQRT(V327-1)*IF(_xlfn.XLOOKUP(E327,Groups!A:A,Groups!BF:BF)=0,2,1)*IF(_xlfn.XLOOKUP('Base stats'!E327,Groups!A:A,Groups!O:O)=0,1,0.1),1),0)</f>
        <v>0.2</v>
      </c>
      <c r="AY327" s="8">
        <f t="shared" si="168"/>
        <v>2.2000000000000002</v>
      </c>
      <c r="AZ327" s="8">
        <f t="shared" si="169"/>
        <v>0</v>
      </c>
      <c r="BA327" s="8">
        <f t="shared" si="170"/>
        <v>5.8</v>
      </c>
      <c r="BB327" s="8">
        <f>IF(_xlfn.XLOOKUP(E327,Groups!A:A,Groups!N:N)="Insect",BD327*2.5,IFERROR(AVERAGE(BD327,AT327/9.81/IF(OR(_xlfn.XLOOKUP(E327,Groups!A:A,Groups!N:N)="Pig",_xlfn.XLOOKUP(E327,Groups!A:A,Groups!N:N)="StrongBitingHerbivore"),20,25))*C327^-0.135,BD327))</f>
        <v>1.2185542224932027</v>
      </c>
      <c r="BC327" s="8" t="str">
        <f>IF(W327="No","No",IF(_xlfn.XLOOKUP(E327,Groups!A:A,Groups!U:U)=1,'Base stats'!BB327,IF(OR(_xlfn.XLOOKUP(E327,Groups!A:A,Groups!BD:BD)=1,_xlfn.XLOOKUP(E327,Groups!A:A,Groups!U:U)=2),BD327,IF(_xlfn.XLOOKUP(B327,Animals!B:B,Animals!AO:AO)&gt;4,AVERAGE(BD327,BF327),BF327))))</f>
        <v>No</v>
      </c>
      <c r="BD327" s="8">
        <f t="shared" si="171"/>
        <v>2.5196071584879993</v>
      </c>
      <c r="BE327" s="8">
        <f>IF(_xlfn.XLOOKUP(E327,Groups!A:A,Groups!BE:BE)=1,(0.048*C327^1.01)+(0.071*C327^1.03),0.071*C327^1.03)/IF(_xlfn.XLOOKUP(E327,Groups!A:A,Groups!M:M)=1,0.85,IF(OR(_xlfn.XLOOKUP(B327,Animals!B:B,Animals!AO:AO)&gt;4,_xlfn.XLOOKUP(E327,Groups!A:A,Groups!BC:BC)=1),1.7,1))*C327^-0.25</f>
        <v>8.4572253449216674</v>
      </c>
      <c r="BF327" s="8">
        <f>(0.048*C327^1.01)/IF(_xlfn.XLOOKUP(E327,Groups!A:A,Groups!M:M)=1,0.25,0.8)*C327^-0.25</f>
        <v>3.986443901788101</v>
      </c>
      <c r="BG327" s="8">
        <f>EXP(1.076*LN(AR327)-4.5397)*IF(_xlfn.XLOOKUP(E327,Groups!A:A,Groups!BC:BC)=1,1.25,IF(_xlfn.XLOOKUP(E327,Groups!A:A,Groups!BD:BD)=1,3.5,2.5))</f>
        <v>297.29565054010914</v>
      </c>
      <c r="BH327" s="8">
        <f>EXP(1.076*LN(AS327)-4.5397)*IF(_xlfn.XLOOKUP(E327,Groups!A:A,Groups!M:M)=1,0.8,IF(_xlfn.XLOOKUP(E327,Groups!A:A,Groups!BC:BC)=1,1.3,3))</f>
        <v>355.56066282590984</v>
      </c>
      <c r="BI327" s="8" t="str">
        <f>IF(W327="No","No",IF(_xlfn.XLOOKUP(E327,Groups!A:A,Groups!U:U)=1,'Base stats'!BJ327,IF(OR(_xlfn.XLOOKUP(E327,Groups!A:A,Groups!BD:BD)=1,_xlfn.XLOOKUP(E327,Groups!A:A,Groups!U:U)=2),BG327,BH327))*1.2)</f>
        <v>No</v>
      </c>
      <c r="BJ327" s="8">
        <f>IFERROR(EXP(1.076*LN(AT327)-4.5397)*IF(_xlfn.XLOOKUP(E327,Groups!A:A,Groups!N:N)="Insect",1,IF(OR(_xlfn.XLOOKUP(E327,Groups!A:A,Groups!N:N)="Pig",_xlfn.XLOOKUP(E327,Groups!A:A,Groups!N:N)="StrongBitingHerbivore"),3.5,3.75)),"No")</f>
        <v>41.982915518657656</v>
      </c>
      <c r="BK327" s="8">
        <f t="shared" si="172"/>
        <v>15</v>
      </c>
      <c r="BL327" s="8">
        <f t="shared" si="173"/>
        <v>9</v>
      </c>
      <c r="BM327" s="8" t="str">
        <f t="shared" si="174"/>
        <v>No</v>
      </c>
      <c r="BN327" s="8">
        <f t="shared" si="175"/>
        <v>8</v>
      </c>
      <c r="BO327" s="8">
        <f t="shared" si="176"/>
        <v>13</v>
      </c>
      <c r="BP327" s="8" cm="1">
        <f t="array" ref="BP327">IF(AND(_xlfn.XLOOKUP('Base stats'!E327,Groups!A:A,Groups!AD:AD=0),_xlfn.XLOOKUP('Base stats'!E327,Groups!A:A,Groups!P:P=0)),"No",IF(U327="No",AVERAGE(EXP(-0.57+0.99*LN(C327)),EXP(0.32+0.67*LN(C327)))/IF(_xlfn.XLOOKUP(E327,Groups!A:A,Groups!AD:AD)=1,10,2),(0.7354*C327^0.4078)*2/IF(_xlfn.XLOOKUP(E327,Groups!A:A,Groups!BK:BK)=1,1000,100)/IF(_xlfn.XLOOKUP(E327,Groups!A:A,Groups!AJ:AJ)="Photonozoa",3,1)))</f>
        <v>0.13977630534113397</v>
      </c>
      <c r="BQ327" s="8" t="str">
        <f>IF(W327="No","No",IF(_xlfn.XLOOKUP(E327,Groups!A:A,Groups!BD:BD)=1,(AO327*5%),EXP(0.7354*LN(C327)^0.4078)*2/IF(_xlfn.XLOOKUP(E327,Groups!A:A,Groups!BL:BL)=1,1000,100)/IF(_xlfn.XLOOKUP(E327,Groups!A:A,Groups!AJ:AJ)="Photonozoa",3,1)))</f>
        <v>No</v>
      </c>
      <c r="BR327" s="8">
        <f>IF(BJ327="No","No",IF(_xlfn.XLOOKUP(E327,Groups!A:A,Groups!BF:BF)=1,(0.0315*C327+2.1825)*2,(0.7354*C327^0.4078)*2)/IF(_xlfn.XLOOKUP(E327,Groups!A:A,Groups!BM:BM)=1,1000,100)/IF(_xlfn.XLOOKUP(E327,Groups!A:A,Groups!AJ:AJ)="Photonozoa",3,1))</f>
        <v>0.13977630534113397</v>
      </c>
      <c r="BS327" s="8">
        <f t="shared" si="177"/>
        <v>0.1479907484959643</v>
      </c>
      <c r="BT327" s="8">
        <f t="shared" si="178"/>
        <v>2543.7835258138984</v>
      </c>
      <c r="BU327" s="8" t="str">
        <f t="shared" si="179"/>
        <v>No</v>
      </c>
      <c r="BV327" s="8">
        <f t="shared" si="180"/>
        <v>300.35788552426948</v>
      </c>
      <c r="BW327" s="4">
        <v>0</v>
      </c>
      <c r="BX327" s="4">
        <v>1</v>
      </c>
    </row>
    <row r="328" spans="1:76" s="16" customFormat="1" x14ac:dyDescent="0.25">
      <c r="A328" s="26" t="s">
        <v>1450</v>
      </c>
      <c r="B328" s="6" t="s">
        <v>1643</v>
      </c>
      <c r="C328" s="7">
        <f>(2+4.5)/2</f>
        <v>3.25</v>
      </c>
      <c r="D328" s="7" t="s">
        <v>1246</v>
      </c>
      <c r="E328" s="7" t="str">
        <f>Groups!$A$9</f>
        <v>Bird (WATER)</v>
      </c>
      <c r="F328" s="7" t="str">
        <f t="shared" ref="F328" si="189">"Lay eggs"</f>
        <v>Lay eggs</v>
      </c>
      <c r="G328" s="7">
        <f>1825 /365</f>
        <v>5</v>
      </c>
      <c r="H328" s="7">
        <v>58.8</v>
      </c>
      <c r="I328" s="4">
        <v>0</v>
      </c>
      <c r="J328" s="7" t="str">
        <f t="shared" ref="J328:J362" si="190">"Lay eggs"</f>
        <v>Lay eggs</v>
      </c>
      <c r="K328" s="7" t="s">
        <v>558</v>
      </c>
      <c r="L328" s="7">
        <f>8.2*1.60934</f>
        <v>13.196587999999998</v>
      </c>
      <c r="M328" s="7" t="s">
        <v>628</v>
      </c>
      <c r="N328" s="4">
        <v>0</v>
      </c>
      <c r="O328" s="4">
        <v>0</v>
      </c>
      <c r="P328" s="4">
        <v>0</v>
      </c>
      <c r="Q328" s="4">
        <v>0</v>
      </c>
      <c r="R328" s="4" t="s">
        <v>40</v>
      </c>
      <c r="S328" s="7">
        <f>_xlfn.XLOOKUP(B328,[1]TeethAdjusters!$A:$A,[1]BiteAdjusters!$C:$C,1)</f>
        <v>1</v>
      </c>
      <c r="T328" s="7">
        <f>_xlfn.XLOOKUP(B328,[1]TeethAdjusters!$A:$A,[1]TeethAdjusters!$B:$B,1)</f>
        <v>1</v>
      </c>
      <c r="U328" s="7" t="s">
        <v>45</v>
      </c>
      <c r="V328" s="7">
        <v>10</v>
      </c>
      <c r="W328" s="7" t="s">
        <v>45</v>
      </c>
      <c r="X328" s="7" t="s">
        <v>932</v>
      </c>
      <c r="Y328" s="4" t="s">
        <v>53</v>
      </c>
      <c r="Z328" s="4">
        <v>1</v>
      </c>
      <c r="AA328" s="4">
        <v>0</v>
      </c>
      <c r="AB328" s="4">
        <v>0</v>
      </c>
      <c r="AC328" s="4">
        <v>0</v>
      </c>
      <c r="AD328" s="4">
        <v>0</v>
      </c>
      <c r="AE328" s="4" t="s">
        <v>45</v>
      </c>
      <c r="AF328" s="4" t="s">
        <v>401</v>
      </c>
      <c r="AG328" s="49" t="s">
        <v>45</v>
      </c>
      <c r="AH328" s="4" t="str">
        <f>Animals!$C$6</f>
        <v>&lt;li&gt;Cassowary&lt;/li&gt;</v>
      </c>
      <c r="AI328" s="4">
        <v>0</v>
      </c>
      <c r="AJ328" s="4">
        <v>0</v>
      </c>
      <c r="AK328" s="4">
        <v>1</v>
      </c>
      <c r="AL328" s="4">
        <v>0</v>
      </c>
      <c r="AM328" s="4">
        <v>1</v>
      </c>
      <c r="AN328" s="44" t="s">
        <v>40</v>
      </c>
      <c r="AO328" s="8">
        <f t="shared" si="166"/>
        <v>2388.0706080331493</v>
      </c>
      <c r="AP328" s="8">
        <f>IFERROR(C328*_xlfn.XLOOKUP(E328,Groups!A:A,Groups!K:K),0.106*C328^0.94)</f>
        <v>0.32097870798755029</v>
      </c>
      <c r="AQ328" s="8">
        <f>AP328*10000/(_xlfn.XLOOKUP(E328,Groups!A:A,Groups!J:J)*AO328)</f>
        <v>1.23311211107864</v>
      </c>
      <c r="AR328" s="8">
        <f t="shared" si="167"/>
        <v>147.17316334038017</v>
      </c>
      <c r="AS328" s="8">
        <f>IF(_xlfn.XLOOKUP(E328,Groups!A:A,Groups!M:M)=1,EXP(0.7444*LN('Base stats'!C328)+6.5696),EXP(0.7927*LN('Base stats'!C328)+4.28))</f>
        <v>183.88670156656516</v>
      </c>
      <c r="AT328" s="8">
        <f>IF(_xlfn.XLOOKUP(E328,Groups!A:A,Groups!N:N)="No","No",
IF(_xlfn.XLOOKUP(E328,Groups!A:A,Groups!N:N)="Crocodile",EXP(0.8129*LN(C328)+4.6742)*S328,
IF(_xlfn.XLOOKUP(E328,Groups!A:A,Groups!N:N)="Felid",EXP(0.7843*LN(C328)+4.7073)*S328,
IF(_xlfn.XLOOKUP(E328,Groups!A:A,Groups!N:N)="Canid",EXP(0.8367*LN(C328)+4.8763)*S328,
IF(_xlfn.XLOOKUP(E328,Groups!A:A,Groups!N:N)="Pig",EXP(0.3439*LN(C328)+6.8519)*S328,
IF(_xlfn.XLOOKUP(E328,Groups!A:A,Groups!N:N)="Rodent",EXP(0.5625*LN(C328)+4.3006)*S328,
IF(_xlfn.XLOOKUP(E328,Groups!A:A,Groups!N:N)="Primate",EXP(0.7847*LN(C328)+3.4931)*S328,
IF(_xlfn.XLOOKUP(E328,Groups!A:A,Groups!N:N)="MiscCarnivora",EXP(0.7486*LN(C328)+4.2207)*S328,
IF(_xlfn.XLOOKUP(E328,Groups!A:A,Groups!N:N)="Lizard",EXP(0.7733*LN(C328)+5.5303)*S328,
IF(_xlfn.XLOOKUP(E328,Groups!A:A,Groups!N:N)="Snake",50*C328^(2/3)*S328,
IF(_xlfn.XLOOKUP(E328,Groups!A:A,Groups!N:N)="StrongBitingHerbivore",87.1133638856975*C328^(2/3)*S328,
IF(_xlfn.XLOOKUP(E328,Groups!A:A,Groups!N:N)="MiscEctotherms",59.4316884072269*C328^(2/3)*S328,
IF(_xlfn.XLOOKUP(E328,Groups!A:A,Groups!N:N)="StrongBeakBird",0.041*(C328*1000)^1.375*S328,
IF(_xlfn.XLOOKUP(E328,Groups!A:A,Groups!N:N)="Bird",0.118*(C328*1000)^0.692*S328,
IF(_xlfn.XLOOKUP(E328,Groups!A:A,Groups!N:N)="Insect",EXP(0.7444*LN(C328)+6.5696)*S328,
IF(_xlfn.XLOOKUP(E328,Groups!A:A,Groups!N:N)="Theropod",EXP(0.6966*LN(C328)+4.158)*S328,
"No"))))))))))))))))</f>
        <v>31.776443854869786</v>
      </c>
      <c r="AU328" s="8">
        <f>IF(_xlfn.XLOOKUP(E328,Groups!A:A,Groups!U:U)=3,AS328,IF(_xlfn.XLOOKUP(E328,Groups!A:A,Groups!U:U)=2,AR328,AT328))</f>
        <v>31.776443854869786</v>
      </c>
      <c r="AV328" s="46">
        <f>IFERROR(AVERAGE(_xlfn.XLOOKUP(B328,Animals!B:B,Animals!N:N),_xlfn.XLOOKUP(B328,Animals!B:B,Animals!O:O)),0)</f>
        <v>0</v>
      </c>
      <c r="AW328" s="8">
        <f>MROUND(40*Animals!AO328*_xlfn.XLOOKUP(AG328,Leathers!$A$2:$A$99,Leathers!$B$2:$B$99,0)+(140*_xlfn.XLOOKUP(B328,Animals!B:B,Animals!AO:AO)*2),5)</f>
        <v>70</v>
      </c>
      <c r="AX328" s="8">
        <f>IFERROR(ROUND(SQRT(V328-1)*IF(_xlfn.XLOOKUP(E328,Groups!A:A,Groups!BF:BF)=0,2,1)*IF(_xlfn.XLOOKUP('Base stats'!E328,Groups!A:A,Groups!O:O)=0,1,0.1),1),0)</f>
        <v>0.3</v>
      </c>
      <c r="AY328" s="8">
        <f t="shared" si="168"/>
        <v>0</v>
      </c>
      <c r="AZ328" s="8">
        <f t="shared" si="169"/>
        <v>0</v>
      </c>
      <c r="BA328" s="8">
        <f t="shared" si="170"/>
        <v>0.9</v>
      </c>
      <c r="BB328" s="8">
        <f>IF(_xlfn.XLOOKUP(E328,Groups!A:A,Groups!N:N)="Insect",BD328*2.5,IFERROR(AVERAGE(BD328,AT328/9.81/IF(OR(_xlfn.XLOOKUP(E328,Groups!A:A,Groups!N:N)="Pig",_xlfn.XLOOKUP(E328,Groups!A:A,Groups!N:N)="StrongBitingHerbivore"),20,25))*C328^-0.135,BD328))</f>
        <v>9.9770886873501538E-2</v>
      </c>
      <c r="BC328" s="8" t="str">
        <f>IF(W328="No","No",IF(_xlfn.XLOOKUP(E328,Groups!A:A,Groups!U:U)=1,'Base stats'!BB328,IF(OR(_xlfn.XLOOKUP(E328,Groups!A:A,Groups!BD:BD)=1,_xlfn.XLOOKUP(E328,Groups!A:A,Groups!U:U)=2),BD328,IF(_xlfn.XLOOKUP(B328,Animals!B:B,Animals!AO:AO)&gt;4,AVERAGE(BD328,BF328),BF328))))</f>
        <v>No</v>
      </c>
      <c r="BD328" s="8">
        <f t="shared" si="171"/>
        <v>0.10439053900204885</v>
      </c>
      <c r="BE328" s="8">
        <f>IF(_xlfn.XLOOKUP(E328,Groups!A:A,Groups!BE:BE)=1,(0.048*C328^1.01)+(0.071*C328^1.03),0.071*C328^1.03)/IF(_xlfn.XLOOKUP(E328,Groups!A:A,Groups!M:M)=1,0.85,IF(OR(_xlfn.XLOOKUP(B328,Animals!B:B,Animals!AO:AO)&gt;4,_xlfn.XLOOKUP(E328,Groups!A:A,Groups!BC:BC)=1),1.7,1))*C328^-0.25</f>
        <v>0.29560753421709091</v>
      </c>
      <c r="BF328" s="8">
        <f>(0.048*C328^1.01)/IF(_xlfn.XLOOKUP(E328,Groups!A:A,Groups!M:M)=1,0.25,0.8)*C328^-0.25</f>
        <v>0.14695440365444534</v>
      </c>
      <c r="BG328" s="8">
        <f>EXP(1.076*LN(AR328)-4.5397)*IF(_xlfn.XLOOKUP(E328,Groups!A:A,Groups!BC:BC)=1,1.25,IF(_xlfn.XLOOKUP(E328,Groups!A:A,Groups!BD:BD)=1,3.5,2.5))</f>
        <v>5.7405955414483669</v>
      </c>
      <c r="BH328" s="8">
        <f>EXP(1.076*LN(AS328)-4.5397)*IF(_xlfn.XLOOKUP(E328,Groups!A:A,Groups!M:M)=1,0.8,IF(_xlfn.XLOOKUP(E328,Groups!A:A,Groups!BC:BC)=1,1.3,3))</f>
        <v>8.7540846645893815</v>
      </c>
      <c r="BI328" s="8" t="str">
        <f>IF(W328="No","No",IF(_xlfn.XLOOKUP(E328,Groups!A:A,Groups!U:U)=1,'Base stats'!BJ328,IF(OR(_xlfn.XLOOKUP(E328,Groups!A:A,Groups!BD:BD)=1,_xlfn.XLOOKUP(E328,Groups!A:A,Groups!U:U)=2),BG328,BH328))*1.2)</f>
        <v>No</v>
      </c>
      <c r="BJ328" s="8">
        <f>IFERROR(EXP(1.076*LN(AT328)-4.5397)*IF(_xlfn.XLOOKUP(E328,Groups!A:A,Groups!N:N)="Insect",1,IF(OR(_xlfn.XLOOKUP(E328,Groups!A:A,Groups!N:N)="Pig",_xlfn.XLOOKUP(E328,Groups!A:A,Groups!N:N)="StrongBitingHerbivore"),3.5,3.75)),"No")</f>
        <v>1.6547405272942206</v>
      </c>
      <c r="BK328" s="8">
        <f t="shared" si="172"/>
        <v>10</v>
      </c>
      <c r="BL328" s="8">
        <f t="shared" si="173"/>
        <v>7</v>
      </c>
      <c r="BM328" s="8" t="str">
        <f t="shared" si="174"/>
        <v>No</v>
      </c>
      <c r="BN328" s="8">
        <f t="shared" si="175"/>
        <v>5</v>
      </c>
      <c r="BO328" s="8">
        <f t="shared" si="176"/>
        <v>10</v>
      </c>
      <c r="BP328" s="8" t="str" cm="1">
        <f t="array" ref="BP328">IF(AND(_xlfn.XLOOKUP('Base stats'!E328,Groups!A:A,Groups!AD:AD=0),_xlfn.XLOOKUP('Base stats'!E328,Groups!A:A,Groups!P:P=0)),"No",IF(U328="No",AVERAGE(EXP(-0.57+0.99*LN(C328)),EXP(0.32+0.67*LN(C328)))/IF(_xlfn.XLOOKUP(E328,Groups!A:A,Groups!AD:AD)=1,10,2),(0.7354*C328^0.4078)*2/IF(_xlfn.XLOOKUP(E328,Groups!A:A,Groups!BK:BK)=1,1000,100)/IF(_xlfn.XLOOKUP(E328,Groups!A:A,Groups!AJ:AJ)="Photonozoa",3,1)))</f>
        <v>No</v>
      </c>
      <c r="BQ328" s="8" t="str">
        <f>IF(W328="No","No",IF(_xlfn.XLOOKUP(E328,Groups!A:A,Groups!BD:BD)=1,(AO328*5%),EXP(0.7354*LN(C328)^0.4078)*2/IF(_xlfn.XLOOKUP(E328,Groups!A:A,Groups!BL:BL)=1,1000,100)/IF(_xlfn.XLOOKUP(E328,Groups!A:A,Groups!AJ:AJ)="Photonozoa",3,1)))</f>
        <v>No</v>
      </c>
      <c r="BR328" s="8">
        <f>IF(BJ328="No","No",IF(_xlfn.XLOOKUP(E328,Groups!A:A,Groups!BF:BF)=1,(0.0315*C328+2.1825)*2,(0.7354*C328^0.4078)*2)/IF(_xlfn.XLOOKUP(E328,Groups!A:A,Groups!BM:BM)=1,1000,100)/IF(_xlfn.XLOOKUP(E328,Groups!A:A,Groups!AJ:AJ)="Photonozoa",3,1))</f>
        <v>2.3784808318953549E-2</v>
      </c>
      <c r="BS328" s="8">
        <f t="shared" si="177"/>
        <v>4.8077268085271629E-2</v>
      </c>
      <c r="BT328" s="8" t="str">
        <f t="shared" si="178"/>
        <v>No</v>
      </c>
      <c r="BU328" s="8" t="str">
        <f t="shared" si="179"/>
        <v>No</v>
      </c>
      <c r="BV328" s="8">
        <f t="shared" si="180"/>
        <v>69.571320697825314</v>
      </c>
      <c r="BW328" s="4">
        <v>0</v>
      </c>
      <c r="BX328" s="4">
        <v>1</v>
      </c>
    </row>
    <row r="329" spans="1:76" s="16" customFormat="1" x14ac:dyDescent="0.25">
      <c r="A329" s="26" t="s">
        <v>1534</v>
      </c>
      <c r="B329" s="6" t="s">
        <v>1673</v>
      </c>
      <c r="C329" s="7">
        <v>20</v>
      </c>
      <c r="D329" s="7" t="s">
        <v>528</v>
      </c>
      <c r="E329" s="7" t="str">
        <f>Groups!$A$120</f>
        <v>Theropod (RAPTOR)</v>
      </c>
      <c r="F329" s="7" t="str">
        <f t="shared" si="185"/>
        <v>Lay eggs</v>
      </c>
      <c r="G329" s="7">
        <v>1.5</v>
      </c>
      <c r="H329" s="7">
        <v>15</v>
      </c>
      <c r="I329" s="4">
        <v>1</v>
      </c>
      <c r="J329" s="7" t="str">
        <f t="shared" si="186"/>
        <v>Lay eggs</v>
      </c>
      <c r="K329" s="7" t="s">
        <v>528</v>
      </c>
      <c r="L329" s="7">
        <f>10.8*3.6</f>
        <v>38.880000000000003</v>
      </c>
      <c r="M329" s="7" t="s">
        <v>1958</v>
      </c>
      <c r="N329" s="4">
        <v>0</v>
      </c>
      <c r="O329" s="4">
        <v>2</v>
      </c>
      <c r="P329" s="4">
        <v>0</v>
      </c>
      <c r="Q329" s="4">
        <v>0</v>
      </c>
      <c r="R329" s="4" t="s">
        <v>40</v>
      </c>
      <c r="S329" s="7">
        <f>_xlfn.XLOOKUP(B329,[1]TeethAdjusters!$A:$A,[1]BiteAdjusters!$C:$C,1)</f>
        <v>0.47844493899746898</v>
      </c>
      <c r="T329" s="7">
        <f>_xlfn.XLOOKUP(B329,[1]TeethAdjusters!$A:$A,[1]TeethAdjusters!$B:$B,1)</f>
        <v>1</v>
      </c>
      <c r="U329" s="7">
        <v>4</v>
      </c>
      <c r="V329" s="7">
        <v>1.5</v>
      </c>
      <c r="W329" s="7" t="s">
        <v>45</v>
      </c>
      <c r="X329" s="7" t="s">
        <v>932</v>
      </c>
      <c r="Y329" s="4" t="s">
        <v>56</v>
      </c>
      <c r="Z329" s="4">
        <v>1</v>
      </c>
      <c r="AA329" s="4">
        <v>0</v>
      </c>
      <c r="AB329" s="4">
        <v>0</v>
      </c>
      <c r="AC329" s="4">
        <v>0</v>
      </c>
      <c r="AD329" s="4">
        <v>0</v>
      </c>
      <c r="AE329" s="4" t="s">
        <v>45</v>
      </c>
      <c r="AF329" s="4" t="s">
        <v>45</v>
      </c>
      <c r="AG329" s="49" t="s">
        <v>375</v>
      </c>
      <c r="AH329" s="4" t="s">
        <v>45</v>
      </c>
      <c r="AI329" s="4">
        <v>0</v>
      </c>
      <c r="AJ329" s="4">
        <v>0</v>
      </c>
      <c r="AK329" s="4">
        <v>0</v>
      </c>
      <c r="AL329" s="4">
        <v>0</v>
      </c>
      <c r="AM329" s="4">
        <v>1</v>
      </c>
      <c r="AN329" s="44" t="s">
        <v>40</v>
      </c>
      <c r="AO329" s="8">
        <f t="shared" si="166"/>
        <v>7780.2307188855666</v>
      </c>
      <c r="AP329" s="8">
        <f>IFERROR(C329*_xlfn.XLOOKUP(E329,Groups!A:A,Groups!K:K),0.106*C329^0.94)</f>
        <v>1.7712263366972112</v>
      </c>
      <c r="AQ329" s="8">
        <f>AP329*10000/(_xlfn.XLOOKUP(E329,Groups!A:A,Groups!J:J)*AO329)</f>
        <v>2.0885991036274314</v>
      </c>
      <c r="AR329" s="8">
        <f t="shared" si="167"/>
        <v>683.0001310678939</v>
      </c>
      <c r="AS329" s="8">
        <f>IF(_xlfn.XLOOKUP(E329,Groups!A:A,Groups!M:M)=1,EXP(0.7444*LN('Base stats'!C329)+6.5696),EXP(0.7927*LN('Base stats'!C329)+4.28))</f>
        <v>776.43813921979063</v>
      </c>
      <c r="AT329" s="8">
        <f>IF(_xlfn.XLOOKUP(E329,Groups!A:A,Groups!N:N)="No","No",
IF(_xlfn.XLOOKUP(E329,Groups!A:A,Groups!N:N)="Crocodile",EXP(0.8129*LN(C329)+4.6742)*S329,
IF(_xlfn.XLOOKUP(E329,Groups!A:A,Groups!N:N)="Felid",EXP(0.7843*LN(C329)+4.7073)*S329,
IF(_xlfn.XLOOKUP(E329,Groups!A:A,Groups!N:N)="Canid",EXP(0.8367*LN(C329)+4.8763)*S329,
IF(_xlfn.XLOOKUP(E329,Groups!A:A,Groups!N:N)="Pig",EXP(0.3439*LN(C329)+6.8519)*S329,
IF(_xlfn.XLOOKUP(E329,Groups!A:A,Groups!N:N)="Rodent",EXP(0.5625*LN(C329)+4.3006)*S329,
IF(_xlfn.XLOOKUP(E329,Groups!A:A,Groups!N:N)="Primate",EXP(0.7847*LN(C329)+3.4931)*S329,
IF(_xlfn.XLOOKUP(E329,Groups!A:A,Groups!N:N)="MiscCarnivora",EXP(0.7486*LN(C329)+4.2207)*S329,
IF(_xlfn.XLOOKUP(E329,Groups!A:A,Groups!N:N)="Lizard",EXP(0.7733*LN(C329)+5.5303)*S329,
IF(_xlfn.XLOOKUP(E329,Groups!A:A,Groups!N:N)="Snake",50*C329^(2/3)*S329,
IF(_xlfn.XLOOKUP(E329,Groups!A:A,Groups!N:N)="StrongBitingHerbivore",87.1133638856975*C329^(2/3)*S329,
IF(_xlfn.XLOOKUP(E329,Groups!A:A,Groups!N:N)="MiscEctotherms",59.4316884072269*C329^(2/3)*S329,
IF(_xlfn.XLOOKUP(E329,Groups!A:A,Groups!N:N)="StrongBeakBird",0.041*(C329*1000)^1.375*S329,
IF(_xlfn.XLOOKUP(E329,Groups!A:A,Groups!N:N)="Bird",0.118*(C329*1000)^0.692*S329,
IF(_xlfn.XLOOKUP(E329,Groups!A:A,Groups!N:N)="Insect",EXP(0.7444*LN(C329)+6.5696)*S329,
IF(_xlfn.XLOOKUP(E329,Groups!A:A,Groups!N:N)="Theropod",EXP(0.6966*LN(C329)+4.158)*S329,
"No"))))))))))))))))</f>
        <v>246.56187027810512</v>
      </c>
      <c r="AU329" s="8">
        <f>IF(_xlfn.XLOOKUP(E329,Groups!A:A,Groups!U:U)=3,AS329,IF(_xlfn.XLOOKUP(E329,Groups!A:A,Groups!U:U)=2,AR329,AT329))</f>
        <v>246.56187027810512</v>
      </c>
      <c r="AV329" s="46">
        <f>IFERROR(AVERAGE(_xlfn.XLOOKUP(B329,Animals!B:B,Animals!N:N),_xlfn.XLOOKUP(B329,Animals!B:B,Animals!O:O)),0)</f>
        <v>0</v>
      </c>
      <c r="AW329" s="8">
        <f>MROUND(40*Animals!AO329*_xlfn.XLOOKUP(AG329,Leathers!$A$2:$A$99,Leathers!$B$2:$B$99,0)+(140*_xlfn.XLOOKUP(B329,Animals!B:B,Animals!AO:AO)*2),5)</f>
        <v>210</v>
      </c>
      <c r="AX329" s="8">
        <f>IFERROR(ROUND(SQRT(V329-1)*IF(_xlfn.XLOOKUP(E329,Groups!A:A,Groups!BF:BF)=0,2,1)*IF(_xlfn.XLOOKUP('Base stats'!E329,Groups!A:A,Groups!O:O)=0,1,0.1),1),0)</f>
        <v>1.4</v>
      </c>
      <c r="AY329" s="8">
        <f t="shared" si="168"/>
        <v>1.7</v>
      </c>
      <c r="AZ329" s="8">
        <f t="shared" si="169"/>
        <v>0</v>
      </c>
      <c r="BA329" s="8">
        <f t="shared" si="170"/>
        <v>2.2999999999999998</v>
      </c>
      <c r="BB329" s="8">
        <f>IF(_xlfn.XLOOKUP(E329,Groups!A:A,Groups!N:N)="Insect",BD329*2.5,IFERROR(AVERAGE(BD329,AT329/9.81/IF(OR(_xlfn.XLOOKUP(E329,Groups!A:A,Groups!N:N)="Pig",_xlfn.XLOOKUP(E329,Groups!A:A,Groups!N:N)="StrongBitingHerbivore"),20,25))*C329^-0.135,BD329))</f>
        <v>0.49314416357358742</v>
      </c>
      <c r="BC329" s="8" t="str">
        <f>IF(W329="No","No",IF(_xlfn.XLOOKUP(E329,Groups!A:A,Groups!U:U)=1,'Base stats'!BB329,IF(OR(_xlfn.XLOOKUP(E329,Groups!A:A,Groups!BD:BD)=1,_xlfn.XLOOKUP(E329,Groups!A:A,Groups!U:U)=2),BD329,IF(_xlfn.XLOOKUP(B329,Animals!B:B,Animals!AO:AO)&gt;4,AVERAGE(BD329,BF329),BF329))))</f>
        <v>No</v>
      </c>
      <c r="BD329" s="8">
        <f t="shared" si="171"/>
        <v>0.4725437173376934</v>
      </c>
      <c r="BE329" s="8">
        <f>IF(_xlfn.XLOOKUP(E329,Groups!A:A,Groups!BE:BE)=1,(0.048*C329^1.01)+(0.071*C329^1.03),0.071*C329^1.03)/IF(_xlfn.XLOOKUP(E329,Groups!A:A,Groups!M:M)=1,0.85,IF(OR(_xlfn.XLOOKUP(B329,Animals!B:B,Animals!AO:AO)&gt;4,_xlfn.XLOOKUP(E329,Groups!A:A,Groups!BC:BC)=1),1.7,1))*C329^-0.25</f>
        <v>1.202379330983677</v>
      </c>
      <c r="BF329" s="8">
        <f>(0.048*C329^1.01)/IF(_xlfn.XLOOKUP(E329,Groups!A:A,Groups!M:M)=1,0.25,0.8)*C329^-0.25</f>
        <v>0.58470128338370886</v>
      </c>
      <c r="BG329" s="8">
        <f>EXP(1.076*LN(AR329)-4.5397)*IF(_xlfn.XLOOKUP(E329,Groups!A:A,Groups!BC:BC)=1,1.25,IF(_xlfn.XLOOKUP(E329,Groups!A:A,Groups!BD:BD)=1,3.5,2.5))</f>
        <v>29.937126744147832</v>
      </c>
      <c r="BH329" s="8">
        <f>EXP(1.076*LN(AS329)-4.5397)*IF(_xlfn.XLOOKUP(E329,Groups!A:A,Groups!M:M)=1,0.8,IF(_xlfn.XLOOKUP(E329,Groups!A:A,Groups!BC:BC)=1,1.3,3))</f>
        <v>41.239137793293878</v>
      </c>
      <c r="BI329" s="8" t="str">
        <f>IF(W329="No","No",IF(_xlfn.XLOOKUP(E329,Groups!A:A,Groups!U:U)=1,'Base stats'!BJ329,IF(OR(_xlfn.XLOOKUP(E329,Groups!A:A,Groups!BD:BD)=1,_xlfn.XLOOKUP(E329,Groups!A:A,Groups!U:U)=2),BG329,BH329))*1.2)</f>
        <v>No</v>
      </c>
      <c r="BJ329" s="8">
        <f>IFERROR(EXP(1.076*LN(AT329)-4.5397)*IF(_xlfn.XLOOKUP(E329,Groups!A:A,Groups!N:N)="Insect",1,IF(OR(_xlfn.XLOOKUP(E329,Groups!A:A,Groups!N:N)="Pig",_xlfn.XLOOKUP(E329,Groups!A:A,Groups!N:N)="StrongBitingHerbivore"),3.5,3.75)),"No")</f>
        <v>15.002958001315326</v>
      </c>
      <c r="BK329" s="8">
        <f t="shared" si="172"/>
        <v>11</v>
      </c>
      <c r="BL329" s="8">
        <f t="shared" si="173"/>
        <v>8</v>
      </c>
      <c r="BM329" s="8" t="str">
        <f t="shared" si="174"/>
        <v>No</v>
      </c>
      <c r="BN329" s="8">
        <f t="shared" si="175"/>
        <v>7</v>
      </c>
      <c r="BO329" s="8">
        <f t="shared" si="176"/>
        <v>11</v>
      </c>
      <c r="BP329" s="8" cm="1">
        <f t="array" ref="BP329">IF(AND(_xlfn.XLOOKUP('Base stats'!E329,Groups!A:A,Groups!AD:AD=0),_xlfn.XLOOKUP('Base stats'!E329,Groups!A:A,Groups!P:P=0)),"No",IF(U329="No",AVERAGE(EXP(-0.57+0.99*LN(C329)),EXP(0.32+0.67*LN(C329)))/IF(_xlfn.XLOOKUP(E329,Groups!A:A,Groups!AD:AD)=1,10,2),(0.7354*C329^0.4078)*2/IF(_xlfn.XLOOKUP(E329,Groups!A:A,Groups!BK:BK)=1,1000,100)/IF(_xlfn.XLOOKUP(E329,Groups!A:A,Groups!AJ:AJ)="Photonozoa",3,1)))</f>
        <v>4.9901506096388083E-2</v>
      </c>
      <c r="BQ329" s="8" t="str">
        <f>IF(W329="No","No",IF(_xlfn.XLOOKUP(E329,Groups!A:A,Groups!BD:BD)=1,(AO329*5%),EXP(0.7354*LN(C329)^0.4078)*2/IF(_xlfn.XLOOKUP(E329,Groups!A:A,Groups!BL:BL)=1,1000,100)/IF(_xlfn.XLOOKUP(E329,Groups!A:A,Groups!AJ:AJ)="Photonozoa",3,1)))</f>
        <v>No</v>
      </c>
      <c r="BR329" s="8">
        <f>IF(BJ329="No","No",IF(_xlfn.XLOOKUP(E329,Groups!A:A,Groups!BF:BF)=1,(0.0315*C329+2.1825)*2,(0.7354*C329^0.4078)*2)/IF(_xlfn.XLOOKUP(E329,Groups!A:A,Groups!BM:BM)=1,1000,100)/IF(_xlfn.XLOOKUP(E329,Groups!A:A,Groups!AJ:AJ)="Photonozoa",3,1))</f>
        <v>4.9901506096388083E-2</v>
      </c>
      <c r="BS329" s="8">
        <f t="shared" si="177"/>
        <v>7.6956912528259827E-2</v>
      </c>
      <c r="BT329" s="8">
        <f t="shared" si="178"/>
        <v>826.41068415125062</v>
      </c>
      <c r="BU329" s="8" t="str">
        <f t="shared" si="179"/>
        <v>No</v>
      </c>
      <c r="BV329" s="8">
        <f t="shared" si="180"/>
        <v>300.65140663963354</v>
      </c>
      <c r="BW329" s="4">
        <v>0</v>
      </c>
      <c r="BX329" s="4">
        <v>1</v>
      </c>
    </row>
    <row r="330" spans="1:76" s="16" customFormat="1" x14ac:dyDescent="0.25">
      <c r="A330" s="26" t="s">
        <v>1893</v>
      </c>
      <c r="B330" s="6" t="s">
        <v>1894</v>
      </c>
      <c r="C330" s="7">
        <v>5644</v>
      </c>
      <c r="D330" s="7" t="s">
        <v>1895</v>
      </c>
      <c r="E330" s="7" t="str">
        <f>Groups!$A$119</f>
        <v>Theropod</v>
      </c>
      <c r="F330" s="7" t="str">
        <f t="shared" si="185"/>
        <v>Lay eggs</v>
      </c>
      <c r="G330" s="7">
        <v>18</v>
      </c>
      <c r="H330" s="7">
        <v>30</v>
      </c>
      <c r="I330" s="4">
        <v>1</v>
      </c>
      <c r="J330" s="7" t="str">
        <f t="shared" si="190"/>
        <v>Lay eggs</v>
      </c>
      <c r="K330" s="7" t="s">
        <v>1915</v>
      </c>
      <c r="L330" s="7">
        <v>28.8</v>
      </c>
      <c r="M330" s="7" t="s">
        <v>2019</v>
      </c>
      <c r="N330" s="4">
        <v>0</v>
      </c>
      <c r="O330" s="4">
        <v>0</v>
      </c>
      <c r="P330" s="4">
        <v>0</v>
      </c>
      <c r="Q330" s="4">
        <v>0</v>
      </c>
      <c r="R330" s="4" t="s">
        <v>40</v>
      </c>
      <c r="S330" s="7">
        <f>_xlfn.XLOOKUP(B330,[1]TeethAdjusters!$A:$A,[1]BiteAdjusters!$C:$C,1)</f>
        <v>1.8364595276640094</v>
      </c>
      <c r="T330" s="7">
        <f>_xlfn.XLOOKUP(B330,[1]TeethAdjusters!$A:$A,[1]TeethAdjusters!$B:$B,1)</f>
        <v>1</v>
      </c>
      <c r="U330" s="7" t="s">
        <v>45</v>
      </c>
      <c r="V330" s="7">
        <v>12</v>
      </c>
      <c r="W330" s="7" t="s">
        <v>45</v>
      </c>
      <c r="X330" s="7" t="s">
        <v>932</v>
      </c>
      <c r="Y330" s="4" t="s">
        <v>56</v>
      </c>
      <c r="Z330" s="4">
        <v>1</v>
      </c>
      <c r="AA330" s="4">
        <v>0</v>
      </c>
      <c r="AB330" s="4">
        <v>0</v>
      </c>
      <c r="AC330" s="4">
        <v>0</v>
      </c>
      <c r="AD330" s="4">
        <v>0</v>
      </c>
      <c r="AE330" s="4" t="s">
        <v>45</v>
      </c>
      <c r="AF330" s="4" t="s">
        <v>45</v>
      </c>
      <c r="AG330" s="49" t="s">
        <v>1896</v>
      </c>
      <c r="AH330" s="4" t="s">
        <v>45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4" t="s">
        <v>40</v>
      </c>
      <c r="AO330" s="8">
        <f t="shared" si="166"/>
        <v>304687.42613289203</v>
      </c>
      <c r="AP330" s="8">
        <f>IFERROR(C330*_xlfn.XLOOKUP(E330,Groups!A:A,Groups!K:K),0.106*C330^0.94)</f>
        <v>356.28509154856886</v>
      </c>
      <c r="AQ330" s="8">
        <f>AP330*10000/(_xlfn.XLOOKUP(E330,Groups!A:A,Groups!J:J)*AO330)</f>
        <v>10.727947018201238</v>
      </c>
      <c r="AR330" s="8">
        <f t="shared" si="167"/>
        <v>80242.840332207619</v>
      </c>
      <c r="AS330" s="8">
        <f>IF(_xlfn.XLOOKUP(E330,Groups!A:A,Groups!M:M)=1,EXP(0.7444*LN('Base stats'!C330)+6.5696),EXP(0.7927*LN('Base stats'!C330)+4.28))</f>
        <v>68024.193503239032</v>
      </c>
      <c r="AT330" s="8">
        <f>IF(_xlfn.XLOOKUP(E330,Groups!A:A,Groups!N:N)="No","No",
IF(_xlfn.XLOOKUP(E330,Groups!A:A,Groups!N:N)="Crocodile",EXP(0.8129*LN(C330)+4.6742)*S330,
IF(_xlfn.XLOOKUP(E330,Groups!A:A,Groups!N:N)="Felid",EXP(0.7843*LN(C330)+4.7073)*S330,
IF(_xlfn.XLOOKUP(E330,Groups!A:A,Groups!N:N)="Canid",EXP(0.8367*LN(C330)+4.8763)*S330,
IF(_xlfn.XLOOKUP(E330,Groups!A:A,Groups!N:N)="Pig",EXP(0.3439*LN(C330)+6.8519)*S330,
IF(_xlfn.XLOOKUP(E330,Groups!A:A,Groups!N:N)="Rodent",EXP(0.5625*LN(C330)+4.3006)*S330,
IF(_xlfn.XLOOKUP(E330,Groups!A:A,Groups!N:N)="Primate",EXP(0.7847*LN(C330)+3.4931)*S330,
IF(_xlfn.XLOOKUP(E330,Groups!A:A,Groups!N:N)="MiscCarnivora",EXP(0.7486*LN(C330)+4.2207)*S330,
IF(_xlfn.XLOOKUP(E330,Groups!A:A,Groups!N:N)="Lizard",EXP(0.7733*LN(C330)+5.5303)*S330,
IF(_xlfn.XLOOKUP(E330,Groups!A:A,Groups!N:N)="Snake",50*C330^(2/3)*S330,
IF(_xlfn.XLOOKUP(E330,Groups!A:A,Groups!N:N)="StrongBitingHerbivore",87.1133638856975*C330^(2/3)*S330,
IF(_xlfn.XLOOKUP(E330,Groups!A:A,Groups!N:N)="MiscEctotherms",59.4316884072269*C330^(2/3)*S330,
IF(_xlfn.XLOOKUP(E330,Groups!A:A,Groups!N:N)="StrongBeakBird",0.041*(C330*1000)^1.375*S330,
IF(_xlfn.XLOOKUP(E330,Groups!A:A,Groups!N:N)="Bird",0.118*(C330*1000)^0.692*S330,
IF(_xlfn.XLOOKUP(E330,Groups!A:A,Groups!N:N)="Insect",EXP(0.7444*LN(C330)+6.5696)*S330,
IF(_xlfn.XLOOKUP(E330,Groups!A:A,Groups!N:N)="Theropod",EXP(0.6966*LN(C330)+4.158)*S330,
"No"))))))))))))))))</f>
        <v>48209.577474825652</v>
      </c>
      <c r="AU330" s="8">
        <f>IF(_xlfn.XLOOKUP(E330,Groups!A:A,Groups!U:U)=3,AS330,IF(_xlfn.XLOOKUP(E330,Groups!A:A,Groups!U:U)=2,AR330,AT330))</f>
        <v>48209.577474825652</v>
      </c>
      <c r="AV330" s="46">
        <f>IFERROR(AVERAGE(_xlfn.XLOOKUP(B330,Animals!B:B,Animals!N:N),_xlfn.XLOOKUP(B330,Animals!B:B,Animals!O:O)),0)</f>
        <v>0</v>
      </c>
      <c r="AW330" s="8">
        <f>MROUND(40*Animals!AO330*_xlfn.XLOOKUP(AG330,Leathers!$A$2:$A$99,Leathers!$B$2:$B$99,0)+(140*_xlfn.XLOOKUP(B330,Animals!B:B,Animals!AO:AO)*2),5)</f>
        <v>1540</v>
      </c>
      <c r="AX330" s="8">
        <f>IFERROR(ROUND(SQRT(V330-1)*IF(_xlfn.XLOOKUP(E330,Groups!A:A,Groups!BF:BF)=0,2,1)*IF(_xlfn.XLOOKUP('Base stats'!E330,Groups!A:A,Groups!O:O)=0,1,0.1),1),0)</f>
        <v>6.6</v>
      </c>
      <c r="AY330" s="8">
        <f t="shared" si="168"/>
        <v>0</v>
      </c>
      <c r="AZ330" s="8">
        <f t="shared" si="169"/>
        <v>0</v>
      </c>
      <c r="BA330" s="8">
        <f t="shared" si="170"/>
        <v>17.7</v>
      </c>
      <c r="BB330" s="8">
        <f>IF(_xlfn.XLOOKUP(E330,Groups!A:A,Groups!N:N)="Insect",BD330*2.5,IFERROR(AVERAGE(BD330,AT330/9.81/IF(OR(_xlfn.XLOOKUP(E330,Groups!A:A,Groups!N:N)="Pig",_xlfn.XLOOKUP(E330,Groups!A:A,Groups!N:N)="StrongBitingHerbivore"),20,25))*C330^-0.135,BD330))</f>
        <v>38.626741244298678</v>
      </c>
      <c r="BC330" s="8" t="str">
        <f>IF(W330="No","No",IF(_xlfn.XLOOKUP(E330,Groups!A:A,Groups!U:U)=1,'Base stats'!BB330,IF(OR(_xlfn.XLOOKUP(E330,Groups!A:A,Groups!BD:BD)=1,_xlfn.XLOOKUP(E330,Groups!A:A,Groups!U:U)=2),BD330,IF(_xlfn.XLOOKUP(B330,Animals!B:B,Animals!AO:AO)&gt;4,AVERAGE(BD330,BF330),BF330))))</f>
        <v>No</v>
      </c>
      <c r="BD330" s="8">
        <f t="shared" si="171"/>
        <v>51.387189809059151</v>
      </c>
      <c r="BE330" s="8">
        <f>IF(_xlfn.XLOOKUP(E330,Groups!A:A,Groups!BE:BE)=1,(0.048*C330^1.01)+(0.071*C330^1.03),0.071*C330^1.03)/IF(_xlfn.XLOOKUP(E330,Groups!A:A,Groups!M:M)=1,0.85,IF(OR(_xlfn.XLOOKUP(B330,Animals!B:B,Animals!AO:AO)&gt;4,_xlfn.XLOOKUP(E330,Groups!A:A,Groups!BC:BC)=1),1.7,1))*C330^-0.25</f>
        <v>55.285572625026944</v>
      </c>
      <c r="BF330" s="8">
        <f>(0.048*C330^1.01)/IF(_xlfn.XLOOKUP(E330,Groups!A:A,Groups!M:M)=1,0.25,0.8)*C330^-0.25</f>
        <v>42.594877565296066</v>
      </c>
      <c r="BG330" s="8">
        <f>EXP(1.076*LN(AR330)-4.5397)*IF(_xlfn.XLOOKUP(E330,Groups!A:A,Groups!BC:BC)=1,1.25,IF(_xlfn.XLOOKUP(E330,Groups!A:A,Groups!BD:BD)=1,3.5,2.5))</f>
        <v>5052.5953763464749</v>
      </c>
      <c r="BH330" s="8">
        <f>EXP(1.076*LN(AS330)-4.5397)*IF(_xlfn.XLOOKUP(E330,Groups!A:A,Groups!M:M)=1,0.8,IF(_xlfn.XLOOKUP(E330,Groups!A:A,Groups!BC:BC)=1,1.3,3))</f>
        <v>5075.7522429943465</v>
      </c>
      <c r="BI330" s="8" t="str">
        <f>IF(W330="No","No",IF(_xlfn.XLOOKUP(E330,Groups!A:A,Groups!U:U)=1,'Base stats'!BJ330,IF(OR(_xlfn.XLOOKUP(E330,Groups!A:A,Groups!BD:BD)=1,_xlfn.XLOOKUP(E330,Groups!A:A,Groups!U:U)=2),BG330,BH330))*1.2)</f>
        <v>No</v>
      </c>
      <c r="BJ330" s="8">
        <f>IFERROR(EXP(1.076*LN(AT330)-4.5397)*IF(_xlfn.XLOOKUP(E330,Groups!A:A,Groups!N:N)="Insect",1,IF(OR(_xlfn.XLOOKUP(E330,Groups!A:A,Groups!N:N)="Pig",_xlfn.XLOOKUP(E330,Groups!A:A,Groups!N:N)="StrongBitingHerbivore"),3.5,3.75)),"No")</f>
        <v>4380.4231565780528</v>
      </c>
      <c r="BK330" s="8">
        <f t="shared" si="172"/>
        <v>14</v>
      </c>
      <c r="BL330" s="8">
        <f t="shared" si="173"/>
        <v>13</v>
      </c>
      <c r="BM330" s="8" t="str">
        <f t="shared" si="174"/>
        <v>No</v>
      </c>
      <c r="BN330" s="8">
        <f t="shared" si="175"/>
        <v>15</v>
      </c>
      <c r="BO330" s="8">
        <f t="shared" si="176"/>
        <v>15</v>
      </c>
      <c r="BP330" s="8" t="str" cm="1">
        <f t="array" ref="BP330">IF(AND(_xlfn.XLOOKUP('Base stats'!E330,Groups!A:A,Groups!AD:AD=0),_xlfn.XLOOKUP('Base stats'!E330,Groups!A:A,Groups!P:P=0)),"No",IF(U330="No",AVERAGE(EXP(-0.57+0.99*LN(C330)),EXP(0.32+0.67*LN(C330)))/IF(_xlfn.XLOOKUP(E330,Groups!A:A,Groups!AD:AD)=1,10,2),(0.7354*C330^0.4078)*2/IF(_xlfn.XLOOKUP(E330,Groups!A:A,Groups!BK:BK)=1,1000,100)/IF(_xlfn.XLOOKUP(E330,Groups!A:A,Groups!AJ:AJ)="Photonozoa",3,1)))</f>
        <v>No</v>
      </c>
      <c r="BQ330" s="8" t="str">
        <f>IF(W330="No","No",IF(_xlfn.XLOOKUP(E330,Groups!A:A,Groups!BD:BD)=1,(AO330*5%),EXP(0.7354*LN(C330)^0.4078)*2/IF(_xlfn.XLOOKUP(E330,Groups!A:A,Groups!BL:BL)=1,1000,100)/IF(_xlfn.XLOOKUP(E330,Groups!A:A,Groups!AJ:AJ)="Photonozoa",3,1)))</f>
        <v>No</v>
      </c>
      <c r="BR330" s="8">
        <f>IF(BJ330="No","No",IF(_xlfn.XLOOKUP(E330,Groups!A:A,Groups!BF:BF)=1,(0.0315*C330+2.1825)*2,(0.7354*C330^0.4078)*2)/IF(_xlfn.XLOOKUP(E330,Groups!A:A,Groups!BM:BM)=1,1000,100)/IF(_xlfn.XLOOKUP(E330,Groups!A:A,Groups!AJ:AJ)="Photonozoa",3,1))</f>
        <v>0.49825400912316586</v>
      </c>
      <c r="BS330" s="8">
        <f t="shared" si="177"/>
        <v>0.33165762305811347</v>
      </c>
      <c r="BT330" s="8" t="str">
        <f t="shared" si="178"/>
        <v>No</v>
      </c>
      <c r="BU330" s="8" t="str">
        <f t="shared" si="179"/>
        <v>No</v>
      </c>
      <c r="BV330" s="8">
        <f t="shared" si="180"/>
        <v>8791.5462321854284</v>
      </c>
      <c r="BW330" s="4">
        <v>0</v>
      </c>
      <c r="BX330" s="4">
        <v>1</v>
      </c>
    </row>
    <row r="331" spans="1:76" s="16" customFormat="1" x14ac:dyDescent="0.25">
      <c r="A331" s="26" t="s">
        <v>1899</v>
      </c>
      <c r="B331" s="6" t="s">
        <v>1900</v>
      </c>
      <c r="C331" s="7">
        <v>1414</v>
      </c>
      <c r="D331" s="7" t="s">
        <v>1901</v>
      </c>
      <c r="E331" s="7" t="str">
        <f>Groups!$A$121</f>
        <v>Theropod (CLAWED)</v>
      </c>
      <c r="F331" s="7" t="str">
        <f t="shared" si="185"/>
        <v>Lay eggs</v>
      </c>
      <c r="G331" s="7">
        <v>10</v>
      </c>
      <c r="H331" s="7">
        <f>AVERAGE(22,28)</f>
        <v>25</v>
      </c>
      <c r="I331" s="4">
        <v>1</v>
      </c>
      <c r="J331" s="7" t="str">
        <f t="shared" si="190"/>
        <v>Lay eggs</v>
      </c>
      <c r="K331" s="7" t="s">
        <v>528</v>
      </c>
      <c r="L331" s="7">
        <v>33.840000000000003</v>
      </c>
      <c r="M331" s="7" t="s">
        <v>2019</v>
      </c>
      <c r="N331" s="4">
        <v>0</v>
      </c>
      <c r="O331" s="4">
        <v>0</v>
      </c>
      <c r="P331" s="4">
        <v>0</v>
      </c>
      <c r="Q331" s="4">
        <v>0</v>
      </c>
      <c r="R331" s="4" t="s">
        <v>40</v>
      </c>
      <c r="S331" s="7">
        <f>_xlfn.XLOOKUP(B331,[1]TeethAdjusters!$A:$A,[1]BiteAdjusters!$C:$C,1)</f>
        <v>1</v>
      </c>
      <c r="T331" s="7">
        <f>_xlfn.XLOOKUP(B331,[1]TeethAdjusters!$A:$A,[1]TeethAdjusters!$B:$B,1)</f>
        <v>1</v>
      </c>
      <c r="U331" s="7">
        <v>18</v>
      </c>
      <c r="V331" s="7">
        <v>6.5</v>
      </c>
      <c r="W331" s="7" t="s">
        <v>45</v>
      </c>
      <c r="X331" s="7" t="s">
        <v>932</v>
      </c>
      <c r="Y331" s="4" t="s">
        <v>56</v>
      </c>
      <c r="Z331" s="4">
        <v>1</v>
      </c>
      <c r="AA331" s="4">
        <v>0</v>
      </c>
      <c r="AB331" s="4">
        <v>0</v>
      </c>
      <c r="AC331" s="4">
        <v>0</v>
      </c>
      <c r="AD331" s="4">
        <v>0</v>
      </c>
      <c r="AE331" s="4" t="s">
        <v>45</v>
      </c>
      <c r="AF331" s="4" t="s">
        <v>45</v>
      </c>
      <c r="AG331" s="49" t="s">
        <v>1902</v>
      </c>
      <c r="AH331" s="4" t="s">
        <v>45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4" t="s">
        <v>40</v>
      </c>
      <c r="AO331" s="8">
        <f t="shared" si="166"/>
        <v>123912.49308096948</v>
      </c>
      <c r="AP331" s="8">
        <f>IFERROR(C331*_xlfn.XLOOKUP(E331,Groups!A:A,Groups!K:K),0.106*C331^0.94)</f>
        <v>96.990301677544878</v>
      </c>
      <c r="AQ331" s="8">
        <f>AP331*10000/(_xlfn.XLOOKUP(E331,Groups!A:A,Groups!J:J)*AO331)</f>
        <v>7.1810296066266828</v>
      </c>
      <c r="AR331" s="8">
        <f t="shared" si="167"/>
        <v>24924.437500736378</v>
      </c>
      <c r="AS331" s="8">
        <f>IF(_xlfn.XLOOKUP(E331,Groups!A:A,Groups!M:M)=1,EXP(0.7444*LN('Base stats'!C331)+6.5696),EXP(0.7927*LN('Base stats'!C331)+4.28))</f>
        <v>22706.052068587076</v>
      </c>
      <c r="AT331" s="8">
        <f>IF(_xlfn.XLOOKUP(E331,Groups!A:A,Groups!N:N)="No","No",
IF(_xlfn.XLOOKUP(E331,Groups!A:A,Groups!N:N)="Crocodile",EXP(0.8129*LN(C331)+4.6742)*S331,
IF(_xlfn.XLOOKUP(E331,Groups!A:A,Groups!N:N)="Felid",EXP(0.7843*LN(C331)+4.7073)*S331,
IF(_xlfn.XLOOKUP(E331,Groups!A:A,Groups!N:N)="Canid",EXP(0.8367*LN(C331)+4.8763)*S331,
IF(_xlfn.XLOOKUP(E331,Groups!A:A,Groups!N:N)="Pig",EXP(0.3439*LN(C331)+6.8519)*S331,
IF(_xlfn.XLOOKUP(E331,Groups!A:A,Groups!N:N)="Rodent",EXP(0.5625*LN(C331)+4.3006)*S331,
IF(_xlfn.XLOOKUP(E331,Groups!A:A,Groups!N:N)="Primate",EXP(0.7847*LN(C331)+3.4931)*S331,
IF(_xlfn.XLOOKUP(E331,Groups!A:A,Groups!N:N)="MiscCarnivora",EXP(0.7486*LN(C331)+4.2207)*S331,
IF(_xlfn.XLOOKUP(E331,Groups!A:A,Groups!N:N)="Lizard",EXP(0.7733*LN(C331)+5.5303)*S331,
IF(_xlfn.XLOOKUP(E331,Groups!A:A,Groups!N:N)="Snake",50*C331^(2/3)*S331,
IF(_xlfn.XLOOKUP(E331,Groups!A:A,Groups!N:N)="StrongBitingHerbivore",87.1133638856975*C331^(2/3)*S331,
IF(_xlfn.XLOOKUP(E331,Groups!A:A,Groups!N:N)="MiscEctotherms",59.4316884072269*C331^(2/3)*S331,
IF(_xlfn.XLOOKUP(E331,Groups!A:A,Groups!N:N)="StrongBeakBird",0.041*(C331*1000)^1.375*S331,
IF(_xlfn.XLOOKUP(E331,Groups!A:A,Groups!N:N)="Bird",0.118*(C331*1000)^0.692*S331,
IF(_xlfn.XLOOKUP(E331,Groups!A:A,Groups!N:N)="Insect",EXP(0.7444*LN(C331)+6.5696)*S331,
IF(_xlfn.XLOOKUP(E331,Groups!A:A,Groups!N:N)="Theropod",EXP(0.6966*LN(C331)+4.158)*S331,
"No"))))))))))))))))</f>
        <v>10009.203391178038</v>
      </c>
      <c r="AU331" s="8">
        <f>IF(_xlfn.XLOOKUP(E331,Groups!A:A,Groups!U:U)=3,AS331,IF(_xlfn.XLOOKUP(E331,Groups!A:A,Groups!U:U)=2,AR331,AT331))</f>
        <v>10009.203391178038</v>
      </c>
      <c r="AV331" s="46">
        <f>IFERROR(AVERAGE(_xlfn.XLOOKUP(B331,Animals!B:B,Animals!N:N),_xlfn.XLOOKUP(B331,Animals!B:B,Animals!O:O)),0)</f>
        <v>0</v>
      </c>
      <c r="AW331" s="8">
        <f>MROUND(40*Animals!AO331*_xlfn.XLOOKUP(AG331,Leathers!$A$2:$A$99,Leathers!$B$2:$B$99,0)+(140*_xlfn.XLOOKUP(B331,Animals!B:B,Animals!AO:AO)*2),5)</f>
        <v>1050</v>
      </c>
      <c r="AX331" s="8">
        <f>IFERROR(ROUND(SQRT(V331-1)*IF(_xlfn.XLOOKUP(E331,Groups!A:A,Groups!BF:BF)=0,2,1)*IF(_xlfn.XLOOKUP('Base stats'!E331,Groups!A:A,Groups!O:O)=0,1,0.1),1),0)</f>
        <v>4.7</v>
      </c>
      <c r="AY331" s="8">
        <f t="shared" si="168"/>
        <v>4.0999999999999996</v>
      </c>
      <c r="AZ331" s="8">
        <f t="shared" si="169"/>
        <v>0</v>
      </c>
      <c r="BA331" s="8">
        <f t="shared" si="170"/>
        <v>10.8</v>
      </c>
      <c r="BB331" s="8">
        <f>IF(_xlfn.XLOOKUP(E331,Groups!A:A,Groups!N:N)="Insect",BD331*2.5,IFERROR(AVERAGE(BD331,AT331/9.81/IF(OR(_xlfn.XLOOKUP(E331,Groups!A:A,Groups!N:N)="Pig",_xlfn.XLOOKUP(E331,Groups!A:A,Groups!N:N)="StrongBitingHerbivore"),20,25))*C331^-0.135,BD331))</f>
        <v>10.718602131618807</v>
      </c>
      <c r="BC331" s="8" t="str">
        <f>IF(W331="No","No",IF(_xlfn.XLOOKUP(E331,Groups!A:A,Groups!U:U)=1,'Base stats'!BB331,IF(OR(_xlfn.XLOOKUP(E331,Groups!A:A,Groups!BD:BD)=1,_xlfn.XLOOKUP(E331,Groups!A:A,Groups!U:U)=2),BD331,IF(_xlfn.XLOOKUP(B331,Animals!B:B,Animals!AO:AO)&gt;4,AVERAGE(BD331,BF331),BF331))))</f>
        <v>No</v>
      </c>
      <c r="BD331" s="8">
        <f t="shared" si="171"/>
        <v>16.267077145378426</v>
      </c>
      <c r="BE331" s="8">
        <f>IF(_xlfn.XLOOKUP(E331,Groups!A:A,Groups!BE:BE)=1,(0.048*C331^1.01)+(0.071*C331^1.03),0.071*C331^1.03)/IF(_xlfn.XLOOKUP(E331,Groups!A:A,Groups!M:M)=1,0.85,IF(OR(_xlfn.XLOOKUP(B331,Animals!B:B,Animals!AO:AO)&gt;4,_xlfn.XLOOKUP(E331,Groups!A:A,Groups!BC:BC)=1),1.7,1))*C331^-0.25</f>
        <v>32.253065809449765</v>
      </c>
      <c r="BF331" s="8">
        <f>(0.048*C331^1.01)/IF(_xlfn.XLOOKUP(E331,Groups!A:A,Groups!M:M)=1,0.25,0.8)*C331^-0.25</f>
        <v>14.87622716545583</v>
      </c>
      <c r="BG331" s="8">
        <f>EXP(1.076*LN(AR331)-4.5397)*IF(_xlfn.XLOOKUP(E331,Groups!A:A,Groups!BC:BC)=1,1.25,IF(_xlfn.XLOOKUP(E331,Groups!A:A,Groups!BD:BD)=1,3.5,2.5))</f>
        <v>1435.9596708112488</v>
      </c>
      <c r="BH331" s="8">
        <f>EXP(1.076*LN(AS331)-4.5397)*IF(_xlfn.XLOOKUP(E331,Groups!A:A,Groups!M:M)=1,0.8,IF(_xlfn.XLOOKUP(E331,Groups!A:A,Groups!BC:BC)=1,1.3,3))</f>
        <v>1558.701626121685</v>
      </c>
      <c r="BI331" s="8" t="str">
        <f>IF(W331="No","No",IF(_xlfn.XLOOKUP(E331,Groups!A:A,Groups!U:U)=1,'Base stats'!BJ331,IF(OR(_xlfn.XLOOKUP(E331,Groups!A:A,Groups!BD:BD)=1,_xlfn.XLOOKUP(E331,Groups!A:A,Groups!U:U)=2),BG331,BH331))*1.2)</f>
        <v>No</v>
      </c>
      <c r="BJ331" s="8">
        <f>IFERROR(EXP(1.076*LN(AT331)-4.5397)*IF(_xlfn.XLOOKUP(E331,Groups!A:A,Groups!N:N)="Insect",1,IF(OR(_xlfn.XLOOKUP(E331,Groups!A:A,Groups!N:N)="Pig",_xlfn.XLOOKUP(E331,Groups!A:A,Groups!N:N)="StrongBitingHerbivore"),3.5,3.75)),"No")</f>
        <v>807.03893177302098</v>
      </c>
      <c r="BK331" s="8">
        <f t="shared" si="172"/>
        <v>13</v>
      </c>
      <c r="BL331" s="8">
        <f t="shared" si="173"/>
        <v>9</v>
      </c>
      <c r="BM331" s="8" t="str">
        <f t="shared" si="174"/>
        <v>No</v>
      </c>
      <c r="BN331" s="8">
        <f t="shared" si="175"/>
        <v>12</v>
      </c>
      <c r="BO331" s="8">
        <f t="shared" si="176"/>
        <v>14</v>
      </c>
      <c r="BP331" s="8" cm="1">
        <f t="array" ref="BP331">IF(AND(_xlfn.XLOOKUP('Base stats'!E331,Groups!A:A,Groups!AD:AD=0),_xlfn.XLOOKUP('Base stats'!E331,Groups!A:A,Groups!P:P=0)),"No",IF(U331="No",AVERAGE(EXP(-0.57+0.99*LN(C331)),EXP(0.32+0.67*LN(C331)))/IF(_xlfn.XLOOKUP(E331,Groups!A:A,Groups!AD:AD)=1,10,2),(0.7354*C331^0.4078)*2/IF(_xlfn.XLOOKUP(E331,Groups!A:A,Groups!BK:BK)=1,1000,100)/IF(_xlfn.XLOOKUP(E331,Groups!A:A,Groups!AJ:AJ)="Photonozoa",3,1)))</f>
        <v>0.28333934811270178</v>
      </c>
      <c r="BQ331" s="8" t="str">
        <f>IF(W331="No","No",IF(_xlfn.XLOOKUP(E331,Groups!A:A,Groups!BD:BD)=1,(AO331*5%),EXP(0.7354*LN(C331)^0.4078)*2/IF(_xlfn.XLOOKUP(E331,Groups!A:A,Groups!BL:BL)=1,1000,100)/IF(_xlfn.XLOOKUP(E331,Groups!A:A,Groups!AJ:AJ)="Photonozoa",3,1)))</f>
        <v>No</v>
      </c>
      <c r="BR331" s="8">
        <f>IF(BJ331="No","No",IF(_xlfn.XLOOKUP(E331,Groups!A:A,Groups!BF:BF)=1,(0.0315*C331+2.1825)*2,(0.7354*C331^0.4078)*2)/IF(_xlfn.XLOOKUP(E331,Groups!A:A,Groups!BM:BM)=1,1000,100)/IF(_xlfn.XLOOKUP(E331,Groups!A:A,Groups!AJ:AJ)="Photonozoa",3,1))</f>
        <v>0.28333934811270178</v>
      </c>
      <c r="BS331" s="8">
        <f t="shared" si="177"/>
        <v>0.23176995880035017</v>
      </c>
      <c r="BT331" s="8">
        <f t="shared" si="178"/>
        <v>5501.183074303156</v>
      </c>
      <c r="BU331" s="8" t="str">
        <f t="shared" si="179"/>
        <v>No</v>
      </c>
      <c r="BV331" s="8">
        <f t="shared" si="180"/>
        <v>2848.312234600085</v>
      </c>
      <c r="BW331" s="4">
        <v>0</v>
      </c>
      <c r="BX331" s="4">
        <v>1</v>
      </c>
    </row>
    <row r="332" spans="1:76" s="16" customFormat="1" x14ac:dyDescent="0.25">
      <c r="A332" s="26" t="s">
        <v>1904</v>
      </c>
      <c r="B332" s="6" t="s">
        <v>1905</v>
      </c>
      <c r="C332" s="7">
        <f>AVERAGE(1419,1743)</f>
        <v>1581</v>
      </c>
      <c r="D332" s="7" t="s">
        <v>1906</v>
      </c>
      <c r="E332" s="7" t="str">
        <f>Groups!$A$119</f>
        <v>Theropod</v>
      </c>
      <c r="F332" s="7" t="str">
        <f t="shared" si="185"/>
        <v>Lay eggs</v>
      </c>
      <c r="G332" s="7">
        <v>10</v>
      </c>
      <c r="H332" s="7">
        <f>AVERAGE(22,28)</f>
        <v>25</v>
      </c>
      <c r="I332" s="4">
        <v>1</v>
      </c>
      <c r="J332" s="7" t="str">
        <f t="shared" si="190"/>
        <v>Lay eggs</v>
      </c>
      <c r="K332" s="7" t="s">
        <v>528</v>
      </c>
      <c r="L332" s="7">
        <f>AVERAGE(48,56)</f>
        <v>52</v>
      </c>
      <c r="M332" s="7" t="s">
        <v>1907</v>
      </c>
      <c r="N332" s="4">
        <v>0</v>
      </c>
      <c r="O332" s="4">
        <v>0</v>
      </c>
      <c r="P332" s="4">
        <v>0</v>
      </c>
      <c r="Q332" s="4">
        <v>0</v>
      </c>
      <c r="R332" s="4" t="s">
        <v>40</v>
      </c>
      <c r="S332" s="7">
        <f>_xlfn.XLOOKUP(B332,[1]TeethAdjusters!$A:$A,[1]BiteAdjusters!$C:$C,1)</f>
        <v>0.61934481752458748</v>
      </c>
      <c r="T332" s="7">
        <f>_xlfn.XLOOKUP(B332,[1]TeethAdjusters!$A:$A,[1]TeethAdjusters!$B:$B,1)</f>
        <v>1</v>
      </c>
      <c r="U332" s="7" t="s">
        <v>45</v>
      </c>
      <c r="V332" s="7">
        <v>4.5</v>
      </c>
      <c r="W332" s="7" t="s">
        <v>45</v>
      </c>
      <c r="X332" s="7" t="s">
        <v>932</v>
      </c>
      <c r="Y332" s="4" t="s">
        <v>56</v>
      </c>
      <c r="Z332" s="4">
        <v>1</v>
      </c>
      <c r="AA332" s="4">
        <v>0</v>
      </c>
      <c r="AB332" s="4">
        <v>0</v>
      </c>
      <c r="AC332" s="4">
        <v>0</v>
      </c>
      <c r="AD332" s="4">
        <v>0</v>
      </c>
      <c r="AE332" s="4" t="s">
        <v>45</v>
      </c>
      <c r="AF332" s="4" t="s">
        <v>45</v>
      </c>
      <c r="AG332" s="49" t="s">
        <v>1909</v>
      </c>
      <c r="AH332" s="4" t="s">
        <v>45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4" t="s">
        <v>40</v>
      </c>
      <c r="AO332" s="8">
        <f t="shared" si="166"/>
        <v>133238.18077809858</v>
      </c>
      <c r="AP332" s="8">
        <f>IFERROR(C332*_xlfn.XLOOKUP(E332,Groups!A:A,Groups!K:K),0.106*C332^0.94)</f>
        <v>107.72135880625541</v>
      </c>
      <c r="AQ332" s="8">
        <f>AP332*10000/(_xlfn.XLOOKUP(E332,Groups!A:A,Groups!J:J)*AO332)</f>
        <v>7.4173134237872267</v>
      </c>
      <c r="AR332" s="8">
        <f t="shared" si="167"/>
        <v>27389.146577426345</v>
      </c>
      <c r="AS332" s="8">
        <f>IF(_xlfn.XLOOKUP(E332,Groups!A:A,Groups!M:M)=1,EXP(0.7444*LN('Base stats'!C332)+6.5696),EXP(0.7927*LN('Base stats'!C332)+4.28))</f>
        <v>24806.967395329779</v>
      </c>
      <c r="AT332" s="8">
        <f>IF(_xlfn.XLOOKUP(E332,Groups!A:A,Groups!N:N)="No","No",
IF(_xlfn.XLOOKUP(E332,Groups!A:A,Groups!N:N)="Crocodile",EXP(0.8129*LN(C332)+4.6742)*S332,
IF(_xlfn.XLOOKUP(E332,Groups!A:A,Groups!N:N)="Felid",EXP(0.7843*LN(C332)+4.7073)*S332,
IF(_xlfn.XLOOKUP(E332,Groups!A:A,Groups!N:N)="Canid",EXP(0.8367*LN(C332)+4.8763)*S332,
IF(_xlfn.XLOOKUP(E332,Groups!A:A,Groups!N:N)="Pig",EXP(0.3439*LN(C332)+6.8519)*S332,
IF(_xlfn.XLOOKUP(E332,Groups!A:A,Groups!N:N)="Rodent",EXP(0.5625*LN(C332)+4.3006)*S332,
IF(_xlfn.XLOOKUP(E332,Groups!A:A,Groups!N:N)="Primate",EXP(0.7847*LN(C332)+3.4931)*S332,
IF(_xlfn.XLOOKUP(E332,Groups!A:A,Groups!N:N)="MiscCarnivora",EXP(0.7486*LN(C332)+4.2207)*S332,
IF(_xlfn.XLOOKUP(E332,Groups!A:A,Groups!N:N)="Lizard",EXP(0.7733*LN(C332)+5.5303)*S332,
IF(_xlfn.XLOOKUP(E332,Groups!A:A,Groups!N:N)="Snake",50*C332^(2/3)*S332,
IF(_xlfn.XLOOKUP(E332,Groups!A:A,Groups!N:N)="StrongBitingHerbivore",87.1133638856975*C332^(2/3)*S332,
IF(_xlfn.XLOOKUP(E332,Groups!A:A,Groups!N:N)="MiscEctotherms",59.4316884072269*C332^(2/3)*S332,
IF(_xlfn.XLOOKUP(E332,Groups!A:A,Groups!N:N)="StrongBeakBird",0.041*(C332*1000)^1.375*S332,
IF(_xlfn.XLOOKUP(E332,Groups!A:A,Groups!N:N)="Bird",0.118*(C332*1000)^0.692*S332,
IF(_xlfn.XLOOKUP(E332,Groups!A:A,Groups!N:N)="Insect",EXP(0.7444*LN(C332)+6.5696)*S332,
IF(_xlfn.XLOOKUP(E332,Groups!A:A,Groups!N:N)="Theropod",EXP(0.6966*LN(C332)+4.158)*S332,
"No"))))))))))))))))</f>
        <v>6700.4644024761901</v>
      </c>
      <c r="AU332" s="8">
        <f>IF(_xlfn.XLOOKUP(E332,Groups!A:A,Groups!U:U)=3,AS332,IF(_xlfn.XLOOKUP(E332,Groups!A:A,Groups!U:U)=2,AR332,AT332))</f>
        <v>6700.4644024761901</v>
      </c>
      <c r="AV332" s="46">
        <f>IFERROR(AVERAGE(_xlfn.XLOOKUP(B332,Animals!B:B,Animals!N:N),_xlfn.XLOOKUP(B332,Animals!B:B,Animals!O:O)),0)</f>
        <v>0</v>
      </c>
      <c r="AW332" s="8">
        <f>MROUND(40*Animals!AO332*_xlfn.XLOOKUP(AG332,Leathers!$A$2:$A$99,Leathers!$B$2:$B$99,0)+(140*_xlfn.XLOOKUP(B332,Animals!B:B,Animals!AO:AO)*2),5)</f>
        <v>1050</v>
      </c>
      <c r="AX332" s="8">
        <f>IFERROR(ROUND(SQRT(V332-1)*IF(_xlfn.XLOOKUP(E332,Groups!A:A,Groups!BF:BF)=0,2,1)*IF(_xlfn.XLOOKUP('Base stats'!E332,Groups!A:A,Groups!O:O)=0,1,0.1),1),0)</f>
        <v>3.7</v>
      </c>
      <c r="AY332" s="8">
        <f t="shared" si="168"/>
        <v>0</v>
      </c>
      <c r="AZ332" s="8">
        <f t="shared" si="169"/>
        <v>0</v>
      </c>
      <c r="BA332" s="8">
        <f t="shared" si="170"/>
        <v>11.2</v>
      </c>
      <c r="BB332" s="8">
        <f>IF(_xlfn.XLOOKUP(E332,Groups!A:A,Groups!N:N)="Insect",BD332*2.5,IFERROR(AVERAGE(BD332,AT332/9.81/IF(OR(_xlfn.XLOOKUP(E332,Groups!A:A,Groups!N:N)="Pig",_xlfn.XLOOKUP(E332,Groups!A:A,Groups!N:N)="StrongBitingHerbivore"),20,25))*C332^-0.135,BD332))</f>
        <v>8.355217632540139</v>
      </c>
      <c r="BC332" s="8" t="str">
        <f>IF(W332="No","No",IF(_xlfn.XLOOKUP(E332,Groups!A:A,Groups!U:U)=1,'Base stats'!BB332,IF(OR(_xlfn.XLOOKUP(E332,Groups!A:A,Groups!BD:BD)=1,_xlfn.XLOOKUP(E332,Groups!A:A,Groups!U:U)=2),BD332,IF(_xlfn.XLOOKUP(B332,Animals!B:B,Animals!AO:AO)&gt;4,AVERAGE(BD332,BF332),BF332))))</f>
        <v>No</v>
      </c>
      <c r="BD332" s="8">
        <f t="shared" si="171"/>
        <v>17.848365502317019</v>
      </c>
      <c r="BE332" s="8">
        <f>IF(_xlfn.XLOOKUP(E332,Groups!A:A,Groups!BE:BE)=1,(0.048*C332^1.01)+(0.071*C332^1.03),0.071*C332^1.03)/IF(_xlfn.XLOOKUP(E332,Groups!A:A,Groups!M:M)=1,0.85,IF(OR(_xlfn.XLOOKUP(B332,Animals!B:B,Animals!AO:AO)&gt;4,_xlfn.XLOOKUP(E332,Groups!A:A,Groups!BC:BC)=1),1.7,1))*C332^-0.25</f>
        <v>35.158455251331581</v>
      </c>
      <c r="BF332" s="8">
        <f>(0.048*C332^1.01)/IF(_xlfn.XLOOKUP(E332,Groups!A:A,Groups!M:M)=1,0.25,0.8)*C332^-0.25</f>
        <v>16.193453239147765</v>
      </c>
      <c r="BG332" s="8">
        <f>EXP(1.076*LN(AR332)-4.5397)*IF(_xlfn.XLOOKUP(E332,Groups!A:A,Groups!BC:BC)=1,1.25,IF(_xlfn.XLOOKUP(E332,Groups!A:A,Groups!BD:BD)=1,3.5,2.5))</f>
        <v>1589.3070702315354</v>
      </c>
      <c r="BH332" s="8">
        <f>EXP(1.076*LN(AS332)-4.5397)*IF(_xlfn.XLOOKUP(E332,Groups!A:A,Groups!M:M)=1,0.8,IF(_xlfn.XLOOKUP(E332,Groups!A:A,Groups!BC:BC)=1,1.3,3))</f>
        <v>1714.4146549337529</v>
      </c>
      <c r="BI332" s="8" t="str">
        <f>IF(W332="No","No",IF(_xlfn.XLOOKUP(E332,Groups!A:A,Groups!U:U)=1,'Base stats'!BJ332,IF(OR(_xlfn.XLOOKUP(E332,Groups!A:A,Groups!BD:BD)=1,_xlfn.XLOOKUP(E332,Groups!A:A,Groups!U:U)=2),BG332,BH332))*1.2)</f>
        <v>No</v>
      </c>
      <c r="BJ332" s="8">
        <f>IFERROR(EXP(1.076*LN(AT332)-4.5397)*IF(_xlfn.XLOOKUP(E332,Groups!A:A,Groups!N:N)="Insect",1,IF(OR(_xlfn.XLOOKUP(E332,Groups!A:A,Groups!N:N)="Pig",_xlfn.XLOOKUP(E332,Groups!A:A,Groups!N:N)="StrongBitingHerbivore"),3.5,3.75)),"No")</f>
        <v>524.0267840620337</v>
      </c>
      <c r="BK332" s="8">
        <f t="shared" si="172"/>
        <v>13</v>
      </c>
      <c r="BL332" s="8">
        <f t="shared" si="173"/>
        <v>9</v>
      </c>
      <c r="BM332" s="8" t="str">
        <f t="shared" si="174"/>
        <v>No</v>
      </c>
      <c r="BN332" s="8">
        <f t="shared" si="175"/>
        <v>11</v>
      </c>
      <c r="BO332" s="8">
        <f t="shared" si="176"/>
        <v>14</v>
      </c>
      <c r="BP332" s="8" t="str" cm="1">
        <f t="array" ref="BP332">IF(AND(_xlfn.XLOOKUP('Base stats'!E332,Groups!A:A,Groups!AD:AD=0),_xlfn.XLOOKUP('Base stats'!E332,Groups!A:A,Groups!P:P=0)),"No",IF(U332="No",AVERAGE(EXP(-0.57+0.99*LN(C332)),EXP(0.32+0.67*LN(C332)))/IF(_xlfn.XLOOKUP(E332,Groups!A:A,Groups!AD:AD)=1,10,2),(0.7354*C332^0.4078)*2/IF(_xlfn.XLOOKUP(E332,Groups!A:A,Groups!BK:BK)=1,1000,100)/IF(_xlfn.XLOOKUP(E332,Groups!A:A,Groups!AJ:AJ)="Photonozoa",3,1)))</f>
        <v>No</v>
      </c>
      <c r="BQ332" s="8" t="str">
        <f>IF(W332="No","No",IF(_xlfn.XLOOKUP(E332,Groups!A:A,Groups!BD:BD)=1,(AO332*5%),EXP(0.7354*LN(C332)^0.4078)*2/IF(_xlfn.XLOOKUP(E332,Groups!A:A,Groups!BL:BL)=1,1000,100)/IF(_xlfn.XLOOKUP(E332,Groups!A:A,Groups!AJ:AJ)="Photonozoa",3,1)))</f>
        <v>No</v>
      </c>
      <c r="BR332" s="8">
        <f>IF(BJ332="No","No",IF(_xlfn.XLOOKUP(E332,Groups!A:A,Groups!BF:BF)=1,(0.0315*C332+2.1825)*2,(0.7354*C332^0.4078)*2)/IF(_xlfn.XLOOKUP(E332,Groups!A:A,Groups!BM:BM)=1,1000,100)/IF(_xlfn.XLOOKUP(E332,Groups!A:A,Groups!AJ:AJ)="Photonozoa",3,1))</f>
        <v>0.2965364183709337</v>
      </c>
      <c r="BS332" s="8">
        <f t="shared" si="177"/>
        <v>0.23856631199107189</v>
      </c>
      <c r="BT332" s="8" t="str">
        <f t="shared" si="178"/>
        <v>No</v>
      </c>
      <c r="BU332" s="8" t="str">
        <f t="shared" si="179"/>
        <v>No</v>
      </c>
      <c r="BV332" s="8">
        <f t="shared" si="180"/>
        <v>1767.1582699381468</v>
      </c>
      <c r="BW332" s="4">
        <v>0</v>
      </c>
      <c r="BX332" s="4">
        <v>1</v>
      </c>
    </row>
    <row r="333" spans="1:76" s="16" customFormat="1" x14ac:dyDescent="0.25">
      <c r="A333" s="26" t="s">
        <v>1910</v>
      </c>
      <c r="B333" s="6" t="s">
        <v>1911</v>
      </c>
      <c r="C333" s="7">
        <v>2681</v>
      </c>
      <c r="D333" s="7" t="s">
        <v>1957</v>
      </c>
      <c r="E333" s="7" t="str">
        <f>Groups!$A$121</f>
        <v>Theropod (CLAWED)</v>
      </c>
      <c r="F333" s="7" t="str">
        <f t="shared" si="185"/>
        <v>Lay eggs</v>
      </c>
      <c r="G333" s="7">
        <v>10</v>
      </c>
      <c r="H333" s="7">
        <f>AVERAGE(22,28)</f>
        <v>25</v>
      </c>
      <c r="I333" s="4">
        <v>1</v>
      </c>
      <c r="J333" s="7" t="str">
        <f t="shared" si="190"/>
        <v>Lay eggs</v>
      </c>
      <c r="K333" s="7" t="s">
        <v>2023</v>
      </c>
      <c r="L333" s="7">
        <v>33.840000000000003</v>
      </c>
      <c r="M333" s="7" t="s">
        <v>2019</v>
      </c>
      <c r="N333" s="4">
        <v>0</v>
      </c>
      <c r="O333" s="4">
        <v>0</v>
      </c>
      <c r="P333" s="4">
        <v>0</v>
      </c>
      <c r="Q333" s="4">
        <v>0</v>
      </c>
      <c r="R333" s="4" t="s">
        <v>40</v>
      </c>
      <c r="S333" s="7">
        <f>_xlfn.XLOOKUP(B333,[1]TeethAdjusters!$A:$A,[1]BiteAdjusters!$C:$C,1)</f>
        <v>0.89853687178178665</v>
      </c>
      <c r="T333" s="7">
        <f>_xlfn.XLOOKUP(B333,[1]TeethAdjusters!$A:$A,[1]TeethAdjusters!$B:$B,1)</f>
        <v>1</v>
      </c>
      <c r="U333" s="7">
        <v>15</v>
      </c>
      <c r="V333" s="7">
        <v>6.5</v>
      </c>
      <c r="W333" s="7" t="s">
        <v>45</v>
      </c>
      <c r="X333" s="7" t="s">
        <v>932</v>
      </c>
      <c r="Y333" s="4" t="s">
        <v>56</v>
      </c>
      <c r="Z333" s="4">
        <v>1</v>
      </c>
      <c r="AA333" s="4">
        <v>0</v>
      </c>
      <c r="AB333" s="4">
        <v>0</v>
      </c>
      <c r="AC333" s="4">
        <v>0</v>
      </c>
      <c r="AD333" s="4">
        <v>0</v>
      </c>
      <c r="AE333" s="4" t="s">
        <v>45</v>
      </c>
      <c r="AF333" s="4" t="s">
        <v>45</v>
      </c>
      <c r="AG333" s="49" t="s">
        <v>1913</v>
      </c>
      <c r="AH333" s="4" t="s">
        <v>45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4" t="s">
        <v>40</v>
      </c>
      <c r="AO333" s="8">
        <f t="shared" si="166"/>
        <v>187808.78706773338</v>
      </c>
      <c r="AP333" s="8">
        <f>IFERROR(C333*_xlfn.XLOOKUP(E333,Groups!A:A,Groups!K:K),0.106*C333^0.94)</f>
        <v>176.97212690701809</v>
      </c>
      <c r="AQ333" s="8">
        <f>AP333*10000/(_xlfn.XLOOKUP(E333,Groups!A:A,Groups!J:J)*AO333)</f>
        <v>8.6449495782870223</v>
      </c>
      <c r="AR333" s="8">
        <f t="shared" si="167"/>
        <v>42788.106535487575</v>
      </c>
      <c r="AS333" s="8">
        <f>IF(_xlfn.XLOOKUP(E333,Groups!A:A,Groups!M:M)=1,EXP(0.7444*LN('Base stats'!C333)+6.5696),EXP(0.7927*LN('Base stats'!C333)+4.28))</f>
        <v>37704.333398192117</v>
      </c>
      <c r="AT333" s="8">
        <f>IF(_xlfn.XLOOKUP(E333,Groups!A:A,Groups!N:N)="No","No",
IF(_xlfn.XLOOKUP(E333,Groups!A:A,Groups!N:N)="Crocodile",EXP(0.8129*LN(C333)+4.6742)*S333,
IF(_xlfn.XLOOKUP(E333,Groups!A:A,Groups!N:N)="Felid",EXP(0.7843*LN(C333)+4.7073)*S333,
IF(_xlfn.XLOOKUP(E333,Groups!A:A,Groups!N:N)="Canid",EXP(0.8367*LN(C333)+4.8763)*S333,
IF(_xlfn.XLOOKUP(E333,Groups!A:A,Groups!N:N)="Pig",EXP(0.3439*LN(C333)+6.8519)*S333,
IF(_xlfn.XLOOKUP(E333,Groups!A:A,Groups!N:N)="Rodent",EXP(0.5625*LN(C333)+4.3006)*S333,
IF(_xlfn.XLOOKUP(E333,Groups!A:A,Groups!N:N)="Primate",EXP(0.7847*LN(C333)+3.4931)*S333,
IF(_xlfn.XLOOKUP(E333,Groups!A:A,Groups!N:N)="MiscCarnivora",EXP(0.7486*LN(C333)+4.2207)*S333,
IF(_xlfn.XLOOKUP(E333,Groups!A:A,Groups!N:N)="Lizard",EXP(0.7733*LN(C333)+5.5303)*S333,
IF(_xlfn.XLOOKUP(E333,Groups!A:A,Groups!N:N)="Snake",50*C333^(2/3)*S333,
IF(_xlfn.XLOOKUP(E333,Groups!A:A,Groups!N:N)="StrongBitingHerbivore",87.1133638856975*C333^(2/3)*S333,
IF(_xlfn.XLOOKUP(E333,Groups!A:A,Groups!N:N)="MiscEctotherms",59.4316884072269*C333^(2/3)*S333,
IF(_xlfn.XLOOKUP(E333,Groups!A:A,Groups!N:N)="StrongBeakBird",0.041*(C333*1000)^1.375*S333,
IF(_xlfn.XLOOKUP(E333,Groups!A:A,Groups!N:N)="Bird",0.118*(C333*1000)^0.692*S333,
IF(_xlfn.XLOOKUP(E333,Groups!A:A,Groups!N:N)="Insect",EXP(0.7444*LN(C333)+6.5696)*S333,
IF(_xlfn.XLOOKUP(E333,Groups!A:A,Groups!N:N)="Theropod",EXP(0.6966*LN(C333)+4.158)*S333,
"No"))))))))))))))))</f>
        <v>14043.776834858372</v>
      </c>
      <c r="AU333" s="8">
        <f>IF(_xlfn.XLOOKUP(E333,Groups!A:A,Groups!U:U)=3,AS333,IF(_xlfn.XLOOKUP(E333,Groups!A:A,Groups!U:U)=2,AR333,AT333))</f>
        <v>14043.776834858372</v>
      </c>
      <c r="AV333" s="46">
        <f>IFERROR(AVERAGE(_xlfn.XLOOKUP(B333,Animals!B:B,Animals!N:N),_xlfn.XLOOKUP(B333,Animals!B:B,Animals!O:O)),0)</f>
        <v>0</v>
      </c>
      <c r="AW333" s="8">
        <f>MROUND(40*Animals!AO333*_xlfn.XLOOKUP(AG333,Leathers!$A$2:$A$99,Leathers!$B$2:$B$99,0)+(140*_xlfn.XLOOKUP(B333,Animals!B:B,Animals!AO:AO)*2),5)</f>
        <v>1190</v>
      </c>
      <c r="AX333" s="8">
        <f>IFERROR(ROUND(SQRT(V333-1)*IF(_xlfn.XLOOKUP(E333,Groups!A:A,Groups!BF:BF)=0,2,1)*IF(_xlfn.XLOOKUP('Base stats'!E333,Groups!A:A,Groups!O:O)=0,1,0.1),1),0)</f>
        <v>4.7</v>
      </c>
      <c r="AY333" s="8">
        <f t="shared" si="168"/>
        <v>3.7</v>
      </c>
      <c r="AZ333" s="8">
        <f t="shared" si="169"/>
        <v>0</v>
      </c>
      <c r="BA333" s="8">
        <f t="shared" si="170"/>
        <v>13.5</v>
      </c>
      <c r="BB333" s="8">
        <f>IF(_xlfn.XLOOKUP(E333,Groups!A:A,Groups!N:N)="Insect",BD333*2.5,IFERROR(AVERAGE(BD333,AT333/9.81/IF(OR(_xlfn.XLOOKUP(E333,Groups!A:A,Groups!N:N)="Pig",_xlfn.XLOOKUP(E333,Groups!A:A,Groups!N:N)="StrongBitingHerbivore"),20,25))*C333^-0.135,BD333))</f>
        <v>14.631517116626142</v>
      </c>
      <c r="BC333" s="8" t="str">
        <f>IF(W333="No","No",IF(_xlfn.XLOOKUP(E333,Groups!A:A,Groups!U:U)=1,'Base stats'!BB333,IF(OR(_xlfn.XLOOKUP(E333,Groups!A:A,Groups!BD:BD)=1,_xlfn.XLOOKUP(E333,Groups!A:A,Groups!U:U)=2),BD333,IF(_xlfn.XLOOKUP(B333,Animals!B:B,Animals!AO:AO)&gt;4,AVERAGE(BD333,BF333),BF333))))</f>
        <v>No</v>
      </c>
      <c r="BD333" s="8">
        <f t="shared" si="171"/>
        <v>27.682207483287403</v>
      </c>
      <c r="BE333" s="8">
        <f>IF(_xlfn.XLOOKUP(E333,Groups!A:A,Groups!BE:BE)=1,(0.048*C333^1.01)+(0.071*C333^1.03),0.071*C333^1.03)/IF(_xlfn.XLOOKUP(E333,Groups!A:A,Groups!M:M)=1,0.85,IF(OR(_xlfn.XLOOKUP(B333,Animals!B:B,Animals!AO:AO)&gt;4,_xlfn.XLOOKUP(E333,Groups!A:A,Groups!BC:BC)=1),1.7,1))*C333^-0.25</f>
        <v>31.102899726616609</v>
      </c>
      <c r="BF333" s="8">
        <f>(0.048*C333^1.01)/IF(_xlfn.XLOOKUP(E333,Groups!A:A,Groups!M:M)=1,0.25,0.8)*C333^-0.25</f>
        <v>24.1911675265296</v>
      </c>
      <c r="BG333" s="8">
        <f>EXP(1.076*LN(AR333)-4.5397)*IF(_xlfn.XLOOKUP(E333,Groups!A:A,Groups!BC:BC)=1,1.25,IF(_xlfn.XLOOKUP(E333,Groups!A:A,Groups!BD:BD)=1,3.5,2.5))</f>
        <v>2568.4846277355996</v>
      </c>
      <c r="BH333" s="8">
        <f>EXP(1.076*LN(AS333)-4.5397)*IF(_xlfn.XLOOKUP(E333,Groups!A:A,Groups!M:M)=1,0.8,IF(_xlfn.XLOOKUP(E333,Groups!A:A,Groups!BC:BC)=1,1.3,3))</f>
        <v>2689.9957788389711</v>
      </c>
      <c r="BI333" s="8" t="str">
        <f>IF(W333="No","No",IF(_xlfn.XLOOKUP(E333,Groups!A:A,Groups!U:U)=1,'Base stats'!BJ333,IF(OR(_xlfn.XLOOKUP(E333,Groups!A:A,Groups!BD:BD)=1,_xlfn.XLOOKUP(E333,Groups!A:A,Groups!U:U)=2),BG333,BH333))*1.2)</f>
        <v>No</v>
      </c>
      <c r="BJ333" s="8">
        <f>IFERROR(EXP(1.076*LN(AT333)-4.5397)*IF(_xlfn.XLOOKUP(E333,Groups!A:A,Groups!N:N)="Insect",1,IF(OR(_xlfn.XLOOKUP(E333,Groups!A:A,Groups!N:N)="Pig",_xlfn.XLOOKUP(E333,Groups!A:A,Groups!N:N)="StrongBitingHerbivore"),3.5,3.75)),"No")</f>
        <v>1161.8693781590764</v>
      </c>
      <c r="BK333" s="8">
        <f t="shared" si="172"/>
        <v>13</v>
      </c>
      <c r="BL333" s="8">
        <f t="shared" si="173"/>
        <v>13</v>
      </c>
      <c r="BM333" s="8" t="str">
        <f t="shared" si="174"/>
        <v>No</v>
      </c>
      <c r="BN333" s="8">
        <f t="shared" si="175"/>
        <v>12</v>
      </c>
      <c r="BO333" s="8">
        <f t="shared" si="176"/>
        <v>14</v>
      </c>
      <c r="BP333" s="8" cm="1">
        <f t="array" ref="BP333">IF(AND(_xlfn.XLOOKUP('Base stats'!E333,Groups!A:A,Groups!AD:AD=0),_xlfn.XLOOKUP('Base stats'!E333,Groups!A:A,Groups!P:P=0)),"No",IF(U333="No",AVERAGE(EXP(-0.57+0.99*LN(C333)),EXP(0.32+0.67*LN(C333)))/IF(_xlfn.XLOOKUP(E333,Groups!A:A,Groups!AD:AD)=1,10,2),(0.7354*C333^0.4078)*2/IF(_xlfn.XLOOKUP(E333,Groups!A:A,Groups!BK:BK)=1,1000,100)/IF(_xlfn.XLOOKUP(E333,Groups!A:A,Groups!AJ:AJ)="Photonozoa",3,1)))</f>
        <v>0.3678011323260606</v>
      </c>
      <c r="BQ333" s="8" t="str">
        <f>IF(W333="No","No",IF(_xlfn.XLOOKUP(E333,Groups!A:A,Groups!BD:BD)=1,(AO333*5%),EXP(0.7354*LN(C333)^0.4078)*2/IF(_xlfn.XLOOKUP(E333,Groups!A:A,Groups!BL:BL)=1,1000,100)/IF(_xlfn.XLOOKUP(E333,Groups!A:A,Groups!AJ:AJ)="Photonozoa",3,1)))</f>
        <v>No</v>
      </c>
      <c r="BR333" s="8">
        <f>IF(BJ333="No","No",IF(_xlfn.XLOOKUP(E333,Groups!A:A,Groups!BF:BF)=1,(0.0315*C333+2.1825)*2,(0.7354*C333^0.4078)*2)/IF(_xlfn.XLOOKUP(E333,Groups!A:A,Groups!BM:BM)=1,1000,100)/IF(_xlfn.XLOOKUP(E333,Groups!A:A,Groups!AJ:AJ)="Photonozoa",3,1))</f>
        <v>0.3678011323260606</v>
      </c>
      <c r="BS333" s="8">
        <f t="shared" si="177"/>
        <v>0.27352124124088756</v>
      </c>
      <c r="BT333" s="8">
        <f t="shared" si="178"/>
        <v>7313.7234837391798</v>
      </c>
      <c r="BU333" s="8" t="str">
        <f t="shared" si="179"/>
        <v>No</v>
      </c>
      <c r="BV333" s="8">
        <f t="shared" si="180"/>
        <v>3158.9608515100049</v>
      </c>
      <c r="BW333" s="4">
        <v>0</v>
      </c>
      <c r="BX333" s="4">
        <v>1</v>
      </c>
    </row>
    <row r="334" spans="1:76" s="16" customFormat="1" x14ac:dyDescent="0.25">
      <c r="A334" s="26" t="s">
        <v>1916</v>
      </c>
      <c r="B334" s="6" t="s">
        <v>1917</v>
      </c>
      <c r="C334" s="7">
        <f>C330*(7400/8400)</f>
        <v>4972.0952380952376</v>
      </c>
      <c r="D334" s="7" t="s">
        <v>1918</v>
      </c>
      <c r="E334" s="7" t="str">
        <f>Groups!$A$121</f>
        <v>Theropod (CLAWED)</v>
      </c>
      <c r="F334" s="7" t="str">
        <f t="shared" si="185"/>
        <v>Lay eggs</v>
      </c>
      <c r="G334" s="7">
        <v>18</v>
      </c>
      <c r="H334" s="7">
        <v>30</v>
      </c>
      <c r="I334" s="4">
        <v>1</v>
      </c>
      <c r="J334" s="7" t="str">
        <f t="shared" si="190"/>
        <v>Lay eggs</v>
      </c>
      <c r="K334" s="7" t="s">
        <v>528</v>
      </c>
      <c r="L334" s="7">
        <v>28.8</v>
      </c>
      <c r="M334" s="7" t="s">
        <v>2019</v>
      </c>
      <c r="N334" s="4">
        <v>0</v>
      </c>
      <c r="O334" s="4">
        <v>0</v>
      </c>
      <c r="P334" s="4">
        <v>0</v>
      </c>
      <c r="Q334" s="4">
        <v>0</v>
      </c>
      <c r="R334" s="4" t="s">
        <v>40</v>
      </c>
      <c r="S334" s="7">
        <f>_xlfn.XLOOKUP(B334,[1]TeethAdjusters!$A:$A,[1]BiteAdjusters!$C:$C,1)</f>
        <v>0.37683453500109182</v>
      </c>
      <c r="T334" s="7">
        <f>_xlfn.XLOOKUP(B334,[1]TeethAdjusters!$A:$A,[1]TeethAdjusters!$B:$B,1)</f>
        <v>1</v>
      </c>
      <c r="U334" s="7">
        <v>30</v>
      </c>
      <c r="V334" s="7">
        <v>14.5</v>
      </c>
      <c r="W334" s="7" t="s">
        <v>45</v>
      </c>
      <c r="X334" s="7" t="s">
        <v>932</v>
      </c>
      <c r="Y334" s="4" t="s">
        <v>56</v>
      </c>
      <c r="Z334" s="4">
        <v>1</v>
      </c>
      <c r="AA334" s="4">
        <v>0</v>
      </c>
      <c r="AB334" s="4">
        <v>0</v>
      </c>
      <c r="AC334" s="4">
        <v>0</v>
      </c>
      <c r="AD334" s="4">
        <v>0</v>
      </c>
      <c r="AE334" s="4" t="s">
        <v>45</v>
      </c>
      <c r="AF334" s="4" t="s">
        <v>45</v>
      </c>
      <c r="AG334" s="49" t="s">
        <v>1919</v>
      </c>
      <c r="AH334" s="4" t="s">
        <v>45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4" t="s">
        <v>40</v>
      </c>
      <c r="AO334" s="8">
        <f t="shared" si="166"/>
        <v>280590.920610703</v>
      </c>
      <c r="AP334" s="8">
        <f>IFERROR(C334*_xlfn.XLOOKUP(E334,Groups!A:A,Groups!K:K),0.106*C334^0.94)</f>
        <v>316.26631448752289</v>
      </c>
      <c r="AQ334" s="8">
        <f>AP334*10000/(_xlfn.XLOOKUP(E334,Groups!A:A,Groups!J:J)*AO334)</f>
        <v>10.340768741452182</v>
      </c>
      <c r="AR334" s="8">
        <f t="shared" si="167"/>
        <v>72095.409607025198</v>
      </c>
      <c r="AS334" s="8">
        <f>IF(_xlfn.XLOOKUP(E334,Groups!A:A,Groups!M:M)=1,EXP(0.7444*LN('Base stats'!C334)+6.5696),EXP(0.7927*LN('Base stats'!C334)+4.28))</f>
        <v>61521.539646702935</v>
      </c>
      <c r="AT334" s="8">
        <f>IF(_xlfn.XLOOKUP(E334,Groups!A:A,Groups!N:N)="No","No",
IF(_xlfn.XLOOKUP(E334,Groups!A:A,Groups!N:N)="Crocodile",EXP(0.8129*LN(C334)+4.6742)*S334,
IF(_xlfn.XLOOKUP(E334,Groups!A:A,Groups!N:N)="Felid",EXP(0.7843*LN(C334)+4.7073)*S334,
IF(_xlfn.XLOOKUP(E334,Groups!A:A,Groups!N:N)="Canid",EXP(0.8367*LN(C334)+4.8763)*S334,
IF(_xlfn.XLOOKUP(E334,Groups!A:A,Groups!N:N)="Pig",EXP(0.3439*LN(C334)+6.8519)*S334,
IF(_xlfn.XLOOKUP(E334,Groups!A:A,Groups!N:N)="Rodent",EXP(0.5625*LN(C334)+4.3006)*S334,
IF(_xlfn.XLOOKUP(E334,Groups!A:A,Groups!N:N)="Primate",EXP(0.7847*LN(C334)+3.4931)*S334,
IF(_xlfn.XLOOKUP(E334,Groups!A:A,Groups!N:N)="MiscCarnivora",EXP(0.7486*LN(C334)+4.2207)*S334,
IF(_xlfn.XLOOKUP(E334,Groups!A:A,Groups!N:N)="Lizard",EXP(0.7733*LN(C334)+5.5303)*S334,
IF(_xlfn.XLOOKUP(E334,Groups!A:A,Groups!N:N)="Snake",50*C334^(2/3)*S334,
IF(_xlfn.XLOOKUP(E334,Groups!A:A,Groups!N:N)="StrongBitingHerbivore",87.1133638856975*C334^(2/3)*S334,
IF(_xlfn.XLOOKUP(E334,Groups!A:A,Groups!N:N)="MiscEctotherms",59.4316884072269*C334^(2/3)*S334,
IF(_xlfn.XLOOKUP(E334,Groups!A:A,Groups!N:N)="StrongBeakBird",0.041*(C334*1000)^1.375*S334,
IF(_xlfn.XLOOKUP(E334,Groups!A:A,Groups!N:N)="Bird",0.118*(C334*1000)^0.692*S334,
IF(_xlfn.XLOOKUP(E334,Groups!A:A,Groups!N:N)="Insect",EXP(0.7444*LN(C334)+6.5696)*S334,
IF(_xlfn.XLOOKUP(E334,Groups!A:A,Groups!N:N)="Theropod",EXP(0.6966*LN(C334)+4.158)*S334,
"No"))))))))))))))))</f>
        <v>9056.4193853338402</v>
      </c>
      <c r="AU334" s="8">
        <f>IF(_xlfn.XLOOKUP(E334,Groups!A:A,Groups!U:U)=3,AS334,IF(_xlfn.XLOOKUP(E334,Groups!A:A,Groups!U:U)=2,AR334,AT334))</f>
        <v>9056.4193853338402</v>
      </c>
      <c r="AV334" s="46">
        <f>IFERROR(AVERAGE(_xlfn.XLOOKUP(B334,Animals!B:B,Animals!N:N),_xlfn.XLOOKUP(B334,Animals!B:B,Animals!O:O)),0)</f>
        <v>0</v>
      </c>
      <c r="AW334" s="8">
        <f>MROUND(40*Animals!AO334*_xlfn.XLOOKUP(AG334,Leathers!$A$2:$A$99,Leathers!$B$2:$B$99,0)+(140*_xlfn.XLOOKUP(B334,Animals!B:B,Animals!AO:AO)*2),5)</f>
        <v>1400</v>
      </c>
      <c r="AX334" s="8">
        <f>IFERROR(ROUND(SQRT(V334-1)*IF(_xlfn.XLOOKUP(E334,Groups!A:A,Groups!BF:BF)=0,2,1)*IF(_xlfn.XLOOKUP('Base stats'!E334,Groups!A:A,Groups!O:O)=0,1,0.1),1),0)</f>
        <v>7.3</v>
      </c>
      <c r="AY334" s="8">
        <f t="shared" si="168"/>
        <v>5.4</v>
      </c>
      <c r="AZ334" s="8">
        <f t="shared" si="169"/>
        <v>0</v>
      </c>
      <c r="BA334" s="8">
        <f t="shared" si="170"/>
        <v>16.899999999999999</v>
      </c>
      <c r="BB334" s="8">
        <f>IF(_xlfn.XLOOKUP(E334,Groups!A:A,Groups!N:N)="Insect",BD334*2.5,IFERROR(AVERAGE(BD334,AT334/9.81/IF(OR(_xlfn.XLOOKUP(E334,Groups!A:A,Groups!N:N)="Pig",_xlfn.XLOOKUP(E334,Groups!A:A,Groups!N:N)="StrongBitingHerbivore"),20,25))*C334^-0.135,BD334))</f>
        <v>13.180782763049379</v>
      </c>
      <c r="BC334" s="8" t="str">
        <f>IF(W334="No","No",IF(_xlfn.XLOOKUP(E334,Groups!A:A,Groups!U:U)=1,'Base stats'!BB334,IF(OR(_xlfn.XLOOKUP(E334,Groups!A:A,Groups!BD:BD)=1,_xlfn.XLOOKUP(E334,Groups!A:A,Groups!U:U)=2),BD334,IF(_xlfn.XLOOKUP(B334,Animals!B:B,Animals!AO:AO)&gt;4,AVERAGE(BD334,BF334),BF334))))</f>
        <v>No</v>
      </c>
      <c r="BD334" s="8">
        <f t="shared" si="171"/>
        <v>46.249851285678119</v>
      </c>
      <c r="BE334" s="8">
        <f>IF(_xlfn.XLOOKUP(E334,Groups!A:A,Groups!BE:BE)=1,(0.048*C334^1.01)+(0.071*C334^1.03),0.071*C334^1.03)/IF(_xlfn.XLOOKUP(E334,Groups!A:A,Groups!M:M)=1,0.85,IF(OR(_xlfn.XLOOKUP(B334,Animals!B:B,Animals!AO:AO)&gt;4,_xlfn.XLOOKUP(E334,Groups!A:A,Groups!BC:BC)=1),1.7,1))*C334^-0.25</f>
        <v>50.127286986212987</v>
      </c>
      <c r="BF334" s="8">
        <f>(0.048*C334^1.01)/IF(_xlfn.XLOOKUP(E334,Groups!A:A,Groups!M:M)=1,0.25,0.8)*C334^-0.25</f>
        <v>38.683095847838807</v>
      </c>
      <c r="BG334" s="8">
        <f>EXP(1.076*LN(AR334)-4.5397)*IF(_xlfn.XLOOKUP(E334,Groups!A:A,Groups!BC:BC)=1,1.25,IF(_xlfn.XLOOKUP(E334,Groups!A:A,Groups!BD:BD)=1,3.5,2.5))</f>
        <v>4502.7925763679959</v>
      </c>
      <c r="BH334" s="8">
        <f>EXP(1.076*LN(AS334)-4.5397)*IF(_xlfn.XLOOKUP(E334,Groups!A:A,Groups!M:M)=1,0.8,IF(_xlfn.XLOOKUP(E334,Groups!A:A,Groups!BC:BC)=1,1.3,3))</f>
        <v>4555.6238478510568</v>
      </c>
      <c r="BI334" s="8" t="str">
        <f>IF(W334="No","No",IF(_xlfn.XLOOKUP(E334,Groups!A:A,Groups!U:U)=1,'Base stats'!BJ334,IF(OR(_xlfn.XLOOKUP(E334,Groups!A:A,Groups!BD:BD)=1,_xlfn.XLOOKUP(E334,Groups!A:A,Groups!U:U)=2),BG334,BH334))*1.2)</f>
        <v>No</v>
      </c>
      <c r="BJ334" s="8">
        <f>IFERROR(EXP(1.076*LN(AT334)-4.5397)*IF(_xlfn.XLOOKUP(E334,Groups!A:A,Groups!N:N)="Insect",1,IF(OR(_xlfn.XLOOKUP(E334,Groups!A:A,Groups!N:N)="Pig",_xlfn.XLOOKUP(E334,Groups!A:A,Groups!N:N)="StrongBitingHerbivore"),3.5,3.75)),"No")</f>
        <v>724.68593065457071</v>
      </c>
      <c r="BK334" s="8">
        <f t="shared" si="172"/>
        <v>13</v>
      </c>
      <c r="BL334" s="8">
        <f t="shared" si="173"/>
        <v>13</v>
      </c>
      <c r="BM334" s="8" t="str">
        <f t="shared" si="174"/>
        <v>No</v>
      </c>
      <c r="BN334" s="8">
        <f t="shared" si="175"/>
        <v>10</v>
      </c>
      <c r="BO334" s="8">
        <f t="shared" si="176"/>
        <v>15</v>
      </c>
      <c r="BP334" s="8" cm="1">
        <f t="array" ref="BP334">IF(AND(_xlfn.XLOOKUP('Base stats'!E334,Groups!A:A,Groups!AD:AD=0),_xlfn.XLOOKUP('Base stats'!E334,Groups!A:A,Groups!P:P=0)),"No",IF(U334="No",AVERAGE(EXP(-0.57+0.99*LN(C334)),EXP(0.32+0.67*LN(C334)))/IF(_xlfn.XLOOKUP(E334,Groups!A:A,Groups!AD:AD)=1,10,2),(0.7354*C334^0.4078)*2/IF(_xlfn.XLOOKUP(E334,Groups!A:A,Groups!BK:BK)=1,1000,100)/IF(_xlfn.XLOOKUP(E334,Groups!A:A,Groups!AJ:AJ)="Photonozoa",3,1)))</f>
        <v>0.47315387840534762</v>
      </c>
      <c r="BQ334" s="8" t="str">
        <f>IF(W334="No","No",IF(_xlfn.XLOOKUP(E334,Groups!A:A,Groups!BD:BD)=1,(AO334*5%),EXP(0.7354*LN(C334)^0.4078)*2/IF(_xlfn.XLOOKUP(E334,Groups!A:A,Groups!BL:BL)=1,1000,100)/IF(_xlfn.XLOOKUP(E334,Groups!A:A,Groups!AJ:AJ)="Photonozoa",3,1)))</f>
        <v>No</v>
      </c>
      <c r="BR334" s="8">
        <f>IF(BJ334="No","No",IF(_xlfn.XLOOKUP(E334,Groups!A:A,Groups!BF:BF)=1,(0.0315*C334+2.1825)*2,(0.7354*C334^0.4078)*2)/IF(_xlfn.XLOOKUP(E334,Groups!A:A,Groups!BM:BM)=1,1000,100)/IF(_xlfn.XLOOKUP(E334,Groups!A:A,Groups!AJ:AJ)="Photonozoa",3,1))</f>
        <v>0.47315387840534762</v>
      </c>
      <c r="BS334" s="8">
        <f t="shared" si="177"/>
        <v>0.32095069694826317</v>
      </c>
      <c r="BT334" s="8">
        <f t="shared" si="178"/>
        <v>9628.2077686960984</v>
      </c>
      <c r="BU334" s="8" t="str">
        <f t="shared" si="179"/>
        <v>No</v>
      </c>
      <c r="BV334" s="8">
        <f t="shared" si="180"/>
        <v>1531.6072925301848</v>
      </c>
      <c r="BW334" s="4">
        <v>0</v>
      </c>
      <c r="BX334" s="4">
        <v>1</v>
      </c>
    </row>
    <row r="335" spans="1:76" s="16" customFormat="1" x14ac:dyDescent="0.25">
      <c r="A335" s="26" t="s">
        <v>1920</v>
      </c>
      <c r="B335" s="6" t="s">
        <v>1921</v>
      </c>
      <c r="C335" s="7">
        <f>POWER(10,2.754*LOG(350)-0.683)/1000</f>
        <v>2105.539504495147</v>
      </c>
      <c r="D335" s="7" t="s">
        <v>1922</v>
      </c>
      <c r="E335" s="7" t="str">
        <f>Groups!$A$121</f>
        <v>Theropod (CLAWED)</v>
      </c>
      <c r="F335" s="7" t="str">
        <f t="shared" si="185"/>
        <v>Lay eggs</v>
      </c>
      <c r="G335" s="7">
        <v>10</v>
      </c>
      <c r="H335" s="7">
        <f>AVERAGE(22,28)</f>
        <v>25</v>
      </c>
      <c r="I335" s="4">
        <v>1</v>
      </c>
      <c r="J335" s="7" t="str">
        <f t="shared" si="190"/>
        <v>Lay eggs</v>
      </c>
      <c r="K335" s="7" t="s">
        <v>528</v>
      </c>
      <c r="L335" s="7">
        <v>33.840000000000003</v>
      </c>
      <c r="M335" s="7" t="s">
        <v>2019</v>
      </c>
      <c r="N335" s="4">
        <v>0</v>
      </c>
      <c r="O335" s="4">
        <v>0</v>
      </c>
      <c r="P335" s="4">
        <v>0</v>
      </c>
      <c r="Q335" s="4">
        <v>0</v>
      </c>
      <c r="R335" s="4" t="s">
        <v>40</v>
      </c>
      <c r="S335" s="7">
        <f>_xlfn.XLOOKUP(B335,[1]TeethAdjusters!$A:$A,[1]BiteAdjusters!$C:$C,1)</f>
        <v>0.2586468597552094</v>
      </c>
      <c r="T335" s="7">
        <f>_xlfn.XLOOKUP(B335,[1]TeethAdjusters!$A:$A,[1]TeethAdjusters!$B:$B,1)</f>
        <v>1</v>
      </c>
      <c r="U335" s="7">
        <v>15</v>
      </c>
      <c r="V335" s="7">
        <v>4</v>
      </c>
      <c r="W335" s="7" t="s">
        <v>45</v>
      </c>
      <c r="X335" s="7" t="s">
        <v>932</v>
      </c>
      <c r="Y335" s="4" t="s">
        <v>56</v>
      </c>
      <c r="Z335" s="4">
        <v>1</v>
      </c>
      <c r="AA335" s="4">
        <v>0</v>
      </c>
      <c r="AB335" s="4">
        <v>0</v>
      </c>
      <c r="AC335" s="4">
        <v>0</v>
      </c>
      <c r="AD335" s="4">
        <v>0</v>
      </c>
      <c r="AE335" s="4" t="s">
        <v>45</v>
      </c>
      <c r="AF335" s="4" t="s">
        <v>45</v>
      </c>
      <c r="AG335" s="49" t="s">
        <v>1919</v>
      </c>
      <c r="AH335" s="4" t="s">
        <v>45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4" t="s">
        <v>40</v>
      </c>
      <c r="AO335" s="8">
        <f t="shared" si="166"/>
        <v>160512.620486281</v>
      </c>
      <c r="AP335" s="8">
        <f>IFERROR(C335*_xlfn.XLOOKUP(E335,Groups!A:A,Groups!K:K),0.106*C335^0.94)</f>
        <v>141.01569616240764</v>
      </c>
      <c r="AQ335" s="8">
        <f>AP335*10000/(_xlfn.XLOOKUP(E335,Groups!A:A,Groups!J:J)*AO335)</f>
        <v>8.0599393320099004</v>
      </c>
      <c r="AR335" s="8">
        <f t="shared" si="167"/>
        <v>34888.782050584407</v>
      </c>
      <c r="AS335" s="8">
        <f>IF(_xlfn.XLOOKUP(E335,Groups!A:A,Groups!M:M)=1,EXP(0.7444*LN('Base stats'!C335)+6.5696),EXP(0.7927*LN('Base stats'!C335)+4.28))</f>
        <v>31132.252565861996</v>
      </c>
      <c r="AT335" s="8">
        <f>IF(_xlfn.XLOOKUP(E335,Groups!A:A,Groups!N:N)="No","No",
IF(_xlfn.XLOOKUP(E335,Groups!A:A,Groups!N:N)="Crocodile",EXP(0.8129*LN(C335)+4.6742)*S335,
IF(_xlfn.XLOOKUP(E335,Groups!A:A,Groups!N:N)="Felid",EXP(0.7843*LN(C335)+4.7073)*S335,
IF(_xlfn.XLOOKUP(E335,Groups!A:A,Groups!N:N)="Canid",EXP(0.8367*LN(C335)+4.8763)*S335,
IF(_xlfn.XLOOKUP(E335,Groups!A:A,Groups!N:N)="Pig",EXP(0.3439*LN(C335)+6.8519)*S335,
IF(_xlfn.XLOOKUP(E335,Groups!A:A,Groups!N:N)="Rodent",EXP(0.5625*LN(C335)+4.3006)*S335,
IF(_xlfn.XLOOKUP(E335,Groups!A:A,Groups!N:N)="Primate",EXP(0.7847*LN(C335)+3.4931)*S335,
IF(_xlfn.XLOOKUP(E335,Groups!A:A,Groups!N:N)="MiscCarnivora",EXP(0.7486*LN(C335)+4.2207)*S335,
IF(_xlfn.XLOOKUP(E335,Groups!A:A,Groups!N:N)="Lizard",EXP(0.7733*LN(C335)+5.5303)*S335,
IF(_xlfn.XLOOKUP(E335,Groups!A:A,Groups!N:N)="Snake",50*C335^(2/3)*S335,
IF(_xlfn.XLOOKUP(E335,Groups!A:A,Groups!N:N)="StrongBitingHerbivore",87.1133638856975*C335^(2/3)*S335,
IF(_xlfn.XLOOKUP(E335,Groups!A:A,Groups!N:N)="MiscEctotherms",59.4316884072269*C335^(2/3)*S335,
IF(_xlfn.XLOOKUP(E335,Groups!A:A,Groups!N:N)="StrongBeakBird",0.041*(C335*1000)^1.375*S335,
IF(_xlfn.XLOOKUP(E335,Groups!A:A,Groups!N:N)="Bird",0.118*(C335*1000)^0.692*S335,
IF(_xlfn.XLOOKUP(E335,Groups!A:A,Groups!N:N)="Insect",EXP(0.7444*LN(C335)+6.5696)*S335,
IF(_xlfn.XLOOKUP(E335,Groups!A:A,Groups!N:N)="Theropod",EXP(0.6966*LN(C335)+4.158)*S335,
"No"))))))))))))))))</f>
        <v>3416.3204929243898</v>
      </c>
      <c r="AU335" s="8">
        <f>IF(_xlfn.XLOOKUP(E335,Groups!A:A,Groups!U:U)=3,AS335,IF(_xlfn.XLOOKUP(E335,Groups!A:A,Groups!U:U)=2,AR335,AT335))</f>
        <v>3416.3204929243898</v>
      </c>
      <c r="AV335" s="46">
        <f>IFERROR(AVERAGE(_xlfn.XLOOKUP(B335,Animals!B:B,Animals!N:N),_xlfn.XLOOKUP(B335,Animals!B:B,Animals!O:O)),0)</f>
        <v>0</v>
      </c>
      <c r="AW335" s="8">
        <f>MROUND(40*Animals!AO335*_xlfn.XLOOKUP(AG335,Leathers!$A$2:$A$99,Leathers!$B$2:$B$99,0)+(140*_xlfn.XLOOKUP(B335,Animals!B:B,Animals!AO:AO)*2),5)</f>
        <v>1050</v>
      </c>
      <c r="AX335" s="8">
        <f>IFERROR(ROUND(SQRT(V335-1)*IF(_xlfn.XLOOKUP(E335,Groups!A:A,Groups!BF:BF)=0,2,1)*IF(_xlfn.XLOOKUP('Base stats'!E335,Groups!A:A,Groups!O:O)=0,1,0.1),1),0)</f>
        <v>3.5</v>
      </c>
      <c r="AY335" s="8">
        <f t="shared" si="168"/>
        <v>3.7</v>
      </c>
      <c r="AZ335" s="8">
        <f t="shared" si="169"/>
        <v>0</v>
      </c>
      <c r="BA335" s="8">
        <f t="shared" si="170"/>
        <v>12.4</v>
      </c>
      <c r="BB335" s="8">
        <f>IF(_xlfn.XLOOKUP(E335,Groups!A:A,Groups!N:N)="Insect",BD335*2.5,IFERROR(AVERAGE(BD335,AT335/9.81/IF(OR(_xlfn.XLOOKUP(E335,Groups!A:A,Groups!N:N)="Pig",_xlfn.XLOOKUP(E335,Groups!A:A,Groups!N:N)="StrongBitingHerbivore"),20,25))*C335^-0.135,BD335))</f>
        <v>6.509048133001305</v>
      </c>
      <c r="BC335" s="8" t="str">
        <f>IF(W335="No","No",IF(_xlfn.XLOOKUP(E335,Groups!A:A,Groups!U:U)=1,'Base stats'!BB335,IF(OR(_xlfn.XLOOKUP(E335,Groups!A:A,Groups!BD:BD)=1,_xlfn.XLOOKUP(E335,Groups!A:A,Groups!U:U)=2),BD335,IF(_xlfn.XLOOKUP(B335,Animals!B:B,Animals!AO:AO)&gt;4,AVERAGE(BD335,BF335),BF335))))</f>
        <v>No</v>
      </c>
      <c r="BD335" s="8">
        <f t="shared" si="171"/>
        <v>22.646497700940866</v>
      </c>
      <c r="BE335" s="8">
        <f>IF(_xlfn.XLOOKUP(E335,Groups!A:A,Groups!BE:BE)=1,(0.048*C335^1.01)+(0.071*C335^1.03),0.071*C335^1.03)/IF(_xlfn.XLOOKUP(E335,Groups!A:A,Groups!M:M)=1,0.85,IF(OR(_xlfn.XLOOKUP(B335,Animals!B:B,Animals!AO:AO)&gt;4,_xlfn.XLOOKUP(E335,Groups!A:A,Groups!BC:BC)=1),1.7,1))*C335^-0.25</f>
        <v>43.870345238601978</v>
      </c>
      <c r="BF335" s="8">
        <f>(0.048*C335^1.01)/IF(_xlfn.XLOOKUP(E335,Groups!A:A,Groups!M:M)=1,0.25,0.8)*C335^-0.25</f>
        <v>20.132950693498596</v>
      </c>
      <c r="BG335" s="8">
        <f>EXP(1.076*LN(AR335)-4.5397)*IF(_xlfn.XLOOKUP(E335,Groups!A:A,Groups!BC:BC)=1,1.25,IF(_xlfn.XLOOKUP(E335,Groups!A:A,Groups!BD:BD)=1,3.5,2.5))</f>
        <v>2062.069408346968</v>
      </c>
      <c r="BH335" s="8">
        <f>EXP(1.076*LN(AS335)-4.5397)*IF(_xlfn.XLOOKUP(E335,Groups!A:A,Groups!M:M)=1,0.8,IF(_xlfn.XLOOKUP(E335,Groups!A:A,Groups!BC:BC)=1,1.3,3))</f>
        <v>2189.0170373001665</v>
      </c>
      <c r="BI335" s="8" t="str">
        <f>IF(W335="No","No",IF(_xlfn.XLOOKUP(E335,Groups!A:A,Groups!U:U)=1,'Base stats'!BJ335,IF(OR(_xlfn.XLOOKUP(E335,Groups!A:A,Groups!BD:BD)=1,_xlfn.XLOOKUP(E335,Groups!A:A,Groups!U:U)=2),BG335,BH335))*1.2)</f>
        <v>No</v>
      </c>
      <c r="BJ335" s="8">
        <f>IFERROR(EXP(1.076*LN(AT335)-4.5397)*IF(_xlfn.XLOOKUP(E335,Groups!A:A,Groups!N:N)="Insect",1,IF(OR(_xlfn.XLOOKUP(E335,Groups!A:A,Groups!N:N)="Pig",_xlfn.XLOOKUP(E335,Groups!A:A,Groups!N:N)="StrongBitingHerbivore"),3.5,3.75)),"No")</f>
        <v>253.84795460002638</v>
      </c>
      <c r="BK335" s="8">
        <f t="shared" si="172"/>
        <v>13</v>
      </c>
      <c r="BL335" s="8">
        <f t="shared" si="173"/>
        <v>9</v>
      </c>
      <c r="BM335" s="8" t="str">
        <f t="shared" si="174"/>
        <v>No</v>
      </c>
      <c r="BN335" s="8">
        <f t="shared" si="175"/>
        <v>8</v>
      </c>
      <c r="BO335" s="8">
        <f t="shared" si="176"/>
        <v>14</v>
      </c>
      <c r="BP335" s="8" cm="1">
        <f t="array" ref="BP335">IF(AND(_xlfn.XLOOKUP('Base stats'!E335,Groups!A:A,Groups!AD:AD=0),_xlfn.XLOOKUP('Base stats'!E335,Groups!A:A,Groups!P:P=0)),"No",IF(U335="No",AVERAGE(EXP(-0.57+0.99*LN(C335)),EXP(0.32+0.67*LN(C335)))/IF(_xlfn.XLOOKUP(E335,Groups!A:A,Groups!AD:AD)=1,10,2),(0.7354*C335^0.4078)*2/IF(_xlfn.XLOOKUP(E335,Groups!A:A,Groups!BK:BK)=1,1000,100)/IF(_xlfn.XLOOKUP(E335,Groups!A:A,Groups!AJ:AJ)="Photonozoa",3,1)))</f>
        <v>0.33328917885227327</v>
      </c>
      <c r="BQ335" s="8" t="str">
        <f>IF(W335="No","No",IF(_xlfn.XLOOKUP(E335,Groups!A:A,Groups!BD:BD)=1,(AO335*5%),EXP(0.7354*LN(C335)^0.4078)*2/IF(_xlfn.XLOOKUP(E335,Groups!A:A,Groups!BL:BL)=1,1000,100)/IF(_xlfn.XLOOKUP(E335,Groups!A:A,Groups!AJ:AJ)="Photonozoa",3,1)))</f>
        <v>No</v>
      </c>
      <c r="BR335" s="8">
        <f>IF(BJ335="No","No",IF(_xlfn.XLOOKUP(E335,Groups!A:A,Groups!BF:BF)=1,(0.0315*C335+2.1825)*2,(0.7354*C335^0.4078)*2)/IF(_xlfn.XLOOKUP(E335,Groups!A:A,Groups!BM:BM)=1,1000,100)/IF(_xlfn.XLOOKUP(E335,Groups!A:A,Groups!AJ:AJ)="Photonozoa",3,1))</f>
        <v>0.33328917885227327</v>
      </c>
      <c r="BS335" s="8">
        <f t="shared" si="177"/>
        <v>0.25693548608200723</v>
      </c>
      <c r="BT335" s="8">
        <f t="shared" si="178"/>
        <v>6567.9211213467688</v>
      </c>
      <c r="BU335" s="8" t="str">
        <f t="shared" si="179"/>
        <v>No</v>
      </c>
      <c r="BV335" s="8">
        <f t="shared" si="180"/>
        <v>761.64475388665915</v>
      </c>
      <c r="BW335" s="4">
        <v>0</v>
      </c>
      <c r="BX335" s="4">
        <v>1</v>
      </c>
    </row>
    <row r="336" spans="1:76" s="16" customFormat="1" x14ac:dyDescent="0.25">
      <c r="A336" s="26" t="s">
        <v>1923</v>
      </c>
      <c r="B336" s="6" t="s">
        <v>1924</v>
      </c>
      <c r="C336" s="7">
        <f>AVERAGE(4780,7950)</f>
        <v>6365</v>
      </c>
      <c r="D336" s="7" t="s">
        <v>1925</v>
      </c>
      <c r="E336" s="7" t="str">
        <f>Groups!$A$125</f>
        <v>Ankylosaurid</v>
      </c>
      <c r="F336" s="7" t="str">
        <f t="shared" si="185"/>
        <v>Lay eggs</v>
      </c>
      <c r="G336" s="7">
        <v>20</v>
      </c>
      <c r="H336" s="7">
        <v>50</v>
      </c>
      <c r="I336" s="4">
        <v>1</v>
      </c>
      <c r="J336" s="7" t="str">
        <f t="shared" si="190"/>
        <v>Lay eggs</v>
      </c>
      <c r="K336" s="7" t="s">
        <v>528</v>
      </c>
      <c r="L336" s="7">
        <f>0.7*10^(1.6347-0.1517*LOG10(C336/1000)-0.0615*(LOG10(C336/1000)^2))</f>
        <v>20.803057566482018</v>
      </c>
      <c r="M336" s="7" t="s">
        <v>1959</v>
      </c>
      <c r="N336" s="4">
        <v>0</v>
      </c>
      <c r="O336" s="4">
        <v>0</v>
      </c>
      <c r="P336" s="4">
        <v>0</v>
      </c>
      <c r="Q336" s="4">
        <v>0</v>
      </c>
      <c r="R336" s="4" t="s">
        <v>40</v>
      </c>
      <c r="S336" s="7">
        <f>_xlfn.XLOOKUP(B336,[1]TeethAdjusters!$A:$A,[1]BiteAdjusters!$C:$C,1)</f>
        <v>1</v>
      </c>
      <c r="T336" s="7">
        <f>_xlfn.XLOOKUP(B336,[1]TeethAdjusters!$A:$A,[1]TeethAdjusters!$B:$B,1)</f>
        <v>1</v>
      </c>
      <c r="U336" s="7" t="s">
        <v>45</v>
      </c>
      <c r="V336" s="7" t="s">
        <v>45</v>
      </c>
      <c r="W336" s="7">
        <v>60</v>
      </c>
      <c r="X336" s="7" t="s">
        <v>932</v>
      </c>
      <c r="Y336" s="4" t="s">
        <v>42</v>
      </c>
      <c r="Z336" s="4">
        <v>1</v>
      </c>
      <c r="AA336" s="4">
        <v>0</v>
      </c>
      <c r="AB336" s="4">
        <v>0</v>
      </c>
      <c r="AC336" s="4">
        <v>0</v>
      </c>
      <c r="AD336" s="4">
        <v>0</v>
      </c>
      <c r="AE336" s="4" t="s">
        <v>45</v>
      </c>
      <c r="AF336" s="4" t="s">
        <v>45</v>
      </c>
      <c r="AG336" s="49" t="s">
        <v>1930</v>
      </c>
      <c r="AH336" s="4" t="s">
        <v>45</v>
      </c>
      <c r="AI336" s="4">
        <v>1</v>
      </c>
      <c r="AJ336" s="4">
        <v>0</v>
      </c>
      <c r="AK336" s="4">
        <v>0</v>
      </c>
      <c r="AL336" s="4">
        <v>0</v>
      </c>
      <c r="AM336" s="4">
        <v>0</v>
      </c>
      <c r="AN336" s="44" t="s">
        <v>40</v>
      </c>
      <c r="AO336" s="8">
        <f t="shared" si="166"/>
        <v>329451.844961041</v>
      </c>
      <c r="AP336" s="8">
        <f>IFERROR(C336*_xlfn.XLOOKUP(E336,Groups!A:A,Groups!K:K),0.106*C336^0.94)</f>
        <v>1273</v>
      </c>
      <c r="AQ336" s="8">
        <f>AP336*10000/(_xlfn.XLOOKUP(E336,Groups!A:A,Groups!J:J)*AO336)</f>
        <v>20.774162070073448</v>
      </c>
      <c r="AR336" s="8">
        <f t="shared" si="167"/>
        <v>88819.692424727109</v>
      </c>
      <c r="AS336" s="8">
        <f>IF(_xlfn.XLOOKUP(E336,Groups!A:A,Groups!M:M)=1,EXP(0.7444*LN('Base stats'!C336)+6.5696),EXP(0.7927*LN('Base stats'!C336)+4.28))</f>
        <v>74825.802026691017</v>
      </c>
      <c r="AT336" s="8" t="str">
        <f>IF(_xlfn.XLOOKUP(E336,Groups!A:A,Groups!N:N)="No","No",
IF(_xlfn.XLOOKUP(E336,Groups!A:A,Groups!N:N)="Crocodile",EXP(0.8129*LN(C336)+4.6742)*S336,
IF(_xlfn.XLOOKUP(E336,Groups!A:A,Groups!N:N)="Felid",EXP(0.7843*LN(C336)+4.7073)*S336,
IF(_xlfn.XLOOKUP(E336,Groups!A:A,Groups!N:N)="Canid",EXP(0.8367*LN(C336)+4.8763)*S336,
IF(_xlfn.XLOOKUP(E336,Groups!A:A,Groups!N:N)="Pig",EXP(0.3439*LN(C336)+6.8519)*S336,
IF(_xlfn.XLOOKUP(E336,Groups!A:A,Groups!N:N)="Rodent",EXP(0.5625*LN(C336)+4.3006)*S336,
IF(_xlfn.XLOOKUP(E336,Groups!A:A,Groups!N:N)="Primate",EXP(0.7847*LN(C336)+3.4931)*S336,
IF(_xlfn.XLOOKUP(E336,Groups!A:A,Groups!N:N)="MiscCarnivora",EXP(0.7486*LN(C336)+4.2207)*S336,
IF(_xlfn.XLOOKUP(E336,Groups!A:A,Groups!N:N)="Lizard",EXP(0.7733*LN(C336)+5.5303)*S336,
IF(_xlfn.XLOOKUP(E336,Groups!A:A,Groups!N:N)="Snake",50*C336^(2/3)*S336,
IF(_xlfn.XLOOKUP(E336,Groups!A:A,Groups!N:N)="StrongBitingHerbivore",87.1133638856975*C336^(2/3)*S336,
IF(_xlfn.XLOOKUP(E336,Groups!A:A,Groups!N:N)="MiscEctotherms",59.4316884072269*C336^(2/3)*S336,
IF(_xlfn.XLOOKUP(E336,Groups!A:A,Groups!N:N)="StrongBeakBird",0.041*(C336*1000)^1.375*S336,
IF(_xlfn.XLOOKUP(E336,Groups!A:A,Groups!N:N)="Bird",0.118*(C336*1000)^0.692*S336,
IF(_xlfn.XLOOKUP(E336,Groups!A:A,Groups!N:N)="Insect",EXP(0.7444*LN(C336)+6.5696)*S336,
IF(_xlfn.XLOOKUP(E336,Groups!A:A,Groups!N:N)="Theropod",EXP(0.6966*LN(C336)+4.158)*S336,
"No"))))))))))))))))</f>
        <v>No</v>
      </c>
      <c r="AU336" s="8">
        <f>IF(_xlfn.XLOOKUP(E336,Groups!A:A,Groups!U:U)=3,AS336,IF(_xlfn.XLOOKUP(E336,Groups!A:A,Groups!U:U)=2,AR336,AT336))</f>
        <v>74825.802026691017</v>
      </c>
      <c r="AV336" s="46">
        <f>IFERROR(AVERAGE(_xlfn.XLOOKUP(B336,Animals!B:B,Animals!N:N),_xlfn.XLOOKUP(B336,Animals!B:B,Animals!O:O)),0)</f>
        <v>0.67500000000000004</v>
      </c>
      <c r="AW336" s="8">
        <f>MROUND(40*Animals!AO336*_xlfn.XLOOKUP(AG336,Leathers!$A$2:$A$99,Leathers!$B$2:$B$99,0)+(140*_xlfn.XLOOKUP(B336,Animals!B:B,Animals!AO:AO)*2),5)</f>
        <v>1540</v>
      </c>
      <c r="AX336" s="8">
        <f>IFERROR(ROUND(SQRT(V336-1)*IF(_xlfn.XLOOKUP(E336,Groups!A:A,Groups!BF:BF)=0,2,1)*IF(_xlfn.XLOOKUP('Base stats'!E336,Groups!A:A,Groups!O:O)=0,1,0.1),1),0)</f>
        <v>0</v>
      </c>
      <c r="AY336" s="8">
        <f t="shared" si="168"/>
        <v>0</v>
      </c>
      <c r="AZ336" s="8">
        <f t="shared" si="169"/>
        <v>7.7</v>
      </c>
      <c r="BA336" s="8">
        <f t="shared" si="170"/>
        <v>18.5</v>
      </c>
      <c r="BB336" s="8">
        <f>IF(_xlfn.XLOOKUP(E336,Groups!A:A,Groups!N:N)="Insect",BD336*2.5,IFERROR(AVERAGE(BD336,AT336/9.81/IF(OR(_xlfn.XLOOKUP(E336,Groups!A:A,Groups!N:N)="Pig",_xlfn.XLOOKUP(E336,Groups!A:A,Groups!N:N)="StrongBitingHerbivore"),20,25))*C336^-0.135,BD336))</f>
        <v>28.930108780297669</v>
      </c>
      <c r="BC336" s="8">
        <f>IF(W336="No","No",IF(_xlfn.XLOOKUP(E336,Groups!A:A,Groups!U:U)=1,'Base stats'!BB336,IF(OR(_xlfn.XLOOKUP(E336,Groups!A:A,Groups!BD:BD)=1,_xlfn.XLOOKUP(E336,Groups!A:A,Groups!U:U)=2),BD336,IF(_xlfn.XLOOKUP(B336,Animals!B:B,Animals!AO:AO)&gt;4,AVERAGE(BD336,BF336),BF336))))</f>
        <v>37.80006726248007</v>
      </c>
      <c r="BD336" s="8">
        <f t="shared" si="171"/>
        <v>28.930108780297669</v>
      </c>
      <c r="BE336" s="8">
        <f>IF(_xlfn.XLOOKUP(E336,Groups!A:A,Groups!BE:BE)=1,(0.048*C336^1.01)+(0.071*C336^1.03),0.071*C336^1.03)/IF(_xlfn.XLOOKUP(E336,Groups!A:A,Groups!M:M)=1,0.85,IF(OR(_xlfn.XLOOKUP(B336,Animals!B:B,Animals!AO:AO)&gt;4,_xlfn.XLOOKUP(E336,Groups!A:A,Groups!BC:BC)=1),1.7,1))*C336^-0.25</f>
        <v>38.705455750718222</v>
      </c>
      <c r="BF336" s="8">
        <f>(0.048*C336^1.01)/IF(_xlfn.XLOOKUP(E336,Groups!A:A,Groups!M:M)=1,0.25,0.8)*C336^-0.25</f>
        <v>46.670025744662475</v>
      </c>
      <c r="BG336" s="8">
        <f>EXP(1.076*LN(AR336)-4.5397)*IF(_xlfn.XLOOKUP(E336,Groups!A:A,Groups!BC:BC)=1,1.25,IF(_xlfn.XLOOKUP(E336,Groups!A:A,Groups!BD:BD)=1,3.5,2.5))</f>
        <v>2817.989188485139</v>
      </c>
      <c r="BH336" s="8">
        <f>EXP(1.076*LN(AS336)-4.5397)*IF(_xlfn.XLOOKUP(E336,Groups!A:A,Groups!M:M)=1,0.8,IF(_xlfn.XLOOKUP(E336,Groups!A:A,Groups!BC:BC)=1,1.3,3))</f>
        <v>2437.0025201245417</v>
      </c>
      <c r="BI336" s="8">
        <f>IF(W336="No","No",IF(_xlfn.XLOOKUP(E336,Groups!A:A,Groups!U:U)=1,'Base stats'!BJ336,IF(OR(_xlfn.XLOOKUP(E336,Groups!A:A,Groups!BD:BD)=1,_xlfn.XLOOKUP(E336,Groups!A:A,Groups!U:U)=2),BG336,BH336))*1.2)</f>
        <v>2924.4030241494497</v>
      </c>
      <c r="BJ336" s="8" t="str">
        <f>IFERROR(EXP(1.076*LN(AT336)-4.5397)*IF(_xlfn.XLOOKUP(E336,Groups!A:A,Groups!N:N)="Insect",1,IF(OR(_xlfn.XLOOKUP(E336,Groups!A:A,Groups!N:N)="Pig",_xlfn.XLOOKUP(E336,Groups!A:A,Groups!N:N)="StrongBitingHerbivore"),3.5,3.75)),"No")</f>
        <v>No</v>
      </c>
      <c r="BK336" s="8">
        <f t="shared" si="172"/>
        <v>13</v>
      </c>
      <c r="BL336" s="8">
        <f t="shared" si="173"/>
        <v>11</v>
      </c>
      <c r="BM336" s="8">
        <f t="shared" si="174"/>
        <v>12</v>
      </c>
      <c r="BN336" s="8" t="str">
        <f t="shared" si="175"/>
        <v>No</v>
      </c>
      <c r="BO336" s="8">
        <f t="shared" si="176"/>
        <v>10</v>
      </c>
      <c r="BP336" s="8" t="str" cm="1">
        <f t="array" ref="BP336">IF(AND(_xlfn.XLOOKUP('Base stats'!E336,Groups!A:A,Groups!AD:AD=0),_xlfn.XLOOKUP('Base stats'!E336,Groups!A:A,Groups!P:P=0)),"No",IF(U336="No",AVERAGE(EXP(-0.57+0.99*LN(C336)),EXP(0.32+0.67*LN(C336)))/IF(_xlfn.XLOOKUP(E336,Groups!A:A,Groups!AD:AD)=1,10,2),(0.7354*C336^0.4078)*2/IF(_xlfn.XLOOKUP(E336,Groups!A:A,Groups!BK:BK)=1,1000,100)/IF(_xlfn.XLOOKUP(E336,Groups!A:A,Groups!AJ:AJ)="Photonozoa",3,1)))</f>
        <v>No</v>
      </c>
      <c r="BQ336" s="8">
        <f>IF(W336="No","No",IF(_xlfn.XLOOKUP(E336,Groups!A:A,Groups!BD:BD)=1,(AO336*5%),EXP(0.7354*LN(C336)^0.4078)*2/IF(_xlfn.XLOOKUP(E336,Groups!A:A,Groups!BL:BL)=1,1000,100)/IF(_xlfn.XLOOKUP(E336,Groups!A:A,Groups!AJ:AJ)="Photonozoa",3,1)))</f>
        <v>0.11880539573691015</v>
      </c>
      <c r="BR336" s="8" t="str">
        <f>IF(BJ336="No","No",IF(_xlfn.XLOOKUP(E336,Groups!A:A,Groups!BF:BF)=1,(0.0315*C336+2.1825)*2,(0.7354*C336^0.4078)*2)/IF(_xlfn.XLOOKUP(E336,Groups!A:A,Groups!BM:BM)=1,1000,100)/IF(_xlfn.XLOOKUP(E336,Groups!A:A,Groups!AJ:AJ)="Photonozoa",3,1))</f>
        <v>No</v>
      </c>
      <c r="BS336" s="8">
        <f t="shared" si="177"/>
        <v>0.17107138609701078</v>
      </c>
      <c r="BT336" s="8" t="str">
        <f t="shared" si="178"/>
        <v>No</v>
      </c>
      <c r="BU336" s="8">
        <f t="shared" si="179"/>
        <v>24615.069088490094</v>
      </c>
      <c r="BV336" s="8" t="str">
        <f t="shared" si="180"/>
        <v>No</v>
      </c>
      <c r="BW336" s="4">
        <v>0</v>
      </c>
      <c r="BX336" s="4">
        <v>1</v>
      </c>
    </row>
    <row r="337" spans="1:76" s="16" customFormat="1" x14ac:dyDescent="0.25">
      <c r="A337" s="26" t="s">
        <v>1934</v>
      </c>
      <c r="B337" s="6" t="s">
        <v>1933</v>
      </c>
      <c r="C337" s="7">
        <v>300</v>
      </c>
      <c r="D337" s="7" t="s">
        <v>528</v>
      </c>
      <c r="E337" s="7" t="str">
        <f>Groups!$A$125</f>
        <v>Ankylosaurid</v>
      </c>
      <c r="F337" s="7" t="str">
        <f t="shared" si="185"/>
        <v>Lay eggs</v>
      </c>
      <c r="G337" s="7">
        <v>5</v>
      </c>
      <c r="H337" s="7">
        <v>30</v>
      </c>
      <c r="I337" s="4">
        <v>1</v>
      </c>
      <c r="J337" s="7" t="str">
        <f t="shared" si="190"/>
        <v>Lay eggs</v>
      </c>
      <c r="K337" s="7" t="s">
        <v>528</v>
      </c>
      <c r="L337" s="7">
        <f>0.7*10^(1.6347-0.1517*LOG10(C337/1000)-0.0615*(LOG10(C337/1000)^2))</f>
        <v>34.858164211364013</v>
      </c>
      <c r="M337" s="7" t="s">
        <v>1959</v>
      </c>
      <c r="N337" s="4">
        <v>0</v>
      </c>
      <c r="O337" s="4">
        <v>0</v>
      </c>
      <c r="P337" s="4">
        <v>0</v>
      </c>
      <c r="Q337" s="4">
        <v>0</v>
      </c>
      <c r="R337" s="4" t="s">
        <v>40</v>
      </c>
      <c r="S337" s="7">
        <f>_xlfn.XLOOKUP(B337,[1]TeethAdjusters!$A:$A,[1]BiteAdjusters!$C:$C,1)</f>
        <v>1</v>
      </c>
      <c r="T337" s="7">
        <f>_xlfn.XLOOKUP(B337,[1]TeethAdjusters!$A:$A,[1]TeethAdjusters!$B:$B,1)</f>
        <v>1</v>
      </c>
      <c r="U337" s="7" t="s">
        <v>45</v>
      </c>
      <c r="V337" s="7" t="s">
        <v>45</v>
      </c>
      <c r="W337" s="7">
        <v>15</v>
      </c>
      <c r="X337" s="7" t="s">
        <v>932</v>
      </c>
      <c r="Y337" s="4" t="s">
        <v>42</v>
      </c>
      <c r="Z337" s="4">
        <v>1</v>
      </c>
      <c r="AA337" s="4">
        <v>0</v>
      </c>
      <c r="AB337" s="4">
        <v>0</v>
      </c>
      <c r="AC337" s="4">
        <v>0</v>
      </c>
      <c r="AD337" s="4">
        <v>0</v>
      </c>
      <c r="AE337" s="4" t="s">
        <v>45</v>
      </c>
      <c r="AF337" s="4" t="s">
        <v>45</v>
      </c>
      <c r="AG337" s="49" t="s">
        <v>1930</v>
      </c>
      <c r="AH337" s="4" t="s">
        <v>45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4" t="s">
        <v>40</v>
      </c>
      <c r="AO337" s="8">
        <f t="shared" si="166"/>
        <v>45232.625241713278</v>
      </c>
      <c r="AP337" s="8">
        <f>IFERROR(C337*_xlfn.XLOOKUP(E337,Groups!A:A,Groups!K:K),0.106*C337^0.94)</f>
        <v>60</v>
      </c>
      <c r="AQ337" s="8">
        <f>AP337*10000/(_xlfn.XLOOKUP(E337,Groups!A:A,Groups!J:J)*AO337)</f>
        <v>7.1315923724853407</v>
      </c>
      <c r="AR337" s="8">
        <f t="shared" si="167"/>
        <v>6727.6760861471967</v>
      </c>
      <c r="AS337" s="8">
        <f>IF(_xlfn.XLOOKUP(E337,Groups!A:A,Groups!M:M)=1,EXP(0.7444*LN('Base stats'!C337)+6.5696),EXP(0.7927*LN('Base stats'!C337)+4.28))</f>
        <v>6643.4611730321203</v>
      </c>
      <c r="AT337" s="8" t="str">
        <f>IF(_xlfn.XLOOKUP(E337,Groups!A:A,Groups!N:N)="No","No",
IF(_xlfn.XLOOKUP(E337,Groups!A:A,Groups!N:N)="Crocodile",EXP(0.8129*LN(C337)+4.6742)*S337,
IF(_xlfn.XLOOKUP(E337,Groups!A:A,Groups!N:N)="Felid",EXP(0.7843*LN(C337)+4.7073)*S337,
IF(_xlfn.XLOOKUP(E337,Groups!A:A,Groups!N:N)="Canid",EXP(0.8367*LN(C337)+4.8763)*S337,
IF(_xlfn.XLOOKUP(E337,Groups!A:A,Groups!N:N)="Pig",EXP(0.3439*LN(C337)+6.8519)*S337,
IF(_xlfn.XLOOKUP(E337,Groups!A:A,Groups!N:N)="Rodent",EXP(0.5625*LN(C337)+4.3006)*S337,
IF(_xlfn.XLOOKUP(E337,Groups!A:A,Groups!N:N)="Primate",EXP(0.7847*LN(C337)+3.4931)*S337,
IF(_xlfn.XLOOKUP(E337,Groups!A:A,Groups!N:N)="MiscCarnivora",EXP(0.7486*LN(C337)+4.2207)*S337,
IF(_xlfn.XLOOKUP(E337,Groups!A:A,Groups!N:N)="Lizard",EXP(0.7733*LN(C337)+5.5303)*S337,
IF(_xlfn.XLOOKUP(E337,Groups!A:A,Groups!N:N)="Snake",50*C337^(2/3)*S337,
IF(_xlfn.XLOOKUP(E337,Groups!A:A,Groups!N:N)="StrongBitingHerbivore",87.1133638856975*C337^(2/3)*S337,
IF(_xlfn.XLOOKUP(E337,Groups!A:A,Groups!N:N)="MiscEctotherms",59.4316884072269*C337^(2/3)*S337,
IF(_xlfn.XLOOKUP(E337,Groups!A:A,Groups!N:N)="StrongBeakBird",0.041*(C337*1000)^1.375*S337,
IF(_xlfn.XLOOKUP(E337,Groups!A:A,Groups!N:N)="Bird",0.118*(C337*1000)^0.692*S337,
IF(_xlfn.XLOOKUP(E337,Groups!A:A,Groups!N:N)="Insect",EXP(0.7444*LN(C337)+6.5696)*S337,
IF(_xlfn.XLOOKUP(E337,Groups!A:A,Groups!N:N)="Theropod",EXP(0.6966*LN(C337)+4.158)*S337,
"No"))))))))))))))))</f>
        <v>No</v>
      </c>
      <c r="AU337" s="8">
        <f>IF(_xlfn.XLOOKUP(E337,Groups!A:A,Groups!U:U)=3,AS337,IF(_xlfn.XLOOKUP(E337,Groups!A:A,Groups!U:U)=2,AR337,AT337))</f>
        <v>6643.4611730321203</v>
      </c>
      <c r="AV337" s="46">
        <f>IFERROR(AVERAGE(_xlfn.XLOOKUP(B337,Animals!B:B,Animals!N:N),_xlfn.XLOOKUP(B337,Animals!B:B,Animals!O:O)),0)</f>
        <v>0.27500000000000002</v>
      </c>
      <c r="AW337" s="8">
        <f>MROUND(40*Animals!AO337*_xlfn.XLOOKUP(AG337,Leathers!$A$2:$A$99,Leathers!$B$2:$B$99,0)+(140*_xlfn.XLOOKUP(B337,Animals!B:B,Animals!AO:AO)*2),5)</f>
        <v>630</v>
      </c>
      <c r="AX337" s="8">
        <f>IFERROR(ROUND(SQRT(V337-1)*IF(_xlfn.XLOOKUP(E337,Groups!A:A,Groups!BF:BF)=0,2,1)*IF(_xlfn.XLOOKUP('Base stats'!E337,Groups!A:A,Groups!O:O)=0,1,0.1),1),0)</f>
        <v>0</v>
      </c>
      <c r="AY337" s="8">
        <f t="shared" si="168"/>
        <v>0</v>
      </c>
      <c r="AZ337" s="8">
        <f t="shared" si="169"/>
        <v>3.9</v>
      </c>
      <c r="BA337" s="8">
        <f t="shared" si="170"/>
        <v>6.2</v>
      </c>
      <c r="BB337" s="8">
        <f>IF(_xlfn.XLOOKUP(E337,Groups!A:A,Groups!N:N)="Insect",BD337*2.5,IFERROR(AVERAGE(BD337,AT337/9.81/IF(OR(_xlfn.XLOOKUP(E337,Groups!A:A,Groups!N:N)="Pig",_xlfn.XLOOKUP(E337,Groups!A:A,Groups!N:N)="StrongBitingHerbivore"),20,25))*C337^-0.135,BD337))</f>
        <v>2.8909161352458521</v>
      </c>
      <c r="BC337" s="8">
        <f>IF(W337="No","No",IF(_xlfn.XLOOKUP(E337,Groups!A:A,Groups!U:U)=1,'Base stats'!BB337,IF(OR(_xlfn.XLOOKUP(E337,Groups!A:A,Groups!BD:BD)=1,_xlfn.XLOOKUP(E337,Groups!A:A,Groups!U:U)=2),BD337,IF(_xlfn.XLOOKUP(B337,Animals!B:B,Animals!AO:AO)&gt;4,AVERAGE(BD337,BF337),BF337))))</f>
        <v>4.5789236700969242</v>
      </c>
      <c r="BD337" s="8">
        <f t="shared" si="171"/>
        <v>2.8909161352458521</v>
      </c>
      <c r="BE337" s="8">
        <f>IF(_xlfn.XLOOKUP(E337,Groups!A:A,Groups!BE:BE)=1,(0.048*C337^1.01)+(0.071*C337^1.03),0.071*C337^1.03)/IF(_xlfn.XLOOKUP(E337,Groups!A:A,Groups!M:M)=1,0.85,IF(OR(_xlfn.XLOOKUP(B337,Animals!B:B,Animals!AO:AO)&gt;4,_xlfn.XLOOKUP(E337,Groups!A:A,Groups!BC:BC)=1),1.7,1))*C337^-0.25</f>
        <v>3.5724322889305471</v>
      </c>
      <c r="BF337" s="8">
        <f>(0.048*C337^1.01)/IF(_xlfn.XLOOKUP(E337,Groups!A:A,Groups!M:M)=1,0.25,0.8)*C337^-0.25</f>
        <v>4.5789236700969242</v>
      </c>
      <c r="BG337" s="8">
        <f>EXP(1.076*LN(AR337)-4.5397)*IF(_xlfn.XLOOKUP(E337,Groups!A:A,Groups!BC:BC)=1,1.25,IF(_xlfn.XLOOKUP(E337,Groups!A:A,Groups!BD:BD)=1,3.5,2.5))</f>
        <v>175.43901189464424</v>
      </c>
      <c r="BH337" s="8">
        <f>EXP(1.076*LN(AS337)-4.5397)*IF(_xlfn.XLOOKUP(E337,Groups!A:A,Groups!M:M)=1,0.8,IF(_xlfn.XLOOKUP(E337,Groups!A:A,Groups!BC:BC)=1,1.3,3))</f>
        <v>180.0002334924454</v>
      </c>
      <c r="BI337" s="8">
        <f>IF(W337="No","No",IF(_xlfn.XLOOKUP(E337,Groups!A:A,Groups!U:U)=1,'Base stats'!BJ337,IF(OR(_xlfn.XLOOKUP(E337,Groups!A:A,Groups!BD:BD)=1,_xlfn.XLOOKUP(E337,Groups!A:A,Groups!U:U)=2),BG337,BH337))*1.2)</f>
        <v>216.00028019093449</v>
      </c>
      <c r="BJ337" s="8" t="str">
        <f>IFERROR(EXP(1.076*LN(AT337)-4.5397)*IF(_xlfn.XLOOKUP(E337,Groups!A:A,Groups!N:N)="Insect",1,IF(OR(_xlfn.XLOOKUP(E337,Groups!A:A,Groups!N:N)="Pig",_xlfn.XLOOKUP(E337,Groups!A:A,Groups!N:N)="StrongBitingHerbivore"),3.5,3.75)),"No")</f>
        <v>No</v>
      </c>
      <c r="BK337" s="8">
        <f t="shared" si="172"/>
        <v>11</v>
      </c>
      <c r="BL337" s="8">
        <f t="shared" si="173"/>
        <v>10</v>
      </c>
      <c r="BM337" s="8">
        <f t="shared" si="174"/>
        <v>9</v>
      </c>
      <c r="BN337" s="8" t="str">
        <f t="shared" si="175"/>
        <v>No</v>
      </c>
      <c r="BO337" s="8">
        <f t="shared" si="176"/>
        <v>8</v>
      </c>
      <c r="BP337" s="8" t="str" cm="1">
        <f t="array" ref="BP337">IF(AND(_xlfn.XLOOKUP('Base stats'!E337,Groups!A:A,Groups!AD:AD=0),_xlfn.XLOOKUP('Base stats'!E337,Groups!A:A,Groups!P:P=0)),"No",IF(U337="No",AVERAGE(EXP(-0.57+0.99*LN(C337)),EXP(0.32+0.67*LN(C337)))/IF(_xlfn.XLOOKUP(E337,Groups!A:A,Groups!AD:AD)=1,10,2),(0.7354*C337^0.4078)*2/IF(_xlfn.XLOOKUP(E337,Groups!A:A,Groups!BK:BK)=1,1000,100)/IF(_xlfn.XLOOKUP(E337,Groups!A:A,Groups!AJ:AJ)="Photonozoa",3,1)))</f>
        <v>No</v>
      </c>
      <c r="BQ337" s="8">
        <f>IF(W337="No","No",IF(_xlfn.XLOOKUP(E337,Groups!A:A,Groups!BD:BD)=1,(AO337*5%),EXP(0.7354*LN(C337)^0.4078)*2/IF(_xlfn.XLOOKUP(E337,Groups!A:A,Groups!BL:BL)=1,1000,100)/IF(_xlfn.XLOOKUP(E337,Groups!A:A,Groups!AJ:AJ)="Photonozoa",3,1)))</f>
        <v>8.9262213086682363E-2</v>
      </c>
      <c r="BR337" s="8" t="str">
        <f>IF(BJ337="No","No",IF(_xlfn.XLOOKUP(E337,Groups!A:A,Groups!BF:BF)=1,(0.0315*C337+2.1825)*2,(0.7354*C337^0.4078)*2)/IF(_xlfn.XLOOKUP(E337,Groups!A:A,Groups!BM:BM)=1,1000,100)/IF(_xlfn.XLOOKUP(E337,Groups!A:A,Groups!AJ:AJ)="Photonozoa",3,1))</f>
        <v>No</v>
      </c>
      <c r="BS337" s="8">
        <f t="shared" si="177"/>
        <v>7.7571890181981018E-2</v>
      </c>
      <c r="BT337" s="8" t="str">
        <f t="shared" si="178"/>
        <v>No</v>
      </c>
      <c r="BU337" s="8">
        <f t="shared" si="179"/>
        <v>2419.8400725419729</v>
      </c>
      <c r="BV337" s="8" t="str">
        <f t="shared" si="180"/>
        <v>No</v>
      </c>
      <c r="BW337" s="4">
        <v>0</v>
      </c>
      <c r="BX337" s="4">
        <v>1</v>
      </c>
    </row>
    <row r="338" spans="1:76" s="16" customFormat="1" x14ac:dyDescent="0.25">
      <c r="A338" s="26" t="s">
        <v>1935</v>
      </c>
      <c r="B338" s="6" t="s">
        <v>2066</v>
      </c>
      <c r="C338" s="7">
        <v>23337</v>
      </c>
      <c r="D338" s="7" t="s">
        <v>2065</v>
      </c>
      <c r="E338" s="7" t="str">
        <f>Groups!$A$126</f>
        <v>Sauropod</v>
      </c>
      <c r="F338" s="7" t="str">
        <f t="shared" si="185"/>
        <v>Lay eggs</v>
      </c>
      <c r="G338" s="7">
        <v>20</v>
      </c>
      <c r="H338" s="7">
        <v>30</v>
      </c>
      <c r="I338" s="4">
        <v>1</v>
      </c>
      <c r="J338" s="7" t="str">
        <f t="shared" si="190"/>
        <v>Lay eggs</v>
      </c>
      <c r="K338" s="7" t="s">
        <v>2024</v>
      </c>
      <c r="L338" s="7">
        <f>0.7*10^(1.6347-0.1517*LOG10(C338/1000)-0.0615*(LOG10(C338/1000)^2))</f>
        <v>14.360364290259358</v>
      </c>
      <c r="M338" s="7" t="s">
        <v>1959</v>
      </c>
      <c r="N338" s="4">
        <v>0</v>
      </c>
      <c r="O338" s="4">
        <v>0</v>
      </c>
      <c r="P338" s="4">
        <v>0</v>
      </c>
      <c r="Q338" s="4">
        <v>0</v>
      </c>
      <c r="R338" s="4" t="s">
        <v>40</v>
      </c>
      <c r="S338" s="7">
        <f>_xlfn.XLOOKUP(B338,[1]TeethAdjusters!$A:$A,[1]BiteAdjusters!$C:$C,1)</f>
        <v>1</v>
      </c>
      <c r="T338" s="7">
        <f>_xlfn.XLOOKUP(B338,[1]TeethAdjusters!$A:$A,[1]TeethAdjusters!$B:$B,1)</f>
        <v>1</v>
      </c>
      <c r="U338" s="7" t="s">
        <v>45</v>
      </c>
      <c r="V338" s="7" t="s">
        <v>45</v>
      </c>
      <c r="W338" s="7" t="s">
        <v>45</v>
      </c>
      <c r="X338" s="7" t="s">
        <v>932</v>
      </c>
      <c r="Y338" s="4" t="s">
        <v>42</v>
      </c>
      <c r="Z338" s="4">
        <v>1</v>
      </c>
      <c r="AA338" s="4">
        <v>0</v>
      </c>
      <c r="AB338" s="4">
        <v>0</v>
      </c>
      <c r="AC338" s="4">
        <v>0</v>
      </c>
      <c r="AD338" s="4">
        <v>0</v>
      </c>
      <c r="AE338" s="4" t="s">
        <v>45</v>
      </c>
      <c r="AF338" s="4" t="s">
        <v>311</v>
      </c>
      <c r="AG338" s="49" t="s">
        <v>1939</v>
      </c>
      <c r="AH338" s="4" t="s">
        <v>45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4" t="s">
        <v>40</v>
      </c>
      <c r="AO338" s="8">
        <f t="shared" si="166"/>
        <v>766570.75342364598</v>
      </c>
      <c r="AP338" s="8">
        <f>IFERROR(C338*_xlfn.XLOOKUP(E338,Groups!A:A,Groups!K:K),0.106*C338^0.94)</f>
        <v>1352.9077665111565</v>
      </c>
      <c r="AQ338" s="8">
        <f>AP338*10000/(_xlfn.XLOOKUP(E338,Groups!A:A,Groups!J:J)*AO338)</f>
        <v>16.191588059505602</v>
      </c>
      <c r="AR338" s="8">
        <f t="shared" si="167"/>
        <v>266151.17223883438</v>
      </c>
      <c r="AS338" s="8">
        <f>IF(_xlfn.XLOOKUP(E338,Groups!A:A,Groups!M:M)=1,EXP(0.7444*LN('Base stats'!C338)+6.5696),EXP(0.7927*LN('Base stats'!C338)+4.28))</f>
        <v>209570.27091905379</v>
      </c>
      <c r="AT338" s="8" t="str">
        <f>IF(_xlfn.XLOOKUP(E338,Groups!A:A,Groups!N:N)="No","No",
IF(_xlfn.XLOOKUP(E338,Groups!A:A,Groups!N:N)="Crocodile",EXP(0.8129*LN(C338)+4.6742)*S338,
IF(_xlfn.XLOOKUP(E338,Groups!A:A,Groups!N:N)="Felid",EXP(0.7843*LN(C338)+4.7073)*S338,
IF(_xlfn.XLOOKUP(E338,Groups!A:A,Groups!N:N)="Canid",EXP(0.8367*LN(C338)+4.8763)*S338,
IF(_xlfn.XLOOKUP(E338,Groups!A:A,Groups!N:N)="Pig",EXP(0.3439*LN(C338)+6.8519)*S338,
IF(_xlfn.XLOOKUP(E338,Groups!A:A,Groups!N:N)="Rodent",EXP(0.5625*LN(C338)+4.3006)*S338,
IF(_xlfn.XLOOKUP(E338,Groups!A:A,Groups!N:N)="Primate",EXP(0.7847*LN(C338)+3.4931)*S338,
IF(_xlfn.XLOOKUP(E338,Groups!A:A,Groups!N:N)="MiscCarnivora",EXP(0.7486*LN(C338)+4.2207)*S338,
IF(_xlfn.XLOOKUP(E338,Groups!A:A,Groups!N:N)="Lizard",EXP(0.7733*LN(C338)+5.5303)*S338,
IF(_xlfn.XLOOKUP(E338,Groups!A:A,Groups!N:N)="Snake",50*C338^(2/3)*S338,
IF(_xlfn.XLOOKUP(E338,Groups!A:A,Groups!N:N)="StrongBitingHerbivore",87.1133638856975*C338^(2/3)*S338,
IF(_xlfn.XLOOKUP(E338,Groups!A:A,Groups!N:N)="MiscEctotherms",59.4316884072269*C338^(2/3)*S338,
IF(_xlfn.XLOOKUP(E338,Groups!A:A,Groups!N:N)="StrongBeakBird",0.041*(C338*1000)^1.375*S338,
IF(_xlfn.XLOOKUP(E338,Groups!A:A,Groups!N:N)="Bird",0.118*(C338*1000)^0.692*S338,
IF(_xlfn.XLOOKUP(E338,Groups!A:A,Groups!N:N)="Insect",EXP(0.7444*LN(C338)+6.5696)*S338,
IF(_xlfn.XLOOKUP(E338,Groups!A:A,Groups!N:N)="Theropod",EXP(0.6966*LN(C338)+4.158)*S338,
"No"))))))))))))))))</f>
        <v>No</v>
      </c>
      <c r="AU338" s="8" t="str">
        <f>IF(_xlfn.XLOOKUP(E338,Groups!A:A,Groups!U:U)=3,AS338,IF(_xlfn.XLOOKUP(E338,Groups!A:A,Groups!U:U)=2,AR338,AT338))</f>
        <v>No</v>
      </c>
      <c r="AV338" s="46">
        <f>IFERROR(AVERAGE(_xlfn.XLOOKUP(B338,Animals!B:B,Animals!N:N),_xlfn.XLOOKUP(B338,Animals!B:B,Animals!O:O)),0)</f>
        <v>0</v>
      </c>
      <c r="AW338" s="8">
        <f>MROUND(40*Animals!AO338*_xlfn.XLOOKUP(AG338,Leathers!$A$2:$A$99,Leathers!$B$2:$B$99,0)+(140*_xlfn.XLOOKUP(B338,Animals!B:B,Animals!AO:AO)*2),5)</f>
        <v>2520</v>
      </c>
      <c r="AX338" s="8">
        <f>IFERROR(ROUND(SQRT(V338-1)*IF(_xlfn.XLOOKUP(E338,Groups!A:A,Groups!BF:BF)=0,2,1)*IF(_xlfn.XLOOKUP('Base stats'!E338,Groups!A:A,Groups!O:O)=0,1,0.1),1),0)</f>
        <v>0</v>
      </c>
      <c r="AY338" s="8">
        <f t="shared" si="168"/>
        <v>0</v>
      </c>
      <c r="AZ338" s="8">
        <f t="shared" si="169"/>
        <v>0</v>
      </c>
      <c r="BA338" s="8">
        <f t="shared" si="170"/>
        <v>29.4</v>
      </c>
      <c r="BB338" s="8">
        <f>IF(_xlfn.XLOOKUP(E338,Groups!A:A,Groups!N:N)="Insect",BD338*2.5,IFERROR(AVERAGE(BD338,AT338/9.81/IF(OR(_xlfn.XLOOKUP(E338,Groups!A:A,Groups!N:N)="Pig",_xlfn.XLOOKUP(E338,Groups!A:A,Groups!N:N)="StrongBitingHerbivore"),20,25))*C338^-0.135,BD338))</f>
        <v>77.053437250647463</v>
      </c>
      <c r="BC338" s="8" t="str">
        <f>IF(W338="No","No",IF(_xlfn.XLOOKUP(E338,Groups!A:A,Groups!U:U)=1,'Base stats'!BB338,IF(OR(_xlfn.XLOOKUP(E338,Groups!A:A,Groups!BD:BD)=1,_xlfn.XLOOKUP(E338,Groups!A:A,Groups!U:U)=2),BD338,IF(_xlfn.XLOOKUP(B338,Animals!B:B,Animals!AO:AO)&gt;4,AVERAGE(BD338,BF338),BF338))))</f>
        <v>No</v>
      </c>
      <c r="BD338" s="8">
        <f t="shared" si="171"/>
        <v>77.053437250647463</v>
      </c>
      <c r="BE338" s="8">
        <f>IF(_xlfn.XLOOKUP(E338,Groups!A:A,Groups!BE:BE)=1,(0.048*C338^1.01)+(0.071*C338^1.03),0.071*C338^1.03)/IF(_xlfn.XLOOKUP(E338,Groups!A:A,Groups!M:M)=1,0.85,IF(OR(_xlfn.XLOOKUP(B338,Animals!B:B,Animals!AO:AO)&gt;4,_xlfn.XLOOKUP(E338,Groups!A:A,Groups!BC:BC)=1),1.7,1))*C338^-0.25</f>
        <v>106.63126165461874</v>
      </c>
      <c r="BF338" s="8">
        <f>(0.048*C338^1.01)/IF(_xlfn.XLOOKUP(E338,Groups!A:A,Groups!M:M)=1,0.25,0.8)*C338^-0.25</f>
        <v>125.27530544325752</v>
      </c>
      <c r="BG338" s="8">
        <f>EXP(1.076*LN(AR338)-4.5397)*IF(_xlfn.XLOOKUP(E338,Groups!A:A,Groups!BC:BC)=1,1.25,IF(_xlfn.XLOOKUP(E338,Groups!A:A,Groups!BD:BD)=1,3.5,2.5))</f>
        <v>9178.706731826549</v>
      </c>
      <c r="BH338" s="8">
        <f>EXP(1.076*LN(AS338)-4.5397)*IF(_xlfn.XLOOKUP(E338,Groups!A:A,Groups!M:M)=1,0.8,IF(_xlfn.XLOOKUP(E338,Groups!A:A,Groups!BC:BC)=1,1.3,3))</f>
        <v>7381.2076455362403</v>
      </c>
      <c r="BI338" s="8" t="str">
        <f>IF(W338="No","No",IF(_xlfn.XLOOKUP(E338,Groups!A:A,Groups!U:U)=1,'Base stats'!BJ338,IF(OR(_xlfn.XLOOKUP(E338,Groups!A:A,Groups!BD:BD)=1,_xlfn.XLOOKUP(E338,Groups!A:A,Groups!U:U)=2),BG338,BH338))*1.2)</f>
        <v>No</v>
      </c>
      <c r="BJ338" s="8" t="str">
        <f>IFERROR(EXP(1.076*LN(AT338)-4.5397)*IF(_xlfn.XLOOKUP(E338,Groups!A:A,Groups!N:N)="Insect",1,IF(OR(_xlfn.XLOOKUP(E338,Groups!A:A,Groups!N:N)="Pig",_xlfn.XLOOKUP(E338,Groups!A:A,Groups!N:N)="StrongBitingHerbivore"),3.5,3.75)),"No")</f>
        <v>No</v>
      </c>
      <c r="BK338" s="8">
        <f t="shared" si="172"/>
        <v>15</v>
      </c>
      <c r="BL338" s="8">
        <f t="shared" si="173"/>
        <v>11</v>
      </c>
      <c r="BM338" s="8" t="str">
        <f t="shared" si="174"/>
        <v>No</v>
      </c>
      <c r="BN338" s="8" t="str">
        <f t="shared" si="175"/>
        <v>No</v>
      </c>
      <c r="BO338" s="8">
        <f t="shared" si="176"/>
        <v>10</v>
      </c>
      <c r="BP338" s="8" cm="1">
        <f t="array" ref="BP338">IF(AND(_xlfn.XLOOKUP('Base stats'!E338,Groups!A:A,Groups!AD:AD=0),_xlfn.XLOOKUP('Base stats'!E338,Groups!A:A,Groups!P:P=0)),"No",IF(U338="No",AVERAGE(EXP(-0.57+0.99*LN(C338)),EXP(0.32+0.67*LN(C338)))/IF(_xlfn.XLOOKUP(E338,Groups!A:A,Groups!AD:AD)=1,10,2),(0.7354*C338^0.4078)*2/IF(_xlfn.XLOOKUP(E338,Groups!A:A,Groups!BK:BK)=1,1000,100)/IF(_xlfn.XLOOKUP(E338,Groups!A:A,Groups!AJ:AJ)="Photonozoa",3,1)))</f>
        <v>3274.4505735439648</v>
      </c>
      <c r="BQ338" s="8" t="str">
        <f>IF(W338="No","No",IF(_xlfn.XLOOKUP(E338,Groups!A:A,Groups!BD:BD)=1,(AO338*5%),EXP(0.7354*LN(C338)^0.4078)*2/IF(_xlfn.XLOOKUP(E338,Groups!A:A,Groups!BL:BL)=1,1000,100)/IF(_xlfn.XLOOKUP(E338,Groups!A:A,Groups!AJ:AJ)="Photonozoa",3,1)))</f>
        <v>No</v>
      </c>
      <c r="BR338" s="8" t="str">
        <f>IF(BJ338="No","No",IF(_xlfn.XLOOKUP(E338,Groups!A:A,Groups!BF:BF)=1,(0.0315*C338+2.1825)*2,(0.7354*C338^0.4078)*2)/IF(_xlfn.XLOOKUP(E338,Groups!A:A,Groups!BM:BM)=1,1000,100)/IF(_xlfn.XLOOKUP(E338,Groups!A:A,Groups!AJ:AJ)="Photonozoa",3,1))</f>
        <v>No</v>
      </c>
      <c r="BS338" s="8">
        <f t="shared" si="177"/>
        <v>0.23947448270972396</v>
      </c>
      <c r="BT338" s="8">
        <f t="shared" si="178"/>
        <v>2.2541820313835119</v>
      </c>
      <c r="BU338" s="8" t="str">
        <f t="shared" si="179"/>
        <v>No</v>
      </c>
      <c r="BV338" s="8" t="str">
        <f t="shared" si="180"/>
        <v>No</v>
      </c>
      <c r="BW338" s="4">
        <v>0</v>
      </c>
      <c r="BX338" s="4">
        <v>1</v>
      </c>
    </row>
    <row r="339" spans="1:76" s="16" customFormat="1" x14ac:dyDescent="0.25">
      <c r="A339" s="26" t="s">
        <v>1938</v>
      </c>
      <c r="B339" s="6" t="s">
        <v>2064</v>
      </c>
      <c r="C339" s="7">
        <v>14000</v>
      </c>
      <c r="D339" s="7" t="s">
        <v>2063</v>
      </c>
      <c r="E339" s="7" t="str">
        <f>Groups!$A$127</f>
        <v>Sauropod (LONG)</v>
      </c>
      <c r="F339" s="7" t="str">
        <f t="shared" si="185"/>
        <v>Lay eggs</v>
      </c>
      <c r="G339" s="7">
        <v>20</v>
      </c>
      <c r="H339" s="7">
        <v>30</v>
      </c>
      <c r="I339" s="4">
        <v>1</v>
      </c>
      <c r="J339" s="7" t="str">
        <f t="shared" si="190"/>
        <v>Lay eggs</v>
      </c>
      <c r="K339" s="7" t="s">
        <v>2024</v>
      </c>
      <c r="L339" s="7">
        <f t="shared" ref="L339:L341" si="191">0.7*10^(1.6347-0.1517*LOG10(C339/1000)-0.0615*(LOG10(C339/1000)^2))</f>
        <v>16.793585679173496</v>
      </c>
      <c r="M339" s="7" t="s">
        <v>1959</v>
      </c>
      <c r="N339" s="4">
        <v>0</v>
      </c>
      <c r="O339" s="4">
        <v>0</v>
      </c>
      <c r="P339" s="4">
        <v>0</v>
      </c>
      <c r="Q339" s="4">
        <v>0</v>
      </c>
      <c r="R339" s="4" t="s">
        <v>40</v>
      </c>
      <c r="S339" s="7">
        <f>_xlfn.XLOOKUP(B339,[1]TeethAdjusters!$A:$A,[1]BiteAdjusters!$C:$C,1)</f>
        <v>1</v>
      </c>
      <c r="T339" s="7">
        <f>_xlfn.XLOOKUP(B339,[1]TeethAdjusters!$A:$A,[1]TeethAdjusters!$B:$B,1)</f>
        <v>1</v>
      </c>
      <c r="U339" s="7" t="s">
        <v>45</v>
      </c>
      <c r="V339" s="7" t="s">
        <v>45</v>
      </c>
      <c r="W339" s="7" t="s">
        <v>45</v>
      </c>
      <c r="X339" s="7" t="s">
        <v>932</v>
      </c>
      <c r="Y339" s="4" t="s">
        <v>42</v>
      </c>
      <c r="Z339" s="4">
        <v>1</v>
      </c>
      <c r="AA339" s="4">
        <v>0</v>
      </c>
      <c r="AB339" s="4">
        <v>0</v>
      </c>
      <c r="AC339" s="4">
        <v>0</v>
      </c>
      <c r="AD339" s="4">
        <v>0</v>
      </c>
      <c r="AE339" s="4" t="s">
        <v>45</v>
      </c>
      <c r="AF339" s="4" t="s">
        <v>311</v>
      </c>
      <c r="AG339" s="49" t="s">
        <v>1939</v>
      </c>
      <c r="AH339" s="4" t="s">
        <v>45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4" t="s">
        <v>40</v>
      </c>
      <c r="AO339" s="8">
        <f t="shared" si="166"/>
        <v>549928.46762943105</v>
      </c>
      <c r="AP339" s="8">
        <f>IFERROR(C339*_xlfn.XLOOKUP(E339,Groups!A:A,Groups!K:K),0.106*C339^0.94)</f>
        <v>836.88583824251543</v>
      </c>
      <c r="AQ339" s="8">
        <f>AP339*10000/(_xlfn.XLOOKUP(E339,Groups!A:A,Groups!J:J)*AO339)</f>
        <v>13.961546235444697</v>
      </c>
      <c r="AR339" s="8">
        <f t="shared" si="167"/>
        <v>172852.27560812322</v>
      </c>
      <c r="AS339" s="8">
        <f>IF(_xlfn.XLOOKUP(E339,Groups!A:A,Groups!M:M)=1,EXP(0.7444*LN('Base stats'!C339)+6.5696),EXP(0.7927*LN('Base stats'!C339)+4.28))</f>
        <v>139770.67947340815</v>
      </c>
      <c r="AT339" s="8" t="str">
        <f>IF(_xlfn.XLOOKUP(E339,Groups!A:A,Groups!N:N)="No","No",
IF(_xlfn.XLOOKUP(E339,Groups!A:A,Groups!N:N)="Crocodile",EXP(0.8129*LN(C339)+4.6742)*S339,
IF(_xlfn.XLOOKUP(E339,Groups!A:A,Groups!N:N)="Felid",EXP(0.7843*LN(C339)+4.7073)*S339,
IF(_xlfn.XLOOKUP(E339,Groups!A:A,Groups!N:N)="Canid",EXP(0.8367*LN(C339)+4.8763)*S339,
IF(_xlfn.XLOOKUP(E339,Groups!A:A,Groups!N:N)="Pig",EXP(0.3439*LN(C339)+6.8519)*S339,
IF(_xlfn.XLOOKUP(E339,Groups!A:A,Groups!N:N)="Rodent",EXP(0.5625*LN(C339)+4.3006)*S339,
IF(_xlfn.XLOOKUP(E339,Groups!A:A,Groups!N:N)="Primate",EXP(0.7847*LN(C339)+3.4931)*S339,
IF(_xlfn.XLOOKUP(E339,Groups!A:A,Groups!N:N)="MiscCarnivora",EXP(0.7486*LN(C339)+4.2207)*S339,
IF(_xlfn.XLOOKUP(E339,Groups!A:A,Groups!N:N)="Lizard",EXP(0.7733*LN(C339)+5.5303)*S339,
IF(_xlfn.XLOOKUP(E339,Groups!A:A,Groups!N:N)="Snake",50*C339^(2/3)*S339,
IF(_xlfn.XLOOKUP(E339,Groups!A:A,Groups!N:N)="StrongBitingHerbivore",87.1133638856975*C339^(2/3)*S339,
IF(_xlfn.XLOOKUP(E339,Groups!A:A,Groups!N:N)="MiscEctotherms",59.4316884072269*C339^(2/3)*S339,
IF(_xlfn.XLOOKUP(E339,Groups!A:A,Groups!N:N)="StrongBeakBird",0.041*(C339*1000)^1.375*S339,
IF(_xlfn.XLOOKUP(E339,Groups!A:A,Groups!N:N)="Bird",0.118*(C339*1000)^0.692*S339,
IF(_xlfn.XLOOKUP(E339,Groups!A:A,Groups!N:N)="Insect",EXP(0.7444*LN(C339)+6.5696)*S339,
IF(_xlfn.XLOOKUP(E339,Groups!A:A,Groups!N:N)="Theropod",EXP(0.6966*LN(C339)+4.158)*S339,
"No"))))))))))))))))</f>
        <v>No</v>
      </c>
      <c r="AU339" s="8">
        <f>IF(_xlfn.XLOOKUP(E339,Groups!A:A,Groups!U:U)=3,AS339,IF(_xlfn.XLOOKUP(E339,Groups!A:A,Groups!U:U)=2,AR339,AT339))</f>
        <v>139770.67947340815</v>
      </c>
      <c r="AV339" s="46">
        <f>IFERROR(AVERAGE(_xlfn.XLOOKUP(B339,Animals!B:B,Animals!N:N),_xlfn.XLOOKUP(B339,Animals!B:B,Animals!O:O)),0)</f>
        <v>0</v>
      </c>
      <c r="AW339" s="8">
        <f>MROUND(40*Animals!AO339*_xlfn.XLOOKUP(AG339,Leathers!$A$2:$A$99,Leathers!$B$2:$B$99,0)+(140*_xlfn.XLOOKUP(B339,Animals!B:B,Animals!AO:AO)*2),5)</f>
        <v>2100</v>
      </c>
      <c r="AX339" s="8">
        <f>IFERROR(ROUND(SQRT(V339-1)*IF(_xlfn.XLOOKUP(E339,Groups!A:A,Groups!BF:BF)=0,2,1)*IF(_xlfn.XLOOKUP('Base stats'!E339,Groups!A:A,Groups!O:O)=0,1,0.1),1),0)</f>
        <v>0</v>
      </c>
      <c r="AY339" s="8">
        <f t="shared" si="168"/>
        <v>0</v>
      </c>
      <c r="AZ339" s="8">
        <f t="shared" si="169"/>
        <v>0</v>
      </c>
      <c r="BA339" s="8">
        <f t="shared" si="170"/>
        <v>24.5</v>
      </c>
      <c r="BB339" s="8">
        <f>IF(_xlfn.XLOOKUP(E339,Groups!A:A,Groups!N:N)="Insect",BD339*2.5,IFERROR(AVERAGE(BD339,AT339/9.81/IF(OR(_xlfn.XLOOKUP(E339,Groups!A:A,Groups!N:N)="Pig",_xlfn.XLOOKUP(E339,Groups!A:A,Groups!N:N)="StrongBitingHerbivore"),20,25))*C339^-0.135,BD339))</f>
        <v>52.416329512443419</v>
      </c>
      <c r="BC339" s="8" t="str">
        <f>IF(W339="No","No",IF(_xlfn.XLOOKUP(E339,Groups!A:A,Groups!U:U)=1,'Base stats'!BB339,IF(OR(_xlfn.XLOOKUP(E339,Groups!A:A,Groups!BD:BD)=1,_xlfn.XLOOKUP(E339,Groups!A:A,Groups!U:U)=2),BD339,IF(_xlfn.XLOOKUP(B339,Animals!B:B,Animals!AO:AO)&gt;4,AVERAGE(BD339,BF339),BF339))))</f>
        <v>No</v>
      </c>
      <c r="BD339" s="8">
        <f t="shared" si="171"/>
        <v>52.416329512443419</v>
      </c>
      <c r="BE339" s="8">
        <f>IF(_xlfn.XLOOKUP(E339,Groups!A:A,Groups!BE:BE)=1,(0.048*C339^1.01)+(0.071*C339^1.03),0.071*C339^1.03)/IF(_xlfn.XLOOKUP(E339,Groups!A:A,Groups!M:M)=1,0.85,IF(OR(_xlfn.XLOOKUP(B339,Animals!B:B,Animals!AO:AO)&gt;4,_xlfn.XLOOKUP(E339,Groups!A:A,Groups!BC:BC)=1),1.7,1))*C339^-0.25</f>
        <v>71.579604619305599</v>
      </c>
      <c r="BF339" s="8">
        <f>(0.048*C339^1.01)/IF(_xlfn.XLOOKUP(E339,Groups!A:A,Groups!M:M)=1,0.25,0.8)*C339^-0.25</f>
        <v>84.958836759462415</v>
      </c>
      <c r="BG339" s="8">
        <f>EXP(1.076*LN(AR339)-4.5397)*IF(_xlfn.XLOOKUP(E339,Groups!A:A,Groups!BC:BC)=1,1.25,IF(_xlfn.XLOOKUP(E339,Groups!A:A,Groups!BD:BD)=1,3.5,2.5))</f>
        <v>5768.7505880774679</v>
      </c>
      <c r="BH339" s="8">
        <f>EXP(1.076*LN(AS339)-4.5397)*IF(_xlfn.XLOOKUP(E339,Groups!A:A,Groups!M:M)=1,0.8,IF(_xlfn.XLOOKUP(E339,Groups!A:A,Groups!BC:BC)=1,1.3,3))</f>
        <v>4773.5820420477257</v>
      </c>
      <c r="BI339" s="8" t="str">
        <f>IF(W339="No","No",IF(_xlfn.XLOOKUP(E339,Groups!A:A,Groups!U:U)=1,'Base stats'!BJ339,IF(OR(_xlfn.XLOOKUP(E339,Groups!A:A,Groups!BD:BD)=1,_xlfn.XLOOKUP(E339,Groups!A:A,Groups!U:U)=2),BG339,BH339))*1.2)</f>
        <v>No</v>
      </c>
      <c r="BJ339" s="8" t="str">
        <f>IFERROR(EXP(1.076*LN(AT339)-4.5397)*IF(_xlfn.XLOOKUP(E339,Groups!A:A,Groups!N:N)="Insect",1,IF(OR(_xlfn.XLOOKUP(E339,Groups!A:A,Groups!N:N)="Pig",_xlfn.XLOOKUP(E339,Groups!A:A,Groups!N:N)="StrongBitingHerbivore"),3.5,3.75)),"No")</f>
        <v>No</v>
      </c>
      <c r="BK339" s="8">
        <f t="shared" si="172"/>
        <v>14</v>
      </c>
      <c r="BL339" s="8">
        <f t="shared" si="173"/>
        <v>11</v>
      </c>
      <c r="BM339" s="8" t="str">
        <f t="shared" si="174"/>
        <v>No</v>
      </c>
      <c r="BN339" s="8" t="str">
        <f t="shared" si="175"/>
        <v>No</v>
      </c>
      <c r="BO339" s="8">
        <f t="shared" si="176"/>
        <v>10</v>
      </c>
      <c r="BP339" s="8" cm="1">
        <f t="array" ref="BP339">IF(AND(_xlfn.XLOOKUP('Base stats'!E339,Groups!A:A,Groups!AD:AD=0),_xlfn.XLOOKUP('Base stats'!E339,Groups!A:A,Groups!P:P=0)),"No",IF(U339="No",AVERAGE(EXP(-0.57+0.99*LN(C339)),EXP(0.32+0.67*LN(C339)))/IF(_xlfn.XLOOKUP(E339,Groups!A:A,Groups!AD:AD)=1,10,2),(0.7354*C339^0.4078)*2/IF(_xlfn.XLOOKUP(E339,Groups!A:A,Groups!BK:BK)=1,1000,100)/IF(_xlfn.XLOOKUP(E339,Groups!A:A,Groups!AJ:AJ)="Photonozoa",3,1)))</f>
        <v>2005.5673803852351</v>
      </c>
      <c r="BQ339" s="8" t="str">
        <f>IF(W339="No","No",IF(_xlfn.XLOOKUP(E339,Groups!A:A,Groups!BD:BD)=1,(AO339*5%),EXP(0.7354*LN(C339)^0.4078)*2/IF(_xlfn.XLOOKUP(E339,Groups!A:A,Groups!BL:BL)=1,1000,100)/IF(_xlfn.XLOOKUP(E339,Groups!A:A,Groups!AJ:AJ)="Photonozoa",3,1)))</f>
        <v>No</v>
      </c>
      <c r="BR339" s="8" t="str">
        <f>IF(BJ339="No","No",IF(_xlfn.XLOOKUP(E339,Groups!A:A,Groups!BF:BF)=1,(0.0315*C339+2.1825)*2,(0.7354*C339^0.4078)*2)/IF(_xlfn.XLOOKUP(E339,Groups!A:A,Groups!BM:BM)=1,1000,100)/IF(_xlfn.XLOOKUP(E339,Groups!A:A,Groups!AJ:AJ)="Photonozoa",3,1))</f>
        <v>No</v>
      </c>
      <c r="BS339" s="8">
        <f t="shared" si="177"/>
        <v>0.20980003500981645</v>
      </c>
      <c r="BT339" s="8">
        <f t="shared" si="178"/>
        <v>2.3801653780043046</v>
      </c>
      <c r="BU339" s="8" t="str">
        <f t="shared" si="179"/>
        <v>No</v>
      </c>
      <c r="BV339" s="8" t="str">
        <f t="shared" si="180"/>
        <v>No</v>
      </c>
      <c r="BW339" s="4">
        <v>0</v>
      </c>
      <c r="BX339" s="4">
        <v>1</v>
      </c>
    </row>
    <row r="340" spans="1:76" s="16" customFormat="1" x14ac:dyDescent="0.25">
      <c r="A340" s="26" t="s">
        <v>1941</v>
      </c>
      <c r="B340" s="6" t="s">
        <v>1942</v>
      </c>
      <c r="C340" s="7">
        <v>13000</v>
      </c>
      <c r="D340" s="7" t="s">
        <v>2063</v>
      </c>
      <c r="E340" s="7" t="str">
        <f>Groups!$A$127</f>
        <v>Sauropod (LONG)</v>
      </c>
      <c r="F340" s="7" t="str">
        <f t="shared" si="185"/>
        <v>Lay eggs</v>
      </c>
      <c r="G340" s="7">
        <v>20</v>
      </c>
      <c r="H340" s="7">
        <v>30</v>
      </c>
      <c r="I340" s="4">
        <v>1</v>
      </c>
      <c r="J340" s="7" t="str">
        <f t="shared" si="190"/>
        <v>Lay eggs</v>
      </c>
      <c r="K340" s="7" t="s">
        <v>2024</v>
      </c>
      <c r="L340" s="7">
        <f t="shared" si="191"/>
        <v>17.159291073584043</v>
      </c>
      <c r="M340" s="7" t="s">
        <v>1959</v>
      </c>
      <c r="N340" s="4">
        <v>0</v>
      </c>
      <c r="O340" s="4">
        <v>0</v>
      </c>
      <c r="P340" s="4">
        <v>0</v>
      </c>
      <c r="Q340" s="4">
        <v>0</v>
      </c>
      <c r="R340" s="4" t="s">
        <v>40</v>
      </c>
      <c r="S340" s="7">
        <f>_xlfn.XLOOKUP(B340,[1]TeethAdjusters!$A:$A,[1]BiteAdjusters!$C:$C,1)</f>
        <v>1</v>
      </c>
      <c r="T340" s="7">
        <f>_xlfn.XLOOKUP(B340,[1]TeethAdjusters!$A:$A,[1]TeethAdjusters!$B:$B,1)</f>
        <v>1</v>
      </c>
      <c r="U340" s="7" t="s">
        <v>45</v>
      </c>
      <c r="V340" s="7" t="s">
        <v>45</v>
      </c>
      <c r="W340" s="7" t="s">
        <v>45</v>
      </c>
      <c r="X340" s="7" t="s">
        <v>932</v>
      </c>
      <c r="Y340" s="4" t="s">
        <v>42</v>
      </c>
      <c r="Z340" s="4">
        <v>1</v>
      </c>
      <c r="AA340" s="4">
        <v>0</v>
      </c>
      <c r="AB340" s="4">
        <v>0</v>
      </c>
      <c r="AC340" s="4">
        <v>0</v>
      </c>
      <c r="AD340" s="4">
        <v>0</v>
      </c>
      <c r="AE340" s="4" t="s">
        <v>45</v>
      </c>
      <c r="AF340" s="4" t="s">
        <v>311</v>
      </c>
      <c r="AG340" s="49" t="s">
        <v>1939</v>
      </c>
      <c r="AH340" s="4" t="s">
        <v>45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4" t="s">
        <v>40</v>
      </c>
      <c r="AO340" s="8">
        <f t="shared" si="166"/>
        <v>524066.20880086953</v>
      </c>
      <c r="AP340" s="8">
        <f>IFERROR(C340*_xlfn.XLOOKUP(E340,Groups!A:A,Groups!K:K),0.106*C340^0.94)</f>
        <v>780.57136705589994</v>
      </c>
      <c r="AQ340" s="8">
        <f>AP340*10000/(_xlfn.XLOOKUP(E340,Groups!A:A,Groups!J:J)*AO340)</f>
        <v>13.664695571068124</v>
      </c>
      <c r="AR340" s="8">
        <f t="shared" si="167"/>
        <v>162363.61018798349</v>
      </c>
      <c r="AS340" s="8">
        <f>IF(_xlfn.XLOOKUP(E340,Groups!A:A,Groups!M:M)=1,EXP(0.7444*LN('Base stats'!C340)+6.5696),EXP(0.7927*LN('Base stats'!C340)+4.28))</f>
        <v>131796.31812067947</v>
      </c>
      <c r="AT340" s="8" t="str">
        <f>IF(_xlfn.XLOOKUP(E340,Groups!A:A,Groups!N:N)="No","No",
IF(_xlfn.XLOOKUP(E340,Groups!A:A,Groups!N:N)="Crocodile",EXP(0.8129*LN(C340)+4.6742)*S340,
IF(_xlfn.XLOOKUP(E340,Groups!A:A,Groups!N:N)="Felid",EXP(0.7843*LN(C340)+4.7073)*S340,
IF(_xlfn.XLOOKUP(E340,Groups!A:A,Groups!N:N)="Canid",EXP(0.8367*LN(C340)+4.8763)*S340,
IF(_xlfn.XLOOKUP(E340,Groups!A:A,Groups!N:N)="Pig",EXP(0.3439*LN(C340)+6.8519)*S340,
IF(_xlfn.XLOOKUP(E340,Groups!A:A,Groups!N:N)="Rodent",EXP(0.5625*LN(C340)+4.3006)*S340,
IF(_xlfn.XLOOKUP(E340,Groups!A:A,Groups!N:N)="Primate",EXP(0.7847*LN(C340)+3.4931)*S340,
IF(_xlfn.XLOOKUP(E340,Groups!A:A,Groups!N:N)="MiscCarnivora",EXP(0.7486*LN(C340)+4.2207)*S340,
IF(_xlfn.XLOOKUP(E340,Groups!A:A,Groups!N:N)="Lizard",EXP(0.7733*LN(C340)+5.5303)*S340,
IF(_xlfn.XLOOKUP(E340,Groups!A:A,Groups!N:N)="Snake",50*C340^(2/3)*S340,
IF(_xlfn.XLOOKUP(E340,Groups!A:A,Groups!N:N)="StrongBitingHerbivore",87.1133638856975*C340^(2/3)*S340,
IF(_xlfn.XLOOKUP(E340,Groups!A:A,Groups!N:N)="MiscEctotherms",59.4316884072269*C340^(2/3)*S340,
IF(_xlfn.XLOOKUP(E340,Groups!A:A,Groups!N:N)="StrongBeakBird",0.041*(C340*1000)^1.375*S340,
IF(_xlfn.XLOOKUP(E340,Groups!A:A,Groups!N:N)="Bird",0.118*(C340*1000)^0.692*S340,
IF(_xlfn.XLOOKUP(E340,Groups!A:A,Groups!N:N)="Insect",EXP(0.7444*LN(C340)+6.5696)*S340,
IF(_xlfn.XLOOKUP(E340,Groups!A:A,Groups!N:N)="Theropod",EXP(0.6966*LN(C340)+4.158)*S340,
"No"))))))))))))))))</f>
        <v>No</v>
      </c>
      <c r="AU340" s="8">
        <f>IF(_xlfn.XLOOKUP(E340,Groups!A:A,Groups!U:U)=3,AS340,IF(_xlfn.XLOOKUP(E340,Groups!A:A,Groups!U:U)=2,AR340,AT340))</f>
        <v>131796.31812067947</v>
      </c>
      <c r="AV340" s="46">
        <f>IFERROR(AVERAGE(_xlfn.XLOOKUP(B340,Animals!B:B,Animals!N:N),_xlfn.XLOOKUP(B340,Animals!B:B,Animals!O:O)),0)</f>
        <v>0</v>
      </c>
      <c r="AW340" s="8">
        <f>MROUND(40*Animals!AO340*_xlfn.XLOOKUP(AG340,Leathers!$A$2:$A$99,Leathers!$B$2:$B$99,0)+(140*_xlfn.XLOOKUP(B340,Animals!B:B,Animals!AO:AO)*2),5)</f>
        <v>2100</v>
      </c>
      <c r="AX340" s="8">
        <f>IFERROR(ROUND(SQRT(V340-1)*IF(_xlfn.XLOOKUP(E340,Groups!A:A,Groups!BF:BF)=0,2,1)*IF(_xlfn.XLOOKUP('Base stats'!E340,Groups!A:A,Groups!O:O)=0,1,0.1),1),0)</f>
        <v>0</v>
      </c>
      <c r="AY340" s="8">
        <f t="shared" si="168"/>
        <v>0</v>
      </c>
      <c r="AZ340" s="8">
        <f t="shared" si="169"/>
        <v>0</v>
      </c>
      <c r="BA340" s="8">
        <f t="shared" si="170"/>
        <v>23.8</v>
      </c>
      <c r="BB340" s="8">
        <f>IF(_xlfn.XLOOKUP(E340,Groups!A:A,Groups!N:N)="Insect",BD340*2.5,IFERROR(AVERAGE(BD340,AT340/9.81/IF(OR(_xlfn.XLOOKUP(E340,Groups!A:A,Groups!N:N)="Pig",_xlfn.XLOOKUP(E340,Groups!A:A,Groups!N:N)="StrongBitingHerbivore"),20,25))*C340^-0.135,BD340))</f>
        <v>49.56776700409916</v>
      </c>
      <c r="BC340" s="8" t="str">
        <f>IF(W340="No","No",IF(_xlfn.XLOOKUP(E340,Groups!A:A,Groups!U:U)=1,'Base stats'!BB340,IF(OR(_xlfn.XLOOKUP(E340,Groups!A:A,Groups!BD:BD)=1,_xlfn.XLOOKUP(E340,Groups!A:A,Groups!U:U)=2),BD340,IF(_xlfn.XLOOKUP(B340,Animals!B:B,Animals!AO:AO)&gt;4,AVERAGE(BD340,BF340),BF340))))</f>
        <v>No</v>
      </c>
      <c r="BD340" s="8">
        <f t="shared" si="171"/>
        <v>49.56776700409916</v>
      </c>
      <c r="BE340" s="8">
        <f>IF(_xlfn.XLOOKUP(E340,Groups!A:A,Groups!BE:BE)=1,(0.048*C340^1.01)+(0.071*C340^1.03),0.071*C340^1.03)/IF(_xlfn.XLOOKUP(E340,Groups!A:A,Groups!M:M)=1,0.85,IF(OR(_xlfn.XLOOKUP(B340,Animals!B:B,Animals!AO:AO)&gt;4,_xlfn.XLOOKUP(E340,Groups!A:A,Groups!BC:BC)=1),1.7,1))*C340^-0.25</f>
        <v>67.559315720888932</v>
      </c>
      <c r="BF340" s="8">
        <f>(0.048*C340^1.01)/IF(_xlfn.XLOOKUP(E340,Groups!A:A,Groups!M:M)=1,0.25,0.8)*C340^-0.25</f>
        <v>80.306037661521358</v>
      </c>
      <c r="BG340" s="8">
        <f>EXP(1.076*LN(AR340)-4.5397)*IF(_xlfn.XLOOKUP(E340,Groups!A:A,Groups!BC:BC)=1,1.25,IF(_xlfn.XLOOKUP(E340,Groups!A:A,Groups!BD:BD)=1,3.5,2.5))</f>
        <v>5392.9847727115648</v>
      </c>
      <c r="BH340" s="8">
        <f>EXP(1.076*LN(AS340)-4.5397)*IF(_xlfn.XLOOKUP(E340,Groups!A:A,Groups!M:M)=1,0.8,IF(_xlfn.XLOOKUP(E340,Groups!A:A,Groups!BC:BC)=1,1.3,3))</f>
        <v>4481.1823819965202</v>
      </c>
      <c r="BI340" s="8" t="str">
        <f>IF(W340="No","No",IF(_xlfn.XLOOKUP(E340,Groups!A:A,Groups!U:U)=1,'Base stats'!BJ340,IF(OR(_xlfn.XLOOKUP(E340,Groups!A:A,Groups!BD:BD)=1,_xlfn.XLOOKUP(E340,Groups!A:A,Groups!U:U)=2),BG340,BH340))*1.2)</f>
        <v>No</v>
      </c>
      <c r="BJ340" s="8" t="str">
        <f>IFERROR(EXP(1.076*LN(AT340)-4.5397)*IF(_xlfn.XLOOKUP(E340,Groups!A:A,Groups!N:N)="Insect",1,IF(OR(_xlfn.XLOOKUP(E340,Groups!A:A,Groups!N:N)="Pig",_xlfn.XLOOKUP(E340,Groups!A:A,Groups!N:N)="StrongBitingHerbivore"),3.5,3.75)),"No")</f>
        <v>No</v>
      </c>
      <c r="BK340" s="8">
        <f t="shared" si="172"/>
        <v>14</v>
      </c>
      <c r="BL340" s="8">
        <f t="shared" si="173"/>
        <v>11</v>
      </c>
      <c r="BM340" s="8" t="str">
        <f t="shared" si="174"/>
        <v>No</v>
      </c>
      <c r="BN340" s="8" t="str">
        <f t="shared" si="175"/>
        <v>No</v>
      </c>
      <c r="BO340" s="8">
        <f t="shared" si="176"/>
        <v>10</v>
      </c>
      <c r="BP340" s="8" cm="1">
        <f t="array" ref="BP340">IF(AND(_xlfn.XLOOKUP('Base stats'!E340,Groups!A:A,Groups!AD:AD=0),_xlfn.XLOOKUP('Base stats'!E340,Groups!A:A,Groups!P:P=0)),"No",IF(U340="No",AVERAGE(EXP(-0.57+0.99*LN(C340)),EXP(0.32+0.67*LN(C340)))/IF(_xlfn.XLOOKUP(E340,Groups!A:A,Groups!AD:AD)=1,10,2),(0.7354*C340^0.4078)*2/IF(_xlfn.XLOOKUP(E340,Groups!A:A,Groups!BK:BK)=1,1000,100)/IF(_xlfn.XLOOKUP(E340,Groups!A:A,Groups!AJ:AJ)="Photonozoa",3,1)))</f>
        <v>1868.2971640895109</v>
      </c>
      <c r="BQ340" s="8" t="str">
        <f>IF(W340="No","No",IF(_xlfn.XLOOKUP(E340,Groups!A:A,Groups!BD:BD)=1,(AO340*5%),EXP(0.7354*LN(C340)^0.4078)*2/IF(_xlfn.XLOOKUP(E340,Groups!A:A,Groups!BL:BL)=1,1000,100)/IF(_xlfn.XLOOKUP(E340,Groups!A:A,Groups!AJ:AJ)="Photonozoa",3,1)))</f>
        <v>No</v>
      </c>
      <c r="BR340" s="8" t="str">
        <f>IF(BJ340="No","No",IF(_xlfn.XLOOKUP(E340,Groups!A:A,Groups!BF:BF)=1,(0.0315*C340+2.1825)*2,(0.7354*C340^0.4078)*2)/IF(_xlfn.XLOOKUP(E340,Groups!A:A,Groups!BM:BM)=1,1000,100)/IF(_xlfn.XLOOKUP(E340,Groups!A:A,Groups!AJ:AJ)="Photonozoa",3,1))</f>
        <v>No</v>
      </c>
      <c r="BS340" s="8">
        <f t="shared" si="177"/>
        <v>0.20581310842579997</v>
      </c>
      <c r="BT340" s="8">
        <f t="shared" si="178"/>
        <v>2.3985383418276305</v>
      </c>
      <c r="BU340" s="8" t="str">
        <f t="shared" si="179"/>
        <v>No</v>
      </c>
      <c r="BV340" s="8" t="str">
        <f t="shared" si="180"/>
        <v>No</v>
      </c>
      <c r="BW340" s="4">
        <v>0</v>
      </c>
      <c r="BX340" s="4">
        <v>1</v>
      </c>
    </row>
    <row r="341" spans="1:76" s="16" customFormat="1" x14ac:dyDescent="0.25">
      <c r="A341" s="26" t="s">
        <v>1943</v>
      </c>
      <c r="B341" s="6" t="s">
        <v>1944</v>
      </c>
      <c r="C341" s="7">
        <f>AVERAGE(660,972)</f>
        <v>816</v>
      </c>
      <c r="D341" s="7" t="s">
        <v>1945</v>
      </c>
      <c r="E341" s="7" t="str">
        <f>Groups!$A$127</f>
        <v>Sauropod (LONG)</v>
      </c>
      <c r="F341" s="7" t="str">
        <f t="shared" si="185"/>
        <v>Lay eggs</v>
      </c>
      <c r="G341" s="7">
        <v>10</v>
      </c>
      <c r="H341" s="7">
        <v>20</v>
      </c>
      <c r="I341" s="4">
        <v>1</v>
      </c>
      <c r="J341" s="7" t="str">
        <f t="shared" si="190"/>
        <v>Lay eggs</v>
      </c>
      <c r="K341" s="7" t="s">
        <v>2024</v>
      </c>
      <c r="L341" s="7">
        <f t="shared" si="191"/>
        <v>31.096751798796557</v>
      </c>
      <c r="M341" s="7" t="s">
        <v>1959</v>
      </c>
      <c r="N341" s="4">
        <v>0</v>
      </c>
      <c r="O341" s="4">
        <v>0</v>
      </c>
      <c r="P341" s="4">
        <v>0</v>
      </c>
      <c r="Q341" s="4">
        <v>0</v>
      </c>
      <c r="R341" s="4" t="s">
        <v>40</v>
      </c>
      <c r="S341" s="7">
        <f>_xlfn.XLOOKUP(B341,[1]TeethAdjusters!$A:$A,[1]BiteAdjusters!$C:$C,1)</f>
        <v>1</v>
      </c>
      <c r="T341" s="7">
        <f>_xlfn.XLOOKUP(B341,[1]TeethAdjusters!$A:$A,[1]TeethAdjusters!$B:$B,1)</f>
        <v>1</v>
      </c>
      <c r="U341" s="7" t="s">
        <v>45</v>
      </c>
      <c r="V341" s="7" t="s">
        <v>45</v>
      </c>
      <c r="W341" s="7" t="s">
        <v>45</v>
      </c>
      <c r="X341" s="7" t="s">
        <v>932</v>
      </c>
      <c r="Y341" s="4" t="s">
        <v>42</v>
      </c>
      <c r="Z341" s="4">
        <v>1</v>
      </c>
      <c r="AA341" s="4">
        <v>0</v>
      </c>
      <c r="AB341" s="4">
        <v>0</v>
      </c>
      <c r="AC341" s="4">
        <v>0</v>
      </c>
      <c r="AD341" s="4">
        <v>0</v>
      </c>
      <c r="AE341" s="4" t="s">
        <v>45</v>
      </c>
      <c r="AF341" s="4" t="s">
        <v>399</v>
      </c>
      <c r="AG341" s="49" t="s">
        <v>1939</v>
      </c>
      <c r="AH341" s="4" t="s">
        <v>45</v>
      </c>
      <c r="AI341" s="4">
        <v>1</v>
      </c>
      <c r="AJ341" s="4">
        <v>0</v>
      </c>
      <c r="AK341" s="4">
        <v>0</v>
      </c>
      <c r="AL341" s="4">
        <v>0</v>
      </c>
      <c r="AM341" s="4">
        <v>0</v>
      </c>
      <c r="AN341" s="44" t="s">
        <v>40</v>
      </c>
      <c r="AO341" s="8">
        <f t="shared" si="166"/>
        <v>86680.534763746749</v>
      </c>
      <c r="AP341" s="8">
        <f>IFERROR(C341*_xlfn.XLOOKUP(E341,Groups!A:A,Groups!K:K),0.106*C341^0.94)</f>
        <v>57.848834632541895</v>
      </c>
      <c r="AQ341" s="8">
        <f>AP341*10000/(_xlfn.XLOOKUP(E341,Groups!A:A,Groups!J:J)*AO341)</f>
        <v>6.1227501071154924</v>
      </c>
      <c r="AR341" s="8">
        <f t="shared" si="167"/>
        <v>15665.542053653926</v>
      </c>
      <c r="AS341" s="8">
        <f>IF(_xlfn.XLOOKUP(E341,Groups!A:A,Groups!M:M)=1,EXP(0.7444*LN('Base stats'!C341)+6.5696),EXP(0.7927*LN('Base stats'!C341)+4.28))</f>
        <v>14685.108897716262</v>
      </c>
      <c r="AT341" s="8" t="str">
        <f>IF(_xlfn.XLOOKUP(E341,Groups!A:A,Groups!N:N)="No","No",
IF(_xlfn.XLOOKUP(E341,Groups!A:A,Groups!N:N)="Crocodile",EXP(0.8129*LN(C341)+4.6742)*S341,
IF(_xlfn.XLOOKUP(E341,Groups!A:A,Groups!N:N)="Felid",EXP(0.7843*LN(C341)+4.7073)*S341,
IF(_xlfn.XLOOKUP(E341,Groups!A:A,Groups!N:N)="Canid",EXP(0.8367*LN(C341)+4.8763)*S341,
IF(_xlfn.XLOOKUP(E341,Groups!A:A,Groups!N:N)="Pig",EXP(0.3439*LN(C341)+6.8519)*S341,
IF(_xlfn.XLOOKUP(E341,Groups!A:A,Groups!N:N)="Rodent",EXP(0.5625*LN(C341)+4.3006)*S341,
IF(_xlfn.XLOOKUP(E341,Groups!A:A,Groups!N:N)="Primate",EXP(0.7847*LN(C341)+3.4931)*S341,
IF(_xlfn.XLOOKUP(E341,Groups!A:A,Groups!N:N)="MiscCarnivora",EXP(0.7486*LN(C341)+4.2207)*S341,
IF(_xlfn.XLOOKUP(E341,Groups!A:A,Groups!N:N)="Lizard",EXP(0.7733*LN(C341)+5.5303)*S341,
IF(_xlfn.XLOOKUP(E341,Groups!A:A,Groups!N:N)="Snake",50*C341^(2/3)*S341,
IF(_xlfn.XLOOKUP(E341,Groups!A:A,Groups!N:N)="StrongBitingHerbivore",87.1133638856975*C341^(2/3)*S341,
IF(_xlfn.XLOOKUP(E341,Groups!A:A,Groups!N:N)="MiscEctotherms",59.4316884072269*C341^(2/3)*S341,
IF(_xlfn.XLOOKUP(E341,Groups!A:A,Groups!N:N)="StrongBeakBird",0.041*(C341*1000)^1.375*S341,
IF(_xlfn.XLOOKUP(E341,Groups!A:A,Groups!N:N)="Bird",0.118*(C341*1000)^0.692*S341,
IF(_xlfn.XLOOKUP(E341,Groups!A:A,Groups!N:N)="Insect",EXP(0.7444*LN(C341)+6.5696)*S341,
IF(_xlfn.XLOOKUP(E341,Groups!A:A,Groups!N:N)="Theropod",EXP(0.6966*LN(C341)+4.158)*S341,
"No"))))))))))))))))</f>
        <v>No</v>
      </c>
      <c r="AU341" s="8">
        <f>IF(_xlfn.XLOOKUP(E341,Groups!A:A,Groups!U:U)=3,AS341,IF(_xlfn.XLOOKUP(E341,Groups!A:A,Groups!U:U)=2,AR341,AT341))</f>
        <v>14685.108897716262</v>
      </c>
      <c r="AV341" s="46">
        <f>IFERROR(AVERAGE(_xlfn.XLOOKUP(B341,Animals!B:B,Animals!N:N),_xlfn.XLOOKUP(B341,Animals!B:B,Animals!O:O)),0)</f>
        <v>0</v>
      </c>
      <c r="AW341" s="8">
        <f>MROUND(40*Animals!AO341*_xlfn.XLOOKUP(AG341,Leathers!$A$2:$A$99,Leathers!$B$2:$B$99,0)+(140*_xlfn.XLOOKUP(B341,Animals!B:B,Animals!AO:AO)*2),5)</f>
        <v>910</v>
      </c>
      <c r="AX341" s="8">
        <f>IFERROR(ROUND(SQRT(V341-1)*IF(_xlfn.XLOOKUP(E341,Groups!A:A,Groups!BF:BF)=0,2,1)*IF(_xlfn.XLOOKUP('Base stats'!E341,Groups!A:A,Groups!O:O)=0,1,0.1),1),0)</f>
        <v>0</v>
      </c>
      <c r="AY341" s="8">
        <f t="shared" si="168"/>
        <v>0</v>
      </c>
      <c r="AZ341" s="8">
        <f t="shared" si="169"/>
        <v>0</v>
      </c>
      <c r="BA341" s="8">
        <f t="shared" si="170"/>
        <v>8.8000000000000007</v>
      </c>
      <c r="BB341" s="8">
        <f>IF(_xlfn.XLOOKUP(E341,Groups!A:A,Groups!N:N)="Insect",BD341*2.5,IFERROR(AVERAGE(BD341,AT341/9.81/IF(OR(_xlfn.XLOOKUP(E341,Groups!A:A,Groups!N:N)="Pig",_xlfn.XLOOKUP(E341,Groups!A:A,Groups!N:N)="StrongBitingHerbivore"),20,25))*C341^-0.135,BD341))</f>
        <v>6.1475270266149202</v>
      </c>
      <c r="BC341" s="8" t="str">
        <f>IF(W341="No","No",IF(_xlfn.XLOOKUP(E341,Groups!A:A,Groups!U:U)=1,'Base stats'!BB341,IF(OR(_xlfn.XLOOKUP(E341,Groups!A:A,Groups!BD:BD)=1,_xlfn.XLOOKUP(E341,Groups!A:A,Groups!U:U)=2),BD341,IF(_xlfn.XLOOKUP(B341,Animals!B:B,Animals!AO:AO)&gt;4,AVERAGE(BD341,BF341),BF341))))</f>
        <v>No</v>
      </c>
      <c r="BD341" s="8">
        <f t="shared" si="171"/>
        <v>6.1475270266149202</v>
      </c>
      <c r="BE341" s="8">
        <f>IF(_xlfn.XLOOKUP(E341,Groups!A:A,Groups!BE:BE)=1,(0.048*C341^1.01)+(0.071*C341^1.03),0.071*C341^1.03)/IF(_xlfn.XLOOKUP(E341,Groups!A:A,Groups!M:M)=1,0.85,IF(OR(_xlfn.XLOOKUP(B341,Animals!B:B,Animals!AO:AO)&gt;4,_xlfn.XLOOKUP(E341,Groups!A:A,Groups!BC:BC)=1),1.7,1))*C341^-0.25</f>
        <v>7.7970038949264238</v>
      </c>
      <c r="BF341" s="8">
        <f>(0.048*C341^1.01)/IF(_xlfn.XLOOKUP(E341,Groups!A:A,Groups!M:M)=1,0.25,0.8)*C341^-0.25</f>
        <v>9.7957066526197121</v>
      </c>
      <c r="BG341" s="8">
        <f>EXP(1.076*LN(AR341)-4.5397)*IF(_xlfn.XLOOKUP(E341,Groups!A:A,Groups!BC:BC)=1,1.25,IF(_xlfn.XLOOKUP(E341,Groups!A:A,Groups!BD:BD)=1,3.5,2.5))</f>
        <v>435.6168123596168</v>
      </c>
      <c r="BH341" s="8">
        <f>EXP(1.076*LN(AS341)-4.5397)*IF(_xlfn.XLOOKUP(E341,Groups!A:A,Groups!M:M)=1,0.8,IF(_xlfn.XLOOKUP(E341,Groups!A:A,Groups!BC:BC)=1,1.3,3))</f>
        <v>422.60684708966465</v>
      </c>
      <c r="BI341" s="8" t="str">
        <f>IF(W341="No","No",IF(_xlfn.XLOOKUP(E341,Groups!A:A,Groups!U:U)=1,'Base stats'!BJ341,IF(OR(_xlfn.XLOOKUP(E341,Groups!A:A,Groups!BD:BD)=1,_xlfn.XLOOKUP(E341,Groups!A:A,Groups!U:U)=2),BG341,BH341))*1.2)</f>
        <v>No</v>
      </c>
      <c r="BJ341" s="8" t="str">
        <f>IFERROR(EXP(1.076*LN(AT341)-4.5397)*IF(_xlfn.XLOOKUP(E341,Groups!A:A,Groups!N:N)="Insect",1,IF(OR(_xlfn.XLOOKUP(E341,Groups!A:A,Groups!N:N)="Pig",_xlfn.XLOOKUP(E341,Groups!A:A,Groups!N:N)="StrongBitingHerbivore"),3.5,3.75)),"No")</f>
        <v>No</v>
      </c>
      <c r="BK341" s="8">
        <f t="shared" si="172"/>
        <v>11</v>
      </c>
      <c r="BL341" s="8">
        <f t="shared" si="173"/>
        <v>10</v>
      </c>
      <c r="BM341" s="8" t="str">
        <f t="shared" si="174"/>
        <v>No</v>
      </c>
      <c r="BN341" s="8" t="str">
        <f t="shared" si="175"/>
        <v>No</v>
      </c>
      <c r="BO341" s="8">
        <f t="shared" si="176"/>
        <v>9</v>
      </c>
      <c r="BP341" s="8" cm="1">
        <f t="array" ref="BP341">IF(AND(_xlfn.XLOOKUP('Base stats'!E341,Groups!A:A,Groups!AD:AD=0),_xlfn.XLOOKUP('Base stats'!E341,Groups!A:A,Groups!P:P=0)),"No",IF(U341="No",AVERAGE(EXP(-0.57+0.99*LN(C341)),EXP(0.32+0.67*LN(C341)))/IF(_xlfn.XLOOKUP(E341,Groups!A:A,Groups!AD:AD)=1,10,2),(0.7354*C341^0.4078)*2/IF(_xlfn.XLOOKUP(E341,Groups!A:A,Groups!BK:BK)=1,1000,100)/IF(_xlfn.XLOOKUP(E341,Groups!A:A,Groups!AJ:AJ)="Photonozoa",3,1)))</f>
        <v>138.62910803835251</v>
      </c>
      <c r="BQ341" s="8" t="str">
        <f>IF(W341="No","No",IF(_xlfn.XLOOKUP(E341,Groups!A:A,Groups!BD:BD)=1,(AO341*5%),EXP(0.7354*LN(C341)^0.4078)*2/IF(_xlfn.XLOOKUP(E341,Groups!A:A,Groups!BL:BL)=1,1000,100)/IF(_xlfn.XLOOKUP(E341,Groups!A:A,Groups!AJ:AJ)="Photonozoa",3,1)))</f>
        <v>No</v>
      </c>
      <c r="BR341" s="8" t="str">
        <f>IF(BJ341="No","No",IF(_xlfn.XLOOKUP(E341,Groups!A:A,Groups!BF:BF)=1,(0.0315*C341+2.1825)*2,(0.7354*C341^0.4078)*2)/IF(_xlfn.XLOOKUP(E341,Groups!A:A,Groups!BM:BM)=1,1000,100)/IF(_xlfn.XLOOKUP(E341,Groups!A:A,Groups!AJ:AJ)="Photonozoa",3,1))</f>
        <v>No</v>
      </c>
      <c r="BS341" s="8">
        <f t="shared" si="177"/>
        <v>0.10051087329973629</v>
      </c>
      <c r="BT341" s="8">
        <f t="shared" si="178"/>
        <v>3.0484712270726586</v>
      </c>
      <c r="BU341" s="8" t="str">
        <f t="shared" si="179"/>
        <v>No</v>
      </c>
      <c r="BV341" s="8" t="str">
        <f t="shared" si="180"/>
        <v>No</v>
      </c>
      <c r="BW341" s="4">
        <v>0</v>
      </c>
      <c r="BX341" s="4">
        <v>1</v>
      </c>
    </row>
    <row r="342" spans="1:76" s="16" customFormat="1" x14ac:dyDescent="0.25">
      <c r="A342" s="26" t="s">
        <v>1946</v>
      </c>
      <c r="B342" s="6" t="s">
        <v>1948</v>
      </c>
      <c r="C342" s="7">
        <v>281</v>
      </c>
      <c r="D342" s="7" t="s">
        <v>1947</v>
      </c>
      <c r="E342" s="7" t="str">
        <f>Groups!$A$120</f>
        <v>Theropod (RAPTOR)</v>
      </c>
      <c r="F342" s="7" t="str">
        <f t="shared" si="185"/>
        <v>Lay eggs</v>
      </c>
      <c r="G342" s="7">
        <v>4</v>
      </c>
      <c r="H342" s="7">
        <v>25</v>
      </c>
      <c r="I342" s="4">
        <v>1</v>
      </c>
      <c r="J342" s="7" t="str">
        <f t="shared" si="190"/>
        <v>Lay eggs</v>
      </c>
      <c r="K342" s="7" t="s">
        <v>528</v>
      </c>
      <c r="L342" s="7">
        <v>38.880000000000003</v>
      </c>
      <c r="M342" s="7" t="s">
        <v>2019</v>
      </c>
      <c r="N342" s="4">
        <v>0</v>
      </c>
      <c r="O342" s="4">
        <v>0</v>
      </c>
      <c r="P342" s="4">
        <v>0</v>
      </c>
      <c r="Q342" s="4">
        <v>0</v>
      </c>
      <c r="R342" s="4" t="s">
        <v>40</v>
      </c>
      <c r="S342" s="7">
        <f>_xlfn.XLOOKUP(B342,[1]TeethAdjusters!$A:$A,[1]BiteAdjusters!$C:$C,1)</f>
        <v>1</v>
      </c>
      <c r="T342" s="7">
        <f>_xlfn.XLOOKUP(B342,[1]TeethAdjusters!$A:$A,[1]TeethAdjusters!$B:$B,1)</f>
        <v>1</v>
      </c>
      <c r="U342" s="7">
        <v>15</v>
      </c>
      <c r="V342" s="7">
        <v>4.5</v>
      </c>
      <c r="W342" s="7" t="s">
        <v>45</v>
      </c>
      <c r="X342" s="7" t="s">
        <v>932</v>
      </c>
      <c r="Y342" s="4" t="s">
        <v>56</v>
      </c>
      <c r="Z342" s="4">
        <v>1</v>
      </c>
      <c r="AA342" s="4">
        <v>0</v>
      </c>
      <c r="AB342" s="4">
        <v>0</v>
      </c>
      <c r="AC342" s="4">
        <v>0</v>
      </c>
      <c r="AD342" s="4">
        <v>0</v>
      </c>
      <c r="AE342" s="4" t="s">
        <v>45</v>
      </c>
      <c r="AF342" s="4" t="s">
        <v>45</v>
      </c>
      <c r="AG342" s="49" t="s">
        <v>1949</v>
      </c>
      <c r="AH342" s="4" t="s">
        <v>45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4" t="s">
        <v>40</v>
      </c>
      <c r="AO342" s="8">
        <f t="shared" si="166"/>
        <v>43349.299780241847</v>
      </c>
      <c r="AP342" s="8">
        <f>IFERROR(C342*_xlfn.XLOOKUP(E342,Groups!A:A,Groups!K:K),0.106*C342^0.94)</f>
        <v>21.236835644169147</v>
      </c>
      <c r="AQ342" s="8">
        <f>AP342*10000/(_xlfn.XLOOKUP(E342,Groups!A:A,Groups!J:J)*AO342)</f>
        <v>4.4944983084240011</v>
      </c>
      <c r="AR342" s="8">
        <f t="shared" si="167"/>
        <v>6365.9464070626218</v>
      </c>
      <c r="AS342" s="8">
        <f>IF(_xlfn.XLOOKUP(E342,Groups!A:A,Groups!M:M)=1,EXP(0.7444*LN('Base stats'!C342)+6.5696),EXP(0.7927*LN('Base stats'!C342)+4.28))</f>
        <v>6307.683335611956</v>
      </c>
      <c r="AT342" s="8">
        <f>IF(_xlfn.XLOOKUP(E342,Groups!A:A,Groups!N:N)="No","No",
IF(_xlfn.XLOOKUP(E342,Groups!A:A,Groups!N:N)="Crocodile",EXP(0.8129*LN(C342)+4.6742)*S342,
IF(_xlfn.XLOOKUP(E342,Groups!A:A,Groups!N:N)="Felid",EXP(0.7843*LN(C342)+4.7073)*S342,
IF(_xlfn.XLOOKUP(E342,Groups!A:A,Groups!N:N)="Canid",EXP(0.8367*LN(C342)+4.8763)*S342,
IF(_xlfn.XLOOKUP(E342,Groups!A:A,Groups!N:N)="Pig",EXP(0.3439*LN(C342)+6.8519)*S342,
IF(_xlfn.XLOOKUP(E342,Groups!A:A,Groups!N:N)="Rodent",EXP(0.5625*LN(C342)+4.3006)*S342,
IF(_xlfn.XLOOKUP(E342,Groups!A:A,Groups!N:N)="Primate",EXP(0.7847*LN(C342)+3.4931)*S342,
IF(_xlfn.XLOOKUP(E342,Groups!A:A,Groups!N:N)="MiscCarnivora",EXP(0.7486*LN(C342)+4.2207)*S342,
IF(_xlfn.XLOOKUP(E342,Groups!A:A,Groups!N:N)="Lizard",EXP(0.7733*LN(C342)+5.5303)*S342,
IF(_xlfn.XLOOKUP(E342,Groups!A:A,Groups!N:N)="Snake",50*C342^(2/3)*S342,
IF(_xlfn.XLOOKUP(E342,Groups!A:A,Groups!N:N)="StrongBitingHerbivore",87.1133638856975*C342^(2/3)*S342,
IF(_xlfn.XLOOKUP(E342,Groups!A:A,Groups!N:N)="MiscEctotherms",59.4316884072269*C342^(2/3)*S342,
IF(_xlfn.XLOOKUP(E342,Groups!A:A,Groups!N:N)="StrongBeakBird",0.041*(C342*1000)^1.375*S342,
IF(_xlfn.XLOOKUP(E342,Groups!A:A,Groups!N:N)="Bird",0.118*(C342*1000)^0.692*S342,
IF(_xlfn.XLOOKUP(E342,Groups!A:A,Groups!N:N)="Insect",EXP(0.7444*LN(C342)+6.5696)*S342,
IF(_xlfn.XLOOKUP(E342,Groups!A:A,Groups!N:N)="Theropod",EXP(0.6966*LN(C342)+4.158)*S342,
"No"))))))))))))))))</f>
        <v>3247.6205303190713</v>
      </c>
      <c r="AU342" s="8">
        <f>IF(_xlfn.XLOOKUP(E342,Groups!A:A,Groups!U:U)=3,AS342,IF(_xlfn.XLOOKUP(E342,Groups!A:A,Groups!U:U)=2,AR342,AT342))</f>
        <v>3247.6205303190713</v>
      </c>
      <c r="AV342" s="46">
        <f>IFERROR(AVERAGE(_xlfn.XLOOKUP(B342,Animals!B:B,Animals!N:N),_xlfn.XLOOKUP(B342,Animals!B:B,Animals!O:O)),0)</f>
        <v>0</v>
      </c>
      <c r="AW342" s="8">
        <f>MROUND(40*Animals!AO342*_xlfn.XLOOKUP(AG342,Leathers!$A$2:$A$99,Leathers!$B$2:$B$99,0)+(140*_xlfn.XLOOKUP(B342,Animals!B:B,Animals!AO:AO)*2),5)</f>
        <v>630</v>
      </c>
      <c r="AX342" s="8">
        <f>IFERROR(ROUND(SQRT(V342-1)*IF(_xlfn.XLOOKUP(E342,Groups!A:A,Groups!BF:BF)=0,2,1)*IF(_xlfn.XLOOKUP('Base stats'!E342,Groups!A:A,Groups!O:O)=0,1,0.1),1),0)</f>
        <v>3.7</v>
      </c>
      <c r="AY342" s="8">
        <f t="shared" si="168"/>
        <v>3.7</v>
      </c>
      <c r="AZ342" s="8">
        <f t="shared" si="169"/>
        <v>0</v>
      </c>
      <c r="BA342" s="8">
        <f t="shared" si="170"/>
        <v>6</v>
      </c>
      <c r="BB342" s="8">
        <f>IF(_xlfn.XLOOKUP(E342,Groups!A:A,Groups!N:N)="Insect",BD342*2.5,IFERROR(AVERAGE(BD342,AT342/9.81/IF(OR(_xlfn.XLOOKUP(E342,Groups!A:A,Groups!N:N)="Pig",_xlfn.XLOOKUP(E342,Groups!A:A,Groups!N:N)="StrongBitingHerbivore"),20,25))*C342^-0.135,BD342))</f>
        <v>4.0848939275872613</v>
      </c>
      <c r="BC342" s="8" t="str">
        <f>IF(W342="No","No",IF(_xlfn.XLOOKUP(E342,Groups!A:A,Groups!U:U)=1,'Base stats'!BB342,IF(OR(_xlfn.XLOOKUP(E342,Groups!A:A,Groups!BD:BD)=1,_xlfn.XLOOKUP(E342,Groups!A:A,Groups!U:U)=2),BD342,IF(_xlfn.XLOOKUP(B342,Animals!B:B,Animals!AO:AO)&gt;4,AVERAGE(BD342,BF342),BF342))))</f>
        <v>No</v>
      </c>
      <c r="BD342" s="8">
        <f t="shared" si="171"/>
        <v>4.2477702492716967</v>
      </c>
      <c r="BE342" s="8">
        <f>IF(_xlfn.XLOOKUP(E342,Groups!A:A,Groups!BE:BE)=1,(0.048*C342^1.01)+(0.071*C342^1.03),0.071*C342^1.03)/IF(_xlfn.XLOOKUP(E342,Groups!A:A,Groups!M:M)=1,0.85,IF(OR(_xlfn.XLOOKUP(B342,Animals!B:B,Animals!AO:AO)&gt;4,_xlfn.XLOOKUP(E342,Groups!A:A,Groups!BC:BC)=1),1.7,1))*C342^-0.25</f>
        <v>9.2564195806521283</v>
      </c>
      <c r="BF342" s="8">
        <f>(0.048*C342^1.01)/IF(_xlfn.XLOOKUP(E342,Groups!A:A,Groups!M:M)=1,0.25,0.8)*C342^-0.25</f>
        <v>4.3568043088610002</v>
      </c>
      <c r="BG342" s="8">
        <f>EXP(1.076*LN(AR342)-4.5397)*IF(_xlfn.XLOOKUP(E342,Groups!A:A,Groups!BC:BC)=1,1.25,IF(_xlfn.XLOOKUP(E342,Groups!A:A,Groups!BD:BD)=1,3.5,2.5))</f>
        <v>330.62060298982095</v>
      </c>
      <c r="BH342" s="8">
        <f>EXP(1.076*LN(AS342)-4.5397)*IF(_xlfn.XLOOKUP(E342,Groups!A:A,Groups!M:M)=1,0.8,IF(_xlfn.XLOOKUP(E342,Groups!A:A,Groups!BC:BC)=1,1.3,3))</f>
        <v>392.83899255696076</v>
      </c>
      <c r="BI342" s="8" t="str">
        <f>IF(W342="No","No",IF(_xlfn.XLOOKUP(E342,Groups!A:A,Groups!U:U)=1,'Base stats'!BJ342,IF(OR(_xlfn.XLOOKUP(E342,Groups!A:A,Groups!BD:BD)=1,_xlfn.XLOOKUP(E342,Groups!A:A,Groups!U:U)=2),BG342,BH342))*1.2)</f>
        <v>No</v>
      </c>
      <c r="BJ342" s="8">
        <f>IFERROR(EXP(1.076*LN(AT342)-4.5397)*IF(_xlfn.XLOOKUP(E342,Groups!A:A,Groups!N:N)="Insect",1,IF(OR(_xlfn.XLOOKUP(E342,Groups!A:A,Groups!N:N)="Pig",_xlfn.XLOOKUP(E342,Groups!A:A,Groups!N:N)="StrongBitingHerbivore"),3.5,3.75)),"No")</f>
        <v>240.3858210350528</v>
      </c>
      <c r="BK342" s="8">
        <f t="shared" si="172"/>
        <v>12</v>
      </c>
      <c r="BL342" s="8">
        <f t="shared" si="173"/>
        <v>9</v>
      </c>
      <c r="BM342" s="8" t="str">
        <f t="shared" si="174"/>
        <v>No</v>
      </c>
      <c r="BN342" s="8">
        <f t="shared" si="175"/>
        <v>10</v>
      </c>
      <c r="BO342" s="8">
        <f t="shared" si="176"/>
        <v>13</v>
      </c>
      <c r="BP342" s="8" cm="1">
        <f t="array" ref="BP342">IF(AND(_xlfn.XLOOKUP('Base stats'!E342,Groups!A:A,Groups!AD:AD=0),_xlfn.XLOOKUP('Base stats'!E342,Groups!A:A,Groups!P:P=0)),"No",IF(U342="No",AVERAGE(EXP(-0.57+0.99*LN(C342)),EXP(0.32+0.67*LN(C342)))/IF(_xlfn.XLOOKUP(E342,Groups!A:A,Groups!AD:AD)=1,10,2),(0.7354*C342^0.4078)*2/IF(_xlfn.XLOOKUP(E342,Groups!A:A,Groups!BK:BK)=1,1000,100)/IF(_xlfn.XLOOKUP(E342,Groups!A:A,Groups!AJ:AJ)="Photonozoa",3,1)))</f>
        <v>0.14660070487513235</v>
      </c>
      <c r="BQ342" s="8" t="str">
        <f>IF(W342="No","No",IF(_xlfn.XLOOKUP(E342,Groups!A:A,Groups!BD:BD)=1,(AO342*5%),EXP(0.7354*LN(C342)^0.4078)*2/IF(_xlfn.XLOOKUP(E342,Groups!A:A,Groups!BL:BL)=1,1000,100)/IF(_xlfn.XLOOKUP(E342,Groups!A:A,Groups!AJ:AJ)="Photonozoa",3,1)))</f>
        <v>No</v>
      </c>
      <c r="BR342" s="8">
        <f>IF(BJ342="No","No",IF(_xlfn.XLOOKUP(E342,Groups!A:A,Groups!BF:BF)=1,(0.0315*C342+2.1825)*2,(0.7354*C342^0.4078)*2)/IF(_xlfn.XLOOKUP(E342,Groups!A:A,Groups!BM:BM)=1,1000,100)/IF(_xlfn.XLOOKUP(E342,Groups!A:A,Groups!AJ:AJ)="Photonozoa",3,1))</f>
        <v>0.14660070487513235</v>
      </c>
      <c r="BS342" s="8">
        <f t="shared" si="177"/>
        <v>0.15253792087341367</v>
      </c>
      <c r="BT342" s="8">
        <f t="shared" si="178"/>
        <v>2679.6528222122993</v>
      </c>
      <c r="BU342" s="8" t="str">
        <f t="shared" si="179"/>
        <v>No</v>
      </c>
      <c r="BV342" s="8">
        <f t="shared" si="180"/>
        <v>1639.7316864185764</v>
      </c>
      <c r="BW342" s="4">
        <v>0</v>
      </c>
      <c r="BX342" s="4">
        <v>1</v>
      </c>
    </row>
    <row r="343" spans="1:76" s="16" customFormat="1" x14ac:dyDescent="0.25">
      <c r="A343" s="26" t="s">
        <v>1950</v>
      </c>
      <c r="B343" s="6" t="s">
        <v>1953</v>
      </c>
      <c r="C343" s="7">
        <v>220</v>
      </c>
      <c r="D343" s="7" t="s">
        <v>528</v>
      </c>
      <c r="E343" s="7" t="str">
        <f>Groups!$A$120</f>
        <v>Theropod (RAPTOR)</v>
      </c>
      <c r="F343" s="7" t="str">
        <f t="shared" si="185"/>
        <v>Lay eggs</v>
      </c>
      <c r="G343" s="7">
        <v>4</v>
      </c>
      <c r="H343" s="7">
        <v>25</v>
      </c>
      <c r="I343" s="4">
        <v>1</v>
      </c>
      <c r="J343" s="7" t="str">
        <f t="shared" si="190"/>
        <v>Lay eggs</v>
      </c>
      <c r="K343" s="7" t="s">
        <v>528</v>
      </c>
      <c r="L343" s="7">
        <v>38.880000000000003</v>
      </c>
      <c r="M343" s="7" t="s">
        <v>2019</v>
      </c>
      <c r="N343" s="4">
        <v>0</v>
      </c>
      <c r="O343" s="4">
        <v>0</v>
      </c>
      <c r="P343" s="4">
        <v>0</v>
      </c>
      <c r="Q343" s="4">
        <v>0</v>
      </c>
      <c r="R343" s="4" t="s">
        <v>40</v>
      </c>
      <c r="S343" s="7">
        <f>_xlfn.XLOOKUP(B343,[1]TeethAdjusters!$A:$A,[1]BiteAdjusters!$C:$C,1)</f>
        <v>1</v>
      </c>
      <c r="T343" s="7">
        <f>_xlfn.XLOOKUP(B343,[1]TeethAdjusters!$A:$A,[1]TeethAdjusters!$B:$B,1)</f>
        <v>1</v>
      </c>
      <c r="U343" s="7">
        <v>21</v>
      </c>
      <c r="V343" s="7">
        <v>4</v>
      </c>
      <c r="W343" s="7" t="s">
        <v>45</v>
      </c>
      <c r="X343" s="7" t="s">
        <v>932</v>
      </c>
      <c r="Y343" s="4" t="s">
        <v>56</v>
      </c>
      <c r="Z343" s="4">
        <v>1</v>
      </c>
      <c r="AA343" s="4">
        <v>0</v>
      </c>
      <c r="AB343" s="4">
        <v>0</v>
      </c>
      <c r="AC343" s="4">
        <v>0</v>
      </c>
      <c r="AD343" s="4">
        <v>0</v>
      </c>
      <c r="AE343" s="4" t="s">
        <v>45</v>
      </c>
      <c r="AF343" s="4" t="s">
        <v>45</v>
      </c>
      <c r="AG343" s="49" t="s">
        <v>1949</v>
      </c>
      <c r="AH343" s="4" t="s">
        <v>45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4" t="s">
        <v>40</v>
      </c>
      <c r="AO343" s="8">
        <f t="shared" si="166"/>
        <v>36974.109351618012</v>
      </c>
      <c r="AP343" s="8">
        <f>IFERROR(C343*_xlfn.XLOOKUP(E343,Groups!A:A,Groups!K:K),0.106*C343^0.94)</f>
        <v>16.872645628284921</v>
      </c>
      <c r="AQ343" s="8">
        <f>AP343*10000/(_xlfn.XLOOKUP(E343,Groups!A:A,Groups!J:J)*AO343)</f>
        <v>4.1865758698576636</v>
      </c>
      <c r="AR343" s="8">
        <f t="shared" si="167"/>
        <v>5177.0837205424787</v>
      </c>
      <c r="AS343" s="8">
        <f>IF(_xlfn.XLOOKUP(E343,Groups!A:A,Groups!M:M)=1,EXP(0.7444*LN('Base stats'!C343)+6.5696),EXP(0.7927*LN('Base stats'!C343)+4.28))</f>
        <v>5195.3982247929516</v>
      </c>
      <c r="AT343" s="8">
        <f>IF(_xlfn.XLOOKUP(E343,Groups!A:A,Groups!N:N)="No","No",
IF(_xlfn.XLOOKUP(E343,Groups!A:A,Groups!N:N)="Crocodile",EXP(0.8129*LN(C343)+4.6742)*S343,
IF(_xlfn.XLOOKUP(E343,Groups!A:A,Groups!N:N)="Felid",EXP(0.7843*LN(C343)+4.7073)*S343,
IF(_xlfn.XLOOKUP(E343,Groups!A:A,Groups!N:N)="Canid",EXP(0.8367*LN(C343)+4.8763)*S343,
IF(_xlfn.XLOOKUP(E343,Groups!A:A,Groups!N:N)="Pig",EXP(0.3439*LN(C343)+6.8519)*S343,
IF(_xlfn.XLOOKUP(E343,Groups!A:A,Groups!N:N)="Rodent",EXP(0.5625*LN(C343)+4.3006)*S343,
IF(_xlfn.XLOOKUP(E343,Groups!A:A,Groups!N:N)="Primate",EXP(0.7847*LN(C343)+3.4931)*S343,
IF(_xlfn.XLOOKUP(E343,Groups!A:A,Groups!N:N)="MiscCarnivora",EXP(0.7486*LN(C343)+4.2207)*S343,
IF(_xlfn.XLOOKUP(E343,Groups!A:A,Groups!N:N)="Lizard",EXP(0.7733*LN(C343)+5.5303)*S343,
IF(_xlfn.XLOOKUP(E343,Groups!A:A,Groups!N:N)="Snake",50*C343^(2/3)*S343,
IF(_xlfn.XLOOKUP(E343,Groups!A:A,Groups!N:N)="StrongBitingHerbivore",87.1133638856975*C343^(2/3)*S343,
IF(_xlfn.XLOOKUP(E343,Groups!A:A,Groups!N:N)="MiscEctotherms",59.4316884072269*C343^(2/3)*S343,
IF(_xlfn.XLOOKUP(E343,Groups!A:A,Groups!N:N)="StrongBeakBird",0.041*(C343*1000)^1.375*S343,
IF(_xlfn.XLOOKUP(E343,Groups!A:A,Groups!N:N)="Bird",0.118*(C343*1000)^0.692*S343,
IF(_xlfn.XLOOKUP(E343,Groups!A:A,Groups!N:N)="Insect",EXP(0.7444*LN(C343)+6.5696)*S343,
IF(_xlfn.XLOOKUP(E343,Groups!A:A,Groups!N:N)="Theropod",EXP(0.6966*LN(C343)+4.158)*S343,
"No"))))))))))))))))</f>
        <v>2738.5967928025584</v>
      </c>
      <c r="AU343" s="8">
        <f>IF(_xlfn.XLOOKUP(E343,Groups!A:A,Groups!U:U)=3,AS343,IF(_xlfn.XLOOKUP(E343,Groups!A:A,Groups!U:U)=2,AR343,AT343))</f>
        <v>2738.5967928025584</v>
      </c>
      <c r="AV343" s="46">
        <f>IFERROR(AVERAGE(_xlfn.XLOOKUP(B343,Animals!B:B,Animals!N:N),_xlfn.XLOOKUP(B343,Animals!B:B,Animals!O:O)),0)</f>
        <v>0</v>
      </c>
      <c r="AW343" s="8">
        <f>MROUND(40*Animals!AO343*_xlfn.XLOOKUP(AG343,Leathers!$A$2:$A$99,Leathers!$B$2:$B$99,0)+(140*_xlfn.XLOOKUP(B343,Animals!B:B,Animals!AO:AO)*2),5)</f>
        <v>530</v>
      </c>
      <c r="AX343" s="8">
        <f>IFERROR(ROUND(SQRT(V343-1)*IF(_xlfn.XLOOKUP(E343,Groups!A:A,Groups!BF:BF)=0,2,1)*IF(_xlfn.XLOOKUP('Base stats'!E343,Groups!A:A,Groups!O:O)=0,1,0.1),1),0)</f>
        <v>3.5</v>
      </c>
      <c r="AY343" s="8">
        <f t="shared" si="168"/>
        <v>4.5</v>
      </c>
      <c r="AZ343" s="8">
        <f t="shared" si="169"/>
        <v>0</v>
      </c>
      <c r="BA343" s="8">
        <f t="shared" si="170"/>
        <v>5.5</v>
      </c>
      <c r="BB343" s="8">
        <f>IF(_xlfn.XLOOKUP(E343,Groups!A:A,Groups!N:N)="Insect",BD343*2.5,IFERROR(AVERAGE(BD343,AT343/9.81/IF(OR(_xlfn.XLOOKUP(E343,Groups!A:A,Groups!N:N)="Pig",_xlfn.XLOOKUP(E343,Groups!A:A,Groups!N:N)="StrongBitingHerbivore"),20,25))*C343^-0.135,BD343))</f>
        <v>3.5323648632524387</v>
      </c>
      <c r="BC343" s="8" t="str">
        <f>IF(W343="No","No",IF(_xlfn.XLOOKUP(E343,Groups!A:A,Groups!U:U)=1,'Base stats'!BB343,IF(OR(_xlfn.XLOOKUP(E343,Groups!A:A,Groups!BD:BD)=1,_xlfn.XLOOKUP(E343,Groups!A:A,Groups!U:U)=2),BD343,IF(_xlfn.XLOOKUP(B343,Animals!B:B,Animals!AO:AO)&gt;4,AVERAGE(BD343,BF343),BF343))))</f>
        <v>No</v>
      </c>
      <c r="BD343" s="8">
        <f t="shared" si="171"/>
        <v>3.4660858453556092</v>
      </c>
      <c r="BE343" s="8">
        <f>IF(_xlfn.XLOOKUP(E343,Groups!A:A,Groups!BE:BE)=1,(0.048*C343^1.01)+(0.071*C343^1.03),0.071*C343^1.03)/IF(_xlfn.XLOOKUP(E343,Groups!A:A,Groups!M:M)=1,0.85,IF(OR(_xlfn.XLOOKUP(B343,Animals!B:B,Animals!AO:AO)&gt;4,_xlfn.XLOOKUP(E343,Groups!A:A,Groups!BC:BC)=1),1.7,1))*C343^-0.25</f>
        <v>7.6620225108615552</v>
      </c>
      <c r="BF343" s="8">
        <f>(0.048*C343^1.01)/IF(_xlfn.XLOOKUP(E343,Groups!A:A,Groups!M:M)=1,0.25,0.8)*C343^-0.25</f>
        <v>3.6173662958517863</v>
      </c>
      <c r="BG343" s="8">
        <f>EXP(1.076*LN(AR343)-4.5397)*IF(_xlfn.XLOOKUP(E343,Groups!A:A,Groups!BC:BC)=1,1.25,IF(_xlfn.XLOOKUP(E343,Groups!A:A,Groups!BD:BD)=1,3.5,2.5))</f>
        <v>264.68480595824644</v>
      </c>
      <c r="BH343" s="8">
        <f>EXP(1.076*LN(AS343)-4.5397)*IF(_xlfn.XLOOKUP(E343,Groups!A:A,Groups!M:M)=1,0.8,IF(_xlfn.XLOOKUP(E343,Groups!A:A,Groups!BC:BC)=1,1.3,3))</f>
        <v>318.83094678069006</v>
      </c>
      <c r="BI343" s="8" t="str">
        <f>IF(W343="No","No",IF(_xlfn.XLOOKUP(E343,Groups!A:A,Groups!U:U)=1,'Base stats'!BJ343,IF(OR(_xlfn.XLOOKUP(E343,Groups!A:A,Groups!BD:BD)=1,_xlfn.XLOOKUP(E343,Groups!A:A,Groups!U:U)=2),BG343,BH343))*1.2)</f>
        <v>No</v>
      </c>
      <c r="BJ343" s="8">
        <f>IFERROR(EXP(1.076*LN(AT343)-4.5397)*IF(_xlfn.XLOOKUP(E343,Groups!A:A,Groups!N:N)="Insect",1,IF(OR(_xlfn.XLOOKUP(E343,Groups!A:A,Groups!N:N)="Pig",_xlfn.XLOOKUP(E343,Groups!A:A,Groups!N:N)="StrongBitingHerbivore"),3.5,3.75)),"No")</f>
        <v>200.09896334254552</v>
      </c>
      <c r="BK343" s="8">
        <f t="shared" si="172"/>
        <v>12</v>
      </c>
      <c r="BL343" s="8">
        <f t="shared" si="173"/>
        <v>9</v>
      </c>
      <c r="BM343" s="8" t="str">
        <f t="shared" si="174"/>
        <v>No</v>
      </c>
      <c r="BN343" s="8">
        <f t="shared" si="175"/>
        <v>10</v>
      </c>
      <c r="BO343" s="8">
        <f t="shared" si="176"/>
        <v>13</v>
      </c>
      <c r="BP343" s="8" cm="1">
        <f t="array" ref="BP343">IF(AND(_xlfn.XLOOKUP('Base stats'!E343,Groups!A:A,Groups!AD:AD=0),_xlfn.XLOOKUP('Base stats'!E343,Groups!A:A,Groups!P:P=0)),"No",IF(U343="No",AVERAGE(EXP(-0.57+0.99*LN(C343)),EXP(0.32+0.67*LN(C343)))/IF(_xlfn.XLOOKUP(E343,Groups!A:A,Groups!AD:AD)=1,10,2),(0.7354*C343^0.4078)*2/IF(_xlfn.XLOOKUP(E343,Groups!A:A,Groups!BK:BK)=1,1000,100)/IF(_xlfn.XLOOKUP(E343,Groups!A:A,Groups!AJ:AJ)="Photonozoa",3,1)))</f>
        <v>0.13267637294492773</v>
      </c>
      <c r="BQ343" s="8" t="str">
        <f>IF(W343="No","No",IF(_xlfn.XLOOKUP(E343,Groups!A:A,Groups!BD:BD)=1,(AO343*5%),EXP(0.7354*LN(C343)^0.4078)*2/IF(_xlfn.XLOOKUP(E343,Groups!A:A,Groups!BL:BL)=1,1000,100)/IF(_xlfn.XLOOKUP(E343,Groups!A:A,Groups!AJ:AJ)="Photonozoa",3,1)))</f>
        <v>No</v>
      </c>
      <c r="BR343" s="8">
        <f>IF(BJ343="No","No",IF(_xlfn.XLOOKUP(E343,Groups!A:A,Groups!BF:BF)=1,(0.0315*C343+2.1825)*2,(0.7354*C343^0.4078)*2)/IF(_xlfn.XLOOKUP(E343,Groups!A:A,Groups!BM:BM)=1,1000,100)/IF(_xlfn.XLOOKUP(E343,Groups!A:A,Groups!AJ:AJ)="Photonozoa",3,1))</f>
        <v>0.13267637294492773</v>
      </c>
      <c r="BS343" s="8">
        <f t="shared" si="177"/>
        <v>0.14317305303618552</v>
      </c>
      <c r="BT343" s="8">
        <f t="shared" si="178"/>
        <v>2403.0725268095225</v>
      </c>
      <c r="BU343" s="8" t="str">
        <f t="shared" si="179"/>
        <v>No</v>
      </c>
      <c r="BV343" s="8">
        <f t="shared" si="180"/>
        <v>1508.1733009509089</v>
      </c>
      <c r="BW343" s="4">
        <v>0</v>
      </c>
      <c r="BX343" s="4">
        <v>1</v>
      </c>
    </row>
    <row r="344" spans="1:76" s="16" customFormat="1" x14ac:dyDescent="0.25">
      <c r="A344" s="26" t="s">
        <v>1951</v>
      </c>
      <c r="B344" s="6" t="s">
        <v>1952</v>
      </c>
      <c r="C344" s="7">
        <v>400</v>
      </c>
      <c r="D344" s="7" t="s">
        <v>1954</v>
      </c>
      <c r="E344" s="7" t="str">
        <f>Groups!$A$120</f>
        <v>Theropod (RAPTOR)</v>
      </c>
      <c r="F344" s="7" t="str">
        <f t="shared" si="185"/>
        <v>Lay eggs</v>
      </c>
      <c r="G344" s="7">
        <v>4</v>
      </c>
      <c r="H344" s="7">
        <v>25</v>
      </c>
      <c r="I344" s="4">
        <v>1</v>
      </c>
      <c r="J344" s="7" t="str">
        <f t="shared" si="190"/>
        <v>Lay eggs</v>
      </c>
      <c r="K344" s="7" t="s">
        <v>528</v>
      </c>
      <c r="L344" s="7">
        <f>10.5*3.6</f>
        <v>37.800000000000004</v>
      </c>
      <c r="M344" s="7" t="s">
        <v>1958</v>
      </c>
      <c r="N344" s="4">
        <v>0</v>
      </c>
      <c r="O344" s="4">
        <v>0</v>
      </c>
      <c r="P344" s="4">
        <v>0</v>
      </c>
      <c r="Q344" s="4">
        <v>0</v>
      </c>
      <c r="R344" s="4" t="s">
        <v>40</v>
      </c>
      <c r="S344" s="7">
        <f>_xlfn.XLOOKUP(B344,[1]TeethAdjusters!$A:$A,[1]BiteAdjusters!$C:$C,1)</f>
        <v>1</v>
      </c>
      <c r="T344" s="7">
        <f>_xlfn.XLOOKUP(B344,[1]TeethAdjusters!$A:$A,[1]TeethAdjusters!$B:$B,1)</f>
        <v>1</v>
      </c>
      <c r="U344" s="7">
        <v>7.5</v>
      </c>
      <c r="V344" s="7">
        <v>6.5</v>
      </c>
      <c r="W344" s="7" t="s">
        <v>45</v>
      </c>
      <c r="X344" s="7" t="s">
        <v>932</v>
      </c>
      <c r="Y344" s="4" t="s">
        <v>56</v>
      </c>
      <c r="Z344" s="4">
        <v>1</v>
      </c>
      <c r="AA344" s="4">
        <v>0</v>
      </c>
      <c r="AB344" s="4">
        <v>0</v>
      </c>
      <c r="AC344" s="4">
        <v>0</v>
      </c>
      <c r="AD344" s="4">
        <v>0</v>
      </c>
      <c r="AE344" s="4" t="s">
        <v>45</v>
      </c>
      <c r="AF344" s="4" t="s">
        <v>45</v>
      </c>
      <c r="AG344" s="49" t="s">
        <v>1913</v>
      </c>
      <c r="AH344" s="4" t="s">
        <v>45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4" t="s">
        <v>40</v>
      </c>
      <c r="AO344" s="8">
        <f t="shared" si="166"/>
        <v>54533.324359541104</v>
      </c>
      <c r="AP344" s="8">
        <f>IFERROR(C344*_xlfn.XLOOKUP(E344,Groups!A:A,Groups!K:K),0.106*C344^0.94)</f>
        <v>29.596629583111532</v>
      </c>
      <c r="AQ344" s="8">
        <f>AP344*10000/(_xlfn.XLOOKUP(E344,Groups!A:A,Groups!J:J)*AO344)</f>
        <v>4.9791336757954134</v>
      </c>
      <c r="AR344" s="8">
        <f t="shared" si="167"/>
        <v>8578.2919817776201</v>
      </c>
      <c r="AS344" s="8">
        <f>IF(_xlfn.XLOOKUP(E344,Groups!A:A,Groups!M:M)=1,EXP(0.7444*LN('Base stats'!C344)+6.5696),EXP(0.7927*LN('Base stats'!C344)+4.28))</f>
        <v>8345.1344423422543</v>
      </c>
      <c r="AT344" s="8">
        <f>IF(_xlfn.XLOOKUP(E344,Groups!A:A,Groups!N:N)="No","No",
IF(_xlfn.XLOOKUP(E344,Groups!A:A,Groups!N:N)="Crocodile",EXP(0.8129*LN(C344)+4.6742)*S344,
IF(_xlfn.XLOOKUP(E344,Groups!A:A,Groups!N:N)="Felid",EXP(0.7843*LN(C344)+4.7073)*S344,
IF(_xlfn.XLOOKUP(E344,Groups!A:A,Groups!N:N)="Canid",EXP(0.8367*LN(C344)+4.8763)*S344,
IF(_xlfn.XLOOKUP(E344,Groups!A:A,Groups!N:N)="Pig",EXP(0.3439*LN(C344)+6.8519)*S344,
IF(_xlfn.XLOOKUP(E344,Groups!A:A,Groups!N:N)="Rodent",EXP(0.5625*LN(C344)+4.3006)*S344,
IF(_xlfn.XLOOKUP(E344,Groups!A:A,Groups!N:N)="Primate",EXP(0.7847*LN(C344)+3.4931)*S344,
IF(_xlfn.XLOOKUP(E344,Groups!A:A,Groups!N:N)="MiscCarnivora",EXP(0.7486*LN(C344)+4.2207)*S344,
IF(_xlfn.XLOOKUP(E344,Groups!A:A,Groups!N:N)="Lizard",EXP(0.7733*LN(C344)+5.5303)*S344,
IF(_xlfn.XLOOKUP(E344,Groups!A:A,Groups!N:N)="Snake",50*C344^(2/3)*S344,
IF(_xlfn.XLOOKUP(E344,Groups!A:A,Groups!N:N)="StrongBitingHerbivore",87.1133638856975*C344^(2/3)*S344,
IF(_xlfn.XLOOKUP(E344,Groups!A:A,Groups!N:N)="MiscEctotherms",59.4316884072269*C344^(2/3)*S344,
IF(_xlfn.XLOOKUP(E344,Groups!A:A,Groups!N:N)="StrongBeakBird",0.041*(C344*1000)^1.375*S344,
IF(_xlfn.XLOOKUP(E344,Groups!A:A,Groups!N:N)="Bird",0.118*(C344*1000)^0.692*S344,
IF(_xlfn.XLOOKUP(E344,Groups!A:A,Groups!N:N)="Insect",EXP(0.7444*LN(C344)+6.5696)*S344,
IF(_xlfn.XLOOKUP(E344,Groups!A:A,Groups!N:N)="Theropod",EXP(0.6966*LN(C344)+4.158)*S344,
"No"))))))))))))))))</f>
        <v>4153.2822469916473</v>
      </c>
      <c r="AU344" s="8">
        <f>IF(_xlfn.XLOOKUP(E344,Groups!A:A,Groups!U:U)=3,AS344,IF(_xlfn.XLOOKUP(E344,Groups!A:A,Groups!U:U)=2,AR344,AT344))</f>
        <v>4153.2822469916473</v>
      </c>
      <c r="AV344" s="46">
        <f>IFERROR(AVERAGE(_xlfn.XLOOKUP(B344,Animals!B:B,Animals!N:N),_xlfn.XLOOKUP(B344,Animals!B:B,Animals!O:O)),0)</f>
        <v>0</v>
      </c>
      <c r="AW344" s="8">
        <f>MROUND(40*Animals!AO344*_xlfn.XLOOKUP(AG344,Leathers!$A$2:$A$99,Leathers!$B$2:$B$99,0)+(140*_xlfn.XLOOKUP(B344,Animals!B:B,Animals!AO:AO)*2),5)</f>
        <v>770</v>
      </c>
      <c r="AX344" s="8">
        <f>IFERROR(ROUND(SQRT(V344-1)*IF(_xlfn.XLOOKUP(E344,Groups!A:A,Groups!BF:BF)=0,2,1)*IF(_xlfn.XLOOKUP('Base stats'!E344,Groups!A:A,Groups!O:O)=0,1,0.1),1),0)</f>
        <v>4.7</v>
      </c>
      <c r="AY344" s="8">
        <f t="shared" si="168"/>
        <v>2.5</v>
      </c>
      <c r="AZ344" s="8">
        <f t="shared" si="169"/>
        <v>0</v>
      </c>
      <c r="BA344" s="8">
        <f t="shared" si="170"/>
        <v>6.8</v>
      </c>
      <c r="BB344" s="8">
        <f>IF(_xlfn.XLOOKUP(E344,Groups!A:A,Groups!N:N)="Insect",BD344*2.5,IFERROR(AVERAGE(BD344,AT344/9.81/IF(OR(_xlfn.XLOOKUP(E344,Groups!A:A,Groups!N:N)="Pig",_xlfn.XLOOKUP(E344,Groups!A:A,Groups!N:N)="StrongBitingHerbivore"),20,25))*C344^-0.135,BD344))</f>
        <v>5.0396526978649918</v>
      </c>
      <c r="BC344" s="8" t="str">
        <f>IF(W344="No","No",IF(_xlfn.XLOOKUP(E344,Groups!A:A,Groups!U:U)=1,'Base stats'!BB344,IF(OR(_xlfn.XLOOKUP(E344,Groups!A:A,Groups!BD:BD)=1,_xlfn.XLOOKUP(E344,Groups!A:A,Groups!U:U)=2),BD344,IF(_xlfn.XLOOKUP(B344,Animals!B:B,Animals!AO:AO)&gt;4,AVERAGE(BD344,BF344),BF344))))</f>
        <v>No</v>
      </c>
      <c r="BD344" s="8">
        <f t="shared" si="171"/>
        <v>5.6963664488603518</v>
      </c>
      <c r="BE344" s="8">
        <f>IF(_xlfn.XLOOKUP(E344,Groups!A:A,Groups!BE:BE)=1,(0.048*C344^1.01)+(0.071*C344^1.03),0.071*C344^1.03)/IF(_xlfn.XLOOKUP(E344,Groups!A:A,Groups!M:M)=1,0.85,IF(OR(_xlfn.XLOOKUP(B344,Animals!B:B,Animals!AO:AO)&gt;4,_xlfn.XLOOKUP(E344,Groups!A:A,Groups!BC:BC)=1),1.7,1))*C344^-0.25</f>
        <v>12.159243365165947</v>
      </c>
      <c r="BF344" s="8">
        <f>(0.048*C344^1.01)/IF(_xlfn.XLOOKUP(E344,Groups!A:A,Groups!M:M)=1,0.25,0.8)*C344^-0.25</f>
        <v>5.6979265131759371</v>
      </c>
      <c r="BG344" s="8">
        <f>EXP(1.076*LN(AR344)-4.5397)*IF(_xlfn.XLOOKUP(E344,Groups!A:A,Groups!BC:BC)=1,1.25,IF(_xlfn.XLOOKUP(E344,Groups!A:A,Groups!BD:BD)=1,3.5,2.5))</f>
        <v>455.73526542190234</v>
      </c>
      <c r="BH344" s="8">
        <f>EXP(1.076*LN(AS344)-4.5397)*IF(_xlfn.XLOOKUP(E344,Groups!A:A,Groups!M:M)=1,0.8,IF(_xlfn.XLOOKUP(E344,Groups!A:A,Groups!BC:BC)=1,1.3,3))</f>
        <v>530.90506242342735</v>
      </c>
      <c r="BI344" s="8" t="str">
        <f>IF(W344="No","No",IF(_xlfn.XLOOKUP(E344,Groups!A:A,Groups!U:U)=1,'Base stats'!BJ344,IF(OR(_xlfn.XLOOKUP(E344,Groups!A:A,Groups!BD:BD)=1,_xlfn.XLOOKUP(E344,Groups!A:A,Groups!U:U)=2),BG344,BH344))*1.2)</f>
        <v>No</v>
      </c>
      <c r="BJ344" s="8">
        <f>IFERROR(EXP(1.076*LN(AT344)-4.5397)*IF(_xlfn.XLOOKUP(E344,Groups!A:A,Groups!N:N)="Insect",1,IF(OR(_xlfn.XLOOKUP(E344,Groups!A:A,Groups!N:N)="Pig",_xlfn.XLOOKUP(E344,Groups!A:A,Groups!N:N)="StrongBitingHerbivore"),3.5,3.75)),"No")</f>
        <v>313.22311465218309</v>
      </c>
      <c r="BK344" s="8">
        <f t="shared" si="172"/>
        <v>12</v>
      </c>
      <c r="BL344" s="8">
        <f t="shared" si="173"/>
        <v>9</v>
      </c>
      <c r="BM344" s="8" t="str">
        <f t="shared" si="174"/>
        <v>No</v>
      </c>
      <c r="BN344" s="8">
        <f t="shared" si="175"/>
        <v>11</v>
      </c>
      <c r="BO344" s="8">
        <f t="shared" si="176"/>
        <v>13</v>
      </c>
      <c r="BP344" s="8" cm="1">
        <f t="array" ref="BP344">IF(AND(_xlfn.XLOOKUP('Base stats'!E344,Groups!A:A,Groups!AD:AD=0),_xlfn.XLOOKUP('Base stats'!E344,Groups!A:A,Groups!P:P=0)),"No",IF(U344="No",AVERAGE(EXP(-0.57+0.99*LN(C344)),EXP(0.32+0.67*LN(C344)))/IF(_xlfn.XLOOKUP(E344,Groups!A:A,Groups!AD:AD)=1,10,2),(0.7354*C344^0.4078)*2/IF(_xlfn.XLOOKUP(E344,Groups!A:A,Groups!BK:BK)=1,1000,100)/IF(_xlfn.XLOOKUP(E344,Groups!A:A,Groups!AJ:AJ)="Photonozoa",3,1)))</f>
        <v>0.16930652098775201</v>
      </c>
      <c r="BQ344" s="8" t="str">
        <f>IF(W344="No","No",IF(_xlfn.XLOOKUP(E344,Groups!A:A,Groups!BD:BD)=1,(AO344*5%),EXP(0.7354*LN(C344)^0.4078)*2/IF(_xlfn.XLOOKUP(E344,Groups!A:A,Groups!BL:BL)=1,1000,100)/IF(_xlfn.XLOOKUP(E344,Groups!A:A,Groups!AJ:AJ)="Photonozoa",3,1)))</f>
        <v>No</v>
      </c>
      <c r="BR344" s="8">
        <f>IF(BJ344="No","No",IF(_xlfn.XLOOKUP(E344,Groups!A:A,Groups!BF:BF)=1,(0.0315*C344+2.1825)*2,(0.7354*C344^0.4078)*2)/IF(_xlfn.XLOOKUP(E344,Groups!A:A,Groups!BM:BM)=1,1000,100)/IF(_xlfn.XLOOKUP(E344,Groups!A:A,Groups!AJ:AJ)="Photonozoa",3,1))</f>
        <v>0.16930652098775201</v>
      </c>
      <c r="BS344" s="8">
        <f t="shared" si="177"/>
        <v>0.16714010039703997</v>
      </c>
      <c r="BT344" s="8">
        <f t="shared" si="178"/>
        <v>3135.7626352846396</v>
      </c>
      <c r="BU344" s="8" t="str">
        <f t="shared" si="179"/>
        <v>No</v>
      </c>
      <c r="BV344" s="8">
        <f t="shared" si="180"/>
        <v>1850.035738876486</v>
      </c>
      <c r="BW344" s="4">
        <v>0</v>
      </c>
      <c r="BX344" s="4">
        <v>1</v>
      </c>
    </row>
    <row r="345" spans="1:76" s="16" customFormat="1" x14ac:dyDescent="0.25">
      <c r="A345" s="26" t="s">
        <v>1955</v>
      </c>
      <c r="B345" s="6" t="s">
        <v>1956</v>
      </c>
      <c r="C345" s="7">
        <v>19.7</v>
      </c>
      <c r="D345" s="7" t="s">
        <v>1957</v>
      </c>
      <c r="E345" s="7" t="str">
        <f>Groups!$A$120</f>
        <v>Theropod (RAPTOR)</v>
      </c>
      <c r="F345" s="7" t="str">
        <f t="shared" si="185"/>
        <v>Lay eggs</v>
      </c>
      <c r="G345" s="7">
        <v>1.5</v>
      </c>
      <c r="H345" s="7">
        <v>15</v>
      </c>
      <c r="I345" s="4">
        <v>1</v>
      </c>
      <c r="J345" s="7" t="str">
        <f t="shared" si="190"/>
        <v>Lay eggs</v>
      </c>
      <c r="K345" s="7" t="s">
        <v>528</v>
      </c>
      <c r="L345" s="7">
        <v>38.880000000000003</v>
      </c>
      <c r="M345" s="7" t="s">
        <v>2019</v>
      </c>
      <c r="N345" s="4">
        <v>0</v>
      </c>
      <c r="O345" s="4">
        <v>0</v>
      </c>
      <c r="P345" s="4">
        <v>0</v>
      </c>
      <c r="Q345" s="4">
        <v>0</v>
      </c>
      <c r="R345" s="4" t="s">
        <v>40</v>
      </c>
      <c r="S345" s="7">
        <f>_xlfn.XLOOKUP(B345,[1]TeethAdjusters!$A:$A,[1]BiteAdjusters!$C:$C,1)</f>
        <v>0.47844493899746898</v>
      </c>
      <c r="T345" s="7">
        <f>_xlfn.XLOOKUP(B345,[1]TeethAdjusters!$A:$A,[1]TeethAdjusters!$B:$B,1)</f>
        <v>1</v>
      </c>
      <c r="U345" s="7">
        <v>15</v>
      </c>
      <c r="V345" s="7">
        <v>1</v>
      </c>
      <c r="W345" s="7" t="s">
        <v>45</v>
      </c>
      <c r="X345" s="7" t="s">
        <v>932</v>
      </c>
      <c r="Y345" s="4" t="s">
        <v>56</v>
      </c>
      <c r="Z345" s="4">
        <v>1</v>
      </c>
      <c r="AA345" s="4">
        <v>0</v>
      </c>
      <c r="AB345" s="4">
        <v>0</v>
      </c>
      <c r="AC345" s="4">
        <v>0</v>
      </c>
      <c r="AD345" s="4">
        <v>0</v>
      </c>
      <c r="AE345" s="4" t="s">
        <v>45</v>
      </c>
      <c r="AF345" s="4" t="s">
        <v>45</v>
      </c>
      <c r="AG345" s="49" t="s">
        <v>1949</v>
      </c>
      <c r="AH345" s="4" t="s">
        <v>45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4" t="s">
        <v>40</v>
      </c>
      <c r="AO345" s="8">
        <f t="shared" si="166"/>
        <v>7704.1729880356379</v>
      </c>
      <c r="AP345" s="8">
        <f>IFERROR(C345*_xlfn.XLOOKUP(E345,Groups!A:A,Groups!K:K),0.106*C345^0.94)</f>
        <v>1.7462407468905918</v>
      </c>
      <c r="AQ345" s="8">
        <f>AP345*10000/(_xlfn.XLOOKUP(E345,Groups!A:A,Groups!J:J)*AO345)</f>
        <v>2.0794648998409477</v>
      </c>
      <c r="AR345" s="8">
        <f t="shared" si="167"/>
        <v>674.33603951481314</v>
      </c>
      <c r="AS345" s="8">
        <f>IF(_xlfn.XLOOKUP(E345,Groups!A:A,Groups!M:M)=1,EXP(0.7444*LN('Base stats'!C345)+6.5696),EXP(0.7927*LN('Base stats'!C345)+4.28))</f>
        <v>767.19146033281561</v>
      </c>
      <c r="AT345" s="8">
        <f>IF(_xlfn.XLOOKUP(E345,Groups!A:A,Groups!N:N)="No","No",
IF(_xlfn.XLOOKUP(E345,Groups!A:A,Groups!N:N)="Crocodile",EXP(0.8129*LN(C345)+4.6742)*S345,
IF(_xlfn.XLOOKUP(E345,Groups!A:A,Groups!N:N)="Felid",EXP(0.7843*LN(C345)+4.7073)*S345,
IF(_xlfn.XLOOKUP(E345,Groups!A:A,Groups!N:N)="Canid",EXP(0.8367*LN(C345)+4.8763)*S345,
IF(_xlfn.XLOOKUP(E345,Groups!A:A,Groups!N:N)="Pig",EXP(0.3439*LN(C345)+6.8519)*S345,
IF(_xlfn.XLOOKUP(E345,Groups!A:A,Groups!N:N)="Rodent",EXP(0.5625*LN(C345)+4.3006)*S345,
IF(_xlfn.XLOOKUP(E345,Groups!A:A,Groups!N:N)="Primate",EXP(0.7847*LN(C345)+3.4931)*S345,
IF(_xlfn.XLOOKUP(E345,Groups!A:A,Groups!N:N)="MiscCarnivora",EXP(0.7486*LN(C345)+4.2207)*S345,
IF(_xlfn.XLOOKUP(E345,Groups!A:A,Groups!N:N)="Lizard",EXP(0.7733*LN(C345)+5.5303)*S345,
IF(_xlfn.XLOOKUP(E345,Groups!A:A,Groups!N:N)="Snake",50*C345^(2/3)*S345,
IF(_xlfn.XLOOKUP(E345,Groups!A:A,Groups!N:N)="StrongBitingHerbivore",87.1133638856975*C345^(2/3)*S345,
IF(_xlfn.XLOOKUP(E345,Groups!A:A,Groups!N:N)="MiscEctotherms",59.4316884072269*C345^(2/3)*S345,
IF(_xlfn.XLOOKUP(E345,Groups!A:A,Groups!N:N)="StrongBeakBird",0.041*(C345*1000)^1.375*S345,
IF(_xlfn.XLOOKUP(E345,Groups!A:A,Groups!N:N)="Bird",0.118*(C345*1000)^0.692*S345,
IF(_xlfn.XLOOKUP(E345,Groups!A:A,Groups!N:N)="Insect",EXP(0.7444*LN(C345)+6.5696)*S345,
IF(_xlfn.XLOOKUP(E345,Groups!A:A,Groups!N:N)="Theropod",EXP(0.6966*LN(C345)+4.158)*S345,
"No"))))))))))))))))</f>
        <v>243.97964432931641</v>
      </c>
      <c r="AU345" s="8">
        <f>IF(_xlfn.XLOOKUP(E345,Groups!A:A,Groups!U:U)=3,AS345,IF(_xlfn.XLOOKUP(E345,Groups!A:A,Groups!U:U)=2,AR345,AT345))</f>
        <v>243.97964432931641</v>
      </c>
      <c r="AV345" s="46">
        <f>IFERROR(AVERAGE(_xlfn.XLOOKUP(B345,Animals!B:B,Animals!N:N),_xlfn.XLOOKUP(B345,Animals!B:B,Animals!O:O)),0)</f>
        <v>0</v>
      </c>
      <c r="AW345" s="8">
        <f>MROUND(40*Animals!AO345*_xlfn.XLOOKUP(AG345,Leathers!$A$2:$A$99,Leathers!$B$2:$B$99,0)+(140*_xlfn.XLOOKUP(B345,Animals!B:B,Animals!AO:AO)*2),5)</f>
        <v>155</v>
      </c>
      <c r="AX345" s="8">
        <f>IFERROR(ROUND(SQRT(V345-1)*IF(_xlfn.XLOOKUP(E345,Groups!A:A,Groups!BF:BF)=0,2,1)*IF(_xlfn.XLOOKUP('Base stats'!E345,Groups!A:A,Groups!O:O)=0,1,0.1),1),0)</f>
        <v>0</v>
      </c>
      <c r="AY345" s="8">
        <f t="shared" si="168"/>
        <v>3.7</v>
      </c>
      <c r="AZ345" s="8">
        <f t="shared" si="169"/>
        <v>0</v>
      </c>
      <c r="BA345" s="8">
        <f t="shared" si="170"/>
        <v>2.2999999999999998</v>
      </c>
      <c r="BB345" s="8">
        <f>IF(_xlfn.XLOOKUP(E345,Groups!A:A,Groups!N:N)="Insect",BD345*2.5,IFERROR(AVERAGE(BD345,AT345/9.81/IF(OR(_xlfn.XLOOKUP(E345,Groups!A:A,Groups!N:N)="Pig",_xlfn.XLOOKUP(E345,Groups!A:A,Groups!N:N)="StrongBitingHerbivore"),20,25))*C345^-0.135,BD345))</f>
        <v>0.48865889979443106</v>
      </c>
      <c r="BC345" s="8" t="str">
        <f>IF(W345="No","No",IF(_xlfn.XLOOKUP(E345,Groups!A:A,Groups!U:U)=1,'Base stats'!BB345,IF(OR(_xlfn.XLOOKUP(E345,Groups!A:A,Groups!BD:BD)=1,_xlfn.XLOOKUP(E345,Groups!A:A,Groups!U:U)=2),BD345,IF(_xlfn.XLOOKUP(B345,Animals!B:B,Animals!AO:AO)&gt;4,AVERAGE(BD345,BF345),BF345))))</f>
        <v>No</v>
      </c>
      <c r="BD345" s="8">
        <f t="shared" si="171"/>
        <v>0.46664595000323267</v>
      </c>
      <c r="BE345" s="8">
        <f>IF(_xlfn.XLOOKUP(E345,Groups!A:A,Groups!BE:BE)=1,(0.048*C345^1.01)+(0.071*C345^1.03),0.071*C345^1.03)/IF(_xlfn.XLOOKUP(E345,Groups!A:A,Groups!M:M)=1,0.85,IF(OR(_xlfn.XLOOKUP(B345,Animals!B:B,Animals!AO:AO)&gt;4,_xlfn.XLOOKUP(E345,Groups!A:A,Groups!BC:BC)=1),1.7,1))*C345^-0.25</f>
        <v>1.1884278936050829</v>
      </c>
      <c r="BF345" s="8">
        <f>(0.048*C345^1.01)/IF(_xlfn.XLOOKUP(E345,Groups!A:A,Groups!M:M)=1,0.25,0.8)*C345^-0.25</f>
        <v>0.57802361566376503</v>
      </c>
      <c r="BG345" s="8">
        <f>EXP(1.076*LN(AR345)-4.5397)*IF(_xlfn.XLOOKUP(E345,Groups!A:A,Groups!BC:BC)=1,1.25,IF(_xlfn.XLOOKUP(E345,Groups!A:A,Groups!BD:BD)=1,3.5,2.5))</f>
        <v>29.528699775885574</v>
      </c>
      <c r="BH345" s="8">
        <f>EXP(1.076*LN(AS345)-4.5397)*IF(_xlfn.XLOOKUP(E345,Groups!A:A,Groups!M:M)=1,0.8,IF(_xlfn.XLOOKUP(E345,Groups!A:A,Groups!BC:BC)=1,1.3,3))</f>
        <v>40.710931640347248</v>
      </c>
      <c r="BI345" s="8" t="str">
        <f>IF(W345="No","No",IF(_xlfn.XLOOKUP(E345,Groups!A:A,Groups!U:U)=1,'Base stats'!BJ345,IF(OR(_xlfn.XLOOKUP(E345,Groups!A:A,Groups!BD:BD)=1,_xlfn.XLOOKUP(E345,Groups!A:A,Groups!U:U)=2),BG345,BH345))*1.2)</f>
        <v>No</v>
      </c>
      <c r="BJ345" s="8">
        <f>IFERROR(EXP(1.076*LN(AT345)-4.5397)*IF(_xlfn.XLOOKUP(E345,Groups!A:A,Groups!N:N)="Insect",1,IF(OR(_xlfn.XLOOKUP(E345,Groups!A:A,Groups!N:N)="Pig",_xlfn.XLOOKUP(E345,Groups!A:A,Groups!N:N)="StrongBitingHerbivore"),3.5,3.75)),"No")</f>
        <v>14.833959031043458</v>
      </c>
      <c r="BK345" s="8">
        <f t="shared" si="172"/>
        <v>11</v>
      </c>
      <c r="BL345" s="8">
        <f t="shared" si="173"/>
        <v>8</v>
      </c>
      <c r="BM345" s="8" t="str">
        <f t="shared" si="174"/>
        <v>No</v>
      </c>
      <c r="BN345" s="8">
        <f t="shared" si="175"/>
        <v>7</v>
      </c>
      <c r="BO345" s="8">
        <f t="shared" si="176"/>
        <v>11</v>
      </c>
      <c r="BP345" s="8" cm="1">
        <f t="array" ref="BP345">IF(AND(_xlfn.XLOOKUP('Base stats'!E345,Groups!A:A,Groups!AD:AD=0),_xlfn.XLOOKUP('Base stats'!E345,Groups!A:A,Groups!P:P=0)),"No",IF(U345="No",AVERAGE(EXP(-0.57+0.99*LN(C345)),EXP(0.32+0.67*LN(C345)))/IF(_xlfn.XLOOKUP(E345,Groups!A:A,Groups!AD:AD)=1,10,2),(0.7354*C345^0.4078)*2/IF(_xlfn.XLOOKUP(E345,Groups!A:A,Groups!BK:BK)=1,1000,100)/IF(_xlfn.XLOOKUP(E345,Groups!A:A,Groups!AJ:AJ)="Photonozoa",3,1)))</f>
        <v>4.9594891927526703E-2</v>
      </c>
      <c r="BQ345" s="8" t="str">
        <f>IF(W345="No","No",IF(_xlfn.XLOOKUP(E345,Groups!A:A,Groups!BD:BD)=1,(AO345*5%),EXP(0.7354*LN(C345)^0.4078)*2/IF(_xlfn.XLOOKUP(E345,Groups!A:A,Groups!BL:BL)=1,1000,100)/IF(_xlfn.XLOOKUP(E345,Groups!A:A,Groups!AJ:AJ)="Photonozoa",3,1)))</f>
        <v>No</v>
      </c>
      <c r="BR345" s="8">
        <f>IF(BJ345="No","No",IF(_xlfn.XLOOKUP(E345,Groups!A:A,Groups!BF:BF)=1,(0.0315*C345+2.1825)*2,(0.7354*C345^0.4078)*2)/IF(_xlfn.XLOOKUP(E345,Groups!A:A,Groups!BM:BM)=1,1000,100)/IF(_xlfn.XLOOKUP(E345,Groups!A:A,Groups!AJ:AJ)="Photonozoa",3,1))</f>
        <v>4.9594891927526703E-2</v>
      </c>
      <c r="BS345" s="8">
        <f t="shared" si="177"/>
        <v>7.6656377840276443E-2</v>
      </c>
      <c r="BT345" s="8">
        <f t="shared" si="178"/>
        <v>820.86944961667348</v>
      </c>
      <c r="BU345" s="8" t="str">
        <f t="shared" si="179"/>
        <v>No</v>
      </c>
      <c r="BV345" s="8">
        <f t="shared" si="180"/>
        <v>299.10255783439163</v>
      </c>
      <c r="BW345" s="4">
        <v>0</v>
      </c>
      <c r="BX345" s="4">
        <v>1</v>
      </c>
    </row>
    <row r="346" spans="1:76" s="16" customFormat="1" x14ac:dyDescent="0.25">
      <c r="A346" s="26" t="s">
        <v>1961</v>
      </c>
      <c r="B346" s="6" t="s">
        <v>1962</v>
      </c>
      <c r="C346" s="7">
        <v>3.5</v>
      </c>
      <c r="D346" s="7" t="s">
        <v>1963</v>
      </c>
      <c r="E346" s="7" t="str">
        <f>Groups!$A$121</f>
        <v>Theropod (CLAWED)</v>
      </c>
      <c r="F346" s="7" t="str">
        <f t="shared" si="185"/>
        <v>Lay eggs</v>
      </c>
      <c r="G346" s="7">
        <v>1</v>
      </c>
      <c r="H346" s="7">
        <v>10</v>
      </c>
      <c r="I346" s="4">
        <v>1</v>
      </c>
      <c r="J346" s="7" t="str">
        <f t="shared" si="190"/>
        <v>Lay eggs</v>
      </c>
      <c r="K346" s="7" t="s">
        <v>528</v>
      </c>
      <c r="L346" s="7">
        <f>6.65*3.6</f>
        <v>23.94</v>
      </c>
      <c r="M346" s="7" t="s">
        <v>1964</v>
      </c>
      <c r="N346" s="4">
        <v>0</v>
      </c>
      <c r="O346" s="4">
        <v>0</v>
      </c>
      <c r="P346" s="4">
        <v>0</v>
      </c>
      <c r="Q346" s="4">
        <v>0</v>
      </c>
      <c r="R346" s="4" t="s">
        <v>40</v>
      </c>
      <c r="S346" s="7">
        <f>_xlfn.XLOOKUP(B346,[1]TeethAdjusters!$A:$A,[1]BiteAdjusters!$C:$C,1)</f>
        <v>1</v>
      </c>
      <c r="T346" s="7">
        <f>_xlfn.XLOOKUP(B346,[1]TeethAdjusters!$A:$A,[1]TeethAdjusters!$B:$B,1)</f>
        <v>1</v>
      </c>
      <c r="U346" s="7">
        <v>0.5</v>
      </c>
      <c r="V346" s="7">
        <v>0.5</v>
      </c>
      <c r="W346" s="7" t="s">
        <v>45</v>
      </c>
      <c r="X346" s="7" t="s">
        <v>932</v>
      </c>
      <c r="Y346" s="4" t="s">
        <v>56</v>
      </c>
      <c r="Z346" s="4">
        <v>1</v>
      </c>
      <c r="AA346" s="4">
        <v>0</v>
      </c>
      <c r="AB346" s="4">
        <v>0</v>
      </c>
      <c r="AC346" s="4">
        <v>0</v>
      </c>
      <c r="AD346" s="4">
        <v>0</v>
      </c>
      <c r="AE346" s="4" t="s">
        <v>45</v>
      </c>
      <c r="AF346" s="4" t="s">
        <v>45</v>
      </c>
      <c r="AG346" s="49" t="s">
        <v>1965</v>
      </c>
      <c r="AH346" s="4" t="s">
        <v>45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4" t="s">
        <v>40</v>
      </c>
      <c r="AO346" s="8">
        <f t="shared" si="166"/>
        <v>2505.9200307371043</v>
      </c>
      <c r="AP346" s="8">
        <f>IFERROR(C346*_xlfn.XLOOKUP(E346,Groups!A:A,Groups!K:K),0.106*C346^0.94)</f>
        <v>0.34413577851994565</v>
      </c>
      <c r="AQ346" s="8">
        <f>AP346*10000/(_xlfn.XLOOKUP(E346,Groups!A:A,Groups!J:J)*AO346)</f>
        <v>1.2599001318962799</v>
      </c>
      <c r="AR346" s="8">
        <f t="shared" si="167"/>
        <v>156.68052812066296</v>
      </c>
      <c r="AS346" s="8">
        <f>IF(_xlfn.XLOOKUP(E346,Groups!A:A,Groups!M:M)=1,EXP(0.7444*LN('Base stats'!C346)+6.5696),EXP(0.7927*LN('Base stats'!C346)+4.28))</f>
        <v>195.01280149987633</v>
      </c>
      <c r="AT346" s="8">
        <f>IF(_xlfn.XLOOKUP(E346,Groups!A:A,Groups!N:N)="No","No",
IF(_xlfn.XLOOKUP(E346,Groups!A:A,Groups!N:N)="Crocodile",EXP(0.8129*LN(C346)+4.6742)*S346,
IF(_xlfn.XLOOKUP(E346,Groups!A:A,Groups!N:N)="Felid",EXP(0.7843*LN(C346)+4.7073)*S346,
IF(_xlfn.XLOOKUP(E346,Groups!A:A,Groups!N:N)="Canid",EXP(0.8367*LN(C346)+4.8763)*S346,
IF(_xlfn.XLOOKUP(E346,Groups!A:A,Groups!N:N)="Pig",EXP(0.3439*LN(C346)+6.8519)*S346,
IF(_xlfn.XLOOKUP(E346,Groups!A:A,Groups!N:N)="Rodent",EXP(0.5625*LN(C346)+4.3006)*S346,
IF(_xlfn.XLOOKUP(E346,Groups!A:A,Groups!N:N)="Primate",EXP(0.7847*LN(C346)+3.4931)*S346,
IF(_xlfn.XLOOKUP(E346,Groups!A:A,Groups!N:N)="MiscCarnivora",EXP(0.7486*LN(C346)+4.2207)*S346,
IF(_xlfn.XLOOKUP(E346,Groups!A:A,Groups!N:N)="Lizard",EXP(0.7733*LN(C346)+5.5303)*S346,
IF(_xlfn.XLOOKUP(E346,Groups!A:A,Groups!N:N)="Snake",50*C346^(2/3)*S346,
IF(_xlfn.XLOOKUP(E346,Groups!A:A,Groups!N:N)="StrongBitingHerbivore",87.1133638856975*C346^(2/3)*S346,
IF(_xlfn.XLOOKUP(E346,Groups!A:A,Groups!N:N)="MiscEctotherms",59.4316884072269*C346^(2/3)*S346,
IF(_xlfn.XLOOKUP(E346,Groups!A:A,Groups!N:N)="StrongBeakBird",0.041*(C346*1000)^1.375*S346,
IF(_xlfn.XLOOKUP(E346,Groups!A:A,Groups!N:N)="Bird",0.118*(C346*1000)^0.692*S346,
IF(_xlfn.XLOOKUP(E346,Groups!A:A,Groups!N:N)="Insect",EXP(0.7444*LN(C346)+6.5696)*S346,
IF(_xlfn.XLOOKUP(E346,Groups!A:A,Groups!N:N)="Theropod",EXP(0.6966*LN(C346)+4.158)*S346,
"No"))))))))))))))))</f>
        <v>153.0362289452579</v>
      </c>
      <c r="AU346" s="8">
        <f>IF(_xlfn.XLOOKUP(E346,Groups!A:A,Groups!U:U)=3,AS346,IF(_xlfn.XLOOKUP(E346,Groups!A:A,Groups!U:U)=2,AR346,AT346))</f>
        <v>153.0362289452579</v>
      </c>
      <c r="AV346" s="46">
        <f>IFERROR(AVERAGE(_xlfn.XLOOKUP(B346,Animals!B:B,Animals!N:N),_xlfn.XLOOKUP(B346,Animals!B:B,Animals!O:O)),0)</f>
        <v>0</v>
      </c>
      <c r="AW346" s="8">
        <f>MROUND(40*Animals!AO346*_xlfn.XLOOKUP(AG346,Leathers!$A$2:$A$99,Leathers!$B$2:$B$99,0)+(140*_xlfn.XLOOKUP(B346,Animals!B:B,Animals!AO:AO)*2),5)</f>
        <v>70</v>
      </c>
      <c r="AX346" s="8">
        <f>IFERROR(ROUND(SQRT(V346-1)*IF(_xlfn.XLOOKUP(E346,Groups!A:A,Groups!BF:BF)=0,2,1)*IF(_xlfn.XLOOKUP('Base stats'!E346,Groups!A:A,Groups!O:O)=0,1,0.1),1),0)</f>
        <v>0</v>
      </c>
      <c r="AY346" s="8">
        <f t="shared" si="168"/>
        <v>0</v>
      </c>
      <c r="AZ346" s="8">
        <f t="shared" si="169"/>
        <v>0</v>
      </c>
      <c r="BA346" s="8">
        <f t="shared" si="170"/>
        <v>0.9</v>
      </c>
      <c r="BB346" s="8">
        <f>IF(_xlfn.XLOOKUP(E346,Groups!A:A,Groups!N:N)="Insect",BD346*2.5,IFERROR(AVERAGE(BD346,AT346/9.81/IF(OR(_xlfn.XLOOKUP(E346,Groups!A:A,Groups!N:N)="Pig",_xlfn.XLOOKUP(E346,Groups!A:A,Groups!N:N)="StrongBitingHerbivore"),20,25))*C346^-0.135,BD346))</f>
        <v>0.31032826999987134</v>
      </c>
      <c r="BC346" s="8" t="str">
        <f>IF(W346="No","No",IF(_xlfn.XLOOKUP(E346,Groups!A:A,Groups!U:U)=1,'Base stats'!BB346,IF(OR(_xlfn.XLOOKUP(E346,Groups!A:A,Groups!BD:BD)=1,_xlfn.XLOOKUP(E346,Groups!A:A,Groups!U:U)=2),BD346,IF(_xlfn.XLOOKUP(B346,Animals!B:B,Animals!AO:AO)&gt;4,AVERAGE(BD346,BF346),BF346))))</f>
        <v>No</v>
      </c>
      <c r="BD346" s="8">
        <f t="shared" si="171"/>
        <v>0.11102137758401365</v>
      </c>
      <c r="BE346" s="8">
        <f>IF(_xlfn.XLOOKUP(E346,Groups!A:A,Groups!BE:BE)=1,(0.048*C346^1.01)+(0.071*C346^1.03),0.071*C346^1.03)/IF(_xlfn.XLOOKUP(E346,Groups!A:A,Groups!M:M)=1,0.85,IF(OR(_xlfn.XLOOKUP(B346,Animals!B:B,Animals!AO:AO)&gt;4,_xlfn.XLOOKUP(E346,Groups!A:A,Groups!BC:BC)=1),1.7,1))*C346^-0.25</f>
        <v>0.31301393212704454</v>
      </c>
      <c r="BF346" s="8">
        <f>(0.048*C346^1.01)/IF(_xlfn.XLOOKUP(E346,Groups!A:A,Groups!M:M)=1,0.25,0.8)*C346^-0.25</f>
        <v>0.1554686989262874</v>
      </c>
      <c r="BG346" s="8">
        <f>EXP(1.076*LN(AR346)-4.5397)*IF(_xlfn.XLOOKUP(E346,Groups!A:A,Groups!BC:BC)=1,1.25,IF(_xlfn.XLOOKUP(E346,Groups!A:A,Groups!BD:BD)=1,3.5,2.5))</f>
        <v>6.1405817559901097</v>
      </c>
      <c r="BH346" s="8">
        <f>EXP(1.076*LN(AS346)-4.5397)*IF(_xlfn.XLOOKUP(E346,Groups!A:A,Groups!M:M)=1,0.8,IF(_xlfn.XLOOKUP(E346,Groups!A:A,Groups!BC:BC)=1,1.3,3))</f>
        <v>9.3252935915612163</v>
      </c>
      <c r="BI346" s="8" t="str">
        <f>IF(W346="No","No",IF(_xlfn.XLOOKUP(E346,Groups!A:A,Groups!U:U)=1,'Base stats'!BJ346,IF(OR(_xlfn.XLOOKUP(E346,Groups!A:A,Groups!BD:BD)=1,_xlfn.XLOOKUP(E346,Groups!A:A,Groups!U:U)=2),BG346,BH346))*1.2)</f>
        <v>No</v>
      </c>
      <c r="BJ346" s="8">
        <f>IFERROR(EXP(1.076*LN(AT346)-4.5397)*IF(_xlfn.XLOOKUP(E346,Groups!A:A,Groups!N:N)="Insect",1,IF(OR(_xlfn.XLOOKUP(E346,Groups!A:A,Groups!N:N)="Pig",_xlfn.XLOOKUP(E346,Groups!A:A,Groups!N:N)="StrongBitingHerbivore"),3.5,3.75)),"No")</f>
        <v>8.9805560363189283</v>
      </c>
      <c r="BK346" s="8">
        <f t="shared" si="172"/>
        <v>10</v>
      </c>
      <c r="BL346" s="8">
        <f t="shared" si="173"/>
        <v>7</v>
      </c>
      <c r="BM346" s="8" t="str">
        <f t="shared" si="174"/>
        <v>No</v>
      </c>
      <c r="BN346" s="8">
        <f t="shared" si="175"/>
        <v>7</v>
      </c>
      <c r="BO346" s="8">
        <f t="shared" si="176"/>
        <v>10</v>
      </c>
      <c r="BP346" s="8" cm="1">
        <f t="array" ref="BP346">IF(AND(_xlfn.XLOOKUP('Base stats'!E346,Groups!A:A,Groups!AD:AD=0),_xlfn.XLOOKUP('Base stats'!E346,Groups!A:A,Groups!P:P=0)),"No",IF(U346="No",AVERAGE(EXP(-0.57+0.99*LN(C346)),EXP(0.32+0.67*LN(C346)))/IF(_xlfn.XLOOKUP(E346,Groups!A:A,Groups!AD:AD)=1,10,2),(0.7354*C346^0.4078)*2/IF(_xlfn.XLOOKUP(E346,Groups!A:A,Groups!BK:BK)=1,1000,100)/IF(_xlfn.XLOOKUP(E346,Groups!A:A,Groups!AJ:AJ)="Photonozoa",3,1)))</f>
        <v>2.4514586359154919E-2</v>
      </c>
      <c r="BQ346" s="8" t="str">
        <f>IF(W346="No","No",IF(_xlfn.XLOOKUP(E346,Groups!A:A,Groups!BD:BD)=1,(AO346*5%),EXP(0.7354*LN(C346)^0.4078)*2/IF(_xlfn.XLOOKUP(E346,Groups!A:A,Groups!BL:BL)=1,1000,100)/IF(_xlfn.XLOOKUP(E346,Groups!A:A,Groups!AJ:AJ)="Photonozoa",3,1)))</f>
        <v>No</v>
      </c>
      <c r="BR346" s="8">
        <f>IF(BJ346="No","No",IF(_xlfn.XLOOKUP(E346,Groups!A:A,Groups!BF:BF)=1,(0.0315*C346+2.1825)*2,(0.7354*C346^0.4078)*2)/IF(_xlfn.XLOOKUP(E346,Groups!A:A,Groups!BM:BM)=1,1000,100)/IF(_xlfn.XLOOKUP(E346,Groups!A:A,Groups!AJ:AJ)="Photonozoa",3,1))</f>
        <v>2.4514586359154919E-2</v>
      </c>
      <c r="BS346" s="8">
        <f t="shared" si="177"/>
        <v>4.9008601078015142E-2</v>
      </c>
      <c r="BT346" s="8">
        <f t="shared" si="178"/>
        <v>380.39775401222323</v>
      </c>
      <c r="BU346" s="8" t="str">
        <f t="shared" si="179"/>
        <v>No</v>
      </c>
      <c r="BV346" s="8">
        <f t="shared" si="180"/>
        <v>366.33520569133157</v>
      </c>
      <c r="BW346" s="4">
        <v>0</v>
      </c>
      <c r="BX346" s="4">
        <v>1</v>
      </c>
    </row>
    <row r="347" spans="1:76" s="16" customFormat="1" x14ac:dyDescent="0.25">
      <c r="A347" s="26" t="s">
        <v>1966</v>
      </c>
      <c r="B347" s="6" t="s">
        <v>1967</v>
      </c>
      <c r="C347" s="7">
        <v>558</v>
      </c>
      <c r="D347" s="7" t="s">
        <v>1957</v>
      </c>
      <c r="E347" s="7" t="str">
        <f>Groups!$A$124</f>
        <v>Theropod (TEETHLESS ROAMER)</v>
      </c>
      <c r="F347" s="7" t="str">
        <f t="shared" si="185"/>
        <v>Lay eggs</v>
      </c>
      <c r="G347" s="7">
        <v>2.5</v>
      </c>
      <c r="H347" s="7">
        <v>15</v>
      </c>
      <c r="I347" s="4">
        <v>1</v>
      </c>
      <c r="J347" s="7" t="str">
        <f t="shared" si="190"/>
        <v>Lay eggs</v>
      </c>
      <c r="K347" s="7" t="s">
        <v>528</v>
      </c>
      <c r="L347" s="7">
        <f t="shared" ref="L347" si="192">25.58376714*POWER(C347,0.26411388)*(1-EXP(-20.40238232*POWER(C347,-0.59793981)))</f>
        <v>50.547543390502199</v>
      </c>
      <c r="M347" s="7" t="s">
        <v>2019</v>
      </c>
      <c r="N347" s="4">
        <v>0</v>
      </c>
      <c r="O347" s="4">
        <v>0</v>
      </c>
      <c r="P347" s="4">
        <v>0</v>
      </c>
      <c r="Q347" s="4">
        <v>0</v>
      </c>
      <c r="R347" s="4" t="s">
        <v>40</v>
      </c>
      <c r="S347" s="7">
        <f>_xlfn.XLOOKUP(B347,[1]TeethAdjusters!$A:$A,[1]BiteAdjusters!$C:$C,1)</f>
        <v>5.4636970278415457E-2</v>
      </c>
      <c r="T347" s="7">
        <f>_xlfn.XLOOKUP(B347,[1]TeethAdjusters!$A:$A,[1]TeethAdjusters!$B:$B,1)</f>
        <v>1</v>
      </c>
      <c r="U347" s="7" t="s">
        <v>45</v>
      </c>
      <c r="V347" s="7">
        <v>7.5</v>
      </c>
      <c r="W347" s="7" t="s">
        <v>45</v>
      </c>
      <c r="X347" s="7" t="s">
        <v>932</v>
      </c>
      <c r="Y347" s="4" t="s">
        <v>42</v>
      </c>
      <c r="Z347" s="4">
        <v>1</v>
      </c>
      <c r="AA347" s="4">
        <v>0</v>
      </c>
      <c r="AB347" s="4">
        <v>0</v>
      </c>
      <c r="AC347" s="4">
        <v>0</v>
      </c>
      <c r="AD347" s="4">
        <v>0</v>
      </c>
      <c r="AE347" s="4" t="s">
        <v>45</v>
      </c>
      <c r="AF347" s="4" t="s">
        <v>398</v>
      </c>
      <c r="AG347" s="49" t="s">
        <v>1970</v>
      </c>
      <c r="AH347" s="4" t="s">
        <v>45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4" t="s">
        <v>40</v>
      </c>
      <c r="AO347" s="8">
        <f t="shared" si="166"/>
        <v>67707.255185306058</v>
      </c>
      <c r="AP347" s="8">
        <f>IFERROR(C347*_xlfn.XLOOKUP(E347,Groups!A:A,Groups!K:K),0.106*C347^0.94)</f>
        <v>40.470820775560391</v>
      </c>
      <c r="AQ347" s="8">
        <f>AP347*10000/(_xlfn.XLOOKUP(E347,Groups!A:A,Groups!J:J)*AO347)</f>
        <v>5.4837835724481696</v>
      </c>
      <c r="AR347" s="8">
        <f t="shared" si="167"/>
        <v>11363.775819462819</v>
      </c>
      <c r="AS347" s="8">
        <f>IF(_xlfn.XLOOKUP(E347,Groups!A:A,Groups!M:M)=1,EXP(0.7444*LN('Base stats'!C347)+6.5696),EXP(0.7927*LN('Base stats'!C347)+4.28))</f>
        <v>10865.18966966946</v>
      </c>
      <c r="AT347" s="8">
        <f>IF(_xlfn.XLOOKUP(E347,Groups!A:A,Groups!N:N)="No","No",
IF(_xlfn.XLOOKUP(E347,Groups!A:A,Groups!N:N)="Crocodile",EXP(0.8129*LN(C347)+4.6742)*S347,
IF(_xlfn.XLOOKUP(E347,Groups!A:A,Groups!N:N)="Felid",EXP(0.7843*LN(C347)+4.7073)*S347,
IF(_xlfn.XLOOKUP(E347,Groups!A:A,Groups!N:N)="Canid",EXP(0.8367*LN(C347)+4.8763)*S347,
IF(_xlfn.XLOOKUP(E347,Groups!A:A,Groups!N:N)="Pig",EXP(0.3439*LN(C347)+6.8519)*S347,
IF(_xlfn.XLOOKUP(E347,Groups!A:A,Groups!N:N)="Rodent",EXP(0.5625*LN(C347)+4.3006)*S347,
IF(_xlfn.XLOOKUP(E347,Groups!A:A,Groups!N:N)="Primate",EXP(0.7847*LN(C347)+3.4931)*S347,
IF(_xlfn.XLOOKUP(E347,Groups!A:A,Groups!N:N)="MiscCarnivora",EXP(0.7486*LN(C347)+4.2207)*S347,
IF(_xlfn.XLOOKUP(E347,Groups!A:A,Groups!N:N)="Lizard",EXP(0.7733*LN(C347)+5.5303)*S347,
IF(_xlfn.XLOOKUP(E347,Groups!A:A,Groups!N:N)="Snake",50*C347^(2/3)*S347,
IF(_xlfn.XLOOKUP(E347,Groups!A:A,Groups!N:N)="StrongBitingHerbivore",87.1133638856975*C347^(2/3)*S347,
IF(_xlfn.XLOOKUP(E347,Groups!A:A,Groups!N:N)="MiscEctotherms",59.4316884072269*C347^(2/3)*S347,
IF(_xlfn.XLOOKUP(E347,Groups!A:A,Groups!N:N)="StrongBeakBird",0.041*(C347*1000)^1.375*S347,
IF(_xlfn.XLOOKUP(E347,Groups!A:A,Groups!N:N)="Bird",0.118*(C347*1000)^0.692*S347,
IF(_xlfn.XLOOKUP(E347,Groups!A:A,Groups!N:N)="Insect",EXP(0.7444*LN(C347)+6.5696)*S347,
IF(_xlfn.XLOOKUP(E347,Groups!A:A,Groups!N:N)="Theropod",EXP(0.6966*LN(C347)+4.158)*S347,
"No"))))))))))))))))</f>
        <v>286.14650621518092</v>
      </c>
      <c r="AU347" s="8">
        <f>IF(_xlfn.XLOOKUP(E347,Groups!A:A,Groups!U:U)=3,AS347,IF(_xlfn.XLOOKUP(E347,Groups!A:A,Groups!U:U)=2,AR347,AT347))</f>
        <v>286.14650621518092</v>
      </c>
      <c r="AV347" s="46">
        <f>IFERROR(AVERAGE(_xlfn.XLOOKUP(B347,Animals!B:B,Animals!N:N),_xlfn.XLOOKUP(B347,Animals!B:B,Animals!O:O)),0)</f>
        <v>0</v>
      </c>
      <c r="AW347" s="8">
        <f>MROUND(40*Animals!AO347*_xlfn.XLOOKUP(AG347,Leathers!$A$2:$A$99,Leathers!$B$2:$B$99,0)+(140*_xlfn.XLOOKUP(B347,Animals!B:B,Animals!AO:AO)*2),5)</f>
        <v>840</v>
      </c>
      <c r="AX347" s="8">
        <f>IFERROR(ROUND(SQRT(V347-1)*IF(_xlfn.XLOOKUP(E347,Groups!A:A,Groups!BF:BF)=0,2,1)*IF(_xlfn.XLOOKUP('Base stats'!E347,Groups!A:A,Groups!O:O)=0,1,0.1),1),0)</f>
        <v>0.5</v>
      </c>
      <c r="AY347" s="8">
        <f t="shared" si="168"/>
        <v>0</v>
      </c>
      <c r="AZ347" s="8">
        <f t="shared" si="169"/>
        <v>0</v>
      </c>
      <c r="BA347" s="8">
        <f t="shared" si="170"/>
        <v>7.7</v>
      </c>
      <c r="BB347" s="8">
        <f>IF(_xlfn.XLOOKUP(E347,Groups!A:A,Groups!N:N)="Insect",BD347*2.5,IFERROR(AVERAGE(BD347,AT347/9.81/IF(OR(_xlfn.XLOOKUP(E347,Groups!A:A,Groups!N:N)="Pig",_xlfn.XLOOKUP(E347,Groups!A:A,Groups!N:N)="StrongBitingHerbivore"),20,25))*C347^-0.135,BD347))</f>
        <v>1.2311050855739976</v>
      </c>
      <c r="BC347" s="8" t="str">
        <f>IF(W347="No","No",IF(_xlfn.XLOOKUP(E347,Groups!A:A,Groups!U:U)=1,'Base stats'!BB347,IF(OR(_xlfn.XLOOKUP(E347,Groups!A:A,Groups!BD:BD)=1,_xlfn.XLOOKUP(E347,Groups!A:A,Groups!U:U)=2),BD347,IF(_xlfn.XLOOKUP(B347,Animals!B:B,Animals!AO:AO)&gt;4,AVERAGE(BD347,BF347),BF347))))</f>
        <v>No</v>
      </c>
      <c r="BD347" s="8">
        <f t="shared" si="171"/>
        <v>4.6158135000299305</v>
      </c>
      <c r="BE347" s="8">
        <f>IF(_xlfn.XLOOKUP(E347,Groups!A:A,Groups!BE:BE)=1,(0.048*C347^1.01)+(0.071*C347^1.03),0.071*C347^1.03)/IF(_xlfn.XLOOKUP(E347,Groups!A:A,Groups!M:M)=1,0.85,IF(OR(_xlfn.XLOOKUP(B347,Animals!B:B,Animals!AO:AO)&gt;4,_xlfn.XLOOKUP(E347,Groups!A:A,Groups!BC:BC)=1),1.7,1))*C347^-0.25</f>
        <v>15.725074357128824</v>
      </c>
      <c r="BF347" s="8">
        <f>(0.048*C347^1.01)/IF(_xlfn.XLOOKUP(E347,Groups!A:A,Groups!M:M)=1,0.25,0.8)*C347^-0.25</f>
        <v>7.3382624755370971</v>
      </c>
      <c r="BG347" s="8">
        <f>EXP(1.076*LN(AR347)-4.5397)*IF(_xlfn.XLOOKUP(E347,Groups!A:A,Groups!BC:BC)=1,1.25,IF(_xlfn.XLOOKUP(E347,Groups!A:A,Groups!BD:BD)=1,3.5,2.5))</f>
        <v>616.75933098492965</v>
      </c>
      <c r="BH347" s="8">
        <f>EXP(1.076*LN(AS347)-4.5397)*IF(_xlfn.XLOOKUP(E347,Groups!A:A,Groups!M:M)=1,0.8,IF(_xlfn.XLOOKUP(E347,Groups!A:A,Groups!BC:BC)=1,1.3,3))</f>
        <v>705.22994214736013</v>
      </c>
      <c r="BI347" s="8" t="str">
        <f>IF(W347="No","No",IF(_xlfn.XLOOKUP(E347,Groups!A:A,Groups!U:U)=1,'Base stats'!BJ347,IF(OR(_xlfn.XLOOKUP(E347,Groups!A:A,Groups!BD:BD)=1,_xlfn.XLOOKUP(E347,Groups!A:A,Groups!U:U)=2),BG347,BH347))*1.2)</f>
        <v>No</v>
      </c>
      <c r="BJ347" s="8">
        <f>IFERROR(EXP(1.076*LN(AT347)-4.5397)*IF(_xlfn.XLOOKUP(E347,Groups!A:A,Groups!N:N)="Insect",1,IF(OR(_xlfn.XLOOKUP(E347,Groups!A:A,Groups!N:N)="Pig",_xlfn.XLOOKUP(E347,Groups!A:A,Groups!N:N)="StrongBitingHerbivore"),3.5,3.75)),"No")</f>
        <v>17.609773818669773</v>
      </c>
      <c r="BK347" s="8">
        <f t="shared" si="172"/>
        <v>16</v>
      </c>
      <c r="BL347" s="8">
        <f t="shared" si="173"/>
        <v>9</v>
      </c>
      <c r="BM347" s="8" t="str">
        <f t="shared" si="174"/>
        <v>No</v>
      </c>
      <c r="BN347" s="8">
        <f t="shared" si="175"/>
        <v>5</v>
      </c>
      <c r="BO347" s="8">
        <f t="shared" si="176"/>
        <v>13</v>
      </c>
      <c r="BP347" s="8" t="str" cm="1">
        <f t="array" ref="BP347">IF(AND(_xlfn.XLOOKUP('Base stats'!E347,Groups!A:A,Groups!AD:AD=0),_xlfn.XLOOKUP('Base stats'!E347,Groups!A:A,Groups!P:P=0)),"No",IF(U347="No",AVERAGE(EXP(-0.57+0.99*LN(C347)),EXP(0.32+0.67*LN(C347)))/IF(_xlfn.XLOOKUP(E347,Groups!A:A,Groups!AD:AD)=1,10,2),(0.7354*C347^0.4078)*2/IF(_xlfn.XLOOKUP(E347,Groups!A:A,Groups!BK:BK)=1,1000,100)/IF(_xlfn.XLOOKUP(E347,Groups!A:A,Groups!AJ:AJ)="Photonozoa",3,1)))</f>
        <v>No</v>
      </c>
      <c r="BQ347" s="8" t="str">
        <f>IF(W347="No","No",IF(_xlfn.XLOOKUP(E347,Groups!A:A,Groups!BD:BD)=1,(AO347*5%),EXP(0.7354*LN(C347)^0.4078)*2/IF(_xlfn.XLOOKUP(E347,Groups!A:A,Groups!BL:BL)=1,1000,100)/IF(_xlfn.XLOOKUP(E347,Groups!A:A,Groups!AJ:AJ)="Photonozoa",3,1)))</f>
        <v>No</v>
      </c>
      <c r="BR347" s="8">
        <f>IF(BJ347="No","No",IF(_xlfn.XLOOKUP(E347,Groups!A:A,Groups!BF:BF)=1,(0.0315*C347+2.1825)*2,(0.7354*C347^0.4078)*2)/IF(_xlfn.XLOOKUP(E347,Groups!A:A,Groups!BM:BM)=1,1000,100)/IF(_xlfn.XLOOKUP(E347,Groups!A:A,Groups!AJ:AJ)="Photonozoa",3,1))</f>
        <v>0.19392377089196167</v>
      </c>
      <c r="BS347" s="8">
        <f t="shared" si="177"/>
        <v>0.18218411876155327</v>
      </c>
      <c r="BT347" s="8" t="str">
        <f t="shared" si="178"/>
        <v>No</v>
      </c>
      <c r="BU347" s="8" t="str">
        <f t="shared" si="179"/>
        <v>No</v>
      </c>
      <c r="BV347" s="8">
        <f t="shared" si="180"/>
        <v>90.807711389236985</v>
      </c>
      <c r="BW347" s="4">
        <v>0</v>
      </c>
      <c r="BX347" s="4">
        <v>1</v>
      </c>
    </row>
    <row r="348" spans="1:76" s="16" customFormat="1" x14ac:dyDescent="0.25">
      <c r="A348" s="26" t="s">
        <v>1968</v>
      </c>
      <c r="B348" s="6" t="s">
        <v>1969</v>
      </c>
      <c r="C348" s="7">
        <v>2092</v>
      </c>
      <c r="D348" s="7" t="s">
        <v>1957</v>
      </c>
      <c r="E348" s="7" t="str">
        <f>Groups!$A$123</f>
        <v>Theropod (CLAWED, TEETHLESS)</v>
      </c>
      <c r="F348" s="7" t="str">
        <f t="shared" si="185"/>
        <v>Lay eggs</v>
      </c>
      <c r="G348" s="7">
        <v>10</v>
      </c>
      <c r="H348" s="7">
        <f>AVERAGE(22,28)</f>
        <v>25</v>
      </c>
      <c r="I348" s="4">
        <v>1</v>
      </c>
      <c r="J348" s="7" t="str">
        <f t="shared" si="190"/>
        <v>Lay eggs</v>
      </c>
      <c r="K348" s="7" t="s">
        <v>528</v>
      </c>
      <c r="L348" s="7">
        <f t="shared" ref="L348" si="193">25.58376714*POWER(C348,0.26411388)*(1-EXP(-20.40238232*POWER(C348,-0.59793981)))</f>
        <v>36.656667918192703</v>
      </c>
      <c r="M348" s="7" t="s">
        <v>2019</v>
      </c>
      <c r="N348" s="4">
        <v>0</v>
      </c>
      <c r="O348" s="4">
        <v>0</v>
      </c>
      <c r="P348" s="4">
        <v>0</v>
      </c>
      <c r="Q348" s="4">
        <v>0</v>
      </c>
      <c r="R348" s="4" t="s">
        <v>40</v>
      </c>
      <c r="S348" s="7">
        <f>_xlfn.XLOOKUP(B348,[1]TeethAdjusters!$A:$A,[1]BiteAdjusters!$C:$C,1)</f>
        <v>1</v>
      </c>
      <c r="T348" s="7">
        <f>_xlfn.XLOOKUP(B348,[1]TeethAdjusters!$A:$A,[1]TeethAdjusters!$B:$B,1)</f>
        <v>1</v>
      </c>
      <c r="U348" s="7">
        <v>15</v>
      </c>
      <c r="V348" s="7">
        <v>12</v>
      </c>
      <c r="W348" s="7" t="s">
        <v>45</v>
      </c>
      <c r="X348" s="7" t="s">
        <v>932</v>
      </c>
      <c r="Y348" s="4" t="s">
        <v>1003</v>
      </c>
      <c r="Z348" s="4">
        <v>1</v>
      </c>
      <c r="AA348" s="4">
        <v>0</v>
      </c>
      <c r="AB348" s="4">
        <v>0</v>
      </c>
      <c r="AC348" s="4">
        <v>0</v>
      </c>
      <c r="AD348" s="4">
        <v>0</v>
      </c>
      <c r="AE348" s="4" t="s">
        <v>45</v>
      </c>
      <c r="AF348" s="4" t="s">
        <v>311</v>
      </c>
      <c r="AG348" s="49" t="s">
        <v>1970</v>
      </c>
      <c r="AH348" s="4" t="s">
        <v>45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4" t="s">
        <v>40</v>
      </c>
      <c r="AO348" s="8">
        <f t="shared" si="166"/>
        <v>159840.95693203792</v>
      </c>
      <c r="AP348" s="8">
        <f>IFERROR(C348*_xlfn.XLOOKUP(E348,Groups!A:A,Groups!K:K),0.106*C348^0.94)</f>
        <v>140.16314853572223</v>
      </c>
      <c r="AQ348" s="8">
        <f>AP348*10000/(_xlfn.XLOOKUP(E348,Groups!A:A,Groups!J:J)*AO348)</f>
        <v>8.0448745425654682</v>
      </c>
      <c r="AR348" s="8">
        <f t="shared" si="167"/>
        <v>34699.17913258294</v>
      </c>
      <c r="AS348" s="8">
        <f>IF(_xlfn.XLOOKUP(E348,Groups!A:A,Groups!M:M)=1,EXP(0.7444*LN('Base stats'!C348)+6.5696),EXP(0.7927*LN('Base stats'!C348)+4.28))</f>
        <v>30973.453151048288</v>
      </c>
      <c r="AT348" s="8">
        <f>IF(_xlfn.XLOOKUP(E348,Groups!A:A,Groups!N:N)="No","No",
IF(_xlfn.XLOOKUP(E348,Groups!A:A,Groups!N:N)="Crocodile",EXP(0.8129*LN(C348)+4.6742)*S348,
IF(_xlfn.XLOOKUP(E348,Groups!A:A,Groups!N:N)="Felid",EXP(0.7843*LN(C348)+4.7073)*S348,
IF(_xlfn.XLOOKUP(E348,Groups!A:A,Groups!N:N)="Canid",EXP(0.8367*LN(C348)+4.8763)*S348,
IF(_xlfn.XLOOKUP(E348,Groups!A:A,Groups!N:N)="Pig",EXP(0.3439*LN(C348)+6.8519)*S348,
IF(_xlfn.XLOOKUP(E348,Groups!A:A,Groups!N:N)="Rodent",EXP(0.5625*LN(C348)+4.3006)*S348,
IF(_xlfn.XLOOKUP(E348,Groups!A:A,Groups!N:N)="Primate",EXP(0.7847*LN(C348)+3.4931)*S348,
IF(_xlfn.XLOOKUP(E348,Groups!A:A,Groups!N:N)="MiscCarnivora",EXP(0.7486*LN(C348)+4.2207)*S348,
IF(_xlfn.XLOOKUP(E348,Groups!A:A,Groups!N:N)="Lizard",EXP(0.7733*LN(C348)+5.5303)*S348,
IF(_xlfn.XLOOKUP(E348,Groups!A:A,Groups!N:N)="Snake",50*C348^(2/3)*S348,
IF(_xlfn.XLOOKUP(E348,Groups!A:A,Groups!N:N)="StrongBitingHerbivore",87.1133638856975*C348^(2/3)*S348,
IF(_xlfn.XLOOKUP(E348,Groups!A:A,Groups!N:N)="MiscEctotherms",59.4316884072269*C348^(2/3)*S348,
IF(_xlfn.XLOOKUP(E348,Groups!A:A,Groups!N:N)="StrongBeakBird",0.041*(C348*1000)^1.375*S348,
IF(_xlfn.XLOOKUP(E348,Groups!A:A,Groups!N:N)="Bird",0.118*(C348*1000)^0.692*S348,
IF(_xlfn.XLOOKUP(E348,Groups!A:A,Groups!N:N)="Insect",EXP(0.7444*LN(C348)+6.5696)*S348,
IF(_xlfn.XLOOKUP(E348,Groups!A:A,Groups!N:N)="Theropod",EXP(0.6966*LN(C348)+4.158)*S348,
"No"))))))))))))))))</f>
        <v>13149.211841784941</v>
      </c>
      <c r="AU348" s="8">
        <f>IF(_xlfn.XLOOKUP(E348,Groups!A:A,Groups!U:U)=3,AS348,IF(_xlfn.XLOOKUP(E348,Groups!A:A,Groups!U:U)=2,AR348,AT348))</f>
        <v>13149.211841784941</v>
      </c>
      <c r="AV348" s="46">
        <f>IFERROR(AVERAGE(_xlfn.XLOOKUP(B348,Animals!B:B,Animals!N:N),_xlfn.XLOOKUP(B348,Animals!B:B,Animals!O:O)),0)</f>
        <v>0</v>
      </c>
      <c r="AW348" s="8">
        <f>MROUND(40*Animals!AO348*_xlfn.XLOOKUP(AG348,Leathers!$A$2:$A$99,Leathers!$B$2:$B$99,0)+(140*_xlfn.XLOOKUP(B348,Animals!B:B,Animals!AO:AO)*2),5)</f>
        <v>1050</v>
      </c>
      <c r="AX348" s="8">
        <f>IFERROR(ROUND(SQRT(V348-1)*IF(_xlfn.XLOOKUP(E348,Groups!A:A,Groups!BF:BF)=0,2,1)*IF(_xlfn.XLOOKUP('Base stats'!E348,Groups!A:A,Groups!O:O)=0,1,0.1),1),0)</f>
        <v>0.7</v>
      </c>
      <c r="AY348" s="8">
        <f t="shared" si="168"/>
        <v>3.7</v>
      </c>
      <c r="AZ348" s="8">
        <f t="shared" si="169"/>
        <v>0</v>
      </c>
      <c r="BA348" s="8">
        <f t="shared" si="170"/>
        <v>12.4</v>
      </c>
      <c r="BB348" s="8">
        <f>IF(_xlfn.XLOOKUP(E348,Groups!A:A,Groups!N:N)="Insect",BD348*2.5,IFERROR(AVERAGE(BD348,AT348/9.81/IF(OR(_xlfn.XLOOKUP(E348,Groups!A:A,Groups!N:N)="Pig",_xlfn.XLOOKUP(E348,Groups!A:A,Groups!N:N)="StrongBitingHerbivore"),20,25))*C348^-0.135,BD348))</f>
        <v>11.776406481723548</v>
      </c>
      <c r="BC348" s="8" t="str">
        <f>IF(W348="No","No",IF(_xlfn.XLOOKUP(E348,Groups!A:A,Groups!U:U)=1,'Base stats'!BB348,IF(OR(_xlfn.XLOOKUP(E348,Groups!A:A,Groups!BD:BD)=1,_xlfn.XLOOKUP(E348,Groups!A:A,Groups!U:U)=2),BD348,IF(_xlfn.XLOOKUP(B348,Animals!B:B,Animals!AO:AO)&gt;4,AVERAGE(BD348,BF348),BF348))))</f>
        <v>No</v>
      </c>
      <c r="BD348" s="8">
        <f t="shared" si="171"/>
        <v>12.502290155959127</v>
      </c>
      <c r="BE348" s="8">
        <f>IF(_xlfn.XLOOKUP(E348,Groups!A:A,Groups!BE:BE)=1,(0.048*C348^1.01)+(0.071*C348^1.03),0.071*C348^1.03)/IF(_xlfn.XLOOKUP(E348,Groups!A:A,Groups!M:M)=1,0.85,IF(OR(_xlfn.XLOOKUP(B348,Animals!B:B,Animals!AO:AO)&gt;4,_xlfn.XLOOKUP(E348,Groups!A:A,Groups!BC:BC)=1),1.7,1))*C348^-0.25</f>
        <v>43.652215269200546</v>
      </c>
      <c r="BF348" s="8">
        <f>(0.048*C348^1.01)/IF(_xlfn.XLOOKUP(E348,Groups!A:A,Groups!M:M)=1,0.25,0.8)*C348^-0.25</f>
        <v>20.034482428351939</v>
      </c>
      <c r="BG348" s="8">
        <f>EXP(1.076*LN(AR348)-4.5397)*IF(_xlfn.XLOOKUP(E348,Groups!A:A,Groups!BC:BC)=1,1.25,IF(_xlfn.XLOOKUP(E348,Groups!A:A,Groups!BD:BD)=1,3.5,2.5))</f>
        <v>2050.0139170869688</v>
      </c>
      <c r="BH348" s="8">
        <f>EXP(1.076*LN(AS348)-4.5397)*IF(_xlfn.XLOOKUP(E348,Groups!A:A,Groups!M:M)=1,0.8,IF(_xlfn.XLOOKUP(E348,Groups!A:A,Groups!BC:BC)=1,1.3,3))</f>
        <v>2177.0050339286122</v>
      </c>
      <c r="BI348" s="8" t="str">
        <f>IF(W348="No","No",IF(_xlfn.XLOOKUP(E348,Groups!A:A,Groups!U:U)=1,'Base stats'!BJ348,IF(OR(_xlfn.XLOOKUP(E348,Groups!A:A,Groups!BD:BD)=1,_xlfn.XLOOKUP(E348,Groups!A:A,Groups!U:U)=2),BG348,BH348))*1.2)</f>
        <v>No</v>
      </c>
      <c r="BJ348" s="8">
        <f>IFERROR(EXP(1.076*LN(AT348)-4.5397)*IF(_xlfn.XLOOKUP(E348,Groups!A:A,Groups!N:N)="Insect",1,IF(OR(_xlfn.XLOOKUP(E348,Groups!A:A,Groups!N:N)="Pig",_xlfn.XLOOKUP(E348,Groups!A:A,Groups!N:N)="StrongBitingHerbivore"),3.5,3.75)),"No")</f>
        <v>1082.4322154484664</v>
      </c>
      <c r="BK348" s="8">
        <f t="shared" si="172"/>
        <v>18</v>
      </c>
      <c r="BL348" s="8">
        <f t="shared" si="173"/>
        <v>9</v>
      </c>
      <c r="BM348" s="8" t="str">
        <f t="shared" si="174"/>
        <v>No</v>
      </c>
      <c r="BN348" s="8">
        <f t="shared" si="175"/>
        <v>13</v>
      </c>
      <c r="BO348" s="8">
        <f t="shared" si="176"/>
        <v>14</v>
      </c>
      <c r="BP348" s="8" cm="1">
        <f t="array" ref="BP348">IF(AND(_xlfn.XLOOKUP('Base stats'!E348,Groups!A:A,Groups!AD:AD=0),_xlfn.XLOOKUP('Base stats'!E348,Groups!A:A,Groups!P:P=0)),"No",IF(U348="No",AVERAGE(EXP(-0.57+0.99*LN(C348)),EXP(0.32+0.67*LN(C348)))/IF(_xlfn.XLOOKUP(E348,Groups!A:A,Groups!AD:AD)=1,10,2),(0.7354*C348^0.4078)*2/IF(_xlfn.XLOOKUP(E348,Groups!A:A,Groups!BK:BK)=1,1000,100)/IF(_xlfn.XLOOKUP(E348,Groups!A:A,Groups!AJ:AJ)="Photonozoa",3,1)))</f>
        <v>0.33241351631299432</v>
      </c>
      <c r="BQ348" s="8" t="str">
        <f>IF(W348="No","No",IF(_xlfn.XLOOKUP(E348,Groups!A:A,Groups!BD:BD)=1,(AO348*5%),EXP(0.7354*LN(C348)^0.4078)*2/IF(_xlfn.XLOOKUP(E348,Groups!A:A,Groups!BL:BL)=1,1000,100)/IF(_xlfn.XLOOKUP(E348,Groups!A:A,Groups!AJ:AJ)="Photonozoa",3,1)))</f>
        <v>No</v>
      </c>
      <c r="BR348" s="8">
        <f>IF(BJ348="No","No",IF(_xlfn.XLOOKUP(E348,Groups!A:A,Groups!BF:BF)=1,(0.0315*C348+2.1825)*2,(0.7354*C348^0.4078)*2)/IF(_xlfn.XLOOKUP(E348,Groups!A:A,Groups!BM:BM)=1,1000,100)/IF(_xlfn.XLOOKUP(E348,Groups!A:A,Groups!AJ:AJ)="Photonozoa",3,1))</f>
        <v>0.33241351631299432</v>
      </c>
      <c r="BS348" s="8">
        <f t="shared" si="177"/>
        <v>0.25650671222627941</v>
      </c>
      <c r="BT348" s="8">
        <f t="shared" si="178"/>
        <v>6549.0869868203108</v>
      </c>
      <c r="BU348" s="8" t="str">
        <f t="shared" si="179"/>
        <v>No</v>
      </c>
      <c r="BV348" s="8">
        <f t="shared" si="180"/>
        <v>3256.2821977108433</v>
      </c>
      <c r="BW348" s="4">
        <v>0</v>
      </c>
      <c r="BX348" s="4">
        <v>1</v>
      </c>
    </row>
    <row r="349" spans="1:76" s="16" customFormat="1" x14ac:dyDescent="0.25">
      <c r="A349" s="26" t="s">
        <v>1971</v>
      </c>
      <c r="B349" s="6" t="s">
        <v>1972</v>
      </c>
      <c r="C349" s="7">
        <v>3775.7</v>
      </c>
      <c r="D349" s="7" t="s">
        <v>2001</v>
      </c>
      <c r="E349" s="7" t="str">
        <f>Groups!$A$131</f>
        <v>Hadrosaurid (AGGRESSIVE)</v>
      </c>
      <c r="F349" s="7" t="str">
        <f t="shared" si="185"/>
        <v>Lay eggs</v>
      </c>
      <c r="G349" s="7">
        <v>3</v>
      </c>
      <c r="H349" s="7">
        <v>15</v>
      </c>
      <c r="I349" s="4">
        <v>1</v>
      </c>
      <c r="J349" s="7" t="str">
        <f t="shared" si="190"/>
        <v>Lay eggs</v>
      </c>
      <c r="K349" s="7" t="s">
        <v>2020</v>
      </c>
      <c r="L349" s="7">
        <f t="shared" ref="L349:L353" si="194">25.58376714*POWER(C349,0.26411388)*(1-EXP(-20.40238232*POWER(C349,-0.59793981)))</f>
        <v>31.02892696443805</v>
      </c>
      <c r="M349" s="7" t="s">
        <v>2019</v>
      </c>
      <c r="N349" s="4">
        <v>0</v>
      </c>
      <c r="O349" s="4">
        <v>0</v>
      </c>
      <c r="P349" s="4">
        <v>0</v>
      </c>
      <c r="Q349" s="4">
        <v>0</v>
      </c>
      <c r="R349" s="4" t="s">
        <v>40</v>
      </c>
      <c r="S349" s="7">
        <f>_xlfn.XLOOKUP(B349,[1]TeethAdjusters!$A:$A,[1]BiteAdjusters!$C:$C,1)</f>
        <v>1</v>
      </c>
      <c r="T349" s="7">
        <f>_xlfn.XLOOKUP(B349,[1]TeethAdjusters!$A:$A,[1]TeethAdjusters!$B:$B,1)</f>
        <v>1</v>
      </c>
      <c r="U349" s="7">
        <v>14</v>
      </c>
      <c r="V349" s="7">
        <v>12</v>
      </c>
      <c r="W349" s="7" t="s">
        <v>45</v>
      </c>
      <c r="X349" s="7" t="s">
        <v>932</v>
      </c>
      <c r="Y349" s="4" t="s">
        <v>42</v>
      </c>
      <c r="Z349" s="4">
        <v>1</v>
      </c>
      <c r="AA349" s="4">
        <v>0</v>
      </c>
      <c r="AB349" s="4">
        <v>0</v>
      </c>
      <c r="AC349" s="4">
        <v>0</v>
      </c>
      <c r="AD349" s="4">
        <v>0</v>
      </c>
      <c r="AE349" s="4" t="s">
        <v>45</v>
      </c>
      <c r="AF349" s="4" t="s">
        <v>311</v>
      </c>
      <c r="AG349" s="49" t="s">
        <v>1970</v>
      </c>
      <c r="AH349" s="4" t="s">
        <v>45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4" t="s">
        <v>40</v>
      </c>
      <c r="AO349" s="8">
        <f t="shared" si="166"/>
        <v>234623.4090459662</v>
      </c>
      <c r="AP349" s="8">
        <f>IFERROR(C349*_xlfn.XLOOKUP(E349,Groups!A:A,Groups!K:K),0.106*C349^0.94)</f>
        <v>244.16504866889744</v>
      </c>
      <c r="AQ349" s="8">
        <f>AP349*10000/(_xlfn.XLOOKUP(E349,Groups!A:A,Groups!J:J)*AO349)</f>
        <v>9.5474118595916426</v>
      </c>
      <c r="AR349" s="8">
        <f t="shared" si="167"/>
        <v>57138.721805700079</v>
      </c>
      <c r="AS349" s="8">
        <f>IF(_xlfn.XLOOKUP(E349,Groups!A:A,Groups!M:M)=1,EXP(0.7444*LN('Base stats'!C349)+6.5696),EXP(0.7927*LN('Base stats'!C349)+4.28))</f>
        <v>49461.386335880161</v>
      </c>
      <c r="AT349" s="8">
        <f>IF(_xlfn.XLOOKUP(E349,Groups!A:A,Groups!N:N)="No","No",
IF(_xlfn.XLOOKUP(E349,Groups!A:A,Groups!N:N)="Crocodile",EXP(0.8129*LN(C349)+4.6742)*S349,
IF(_xlfn.XLOOKUP(E349,Groups!A:A,Groups!N:N)="Felid",EXP(0.7843*LN(C349)+4.7073)*S349,
IF(_xlfn.XLOOKUP(E349,Groups!A:A,Groups!N:N)="Canid",EXP(0.8367*LN(C349)+4.8763)*S349,
IF(_xlfn.XLOOKUP(E349,Groups!A:A,Groups!N:N)="Pig",EXP(0.3439*LN(C349)+6.8519)*S349,
IF(_xlfn.XLOOKUP(E349,Groups!A:A,Groups!N:N)="Rodent",EXP(0.5625*LN(C349)+4.3006)*S349,
IF(_xlfn.XLOOKUP(E349,Groups!A:A,Groups!N:N)="Primate",EXP(0.7847*LN(C349)+3.4931)*S349,
IF(_xlfn.XLOOKUP(E349,Groups!A:A,Groups!N:N)="MiscCarnivora",EXP(0.7486*LN(C349)+4.2207)*S349,
IF(_xlfn.XLOOKUP(E349,Groups!A:A,Groups!N:N)="Lizard",EXP(0.7733*LN(C349)+5.5303)*S349,
IF(_xlfn.XLOOKUP(E349,Groups!A:A,Groups!N:N)="Snake",50*C349^(2/3)*S349,
IF(_xlfn.XLOOKUP(E349,Groups!A:A,Groups!N:N)="StrongBitingHerbivore",87.1133638856975*C349^(2/3)*S349,
IF(_xlfn.XLOOKUP(E349,Groups!A:A,Groups!N:N)="MiscEctotherms",59.4316884072269*C349^(2/3)*S349,
IF(_xlfn.XLOOKUP(E349,Groups!A:A,Groups!N:N)="StrongBeakBird",0.041*(C349*1000)^1.375*S349,
IF(_xlfn.XLOOKUP(E349,Groups!A:A,Groups!N:N)="Bird",0.118*(C349*1000)^0.692*S349,
IF(_xlfn.XLOOKUP(E349,Groups!A:A,Groups!N:N)="Insect",EXP(0.7444*LN(C349)+6.5696)*S349,
IF(_xlfn.XLOOKUP(E349,Groups!A:A,Groups!N:N)="Theropod",EXP(0.6966*LN(C349)+4.158)*S349,
"No"))))))))))))))))</f>
        <v>21122.71653961459</v>
      </c>
      <c r="AU349" s="8">
        <f>IF(_xlfn.XLOOKUP(E349,Groups!A:A,Groups!U:U)=3,AS349,IF(_xlfn.XLOOKUP(E349,Groups!A:A,Groups!U:U)=2,AR349,AT349))</f>
        <v>21122.71653961459</v>
      </c>
      <c r="AV349" s="46">
        <f>IFERROR(AVERAGE(_xlfn.XLOOKUP(B349,Animals!B:B,Animals!N:N),_xlfn.XLOOKUP(B349,Animals!B:B,Animals!O:O)),0)</f>
        <v>0</v>
      </c>
      <c r="AW349" s="8">
        <f>MROUND(40*Animals!AO349*_xlfn.XLOOKUP(AG349,Leathers!$A$2:$A$99,Leathers!$B$2:$B$99,0)+(140*_xlfn.XLOOKUP(B349,Animals!B:B,Animals!AO:AO)*2),5)</f>
        <v>1330</v>
      </c>
      <c r="AX349" s="8">
        <f>IFERROR(ROUND(SQRT(V349-1)*IF(_xlfn.XLOOKUP(E349,Groups!A:A,Groups!BF:BF)=0,2,1)*IF(_xlfn.XLOOKUP('Base stats'!E349,Groups!A:A,Groups!O:O)=0,1,0.1),1),0)</f>
        <v>3.3</v>
      </c>
      <c r="AY349" s="8">
        <f t="shared" si="168"/>
        <v>3.6</v>
      </c>
      <c r="AZ349" s="8">
        <f t="shared" si="169"/>
        <v>0</v>
      </c>
      <c r="BA349" s="8">
        <f t="shared" si="170"/>
        <v>15.3</v>
      </c>
      <c r="BB349" s="8">
        <f>IF(_xlfn.XLOOKUP(E349,Groups!A:A,Groups!N:N)="Insect",BD349*2.5,IFERROR(AVERAGE(BD349,AT349/9.81/IF(OR(_xlfn.XLOOKUP(E349,Groups!A:A,Groups!N:N)="Pig",_xlfn.XLOOKUP(E349,Groups!A:A,Groups!N:N)="StrongBitingHerbivore"),20,25))*C349^-0.135,BD349))</f>
        <v>20.915583627004256</v>
      </c>
      <c r="BC349" s="8" t="str">
        <f>IF(W349="No","No",IF(_xlfn.XLOOKUP(E349,Groups!A:A,Groups!U:U)=1,'Base stats'!BB349,IF(OR(_xlfn.XLOOKUP(E349,Groups!A:A,Groups!BD:BD)=1,_xlfn.XLOOKUP(E349,Groups!A:A,Groups!U:U)=2),BD349,IF(_xlfn.XLOOKUP(B349,Animals!B:B,Animals!AO:AO)&gt;4,AVERAGE(BD349,BF349),BF349))))</f>
        <v>No</v>
      </c>
      <c r="BD349" s="8">
        <f t="shared" si="171"/>
        <v>19.51381425972005</v>
      </c>
      <c r="BE349" s="8">
        <f>IF(_xlfn.XLOOKUP(E349,Groups!A:A,Groups!BE:BE)=1,(0.048*C349^1.01)+(0.071*C349^1.03),0.071*C349^1.03)/IF(_xlfn.XLOOKUP(E349,Groups!A:A,Groups!M:M)=1,0.85,IF(OR(_xlfn.XLOOKUP(B349,Animals!B:B,Animals!AO:AO)&gt;4,_xlfn.XLOOKUP(E349,Groups!A:A,Groups!BC:BC)=1),1.7,1))*C349^-0.25</f>
        <v>25.755350333369297</v>
      </c>
      <c r="BF349" s="8">
        <f>(0.048*C349^1.01)/IF(_xlfn.XLOOKUP(E349,Groups!A:A,Groups!M:M)=1,0.25,0.8)*C349^-0.25</f>
        <v>31.381184708430624</v>
      </c>
      <c r="BG349" s="8">
        <f>EXP(1.076*LN(AR349)-4.5397)*IF(_xlfn.XLOOKUP(E349,Groups!A:A,Groups!BC:BC)=1,1.25,IF(_xlfn.XLOOKUP(E349,Groups!A:A,Groups!BD:BD)=1,3.5,2.5))</f>
        <v>1753.0753940597788</v>
      </c>
      <c r="BH349" s="8">
        <f>EXP(1.076*LN(AS349)-4.5397)*IF(_xlfn.XLOOKUP(E349,Groups!A:A,Groups!M:M)=1,0.8,IF(_xlfn.XLOOKUP(E349,Groups!A:A,Groups!BC:BC)=1,1.3,3))</f>
        <v>1561.0154998689975</v>
      </c>
      <c r="BI349" s="8" t="str">
        <f>IF(W349="No","No",IF(_xlfn.XLOOKUP(E349,Groups!A:A,Groups!U:U)=1,'Base stats'!BJ349,IF(OR(_xlfn.XLOOKUP(E349,Groups!A:A,Groups!BD:BD)=1,_xlfn.XLOOKUP(E349,Groups!A:A,Groups!U:U)=2),BG349,BH349))*1.2)</f>
        <v>No</v>
      </c>
      <c r="BJ349" s="8">
        <f>IFERROR(EXP(1.076*LN(AT349)-4.5397)*IF(_xlfn.XLOOKUP(E349,Groups!A:A,Groups!N:N)="Insect",1,IF(OR(_xlfn.XLOOKUP(E349,Groups!A:A,Groups!N:N)="Pig",_xlfn.XLOOKUP(E349,Groups!A:A,Groups!N:N)="StrongBitingHerbivore"),3.5,3.75)),"No")</f>
        <v>1682.4111519311009</v>
      </c>
      <c r="BK349" s="8">
        <f t="shared" si="172"/>
        <v>13</v>
      </c>
      <c r="BL349" s="8">
        <f t="shared" si="173"/>
        <v>11</v>
      </c>
      <c r="BM349" s="8" t="str">
        <f t="shared" si="174"/>
        <v>No</v>
      </c>
      <c r="BN349" s="8">
        <f t="shared" si="175"/>
        <v>12</v>
      </c>
      <c r="BO349" s="8">
        <f t="shared" si="176"/>
        <v>9</v>
      </c>
      <c r="BP349" s="8" cm="1">
        <f t="array" ref="BP349">IF(AND(_xlfn.XLOOKUP('Base stats'!E349,Groups!A:A,Groups!AD:AD=0),_xlfn.XLOOKUP('Base stats'!E349,Groups!A:A,Groups!P:P=0)),"No",IF(U349="No",AVERAGE(EXP(-0.57+0.99*LN(C349)),EXP(0.32+0.67*LN(C349)))/IF(_xlfn.XLOOKUP(E349,Groups!A:A,Groups!AD:AD)=1,10,2),(0.7354*C349^0.4078)*2/IF(_xlfn.XLOOKUP(E349,Groups!A:A,Groups!BK:BK)=1,1000,100)/IF(_xlfn.XLOOKUP(E349,Groups!A:A,Groups!AJ:AJ)="Photonozoa",3,1)))</f>
        <v>0.42291510174439695</v>
      </c>
      <c r="BQ349" s="8" t="str">
        <f>IF(W349="No","No",IF(_xlfn.XLOOKUP(E349,Groups!A:A,Groups!BD:BD)=1,(AO349*5%),EXP(0.7354*LN(C349)^0.4078)*2/IF(_xlfn.XLOOKUP(E349,Groups!A:A,Groups!BL:BL)=1,1000,100)/IF(_xlfn.XLOOKUP(E349,Groups!A:A,Groups!AJ:AJ)="Photonozoa",3,1)))</f>
        <v>No</v>
      </c>
      <c r="BR349" s="8">
        <f>IF(BJ349="No","No",IF(_xlfn.XLOOKUP(E349,Groups!A:A,Groups!BF:BF)=1,(0.0315*C349+2.1825)*2,(0.7354*C349^0.4078)*2)/IF(_xlfn.XLOOKUP(E349,Groups!A:A,Groups!BM:BM)=1,1000,100)/IF(_xlfn.XLOOKUP(E349,Groups!A:A,Groups!AJ:AJ)="Photonozoa",3,1))</f>
        <v>0.42291510174439695</v>
      </c>
      <c r="BS349" s="8">
        <f t="shared" si="177"/>
        <v>0.14943738147767899</v>
      </c>
      <c r="BT349" s="8">
        <f t="shared" si="178"/>
        <v>3691.0847908487553</v>
      </c>
      <c r="BU349" s="8" t="str">
        <f t="shared" si="179"/>
        <v>No</v>
      </c>
      <c r="BV349" s="8">
        <f t="shared" si="180"/>
        <v>3978.1297593575246</v>
      </c>
      <c r="BW349" s="4">
        <v>0</v>
      </c>
      <c r="BX349" s="4">
        <v>1</v>
      </c>
    </row>
    <row r="350" spans="1:76" s="16" customFormat="1" x14ac:dyDescent="0.25">
      <c r="A350" s="26" t="s">
        <v>1973</v>
      </c>
      <c r="B350" s="6" t="s">
        <v>1985</v>
      </c>
      <c r="C350" s="7">
        <v>5056.8</v>
      </c>
      <c r="D350" s="7" t="s">
        <v>2001</v>
      </c>
      <c r="E350" s="7" t="str">
        <f>Groups!$A$130</f>
        <v>Hadrosaurid</v>
      </c>
      <c r="F350" s="7" t="str">
        <f t="shared" si="185"/>
        <v>Lay eggs</v>
      </c>
      <c r="G350" s="7">
        <v>3</v>
      </c>
      <c r="H350" s="7">
        <v>15</v>
      </c>
      <c r="I350" s="4">
        <v>1</v>
      </c>
      <c r="J350" s="7" t="str">
        <f t="shared" si="190"/>
        <v>Lay eggs</v>
      </c>
      <c r="K350" s="7" t="s">
        <v>2022</v>
      </c>
      <c r="L350" s="7">
        <f t="shared" si="194"/>
        <v>28.474256049628263</v>
      </c>
      <c r="M350" s="7" t="s">
        <v>2019</v>
      </c>
      <c r="N350" s="4">
        <v>0</v>
      </c>
      <c r="O350" s="4">
        <v>0</v>
      </c>
      <c r="P350" s="4">
        <v>0</v>
      </c>
      <c r="Q350" s="4">
        <v>0</v>
      </c>
      <c r="R350" s="4" t="s">
        <v>40</v>
      </c>
      <c r="S350" s="7">
        <f>_xlfn.XLOOKUP(B350,[1]TeethAdjusters!$A:$A,[1]BiteAdjusters!$C:$C,1)</f>
        <v>1</v>
      </c>
      <c r="T350" s="7">
        <f>_xlfn.XLOOKUP(B350,[1]TeethAdjusters!$A:$A,[1]TeethAdjusters!$B:$B,1)</f>
        <v>1</v>
      </c>
      <c r="U350" s="7" t="s">
        <v>45</v>
      </c>
      <c r="V350" s="7" t="s">
        <v>45</v>
      </c>
      <c r="W350" s="7" t="s">
        <v>45</v>
      </c>
      <c r="X350" s="7" t="s">
        <v>932</v>
      </c>
      <c r="Y350" s="4" t="s">
        <v>42</v>
      </c>
      <c r="Z350" s="4">
        <v>1</v>
      </c>
      <c r="AA350" s="4">
        <v>0</v>
      </c>
      <c r="AB350" s="4">
        <v>0</v>
      </c>
      <c r="AC350" s="4">
        <v>0</v>
      </c>
      <c r="AD350" s="4">
        <v>0</v>
      </c>
      <c r="AE350" s="4" t="s">
        <v>45</v>
      </c>
      <c r="AF350" s="4" t="s">
        <v>398</v>
      </c>
      <c r="AG350" s="49" t="s">
        <v>1970</v>
      </c>
      <c r="AH350" s="4" t="s">
        <v>45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4" t="s">
        <v>40</v>
      </c>
      <c r="AO350" s="8">
        <f t="shared" si="166"/>
        <v>283688.82861389109</v>
      </c>
      <c r="AP350" s="8">
        <f>IFERROR(C350*_xlfn.XLOOKUP(E350,Groups!A:A,Groups!K:K),0.106*C350^0.94)</f>
        <v>321.32838846143363</v>
      </c>
      <c r="AQ350" s="8">
        <f>AP350*10000/(_xlfn.XLOOKUP(E350,Groups!A:A,Groups!J:J)*AO350)</f>
        <v>10.391550774214403</v>
      </c>
      <c r="AR350" s="8">
        <f t="shared" si="167"/>
        <v>73131.523146896681</v>
      </c>
      <c r="AS350" s="8">
        <f>IF(_xlfn.XLOOKUP(E350,Groups!A:A,Groups!M:M)=1,EXP(0.7444*LN('Base stats'!C350)+6.5696),EXP(0.7927*LN('Base stats'!C350)+4.28))</f>
        <v>62350.897785038505</v>
      </c>
      <c r="AT350" s="8" t="str">
        <f>IF(_xlfn.XLOOKUP(E350,Groups!A:A,Groups!N:N)="No","No",
IF(_xlfn.XLOOKUP(E350,Groups!A:A,Groups!N:N)="Crocodile",EXP(0.8129*LN(C350)+4.6742)*S350,
IF(_xlfn.XLOOKUP(E350,Groups!A:A,Groups!N:N)="Felid",EXP(0.7843*LN(C350)+4.7073)*S350,
IF(_xlfn.XLOOKUP(E350,Groups!A:A,Groups!N:N)="Canid",EXP(0.8367*LN(C350)+4.8763)*S350,
IF(_xlfn.XLOOKUP(E350,Groups!A:A,Groups!N:N)="Pig",EXP(0.3439*LN(C350)+6.8519)*S350,
IF(_xlfn.XLOOKUP(E350,Groups!A:A,Groups!N:N)="Rodent",EXP(0.5625*LN(C350)+4.3006)*S350,
IF(_xlfn.XLOOKUP(E350,Groups!A:A,Groups!N:N)="Primate",EXP(0.7847*LN(C350)+3.4931)*S350,
IF(_xlfn.XLOOKUP(E350,Groups!A:A,Groups!N:N)="MiscCarnivora",EXP(0.7486*LN(C350)+4.2207)*S350,
IF(_xlfn.XLOOKUP(E350,Groups!A:A,Groups!N:N)="Lizard",EXP(0.7733*LN(C350)+5.5303)*S350,
IF(_xlfn.XLOOKUP(E350,Groups!A:A,Groups!N:N)="Snake",50*C350^(2/3)*S350,
IF(_xlfn.XLOOKUP(E350,Groups!A:A,Groups!N:N)="StrongBitingHerbivore",87.1133638856975*C350^(2/3)*S350,
IF(_xlfn.XLOOKUP(E350,Groups!A:A,Groups!N:N)="MiscEctotherms",59.4316884072269*C350^(2/3)*S350,
IF(_xlfn.XLOOKUP(E350,Groups!A:A,Groups!N:N)="StrongBeakBird",0.041*(C350*1000)^1.375*S350,
IF(_xlfn.XLOOKUP(E350,Groups!A:A,Groups!N:N)="Bird",0.118*(C350*1000)^0.692*S350,
IF(_xlfn.XLOOKUP(E350,Groups!A:A,Groups!N:N)="Insect",EXP(0.7444*LN(C350)+6.5696)*S350,
IF(_xlfn.XLOOKUP(E350,Groups!A:A,Groups!N:N)="Theropod",EXP(0.6966*LN(C350)+4.158)*S350,
"No"))))))))))))))))</f>
        <v>No</v>
      </c>
      <c r="AU350" s="8" t="str">
        <f>IF(_xlfn.XLOOKUP(E350,Groups!A:A,Groups!U:U)=3,AS350,IF(_xlfn.XLOOKUP(E350,Groups!A:A,Groups!U:U)=2,AR350,AT350))</f>
        <v>No</v>
      </c>
      <c r="AV350" s="46">
        <f>IFERROR(AVERAGE(_xlfn.XLOOKUP(B350,Animals!B:B,Animals!N:N),_xlfn.XLOOKUP(B350,Animals!B:B,Animals!O:O)),0)</f>
        <v>0</v>
      </c>
      <c r="AW350" s="8">
        <f>MROUND(40*Animals!AO350*_xlfn.XLOOKUP(AG350,Leathers!$A$2:$A$99,Leathers!$B$2:$B$99,0)+(140*_xlfn.XLOOKUP(B350,Animals!B:B,Animals!AO:AO)*2),5)</f>
        <v>1400</v>
      </c>
      <c r="AX350" s="8">
        <f>IFERROR(ROUND(SQRT(V350-1)*IF(_xlfn.XLOOKUP(E350,Groups!A:A,Groups!BF:BF)=0,2,1)*IF(_xlfn.XLOOKUP('Base stats'!E350,Groups!A:A,Groups!O:O)=0,1,0.1),1),0)</f>
        <v>0</v>
      </c>
      <c r="AY350" s="8">
        <f t="shared" si="168"/>
        <v>0</v>
      </c>
      <c r="AZ350" s="8">
        <f t="shared" si="169"/>
        <v>0</v>
      </c>
      <c r="BA350" s="8">
        <f t="shared" si="170"/>
        <v>17</v>
      </c>
      <c r="BB350" s="8">
        <f>IF(_xlfn.XLOOKUP(E350,Groups!A:A,Groups!N:N)="Insect",BD350*2.5,IFERROR(AVERAGE(BD350,AT350/9.81/IF(OR(_xlfn.XLOOKUP(E350,Groups!A:A,Groups!N:N)="Pig",_xlfn.XLOOKUP(E350,Groups!A:A,Groups!N:N)="StrongBitingHerbivore"),20,25))*C350^-0.135,BD350))</f>
        <v>24.322510699957355</v>
      </c>
      <c r="BC350" s="8" t="str">
        <f>IF(W350="No","No",IF(_xlfn.XLOOKUP(E350,Groups!A:A,Groups!U:U)=1,'Base stats'!BB350,IF(OR(_xlfn.XLOOKUP(E350,Groups!A:A,Groups!BD:BD)=1,_xlfn.XLOOKUP(E350,Groups!A:A,Groups!U:U)=2),BD350,IF(_xlfn.XLOOKUP(B350,Animals!B:B,Animals!AO:AO)&gt;4,AVERAGE(BD350,BF350),BF350))))</f>
        <v>No</v>
      </c>
      <c r="BD350" s="8">
        <f t="shared" si="171"/>
        <v>24.322510699957355</v>
      </c>
      <c r="BE350" s="8">
        <f>IF(_xlfn.XLOOKUP(E350,Groups!A:A,Groups!BE:BE)=1,(0.048*C350^1.01)+(0.071*C350^1.03),0.071*C350^1.03)/IF(_xlfn.XLOOKUP(E350,Groups!A:A,Groups!M:M)=1,0.85,IF(OR(_xlfn.XLOOKUP(B350,Animals!B:B,Animals!AO:AO)&gt;4,_xlfn.XLOOKUP(E350,Groups!A:A,Groups!BC:BC)=1),1.7,1))*C350^-0.25</f>
        <v>32.346890148379529</v>
      </c>
      <c r="BF350" s="8">
        <f>(0.048*C350^1.01)/IF(_xlfn.XLOOKUP(E350,Groups!A:A,Groups!M:M)=1,0.25,0.8)*C350^-0.25</f>
        <v>39.18292394025265</v>
      </c>
      <c r="BG350" s="8">
        <f>EXP(1.076*LN(AR350)-4.5397)*IF(_xlfn.XLOOKUP(E350,Groups!A:A,Groups!BC:BC)=1,1.25,IF(_xlfn.XLOOKUP(E350,Groups!A:A,Groups!BD:BD)=1,3.5,2.5))</f>
        <v>2286.2300212963728</v>
      </c>
      <c r="BH350" s="8">
        <f>EXP(1.076*LN(AS350)-4.5397)*IF(_xlfn.XLOOKUP(E350,Groups!A:A,Groups!M:M)=1,0.8,IF(_xlfn.XLOOKUP(E350,Groups!A:A,Groups!BC:BC)=1,1.3,3))</f>
        <v>2002.7532727057246</v>
      </c>
      <c r="BI350" s="8" t="str">
        <f>IF(W350="No","No",IF(_xlfn.XLOOKUP(E350,Groups!A:A,Groups!U:U)=1,'Base stats'!BJ350,IF(OR(_xlfn.XLOOKUP(E350,Groups!A:A,Groups!BD:BD)=1,_xlfn.XLOOKUP(E350,Groups!A:A,Groups!U:U)=2),BG350,BH350))*1.2)</f>
        <v>No</v>
      </c>
      <c r="BJ350" s="8" t="str">
        <f>IFERROR(EXP(1.076*LN(AT350)-4.5397)*IF(_xlfn.XLOOKUP(E350,Groups!A:A,Groups!N:N)="Insect",1,IF(OR(_xlfn.XLOOKUP(E350,Groups!A:A,Groups!N:N)="Pig",_xlfn.XLOOKUP(E350,Groups!A:A,Groups!N:N)="StrongBitingHerbivore"),3.5,3.75)),"No")</f>
        <v>No</v>
      </c>
      <c r="BK350" s="8">
        <f t="shared" si="172"/>
        <v>13</v>
      </c>
      <c r="BL350" s="8">
        <f t="shared" si="173"/>
        <v>11</v>
      </c>
      <c r="BM350" s="8" t="str">
        <f t="shared" si="174"/>
        <v>No</v>
      </c>
      <c r="BN350" s="8" t="str">
        <f t="shared" si="175"/>
        <v>No</v>
      </c>
      <c r="BO350" s="8">
        <f t="shared" si="176"/>
        <v>10</v>
      </c>
      <c r="BP350" s="8" cm="1">
        <f t="array" ref="BP350">IF(AND(_xlfn.XLOOKUP('Base stats'!E350,Groups!A:A,Groups!AD:AD=0),_xlfn.XLOOKUP('Base stats'!E350,Groups!A:A,Groups!P:P=0)),"No",IF(U350="No",AVERAGE(EXP(-0.57+0.99*LN(C350)),EXP(0.32+0.67*LN(C350)))/IF(_xlfn.XLOOKUP(E350,Groups!A:A,Groups!AD:AD)=1,10,2),(0.7354*C350^0.4078)*2/IF(_xlfn.XLOOKUP(E350,Groups!A:A,Groups!BK:BK)=1,1000,100)/IF(_xlfn.XLOOKUP(E350,Groups!A:A,Groups!AJ:AJ)="Photonozoa",3,1)))</f>
        <v>760.84605965721244</v>
      </c>
      <c r="BQ350" s="8" t="str">
        <f>IF(W350="No","No",IF(_xlfn.XLOOKUP(E350,Groups!A:A,Groups!BD:BD)=1,(AO350*5%),EXP(0.7354*LN(C350)^0.4078)*2/IF(_xlfn.XLOOKUP(E350,Groups!A:A,Groups!BL:BL)=1,1000,100)/IF(_xlfn.XLOOKUP(E350,Groups!A:A,Groups!AJ:AJ)="Photonozoa",3,1)))</f>
        <v>No</v>
      </c>
      <c r="BR350" s="8" t="str">
        <f>IF(BJ350="No","No",IF(_xlfn.XLOOKUP(E350,Groups!A:A,Groups!BF:BF)=1,(0.0315*C350+2.1825)*2,(0.7354*C350^0.4078)*2)/IF(_xlfn.XLOOKUP(E350,Groups!A:A,Groups!BM:BM)=1,1000,100)/IF(_xlfn.XLOOKUP(E350,Groups!A:A,Groups!AJ:AJ)="Photonozoa",3,1))</f>
        <v>No</v>
      </c>
      <c r="BS350" s="8">
        <f t="shared" si="177"/>
        <v>0.16117871348455526</v>
      </c>
      <c r="BT350" s="8">
        <f t="shared" si="178"/>
        <v>2.6322713343722048</v>
      </c>
      <c r="BU350" s="8" t="str">
        <f t="shared" si="179"/>
        <v>No</v>
      </c>
      <c r="BV350" s="8" t="str">
        <f t="shared" si="180"/>
        <v>No</v>
      </c>
      <c r="BW350" s="4">
        <v>0</v>
      </c>
      <c r="BX350" s="4">
        <v>1</v>
      </c>
    </row>
    <row r="351" spans="1:76" s="16" customFormat="1" x14ac:dyDescent="0.25">
      <c r="A351" s="26" t="s">
        <v>1974</v>
      </c>
      <c r="B351" s="6" t="s">
        <v>1986</v>
      </c>
      <c r="C351" s="7">
        <v>3078.5</v>
      </c>
      <c r="D351" s="7" t="s">
        <v>2001</v>
      </c>
      <c r="E351" s="7" t="str">
        <f>Groups!$A$130</f>
        <v>Hadrosaurid</v>
      </c>
      <c r="F351" s="7" t="str">
        <f t="shared" si="185"/>
        <v>Lay eggs</v>
      </c>
      <c r="G351" s="7">
        <v>3</v>
      </c>
      <c r="H351" s="7">
        <v>15</v>
      </c>
      <c r="I351" s="4">
        <v>1</v>
      </c>
      <c r="J351" s="7" t="str">
        <f t="shared" si="190"/>
        <v>Lay eggs</v>
      </c>
      <c r="K351" s="7" t="s">
        <v>528</v>
      </c>
      <c r="L351" s="7">
        <f t="shared" si="194"/>
        <v>32.907508219102859</v>
      </c>
      <c r="M351" s="7" t="s">
        <v>2019</v>
      </c>
      <c r="N351" s="4">
        <v>0</v>
      </c>
      <c r="O351" s="4">
        <v>0</v>
      </c>
      <c r="P351" s="4">
        <v>0</v>
      </c>
      <c r="Q351" s="4">
        <v>0</v>
      </c>
      <c r="R351" s="4" t="s">
        <v>40</v>
      </c>
      <c r="S351" s="7">
        <f>_xlfn.XLOOKUP(B351,[1]TeethAdjusters!$A:$A,[1]BiteAdjusters!$C:$C,1)</f>
        <v>1</v>
      </c>
      <c r="T351" s="7">
        <f>_xlfn.XLOOKUP(B351,[1]TeethAdjusters!$A:$A,[1]TeethAdjusters!$B:$B,1)</f>
        <v>1</v>
      </c>
      <c r="U351" s="7" t="s">
        <v>45</v>
      </c>
      <c r="V351" s="7" t="s">
        <v>45</v>
      </c>
      <c r="W351" s="7" t="s">
        <v>45</v>
      </c>
      <c r="X351" s="7" t="s">
        <v>932</v>
      </c>
      <c r="Y351" s="4" t="s">
        <v>42</v>
      </c>
      <c r="Z351" s="4">
        <v>1</v>
      </c>
      <c r="AA351" s="4">
        <v>0</v>
      </c>
      <c r="AB351" s="4">
        <v>0</v>
      </c>
      <c r="AC351" s="4">
        <v>0</v>
      </c>
      <c r="AD351" s="4">
        <v>0</v>
      </c>
      <c r="AE351" s="4" t="s">
        <v>45</v>
      </c>
      <c r="AF351" s="4" t="s">
        <v>398</v>
      </c>
      <c r="AG351" s="49" t="s">
        <v>1970</v>
      </c>
      <c r="AH351" s="4" t="s">
        <v>45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4" t="s">
        <v>40</v>
      </c>
      <c r="AO351" s="8">
        <f t="shared" si="166"/>
        <v>205467.63942516068</v>
      </c>
      <c r="AP351" s="8">
        <f>IFERROR(C351*_xlfn.XLOOKUP(E351,Groups!A:A,Groups!K:K),0.106*C351^0.94)</f>
        <v>201.53230574627966</v>
      </c>
      <c r="AQ351" s="8">
        <f>AP351*10000/(_xlfn.XLOOKUP(E351,Groups!A:A,Groups!J:J)*AO351)</f>
        <v>8.9985957953142748</v>
      </c>
      <c r="AR351" s="8">
        <f t="shared" si="167"/>
        <v>48088.456354136339</v>
      </c>
      <c r="AS351" s="8">
        <f>IF(_xlfn.XLOOKUP(E351,Groups!A:A,Groups!M:M)=1,EXP(0.7444*LN('Base stats'!C351)+6.5696),EXP(0.7927*LN('Base stats'!C351)+4.28))</f>
        <v>42071.387296381195</v>
      </c>
      <c r="AT351" s="8" t="str">
        <f>IF(_xlfn.XLOOKUP(E351,Groups!A:A,Groups!N:N)="No","No",
IF(_xlfn.XLOOKUP(E351,Groups!A:A,Groups!N:N)="Crocodile",EXP(0.8129*LN(C351)+4.6742)*S351,
IF(_xlfn.XLOOKUP(E351,Groups!A:A,Groups!N:N)="Felid",EXP(0.7843*LN(C351)+4.7073)*S351,
IF(_xlfn.XLOOKUP(E351,Groups!A:A,Groups!N:N)="Canid",EXP(0.8367*LN(C351)+4.8763)*S351,
IF(_xlfn.XLOOKUP(E351,Groups!A:A,Groups!N:N)="Pig",EXP(0.3439*LN(C351)+6.8519)*S351,
IF(_xlfn.XLOOKUP(E351,Groups!A:A,Groups!N:N)="Rodent",EXP(0.5625*LN(C351)+4.3006)*S351,
IF(_xlfn.XLOOKUP(E351,Groups!A:A,Groups!N:N)="Primate",EXP(0.7847*LN(C351)+3.4931)*S351,
IF(_xlfn.XLOOKUP(E351,Groups!A:A,Groups!N:N)="MiscCarnivora",EXP(0.7486*LN(C351)+4.2207)*S351,
IF(_xlfn.XLOOKUP(E351,Groups!A:A,Groups!N:N)="Lizard",EXP(0.7733*LN(C351)+5.5303)*S351,
IF(_xlfn.XLOOKUP(E351,Groups!A:A,Groups!N:N)="Snake",50*C351^(2/3)*S351,
IF(_xlfn.XLOOKUP(E351,Groups!A:A,Groups!N:N)="StrongBitingHerbivore",87.1133638856975*C351^(2/3)*S351,
IF(_xlfn.XLOOKUP(E351,Groups!A:A,Groups!N:N)="MiscEctotherms",59.4316884072269*C351^(2/3)*S351,
IF(_xlfn.XLOOKUP(E351,Groups!A:A,Groups!N:N)="StrongBeakBird",0.041*(C351*1000)^1.375*S351,
IF(_xlfn.XLOOKUP(E351,Groups!A:A,Groups!N:N)="Bird",0.118*(C351*1000)^0.692*S351,
IF(_xlfn.XLOOKUP(E351,Groups!A:A,Groups!N:N)="Insect",EXP(0.7444*LN(C351)+6.5696)*S351,
IF(_xlfn.XLOOKUP(E351,Groups!A:A,Groups!N:N)="Theropod",EXP(0.6966*LN(C351)+4.158)*S351,
"No"))))))))))))))))</f>
        <v>No</v>
      </c>
      <c r="AU351" s="8" t="str">
        <f>IF(_xlfn.XLOOKUP(E351,Groups!A:A,Groups!U:U)=3,AS351,IF(_xlfn.XLOOKUP(E351,Groups!A:A,Groups!U:U)=2,AR351,AT351))</f>
        <v>No</v>
      </c>
      <c r="AV351" s="46">
        <f>IFERROR(AVERAGE(_xlfn.XLOOKUP(B351,Animals!B:B,Animals!N:N),_xlfn.XLOOKUP(B351,Animals!B:B,Animals!O:O)),0)</f>
        <v>0</v>
      </c>
      <c r="AW351" s="8">
        <f>MROUND(40*Animals!AO351*_xlfn.XLOOKUP(AG351,Leathers!$A$2:$A$99,Leathers!$B$2:$B$99,0)+(140*_xlfn.XLOOKUP(B351,Animals!B:B,Animals!AO:AO)*2),5)</f>
        <v>1190</v>
      </c>
      <c r="AX351" s="8">
        <f>IFERROR(ROUND(SQRT(V351-1)*IF(_xlfn.XLOOKUP(E351,Groups!A:A,Groups!BF:BF)=0,2,1)*IF(_xlfn.XLOOKUP('Base stats'!E351,Groups!A:A,Groups!O:O)=0,1,0.1),1),0)</f>
        <v>0</v>
      </c>
      <c r="AY351" s="8">
        <f t="shared" si="168"/>
        <v>0</v>
      </c>
      <c r="AZ351" s="8">
        <f t="shared" si="169"/>
        <v>0</v>
      </c>
      <c r="BA351" s="8">
        <f t="shared" si="170"/>
        <v>14.2</v>
      </c>
      <c r="BB351" s="8">
        <f>IF(_xlfn.XLOOKUP(E351,Groups!A:A,Groups!N:N)="Insect",BD351*2.5,IFERROR(AVERAGE(BD351,AT351/9.81/IF(OR(_xlfn.XLOOKUP(E351,Groups!A:A,Groups!N:N)="Pig",_xlfn.XLOOKUP(E351,Groups!A:A,Groups!N:N)="StrongBitingHerbivore"),20,25))*C351^-0.135,BD351))</f>
        <v>16.729917221108387</v>
      </c>
      <c r="BC351" s="8" t="str">
        <f>IF(W351="No","No",IF(_xlfn.XLOOKUP(E351,Groups!A:A,Groups!U:U)=1,'Base stats'!BB351,IF(OR(_xlfn.XLOOKUP(E351,Groups!A:A,Groups!BD:BD)=1,_xlfn.XLOOKUP(E351,Groups!A:A,Groups!U:U)=2),BD351,IF(_xlfn.XLOOKUP(B351,Animals!B:B,Animals!AO:AO)&gt;4,AVERAGE(BD351,BF351),BF351))))</f>
        <v>No</v>
      </c>
      <c r="BD351" s="8">
        <f t="shared" si="171"/>
        <v>16.729917221108387</v>
      </c>
      <c r="BE351" s="8">
        <f>IF(_xlfn.XLOOKUP(E351,Groups!A:A,Groups!BE:BE)=1,(0.048*C351^1.01)+(0.071*C351^1.03),0.071*C351^1.03)/IF(_xlfn.XLOOKUP(E351,Groups!A:A,Groups!M:M)=1,0.85,IF(OR(_xlfn.XLOOKUP(B351,Animals!B:B,Animals!AO:AO)&gt;4,_xlfn.XLOOKUP(E351,Groups!A:A,Groups!BC:BC)=1),1.7,1))*C351^-0.25</f>
        <v>21.964128230036135</v>
      </c>
      <c r="BF351" s="8">
        <f>(0.048*C351^1.01)/IF(_xlfn.XLOOKUP(E351,Groups!A:A,Groups!M:M)=1,0.25,0.8)*C351^-0.25</f>
        <v>26.871320594056542</v>
      </c>
      <c r="BG351" s="8">
        <f>EXP(1.076*LN(AR351)-4.5397)*IF(_xlfn.XLOOKUP(E351,Groups!A:A,Groups!BC:BC)=1,1.25,IF(_xlfn.XLOOKUP(E351,Groups!A:A,Groups!BD:BD)=1,3.5,2.5))</f>
        <v>1456.1941883767809</v>
      </c>
      <c r="BH351" s="8">
        <f>EXP(1.076*LN(AS351)-4.5397)*IF(_xlfn.XLOOKUP(E351,Groups!A:A,Groups!M:M)=1,0.8,IF(_xlfn.XLOOKUP(E351,Groups!A:A,Groups!BC:BC)=1,1.3,3))</f>
        <v>1311.5550535395594</v>
      </c>
      <c r="BI351" s="8" t="str">
        <f>IF(W351="No","No",IF(_xlfn.XLOOKUP(E351,Groups!A:A,Groups!U:U)=1,'Base stats'!BJ351,IF(OR(_xlfn.XLOOKUP(E351,Groups!A:A,Groups!BD:BD)=1,_xlfn.XLOOKUP(E351,Groups!A:A,Groups!U:U)=2),BG351,BH351))*1.2)</f>
        <v>No</v>
      </c>
      <c r="BJ351" s="8" t="str">
        <f>IFERROR(EXP(1.076*LN(AT351)-4.5397)*IF(_xlfn.XLOOKUP(E351,Groups!A:A,Groups!N:N)="Insect",1,IF(OR(_xlfn.XLOOKUP(E351,Groups!A:A,Groups!N:N)="Pig",_xlfn.XLOOKUP(E351,Groups!A:A,Groups!N:N)="StrongBitingHerbivore"),3.5,3.75)),"No")</f>
        <v>No</v>
      </c>
      <c r="BK351" s="8">
        <f t="shared" si="172"/>
        <v>13</v>
      </c>
      <c r="BL351" s="8">
        <f t="shared" si="173"/>
        <v>10</v>
      </c>
      <c r="BM351" s="8" t="str">
        <f t="shared" si="174"/>
        <v>No</v>
      </c>
      <c r="BN351" s="8" t="str">
        <f t="shared" si="175"/>
        <v>No</v>
      </c>
      <c r="BO351" s="8">
        <f t="shared" si="176"/>
        <v>9</v>
      </c>
      <c r="BP351" s="8" cm="1">
        <f t="array" ref="BP351">IF(AND(_xlfn.XLOOKUP('Base stats'!E351,Groups!A:A,Groups!AD:AD=0),_xlfn.XLOOKUP('Base stats'!E351,Groups!A:A,Groups!P:P=0)),"No",IF(U351="No",AVERAGE(EXP(-0.57+0.99*LN(C351)),EXP(0.32+0.67*LN(C351)))/IF(_xlfn.XLOOKUP(E351,Groups!A:A,Groups!AD:AD)=1,10,2),(0.7354*C351^0.4078)*2/IF(_xlfn.XLOOKUP(E351,Groups!A:A,Groups!BK:BK)=1,1000,100)/IF(_xlfn.XLOOKUP(E351,Groups!A:A,Groups!AJ:AJ)="Photonozoa",3,1)))</f>
        <v>476.48457190447652</v>
      </c>
      <c r="BQ351" s="8" t="str">
        <f>IF(W351="No","No",IF(_xlfn.XLOOKUP(E351,Groups!A:A,Groups!BD:BD)=1,(AO351*5%),EXP(0.7354*LN(C351)^0.4078)*2/IF(_xlfn.XLOOKUP(E351,Groups!A:A,Groups!BL:BL)=1,1000,100)/IF(_xlfn.XLOOKUP(E351,Groups!A:A,Groups!AJ:AJ)="Photonozoa",3,1)))</f>
        <v>No</v>
      </c>
      <c r="BR351" s="8" t="str">
        <f>IF(BJ351="No","No",IF(_xlfn.XLOOKUP(E351,Groups!A:A,Groups!BF:BF)=1,(0.0315*C351+2.1825)*2,(0.7354*C351^0.4078)*2)/IF(_xlfn.XLOOKUP(E351,Groups!A:A,Groups!BM:BM)=1,1000,100)/IF(_xlfn.XLOOKUP(E351,Groups!A:A,Groups!AJ:AJ)="Photonozoa",3,1))</f>
        <v>No</v>
      </c>
      <c r="BS351" s="8">
        <f t="shared" si="177"/>
        <v>0.14174438295497946</v>
      </c>
      <c r="BT351" s="8">
        <f t="shared" si="178"/>
        <v>2.7525656251520649</v>
      </c>
      <c r="BU351" s="8" t="str">
        <f t="shared" si="179"/>
        <v>No</v>
      </c>
      <c r="BV351" s="8" t="str">
        <f t="shared" si="180"/>
        <v>No</v>
      </c>
      <c r="BW351" s="4">
        <v>0</v>
      </c>
      <c r="BX351" s="4">
        <v>1</v>
      </c>
    </row>
    <row r="352" spans="1:76" s="16" customFormat="1" x14ac:dyDescent="0.25">
      <c r="A352" s="26" t="s">
        <v>1975</v>
      </c>
      <c r="B352" s="6" t="s">
        <v>1987</v>
      </c>
      <c r="C352" s="7">
        <v>6358</v>
      </c>
      <c r="D352" s="7" t="s">
        <v>2058</v>
      </c>
      <c r="E352" s="7" t="str">
        <f>Groups!$A$123</f>
        <v>Theropod (CLAWED, TEETHLESS)</v>
      </c>
      <c r="F352" s="7" t="str">
        <f t="shared" si="185"/>
        <v>Lay eggs</v>
      </c>
      <c r="G352" s="7">
        <v>18</v>
      </c>
      <c r="H352" s="7">
        <v>30</v>
      </c>
      <c r="I352" s="4">
        <v>1</v>
      </c>
      <c r="J352" s="7" t="str">
        <f t="shared" si="190"/>
        <v>Lay eggs</v>
      </c>
      <c r="K352" s="7" t="s">
        <v>528</v>
      </c>
      <c r="L352" s="7">
        <f t="shared" si="194"/>
        <v>26.585563192508133</v>
      </c>
      <c r="M352" s="7" t="s">
        <v>2019</v>
      </c>
      <c r="N352" s="4">
        <v>0</v>
      </c>
      <c r="O352" s="4">
        <v>0</v>
      </c>
      <c r="P352" s="4">
        <v>0</v>
      </c>
      <c r="Q352" s="4">
        <v>0</v>
      </c>
      <c r="R352" s="4" t="s">
        <v>40</v>
      </c>
      <c r="S352" s="7">
        <f>_xlfn.XLOOKUP(B352,[1]TeethAdjusters!$A:$A,[1]BiteAdjusters!$C:$C,1)</f>
        <v>1</v>
      </c>
      <c r="T352" s="7">
        <f>_xlfn.XLOOKUP(B352,[1]TeethAdjusters!$A:$A,[1]TeethAdjusters!$B:$B,1)</f>
        <v>1</v>
      </c>
      <c r="U352" s="7">
        <v>20</v>
      </c>
      <c r="V352" s="7">
        <v>15</v>
      </c>
      <c r="W352" s="7" t="s">
        <v>45</v>
      </c>
      <c r="X352" s="7" t="s">
        <v>932</v>
      </c>
      <c r="Y352" s="4" t="s">
        <v>42</v>
      </c>
      <c r="Z352" s="4">
        <v>1</v>
      </c>
      <c r="AA352" s="4">
        <v>0</v>
      </c>
      <c r="AB352" s="4">
        <v>0</v>
      </c>
      <c r="AC352" s="4">
        <v>0</v>
      </c>
      <c r="AD352" s="4">
        <v>0</v>
      </c>
      <c r="AE352" s="4" t="s">
        <v>45</v>
      </c>
      <c r="AF352" s="4" t="s">
        <v>45</v>
      </c>
      <c r="AG352" s="49" t="s">
        <v>2012</v>
      </c>
      <c r="AH352" s="4" t="s">
        <v>45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4" t="s">
        <v>40</v>
      </c>
      <c r="AO352" s="8">
        <f t="shared" si="166"/>
        <v>329216.29200986208</v>
      </c>
      <c r="AP352" s="8">
        <f>IFERROR(C352*_xlfn.XLOOKUP(E352,Groups!A:A,Groups!K:K),0.106*C352^0.94)</f>
        <v>398.49892798948429</v>
      </c>
      <c r="AQ352" s="8">
        <f>AP352*10000/(_xlfn.XLOOKUP(E352,Groups!A:A,Groups!J:J)*AO352)</f>
        <v>11.105019880619745</v>
      </c>
      <c r="AR352" s="8">
        <f t="shared" si="167"/>
        <v>88737.174462881085</v>
      </c>
      <c r="AS352" s="8">
        <f>IF(_xlfn.XLOOKUP(E352,Groups!A:A,Groups!M:M)=1,EXP(0.7444*LN('Base stats'!C352)+6.5696),EXP(0.7927*LN('Base stats'!C352)+4.28))</f>
        <v>74760.562711245017</v>
      </c>
      <c r="AT352" s="8">
        <f>IF(_xlfn.XLOOKUP(E352,Groups!A:A,Groups!N:N)="No","No",
IF(_xlfn.XLOOKUP(E352,Groups!A:A,Groups!N:N)="Crocodile",EXP(0.8129*LN(C352)+4.6742)*S352,
IF(_xlfn.XLOOKUP(E352,Groups!A:A,Groups!N:N)="Felid",EXP(0.7843*LN(C352)+4.7073)*S352,
IF(_xlfn.XLOOKUP(E352,Groups!A:A,Groups!N:N)="Canid",EXP(0.8367*LN(C352)+4.8763)*S352,
IF(_xlfn.XLOOKUP(E352,Groups!A:A,Groups!N:N)="Pig",EXP(0.3439*LN(C352)+6.8519)*S352,
IF(_xlfn.XLOOKUP(E352,Groups!A:A,Groups!N:N)="Rodent",EXP(0.5625*LN(C352)+4.3006)*S352,
IF(_xlfn.XLOOKUP(E352,Groups!A:A,Groups!N:N)="Primate",EXP(0.7847*LN(C352)+3.4931)*S352,
IF(_xlfn.XLOOKUP(E352,Groups!A:A,Groups!N:N)="MiscCarnivora",EXP(0.7486*LN(C352)+4.2207)*S352,
IF(_xlfn.XLOOKUP(E352,Groups!A:A,Groups!N:N)="Lizard",EXP(0.7733*LN(C352)+5.5303)*S352,
IF(_xlfn.XLOOKUP(E352,Groups!A:A,Groups!N:N)="Snake",50*C352^(2/3)*S352,
IF(_xlfn.XLOOKUP(E352,Groups!A:A,Groups!N:N)="StrongBitingHerbivore",87.1133638856975*C352^(2/3)*S352,
IF(_xlfn.XLOOKUP(E352,Groups!A:A,Groups!N:N)="MiscEctotherms",59.4316884072269*C352^(2/3)*S352,
IF(_xlfn.XLOOKUP(E352,Groups!A:A,Groups!N:N)="StrongBeakBird",0.041*(C352*1000)^1.375*S352,
IF(_xlfn.XLOOKUP(E352,Groups!A:A,Groups!N:N)="Bird",0.118*(C352*1000)^0.692*S352,
IF(_xlfn.XLOOKUP(E352,Groups!A:A,Groups!N:N)="Insect",EXP(0.7444*LN(C352)+6.5696)*S352,
IF(_xlfn.XLOOKUP(E352,Groups!A:A,Groups!N:N)="Theropod",EXP(0.6966*LN(C352)+4.158)*S352,
"No"))))))))))))))))</f>
        <v>28522.627652106908</v>
      </c>
      <c r="AU352" s="8">
        <f>IF(_xlfn.XLOOKUP(E352,Groups!A:A,Groups!U:U)=3,AS352,IF(_xlfn.XLOOKUP(E352,Groups!A:A,Groups!U:U)=2,AR352,AT352))</f>
        <v>28522.627652106908</v>
      </c>
      <c r="AV352" s="46">
        <f>IFERROR(AVERAGE(_xlfn.XLOOKUP(B352,Animals!B:B,Animals!N:N),_xlfn.XLOOKUP(B352,Animals!B:B,Animals!O:O)),0)</f>
        <v>0</v>
      </c>
      <c r="AW352" s="8">
        <f>MROUND(40*Animals!AO352*_xlfn.XLOOKUP(AG352,Leathers!$A$2:$A$99,Leathers!$B$2:$B$99,0)+(140*_xlfn.XLOOKUP(B352,Animals!B:B,Animals!AO:AO)*2),5)</f>
        <v>1540</v>
      </c>
      <c r="AX352" s="8">
        <f>IFERROR(ROUND(SQRT(V352-1)*IF(_xlfn.XLOOKUP(E352,Groups!A:A,Groups!BF:BF)=0,2,1)*IF(_xlfn.XLOOKUP('Base stats'!E352,Groups!A:A,Groups!O:O)=0,1,0.1),1),0)</f>
        <v>0.7</v>
      </c>
      <c r="AY352" s="8">
        <f t="shared" si="168"/>
        <v>4.4000000000000004</v>
      </c>
      <c r="AZ352" s="8">
        <f t="shared" si="169"/>
        <v>0</v>
      </c>
      <c r="BA352" s="8">
        <f t="shared" si="170"/>
        <v>18.399999999999999</v>
      </c>
      <c r="BB352" s="8">
        <f>IF(_xlfn.XLOOKUP(E352,Groups!A:A,Groups!N:N)="Insect",BD352*2.5,IFERROR(AVERAGE(BD352,AT352/9.81/IF(OR(_xlfn.XLOOKUP(E352,Groups!A:A,Groups!N:N)="Pig",_xlfn.XLOOKUP(E352,Groups!A:A,Groups!N:N)="StrongBitingHerbivore"),20,25))*C352^-0.135,BD352))</f>
        <v>22.259083819525625</v>
      </c>
      <c r="BC352" s="8" t="str">
        <f>IF(W352="No","No",IF(_xlfn.XLOOKUP(E352,Groups!A:A,Groups!U:U)=1,'Base stats'!BB352,IF(OR(_xlfn.XLOOKUP(E352,Groups!A:A,Groups!BD:BD)=1,_xlfn.XLOOKUP(E352,Groups!A:A,Groups!U:U)=2),BD352,IF(_xlfn.XLOOKUP(B352,Animals!B:B,Animals!AO:AO)&gt;4,AVERAGE(BD352,BF352),BF352))))</f>
        <v>No</v>
      </c>
      <c r="BD352" s="8">
        <f t="shared" si="171"/>
        <v>28.906116042114636</v>
      </c>
      <c r="BE352" s="8">
        <f>IF(_xlfn.XLOOKUP(E352,Groups!A:A,Groups!BE:BE)=1,(0.048*C352^1.01)+(0.071*C352^1.03),0.071*C352^1.03)/IF(_xlfn.XLOOKUP(E352,Groups!A:A,Groups!M:M)=1,0.85,IF(OR(_xlfn.XLOOKUP(B352,Animals!B:B,Animals!AO:AO)&gt;4,_xlfn.XLOOKUP(E352,Groups!A:A,Groups!BC:BC)=1),1.7,1))*C352^-0.25</f>
        <v>60.616255595063279</v>
      </c>
      <c r="BF352" s="8">
        <f>(0.048*C352^1.01)/IF(_xlfn.XLOOKUP(E352,Groups!A:A,Groups!M:M)=1,0.25,0.8)*C352^-0.25</f>
        <v>46.631012811684798</v>
      </c>
      <c r="BG352" s="8">
        <f>EXP(1.076*LN(AR352)-4.5397)*IF(_xlfn.XLOOKUP(E352,Groups!A:A,Groups!BC:BC)=1,1.25,IF(_xlfn.XLOOKUP(E352,Groups!A:A,Groups!BD:BD)=1,3.5,2.5))</f>
        <v>5630.344524370028</v>
      </c>
      <c r="BH352" s="8">
        <f>EXP(1.076*LN(AS352)-4.5397)*IF(_xlfn.XLOOKUP(E352,Groups!A:A,Groups!M:M)=1,0.8,IF(_xlfn.XLOOKUP(E352,Groups!A:A,Groups!BC:BC)=1,1.3,3))</f>
        <v>5618.5761518994386</v>
      </c>
      <c r="BI352" s="8" t="str">
        <f>IF(W352="No","No",IF(_xlfn.XLOOKUP(E352,Groups!A:A,Groups!U:U)=1,'Base stats'!BJ352,IF(OR(_xlfn.XLOOKUP(E352,Groups!A:A,Groups!BD:BD)=1,_xlfn.XLOOKUP(E352,Groups!A:A,Groups!U:U)=2),BG352,BH352))*1.2)</f>
        <v>No</v>
      </c>
      <c r="BJ352" s="8">
        <f>IFERROR(EXP(1.076*LN(AT352)-4.5397)*IF(_xlfn.XLOOKUP(E352,Groups!A:A,Groups!N:N)="Insect",1,IF(OR(_xlfn.XLOOKUP(E352,Groups!A:A,Groups!N:N)="Pig",_xlfn.XLOOKUP(E352,Groups!A:A,Groups!N:N)="StrongBitingHerbivore"),3.5,3.75)),"No")</f>
        <v>2490.2820900803958</v>
      </c>
      <c r="BK352" s="8">
        <f t="shared" si="172"/>
        <v>19</v>
      </c>
      <c r="BL352" s="8">
        <f t="shared" si="173"/>
        <v>13</v>
      </c>
      <c r="BM352" s="8" t="str">
        <f t="shared" si="174"/>
        <v>No</v>
      </c>
      <c r="BN352" s="8">
        <f t="shared" si="175"/>
        <v>14</v>
      </c>
      <c r="BO352" s="8">
        <f t="shared" si="176"/>
        <v>15</v>
      </c>
      <c r="BP352" s="8" cm="1">
        <f t="array" ref="BP352">IF(AND(_xlfn.XLOOKUP('Base stats'!E352,Groups!A:A,Groups!AD:AD=0),_xlfn.XLOOKUP('Base stats'!E352,Groups!A:A,Groups!P:P=0)),"No",IF(U352="No",AVERAGE(EXP(-0.57+0.99*LN(C352)),EXP(0.32+0.67*LN(C352)))/IF(_xlfn.XLOOKUP(E352,Groups!A:A,Groups!AD:AD)=1,10,2),(0.7354*C352^0.4078)*2/IF(_xlfn.XLOOKUP(E352,Groups!A:A,Groups!BK:BK)=1,1000,100)/IF(_xlfn.XLOOKUP(E352,Groups!A:A,Groups!AJ:AJ)="Photonozoa",3,1)))</f>
        <v>0.5230554489232162</v>
      </c>
      <c r="BQ352" s="8" t="str">
        <f>IF(W352="No","No",IF(_xlfn.XLOOKUP(E352,Groups!A:A,Groups!BD:BD)=1,(AO352*5%),EXP(0.7354*LN(C352)^0.4078)*2/IF(_xlfn.XLOOKUP(E352,Groups!A:A,Groups!BL:BL)=1,1000,100)/IF(_xlfn.XLOOKUP(E352,Groups!A:A,Groups!AJ:AJ)="Photonozoa",3,1)))</f>
        <v>No</v>
      </c>
      <c r="BR352" s="8">
        <f>IF(BJ352="No","No",IF(_xlfn.XLOOKUP(E352,Groups!A:A,Groups!BF:BF)=1,(0.0315*C352+2.1825)*2,(0.7354*C352^0.4078)*2)/IF(_xlfn.XLOOKUP(E352,Groups!A:A,Groups!BM:BM)=1,1000,100)/IF(_xlfn.XLOOKUP(E352,Groups!A:A,Groups!AJ:AJ)="Photonozoa",3,1))</f>
        <v>0.5230554489232162</v>
      </c>
      <c r="BS352" s="8">
        <f t="shared" si="177"/>
        <v>0.34204531555815981</v>
      </c>
      <c r="BT352" s="8">
        <f t="shared" si="178"/>
        <v>10741.836574814533</v>
      </c>
      <c r="BU352" s="8" t="str">
        <f t="shared" si="179"/>
        <v>No</v>
      </c>
      <c r="BV352" s="8">
        <f t="shared" si="180"/>
        <v>4761.0288645438923</v>
      </c>
      <c r="BW352" s="4">
        <v>0</v>
      </c>
      <c r="BX352" s="4">
        <v>1</v>
      </c>
    </row>
    <row r="353" spans="1:76" s="16" customFormat="1" x14ac:dyDescent="0.25">
      <c r="A353" s="26" t="s">
        <v>1976</v>
      </c>
      <c r="B353" s="6" t="s">
        <v>1988</v>
      </c>
      <c r="C353" s="7">
        <v>5000</v>
      </c>
      <c r="D353" s="7" t="s">
        <v>2002</v>
      </c>
      <c r="E353" s="7" t="str">
        <f>Groups!$A$123</f>
        <v>Theropod (CLAWED, TEETHLESS)</v>
      </c>
      <c r="F353" s="7" t="str">
        <f t="shared" si="185"/>
        <v>Lay eggs</v>
      </c>
      <c r="G353" s="7">
        <v>18</v>
      </c>
      <c r="H353" s="7">
        <v>30</v>
      </c>
      <c r="I353" s="4">
        <v>1</v>
      </c>
      <c r="J353" s="7" t="str">
        <f t="shared" si="190"/>
        <v>Lay eggs</v>
      </c>
      <c r="K353" s="7" t="s">
        <v>528</v>
      </c>
      <c r="L353" s="7">
        <f t="shared" si="194"/>
        <v>28.570032110778474</v>
      </c>
      <c r="M353" s="7" t="s">
        <v>2019</v>
      </c>
      <c r="N353" s="4">
        <v>0</v>
      </c>
      <c r="O353" s="4">
        <v>0</v>
      </c>
      <c r="P353" s="4">
        <v>0</v>
      </c>
      <c r="Q353" s="4">
        <v>0</v>
      </c>
      <c r="R353" s="4" t="s">
        <v>40</v>
      </c>
      <c r="S353" s="7">
        <f>_xlfn.XLOOKUP(B353,[1]TeethAdjusters!$A:$A,[1]BiteAdjusters!$C:$C,1)</f>
        <v>1</v>
      </c>
      <c r="T353" s="7">
        <f>_xlfn.XLOOKUP(B353,[1]TeethAdjusters!$A:$A,[1]TeethAdjusters!$B:$B,1)</f>
        <v>1</v>
      </c>
      <c r="U353" s="7">
        <v>10</v>
      </c>
      <c r="V353" s="7">
        <v>15</v>
      </c>
      <c r="W353" s="7" t="s">
        <v>45</v>
      </c>
      <c r="X353" s="7" t="s">
        <v>932</v>
      </c>
      <c r="Y353" s="4" t="s">
        <v>42</v>
      </c>
      <c r="Z353" s="4">
        <v>1</v>
      </c>
      <c r="AA353" s="4">
        <v>0</v>
      </c>
      <c r="AB353" s="4">
        <v>0</v>
      </c>
      <c r="AC353" s="4">
        <v>0</v>
      </c>
      <c r="AD353" s="4">
        <v>0</v>
      </c>
      <c r="AE353" s="4" t="s">
        <v>45</v>
      </c>
      <c r="AF353" s="4" t="s">
        <v>45</v>
      </c>
      <c r="AG353" s="49" t="s">
        <v>2012</v>
      </c>
      <c r="AH353" s="4" t="s">
        <v>45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4" t="s">
        <v>40</v>
      </c>
      <c r="AO353" s="8">
        <f t="shared" si="166"/>
        <v>281613.50739773398</v>
      </c>
      <c r="AP353" s="8">
        <f>IFERROR(C353*_xlfn.XLOOKUP(E353,Groups!A:A,Groups!K:K),0.106*C353^0.94)</f>
        <v>317.93450901010999</v>
      </c>
      <c r="AQ353" s="8">
        <f>AP353*10000/(_xlfn.XLOOKUP(E353,Groups!A:A,Groups!J:J)*AO353)</f>
        <v>10.357565533145261</v>
      </c>
      <c r="AR353" s="8">
        <f t="shared" si="167"/>
        <v>72437.042827169687</v>
      </c>
      <c r="AS353" s="8">
        <f>IF(_xlfn.XLOOKUP(E353,Groups!A:A,Groups!M:M)=1,EXP(0.7444*LN('Base stats'!C353)+6.5696),EXP(0.7927*LN('Base stats'!C353)+4.28))</f>
        <v>61795.080878079119</v>
      </c>
      <c r="AT353" s="8">
        <f>IF(_xlfn.XLOOKUP(E353,Groups!A:A,Groups!N:N)="No","No",
IF(_xlfn.XLOOKUP(E353,Groups!A:A,Groups!N:N)="Crocodile",EXP(0.8129*LN(C353)+4.6742)*S353,
IF(_xlfn.XLOOKUP(E353,Groups!A:A,Groups!N:N)="Felid",EXP(0.7843*LN(C353)+4.7073)*S353,
IF(_xlfn.XLOOKUP(E353,Groups!A:A,Groups!N:N)="Canid",EXP(0.8367*LN(C353)+4.8763)*S353,
IF(_xlfn.XLOOKUP(E353,Groups!A:A,Groups!N:N)="Pig",EXP(0.3439*LN(C353)+6.8519)*S353,
IF(_xlfn.XLOOKUP(E353,Groups!A:A,Groups!N:N)="Rodent",EXP(0.5625*LN(C353)+4.3006)*S353,
IF(_xlfn.XLOOKUP(E353,Groups!A:A,Groups!N:N)="Primate",EXP(0.7847*LN(C353)+3.4931)*S353,
IF(_xlfn.XLOOKUP(E353,Groups!A:A,Groups!N:N)="MiscCarnivora",EXP(0.7486*LN(C353)+4.2207)*S353,
IF(_xlfn.XLOOKUP(E353,Groups!A:A,Groups!N:N)="Lizard",EXP(0.7733*LN(C353)+5.5303)*S353,
IF(_xlfn.XLOOKUP(E353,Groups!A:A,Groups!N:N)="Snake",50*C353^(2/3)*S353,
IF(_xlfn.XLOOKUP(E353,Groups!A:A,Groups!N:N)="StrongBitingHerbivore",87.1133638856975*C353^(2/3)*S353,
IF(_xlfn.XLOOKUP(E353,Groups!A:A,Groups!N:N)="MiscEctotherms",59.4316884072269*C353^(2/3)*S353,
IF(_xlfn.XLOOKUP(E353,Groups!A:A,Groups!N:N)="StrongBeakBird",0.041*(C353*1000)^1.375*S353,
IF(_xlfn.XLOOKUP(E353,Groups!A:A,Groups!N:N)="Bird",0.118*(C353*1000)^0.692*S353,
IF(_xlfn.XLOOKUP(E353,Groups!A:A,Groups!N:N)="Insect",EXP(0.7444*LN(C353)+6.5696)*S353,
IF(_xlfn.XLOOKUP(E353,Groups!A:A,Groups!N:N)="Theropod",EXP(0.6966*LN(C353)+4.158)*S353,
"No"))))))))))))))))</f>
        <v>24126.757592787799</v>
      </c>
      <c r="AU353" s="8">
        <f>IF(_xlfn.XLOOKUP(E353,Groups!A:A,Groups!U:U)=3,AS353,IF(_xlfn.XLOOKUP(E353,Groups!A:A,Groups!U:U)=2,AR353,AT353))</f>
        <v>24126.757592787799</v>
      </c>
      <c r="AV353" s="46">
        <f>IFERROR(AVERAGE(_xlfn.XLOOKUP(B353,Animals!B:B,Animals!N:N),_xlfn.XLOOKUP(B353,Animals!B:B,Animals!O:O)),0)</f>
        <v>0</v>
      </c>
      <c r="AW353" s="8">
        <f>MROUND(40*Animals!AO353*_xlfn.XLOOKUP(AG353,Leathers!$A$2:$A$99,Leathers!$B$2:$B$99,0)+(140*_xlfn.XLOOKUP(B353,Animals!B:B,Animals!AO:AO)*2),5)</f>
        <v>1400</v>
      </c>
      <c r="AX353" s="8">
        <f>IFERROR(ROUND(SQRT(V353-1)*IF(_xlfn.XLOOKUP(E353,Groups!A:A,Groups!BF:BF)=0,2,1)*IF(_xlfn.XLOOKUP('Base stats'!E353,Groups!A:A,Groups!O:O)=0,1,0.1),1),0)</f>
        <v>0.7</v>
      </c>
      <c r="AY353" s="8">
        <f t="shared" si="168"/>
        <v>3</v>
      </c>
      <c r="AZ353" s="8">
        <f t="shared" si="169"/>
        <v>0</v>
      </c>
      <c r="BA353" s="8">
        <f t="shared" si="170"/>
        <v>16.899999999999999</v>
      </c>
      <c r="BB353" s="8">
        <f>IF(_xlfn.XLOOKUP(E353,Groups!A:A,Groups!N:N)="Insect",BD353*2.5,IFERROR(AVERAGE(BD353,AT353/9.81/IF(OR(_xlfn.XLOOKUP(E353,Groups!A:A,Groups!N:N)="Pig",_xlfn.XLOOKUP(E353,Groups!A:A,Groups!N:N)="StrongBitingHerbivore"),20,25))*C353^-0.135,BD353))</f>
        <v>19.39627047681908</v>
      </c>
      <c r="BC353" s="8" t="str">
        <f>IF(W353="No","No",IF(_xlfn.XLOOKUP(E353,Groups!A:A,Groups!U:U)=1,'Base stats'!BB353,IF(OR(_xlfn.XLOOKUP(E353,Groups!A:A,Groups!BD:BD)=1,_xlfn.XLOOKUP(E353,Groups!A:A,Groups!U:U)=2),BD353,IF(_xlfn.XLOOKUP(B353,Animals!B:B,Animals!AO:AO)&gt;4,AVERAGE(BD353,BF353),BF353))))</f>
        <v>No</v>
      </c>
      <c r="BD353" s="8">
        <f t="shared" si="171"/>
        <v>24.116231840641284</v>
      </c>
      <c r="BE353" s="8">
        <f>IF(_xlfn.XLOOKUP(E353,Groups!A:A,Groups!BE:BE)=1,(0.048*C353^1.01)+(0.071*C353^1.03),0.071*C353^1.03)/IF(_xlfn.XLOOKUP(E353,Groups!A:A,Groups!M:M)=1,0.85,IF(OR(_xlfn.XLOOKUP(B353,Animals!B:B,Animals!AO:AO)&gt;4,_xlfn.XLOOKUP(E353,Groups!A:A,Groups!BC:BC)=1),1.7,1))*C353^-0.25</f>
        <v>50.34454134557074</v>
      </c>
      <c r="BF353" s="8">
        <f>(0.048*C353^1.01)/IF(_xlfn.XLOOKUP(E353,Groups!A:A,Groups!M:M)=1,0.25,0.8)*C353^-0.25</f>
        <v>38.847981091877756</v>
      </c>
      <c r="BG353" s="8">
        <f>EXP(1.076*LN(AR353)-4.5397)*IF(_xlfn.XLOOKUP(E353,Groups!A:A,Groups!BC:BC)=1,1.25,IF(_xlfn.XLOOKUP(E353,Groups!A:A,Groups!BD:BD)=1,3.5,2.5))</f>
        <v>4525.755372771675</v>
      </c>
      <c r="BH353" s="8">
        <f>EXP(1.076*LN(AS353)-4.5397)*IF(_xlfn.XLOOKUP(E353,Groups!A:A,Groups!M:M)=1,0.8,IF(_xlfn.XLOOKUP(E353,Groups!A:A,Groups!BC:BC)=1,1.3,3))</f>
        <v>4577.4224679256631</v>
      </c>
      <c r="BI353" s="8" t="str">
        <f>IF(W353="No","No",IF(_xlfn.XLOOKUP(E353,Groups!A:A,Groups!U:U)=1,'Base stats'!BJ353,IF(OR(_xlfn.XLOOKUP(E353,Groups!A:A,Groups!BD:BD)=1,_xlfn.XLOOKUP(E353,Groups!A:A,Groups!U:U)=2),BG353,BH353))*1.2)</f>
        <v>No</v>
      </c>
      <c r="BJ353" s="8">
        <f>IFERROR(EXP(1.076*LN(AT353)-4.5397)*IF(_xlfn.XLOOKUP(E353,Groups!A:A,Groups!N:N)="Insect",1,IF(OR(_xlfn.XLOOKUP(E353,Groups!A:A,Groups!N:N)="Pig",_xlfn.XLOOKUP(E353,Groups!A:A,Groups!N:N)="StrongBitingHerbivore"),3.5,3.75)),"No")</f>
        <v>2079.8570662508914</v>
      </c>
      <c r="BK353" s="8">
        <f t="shared" si="172"/>
        <v>19</v>
      </c>
      <c r="BL353" s="8">
        <f t="shared" si="173"/>
        <v>13</v>
      </c>
      <c r="BM353" s="8" t="str">
        <f t="shared" si="174"/>
        <v>No</v>
      </c>
      <c r="BN353" s="8">
        <f t="shared" si="175"/>
        <v>14</v>
      </c>
      <c r="BO353" s="8">
        <f t="shared" si="176"/>
        <v>15</v>
      </c>
      <c r="BP353" s="8" cm="1">
        <f t="array" ref="BP353">IF(AND(_xlfn.XLOOKUP('Base stats'!E353,Groups!A:A,Groups!AD:AD=0),_xlfn.XLOOKUP('Base stats'!E353,Groups!A:A,Groups!P:P=0)),"No",IF(U353="No",AVERAGE(EXP(-0.57+0.99*LN(C353)),EXP(0.32+0.67*LN(C353)))/IF(_xlfn.XLOOKUP(E353,Groups!A:A,Groups!AD:AD)=1,10,2),(0.7354*C353^0.4078)*2/IF(_xlfn.XLOOKUP(E353,Groups!A:A,Groups!BK:BK)=1,1000,100)/IF(_xlfn.XLOOKUP(E353,Groups!A:A,Groups!AJ:AJ)="Photonozoa",3,1)))</f>
        <v>0.47423498457378299</v>
      </c>
      <c r="BQ353" s="8" t="str">
        <f>IF(W353="No","No",IF(_xlfn.XLOOKUP(E353,Groups!A:A,Groups!BD:BD)=1,(AO353*5%),EXP(0.7354*LN(C353)^0.4078)*2/IF(_xlfn.XLOOKUP(E353,Groups!A:A,Groups!BL:BL)=1,1000,100)/IF(_xlfn.XLOOKUP(E353,Groups!A:A,Groups!AJ:AJ)="Photonozoa",3,1)))</f>
        <v>No</v>
      </c>
      <c r="BR353" s="8">
        <f>IF(BJ353="No","No",IF(_xlfn.XLOOKUP(E353,Groups!A:A,Groups!BF:BF)=1,(0.0315*C353+2.1825)*2,(0.7354*C353^0.4078)*2)/IF(_xlfn.XLOOKUP(E353,Groups!A:A,Groups!BM:BM)=1,1000,100)/IF(_xlfn.XLOOKUP(E353,Groups!A:A,Groups!AJ:AJ)="Photonozoa",3,1))</f>
        <v>0.47423498457378299</v>
      </c>
      <c r="BS353" s="8">
        <f t="shared" si="177"/>
        <v>0.32141607230364627</v>
      </c>
      <c r="BT353" s="8">
        <f t="shared" si="178"/>
        <v>9652.2243546405698</v>
      </c>
      <c r="BU353" s="8" t="str">
        <f t="shared" si="179"/>
        <v>No</v>
      </c>
      <c r="BV353" s="8">
        <f t="shared" si="180"/>
        <v>4385.7098989020296</v>
      </c>
      <c r="BW353" s="4">
        <v>0</v>
      </c>
      <c r="BX353" s="4">
        <v>1</v>
      </c>
    </row>
    <row r="354" spans="1:76" s="16" customFormat="1" x14ac:dyDescent="0.25">
      <c r="A354" s="26" t="s">
        <v>1977</v>
      </c>
      <c r="B354" s="6" t="s">
        <v>1989</v>
      </c>
      <c r="C354" s="7">
        <v>370</v>
      </c>
      <c r="D354" s="7" t="s">
        <v>2003</v>
      </c>
      <c r="E354" s="7" t="str">
        <f>Groups!$A$132</f>
        <v>Pachycephalosaurid</v>
      </c>
      <c r="F354" s="7" t="str">
        <f t="shared" si="185"/>
        <v>Lay eggs</v>
      </c>
      <c r="G354" s="7">
        <v>2.5</v>
      </c>
      <c r="H354" s="7">
        <v>15</v>
      </c>
      <c r="I354" s="4">
        <v>1</v>
      </c>
      <c r="J354" s="7" t="str">
        <f t="shared" si="190"/>
        <v>Lay eggs</v>
      </c>
      <c r="K354" s="7" t="s">
        <v>528</v>
      </c>
      <c r="L354" s="7">
        <f>6.7*3.6</f>
        <v>24.12</v>
      </c>
      <c r="M354" s="7" t="s">
        <v>2021</v>
      </c>
      <c r="N354" s="4">
        <v>0</v>
      </c>
      <c r="O354" s="4">
        <v>0</v>
      </c>
      <c r="P354" s="4">
        <v>0</v>
      </c>
      <c r="Q354" s="4">
        <v>0</v>
      </c>
      <c r="R354" s="4" t="s">
        <v>40</v>
      </c>
      <c r="S354" s="7">
        <f>_xlfn.XLOOKUP(B354,[1]TeethAdjusters!$A:$A,[1]BiteAdjusters!$C:$C,1)</f>
        <v>1</v>
      </c>
      <c r="T354" s="7">
        <f>_xlfn.XLOOKUP(B354,[1]TeethAdjusters!$A:$A,[1]TeethAdjusters!$B:$B,1)</f>
        <v>1</v>
      </c>
      <c r="U354" s="7" t="s">
        <v>45</v>
      </c>
      <c r="V354" s="7">
        <v>1.5</v>
      </c>
      <c r="W354" s="7">
        <v>25</v>
      </c>
      <c r="X354" s="7" t="s">
        <v>932</v>
      </c>
      <c r="Y354" s="4" t="s">
        <v>42</v>
      </c>
      <c r="Z354" s="4">
        <v>1</v>
      </c>
      <c r="AA354" s="4">
        <v>0</v>
      </c>
      <c r="AB354" s="4">
        <v>0</v>
      </c>
      <c r="AC354" s="4">
        <v>0</v>
      </c>
      <c r="AD354" s="4">
        <v>0</v>
      </c>
      <c r="AE354" s="4" t="s">
        <v>45</v>
      </c>
      <c r="AF354" s="4" t="s">
        <v>399</v>
      </c>
      <c r="AG354" s="49" t="s">
        <v>1970</v>
      </c>
      <c r="AH354" s="4" t="s">
        <v>45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4" t="s">
        <v>40</v>
      </c>
      <c r="AO354" s="8">
        <f t="shared" si="166"/>
        <v>51838.699710741617</v>
      </c>
      <c r="AP354" s="8">
        <f>IFERROR(C354*_xlfn.XLOOKUP(E354,Groups!A:A,Groups!K:K),0.106*C354^0.94)</f>
        <v>27.505242983062029</v>
      </c>
      <c r="AQ354" s="8">
        <f>AP354*10000/(_xlfn.XLOOKUP(E354,Groups!A:A,Groups!J:J)*AO354)</f>
        <v>4.8678242346306391</v>
      </c>
      <c r="AR354" s="8">
        <f t="shared" si="167"/>
        <v>8031.5754953691721</v>
      </c>
      <c r="AS354" s="8">
        <f>IF(_xlfn.XLOOKUP(E354,Groups!A:A,Groups!M:M)=1,EXP(0.7444*LN('Base stats'!C354)+6.5696),EXP(0.7927*LN('Base stats'!C354)+4.28))</f>
        <v>7845.0170032896522</v>
      </c>
      <c r="AT354" s="8">
        <f>IF(_xlfn.XLOOKUP(E354,Groups!A:A,Groups!N:N)="No","No",
IF(_xlfn.XLOOKUP(E354,Groups!A:A,Groups!N:N)="Crocodile",EXP(0.8129*LN(C354)+4.6742)*S354,
IF(_xlfn.XLOOKUP(E354,Groups!A:A,Groups!N:N)="Felid",EXP(0.7843*LN(C354)+4.7073)*S354,
IF(_xlfn.XLOOKUP(E354,Groups!A:A,Groups!N:N)="Canid",EXP(0.8367*LN(C354)+4.8763)*S354,
IF(_xlfn.XLOOKUP(E354,Groups!A:A,Groups!N:N)="Pig",EXP(0.3439*LN(C354)+6.8519)*S354,
IF(_xlfn.XLOOKUP(E354,Groups!A:A,Groups!N:N)="Rodent",EXP(0.5625*LN(C354)+4.3006)*S354,
IF(_xlfn.XLOOKUP(E354,Groups!A:A,Groups!N:N)="Primate",EXP(0.7847*LN(C354)+3.4931)*S354,
IF(_xlfn.XLOOKUP(E354,Groups!A:A,Groups!N:N)="MiscCarnivora",EXP(0.7486*LN(C354)+4.2207)*S354,
IF(_xlfn.XLOOKUP(E354,Groups!A:A,Groups!N:N)="Lizard",EXP(0.7733*LN(C354)+5.5303)*S354,
IF(_xlfn.XLOOKUP(E354,Groups!A:A,Groups!N:N)="Snake",50*C354^(2/3)*S354,
IF(_xlfn.XLOOKUP(E354,Groups!A:A,Groups!N:N)="StrongBitingHerbivore",87.1133638856975*C354^(2/3)*S354,
IF(_xlfn.XLOOKUP(E354,Groups!A:A,Groups!N:N)="MiscEctotherms",59.4316884072269*C354^(2/3)*S354,
IF(_xlfn.XLOOKUP(E354,Groups!A:A,Groups!N:N)="StrongBeakBird",0.041*(C354*1000)^1.375*S354,
IF(_xlfn.XLOOKUP(E354,Groups!A:A,Groups!N:N)="Bird",0.118*(C354*1000)^0.692*S354,
IF(_xlfn.XLOOKUP(E354,Groups!A:A,Groups!N:N)="Insect",EXP(0.7444*LN(C354)+6.5696)*S354,
IF(_xlfn.XLOOKUP(E354,Groups!A:A,Groups!N:N)="Theropod",EXP(0.6966*LN(C354)+4.158)*S354,
"No"))))))))))))))))</f>
        <v>4489.7201019827762</v>
      </c>
      <c r="AU354" s="8">
        <f>IF(_xlfn.XLOOKUP(E354,Groups!A:A,Groups!U:U)=3,AS354,IF(_xlfn.XLOOKUP(E354,Groups!A:A,Groups!U:U)=2,AR354,AT354))</f>
        <v>8031.5754953691721</v>
      </c>
      <c r="AV354" s="46">
        <f>IFERROR(AVERAGE(_xlfn.XLOOKUP(B354,Animals!B:B,Animals!N:N),_xlfn.XLOOKUP(B354,Animals!B:B,Animals!O:O)),0)</f>
        <v>0</v>
      </c>
      <c r="AW354" s="8">
        <f>MROUND(40*Animals!AO354*_xlfn.XLOOKUP(AG354,Leathers!$A$2:$A$99,Leathers!$B$2:$B$99,0)+(140*_xlfn.XLOOKUP(B354,Animals!B:B,Animals!AO:AO)*2),5)</f>
        <v>700</v>
      </c>
      <c r="AX354" s="8">
        <f>IFERROR(ROUND(SQRT(V354-1)*IF(_xlfn.XLOOKUP(E354,Groups!A:A,Groups!BF:BF)=0,2,1)*IF(_xlfn.XLOOKUP('Base stats'!E354,Groups!A:A,Groups!O:O)=0,1,0.1),1),0)</f>
        <v>1.4</v>
      </c>
      <c r="AY354" s="8">
        <f t="shared" si="168"/>
        <v>0</v>
      </c>
      <c r="AZ354" s="8">
        <f t="shared" si="169"/>
        <v>5</v>
      </c>
      <c r="BA354" s="8">
        <f t="shared" si="170"/>
        <v>6.7</v>
      </c>
      <c r="BB354" s="8">
        <f>IF(_xlfn.XLOOKUP(E354,Groups!A:A,Groups!N:N)="Insect",BD354*2.5,IFERROR(AVERAGE(BD354,AT354/9.81/IF(OR(_xlfn.XLOOKUP(E354,Groups!A:A,Groups!N:N)="Pig",_xlfn.XLOOKUP(E354,Groups!A:A,Groups!N:N)="StrongBitingHerbivore"),20,25))*C354^-0.135,BD354))</f>
        <v>5.9117446401454927</v>
      </c>
      <c r="BC354" s="8">
        <f>IF(W354="No","No",IF(_xlfn.XLOOKUP(E354,Groups!A:A,Groups!U:U)=1,'Base stats'!BB354,IF(OR(_xlfn.XLOOKUP(E354,Groups!A:A,Groups!BD:BD)=1,_xlfn.XLOOKUP(E354,Groups!A:A,Groups!U:U)=2),BD354,IF(_xlfn.XLOOKUP(B354,Animals!B:B,Animals!AO:AO)&gt;4,AVERAGE(BD354,BF354),BF354))))</f>
        <v>3.386180987737534</v>
      </c>
      <c r="BD354" s="8">
        <f t="shared" si="171"/>
        <v>3.386180987737534</v>
      </c>
      <c r="BE354" s="8">
        <f>IF(_xlfn.XLOOKUP(E354,Groups!A:A,Groups!BE:BE)=1,(0.048*C354^1.01)+(0.071*C354^1.03),0.071*C354^1.03)/IF(_xlfn.XLOOKUP(E354,Groups!A:A,Groups!M:M)=1,0.85,IF(OR(_xlfn.XLOOKUP(B354,Animals!B:B,Animals!AO:AO)&gt;4,_xlfn.XLOOKUP(E354,Groups!A:A,Groups!BC:BC)=1),1.7,1))*C354^-0.25</f>
        <v>7.1524642126623554</v>
      </c>
      <c r="BF354" s="8">
        <f>(0.048*C354^1.01)/IF(_xlfn.XLOOKUP(E354,Groups!A:A,Groups!M:M)=1,0.25,0.8)*C354^-0.25</f>
        <v>5.3701270503558947</v>
      </c>
      <c r="BG354" s="8">
        <f>EXP(1.076*LN(AR354)-4.5397)*IF(_xlfn.XLOOKUP(E354,Groups!A:A,Groups!BC:BC)=1,1.25,IF(_xlfn.XLOOKUP(E354,Groups!A:A,Groups!BD:BD)=1,3.5,2.5))</f>
        <v>594.38383200970384</v>
      </c>
      <c r="BH354" s="8">
        <f>EXP(1.076*LN(AS354)-4.5397)*IF(_xlfn.XLOOKUP(E354,Groups!A:A,Groups!M:M)=1,0.8,IF(_xlfn.XLOOKUP(E354,Groups!A:A,Groups!BC:BC)=1,1.3,3))</f>
        <v>496.74970745453231</v>
      </c>
      <c r="BI354" s="8">
        <f>IF(W354="No","No",IF(_xlfn.XLOOKUP(E354,Groups!A:A,Groups!U:U)=1,'Base stats'!BJ354,IF(OR(_xlfn.XLOOKUP(E354,Groups!A:A,Groups!BD:BD)=1,_xlfn.XLOOKUP(E354,Groups!A:A,Groups!U:U)=2),BG354,BH354))*1.2)</f>
        <v>713.26059841164454</v>
      </c>
      <c r="BJ354" s="8">
        <f>IFERROR(EXP(1.076*LN(AT354)-4.5397)*IF(_xlfn.XLOOKUP(E354,Groups!A:A,Groups!N:N)="Insect",1,IF(OR(_xlfn.XLOOKUP(E354,Groups!A:A,Groups!N:N)="Pig",_xlfn.XLOOKUP(E354,Groups!A:A,Groups!N:N)="StrongBitingHerbivore"),3.5,3.75)),"No")</f>
        <v>317.89911305289473</v>
      </c>
      <c r="BK354" s="8">
        <f t="shared" si="172"/>
        <v>18</v>
      </c>
      <c r="BL354" s="8">
        <f t="shared" si="173"/>
        <v>11</v>
      </c>
      <c r="BM354" s="8">
        <f t="shared" si="174"/>
        <v>20</v>
      </c>
      <c r="BN354" s="8">
        <f t="shared" si="175"/>
        <v>10</v>
      </c>
      <c r="BO354" s="8">
        <f t="shared" si="176"/>
        <v>13</v>
      </c>
      <c r="BP354" s="8" t="str" cm="1">
        <f t="array" ref="BP354">IF(AND(_xlfn.XLOOKUP('Base stats'!E354,Groups!A:A,Groups!AD:AD=0),_xlfn.XLOOKUP('Base stats'!E354,Groups!A:A,Groups!P:P=0)),"No",IF(U354="No",AVERAGE(EXP(-0.57+0.99*LN(C354)),EXP(0.32+0.67*LN(C354)))/IF(_xlfn.XLOOKUP(E354,Groups!A:A,Groups!AD:AD)=1,10,2),(0.7354*C354^0.4078)*2/IF(_xlfn.XLOOKUP(E354,Groups!A:A,Groups!BK:BK)=1,1000,100)/IF(_xlfn.XLOOKUP(E354,Groups!A:A,Groups!AJ:AJ)="Photonozoa",3,1)))</f>
        <v>No</v>
      </c>
      <c r="BQ354" s="8">
        <f>IF(W354="No","No",IF(_xlfn.XLOOKUP(E354,Groups!A:A,Groups!BD:BD)=1,(AO354*5%),EXP(0.7354*LN(C354)^0.4078)*2/IF(_xlfn.XLOOKUP(E354,Groups!A:A,Groups!BL:BL)=1,1000,100)/IF(_xlfn.XLOOKUP(E354,Groups!A:A,Groups!AJ:AJ)="Photonozoa",3,1)))</f>
        <v>2591.934985537081</v>
      </c>
      <c r="BR354" s="8">
        <f>IF(BJ354="No","No",IF(_xlfn.XLOOKUP(E354,Groups!A:A,Groups!BF:BF)=1,(0.0315*C354+2.1825)*2,(0.7354*C354^0.4078)*2)/IF(_xlfn.XLOOKUP(E354,Groups!A:A,Groups!BM:BM)=1,1000,100)/IF(_xlfn.XLOOKUP(E354,Groups!A:A,Groups!AJ:AJ)="Photonozoa",3,1))</f>
        <v>0.16400847267436752</v>
      </c>
      <c r="BS354" s="8">
        <f t="shared" si="177"/>
        <v>0.22932050199034609</v>
      </c>
      <c r="BT354" s="8" t="str">
        <f t="shared" si="178"/>
        <v>No</v>
      </c>
      <c r="BU354" s="8">
        <f t="shared" si="179"/>
        <v>0.27518460238841524</v>
      </c>
      <c r="BV354" s="8">
        <f t="shared" si="180"/>
        <v>1938.3090877510404</v>
      </c>
      <c r="BW354" s="4">
        <v>0</v>
      </c>
      <c r="BX354" s="4">
        <v>1</v>
      </c>
    </row>
    <row r="355" spans="1:76" s="16" customFormat="1" x14ac:dyDescent="0.25">
      <c r="A355" s="26" t="s">
        <v>1978</v>
      </c>
      <c r="B355" s="6" t="s">
        <v>1990</v>
      </c>
      <c r="C355" s="7">
        <f>AVERAGE(77,91)</f>
        <v>84</v>
      </c>
      <c r="D355" s="7" t="s">
        <v>2004</v>
      </c>
      <c r="E355" s="7" t="str">
        <f>Groups!$A$132</f>
        <v>Pachycephalosaurid</v>
      </c>
      <c r="F355" s="7" t="str">
        <f t="shared" si="185"/>
        <v>Lay eggs</v>
      </c>
      <c r="G355" s="7">
        <v>2</v>
      </c>
      <c r="H355" s="7">
        <v>15</v>
      </c>
      <c r="I355" s="4">
        <v>1</v>
      </c>
      <c r="J355" s="7" t="str">
        <f t="shared" si="190"/>
        <v>Lay eggs</v>
      </c>
      <c r="K355" s="7" t="s">
        <v>528</v>
      </c>
      <c r="L355" s="7">
        <f>6.7*3.6</f>
        <v>24.12</v>
      </c>
      <c r="M355" s="7" t="s">
        <v>2021</v>
      </c>
      <c r="N355" s="4">
        <v>0</v>
      </c>
      <c r="O355" s="4">
        <v>0</v>
      </c>
      <c r="P355" s="4">
        <v>0</v>
      </c>
      <c r="Q355" s="4">
        <v>0</v>
      </c>
      <c r="R355" s="4" t="s">
        <v>40</v>
      </c>
      <c r="S355" s="7">
        <f>_xlfn.XLOOKUP(B355,[1]TeethAdjusters!$A:$A,[1]BiteAdjusters!$C:$C,1)</f>
        <v>1</v>
      </c>
      <c r="T355" s="7">
        <f>_xlfn.XLOOKUP(B355,[1]TeethAdjusters!$A:$A,[1]TeethAdjusters!$B:$B,1)</f>
        <v>1</v>
      </c>
      <c r="U355" s="7" t="s">
        <v>45</v>
      </c>
      <c r="V355" s="7">
        <v>1</v>
      </c>
      <c r="W355" s="7">
        <v>15</v>
      </c>
      <c r="X355" s="7" t="s">
        <v>932</v>
      </c>
      <c r="Y355" s="4" t="s">
        <v>42</v>
      </c>
      <c r="Z355" s="4">
        <v>1</v>
      </c>
      <c r="AA355" s="4">
        <v>0</v>
      </c>
      <c r="AB355" s="4">
        <v>0</v>
      </c>
      <c r="AC355" s="4">
        <v>0</v>
      </c>
      <c r="AD355" s="4">
        <v>0</v>
      </c>
      <c r="AE355" s="4" t="s">
        <v>45</v>
      </c>
      <c r="AF355" s="4" t="s">
        <v>399</v>
      </c>
      <c r="AG355" s="49" t="s">
        <v>1965</v>
      </c>
      <c r="AH355" s="4" t="s">
        <v>45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4" t="s">
        <v>40</v>
      </c>
      <c r="AO355" s="8">
        <f t="shared" si="166"/>
        <v>19774.454631187291</v>
      </c>
      <c r="AP355" s="8">
        <f>IFERROR(C355*_xlfn.XLOOKUP(E355,Groups!A:A,Groups!K:K),0.106*C355^0.94)</f>
        <v>6.8254044954174029</v>
      </c>
      <c r="AQ355" s="8">
        <f>AP355*10000/(_xlfn.XLOOKUP(E355,Groups!A:A,Groups!J:J)*AO355)</f>
        <v>3.1666304347759899</v>
      </c>
      <c r="AR355" s="8">
        <f t="shared" si="167"/>
        <v>2295.5114460656559</v>
      </c>
      <c r="AS355" s="8">
        <f>IF(_xlfn.XLOOKUP(E355,Groups!A:A,Groups!M:M)=1,EXP(0.7444*LN('Base stats'!C355)+6.5696),EXP(0.7927*LN('Base stats'!C355)+4.28))</f>
        <v>2421.9020377245852</v>
      </c>
      <c r="AT355" s="8">
        <f>IF(_xlfn.XLOOKUP(E355,Groups!A:A,Groups!N:N)="No","No",
IF(_xlfn.XLOOKUP(E355,Groups!A:A,Groups!N:N)="Crocodile",EXP(0.8129*LN(C355)+4.6742)*S355,
IF(_xlfn.XLOOKUP(E355,Groups!A:A,Groups!N:N)="Felid",EXP(0.7843*LN(C355)+4.7073)*S355,
IF(_xlfn.XLOOKUP(E355,Groups!A:A,Groups!N:N)="Canid",EXP(0.8367*LN(C355)+4.8763)*S355,
IF(_xlfn.XLOOKUP(E355,Groups!A:A,Groups!N:N)="Pig",EXP(0.3439*LN(C355)+6.8519)*S355,
IF(_xlfn.XLOOKUP(E355,Groups!A:A,Groups!N:N)="Rodent",EXP(0.5625*LN(C355)+4.3006)*S355,
IF(_xlfn.XLOOKUP(E355,Groups!A:A,Groups!N:N)="Primate",EXP(0.7847*LN(C355)+3.4931)*S355,
IF(_xlfn.XLOOKUP(E355,Groups!A:A,Groups!N:N)="MiscCarnivora",EXP(0.7486*LN(C355)+4.2207)*S355,
IF(_xlfn.XLOOKUP(E355,Groups!A:A,Groups!N:N)="Lizard",EXP(0.7733*LN(C355)+5.5303)*S355,
IF(_xlfn.XLOOKUP(E355,Groups!A:A,Groups!N:N)="Snake",50*C355^(2/3)*S355,
IF(_xlfn.XLOOKUP(E355,Groups!A:A,Groups!N:N)="StrongBitingHerbivore",87.1133638856975*C355^(2/3)*S355,
IF(_xlfn.XLOOKUP(E355,Groups!A:A,Groups!N:N)="MiscEctotherms",59.4316884072269*C355^(2/3)*S355,
IF(_xlfn.XLOOKUP(E355,Groups!A:A,Groups!N:N)="StrongBeakBird",0.041*(C355*1000)^1.375*S355,
IF(_xlfn.XLOOKUP(E355,Groups!A:A,Groups!N:N)="Bird",0.118*(C355*1000)^0.692*S355,
IF(_xlfn.XLOOKUP(E355,Groups!A:A,Groups!N:N)="Insect",EXP(0.7444*LN(C355)+6.5696)*S355,
IF(_xlfn.XLOOKUP(E355,Groups!A:A,Groups!N:N)="Theropod",EXP(0.6966*LN(C355)+4.158)*S355,
"No"))))))))))))))))</f>
        <v>1670.8506876364306</v>
      </c>
      <c r="AU355" s="8">
        <f>IF(_xlfn.XLOOKUP(E355,Groups!A:A,Groups!U:U)=3,AS355,IF(_xlfn.XLOOKUP(E355,Groups!A:A,Groups!U:U)=2,AR355,AT355))</f>
        <v>2295.5114460656559</v>
      </c>
      <c r="AV355" s="46">
        <f>IFERROR(AVERAGE(_xlfn.XLOOKUP(B355,Animals!B:B,Animals!N:N),_xlfn.XLOOKUP(B355,Animals!B:B,Animals!O:O)),0)</f>
        <v>0</v>
      </c>
      <c r="AW355" s="8">
        <f>MROUND(40*Animals!AO355*_xlfn.XLOOKUP(AG355,Leathers!$A$2:$A$99,Leathers!$B$2:$B$99,0)+(140*_xlfn.XLOOKUP(B355,Animals!B:B,Animals!AO:AO)*2),5)</f>
        <v>310</v>
      </c>
      <c r="AX355" s="8">
        <f>IFERROR(ROUND(SQRT(V355-1)*IF(_xlfn.XLOOKUP(E355,Groups!A:A,Groups!BF:BF)=0,2,1)*IF(_xlfn.XLOOKUP('Base stats'!E355,Groups!A:A,Groups!O:O)=0,1,0.1),1),0)</f>
        <v>0</v>
      </c>
      <c r="AY355" s="8">
        <f t="shared" si="168"/>
        <v>0</v>
      </c>
      <c r="AZ355" s="8">
        <f t="shared" si="169"/>
        <v>3.9</v>
      </c>
      <c r="BA355" s="8">
        <f t="shared" si="170"/>
        <v>3.9</v>
      </c>
      <c r="BB355" s="8">
        <f>IF(_xlfn.XLOOKUP(E355,Groups!A:A,Groups!N:N)="Insect",BD355*2.5,IFERROR(AVERAGE(BD355,AT355/9.81/IF(OR(_xlfn.XLOOKUP(E355,Groups!A:A,Groups!N:N)="Pig",_xlfn.XLOOKUP(E355,Groups!A:A,Groups!N:N)="StrongBitingHerbivore"),20,25))*C355^-0.135,BD355))</f>
        <v>2.6455173190481354</v>
      </c>
      <c r="BC355" s="8">
        <f>IF(W355="No","No",IF(_xlfn.XLOOKUP(E355,Groups!A:A,Groups!U:U)=1,'Base stats'!BB355,IF(OR(_xlfn.XLOOKUP(E355,Groups!A:A,Groups!BD:BD)=1,_xlfn.XLOOKUP(E355,Groups!A:A,Groups!U:U)=2),BD355,IF(_xlfn.XLOOKUP(B355,Animals!B:B,Animals!AO:AO)&gt;4,AVERAGE(BD355,BF355),BF355))))</f>
        <v>1.1071147801702368</v>
      </c>
      <c r="BD355" s="8">
        <f t="shared" si="171"/>
        <v>1.1071147801702368</v>
      </c>
      <c r="BE355" s="8">
        <f>IF(_xlfn.XLOOKUP(E355,Groups!A:A,Groups!BE:BE)=1,(0.048*C355^1.01)+(0.071*C355^1.03),0.071*C355^1.03)/IF(_xlfn.XLOOKUP(E355,Groups!A:A,Groups!M:M)=1,0.85,IF(OR(_xlfn.XLOOKUP(B355,Animals!B:B,Animals!AO:AO)&gt;4,_xlfn.XLOOKUP(E355,Groups!A:A,Groups!BC:BC)=1),1.7,1))*C355^-0.25</f>
        <v>2.2500708422316529</v>
      </c>
      <c r="BF355" s="8">
        <f>(0.048*C355^1.01)/IF(_xlfn.XLOOKUP(E355,Groups!A:A,Groups!M:M)=1,0.25,0.8)*C355^-0.25</f>
        <v>1.7402174041945779</v>
      </c>
      <c r="BG355" s="8">
        <f>EXP(1.076*LN(AR355)-4.5397)*IF(_xlfn.XLOOKUP(E355,Groups!A:A,Groups!BC:BC)=1,1.25,IF(_xlfn.XLOOKUP(E355,Groups!A:A,Groups!BD:BD)=1,3.5,2.5))</f>
        <v>154.45703247130209</v>
      </c>
      <c r="BH355" s="8">
        <f>EXP(1.076*LN(AS355)-4.5397)*IF(_xlfn.XLOOKUP(E355,Groups!A:A,Groups!M:M)=1,0.8,IF(_xlfn.XLOOKUP(E355,Groups!A:A,Groups!BC:BC)=1,1.3,3))</f>
        <v>140.25135551131055</v>
      </c>
      <c r="BI355" s="8">
        <f>IF(W355="No","No",IF(_xlfn.XLOOKUP(E355,Groups!A:A,Groups!U:U)=1,'Base stats'!BJ355,IF(OR(_xlfn.XLOOKUP(E355,Groups!A:A,Groups!BD:BD)=1,_xlfn.XLOOKUP(E355,Groups!A:A,Groups!U:U)=2),BG355,BH355))*1.2)</f>
        <v>185.34843896556251</v>
      </c>
      <c r="BJ355" s="8">
        <f>IFERROR(EXP(1.076*LN(AT355)-4.5397)*IF(_xlfn.XLOOKUP(E355,Groups!A:A,Groups!N:N)="Insect",1,IF(OR(_xlfn.XLOOKUP(E355,Groups!A:A,Groups!N:N)="Pig",_xlfn.XLOOKUP(E355,Groups!A:A,Groups!N:N)="StrongBitingHerbivore"),3.5,3.75)),"No")</f>
        <v>109.74437950957756</v>
      </c>
      <c r="BK355" s="8">
        <f t="shared" si="172"/>
        <v>16</v>
      </c>
      <c r="BL355" s="8">
        <f t="shared" si="173"/>
        <v>11</v>
      </c>
      <c r="BM355" s="8">
        <f t="shared" si="174"/>
        <v>18</v>
      </c>
      <c r="BN355" s="8">
        <f t="shared" si="175"/>
        <v>9</v>
      </c>
      <c r="BO355" s="8">
        <f t="shared" si="176"/>
        <v>12</v>
      </c>
      <c r="BP355" s="8" t="str" cm="1">
        <f t="array" ref="BP355">IF(AND(_xlfn.XLOOKUP('Base stats'!E355,Groups!A:A,Groups!AD:AD=0),_xlfn.XLOOKUP('Base stats'!E355,Groups!A:A,Groups!P:P=0)),"No",IF(U355="No",AVERAGE(EXP(-0.57+0.99*LN(C355)),EXP(0.32+0.67*LN(C355)))/IF(_xlfn.XLOOKUP(E355,Groups!A:A,Groups!AD:AD)=1,10,2),(0.7354*C355^0.4078)*2/IF(_xlfn.XLOOKUP(E355,Groups!A:A,Groups!BK:BK)=1,1000,100)/IF(_xlfn.XLOOKUP(E355,Groups!A:A,Groups!AJ:AJ)="Photonozoa",3,1)))</f>
        <v>No</v>
      </c>
      <c r="BQ355" s="8">
        <f>IF(W355="No","No",IF(_xlfn.XLOOKUP(E355,Groups!A:A,Groups!BD:BD)=1,(AO355*5%),EXP(0.7354*LN(C355)^0.4078)*2/IF(_xlfn.XLOOKUP(E355,Groups!A:A,Groups!BL:BL)=1,1000,100)/IF(_xlfn.XLOOKUP(E355,Groups!A:A,Groups!AJ:AJ)="Photonozoa",3,1)))</f>
        <v>988.72273155936455</v>
      </c>
      <c r="BR355" s="8">
        <f>IF(BJ355="No","No",IF(_xlfn.XLOOKUP(E355,Groups!A:A,Groups!BF:BF)=1,(0.0315*C355+2.1825)*2,(0.7354*C355^0.4078)*2)/IF(_xlfn.XLOOKUP(E355,Groups!A:A,Groups!BM:BM)=1,1000,100)/IF(_xlfn.XLOOKUP(E355,Groups!A:A,Groups!AJ:AJ)="Photonozoa",3,1))</f>
        <v>8.959313099208234E-2</v>
      </c>
      <c r="BS355" s="8">
        <f t="shared" si="177"/>
        <v>0.15621875328758761</v>
      </c>
      <c r="BT355" s="8" t="str">
        <f t="shared" si="178"/>
        <v>No</v>
      </c>
      <c r="BU355" s="8">
        <f t="shared" si="179"/>
        <v>0.18746250394510514</v>
      </c>
      <c r="BV355" s="8">
        <f t="shared" si="180"/>
        <v>1224.9195702210257</v>
      </c>
      <c r="BW355" s="4">
        <v>0</v>
      </c>
      <c r="BX355" s="4">
        <v>1</v>
      </c>
    </row>
    <row r="356" spans="1:76" s="16" customFormat="1" x14ac:dyDescent="0.25">
      <c r="A356" s="26" t="s">
        <v>1979</v>
      </c>
      <c r="B356" s="6" t="s">
        <v>1991</v>
      </c>
      <c r="C356" s="7">
        <v>104.3</v>
      </c>
      <c r="D356" s="7" t="s">
        <v>1957</v>
      </c>
      <c r="E356" s="7" t="str">
        <f>Groups!$A$124</f>
        <v>Theropod (TEETHLESS ROAMER)</v>
      </c>
      <c r="F356" s="7" t="str">
        <f t="shared" si="185"/>
        <v>Lay eggs</v>
      </c>
      <c r="G356" s="7">
        <v>2</v>
      </c>
      <c r="H356" s="7">
        <v>15</v>
      </c>
      <c r="I356" s="4">
        <v>1</v>
      </c>
      <c r="J356" s="7" t="str">
        <f t="shared" si="190"/>
        <v>Lay eggs</v>
      </c>
      <c r="K356" s="7" t="s">
        <v>528</v>
      </c>
      <c r="L356" s="7">
        <f>10.5*3.6</f>
        <v>37.800000000000004</v>
      </c>
      <c r="M356" s="7" t="s">
        <v>1958</v>
      </c>
      <c r="N356" s="4">
        <v>0</v>
      </c>
      <c r="O356" s="4">
        <v>0</v>
      </c>
      <c r="P356" s="4">
        <v>0</v>
      </c>
      <c r="Q356" s="4">
        <v>0</v>
      </c>
      <c r="R356" s="4" t="s">
        <v>40</v>
      </c>
      <c r="S356" s="7">
        <f>_xlfn.XLOOKUP(B356,[1]TeethAdjusters!$A:$A,[1]BiteAdjusters!$C:$C,1)</f>
        <v>1</v>
      </c>
      <c r="T356" s="7">
        <f>_xlfn.XLOOKUP(B356,[1]TeethAdjusters!$A:$A,[1]TeethAdjusters!$B:$B,1)</f>
        <v>1</v>
      </c>
      <c r="U356" s="7" t="s">
        <v>45</v>
      </c>
      <c r="V356" s="7">
        <v>7.5</v>
      </c>
      <c r="W356" s="7" t="s">
        <v>45</v>
      </c>
      <c r="X356" s="7" t="s">
        <v>932</v>
      </c>
      <c r="Y356" s="4" t="s">
        <v>42</v>
      </c>
      <c r="Z356" s="4">
        <v>1</v>
      </c>
      <c r="AA356" s="4">
        <v>0</v>
      </c>
      <c r="AB356" s="4">
        <v>0</v>
      </c>
      <c r="AC356" s="4">
        <v>0</v>
      </c>
      <c r="AD356" s="4">
        <v>0</v>
      </c>
      <c r="AE356" s="4" t="s">
        <v>45</v>
      </c>
      <c r="AF356" s="4" t="s">
        <v>399</v>
      </c>
      <c r="AG356" s="49" t="s">
        <v>1965</v>
      </c>
      <c r="AH356" s="4" t="s">
        <v>45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4" t="s">
        <v>40</v>
      </c>
      <c r="AO356" s="8">
        <f t="shared" si="166"/>
        <v>22761.861647724567</v>
      </c>
      <c r="AP356" s="8">
        <f>IFERROR(C356*_xlfn.XLOOKUP(E356,Groups!A:A,Groups!K:K),0.106*C356^0.94)</f>
        <v>8.3655233389466304</v>
      </c>
      <c r="AQ356" s="8">
        <f>AP356*10000/(_xlfn.XLOOKUP(E356,Groups!A:A,Groups!J:J)*AO356)</f>
        <v>3.3717769543014078</v>
      </c>
      <c r="AR356" s="8">
        <f t="shared" si="167"/>
        <v>2756.0399274355582</v>
      </c>
      <c r="AS356" s="8">
        <f>IF(_xlfn.XLOOKUP(E356,Groups!A:A,Groups!M:M)=1,EXP(0.7444*LN('Base stats'!C356)+6.5696),EXP(0.7927*LN('Base stats'!C356)+4.28))</f>
        <v>2875.2416695216098</v>
      </c>
      <c r="AT356" s="8">
        <f>IF(_xlfn.XLOOKUP(E356,Groups!A:A,Groups!N:N)="No","No",
IF(_xlfn.XLOOKUP(E356,Groups!A:A,Groups!N:N)="Crocodile",EXP(0.8129*LN(C356)+4.6742)*S356,
IF(_xlfn.XLOOKUP(E356,Groups!A:A,Groups!N:N)="Felid",EXP(0.7843*LN(C356)+4.7073)*S356,
IF(_xlfn.XLOOKUP(E356,Groups!A:A,Groups!N:N)="Canid",EXP(0.8367*LN(C356)+4.8763)*S356,
IF(_xlfn.XLOOKUP(E356,Groups!A:A,Groups!N:N)="Pig",EXP(0.3439*LN(C356)+6.8519)*S356,
IF(_xlfn.XLOOKUP(E356,Groups!A:A,Groups!N:N)="Rodent",EXP(0.5625*LN(C356)+4.3006)*S356,
IF(_xlfn.XLOOKUP(E356,Groups!A:A,Groups!N:N)="Primate",EXP(0.7847*LN(C356)+3.4931)*S356,
IF(_xlfn.XLOOKUP(E356,Groups!A:A,Groups!N:N)="MiscCarnivora",EXP(0.7486*LN(C356)+4.2207)*S356,
IF(_xlfn.XLOOKUP(E356,Groups!A:A,Groups!N:N)="Lizard",EXP(0.7733*LN(C356)+5.5303)*S356,
IF(_xlfn.XLOOKUP(E356,Groups!A:A,Groups!N:N)="Snake",50*C356^(2/3)*S356,
IF(_xlfn.XLOOKUP(E356,Groups!A:A,Groups!N:N)="StrongBitingHerbivore",87.1133638856975*C356^(2/3)*S356,
IF(_xlfn.XLOOKUP(E356,Groups!A:A,Groups!N:N)="MiscEctotherms",59.4316884072269*C356^(2/3)*S356,
IF(_xlfn.XLOOKUP(E356,Groups!A:A,Groups!N:N)="StrongBeakBird",0.041*(C356*1000)^1.375*S356,
IF(_xlfn.XLOOKUP(E356,Groups!A:A,Groups!N:N)="Bird",0.118*(C356*1000)^0.692*S356,
IF(_xlfn.XLOOKUP(E356,Groups!A:A,Groups!N:N)="Insect",EXP(0.7444*LN(C356)+6.5696)*S356,
IF(_xlfn.XLOOKUP(E356,Groups!A:A,Groups!N:N)="Theropod",EXP(0.6966*LN(C356)+4.158)*S356,
"No"))))))))))))))))</f>
        <v>1628.2958087672378</v>
      </c>
      <c r="AU356" s="8">
        <f>IF(_xlfn.XLOOKUP(E356,Groups!A:A,Groups!U:U)=3,AS356,IF(_xlfn.XLOOKUP(E356,Groups!A:A,Groups!U:U)=2,AR356,AT356))</f>
        <v>1628.2958087672378</v>
      </c>
      <c r="AV356" s="46">
        <f>IFERROR(AVERAGE(_xlfn.XLOOKUP(B356,Animals!B:B,Animals!N:N),_xlfn.XLOOKUP(B356,Animals!B:B,Animals!O:O)),0)</f>
        <v>0</v>
      </c>
      <c r="AW356" s="8">
        <f>MROUND(40*Animals!AO356*_xlfn.XLOOKUP(AG356,Leathers!$A$2:$A$99,Leathers!$B$2:$B$99,0)+(140*_xlfn.XLOOKUP(B356,Animals!B:B,Animals!AO:AO)*2),5)</f>
        <v>365</v>
      </c>
      <c r="AX356" s="8">
        <f>IFERROR(ROUND(SQRT(V356-1)*IF(_xlfn.XLOOKUP(E356,Groups!A:A,Groups!BF:BF)=0,2,1)*IF(_xlfn.XLOOKUP('Base stats'!E356,Groups!A:A,Groups!O:O)=0,1,0.1),1),0)</f>
        <v>0.5</v>
      </c>
      <c r="AY356" s="8">
        <f t="shared" si="168"/>
        <v>0</v>
      </c>
      <c r="AZ356" s="8">
        <f t="shared" si="169"/>
        <v>0</v>
      </c>
      <c r="BA356" s="8">
        <f t="shared" si="170"/>
        <v>4.2</v>
      </c>
      <c r="BB356" s="8">
        <f>IF(_xlfn.XLOOKUP(E356,Groups!A:A,Groups!N:N)="Insect",BD356*2.5,IFERROR(AVERAGE(BD356,AT356/9.81/IF(OR(_xlfn.XLOOKUP(E356,Groups!A:A,Groups!N:N)="Pig",_xlfn.XLOOKUP(E356,Groups!A:A,Groups!N:N)="StrongBitingHerbivore"),20,25))*C356^-0.135,BD356))</f>
        <v>2.1206577495842613</v>
      </c>
      <c r="BC356" s="8" t="str">
        <f>IF(W356="No","No",IF(_xlfn.XLOOKUP(E356,Groups!A:A,Groups!U:U)=1,'Base stats'!BB356,IF(OR(_xlfn.XLOOKUP(E356,Groups!A:A,Groups!BD:BD)=1,_xlfn.XLOOKUP(E356,Groups!A:A,Groups!U:U)=2),BD356,IF(_xlfn.XLOOKUP(B356,Animals!B:B,Animals!AO:AO)&gt;4,AVERAGE(BD356,BF356),BF356))))</f>
        <v>No</v>
      </c>
      <c r="BD356" s="8">
        <f t="shared" si="171"/>
        <v>1.3033841505584316</v>
      </c>
      <c r="BE356" s="8">
        <f>IF(_xlfn.XLOOKUP(E356,Groups!A:A,Groups!BE:BE)=1,(0.048*C356^1.01)+(0.071*C356^1.03),0.071*C356^1.03)/IF(_xlfn.XLOOKUP(E356,Groups!A:A,Groups!M:M)=1,0.85,IF(OR(_xlfn.XLOOKUP(B356,Animals!B:B,Animals!AO:AO)&gt;4,_xlfn.XLOOKUP(E356,Groups!A:A,Groups!BC:BC)=1),1.7,1))*C356^-0.25</f>
        <v>4.3050220058946325</v>
      </c>
      <c r="BF356" s="8">
        <f>(0.048*C356^1.01)/IF(_xlfn.XLOOKUP(E356,Groups!A:A,Groups!M:M)=1,0.25,0.8)*C356^-0.25</f>
        <v>2.0513857048153721</v>
      </c>
      <c r="BG356" s="8">
        <f>EXP(1.076*LN(AR356)-4.5397)*IF(_xlfn.XLOOKUP(E356,Groups!A:A,Groups!BC:BC)=1,1.25,IF(_xlfn.XLOOKUP(E356,Groups!A:A,Groups!BD:BD)=1,3.5,2.5))</f>
        <v>134.31377409972711</v>
      </c>
      <c r="BH356" s="8">
        <f>EXP(1.076*LN(AS356)-4.5397)*IF(_xlfn.XLOOKUP(E356,Groups!A:A,Groups!M:M)=1,0.8,IF(_xlfn.XLOOKUP(E356,Groups!A:A,Groups!BC:BC)=1,1.3,3))</f>
        <v>168.68955786695562</v>
      </c>
      <c r="BI356" s="8" t="str">
        <f>IF(W356="No","No",IF(_xlfn.XLOOKUP(E356,Groups!A:A,Groups!U:U)=1,'Base stats'!BJ356,IF(OR(_xlfn.XLOOKUP(E356,Groups!A:A,Groups!BD:BD)=1,_xlfn.XLOOKUP(E356,Groups!A:A,Groups!U:U)=2),BG356,BH356))*1.2)</f>
        <v>No</v>
      </c>
      <c r="BJ356" s="8">
        <f>IFERROR(EXP(1.076*LN(AT356)-4.5397)*IF(_xlfn.XLOOKUP(E356,Groups!A:A,Groups!N:N)="Insect",1,IF(OR(_xlfn.XLOOKUP(E356,Groups!A:A,Groups!N:N)="Pig",_xlfn.XLOOKUP(E356,Groups!A:A,Groups!N:N)="StrongBitingHerbivore"),3.5,3.75)),"No")</f>
        <v>114.36408099122092</v>
      </c>
      <c r="BK356" s="8">
        <f t="shared" si="172"/>
        <v>14</v>
      </c>
      <c r="BL356" s="8">
        <f t="shared" si="173"/>
        <v>8</v>
      </c>
      <c r="BM356" s="8" t="str">
        <f t="shared" si="174"/>
        <v>No</v>
      </c>
      <c r="BN356" s="8">
        <f t="shared" si="175"/>
        <v>10</v>
      </c>
      <c r="BO356" s="8">
        <f t="shared" si="176"/>
        <v>12</v>
      </c>
      <c r="BP356" s="8" t="str" cm="1">
        <f t="array" ref="BP356">IF(AND(_xlfn.XLOOKUP('Base stats'!E356,Groups!A:A,Groups!AD:AD=0),_xlfn.XLOOKUP('Base stats'!E356,Groups!A:A,Groups!P:P=0)),"No",IF(U356="No",AVERAGE(EXP(-0.57+0.99*LN(C356)),EXP(0.32+0.67*LN(C356)))/IF(_xlfn.XLOOKUP(E356,Groups!A:A,Groups!AD:AD)=1,10,2),(0.7354*C356^0.4078)*2/IF(_xlfn.XLOOKUP(E356,Groups!A:A,Groups!BK:BK)=1,1000,100)/IF(_xlfn.XLOOKUP(E356,Groups!A:A,Groups!AJ:AJ)="Photonozoa",3,1)))</f>
        <v>No</v>
      </c>
      <c r="BQ356" s="8" t="str">
        <f>IF(W356="No","No",IF(_xlfn.XLOOKUP(E356,Groups!A:A,Groups!BD:BD)=1,(AO356*5%),EXP(0.7354*LN(C356)^0.4078)*2/IF(_xlfn.XLOOKUP(E356,Groups!A:A,Groups!BL:BL)=1,1000,100)/IF(_xlfn.XLOOKUP(E356,Groups!A:A,Groups!AJ:AJ)="Photonozoa",3,1)))</f>
        <v>No</v>
      </c>
      <c r="BR356" s="8">
        <f>IF(BJ356="No","No",IF(_xlfn.XLOOKUP(E356,Groups!A:A,Groups!BF:BF)=1,(0.0315*C356+2.1825)*2,(0.7354*C356^0.4078)*2)/IF(_xlfn.XLOOKUP(E356,Groups!A:A,Groups!BM:BM)=1,1000,100)/IF(_xlfn.XLOOKUP(E356,Groups!A:A,Groups!AJ:AJ)="Photonozoa",3,1))</f>
        <v>9.7861070496824812E-2</v>
      </c>
      <c r="BS356" s="8">
        <f t="shared" si="177"/>
        <v>0.11801651040538158</v>
      </c>
      <c r="BT356" s="8" t="str">
        <f t="shared" si="178"/>
        <v>No</v>
      </c>
      <c r="BU356" s="8" t="str">
        <f t="shared" si="179"/>
        <v>No</v>
      </c>
      <c r="BV356" s="8">
        <f t="shared" si="180"/>
        <v>1168.6371343641858</v>
      </c>
      <c r="BW356" s="4">
        <v>0</v>
      </c>
      <c r="BX356" s="4">
        <v>1</v>
      </c>
    </row>
    <row r="357" spans="1:76" s="16" customFormat="1" x14ac:dyDescent="0.25">
      <c r="A357" s="26" t="s">
        <v>1980</v>
      </c>
      <c r="B357" s="6" t="s">
        <v>1992</v>
      </c>
      <c r="C357" s="7">
        <v>3900</v>
      </c>
      <c r="D357" s="7" t="s">
        <v>2005</v>
      </c>
      <c r="E357" s="7" t="str">
        <f>Groups!$A$133</f>
        <v>Stegosaurid</v>
      </c>
      <c r="F357" s="7" t="str">
        <f t="shared" si="185"/>
        <v>Lay eggs</v>
      </c>
      <c r="G357" s="7">
        <v>20</v>
      </c>
      <c r="H357" s="7">
        <v>50</v>
      </c>
      <c r="I357" s="4">
        <v>1</v>
      </c>
      <c r="J357" s="7" t="str">
        <f t="shared" si="190"/>
        <v>Lay eggs</v>
      </c>
      <c r="K357" s="7" t="s">
        <v>528</v>
      </c>
      <c r="L357" s="7">
        <f>0.7*10^(1.6347-0.1517*LOG10(C357/1000)-0.0615*(LOG10(C357/1000)^2))</f>
        <v>23.369426834801082</v>
      </c>
      <c r="M357" s="7" t="s">
        <v>1959</v>
      </c>
      <c r="N357" s="4">
        <v>0</v>
      </c>
      <c r="O357" s="4">
        <v>0</v>
      </c>
      <c r="P357" s="4">
        <v>0</v>
      </c>
      <c r="Q357" s="4">
        <v>0</v>
      </c>
      <c r="R357" s="4" t="s">
        <v>40</v>
      </c>
      <c r="S357" s="7">
        <f>_xlfn.XLOOKUP(B357,[1]TeethAdjusters!$A:$A,[1]BiteAdjusters!$C:$C,1)</f>
        <v>1</v>
      </c>
      <c r="T357" s="7">
        <f>_xlfn.XLOOKUP(B357,[1]TeethAdjusters!$A:$A,[1]TeethAdjusters!$B:$B,1)</f>
        <v>1</v>
      </c>
      <c r="U357" s="7" t="s">
        <v>45</v>
      </c>
      <c r="V357" s="7" t="s">
        <v>45</v>
      </c>
      <c r="W357" s="7">
        <v>63</v>
      </c>
      <c r="X357" s="7" t="s">
        <v>932</v>
      </c>
      <c r="Y357" s="4" t="s">
        <v>42</v>
      </c>
      <c r="Z357" s="4">
        <v>1</v>
      </c>
      <c r="AA357" s="4">
        <v>0</v>
      </c>
      <c r="AB357" s="4">
        <v>0</v>
      </c>
      <c r="AC357" s="4">
        <v>0</v>
      </c>
      <c r="AD357" s="4">
        <v>0</v>
      </c>
      <c r="AE357" s="4" t="s">
        <v>45</v>
      </c>
      <c r="AF357" s="4" t="s">
        <v>311</v>
      </c>
      <c r="AG357" s="49" t="s">
        <v>1970</v>
      </c>
      <c r="AH357" s="4" t="s">
        <v>45</v>
      </c>
      <c r="AI357" s="4">
        <v>1</v>
      </c>
      <c r="AJ357" s="4">
        <v>0</v>
      </c>
      <c r="AK357" s="4">
        <v>0</v>
      </c>
      <c r="AL357" s="4">
        <v>0</v>
      </c>
      <c r="AM357" s="4">
        <v>0</v>
      </c>
      <c r="AN357" s="44" t="s">
        <v>40</v>
      </c>
      <c r="AO357" s="8">
        <f t="shared" si="166"/>
        <v>239615.53615796732</v>
      </c>
      <c r="AP357" s="8">
        <f>IFERROR(C357*_xlfn.XLOOKUP(E357,Groups!A:A,Groups!K:K),0.106*C357^0.94)</f>
        <v>780</v>
      </c>
      <c r="AQ357" s="8">
        <f>AP357*10000/(_xlfn.XLOOKUP(E357,Groups!A:A,Groups!J:J)*AO357)</f>
        <v>29.864354446677869</v>
      </c>
      <c r="AR357" s="8">
        <f t="shared" si="167"/>
        <v>58723.647523783853</v>
      </c>
      <c r="AS357" s="8">
        <f>IF(_xlfn.XLOOKUP(E357,Groups!A:A,Groups!M:M)=1,EXP(0.7444*LN('Base stats'!C357)+6.5696),EXP(0.7927*LN('Base stats'!C357)+4.28))</f>
        <v>50747.808987893848</v>
      </c>
      <c r="AT357" s="8" t="str">
        <f>IF(_xlfn.XLOOKUP(E357,Groups!A:A,Groups!N:N)="No","No",
IF(_xlfn.XLOOKUP(E357,Groups!A:A,Groups!N:N)="Crocodile",EXP(0.8129*LN(C357)+4.6742)*S357,
IF(_xlfn.XLOOKUP(E357,Groups!A:A,Groups!N:N)="Felid",EXP(0.7843*LN(C357)+4.7073)*S357,
IF(_xlfn.XLOOKUP(E357,Groups!A:A,Groups!N:N)="Canid",EXP(0.8367*LN(C357)+4.8763)*S357,
IF(_xlfn.XLOOKUP(E357,Groups!A:A,Groups!N:N)="Pig",EXP(0.3439*LN(C357)+6.8519)*S357,
IF(_xlfn.XLOOKUP(E357,Groups!A:A,Groups!N:N)="Rodent",EXP(0.5625*LN(C357)+4.3006)*S357,
IF(_xlfn.XLOOKUP(E357,Groups!A:A,Groups!N:N)="Primate",EXP(0.7847*LN(C357)+3.4931)*S357,
IF(_xlfn.XLOOKUP(E357,Groups!A:A,Groups!N:N)="MiscCarnivora",EXP(0.7486*LN(C357)+4.2207)*S357,
IF(_xlfn.XLOOKUP(E357,Groups!A:A,Groups!N:N)="Lizard",EXP(0.7733*LN(C357)+5.5303)*S357,
IF(_xlfn.XLOOKUP(E357,Groups!A:A,Groups!N:N)="Snake",50*C357^(2/3)*S357,
IF(_xlfn.XLOOKUP(E357,Groups!A:A,Groups!N:N)="StrongBitingHerbivore",87.1133638856975*C357^(2/3)*S357,
IF(_xlfn.XLOOKUP(E357,Groups!A:A,Groups!N:N)="MiscEctotherms",59.4316884072269*C357^(2/3)*S357,
IF(_xlfn.XLOOKUP(E357,Groups!A:A,Groups!N:N)="StrongBeakBird",0.041*(C357*1000)^1.375*S357,
IF(_xlfn.XLOOKUP(E357,Groups!A:A,Groups!N:N)="Bird",0.118*(C357*1000)^0.692*S357,
IF(_xlfn.XLOOKUP(E357,Groups!A:A,Groups!N:N)="Insect",EXP(0.7444*LN(C357)+6.5696)*S357,
IF(_xlfn.XLOOKUP(E357,Groups!A:A,Groups!N:N)="Theropod",EXP(0.6966*LN(C357)+4.158)*S357,
"No"))))))))))))))))</f>
        <v>No</v>
      </c>
      <c r="AU357" s="8">
        <f>IF(_xlfn.XLOOKUP(E357,Groups!A:A,Groups!U:U)=3,AS357,IF(_xlfn.XLOOKUP(E357,Groups!A:A,Groups!U:U)=2,AR357,AT357))</f>
        <v>50747.808987893848</v>
      </c>
      <c r="AV357" s="46">
        <f>IFERROR(AVERAGE(_xlfn.XLOOKUP(B357,Animals!B:B,Animals!N:N),_xlfn.XLOOKUP(B357,Animals!B:B,Animals!O:O)),0)</f>
        <v>0.55000000000000004</v>
      </c>
      <c r="AW357" s="8">
        <f>MROUND(40*Animals!AO357*_xlfn.XLOOKUP(AG357,Leathers!$A$2:$A$99,Leathers!$B$2:$B$99,0)+(140*_xlfn.XLOOKUP(B357,Animals!B:B,Animals!AO:AO)*2),5)</f>
        <v>1330</v>
      </c>
      <c r="AX357" s="8">
        <f>IFERROR(ROUND(SQRT(V357-1)*IF(_xlfn.XLOOKUP(E357,Groups!A:A,Groups!BF:BF)=0,2,1)*IF(_xlfn.XLOOKUP('Base stats'!E357,Groups!A:A,Groups!O:O)=0,1,0.1),1),0)</f>
        <v>0</v>
      </c>
      <c r="AY357" s="8">
        <f t="shared" si="168"/>
        <v>0</v>
      </c>
      <c r="AZ357" s="8">
        <f t="shared" si="169"/>
        <v>7.9</v>
      </c>
      <c r="BA357" s="8">
        <f t="shared" si="170"/>
        <v>15.5</v>
      </c>
      <c r="BB357" s="8">
        <f>IF(_xlfn.XLOOKUP(E357,Groups!A:A,Groups!N:N)="Insect",BD357*2.5,IFERROR(AVERAGE(BD357,AT357/9.81/IF(OR(_xlfn.XLOOKUP(E357,Groups!A:A,Groups!N:N)="Pig",_xlfn.XLOOKUP(E357,Groups!A:A,Groups!N:N)="StrongBitingHerbivore"),20,25))*C357^-0.135,BD357))</f>
        <v>19.996260263225622</v>
      </c>
      <c r="BC357" s="8">
        <f>IF(W357="No","No",IF(_xlfn.XLOOKUP(E357,Groups!A:A,Groups!U:U)=1,'Base stats'!BB357,IF(OR(_xlfn.XLOOKUP(E357,Groups!A:A,Groups!BD:BD)=1,_xlfn.XLOOKUP(E357,Groups!A:A,Groups!U:U)=2),BD357,IF(_xlfn.XLOOKUP(B357,Animals!B:B,Animals!AO:AO)&gt;4,AVERAGE(BD357,BF357),BF357))))</f>
        <v>26.07977087924117</v>
      </c>
      <c r="BD357" s="8">
        <f t="shared" si="171"/>
        <v>19.996260263225622</v>
      </c>
      <c r="BE357" s="8">
        <f>IF(_xlfn.XLOOKUP(E357,Groups!A:A,Groups!BE:BE)=1,(0.048*C357^1.01)+(0.071*C357^1.03),0.071*C357^1.03)/IF(_xlfn.XLOOKUP(E357,Groups!A:A,Groups!M:M)=1,0.85,IF(OR(_xlfn.XLOOKUP(B357,Animals!B:B,Animals!AO:AO)&gt;4,_xlfn.XLOOKUP(E357,Groups!A:A,Groups!BC:BC)=1),1.7,1))*C357^-0.25</f>
        <v>26.414343474760031</v>
      </c>
      <c r="BF357" s="8">
        <f>(0.048*C357^1.01)/IF(_xlfn.XLOOKUP(E357,Groups!A:A,Groups!M:M)=1,0.25,0.8)*C357^-0.25</f>
        <v>32.163281495256719</v>
      </c>
      <c r="BG357" s="8">
        <f>EXP(1.076*LN(AR357)-4.5397)*IF(_xlfn.XLOOKUP(E357,Groups!A:A,Groups!BC:BC)=1,1.25,IF(_xlfn.XLOOKUP(E357,Groups!A:A,Groups!BD:BD)=1,3.5,2.5))</f>
        <v>1805.4529138228602</v>
      </c>
      <c r="BH357" s="8">
        <f>EXP(1.076*LN(AS357)-4.5397)*IF(_xlfn.XLOOKUP(E357,Groups!A:A,Groups!M:M)=1,0.8,IF(_xlfn.XLOOKUP(E357,Groups!A:A,Groups!BC:BC)=1,1.3,3))</f>
        <v>1604.743790540424</v>
      </c>
      <c r="BI357" s="8">
        <f>IF(W357="No","No",IF(_xlfn.XLOOKUP(E357,Groups!A:A,Groups!U:U)=1,'Base stats'!BJ357,IF(OR(_xlfn.XLOOKUP(E357,Groups!A:A,Groups!BD:BD)=1,_xlfn.XLOOKUP(E357,Groups!A:A,Groups!U:U)=2),BG357,BH357))*1.2)</f>
        <v>1925.6925486485088</v>
      </c>
      <c r="BJ357" s="8" t="str">
        <f>IFERROR(EXP(1.076*LN(AT357)-4.5397)*IF(_xlfn.XLOOKUP(E357,Groups!A:A,Groups!N:N)="Insect",1,IF(OR(_xlfn.XLOOKUP(E357,Groups!A:A,Groups!N:N)="Pig",_xlfn.XLOOKUP(E357,Groups!A:A,Groups!N:N)="StrongBitingHerbivore"),3.5,3.75)),"No")</f>
        <v>No</v>
      </c>
      <c r="BK357" s="8">
        <f t="shared" si="172"/>
        <v>13</v>
      </c>
      <c r="BL357" s="8">
        <f t="shared" si="173"/>
        <v>11</v>
      </c>
      <c r="BM357" s="8">
        <f t="shared" si="174"/>
        <v>12</v>
      </c>
      <c r="BN357" s="8" t="str">
        <f t="shared" si="175"/>
        <v>No</v>
      </c>
      <c r="BO357" s="8">
        <f t="shared" si="176"/>
        <v>9</v>
      </c>
      <c r="BP357" s="8" t="str" cm="1">
        <f t="array" ref="BP357">IF(AND(_xlfn.XLOOKUP('Base stats'!E357,Groups!A:A,Groups!AD:AD=0),_xlfn.XLOOKUP('Base stats'!E357,Groups!A:A,Groups!P:P=0)),"No",IF(U357="No",AVERAGE(EXP(-0.57+0.99*LN(C357)),EXP(0.32+0.67*LN(C357)))/IF(_xlfn.XLOOKUP(E357,Groups!A:A,Groups!AD:AD)=1,10,2),(0.7354*C357^0.4078)*2/IF(_xlfn.XLOOKUP(E357,Groups!A:A,Groups!BK:BK)=1,1000,100)/IF(_xlfn.XLOOKUP(E357,Groups!A:A,Groups!AJ:AJ)="Photonozoa",3,1)))</f>
        <v>No</v>
      </c>
      <c r="BQ357" s="8">
        <f>IF(W357="No","No",IF(_xlfn.XLOOKUP(E357,Groups!A:A,Groups!BD:BD)=1,(AO357*5%),EXP(0.7354*LN(C357)^0.4078)*2/IF(_xlfn.XLOOKUP(E357,Groups!A:A,Groups!BL:BL)=1,1000,100)/IF(_xlfn.XLOOKUP(E357,Groups!A:A,Groups!AJ:AJ)="Photonozoa",3,1)))</f>
        <v>0.11399525999214742</v>
      </c>
      <c r="BR357" s="8" t="str">
        <f>IF(BJ357="No","No",IF(_xlfn.XLOOKUP(E357,Groups!A:A,Groups!BF:BF)=1,(0.0315*C357+2.1825)*2,(0.7354*C357^0.4078)*2)/IF(_xlfn.XLOOKUP(E357,Groups!A:A,Groups!BM:BM)=1,1000,100)/IF(_xlfn.XLOOKUP(E357,Groups!A:A,Groups!AJ:AJ)="Photonozoa",3,1))</f>
        <v>No</v>
      </c>
      <c r="BS357" s="8">
        <f t="shared" si="177"/>
        <v>0.15069581403374524</v>
      </c>
      <c r="BT357" s="8" t="str">
        <f t="shared" si="178"/>
        <v>No</v>
      </c>
      <c r="BU357" s="8">
        <f t="shared" si="179"/>
        <v>16892.742284031461</v>
      </c>
      <c r="BV357" s="8" t="str">
        <f t="shared" si="180"/>
        <v>No</v>
      </c>
      <c r="BW357" s="4">
        <v>0</v>
      </c>
      <c r="BX357" s="4">
        <v>1</v>
      </c>
    </row>
    <row r="358" spans="1:76" s="16" customFormat="1" x14ac:dyDescent="0.25">
      <c r="A358" s="26" t="s">
        <v>1981</v>
      </c>
      <c r="B358" s="6" t="s">
        <v>1993</v>
      </c>
      <c r="C358" s="7">
        <v>83.1</v>
      </c>
      <c r="D358" s="7" t="s">
        <v>2006</v>
      </c>
      <c r="E358" s="7" t="str">
        <f>Groups!$A$128</f>
        <v>Ceratopsid</v>
      </c>
      <c r="F358" s="7" t="str">
        <f t="shared" si="185"/>
        <v>Lay eggs</v>
      </c>
      <c r="G358" s="7">
        <v>2</v>
      </c>
      <c r="H358" s="7">
        <v>15</v>
      </c>
      <c r="I358" s="4">
        <v>1</v>
      </c>
      <c r="J358" s="7" t="str">
        <f t="shared" si="190"/>
        <v>Lay eggs</v>
      </c>
      <c r="K358" s="7" t="s">
        <v>528</v>
      </c>
      <c r="L358" s="7">
        <v>32</v>
      </c>
      <c r="M358" s="7" t="s">
        <v>528</v>
      </c>
      <c r="N358" s="4">
        <v>0</v>
      </c>
      <c r="O358" s="4">
        <v>0</v>
      </c>
      <c r="P358" s="4">
        <v>0</v>
      </c>
      <c r="Q358" s="4">
        <v>0</v>
      </c>
      <c r="R358" s="4" t="s">
        <v>40</v>
      </c>
      <c r="S358" s="7">
        <f>_xlfn.XLOOKUP(B358,[1]TeethAdjusters!$A:$A,[1]BiteAdjusters!$C:$C,1)</f>
        <v>1</v>
      </c>
      <c r="T358" s="7">
        <f>_xlfn.XLOOKUP(B358,[1]TeethAdjusters!$A:$A,[1]TeethAdjusters!$B:$B,1)</f>
        <v>1</v>
      </c>
      <c r="U358" s="7" t="s">
        <v>45</v>
      </c>
      <c r="V358" s="7">
        <v>5</v>
      </c>
      <c r="W358" s="7" t="s">
        <v>45</v>
      </c>
      <c r="X358" s="7" t="s">
        <v>932</v>
      </c>
      <c r="Y358" s="4" t="s">
        <v>42</v>
      </c>
      <c r="Z358" s="4">
        <v>1</v>
      </c>
      <c r="AA358" s="4">
        <v>0</v>
      </c>
      <c r="AB358" s="4">
        <v>0</v>
      </c>
      <c r="AC358" s="4">
        <v>0</v>
      </c>
      <c r="AD358" s="4">
        <v>0</v>
      </c>
      <c r="AE358" s="4" t="s">
        <v>45</v>
      </c>
      <c r="AF358" s="4" t="s">
        <v>398</v>
      </c>
      <c r="AG358" s="49" t="s">
        <v>1965</v>
      </c>
      <c r="AH358" s="4" t="s">
        <v>45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4" t="s">
        <v>40</v>
      </c>
      <c r="AO358" s="8">
        <f t="shared" si="166"/>
        <v>19636.480210895646</v>
      </c>
      <c r="AP358" s="8">
        <f>IFERROR(C358*_xlfn.XLOOKUP(E358,Groups!A:A,Groups!K:K),0.106*C358^0.94)</f>
        <v>6.7566407419529471</v>
      </c>
      <c r="AQ358" s="8">
        <f>AP358*10000/(_xlfn.XLOOKUP(E358,Groups!A:A,Groups!J:J)*AO358)</f>
        <v>3.1567536074154829</v>
      </c>
      <c r="AR358" s="8">
        <f t="shared" si="167"/>
        <v>2274.7188916996797</v>
      </c>
      <c r="AS358" s="8">
        <f>IF(_xlfn.XLOOKUP(E358,Groups!A:A,Groups!M:M)=1,EXP(0.7444*LN('Base stats'!C358)+6.5696),EXP(0.7927*LN('Base stats'!C358)+4.28))</f>
        <v>2401.3093622337406</v>
      </c>
      <c r="AT358" s="8">
        <f>IF(_xlfn.XLOOKUP(E358,Groups!A:A,Groups!N:N)="No","No",
IF(_xlfn.XLOOKUP(E358,Groups!A:A,Groups!N:N)="Crocodile",EXP(0.8129*LN(C358)+4.6742)*S358,
IF(_xlfn.XLOOKUP(E358,Groups!A:A,Groups!N:N)="Felid",EXP(0.7843*LN(C358)+4.7073)*S358,
IF(_xlfn.XLOOKUP(E358,Groups!A:A,Groups!N:N)="Canid",EXP(0.8367*LN(C358)+4.8763)*S358,
IF(_xlfn.XLOOKUP(E358,Groups!A:A,Groups!N:N)="Pig",EXP(0.3439*LN(C358)+6.8519)*S358,
IF(_xlfn.XLOOKUP(E358,Groups!A:A,Groups!N:N)="Rodent",EXP(0.5625*LN(C358)+4.3006)*S358,
IF(_xlfn.XLOOKUP(E358,Groups!A:A,Groups!N:N)="Primate",EXP(0.7847*LN(C358)+3.4931)*S358,
IF(_xlfn.XLOOKUP(E358,Groups!A:A,Groups!N:N)="MiscCarnivora",EXP(0.7486*LN(C358)+4.2207)*S358,
IF(_xlfn.XLOOKUP(E358,Groups!A:A,Groups!N:N)="Lizard",EXP(0.7733*LN(C358)+5.5303)*S358,
IF(_xlfn.XLOOKUP(E358,Groups!A:A,Groups!N:N)="Snake",50*C358^(2/3)*S358,
IF(_xlfn.XLOOKUP(E358,Groups!A:A,Groups!N:N)="StrongBitingHerbivore",87.1133638856975*C358^(2/3)*S358,
IF(_xlfn.XLOOKUP(E358,Groups!A:A,Groups!N:N)="MiscEctotherms",59.4316884072269*C358^(2/3)*S358,
IF(_xlfn.XLOOKUP(E358,Groups!A:A,Groups!N:N)="StrongBeakBird",0.041*(C358*1000)^1.375*S358,
IF(_xlfn.XLOOKUP(E358,Groups!A:A,Groups!N:N)="Bird",0.118*(C358*1000)^0.692*S358,
IF(_xlfn.XLOOKUP(E358,Groups!A:A,Groups!N:N)="Insect",EXP(0.7444*LN(C358)+6.5696)*S358,
IF(_xlfn.XLOOKUP(E358,Groups!A:A,Groups!N:N)="Theropod",EXP(0.6966*LN(C358)+4.158)*S358,
"No"))))))))))))))))</f>
        <v>1658.8946258726357</v>
      </c>
      <c r="AU358" s="8">
        <f>IF(_xlfn.XLOOKUP(E358,Groups!A:A,Groups!U:U)=3,AS358,IF(_xlfn.XLOOKUP(E358,Groups!A:A,Groups!U:U)=2,AR358,AT358))</f>
        <v>2401.3093622337406</v>
      </c>
      <c r="AV358" s="46">
        <f>IFERROR(AVERAGE(_xlfn.XLOOKUP(B358,Animals!B:B,Animals!N:N),_xlfn.XLOOKUP(B358,Animals!B:B,Animals!O:O)),0)</f>
        <v>0.125</v>
      </c>
      <c r="AW358" s="8">
        <f>MROUND(40*Animals!AO358*_xlfn.XLOOKUP(AG358,Leathers!$A$2:$A$99,Leathers!$B$2:$B$99,0)+(140*_xlfn.XLOOKUP(B358,Animals!B:B,Animals!AO:AO)*2),5)</f>
        <v>310</v>
      </c>
      <c r="AX358" s="8">
        <f>IFERROR(ROUND(SQRT(V358-1)*IF(_xlfn.XLOOKUP(E358,Groups!A:A,Groups!BF:BF)=0,2,1)*IF(_xlfn.XLOOKUP('Base stats'!E358,Groups!A:A,Groups!O:O)=0,1,0.1),1),0)</f>
        <v>0.2</v>
      </c>
      <c r="AY358" s="8">
        <f t="shared" si="168"/>
        <v>0</v>
      </c>
      <c r="AZ358" s="8">
        <f t="shared" si="169"/>
        <v>0</v>
      </c>
      <c r="BA358" s="8">
        <f t="shared" si="170"/>
        <v>3.9</v>
      </c>
      <c r="BB358" s="8">
        <f>IF(_xlfn.XLOOKUP(E358,Groups!A:A,Groups!N:N)="Insect",BD358*2.5,IFERROR(AVERAGE(BD358,AT358/9.81/IF(OR(_xlfn.XLOOKUP(E358,Groups!A:A,Groups!N:N)="Pig",_xlfn.XLOOKUP(E358,Groups!A:A,Groups!N:N)="StrongBitingHerbivore"),20,25))*C358^-0.135,BD358))</f>
        <v>2.6301247495571447</v>
      </c>
      <c r="BC358" s="8" t="str">
        <f>IF(W358="No","No",IF(_xlfn.XLOOKUP(E358,Groups!A:A,Groups!U:U)=1,'Base stats'!BB358,IF(OR(_xlfn.XLOOKUP(E358,Groups!A:A,Groups!BD:BD)=1,_xlfn.XLOOKUP(E358,Groups!A:A,Groups!U:U)=2),BD358,IF(_xlfn.XLOOKUP(B358,Animals!B:B,Animals!AO:AO)&gt;4,AVERAGE(BD358,BF358),BF358))))</f>
        <v>No</v>
      </c>
      <c r="BD358" s="8">
        <f t="shared" si="171"/>
        <v>1.0981590347798416</v>
      </c>
      <c r="BE358" s="8">
        <f>IF(_xlfn.XLOOKUP(E358,Groups!A:A,Groups!BE:BE)=1,(0.048*C358^1.01)+(0.071*C358^1.03),0.071*C358^1.03)/IF(_xlfn.XLOOKUP(E358,Groups!A:A,Groups!M:M)=1,0.85,IF(OR(_xlfn.XLOOKUP(B358,Animals!B:B,Animals!AO:AO)&gt;4,_xlfn.XLOOKUP(E358,Groups!A:A,Groups!BC:BC)=1),1.7,1))*C358^-0.25</f>
        <v>1.3124967173960094</v>
      </c>
      <c r="BF358" s="8">
        <f>(0.048*C358^1.01)/IF(_xlfn.XLOOKUP(E358,Groups!A:A,Groups!M:M)=1,0.25,0.8)*C358^-0.25</f>
        <v>1.7260287622922439</v>
      </c>
      <c r="BG358" s="8">
        <f>EXP(1.076*LN(AR358)-4.5397)*IF(_xlfn.XLOOKUP(E358,Groups!A:A,Groups!BC:BC)=1,1.25,IF(_xlfn.XLOOKUP(E358,Groups!A:A,Groups!BD:BD)=1,3.5,2.5))</f>
        <v>54.625773019965493</v>
      </c>
      <c r="BH358" s="8">
        <f>EXP(1.076*LN(AS358)-4.5397)*IF(_xlfn.XLOOKUP(E358,Groups!A:A,Groups!M:M)=1,0.8,IF(_xlfn.XLOOKUP(E358,Groups!A:A,Groups!BC:BC)=1,1.3,3))</f>
        <v>60.219738263493298</v>
      </c>
      <c r="BI358" s="8" t="str">
        <f>IF(W358="No","No",IF(_xlfn.XLOOKUP(E358,Groups!A:A,Groups!U:U)=1,'Base stats'!BJ358,IF(OR(_xlfn.XLOOKUP(E358,Groups!A:A,Groups!BD:BD)=1,_xlfn.XLOOKUP(E358,Groups!A:A,Groups!U:U)=2),BG358,BH358))*1.2)</f>
        <v>No</v>
      </c>
      <c r="BJ358" s="8">
        <f>IFERROR(EXP(1.076*LN(AT358)-4.5397)*IF(_xlfn.XLOOKUP(E358,Groups!A:A,Groups!N:N)="Insect",1,IF(OR(_xlfn.XLOOKUP(E358,Groups!A:A,Groups!N:N)="Pig",_xlfn.XLOOKUP(E358,Groups!A:A,Groups!N:N)="StrongBitingHerbivore"),3.5,3.75)),"No")</f>
        <v>108.89963243177235</v>
      </c>
      <c r="BK358" s="8">
        <f t="shared" si="172"/>
        <v>9</v>
      </c>
      <c r="BL358" s="8">
        <f t="shared" si="173"/>
        <v>9</v>
      </c>
      <c r="BM358" s="8" t="str">
        <f t="shared" si="174"/>
        <v>No</v>
      </c>
      <c r="BN358" s="8">
        <f t="shared" si="175"/>
        <v>9</v>
      </c>
      <c r="BO358" s="8">
        <f t="shared" si="176"/>
        <v>8</v>
      </c>
      <c r="BP358" s="8" t="str" cm="1">
        <f t="array" ref="BP358">IF(AND(_xlfn.XLOOKUP('Base stats'!E358,Groups!A:A,Groups!AD:AD=0),_xlfn.XLOOKUP('Base stats'!E358,Groups!A:A,Groups!P:P=0)),"No",IF(U358="No",AVERAGE(EXP(-0.57+0.99*LN(C358)),EXP(0.32+0.67*LN(C358)))/IF(_xlfn.XLOOKUP(E358,Groups!A:A,Groups!AD:AD)=1,10,2),(0.7354*C358^0.4078)*2/IF(_xlfn.XLOOKUP(E358,Groups!A:A,Groups!BK:BK)=1,1000,100)/IF(_xlfn.XLOOKUP(E358,Groups!A:A,Groups!AJ:AJ)="Photonozoa",3,1)))</f>
        <v>No</v>
      </c>
      <c r="BQ358" s="8" t="str">
        <f>IF(W358="No","No",IF(_xlfn.XLOOKUP(E358,Groups!A:A,Groups!BD:BD)=1,(AO358*5%),EXP(0.7354*LN(C358)^0.4078)*2/IF(_xlfn.XLOOKUP(E358,Groups!A:A,Groups!BL:BL)=1,1000,100)/IF(_xlfn.XLOOKUP(E358,Groups!A:A,Groups!AJ:AJ)="Photonozoa",3,1)))</f>
        <v>No</v>
      </c>
      <c r="BR358" s="8">
        <f>IF(BJ358="No","No",IF(_xlfn.XLOOKUP(E358,Groups!A:A,Groups!BF:BF)=1,(0.0315*C358+2.1825)*2,(0.7354*C358^0.4078)*2)/IF(_xlfn.XLOOKUP(E358,Groups!A:A,Groups!BM:BM)=1,1000,100)/IF(_xlfn.XLOOKUP(E358,Groups!A:A,Groups!AJ:AJ)="Photonozoa",3,1))</f>
        <v>8.9200423992882735E-2</v>
      </c>
      <c r="BS358" s="8">
        <f t="shared" si="177"/>
        <v>5.5637031110754173E-2</v>
      </c>
      <c r="BT358" s="8" t="str">
        <f t="shared" si="178"/>
        <v>No</v>
      </c>
      <c r="BU358" s="8" t="str">
        <f t="shared" si="179"/>
        <v>No</v>
      </c>
      <c r="BV358" s="8">
        <f t="shared" si="180"/>
        <v>1220.8420942086711</v>
      </c>
      <c r="BW358" s="4">
        <v>0</v>
      </c>
      <c r="BX358" s="4">
        <v>1</v>
      </c>
    </row>
    <row r="359" spans="1:76" s="16" customFormat="1" x14ac:dyDescent="0.25">
      <c r="A359" s="26" t="s">
        <v>1984</v>
      </c>
      <c r="B359" s="6" t="s">
        <v>1994</v>
      </c>
      <c r="C359" s="7">
        <v>6400</v>
      </c>
      <c r="D359" s="7" t="s">
        <v>2057</v>
      </c>
      <c r="E359" s="7" t="str">
        <f>Groups!$A$128</f>
        <v>Ceratopsid</v>
      </c>
      <c r="F359" s="7" t="str">
        <f t="shared" si="185"/>
        <v>Lay eggs</v>
      </c>
      <c r="G359" s="7">
        <v>10</v>
      </c>
      <c r="H359" s="7">
        <f>AVERAGE(22,28)</f>
        <v>25</v>
      </c>
      <c r="I359" s="4">
        <v>1</v>
      </c>
      <c r="J359" s="7" t="str">
        <f t="shared" si="190"/>
        <v>Lay eggs</v>
      </c>
      <c r="K359" s="7" t="s">
        <v>528</v>
      </c>
      <c r="L359" s="7">
        <v>26.4</v>
      </c>
      <c r="M359" s="7" t="s">
        <v>2019</v>
      </c>
      <c r="N359" s="4">
        <v>0</v>
      </c>
      <c r="O359" s="4">
        <v>0</v>
      </c>
      <c r="P359" s="4">
        <v>0</v>
      </c>
      <c r="Q359" s="4">
        <v>0</v>
      </c>
      <c r="R359" s="4" t="s">
        <v>40</v>
      </c>
      <c r="S359" s="7">
        <f>_xlfn.XLOOKUP(B359,[1]TeethAdjusters!$A:$A,[1]BiteAdjusters!$C:$C,1)</f>
        <v>1</v>
      </c>
      <c r="T359" s="7">
        <f>_xlfn.XLOOKUP(B359,[1]TeethAdjusters!$A:$A,[1]TeethAdjusters!$B:$B,1)</f>
        <v>1</v>
      </c>
      <c r="U359" s="7" t="s">
        <v>45</v>
      </c>
      <c r="V359" s="7">
        <v>20</v>
      </c>
      <c r="W359" s="7">
        <f>AVERAGE(90,115)</f>
        <v>102.5</v>
      </c>
      <c r="X359" s="7" t="s">
        <v>932</v>
      </c>
      <c r="Y359" s="4" t="s">
        <v>42</v>
      </c>
      <c r="Z359" s="4">
        <v>1</v>
      </c>
      <c r="AA359" s="4">
        <v>0</v>
      </c>
      <c r="AB359" s="4">
        <v>0</v>
      </c>
      <c r="AC359" s="4">
        <v>0</v>
      </c>
      <c r="AD359" s="4">
        <v>0</v>
      </c>
      <c r="AE359" s="4" t="s">
        <v>45</v>
      </c>
      <c r="AF359" s="4" t="s">
        <v>45</v>
      </c>
      <c r="AG359" s="49" t="s">
        <v>1970</v>
      </c>
      <c r="AH359" s="4" t="s">
        <v>45</v>
      </c>
      <c r="AI359" s="4">
        <v>1</v>
      </c>
      <c r="AJ359" s="4">
        <v>0</v>
      </c>
      <c r="AK359" s="4">
        <v>0</v>
      </c>
      <c r="AL359" s="4">
        <v>0</v>
      </c>
      <c r="AM359" s="4">
        <v>0</v>
      </c>
      <c r="AN359" s="44" t="s">
        <v>40</v>
      </c>
      <c r="AO359" s="8">
        <f t="shared" si="166"/>
        <v>330628.25263456581</v>
      </c>
      <c r="AP359" s="8">
        <f>IFERROR(C359*_xlfn.XLOOKUP(E359,Groups!A:A,Groups!K:K),0.106*C359^0.94)</f>
        <v>400.97291777967661</v>
      </c>
      <c r="AQ359" s="8">
        <f>AP359*10000/(_xlfn.XLOOKUP(E359,Groups!A:A,Groups!J:J)*AO359)</f>
        <v>11.126244029416947</v>
      </c>
      <c r="AR359" s="8">
        <f t="shared" si="167"/>
        <v>89232.071206157823</v>
      </c>
      <c r="AS359" s="8">
        <f>IF(_xlfn.XLOOKUP(E359,Groups!A:A,Groups!M:M)=1,EXP(0.7444*LN('Base stats'!C359)+6.5696),EXP(0.7927*LN('Base stats'!C359)+4.28))</f>
        <v>75151.775923012086</v>
      </c>
      <c r="AT359" s="8">
        <f>IF(_xlfn.XLOOKUP(E359,Groups!A:A,Groups!N:N)="No","No",
IF(_xlfn.XLOOKUP(E359,Groups!A:A,Groups!N:N)="Crocodile",EXP(0.8129*LN(C359)+4.6742)*S359,
IF(_xlfn.XLOOKUP(E359,Groups!A:A,Groups!N:N)="Felid",EXP(0.7843*LN(C359)+4.7073)*S359,
IF(_xlfn.XLOOKUP(E359,Groups!A:A,Groups!N:N)="Canid",EXP(0.8367*LN(C359)+4.8763)*S359,
IF(_xlfn.XLOOKUP(E359,Groups!A:A,Groups!N:N)="Pig",EXP(0.3439*LN(C359)+6.8519)*S359,
IF(_xlfn.XLOOKUP(E359,Groups!A:A,Groups!N:N)="Rodent",EXP(0.5625*LN(C359)+4.3006)*S359,
IF(_xlfn.XLOOKUP(E359,Groups!A:A,Groups!N:N)="Primate",EXP(0.7847*LN(C359)+3.4931)*S359,
IF(_xlfn.XLOOKUP(E359,Groups!A:A,Groups!N:N)="MiscCarnivora",EXP(0.7486*LN(C359)+4.2207)*S359,
IF(_xlfn.XLOOKUP(E359,Groups!A:A,Groups!N:N)="Lizard",EXP(0.7733*LN(C359)+5.5303)*S359,
IF(_xlfn.XLOOKUP(E359,Groups!A:A,Groups!N:N)="Snake",50*C359^(2/3)*S359,
IF(_xlfn.XLOOKUP(E359,Groups!A:A,Groups!N:N)="StrongBitingHerbivore",87.1133638856975*C359^(2/3)*S359,
IF(_xlfn.XLOOKUP(E359,Groups!A:A,Groups!N:N)="MiscEctotherms",59.4316884072269*C359^(2/3)*S359,
IF(_xlfn.XLOOKUP(E359,Groups!A:A,Groups!N:N)="StrongBeakBird",0.041*(C359*1000)^1.375*S359,
IF(_xlfn.XLOOKUP(E359,Groups!A:A,Groups!N:N)="Bird",0.118*(C359*1000)^0.692*S359,
IF(_xlfn.XLOOKUP(E359,Groups!A:A,Groups!N:N)="Insect",EXP(0.7444*LN(C359)+6.5696)*S359,
IF(_xlfn.XLOOKUP(E359,Groups!A:A,Groups!N:N)="Theropod",EXP(0.6966*LN(C359)+4.158)*S359,
"No"))))))))))))))))</f>
        <v>30028.808499314749</v>
      </c>
      <c r="AU359" s="8">
        <f>IF(_xlfn.XLOOKUP(E359,Groups!A:A,Groups!U:U)=3,AS359,IF(_xlfn.XLOOKUP(E359,Groups!A:A,Groups!U:U)=2,AR359,AT359))</f>
        <v>75151.775923012086</v>
      </c>
      <c r="AV359" s="46">
        <f>IFERROR(AVERAGE(_xlfn.XLOOKUP(B359,Animals!B:B,Animals!N:N),_xlfn.XLOOKUP(B359,Animals!B:B,Animals!O:O)),0)</f>
        <v>0.25</v>
      </c>
      <c r="AW359" s="8">
        <f>MROUND(40*Animals!AO359*_xlfn.XLOOKUP(AG359,Leathers!$A$2:$A$99,Leathers!$B$2:$B$99,0)+(140*_xlfn.XLOOKUP(B359,Animals!B:B,Animals!AO:AO)*2),5)</f>
        <v>1540</v>
      </c>
      <c r="AX359" s="8">
        <f>IFERROR(ROUND(SQRT(V359-1)*IF(_xlfn.XLOOKUP(E359,Groups!A:A,Groups!BF:BF)=0,2,1)*IF(_xlfn.XLOOKUP('Base stats'!E359,Groups!A:A,Groups!O:O)=0,1,0.1),1),0)</f>
        <v>0.4</v>
      </c>
      <c r="AY359" s="8">
        <f t="shared" si="168"/>
        <v>0</v>
      </c>
      <c r="AZ359" s="8">
        <f t="shared" si="169"/>
        <v>10.1</v>
      </c>
      <c r="BA359" s="8">
        <f t="shared" si="170"/>
        <v>18.5</v>
      </c>
      <c r="BB359" s="8">
        <f>IF(_xlfn.XLOOKUP(E359,Groups!A:A,Groups!N:N)="Insect",BD359*2.5,IFERROR(AVERAGE(BD359,AT359/9.81/IF(OR(_xlfn.XLOOKUP(E359,Groups!A:A,Groups!N:N)="Pig",_xlfn.XLOOKUP(E359,Groups!A:A,Groups!N:N)="StrongBitingHerbivore"),20,25))*C359^-0.135,BD359))</f>
        <v>27.890123584810983</v>
      </c>
      <c r="BC359" s="8">
        <f>IF(W359="No","No",IF(_xlfn.XLOOKUP(E359,Groups!A:A,Groups!U:U)=1,'Base stats'!BB359,IF(OR(_xlfn.XLOOKUP(E359,Groups!A:A,Groups!BD:BD)=1,_xlfn.XLOOKUP(E359,Groups!A:A,Groups!U:U)=2),BD359,IF(_xlfn.XLOOKUP(B359,Animals!B:B,Animals!AO:AO)&gt;4,AVERAGE(BD359,BF359),BF359))))</f>
        <v>37.957455773877115</v>
      </c>
      <c r="BD359" s="8">
        <f t="shared" si="171"/>
        <v>29.049975296023327</v>
      </c>
      <c r="BE359" s="8">
        <f>IF(_xlfn.XLOOKUP(E359,Groups!A:A,Groups!BE:BE)=1,(0.048*C359^1.01)+(0.071*C359^1.03),0.071*C359^1.03)/IF(_xlfn.XLOOKUP(E359,Groups!A:A,Groups!M:M)=1,0.85,IF(OR(_xlfn.XLOOKUP(B359,Animals!B:B,Animals!AO:AO)&gt;4,_xlfn.XLOOKUP(E359,Groups!A:A,Groups!BC:BC)=1),1.7,1))*C359^-0.25</f>
        <v>38.871366390967687</v>
      </c>
      <c r="BF359" s="8">
        <f>(0.048*C359^1.01)/IF(_xlfn.XLOOKUP(E359,Groups!A:A,Groups!M:M)=1,0.25,0.8)*C359^-0.25</f>
        <v>46.864936251730903</v>
      </c>
      <c r="BG359" s="8">
        <f>EXP(1.076*LN(AR359)-4.5397)*IF(_xlfn.XLOOKUP(E359,Groups!A:A,Groups!BC:BC)=1,1.25,IF(_xlfn.XLOOKUP(E359,Groups!A:A,Groups!BD:BD)=1,3.5,2.5))</f>
        <v>2832.0695934648056</v>
      </c>
      <c r="BH359" s="8">
        <f>EXP(1.076*LN(AS359)-4.5397)*IF(_xlfn.XLOOKUP(E359,Groups!A:A,Groups!M:M)=1,0.8,IF(_xlfn.XLOOKUP(E359,Groups!A:A,Groups!BC:BC)=1,1.3,3))</f>
        <v>2448.4279220190015</v>
      </c>
      <c r="BI359" s="8">
        <f>IF(W359="No","No",IF(_xlfn.XLOOKUP(E359,Groups!A:A,Groups!U:U)=1,'Base stats'!BJ359,IF(OR(_xlfn.XLOOKUP(E359,Groups!A:A,Groups!BD:BD)=1,_xlfn.XLOOKUP(E359,Groups!A:A,Groups!U:U)=2),BG359,BH359))*1.2)</f>
        <v>2938.1135064228015</v>
      </c>
      <c r="BJ359" s="8">
        <f>IFERROR(EXP(1.076*LN(AT359)-4.5397)*IF(_xlfn.XLOOKUP(E359,Groups!A:A,Groups!N:N)="Insect",1,IF(OR(_xlfn.XLOOKUP(E359,Groups!A:A,Groups!N:N)="Pig",_xlfn.XLOOKUP(E359,Groups!A:A,Groups!N:N)="StrongBitingHerbivore"),3.5,3.75)),"No")</f>
        <v>2456.5883097798669</v>
      </c>
      <c r="BK359" s="8">
        <f t="shared" si="172"/>
        <v>13</v>
      </c>
      <c r="BL359" s="8">
        <f t="shared" si="173"/>
        <v>11</v>
      </c>
      <c r="BM359" s="8">
        <f t="shared" si="174"/>
        <v>12</v>
      </c>
      <c r="BN359" s="8">
        <f t="shared" si="175"/>
        <v>13</v>
      </c>
      <c r="BO359" s="8">
        <f t="shared" si="176"/>
        <v>10</v>
      </c>
      <c r="BP359" s="8" t="str" cm="1">
        <f t="array" ref="BP359">IF(AND(_xlfn.XLOOKUP('Base stats'!E359,Groups!A:A,Groups!AD:AD=0),_xlfn.XLOOKUP('Base stats'!E359,Groups!A:A,Groups!P:P=0)),"No",IF(U359="No",AVERAGE(EXP(-0.57+0.99*LN(C359)),EXP(0.32+0.67*LN(C359)))/IF(_xlfn.XLOOKUP(E359,Groups!A:A,Groups!AD:AD)=1,10,2),(0.7354*C359^0.4078)*2/IF(_xlfn.XLOOKUP(E359,Groups!A:A,Groups!BK:BK)=1,1000,100)/IF(_xlfn.XLOOKUP(E359,Groups!A:A,Groups!AJ:AJ)="Photonozoa",3,1)))</f>
        <v>No</v>
      </c>
      <c r="BQ359" s="8">
        <f>IF(W359="No","No",IF(_xlfn.XLOOKUP(E359,Groups!A:A,Groups!BD:BD)=1,(AO359*5%),EXP(0.7354*LN(C359)^0.4078)*2/IF(_xlfn.XLOOKUP(E359,Groups!A:A,Groups!BL:BL)=1,1000,100)/IF(_xlfn.XLOOKUP(E359,Groups!A:A,Groups!AJ:AJ)="Photonozoa",3,1)))</f>
        <v>0.1188594456087885</v>
      </c>
      <c r="BR359" s="8">
        <f>IF(BJ359="No","No",IF(_xlfn.XLOOKUP(E359,Groups!A:A,Groups!BF:BF)=1,(0.0315*C359+2.1825)*2,(0.7354*C359^0.4078)*2)/IF(_xlfn.XLOOKUP(E359,Groups!A:A,Groups!BM:BM)=1,1000,100)/IF(_xlfn.XLOOKUP(E359,Groups!A:A,Groups!AJ:AJ)="Photonozoa",3,1))</f>
        <v>0.52446174375823584</v>
      </c>
      <c r="BS359" s="8">
        <f t="shared" si="177"/>
        <v>0.17131443371205263</v>
      </c>
      <c r="BT359" s="8" t="str">
        <f t="shared" si="178"/>
        <v>No</v>
      </c>
      <c r="BU359" s="8">
        <f t="shared" si="179"/>
        <v>24719.226068858228</v>
      </c>
      <c r="BV359" s="8">
        <f t="shared" si="180"/>
        <v>4684.0181176537726</v>
      </c>
      <c r="BW359" s="4">
        <v>0</v>
      </c>
      <c r="BX359" s="4">
        <v>1</v>
      </c>
    </row>
    <row r="360" spans="1:76" s="16" customFormat="1" x14ac:dyDescent="0.25">
      <c r="A360" s="26" t="s">
        <v>1982</v>
      </c>
      <c r="B360" s="6" t="s">
        <v>1995</v>
      </c>
      <c r="C360" s="7">
        <v>544</v>
      </c>
      <c r="D360" s="7" t="s">
        <v>2007</v>
      </c>
      <c r="E360" s="7" t="str">
        <f>Groups!$A$134</f>
        <v>Pterosaur (MACROPREDATORY)</v>
      </c>
      <c r="F360" s="7" t="str">
        <f t="shared" si="185"/>
        <v>Lay eggs</v>
      </c>
      <c r="G360" s="7">
        <v>5</v>
      </c>
      <c r="H360" s="7">
        <v>20</v>
      </c>
      <c r="I360" s="4">
        <v>1</v>
      </c>
      <c r="J360" s="7" t="str">
        <f t="shared" si="190"/>
        <v>Lay eggs</v>
      </c>
      <c r="K360" s="7" t="s">
        <v>528</v>
      </c>
      <c r="L360" s="7">
        <v>32</v>
      </c>
      <c r="M360" s="7" t="s">
        <v>528</v>
      </c>
      <c r="N360" s="4">
        <v>0</v>
      </c>
      <c r="O360" s="4">
        <v>0</v>
      </c>
      <c r="P360" s="4">
        <v>0</v>
      </c>
      <c r="Q360" s="4">
        <v>0</v>
      </c>
      <c r="R360" s="4" t="s">
        <v>40</v>
      </c>
      <c r="S360" s="7">
        <f>_xlfn.XLOOKUP(B360,[1]TeethAdjusters!$A:$A,[1]BiteAdjusters!$C:$C,1)</f>
        <v>1</v>
      </c>
      <c r="T360" s="7">
        <f>_xlfn.XLOOKUP(B360,[1]TeethAdjusters!$A:$A,[1]TeethAdjusters!$B:$B,1)</f>
        <v>1</v>
      </c>
      <c r="U360" s="7" t="s">
        <v>45</v>
      </c>
      <c r="V360" s="7">
        <v>200</v>
      </c>
      <c r="W360" s="7" t="s">
        <v>45</v>
      </c>
      <c r="X360" s="7" t="s">
        <v>932</v>
      </c>
      <c r="Y360" s="4" t="s">
        <v>56</v>
      </c>
      <c r="Z360" s="4">
        <v>1</v>
      </c>
      <c r="AA360" s="4">
        <v>0</v>
      </c>
      <c r="AB360" s="4">
        <v>0</v>
      </c>
      <c r="AC360" s="4">
        <v>0</v>
      </c>
      <c r="AD360" s="4">
        <v>0</v>
      </c>
      <c r="AE360" s="4" t="s">
        <v>45</v>
      </c>
      <c r="AF360" s="4" t="s">
        <v>45</v>
      </c>
      <c r="AG360" s="49" t="s">
        <v>2013</v>
      </c>
      <c r="AH360" s="4" t="s">
        <v>45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4" t="s">
        <v>40</v>
      </c>
      <c r="AO360" s="8">
        <f t="shared" si="166"/>
        <v>66598.165077679601</v>
      </c>
      <c r="AP360" s="8">
        <f>IFERROR(C360*_xlfn.XLOOKUP(E360,Groups!A:A,Groups!K:K),0.106*C360^0.94)</f>
        <v>39.51562278175971</v>
      </c>
      <c r="AQ360" s="8">
        <f>AP360*10000/(_xlfn.XLOOKUP(E360,Groups!A:A,Groups!J:J)*AO360)</f>
        <v>5.443523090329764</v>
      </c>
      <c r="AR360" s="8">
        <f t="shared" si="167"/>
        <v>11122.467368179101</v>
      </c>
      <c r="AS360" s="8">
        <f>IF(_xlfn.XLOOKUP(E360,Groups!A:A,Groups!M:M)=1,EXP(0.7444*LN('Base stats'!C360)+6.5696),EXP(0.7927*LN('Base stats'!C360)+4.28))</f>
        <v>10648.529302956957</v>
      </c>
      <c r="AT360" s="8">
        <f>IF(_xlfn.XLOOKUP(E360,Groups!A:A,Groups!N:N)="No","No",
IF(_xlfn.XLOOKUP(E360,Groups!A:A,Groups!N:N)="Crocodile",EXP(0.8129*LN(C360)+4.6742)*S360,
IF(_xlfn.XLOOKUP(E360,Groups!A:A,Groups!N:N)="Felid",EXP(0.7843*LN(C360)+4.7073)*S360,
IF(_xlfn.XLOOKUP(E360,Groups!A:A,Groups!N:N)="Canid",EXP(0.8367*LN(C360)+4.8763)*S360,
IF(_xlfn.XLOOKUP(E360,Groups!A:A,Groups!N:N)="Pig",EXP(0.3439*LN(C360)+6.8519)*S360,
IF(_xlfn.XLOOKUP(E360,Groups!A:A,Groups!N:N)="Rodent",EXP(0.5625*LN(C360)+4.3006)*S360,
IF(_xlfn.XLOOKUP(E360,Groups!A:A,Groups!N:N)="Primate",EXP(0.7847*LN(C360)+3.4931)*S360,
IF(_xlfn.XLOOKUP(E360,Groups!A:A,Groups!N:N)="MiscCarnivora",EXP(0.7486*LN(C360)+4.2207)*S360,
IF(_xlfn.XLOOKUP(E360,Groups!A:A,Groups!N:N)="Lizard",EXP(0.7733*LN(C360)+5.5303)*S360,
IF(_xlfn.XLOOKUP(E360,Groups!A:A,Groups!N:N)="Snake",50*C360^(2/3)*S360,
IF(_xlfn.XLOOKUP(E360,Groups!A:A,Groups!N:N)="StrongBitingHerbivore",87.1133638856975*C360^(2/3)*S360,
IF(_xlfn.XLOOKUP(E360,Groups!A:A,Groups!N:N)="MiscEctotherms",59.4316884072269*C360^(2/3)*S360,
IF(_xlfn.XLOOKUP(E360,Groups!A:A,Groups!N:N)="StrongBeakBird",0.041*(C360*1000)^1.375*S360,
IF(_xlfn.XLOOKUP(E360,Groups!A:A,Groups!N:N)="Bird",0.118*(C360*1000)^0.692*S360,
IF(_xlfn.XLOOKUP(E360,Groups!A:A,Groups!N:N)="Insect",EXP(0.7444*LN(C360)+6.5696)*S360,
IF(_xlfn.XLOOKUP(E360,Groups!A:A,Groups!N:N)="Theropod",EXP(0.6966*LN(C360)+4.158)*S360,
"No"))))))))))))))))</f>
        <v>1098.7944215629846</v>
      </c>
      <c r="AU360" s="8">
        <f>IF(_xlfn.XLOOKUP(E360,Groups!A:A,Groups!U:U)=3,AS360,IF(_xlfn.XLOOKUP(E360,Groups!A:A,Groups!U:U)=2,AR360,AT360))</f>
        <v>1098.7944215629846</v>
      </c>
      <c r="AV360" s="46">
        <f>IFERROR(AVERAGE(_xlfn.XLOOKUP(B360,Animals!B:B,Animals!N:N),_xlfn.XLOOKUP(B360,Animals!B:B,Animals!O:O)),0)</f>
        <v>0</v>
      </c>
      <c r="AW360" s="8">
        <f>MROUND(40*Animals!AO360*_xlfn.XLOOKUP(AG360,Leathers!$A$2:$A$99,Leathers!$B$2:$B$99,0)+(140*_xlfn.XLOOKUP(B360,Animals!B:B,Animals!AO:AO)*2),5)</f>
        <v>840</v>
      </c>
      <c r="AX360" s="8">
        <f>IFERROR(ROUND(SQRT(V360-1)*IF(_xlfn.XLOOKUP(E360,Groups!A:A,Groups!BF:BF)=0,2,1)*IF(_xlfn.XLOOKUP('Base stats'!E360,Groups!A:A,Groups!O:O)=0,1,0.1),1),0)</f>
        <v>14.1</v>
      </c>
      <c r="AY360" s="8">
        <f t="shared" si="168"/>
        <v>0</v>
      </c>
      <c r="AZ360" s="8">
        <f t="shared" si="169"/>
        <v>0</v>
      </c>
      <c r="BA360" s="8">
        <f t="shared" si="170"/>
        <v>7.6</v>
      </c>
      <c r="BB360" s="8">
        <f>IF(_xlfn.XLOOKUP(E360,Groups!A:A,Groups!N:N)="Insect",BD360*2.5,IFERROR(AVERAGE(BD360,AT360/9.81/IF(OR(_xlfn.XLOOKUP(E360,Groups!A:A,Groups!N:N)="Pig",_xlfn.XLOOKUP(E360,Groups!A:A,Groups!N:N)="StrongBitingHerbivore"),20,25))*C360^-0.135,BD360))</f>
        <v>2.5283366330295136</v>
      </c>
      <c r="BC360" s="8" t="str">
        <f>IF(W360="No","No",IF(_xlfn.XLOOKUP(E360,Groups!A:A,Groups!U:U)=1,'Base stats'!BB360,IF(OR(_xlfn.XLOOKUP(E360,Groups!A:A,Groups!BD:BD)=1,_xlfn.XLOOKUP(E360,Groups!A:A,Groups!U:U)=2),BD360,IF(_xlfn.XLOOKUP(B360,Animals!B:B,Animals!AO:AO)&gt;4,AVERAGE(BD360,BF360),BF360))))</f>
        <v>No</v>
      </c>
      <c r="BD360" s="8">
        <f t="shared" si="171"/>
        <v>7.3547641870213658</v>
      </c>
      <c r="BE360" s="8">
        <f>IF(_xlfn.XLOOKUP(E360,Groups!A:A,Groups!BE:BE)=1,(0.048*C360^1.01)+(0.071*C360^1.03),0.071*C360^1.03)/IF(_xlfn.XLOOKUP(E360,Groups!A:A,Groups!M:M)=1,0.85,IF(OR(_xlfn.XLOOKUP(B360,Animals!B:B,Animals!AO:AO)&gt;4,_xlfn.XLOOKUP(E360,Groups!A:A,Groups!BC:BC)=1),1.7,1))*C360^-0.25</f>
        <v>15.419403847838961</v>
      </c>
      <c r="BF360" s="8">
        <f>(0.048*C360^1.01)/IF(_xlfn.XLOOKUP(E360,Groups!A:A,Groups!M:M)=1,0.25,0.8)*C360^-0.25</f>
        <v>7.1979100341540585</v>
      </c>
      <c r="BG360" s="8">
        <f>EXP(1.076*LN(AR360)-4.5397)*IF(_xlfn.XLOOKUP(E360,Groups!A:A,Groups!BC:BC)=1,1.25,IF(_xlfn.XLOOKUP(E360,Groups!A:A,Groups!BD:BD)=1,3.5,2.5))</f>
        <v>602.67860741939489</v>
      </c>
      <c r="BH360" s="8">
        <f>EXP(1.076*LN(AS360)-4.5397)*IF(_xlfn.XLOOKUP(E360,Groups!A:A,Groups!M:M)=1,0.8,IF(_xlfn.XLOOKUP(E360,Groups!A:A,Groups!BC:BC)=1,1.3,3))</f>
        <v>690.10986794222231</v>
      </c>
      <c r="BI360" s="8" t="str">
        <f>IF(W360="No","No",IF(_xlfn.XLOOKUP(E360,Groups!A:A,Groups!U:U)=1,'Base stats'!BJ360,IF(OR(_xlfn.XLOOKUP(E360,Groups!A:A,Groups!BD:BD)=1,_xlfn.XLOOKUP(E360,Groups!A:A,Groups!U:U)=2),BG360,BH360))*1.2)</f>
        <v>No</v>
      </c>
      <c r="BJ360" s="8">
        <f>IFERROR(EXP(1.076*LN(AT360)-4.5397)*IF(_xlfn.XLOOKUP(E360,Groups!A:A,Groups!N:N)="Insect",1,IF(OR(_xlfn.XLOOKUP(E360,Groups!A:A,Groups!N:N)="Pig",_xlfn.XLOOKUP(E360,Groups!A:A,Groups!N:N)="StrongBitingHerbivore"),3.5,3.75)),"No")</f>
        <v>74.901532582197817</v>
      </c>
      <c r="BK360" s="8">
        <f t="shared" si="172"/>
        <v>12</v>
      </c>
      <c r="BL360" s="8">
        <f t="shared" si="173"/>
        <v>9</v>
      </c>
      <c r="BM360" s="8" t="str">
        <f t="shared" si="174"/>
        <v>No</v>
      </c>
      <c r="BN360" s="8">
        <f t="shared" si="175"/>
        <v>7</v>
      </c>
      <c r="BO360" s="8">
        <f t="shared" si="176"/>
        <v>13</v>
      </c>
      <c r="BP360" s="8" t="str" cm="1">
        <f t="array" ref="BP360">IF(AND(_xlfn.XLOOKUP('Base stats'!E360,Groups!A:A,Groups!AD:AD=0),_xlfn.XLOOKUP('Base stats'!E360,Groups!A:A,Groups!P:P=0)),"No",IF(U360="No",AVERAGE(EXP(-0.57+0.99*LN(C360)),EXP(0.32+0.67*LN(C360)))/IF(_xlfn.XLOOKUP(E360,Groups!A:A,Groups!AD:AD)=1,10,2),(0.7354*C360^0.4078)*2/IF(_xlfn.XLOOKUP(E360,Groups!A:A,Groups!BK:BK)=1,1000,100)/IF(_xlfn.XLOOKUP(E360,Groups!A:A,Groups!AJ:AJ)="Photonozoa",3,1)))</f>
        <v>No</v>
      </c>
      <c r="BQ360" s="8" t="str">
        <f>IF(W360="No","No",IF(_xlfn.XLOOKUP(E360,Groups!A:A,Groups!BD:BD)=1,(AO360*5%),EXP(0.7354*LN(C360)^0.4078)*2/IF(_xlfn.XLOOKUP(E360,Groups!A:A,Groups!BL:BL)=1,1000,100)/IF(_xlfn.XLOOKUP(E360,Groups!A:A,Groups!AJ:AJ)="Photonozoa",3,1)))</f>
        <v>No</v>
      </c>
      <c r="BR360" s="8">
        <f>IF(BJ360="No","No",IF(_xlfn.XLOOKUP(E360,Groups!A:A,Groups!BF:BF)=1,(0.0315*C360+2.1825)*2,(0.7354*C360^0.4078)*2)/IF(_xlfn.XLOOKUP(E360,Groups!A:A,Groups!BM:BM)=1,1000,100)/IF(_xlfn.XLOOKUP(E360,Groups!A:A,Groups!AJ:AJ)="Photonozoa",3,1))</f>
        <v>0.19192469207441754</v>
      </c>
      <c r="BS360" s="8">
        <f t="shared" si="177"/>
        <v>0.18098955330569094</v>
      </c>
      <c r="BT360" s="8" t="str">
        <f t="shared" si="178"/>
        <v>No</v>
      </c>
      <c r="BU360" s="8" t="str">
        <f t="shared" si="179"/>
        <v>No</v>
      </c>
      <c r="BV360" s="8">
        <f t="shared" si="180"/>
        <v>390.26522211720021</v>
      </c>
      <c r="BW360" s="4">
        <v>0</v>
      </c>
      <c r="BX360" s="4">
        <v>1</v>
      </c>
    </row>
    <row r="361" spans="1:76" s="16" customFormat="1" x14ac:dyDescent="0.25">
      <c r="A361" s="26" t="s">
        <v>1983</v>
      </c>
      <c r="B361" s="6" t="s">
        <v>1996</v>
      </c>
      <c r="C361" s="7">
        <v>18.600000000000001</v>
      </c>
      <c r="D361" s="7" t="s">
        <v>2007</v>
      </c>
      <c r="E361" s="7" t="str">
        <f>Groups!$A$135</f>
        <v>Pterosaur (PISCIVORE)</v>
      </c>
      <c r="F361" s="7" t="str">
        <f t="shared" si="185"/>
        <v>Lay eggs</v>
      </c>
      <c r="G361" s="7">
        <v>1.5</v>
      </c>
      <c r="H361" s="7">
        <v>15</v>
      </c>
      <c r="I361" s="4">
        <v>1</v>
      </c>
      <c r="J361" s="7" t="str">
        <f t="shared" si="190"/>
        <v>Lay eggs</v>
      </c>
      <c r="K361" s="7" t="s">
        <v>528</v>
      </c>
      <c r="L361" s="7">
        <v>15</v>
      </c>
      <c r="M361" s="7" t="s">
        <v>528</v>
      </c>
      <c r="N361" s="4">
        <v>0</v>
      </c>
      <c r="O361" s="4">
        <v>0</v>
      </c>
      <c r="P361" s="4">
        <v>0</v>
      </c>
      <c r="Q361" s="4">
        <v>0</v>
      </c>
      <c r="R361" s="4" t="s">
        <v>40</v>
      </c>
      <c r="S361" s="7">
        <f>_xlfn.XLOOKUP(B361,[1]TeethAdjusters!$A:$A,[1]BiteAdjusters!$C:$C,1)</f>
        <v>1</v>
      </c>
      <c r="T361" s="7">
        <f>_xlfn.XLOOKUP(B361,[1]TeethAdjusters!$A:$A,[1]TeethAdjusters!$B:$B,1)</f>
        <v>1</v>
      </c>
      <c r="U361" s="7" t="s">
        <v>45</v>
      </c>
      <c r="V361" s="7">
        <v>40</v>
      </c>
      <c r="W361" s="7" t="s">
        <v>45</v>
      </c>
      <c r="X361" s="7" t="s">
        <v>932</v>
      </c>
      <c r="Y361" s="4" t="s">
        <v>56</v>
      </c>
      <c r="Z361" s="4">
        <v>1</v>
      </c>
      <c r="AA361" s="4">
        <v>0</v>
      </c>
      <c r="AB361" s="4">
        <v>0</v>
      </c>
      <c r="AC361" s="4">
        <v>0</v>
      </c>
      <c r="AD361" s="4">
        <v>0</v>
      </c>
      <c r="AE361" s="4" t="s">
        <v>45</v>
      </c>
      <c r="AF361" s="4" t="s">
        <v>45</v>
      </c>
      <c r="AG361" s="49" t="s">
        <v>2013</v>
      </c>
      <c r="AH361" s="4" t="s">
        <v>45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4" t="s">
        <v>40</v>
      </c>
      <c r="AO361" s="8">
        <f t="shared" si="166"/>
        <v>7421.7512198672639</v>
      </c>
      <c r="AP361" s="8">
        <f>IFERROR(C361*_xlfn.XLOOKUP(E361,Groups!A:A,Groups!K:K),0.106*C361^0.94)</f>
        <v>1.654428614210455</v>
      </c>
      <c r="AQ361" s="8">
        <f>AP361*10000/(_xlfn.XLOOKUP(E361,Groups!A:A,Groups!J:J)*AO361)</f>
        <v>2.0451027954747114</v>
      </c>
      <c r="AR361" s="8">
        <f t="shared" si="167"/>
        <v>642.38935205187772</v>
      </c>
      <c r="AS361" s="8">
        <f>IF(_xlfn.XLOOKUP(E361,Groups!A:A,Groups!M:M)=1,EXP(0.7444*LN('Base stats'!C361)+6.5696),EXP(0.7927*LN('Base stats'!C361)+4.28))</f>
        <v>733.03260687375007</v>
      </c>
      <c r="AT361" s="8">
        <f>IF(_xlfn.XLOOKUP(E361,Groups!A:A,Groups!N:N)="No","No",
IF(_xlfn.XLOOKUP(E361,Groups!A:A,Groups!N:N)="Crocodile",EXP(0.8129*LN(C361)+4.6742)*S361,
IF(_xlfn.XLOOKUP(E361,Groups!A:A,Groups!N:N)="Felid",EXP(0.7843*LN(C361)+4.7073)*S361,
IF(_xlfn.XLOOKUP(E361,Groups!A:A,Groups!N:N)="Canid",EXP(0.8367*LN(C361)+4.8763)*S361,
IF(_xlfn.XLOOKUP(E361,Groups!A:A,Groups!N:N)="Pig",EXP(0.3439*LN(C361)+6.8519)*S361,
IF(_xlfn.XLOOKUP(E361,Groups!A:A,Groups!N:N)="Rodent",EXP(0.5625*LN(C361)+4.3006)*S361,
IF(_xlfn.XLOOKUP(E361,Groups!A:A,Groups!N:N)="Primate",EXP(0.7847*LN(C361)+3.4931)*S361,
IF(_xlfn.XLOOKUP(E361,Groups!A:A,Groups!N:N)="MiscCarnivora",EXP(0.7486*LN(C361)+4.2207)*S361,
IF(_xlfn.XLOOKUP(E361,Groups!A:A,Groups!N:N)="Lizard",EXP(0.7733*LN(C361)+5.5303)*S361,
IF(_xlfn.XLOOKUP(E361,Groups!A:A,Groups!N:N)="Snake",50*C361^(2/3)*S361,
IF(_xlfn.XLOOKUP(E361,Groups!A:A,Groups!N:N)="StrongBitingHerbivore",87.1133638856975*C361^(2/3)*S361,
IF(_xlfn.XLOOKUP(E361,Groups!A:A,Groups!N:N)="MiscEctotherms",59.4316884072269*C361^(2/3)*S361,
IF(_xlfn.XLOOKUP(E361,Groups!A:A,Groups!N:N)="StrongBeakBird",0.041*(C361*1000)^1.375*S361,
IF(_xlfn.XLOOKUP(E361,Groups!A:A,Groups!N:N)="Bird",0.118*(C361*1000)^0.692*S361,
IF(_xlfn.XLOOKUP(E361,Groups!A:A,Groups!N:N)="Insect",EXP(0.7444*LN(C361)+6.5696)*S361,
IF(_xlfn.XLOOKUP(E361,Groups!A:A,Groups!N:N)="Theropod",EXP(0.6966*LN(C361)+4.158)*S361,
"No"))))))))))))))))</f>
        <v>106.26370762208556</v>
      </c>
      <c r="AU361" s="8">
        <f>IF(_xlfn.XLOOKUP(E361,Groups!A:A,Groups!U:U)=3,AS361,IF(_xlfn.XLOOKUP(E361,Groups!A:A,Groups!U:U)=2,AR361,AT361))</f>
        <v>106.26370762208556</v>
      </c>
      <c r="AV361" s="46">
        <f>IFERROR(AVERAGE(_xlfn.XLOOKUP(B361,Animals!B:B,Animals!N:N),_xlfn.XLOOKUP(B361,Animals!B:B,Animals!O:O)),0)</f>
        <v>0</v>
      </c>
      <c r="AW361" s="8">
        <f>MROUND(40*Animals!AO361*_xlfn.XLOOKUP(AG361,Leathers!$A$2:$A$99,Leathers!$B$2:$B$99,0)+(140*_xlfn.XLOOKUP(B361,Animals!B:B,Animals!AO:AO)*2),5)</f>
        <v>155</v>
      </c>
      <c r="AX361" s="8">
        <f>IFERROR(ROUND(SQRT(V361-1)*IF(_xlfn.XLOOKUP(E361,Groups!A:A,Groups!BF:BF)=0,2,1)*IF(_xlfn.XLOOKUP('Base stats'!E361,Groups!A:A,Groups!O:O)=0,1,0.1),1),0)</f>
        <v>6.2</v>
      </c>
      <c r="AY361" s="8">
        <f t="shared" si="168"/>
        <v>0</v>
      </c>
      <c r="AZ361" s="8">
        <f t="shared" si="169"/>
        <v>0</v>
      </c>
      <c r="BA361" s="8">
        <f t="shared" si="170"/>
        <v>2.2000000000000002</v>
      </c>
      <c r="BB361" s="8">
        <f>IF(_xlfn.XLOOKUP(E361,Groups!A:A,Groups!N:N)="Insect",BD361*2.5,IFERROR(AVERAGE(BD361,AT361/9.81/IF(OR(_xlfn.XLOOKUP(E361,Groups!A:A,Groups!N:N)="Pig",_xlfn.XLOOKUP(E361,Groups!A:A,Groups!N:N)="StrongBitingHerbivore"),20,25))*C361^-0.135,BD361))</f>
        <v>0.29591521064492787</v>
      </c>
      <c r="BC361" s="8" t="str">
        <f>IF(W361="No","No",IF(_xlfn.XLOOKUP(E361,Groups!A:A,Groups!U:U)=1,'Base stats'!BB361,IF(OR(_xlfn.XLOOKUP(E361,Groups!A:A,Groups!BD:BD)=1,_xlfn.XLOOKUP(E361,Groups!A:A,Groups!U:U)=2),BD361,IF(_xlfn.XLOOKUP(B361,Animals!B:B,Animals!AO:AO)&gt;4,AVERAGE(BD361,BF361),BF361))))</f>
        <v>No</v>
      </c>
      <c r="BD361" s="8">
        <f t="shared" si="171"/>
        <v>0.44488864743669598</v>
      </c>
      <c r="BE361" s="8">
        <f>IF(_xlfn.XLOOKUP(E361,Groups!A:A,Groups!BE:BE)=1,(0.048*C361^1.01)+(0.071*C361^1.03),0.071*C361^1.03)/IF(_xlfn.XLOOKUP(E361,Groups!A:A,Groups!M:M)=1,0.85,IF(OR(_xlfn.XLOOKUP(B361,Animals!B:B,Animals!AO:AO)&gt;4,_xlfn.XLOOKUP(E361,Groups!A:A,Groups!BC:BC)=1),1.7,1))*C361^-0.25</f>
        <v>1.1368509576116759</v>
      </c>
      <c r="BF361" s="8">
        <f>(0.048*C361^1.01)/IF(_xlfn.XLOOKUP(E361,Groups!A:A,Groups!M:M)=1,0.25,0.8)*C361^-0.25</f>
        <v>0.5533260132721054</v>
      </c>
      <c r="BG361" s="8">
        <f>EXP(1.076*LN(AR361)-4.5397)*IF(_xlfn.XLOOKUP(E361,Groups!A:A,Groups!BC:BC)=1,1.25,IF(_xlfn.XLOOKUP(E361,Groups!A:A,Groups!BD:BD)=1,3.5,2.5))</f>
        <v>28.026208990362584</v>
      </c>
      <c r="BH361" s="8">
        <f>EXP(1.076*LN(AS361)-4.5397)*IF(_xlfn.XLOOKUP(E361,Groups!A:A,Groups!M:M)=1,0.8,IF(_xlfn.XLOOKUP(E361,Groups!A:A,Groups!BC:BC)=1,1.3,3))</f>
        <v>38.763881649603846</v>
      </c>
      <c r="BI361" s="8" t="str">
        <f>IF(W361="No","No",IF(_xlfn.XLOOKUP(E361,Groups!A:A,Groups!U:U)=1,'Base stats'!BJ361,IF(OR(_xlfn.XLOOKUP(E361,Groups!A:A,Groups!BD:BD)=1,_xlfn.XLOOKUP(E361,Groups!A:A,Groups!U:U)=2),BG361,BH361))*1.2)</f>
        <v>No</v>
      </c>
      <c r="BJ361" s="8">
        <f>IFERROR(EXP(1.076*LN(AT361)-4.5397)*IF(_xlfn.XLOOKUP(E361,Groups!A:A,Groups!N:N)="Insect",1,IF(OR(_xlfn.XLOOKUP(E361,Groups!A:A,Groups!N:N)="Pig",_xlfn.XLOOKUP(E361,Groups!A:A,Groups!N:N)="StrongBitingHerbivore"),3.5,3.75)),"No")</f>
        <v>6.065335523414312</v>
      </c>
      <c r="BK361" s="8">
        <f t="shared" si="172"/>
        <v>11</v>
      </c>
      <c r="BL361" s="8">
        <f t="shared" si="173"/>
        <v>8</v>
      </c>
      <c r="BM361" s="8" t="str">
        <f t="shared" si="174"/>
        <v>No</v>
      </c>
      <c r="BN361" s="8">
        <f t="shared" si="175"/>
        <v>6</v>
      </c>
      <c r="BO361" s="8">
        <f t="shared" si="176"/>
        <v>11</v>
      </c>
      <c r="BP361" s="8" t="str" cm="1">
        <f t="array" ref="BP361">IF(AND(_xlfn.XLOOKUP('Base stats'!E361,Groups!A:A,Groups!AD:AD=0),_xlfn.XLOOKUP('Base stats'!E361,Groups!A:A,Groups!P:P=0)),"No",IF(U361="No",AVERAGE(EXP(-0.57+0.99*LN(C361)),EXP(0.32+0.67*LN(C361)))/IF(_xlfn.XLOOKUP(E361,Groups!A:A,Groups!AD:AD)=1,10,2),(0.7354*C361^0.4078)*2/IF(_xlfn.XLOOKUP(E361,Groups!A:A,Groups!BK:BK)=1,1000,100)/IF(_xlfn.XLOOKUP(E361,Groups!A:A,Groups!AJ:AJ)="Photonozoa",3,1)))</f>
        <v>No</v>
      </c>
      <c r="BQ361" s="8" t="str">
        <f>IF(W361="No","No",IF(_xlfn.XLOOKUP(E361,Groups!A:A,Groups!BD:BD)=1,(AO361*5%),EXP(0.7354*LN(C361)^0.4078)*2/IF(_xlfn.XLOOKUP(E361,Groups!A:A,Groups!BL:BL)=1,1000,100)/IF(_xlfn.XLOOKUP(E361,Groups!A:A,Groups!AJ:AJ)="Photonozoa",3,1)))</f>
        <v>No</v>
      </c>
      <c r="BR361" s="8">
        <f>IF(BJ361="No","No",IF(_xlfn.XLOOKUP(E361,Groups!A:A,Groups!BF:BF)=1,(0.0315*C361+2.1825)*2,(0.7354*C361^0.4078)*2)/IF(_xlfn.XLOOKUP(E361,Groups!A:A,Groups!BM:BM)=1,1000,100)/IF(_xlfn.XLOOKUP(E361,Groups!A:A,Groups!AJ:AJ)="Photonozoa",3,1))</f>
        <v>4.8446343021531113E-2</v>
      </c>
      <c r="BS361" s="8">
        <f t="shared" si="177"/>
        <v>7.5524517489455337E-2</v>
      </c>
      <c r="BT361" s="8" t="str">
        <f t="shared" si="178"/>
        <v>No</v>
      </c>
      <c r="BU361" s="8" t="str">
        <f t="shared" si="179"/>
        <v>No</v>
      </c>
      <c r="BV361" s="8">
        <f t="shared" si="180"/>
        <v>125.19697349949989</v>
      </c>
      <c r="BW361" s="4">
        <v>0</v>
      </c>
      <c r="BX361" s="4">
        <v>1</v>
      </c>
    </row>
    <row r="362" spans="1:76" s="16" customFormat="1" x14ac:dyDescent="0.25">
      <c r="A362" s="26" t="s">
        <v>2067</v>
      </c>
      <c r="B362" s="6" t="s">
        <v>2107</v>
      </c>
      <c r="C362" s="7">
        <v>50</v>
      </c>
      <c r="D362" s="7" t="s">
        <v>2106</v>
      </c>
      <c r="E362" s="7" t="str">
        <f>Groups!$A$75</f>
        <v>ArmoredWorm</v>
      </c>
      <c r="F362" s="7" t="str">
        <f t="shared" si="185"/>
        <v>Lay eggs</v>
      </c>
      <c r="G362" s="7">
        <v>5</v>
      </c>
      <c r="H362" s="7">
        <v>20</v>
      </c>
      <c r="I362" s="4">
        <v>1</v>
      </c>
      <c r="J362" s="7" t="str">
        <f t="shared" si="190"/>
        <v>Lay eggs</v>
      </c>
      <c r="K362" s="7" t="s">
        <v>528</v>
      </c>
      <c r="L362" s="7">
        <v>10</v>
      </c>
      <c r="M362" s="7" t="s">
        <v>528</v>
      </c>
      <c r="N362" s="4">
        <v>0</v>
      </c>
      <c r="O362" s="4">
        <v>0</v>
      </c>
      <c r="P362" s="4">
        <v>0</v>
      </c>
      <c r="Q362" s="4">
        <v>0</v>
      </c>
      <c r="R362" s="4" t="s">
        <v>40</v>
      </c>
      <c r="S362" s="7">
        <f>_xlfn.XLOOKUP(B362,[1]TeethAdjusters!$A:$A,[1]BiteAdjusters!$C:$C,1)</f>
        <v>1</v>
      </c>
      <c r="T362" s="7">
        <f>_xlfn.XLOOKUP(B362,[1]TeethAdjusters!$A:$A,[1]TeethAdjusters!$B:$B,1)</f>
        <v>1</v>
      </c>
      <c r="U362" s="7" t="s">
        <v>45</v>
      </c>
      <c r="V362" s="7">
        <v>5</v>
      </c>
      <c r="W362" s="7" t="s">
        <v>45</v>
      </c>
      <c r="X362" s="7" t="s">
        <v>932</v>
      </c>
      <c r="Y362" s="4" t="s">
        <v>42</v>
      </c>
      <c r="Z362" s="4">
        <v>1</v>
      </c>
      <c r="AA362" s="4">
        <v>0</v>
      </c>
      <c r="AB362" s="4">
        <v>0</v>
      </c>
      <c r="AC362" s="4">
        <v>0</v>
      </c>
      <c r="AD362" s="4">
        <v>0</v>
      </c>
      <c r="AE362" s="4" t="s">
        <v>45</v>
      </c>
      <c r="AF362" s="4" t="s">
        <v>45</v>
      </c>
      <c r="AG362" s="49" t="s">
        <v>1712</v>
      </c>
      <c r="AH362" s="4" t="str">
        <f>Animals!$C$105</f>
        <v>&lt;li&gt;Megaspider&lt;/li&gt;</v>
      </c>
      <c r="AI362" s="4">
        <v>1</v>
      </c>
      <c r="AJ362" s="4">
        <v>0</v>
      </c>
      <c r="AK362" s="4">
        <v>0</v>
      </c>
      <c r="AL362" s="4">
        <v>0</v>
      </c>
      <c r="AM362" s="4">
        <v>0</v>
      </c>
      <c r="AN362" s="44" t="s">
        <v>40</v>
      </c>
      <c r="AO362" s="8">
        <f t="shared" si="166"/>
        <v>14114.109472474363</v>
      </c>
      <c r="AP362" s="8">
        <f>IFERROR(C362*_xlfn.XLOOKUP(E362,Groups!A:A,Groups!K:K),0.106*C362^0.94)</f>
        <v>16</v>
      </c>
      <c r="AQ362" s="8">
        <f>AP362*10000/(_xlfn.XLOOKUP(E362,Groups!A:A,Groups!J:J)*AO362)</f>
        <v>12.73727409082932</v>
      </c>
      <c r="AR362" s="8">
        <f t="shared" si="167"/>
        <v>1481.019280401604</v>
      </c>
      <c r="AS362" s="8">
        <f>IF(_xlfn.XLOOKUP(E362,Groups!A:A,Groups!M:M)=1,EXP(0.7444*LN('Base stats'!C362)+6.5696),EXP(0.7927*LN('Base stats'!C362)+4.28))</f>
        <v>1605.2914958133745</v>
      </c>
      <c r="AT362" s="8">
        <f>IF(_xlfn.XLOOKUP(E362,Groups!A:A,Groups!N:N)="No","No",
IF(_xlfn.XLOOKUP(E362,Groups!A:A,Groups!N:N)="Crocodile",EXP(0.8129*LN(C362)+4.6742)*S362,
IF(_xlfn.XLOOKUP(E362,Groups!A:A,Groups!N:N)="Felid",EXP(0.7843*LN(C362)+4.7073)*S362,
IF(_xlfn.XLOOKUP(E362,Groups!A:A,Groups!N:N)="Canid",EXP(0.8367*LN(C362)+4.8763)*S362,
IF(_xlfn.XLOOKUP(E362,Groups!A:A,Groups!N:N)="Pig",EXP(0.3439*LN(C362)+6.8519)*S362,
IF(_xlfn.XLOOKUP(E362,Groups!A:A,Groups!N:N)="Rodent",EXP(0.5625*LN(C362)+4.3006)*S362,
IF(_xlfn.XLOOKUP(E362,Groups!A:A,Groups!N:N)="Primate",EXP(0.7847*LN(C362)+3.4931)*S362,
IF(_xlfn.XLOOKUP(E362,Groups!A:A,Groups!N:N)="MiscCarnivora",EXP(0.7486*LN(C362)+4.2207)*S362,
IF(_xlfn.XLOOKUP(E362,Groups!A:A,Groups!N:N)="Lizard",EXP(0.7733*LN(C362)+5.5303)*S362,
IF(_xlfn.XLOOKUP(E362,Groups!A:A,Groups!N:N)="Snake",50*C362^(2/3)*S362,
IF(_xlfn.XLOOKUP(E362,Groups!A:A,Groups!N:N)="StrongBitingHerbivore",87.1133638856975*C362^(2/3)*S362,
IF(_xlfn.XLOOKUP(E362,Groups!A:A,Groups!N:N)="MiscEctotherms",59.4316884072269*C362^(2/3)*S362,
IF(_xlfn.XLOOKUP(E362,Groups!A:A,Groups!N:N)="StrongBeakBird",0.041*(C362*1000)^1.375*S362,
IF(_xlfn.XLOOKUP(E362,Groups!A:A,Groups!N:N)="Bird",0.118*(C362*1000)^0.692*S362,
IF(_xlfn.XLOOKUP(E362,Groups!A:A,Groups!N:N)="Insect",EXP(0.7444*LN(C362)+6.5696)*S362,
IF(_xlfn.XLOOKUP(E362,Groups!A:A,Groups!N:N)="Theropod",EXP(0.6966*LN(C362)+4.158)*S362,
"No"))))))))))))))))</f>
        <v>13117.597459187402</v>
      </c>
      <c r="AU362" s="8">
        <f>IF(_xlfn.XLOOKUP(E362,Groups!A:A,Groups!U:U)=3,AS362,IF(_xlfn.XLOOKUP(E362,Groups!A:A,Groups!U:U)=2,AR362,AT362))</f>
        <v>13117.597459187402</v>
      </c>
      <c r="AV362" s="46">
        <f>IFERROR(AVERAGE(_xlfn.XLOOKUP(B362,Animals!B:B,Animals!N:N),_xlfn.XLOOKUP(B362,Animals!B:B,Animals!O:O)),0)</f>
        <v>0.77500000000000002</v>
      </c>
      <c r="AW362" s="8">
        <f>MROUND(40*Animals!AO362*_xlfn.XLOOKUP(AG362,Leathers!$A$2:$A$99,Leathers!$B$2:$B$99,0)+(140*_xlfn.XLOOKUP(B362,Animals!B:B,Animals!AO:AO)*2),5)</f>
        <v>240</v>
      </c>
      <c r="AX362" s="8">
        <f>IFERROR(ROUND(SQRT(V362-1)*IF(_xlfn.XLOOKUP(E362,Groups!A:A,Groups!BF:BF)=0,2,1)*IF(_xlfn.XLOOKUP('Base stats'!E362,Groups!A:A,Groups!O:O)=0,1,0.1),1),0)</f>
        <v>4</v>
      </c>
      <c r="AY362" s="8">
        <f t="shared" si="168"/>
        <v>0</v>
      </c>
      <c r="AZ362" s="8">
        <f t="shared" si="169"/>
        <v>0</v>
      </c>
      <c r="BA362" s="8">
        <f t="shared" si="170"/>
        <v>3.3</v>
      </c>
      <c r="BB362" s="8">
        <f>IF(_xlfn.XLOOKUP(E362,Groups!A:A,Groups!N:N)="Insect",BD362*2.5,IFERROR(AVERAGE(BD362,AT362/9.81/IF(OR(_xlfn.XLOOKUP(E362,Groups!A:A,Groups!N:N)="Pig",_xlfn.XLOOKUP(E362,Groups!A:A,Groups!N:N)="StrongBitingHerbivore"),20,25))*C362^-0.135,BD362))</f>
        <v>1.8717569697597289</v>
      </c>
      <c r="BC362" s="8" t="str">
        <f>IF(W362="No","No",IF(_xlfn.XLOOKUP(E362,Groups!A:A,Groups!U:U)=1,'Base stats'!BB362,IF(OR(_xlfn.XLOOKUP(E362,Groups!A:A,Groups!BD:BD)=1,_xlfn.XLOOKUP(E362,Groups!A:A,Groups!U:U)=2),BD362,IF(_xlfn.XLOOKUP(B362,Animals!B:B,Animals!AO:AO)&gt;4,AVERAGE(BD362,BF362),BF362))))</f>
        <v>No</v>
      </c>
      <c r="BD362" s="8">
        <f t="shared" si="171"/>
        <v>0.74870278790389155</v>
      </c>
      <c r="BE362" s="8">
        <f>IF(_xlfn.XLOOKUP(E362,Groups!A:A,Groups!BE:BE)=1,(0.048*C362^1.01)+(0.071*C362^1.03),0.071*C362^1.03)/IF(_xlfn.XLOOKUP(E362,Groups!A:A,Groups!M:M)=1,0.85,IF(OR(_xlfn.XLOOKUP(B362,Animals!B:B,Animals!AO:AO)&gt;4,_xlfn.XLOOKUP(E362,Groups!A:A,Groups!BC:BC)=1),1.7,1))*C362^-0.25</f>
        <v>0.88309216317430306</v>
      </c>
      <c r="BF362" s="8">
        <f>(0.048*C362^1.01)/IF(_xlfn.XLOOKUP(E362,Groups!A:A,Groups!M:M)=1,0.25,0.8)*C362^-0.25</f>
        <v>1.1731902733256112</v>
      </c>
      <c r="BG362" s="8">
        <f>EXP(1.076*LN(AR362)-4.5397)*IF(_xlfn.XLOOKUP(E362,Groups!A:A,Groups!BC:BC)=1,1.25,IF(_xlfn.XLOOKUP(E362,Groups!A:A,Groups!BD:BD)=1,3.5,2.5))</f>
        <v>34.42442382219248</v>
      </c>
      <c r="BH362" s="8">
        <f>EXP(1.076*LN(AS362)-4.5397)*IF(_xlfn.XLOOKUP(E362,Groups!A:A,Groups!M:M)=1,0.8,IF(_xlfn.XLOOKUP(E362,Groups!A:A,Groups!BC:BC)=1,1.3,3))</f>
        <v>39.043855300247856</v>
      </c>
      <c r="BI362" s="8" t="str">
        <f>IF(W362="No","No",IF(_xlfn.XLOOKUP(E362,Groups!A:A,Groups!U:U)=1,'Base stats'!BJ362,IF(OR(_xlfn.XLOOKUP(E362,Groups!A:A,Groups!BD:BD)=1,_xlfn.XLOOKUP(E362,Groups!A:A,Groups!U:U)=2),BG362,BH362))*1.2)</f>
        <v>No</v>
      </c>
      <c r="BJ362" s="8">
        <f>IFERROR(EXP(1.076*LN(AT362)-4.5397)*IF(_xlfn.XLOOKUP(E362,Groups!A:A,Groups!N:N)="Insect",1,IF(OR(_xlfn.XLOOKUP(E362,Groups!A:A,Groups!N:N)="Pig",_xlfn.XLOOKUP(E362,Groups!A:A,Groups!N:N)="StrongBitingHerbivore"),3.5,3.75)),"No")</f>
        <v>287.90192373720538</v>
      </c>
      <c r="BK362" s="8">
        <f t="shared" si="172"/>
        <v>9</v>
      </c>
      <c r="BL362" s="8">
        <f t="shared" si="173"/>
        <v>9</v>
      </c>
      <c r="BM362" s="8" t="str">
        <f t="shared" si="174"/>
        <v>No</v>
      </c>
      <c r="BN362" s="8">
        <f t="shared" si="175"/>
        <v>17</v>
      </c>
      <c r="BO362" s="8">
        <f t="shared" si="176"/>
        <v>8</v>
      </c>
      <c r="BP362" s="8" t="str" cm="1">
        <f t="array" ref="BP362">IF(AND(_xlfn.XLOOKUP('Base stats'!E362,Groups!A:A,Groups!AD:AD=0),_xlfn.XLOOKUP('Base stats'!E362,Groups!A:A,Groups!P:P=0)),"No",IF(U362="No",AVERAGE(EXP(-0.57+0.99*LN(C362)),EXP(0.32+0.67*LN(C362)))/IF(_xlfn.XLOOKUP(E362,Groups!A:A,Groups!AD:AD)=1,10,2),(0.7354*C362^0.4078)*2/IF(_xlfn.XLOOKUP(E362,Groups!A:A,Groups!BK:BK)=1,1000,100)/IF(_xlfn.XLOOKUP(E362,Groups!A:A,Groups!AJ:AJ)="Photonozoa",3,1)))</f>
        <v>No</v>
      </c>
      <c r="BQ362" s="8" t="str">
        <f>IF(W362="No","No",IF(_xlfn.XLOOKUP(E362,Groups!A:A,Groups!BD:BD)=1,(AO362*5%),EXP(0.7354*LN(C362)^0.4078)*2/IF(_xlfn.XLOOKUP(E362,Groups!A:A,Groups!BL:BL)=1,1000,100)/IF(_xlfn.XLOOKUP(E362,Groups!A:A,Groups!AJ:AJ)="Photonozoa",3,1)))</f>
        <v>No</v>
      </c>
      <c r="BR362" s="8">
        <f>IF(BJ362="No","No",IF(_xlfn.XLOOKUP(E362,Groups!A:A,Groups!BF:BF)=1,(0.0315*C362+2.1825)*2,(0.7354*C362^0.4078)*2)/IF(_xlfn.XLOOKUP(E362,Groups!A:A,Groups!BM:BM)=1,1000,100)/IF(_xlfn.XLOOKUP(E362,Groups!A:A,Groups!AJ:AJ)="Photonozoa",3,1))</f>
        <v>7.2509279375208957E-2</v>
      </c>
      <c r="BS362" s="8">
        <f t="shared" si="177"/>
        <v>4.8780157032688065E-2</v>
      </c>
      <c r="BT362" s="8" t="str">
        <f t="shared" si="178"/>
        <v>No</v>
      </c>
      <c r="BU362" s="8" t="str">
        <f t="shared" si="179"/>
        <v>No</v>
      </c>
      <c r="BV362" s="8">
        <f t="shared" si="180"/>
        <v>3970.552820521335</v>
      </c>
      <c r="BW362" s="4">
        <v>0</v>
      </c>
      <c r="BX362" s="4">
        <v>1</v>
      </c>
    </row>
    <row r="363" spans="1:76" s="16" customFormat="1" x14ac:dyDescent="0.25">
      <c r="A363" s="26" t="s">
        <v>2068</v>
      </c>
      <c r="B363" s="6" t="s">
        <v>2109</v>
      </c>
      <c r="C363" s="7">
        <v>1400</v>
      </c>
      <c r="D363" s="7" t="s">
        <v>2108</v>
      </c>
      <c r="E363" s="7" t="str">
        <f>Groups!$A$137</f>
        <v>ArmoredMammal (DOEDICURUS)</v>
      </c>
      <c r="F363" s="7">
        <f>ROUND(7.545*(C363*1000)^0.2689,0)</f>
        <v>339</v>
      </c>
      <c r="G363" s="7">
        <v>4.5</v>
      </c>
      <c r="H363" s="7">
        <v>50</v>
      </c>
      <c r="I363" s="4">
        <v>1</v>
      </c>
      <c r="J363" s="7">
        <v>1</v>
      </c>
      <c r="K363" s="7" t="s">
        <v>528</v>
      </c>
      <c r="L363" s="7">
        <v>25</v>
      </c>
      <c r="M363" s="7" t="s">
        <v>528</v>
      </c>
      <c r="N363" s="4">
        <v>0</v>
      </c>
      <c r="O363" s="4">
        <v>0</v>
      </c>
      <c r="P363" s="4">
        <v>0</v>
      </c>
      <c r="Q363" s="4">
        <v>0</v>
      </c>
      <c r="R363" s="4" t="s">
        <v>40</v>
      </c>
      <c r="S363" s="7">
        <f>_xlfn.XLOOKUP(B363,[1]TeethAdjusters!$A:$A,[1]BiteAdjusters!$C:$C,1)</f>
        <v>1</v>
      </c>
      <c r="T363" s="7">
        <f>_xlfn.XLOOKUP(B363,[1]TeethAdjusters!$A:$A,[1]TeethAdjusters!$B:$B,1)</f>
        <v>1</v>
      </c>
      <c r="U363" s="7" t="s">
        <v>45</v>
      </c>
      <c r="V363" s="7">
        <v>2.25</v>
      </c>
      <c r="W363" s="7">
        <v>100</v>
      </c>
      <c r="X363" s="7" t="s">
        <v>932</v>
      </c>
      <c r="Y363" s="4" t="s">
        <v>42</v>
      </c>
      <c r="Z363" s="4">
        <v>1</v>
      </c>
      <c r="AA363" s="4">
        <v>0</v>
      </c>
      <c r="AB363" s="4">
        <v>0</v>
      </c>
      <c r="AC363" s="4">
        <v>0</v>
      </c>
      <c r="AD363" s="4">
        <v>0</v>
      </c>
      <c r="AE363" s="4" t="s">
        <v>45</v>
      </c>
      <c r="AF363" s="4" t="s">
        <v>45</v>
      </c>
      <c r="AG363" s="49" t="s">
        <v>382</v>
      </c>
      <c r="AH363" s="4" t="s">
        <v>45</v>
      </c>
      <c r="AI363" s="4">
        <v>1</v>
      </c>
      <c r="AJ363" s="4">
        <v>0</v>
      </c>
      <c r="AK363" s="4">
        <v>0</v>
      </c>
      <c r="AL363" s="4">
        <v>0</v>
      </c>
      <c r="AM363" s="4">
        <v>0</v>
      </c>
      <c r="AN363" s="44" t="s">
        <v>40</v>
      </c>
      <c r="AO363" s="8">
        <f t="shared" si="166"/>
        <v>123113.64851825013</v>
      </c>
      <c r="AP363" s="8">
        <f>IFERROR(C363*_xlfn.XLOOKUP(E363,Groups!A:A,Groups!K:K),0.106*C363^0.94)</f>
        <v>448</v>
      </c>
      <c r="AQ363" s="8">
        <f>AP363*10000/(_xlfn.XLOOKUP(E363,Groups!A:A,Groups!J:J)*AO363)</f>
        <v>37.905355927900139</v>
      </c>
      <c r="AR363" s="8">
        <f t="shared" si="167"/>
        <v>24715.824424320803</v>
      </c>
      <c r="AS363" s="8">
        <f>IF(_xlfn.XLOOKUP(E363,Groups!A:A,Groups!M:M)=1,EXP(0.7444*LN('Base stats'!C363)+6.5696),EXP(0.7927*LN('Base stats'!C363)+4.28))</f>
        <v>22527.659664437917</v>
      </c>
      <c r="AT363" s="8">
        <f>IF(_xlfn.XLOOKUP(E363,Groups!A:A,Groups!N:N)="No","No",
IF(_xlfn.XLOOKUP(E363,Groups!A:A,Groups!N:N)="Crocodile",EXP(0.8129*LN(C363)+4.6742)*S363,
IF(_xlfn.XLOOKUP(E363,Groups!A:A,Groups!N:N)="Felid",EXP(0.7843*LN(C363)+4.7073)*S363,
IF(_xlfn.XLOOKUP(E363,Groups!A:A,Groups!N:N)="Canid",EXP(0.8367*LN(C363)+4.8763)*S363,
IF(_xlfn.XLOOKUP(E363,Groups!A:A,Groups!N:N)="Pig",EXP(0.3439*LN(C363)+6.8519)*S363,
IF(_xlfn.XLOOKUP(E363,Groups!A:A,Groups!N:N)="Rodent",EXP(0.5625*LN(C363)+4.3006)*S363,
IF(_xlfn.XLOOKUP(E363,Groups!A:A,Groups!N:N)="Primate",EXP(0.7847*LN(C363)+3.4931)*S363,
IF(_xlfn.XLOOKUP(E363,Groups!A:A,Groups!N:N)="MiscCarnivora",EXP(0.7486*LN(C363)+4.2207)*S363,
IF(_xlfn.XLOOKUP(E363,Groups!A:A,Groups!N:N)="Lizard",EXP(0.7733*LN(C363)+5.5303)*S363,
IF(_xlfn.XLOOKUP(E363,Groups!A:A,Groups!N:N)="Snake",50*C363^(2/3)*S363,
IF(_xlfn.XLOOKUP(E363,Groups!A:A,Groups!N:N)="StrongBitingHerbivore",87.1133638856975*C363^(2/3)*S363,
IF(_xlfn.XLOOKUP(E363,Groups!A:A,Groups!N:N)="MiscEctotherms",59.4316884072269*C363^(2/3)*S363,
IF(_xlfn.XLOOKUP(E363,Groups!A:A,Groups!N:N)="StrongBeakBird",0.041*(C363*1000)^1.375*S363,
IF(_xlfn.XLOOKUP(E363,Groups!A:A,Groups!N:N)="Bird",0.118*(C363*1000)^0.692*S363,
IF(_xlfn.XLOOKUP(E363,Groups!A:A,Groups!N:N)="Insect",EXP(0.7444*LN(C363)+6.5696)*S363,
IF(_xlfn.XLOOKUP(E363,Groups!A:A,Groups!N:N)="Theropod",EXP(0.6966*LN(C363)+4.158)*S363,
"No"))))))))))))))))</f>
        <v>10901.932150421007</v>
      </c>
      <c r="AU363" s="8">
        <f>IF(_xlfn.XLOOKUP(E363,Groups!A:A,Groups!U:U)=3,AS363,IF(_xlfn.XLOOKUP(E363,Groups!A:A,Groups!U:U)=2,AR363,AT363))</f>
        <v>22527.659664437917</v>
      </c>
      <c r="AV363" s="46">
        <f>IFERROR(AVERAGE(_xlfn.XLOOKUP(B363,Animals!B:B,Animals!N:N),_xlfn.XLOOKUP(B363,Animals!B:B,Animals!O:O)),0)</f>
        <v>0.82500000000000007</v>
      </c>
      <c r="AW363" s="8">
        <f>MROUND(40*Animals!AO363*_xlfn.XLOOKUP(AG363,Leathers!$A$2:$A$99,Leathers!$B$2:$B$99,0)+(140*_xlfn.XLOOKUP(B363,Animals!B:B,Animals!AO:AO)*2),5)</f>
        <v>1445</v>
      </c>
      <c r="AX363" s="8">
        <f>IFERROR(ROUND(SQRT(V363-1)*IF(_xlfn.XLOOKUP(E363,Groups!A:A,Groups!BF:BF)=0,2,1)*IF(_xlfn.XLOOKUP('Base stats'!E363,Groups!A:A,Groups!O:O)=0,1,0.1),1),0)</f>
        <v>2.2000000000000002</v>
      </c>
      <c r="AY363" s="8">
        <f t="shared" si="168"/>
        <v>0</v>
      </c>
      <c r="AZ363" s="8">
        <f t="shared" si="169"/>
        <v>10</v>
      </c>
      <c r="BA363" s="8">
        <f t="shared" si="170"/>
        <v>10.7</v>
      </c>
      <c r="BB363" s="8">
        <f>IF(_xlfn.XLOOKUP(E363,Groups!A:A,Groups!N:N)="Insect",BD363*2.5,IFERROR(AVERAGE(BD363,AT363/9.81/IF(OR(_xlfn.XLOOKUP(E363,Groups!A:A,Groups!N:N)="Pig",_xlfn.XLOOKUP(E363,Groups!A:A,Groups!N:N)="StrongBitingHerbivore"),20,25))*C363^-0.135,BD363))</f>
        <v>12.184975570070835</v>
      </c>
      <c r="BC363" s="8">
        <f>IF(W363="No","No",IF(_xlfn.XLOOKUP(E363,Groups!A:A,Groups!U:U)=1,'Base stats'!BB363,IF(OR(_xlfn.XLOOKUP(E363,Groups!A:A,Groups!BD:BD)=1,_xlfn.XLOOKUP(E363,Groups!A:A,Groups!U:U)=2),BD363,IF(_xlfn.XLOOKUP(B363,Animals!B:B,Animals!AO:AO)&gt;4,AVERAGE(BD363,BF363),BF363))))</f>
        <v>14.764153693017668</v>
      </c>
      <c r="BD363" s="8">
        <f t="shared" si="171"/>
        <v>9.2356317041744305</v>
      </c>
      <c r="BE363" s="8">
        <f>IF(_xlfn.XLOOKUP(E363,Groups!A:A,Groups!BE:BE)=1,(0.048*C363^1.01)+(0.071*C363^1.03),0.071*C363^1.03)/IF(_xlfn.XLOOKUP(E363,Groups!A:A,Groups!M:M)=1,0.85,IF(OR(_xlfn.XLOOKUP(B363,Animals!B:B,Animals!AO:AO)&gt;4,_xlfn.XLOOKUP(E363,Groups!A:A,Groups!BC:BC)=1),1.7,1))*C363^-0.25</f>
        <v>20.194737693178642</v>
      </c>
      <c r="BF363" s="8">
        <f>(0.048*C363^1.01)/IF(_xlfn.XLOOKUP(E363,Groups!A:A,Groups!M:M)=1,0.25,0.8)*C363^-0.25</f>
        <v>14.764153693017668</v>
      </c>
      <c r="BG363" s="8">
        <f>EXP(1.076*LN(AR363)-4.5397)*IF(_xlfn.XLOOKUP(E363,Groups!A:A,Groups!BC:BC)=1,1.25,IF(_xlfn.XLOOKUP(E363,Groups!A:A,Groups!BD:BD)=1,3.5,2.5))</f>
        <v>1423.0316462769085</v>
      </c>
      <c r="BH363" s="8">
        <f>EXP(1.076*LN(AS363)-4.5397)*IF(_xlfn.XLOOKUP(E363,Groups!A:A,Groups!M:M)=1,0.8,IF(_xlfn.XLOOKUP(E363,Groups!A:A,Groups!BC:BC)=1,1.3,3))</f>
        <v>1545.5287685721801</v>
      </c>
      <c r="BI363" s="8">
        <f>IF(W363="No","No",IF(_xlfn.XLOOKUP(E363,Groups!A:A,Groups!U:U)=1,'Base stats'!BJ363,IF(OR(_xlfn.XLOOKUP(E363,Groups!A:A,Groups!BD:BD)=1,_xlfn.XLOOKUP(E363,Groups!A:A,Groups!U:U)=2),BG363,BH363))*1.2)</f>
        <v>1854.6345222866159</v>
      </c>
      <c r="BJ363" s="8">
        <f>IFERROR(EXP(1.076*LN(AT363)-4.5397)*IF(_xlfn.XLOOKUP(E363,Groups!A:A,Groups!N:N)="Insect",1,IF(OR(_xlfn.XLOOKUP(E363,Groups!A:A,Groups!N:N)="Pig",_xlfn.XLOOKUP(E363,Groups!A:A,Groups!N:N)="StrongBitingHerbivore"),3.5,3.75)),"No")</f>
        <v>825.76243762635966</v>
      </c>
      <c r="BK363" s="8">
        <f t="shared" si="172"/>
        <v>17</v>
      </c>
      <c r="BL363" s="8">
        <f t="shared" si="173"/>
        <v>12</v>
      </c>
      <c r="BM363" s="8">
        <f t="shared" si="174"/>
        <v>15</v>
      </c>
      <c r="BN363" s="8">
        <f t="shared" si="175"/>
        <v>11</v>
      </c>
      <c r="BO363" s="8">
        <f t="shared" si="176"/>
        <v>14</v>
      </c>
      <c r="BP363" s="8" t="str" cm="1">
        <f t="array" ref="BP363">IF(AND(_xlfn.XLOOKUP('Base stats'!E363,Groups!A:A,Groups!AD:AD=0),_xlfn.XLOOKUP('Base stats'!E363,Groups!A:A,Groups!P:P=0)),"No",IF(U363="No",AVERAGE(EXP(-0.57+0.99*LN(C363)),EXP(0.32+0.67*LN(C363)))/IF(_xlfn.XLOOKUP(E363,Groups!A:A,Groups!AD:AD)=1,10,2),(0.7354*C363^0.4078)*2/IF(_xlfn.XLOOKUP(E363,Groups!A:A,Groups!BK:BK)=1,1000,100)/IF(_xlfn.XLOOKUP(E363,Groups!A:A,Groups!AJ:AJ)="Photonozoa",3,1)))</f>
        <v>No</v>
      </c>
      <c r="BQ363" s="8">
        <f>IF(W363="No","No",IF(_xlfn.XLOOKUP(E363,Groups!A:A,Groups!BD:BD)=1,(AO363*5%),EXP(0.7354*LN(C363)^0.4078)*2/IF(_xlfn.XLOOKUP(E363,Groups!A:A,Groups!BL:BL)=1,1000,100)/IF(_xlfn.XLOOKUP(E363,Groups!A:A,Groups!AJ:AJ)="Photonozoa",3,1)))</f>
        <v>0.10403856680639832</v>
      </c>
      <c r="BR363" s="8">
        <f>IF(BJ363="No","No",IF(_xlfn.XLOOKUP(E363,Groups!A:A,Groups!BF:BF)=1,(0.0315*C363+2.1825)*2,(0.7354*C363^0.4078)*2)/IF(_xlfn.XLOOKUP(E363,Groups!A:A,Groups!BM:BM)=1,1000,100)/IF(_xlfn.XLOOKUP(E363,Groups!A:A,Groups!AJ:AJ)="Photonozoa",3,1))</f>
        <v>0.28219195879265174</v>
      </c>
      <c r="BS363" s="8">
        <f t="shared" si="177"/>
        <v>0.23117366163767958</v>
      </c>
      <c r="BT363" s="8" t="str">
        <f t="shared" si="178"/>
        <v>No</v>
      </c>
      <c r="BU363" s="8">
        <f t="shared" si="179"/>
        <v>17826.413600427997</v>
      </c>
      <c r="BV363" s="8">
        <f t="shared" si="180"/>
        <v>2926.2436858915289</v>
      </c>
      <c r="BW363" s="4">
        <v>0</v>
      </c>
      <c r="BX363" s="4">
        <v>1</v>
      </c>
    </row>
    <row r="364" spans="1:76" s="16" customFormat="1" x14ac:dyDescent="0.25">
      <c r="A364" s="26" t="s">
        <v>2069</v>
      </c>
      <c r="B364" s="6" t="s">
        <v>2113</v>
      </c>
      <c r="C364" s="7">
        <v>750</v>
      </c>
      <c r="D364" s="7" t="s">
        <v>2112</v>
      </c>
      <c r="E364" s="7" t="str">
        <f>Groups!$A$138</f>
        <v>Pig (CARNIVORE)</v>
      </c>
      <c r="F364" s="7">
        <f>ROUND(7.545*(C364*1000)^0.2689,0)</f>
        <v>287</v>
      </c>
      <c r="G364" s="7">
        <v>4</v>
      </c>
      <c r="H364" s="7">
        <v>30</v>
      </c>
      <c r="I364" s="4">
        <v>0</v>
      </c>
      <c r="J364" s="7">
        <v>1</v>
      </c>
      <c r="K364" s="7" t="s">
        <v>528</v>
      </c>
      <c r="L364" s="7">
        <f>AVERAGE(5.83,4.56)*3.6*(23.3/11)</f>
        <v>39.614236363636365</v>
      </c>
      <c r="M364" s="7" t="s">
        <v>630</v>
      </c>
      <c r="N364" s="4">
        <v>0</v>
      </c>
      <c r="O364" s="4">
        <v>0</v>
      </c>
      <c r="P364" s="4">
        <v>0</v>
      </c>
      <c r="Q364" s="4">
        <v>0</v>
      </c>
      <c r="R364" s="4" t="s">
        <v>40</v>
      </c>
      <c r="S364" s="7">
        <f>_xlfn.XLOOKUP(B364,[1]TeethAdjusters!$A:$A,[1]BiteAdjusters!$C:$C,1)</f>
        <v>1</v>
      </c>
      <c r="T364" s="7">
        <f>_xlfn.XLOOKUP(B364,[1]TeethAdjusters!$A:$A,[1]TeethAdjusters!$B:$B,1)</f>
        <v>1</v>
      </c>
      <c r="U364" s="7" t="s">
        <v>45</v>
      </c>
      <c r="V364" s="7">
        <v>15</v>
      </c>
      <c r="W364" s="7" t="s">
        <v>45</v>
      </c>
      <c r="X364" s="7" t="s">
        <v>932</v>
      </c>
      <c r="Y364" s="4" t="s">
        <v>1003</v>
      </c>
      <c r="Z364" s="4">
        <v>1</v>
      </c>
      <c r="AA364" s="4">
        <v>0</v>
      </c>
      <c r="AB364" s="4">
        <v>0</v>
      </c>
      <c r="AC364" s="4">
        <v>0</v>
      </c>
      <c r="AD364" s="4">
        <v>0</v>
      </c>
      <c r="AE364" s="4" t="s">
        <v>45</v>
      </c>
      <c r="AF364" s="4" t="s">
        <v>45</v>
      </c>
      <c r="AG364" s="49" t="s">
        <v>391</v>
      </c>
      <c r="AH364" s="4" t="str">
        <f>Animals!$C$30</f>
        <v>&lt;li&gt;Pig&lt;/li&gt;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4" t="s">
        <v>40</v>
      </c>
      <c r="AO364" s="8">
        <f t="shared" si="166"/>
        <v>82056.464320430197</v>
      </c>
      <c r="AP364" s="8">
        <f>IFERROR(C364*_xlfn.XLOOKUP(E364,Groups!A:A,Groups!K:K),0.106*C364^0.94)</f>
        <v>53.439631267413688</v>
      </c>
      <c r="AQ364" s="8">
        <f>AP364*10000/(_xlfn.XLOOKUP(E364,Groups!A:A,Groups!J:J)*AO364)</f>
        <v>5.9748107665902346</v>
      </c>
      <c r="AR364" s="8">
        <f t="shared" si="167"/>
        <v>14588.310518040505</v>
      </c>
      <c r="AS364" s="8">
        <f>IF(_xlfn.XLOOKUP(E364,Groups!A:A,Groups!M:M)=1,EXP(0.7444*LN('Base stats'!C364)+6.5696),EXP(0.7927*LN('Base stats'!C364)+4.28))</f>
        <v>13735.404258414328</v>
      </c>
      <c r="AT364" s="8">
        <f>IF(_xlfn.XLOOKUP(E364,Groups!A:A,Groups!N:N)="No","No",
IF(_xlfn.XLOOKUP(E364,Groups!A:A,Groups!N:N)="Crocodile",EXP(0.8129*LN(C364)+4.6742)*S364,
IF(_xlfn.XLOOKUP(E364,Groups!A:A,Groups!N:N)="Felid",EXP(0.7843*LN(C364)+4.7073)*S364,
IF(_xlfn.XLOOKUP(E364,Groups!A:A,Groups!N:N)="Canid",EXP(0.8367*LN(C364)+4.8763)*S364,
IF(_xlfn.XLOOKUP(E364,Groups!A:A,Groups!N:N)="Pig",EXP(0.3439*LN(C364)+6.8519)*S364,
IF(_xlfn.XLOOKUP(E364,Groups!A:A,Groups!N:N)="Rodent",EXP(0.5625*LN(C364)+4.3006)*S364,
IF(_xlfn.XLOOKUP(E364,Groups!A:A,Groups!N:N)="Primate",EXP(0.7847*LN(C364)+3.4931)*S364,
IF(_xlfn.XLOOKUP(E364,Groups!A:A,Groups!N:N)="MiscCarnivora",EXP(0.7486*LN(C364)+4.2207)*S364,
IF(_xlfn.XLOOKUP(E364,Groups!A:A,Groups!N:N)="Lizard",EXP(0.7733*LN(C364)+5.5303)*S364,
IF(_xlfn.XLOOKUP(E364,Groups!A:A,Groups!N:N)="Snake",50*C364^(2/3)*S364,
IF(_xlfn.XLOOKUP(E364,Groups!A:A,Groups!N:N)="StrongBitingHerbivore",87.1133638856975*C364^(2/3)*S364,
IF(_xlfn.XLOOKUP(E364,Groups!A:A,Groups!N:N)="MiscEctotherms",59.4316884072269*C364^(2/3)*S364,
IF(_xlfn.XLOOKUP(E364,Groups!A:A,Groups!N:N)="StrongBeakBird",0.041*(C364*1000)^1.375*S364,
IF(_xlfn.XLOOKUP(E364,Groups!A:A,Groups!N:N)="Bird",0.118*(C364*1000)^0.692*S364,
IF(_xlfn.XLOOKUP(E364,Groups!A:A,Groups!N:N)="Insect",EXP(0.7444*LN(C364)+6.5696)*S364,
IF(_xlfn.XLOOKUP(E364,Groups!A:A,Groups!N:N)="Theropod",EXP(0.6966*LN(C364)+4.158)*S364,
"No"))))))))))))))))</f>
        <v>9214.5881505092293</v>
      </c>
      <c r="AU364" s="8">
        <f>IF(_xlfn.XLOOKUP(E364,Groups!A:A,Groups!U:U)=3,AS364,IF(_xlfn.XLOOKUP(E364,Groups!A:A,Groups!U:U)=2,AR364,AT364))</f>
        <v>9214.5881505092293</v>
      </c>
      <c r="AV364" s="46">
        <f>IFERROR(AVERAGE(_xlfn.XLOOKUP(B364,Animals!B:B,Animals!N:N),_xlfn.XLOOKUP(B364,Animals!B:B,Animals!O:O)),0)</f>
        <v>0</v>
      </c>
      <c r="AW364" s="8">
        <f>MROUND(40*Animals!AO364*_xlfn.XLOOKUP(AG364,Leathers!$A$2:$A$99,Leathers!$B$2:$B$99,0)+(140*_xlfn.XLOOKUP(B364,Animals!B:B,Animals!AO:AO)*2),5)</f>
        <v>1195</v>
      </c>
      <c r="AX364" s="8">
        <f>IFERROR(ROUND(SQRT(V364-1)*IF(_xlfn.XLOOKUP(E364,Groups!A:A,Groups!BF:BF)=0,2,1)*IF(_xlfn.XLOOKUP('Base stats'!E364,Groups!A:A,Groups!O:O)=0,1,0.1),1),0)</f>
        <v>7.5</v>
      </c>
      <c r="AY364" s="8">
        <f t="shared" si="168"/>
        <v>0</v>
      </c>
      <c r="AZ364" s="8">
        <f t="shared" si="169"/>
        <v>0</v>
      </c>
      <c r="BA364" s="8">
        <f t="shared" si="170"/>
        <v>8.6</v>
      </c>
      <c r="BB364" s="8">
        <f>IF(_xlfn.XLOOKUP(E364,Groups!A:A,Groups!N:N)="Insect",BD364*2.5,IFERROR(AVERAGE(BD364,AT364/9.81/IF(OR(_xlfn.XLOOKUP(E364,Groups!A:A,Groups!N:N)="Pig",_xlfn.XLOOKUP(E364,Groups!A:A,Groups!N:N)="StrongBitingHerbivore"),20,25))*C364^-0.135,BD364))</f>
        <v>10.787672762317028</v>
      </c>
      <c r="BC364" s="8" t="str">
        <f>IF(W364="No","No",IF(_xlfn.XLOOKUP(E364,Groups!A:A,Groups!U:U)=1,'Base stats'!BB364,IF(OR(_xlfn.XLOOKUP(E364,Groups!A:A,Groups!BD:BD)=1,_xlfn.XLOOKUP(E364,Groups!A:A,Groups!U:U)=2),BD364,IF(_xlfn.XLOOKUP(B364,Animals!B:B,Animals!AO:AO)&gt;4,AVERAGE(BD364,BF364),BF364))))</f>
        <v>No</v>
      </c>
      <c r="BD364" s="8">
        <f t="shared" si="171"/>
        <v>5.7687571894196008</v>
      </c>
      <c r="BE364" s="8">
        <f>IF(_xlfn.XLOOKUP(E364,Groups!A:A,Groups!BE:BE)=1,(0.048*C364^1.01)+(0.071*C364^1.03),0.071*C364^1.03)/IF(_xlfn.XLOOKUP(E364,Groups!A:A,Groups!M:M)=1,0.85,IF(OR(_xlfn.XLOOKUP(B364,Animals!B:B,Animals!AO:AO)&gt;4,_xlfn.XLOOKUP(E364,Groups!A:A,Groups!BC:BC)=1),1.7,1))*C364^-0.25</f>
        <v>12.410981669034454</v>
      </c>
      <c r="BF364" s="8">
        <f>(0.048*C364^1.01)/IF(_xlfn.XLOOKUP(E364,Groups!A:A,Groups!M:M)=1,0.25,0.8)*C364^-0.25</f>
        <v>9.1875096989188485</v>
      </c>
      <c r="BG364" s="8">
        <f>EXP(1.076*LN(AR364)-4.5397)*IF(_xlfn.XLOOKUP(E364,Groups!A:A,Groups!BC:BC)=1,1.25,IF(_xlfn.XLOOKUP(E364,Groups!A:A,Groups!BD:BD)=1,3.5,2.5))</f>
        <v>806.94275733572226</v>
      </c>
      <c r="BH364" s="8">
        <f>EXP(1.076*LN(AS364)-4.5397)*IF(_xlfn.XLOOKUP(E364,Groups!A:A,Groups!M:M)=1,0.8,IF(_xlfn.XLOOKUP(E364,Groups!A:A,Groups!BC:BC)=1,1.3,3))</f>
        <v>907.55298837358055</v>
      </c>
      <c r="BI364" s="8" t="str">
        <f>IF(W364="No","No",IF(_xlfn.XLOOKUP(E364,Groups!A:A,Groups!U:U)=1,'Base stats'!BJ364,IF(OR(_xlfn.XLOOKUP(E364,Groups!A:A,Groups!BD:BD)=1,_xlfn.XLOOKUP(E364,Groups!A:A,Groups!U:U)=2),BG364,BH364))*1.2)</f>
        <v>No</v>
      </c>
      <c r="BJ364" s="8">
        <f>IFERROR(EXP(1.076*LN(AT364)-4.5397)*IF(_xlfn.XLOOKUP(E364,Groups!A:A,Groups!N:N)="Insect",1,IF(OR(_xlfn.XLOOKUP(E364,Groups!A:A,Groups!N:N)="Pig",_xlfn.XLOOKUP(E364,Groups!A:A,Groups!N:N)="StrongBitingHerbivore"),3.5,3.75)),"No")</f>
        <v>689.09243869406964</v>
      </c>
      <c r="BK364" s="8">
        <f t="shared" si="172"/>
        <v>16</v>
      </c>
      <c r="BL364" s="8">
        <f t="shared" si="173"/>
        <v>12</v>
      </c>
      <c r="BM364" s="8" t="str">
        <f t="shared" si="174"/>
        <v>No</v>
      </c>
      <c r="BN364" s="8">
        <f t="shared" si="175"/>
        <v>11</v>
      </c>
      <c r="BO364" s="8">
        <f t="shared" si="176"/>
        <v>14</v>
      </c>
      <c r="BP364" s="8" t="str" cm="1">
        <f t="array" ref="BP364">IF(AND(_xlfn.XLOOKUP('Base stats'!E364,Groups!A:A,Groups!AD:AD=0),_xlfn.XLOOKUP('Base stats'!E364,Groups!A:A,Groups!P:P=0)),"No",IF(U364="No",AVERAGE(EXP(-0.57+0.99*LN(C364)),EXP(0.32+0.67*LN(C364)))/IF(_xlfn.XLOOKUP(E364,Groups!A:A,Groups!AD:AD)=1,10,2),(0.7354*C364^0.4078)*2/IF(_xlfn.XLOOKUP(E364,Groups!A:A,Groups!BK:BK)=1,1000,100)/IF(_xlfn.XLOOKUP(E364,Groups!A:A,Groups!AJ:AJ)="Photonozoa",3,1)))</f>
        <v>No</v>
      </c>
      <c r="BQ364" s="8" t="str">
        <f>IF(W364="No","No",IF(_xlfn.XLOOKUP(E364,Groups!A:A,Groups!BD:BD)=1,(AO364*5%),EXP(0.7354*LN(C364)^0.4078)*2/IF(_xlfn.XLOOKUP(E364,Groups!A:A,Groups!BL:BL)=1,1000,100)/IF(_xlfn.XLOOKUP(E364,Groups!A:A,Groups!AJ:AJ)="Photonozoa",3,1)))</f>
        <v>No</v>
      </c>
      <c r="BR364" s="8">
        <f>IF(BJ364="No","No",IF(_xlfn.XLOOKUP(E364,Groups!A:A,Groups!BF:BF)=1,(0.0315*C364+2.1825)*2,(0.7354*C364^0.4078)*2)/IF(_xlfn.XLOOKUP(E364,Groups!A:A,Groups!BM:BM)=1,1000,100)/IF(_xlfn.XLOOKUP(E364,Groups!A:A,Groups!AJ:AJ)="Photonozoa",3,1))</f>
        <v>0.21877797812563202</v>
      </c>
      <c r="BS364" s="8">
        <f t="shared" si="177"/>
        <v>0.19667987501499301</v>
      </c>
      <c r="BT364" s="8" t="str">
        <f t="shared" si="178"/>
        <v>No</v>
      </c>
      <c r="BU364" s="8" t="str">
        <f t="shared" si="179"/>
        <v>No</v>
      </c>
      <c r="BV364" s="8">
        <f t="shared" si="180"/>
        <v>3149.7340116122759</v>
      </c>
      <c r="BW364" s="4">
        <v>0</v>
      </c>
      <c r="BX364" s="4">
        <v>1</v>
      </c>
    </row>
    <row r="365" spans="1:76" s="16" customFormat="1" x14ac:dyDescent="0.25">
      <c r="A365" s="26" t="s">
        <v>2070</v>
      </c>
      <c r="B365" s="6" t="s">
        <v>2116</v>
      </c>
      <c r="C365" s="7">
        <v>250</v>
      </c>
      <c r="D365" s="7" t="s">
        <v>2115</v>
      </c>
      <c r="E365" s="7" t="str">
        <f>Groups!$A$45</f>
        <v>Ape</v>
      </c>
      <c r="F365" s="7">
        <v>260</v>
      </c>
      <c r="G365" s="7">
        <v>8</v>
      </c>
      <c r="H365" s="7">
        <v>60</v>
      </c>
      <c r="I365" s="4">
        <v>1</v>
      </c>
      <c r="J365" s="7">
        <v>1</v>
      </c>
      <c r="K365" s="7" t="s">
        <v>528</v>
      </c>
      <c r="L365" s="7">
        <v>32</v>
      </c>
      <c r="M365" s="7" t="s">
        <v>528</v>
      </c>
      <c r="N365" s="4">
        <v>0</v>
      </c>
      <c r="O365" s="4">
        <v>0</v>
      </c>
      <c r="P365" s="4">
        <v>0</v>
      </c>
      <c r="Q365" s="4">
        <v>0</v>
      </c>
      <c r="R365" s="4" t="s">
        <v>40</v>
      </c>
      <c r="S365" s="7">
        <f>_xlfn.XLOOKUP(B365,[1]TeethAdjusters!$A:$A,[1]BiteAdjusters!$C:$C,1)</f>
        <v>1</v>
      </c>
      <c r="T365" s="7">
        <f>_xlfn.XLOOKUP(B365,[1]TeethAdjusters!$A:$A,[1]TeethAdjusters!$B:$B,1)</f>
        <v>1</v>
      </c>
      <c r="U365" s="7" t="s">
        <v>45</v>
      </c>
      <c r="V365" s="7">
        <f>IF(AT365="No","No",IF(_xlfn.XLOOKUP(E365,Groups!A:A,Groups!AM:AM)=1,MROUND(EXP(0.3582*LN(C365)-0.2221)*T365,0.05),IF(_xlfn.XLOOKUP(E365,Groups!A:A,Groups!AM:AM)=2,MROUND(EXP(0.3582*LN(C365)-0.2221)*T365,0.05),"Need a formula")))</f>
        <v>5.8000000000000007</v>
      </c>
      <c r="W365" s="7" t="s">
        <v>45</v>
      </c>
      <c r="X365" s="7" t="s">
        <v>932</v>
      </c>
      <c r="Y365" s="4" t="s">
        <v>42</v>
      </c>
      <c r="Z365" s="4">
        <v>1</v>
      </c>
      <c r="AA365" s="4">
        <v>0</v>
      </c>
      <c r="AB365" s="4">
        <v>0</v>
      </c>
      <c r="AC365" s="4">
        <v>0</v>
      </c>
      <c r="AD365" s="4">
        <v>0</v>
      </c>
      <c r="AE365" s="4" t="s">
        <v>1046</v>
      </c>
      <c r="AF365" s="4" t="s">
        <v>311</v>
      </c>
      <c r="AG365" s="49" t="s">
        <v>385</v>
      </c>
      <c r="AH365" s="4" t="str">
        <f>Animals!$C$31</f>
        <v>&lt;li&gt;Monkey&lt;/li&gt;</v>
      </c>
      <c r="AI365" s="4">
        <v>1</v>
      </c>
      <c r="AJ365" s="4">
        <v>0</v>
      </c>
      <c r="AK365" s="4">
        <v>0</v>
      </c>
      <c r="AL365" s="4">
        <v>0</v>
      </c>
      <c r="AM365" s="4">
        <v>0</v>
      </c>
      <c r="AN365" s="44" t="s">
        <v>40</v>
      </c>
      <c r="AO365" s="8">
        <f t="shared" si="166"/>
        <v>40177.59941909022</v>
      </c>
      <c r="AP365" s="8">
        <f>IFERROR(C365*_xlfn.XLOOKUP(E365,Groups!A:A,Groups!K:K),0.106*C365^0.94)</f>
        <v>19.026962989898642</v>
      </c>
      <c r="AQ365" s="8">
        <f>AP365*10000/(_xlfn.XLOOKUP(E365,Groups!A:A,Groups!J:J)*AO365)</f>
        <v>4.3446919678921265</v>
      </c>
      <c r="AR365" s="8">
        <f t="shared" si="167"/>
        <v>5767.4079933655148</v>
      </c>
      <c r="AS365" s="8">
        <f>IF(_xlfn.XLOOKUP(E365,Groups!A:A,Groups!M:M)=1,EXP(0.7444*LN('Base stats'!C365)+6.5696),EXP(0.7927*LN('Base stats'!C365)+4.28))</f>
        <v>5749.4649057379756</v>
      </c>
      <c r="AT365" s="8">
        <f>IF(_xlfn.XLOOKUP(E365,Groups!A:A,Groups!N:N)="No","No",
IF(_xlfn.XLOOKUP(E365,Groups!A:A,Groups!N:N)="Crocodile",EXP(0.8129*LN(C365)+4.6742)*S365,
IF(_xlfn.XLOOKUP(E365,Groups!A:A,Groups!N:N)="Felid",EXP(0.7843*LN(C365)+4.7073)*S365,
IF(_xlfn.XLOOKUP(E365,Groups!A:A,Groups!N:N)="Canid",EXP(0.8367*LN(C365)+4.8763)*S365,
IF(_xlfn.XLOOKUP(E365,Groups!A:A,Groups!N:N)="Pig",EXP(0.3439*LN(C365)+6.8519)*S365,
IF(_xlfn.XLOOKUP(E365,Groups!A:A,Groups!N:N)="Rodent",EXP(0.5625*LN(C365)+4.3006)*S365,
IF(_xlfn.XLOOKUP(E365,Groups!A:A,Groups!N:N)="Primate",EXP(0.7847*LN(C365)+3.4931)*S365,
IF(_xlfn.XLOOKUP(E365,Groups!A:A,Groups!N:N)="MiscCarnivora",EXP(0.7486*LN(C365)+4.2207)*S365,
IF(_xlfn.XLOOKUP(E365,Groups!A:A,Groups!N:N)="Lizard",EXP(0.7733*LN(C365)+5.5303)*S365,
IF(_xlfn.XLOOKUP(E365,Groups!A:A,Groups!N:N)="Snake",50*C365^(2/3)*S365,
IF(_xlfn.XLOOKUP(E365,Groups!A:A,Groups!N:N)="StrongBitingHerbivore",87.1133638856975*C365^(2/3)*S365,
IF(_xlfn.XLOOKUP(E365,Groups!A:A,Groups!N:N)="MiscEctotherms",59.4316884072269*C365^(2/3)*S365,
IF(_xlfn.XLOOKUP(E365,Groups!A:A,Groups!N:N)="StrongBeakBird",0.041*(C365*1000)^1.375*S365,
IF(_xlfn.XLOOKUP(E365,Groups!A:A,Groups!N:N)="Bird",0.118*(C365*1000)^0.692*S365,
IF(_xlfn.XLOOKUP(E365,Groups!A:A,Groups!N:N)="Insect",EXP(0.7444*LN(C365)+6.5696)*S365,
IF(_xlfn.XLOOKUP(E365,Groups!A:A,Groups!N:N)="Theropod",EXP(0.6966*LN(C365)+4.158)*S365,
"No"))))))))))))))))</f>
        <v>2504.364734227524</v>
      </c>
      <c r="AU365" s="8">
        <f>IF(_xlfn.XLOOKUP(E365,Groups!A:A,Groups!U:U)=3,AS365,IF(_xlfn.XLOOKUP(E365,Groups!A:A,Groups!U:U)=2,AR365,AT365))</f>
        <v>2504.364734227524</v>
      </c>
      <c r="AV365" s="46">
        <f>IFERROR(AVERAGE(_xlfn.XLOOKUP(B365,Animals!B:B,Animals!N:N),_xlfn.XLOOKUP(B365,Animals!B:B,Animals!O:O)),0)</f>
        <v>0</v>
      </c>
      <c r="AW365" s="8">
        <f>MROUND(40*Animals!AO365*_xlfn.XLOOKUP(AG365,Leathers!$A$2:$A$99,Leathers!$B$2:$B$99,0)+(140*_xlfn.XLOOKUP(B365,Animals!B:B,Animals!AO:AO)*2),5)</f>
        <v>950</v>
      </c>
      <c r="AX365" s="8">
        <f>IFERROR(ROUND(SQRT(V365-1)*IF(_xlfn.XLOOKUP(E365,Groups!A:A,Groups!BF:BF)=0,2,1)*IF(_xlfn.XLOOKUP('Base stats'!E365,Groups!A:A,Groups!O:O)=0,1,0.1),1),0)</f>
        <v>4.4000000000000004</v>
      </c>
      <c r="AY365" s="8">
        <f t="shared" si="168"/>
        <v>0</v>
      </c>
      <c r="AZ365" s="8">
        <f t="shared" si="169"/>
        <v>0</v>
      </c>
      <c r="BA365" s="8">
        <f t="shared" si="170"/>
        <v>5.8</v>
      </c>
      <c r="BB365" s="8">
        <f>IF(_xlfn.XLOOKUP(E365,Groups!A:A,Groups!N:N)="Insect",BD365*2.5,IFERROR(AVERAGE(BD365,AT365/9.81/IF(OR(_xlfn.XLOOKUP(E365,Groups!A:A,Groups!N:N)="Pig",_xlfn.XLOOKUP(E365,Groups!A:A,Groups!N:N)="StrongBitingHerbivore"),20,25))*C365^-0.135,BD365))</f>
        <v>3.0207410137972226</v>
      </c>
      <c r="BC365" s="8" t="str">
        <f>IF(W365="No","No",IF(_xlfn.XLOOKUP(E365,Groups!A:A,Groups!U:U)=1,'Base stats'!BB365,IF(OR(_xlfn.XLOOKUP(E365,Groups!A:A,Groups!BD:BD)=1,_xlfn.XLOOKUP(E365,Groups!A:A,Groups!U:U)=2),BD365,IF(_xlfn.XLOOKUP(B365,Animals!B:B,Animals!AO:AO)&gt;4,AVERAGE(BD365,BF365),BF365))))</f>
        <v>No</v>
      </c>
      <c r="BD365" s="8">
        <f t="shared" si="171"/>
        <v>2.5196071584879993</v>
      </c>
      <c r="BE365" s="8">
        <f>IF(_xlfn.XLOOKUP(E365,Groups!A:A,Groups!BE:BE)=1,(0.048*C365^1.01)+(0.071*C365^1.03),0.071*C365^1.03)/IF(_xlfn.XLOOKUP(E365,Groups!A:A,Groups!M:M)=1,0.85,IF(OR(_xlfn.XLOOKUP(B365,Animals!B:B,Animals!AO:AO)&gt;4,_xlfn.XLOOKUP(E365,Groups!A:A,Groups!BC:BC)=1),1.7,1))*C365^-0.25</f>
        <v>5.2680702234911871</v>
      </c>
      <c r="BF365" s="8">
        <f>(0.048*C365^1.01)/IF(_xlfn.XLOOKUP(E365,Groups!A:A,Groups!M:M)=1,0.25,0.8)*C365^-0.25</f>
        <v>3.986443901788101</v>
      </c>
      <c r="BG365" s="8">
        <f>EXP(1.076*LN(AR365)-4.5397)*IF(_xlfn.XLOOKUP(E365,Groups!A:A,Groups!BC:BC)=1,1.25,IF(_xlfn.XLOOKUP(E365,Groups!A:A,Groups!BD:BD)=1,3.5,2.5))</f>
        <v>297.29565054010914</v>
      </c>
      <c r="BH365" s="8">
        <f>EXP(1.076*LN(AS365)-4.5397)*IF(_xlfn.XLOOKUP(E365,Groups!A:A,Groups!M:M)=1,0.8,IF(_xlfn.XLOOKUP(E365,Groups!A:A,Groups!BC:BC)=1,1.3,3))</f>
        <v>355.56066282590984</v>
      </c>
      <c r="BI365" s="8" t="str">
        <f>IF(W365="No","No",IF(_xlfn.XLOOKUP(E365,Groups!A:A,Groups!U:U)=1,'Base stats'!BJ365,IF(OR(_xlfn.XLOOKUP(E365,Groups!A:A,Groups!BD:BD)=1,_xlfn.XLOOKUP(E365,Groups!A:A,Groups!U:U)=2),BG365,BH365))*1.2)</f>
        <v>No</v>
      </c>
      <c r="BJ365" s="8">
        <f>IFERROR(EXP(1.076*LN(AT365)-4.5397)*IF(_xlfn.XLOOKUP(E365,Groups!A:A,Groups!N:N)="Insect",1,IF(OR(_xlfn.XLOOKUP(E365,Groups!A:A,Groups!N:N)="Pig",_xlfn.XLOOKUP(E365,Groups!A:A,Groups!N:N)="StrongBitingHerbivore"),3.5,3.75)),"No")</f>
        <v>181.74530634249004</v>
      </c>
      <c r="BK365" s="8">
        <f t="shared" si="172"/>
        <v>15</v>
      </c>
      <c r="BL365" s="8">
        <f t="shared" si="173"/>
        <v>11</v>
      </c>
      <c r="BM365" s="8" t="str">
        <f t="shared" si="174"/>
        <v>No</v>
      </c>
      <c r="BN365" s="8">
        <f t="shared" si="175"/>
        <v>10</v>
      </c>
      <c r="BO365" s="8">
        <f t="shared" si="176"/>
        <v>13</v>
      </c>
      <c r="BP365" s="8" cm="1">
        <f t="array" ref="BP365">IF(AND(_xlfn.XLOOKUP('Base stats'!E365,Groups!A:A,Groups!AD:AD=0),_xlfn.XLOOKUP('Base stats'!E365,Groups!A:A,Groups!P:P=0)),"No",IF(U365="No",AVERAGE(EXP(-0.57+0.99*LN(C365)),EXP(0.32+0.67*LN(C365)))/IF(_xlfn.XLOOKUP(E365,Groups!A:A,Groups!AD:AD)=1,10,2),(0.7354*C365^0.4078)*2/IF(_xlfn.XLOOKUP(E365,Groups!A:A,Groups!BK:BK)=1,1000,100)/IF(_xlfn.XLOOKUP(E365,Groups!A:A,Groups!AJ:AJ)="Photonozoa",3,1)))</f>
        <v>9.4726579042642598</v>
      </c>
      <c r="BQ365" s="8" t="str">
        <f>IF(W365="No","No",IF(_xlfn.XLOOKUP(E365,Groups!A:A,Groups!BD:BD)=1,(AO365*5%),EXP(0.7354*LN(C365)^0.4078)*2/IF(_xlfn.XLOOKUP(E365,Groups!A:A,Groups!BL:BL)=1,1000,100)/IF(_xlfn.XLOOKUP(E365,Groups!A:A,Groups!AJ:AJ)="Photonozoa",3,1)))</f>
        <v>No</v>
      </c>
      <c r="BR365" s="8">
        <f>IF(BJ365="No","No",IF(_xlfn.XLOOKUP(E365,Groups!A:A,Groups!BF:BF)=1,(0.0315*C365+2.1825)*2,(0.7354*C365^0.4078)*2)/IF(_xlfn.XLOOKUP(E365,Groups!A:A,Groups!BM:BM)=1,1000,100)/IF(_xlfn.XLOOKUP(E365,Groups!A:A,Groups!AJ:AJ)="Photonozoa",3,1))</f>
        <v>0.13977630534113397</v>
      </c>
      <c r="BS365" s="8">
        <f t="shared" si="177"/>
        <v>0.1479907484959643</v>
      </c>
      <c r="BT365" s="8">
        <f t="shared" si="178"/>
        <v>37.535469603082454</v>
      </c>
      <c r="BU365" s="8" t="str">
        <f t="shared" si="179"/>
        <v>No</v>
      </c>
      <c r="BV365" s="8">
        <f t="shared" si="180"/>
        <v>1300.2583370545369</v>
      </c>
      <c r="BW365" s="4">
        <v>0</v>
      </c>
      <c r="BX365" s="4">
        <v>1</v>
      </c>
    </row>
    <row r="366" spans="1:76" s="16" customFormat="1" x14ac:dyDescent="0.25">
      <c r="A366" s="26" t="s">
        <v>2071</v>
      </c>
      <c r="B366" s="6" t="s">
        <v>2117</v>
      </c>
      <c r="C366" s="7">
        <v>17100</v>
      </c>
      <c r="D366" s="7" t="s">
        <v>1135</v>
      </c>
      <c r="E366" s="7" t="str">
        <f>Groups!$A$139</f>
        <v>Paraceratherium</v>
      </c>
      <c r="F366" s="7">
        <f>ROUND(7.545*(C366*1000)^0.2689,0)</f>
        <v>665</v>
      </c>
      <c r="G366" s="7">
        <v>11.5</v>
      </c>
      <c r="H366" s="7">
        <v>65</v>
      </c>
      <c r="I366" s="4">
        <v>1</v>
      </c>
      <c r="J366" s="7">
        <v>1</v>
      </c>
      <c r="K366" s="7" t="s">
        <v>528</v>
      </c>
      <c r="L366" s="7">
        <v>26</v>
      </c>
      <c r="M366" s="7" t="s">
        <v>528</v>
      </c>
      <c r="N366" s="4">
        <v>0</v>
      </c>
      <c r="O366" s="4">
        <v>0</v>
      </c>
      <c r="P366" s="4">
        <v>0</v>
      </c>
      <c r="Q366" s="4">
        <v>0</v>
      </c>
      <c r="R366" s="4" t="s">
        <v>40</v>
      </c>
      <c r="S366" s="7">
        <f>_xlfn.XLOOKUP(B366,[1]TeethAdjusters!$A:$A,[1]BiteAdjusters!$C:$C,1)</f>
        <v>1</v>
      </c>
      <c r="T366" s="7">
        <f>_xlfn.XLOOKUP(B366,[1]TeethAdjusters!$A:$A,[1]TeethAdjusters!$B:$B,1)</f>
        <v>1</v>
      </c>
      <c r="U366" s="7" t="s">
        <v>45</v>
      </c>
      <c r="V366" s="7">
        <v>5</v>
      </c>
      <c r="W366" s="7" t="s">
        <v>45</v>
      </c>
      <c r="X366" s="7" t="s">
        <v>932</v>
      </c>
      <c r="Y366" s="4" t="s">
        <v>42</v>
      </c>
      <c r="Z366" s="4">
        <v>1</v>
      </c>
      <c r="AA366" s="4">
        <v>0</v>
      </c>
      <c r="AB366" s="4">
        <v>0</v>
      </c>
      <c r="AC366" s="4">
        <v>0</v>
      </c>
      <c r="AD366" s="4">
        <v>0</v>
      </c>
      <c r="AE366" s="4" t="s">
        <v>45</v>
      </c>
      <c r="AF366" s="4" t="s">
        <v>45</v>
      </c>
      <c r="AG366" s="49" t="s">
        <v>393</v>
      </c>
      <c r="AH366" s="4" t="str">
        <f>Animals!$C$25</f>
        <v>&lt;li&gt;Rhinoceros&lt;/li&gt;</v>
      </c>
      <c r="AI366" s="4">
        <v>1</v>
      </c>
      <c r="AJ366" s="4">
        <v>0</v>
      </c>
      <c r="AK366" s="4">
        <v>0</v>
      </c>
      <c r="AL366" s="4">
        <v>0</v>
      </c>
      <c r="AM366" s="4">
        <v>0</v>
      </c>
      <c r="AN366" s="44" t="s">
        <v>40</v>
      </c>
      <c r="AO366" s="8">
        <f t="shared" ref="AO366" si="195">(0.111*C366^0.65)*10000</f>
        <v>626282.75094088539</v>
      </c>
      <c r="AP366" s="8">
        <f>IFERROR(C366*_xlfn.XLOOKUP(E366,Groups!A:A,Groups!K:K),0.106*C366^0.94)</f>
        <v>1010.001942470158</v>
      </c>
      <c r="AQ366" s="8">
        <f>AP366*10000/(_xlfn.XLOOKUP(E366,Groups!A:A,Groups!J:J)*AO366)</f>
        <v>14.795350586900195</v>
      </c>
      <c r="AR366" s="8">
        <f t="shared" ref="AR366" si="196">EXP(0.8447*LN(C366)+3.996)</f>
        <v>204669.23398475282</v>
      </c>
      <c r="AS366" s="8">
        <f>IF(_xlfn.XLOOKUP(E366,Groups!A:A,Groups!M:M)=1,EXP(0.7444*LN('Base stats'!C366)+6.5696),EXP(0.7927*LN('Base stats'!C366)+4.28))</f>
        <v>163785.85767159349</v>
      </c>
      <c r="AT366" s="8">
        <f>IF(_xlfn.XLOOKUP(E366,Groups!A:A,Groups!N:N)="No","No",
IF(_xlfn.XLOOKUP(E366,Groups!A:A,Groups!N:N)="Crocodile",EXP(0.8129*LN(C366)+4.6742)*S366,
IF(_xlfn.XLOOKUP(E366,Groups!A:A,Groups!N:N)="Felid",EXP(0.7843*LN(C366)+4.7073)*S366,
IF(_xlfn.XLOOKUP(E366,Groups!A:A,Groups!N:N)="Canid",EXP(0.8367*LN(C366)+4.8763)*S366,
IF(_xlfn.XLOOKUP(E366,Groups!A:A,Groups!N:N)="Pig",EXP(0.3439*LN(C366)+6.8519)*S366,
IF(_xlfn.XLOOKUP(E366,Groups!A:A,Groups!N:N)="Rodent",EXP(0.5625*LN(C366)+4.3006)*S366,
IF(_xlfn.XLOOKUP(E366,Groups!A:A,Groups!N:N)="Primate",EXP(0.7847*LN(C366)+3.4931)*S366,
IF(_xlfn.XLOOKUP(E366,Groups!A:A,Groups!N:N)="MiscCarnivora",EXP(0.7486*LN(C366)+4.2207)*S366,
IF(_xlfn.XLOOKUP(E366,Groups!A:A,Groups!N:N)="Lizard",EXP(0.7733*LN(C366)+5.5303)*S366,
IF(_xlfn.XLOOKUP(E366,Groups!A:A,Groups!N:N)="Snake",50*C366^(2/3)*S366,
IF(_xlfn.XLOOKUP(E366,Groups!A:A,Groups!N:N)="StrongBitingHerbivore",87.1133638856975*C366^(2/3)*S366,
IF(_xlfn.XLOOKUP(E366,Groups!A:A,Groups!N:N)="MiscEctotherms",59.4316884072269*C366^(2/3)*S366,
IF(_xlfn.XLOOKUP(E366,Groups!A:A,Groups!N:N)="StrongBeakBird",0.041*(C366*1000)^1.375*S366,
IF(_xlfn.XLOOKUP(E366,Groups!A:A,Groups!N:N)="Bird",0.118*(C366*1000)^0.692*S366,
IF(_xlfn.XLOOKUP(E366,Groups!A:A,Groups!N:N)="Insect",EXP(0.7444*LN(C366)+6.5696)*S366,
IF(_xlfn.XLOOKUP(E366,Groups!A:A,Groups!N:N)="Theropod",EXP(0.6966*LN(C366)+4.158)*S366,
"No"))))))))))))))))</f>
        <v>57820.546384392612</v>
      </c>
      <c r="AU366" s="8">
        <f>IF(_xlfn.XLOOKUP(E366,Groups!A:A,Groups!U:U)=3,AS366,IF(_xlfn.XLOOKUP(E366,Groups!A:A,Groups!U:U)=2,AR366,AT366))</f>
        <v>57820.546384392612</v>
      </c>
      <c r="AV366" s="46">
        <f>IFERROR(AVERAGE(_xlfn.XLOOKUP(B366,Animals!B:B,Animals!N:N),_xlfn.XLOOKUP(B366,Animals!B:B,Animals!O:O)),0)</f>
        <v>0.32500000000000007</v>
      </c>
      <c r="AW366" s="8">
        <f>MROUND(40*Animals!AO366*_xlfn.XLOOKUP(AG366,Leathers!$A$2:$A$99,Leathers!$B$2:$B$99,0)+(140*_xlfn.XLOOKUP(B366,Animals!B:B,Animals!AO:AO)*2),5)</f>
        <v>3080</v>
      </c>
      <c r="AX366" s="8">
        <f>IFERROR(ROUND(SQRT(V366-1)*IF(_xlfn.XLOOKUP(E366,Groups!A:A,Groups!BF:BF)=0,2,1)*IF(_xlfn.XLOOKUP('Base stats'!E366,Groups!A:A,Groups!O:O)=0,1,0.1),1),0)</f>
        <v>4</v>
      </c>
      <c r="AY366" s="8">
        <f t="shared" ref="AY366" si="197">IFERROR(ROUND(SQRT(U366-1),1),0)</f>
        <v>0</v>
      </c>
      <c r="AZ366" s="8">
        <f t="shared" ref="AZ366" si="198">IFERROR(ROUND(SQRT(W366),1),0)</f>
        <v>0</v>
      </c>
      <c r="BA366" s="8">
        <f t="shared" ref="BA366" si="199">ROUND(
  EXP(0.3582*LN(C366)-0.2221) *
  (0.75 + 0.25*(C366^4/(C366^4+10^4))),
1)</f>
        <v>26.3</v>
      </c>
      <c r="BB366" s="8">
        <f>IF(_xlfn.XLOOKUP(E366,Groups!A:A,Groups!N:N)="Insect",BD366*2.5,IFERROR(AVERAGE(BD366,AT366/9.81/IF(OR(_xlfn.XLOOKUP(E366,Groups!A:A,Groups!N:N)="Pig",_xlfn.XLOOKUP(E366,Groups!A:A,Groups!N:N)="StrongBitingHerbivore"),20,25))*C366^-0.135,BD366))</f>
        <v>47.702309088497785</v>
      </c>
      <c r="BC366" s="8" t="str">
        <f>IF(W366="No","No",IF(_xlfn.XLOOKUP(E366,Groups!A:A,Groups!U:U)=1,'Base stats'!BB366,IF(OR(_xlfn.XLOOKUP(E366,Groups!A:A,Groups!BD:BD)=1,_xlfn.XLOOKUP(E366,Groups!A:A,Groups!U:U)=2),BD366,IF(_xlfn.XLOOKUP(B366,Animals!B:B,Animals!AO:AO)&gt;4,AVERAGE(BD366,BF366),BF366))))</f>
        <v>No</v>
      </c>
      <c r="BD366" s="8">
        <f t="shared" ref="BD366" si="200">(0.0392*C366^IF(OR(Y366="Herbivore",Y366="Dendrovore",Y366="OmnivoreRough"),0.889,0.966))*C366^-0.135</f>
        <v>60.948796476422928</v>
      </c>
      <c r="BE366" s="8">
        <f>IF(_xlfn.XLOOKUP(E366,Groups!A:A,Groups!BE:BE)=1,(0.048*C366^1.01)+(0.071*C366^1.03),0.071*C366^1.03)/IF(_xlfn.XLOOKUP(E366,Groups!A:A,Groups!M:M)=1,0.85,IF(OR(_xlfn.XLOOKUP(B366,Animals!B:B,Animals!AO:AO)&gt;4,_xlfn.XLOOKUP(E366,Groups!A:A,Groups!BC:BC)=1),1.7,1))*C366^-0.25</f>
        <v>83.665496653082968</v>
      </c>
      <c r="BF366" s="8">
        <f>(0.048*C366^1.01)/IF(_xlfn.XLOOKUP(E366,Groups!A:A,Groups!M:M)=1,0.25,0.8)*C366^-0.25</f>
        <v>98.90728810115489</v>
      </c>
      <c r="BG366" s="8">
        <f>EXP(1.076*LN(AR366)-4.5397)*IF(_xlfn.XLOOKUP(E366,Groups!A:A,Groups!BC:BC)=1,1.25,IF(_xlfn.XLOOKUP(E366,Groups!A:A,Groups!BD:BD)=1,3.5,2.5))</f>
        <v>6918.8818191669898</v>
      </c>
      <c r="BH366" s="8">
        <f>EXP(1.076*LN(AS366)-4.5397)*IF(_xlfn.XLOOKUP(E366,Groups!A:A,Groups!M:M)=1,0.8,IF(_xlfn.XLOOKUP(E366,Groups!A:A,Groups!BC:BC)=1,1.3,3))</f>
        <v>5661.5858661810926</v>
      </c>
      <c r="BI366" s="8" t="str">
        <f>IF(W366="No","No",IF(_xlfn.XLOOKUP(E366,Groups!A:A,Groups!U:U)=1,'Base stats'!BJ366,IF(OR(_xlfn.XLOOKUP(E366,Groups!A:A,Groups!BD:BD)=1,_xlfn.XLOOKUP(E366,Groups!A:A,Groups!U:U)=2),BG366,BH366))*1.2)</f>
        <v>No</v>
      </c>
      <c r="BJ366" s="8">
        <f>IFERROR(EXP(1.076*LN(AT366)-4.5397)*IF(_xlfn.XLOOKUP(E366,Groups!A:A,Groups!N:N)="Insect",1,IF(OR(_xlfn.XLOOKUP(E366,Groups!A:A,Groups!N:N)="Pig",_xlfn.XLOOKUP(E366,Groups!A:A,Groups!N:N)="StrongBitingHerbivore"),3.5,3.75)),"No")</f>
        <v>4971.6646026718954</v>
      </c>
      <c r="BK366" s="8">
        <f t="shared" ref="BK366" si="201">ROUNDDOWN(SQRT((2*BG366)/BD366),0)</f>
        <v>15</v>
      </c>
      <c r="BL366" s="8">
        <f t="shared" ref="BL366" si="202">ROUNDDOWN(SQRT((2*BH366)/BE366),0)</f>
        <v>11</v>
      </c>
      <c r="BM366" s="8" t="str">
        <f t="shared" ref="BM366" si="203">IF(W366="No","No",ROUNDDOWN(SQRT((2*BI366)/BC366),0))</f>
        <v>No</v>
      </c>
      <c r="BN366" s="8">
        <f t="shared" ref="BN366" si="204">IF(V366="No","No",ROUNDDOWN(SQRT((2*BJ366)/BB366),0))</f>
        <v>14</v>
      </c>
      <c r="BO366" s="8">
        <f t="shared" ref="BO366" si="205">ROUNDDOWN(SQRT((2*BH366)/BF366),0)</f>
        <v>10</v>
      </c>
      <c r="BP366" s="8" t="str" cm="1">
        <f t="array" ref="BP366">IF(AND(_xlfn.XLOOKUP('Base stats'!E366,Groups!A:A,Groups!AD:AD=0),_xlfn.XLOOKUP('Base stats'!E366,Groups!A:A,Groups!P:P=0)),"No",IF(U366="No",AVERAGE(EXP(-0.57+0.99*LN(C366)),EXP(0.32+0.67*LN(C366)))/IF(_xlfn.XLOOKUP(E366,Groups!A:A,Groups!AD:AD)=1,10,2),(0.7354*C366^0.4078)*2/IF(_xlfn.XLOOKUP(E366,Groups!A:A,Groups!BK:BK)=1,1000,100)/IF(_xlfn.XLOOKUP(E366,Groups!A:A,Groups!AJ:AJ)="Photonozoa",3,1)))</f>
        <v>No</v>
      </c>
      <c r="BQ366" s="8" t="str">
        <f>IF(W366="No","No",IF(_xlfn.XLOOKUP(E366,Groups!A:A,Groups!BD:BD)=1,(AO366*5%),EXP(0.7354*LN(C366)^0.4078)*2/IF(_xlfn.XLOOKUP(E366,Groups!A:A,Groups!BL:BL)=1,1000,100)/IF(_xlfn.XLOOKUP(E366,Groups!A:A,Groups!AJ:AJ)="Photonozoa",3,1)))</f>
        <v>No</v>
      </c>
      <c r="BR366" s="8">
        <f>IF(BJ366="No","No",IF(_xlfn.XLOOKUP(E366,Groups!A:A,Groups!BF:BF)=1,(0.0315*C366+2.1825)*2,(0.7354*C366^0.4078)*2)/IF(_xlfn.XLOOKUP(E366,Groups!A:A,Groups!BM:BM)=1,1000,100)/IF(_xlfn.XLOOKUP(E366,Groups!A:A,Groups!AJ:AJ)="Photonozoa",3,1))</f>
        <v>0.78301383388115542</v>
      </c>
      <c r="BS366" s="8">
        <f t="shared" ref="BS366" si="206">BG366/(AO366*5%)</f>
        <v>0.2209507385848492</v>
      </c>
      <c r="BT366" s="8" t="str">
        <f t="shared" ref="BT366" si="207">IF(BP366="No","No",BH366/BP366)</f>
        <v>No</v>
      </c>
      <c r="BU366" s="8" t="str">
        <f t="shared" ref="BU366" si="208">IF(W366="No","No",BI366/BQ366)</f>
        <v>No</v>
      </c>
      <c r="BV366" s="8">
        <f t="shared" ref="BV366" si="209">IF(BJ366="No","No",BJ366/BR366)</f>
        <v>6349.3956141603585</v>
      </c>
      <c r="BW366" s="4">
        <v>0</v>
      </c>
      <c r="BX366" s="4">
        <v>1</v>
      </c>
    </row>
    <row r="367" spans="1:76" s="16" customFormat="1" x14ac:dyDescent="0.25">
      <c r="A367" s="26" t="s">
        <v>2072</v>
      </c>
      <c r="B367" s="6" t="s">
        <v>2118</v>
      </c>
      <c r="C367" s="7">
        <v>150</v>
      </c>
      <c r="D367" s="7" t="s">
        <v>2119</v>
      </c>
      <c r="E367" s="7" t="str">
        <f>Groups!$A$136</f>
        <v>Bird (AGRESSIVE, SMART, PREDATOR)</v>
      </c>
      <c r="F367" s="7" t="str">
        <f t="shared" ref="F367" si="210">"Lay eggs"</f>
        <v>Lay eggs</v>
      </c>
      <c r="G367" s="7">
        <v>2.5</v>
      </c>
      <c r="H367" s="7">
        <v>40</v>
      </c>
      <c r="I367" s="4">
        <v>1</v>
      </c>
      <c r="J367" s="7" t="str">
        <f t="shared" ref="J367" si="211">"Lay eggs"</f>
        <v>Lay eggs</v>
      </c>
      <c r="K367" s="7" t="s">
        <v>528</v>
      </c>
      <c r="L367" s="7">
        <f>$L$5*(C367/C365)^0.165</f>
        <v>44.103100831414054</v>
      </c>
      <c r="M367" s="7" t="s">
        <v>626</v>
      </c>
      <c r="N367" s="4">
        <v>0</v>
      </c>
      <c r="O367" s="4">
        <v>0</v>
      </c>
      <c r="P367" s="4">
        <v>0</v>
      </c>
      <c r="Q367" s="4">
        <v>0</v>
      </c>
      <c r="R367" s="4" t="s">
        <v>40</v>
      </c>
      <c r="S367" s="7">
        <f>_xlfn.XLOOKUP(B367,[1]TeethAdjusters!$A:$A,[1]BiteAdjusters!$C:$C,1)</f>
        <v>1</v>
      </c>
      <c r="T367" s="7">
        <f>_xlfn.XLOOKUP(B367,[1]TeethAdjusters!$A:$A,[1]TeethAdjusters!$B:$B,1)</f>
        <v>1</v>
      </c>
      <c r="U367" s="7">
        <v>5</v>
      </c>
      <c r="V367" s="7">
        <v>25</v>
      </c>
      <c r="W367" s="7" t="s">
        <v>45</v>
      </c>
      <c r="X367" s="7" t="s">
        <v>932</v>
      </c>
      <c r="Y367" s="4" t="s">
        <v>56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 t="s">
        <v>45</v>
      </c>
      <c r="AF367" s="4" t="s">
        <v>45</v>
      </c>
      <c r="AG367" s="49" t="s">
        <v>375</v>
      </c>
      <c r="AH367" s="4" t="str">
        <f>Animals!$C$6</f>
        <v>&lt;li&gt;Cassowary&lt;/li&gt;</v>
      </c>
      <c r="AI367" s="4">
        <v>1</v>
      </c>
      <c r="AJ367" s="4">
        <v>0</v>
      </c>
      <c r="AK367" s="4">
        <v>0</v>
      </c>
      <c r="AL367" s="4">
        <v>0</v>
      </c>
      <c r="AM367" s="4">
        <v>0</v>
      </c>
      <c r="AN367" s="44" t="s">
        <v>40</v>
      </c>
      <c r="AO367" s="8">
        <f t="shared" ref="AO367:AO370" si="212">(0.111*C367^0.65)*10000</f>
        <v>28825.861601687579</v>
      </c>
      <c r="AP367" s="8">
        <f>IFERROR(C367*_xlfn.XLOOKUP(E367,Groups!A:A,Groups!K:K),0.106*C367^0.94)</f>
        <v>11.771495712556113</v>
      </c>
      <c r="AQ367" s="8">
        <f>AP367*10000/(_xlfn.XLOOKUP(E367,Groups!A:A,Groups!J:J)*AO367)</f>
        <v>3.7464751271603496</v>
      </c>
      <c r="AR367" s="8">
        <f t="shared" ref="AR367:AR370" si="213">EXP(0.8447*LN(C367)+3.996)</f>
        <v>3746.1489061563307</v>
      </c>
      <c r="AS367" s="8">
        <f>IF(_xlfn.XLOOKUP(E367,Groups!A:A,Groups!M:M)=1,EXP(0.7444*LN('Base stats'!C367)+6.5696),EXP(0.7927*LN('Base stats'!C367)+4.28))</f>
        <v>3835.0225645496203</v>
      </c>
      <c r="AT367" s="8">
        <f>IF(_xlfn.XLOOKUP(E367,Groups!A:A,Groups!N:N)="No","No",
IF(_xlfn.XLOOKUP(E367,Groups!A:A,Groups!N:N)="Crocodile",EXP(0.8129*LN(C367)+4.6742)*S367,
IF(_xlfn.XLOOKUP(E367,Groups!A:A,Groups!N:N)="Felid",EXP(0.7843*LN(C367)+4.7073)*S367,
IF(_xlfn.XLOOKUP(E367,Groups!A:A,Groups!N:N)="Canid",EXP(0.8367*LN(C367)+4.8763)*S367,
IF(_xlfn.XLOOKUP(E367,Groups!A:A,Groups!N:N)="Pig",EXP(0.3439*LN(C367)+6.8519)*S367,
IF(_xlfn.XLOOKUP(E367,Groups!A:A,Groups!N:N)="Rodent",EXP(0.5625*LN(C367)+4.3006)*S367,
IF(_xlfn.XLOOKUP(E367,Groups!A:A,Groups!N:N)="Primate",EXP(0.7847*LN(C367)+3.4931)*S367,
IF(_xlfn.XLOOKUP(E367,Groups!A:A,Groups!N:N)="MiscCarnivora",EXP(0.7486*LN(C367)+4.2207)*S367,
IF(_xlfn.XLOOKUP(E367,Groups!A:A,Groups!N:N)="Lizard",EXP(0.7733*LN(C367)+5.5303)*S367,
IF(_xlfn.XLOOKUP(E367,Groups!A:A,Groups!N:N)="Snake",50*C367^(2/3)*S367,
IF(_xlfn.XLOOKUP(E367,Groups!A:A,Groups!N:N)="StrongBitingHerbivore",87.1133638856975*C367^(2/3)*S367,
IF(_xlfn.XLOOKUP(E367,Groups!A:A,Groups!N:N)="MiscEctotherms",59.4316884072269*C367^(2/3)*S367,
IF(_xlfn.XLOOKUP(E367,Groups!A:A,Groups!N:N)="StrongBeakBird",0.041*(C367*1000)^1.375*S367,
IF(_xlfn.XLOOKUP(E367,Groups!A:A,Groups!N:N)="Bird",0.118*(C367*1000)^0.692*S367,
IF(_xlfn.XLOOKUP(E367,Groups!A:A,Groups!N:N)="Insect",EXP(0.7444*LN(C367)+6.5696)*S367,
IF(_xlfn.XLOOKUP(E367,Groups!A:A,Groups!N:N)="Theropod",EXP(0.6966*LN(C367)+4.158)*S367,
"No"))))))))))))))))</f>
        <v>450.54394616825408</v>
      </c>
      <c r="AU367" s="8">
        <f>IF(_xlfn.XLOOKUP(E367,Groups!A:A,Groups!U:U)=3,AS367,IF(_xlfn.XLOOKUP(E367,Groups!A:A,Groups!U:U)=2,AR367,AT367))</f>
        <v>450.54394616825408</v>
      </c>
      <c r="AV367" s="46">
        <f>IFERROR(AVERAGE(_xlfn.XLOOKUP(B367,Animals!B:B,Animals!N:N),_xlfn.XLOOKUP(B367,Animals!B:B,Animals!O:O)),0)</f>
        <v>0</v>
      </c>
      <c r="AW367" s="8">
        <f>MROUND(40*Animals!AO367*_xlfn.XLOOKUP(AG367,Leathers!$A$2:$A$99,Leathers!$B$2:$B$99,0)+(140*_xlfn.XLOOKUP(B367,Animals!B:B,Animals!AO:AO)*2),5)</f>
        <v>725</v>
      </c>
      <c r="AX367" s="8">
        <f>IFERROR(ROUND(SQRT(V367-1)*IF(_xlfn.XLOOKUP(E367,Groups!A:A,Groups!BF:BF)=0,2,1)*IF(_xlfn.XLOOKUP('Base stats'!E367,Groups!A:A,Groups!O:O)=0,1,0.1),1),0)</f>
        <v>0.5</v>
      </c>
      <c r="AY367" s="8">
        <f t="shared" ref="AY367:AY370" si="214">IFERROR(ROUND(SQRT(U367-1),1),0)</f>
        <v>2</v>
      </c>
      <c r="AZ367" s="8">
        <f t="shared" ref="AZ367:AZ370" si="215">IFERROR(ROUND(SQRT(W367),1),0)</f>
        <v>0</v>
      </c>
      <c r="BA367" s="8">
        <f t="shared" ref="BA367:BA370" si="216">ROUND(
  EXP(0.3582*LN(C367)-0.2221) *
  (0.75 + 0.25*(C367^4/(C367^4+10^4))),
1)</f>
        <v>4.8</v>
      </c>
      <c r="BB367" s="8">
        <f>IF(_xlfn.XLOOKUP(E367,Groups!A:A,Groups!N:N)="Insect",BD367*2.5,IFERROR(AVERAGE(BD367,AT367/9.81/IF(OR(_xlfn.XLOOKUP(E367,Groups!A:A,Groups!N:N)="Pig",_xlfn.XLOOKUP(E367,Groups!A:A,Groups!N:N)="StrongBitingHerbivore"),20,25))*C367^-0.135,BD367))</f>
        <v>1.1079469808388016</v>
      </c>
      <c r="BC367" s="8" t="str">
        <f>IF(W367="No","No",IF(_xlfn.XLOOKUP(E367,Groups!A:A,Groups!U:U)=1,'Base stats'!BB367,IF(OR(_xlfn.XLOOKUP(E367,Groups!A:A,Groups!BD:BD)=1,_xlfn.XLOOKUP(E367,Groups!A:A,Groups!U:U)=2),BD367,IF(_xlfn.XLOOKUP(B367,Animals!B:B,Animals!AO:AO)&gt;4,AVERAGE(BD367,BF367),BF367))))</f>
        <v>No</v>
      </c>
      <c r="BD367" s="8">
        <f t="shared" ref="BD367:BD370" si="217">(0.0392*C367^IF(OR(Y367="Herbivore",Y367="Dendrovore",Y367="OmnivoreRough"),0.889,0.966))*C367^-0.135</f>
        <v>2.5212615648035737</v>
      </c>
      <c r="BE367" s="8">
        <f>IF(_xlfn.XLOOKUP(E367,Groups!A:A,Groups!BE:BE)=1,(0.048*C367^1.01)+(0.071*C367^1.03),0.071*C367^1.03)/IF(_xlfn.XLOOKUP(E367,Groups!A:A,Groups!M:M)=1,0.85,IF(OR(_xlfn.XLOOKUP(B367,Animals!B:B,Animals!AO:AO)&gt;4,_xlfn.XLOOKUP(E367,Groups!A:A,Groups!BC:BC)=1),1.7,1))*C367^-0.25</f>
        <v>5.6998621921086974</v>
      </c>
      <c r="BF367" s="8">
        <f>(0.048*C367^1.01)/IF(_xlfn.XLOOKUP(E367,Groups!A:A,Groups!M:M)=1,0.25,0.8)*C367^-0.25</f>
        <v>2.7038376258152188</v>
      </c>
      <c r="BG367" s="8">
        <f>EXP(1.076*LN(AR367)-4.5397)*IF(_xlfn.XLOOKUP(E367,Groups!A:A,Groups!BC:BC)=1,1.25,IF(_xlfn.XLOOKUP(E367,Groups!A:A,Groups!BD:BD)=1,3.5,2.5))</f>
        <v>186.87484615605439</v>
      </c>
      <c r="BH367" s="8">
        <f>EXP(1.076*LN(AS367)-4.5397)*IF(_xlfn.XLOOKUP(E367,Groups!A:A,Groups!M:M)=1,0.8,IF(_xlfn.XLOOKUP(E367,Groups!A:A,Groups!BC:BC)=1,1.3,3))</f>
        <v>229.97937056804284</v>
      </c>
      <c r="BI367" s="8" t="str">
        <f>IF(W367="No","No",IF(_xlfn.XLOOKUP(E367,Groups!A:A,Groups!U:U)=1,'Base stats'!BJ367,IF(OR(_xlfn.XLOOKUP(E367,Groups!A:A,Groups!BD:BD)=1,_xlfn.XLOOKUP(E367,Groups!A:A,Groups!U:U)=2),BG367,BH367))*1.2)</f>
        <v>No</v>
      </c>
      <c r="BJ367" s="8">
        <f>IFERROR(EXP(1.076*LN(AT367)-4.5397)*IF(_xlfn.XLOOKUP(E367,Groups!A:A,Groups!N:N)="Insect",1,IF(OR(_xlfn.XLOOKUP(E367,Groups!A:A,Groups!N:N)="Pig",_xlfn.XLOOKUP(E367,Groups!A:A,Groups!N:N)="StrongBitingHerbivore"),3.5,3.75)),"No")</f>
        <v>28.700257341041308</v>
      </c>
      <c r="BK367" s="8">
        <f t="shared" ref="BK367:BK370" si="218">ROUNDDOWN(SQRT((2*BG367)/BD367),0)</f>
        <v>12</v>
      </c>
      <c r="BL367" s="8">
        <f t="shared" ref="BL367:BL370" si="219">ROUNDDOWN(SQRT((2*BH367)/BE367),0)</f>
        <v>8</v>
      </c>
      <c r="BM367" s="8" t="str">
        <f t="shared" ref="BM367:BM370" si="220">IF(W367="No","No",ROUNDDOWN(SQRT((2*BI367)/BC367),0))</f>
        <v>No</v>
      </c>
      <c r="BN367" s="8">
        <f t="shared" ref="BN367:BN370" si="221">IF(V367="No","No",ROUNDDOWN(SQRT((2*BJ367)/BB367),0))</f>
        <v>7</v>
      </c>
      <c r="BO367" s="8">
        <f t="shared" ref="BO367:BO370" si="222">ROUNDDOWN(SQRT((2*BH367)/BF367),0)</f>
        <v>13</v>
      </c>
      <c r="BP367" s="8" cm="1">
        <f t="array" ref="BP367">IF(AND(_xlfn.XLOOKUP('Base stats'!E367,Groups!A:A,Groups!AD:AD=0),_xlfn.XLOOKUP('Base stats'!E367,Groups!A:A,Groups!P:P=0)),"No",IF(U367="No",AVERAGE(EXP(-0.57+0.99*LN(C367)),EXP(0.32+0.67*LN(C367)))/IF(_xlfn.XLOOKUP(E367,Groups!A:A,Groups!AD:AD)=1,10,2),(0.7354*C367^0.4078)*2/IF(_xlfn.XLOOKUP(E367,Groups!A:A,Groups!BK:BK)=1,1000,100)/IF(_xlfn.XLOOKUP(E367,Groups!A:A,Groups!AJ:AJ)="Photonozoa",3,1)))</f>
        <v>0.11349157855001941</v>
      </c>
      <c r="BQ367" s="8" t="str">
        <f>IF(W367="No","No",IF(_xlfn.XLOOKUP(E367,Groups!A:A,Groups!BD:BD)=1,(AO367*5%),EXP(0.7354*LN(C367)^0.4078)*2/IF(_xlfn.XLOOKUP(E367,Groups!A:A,Groups!BL:BL)=1,1000,100)/IF(_xlfn.XLOOKUP(E367,Groups!A:A,Groups!AJ:AJ)="Photonozoa",3,1)))</f>
        <v>No</v>
      </c>
      <c r="BR367" s="8">
        <f>IF(BJ367="No","No",IF(_xlfn.XLOOKUP(E367,Groups!A:A,Groups!BF:BF)=1,(0.0315*C367+2.1825)*2,(0.7354*C367^0.4078)*2)/IF(_xlfn.XLOOKUP(E367,Groups!A:A,Groups!BM:BM)=1,1000,100)/IF(_xlfn.XLOOKUP(E367,Groups!A:A,Groups!AJ:AJ)="Photonozoa",3,1))</f>
        <v>0.13815</v>
      </c>
      <c r="BS367" s="8">
        <f t="shared" ref="BS367:BS370" si="223">BG367/(AO367*5%)</f>
        <v>0.12965776963635597</v>
      </c>
      <c r="BT367" s="8">
        <f t="shared" ref="BT367:BT370" si="224">IF(BP367="No","No",BH367/BP367)</f>
        <v>2026.4003153915378</v>
      </c>
      <c r="BU367" s="8" t="str">
        <f t="shared" ref="BU367:BU370" si="225">IF(W367="No","No",BI367/BQ367)</f>
        <v>No</v>
      </c>
      <c r="BV367" s="8">
        <f t="shared" ref="BV367:BV370" si="226">IF(BJ367="No","No",BJ367/BR367)</f>
        <v>207.74706725328491</v>
      </c>
      <c r="BW367" s="4">
        <v>0</v>
      </c>
      <c r="BX367" s="4">
        <v>1</v>
      </c>
    </row>
    <row r="368" spans="1:76" s="16" customFormat="1" x14ac:dyDescent="0.25">
      <c r="A368" s="26" t="s">
        <v>2073</v>
      </c>
      <c r="B368" s="6" t="s">
        <v>2127</v>
      </c>
      <c r="C368" s="7">
        <v>1135</v>
      </c>
      <c r="D368" s="7" t="s">
        <v>2128</v>
      </c>
      <c r="E368" s="7" t="str">
        <f>Groups!$A$60</f>
        <v>Snake</v>
      </c>
      <c r="F368" s="7">
        <v>365</v>
      </c>
      <c r="G368" s="7">
        <v>15</v>
      </c>
      <c r="H368" s="7">
        <v>60</v>
      </c>
      <c r="I368" s="4">
        <v>0</v>
      </c>
      <c r="J368" s="7">
        <v>25</v>
      </c>
      <c r="K368" s="7" t="s">
        <v>528</v>
      </c>
      <c r="L368" s="7">
        <v>10</v>
      </c>
      <c r="M368" s="7" t="s">
        <v>528</v>
      </c>
      <c r="N368" s="4">
        <v>0</v>
      </c>
      <c r="O368" s="4">
        <v>0</v>
      </c>
      <c r="P368" s="4">
        <v>0</v>
      </c>
      <c r="Q368" s="4">
        <v>0</v>
      </c>
      <c r="R368" s="4" t="s">
        <v>40</v>
      </c>
      <c r="S368" s="7">
        <f>_xlfn.XLOOKUP(B368,[1]TeethAdjusters!$A:$A,[1]BiteAdjusters!$C:$C,1)</f>
        <v>1</v>
      </c>
      <c r="T368" s="7">
        <f>_xlfn.XLOOKUP(B368,[1]TeethAdjusters!$A:$A,[1]TeethAdjusters!$B:$B,1)</f>
        <v>1</v>
      </c>
      <c r="U368" s="7" t="s">
        <v>45</v>
      </c>
      <c r="V368" s="7">
        <v>5</v>
      </c>
      <c r="W368" s="7" t="s">
        <v>45</v>
      </c>
      <c r="X368" s="7" t="s">
        <v>932</v>
      </c>
      <c r="Y368" s="4" t="s">
        <v>56</v>
      </c>
      <c r="Z368" s="4">
        <v>1</v>
      </c>
      <c r="AA368" s="4">
        <v>0</v>
      </c>
      <c r="AB368" s="4">
        <v>0</v>
      </c>
      <c r="AC368" s="4">
        <v>0</v>
      </c>
      <c r="AD368" s="4">
        <v>0</v>
      </c>
      <c r="AE368" s="4" t="s">
        <v>45</v>
      </c>
      <c r="AF368" s="4" t="s">
        <v>45</v>
      </c>
      <c r="AG368" s="49" t="s">
        <v>386</v>
      </c>
      <c r="AH368" s="4" t="str">
        <f>Animals!$C$33</f>
        <v>&lt;li&gt;Cobra&lt;/li&gt;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4">
        <v>15</v>
      </c>
      <c r="AO368" s="8">
        <f t="shared" si="212"/>
        <v>107416.32471894208</v>
      </c>
      <c r="AP368" s="8">
        <f>IFERROR(C368*_xlfn.XLOOKUP(E368,Groups!A:A,Groups!K:K),0.106*C368^0.94)</f>
        <v>78.886370523693941</v>
      </c>
      <c r="AQ368" s="8">
        <f>AP368*10000/(_xlfn.XLOOKUP(E368,Groups!A:A,Groups!J:J)*AO368)</f>
        <v>6.7375994462275806</v>
      </c>
      <c r="AR368" s="8">
        <f t="shared" si="213"/>
        <v>20701.211091952828</v>
      </c>
      <c r="AS368" s="8">
        <f>IF(_xlfn.XLOOKUP(E368,Groups!A:A,Groups!M:M)=1,EXP(0.7444*LN('Base stats'!C368)+6.5696),EXP(0.7927*LN('Base stats'!C368)+4.28))</f>
        <v>19075.485577308125</v>
      </c>
      <c r="AT368" s="8">
        <f>IF(_xlfn.XLOOKUP(E368,Groups!A:A,Groups!N:N)="No","No",
IF(_xlfn.XLOOKUP(E368,Groups!A:A,Groups!N:N)="Crocodile",EXP(0.8129*LN(C368)+4.6742)*S368,
IF(_xlfn.XLOOKUP(E368,Groups!A:A,Groups!N:N)="Felid",EXP(0.7843*LN(C368)+4.7073)*S368,
IF(_xlfn.XLOOKUP(E368,Groups!A:A,Groups!N:N)="Canid",EXP(0.8367*LN(C368)+4.8763)*S368,
IF(_xlfn.XLOOKUP(E368,Groups!A:A,Groups!N:N)="Pig",EXP(0.3439*LN(C368)+6.8519)*S368,
IF(_xlfn.XLOOKUP(E368,Groups!A:A,Groups!N:N)="Rodent",EXP(0.5625*LN(C368)+4.3006)*S368,
IF(_xlfn.XLOOKUP(E368,Groups!A:A,Groups!N:N)="Primate",EXP(0.7847*LN(C368)+3.4931)*S368,
IF(_xlfn.XLOOKUP(E368,Groups!A:A,Groups!N:N)="MiscCarnivora",EXP(0.7486*LN(C368)+4.2207)*S368,
IF(_xlfn.XLOOKUP(E368,Groups!A:A,Groups!N:N)="Lizard",EXP(0.7733*LN(C368)+5.5303)*S368,
IF(_xlfn.XLOOKUP(E368,Groups!A:A,Groups!N:N)="Snake",50*C368^(2/3)*S368,
IF(_xlfn.XLOOKUP(E368,Groups!A:A,Groups!N:N)="StrongBitingHerbivore",87.1133638856975*C368^(2/3)*S368,
IF(_xlfn.XLOOKUP(E368,Groups!A:A,Groups!N:N)="MiscEctotherms",59.4316884072269*C368^(2/3)*S368,
IF(_xlfn.XLOOKUP(E368,Groups!A:A,Groups!N:N)="StrongBeakBird",0.041*(C368*1000)^1.375*S368,
IF(_xlfn.XLOOKUP(E368,Groups!A:A,Groups!N:N)="Bird",0.118*(C368*1000)^0.692*S368,
IF(_xlfn.XLOOKUP(E368,Groups!A:A,Groups!N:N)="Insect",EXP(0.7444*LN(C368)+6.5696)*S368,
IF(_xlfn.XLOOKUP(E368,Groups!A:A,Groups!N:N)="Theropod",EXP(0.6966*LN(C368)+4.158)*S368,
"No"))))))))))))))))</f>
        <v>5440.4385842509128</v>
      </c>
      <c r="AU368" s="8">
        <f>IF(_xlfn.XLOOKUP(E368,Groups!A:A,Groups!U:U)=3,AS368,IF(_xlfn.XLOOKUP(E368,Groups!A:A,Groups!U:U)=2,AR368,AT368))</f>
        <v>5440.4385842509128</v>
      </c>
      <c r="AV368" s="46">
        <f>IFERROR(AVERAGE(_xlfn.XLOOKUP(B368,Animals!B:B,Animals!N:N),_xlfn.XLOOKUP(B368,Animals!B:B,Animals!O:O)),0)</f>
        <v>0</v>
      </c>
      <c r="AW368" s="8">
        <f>MROUND(40*Animals!AO368*_xlfn.XLOOKUP(AG368,Leathers!$A$2:$A$99,Leathers!$B$2:$B$99,0)+(140*_xlfn.XLOOKUP(B368,Animals!B:B,Animals!AO:AO)*2),5)</f>
        <v>1950</v>
      </c>
      <c r="AX368" s="8">
        <f>IFERROR(ROUND(SQRT(V368-1)*IF(_xlfn.XLOOKUP(E368,Groups!A:A,Groups!BF:BF)=0,2,1)*IF(_xlfn.XLOOKUP('Base stats'!E368,Groups!A:A,Groups!O:O)=0,1,0.1),1),0)</f>
        <v>4</v>
      </c>
      <c r="AY368" s="8">
        <f t="shared" si="214"/>
        <v>0</v>
      </c>
      <c r="AZ368" s="8">
        <f t="shared" si="215"/>
        <v>0</v>
      </c>
      <c r="BA368" s="8">
        <f t="shared" si="216"/>
        <v>10</v>
      </c>
      <c r="BB368" s="8">
        <f>IF(_xlfn.XLOOKUP(E368,Groups!A:A,Groups!N:N)="Insect",BD368*2.5,IFERROR(AVERAGE(BD368,AT368/9.81/IF(OR(_xlfn.XLOOKUP(E368,Groups!A:A,Groups!N:N)="Pig",_xlfn.XLOOKUP(E368,Groups!A:A,Groups!N:N)="StrongBitingHerbivore"),20,25))*C368^-0.135,BD368))</f>
        <v>6.9125173892247416</v>
      </c>
      <c r="BC368" s="8" t="str">
        <f>IF(W368="No","No",IF(_xlfn.XLOOKUP(E368,Groups!A:A,Groups!U:U)=1,'Base stats'!BB368,IF(OR(_xlfn.XLOOKUP(E368,Groups!A:A,Groups!BD:BD)=1,_xlfn.XLOOKUP(E368,Groups!A:A,Groups!U:U)=2),BD368,IF(_xlfn.XLOOKUP(B368,Animals!B:B,Animals!AO:AO)&gt;4,AVERAGE(BD368,BF368),BF368))))</f>
        <v>No</v>
      </c>
      <c r="BD368" s="8">
        <f t="shared" si="217"/>
        <v>13.551508066780181</v>
      </c>
      <c r="BE368" s="8">
        <f>IF(_xlfn.XLOOKUP(E368,Groups!A:A,Groups!BE:BE)=1,(0.048*C368^1.01)+(0.071*C368^1.03),0.071*C368^1.03)/IF(_xlfn.XLOOKUP(E368,Groups!A:A,Groups!M:M)=1,0.85,IF(OR(_xlfn.XLOOKUP(B368,Animals!B:B,Animals!AO:AO)&gt;4,_xlfn.XLOOKUP(E368,Groups!A:A,Groups!BC:BC)=1),1.7,1))*C368^-0.25</f>
        <v>17.145696057895961</v>
      </c>
      <c r="BF368" s="8">
        <f>(0.048*C368^1.01)/IF(_xlfn.XLOOKUP(E368,Groups!A:A,Groups!M:M)=1,0.25,0.8)*C368^-0.25</f>
        <v>12.587749888662673</v>
      </c>
      <c r="BG368" s="8">
        <f>EXP(1.076*LN(AR368)-4.5397)*IF(_xlfn.XLOOKUP(E368,Groups!A:A,Groups!BC:BC)=1,1.25,IF(_xlfn.XLOOKUP(E368,Groups!A:A,Groups!BD:BD)=1,3.5,2.5))</f>
        <v>1175.9389632204088</v>
      </c>
      <c r="BH368" s="8">
        <f>EXP(1.076*LN(AS368)-4.5397)*IF(_xlfn.XLOOKUP(E368,Groups!A:A,Groups!M:M)=1,0.8,IF(_xlfn.XLOOKUP(E368,Groups!A:A,Groups!BC:BC)=1,1.3,3))</f>
        <v>1292.2494111881367</v>
      </c>
      <c r="BI368" s="8" t="str">
        <f>IF(W368="No","No",IF(_xlfn.XLOOKUP(E368,Groups!A:A,Groups!U:U)=1,'Base stats'!BJ368,IF(OR(_xlfn.XLOOKUP(E368,Groups!A:A,Groups!BD:BD)=1,_xlfn.XLOOKUP(E368,Groups!A:A,Groups!U:U)=2),BG368,BH368))*1.2)</f>
        <v>No</v>
      </c>
      <c r="BJ368" s="8">
        <f>IFERROR(EXP(1.076*LN(AT368)-4.5397)*IF(_xlfn.XLOOKUP(E368,Groups!A:A,Groups!N:N)="Insect",1,IF(OR(_xlfn.XLOOKUP(E368,Groups!A:A,Groups!N:N)="Pig",_xlfn.XLOOKUP(E368,Groups!A:A,Groups!N:N)="StrongBitingHerbivore"),3.5,3.75)),"No")</f>
        <v>418.80002368426256</v>
      </c>
      <c r="BK368" s="8">
        <f t="shared" si="218"/>
        <v>13</v>
      </c>
      <c r="BL368" s="8">
        <f t="shared" si="219"/>
        <v>12</v>
      </c>
      <c r="BM368" s="8" t="str">
        <f t="shared" si="220"/>
        <v>No</v>
      </c>
      <c r="BN368" s="8">
        <f t="shared" si="221"/>
        <v>11</v>
      </c>
      <c r="BO368" s="8">
        <f t="shared" si="222"/>
        <v>14</v>
      </c>
      <c r="BP368" s="8" t="str" cm="1">
        <f t="array" ref="BP368">IF(AND(_xlfn.XLOOKUP('Base stats'!E368,Groups!A:A,Groups!AD:AD=0),_xlfn.XLOOKUP('Base stats'!E368,Groups!A:A,Groups!P:P=0)),"No",IF(U368="No",AVERAGE(EXP(-0.57+0.99*LN(C368)),EXP(0.32+0.67*LN(C368)))/IF(_xlfn.XLOOKUP(E368,Groups!A:A,Groups!AD:AD)=1,10,2),(0.7354*C368^0.4078)*2/IF(_xlfn.XLOOKUP(E368,Groups!A:A,Groups!BK:BK)=1,1000,100)/IF(_xlfn.XLOOKUP(E368,Groups!A:A,Groups!AJ:AJ)="Photonozoa",3,1)))</f>
        <v>No</v>
      </c>
      <c r="BQ368" s="8" t="str">
        <f>IF(W368="No","No",IF(_xlfn.XLOOKUP(E368,Groups!A:A,Groups!BD:BD)=1,(AO368*5%),EXP(0.7354*LN(C368)^0.4078)*2/IF(_xlfn.XLOOKUP(E368,Groups!A:A,Groups!BL:BL)=1,1000,100)/IF(_xlfn.XLOOKUP(E368,Groups!A:A,Groups!AJ:AJ)="Photonozoa",3,1)))</f>
        <v>No</v>
      </c>
      <c r="BR368" s="8">
        <f>IF(BJ368="No","No",IF(_xlfn.XLOOKUP(E368,Groups!A:A,Groups!BF:BF)=1,(0.0315*C368+2.1825)*2,(0.7354*C368^0.4078)*2)/IF(_xlfn.XLOOKUP(E368,Groups!A:A,Groups!BM:BM)=1,1000,100)/IF(_xlfn.XLOOKUP(E368,Groups!A:A,Groups!AJ:AJ)="Photonozoa",3,1))</f>
        <v>0.25904841150969277</v>
      </c>
      <c r="BS368" s="8">
        <f t="shared" si="223"/>
        <v>0.21894976695530907</v>
      </c>
      <c r="BT368" s="8" t="str">
        <f t="shared" si="224"/>
        <v>No</v>
      </c>
      <c r="BU368" s="8" t="str">
        <f t="shared" si="225"/>
        <v>No</v>
      </c>
      <c r="BV368" s="8">
        <f t="shared" si="226"/>
        <v>1616.6863222343766</v>
      </c>
      <c r="BW368" s="4">
        <v>0</v>
      </c>
      <c r="BX368" s="4">
        <v>1</v>
      </c>
    </row>
    <row r="369" spans="1:76" s="16" customFormat="1" x14ac:dyDescent="0.25">
      <c r="A369" s="26" t="s">
        <v>2074</v>
      </c>
      <c r="B369" s="6" t="s">
        <v>2129</v>
      </c>
      <c r="C369" s="7">
        <f>AVERAGE(6000,3000)</f>
        <v>4500</v>
      </c>
      <c r="D369" s="7" t="s">
        <v>1135</v>
      </c>
      <c r="E369" s="7" t="str">
        <f>Groups!$A$18</f>
        <v>Elephant</v>
      </c>
      <c r="F369" s="7">
        <f>670</f>
        <v>670</v>
      </c>
      <c r="G369" s="7">
        <f>4018/365</f>
        <v>11.008219178082191</v>
      </c>
      <c r="H369" s="7">
        <v>65</v>
      </c>
      <c r="I369" s="4">
        <v>1</v>
      </c>
      <c r="J369" s="7">
        <v>1</v>
      </c>
      <c r="K369" s="7" t="s">
        <v>513</v>
      </c>
      <c r="L369" s="7">
        <v>26</v>
      </c>
      <c r="M369" s="7" t="s">
        <v>626</v>
      </c>
      <c r="N369" s="4">
        <v>0</v>
      </c>
      <c r="O369" s="4">
        <v>0</v>
      </c>
      <c r="P369" s="4">
        <v>0</v>
      </c>
      <c r="Q369" s="4">
        <v>0</v>
      </c>
      <c r="R369" s="4" t="s">
        <v>40</v>
      </c>
      <c r="S369" s="7">
        <f>_xlfn.XLOOKUP(B369,[1]TeethAdjusters!$A:$A,[1]BiteAdjusters!$C:$C,1)</f>
        <v>1</v>
      </c>
      <c r="T369" s="7">
        <f>_xlfn.XLOOKUP(B369,[1]TeethAdjusters!$A:$A,[1]TeethAdjusters!$B:$B,1)</f>
        <v>1</v>
      </c>
      <c r="U369" s="7" t="s">
        <v>45</v>
      </c>
      <c r="V369" s="7" t="str">
        <f>IF(AT369="No","No",IF(_xlfn.XLOOKUP(E369,Groups!A:A,Groups!AM:AM)=1,MROUND(EXP(0.3582*LN(C369)-0.2221)*T369,0.05),IF(_xlfn.XLOOKUP(E369,Groups!A:A,Groups!AM:AM)=2,MROUND(EXP(0.3582*LN(C369)-0.2221)*T369,0.05),"Need a formula")))</f>
        <v>No</v>
      </c>
      <c r="W369" s="7">
        <v>160</v>
      </c>
      <c r="X369" s="7" t="s">
        <v>932</v>
      </c>
      <c r="Y369" s="4" t="s">
        <v>42</v>
      </c>
      <c r="Z369" s="4">
        <v>1</v>
      </c>
      <c r="AA369" s="4">
        <v>0</v>
      </c>
      <c r="AB369" s="4">
        <v>0</v>
      </c>
      <c r="AC369" s="4">
        <v>0</v>
      </c>
      <c r="AD369" s="4">
        <v>0</v>
      </c>
      <c r="AE369" s="4" t="s">
        <v>1043</v>
      </c>
      <c r="AF369" s="4" t="s">
        <v>398</v>
      </c>
      <c r="AG369" s="49" t="s">
        <v>387</v>
      </c>
      <c r="AH369" s="4" t="str">
        <f>Animals!$C$26</f>
        <v>&lt;li&gt;Elephant&lt;/li&gt;</v>
      </c>
      <c r="AI369" s="4">
        <v>1</v>
      </c>
      <c r="AJ369" s="4">
        <v>0</v>
      </c>
      <c r="AK369" s="4">
        <v>0</v>
      </c>
      <c r="AL369" s="4">
        <v>0</v>
      </c>
      <c r="AM369" s="4">
        <v>0</v>
      </c>
      <c r="AN369" s="44" t="s">
        <v>40</v>
      </c>
      <c r="AO369" s="8">
        <f t="shared" si="212"/>
        <v>262972.97087744245</v>
      </c>
      <c r="AP369" s="8">
        <f>IFERROR(C369*_xlfn.XLOOKUP(E369,Groups!A:A,Groups!K:K),0.106*C369^0.94)</f>
        <v>360</v>
      </c>
      <c r="AQ369" s="8">
        <f>AP369*10000/(_xlfn.XLOOKUP(E369,Groups!A:A,Groups!J:J)*AO369)</f>
        <v>12.559284258598639</v>
      </c>
      <c r="AR369" s="8">
        <f t="shared" si="213"/>
        <v>66268.838703367117</v>
      </c>
      <c r="AS369" s="8">
        <f>IF(_xlfn.XLOOKUP(E369,Groups!A:A,Groups!M:M)=1,EXP(0.7444*LN('Base stats'!C369)+6.5696),EXP(0.7927*LN('Base stats'!C369)+4.28))</f>
        <v>56843.648100459453</v>
      </c>
      <c r="AT369" s="8" t="str">
        <f>IF(_xlfn.XLOOKUP(E369,Groups!A:A,Groups!N:N)="No","No",
IF(_xlfn.XLOOKUP(E369,Groups!A:A,Groups!N:N)="Crocodile",EXP(0.8129*LN(C369)+4.6742)*S369,
IF(_xlfn.XLOOKUP(E369,Groups!A:A,Groups!N:N)="Felid",EXP(0.7843*LN(C369)+4.7073)*S369,
IF(_xlfn.XLOOKUP(E369,Groups!A:A,Groups!N:N)="Canid",EXP(0.8367*LN(C369)+4.8763)*S369,
IF(_xlfn.XLOOKUP(E369,Groups!A:A,Groups!N:N)="Pig",EXP(0.3439*LN(C369)+6.8519)*S369,
IF(_xlfn.XLOOKUP(E369,Groups!A:A,Groups!N:N)="Rodent",EXP(0.5625*LN(C369)+4.3006)*S369,
IF(_xlfn.XLOOKUP(E369,Groups!A:A,Groups!N:N)="Primate",EXP(0.7847*LN(C369)+3.4931)*S369,
IF(_xlfn.XLOOKUP(E369,Groups!A:A,Groups!N:N)="MiscCarnivora",EXP(0.7486*LN(C369)+4.2207)*S369,
IF(_xlfn.XLOOKUP(E369,Groups!A:A,Groups!N:N)="Lizard",EXP(0.7733*LN(C369)+5.5303)*S369,
IF(_xlfn.XLOOKUP(E369,Groups!A:A,Groups!N:N)="Snake",50*C369^(2/3)*S369,
IF(_xlfn.XLOOKUP(E369,Groups!A:A,Groups!N:N)="StrongBitingHerbivore",87.1133638856975*C369^(2/3)*S369,
IF(_xlfn.XLOOKUP(E369,Groups!A:A,Groups!N:N)="MiscEctotherms",59.4316884072269*C369^(2/3)*S369,
IF(_xlfn.XLOOKUP(E369,Groups!A:A,Groups!N:N)="StrongBeakBird",0.041*(C369*1000)^1.375*S369,
IF(_xlfn.XLOOKUP(E369,Groups!A:A,Groups!N:N)="Bird",0.118*(C369*1000)^0.692*S369,
IF(_xlfn.XLOOKUP(E369,Groups!A:A,Groups!N:N)="Insect",EXP(0.7444*LN(C369)+6.5696)*S369,
IF(_xlfn.XLOOKUP(E369,Groups!A:A,Groups!N:N)="Theropod",EXP(0.6966*LN(C369)+4.158)*S369,
"No"))))))))))))))))</f>
        <v>No</v>
      </c>
      <c r="AU369" s="8">
        <f>IF(_xlfn.XLOOKUP(E369,Groups!A:A,Groups!U:U)=3,AS369,IF(_xlfn.XLOOKUP(E369,Groups!A:A,Groups!U:U)=2,AR369,AT369))</f>
        <v>56843.648100459453</v>
      </c>
      <c r="AV369" s="46">
        <f>IFERROR(AVERAGE(_xlfn.XLOOKUP(B369,Animals!B:B,Animals!N:N),_xlfn.XLOOKUP(B369,Animals!B:B,Animals!O:O)),0)</f>
        <v>0</v>
      </c>
      <c r="AW369" s="8">
        <f>MROUND(40*Animals!AO369*_xlfn.XLOOKUP(AG369,Leathers!$A$2:$A$99,Leathers!$B$2:$B$99,0)+(140*_xlfn.XLOOKUP(B369,Animals!B:B,Animals!AO:AO)*2),5)</f>
        <v>2000</v>
      </c>
      <c r="AX369" s="8">
        <f>IFERROR(ROUND(SQRT(V369-1)*IF(_xlfn.XLOOKUP(E369,Groups!A:A,Groups!BF:BF)=0,2,1)*IF(_xlfn.XLOOKUP('Base stats'!E369,Groups!A:A,Groups!O:O)=0,1,0.1),1),0)</f>
        <v>0</v>
      </c>
      <c r="AY369" s="8">
        <f t="shared" si="214"/>
        <v>0</v>
      </c>
      <c r="AZ369" s="8">
        <f t="shared" si="215"/>
        <v>12.6</v>
      </c>
      <c r="BA369" s="8">
        <f t="shared" si="216"/>
        <v>16.3</v>
      </c>
      <c r="BB369" s="8">
        <f>IF(_xlfn.XLOOKUP(E369,Groups!A:A,Groups!N:N)="Insect",BD369*2.5,IFERROR(AVERAGE(BD369,AT369/9.81/IF(OR(_xlfn.XLOOKUP(E369,Groups!A:A,Groups!N:N)="Pig",_xlfn.XLOOKUP(E369,Groups!A:A,Groups!N:N)="StrongBitingHerbivore"),20,25))*C369^-0.135,BD369))</f>
        <v>22.274517350066827</v>
      </c>
      <c r="BC369" s="8">
        <f>IF(W369="No","No",IF(_xlfn.XLOOKUP(E369,Groups!A:A,Groups!U:U)=1,'Base stats'!BB369,IF(OR(_xlfn.XLOOKUP(E369,Groups!A:A,Groups!BD:BD)=1,_xlfn.XLOOKUP(E369,Groups!A:A,Groups!U:U)=2),BD369,IF(_xlfn.XLOOKUP(B369,Animals!B:B,Animals!AO:AO)&gt;4,AVERAGE(BD369,BF369),BF369))))</f>
        <v>29.066535189734225</v>
      </c>
      <c r="BD369" s="8">
        <f t="shared" si="217"/>
        <v>22.274517350066827</v>
      </c>
      <c r="BE369" s="8">
        <f>IF(_xlfn.XLOOKUP(E369,Groups!A:A,Groups!BE:BE)=1,(0.048*C369^1.01)+(0.071*C369^1.03),0.071*C369^1.03)/IF(_xlfn.XLOOKUP(E369,Groups!A:A,Groups!M:M)=1,0.85,IF(OR(_xlfn.XLOOKUP(B369,Animals!B:B,Animals!AO:AO)&gt;4,_xlfn.XLOOKUP(E369,Groups!A:A,Groups!BC:BC)=1),1.7,1))*C369^-0.25</f>
        <v>29.533518364547621</v>
      </c>
      <c r="BF369" s="8">
        <f>(0.048*C369^1.01)/IF(_xlfn.XLOOKUP(E369,Groups!A:A,Groups!M:M)=1,0.25,0.8)*C369^-0.25</f>
        <v>35.858553029401619</v>
      </c>
      <c r="BG369" s="8">
        <f>EXP(1.076*LN(AR369)-4.5397)*IF(_xlfn.XLOOKUP(E369,Groups!A:A,Groups!BC:BC)=1,1.25,IF(_xlfn.XLOOKUP(E369,Groups!A:A,Groups!BD:BD)=1,3.5,2.5))</f>
        <v>2056.2325274309005</v>
      </c>
      <c r="BH369" s="8">
        <f>EXP(1.076*LN(AS369)-4.5397)*IF(_xlfn.XLOOKUP(E369,Groups!A:A,Groups!M:M)=1,0.8,IF(_xlfn.XLOOKUP(E369,Groups!A:A,Groups!BC:BC)=1,1.3,3))</f>
        <v>1813.0695438509977</v>
      </c>
      <c r="BI369" s="8">
        <f>IF(W369="No","No",IF(_xlfn.XLOOKUP(E369,Groups!A:A,Groups!U:U)=1,'Base stats'!BJ369,IF(OR(_xlfn.XLOOKUP(E369,Groups!A:A,Groups!BD:BD)=1,_xlfn.XLOOKUP(E369,Groups!A:A,Groups!U:U)=2),BG369,BH369))*1.2)</f>
        <v>2175.6834526211969</v>
      </c>
      <c r="BJ369" s="8" t="str">
        <f>IFERROR(EXP(1.076*LN(AT369)-4.5397)*IF(_xlfn.XLOOKUP(E369,Groups!A:A,Groups!N:N)="Insect",1,IF(OR(_xlfn.XLOOKUP(E369,Groups!A:A,Groups!N:N)="Pig",_xlfn.XLOOKUP(E369,Groups!A:A,Groups!N:N)="StrongBitingHerbivore"),3.5,3.75)),"No")</f>
        <v>No</v>
      </c>
      <c r="BK369" s="8">
        <f t="shared" si="218"/>
        <v>13</v>
      </c>
      <c r="BL369" s="8">
        <f t="shared" si="219"/>
        <v>11</v>
      </c>
      <c r="BM369" s="8">
        <f t="shared" si="220"/>
        <v>12</v>
      </c>
      <c r="BN369" s="8" t="str">
        <f t="shared" si="221"/>
        <v>No</v>
      </c>
      <c r="BO369" s="8">
        <f t="shared" si="222"/>
        <v>10</v>
      </c>
      <c r="BP369" s="8" cm="1">
        <f t="array" ref="BP369">IF(AND(_xlfn.XLOOKUP('Base stats'!E369,Groups!A:A,Groups!AD:AD=0),_xlfn.XLOOKUP('Base stats'!E369,Groups!A:A,Groups!P:P=0)),"No",IF(U369="No",AVERAGE(EXP(-0.57+0.99*LN(C369)),EXP(0.32+0.67*LN(C369)))/IF(_xlfn.XLOOKUP(E369,Groups!A:A,Groups!AD:AD)=1,10,2),(0.7354*C369^0.4078)*2/IF(_xlfn.XLOOKUP(E369,Groups!A:A,Groups!BK:BK)=1,1000,100)/IF(_xlfn.XLOOKUP(E369,Groups!A:A,Groups!AJ:AJ)="Photonozoa",3,1)))</f>
        <v>681.39650893914984</v>
      </c>
      <c r="BQ369" s="8">
        <f>IF(W369="No","No",IF(_xlfn.XLOOKUP(E369,Groups!A:A,Groups!BD:BD)=1,(AO369*5%),EXP(0.7354*LN(C369)^0.4078)*2/IF(_xlfn.XLOOKUP(E369,Groups!A:A,Groups!BL:BL)=1,1000,100)/IF(_xlfn.XLOOKUP(E369,Groups!A:A,Groups!AJ:AJ)="Photonozoa",3,1)))</f>
        <v>0.11539690490306942</v>
      </c>
      <c r="BR369" s="8" t="str">
        <f>IF(BJ369="No","No",IF(_xlfn.XLOOKUP(E369,Groups!A:A,Groups!BF:BF)=1,(0.0315*C369+2.1825)*2,(0.7354*C369^0.4078)*2)/IF(_xlfn.XLOOKUP(E369,Groups!A:A,Groups!BM:BM)=1,1000,100)/IF(_xlfn.XLOOKUP(E369,Groups!A:A,Groups!AJ:AJ)="Photonozoa",3,1))</f>
        <v>No</v>
      </c>
      <c r="BS369" s="8">
        <f t="shared" si="223"/>
        <v>0.15638356448345406</v>
      </c>
      <c r="BT369" s="8">
        <f t="shared" si="224"/>
        <v>2.6608142543520259</v>
      </c>
      <c r="BU369" s="8">
        <f t="shared" si="225"/>
        <v>18853.91514138718</v>
      </c>
      <c r="BV369" s="8" t="str">
        <f t="shared" si="226"/>
        <v>No</v>
      </c>
      <c r="BW369" s="4">
        <v>0</v>
      </c>
      <c r="BX369" s="4">
        <v>1</v>
      </c>
    </row>
    <row r="370" spans="1:76" s="16" customFormat="1" x14ac:dyDescent="0.25">
      <c r="A370" s="26" t="s">
        <v>2075</v>
      </c>
      <c r="B370" s="6" t="s">
        <v>2140</v>
      </c>
      <c r="C370" s="7">
        <v>3500</v>
      </c>
      <c r="D370" s="7" t="s">
        <v>2141</v>
      </c>
      <c r="E370" s="7" t="str">
        <f>Groups!$A$47</f>
        <v>Rhinoceros</v>
      </c>
      <c r="F370" s="7">
        <v>520</v>
      </c>
      <c r="G370" s="7">
        <v>5</v>
      </c>
      <c r="H370" s="7">
        <v>50</v>
      </c>
      <c r="I370" s="4">
        <v>1</v>
      </c>
      <c r="J370" s="7">
        <v>1</v>
      </c>
      <c r="K370" s="7" t="s">
        <v>528</v>
      </c>
      <c r="L370" s="7">
        <f>7.5*3.6</f>
        <v>27</v>
      </c>
      <c r="M370" s="7" t="s">
        <v>528</v>
      </c>
      <c r="N370" s="4">
        <v>0</v>
      </c>
      <c r="O370" s="4">
        <v>0</v>
      </c>
      <c r="P370" s="4">
        <v>0</v>
      </c>
      <c r="Q370" s="4">
        <v>0</v>
      </c>
      <c r="R370" s="4" t="s">
        <v>40</v>
      </c>
      <c r="S370" s="7">
        <f>_xlfn.XLOOKUP(B370,[1]TeethAdjusters!$A:$A,[1]BiteAdjusters!$C:$C,1)</f>
        <v>1</v>
      </c>
      <c r="T370" s="7">
        <f>_xlfn.XLOOKUP(B370,[1]TeethAdjusters!$A:$A,[1]TeethAdjusters!$B:$B,1)</f>
        <v>1</v>
      </c>
      <c r="U370" s="7" t="s">
        <v>45</v>
      </c>
      <c r="V370" s="7">
        <v>2.5</v>
      </c>
      <c r="W370" s="7">
        <v>150</v>
      </c>
      <c r="X370" s="7" t="s">
        <v>932</v>
      </c>
      <c r="Y370" s="4" t="s">
        <v>42</v>
      </c>
      <c r="Z370" s="4">
        <v>1</v>
      </c>
      <c r="AA370" s="4">
        <v>0</v>
      </c>
      <c r="AB370" s="4">
        <v>0</v>
      </c>
      <c r="AC370" s="4">
        <v>0</v>
      </c>
      <c r="AD370" s="4">
        <v>0</v>
      </c>
      <c r="AE370" s="4" t="s">
        <v>45</v>
      </c>
      <c r="AF370" s="4" t="s">
        <v>45</v>
      </c>
      <c r="AG370" s="49" t="s">
        <v>393</v>
      </c>
      <c r="AH370" s="4" t="str">
        <f>Animals!$C$25</f>
        <v>&lt;li&gt;Rhinoceros&lt;/li&gt;</v>
      </c>
      <c r="AI370" s="4">
        <v>1</v>
      </c>
      <c r="AJ370" s="4">
        <v>0</v>
      </c>
      <c r="AK370" s="4">
        <v>0</v>
      </c>
      <c r="AL370" s="4">
        <v>0</v>
      </c>
      <c r="AM370" s="4">
        <v>0</v>
      </c>
      <c r="AN370" s="44" t="s">
        <v>40</v>
      </c>
      <c r="AO370" s="8">
        <f t="shared" si="212"/>
        <v>223340.35782825897</v>
      </c>
      <c r="AP370" s="8">
        <f>IFERROR(C370*_xlfn.XLOOKUP(E370,Groups!A:A,Groups!K:K),0.106*C370^0.94)</f>
        <v>227.36825409312112</v>
      </c>
      <c r="AQ370" s="8">
        <f>AP370*10000/(_xlfn.XLOOKUP(E370,Groups!A:A,Groups!J:J)*AO370)</f>
        <v>9.3397687079108795</v>
      </c>
      <c r="AR370" s="8">
        <f t="shared" si="213"/>
        <v>53593.858680828402</v>
      </c>
      <c r="AS370" s="8">
        <f>IF(_xlfn.XLOOKUP(E370,Groups!A:A,Groups!M:M)=1,EXP(0.7444*LN('Base stats'!C370)+6.5696),EXP(0.7927*LN('Base stats'!C370)+4.28))</f>
        <v>46576.100082151221</v>
      </c>
      <c r="AT370" s="8">
        <f>IF(_xlfn.XLOOKUP(E370,Groups!A:A,Groups!N:N)="No","No",
IF(_xlfn.XLOOKUP(E370,Groups!A:A,Groups!N:N)="Crocodile",EXP(0.8129*LN(C370)+4.6742)*S370,
IF(_xlfn.XLOOKUP(E370,Groups!A:A,Groups!N:N)="Felid",EXP(0.7843*LN(C370)+4.7073)*S370,
IF(_xlfn.XLOOKUP(E370,Groups!A:A,Groups!N:N)="Canid",EXP(0.8367*LN(C370)+4.8763)*S370,
IF(_xlfn.XLOOKUP(E370,Groups!A:A,Groups!N:N)="Pig",EXP(0.3439*LN(C370)+6.8519)*S370,
IF(_xlfn.XLOOKUP(E370,Groups!A:A,Groups!N:N)="Rodent",EXP(0.5625*LN(C370)+4.3006)*S370,
IF(_xlfn.XLOOKUP(E370,Groups!A:A,Groups!N:N)="Primate",EXP(0.7847*LN(C370)+3.4931)*S370,
IF(_xlfn.XLOOKUP(E370,Groups!A:A,Groups!N:N)="MiscCarnivora",EXP(0.7486*LN(C370)+4.2207)*S370,
IF(_xlfn.XLOOKUP(E370,Groups!A:A,Groups!N:N)="Lizard",EXP(0.7733*LN(C370)+5.5303)*S370,
IF(_xlfn.XLOOKUP(E370,Groups!A:A,Groups!N:N)="Snake",50*C370^(2/3)*S370,
IF(_xlfn.XLOOKUP(E370,Groups!A:A,Groups!N:N)="StrongBitingHerbivore",87.1133638856975*C370^(2/3)*S370,
IF(_xlfn.XLOOKUP(E370,Groups!A:A,Groups!N:N)="MiscEctotherms",59.4316884072269*C370^(2/3)*S370,
IF(_xlfn.XLOOKUP(E370,Groups!A:A,Groups!N:N)="StrongBeakBird",0.041*(C370*1000)^1.375*S370,
IF(_xlfn.XLOOKUP(E370,Groups!A:A,Groups!N:N)="Bird",0.118*(C370*1000)^0.692*S370,
IF(_xlfn.XLOOKUP(E370,Groups!A:A,Groups!N:N)="Insect",EXP(0.7444*LN(C370)+6.5696)*S370,
IF(_xlfn.XLOOKUP(E370,Groups!A:A,Groups!N:N)="Theropod",EXP(0.6966*LN(C370)+4.158)*S370,
"No"))))))))))))))))</f>
        <v>20081.530719095663</v>
      </c>
      <c r="AU370" s="8">
        <f>IF(_xlfn.XLOOKUP(E370,Groups!A:A,Groups!U:U)=3,AS370,IF(_xlfn.XLOOKUP(E370,Groups!A:A,Groups!U:U)=2,AR370,AT370))</f>
        <v>53593.858680828402</v>
      </c>
      <c r="AV370" s="46">
        <f>IFERROR(AVERAGE(_xlfn.XLOOKUP(B370,Animals!B:B,Animals!N:N),_xlfn.XLOOKUP(B370,Animals!B:B,Animals!O:O)),0)</f>
        <v>0.22500000000000001</v>
      </c>
      <c r="AW370" s="8">
        <f>MROUND(40*Animals!AO370*_xlfn.XLOOKUP(AG370,Leathers!$A$2:$A$99,Leathers!$B$2:$B$99,0)+(140*_xlfn.XLOOKUP(B370,Animals!B:B,Animals!AO:AO)*2),5)</f>
        <v>1680</v>
      </c>
      <c r="AX370" s="8">
        <f>IFERROR(ROUND(SQRT(V370-1)*IF(_xlfn.XLOOKUP(E370,Groups!A:A,Groups!BF:BF)=0,2,1)*IF(_xlfn.XLOOKUP('Base stats'!E370,Groups!A:A,Groups!O:O)=0,1,0.1),1),0)</f>
        <v>2.4</v>
      </c>
      <c r="AY370" s="8">
        <f t="shared" si="214"/>
        <v>0</v>
      </c>
      <c r="AZ370" s="8">
        <f t="shared" si="215"/>
        <v>12.2</v>
      </c>
      <c r="BA370" s="8">
        <f t="shared" si="216"/>
        <v>14.9</v>
      </c>
      <c r="BB370" s="8">
        <f>IF(_xlfn.XLOOKUP(E370,Groups!A:A,Groups!N:N)="Insect",BD370*2.5,IFERROR(AVERAGE(BD370,AT370/9.81/IF(OR(_xlfn.XLOOKUP(E370,Groups!A:A,Groups!N:N)="Pig",_xlfn.XLOOKUP(E370,Groups!A:A,Groups!N:N)="StrongBitingHerbivore"),20,25))*C370^-0.135,BD370))</f>
        <v>20.068848836399738</v>
      </c>
      <c r="BC370" s="8">
        <f>IF(W370="No","No",IF(_xlfn.XLOOKUP(E370,Groups!A:A,Groups!U:U)=1,'Base stats'!BB370,IF(OR(_xlfn.XLOOKUP(E370,Groups!A:A,Groups!BD:BD)=1,_xlfn.XLOOKUP(E370,Groups!A:A,Groups!U:U)=2),BD370,IF(_xlfn.XLOOKUP(B370,Animals!B:B,Animals!AO:AO)&gt;4,AVERAGE(BD370,BF370),BF370))))</f>
        <v>18.429492347676444</v>
      </c>
      <c r="BD370" s="8">
        <f t="shared" si="217"/>
        <v>18.429492347676444</v>
      </c>
      <c r="BE370" s="8">
        <f>IF(_xlfn.XLOOKUP(E370,Groups!A:A,Groups!BE:BE)=1,(0.048*C370^1.01)+(0.071*C370^1.03),0.071*C370^1.03)/IF(_xlfn.XLOOKUP(E370,Groups!A:A,Groups!M:M)=1,0.85,IF(OR(_xlfn.XLOOKUP(B370,Animals!B:B,Animals!AO:AO)&gt;4,_xlfn.XLOOKUP(E370,Groups!A:A,Groups!BC:BC)=1),1.7,1))*C370^-0.25</f>
        <v>24.27630034588584</v>
      </c>
      <c r="BF370" s="8">
        <f>(0.048*C370^1.01)/IF(_xlfn.XLOOKUP(E370,Groups!A:A,Groups!M:M)=1,0.25,0.8)*C370^-0.25</f>
        <v>29.623949867689536</v>
      </c>
      <c r="BG370" s="8">
        <f>EXP(1.076*LN(AR370)-4.5397)*IF(_xlfn.XLOOKUP(E370,Groups!A:A,Groups!BC:BC)=1,1.25,IF(_xlfn.XLOOKUP(E370,Groups!A:A,Groups!BD:BD)=1,3.5,2.5))</f>
        <v>3272.6617301979236</v>
      </c>
      <c r="BH370" s="8">
        <f>EXP(1.076*LN(AS370)-4.5397)*IF(_xlfn.XLOOKUP(E370,Groups!A:A,Groups!M:M)=1,0.8,IF(_xlfn.XLOOKUP(E370,Groups!A:A,Groups!BC:BC)=1,1.3,3))</f>
        <v>3376.7438203018805</v>
      </c>
      <c r="BI370" s="8">
        <f>IF(W370="No","No",IF(_xlfn.XLOOKUP(E370,Groups!A:A,Groups!U:U)=1,'Base stats'!BJ370,IF(OR(_xlfn.XLOOKUP(E370,Groups!A:A,Groups!BD:BD)=1,_xlfn.XLOOKUP(E370,Groups!A:A,Groups!U:U)=2),BG370,BH370))*1.2)</f>
        <v>3927.1940762375079</v>
      </c>
      <c r="BJ370" s="8">
        <f>IFERROR(EXP(1.076*LN(AT370)-4.5397)*IF(_xlfn.XLOOKUP(E370,Groups!A:A,Groups!N:N)="Insect",1,IF(OR(_xlfn.XLOOKUP(E370,Groups!A:A,Groups!N:N)="Pig",_xlfn.XLOOKUP(E370,Groups!A:A,Groups!N:N)="StrongBitingHerbivore"),3.5,3.75)),"No")</f>
        <v>1593.3484295301253</v>
      </c>
      <c r="BK370" s="8">
        <f t="shared" si="218"/>
        <v>18</v>
      </c>
      <c r="BL370" s="8">
        <f t="shared" si="219"/>
        <v>16</v>
      </c>
      <c r="BM370" s="8">
        <f t="shared" si="220"/>
        <v>20</v>
      </c>
      <c r="BN370" s="8">
        <f t="shared" si="221"/>
        <v>12</v>
      </c>
      <c r="BO370" s="8">
        <f t="shared" si="222"/>
        <v>15</v>
      </c>
      <c r="BP370" s="8" t="str" cm="1">
        <f t="array" ref="BP370">IF(AND(_xlfn.XLOOKUP('Base stats'!E370,Groups!A:A,Groups!AD:AD=0),_xlfn.XLOOKUP('Base stats'!E370,Groups!A:A,Groups!P:P=0)),"No",IF(U370="No",AVERAGE(EXP(-0.57+0.99*LN(C370)),EXP(0.32+0.67*LN(C370)))/IF(_xlfn.XLOOKUP(E370,Groups!A:A,Groups!AD:AD)=1,10,2),(0.7354*C370^0.4078)*2/IF(_xlfn.XLOOKUP(E370,Groups!A:A,Groups!BK:BK)=1,1000,100)/IF(_xlfn.XLOOKUP(E370,Groups!A:A,Groups!AJ:AJ)="Photonozoa",3,1)))</f>
        <v>No</v>
      </c>
      <c r="BQ370" s="8">
        <f>IF(W370="No","No",IF(_xlfn.XLOOKUP(E370,Groups!A:A,Groups!BD:BD)=1,(AO370*5%),EXP(0.7354*LN(C370)^0.4078)*2/IF(_xlfn.XLOOKUP(E370,Groups!A:A,Groups!BL:BL)=1,1000,100)/IF(_xlfn.XLOOKUP(E370,Groups!A:A,Groups!AJ:AJ)="Photonozoa",3,1)))</f>
        <v>0.11293722445637867</v>
      </c>
      <c r="BR370" s="8">
        <f>IF(BJ370="No","No",IF(_xlfn.XLOOKUP(E370,Groups!A:A,Groups!BF:BF)=1,(0.0315*C370+2.1825)*2,(0.7354*C370^0.4078)*2)/IF(_xlfn.XLOOKUP(E370,Groups!A:A,Groups!BM:BM)=1,1000,100)/IF(_xlfn.XLOOKUP(E370,Groups!A:A,Groups!AJ:AJ)="Photonozoa",3,1))</f>
        <v>0.4100384372770437</v>
      </c>
      <c r="BS370" s="8">
        <f t="shared" si="223"/>
        <v>0.29306496703246865</v>
      </c>
      <c r="BT370" s="8" t="str">
        <f t="shared" si="224"/>
        <v>No</v>
      </c>
      <c r="BU370" s="8">
        <f t="shared" si="225"/>
        <v>34773.247661618982</v>
      </c>
      <c r="BV370" s="8">
        <f t="shared" si="226"/>
        <v>3885.851385326529</v>
      </c>
      <c r="BW370" s="4">
        <v>0</v>
      </c>
      <c r="BX370" s="4">
        <v>1</v>
      </c>
    </row>
    <row r="371" spans="1:76" s="16" customFormat="1" x14ac:dyDescent="0.25">
      <c r="A371" s="26" t="s">
        <v>2076</v>
      </c>
      <c r="B371" s="6" t="s">
        <v>1111</v>
      </c>
      <c r="C371" s="7">
        <f>AVERAGE(279,250.4,239.5,195.1)</f>
        <v>241</v>
      </c>
      <c r="D371" s="7" t="s">
        <v>2131</v>
      </c>
      <c r="E371" s="7" t="str">
        <f>Groups!$A$19</f>
        <v>Catlike</v>
      </c>
      <c r="F371" s="7">
        <v>110</v>
      </c>
      <c r="G371" s="7">
        <v>3.7</v>
      </c>
      <c r="H371" s="7">
        <v>30</v>
      </c>
      <c r="I371" s="4">
        <v>0</v>
      </c>
      <c r="J371" s="7">
        <v>2.5</v>
      </c>
      <c r="K371" s="7" t="s">
        <v>528</v>
      </c>
      <c r="L371" s="7">
        <f>MIN(37.5*C371^0.089,79.3*C371^-0.072)</f>
        <v>53.427882261627047</v>
      </c>
      <c r="M371" s="7" t="s">
        <v>626</v>
      </c>
      <c r="N371" s="4">
        <v>0</v>
      </c>
      <c r="O371" s="4">
        <v>0</v>
      </c>
      <c r="P371" s="4">
        <v>0</v>
      </c>
      <c r="Q371" s="4">
        <v>0</v>
      </c>
      <c r="R371" s="4" t="s">
        <v>40</v>
      </c>
      <c r="S371" s="7">
        <f>_xlfn.XLOOKUP(B371,[1]TeethAdjusters!$A:$A,[1]BiteAdjusters!$C:$C,1)</f>
        <v>0.61235096575252035</v>
      </c>
      <c r="T371" s="7">
        <f>_xlfn.XLOOKUP(B371,[1]TeethAdjusters!$A:$A,[1]TeethAdjusters!$B:$B,1)</f>
        <v>1</v>
      </c>
      <c r="U371" s="7">
        <v>12</v>
      </c>
      <c r="V371" s="7">
        <v>18</v>
      </c>
      <c r="W371" s="7" t="s">
        <v>45</v>
      </c>
      <c r="X371" s="7" t="s">
        <v>932</v>
      </c>
      <c r="Y371" s="4" t="s">
        <v>56</v>
      </c>
      <c r="Z371" s="4">
        <v>1</v>
      </c>
      <c r="AA371" s="4">
        <v>0</v>
      </c>
      <c r="AB371" s="4">
        <v>0</v>
      </c>
      <c r="AC371" s="4">
        <v>0</v>
      </c>
      <c r="AD371" s="4">
        <v>0</v>
      </c>
      <c r="AE371" s="4" t="s">
        <v>45</v>
      </c>
      <c r="AF371" s="4" t="s">
        <v>45</v>
      </c>
      <c r="AG371" s="49" t="s">
        <v>389</v>
      </c>
      <c r="AH371" s="4" t="s">
        <v>45</v>
      </c>
      <c r="AI371" s="4">
        <v>0</v>
      </c>
      <c r="AJ371" s="4">
        <v>0</v>
      </c>
      <c r="AK371" s="4">
        <v>0</v>
      </c>
      <c r="AL371" s="4">
        <v>0</v>
      </c>
      <c r="AM371" s="4">
        <v>1</v>
      </c>
      <c r="AN371" s="44" t="s">
        <v>40</v>
      </c>
      <c r="AO371" s="8">
        <f t="shared" ref="AO371:AO374" si="227">(0.111*C371^0.65)*10000</f>
        <v>39231.422579019614</v>
      </c>
      <c r="AP371" s="8">
        <f>IFERROR(C371*_xlfn.XLOOKUP(E371,Groups!A:A,Groups!K:K),0.106*C371^0.94)</f>
        <v>30.06475</v>
      </c>
      <c r="AQ371" s="8">
        <f>AP371*10000/(_xlfn.XLOOKUP(E371,Groups!A:A,Groups!J:J)*AO371)</f>
        <v>7.0306753200155194</v>
      </c>
      <c r="AR371" s="8">
        <f t="shared" ref="AR371:AR374" si="228">EXP(0.8447*LN(C371)+3.996)</f>
        <v>5591.5285349025262</v>
      </c>
      <c r="AS371" s="8">
        <f>IF(_xlfn.XLOOKUP(E371,Groups!A:A,Groups!M:M)=1,EXP(0.7444*LN('Base stats'!C371)+6.5696),EXP(0.7927*LN('Base stats'!C371)+4.28))</f>
        <v>5584.7700014493985</v>
      </c>
      <c r="AT371" s="8">
        <f>IF(_xlfn.XLOOKUP(E371,Groups!A:A,Groups!N:N)="No","No",
IF(_xlfn.XLOOKUP(E371,Groups!A:A,Groups!N:N)="Crocodile",EXP(0.8129*LN(C371)+4.6742)*S371,
IF(_xlfn.XLOOKUP(E371,Groups!A:A,Groups!N:N)="Felid",EXP(0.7843*LN(C371)+4.7073)*S371,
IF(_xlfn.XLOOKUP(E371,Groups!A:A,Groups!N:N)="Canid",EXP(0.8367*LN(C371)+4.8763)*S371,
IF(_xlfn.XLOOKUP(E371,Groups!A:A,Groups!N:N)="Pig",EXP(0.3439*LN(C371)+6.8519)*S371,
IF(_xlfn.XLOOKUP(E371,Groups!A:A,Groups!N:N)="Rodent",EXP(0.5625*LN(C371)+4.3006)*S371,
IF(_xlfn.XLOOKUP(E371,Groups!A:A,Groups!N:N)="Primate",EXP(0.7847*LN(C371)+3.4931)*S371,
IF(_xlfn.XLOOKUP(E371,Groups!A:A,Groups!N:N)="MiscCarnivora",EXP(0.7486*LN(C371)+4.2207)*S371,
IF(_xlfn.XLOOKUP(E371,Groups!A:A,Groups!N:N)="Lizard",EXP(0.7733*LN(C371)+5.5303)*S371,
IF(_xlfn.XLOOKUP(E371,Groups!A:A,Groups!N:N)="Snake",50*C371^(2/3)*S371,
IF(_xlfn.XLOOKUP(E371,Groups!A:A,Groups!N:N)="StrongBitingHerbivore",87.1133638856975*C371^(2/3)*S371,
IF(_xlfn.XLOOKUP(E371,Groups!A:A,Groups!N:N)="MiscEctotherms",59.4316884072269*C371^(2/3)*S371,
IF(_xlfn.XLOOKUP(E371,Groups!A:A,Groups!N:N)="StrongBeakBird",0.041*(C371*1000)^1.375*S371,
IF(_xlfn.XLOOKUP(E371,Groups!A:A,Groups!N:N)="Bird",0.118*(C371*1000)^0.692*S371,
IF(_xlfn.XLOOKUP(E371,Groups!A:A,Groups!N:N)="Insect",EXP(0.7444*LN(C371)+6.5696)*S371,
IF(_xlfn.XLOOKUP(E371,Groups!A:A,Groups!N:N)="Theropod",EXP(0.6966*LN(C371)+4.158)*S371,
"No"))))))))))))))))</f>
        <v>5006.9215670394979</v>
      </c>
      <c r="AU371" s="8">
        <f>IF(_xlfn.XLOOKUP(E371,Groups!A:A,Groups!U:U)=3,AS371,IF(_xlfn.XLOOKUP(E371,Groups!A:A,Groups!U:U)=2,AR371,AT371))</f>
        <v>5006.9215670394979</v>
      </c>
      <c r="AV371" s="46">
        <f>IFERROR(AVERAGE(_xlfn.XLOOKUP(B371,Animals!B:B,Animals!N:N),_xlfn.XLOOKUP(B371,Animals!B:B,Animals!O:O)),0)</f>
        <v>0</v>
      </c>
      <c r="AW371" s="8">
        <f>MROUND(40*Animals!AO371*_xlfn.XLOOKUP(AG371,Leathers!$A$2:$A$99,Leathers!$B$2:$B$99,0)+(140*_xlfn.XLOOKUP(B371,Animals!B:B,Animals!AO:AO)*2),5)</f>
        <v>745</v>
      </c>
      <c r="AX371" s="8">
        <f>IFERROR(ROUND(SQRT(V371-1)*IF(_xlfn.XLOOKUP(E371,Groups!A:A,Groups!BF:BF)=0,2,1)*IF(_xlfn.XLOOKUP('Base stats'!E371,Groups!A:A,Groups!O:O)=0,1,0.1),1),0)</f>
        <v>8.1999999999999993</v>
      </c>
      <c r="AY371" s="8">
        <f t="shared" ref="AY371:AY374" si="229">IFERROR(ROUND(SQRT(U371-1),1),0)</f>
        <v>3.3</v>
      </c>
      <c r="AZ371" s="8">
        <f t="shared" ref="AZ371:AZ374" si="230">IFERROR(ROUND(SQRT(W371),1),0)</f>
        <v>0</v>
      </c>
      <c r="BA371" s="8">
        <f t="shared" ref="BA371:BA374" si="231">ROUND(
  EXP(0.3582*LN(C371)-0.2221) *
  (0.75 + 0.25*(C371^4/(C371^4+10^4))),
1)</f>
        <v>5.7</v>
      </c>
      <c r="BB371" s="8">
        <f>IF(_xlfn.XLOOKUP(E371,Groups!A:A,Groups!N:N)="Insect",BD371*2.5,IFERROR(AVERAGE(BD371,AT371/9.81/IF(OR(_xlfn.XLOOKUP(E371,Groups!A:A,Groups!N:N)="Pig",_xlfn.XLOOKUP(E371,Groups!A:A,Groups!N:N)="StrongBitingHerbivore"),20,25))*C371^-0.135,BD371))</f>
        <v>5.7596379832567468</v>
      </c>
      <c r="BC371" s="8" t="str">
        <f>IF(W371="No","No",IF(_xlfn.XLOOKUP(E371,Groups!A:A,Groups!U:U)=1,'Base stats'!BB371,IF(OR(_xlfn.XLOOKUP(E371,Groups!A:A,Groups!BD:BD)=1,_xlfn.XLOOKUP(E371,Groups!A:A,Groups!U:U)=2),BD371,IF(_xlfn.XLOOKUP(B371,Animals!B:B,Animals!AO:AO)&gt;4,AVERAGE(BD371,BF371),BF371))))</f>
        <v>No</v>
      </c>
      <c r="BD371" s="8">
        <f t="shared" ref="BD371:BD374" si="232">(0.0392*C371^IF(OR(Y371="Herbivore",Y371="Dendrovore",Y371="OmnivoreRough"),0.889,0.966))*C371^-0.135</f>
        <v>3.7388860502899872</v>
      </c>
      <c r="BE371" s="8">
        <f>IF(_xlfn.XLOOKUP(E371,Groups!A:A,Groups!BE:BE)=1,(0.048*C371^1.01)+(0.071*C371^1.03),0.071*C371^1.03)/IF(_xlfn.XLOOKUP(E371,Groups!A:A,Groups!M:M)=1,0.85,IF(OR(_xlfn.XLOOKUP(B371,Animals!B:B,Animals!AO:AO)&gt;4,_xlfn.XLOOKUP(E371,Groups!A:A,Groups!BC:BC)=1),1.7,1))*C371^-0.25</f>
        <v>5.1195482676371338</v>
      </c>
      <c r="BF371" s="8">
        <f>(0.048*C371^1.01)/IF(_xlfn.XLOOKUP(E371,Groups!A:A,Groups!M:M)=1,0.25,0.8)*C371^-0.25</f>
        <v>3.8768964622363207</v>
      </c>
      <c r="BG371" s="8">
        <f>EXP(1.076*LN(AR371)-4.5397)*IF(_xlfn.XLOOKUP(E371,Groups!A:A,Groups!BC:BC)=1,1.25,IF(_xlfn.XLOOKUP(E371,Groups!A:A,Groups!BD:BD)=1,3.5,2.5))</f>
        <v>287.55188320925595</v>
      </c>
      <c r="BH371" s="8">
        <f>EXP(1.076*LN(AS371)-4.5397)*IF(_xlfn.XLOOKUP(E371,Groups!A:A,Groups!M:M)=1,0.8,IF(_xlfn.XLOOKUP(E371,Groups!A:A,Groups!BC:BC)=1,1.3,3))</f>
        <v>344.61350237133502</v>
      </c>
      <c r="BI371" s="8" t="str">
        <f>IF(W371="No","No",IF(_xlfn.XLOOKUP(E371,Groups!A:A,Groups!U:U)=1,'Base stats'!BJ371,IF(OR(_xlfn.XLOOKUP(E371,Groups!A:A,Groups!BD:BD)=1,_xlfn.XLOOKUP(E371,Groups!A:A,Groups!U:U)=2),BG371,BH371))*1.2)</f>
        <v>No</v>
      </c>
      <c r="BJ371" s="8">
        <f>IFERROR(EXP(1.076*LN(AT371)-4.5397)*IF(_xlfn.XLOOKUP(E371,Groups!A:A,Groups!N:N)="Insect",1,IF(OR(_xlfn.XLOOKUP(E371,Groups!A:A,Groups!N:N)="Pig",_xlfn.XLOOKUP(E371,Groups!A:A,Groups!N:N)="StrongBitingHerbivore"),3.5,3.75)),"No")</f>
        <v>383.00352972926021</v>
      </c>
      <c r="BK371" s="8">
        <f t="shared" ref="BK371:BK374" si="233">ROUNDDOWN(SQRT((2*BG371)/BD371),0)</f>
        <v>12</v>
      </c>
      <c r="BL371" s="8">
        <f t="shared" ref="BL371:BL374" si="234">ROUNDDOWN(SQRT((2*BH371)/BE371),0)</f>
        <v>11</v>
      </c>
      <c r="BM371" s="8" t="str">
        <f t="shared" ref="BM371:BM374" si="235">IF(W371="No","No",ROUNDDOWN(SQRT((2*BI371)/BC371),0))</f>
        <v>No</v>
      </c>
      <c r="BN371" s="8">
        <f t="shared" ref="BN371:BN374" si="236">IF(V371="No","No",ROUNDDOWN(SQRT((2*BJ371)/BB371),0))</f>
        <v>11</v>
      </c>
      <c r="BO371" s="8">
        <f t="shared" ref="BO371:BO374" si="237">ROUNDDOWN(SQRT((2*BH371)/BF371),0)</f>
        <v>13</v>
      </c>
      <c r="BP371" s="8" cm="1">
        <f t="array" ref="BP371">IF(AND(_xlfn.XLOOKUP('Base stats'!E371,Groups!A:A,Groups!AD:AD=0),_xlfn.XLOOKUP('Base stats'!E371,Groups!A:A,Groups!P:P=0)),"No",IF(U371="No",AVERAGE(EXP(-0.57+0.99*LN(C371)),EXP(0.32+0.67*LN(C371)))/IF(_xlfn.XLOOKUP(E371,Groups!A:A,Groups!AD:AD)=1,10,2),(0.7354*C371^0.4078)*2/IF(_xlfn.XLOOKUP(E371,Groups!A:A,Groups!BK:BK)=1,1000,100)/IF(_xlfn.XLOOKUP(E371,Groups!A:A,Groups!AJ:AJ)="Photonozoa",3,1)))</f>
        <v>0.13770197562112069</v>
      </c>
      <c r="BQ371" s="8" t="str">
        <f>IF(W371="No","No",IF(_xlfn.XLOOKUP(E371,Groups!A:A,Groups!BD:BD)=1,(AO371*5%),EXP(0.7354*LN(C371)^0.4078)*2/IF(_xlfn.XLOOKUP(E371,Groups!A:A,Groups!BL:BL)=1,1000,100)/IF(_xlfn.XLOOKUP(E371,Groups!A:A,Groups!AJ:AJ)="Photonozoa",3,1)))</f>
        <v>No</v>
      </c>
      <c r="BR371" s="8">
        <f>IF(BJ371="No","No",IF(_xlfn.XLOOKUP(E371,Groups!A:A,Groups!BF:BF)=1,(0.0315*C371+2.1825)*2,(0.7354*C371^0.4078)*2)/IF(_xlfn.XLOOKUP(E371,Groups!A:A,Groups!BM:BM)=1,1000,100)/IF(_xlfn.XLOOKUP(E371,Groups!A:A,Groups!AJ:AJ)="Photonozoa",3,1))</f>
        <v>0.13770197562112069</v>
      </c>
      <c r="BS371" s="8">
        <f t="shared" ref="BS371:BS374" si="238">BG371/(AO371*5%)</f>
        <v>0.14659263636441999</v>
      </c>
      <c r="BT371" s="8">
        <f t="shared" ref="BT371:BT374" si="239">IF(BP371="No","No",BH371/BP371)</f>
        <v>2502.6039083093469</v>
      </c>
      <c r="BU371" s="8" t="str">
        <f t="shared" ref="BU371:BU374" si="240">IF(W371="No","No",BI371/BQ371)</f>
        <v>No</v>
      </c>
      <c r="BV371" s="8">
        <f t="shared" ref="BV371:BV374" si="241">IF(BJ371="No","No",BJ371/BR371)</f>
        <v>2781.3945878530681</v>
      </c>
      <c r="BW371" s="4">
        <v>0</v>
      </c>
      <c r="BX371" s="4">
        <v>1</v>
      </c>
    </row>
    <row r="372" spans="1:76" s="16" customFormat="1" x14ac:dyDescent="0.25">
      <c r="A372" s="26" t="s">
        <v>2077</v>
      </c>
      <c r="B372" s="6" t="s">
        <v>2142</v>
      </c>
      <c r="C372" s="7">
        <v>924</v>
      </c>
      <c r="D372" s="7" t="s">
        <v>2143</v>
      </c>
      <c r="E372" s="7" t="str">
        <f>Groups!$A$57</f>
        <v>GroundSloth</v>
      </c>
      <c r="F372" s="7">
        <f>ROUND(7.545*(C372*1000)^0.2689,0)</f>
        <v>303</v>
      </c>
      <c r="G372" s="7">
        <v>3</v>
      </c>
      <c r="H372" s="7">
        <v>30</v>
      </c>
      <c r="I372" s="4">
        <v>0</v>
      </c>
      <c r="J372" s="7">
        <v>1</v>
      </c>
      <c r="K372" s="7" t="s">
        <v>528</v>
      </c>
      <c r="L372" s="7">
        <v>32</v>
      </c>
      <c r="M372" s="7" t="s">
        <v>626</v>
      </c>
      <c r="N372" s="4">
        <v>0</v>
      </c>
      <c r="O372" s="4">
        <v>0</v>
      </c>
      <c r="P372" s="4">
        <v>0</v>
      </c>
      <c r="Q372" s="4">
        <v>0</v>
      </c>
      <c r="R372" s="4" t="s">
        <v>40</v>
      </c>
      <c r="S372" s="7">
        <f>_xlfn.XLOOKUP(B372,[1]TeethAdjusters!$A:$A,[1]BiteAdjusters!$C:$C,1)</f>
        <v>1</v>
      </c>
      <c r="T372" s="7">
        <f>_xlfn.XLOOKUP(B372,[1]TeethAdjusters!$A:$A,[1]TeethAdjusters!$B:$B,1)</f>
        <v>1</v>
      </c>
      <c r="U372" s="7">
        <v>5</v>
      </c>
      <c r="V372" s="7">
        <v>2</v>
      </c>
      <c r="W372" s="7" t="s">
        <v>45</v>
      </c>
      <c r="X372" s="7" t="s">
        <v>932</v>
      </c>
      <c r="Y372" s="4" t="s">
        <v>42</v>
      </c>
      <c r="Z372" s="4">
        <v>1</v>
      </c>
      <c r="AA372" s="4">
        <v>0</v>
      </c>
      <c r="AB372" s="4">
        <v>0</v>
      </c>
      <c r="AC372" s="4">
        <v>0</v>
      </c>
      <c r="AD372" s="4">
        <v>0</v>
      </c>
      <c r="AE372" s="4" t="s">
        <v>1044</v>
      </c>
      <c r="AF372" s="4" t="s">
        <v>45</v>
      </c>
      <c r="AG372" s="49" t="s">
        <v>392</v>
      </c>
      <c r="AH372" s="4" t="s">
        <v>45</v>
      </c>
      <c r="AI372" s="4">
        <v>1</v>
      </c>
      <c r="AJ372" s="4">
        <v>0</v>
      </c>
      <c r="AK372" s="4">
        <v>0</v>
      </c>
      <c r="AL372" s="4">
        <v>0</v>
      </c>
      <c r="AM372" s="4">
        <v>0</v>
      </c>
      <c r="AN372" s="44" t="s">
        <v>40</v>
      </c>
      <c r="AO372" s="8">
        <f t="shared" si="227"/>
        <v>93974.442959302905</v>
      </c>
      <c r="AP372" s="8">
        <f>IFERROR(C372*_xlfn.XLOOKUP(E372,Groups!A:A,Groups!K:K),0.106*C372^0.94)</f>
        <v>65.018585674162452</v>
      </c>
      <c r="AQ372" s="8">
        <f>AP372*10000/(_xlfn.XLOOKUP(E372,Groups!A:A,Groups!J:J)*AO372)</f>
        <v>3.7197590915452325</v>
      </c>
      <c r="AR372" s="8">
        <f t="shared" si="228"/>
        <v>17399.784271145465</v>
      </c>
      <c r="AS372" s="8">
        <f>IF(_xlfn.XLOOKUP(E372,Groups!A:A,Groups!M:M)=1,EXP(0.7444*LN('Base stats'!C372)+6.5696),EXP(0.7927*LN('Base stats'!C372)+4.28))</f>
        <v>16205.728327643181</v>
      </c>
      <c r="AT372" s="8">
        <f>IF(_xlfn.XLOOKUP(E372,Groups!A:A,Groups!N:N)="No","No",
IF(_xlfn.XLOOKUP(E372,Groups!A:A,Groups!N:N)="Crocodile",EXP(0.8129*LN(C372)+4.6742)*S372,
IF(_xlfn.XLOOKUP(E372,Groups!A:A,Groups!N:N)="Felid",EXP(0.7843*LN(C372)+4.7073)*S372,
IF(_xlfn.XLOOKUP(E372,Groups!A:A,Groups!N:N)="Canid",EXP(0.8367*LN(C372)+4.8763)*S372,
IF(_xlfn.XLOOKUP(E372,Groups!A:A,Groups!N:N)="Pig",EXP(0.3439*LN(C372)+6.8519)*S372,
IF(_xlfn.XLOOKUP(E372,Groups!A:A,Groups!N:N)="Rodent",EXP(0.5625*LN(C372)+4.3006)*S372,
IF(_xlfn.XLOOKUP(E372,Groups!A:A,Groups!N:N)="Primate",EXP(0.7847*LN(C372)+3.4931)*S372,
IF(_xlfn.XLOOKUP(E372,Groups!A:A,Groups!N:N)="MiscCarnivora",EXP(0.7486*LN(C372)+4.2207)*S372,
IF(_xlfn.XLOOKUP(E372,Groups!A:A,Groups!N:N)="Lizard",EXP(0.7733*LN(C372)+5.5303)*S372,
IF(_xlfn.XLOOKUP(E372,Groups!A:A,Groups!N:N)="Snake",50*C372^(2/3)*S372,
IF(_xlfn.XLOOKUP(E372,Groups!A:A,Groups!N:N)="StrongBitingHerbivore",87.1133638856975*C372^(2/3)*S372,
IF(_xlfn.XLOOKUP(E372,Groups!A:A,Groups!N:N)="MiscEctotherms",59.4316884072269*C372^(2/3)*S372,
IF(_xlfn.XLOOKUP(E372,Groups!A:A,Groups!N:N)="StrongBeakBird",0.041*(C372*1000)^1.375*S372,
IF(_xlfn.XLOOKUP(E372,Groups!A:A,Groups!N:N)="Bird",0.118*(C372*1000)^0.692*S372,
IF(_xlfn.XLOOKUP(E372,Groups!A:A,Groups!N:N)="Insect",EXP(0.7444*LN(C372)+6.5696)*S372,
IF(_xlfn.XLOOKUP(E372,Groups!A:A,Groups!N:N)="Theropod",EXP(0.6966*LN(C372)+4.158)*S372,
"No"))))))))))))))))</f>
        <v>8264.1736056620048</v>
      </c>
      <c r="AU372" s="8">
        <f>IF(_xlfn.XLOOKUP(E372,Groups!A:A,Groups!U:U)=3,AS372,IF(_xlfn.XLOOKUP(E372,Groups!A:A,Groups!U:U)=2,AR372,AT372))</f>
        <v>8264.1736056620048</v>
      </c>
      <c r="AV372" s="46">
        <f>IFERROR(AVERAGE(_xlfn.XLOOKUP(B372,Animals!B:B,Animals!N:N),_xlfn.XLOOKUP(B372,Animals!B:B,Animals!O:O)),0)</f>
        <v>0.17500000000000002</v>
      </c>
      <c r="AW372" s="8">
        <f>MROUND(40*Animals!AO372*_xlfn.XLOOKUP(AG372,Leathers!$A$2:$A$99,Leathers!$B$2:$B$99,0)+(140*_xlfn.XLOOKUP(B372,Animals!B:B,Animals!AO:AO)*2),5)</f>
        <v>1020</v>
      </c>
      <c r="AX372" s="8">
        <f>IFERROR(ROUND(SQRT(V372-1)*IF(_xlfn.XLOOKUP(E372,Groups!A:A,Groups!BF:BF)=0,2,1)*IF(_xlfn.XLOOKUP('Base stats'!E372,Groups!A:A,Groups!O:O)=0,1,0.1),1),0)</f>
        <v>1</v>
      </c>
      <c r="AY372" s="8">
        <f t="shared" si="229"/>
        <v>2</v>
      </c>
      <c r="AZ372" s="8">
        <f t="shared" si="230"/>
        <v>0</v>
      </c>
      <c r="BA372" s="8">
        <f t="shared" si="231"/>
        <v>9.1999999999999993</v>
      </c>
      <c r="BB372" s="8">
        <f>IF(_xlfn.XLOOKUP(E372,Groups!A:A,Groups!N:N)="Insect",BD372*2.5,IFERROR(AVERAGE(BD372,AT372/9.81/IF(OR(_xlfn.XLOOKUP(E372,Groups!A:A,Groups!N:N)="Pig",_xlfn.XLOOKUP(E372,Groups!A:A,Groups!N:N)="StrongBitingHerbivore"),20,25))*C372^-0.135,BD372))</f>
        <v>9.7200991847823737</v>
      </c>
      <c r="BC372" s="8" t="str">
        <f>IF(W372="No","No",IF(_xlfn.XLOOKUP(E372,Groups!A:A,Groups!U:U)=1,'Base stats'!BB372,IF(OR(_xlfn.XLOOKUP(E372,Groups!A:A,Groups!BD:BD)=1,_xlfn.XLOOKUP(E372,Groups!A:A,Groups!U:U)=2),BD372,IF(_xlfn.XLOOKUP(B372,Animals!B:B,Animals!AO:AO)&gt;4,AVERAGE(BD372,BF372),BF372))))</f>
        <v>No</v>
      </c>
      <c r="BD372" s="8">
        <f t="shared" si="232"/>
        <v>6.7515382636483041</v>
      </c>
      <c r="BE372" s="8">
        <f>IF(_xlfn.XLOOKUP(E372,Groups!A:A,Groups!BE:BE)=1,(0.048*C372^1.01)+(0.071*C372^1.03),0.071*C372^1.03)/IF(_xlfn.XLOOKUP(E372,Groups!A:A,Groups!M:M)=1,0.85,IF(OR(_xlfn.XLOOKUP(B372,Animals!B:B,Animals!AO:AO)&gt;4,_xlfn.XLOOKUP(E372,Groups!A:A,Groups!BC:BC)=1),1.7,1))*C372^-0.25</f>
        <v>8.5907991380809445</v>
      </c>
      <c r="BF372" s="8">
        <f>(0.048*C372^1.01)/IF(_xlfn.XLOOKUP(E372,Groups!A:A,Groups!M:M)=1,0.25,0.8)*C372^-0.25</f>
        <v>10.76618773428803</v>
      </c>
      <c r="BG372" s="8">
        <f>EXP(1.076*LN(AR372)-4.5397)*IF(_xlfn.XLOOKUP(E372,Groups!A:A,Groups!BC:BC)=1,1.25,IF(_xlfn.XLOOKUP(E372,Groups!A:A,Groups!BD:BD)=1,3.5,2.5))</f>
        <v>487.71773802986058</v>
      </c>
      <c r="BH372" s="8">
        <f>EXP(1.076*LN(AS372)-4.5397)*IF(_xlfn.XLOOKUP(E372,Groups!A:A,Groups!M:M)=1,0.8,IF(_xlfn.XLOOKUP(E372,Groups!A:A,Groups!BC:BC)=1,1.3,3))</f>
        <v>469.87253141103179</v>
      </c>
      <c r="BI372" s="8" t="str">
        <f>IF(W372="No","No",IF(_xlfn.XLOOKUP(E372,Groups!A:A,Groups!U:U)=1,'Base stats'!BJ372,IF(OR(_xlfn.XLOOKUP(E372,Groups!A:A,Groups!BD:BD)=1,_xlfn.XLOOKUP(E372,Groups!A:A,Groups!U:U)=2),BG372,BH372))*1.2)</f>
        <v>No</v>
      </c>
      <c r="BJ372" s="8">
        <f>IFERROR(EXP(1.076*LN(AT372)-4.5397)*IF(_xlfn.XLOOKUP(E372,Groups!A:A,Groups!N:N)="Insect",1,IF(OR(_xlfn.XLOOKUP(E372,Groups!A:A,Groups!N:N)="Pig",_xlfn.XLOOKUP(E372,Groups!A:A,Groups!N:N)="StrongBitingHerbivore"),3.5,3.75)),"No")</f>
        <v>612.92590011694119</v>
      </c>
      <c r="BK372" s="8">
        <f t="shared" si="233"/>
        <v>12</v>
      </c>
      <c r="BL372" s="8">
        <f t="shared" si="234"/>
        <v>10</v>
      </c>
      <c r="BM372" s="8" t="str">
        <f t="shared" si="235"/>
        <v>No</v>
      </c>
      <c r="BN372" s="8">
        <f t="shared" si="236"/>
        <v>11</v>
      </c>
      <c r="BO372" s="8">
        <f t="shared" si="237"/>
        <v>9</v>
      </c>
      <c r="BP372" s="8" cm="1">
        <f t="array" ref="BP372">IF(AND(_xlfn.XLOOKUP('Base stats'!E372,Groups!A:A,Groups!AD:AD=0),_xlfn.XLOOKUP('Base stats'!E372,Groups!A:A,Groups!P:P=0)),"No",IF(U372="No",AVERAGE(EXP(-0.57+0.99*LN(C372)),EXP(0.32+0.67*LN(C372)))/IF(_xlfn.XLOOKUP(E372,Groups!A:A,Groups!AD:AD)=1,10,2),(0.7354*C372^0.4078)*2/IF(_xlfn.XLOOKUP(E372,Groups!A:A,Groups!BK:BK)=1,1000,100)/IF(_xlfn.XLOOKUP(E372,Groups!A:A,Groups!AJ:AJ)="Photonozoa",3,1)))</f>
        <v>0.23820707210417566</v>
      </c>
      <c r="BQ372" s="8" t="str">
        <f>IF(W372="No","No",IF(_xlfn.XLOOKUP(E372,Groups!A:A,Groups!BD:BD)=1,(AO372*5%),EXP(0.7354*LN(C372)^0.4078)*2/IF(_xlfn.XLOOKUP(E372,Groups!A:A,Groups!BL:BL)=1,1000,100)/IF(_xlfn.XLOOKUP(E372,Groups!A:A,Groups!AJ:AJ)="Photonozoa",3,1)))</f>
        <v>No</v>
      </c>
      <c r="BR372" s="8">
        <f>IF(BJ372="No","No",IF(_xlfn.XLOOKUP(E372,Groups!A:A,Groups!BF:BF)=1,(0.0315*C372+2.1825)*2,(0.7354*C372^0.4078)*2)/IF(_xlfn.XLOOKUP(E372,Groups!A:A,Groups!BM:BM)=1,1000,100)/IF(_xlfn.XLOOKUP(E372,Groups!A:A,Groups!AJ:AJ)="Photonozoa",3,1))</f>
        <v>0.62577000000000005</v>
      </c>
      <c r="BS372" s="8">
        <f t="shared" si="238"/>
        <v>0.10379795243714812</v>
      </c>
      <c r="BT372" s="8">
        <f t="shared" si="239"/>
        <v>1972.5381251717888</v>
      </c>
      <c r="BU372" s="8" t="str">
        <f t="shared" si="240"/>
        <v>No</v>
      </c>
      <c r="BV372" s="8">
        <f t="shared" si="241"/>
        <v>979.47472732304379</v>
      </c>
      <c r="BW372" s="4">
        <v>0</v>
      </c>
      <c r="BX372" s="4">
        <v>1</v>
      </c>
    </row>
    <row r="373" spans="1:76" s="16" customFormat="1" x14ac:dyDescent="0.25">
      <c r="A373" s="26" t="s">
        <v>2078</v>
      </c>
      <c r="B373" s="6" t="s">
        <v>2144</v>
      </c>
      <c r="C373" s="7">
        <f>AVERAGE(460,600)</f>
        <v>530</v>
      </c>
      <c r="D373" s="7" t="s">
        <v>2145</v>
      </c>
      <c r="E373" s="7" t="str">
        <f>Groups!$A$55</f>
        <v>Ruminant (ANTLERS)</v>
      </c>
      <c r="F373" s="7">
        <v>250</v>
      </c>
      <c r="G373" s="7">
        <v>2.5</v>
      </c>
      <c r="H373" s="7">
        <v>30</v>
      </c>
      <c r="I373" s="4">
        <v>0</v>
      </c>
      <c r="J373" s="7">
        <v>1</v>
      </c>
      <c r="K373" s="7" t="s">
        <v>528</v>
      </c>
      <c r="L373" s="7">
        <v>72</v>
      </c>
      <c r="M373" s="7" t="s">
        <v>626</v>
      </c>
      <c r="N373" s="4">
        <v>0</v>
      </c>
      <c r="O373" s="4">
        <v>0</v>
      </c>
      <c r="P373" s="4">
        <v>0</v>
      </c>
      <c r="Q373" s="4">
        <v>0</v>
      </c>
      <c r="R373" s="4" t="s">
        <v>40</v>
      </c>
      <c r="S373" s="7">
        <f>_xlfn.XLOOKUP(B373,[1]TeethAdjusters!$A:$A,[1]BiteAdjusters!$C:$C,1)</f>
        <v>1</v>
      </c>
      <c r="T373" s="7">
        <f>_xlfn.XLOOKUP(B373,[1]TeethAdjusters!$A:$A,[1]TeethAdjusters!$B:$B,1)</f>
        <v>1</v>
      </c>
      <c r="U373" s="7" t="s">
        <v>45</v>
      </c>
      <c r="V373" s="7" t="str">
        <f>IF(AT373="No","No",IF(_xlfn.XLOOKUP(E373,Groups!A:A,Groups!AM:AM)=1,MROUND(EXP(0.3582*LN(C373)-0.2221)*T373,0.05),IF(_xlfn.XLOOKUP(E373,Groups!A:A,Groups!AM:AM)=2,MROUND(EXP(0.3582*LN(C373)-0.2221)*T373,0.05),"Need a formula")))</f>
        <v>No</v>
      </c>
      <c r="W373" s="7">
        <v>180</v>
      </c>
      <c r="X373" s="7" t="s">
        <v>932</v>
      </c>
      <c r="Y373" s="4" t="s">
        <v>42</v>
      </c>
      <c r="Z373" s="4">
        <v>1</v>
      </c>
      <c r="AA373" s="4">
        <v>0</v>
      </c>
      <c r="AB373" s="4">
        <v>0</v>
      </c>
      <c r="AC373" s="4">
        <v>0</v>
      </c>
      <c r="AD373" s="4">
        <v>0</v>
      </c>
      <c r="AE373" s="4" t="s">
        <v>45</v>
      </c>
      <c r="AF373" s="4" t="s">
        <v>398</v>
      </c>
      <c r="AG373" s="49" t="s">
        <v>392</v>
      </c>
      <c r="AH373" s="4" t="str">
        <f>Animals!$C$53</f>
        <v>&lt;li&gt;Deer&lt;/li&gt;</v>
      </c>
      <c r="AI373" s="4">
        <v>1</v>
      </c>
      <c r="AJ373" s="4">
        <v>0</v>
      </c>
      <c r="AK373" s="4">
        <v>0</v>
      </c>
      <c r="AL373" s="4">
        <v>0</v>
      </c>
      <c r="AM373" s="4">
        <v>0</v>
      </c>
      <c r="AN373" s="44" t="s">
        <v>40</v>
      </c>
      <c r="AO373" s="8">
        <f t="shared" si="227"/>
        <v>65479.038569215583</v>
      </c>
      <c r="AP373" s="8">
        <f>IFERROR(C373*_xlfn.XLOOKUP(E373,Groups!A:A,Groups!K:K),0.106*C373^0.94)</f>
        <v>38.558948542556166</v>
      </c>
      <c r="AQ373" s="8">
        <f>AP373*10000/(_xlfn.XLOOKUP(E373,Groups!A:A,Groups!J:J)*AO373)</f>
        <v>5.4025200922491008</v>
      </c>
      <c r="AR373" s="8">
        <f t="shared" si="228"/>
        <v>10880.192436475201</v>
      </c>
      <c r="AS373" s="8">
        <f>IF(_xlfn.XLOOKUP(E373,Groups!A:A,Groups!M:M)=1,EXP(0.7444*LN('Base stats'!C373)+6.5696),EXP(0.7927*LN('Base stats'!C373)+4.28))</f>
        <v>10430.709838787643</v>
      </c>
      <c r="AT373" s="8" t="str">
        <f>IF(_xlfn.XLOOKUP(E373,Groups!A:A,Groups!N:N)="No","No",
IF(_xlfn.XLOOKUP(E373,Groups!A:A,Groups!N:N)="Crocodile",EXP(0.8129*LN(C373)+4.6742)*S373,
IF(_xlfn.XLOOKUP(E373,Groups!A:A,Groups!N:N)="Felid",EXP(0.7843*LN(C373)+4.7073)*S373,
IF(_xlfn.XLOOKUP(E373,Groups!A:A,Groups!N:N)="Canid",EXP(0.8367*LN(C373)+4.8763)*S373,
IF(_xlfn.XLOOKUP(E373,Groups!A:A,Groups!N:N)="Pig",EXP(0.3439*LN(C373)+6.8519)*S373,
IF(_xlfn.XLOOKUP(E373,Groups!A:A,Groups!N:N)="Rodent",EXP(0.5625*LN(C373)+4.3006)*S373,
IF(_xlfn.XLOOKUP(E373,Groups!A:A,Groups!N:N)="Primate",EXP(0.7847*LN(C373)+3.4931)*S373,
IF(_xlfn.XLOOKUP(E373,Groups!A:A,Groups!N:N)="MiscCarnivora",EXP(0.7486*LN(C373)+4.2207)*S373,
IF(_xlfn.XLOOKUP(E373,Groups!A:A,Groups!N:N)="Lizard",EXP(0.7733*LN(C373)+5.5303)*S373,
IF(_xlfn.XLOOKUP(E373,Groups!A:A,Groups!N:N)="Snake",50*C373^(2/3)*S373,
IF(_xlfn.XLOOKUP(E373,Groups!A:A,Groups!N:N)="StrongBitingHerbivore",87.1133638856975*C373^(2/3)*S373,
IF(_xlfn.XLOOKUP(E373,Groups!A:A,Groups!N:N)="MiscEctotherms",59.4316884072269*C373^(2/3)*S373,
IF(_xlfn.XLOOKUP(E373,Groups!A:A,Groups!N:N)="StrongBeakBird",0.041*(C373*1000)^1.375*S373,
IF(_xlfn.XLOOKUP(E373,Groups!A:A,Groups!N:N)="Bird",0.118*(C373*1000)^0.692*S373,
IF(_xlfn.XLOOKUP(E373,Groups!A:A,Groups!N:N)="Insect",EXP(0.7444*LN(C373)+6.5696)*S373,
IF(_xlfn.XLOOKUP(E373,Groups!A:A,Groups!N:N)="Theropod",EXP(0.6966*LN(C373)+4.158)*S373,
"No"))))))))))))))))</f>
        <v>No</v>
      </c>
      <c r="AU373" s="8">
        <f>IF(_xlfn.XLOOKUP(E373,Groups!A:A,Groups!U:U)=3,AS373,IF(_xlfn.XLOOKUP(E373,Groups!A:A,Groups!U:U)=2,AR373,AT373))</f>
        <v>10430.709838787643</v>
      </c>
      <c r="AV373" s="46">
        <f>IFERROR(AVERAGE(_xlfn.XLOOKUP(B373,Animals!B:B,Animals!N:N),_xlfn.XLOOKUP(B373,Animals!B:B,Animals!O:O)),0)</f>
        <v>0</v>
      </c>
      <c r="AW373" s="8">
        <f>MROUND(40*Animals!AO373*_xlfn.XLOOKUP(AG373,Leathers!$A$2:$A$99,Leathers!$B$2:$B$99,0)+(140*_xlfn.XLOOKUP(B373,Animals!B:B,Animals!AO:AO)*2),5)</f>
        <v>1240</v>
      </c>
      <c r="AX373" s="8">
        <f>IFERROR(ROUND(SQRT(V373-1)*IF(_xlfn.XLOOKUP(E373,Groups!A:A,Groups!BF:BF)=0,2,1)*IF(_xlfn.XLOOKUP('Base stats'!E373,Groups!A:A,Groups!O:O)=0,1,0.1),1),0)</f>
        <v>0</v>
      </c>
      <c r="AY373" s="8">
        <f t="shared" si="229"/>
        <v>0</v>
      </c>
      <c r="AZ373" s="8">
        <f t="shared" si="230"/>
        <v>13.4</v>
      </c>
      <c r="BA373" s="8">
        <f t="shared" si="231"/>
        <v>7.6</v>
      </c>
      <c r="BB373" s="8">
        <f>IF(_xlfn.XLOOKUP(E373,Groups!A:A,Groups!N:N)="Insect",BD373*2.5,IFERROR(AVERAGE(BD373,AT373/9.81/IF(OR(_xlfn.XLOOKUP(E373,Groups!A:A,Groups!N:N)="Pig",_xlfn.XLOOKUP(E373,Groups!A:A,Groups!N:N)="StrongBitingHerbivore"),20,25))*C373^-0.135,BD373))</f>
        <v>4.4400726137122195</v>
      </c>
      <c r="BC373" s="8">
        <f>IF(W373="No","No",IF(_xlfn.XLOOKUP(E373,Groups!A:A,Groups!U:U)=1,'Base stats'!BB373,IF(OR(_xlfn.XLOOKUP(E373,Groups!A:A,Groups!BD:BD)=1,_xlfn.XLOOKUP(E373,Groups!A:A,Groups!U:U)=2),BD373,IF(_xlfn.XLOOKUP(B373,Animals!B:B,Animals!AO:AO)&gt;4,AVERAGE(BD373,BF373),BF373))))</f>
        <v>7.0566879195184429</v>
      </c>
      <c r="BD373" s="8">
        <f t="shared" si="232"/>
        <v>4.4400726137122195</v>
      </c>
      <c r="BE373" s="8">
        <f>IF(_xlfn.XLOOKUP(E373,Groups!A:A,Groups!BE:BE)=1,(0.048*C373^1.01)+(0.071*C373^1.03),0.071*C373^1.03)/IF(_xlfn.XLOOKUP(E373,Groups!A:A,Groups!M:M)=1,0.85,IF(OR(_xlfn.XLOOKUP(B373,Animals!B:B,Animals!AO:AO)&gt;4,_xlfn.XLOOKUP(E373,Groups!A:A,Groups!BC:BC)=1),1.7,1))*C373^-0.25</f>
        <v>9.4665891034238605</v>
      </c>
      <c r="BF373" s="8">
        <f>(0.048*C373^1.01)/IF(_xlfn.XLOOKUP(E373,Groups!A:A,Groups!M:M)=1,0.25,0.8)*C373^-0.25</f>
        <v>7.0566879195184429</v>
      </c>
      <c r="BG373" s="8">
        <f>EXP(1.076*LN(AR373)-4.5397)*IF(_xlfn.XLOOKUP(E373,Groups!A:A,Groups!BC:BC)=1,1.25,IF(_xlfn.XLOOKUP(E373,Groups!A:A,Groups!BD:BD)=1,3.5,2.5))</f>
        <v>588.5648282390049</v>
      </c>
      <c r="BH373" s="8">
        <f>EXP(1.076*LN(AS373)-4.5397)*IF(_xlfn.XLOOKUP(E373,Groups!A:A,Groups!M:M)=1,0.8,IF(_xlfn.XLOOKUP(E373,Groups!A:A,Groups!BC:BC)=1,1.3,3))</f>
        <v>674.93245661522894</v>
      </c>
      <c r="BI373" s="8">
        <f>IF(W373="No","No",IF(_xlfn.XLOOKUP(E373,Groups!A:A,Groups!U:U)=1,'Base stats'!BJ373,IF(OR(_xlfn.XLOOKUP(E373,Groups!A:A,Groups!BD:BD)=1,_xlfn.XLOOKUP(E373,Groups!A:A,Groups!U:U)=2),BG373,BH373))*1.2)</f>
        <v>809.91894793827475</v>
      </c>
      <c r="BJ373" s="8" t="str">
        <f>IFERROR(EXP(1.076*LN(AT373)-4.5397)*IF(_xlfn.XLOOKUP(E373,Groups!A:A,Groups!N:N)="Insect",1,IF(OR(_xlfn.XLOOKUP(E373,Groups!A:A,Groups!N:N)="Pig",_xlfn.XLOOKUP(E373,Groups!A:A,Groups!N:N)="StrongBitingHerbivore"),3.5,3.75)),"No")</f>
        <v>No</v>
      </c>
      <c r="BK373" s="8">
        <f t="shared" si="233"/>
        <v>16</v>
      </c>
      <c r="BL373" s="8">
        <f t="shared" si="234"/>
        <v>11</v>
      </c>
      <c r="BM373" s="8">
        <f t="shared" si="235"/>
        <v>15</v>
      </c>
      <c r="BN373" s="8" t="str">
        <f t="shared" si="236"/>
        <v>No</v>
      </c>
      <c r="BO373" s="8">
        <f t="shared" si="237"/>
        <v>13</v>
      </c>
      <c r="BP373" s="8" cm="1">
        <f t="array" ref="BP373">IF(AND(_xlfn.XLOOKUP('Base stats'!E373,Groups!A:A,Groups!AD:AD=0),_xlfn.XLOOKUP('Base stats'!E373,Groups!A:A,Groups!P:P=0)),"No",IF(U373="No",AVERAGE(EXP(-0.57+0.99*LN(C373)),EXP(0.32+0.67*LN(C373)))/IF(_xlfn.XLOOKUP(E373,Groups!A:A,Groups!AD:AD)=1,10,2),(0.7354*C373^0.4078)*2/IF(_xlfn.XLOOKUP(E373,Groups!A:A,Groups!BK:BK)=1,1000,100)/IF(_xlfn.XLOOKUP(E373,Groups!A:A,Groups!AJ:AJ)="Photonozoa",3,1)))</f>
        <v>93.400020970632198</v>
      </c>
      <c r="BQ373" s="8">
        <f>IF(W373="No","No",IF(_xlfn.XLOOKUP(E373,Groups!A:A,Groups!BD:BD)=1,(AO373*5%),EXP(0.7354*LN(C373)^0.4078)*2/IF(_xlfn.XLOOKUP(E373,Groups!A:A,Groups!BL:BL)=1,1000,100)/IF(_xlfn.XLOOKUP(E373,Groups!A:A,Groups!AJ:AJ)="Photonozoa",3,1)))</f>
        <v>9.4701792190862916E-2</v>
      </c>
      <c r="BR373" s="8" t="str">
        <f>IF(BJ373="No","No",IF(_xlfn.XLOOKUP(E373,Groups!A:A,Groups!BF:BF)=1,(0.0315*C373+2.1825)*2,(0.7354*C373^0.4078)*2)/IF(_xlfn.XLOOKUP(E373,Groups!A:A,Groups!BM:BM)=1,1000,100)/IF(_xlfn.XLOOKUP(E373,Groups!A:A,Groups!AJ:AJ)="Photonozoa",3,1))</f>
        <v>No</v>
      </c>
      <c r="BS373" s="8">
        <f t="shared" si="238"/>
        <v>0.17977198233198055</v>
      </c>
      <c r="BT373" s="8">
        <f t="shared" si="239"/>
        <v>7.2262559429986446</v>
      </c>
      <c r="BU373" s="8">
        <f t="shared" si="240"/>
        <v>8552.3085593349297</v>
      </c>
      <c r="BV373" s="8" t="str">
        <f t="shared" si="241"/>
        <v>No</v>
      </c>
      <c r="BW373" s="4">
        <v>0</v>
      </c>
      <c r="BX373" s="4">
        <v>1</v>
      </c>
    </row>
    <row r="374" spans="1:76" s="16" customFormat="1" x14ac:dyDescent="0.25">
      <c r="A374" s="26" t="s">
        <v>2079</v>
      </c>
      <c r="B374" s="6" t="s">
        <v>2146</v>
      </c>
      <c r="C374" s="7">
        <v>240</v>
      </c>
      <c r="D374" s="7" t="s">
        <v>2147</v>
      </c>
      <c r="E374" s="7" t="str">
        <f>Groups!$A$31</f>
        <v>Marsupial (HERBIVOROUS, HOPPER)</v>
      </c>
      <c r="F374" s="7">
        <v>50</v>
      </c>
      <c r="G374" s="7">
        <v>2</v>
      </c>
      <c r="H374" s="7">
        <v>30</v>
      </c>
      <c r="I374" s="4">
        <v>0</v>
      </c>
      <c r="J374" s="7">
        <v>1</v>
      </c>
      <c r="K374" s="7" t="s">
        <v>528</v>
      </c>
      <c r="L374" s="7">
        <v>65</v>
      </c>
      <c r="M374" s="7" t="s">
        <v>626</v>
      </c>
      <c r="N374" s="4">
        <v>0</v>
      </c>
      <c r="O374" s="4">
        <v>0</v>
      </c>
      <c r="P374" s="4">
        <v>0</v>
      </c>
      <c r="Q374" s="4">
        <v>0</v>
      </c>
      <c r="R374" s="4" t="s">
        <v>40</v>
      </c>
      <c r="S374" s="7">
        <f>_xlfn.XLOOKUP(B374,[1]TeethAdjusters!$A:$A,[1]BiteAdjusters!$C:$C,1)</f>
        <v>1</v>
      </c>
      <c r="T374" s="7">
        <f>_xlfn.XLOOKUP(B374,[1]TeethAdjusters!$A:$A,[1]TeethAdjusters!$B:$B,1)</f>
        <v>1</v>
      </c>
      <c r="U374" s="7">
        <v>10</v>
      </c>
      <c r="V374" s="7" t="str">
        <f>IF(AT374="No","No",IF(_xlfn.XLOOKUP(E374,Groups!A:A,Groups!AM:AM)=1,MROUND(EXP(0.3582*LN(C374)-0.2221)*T374,0.05),IF(_xlfn.XLOOKUP(E374,Groups!A:A,Groups!AM:AM)=2,MROUND(EXP(0.3582*LN(C374)-0.2221)*T374,0.05),"Need a formula")))</f>
        <v>No</v>
      </c>
      <c r="W374" s="7" t="s">
        <v>45</v>
      </c>
      <c r="X374" s="7" t="s">
        <v>932</v>
      </c>
      <c r="Y374" s="4" t="s">
        <v>42</v>
      </c>
      <c r="Z374" s="4">
        <v>1</v>
      </c>
      <c r="AA374" s="4">
        <v>0</v>
      </c>
      <c r="AB374" s="4">
        <v>0</v>
      </c>
      <c r="AC374" s="4">
        <v>0</v>
      </c>
      <c r="AD374" s="4">
        <v>0</v>
      </c>
      <c r="AE374" s="4" t="s">
        <v>45</v>
      </c>
      <c r="AF374" s="4" t="s">
        <v>398</v>
      </c>
      <c r="AG374" s="49" t="s">
        <v>392</v>
      </c>
      <c r="AH374" s="4" t="s">
        <v>45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4" t="s">
        <v>40</v>
      </c>
      <c r="AO374" s="8">
        <f t="shared" si="227"/>
        <v>39125.534710795939</v>
      </c>
      <c r="AP374" s="8">
        <f>IFERROR(C374*_xlfn.XLOOKUP(E374,Groups!A:A,Groups!K:K),0.106*C374^0.94)</f>
        <v>18.310678295252455</v>
      </c>
      <c r="AQ374" s="8">
        <f>AP374*10000/(_xlfn.XLOOKUP(E374,Groups!A:A,Groups!J:J)*AO374)</f>
        <v>4.2935611106681719</v>
      </c>
      <c r="AR374" s="8">
        <f t="shared" si="228"/>
        <v>5571.9240187607156</v>
      </c>
      <c r="AS374" s="8">
        <f>IF(_xlfn.XLOOKUP(E374,Groups!A:A,Groups!M:M)=1,EXP(0.7444*LN('Base stats'!C374)+6.5696),EXP(0.7927*LN('Base stats'!C374)+4.28))</f>
        <v>5566.3925974472741</v>
      </c>
      <c r="AT374" s="8" t="str">
        <f>IF(_xlfn.XLOOKUP(E374,Groups!A:A,Groups!N:N)="No","No",
IF(_xlfn.XLOOKUP(E374,Groups!A:A,Groups!N:N)="Crocodile",EXP(0.8129*LN(C374)+4.6742)*S374,
IF(_xlfn.XLOOKUP(E374,Groups!A:A,Groups!N:N)="Felid",EXP(0.7843*LN(C374)+4.7073)*S374,
IF(_xlfn.XLOOKUP(E374,Groups!A:A,Groups!N:N)="Canid",EXP(0.8367*LN(C374)+4.8763)*S374,
IF(_xlfn.XLOOKUP(E374,Groups!A:A,Groups!N:N)="Pig",EXP(0.3439*LN(C374)+6.8519)*S374,
IF(_xlfn.XLOOKUP(E374,Groups!A:A,Groups!N:N)="Rodent",EXP(0.5625*LN(C374)+4.3006)*S374,
IF(_xlfn.XLOOKUP(E374,Groups!A:A,Groups!N:N)="Primate",EXP(0.7847*LN(C374)+3.4931)*S374,
IF(_xlfn.XLOOKUP(E374,Groups!A:A,Groups!N:N)="MiscCarnivora",EXP(0.7486*LN(C374)+4.2207)*S374,
IF(_xlfn.XLOOKUP(E374,Groups!A:A,Groups!N:N)="Lizard",EXP(0.7733*LN(C374)+5.5303)*S374,
IF(_xlfn.XLOOKUP(E374,Groups!A:A,Groups!N:N)="Snake",50*C374^(2/3)*S374,
IF(_xlfn.XLOOKUP(E374,Groups!A:A,Groups!N:N)="StrongBitingHerbivore",87.1133638856975*C374^(2/3)*S374,
IF(_xlfn.XLOOKUP(E374,Groups!A:A,Groups!N:N)="MiscEctotherms",59.4316884072269*C374^(2/3)*S374,
IF(_xlfn.XLOOKUP(E374,Groups!A:A,Groups!N:N)="StrongBeakBird",0.041*(C374*1000)^1.375*S374,
IF(_xlfn.XLOOKUP(E374,Groups!A:A,Groups!N:N)="Bird",0.118*(C374*1000)^0.692*S374,
IF(_xlfn.XLOOKUP(E374,Groups!A:A,Groups!N:N)="Insect",EXP(0.7444*LN(C374)+6.5696)*S374,
IF(_xlfn.XLOOKUP(E374,Groups!A:A,Groups!N:N)="Theropod",EXP(0.6966*LN(C374)+4.158)*S374,
"No"))))))))))))))))</f>
        <v>No</v>
      </c>
      <c r="AU374" s="8" t="str">
        <f>IF(_xlfn.XLOOKUP(E374,Groups!A:A,Groups!U:U)=3,AS374,IF(_xlfn.XLOOKUP(E374,Groups!A:A,Groups!U:U)=2,AR374,AT374))</f>
        <v>No</v>
      </c>
      <c r="AV374" s="46">
        <f>IFERROR(AVERAGE(_xlfn.XLOOKUP(B374,Animals!B:B,Animals!N:N),_xlfn.XLOOKUP(B374,Animals!B:B,Animals!O:O)),0)</f>
        <v>0</v>
      </c>
      <c r="AW374" s="8">
        <f>MROUND(40*Animals!AO374*_xlfn.XLOOKUP(AG374,Leathers!$A$2:$A$99,Leathers!$B$2:$B$99,0)+(140*_xlfn.XLOOKUP(B374,Animals!B:B,Animals!AO:AO)*2),5)</f>
        <v>650</v>
      </c>
      <c r="AX374" s="8">
        <f>IFERROR(ROUND(SQRT(V374-1)*IF(_xlfn.XLOOKUP(E374,Groups!A:A,Groups!BF:BF)=0,2,1)*IF(_xlfn.XLOOKUP('Base stats'!E374,Groups!A:A,Groups!O:O)=0,1,0.1),1),0)</f>
        <v>0</v>
      </c>
      <c r="AY374" s="8">
        <f t="shared" si="229"/>
        <v>3</v>
      </c>
      <c r="AZ374" s="8">
        <f t="shared" si="230"/>
        <v>0</v>
      </c>
      <c r="BA374" s="8">
        <f t="shared" si="231"/>
        <v>5.7</v>
      </c>
      <c r="BB374" s="8">
        <f>IF(_xlfn.XLOOKUP(E374,Groups!A:A,Groups!N:N)="Insect",BD374*2.5,IFERROR(AVERAGE(BD374,AT374/9.81/IF(OR(_xlfn.XLOOKUP(E374,Groups!A:A,Groups!N:N)="Pig",_xlfn.XLOOKUP(E374,Groups!A:A,Groups!N:N)="StrongBitingHerbivore"),20,25))*C374^-0.135,BD374))</f>
        <v>2.4432355745505534</v>
      </c>
      <c r="BC374" s="8" t="str">
        <f>IF(W374="No","No",IF(_xlfn.XLOOKUP(E374,Groups!A:A,Groups!U:U)=1,'Base stats'!BB374,IF(OR(_xlfn.XLOOKUP(E374,Groups!A:A,Groups!BD:BD)=1,_xlfn.XLOOKUP(E374,Groups!A:A,Groups!U:U)=2),BD374,IF(_xlfn.XLOOKUP(B374,Animals!B:B,Animals!AO:AO)&gt;4,AVERAGE(BD374,BF374),BF374))))</f>
        <v>No</v>
      </c>
      <c r="BD374" s="8">
        <f t="shared" si="232"/>
        <v>2.4432355745505534</v>
      </c>
      <c r="BE374" s="8">
        <f>IF(_xlfn.XLOOKUP(E374,Groups!A:A,Groups!BE:BE)=1,(0.048*C374^1.01)+(0.071*C374^1.03),0.071*C374^1.03)/IF(_xlfn.XLOOKUP(E374,Groups!A:A,Groups!M:M)=1,0.85,IF(OR(_xlfn.XLOOKUP(B374,Animals!B:B,Animals!AO:AO)&gt;4,_xlfn.XLOOKUP(E374,Groups!A:A,Groups!BC:BC)=1),1.7,1))*C374^-0.25</f>
        <v>8.1947027729928958</v>
      </c>
      <c r="BF374" s="8">
        <f>(0.048*C374^1.01)/IF(_xlfn.XLOOKUP(E374,Groups!A:A,Groups!M:M)=1,0.25,0.8)*C374^-0.25</f>
        <v>3.864664466630221</v>
      </c>
      <c r="BG374" s="8">
        <f>EXP(1.076*LN(AR374)-4.5397)*IF(_xlfn.XLOOKUP(E374,Groups!A:A,Groups!BC:BC)=1,1.25,IF(_xlfn.XLOOKUP(E374,Groups!A:A,Groups!BD:BD)=1,3.5,2.5))</f>
        <v>286.46721692323132</v>
      </c>
      <c r="BH374" s="8">
        <f>EXP(1.076*LN(AS374)-4.5397)*IF(_xlfn.XLOOKUP(E374,Groups!A:A,Groups!M:M)=1,0.8,IF(_xlfn.XLOOKUP(E374,Groups!A:A,Groups!BC:BC)=1,1.3,3))</f>
        <v>343.39347642432807</v>
      </c>
      <c r="BI374" s="8" t="str">
        <f>IF(W374="No","No",IF(_xlfn.XLOOKUP(E374,Groups!A:A,Groups!U:U)=1,'Base stats'!BJ374,IF(OR(_xlfn.XLOOKUP(E374,Groups!A:A,Groups!BD:BD)=1,_xlfn.XLOOKUP(E374,Groups!A:A,Groups!U:U)=2),BG374,BH374))*1.2)</f>
        <v>No</v>
      </c>
      <c r="BJ374" s="8" t="str">
        <f>IFERROR(EXP(1.076*LN(AT374)-4.5397)*IF(_xlfn.XLOOKUP(E374,Groups!A:A,Groups!N:N)="Insect",1,IF(OR(_xlfn.XLOOKUP(E374,Groups!A:A,Groups!N:N)="Pig",_xlfn.XLOOKUP(E374,Groups!A:A,Groups!N:N)="StrongBitingHerbivore"),3.5,3.75)),"No")</f>
        <v>No</v>
      </c>
      <c r="BK374" s="8">
        <f t="shared" si="233"/>
        <v>15</v>
      </c>
      <c r="BL374" s="8">
        <f t="shared" si="234"/>
        <v>9</v>
      </c>
      <c r="BM374" s="8" t="str">
        <f t="shared" si="235"/>
        <v>No</v>
      </c>
      <c r="BN374" s="8" t="str">
        <f t="shared" si="236"/>
        <v>No</v>
      </c>
      <c r="BO374" s="8">
        <f t="shared" si="237"/>
        <v>13</v>
      </c>
      <c r="BP374" s="8" cm="1">
        <f t="array" ref="BP374">IF(AND(_xlfn.XLOOKUP('Base stats'!E374,Groups!A:A,Groups!AD:AD=0),_xlfn.XLOOKUP('Base stats'!E374,Groups!A:A,Groups!P:P=0)),"No",IF(U374="No",AVERAGE(EXP(-0.57+0.99*LN(C374)),EXP(0.32+0.67*LN(C374)))/IF(_xlfn.XLOOKUP(E374,Groups!A:A,Groups!AD:AD)=1,10,2),(0.7354*C374^0.4078)*2/IF(_xlfn.XLOOKUP(E374,Groups!A:A,Groups!BK:BK)=1,1000,100)/IF(_xlfn.XLOOKUP(E374,Groups!A:A,Groups!AJ:AJ)="Photonozoa",3,1)))</f>
        <v>0.13746868096718345</v>
      </c>
      <c r="BQ374" s="8" t="str">
        <f>IF(W374="No","No",IF(_xlfn.XLOOKUP(E374,Groups!A:A,Groups!BD:BD)=1,(AO374*5%),EXP(0.7354*LN(C374)^0.4078)*2/IF(_xlfn.XLOOKUP(E374,Groups!A:A,Groups!BL:BL)=1,1000,100)/IF(_xlfn.XLOOKUP(E374,Groups!A:A,Groups!AJ:AJ)="Photonozoa",3,1)))</f>
        <v>No</v>
      </c>
      <c r="BR374" s="8" t="str">
        <f>IF(BJ374="No","No",IF(_xlfn.XLOOKUP(E374,Groups!A:A,Groups!BF:BF)=1,(0.0315*C374+2.1825)*2,(0.7354*C374^0.4078)*2)/IF(_xlfn.XLOOKUP(E374,Groups!A:A,Groups!BM:BM)=1,1000,100)/IF(_xlfn.XLOOKUP(E374,Groups!A:A,Groups!AJ:AJ)="Photonozoa",3,1))</f>
        <v>No</v>
      </c>
      <c r="BS374" s="8">
        <f t="shared" si="238"/>
        <v>0.14643491471271122</v>
      </c>
      <c r="BT374" s="8">
        <f t="shared" si="239"/>
        <v>2497.9760772295695</v>
      </c>
      <c r="BU374" s="8" t="str">
        <f t="shared" si="240"/>
        <v>No</v>
      </c>
      <c r="BV374" s="8" t="str">
        <f t="shared" si="241"/>
        <v>No</v>
      </c>
      <c r="BW374" s="4">
        <v>0</v>
      </c>
      <c r="BX374" s="4">
        <v>1</v>
      </c>
    </row>
    <row r="375" spans="1:76" s="16" customFormat="1" x14ac:dyDescent="0.25">
      <c r="A375" s="26" t="s">
        <v>2080</v>
      </c>
      <c r="B375" s="6" t="s">
        <v>2136</v>
      </c>
      <c r="C375" s="7">
        <v>575</v>
      </c>
      <c r="D375" s="7" t="s">
        <v>2137</v>
      </c>
      <c r="E375" s="7" t="str">
        <f>Groups!$A$28</f>
        <v>Lizard (MONITOR, SCAVENGER)</v>
      </c>
      <c r="F375" s="7" t="str">
        <f t="shared" ref="F375" si="242">"Lay eggs"</f>
        <v>Lay eggs</v>
      </c>
      <c r="G375" s="7">
        <v>10</v>
      </c>
      <c r="H375" s="7">
        <v>70</v>
      </c>
      <c r="I375" s="4">
        <v>0</v>
      </c>
      <c r="J375" s="7" t="str">
        <f t="shared" ref="J375" si="243">"Lay eggs"</f>
        <v>Lay eggs</v>
      </c>
      <c r="K375" s="7" t="s">
        <v>528</v>
      </c>
      <c r="L375" s="7">
        <v>20</v>
      </c>
      <c r="M375" s="7" t="s">
        <v>637</v>
      </c>
      <c r="N375" s="4">
        <v>0</v>
      </c>
      <c r="O375" s="4">
        <v>0</v>
      </c>
      <c r="P375" s="4">
        <v>0</v>
      </c>
      <c r="Q375" s="4">
        <v>0</v>
      </c>
      <c r="R375" s="4" t="s">
        <v>40</v>
      </c>
      <c r="S375" s="7">
        <f>_xlfn.XLOOKUP(B375,[1]TeethAdjusters!$A:$A,[1]BiteAdjusters!$C:$C,1)</f>
        <v>1</v>
      </c>
      <c r="T375" s="7">
        <f>_xlfn.XLOOKUP(B375,[1]TeethAdjusters!$A:$A,[1]TeethAdjusters!$B:$B,1)</f>
        <v>1</v>
      </c>
      <c r="U375" s="7">
        <v>5</v>
      </c>
      <c r="V375" s="7">
        <v>5</v>
      </c>
      <c r="W375" s="7" t="s">
        <v>45</v>
      </c>
      <c r="X375" s="7" t="s">
        <v>932</v>
      </c>
      <c r="Y375" s="4" t="s">
        <v>56</v>
      </c>
      <c r="Z375" s="4">
        <v>1</v>
      </c>
      <c r="AA375" s="4">
        <v>0</v>
      </c>
      <c r="AB375" s="4">
        <v>0</v>
      </c>
      <c r="AC375" s="4">
        <v>0</v>
      </c>
      <c r="AD375" s="4">
        <v>0</v>
      </c>
      <c r="AE375" s="4" t="s">
        <v>45</v>
      </c>
      <c r="AF375" s="4" t="s">
        <v>45</v>
      </c>
      <c r="AG375" s="49" t="s">
        <v>386</v>
      </c>
      <c r="AH375" s="4" t="str">
        <f>Animals!$C$32</f>
        <v>&lt;li&gt;Iguana&lt;/li&gt;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4" t="s">
        <v>40</v>
      </c>
      <c r="AO375" s="8">
        <f t="shared" ref="AO375:AO377" si="244">(0.111*C375^0.65)*10000</f>
        <v>69041.000746702673</v>
      </c>
      <c r="AP375" s="8">
        <f>IFERROR(C375*_xlfn.XLOOKUP(E375,Groups!A:A,Groups!K:K),0.106*C375^0.94)</f>
        <v>41.628775774307421</v>
      </c>
      <c r="AQ375" s="8">
        <f>AP375*10000/(_xlfn.XLOOKUP(E375,Groups!A:A,Groups!J:J)*AO375)</f>
        <v>5.5317183984250793</v>
      </c>
      <c r="AR375" s="8">
        <f t="shared" ref="AR375:AR377" si="245">EXP(0.8447*LN(C375)+3.996)</f>
        <v>11655.534067548786</v>
      </c>
      <c r="AS375" s="8">
        <f>IF(_xlfn.XLOOKUP(E375,Groups!A:A,Groups!M:M)=1,EXP(0.7444*LN('Base stats'!C375)+6.5696),EXP(0.7927*LN('Base stats'!C375)+4.28))</f>
        <v>11126.769286076038</v>
      </c>
      <c r="AT375" s="8">
        <f>IF(_xlfn.XLOOKUP(E375,Groups!A:A,Groups!N:N)="No","No",
IF(_xlfn.XLOOKUP(E375,Groups!A:A,Groups!N:N)="Crocodile",EXP(0.8129*LN(C375)+4.6742)*S375,
IF(_xlfn.XLOOKUP(E375,Groups!A:A,Groups!N:N)="Felid",EXP(0.7843*LN(C375)+4.7073)*S375,
IF(_xlfn.XLOOKUP(E375,Groups!A:A,Groups!N:N)="Canid",EXP(0.8367*LN(C375)+4.8763)*S375,
IF(_xlfn.XLOOKUP(E375,Groups!A:A,Groups!N:N)="Pig",EXP(0.3439*LN(C375)+6.8519)*S375,
IF(_xlfn.XLOOKUP(E375,Groups!A:A,Groups!N:N)="Rodent",EXP(0.5625*LN(C375)+4.3006)*S375,
IF(_xlfn.XLOOKUP(E375,Groups!A:A,Groups!N:N)="Primate",EXP(0.7847*LN(C375)+3.4931)*S375,
IF(_xlfn.XLOOKUP(E375,Groups!A:A,Groups!N:N)="MiscCarnivora",EXP(0.7486*LN(C375)+4.2207)*S375,
IF(_xlfn.XLOOKUP(E375,Groups!A:A,Groups!N:N)="Lizard",EXP(0.7733*LN(C375)+5.5303)*S375,
IF(_xlfn.XLOOKUP(E375,Groups!A:A,Groups!N:N)="Snake",50*C375^(2/3)*S375,
IF(_xlfn.XLOOKUP(E375,Groups!A:A,Groups!N:N)="StrongBitingHerbivore",87.1133638856975*C375^(2/3)*S375,
IF(_xlfn.XLOOKUP(E375,Groups!A:A,Groups!N:N)="MiscEctotherms",59.4316884072269*C375^(2/3)*S375,
IF(_xlfn.XLOOKUP(E375,Groups!A:A,Groups!N:N)="StrongBeakBird",0.041*(C375*1000)^1.375*S375,
IF(_xlfn.XLOOKUP(E375,Groups!A:A,Groups!N:N)="Bird",0.118*(C375*1000)^0.692*S375,
IF(_xlfn.XLOOKUP(E375,Groups!A:A,Groups!N:N)="Insect",EXP(0.7444*LN(C375)+6.5696)*S375,
IF(_xlfn.XLOOKUP(E375,Groups!A:A,Groups!N:N)="Theropod",EXP(0.6966*LN(C375)+4.158)*S375,
"No"))))))))))))))))</f>
        <v>34342.342689361256</v>
      </c>
      <c r="AU375" s="8">
        <f>IF(_xlfn.XLOOKUP(E375,Groups!A:A,Groups!U:U)=3,AS375,IF(_xlfn.XLOOKUP(E375,Groups!A:A,Groups!U:U)=2,AR375,AT375))</f>
        <v>34342.342689361256</v>
      </c>
      <c r="AV375" s="46">
        <f>IFERROR(AVERAGE(_xlfn.XLOOKUP(B375,Animals!B:B,Animals!N:N),_xlfn.XLOOKUP(B375,Animals!B:B,Animals!O:O)),0)</f>
        <v>0</v>
      </c>
      <c r="AW375" s="8">
        <f>MROUND(40*Animals!AO375*_xlfn.XLOOKUP(AG375,Leathers!$A$2:$A$99,Leathers!$B$2:$B$99,0)+(140*_xlfn.XLOOKUP(B375,Animals!B:B,Animals!AO:AO)*2),5)</f>
        <v>1810</v>
      </c>
      <c r="AX375" s="8">
        <f>IFERROR(ROUND(SQRT(V375-1)*IF(_xlfn.XLOOKUP(E375,Groups!A:A,Groups!BF:BF)=0,2,1)*IF(_xlfn.XLOOKUP('Base stats'!E375,Groups!A:A,Groups!O:O)=0,1,0.1),1),0)</f>
        <v>4</v>
      </c>
      <c r="AY375" s="8">
        <f t="shared" ref="AY375:AY377" si="246">IFERROR(ROUND(SQRT(U375-1),1),0)</f>
        <v>2</v>
      </c>
      <c r="AZ375" s="8">
        <f t="shared" ref="AZ375:AZ377" si="247">IFERROR(ROUND(SQRT(W375),1),0)</f>
        <v>0</v>
      </c>
      <c r="BA375" s="8">
        <f t="shared" ref="BA375:BA377" si="248">ROUND(
  EXP(0.3582*LN(C375)-0.2221) *
  (0.75 + 0.25*(C375^4/(C375^4+10^4))),
1)</f>
        <v>7.8</v>
      </c>
      <c r="BB375" s="8">
        <f>IF(_xlfn.XLOOKUP(E375,Groups!A:A,Groups!N:N)="Insect",BD375*2.5,IFERROR(AVERAGE(BD375,AT375/9.81/IF(OR(_xlfn.XLOOKUP(E375,Groups!A:A,Groups!N:N)="Pig",_xlfn.XLOOKUP(E375,Groups!A:A,Groups!N:N)="StrongBitingHerbivore"),20,25))*C375^-0.135,BD375))</f>
        <v>31.324741828482708</v>
      </c>
      <c r="BC375" s="8" t="str">
        <f>IF(W375="No","No",IF(_xlfn.XLOOKUP(E375,Groups!A:A,Groups!U:U)=1,'Base stats'!BB375,IF(OR(_xlfn.XLOOKUP(E375,Groups!A:A,Groups!BD:BD)=1,_xlfn.XLOOKUP(E375,Groups!A:A,Groups!U:U)=2),BD375,IF(_xlfn.XLOOKUP(B375,Animals!B:B,Animals!AO:AO)&gt;4,AVERAGE(BD375,BF375),BF375))))</f>
        <v>No</v>
      </c>
      <c r="BD375" s="8">
        <f t="shared" ref="BD375:BD377" si="249">(0.0392*C375^IF(OR(Y375="Herbivore",Y375="Dendrovore",Y375="OmnivoreRough"),0.889,0.966))*C375^-0.135</f>
        <v>7.701406478438459</v>
      </c>
      <c r="BE375" s="8">
        <f>IF(_xlfn.XLOOKUP(E375,Groups!A:A,Groups!BE:BE)=1,(0.048*C375^1.01)+(0.071*C375^1.03),0.071*C375^1.03)/IF(_xlfn.XLOOKUP(E375,Groups!A:A,Groups!M:M)=1,0.85,IF(OR(_xlfn.XLOOKUP(B375,Animals!B:B,Animals!AO:AO)&gt;4,_xlfn.XLOOKUP(E375,Groups!A:A,Groups!BC:BC)=1),1.7,1))*C375^-0.25</f>
        <v>10.087865136633644</v>
      </c>
      <c r="BF375" s="8">
        <f>(0.048*C375^1.01)/IF(_xlfn.XLOOKUP(E375,Groups!A:A,Groups!M:M)=1,0.25,0.8)*C375^-0.25</f>
        <v>7.5075600104696365</v>
      </c>
      <c r="BG375" s="8">
        <f>EXP(1.076*LN(AR375)-4.5397)*IF(_xlfn.XLOOKUP(E375,Groups!A:A,Groups!BC:BC)=1,1.25,IF(_xlfn.XLOOKUP(E375,Groups!A:A,Groups!BD:BD)=1,3.5,2.5))</f>
        <v>633.81421151570225</v>
      </c>
      <c r="BH375" s="8">
        <f>EXP(1.076*LN(AS375)-4.5397)*IF(_xlfn.XLOOKUP(E375,Groups!A:A,Groups!M:M)=1,0.8,IF(_xlfn.XLOOKUP(E375,Groups!A:A,Groups!BC:BC)=1,1.3,3))</f>
        <v>723.51531515111265</v>
      </c>
      <c r="BI375" s="8" t="str">
        <f>IF(W375="No","No",IF(_xlfn.XLOOKUP(E375,Groups!A:A,Groups!U:U)=1,'Base stats'!BJ375,IF(OR(_xlfn.XLOOKUP(E375,Groups!A:A,Groups!BD:BD)=1,_xlfn.XLOOKUP(E375,Groups!A:A,Groups!U:U)=2),BG375,BH375))*1.2)</f>
        <v>No</v>
      </c>
      <c r="BJ375" s="8">
        <f>IFERROR(EXP(1.076*LN(AT375)-4.5397)*IF(_xlfn.XLOOKUP(E375,Groups!A:A,Groups!N:N)="Insect",1,IF(OR(_xlfn.XLOOKUP(E375,Groups!A:A,Groups!N:N)="Pig",_xlfn.XLOOKUP(E375,Groups!A:A,Groups!N:N)="StrongBitingHerbivore"),3.5,3.75)),"No")</f>
        <v>3041.0082582944692</v>
      </c>
      <c r="BK375" s="8">
        <f t="shared" ref="BK375:BK377" si="250">ROUNDDOWN(SQRT((2*BG375)/BD375),0)</f>
        <v>12</v>
      </c>
      <c r="BL375" s="8">
        <f t="shared" ref="BL375:BL377" si="251">ROUNDDOWN(SQRT((2*BH375)/BE375),0)</f>
        <v>11</v>
      </c>
      <c r="BM375" s="8" t="str">
        <f t="shared" ref="BM375:BM377" si="252">IF(W375="No","No",ROUNDDOWN(SQRT((2*BI375)/BC375),0))</f>
        <v>No</v>
      </c>
      <c r="BN375" s="8">
        <f t="shared" ref="BN375:BN377" si="253">IF(V375="No","No",ROUNDDOWN(SQRT((2*BJ375)/BB375),0))</f>
        <v>13</v>
      </c>
      <c r="BO375" s="8">
        <f t="shared" ref="BO375:BO377" si="254">ROUNDDOWN(SQRT((2*BH375)/BF375),0)</f>
        <v>13</v>
      </c>
      <c r="BP375" s="8" cm="1">
        <f t="array" ref="BP375">IF(AND(_xlfn.XLOOKUP('Base stats'!E375,Groups!A:A,Groups!AD:AD=0),_xlfn.XLOOKUP('Base stats'!E375,Groups!A:A,Groups!P:P=0)),"No",IF(U375="No",AVERAGE(EXP(-0.57+0.99*LN(C375)),EXP(0.32+0.67*LN(C375)))/IF(_xlfn.XLOOKUP(E375,Groups!A:A,Groups!AD:AD)=1,10,2),(0.7354*C375^0.4078)*2/IF(_xlfn.XLOOKUP(E375,Groups!A:A,Groups!BK:BK)=1,1000,100)/IF(_xlfn.XLOOKUP(E375,Groups!A:A,Groups!AJ:AJ)="Photonozoa",3,1)))</f>
        <v>0.19631169291725667</v>
      </c>
      <c r="BQ375" s="8" t="str">
        <f>IF(W375="No","No",IF(_xlfn.XLOOKUP(E375,Groups!A:A,Groups!BD:BD)=1,(AO375*5%),EXP(0.7354*LN(C375)^0.4078)*2/IF(_xlfn.XLOOKUP(E375,Groups!A:A,Groups!BL:BL)=1,1000,100)/IF(_xlfn.XLOOKUP(E375,Groups!A:A,Groups!AJ:AJ)="Photonozoa",3,1)))</f>
        <v>No</v>
      </c>
      <c r="BR375" s="8">
        <f>IF(BJ375="No","No",IF(_xlfn.XLOOKUP(E375,Groups!A:A,Groups!BF:BF)=1,(0.0315*C375+2.1825)*2,(0.7354*C375^0.4078)*2)/IF(_xlfn.XLOOKUP(E375,Groups!A:A,Groups!BM:BM)=1,1000,100)/IF(_xlfn.XLOOKUP(E375,Groups!A:A,Groups!AJ:AJ)="Photonozoa",3,1))</f>
        <v>0.19631169291725667</v>
      </c>
      <c r="BS375" s="8">
        <f t="shared" ref="BS375:BS377" si="255">BG375/(AO375*5%)</f>
        <v>0.18360516350017494</v>
      </c>
      <c r="BT375" s="8">
        <f t="shared" ref="BT375:BT377" si="256">IF(BP375="No","No",BH375/BP375)</f>
        <v>3685.5436596742447</v>
      </c>
      <c r="BU375" s="8" t="str">
        <f t="shared" ref="BU375:BU377" si="257">IF(W375="No","No",BI375/BQ375)</f>
        <v>No</v>
      </c>
      <c r="BV375" s="8">
        <f t="shared" ref="BV375:BV377" si="258">IF(BJ375="No","No",BJ375/BR375)</f>
        <v>15490.713839323989</v>
      </c>
      <c r="BW375" s="4">
        <v>0</v>
      </c>
      <c r="BX375" s="4">
        <v>1</v>
      </c>
    </row>
    <row r="376" spans="1:76" s="16" customFormat="1" x14ac:dyDescent="0.25">
      <c r="A376" s="26" t="s">
        <v>2081</v>
      </c>
      <c r="B376" s="6" t="s">
        <v>2148</v>
      </c>
      <c r="C376" s="7">
        <v>1500</v>
      </c>
      <c r="D376" s="7" t="s">
        <v>528</v>
      </c>
      <c r="E376" s="7" t="str">
        <f>Groups!$A$42</f>
        <v>Pinniped (TUSKS)</v>
      </c>
      <c r="F376" s="7">
        <v>335</v>
      </c>
      <c r="G376" s="7">
        <v>5</v>
      </c>
      <c r="H376" s="7">
        <v>40</v>
      </c>
      <c r="I376" s="4">
        <v>0</v>
      </c>
      <c r="J376" s="7">
        <v>1</v>
      </c>
      <c r="K376" s="7" t="s">
        <v>528</v>
      </c>
      <c r="L376" s="7">
        <v>12</v>
      </c>
      <c r="M376" s="7" t="s">
        <v>528</v>
      </c>
      <c r="N376" s="4">
        <v>0</v>
      </c>
      <c r="O376" s="4">
        <v>0</v>
      </c>
      <c r="P376" s="4">
        <v>0</v>
      </c>
      <c r="Q376" s="4">
        <v>0</v>
      </c>
      <c r="R376" s="4" t="s">
        <v>40</v>
      </c>
      <c r="S376" s="7">
        <f>_xlfn.XLOOKUP(B376,[1]TeethAdjusters!$A:$A,[1]BiteAdjusters!$C:$C,1)</f>
        <v>1</v>
      </c>
      <c r="T376" s="7">
        <f>_xlfn.XLOOKUP(B376,[1]TeethAdjusters!$A:$A,[1]TeethAdjusters!$B:$B,1)</f>
        <v>1</v>
      </c>
      <c r="U376" s="7" t="s">
        <v>45</v>
      </c>
      <c r="V376" s="7" t="str">
        <f>IF(AT376="No","No",IF(_xlfn.XLOOKUP(E376,Groups!A:A,Groups!AM:AM)=1,MROUND(EXP(0.3582*LN(C376)-0.2221)*T376,0.05),IF(_xlfn.XLOOKUP(E376,Groups!A:A,Groups!AM:AM)=2,MROUND(EXP(0.3582*LN(C376)-0.2221)*T376,0.05),"Need a formula")))</f>
        <v>No</v>
      </c>
      <c r="W376" s="7">
        <v>25</v>
      </c>
      <c r="X376" s="7" t="s">
        <v>932</v>
      </c>
      <c r="Y376" s="4" t="s">
        <v>56</v>
      </c>
      <c r="Z376" s="4">
        <v>1</v>
      </c>
      <c r="AA376" s="4">
        <v>0</v>
      </c>
      <c r="AB376" s="4">
        <v>0</v>
      </c>
      <c r="AC376" s="4">
        <v>0</v>
      </c>
      <c r="AD376" s="4">
        <v>0</v>
      </c>
      <c r="AE376" s="4" t="s">
        <v>45</v>
      </c>
      <c r="AF376" s="4" t="s">
        <v>401</v>
      </c>
      <c r="AG376" s="49" t="s">
        <v>394</v>
      </c>
      <c r="AH376" s="4" t="s">
        <v>45</v>
      </c>
      <c r="AI376" s="4">
        <v>0</v>
      </c>
      <c r="AJ376" s="4">
        <v>1</v>
      </c>
      <c r="AK376" s="4">
        <v>0</v>
      </c>
      <c r="AL376" s="4">
        <v>0</v>
      </c>
      <c r="AM376" s="4">
        <v>0</v>
      </c>
      <c r="AN376" s="44">
        <v>13</v>
      </c>
      <c r="AO376" s="8">
        <f t="shared" si="244"/>
        <v>128760.39407088321</v>
      </c>
      <c r="AP376" s="8">
        <f>IFERROR(C376*_xlfn.XLOOKUP(E376,Groups!A:A,Groups!K:K),0.106*C376^0.94)</f>
        <v>187.125</v>
      </c>
      <c r="AQ376" s="8">
        <f>AP376*10000/(_xlfn.XLOOKUP(E376,Groups!A:A,Groups!J:J)*AO376)</f>
        <v>13.332850770253</v>
      </c>
      <c r="AR376" s="8">
        <f t="shared" si="245"/>
        <v>26199.019384472653</v>
      </c>
      <c r="AS376" s="8">
        <f>IF(_xlfn.XLOOKUP(E376,Groups!A:A,Groups!M:M)=1,EXP(0.7444*LN('Base stats'!C376)+6.5696),EXP(0.7927*LN('Base stats'!C376)+4.28))</f>
        <v>23794.025550249138</v>
      </c>
      <c r="AT376" s="8" t="str">
        <f>IF(_xlfn.XLOOKUP(E376,Groups!A:A,Groups!N:N)="No","No",
IF(_xlfn.XLOOKUP(E376,Groups!A:A,Groups!N:N)="Crocodile",EXP(0.8129*LN(C376)+4.6742)*S376,
IF(_xlfn.XLOOKUP(E376,Groups!A:A,Groups!N:N)="Felid",EXP(0.7843*LN(C376)+4.7073)*S376,
IF(_xlfn.XLOOKUP(E376,Groups!A:A,Groups!N:N)="Canid",EXP(0.8367*LN(C376)+4.8763)*S376,
IF(_xlfn.XLOOKUP(E376,Groups!A:A,Groups!N:N)="Pig",EXP(0.3439*LN(C376)+6.8519)*S376,
IF(_xlfn.XLOOKUP(E376,Groups!A:A,Groups!N:N)="Rodent",EXP(0.5625*LN(C376)+4.3006)*S376,
IF(_xlfn.XLOOKUP(E376,Groups!A:A,Groups!N:N)="Primate",EXP(0.7847*LN(C376)+3.4931)*S376,
IF(_xlfn.XLOOKUP(E376,Groups!A:A,Groups!N:N)="MiscCarnivora",EXP(0.7486*LN(C376)+4.2207)*S376,
IF(_xlfn.XLOOKUP(E376,Groups!A:A,Groups!N:N)="Lizard",EXP(0.7733*LN(C376)+5.5303)*S376,
IF(_xlfn.XLOOKUP(E376,Groups!A:A,Groups!N:N)="Snake",50*C376^(2/3)*S376,
IF(_xlfn.XLOOKUP(E376,Groups!A:A,Groups!N:N)="StrongBitingHerbivore",87.1133638856975*C376^(2/3)*S376,
IF(_xlfn.XLOOKUP(E376,Groups!A:A,Groups!N:N)="MiscEctotherms",59.4316884072269*C376^(2/3)*S376,
IF(_xlfn.XLOOKUP(E376,Groups!A:A,Groups!N:N)="StrongBeakBird",0.041*(C376*1000)^1.375*S376,
IF(_xlfn.XLOOKUP(E376,Groups!A:A,Groups!N:N)="Bird",0.118*(C376*1000)^0.692*S376,
IF(_xlfn.XLOOKUP(E376,Groups!A:A,Groups!N:N)="Insect",EXP(0.7444*LN(C376)+6.5696)*S376,
IF(_xlfn.XLOOKUP(E376,Groups!A:A,Groups!N:N)="Theropod",EXP(0.6966*LN(C376)+4.158)*S376,
"No"))))))))))))))))</f>
        <v>No</v>
      </c>
      <c r="AU376" s="8">
        <f>IF(_xlfn.XLOOKUP(E376,Groups!A:A,Groups!U:U)=3,AS376,IF(_xlfn.XLOOKUP(E376,Groups!A:A,Groups!U:U)=2,AR376,AT376))</f>
        <v>23794.025550249138</v>
      </c>
      <c r="AV376" s="46">
        <f>IFERROR(AVERAGE(_xlfn.XLOOKUP(B376,Animals!B:B,Animals!N:N),_xlfn.XLOOKUP(B376,Animals!B:B,Animals!O:O)),0)</f>
        <v>0</v>
      </c>
      <c r="AW376" s="8">
        <f>MROUND(40*Animals!AO376*_xlfn.XLOOKUP(AG376,Leathers!$A$2:$A$99,Leathers!$B$2:$B$99,0)+(140*_xlfn.XLOOKUP(B376,Animals!B:B,Animals!AO:AO)*2),5)</f>
        <v>1530</v>
      </c>
      <c r="AX376" s="8">
        <f>IFERROR(ROUND(SQRT(V376-1)*IF(_xlfn.XLOOKUP(E376,Groups!A:A,Groups!BF:BF)=0,2,1)*IF(_xlfn.XLOOKUP('Base stats'!E376,Groups!A:A,Groups!O:O)=0,1,0.1),1),0)</f>
        <v>0</v>
      </c>
      <c r="AY376" s="8">
        <f t="shared" si="246"/>
        <v>0</v>
      </c>
      <c r="AZ376" s="8">
        <f t="shared" si="247"/>
        <v>5</v>
      </c>
      <c r="BA376" s="8">
        <f t="shared" si="248"/>
        <v>11</v>
      </c>
      <c r="BB376" s="8">
        <f>IF(_xlfn.XLOOKUP(E376,Groups!A:A,Groups!N:N)="Insect",BD376*2.5,IFERROR(AVERAGE(BD376,AT376/9.81/IF(OR(_xlfn.XLOOKUP(E376,Groups!A:A,Groups!N:N)="Pig",_xlfn.XLOOKUP(E376,Groups!A:A,Groups!N:N)="StrongBitingHerbivore"),20,25))*C376^-0.135,BD376))</f>
        <v>17.08511487854344</v>
      </c>
      <c r="BC376" s="8">
        <f>IF(W376="No","No",IF(_xlfn.XLOOKUP(E376,Groups!A:A,Groups!U:U)=1,'Base stats'!BB376,IF(OR(_xlfn.XLOOKUP(E376,Groups!A:A,Groups!BD:BD)=1,_xlfn.XLOOKUP(E376,Groups!A:A,Groups!U:U)=2),BD376,IF(_xlfn.XLOOKUP(B376,Animals!B:B,Animals!AO:AO)&gt;4,AVERAGE(BD376,BF376),BF376))))</f>
        <v>15.558961539689577</v>
      </c>
      <c r="BD376" s="8">
        <f t="shared" si="249"/>
        <v>17.08511487854344</v>
      </c>
      <c r="BE376" s="8">
        <f>IF(_xlfn.XLOOKUP(E376,Groups!A:A,Groups!BE:BE)=1,(0.048*C376^1.01)+(0.071*C376^1.03),0.071*C376^1.03)/IF(_xlfn.XLOOKUP(E376,Groups!A:A,Groups!M:M)=1,0.85,IF(OR(_xlfn.XLOOKUP(B376,Animals!B:B,Animals!AO:AO)&gt;4,_xlfn.XLOOKUP(E376,Groups!A:A,Groups!BC:BC)=1),1.7,1))*C376^-0.25</f>
        <v>21.311279786591054</v>
      </c>
      <c r="BF376" s="8">
        <f>(0.048*C376^1.01)/IF(_xlfn.XLOOKUP(E376,Groups!A:A,Groups!M:M)=1,0.25,0.8)*C376^-0.25</f>
        <v>15.558961539689577</v>
      </c>
      <c r="BG376" s="8">
        <f>EXP(1.076*LN(AR376)-4.5397)*IF(_xlfn.XLOOKUP(E376,Groups!A:A,Groups!BC:BC)=1,1.25,IF(_xlfn.XLOOKUP(E376,Groups!A:A,Groups!BD:BD)=1,3.5,2.5))</f>
        <v>1515.1235483484809</v>
      </c>
      <c r="BH376" s="8">
        <f>EXP(1.076*LN(AS376)-4.5397)*IF(_xlfn.XLOOKUP(E376,Groups!A:A,Groups!M:M)=1,0.8,IF(_xlfn.XLOOKUP(E376,Groups!A:A,Groups!BC:BC)=1,1.3,3))</f>
        <v>1639.2080607108026</v>
      </c>
      <c r="BI376" s="8">
        <f>IF(W376="No","No",IF(_xlfn.XLOOKUP(E376,Groups!A:A,Groups!U:U)=1,'Base stats'!BJ376,IF(OR(_xlfn.XLOOKUP(E376,Groups!A:A,Groups!BD:BD)=1,_xlfn.XLOOKUP(E376,Groups!A:A,Groups!U:U)=2),BG376,BH376))*1.2)</f>
        <v>1967.0496728529629</v>
      </c>
      <c r="BJ376" s="8" t="str">
        <f>IFERROR(EXP(1.076*LN(AT376)-4.5397)*IF(_xlfn.XLOOKUP(E376,Groups!A:A,Groups!N:N)="Insect",1,IF(OR(_xlfn.XLOOKUP(E376,Groups!A:A,Groups!N:N)="Pig",_xlfn.XLOOKUP(E376,Groups!A:A,Groups!N:N)="StrongBitingHerbivore"),3.5,3.75)),"No")</f>
        <v>No</v>
      </c>
      <c r="BK376" s="8">
        <f t="shared" si="250"/>
        <v>13</v>
      </c>
      <c r="BL376" s="8">
        <f t="shared" si="251"/>
        <v>12</v>
      </c>
      <c r="BM376" s="8">
        <f t="shared" si="252"/>
        <v>15</v>
      </c>
      <c r="BN376" s="8" t="str">
        <f t="shared" si="253"/>
        <v>No</v>
      </c>
      <c r="BO376" s="8">
        <f t="shared" si="254"/>
        <v>14</v>
      </c>
      <c r="BP376" s="8" t="str" cm="1">
        <f t="array" ref="BP376">IF(AND(_xlfn.XLOOKUP('Base stats'!E376,Groups!A:A,Groups!AD:AD=0),_xlfn.XLOOKUP('Base stats'!E376,Groups!A:A,Groups!P:P=0)),"No",IF(U376="No",AVERAGE(EXP(-0.57+0.99*LN(C376)),EXP(0.32+0.67*LN(C376)))/IF(_xlfn.XLOOKUP(E376,Groups!A:A,Groups!AD:AD)=1,10,2),(0.7354*C376^0.4078)*2/IF(_xlfn.XLOOKUP(E376,Groups!A:A,Groups!BK:BK)=1,1000,100)/IF(_xlfn.XLOOKUP(E376,Groups!A:A,Groups!AJ:AJ)="Photonozoa",3,1)))</f>
        <v>No</v>
      </c>
      <c r="BQ376" s="8">
        <f>IF(W376="No","No",IF(_xlfn.XLOOKUP(E376,Groups!A:A,Groups!BD:BD)=1,(AO376*5%),EXP(0.7354*LN(C376)^0.4078)*2/IF(_xlfn.XLOOKUP(E376,Groups!A:A,Groups!BL:BL)=1,1000,100)/IF(_xlfn.XLOOKUP(E376,Groups!A:A,Groups!AJ:AJ)="Photonozoa",3,1)))</f>
        <v>0.10470514239782196</v>
      </c>
      <c r="BR376" s="8" t="str">
        <f>IF(BJ376="No","No",IF(_xlfn.XLOOKUP(E376,Groups!A:A,Groups!BF:BF)=1,(0.0315*C376+2.1825)*2,(0.7354*C376^0.4078)*2)/IF(_xlfn.XLOOKUP(E376,Groups!A:A,Groups!BM:BM)=1,1000,100)/IF(_xlfn.XLOOKUP(E376,Groups!A:A,Groups!AJ:AJ)="Photonozoa",3,1))</f>
        <v>No</v>
      </c>
      <c r="BS376" s="8">
        <f t="shared" si="255"/>
        <v>0.23533999865119987</v>
      </c>
      <c r="BT376" s="8" t="str">
        <f t="shared" si="256"/>
        <v>No</v>
      </c>
      <c r="BU376" s="8">
        <f t="shared" si="257"/>
        <v>18786.562224224443</v>
      </c>
      <c r="BV376" s="8" t="str">
        <f t="shared" si="258"/>
        <v>No</v>
      </c>
      <c r="BW376" s="4">
        <v>0</v>
      </c>
      <c r="BX376" s="4">
        <v>1</v>
      </c>
    </row>
    <row r="377" spans="1:76" s="16" customFormat="1" x14ac:dyDescent="0.25">
      <c r="A377" s="26" t="s">
        <v>2082</v>
      </c>
      <c r="B377" s="6" t="s">
        <v>2149</v>
      </c>
      <c r="C377" s="7">
        <v>2786</v>
      </c>
      <c r="D377" s="7" t="s">
        <v>2150</v>
      </c>
      <c r="E377" s="7" t="str">
        <f>Groups!$A$30</f>
        <v>Marsupial (HERBIVOROUS, NO CLAWS)</v>
      </c>
      <c r="F377" s="7">
        <v>56</v>
      </c>
      <c r="G377" s="7">
        <v>4.5</v>
      </c>
      <c r="H377" s="7">
        <v>50</v>
      </c>
      <c r="I377" s="4">
        <v>0</v>
      </c>
      <c r="J377" s="7">
        <v>1</v>
      </c>
      <c r="K377" s="7" t="s">
        <v>528</v>
      </c>
      <c r="L377" s="7">
        <f>7.5*3.6</f>
        <v>27</v>
      </c>
      <c r="M377" s="7" t="s">
        <v>528</v>
      </c>
      <c r="N377" s="4">
        <v>0</v>
      </c>
      <c r="O377" s="4">
        <v>0</v>
      </c>
      <c r="P377" s="4">
        <v>0</v>
      </c>
      <c r="Q377" s="4">
        <v>0</v>
      </c>
      <c r="R377" s="4" t="s">
        <v>40</v>
      </c>
      <c r="S377" s="7">
        <f>_xlfn.XLOOKUP(B377,[1]TeethAdjusters!$A:$A,[1]BiteAdjusters!$C:$C,1)</f>
        <v>1</v>
      </c>
      <c r="T377" s="7">
        <f>_xlfn.XLOOKUP(B377,[1]TeethAdjusters!$A:$A,[1]TeethAdjusters!$B:$B,1)</f>
        <v>1</v>
      </c>
      <c r="U377" s="7" t="s">
        <v>45</v>
      </c>
      <c r="V377" s="7">
        <v>10</v>
      </c>
      <c r="W377" s="7" t="s">
        <v>45</v>
      </c>
      <c r="X377" s="7" t="s">
        <v>932</v>
      </c>
      <c r="Y377" s="4" t="s">
        <v>42</v>
      </c>
      <c r="Z377" s="4">
        <v>1</v>
      </c>
      <c r="AA377" s="4">
        <v>0</v>
      </c>
      <c r="AB377" s="4">
        <v>0</v>
      </c>
      <c r="AC377" s="4">
        <v>0</v>
      </c>
      <c r="AD377" s="4">
        <v>0</v>
      </c>
      <c r="AE377" s="4" t="s">
        <v>45</v>
      </c>
      <c r="AF377" s="4" t="s">
        <v>45</v>
      </c>
      <c r="AG377" s="49" t="s">
        <v>392</v>
      </c>
      <c r="AH377" s="4" t="s">
        <v>45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4" t="s">
        <v>40</v>
      </c>
      <c r="AO377" s="8">
        <f t="shared" si="244"/>
        <v>192557.61653985715</v>
      </c>
      <c r="AP377" s="8">
        <f>IFERROR(C377*_xlfn.XLOOKUP(E377,Groups!A:A,Groups!K:K),0.106*C377^0.94)</f>
        <v>183.47973771191747</v>
      </c>
      <c r="AQ377" s="8">
        <f>AP377*10000/(_xlfn.XLOOKUP(E377,Groups!A:A,Groups!J:J)*AO377)</f>
        <v>8.7418009021339902</v>
      </c>
      <c r="AR377" s="8">
        <f t="shared" si="245"/>
        <v>44199.391975943021</v>
      </c>
      <c r="AS377" s="8">
        <f>IF(_xlfn.XLOOKUP(E377,Groups!A:A,Groups!M:M)=1,EXP(0.7444*LN('Base stats'!C377)+6.5696),EXP(0.7927*LN('Base stats'!C377)+4.28))</f>
        <v>38870.212071366863</v>
      </c>
      <c r="AT377" s="8">
        <f>IF(_xlfn.XLOOKUP(E377,Groups!A:A,Groups!N:N)="No","No",
IF(_xlfn.XLOOKUP(E377,Groups!A:A,Groups!N:N)="Crocodile",EXP(0.8129*LN(C377)+4.6742)*S377,
IF(_xlfn.XLOOKUP(E377,Groups!A:A,Groups!N:N)="Felid",EXP(0.7843*LN(C377)+4.7073)*S377,
IF(_xlfn.XLOOKUP(E377,Groups!A:A,Groups!N:N)="Canid",EXP(0.8367*LN(C377)+4.8763)*S377,
IF(_xlfn.XLOOKUP(E377,Groups!A:A,Groups!N:N)="Pig",EXP(0.3439*LN(C377)+6.8519)*S377,
IF(_xlfn.XLOOKUP(E377,Groups!A:A,Groups!N:N)="Rodent",EXP(0.5625*LN(C377)+4.3006)*S377,
IF(_xlfn.XLOOKUP(E377,Groups!A:A,Groups!N:N)="Primate",EXP(0.7847*LN(C377)+3.4931)*S377,
IF(_xlfn.XLOOKUP(E377,Groups!A:A,Groups!N:N)="MiscCarnivora",EXP(0.7486*LN(C377)+4.2207)*S377,
IF(_xlfn.XLOOKUP(E377,Groups!A:A,Groups!N:N)="Lizard",EXP(0.7733*LN(C377)+5.5303)*S377,
IF(_xlfn.XLOOKUP(E377,Groups!A:A,Groups!N:N)="Snake",50*C377^(2/3)*S377,
IF(_xlfn.XLOOKUP(E377,Groups!A:A,Groups!N:N)="StrongBitingHerbivore",87.1133638856975*C377^(2/3)*S377,
IF(_xlfn.XLOOKUP(E377,Groups!A:A,Groups!N:N)="MiscEctotherms",59.4316884072269*C377^(2/3)*S377,
IF(_xlfn.XLOOKUP(E377,Groups!A:A,Groups!N:N)="StrongBeakBird",0.041*(C377*1000)^1.375*S377,
IF(_xlfn.XLOOKUP(E377,Groups!A:A,Groups!N:N)="Bird",0.118*(C377*1000)^0.692*S377,
IF(_xlfn.XLOOKUP(E377,Groups!A:A,Groups!N:N)="Insect",EXP(0.7444*LN(C377)+6.5696)*S377,
IF(_xlfn.XLOOKUP(E377,Groups!A:A,Groups!N:N)="Theropod",EXP(0.6966*LN(C377)+4.158)*S377,
"No"))))))))))))))))</f>
        <v>6390.4100239548861</v>
      </c>
      <c r="AU377" s="8">
        <f>IF(_xlfn.XLOOKUP(E377,Groups!A:A,Groups!U:U)=3,AS377,IF(_xlfn.XLOOKUP(E377,Groups!A:A,Groups!U:U)=2,AR377,AT377))</f>
        <v>6390.4100239548861</v>
      </c>
      <c r="AV377" s="46">
        <f>IFERROR(AVERAGE(_xlfn.XLOOKUP(B377,Animals!B:B,Animals!N:N),_xlfn.XLOOKUP(B377,Animals!B:B,Animals!O:O)),0)</f>
        <v>0</v>
      </c>
      <c r="AW377" s="8">
        <f>MROUND(40*Animals!AO377*_xlfn.XLOOKUP(AG377,Leathers!$A$2:$A$99,Leathers!$B$2:$B$99,0)+(140*_xlfn.XLOOKUP(B377,Animals!B:B,Animals!AO:AO)*2),5)</f>
        <v>1235</v>
      </c>
      <c r="AX377" s="8">
        <f>IFERROR(ROUND(SQRT(V377-1)*IF(_xlfn.XLOOKUP(E377,Groups!A:A,Groups!BF:BF)=0,2,1)*IF(_xlfn.XLOOKUP('Base stats'!E377,Groups!A:A,Groups!O:O)=0,1,0.1),1),0)</f>
        <v>6</v>
      </c>
      <c r="AY377" s="8">
        <f t="shared" si="246"/>
        <v>0</v>
      </c>
      <c r="AZ377" s="8">
        <f t="shared" si="247"/>
        <v>0</v>
      </c>
      <c r="BA377" s="8">
        <f t="shared" si="248"/>
        <v>13.7</v>
      </c>
      <c r="BB377" s="8">
        <f>IF(_xlfn.XLOOKUP(E377,Groups!A:A,Groups!N:N)="Insect",BD377*2.5,IFERROR(AVERAGE(BD377,AT377/9.81/IF(OR(_xlfn.XLOOKUP(E377,Groups!A:A,Groups!N:N)="Pig",_xlfn.XLOOKUP(E377,Groups!A:A,Groups!N:N)="StrongBitingHerbivore"),20,25))*C377^-0.135,BD377))</f>
        <v>7.1238407464237596</v>
      </c>
      <c r="BC377" s="8" t="str">
        <f>IF(W377="No","No",IF(_xlfn.XLOOKUP(E377,Groups!A:A,Groups!U:U)=1,'Base stats'!BB377,IF(OR(_xlfn.XLOOKUP(E377,Groups!A:A,Groups!BD:BD)=1,_xlfn.XLOOKUP(E377,Groups!A:A,Groups!U:U)=2),BD377,IF(_xlfn.XLOOKUP(B377,Animals!B:B,Animals!AO:AO)&gt;4,AVERAGE(BD377,BF377),BF377))))</f>
        <v>No</v>
      </c>
      <c r="BD377" s="8">
        <f t="shared" si="249"/>
        <v>15.516787962964315</v>
      </c>
      <c r="BE377" s="8">
        <f>IF(_xlfn.XLOOKUP(E377,Groups!A:A,Groups!BE:BE)=1,(0.048*C377^1.01)+(0.071*C377^1.03),0.071*C377^1.03)/IF(_xlfn.XLOOKUP(E377,Groups!A:A,Groups!M:M)=1,0.85,IF(OR(_xlfn.XLOOKUP(B377,Animals!B:B,Animals!AO:AO)&gt;4,_xlfn.XLOOKUP(E377,Groups!A:A,Groups!BC:BC)=1),1.7,1))*C377^-0.25</f>
        <v>20.318642764258609</v>
      </c>
      <c r="BF377" s="8">
        <f>(0.048*C377^1.01)/IF(_xlfn.XLOOKUP(E377,Groups!A:A,Groups!M:M)=1,0.25,0.8)*C377^-0.25</f>
        <v>24.907887503968674</v>
      </c>
      <c r="BG377" s="8">
        <f>EXP(1.076*LN(AR377)-4.5397)*IF(_xlfn.XLOOKUP(E377,Groups!A:A,Groups!BC:BC)=1,1.25,IF(_xlfn.XLOOKUP(E377,Groups!A:A,Groups!BD:BD)=1,3.5,2.5))</f>
        <v>2659.7528484422969</v>
      </c>
      <c r="BH377" s="8">
        <f>EXP(1.076*LN(AS377)-4.5397)*IF(_xlfn.XLOOKUP(E377,Groups!A:A,Groups!M:M)=1,0.8,IF(_xlfn.XLOOKUP(E377,Groups!A:A,Groups!BC:BC)=1,1.3,3))</f>
        <v>2779.6005599051323</v>
      </c>
      <c r="BI377" s="8" t="str">
        <f>IF(W377="No","No",IF(_xlfn.XLOOKUP(E377,Groups!A:A,Groups!U:U)=1,'Base stats'!BJ377,IF(OR(_xlfn.XLOOKUP(E377,Groups!A:A,Groups!BD:BD)=1,_xlfn.XLOOKUP(E377,Groups!A:A,Groups!U:U)=2),BG377,BH377))*1.2)</f>
        <v>No</v>
      </c>
      <c r="BJ377" s="8">
        <f>IFERROR(EXP(1.076*LN(AT377)-4.5397)*IF(_xlfn.XLOOKUP(E377,Groups!A:A,Groups!N:N)="Insect",1,IF(OR(_xlfn.XLOOKUP(E377,Groups!A:A,Groups!N:N)="Pig",_xlfn.XLOOKUP(E377,Groups!A:A,Groups!N:N)="StrongBitingHerbivore"),3.5,3.75)),"No")</f>
        <v>497.98185165285099</v>
      </c>
      <c r="BK377" s="8">
        <f t="shared" si="250"/>
        <v>18</v>
      </c>
      <c r="BL377" s="8">
        <f t="shared" si="251"/>
        <v>16</v>
      </c>
      <c r="BM377" s="8" t="str">
        <f t="shared" si="252"/>
        <v>No</v>
      </c>
      <c r="BN377" s="8">
        <f t="shared" si="253"/>
        <v>11</v>
      </c>
      <c r="BO377" s="8">
        <f t="shared" si="254"/>
        <v>14</v>
      </c>
      <c r="BP377" s="8" t="str" cm="1">
        <f t="array" ref="BP377">IF(AND(_xlfn.XLOOKUP('Base stats'!E377,Groups!A:A,Groups!AD:AD=0),_xlfn.XLOOKUP('Base stats'!E377,Groups!A:A,Groups!P:P=0)),"No",IF(U377="No",AVERAGE(EXP(-0.57+0.99*LN(C377)),EXP(0.32+0.67*LN(C377)))/IF(_xlfn.XLOOKUP(E377,Groups!A:A,Groups!AD:AD)=1,10,2),(0.7354*C377^0.4078)*2/IF(_xlfn.XLOOKUP(E377,Groups!A:A,Groups!BK:BK)=1,1000,100)/IF(_xlfn.XLOOKUP(E377,Groups!A:A,Groups!AJ:AJ)="Photonozoa",3,1)))</f>
        <v>No</v>
      </c>
      <c r="BQ377" s="8" t="str">
        <f>IF(W377="No","No",IF(_xlfn.XLOOKUP(E377,Groups!A:A,Groups!BD:BD)=1,(AO377*5%),EXP(0.7354*LN(C377)^0.4078)*2/IF(_xlfn.XLOOKUP(E377,Groups!A:A,Groups!BL:BL)=1,1000,100)/IF(_xlfn.XLOOKUP(E377,Groups!A:A,Groups!AJ:AJ)="Photonozoa",3,1)))</f>
        <v>No</v>
      </c>
      <c r="BR377" s="8">
        <f>IF(BJ377="No","No",IF(_xlfn.XLOOKUP(E377,Groups!A:A,Groups!BF:BF)=1,(0.0315*C377+2.1825)*2,(0.7354*C377^0.4078)*2)/IF(_xlfn.XLOOKUP(E377,Groups!A:A,Groups!BM:BM)=1,1000,100)/IF(_xlfn.XLOOKUP(E377,Groups!A:A,Groups!AJ:AJ)="Photonozoa",3,1))</f>
        <v>0.37360864655801551</v>
      </c>
      <c r="BS377" s="8">
        <f t="shared" si="255"/>
        <v>0.27625527322537868</v>
      </c>
      <c r="BT377" s="8" t="str">
        <f t="shared" si="256"/>
        <v>No</v>
      </c>
      <c r="BU377" s="8" t="str">
        <f t="shared" si="257"/>
        <v>No</v>
      </c>
      <c r="BV377" s="8">
        <f t="shared" si="258"/>
        <v>1332.8970200252641</v>
      </c>
      <c r="BW377" s="4">
        <v>0</v>
      </c>
      <c r="BX377" s="4">
        <v>1</v>
      </c>
    </row>
    <row r="378" spans="1:76" s="16" customFormat="1" x14ac:dyDescent="0.25">
      <c r="A378" s="26" t="s">
        <v>2083</v>
      </c>
      <c r="B378" s="6" t="s">
        <v>2138</v>
      </c>
      <c r="C378" s="7">
        <v>650</v>
      </c>
      <c r="D378" s="7" t="s">
        <v>2139</v>
      </c>
      <c r="E378" s="7" t="str">
        <f>Groups!$A$63</f>
        <v>Bear</v>
      </c>
      <c r="F378" s="7">
        <v>110</v>
      </c>
      <c r="G378" s="7">
        <v>5</v>
      </c>
      <c r="H378" s="7">
        <v>40</v>
      </c>
      <c r="I378" s="4">
        <v>0</v>
      </c>
      <c r="J378" s="7">
        <v>2</v>
      </c>
      <c r="K378" s="7" t="s">
        <v>528</v>
      </c>
      <c r="L378" s="7">
        <v>50</v>
      </c>
      <c r="M378" s="7" t="s">
        <v>528</v>
      </c>
      <c r="N378" s="4">
        <v>0</v>
      </c>
      <c r="O378" s="4">
        <v>0</v>
      </c>
      <c r="P378" s="4">
        <v>0</v>
      </c>
      <c r="Q378" s="4">
        <v>0</v>
      </c>
      <c r="R378" s="4" t="s">
        <v>40</v>
      </c>
      <c r="S378" s="7">
        <f>_xlfn.XLOOKUP(B378,[1]TeethAdjusters!$A:$A,[1]BiteAdjusters!$C:$C,1)</f>
        <v>1</v>
      </c>
      <c r="T378" s="7">
        <f>_xlfn.XLOOKUP(B378,[1]TeethAdjusters!$A:$A,[1]TeethAdjusters!$B:$B,1)</f>
        <v>1</v>
      </c>
      <c r="U378" s="7">
        <f>MROUND(7.62,0.05)</f>
        <v>7.6000000000000005</v>
      </c>
      <c r="V378" s="7">
        <f>IF(AT378="No","No",IF(_xlfn.XLOOKUP(E378,Groups!A:A,Groups!AM:AM)=1,MROUND(EXP(0.3582*LN(C378)-0.2221)*T378,0.05),IF(_xlfn.XLOOKUP(E378,Groups!A:A,Groups!AM:AM)=2,MROUND(EXP(0.3582*LN(C378)-0.2221)*T378,0.05),"Need a formula")))</f>
        <v>8.15</v>
      </c>
      <c r="W378" s="7" t="s">
        <v>45</v>
      </c>
      <c r="X378" s="7" t="s">
        <v>932</v>
      </c>
      <c r="Y378" s="4" t="s">
        <v>53</v>
      </c>
      <c r="Z378" s="4">
        <v>1</v>
      </c>
      <c r="AA378" s="4">
        <v>0</v>
      </c>
      <c r="AB378" s="4">
        <v>0</v>
      </c>
      <c r="AC378" s="4">
        <v>0</v>
      </c>
      <c r="AD378" s="4">
        <v>0</v>
      </c>
      <c r="AE378" s="4" t="s">
        <v>45</v>
      </c>
      <c r="AF378" s="4" t="s">
        <v>45</v>
      </c>
      <c r="AG378" s="49" t="s">
        <v>374</v>
      </c>
      <c r="AH378" s="4" t="s">
        <v>45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4" t="s">
        <v>40</v>
      </c>
      <c r="AO378" s="8">
        <f t="shared" ref="AO378:AO381" si="259">(0.111*C378^0.65)*10000</f>
        <v>74768.154414357719</v>
      </c>
      <c r="AP378" s="8">
        <f>IFERROR(C378*_xlfn.XLOOKUP(E378,Groups!A:A,Groups!K:K),0.106*C378^0.94)</f>
        <v>81.087500000000006</v>
      </c>
      <c r="AQ378" s="8">
        <f>AP378*10000/(_xlfn.XLOOKUP(E378,Groups!A:A,Groups!J:J)*AO378)</f>
        <v>9.9497175525542811</v>
      </c>
      <c r="AR378" s="8">
        <f t="shared" ref="AR378:AR381" si="260">EXP(0.8447*LN(C378)+3.996)</f>
        <v>12927.324842126613</v>
      </c>
      <c r="AS378" s="8">
        <f>IF(_xlfn.XLOOKUP(E378,Groups!A:A,Groups!M:M)=1,EXP(0.7444*LN('Base stats'!C378)+6.5696),EXP(0.7927*LN('Base stats'!C378)+4.28))</f>
        <v>12262.437316578233</v>
      </c>
      <c r="AT378" s="8">
        <f>IF(_xlfn.XLOOKUP(E378,Groups!A:A,Groups!N:N)="No","No",
IF(_xlfn.XLOOKUP(E378,Groups!A:A,Groups!N:N)="Crocodile",EXP(0.8129*LN(C378)+4.6742)*S378,
IF(_xlfn.XLOOKUP(E378,Groups!A:A,Groups!N:N)="Felid",EXP(0.7843*LN(C378)+4.7073)*S378,
IF(_xlfn.XLOOKUP(E378,Groups!A:A,Groups!N:N)="Canid",EXP(0.8367*LN(C378)+4.8763)*S378,
IF(_xlfn.XLOOKUP(E378,Groups!A:A,Groups!N:N)="Pig",EXP(0.3439*LN(C378)+6.8519)*S378,
IF(_xlfn.XLOOKUP(E378,Groups!A:A,Groups!N:N)="Rodent",EXP(0.5625*LN(C378)+4.3006)*S378,
IF(_xlfn.XLOOKUP(E378,Groups!A:A,Groups!N:N)="Primate",EXP(0.7847*LN(C378)+3.4931)*S378,
IF(_xlfn.XLOOKUP(E378,Groups!A:A,Groups!N:N)="MiscCarnivora",EXP(0.7486*LN(C378)+4.2207)*S378,
IF(_xlfn.XLOOKUP(E378,Groups!A:A,Groups!N:N)="Lizard",EXP(0.7733*LN(C378)+5.5303)*S378,
IF(_xlfn.XLOOKUP(E378,Groups!A:A,Groups!N:N)="Snake",50*C378^(2/3)*S378,
IF(_xlfn.XLOOKUP(E378,Groups!A:A,Groups!N:N)="StrongBitingHerbivore",87.1133638856975*C378^(2/3)*S378,
IF(_xlfn.XLOOKUP(E378,Groups!A:A,Groups!N:N)="MiscEctotherms",59.4316884072269*C378^(2/3)*S378,
IF(_xlfn.XLOOKUP(E378,Groups!A:A,Groups!N:N)="StrongBeakBird",0.041*(C378*1000)^1.375*S378,
IF(_xlfn.XLOOKUP(E378,Groups!A:A,Groups!N:N)="Bird",0.118*(C378*1000)^0.692*S378,
IF(_xlfn.XLOOKUP(E378,Groups!A:A,Groups!N:N)="Insect",EXP(0.7444*LN(C378)+6.5696)*S378,
IF(_xlfn.XLOOKUP(E378,Groups!A:A,Groups!N:N)="Theropod",EXP(0.6966*LN(C378)+4.158)*S378,
"No"))))))))))))))))</f>
        <v>8685.0767078568897</v>
      </c>
      <c r="AU378" s="8">
        <f>IF(_xlfn.XLOOKUP(E378,Groups!A:A,Groups!U:U)=3,AS378,IF(_xlfn.XLOOKUP(E378,Groups!A:A,Groups!U:U)=2,AR378,AT378))</f>
        <v>8685.0767078568897</v>
      </c>
      <c r="AV378" s="46">
        <f>IFERROR(AVERAGE(_xlfn.XLOOKUP(B378,Animals!B:B,Animals!N:N),_xlfn.XLOOKUP(B378,Animals!B:B,Animals!O:O)),0)</f>
        <v>0</v>
      </c>
      <c r="AW378" s="8">
        <f>MROUND(40*Animals!AO378*_xlfn.XLOOKUP(AG378,Leathers!$A$2:$A$99,Leathers!$B$2:$B$99,0)+(140*_xlfn.XLOOKUP(B378,Animals!B:B,Animals!AO:AO)*2),5)</f>
        <v>975</v>
      </c>
      <c r="AX378" s="8">
        <f>IFERROR(ROUND(SQRT(V378-1)*IF(_xlfn.XLOOKUP(E378,Groups!A:A,Groups!BF:BF)=0,2,1)*IF(_xlfn.XLOOKUP('Base stats'!E378,Groups!A:A,Groups!O:O)=0,1,0.1),1),0)</f>
        <v>5.3</v>
      </c>
      <c r="AY378" s="8">
        <f t="shared" ref="AY378:AY381" si="261">IFERROR(ROUND(SQRT(U378-1),1),0)</f>
        <v>2.6</v>
      </c>
      <c r="AZ378" s="8">
        <f t="shared" ref="AZ378:AZ381" si="262">IFERROR(ROUND(SQRT(W378),1),0)</f>
        <v>0</v>
      </c>
      <c r="BA378" s="8">
        <f t="shared" ref="BA378:BA381" si="263">ROUND(
  EXP(0.3582*LN(C378)-0.2221) *
  (0.75 + 0.25*(C378^4/(C378^4+10^4))),
1)</f>
        <v>8.1</v>
      </c>
      <c r="BB378" s="8">
        <f>IF(_xlfn.XLOOKUP(E378,Groups!A:A,Groups!N:N)="Insect",BD378*2.5,IFERROR(AVERAGE(BD378,AT378/9.81/IF(OR(_xlfn.XLOOKUP(E378,Groups!A:A,Groups!N:N)="Pig",_xlfn.XLOOKUP(E378,Groups!A:A,Groups!N:N)="StrongBitingHerbivore"),20,25))*C378^-0.135,BD378))</f>
        <v>9.1641532004100235</v>
      </c>
      <c r="BC378" s="8" t="str">
        <f>IF(W378="No","No",IF(_xlfn.XLOOKUP(E378,Groups!A:A,Groups!U:U)=1,'Base stats'!BB378,IF(OR(_xlfn.XLOOKUP(E378,Groups!A:A,Groups!BD:BD)=1,_xlfn.XLOOKUP(E378,Groups!A:A,Groups!U:U)=2),BD378,IF(_xlfn.XLOOKUP(B378,Animals!B:B,Animals!AO:AO)&gt;4,AVERAGE(BD378,BF378),BF378))))</f>
        <v>No</v>
      </c>
      <c r="BD378" s="8">
        <f t="shared" ref="BD378:BD381" si="264">(0.0392*C378^IF(OR(Y378="Herbivore",Y378="Dendrovore",Y378="OmnivoreRough"),0.889,0.966))*C378^-0.135</f>
        <v>8.5274084668600452</v>
      </c>
      <c r="BE378" s="8">
        <f>IF(_xlfn.XLOOKUP(E378,Groups!A:A,Groups!BE:BE)=1,(0.048*C378^1.01)+(0.071*C378^1.03),0.071*C378^1.03)/IF(_xlfn.XLOOKUP(E378,Groups!A:A,Groups!M:M)=1,0.85,IF(OR(_xlfn.XLOOKUP(B378,Animals!B:B,Animals!AO:AO)&gt;4,_xlfn.XLOOKUP(E378,Groups!A:A,Groups!BC:BC)=1),1.7,1))*C378^-0.25</f>
        <v>11.100199055807565</v>
      </c>
      <c r="BF378" s="8">
        <f>(0.048*C378^1.01)/IF(_xlfn.XLOOKUP(E378,Groups!A:A,Groups!M:M)=1,0.25,0.8)*C378^-0.25</f>
        <v>8.2407246172046591</v>
      </c>
      <c r="BG378" s="8">
        <f>EXP(1.076*LN(AR378)-4.5397)*IF(_xlfn.XLOOKUP(E378,Groups!A:A,Groups!BC:BC)=1,1.25,IF(_xlfn.XLOOKUP(E378,Groups!A:A,Groups!BD:BD)=1,3.5,2.5))</f>
        <v>708.52743212865539</v>
      </c>
      <c r="BH378" s="8">
        <f>EXP(1.076*LN(AS378)-4.5397)*IF(_xlfn.XLOOKUP(E378,Groups!A:A,Groups!M:M)=1,0.8,IF(_xlfn.XLOOKUP(E378,Groups!A:A,Groups!BC:BC)=1,1.3,3))</f>
        <v>803.27311636679349</v>
      </c>
      <c r="BI378" s="8" t="str">
        <f>IF(W378="No","No",IF(_xlfn.XLOOKUP(E378,Groups!A:A,Groups!U:U)=1,'Base stats'!BJ378,IF(OR(_xlfn.XLOOKUP(E378,Groups!A:A,Groups!BD:BD)=1,_xlfn.XLOOKUP(E378,Groups!A:A,Groups!U:U)=2),BG378,BH378))*1.2)</f>
        <v>No</v>
      </c>
      <c r="BJ378" s="8">
        <f>IFERROR(EXP(1.076*LN(AT378)-4.5397)*IF(_xlfn.XLOOKUP(E378,Groups!A:A,Groups!N:N)="Insect",1,IF(OR(_xlfn.XLOOKUP(E378,Groups!A:A,Groups!N:N)="Pig",_xlfn.XLOOKUP(E378,Groups!A:A,Groups!N:N)="StrongBitingHerbivore"),3.5,3.75)),"No")</f>
        <v>692.76360707631147</v>
      </c>
      <c r="BK378" s="8">
        <f t="shared" ref="BK378:BK381" si="265">ROUNDDOWN(SQRT((2*BG378)/BD378),0)</f>
        <v>12</v>
      </c>
      <c r="BL378" s="8">
        <f t="shared" ref="BL378:BL381" si="266">ROUNDDOWN(SQRT((2*BH378)/BE378),0)</f>
        <v>12</v>
      </c>
      <c r="BM378" s="8" t="str">
        <f t="shared" ref="BM378:BM381" si="267">IF(W378="No","No",ROUNDDOWN(SQRT((2*BI378)/BC378),0))</f>
        <v>No</v>
      </c>
      <c r="BN378" s="8">
        <f t="shared" ref="BN378:BN381" si="268">IF(V378="No","No",ROUNDDOWN(SQRT((2*BJ378)/BB378),0))</f>
        <v>12</v>
      </c>
      <c r="BO378" s="8">
        <f t="shared" ref="BO378:BO381" si="269">ROUNDDOWN(SQRT((2*BH378)/BF378),0)</f>
        <v>13</v>
      </c>
      <c r="BP378" s="8" cm="1">
        <f t="array" ref="BP378">IF(AND(_xlfn.XLOOKUP('Base stats'!E378,Groups!A:A,Groups!AD:AD=0),_xlfn.XLOOKUP('Base stats'!E378,Groups!A:A,Groups!P:P=0)),"No",IF(U378="No",AVERAGE(EXP(-0.57+0.99*LN(C378)),EXP(0.32+0.67*LN(C378)))/IF(_xlfn.XLOOKUP(E378,Groups!A:A,Groups!AD:AD)=1,10,2),(0.7354*C378^0.4078)*2/IF(_xlfn.XLOOKUP(E378,Groups!A:A,Groups!BK:BK)=1,1000,100)/IF(_xlfn.XLOOKUP(E378,Groups!A:A,Groups!AJ:AJ)="Photonozoa",3,1)))</f>
        <v>0.2063762363519879</v>
      </c>
      <c r="BQ378" s="8" t="str">
        <f>IF(W378="No","No",IF(_xlfn.XLOOKUP(E378,Groups!A:A,Groups!BD:BD)=1,(AO378*5%),EXP(0.7354*LN(C378)^0.4078)*2/IF(_xlfn.XLOOKUP(E378,Groups!A:A,Groups!BL:BL)=1,1000,100)/IF(_xlfn.XLOOKUP(E378,Groups!A:A,Groups!AJ:AJ)="Photonozoa",3,1)))</f>
        <v>No</v>
      </c>
      <c r="BR378" s="8">
        <f>IF(BJ378="No","No",IF(_xlfn.XLOOKUP(E378,Groups!A:A,Groups!BF:BF)=1,(0.0315*C378+2.1825)*2,(0.7354*C378^0.4078)*2)/IF(_xlfn.XLOOKUP(E378,Groups!A:A,Groups!BM:BM)=1,1000,100)/IF(_xlfn.XLOOKUP(E378,Groups!A:A,Groups!AJ:AJ)="Photonozoa",3,1))</f>
        <v>0.2063762363519879</v>
      </c>
      <c r="BS378" s="8">
        <f t="shared" ref="BS378:BS381" si="270">BG378/(AO378*5%)</f>
        <v>0.18952652708319276</v>
      </c>
      <c r="BT378" s="8">
        <f t="shared" ref="BT378:BT381" si="271">IF(BP378="No","No",BH378/BP378)</f>
        <v>3892.2752472177062</v>
      </c>
      <c r="BU378" s="8" t="str">
        <f t="shared" ref="BU378:BU381" si="272">IF(W378="No","No",BI378/BQ378)</f>
        <v>No</v>
      </c>
      <c r="BV378" s="8">
        <f t="shared" ref="BV378:BV381" si="273">IF(BJ378="No","No",BJ378/BR378)</f>
        <v>3356.799306557557</v>
      </c>
      <c r="BW378" s="4">
        <v>0</v>
      </c>
      <c r="BX378" s="4">
        <v>1</v>
      </c>
    </row>
    <row r="379" spans="1:76" s="16" customFormat="1" x14ac:dyDescent="0.25">
      <c r="A379" s="26" t="s">
        <v>2084</v>
      </c>
      <c r="B379" s="6" t="s">
        <v>2153</v>
      </c>
      <c r="C379" s="7">
        <v>199.53</v>
      </c>
      <c r="D379" s="7" t="s">
        <v>2152</v>
      </c>
      <c r="E379" s="7" t="str">
        <f>Groups!$A$14</f>
        <v>Doglike (HYENA)</v>
      </c>
      <c r="F379" s="7">
        <v>120</v>
      </c>
      <c r="G379" s="7">
        <v>4</v>
      </c>
      <c r="H379" s="7">
        <v>45</v>
      </c>
      <c r="I379" s="4">
        <v>0</v>
      </c>
      <c r="J379" s="7">
        <v>1.5</v>
      </c>
      <c r="K379" s="7" t="s">
        <v>528</v>
      </c>
      <c r="L379" s="7">
        <v>65</v>
      </c>
      <c r="M379" s="7" t="s">
        <v>528</v>
      </c>
      <c r="N379" s="4">
        <v>0</v>
      </c>
      <c r="O379" s="4">
        <v>0</v>
      </c>
      <c r="P379" s="4">
        <v>0</v>
      </c>
      <c r="Q379" s="4">
        <v>0</v>
      </c>
      <c r="R379" s="4" t="s">
        <v>40</v>
      </c>
      <c r="S379" s="7">
        <f>_xlfn.XLOOKUP(B379,[1]TeethAdjusters!$A:$A,[1]BiteAdjusters!$C:$C,1)</f>
        <v>1</v>
      </c>
      <c r="T379" s="7">
        <f>_xlfn.XLOOKUP(B379,[1]TeethAdjusters!$A:$A,[1]TeethAdjusters!$B:$B,1)</f>
        <v>1</v>
      </c>
      <c r="U379" s="7" t="s">
        <v>45</v>
      </c>
      <c r="V379" s="7">
        <f>IF(AT379="No","No",IF(_xlfn.XLOOKUP(E379,Groups!A:A,Groups!AM:AM)=1,MROUND(EXP(0.3582*LN(C379)-0.2221)*T379,0.05),IF(_xlfn.XLOOKUP(E379,Groups!A:A,Groups!AM:AM)=2,MROUND(EXP(0.3582*LN(C379)-0.2221)*T379,0.05),"Need a formula")))</f>
        <v>5.3500000000000005</v>
      </c>
      <c r="W379" s="7" t="s">
        <v>45</v>
      </c>
      <c r="X379" s="7" t="s">
        <v>932</v>
      </c>
      <c r="Y379" s="4" t="s">
        <v>56</v>
      </c>
      <c r="Z379" s="4">
        <v>1</v>
      </c>
      <c r="AA379" s="4">
        <v>0</v>
      </c>
      <c r="AB379" s="4">
        <v>0</v>
      </c>
      <c r="AC379" s="4">
        <v>0</v>
      </c>
      <c r="AD379" s="4">
        <v>0</v>
      </c>
      <c r="AE379" s="4" t="s">
        <v>45</v>
      </c>
      <c r="AF379" s="4" t="s">
        <v>452</v>
      </c>
      <c r="AG379" s="49" t="s">
        <v>379</v>
      </c>
      <c r="AH379" s="4" t="s">
        <v>45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4" t="s">
        <v>40</v>
      </c>
      <c r="AO379" s="8">
        <f t="shared" si="259"/>
        <v>34699.906969366239</v>
      </c>
      <c r="AP379" s="8">
        <f>IFERROR(C379*_xlfn.XLOOKUP(E379,Groups!A:A,Groups!K:K),0.106*C379^0.94)</f>
        <v>24.891367500000001</v>
      </c>
      <c r="AQ379" s="8">
        <f>AP379*10000/(_xlfn.XLOOKUP(E379,Groups!A:A,Groups!J:J)*AO379)</f>
        <v>6.5810311804689388</v>
      </c>
      <c r="AR379" s="8">
        <f t="shared" si="260"/>
        <v>4767.1374976595625</v>
      </c>
      <c r="AS379" s="8">
        <f>IF(_xlfn.XLOOKUP(E379,Groups!A:A,Groups!M:M)=1,EXP(0.7444*LN('Base stats'!C379)+6.5696),EXP(0.7927*LN('Base stats'!C379)+4.28))</f>
        <v>4808.3589929587743</v>
      </c>
      <c r="AT379" s="8">
        <f>IF(_xlfn.XLOOKUP(E379,Groups!A:A,Groups!N:N)="No","No",
IF(_xlfn.XLOOKUP(E379,Groups!A:A,Groups!N:N)="Crocodile",EXP(0.8129*LN(C379)+4.6742)*S379,
IF(_xlfn.XLOOKUP(E379,Groups!A:A,Groups!N:N)="Felid",EXP(0.7843*LN(C379)+4.7073)*S379,
IF(_xlfn.XLOOKUP(E379,Groups!A:A,Groups!N:N)="Canid",EXP(0.8367*LN(C379)+4.8763)*S379,
IF(_xlfn.XLOOKUP(E379,Groups!A:A,Groups!N:N)="Pig",EXP(0.3439*LN(C379)+6.8519)*S379,
IF(_xlfn.XLOOKUP(E379,Groups!A:A,Groups!N:N)="Rodent",EXP(0.5625*LN(C379)+4.3006)*S379,
IF(_xlfn.XLOOKUP(E379,Groups!A:A,Groups!N:N)="Primate",EXP(0.7847*LN(C379)+3.4931)*S379,
IF(_xlfn.XLOOKUP(E379,Groups!A:A,Groups!N:N)="MiscCarnivora",EXP(0.7486*LN(C379)+4.2207)*S379,
IF(_xlfn.XLOOKUP(E379,Groups!A:A,Groups!N:N)="Lizard",EXP(0.7733*LN(C379)+5.5303)*S379,
IF(_xlfn.XLOOKUP(E379,Groups!A:A,Groups!N:N)="Snake",50*C379^(2/3)*S379,
IF(_xlfn.XLOOKUP(E379,Groups!A:A,Groups!N:N)="StrongBitingHerbivore",87.1133638856975*C379^(2/3)*S379,
IF(_xlfn.XLOOKUP(E379,Groups!A:A,Groups!N:N)="MiscEctotherms",59.4316884072269*C379^(2/3)*S379,
IF(_xlfn.XLOOKUP(E379,Groups!A:A,Groups!N:N)="StrongBeakBird",0.041*(C379*1000)^1.375*S379,
IF(_xlfn.XLOOKUP(E379,Groups!A:A,Groups!N:N)="Bird",0.118*(C379*1000)^0.692*S379,
IF(_xlfn.XLOOKUP(E379,Groups!A:A,Groups!N:N)="Insect",EXP(0.7444*LN(C379)+6.5696)*S379,
IF(_xlfn.XLOOKUP(E379,Groups!A:A,Groups!N:N)="Theropod",EXP(0.6966*LN(C379)+4.158)*S379,
"No"))))))))))))))))</f>
        <v>11019.630824282767</v>
      </c>
      <c r="AU379" s="8">
        <f>IF(_xlfn.XLOOKUP(E379,Groups!A:A,Groups!U:U)=3,AS379,IF(_xlfn.XLOOKUP(E379,Groups!A:A,Groups!U:U)=2,AR379,AT379))</f>
        <v>11019.630824282767</v>
      </c>
      <c r="AV379" s="46">
        <f>IFERROR(AVERAGE(_xlfn.XLOOKUP(B379,Animals!B:B,Animals!N:N),_xlfn.XLOOKUP(B379,Animals!B:B,Animals!O:O)),0)</f>
        <v>0</v>
      </c>
      <c r="AW379" s="8">
        <f>MROUND(40*Animals!AO379*_xlfn.XLOOKUP(AG379,Leathers!$A$2:$A$99,Leathers!$B$2:$B$99,0)+(140*_xlfn.XLOOKUP(B379,Animals!B:B,Animals!AO:AO)*2),5)</f>
        <v>805</v>
      </c>
      <c r="AX379" s="8">
        <f>IFERROR(ROUND(SQRT(V379-1)*IF(_xlfn.XLOOKUP(E379,Groups!A:A,Groups!BF:BF)=0,2,1)*IF(_xlfn.XLOOKUP('Base stats'!E379,Groups!A:A,Groups!O:O)=0,1,0.1),1),0)</f>
        <v>4.2</v>
      </c>
      <c r="AY379" s="8">
        <f t="shared" si="261"/>
        <v>0</v>
      </c>
      <c r="AZ379" s="8">
        <f t="shared" si="262"/>
        <v>0</v>
      </c>
      <c r="BA379" s="8">
        <f t="shared" si="263"/>
        <v>5.3</v>
      </c>
      <c r="BB379" s="8">
        <f>IF(_xlfn.XLOOKUP(E379,Groups!A:A,Groups!N:N)="Insect",BD379*2.5,IFERROR(AVERAGE(BD379,AT379/9.81/IF(OR(_xlfn.XLOOKUP(E379,Groups!A:A,Groups!N:N)="Pig",_xlfn.XLOOKUP(E379,Groups!A:A,Groups!N:N)="StrongBitingHerbivore"),20,25))*C379^-0.135,BD379))</f>
        <v>11.772478798152775</v>
      </c>
      <c r="BC379" s="8" t="str">
        <f>IF(W379="No","No",IF(_xlfn.XLOOKUP(E379,Groups!A:A,Groups!U:U)=1,'Base stats'!BB379,IF(OR(_xlfn.XLOOKUP(E379,Groups!A:A,Groups!BD:BD)=1,_xlfn.XLOOKUP(E379,Groups!A:A,Groups!U:U)=2),BD379,IF(_xlfn.XLOOKUP(B379,Animals!B:B,Animals!AO:AO)&gt;4,AVERAGE(BD379,BF379),BF379))))</f>
        <v>No</v>
      </c>
      <c r="BD379" s="8">
        <f t="shared" si="264"/>
        <v>3.1958978041381463</v>
      </c>
      <c r="BE379" s="8">
        <f>IF(_xlfn.XLOOKUP(E379,Groups!A:A,Groups!BE:BE)=1,(0.048*C379^1.01)+(0.071*C379^1.03),0.071*C379^1.03)/IF(_xlfn.XLOOKUP(E379,Groups!A:A,Groups!M:M)=1,0.85,IF(OR(_xlfn.XLOOKUP(B379,Animals!B:B,Animals!AO:AO)&gt;4,_xlfn.XLOOKUP(E379,Groups!A:A,Groups!BC:BC)=1),1.7,1))*C379^-0.25</f>
        <v>4.4183971156985855</v>
      </c>
      <c r="BF379" s="8">
        <f>(0.048*C379^1.01)/IF(_xlfn.XLOOKUP(E379,Groups!A:A,Groups!M:M)=1,0.25,0.8)*C379^-0.25</f>
        <v>3.3585938184827988</v>
      </c>
      <c r="BG379" s="8">
        <f>EXP(1.076*LN(AR379)-4.5397)*IF(_xlfn.XLOOKUP(E379,Groups!A:A,Groups!BC:BC)=1,1.25,IF(_xlfn.XLOOKUP(E379,Groups!A:A,Groups!BD:BD)=1,3.5,2.5))</f>
        <v>242.20249415716484</v>
      </c>
      <c r="BH379" s="8">
        <f>EXP(1.076*LN(AS379)-4.5397)*IF(_xlfn.XLOOKUP(E379,Groups!A:A,Groups!M:M)=1,0.8,IF(_xlfn.XLOOKUP(E379,Groups!A:A,Groups!BC:BC)=1,1.3,3))</f>
        <v>293.34807535420555</v>
      </c>
      <c r="BI379" s="8" t="str">
        <f>IF(W379="No","No",IF(_xlfn.XLOOKUP(E379,Groups!A:A,Groups!U:U)=1,'Base stats'!BJ379,IF(OR(_xlfn.XLOOKUP(E379,Groups!A:A,Groups!BD:BD)=1,_xlfn.XLOOKUP(E379,Groups!A:A,Groups!U:U)=2),BG379,BH379))*1.2)</f>
        <v>No</v>
      </c>
      <c r="BJ379" s="8">
        <f>IFERROR(EXP(1.076*LN(AT379)-4.5397)*IF(_xlfn.XLOOKUP(E379,Groups!A:A,Groups!N:N)="Insect",1,IF(OR(_xlfn.XLOOKUP(E379,Groups!A:A,Groups!N:N)="Pig",_xlfn.XLOOKUP(E379,Groups!A:A,Groups!N:N)="StrongBitingHerbivore"),3.5,3.75)),"No")</f>
        <v>895.0274371271089</v>
      </c>
      <c r="BK379" s="8">
        <f t="shared" si="265"/>
        <v>12</v>
      </c>
      <c r="BL379" s="8">
        <f t="shared" si="266"/>
        <v>11</v>
      </c>
      <c r="BM379" s="8" t="str">
        <f t="shared" si="267"/>
        <v>No</v>
      </c>
      <c r="BN379" s="8">
        <f t="shared" si="268"/>
        <v>12</v>
      </c>
      <c r="BO379" s="8">
        <f t="shared" si="269"/>
        <v>13</v>
      </c>
      <c r="BP379" s="8" t="str" cm="1">
        <f t="array" ref="BP379">IF(AND(_xlfn.XLOOKUP('Base stats'!E379,Groups!A:A,Groups!AD:AD=0),_xlfn.XLOOKUP('Base stats'!E379,Groups!A:A,Groups!P:P=0)),"No",IF(U379="No",AVERAGE(EXP(-0.57+0.99*LN(C379)),EXP(0.32+0.67*LN(C379)))/IF(_xlfn.XLOOKUP(E379,Groups!A:A,Groups!AD:AD)=1,10,2),(0.7354*C379^0.4078)*2/IF(_xlfn.XLOOKUP(E379,Groups!A:A,Groups!BK:BK)=1,1000,100)/IF(_xlfn.XLOOKUP(E379,Groups!A:A,Groups!AJ:AJ)="Photonozoa",3,1)))</f>
        <v>No</v>
      </c>
      <c r="BQ379" s="8" t="str">
        <f>IF(W379="No","No",IF(_xlfn.XLOOKUP(E379,Groups!A:A,Groups!BD:BD)=1,(AO379*5%),EXP(0.7354*LN(C379)^0.4078)*2/IF(_xlfn.XLOOKUP(E379,Groups!A:A,Groups!BL:BL)=1,1000,100)/IF(_xlfn.XLOOKUP(E379,Groups!A:A,Groups!AJ:AJ)="Photonozoa",3,1)))</f>
        <v>No</v>
      </c>
      <c r="BR379" s="8">
        <f>IF(BJ379="No","No",IF(_xlfn.XLOOKUP(E379,Groups!A:A,Groups!BF:BF)=1,(0.0315*C379+2.1825)*2,(0.7354*C379^0.4078)*2)/IF(_xlfn.XLOOKUP(E379,Groups!A:A,Groups!BM:BM)=1,1000,100)/IF(_xlfn.XLOOKUP(E379,Groups!A:A,Groups!AJ:AJ)="Photonozoa",3,1))</f>
        <v>0.12749611935607269</v>
      </c>
      <c r="BS379" s="8">
        <f t="shared" si="270"/>
        <v>0.13959835360422493</v>
      </c>
      <c r="BT379" s="8" t="str">
        <f t="shared" si="271"/>
        <v>No</v>
      </c>
      <c r="BU379" s="8" t="str">
        <f t="shared" si="272"/>
        <v>No</v>
      </c>
      <c r="BV379" s="8">
        <f t="shared" si="273"/>
        <v>7020.0367010972741</v>
      </c>
      <c r="BW379" s="4">
        <v>0</v>
      </c>
      <c r="BX379" s="4">
        <v>1</v>
      </c>
    </row>
    <row r="380" spans="1:76" s="16" customFormat="1" x14ac:dyDescent="0.25">
      <c r="A380" s="26" t="s">
        <v>2085</v>
      </c>
      <c r="B380" s="6" t="s">
        <v>2154</v>
      </c>
      <c r="C380" s="7">
        <v>1246</v>
      </c>
      <c r="D380" s="7" t="s">
        <v>2155</v>
      </c>
      <c r="E380" s="7" t="str">
        <f>Groups!$A$56</f>
        <v>Giraffe</v>
      </c>
      <c r="F380" s="7">
        <v>460</v>
      </c>
      <c r="G380" s="7">
        <v>4</v>
      </c>
      <c r="H380" s="7">
        <v>40</v>
      </c>
      <c r="I380" s="4">
        <v>0</v>
      </c>
      <c r="J380" s="7">
        <v>1</v>
      </c>
      <c r="K380" s="7" t="s">
        <v>528</v>
      </c>
      <c r="L380" s="7">
        <v>60</v>
      </c>
      <c r="M380" s="7" t="s">
        <v>528</v>
      </c>
      <c r="N380" s="4">
        <v>0</v>
      </c>
      <c r="O380" s="4">
        <v>0</v>
      </c>
      <c r="P380" s="4">
        <v>0</v>
      </c>
      <c r="Q380" s="4">
        <v>0</v>
      </c>
      <c r="R380" s="4" t="s">
        <v>40</v>
      </c>
      <c r="S380" s="7">
        <f>_xlfn.XLOOKUP(B380,[1]TeethAdjusters!$A:$A,[1]BiteAdjusters!$C:$C,1)</f>
        <v>1</v>
      </c>
      <c r="T380" s="7">
        <f>_xlfn.XLOOKUP(B380,[1]TeethAdjusters!$A:$A,[1]TeethAdjusters!$B:$B,1)</f>
        <v>1</v>
      </c>
      <c r="U380" s="7" t="s">
        <v>45</v>
      </c>
      <c r="V380" s="7" t="str">
        <f>IF(AT380="No","No",IF(_xlfn.XLOOKUP(E380,Groups!A:A,Groups!AM:AM)=1,MROUND(EXP(0.3582*LN(C380)-0.2221)*T380,0.05),IF(_xlfn.XLOOKUP(E380,Groups!A:A,Groups!AM:AM)=2,MROUND(EXP(0.3582*LN(C380)-0.2221)*T380,0.05),"Need a formula")))</f>
        <v>No</v>
      </c>
      <c r="W380" s="7" t="s">
        <v>45</v>
      </c>
      <c r="X380" s="7" t="s">
        <v>932</v>
      </c>
      <c r="Y380" s="4" t="s">
        <v>42</v>
      </c>
      <c r="Z380" s="4">
        <v>1</v>
      </c>
      <c r="AA380" s="4">
        <v>0</v>
      </c>
      <c r="AB380" s="4">
        <v>0</v>
      </c>
      <c r="AC380" s="4">
        <v>0</v>
      </c>
      <c r="AD380" s="4">
        <v>0</v>
      </c>
      <c r="AE380" s="4" t="s">
        <v>45</v>
      </c>
      <c r="AF380" s="4" t="s">
        <v>311</v>
      </c>
      <c r="AG380" s="49" t="s">
        <v>392</v>
      </c>
      <c r="AH380" s="4" t="s">
        <v>45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4" t="s">
        <v>40</v>
      </c>
      <c r="AO380" s="8">
        <f t="shared" si="259"/>
        <v>114132.59880786916</v>
      </c>
      <c r="AP380" s="8">
        <f>IFERROR(C380*_xlfn.XLOOKUP(E380,Groups!A:A,Groups!K:K),0.106*C380^0.94)</f>
        <v>86.117779856767882</v>
      </c>
      <c r="AQ380" s="8">
        <f>AP380*10000/(_xlfn.XLOOKUP(E380,Groups!A:A,Groups!J:J)*AO380)</f>
        <v>6.9223988859023455</v>
      </c>
      <c r="AR380" s="8">
        <f t="shared" si="260"/>
        <v>22398.80454380286</v>
      </c>
      <c r="AS380" s="8">
        <f>IF(_xlfn.XLOOKUP(E380,Groups!A:A,Groups!M:M)=1,EXP(0.7444*LN('Base stats'!C380)+6.5696),EXP(0.7927*LN('Base stats'!C380)+4.28))</f>
        <v>20539.862628736741</v>
      </c>
      <c r="AT380" s="8" t="str">
        <f>IF(_xlfn.XLOOKUP(E380,Groups!A:A,Groups!N:N)="No","No",
IF(_xlfn.XLOOKUP(E380,Groups!A:A,Groups!N:N)="Crocodile",EXP(0.8129*LN(C380)+4.6742)*S380,
IF(_xlfn.XLOOKUP(E380,Groups!A:A,Groups!N:N)="Felid",EXP(0.7843*LN(C380)+4.7073)*S380,
IF(_xlfn.XLOOKUP(E380,Groups!A:A,Groups!N:N)="Canid",EXP(0.8367*LN(C380)+4.8763)*S380,
IF(_xlfn.XLOOKUP(E380,Groups!A:A,Groups!N:N)="Pig",EXP(0.3439*LN(C380)+6.8519)*S380,
IF(_xlfn.XLOOKUP(E380,Groups!A:A,Groups!N:N)="Rodent",EXP(0.5625*LN(C380)+4.3006)*S380,
IF(_xlfn.XLOOKUP(E380,Groups!A:A,Groups!N:N)="Primate",EXP(0.7847*LN(C380)+3.4931)*S380,
IF(_xlfn.XLOOKUP(E380,Groups!A:A,Groups!N:N)="MiscCarnivora",EXP(0.7486*LN(C380)+4.2207)*S380,
IF(_xlfn.XLOOKUP(E380,Groups!A:A,Groups!N:N)="Lizard",EXP(0.7733*LN(C380)+5.5303)*S380,
IF(_xlfn.XLOOKUP(E380,Groups!A:A,Groups!N:N)="Snake",50*C380^(2/3)*S380,
IF(_xlfn.XLOOKUP(E380,Groups!A:A,Groups!N:N)="StrongBitingHerbivore",87.1133638856975*C380^(2/3)*S380,
IF(_xlfn.XLOOKUP(E380,Groups!A:A,Groups!N:N)="MiscEctotherms",59.4316884072269*C380^(2/3)*S380,
IF(_xlfn.XLOOKUP(E380,Groups!A:A,Groups!N:N)="StrongBeakBird",0.041*(C380*1000)^1.375*S380,
IF(_xlfn.XLOOKUP(E380,Groups!A:A,Groups!N:N)="Bird",0.118*(C380*1000)^0.692*S380,
IF(_xlfn.XLOOKUP(E380,Groups!A:A,Groups!N:N)="Insect",EXP(0.7444*LN(C380)+6.5696)*S380,
IF(_xlfn.XLOOKUP(E380,Groups!A:A,Groups!N:N)="Theropod",EXP(0.6966*LN(C380)+4.158)*S380,
"No"))))))))))))))))</f>
        <v>No</v>
      </c>
      <c r="AU380" s="8" t="str">
        <f>IF(_xlfn.XLOOKUP(E380,Groups!A:A,Groups!U:U)=3,AS380,IF(_xlfn.XLOOKUP(E380,Groups!A:A,Groups!U:U)=2,AR380,AT380))</f>
        <v>No</v>
      </c>
      <c r="AV380" s="46">
        <f>IFERROR(AVERAGE(_xlfn.XLOOKUP(B380,Animals!B:B,Animals!N:N),_xlfn.XLOOKUP(B380,Animals!B:B,Animals!O:O)),0)</f>
        <v>0</v>
      </c>
      <c r="AW380" s="8">
        <f>MROUND(40*Animals!AO380*_xlfn.XLOOKUP(AG380,Leathers!$A$2:$A$99,Leathers!$B$2:$B$99,0)+(140*_xlfn.XLOOKUP(B380,Animals!B:B,Animals!AO:AO)*2),5)</f>
        <v>1255</v>
      </c>
      <c r="AX380" s="8">
        <f>IFERROR(ROUND(SQRT(V380-1)*IF(_xlfn.XLOOKUP(E380,Groups!A:A,Groups!BF:BF)=0,2,1)*IF(_xlfn.XLOOKUP('Base stats'!E380,Groups!A:A,Groups!O:O)=0,1,0.1),1),0)</f>
        <v>0</v>
      </c>
      <c r="AY380" s="8">
        <f t="shared" si="261"/>
        <v>0</v>
      </c>
      <c r="AZ380" s="8">
        <f t="shared" si="262"/>
        <v>0</v>
      </c>
      <c r="BA380" s="8">
        <f t="shared" si="263"/>
        <v>10.3</v>
      </c>
      <c r="BB380" s="8">
        <f>IF(_xlfn.XLOOKUP(E380,Groups!A:A,Groups!N:N)="Insect",BD380*2.5,IFERROR(AVERAGE(BD380,AT380/9.81/IF(OR(_xlfn.XLOOKUP(E380,Groups!A:A,Groups!N:N)="Pig",_xlfn.XLOOKUP(E380,Groups!A:A,Groups!N:N)="StrongBitingHerbivore"),20,25))*C380^-0.135,BD380))</f>
        <v>8.4587593770195042</v>
      </c>
      <c r="BC380" s="8" t="str">
        <f>IF(W380="No","No",IF(_xlfn.XLOOKUP(E380,Groups!A:A,Groups!U:U)=1,'Base stats'!BB380,IF(OR(_xlfn.XLOOKUP(E380,Groups!A:A,Groups!BD:BD)=1,_xlfn.XLOOKUP(E380,Groups!A:A,Groups!U:U)=2),BD380,IF(_xlfn.XLOOKUP(B380,Animals!B:B,Animals!AO:AO)&gt;4,AVERAGE(BD380,BF380),BF380))))</f>
        <v>No</v>
      </c>
      <c r="BD380" s="8">
        <f t="shared" si="264"/>
        <v>8.4587593770195042</v>
      </c>
      <c r="BE380" s="8">
        <f>IF(_xlfn.XLOOKUP(E380,Groups!A:A,Groups!BE:BE)=1,(0.048*C380^1.01)+(0.071*C380^1.03),0.071*C380^1.03)/IF(_xlfn.XLOOKUP(E380,Groups!A:A,Groups!M:M)=1,0.85,IF(OR(_xlfn.XLOOKUP(B380,Animals!B:B,Animals!AO:AO)&gt;4,_xlfn.XLOOKUP(E380,Groups!A:A,Groups!BC:BC)=1),1.7,1))*C380^-0.25</f>
        <v>18.440063902486902</v>
      </c>
      <c r="BF380" s="8">
        <f>(0.048*C380^1.01)/IF(_xlfn.XLOOKUP(E380,Groups!A:A,Groups!M:M)=1,0.25,0.8)*C380^-0.25</f>
        <v>13.512787978477796</v>
      </c>
      <c r="BG380" s="8">
        <f>EXP(1.076*LN(AR380)-4.5397)*IF(_xlfn.XLOOKUP(E380,Groups!A:A,Groups!BC:BC)=1,1.25,IF(_xlfn.XLOOKUP(E380,Groups!A:A,Groups!BD:BD)=1,3.5,2.5))</f>
        <v>1280.0156426619651</v>
      </c>
      <c r="BH380" s="8">
        <f>EXP(1.076*LN(AS380)-4.5397)*IF(_xlfn.XLOOKUP(E380,Groups!A:A,Groups!M:M)=1,0.8,IF(_xlfn.XLOOKUP(E380,Groups!A:A,Groups!BC:BC)=1,1.3,3))</f>
        <v>1399.2958385370353</v>
      </c>
      <c r="BI380" s="8" t="str">
        <f>IF(W380="No","No",IF(_xlfn.XLOOKUP(E380,Groups!A:A,Groups!U:U)=1,'Base stats'!BJ380,IF(OR(_xlfn.XLOOKUP(E380,Groups!A:A,Groups!BD:BD)=1,_xlfn.XLOOKUP(E380,Groups!A:A,Groups!U:U)=2),BG380,BH380))*1.2)</f>
        <v>No</v>
      </c>
      <c r="BJ380" s="8" t="str">
        <f>IFERROR(EXP(1.076*LN(AT380)-4.5397)*IF(_xlfn.XLOOKUP(E380,Groups!A:A,Groups!N:N)="Insect",1,IF(OR(_xlfn.XLOOKUP(E380,Groups!A:A,Groups!N:N)="Pig",_xlfn.XLOOKUP(E380,Groups!A:A,Groups!N:N)="StrongBitingHerbivore"),3.5,3.75)),"No")</f>
        <v>No</v>
      </c>
      <c r="BK380" s="8">
        <f t="shared" si="265"/>
        <v>17</v>
      </c>
      <c r="BL380" s="8">
        <f t="shared" si="266"/>
        <v>12</v>
      </c>
      <c r="BM380" s="8" t="str">
        <f t="shared" si="267"/>
        <v>No</v>
      </c>
      <c r="BN380" s="8" t="str">
        <f t="shared" si="268"/>
        <v>No</v>
      </c>
      <c r="BO380" s="8">
        <f t="shared" si="269"/>
        <v>14</v>
      </c>
      <c r="BP380" s="8" cm="1">
        <f t="array" ref="BP380">IF(AND(_xlfn.XLOOKUP('Base stats'!E380,Groups!A:A,Groups!AD:AD=0),_xlfn.XLOOKUP('Base stats'!E380,Groups!A:A,Groups!P:P=0)),"No",IF(U380="No",AVERAGE(EXP(-0.57+0.99*LN(C380)),EXP(0.32+0.67*LN(C380)))/IF(_xlfn.XLOOKUP(E380,Groups!A:A,Groups!AD:AD)=1,10,2),(0.7354*C380^0.4078)*2/IF(_xlfn.XLOOKUP(E380,Groups!A:A,Groups!BK:BK)=1,1000,100)/IF(_xlfn.XLOOKUP(E380,Groups!A:A,Groups!AJ:AJ)="Photonozoa",3,1)))</f>
        <v>204.86558794719929</v>
      </c>
      <c r="BQ380" s="8" t="str">
        <f>IF(W380="No","No",IF(_xlfn.XLOOKUP(E380,Groups!A:A,Groups!BD:BD)=1,(AO380*5%),EXP(0.7354*LN(C380)^0.4078)*2/IF(_xlfn.XLOOKUP(E380,Groups!A:A,Groups!BL:BL)=1,1000,100)/IF(_xlfn.XLOOKUP(E380,Groups!A:A,Groups!AJ:AJ)="Photonozoa",3,1)))</f>
        <v>No</v>
      </c>
      <c r="BR380" s="8" t="str">
        <f>IF(BJ380="No","No",IF(_xlfn.XLOOKUP(E380,Groups!A:A,Groups!BF:BF)=1,(0.0315*C380+2.1825)*2,(0.7354*C380^0.4078)*2)/IF(_xlfn.XLOOKUP(E380,Groups!A:A,Groups!BM:BM)=1,1000,100)/IF(_xlfn.XLOOKUP(E380,Groups!A:A,Groups!AJ:AJ)="Photonozoa",3,1))</f>
        <v>No</v>
      </c>
      <c r="BS380" s="8">
        <f t="shared" si="270"/>
        <v>0.2243032500848848</v>
      </c>
      <c r="BT380" s="8">
        <f t="shared" si="271"/>
        <v>6.8303117793393424</v>
      </c>
      <c r="BU380" s="8" t="str">
        <f t="shared" si="272"/>
        <v>No</v>
      </c>
      <c r="BV380" s="8" t="str">
        <f t="shared" si="273"/>
        <v>No</v>
      </c>
      <c r="BW380" s="4">
        <v>0</v>
      </c>
      <c r="BX380" s="4">
        <v>1</v>
      </c>
    </row>
    <row r="381" spans="1:76" s="16" customFormat="1" x14ac:dyDescent="0.25">
      <c r="A381" s="26" t="s">
        <v>2086</v>
      </c>
      <c r="B381" s="6" t="s">
        <v>2156</v>
      </c>
      <c r="C381" s="7">
        <v>1000</v>
      </c>
      <c r="D381" s="7" t="s">
        <v>528</v>
      </c>
      <c r="E381" s="7" t="str">
        <f>Groups!$A$138</f>
        <v>Pig (CARNIVORE)</v>
      </c>
      <c r="F381" s="7">
        <f>ROUND(7.545*(C381*1000)^0.2689,0)</f>
        <v>310</v>
      </c>
      <c r="G381" s="7">
        <v>4</v>
      </c>
      <c r="H381" s="7">
        <v>30</v>
      </c>
      <c r="I381" s="4">
        <v>0</v>
      </c>
      <c r="J381" s="7">
        <v>1</v>
      </c>
      <c r="K381" s="7" t="s">
        <v>528</v>
      </c>
      <c r="L381" s="7">
        <f>AVERAGE(5.83,4.56)*3.6*(23.3/11)</f>
        <v>39.614236363636365</v>
      </c>
      <c r="M381" s="7" t="s">
        <v>630</v>
      </c>
      <c r="N381" s="4">
        <v>0</v>
      </c>
      <c r="O381" s="4">
        <v>0</v>
      </c>
      <c r="P381" s="4">
        <v>0</v>
      </c>
      <c r="Q381" s="4">
        <v>0</v>
      </c>
      <c r="R381" s="4" t="s">
        <v>40</v>
      </c>
      <c r="S381" s="7">
        <f>_xlfn.XLOOKUP(B381,[1]TeethAdjusters!$A:$A,[1]BiteAdjusters!$C:$C,1)</f>
        <v>1</v>
      </c>
      <c r="T381" s="7">
        <f>_xlfn.XLOOKUP(B381,[1]TeethAdjusters!$A:$A,[1]TeethAdjusters!$B:$B,1)</f>
        <v>1</v>
      </c>
      <c r="U381" s="7" t="s">
        <v>45</v>
      </c>
      <c r="V381" s="7">
        <v>15</v>
      </c>
      <c r="W381" s="7" t="s">
        <v>45</v>
      </c>
      <c r="X381" s="7" t="s">
        <v>932</v>
      </c>
      <c r="Y381" s="4" t="s">
        <v>1003</v>
      </c>
      <c r="Z381" s="4">
        <v>1</v>
      </c>
      <c r="AA381" s="4">
        <v>0</v>
      </c>
      <c r="AB381" s="4">
        <v>0</v>
      </c>
      <c r="AC381" s="4">
        <v>0</v>
      </c>
      <c r="AD381" s="4">
        <v>0</v>
      </c>
      <c r="AE381" s="4" t="s">
        <v>45</v>
      </c>
      <c r="AF381" s="4" t="s">
        <v>45</v>
      </c>
      <c r="AG381" s="49" t="s">
        <v>391</v>
      </c>
      <c r="AH381" s="4" t="str">
        <f>Animals!$C$30</f>
        <v>&lt;li&gt;Pig&lt;/li&gt;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4" t="s">
        <v>40</v>
      </c>
      <c r="AO381" s="8">
        <f t="shared" si="259"/>
        <v>98928.854132845765</v>
      </c>
      <c r="AP381" s="8">
        <f>IFERROR(C381*_xlfn.XLOOKUP(E381,Groups!A:A,Groups!K:K),0.106*C381^0.94)</f>
        <v>70.033505488805162</v>
      </c>
      <c r="AQ381" s="8">
        <f>AP381*10000/(_xlfn.XLOOKUP(E381,Groups!A:A,Groups!J:J)*AO381)</f>
        <v>6.4946595237537998</v>
      </c>
      <c r="AR381" s="8">
        <f t="shared" si="260"/>
        <v>18601.190892984225</v>
      </c>
      <c r="AS381" s="8">
        <f>IF(_xlfn.XLOOKUP(E381,Groups!A:A,Groups!M:M)=1,EXP(0.7444*LN('Base stats'!C381)+6.5696),EXP(0.7927*LN('Base stats'!C381)+4.28))</f>
        <v>17253.62611008879</v>
      </c>
      <c r="AT381" s="8">
        <f>IF(_xlfn.XLOOKUP(E381,Groups!A:A,Groups!N:N)="No","No",
IF(_xlfn.XLOOKUP(E381,Groups!A:A,Groups!N:N)="Crocodile",EXP(0.8129*LN(C381)+4.6742)*S381,
IF(_xlfn.XLOOKUP(E381,Groups!A:A,Groups!N:N)="Felid",EXP(0.7843*LN(C381)+4.7073)*S381,
IF(_xlfn.XLOOKUP(E381,Groups!A:A,Groups!N:N)="Canid",EXP(0.8367*LN(C381)+4.8763)*S381,
IF(_xlfn.XLOOKUP(E381,Groups!A:A,Groups!N:N)="Pig",EXP(0.3439*LN(C381)+6.8519)*S381,
IF(_xlfn.XLOOKUP(E381,Groups!A:A,Groups!N:N)="Rodent",EXP(0.5625*LN(C381)+4.3006)*S381,
IF(_xlfn.XLOOKUP(E381,Groups!A:A,Groups!N:N)="Primate",EXP(0.7847*LN(C381)+3.4931)*S381,
IF(_xlfn.XLOOKUP(E381,Groups!A:A,Groups!N:N)="MiscCarnivora",EXP(0.7486*LN(C381)+4.2207)*S381,
IF(_xlfn.XLOOKUP(E381,Groups!A:A,Groups!N:N)="Lizard",EXP(0.7733*LN(C381)+5.5303)*S381,
IF(_xlfn.XLOOKUP(E381,Groups!A:A,Groups!N:N)="Snake",50*C381^(2/3)*S381,
IF(_xlfn.XLOOKUP(E381,Groups!A:A,Groups!N:N)="StrongBitingHerbivore",87.1133638856975*C381^(2/3)*S381,
IF(_xlfn.XLOOKUP(E381,Groups!A:A,Groups!N:N)="MiscEctotherms",59.4316884072269*C381^(2/3)*S381,
IF(_xlfn.XLOOKUP(E381,Groups!A:A,Groups!N:N)="StrongBeakBird",0.041*(C381*1000)^1.375*S381,
IF(_xlfn.XLOOKUP(E381,Groups!A:A,Groups!N:N)="Bird",0.118*(C381*1000)^0.692*S381,
IF(_xlfn.XLOOKUP(E381,Groups!A:A,Groups!N:N)="Insect",EXP(0.7444*LN(C381)+6.5696)*S381,
IF(_xlfn.XLOOKUP(E381,Groups!A:A,Groups!N:N)="Theropod",EXP(0.6966*LN(C381)+4.158)*S381,
"No"))))))))))))))))</f>
        <v>10172.843435156014</v>
      </c>
      <c r="AU381" s="8">
        <f>IF(_xlfn.XLOOKUP(E381,Groups!A:A,Groups!U:U)=3,AS381,IF(_xlfn.XLOOKUP(E381,Groups!A:A,Groups!U:U)=2,AR381,AT381))</f>
        <v>10172.843435156014</v>
      </c>
      <c r="AV381" s="46">
        <f>IFERROR(AVERAGE(_xlfn.XLOOKUP(B381,Animals!B:B,Animals!N:N),_xlfn.XLOOKUP(B381,Animals!B:B,Animals!O:O)),0)</f>
        <v>0</v>
      </c>
      <c r="AW381" s="8">
        <f>MROUND(40*Animals!AO381*_xlfn.XLOOKUP(AG381,Leathers!$A$2:$A$99,Leathers!$B$2:$B$99,0)+(140*_xlfn.XLOOKUP(B381,Animals!B:B,Animals!AO:AO)*2),5)</f>
        <v>1140</v>
      </c>
      <c r="AX381" s="8">
        <f>IFERROR(ROUND(SQRT(V381-1)*IF(_xlfn.XLOOKUP(E381,Groups!A:A,Groups!BF:BF)=0,2,1)*IF(_xlfn.XLOOKUP('Base stats'!E381,Groups!A:A,Groups!O:O)=0,1,0.1),1),0)</f>
        <v>7.5</v>
      </c>
      <c r="AY381" s="8">
        <f t="shared" si="261"/>
        <v>0</v>
      </c>
      <c r="AZ381" s="8">
        <f t="shared" si="262"/>
        <v>0</v>
      </c>
      <c r="BA381" s="8">
        <f t="shared" si="263"/>
        <v>9.5</v>
      </c>
      <c r="BB381" s="8">
        <f>IF(_xlfn.XLOOKUP(E381,Groups!A:A,Groups!N:N)="Insect",BD381*2.5,IFERROR(AVERAGE(BD381,AT381/9.81/IF(OR(_xlfn.XLOOKUP(E381,Groups!A:A,Groups!N:N)="Pig",_xlfn.XLOOKUP(E381,Groups!A:A,Groups!N:N)="StrongBitingHerbivore"),20,25))*C381^-0.135,BD381))</f>
        <v>11.612778767288519</v>
      </c>
      <c r="BC381" s="8" t="str">
        <f>IF(W381="No","No",IF(_xlfn.XLOOKUP(E381,Groups!A:A,Groups!U:U)=1,'Base stats'!BB381,IF(OR(_xlfn.XLOOKUP(E381,Groups!A:A,Groups!BD:BD)=1,_xlfn.XLOOKUP(E381,Groups!A:A,Groups!U:U)=2),BD381,IF(_xlfn.XLOOKUP(B381,Animals!B:B,Animals!AO:AO)&gt;4,AVERAGE(BD381,BF381),BF381))))</f>
        <v>No</v>
      </c>
      <c r="BD381" s="8">
        <f t="shared" si="264"/>
        <v>7.1661528472795499</v>
      </c>
      <c r="BE381" s="8">
        <f>IF(_xlfn.XLOOKUP(E381,Groups!A:A,Groups!BE:BE)=1,(0.048*C381^1.01)+(0.071*C381^1.03),0.071*C381^1.03)/IF(_xlfn.XLOOKUP(E381,Groups!A:A,Groups!M:M)=1,0.85,IF(OR(_xlfn.XLOOKUP(B381,Animals!B:B,Animals!AO:AO)&gt;4,_xlfn.XLOOKUP(E381,Groups!A:A,Groups!BC:BC)=1),1.7,1))*C381^-0.25</f>
        <v>15.53310753004182</v>
      </c>
      <c r="BF381" s="8">
        <f>(0.048*C381^1.01)/IF(_xlfn.XLOOKUP(E381,Groups!A:A,Groups!M:M)=1,0.25,0.8)*C381^-0.25</f>
        <v>11.432764307779475</v>
      </c>
      <c r="BG381" s="8">
        <f>EXP(1.076*LN(AR381)-4.5397)*IF(_xlfn.XLOOKUP(E381,Groups!A:A,Groups!BC:BC)=1,1.25,IF(_xlfn.XLOOKUP(E381,Groups!A:A,Groups!BD:BD)=1,3.5,2.5))</f>
        <v>1048.091492659345</v>
      </c>
      <c r="BH381" s="8">
        <f>EXP(1.076*LN(AS381)-4.5397)*IF(_xlfn.XLOOKUP(E381,Groups!A:A,Groups!M:M)=1,0.8,IF(_xlfn.XLOOKUP(E381,Groups!A:A,Groups!BC:BC)=1,1.3,3))</f>
        <v>1159.9463078008507</v>
      </c>
      <c r="BI381" s="8" t="str">
        <f>IF(W381="No","No",IF(_xlfn.XLOOKUP(E381,Groups!A:A,Groups!U:U)=1,'Base stats'!BJ381,IF(OR(_xlfn.XLOOKUP(E381,Groups!A:A,Groups!BD:BD)=1,_xlfn.XLOOKUP(E381,Groups!A:A,Groups!U:U)=2),BG381,BH381))*1.2)</f>
        <v>No</v>
      </c>
      <c r="BJ381" s="8">
        <f>IFERROR(EXP(1.076*LN(AT381)-4.5397)*IF(_xlfn.XLOOKUP(E381,Groups!A:A,Groups!N:N)="Insect",1,IF(OR(_xlfn.XLOOKUP(E381,Groups!A:A,Groups!N:N)="Pig",_xlfn.XLOOKUP(E381,Groups!A:A,Groups!N:N)="StrongBitingHerbivore"),3.5,3.75)),"No")</f>
        <v>766.49506812418394</v>
      </c>
      <c r="BK381" s="8">
        <f t="shared" si="265"/>
        <v>17</v>
      </c>
      <c r="BL381" s="8">
        <f t="shared" si="266"/>
        <v>12</v>
      </c>
      <c r="BM381" s="8" t="str">
        <f t="shared" si="267"/>
        <v>No</v>
      </c>
      <c r="BN381" s="8">
        <f t="shared" si="268"/>
        <v>11</v>
      </c>
      <c r="BO381" s="8">
        <f t="shared" si="269"/>
        <v>14</v>
      </c>
      <c r="BP381" s="8" t="str" cm="1">
        <f t="array" ref="BP381">IF(AND(_xlfn.XLOOKUP('Base stats'!E381,Groups!A:A,Groups!AD:AD=0),_xlfn.XLOOKUP('Base stats'!E381,Groups!A:A,Groups!P:P=0)),"No",IF(U381="No",AVERAGE(EXP(-0.57+0.99*LN(C381)),EXP(0.32+0.67*LN(C381)))/IF(_xlfn.XLOOKUP(E381,Groups!A:A,Groups!AD:AD)=1,10,2),(0.7354*C381^0.4078)*2/IF(_xlfn.XLOOKUP(E381,Groups!A:A,Groups!BK:BK)=1,1000,100)/IF(_xlfn.XLOOKUP(E381,Groups!A:A,Groups!AJ:AJ)="Photonozoa",3,1)))</f>
        <v>No</v>
      </c>
      <c r="BQ381" s="8" t="str">
        <f>IF(W381="No","No",IF(_xlfn.XLOOKUP(E381,Groups!A:A,Groups!BD:BD)=1,(AO381*5%),EXP(0.7354*LN(C381)^0.4078)*2/IF(_xlfn.XLOOKUP(E381,Groups!A:A,Groups!BL:BL)=1,1000,100)/IF(_xlfn.XLOOKUP(E381,Groups!A:A,Groups!AJ:AJ)="Photonozoa",3,1)))</f>
        <v>No</v>
      </c>
      <c r="BR381" s="8">
        <f>IF(BJ381="No","No",IF(_xlfn.XLOOKUP(E381,Groups!A:A,Groups!BF:BF)=1,(0.0315*C381+2.1825)*2,(0.7354*C381^0.4078)*2)/IF(_xlfn.XLOOKUP(E381,Groups!A:A,Groups!BM:BM)=1,1000,100)/IF(_xlfn.XLOOKUP(E381,Groups!A:A,Groups!AJ:AJ)="Photonozoa",3,1))</f>
        <v>0.24601048727132832</v>
      </c>
      <c r="BS381" s="8">
        <f t="shared" si="270"/>
        <v>0.21188792730822986</v>
      </c>
      <c r="BT381" s="8" t="str">
        <f t="shared" si="271"/>
        <v>No</v>
      </c>
      <c r="BU381" s="8" t="str">
        <f t="shared" si="272"/>
        <v>No</v>
      </c>
      <c r="BV381" s="8">
        <f t="shared" si="273"/>
        <v>3115.7007842466737</v>
      </c>
      <c r="BW381" s="4">
        <v>0</v>
      </c>
      <c r="BX381" s="4">
        <v>1</v>
      </c>
    </row>
    <row r="382" spans="1:76" s="16" customFormat="1" x14ac:dyDescent="0.25">
      <c r="A382" s="26" t="s">
        <v>2087</v>
      </c>
      <c r="B382" s="6" t="s">
        <v>1210</v>
      </c>
      <c r="C382" s="7">
        <v>158</v>
      </c>
      <c r="D382" s="7" t="s">
        <v>1219</v>
      </c>
      <c r="E382" s="7" t="str">
        <f>Groups!$A$13</f>
        <v>Bird</v>
      </c>
      <c r="F382" s="7" t="str">
        <f t="shared" ref="F382" si="274">"Lay eggs"</f>
        <v>Lay eggs</v>
      </c>
      <c r="G382" s="7">
        <f>5</f>
        <v>5</v>
      </c>
      <c r="H382" s="7">
        <v>50</v>
      </c>
      <c r="I382" s="4">
        <v>0</v>
      </c>
      <c r="J382" s="7" t="str">
        <f t="shared" ref="J382" si="275">"Lay eggs"</f>
        <v>Lay eggs</v>
      </c>
      <c r="K382" s="7" t="s">
        <v>528</v>
      </c>
      <c r="L382" s="7">
        <f>$L$5*(C382/$C$5)^0.165</f>
        <v>50.859758862058797</v>
      </c>
      <c r="M382" s="7" t="s">
        <v>627</v>
      </c>
      <c r="N382" s="4">
        <v>0</v>
      </c>
      <c r="O382" s="4">
        <v>0</v>
      </c>
      <c r="P382" s="4">
        <v>0</v>
      </c>
      <c r="Q382" s="4">
        <v>0</v>
      </c>
      <c r="R382" s="4" t="s">
        <v>40</v>
      </c>
      <c r="S382" s="7">
        <f>_xlfn.XLOOKUP(B382,[1]TeethAdjusters!$A:$A,[1]BiteAdjusters!$C:$C,1)</f>
        <v>1</v>
      </c>
      <c r="T382" s="7">
        <f>_xlfn.XLOOKUP(B382,[1]TeethAdjusters!$A:$A,[1]TeethAdjusters!$B:$B,1)</f>
        <v>1</v>
      </c>
      <c r="U382" s="7">
        <v>6</v>
      </c>
      <c r="V382" s="7">
        <v>8</v>
      </c>
      <c r="W382" s="7" t="s">
        <v>45</v>
      </c>
      <c r="X382" s="7" t="s">
        <v>932</v>
      </c>
      <c r="Y382" s="4" t="s">
        <v>42</v>
      </c>
      <c r="Z382" s="4">
        <v>1</v>
      </c>
      <c r="AA382" s="4">
        <v>0</v>
      </c>
      <c r="AB382" s="4">
        <v>0</v>
      </c>
      <c r="AC382" s="4">
        <v>0</v>
      </c>
      <c r="AD382" s="4">
        <v>0</v>
      </c>
      <c r="AE382" s="4" t="s">
        <v>45</v>
      </c>
      <c r="AF382" s="4" t="s">
        <v>311</v>
      </c>
      <c r="AG382" s="49" t="s">
        <v>375</v>
      </c>
      <c r="AH382" s="4" t="str">
        <f>Animals!$C$6</f>
        <v>&lt;li&gt;Cassowary&lt;/li&gt;</v>
      </c>
      <c r="AI382" s="4">
        <v>0</v>
      </c>
      <c r="AJ382" s="4">
        <v>0</v>
      </c>
      <c r="AK382" s="4">
        <v>0</v>
      </c>
      <c r="AL382" s="4">
        <v>0</v>
      </c>
      <c r="AM382" s="4">
        <v>1</v>
      </c>
      <c r="AN382" s="44" t="s">
        <v>40</v>
      </c>
      <c r="AO382" s="8">
        <f t="shared" ref="AO382:AO384" si="276">(0.111*C382^0.65)*10000</f>
        <v>29816.048439554645</v>
      </c>
      <c r="AP382" s="8">
        <f>IFERROR(C382*_xlfn.XLOOKUP(E382,Groups!A:A,Groups!K:K),0.106*C382^0.94)</f>
        <v>12.360713120212504</v>
      </c>
      <c r="AQ382" s="8">
        <f>AP382*10000/(_xlfn.XLOOKUP(E382,Groups!A:A,Groups!J:J)*AO382)</f>
        <v>3.8033557005385839</v>
      </c>
      <c r="AR382" s="8">
        <f t="shared" ref="AR382:AR384" si="277">EXP(0.8447*LN(C382)+3.996)</f>
        <v>3914.2304491773752</v>
      </c>
      <c r="AS382" s="8">
        <f>IF(_xlfn.XLOOKUP(E382,Groups!A:A,Groups!M:M)=1,EXP(0.7444*LN('Base stats'!C382)+6.5696),EXP(0.7927*LN('Base stats'!C382)+4.28))</f>
        <v>3996.2795016509476</v>
      </c>
      <c r="AT382" s="8">
        <f>IF(_xlfn.XLOOKUP(E382,Groups!A:A,Groups!N:N)="No","No",
IF(_xlfn.XLOOKUP(E382,Groups!A:A,Groups!N:N)="Crocodile",EXP(0.8129*LN(C382)+4.6742)*S382,
IF(_xlfn.XLOOKUP(E382,Groups!A:A,Groups!N:N)="Felid",EXP(0.7843*LN(C382)+4.7073)*S382,
IF(_xlfn.XLOOKUP(E382,Groups!A:A,Groups!N:N)="Canid",EXP(0.8367*LN(C382)+4.8763)*S382,
IF(_xlfn.XLOOKUP(E382,Groups!A:A,Groups!N:N)="Pig",EXP(0.3439*LN(C382)+6.8519)*S382,
IF(_xlfn.XLOOKUP(E382,Groups!A:A,Groups!N:N)="Rodent",EXP(0.5625*LN(C382)+4.3006)*S382,
IF(_xlfn.XLOOKUP(E382,Groups!A:A,Groups!N:N)="Primate",EXP(0.7847*LN(C382)+3.4931)*S382,
IF(_xlfn.XLOOKUP(E382,Groups!A:A,Groups!N:N)="MiscCarnivora",EXP(0.7486*LN(C382)+4.2207)*S382,
IF(_xlfn.XLOOKUP(E382,Groups!A:A,Groups!N:N)="Lizard",EXP(0.7733*LN(C382)+5.5303)*S382,
IF(_xlfn.XLOOKUP(E382,Groups!A:A,Groups!N:N)="Snake",50*C382^(2/3)*S382,
IF(_xlfn.XLOOKUP(E382,Groups!A:A,Groups!N:N)="StrongBitingHerbivore",87.1133638856975*C382^(2/3)*S382,
IF(_xlfn.XLOOKUP(E382,Groups!A:A,Groups!N:N)="MiscEctotherms",59.4316884072269*C382^(2/3)*S382,
IF(_xlfn.XLOOKUP(E382,Groups!A:A,Groups!N:N)="StrongBeakBird",0.041*(C382*1000)^1.375*S382,
IF(_xlfn.XLOOKUP(E382,Groups!A:A,Groups!N:N)="Bird",0.118*(C382*1000)^0.692*S382,
IF(_xlfn.XLOOKUP(E382,Groups!A:A,Groups!N:N)="Insect",EXP(0.7444*LN(C382)+6.5696)*S382,
IF(_xlfn.XLOOKUP(E382,Groups!A:A,Groups!N:N)="Theropod",EXP(0.6966*LN(C382)+4.158)*S382,
"No"))))))))))))))))</f>
        <v>467.03853082898877</v>
      </c>
      <c r="AU382" s="8">
        <f>IF(_xlfn.XLOOKUP(E382,Groups!A:A,Groups!U:U)=3,AS382,IF(_xlfn.XLOOKUP(E382,Groups!A:A,Groups!U:U)=2,AR382,AT382))</f>
        <v>467.03853082898877</v>
      </c>
      <c r="AV382" s="46">
        <f>IFERROR(AVERAGE(_xlfn.XLOOKUP(B382,Animals!B:B,Animals!N:N),_xlfn.XLOOKUP(B382,Animals!B:B,Animals!O:O)),0)</f>
        <v>0</v>
      </c>
      <c r="AW382" s="8">
        <f>MROUND(40*Animals!AO382*_xlfn.XLOOKUP(AG382,Leathers!$A$2:$A$99,Leathers!$B$2:$B$99,0)+(140*_xlfn.XLOOKUP(B382,Animals!B:B,Animals!AO:AO)*2),5)</f>
        <v>1025</v>
      </c>
      <c r="AX382" s="8">
        <f>IFERROR(ROUND(SQRT(V382-1)*IF(_xlfn.XLOOKUP(E382,Groups!A:A,Groups!BF:BF)=0,2,1)*IF(_xlfn.XLOOKUP('Base stats'!E382,Groups!A:A,Groups!O:O)=0,1,0.1),1),0)</f>
        <v>0.3</v>
      </c>
      <c r="AY382" s="8">
        <f t="shared" ref="AY382:AY384" si="278">IFERROR(ROUND(SQRT(U382-1),1),0)</f>
        <v>2.2000000000000002</v>
      </c>
      <c r="AZ382" s="8">
        <f t="shared" ref="AZ382:AZ384" si="279">IFERROR(ROUND(SQRT(W382),1),0)</f>
        <v>0</v>
      </c>
      <c r="BA382" s="8">
        <f t="shared" ref="BA382:BA384" si="280">ROUND(
  EXP(0.3582*LN(C382)-0.2221) *
  (0.75 + 0.25*(C382^4/(C382^4+10^4))),
1)</f>
        <v>4.9000000000000004</v>
      </c>
      <c r="BB382" s="8">
        <f>IF(_xlfn.XLOOKUP(E382,Groups!A:A,Groups!N:N)="Insect",BD382*2.5,IFERROR(AVERAGE(BD382,AT382/9.81/IF(OR(_xlfn.XLOOKUP(E382,Groups!A:A,Groups!N:N)="Pig",_xlfn.XLOOKUP(E382,Groups!A:A,Groups!N:N)="StrongBitingHerbivore"),20,25))*C382^-0.135,BD382))</f>
        <v>0.93073584075318005</v>
      </c>
      <c r="BC382" s="8" t="str">
        <f>IF(W382="No","No",IF(_xlfn.XLOOKUP(E382,Groups!A:A,Groups!U:U)=1,'Base stats'!BB382,IF(OR(_xlfn.XLOOKUP(E382,Groups!A:A,Groups!BD:BD)=1,_xlfn.XLOOKUP(E382,Groups!A:A,Groups!U:U)=2),BD382,IF(_xlfn.XLOOKUP(B382,Animals!B:B,Animals!AO:AO)&gt;4,AVERAGE(BD382,BF382),BF382))))</f>
        <v>No</v>
      </c>
      <c r="BD382" s="8">
        <f t="shared" ref="BD382:BD384" si="281">(0.0392*C382^IF(OR(Y382="Herbivore",Y382="Dendrovore",Y382="OmnivoreRough"),0.889,0.966))*C382^-0.135</f>
        <v>1.7826804862107648</v>
      </c>
      <c r="BE382" s="8">
        <f>IF(_xlfn.XLOOKUP(E382,Groups!A:A,Groups!BE:BE)=1,(0.048*C382^1.01)+(0.071*C382^1.03),0.071*C382^1.03)/IF(_xlfn.XLOOKUP(E382,Groups!A:A,Groups!M:M)=1,0.85,IF(OR(_xlfn.XLOOKUP(B382,Animals!B:B,Animals!AO:AO)&gt;4,_xlfn.XLOOKUP(E382,Groups!A:A,Groups!BC:BC)=1),1.7,1))*C382^-0.25</f>
        <v>5.9332750873560087</v>
      </c>
      <c r="BF382" s="8">
        <f>(0.048*C382^1.01)/IF(_xlfn.XLOOKUP(E382,Groups!A:A,Groups!M:M)=1,0.25,0.8)*C382^-0.25</f>
        <v>2.8127467818541616</v>
      </c>
      <c r="BG382" s="8">
        <f>EXP(1.076*LN(AR382)-4.5397)*IF(_xlfn.XLOOKUP(E382,Groups!A:A,Groups!BC:BC)=1,1.25,IF(_xlfn.XLOOKUP(E382,Groups!A:A,Groups!BD:BD)=1,3.5,2.5))</f>
        <v>195.91192228350945</v>
      </c>
      <c r="BH382" s="8">
        <f>EXP(1.076*LN(AS382)-4.5397)*IF(_xlfn.XLOOKUP(E382,Groups!A:A,Groups!M:M)=1,0.8,IF(_xlfn.XLOOKUP(E382,Groups!A:A,Groups!BC:BC)=1,1.3,3))</f>
        <v>240.40101424282807</v>
      </c>
      <c r="BI382" s="8" t="str">
        <f>IF(W382="No","No",IF(_xlfn.XLOOKUP(E382,Groups!A:A,Groups!U:U)=1,'Base stats'!BJ382,IF(OR(_xlfn.XLOOKUP(E382,Groups!A:A,Groups!BD:BD)=1,_xlfn.XLOOKUP(E382,Groups!A:A,Groups!U:U)=2),BG382,BH382))*1.2)</f>
        <v>No</v>
      </c>
      <c r="BJ382" s="8">
        <f>IFERROR(EXP(1.076*LN(AT382)-4.5397)*IF(_xlfn.XLOOKUP(E382,Groups!A:A,Groups!N:N)="Insect",1,IF(OR(_xlfn.XLOOKUP(E382,Groups!A:A,Groups!N:N)="Pig",_xlfn.XLOOKUP(E382,Groups!A:A,Groups!N:N)="StrongBitingHerbivore"),3.5,3.75)),"No")</f>
        <v>29.832395347188957</v>
      </c>
      <c r="BK382" s="8">
        <f t="shared" ref="BK382:BK384" si="282">ROUNDDOWN(SQRT((2*BG382)/BD382),0)</f>
        <v>14</v>
      </c>
      <c r="BL382" s="8">
        <f t="shared" ref="BL382:BL384" si="283">ROUNDDOWN(SQRT((2*BH382)/BE382),0)</f>
        <v>9</v>
      </c>
      <c r="BM382" s="8" t="str">
        <f t="shared" ref="BM382:BM384" si="284">IF(W382="No","No",ROUNDDOWN(SQRT((2*BI382)/BC382),0))</f>
        <v>No</v>
      </c>
      <c r="BN382" s="8">
        <f t="shared" ref="BN382:BN384" si="285">IF(V382="No","No",ROUNDDOWN(SQRT((2*BJ382)/BB382),0))</f>
        <v>8</v>
      </c>
      <c r="BO382" s="8">
        <f t="shared" ref="BO382:BO384" si="286">ROUNDDOWN(SQRT((2*BH382)/BF382),0)</f>
        <v>13</v>
      </c>
      <c r="BP382" s="8" cm="1">
        <f t="array" ref="BP382">IF(AND(_xlfn.XLOOKUP('Base stats'!E382,Groups!A:A,Groups!AD:AD=0),_xlfn.XLOOKUP('Base stats'!E382,Groups!A:A,Groups!P:P=0)),"No",IF(U382="No",AVERAGE(EXP(-0.57+0.99*LN(C382)),EXP(0.32+0.67*LN(C382)))/IF(_xlfn.XLOOKUP(E382,Groups!A:A,Groups!AD:AD)=1,10,2),(0.7354*C382^0.4078)*2/IF(_xlfn.XLOOKUP(E382,Groups!A:A,Groups!BK:BK)=1,1000,100)/IF(_xlfn.XLOOKUP(E382,Groups!A:A,Groups!AJ:AJ)="Photonozoa",3,1)))</f>
        <v>0.11592203092401863</v>
      </c>
      <c r="BQ382" s="8" t="str">
        <f>IF(W382="No","No",IF(_xlfn.XLOOKUP(E382,Groups!A:A,Groups!BD:BD)=1,(AO382*5%),EXP(0.7354*LN(C382)^0.4078)*2/IF(_xlfn.XLOOKUP(E382,Groups!A:A,Groups!BL:BL)=1,1000,100)/IF(_xlfn.XLOOKUP(E382,Groups!A:A,Groups!AJ:AJ)="Photonozoa",3,1)))</f>
        <v>No</v>
      </c>
      <c r="BR382" s="8">
        <f>IF(BJ382="No","No",IF(_xlfn.XLOOKUP(E382,Groups!A:A,Groups!BF:BF)=1,(0.0315*C382+2.1825)*2,(0.7354*C382^0.4078)*2)/IF(_xlfn.XLOOKUP(E382,Groups!A:A,Groups!BM:BM)=1,1000,100)/IF(_xlfn.XLOOKUP(E382,Groups!A:A,Groups!AJ:AJ)="Photonozoa",3,1))</f>
        <v>0.11592203092401863</v>
      </c>
      <c r="BS382" s="8">
        <f t="shared" ref="BS382:BS384" si="287">BG382/(AO382*5%)</f>
        <v>0.13141374027525946</v>
      </c>
      <c r="BT382" s="8">
        <f t="shared" ref="BT382:BT384" si="288">IF(BP382="No","No",BH382/BP382)</f>
        <v>2073.8164465079071</v>
      </c>
      <c r="BU382" s="8" t="str">
        <f t="shared" ref="BU382:BU384" si="289">IF(W382="No","No",BI382/BQ382)</f>
        <v>No</v>
      </c>
      <c r="BV382" s="8">
        <f t="shared" ref="BV382:BV384" si="290">IF(BJ382="No","No",BJ382/BR382)</f>
        <v>257.3487982344156</v>
      </c>
      <c r="BW382" s="4">
        <v>0</v>
      </c>
      <c r="BX382" s="4">
        <v>1</v>
      </c>
    </row>
    <row r="383" spans="1:76" s="16" customFormat="1" x14ac:dyDescent="0.25">
      <c r="A383" s="26" t="s">
        <v>2088</v>
      </c>
      <c r="B383" s="6" t="s">
        <v>2157</v>
      </c>
      <c r="C383" s="7">
        <v>1000</v>
      </c>
      <c r="D383" s="7" t="s">
        <v>2158</v>
      </c>
      <c r="E383" s="7" t="str">
        <f>Groups!$A$22</f>
        <v>Camellike (LLAMA)</v>
      </c>
      <c r="F383" s="7">
        <f>ROUND(7.545*(C383*1000)^0.2689,0)</f>
        <v>310</v>
      </c>
      <c r="G383" s="7">
        <v>2.5</v>
      </c>
      <c r="H383" s="7">
        <v>30</v>
      </c>
      <c r="I383" s="4">
        <v>1</v>
      </c>
      <c r="J383" s="7">
        <v>1</v>
      </c>
      <c r="K383" s="7" t="s">
        <v>528</v>
      </c>
      <c r="L383" s="7">
        <v>50</v>
      </c>
      <c r="M383" s="7" t="s">
        <v>528</v>
      </c>
      <c r="N383" s="4">
        <v>0</v>
      </c>
      <c r="O383" s="4">
        <v>0</v>
      </c>
      <c r="P383" s="4">
        <v>0</v>
      </c>
      <c r="Q383" s="4">
        <v>0</v>
      </c>
      <c r="R383" s="4" t="s">
        <v>40</v>
      </c>
      <c r="S383" s="7">
        <f>_xlfn.XLOOKUP(B383,[1]TeethAdjusters!$A:$A,[1]BiteAdjusters!$C:$C,1)</f>
        <v>1</v>
      </c>
      <c r="T383" s="7">
        <f>_xlfn.XLOOKUP(B383,[1]TeethAdjusters!$A:$A,[1]TeethAdjusters!$B:$B,1)</f>
        <v>1</v>
      </c>
      <c r="U383" s="7" t="s">
        <v>45</v>
      </c>
      <c r="V383" s="7">
        <v>2.5</v>
      </c>
      <c r="W383" s="7" t="s">
        <v>45</v>
      </c>
      <c r="X383" s="7" t="s">
        <v>932</v>
      </c>
      <c r="Y383" s="4" t="s">
        <v>42</v>
      </c>
      <c r="Z383" s="4">
        <v>1</v>
      </c>
      <c r="AA383" s="4">
        <v>0</v>
      </c>
      <c r="AB383" s="4">
        <v>0</v>
      </c>
      <c r="AC383" s="4">
        <v>0</v>
      </c>
      <c r="AD383" s="4">
        <v>0</v>
      </c>
      <c r="AE383" s="4" t="s">
        <v>45</v>
      </c>
      <c r="AF383" s="4" t="s">
        <v>398</v>
      </c>
      <c r="AG383" s="49" t="s">
        <v>377</v>
      </c>
      <c r="AH383" s="4" t="s">
        <v>45</v>
      </c>
      <c r="AI383" s="4">
        <v>1</v>
      </c>
      <c r="AJ383" s="4">
        <v>0</v>
      </c>
      <c r="AK383" s="4">
        <v>0</v>
      </c>
      <c r="AL383" s="4">
        <v>0</v>
      </c>
      <c r="AM383" s="4">
        <v>0</v>
      </c>
      <c r="AN383" s="44" t="s">
        <v>40</v>
      </c>
      <c r="AO383" s="8">
        <f t="shared" si="276"/>
        <v>98928.854132845765</v>
      </c>
      <c r="AP383" s="8">
        <f>IFERROR(C383*_xlfn.XLOOKUP(E383,Groups!A:A,Groups!K:K),0.106*C383^0.94)</f>
        <v>70.033505488805162</v>
      </c>
      <c r="AQ383" s="8">
        <f>AP383*10000/(_xlfn.XLOOKUP(E383,Groups!A:A,Groups!J:J)*AO383)</f>
        <v>6.4946595237537998</v>
      </c>
      <c r="AR383" s="8">
        <f t="shared" si="277"/>
        <v>18601.190892984225</v>
      </c>
      <c r="AS383" s="8">
        <f>IF(_xlfn.XLOOKUP(E383,Groups!A:A,Groups!M:M)=1,EXP(0.7444*LN('Base stats'!C383)+6.5696),EXP(0.7927*LN('Base stats'!C383)+4.28))</f>
        <v>17253.62611008879</v>
      </c>
      <c r="AT383" s="8">
        <f>IF(_xlfn.XLOOKUP(E383,Groups!A:A,Groups!N:N)="No","No",
IF(_xlfn.XLOOKUP(E383,Groups!A:A,Groups!N:N)="Crocodile",EXP(0.8129*LN(C383)+4.6742)*S383,
IF(_xlfn.XLOOKUP(E383,Groups!A:A,Groups!N:N)="Felid",EXP(0.7843*LN(C383)+4.7073)*S383,
IF(_xlfn.XLOOKUP(E383,Groups!A:A,Groups!N:N)="Canid",EXP(0.8367*LN(C383)+4.8763)*S383,
IF(_xlfn.XLOOKUP(E383,Groups!A:A,Groups!N:N)="Pig",EXP(0.3439*LN(C383)+6.8519)*S383,
IF(_xlfn.XLOOKUP(E383,Groups!A:A,Groups!N:N)="Rodent",EXP(0.5625*LN(C383)+4.3006)*S383,
IF(_xlfn.XLOOKUP(E383,Groups!A:A,Groups!N:N)="Primate",EXP(0.7847*LN(C383)+3.4931)*S383,
IF(_xlfn.XLOOKUP(E383,Groups!A:A,Groups!N:N)="MiscCarnivora",EXP(0.7486*LN(C383)+4.2207)*S383,
IF(_xlfn.XLOOKUP(E383,Groups!A:A,Groups!N:N)="Lizard",EXP(0.7733*LN(C383)+5.5303)*S383,
IF(_xlfn.XLOOKUP(E383,Groups!A:A,Groups!N:N)="Snake",50*C383^(2/3)*S383,
IF(_xlfn.XLOOKUP(E383,Groups!A:A,Groups!N:N)="StrongBitingHerbivore",87.1133638856975*C383^(2/3)*S383,
IF(_xlfn.XLOOKUP(E383,Groups!A:A,Groups!N:N)="MiscEctotherms",59.4316884072269*C383^(2/3)*S383,
IF(_xlfn.XLOOKUP(E383,Groups!A:A,Groups!N:N)="StrongBeakBird",0.041*(C383*1000)^1.375*S383,
IF(_xlfn.XLOOKUP(E383,Groups!A:A,Groups!N:N)="Bird",0.118*(C383*1000)^0.692*S383,
IF(_xlfn.XLOOKUP(E383,Groups!A:A,Groups!N:N)="Insect",EXP(0.7444*LN(C383)+6.5696)*S383,
IF(_xlfn.XLOOKUP(E383,Groups!A:A,Groups!N:N)="Theropod",EXP(0.6966*LN(C383)+4.158)*S383,
"No"))))))))))))))))</f>
        <v>8711.3363885697454</v>
      </c>
      <c r="AU383" s="8">
        <f>IF(_xlfn.XLOOKUP(E383,Groups!A:A,Groups!U:U)=3,AS383,IF(_xlfn.XLOOKUP(E383,Groups!A:A,Groups!U:U)=2,AR383,AT383))</f>
        <v>8711.3363885697454</v>
      </c>
      <c r="AV383" s="46">
        <f>IFERROR(AVERAGE(_xlfn.XLOOKUP(B383,Animals!B:B,Animals!N:N),_xlfn.XLOOKUP(B383,Animals!B:B,Animals!O:O)),0)</f>
        <v>0</v>
      </c>
      <c r="AW383" s="8">
        <f>MROUND(40*Animals!AO383*_xlfn.XLOOKUP(AG383,Leathers!$A$2:$A$99,Leathers!$B$2:$B$99,0)+(140*_xlfn.XLOOKUP(B383,Animals!B:B,Animals!AO:AO)*2),5)</f>
        <v>1120</v>
      </c>
      <c r="AX383" s="8">
        <f>IFERROR(ROUND(SQRT(V383-1)*IF(_xlfn.XLOOKUP(E383,Groups!A:A,Groups!BF:BF)=0,2,1)*IF(_xlfn.XLOOKUP('Base stats'!E383,Groups!A:A,Groups!O:O)=0,1,0.1),1),0)</f>
        <v>1.2</v>
      </c>
      <c r="AY383" s="8">
        <f t="shared" si="278"/>
        <v>0</v>
      </c>
      <c r="AZ383" s="8">
        <f t="shared" si="279"/>
        <v>0</v>
      </c>
      <c r="BA383" s="8">
        <f t="shared" si="280"/>
        <v>9.5</v>
      </c>
      <c r="BB383" s="8">
        <f>IF(_xlfn.XLOOKUP(E383,Groups!A:A,Groups!N:N)="Insect",BD383*2.5,IFERROR(AVERAGE(BD383,AT383/9.81/IF(OR(_xlfn.XLOOKUP(E383,Groups!A:A,Groups!N:N)="Pig",_xlfn.XLOOKUP(E383,Groups!A:A,Groups!N:N)="StrongBitingHerbivore"),20,25))*C383^-0.135,BD383))</f>
        <v>10.146988225843119</v>
      </c>
      <c r="BC383" s="8" t="str">
        <f>IF(W383="No","No",IF(_xlfn.XLOOKUP(E383,Groups!A:A,Groups!U:U)=1,'Base stats'!BB383,IF(OR(_xlfn.XLOOKUP(E383,Groups!A:A,Groups!BD:BD)=1,_xlfn.XLOOKUP(E383,Groups!A:A,Groups!U:U)=2),BD383,IF(_xlfn.XLOOKUP(B383,Animals!B:B,Animals!AO:AO)&gt;4,AVERAGE(BD383,BF383),BF383))))</f>
        <v>No</v>
      </c>
      <c r="BD383" s="8">
        <f t="shared" si="281"/>
        <v>7.1661528472795499</v>
      </c>
      <c r="BE383" s="8">
        <f>IF(_xlfn.XLOOKUP(E383,Groups!A:A,Groups!BE:BE)=1,(0.048*C383^1.01)+(0.071*C383^1.03),0.071*C383^1.03)/IF(_xlfn.XLOOKUP(E383,Groups!A:A,Groups!M:M)=1,0.85,IF(OR(_xlfn.XLOOKUP(B383,Animals!B:B,Animals!AO:AO)&gt;4,_xlfn.XLOOKUP(E383,Groups!A:A,Groups!BC:BC)=1),1.7,1))*C383^-0.25</f>
        <v>15.53310753004182</v>
      </c>
      <c r="BF383" s="8">
        <f>(0.048*C383^1.01)/IF(_xlfn.XLOOKUP(E383,Groups!A:A,Groups!M:M)=1,0.25,0.8)*C383^-0.25</f>
        <v>11.432764307779475</v>
      </c>
      <c r="BG383" s="8">
        <f>EXP(1.076*LN(AR383)-4.5397)*IF(_xlfn.XLOOKUP(E383,Groups!A:A,Groups!BC:BC)=1,1.25,IF(_xlfn.XLOOKUP(E383,Groups!A:A,Groups!BD:BD)=1,3.5,2.5))</f>
        <v>1048.091492659345</v>
      </c>
      <c r="BH383" s="8">
        <f>EXP(1.076*LN(AS383)-4.5397)*IF(_xlfn.XLOOKUP(E383,Groups!A:A,Groups!M:M)=1,0.8,IF(_xlfn.XLOOKUP(E383,Groups!A:A,Groups!BC:BC)=1,1.3,3))</f>
        <v>1159.9463078008507</v>
      </c>
      <c r="BI383" s="8" t="str">
        <f>IF(W383="No","No",IF(_xlfn.XLOOKUP(E383,Groups!A:A,Groups!U:U)=1,'Base stats'!BJ383,IF(OR(_xlfn.XLOOKUP(E383,Groups!A:A,Groups!BD:BD)=1,_xlfn.XLOOKUP(E383,Groups!A:A,Groups!U:U)=2),BG383,BH383))*1.2)</f>
        <v>No</v>
      </c>
      <c r="BJ383" s="8">
        <f>IFERROR(EXP(1.076*LN(AT383)-4.5397)*IF(_xlfn.XLOOKUP(E383,Groups!A:A,Groups!N:N)="Insect",1,IF(OR(_xlfn.XLOOKUP(E383,Groups!A:A,Groups!N:N)="Pig",_xlfn.XLOOKUP(E383,Groups!A:A,Groups!N:N)="StrongBitingHerbivore"),3.5,3.75)),"No")</f>
        <v>648.68314380571496</v>
      </c>
      <c r="BK383" s="8">
        <f t="shared" si="282"/>
        <v>17</v>
      </c>
      <c r="BL383" s="8">
        <f t="shared" si="283"/>
        <v>12</v>
      </c>
      <c r="BM383" s="8" t="str">
        <f t="shared" si="284"/>
        <v>No</v>
      </c>
      <c r="BN383" s="8">
        <f t="shared" si="285"/>
        <v>11</v>
      </c>
      <c r="BO383" s="8">
        <f t="shared" si="286"/>
        <v>14</v>
      </c>
      <c r="BP383" s="8" cm="1">
        <f t="array" ref="BP383">IF(AND(_xlfn.XLOOKUP('Base stats'!E383,Groups!A:A,Groups!AD:AD=0),_xlfn.XLOOKUP('Base stats'!E383,Groups!A:A,Groups!P:P=0)),"No",IF(U383="No",AVERAGE(EXP(-0.57+0.99*LN(C383)),EXP(0.32+0.67*LN(C383)))/IF(_xlfn.XLOOKUP(E383,Groups!A:A,Groups!AD:AD)=1,10,2),(0.7354*C383^0.4078)*2/IF(_xlfn.XLOOKUP(E383,Groups!A:A,Groups!BK:BK)=1,1000,100)/IF(_xlfn.XLOOKUP(E383,Groups!A:A,Groups!AJ:AJ)="Photonozoa",3,1)))</f>
        <v>167.17489173711817</v>
      </c>
      <c r="BQ383" s="8" t="str">
        <f>IF(W383="No","No",IF(_xlfn.XLOOKUP(E383,Groups!A:A,Groups!BD:BD)=1,(AO383*5%),EXP(0.7354*LN(C383)^0.4078)*2/IF(_xlfn.XLOOKUP(E383,Groups!A:A,Groups!BL:BL)=1,1000,100)/IF(_xlfn.XLOOKUP(E383,Groups!A:A,Groups!AJ:AJ)="Photonozoa",3,1)))</f>
        <v>No</v>
      </c>
      <c r="BR383" s="8">
        <f>IF(BJ383="No","No",IF(_xlfn.XLOOKUP(E383,Groups!A:A,Groups!BF:BF)=1,(0.0315*C383+2.1825)*2,(0.7354*C383^0.4078)*2)/IF(_xlfn.XLOOKUP(E383,Groups!A:A,Groups!BM:BM)=1,1000,100)/IF(_xlfn.XLOOKUP(E383,Groups!A:A,Groups!AJ:AJ)="Photonozoa",3,1))</f>
        <v>0.67364999999999997</v>
      </c>
      <c r="BS383" s="8">
        <f t="shared" si="287"/>
        <v>0.21188792730822986</v>
      </c>
      <c r="BT383" s="8">
        <f t="shared" si="288"/>
        <v>6.9385198683116931</v>
      </c>
      <c r="BU383" s="8" t="str">
        <f t="shared" si="289"/>
        <v>No</v>
      </c>
      <c r="BV383" s="8">
        <f t="shared" si="290"/>
        <v>962.93794077891334</v>
      </c>
      <c r="BW383" s="4">
        <v>0</v>
      </c>
      <c r="BX383" s="4">
        <v>1</v>
      </c>
    </row>
    <row r="384" spans="1:76" s="16" customFormat="1" x14ac:dyDescent="0.25">
      <c r="A384" s="26" t="s">
        <v>2089</v>
      </c>
      <c r="B384" s="6" t="s">
        <v>2159</v>
      </c>
      <c r="C384" s="7">
        <f>EXP(3.189*LN((((600*10-84.981)/1.799)/10)*10)-11.893)/1000</f>
        <v>1123.0768882274526</v>
      </c>
      <c r="D384" s="7" t="s">
        <v>2160</v>
      </c>
      <c r="E384" s="7" t="str">
        <f>Groups!$A$17</f>
        <v>Crocodile</v>
      </c>
      <c r="F384" s="7" t="str">
        <f>"Lay eggs"</f>
        <v>Lay eggs</v>
      </c>
      <c r="G384" s="7">
        <v>15</v>
      </c>
      <c r="H384" s="7">
        <v>65</v>
      </c>
      <c r="I384" s="4">
        <v>1</v>
      </c>
      <c r="J384" s="7" t="str">
        <f>"Lay eggs"</f>
        <v>Lay eggs</v>
      </c>
      <c r="K384" s="7" t="s">
        <v>528</v>
      </c>
      <c r="L384" s="7">
        <f>7.5*3.6</f>
        <v>27</v>
      </c>
      <c r="M384" s="7" t="s">
        <v>528</v>
      </c>
      <c r="N384" s="4">
        <v>0</v>
      </c>
      <c r="O384" s="4">
        <v>0</v>
      </c>
      <c r="P384" s="4">
        <v>0</v>
      </c>
      <c r="Q384" s="4">
        <v>0</v>
      </c>
      <c r="R384" s="4" t="s">
        <v>40</v>
      </c>
      <c r="S384" s="7">
        <f>_xlfn.XLOOKUP(B384,[1]TeethAdjusters!$A:$A,[1]BiteAdjusters!$C:$C,1)</f>
        <v>1</v>
      </c>
      <c r="T384" s="7">
        <f>_xlfn.XLOOKUP(B384,[1]TeethAdjusters!$A:$A,[1]TeethAdjusters!$B:$B,1)</f>
        <v>1</v>
      </c>
      <c r="U384" s="7" t="s">
        <v>45</v>
      </c>
      <c r="V384" s="7">
        <v>7.5</v>
      </c>
      <c r="W384" s="7" t="s">
        <v>45</v>
      </c>
      <c r="X384" s="7" t="s">
        <v>932</v>
      </c>
      <c r="Y384" s="4" t="s">
        <v>56</v>
      </c>
      <c r="Z384" s="4">
        <v>1</v>
      </c>
      <c r="AA384" s="4">
        <v>0</v>
      </c>
      <c r="AB384" s="4">
        <v>0</v>
      </c>
      <c r="AC384" s="4">
        <v>0</v>
      </c>
      <c r="AD384" s="4">
        <v>0</v>
      </c>
      <c r="AE384" s="4" t="s">
        <v>45</v>
      </c>
      <c r="AF384" s="4" t="s">
        <v>45</v>
      </c>
      <c r="AG384" s="49" t="s">
        <v>386</v>
      </c>
      <c r="AH384" s="4" t="s">
        <v>45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4" t="s">
        <v>40</v>
      </c>
      <c r="AO384" s="8">
        <f t="shared" si="276"/>
        <v>106681.50830513639</v>
      </c>
      <c r="AP384" s="8">
        <f>IFERROR(C384*_xlfn.XLOOKUP(E384,Groups!A:A,Groups!K:K),0.106*C384^0.94)</f>
        <v>224.61537764549053</v>
      </c>
      <c r="AQ384" s="8">
        <f>AP384*10000/(_xlfn.XLOOKUP(E384,Groups!A:A,Groups!J:J)*AO384)</f>
        <v>11.319764562943258</v>
      </c>
      <c r="AR384" s="8">
        <f t="shared" si="277"/>
        <v>20517.367898464745</v>
      </c>
      <c r="AS384" s="8">
        <f>IF(_xlfn.XLOOKUP(E384,Groups!A:A,Groups!M:M)=1,EXP(0.7444*LN('Base stats'!C384)+6.5696),EXP(0.7927*LN('Base stats'!C384)+4.28))</f>
        <v>18916.465177392532</v>
      </c>
      <c r="AT384" s="8">
        <f>IF(_xlfn.XLOOKUP(E384,Groups!A:A,Groups!N:N)="No","No",
IF(_xlfn.XLOOKUP(E384,Groups!A:A,Groups!N:N)="Crocodile",EXP(0.8129*LN(C384)+4.6742)*S384,
IF(_xlfn.XLOOKUP(E384,Groups!A:A,Groups!N:N)="Felid",EXP(0.7843*LN(C384)+4.7073)*S384,
IF(_xlfn.XLOOKUP(E384,Groups!A:A,Groups!N:N)="Canid",EXP(0.8367*LN(C384)+4.8763)*S384,
IF(_xlfn.XLOOKUP(E384,Groups!A:A,Groups!N:N)="Pig",EXP(0.3439*LN(C384)+6.8519)*S384,
IF(_xlfn.XLOOKUP(E384,Groups!A:A,Groups!N:N)="Rodent",EXP(0.5625*LN(C384)+4.3006)*S384,
IF(_xlfn.XLOOKUP(E384,Groups!A:A,Groups!N:N)="Primate",EXP(0.7847*LN(C384)+3.4931)*S384,
IF(_xlfn.XLOOKUP(E384,Groups!A:A,Groups!N:N)="MiscCarnivora",EXP(0.7486*LN(C384)+4.2207)*S384,
IF(_xlfn.XLOOKUP(E384,Groups!A:A,Groups!N:N)="Lizard",EXP(0.7733*LN(C384)+5.5303)*S384,
IF(_xlfn.XLOOKUP(E384,Groups!A:A,Groups!N:N)="Snake",50*C384^(2/3)*S384,
IF(_xlfn.XLOOKUP(E384,Groups!A:A,Groups!N:N)="StrongBitingHerbivore",87.1133638856975*C384^(2/3)*S384,
IF(_xlfn.XLOOKUP(E384,Groups!A:A,Groups!N:N)="MiscEctotherms",59.4316884072269*C384^(2/3)*S384,
IF(_xlfn.XLOOKUP(E384,Groups!A:A,Groups!N:N)="StrongBeakBird",0.041*(C384*1000)^1.375*S384,
IF(_xlfn.XLOOKUP(E384,Groups!A:A,Groups!N:N)="Bird",0.118*(C384*1000)^0.692*S384,
IF(_xlfn.XLOOKUP(E384,Groups!A:A,Groups!N:N)="Insect",EXP(0.7444*LN(C384)+6.5696)*S384,
IF(_xlfn.XLOOKUP(E384,Groups!A:A,Groups!N:N)="Theropod",EXP(0.6966*LN(C384)+4.158)*S384,
"No"))))))))))))))))</f>
        <v>32333.829338682452</v>
      </c>
      <c r="AU384" s="8">
        <f>IF(_xlfn.XLOOKUP(E384,Groups!A:A,Groups!U:U)=3,AS384,IF(_xlfn.XLOOKUP(E384,Groups!A:A,Groups!U:U)=2,AR384,AT384))</f>
        <v>32333.829338682452</v>
      </c>
      <c r="AV384" s="46">
        <f>IFERROR(AVERAGE(_xlfn.XLOOKUP(B384,Animals!B:B,Animals!N:N),_xlfn.XLOOKUP(B384,Animals!B:B,Animals!O:O)),0)</f>
        <v>0.375</v>
      </c>
      <c r="AW384" s="8">
        <f>MROUND(40*Animals!AO384*_xlfn.XLOOKUP(AG384,Leathers!$A$2:$A$99,Leathers!$B$2:$B$99,0)+(140*_xlfn.XLOOKUP(B384,Animals!B:B,Animals!AO:AO)*2),5)</f>
        <v>1595</v>
      </c>
      <c r="AX384" s="8">
        <f>IFERROR(ROUND(SQRT(V384-1)*IF(_xlfn.XLOOKUP(E384,Groups!A:A,Groups!BF:BF)=0,2,1)*IF(_xlfn.XLOOKUP('Base stats'!E384,Groups!A:A,Groups!O:O)=0,1,0.1),1),0)</f>
        <v>2.5</v>
      </c>
      <c r="AY384" s="8">
        <f t="shared" si="278"/>
        <v>0</v>
      </c>
      <c r="AZ384" s="8">
        <f t="shared" si="279"/>
        <v>0</v>
      </c>
      <c r="BA384" s="8">
        <f t="shared" si="280"/>
        <v>9.9</v>
      </c>
      <c r="BB384" s="8">
        <f>IF(_xlfn.XLOOKUP(E384,Groups!A:A,Groups!N:N)="Insect",BD384*2.5,IFERROR(AVERAGE(BD384,AT384/9.81/IF(OR(_xlfn.XLOOKUP(E384,Groups!A:A,Groups!N:N)="Pig",_xlfn.XLOOKUP(E384,Groups!A:A,Groups!N:N)="StrongBitingHerbivore"),20,25))*C384^-0.135,BD384))</f>
        <v>28.141729369027814</v>
      </c>
      <c r="BC384" s="8" t="str">
        <f>IF(W384="No","No",IF(_xlfn.XLOOKUP(E384,Groups!A:A,Groups!U:U)=1,'Base stats'!BB384,IF(OR(_xlfn.XLOOKUP(E384,Groups!A:A,Groups!BD:BD)=1,_xlfn.XLOOKUP(E384,Groups!A:A,Groups!U:U)=2),BD384,IF(_xlfn.XLOOKUP(B384,Animals!B:B,Animals!AO:AO)&gt;4,AVERAGE(BD384,BF384),BF384))))</f>
        <v>No</v>
      </c>
      <c r="BD384" s="8">
        <f t="shared" si="281"/>
        <v>13.433103261108782</v>
      </c>
      <c r="BE384" s="8">
        <f>IF(_xlfn.XLOOKUP(E384,Groups!A:A,Groups!BE:BE)=1,(0.048*C384^1.01)+(0.071*C384^1.03),0.071*C384^1.03)/IF(_xlfn.XLOOKUP(E384,Groups!A:A,Groups!M:M)=1,0.85,IF(OR(_xlfn.XLOOKUP(B384,Animals!B:B,Animals!AO:AO)&gt;4,_xlfn.XLOOKUP(E384,Groups!A:A,Groups!BC:BC)=1),1.7,1))*C384^-0.25</f>
        <v>10.00296684984791</v>
      </c>
      <c r="BF384" s="8">
        <f>(0.048*C384^1.01)/IF(_xlfn.XLOOKUP(E384,Groups!A:A,Groups!M:M)=1,0.25,0.8)*C384^-0.25</f>
        <v>12.48712510416364</v>
      </c>
      <c r="BG384" s="8">
        <f>EXP(1.076*LN(AR384)-4.5397)*IF(_xlfn.XLOOKUP(E384,Groups!A:A,Groups!BC:BC)=1,1.25,IF(_xlfn.XLOOKUP(E384,Groups!A:A,Groups!BD:BD)=1,3.5,2.5))</f>
        <v>582.35290265148183</v>
      </c>
      <c r="BH384" s="8">
        <f>EXP(1.076*LN(AS384)-4.5397)*IF(_xlfn.XLOOKUP(E384,Groups!A:A,Groups!M:M)=1,0.8,IF(_xlfn.XLOOKUP(E384,Groups!A:A,Groups!BC:BC)=1,1.3,3))</f>
        <v>554.95340058219813</v>
      </c>
      <c r="BI384" s="8" t="str">
        <f>IF(W384="No","No",IF(_xlfn.XLOOKUP(E384,Groups!A:A,Groups!U:U)=1,'Base stats'!BJ384,IF(OR(_xlfn.XLOOKUP(E384,Groups!A:A,Groups!BD:BD)=1,_xlfn.XLOOKUP(E384,Groups!A:A,Groups!U:U)=2),BG384,BH384))*1.2)</f>
        <v>No</v>
      </c>
      <c r="BJ384" s="8">
        <f>IFERROR(EXP(1.076*LN(AT384)-4.5397)*IF(_xlfn.XLOOKUP(E384,Groups!A:A,Groups!N:N)="Insect",1,IF(OR(_xlfn.XLOOKUP(E384,Groups!A:A,Groups!N:N)="Pig",_xlfn.XLOOKUP(E384,Groups!A:A,Groups!N:N)="StrongBitingHerbivore"),3.5,3.75)),"No")</f>
        <v>2850.0710892357874</v>
      </c>
      <c r="BK384" s="8">
        <f t="shared" si="282"/>
        <v>9</v>
      </c>
      <c r="BL384" s="8">
        <f t="shared" si="283"/>
        <v>10</v>
      </c>
      <c r="BM384" s="8" t="str">
        <f t="shared" si="284"/>
        <v>No</v>
      </c>
      <c r="BN384" s="8">
        <f t="shared" si="285"/>
        <v>14</v>
      </c>
      <c r="BO384" s="8">
        <f t="shared" si="286"/>
        <v>9</v>
      </c>
      <c r="BP384" s="8" t="str" cm="1">
        <f t="array" ref="BP384">IF(AND(_xlfn.XLOOKUP('Base stats'!E384,Groups!A:A,Groups!AD:AD=0),_xlfn.XLOOKUP('Base stats'!E384,Groups!A:A,Groups!P:P=0)),"No",IF(U384="No",AVERAGE(EXP(-0.57+0.99*LN(C384)),EXP(0.32+0.67*LN(C384)))/IF(_xlfn.XLOOKUP(E384,Groups!A:A,Groups!AD:AD)=1,10,2),(0.7354*C384^0.4078)*2/IF(_xlfn.XLOOKUP(E384,Groups!A:A,Groups!BK:BK)=1,1000,100)/IF(_xlfn.XLOOKUP(E384,Groups!A:A,Groups!AJ:AJ)="Photonozoa",3,1)))</f>
        <v>No</v>
      </c>
      <c r="BQ384" s="8" t="str">
        <f>IF(W384="No","No",IF(_xlfn.XLOOKUP(E384,Groups!A:A,Groups!BD:BD)=1,(AO384*5%),EXP(0.7354*LN(C384)^0.4078)*2/IF(_xlfn.XLOOKUP(E384,Groups!A:A,Groups!BL:BL)=1,1000,100)/IF(_xlfn.XLOOKUP(E384,Groups!A:A,Groups!AJ:AJ)="Photonozoa",3,1)))</f>
        <v>No</v>
      </c>
      <c r="BR384" s="8">
        <f>IF(BJ384="No","No",IF(_xlfn.XLOOKUP(E384,Groups!A:A,Groups!BF:BF)=1,(0.0315*C384+2.1825)*2,(0.7354*C384^0.4078)*2)/IF(_xlfn.XLOOKUP(E384,Groups!A:A,Groups!BM:BM)=1,1000,100)/IF(_xlfn.XLOOKUP(E384,Groups!A:A,Groups!AJ:AJ)="Photonozoa",3,1))</f>
        <v>0.75118843958329506</v>
      </c>
      <c r="BS384" s="8">
        <f t="shared" si="287"/>
        <v>0.10917597846213491</v>
      </c>
      <c r="BT384" s="8" t="str">
        <f t="shared" si="288"/>
        <v>No</v>
      </c>
      <c r="BU384" s="8" t="str">
        <f t="shared" si="289"/>
        <v>No</v>
      </c>
      <c r="BV384" s="8">
        <f t="shared" si="290"/>
        <v>3794.0827348418734</v>
      </c>
      <c r="BW384" s="4">
        <v>0</v>
      </c>
      <c r="BX384" s="4">
        <v>1</v>
      </c>
    </row>
    <row r="385" spans="1:76" s="16" customFormat="1" x14ac:dyDescent="0.25">
      <c r="A385" s="26" t="s">
        <v>2090</v>
      </c>
      <c r="B385" s="6" t="s">
        <v>2133</v>
      </c>
      <c r="C385" s="7">
        <v>10500</v>
      </c>
      <c r="D385" s="7" t="s">
        <v>1135</v>
      </c>
      <c r="E385" s="7" t="str">
        <f>Groups!$A$18</f>
        <v>Elephant</v>
      </c>
      <c r="F385" s="7">
        <f>670</f>
        <v>670</v>
      </c>
      <c r="G385" s="7">
        <v>11.5</v>
      </c>
      <c r="H385" s="7">
        <v>65</v>
      </c>
      <c r="I385" s="4">
        <v>1</v>
      </c>
      <c r="J385" s="7">
        <v>1</v>
      </c>
      <c r="K385" s="7" t="s">
        <v>528</v>
      </c>
      <c r="L385" s="7">
        <v>38</v>
      </c>
      <c r="M385" s="7" t="s">
        <v>528</v>
      </c>
      <c r="N385" s="4">
        <v>0</v>
      </c>
      <c r="O385" s="4">
        <v>0</v>
      </c>
      <c r="P385" s="4">
        <v>0</v>
      </c>
      <c r="Q385" s="4">
        <v>0</v>
      </c>
      <c r="R385" s="4" t="s">
        <v>40</v>
      </c>
      <c r="S385" s="7">
        <f>_xlfn.XLOOKUP(B385,[1]TeethAdjusters!$A:$A,[1]BiteAdjusters!$C:$C,1)</f>
        <v>1</v>
      </c>
      <c r="T385" s="7">
        <f>_xlfn.XLOOKUP(B385,[1]TeethAdjusters!$A:$A,[1]TeethAdjusters!$B:$B,1)</f>
        <v>1</v>
      </c>
      <c r="U385" s="7" t="s">
        <v>45</v>
      </c>
      <c r="V385" s="7" t="str">
        <f>IF(AT385="No","No",IF(_xlfn.XLOOKUP(E385,Groups!A:A,Groups!AM:AM)=1,MROUND(EXP(0.3582*LN(C385)-0.2221)*T385,0.05),IF(_xlfn.XLOOKUP(E385,Groups!A:A,Groups!AM:AM)=2,MROUND(EXP(0.3582*LN(C385)-0.2221)*T385,0.05),"Need a formula")))</f>
        <v>No</v>
      </c>
      <c r="W385" s="7">
        <v>140</v>
      </c>
      <c r="X385" s="7" t="s">
        <v>932</v>
      </c>
      <c r="Y385" s="4" t="s">
        <v>42</v>
      </c>
      <c r="Z385" s="4">
        <v>1</v>
      </c>
      <c r="AA385" s="4">
        <v>0</v>
      </c>
      <c r="AB385" s="4">
        <v>0</v>
      </c>
      <c r="AC385" s="4">
        <v>0</v>
      </c>
      <c r="AD385" s="4">
        <v>0</v>
      </c>
      <c r="AE385" s="4" t="s">
        <v>1043</v>
      </c>
      <c r="AF385" s="4" t="s">
        <v>311</v>
      </c>
      <c r="AG385" s="49" t="s">
        <v>380</v>
      </c>
      <c r="AH385" s="4" t="str">
        <f>Animals!$C$26</f>
        <v>&lt;li&gt;Elephant&lt;/li&gt;</v>
      </c>
      <c r="AI385" s="4">
        <v>1</v>
      </c>
      <c r="AJ385" s="4">
        <v>0</v>
      </c>
      <c r="AK385" s="4">
        <v>0</v>
      </c>
      <c r="AL385" s="4">
        <v>0</v>
      </c>
      <c r="AM385" s="4">
        <v>0</v>
      </c>
      <c r="AN385" s="44" t="s">
        <v>40</v>
      </c>
      <c r="AO385" s="8">
        <f t="shared" ref="AO385:AO391" si="291">(0.111*C385^0.65)*10000</f>
        <v>456137.75756694062</v>
      </c>
      <c r="AP385" s="8">
        <f>IFERROR(C385*_xlfn.XLOOKUP(E385,Groups!A:A,Groups!K:K),0.106*C385^0.94)</f>
        <v>840</v>
      </c>
      <c r="AQ385" s="8">
        <f>AP385*10000/(_xlfn.XLOOKUP(E385,Groups!A:A,Groups!J:J)*AO385)</f>
        <v>16.894944324396704</v>
      </c>
      <c r="AR385" s="8">
        <f t="shared" ref="AR385:AR391" si="292">EXP(0.8447*LN(C385)+3.996)</f>
        <v>135562.43171894419</v>
      </c>
      <c r="AS385" s="8">
        <f>IF(_xlfn.XLOOKUP(E385,Groups!A:A,Groups!M:M)=1,EXP(0.7444*LN('Base stats'!C385)+6.5696),EXP(0.7927*LN('Base stats'!C385)+4.28))</f>
        <v>111269.7570812629</v>
      </c>
      <c r="AT385" s="8" t="str">
        <f>IF(_xlfn.XLOOKUP(E385,Groups!A:A,Groups!N:N)="No","No",
IF(_xlfn.XLOOKUP(E385,Groups!A:A,Groups!N:N)="Crocodile",EXP(0.8129*LN(C385)+4.6742)*S385,
IF(_xlfn.XLOOKUP(E385,Groups!A:A,Groups!N:N)="Felid",EXP(0.7843*LN(C385)+4.7073)*S385,
IF(_xlfn.XLOOKUP(E385,Groups!A:A,Groups!N:N)="Canid",EXP(0.8367*LN(C385)+4.8763)*S385,
IF(_xlfn.XLOOKUP(E385,Groups!A:A,Groups!N:N)="Pig",EXP(0.3439*LN(C385)+6.8519)*S385,
IF(_xlfn.XLOOKUP(E385,Groups!A:A,Groups!N:N)="Rodent",EXP(0.5625*LN(C385)+4.3006)*S385,
IF(_xlfn.XLOOKUP(E385,Groups!A:A,Groups!N:N)="Primate",EXP(0.7847*LN(C385)+3.4931)*S385,
IF(_xlfn.XLOOKUP(E385,Groups!A:A,Groups!N:N)="MiscCarnivora",EXP(0.7486*LN(C385)+4.2207)*S385,
IF(_xlfn.XLOOKUP(E385,Groups!A:A,Groups!N:N)="Lizard",EXP(0.7733*LN(C385)+5.5303)*S385,
IF(_xlfn.XLOOKUP(E385,Groups!A:A,Groups!N:N)="Snake",50*C385^(2/3)*S385,
IF(_xlfn.XLOOKUP(E385,Groups!A:A,Groups!N:N)="StrongBitingHerbivore",87.1133638856975*C385^(2/3)*S385,
IF(_xlfn.XLOOKUP(E385,Groups!A:A,Groups!N:N)="MiscEctotherms",59.4316884072269*C385^(2/3)*S385,
IF(_xlfn.XLOOKUP(E385,Groups!A:A,Groups!N:N)="StrongBeakBird",0.041*(C385*1000)^1.375*S385,
IF(_xlfn.XLOOKUP(E385,Groups!A:A,Groups!N:N)="Bird",0.118*(C385*1000)^0.692*S385,
IF(_xlfn.XLOOKUP(E385,Groups!A:A,Groups!N:N)="Insect",EXP(0.7444*LN(C385)+6.5696)*S385,
IF(_xlfn.XLOOKUP(E385,Groups!A:A,Groups!N:N)="Theropod",EXP(0.6966*LN(C385)+4.158)*S385,
"No"))))))))))))))))</f>
        <v>No</v>
      </c>
      <c r="AU385" s="8">
        <f>IF(_xlfn.XLOOKUP(E385,Groups!A:A,Groups!U:U)=3,AS385,IF(_xlfn.XLOOKUP(E385,Groups!A:A,Groups!U:U)=2,AR385,AT385))</f>
        <v>111269.7570812629</v>
      </c>
      <c r="AV385" s="46">
        <f>IFERROR(AVERAGE(_xlfn.XLOOKUP(B385,Animals!B:B,Animals!N:N),_xlfn.XLOOKUP(B385,Animals!B:B,Animals!O:O)),0)</f>
        <v>0</v>
      </c>
      <c r="AW385" s="8">
        <f>MROUND(40*Animals!AO385*_xlfn.XLOOKUP(AG385,Leathers!$A$2:$A$99,Leathers!$B$2:$B$99,0)+(140*_xlfn.XLOOKUP(B385,Animals!B:B,Animals!AO:AO)*2),5)</f>
        <v>2560</v>
      </c>
      <c r="AX385" s="8">
        <f>IFERROR(ROUND(SQRT(V385-1)*IF(_xlfn.XLOOKUP(E385,Groups!A:A,Groups!BF:BF)=0,2,1)*IF(_xlfn.XLOOKUP('Base stats'!E385,Groups!A:A,Groups!O:O)=0,1,0.1),1),0)</f>
        <v>0</v>
      </c>
      <c r="AY385" s="8">
        <f t="shared" ref="AY385:AY391" si="293">IFERROR(ROUND(SQRT(U385-1),1),0)</f>
        <v>0</v>
      </c>
      <c r="AZ385" s="8">
        <f t="shared" ref="AZ385:AZ391" si="294">IFERROR(ROUND(SQRT(W385),1),0)</f>
        <v>11.8</v>
      </c>
      <c r="BA385" s="8">
        <f t="shared" ref="BA385:BA391" si="295">ROUND(
  EXP(0.3582*LN(C385)-0.2221) *
  (0.75 + 0.25*(C385^4/(C385^4+10^4))),
1)</f>
        <v>22.1</v>
      </c>
      <c r="BB385" s="8">
        <f>IF(_xlfn.XLOOKUP(E385,Groups!A:A,Groups!N:N)="Insect",BD385*2.5,IFERROR(AVERAGE(BD385,AT385/9.81/IF(OR(_xlfn.XLOOKUP(E385,Groups!A:A,Groups!N:N)="Pig",_xlfn.XLOOKUP(E385,Groups!A:A,Groups!N:N)="StrongBitingHerbivore"),20,25))*C385^-0.135,BD385))</f>
        <v>42.195175593091719</v>
      </c>
      <c r="BC385" s="8">
        <f>IF(W385="No","No",IF(_xlfn.XLOOKUP(E385,Groups!A:A,Groups!U:U)=1,'Base stats'!BB385,IF(OR(_xlfn.XLOOKUP(E385,Groups!A:A,Groups!BD:BD)=1,_xlfn.XLOOKUP(E385,Groups!A:A,Groups!U:U)=2),BD385,IF(_xlfn.XLOOKUP(B385,Animals!B:B,Animals!AO:AO)&gt;4,AVERAGE(BD385,BF385),BF385))))</f>
        <v>55.234569707617318</v>
      </c>
      <c r="BD385" s="8">
        <f t="shared" ref="BD385:BD391" si="296">(0.0392*C385^IF(OR(Y385="Herbivore",Y385="Dendrovore",Y385="OmnivoreRough"),0.889,0.966))*C385^-0.135</f>
        <v>42.195175593091719</v>
      </c>
      <c r="BE385" s="8">
        <f>IF(_xlfn.XLOOKUP(E385,Groups!A:A,Groups!BE:BE)=1,(0.048*C385^1.01)+(0.071*C385^1.03),0.071*C385^1.03)/IF(_xlfn.XLOOKUP(E385,Groups!A:A,Groups!M:M)=1,0.85,IF(OR(_xlfn.XLOOKUP(B385,Animals!B:B,Animals!AO:AO)&gt;4,_xlfn.XLOOKUP(E385,Groups!A:A,Groups!BC:BC)=1),1.7,1))*C385^-0.25</f>
        <v>57.19223658812485</v>
      </c>
      <c r="BF385" s="8">
        <f>(0.048*C385^1.01)/IF(_xlfn.XLOOKUP(E385,Groups!A:A,Groups!M:M)=1,0.25,0.8)*C385^-0.25</f>
        <v>68.273963822142917</v>
      </c>
      <c r="BG385" s="8">
        <f>EXP(1.076*LN(AR385)-4.5397)*IF(_xlfn.XLOOKUP(E385,Groups!A:A,Groups!BC:BC)=1,1.25,IF(_xlfn.XLOOKUP(E385,Groups!A:A,Groups!BD:BD)=1,3.5,2.5))</f>
        <v>4441.4552913829421</v>
      </c>
      <c r="BH385" s="8">
        <f>EXP(1.076*LN(AS385)-4.5397)*IF(_xlfn.XLOOKUP(E385,Groups!A:A,Groups!M:M)=1,0.8,IF(_xlfn.XLOOKUP(E385,Groups!A:A,Groups!BC:BC)=1,1.3,3))</f>
        <v>3734.8958467917928</v>
      </c>
      <c r="BI385" s="8">
        <f>IF(W385="No","No",IF(_xlfn.XLOOKUP(E385,Groups!A:A,Groups!U:U)=1,'Base stats'!BJ385,IF(OR(_xlfn.XLOOKUP(E385,Groups!A:A,Groups!BD:BD)=1,_xlfn.XLOOKUP(E385,Groups!A:A,Groups!U:U)=2),BG385,BH385))*1.2)</f>
        <v>4481.8750161501512</v>
      </c>
      <c r="BJ385" s="8" t="str">
        <f>IFERROR(EXP(1.076*LN(AT385)-4.5397)*IF(_xlfn.XLOOKUP(E385,Groups!A:A,Groups!N:N)="Insect",1,IF(OR(_xlfn.XLOOKUP(E385,Groups!A:A,Groups!N:N)="Pig",_xlfn.XLOOKUP(E385,Groups!A:A,Groups!N:N)="StrongBitingHerbivore"),3.5,3.75)),"No")</f>
        <v>No</v>
      </c>
      <c r="BK385" s="8">
        <f t="shared" ref="BK385:BK391" si="297">ROUNDDOWN(SQRT((2*BG385)/BD385),0)</f>
        <v>14</v>
      </c>
      <c r="BL385" s="8">
        <f t="shared" ref="BL385:BL391" si="298">ROUNDDOWN(SQRT((2*BH385)/BE385),0)</f>
        <v>11</v>
      </c>
      <c r="BM385" s="8">
        <f t="shared" ref="BM385:BM391" si="299">IF(W385="No","No",ROUNDDOWN(SQRT((2*BI385)/BC385),0))</f>
        <v>12</v>
      </c>
      <c r="BN385" s="8" t="str">
        <f t="shared" ref="BN385:BN391" si="300">IF(V385="No","No",ROUNDDOWN(SQRT((2*BJ385)/BB385),0))</f>
        <v>No</v>
      </c>
      <c r="BO385" s="8">
        <f t="shared" ref="BO385:BO391" si="301">ROUNDDOWN(SQRT((2*BH385)/BF385),0)</f>
        <v>10</v>
      </c>
      <c r="BP385" s="8" cm="1">
        <f t="array" ref="BP385">IF(AND(_xlfn.XLOOKUP('Base stats'!E385,Groups!A:A,Groups!AD:AD=0),_xlfn.XLOOKUP('Base stats'!E385,Groups!A:A,Groups!P:P=0)),"No",IF(U385="No",AVERAGE(EXP(-0.57+0.99*LN(C385)),EXP(0.32+0.67*LN(C385)))/IF(_xlfn.XLOOKUP(E385,Groups!A:A,Groups!AD:AD)=1,10,2),(0.7354*C385^0.4078)*2/IF(_xlfn.XLOOKUP(E385,Groups!A:A,Groups!BK:BK)=1,1000,100)/IF(_xlfn.XLOOKUP(E385,Groups!A:A,Groups!AJ:AJ)="Photonozoa",3,1)))</f>
        <v>1523.4829802821378</v>
      </c>
      <c r="BQ385" s="8">
        <f>IF(W385="No","No",IF(_xlfn.XLOOKUP(E385,Groups!A:A,Groups!BD:BD)=1,(AO385*5%),EXP(0.7354*LN(C385)^0.4078)*2/IF(_xlfn.XLOOKUP(E385,Groups!A:A,Groups!BL:BL)=1,1000,100)/IF(_xlfn.XLOOKUP(E385,Groups!A:A,Groups!AJ:AJ)="Photonozoa",3,1)))</f>
        <v>0.12375831024958703</v>
      </c>
      <c r="BR385" s="8" t="str">
        <f>IF(BJ385="No","No",IF(_xlfn.XLOOKUP(E385,Groups!A:A,Groups!BF:BF)=1,(0.0315*C385+2.1825)*2,(0.7354*C385^0.4078)*2)/IF(_xlfn.XLOOKUP(E385,Groups!A:A,Groups!BM:BM)=1,1000,100)/IF(_xlfn.XLOOKUP(E385,Groups!A:A,Groups!AJ:AJ)="Photonozoa",3,1))</f>
        <v>No</v>
      </c>
      <c r="BS385" s="8">
        <f t="shared" ref="BS385:BS391" si="302">BG385/(AO385*5%)</f>
        <v>0.19474183917919291</v>
      </c>
      <c r="BT385" s="8">
        <f t="shared" ref="BT385:BT391" si="303">IF(BP385="No","No",BH385/BP385)</f>
        <v>2.4515507525394984</v>
      </c>
      <c r="BU385" s="8">
        <f t="shared" ref="BU385:BU391" si="304">IF(W385="No","No",BI385/BQ385)</f>
        <v>36214.739899982647</v>
      </c>
      <c r="BV385" s="8" t="str">
        <f t="shared" ref="BV385:BV391" si="305">IF(BJ385="No","No",BJ385/BR385)</f>
        <v>No</v>
      </c>
      <c r="BW385" s="4">
        <v>0</v>
      </c>
      <c r="BX385" s="4">
        <v>1</v>
      </c>
    </row>
    <row r="386" spans="1:76" s="16" customFormat="1" x14ac:dyDescent="0.25">
      <c r="A386" s="26" t="s">
        <v>2091</v>
      </c>
      <c r="B386" s="6" t="s">
        <v>2161</v>
      </c>
      <c r="C386" s="7">
        <v>816.82299999999998</v>
      </c>
      <c r="D386" s="7" t="s">
        <v>2162</v>
      </c>
      <c r="E386" s="7" t="str">
        <f>Groups!$A$52</f>
        <v>Ruminant (HORNS)</v>
      </c>
      <c r="F386" s="7">
        <v>274</v>
      </c>
      <c r="G386" s="7">
        <f>912/365</f>
        <v>2.4986301369863013</v>
      </c>
      <c r="H386" s="7">
        <v>33.5</v>
      </c>
      <c r="I386" s="4">
        <v>0</v>
      </c>
      <c r="J386" s="7">
        <v>1</v>
      </c>
      <c r="K386" s="7" t="s">
        <v>528</v>
      </c>
      <c r="L386" s="7">
        <v>56</v>
      </c>
      <c r="M386" s="7" t="s">
        <v>528</v>
      </c>
      <c r="N386" s="4">
        <v>0</v>
      </c>
      <c r="O386" s="4">
        <v>0</v>
      </c>
      <c r="P386" s="4">
        <v>0</v>
      </c>
      <c r="Q386" s="4">
        <v>0</v>
      </c>
      <c r="R386" s="4" t="s">
        <v>40</v>
      </c>
      <c r="S386" s="7">
        <f>_xlfn.XLOOKUP(B386,[1]TeethAdjusters!$A:$A,[1]BiteAdjusters!$C:$C,1)</f>
        <v>1</v>
      </c>
      <c r="T386" s="7">
        <f>_xlfn.XLOOKUP(B386,[1]TeethAdjusters!$A:$A,[1]TeethAdjusters!$B:$B,1)</f>
        <v>1</v>
      </c>
      <c r="U386" s="7" t="s">
        <v>45</v>
      </c>
      <c r="V386" s="7" t="str">
        <f>IF(AT386="No","No",IF(_xlfn.XLOOKUP(E386,Groups!A:A,Groups!AM:AM)=1,MROUND(EXP(0.3582*LN(C386)-0.2221)*T386,0.05),IF(_xlfn.XLOOKUP(E386,Groups!A:A,Groups!AM:AM)=2,MROUND(EXP(0.3582*LN(C386)-0.2221)*T386,0.05),"Need a formula")))</f>
        <v>No</v>
      </c>
      <c r="W386" s="7">
        <v>50</v>
      </c>
      <c r="X386" s="7" t="s">
        <v>932</v>
      </c>
      <c r="Y386" s="4" t="s">
        <v>42</v>
      </c>
      <c r="Z386" s="4">
        <v>1</v>
      </c>
      <c r="AA386" s="4">
        <v>0</v>
      </c>
      <c r="AB386" s="4">
        <v>0</v>
      </c>
      <c r="AC386" s="4">
        <v>0</v>
      </c>
      <c r="AD386" s="4">
        <v>0</v>
      </c>
      <c r="AE386" s="4" t="s">
        <v>45</v>
      </c>
      <c r="AF386" s="4" t="s">
        <v>311</v>
      </c>
      <c r="AG386" s="49" t="s">
        <v>392</v>
      </c>
      <c r="AH386" s="4" t="str">
        <f>Animals!$C$43</f>
        <v>&lt;li&gt;Cow&lt;/li&gt;</v>
      </c>
      <c r="AI386" s="4">
        <v>1</v>
      </c>
      <c r="AJ386" s="4">
        <v>0</v>
      </c>
      <c r="AK386" s="4">
        <v>0</v>
      </c>
      <c r="AL386" s="4">
        <v>0</v>
      </c>
      <c r="AM386" s="4">
        <v>0</v>
      </c>
      <c r="AN386" s="44" t="s">
        <v>40</v>
      </c>
      <c r="AO386" s="8">
        <f t="shared" si="291"/>
        <v>86737.350415053239</v>
      </c>
      <c r="AP386" s="8">
        <f>IFERROR(C386*_xlfn.XLOOKUP(E386,Groups!A:A,Groups!K:K),0.106*C386^0.94)</f>
        <v>57.903677355364174</v>
      </c>
      <c r="AQ386" s="8">
        <f>AP386*10000/(_xlfn.XLOOKUP(E386,Groups!A:A,Groups!J:J)*AO386)</f>
        <v>6.1245402956583792</v>
      </c>
      <c r="AR386" s="8">
        <f t="shared" si="292"/>
        <v>15678.887207876132</v>
      </c>
      <c r="AS386" s="8">
        <f>IF(_xlfn.XLOOKUP(E386,Groups!A:A,Groups!M:M)=1,EXP(0.7444*LN('Base stats'!C386)+6.5696),EXP(0.7927*LN('Base stats'!C386)+4.28))</f>
        <v>14696.848417209834</v>
      </c>
      <c r="AT386" s="8" t="str">
        <f>IF(_xlfn.XLOOKUP(E386,Groups!A:A,Groups!N:N)="No","No",
IF(_xlfn.XLOOKUP(E386,Groups!A:A,Groups!N:N)="Crocodile",EXP(0.8129*LN(C386)+4.6742)*S386,
IF(_xlfn.XLOOKUP(E386,Groups!A:A,Groups!N:N)="Felid",EXP(0.7843*LN(C386)+4.7073)*S386,
IF(_xlfn.XLOOKUP(E386,Groups!A:A,Groups!N:N)="Canid",EXP(0.8367*LN(C386)+4.8763)*S386,
IF(_xlfn.XLOOKUP(E386,Groups!A:A,Groups!N:N)="Pig",EXP(0.3439*LN(C386)+6.8519)*S386,
IF(_xlfn.XLOOKUP(E386,Groups!A:A,Groups!N:N)="Rodent",EXP(0.5625*LN(C386)+4.3006)*S386,
IF(_xlfn.XLOOKUP(E386,Groups!A:A,Groups!N:N)="Primate",EXP(0.7847*LN(C386)+3.4931)*S386,
IF(_xlfn.XLOOKUP(E386,Groups!A:A,Groups!N:N)="MiscCarnivora",EXP(0.7486*LN(C386)+4.2207)*S386,
IF(_xlfn.XLOOKUP(E386,Groups!A:A,Groups!N:N)="Lizard",EXP(0.7733*LN(C386)+5.5303)*S386,
IF(_xlfn.XLOOKUP(E386,Groups!A:A,Groups!N:N)="Snake",50*C386^(2/3)*S386,
IF(_xlfn.XLOOKUP(E386,Groups!A:A,Groups!N:N)="StrongBitingHerbivore",87.1133638856975*C386^(2/3)*S386,
IF(_xlfn.XLOOKUP(E386,Groups!A:A,Groups!N:N)="MiscEctotherms",59.4316884072269*C386^(2/3)*S386,
IF(_xlfn.XLOOKUP(E386,Groups!A:A,Groups!N:N)="StrongBeakBird",0.041*(C386*1000)^1.375*S386,
IF(_xlfn.XLOOKUP(E386,Groups!A:A,Groups!N:N)="Bird",0.118*(C386*1000)^0.692*S386,
IF(_xlfn.XLOOKUP(E386,Groups!A:A,Groups!N:N)="Insect",EXP(0.7444*LN(C386)+6.5696)*S386,
IF(_xlfn.XLOOKUP(E386,Groups!A:A,Groups!N:N)="Theropod",EXP(0.6966*LN(C386)+4.158)*S386,
"No"))))))))))))))))</f>
        <v>No</v>
      </c>
      <c r="AU386" s="8">
        <f>IF(_xlfn.XLOOKUP(E386,Groups!A:A,Groups!U:U)=3,AS386,IF(_xlfn.XLOOKUP(E386,Groups!A:A,Groups!U:U)=2,AR386,AT386))</f>
        <v>14696.848417209834</v>
      </c>
      <c r="AV386" s="46">
        <f>IFERROR(AVERAGE(_xlfn.XLOOKUP(B386,Animals!B:B,Animals!N:N),_xlfn.XLOOKUP(B386,Animals!B:B,Animals!O:O)),0)</f>
        <v>0</v>
      </c>
      <c r="AW386" s="8">
        <f>MROUND(40*Animals!AO386*_xlfn.XLOOKUP(AG386,Leathers!$A$2:$A$99,Leathers!$B$2:$B$99,0)+(140*_xlfn.XLOOKUP(B386,Animals!B:B,Animals!AO:AO)*2),5)</f>
        <v>1290</v>
      </c>
      <c r="AX386" s="8">
        <f>IFERROR(ROUND(SQRT(V386-1)*IF(_xlfn.XLOOKUP(E386,Groups!A:A,Groups!BF:BF)=0,2,1)*IF(_xlfn.XLOOKUP('Base stats'!E386,Groups!A:A,Groups!O:O)=0,1,0.1),1),0)</f>
        <v>0</v>
      </c>
      <c r="AY386" s="8">
        <f t="shared" si="293"/>
        <v>0</v>
      </c>
      <c r="AZ386" s="8">
        <f t="shared" si="294"/>
        <v>7.1</v>
      </c>
      <c r="BA386" s="8">
        <f t="shared" si="295"/>
        <v>8.8000000000000007</v>
      </c>
      <c r="BB386" s="8">
        <f>IF(_xlfn.XLOOKUP(E386,Groups!A:A,Groups!N:N)="Insect",BD386*2.5,IFERROR(AVERAGE(BD386,AT386/9.81/IF(OR(_xlfn.XLOOKUP(E386,Groups!A:A,Groups!N:N)="Pig",_xlfn.XLOOKUP(E386,Groups!A:A,Groups!N:N)="StrongBitingHerbivore"),20,25))*C386^-0.135,BD386))</f>
        <v>6.1522014453267655</v>
      </c>
      <c r="BC386" s="8">
        <f>IF(W386="No","No",IF(_xlfn.XLOOKUP(E386,Groups!A:A,Groups!U:U)=1,'Base stats'!BB386,IF(OR(_xlfn.XLOOKUP(E386,Groups!A:A,Groups!BD:BD)=1,_xlfn.XLOOKUP(E386,Groups!A:A,Groups!U:U)=2),BD386,IF(_xlfn.XLOOKUP(B386,Animals!B:B,Animals!AO:AO)&gt;4,AVERAGE(BD386,BF386),BF386))))</f>
        <v>9.803214345458672</v>
      </c>
      <c r="BD386" s="8">
        <f t="shared" si="296"/>
        <v>6.1522014453267655</v>
      </c>
      <c r="BE386" s="8">
        <f>IF(_xlfn.XLOOKUP(E386,Groups!A:A,Groups!BE:BE)=1,(0.048*C386^1.01)+(0.071*C386^1.03),0.071*C386^1.03)/IF(_xlfn.XLOOKUP(E386,Groups!A:A,Groups!M:M)=1,0.85,IF(OR(_xlfn.XLOOKUP(B386,Animals!B:B,Animals!AO:AO)&gt;4,_xlfn.XLOOKUP(E386,Groups!A:A,Groups!BC:BC)=1),1.7,1))*C386^-0.25</f>
        <v>13.265332983066461</v>
      </c>
      <c r="BF386" s="8">
        <f>(0.048*C386^1.01)/IF(_xlfn.XLOOKUP(E386,Groups!A:A,Groups!M:M)=1,0.25,0.8)*C386^-0.25</f>
        <v>9.803214345458672</v>
      </c>
      <c r="BG386" s="8">
        <f>EXP(1.076*LN(AR386)-4.5397)*IF(_xlfn.XLOOKUP(E386,Groups!A:A,Groups!BC:BC)=1,1.25,IF(_xlfn.XLOOKUP(E386,Groups!A:A,Groups!BD:BD)=1,3.5,2.5))</f>
        <v>872.03224277494178</v>
      </c>
      <c r="BH386" s="8">
        <f>EXP(1.076*LN(AS386)-4.5397)*IF(_xlfn.XLOOKUP(E386,Groups!A:A,Groups!M:M)=1,0.8,IF(_xlfn.XLOOKUP(E386,Groups!A:A,Groups!BC:BC)=1,1.3,3))</f>
        <v>976.08547570818507</v>
      </c>
      <c r="BI386" s="8">
        <f>IF(W386="No","No",IF(_xlfn.XLOOKUP(E386,Groups!A:A,Groups!U:U)=1,'Base stats'!BJ386,IF(OR(_xlfn.XLOOKUP(E386,Groups!A:A,Groups!BD:BD)=1,_xlfn.XLOOKUP(E386,Groups!A:A,Groups!U:U)=2),BG386,BH386))*1.2)</f>
        <v>1171.3025708498221</v>
      </c>
      <c r="BJ386" s="8" t="str">
        <f>IFERROR(EXP(1.076*LN(AT386)-4.5397)*IF(_xlfn.XLOOKUP(E386,Groups!A:A,Groups!N:N)="Insect",1,IF(OR(_xlfn.XLOOKUP(E386,Groups!A:A,Groups!N:N)="Pig",_xlfn.XLOOKUP(E386,Groups!A:A,Groups!N:N)="StrongBitingHerbivore"),3.5,3.75)),"No")</f>
        <v>No</v>
      </c>
      <c r="BK386" s="8">
        <f t="shared" si="297"/>
        <v>16</v>
      </c>
      <c r="BL386" s="8">
        <f t="shared" si="298"/>
        <v>12</v>
      </c>
      <c r="BM386" s="8">
        <f t="shared" si="299"/>
        <v>15</v>
      </c>
      <c r="BN386" s="8" t="str">
        <f t="shared" si="300"/>
        <v>No</v>
      </c>
      <c r="BO386" s="8">
        <f t="shared" si="301"/>
        <v>14</v>
      </c>
      <c r="BP386" s="8" cm="1">
        <f t="array" ref="BP386">IF(AND(_xlfn.XLOOKUP('Base stats'!E386,Groups!A:A,Groups!AD:AD=0),_xlfn.XLOOKUP('Base stats'!E386,Groups!A:A,Groups!P:P=0)),"No",IF(U386="No",AVERAGE(EXP(-0.57+0.99*LN(C386)),EXP(0.32+0.67*LN(C386)))/IF(_xlfn.XLOOKUP(E386,Groups!A:A,Groups!AD:AD)=1,10,2),(0.7354*C386^0.4078)*2/IF(_xlfn.XLOOKUP(E386,Groups!A:A,Groups!BK:BK)=1,1000,100)/IF(_xlfn.XLOOKUP(E386,Groups!A:A,Groups!AJ:AJ)="Photonozoa",3,1)))</f>
        <v>138.75760202290368</v>
      </c>
      <c r="BQ386" s="8">
        <f>IF(W386="No","No",IF(_xlfn.XLOOKUP(E386,Groups!A:A,Groups!BD:BD)=1,(AO386*5%),EXP(0.7354*LN(C386)^0.4078)*2/IF(_xlfn.XLOOKUP(E386,Groups!A:A,Groups!BL:BL)=1,1000,100)/IF(_xlfn.XLOOKUP(E386,Groups!A:A,Groups!AJ:AJ)="Photonozoa",3,1)))</f>
        <v>9.8849424160927027E-2</v>
      </c>
      <c r="BR386" s="8" t="str">
        <f>IF(BJ386="No","No",IF(_xlfn.XLOOKUP(E386,Groups!A:A,Groups!BF:BF)=1,(0.0315*C386+2.1825)*2,(0.7354*C386^0.4078)*2)/IF(_xlfn.XLOOKUP(E386,Groups!A:A,Groups!BM:BM)=1,1000,100)/IF(_xlfn.XLOOKUP(E386,Groups!A:A,Groups!AJ:AJ)="Photonozoa",3,1))</f>
        <v>No</v>
      </c>
      <c r="BS386" s="8">
        <f t="shared" si="302"/>
        <v>0.20107421741662998</v>
      </c>
      <c r="BT386" s="8">
        <f t="shared" si="303"/>
        <v>7.0344648615869705</v>
      </c>
      <c r="BU386" s="8">
        <f t="shared" si="304"/>
        <v>11849.361600153983</v>
      </c>
      <c r="BV386" s="8" t="str">
        <f t="shared" si="305"/>
        <v>No</v>
      </c>
      <c r="BW386" s="4">
        <v>0</v>
      </c>
      <c r="BX386" s="4">
        <v>1</v>
      </c>
    </row>
    <row r="387" spans="1:76" s="16" customFormat="1" x14ac:dyDescent="0.25">
      <c r="A387" s="26" t="s">
        <v>2092</v>
      </c>
      <c r="B387" s="6" t="s">
        <v>2163</v>
      </c>
      <c r="C387" s="7">
        <v>1000</v>
      </c>
      <c r="D387" s="7" t="s">
        <v>2164</v>
      </c>
      <c r="E387" s="7" t="str">
        <f>Groups!$A$62</f>
        <v>Turtle</v>
      </c>
      <c r="F387" s="7" t="str">
        <f t="shared" ref="F387:F388" si="306">"Lay eggs"</f>
        <v>Lay eggs</v>
      </c>
      <c r="G387" s="7">
        <v>30</v>
      </c>
      <c r="H387" s="7">
        <v>100</v>
      </c>
      <c r="I387" s="4">
        <v>1</v>
      </c>
      <c r="J387" s="7" t="str">
        <f t="shared" ref="J387:J388" si="307">"Lay eggs"</f>
        <v>Lay eggs</v>
      </c>
      <c r="K387" s="7" t="s">
        <v>535</v>
      </c>
      <c r="L387" s="7">
        <f>0.28*3.6*5</f>
        <v>5.0400000000000009</v>
      </c>
      <c r="M387" s="7" t="s">
        <v>633</v>
      </c>
      <c r="N387" s="4">
        <v>0</v>
      </c>
      <c r="O387" s="4">
        <v>0</v>
      </c>
      <c r="P387" s="4">
        <v>0</v>
      </c>
      <c r="Q387" s="4">
        <v>0</v>
      </c>
      <c r="R387" s="4" t="s">
        <v>40</v>
      </c>
      <c r="S387" s="7">
        <f>_xlfn.XLOOKUP(B387,[1]TeethAdjusters!$A:$A,[1]BiteAdjusters!$C:$C,1)</f>
        <v>1</v>
      </c>
      <c r="T387" s="7">
        <f>_xlfn.XLOOKUP(B387,[1]TeethAdjusters!$A:$A,[1]TeethAdjusters!$B:$B,1)</f>
        <v>1</v>
      </c>
      <c r="U387" s="7" t="s">
        <v>45</v>
      </c>
      <c r="V387" s="7">
        <v>20</v>
      </c>
      <c r="W387" s="7" t="s">
        <v>45</v>
      </c>
      <c r="X387" s="7" t="s">
        <v>932</v>
      </c>
      <c r="Y387" s="4" t="s">
        <v>42</v>
      </c>
      <c r="Z387" s="4">
        <v>1</v>
      </c>
      <c r="AA387" s="4">
        <v>0</v>
      </c>
      <c r="AB387" s="4">
        <v>0</v>
      </c>
      <c r="AC387" s="4">
        <v>0</v>
      </c>
      <c r="AD387" s="4">
        <v>0</v>
      </c>
      <c r="AE387" s="4" t="s">
        <v>45</v>
      </c>
      <c r="AF387" s="4" t="s">
        <v>45</v>
      </c>
      <c r="AG387" s="49" t="s">
        <v>386</v>
      </c>
      <c r="AH387" s="4" t="s">
        <v>45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4" t="s">
        <v>40</v>
      </c>
      <c r="AO387" s="8">
        <f t="shared" si="291"/>
        <v>98928.854132845765</v>
      </c>
      <c r="AP387" s="8">
        <f>IFERROR(C387*_xlfn.XLOOKUP(E387,Groups!A:A,Groups!K:K),0.106*C387^0.94)</f>
        <v>320</v>
      </c>
      <c r="AQ387" s="8">
        <f>AP387*10000/(_xlfn.XLOOKUP(E387,Groups!A:A,Groups!J:J)*AO387)</f>
        <v>24.320660121698044</v>
      </c>
      <c r="AR387" s="8">
        <f t="shared" si="292"/>
        <v>18601.190892984225</v>
      </c>
      <c r="AS387" s="8">
        <f>IF(_xlfn.XLOOKUP(E387,Groups!A:A,Groups!M:M)=1,EXP(0.7444*LN('Base stats'!C387)+6.5696),EXP(0.7927*LN('Base stats'!C387)+4.28))</f>
        <v>17253.62611008879</v>
      </c>
      <c r="AT387" s="8">
        <f>IF(_xlfn.XLOOKUP(E387,Groups!A:A,Groups!N:N)="No","No",
IF(_xlfn.XLOOKUP(E387,Groups!A:A,Groups!N:N)="Crocodile",EXP(0.8129*LN(C387)+4.6742)*S387,
IF(_xlfn.XLOOKUP(E387,Groups!A:A,Groups!N:N)="Felid",EXP(0.7843*LN(C387)+4.7073)*S387,
IF(_xlfn.XLOOKUP(E387,Groups!A:A,Groups!N:N)="Canid",EXP(0.8367*LN(C387)+4.8763)*S387,
IF(_xlfn.XLOOKUP(E387,Groups!A:A,Groups!N:N)="Pig",EXP(0.3439*LN(C387)+6.8519)*S387,
IF(_xlfn.XLOOKUP(E387,Groups!A:A,Groups!N:N)="Rodent",EXP(0.5625*LN(C387)+4.3006)*S387,
IF(_xlfn.XLOOKUP(E387,Groups!A:A,Groups!N:N)="Primate",EXP(0.7847*LN(C387)+3.4931)*S387,
IF(_xlfn.XLOOKUP(E387,Groups!A:A,Groups!N:N)="MiscCarnivora",EXP(0.7486*LN(C387)+4.2207)*S387,
IF(_xlfn.XLOOKUP(E387,Groups!A:A,Groups!N:N)="Lizard",EXP(0.7733*LN(C387)+5.5303)*S387,
IF(_xlfn.XLOOKUP(E387,Groups!A:A,Groups!N:N)="Snake",50*C387^(2/3)*S387,
IF(_xlfn.XLOOKUP(E387,Groups!A:A,Groups!N:N)="StrongBitingHerbivore",87.1133638856975*C387^(2/3)*S387,
IF(_xlfn.XLOOKUP(E387,Groups!A:A,Groups!N:N)="MiscEctotherms",59.4316884072269*C387^(2/3)*S387,
IF(_xlfn.XLOOKUP(E387,Groups!A:A,Groups!N:N)="StrongBeakBird",0.041*(C387*1000)^1.375*S387,
IF(_xlfn.XLOOKUP(E387,Groups!A:A,Groups!N:N)="Bird",0.118*(C387*1000)^0.692*S387,
IF(_xlfn.XLOOKUP(E387,Groups!A:A,Groups!N:N)="Insect",EXP(0.7444*LN(C387)+6.5696)*S387,
IF(_xlfn.XLOOKUP(E387,Groups!A:A,Groups!N:N)="Theropod",EXP(0.6966*LN(C387)+4.158)*S387,
"No"))))))))))))))))</f>
        <v>5943.1688407226875</v>
      </c>
      <c r="AU387" s="8">
        <f>IF(_xlfn.XLOOKUP(E387,Groups!A:A,Groups!U:U)=3,AS387,IF(_xlfn.XLOOKUP(E387,Groups!A:A,Groups!U:U)=2,AR387,AT387))</f>
        <v>5943.1688407226875</v>
      </c>
      <c r="AV387" s="46">
        <f>IFERROR(AVERAGE(_xlfn.XLOOKUP(B387,Animals!B:B,Animals!N:N),_xlfn.XLOOKUP(B387,Animals!B:B,Animals!O:O)),0)</f>
        <v>0.875</v>
      </c>
      <c r="AW387" s="8">
        <f>MROUND(40*Animals!AO387*_xlfn.XLOOKUP(AG387,Leathers!$A$2:$A$99,Leathers!$B$2:$B$99,0)+(140*_xlfn.XLOOKUP(B387,Animals!B:B,Animals!AO:AO)*2),5)</f>
        <v>1330</v>
      </c>
      <c r="AX387" s="8">
        <f>IFERROR(ROUND(SQRT(V387-1)*IF(_xlfn.XLOOKUP(E387,Groups!A:A,Groups!BF:BF)=0,2,1)*IF(_xlfn.XLOOKUP('Base stats'!E387,Groups!A:A,Groups!O:O)=0,1,0.1),1),0)</f>
        <v>0.4</v>
      </c>
      <c r="AY387" s="8">
        <f t="shared" si="293"/>
        <v>0</v>
      </c>
      <c r="AZ387" s="8">
        <f t="shared" si="294"/>
        <v>0</v>
      </c>
      <c r="BA387" s="8">
        <f t="shared" si="295"/>
        <v>9.5</v>
      </c>
      <c r="BB387" s="8">
        <f>IF(_xlfn.XLOOKUP(E387,Groups!A:A,Groups!N:N)="Insect",BD387*2.5,IFERROR(AVERAGE(BD387,AT387/9.81/IF(OR(_xlfn.XLOOKUP(E387,Groups!A:A,Groups!N:N)="Pig",_xlfn.XLOOKUP(E387,Groups!A:A,Groups!N:N)="StrongBitingHerbivore"),20,25))*C387^-0.135,BD387))</f>
        <v>6.178590018727899</v>
      </c>
      <c r="BC387" s="8" t="str">
        <f>IF(W387="No","No",IF(_xlfn.XLOOKUP(E387,Groups!A:A,Groups!U:U)=1,'Base stats'!BB387,IF(OR(_xlfn.XLOOKUP(E387,Groups!A:A,Groups!BD:BD)=1,_xlfn.XLOOKUP(E387,Groups!A:A,Groups!U:U)=2),BD387,IF(_xlfn.XLOOKUP(B387,Animals!B:B,Animals!AO:AO)&gt;4,AVERAGE(BD387,BF387),BF387))))</f>
        <v>No</v>
      </c>
      <c r="BD387" s="8">
        <f t="shared" si="296"/>
        <v>7.1661528472795499</v>
      </c>
      <c r="BE387" s="8">
        <f>IF(_xlfn.XLOOKUP(E387,Groups!A:A,Groups!BE:BE)=1,(0.048*C387^1.01)+(0.071*C387^1.03),0.071*C387^1.03)/IF(_xlfn.XLOOKUP(E387,Groups!A:A,Groups!M:M)=1,0.85,IF(OR(_xlfn.XLOOKUP(B387,Animals!B:B,Animals!AO:AO)&gt;4,_xlfn.XLOOKUP(E387,Groups!A:A,Groups!BC:BC)=1),1.7,1))*C387^-0.25</f>
        <v>9.1371220764951868</v>
      </c>
      <c r="BF387" s="8">
        <f>(0.048*C387^1.01)/IF(_xlfn.XLOOKUP(E387,Groups!A:A,Groups!M:M)=1,0.25,0.8)*C387^-0.25</f>
        <v>11.432764307779475</v>
      </c>
      <c r="BG387" s="8">
        <f>EXP(1.076*LN(AR387)-4.5397)*IF(_xlfn.XLOOKUP(E387,Groups!A:A,Groups!BC:BC)=1,1.25,IF(_xlfn.XLOOKUP(E387,Groups!A:A,Groups!BD:BD)=1,3.5,2.5))</f>
        <v>524.04574632967251</v>
      </c>
      <c r="BH387" s="8">
        <f>EXP(1.076*LN(AS387)-4.5397)*IF(_xlfn.XLOOKUP(E387,Groups!A:A,Groups!M:M)=1,0.8,IF(_xlfn.XLOOKUP(E387,Groups!A:A,Groups!BC:BC)=1,1.3,3))</f>
        <v>502.64340004703536</v>
      </c>
      <c r="BI387" s="8" t="str">
        <f>IF(W387="No","No",IF(_xlfn.XLOOKUP(E387,Groups!A:A,Groups!U:U)=1,'Base stats'!BJ387,IF(OR(_xlfn.XLOOKUP(E387,Groups!A:A,Groups!BD:BD)=1,_xlfn.XLOOKUP(E387,Groups!A:A,Groups!U:U)=2),BG387,BH387))*1.2)</f>
        <v>No</v>
      </c>
      <c r="BJ387" s="8">
        <f>IFERROR(EXP(1.076*LN(AT387)-4.5397)*IF(_xlfn.XLOOKUP(E387,Groups!A:A,Groups!N:N)="Insect",1,IF(OR(_xlfn.XLOOKUP(E387,Groups!A:A,Groups!N:N)="Pig",_xlfn.XLOOKUP(E387,Groups!A:A,Groups!N:N)="StrongBitingHerbivore"),3.5,3.75)),"No")</f>
        <v>460.58315441246623</v>
      </c>
      <c r="BK387" s="8">
        <f t="shared" si="297"/>
        <v>12</v>
      </c>
      <c r="BL387" s="8">
        <f t="shared" si="298"/>
        <v>10</v>
      </c>
      <c r="BM387" s="8" t="str">
        <f t="shared" si="299"/>
        <v>No</v>
      </c>
      <c r="BN387" s="8">
        <f t="shared" si="300"/>
        <v>12</v>
      </c>
      <c r="BO387" s="8">
        <f t="shared" si="301"/>
        <v>9</v>
      </c>
      <c r="BP387" s="8" t="str" cm="1">
        <f t="array" ref="BP387">IF(AND(_xlfn.XLOOKUP('Base stats'!E387,Groups!A:A,Groups!AD:AD=0),_xlfn.XLOOKUP('Base stats'!E387,Groups!A:A,Groups!P:P=0)),"No",IF(U387="No",AVERAGE(EXP(-0.57+0.99*LN(C387)),EXP(0.32+0.67*LN(C387)))/IF(_xlfn.XLOOKUP(E387,Groups!A:A,Groups!AD:AD)=1,10,2),(0.7354*C387^0.4078)*2/IF(_xlfn.XLOOKUP(E387,Groups!A:A,Groups!BK:BK)=1,1000,100)/IF(_xlfn.XLOOKUP(E387,Groups!A:A,Groups!AJ:AJ)="Photonozoa",3,1)))</f>
        <v>No</v>
      </c>
      <c r="BQ387" s="8" t="str">
        <f>IF(W387="No","No",IF(_xlfn.XLOOKUP(E387,Groups!A:A,Groups!BD:BD)=1,(AO387*5%),EXP(0.7354*LN(C387)^0.4078)*2/IF(_xlfn.XLOOKUP(E387,Groups!A:A,Groups!BL:BL)=1,1000,100)/IF(_xlfn.XLOOKUP(E387,Groups!A:A,Groups!AJ:AJ)="Photonozoa",3,1)))</f>
        <v>No</v>
      </c>
      <c r="BR387" s="8">
        <f>IF(BJ387="No","No",IF(_xlfn.XLOOKUP(E387,Groups!A:A,Groups!BF:BF)=1,(0.0315*C387+2.1825)*2,(0.7354*C387^0.4078)*2)/IF(_xlfn.XLOOKUP(E387,Groups!A:A,Groups!BM:BM)=1,1000,100)/IF(_xlfn.XLOOKUP(E387,Groups!A:A,Groups!AJ:AJ)="Photonozoa",3,1))</f>
        <v>0.67364999999999997</v>
      </c>
      <c r="BS387" s="8">
        <f t="shared" si="302"/>
        <v>0.10594396365411493</v>
      </c>
      <c r="BT387" s="8" t="str">
        <f t="shared" si="303"/>
        <v>No</v>
      </c>
      <c r="BU387" s="8" t="str">
        <f t="shared" si="304"/>
        <v>No</v>
      </c>
      <c r="BV387" s="8">
        <f t="shared" si="305"/>
        <v>683.71283962364168</v>
      </c>
      <c r="BW387" s="4">
        <v>0</v>
      </c>
      <c r="BX387" s="4">
        <v>1</v>
      </c>
    </row>
    <row r="388" spans="1:76" s="16" customFormat="1" x14ac:dyDescent="0.25">
      <c r="A388" s="26" t="s">
        <v>2093</v>
      </c>
      <c r="B388" s="6" t="s">
        <v>2165</v>
      </c>
      <c r="C388" s="7">
        <v>116</v>
      </c>
      <c r="D388" s="7" t="s">
        <v>2166</v>
      </c>
      <c r="E388" s="7" t="str">
        <f>Groups!$A$9</f>
        <v>Bird (WATER)</v>
      </c>
      <c r="F388" s="7" t="str">
        <f t="shared" si="306"/>
        <v>Lay eggs</v>
      </c>
      <c r="G388" s="7">
        <f>1825/365</f>
        <v>5</v>
      </c>
      <c r="H388" s="7">
        <v>40</v>
      </c>
      <c r="I388" s="4">
        <v>0</v>
      </c>
      <c r="J388" s="7" t="str">
        <f t="shared" si="307"/>
        <v>Lay eggs</v>
      </c>
      <c r="K388" s="7" t="s">
        <v>535</v>
      </c>
      <c r="L388" s="7">
        <f>8.2*1.60934</f>
        <v>13.196587999999998</v>
      </c>
      <c r="M388" s="7" t="s">
        <v>628</v>
      </c>
      <c r="N388" s="4">
        <v>0</v>
      </c>
      <c r="O388" s="4">
        <v>0</v>
      </c>
      <c r="P388" s="4">
        <v>0</v>
      </c>
      <c r="Q388" s="4">
        <v>0</v>
      </c>
      <c r="R388" s="4" t="s">
        <v>40</v>
      </c>
      <c r="S388" s="7">
        <f>_xlfn.XLOOKUP(B388,[1]TeethAdjusters!$A:$A,[1]BiteAdjusters!$C:$C,1)</f>
        <v>1</v>
      </c>
      <c r="T388" s="7">
        <f>_xlfn.XLOOKUP(B388,[1]TeethAdjusters!$A:$A,[1]TeethAdjusters!$B:$B,1)</f>
        <v>1</v>
      </c>
      <c r="U388" s="7" t="s">
        <v>45</v>
      </c>
      <c r="V388" s="7">
        <v>15</v>
      </c>
      <c r="W388" s="7" t="s">
        <v>45</v>
      </c>
      <c r="X388" s="7" t="s">
        <v>932</v>
      </c>
      <c r="Y388" s="4" t="s">
        <v>56</v>
      </c>
      <c r="Z388" s="4">
        <v>1</v>
      </c>
      <c r="AA388" s="4">
        <v>0</v>
      </c>
      <c r="AB388" s="4">
        <v>0</v>
      </c>
      <c r="AC388" s="4">
        <v>0</v>
      </c>
      <c r="AD388" s="4">
        <v>0</v>
      </c>
      <c r="AE388" s="4" t="s">
        <v>45</v>
      </c>
      <c r="AF388" s="4" t="s">
        <v>401</v>
      </c>
      <c r="AG388" s="49" t="s">
        <v>375</v>
      </c>
      <c r="AH388" s="4" t="str">
        <f>Animals!$C$6</f>
        <v>&lt;li&gt;Cassowary&lt;/li&gt;</v>
      </c>
      <c r="AI388" s="4">
        <v>0</v>
      </c>
      <c r="AJ388" s="4">
        <v>1</v>
      </c>
      <c r="AK388" s="4">
        <v>0</v>
      </c>
      <c r="AL388" s="4">
        <v>0</v>
      </c>
      <c r="AM388" s="4">
        <v>0</v>
      </c>
      <c r="AN388" s="44">
        <v>11</v>
      </c>
      <c r="AO388" s="8">
        <f t="shared" si="291"/>
        <v>24390.498227314991</v>
      </c>
      <c r="AP388" s="8">
        <f>IFERROR(C388*_xlfn.XLOOKUP(E388,Groups!A:A,Groups!K:K),0.106*C388^0.94)</f>
        <v>9.2447756259332703</v>
      </c>
      <c r="AQ388" s="8">
        <f>AP388*10000/(_xlfn.XLOOKUP(E388,Groups!A:A,Groups!J:J)*AO388)</f>
        <v>3.4773564071277359</v>
      </c>
      <c r="AR388" s="8">
        <f t="shared" si="292"/>
        <v>3015.0076136873859</v>
      </c>
      <c r="AS388" s="8">
        <f>IF(_xlfn.XLOOKUP(E388,Groups!A:A,Groups!M:M)=1,EXP(0.7444*LN('Base stats'!C388)+6.5696),EXP(0.7927*LN('Base stats'!C388)+4.28))</f>
        <v>3128.0683251022224</v>
      </c>
      <c r="AT388" s="8">
        <f>IF(_xlfn.XLOOKUP(E388,Groups!A:A,Groups!N:N)="No","No",
IF(_xlfn.XLOOKUP(E388,Groups!A:A,Groups!N:N)="Crocodile",EXP(0.8129*LN(C388)+4.6742)*S388,
IF(_xlfn.XLOOKUP(E388,Groups!A:A,Groups!N:N)="Felid",EXP(0.7843*LN(C388)+4.7073)*S388,
IF(_xlfn.XLOOKUP(E388,Groups!A:A,Groups!N:N)="Canid",EXP(0.8367*LN(C388)+4.8763)*S388,
IF(_xlfn.XLOOKUP(E388,Groups!A:A,Groups!N:N)="Pig",EXP(0.3439*LN(C388)+6.8519)*S388,
IF(_xlfn.XLOOKUP(E388,Groups!A:A,Groups!N:N)="Rodent",EXP(0.5625*LN(C388)+4.3006)*S388,
IF(_xlfn.XLOOKUP(E388,Groups!A:A,Groups!N:N)="Primate",EXP(0.7847*LN(C388)+3.4931)*S388,
IF(_xlfn.XLOOKUP(E388,Groups!A:A,Groups!N:N)="MiscCarnivora",EXP(0.7486*LN(C388)+4.2207)*S388,
IF(_xlfn.XLOOKUP(E388,Groups!A:A,Groups!N:N)="Lizard",EXP(0.7733*LN(C388)+5.5303)*S388,
IF(_xlfn.XLOOKUP(E388,Groups!A:A,Groups!N:N)="Snake",50*C388^(2/3)*S388,
IF(_xlfn.XLOOKUP(E388,Groups!A:A,Groups!N:N)="StrongBitingHerbivore",87.1133638856975*C388^(2/3)*S388,
IF(_xlfn.XLOOKUP(E388,Groups!A:A,Groups!N:N)="MiscEctotherms",59.4316884072269*C388^(2/3)*S388,
IF(_xlfn.XLOOKUP(E388,Groups!A:A,Groups!N:N)="StrongBeakBird",0.041*(C388*1000)^1.375*S388,
IF(_xlfn.XLOOKUP(E388,Groups!A:A,Groups!N:N)="Bird",0.118*(C388*1000)^0.692*S388,
IF(_xlfn.XLOOKUP(E388,Groups!A:A,Groups!N:N)="Insect",EXP(0.7444*LN(C388)+6.5696)*S388,
IF(_xlfn.XLOOKUP(E388,Groups!A:A,Groups!N:N)="Theropod",EXP(0.6966*LN(C388)+4.158)*S388,
"No"))))))))))))))))</f>
        <v>377.12640038295353</v>
      </c>
      <c r="AU388" s="8">
        <f>IF(_xlfn.XLOOKUP(E388,Groups!A:A,Groups!U:U)=3,AS388,IF(_xlfn.XLOOKUP(E388,Groups!A:A,Groups!U:U)=2,AR388,AT388))</f>
        <v>377.12640038295353</v>
      </c>
      <c r="AV388" s="46">
        <f>IFERROR(AVERAGE(_xlfn.XLOOKUP(B388,Animals!B:B,Animals!N:N),_xlfn.XLOOKUP(B388,Animals!B:B,Animals!O:O)),0)</f>
        <v>0</v>
      </c>
      <c r="AW388" s="8">
        <f>MROUND(40*Animals!AO388*_xlfn.XLOOKUP(AG388,Leathers!$A$2:$A$99,Leathers!$B$2:$B$99,0)+(140*_xlfn.XLOOKUP(B388,Animals!B:B,Animals!AO:AO)*2),5)</f>
        <v>600</v>
      </c>
      <c r="AX388" s="8">
        <f>IFERROR(ROUND(SQRT(V388-1)*IF(_xlfn.XLOOKUP(E388,Groups!A:A,Groups!BF:BF)=0,2,1)*IF(_xlfn.XLOOKUP('Base stats'!E388,Groups!A:A,Groups!O:O)=0,1,0.1),1),0)</f>
        <v>0.4</v>
      </c>
      <c r="AY388" s="8">
        <f t="shared" si="293"/>
        <v>0</v>
      </c>
      <c r="AZ388" s="8">
        <f t="shared" si="294"/>
        <v>0</v>
      </c>
      <c r="BA388" s="8">
        <f t="shared" si="295"/>
        <v>4.4000000000000004</v>
      </c>
      <c r="BB388" s="8">
        <f>IF(_xlfn.XLOOKUP(E388,Groups!A:A,Groups!N:N)="Insect",BD388*2.5,IFERROR(AVERAGE(BD388,AT388/9.81/IF(OR(_xlfn.XLOOKUP(E388,Groups!A:A,Groups!N:N)="Pig",_xlfn.XLOOKUP(E388,Groups!A:A,Groups!N:N)="StrongBitingHerbivore"),20,25))*C388^-0.135,BD388))</f>
        <v>0.94065529542409287</v>
      </c>
      <c r="BC388" s="8" t="str">
        <f>IF(W388="No","No",IF(_xlfn.XLOOKUP(E388,Groups!A:A,Groups!U:U)=1,'Base stats'!BB388,IF(OR(_xlfn.XLOOKUP(E388,Groups!A:A,Groups!BD:BD)=1,_xlfn.XLOOKUP(E388,Groups!A:A,Groups!U:U)=2),BD388,IF(_xlfn.XLOOKUP(B388,Animals!B:B,Animals!AO:AO)&gt;4,AVERAGE(BD388,BF388),BF388))))</f>
        <v>No</v>
      </c>
      <c r="BD388" s="8">
        <f t="shared" si="296"/>
        <v>2.0363417059878528</v>
      </c>
      <c r="BE388" s="8">
        <f>IF(_xlfn.XLOOKUP(E388,Groups!A:A,Groups!BE:BE)=1,(0.048*C388^1.01)+(0.071*C388^1.03),0.071*C388^1.03)/IF(_xlfn.XLOOKUP(E388,Groups!A:A,Groups!M:M)=1,0.85,IF(OR(_xlfn.XLOOKUP(B388,Animals!B:B,Animals!AO:AO)&gt;4,_xlfn.XLOOKUP(E388,Groups!A:A,Groups!BC:BC)=1),1.7,1))*C388^-0.25</f>
        <v>4.6734655199273591</v>
      </c>
      <c r="BF388" s="8">
        <f>(0.048*C388^1.01)/IF(_xlfn.XLOOKUP(E388,Groups!A:A,Groups!M:M)=1,0.25,0.8)*C388^-0.25</f>
        <v>2.2240232455751241</v>
      </c>
      <c r="BG388" s="8">
        <f>EXP(1.076*LN(AR388)-4.5397)*IF(_xlfn.XLOOKUP(E388,Groups!A:A,Groups!BC:BC)=1,1.25,IF(_xlfn.XLOOKUP(E388,Groups!A:A,Groups!BD:BD)=1,3.5,2.5))</f>
        <v>147.94070424910868</v>
      </c>
      <c r="BH388" s="8">
        <f>EXP(1.076*LN(AS388)-4.5397)*IF(_xlfn.XLOOKUP(E388,Groups!A:A,Groups!M:M)=1,0.8,IF(_xlfn.XLOOKUP(E388,Groups!A:A,Groups!BC:BC)=1,1.3,3))</f>
        <v>184.70209409137303</v>
      </c>
      <c r="BI388" s="8" t="str">
        <f>IF(W388="No","No",IF(_xlfn.XLOOKUP(E388,Groups!A:A,Groups!U:U)=1,'Base stats'!BJ388,IF(OR(_xlfn.XLOOKUP(E388,Groups!A:A,Groups!BD:BD)=1,_xlfn.XLOOKUP(E388,Groups!A:A,Groups!U:U)=2),BG388,BH388))*1.2)</f>
        <v>No</v>
      </c>
      <c r="BJ388" s="8">
        <f>IFERROR(EXP(1.076*LN(AT388)-4.5397)*IF(_xlfn.XLOOKUP(E388,Groups!A:A,Groups!N:N)="Insect",1,IF(OR(_xlfn.XLOOKUP(E388,Groups!A:A,Groups!N:N)="Pig",_xlfn.XLOOKUP(E388,Groups!A:A,Groups!N:N)="StrongBitingHerbivore"),3.5,3.75)),"No")</f>
        <v>23.700884354641044</v>
      </c>
      <c r="BK388" s="8">
        <f t="shared" si="297"/>
        <v>12</v>
      </c>
      <c r="BL388" s="8">
        <f t="shared" si="298"/>
        <v>8</v>
      </c>
      <c r="BM388" s="8" t="str">
        <f t="shared" si="299"/>
        <v>No</v>
      </c>
      <c r="BN388" s="8">
        <f t="shared" si="300"/>
        <v>7</v>
      </c>
      <c r="BO388" s="8">
        <f t="shared" si="301"/>
        <v>12</v>
      </c>
      <c r="BP388" s="8" t="str" cm="1">
        <f t="array" ref="BP388">IF(AND(_xlfn.XLOOKUP('Base stats'!E388,Groups!A:A,Groups!AD:AD=0),_xlfn.XLOOKUP('Base stats'!E388,Groups!A:A,Groups!P:P=0)),"No",IF(U388="No",AVERAGE(EXP(-0.57+0.99*LN(C388)),EXP(0.32+0.67*LN(C388)))/IF(_xlfn.XLOOKUP(E388,Groups!A:A,Groups!AD:AD)=1,10,2),(0.7354*C388^0.4078)*2/IF(_xlfn.XLOOKUP(E388,Groups!A:A,Groups!BK:BK)=1,1000,100)/IF(_xlfn.XLOOKUP(E388,Groups!A:A,Groups!AJ:AJ)="Photonozoa",3,1)))</f>
        <v>No</v>
      </c>
      <c r="BQ388" s="8" t="str">
        <f>IF(W388="No","No",IF(_xlfn.XLOOKUP(E388,Groups!A:A,Groups!BD:BD)=1,(AO388*5%),EXP(0.7354*LN(C388)^0.4078)*2/IF(_xlfn.XLOOKUP(E388,Groups!A:A,Groups!BL:BL)=1,1000,100)/IF(_xlfn.XLOOKUP(E388,Groups!A:A,Groups!AJ:AJ)="Photonozoa",3,1)))</f>
        <v>No</v>
      </c>
      <c r="BR388" s="8">
        <f>IF(BJ388="No","No",IF(_xlfn.XLOOKUP(E388,Groups!A:A,Groups!BF:BF)=1,(0.0315*C388+2.1825)*2,(0.7354*C388^0.4078)*2)/IF(_xlfn.XLOOKUP(E388,Groups!A:A,Groups!BM:BM)=1,1000,100)/IF(_xlfn.XLOOKUP(E388,Groups!A:A,Groups!AJ:AJ)="Photonozoa",3,1))</f>
        <v>0.10219733931922019</v>
      </c>
      <c r="BS388" s="8">
        <f t="shared" si="302"/>
        <v>0.12131011254491672</v>
      </c>
      <c r="BT388" s="8" t="str">
        <f t="shared" si="303"/>
        <v>No</v>
      </c>
      <c r="BU388" s="8" t="str">
        <f t="shared" si="304"/>
        <v>No</v>
      </c>
      <c r="BV388" s="8">
        <f t="shared" si="305"/>
        <v>231.91292955885822</v>
      </c>
      <c r="BW388" s="4">
        <v>0</v>
      </c>
      <c r="BX388" s="4">
        <v>1</v>
      </c>
    </row>
    <row r="389" spans="1:76" s="16" customFormat="1" x14ac:dyDescent="0.25">
      <c r="A389" s="26" t="s">
        <v>2094</v>
      </c>
      <c r="B389" s="6" t="s">
        <v>2167</v>
      </c>
      <c r="C389" s="7">
        <v>576</v>
      </c>
      <c r="D389" s="7" t="s">
        <v>2168</v>
      </c>
      <c r="E389" s="7" t="str">
        <f>Groups!$A$48</f>
        <v>Rodent (TAILLESS, AQUATIC)</v>
      </c>
      <c r="F389" s="7">
        <f>ROUND(7.545*(C389*1000)^0.2689,0)</f>
        <v>267</v>
      </c>
      <c r="G389" s="7">
        <v>3</v>
      </c>
      <c r="H389" s="7">
        <v>30</v>
      </c>
      <c r="I389" s="4">
        <v>0</v>
      </c>
      <c r="J389" s="7">
        <v>5</v>
      </c>
      <c r="K389" s="7" t="s">
        <v>547</v>
      </c>
      <c r="L389" s="7">
        <f>MIN(20*C389^0.183,19.9*C389^0.142)</f>
        <v>49.071922082429637</v>
      </c>
      <c r="M389" s="7" t="s">
        <v>626</v>
      </c>
      <c r="N389" s="4">
        <v>0</v>
      </c>
      <c r="O389" s="4">
        <v>0</v>
      </c>
      <c r="P389" s="4">
        <v>0</v>
      </c>
      <c r="Q389" s="4">
        <v>0</v>
      </c>
      <c r="R389" s="4" t="s">
        <v>40</v>
      </c>
      <c r="S389" s="7">
        <f>_xlfn.XLOOKUP(B389,[1]TeethAdjusters!$A:$A,[1]BiteAdjusters!$C:$C,1)</f>
        <v>1</v>
      </c>
      <c r="T389" s="7">
        <f>_xlfn.XLOOKUP(B389,[1]TeethAdjusters!$A:$A,[1]TeethAdjusters!$B:$B,1)</f>
        <v>1</v>
      </c>
      <c r="U389" s="7" t="s">
        <v>45</v>
      </c>
      <c r="V389" s="7">
        <v>12</v>
      </c>
      <c r="W389" s="7" t="s">
        <v>45</v>
      </c>
      <c r="X389" s="7" t="s">
        <v>932</v>
      </c>
      <c r="Y389" s="4" t="s">
        <v>42</v>
      </c>
      <c r="Z389" s="4">
        <v>1</v>
      </c>
      <c r="AA389" s="4">
        <v>0</v>
      </c>
      <c r="AB389" s="4">
        <v>0</v>
      </c>
      <c r="AC389" s="4">
        <v>0</v>
      </c>
      <c r="AD389" s="4">
        <v>0</v>
      </c>
      <c r="AE389" s="4" t="s">
        <v>45</v>
      </c>
      <c r="AF389" s="4" t="s">
        <v>311</v>
      </c>
      <c r="AG389" s="49" t="s">
        <v>392</v>
      </c>
      <c r="AH389" s="4" t="str">
        <f>Animals!$C$39</f>
        <v>&lt;li&gt;Capybara&lt;/li&gt;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4" t="s">
        <v>40</v>
      </c>
      <c r="AO389" s="8">
        <f t="shared" si="291"/>
        <v>69119.023360706837</v>
      </c>
      <c r="AP389" s="8">
        <f>IFERROR(C389*_xlfn.XLOOKUP(E389,Groups!A:A,Groups!K:K),0.106*C389^0.94)</f>
        <v>41.696826224501031</v>
      </c>
      <c r="AQ389" s="8">
        <f>AP389*10000/(_xlfn.XLOOKUP(E389,Groups!A:A,Groups!J:J)*AO389)</f>
        <v>5.5345065878130626</v>
      </c>
      <c r="AR389" s="8">
        <f t="shared" si="292"/>
        <v>11672.654243123427</v>
      </c>
      <c r="AS389" s="8">
        <f>IF(_xlfn.XLOOKUP(E389,Groups!A:A,Groups!M:M)=1,EXP(0.7444*LN('Base stats'!C389)+6.5696),EXP(0.7927*LN('Base stats'!C389)+4.28))</f>
        <v>11142.105983797155</v>
      </c>
      <c r="AT389" s="8">
        <f>IF(_xlfn.XLOOKUP(E389,Groups!A:A,Groups!N:N)="No","No",
IF(_xlfn.XLOOKUP(E389,Groups!A:A,Groups!N:N)="Crocodile",EXP(0.8129*LN(C389)+4.6742)*S389,
IF(_xlfn.XLOOKUP(E389,Groups!A:A,Groups!N:N)="Felid",EXP(0.7843*LN(C389)+4.7073)*S389,
IF(_xlfn.XLOOKUP(E389,Groups!A:A,Groups!N:N)="Canid",EXP(0.8367*LN(C389)+4.8763)*S389,
IF(_xlfn.XLOOKUP(E389,Groups!A:A,Groups!N:N)="Pig",EXP(0.3439*LN(C389)+6.8519)*S389,
IF(_xlfn.XLOOKUP(E389,Groups!A:A,Groups!N:N)="Rodent",EXP(0.5625*LN(C389)+4.3006)*S389,
IF(_xlfn.XLOOKUP(E389,Groups!A:A,Groups!N:N)="Primate",EXP(0.7847*LN(C389)+3.4931)*S389,
IF(_xlfn.XLOOKUP(E389,Groups!A:A,Groups!N:N)="MiscCarnivora",EXP(0.7486*LN(C389)+4.2207)*S389,
IF(_xlfn.XLOOKUP(E389,Groups!A:A,Groups!N:N)="Lizard",EXP(0.7733*LN(C389)+5.5303)*S389,
IF(_xlfn.XLOOKUP(E389,Groups!A:A,Groups!N:N)="Snake",50*C389^(2/3)*S389,
IF(_xlfn.XLOOKUP(E389,Groups!A:A,Groups!N:N)="StrongBitingHerbivore",87.1133638856975*C389^(2/3)*S389,
IF(_xlfn.XLOOKUP(E389,Groups!A:A,Groups!N:N)="MiscEctotherms",59.4316884072269*C389^(2/3)*S389,
IF(_xlfn.XLOOKUP(E389,Groups!A:A,Groups!N:N)="StrongBeakBird",0.041*(C389*1000)^1.375*S389,
IF(_xlfn.XLOOKUP(E389,Groups!A:A,Groups!N:N)="Bird",0.118*(C389*1000)^0.692*S389,
IF(_xlfn.XLOOKUP(E389,Groups!A:A,Groups!N:N)="Insect",EXP(0.7444*LN(C389)+6.5696)*S389,
IF(_xlfn.XLOOKUP(E389,Groups!A:A,Groups!N:N)="Theropod",EXP(0.6966*LN(C389)+4.158)*S389,
"No"))))))))))))))))</f>
        <v>2633.082676563627</v>
      </c>
      <c r="AU389" s="8">
        <f>IF(_xlfn.XLOOKUP(E389,Groups!A:A,Groups!U:U)=3,AS389,IF(_xlfn.XLOOKUP(E389,Groups!A:A,Groups!U:U)=2,AR389,AT389))</f>
        <v>2633.082676563627</v>
      </c>
      <c r="AV389" s="46">
        <f>IFERROR(AVERAGE(_xlfn.XLOOKUP(B389,Animals!B:B,Animals!N:N),_xlfn.XLOOKUP(B389,Animals!B:B,Animals!O:O)),0)</f>
        <v>0</v>
      </c>
      <c r="AW389" s="8">
        <f>MROUND(40*Animals!AO389*_xlfn.XLOOKUP(AG389,Leathers!$A$2:$A$99,Leathers!$B$2:$B$99,0)+(140*_xlfn.XLOOKUP(B389,Animals!B:B,Animals!AO:AO)*2),5)</f>
        <v>1090</v>
      </c>
      <c r="AX389" s="8">
        <f>IFERROR(ROUND(SQRT(V389-1)*IF(_xlfn.XLOOKUP(E389,Groups!A:A,Groups!BF:BF)=0,2,1)*IF(_xlfn.XLOOKUP('Base stats'!E389,Groups!A:A,Groups!O:O)=0,1,0.1),1),0)</f>
        <v>6.6</v>
      </c>
      <c r="AY389" s="8">
        <f t="shared" si="293"/>
        <v>0</v>
      </c>
      <c r="AZ389" s="8">
        <f t="shared" si="294"/>
        <v>0</v>
      </c>
      <c r="BA389" s="8">
        <f t="shared" si="295"/>
        <v>7.8</v>
      </c>
      <c r="BB389" s="8">
        <f>IF(_xlfn.XLOOKUP(E389,Groups!A:A,Groups!N:N)="Insect",BD389*2.5,IFERROR(AVERAGE(BD389,AT389/9.81/IF(OR(_xlfn.XLOOKUP(E389,Groups!A:A,Groups!N:N)="Pig",_xlfn.XLOOKUP(E389,Groups!A:A,Groups!N:N)="StrongBitingHerbivore"),20,25))*C389^-0.135,BD389))</f>
        <v>3.2781874007037848</v>
      </c>
      <c r="BC389" s="8" t="str">
        <f>IF(W389="No","No",IF(_xlfn.XLOOKUP(E389,Groups!A:A,Groups!U:U)=1,'Base stats'!BB389,IF(OR(_xlfn.XLOOKUP(E389,Groups!A:A,Groups!BD:BD)=1,_xlfn.XLOOKUP(E389,Groups!A:A,Groups!U:U)=2),BD389,IF(_xlfn.XLOOKUP(B389,Animals!B:B,Animals!AO:AO)&gt;4,AVERAGE(BD389,BF389),BF389))))</f>
        <v>No</v>
      </c>
      <c r="BD389" s="8">
        <f t="shared" si="296"/>
        <v>4.727642405925562</v>
      </c>
      <c r="BE389" s="8">
        <f>IF(_xlfn.XLOOKUP(E389,Groups!A:A,Groups!BE:BE)=1,(0.048*C389^1.01)+(0.071*C389^1.03),0.071*C389^1.03)/IF(_xlfn.XLOOKUP(E389,Groups!A:A,Groups!M:M)=1,0.85,IF(OR(_xlfn.XLOOKUP(B389,Animals!B:B,Animals!AO:AO)&gt;4,_xlfn.XLOOKUP(E389,Groups!A:A,Groups!BC:BC)=1),1.7,1))*C389^-0.25</f>
        <v>10.101546928955793</v>
      </c>
      <c r="BF389" s="8">
        <f>(0.048*C389^1.01)/IF(_xlfn.XLOOKUP(E389,Groups!A:A,Groups!M:M)=1,0.25,0.8)*C389^-0.25</f>
        <v>7.5174809769023199</v>
      </c>
      <c r="BG389" s="8">
        <f>EXP(1.076*LN(AR389)-4.5397)*IF(_xlfn.XLOOKUP(E389,Groups!A:A,Groups!BC:BC)=1,1.25,IF(_xlfn.XLOOKUP(E389,Groups!A:A,Groups!BD:BD)=1,3.5,2.5))</f>
        <v>634.81599648037275</v>
      </c>
      <c r="BH389" s="8">
        <f>EXP(1.076*LN(AS389)-4.5397)*IF(_xlfn.XLOOKUP(E389,Groups!A:A,Groups!M:M)=1,0.8,IF(_xlfn.XLOOKUP(E389,Groups!A:A,Groups!BC:BC)=1,1.3,3))</f>
        <v>724.58842828903653</v>
      </c>
      <c r="BI389" s="8" t="str">
        <f>IF(W389="No","No",IF(_xlfn.XLOOKUP(E389,Groups!A:A,Groups!U:U)=1,'Base stats'!BJ389,IF(OR(_xlfn.XLOOKUP(E389,Groups!A:A,Groups!BD:BD)=1,_xlfn.XLOOKUP(E389,Groups!A:A,Groups!U:U)=2),BG389,BH389))*1.2)</f>
        <v>No</v>
      </c>
      <c r="BJ389" s="8">
        <f>IFERROR(EXP(1.076*LN(AT389)-4.5397)*IF(_xlfn.XLOOKUP(E389,Groups!A:A,Groups!N:N)="Insect",1,IF(OR(_xlfn.XLOOKUP(E389,Groups!A:A,Groups!N:N)="Pig",_xlfn.XLOOKUP(E389,Groups!A:A,Groups!N:N)="StrongBitingHerbivore"),3.5,3.75)),"No")</f>
        <v>191.81581248442208</v>
      </c>
      <c r="BK389" s="8">
        <f t="shared" si="297"/>
        <v>16</v>
      </c>
      <c r="BL389" s="8">
        <f t="shared" si="298"/>
        <v>11</v>
      </c>
      <c r="BM389" s="8" t="str">
        <f t="shared" si="299"/>
        <v>No</v>
      </c>
      <c r="BN389" s="8">
        <f t="shared" si="300"/>
        <v>10</v>
      </c>
      <c r="BO389" s="8">
        <f t="shared" si="301"/>
        <v>13</v>
      </c>
      <c r="BP389" s="8" t="str" cm="1">
        <f t="array" ref="BP389">IF(AND(_xlfn.XLOOKUP('Base stats'!E389,Groups!A:A,Groups!AD:AD=0),_xlfn.XLOOKUP('Base stats'!E389,Groups!A:A,Groups!P:P=0)),"No",IF(U389="No",AVERAGE(EXP(-0.57+0.99*LN(C389)),EXP(0.32+0.67*LN(C389)))/IF(_xlfn.XLOOKUP(E389,Groups!A:A,Groups!AD:AD)=1,10,2),(0.7354*C389^0.4078)*2/IF(_xlfn.XLOOKUP(E389,Groups!A:A,Groups!BK:BK)=1,1000,100)/IF(_xlfn.XLOOKUP(E389,Groups!A:A,Groups!AJ:AJ)="Photonozoa",3,1)))</f>
        <v>No</v>
      </c>
      <c r="BQ389" s="8" t="str">
        <f>IF(W389="No","No",IF(_xlfn.XLOOKUP(E389,Groups!A:A,Groups!BD:BD)=1,(AO389*5%),EXP(0.7354*LN(C389)^0.4078)*2/IF(_xlfn.XLOOKUP(E389,Groups!A:A,Groups!BL:BL)=1,1000,100)/IF(_xlfn.XLOOKUP(E389,Groups!A:A,Groups!AJ:AJ)="Photonozoa",3,1)))</f>
        <v>No</v>
      </c>
      <c r="BR389" s="8">
        <f>IF(BJ389="No","No",IF(_xlfn.XLOOKUP(E389,Groups!A:A,Groups!BF:BF)=1,(0.0315*C389+2.1825)*2,(0.7354*C389^0.4078)*2)/IF(_xlfn.XLOOKUP(E389,Groups!A:A,Groups!BM:BM)=1,1000,100)/IF(_xlfn.XLOOKUP(E389,Groups!A:A,Groups!AJ:AJ)="Photonozoa",3,1))</f>
        <v>0.19645084895389714</v>
      </c>
      <c r="BS389" s="8">
        <f t="shared" si="302"/>
        <v>0.18368777960518939</v>
      </c>
      <c r="BT389" s="8" t="str">
        <f t="shared" si="303"/>
        <v>No</v>
      </c>
      <c r="BU389" s="8" t="str">
        <f t="shared" si="304"/>
        <v>No</v>
      </c>
      <c r="BV389" s="8">
        <f t="shared" si="305"/>
        <v>976.40612654943118</v>
      </c>
      <c r="BW389" s="4">
        <v>0</v>
      </c>
      <c r="BX389" s="4">
        <v>1</v>
      </c>
    </row>
    <row r="390" spans="1:76" s="16" customFormat="1" x14ac:dyDescent="0.25">
      <c r="A390" s="26" t="s">
        <v>2095</v>
      </c>
      <c r="B390" s="6" t="s">
        <v>2169</v>
      </c>
      <c r="C390" s="7">
        <v>500</v>
      </c>
      <c r="D390" s="7" t="s">
        <v>528</v>
      </c>
      <c r="E390" s="7" t="str">
        <f>Groups!$A$60</f>
        <v>Snake</v>
      </c>
      <c r="F390" s="7">
        <v>365</v>
      </c>
      <c r="G390" s="7">
        <v>12</v>
      </c>
      <c r="H390" s="7">
        <v>50</v>
      </c>
      <c r="I390" s="4">
        <v>0</v>
      </c>
      <c r="J390" s="7">
        <v>25</v>
      </c>
      <c r="K390" s="7" t="s">
        <v>528</v>
      </c>
      <c r="L390" s="7">
        <v>10</v>
      </c>
      <c r="M390" s="7" t="s">
        <v>528</v>
      </c>
      <c r="N390" s="4">
        <v>0</v>
      </c>
      <c r="O390" s="4">
        <v>0</v>
      </c>
      <c r="P390" s="4">
        <v>0</v>
      </c>
      <c r="Q390" s="4">
        <v>0</v>
      </c>
      <c r="R390" s="4" t="s">
        <v>40</v>
      </c>
      <c r="S390" s="7">
        <f>_xlfn.XLOOKUP(B390,[1]TeethAdjusters!$A:$A,[1]BiteAdjusters!$C:$C,1)</f>
        <v>1</v>
      </c>
      <c r="T390" s="7">
        <f>_xlfn.XLOOKUP(B390,[1]TeethAdjusters!$A:$A,[1]TeethAdjusters!$B:$B,1)</f>
        <v>1</v>
      </c>
      <c r="U390" s="7" t="s">
        <v>45</v>
      </c>
      <c r="V390" s="7">
        <v>4</v>
      </c>
      <c r="W390" s="7" t="s">
        <v>45</v>
      </c>
      <c r="X390" s="7" t="s">
        <v>932</v>
      </c>
      <c r="Y390" s="4" t="s">
        <v>56</v>
      </c>
      <c r="Z390" s="4">
        <v>1</v>
      </c>
      <c r="AA390" s="4">
        <v>0</v>
      </c>
      <c r="AB390" s="4">
        <v>0</v>
      </c>
      <c r="AC390" s="4">
        <v>0</v>
      </c>
      <c r="AD390" s="4">
        <v>0</v>
      </c>
      <c r="AE390" s="4" t="s">
        <v>45</v>
      </c>
      <c r="AF390" s="4" t="s">
        <v>45</v>
      </c>
      <c r="AG390" s="49" t="s">
        <v>386</v>
      </c>
      <c r="AH390" s="4" t="str">
        <f>Animals!$C$33</f>
        <v>&lt;li&gt;Cobra&lt;/li&gt;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4">
        <v>15</v>
      </c>
      <c r="AO390" s="8">
        <f t="shared" si="291"/>
        <v>63045.411191767809</v>
      </c>
      <c r="AP390" s="8">
        <f>IFERROR(C390*_xlfn.XLOOKUP(E390,Groups!A:A,Groups!K:K),0.106*C390^0.94)</f>
        <v>36.503765791879047</v>
      </c>
      <c r="AQ390" s="8">
        <f>AP390*10000/(_xlfn.XLOOKUP(E390,Groups!A:A,Groups!J:J)*AO390)</f>
        <v>5.3119953941101317</v>
      </c>
      <c r="AR390" s="8">
        <f t="shared" si="292"/>
        <v>10357.637618796818</v>
      </c>
      <c r="AS390" s="8">
        <f>IF(_xlfn.XLOOKUP(E390,Groups!A:A,Groups!M:M)=1,EXP(0.7444*LN('Base stats'!C390)+6.5696),EXP(0.7927*LN('Base stats'!C390)+4.28))</f>
        <v>9959.8753916241294</v>
      </c>
      <c r="AT390" s="8">
        <f>IF(_xlfn.XLOOKUP(E390,Groups!A:A,Groups!N:N)="No","No",
IF(_xlfn.XLOOKUP(E390,Groups!A:A,Groups!N:N)="Crocodile",EXP(0.8129*LN(C390)+4.6742)*S390,
IF(_xlfn.XLOOKUP(E390,Groups!A:A,Groups!N:N)="Felid",EXP(0.7843*LN(C390)+4.7073)*S390,
IF(_xlfn.XLOOKUP(E390,Groups!A:A,Groups!N:N)="Canid",EXP(0.8367*LN(C390)+4.8763)*S390,
IF(_xlfn.XLOOKUP(E390,Groups!A:A,Groups!N:N)="Pig",EXP(0.3439*LN(C390)+6.8519)*S390,
IF(_xlfn.XLOOKUP(E390,Groups!A:A,Groups!N:N)="Rodent",EXP(0.5625*LN(C390)+4.3006)*S390,
IF(_xlfn.XLOOKUP(E390,Groups!A:A,Groups!N:N)="Primate",EXP(0.7847*LN(C390)+3.4931)*S390,
IF(_xlfn.XLOOKUP(E390,Groups!A:A,Groups!N:N)="MiscCarnivora",EXP(0.7486*LN(C390)+4.2207)*S390,
IF(_xlfn.XLOOKUP(E390,Groups!A:A,Groups!N:N)="Lizard",EXP(0.7733*LN(C390)+5.5303)*S390,
IF(_xlfn.XLOOKUP(E390,Groups!A:A,Groups!N:N)="Snake",50*C390^(2/3)*S390,
IF(_xlfn.XLOOKUP(E390,Groups!A:A,Groups!N:N)="StrongBitingHerbivore",87.1133638856975*C390^(2/3)*S390,
IF(_xlfn.XLOOKUP(E390,Groups!A:A,Groups!N:N)="MiscEctotherms",59.4316884072269*C390^(2/3)*S390,
IF(_xlfn.XLOOKUP(E390,Groups!A:A,Groups!N:N)="StrongBeakBird",0.041*(C390*1000)^1.375*S390,
IF(_xlfn.XLOOKUP(E390,Groups!A:A,Groups!N:N)="Bird",0.118*(C390*1000)^0.692*S390,
IF(_xlfn.XLOOKUP(E390,Groups!A:A,Groups!N:N)="Insect",EXP(0.7444*LN(C390)+6.5696)*S390,
IF(_xlfn.XLOOKUP(E390,Groups!A:A,Groups!N:N)="Theropod",EXP(0.6966*LN(C390)+4.158)*S390,
"No"))))))))))))))))</f>
        <v>3149.8026247371804</v>
      </c>
      <c r="AU390" s="8">
        <f>IF(_xlfn.XLOOKUP(E390,Groups!A:A,Groups!U:U)=3,AS390,IF(_xlfn.XLOOKUP(E390,Groups!A:A,Groups!U:U)=2,AR390,AT390))</f>
        <v>3149.8026247371804</v>
      </c>
      <c r="AV390" s="46">
        <f>IFERROR(AVERAGE(_xlfn.XLOOKUP(B390,Animals!B:B,Animals!N:N),_xlfn.XLOOKUP(B390,Animals!B:B,Animals!O:O)),0)</f>
        <v>0</v>
      </c>
      <c r="AW390" s="8">
        <f>MROUND(40*Animals!AO390*_xlfn.XLOOKUP(AG390,Leathers!$A$2:$A$99,Leathers!$B$2:$B$99,0)+(140*_xlfn.XLOOKUP(B390,Animals!B:B,Animals!AO:AO)*2),5)</f>
        <v>1120</v>
      </c>
      <c r="AX390" s="8">
        <f>IFERROR(ROUND(SQRT(V390-1)*IF(_xlfn.XLOOKUP(E390,Groups!A:A,Groups!BF:BF)=0,2,1)*IF(_xlfn.XLOOKUP('Base stats'!E390,Groups!A:A,Groups!O:O)=0,1,0.1),1),0)</f>
        <v>3.5</v>
      </c>
      <c r="AY390" s="8">
        <f t="shared" si="293"/>
        <v>0</v>
      </c>
      <c r="AZ390" s="8">
        <f t="shared" si="294"/>
        <v>0</v>
      </c>
      <c r="BA390" s="8">
        <f t="shared" si="295"/>
        <v>7.4</v>
      </c>
      <c r="BB390" s="8">
        <f>IF(_xlfn.XLOOKUP(E390,Groups!A:A,Groups!N:N)="Insect",BD390*2.5,IFERROR(AVERAGE(BD390,AT390/9.81/IF(OR(_xlfn.XLOOKUP(E390,Groups!A:A,Groups!N:N)="Pig",_xlfn.XLOOKUP(E390,Groups!A:A,Groups!N:N)="StrongBitingHerbivore"),20,25))*C390^-0.135,BD390))</f>
        <v>4.2567583536764149</v>
      </c>
      <c r="BC390" s="8" t="str">
        <f>IF(W390="No","No",IF(_xlfn.XLOOKUP(E390,Groups!A:A,Groups!U:U)=1,'Base stats'!BB390,IF(OR(_xlfn.XLOOKUP(E390,Groups!A:A,Groups!BD:BD)=1,_xlfn.XLOOKUP(E390,Groups!A:A,Groups!U:U)=2),BD390,IF(_xlfn.XLOOKUP(B390,Animals!B:B,Animals!AO:AO)&gt;4,AVERAGE(BD390,BF390),BF390))))</f>
        <v>No</v>
      </c>
      <c r="BD390" s="8">
        <f t="shared" si="296"/>
        <v>6.8569367053883514</v>
      </c>
      <c r="BE390" s="8">
        <f>IF(_xlfn.XLOOKUP(E390,Groups!A:A,Groups!BE:BE)=1,(0.048*C390^1.01)+(0.071*C390^1.03),0.071*C390^1.03)/IF(_xlfn.XLOOKUP(E390,Groups!A:A,Groups!M:M)=1,0.85,IF(OR(_xlfn.XLOOKUP(B390,Animals!B:B,Animals!AO:AO)&gt;4,_xlfn.XLOOKUP(E390,Groups!A:A,Groups!BC:BC)=1),1.7,1))*C390^-0.25</f>
        <v>9.0459660212328927</v>
      </c>
      <c r="BF390" s="8">
        <f>(0.048*C390^1.01)/IF(_xlfn.XLOOKUP(E390,Groups!A:A,Groups!M:M)=1,0.25,0.8)*C390^-0.25</f>
        <v>6.7510053736705169</v>
      </c>
      <c r="BG390" s="8">
        <f>EXP(1.076*LN(AR390)-4.5397)*IF(_xlfn.XLOOKUP(E390,Groups!A:A,Groups!BC:BC)=1,1.25,IF(_xlfn.XLOOKUP(E390,Groups!A:A,Groups!BD:BD)=1,3.5,2.5))</f>
        <v>558.20519715935461</v>
      </c>
      <c r="BH390" s="8">
        <f>EXP(1.076*LN(AS390)-4.5397)*IF(_xlfn.XLOOKUP(E390,Groups!A:A,Groups!M:M)=1,0.8,IF(_xlfn.XLOOKUP(E390,Groups!A:A,Groups!BC:BC)=1,1.3,3))</f>
        <v>642.20812673473438</v>
      </c>
      <c r="BI390" s="8" t="str">
        <f>IF(W390="No","No",IF(_xlfn.XLOOKUP(E390,Groups!A:A,Groups!U:U)=1,'Base stats'!BJ390,IF(OR(_xlfn.XLOOKUP(E390,Groups!A:A,Groups!BD:BD)=1,_xlfn.XLOOKUP(E390,Groups!A:A,Groups!U:U)=2),BG390,BH390))*1.2)</f>
        <v>No</v>
      </c>
      <c r="BJ390" s="8">
        <f>IFERROR(EXP(1.076*LN(AT390)-4.5397)*IF(_xlfn.XLOOKUP(E390,Groups!A:A,Groups!N:N)="Insect",1,IF(OR(_xlfn.XLOOKUP(E390,Groups!A:A,Groups!N:N)="Pig",_xlfn.XLOOKUP(E390,Groups!A:A,Groups!N:N)="StrongBitingHerbivore"),3.5,3.75)),"No")</f>
        <v>232.60416272592332</v>
      </c>
      <c r="BK390" s="8">
        <f t="shared" si="297"/>
        <v>12</v>
      </c>
      <c r="BL390" s="8">
        <f t="shared" si="298"/>
        <v>11</v>
      </c>
      <c r="BM390" s="8" t="str">
        <f t="shared" si="299"/>
        <v>No</v>
      </c>
      <c r="BN390" s="8">
        <f t="shared" si="300"/>
        <v>10</v>
      </c>
      <c r="BO390" s="8">
        <f t="shared" si="301"/>
        <v>13</v>
      </c>
      <c r="BP390" s="8" t="str" cm="1">
        <f t="array" ref="BP390">IF(AND(_xlfn.XLOOKUP('Base stats'!E390,Groups!A:A,Groups!AD:AD=0),_xlfn.XLOOKUP('Base stats'!E390,Groups!A:A,Groups!P:P=0)),"No",IF(U390="No",AVERAGE(EXP(-0.57+0.99*LN(C390)),EXP(0.32+0.67*LN(C390)))/IF(_xlfn.XLOOKUP(E390,Groups!A:A,Groups!AD:AD)=1,10,2),(0.7354*C390^0.4078)*2/IF(_xlfn.XLOOKUP(E390,Groups!A:A,Groups!BK:BK)=1,1000,100)/IF(_xlfn.XLOOKUP(E390,Groups!A:A,Groups!AJ:AJ)="Photonozoa",3,1)))</f>
        <v>No</v>
      </c>
      <c r="BQ390" s="8" t="str">
        <f>IF(W390="No","No",IF(_xlfn.XLOOKUP(E390,Groups!A:A,Groups!BD:BD)=1,(AO390*5%),EXP(0.7354*LN(C390)^0.4078)*2/IF(_xlfn.XLOOKUP(E390,Groups!A:A,Groups!BL:BL)=1,1000,100)/IF(_xlfn.XLOOKUP(E390,Groups!A:A,Groups!AJ:AJ)="Photonozoa",3,1)))</f>
        <v>No</v>
      </c>
      <c r="BR390" s="8">
        <f>IF(BJ390="No","No",IF(_xlfn.XLOOKUP(E390,Groups!A:A,Groups!BF:BF)=1,(0.0315*C390+2.1825)*2,(0.7354*C390^0.4078)*2)/IF(_xlfn.XLOOKUP(E390,Groups!A:A,Groups!BM:BM)=1,1000,100)/IF(_xlfn.XLOOKUP(E390,Groups!A:A,Groups!AJ:AJ)="Photonozoa",3,1))</f>
        <v>0.18543580286977573</v>
      </c>
      <c r="BS390" s="8">
        <f t="shared" si="302"/>
        <v>0.17708035735112868</v>
      </c>
      <c r="BT390" s="8" t="str">
        <f t="shared" si="303"/>
        <v>No</v>
      </c>
      <c r="BU390" s="8" t="str">
        <f t="shared" si="304"/>
        <v>No</v>
      </c>
      <c r="BV390" s="8">
        <f t="shared" si="305"/>
        <v>1254.3649021719505</v>
      </c>
      <c r="BW390" s="4">
        <v>0</v>
      </c>
      <c r="BX390" s="4">
        <v>1</v>
      </c>
    </row>
    <row r="391" spans="1:76" s="16" customFormat="1" x14ac:dyDescent="0.25">
      <c r="A391" s="26" t="s">
        <v>2096</v>
      </c>
      <c r="B391" s="6" t="s">
        <v>2170</v>
      </c>
      <c r="C391" s="7">
        <v>0.15</v>
      </c>
      <c r="D391" s="7" t="s">
        <v>2171</v>
      </c>
      <c r="E391" s="7" t="str">
        <f>Groups!$A$140</f>
        <v>Dragonfly</v>
      </c>
      <c r="F391" s="7" t="str">
        <f t="shared" ref="F391" si="308">"Lay eggs"</f>
        <v>Lay eggs</v>
      </c>
      <c r="G391" s="7">
        <v>2</v>
      </c>
      <c r="H391" s="7">
        <v>15</v>
      </c>
      <c r="I391" s="4">
        <v>1</v>
      </c>
      <c r="J391" s="7" t="str">
        <f t="shared" ref="J391" si="309">"Lay eggs"</f>
        <v>Lay eggs</v>
      </c>
      <c r="K391" s="7" t="s">
        <v>528</v>
      </c>
      <c r="L391" s="7">
        <v>24</v>
      </c>
      <c r="M391" s="7" t="s">
        <v>528</v>
      </c>
      <c r="N391" s="4">
        <v>0</v>
      </c>
      <c r="O391" s="4">
        <v>0</v>
      </c>
      <c r="P391" s="4">
        <v>0</v>
      </c>
      <c r="Q391" s="4">
        <v>0</v>
      </c>
      <c r="R391" s="4" t="s">
        <v>40</v>
      </c>
      <c r="S391" s="7">
        <f>_xlfn.XLOOKUP(B391,[1]TeethAdjusters!$A:$A,[1]BiteAdjusters!$C:$C,1)</f>
        <v>1</v>
      </c>
      <c r="T391" s="7">
        <f>_xlfn.XLOOKUP(B391,[1]TeethAdjusters!$A:$A,[1]TeethAdjusters!$B:$B,1)</f>
        <v>1</v>
      </c>
      <c r="U391" s="7">
        <v>0.5</v>
      </c>
      <c r="V391" s="7">
        <v>0.5</v>
      </c>
      <c r="W391" s="7" t="s">
        <v>45</v>
      </c>
      <c r="X391" s="7" t="s">
        <v>932</v>
      </c>
      <c r="Y391" s="4" t="s">
        <v>53</v>
      </c>
      <c r="Z391" s="4">
        <v>1</v>
      </c>
      <c r="AA391" s="4">
        <v>0</v>
      </c>
      <c r="AB391" s="4">
        <v>0</v>
      </c>
      <c r="AC391" s="4">
        <v>0</v>
      </c>
      <c r="AD391" s="4">
        <v>0</v>
      </c>
      <c r="AE391" s="4" t="s">
        <v>45</v>
      </c>
      <c r="AF391" s="4" t="s">
        <v>45</v>
      </c>
      <c r="AG391" s="49" t="s">
        <v>1712</v>
      </c>
      <c r="AH391" s="4" t="str">
        <f>Animals!$C$105</f>
        <v>&lt;li&gt;Megaspider&lt;/li&gt;</v>
      </c>
      <c r="AI391" s="4">
        <v>0</v>
      </c>
      <c r="AJ391" s="4">
        <v>0</v>
      </c>
      <c r="AK391" s="4">
        <v>0</v>
      </c>
      <c r="AL391" s="4">
        <v>0</v>
      </c>
      <c r="AM391" s="4">
        <v>1</v>
      </c>
      <c r="AN391" s="44" t="s">
        <v>40</v>
      </c>
      <c r="AO391" s="8">
        <f t="shared" si="291"/>
        <v>323.43148678247809</v>
      </c>
      <c r="AP391" s="8">
        <f>IFERROR(C391*_xlfn.XLOOKUP(E391,Groups!A:A,Groups!K:K),0.106*C391^0.94)</f>
        <v>4.8000000000000001E-2</v>
      </c>
      <c r="AQ391" s="8">
        <f>AP391*10000/(_xlfn.XLOOKUP(E391,Groups!A:A,Groups!J:J)*AO391)</f>
        <v>1.6675118680060657</v>
      </c>
      <c r="AR391" s="8">
        <f t="shared" si="292"/>
        <v>10.951788198918798</v>
      </c>
      <c r="AS391" s="8">
        <f>IF(_xlfn.XLOOKUP(E391,Groups!A:A,Groups!M:M)=1,EXP(0.7444*LN('Base stats'!C391)+6.5696),EXP(0.7927*LN('Base stats'!C391)+4.28))</f>
        <v>173.70941653290882</v>
      </c>
      <c r="AT391" s="8">
        <f>IF(_xlfn.XLOOKUP(E391,Groups!A:A,Groups!N:N)="No","No",
IF(_xlfn.XLOOKUP(E391,Groups!A:A,Groups!N:N)="Crocodile",EXP(0.8129*LN(C391)+4.6742)*S391,
IF(_xlfn.XLOOKUP(E391,Groups!A:A,Groups!N:N)="Felid",EXP(0.7843*LN(C391)+4.7073)*S391,
IF(_xlfn.XLOOKUP(E391,Groups!A:A,Groups!N:N)="Canid",EXP(0.8367*LN(C391)+4.8763)*S391,
IF(_xlfn.XLOOKUP(E391,Groups!A:A,Groups!N:N)="Pig",EXP(0.3439*LN(C391)+6.8519)*S391,
IF(_xlfn.XLOOKUP(E391,Groups!A:A,Groups!N:N)="Rodent",EXP(0.5625*LN(C391)+4.3006)*S391,
IF(_xlfn.XLOOKUP(E391,Groups!A:A,Groups!N:N)="Primate",EXP(0.7847*LN(C391)+3.4931)*S391,
IF(_xlfn.XLOOKUP(E391,Groups!A:A,Groups!N:N)="MiscCarnivora",EXP(0.7486*LN(C391)+4.2207)*S391,
IF(_xlfn.XLOOKUP(E391,Groups!A:A,Groups!N:N)="Lizard",EXP(0.7733*LN(C391)+5.5303)*S391,
IF(_xlfn.XLOOKUP(E391,Groups!A:A,Groups!N:N)="Snake",50*C391^(2/3)*S391,
IF(_xlfn.XLOOKUP(E391,Groups!A:A,Groups!N:N)="StrongBitingHerbivore",87.1133638856975*C391^(2/3)*S391,
IF(_xlfn.XLOOKUP(E391,Groups!A:A,Groups!N:N)="MiscEctotherms",59.4316884072269*C391^(2/3)*S391,
IF(_xlfn.XLOOKUP(E391,Groups!A:A,Groups!N:N)="StrongBeakBird",0.041*(C391*1000)^1.375*S391,
IF(_xlfn.XLOOKUP(E391,Groups!A:A,Groups!N:N)="Bird",0.118*(C391*1000)^0.692*S391,
IF(_xlfn.XLOOKUP(E391,Groups!A:A,Groups!N:N)="Insect",EXP(0.7444*LN(C391)+6.5696)*S391,
IF(_xlfn.XLOOKUP(E391,Groups!A:A,Groups!N:N)="Theropod",EXP(0.6966*LN(C391)+4.158)*S391,
"No"))))))))))))))))</f>
        <v>173.70941653290882</v>
      </c>
      <c r="AU391" s="8">
        <f>IF(_xlfn.XLOOKUP(E391,Groups!A:A,Groups!U:U)=3,AS391,IF(_xlfn.XLOOKUP(E391,Groups!A:A,Groups!U:U)=2,AR391,AT391))</f>
        <v>173.70941653290882</v>
      </c>
      <c r="AV391" s="46">
        <f>IFERROR(AVERAGE(_xlfn.XLOOKUP(B391,Animals!B:B,Animals!N:N),_xlfn.XLOOKUP(B391,Animals!B:B,Animals!O:O)),0)</f>
        <v>0.17500000000000002</v>
      </c>
      <c r="AW391" s="8">
        <f>MROUND(40*Animals!AO391*_xlfn.XLOOKUP(AG391,Leathers!$A$2:$A$99,Leathers!$B$2:$B$99,0)+(140*_xlfn.XLOOKUP(B391,Animals!B:B,Animals!AO:AO)*2),5)</f>
        <v>30</v>
      </c>
      <c r="AX391" s="8">
        <f>IFERROR(ROUND(SQRT(V391-1)*IF(_xlfn.XLOOKUP(E391,Groups!A:A,Groups!BF:BF)=0,2,1)*IF(_xlfn.XLOOKUP('Base stats'!E391,Groups!A:A,Groups!O:O)=0,1,0.1),1),0)</f>
        <v>0</v>
      </c>
      <c r="AY391" s="8">
        <f t="shared" si="293"/>
        <v>0</v>
      </c>
      <c r="AZ391" s="8">
        <f t="shared" si="294"/>
        <v>0</v>
      </c>
      <c r="BA391" s="8">
        <f t="shared" si="295"/>
        <v>0.3</v>
      </c>
      <c r="BB391" s="8">
        <f>IF(_xlfn.XLOOKUP(E391,Groups!A:A,Groups!N:N)="Insect",BD391*2.5,IFERROR(AVERAGE(BD391,AT391/9.81/IF(OR(_xlfn.XLOOKUP(E391,Groups!A:A,Groups!N:N)="Pig",_xlfn.XLOOKUP(E391,Groups!A:A,Groups!N:N)="StrongBitingHerbivore"),20,25))*C391^-0.135,BD391))</f>
        <v>2.0256196995999468E-2</v>
      </c>
      <c r="BC391" s="8" t="str">
        <f>IF(W391="No","No",IF(_xlfn.XLOOKUP(E391,Groups!A:A,Groups!U:U)=1,'Base stats'!BB391,IF(OR(_xlfn.XLOOKUP(E391,Groups!A:A,Groups!BD:BD)=1,_xlfn.XLOOKUP(E391,Groups!A:A,Groups!U:U)=2),BD391,IF(_xlfn.XLOOKUP(B391,Animals!B:B,Animals!AO:AO)&gt;4,AVERAGE(BD391,BF391),BF391))))</f>
        <v>No</v>
      </c>
      <c r="BD391" s="8">
        <f t="shared" si="296"/>
        <v>8.102478798399787E-3</v>
      </c>
      <c r="BE391" s="8">
        <f>IF(_xlfn.XLOOKUP(E391,Groups!A:A,Groups!BE:BE)=1,(0.048*C391^1.01)+(0.071*C391^1.03),0.071*C391^1.03)/IF(_xlfn.XLOOKUP(E391,Groups!A:A,Groups!M:M)=1,0.85,IF(OR(_xlfn.XLOOKUP(B391,Animals!B:B,Animals!AO:AO)&gt;4,_xlfn.XLOOKUP(E391,Groups!A:A,Groups!BC:BC)=1),1.7,1))*C391^-0.25</f>
        <v>1.9019128166212585E-2</v>
      </c>
      <c r="BF391" s="8">
        <f>(0.048*C391^1.01)/IF(_xlfn.XLOOKUP(E391,Groups!A:A,Groups!M:M)=1,0.25,0.8)*C391^-0.25</f>
        <v>4.5407813034619542E-2</v>
      </c>
      <c r="BG391" s="8">
        <f>EXP(1.076*LN(AR391)-4.5397)*IF(_xlfn.XLOOKUP(E391,Groups!A:A,Groups!BC:BC)=1,1.25,IF(_xlfn.XLOOKUP(E391,Groups!A:A,Groups!BD:BD)=1,3.5,2.5))</f>
        <v>0.17531910804755385</v>
      </c>
      <c r="BH391" s="8">
        <f>EXP(1.076*LN(AS391)-4.5397)*IF(_xlfn.XLOOKUP(E391,Groups!A:A,Groups!M:M)=1,0.8,IF(_xlfn.XLOOKUP(E391,Groups!A:A,Groups!BC:BC)=1,1.3,3))</f>
        <v>2.1957013278953386</v>
      </c>
      <c r="BI391" s="8" t="str">
        <f>IF(W391="No","No",IF(_xlfn.XLOOKUP(E391,Groups!A:A,Groups!U:U)=1,'Base stats'!BJ391,IF(OR(_xlfn.XLOOKUP(E391,Groups!A:A,Groups!BD:BD)=1,_xlfn.XLOOKUP(E391,Groups!A:A,Groups!U:U)=2),BG391,BH391))*1.2)</f>
        <v>No</v>
      </c>
      <c r="BJ391" s="8">
        <f>IFERROR(EXP(1.076*LN(AT391)-4.5397)*IF(_xlfn.XLOOKUP(E391,Groups!A:A,Groups!N:N)="Insect",1,IF(OR(_xlfn.XLOOKUP(E391,Groups!A:A,Groups!N:N)="Pig",_xlfn.XLOOKUP(E391,Groups!A:A,Groups!N:N)="StrongBitingHerbivore"),3.5,3.75)),"No")</f>
        <v>2.7446266598691729</v>
      </c>
      <c r="BK391" s="8">
        <f t="shared" si="297"/>
        <v>6</v>
      </c>
      <c r="BL391" s="8">
        <f t="shared" si="298"/>
        <v>15</v>
      </c>
      <c r="BM391" s="8" t="str">
        <f t="shared" si="299"/>
        <v>No</v>
      </c>
      <c r="BN391" s="8">
        <f t="shared" si="300"/>
        <v>16</v>
      </c>
      <c r="BO391" s="8">
        <f t="shared" si="301"/>
        <v>9</v>
      </c>
      <c r="BP391" s="8" cm="1">
        <f t="array" ref="BP391">IF(AND(_xlfn.XLOOKUP('Base stats'!E391,Groups!A:A,Groups!AD:AD=0),_xlfn.XLOOKUP('Base stats'!E391,Groups!A:A,Groups!P:P=0)),"No",IF(U391="No",AVERAGE(EXP(-0.57+0.99*LN(C391)),EXP(0.32+0.67*LN(C391)))/IF(_xlfn.XLOOKUP(E391,Groups!A:A,Groups!AD:AD)=1,10,2),(0.7354*C391^0.4078)*2/IF(_xlfn.XLOOKUP(E391,Groups!A:A,Groups!BK:BK)=1,1000,100)/IF(_xlfn.XLOOKUP(E391,Groups!A:A,Groups!AJ:AJ)="Photonozoa",3,1)))</f>
        <v>6.7852153614600364E-4</v>
      </c>
      <c r="BQ391" s="8" t="str">
        <f>IF(W391="No","No",IF(_xlfn.XLOOKUP(E391,Groups!A:A,Groups!BD:BD)=1,(AO391*5%),EXP(0.7354*LN(C391)^0.4078)*2/IF(_xlfn.XLOOKUP(E391,Groups!A:A,Groups!BL:BL)=1,1000,100)/IF(_xlfn.XLOOKUP(E391,Groups!A:A,Groups!AJ:AJ)="Photonozoa",3,1)))</f>
        <v>No</v>
      </c>
      <c r="BR391" s="8">
        <f>IF(BJ391="No","No",IF(_xlfn.XLOOKUP(E391,Groups!A:A,Groups!BF:BF)=1,(0.0315*C391+2.1825)*2,(0.7354*C391^0.4078)*2)/IF(_xlfn.XLOOKUP(E391,Groups!A:A,Groups!BM:BM)=1,1000,100)/IF(_xlfn.XLOOKUP(E391,Groups!A:A,Groups!AJ:AJ)="Photonozoa",3,1))</f>
        <v>6.7852153614600362E-3</v>
      </c>
      <c r="BS391" s="8">
        <f t="shared" si="302"/>
        <v>1.0841189878675212E-2</v>
      </c>
      <c r="BT391" s="8">
        <f t="shared" si="303"/>
        <v>3236.0083076609517</v>
      </c>
      <c r="BU391" s="8" t="str">
        <f t="shared" si="304"/>
        <v>No</v>
      </c>
      <c r="BV391" s="8">
        <f t="shared" si="305"/>
        <v>404.50103845761896</v>
      </c>
      <c r="BW391" s="4">
        <v>0</v>
      </c>
      <c r="BX391" s="4">
        <v>1</v>
      </c>
    </row>
    <row r="392" spans="1:76" s="16" customFormat="1" x14ac:dyDescent="0.25">
      <c r="A392" s="26" t="s">
        <v>2097</v>
      </c>
      <c r="B392" s="6" t="s">
        <v>2132</v>
      </c>
      <c r="C392" s="7">
        <f>AVERAGE(8000,4000)</f>
        <v>6000</v>
      </c>
      <c r="D392" s="7" t="s">
        <v>1135</v>
      </c>
      <c r="E392" s="7" t="str">
        <f>Groups!$A$18</f>
        <v>Elephant</v>
      </c>
      <c r="F392" s="7">
        <f>670</f>
        <v>670</v>
      </c>
      <c r="G392" s="7">
        <v>11.5</v>
      </c>
      <c r="H392" s="7">
        <v>65</v>
      </c>
      <c r="I392" s="4">
        <v>1</v>
      </c>
      <c r="J392" s="7">
        <v>1</v>
      </c>
      <c r="K392" s="7" t="s">
        <v>528</v>
      </c>
      <c r="L392" s="7">
        <v>26</v>
      </c>
      <c r="M392" s="7" t="s">
        <v>626</v>
      </c>
      <c r="N392" s="4">
        <v>0</v>
      </c>
      <c r="O392" s="4">
        <v>0</v>
      </c>
      <c r="P392" s="4">
        <v>0</v>
      </c>
      <c r="Q392" s="4">
        <v>0</v>
      </c>
      <c r="R392" s="4" t="s">
        <v>40</v>
      </c>
      <c r="S392" s="7">
        <f>_xlfn.XLOOKUP(B392,[1]TeethAdjusters!$A:$A,[1]BiteAdjusters!$C:$C,1)</f>
        <v>1</v>
      </c>
      <c r="T392" s="7">
        <f>_xlfn.XLOOKUP(B392,[1]TeethAdjusters!$A:$A,[1]TeethAdjusters!$B:$B,1)</f>
        <v>1</v>
      </c>
      <c r="U392" s="7" t="s">
        <v>45</v>
      </c>
      <c r="V392" s="7" t="str">
        <f>IF(AT392="No","No",IF(_xlfn.XLOOKUP(E392,Groups!A:A,Groups!AM:AM)=1,MROUND(EXP(0.3582*LN(C392)-0.2221)*T392,0.05),IF(_xlfn.XLOOKUP(E392,Groups!A:A,Groups!AM:AM)=2,MROUND(EXP(0.3582*LN(C392)-0.2221)*T392,0.05),"Need a formula")))</f>
        <v>No</v>
      </c>
      <c r="W392" s="7">
        <v>139.69999999999999</v>
      </c>
      <c r="X392" s="7" t="s">
        <v>932</v>
      </c>
      <c r="Y392" s="4" t="s">
        <v>42</v>
      </c>
      <c r="Z392" s="4">
        <v>1</v>
      </c>
      <c r="AA392" s="4">
        <v>0</v>
      </c>
      <c r="AB392" s="4">
        <v>0</v>
      </c>
      <c r="AC392" s="4">
        <v>0</v>
      </c>
      <c r="AD392" s="4">
        <v>0</v>
      </c>
      <c r="AE392" s="4" t="s">
        <v>1043</v>
      </c>
      <c r="AF392" s="4" t="s">
        <v>398</v>
      </c>
      <c r="AG392" s="49" t="s">
        <v>387</v>
      </c>
      <c r="AH392" s="4" t="str">
        <f>Animals!$C$26</f>
        <v>&lt;li&gt;Elephant&lt;/li&gt;</v>
      </c>
      <c r="AI392" s="4">
        <v>1</v>
      </c>
      <c r="AJ392" s="4">
        <v>0</v>
      </c>
      <c r="AK392" s="4">
        <v>0</v>
      </c>
      <c r="AL392" s="4">
        <v>0</v>
      </c>
      <c r="AM392" s="4">
        <v>0</v>
      </c>
      <c r="AN392" s="44" t="s">
        <v>40</v>
      </c>
      <c r="AO392" s="8">
        <f t="shared" ref="AO392:AO393" si="310">(0.111*C392^0.65)*10000</f>
        <v>317045.27964091528</v>
      </c>
      <c r="AP392" s="8">
        <f>IFERROR(C392*_xlfn.XLOOKUP(E392,Groups!A:A,Groups!K:K),0.106*C392^0.94)</f>
        <v>480</v>
      </c>
      <c r="AQ392" s="8">
        <f>AP392*10000/(_xlfn.XLOOKUP(E392,Groups!A:A,Groups!J:J)*AO392)</f>
        <v>13.889718622394339</v>
      </c>
      <c r="AR392" s="8">
        <f t="shared" ref="AR392:AR393" si="311">EXP(0.8447*LN(C392)+3.996)</f>
        <v>84497.743412668031</v>
      </c>
      <c r="AS392" s="8">
        <f>IF(_xlfn.XLOOKUP(E392,Groups!A:A,Groups!M:M)=1,EXP(0.7444*LN('Base stats'!C392)+6.5696),EXP(0.7927*LN('Base stats'!C392)+4.28))</f>
        <v>71403.726647358781</v>
      </c>
      <c r="AT392" s="8" t="str">
        <f>IF(_xlfn.XLOOKUP(E392,Groups!A:A,Groups!N:N)="No","No",
IF(_xlfn.XLOOKUP(E392,Groups!A:A,Groups!N:N)="Crocodile",EXP(0.8129*LN(C392)+4.6742)*S392,
IF(_xlfn.XLOOKUP(E392,Groups!A:A,Groups!N:N)="Felid",EXP(0.7843*LN(C392)+4.7073)*S392,
IF(_xlfn.XLOOKUP(E392,Groups!A:A,Groups!N:N)="Canid",EXP(0.8367*LN(C392)+4.8763)*S392,
IF(_xlfn.XLOOKUP(E392,Groups!A:A,Groups!N:N)="Pig",EXP(0.3439*LN(C392)+6.8519)*S392,
IF(_xlfn.XLOOKUP(E392,Groups!A:A,Groups!N:N)="Rodent",EXP(0.5625*LN(C392)+4.3006)*S392,
IF(_xlfn.XLOOKUP(E392,Groups!A:A,Groups!N:N)="Primate",EXP(0.7847*LN(C392)+3.4931)*S392,
IF(_xlfn.XLOOKUP(E392,Groups!A:A,Groups!N:N)="MiscCarnivora",EXP(0.7486*LN(C392)+4.2207)*S392,
IF(_xlfn.XLOOKUP(E392,Groups!A:A,Groups!N:N)="Lizard",EXP(0.7733*LN(C392)+5.5303)*S392,
IF(_xlfn.XLOOKUP(E392,Groups!A:A,Groups!N:N)="Snake",50*C392^(2/3)*S392,
IF(_xlfn.XLOOKUP(E392,Groups!A:A,Groups!N:N)="StrongBitingHerbivore",87.1133638856975*C392^(2/3)*S392,
IF(_xlfn.XLOOKUP(E392,Groups!A:A,Groups!N:N)="MiscEctotherms",59.4316884072269*C392^(2/3)*S392,
IF(_xlfn.XLOOKUP(E392,Groups!A:A,Groups!N:N)="StrongBeakBird",0.041*(C392*1000)^1.375*S392,
IF(_xlfn.XLOOKUP(E392,Groups!A:A,Groups!N:N)="Bird",0.118*(C392*1000)^0.692*S392,
IF(_xlfn.XLOOKUP(E392,Groups!A:A,Groups!N:N)="Insect",EXP(0.7444*LN(C392)+6.5696)*S392,
IF(_xlfn.XLOOKUP(E392,Groups!A:A,Groups!N:N)="Theropod",EXP(0.6966*LN(C392)+4.158)*S392,
"No"))))))))))))))))</f>
        <v>No</v>
      </c>
      <c r="AU392" s="8">
        <f>IF(_xlfn.XLOOKUP(E392,Groups!A:A,Groups!U:U)=3,AS392,IF(_xlfn.XLOOKUP(E392,Groups!A:A,Groups!U:U)=2,AR392,AT392))</f>
        <v>71403.726647358781</v>
      </c>
      <c r="AV392" s="46">
        <f>IFERROR(AVERAGE(_xlfn.XLOOKUP(B392,Animals!B:B,Animals!N:N),_xlfn.XLOOKUP(B392,Animals!B:B,Animals!O:O)),0)</f>
        <v>0</v>
      </c>
      <c r="AW392" s="8">
        <f>MROUND(40*Animals!AO392*_xlfn.XLOOKUP(AG392,Leathers!$A$2:$A$99,Leathers!$B$2:$B$99,0)+(140*_xlfn.XLOOKUP(B392,Animals!B:B,Animals!AO:AO)*2),5)</f>
        <v>1990</v>
      </c>
      <c r="AX392" s="8">
        <f>IFERROR(ROUND(SQRT(V392-1)*IF(_xlfn.XLOOKUP(E392,Groups!A:A,Groups!BF:BF)=0,2,1)*IF(_xlfn.XLOOKUP('Base stats'!E392,Groups!A:A,Groups!O:O)=0,1,0.1),1),0)</f>
        <v>0</v>
      </c>
      <c r="AY392" s="8">
        <f t="shared" ref="AY392:AY393" si="312">IFERROR(ROUND(SQRT(U392-1),1),0)</f>
        <v>0</v>
      </c>
      <c r="AZ392" s="8">
        <f t="shared" ref="AZ392:AZ393" si="313">IFERROR(ROUND(SQRT(W392),1),0)</f>
        <v>11.8</v>
      </c>
      <c r="BA392" s="8">
        <f t="shared" ref="BA392:BA393" si="314">ROUND(
  EXP(0.3582*LN(C392)-0.2221) *
  (0.75 + 0.25*(C392^4/(C392^4+10^4))),
1)</f>
        <v>18.100000000000001</v>
      </c>
      <c r="BB392" s="8">
        <f>IF(_xlfn.XLOOKUP(E392,Groups!A:A,Groups!N:N)="Insect",BD392*2.5,IFERROR(AVERAGE(BD392,AT392/9.81/IF(OR(_xlfn.XLOOKUP(E392,Groups!A:A,Groups!N:N)="Pig",_xlfn.XLOOKUP(E392,Groups!A:A,Groups!N:N)="StrongBitingHerbivore"),20,25))*C392^-0.135,BD392))</f>
        <v>27.670187995209911</v>
      </c>
      <c r="BC392" s="8">
        <f>IF(W392="No","No",IF(_xlfn.XLOOKUP(E392,Groups!A:A,Groups!U:U)=1,'Base stats'!BB392,IF(OR(_xlfn.XLOOKUP(E392,Groups!A:A,Groups!BD:BD)=1,_xlfn.XLOOKUP(E392,Groups!A:A,Groups!U:U)=2),BD392,IF(_xlfn.XLOOKUP(B392,Animals!B:B,Animals!AO:AO)&gt;4,AVERAGE(BD392,BF392),BF392))))</f>
        <v>36.145948551119211</v>
      </c>
      <c r="BD392" s="8">
        <f t="shared" ref="BD392:BD393" si="315">(0.0392*C392^IF(OR(Y392="Herbivore",Y392="Dendrovore",Y392="OmnivoreRough"),0.889,0.966))*C392^-0.135</f>
        <v>27.670187995209911</v>
      </c>
      <c r="BE392" s="8">
        <f>IF(_xlfn.XLOOKUP(E392,Groups!A:A,Groups!BE:BE)=1,(0.048*C392^1.01)+(0.071*C392^1.03),0.071*C392^1.03)/IF(_xlfn.XLOOKUP(E392,Groups!A:A,Groups!M:M)=1,0.85,IF(OR(_xlfn.XLOOKUP(B392,Animals!B:B,Animals!AO:AO)&gt;4,_xlfn.XLOOKUP(E392,Groups!A:A,Groups!BC:BC)=1),1.7,1))*C392^-0.25</f>
        <v>36.963016200528486</v>
      </c>
      <c r="BF392" s="8">
        <f>(0.048*C392^1.01)/IF(_xlfn.XLOOKUP(E392,Groups!A:A,Groups!M:M)=1,0.25,0.8)*C392^-0.25</f>
        <v>44.621709107028508</v>
      </c>
      <c r="BG392" s="8">
        <f>EXP(1.076*LN(AR392)-4.5397)*IF(_xlfn.XLOOKUP(E392,Groups!A:A,Groups!BC:BC)=1,1.25,IF(_xlfn.XLOOKUP(E392,Groups!A:A,Groups!BD:BD)=1,3.5,2.5))</f>
        <v>2670.7220547406591</v>
      </c>
      <c r="BH392" s="8">
        <f>EXP(1.076*LN(AS392)-4.5397)*IF(_xlfn.XLOOKUP(E392,Groups!A:A,Groups!M:M)=1,0.8,IF(_xlfn.XLOOKUP(E392,Groups!A:A,Groups!BC:BC)=1,1.3,3))</f>
        <v>2317.2898443594122</v>
      </c>
      <c r="BI392" s="8">
        <f>IF(W392="No","No",IF(_xlfn.XLOOKUP(E392,Groups!A:A,Groups!U:U)=1,'Base stats'!BJ392,IF(OR(_xlfn.XLOOKUP(E392,Groups!A:A,Groups!BD:BD)=1,_xlfn.XLOOKUP(E392,Groups!A:A,Groups!U:U)=2),BG392,BH392))*1.2)</f>
        <v>2780.7478132312945</v>
      </c>
      <c r="BJ392" s="8" t="str">
        <f>IFERROR(EXP(1.076*LN(AT392)-4.5397)*IF(_xlfn.XLOOKUP(E392,Groups!A:A,Groups!N:N)="Insect",1,IF(OR(_xlfn.XLOOKUP(E392,Groups!A:A,Groups!N:N)="Pig",_xlfn.XLOOKUP(E392,Groups!A:A,Groups!N:N)="StrongBitingHerbivore"),3.5,3.75)),"No")</f>
        <v>No</v>
      </c>
      <c r="BK392" s="8">
        <f t="shared" ref="BK392:BK393" si="316">ROUNDDOWN(SQRT((2*BG392)/BD392),0)</f>
        <v>13</v>
      </c>
      <c r="BL392" s="8">
        <f t="shared" ref="BL392:BL393" si="317">ROUNDDOWN(SQRT((2*BH392)/BE392),0)</f>
        <v>11</v>
      </c>
      <c r="BM392" s="8">
        <f t="shared" ref="BM392:BM393" si="318">IF(W392="No","No",ROUNDDOWN(SQRT((2*BI392)/BC392),0))</f>
        <v>12</v>
      </c>
      <c r="BN392" s="8" t="str">
        <f t="shared" ref="BN392:BN393" si="319">IF(V392="No","No",ROUNDDOWN(SQRT((2*BJ392)/BB392),0))</f>
        <v>No</v>
      </c>
      <c r="BO392" s="8">
        <f t="shared" ref="BO392:BO393" si="320">ROUNDDOWN(SQRT((2*BH392)/BF392),0)</f>
        <v>10</v>
      </c>
      <c r="BP392" s="8" cm="1">
        <f t="array" ref="BP392">IF(AND(_xlfn.XLOOKUP('Base stats'!E392,Groups!A:A,Groups!AD:AD=0),_xlfn.XLOOKUP('Base stats'!E392,Groups!A:A,Groups!P:P=0)),"No",IF(U392="No",AVERAGE(EXP(-0.57+0.99*LN(C392)),EXP(0.32+0.67*LN(C392)))/IF(_xlfn.XLOOKUP(E392,Groups!A:A,Groups!AD:AD)=1,10,2),(0.7354*C392^0.4078)*2/IF(_xlfn.XLOOKUP(E392,Groups!A:A,Groups!BK:BK)=1,1000,100)/IF(_xlfn.XLOOKUP(E392,Groups!A:A,Groups!AJ:AJ)="Photonozoa",3,1)))</f>
        <v>894.63427132503762</v>
      </c>
      <c r="BQ392" s="8">
        <f>IF(W392="No","No",IF(_xlfn.XLOOKUP(E392,Groups!A:A,Groups!BD:BD)=1,(AO392*5%),EXP(0.7354*LN(C392)^0.4078)*2/IF(_xlfn.XLOOKUP(E392,Groups!A:A,Groups!BL:BL)=1,1000,100)/IF(_xlfn.XLOOKUP(E392,Groups!A:A,Groups!AJ:AJ)="Photonozoa",3,1)))</f>
        <v>0.11822361841876085</v>
      </c>
      <c r="BR392" s="8" t="str">
        <f>IF(BJ392="No","No",IF(_xlfn.XLOOKUP(E392,Groups!A:A,Groups!BF:BF)=1,(0.0315*C392+2.1825)*2,(0.7354*C392^0.4078)*2)/IF(_xlfn.XLOOKUP(E392,Groups!A:A,Groups!BM:BM)=1,1000,100)/IF(_xlfn.XLOOKUP(E392,Groups!A:A,Groups!AJ:AJ)="Photonozoa",3,1))</f>
        <v>No</v>
      </c>
      <c r="BS392" s="8">
        <f t="shared" ref="BS392:BS393" si="321">BG392/(AO392*5%)</f>
        <v>0.16847574944282484</v>
      </c>
      <c r="BT392" s="8">
        <f t="shared" ref="BT392:BT393" si="322">IF(BP392="No","No",BH392/BP392)</f>
        <v>2.5902091152033417</v>
      </c>
      <c r="BU392" s="8">
        <f t="shared" ref="BU392:BU393" si="323">IF(W392="No","No",BI392/BQ392)</f>
        <v>23521.085299399183</v>
      </c>
      <c r="BV392" s="8" t="str">
        <f t="shared" ref="BV392:BV393" si="324">IF(BJ392="No","No",BJ392/BR392)</f>
        <v>No</v>
      </c>
      <c r="BW392" s="4">
        <v>0</v>
      </c>
      <c r="BX392" s="4">
        <v>1</v>
      </c>
    </row>
    <row r="393" spans="1:76" s="16" customFormat="1" x14ac:dyDescent="0.25">
      <c r="A393" s="26" t="s">
        <v>2098</v>
      </c>
      <c r="B393" s="6" t="s">
        <v>2173</v>
      </c>
      <c r="C393" s="7">
        <f>AVERAGE(1500,2700)</f>
        <v>2100</v>
      </c>
      <c r="D393" s="7" t="s">
        <v>2174</v>
      </c>
      <c r="E393" s="7" t="str">
        <f>Groups!$A$18</f>
        <v>Elephant</v>
      </c>
      <c r="F393" s="7">
        <v>644</v>
      </c>
      <c r="G393" s="7">
        <f>3287/365</f>
        <v>9.0054794520547947</v>
      </c>
      <c r="H393" s="7">
        <v>79.599999999999994</v>
      </c>
      <c r="I393" s="4">
        <v>1</v>
      </c>
      <c r="J393" s="7">
        <v>1</v>
      </c>
      <c r="K393" s="7" t="s">
        <v>580</v>
      </c>
      <c r="L393" s="7">
        <v>26</v>
      </c>
      <c r="M393" s="7" t="s">
        <v>626</v>
      </c>
      <c r="N393" s="4">
        <v>0</v>
      </c>
      <c r="O393" s="4">
        <v>0</v>
      </c>
      <c r="P393" s="4">
        <v>0</v>
      </c>
      <c r="Q393" s="4">
        <v>0</v>
      </c>
      <c r="R393" s="4" t="s">
        <v>40</v>
      </c>
      <c r="S393" s="7">
        <f>_xlfn.XLOOKUP(B393,[1]TeethAdjusters!$A:$A,[1]BiteAdjusters!$C:$C,1)</f>
        <v>1</v>
      </c>
      <c r="T393" s="7">
        <f>_xlfn.XLOOKUP(B393,[1]TeethAdjusters!$A:$A,[1]TeethAdjusters!$B:$B,1)</f>
        <v>1</v>
      </c>
      <c r="U393" s="7" t="s">
        <v>45</v>
      </c>
      <c r="V393" s="7" t="str">
        <f>IF(AT393="No","No",IF(_xlfn.XLOOKUP(E393,Groups!A:A,Groups!AM:AM)=1,MROUND(EXP(0.3582*LN(C393)-0.2221)*T393,0.05),IF(_xlfn.XLOOKUP(E393,Groups!A:A,Groups!AM:AM)=2,MROUND(EXP(0.3582*LN(C393)-0.2221)*T393,0.05),"Need a formula")))</f>
        <v>No</v>
      </c>
      <c r="W393" s="7">
        <v>70</v>
      </c>
      <c r="X393" s="7" t="s">
        <v>962</v>
      </c>
      <c r="Y393" s="4" t="s">
        <v>42</v>
      </c>
      <c r="Z393" s="4">
        <v>1</v>
      </c>
      <c r="AA393" s="4">
        <v>0</v>
      </c>
      <c r="AB393" s="4">
        <v>0</v>
      </c>
      <c r="AC393" s="4">
        <v>0</v>
      </c>
      <c r="AD393" s="4">
        <v>0</v>
      </c>
      <c r="AE393" s="4" t="s">
        <v>45</v>
      </c>
      <c r="AF393" s="4" t="s">
        <v>1786</v>
      </c>
      <c r="AG393" s="49" t="s">
        <v>380</v>
      </c>
      <c r="AH393" s="4" t="str">
        <f>Animals!$C$26</f>
        <v>&lt;li&gt;Elephant&lt;/li&gt;</v>
      </c>
      <c r="AI393" s="4">
        <v>1</v>
      </c>
      <c r="AJ393" s="4">
        <v>0</v>
      </c>
      <c r="AK393" s="4">
        <v>0</v>
      </c>
      <c r="AL393" s="4">
        <v>0</v>
      </c>
      <c r="AM393" s="4">
        <v>0</v>
      </c>
      <c r="AN393" s="44" t="s">
        <v>40</v>
      </c>
      <c r="AO393" s="8">
        <f t="shared" si="310"/>
        <v>160238.00172017716</v>
      </c>
      <c r="AP393" s="8">
        <f>IFERROR(C393*_xlfn.XLOOKUP(E393,Groups!A:A,Groups!K:K),0.106*C393^0.94)</f>
        <v>168</v>
      </c>
      <c r="AQ393" s="8">
        <f>AP393*10000/(_xlfn.XLOOKUP(E393,Groups!A:A,Groups!J:J)*AO393)</f>
        <v>9.6187195741573355</v>
      </c>
      <c r="AR393" s="8">
        <f t="shared" si="311"/>
        <v>34811.231545407791</v>
      </c>
      <c r="AS393" s="8">
        <f>IF(_xlfn.XLOOKUP(E393,Groups!A:A,Groups!M:M)=1,EXP(0.7444*LN('Base stats'!C393)+6.5696),EXP(0.7927*LN('Base stats'!C393)+4.28))</f>
        <v>31067.307603792411</v>
      </c>
      <c r="AT393" s="8" t="str">
        <f>IF(_xlfn.XLOOKUP(E393,Groups!A:A,Groups!N:N)="No","No",
IF(_xlfn.XLOOKUP(E393,Groups!A:A,Groups!N:N)="Crocodile",EXP(0.8129*LN(C393)+4.6742)*S393,
IF(_xlfn.XLOOKUP(E393,Groups!A:A,Groups!N:N)="Felid",EXP(0.7843*LN(C393)+4.7073)*S393,
IF(_xlfn.XLOOKUP(E393,Groups!A:A,Groups!N:N)="Canid",EXP(0.8367*LN(C393)+4.8763)*S393,
IF(_xlfn.XLOOKUP(E393,Groups!A:A,Groups!N:N)="Pig",EXP(0.3439*LN(C393)+6.8519)*S393,
IF(_xlfn.XLOOKUP(E393,Groups!A:A,Groups!N:N)="Rodent",EXP(0.5625*LN(C393)+4.3006)*S393,
IF(_xlfn.XLOOKUP(E393,Groups!A:A,Groups!N:N)="Primate",EXP(0.7847*LN(C393)+3.4931)*S393,
IF(_xlfn.XLOOKUP(E393,Groups!A:A,Groups!N:N)="MiscCarnivora",EXP(0.7486*LN(C393)+4.2207)*S393,
IF(_xlfn.XLOOKUP(E393,Groups!A:A,Groups!N:N)="Lizard",EXP(0.7733*LN(C393)+5.5303)*S393,
IF(_xlfn.XLOOKUP(E393,Groups!A:A,Groups!N:N)="Snake",50*C393^(2/3)*S393,
IF(_xlfn.XLOOKUP(E393,Groups!A:A,Groups!N:N)="StrongBitingHerbivore",87.1133638856975*C393^(2/3)*S393,
IF(_xlfn.XLOOKUP(E393,Groups!A:A,Groups!N:N)="MiscEctotherms",59.4316884072269*C393^(2/3)*S393,
IF(_xlfn.XLOOKUP(E393,Groups!A:A,Groups!N:N)="StrongBeakBird",0.041*(C393*1000)^1.375*S393,
IF(_xlfn.XLOOKUP(E393,Groups!A:A,Groups!N:N)="Bird",0.118*(C393*1000)^0.692*S393,
IF(_xlfn.XLOOKUP(E393,Groups!A:A,Groups!N:N)="Insect",EXP(0.7444*LN(C393)+6.5696)*S393,
IF(_xlfn.XLOOKUP(E393,Groups!A:A,Groups!N:N)="Theropod",EXP(0.6966*LN(C393)+4.158)*S393,
"No"))))))))))))))))</f>
        <v>No</v>
      </c>
      <c r="AU393" s="8">
        <f>IF(_xlfn.XLOOKUP(E393,Groups!A:A,Groups!U:U)=3,AS393,IF(_xlfn.XLOOKUP(E393,Groups!A:A,Groups!U:U)=2,AR393,AT393))</f>
        <v>31067.307603792411</v>
      </c>
      <c r="AV393" s="46">
        <f>IFERROR(AVERAGE(_xlfn.XLOOKUP(B393,Animals!B:B,Animals!N:N),_xlfn.XLOOKUP(B393,Animals!B:B,Animals!O:O)),0)</f>
        <v>0</v>
      </c>
      <c r="AW393" s="8">
        <f>MROUND(40*Animals!AO393*_xlfn.XLOOKUP(AG393,Leathers!$A$2:$A$99,Leathers!$B$2:$B$99,0)+(140*_xlfn.XLOOKUP(B393,Animals!B:B,Animals!AO:AO)*2),5)</f>
        <v>1560</v>
      </c>
      <c r="AX393" s="8">
        <f>IFERROR(ROUND(SQRT(V393-1)*IF(_xlfn.XLOOKUP(E393,Groups!A:A,Groups!BF:BF)=0,2,1)*IF(_xlfn.XLOOKUP('Base stats'!E393,Groups!A:A,Groups!O:O)=0,1,0.1),1),0)</f>
        <v>0</v>
      </c>
      <c r="AY393" s="8">
        <f t="shared" si="312"/>
        <v>0</v>
      </c>
      <c r="AZ393" s="8">
        <f t="shared" si="313"/>
        <v>8.4</v>
      </c>
      <c r="BA393" s="8">
        <f t="shared" si="314"/>
        <v>12.4</v>
      </c>
      <c r="BB393" s="8">
        <f>IF(_xlfn.XLOOKUP(E393,Groups!A:A,Groups!N:N)="Insect",BD393*2.5,IFERROR(AVERAGE(BD393,AT393/9.81/IF(OR(_xlfn.XLOOKUP(E393,Groups!A:A,Groups!N:N)="Pig",_xlfn.XLOOKUP(E393,Groups!A:A,Groups!N:N)="StrongBitingHerbivore"),20,25))*C393^-0.135,BD393))</f>
        <v>12.538321895227494</v>
      </c>
      <c r="BC393" s="8">
        <f>IF(W393="No","No",IF(_xlfn.XLOOKUP(E393,Groups!A:A,Groups!U:U)=1,'Base stats'!BB393,IF(OR(_xlfn.XLOOKUP(E393,Groups!A:A,Groups!BD:BD)=1,_xlfn.XLOOKUP(E393,Groups!A:A,Groups!U:U)=2),BD393,IF(_xlfn.XLOOKUP(B393,Animals!B:B,Animals!AO:AO)&gt;4,AVERAGE(BD393,BF393),BF393))))</f>
        <v>20.092682162564746</v>
      </c>
      <c r="BD393" s="8">
        <f t="shared" si="315"/>
        <v>12.538321895227494</v>
      </c>
      <c r="BE393" s="8">
        <f>IF(_xlfn.XLOOKUP(E393,Groups!A:A,Groups!BE:BE)=1,(0.048*C393^1.01)+(0.071*C393^1.03),0.071*C393^1.03)/IF(_xlfn.XLOOKUP(E393,Groups!A:A,Groups!M:M)=1,0.85,IF(OR(_xlfn.XLOOKUP(B393,Animals!B:B,Animals!AO:AO)&gt;4,_xlfn.XLOOKUP(E393,Groups!A:A,Groups!BC:BC)=1),1.7,1))*C393^-0.25</f>
        <v>16.298231312537833</v>
      </c>
      <c r="BF393" s="8">
        <f>(0.048*C393^1.01)/IF(_xlfn.XLOOKUP(E393,Groups!A:A,Groups!M:M)=1,0.25,0.8)*C393^-0.25</f>
        <v>20.092682162564746</v>
      </c>
      <c r="BG393" s="8">
        <f>EXP(1.076*LN(AR393)-4.5397)*IF(_xlfn.XLOOKUP(E393,Groups!A:A,Groups!BC:BC)=1,1.25,IF(_xlfn.XLOOKUP(E393,Groups!A:A,Groups!BD:BD)=1,3.5,2.5))</f>
        <v>1028.5689619751681</v>
      </c>
      <c r="BH393" s="8">
        <f>EXP(1.076*LN(AS393)-4.5397)*IF(_xlfn.XLOOKUP(E393,Groups!A:A,Groups!M:M)=1,0.8,IF(_xlfn.XLOOKUP(E393,Groups!A:A,Groups!BC:BC)=1,1.3,3))</f>
        <v>946.44500870598267</v>
      </c>
      <c r="BI393" s="8">
        <f>IF(W393="No","No",IF(_xlfn.XLOOKUP(E393,Groups!A:A,Groups!U:U)=1,'Base stats'!BJ393,IF(OR(_xlfn.XLOOKUP(E393,Groups!A:A,Groups!BD:BD)=1,_xlfn.XLOOKUP(E393,Groups!A:A,Groups!U:U)=2),BG393,BH393))*1.2)</f>
        <v>1135.7340104471791</v>
      </c>
      <c r="BJ393" s="8" t="str">
        <f>IFERROR(EXP(1.076*LN(AT393)-4.5397)*IF(_xlfn.XLOOKUP(E393,Groups!A:A,Groups!N:N)="Insect",1,IF(OR(_xlfn.XLOOKUP(E393,Groups!A:A,Groups!N:N)="Pig",_xlfn.XLOOKUP(E393,Groups!A:A,Groups!N:N)="StrongBitingHerbivore"),3.5,3.75)),"No")</f>
        <v>No</v>
      </c>
      <c r="BK393" s="8">
        <f t="shared" si="316"/>
        <v>12</v>
      </c>
      <c r="BL393" s="8">
        <f t="shared" si="317"/>
        <v>10</v>
      </c>
      <c r="BM393" s="8">
        <f t="shared" si="318"/>
        <v>10</v>
      </c>
      <c r="BN393" s="8" t="str">
        <f t="shared" si="319"/>
        <v>No</v>
      </c>
      <c r="BO393" s="8">
        <f t="shared" si="320"/>
        <v>9</v>
      </c>
      <c r="BP393" s="8" cm="1">
        <f t="array" ref="BP393">IF(AND(_xlfn.XLOOKUP('Base stats'!E393,Groups!A:A,Groups!AD:AD=0),_xlfn.XLOOKUP('Base stats'!E393,Groups!A:A,Groups!P:P=0)),"No",IF(U393="No",AVERAGE(EXP(-0.57+0.99*LN(C393)),EXP(0.32+0.67*LN(C393)))/IF(_xlfn.XLOOKUP(E393,Groups!A:A,Groups!AD:AD)=1,10,2),(0.7354*C393^0.4078)*2/IF(_xlfn.XLOOKUP(E393,Groups!A:A,Groups!BK:BK)=1,1000,100)/IF(_xlfn.XLOOKUP(E393,Groups!A:A,Groups!AJ:AJ)="Photonozoa",3,1)))</f>
        <v>332.95216615478995</v>
      </c>
      <c r="BQ393" s="8">
        <f>IF(W393="No","No",IF(_xlfn.XLOOKUP(E393,Groups!A:A,Groups!BD:BD)=1,(AO393*5%),EXP(0.7354*LN(C393)^0.4078)*2/IF(_xlfn.XLOOKUP(E393,Groups!A:A,Groups!BL:BL)=1,1000,100)/IF(_xlfn.XLOOKUP(E393,Groups!A:A,Groups!AJ:AJ)="Photonozoa",3,1)))</f>
        <v>0.10796365793108181</v>
      </c>
      <c r="BR393" s="8" t="str">
        <f>IF(BJ393="No","No",IF(_xlfn.XLOOKUP(E393,Groups!A:A,Groups!BF:BF)=1,(0.0315*C393+2.1825)*2,(0.7354*C393^0.4078)*2)/IF(_xlfn.XLOOKUP(E393,Groups!A:A,Groups!BM:BM)=1,1000,100)/IF(_xlfn.XLOOKUP(E393,Groups!A:A,Groups!AJ:AJ)="Photonozoa",3,1))</f>
        <v>No</v>
      </c>
      <c r="BS393" s="8">
        <f t="shared" si="321"/>
        <v>0.12838015338850181</v>
      </c>
      <c r="BT393" s="8">
        <f t="shared" si="322"/>
        <v>2.8425855270332705</v>
      </c>
      <c r="BU393" s="8">
        <f t="shared" si="323"/>
        <v>10519.595502888302</v>
      </c>
      <c r="BV393" s="8" t="str">
        <f t="shared" si="324"/>
        <v>No</v>
      </c>
      <c r="BW393" s="4">
        <v>0</v>
      </c>
      <c r="BX393" s="4">
        <v>1</v>
      </c>
    </row>
    <row r="394" spans="1:76" s="16" customFormat="1" x14ac:dyDescent="0.25">
      <c r="A394" s="26" t="s">
        <v>2099</v>
      </c>
      <c r="B394" s="6" t="s">
        <v>2134</v>
      </c>
      <c r="C394" s="7">
        <v>5600</v>
      </c>
      <c r="D394" s="7" t="s">
        <v>2135</v>
      </c>
      <c r="E394" s="7" t="str">
        <f>Groups!$A$17</f>
        <v>Crocodile</v>
      </c>
      <c r="F394" s="7" t="str">
        <f>"Lay eggs"</f>
        <v>Lay eggs</v>
      </c>
      <c r="G394" s="7">
        <v>20</v>
      </c>
      <c r="H394" s="7">
        <v>80</v>
      </c>
      <c r="I394" s="4">
        <v>1</v>
      </c>
      <c r="J394" s="7" t="str">
        <f>"Lay eggs"</f>
        <v>Lay eggs</v>
      </c>
      <c r="K394" s="7" t="s">
        <v>528</v>
      </c>
      <c r="L394" s="7">
        <v>12</v>
      </c>
      <c r="M394" s="7" t="s">
        <v>528</v>
      </c>
      <c r="N394" s="4">
        <v>0</v>
      </c>
      <c r="O394" s="4">
        <v>0</v>
      </c>
      <c r="P394" s="4">
        <v>0</v>
      </c>
      <c r="Q394" s="4">
        <v>0</v>
      </c>
      <c r="R394" s="4" t="s">
        <v>40</v>
      </c>
      <c r="S394" s="7">
        <f>_xlfn.XLOOKUP(B394,[1]TeethAdjusters!$A:$A,[1]BiteAdjusters!$C:$C,1)</f>
        <v>1</v>
      </c>
      <c r="T394" s="7">
        <f>_xlfn.XLOOKUP(B394,[1]TeethAdjusters!$A:$A,[1]TeethAdjusters!$B:$B,1)</f>
        <v>1</v>
      </c>
      <c r="U394" s="7" t="s">
        <v>45</v>
      </c>
      <c r="V394" s="7">
        <v>10</v>
      </c>
      <c r="W394" s="7" t="s">
        <v>45</v>
      </c>
      <c r="X394" s="7" t="s">
        <v>932</v>
      </c>
      <c r="Y394" s="4" t="s">
        <v>56</v>
      </c>
      <c r="Z394" s="4">
        <v>1</v>
      </c>
      <c r="AA394" s="4">
        <v>0</v>
      </c>
      <c r="AB394" s="4">
        <v>0</v>
      </c>
      <c r="AC394" s="4">
        <v>0</v>
      </c>
      <c r="AD394" s="4">
        <v>0</v>
      </c>
      <c r="AE394" s="4" t="s">
        <v>45</v>
      </c>
      <c r="AF394" s="4" t="s">
        <v>45</v>
      </c>
      <c r="AG394" s="49" t="s">
        <v>386</v>
      </c>
      <c r="AH394" s="4" t="s">
        <v>45</v>
      </c>
      <c r="AI394" s="4">
        <v>0</v>
      </c>
      <c r="AJ394" s="4">
        <v>1</v>
      </c>
      <c r="AK394" s="4">
        <v>0</v>
      </c>
      <c r="AL394" s="4">
        <v>0</v>
      </c>
      <c r="AM394" s="4">
        <v>0</v>
      </c>
      <c r="AN394" s="44">
        <v>15</v>
      </c>
      <c r="AO394" s="8">
        <f t="shared" ref="AO394:AO399" si="325">(0.111*C394^0.65)*10000</f>
        <v>303141.36115950684</v>
      </c>
      <c r="AP394" s="8">
        <f>IFERROR(C394*_xlfn.XLOOKUP(E394,Groups!A:A,Groups!K:K),0.106*C394^0.94)</f>
        <v>1120</v>
      </c>
      <c r="AQ394" s="8">
        <f>AP394*10000/(_xlfn.XLOOKUP(E394,Groups!A:A,Groups!J:J)*AO394)</f>
        <v>19.863687862692192</v>
      </c>
      <c r="AR394" s="8">
        <f t="shared" ref="AR394:AR399" si="326">EXP(0.8447*LN(C394)+3.996)</f>
        <v>79714.105317871741</v>
      </c>
      <c r="AS394" s="8">
        <f>IF(_xlfn.XLOOKUP(E394,Groups!A:A,Groups!M:M)=1,EXP(0.7444*LN('Base stats'!C394)+6.5696),EXP(0.7927*LN('Base stats'!C394)+4.28))</f>
        <v>67603.476733570977</v>
      </c>
      <c r="AT394" s="8">
        <f>IF(_xlfn.XLOOKUP(E394,Groups!A:A,Groups!N:N)="No","No",
IF(_xlfn.XLOOKUP(E394,Groups!A:A,Groups!N:N)="Crocodile",EXP(0.8129*LN(C394)+4.6742)*S394,
IF(_xlfn.XLOOKUP(E394,Groups!A:A,Groups!N:N)="Felid",EXP(0.7843*LN(C394)+4.7073)*S394,
IF(_xlfn.XLOOKUP(E394,Groups!A:A,Groups!N:N)="Canid",EXP(0.8367*LN(C394)+4.8763)*S394,
IF(_xlfn.XLOOKUP(E394,Groups!A:A,Groups!N:N)="Pig",EXP(0.3439*LN(C394)+6.8519)*S394,
IF(_xlfn.XLOOKUP(E394,Groups!A:A,Groups!N:N)="Rodent",EXP(0.5625*LN(C394)+4.3006)*S394,
IF(_xlfn.XLOOKUP(E394,Groups!A:A,Groups!N:N)="Primate",EXP(0.7847*LN(C394)+3.4931)*S394,
IF(_xlfn.XLOOKUP(E394,Groups!A:A,Groups!N:N)="MiscCarnivora",EXP(0.7486*LN(C394)+4.2207)*S394,
IF(_xlfn.XLOOKUP(E394,Groups!A:A,Groups!N:N)="Lizard",EXP(0.7733*LN(C394)+5.5303)*S394,
IF(_xlfn.XLOOKUP(E394,Groups!A:A,Groups!N:N)="Snake",50*C394^(2/3)*S394,
IF(_xlfn.XLOOKUP(E394,Groups!A:A,Groups!N:N)="StrongBitingHerbivore",87.1133638856975*C394^(2/3)*S394,
IF(_xlfn.XLOOKUP(E394,Groups!A:A,Groups!N:N)="MiscEctotherms",59.4316884072269*C394^(2/3)*S394,
IF(_xlfn.XLOOKUP(E394,Groups!A:A,Groups!N:N)="StrongBeakBird",0.041*(C394*1000)^1.375*S394,
IF(_xlfn.XLOOKUP(E394,Groups!A:A,Groups!N:N)="Bird",0.118*(C394*1000)^0.692*S394,
IF(_xlfn.XLOOKUP(E394,Groups!A:A,Groups!N:N)="Insect",EXP(0.7444*LN(C394)+6.5696)*S394,
IF(_xlfn.XLOOKUP(E394,Groups!A:A,Groups!N:N)="Theropod",EXP(0.6966*LN(C394)+4.158)*S394,
"No"))))))))))))))))</f>
        <v>119366.18517472249</v>
      </c>
      <c r="AU394" s="8">
        <f>IF(_xlfn.XLOOKUP(E394,Groups!A:A,Groups!U:U)=3,AS394,IF(_xlfn.XLOOKUP(E394,Groups!A:A,Groups!U:U)=2,AR394,AT394))</f>
        <v>119366.18517472249</v>
      </c>
      <c r="AV394" s="46">
        <f>IFERROR(AVERAGE(_xlfn.XLOOKUP(B394,Animals!B:B,Animals!N:N),_xlfn.XLOOKUP(B394,Animals!B:B,Animals!O:O)),0)</f>
        <v>0.65000000000000013</v>
      </c>
      <c r="AW394" s="8">
        <f>MROUND(40*Animals!AO394*_xlfn.XLOOKUP(AG394,Leathers!$A$2:$A$99,Leathers!$B$2:$B$99,0)+(140*_xlfn.XLOOKUP(B394,Animals!B:B,Animals!AO:AO)*2),5)</f>
        <v>2070</v>
      </c>
      <c r="AX394" s="8">
        <f>IFERROR(ROUND(SQRT(V394-1)*IF(_xlfn.XLOOKUP(E394,Groups!A:A,Groups!BF:BF)=0,2,1)*IF(_xlfn.XLOOKUP('Base stats'!E394,Groups!A:A,Groups!O:O)=0,1,0.1),1),0)</f>
        <v>3</v>
      </c>
      <c r="AY394" s="8">
        <f t="shared" ref="AY394:AY399" si="327">IFERROR(ROUND(SQRT(U394-1),1),0)</f>
        <v>0</v>
      </c>
      <c r="AZ394" s="8">
        <f t="shared" ref="AZ394:AZ399" si="328">IFERROR(ROUND(SQRT(W394),1),0)</f>
        <v>0</v>
      </c>
      <c r="BA394" s="8">
        <f t="shared" ref="BA394:BA399" si="329">ROUND(
  EXP(0.3582*LN(C394)-0.2221) *
  (0.75 + 0.25*(C394^4/(C394^4+10^4))),
1)</f>
        <v>17.600000000000001</v>
      </c>
      <c r="BB394" s="8">
        <f>IF(_xlfn.XLOOKUP(E394,Groups!A:A,Groups!N:N)="Insect",BD394*2.5,IFERROR(AVERAGE(BD394,AT394/9.81/IF(OR(_xlfn.XLOOKUP(E394,Groups!A:A,Groups!N:N)="Pig",_xlfn.XLOOKUP(E394,Groups!A:A,Groups!N:N)="StrongBitingHerbivore"),20,25))*C394^-0.135,BD394))</f>
        <v>83.860651911346764</v>
      </c>
      <c r="BC394" s="8" t="str">
        <f>IF(W394="No","No",IF(_xlfn.XLOOKUP(E394,Groups!A:A,Groups!U:U)=1,'Base stats'!BB394,IF(OR(_xlfn.XLOOKUP(E394,Groups!A:A,Groups!BD:BD)=1,_xlfn.XLOOKUP(E394,Groups!A:A,Groups!U:U)=2),BD394,IF(_xlfn.XLOOKUP(B394,Animals!B:B,Animals!AO:AO)&gt;4,AVERAGE(BD394,BF394),BF394))))</f>
        <v>No</v>
      </c>
      <c r="BD394" s="8">
        <f t="shared" ref="BD394:BD399" si="330">(0.0392*C394^IF(OR(Y394="Herbivore",Y394="Dendrovore",Y394="OmnivoreRough"),0.889,0.966))*C394^-0.135</f>
        <v>51.054063882675564</v>
      </c>
      <c r="BE394" s="8">
        <f>IF(_xlfn.XLOOKUP(E394,Groups!A:A,Groups!BE:BE)=1,(0.048*C394^1.01)+(0.071*C394^1.03),0.071*C394^1.03)/IF(_xlfn.XLOOKUP(E394,Groups!A:A,Groups!M:M)=1,0.85,IF(OR(_xlfn.XLOOKUP(B394,Animals!B:B,Animals!AO:AO)&gt;4,_xlfn.XLOOKUP(E394,Groups!A:A,Groups!BC:BC)=1),1.7,1))*C394^-0.25</f>
        <v>35.026447214495995</v>
      </c>
      <c r="BF394" s="8">
        <f>(0.048*C394^1.01)/IF(_xlfn.XLOOKUP(E394,Groups!A:A,Groups!M:M)=1,0.25,0.8)*C394^-0.25</f>
        <v>42.342271341229939</v>
      </c>
      <c r="BG394" s="8">
        <f>EXP(1.076*LN(AR394)-4.5397)*IF(_xlfn.XLOOKUP(E394,Groups!A:A,Groups!BC:BC)=1,1.25,IF(_xlfn.XLOOKUP(E394,Groups!A:A,Groups!BD:BD)=1,3.5,2.5))</f>
        <v>2508.3908216252839</v>
      </c>
      <c r="BH394" s="8">
        <f>EXP(1.076*LN(AS394)-4.5397)*IF(_xlfn.XLOOKUP(E394,Groups!A:A,Groups!M:M)=1,0.8,IF(_xlfn.XLOOKUP(E394,Groups!A:A,Groups!BC:BC)=1,1.3,3))</f>
        <v>2184.8587774907742</v>
      </c>
      <c r="BI394" s="8" t="str">
        <f>IF(W394="No","No",IF(_xlfn.XLOOKUP(E394,Groups!A:A,Groups!U:U)=1,'Base stats'!BJ394,IF(OR(_xlfn.XLOOKUP(E394,Groups!A:A,Groups!BD:BD)=1,_xlfn.XLOOKUP(E394,Groups!A:A,Groups!U:U)=2),BG394,BH394))*1.2)</f>
        <v>No</v>
      </c>
      <c r="BJ394" s="8">
        <f>IFERROR(EXP(1.076*LN(AT394)-4.5397)*IF(_xlfn.XLOOKUP(E394,Groups!A:A,Groups!N:N)="Insect",1,IF(OR(_xlfn.XLOOKUP(E394,Groups!A:A,Groups!N:N)="Pig",_xlfn.XLOOKUP(E394,Groups!A:A,Groups!N:N)="StrongBitingHerbivore"),3.5,3.75)),"No")</f>
        <v>11619.539124120747</v>
      </c>
      <c r="BK394" s="8">
        <f t="shared" ref="BK394:BK399" si="331">ROUNDDOWN(SQRT((2*BG394)/BD394),0)</f>
        <v>9</v>
      </c>
      <c r="BL394" s="8">
        <f t="shared" ref="BL394:BL399" si="332">ROUNDDOWN(SQRT((2*BH394)/BE394),0)</f>
        <v>11</v>
      </c>
      <c r="BM394" s="8" t="str">
        <f t="shared" ref="BM394:BM399" si="333">IF(W394="No","No",ROUNDDOWN(SQRT((2*BI394)/BC394),0))</f>
        <v>No</v>
      </c>
      <c r="BN394" s="8">
        <f t="shared" ref="BN394:BN399" si="334">IF(V394="No","No",ROUNDDOWN(SQRT((2*BJ394)/BB394),0))</f>
        <v>16</v>
      </c>
      <c r="BO394" s="8">
        <f t="shared" ref="BO394:BO399" si="335">ROUNDDOWN(SQRT((2*BH394)/BF394),0)</f>
        <v>10</v>
      </c>
      <c r="BP394" s="8" t="str" cm="1">
        <f t="array" ref="BP394">IF(AND(_xlfn.XLOOKUP('Base stats'!E394,Groups!A:A,Groups!AD:AD=0),_xlfn.XLOOKUP('Base stats'!E394,Groups!A:A,Groups!P:P=0)),"No",IF(U394="No",AVERAGE(EXP(-0.57+0.99*LN(C394)),EXP(0.32+0.67*LN(C394)))/IF(_xlfn.XLOOKUP(E394,Groups!A:A,Groups!AD:AD)=1,10,2),(0.7354*C394^0.4078)*2/IF(_xlfn.XLOOKUP(E394,Groups!A:A,Groups!BK:BK)=1,1000,100)/IF(_xlfn.XLOOKUP(E394,Groups!A:A,Groups!AJ:AJ)="Photonozoa",3,1)))</f>
        <v>No</v>
      </c>
      <c r="BQ394" s="8" t="str">
        <f>IF(W394="No","No",IF(_xlfn.XLOOKUP(E394,Groups!A:A,Groups!BD:BD)=1,(AO394*5%),EXP(0.7354*LN(C394)^0.4078)*2/IF(_xlfn.XLOOKUP(E394,Groups!A:A,Groups!BL:BL)=1,1000,100)/IF(_xlfn.XLOOKUP(E394,Groups!A:A,Groups!AJ:AJ)="Photonozoa",3,1)))</f>
        <v>No</v>
      </c>
      <c r="BR394" s="8">
        <f>IF(BJ394="No","No",IF(_xlfn.XLOOKUP(E394,Groups!A:A,Groups!BF:BF)=1,(0.0315*C394+2.1825)*2,(0.7354*C394^0.4078)*2)/IF(_xlfn.XLOOKUP(E394,Groups!A:A,Groups!BM:BM)=1,1000,100)/IF(_xlfn.XLOOKUP(E394,Groups!A:A,Groups!AJ:AJ)="Photonozoa",3,1))</f>
        <v>3.57165</v>
      </c>
      <c r="BS394" s="8">
        <f t="shared" ref="BS394:BS399" si="336">BG394/(AO394*5%)</f>
        <v>0.16549314234327922</v>
      </c>
      <c r="BT394" s="8" t="str">
        <f t="shared" ref="BT394:BT399" si="337">IF(BP394="No","No",BH394/BP394)</f>
        <v>No</v>
      </c>
      <c r="BU394" s="8" t="str">
        <f t="shared" ref="BU394:BU399" si="338">IF(W394="No","No",BI394/BQ394)</f>
        <v>No</v>
      </c>
      <c r="BV394" s="8">
        <f t="shared" ref="BV394:BV399" si="339">IF(BJ394="No","No",BJ394/BR394)</f>
        <v>3253.2692520601813</v>
      </c>
      <c r="BW394" s="4">
        <v>0</v>
      </c>
      <c r="BX394" s="4">
        <v>1</v>
      </c>
    </row>
    <row r="395" spans="1:76" s="16" customFormat="1" x14ac:dyDescent="0.25">
      <c r="A395" s="26" t="s">
        <v>2100</v>
      </c>
      <c r="B395" s="6" t="s">
        <v>2175</v>
      </c>
      <c r="C395" s="7">
        <v>1400</v>
      </c>
      <c r="D395" s="7" t="s">
        <v>2176</v>
      </c>
      <c r="E395" s="7" t="str">
        <f>Groups!$A$24</f>
        <v>Horse (WILD)</v>
      </c>
      <c r="F395" s="7">
        <f>ROUND(7.545*(C395*1000)^0.2689,0)</f>
        <v>339</v>
      </c>
      <c r="G395" s="7">
        <v>3</v>
      </c>
      <c r="H395" s="7">
        <v>45</v>
      </c>
      <c r="I395" s="4">
        <v>1</v>
      </c>
      <c r="J395" s="7">
        <v>1</v>
      </c>
      <c r="K395" s="7" t="s">
        <v>528</v>
      </c>
      <c r="L395" s="7">
        <v>40</v>
      </c>
      <c r="M395" s="7" t="s">
        <v>528</v>
      </c>
      <c r="N395" s="4">
        <v>0</v>
      </c>
      <c r="O395" s="4">
        <v>0</v>
      </c>
      <c r="P395" s="4">
        <v>0</v>
      </c>
      <c r="Q395" s="4">
        <v>0</v>
      </c>
      <c r="R395" s="4" t="s">
        <v>40</v>
      </c>
      <c r="S395" s="7">
        <f>_xlfn.XLOOKUP(B395,[1]TeethAdjusters!$A:$A,[1]BiteAdjusters!$C:$C,1)</f>
        <v>1</v>
      </c>
      <c r="T395" s="7">
        <f>_xlfn.XLOOKUP(B395,[1]TeethAdjusters!$A:$A,[1]TeethAdjusters!$B:$B,1)</f>
        <v>1</v>
      </c>
      <c r="U395" s="7" t="s">
        <v>45</v>
      </c>
      <c r="V395" s="7">
        <v>10</v>
      </c>
      <c r="W395" s="7" t="s">
        <v>45</v>
      </c>
      <c r="X395" s="7" t="s">
        <v>932</v>
      </c>
      <c r="Y395" s="4" t="s">
        <v>42</v>
      </c>
      <c r="Z395" s="4">
        <v>1</v>
      </c>
      <c r="AA395" s="4">
        <v>0</v>
      </c>
      <c r="AB395" s="4">
        <v>0</v>
      </c>
      <c r="AC395" s="4">
        <v>0</v>
      </c>
      <c r="AD395" s="4">
        <v>0</v>
      </c>
      <c r="AE395" s="4" t="s">
        <v>45</v>
      </c>
      <c r="AF395" s="4" t="s">
        <v>45</v>
      </c>
      <c r="AG395" s="49" t="s">
        <v>393</v>
      </c>
      <c r="AH395" s="4" t="s">
        <v>45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4" t="s">
        <v>40</v>
      </c>
      <c r="AO395" s="8">
        <f t="shared" si="325"/>
        <v>123113.64851825013</v>
      </c>
      <c r="AP395" s="8">
        <f>IFERROR(C395*_xlfn.XLOOKUP(E395,Groups!A:A,Groups!K:K),0.106*C395^0.94)</f>
        <v>96.087350595759759</v>
      </c>
      <c r="AQ395" s="8">
        <f>AP395*10000/(_xlfn.XLOOKUP(E395,Groups!A:A,Groups!J:J)*AO395)</f>
        <v>7.1603379249695944</v>
      </c>
      <c r="AR395" s="8">
        <f t="shared" si="326"/>
        <v>24715.824424320803</v>
      </c>
      <c r="AS395" s="8">
        <f>IF(_xlfn.XLOOKUP(E395,Groups!A:A,Groups!M:M)=1,EXP(0.7444*LN('Base stats'!C395)+6.5696),EXP(0.7927*LN('Base stats'!C395)+4.28))</f>
        <v>22527.659664437917</v>
      </c>
      <c r="AT395" s="8">
        <f>IF(_xlfn.XLOOKUP(E395,Groups!A:A,Groups!N:N)="No","No",
IF(_xlfn.XLOOKUP(E395,Groups!A:A,Groups!N:N)="Crocodile",EXP(0.8129*LN(C395)+4.6742)*S395,
IF(_xlfn.XLOOKUP(E395,Groups!A:A,Groups!N:N)="Felid",EXP(0.7843*LN(C395)+4.7073)*S395,
IF(_xlfn.XLOOKUP(E395,Groups!A:A,Groups!N:N)="Canid",EXP(0.8367*LN(C395)+4.8763)*S395,
IF(_xlfn.XLOOKUP(E395,Groups!A:A,Groups!N:N)="Pig",EXP(0.3439*LN(C395)+6.8519)*S395,
IF(_xlfn.XLOOKUP(E395,Groups!A:A,Groups!N:N)="Rodent",EXP(0.5625*LN(C395)+4.3006)*S395,
IF(_xlfn.XLOOKUP(E395,Groups!A:A,Groups!N:N)="Primate",EXP(0.7847*LN(C395)+3.4931)*S395,
IF(_xlfn.XLOOKUP(E395,Groups!A:A,Groups!N:N)="MiscCarnivora",EXP(0.7486*LN(C395)+4.2207)*S395,
IF(_xlfn.XLOOKUP(E395,Groups!A:A,Groups!N:N)="Lizard",EXP(0.7733*LN(C395)+5.5303)*S395,
IF(_xlfn.XLOOKUP(E395,Groups!A:A,Groups!N:N)="Snake",50*C395^(2/3)*S395,
IF(_xlfn.XLOOKUP(E395,Groups!A:A,Groups!N:N)="StrongBitingHerbivore",87.1133638856975*C395^(2/3)*S395,
IF(_xlfn.XLOOKUP(E395,Groups!A:A,Groups!N:N)="MiscEctotherms",59.4316884072269*C395^(2/3)*S395,
IF(_xlfn.XLOOKUP(E395,Groups!A:A,Groups!N:N)="StrongBeakBird",0.041*(C395*1000)^1.375*S395,
IF(_xlfn.XLOOKUP(E395,Groups!A:A,Groups!N:N)="Bird",0.118*(C395*1000)^0.692*S395,
IF(_xlfn.XLOOKUP(E395,Groups!A:A,Groups!N:N)="Insect",EXP(0.7444*LN(C395)+6.5696)*S395,
IF(_xlfn.XLOOKUP(E395,Groups!A:A,Groups!N:N)="Theropod",EXP(0.6966*LN(C395)+4.158)*S395,
"No"))))))))))))))))</f>
        <v>10901.932150421007</v>
      </c>
      <c r="AU395" s="8">
        <f>IF(_xlfn.XLOOKUP(E395,Groups!A:A,Groups!U:U)=3,AS395,IF(_xlfn.XLOOKUP(E395,Groups!A:A,Groups!U:U)=2,AR395,AT395))</f>
        <v>10901.932150421007</v>
      </c>
      <c r="AV395" s="46">
        <f>IFERROR(AVERAGE(_xlfn.XLOOKUP(B395,Animals!B:B,Animals!N:N),_xlfn.XLOOKUP(B395,Animals!B:B,Animals!O:O)),0)</f>
        <v>0</v>
      </c>
      <c r="AW395" s="8">
        <f>MROUND(40*Animals!AO395*_xlfn.XLOOKUP(AG395,Leathers!$A$2:$A$99,Leathers!$B$2:$B$99,0)+(140*_xlfn.XLOOKUP(B395,Animals!B:B,Animals!AO:AO)*2),5)</f>
        <v>1350</v>
      </c>
      <c r="AX395" s="8">
        <f>IFERROR(ROUND(SQRT(V395-1)*IF(_xlfn.XLOOKUP(E395,Groups!A:A,Groups!BF:BF)=0,2,1)*IF(_xlfn.XLOOKUP('Base stats'!E395,Groups!A:A,Groups!O:O)=0,1,0.1),1),0)</f>
        <v>3</v>
      </c>
      <c r="AY395" s="8">
        <f t="shared" si="327"/>
        <v>0</v>
      </c>
      <c r="AZ395" s="8">
        <f t="shared" si="328"/>
        <v>0</v>
      </c>
      <c r="BA395" s="8">
        <f t="shared" si="329"/>
        <v>10.7</v>
      </c>
      <c r="BB395" s="8">
        <f>IF(_xlfn.XLOOKUP(E395,Groups!A:A,Groups!N:N)="Insect",BD395*2.5,IFERROR(AVERAGE(BD395,AT395/9.81/IF(OR(_xlfn.XLOOKUP(E395,Groups!A:A,Groups!N:N)="Pig",_xlfn.XLOOKUP(E395,Groups!A:A,Groups!N:N)="StrongBitingHerbivore"),20,25))*C395^-0.135,BD395))</f>
        <v>12.184975570070835</v>
      </c>
      <c r="BC395" s="8" t="str">
        <f>IF(W395="No","No",IF(_xlfn.XLOOKUP(E395,Groups!A:A,Groups!U:U)=1,'Base stats'!BB395,IF(OR(_xlfn.XLOOKUP(E395,Groups!A:A,Groups!BD:BD)=1,_xlfn.XLOOKUP(E395,Groups!A:A,Groups!U:U)=2),BD395,IF(_xlfn.XLOOKUP(B395,Animals!B:B,Animals!AO:AO)&gt;4,AVERAGE(BD395,BF395),BF395))))</f>
        <v>No</v>
      </c>
      <c r="BD395" s="8">
        <f t="shared" si="330"/>
        <v>9.2356317041744305</v>
      </c>
      <c r="BE395" s="8">
        <f>IF(_xlfn.XLOOKUP(E395,Groups!A:A,Groups!BE:BE)=1,(0.048*C395^1.01)+(0.071*C395^1.03),0.071*C395^1.03)/IF(_xlfn.XLOOKUP(E395,Groups!A:A,Groups!M:M)=1,0.85,IF(OR(_xlfn.XLOOKUP(B395,Animals!B:B,Animals!AO:AO)&gt;4,_xlfn.XLOOKUP(E395,Groups!A:A,Groups!BC:BC)=1),1.7,1))*C395^-0.25</f>
        <v>20.194737693178642</v>
      </c>
      <c r="BF395" s="8">
        <f>(0.048*C395^1.01)/IF(_xlfn.XLOOKUP(E395,Groups!A:A,Groups!M:M)=1,0.25,0.8)*C395^-0.25</f>
        <v>14.764153693017668</v>
      </c>
      <c r="BG395" s="8">
        <f>EXP(1.076*LN(AR395)-4.5397)*IF(_xlfn.XLOOKUP(E395,Groups!A:A,Groups!BC:BC)=1,1.25,IF(_xlfn.XLOOKUP(E395,Groups!A:A,Groups!BD:BD)=1,3.5,2.5))</f>
        <v>1423.0316462769085</v>
      </c>
      <c r="BH395" s="8">
        <f>EXP(1.076*LN(AS395)-4.5397)*IF(_xlfn.XLOOKUP(E395,Groups!A:A,Groups!M:M)=1,0.8,IF(_xlfn.XLOOKUP(E395,Groups!A:A,Groups!BC:BC)=1,1.3,3))</f>
        <v>1545.5287685721801</v>
      </c>
      <c r="BI395" s="8" t="str">
        <f>IF(W395="No","No",IF(_xlfn.XLOOKUP(E395,Groups!A:A,Groups!U:U)=1,'Base stats'!BJ395,IF(OR(_xlfn.XLOOKUP(E395,Groups!A:A,Groups!BD:BD)=1,_xlfn.XLOOKUP(E395,Groups!A:A,Groups!U:U)=2),BG395,BH395))*1.2)</f>
        <v>No</v>
      </c>
      <c r="BJ395" s="8">
        <f>IFERROR(EXP(1.076*LN(AT395)-4.5397)*IF(_xlfn.XLOOKUP(E395,Groups!A:A,Groups!N:N)="Insect",1,IF(OR(_xlfn.XLOOKUP(E395,Groups!A:A,Groups!N:N)="Pig",_xlfn.XLOOKUP(E395,Groups!A:A,Groups!N:N)="StrongBitingHerbivore"),3.5,3.75)),"No")</f>
        <v>825.76243762635966</v>
      </c>
      <c r="BK395" s="8">
        <f t="shared" si="331"/>
        <v>17</v>
      </c>
      <c r="BL395" s="8">
        <f t="shared" si="332"/>
        <v>12</v>
      </c>
      <c r="BM395" s="8" t="str">
        <f t="shared" si="333"/>
        <v>No</v>
      </c>
      <c r="BN395" s="8">
        <f t="shared" si="334"/>
        <v>11</v>
      </c>
      <c r="BO395" s="8">
        <f t="shared" si="335"/>
        <v>14</v>
      </c>
      <c r="BP395" s="8" cm="1">
        <f t="array" ref="BP395">IF(AND(_xlfn.XLOOKUP('Base stats'!E395,Groups!A:A,Groups!AD:AD=0),_xlfn.XLOOKUP('Base stats'!E395,Groups!A:A,Groups!P:P=0)),"No",IF(U395="No",AVERAGE(EXP(-0.57+0.99*LN(C395)),EXP(0.32+0.67*LN(C395)))/IF(_xlfn.XLOOKUP(E395,Groups!A:A,Groups!AD:AD)=1,10,2),(0.7354*C395^0.4078)*2/IF(_xlfn.XLOOKUP(E395,Groups!A:A,Groups!BK:BK)=1,1000,100)/IF(_xlfn.XLOOKUP(E395,Groups!A:A,Groups!AJ:AJ)="Photonozoa",3,1)))</f>
        <v>228.2409204384239</v>
      </c>
      <c r="BQ395" s="8" t="str">
        <f>IF(W395="No","No",IF(_xlfn.XLOOKUP(E395,Groups!A:A,Groups!BD:BD)=1,(AO395*5%),EXP(0.7354*LN(C395)^0.4078)*2/IF(_xlfn.XLOOKUP(E395,Groups!A:A,Groups!BL:BL)=1,1000,100)/IF(_xlfn.XLOOKUP(E395,Groups!A:A,Groups!AJ:AJ)="Photonozoa",3,1)))</f>
        <v>No</v>
      </c>
      <c r="BR395" s="8">
        <f>IF(BJ395="No","No",IF(_xlfn.XLOOKUP(E395,Groups!A:A,Groups!BF:BF)=1,(0.0315*C395+2.1825)*2,(0.7354*C395^0.4078)*2)/IF(_xlfn.XLOOKUP(E395,Groups!A:A,Groups!BM:BM)=1,1000,100)/IF(_xlfn.XLOOKUP(E395,Groups!A:A,Groups!AJ:AJ)="Photonozoa",3,1))</f>
        <v>0.92564999999999997</v>
      </c>
      <c r="BS395" s="8">
        <f t="shared" si="336"/>
        <v>0.23117366163767958</v>
      </c>
      <c r="BT395" s="8">
        <f t="shared" si="337"/>
        <v>6.7714797399318298</v>
      </c>
      <c r="BU395" s="8" t="str">
        <f t="shared" si="338"/>
        <v>No</v>
      </c>
      <c r="BV395" s="8">
        <f t="shared" si="339"/>
        <v>892.08927524049011</v>
      </c>
      <c r="BW395" s="4">
        <v>0</v>
      </c>
      <c r="BX395" s="4">
        <v>1</v>
      </c>
    </row>
    <row r="396" spans="1:76" s="16" customFormat="1" x14ac:dyDescent="0.25">
      <c r="A396" s="26" t="s">
        <v>2101</v>
      </c>
      <c r="B396" s="6" t="s">
        <v>2177</v>
      </c>
      <c r="C396" s="7">
        <v>3</v>
      </c>
      <c r="D396" s="7" t="s">
        <v>528</v>
      </c>
      <c r="E396" s="7" t="str">
        <f>Groups!$A$77</f>
        <v>Scorpion</v>
      </c>
      <c r="F396" s="7" t="str">
        <f t="shared" ref="F396" si="340">"Lay eggs"</f>
        <v>Lay eggs</v>
      </c>
      <c r="G396" s="7">
        <v>1</v>
      </c>
      <c r="H396" s="7">
        <v>10</v>
      </c>
      <c r="I396" s="4">
        <v>0</v>
      </c>
      <c r="J396" s="7" t="str">
        <f t="shared" ref="J396" si="341">"Lay eggs"</f>
        <v>Lay eggs</v>
      </c>
      <c r="K396" s="7" t="s">
        <v>528</v>
      </c>
      <c r="L396" s="7">
        <v>10</v>
      </c>
      <c r="M396" s="7" t="s">
        <v>528</v>
      </c>
      <c r="N396" s="4">
        <v>0</v>
      </c>
      <c r="O396" s="4">
        <v>0</v>
      </c>
      <c r="P396" s="4">
        <v>0</v>
      </c>
      <c r="Q396" s="4">
        <v>0</v>
      </c>
      <c r="R396" s="4" t="s">
        <v>40</v>
      </c>
      <c r="S396" s="7">
        <f>_xlfn.XLOOKUP(B396,[1]TeethAdjusters!$A:$A,[1]BiteAdjusters!$C:$C,1)</f>
        <v>1</v>
      </c>
      <c r="T396" s="7">
        <f>_xlfn.XLOOKUP(B396,[1]TeethAdjusters!$A:$A,[1]TeethAdjusters!$B:$B,1)</f>
        <v>1</v>
      </c>
      <c r="U396" s="7">
        <v>1.5</v>
      </c>
      <c r="V396" s="7">
        <v>0.5</v>
      </c>
      <c r="W396" s="7">
        <v>1.5</v>
      </c>
      <c r="X396" s="7" t="s">
        <v>932</v>
      </c>
      <c r="Y396" s="4" t="s">
        <v>56</v>
      </c>
      <c r="Z396" s="4">
        <v>1</v>
      </c>
      <c r="AA396" s="4">
        <v>0</v>
      </c>
      <c r="AB396" s="4">
        <v>0</v>
      </c>
      <c r="AC396" s="4">
        <v>0</v>
      </c>
      <c r="AD396" s="4">
        <v>0</v>
      </c>
      <c r="AE396" s="4" t="s">
        <v>45</v>
      </c>
      <c r="AF396" s="4" t="s">
        <v>45</v>
      </c>
      <c r="AG396" s="49" t="s">
        <v>1712</v>
      </c>
      <c r="AH396" s="4" t="str">
        <f>Animals!$C$105</f>
        <v>&lt;li&gt;Megaspider&lt;/li&gt;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4" t="s">
        <v>40</v>
      </c>
      <c r="AO396" s="8">
        <f t="shared" si="325"/>
        <v>2267.00143145934</v>
      </c>
      <c r="AP396" s="8">
        <f>IFERROR(C396*_xlfn.XLOOKUP(E396,Groups!A:A,Groups!K:K),0.106*C396^0.94)</f>
        <v>0.96</v>
      </c>
      <c r="AQ396" s="8">
        <f>AP396*10000/(_xlfn.XLOOKUP(E396,Groups!A:A,Groups!J:J)*AO396)</f>
        <v>3.5288905816217988</v>
      </c>
      <c r="AR396" s="8">
        <f t="shared" si="326"/>
        <v>137.55141854222117</v>
      </c>
      <c r="AS396" s="8">
        <f>IF(_xlfn.XLOOKUP(E396,Groups!A:A,Groups!M:M)=1,EXP(0.7444*LN('Base stats'!C396)+6.5696),EXP(0.7927*LN('Base stats'!C396)+4.28))</f>
        <v>1615.5116355513924</v>
      </c>
      <c r="AT396" s="8">
        <f>IF(_xlfn.XLOOKUP(E396,Groups!A:A,Groups!N:N)="No","No",
IF(_xlfn.XLOOKUP(E396,Groups!A:A,Groups!N:N)="Crocodile",EXP(0.8129*LN(C396)+4.6742)*S396,
IF(_xlfn.XLOOKUP(E396,Groups!A:A,Groups!N:N)="Felid",EXP(0.7843*LN(C396)+4.7073)*S396,
IF(_xlfn.XLOOKUP(E396,Groups!A:A,Groups!N:N)="Canid",EXP(0.8367*LN(C396)+4.8763)*S396,
IF(_xlfn.XLOOKUP(E396,Groups!A:A,Groups!N:N)="Pig",EXP(0.3439*LN(C396)+6.8519)*S396,
IF(_xlfn.XLOOKUP(E396,Groups!A:A,Groups!N:N)="Rodent",EXP(0.5625*LN(C396)+4.3006)*S396,
IF(_xlfn.XLOOKUP(E396,Groups!A:A,Groups!N:N)="Primate",EXP(0.7847*LN(C396)+3.4931)*S396,
IF(_xlfn.XLOOKUP(E396,Groups!A:A,Groups!N:N)="MiscCarnivora",EXP(0.7486*LN(C396)+4.2207)*S396,
IF(_xlfn.XLOOKUP(E396,Groups!A:A,Groups!N:N)="Lizard",EXP(0.7733*LN(C396)+5.5303)*S396,
IF(_xlfn.XLOOKUP(E396,Groups!A:A,Groups!N:N)="Snake",50*C396^(2/3)*S396,
IF(_xlfn.XLOOKUP(E396,Groups!A:A,Groups!N:N)="StrongBitingHerbivore",87.1133638856975*C396^(2/3)*S396,
IF(_xlfn.XLOOKUP(E396,Groups!A:A,Groups!N:N)="MiscEctotherms",59.4316884072269*C396^(2/3)*S396,
IF(_xlfn.XLOOKUP(E396,Groups!A:A,Groups!N:N)="StrongBeakBird",0.041*(C396*1000)^1.375*S396,
IF(_xlfn.XLOOKUP(E396,Groups!A:A,Groups!N:N)="Bird",0.118*(C396*1000)^0.692*S396,
IF(_xlfn.XLOOKUP(E396,Groups!A:A,Groups!N:N)="Insect",EXP(0.7444*LN(C396)+6.5696)*S396,
IF(_xlfn.XLOOKUP(E396,Groups!A:A,Groups!N:N)="Theropod",EXP(0.6966*LN(C396)+4.158)*S396,
"No"))))))))))))))))</f>
        <v>1615.5116355513924</v>
      </c>
      <c r="AU396" s="8">
        <f>IF(_xlfn.XLOOKUP(E396,Groups!A:A,Groups!U:U)=3,AS396,IF(_xlfn.XLOOKUP(E396,Groups!A:A,Groups!U:U)=2,AR396,AT396))</f>
        <v>1615.5116355513924</v>
      </c>
      <c r="AV396" s="46">
        <f>IFERROR(AVERAGE(_xlfn.XLOOKUP(B396,Animals!B:B,Animals!N:N),_xlfn.XLOOKUP(B396,Animals!B:B,Animals!O:O)),0)</f>
        <v>0.15000000000000002</v>
      </c>
      <c r="AW396" s="8">
        <f>MROUND(40*Animals!AO396*_xlfn.XLOOKUP(AG396,Leathers!$A$2:$A$99,Leathers!$B$2:$B$99,0)+(140*_xlfn.XLOOKUP(B396,Animals!B:B,Animals!AO:AO)*2),5)</f>
        <v>70</v>
      </c>
      <c r="AX396" s="8">
        <f>IFERROR(ROUND(SQRT(V396-1)*IF(_xlfn.XLOOKUP(E396,Groups!A:A,Groups!BF:BF)=0,2,1)*IF(_xlfn.XLOOKUP('Base stats'!E396,Groups!A:A,Groups!O:O)=0,1,0.1),1),0)</f>
        <v>0</v>
      </c>
      <c r="AY396" s="8">
        <f t="shared" si="327"/>
        <v>0.7</v>
      </c>
      <c r="AZ396" s="8">
        <f t="shared" si="328"/>
        <v>1.2</v>
      </c>
      <c r="BA396" s="8">
        <f t="shared" si="329"/>
        <v>0.9</v>
      </c>
      <c r="BB396" s="8">
        <f>IF(_xlfn.XLOOKUP(E396,Groups!A:A,Groups!N:N)="Insect",BD396*2.5,IFERROR(AVERAGE(BD396,AT396/9.81/IF(OR(_xlfn.XLOOKUP(E396,Groups!A:A,Groups!N:N)="Pig",_xlfn.XLOOKUP(E396,Groups!A:A,Groups!N:N)="StrongBitingHerbivore"),20,25))*C396^-0.135,BD396))</f>
        <v>0.24418210784730121</v>
      </c>
      <c r="BC396" s="8">
        <f>IF(W396="No","No",IF(_xlfn.XLOOKUP(E396,Groups!A:A,Groups!U:U)=1,'Base stats'!BB396,IF(OR(_xlfn.XLOOKUP(E396,Groups!A:A,Groups!BD:BD)=1,_xlfn.XLOOKUP(E396,Groups!A:A,Groups!U:U)=2),BD396,IF(_xlfn.XLOOKUP(B396,Animals!B:B,Animals!AO:AO)&gt;4,AVERAGE(BD396,BF396),BF396))))</f>
        <v>0.44250010928315914</v>
      </c>
      <c r="BD396" s="8">
        <f t="shared" si="330"/>
        <v>9.7672843138920482E-2</v>
      </c>
      <c r="BE396" s="8">
        <f>IF(_xlfn.XLOOKUP(E396,Groups!A:A,Groups!BE:BE)=1,(0.048*C396^1.01)+(0.071*C396^1.03),0.071*C396^1.03)/IF(_xlfn.XLOOKUP(E396,Groups!A:A,Groups!M:M)=1,0.85,IF(OR(_xlfn.XLOOKUP(B396,Animals!B:B,Animals!AO:AO)&gt;4,_xlfn.XLOOKUP(E396,Groups!A:A,Groups!BC:BC)=1),1.7,1))*C396^-0.25</f>
        <v>0.19678591101809167</v>
      </c>
      <c r="BF396" s="8">
        <f>(0.048*C396^1.01)/IF(_xlfn.XLOOKUP(E396,Groups!A:A,Groups!M:M)=1,0.25,0.8)*C396^-0.25</f>
        <v>0.44250010928315914</v>
      </c>
      <c r="BG396" s="8">
        <f>EXP(1.076*LN(AR396)-4.5397)*IF(_xlfn.XLOOKUP(E396,Groups!A:A,Groups!BC:BC)=1,1.25,IF(_xlfn.XLOOKUP(E396,Groups!A:A,Groups!BD:BD)=1,3.5,2.5))</f>
        <v>2.6688967489240385</v>
      </c>
      <c r="BH396" s="8">
        <f>EXP(1.076*LN(AS396)-4.5397)*IF(_xlfn.XLOOKUP(E396,Groups!A:A,Groups!M:M)=1,0.8,IF(_xlfn.XLOOKUP(E396,Groups!A:A,Groups!BC:BC)=1,1.3,3))</f>
        <v>24.191621819997536</v>
      </c>
      <c r="BI396" s="8">
        <f>IF(W396="No","No",IF(_xlfn.XLOOKUP(E396,Groups!A:A,Groups!U:U)=1,'Base stats'!BJ396,IF(OR(_xlfn.XLOOKUP(E396,Groups!A:A,Groups!BD:BD)=1,_xlfn.XLOOKUP(E396,Groups!A:A,Groups!U:U)=2),BG396,BH396))*1.2)</f>
        <v>29.029946183997041</v>
      </c>
      <c r="BJ396" s="8">
        <f>IFERROR(EXP(1.076*LN(AT396)-4.5397)*IF(_xlfn.XLOOKUP(E396,Groups!A:A,Groups!N:N)="Insect",1,IF(OR(_xlfn.XLOOKUP(E396,Groups!A:A,Groups!N:N)="Pig",_xlfn.XLOOKUP(E396,Groups!A:A,Groups!N:N)="StrongBitingHerbivore"),3.5,3.75)),"No")</f>
        <v>30.23952727499692</v>
      </c>
      <c r="BK396" s="8">
        <f t="shared" si="331"/>
        <v>7</v>
      </c>
      <c r="BL396" s="8">
        <f t="shared" si="332"/>
        <v>15</v>
      </c>
      <c r="BM396" s="8">
        <f t="shared" si="333"/>
        <v>11</v>
      </c>
      <c r="BN396" s="8">
        <f t="shared" si="334"/>
        <v>15</v>
      </c>
      <c r="BO396" s="8">
        <f t="shared" si="335"/>
        <v>10</v>
      </c>
      <c r="BP396" s="8" cm="1">
        <f t="array" ref="BP396">IF(AND(_xlfn.XLOOKUP('Base stats'!E396,Groups!A:A,Groups!AD:AD=0),_xlfn.XLOOKUP('Base stats'!E396,Groups!A:A,Groups!P:P=0)),"No",IF(U396="No",AVERAGE(EXP(-0.57+0.99*LN(C396)),EXP(0.32+0.67*LN(C396)))/IF(_xlfn.XLOOKUP(E396,Groups!A:A,Groups!AD:AD)=1,10,2),(0.7354*C396^0.4078)*2/IF(_xlfn.XLOOKUP(E396,Groups!A:A,Groups!BK:BK)=1,1000,100)/IF(_xlfn.XLOOKUP(E396,Groups!A:A,Groups!AJ:AJ)="Photonozoa",3,1)))</f>
        <v>2.3020972649252379E-3</v>
      </c>
      <c r="BQ396" s="8">
        <f>IF(W396="No","No",IF(_xlfn.XLOOKUP(E396,Groups!A:A,Groups!BD:BD)=1,(AO396*5%),EXP(0.7354*LN(C396)^0.4078)*2/IF(_xlfn.XLOOKUP(E396,Groups!A:A,Groups!BL:BL)=1,1000,100)/IF(_xlfn.XLOOKUP(E396,Groups!A:A,Groups!AJ:AJ)="Photonozoa",3,1)))</f>
        <v>4.2943474069439894E-3</v>
      </c>
      <c r="BR396" s="8">
        <f>IF(BJ396="No","No",IF(_xlfn.XLOOKUP(E396,Groups!A:A,Groups!BF:BF)=1,(0.0315*C396+2.1825)*2,(0.7354*C396^0.4078)*2)/IF(_xlfn.XLOOKUP(E396,Groups!A:A,Groups!BM:BM)=1,1000,100)/IF(_xlfn.XLOOKUP(E396,Groups!A:A,Groups!AJ:AJ)="Photonozoa",3,1))</f>
        <v>2.3020972649252382E-2</v>
      </c>
      <c r="BS396" s="8">
        <f t="shared" si="336"/>
        <v>2.3545611501497692E-2</v>
      </c>
      <c r="BT396" s="8">
        <f t="shared" si="337"/>
        <v>10508.514209447694</v>
      </c>
      <c r="BU396" s="8">
        <f t="shared" si="338"/>
        <v>6760.0367257328589</v>
      </c>
      <c r="BV396" s="8">
        <f t="shared" si="339"/>
        <v>1313.5642761809618</v>
      </c>
      <c r="BW396" s="4">
        <v>0</v>
      </c>
      <c r="BX396" s="4">
        <v>1</v>
      </c>
    </row>
    <row r="397" spans="1:76" s="16" customFormat="1" x14ac:dyDescent="0.25">
      <c r="A397" s="26" t="s">
        <v>2102</v>
      </c>
      <c r="B397" s="6" t="s">
        <v>2181</v>
      </c>
      <c r="C397" s="7">
        <f>AVERAGE(37,57)</f>
        <v>47</v>
      </c>
      <c r="D397" s="7" t="s">
        <v>2180</v>
      </c>
      <c r="E397" s="7" t="str">
        <f>Groups!$A$46</f>
        <v>Monkey</v>
      </c>
      <c r="F397" s="7">
        <v>180</v>
      </c>
      <c r="G397" s="7">
        <v>3.5</v>
      </c>
      <c r="H397" s="7">
        <v>40</v>
      </c>
      <c r="I397" s="4">
        <v>0</v>
      </c>
      <c r="J397" s="7">
        <v>1</v>
      </c>
      <c r="K397" s="7" t="s">
        <v>528</v>
      </c>
      <c r="L397" s="7">
        <f>MIN(23.6*C397^0.165,23.3*C397^0.225)</f>
        <v>44.545942232091136</v>
      </c>
      <c r="M397" s="7" t="s">
        <v>626</v>
      </c>
      <c r="N397" s="4">
        <v>0</v>
      </c>
      <c r="O397" s="4">
        <v>0</v>
      </c>
      <c r="P397" s="4">
        <v>0</v>
      </c>
      <c r="Q397" s="4">
        <v>0</v>
      </c>
      <c r="R397" s="4" t="s">
        <v>40</v>
      </c>
      <c r="S397" s="7">
        <f>_xlfn.XLOOKUP(B397,[1]TeethAdjusters!$A:$A,[1]BiteAdjusters!$C:$C,1)</f>
        <v>1</v>
      </c>
      <c r="T397" s="7">
        <f>_xlfn.XLOOKUP(B397,[1]TeethAdjusters!$A:$A,[1]TeethAdjusters!$B:$B,1)</f>
        <v>1</v>
      </c>
      <c r="U397" s="7" t="s">
        <v>45</v>
      </c>
      <c r="V397" s="7">
        <f>IF(AT397="No","No",IF(_xlfn.XLOOKUP(E397,Groups!A:A,Groups!AM:AM)=1,MROUND(EXP(0.3582*LN(C397)-0.2221)*T397,0.05),IF(_xlfn.XLOOKUP(E397,Groups!A:A,Groups!AM:AM)=2,MROUND(EXP(0.3582*LN(C397)-0.2221)*T397,0.05),"Need a formula")))</f>
        <v>3.2</v>
      </c>
      <c r="W397" s="7" t="s">
        <v>45</v>
      </c>
      <c r="X397" s="7" t="s">
        <v>932</v>
      </c>
      <c r="Y397" s="4" t="s">
        <v>1003</v>
      </c>
      <c r="Z397" s="4">
        <v>1</v>
      </c>
      <c r="AA397" s="4">
        <v>0</v>
      </c>
      <c r="AB397" s="4">
        <v>0</v>
      </c>
      <c r="AC397" s="4">
        <v>0</v>
      </c>
      <c r="AD397" s="4">
        <v>0</v>
      </c>
      <c r="AE397" s="4" t="s">
        <v>1045</v>
      </c>
      <c r="AF397" s="4" t="s">
        <v>398</v>
      </c>
      <c r="AG397" s="49" t="s">
        <v>385</v>
      </c>
      <c r="AH397" s="4" t="str">
        <f>Animals!$C$31</f>
        <v>&lt;li&gt;Monkey&lt;/li&gt;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4" t="s">
        <v>40</v>
      </c>
      <c r="AO397" s="8">
        <f t="shared" si="325"/>
        <v>13557.717690494574</v>
      </c>
      <c r="AP397" s="8">
        <f>IFERROR(C397*_xlfn.XLOOKUP(E397,Groups!A:A,Groups!K:K),0.106*C397^0.94)</f>
        <v>3.95437499928178</v>
      </c>
      <c r="AQ397" s="8">
        <f>AP397*10000/(_xlfn.XLOOKUP(E397,Groups!A:A,Groups!J:J)*AO397)</f>
        <v>2.6758685013493633</v>
      </c>
      <c r="AR397" s="8">
        <f t="shared" si="326"/>
        <v>1405.6002000050855</v>
      </c>
      <c r="AS397" s="8">
        <f>IF(_xlfn.XLOOKUP(E397,Groups!A:A,Groups!M:M)=1,EXP(0.7444*LN('Base stats'!C397)+6.5696),EXP(0.7927*LN('Base stats'!C397)+4.28))</f>
        <v>1528.4539355936704</v>
      </c>
      <c r="AT397" s="8">
        <f>IF(_xlfn.XLOOKUP(E397,Groups!A:A,Groups!N:N)="No","No",
IF(_xlfn.XLOOKUP(E397,Groups!A:A,Groups!N:N)="Crocodile",EXP(0.8129*LN(C397)+4.6742)*S397,
IF(_xlfn.XLOOKUP(E397,Groups!A:A,Groups!N:N)="Felid",EXP(0.7843*LN(C397)+4.7073)*S397,
IF(_xlfn.XLOOKUP(E397,Groups!A:A,Groups!N:N)="Canid",EXP(0.8367*LN(C397)+4.8763)*S397,
IF(_xlfn.XLOOKUP(E397,Groups!A:A,Groups!N:N)="Pig",EXP(0.3439*LN(C397)+6.8519)*S397,
IF(_xlfn.XLOOKUP(E397,Groups!A:A,Groups!N:N)="Rodent",EXP(0.5625*LN(C397)+4.3006)*S397,
IF(_xlfn.XLOOKUP(E397,Groups!A:A,Groups!N:N)="Primate",EXP(0.7847*LN(C397)+3.4931)*S397,
IF(_xlfn.XLOOKUP(E397,Groups!A:A,Groups!N:N)="MiscCarnivora",EXP(0.7486*LN(C397)+4.2207)*S397,
IF(_xlfn.XLOOKUP(E397,Groups!A:A,Groups!N:N)="Lizard",EXP(0.7733*LN(C397)+5.5303)*S397,
IF(_xlfn.XLOOKUP(E397,Groups!A:A,Groups!N:N)="Snake",50*C397^(2/3)*S397,
IF(_xlfn.XLOOKUP(E397,Groups!A:A,Groups!N:N)="StrongBitingHerbivore",87.1133638856975*C397^(2/3)*S397,
IF(_xlfn.XLOOKUP(E397,Groups!A:A,Groups!N:N)="MiscEctotherms",59.4316884072269*C397^(2/3)*S397,
IF(_xlfn.XLOOKUP(E397,Groups!A:A,Groups!N:N)="StrongBeakBird",0.041*(C397*1000)^1.375*S397,
IF(_xlfn.XLOOKUP(E397,Groups!A:A,Groups!N:N)="Bird",0.118*(C397*1000)^0.692*S397,
IF(_xlfn.XLOOKUP(E397,Groups!A:A,Groups!N:N)="Insect",EXP(0.7444*LN(C397)+6.5696)*S397,
IF(_xlfn.XLOOKUP(E397,Groups!A:A,Groups!N:N)="Theropod",EXP(0.6966*LN(C397)+4.158)*S397,
"No"))))))))))))))))</f>
        <v>674.72879372599891</v>
      </c>
      <c r="AU397" s="8">
        <f>IF(_xlfn.XLOOKUP(E397,Groups!A:A,Groups!U:U)=3,AS397,IF(_xlfn.XLOOKUP(E397,Groups!A:A,Groups!U:U)=2,AR397,AT397))</f>
        <v>674.72879372599891</v>
      </c>
      <c r="AV397" s="46">
        <f>IFERROR(AVERAGE(_xlfn.XLOOKUP(B397,Animals!B:B,Animals!N:N),_xlfn.XLOOKUP(B397,Animals!B:B,Animals!O:O)),0)</f>
        <v>0</v>
      </c>
      <c r="AW397" s="8">
        <f>MROUND(40*Animals!AO397*_xlfn.XLOOKUP(AG397,Leathers!$A$2:$A$99,Leathers!$B$2:$B$99,0)+(140*_xlfn.XLOOKUP(B397,Animals!B:B,Animals!AO:AO)*2),5)</f>
        <v>505</v>
      </c>
      <c r="AX397" s="8">
        <f>IFERROR(ROUND(SQRT(V397-1)*IF(_xlfn.XLOOKUP(E397,Groups!A:A,Groups!BF:BF)=0,2,1)*IF(_xlfn.XLOOKUP('Base stats'!E397,Groups!A:A,Groups!O:O)=0,1,0.1),1),0)</f>
        <v>3</v>
      </c>
      <c r="AY397" s="8">
        <f t="shared" si="327"/>
        <v>0</v>
      </c>
      <c r="AZ397" s="8">
        <f t="shared" si="328"/>
        <v>0</v>
      </c>
      <c r="BA397" s="8">
        <f t="shared" si="329"/>
        <v>3.2</v>
      </c>
      <c r="BB397" s="8">
        <f>IF(_xlfn.XLOOKUP(E397,Groups!A:A,Groups!N:N)="Insect",BD397*2.5,IFERROR(AVERAGE(BD397,AT397/9.81/IF(OR(_xlfn.XLOOKUP(E397,Groups!A:A,Groups!N:N)="Pig",_xlfn.XLOOKUP(E397,Groups!A:A,Groups!N:N)="StrongBitingHerbivore"),20,25))*C397^-0.135,BD397))</f>
        <v>1.0304706558441332</v>
      </c>
      <c r="BC397" s="8" t="str">
        <f>IF(W397="No","No",IF(_xlfn.XLOOKUP(E397,Groups!A:A,Groups!U:U)=1,'Base stats'!BB397,IF(OR(_xlfn.XLOOKUP(E397,Groups!A:A,Groups!BD:BD)=1,_xlfn.XLOOKUP(E397,Groups!A:A,Groups!U:U)=2),BD397,IF(_xlfn.XLOOKUP(B397,Animals!B:B,Animals!AO:AO)&gt;4,AVERAGE(BD397,BF397),BF397))))</f>
        <v>No</v>
      </c>
      <c r="BD397" s="8">
        <f t="shared" si="330"/>
        <v>0.71457505581919989</v>
      </c>
      <c r="BE397" s="8">
        <f>IF(_xlfn.XLOOKUP(E397,Groups!A:A,Groups!BE:BE)=1,(0.048*C397^1.01)+(0.071*C397^1.03),0.071*C397^1.03)/IF(_xlfn.XLOOKUP(E397,Groups!A:A,Groups!M:M)=1,0.85,IF(OR(_xlfn.XLOOKUP(B397,Animals!B:B,Animals!AO:AO)&gt;4,_xlfn.XLOOKUP(E397,Groups!A:A,Groups!BC:BC)=1),1.7,1))*C397^-0.25</f>
        <v>1.4305224502786527</v>
      </c>
      <c r="BF397" s="8">
        <f>(0.048*C397^1.01)/IF(_xlfn.XLOOKUP(E397,Groups!A:A,Groups!M:M)=1,0.25,0.8)*C397^-0.25</f>
        <v>1.1192977285245722</v>
      </c>
      <c r="BG397" s="8">
        <f>EXP(1.076*LN(AR397)-4.5397)*IF(_xlfn.XLOOKUP(E397,Groups!A:A,Groups!BC:BC)=1,1.25,IF(_xlfn.XLOOKUP(E397,Groups!A:A,Groups!BD:BD)=1,3.5,2.5))</f>
        <v>65.083763314528667</v>
      </c>
      <c r="BH397" s="8">
        <f>EXP(1.076*LN(AS397)-4.5397)*IF(_xlfn.XLOOKUP(E397,Groups!A:A,Groups!M:M)=1,0.8,IF(_xlfn.XLOOKUP(E397,Groups!A:A,Groups!BC:BC)=1,1.3,3))</f>
        <v>85.469296384821178</v>
      </c>
      <c r="BI397" s="8" t="str">
        <f>IF(W397="No","No",IF(_xlfn.XLOOKUP(E397,Groups!A:A,Groups!U:U)=1,'Base stats'!BJ397,IF(OR(_xlfn.XLOOKUP(E397,Groups!A:A,Groups!BD:BD)=1,_xlfn.XLOOKUP(E397,Groups!A:A,Groups!U:U)=2),BG397,BH397))*1.2)</f>
        <v>No</v>
      </c>
      <c r="BJ397" s="8">
        <f>IFERROR(EXP(1.076*LN(AT397)-4.5397)*IF(_xlfn.XLOOKUP(E397,Groups!A:A,Groups!N:N)="Insect",1,IF(OR(_xlfn.XLOOKUP(E397,Groups!A:A,Groups!N:N)="Pig",_xlfn.XLOOKUP(E397,Groups!A:A,Groups!N:N)="StrongBitingHerbivore"),3.5,3.75)),"No")</f>
        <v>44.320808544132305</v>
      </c>
      <c r="BK397" s="8">
        <f t="shared" si="331"/>
        <v>13</v>
      </c>
      <c r="BL397" s="8">
        <f t="shared" si="332"/>
        <v>10</v>
      </c>
      <c r="BM397" s="8" t="str">
        <f t="shared" si="333"/>
        <v>No</v>
      </c>
      <c r="BN397" s="8">
        <f t="shared" si="334"/>
        <v>9</v>
      </c>
      <c r="BO397" s="8">
        <f t="shared" si="335"/>
        <v>12</v>
      </c>
      <c r="BP397" s="8" cm="1">
        <f t="array" ref="BP397">IF(AND(_xlfn.XLOOKUP('Base stats'!E397,Groups!A:A,Groups!AD:AD=0),_xlfn.XLOOKUP('Base stats'!E397,Groups!A:A,Groups!P:P=0)),"No",IF(U397="No",AVERAGE(EXP(-0.57+0.99*LN(C397)),EXP(0.32+0.67*LN(C397)))/IF(_xlfn.XLOOKUP(E397,Groups!A:A,Groups!AD:AD)=1,10,2),(0.7354*C397^0.4078)*2/IF(_xlfn.XLOOKUP(E397,Groups!A:A,Groups!BK:BK)=1,1000,100)/IF(_xlfn.XLOOKUP(E397,Groups!A:A,Groups!AJ:AJ)="Photonozoa",3,1)))</f>
        <v>2.1871322566724531</v>
      </c>
      <c r="BQ397" s="8" t="str">
        <f>IF(W397="No","No",IF(_xlfn.XLOOKUP(E397,Groups!A:A,Groups!BD:BD)=1,(AO397*5%),EXP(0.7354*LN(C397)^0.4078)*2/IF(_xlfn.XLOOKUP(E397,Groups!A:A,Groups!BL:BL)=1,1000,100)/IF(_xlfn.XLOOKUP(E397,Groups!A:A,Groups!AJ:AJ)="Photonozoa",3,1)))</f>
        <v>No</v>
      </c>
      <c r="BR397" s="8">
        <f>IF(BJ397="No","No",IF(_xlfn.XLOOKUP(E397,Groups!A:A,Groups!BF:BF)=1,(0.0315*C397+2.1825)*2,(0.7354*C397^0.4078)*2)/IF(_xlfn.XLOOKUP(E397,Groups!A:A,Groups!BM:BM)=1,1000,100)/IF(_xlfn.XLOOKUP(E397,Groups!A:A,Groups!AJ:AJ)="Photonozoa",3,1))</f>
        <v>7.0702558150009795E-2</v>
      </c>
      <c r="BS397" s="8">
        <f t="shared" si="336"/>
        <v>9.600991081287881E-2</v>
      </c>
      <c r="BT397" s="8">
        <f t="shared" si="337"/>
        <v>39.078247839870407</v>
      </c>
      <c r="BU397" s="8" t="str">
        <f t="shared" si="338"/>
        <v>No</v>
      </c>
      <c r="BV397" s="8">
        <f t="shared" si="339"/>
        <v>626.86287036597366</v>
      </c>
      <c r="BW397" s="4">
        <v>0</v>
      </c>
      <c r="BX397" s="4">
        <v>1</v>
      </c>
    </row>
    <row r="398" spans="1:76" s="16" customFormat="1" x14ac:dyDescent="0.25">
      <c r="A398" s="26" t="s">
        <v>2103</v>
      </c>
      <c r="B398" s="6" t="s">
        <v>2182</v>
      </c>
      <c r="C398" s="7">
        <v>77</v>
      </c>
      <c r="D398" s="7" t="s">
        <v>2183</v>
      </c>
      <c r="E398" s="7" t="str">
        <f>Groups!$A$51</f>
        <v>Rodent</v>
      </c>
      <c r="F398" s="7">
        <f>ROUND(7.545*(C398*1000)^0.2689,0)</f>
        <v>155</v>
      </c>
      <c r="G398" s="7">
        <f>639/365</f>
        <v>1.7506849315068493</v>
      </c>
      <c r="H398" s="7">
        <f>23.4</f>
        <v>23.4</v>
      </c>
      <c r="I398" s="4">
        <v>0</v>
      </c>
      <c r="J398" s="7">
        <v>3</v>
      </c>
      <c r="K398" s="7" t="s">
        <v>528</v>
      </c>
      <c r="L398" s="7">
        <f>MIN(20*C398^0.183,19.9*C398^0.142,13.7*C398^0.004)</f>
        <v>13.940120570217696</v>
      </c>
      <c r="M398" s="7" t="s">
        <v>626</v>
      </c>
      <c r="N398" s="4">
        <v>0</v>
      </c>
      <c r="O398" s="4">
        <v>0</v>
      </c>
      <c r="P398" s="4">
        <v>0</v>
      </c>
      <c r="Q398" s="4">
        <v>0</v>
      </c>
      <c r="R398" s="4" t="s">
        <v>40</v>
      </c>
      <c r="S398" s="7">
        <f>_xlfn.XLOOKUP(B398,[1]TeethAdjusters!$A:$A,[1]BiteAdjusters!$C:$C,1)</f>
        <v>1</v>
      </c>
      <c r="T398" s="7">
        <f>_xlfn.XLOOKUP(B398,[1]TeethAdjusters!$A:$A,[1]TeethAdjusters!$B:$B,1)</f>
        <v>1</v>
      </c>
      <c r="U398" s="7" t="s">
        <v>45</v>
      </c>
      <c r="V398" s="7">
        <v>5</v>
      </c>
      <c r="W398" s="7" t="s">
        <v>45</v>
      </c>
      <c r="X398" s="7" t="s">
        <v>932</v>
      </c>
      <c r="Y398" s="4" t="s">
        <v>42</v>
      </c>
      <c r="Z398" s="4">
        <v>1</v>
      </c>
      <c r="AA398" s="4">
        <v>0</v>
      </c>
      <c r="AB398" s="4">
        <v>0</v>
      </c>
      <c r="AC398" s="4">
        <v>0</v>
      </c>
      <c r="AD398" s="4">
        <v>0</v>
      </c>
      <c r="AE398" s="4" t="s">
        <v>45</v>
      </c>
      <c r="AF398" s="4" t="s">
        <v>399</v>
      </c>
      <c r="AG398" s="49" t="s">
        <v>392</v>
      </c>
      <c r="AH398" s="4" t="str">
        <f>Animals!$C$40</f>
        <v>&lt;li&gt;Alphabeaver&lt;/li&gt;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4">
        <v>10</v>
      </c>
      <c r="AO398" s="8">
        <f t="shared" si="325"/>
        <v>18687.101743311985</v>
      </c>
      <c r="AP398" s="8">
        <f>IFERROR(C398*_xlfn.XLOOKUP(E398,Groups!A:A,Groups!K:K),0.106*C398^0.94)</f>
        <v>6.2893700311877385</v>
      </c>
      <c r="AQ398" s="8">
        <f>AP398*10000/(_xlfn.XLOOKUP(E398,Groups!A:A,Groups!J:J)*AO398)</f>
        <v>3.0877256024258366</v>
      </c>
      <c r="AR398" s="8">
        <f t="shared" si="326"/>
        <v>2132.8458352503944</v>
      </c>
      <c r="AS398" s="8">
        <f>IF(_xlfn.XLOOKUP(E398,Groups!A:A,Groups!M:M)=1,EXP(0.7444*LN('Base stats'!C398)+6.5696),EXP(0.7927*LN('Base stats'!C398)+4.28))</f>
        <v>2260.4847443184508</v>
      </c>
      <c r="AT398" s="8">
        <f>IF(_xlfn.XLOOKUP(E398,Groups!A:A,Groups!N:N)="No","No",
IF(_xlfn.XLOOKUP(E398,Groups!A:A,Groups!N:N)="Crocodile",EXP(0.8129*LN(C398)+4.6742)*S398,
IF(_xlfn.XLOOKUP(E398,Groups!A:A,Groups!N:N)="Felid",EXP(0.7843*LN(C398)+4.7073)*S398,
IF(_xlfn.XLOOKUP(E398,Groups!A:A,Groups!N:N)="Canid",EXP(0.8367*LN(C398)+4.8763)*S398,
IF(_xlfn.XLOOKUP(E398,Groups!A:A,Groups!N:N)="Pig",EXP(0.3439*LN(C398)+6.8519)*S398,
IF(_xlfn.XLOOKUP(E398,Groups!A:A,Groups!N:N)="Rodent",EXP(0.5625*LN(C398)+4.3006)*S398,
IF(_xlfn.XLOOKUP(E398,Groups!A:A,Groups!N:N)="Primate",EXP(0.7847*LN(C398)+3.4931)*S398,
IF(_xlfn.XLOOKUP(E398,Groups!A:A,Groups!N:N)="MiscCarnivora",EXP(0.7486*LN(C398)+4.2207)*S398,
IF(_xlfn.XLOOKUP(E398,Groups!A:A,Groups!N:N)="Lizard",EXP(0.7733*LN(C398)+5.5303)*S398,
IF(_xlfn.XLOOKUP(E398,Groups!A:A,Groups!N:N)="Snake",50*C398^(2/3)*S398,
IF(_xlfn.XLOOKUP(E398,Groups!A:A,Groups!N:N)="StrongBitingHerbivore",87.1133638856975*C398^(2/3)*S398,
IF(_xlfn.XLOOKUP(E398,Groups!A:A,Groups!N:N)="MiscEctotherms",59.4316884072269*C398^(2/3)*S398,
IF(_xlfn.XLOOKUP(E398,Groups!A:A,Groups!N:N)="StrongBeakBird",0.041*(C398*1000)^1.375*S398,
IF(_xlfn.XLOOKUP(E398,Groups!A:A,Groups!N:N)="Bird",0.118*(C398*1000)^0.692*S398,
IF(_xlfn.XLOOKUP(E398,Groups!A:A,Groups!N:N)="Insect",EXP(0.7444*LN(C398)+6.5696)*S398,
IF(_xlfn.XLOOKUP(E398,Groups!A:A,Groups!N:N)="Theropod",EXP(0.6966*LN(C398)+4.158)*S398,
"No"))))))))))))))))</f>
        <v>848.94172959542823</v>
      </c>
      <c r="AU398" s="8">
        <f>IF(_xlfn.XLOOKUP(E398,Groups!A:A,Groups!U:U)=3,AS398,IF(_xlfn.XLOOKUP(E398,Groups!A:A,Groups!U:U)=2,AR398,AT398))</f>
        <v>848.94172959542823</v>
      </c>
      <c r="AV398" s="46">
        <f>IFERROR(AVERAGE(_xlfn.XLOOKUP(B398,Animals!B:B,Animals!N:N),_xlfn.XLOOKUP(B398,Animals!B:B,Animals!O:O)),0)</f>
        <v>0</v>
      </c>
      <c r="AW398" s="8">
        <f>MROUND(40*Animals!AO398*_xlfn.XLOOKUP(AG398,Leathers!$A$2:$A$99,Leathers!$B$2:$B$99,0)+(140*_xlfn.XLOOKUP(B398,Animals!B:B,Animals!AO:AO)*2),5)</f>
        <v>430</v>
      </c>
      <c r="AX398" s="8">
        <f>IFERROR(ROUND(SQRT(V398-1)*IF(_xlfn.XLOOKUP(E398,Groups!A:A,Groups!BF:BF)=0,2,1)*IF(_xlfn.XLOOKUP('Base stats'!E398,Groups!A:A,Groups!O:O)=0,1,0.1),1),0)</f>
        <v>4</v>
      </c>
      <c r="AY398" s="8">
        <f t="shared" si="327"/>
        <v>0</v>
      </c>
      <c r="AZ398" s="8">
        <f t="shared" si="328"/>
        <v>0</v>
      </c>
      <c r="BA398" s="8">
        <f t="shared" si="329"/>
        <v>3.8</v>
      </c>
      <c r="BB398" s="8">
        <f>IF(_xlfn.XLOOKUP(E398,Groups!A:A,Groups!N:N)="Insect",BD398*2.5,IFERROR(AVERAGE(BD398,AT398/9.81/IF(OR(_xlfn.XLOOKUP(E398,Groups!A:A,Groups!N:N)="Pig",_xlfn.XLOOKUP(E398,Groups!A:A,Groups!N:N)="StrongBitingHerbivore"),20,25))*C398^-0.135,BD398))</f>
        <v>1.2512578935159266</v>
      </c>
      <c r="BC398" s="8" t="str">
        <f>IF(W398="No","No",IF(_xlfn.XLOOKUP(E398,Groups!A:A,Groups!U:U)=1,'Base stats'!BB398,IF(OR(_xlfn.XLOOKUP(E398,Groups!A:A,Groups!BD:BD)=1,_xlfn.XLOOKUP(E398,Groups!A:A,Groups!U:U)=2),BD398,IF(_xlfn.XLOOKUP(B398,Animals!B:B,Animals!AO:AO)&gt;4,AVERAGE(BD398,BF398),BF398))))</f>
        <v>No</v>
      </c>
      <c r="BD398" s="8">
        <f t="shared" si="330"/>
        <v>1.0368121402485209</v>
      </c>
      <c r="BE398" s="8">
        <f>IF(_xlfn.XLOOKUP(E398,Groups!A:A,Groups!BE:BE)=1,(0.048*C398^1.01)+(0.071*C398^1.03),0.071*C398^1.03)/IF(_xlfn.XLOOKUP(E398,Groups!A:A,Groups!M:M)=1,0.85,IF(OR(_xlfn.XLOOKUP(B398,Animals!B:B,Animals!AO:AO)&gt;4,_xlfn.XLOOKUP(E398,Groups!A:A,Groups!BC:BC)=1),1.7,1))*C398^-0.25</f>
        <v>2.1024279154255257</v>
      </c>
      <c r="BF398" s="8">
        <f>(0.048*C398^1.01)/IF(_xlfn.XLOOKUP(E398,Groups!A:A,Groups!M:M)=1,0.25,0.8)*C398^-0.25</f>
        <v>1.6288616617931291</v>
      </c>
      <c r="BG398" s="8">
        <f>EXP(1.076*LN(AR398)-4.5397)*IF(_xlfn.XLOOKUP(E398,Groups!A:A,Groups!BC:BC)=1,1.25,IF(_xlfn.XLOOKUP(E398,Groups!A:A,Groups!BD:BD)=1,3.5,2.5))</f>
        <v>101.93744258479542</v>
      </c>
      <c r="BH398" s="8">
        <f>EXP(1.076*LN(AS398)-4.5397)*IF(_xlfn.XLOOKUP(E398,Groups!A:A,Groups!M:M)=1,0.8,IF(_xlfn.XLOOKUP(E398,Groups!A:A,Groups!BC:BC)=1,1.3,3))</f>
        <v>130.21934176085074</v>
      </c>
      <c r="BI398" s="8" t="str">
        <f>IF(W398="No","No",IF(_xlfn.XLOOKUP(E398,Groups!A:A,Groups!U:U)=1,'Base stats'!BJ398,IF(OR(_xlfn.XLOOKUP(E398,Groups!A:A,Groups!BD:BD)=1,_xlfn.XLOOKUP(E398,Groups!A:A,Groups!U:U)=2),BG398,BH398))*1.2)</f>
        <v>No</v>
      </c>
      <c r="BJ398" s="8">
        <f>IFERROR(EXP(1.076*LN(AT398)-4.5397)*IF(_xlfn.XLOOKUP(E398,Groups!A:A,Groups!N:N)="Insect",1,IF(OR(_xlfn.XLOOKUP(E398,Groups!A:A,Groups!N:N)="Pig",_xlfn.XLOOKUP(E398,Groups!A:A,Groups!N:N)="StrongBitingHerbivore"),3.5,3.75)),"No")</f>
        <v>56.746255486014235</v>
      </c>
      <c r="BK398" s="8">
        <f t="shared" si="331"/>
        <v>14</v>
      </c>
      <c r="BL398" s="8">
        <f t="shared" si="332"/>
        <v>11</v>
      </c>
      <c r="BM398" s="8" t="str">
        <f t="shared" si="333"/>
        <v>No</v>
      </c>
      <c r="BN398" s="8">
        <f t="shared" si="334"/>
        <v>9</v>
      </c>
      <c r="BO398" s="8">
        <f t="shared" si="335"/>
        <v>12</v>
      </c>
      <c r="BP398" s="8" t="str" cm="1">
        <f t="array" ref="BP398">IF(AND(_xlfn.XLOOKUP('Base stats'!E398,Groups!A:A,Groups!AD:AD=0),_xlfn.XLOOKUP('Base stats'!E398,Groups!A:A,Groups!P:P=0)),"No",IF(U398="No",AVERAGE(EXP(-0.57+0.99*LN(C398)),EXP(0.32+0.67*LN(C398)))/IF(_xlfn.XLOOKUP(E398,Groups!A:A,Groups!AD:AD)=1,10,2),(0.7354*C398^0.4078)*2/IF(_xlfn.XLOOKUP(E398,Groups!A:A,Groups!BK:BK)=1,1000,100)/IF(_xlfn.XLOOKUP(E398,Groups!A:A,Groups!AJ:AJ)="Photonozoa",3,1)))</f>
        <v>No</v>
      </c>
      <c r="BQ398" s="8" t="str">
        <f>IF(W398="No","No",IF(_xlfn.XLOOKUP(E398,Groups!A:A,Groups!BD:BD)=1,(AO398*5%),EXP(0.7354*LN(C398)^0.4078)*2/IF(_xlfn.XLOOKUP(E398,Groups!A:A,Groups!BL:BL)=1,1000,100)/IF(_xlfn.XLOOKUP(E398,Groups!A:A,Groups!AJ:AJ)="Photonozoa",3,1)))</f>
        <v>No</v>
      </c>
      <c r="BR398" s="8">
        <f>IF(BJ398="No","No",IF(_xlfn.XLOOKUP(E398,Groups!A:A,Groups!BF:BF)=1,(0.0315*C398+2.1825)*2,(0.7354*C398^0.4078)*2)/IF(_xlfn.XLOOKUP(E398,Groups!A:A,Groups!BM:BM)=1,1000,100)/IF(_xlfn.XLOOKUP(E398,Groups!A:A,Groups!AJ:AJ)="Photonozoa",3,1))</f>
        <v>8.6469816813379646E-2</v>
      </c>
      <c r="BS398" s="8">
        <f t="shared" si="336"/>
        <v>0.10909925357609644</v>
      </c>
      <c r="BT398" s="8" t="str">
        <f t="shared" si="337"/>
        <v>No</v>
      </c>
      <c r="BU398" s="8" t="str">
        <f t="shared" si="338"/>
        <v>No</v>
      </c>
      <c r="BV398" s="8">
        <f t="shared" si="339"/>
        <v>656.2550676900911</v>
      </c>
      <c r="BW398" s="4">
        <v>0</v>
      </c>
      <c r="BX398" s="4">
        <v>1</v>
      </c>
    </row>
    <row r="399" spans="1:76" s="16" customFormat="1" x14ac:dyDescent="0.25">
      <c r="A399" s="26" t="s">
        <v>2104</v>
      </c>
      <c r="B399" s="6" t="s">
        <v>2179</v>
      </c>
      <c r="C399" s="7">
        <v>100</v>
      </c>
      <c r="D399" s="7" t="s">
        <v>2178</v>
      </c>
      <c r="E399" s="7" t="str">
        <f>Groups!$A$36</f>
        <v>Mustelid (AQUATIC)</v>
      </c>
      <c r="F399" s="7">
        <v>100</v>
      </c>
      <c r="G399" s="7">
        <v>3</v>
      </c>
      <c r="H399" s="7">
        <v>20</v>
      </c>
      <c r="I399" s="4">
        <v>0</v>
      </c>
      <c r="J399" s="7">
        <v>2</v>
      </c>
      <c r="K399" s="7" t="s">
        <v>528</v>
      </c>
      <c r="L399" s="7">
        <f>MIN(20*C399^0.183,19.9*C399^0.142)</f>
        <v>38.269525405312152</v>
      </c>
      <c r="M399" s="7" t="s">
        <v>626</v>
      </c>
      <c r="N399" s="4">
        <v>0</v>
      </c>
      <c r="O399" s="4">
        <v>0</v>
      </c>
      <c r="P399" s="4">
        <v>0</v>
      </c>
      <c r="Q399" s="4">
        <v>0</v>
      </c>
      <c r="R399" s="4" t="s">
        <v>40</v>
      </c>
      <c r="S399" s="7">
        <f>_xlfn.XLOOKUP(B399,[1]TeethAdjusters!$A:$A,[1]BiteAdjusters!$C:$C,1)</f>
        <v>1</v>
      </c>
      <c r="T399" s="7">
        <f>_xlfn.XLOOKUP(B399,[1]TeethAdjusters!$A:$A,[1]TeethAdjusters!$B:$B,1)</f>
        <v>1</v>
      </c>
      <c r="U399" s="7">
        <v>2</v>
      </c>
      <c r="V399" s="7">
        <f>IF(AT399="No","No",IF(_xlfn.XLOOKUP(E399,Groups!A:A,Groups!AM:AM)=1,MROUND(EXP(0.3582*LN(C399)-0.2221)*T399,0.05),IF(_xlfn.XLOOKUP(E399,Groups!A:A,Groups!AM:AM)=2,MROUND(EXP(0.3582*LN(C399)-0.2221)*T399,0.05),"Need a formula")))</f>
        <v>4.1500000000000004</v>
      </c>
      <c r="W399" s="7" t="s">
        <v>45</v>
      </c>
      <c r="X399" s="7" t="s">
        <v>932</v>
      </c>
      <c r="Y399" s="4" t="s">
        <v>56</v>
      </c>
      <c r="Z399" s="4">
        <v>1</v>
      </c>
      <c r="AA399" s="4">
        <v>0</v>
      </c>
      <c r="AB399" s="4">
        <v>0</v>
      </c>
      <c r="AC399" s="4">
        <v>0</v>
      </c>
      <c r="AD399" s="4">
        <v>0</v>
      </c>
      <c r="AE399" s="4" t="s">
        <v>45</v>
      </c>
      <c r="AF399" s="4" t="s">
        <v>45</v>
      </c>
      <c r="AG399" s="49" t="s">
        <v>392</v>
      </c>
      <c r="AH399" s="4" t="s">
        <v>45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4">
        <v>13</v>
      </c>
      <c r="AO399" s="8">
        <f t="shared" si="325"/>
        <v>22147.411696154573</v>
      </c>
      <c r="AP399" s="8">
        <f>IFERROR(C399*_xlfn.XLOOKUP(E399,Groups!A:A,Groups!K:K),0.106*C399^0.94)</f>
        <v>12.475</v>
      </c>
      <c r="AQ399" s="8">
        <f>AP399*10000/(_xlfn.XLOOKUP(E399,Groups!A:A,Groups!J:J)*AO399)</f>
        <v>5.1676260347964442</v>
      </c>
      <c r="AR399" s="8">
        <f t="shared" si="326"/>
        <v>2659.7495843014949</v>
      </c>
      <c r="AS399" s="8">
        <f>IF(_xlfn.XLOOKUP(E399,Groups!A:A,Groups!M:M)=1,EXP(0.7444*LN('Base stats'!C399)+6.5696),EXP(0.7927*LN('Base stats'!C399)+4.28))</f>
        <v>2780.8680507952254</v>
      </c>
      <c r="AT399" s="8">
        <f>IF(_xlfn.XLOOKUP(E399,Groups!A:A,Groups!N:N)="No","No",
IF(_xlfn.XLOOKUP(E399,Groups!A:A,Groups!N:N)="Crocodile",EXP(0.8129*LN(C399)+4.6742)*S399,
IF(_xlfn.XLOOKUP(E399,Groups!A:A,Groups!N:N)="Felid",EXP(0.7843*LN(C399)+4.7073)*S399,
IF(_xlfn.XLOOKUP(E399,Groups!A:A,Groups!N:N)="Canid",EXP(0.8367*LN(C399)+4.8763)*S399,
IF(_xlfn.XLOOKUP(E399,Groups!A:A,Groups!N:N)="Pig",EXP(0.3439*LN(C399)+6.8519)*S399,
IF(_xlfn.XLOOKUP(E399,Groups!A:A,Groups!N:N)="Rodent",EXP(0.5625*LN(C399)+4.3006)*S399,
IF(_xlfn.XLOOKUP(E399,Groups!A:A,Groups!N:N)="Primate",EXP(0.7847*LN(C399)+3.4931)*S399,
IF(_xlfn.XLOOKUP(E399,Groups!A:A,Groups!N:N)="MiscCarnivora",EXP(0.7486*LN(C399)+4.2207)*S399,
IF(_xlfn.XLOOKUP(E399,Groups!A:A,Groups!N:N)="Lizard",EXP(0.7733*LN(C399)+5.5303)*S399,
IF(_xlfn.XLOOKUP(E399,Groups!A:A,Groups!N:N)="Snake",50*C399^(2/3)*S399,
IF(_xlfn.XLOOKUP(E399,Groups!A:A,Groups!N:N)="StrongBitingHerbivore",87.1133638856975*C399^(2/3)*S399,
IF(_xlfn.XLOOKUP(E399,Groups!A:A,Groups!N:N)="MiscEctotherms",59.4316884072269*C399^(2/3)*S399,
IF(_xlfn.XLOOKUP(E399,Groups!A:A,Groups!N:N)="StrongBeakBird",0.041*(C399*1000)^1.375*S399,
IF(_xlfn.XLOOKUP(E399,Groups!A:A,Groups!N:N)="Bird",0.118*(C399*1000)^0.692*S399,
IF(_xlfn.XLOOKUP(E399,Groups!A:A,Groups!N:N)="Insect",EXP(0.7444*LN(C399)+6.5696)*S399,
IF(_xlfn.XLOOKUP(E399,Groups!A:A,Groups!N:N)="Theropod",EXP(0.6966*LN(C399)+4.158)*S399,
"No"))))))))))))))))</f>
        <v>2139.0784859450714</v>
      </c>
      <c r="AU399" s="8">
        <f>IF(_xlfn.XLOOKUP(E399,Groups!A:A,Groups!U:U)=3,AS399,IF(_xlfn.XLOOKUP(E399,Groups!A:A,Groups!U:U)=2,AR399,AT399))</f>
        <v>2139.0784859450714</v>
      </c>
      <c r="AV399" s="46">
        <f>IFERROR(AVERAGE(_xlfn.XLOOKUP(B399,Animals!B:B,Animals!N:N),_xlfn.XLOOKUP(B399,Animals!B:B,Animals!O:O)),0)</f>
        <v>0</v>
      </c>
      <c r="AW399" s="8">
        <f>MROUND(40*Animals!AO399*_xlfn.XLOOKUP(AG399,Leathers!$A$2:$A$99,Leathers!$B$2:$B$99,0)+(140*_xlfn.XLOOKUP(B399,Animals!B:B,Animals!AO:AO)*2),5)</f>
        <v>645</v>
      </c>
      <c r="AX399" s="8">
        <f>IFERROR(ROUND(SQRT(V399-1)*IF(_xlfn.XLOOKUP(E399,Groups!A:A,Groups!BF:BF)=0,2,1)*IF(_xlfn.XLOOKUP('Base stats'!E399,Groups!A:A,Groups!O:O)=0,1,0.1),1),0)</f>
        <v>3.5</v>
      </c>
      <c r="AY399" s="8">
        <f t="shared" si="327"/>
        <v>1</v>
      </c>
      <c r="AZ399" s="8">
        <f t="shared" si="328"/>
        <v>0</v>
      </c>
      <c r="BA399" s="8">
        <f t="shared" si="329"/>
        <v>4.2</v>
      </c>
      <c r="BB399" s="8">
        <f>IF(_xlfn.XLOOKUP(E399,Groups!A:A,Groups!N:N)="Insect",BD399*2.5,IFERROR(AVERAGE(BD399,AT399/9.81/IF(OR(_xlfn.XLOOKUP(E399,Groups!A:A,Groups!N:N)="Pig",_xlfn.XLOOKUP(E399,Groups!A:A,Groups!N:N)="StrongBitingHerbivore"),20,25))*C399^-0.135,BD399))</f>
        <v>2.8253481176087192</v>
      </c>
      <c r="BC399" s="8" t="str">
        <f>IF(W399="No","No",IF(_xlfn.XLOOKUP(E399,Groups!A:A,Groups!U:U)=1,'Base stats'!BB399,IF(OR(_xlfn.XLOOKUP(E399,Groups!A:A,Groups!BD:BD)=1,_xlfn.XLOOKUP(E399,Groups!A:A,Groups!U:U)=2),BD399,IF(_xlfn.XLOOKUP(B399,Animals!B:B,Animals!AO:AO)&gt;4,AVERAGE(BD399,BF399),BF399))))</f>
        <v>No</v>
      </c>
      <c r="BD399" s="8">
        <f t="shared" si="330"/>
        <v>1.8000562103205242</v>
      </c>
      <c r="BE399" s="8">
        <f>IF(_xlfn.XLOOKUP(E399,Groups!A:A,Groups!BE:BE)=1,(0.048*C399^1.01)+(0.071*C399^1.03),0.071*C399^1.03)/IF(_xlfn.XLOOKUP(E399,Groups!A:A,Groups!M:M)=1,0.85,IF(OR(_xlfn.XLOOKUP(B399,Animals!B:B,Animals!AO:AO)&gt;4,_xlfn.XLOOKUP(E399,Groups!A:A,Groups!BC:BC)=1),1.7,1))*C399^-0.25</f>
        <v>2.5778541888677213</v>
      </c>
      <c r="BF399" s="8">
        <f>(0.048*C399^1.01)/IF(_xlfn.XLOOKUP(E399,Groups!A:A,Groups!M:M)=1,0.25,0.8)*C399^-0.25</f>
        <v>1.986786728895547</v>
      </c>
      <c r="BG399" s="8">
        <f>EXP(1.076*LN(AR399)-4.5397)*IF(_xlfn.XLOOKUP(E399,Groups!A:A,Groups!BC:BC)=1,1.25,IF(_xlfn.XLOOKUP(E399,Groups!A:A,Groups!BD:BD)=1,3.5,2.5))</f>
        <v>129.27126415643053</v>
      </c>
      <c r="BH399" s="8">
        <f>EXP(1.076*LN(AS399)-4.5397)*IF(_xlfn.XLOOKUP(E399,Groups!A:A,Groups!M:M)=1,0.8,IF(_xlfn.XLOOKUP(E399,Groups!A:A,Groups!BC:BC)=1,1.3,3))</f>
        <v>162.73939114543509</v>
      </c>
      <c r="BI399" s="8" t="str">
        <f>IF(W399="No","No",IF(_xlfn.XLOOKUP(E399,Groups!A:A,Groups!U:U)=1,'Base stats'!BJ399,IF(OR(_xlfn.XLOOKUP(E399,Groups!A:A,Groups!BD:BD)=1,_xlfn.XLOOKUP(E399,Groups!A:A,Groups!U:U)=2),BG399,BH399))*1.2)</f>
        <v>No</v>
      </c>
      <c r="BJ399" s="8">
        <f>IFERROR(EXP(1.076*LN(AT399)-4.5397)*IF(_xlfn.XLOOKUP(E399,Groups!A:A,Groups!N:N)="Insect",1,IF(OR(_xlfn.XLOOKUP(E399,Groups!A:A,Groups!N:N)="Pig",_xlfn.XLOOKUP(E399,Groups!A:A,Groups!N:N)="StrongBitingHerbivore"),3.5,3.75)),"No")</f>
        <v>153.38700186015782</v>
      </c>
      <c r="BK399" s="8">
        <f t="shared" si="331"/>
        <v>11</v>
      </c>
      <c r="BL399" s="8">
        <f t="shared" si="332"/>
        <v>11</v>
      </c>
      <c r="BM399" s="8" t="str">
        <f t="shared" si="333"/>
        <v>No</v>
      </c>
      <c r="BN399" s="8">
        <f t="shared" si="334"/>
        <v>10</v>
      </c>
      <c r="BO399" s="8">
        <f t="shared" si="335"/>
        <v>12</v>
      </c>
      <c r="BP399" s="8" cm="1">
        <f t="array" ref="BP399">IF(AND(_xlfn.XLOOKUP('Base stats'!E399,Groups!A:A,Groups!AD:AD=0),_xlfn.XLOOKUP('Base stats'!E399,Groups!A:A,Groups!P:P=0)),"No",IF(U399="No",AVERAGE(EXP(-0.57+0.99*LN(C399)),EXP(0.32+0.67*LN(C399)))/IF(_xlfn.XLOOKUP(E399,Groups!A:A,Groups!AD:AD)=1,10,2),(0.7354*C399^0.4078)*2/IF(_xlfn.XLOOKUP(E399,Groups!A:A,Groups!BK:BK)=1,1000,100)/IF(_xlfn.XLOOKUP(E399,Groups!A:A,Groups!AJ:AJ)="Photonozoa",3,1)))</f>
        <v>9.6195248569743513E-2</v>
      </c>
      <c r="BQ399" s="8" t="str">
        <f>IF(W399="No","No",IF(_xlfn.XLOOKUP(E399,Groups!A:A,Groups!BD:BD)=1,(AO399*5%),EXP(0.7354*LN(C399)^0.4078)*2/IF(_xlfn.XLOOKUP(E399,Groups!A:A,Groups!BL:BL)=1,1000,100)/IF(_xlfn.XLOOKUP(E399,Groups!A:A,Groups!AJ:AJ)="Photonozoa",3,1)))</f>
        <v>No</v>
      </c>
      <c r="BR399" s="8">
        <f>IF(BJ399="No","No",IF(_xlfn.XLOOKUP(E399,Groups!A:A,Groups!BF:BF)=1,(0.0315*C399+2.1825)*2,(0.7354*C399^0.4078)*2)/IF(_xlfn.XLOOKUP(E399,Groups!A:A,Groups!BM:BM)=1,1000,100)/IF(_xlfn.XLOOKUP(E399,Groups!A:A,Groups!AJ:AJ)="Photonozoa",3,1))</f>
        <v>9.6195248569743513E-2</v>
      </c>
      <c r="BS399" s="8">
        <f t="shared" si="336"/>
        <v>0.11673713021632748</v>
      </c>
      <c r="BT399" s="8">
        <f t="shared" si="337"/>
        <v>1691.7612206952792</v>
      </c>
      <c r="BU399" s="8" t="str">
        <f t="shared" si="338"/>
        <v>No</v>
      </c>
      <c r="BV399" s="8">
        <f t="shared" si="339"/>
        <v>1594.5382348999194</v>
      </c>
      <c r="BW399" s="4">
        <v>0</v>
      </c>
      <c r="BX399" s="4">
        <v>1</v>
      </c>
    </row>
    <row r="400" spans="1:76" s="16" customFormat="1" x14ac:dyDescent="0.25">
      <c r="A400" s="26"/>
      <c r="B400" s="6"/>
      <c r="C400" s="7"/>
      <c r="D400" s="7"/>
      <c r="E400" s="7"/>
      <c r="F400" s="7"/>
      <c r="G400" s="7"/>
      <c r="H400" s="7"/>
      <c r="I400" s="4"/>
      <c r="J400" s="7"/>
      <c r="K400" s="7"/>
      <c r="L400" s="7"/>
      <c r="M400" s="7"/>
      <c r="N400" s="4"/>
      <c r="O400" s="4"/>
      <c r="P400" s="4"/>
      <c r="Q400" s="4"/>
      <c r="R400" s="4"/>
      <c r="S400" s="7"/>
      <c r="T400" s="7"/>
      <c r="U400" s="7"/>
      <c r="V400" s="7"/>
      <c r="W400" s="7"/>
      <c r="X400" s="7"/>
      <c r="Y400" s="4"/>
      <c r="Z400" s="4"/>
      <c r="AA400" s="4"/>
      <c r="AB400" s="4"/>
      <c r="AC400" s="4"/>
      <c r="AD400" s="4"/>
      <c r="AE400" s="4"/>
      <c r="AF400" s="4"/>
      <c r="AG400" s="49"/>
      <c r="AH400" s="4"/>
      <c r="AI400" s="4"/>
      <c r="AJ400" s="4"/>
      <c r="AK400" s="4"/>
      <c r="AL400" s="4"/>
      <c r="AM400" s="4"/>
      <c r="AN400" s="44"/>
      <c r="AO400" s="8"/>
      <c r="AP400" s="8"/>
      <c r="AQ400" s="8"/>
      <c r="AR400" s="8"/>
      <c r="AS400" s="8"/>
      <c r="AT400" s="8"/>
      <c r="AU400" s="8"/>
      <c r="AV400" s="46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4"/>
      <c r="BX400" s="4"/>
    </row>
    <row r="401" spans="1:76" s="16" customFormat="1" x14ac:dyDescent="0.25">
      <c r="A401" s="26"/>
      <c r="B401" s="6"/>
      <c r="C401" s="7"/>
      <c r="D401" s="7"/>
      <c r="E401" s="7"/>
      <c r="F401" s="7"/>
      <c r="G401" s="7"/>
      <c r="H401" s="7"/>
      <c r="I401" s="4"/>
      <c r="J401" s="7"/>
      <c r="K401" s="7"/>
      <c r="L401" s="7"/>
      <c r="M401" s="7"/>
      <c r="N401" s="4"/>
      <c r="O401" s="4"/>
      <c r="P401" s="4"/>
      <c r="Q401" s="4"/>
      <c r="R401" s="4"/>
      <c r="S401" s="7"/>
      <c r="T401" s="7"/>
      <c r="U401" s="7"/>
      <c r="V401" s="7"/>
      <c r="W401" s="7"/>
      <c r="X401" s="7"/>
      <c r="Y401" s="4"/>
      <c r="Z401" s="4"/>
      <c r="AA401" s="4"/>
      <c r="AB401" s="4"/>
      <c r="AC401" s="4"/>
      <c r="AD401" s="4"/>
      <c r="AE401" s="4"/>
      <c r="AF401" s="4"/>
      <c r="AG401" s="49"/>
      <c r="AH401" s="4"/>
      <c r="AI401" s="4"/>
      <c r="AJ401" s="4"/>
      <c r="AK401" s="4"/>
      <c r="AL401" s="4"/>
      <c r="AM401" s="4"/>
      <c r="AN401" s="44"/>
      <c r="AO401" s="8"/>
      <c r="AP401" s="8"/>
      <c r="AQ401" s="8"/>
      <c r="AR401" s="8"/>
      <c r="AS401" s="8"/>
      <c r="AT401" s="8"/>
      <c r="AU401" s="8"/>
      <c r="AV401" s="46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4"/>
      <c r="BX401" s="4"/>
    </row>
    <row r="402" spans="1:76" s="16" customFormat="1" x14ac:dyDescent="0.25">
      <c r="A402" s="26"/>
      <c r="B402" s="6"/>
      <c r="C402" s="7"/>
      <c r="D402" s="7"/>
      <c r="E402" s="7"/>
      <c r="F402" s="7"/>
      <c r="G402" s="7"/>
      <c r="H402" s="7"/>
      <c r="I402" s="4"/>
      <c r="J402" s="7"/>
      <c r="K402" s="7"/>
      <c r="L402" s="7"/>
      <c r="M402" s="7"/>
      <c r="N402" s="4"/>
      <c r="O402" s="4"/>
      <c r="P402" s="4"/>
      <c r="Q402" s="4"/>
      <c r="R402" s="4"/>
      <c r="S402" s="7"/>
      <c r="T402" s="7"/>
      <c r="U402" s="7"/>
      <c r="V402" s="7"/>
      <c r="W402" s="7"/>
      <c r="X402" s="7"/>
      <c r="Y402" s="4"/>
      <c r="Z402" s="4"/>
      <c r="AA402" s="4"/>
      <c r="AB402" s="4"/>
      <c r="AC402" s="4"/>
      <c r="AD402" s="4"/>
      <c r="AE402" s="4"/>
      <c r="AF402" s="4"/>
      <c r="AG402" s="49"/>
      <c r="AH402" s="4"/>
      <c r="AI402" s="4"/>
      <c r="AJ402" s="4"/>
      <c r="AK402" s="4"/>
      <c r="AL402" s="4"/>
      <c r="AM402" s="4"/>
      <c r="AN402" s="44"/>
      <c r="AO402" s="8"/>
      <c r="AP402" s="8"/>
      <c r="AQ402" s="8"/>
      <c r="AR402" s="8"/>
      <c r="AS402" s="8"/>
      <c r="AT402" s="8"/>
      <c r="AU402" s="8"/>
      <c r="AV402" s="46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4"/>
      <c r="BX402" s="4"/>
    </row>
    <row r="403" spans="1:76" s="16" customFormat="1" x14ac:dyDescent="0.25">
      <c r="A403" s="26"/>
      <c r="B403" s="6"/>
      <c r="C403" s="7"/>
      <c r="D403" s="7"/>
      <c r="E403" s="7"/>
      <c r="F403" s="7"/>
      <c r="G403" s="7"/>
      <c r="H403" s="7"/>
      <c r="I403" s="4"/>
      <c r="J403" s="7"/>
      <c r="K403" s="7"/>
      <c r="L403" s="7"/>
      <c r="M403" s="7"/>
      <c r="N403" s="4"/>
      <c r="O403" s="4"/>
      <c r="P403" s="4"/>
      <c r="Q403" s="4"/>
      <c r="R403" s="4"/>
      <c r="S403" s="7"/>
      <c r="T403" s="7"/>
      <c r="U403" s="7"/>
      <c r="V403" s="7"/>
      <c r="W403" s="7"/>
      <c r="X403" s="7"/>
      <c r="Y403" s="4"/>
      <c r="Z403" s="4"/>
      <c r="AA403" s="4"/>
      <c r="AB403" s="4"/>
      <c r="AC403" s="4"/>
      <c r="AD403" s="4"/>
      <c r="AE403" s="4"/>
      <c r="AF403" s="4"/>
      <c r="AG403" s="49"/>
      <c r="AH403" s="4"/>
      <c r="AI403" s="4"/>
      <c r="AJ403" s="4"/>
      <c r="AK403" s="4"/>
      <c r="AL403" s="4"/>
      <c r="AM403" s="4"/>
      <c r="AN403" s="44"/>
      <c r="AO403" s="8"/>
      <c r="AP403" s="8"/>
      <c r="AQ403" s="8"/>
      <c r="AR403" s="8"/>
      <c r="AS403" s="8"/>
      <c r="AT403" s="8"/>
      <c r="AU403" s="8"/>
      <c r="AV403" s="46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4"/>
      <c r="BX403" s="4"/>
    </row>
    <row r="404" spans="1:76" s="16" customFormat="1" x14ac:dyDescent="0.25">
      <c r="A404" s="26"/>
      <c r="B404" s="6"/>
      <c r="C404" s="7"/>
      <c r="D404" s="7"/>
      <c r="E404" s="7"/>
      <c r="F404" s="7"/>
      <c r="G404" s="7"/>
      <c r="H404" s="7"/>
      <c r="I404" s="4"/>
      <c r="J404" s="7"/>
      <c r="K404" s="7"/>
      <c r="L404" s="7"/>
      <c r="M404" s="7"/>
      <c r="N404" s="4"/>
      <c r="O404" s="4"/>
      <c r="P404" s="4"/>
      <c r="Q404" s="4"/>
      <c r="R404" s="4"/>
      <c r="S404" s="7"/>
      <c r="T404" s="7"/>
      <c r="U404" s="7"/>
      <c r="V404" s="7"/>
      <c r="W404" s="7"/>
      <c r="X404" s="7"/>
      <c r="Y404" s="4"/>
      <c r="Z404" s="4"/>
      <c r="AA404" s="4"/>
      <c r="AB404" s="4"/>
      <c r="AC404" s="4"/>
      <c r="AD404" s="4"/>
      <c r="AE404" s="4"/>
      <c r="AF404" s="4"/>
      <c r="AG404" s="49"/>
      <c r="AH404" s="4"/>
      <c r="AI404" s="4"/>
      <c r="AJ404" s="4"/>
      <c r="AK404" s="4"/>
      <c r="AL404" s="4"/>
      <c r="AM404" s="4"/>
      <c r="AN404" s="44"/>
      <c r="AO404" s="8"/>
      <c r="AP404" s="8"/>
      <c r="AQ404" s="8"/>
      <c r="AR404" s="8"/>
      <c r="AS404" s="8"/>
      <c r="AT404" s="8"/>
      <c r="AU404" s="8"/>
      <c r="AV404" s="46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4"/>
      <c r="BX404" s="4"/>
    </row>
    <row r="405" spans="1:76" s="16" customFormat="1" x14ac:dyDescent="0.25">
      <c r="A405" s="26"/>
      <c r="B405" s="6"/>
      <c r="C405" s="7"/>
      <c r="D405" s="7"/>
      <c r="E405" s="7"/>
      <c r="F405" s="7"/>
      <c r="G405" s="7"/>
      <c r="H405" s="7"/>
      <c r="I405" s="4"/>
      <c r="J405" s="7"/>
      <c r="K405" s="7"/>
      <c r="L405" s="7"/>
      <c r="M405" s="7"/>
      <c r="N405" s="4"/>
      <c r="O405" s="4"/>
      <c r="P405" s="4"/>
      <c r="Q405" s="4"/>
      <c r="R405" s="4"/>
      <c r="S405" s="7"/>
      <c r="T405" s="7"/>
      <c r="U405" s="7"/>
      <c r="V405" s="7"/>
      <c r="W405" s="7"/>
      <c r="X405" s="7"/>
      <c r="Y405" s="4"/>
      <c r="Z405" s="4"/>
      <c r="AA405" s="4"/>
      <c r="AB405" s="4"/>
      <c r="AC405" s="4"/>
      <c r="AD405" s="4"/>
      <c r="AE405" s="4"/>
      <c r="AF405" s="4"/>
      <c r="AG405" s="49"/>
      <c r="AH405" s="4"/>
      <c r="AI405" s="4"/>
      <c r="AJ405" s="4"/>
      <c r="AK405" s="4"/>
      <c r="AL405" s="4"/>
      <c r="AM405" s="4"/>
      <c r="AN405" s="44"/>
      <c r="AO405" s="8"/>
      <c r="AP405" s="8"/>
      <c r="AQ405" s="8"/>
      <c r="AR405" s="8"/>
      <c r="AS405" s="8"/>
      <c r="AT405" s="8"/>
      <c r="AU405" s="8"/>
      <c r="AV405" s="46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4"/>
      <c r="BX405" s="4"/>
    </row>
    <row r="406" spans="1:76" s="16" customFormat="1" x14ac:dyDescent="0.25">
      <c r="A406" s="26"/>
      <c r="B406" s="6"/>
      <c r="C406" s="7"/>
      <c r="D406" s="7"/>
      <c r="E406" s="7"/>
      <c r="F406" s="7"/>
      <c r="G406" s="7"/>
      <c r="H406" s="7"/>
      <c r="I406" s="4"/>
      <c r="J406" s="7"/>
      <c r="K406" s="7"/>
      <c r="L406" s="7"/>
      <c r="M406" s="7"/>
      <c r="N406" s="4"/>
      <c r="O406" s="4"/>
      <c r="P406" s="4"/>
      <c r="Q406" s="4"/>
      <c r="R406" s="4"/>
      <c r="S406" s="7"/>
      <c r="T406" s="7"/>
      <c r="U406" s="7"/>
      <c r="V406" s="7"/>
      <c r="W406" s="7"/>
      <c r="X406" s="7"/>
      <c r="Y406" s="4"/>
      <c r="Z406" s="4"/>
      <c r="AA406" s="4"/>
      <c r="AB406" s="4"/>
      <c r="AC406" s="4"/>
      <c r="AD406" s="4"/>
      <c r="AE406" s="4"/>
      <c r="AF406" s="4"/>
      <c r="AG406" s="49"/>
      <c r="AH406" s="4"/>
      <c r="AI406" s="4"/>
      <c r="AJ406" s="4"/>
      <c r="AK406" s="4"/>
      <c r="AL406" s="4"/>
      <c r="AM406" s="4"/>
      <c r="AN406" s="44"/>
      <c r="AO406" s="8"/>
      <c r="AP406" s="8"/>
      <c r="AQ406" s="8"/>
      <c r="AR406" s="8"/>
      <c r="AS406" s="8"/>
      <c r="AT406" s="8"/>
      <c r="AU406" s="8"/>
      <c r="AV406" s="46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4"/>
      <c r="BX406" s="4"/>
    </row>
    <row r="407" spans="1:76" s="16" customFormat="1" x14ac:dyDescent="0.25">
      <c r="A407" s="26"/>
      <c r="B407" s="6"/>
      <c r="C407" s="7"/>
      <c r="D407" s="7"/>
      <c r="E407" s="7"/>
      <c r="F407" s="7"/>
      <c r="G407" s="7"/>
      <c r="H407" s="7"/>
      <c r="I407" s="4"/>
      <c r="J407" s="7"/>
      <c r="K407" s="7"/>
      <c r="L407" s="7"/>
      <c r="M407" s="7"/>
      <c r="N407" s="4"/>
      <c r="O407" s="4"/>
      <c r="P407" s="4"/>
      <c r="Q407" s="4"/>
      <c r="R407" s="4"/>
      <c r="S407" s="7"/>
      <c r="T407" s="7"/>
      <c r="U407" s="7"/>
      <c r="V407" s="7"/>
      <c r="W407" s="7"/>
      <c r="X407" s="7"/>
      <c r="Y407" s="4"/>
      <c r="Z407" s="4"/>
      <c r="AA407" s="4"/>
      <c r="AB407" s="4"/>
      <c r="AC407" s="4"/>
      <c r="AD407" s="4"/>
      <c r="AE407" s="4"/>
      <c r="AF407" s="4"/>
      <c r="AG407" s="49"/>
      <c r="AH407" s="4"/>
      <c r="AI407" s="4"/>
      <c r="AJ407" s="4"/>
      <c r="AK407" s="4"/>
      <c r="AL407" s="4"/>
      <c r="AM407" s="4"/>
      <c r="AN407" s="44"/>
      <c r="AO407" s="8"/>
      <c r="AP407" s="8"/>
      <c r="AQ407" s="8"/>
      <c r="AR407" s="8"/>
      <c r="AS407" s="8"/>
      <c r="AT407" s="8"/>
      <c r="AU407" s="8"/>
      <c r="AV407" s="46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4"/>
      <c r="BX407" s="4"/>
    </row>
    <row r="408" spans="1:76" s="16" customFormat="1" x14ac:dyDescent="0.25">
      <c r="A408" s="26"/>
      <c r="B408" s="6"/>
      <c r="C408" s="7"/>
      <c r="D408" s="7"/>
      <c r="E408" s="7"/>
      <c r="F408" s="7"/>
      <c r="G408" s="7"/>
      <c r="H408" s="7"/>
      <c r="I408" s="4"/>
      <c r="J408" s="7"/>
      <c r="K408" s="7"/>
      <c r="L408" s="7"/>
      <c r="M408" s="7"/>
      <c r="N408" s="4"/>
      <c r="O408" s="4"/>
      <c r="P408" s="4"/>
      <c r="Q408" s="4"/>
      <c r="R408" s="4"/>
      <c r="S408" s="7"/>
      <c r="T408" s="7"/>
      <c r="U408" s="7"/>
      <c r="V408" s="7"/>
      <c r="W408" s="7"/>
      <c r="X408" s="7"/>
      <c r="Y408" s="4"/>
      <c r="Z408" s="4"/>
      <c r="AA408" s="4"/>
      <c r="AB408" s="4"/>
      <c r="AC408" s="4"/>
      <c r="AD408" s="4"/>
      <c r="AE408" s="4"/>
      <c r="AF408" s="4"/>
      <c r="AG408" s="49"/>
      <c r="AH408" s="4"/>
      <c r="AI408" s="4"/>
      <c r="AJ408" s="4"/>
      <c r="AK408" s="4"/>
      <c r="AL408" s="4"/>
      <c r="AM408" s="4"/>
      <c r="AN408" s="44"/>
      <c r="AO408" s="8"/>
      <c r="AP408" s="8"/>
      <c r="AQ408" s="8"/>
      <c r="AR408" s="8"/>
      <c r="AS408" s="8"/>
      <c r="AT408" s="8"/>
      <c r="AU408" s="8"/>
      <c r="AV408" s="46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4"/>
      <c r="BX408" s="4"/>
    </row>
    <row r="409" spans="1:76" s="16" customFormat="1" x14ac:dyDescent="0.25">
      <c r="A409" s="26"/>
      <c r="B409" s="6"/>
      <c r="C409" s="7"/>
      <c r="D409" s="7"/>
      <c r="E409" s="7"/>
      <c r="F409" s="7"/>
      <c r="G409" s="7"/>
      <c r="H409" s="7"/>
      <c r="I409" s="4"/>
      <c r="J409" s="7"/>
      <c r="K409" s="7"/>
      <c r="L409" s="7"/>
      <c r="M409" s="7"/>
      <c r="N409" s="4"/>
      <c r="O409" s="4"/>
      <c r="P409" s="4"/>
      <c r="Q409" s="4"/>
      <c r="R409" s="4"/>
      <c r="S409" s="7"/>
      <c r="T409" s="7"/>
      <c r="U409" s="7"/>
      <c r="V409" s="7"/>
      <c r="W409" s="7"/>
      <c r="X409" s="7"/>
      <c r="Y409" s="4"/>
      <c r="Z409" s="4"/>
      <c r="AA409" s="4"/>
      <c r="AB409" s="4"/>
      <c r="AC409" s="4"/>
      <c r="AD409" s="4"/>
      <c r="AE409" s="4"/>
      <c r="AF409" s="4"/>
      <c r="AG409" s="49"/>
      <c r="AH409" s="4"/>
      <c r="AI409" s="4"/>
      <c r="AJ409" s="4"/>
      <c r="AK409" s="4"/>
      <c r="AL409" s="4"/>
      <c r="AM409" s="4"/>
      <c r="AN409" s="44"/>
      <c r="AO409" s="8"/>
      <c r="AP409" s="8"/>
      <c r="AQ409" s="8"/>
      <c r="AR409" s="8"/>
      <c r="AS409" s="8"/>
      <c r="AT409" s="8"/>
      <c r="AU409" s="8"/>
      <c r="AV409" s="46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4"/>
      <c r="BX409" s="4"/>
    </row>
    <row r="410" spans="1:76" s="16" customFormat="1" x14ac:dyDescent="0.25">
      <c r="A410" s="26"/>
      <c r="B410" s="6"/>
      <c r="C410" s="7"/>
      <c r="D410" s="7"/>
      <c r="E410" s="7"/>
      <c r="F410" s="7"/>
      <c r="G410" s="7"/>
      <c r="H410" s="7"/>
      <c r="I410" s="4"/>
      <c r="J410" s="7"/>
      <c r="K410" s="7"/>
      <c r="L410" s="7"/>
      <c r="M410" s="7"/>
      <c r="N410" s="4"/>
      <c r="O410" s="4"/>
      <c r="P410" s="4"/>
      <c r="Q410" s="4"/>
      <c r="R410" s="4"/>
      <c r="S410" s="7"/>
      <c r="T410" s="7"/>
      <c r="U410" s="7"/>
      <c r="V410" s="7"/>
      <c r="W410" s="7"/>
      <c r="X410" s="7"/>
      <c r="Y410" s="4"/>
      <c r="Z410" s="4"/>
      <c r="AA410" s="4"/>
      <c r="AB410" s="4"/>
      <c r="AC410" s="4"/>
      <c r="AD410" s="4"/>
      <c r="AE410" s="4"/>
      <c r="AF410" s="4"/>
      <c r="AG410" s="49"/>
      <c r="AH410" s="4"/>
      <c r="AI410" s="4"/>
      <c r="AJ410" s="4"/>
      <c r="AK410" s="4"/>
      <c r="AL410" s="4"/>
      <c r="AM410" s="4"/>
      <c r="AN410" s="44"/>
      <c r="AO410" s="8"/>
      <c r="AP410" s="8"/>
      <c r="AQ410" s="8"/>
      <c r="AR410" s="8"/>
      <c r="AS410" s="8"/>
      <c r="AT410" s="8"/>
      <c r="AU410" s="8"/>
      <c r="AV410" s="46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4"/>
      <c r="BX410" s="4"/>
    </row>
    <row r="411" spans="1:76" s="16" customFormat="1" x14ac:dyDescent="0.25">
      <c r="A411" s="26"/>
      <c r="B411" s="6"/>
      <c r="C411" s="7"/>
      <c r="D411" s="7"/>
      <c r="E411" s="7"/>
      <c r="F411" s="7"/>
      <c r="G411" s="7"/>
      <c r="H411" s="7"/>
      <c r="I411" s="4"/>
      <c r="J411" s="7"/>
      <c r="K411" s="7"/>
      <c r="L411" s="7"/>
      <c r="M411" s="7"/>
      <c r="N411" s="4"/>
      <c r="O411" s="4"/>
      <c r="P411" s="4"/>
      <c r="Q411" s="4"/>
      <c r="R411" s="4"/>
      <c r="S411" s="7"/>
      <c r="T411" s="7"/>
      <c r="U411" s="7"/>
      <c r="V411" s="7"/>
      <c r="W411" s="7"/>
      <c r="X411" s="7"/>
      <c r="Y411" s="4"/>
      <c r="Z411" s="4"/>
      <c r="AA411" s="4"/>
      <c r="AB411" s="4"/>
      <c r="AC411" s="4"/>
      <c r="AD411" s="4"/>
      <c r="AE411" s="4"/>
      <c r="AF411" s="4"/>
      <c r="AG411" s="49"/>
      <c r="AH411" s="4"/>
      <c r="AI411" s="4"/>
      <c r="AJ411" s="4"/>
      <c r="AK411" s="4"/>
      <c r="AL411" s="4"/>
      <c r="AM411" s="4"/>
      <c r="AN411" s="44"/>
      <c r="AO411" s="8"/>
      <c r="AP411" s="8"/>
      <c r="AQ411" s="8"/>
      <c r="AR411" s="8"/>
      <c r="AS411" s="8"/>
      <c r="AT411" s="8"/>
      <c r="AU411" s="8"/>
      <c r="AV411" s="46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4"/>
      <c r="BX411" s="4"/>
    </row>
    <row r="412" spans="1:76" s="16" customFormat="1" x14ac:dyDescent="0.25">
      <c r="A412" s="26"/>
      <c r="B412" s="6"/>
      <c r="C412" s="7"/>
      <c r="D412" s="7"/>
      <c r="E412" s="7"/>
      <c r="F412" s="7"/>
      <c r="G412" s="7"/>
      <c r="H412" s="7"/>
      <c r="I412" s="4"/>
      <c r="J412" s="7"/>
      <c r="K412" s="7"/>
      <c r="L412" s="7"/>
      <c r="M412" s="7"/>
      <c r="N412" s="4"/>
      <c r="O412" s="4"/>
      <c r="P412" s="4"/>
      <c r="Q412" s="4"/>
      <c r="R412" s="4"/>
      <c r="S412" s="7"/>
      <c r="T412" s="7"/>
      <c r="U412" s="7"/>
      <c r="V412" s="7"/>
      <c r="W412" s="7"/>
      <c r="X412" s="7"/>
      <c r="Y412" s="4"/>
      <c r="Z412" s="4"/>
      <c r="AA412" s="4"/>
      <c r="AB412" s="4"/>
      <c r="AC412" s="4"/>
      <c r="AD412" s="4"/>
      <c r="AE412" s="4"/>
      <c r="AF412" s="4"/>
      <c r="AG412" s="49"/>
      <c r="AH412" s="4"/>
      <c r="AI412" s="4"/>
      <c r="AJ412" s="4"/>
      <c r="AK412" s="4"/>
      <c r="AL412" s="4"/>
      <c r="AM412" s="4"/>
      <c r="AN412" s="44"/>
      <c r="AO412" s="8"/>
      <c r="AP412" s="8"/>
      <c r="AQ412" s="8"/>
      <c r="AR412" s="8"/>
      <c r="AS412" s="8"/>
      <c r="AT412" s="8"/>
      <c r="AU412" s="8"/>
      <c r="AV412" s="46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4"/>
      <c r="BX412" s="4"/>
    </row>
    <row r="413" spans="1:76" s="16" customFormat="1" x14ac:dyDescent="0.25">
      <c r="A413" s="26"/>
      <c r="B413" s="6"/>
      <c r="C413" s="7"/>
      <c r="D413" s="7"/>
      <c r="E413" s="7"/>
      <c r="F413" s="7"/>
      <c r="G413" s="7"/>
      <c r="H413" s="7"/>
      <c r="I413" s="4"/>
      <c r="J413" s="7"/>
      <c r="K413" s="7"/>
      <c r="L413" s="7"/>
      <c r="M413" s="7"/>
      <c r="N413" s="4"/>
      <c r="O413" s="4"/>
      <c r="P413" s="4"/>
      <c r="Q413" s="4"/>
      <c r="R413" s="4"/>
      <c r="S413" s="7"/>
      <c r="T413" s="7"/>
      <c r="U413" s="7"/>
      <c r="V413" s="7"/>
      <c r="W413" s="7"/>
      <c r="X413" s="7"/>
      <c r="Y413" s="4"/>
      <c r="Z413" s="4"/>
      <c r="AA413" s="4"/>
      <c r="AB413" s="4"/>
      <c r="AC413" s="4"/>
      <c r="AD413" s="4"/>
      <c r="AE413" s="4"/>
      <c r="AF413" s="4"/>
      <c r="AG413" s="49"/>
      <c r="AH413" s="4"/>
      <c r="AI413" s="4"/>
      <c r="AJ413" s="4"/>
      <c r="AK413" s="4"/>
      <c r="AL413" s="4"/>
      <c r="AM413" s="4"/>
      <c r="AN413" s="44"/>
      <c r="AO413" s="8"/>
      <c r="AP413" s="8"/>
      <c r="AQ413" s="8"/>
      <c r="AR413" s="8"/>
      <c r="AS413" s="8"/>
      <c r="AT413" s="8"/>
      <c r="AU413" s="8"/>
      <c r="AV413" s="46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4"/>
      <c r="BX413" s="4"/>
    </row>
    <row r="414" spans="1:76" s="16" customFormat="1" x14ac:dyDescent="0.25">
      <c r="A414" s="26"/>
      <c r="B414" s="6"/>
      <c r="C414" s="7"/>
      <c r="D414" s="7"/>
      <c r="E414" s="7"/>
      <c r="F414" s="7"/>
      <c r="G414" s="7"/>
      <c r="H414" s="7"/>
      <c r="I414" s="4"/>
      <c r="J414" s="7"/>
      <c r="K414" s="7"/>
      <c r="L414" s="7"/>
      <c r="M414" s="7"/>
      <c r="N414" s="4"/>
      <c r="O414" s="4"/>
      <c r="P414" s="4"/>
      <c r="Q414" s="4"/>
      <c r="R414" s="4"/>
      <c r="S414" s="7"/>
      <c r="T414" s="7"/>
      <c r="U414" s="7"/>
      <c r="V414" s="7"/>
      <c r="W414" s="7"/>
      <c r="X414" s="7"/>
      <c r="Y414" s="4"/>
      <c r="Z414" s="4"/>
      <c r="AA414" s="4"/>
      <c r="AB414" s="4"/>
      <c r="AC414" s="4"/>
      <c r="AD414" s="4"/>
      <c r="AE414" s="4"/>
      <c r="AF414" s="4"/>
      <c r="AG414" s="49"/>
      <c r="AH414" s="4"/>
      <c r="AI414" s="4"/>
      <c r="AJ414" s="4"/>
      <c r="AK414" s="4"/>
      <c r="AL414" s="4"/>
      <c r="AM414" s="4"/>
      <c r="AN414" s="44"/>
      <c r="AO414" s="8"/>
      <c r="AP414" s="8"/>
      <c r="AQ414" s="8"/>
      <c r="AR414" s="8"/>
      <c r="AS414" s="8"/>
      <c r="AT414" s="8"/>
      <c r="AU414" s="8"/>
      <c r="AV414" s="46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4"/>
      <c r="BX414" s="4"/>
    </row>
    <row r="415" spans="1:76" s="16" customFormat="1" x14ac:dyDescent="0.25">
      <c r="A415" s="26"/>
      <c r="B415" s="6"/>
      <c r="C415" s="7"/>
      <c r="D415" s="7"/>
      <c r="E415" s="7"/>
      <c r="F415" s="7"/>
      <c r="G415" s="7"/>
      <c r="H415" s="7"/>
      <c r="I415" s="4"/>
      <c r="J415" s="7"/>
      <c r="K415" s="7"/>
      <c r="L415" s="7"/>
      <c r="M415" s="7"/>
      <c r="N415" s="4"/>
      <c r="O415" s="4"/>
      <c r="P415" s="4"/>
      <c r="Q415" s="4"/>
      <c r="R415" s="4"/>
      <c r="S415" s="7"/>
      <c r="T415" s="7"/>
      <c r="U415" s="7"/>
      <c r="V415" s="7"/>
      <c r="W415" s="7"/>
      <c r="X415" s="7"/>
      <c r="Y415" s="4"/>
      <c r="Z415" s="4"/>
      <c r="AA415" s="4"/>
      <c r="AB415" s="4"/>
      <c r="AC415" s="4"/>
      <c r="AD415" s="4"/>
      <c r="AE415" s="4"/>
      <c r="AF415" s="4"/>
      <c r="AG415" s="49"/>
      <c r="AH415" s="4"/>
      <c r="AI415" s="4"/>
      <c r="AJ415" s="4"/>
      <c r="AK415" s="4"/>
      <c r="AL415" s="4"/>
      <c r="AM415" s="4"/>
      <c r="AN415" s="44"/>
      <c r="AO415" s="8"/>
      <c r="AP415" s="8"/>
      <c r="AQ415" s="8"/>
      <c r="AR415" s="8"/>
      <c r="AS415" s="8"/>
      <c r="AT415" s="8"/>
      <c r="AU415" s="8"/>
      <c r="AV415" s="46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4"/>
      <c r="BX415" s="4"/>
    </row>
    <row r="416" spans="1:76" s="16" customFormat="1" x14ac:dyDescent="0.25">
      <c r="A416" s="26"/>
      <c r="B416" s="6"/>
      <c r="C416" s="7"/>
      <c r="D416" s="7"/>
      <c r="E416" s="7"/>
      <c r="F416" s="7"/>
      <c r="G416" s="7"/>
      <c r="H416" s="7"/>
      <c r="I416" s="4"/>
      <c r="J416" s="7"/>
      <c r="K416" s="7"/>
      <c r="L416" s="7"/>
      <c r="M416" s="7"/>
      <c r="N416" s="4"/>
      <c r="O416" s="4"/>
      <c r="P416" s="4"/>
      <c r="Q416" s="4"/>
      <c r="R416" s="4"/>
      <c r="S416" s="7"/>
      <c r="T416" s="7"/>
      <c r="U416" s="7"/>
      <c r="V416" s="7"/>
      <c r="W416" s="7"/>
      <c r="X416" s="7"/>
      <c r="Y416" s="4"/>
      <c r="Z416" s="4"/>
      <c r="AA416" s="4"/>
      <c r="AB416" s="4"/>
      <c r="AC416" s="4"/>
      <c r="AD416" s="4"/>
      <c r="AE416" s="4"/>
      <c r="AF416" s="4"/>
      <c r="AG416" s="49"/>
      <c r="AH416" s="4"/>
      <c r="AI416" s="4"/>
      <c r="AJ416" s="4"/>
      <c r="AK416" s="4"/>
      <c r="AL416" s="4"/>
      <c r="AM416" s="4"/>
      <c r="AN416" s="44"/>
      <c r="AO416" s="8"/>
      <c r="AP416" s="8"/>
      <c r="AQ416" s="8"/>
      <c r="AR416" s="8"/>
      <c r="AS416" s="8"/>
      <c r="AT416" s="8"/>
      <c r="AU416" s="8"/>
      <c r="AV416" s="46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4"/>
      <c r="BX416" s="4"/>
    </row>
    <row r="417" spans="1:76" s="16" customFormat="1" x14ac:dyDescent="0.25">
      <c r="A417" s="26"/>
      <c r="B417" s="6"/>
      <c r="C417" s="7"/>
      <c r="D417" s="7"/>
      <c r="E417" s="7"/>
      <c r="F417" s="7"/>
      <c r="G417" s="7"/>
      <c r="H417" s="7"/>
      <c r="I417" s="4"/>
      <c r="J417" s="7"/>
      <c r="K417" s="7"/>
      <c r="L417" s="7"/>
      <c r="M417" s="7"/>
      <c r="N417" s="4"/>
      <c r="O417" s="4"/>
      <c r="P417" s="4"/>
      <c r="Q417" s="4"/>
      <c r="R417" s="4"/>
      <c r="S417" s="7"/>
      <c r="T417" s="7"/>
      <c r="U417" s="7"/>
      <c r="V417" s="7"/>
      <c r="W417" s="7"/>
      <c r="X417" s="7"/>
      <c r="Y417" s="4"/>
      <c r="Z417" s="4"/>
      <c r="AA417" s="4"/>
      <c r="AB417" s="4"/>
      <c r="AC417" s="4"/>
      <c r="AD417" s="4"/>
      <c r="AE417" s="4"/>
      <c r="AF417" s="4"/>
      <c r="AG417" s="49"/>
      <c r="AH417" s="4"/>
      <c r="AI417" s="4"/>
      <c r="AJ417" s="4"/>
      <c r="AK417" s="4"/>
      <c r="AL417" s="4"/>
      <c r="AM417" s="4"/>
      <c r="AN417" s="44"/>
      <c r="AO417" s="8"/>
      <c r="AP417" s="8"/>
      <c r="AQ417" s="8"/>
      <c r="AR417" s="8"/>
      <c r="AS417" s="8"/>
      <c r="AT417" s="8"/>
      <c r="AU417" s="8"/>
      <c r="AV417" s="46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4"/>
      <c r="BX417" s="4"/>
    </row>
    <row r="418" spans="1:76" s="16" customFormat="1" x14ac:dyDescent="0.25">
      <c r="A418" s="26"/>
      <c r="B418" s="6"/>
      <c r="C418" s="7"/>
      <c r="D418" s="7"/>
      <c r="E418" s="7"/>
      <c r="F418" s="7"/>
      <c r="G418" s="7"/>
      <c r="H418" s="7"/>
      <c r="I418" s="4"/>
      <c r="J418" s="7"/>
      <c r="K418" s="7"/>
      <c r="L418" s="7"/>
      <c r="M418" s="7"/>
      <c r="N418" s="4"/>
      <c r="O418" s="4"/>
      <c r="P418" s="4"/>
      <c r="Q418" s="4"/>
      <c r="R418" s="4"/>
      <c r="S418" s="7"/>
      <c r="T418" s="7"/>
      <c r="U418" s="7"/>
      <c r="V418" s="7"/>
      <c r="W418" s="7"/>
      <c r="X418" s="7"/>
      <c r="Y418" s="4"/>
      <c r="Z418" s="4"/>
      <c r="AA418" s="4"/>
      <c r="AB418" s="4"/>
      <c r="AC418" s="4"/>
      <c r="AD418" s="4"/>
      <c r="AE418" s="4"/>
      <c r="AF418" s="4"/>
      <c r="AG418" s="49"/>
      <c r="AH418" s="4"/>
      <c r="AI418" s="4"/>
      <c r="AJ418" s="4"/>
      <c r="AK418" s="4"/>
      <c r="AL418" s="4"/>
      <c r="AM418" s="4"/>
      <c r="AN418" s="44"/>
      <c r="AO418" s="8"/>
      <c r="AP418" s="8"/>
      <c r="AQ418" s="8"/>
      <c r="AR418" s="8"/>
      <c r="AS418" s="8"/>
      <c r="AT418" s="8"/>
      <c r="AU418" s="8"/>
      <c r="AV418" s="46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4"/>
      <c r="BX418" s="4"/>
    </row>
    <row r="419" spans="1:76" s="16" customFormat="1" x14ac:dyDescent="0.25">
      <c r="A419" s="26"/>
      <c r="B419" s="6"/>
      <c r="C419" s="7"/>
      <c r="D419" s="7"/>
      <c r="E419" s="7"/>
      <c r="F419" s="7"/>
      <c r="G419" s="7"/>
      <c r="H419" s="7"/>
      <c r="I419" s="4"/>
      <c r="J419" s="7"/>
      <c r="K419" s="7"/>
      <c r="L419" s="7"/>
      <c r="M419" s="7"/>
      <c r="N419" s="4"/>
      <c r="O419" s="4"/>
      <c r="P419" s="4"/>
      <c r="Q419" s="4"/>
      <c r="R419" s="4"/>
      <c r="S419" s="7"/>
      <c r="T419" s="7"/>
      <c r="U419" s="7"/>
      <c r="V419" s="7"/>
      <c r="W419" s="7"/>
      <c r="X419" s="7"/>
      <c r="Y419" s="4"/>
      <c r="Z419" s="4"/>
      <c r="AA419" s="4"/>
      <c r="AB419" s="4"/>
      <c r="AC419" s="4"/>
      <c r="AD419" s="4"/>
      <c r="AE419" s="4"/>
      <c r="AF419" s="4"/>
      <c r="AG419" s="49"/>
      <c r="AH419" s="4"/>
      <c r="AI419" s="4"/>
      <c r="AJ419" s="4"/>
      <c r="AK419" s="4"/>
      <c r="AL419" s="4"/>
      <c r="AM419" s="4"/>
      <c r="AN419" s="44"/>
      <c r="AO419" s="8"/>
      <c r="AP419" s="8"/>
      <c r="AQ419" s="8"/>
      <c r="AR419" s="8"/>
      <c r="AS419" s="8"/>
      <c r="AT419" s="8"/>
      <c r="AU419" s="8"/>
      <c r="AV419" s="46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4"/>
      <c r="BX419" s="4"/>
    </row>
    <row r="420" spans="1:76" s="16" customFormat="1" x14ac:dyDescent="0.25">
      <c r="A420" s="26"/>
      <c r="B420" s="6"/>
      <c r="C420" s="7"/>
      <c r="D420" s="7"/>
      <c r="E420" s="7"/>
      <c r="F420" s="7"/>
      <c r="G420" s="7"/>
      <c r="H420" s="7"/>
      <c r="I420" s="4"/>
      <c r="J420" s="7"/>
      <c r="K420" s="7"/>
      <c r="L420" s="7"/>
      <c r="M420" s="7"/>
      <c r="N420" s="4"/>
      <c r="O420" s="4"/>
      <c r="P420" s="4"/>
      <c r="Q420" s="4"/>
      <c r="R420" s="4"/>
      <c r="S420" s="7"/>
      <c r="T420" s="7"/>
      <c r="U420" s="7"/>
      <c r="V420" s="7"/>
      <c r="W420" s="7"/>
      <c r="X420" s="7"/>
      <c r="Y420" s="4"/>
      <c r="Z420" s="4"/>
      <c r="AA420" s="4"/>
      <c r="AB420" s="4"/>
      <c r="AC420" s="4"/>
      <c r="AD420" s="4"/>
      <c r="AE420" s="4"/>
      <c r="AF420" s="4"/>
      <c r="AG420" s="49"/>
      <c r="AH420" s="4"/>
      <c r="AI420" s="4"/>
      <c r="AJ420" s="4"/>
      <c r="AK420" s="4"/>
      <c r="AL420" s="4"/>
      <c r="AM420" s="4"/>
      <c r="AN420" s="44"/>
      <c r="AO420" s="8"/>
      <c r="AP420" s="8"/>
      <c r="AQ420" s="8"/>
      <c r="AR420" s="8"/>
      <c r="AS420" s="8"/>
      <c r="AT420" s="8"/>
      <c r="AU420" s="8"/>
      <c r="AV420" s="46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4"/>
      <c r="BX420" s="4"/>
    </row>
    <row r="421" spans="1:76" s="16" customFormat="1" x14ac:dyDescent="0.25">
      <c r="A421" s="26"/>
      <c r="B421" s="6"/>
      <c r="C421" s="7"/>
      <c r="D421" s="7"/>
      <c r="E421" s="7"/>
      <c r="F421" s="7"/>
      <c r="G421" s="7"/>
      <c r="H421" s="7"/>
      <c r="I421" s="4"/>
      <c r="J421" s="7"/>
      <c r="K421" s="7"/>
      <c r="L421" s="7"/>
      <c r="M421" s="7"/>
      <c r="N421" s="4"/>
      <c r="O421" s="4"/>
      <c r="P421" s="4"/>
      <c r="Q421" s="4"/>
      <c r="R421" s="4"/>
      <c r="S421" s="7"/>
      <c r="T421" s="7"/>
      <c r="U421" s="7"/>
      <c r="V421" s="7"/>
      <c r="W421" s="7"/>
      <c r="X421" s="7"/>
      <c r="Y421" s="4"/>
      <c r="Z421" s="4"/>
      <c r="AA421" s="4"/>
      <c r="AB421" s="4"/>
      <c r="AC421" s="4"/>
      <c r="AD421" s="4"/>
      <c r="AE421" s="4"/>
      <c r="AF421" s="4"/>
      <c r="AG421" s="49"/>
      <c r="AH421" s="4"/>
      <c r="AI421" s="4"/>
      <c r="AJ421" s="4"/>
      <c r="AK421" s="4"/>
      <c r="AL421" s="4"/>
      <c r="AM421" s="4"/>
      <c r="AN421" s="44"/>
      <c r="AO421" s="8"/>
      <c r="AP421" s="8"/>
      <c r="AQ421" s="8"/>
      <c r="AR421" s="8"/>
      <c r="AS421" s="8"/>
      <c r="AT421" s="8"/>
      <c r="AU421" s="8"/>
      <c r="AV421" s="46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4"/>
      <c r="BX421" s="4"/>
    </row>
    <row r="422" spans="1:76" s="16" customFormat="1" x14ac:dyDescent="0.25">
      <c r="A422" s="26"/>
      <c r="B422" s="6"/>
      <c r="C422" s="7"/>
      <c r="D422" s="7"/>
      <c r="E422" s="7"/>
      <c r="F422" s="7"/>
      <c r="G422" s="7"/>
      <c r="H422" s="7"/>
      <c r="I422" s="4"/>
      <c r="J422" s="7"/>
      <c r="K422" s="7"/>
      <c r="L422" s="7"/>
      <c r="M422" s="7"/>
      <c r="N422" s="4"/>
      <c r="O422" s="4"/>
      <c r="P422" s="4"/>
      <c r="Q422" s="4"/>
      <c r="R422" s="4"/>
      <c r="S422" s="7"/>
      <c r="T422" s="7"/>
      <c r="U422" s="7"/>
      <c r="V422" s="7"/>
      <c r="W422" s="7"/>
      <c r="X422" s="7"/>
      <c r="Y422" s="4"/>
      <c r="Z422" s="4"/>
      <c r="AA422" s="4"/>
      <c r="AB422" s="4"/>
      <c r="AC422" s="4"/>
      <c r="AD422" s="4"/>
      <c r="AE422" s="4"/>
      <c r="AF422" s="4"/>
      <c r="AG422" s="49"/>
      <c r="AH422" s="4"/>
      <c r="AI422" s="4"/>
      <c r="AJ422" s="4"/>
      <c r="AK422" s="4"/>
      <c r="AL422" s="4"/>
      <c r="AM422" s="4"/>
      <c r="AN422" s="44"/>
      <c r="AO422" s="8"/>
      <c r="AP422" s="8"/>
      <c r="AQ422" s="8"/>
      <c r="AR422" s="8"/>
      <c r="AS422" s="8"/>
      <c r="AT422" s="8"/>
      <c r="AU422" s="8"/>
      <c r="AV422" s="46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4"/>
      <c r="BX422" s="4"/>
    </row>
    <row r="423" spans="1:76" s="16" customFormat="1" x14ac:dyDescent="0.25">
      <c r="A423" s="26"/>
      <c r="B423" s="6"/>
      <c r="C423" s="7"/>
      <c r="D423" s="7"/>
      <c r="E423" s="7"/>
      <c r="F423" s="7"/>
      <c r="G423" s="7"/>
      <c r="H423" s="7"/>
      <c r="I423" s="4"/>
      <c r="J423" s="7"/>
      <c r="K423" s="7"/>
      <c r="L423" s="7"/>
      <c r="M423" s="7"/>
      <c r="N423" s="4"/>
      <c r="O423" s="4"/>
      <c r="P423" s="4"/>
      <c r="Q423" s="4"/>
      <c r="R423" s="4"/>
      <c r="S423" s="7"/>
      <c r="T423" s="7"/>
      <c r="U423" s="7"/>
      <c r="V423" s="7"/>
      <c r="W423" s="7"/>
      <c r="X423" s="7"/>
      <c r="Y423" s="4"/>
      <c r="Z423" s="4"/>
      <c r="AA423" s="4"/>
      <c r="AB423" s="4"/>
      <c r="AC423" s="4"/>
      <c r="AD423" s="4"/>
      <c r="AE423" s="4"/>
      <c r="AF423" s="4"/>
      <c r="AG423" s="49"/>
      <c r="AH423" s="4"/>
      <c r="AI423" s="4"/>
      <c r="AJ423" s="4"/>
      <c r="AK423" s="4"/>
      <c r="AL423" s="4"/>
      <c r="AM423" s="4"/>
      <c r="AN423" s="44"/>
      <c r="AO423" s="8"/>
      <c r="AP423" s="8"/>
      <c r="AQ423" s="8"/>
      <c r="AR423" s="8"/>
      <c r="AS423" s="8"/>
      <c r="AT423" s="8"/>
      <c r="AU423" s="8"/>
      <c r="AV423" s="46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4"/>
      <c r="BX423" s="4"/>
    </row>
    <row r="424" spans="1:76" s="16" customFormat="1" x14ac:dyDescent="0.25">
      <c r="A424" s="26"/>
      <c r="B424" s="6"/>
      <c r="C424" s="7"/>
      <c r="D424" s="7"/>
      <c r="E424" s="7"/>
      <c r="F424" s="7"/>
      <c r="G424" s="7"/>
      <c r="H424" s="7"/>
      <c r="I424" s="4"/>
      <c r="J424" s="7"/>
      <c r="K424" s="7"/>
      <c r="L424" s="7"/>
      <c r="M424" s="7"/>
      <c r="N424" s="4"/>
      <c r="O424" s="4"/>
      <c r="P424" s="4"/>
      <c r="Q424" s="4"/>
      <c r="R424" s="4"/>
      <c r="S424" s="7"/>
      <c r="T424" s="7"/>
      <c r="U424" s="7"/>
      <c r="V424" s="7"/>
      <c r="W424" s="7"/>
      <c r="X424" s="7"/>
      <c r="Y424" s="4"/>
      <c r="Z424" s="4"/>
      <c r="AA424" s="4"/>
      <c r="AB424" s="4"/>
      <c r="AC424" s="4"/>
      <c r="AD424" s="4"/>
      <c r="AE424" s="4"/>
      <c r="AF424" s="4"/>
      <c r="AG424" s="49"/>
      <c r="AH424" s="4"/>
      <c r="AI424" s="4"/>
      <c r="AJ424" s="4"/>
      <c r="AK424" s="4"/>
      <c r="AL424" s="4"/>
      <c r="AM424" s="4"/>
      <c r="AN424" s="44"/>
      <c r="AO424" s="8"/>
      <c r="AP424" s="8"/>
      <c r="AQ424" s="8"/>
      <c r="AR424" s="8"/>
      <c r="AS424" s="8"/>
      <c r="AT424" s="8"/>
      <c r="AU424" s="8"/>
      <c r="AV424" s="46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4"/>
      <c r="BX424" s="4"/>
    </row>
    <row r="425" spans="1:76" s="16" customFormat="1" x14ac:dyDescent="0.25">
      <c r="A425" s="26"/>
      <c r="B425" s="6"/>
      <c r="C425" s="7"/>
      <c r="D425" s="7"/>
      <c r="E425" s="7"/>
      <c r="F425" s="7"/>
      <c r="G425" s="7"/>
      <c r="H425" s="7"/>
      <c r="I425" s="4"/>
      <c r="J425" s="7"/>
      <c r="K425" s="7"/>
      <c r="L425" s="7"/>
      <c r="M425" s="7"/>
      <c r="N425" s="4"/>
      <c r="O425" s="4"/>
      <c r="P425" s="4"/>
      <c r="Q425" s="4"/>
      <c r="R425" s="4"/>
      <c r="S425" s="7"/>
      <c r="T425" s="7"/>
      <c r="U425" s="7"/>
      <c r="V425" s="7"/>
      <c r="W425" s="7"/>
      <c r="X425" s="7"/>
      <c r="Y425" s="4"/>
      <c r="Z425" s="4"/>
      <c r="AA425" s="4"/>
      <c r="AB425" s="4"/>
      <c r="AC425" s="4"/>
      <c r="AD425" s="4"/>
      <c r="AE425" s="4"/>
      <c r="AF425" s="4"/>
      <c r="AG425" s="49"/>
      <c r="AH425" s="4"/>
      <c r="AI425" s="4"/>
      <c r="AJ425" s="4"/>
      <c r="AK425" s="4"/>
      <c r="AL425" s="4"/>
      <c r="AM425" s="4"/>
      <c r="AN425" s="44"/>
      <c r="AO425" s="8"/>
      <c r="AP425" s="8"/>
      <c r="AQ425" s="8"/>
      <c r="AR425" s="8"/>
      <c r="AS425" s="8"/>
      <c r="AT425" s="8"/>
      <c r="AU425" s="8"/>
      <c r="AV425" s="46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4"/>
      <c r="BX425" s="4"/>
    </row>
    <row r="426" spans="1:76" s="16" customFormat="1" x14ac:dyDescent="0.25">
      <c r="A426" s="26"/>
      <c r="B426" s="6"/>
      <c r="C426" s="7"/>
      <c r="D426" s="7"/>
      <c r="E426" s="7"/>
      <c r="F426" s="7"/>
      <c r="G426" s="7"/>
      <c r="H426" s="7"/>
      <c r="I426" s="4"/>
      <c r="J426" s="7"/>
      <c r="K426" s="7"/>
      <c r="L426" s="7"/>
      <c r="M426" s="7"/>
      <c r="N426" s="4"/>
      <c r="O426" s="4"/>
      <c r="P426" s="4"/>
      <c r="Q426" s="4"/>
      <c r="R426" s="4"/>
      <c r="S426" s="7"/>
      <c r="T426" s="7"/>
      <c r="U426" s="7"/>
      <c r="V426" s="7"/>
      <c r="W426" s="7"/>
      <c r="X426" s="7"/>
      <c r="Y426" s="4"/>
      <c r="Z426" s="4"/>
      <c r="AA426" s="4"/>
      <c r="AB426" s="4"/>
      <c r="AC426" s="4"/>
      <c r="AD426" s="4"/>
      <c r="AE426" s="4"/>
      <c r="AF426" s="4"/>
      <c r="AG426" s="49"/>
      <c r="AH426" s="4"/>
      <c r="AI426" s="4"/>
      <c r="AJ426" s="4"/>
      <c r="AK426" s="4"/>
      <c r="AL426" s="4"/>
      <c r="AM426" s="4"/>
      <c r="AN426" s="44"/>
      <c r="AO426" s="8"/>
      <c r="AP426" s="8"/>
      <c r="AQ426" s="8"/>
      <c r="AR426" s="8"/>
      <c r="AS426" s="8"/>
      <c r="AT426" s="8"/>
      <c r="AU426" s="8"/>
      <c r="AV426" s="46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4"/>
      <c r="BX426" s="4"/>
    </row>
    <row r="427" spans="1:76" s="16" customFormat="1" x14ac:dyDescent="0.25">
      <c r="A427" s="26"/>
      <c r="B427" s="6"/>
      <c r="C427" s="7"/>
      <c r="D427" s="7"/>
      <c r="E427" s="7"/>
      <c r="F427" s="7"/>
      <c r="G427" s="7"/>
      <c r="H427" s="7"/>
      <c r="I427" s="4"/>
      <c r="J427" s="7"/>
      <c r="K427" s="7"/>
      <c r="L427" s="7"/>
      <c r="M427" s="7"/>
      <c r="N427" s="4"/>
      <c r="O427" s="4"/>
      <c r="P427" s="4"/>
      <c r="Q427" s="4"/>
      <c r="R427" s="4"/>
      <c r="S427" s="7"/>
      <c r="T427" s="7"/>
      <c r="U427" s="7"/>
      <c r="V427" s="7"/>
      <c r="W427" s="7"/>
      <c r="X427" s="7"/>
      <c r="Y427" s="4"/>
      <c r="Z427" s="4"/>
      <c r="AA427" s="4"/>
      <c r="AB427" s="4"/>
      <c r="AC427" s="4"/>
      <c r="AD427" s="4"/>
      <c r="AE427" s="4"/>
      <c r="AF427" s="4"/>
      <c r="AG427" s="49"/>
      <c r="AH427" s="4"/>
      <c r="AI427" s="4"/>
      <c r="AJ427" s="4"/>
      <c r="AK427" s="4"/>
      <c r="AL427" s="4"/>
      <c r="AM427" s="4"/>
      <c r="AN427" s="44"/>
      <c r="AO427" s="8"/>
      <c r="AP427" s="8"/>
      <c r="AQ427" s="8"/>
      <c r="AR427" s="8"/>
      <c r="AS427" s="8"/>
      <c r="AT427" s="8"/>
      <c r="AU427" s="8"/>
      <c r="AV427" s="46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4"/>
      <c r="BX427" s="4"/>
    </row>
    <row r="428" spans="1:76" s="16" customFormat="1" x14ac:dyDescent="0.25">
      <c r="A428" s="26"/>
      <c r="B428" s="6"/>
      <c r="C428" s="7"/>
      <c r="D428" s="7"/>
      <c r="E428" s="7"/>
      <c r="F428" s="7"/>
      <c r="G428" s="7"/>
      <c r="H428" s="7"/>
      <c r="I428" s="4"/>
      <c r="J428" s="7"/>
      <c r="K428" s="7"/>
      <c r="L428" s="7"/>
      <c r="M428" s="7"/>
      <c r="N428" s="4"/>
      <c r="O428" s="4"/>
      <c r="P428" s="4"/>
      <c r="Q428" s="4"/>
      <c r="R428" s="4"/>
      <c r="S428" s="7"/>
      <c r="T428" s="7"/>
      <c r="U428" s="7"/>
      <c r="V428" s="7"/>
      <c r="W428" s="7"/>
      <c r="X428" s="7"/>
      <c r="Y428" s="4"/>
      <c r="Z428" s="4"/>
      <c r="AA428" s="4"/>
      <c r="AB428" s="4"/>
      <c r="AC428" s="4"/>
      <c r="AD428" s="4"/>
      <c r="AE428" s="4"/>
      <c r="AF428" s="4"/>
      <c r="AG428" s="49"/>
      <c r="AH428" s="4"/>
      <c r="AI428" s="4"/>
      <c r="AJ428" s="4"/>
      <c r="AK428" s="4"/>
      <c r="AL428" s="4"/>
      <c r="AM428" s="4"/>
      <c r="AN428" s="44"/>
      <c r="AO428" s="8"/>
      <c r="AP428" s="8"/>
      <c r="AQ428" s="8"/>
      <c r="AR428" s="8"/>
      <c r="AS428" s="8"/>
      <c r="AT428" s="8"/>
      <c r="AU428" s="8"/>
      <c r="AV428" s="46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4"/>
      <c r="BX428" s="4"/>
    </row>
    <row r="429" spans="1:76" s="16" customFormat="1" x14ac:dyDescent="0.25">
      <c r="A429" s="26"/>
      <c r="B429" s="6"/>
      <c r="C429" s="7"/>
      <c r="D429" s="7"/>
      <c r="E429" s="7"/>
      <c r="F429" s="7"/>
      <c r="G429" s="7"/>
      <c r="H429" s="7"/>
      <c r="I429" s="4"/>
      <c r="J429" s="7"/>
      <c r="K429" s="7"/>
      <c r="L429" s="7"/>
      <c r="M429" s="7"/>
      <c r="N429" s="4"/>
      <c r="O429" s="4"/>
      <c r="P429" s="4"/>
      <c r="Q429" s="4"/>
      <c r="R429" s="4"/>
      <c r="S429" s="7"/>
      <c r="T429" s="7"/>
      <c r="U429" s="7"/>
      <c r="V429" s="7"/>
      <c r="W429" s="7"/>
      <c r="X429" s="7"/>
      <c r="Y429" s="4"/>
      <c r="Z429" s="4"/>
      <c r="AA429" s="4"/>
      <c r="AB429" s="4"/>
      <c r="AC429" s="4"/>
      <c r="AD429" s="4"/>
      <c r="AE429" s="4"/>
      <c r="AF429" s="4"/>
      <c r="AG429" s="49"/>
      <c r="AH429" s="4"/>
      <c r="AI429" s="4"/>
      <c r="AJ429" s="4"/>
      <c r="AK429" s="4"/>
      <c r="AL429" s="4"/>
      <c r="AM429" s="4"/>
      <c r="AN429" s="44"/>
      <c r="AO429" s="8"/>
      <c r="AP429" s="8"/>
      <c r="AQ429" s="8"/>
      <c r="AR429" s="8"/>
      <c r="AS429" s="8"/>
      <c r="AT429" s="8"/>
      <c r="AU429" s="8"/>
      <c r="AV429" s="46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4"/>
      <c r="BX429" s="4"/>
    </row>
    <row r="430" spans="1:76" s="16" customFormat="1" x14ac:dyDescent="0.25">
      <c r="A430" s="26"/>
      <c r="B430" s="6"/>
      <c r="C430" s="7"/>
      <c r="D430" s="7"/>
      <c r="E430" s="7"/>
      <c r="F430" s="7"/>
      <c r="G430" s="7"/>
      <c r="H430" s="7"/>
      <c r="I430" s="4"/>
      <c r="J430" s="7"/>
      <c r="K430" s="7"/>
      <c r="L430" s="7"/>
      <c r="M430" s="7"/>
      <c r="N430" s="4"/>
      <c r="O430" s="4"/>
      <c r="P430" s="4"/>
      <c r="Q430" s="4"/>
      <c r="R430" s="4"/>
      <c r="S430" s="7"/>
      <c r="T430" s="7"/>
      <c r="U430" s="7"/>
      <c r="V430" s="7"/>
      <c r="W430" s="7"/>
      <c r="X430" s="7"/>
      <c r="Y430" s="4"/>
      <c r="Z430" s="4"/>
      <c r="AA430" s="4"/>
      <c r="AB430" s="4"/>
      <c r="AC430" s="4"/>
      <c r="AD430" s="4"/>
      <c r="AE430" s="4"/>
      <c r="AF430" s="4"/>
      <c r="AG430" s="49"/>
      <c r="AH430" s="4"/>
      <c r="AI430" s="4"/>
      <c r="AJ430" s="4"/>
      <c r="AK430" s="4"/>
      <c r="AL430" s="4"/>
      <c r="AM430" s="4"/>
      <c r="AN430" s="44"/>
      <c r="AO430" s="8"/>
      <c r="AP430" s="8"/>
      <c r="AQ430" s="8"/>
      <c r="AR430" s="8"/>
      <c r="AS430" s="8"/>
      <c r="AT430" s="8"/>
      <c r="AU430" s="8"/>
      <c r="AV430" s="46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4"/>
      <c r="BX430" s="4"/>
    </row>
    <row r="431" spans="1:76" s="16" customFormat="1" x14ac:dyDescent="0.25">
      <c r="A431" s="26"/>
      <c r="B431" s="6"/>
      <c r="C431" s="7"/>
      <c r="D431" s="7"/>
      <c r="E431" s="7"/>
      <c r="F431" s="7"/>
      <c r="G431" s="7"/>
      <c r="H431" s="7"/>
      <c r="I431" s="4"/>
      <c r="J431" s="7"/>
      <c r="K431" s="7"/>
      <c r="L431" s="7"/>
      <c r="M431" s="7"/>
      <c r="N431" s="4"/>
      <c r="O431" s="4"/>
      <c r="P431" s="4"/>
      <c r="Q431" s="4"/>
      <c r="R431" s="4"/>
      <c r="S431" s="7"/>
      <c r="T431" s="7"/>
      <c r="U431" s="7"/>
      <c r="V431" s="7"/>
      <c r="W431" s="7"/>
      <c r="X431" s="7"/>
      <c r="Y431" s="4"/>
      <c r="Z431" s="4"/>
      <c r="AA431" s="4"/>
      <c r="AB431" s="4"/>
      <c r="AC431" s="4"/>
      <c r="AD431" s="4"/>
      <c r="AE431" s="4"/>
      <c r="AF431" s="4"/>
      <c r="AG431" s="49"/>
      <c r="AH431" s="4"/>
      <c r="AI431" s="4"/>
      <c r="AJ431" s="4"/>
      <c r="AK431" s="4"/>
      <c r="AL431" s="4"/>
      <c r="AM431" s="4"/>
      <c r="AN431" s="44"/>
      <c r="AO431" s="8"/>
      <c r="AP431" s="8"/>
      <c r="AQ431" s="8"/>
      <c r="AR431" s="8"/>
      <c r="AS431" s="8"/>
      <c r="AT431" s="8"/>
      <c r="AU431" s="8"/>
      <c r="AV431" s="46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4"/>
      <c r="BX431" s="4"/>
    </row>
    <row r="432" spans="1:76" s="16" customFormat="1" x14ac:dyDescent="0.25">
      <c r="A432" s="26"/>
      <c r="B432" s="6"/>
      <c r="C432" s="7"/>
      <c r="D432" s="7"/>
      <c r="E432" s="7"/>
      <c r="F432" s="7"/>
      <c r="G432" s="7"/>
      <c r="H432" s="7"/>
      <c r="I432" s="4"/>
      <c r="J432" s="7"/>
      <c r="K432" s="7"/>
      <c r="L432" s="7"/>
      <c r="M432" s="7"/>
      <c r="N432" s="4"/>
      <c r="O432" s="4"/>
      <c r="P432" s="4"/>
      <c r="Q432" s="4"/>
      <c r="R432" s="4"/>
      <c r="S432" s="7"/>
      <c r="T432" s="7"/>
      <c r="U432" s="7"/>
      <c r="V432" s="7"/>
      <c r="W432" s="7"/>
      <c r="X432" s="7"/>
      <c r="Y432" s="4"/>
      <c r="Z432" s="4"/>
      <c r="AA432" s="4"/>
      <c r="AB432" s="4"/>
      <c r="AC432" s="4"/>
      <c r="AD432" s="4"/>
      <c r="AE432" s="4"/>
      <c r="AF432" s="4"/>
      <c r="AG432" s="49"/>
      <c r="AH432" s="4"/>
      <c r="AI432" s="4"/>
      <c r="AJ432" s="4"/>
      <c r="AK432" s="4"/>
      <c r="AL432" s="4"/>
      <c r="AM432" s="4"/>
      <c r="AN432" s="44"/>
      <c r="AO432" s="8"/>
      <c r="AP432" s="8"/>
      <c r="AQ432" s="8"/>
      <c r="AR432" s="8"/>
      <c r="AS432" s="8"/>
      <c r="AT432" s="8"/>
      <c r="AU432" s="8"/>
      <c r="AV432" s="46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4"/>
      <c r="BX432" s="4"/>
    </row>
    <row r="433" spans="1:76" s="16" customFormat="1" x14ac:dyDescent="0.25">
      <c r="A433" s="26"/>
      <c r="B433" s="6"/>
      <c r="C433" s="7"/>
      <c r="D433" s="7"/>
      <c r="E433" s="7"/>
      <c r="F433" s="7"/>
      <c r="G433" s="7"/>
      <c r="H433" s="7"/>
      <c r="I433" s="4"/>
      <c r="J433" s="7"/>
      <c r="K433" s="7"/>
      <c r="L433" s="7"/>
      <c r="M433" s="7"/>
      <c r="N433" s="4"/>
      <c r="O433" s="4"/>
      <c r="P433" s="4"/>
      <c r="Q433" s="4"/>
      <c r="R433" s="4"/>
      <c r="S433" s="7"/>
      <c r="T433" s="7"/>
      <c r="U433" s="7"/>
      <c r="V433" s="7"/>
      <c r="W433" s="7"/>
      <c r="X433" s="7"/>
      <c r="Y433" s="4"/>
      <c r="Z433" s="4"/>
      <c r="AA433" s="4"/>
      <c r="AB433" s="4"/>
      <c r="AC433" s="4"/>
      <c r="AD433" s="4"/>
      <c r="AE433" s="4"/>
      <c r="AF433" s="4"/>
      <c r="AG433" s="49"/>
      <c r="AH433" s="4"/>
      <c r="AI433" s="4"/>
      <c r="AJ433" s="4"/>
      <c r="AK433" s="4"/>
      <c r="AL433" s="4"/>
      <c r="AM433" s="4"/>
      <c r="AN433" s="44"/>
      <c r="AO433" s="8"/>
      <c r="AP433" s="8"/>
      <c r="AQ433" s="8"/>
      <c r="AR433" s="8"/>
      <c r="AS433" s="8"/>
      <c r="AT433" s="8"/>
      <c r="AU433" s="8"/>
      <c r="AV433" s="46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4"/>
      <c r="BX433" s="4"/>
    </row>
    <row r="434" spans="1:76" s="16" customFormat="1" x14ac:dyDescent="0.25">
      <c r="A434" s="26"/>
      <c r="B434" s="6"/>
      <c r="C434" s="7"/>
      <c r="D434" s="7"/>
      <c r="E434" s="7"/>
      <c r="F434" s="7"/>
      <c r="G434" s="7"/>
      <c r="H434" s="7"/>
      <c r="I434" s="4"/>
      <c r="J434" s="7"/>
      <c r="K434" s="7"/>
      <c r="L434" s="7"/>
      <c r="M434" s="7"/>
      <c r="N434" s="4"/>
      <c r="O434" s="4"/>
      <c r="P434" s="4"/>
      <c r="Q434" s="4"/>
      <c r="R434" s="4"/>
      <c r="S434" s="7"/>
      <c r="T434" s="7"/>
      <c r="U434" s="7"/>
      <c r="V434" s="7"/>
      <c r="W434" s="7"/>
      <c r="X434" s="7"/>
      <c r="Y434" s="4"/>
      <c r="Z434" s="4"/>
      <c r="AA434" s="4"/>
      <c r="AB434" s="4"/>
      <c r="AC434" s="4"/>
      <c r="AD434" s="4"/>
      <c r="AE434" s="4"/>
      <c r="AF434" s="4"/>
      <c r="AG434" s="49"/>
      <c r="AH434" s="4"/>
      <c r="AI434" s="4"/>
      <c r="AJ434" s="4"/>
      <c r="AK434" s="4"/>
      <c r="AL434" s="4"/>
      <c r="AM434" s="4"/>
      <c r="AN434" s="44"/>
      <c r="AO434" s="8"/>
      <c r="AP434" s="8"/>
      <c r="AQ434" s="8"/>
      <c r="AR434" s="8"/>
      <c r="AS434" s="8"/>
      <c r="AT434" s="8"/>
      <c r="AU434" s="8"/>
      <c r="AV434" s="46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4"/>
      <c r="BX434" s="4"/>
    </row>
    <row r="435" spans="1:76" s="16" customFormat="1" x14ac:dyDescent="0.25">
      <c r="A435" s="26"/>
      <c r="B435" s="6"/>
      <c r="C435" s="7"/>
      <c r="D435" s="7"/>
      <c r="E435" s="7"/>
      <c r="F435" s="7"/>
      <c r="G435" s="7"/>
      <c r="H435" s="7"/>
      <c r="I435" s="4"/>
      <c r="J435" s="7"/>
      <c r="K435" s="7"/>
      <c r="L435" s="7"/>
      <c r="M435" s="7"/>
      <c r="N435" s="4"/>
      <c r="O435" s="4"/>
      <c r="P435" s="4"/>
      <c r="Q435" s="4"/>
      <c r="R435" s="4"/>
      <c r="S435" s="7"/>
      <c r="T435" s="7"/>
      <c r="U435" s="7"/>
      <c r="V435" s="7"/>
      <c r="W435" s="7"/>
      <c r="X435" s="7"/>
      <c r="Y435" s="4"/>
      <c r="Z435" s="4"/>
      <c r="AA435" s="4"/>
      <c r="AB435" s="4"/>
      <c r="AC435" s="4"/>
      <c r="AD435" s="4"/>
      <c r="AE435" s="4"/>
      <c r="AF435" s="4"/>
      <c r="AG435" s="49"/>
      <c r="AH435" s="4"/>
      <c r="AI435" s="4"/>
      <c r="AJ435" s="4"/>
      <c r="AK435" s="4"/>
      <c r="AL435" s="4"/>
      <c r="AM435" s="4"/>
      <c r="AN435" s="44"/>
      <c r="AO435" s="8"/>
      <c r="AP435" s="8"/>
      <c r="AQ435" s="8"/>
      <c r="AR435" s="8"/>
      <c r="AS435" s="8"/>
      <c r="AT435" s="8"/>
      <c r="AU435" s="8"/>
      <c r="AV435" s="46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4"/>
      <c r="BX435" s="4"/>
    </row>
    <row r="436" spans="1:76" s="16" customFormat="1" x14ac:dyDescent="0.25">
      <c r="A436" s="26"/>
      <c r="B436" s="6"/>
      <c r="C436" s="7"/>
      <c r="D436" s="7"/>
      <c r="E436" s="7"/>
      <c r="F436" s="7"/>
      <c r="G436" s="7"/>
      <c r="H436" s="7"/>
      <c r="I436" s="4"/>
      <c r="J436" s="7"/>
      <c r="K436" s="7"/>
      <c r="L436" s="7"/>
      <c r="M436" s="7"/>
      <c r="N436" s="4"/>
      <c r="O436" s="4"/>
      <c r="P436" s="4"/>
      <c r="Q436" s="4"/>
      <c r="R436" s="4"/>
      <c r="S436" s="7"/>
      <c r="T436" s="7"/>
      <c r="U436" s="7"/>
      <c r="V436" s="7"/>
      <c r="W436" s="7"/>
      <c r="X436" s="7"/>
      <c r="Y436" s="4"/>
      <c r="Z436" s="4"/>
      <c r="AA436" s="4"/>
      <c r="AB436" s="4"/>
      <c r="AC436" s="4"/>
      <c r="AD436" s="4"/>
      <c r="AE436" s="4"/>
      <c r="AF436" s="4"/>
      <c r="AG436" s="49"/>
      <c r="AH436" s="4"/>
      <c r="AI436" s="4"/>
      <c r="AJ436" s="4"/>
      <c r="AK436" s="4"/>
      <c r="AL436" s="4"/>
      <c r="AM436" s="4"/>
      <c r="AN436" s="44"/>
      <c r="AO436" s="8"/>
      <c r="AP436" s="8"/>
      <c r="AQ436" s="8"/>
      <c r="AR436" s="8"/>
      <c r="AS436" s="8"/>
      <c r="AT436" s="8"/>
      <c r="AU436" s="8"/>
      <c r="AV436" s="46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4"/>
      <c r="BX436" s="4"/>
    </row>
    <row r="437" spans="1:76" s="16" customFormat="1" x14ac:dyDescent="0.25">
      <c r="A437" s="26"/>
      <c r="B437" s="6"/>
      <c r="C437" s="7"/>
      <c r="D437" s="7"/>
      <c r="E437" s="7"/>
      <c r="F437" s="7"/>
      <c r="G437" s="7"/>
      <c r="H437" s="7"/>
      <c r="I437" s="4"/>
      <c r="J437" s="7"/>
      <c r="K437" s="7"/>
      <c r="L437" s="7"/>
      <c r="M437" s="7"/>
      <c r="N437" s="4"/>
      <c r="O437" s="4"/>
      <c r="P437" s="4"/>
      <c r="Q437" s="4"/>
      <c r="R437" s="4"/>
      <c r="S437" s="7"/>
      <c r="T437" s="7"/>
      <c r="U437" s="7"/>
      <c r="V437" s="7"/>
      <c r="W437" s="7"/>
      <c r="X437" s="7"/>
      <c r="Y437" s="4"/>
      <c r="Z437" s="4"/>
      <c r="AA437" s="4"/>
      <c r="AB437" s="4"/>
      <c r="AC437" s="4"/>
      <c r="AD437" s="4"/>
      <c r="AE437" s="4"/>
      <c r="AF437" s="4"/>
      <c r="AG437" s="49"/>
      <c r="AH437" s="4"/>
      <c r="AI437" s="4"/>
      <c r="AJ437" s="4"/>
      <c r="AK437" s="4"/>
      <c r="AL437" s="4"/>
      <c r="AM437" s="4"/>
      <c r="AN437" s="44"/>
      <c r="AO437" s="8"/>
      <c r="AP437" s="8"/>
      <c r="AQ437" s="8"/>
      <c r="AR437" s="8"/>
      <c r="AS437" s="8"/>
      <c r="AT437" s="8"/>
      <c r="AU437" s="8"/>
      <c r="AV437" s="46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4"/>
      <c r="BX437" s="4"/>
    </row>
    <row r="438" spans="1:76" s="16" customFormat="1" x14ac:dyDescent="0.25">
      <c r="A438" s="26"/>
      <c r="B438" s="6"/>
      <c r="C438" s="7"/>
      <c r="D438" s="7"/>
      <c r="E438" s="7"/>
      <c r="F438" s="7"/>
      <c r="G438" s="7"/>
      <c r="H438" s="7"/>
      <c r="I438" s="4"/>
      <c r="J438" s="7"/>
      <c r="K438" s="7"/>
      <c r="L438" s="7"/>
      <c r="M438" s="7"/>
      <c r="N438" s="4"/>
      <c r="O438" s="4"/>
      <c r="P438" s="4"/>
      <c r="Q438" s="4"/>
      <c r="R438" s="4"/>
      <c r="S438" s="7"/>
      <c r="T438" s="7"/>
      <c r="U438" s="7"/>
      <c r="V438" s="7"/>
      <c r="W438" s="7"/>
      <c r="X438" s="7"/>
      <c r="Y438" s="4"/>
      <c r="Z438" s="4"/>
      <c r="AA438" s="4"/>
      <c r="AB438" s="4"/>
      <c r="AC438" s="4"/>
      <c r="AD438" s="4"/>
      <c r="AE438" s="4"/>
      <c r="AF438" s="4"/>
      <c r="AG438" s="49"/>
      <c r="AH438" s="4"/>
      <c r="AI438" s="4"/>
      <c r="AJ438" s="4"/>
      <c r="AK438" s="4"/>
      <c r="AL438" s="4"/>
      <c r="AM438" s="4"/>
      <c r="AN438" s="44"/>
      <c r="AO438" s="8"/>
      <c r="AP438" s="8"/>
      <c r="AQ438" s="8"/>
      <c r="AR438" s="8"/>
      <c r="AS438" s="8"/>
      <c r="AT438" s="8"/>
      <c r="AU438" s="8"/>
      <c r="AV438" s="46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4"/>
      <c r="BX438" s="4"/>
    </row>
    <row r="439" spans="1:76" s="16" customFormat="1" x14ac:dyDescent="0.25">
      <c r="A439" s="26"/>
      <c r="B439" s="6"/>
      <c r="C439" s="7"/>
      <c r="D439" s="7"/>
      <c r="E439" s="7"/>
      <c r="F439" s="7"/>
      <c r="G439" s="7"/>
      <c r="H439" s="7"/>
      <c r="I439" s="4"/>
      <c r="J439" s="7"/>
      <c r="K439" s="7"/>
      <c r="L439" s="7"/>
      <c r="M439" s="7"/>
      <c r="N439" s="4"/>
      <c r="O439" s="4"/>
      <c r="P439" s="4"/>
      <c r="Q439" s="4"/>
      <c r="R439" s="4"/>
      <c r="S439" s="7"/>
      <c r="T439" s="7"/>
      <c r="U439" s="7"/>
      <c r="V439" s="7"/>
      <c r="W439" s="7"/>
      <c r="X439" s="7"/>
      <c r="Y439" s="4"/>
      <c r="Z439" s="4"/>
      <c r="AA439" s="4"/>
      <c r="AB439" s="4"/>
      <c r="AC439" s="4"/>
      <c r="AD439" s="4"/>
      <c r="AE439" s="4"/>
      <c r="AF439" s="4"/>
      <c r="AG439" s="49"/>
      <c r="AH439" s="4"/>
      <c r="AI439" s="4"/>
      <c r="AJ439" s="4"/>
      <c r="AK439" s="4"/>
      <c r="AL439" s="4"/>
      <c r="AM439" s="4"/>
      <c r="AN439" s="44"/>
      <c r="AO439" s="8"/>
      <c r="AP439" s="8"/>
      <c r="AQ439" s="8"/>
      <c r="AR439" s="8"/>
      <c r="AS439" s="8"/>
      <c r="AT439" s="8"/>
      <c r="AU439" s="8"/>
      <c r="AV439" s="46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4"/>
      <c r="BX439" s="4"/>
    </row>
    <row r="440" spans="1:76" s="16" customFormat="1" x14ac:dyDescent="0.25">
      <c r="A440" s="26"/>
      <c r="B440" s="6"/>
      <c r="C440" s="7"/>
      <c r="D440" s="7"/>
      <c r="E440" s="7"/>
      <c r="F440" s="7"/>
      <c r="G440" s="7"/>
      <c r="H440" s="7"/>
      <c r="I440" s="4"/>
      <c r="J440" s="7"/>
      <c r="K440" s="7"/>
      <c r="L440" s="7"/>
      <c r="M440" s="7"/>
      <c r="N440" s="4"/>
      <c r="O440" s="4"/>
      <c r="P440" s="4"/>
      <c r="Q440" s="4"/>
      <c r="R440" s="4"/>
      <c r="S440" s="7"/>
      <c r="T440" s="7"/>
      <c r="U440" s="7"/>
      <c r="V440" s="7"/>
      <c r="W440" s="7"/>
      <c r="X440" s="7"/>
      <c r="Y440" s="4"/>
      <c r="Z440" s="4"/>
      <c r="AA440" s="4"/>
      <c r="AB440" s="4"/>
      <c r="AC440" s="4"/>
      <c r="AD440" s="4"/>
      <c r="AE440" s="4"/>
      <c r="AF440" s="4"/>
      <c r="AG440" s="49"/>
      <c r="AH440" s="4"/>
      <c r="AI440" s="4"/>
      <c r="AJ440" s="4"/>
      <c r="AK440" s="4"/>
      <c r="AL440" s="4"/>
      <c r="AM440" s="4"/>
      <c r="AN440" s="44"/>
      <c r="AO440" s="8"/>
      <c r="AP440" s="8"/>
      <c r="AQ440" s="8"/>
      <c r="AR440" s="8"/>
      <c r="AS440" s="8"/>
      <c r="AT440" s="8"/>
      <c r="AU440" s="8"/>
      <c r="AV440" s="46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4"/>
      <c r="BX440" s="4"/>
    </row>
    <row r="441" spans="1:76" s="16" customFormat="1" x14ac:dyDescent="0.25">
      <c r="A441" s="26"/>
      <c r="B441" s="6"/>
      <c r="C441" s="7"/>
      <c r="D441" s="7"/>
      <c r="E441" s="7"/>
      <c r="F441" s="7"/>
      <c r="G441" s="7"/>
      <c r="H441" s="7"/>
      <c r="I441" s="4"/>
      <c r="J441" s="7"/>
      <c r="K441" s="7"/>
      <c r="L441" s="7"/>
      <c r="M441" s="7"/>
      <c r="N441" s="4"/>
      <c r="O441" s="4"/>
      <c r="P441" s="4"/>
      <c r="Q441" s="4"/>
      <c r="R441" s="4"/>
      <c r="S441" s="7"/>
      <c r="T441" s="7"/>
      <c r="U441" s="7"/>
      <c r="V441" s="7"/>
      <c r="W441" s="7"/>
      <c r="X441" s="7"/>
      <c r="Y441" s="4"/>
      <c r="Z441" s="4"/>
      <c r="AA441" s="4"/>
      <c r="AB441" s="4"/>
      <c r="AC441" s="4"/>
      <c r="AD441" s="4"/>
      <c r="AE441" s="4"/>
      <c r="AF441" s="4"/>
      <c r="AG441" s="49"/>
      <c r="AH441" s="4"/>
      <c r="AI441" s="4"/>
      <c r="AJ441" s="4"/>
      <c r="AK441" s="4"/>
      <c r="AL441" s="4"/>
      <c r="AM441" s="4"/>
      <c r="AN441" s="44"/>
      <c r="AO441" s="8"/>
      <c r="AP441" s="8"/>
      <c r="AQ441" s="8"/>
      <c r="AR441" s="8"/>
      <c r="AS441" s="8"/>
      <c r="AT441" s="8"/>
      <c r="AU441" s="8"/>
      <c r="AV441" s="46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4"/>
      <c r="BX441" s="4"/>
    </row>
    <row r="442" spans="1:76" s="16" customFormat="1" x14ac:dyDescent="0.25">
      <c r="A442" s="26"/>
      <c r="B442" s="6"/>
      <c r="C442" s="7"/>
      <c r="D442" s="7"/>
      <c r="E442" s="7"/>
      <c r="F442" s="7"/>
      <c r="G442" s="7"/>
      <c r="H442" s="7"/>
      <c r="I442" s="4"/>
      <c r="J442" s="7"/>
      <c r="K442" s="7"/>
      <c r="L442" s="7"/>
      <c r="M442" s="7"/>
      <c r="N442" s="4"/>
      <c r="O442" s="4"/>
      <c r="P442" s="4"/>
      <c r="Q442" s="4"/>
      <c r="R442" s="4"/>
      <c r="S442" s="7"/>
      <c r="T442" s="7"/>
      <c r="U442" s="7"/>
      <c r="V442" s="7"/>
      <c r="W442" s="7"/>
      <c r="X442" s="7"/>
      <c r="Y442" s="4"/>
      <c r="Z442" s="4"/>
      <c r="AA442" s="4"/>
      <c r="AB442" s="4"/>
      <c r="AC442" s="4"/>
      <c r="AD442" s="4"/>
      <c r="AE442" s="4"/>
      <c r="AF442" s="4"/>
      <c r="AG442" s="49"/>
      <c r="AH442" s="4"/>
      <c r="AI442" s="4"/>
      <c r="AJ442" s="4"/>
      <c r="AK442" s="4"/>
      <c r="AL442" s="4"/>
      <c r="AM442" s="4"/>
      <c r="AN442" s="44"/>
      <c r="AO442" s="8"/>
      <c r="AP442" s="8"/>
      <c r="AQ442" s="8"/>
      <c r="AR442" s="8"/>
      <c r="AS442" s="8"/>
      <c r="AT442" s="8"/>
      <c r="AU442" s="8"/>
      <c r="AV442" s="46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4"/>
      <c r="BX442" s="4"/>
    </row>
    <row r="443" spans="1:76" s="16" customFormat="1" x14ac:dyDescent="0.25">
      <c r="A443" s="26"/>
      <c r="B443" s="6"/>
      <c r="C443" s="7"/>
      <c r="D443" s="7"/>
      <c r="E443" s="7"/>
      <c r="F443" s="7"/>
      <c r="G443" s="7"/>
      <c r="H443" s="7"/>
      <c r="I443" s="4"/>
      <c r="J443" s="7"/>
      <c r="K443" s="7"/>
      <c r="L443" s="7"/>
      <c r="M443" s="7"/>
      <c r="N443" s="4"/>
      <c r="O443" s="4"/>
      <c r="P443" s="4"/>
      <c r="Q443" s="4"/>
      <c r="R443" s="4"/>
      <c r="S443" s="7"/>
      <c r="T443" s="7"/>
      <c r="U443" s="7"/>
      <c r="V443" s="7"/>
      <c r="W443" s="7"/>
      <c r="X443" s="7"/>
      <c r="Y443" s="4"/>
      <c r="Z443" s="4"/>
      <c r="AA443" s="4"/>
      <c r="AB443" s="4"/>
      <c r="AC443" s="4"/>
      <c r="AD443" s="4"/>
      <c r="AE443" s="4"/>
      <c r="AF443" s="4"/>
      <c r="AG443" s="49"/>
      <c r="AH443" s="4"/>
      <c r="AI443" s="4"/>
      <c r="AJ443" s="4"/>
      <c r="AK443" s="4"/>
      <c r="AL443" s="4"/>
      <c r="AM443" s="4"/>
      <c r="AN443" s="44"/>
      <c r="AO443" s="8"/>
      <c r="AP443" s="8"/>
      <c r="AQ443" s="8"/>
      <c r="AR443" s="8"/>
      <c r="AS443" s="8"/>
      <c r="AT443" s="8"/>
      <c r="AU443" s="8"/>
      <c r="AV443" s="46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4"/>
      <c r="BX443" s="4"/>
    </row>
    <row r="444" spans="1:76" s="16" customFormat="1" x14ac:dyDescent="0.25">
      <c r="A444" s="26"/>
      <c r="B444" s="6"/>
      <c r="C444" s="7"/>
      <c r="D444" s="7"/>
      <c r="E444" s="7"/>
      <c r="F444" s="7"/>
      <c r="G444" s="7"/>
      <c r="H444" s="7"/>
      <c r="I444" s="4"/>
      <c r="J444" s="7"/>
      <c r="K444" s="7"/>
      <c r="L444" s="7"/>
      <c r="M444" s="7"/>
      <c r="N444" s="4"/>
      <c r="O444" s="4"/>
      <c r="P444" s="4"/>
      <c r="Q444" s="4"/>
      <c r="R444" s="4"/>
      <c r="S444" s="7"/>
      <c r="T444" s="7"/>
      <c r="U444" s="7"/>
      <c r="V444" s="7"/>
      <c r="W444" s="7"/>
      <c r="X444" s="7"/>
      <c r="Y444" s="4"/>
      <c r="Z444" s="4"/>
      <c r="AA444" s="4"/>
      <c r="AB444" s="4"/>
      <c r="AC444" s="4"/>
      <c r="AD444" s="4"/>
      <c r="AE444" s="4"/>
      <c r="AF444" s="4"/>
      <c r="AG444" s="49"/>
      <c r="AH444" s="4"/>
      <c r="AI444" s="4"/>
      <c r="AJ444" s="4"/>
      <c r="AK444" s="4"/>
      <c r="AL444" s="4"/>
      <c r="AM444" s="4"/>
      <c r="AN444" s="44"/>
      <c r="AO444" s="8"/>
      <c r="AP444" s="8"/>
      <c r="AQ444" s="8"/>
      <c r="AR444" s="8"/>
      <c r="AS444" s="8"/>
      <c r="AT444" s="8"/>
      <c r="AU444" s="8"/>
      <c r="AV444" s="46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4"/>
      <c r="BX444" s="4"/>
    </row>
    <row r="445" spans="1:76" s="16" customFormat="1" x14ac:dyDescent="0.25">
      <c r="A445" s="26"/>
      <c r="B445" s="6"/>
      <c r="C445" s="7"/>
      <c r="D445" s="7"/>
      <c r="E445" s="7"/>
      <c r="F445" s="7"/>
      <c r="G445" s="7"/>
      <c r="H445" s="7"/>
      <c r="I445" s="4"/>
      <c r="J445" s="7"/>
      <c r="K445" s="7"/>
      <c r="L445" s="7"/>
      <c r="M445" s="7"/>
      <c r="N445" s="4"/>
      <c r="O445" s="4"/>
      <c r="P445" s="4"/>
      <c r="Q445" s="4"/>
      <c r="R445" s="4"/>
      <c r="S445" s="7"/>
      <c r="T445" s="7"/>
      <c r="U445" s="7"/>
      <c r="V445" s="7"/>
      <c r="W445" s="7"/>
      <c r="X445" s="7"/>
      <c r="Y445" s="4"/>
      <c r="Z445" s="4"/>
      <c r="AA445" s="4"/>
      <c r="AB445" s="4"/>
      <c r="AC445" s="4"/>
      <c r="AD445" s="4"/>
      <c r="AE445" s="4"/>
      <c r="AF445" s="4"/>
      <c r="AG445" s="49"/>
      <c r="AH445" s="4"/>
      <c r="AI445" s="4"/>
      <c r="AJ445" s="4"/>
      <c r="AK445" s="4"/>
      <c r="AL445" s="4"/>
      <c r="AM445" s="4"/>
      <c r="AN445" s="44"/>
      <c r="AO445" s="8"/>
      <c r="AP445" s="8"/>
      <c r="AQ445" s="8"/>
      <c r="AR445" s="8"/>
      <c r="AS445" s="8"/>
      <c r="AT445" s="8"/>
      <c r="AU445" s="8"/>
      <c r="AV445" s="46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4"/>
      <c r="BX445" s="4"/>
    </row>
    <row r="446" spans="1:76" s="16" customFormat="1" x14ac:dyDescent="0.25">
      <c r="A446" s="26"/>
      <c r="B446" s="6"/>
      <c r="C446" s="7"/>
      <c r="D446" s="7"/>
      <c r="E446" s="7"/>
      <c r="F446" s="7"/>
      <c r="G446" s="7"/>
      <c r="H446" s="7"/>
      <c r="I446" s="4"/>
      <c r="J446" s="7"/>
      <c r="K446" s="7"/>
      <c r="L446" s="7"/>
      <c r="M446" s="7"/>
      <c r="N446" s="4"/>
      <c r="O446" s="4"/>
      <c r="P446" s="4"/>
      <c r="Q446" s="4"/>
      <c r="R446" s="4"/>
      <c r="S446" s="7"/>
      <c r="T446" s="7"/>
      <c r="U446" s="7"/>
      <c r="V446" s="7"/>
      <c r="W446" s="7"/>
      <c r="X446" s="7"/>
      <c r="Y446" s="4"/>
      <c r="Z446" s="4"/>
      <c r="AA446" s="4"/>
      <c r="AB446" s="4"/>
      <c r="AC446" s="4"/>
      <c r="AD446" s="4"/>
      <c r="AE446" s="4"/>
      <c r="AF446" s="4"/>
      <c r="AG446" s="49"/>
      <c r="AH446" s="4"/>
      <c r="AI446" s="4"/>
      <c r="AJ446" s="4"/>
      <c r="AK446" s="4"/>
      <c r="AL446" s="4"/>
      <c r="AM446" s="4"/>
      <c r="AN446" s="44"/>
      <c r="AO446" s="8"/>
      <c r="AP446" s="8"/>
      <c r="AQ446" s="8"/>
      <c r="AR446" s="8"/>
      <c r="AS446" s="8"/>
      <c r="AT446" s="8"/>
      <c r="AU446" s="8"/>
      <c r="AV446" s="46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4"/>
      <c r="BX446" s="4"/>
    </row>
    <row r="447" spans="1:76" s="16" customFormat="1" x14ac:dyDescent="0.25">
      <c r="A447" s="26"/>
      <c r="B447" s="6"/>
      <c r="C447" s="7"/>
      <c r="D447" s="7"/>
      <c r="E447" s="7"/>
      <c r="F447" s="7"/>
      <c r="G447" s="7"/>
      <c r="H447" s="7"/>
      <c r="I447" s="4"/>
      <c r="J447" s="7"/>
      <c r="K447" s="7"/>
      <c r="L447" s="7"/>
      <c r="M447" s="7"/>
      <c r="N447" s="4"/>
      <c r="O447" s="4"/>
      <c r="P447" s="4"/>
      <c r="Q447" s="4"/>
      <c r="R447" s="4"/>
      <c r="S447" s="7"/>
      <c r="T447" s="7"/>
      <c r="U447" s="7"/>
      <c r="V447" s="7"/>
      <c r="W447" s="7"/>
      <c r="X447" s="7"/>
      <c r="Y447" s="4"/>
      <c r="Z447" s="4"/>
      <c r="AA447" s="4"/>
      <c r="AB447" s="4"/>
      <c r="AC447" s="4"/>
      <c r="AD447" s="4"/>
      <c r="AE447" s="4"/>
      <c r="AF447" s="4"/>
      <c r="AG447" s="49"/>
      <c r="AH447" s="4"/>
      <c r="AI447" s="4"/>
      <c r="AJ447" s="4"/>
      <c r="AK447" s="4"/>
      <c r="AL447" s="4"/>
      <c r="AM447" s="4"/>
      <c r="AN447" s="44"/>
      <c r="AO447" s="8"/>
      <c r="AP447" s="8"/>
      <c r="AQ447" s="8"/>
      <c r="AR447" s="8"/>
      <c r="AS447" s="8"/>
      <c r="AT447" s="8"/>
      <c r="AU447" s="8"/>
      <c r="AV447" s="46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4"/>
      <c r="BX447" s="4"/>
    </row>
    <row r="448" spans="1:76" s="16" customFormat="1" x14ac:dyDescent="0.25">
      <c r="A448" s="26"/>
      <c r="B448" s="6"/>
      <c r="C448" s="7"/>
      <c r="D448" s="7"/>
      <c r="E448" s="7"/>
      <c r="F448" s="7"/>
      <c r="G448" s="7"/>
      <c r="H448" s="7"/>
      <c r="I448" s="4"/>
      <c r="J448" s="7"/>
      <c r="K448" s="7"/>
      <c r="L448" s="7"/>
      <c r="M448" s="7"/>
      <c r="N448" s="4"/>
      <c r="O448" s="4"/>
      <c r="P448" s="4"/>
      <c r="Q448" s="4"/>
      <c r="R448" s="4"/>
      <c r="S448" s="7"/>
      <c r="T448" s="7"/>
      <c r="U448" s="7"/>
      <c r="V448" s="7"/>
      <c r="W448" s="7"/>
      <c r="X448" s="7"/>
      <c r="Y448" s="4"/>
      <c r="Z448" s="4"/>
      <c r="AA448" s="4"/>
      <c r="AB448" s="4"/>
      <c r="AC448" s="4"/>
      <c r="AD448" s="4"/>
      <c r="AE448" s="4"/>
      <c r="AF448" s="4"/>
      <c r="AG448" s="49"/>
      <c r="AH448" s="4"/>
      <c r="AI448" s="4"/>
      <c r="AJ448" s="4"/>
      <c r="AK448" s="4"/>
      <c r="AL448" s="4"/>
      <c r="AM448" s="4"/>
      <c r="AN448" s="44"/>
      <c r="AO448" s="8"/>
      <c r="AP448" s="8"/>
      <c r="AQ448" s="8"/>
      <c r="AR448" s="8"/>
      <c r="AS448" s="8"/>
      <c r="AT448" s="8"/>
      <c r="AU448" s="8"/>
      <c r="AV448" s="46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4"/>
      <c r="BX448" s="4"/>
    </row>
    <row r="449" spans="1:76" s="16" customFormat="1" x14ac:dyDescent="0.25">
      <c r="A449" s="26"/>
      <c r="B449" s="6"/>
      <c r="C449" s="7"/>
      <c r="D449" s="7"/>
      <c r="E449" s="7"/>
      <c r="F449" s="7"/>
      <c r="G449" s="7"/>
      <c r="H449" s="7"/>
      <c r="I449" s="4"/>
      <c r="J449" s="7"/>
      <c r="K449" s="7"/>
      <c r="L449" s="7"/>
      <c r="M449" s="7"/>
      <c r="N449" s="4"/>
      <c r="O449" s="4"/>
      <c r="P449" s="4"/>
      <c r="Q449" s="4"/>
      <c r="R449" s="4"/>
      <c r="S449" s="7"/>
      <c r="T449" s="7"/>
      <c r="U449" s="7"/>
      <c r="V449" s="7"/>
      <c r="W449" s="7"/>
      <c r="X449" s="7"/>
      <c r="Y449" s="4"/>
      <c r="Z449" s="4"/>
      <c r="AA449" s="4"/>
      <c r="AB449" s="4"/>
      <c r="AC449" s="4"/>
      <c r="AD449" s="4"/>
      <c r="AE449" s="4"/>
      <c r="AF449" s="4"/>
      <c r="AG449" s="49"/>
      <c r="AH449" s="4"/>
      <c r="AI449" s="4"/>
      <c r="AJ449" s="4"/>
      <c r="AK449" s="4"/>
      <c r="AL449" s="4"/>
      <c r="AM449" s="4"/>
      <c r="AN449" s="44"/>
      <c r="AO449" s="8"/>
      <c r="AP449" s="8"/>
      <c r="AQ449" s="8"/>
      <c r="AR449" s="8"/>
      <c r="AS449" s="8"/>
      <c r="AT449" s="8"/>
      <c r="AU449" s="8"/>
      <c r="AV449" s="46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4"/>
      <c r="BX449" s="4"/>
    </row>
    <row r="450" spans="1:76" s="16" customFormat="1" x14ac:dyDescent="0.25">
      <c r="A450" s="26"/>
      <c r="B450" s="6"/>
      <c r="C450" s="7"/>
      <c r="D450" s="7"/>
      <c r="E450" s="7"/>
      <c r="F450" s="7"/>
      <c r="G450" s="7"/>
      <c r="H450" s="7"/>
      <c r="I450" s="4"/>
      <c r="J450" s="7"/>
      <c r="K450" s="7"/>
      <c r="L450" s="7"/>
      <c r="M450" s="7"/>
      <c r="N450" s="4"/>
      <c r="O450" s="4"/>
      <c r="P450" s="4"/>
      <c r="Q450" s="4"/>
      <c r="R450" s="4"/>
      <c r="S450" s="7"/>
      <c r="T450" s="7"/>
      <c r="U450" s="7"/>
      <c r="V450" s="7"/>
      <c r="W450" s="7"/>
      <c r="X450" s="7"/>
      <c r="Y450" s="4"/>
      <c r="Z450" s="4"/>
      <c r="AA450" s="4"/>
      <c r="AB450" s="4"/>
      <c r="AC450" s="4"/>
      <c r="AD450" s="4"/>
      <c r="AE450" s="4"/>
      <c r="AF450" s="4"/>
      <c r="AG450" s="49"/>
      <c r="AH450" s="4"/>
      <c r="AI450" s="4"/>
      <c r="AJ450" s="4"/>
      <c r="AK450" s="4"/>
      <c r="AL450" s="4"/>
      <c r="AM450" s="4"/>
      <c r="AN450" s="44"/>
      <c r="AO450" s="8"/>
      <c r="AP450" s="8"/>
      <c r="AQ450" s="8"/>
      <c r="AR450" s="8"/>
      <c r="AS450" s="8"/>
      <c r="AT450" s="8"/>
      <c r="AU450" s="8"/>
      <c r="AV450" s="46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4"/>
      <c r="BX450" s="4"/>
    </row>
    <row r="451" spans="1:76" s="16" customFormat="1" x14ac:dyDescent="0.25">
      <c r="A451" s="26"/>
      <c r="B451" s="6"/>
      <c r="C451" s="7"/>
      <c r="D451" s="7"/>
      <c r="E451" s="7"/>
      <c r="F451" s="7"/>
      <c r="G451" s="7"/>
      <c r="H451" s="7"/>
      <c r="I451" s="4"/>
      <c r="J451" s="7"/>
      <c r="K451" s="7"/>
      <c r="L451" s="7"/>
      <c r="M451" s="7"/>
      <c r="N451" s="4"/>
      <c r="O451" s="4"/>
      <c r="P451" s="4"/>
      <c r="Q451" s="4"/>
      <c r="R451" s="4"/>
      <c r="S451" s="7"/>
      <c r="T451" s="7"/>
      <c r="U451" s="7"/>
      <c r="V451" s="7"/>
      <c r="W451" s="7"/>
      <c r="X451" s="7"/>
      <c r="Y451" s="4"/>
      <c r="Z451" s="4"/>
      <c r="AA451" s="4"/>
      <c r="AB451" s="4"/>
      <c r="AC451" s="4"/>
      <c r="AD451" s="4"/>
      <c r="AE451" s="4"/>
      <c r="AF451" s="4"/>
      <c r="AG451" s="49"/>
      <c r="AH451" s="4"/>
      <c r="AI451" s="4"/>
      <c r="AJ451" s="4"/>
      <c r="AK451" s="4"/>
      <c r="AL451" s="4"/>
      <c r="AM451" s="4"/>
      <c r="AN451" s="44"/>
      <c r="AO451" s="8"/>
      <c r="AP451" s="8"/>
      <c r="AQ451" s="8"/>
      <c r="AR451" s="8"/>
      <c r="AS451" s="8"/>
      <c r="AT451" s="8"/>
      <c r="AU451" s="8"/>
      <c r="AV451" s="46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4"/>
      <c r="BX451" s="4"/>
    </row>
    <row r="452" spans="1:76" s="16" customFormat="1" x14ac:dyDescent="0.25">
      <c r="A452" s="26"/>
      <c r="B452" s="6"/>
      <c r="C452" s="7"/>
      <c r="D452" s="7"/>
      <c r="E452" s="7"/>
      <c r="F452" s="7"/>
      <c r="G452" s="7"/>
      <c r="H452" s="7"/>
      <c r="I452" s="4"/>
      <c r="J452" s="7"/>
      <c r="K452" s="7"/>
      <c r="L452" s="7"/>
      <c r="M452" s="7"/>
      <c r="N452" s="4"/>
      <c r="O452" s="4"/>
      <c r="P452" s="4"/>
      <c r="Q452" s="4"/>
      <c r="R452" s="4"/>
      <c r="S452" s="7"/>
      <c r="T452" s="7"/>
      <c r="U452" s="7"/>
      <c r="V452" s="7"/>
      <c r="W452" s="7"/>
      <c r="X452" s="7"/>
      <c r="Y452" s="4"/>
      <c r="Z452" s="4"/>
      <c r="AA452" s="4"/>
      <c r="AB452" s="4"/>
      <c r="AC452" s="4"/>
      <c r="AD452" s="4"/>
      <c r="AE452" s="4"/>
      <c r="AF452" s="4"/>
      <c r="AG452" s="49"/>
      <c r="AH452" s="4"/>
      <c r="AI452" s="4"/>
      <c r="AJ452" s="4"/>
      <c r="AK452" s="4"/>
      <c r="AL452" s="4"/>
      <c r="AM452" s="4"/>
      <c r="AN452" s="44"/>
      <c r="AO452" s="8"/>
      <c r="AP452" s="8"/>
      <c r="AQ452" s="8"/>
      <c r="AR452" s="8"/>
      <c r="AS452" s="8"/>
      <c r="AT452" s="8"/>
      <c r="AU452" s="8"/>
      <c r="AV452" s="46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4"/>
      <c r="BX452" s="4"/>
    </row>
    <row r="453" spans="1:76" s="16" customFormat="1" x14ac:dyDescent="0.25">
      <c r="A453" s="26"/>
      <c r="B453" s="6"/>
      <c r="C453" s="7"/>
      <c r="D453" s="7"/>
      <c r="E453" s="7"/>
      <c r="F453" s="7"/>
      <c r="G453" s="7"/>
      <c r="H453" s="7"/>
      <c r="I453" s="4"/>
      <c r="J453" s="7"/>
      <c r="K453" s="7"/>
      <c r="L453" s="7"/>
      <c r="M453" s="7"/>
      <c r="N453" s="4"/>
      <c r="O453" s="4"/>
      <c r="P453" s="4"/>
      <c r="Q453" s="4"/>
      <c r="R453" s="4"/>
      <c r="S453" s="7"/>
      <c r="T453" s="7"/>
      <c r="U453" s="7"/>
      <c r="V453" s="7"/>
      <c r="W453" s="7"/>
      <c r="X453" s="7"/>
      <c r="Y453" s="4"/>
      <c r="Z453" s="4"/>
      <c r="AA453" s="4"/>
      <c r="AB453" s="4"/>
      <c r="AC453" s="4"/>
      <c r="AD453" s="4"/>
      <c r="AE453" s="4"/>
      <c r="AF453" s="4"/>
      <c r="AG453" s="49"/>
      <c r="AH453" s="4"/>
      <c r="AI453" s="4"/>
      <c r="AJ453" s="4"/>
      <c r="AK453" s="4"/>
      <c r="AL453" s="4"/>
      <c r="AM453" s="4"/>
      <c r="AN453" s="44"/>
      <c r="AO453" s="8"/>
      <c r="AP453" s="8"/>
      <c r="AQ453" s="8"/>
      <c r="AR453" s="8"/>
      <c r="AS453" s="8"/>
      <c r="AT453" s="8"/>
      <c r="AU453" s="8"/>
      <c r="AV453" s="46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4"/>
      <c r="BX453" s="4"/>
    </row>
    <row r="454" spans="1:76" s="16" customFormat="1" x14ac:dyDescent="0.25">
      <c r="A454" s="26"/>
      <c r="B454" s="6"/>
      <c r="C454" s="7"/>
      <c r="D454" s="7"/>
      <c r="E454" s="7"/>
      <c r="F454" s="7"/>
      <c r="G454" s="7"/>
      <c r="H454" s="7"/>
      <c r="I454" s="4"/>
      <c r="J454" s="7"/>
      <c r="K454" s="7"/>
      <c r="L454" s="7"/>
      <c r="M454" s="7"/>
      <c r="N454" s="4"/>
      <c r="O454" s="4"/>
      <c r="P454" s="4"/>
      <c r="Q454" s="4"/>
      <c r="R454" s="4"/>
      <c r="S454" s="7"/>
      <c r="T454" s="7"/>
      <c r="U454" s="7"/>
      <c r="V454" s="7"/>
      <c r="W454" s="7"/>
      <c r="X454" s="7"/>
      <c r="Y454" s="4"/>
      <c r="Z454" s="4"/>
      <c r="AA454" s="4"/>
      <c r="AB454" s="4"/>
      <c r="AC454" s="4"/>
      <c r="AD454" s="4"/>
      <c r="AE454" s="4"/>
      <c r="AF454" s="4"/>
      <c r="AG454" s="49"/>
      <c r="AH454" s="4"/>
      <c r="AI454" s="4"/>
      <c r="AJ454" s="4"/>
      <c r="AK454" s="4"/>
      <c r="AL454" s="4"/>
      <c r="AM454" s="4"/>
      <c r="AN454" s="44"/>
      <c r="AO454" s="8"/>
      <c r="AP454" s="8"/>
      <c r="AQ454" s="8"/>
      <c r="AR454" s="8"/>
      <c r="AS454" s="8"/>
      <c r="AT454" s="8"/>
      <c r="AU454" s="8"/>
      <c r="AV454" s="46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4"/>
      <c r="BX454" s="4"/>
    </row>
    <row r="455" spans="1:76" s="16" customFormat="1" x14ac:dyDescent="0.25">
      <c r="A455" s="26"/>
      <c r="B455" s="6"/>
      <c r="C455" s="7"/>
      <c r="D455" s="7"/>
      <c r="E455" s="7"/>
      <c r="F455" s="7"/>
      <c r="G455" s="7"/>
      <c r="H455" s="7"/>
      <c r="I455" s="4"/>
      <c r="J455" s="7"/>
      <c r="K455" s="7"/>
      <c r="L455" s="7"/>
      <c r="M455" s="7"/>
      <c r="N455" s="4"/>
      <c r="O455" s="4"/>
      <c r="P455" s="4"/>
      <c r="Q455" s="4"/>
      <c r="R455" s="4"/>
      <c r="S455" s="7"/>
      <c r="T455" s="7"/>
      <c r="U455" s="7"/>
      <c r="V455" s="7"/>
      <c r="W455" s="7"/>
      <c r="X455" s="7"/>
      <c r="Y455" s="4"/>
      <c r="Z455" s="4"/>
      <c r="AA455" s="4"/>
      <c r="AB455" s="4"/>
      <c r="AC455" s="4"/>
      <c r="AD455" s="4"/>
      <c r="AE455" s="4"/>
      <c r="AF455" s="4"/>
      <c r="AG455" s="49"/>
      <c r="AH455" s="4"/>
      <c r="AI455" s="4"/>
      <c r="AJ455" s="4"/>
      <c r="AK455" s="4"/>
      <c r="AL455" s="4"/>
      <c r="AM455" s="4"/>
      <c r="AN455" s="44"/>
      <c r="AO455" s="8"/>
      <c r="AP455" s="8"/>
      <c r="AQ455" s="8"/>
      <c r="AR455" s="8"/>
      <c r="AS455" s="8"/>
      <c r="AT455" s="8"/>
      <c r="AU455" s="8"/>
      <c r="AV455" s="46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4"/>
      <c r="BX455" s="4"/>
    </row>
    <row r="456" spans="1:76" s="16" customFormat="1" x14ac:dyDescent="0.25">
      <c r="A456" s="26"/>
      <c r="B456" s="6"/>
      <c r="C456" s="7"/>
      <c r="D456" s="7"/>
      <c r="E456" s="7"/>
      <c r="F456" s="7"/>
      <c r="G456" s="7"/>
      <c r="H456" s="7"/>
      <c r="I456" s="4"/>
      <c r="J456" s="7"/>
      <c r="K456" s="7"/>
      <c r="L456" s="7"/>
      <c r="M456" s="7"/>
      <c r="N456" s="4"/>
      <c r="O456" s="4"/>
      <c r="P456" s="4"/>
      <c r="Q456" s="4"/>
      <c r="R456" s="4"/>
      <c r="S456" s="7"/>
      <c r="T456" s="7"/>
      <c r="U456" s="7"/>
      <c r="V456" s="7"/>
      <c r="W456" s="7"/>
      <c r="X456" s="7"/>
      <c r="Y456" s="4"/>
      <c r="Z456" s="4"/>
      <c r="AA456" s="4"/>
      <c r="AB456" s="4"/>
      <c r="AC456" s="4"/>
      <c r="AD456" s="4"/>
      <c r="AE456" s="4"/>
      <c r="AF456" s="4"/>
      <c r="AG456" s="49"/>
      <c r="AH456" s="4"/>
      <c r="AI456" s="4"/>
      <c r="AJ456" s="4"/>
      <c r="AK456" s="4"/>
      <c r="AL456" s="4"/>
      <c r="AM456" s="4"/>
      <c r="AN456" s="44"/>
      <c r="AO456" s="8"/>
      <c r="AP456" s="8"/>
      <c r="AQ456" s="8"/>
      <c r="AR456" s="8"/>
      <c r="AS456" s="8"/>
      <c r="AT456" s="8"/>
      <c r="AU456" s="8"/>
      <c r="AV456" s="46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4"/>
      <c r="BX456" s="4"/>
    </row>
    <row r="457" spans="1:76" s="16" customFormat="1" x14ac:dyDescent="0.25">
      <c r="A457" s="26"/>
      <c r="B457" s="6"/>
      <c r="C457" s="7"/>
      <c r="D457" s="7"/>
      <c r="E457" s="7"/>
      <c r="F457" s="7"/>
      <c r="G457" s="7"/>
      <c r="H457" s="7"/>
      <c r="I457" s="4"/>
      <c r="J457" s="7"/>
      <c r="K457" s="7"/>
      <c r="L457" s="7"/>
      <c r="M457" s="7"/>
      <c r="N457" s="4"/>
      <c r="O457" s="4"/>
      <c r="P457" s="4"/>
      <c r="Q457" s="4"/>
      <c r="R457" s="4"/>
      <c r="S457" s="7"/>
      <c r="T457" s="7"/>
      <c r="U457" s="7"/>
      <c r="V457" s="7"/>
      <c r="W457" s="7"/>
      <c r="X457" s="7"/>
      <c r="Y457" s="4"/>
      <c r="Z457" s="4"/>
      <c r="AA457" s="4"/>
      <c r="AB457" s="4"/>
      <c r="AC457" s="4"/>
      <c r="AD457" s="4"/>
      <c r="AE457" s="4"/>
      <c r="AF457" s="4"/>
      <c r="AG457" s="49"/>
      <c r="AH457" s="4"/>
      <c r="AI457" s="4"/>
      <c r="AJ457" s="4"/>
      <c r="AK457" s="4"/>
      <c r="AL457" s="4"/>
      <c r="AM457" s="4"/>
      <c r="AN457" s="44"/>
      <c r="AO457" s="8"/>
      <c r="AP457" s="8"/>
      <c r="AQ457" s="8"/>
      <c r="AR457" s="8"/>
      <c r="AS457" s="8"/>
      <c r="AT457" s="8"/>
      <c r="AU457" s="8"/>
      <c r="AV457" s="46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4"/>
      <c r="BX457" s="4"/>
    </row>
    <row r="458" spans="1:76" s="16" customFormat="1" x14ac:dyDescent="0.25">
      <c r="A458" s="26"/>
      <c r="B458" s="6"/>
      <c r="C458" s="7"/>
      <c r="D458" s="7"/>
      <c r="E458" s="7"/>
      <c r="F458" s="7"/>
      <c r="G458" s="7"/>
      <c r="H458" s="7"/>
      <c r="I458" s="4"/>
      <c r="J458" s="7"/>
      <c r="K458" s="7"/>
      <c r="L458" s="7"/>
      <c r="M458" s="7"/>
      <c r="N458" s="4"/>
      <c r="O458" s="4"/>
      <c r="P458" s="4"/>
      <c r="Q458" s="4"/>
      <c r="R458" s="4"/>
      <c r="S458" s="7"/>
      <c r="T458" s="7"/>
      <c r="U458" s="7"/>
      <c r="V458" s="7"/>
      <c r="W458" s="7"/>
      <c r="X458" s="7"/>
      <c r="Y458" s="4"/>
      <c r="Z458" s="4"/>
      <c r="AA458" s="4"/>
      <c r="AB458" s="4"/>
      <c r="AC458" s="4"/>
      <c r="AD458" s="4"/>
      <c r="AE458" s="4"/>
      <c r="AF458" s="4"/>
      <c r="AG458" s="49"/>
      <c r="AH458" s="4"/>
      <c r="AI458" s="4"/>
      <c r="AJ458" s="4"/>
      <c r="AK458" s="4"/>
      <c r="AL458" s="4"/>
      <c r="AM458" s="4"/>
      <c r="AN458" s="44"/>
      <c r="AO458" s="8"/>
      <c r="AP458" s="8"/>
      <c r="AQ458" s="8"/>
      <c r="AR458" s="8"/>
      <c r="AS458" s="8"/>
      <c r="AT458" s="8"/>
      <c r="AU458" s="8"/>
      <c r="AV458" s="46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4"/>
      <c r="BX458" s="4"/>
    </row>
    <row r="459" spans="1:76" s="16" customFormat="1" x14ac:dyDescent="0.25">
      <c r="A459" s="26"/>
      <c r="B459" s="6"/>
      <c r="C459" s="7"/>
      <c r="D459" s="7"/>
      <c r="E459" s="7"/>
      <c r="F459" s="7"/>
      <c r="G459" s="7"/>
      <c r="H459" s="7"/>
      <c r="I459" s="4"/>
      <c r="J459" s="7"/>
      <c r="K459" s="7"/>
      <c r="L459" s="7"/>
      <c r="M459" s="7"/>
      <c r="N459" s="4"/>
      <c r="O459" s="4"/>
      <c r="P459" s="4"/>
      <c r="Q459" s="4"/>
      <c r="R459" s="4"/>
      <c r="S459" s="7"/>
      <c r="T459" s="7"/>
      <c r="U459" s="7"/>
      <c r="V459" s="7"/>
      <c r="W459" s="7"/>
      <c r="X459" s="7"/>
      <c r="Y459" s="4"/>
      <c r="Z459" s="4"/>
      <c r="AA459" s="4"/>
      <c r="AB459" s="4"/>
      <c r="AC459" s="4"/>
      <c r="AD459" s="4"/>
      <c r="AE459" s="4"/>
      <c r="AF459" s="4"/>
      <c r="AG459" s="49"/>
      <c r="AH459" s="4"/>
      <c r="AI459" s="4"/>
      <c r="AJ459" s="4"/>
      <c r="AK459" s="4"/>
      <c r="AL459" s="4"/>
      <c r="AM459" s="4"/>
      <c r="AN459" s="44"/>
      <c r="AO459" s="8"/>
      <c r="AP459" s="8"/>
      <c r="AQ459" s="8"/>
      <c r="AR459" s="8"/>
      <c r="AS459" s="8"/>
      <c r="AT459" s="8"/>
      <c r="AU459" s="8"/>
      <c r="AV459" s="46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4"/>
      <c r="BX459" s="4"/>
    </row>
    <row r="460" spans="1:76" s="16" customFormat="1" x14ac:dyDescent="0.25">
      <c r="A460" s="26"/>
      <c r="B460" s="6"/>
      <c r="C460" s="7"/>
      <c r="D460" s="7"/>
      <c r="E460" s="7"/>
      <c r="F460" s="7"/>
      <c r="G460" s="7"/>
      <c r="H460" s="7"/>
      <c r="I460" s="4"/>
      <c r="J460" s="7"/>
      <c r="K460" s="7"/>
      <c r="L460" s="7"/>
      <c r="M460" s="7"/>
      <c r="N460" s="4"/>
      <c r="O460" s="4"/>
      <c r="P460" s="4"/>
      <c r="Q460" s="4"/>
      <c r="R460" s="4"/>
      <c r="S460" s="7"/>
      <c r="T460" s="7"/>
      <c r="U460" s="7"/>
      <c r="V460" s="7"/>
      <c r="W460" s="7"/>
      <c r="X460" s="7"/>
      <c r="Y460" s="4"/>
      <c r="Z460" s="4"/>
      <c r="AA460" s="4"/>
      <c r="AB460" s="4"/>
      <c r="AC460" s="4"/>
      <c r="AD460" s="4"/>
      <c r="AE460" s="4"/>
      <c r="AF460" s="4"/>
      <c r="AG460" s="49"/>
      <c r="AH460" s="4"/>
      <c r="AI460" s="4"/>
      <c r="AJ460" s="4"/>
      <c r="AK460" s="4"/>
      <c r="AL460" s="4"/>
      <c r="AM460" s="4"/>
      <c r="AN460" s="44"/>
      <c r="AO460" s="8"/>
      <c r="AP460" s="8"/>
      <c r="AQ460" s="8"/>
      <c r="AR460" s="8"/>
      <c r="AS460" s="8"/>
      <c r="AT460" s="8"/>
      <c r="AU460" s="8"/>
      <c r="AV460" s="46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4"/>
      <c r="BX460" s="4"/>
    </row>
    <row r="461" spans="1:76" s="16" customFormat="1" x14ac:dyDescent="0.25">
      <c r="A461" s="26"/>
      <c r="B461" s="6"/>
      <c r="C461" s="7"/>
      <c r="D461" s="7"/>
      <c r="E461" s="7"/>
      <c r="F461" s="7"/>
      <c r="G461" s="7"/>
      <c r="H461" s="7"/>
      <c r="I461" s="4"/>
      <c r="J461" s="7"/>
      <c r="K461" s="7"/>
      <c r="L461" s="7"/>
      <c r="M461" s="7"/>
      <c r="N461" s="4"/>
      <c r="O461" s="4"/>
      <c r="P461" s="4"/>
      <c r="Q461" s="4"/>
      <c r="R461" s="4"/>
      <c r="S461" s="7"/>
      <c r="T461" s="7"/>
      <c r="U461" s="7"/>
      <c r="V461" s="7"/>
      <c r="W461" s="7"/>
      <c r="X461" s="7"/>
      <c r="Y461" s="4"/>
      <c r="Z461" s="4"/>
      <c r="AA461" s="4"/>
      <c r="AB461" s="4"/>
      <c r="AC461" s="4"/>
      <c r="AD461" s="4"/>
      <c r="AE461" s="4"/>
      <c r="AF461" s="4"/>
      <c r="AG461" s="49"/>
      <c r="AH461" s="4"/>
      <c r="AI461" s="4"/>
      <c r="AJ461" s="4"/>
      <c r="AK461" s="4"/>
      <c r="AL461" s="4"/>
      <c r="AM461" s="4"/>
      <c r="AN461" s="44"/>
      <c r="AO461" s="8"/>
      <c r="AP461" s="8"/>
      <c r="AQ461" s="8"/>
      <c r="AR461" s="8"/>
      <c r="AS461" s="8"/>
      <c r="AT461" s="8"/>
      <c r="AU461" s="8"/>
      <c r="AV461" s="46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4"/>
      <c r="BX461" s="4"/>
    </row>
    <row r="462" spans="1:76" s="16" customFormat="1" x14ac:dyDescent="0.25">
      <c r="A462" s="26"/>
      <c r="B462" s="6"/>
      <c r="C462" s="7"/>
      <c r="D462" s="7"/>
      <c r="E462" s="7"/>
      <c r="F462" s="7"/>
      <c r="G462" s="7"/>
      <c r="H462" s="7"/>
      <c r="I462" s="4"/>
      <c r="J462" s="7"/>
      <c r="K462" s="7"/>
      <c r="L462" s="7"/>
      <c r="M462" s="7"/>
      <c r="N462" s="4"/>
      <c r="O462" s="4"/>
      <c r="P462" s="4"/>
      <c r="Q462" s="4"/>
      <c r="R462" s="4"/>
      <c r="S462" s="7"/>
      <c r="T462" s="7"/>
      <c r="U462" s="7"/>
      <c r="V462" s="7"/>
      <c r="W462" s="7"/>
      <c r="X462" s="7"/>
      <c r="Y462" s="4"/>
      <c r="Z462" s="4"/>
      <c r="AA462" s="4"/>
      <c r="AB462" s="4"/>
      <c r="AC462" s="4"/>
      <c r="AD462" s="4"/>
      <c r="AE462" s="4"/>
      <c r="AF462" s="4"/>
      <c r="AG462" s="49"/>
      <c r="AH462" s="4"/>
      <c r="AI462" s="4"/>
      <c r="AJ462" s="4"/>
      <c r="AK462" s="4"/>
      <c r="AL462" s="4"/>
      <c r="AM462" s="4"/>
      <c r="AN462" s="44"/>
      <c r="AO462" s="8"/>
      <c r="AP462" s="8"/>
      <c r="AQ462" s="8"/>
      <c r="AR462" s="8"/>
      <c r="AS462" s="8"/>
      <c r="AT462" s="8"/>
      <c r="AU462" s="8"/>
      <c r="AV462" s="46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4"/>
      <c r="BX462" s="4"/>
    </row>
    <row r="463" spans="1:76" s="16" customFormat="1" x14ac:dyDescent="0.25">
      <c r="A463" s="26"/>
      <c r="B463" s="6"/>
      <c r="C463" s="7"/>
      <c r="D463" s="7"/>
      <c r="E463" s="7"/>
      <c r="F463" s="7"/>
      <c r="G463" s="7"/>
      <c r="H463" s="7"/>
      <c r="I463" s="4"/>
      <c r="J463" s="7"/>
      <c r="K463" s="7"/>
      <c r="L463" s="7"/>
      <c r="M463" s="7"/>
      <c r="N463" s="4"/>
      <c r="O463" s="4"/>
      <c r="P463" s="4"/>
      <c r="Q463" s="4"/>
      <c r="R463" s="4"/>
      <c r="S463" s="7"/>
      <c r="T463" s="7"/>
      <c r="U463" s="7"/>
      <c r="V463" s="7"/>
      <c r="W463" s="7"/>
      <c r="X463" s="7"/>
      <c r="Y463" s="4"/>
      <c r="Z463" s="4"/>
      <c r="AA463" s="4"/>
      <c r="AB463" s="4"/>
      <c r="AC463" s="4"/>
      <c r="AD463" s="4"/>
      <c r="AE463" s="4"/>
      <c r="AF463" s="4"/>
      <c r="AG463" s="49"/>
      <c r="AH463" s="4"/>
      <c r="AI463" s="4"/>
      <c r="AJ463" s="4"/>
      <c r="AK463" s="4"/>
      <c r="AL463" s="4"/>
      <c r="AM463" s="4"/>
      <c r="AN463" s="44"/>
      <c r="AO463" s="8"/>
      <c r="AP463" s="8"/>
      <c r="AQ463" s="8"/>
      <c r="AR463" s="8"/>
      <c r="AS463" s="8"/>
      <c r="AT463" s="8"/>
      <c r="AU463" s="8"/>
      <c r="AV463" s="46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4"/>
      <c r="BX463" s="4"/>
    </row>
    <row r="464" spans="1:76" s="16" customFormat="1" x14ac:dyDescent="0.25">
      <c r="A464" s="26"/>
      <c r="B464" s="6"/>
      <c r="C464" s="7"/>
      <c r="D464" s="7"/>
      <c r="E464" s="7"/>
      <c r="F464" s="7"/>
      <c r="G464" s="7"/>
      <c r="H464" s="7"/>
      <c r="I464" s="4"/>
      <c r="J464" s="7"/>
      <c r="K464" s="7"/>
      <c r="L464" s="7"/>
      <c r="M464" s="7"/>
      <c r="N464" s="4"/>
      <c r="O464" s="4"/>
      <c r="P464" s="4"/>
      <c r="Q464" s="4"/>
      <c r="R464" s="4"/>
      <c r="S464" s="7"/>
      <c r="T464" s="7"/>
      <c r="U464" s="7"/>
      <c r="V464" s="7"/>
      <c r="W464" s="7"/>
      <c r="X464" s="7"/>
      <c r="Y464" s="4"/>
      <c r="Z464" s="4"/>
      <c r="AA464" s="4"/>
      <c r="AB464" s="4"/>
      <c r="AC464" s="4"/>
      <c r="AD464" s="4"/>
      <c r="AE464" s="4"/>
      <c r="AF464" s="4"/>
      <c r="AG464" s="49"/>
      <c r="AH464" s="4"/>
      <c r="AI464" s="4"/>
      <c r="AJ464" s="4"/>
      <c r="AK464" s="4"/>
      <c r="AL464" s="4"/>
      <c r="AM464" s="4"/>
      <c r="AN464" s="44"/>
      <c r="AO464" s="8"/>
      <c r="AP464" s="8"/>
      <c r="AQ464" s="8"/>
      <c r="AR464" s="8"/>
      <c r="AS464" s="8"/>
      <c r="AT464" s="8"/>
      <c r="AU464" s="8"/>
      <c r="AV464" s="46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4"/>
      <c r="BX464" s="4"/>
    </row>
    <row r="465" spans="1:76" s="16" customFormat="1" x14ac:dyDescent="0.25">
      <c r="A465" s="26"/>
      <c r="B465" s="6"/>
      <c r="C465" s="7"/>
      <c r="D465" s="7"/>
      <c r="E465" s="7"/>
      <c r="F465" s="7"/>
      <c r="G465" s="7"/>
      <c r="H465" s="7"/>
      <c r="I465" s="4"/>
      <c r="J465" s="7"/>
      <c r="K465" s="7"/>
      <c r="L465" s="7"/>
      <c r="M465" s="7"/>
      <c r="N465" s="4"/>
      <c r="O465" s="4"/>
      <c r="P465" s="4"/>
      <c r="Q465" s="4"/>
      <c r="R465" s="4"/>
      <c r="S465" s="7"/>
      <c r="T465" s="7"/>
      <c r="U465" s="7"/>
      <c r="V465" s="7"/>
      <c r="W465" s="7"/>
      <c r="X465" s="7"/>
      <c r="Y465" s="4"/>
      <c r="Z465" s="4"/>
      <c r="AA465" s="4"/>
      <c r="AB465" s="4"/>
      <c r="AC465" s="4"/>
      <c r="AD465" s="4"/>
      <c r="AE465" s="4"/>
      <c r="AF465" s="4"/>
      <c r="AG465" s="49"/>
      <c r="AH465" s="4"/>
      <c r="AI465" s="4"/>
      <c r="AJ465" s="4"/>
      <c r="AK465" s="4"/>
      <c r="AL465" s="4"/>
      <c r="AM465" s="4"/>
      <c r="AN465" s="44"/>
      <c r="AO465" s="8"/>
      <c r="AP465" s="8"/>
      <c r="AQ465" s="8"/>
      <c r="AR465" s="8"/>
      <c r="AS465" s="8"/>
      <c r="AT465" s="8"/>
      <c r="AU465" s="8"/>
      <c r="AV465" s="46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4"/>
      <c r="BX465" s="4"/>
    </row>
    <row r="466" spans="1:76" s="16" customFormat="1" x14ac:dyDescent="0.25">
      <c r="A466" s="26"/>
      <c r="B466" s="6"/>
      <c r="C466" s="7"/>
      <c r="D466" s="7"/>
      <c r="E466" s="7"/>
      <c r="F466" s="7"/>
      <c r="G466" s="7"/>
      <c r="H466" s="7"/>
      <c r="I466" s="4"/>
      <c r="J466" s="7"/>
      <c r="K466" s="7"/>
      <c r="L466" s="7"/>
      <c r="M466" s="7"/>
      <c r="N466" s="4"/>
      <c r="O466" s="4"/>
      <c r="P466" s="4"/>
      <c r="Q466" s="4"/>
      <c r="R466" s="4"/>
      <c r="S466" s="7"/>
      <c r="T466" s="7"/>
      <c r="U466" s="7"/>
      <c r="V466" s="7"/>
      <c r="W466" s="7"/>
      <c r="X466" s="7"/>
      <c r="Y466" s="4"/>
      <c r="Z466" s="4"/>
      <c r="AA466" s="4"/>
      <c r="AB466" s="4"/>
      <c r="AC466" s="4"/>
      <c r="AD466" s="4"/>
      <c r="AE466" s="4"/>
      <c r="AF466" s="4"/>
      <c r="AG466" s="49"/>
      <c r="AH466" s="4"/>
      <c r="AI466" s="4"/>
      <c r="AJ466" s="4"/>
      <c r="AK466" s="4"/>
      <c r="AL466" s="4"/>
      <c r="AM466" s="4"/>
      <c r="AN466" s="44"/>
      <c r="AO466" s="8"/>
      <c r="AP466" s="8"/>
      <c r="AQ466" s="8"/>
      <c r="AR466" s="8"/>
      <c r="AS466" s="8"/>
      <c r="AT466" s="8"/>
      <c r="AU466" s="8"/>
      <c r="AV466" s="46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4"/>
      <c r="BX466" s="4"/>
    </row>
    <row r="467" spans="1:76" s="16" customFormat="1" x14ac:dyDescent="0.25">
      <c r="A467" s="26"/>
      <c r="B467" s="6"/>
      <c r="C467" s="7"/>
      <c r="D467" s="7"/>
      <c r="E467" s="7"/>
      <c r="F467" s="7"/>
      <c r="G467" s="7"/>
      <c r="H467" s="7"/>
      <c r="I467" s="4"/>
      <c r="J467" s="7"/>
      <c r="K467" s="7"/>
      <c r="L467" s="7"/>
      <c r="M467" s="7"/>
      <c r="N467" s="4"/>
      <c r="O467" s="4"/>
      <c r="P467" s="4"/>
      <c r="Q467" s="4"/>
      <c r="R467" s="4"/>
      <c r="S467" s="7"/>
      <c r="T467" s="7"/>
      <c r="U467" s="7"/>
      <c r="V467" s="7"/>
      <c r="W467" s="7"/>
      <c r="X467" s="7"/>
      <c r="Y467" s="4"/>
      <c r="Z467" s="4"/>
      <c r="AA467" s="4"/>
      <c r="AB467" s="4"/>
      <c r="AC467" s="4"/>
      <c r="AD467" s="4"/>
      <c r="AE467" s="4"/>
      <c r="AF467" s="4"/>
      <c r="AG467" s="49"/>
      <c r="AH467" s="4"/>
      <c r="AI467" s="4"/>
      <c r="AJ467" s="4"/>
      <c r="AK467" s="4"/>
      <c r="AL467" s="4"/>
      <c r="AM467" s="4"/>
      <c r="AN467" s="44"/>
      <c r="AO467" s="8"/>
      <c r="AP467" s="8"/>
      <c r="AQ467" s="8"/>
      <c r="AR467" s="8"/>
      <c r="AS467" s="8"/>
      <c r="AT467" s="8"/>
      <c r="AU467" s="8"/>
      <c r="AV467" s="46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4"/>
      <c r="BX467" s="4"/>
    </row>
    <row r="468" spans="1:76" s="16" customFormat="1" x14ac:dyDescent="0.25">
      <c r="A468" s="26"/>
      <c r="B468" s="6"/>
      <c r="C468" s="7"/>
      <c r="D468" s="7"/>
      <c r="E468" s="7"/>
      <c r="F468" s="7"/>
      <c r="G468" s="7"/>
      <c r="H468" s="7"/>
      <c r="I468" s="4"/>
      <c r="J468" s="7"/>
      <c r="K468" s="7"/>
      <c r="L468" s="7"/>
      <c r="M468" s="7"/>
      <c r="N468" s="4"/>
      <c r="O468" s="4"/>
      <c r="P468" s="4"/>
      <c r="Q468" s="4"/>
      <c r="R468" s="4"/>
      <c r="S468" s="7"/>
      <c r="T468" s="7"/>
      <c r="U468" s="7"/>
      <c r="V468" s="7"/>
      <c r="W468" s="7"/>
      <c r="X468" s="7"/>
      <c r="Y468" s="4"/>
      <c r="Z468" s="4"/>
      <c r="AA468" s="4"/>
      <c r="AB468" s="4"/>
      <c r="AC468" s="4"/>
      <c r="AD468" s="4"/>
      <c r="AE468" s="4"/>
      <c r="AF468" s="4"/>
      <c r="AG468" s="49"/>
      <c r="AH468" s="4"/>
      <c r="AI468" s="4"/>
      <c r="AJ468" s="4"/>
      <c r="AK468" s="4"/>
      <c r="AL468" s="4"/>
      <c r="AM468" s="4"/>
      <c r="AN468" s="44"/>
      <c r="AO468" s="8"/>
      <c r="AP468" s="8"/>
      <c r="AQ468" s="8"/>
      <c r="AR468" s="8"/>
      <c r="AS468" s="8"/>
      <c r="AT468" s="8"/>
      <c r="AU468" s="8"/>
      <c r="AV468" s="46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4"/>
      <c r="BX468" s="4"/>
    </row>
    <row r="469" spans="1:76" s="16" customFormat="1" x14ac:dyDescent="0.25">
      <c r="A469" s="26"/>
      <c r="B469" s="6"/>
      <c r="C469" s="7"/>
      <c r="D469" s="7"/>
      <c r="E469" s="7"/>
      <c r="F469" s="7"/>
      <c r="G469" s="7"/>
      <c r="H469" s="7"/>
      <c r="I469" s="4"/>
      <c r="J469" s="7"/>
      <c r="K469" s="7"/>
      <c r="L469" s="7"/>
      <c r="M469" s="7"/>
      <c r="N469" s="4"/>
      <c r="O469" s="4"/>
      <c r="P469" s="4"/>
      <c r="Q469" s="4"/>
      <c r="R469" s="4"/>
      <c r="S469" s="7"/>
      <c r="T469" s="7"/>
      <c r="U469" s="7"/>
      <c r="V469" s="7"/>
      <c r="W469" s="7"/>
      <c r="X469" s="7"/>
      <c r="Y469" s="4"/>
      <c r="Z469" s="4"/>
      <c r="AA469" s="4"/>
      <c r="AB469" s="4"/>
      <c r="AC469" s="4"/>
      <c r="AD469" s="4"/>
      <c r="AE469" s="4"/>
      <c r="AF469" s="4"/>
      <c r="AG469" s="49"/>
      <c r="AH469" s="4"/>
      <c r="AI469" s="4"/>
      <c r="AJ469" s="4"/>
      <c r="AK469" s="4"/>
      <c r="AL469" s="4"/>
      <c r="AM469" s="4"/>
      <c r="AN469" s="44"/>
      <c r="AO469" s="8"/>
      <c r="AP469" s="8"/>
      <c r="AQ469" s="8"/>
      <c r="AR469" s="8"/>
      <c r="AS469" s="8"/>
      <c r="AT469" s="8"/>
      <c r="AU469" s="8"/>
      <c r="AV469" s="46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4"/>
      <c r="BX469" s="4"/>
    </row>
    <row r="470" spans="1:76" s="16" customFormat="1" x14ac:dyDescent="0.25">
      <c r="A470" s="26"/>
      <c r="B470" s="6"/>
      <c r="C470" s="7"/>
      <c r="D470" s="7"/>
      <c r="E470" s="7"/>
      <c r="F470" s="7"/>
      <c r="G470" s="7"/>
      <c r="H470" s="7"/>
      <c r="I470" s="4"/>
      <c r="J470" s="7"/>
      <c r="K470" s="7"/>
      <c r="L470" s="7"/>
      <c r="M470" s="7"/>
      <c r="N470" s="4"/>
      <c r="O470" s="4"/>
      <c r="P470" s="4"/>
      <c r="Q470" s="4"/>
      <c r="R470" s="4"/>
      <c r="S470" s="7"/>
      <c r="T470" s="7"/>
      <c r="U470" s="7"/>
      <c r="V470" s="7"/>
      <c r="W470" s="7"/>
      <c r="X470" s="7"/>
      <c r="Y470" s="4"/>
      <c r="Z470" s="4"/>
      <c r="AA470" s="4"/>
      <c r="AB470" s="4"/>
      <c r="AC470" s="4"/>
      <c r="AD470" s="4"/>
      <c r="AE470" s="4"/>
      <c r="AF470" s="4"/>
      <c r="AG470" s="49"/>
      <c r="AH470" s="4"/>
      <c r="AI470" s="4"/>
      <c r="AJ470" s="4"/>
      <c r="AK470" s="4"/>
      <c r="AL470" s="4"/>
      <c r="AM470" s="4"/>
      <c r="AN470" s="44"/>
      <c r="AO470" s="8"/>
      <c r="AP470" s="8"/>
      <c r="AQ470" s="8"/>
      <c r="AR470" s="8"/>
      <c r="AS470" s="8"/>
      <c r="AT470" s="8"/>
      <c r="AU470" s="8"/>
      <c r="AV470" s="46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4"/>
      <c r="BX470" s="4"/>
    </row>
    <row r="471" spans="1:76" s="16" customFormat="1" x14ac:dyDescent="0.25">
      <c r="A471" s="26"/>
      <c r="B471" s="6"/>
      <c r="C471" s="7"/>
      <c r="D471" s="7"/>
      <c r="E471" s="7"/>
      <c r="F471" s="7"/>
      <c r="G471" s="7"/>
      <c r="H471" s="7"/>
      <c r="I471" s="4"/>
      <c r="J471" s="7"/>
      <c r="K471" s="7"/>
      <c r="L471" s="7"/>
      <c r="M471" s="7"/>
      <c r="N471" s="4"/>
      <c r="O471" s="4"/>
      <c r="P471" s="4"/>
      <c r="Q471" s="4"/>
      <c r="R471" s="4"/>
      <c r="S471" s="7"/>
      <c r="T471" s="7"/>
      <c r="U471" s="7"/>
      <c r="V471" s="7"/>
      <c r="W471" s="7"/>
      <c r="X471" s="7"/>
      <c r="Y471" s="4"/>
      <c r="Z471" s="4"/>
      <c r="AA471" s="4"/>
      <c r="AB471" s="4"/>
      <c r="AC471" s="4"/>
      <c r="AD471" s="4"/>
      <c r="AE471" s="4"/>
      <c r="AF471" s="4"/>
      <c r="AG471" s="49"/>
      <c r="AH471" s="4"/>
      <c r="AI471" s="4"/>
      <c r="AJ471" s="4"/>
      <c r="AK471" s="4"/>
      <c r="AL471" s="4"/>
      <c r="AM471" s="4"/>
      <c r="AN471" s="44"/>
      <c r="AO471" s="8"/>
      <c r="AP471" s="8"/>
      <c r="AQ471" s="8"/>
      <c r="AR471" s="8"/>
      <c r="AS471" s="8"/>
      <c r="AT471" s="8"/>
      <c r="AU471" s="8"/>
      <c r="AV471" s="46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4"/>
      <c r="BX471" s="4"/>
    </row>
    <row r="472" spans="1:76" s="16" customFormat="1" x14ac:dyDescent="0.25">
      <c r="A472" s="26"/>
      <c r="B472" s="6"/>
      <c r="C472" s="7"/>
      <c r="D472" s="7"/>
      <c r="E472" s="7"/>
      <c r="F472" s="7"/>
      <c r="G472" s="7"/>
      <c r="H472" s="7"/>
      <c r="I472" s="4"/>
      <c r="J472" s="7"/>
      <c r="K472" s="7"/>
      <c r="L472" s="7"/>
      <c r="M472" s="7"/>
      <c r="N472" s="4"/>
      <c r="O472" s="4"/>
      <c r="P472" s="4"/>
      <c r="Q472" s="4"/>
      <c r="R472" s="4"/>
      <c r="S472" s="7"/>
      <c r="T472" s="7"/>
      <c r="U472" s="7"/>
      <c r="V472" s="7"/>
      <c r="W472" s="7"/>
      <c r="X472" s="7"/>
      <c r="Y472" s="4"/>
      <c r="Z472" s="4"/>
      <c r="AA472" s="4"/>
      <c r="AB472" s="4"/>
      <c r="AC472" s="4"/>
      <c r="AD472" s="4"/>
      <c r="AE472" s="4"/>
      <c r="AF472" s="4"/>
      <c r="AG472" s="49"/>
      <c r="AH472" s="4"/>
      <c r="AI472" s="4"/>
      <c r="AJ472" s="4"/>
      <c r="AK472" s="4"/>
      <c r="AL472" s="4"/>
      <c r="AM472" s="4"/>
      <c r="AN472" s="44"/>
      <c r="AO472" s="8"/>
      <c r="AP472" s="8"/>
      <c r="AQ472" s="8"/>
      <c r="AR472" s="8"/>
      <c r="AS472" s="8"/>
      <c r="AT472" s="8"/>
      <c r="AU472" s="8"/>
      <c r="AV472" s="46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4"/>
      <c r="BX472" s="4"/>
    </row>
    <row r="473" spans="1:76" s="16" customFormat="1" x14ac:dyDescent="0.25">
      <c r="A473" s="26"/>
      <c r="B473" s="6"/>
      <c r="C473" s="7"/>
      <c r="D473" s="7"/>
      <c r="E473" s="7"/>
      <c r="F473" s="7"/>
      <c r="G473" s="7"/>
      <c r="H473" s="7"/>
      <c r="I473" s="4"/>
      <c r="J473" s="7"/>
      <c r="K473" s="7"/>
      <c r="L473" s="7"/>
      <c r="M473" s="7"/>
      <c r="N473" s="4"/>
      <c r="O473" s="4"/>
      <c r="P473" s="4"/>
      <c r="Q473" s="4"/>
      <c r="R473" s="4"/>
      <c r="S473" s="7"/>
      <c r="T473" s="7"/>
      <c r="U473" s="7"/>
      <c r="V473" s="7"/>
      <c r="W473" s="7"/>
      <c r="X473" s="7"/>
      <c r="Y473" s="4"/>
      <c r="Z473" s="4"/>
      <c r="AA473" s="4"/>
      <c r="AB473" s="4"/>
      <c r="AC473" s="4"/>
      <c r="AD473" s="4"/>
      <c r="AE473" s="4"/>
      <c r="AF473" s="4"/>
      <c r="AG473" s="49"/>
      <c r="AH473" s="4"/>
      <c r="AI473" s="4"/>
      <c r="AJ473" s="4"/>
      <c r="AK473" s="4"/>
      <c r="AL473" s="4"/>
      <c r="AM473" s="4"/>
      <c r="AN473" s="44"/>
      <c r="AO473" s="8"/>
      <c r="AP473" s="8"/>
      <c r="AQ473" s="8"/>
      <c r="AR473" s="8"/>
      <c r="AS473" s="8"/>
      <c r="AT473" s="8"/>
      <c r="AU473" s="8"/>
      <c r="AV473" s="46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4"/>
      <c r="BX473" s="4"/>
    </row>
    <row r="474" spans="1:76" s="16" customFormat="1" x14ac:dyDescent="0.25">
      <c r="A474" s="26"/>
      <c r="B474" s="6"/>
      <c r="C474" s="7"/>
      <c r="D474" s="7"/>
      <c r="E474" s="7"/>
      <c r="F474" s="7"/>
      <c r="G474" s="7"/>
      <c r="H474" s="7"/>
      <c r="I474" s="4"/>
      <c r="J474" s="7"/>
      <c r="K474" s="7"/>
      <c r="L474" s="7"/>
      <c r="M474" s="7"/>
      <c r="N474" s="4"/>
      <c r="O474" s="4"/>
      <c r="P474" s="4"/>
      <c r="Q474" s="4"/>
      <c r="R474" s="4"/>
      <c r="S474" s="7"/>
      <c r="T474" s="7"/>
      <c r="U474" s="7"/>
      <c r="V474" s="7"/>
      <c r="W474" s="7"/>
      <c r="X474" s="7"/>
      <c r="Y474" s="4"/>
      <c r="Z474" s="4"/>
      <c r="AA474" s="4"/>
      <c r="AB474" s="4"/>
      <c r="AC474" s="4"/>
      <c r="AD474" s="4"/>
      <c r="AE474" s="4"/>
      <c r="AF474" s="4"/>
      <c r="AG474" s="49"/>
      <c r="AH474" s="4"/>
      <c r="AI474" s="4"/>
      <c r="AJ474" s="4"/>
      <c r="AK474" s="4"/>
      <c r="AL474" s="4"/>
      <c r="AM474" s="4"/>
      <c r="AN474" s="44"/>
      <c r="AO474" s="8"/>
      <c r="AP474" s="8"/>
      <c r="AQ474" s="8"/>
      <c r="AR474" s="8"/>
      <c r="AS474" s="8"/>
      <c r="AT474" s="8"/>
      <c r="AU474" s="8"/>
      <c r="AV474" s="46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4"/>
      <c r="BX474" s="4"/>
    </row>
    <row r="475" spans="1:76" s="16" customFormat="1" x14ac:dyDescent="0.25">
      <c r="A475" s="26"/>
      <c r="B475" s="6"/>
      <c r="C475" s="7"/>
      <c r="D475" s="7"/>
      <c r="E475" s="7"/>
      <c r="F475" s="7"/>
      <c r="G475" s="7"/>
      <c r="H475" s="7"/>
      <c r="I475" s="4"/>
      <c r="J475" s="7"/>
      <c r="K475" s="7"/>
      <c r="L475" s="7"/>
      <c r="M475" s="7"/>
      <c r="N475" s="4"/>
      <c r="O475" s="4"/>
      <c r="P475" s="4"/>
      <c r="Q475" s="4"/>
      <c r="R475" s="4"/>
      <c r="S475" s="7"/>
      <c r="T475" s="7"/>
      <c r="U475" s="7"/>
      <c r="V475" s="7"/>
      <c r="W475" s="7"/>
      <c r="X475" s="7"/>
      <c r="Y475" s="4"/>
      <c r="Z475" s="4"/>
      <c r="AA475" s="4"/>
      <c r="AB475" s="4"/>
      <c r="AC475" s="4"/>
      <c r="AD475" s="4"/>
      <c r="AE475" s="4"/>
      <c r="AF475" s="4"/>
      <c r="AG475" s="49"/>
      <c r="AH475" s="4"/>
      <c r="AI475" s="4"/>
      <c r="AJ475" s="4"/>
      <c r="AK475" s="4"/>
      <c r="AL475" s="4"/>
      <c r="AM475" s="4"/>
      <c r="AN475" s="44"/>
      <c r="AO475" s="8"/>
      <c r="AP475" s="8"/>
      <c r="AQ475" s="8"/>
      <c r="AR475" s="8"/>
      <c r="AS475" s="8"/>
      <c r="AT475" s="8"/>
      <c r="AU475" s="8"/>
      <c r="AV475" s="46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4"/>
      <c r="BX475" s="4"/>
    </row>
    <row r="476" spans="1:76" s="16" customFormat="1" x14ac:dyDescent="0.25">
      <c r="A476" s="26"/>
      <c r="B476" s="6"/>
      <c r="C476" s="7"/>
      <c r="D476" s="7"/>
      <c r="E476" s="7"/>
      <c r="F476" s="7"/>
      <c r="G476" s="7"/>
      <c r="H476" s="7"/>
      <c r="I476" s="4"/>
      <c r="J476" s="7"/>
      <c r="K476" s="7"/>
      <c r="L476" s="7"/>
      <c r="M476" s="7"/>
      <c r="N476" s="4"/>
      <c r="O476" s="4"/>
      <c r="P476" s="4"/>
      <c r="Q476" s="4"/>
      <c r="R476" s="4"/>
      <c r="S476" s="7"/>
      <c r="T476" s="7"/>
      <c r="U476" s="7"/>
      <c r="V476" s="7"/>
      <c r="W476" s="7"/>
      <c r="X476" s="7"/>
      <c r="Y476" s="4"/>
      <c r="Z476" s="4"/>
      <c r="AA476" s="4"/>
      <c r="AB476" s="4"/>
      <c r="AC476" s="4"/>
      <c r="AD476" s="4"/>
      <c r="AE476" s="4"/>
      <c r="AF476" s="4"/>
      <c r="AG476" s="49"/>
      <c r="AH476" s="4"/>
      <c r="AI476" s="4"/>
      <c r="AJ476" s="4"/>
      <c r="AK476" s="4"/>
      <c r="AL476" s="4"/>
      <c r="AM476" s="4"/>
      <c r="AN476" s="44"/>
      <c r="AO476" s="8"/>
      <c r="AP476" s="8"/>
      <c r="AQ476" s="8"/>
      <c r="AR476" s="8"/>
      <c r="AS476" s="8"/>
      <c r="AT476" s="8"/>
      <c r="AU476" s="8"/>
      <c r="AV476" s="46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4"/>
      <c r="BX476" s="4"/>
    </row>
    <row r="477" spans="1:76" s="16" customFormat="1" x14ac:dyDescent="0.25">
      <c r="A477" s="26"/>
      <c r="B477" s="6"/>
      <c r="C477" s="7"/>
      <c r="D477" s="7"/>
      <c r="E477" s="7"/>
      <c r="F477" s="7"/>
      <c r="G477" s="7"/>
      <c r="H477" s="7"/>
      <c r="I477" s="4"/>
      <c r="J477" s="7"/>
      <c r="K477" s="7"/>
      <c r="L477" s="7"/>
      <c r="M477" s="7"/>
      <c r="N477" s="4"/>
      <c r="O477" s="4"/>
      <c r="P477" s="4"/>
      <c r="Q477" s="4"/>
      <c r="R477" s="4"/>
      <c r="S477" s="7"/>
      <c r="T477" s="7"/>
      <c r="U477" s="7"/>
      <c r="V477" s="7"/>
      <c r="W477" s="7"/>
      <c r="X477" s="7"/>
      <c r="Y477" s="4"/>
      <c r="Z477" s="4"/>
      <c r="AA477" s="4"/>
      <c r="AB477" s="4"/>
      <c r="AC477" s="4"/>
      <c r="AD477" s="4"/>
      <c r="AE477" s="4"/>
      <c r="AF477" s="4"/>
      <c r="AG477" s="49"/>
      <c r="AH477" s="4"/>
      <c r="AI477" s="4"/>
      <c r="AJ477" s="4"/>
      <c r="AK477" s="4"/>
      <c r="AL477" s="4"/>
      <c r="AM477" s="4"/>
      <c r="AN477" s="44"/>
      <c r="AO477" s="8"/>
      <c r="AP477" s="8"/>
      <c r="AQ477" s="8"/>
      <c r="AR477" s="8"/>
      <c r="AS477" s="8"/>
      <c r="AT477" s="8"/>
      <c r="AU477" s="8"/>
      <c r="AV477" s="46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4"/>
      <c r="BX477" s="4"/>
    </row>
    <row r="478" spans="1:76" s="16" customFormat="1" x14ac:dyDescent="0.25">
      <c r="A478" s="26"/>
      <c r="B478" s="6"/>
      <c r="C478" s="7"/>
      <c r="D478" s="7"/>
      <c r="E478" s="7"/>
      <c r="F478" s="7"/>
      <c r="G478" s="7"/>
      <c r="H478" s="7"/>
      <c r="I478" s="4"/>
      <c r="J478" s="7"/>
      <c r="K478" s="7"/>
      <c r="L478" s="7"/>
      <c r="M478" s="7"/>
      <c r="N478" s="4"/>
      <c r="O478" s="4"/>
      <c r="P478" s="4"/>
      <c r="Q478" s="4"/>
      <c r="R478" s="4"/>
      <c r="S478" s="7"/>
      <c r="T478" s="7"/>
      <c r="U478" s="7"/>
      <c r="V478" s="7"/>
      <c r="W478" s="7"/>
      <c r="X478" s="7"/>
      <c r="Y478" s="4"/>
      <c r="Z478" s="4"/>
      <c r="AA478" s="4"/>
      <c r="AB478" s="4"/>
      <c r="AC478" s="4"/>
      <c r="AD478" s="4"/>
      <c r="AE478" s="4"/>
      <c r="AF478" s="4"/>
      <c r="AG478" s="49"/>
      <c r="AH478" s="4"/>
      <c r="AI478" s="4"/>
      <c r="AJ478" s="4"/>
      <c r="AK478" s="4"/>
      <c r="AL478" s="4"/>
      <c r="AM478" s="4"/>
      <c r="AN478" s="44"/>
      <c r="AO478" s="8"/>
      <c r="AP478" s="8"/>
      <c r="AQ478" s="8"/>
      <c r="AR478" s="8"/>
      <c r="AS478" s="8"/>
      <c r="AT478" s="8"/>
      <c r="AU478" s="8"/>
      <c r="AV478" s="46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4"/>
      <c r="BX478" s="4"/>
    </row>
    <row r="479" spans="1:76" s="16" customFormat="1" x14ac:dyDescent="0.25">
      <c r="A479" s="26"/>
      <c r="B479" s="6"/>
      <c r="C479" s="7"/>
      <c r="D479" s="7"/>
      <c r="E479" s="7"/>
      <c r="F479" s="7"/>
      <c r="G479" s="7"/>
      <c r="H479" s="7"/>
      <c r="I479" s="4"/>
      <c r="J479" s="7"/>
      <c r="K479" s="7"/>
      <c r="L479" s="7"/>
      <c r="M479" s="7"/>
      <c r="N479" s="4"/>
      <c r="O479" s="4"/>
      <c r="P479" s="4"/>
      <c r="Q479" s="4"/>
      <c r="R479" s="4"/>
      <c r="S479" s="7"/>
      <c r="T479" s="7"/>
      <c r="U479" s="7"/>
      <c r="V479" s="7"/>
      <c r="W479" s="7"/>
      <c r="X479" s="7"/>
      <c r="Y479" s="4"/>
      <c r="Z479" s="4"/>
      <c r="AA479" s="4"/>
      <c r="AB479" s="4"/>
      <c r="AC479" s="4"/>
      <c r="AD479" s="4"/>
      <c r="AE479" s="4"/>
      <c r="AF479" s="4"/>
      <c r="AG479" s="49"/>
      <c r="AH479" s="4"/>
      <c r="AI479" s="4"/>
      <c r="AJ479" s="4"/>
      <c r="AK479" s="4"/>
      <c r="AL479" s="4"/>
      <c r="AM479" s="4"/>
      <c r="AN479" s="44"/>
      <c r="AO479" s="8"/>
      <c r="AP479" s="8"/>
      <c r="AQ479" s="8"/>
      <c r="AR479" s="8"/>
      <c r="AS479" s="8"/>
      <c r="AT479" s="8"/>
      <c r="AU479" s="8"/>
      <c r="AV479" s="46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4"/>
      <c r="BX479" s="4"/>
    </row>
    <row r="480" spans="1:76" s="16" customFormat="1" x14ac:dyDescent="0.25">
      <c r="A480" s="26"/>
      <c r="B480" s="6"/>
      <c r="C480" s="7"/>
      <c r="D480" s="7"/>
      <c r="E480" s="7"/>
      <c r="F480" s="7"/>
      <c r="G480" s="7"/>
      <c r="H480" s="7"/>
      <c r="I480" s="4"/>
      <c r="J480" s="7"/>
      <c r="K480" s="7"/>
      <c r="L480" s="7"/>
      <c r="M480" s="7"/>
      <c r="N480" s="4"/>
      <c r="O480" s="4"/>
      <c r="P480" s="4"/>
      <c r="Q480" s="4"/>
      <c r="R480" s="4"/>
      <c r="S480" s="7"/>
      <c r="T480" s="7"/>
      <c r="U480" s="7"/>
      <c r="V480" s="7"/>
      <c r="W480" s="7"/>
      <c r="X480" s="7"/>
      <c r="Y480" s="4"/>
      <c r="Z480" s="4"/>
      <c r="AA480" s="4"/>
      <c r="AB480" s="4"/>
      <c r="AC480" s="4"/>
      <c r="AD480" s="4"/>
      <c r="AE480" s="4"/>
      <c r="AF480" s="4"/>
      <c r="AG480" s="49"/>
      <c r="AH480" s="4"/>
      <c r="AI480" s="4"/>
      <c r="AJ480" s="4"/>
      <c r="AK480" s="4"/>
      <c r="AL480" s="4"/>
      <c r="AM480" s="4"/>
      <c r="AN480" s="44"/>
      <c r="AO480" s="8"/>
      <c r="AP480" s="8"/>
      <c r="AQ480" s="8"/>
      <c r="AR480" s="8"/>
      <c r="AS480" s="8"/>
      <c r="AT480" s="8"/>
      <c r="AU480" s="8"/>
      <c r="AV480" s="46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4"/>
      <c r="BX480" s="4"/>
    </row>
    <row r="481" spans="1:76" s="16" customFormat="1" x14ac:dyDescent="0.25">
      <c r="A481" s="26"/>
      <c r="B481" s="6"/>
      <c r="C481" s="7"/>
      <c r="D481" s="7"/>
      <c r="E481" s="7"/>
      <c r="F481" s="7"/>
      <c r="G481" s="7"/>
      <c r="H481" s="7"/>
      <c r="I481" s="4"/>
      <c r="J481" s="7"/>
      <c r="K481" s="7"/>
      <c r="L481" s="7"/>
      <c r="M481" s="7"/>
      <c r="N481" s="4"/>
      <c r="O481" s="4"/>
      <c r="P481" s="4"/>
      <c r="Q481" s="4"/>
      <c r="R481" s="4"/>
      <c r="S481" s="7"/>
      <c r="T481" s="7"/>
      <c r="U481" s="7"/>
      <c r="V481" s="7"/>
      <c r="W481" s="7"/>
      <c r="X481" s="7"/>
      <c r="Y481" s="4"/>
      <c r="Z481" s="4"/>
      <c r="AA481" s="4"/>
      <c r="AB481" s="4"/>
      <c r="AC481" s="4"/>
      <c r="AD481" s="4"/>
      <c r="AE481" s="4"/>
      <c r="AF481" s="4"/>
      <c r="AG481" s="49"/>
      <c r="AH481" s="4"/>
      <c r="AI481" s="4"/>
      <c r="AJ481" s="4"/>
      <c r="AK481" s="4"/>
      <c r="AL481" s="4"/>
      <c r="AM481" s="4"/>
      <c r="AN481" s="44"/>
      <c r="AO481" s="8"/>
      <c r="AP481" s="8"/>
      <c r="AQ481" s="8"/>
      <c r="AR481" s="8"/>
      <c r="AS481" s="8"/>
      <c r="AT481" s="8"/>
      <c r="AU481" s="8"/>
      <c r="AV481" s="46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4"/>
      <c r="BX481" s="4"/>
    </row>
    <row r="482" spans="1:76" s="16" customFormat="1" x14ac:dyDescent="0.25">
      <c r="A482" s="26"/>
      <c r="B482" s="6"/>
      <c r="C482" s="7"/>
      <c r="D482" s="7"/>
      <c r="E482" s="7"/>
      <c r="F482" s="7"/>
      <c r="G482" s="7"/>
      <c r="H482" s="7"/>
      <c r="I482" s="4"/>
      <c r="J482" s="7"/>
      <c r="K482" s="7"/>
      <c r="L482" s="7"/>
      <c r="M482" s="7"/>
      <c r="N482" s="4"/>
      <c r="O482" s="4"/>
      <c r="P482" s="4"/>
      <c r="Q482" s="4"/>
      <c r="R482" s="4"/>
      <c r="S482" s="7"/>
      <c r="T482" s="7"/>
      <c r="U482" s="7"/>
      <c r="V482" s="7"/>
      <c r="W482" s="7"/>
      <c r="X482" s="7"/>
      <c r="Y482" s="4"/>
      <c r="Z482" s="4"/>
      <c r="AA482" s="4"/>
      <c r="AB482" s="4"/>
      <c r="AC482" s="4"/>
      <c r="AD482" s="4"/>
      <c r="AE482" s="4"/>
      <c r="AF482" s="4"/>
      <c r="AG482" s="49"/>
      <c r="AH482" s="4"/>
      <c r="AI482" s="4"/>
      <c r="AJ482" s="4"/>
      <c r="AK482" s="4"/>
      <c r="AL482" s="4"/>
      <c r="AM482" s="4"/>
      <c r="AN482" s="44"/>
      <c r="AO482" s="8"/>
      <c r="AP482" s="8"/>
      <c r="AQ482" s="8"/>
      <c r="AR482" s="8"/>
      <c r="AS482" s="8"/>
      <c r="AT482" s="8"/>
      <c r="AU482" s="8"/>
      <c r="AV482" s="46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4"/>
      <c r="BX482" s="4"/>
    </row>
    <row r="483" spans="1:76" s="16" customFormat="1" x14ac:dyDescent="0.25">
      <c r="A483" s="26"/>
      <c r="B483" s="6"/>
      <c r="C483" s="7"/>
      <c r="D483" s="7"/>
      <c r="E483" s="7"/>
      <c r="F483" s="7"/>
      <c r="G483" s="7"/>
      <c r="H483" s="7"/>
      <c r="I483" s="4"/>
      <c r="J483" s="7"/>
      <c r="K483" s="7"/>
      <c r="L483" s="7"/>
      <c r="M483" s="7"/>
      <c r="N483" s="4"/>
      <c r="O483" s="4"/>
      <c r="P483" s="4"/>
      <c r="Q483" s="4"/>
      <c r="R483" s="4"/>
      <c r="S483" s="7"/>
      <c r="T483" s="7"/>
      <c r="U483" s="7"/>
      <c r="V483" s="7"/>
      <c r="W483" s="7"/>
      <c r="X483" s="7"/>
      <c r="Y483" s="4"/>
      <c r="Z483" s="4"/>
      <c r="AA483" s="4"/>
      <c r="AB483" s="4"/>
      <c r="AC483" s="4"/>
      <c r="AD483" s="4"/>
      <c r="AE483" s="4"/>
      <c r="AF483" s="4"/>
      <c r="AG483" s="49"/>
      <c r="AH483" s="4"/>
      <c r="AI483" s="4"/>
      <c r="AJ483" s="4"/>
      <c r="AK483" s="4"/>
      <c r="AL483" s="4"/>
      <c r="AM483" s="4"/>
      <c r="AN483" s="44"/>
      <c r="AO483" s="8"/>
      <c r="AP483" s="8"/>
      <c r="AQ483" s="8"/>
      <c r="AR483" s="8"/>
      <c r="AS483" s="8"/>
      <c r="AT483" s="8"/>
      <c r="AU483" s="8"/>
      <c r="AV483" s="46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4"/>
      <c r="BX483" s="4"/>
    </row>
    <row r="484" spans="1:76" s="16" customFormat="1" x14ac:dyDescent="0.25">
      <c r="A484" s="26"/>
      <c r="B484" s="6"/>
      <c r="C484" s="7"/>
      <c r="D484" s="7"/>
      <c r="E484" s="7"/>
      <c r="F484" s="7"/>
      <c r="G484" s="7"/>
      <c r="H484" s="7"/>
      <c r="I484" s="4"/>
      <c r="J484" s="7"/>
      <c r="K484" s="7"/>
      <c r="L484" s="7"/>
      <c r="M484" s="7"/>
      <c r="N484" s="4"/>
      <c r="O484" s="4"/>
      <c r="P484" s="4"/>
      <c r="Q484" s="4"/>
      <c r="R484" s="4"/>
      <c r="S484" s="7"/>
      <c r="T484" s="7"/>
      <c r="U484" s="7"/>
      <c r="V484" s="7"/>
      <c r="W484" s="7"/>
      <c r="X484" s="7"/>
      <c r="Y484" s="4"/>
      <c r="Z484" s="4"/>
      <c r="AA484" s="4"/>
      <c r="AB484" s="4"/>
      <c r="AC484" s="4"/>
      <c r="AD484" s="4"/>
      <c r="AE484" s="4"/>
      <c r="AF484" s="4"/>
      <c r="AG484" s="49"/>
      <c r="AH484" s="4"/>
      <c r="AI484" s="4"/>
      <c r="AJ484" s="4"/>
      <c r="AK484" s="4"/>
      <c r="AL484" s="4"/>
      <c r="AM484" s="4"/>
      <c r="AN484" s="44"/>
      <c r="AO484" s="8"/>
      <c r="AP484" s="8"/>
      <c r="AQ484" s="8"/>
      <c r="AR484" s="8"/>
      <c r="AS484" s="8"/>
      <c r="AT484" s="8"/>
      <c r="AU484" s="8"/>
      <c r="AV484" s="46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4"/>
      <c r="BX484" s="4"/>
    </row>
    <row r="485" spans="1:76" s="16" customFormat="1" x14ac:dyDescent="0.25">
      <c r="A485" s="26"/>
      <c r="B485" s="6"/>
      <c r="C485" s="7"/>
      <c r="D485" s="7"/>
      <c r="E485" s="7"/>
      <c r="F485" s="7"/>
      <c r="G485" s="7"/>
      <c r="H485" s="7"/>
      <c r="I485" s="4"/>
      <c r="J485" s="7"/>
      <c r="K485" s="7"/>
      <c r="L485" s="7"/>
      <c r="M485" s="7"/>
      <c r="N485" s="4"/>
      <c r="O485" s="4"/>
      <c r="P485" s="4"/>
      <c r="Q485" s="4"/>
      <c r="R485" s="4"/>
      <c r="S485" s="7"/>
      <c r="T485" s="7"/>
      <c r="U485" s="7"/>
      <c r="V485" s="7"/>
      <c r="W485" s="7"/>
      <c r="X485" s="7"/>
      <c r="Y485" s="4"/>
      <c r="Z485" s="4"/>
      <c r="AA485" s="4"/>
      <c r="AB485" s="4"/>
      <c r="AC485" s="4"/>
      <c r="AD485" s="4"/>
      <c r="AE485" s="4"/>
      <c r="AF485" s="4"/>
      <c r="AG485" s="49"/>
      <c r="AH485" s="4"/>
      <c r="AI485" s="4"/>
      <c r="AJ485" s="4"/>
      <c r="AK485" s="4"/>
      <c r="AL485" s="4"/>
      <c r="AM485" s="4"/>
      <c r="AN485" s="44"/>
      <c r="AO485" s="8"/>
      <c r="AP485" s="8"/>
      <c r="AQ485" s="8"/>
      <c r="AR485" s="8"/>
      <c r="AS485" s="8"/>
      <c r="AT485" s="8"/>
      <c r="AU485" s="8"/>
      <c r="AV485" s="46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4"/>
      <c r="BX485" s="4"/>
    </row>
    <row r="486" spans="1:76" s="16" customFormat="1" x14ac:dyDescent="0.25">
      <c r="A486" s="26"/>
      <c r="B486" s="6"/>
      <c r="C486" s="7"/>
      <c r="D486" s="7"/>
      <c r="E486" s="7"/>
      <c r="F486" s="7"/>
      <c r="G486" s="7"/>
      <c r="H486" s="7"/>
      <c r="I486" s="4"/>
      <c r="J486" s="7"/>
      <c r="K486" s="7"/>
      <c r="L486" s="7"/>
      <c r="M486" s="7"/>
      <c r="N486" s="4"/>
      <c r="O486" s="4"/>
      <c r="P486" s="4"/>
      <c r="Q486" s="4"/>
      <c r="R486" s="4"/>
      <c r="S486" s="7"/>
      <c r="T486" s="7"/>
      <c r="U486" s="7"/>
      <c r="V486" s="7"/>
      <c r="W486" s="7"/>
      <c r="X486" s="7"/>
      <c r="Y486" s="4"/>
      <c r="Z486" s="4"/>
      <c r="AA486" s="4"/>
      <c r="AB486" s="4"/>
      <c r="AC486" s="4"/>
      <c r="AD486" s="4"/>
      <c r="AE486" s="4"/>
      <c r="AF486" s="4"/>
      <c r="AG486" s="49"/>
      <c r="AH486" s="4"/>
      <c r="AI486" s="4"/>
      <c r="AJ486" s="4"/>
      <c r="AK486" s="4"/>
      <c r="AL486" s="4"/>
      <c r="AM486" s="4"/>
      <c r="AN486" s="44"/>
      <c r="AO486" s="8"/>
      <c r="AP486" s="8"/>
      <c r="AQ486" s="8"/>
      <c r="AR486" s="8"/>
      <c r="AS486" s="8"/>
      <c r="AT486" s="8"/>
      <c r="AU486" s="8"/>
      <c r="AV486" s="46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4"/>
      <c r="BX486" s="4"/>
    </row>
    <row r="487" spans="1:76" s="16" customFormat="1" x14ac:dyDescent="0.25">
      <c r="A487" s="26"/>
      <c r="B487" s="6"/>
      <c r="C487" s="7"/>
      <c r="D487" s="7"/>
      <c r="E487" s="7"/>
      <c r="F487" s="7"/>
      <c r="G487" s="7"/>
      <c r="H487" s="7"/>
      <c r="I487" s="4"/>
      <c r="J487" s="7"/>
      <c r="K487" s="7"/>
      <c r="L487" s="7"/>
      <c r="M487" s="7"/>
      <c r="N487" s="4"/>
      <c r="O487" s="4"/>
      <c r="P487" s="4"/>
      <c r="Q487" s="4"/>
      <c r="R487" s="4"/>
      <c r="S487" s="7"/>
      <c r="T487" s="7"/>
      <c r="U487" s="7"/>
      <c r="V487" s="7"/>
      <c r="W487" s="7"/>
      <c r="X487" s="7"/>
      <c r="Y487" s="4"/>
      <c r="Z487" s="4"/>
      <c r="AA487" s="4"/>
      <c r="AB487" s="4"/>
      <c r="AC487" s="4"/>
      <c r="AD487" s="4"/>
      <c r="AE487" s="4"/>
      <c r="AF487" s="4"/>
      <c r="AG487" s="49"/>
      <c r="AH487" s="4"/>
      <c r="AI487" s="4"/>
      <c r="AJ487" s="4"/>
      <c r="AK487" s="4"/>
      <c r="AL487" s="4"/>
      <c r="AM487" s="4"/>
      <c r="AN487" s="44"/>
      <c r="AO487" s="8"/>
      <c r="AP487" s="8"/>
      <c r="AQ487" s="8"/>
      <c r="AR487" s="8"/>
      <c r="AS487" s="8"/>
      <c r="AT487" s="8"/>
      <c r="AU487" s="8"/>
      <c r="AV487" s="46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4"/>
      <c r="BX487" s="4"/>
    </row>
    <row r="488" spans="1:76" s="16" customFormat="1" x14ac:dyDescent="0.25">
      <c r="A488" s="26"/>
      <c r="B488" s="6"/>
      <c r="C488" s="7"/>
      <c r="D488" s="7"/>
      <c r="E488" s="7"/>
      <c r="F488" s="7"/>
      <c r="G488" s="7"/>
      <c r="H488" s="7"/>
      <c r="I488" s="4"/>
      <c r="J488" s="7"/>
      <c r="K488" s="7"/>
      <c r="L488" s="7"/>
      <c r="M488" s="7"/>
      <c r="N488" s="4"/>
      <c r="O488" s="4"/>
      <c r="P488" s="4"/>
      <c r="Q488" s="4"/>
      <c r="R488" s="4"/>
      <c r="S488" s="7"/>
      <c r="T488" s="7"/>
      <c r="U488" s="7"/>
      <c r="V488" s="7"/>
      <c r="W488" s="7"/>
      <c r="X488" s="7"/>
      <c r="Y488" s="4"/>
      <c r="Z488" s="4"/>
      <c r="AA488" s="4"/>
      <c r="AB488" s="4"/>
      <c r="AC488" s="4"/>
      <c r="AD488" s="4"/>
      <c r="AE488" s="4"/>
      <c r="AF488" s="4"/>
      <c r="AG488" s="49"/>
      <c r="AH488" s="4"/>
      <c r="AI488" s="4"/>
      <c r="AJ488" s="4"/>
      <c r="AK488" s="4"/>
      <c r="AL488" s="4"/>
      <c r="AM488" s="4"/>
      <c r="AN488" s="44"/>
      <c r="AO488" s="8"/>
      <c r="AP488" s="8"/>
      <c r="AQ488" s="8"/>
      <c r="AR488" s="8"/>
      <c r="AS488" s="8"/>
      <c r="AT488" s="8"/>
      <c r="AU488" s="8"/>
      <c r="AV488" s="46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4"/>
      <c r="BX488" s="4"/>
    </row>
    <row r="489" spans="1:76" s="16" customFormat="1" x14ac:dyDescent="0.25">
      <c r="A489" s="26"/>
      <c r="B489" s="6"/>
      <c r="C489" s="7"/>
      <c r="D489" s="7"/>
      <c r="E489" s="7"/>
      <c r="F489" s="7"/>
      <c r="G489" s="7"/>
      <c r="H489" s="7"/>
      <c r="I489" s="4"/>
      <c r="J489" s="7"/>
      <c r="K489" s="7"/>
      <c r="L489" s="7"/>
      <c r="M489" s="7"/>
      <c r="N489" s="4"/>
      <c r="O489" s="4"/>
      <c r="P489" s="4"/>
      <c r="Q489" s="4"/>
      <c r="R489" s="4"/>
      <c r="S489" s="7"/>
      <c r="T489" s="7"/>
      <c r="U489" s="7"/>
      <c r="V489" s="7"/>
      <c r="W489" s="7"/>
      <c r="X489" s="7"/>
      <c r="Y489" s="4"/>
      <c r="Z489" s="4"/>
      <c r="AA489" s="4"/>
      <c r="AB489" s="4"/>
      <c r="AC489" s="4"/>
      <c r="AD489" s="4"/>
      <c r="AE489" s="4"/>
      <c r="AF489" s="4"/>
      <c r="AG489" s="49"/>
      <c r="AH489" s="4"/>
      <c r="AI489" s="4"/>
      <c r="AJ489" s="4"/>
      <c r="AK489" s="4"/>
      <c r="AL489" s="4"/>
      <c r="AM489" s="4"/>
      <c r="AN489" s="44"/>
      <c r="AO489" s="8"/>
      <c r="AP489" s="8"/>
      <c r="AQ489" s="8"/>
      <c r="AR489" s="8"/>
      <c r="AS489" s="8"/>
      <c r="AT489" s="8"/>
      <c r="AU489" s="8"/>
      <c r="AV489" s="46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4"/>
      <c r="BX489" s="4"/>
    </row>
    <row r="490" spans="1:76" s="16" customFormat="1" x14ac:dyDescent="0.25">
      <c r="A490" s="26"/>
      <c r="B490" s="6"/>
      <c r="C490" s="7"/>
      <c r="D490" s="7"/>
      <c r="E490" s="7"/>
      <c r="F490" s="7"/>
      <c r="G490" s="7"/>
      <c r="H490" s="7"/>
      <c r="I490" s="4"/>
      <c r="J490" s="7"/>
      <c r="K490" s="7"/>
      <c r="L490" s="7"/>
      <c r="M490" s="7"/>
      <c r="N490" s="4"/>
      <c r="O490" s="4"/>
      <c r="P490" s="4"/>
      <c r="Q490" s="4"/>
      <c r="R490" s="4"/>
      <c r="S490" s="7"/>
      <c r="T490" s="7"/>
      <c r="U490" s="7"/>
      <c r="V490" s="7"/>
      <c r="W490" s="7"/>
      <c r="X490" s="7"/>
      <c r="Y490" s="4"/>
      <c r="Z490" s="4"/>
      <c r="AA490" s="4"/>
      <c r="AB490" s="4"/>
      <c r="AC490" s="4"/>
      <c r="AD490" s="4"/>
      <c r="AE490" s="4"/>
      <c r="AF490" s="4"/>
      <c r="AG490" s="49"/>
      <c r="AH490" s="4"/>
      <c r="AI490" s="4"/>
      <c r="AJ490" s="4"/>
      <c r="AK490" s="4"/>
      <c r="AL490" s="4"/>
      <c r="AM490" s="4"/>
      <c r="AN490" s="44"/>
      <c r="AO490" s="8"/>
      <c r="AP490" s="8"/>
      <c r="AQ490" s="8"/>
      <c r="AR490" s="8"/>
      <c r="AS490" s="8"/>
      <c r="AT490" s="8"/>
      <c r="AU490" s="8"/>
      <c r="AV490" s="46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4"/>
      <c r="BX490" s="4"/>
    </row>
    <row r="491" spans="1:76" s="16" customFormat="1" x14ac:dyDescent="0.25">
      <c r="A491" s="26"/>
      <c r="B491" s="6"/>
      <c r="C491" s="7"/>
      <c r="D491" s="7"/>
      <c r="E491" s="7"/>
      <c r="F491" s="7"/>
      <c r="G491" s="7"/>
      <c r="H491" s="7"/>
      <c r="I491" s="4"/>
      <c r="J491" s="7"/>
      <c r="K491" s="7"/>
      <c r="L491" s="7"/>
      <c r="M491" s="7"/>
      <c r="N491" s="4"/>
      <c r="O491" s="4"/>
      <c r="P491" s="4"/>
      <c r="Q491" s="4"/>
      <c r="R491" s="4"/>
      <c r="S491" s="7"/>
      <c r="T491" s="7"/>
      <c r="U491" s="7"/>
      <c r="V491" s="7"/>
      <c r="W491" s="7"/>
      <c r="X491" s="7"/>
      <c r="Y491" s="4"/>
      <c r="Z491" s="4"/>
      <c r="AA491" s="4"/>
      <c r="AB491" s="4"/>
      <c r="AC491" s="4"/>
      <c r="AD491" s="4"/>
      <c r="AE491" s="4"/>
      <c r="AF491" s="4"/>
      <c r="AG491" s="49"/>
      <c r="AH491" s="4"/>
      <c r="AI491" s="4"/>
      <c r="AJ491" s="4"/>
      <c r="AK491" s="4"/>
      <c r="AL491" s="4"/>
      <c r="AM491" s="4"/>
      <c r="AN491" s="44"/>
      <c r="AO491" s="8"/>
      <c r="AP491" s="8"/>
      <c r="AQ491" s="8"/>
      <c r="AR491" s="8"/>
      <c r="AS491" s="8"/>
      <c r="AT491" s="8"/>
      <c r="AU491" s="8"/>
      <c r="AV491" s="46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4"/>
      <c r="BX491" s="4"/>
    </row>
    <row r="492" spans="1:76" s="16" customFormat="1" x14ac:dyDescent="0.25">
      <c r="A492" s="26"/>
      <c r="B492" s="6"/>
      <c r="C492" s="7"/>
      <c r="D492" s="7"/>
      <c r="E492" s="7"/>
      <c r="F492" s="7"/>
      <c r="G492" s="7"/>
      <c r="H492" s="7"/>
      <c r="I492" s="4"/>
      <c r="J492" s="7"/>
      <c r="K492" s="7"/>
      <c r="L492" s="7"/>
      <c r="M492" s="7"/>
      <c r="N492" s="4"/>
      <c r="O492" s="4"/>
      <c r="P492" s="4"/>
      <c r="Q492" s="4"/>
      <c r="R492" s="4"/>
      <c r="S492" s="7"/>
      <c r="T492" s="7"/>
      <c r="U492" s="7"/>
      <c r="V492" s="7"/>
      <c r="W492" s="7"/>
      <c r="X492" s="7"/>
      <c r="Y492" s="4"/>
      <c r="Z492" s="4"/>
      <c r="AA492" s="4"/>
      <c r="AB492" s="4"/>
      <c r="AC492" s="4"/>
      <c r="AD492" s="4"/>
      <c r="AE492" s="4"/>
      <c r="AF492" s="4"/>
      <c r="AG492" s="49"/>
      <c r="AH492" s="4"/>
      <c r="AI492" s="4"/>
      <c r="AJ492" s="4"/>
      <c r="AK492" s="4"/>
      <c r="AL492" s="4"/>
      <c r="AM492" s="4"/>
      <c r="AN492" s="44"/>
      <c r="AO492" s="8"/>
      <c r="AP492" s="8"/>
      <c r="AQ492" s="8"/>
      <c r="AR492" s="8"/>
      <c r="AS492" s="8"/>
      <c r="AT492" s="8"/>
      <c r="AU492" s="8"/>
      <c r="AV492" s="46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4"/>
      <c r="BX492" s="4"/>
    </row>
    <row r="493" spans="1:76" s="16" customFormat="1" x14ac:dyDescent="0.25">
      <c r="A493" s="26"/>
      <c r="B493" s="6"/>
      <c r="C493" s="7"/>
      <c r="D493" s="7"/>
      <c r="E493" s="7"/>
      <c r="F493" s="7"/>
      <c r="G493" s="7"/>
      <c r="H493" s="7"/>
      <c r="I493" s="4"/>
      <c r="J493" s="7"/>
      <c r="K493" s="7"/>
      <c r="L493" s="7"/>
      <c r="M493" s="7"/>
      <c r="N493" s="4"/>
      <c r="O493" s="4"/>
      <c r="P493" s="4"/>
      <c r="Q493" s="4"/>
      <c r="R493" s="4"/>
      <c r="S493" s="7"/>
      <c r="T493" s="7"/>
      <c r="U493" s="7"/>
      <c r="V493" s="7"/>
      <c r="W493" s="7"/>
      <c r="X493" s="7"/>
      <c r="Y493" s="4"/>
      <c r="Z493" s="4"/>
      <c r="AA493" s="4"/>
      <c r="AB493" s="4"/>
      <c r="AC493" s="4"/>
      <c r="AD493" s="4"/>
      <c r="AE493" s="4"/>
      <c r="AF493" s="4"/>
      <c r="AG493" s="49"/>
      <c r="AH493" s="4"/>
      <c r="AI493" s="4"/>
      <c r="AJ493" s="4"/>
      <c r="AK493" s="4"/>
      <c r="AL493" s="4"/>
      <c r="AM493" s="4"/>
      <c r="AN493" s="44"/>
      <c r="AO493" s="8"/>
      <c r="AP493" s="8"/>
      <c r="AQ493" s="8"/>
      <c r="AR493" s="8"/>
      <c r="AS493" s="8"/>
      <c r="AT493" s="8"/>
      <c r="AU493" s="8"/>
      <c r="AV493" s="46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4"/>
      <c r="BX493" s="4"/>
    </row>
    <row r="494" spans="1:76" s="16" customFormat="1" x14ac:dyDescent="0.25">
      <c r="A494" s="26"/>
      <c r="B494" s="6"/>
      <c r="C494" s="7"/>
      <c r="D494" s="7"/>
      <c r="E494" s="7"/>
      <c r="F494" s="7"/>
      <c r="G494" s="7"/>
      <c r="H494" s="7"/>
      <c r="I494" s="4"/>
      <c r="J494" s="7"/>
      <c r="K494" s="7"/>
      <c r="L494" s="7"/>
      <c r="M494" s="7"/>
      <c r="N494" s="4"/>
      <c r="O494" s="4"/>
      <c r="P494" s="4"/>
      <c r="Q494" s="4"/>
      <c r="R494" s="4"/>
      <c r="S494" s="7"/>
      <c r="T494" s="7"/>
      <c r="U494" s="7"/>
      <c r="V494" s="7"/>
      <c r="W494" s="7"/>
      <c r="X494" s="7"/>
      <c r="Y494" s="4"/>
      <c r="Z494" s="4"/>
      <c r="AA494" s="4"/>
      <c r="AB494" s="4"/>
      <c r="AC494" s="4"/>
      <c r="AD494" s="4"/>
      <c r="AE494" s="4"/>
      <c r="AF494" s="4"/>
      <c r="AG494" s="49"/>
      <c r="AH494" s="4"/>
      <c r="AI494" s="4"/>
      <c r="AJ494" s="4"/>
      <c r="AK494" s="4"/>
      <c r="AL494" s="4"/>
      <c r="AM494" s="4"/>
      <c r="AN494" s="44"/>
      <c r="AO494" s="8"/>
      <c r="AP494" s="8"/>
      <c r="AQ494" s="8"/>
      <c r="AR494" s="8"/>
      <c r="AS494" s="8"/>
      <c r="AT494" s="8"/>
      <c r="AU494" s="8"/>
      <c r="AV494" s="46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4"/>
      <c r="BX494" s="4"/>
    </row>
    <row r="495" spans="1:76" s="16" customFormat="1" x14ac:dyDescent="0.25">
      <c r="A495" s="26"/>
      <c r="B495" s="6"/>
      <c r="C495" s="7"/>
      <c r="D495" s="7"/>
      <c r="E495" s="7"/>
      <c r="F495" s="7"/>
      <c r="G495" s="7"/>
      <c r="H495" s="7"/>
      <c r="I495" s="4"/>
      <c r="J495" s="7"/>
      <c r="K495" s="7"/>
      <c r="L495" s="7"/>
      <c r="M495" s="7"/>
      <c r="N495" s="4"/>
      <c r="O495" s="4"/>
      <c r="P495" s="4"/>
      <c r="Q495" s="4"/>
      <c r="R495" s="4"/>
      <c r="S495" s="7"/>
      <c r="T495" s="7"/>
      <c r="U495" s="7"/>
      <c r="V495" s="7"/>
      <c r="W495" s="7"/>
      <c r="X495" s="7"/>
      <c r="Y495" s="4"/>
      <c r="Z495" s="4"/>
      <c r="AA495" s="4"/>
      <c r="AB495" s="4"/>
      <c r="AC495" s="4"/>
      <c r="AD495" s="4"/>
      <c r="AE495" s="4"/>
      <c r="AF495" s="4"/>
      <c r="AG495" s="49"/>
      <c r="AH495" s="4"/>
      <c r="AI495" s="4"/>
      <c r="AJ495" s="4"/>
      <c r="AK495" s="4"/>
      <c r="AL495" s="4"/>
      <c r="AM495" s="4"/>
      <c r="AN495" s="44"/>
      <c r="AO495" s="8"/>
      <c r="AP495" s="8"/>
      <c r="AQ495" s="8"/>
      <c r="AR495" s="8"/>
      <c r="AS495" s="8"/>
      <c r="AT495" s="8"/>
      <c r="AU495" s="8"/>
      <c r="AV495" s="46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4"/>
      <c r="BX495" s="4"/>
    </row>
    <row r="496" spans="1:76" s="16" customFormat="1" x14ac:dyDescent="0.25">
      <c r="A496" s="26"/>
      <c r="B496" s="6"/>
      <c r="C496" s="7"/>
      <c r="D496" s="7"/>
      <c r="E496" s="7"/>
      <c r="F496" s="7"/>
      <c r="G496" s="7"/>
      <c r="H496" s="7"/>
      <c r="I496" s="4"/>
      <c r="J496" s="7"/>
      <c r="K496" s="7"/>
      <c r="L496" s="7"/>
      <c r="M496" s="7"/>
      <c r="N496" s="4"/>
      <c r="O496" s="4"/>
      <c r="P496" s="4"/>
      <c r="Q496" s="4"/>
      <c r="R496" s="4"/>
      <c r="S496" s="7"/>
      <c r="T496" s="7"/>
      <c r="U496" s="7"/>
      <c r="V496" s="7"/>
      <c r="W496" s="7"/>
      <c r="X496" s="7"/>
      <c r="Y496" s="4"/>
      <c r="Z496" s="4"/>
      <c r="AA496" s="4"/>
      <c r="AB496" s="4"/>
      <c r="AC496" s="4"/>
      <c r="AD496" s="4"/>
      <c r="AE496" s="4"/>
      <c r="AF496" s="4"/>
      <c r="AG496" s="49"/>
      <c r="AH496" s="4"/>
      <c r="AI496" s="4"/>
      <c r="AJ496" s="4"/>
      <c r="AK496" s="4"/>
      <c r="AL496" s="4"/>
      <c r="AM496" s="4"/>
      <c r="AN496" s="44"/>
      <c r="AO496" s="8"/>
      <c r="AP496" s="8"/>
      <c r="AQ496" s="8"/>
      <c r="AR496" s="8"/>
      <c r="AS496" s="8"/>
      <c r="AT496" s="8"/>
      <c r="AU496" s="8"/>
      <c r="AV496" s="46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4"/>
      <c r="BX496" s="4"/>
    </row>
    <row r="497" spans="1:76" s="16" customFormat="1" x14ac:dyDescent="0.25">
      <c r="A497" s="26"/>
      <c r="B497" s="6"/>
      <c r="C497" s="7"/>
      <c r="D497" s="7"/>
      <c r="E497" s="7"/>
      <c r="F497" s="7"/>
      <c r="G497" s="7"/>
      <c r="H497" s="7"/>
      <c r="I497" s="4"/>
      <c r="J497" s="7"/>
      <c r="K497" s="7"/>
      <c r="L497" s="7"/>
      <c r="M497" s="7"/>
      <c r="N497" s="4"/>
      <c r="O497" s="4"/>
      <c r="P497" s="4"/>
      <c r="Q497" s="4"/>
      <c r="R497" s="4"/>
      <c r="S497" s="7"/>
      <c r="T497" s="7"/>
      <c r="U497" s="7"/>
      <c r="V497" s="7"/>
      <c r="W497" s="7"/>
      <c r="X497" s="7"/>
      <c r="Y497" s="4"/>
      <c r="Z497" s="4"/>
      <c r="AA497" s="4"/>
      <c r="AB497" s="4"/>
      <c r="AC497" s="4"/>
      <c r="AD497" s="4"/>
      <c r="AE497" s="4"/>
      <c r="AF497" s="4"/>
      <c r="AG497" s="49"/>
      <c r="AH497" s="4"/>
      <c r="AI497" s="4"/>
      <c r="AJ497" s="4"/>
      <c r="AK497" s="4"/>
      <c r="AL497" s="4"/>
      <c r="AM497" s="4"/>
      <c r="AN497" s="44"/>
      <c r="AO497" s="8"/>
      <c r="AP497" s="8"/>
      <c r="AQ497" s="8"/>
      <c r="AR497" s="8"/>
      <c r="AS497" s="8"/>
      <c r="AT497" s="8"/>
      <c r="AU497" s="8"/>
      <c r="AV497" s="46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4"/>
      <c r="BX497" s="4"/>
    </row>
    <row r="498" spans="1:76" s="16" customFormat="1" x14ac:dyDescent="0.25">
      <c r="A498" s="26"/>
      <c r="B498" s="6"/>
      <c r="C498" s="7"/>
      <c r="D498" s="7"/>
      <c r="E498" s="7"/>
      <c r="F498" s="7"/>
      <c r="G498" s="7"/>
      <c r="H498" s="7"/>
      <c r="I498" s="4"/>
      <c r="J498" s="7"/>
      <c r="K498" s="7"/>
      <c r="L498" s="7"/>
      <c r="M498" s="7"/>
      <c r="N498" s="4"/>
      <c r="O498" s="4"/>
      <c r="P498" s="4"/>
      <c r="Q498" s="4"/>
      <c r="R498" s="4"/>
      <c r="S498" s="7"/>
      <c r="T498" s="7"/>
      <c r="U498" s="7"/>
      <c r="V498" s="7"/>
      <c r="W498" s="7"/>
      <c r="X498" s="7"/>
      <c r="Y498" s="4"/>
      <c r="Z498" s="4"/>
      <c r="AA498" s="4"/>
      <c r="AB498" s="4"/>
      <c r="AC498" s="4"/>
      <c r="AD498" s="4"/>
      <c r="AE498" s="4"/>
      <c r="AF498" s="4"/>
      <c r="AG498" s="49"/>
      <c r="AH498" s="4"/>
      <c r="AI498" s="4"/>
      <c r="AJ498" s="4"/>
      <c r="AK498" s="4"/>
      <c r="AL498" s="4"/>
      <c r="AM498" s="4"/>
      <c r="AN498" s="44"/>
      <c r="AO498" s="8"/>
      <c r="AP498" s="8"/>
      <c r="AQ498" s="8"/>
      <c r="AR498" s="8"/>
      <c r="AS498" s="8"/>
      <c r="AT498" s="8"/>
      <c r="AU498" s="8"/>
      <c r="AV498" s="46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4"/>
      <c r="BX498" s="4"/>
    </row>
    <row r="499" spans="1:76" s="16" customFormat="1" x14ac:dyDescent="0.25">
      <c r="A499" s="26"/>
      <c r="B499" s="6"/>
      <c r="C499" s="7"/>
      <c r="D499" s="7"/>
      <c r="E499" s="7"/>
      <c r="F499" s="7"/>
      <c r="G499" s="7"/>
      <c r="H499" s="7"/>
      <c r="I499" s="4"/>
      <c r="J499" s="7"/>
      <c r="K499" s="7"/>
      <c r="L499" s="7"/>
      <c r="M499" s="7"/>
      <c r="N499" s="4"/>
      <c r="O499" s="4"/>
      <c r="P499" s="4"/>
      <c r="Q499" s="4"/>
      <c r="R499" s="4"/>
      <c r="S499" s="7"/>
      <c r="T499" s="7"/>
      <c r="U499" s="7"/>
      <c r="V499" s="7"/>
      <c r="W499" s="7"/>
      <c r="X499" s="7"/>
      <c r="Y499" s="4"/>
      <c r="Z499" s="4"/>
      <c r="AA499" s="4"/>
      <c r="AB499" s="4"/>
      <c r="AC499" s="4"/>
      <c r="AD499" s="4"/>
      <c r="AE499" s="4"/>
      <c r="AF499" s="4"/>
      <c r="AG499" s="49"/>
      <c r="AH499" s="4"/>
      <c r="AI499" s="4"/>
      <c r="AJ499" s="4"/>
      <c r="AK499" s="4"/>
      <c r="AL499" s="4"/>
      <c r="AM499" s="4"/>
      <c r="AN499" s="44"/>
      <c r="AO499" s="8"/>
      <c r="AP499" s="8"/>
      <c r="AQ499" s="8"/>
      <c r="AR499" s="8"/>
      <c r="AS499" s="8"/>
      <c r="AT499" s="8"/>
      <c r="AU499" s="8"/>
      <c r="AV499" s="46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4"/>
      <c r="BX499" s="4"/>
    </row>
    <row r="500" spans="1:76" s="16" customFormat="1" x14ac:dyDescent="0.25">
      <c r="A500" s="26"/>
      <c r="B500" s="6"/>
      <c r="C500" s="7"/>
      <c r="D500" s="7"/>
      <c r="E500" s="7"/>
      <c r="F500" s="7"/>
      <c r="G500" s="7"/>
      <c r="H500" s="7"/>
      <c r="I500" s="4"/>
      <c r="J500" s="7"/>
      <c r="K500" s="7"/>
      <c r="L500" s="7"/>
      <c r="M500" s="7"/>
      <c r="N500" s="4"/>
      <c r="O500" s="4"/>
      <c r="P500" s="4"/>
      <c r="Q500" s="4"/>
      <c r="R500" s="4"/>
      <c r="S500" s="7"/>
      <c r="T500" s="7"/>
      <c r="U500" s="7"/>
      <c r="V500" s="7"/>
      <c r="W500" s="7"/>
      <c r="X500" s="7"/>
      <c r="Y500" s="4"/>
      <c r="Z500" s="4"/>
      <c r="AA500" s="4"/>
      <c r="AB500" s="4"/>
      <c r="AC500" s="4"/>
      <c r="AD500" s="4"/>
      <c r="AE500" s="4"/>
      <c r="AF500" s="4"/>
      <c r="AG500" s="49"/>
      <c r="AH500" s="4"/>
      <c r="AI500" s="4"/>
      <c r="AJ500" s="4"/>
      <c r="AK500" s="4"/>
      <c r="AL500" s="4"/>
      <c r="AM500" s="4"/>
      <c r="AN500" s="44"/>
      <c r="AO500" s="8"/>
      <c r="AP500" s="8"/>
      <c r="AQ500" s="8"/>
      <c r="AR500" s="8"/>
      <c r="AS500" s="8"/>
      <c r="AT500" s="8"/>
      <c r="AU500" s="8"/>
      <c r="AV500" s="46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4"/>
      <c r="BX500" s="4"/>
    </row>
    <row r="501" spans="1:76" s="16" customFormat="1" x14ac:dyDescent="0.25">
      <c r="A501" s="26"/>
      <c r="B501" s="6"/>
      <c r="C501" s="7"/>
      <c r="D501" s="7"/>
      <c r="E501" s="7"/>
      <c r="F501" s="7"/>
      <c r="G501" s="7"/>
      <c r="H501" s="7"/>
      <c r="I501" s="4"/>
      <c r="J501" s="7"/>
      <c r="K501" s="7"/>
      <c r="L501" s="7"/>
      <c r="M501" s="7"/>
      <c r="N501" s="4"/>
      <c r="O501" s="4"/>
      <c r="P501" s="4"/>
      <c r="Q501" s="4"/>
      <c r="R501" s="4"/>
      <c r="S501" s="7"/>
      <c r="T501" s="7"/>
      <c r="U501" s="7"/>
      <c r="V501" s="7"/>
      <c r="W501" s="7"/>
      <c r="X501" s="7"/>
      <c r="Y501" s="4"/>
      <c r="Z501" s="4"/>
      <c r="AA501" s="4"/>
      <c r="AB501" s="4"/>
      <c r="AC501" s="4"/>
      <c r="AD501" s="4"/>
      <c r="AE501" s="4"/>
      <c r="AF501" s="4"/>
      <c r="AG501" s="49"/>
      <c r="AH501" s="4"/>
      <c r="AI501" s="4"/>
      <c r="AJ501" s="4"/>
      <c r="AK501" s="4"/>
      <c r="AL501" s="4"/>
      <c r="AM501" s="4"/>
      <c r="AN501" s="44"/>
      <c r="AO501" s="8"/>
      <c r="AP501" s="8"/>
      <c r="AQ501" s="8"/>
      <c r="AR501" s="8"/>
      <c r="AS501" s="8"/>
      <c r="AT501" s="8"/>
      <c r="AU501" s="8"/>
      <c r="AV501" s="46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4"/>
      <c r="BX501" s="4"/>
    </row>
    <row r="502" spans="1:76" s="16" customFormat="1" x14ac:dyDescent="0.25">
      <c r="A502" s="26"/>
      <c r="B502" s="6"/>
      <c r="C502" s="7"/>
      <c r="D502" s="7"/>
      <c r="E502" s="7"/>
      <c r="F502" s="7"/>
      <c r="G502" s="7"/>
      <c r="H502" s="7"/>
      <c r="I502" s="4"/>
      <c r="J502" s="7"/>
      <c r="K502" s="7"/>
      <c r="L502" s="7"/>
      <c r="M502" s="7"/>
      <c r="N502" s="4"/>
      <c r="O502" s="4"/>
      <c r="P502" s="4"/>
      <c r="Q502" s="4"/>
      <c r="R502" s="4"/>
      <c r="S502" s="7"/>
      <c r="T502" s="7"/>
      <c r="U502" s="7"/>
      <c r="V502" s="7"/>
      <c r="W502" s="7"/>
      <c r="X502" s="7"/>
      <c r="Y502" s="4"/>
      <c r="Z502" s="4"/>
      <c r="AA502" s="4"/>
      <c r="AB502" s="4"/>
      <c r="AC502" s="4"/>
      <c r="AD502" s="4"/>
      <c r="AE502" s="4"/>
      <c r="AF502" s="4"/>
      <c r="AG502" s="49"/>
      <c r="AH502" s="4"/>
      <c r="AI502" s="4"/>
      <c r="AJ502" s="4"/>
      <c r="AK502" s="4"/>
      <c r="AL502" s="4"/>
      <c r="AM502" s="4"/>
      <c r="AN502" s="44"/>
      <c r="AO502" s="8"/>
      <c r="AP502" s="8"/>
      <c r="AQ502" s="8"/>
      <c r="AR502" s="8"/>
      <c r="AS502" s="8"/>
      <c r="AT502" s="8"/>
      <c r="AU502" s="8"/>
      <c r="AV502" s="46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4"/>
      <c r="BX502" s="4"/>
    </row>
    <row r="503" spans="1:76" s="16" customFormat="1" x14ac:dyDescent="0.25">
      <c r="A503" s="26"/>
      <c r="B503" s="6"/>
      <c r="C503" s="7"/>
      <c r="D503" s="7"/>
      <c r="E503" s="7"/>
      <c r="F503" s="7"/>
      <c r="G503" s="7"/>
      <c r="H503" s="7"/>
      <c r="I503" s="4"/>
      <c r="J503" s="7"/>
      <c r="K503" s="7"/>
      <c r="L503" s="7"/>
      <c r="M503" s="7"/>
      <c r="N503" s="4"/>
      <c r="O503" s="4"/>
      <c r="P503" s="4"/>
      <c r="Q503" s="4"/>
      <c r="R503" s="4"/>
      <c r="S503" s="7"/>
      <c r="T503" s="7"/>
      <c r="U503" s="7"/>
      <c r="V503" s="7"/>
      <c r="W503" s="7"/>
      <c r="X503" s="7"/>
      <c r="Y503" s="4"/>
      <c r="Z503" s="4"/>
      <c r="AA503" s="4"/>
      <c r="AB503" s="4"/>
      <c r="AC503" s="4"/>
      <c r="AD503" s="4"/>
      <c r="AE503" s="4"/>
      <c r="AF503" s="4"/>
      <c r="AG503" s="49"/>
      <c r="AH503" s="4"/>
      <c r="AI503" s="4"/>
      <c r="AJ503" s="4"/>
      <c r="AK503" s="4"/>
      <c r="AL503" s="4"/>
      <c r="AM503" s="4"/>
      <c r="AN503" s="44"/>
      <c r="AO503" s="8"/>
      <c r="AP503" s="8"/>
      <c r="AQ503" s="8"/>
      <c r="AR503" s="8"/>
      <c r="AS503" s="8"/>
      <c r="AT503" s="8"/>
      <c r="AU503" s="8"/>
      <c r="AV503" s="46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4"/>
      <c r="BX503" s="4"/>
    </row>
    <row r="504" spans="1:76" s="16" customFormat="1" x14ac:dyDescent="0.25">
      <c r="A504" s="26"/>
      <c r="B504" s="6"/>
      <c r="C504" s="7"/>
      <c r="D504" s="7"/>
      <c r="E504" s="7"/>
      <c r="F504" s="7"/>
      <c r="G504" s="7"/>
      <c r="H504" s="7"/>
      <c r="I504" s="4"/>
      <c r="J504" s="7"/>
      <c r="K504" s="7"/>
      <c r="L504" s="7"/>
      <c r="M504" s="7"/>
      <c r="N504" s="4"/>
      <c r="O504" s="4"/>
      <c r="P504" s="4"/>
      <c r="Q504" s="4"/>
      <c r="R504" s="4"/>
      <c r="S504" s="7"/>
      <c r="T504" s="7"/>
      <c r="U504" s="7"/>
      <c r="V504" s="7"/>
      <c r="W504" s="7"/>
      <c r="X504" s="7"/>
      <c r="Y504" s="4"/>
      <c r="Z504" s="4"/>
      <c r="AA504" s="4"/>
      <c r="AB504" s="4"/>
      <c r="AC504" s="4"/>
      <c r="AD504" s="4"/>
      <c r="AE504" s="4"/>
      <c r="AF504" s="4"/>
      <c r="AG504" s="49"/>
      <c r="AH504" s="4"/>
      <c r="AI504" s="4"/>
      <c r="AJ504" s="4"/>
      <c r="AK504" s="4"/>
      <c r="AL504" s="4"/>
      <c r="AM504" s="4"/>
      <c r="AN504" s="44"/>
      <c r="AO504" s="8"/>
      <c r="AP504" s="8"/>
      <c r="AQ504" s="8"/>
      <c r="AR504" s="8"/>
      <c r="AS504" s="8"/>
      <c r="AT504" s="8"/>
      <c r="AU504" s="8"/>
      <c r="AV504" s="46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4"/>
      <c r="BX504" s="4"/>
    </row>
    <row r="505" spans="1:76" s="16" customFormat="1" x14ac:dyDescent="0.25">
      <c r="A505" s="26"/>
      <c r="B505" s="6"/>
      <c r="C505" s="7"/>
      <c r="D505" s="7"/>
      <c r="E505" s="7"/>
      <c r="F505" s="7"/>
      <c r="G505" s="7"/>
      <c r="H505" s="7"/>
      <c r="I505" s="4"/>
      <c r="J505" s="7"/>
      <c r="K505" s="7"/>
      <c r="L505" s="7"/>
      <c r="M505" s="7"/>
      <c r="N505" s="4"/>
      <c r="O505" s="4"/>
      <c r="P505" s="4"/>
      <c r="Q505" s="4"/>
      <c r="R505" s="4"/>
      <c r="S505" s="7"/>
      <c r="T505" s="7"/>
      <c r="U505" s="7"/>
      <c r="V505" s="7"/>
      <c r="W505" s="7"/>
      <c r="X505" s="7"/>
      <c r="Y505" s="4"/>
      <c r="Z505" s="4"/>
      <c r="AA505" s="4"/>
      <c r="AB505" s="4"/>
      <c r="AC505" s="4"/>
      <c r="AD505" s="4"/>
      <c r="AE505" s="4"/>
      <c r="AF505" s="4"/>
      <c r="AG505" s="49"/>
      <c r="AH505" s="4"/>
      <c r="AI505" s="4"/>
      <c r="AJ505" s="4"/>
      <c r="AK505" s="4"/>
      <c r="AL505" s="4"/>
      <c r="AM505" s="4"/>
      <c r="AN505" s="44"/>
      <c r="AO505" s="8"/>
      <c r="AP505" s="8"/>
      <c r="AQ505" s="8"/>
      <c r="AR505" s="8"/>
      <c r="AS505" s="8"/>
      <c r="AT505" s="8"/>
      <c r="AU505" s="8"/>
      <c r="AV505" s="46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4"/>
      <c r="BX505" s="4"/>
    </row>
    <row r="506" spans="1:76" s="16" customFormat="1" x14ac:dyDescent="0.25">
      <c r="A506" s="26"/>
      <c r="B506" s="6"/>
      <c r="C506" s="7"/>
      <c r="D506" s="7"/>
      <c r="E506" s="7"/>
      <c r="F506" s="7"/>
      <c r="G506" s="7"/>
      <c r="H506" s="7"/>
      <c r="I506" s="4"/>
      <c r="J506" s="7"/>
      <c r="K506" s="7"/>
      <c r="L506" s="7"/>
      <c r="M506" s="7"/>
      <c r="N506" s="4"/>
      <c r="O506" s="4"/>
      <c r="P506" s="4"/>
      <c r="Q506" s="4"/>
      <c r="R506" s="4"/>
      <c r="S506" s="7"/>
      <c r="T506" s="7"/>
      <c r="U506" s="7"/>
      <c r="V506" s="7"/>
      <c r="W506" s="7"/>
      <c r="X506" s="7"/>
      <c r="Y506" s="4"/>
      <c r="Z506" s="4"/>
      <c r="AA506" s="4"/>
      <c r="AB506" s="4"/>
      <c r="AC506" s="4"/>
      <c r="AD506" s="4"/>
      <c r="AE506" s="4"/>
      <c r="AF506" s="4"/>
      <c r="AG506" s="49"/>
      <c r="AH506" s="4"/>
      <c r="AI506" s="4"/>
      <c r="AJ506" s="4"/>
      <c r="AK506" s="4"/>
      <c r="AL506" s="4"/>
      <c r="AM506" s="4"/>
      <c r="AN506" s="44"/>
      <c r="AO506" s="8"/>
      <c r="AP506" s="8"/>
      <c r="AQ506" s="8"/>
      <c r="AR506" s="8"/>
      <c r="AS506" s="8"/>
      <c r="AT506" s="8"/>
      <c r="AU506" s="8"/>
      <c r="AV506" s="46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4"/>
      <c r="BX506" s="4"/>
    </row>
    <row r="507" spans="1:76" s="16" customFormat="1" x14ac:dyDescent="0.25">
      <c r="A507" s="26"/>
      <c r="B507" s="6"/>
      <c r="C507" s="7"/>
      <c r="D507" s="7"/>
      <c r="E507" s="7"/>
      <c r="F507" s="7"/>
      <c r="G507" s="7"/>
      <c r="H507" s="7"/>
      <c r="I507" s="4"/>
      <c r="J507" s="7"/>
      <c r="K507" s="7"/>
      <c r="L507" s="7"/>
      <c r="M507" s="7"/>
      <c r="N507" s="4"/>
      <c r="O507" s="4"/>
      <c r="P507" s="4"/>
      <c r="Q507" s="4"/>
      <c r="R507" s="4"/>
      <c r="S507" s="7"/>
      <c r="T507" s="7"/>
      <c r="U507" s="7"/>
      <c r="V507" s="7"/>
      <c r="W507" s="7"/>
      <c r="X507" s="7"/>
      <c r="Y507" s="4"/>
      <c r="Z507" s="4"/>
      <c r="AA507" s="4"/>
      <c r="AB507" s="4"/>
      <c r="AC507" s="4"/>
      <c r="AD507" s="4"/>
      <c r="AE507" s="4"/>
      <c r="AF507" s="4"/>
      <c r="AG507" s="49"/>
      <c r="AH507" s="4"/>
      <c r="AI507" s="4"/>
      <c r="AJ507" s="4"/>
      <c r="AK507" s="4"/>
      <c r="AL507" s="4"/>
      <c r="AM507" s="4"/>
      <c r="AN507" s="44"/>
      <c r="AO507" s="8"/>
      <c r="AP507" s="8"/>
      <c r="AQ507" s="8"/>
      <c r="AR507" s="8"/>
      <c r="AS507" s="8"/>
      <c r="AT507" s="8"/>
      <c r="AU507" s="8"/>
      <c r="AV507" s="46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4"/>
      <c r="BX507" s="4"/>
    </row>
    <row r="508" spans="1:76" s="16" customFormat="1" x14ac:dyDescent="0.25">
      <c r="A508" s="26"/>
      <c r="B508" s="6"/>
      <c r="C508" s="7"/>
      <c r="D508" s="7"/>
      <c r="E508" s="7"/>
      <c r="F508" s="7"/>
      <c r="G508" s="7"/>
      <c r="H508" s="7"/>
      <c r="I508" s="4"/>
      <c r="J508" s="7"/>
      <c r="K508" s="7"/>
      <c r="L508" s="7"/>
      <c r="M508" s="7"/>
      <c r="N508" s="4"/>
      <c r="O508" s="4"/>
      <c r="P508" s="4"/>
      <c r="Q508" s="4"/>
      <c r="R508" s="4"/>
      <c r="S508" s="7"/>
      <c r="T508" s="7"/>
      <c r="U508" s="7"/>
      <c r="V508" s="7"/>
      <c r="W508" s="7"/>
      <c r="X508" s="7"/>
      <c r="Y508" s="4"/>
      <c r="Z508" s="4"/>
      <c r="AA508" s="4"/>
      <c r="AB508" s="4"/>
      <c r="AC508" s="4"/>
      <c r="AD508" s="4"/>
      <c r="AE508" s="4"/>
      <c r="AF508" s="4"/>
      <c r="AG508" s="49"/>
      <c r="AH508" s="4"/>
      <c r="AI508" s="4"/>
      <c r="AJ508" s="4"/>
      <c r="AK508" s="4"/>
      <c r="AL508" s="4"/>
      <c r="AM508" s="4"/>
      <c r="AN508" s="44"/>
      <c r="AO508" s="8"/>
      <c r="AP508" s="8"/>
      <c r="AQ508" s="8"/>
      <c r="AR508" s="8"/>
      <c r="AS508" s="8"/>
      <c r="AT508" s="8"/>
      <c r="AU508" s="8"/>
      <c r="AV508" s="46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4"/>
      <c r="BX508" s="4"/>
    </row>
    <row r="509" spans="1:76" s="16" customFormat="1" x14ac:dyDescent="0.25">
      <c r="A509" s="26"/>
      <c r="B509" s="6"/>
      <c r="C509" s="7"/>
      <c r="D509" s="7"/>
      <c r="E509" s="7"/>
      <c r="F509" s="7"/>
      <c r="G509" s="7"/>
      <c r="H509" s="7"/>
      <c r="I509" s="4"/>
      <c r="J509" s="7"/>
      <c r="K509" s="7"/>
      <c r="L509" s="7"/>
      <c r="M509" s="7"/>
      <c r="N509" s="4"/>
      <c r="O509" s="4"/>
      <c r="P509" s="4"/>
      <c r="Q509" s="4"/>
      <c r="R509" s="4"/>
      <c r="S509" s="7"/>
      <c r="T509" s="7"/>
      <c r="U509" s="7"/>
      <c r="V509" s="7"/>
      <c r="W509" s="7"/>
      <c r="X509" s="7"/>
      <c r="Y509" s="4"/>
      <c r="Z509" s="4"/>
      <c r="AA509" s="4"/>
      <c r="AB509" s="4"/>
      <c r="AC509" s="4"/>
      <c r="AD509" s="4"/>
      <c r="AE509" s="4"/>
      <c r="AF509" s="4"/>
      <c r="AG509" s="49"/>
      <c r="AH509" s="4"/>
      <c r="AI509" s="4"/>
      <c r="AJ509" s="4"/>
      <c r="AK509" s="4"/>
      <c r="AL509" s="4"/>
      <c r="AM509" s="4"/>
      <c r="AN509" s="44"/>
      <c r="AO509" s="8"/>
      <c r="AP509" s="8"/>
      <c r="AQ509" s="8"/>
      <c r="AR509" s="8"/>
      <c r="AS509" s="8"/>
      <c r="AT509" s="8"/>
      <c r="AU509" s="8"/>
      <c r="AV509" s="46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4"/>
      <c r="BX509" s="4"/>
    </row>
    <row r="510" spans="1:76" s="16" customFormat="1" x14ac:dyDescent="0.25">
      <c r="A510" s="26"/>
      <c r="B510" s="6"/>
      <c r="C510" s="7"/>
      <c r="D510" s="7"/>
      <c r="E510" s="7"/>
      <c r="F510" s="7"/>
      <c r="G510" s="7"/>
      <c r="H510" s="7"/>
      <c r="I510" s="4"/>
      <c r="J510" s="7"/>
      <c r="K510" s="7"/>
      <c r="L510" s="7"/>
      <c r="M510" s="7"/>
      <c r="N510" s="4"/>
      <c r="O510" s="4"/>
      <c r="P510" s="4"/>
      <c r="Q510" s="4"/>
      <c r="R510" s="4"/>
      <c r="S510" s="7"/>
      <c r="T510" s="7"/>
      <c r="U510" s="7"/>
      <c r="V510" s="7"/>
      <c r="W510" s="7"/>
      <c r="X510" s="7"/>
      <c r="Y510" s="4"/>
      <c r="Z510" s="4"/>
      <c r="AA510" s="4"/>
      <c r="AB510" s="4"/>
      <c r="AC510" s="4"/>
      <c r="AD510" s="4"/>
      <c r="AE510" s="4"/>
      <c r="AF510" s="4"/>
      <c r="AG510" s="49"/>
      <c r="AH510" s="4"/>
      <c r="AI510" s="4"/>
      <c r="AJ510" s="4"/>
      <c r="AK510" s="4"/>
      <c r="AL510" s="4"/>
      <c r="AM510" s="4"/>
      <c r="AN510" s="44"/>
      <c r="AO510" s="8"/>
      <c r="AP510" s="8"/>
      <c r="AQ510" s="8"/>
      <c r="AR510" s="8"/>
      <c r="AS510" s="8"/>
      <c r="AT510" s="8"/>
      <c r="AU510" s="8"/>
      <c r="AV510" s="46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4"/>
      <c r="BX510" s="4"/>
    </row>
    <row r="511" spans="1:76" s="16" customFormat="1" x14ac:dyDescent="0.25">
      <c r="A511" s="26"/>
      <c r="B511" s="6"/>
      <c r="C511" s="7"/>
      <c r="D511" s="7"/>
      <c r="E511" s="7"/>
      <c r="F511" s="7"/>
      <c r="G511" s="7"/>
      <c r="H511" s="7"/>
      <c r="I511" s="4"/>
      <c r="J511" s="7"/>
      <c r="K511" s="7"/>
      <c r="L511" s="7"/>
      <c r="M511" s="7"/>
      <c r="N511" s="4"/>
      <c r="O511" s="4"/>
      <c r="P511" s="4"/>
      <c r="Q511" s="4"/>
      <c r="R511" s="4"/>
      <c r="S511" s="7"/>
      <c r="T511" s="7"/>
      <c r="U511" s="7"/>
      <c r="V511" s="7"/>
      <c r="W511" s="7"/>
      <c r="X511" s="7"/>
      <c r="Y511" s="4"/>
      <c r="Z511" s="4"/>
      <c r="AA511" s="4"/>
      <c r="AB511" s="4"/>
      <c r="AC511" s="4"/>
      <c r="AD511" s="4"/>
      <c r="AE511" s="4"/>
      <c r="AF511" s="4"/>
      <c r="AG511" s="49"/>
      <c r="AH511" s="4"/>
      <c r="AI511" s="4"/>
      <c r="AJ511" s="4"/>
      <c r="AK511" s="4"/>
      <c r="AL511" s="4"/>
      <c r="AM511" s="4"/>
      <c r="AN511" s="44"/>
      <c r="AO511" s="8"/>
      <c r="AP511" s="8"/>
      <c r="AQ511" s="8"/>
      <c r="AR511" s="8"/>
      <c r="AS511" s="8"/>
      <c r="AT511" s="8"/>
      <c r="AU511" s="8"/>
      <c r="AV511" s="46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4"/>
      <c r="BX511" s="4"/>
    </row>
    <row r="512" spans="1:76" s="16" customFormat="1" x14ac:dyDescent="0.25">
      <c r="A512" s="26"/>
      <c r="B512" s="6"/>
      <c r="C512" s="7"/>
      <c r="D512" s="7"/>
      <c r="E512" s="7"/>
      <c r="F512" s="7"/>
      <c r="G512" s="7"/>
      <c r="H512" s="7"/>
      <c r="I512" s="4"/>
      <c r="J512" s="7"/>
      <c r="K512" s="7"/>
      <c r="L512" s="7"/>
      <c r="M512" s="7"/>
      <c r="N512" s="4"/>
      <c r="O512" s="4"/>
      <c r="P512" s="4"/>
      <c r="Q512" s="4"/>
      <c r="R512" s="4"/>
      <c r="S512" s="7"/>
      <c r="T512" s="7"/>
      <c r="U512" s="7"/>
      <c r="V512" s="7"/>
      <c r="W512" s="7"/>
      <c r="X512" s="7"/>
      <c r="Y512" s="4"/>
      <c r="Z512" s="4"/>
      <c r="AA512" s="4"/>
      <c r="AB512" s="4"/>
      <c r="AC512" s="4"/>
      <c r="AD512" s="4"/>
      <c r="AE512" s="4"/>
      <c r="AF512" s="4"/>
      <c r="AG512" s="49"/>
      <c r="AH512" s="4"/>
      <c r="AI512" s="4"/>
      <c r="AJ512" s="4"/>
      <c r="AK512" s="4"/>
      <c r="AL512" s="4"/>
      <c r="AM512" s="4"/>
      <c r="AN512" s="44"/>
      <c r="AO512" s="8"/>
      <c r="AP512" s="8"/>
      <c r="AQ512" s="8"/>
      <c r="AR512" s="8"/>
      <c r="AS512" s="8"/>
      <c r="AT512" s="8"/>
      <c r="AU512" s="8"/>
      <c r="AV512" s="46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4"/>
      <c r="BX512" s="4"/>
    </row>
    <row r="513" spans="1:76" s="16" customFormat="1" x14ac:dyDescent="0.25">
      <c r="A513" s="26"/>
      <c r="B513" s="6"/>
      <c r="C513" s="7"/>
      <c r="D513" s="7"/>
      <c r="E513" s="7"/>
      <c r="F513" s="7"/>
      <c r="G513" s="7"/>
      <c r="H513" s="7"/>
      <c r="I513" s="4"/>
      <c r="J513" s="7"/>
      <c r="K513" s="7"/>
      <c r="L513" s="7"/>
      <c r="M513" s="7"/>
      <c r="N513" s="4"/>
      <c r="O513" s="4"/>
      <c r="P513" s="4"/>
      <c r="Q513" s="4"/>
      <c r="R513" s="4"/>
      <c r="S513" s="7"/>
      <c r="T513" s="7"/>
      <c r="U513" s="7"/>
      <c r="V513" s="7"/>
      <c r="W513" s="7"/>
      <c r="X513" s="7"/>
      <c r="Y513" s="4"/>
      <c r="Z513" s="4"/>
      <c r="AA513" s="4"/>
      <c r="AB513" s="4"/>
      <c r="AC513" s="4"/>
      <c r="AD513" s="4"/>
      <c r="AE513" s="4"/>
      <c r="AF513" s="4"/>
      <c r="AG513" s="49"/>
      <c r="AH513" s="4"/>
      <c r="AI513" s="4"/>
      <c r="AJ513" s="4"/>
      <c r="AK513" s="4"/>
      <c r="AL513" s="4"/>
      <c r="AM513" s="4"/>
      <c r="AN513" s="44"/>
      <c r="AO513" s="8"/>
      <c r="AP513" s="8"/>
      <c r="AQ513" s="8"/>
      <c r="AR513" s="8"/>
      <c r="AS513" s="8"/>
      <c r="AT513" s="8"/>
      <c r="AU513" s="8"/>
      <c r="AV513" s="46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4"/>
      <c r="BX513" s="4"/>
    </row>
    <row r="514" spans="1:76" s="16" customFormat="1" x14ac:dyDescent="0.25">
      <c r="A514" s="26"/>
      <c r="B514" s="6"/>
      <c r="C514" s="7"/>
      <c r="D514" s="7"/>
      <c r="E514" s="7"/>
      <c r="F514" s="7"/>
      <c r="G514" s="7"/>
      <c r="H514" s="7"/>
      <c r="I514" s="4"/>
      <c r="J514" s="7"/>
      <c r="K514" s="7"/>
      <c r="L514" s="7"/>
      <c r="M514" s="7"/>
      <c r="N514" s="4"/>
      <c r="O514" s="4"/>
      <c r="P514" s="4"/>
      <c r="Q514" s="4"/>
      <c r="R514" s="4"/>
      <c r="S514" s="7"/>
      <c r="T514" s="7"/>
      <c r="U514" s="7"/>
      <c r="V514" s="7"/>
      <c r="W514" s="7"/>
      <c r="X514" s="7"/>
      <c r="Y514" s="4"/>
      <c r="Z514" s="4"/>
      <c r="AA514" s="4"/>
      <c r="AB514" s="4"/>
      <c r="AC514" s="4"/>
      <c r="AD514" s="4"/>
      <c r="AE514" s="4"/>
      <c r="AF514" s="4"/>
      <c r="AG514" s="49"/>
      <c r="AH514" s="4"/>
      <c r="AI514" s="4"/>
      <c r="AJ514" s="4"/>
      <c r="AK514" s="4"/>
      <c r="AL514" s="4"/>
      <c r="AM514" s="4"/>
      <c r="AN514" s="44"/>
      <c r="AO514" s="8"/>
      <c r="AP514" s="8"/>
      <c r="AQ514" s="8"/>
      <c r="AR514" s="8"/>
      <c r="AS514" s="8"/>
      <c r="AT514" s="8"/>
      <c r="AU514" s="8"/>
      <c r="AV514" s="46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4"/>
      <c r="BX514" s="4"/>
    </row>
    <row r="515" spans="1:76" s="16" customFormat="1" x14ac:dyDescent="0.25">
      <c r="A515" s="26"/>
      <c r="B515" s="6"/>
      <c r="C515" s="7"/>
      <c r="D515" s="7"/>
      <c r="E515" s="7"/>
      <c r="F515" s="7"/>
      <c r="G515" s="7"/>
      <c r="H515" s="7"/>
      <c r="I515" s="4"/>
      <c r="J515" s="7"/>
      <c r="K515" s="7"/>
      <c r="L515" s="7"/>
      <c r="M515" s="7"/>
      <c r="N515" s="4"/>
      <c r="O515" s="4"/>
      <c r="P515" s="4"/>
      <c r="Q515" s="4"/>
      <c r="R515" s="4"/>
      <c r="S515" s="7"/>
      <c r="T515" s="7"/>
      <c r="U515" s="7"/>
      <c r="V515" s="7"/>
      <c r="W515" s="7"/>
      <c r="X515" s="7"/>
      <c r="Y515" s="4"/>
      <c r="Z515" s="4"/>
      <c r="AA515" s="4"/>
      <c r="AB515" s="4"/>
      <c r="AC515" s="4"/>
      <c r="AD515" s="4"/>
      <c r="AE515" s="4"/>
      <c r="AF515" s="4"/>
      <c r="AG515" s="49"/>
      <c r="AH515" s="4"/>
      <c r="AI515" s="4"/>
      <c r="AJ515" s="4"/>
      <c r="AK515" s="4"/>
      <c r="AL515" s="4"/>
      <c r="AM515" s="4"/>
      <c r="AN515" s="44"/>
      <c r="AO515" s="8"/>
      <c r="AP515" s="8"/>
      <c r="AQ515" s="8"/>
      <c r="AR515" s="8"/>
      <c r="AS515" s="8"/>
      <c r="AT515" s="8"/>
      <c r="AU515" s="8"/>
      <c r="AV515" s="46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4"/>
      <c r="BX515" s="4"/>
    </row>
    <row r="516" spans="1:76" s="16" customFormat="1" x14ac:dyDescent="0.25">
      <c r="A516" s="26"/>
      <c r="B516" s="6"/>
      <c r="C516" s="7"/>
      <c r="D516" s="7"/>
      <c r="E516" s="7"/>
      <c r="F516" s="7"/>
      <c r="G516" s="7"/>
      <c r="H516" s="7"/>
      <c r="I516" s="4"/>
      <c r="J516" s="7"/>
      <c r="K516" s="7"/>
      <c r="L516" s="7"/>
      <c r="M516" s="7"/>
      <c r="N516" s="4"/>
      <c r="O516" s="4"/>
      <c r="P516" s="4"/>
      <c r="Q516" s="4"/>
      <c r="R516" s="4"/>
      <c r="S516" s="7"/>
      <c r="T516" s="7"/>
      <c r="U516" s="7"/>
      <c r="V516" s="7"/>
      <c r="W516" s="7"/>
      <c r="X516" s="7"/>
      <c r="Y516" s="4"/>
      <c r="Z516" s="4"/>
      <c r="AA516" s="4"/>
      <c r="AB516" s="4"/>
      <c r="AC516" s="4"/>
      <c r="AD516" s="4"/>
      <c r="AE516" s="4"/>
      <c r="AF516" s="4"/>
      <c r="AG516" s="49"/>
      <c r="AH516" s="4"/>
      <c r="AI516" s="4"/>
      <c r="AJ516" s="4"/>
      <c r="AK516" s="4"/>
      <c r="AL516" s="4"/>
      <c r="AM516" s="4"/>
      <c r="AN516" s="44"/>
      <c r="AO516" s="8"/>
      <c r="AP516" s="8"/>
      <c r="AQ516" s="8"/>
      <c r="AR516" s="8"/>
      <c r="AS516" s="8"/>
      <c r="AT516" s="8"/>
      <c r="AU516" s="8"/>
      <c r="AV516" s="46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4"/>
      <c r="BX516" s="4"/>
    </row>
    <row r="517" spans="1:76" s="16" customFormat="1" x14ac:dyDescent="0.25">
      <c r="A517" s="26"/>
      <c r="B517" s="6"/>
      <c r="C517" s="7"/>
      <c r="D517" s="7"/>
      <c r="E517" s="7"/>
      <c r="F517" s="7"/>
      <c r="G517" s="7"/>
      <c r="H517" s="7"/>
      <c r="I517" s="4"/>
      <c r="J517" s="7"/>
      <c r="K517" s="7"/>
      <c r="L517" s="7"/>
      <c r="M517" s="7"/>
      <c r="N517" s="4"/>
      <c r="O517" s="4"/>
      <c r="P517" s="4"/>
      <c r="Q517" s="4"/>
      <c r="R517" s="4"/>
      <c r="S517" s="7"/>
      <c r="T517" s="7"/>
      <c r="U517" s="7"/>
      <c r="V517" s="7"/>
      <c r="W517" s="7"/>
      <c r="X517" s="7"/>
      <c r="Y517" s="4"/>
      <c r="Z517" s="4"/>
      <c r="AA517" s="4"/>
      <c r="AB517" s="4"/>
      <c r="AC517" s="4"/>
      <c r="AD517" s="4"/>
      <c r="AE517" s="4"/>
      <c r="AF517" s="4"/>
      <c r="AG517" s="49"/>
      <c r="AH517" s="4"/>
      <c r="AI517" s="4"/>
      <c r="AJ517" s="4"/>
      <c r="AK517" s="4"/>
      <c r="AL517" s="4"/>
      <c r="AM517" s="4"/>
      <c r="AN517" s="44"/>
      <c r="AO517" s="8"/>
      <c r="AP517" s="8"/>
      <c r="AQ517" s="8"/>
      <c r="AR517" s="8"/>
      <c r="AS517" s="8"/>
      <c r="AT517" s="8"/>
      <c r="AU517" s="8"/>
      <c r="AV517" s="46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4"/>
      <c r="BX517" s="4"/>
    </row>
    <row r="518" spans="1:76" s="16" customFormat="1" x14ac:dyDescent="0.25">
      <c r="A518" s="26"/>
      <c r="B518" s="6"/>
      <c r="C518" s="7"/>
      <c r="D518" s="7"/>
      <c r="E518" s="7"/>
      <c r="F518" s="7"/>
      <c r="G518" s="7"/>
      <c r="H518" s="7"/>
      <c r="I518" s="4"/>
      <c r="J518" s="7"/>
      <c r="K518" s="7"/>
      <c r="L518" s="7"/>
      <c r="M518" s="7"/>
      <c r="N518" s="4"/>
      <c r="O518" s="4"/>
      <c r="P518" s="4"/>
      <c r="Q518" s="4"/>
      <c r="R518" s="4"/>
      <c r="S518" s="7"/>
      <c r="T518" s="7"/>
      <c r="U518" s="7"/>
      <c r="V518" s="7"/>
      <c r="W518" s="7"/>
      <c r="X518" s="7"/>
      <c r="Y518" s="4"/>
      <c r="Z518" s="4"/>
      <c r="AA518" s="4"/>
      <c r="AB518" s="4"/>
      <c r="AC518" s="4"/>
      <c r="AD518" s="4"/>
      <c r="AE518" s="4"/>
      <c r="AF518" s="4"/>
      <c r="AG518" s="49"/>
      <c r="AH518" s="4"/>
      <c r="AI518" s="4"/>
      <c r="AJ518" s="4"/>
      <c r="AK518" s="4"/>
      <c r="AL518" s="4"/>
      <c r="AM518" s="4"/>
      <c r="AN518" s="44"/>
      <c r="AO518" s="8"/>
      <c r="AP518" s="8"/>
      <c r="AQ518" s="8"/>
      <c r="AR518" s="8"/>
      <c r="AS518" s="8"/>
      <c r="AT518" s="8"/>
      <c r="AU518" s="8"/>
      <c r="AV518" s="46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4"/>
      <c r="BX518" s="4"/>
    </row>
    <row r="519" spans="1:76" s="16" customFormat="1" x14ac:dyDescent="0.25">
      <c r="A519" s="26"/>
      <c r="B519" s="6"/>
      <c r="C519" s="7"/>
      <c r="D519" s="7"/>
      <c r="E519" s="7"/>
      <c r="F519" s="7"/>
      <c r="G519" s="7"/>
      <c r="H519" s="7"/>
      <c r="I519" s="4"/>
      <c r="J519" s="7"/>
      <c r="K519" s="7"/>
      <c r="L519" s="7"/>
      <c r="M519" s="7"/>
      <c r="N519" s="4"/>
      <c r="O519" s="4"/>
      <c r="P519" s="4"/>
      <c r="Q519" s="4"/>
      <c r="R519" s="4"/>
      <c r="S519" s="7"/>
      <c r="T519" s="7"/>
      <c r="U519" s="7"/>
      <c r="V519" s="7"/>
      <c r="W519" s="7"/>
      <c r="X519" s="7"/>
      <c r="Y519" s="4"/>
      <c r="Z519" s="4"/>
      <c r="AA519" s="4"/>
      <c r="AB519" s="4"/>
      <c r="AC519" s="4"/>
      <c r="AD519" s="4"/>
      <c r="AE519" s="4"/>
      <c r="AF519" s="4"/>
      <c r="AG519" s="49"/>
      <c r="AH519" s="4"/>
      <c r="AI519" s="4"/>
      <c r="AJ519" s="4"/>
      <c r="AK519" s="4"/>
      <c r="AL519" s="4"/>
      <c r="AM519" s="4"/>
      <c r="AN519" s="44"/>
      <c r="AO519" s="8"/>
      <c r="AP519" s="8"/>
      <c r="AQ519" s="8"/>
      <c r="AR519" s="8"/>
      <c r="AS519" s="8"/>
      <c r="AT519" s="8"/>
      <c r="AU519" s="8"/>
      <c r="AV519" s="46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4"/>
      <c r="BX519" s="4"/>
    </row>
    <row r="520" spans="1:76" s="16" customFormat="1" x14ac:dyDescent="0.25">
      <c r="A520" s="26"/>
      <c r="B520" s="6"/>
      <c r="C520" s="7"/>
      <c r="D520" s="7"/>
      <c r="E520" s="7"/>
      <c r="F520" s="7"/>
      <c r="G520" s="7"/>
      <c r="H520" s="7"/>
      <c r="I520" s="4"/>
      <c r="J520" s="7"/>
      <c r="K520" s="7"/>
      <c r="L520" s="7"/>
      <c r="M520" s="7"/>
      <c r="N520" s="4"/>
      <c r="O520" s="4"/>
      <c r="P520" s="4"/>
      <c r="Q520" s="4"/>
      <c r="R520" s="4"/>
      <c r="S520" s="7"/>
      <c r="T520" s="7"/>
      <c r="U520" s="7"/>
      <c r="V520" s="7"/>
      <c r="W520" s="7"/>
      <c r="X520" s="7"/>
      <c r="Y520" s="4"/>
      <c r="Z520" s="4"/>
      <c r="AA520" s="4"/>
      <c r="AB520" s="4"/>
      <c r="AC520" s="4"/>
      <c r="AD520" s="4"/>
      <c r="AE520" s="4"/>
      <c r="AF520" s="4"/>
      <c r="AG520" s="49"/>
      <c r="AH520" s="4"/>
      <c r="AI520" s="4"/>
      <c r="AJ520" s="4"/>
      <c r="AK520" s="4"/>
      <c r="AL520" s="4"/>
      <c r="AM520" s="4"/>
      <c r="AN520" s="44"/>
      <c r="AO520" s="8"/>
      <c r="AP520" s="8"/>
      <c r="AQ520" s="8"/>
      <c r="AR520" s="8"/>
      <c r="AS520" s="8"/>
      <c r="AT520" s="8"/>
      <c r="AU520" s="8"/>
      <c r="AV520" s="46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4"/>
      <c r="BX520" s="4"/>
    </row>
    <row r="521" spans="1:76" s="16" customFormat="1" x14ac:dyDescent="0.25">
      <c r="A521" s="26"/>
      <c r="B521" s="6"/>
      <c r="C521" s="7"/>
      <c r="D521" s="7"/>
      <c r="E521" s="7"/>
      <c r="F521" s="7"/>
      <c r="G521" s="7"/>
      <c r="H521" s="7"/>
      <c r="I521" s="4"/>
      <c r="J521" s="7"/>
      <c r="K521" s="7"/>
      <c r="L521" s="7"/>
      <c r="M521" s="7"/>
      <c r="N521" s="4"/>
      <c r="O521" s="4"/>
      <c r="P521" s="4"/>
      <c r="Q521" s="4"/>
      <c r="R521" s="4"/>
      <c r="S521" s="7"/>
      <c r="T521" s="7"/>
      <c r="U521" s="7"/>
      <c r="V521" s="7"/>
      <c r="W521" s="7"/>
      <c r="X521" s="7"/>
      <c r="Y521" s="4"/>
      <c r="Z521" s="4"/>
      <c r="AA521" s="4"/>
      <c r="AB521" s="4"/>
      <c r="AC521" s="4"/>
      <c r="AD521" s="4"/>
      <c r="AE521" s="4"/>
      <c r="AF521" s="4"/>
      <c r="AG521" s="49"/>
      <c r="AH521" s="4"/>
      <c r="AI521" s="4"/>
      <c r="AJ521" s="4"/>
      <c r="AK521" s="4"/>
      <c r="AL521" s="4"/>
      <c r="AM521" s="4"/>
      <c r="AN521" s="44"/>
      <c r="AO521" s="8"/>
      <c r="AP521" s="8"/>
      <c r="AQ521" s="8"/>
      <c r="AR521" s="8"/>
      <c r="AS521" s="8"/>
      <c r="AT521" s="8"/>
      <c r="AU521" s="8"/>
      <c r="AV521" s="46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4"/>
      <c r="BX521" s="4"/>
    </row>
    <row r="522" spans="1:76" s="16" customFormat="1" x14ac:dyDescent="0.25">
      <c r="A522" s="26"/>
      <c r="B522" s="6"/>
      <c r="C522" s="7"/>
      <c r="D522" s="7"/>
      <c r="E522" s="7"/>
      <c r="F522" s="7"/>
      <c r="G522" s="7"/>
      <c r="H522" s="7"/>
      <c r="I522" s="4"/>
      <c r="J522" s="7"/>
      <c r="K522" s="7"/>
      <c r="L522" s="7"/>
      <c r="M522" s="7"/>
      <c r="N522" s="4"/>
      <c r="O522" s="4"/>
      <c r="P522" s="4"/>
      <c r="Q522" s="4"/>
      <c r="R522" s="4"/>
      <c r="S522" s="7"/>
      <c r="T522" s="7"/>
      <c r="U522" s="7"/>
      <c r="V522" s="7"/>
      <c r="W522" s="7"/>
      <c r="X522" s="7"/>
      <c r="Y522" s="4"/>
      <c r="Z522" s="4"/>
      <c r="AA522" s="4"/>
      <c r="AB522" s="4"/>
      <c r="AC522" s="4"/>
      <c r="AD522" s="4"/>
      <c r="AE522" s="4"/>
      <c r="AF522" s="4"/>
      <c r="AG522" s="49"/>
      <c r="AH522" s="4"/>
      <c r="AI522" s="4"/>
      <c r="AJ522" s="4"/>
      <c r="AK522" s="4"/>
      <c r="AL522" s="4"/>
      <c r="AM522" s="4"/>
      <c r="AN522" s="44"/>
      <c r="AO522" s="8"/>
      <c r="AP522" s="8"/>
      <c r="AQ522" s="8"/>
      <c r="AR522" s="8"/>
      <c r="AS522" s="8"/>
      <c r="AT522" s="8"/>
      <c r="AU522" s="8"/>
      <c r="AV522" s="46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4"/>
      <c r="BX522" s="4"/>
    </row>
    <row r="523" spans="1:76" s="16" customFormat="1" x14ac:dyDescent="0.25">
      <c r="A523" s="26"/>
      <c r="B523" s="6"/>
      <c r="C523" s="7"/>
      <c r="D523" s="7"/>
      <c r="E523" s="7"/>
      <c r="F523" s="7"/>
      <c r="G523" s="7"/>
      <c r="H523" s="7"/>
      <c r="I523" s="4"/>
      <c r="J523" s="7"/>
      <c r="K523" s="7"/>
      <c r="L523" s="7"/>
      <c r="M523" s="7"/>
      <c r="N523" s="4"/>
      <c r="O523" s="4"/>
      <c r="P523" s="4"/>
      <c r="Q523" s="4"/>
      <c r="R523" s="4"/>
      <c r="S523" s="7"/>
      <c r="T523" s="7"/>
      <c r="U523" s="7"/>
      <c r="V523" s="7"/>
      <c r="W523" s="7"/>
      <c r="X523" s="7"/>
      <c r="Y523" s="4"/>
      <c r="Z523" s="4"/>
      <c r="AA523" s="4"/>
      <c r="AB523" s="4"/>
      <c r="AC523" s="4"/>
      <c r="AD523" s="4"/>
      <c r="AE523" s="4"/>
      <c r="AF523" s="4"/>
      <c r="AG523" s="49"/>
      <c r="AH523" s="4"/>
      <c r="AI523" s="4"/>
      <c r="AJ523" s="4"/>
      <c r="AK523" s="4"/>
      <c r="AL523" s="4"/>
      <c r="AM523" s="4"/>
      <c r="AN523" s="44"/>
      <c r="AO523" s="8"/>
      <c r="AP523" s="8"/>
      <c r="AQ523" s="8"/>
      <c r="AR523" s="8"/>
      <c r="AS523" s="8"/>
      <c r="AT523" s="8"/>
      <c r="AU523" s="8"/>
      <c r="AV523" s="46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4"/>
      <c r="BX523" s="4"/>
    </row>
    <row r="524" spans="1:76" s="16" customFormat="1" x14ac:dyDescent="0.25">
      <c r="A524" s="26"/>
      <c r="B524" s="6"/>
      <c r="C524" s="7"/>
      <c r="D524" s="7"/>
      <c r="E524" s="7"/>
      <c r="F524" s="7"/>
      <c r="G524" s="7"/>
      <c r="H524" s="7"/>
      <c r="I524" s="4"/>
      <c r="J524" s="7"/>
      <c r="K524" s="7"/>
      <c r="L524" s="7"/>
      <c r="M524" s="7"/>
      <c r="N524" s="4"/>
      <c r="O524" s="4"/>
      <c r="P524" s="4"/>
      <c r="Q524" s="4"/>
      <c r="R524" s="4"/>
      <c r="S524" s="7"/>
      <c r="T524" s="7"/>
      <c r="U524" s="7"/>
      <c r="V524" s="7"/>
      <c r="W524" s="7"/>
      <c r="X524" s="7"/>
      <c r="Y524" s="4"/>
      <c r="Z524" s="4"/>
      <c r="AA524" s="4"/>
      <c r="AB524" s="4"/>
      <c r="AC524" s="4"/>
      <c r="AD524" s="4"/>
      <c r="AE524" s="4"/>
      <c r="AF524" s="4"/>
      <c r="AG524" s="49"/>
      <c r="AH524" s="4"/>
      <c r="AI524" s="4"/>
      <c r="AJ524" s="4"/>
      <c r="AK524" s="4"/>
      <c r="AL524" s="4"/>
      <c r="AM524" s="4"/>
      <c r="AN524" s="44"/>
      <c r="AO524" s="8"/>
      <c r="AP524" s="8"/>
      <c r="AQ524" s="8"/>
      <c r="AR524" s="8"/>
      <c r="AS524" s="8"/>
      <c r="AT524" s="8"/>
      <c r="AU524" s="8"/>
      <c r="AV524" s="46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4"/>
      <c r="BX524" s="4"/>
    </row>
    <row r="525" spans="1:76" s="16" customFormat="1" x14ac:dyDescent="0.25">
      <c r="A525" s="26"/>
      <c r="B525" s="6"/>
      <c r="C525" s="7"/>
      <c r="D525" s="7"/>
      <c r="E525" s="7"/>
      <c r="F525" s="7"/>
      <c r="G525" s="7"/>
      <c r="H525" s="7"/>
      <c r="I525" s="4"/>
      <c r="J525" s="7"/>
      <c r="K525" s="7"/>
      <c r="L525" s="7"/>
      <c r="M525" s="7"/>
      <c r="N525" s="4"/>
      <c r="O525" s="4"/>
      <c r="P525" s="4"/>
      <c r="Q525" s="4"/>
      <c r="R525" s="4"/>
      <c r="S525" s="7"/>
      <c r="T525" s="7"/>
      <c r="U525" s="7"/>
      <c r="V525" s="7"/>
      <c r="W525" s="7"/>
      <c r="X525" s="7"/>
      <c r="Y525" s="4"/>
      <c r="Z525" s="4"/>
      <c r="AA525" s="4"/>
      <c r="AB525" s="4"/>
      <c r="AC525" s="4"/>
      <c r="AD525" s="4"/>
      <c r="AE525" s="4"/>
      <c r="AF525" s="4"/>
      <c r="AG525" s="49"/>
      <c r="AH525" s="4"/>
      <c r="AI525" s="4"/>
      <c r="AJ525" s="4"/>
      <c r="AK525" s="4"/>
      <c r="AL525" s="4"/>
      <c r="AM525" s="4"/>
      <c r="AN525" s="44"/>
      <c r="AO525" s="8"/>
      <c r="AP525" s="8"/>
      <c r="AQ525" s="8"/>
      <c r="AR525" s="8"/>
      <c r="AS525" s="8"/>
      <c r="AT525" s="8"/>
      <c r="AU525" s="8"/>
      <c r="AV525" s="46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4"/>
      <c r="BX525" s="4"/>
    </row>
    <row r="526" spans="1:76" s="16" customFormat="1" x14ac:dyDescent="0.25">
      <c r="A526" s="26"/>
      <c r="B526" s="6"/>
      <c r="C526" s="7"/>
      <c r="D526" s="7"/>
      <c r="E526" s="7"/>
      <c r="F526" s="7"/>
      <c r="G526" s="7"/>
      <c r="H526" s="7"/>
      <c r="I526" s="4"/>
      <c r="J526" s="7"/>
      <c r="K526" s="7"/>
      <c r="L526" s="7"/>
      <c r="M526" s="7"/>
      <c r="N526" s="4"/>
      <c r="O526" s="4"/>
      <c r="P526" s="4"/>
      <c r="Q526" s="4"/>
      <c r="R526" s="4"/>
      <c r="S526" s="7"/>
      <c r="T526" s="7"/>
      <c r="U526" s="7"/>
      <c r="V526" s="7"/>
      <c r="W526" s="7"/>
      <c r="X526" s="7"/>
      <c r="Y526" s="4"/>
      <c r="Z526" s="4"/>
      <c r="AA526" s="4"/>
      <c r="AB526" s="4"/>
      <c r="AC526" s="4"/>
      <c r="AD526" s="4"/>
      <c r="AE526" s="4"/>
      <c r="AF526" s="4"/>
      <c r="AG526" s="49"/>
      <c r="AH526" s="4"/>
      <c r="AI526" s="4"/>
      <c r="AJ526" s="4"/>
      <c r="AK526" s="4"/>
      <c r="AL526" s="4"/>
      <c r="AM526" s="4"/>
      <c r="AN526" s="44"/>
      <c r="AO526" s="8"/>
      <c r="AP526" s="8"/>
      <c r="AQ526" s="8"/>
      <c r="AR526" s="8"/>
      <c r="AS526" s="8"/>
      <c r="AT526" s="8"/>
      <c r="AU526" s="8"/>
      <c r="AV526" s="46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4"/>
      <c r="BX526" s="4"/>
    </row>
    <row r="527" spans="1:76" s="16" customFormat="1" x14ac:dyDescent="0.25">
      <c r="A527" s="26"/>
      <c r="B527" s="6"/>
      <c r="C527" s="7"/>
      <c r="D527" s="7"/>
      <c r="E527" s="7"/>
      <c r="F527" s="7"/>
      <c r="G527" s="7"/>
      <c r="H527" s="7"/>
      <c r="I527" s="4"/>
      <c r="J527" s="7"/>
      <c r="K527" s="7"/>
      <c r="L527" s="7"/>
      <c r="M527" s="7"/>
      <c r="N527" s="4"/>
      <c r="O527" s="4"/>
      <c r="P527" s="4"/>
      <c r="Q527" s="4"/>
      <c r="R527" s="4"/>
      <c r="S527" s="7"/>
      <c r="T527" s="7"/>
      <c r="U527" s="7"/>
      <c r="V527" s="7"/>
      <c r="W527" s="7"/>
      <c r="X527" s="7"/>
      <c r="Y527" s="4"/>
      <c r="Z527" s="4"/>
      <c r="AA527" s="4"/>
      <c r="AB527" s="4"/>
      <c r="AC527" s="4"/>
      <c r="AD527" s="4"/>
      <c r="AE527" s="4"/>
      <c r="AF527" s="4"/>
      <c r="AG527" s="49"/>
      <c r="AH527" s="4"/>
      <c r="AI527" s="4"/>
      <c r="AJ527" s="4"/>
      <c r="AK527" s="4"/>
      <c r="AL527" s="4"/>
      <c r="AM527" s="4"/>
      <c r="AN527" s="44"/>
      <c r="AO527" s="8"/>
      <c r="AP527" s="8"/>
      <c r="AQ527" s="8"/>
      <c r="AR527" s="8"/>
      <c r="AS527" s="8"/>
      <c r="AT527" s="8"/>
      <c r="AU527" s="8"/>
      <c r="AV527" s="46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4"/>
      <c r="BX527" s="4"/>
    </row>
    <row r="528" spans="1:76" s="16" customFormat="1" x14ac:dyDescent="0.25">
      <c r="A528" s="26"/>
      <c r="B528" s="6"/>
      <c r="C528" s="7"/>
      <c r="D528" s="7"/>
      <c r="E528" s="7"/>
      <c r="F528" s="7"/>
      <c r="G528" s="7"/>
      <c r="H528" s="7"/>
      <c r="I528" s="4"/>
      <c r="J528" s="7"/>
      <c r="K528" s="7"/>
      <c r="L528" s="7"/>
      <c r="M528" s="7"/>
      <c r="N528" s="4"/>
      <c r="O528" s="4"/>
      <c r="P528" s="4"/>
      <c r="Q528" s="4"/>
      <c r="R528" s="4"/>
      <c r="S528" s="7"/>
      <c r="T528" s="7"/>
      <c r="U528" s="7"/>
      <c r="V528" s="7"/>
      <c r="W528" s="7"/>
      <c r="X528" s="7"/>
      <c r="Y528" s="4"/>
      <c r="Z528" s="4"/>
      <c r="AA528" s="4"/>
      <c r="AB528" s="4"/>
      <c r="AC528" s="4"/>
      <c r="AD528" s="4"/>
      <c r="AE528" s="4"/>
      <c r="AF528" s="4"/>
      <c r="AG528" s="49"/>
      <c r="AH528" s="4"/>
      <c r="AI528" s="4"/>
      <c r="AJ528" s="4"/>
      <c r="AK528" s="4"/>
      <c r="AL528" s="4"/>
      <c r="AM528" s="4"/>
      <c r="AN528" s="44"/>
      <c r="AO528" s="8"/>
      <c r="AP528" s="8"/>
      <c r="AQ528" s="8"/>
      <c r="AR528" s="8"/>
      <c r="AS528" s="8"/>
      <c r="AT528" s="8"/>
      <c r="AU528" s="8"/>
      <c r="AV528" s="46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4"/>
      <c r="BX528" s="4"/>
    </row>
    <row r="529" spans="1:76" s="16" customFormat="1" x14ac:dyDescent="0.25">
      <c r="A529" s="26"/>
      <c r="B529" s="6"/>
      <c r="C529" s="7"/>
      <c r="D529" s="7"/>
      <c r="E529" s="7"/>
      <c r="F529" s="7"/>
      <c r="G529" s="7"/>
      <c r="H529" s="7"/>
      <c r="I529" s="4"/>
      <c r="J529" s="7"/>
      <c r="K529" s="7"/>
      <c r="L529" s="7"/>
      <c r="M529" s="7"/>
      <c r="N529" s="4"/>
      <c r="O529" s="4"/>
      <c r="P529" s="4"/>
      <c r="Q529" s="4"/>
      <c r="R529" s="4"/>
      <c r="S529" s="7"/>
      <c r="T529" s="7"/>
      <c r="U529" s="7"/>
      <c r="V529" s="7"/>
      <c r="W529" s="7"/>
      <c r="X529" s="7"/>
      <c r="Y529" s="4"/>
      <c r="Z529" s="4"/>
      <c r="AA529" s="4"/>
      <c r="AB529" s="4"/>
      <c r="AC529" s="4"/>
      <c r="AD529" s="4"/>
      <c r="AE529" s="4"/>
      <c r="AF529" s="4"/>
      <c r="AG529" s="49"/>
      <c r="AH529" s="4"/>
      <c r="AI529" s="4"/>
      <c r="AJ529" s="4"/>
      <c r="AK529" s="4"/>
      <c r="AL529" s="4"/>
      <c r="AM529" s="4"/>
      <c r="AN529" s="44"/>
      <c r="AO529" s="8"/>
      <c r="AP529" s="8"/>
      <c r="AQ529" s="8"/>
      <c r="AR529" s="8"/>
      <c r="AS529" s="8"/>
      <c r="AT529" s="8"/>
      <c r="AU529" s="8"/>
      <c r="AV529" s="46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4"/>
      <c r="BX529" s="4"/>
    </row>
    <row r="530" spans="1:76" s="16" customFormat="1" x14ac:dyDescent="0.25">
      <c r="A530" s="26"/>
      <c r="B530" s="6"/>
      <c r="C530" s="7"/>
      <c r="D530" s="7"/>
      <c r="E530" s="7"/>
      <c r="F530" s="7"/>
      <c r="G530" s="7"/>
      <c r="H530" s="7"/>
      <c r="I530" s="4"/>
      <c r="J530" s="7"/>
      <c r="K530" s="7"/>
      <c r="L530" s="7"/>
      <c r="M530" s="7"/>
      <c r="N530" s="4"/>
      <c r="O530" s="4"/>
      <c r="P530" s="4"/>
      <c r="Q530" s="4"/>
      <c r="R530" s="4"/>
      <c r="S530" s="7"/>
      <c r="T530" s="7"/>
      <c r="U530" s="7"/>
      <c r="V530" s="7"/>
      <c r="W530" s="7"/>
      <c r="X530" s="7"/>
      <c r="Y530" s="4"/>
      <c r="Z530" s="4"/>
      <c r="AA530" s="4"/>
      <c r="AB530" s="4"/>
      <c r="AC530" s="4"/>
      <c r="AD530" s="4"/>
      <c r="AE530" s="4"/>
      <c r="AF530" s="4"/>
      <c r="AG530" s="49"/>
      <c r="AH530" s="4"/>
      <c r="AI530" s="4"/>
      <c r="AJ530" s="4"/>
      <c r="AK530" s="4"/>
      <c r="AL530" s="4"/>
      <c r="AM530" s="4"/>
      <c r="AN530" s="44"/>
      <c r="AO530" s="8"/>
      <c r="AP530" s="8"/>
      <c r="AQ530" s="8"/>
      <c r="AR530" s="8"/>
      <c r="AS530" s="8"/>
      <c r="AT530" s="8"/>
      <c r="AU530" s="8"/>
      <c r="AV530" s="46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4"/>
      <c r="BX530" s="4"/>
    </row>
    <row r="531" spans="1:76" s="16" customFormat="1" x14ac:dyDescent="0.25">
      <c r="A531" s="26"/>
      <c r="B531" s="6"/>
      <c r="C531" s="7"/>
      <c r="D531" s="7"/>
      <c r="E531" s="7"/>
      <c r="F531" s="7"/>
      <c r="G531" s="7"/>
      <c r="H531" s="7"/>
      <c r="I531" s="4"/>
      <c r="J531" s="7"/>
      <c r="K531" s="7"/>
      <c r="L531" s="7"/>
      <c r="M531" s="7"/>
      <c r="N531" s="4"/>
      <c r="O531" s="4"/>
      <c r="P531" s="4"/>
      <c r="Q531" s="4"/>
      <c r="R531" s="4"/>
      <c r="S531" s="7"/>
      <c r="T531" s="7"/>
      <c r="U531" s="7"/>
      <c r="V531" s="7"/>
      <c r="W531" s="7"/>
      <c r="X531" s="7"/>
      <c r="Y531" s="4"/>
      <c r="Z531" s="4"/>
      <c r="AA531" s="4"/>
      <c r="AB531" s="4"/>
      <c r="AC531" s="4"/>
      <c r="AD531" s="4"/>
      <c r="AE531" s="4"/>
      <c r="AF531" s="4"/>
      <c r="AG531" s="49"/>
      <c r="AH531" s="4"/>
      <c r="AI531" s="4"/>
      <c r="AJ531" s="4"/>
      <c r="AK531" s="4"/>
      <c r="AL531" s="4"/>
      <c r="AM531" s="4"/>
      <c r="AN531" s="44"/>
      <c r="AO531" s="8"/>
      <c r="AP531" s="8"/>
      <c r="AQ531" s="8"/>
      <c r="AR531" s="8"/>
      <c r="AS531" s="8"/>
      <c r="AT531" s="8"/>
      <c r="AU531" s="8"/>
      <c r="AV531" s="46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4"/>
      <c r="BX531" s="4"/>
    </row>
    <row r="532" spans="1:76" s="16" customFormat="1" x14ac:dyDescent="0.25">
      <c r="A532" s="26"/>
      <c r="B532" s="6"/>
      <c r="C532" s="7"/>
      <c r="D532" s="7"/>
      <c r="E532" s="7"/>
      <c r="F532" s="7"/>
      <c r="G532" s="7"/>
      <c r="H532" s="7"/>
      <c r="I532" s="4"/>
      <c r="J532" s="7"/>
      <c r="K532" s="7"/>
      <c r="L532" s="7"/>
      <c r="M532" s="7"/>
      <c r="N532" s="4"/>
      <c r="O532" s="4"/>
      <c r="P532" s="4"/>
      <c r="Q532" s="4"/>
      <c r="R532" s="4"/>
      <c r="S532" s="7"/>
      <c r="T532" s="7"/>
      <c r="U532" s="7"/>
      <c r="V532" s="7"/>
      <c r="W532" s="7"/>
      <c r="X532" s="7"/>
      <c r="Y532" s="4"/>
      <c r="Z532" s="4"/>
      <c r="AA532" s="4"/>
      <c r="AB532" s="4"/>
      <c r="AC532" s="4"/>
      <c r="AD532" s="4"/>
      <c r="AE532" s="4"/>
      <c r="AF532" s="4"/>
      <c r="AG532" s="49"/>
      <c r="AH532" s="4"/>
      <c r="AI532" s="4"/>
      <c r="AJ532" s="4"/>
      <c r="AK532" s="4"/>
      <c r="AL532" s="4"/>
      <c r="AM532" s="4"/>
      <c r="AN532" s="44"/>
      <c r="AO532" s="8"/>
      <c r="AP532" s="8"/>
      <c r="AQ532" s="8"/>
      <c r="AR532" s="8"/>
      <c r="AS532" s="8"/>
      <c r="AT532" s="8"/>
      <c r="AU532" s="8"/>
      <c r="AV532" s="46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4"/>
      <c r="BX532" s="4"/>
    </row>
    <row r="533" spans="1:76" s="16" customFormat="1" x14ac:dyDescent="0.25">
      <c r="A533" s="26"/>
      <c r="B533" s="6"/>
      <c r="C533" s="7"/>
      <c r="D533" s="7"/>
      <c r="E533" s="7"/>
      <c r="F533" s="7"/>
      <c r="G533" s="7"/>
      <c r="H533" s="7"/>
      <c r="I533" s="4"/>
      <c r="J533" s="7"/>
      <c r="K533" s="7"/>
      <c r="L533" s="7"/>
      <c r="M533" s="7"/>
      <c r="N533" s="4"/>
      <c r="O533" s="4"/>
      <c r="P533" s="4"/>
      <c r="Q533" s="4"/>
      <c r="R533" s="4"/>
      <c r="S533" s="7"/>
      <c r="T533" s="7"/>
      <c r="U533" s="7"/>
      <c r="V533" s="7"/>
      <c r="W533" s="7"/>
      <c r="X533" s="7"/>
      <c r="Y533" s="4"/>
      <c r="Z533" s="4"/>
      <c r="AA533" s="4"/>
      <c r="AB533" s="4"/>
      <c r="AC533" s="4"/>
      <c r="AD533" s="4"/>
      <c r="AE533" s="4"/>
      <c r="AF533" s="4"/>
      <c r="AG533" s="49"/>
      <c r="AH533" s="4"/>
      <c r="AI533" s="4"/>
      <c r="AJ533" s="4"/>
      <c r="AK533" s="4"/>
      <c r="AL533" s="4"/>
      <c r="AM533" s="4"/>
      <c r="AN533" s="44"/>
      <c r="AO533" s="8"/>
      <c r="AP533" s="8"/>
      <c r="AQ533" s="8"/>
      <c r="AR533" s="8"/>
      <c r="AS533" s="8"/>
      <c r="AT533" s="8"/>
      <c r="AU533" s="8"/>
      <c r="AV533" s="46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4"/>
      <c r="BX533" s="4"/>
    </row>
    <row r="534" spans="1:76" s="16" customFormat="1" x14ac:dyDescent="0.25">
      <c r="A534" s="26"/>
      <c r="B534" s="6"/>
      <c r="C534" s="7"/>
      <c r="D534" s="7"/>
      <c r="E534" s="7"/>
      <c r="F534" s="7"/>
      <c r="G534" s="7"/>
      <c r="H534" s="7"/>
      <c r="I534" s="4"/>
      <c r="J534" s="7"/>
      <c r="K534" s="7"/>
      <c r="L534" s="7"/>
      <c r="M534" s="7"/>
      <c r="N534" s="4"/>
      <c r="O534" s="4"/>
      <c r="P534" s="4"/>
      <c r="Q534" s="4"/>
      <c r="R534" s="4"/>
      <c r="S534" s="7"/>
      <c r="T534" s="7"/>
      <c r="U534" s="7"/>
      <c r="V534" s="7"/>
      <c r="W534" s="7"/>
      <c r="X534" s="7"/>
      <c r="Y534" s="4"/>
      <c r="Z534" s="4"/>
      <c r="AA534" s="4"/>
      <c r="AB534" s="4"/>
      <c r="AC534" s="4"/>
      <c r="AD534" s="4"/>
      <c r="AE534" s="4"/>
      <c r="AF534" s="4"/>
      <c r="AG534" s="49"/>
      <c r="AH534" s="4"/>
      <c r="AI534" s="4"/>
      <c r="AJ534" s="4"/>
      <c r="AK534" s="4"/>
      <c r="AL534" s="4"/>
      <c r="AM534" s="4"/>
      <c r="AN534" s="44"/>
      <c r="AO534" s="8"/>
      <c r="AP534" s="8"/>
      <c r="AQ534" s="8"/>
      <c r="AR534" s="8"/>
      <c r="AS534" s="8"/>
      <c r="AT534" s="8"/>
      <c r="AU534" s="8"/>
      <c r="AV534" s="46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4"/>
      <c r="BX534" s="4"/>
    </row>
    <row r="535" spans="1:76" s="16" customFormat="1" x14ac:dyDescent="0.25">
      <c r="A535" s="26"/>
      <c r="B535" s="6"/>
      <c r="C535" s="7"/>
      <c r="D535" s="7"/>
      <c r="E535" s="7"/>
      <c r="F535" s="7"/>
      <c r="G535" s="7"/>
      <c r="H535" s="7"/>
      <c r="I535" s="4"/>
      <c r="J535" s="7"/>
      <c r="K535" s="7"/>
      <c r="L535" s="7"/>
      <c r="M535" s="7"/>
      <c r="N535" s="4"/>
      <c r="O535" s="4"/>
      <c r="P535" s="4"/>
      <c r="Q535" s="4"/>
      <c r="R535" s="4"/>
      <c r="S535" s="7"/>
      <c r="T535" s="7"/>
      <c r="U535" s="7"/>
      <c r="V535" s="7"/>
      <c r="W535" s="7"/>
      <c r="X535" s="7"/>
      <c r="Y535" s="4"/>
      <c r="Z535" s="4"/>
      <c r="AA535" s="4"/>
      <c r="AB535" s="4"/>
      <c r="AC535" s="4"/>
      <c r="AD535" s="4"/>
      <c r="AE535" s="4"/>
      <c r="AF535" s="4"/>
      <c r="AG535" s="49"/>
      <c r="AH535" s="4"/>
      <c r="AI535" s="4"/>
      <c r="AJ535" s="4"/>
      <c r="AK535" s="4"/>
      <c r="AL535" s="4"/>
      <c r="AM535" s="4"/>
      <c r="AN535" s="44"/>
      <c r="AO535" s="8"/>
      <c r="AP535" s="8"/>
      <c r="AQ535" s="8"/>
      <c r="AR535" s="8"/>
      <c r="AS535" s="8"/>
      <c r="AT535" s="8"/>
      <c r="AU535" s="8"/>
      <c r="AV535" s="46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4"/>
      <c r="BX535" s="4"/>
    </row>
    <row r="536" spans="1:76" s="16" customFormat="1" x14ac:dyDescent="0.25">
      <c r="A536" s="26"/>
      <c r="B536" s="6"/>
      <c r="C536" s="7"/>
      <c r="D536" s="7"/>
      <c r="E536" s="7"/>
      <c r="F536" s="7"/>
      <c r="G536" s="7"/>
      <c r="H536" s="7"/>
      <c r="I536" s="4"/>
      <c r="J536" s="7"/>
      <c r="K536" s="7"/>
      <c r="L536" s="7"/>
      <c r="M536" s="7"/>
      <c r="N536" s="4"/>
      <c r="O536" s="4"/>
      <c r="P536" s="4"/>
      <c r="Q536" s="4"/>
      <c r="R536" s="4"/>
      <c r="S536" s="7"/>
      <c r="T536" s="7"/>
      <c r="U536" s="7"/>
      <c r="V536" s="7"/>
      <c r="W536" s="7"/>
      <c r="X536" s="7"/>
      <c r="Y536" s="4"/>
      <c r="Z536" s="4"/>
      <c r="AA536" s="4"/>
      <c r="AB536" s="4"/>
      <c r="AC536" s="4"/>
      <c r="AD536" s="4"/>
      <c r="AE536" s="4"/>
      <c r="AF536" s="4"/>
      <c r="AG536" s="49"/>
      <c r="AH536" s="4"/>
      <c r="AI536" s="4"/>
      <c r="AJ536" s="4"/>
      <c r="AK536" s="4"/>
      <c r="AL536" s="4"/>
      <c r="AM536" s="4"/>
      <c r="AN536" s="44"/>
      <c r="AO536" s="8"/>
      <c r="AP536" s="8"/>
      <c r="AQ536" s="8"/>
      <c r="AR536" s="8"/>
      <c r="AS536" s="8"/>
      <c r="AT536" s="8"/>
      <c r="AU536" s="8"/>
      <c r="AV536" s="46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4"/>
      <c r="BX536" s="4"/>
    </row>
    <row r="537" spans="1:76" s="16" customFormat="1" x14ac:dyDescent="0.25">
      <c r="A537" s="26"/>
      <c r="B537" s="6"/>
      <c r="C537" s="7"/>
      <c r="D537" s="7"/>
      <c r="E537" s="7"/>
      <c r="F537" s="7"/>
      <c r="G537" s="7"/>
      <c r="H537" s="7"/>
      <c r="I537" s="4"/>
      <c r="J537" s="7"/>
      <c r="K537" s="7"/>
      <c r="L537" s="7"/>
      <c r="M537" s="7"/>
      <c r="N537" s="4"/>
      <c r="O537" s="4"/>
      <c r="P537" s="4"/>
      <c r="Q537" s="4"/>
      <c r="R537" s="4"/>
      <c r="S537" s="7"/>
      <c r="T537" s="7"/>
      <c r="U537" s="7"/>
      <c r="V537" s="7"/>
      <c r="W537" s="7"/>
      <c r="X537" s="7"/>
      <c r="Y537" s="4"/>
      <c r="Z537" s="4"/>
      <c r="AA537" s="4"/>
      <c r="AB537" s="4"/>
      <c r="AC537" s="4"/>
      <c r="AD537" s="4"/>
      <c r="AE537" s="4"/>
      <c r="AF537" s="4"/>
      <c r="AG537" s="49"/>
      <c r="AH537" s="4"/>
      <c r="AI537" s="4"/>
      <c r="AJ537" s="4"/>
      <c r="AK537" s="4"/>
      <c r="AL537" s="4"/>
      <c r="AM537" s="4"/>
      <c r="AN537" s="44"/>
      <c r="AO537" s="8"/>
      <c r="AP537" s="8"/>
      <c r="AQ537" s="8"/>
      <c r="AR537" s="8"/>
      <c r="AS537" s="8"/>
      <c r="AT537" s="8"/>
      <c r="AU537" s="8"/>
      <c r="AV537" s="46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4"/>
      <c r="BX537" s="4"/>
    </row>
    <row r="538" spans="1:76" s="16" customFormat="1" x14ac:dyDescent="0.25">
      <c r="A538" s="26"/>
      <c r="B538" s="6"/>
      <c r="C538" s="7"/>
      <c r="D538" s="7"/>
      <c r="E538" s="7"/>
      <c r="F538" s="7"/>
      <c r="G538" s="7"/>
      <c r="H538" s="7"/>
      <c r="I538" s="4"/>
      <c r="J538" s="7"/>
      <c r="K538" s="7"/>
      <c r="L538" s="7"/>
      <c r="M538" s="7"/>
      <c r="N538" s="4"/>
      <c r="O538" s="4"/>
      <c r="P538" s="4"/>
      <c r="Q538" s="4"/>
      <c r="R538" s="4"/>
      <c r="S538" s="7"/>
      <c r="T538" s="7"/>
      <c r="U538" s="7"/>
      <c r="V538" s="7"/>
      <c r="W538" s="7"/>
      <c r="X538" s="7"/>
      <c r="Y538" s="4"/>
      <c r="Z538" s="4"/>
      <c r="AA538" s="4"/>
      <c r="AB538" s="4"/>
      <c r="AC538" s="4"/>
      <c r="AD538" s="4"/>
      <c r="AE538" s="4"/>
      <c r="AF538" s="4"/>
      <c r="AG538" s="49"/>
      <c r="AH538" s="4"/>
      <c r="AI538" s="4"/>
      <c r="AJ538" s="4"/>
      <c r="AK538" s="4"/>
      <c r="AL538" s="4"/>
      <c r="AM538" s="4"/>
      <c r="AN538" s="44"/>
      <c r="AO538" s="8"/>
      <c r="AP538" s="8"/>
      <c r="AQ538" s="8"/>
      <c r="AR538" s="8"/>
      <c r="AS538" s="8"/>
      <c r="AT538" s="8"/>
      <c r="AU538" s="8"/>
      <c r="AV538" s="46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4"/>
      <c r="BX538" s="4"/>
    </row>
    <row r="539" spans="1:76" s="16" customFormat="1" x14ac:dyDescent="0.25">
      <c r="A539" s="26"/>
      <c r="B539" s="6"/>
      <c r="C539" s="7"/>
      <c r="D539" s="7"/>
      <c r="E539" s="7"/>
      <c r="F539" s="7"/>
      <c r="G539" s="7"/>
      <c r="H539" s="7"/>
      <c r="I539" s="4"/>
      <c r="J539" s="7"/>
      <c r="K539" s="7"/>
      <c r="L539" s="7"/>
      <c r="M539" s="7"/>
      <c r="N539" s="4"/>
      <c r="O539" s="4"/>
      <c r="P539" s="4"/>
      <c r="Q539" s="4"/>
      <c r="R539" s="4"/>
      <c r="S539" s="7"/>
      <c r="T539" s="7"/>
      <c r="U539" s="7"/>
      <c r="V539" s="7"/>
      <c r="W539" s="7"/>
      <c r="X539" s="7"/>
      <c r="Y539" s="4"/>
      <c r="Z539" s="4"/>
      <c r="AA539" s="4"/>
      <c r="AB539" s="4"/>
      <c r="AC539" s="4"/>
      <c r="AD539" s="4"/>
      <c r="AE539" s="4"/>
      <c r="AF539" s="4"/>
      <c r="AG539" s="49"/>
      <c r="AH539" s="4"/>
      <c r="AI539" s="4"/>
      <c r="AJ539" s="4"/>
      <c r="AK539" s="4"/>
      <c r="AL539" s="4"/>
      <c r="AM539" s="4"/>
      <c r="AN539" s="44"/>
      <c r="AO539" s="8"/>
      <c r="AP539" s="8"/>
      <c r="AQ539" s="8"/>
      <c r="AR539" s="8"/>
      <c r="AS539" s="8"/>
      <c r="AT539" s="8"/>
      <c r="AU539" s="8"/>
      <c r="AV539" s="46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4"/>
      <c r="BX539" s="4"/>
    </row>
    <row r="540" spans="1:76" s="16" customFormat="1" x14ac:dyDescent="0.25">
      <c r="A540" s="26"/>
      <c r="B540" s="6"/>
      <c r="C540" s="7"/>
      <c r="D540" s="7"/>
      <c r="E540" s="7"/>
      <c r="F540" s="7"/>
      <c r="G540" s="7"/>
      <c r="H540" s="7"/>
      <c r="I540" s="4"/>
      <c r="J540" s="7"/>
      <c r="K540" s="7"/>
      <c r="L540" s="7"/>
      <c r="M540" s="7"/>
      <c r="N540" s="4"/>
      <c r="O540" s="4"/>
      <c r="P540" s="4"/>
      <c r="Q540" s="4"/>
      <c r="R540" s="4"/>
      <c r="S540" s="7"/>
      <c r="T540" s="7"/>
      <c r="U540" s="7"/>
      <c r="V540" s="7"/>
      <c r="W540" s="7"/>
      <c r="X540" s="7"/>
      <c r="Y540" s="4"/>
      <c r="Z540" s="4"/>
      <c r="AA540" s="4"/>
      <c r="AB540" s="4"/>
      <c r="AC540" s="4"/>
      <c r="AD540" s="4"/>
      <c r="AE540" s="4"/>
      <c r="AF540" s="4"/>
      <c r="AG540" s="49"/>
      <c r="AH540" s="4"/>
      <c r="AI540" s="4"/>
      <c r="AJ540" s="4"/>
      <c r="AK540" s="4"/>
      <c r="AL540" s="4"/>
      <c r="AM540" s="4"/>
      <c r="AN540" s="44"/>
      <c r="AO540" s="8"/>
      <c r="AP540" s="8"/>
      <c r="AQ540" s="8"/>
      <c r="AR540" s="8"/>
      <c r="AS540" s="8"/>
      <c r="AT540" s="8"/>
      <c r="AU540" s="8"/>
      <c r="AV540" s="46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4"/>
      <c r="BX540" s="4"/>
    </row>
    <row r="541" spans="1:76" s="16" customFormat="1" x14ac:dyDescent="0.25">
      <c r="A541" s="26"/>
      <c r="B541" s="6"/>
      <c r="C541" s="7"/>
      <c r="D541" s="7"/>
      <c r="E541" s="7"/>
      <c r="F541" s="7"/>
      <c r="G541" s="7"/>
      <c r="H541" s="7"/>
      <c r="I541" s="4"/>
      <c r="J541" s="7"/>
      <c r="K541" s="7"/>
      <c r="L541" s="7"/>
      <c r="M541" s="7"/>
      <c r="N541" s="4"/>
      <c r="O541" s="4"/>
      <c r="P541" s="4"/>
      <c r="Q541" s="4"/>
      <c r="R541" s="4"/>
      <c r="S541" s="7"/>
      <c r="T541" s="7"/>
      <c r="U541" s="7"/>
      <c r="V541" s="7"/>
      <c r="W541" s="7"/>
      <c r="X541" s="7"/>
      <c r="Y541" s="4"/>
      <c r="Z541" s="4"/>
      <c r="AA541" s="4"/>
      <c r="AB541" s="4"/>
      <c r="AC541" s="4"/>
      <c r="AD541" s="4"/>
      <c r="AE541" s="4"/>
      <c r="AF541" s="4"/>
      <c r="AG541" s="49"/>
      <c r="AH541" s="4"/>
      <c r="AI541" s="4"/>
      <c r="AJ541" s="4"/>
      <c r="AK541" s="4"/>
      <c r="AL541" s="4"/>
      <c r="AM541" s="4"/>
      <c r="AN541" s="44"/>
      <c r="AO541" s="8"/>
      <c r="AP541" s="8"/>
      <c r="AQ541" s="8"/>
      <c r="AR541" s="8"/>
      <c r="AS541" s="8"/>
      <c r="AT541" s="8"/>
      <c r="AU541" s="8"/>
      <c r="AV541" s="46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4"/>
      <c r="BX541" s="4"/>
    </row>
    <row r="542" spans="1:76" s="16" customFormat="1" x14ac:dyDescent="0.25">
      <c r="A542" s="26"/>
      <c r="B542" s="6"/>
      <c r="C542" s="7"/>
      <c r="D542" s="7"/>
      <c r="E542" s="7"/>
      <c r="F542" s="7"/>
      <c r="G542" s="7"/>
      <c r="H542" s="7"/>
      <c r="I542" s="4"/>
      <c r="J542" s="7"/>
      <c r="K542" s="7"/>
      <c r="L542" s="7"/>
      <c r="M542" s="7"/>
      <c r="N542" s="4"/>
      <c r="O542" s="4"/>
      <c r="P542" s="4"/>
      <c r="Q542" s="4"/>
      <c r="R542" s="4"/>
      <c r="S542" s="7"/>
      <c r="T542" s="7"/>
      <c r="U542" s="7"/>
      <c r="V542" s="7"/>
      <c r="W542" s="7"/>
      <c r="X542" s="7"/>
      <c r="Y542" s="4"/>
      <c r="Z542" s="4"/>
      <c r="AA542" s="4"/>
      <c r="AB542" s="4"/>
      <c r="AC542" s="4"/>
      <c r="AD542" s="4"/>
      <c r="AE542" s="4"/>
      <c r="AF542" s="4"/>
      <c r="AG542" s="49"/>
      <c r="AH542" s="4"/>
      <c r="AI542" s="4"/>
      <c r="AJ542" s="4"/>
      <c r="AK542" s="4"/>
      <c r="AL542" s="4"/>
      <c r="AM542" s="4"/>
      <c r="AN542" s="44"/>
      <c r="AO542" s="8"/>
      <c r="AP542" s="8"/>
      <c r="AQ542" s="8"/>
      <c r="AR542" s="8"/>
      <c r="AS542" s="8"/>
      <c r="AT542" s="8"/>
      <c r="AU542" s="8"/>
      <c r="AV542" s="46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4"/>
      <c r="BX542" s="4"/>
    </row>
    <row r="543" spans="1:76" s="16" customFormat="1" x14ac:dyDescent="0.25">
      <c r="A543" s="26"/>
      <c r="B543" s="6"/>
      <c r="C543" s="7"/>
      <c r="D543" s="7"/>
      <c r="E543" s="7"/>
      <c r="F543" s="7"/>
      <c r="G543" s="7"/>
      <c r="H543" s="7"/>
      <c r="I543" s="4"/>
      <c r="J543" s="7"/>
      <c r="K543" s="7"/>
      <c r="L543" s="7"/>
      <c r="M543" s="7"/>
      <c r="N543" s="4"/>
      <c r="O543" s="4"/>
      <c r="P543" s="4"/>
      <c r="Q543" s="4"/>
      <c r="R543" s="4"/>
      <c r="S543" s="7"/>
      <c r="T543" s="7"/>
      <c r="U543" s="7"/>
      <c r="V543" s="7"/>
      <c r="W543" s="7"/>
      <c r="X543" s="7"/>
      <c r="Y543" s="4"/>
      <c r="Z543" s="4"/>
      <c r="AA543" s="4"/>
      <c r="AB543" s="4"/>
      <c r="AC543" s="4"/>
      <c r="AD543" s="4"/>
      <c r="AE543" s="4"/>
      <c r="AF543" s="4"/>
      <c r="AG543" s="49"/>
      <c r="AH543" s="4"/>
      <c r="AI543" s="4"/>
      <c r="AJ543" s="4"/>
      <c r="AK543" s="4"/>
      <c r="AL543" s="4"/>
      <c r="AM543" s="4"/>
      <c r="AN543" s="44"/>
      <c r="AO543" s="8"/>
      <c r="AP543" s="8"/>
      <c r="AQ543" s="8"/>
      <c r="AR543" s="8"/>
      <c r="AS543" s="8"/>
      <c r="AT543" s="8"/>
      <c r="AU543" s="8"/>
      <c r="AV543" s="46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4"/>
      <c r="BX543" s="4"/>
    </row>
    <row r="544" spans="1:76" s="16" customFormat="1" x14ac:dyDescent="0.25">
      <c r="A544" s="26"/>
      <c r="B544" s="6"/>
      <c r="C544" s="7"/>
      <c r="D544" s="7"/>
      <c r="E544" s="7"/>
      <c r="F544" s="7"/>
      <c r="G544" s="7"/>
      <c r="H544" s="7"/>
      <c r="I544" s="4"/>
      <c r="J544" s="7"/>
      <c r="K544" s="7"/>
      <c r="L544" s="7"/>
      <c r="M544" s="7"/>
      <c r="N544" s="4"/>
      <c r="O544" s="4"/>
      <c r="P544" s="4"/>
      <c r="Q544" s="4"/>
      <c r="R544" s="4"/>
      <c r="S544" s="7"/>
      <c r="T544" s="7"/>
      <c r="U544" s="7"/>
      <c r="V544" s="7"/>
      <c r="W544" s="7"/>
      <c r="X544" s="7"/>
      <c r="Y544" s="4"/>
      <c r="Z544" s="4"/>
      <c r="AA544" s="4"/>
      <c r="AB544" s="4"/>
      <c r="AC544" s="4"/>
      <c r="AD544" s="4"/>
      <c r="AE544" s="4"/>
      <c r="AF544" s="4"/>
      <c r="AG544" s="49"/>
      <c r="AH544" s="4"/>
      <c r="AI544" s="4"/>
      <c r="AJ544" s="4"/>
      <c r="AK544" s="4"/>
      <c r="AL544" s="4"/>
      <c r="AM544" s="4"/>
      <c r="AN544" s="44"/>
      <c r="AO544" s="8"/>
      <c r="AP544" s="8"/>
      <c r="AQ544" s="8"/>
      <c r="AR544" s="8"/>
      <c r="AS544" s="8"/>
      <c r="AT544" s="8"/>
      <c r="AU544" s="8"/>
      <c r="AV544" s="46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4"/>
      <c r="BX544" s="4"/>
    </row>
    <row r="545" spans="1:76" s="16" customFormat="1" x14ac:dyDescent="0.25">
      <c r="A545" s="26"/>
      <c r="B545" s="6"/>
      <c r="C545" s="7"/>
      <c r="D545" s="7"/>
      <c r="E545" s="7"/>
      <c r="F545" s="7"/>
      <c r="G545" s="7"/>
      <c r="H545" s="7"/>
      <c r="I545" s="4"/>
      <c r="J545" s="7"/>
      <c r="K545" s="7"/>
      <c r="L545" s="7"/>
      <c r="M545" s="7"/>
      <c r="N545" s="4"/>
      <c r="O545" s="4"/>
      <c r="P545" s="4"/>
      <c r="Q545" s="4"/>
      <c r="R545" s="4"/>
      <c r="S545" s="7"/>
      <c r="T545" s="7"/>
      <c r="U545" s="7"/>
      <c r="V545" s="7"/>
      <c r="W545" s="7"/>
      <c r="X545" s="7"/>
      <c r="Y545" s="4"/>
      <c r="Z545" s="4"/>
      <c r="AA545" s="4"/>
      <c r="AB545" s="4"/>
      <c r="AC545" s="4"/>
      <c r="AD545" s="4"/>
      <c r="AE545" s="4"/>
      <c r="AF545" s="4"/>
      <c r="AG545" s="49"/>
      <c r="AH545" s="4"/>
      <c r="AI545" s="4"/>
      <c r="AJ545" s="4"/>
      <c r="AK545" s="4"/>
      <c r="AL545" s="4"/>
      <c r="AM545" s="4"/>
      <c r="AN545" s="44"/>
      <c r="AO545" s="8"/>
      <c r="AP545" s="8"/>
      <c r="AQ545" s="8"/>
      <c r="AR545" s="8"/>
      <c r="AS545" s="8"/>
      <c r="AT545" s="8"/>
      <c r="AU545" s="8"/>
      <c r="AV545" s="46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4"/>
      <c r="BX545" s="4"/>
    </row>
    <row r="546" spans="1:76" s="16" customFormat="1" x14ac:dyDescent="0.25">
      <c r="A546" s="26"/>
      <c r="B546" s="6"/>
      <c r="C546" s="7"/>
      <c r="D546" s="7"/>
      <c r="E546" s="7"/>
      <c r="F546" s="7"/>
      <c r="G546" s="7"/>
      <c r="H546" s="7"/>
      <c r="I546" s="4"/>
      <c r="J546" s="7"/>
      <c r="K546" s="7"/>
      <c r="L546" s="7"/>
      <c r="M546" s="7"/>
      <c r="N546" s="4"/>
      <c r="O546" s="4"/>
      <c r="P546" s="4"/>
      <c r="Q546" s="4"/>
      <c r="R546" s="4"/>
      <c r="S546" s="7"/>
      <c r="T546" s="7"/>
      <c r="U546" s="7"/>
      <c r="V546" s="7"/>
      <c r="W546" s="7"/>
      <c r="X546" s="7"/>
      <c r="Y546" s="4"/>
      <c r="Z546" s="4"/>
      <c r="AA546" s="4"/>
      <c r="AB546" s="4"/>
      <c r="AC546" s="4"/>
      <c r="AD546" s="4"/>
      <c r="AE546" s="4"/>
      <c r="AF546" s="4"/>
      <c r="AG546" s="49"/>
      <c r="AH546" s="4"/>
      <c r="AI546" s="4"/>
      <c r="AJ546" s="4"/>
      <c r="AK546" s="4"/>
      <c r="AL546" s="4"/>
      <c r="AM546" s="4"/>
      <c r="AN546" s="44"/>
      <c r="AO546" s="8"/>
      <c r="AP546" s="8"/>
      <c r="AQ546" s="8"/>
      <c r="AR546" s="8"/>
      <c r="AS546" s="8"/>
      <c r="AT546" s="8"/>
      <c r="AU546" s="8"/>
      <c r="AV546" s="46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4"/>
      <c r="BX546" s="4"/>
    </row>
    <row r="547" spans="1:76" s="16" customFormat="1" x14ac:dyDescent="0.25">
      <c r="A547" s="26"/>
      <c r="B547" s="6"/>
      <c r="C547" s="7"/>
      <c r="D547" s="7"/>
      <c r="E547" s="7"/>
      <c r="F547" s="7"/>
      <c r="G547" s="7"/>
      <c r="H547" s="7"/>
      <c r="I547" s="4"/>
      <c r="J547" s="7"/>
      <c r="K547" s="7"/>
      <c r="L547" s="7"/>
      <c r="M547" s="7"/>
      <c r="N547" s="4"/>
      <c r="O547" s="4"/>
      <c r="P547" s="4"/>
      <c r="Q547" s="4"/>
      <c r="R547" s="4"/>
      <c r="S547" s="7"/>
      <c r="T547" s="7"/>
      <c r="U547" s="7"/>
      <c r="V547" s="7"/>
      <c r="W547" s="7"/>
      <c r="X547" s="7"/>
      <c r="Y547" s="4"/>
      <c r="Z547" s="4"/>
      <c r="AA547" s="4"/>
      <c r="AB547" s="4"/>
      <c r="AC547" s="4"/>
      <c r="AD547" s="4"/>
      <c r="AE547" s="4"/>
      <c r="AF547" s="4"/>
      <c r="AG547" s="49"/>
      <c r="AH547" s="4"/>
      <c r="AI547" s="4"/>
      <c r="AJ547" s="4"/>
      <c r="AK547" s="4"/>
      <c r="AL547" s="4"/>
      <c r="AM547" s="4"/>
      <c r="AN547" s="44"/>
      <c r="AO547" s="8"/>
      <c r="AP547" s="8"/>
      <c r="AQ547" s="8"/>
      <c r="AR547" s="8"/>
      <c r="AS547" s="8"/>
      <c r="AT547" s="8"/>
      <c r="AU547" s="8"/>
      <c r="AV547" s="46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4"/>
      <c r="BX547" s="4"/>
    </row>
    <row r="548" spans="1:76" s="16" customFormat="1" x14ac:dyDescent="0.25">
      <c r="A548" s="26"/>
      <c r="B548" s="6"/>
      <c r="C548" s="7"/>
      <c r="D548" s="7"/>
      <c r="E548" s="7"/>
      <c r="F548" s="7"/>
      <c r="G548" s="7"/>
      <c r="H548" s="7"/>
      <c r="I548" s="4"/>
      <c r="J548" s="7"/>
      <c r="K548" s="7"/>
      <c r="L548" s="7"/>
      <c r="M548" s="7"/>
      <c r="N548" s="4"/>
      <c r="O548" s="4"/>
      <c r="P548" s="4"/>
      <c r="Q548" s="4"/>
      <c r="R548" s="4"/>
      <c r="S548" s="7"/>
      <c r="T548" s="7"/>
      <c r="U548" s="7"/>
      <c r="V548" s="7"/>
      <c r="W548" s="7"/>
      <c r="X548" s="7"/>
      <c r="Y548" s="4"/>
      <c r="Z548" s="4"/>
      <c r="AA548" s="4"/>
      <c r="AB548" s="4"/>
      <c r="AC548" s="4"/>
      <c r="AD548" s="4"/>
      <c r="AE548" s="4"/>
      <c r="AF548" s="4"/>
      <c r="AG548" s="49"/>
      <c r="AH548" s="4"/>
      <c r="AI548" s="4"/>
      <c r="AJ548" s="4"/>
      <c r="AK548" s="4"/>
      <c r="AL548" s="4"/>
      <c r="AM548" s="4"/>
      <c r="AN548" s="44"/>
      <c r="AO548" s="8"/>
      <c r="AP548" s="8"/>
      <c r="AQ548" s="8"/>
      <c r="AR548" s="8"/>
      <c r="AS548" s="8"/>
      <c r="AT548" s="8"/>
      <c r="AU548" s="8"/>
      <c r="AV548" s="46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4"/>
      <c r="BX548" s="4"/>
    </row>
    <row r="549" spans="1:76" s="16" customFormat="1" x14ac:dyDescent="0.25">
      <c r="A549" s="26"/>
      <c r="B549" s="6"/>
      <c r="C549" s="7"/>
      <c r="D549" s="7"/>
      <c r="E549" s="7"/>
      <c r="F549" s="7"/>
      <c r="G549" s="7"/>
      <c r="H549" s="7"/>
      <c r="I549" s="4"/>
      <c r="J549" s="7"/>
      <c r="K549" s="7"/>
      <c r="L549" s="7"/>
      <c r="M549" s="7"/>
      <c r="N549" s="4"/>
      <c r="O549" s="4"/>
      <c r="P549" s="4"/>
      <c r="Q549" s="4"/>
      <c r="R549" s="4"/>
      <c r="S549" s="7"/>
      <c r="T549" s="7"/>
      <c r="U549" s="7"/>
      <c r="V549" s="7"/>
      <c r="W549" s="7"/>
      <c r="X549" s="7"/>
      <c r="Y549" s="4"/>
      <c r="Z549" s="4"/>
      <c r="AA549" s="4"/>
      <c r="AB549" s="4"/>
      <c r="AC549" s="4"/>
      <c r="AD549" s="4"/>
      <c r="AE549" s="4"/>
      <c r="AF549" s="4"/>
      <c r="AG549" s="49"/>
      <c r="AH549" s="4"/>
      <c r="AI549" s="4"/>
      <c r="AJ549" s="4"/>
      <c r="AK549" s="4"/>
      <c r="AL549" s="4"/>
      <c r="AM549" s="4"/>
      <c r="AN549" s="44"/>
      <c r="AO549" s="8"/>
      <c r="AP549" s="8"/>
      <c r="AQ549" s="8"/>
      <c r="AR549" s="8"/>
      <c r="AS549" s="8"/>
      <c r="AT549" s="8"/>
      <c r="AU549" s="8"/>
      <c r="AV549" s="46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4"/>
      <c r="BX549" s="4"/>
    </row>
    <row r="550" spans="1:76" s="16" customFormat="1" x14ac:dyDescent="0.25">
      <c r="A550" s="26"/>
      <c r="B550" s="6"/>
      <c r="C550" s="7"/>
      <c r="D550" s="7"/>
      <c r="E550" s="7"/>
      <c r="F550" s="7"/>
      <c r="G550" s="7"/>
      <c r="H550" s="7"/>
      <c r="I550" s="4"/>
      <c r="J550" s="7"/>
      <c r="K550" s="7"/>
      <c r="L550" s="7"/>
      <c r="M550" s="7"/>
      <c r="N550" s="4"/>
      <c r="O550" s="4"/>
      <c r="P550" s="4"/>
      <c r="Q550" s="4"/>
      <c r="R550" s="4"/>
      <c r="S550" s="7"/>
      <c r="T550" s="7"/>
      <c r="U550" s="7"/>
      <c r="V550" s="7"/>
      <c r="W550" s="7"/>
      <c r="X550" s="7"/>
      <c r="Y550" s="4"/>
      <c r="Z550" s="4"/>
      <c r="AA550" s="4"/>
      <c r="AB550" s="4"/>
      <c r="AC550" s="4"/>
      <c r="AD550" s="4"/>
      <c r="AE550" s="4"/>
      <c r="AF550" s="4"/>
      <c r="AG550" s="49"/>
      <c r="AH550" s="4"/>
      <c r="AI550" s="4"/>
      <c r="AJ550" s="4"/>
      <c r="AK550" s="4"/>
      <c r="AL550" s="4"/>
      <c r="AM550" s="4"/>
      <c r="AN550" s="44"/>
      <c r="AO550" s="8"/>
      <c r="AP550" s="8"/>
      <c r="AQ550" s="8"/>
      <c r="AR550" s="8"/>
      <c r="AS550" s="8"/>
      <c r="AT550" s="8"/>
      <c r="AU550" s="8"/>
      <c r="AV550" s="46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4"/>
      <c r="BX550" s="4"/>
    </row>
    <row r="551" spans="1:76" s="16" customFormat="1" x14ac:dyDescent="0.25">
      <c r="A551" s="26"/>
      <c r="B551" s="6"/>
      <c r="C551" s="7"/>
      <c r="D551" s="7"/>
      <c r="E551" s="7"/>
      <c r="F551" s="7"/>
      <c r="G551" s="7"/>
      <c r="H551" s="7"/>
      <c r="I551" s="4"/>
      <c r="J551" s="7"/>
      <c r="K551" s="7"/>
      <c r="L551" s="7"/>
      <c r="M551" s="7"/>
      <c r="N551" s="4"/>
      <c r="O551" s="4"/>
      <c r="P551" s="4"/>
      <c r="Q551" s="4"/>
      <c r="R551" s="4"/>
      <c r="S551" s="7"/>
      <c r="T551" s="7"/>
      <c r="U551" s="7"/>
      <c r="V551" s="7"/>
      <c r="W551" s="7"/>
      <c r="X551" s="7"/>
      <c r="Y551" s="4"/>
      <c r="Z551" s="4"/>
      <c r="AA551" s="4"/>
      <c r="AB551" s="4"/>
      <c r="AC551" s="4"/>
      <c r="AD551" s="4"/>
      <c r="AE551" s="4"/>
      <c r="AF551" s="4"/>
      <c r="AG551" s="49"/>
      <c r="AH551" s="4"/>
      <c r="AI551" s="4"/>
      <c r="AJ551" s="4"/>
      <c r="AK551" s="4"/>
      <c r="AL551" s="4"/>
      <c r="AM551" s="4"/>
      <c r="AN551" s="44"/>
      <c r="AO551" s="8"/>
      <c r="AP551" s="8"/>
      <c r="AQ551" s="8"/>
      <c r="AR551" s="8"/>
      <c r="AS551" s="8"/>
      <c r="AT551" s="8"/>
      <c r="AU551" s="8"/>
      <c r="AV551" s="46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4"/>
      <c r="BX551" s="4"/>
    </row>
    <row r="552" spans="1:76" s="16" customFormat="1" x14ac:dyDescent="0.25">
      <c r="A552" s="26"/>
      <c r="B552" s="6"/>
      <c r="C552" s="7"/>
      <c r="D552" s="7"/>
      <c r="E552" s="7"/>
      <c r="F552" s="7"/>
      <c r="G552" s="7"/>
      <c r="H552" s="7"/>
      <c r="I552" s="4"/>
      <c r="J552" s="7"/>
      <c r="K552" s="7"/>
      <c r="L552" s="7"/>
      <c r="M552" s="7"/>
      <c r="N552" s="4"/>
      <c r="O552" s="4"/>
      <c r="P552" s="4"/>
      <c r="Q552" s="4"/>
      <c r="R552" s="4"/>
      <c r="S552" s="7"/>
      <c r="T552" s="7"/>
      <c r="U552" s="7"/>
      <c r="V552" s="7"/>
      <c r="W552" s="7"/>
      <c r="X552" s="7"/>
      <c r="Y552" s="4"/>
      <c r="Z552" s="4"/>
      <c r="AA552" s="4"/>
      <c r="AB552" s="4"/>
      <c r="AC552" s="4"/>
      <c r="AD552" s="4"/>
      <c r="AE552" s="4"/>
      <c r="AF552" s="4"/>
      <c r="AG552" s="49"/>
      <c r="AH552" s="4"/>
      <c r="AI552" s="4"/>
      <c r="AJ552" s="4"/>
      <c r="AK552" s="4"/>
      <c r="AL552" s="4"/>
      <c r="AM552" s="4"/>
      <c r="AN552" s="44"/>
      <c r="AO552" s="8"/>
      <c r="AP552" s="8"/>
      <c r="AQ552" s="8"/>
      <c r="AR552" s="8"/>
      <c r="AS552" s="8"/>
      <c r="AT552" s="8"/>
      <c r="AU552" s="8"/>
      <c r="AV552" s="46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4"/>
      <c r="BX552" s="4"/>
    </row>
    <row r="553" spans="1:76" s="16" customFormat="1" x14ac:dyDescent="0.25">
      <c r="A553" s="26"/>
      <c r="B553" s="6"/>
      <c r="C553" s="7"/>
      <c r="D553" s="7"/>
      <c r="E553" s="7"/>
      <c r="F553" s="7"/>
      <c r="G553" s="7"/>
      <c r="H553" s="7"/>
      <c r="I553" s="4"/>
      <c r="J553" s="7"/>
      <c r="K553" s="7"/>
      <c r="L553" s="7"/>
      <c r="M553" s="7"/>
      <c r="N553" s="4"/>
      <c r="O553" s="4"/>
      <c r="P553" s="4"/>
      <c r="Q553" s="4"/>
      <c r="R553" s="4"/>
      <c r="S553" s="7"/>
      <c r="T553" s="7"/>
      <c r="U553" s="7"/>
      <c r="V553" s="7"/>
      <c r="W553" s="7"/>
      <c r="X553" s="7"/>
      <c r="Y553" s="4"/>
      <c r="Z553" s="4"/>
      <c r="AA553" s="4"/>
      <c r="AB553" s="4"/>
      <c r="AC553" s="4"/>
      <c r="AD553" s="4"/>
      <c r="AE553" s="4"/>
      <c r="AF553" s="4"/>
      <c r="AG553" s="49"/>
      <c r="AH553" s="4"/>
      <c r="AI553" s="4"/>
      <c r="AJ553" s="4"/>
      <c r="AK553" s="4"/>
      <c r="AL553" s="4"/>
      <c r="AM553" s="4"/>
      <c r="AN553" s="44"/>
      <c r="AO553" s="8"/>
      <c r="AP553" s="8"/>
      <c r="AQ553" s="8"/>
      <c r="AR553" s="8"/>
      <c r="AS553" s="8"/>
      <c r="AT553" s="8"/>
      <c r="AU553" s="8"/>
      <c r="AV553" s="46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4"/>
      <c r="BX553" s="4"/>
    </row>
    <row r="554" spans="1:76" s="16" customFormat="1" x14ac:dyDescent="0.25">
      <c r="A554" s="26"/>
      <c r="B554" s="6"/>
      <c r="C554" s="7"/>
      <c r="D554" s="7"/>
      <c r="E554" s="7"/>
      <c r="F554" s="7"/>
      <c r="G554" s="7"/>
      <c r="H554" s="7"/>
      <c r="I554" s="4"/>
      <c r="J554" s="7"/>
      <c r="K554" s="7"/>
      <c r="L554" s="7"/>
      <c r="M554" s="7"/>
      <c r="N554" s="4"/>
      <c r="O554" s="4"/>
      <c r="P554" s="4"/>
      <c r="Q554" s="4"/>
      <c r="R554" s="4"/>
      <c r="S554" s="7"/>
      <c r="T554" s="7"/>
      <c r="U554" s="7"/>
      <c r="V554" s="7"/>
      <c r="W554" s="7"/>
      <c r="X554" s="7"/>
      <c r="Y554" s="4"/>
      <c r="Z554" s="4"/>
      <c r="AA554" s="4"/>
      <c r="AB554" s="4"/>
      <c r="AC554" s="4"/>
      <c r="AD554" s="4"/>
      <c r="AE554" s="4"/>
      <c r="AF554" s="4"/>
      <c r="AG554" s="49"/>
      <c r="AH554" s="4"/>
      <c r="AI554" s="4"/>
      <c r="AJ554" s="4"/>
      <c r="AK554" s="4"/>
      <c r="AL554" s="4"/>
      <c r="AM554" s="4"/>
      <c r="AN554" s="44"/>
      <c r="AO554" s="8"/>
      <c r="AP554" s="8"/>
      <c r="AQ554" s="8"/>
      <c r="AR554" s="8"/>
      <c r="AS554" s="8"/>
      <c r="AT554" s="8"/>
      <c r="AU554" s="8"/>
      <c r="AV554" s="46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4"/>
      <c r="BX554" s="4"/>
    </row>
    <row r="555" spans="1:76" s="16" customFormat="1" x14ac:dyDescent="0.25">
      <c r="A555" s="26"/>
      <c r="B555" s="6"/>
      <c r="C555" s="7"/>
      <c r="D555" s="7"/>
      <c r="E555" s="7"/>
      <c r="F555" s="7"/>
      <c r="G555" s="7"/>
      <c r="H555" s="7"/>
      <c r="I555" s="4"/>
      <c r="J555" s="7"/>
      <c r="K555" s="7"/>
      <c r="L555" s="7"/>
      <c r="M555" s="7"/>
      <c r="N555" s="4"/>
      <c r="O555" s="4"/>
      <c r="P555" s="4"/>
      <c r="Q555" s="4"/>
      <c r="R555" s="4"/>
      <c r="S555" s="7"/>
      <c r="T555" s="7"/>
      <c r="U555" s="7"/>
      <c r="V555" s="7"/>
      <c r="W555" s="7"/>
      <c r="X555" s="7"/>
      <c r="Y555" s="4"/>
      <c r="Z555" s="4"/>
      <c r="AA555" s="4"/>
      <c r="AB555" s="4"/>
      <c r="AC555" s="4"/>
      <c r="AD555" s="4"/>
      <c r="AE555" s="4"/>
      <c r="AF555" s="4"/>
      <c r="AG555" s="49"/>
      <c r="AH555" s="4"/>
      <c r="AI555" s="4"/>
      <c r="AJ555" s="4"/>
      <c r="AK555" s="4"/>
      <c r="AL555" s="4"/>
      <c r="AM555" s="4"/>
      <c r="AN555" s="44"/>
      <c r="AO555" s="8"/>
      <c r="AP555" s="8"/>
      <c r="AQ555" s="8"/>
      <c r="AR555" s="8"/>
      <c r="AS555" s="8"/>
      <c r="AT555" s="8"/>
      <c r="AU555" s="8"/>
      <c r="AV555" s="46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4"/>
      <c r="BX555" s="4"/>
    </row>
    <row r="556" spans="1:76" s="16" customFormat="1" x14ac:dyDescent="0.25">
      <c r="A556" s="26"/>
      <c r="B556" s="6"/>
      <c r="C556" s="7"/>
      <c r="D556" s="7"/>
      <c r="E556" s="7"/>
      <c r="F556" s="7"/>
      <c r="G556" s="7"/>
      <c r="H556" s="7"/>
      <c r="I556" s="4"/>
      <c r="J556" s="7"/>
      <c r="K556" s="7"/>
      <c r="L556" s="7"/>
      <c r="M556" s="7"/>
      <c r="N556" s="4"/>
      <c r="O556" s="4"/>
      <c r="P556" s="4"/>
      <c r="Q556" s="4"/>
      <c r="R556" s="4"/>
      <c r="S556" s="7"/>
      <c r="T556" s="7"/>
      <c r="U556" s="7"/>
      <c r="V556" s="7"/>
      <c r="W556" s="7"/>
      <c r="X556" s="7"/>
      <c r="Y556" s="4"/>
      <c r="Z556" s="4"/>
      <c r="AA556" s="4"/>
      <c r="AB556" s="4"/>
      <c r="AC556" s="4"/>
      <c r="AD556" s="4"/>
      <c r="AE556" s="4"/>
      <c r="AF556" s="4"/>
      <c r="AG556" s="49"/>
      <c r="AH556" s="4"/>
      <c r="AI556" s="4"/>
      <c r="AJ556" s="4"/>
      <c r="AK556" s="4"/>
      <c r="AL556" s="4"/>
      <c r="AM556" s="4"/>
      <c r="AN556" s="44"/>
      <c r="AO556" s="8"/>
      <c r="AP556" s="8"/>
      <c r="AQ556" s="8"/>
      <c r="AR556" s="8"/>
      <c r="AS556" s="8"/>
      <c r="AT556" s="8"/>
      <c r="AU556" s="8"/>
      <c r="AV556" s="46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4"/>
      <c r="BX556" s="4"/>
    </row>
    <row r="557" spans="1:76" s="16" customFormat="1" x14ac:dyDescent="0.25">
      <c r="A557" s="26"/>
      <c r="B557" s="6"/>
      <c r="C557" s="7"/>
      <c r="D557" s="7"/>
      <c r="E557" s="7"/>
      <c r="F557" s="7"/>
      <c r="G557" s="7"/>
      <c r="H557" s="7"/>
      <c r="I557" s="4"/>
      <c r="J557" s="7"/>
      <c r="K557" s="7"/>
      <c r="L557" s="7"/>
      <c r="M557" s="7"/>
      <c r="N557" s="4"/>
      <c r="O557" s="4"/>
      <c r="P557" s="4"/>
      <c r="Q557" s="4"/>
      <c r="R557" s="4"/>
      <c r="S557" s="7"/>
      <c r="T557" s="7"/>
      <c r="U557" s="7"/>
      <c r="V557" s="7"/>
      <c r="W557" s="7"/>
      <c r="X557" s="7"/>
      <c r="Y557" s="4"/>
      <c r="Z557" s="4"/>
      <c r="AA557" s="4"/>
      <c r="AB557" s="4"/>
      <c r="AC557" s="4"/>
      <c r="AD557" s="4"/>
      <c r="AE557" s="4"/>
      <c r="AF557" s="4"/>
      <c r="AG557" s="49"/>
      <c r="AH557" s="4"/>
      <c r="AI557" s="4"/>
      <c r="AJ557" s="4"/>
      <c r="AK557" s="4"/>
      <c r="AL557" s="4"/>
      <c r="AM557" s="4"/>
      <c r="AN557" s="44"/>
      <c r="AO557" s="8"/>
      <c r="AP557" s="8"/>
      <c r="AQ557" s="8"/>
      <c r="AR557" s="8"/>
      <c r="AS557" s="8"/>
      <c r="AT557" s="8"/>
      <c r="AU557" s="8"/>
      <c r="AV557" s="46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4"/>
      <c r="BX557" s="4"/>
    </row>
    <row r="558" spans="1:76" s="16" customFormat="1" x14ac:dyDescent="0.25">
      <c r="A558" s="26"/>
      <c r="B558" s="6"/>
      <c r="C558" s="7"/>
      <c r="D558" s="7"/>
      <c r="E558" s="7"/>
      <c r="F558" s="7"/>
      <c r="G558" s="7"/>
      <c r="H558" s="7"/>
      <c r="I558" s="4"/>
      <c r="J558" s="7"/>
      <c r="K558" s="7"/>
      <c r="L558" s="7"/>
      <c r="M558" s="7"/>
      <c r="N558" s="4"/>
      <c r="O558" s="4"/>
      <c r="P558" s="4"/>
      <c r="Q558" s="4"/>
      <c r="R558" s="4"/>
      <c r="S558" s="7"/>
      <c r="T558" s="7"/>
      <c r="U558" s="7"/>
      <c r="V558" s="7"/>
      <c r="W558" s="7"/>
      <c r="X558" s="7"/>
      <c r="Y558" s="4"/>
      <c r="Z558" s="4"/>
      <c r="AA558" s="4"/>
      <c r="AB558" s="4"/>
      <c r="AC558" s="4"/>
      <c r="AD558" s="4"/>
      <c r="AE558" s="4"/>
      <c r="AF558" s="4"/>
      <c r="AG558" s="49"/>
      <c r="AH558" s="4"/>
      <c r="AI558" s="4"/>
      <c r="AJ558" s="4"/>
      <c r="AK558" s="4"/>
      <c r="AL558" s="4"/>
      <c r="AM558" s="4"/>
      <c r="AN558" s="44"/>
      <c r="AO558" s="8"/>
      <c r="AP558" s="8"/>
      <c r="AQ558" s="8"/>
      <c r="AR558" s="8"/>
      <c r="AS558" s="8"/>
      <c r="AT558" s="8"/>
      <c r="AU558" s="8"/>
      <c r="AV558" s="46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4"/>
      <c r="BX558" s="4"/>
    </row>
    <row r="559" spans="1:76" s="16" customFormat="1" x14ac:dyDescent="0.25">
      <c r="A559" s="26"/>
      <c r="B559" s="6"/>
      <c r="C559" s="7"/>
      <c r="D559" s="7"/>
      <c r="E559" s="7"/>
      <c r="F559" s="7"/>
      <c r="G559" s="7"/>
      <c r="H559" s="7"/>
      <c r="I559" s="4"/>
      <c r="J559" s="7"/>
      <c r="K559" s="7"/>
      <c r="L559" s="7"/>
      <c r="M559" s="7"/>
      <c r="N559" s="4"/>
      <c r="O559" s="4"/>
      <c r="P559" s="4"/>
      <c r="Q559" s="4"/>
      <c r="R559" s="4"/>
      <c r="S559" s="7"/>
      <c r="T559" s="7"/>
      <c r="U559" s="7"/>
      <c r="V559" s="7"/>
      <c r="W559" s="7"/>
      <c r="X559" s="7"/>
      <c r="Y559" s="4"/>
      <c r="Z559" s="4"/>
      <c r="AA559" s="4"/>
      <c r="AB559" s="4"/>
      <c r="AC559" s="4"/>
      <c r="AD559" s="4"/>
      <c r="AE559" s="4"/>
      <c r="AF559" s="4"/>
      <c r="AG559" s="49"/>
      <c r="AH559" s="4"/>
      <c r="AI559" s="4"/>
      <c r="AJ559" s="4"/>
      <c r="AK559" s="4"/>
      <c r="AL559" s="4"/>
      <c r="AM559" s="4"/>
      <c r="AN559" s="44"/>
      <c r="AO559" s="8"/>
      <c r="AP559" s="8"/>
      <c r="AQ559" s="8"/>
      <c r="AR559" s="8"/>
      <c r="AS559" s="8"/>
      <c r="AT559" s="8"/>
      <c r="AU559" s="8"/>
      <c r="AV559" s="46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4"/>
      <c r="BX559" s="4"/>
    </row>
    <row r="560" spans="1:76" s="16" customFormat="1" x14ac:dyDescent="0.25">
      <c r="A560" s="26"/>
      <c r="B560" s="6"/>
      <c r="C560" s="7"/>
      <c r="D560" s="7"/>
      <c r="E560" s="7"/>
      <c r="F560" s="7"/>
      <c r="G560" s="7"/>
      <c r="H560" s="7"/>
      <c r="I560" s="4"/>
      <c r="J560" s="7"/>
      <c r="K560" s="7"/>
      <c r="L560" s="7"/>
      <c r="M560" s="7"/>
      <c r="N560" s="4"/>
      <c r="O560" s="4"/>
      <c r="P560" s="4"/>
      <c r="Q560" s="4"/>
      <c r="R560" s="4"/>
      <c r="S560" s="7"/>
      <c r="T560" s="7"/>
      <c r="U560" s="7"/>
      <c r="V560" s="7"/>
      <c r="W560" s="7"/>
      <c r="X560" s="7"/>
      <c r="Y560" s="4"/>
      <c r="Z560" s="4"/>
      <c r="AA560" s="4"/>
      <c r="AB560" s="4"/>
      <c r="AC560" s="4"/>
      <c r="AD560" s="4"/>
      <c r="AE560" s="4"/>
      <c r="AF560" s="4"/>
      <c r="AG560" s="49"/>
      <c r="AH560" s="4"/>
      <c r="AI560" s="4"/>
      <c r="AJ560" s="4"/>
      <c r="AK560" s="4"/>
      <c r="AL560" s="4"/>
      <c r="AM560" s="4"/>
      <c r="AN560" s="44"/>
      <c r="AO560" s="8"/>
      <c r="AP560" s="8"/>
      <c r="AQ560" s="8"/>
      <c r="AR560" s="8"/>
      <c r="AS560" s="8"/>
      <c r="AT560" s="8"/>
      <c r="AU560" s="8"/>
      <c r="AV560" s="46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4"/>
      <c r="BX560" s="4"/>
    </row>
    <row r="561" spans="1:76" s="16" customFormat="1" x14ac:dyDescent="0.25">
      <c r="A561" s="26"/>
      <c r="B561" s="6"/>
      <c r="C561" s="7"/>
      <c r="D561" s="7"/>
      <c r="E561" s="7"/>
      <c r="F561" s="7"/>
      <c r="G561" s="7"/>
      <c r="H561" s="7"/>
      <c r="I561" s="4"/>
      <c r="J561" s="7"/>
      <c r="K561" s="7"/>
      <c r="L561" s="7"/>
      <c r="M561" s="7"/>
      <c r="N561" s="4"/>
      <c r="O561" s="4"/>
      <c r="P561" s="4"/>
      <c r="Q561" s="4"/>
      <c r="R561" s="4"/>
      <c r="S561" s="7"/>
      <c r="T561" s="7"/>
      <c r="U561" s="7"/>
      <c r="V561" s="7"/>
      <c r="W561" s="7"/>
      <c r="X561" s="7"/>
      <c r="Y561" s="4"/>
      <c r="Z561" s="4"/>
      <c r="AA561" s="4"/>
      <c r="AB561" s="4"/>
      <c r="AC561" s="4"/>
      <c r="AD561" s="4"/>
      <c r="AE561" s="4"/>
      <c r="AF561" s="4"/>
      <c r="AG561" s="49"/>
      <c r="AH561" s="4"/>
      <c r="AI561" s="4"/>
      <c r="AJ561" s="4"/>
      <c r="AK561" s="4"/>
      <c r="AL561" s="4"/>
      <c r="AM561" s="4"/>
      <c r="AN561" s="44"/>
      <c r="AO561" s="8"/>
      <c r="AP561" s="8"/>
      <c r="AQ561" s="8"/>
      <c r="AR561" s="8"/>
      <c r="AS561" s="8"/>
      <c r="AT561" s="8"/>
      <c r="AU561" s="8"/>
      <c r="AV561" s="46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4"/>
      <c r="BX561" s="4"/>
    </row>
    <row r="562" spans="1:76" s="16" customFormat="1" x14ac:dyDescent="0.25">
      <c r="A562" s="26"/>
      <c r="B562" s="6"/>
      <c r="C562" s="7"/>
      <c r="D562" s="7"/>
      <c r="E562" s="7"/>
      <c r="F562" s="7"/>
      <c r="G562" s="7"/>
      <c r="H562" s="7"/>
      <c r="I562" s="4"/>
      <c r="J562" s="7"/>
      <c r="K562" s="7"/>
      <c r="L562" s="7"/>
      <c r="M562" s="7"/>
      <c r="N562" s="4"/>
      <c r="O562" s="4"/>
      <c r="P562" s="4"/>
      <c r="Q562" s="4"/>
      <c r="R562" s="4"/>
      <c r="S562" s="7"/>
      <c r="T562" s="7"/>
      <c r="U562" s="7"/>
      <c r="V562" s="7"/>
      <c r="W562" s="7"/>
      <c r="X562" s="7"/>
      <c r="Y562" s="4"/>
      <c r="Z562" s="4"/>
      <c r="AA562" s="4"/>
      <c r="AB562" s="4"/>
      <c r="AC562" s="4"/>
      <c r="AD562" s="4"/>
      <c r="AE562" s="4"/>
      <c r="AF562" s="4"/>
      <c r="AG562" s="49"/>
      <c r="AH562" s="4"/>
      <c r="AI562" s="4"/>
      <c r="AJ562" s="4"/>
      <c r="AK562" s="4"/>
      <c r="AL562" s="4"/>
      <c r="AM562" s="4"/>
      <c r="AN562" s="44"/>
      <c r="AO562" s="8"/>
      <c r="AP562" s="8"/>
      <c r="AQ562" s="8"/>
      <c r="AR562" s="8"/>
      <c r="AS562" s="8"/>
      <c r="AT562" s="8"/>
      <c r="AU562" s="8"/>
      <c r="AV562" s="46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4"/>
      <c r="BX562" s="4"/>
    </row>
    <row r="563" spans="1:76" s="16" customFormat="1" x14ac:dyDescent="0.25">
      <c r="A563" s="26"/>
      <c r="B563" s="6"/>
      <c r="C563" s="7"/>
      <c r="D563" s="7"/>
      <c r="E563" s="7"/>
      <c r="F563" s="7"/>
      <c r="G563" s="7"/>
      <c r="H563" s="7"/>
      <c r="I563" s="4"/>
      <c r="J563" s="7"/>
      <c r="K563" s="7"/>
      <c r="L563" s="7"/>
      <c r="M563" s="7"/>
      <c r="N563" s="4"/>
      <c r="O563" s="4"/>
      <c r="P563" s="4"/>
      <c r="Q563" s="4"/>
      <c r="R563" s="4"/>
      <c r="S563" s="7"/>
      <c r="T563" s="7"/>
      <c r="U563" s="7"/>
      <c r="V563" s="7"/>
      <c r="W563" s="7"/>
      <c r="X563" s="7"/>
      <c r="Y563" s="4"/>
      <c r="Z563" s="4"/>
      <c r="AA563" s="4"/>
      <c r="AB563" s="4"/>
      <c r="AC563" s="4"/>
      <c r="AD563" s="4"/>
      <c r="AE563" s="4"/>
      <c r="AF563" s="4"/>
      <c r="AG563" s="49"/>
      <c r="AH563" s="4"/>
      <c r="AI563" s="4"/>
      <c r="AJ563" s="4"/>
      <c r="AK563" s="4"/>
      <c r="AL563" s="4"/>
      <c r="AM563" s="4"/>
      <c r="AN563" s="44"/>
      <c r="AO563" s="8"/>
      <c r="AP563" s="8"/>
      <c r="AQ563" s="8"/>
      <c r="AR563" s="8"/>
      <c r="AS563" s="8"/>
      <c r="AT563" s="8"/>
      <c r="AU563" s="8"/>
      <c r="AV563" s="46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4"/>
      <c r="BX563" s="4"/>
    </row>
    <row r="564" spans="1:76" s="16" customFormat="1" x14ac:dyDescent="0.25">
      <c r="A564" s="26"/>
      <c r="B564" s="6"/>
      <c r="C564" s="7"/>
      <c r="D564" s="7"/>
      <c r="E564" s="7"/>
      <c r="F564" s="7"/>
      <c r="G564" s="7"/>
      <c r="H564" s="7"/>
      <c r="I564" s="4"/>
      <c r="J564" s="7"/>
      <c r="K564" s="7"/>
      <c r="L564" s="7"/>
      <c r="M564" s="7"/>
      <c r="N564" s="4"/>
      <c r="O564" s="4"/>
      <c r="P564" s="4"/>
      <c r="Q564" s="4"/>
      <c r="R564" s="4"/>
      <c r="S564" s="7"/>
      <c r="T564" s="7"/>
      <c r="U564" s="7"/>
      <c r="V564" s="7"/>
      <c r="W564" s="7"/>
      <c r="X564" s="7"/>
      <c r="Y564" s="4"/>
      <c r="Z564" s="4"/>
      <c r="AA564" s="4"/>
      <c r="AB564" s="4"/>
      <c r="AC564" s="4"/>
      <c r="AD564" s="4"/>
      <c r="AE564" s="4"/>
      <c r="AF564" s="4"/>
      <c r="AG564" s="49"/>
      <c r="AH564" s="4"/>
      <c r="AI564" s="4"/>
      <c r="AJ564" s="4"/>
      <c r="AK564" s="4"/>
      <c r="AL564" s="4"/>
      <c r="AM564" s="4"/>
      <c r="AN564" s="44"/>
      <c r="AO564" s="8"/>
      <c r="AP564" s="8"/>
      <c r="AQ564" s="8"/>
      <c r="AR564" s="8"/>
      <c r="AS564" s="8"/>
      <c r="AT564" s="8"/>
      <c r="AU564" s="8"/>
      <c r="AV564" s="46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4"/>
      <c r="BX564" s="4"/>
    </row>
    <row r="565" spans="1:76" s="16" customFormat="1" x14ac:dyDescent="0.25">
      <c r="A565" s="26"/>
      <c r="B565" s="6"/>
      <c r="C565" s="7"/>
      <c r="D565" s="7"/>
      <c r="E565" s="7"/>
      <c r="F565" s="7"/>
      <c r="G565" s="7"/>
      <c r="H565" s="7"/>
      <c r="I565" s="4"/>
      <c r="J565" s="7"/>
      <c r="K565" s="7"/>
      <c r="L565" s="7"/>
      <c r="M565" s="7"/>
      <c r="N565" s="4"/>
      <c r="O565" s="4"/>
      <c r="P565" s="4"/>
      <c r="Q565" s="4"/>
      <c r="R565" s="4"/>
      <c r="S565" s="7"/>
      <c r="T565" s="7"/>
      <c r="U565" s="7"/>
      <c r="V565" s="7"/>
      <c r="W565" s="7"/>
      <c r="X565" s="7"/>
      <c r="Y565" s="4"/>
      <c r="Z565" s="4"/>
      <c r="AA565" s="4"/>
      <c r="AB565" s="4"/>
      <c r="AC565" s="4"/>
      <c r="AD565" s="4"/>
      <c r="AE565" s="4"/>
      <c r="AF565" s="4"/>
      <c r="AG565" s="49"/>
      <c r="AH565" s="4"/>
      <c r="AI565" s="4"/>
      <c r="AJ565" s="4"/>
      <c r="AK565" s="4"/>
      <c r="AL565" s="4"/>
      <c r="AM565" s="4"/>
      <c r="AN565" s="44"/>
      <c r="AO565" s="8"/>
      <c r="AP565" s="8"/>
      <c r="AQ565" s="8"/>
      <c r="AR565" s="8"/>
      <c r="AS565" s="8"/>
      <c r="AT565" s="8"/>
      <c r="AU565" s="8"/>
      <c r="AV565" s="46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4"/>
      <c r="BX565" s="4"/>
    </row>
    <row r="566" spans="1:76" s="16" customFormat="1" x14ac:dyDescent="0.25">
      <c r="A566" s="26"/>
      <c r="B566" s="6"/>
      <c r="C566" s="7"/>
      <c r="D566" s="7"/>
      <c r="E566" s="7"/>
      <c r="F566" s="7"/>
      <c r="G566" s="7"/>
      <c r="H566" s="7"/>
      <c r="I566" s="4"/>
      <c r="J566" s="7"/>
      <c r="K566" s="7"/>
      <c r="L566" s="7"/>
      <c r="M566" s="7"/>
      <c r="N566" s="4"/>
      <c r="O566" s="4"/>
      <c r="P566" s="4"/>
      <c r="Q566" s="4"/>
      <c r="R566" s="4"/>
      <c r="S566" s="7"/>
      <c r="T566" s="7"/>
      <c r="U566" s="7"/>
      <c r="V566" s="7"/>
      <c r="W566" s="7"/>
      <c r="X566" s="7"/>
      <c r="Y566" s="4"/>
      <c r="Z566" s="4"/>
      <c r="AA566" s="4"/>
      <c r="AB566" s="4"/>
      <c r="AC566" s="4"/>
      <c r="AD566" s="4"/>
      <c r="AE566" s="4"/>
      <c r="AF566" s="4"/>
      <c r="AG566" s="49"/>
      <c r="AH566" s="4"/>
      <c r="AI566" s="4"/>
      <c r="AJ566" s="4"/>
      <c r="AK566" s="4"/>
      <c r="AL566" s="4"/>
      <c r="AM566" s="4"/>
      <c r="AN566" s="44"/>
      <c r="AO566" s="8"/>
      <c r="AP566" s="8"/>
      <c r="AQ566" s="8"/>
      <c r="AR566" s="8"/>
      <c r="AS566" s="8"/>
      <c r="AT566" s="8"/>
      <c r="AU566" s="8"/>
      <c r="AV566" s="46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4"/>
      <c r="BX566" s="4"/>
    </row>
    <row r="567" spans="1:76" s="16" customFormat="1" x14ac:dyDescent="0.25">
      <c r="A567" s="26"/>
      <c r="B567" s="6"/>
      <c r="C567" s="7"/>
      <c r="D567" s="7"/>
      <c r="E567" s="7"/>
      <c r="F567" s="7"/>
      <c r="G567" s="7"/>
      <c r="H567" s="7"/>
      <c r="I567" s="4"/>
      <c r="J567" s="7"/>
      <c r="K567" s="7"/>
      <c r="L567" s="7"/>
      <c r="M567" s="7"/>
      <c r="N567" s="4"/>
      <c r="O567" s="4"/>
      <c r="P567" s="4"/>
      <c r="Q567" s="4"/>
      <c r="R567" s="4"/>
      <c r="S567" s="7"/>
      <c r="T567" s="7"/>
      <c r="U567" s="7"/>
      <c r="V567" s="7"/>
      <c r="W567" s="7"/>
      <c r="X567" s="7"/>
      <c r="Y567" s="4"/>
      <c r="Z567" s="4"/>
      <c r="AA567" s="4"/>
      <c r="AB567" s="4"/>
      <c r="AC567" s="4"/>
      <c r="AD567" s="4"/>
      <c r="AE567" s="4"/>
      <c r="AF567" s="4"/>
      <c r="AG567" s="49"/>
      <c r="AH567" s="4"/>
      <c r="AI567" s="4"/>
      <c r="AJ567" s="4"/>
      <c r="AK567" s="4"/>
      <c r="AL567" s="4"/>
      <c r="AM567" s="4"/>
      <c r="AN567" s="44"/>
      <c r="AO567" s="8"/>
      <c r="AP567" s="8"/>
      <c r="AQ567" s="8"/>
      <c r="AR567" s="8"/>
      <c r="AS567" s="8"/>
      <c r="AT567" s="8"/>
      <c r="AU567" s="8"/>
      <c r="AV567" s="46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4"/>
      <c r="BX567" s="4"/>
    </row>
    <row r="568" spans="1:76" s="16" customFormat="1" x14ac:dyDescent="0.25">
      <c r="A568" s="26"/>
      <c r="B568" s="6"/>
      <c r="C568" s="7"/>
      <c r="D568" s="7"/>
      <c r="E568" s="7"/>
      <c r="F568" s="7"/>
      <c r="G568" s="7"/>
      <c r="H568" s="7"/>
      <c r="I568" s="4"/>
      <c r="J568" s="7"/>
      <c r="K568" s="7"/>
      <c r="L568" s="7"/>
      <c r="M568" s="7"/>
      <c r="N568" s="4"/>
      <c r="O568" s="4"/>
      <c r="P568" s="4"/>
      <c r="Q568" s="4"/>
      <c r="R568" s="4"/>
      <c r="S568" s="7"/>
      <c r="T568" s="7"/>
      <c r="U568" s="7"/>
      <c r="V568" s="7"/>
      <c r="W568" s="7"/>
      <c r="X568" s="7"/>
      <c r="Y568" s="4"/>
      <c r="Z568" s="4"/>
      <c r="AA568" s="4"/>
      <c r="AB568" s="4"/>
      <c r="AC568" s="4"/>
      <c r="AD568" s="4"/>
      <c r="AE568" s="4"/>
      <c r="AF568" s="4"/>
      <c r="AG568" s="49"/>
      <c r="AH568" s="4"/>
      <c r="AI568" s="4"/>
      <c r="AJ568" s="4"/>
      <c r="AK568" s="4"/>
      <c r="AL568" s="4"/>
      <c r="AM568" s="4"/>
      <c r="AN568" s="44"/>
      <c r="AO568" s="8"/>
      <c r="AP568" s="8"/>
      <c r="AQ568" s="8"/>
      <c r="AR568" s="8"/>
      <c r="AS568" s="8"/>
      <c r="AT568" s="8"/>
      <c r="AU568" s="8"/>
      <c r="AV568" s="46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4"/>
      <c r="BX568" s="4"/>
    </row>
    <row r="569" spans="1:76" s="16" customFormat="1" x14ac:dyDescent="0.25">
      <c r="A569" s="26"/>
      <c r="B569" s="6"/>
      <c r="C569" s="7"/>
      <c r="D569" s="7"/>
      <c r="E569" s="7"/>
      <c r="F569" s="7"/>
      <c r="G569" s="7"/>
      <c r="H569" s="7"/>
      <c r="I569" s="4"/>
      <c r="J569" s="7"/>
      <c r="K569" s="7"/>
      <c r="L569" s="7"/>
      <c r="M569" s="7"/>
      <c r="N569" s="4"/>
      <c r="O569" s="4"/>
      <c r="P569" s="4"/>
      <c r="Q569" s="4"/>
      <c r="R569" s="4"/>
      <c r="S569" s="7"/>
      <c r="T569" s="7"/>
      <c r="U569" s="7"/>
      <c r="V569" s="7"/>
      <c r="W569" s="7"/>
      <c r="X569" s="7"/>
      <c r="Y569" s="4"/>
      <c r="Z569" s="4"/>
      <c r="AA569" s="4"/>
      <c r="AB569" s="4"/>
      <c r="AC569" s="4"/>
      <c r="AD569" s="4"/>
      <c r="AE569" s="4"/>
      <c r="AF569" s="4"/>
      <c r="AG569" s="49"/>
      <c r="AH569" s="4"/>
      <c r="AI569" s="4"/>
      <c r="AJ569" s="4"/>
      <c r="AK569" s="4"/>
      <c r="AL569" s="4"/>
      <c r="AM569" s="4"/>
      <c r="AN569" s="44"/>
      <c r="AO569" s="8"/>
      <c r="AP569" s="8"/>
      <c r="AQ569" s="8"/>
      <c r="AR569" s="8"/>
      <c r="AS569" s="8"/>
      <c r="AT569" s="8"/>
      <c r="AU569" s="8"/>
      <c r="AV569" s="46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4"/>
      <c r="BX569" s="4"/>
    </row>
    <row r="570" spans="1:76" s="16" customFormat="1" x14ac:dyDescent="0.25">
      <c r="A570" s="26"/>
      <c r="B570" s="6"/>
      <c r="C570" s="7"/>
      <c r="D570" s="7"/>
      <c r="E570" s="7"/>
      <c r="F570" s="7"/>
      <c r="G570" s="7"/>
      <c r="H570" s="7"/>
      <c r="I570" s="4"/>
      <c r="J570" s="7"/>
      <c r="K570" s="7"/>
      <c r="L570" s="7"/>
      <c r="M570" s="7"/>
      <c r="N570" s="4"/>
      <c r="O570" s="4"/>
      <c r="P570" s="4"/>
      <c r="Q570" s="4"/>
      <c r="R570" s="4"/>
      <c r="S570" s="7"/>
      <c r="T570" s="7"/>
      <c r="U570" s="7"/>
      <c r="V570" s="7"/>
      <c r="W570" s="7"/>
      <c r="X570" s="7"/>
      <c r="Y570" s="4"/>
      <c r="Z570" s="4"/>
      <c r="AA570" s="4"/>
      <c r="AB570" s="4"/>
      <c r="AC570" s="4"/>
      <c r="AD570" s="4"/>
      <c r="AE570" s="4"/>
      <c r="AF570" s="4"/>
      <c r="AG570" s="49"/>
      <c r="AH570" s="4"/>
      <c r="AI570" s="4"/>
      <c r="AJ570" s="4"/>
      <c r="AK570" s="4"/>
      <c r="AL570" s="4"/>
      <c r="AM570" s="4"/>
      <c r="AN570" s="44"/>
      <c r="AO570" s="8"/>
      <c r="AP570" s="8"/>
      <c r="AQ570" s="8"/>
      <c r="AR570" s="8"/>
      <c r="AS570" s="8"/>
      <c r="AT570" s="8"/>
      <c r="AU570" s="8"/>
      <c r="AV570" s="46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4"/>
      <c r="BX570" s="4"/>
    </row>
    <row r="571" spans="1:76" s="16" customFormat="1" x14ac:dyDescent="0.25">
      <c r="A571" s="26"/>
      <c r="B571" s="6"/>
      <c r="C571" s="7"/>
      <c r="D571" s="7"/>
      <c r="E571" s="7"/>
      <c r="F571" s="7"/>
      <c r="G571" s="7"/>
      <c r="H571" s="7"/>
      <c r="I571" s="4"/>
      <c r="J571" s="7"/>
      <c r="K571" s="7"/>
      <c r="L571" s="7"/>
      <c r="M571" s="7"/>
      <c r="N571" s="4"/>
      <c r="O571" s="4"/>
      <c r="P571" s="4"/>
      <c r="Q571" s="4"/>
      <c r="R571" s="4"/>
      <c r="S571" s="7"/>
      <c r="T571" s="7"/>
      <c r="U571" s="7"/>
      <c r="V571" s="7"/>
      <c r="W571" s="7"/>
      <c r="X571" s="7"/>
      <c r="Y571" s="4"/>
      <c r="Z571" s="4"/>
      <c r="AA571" s="4"/>
      <c r="AB571" s="4"/>
      <c r="AC571" s="4"/>
      <c r="AD571" s="4"/>
      <c r="AE571" s="4"/>
      <c r="AF571" s="4"/>
      <c r="AG571" s="49"/>
      <c r="AH571" s="4"/>
      <c r="AI571" s="4"/>
      <c r="AJ571" s="4"/>
      <c r="AK571" s="4"/>
      <c r="AL571" s="4"/>
      <c r="AM571" s="4"/>
      <c r="AN571" s="44"/>
      <c r="AO571" s="8"/>
      <c r="AP571" s="8"/>
      <c r="AQ571" s="8"/>
      <c r="AR571" s="8"/>
      <c r="AS571" s="8"/>
      <c r="AT571" s="8"/>
      <c r="AU571" s="8"/>
      <c r="AV571" s="46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4"/>
      <c r="BX571" s="4"/>
    </row>
    <row r="572" spans="1:76" s="16" customFormat="1" x14ac:dyDescent="0.25">
      <c r="A572" s="26"/>
      <c r="B572" s="6"/>
      <c r="C572" s="7"/>
      <c r="D572" s="7"/>
      <c r="E572" s="7"/>
      <c r="F572" s="7"/>
      <c r="G572" s="7"/>
      <c r="H572" s="7"/>
      <c r="I572" s="4"/>
      <c r="J572" s="7"/>
      <c r="K572" s="7"/>
      <c r="L572" s="7"/>
      <c r="M572" s="7"/>
      <c r="N572" s="4"/>
      <c r="O572" s="4"/>
      <c r="P572" s="4"/>
      <c r="Q572" s="4"/>
      <c r="R572" s="4"/>
      <c r="S572" s="7"/>
      <c r="T572" s="7"/>
      <c r="U572" s="7"/>
      <c r="V572" s="7"/>
      <c r="W572" s="7"/>
      <c r="X572" s="7"/>
      <c r="Y572" s="4"/>
      <c r="Z572" s="4"/>
      <c r="AA572" s="4"/>
      <c r="AB572" s="4"/>
      <c r="AC572" s="4"/>
      <c r="AD572" s="4"/>
      <c r="AE572" s="4"/>
      <c r="AF572" s="4"/>
      <c r="AG572" s="49"/>
      <c r="AH572" s="4"/>
      <c r="AI572" s="4"/>
      <c r="AJ572" s="4"/>
      <c r="AK572" s="4"/>
      <c r="AL572" s="4"/>
      <c r="AM572" s="4"/>
      <c r="AN572" s="44"/>
      <c r="AO572" s="8"/>
      <c r="AP572" s="8"/>
      <c r="AQ572" s="8"/>
      <c r="AR572" s="8"/>
      <c r="AS572" s="8"/>
      <c r="AT572" s="8"/>
      <c r="AU572" s="8"/>
      <c r="AV572" s="46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4"/>
      <c r="BX572" s="4"/>
    </row>
    <row r="573" spans="1:76" s="16" customFormat="1" x14ac:dyDescent="0.25">
      <c r="A573" s="26"/>
      <c r="B573" s="6"/>
      <c r="C573" s="7"/>
      <c r="D573" s="7"/>
      <c r="E573" s="7"/>
      <c r="F573" s="7"/>
      <c r="G573" s="7"/>
      <c r="H573" s="7"/>
      <c r="I573" s="4"/>
      <c r="J573" s="7"/>
      <c r="K573" s="7"/>
      <c r="L573" s="7"/>
      <c r="M573" s="7"/>
      <c r="N573" s="4"/>
      <c r="O573" s="4"/>
      <c r="P573" s="4"/>
      <c r="Q573" s="4"/>
      <c r="R573" s="4"/>
      <c r="S573" s="7"/>
      <c r="T573" s="7"/>
      <c r="U573" s="7"/>
      <c r="V573" s="7"/>
      <c r="W573" s="7"/>
      <c r="X573" s="7"/>
      <c r="Y573" s="4"/>
      <c r="Z573" s="4"/>
      <c r="AA573" s="4"/>
      <c r="AB573" s="4"/>
      <c r="AC573" s="4"/>
      <c r="AD573" s="4"/>
      <c r="AE573" s="4"/>
      <c r="AF573" s="4"/>
      <c r="AG573" s="49"/>
      <c r="AH573" s="4"/>
      <c r="AI573" s="4"/>
      <c r="AJ573" s="4"/>
      <c r="AK573" s="4"/>
      <c r="AL573" s="4"/>
      <c r="AM573" s="4"/>
      <c r="AN573" s="44"/>
      <c r="AO573" s="8"/>
      <c r="AP573" s="8"/>
      <c r="AQ573" s="8"/>
      <c r="AR573" s="8"/>
      <c r="AS573" s="8"/>
      <c r="AT573" s="8"/>
      <c r="AU573" s="8"/>
      <c r="AV573" s="46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4"/>
      <c r="BX573" s="4"/>
    </row>
    <row r="574" spans="1:76" s="16" customFormat="1" x14ac:dyDescent="0.25">
      <c r="A574" s="26"/>
      <c r="B574" s="6"/>
      <c r="C574" s="7"/>
      <c r="D574" s="7"/>
      <c r="E574" s="7"/>
      <c r="F574" s="7"/>
      <c r="G574" s="7"/>
      <c r="H574" s="7"/>
      <c r="I574" s="4"/>
      <c r="J574" s="7"/>
      <c r="K574" s="7"/>
      <c r="L574" s="7"/>
      <c r="M574" s="7"/>
      <c r="N574" s="4"/>
      <c r="O574" s="4"/>
      <c r="P574" s="4"/>
      <c r="Q574" s="4"/>
      <c r="R574" s="4"/>
      <c r="S574" s="7"/>
      <c r="T574" s="7"/>
      <c r="U574" s="7"/>
      <c r="V574" s="7"/>
      <c r="W574" s="7"/>
      <c r="X574" s="7"/>
      <c r="Y574" s="4"/>
      <c r="Z574" s="4"/>
      <c r="AA574" s="4"/>
      <c r="AB574" s="4"/>
      <c r="AC574" s="4"/>
      <c r="AD574" s="4"/>
      <c r="AE574" s="4"/>
      <c r="AF574" s="4"/>
      <c r="AG574" s="49"/>
      <c r="AH574" s="4"/>
      <c r="AI574" s="4"/>
      <c r="AJ574" s="4"/>
      <c r="AK574" s="4"/>
      <c r="AL574" s="4"/>
      <c r="AM574" s="4"/>
      <c r="AN574" s="44"/>
      <c r="AO574" s="8"/>
      <c r="AP574" s="8"/>
      <c r="AQ574" s="8"/>
      <c r="AR574" s="8"/>
      <c r="AS574" s="8"/>
      <c r="AT574" s="8"/>
      <c r="AU574" s="8"/>
      <c r="AV574" s="46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4"/>
      <c r="BX574" s="4"/>
    </row>
    <row r="575" spans="1:76" s="16" customFormat="1" x14ac:dyDescent="0.25">
      <c r="A575" s="26"/>
      <c r="B575" s="6"/>
      <c r="C575" s="7"/>
      <c r="D575" s="7"/>
      <c r="E575" s="7"/>
      <c r="F575" s="7"/>
      <c r="G575" s="7"/>
      <c r="H575" s="7"/>
      <c r="I575" s="4"/>
      <c r="J575" s="7"/>
      <c r="K575" s="7"/>
      <c r="L575" s="7"/>
      <c r="M575" s="7"/>
      <c r="N575" s="4"/>
      <c r="O575" s="4"/>
      <c r="P575" s="4"/>
      <c r="Q575" s="4"/>
      <c r="R575" s="4"/>
      <c r="S575" s="7"/>
      <c r="T575" s="7"/>
      <c r="U575" s="7"/>
      <c r="V575" s="7"/>
      <c r="W575" s="7"/>
      <c r="X575" s="7"/>
      <c r="Y575" s="4"/>
      <c r="Z575" s="4"/>
      <c r="AA575" s="4"/>
      <c r="AB575" s="4"/>
      <c r="AC575" s="4"/>
      <c r="AD575" s="4"/>
      <c r="AE575" s="4"/>
      <c r="AF575" s="4"/>
      <c r="AG575" s="49"/>
      <c r="AH575" s="4"/>
      <c r="AI575" s="4"/>
      <c r="AJ575" s="4"/>
      <c r="AK575" s="4"/>
      <c r="AL575" s="4"/>
      <c r="AM575" s="4"/>
      <c r="AN575" s="44"/>
      <c r="AO575" s="8"/>
      <c r="AP575" s="8"/>
      <c r="AQ575" s="8"/>
      <c r="AR575" s="8"/>
      <c r="AS575" s="8"/>
      <c r="AT575" s="8"/>
      <c r="AU575" s="8"/>
      <c r="AV575" s="46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4"/>
      <c r="BX575" s="4"/>
    </row>
    <row r="576" spans="1:76" s="16" customFormat="1" x14ac:dyDescent="0.25">
      <c r="A576" s="26"/>
      <c r="B576" s="6"/>
      <c r="C576" s="7"/>
      <c r="D576" s="7"/>
      <c r="E576" s="7"/>
      <c r="F576" s="7"/>
      <c r="G576" s="7"/>
      <c r="H576" s="7"/>
      <c r="I576" s="4"/>
      <c r="J576" s="7"/>
      <c r="K576" s="7"/>
      <c r="L576" s="7"/>
      <c r="M576" s="7"/>
      <c r="N576" s="4"/>
      <c r="O576" s="4"/>
      <c r="P576" s="4"/>
      <c r="Q576" s="4"/>
      <c r="R576" s="4"/>
      <c r="S576" s="7"/>
      <c r="T576" s="7"/>
      <c r="U576" s="7"/>
      <c r="V576" s="7"/>
      <c r="W576" s="7"/>
      <c r="X576" s="7"/>
      <c r="Y576" s="4"/>
      <c r="Z576" s="4"/>
      <c r="AA576" s="4"/>
      <c r="AB576" s="4"/>
      <c r="AC576" s="4"/>
      <c r="AD576" s="4"/>
      <c r="AE576" s="4"/>
      <c r="AF576" s="4"/>
      <c r="AG576" s="49"/>
      <c r="AH576" s="4"/>
      <c r="AI576" s="4"/>
      <c r="AJ576" s="4"/>
      <c r="AK576" s="4"/>
      <c r="AL576" s="4"/>
      <c r="AM576" s="4"/>
      <c r="AN576" s="44"/>
      <c r="AO576" s="8"/>
      <c r="AP576" s="8"/>
      <c r="AQ576" s="8"/>
      <c r="AR576" s="8"/>
      <c r="AS576" s="8"/>
      <c r="AT576" s="8"/>
      <c r="AU576" s="8"/>
      <c r="AV576" s="46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4"/>
      <c r="BX576" s="4"/>
    </row>
    <row r="577" spans="1:76" s="16" customFormat="1" x14ac:dyDescent="0.25">
      <c r="A577" s="26"/>
      <c r="B577" s="6"/>
      <c r="C577" s="7"/>
      <c r="D577" s="7"/>
      <c r="E577" s="7"/>
      <c r="F577" s="7"/>
      <c r="G577" s="7"/>
      <c r="H577" s="7"/>
      <c r="I577" s="4"/>
      <c r="J577" s="7"/>
      <c r="K577" s="7"/>
      <c r="L577" s="7"/>
      <c r="M577" s="7"/>
      <c r="N577" s="4"/>
      <c r="O577" s="4"/>
      <c r="P577" s="4"/>
      <c r="Q577" s="4"/>
      <c r="R577" s="4"/>
      <c r="S577" s="7"/>
      <c r="T577" s="7"/>
      <c r="U577" s="7"/>
      <c r="V577" s="7"/>
      <c r="W577" s="7"/>
      <c r="X577" s="7"/>
      <c r="Y577" s="4"/>
      <c r="Z577" s="4"/>
      <c r="AA577" s="4"/>
      <c r="AB577" s="4"/>
      <c r="AC577" s="4"/>
      <c r="AD577" s="4"/>
      <c r="AE577" s="4"/>
      <c r="AF577" s="4"/>
      <c r="AG577" s="49"/>
      <c r="AH577" s="4"/>
      <c r="AI577" s="4"/>
      <c r="AJ577" s="4"/>
      <c r="AK577" s="4"/>
      <c r="AL577" s="4"/>
      <c r="AM577" s="4"/>
      <c r="AN577" s="44"/>
      <c r="AO577" s="8"/>
      <c r="AP577" s="8"/>
      <c r="AQ577" s="8"/>
      <c r="AR577" s="8"/>
      <c r="AS577" s="8"/>
      <c r="AT577" s="8"/>
      <c r="AU577" s="8"/>
      <c r="AV577" s="46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4"/>
      <c r="BX577" s="4"/>
    </row>
    <row r="578" spans="1:76" s="16" customFormat="1" x14ac:dyDescent="0.25">
      <c r="A578" s="26"/>
      <c r="B578" s="6"/>
      <c r="C578" s="7"/>
      <c r="D578" s="7"/>
      <c r="E578" s="7"/>
      <c r="F578" s="7"/>
      <c r="G578" s="7"/>
      <c r="H578" s="7"/>
      <c r="I578" s="4"/>
      <c r="J578" s="7"/>
      <c r="K578" s="7"/>
      <c r="L578" s="7"/>
      <c r="M578" s="7"/>
      <c r="N578" s="4"/>
      <c r="O578" s="4"/>
      <c r="P578" s="4"/>
      <c r="Q578" s="4"/>
      <c r="R578" s="4"/>
      <c r="S578" s="7"/>
      <c r="T578" s="7"/>
      <c r="U578" s="7"/>
      <c r="V578" s="7"/>
      <c r="W578" s="7"/>
      <c r="X578" s="7"/>
      <c r="Y578" s="4"/>
      <c r="Z578" s="4"/>
      <c r="AA578" s="4"/>
      <c r="AB578" s="4"/>
      <c r="AC578" s="4"/>
      <c r="AD578" s="4"/>
      <c r="AE578" s="4"/>
      <c r="AF578" s="4"/>
      <c r="AG578" s="49"/>
      <c r="AH578" s="4"/>
      <c r="AI578" s="4"/>
      <c r="AJ578" s="4"/>
      <c r="AK578" s="4"/>
      <c r="AL578" s="4"/>
      <c r="AM578" s="4"/>
      <c r="AN578" s="44"/>
      <c r="AO578" s="8"/>
      <c r="AP578" s="8"/>
      <c r="AQ578" s="8"/>
      <c r="AR578" s="8"/>
      <c r="AS578" s="8"/>
      <c r="AT578" s="8"/>
      <c r="AU578" s="8"/>
      <c r="AV578" s="46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4"/>
      <c r="BX578" s="4"/>
    </row>
    <row r="579" spans="1:76" s="16" customFormat="1" x14ac:dyDescent="0.25">
      <c r="A579" s="26"/>
      <c r="B579" s="6"/>
      <c r="C579" s="7"/>
      <c r="D579" s="7"/>
      <c r="E579" s="7"/>
      <c r="F579" s="7"/>
      <c r="G579" s="7"/>
      <c r="H579" s="7"/>
      <c r="I579" s="4"/>
      <c r="J579" s="7"/>
      <c r="K579" s="7"/>
      <c r="L579" s="7"/>
      <c r="M579" s="7"/>
      <c r="N579" s="4"/>
      <c r="O579" s="4"/>
      <c r="P579" s="4"/>
      <c r="Q579" s="4"/>
      <c r="R579" s="4"/>
      <c r="S579" s="7"/>
      <c r="T579" s="7"/>
      <c r="U579" s="7"/>
      <c r="V579" s="7"/>
      <c r="W579" s="7"/>
      <c r="X579" s="7"/>
      <c r="Y579" s="4"/>
      <c r="Z579" s="4"/>
      <c r="AA579" s="4"/>
      <c r="AB579" s="4"/>
      <c r="AC579" s="4"/>
      <c r="AD579" s="4"/>
      <c r="AE579" s="4"/>
      <c r="AF579" s="4"/>
      <c r="AG579" s="49"/>
      <c r="AH579" s="4"/>
      <c r="AI579" s="4"/>
      <c r="AJ579" s="4"/>
      <c r="AK579" s="4"/>
      <c r="AL579" s="4"/>
      <c r="AM579" s="4"/>
      <c r="AN579" s="44"/>
      <c r="AO579" s="8"/>
      <c r="AP579" s="8"/>
      <c r="AQ579" s="8"/>
      <c r="AR579" s="8"/>
      <c r="AS579" s="8"/>
      <c r="AT579" s="8"/>
      <c r="AU579" s="8"/>
      <c r="AV579" s="46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4"/>
      <c r="BX579" s="4"/>
    </row>
    <row r="580" spans="1:76" s="16" customFormat="1" x14ac:dyDescent="0.25">
      <c r="A580" s="26"/>
      <c r="B580" s="6"/>
      <c r="C580" s="7"/>
      <c r="D580" s="7"/>
      <c r="E580" s="7"/>
      <c r="F580" s="7"/>
      <c r="G580" s="7"/>
      <c r="H580" s="7"/>
      <c r="I580" s="4"/>
      <c r="J580" s="7"/>
      <c r="K580" s="7"/>
      <c r="L580" s="7"/>
      <c r="M580" s="7"/>
      <c r="N580" s="4"/>
      <c r="O580" s="4"/>
      <c r="P580" s="4"/>
      <c r="Q580" s="4"/>
      <c r="R580" s="4"/>
      <c r="S580" s="7"/>
      <c r="T580" s="7"/>
      <c r="U580" s="7"/>
      <c r="V580" s="7"/>
      <c r="W580" s="7"/>
      <c r="X580" s="7"/>
      <c r="Y580" s="4"/>
      <c r="Z580" s="4"/>
      <c r="AA580" s="4"/>
      <c r="AB580" s="4"/>
      <c r="AC580" s="4"/>
      <c r="AD580" s="4"/>
      <c r="AE580" s="4"/>
      <c r="AF580" s="4"/>
      <c r="AG580" s="49"/>
      <c r="AH580" s="4"/>
      <c r="AI580" s="4"/>
      <c r="AJ580" s="4"/>
      <c r="AK580" s="4"/>
      <c r="AL580" s="4"/>
      <c r="AM580" s="4"/>
      <c r="AN580" s="44"/>
      <c r="AO580" s="8"/>
      <c r="AP580" s="8"/>
      <c r="AQ580" s="8"/>
      <c r="AR580" s="8"/>
      <c r="AS580" s="8"/>
      <c r="AT580" s="8"/>
      <c r="AU580" s="8"/>
      <c r="AV580" s="46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4"/>
      <c r="BX580" s="4"/>
    </row>
    <row r="581" spans="1:76" s="16" customFormat="1" x14ac:dyDescent="0.25">
      <c r="A581" s="26"/>
      <c r="B581" s="6"/>
      <c r="C581" s="7"/>
      <c r="D581" s="7"/>
      <c r="E581" s="7"/>
      <c r="F581" s="7"/>
      <c r="G581" s="7"/>
      <c r="H581" s="7"/>
      <c r="I581" s="4"/>
      <c r="J581" s="7"/>
      <c r="K581" s="7"/>
      <c r="L581" s="7"/>
      <c r="M581" s="7"/>
      <c r="N581" s="4"/>
      <c r="O581" s="4"/>
      <c r="P581" s="4"/>
      <c r="Q581" s="4"/>
      <c r="R581" s="4"/>
      <c r="S581" s="7"/>
      <c r="T581" s="7"/>
      <c r="U581" s="7"/>
      <c r="V581" s="7"/>
      <c r="W581" s="7"/>
      <c r="X581" s="7"/>
      <c r="Y581" s="4"/>
      <c r="Z581" s="4"/>
      <c r="AA581" s="4"/>
      <c r="AB581" s="4"/>
      <c r="AC581" s="4"/>
      <c r="AD581" s="4"/>
      <c r="AE581" s="4"/>
      <c r="AF581" s="4"/>
      <c r="AG581" s="49"/>
      <c r="AH581" s="4"/>
      <c r="AI581" s="4"/>
      <c r="AJ581" s="4"/>
      <c r="AK581" s="4"/>
      <c r="AL581" s="4"/>
      <c r="AM581" s="4"/>
      <c r="AN581" s="44"/>
      <c r="AO581" s="8"/>
      <c r="AP581" s="8"/>
      <c r="AQ581" s="8"/>
      <c r="AR581" s="8"/>
      <c r="AS581" s="8"/>
      <c r="AT581" s="8"/>
      <c r="AU581" s="8"/>
      <c r="AV581" s="46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4"/>
      <c r="BX581" s="4"/>
    </row>
    <row r="582" spans="1:76" s="16" customFormat="1" x14ac:dyDescent="0.25">
      <c r="A582" s="26"/>
      <c r="B582" s="6"/>
      <c r="C582" s="7"/>
      <c r="D582" s="7"/>
      <c r="E582" s="7"/>
      <c r="F582" s="7"/>
      <c r="G582" s="7"/>
      <c r="H582" s="7"/>
      <c r="I582" s="4"/>
      <c r="J582" s="7"/>
      <c r="K582" s="7"/>
      <c r="L582" s="7"/>
      <c r="M582" s="7"/>
      <c r="N582" s="4"/>
      <c r="O582" s="4"/>
      <c r="P582" s="4"/>
      <c r="Q582" s="4"/>
      <c r="R582" s="4"/>
      <c r="S582" s="7"/>
      <c r="T582" s="7"/>
      <c r="U582" s="7"/>
      <c r="V582" s="7"/>
      <c r="W582" s="7"/>
      <c r="X582" s="7"/>
      <c r="Y582" s="4"/>
      <c r="Z582" s="4"/>
      <c r="AA582" s="4"/>
      <c r="AB582" s="4"/>
      <c r="AC582" s="4"/>
      <c r="AD582" s="4"/>
      <c r="AE582" s="4"/>
      <c r="AF582" s="4"/>
      <c r="AG582" s="49"/>
      <c r="AH582" s="4"/>
      <c r="AI582" s="4"/>
      <c r="AJ582" s="4"/>
      <c r="AK582" s="4"/>
      <c r="AL582" s="4"/>
      <c r="AM582" s="4"/>
      <c r="AN582" s="44"/>
      <c r="AO582" s="8"/>
      <c r="AP582" s="8"/>
      <c r="AQ582" s="8"/>
      <c r="AR582" s="8"/>
      <c r="AS582" s="8"/>
      <c r="AT582" s="8"/>
      <c r="AU582" s="8"/>
      <c r="AV582" s="46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4"/>
      <c r="BX582" s="4"/>
    </row>
    <row r="583" spans="1:76" s="16" customFormat="1" x14ac:dyDescent="0.25">
      <c r="A583" s="26"/>
      <c r="B583" s="6"/>
      <c r="C583" s="7"/>
      <c r="D583" s="7"/>
      <c r="E583" s="7"/>
      <c r="F583" s="7"/>
      <c r="G583" s="7"/>
      <c r="H583" s="7"/>
      <c r="I583" s="4"/>
      <c r="J583" s="7"/>
      <c r="K583" s="7"/>
      <c r="L583" s="7"/>
      <c r="M583" s="7"/>
      <c r="N583" s="4"/>
      <c r="O583" s="4"/>
      <c r="P583" s="4"/>
      <c r="Q583" s="4"/>
      <c r="R583" s="4"/>
      <c r="S583" s="7"/>
      <c r="T583" s="7"/>
      <c r="U583" s="7"/>
      <c r="V583" s="7"/>
      <c r="W583" s="7"/>
      <c r="X583" s="7"/>
      <c r="Y583" s="4"/>
      <c r="Z583" s="4"/>
      <c r="AA583" s="4"/>
      <c r="AB583" s="4"/>
      <c r="AC583" s="4"/>
      <c r="AD583" s="4"/>
      <c r="AE583" s="4"/>
      <c r="AF583" s="4"/>
      <c r="AG583" s="49"/>
      <c r="AH583" s="4"/>
      <c r="AI583" s="4"/>
      <c r="AJ583" s="4"/>
      <c r="AK583" s="4"/>
      <c r="AL583" s="4"/>
      <c r="AM583" s="4"/>
      <c r="AN583" s="44"/>
      <c r="AO583" s="8"/>
      <c r="AP583" s="8"/>
      <c r="AQ583" s="8"/>
      <c r="AR583" s="8"/>
      <c r="AS583" s="8"/>
      <c r="AT583" s="8"/>
      <c r="AU583" s="8"/>
      <c r="AV583" s="46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4"/>
      <c r="BX583" s="4"/>
    </row>
    <row r="584" spans="1:76" s="16" customFormat="1" x14ac:dyDescent="0.25">
      <c r="A584" s="26"/>
      <c r="B584" s="6"/>
      <c r="C584" s="7"/>
      <c r="D584" s="7"/>
      <c r="E584" s="7"/>
      <c r="F584" s="7"/>
      <c r="G584" s="7"/>
      <c r="H584" s="7"/>
      <c r="I584" s="4"/>
      <c r="J584" s="7"/>
      <c r="K584" s="7"/>
      <c r="L584" s="7"/>
      <c r="M584" s="7"/>
      <c r="N584" s="4"/>
      <c r="O584" s="4"/>
      <c r="P584" s="4"/>
      <c r="Q584" s="4"/>
      <c r="R584" s="4"/>
      <c r="S584" s="7"/>
      <c r="T584" s="7"/>
      <c r="U584" s="7"/>
      <c r="V584" s="7"/>
      <c r="W584" s="7"/>
      <c r="X584" s="7"/>
      <c r="Y584" s="4"/>
      <c r="Z584" s="4"/>
      <c r="AA584" s="4"/>
      <c r="AB584" s="4"/>
      <c r="AC584" s="4"/>
      <c r="AD584" s="4"/>
      <c r="AE584" s="4"/>
      <c r="AF584" s="4"/>
      <c r="AG584" s="49"/>
      <c r="AH584" s="4"/>
      <c r="AI584" s="4"/>
      <c r="AJ584" s="4"/>
      <c r="AK584" s="4"/>
      <c r="AL584" s="4"/>
      <c r="AM584" s="4"/>
      <c r="AN584" s="44"/>
      <c r="AO584" s="8"/>
      <c r="AP584" s="8"/>
      <c r="AQ584" s="8"/>
      <c r="AR584" s="8"/>
      <c r="AS584" s="8"/>
      <c r="AT584" s="8"/>
      <c r="AU584" s="8"/>
      <c r="AV584" s="46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4"/>
      <c r="BX584" s="4"/>
    </row>
    <row r="585" spans="1:76" s="16" customFormat="1" x14ac:dyDescent="0.25">
      <c r="A585" s="26"/>
      <c r="B585" s="6"/>
      <c r="C585" s="7"/>
      <c r="D585" s="7"/>
      <c r="E585" s="7"/>
      <c r="F585" s="7"/>
      <c r="G585" s="7"/>
      <c r="H585" s="7"/>
      <c r="I585" s="4"/>
      <c r="J585" s="7"/>
      <c r="K585" s="7"/>
      <c r="L585" s="7"/>
      <c r="M585" s="7"/>
      <c r="N585" s="4"/>
      <c r="O585" s="4"/>
      <c r="P585" s="4"/>
      <c r="Q585" s="4"/>
      <c r="R585" s="4"/>
      <c r="S585" s="7"/>
      <c r="T585" s="7"/>
      <c r="U585" s="7"/>
      <c r="V585" s="7"/>
      <c r="W585" s="7"/>
      <c r="X585" s="7"/>
      <c r="Y585" s="4"/>
      <c r="Z585" s="4"/>
      <c r="AA585" s="4"/>
      <c r="AB585" s="4"/>
      <c r="AC585" s="4"/>
      <c r="AD585" s="4"/>
      <c r="AE585" s="4"/>
      <c r="AF585" s="4"/>
      <c r="AG585" s="49"/>
      <c r="AH585" s="4"/>
      <c r="AI585" s="4"/>
      <c r="AJ585" s="4"/>
      <c r="AK585" s="4"/>
      <c r="AL585" s="4"/>
      <c r="AM585" s="4"/>
      <c r="AN585" s="44"/>
      <c r="AO585" s="8"/>
      <c r="AP585" s="8"/>
      <c r="AQ585" s="8"/>
      <c r="AR585" s="8"/>
      <c r="AS585" s="8"/>
      <c r="AT585" s="8"/>
      <c r="AU585" s="8"/>
      <c r="AV585" s="46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4"/>
      <c r="BX585" s="4"/>
    </row>
    <row r="586" spans="1:76" s="16" customFormat="1" x14ac:dyDescent="0.25">
      <c r="A586" s="26"/>
      <c r="B586" s="6"/>
      <c r="C586" s="7"/>
      <c r="D586" s="7"/>
      <c r="E586" s="7"/>
      <c r="F586" s="7"/>
      <c r="G586" s="7"/>
      <c r="H586" s="7"/>
      <c r="I586" s="4"/>
      <c r="J586" s="7"/>
      <c r="K586" s="7"/>
      <c r="L586" s="7"/>
      <c r="M586" s="7"/>
      <c r="N586" s="4"/>
      <c r="O586" s="4"/>
      <c r="P586" s="4"/>
      <c r="Q586" s="4"/>
      <c r="R586" s="4"/>
      <c r="S586" s="7"/>
      <c r="T586" s="7"/>
      <c r="U586" s="7"/>
      <c r="V586" s="7"/>
      <c r="W586" s="7"/>
      <c r="X586" s="7"/>
      <c r="Y586" s="4"/>
      <c r="Z586" s="4"/>
      <c r="AA586" s="4"/>
      <c r="AB586" s="4"/>
      <c r="AC586" s="4"/>
      <c r="AD586" s="4"/>
      <c r="AE586" s="4"/>
      <c r="AF586" s="4"/>
      <c r="AG586" s="49"/>
      <c r="AH586" s="4"/>
      <c r="AI586" s="4"/>
      <c r="AJ586" s="4"/>
      <c r="AK586" s="4"/>
      <c r="AL586" s="4"/>
      <c r="AM586" s="4"/>
      <c r="AN586" s="44"/>
      <c r="AO586" s="8"/>
      <c r="AP586" s="8"/>
      <c r="AQ586" s="8"/>
      <c r="AR586" s="8"/>
      <c r="AS586" s="8"/>
      <c r="AT586" s="8"/>
      <c r="AU586" s="8"/>
      <c r="AV586" s="46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4"/>
      <c r="BX586" s="4"/>
    </row>
    <row r="587" spans="1:76" s="16" customFormat="1" x14ac:dyDescent="0.25">
      <c r="A587" s="26"/>
      <c r="B587" s="6"/>
      <c r="C587" s="7"/>
      <c r="D587" s="7"/>
      <c r="E587" s="7"/>
      <c r="F587" s="7"/>
      <c r="G587" s="7"/>
      <c r="H587" s="7"/>
      <c r="I587" s="4"/>
      <c r="J587" s="7"/>
      <c r="K587" s="7"/>
      <c r="L587" s="7"/>
      <c r="M587" s="7"/>
      <c r="N587" s="4"/>
      <c r="O587" s="4"/>
      <c r="P587" s="4"/>
      <c r="Q587" s="4"/>
      <c r="R587" s="4"/>
      <c r="S587" s="7"/>
      <c r="T587" s="7"/>
      <c r="U587" s="7"/>
      <c r="V587" s="7"/>
      <c r="W587" s="7"/>
      <c r="X587" s="7"/>
      <c r="Y587" s="4"/>
      <c r="Z587" s="4"/>
      <c r="AA587" s="4"/>
      <c r="AB587" s="4"/>
      <c r="AC587" s="4"/>
      <c r="AD587" s="4"/>
      <c r="AE587" s="4"/>
      <c r="AF587" s="4"/>
      <c r="AG587" s="49"/>
      <c r="AH587" s="4"/>
      <c r="AI587" s="4"/>
      <c r="AJ587" s="4"/>
      <c r="AK587" s="4"/>
      <c r="AL587" s="4"/>
      <c r="AM587" s="4"/>
      <c r="AN587" s="44"/>
      <c r="AO587" s="8"/>
      <c r="AP587" s="8"/>
      <c r="AQ587" s="8"/>
      <c r="AR587" s="8"/>
      <c r="AS587" s="8"/>
      <c r="AT587" s="8"/>
      <c r="AU587" s="8"/>
      <c r="AV587" s="46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4"/>
      <c r="BX587" s="4"/>
    </row>
    <row r="588" spans="1:76" s="16" customFormat="1" x14ac:dyDescent="0.25">
      <c r="A588" s="26"/>
      <c r="B588" s="6"/>
      <c r="C588" s="7"/>
      <c r="D588" s="7"/>
      <c r="E588" s="7"/>
      <c r="F588" s="7"/>
      <c r="G588" s="7"/>
      <c r="H588" s="7"/>
      <c r="I588" s="4"/>
      <c r="J588" s="7"/>
      <c r="K588" s="7"/>
      <c r="L588" s="7"/>
      <c r="M588" s="7"/>
      <c r="N588" s="4"/>
      <c r="O588" s="4"/>
      <c r="P588" s="4"/>
      <c r="Q588" s="4"/>
      <c r="R588" s="4"/>
      <c r="S588" s="7"/>
      <c r="T588" s="7"/>
      <c r="U588" s="7"/>
      <c r="V588" s="7"/>
      <c r="W588" s="7"/>
      <c r="X588" s="7"/>
      <c r="Y588" s="4"/>
      <c r="Z588" s="4"/>
      <c r="AA588" s="4"/>
      <c r="AB588" s="4"/>
      <c r="AC588" s="4"/>
      <c r="AD588" s="4"/>
      <c r="AE588" s="4"/>
      <c r="AF588" s="4"/>
      <c r="AG588" s="49"/>
      <c r="AH588" s="4"/>
      <c r="AI588" s="4"/>
      <c r="AJ588" s="4"/>
      <c r="AK588" s="4"/>
      <c r="AL588" s="4"/>
      <c r="AM588" s="4"/>
      <c r="AN588" s="44"/>
      <c r="AO588" s="8"/>
      <c r="AP588" s="8"/>
      <c r="AQ588" s="8"/>
      <c r="AR588" s="8"/>
      <c r="AS588" s="8"/>
      <c r="AT588" s="8"/>
      <c r="AU588" s="8"/>
      <c r="AV588" s="46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4"/>
      <c r="BX588" s="4"/>
    </row>
    <row r="589" spans="1:76" s="16" customFormat="1" x14ac:dyDescent="0.25">
      <c r="A589" s="26"/>
      <c r="B589" s="6"/>
      <c r="C589" s="7"/>
      <c r="D589" s="7"/>
      <c r="E589" s="7"/>
      <c r="F589" s="7"/>
      <c r="G589" s="7"/>
      <c r="H589" s="7"/>
      <c r="I589" s="4"/>
      <c r="J589" s="7"/>
      <c r="K589" s="7"/>
      <c r="L589" s="7"/>
      <c r="M589" s="7"/>
      <c r="N589" s="4"/>
      <c r="O589" s="4"/>
      <c r="P589" s="4"/>
      <c r="Q589" s="4"/>
      <c r="R589" s="4"/>
      <c r="S589" s="7"/>
      <c r="T589" s="7"/>
      <c r="U589" s="7"/>
      <c r="V589" s="7"/>
      <c r="W589" s="7"/>
      <c r="X589" s="7"/>
      <c r="Y589" s="4"/>
      <c r="Z589" s="4"/>
      <c r="AA589" s="4"/>
      <c r="AB589" s="4"/>
      <c r="AC589" s="4"/>
      <c r="AD589" s="4"/>
      <c r="AE589" s="4"/>
      <c r="AF589" s="4"/>
      <c r="AG589" s="49"/>
      <c r="AH589" s="4"/>
      <c r="AI589" s="4"/>
      <c r="AJ589" s="4"/>
      <c r="AK589" s="4"/>
      <c r="AL589" s="4"/>
      <c r="AM589" s="4"/>
      <c r="AN589" s="44"/>
      <c r="AO589" s="8"/>
      <c r="AP589" s="8"/>
      <c r="AQ589" s="8"/>
      <c r="AR589" s="8"/>
      <c r="AS589" s="8"/>
      <c r="AT589" s="8"/>
      <c r="AU589" s="8"/>
      <c r="AV589" s="46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4"/>
      <c r="BX589" s="4"/>
    </row>
    <row r="590" spans="1:76" s="16" customFormat="1" x14ac:dyDescent="0.25">
      <c r="A590" s="26"/>
      <c r="B590" s="6"/>
      <c r="C590" s="7"/>
      <c r="D590" s="7"/>
      <c r="E590" s="7"/>
      <c r="F590" s="7"/>
      <c r="G590" s="7"/>
      <c r="H590" s="7"/>
      <c r="I590" s="4"/>
      <c r="J590" s="7"/>
      <c r="K590" s="7"/>
      <c r="L590" s="7"/>
      <c r="M590" s="7"/>
      <c r="N590" s="4"/>
      <c r="O590" s="4"/>
      <c r="P590" s="4"/>
      <c r="Q590" s="4"/>
      <c r="R590" s="4"/>
      <c r="S590" s="7"/>
      <c r="T590" s="7"/>
      <c r="U590" s="7"/>
      <c r="V590" s="7"/>
      <c r="W590" s="7"/>
      <c r="X590" s="7"/>
      <c r="Y590" s="4"/>
      <c r="Z590" s="4"/>
      <c r="AA590" s="4"/>
      <c r="AB590" s="4"/>
      <c r="AC590" s="4"/>
      <c r="AD590" s="4"/>
      <c r="AE590" s="4"/>
      <c r="AF590" s="4"/>
      <c r="AG590" s="49"/>
      <c r="AH590" s="4"/>
      <c r="AI590" s="4"/>
      <c r="AJ590" s="4"/>
      <c r="AK590" s="4"/>
      <c r="AL590" s="4"/>
      <c r="AM590" s="4"/>
      <c r="AN590" s="44"/>
      <c r="AO590" s="8"/>
      <c r="AP590" s="8"/>
      <c r="AQ590" s="8"/>
      <c r="AR590" s="8"/>
      <c r="AS590" s="8"/>
      <c r="AT590" s="8"/>
      <c r="AU590" s="8"/>
      <c r="AV590" s="46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4"/>
      <c r="BX590" s="4"/>
    </row>
    <row r="591" spans="1:76" s="16" customFormat="1" x14ac:dyDescent="0.25">
      <c r="A591" s="26"/>
      <c r="B591" s="6"/>
      <c r="C591" s="7"/>
      <c r="D591" s="7"/>
      <c r="E591" s="7"/>
      <c r="F591" s="7"/>
      <c r="G591" s="7"/>
      <c r="H591" s="7"/>
      <c r="I591" s="4"/>
      <c r="J591" s="7"/>
      <c r="K591" s="7"/>
      <c r="L591" s="7"/>
      <c r="M591" s="7"/>
      <c r="N591" s="4"/>
      <c r="O591" s="4"/>
      <c r="P591" s="4"/>
      <c r="Q591" s="4"/>
      <c r="R591" s="4"/>
      <c r="S591" s="7"/>
      <c r="T591" s="7"/>
      <c r="U591" s="7"/>
      <c r="V591" s="7"/>
      <c r="W591" s="7"/>
      <c r="X591" s="7"/>
      <c r="Y591" s="4"/>
      <c r="Z591" s="4"/>
      <c r="AA591" s="4"/>
      <c r="AB591" s="4"/>
      <c r="AC591" s="4"/>
      <c r="AD591" s="4"/>
      <c r="AE591" s="4"/>
      <c r="AF591" s="4"/>
      <c r="AG591" s="49"/>
      <c r="AH591" s="4"/>
      <c r="AI591" s="4"/>
      <c r="AJ591" s="4"/>
      <c r="AK591" s="4"/>
      <c r="AL591" s="4"/>
      <c r="AM591" s="4"/>
      <c r="AN591" s="44"/>
      <c r="AO591" s="8"/>
      <c r="AP591" s="8"/>
      <c r="AQ591" s="8"/>
      <c r="AR591" s="8"/>
      <c r="AS591" s="8"/>
      <c r="AT591" s="8"/>
      <c r="AU591" s="8"/>
      <c r="AV591" s="46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4"/>
      <c r="BX591" s="4"/>
    </row>
    <row r="592" spans="1:76" s="16" customFormat="1" x14ac:dyDescent="0.25">
      <c r="A592" s="26"/>
      <c r="B592" s="6"/>
      <c r="C592" s="7"/>
      <c r="D592" s="7"/>
      <c r="E592" s="7"/>
      <c r="F592" s="7"/>
      <c r="G592" s="7"/>
      <c r="H592" s="7"/>
      <c r="I592" s="4"/>
      <c r="J592" s="7"/>
      <c r="K592" s="7"/>
      <c r="L592" s="7"/>
      <c r="M592" s="7"/>
      <c r="N592" s="4"/>
      <c r="O592" s="4"/>
      <c r="P592" s="4"/>
      <c r="Q592" s="4"/>
      <c r="R592" s="4"/>
      <c r="S592" s="7"/>
      <c r="T592" s="7"/>
      <c r="U592" s="7"/>
      <c r="V592" s="7"/>
      <c r="W592" s="7"/>
      <c r="X592" s="7"/>
      <c r="Y592" s="4"/>
      <c r="Z592" s="4"/>
      <c r="AA592" s="4"/>
      <c r="AB592" s="4"/>
      <c r="AC592" s="4"/>
      <c r="AD592" s="4"/>
      <c r="AE592" s="4"/>
      <c r="AF592" s="4"/>
      <c r="AG592" s="49"/>
      <c r="AH592" s="4"/>
      <c r="AI592" s="4"/>
      <c r="AJ592" s="4"/>
      <c r="AK592" s="4"/>
      <c r="AL592" s="4"/>
      <c r="AM592" s="4"/>
      <c r="AN592" s="44"/>
      <c r="AO592" s="8"/>
      <c r="AP592" s="8"/>
      <c r="AQ592" s="8"/>
      <c r="AR592" s="8"/>
      <c r="AS592" s="8"/>
      <c r="AT592" s="8"/>
      <c r="AU592" s="8"/>
      <c r="AV592" s="46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4"/>
      <c r="BX592" s="4"/>
    </row>
    <row r="593" spans="1:76" s="16" customFormat="1" x14ac:dyDescent="0.25">
      <c r="A593" s="26"/>
      <c r="B593" s="6"/>
      <c r="C593" s="7"/>
      <c r="D593" s="7"/>
      <c r="E593" s="7"/>
      <c r="F593" s="7"/>
      <c r="G593" s="7"/>
      <c r="H593" s="7"/>
      <c r="I593" s="4"/>
      <c r="J593" s="7"/>
      <c r="K593" s="7"/>
      <c r="L593" s="7"/>
      <c r="M593" s="7"/>
      <c r="N593" s="4"/>
      <c r="O593" s="4"/>
      <c r="P593" s="4"/>
      <c r="Q593" s="4"/>
      <c r="R593" s="4"/>
      <c r="S593" s="7"/>
      <c r="T593" s="7"/>
      <c r="U593" s="7"/>
      <c r="V593" s="7"/>
      <c r="W593" s="7"/>
      <c r="X593" s="7"/>
      <c r="Y593" s="4"/>
      <c r="Z593" s="4"/>
      <c r="AA593" s="4"/>
      <c r="AB593" s="4"/>
      <c r="AC593" s="4"/>
      <c r="AD593" s="4"/>
      <c r="AE593" s="4"/>
      <c r="AF593" s="4"/>
      <c r="AG593" s="49"/>
      <c r="AH593" s="4"/>
      <c r="AI593" s="4"/>
      <c r="AJ593" s="4"/>
      <c r="AK593" s="4"/>
      <c r="AL593" s="4"/>
      <c r="AM593" s="4"/>
      <c r="AN593" s="44"/>
      <c r="AO593" s="8"/>
      <c r="AP593" s="8"/>
      <c r="AQ593" s="8"/>
      <c r="AR593" s="8"/>
      <c r="AS593" s="8"/>
      <c r="AT593" s="8"/>
      <c r="AU593" s="8"/>
      <c r="AV593" s="46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4"/>
      <c r="BX593" s="4"/>
    </row>
    <row r="594" spans="1:76" s="16" customFormat="1" x14ac:dyDescent="0.25">
      <c r="A594" s="26"/>
      <c r="B594" s="6"/>
      <c r="C594" s="7"/>
      <c r="D594" s="7"/>
      <c r="E594" s="7"/>
      <c r="F594" s="7"/>
      <c r="G594" s="7"/>
      <c r="H594" s="7"/>
      <c r="I594" s="4"/>
      <c r="J594" s="7"/>
      <c r="K594" s="7"/>
      <c r="L594" s="7"/>
      <c r="M594" s="7"/>
      <c r="N594" s="4"/>
      <c r="O594" s="4"/>
      <c r="P594" s="4"/>
      <c r="Q594" s="4"/>
      <c r="R594" s="4"/>
      <c r="S594" s="7"/>
      <c r="T594" s="7"/>
      <c r="U594" s="7"/>
      <c r="V594" s="7"/>
      <c r="W594" s="7"/>
      <c r="X594" s="7"/>
      <c r="Y594" s="4"/>
      <c r="Z594" s="4"/>
      <c r="AA594" s="4"/>
      <c r="AB594" s="4"/>
      <c r="AC594" s="4"/>
      <c r="AD594" s="4"/>
      <c r="AE594" s="4"/>
      <c r="AF594" s="4"/>
      <c r="AG594" s="49"/>
      <c r="AH594" s="4"/>
      <c r="AI594" s="4"/>
      <c r="AJ594" s="4"/>
      <c r="AK594" s="4"/>
      <c r="AL594" s="4"/>
      <c r="AM594" s="4"/>
      <c r="AN594" s="44"/>
      <c r="AO594" s="8"/>
      <c r="AP594" s="8"/>
      <c r="AQ594" s="8"/>
      <c r="AR594" s="8"/>
      <c r="AS594" s="8"/>
      <c r="AT594" s="8"/>
      <c r="AU594" s="8"/>
      <c r="AV594" s="46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4"/>
      <c r="BX594" s="4"/>
    </row>
    <row r="595" spans="1:76" s="16" customFormat="1" x14ac:dyDescent="0.25">
      <c r="A595" s="26"/>
      <c r="B595" s="6"/>
      <c r="C595" s="7"/>
      <c r="D595" s="7"/>
      <c r="E595" s="7"/>
      <c r="F595" s="7"/>
      <c r="G595" s="7"/>
      <c r="H595" s="7"/>
      <c r="I595" s="4"/>
      <c r="J595" s="7"/>
      <c r="K595" s="7"/>
      <c r="L595" s="7"/>
      <c r="M595" s="7"/>
      <c r="N595" s="4"/>
      <c r="O595" s="4"/>
      <c r="P595" s="4"/>
      <c r="Q595" s="4"/>
      <c r="R595" s="4"/>
      <c r="S595" s="7"/>
      <c r="T595" s="7"/>
      <c r="U595" s="7"/>
      <c r="V595" s="7"/>
      <c r="W595" s="7"/>
      <c r="X595" s="7"/>
      <c r="Y595" s="4"/>
      <c r="Z595" s="4"/>
      <c r="AA595" s="4"/>
      <c r="AB595" s="4"/>
      <c r="AC595" s="4"/>
      <c r="AD595" s="4"/>
      <c r="AE595" s="4"/>
      <c r="AF595" s="4"/>
      <c r="AG595" s="49"/>
      <c r="AH595" s="4"/>
      <c r="AI595" s="4"/>
      <c r="AJ595" s="4"/>
      <c r="AK595" s="4"/>
      <c r="AL595" s="4"/>
      <c r="AM595" s="4"/>
      <c r="AN595" s="44"/>
      <c r="AO595" s="8"/>
      <c r="AP595" s="8"/>
      <c r="AQ595" s="8"/>
      <c r="AR595" s="8"/>
      <c r="AS595" s="8"/>
      <c r="AT595" s="8"/>
      <c r="AU595" s="8"/>
      <c r="AV595" s="46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4"/>
      <c r="BX595" s="4"/>
    </row>
    <row r="596" spans="1:76" s="16" customFormat="1" x14ac:dyDescent="0.25">
      <c r="A596" s="26"/>
      <c r="B596" s="6"/>
      <c r="C596" s="7"/>
      <c r="D596" s="7"/>
      <c r="E596" s="7"/>
      <c r="F596" s="7"/>
      <c r="G596" s="7"/>
      <c r="H596" s="7"/>
      <c r="I596" s="4"/>
      <c r="J596" s="7"/>
      <c r="K596" s="7"/>
      <c r="L596" s="7"/>
      <c r="M596" s="7"/>
      <c r="N596" s="4"/>
      <c r="O596" s="4"/>
      <c r="P596" s="4"/>
      <c r="Q596" s="4"/>
      <c r="R596" s="4"/>
      <c r="S596" s="7"/>
      <c r="T596" s="7"/>
      <c r="U596" s="7"/>
      <c r="V596" s="7"/>
      <c r="W596" s="7"/>
      <c r="X596" s="7"/>
      <c r="Y596" s="4"/>
      <c r="Z596" s="4"/>
      <c r="AA596" s="4"/>
      <c r="AB596" s="4"/>
      <c r="AC596" s="4"/>
      <c r="AD596" s="4"/>
      <c r="AE596" s="4"/>
      <c r="AF596" s="4"/>
      <c r="AG596" s="49"/>
      <c r="AH596" s="4"/>
      <c r="AI596" s="4"/>
      <c r="AJ596" s="4"/>
      <c r="AK596" s="4"/>
      <c r="AL596" s="4"/>
      <c r="AM596" s="4"/>
      <c r="AN596" s="44"/>
      <c r="AO596" s="8"/>
      <c r="AP596" s="8"/>
      <c r="AQ596" s="8"/>
      <c r="AR596" s="8"/>
      <c r="AS596" s="8"/>
      <c r="AT596" s="8"/>
      <c r="AU596" s="8"/>
      <c r="AV596" s="46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4"/>
      <c r="BX596" s="4"/>
    </row>
    <row r="597" spans="1:76" s="16" customFormat="1" x14ac:dyDescent="0.25">
      <c r="A597" s="26"/>
      <c r="B597" s="6"/>
      <c r="C597" s="7"/>
      <c r="D597" s="7"/>
      <c r="E597" s="7"/>
      <c r="F597" s="7"/>
      <c r="G597" s="7"/>
      <c r="H597" s="7"/>
      <c r="I597" s="4"/>
      <c r="J597" s="7"/>
      <c r="K597" s="7"/>
      <c r="L597" s="7"/>
      <c r="M597" s="7"/>
      <c r="N597" s="4"/>
      <c r="O597" s="4"/>
      <c r="P597" s="4"/>
      <c r="Q597" s="4"/>
      <c r="R597" s="4"/>
      <c r="S597" s="7"/>
      <c r="T597" s="7"/>
      <c r="U597" s="7"/>
      <c r="V597" s="7"/>
      <c r="W597" s="7"/>
      <c r="X597" s="7"/>
      <c r="Y597" s="4"/>
      <c r="Z597" s="4"/>
      <c r="AA597" s="4"/>
      <c r="AB597" s="4"/>
      <c r="AC597" s="4"/>
      <c r="AD597" s="4"/>
      <c r="AE597" s="4"/>
      <c r="AF597" s="4"/>
      <c r="AG597" s="49"/>
      <c r="AH597" s="4"/>
      <c r="AI597" s="4"/>
      <c r="AJ597" s="4"/>
      <c r="AK597" s="4"/>
      <c r="AL597" s="4"/>
      <c r="AM597" s="4"/>
      <c r="AN597" s="44"/>
      <c r="AO597" s="8"/>
      <c r="AP597" s="8"/>
      <c r="AQ597" s="8"/>
      <c r="AR597" s="8"/>
      <c r="AS597" s="8"/>
      <c r="AT597" s="8"/>
      <c r="AU597" s="8"/>
      <c r="AV597" s="46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4"/>
      <c r="BX597" s="4"/>
    </row>
    <row r="598" spans="1:76" s="16" customFormat="1" x14ac:dyDescent="0.25">
      <c r="A598" s="26"/>
      <c r="B598" s="6"/>
      <c r="C598" s="7"/>
      <c r="D598" s="7"/>
      <c r="E598" s="7"/>
      <c r="F598" s="7"/>
      <c r="G598" s="7"/>
      <c r="H598" s="7"/>
      <c r="I598" s="4"/>
      <c r="J598" s="7"/>
      <c r="K598" s="7"/>
      <c r="L598" s="7"/>
      <c r="M598" s="7"/>
      <c r="N598" s="4"/>
      <c r="O598" s="4"/>
      <c r="P598" s="4"/>
      <c r="Q598" s="4"/>
      <c r="R598" s="4"/>
      <c r="S598" s="7"/>
      <c r="T598" s="7"/>
      <c r="U598" s="7"/>
      <c r="V598" s="7"/>
      <c r="W598" s="7"/>
      <c r="X598" s="7"/>
      <c r="Y598" s="4"/>
      <c r="Z598" s="4"/>
      <c r="AA598" s="4"/>
      <c r="AB598" s="4"/>
      <c r="AC598" s="4"/>
      <c r="AD598" s="4"/>
      <c r="AE598" s="4"/>
      <c r="AF598" s="4"/>
      <c r="AG598" s="49"/>
      <c r="AH598" s="4"/>
      <c r="AI598" s="4"/>
      <c r="AJ598" s="4"/>
      <c r="AK598" s="4"/>
      <c r="AL598" s="4"/>
      <c r="AM598" s="4"/>
      <c r="AN598" s="44"/>
      <c r="AO598" s="8"/>
      <c r="AP598" s="8"/>
      <c r="AQ598" s="8"/>
      <c r="AR598" s="8"/>
      <c r="AS598" s="8"/>
      <c r="AT598" s="8"/>
      <c r="AU598" s="8"/>
      <c r="AV598" s="46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4"/>
      <c r="BX598" s="4"/>
    </row>
    <row r="599" spans="1:76" s="16" customFormat="1" x14ac:dyDescent="0.25">
      <c r="A599" s="26"/>
      <c r="B599" s="6"/>
      <c r="C599" s="7"/>
      <c r="D599" s="7"/>
      <c r="E599" s="7"/>
      <c r="F599" s="7"/>
      <c r="G599" s="7"/>
      <c r="H599" s="7"/>
      <c r="I599" s="4"/>
      <c r="J599" s="7"/>
      <c r="K599" s="7"/>
      <c r="L599" s="7"/>
      <c r="M599" s="7"/>
      <c r="N599" s="4"/>
      <c r="O599" s="4"/>
      <c r="P599" s="4"/>
      <c r="Q599" s="4"/>
      <c r="R599" s="4"/>
      <c r="S599" s="7"/>
      <c r="T599" s="7"/>
      <c r="U599" s="7"/>
      <c r="V599" s="7"/>
      <c r="W599" s="7"/>
      <c r="X599" s="7"/>
      <c r="Y599" s="4"/>
      <c r="Z599" s="4"/>
      <c r="AA599" s="4"/>
      <c r="AB599" s="4"/>
      <c r="AC599" s="4"/>
      <c r="AD599" s="4"/>
      <c r="AE599" s="4"/>
      <c r="AF599" s="4"/>
      <c r="AG599" s="49"/>
      <c r="AH599" s="4"/>
      <c r="AI599" s="4"/>
      <c r="AJ599" s="4"/>
      <c r="AK599" s="4"/>
      <c r="AL599" s="4"/>
      <c r="AM599" s="4"/>
      <c r="AN599" s="44"/>
      <c r="AO599" s="8"/>
      <c r="AP599" s="8"/>
      <c r="AQ599" s="8"/>
      <c r="AR599" s="8"/>
      <c r="AS599" s="8"/>
      <c r="AT599" s="8"/>
      <c r="AU599" s="8"/>
      <c r="AV599" s="46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4"/>
      <c r="BX599" s="4"/>
    </row>
    <row r="600" spans="1:76" s="16" customFormat="1" x14ac:dyDescent="0.25">
      <c r="A600" s="26"/>
      <c r="B600" s="6"/>
      <c r="C600" s="7"/>
      <c r="D600" s="7"/>
      <c r="E600" s="7"/>
      <c r="F600" s="7"/>
      <c r="G600" s="7"/>
      <c r="H600" s="7"/>
      <c r="I600" s="4"/>
      <c r="J600" s="7"/>
      <c r="K600" s="7"/>
      <c r="L600" s="7"/>
      <c r="M600" s="7"/>
      <c r="N600" s="4"/>
      <c r="O600" s="4"/>
      <c r="P600" s="4"/>
      <c r="Q600" s="4"/>
      <c r="R600" s="4"/>
      <c r="S600" s="7"/>
      <c r="T600" s="7"/>
      <c r="U600" s="7"/>
      <c r="V600" s="7"/>
      <c r="W600" s="7"/>
      <c r="X600" s="7"/>
      <c r="Y600" s="4"/>
      <c r="Z600" s="4"/>
      <c r="AA600" s="4"/>
      <c r="AB600" s="4"/>
      <c r="AC600" s="4"/>
      <c r="AD600" s="4"/>
      <c r="AE600" s="4"/>
      <c r="AF600" s="4"/>
      <c r="AG600" s="49"/>
      <c r="AH600" s="4"/>
      <c r="AI600" s="4"/>
      <c r="AJ600" s="4"/>
      <c r="AK600" s="4"/>
      <c r="AL600" s="4"/>
      <c r="AM600" s="4"/>
      <c r="AN600" s="44"/>
      <c r="AO600" s="8"/>
      <c r="AP600" s="8"/>
      <c r="AQ600" s="8"/>
      <c r="AR600" s="8"/>
      <c r="AS600" s="8"/>
      <c r="AT600" s="8"/>
      <c r="AU600" s="8"/>
      <c r="AV600" s="46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4"/>
      <c r="BX600" s="4"/>
    </row>
    <row r="601" spans="1:76" s="16" customFormat="1" x14ac:dyDescent="0.25">
      <c r="A601" s="26"/>
      <c r="B601" s="6"/>
      <c r="C601" s="7"/>
      <c r="D601" s="7"/>
      <c r="E601" s="7"/>
      <c r="F601" s="7"/>
      <c r="G601" s="7"/>
      <c r="H601" s="7"/>
      <c r="I601" s="4"/>
      <c r="J601" s="7"/>
      <c r="K601" s="7"/>
      <c r="L601" s="7"/>
      <c r="M601" s="7"/>
      <c r="N601" s="4"/>
      <c r="O601" s="4"/>
      <c r="P601" s="4"/>
      <c r="Q601" s="4"/>
      <c r="R601" s="4"/>
      <c r="S601" s="7"/>
      <c r="T601" s="7"/>
      <c r="U601" s="7"/>
      <c r="V601" s="7"/>
      <c r="W601" s="7"/>
      <c r="X601" s="7"/>
      <c r="Y601" s="4"/>
      <c r="Z601" s="4"/>
      <c r="AA601" s="4"/>
      <c r="AB601" s="4"/>
      <c r="AC601" s="4"/>
      <c r="AD601" s="4"/>
      <c r="AE601" s="4"/>
      <c r="AF601" s="4"/>
      <c r="AG601" s="49"/>
      <c r="AH601" s="4"/>
      <c r="AI601" s="4"/>
      <c r="AJ601" s="4"/>
      <c r="AK601" s="4"/>
      <c r="AL601" s="4"/>
      <c r="AM601" s="4"/>
      <c r="AN601" s="44"/>
      <c r="AO601" s="8"/>
      <c r="AP601" s="8"/>
      <c r="AQ601" s="8"/>
      <c r="AR601" s="8"/>
      <c r="AS601" s="8"/>
      <c r="AT601" s="8"/>
      <c r="AU601" s="8"/>
      <c r="AV601" s="46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4"/>
      <c r="BX601" s="4"/>
    </row>
    <row r="602" spans="1:76" s="16" customFormat="1" x14ac:dyDescent="0.25">
      <c r="A602" s="26"/>
      <c r="B602" s="6"/>
      <c r="C602" s="7"/>
      <c r="D602" s="7"/>
      <c r="E602" s="7"/>
      <c r="F602" s="7"/>
      <c r="G602" s="7"/>
      <c r="H602" s="7"/>
      <c r="I602" s="4"/>
      <c r="J602" s="7"/>
      <c r="K602" s="7"/>
      <c r="L602" s="7"/>
      <c r="M602" s="7"/>
      <c r="N602" s="4"/>
      <c r="O602" s="4"/>
      <c r="P602" s="4"/>
      <c r="Q602" s="4"/>
      <c r="R602" s="4"/>
      <c r="S602" s="7"/>
      <c r="T602" s="7"/>
      <c r="U602" s="7"/>
      <c r="V602" s="7"/>
      <c r="W602" s="7"/>
      <c r="X602" s="7"/>
      <c r="Y602" s="4"/>
      <c r="Z602" s="4"/>
      <c r="AA602" s="4"/>
      <c r="AB602" s="4"/>
      <c r="AC602" s="4"/>
      <c r="AD602" s="4"/>
      <c r="AE602" s="4"/>
      <c r="AF602" s="4"/>
      <c r="AG602" s="49"/>
      <c r="AH602" s="4"/>
      <c r="AI602" s="4"/>
      <c r="AJ602" s="4"/>
      <c r="AK602" s="4"/>
      <c r="AL602" s="4"/>
      <c r="AM602" s="4"/>
      <c r="AN602" s="44"/>
      <c r="AO602" s="8"/>
      <c r="AP602" s="8"/>
      <c r="AQ602" s="8"/>
      <c r="AR602" s="8"/>
      <c r="AS602" s="8"/>
      <c r="AT602" s="8"/>
      <c r="AU602" s="8"/>
      <c r="AV602" s="46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4"/>
      <c r="BX602" s="4"/>
    </row>
    <row r="603" spans="1:76" s="16" customFormat="1" x14ac:dyDescent="0.25">
      <c r="A603" s="26"/>
      <c r="B603" s="6"/>
      <c r="C603" s="7"/>
      <c r="D603" s="7"/>
      <c r="E603" s="7"/>
      <c r="F603" s="7"/>
      <c r="G603" s="7"/>
      <c r="H603" s="7"/>
      <c r="I603" s="4"/>
      <c r="J603" s="7"/>
      <c r="K603" s="7"/>
      <c r="L603" s="7"/>
      <c r="M603" s="7"/>
      <c r="N603" s="4"/>
      <c r="O603" s="4"/>
      <c r="P603" s="4"/>
      <c r="Q603" s="4"/>
      <c r="R603" s="4"/>
      <c r="S603" s="7"/>
      <c r="T603" s="7"/>
      <c r="U603" s="7"/>
      <c r="V603" s="7"/>
      <c r="W603" s="7"/>
      <c r="X603" s="7"/>
      <c r="Y603" s="4"/>
      <c r="Z603" s="4"/>
      <c r="AA603" s="4"/>
      <c r="AB603" s="4"/>
      <c r="AC603" s="4"/>
      <c r="AD603" s="4"/>
      <c r="AE603" s="4"/>
      <c r="AF603" s="4"/>
      <c r="AG603" s="49"/>
      <c r="AH603" s="4"/>
      <c r="AI603" s="4"/>
      <c r="AJ603" s="4"/>
      <c r="AK603" s="4"/>
      <c r="AL603" s="4"/>
      <c r="AM603" s="4"/>
      <c r="AN603" s="44"/>
      <c r="AO603" s="8"/>
      <c r="AP603" s="8"/>
      <c r="AQ603" s="8"/>
      <c r="AR603" s="8"/>
      <c r="AS603" s="8"/>
      <c r="AT603" s="8"/>
      <c r="AU603" s="8"/>
      <c r="AV603" s="46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4"/>
      <c r="BX603" s="4"/>
    </row>
    <row r="604" spans="1:76" s="16" customFormat="1" x14ac:dyDescent="0.25">
      <c r="A604" s="26"/>
      <c r="B604" s="6"/>
      <c r="C604" s="7"/>
      <c r="D604" s="7"/>
      <c r="E604" s="7"/>
      <c r="F604" s="7"/>
      <c r="G604" s="7"/>
      <c r="H604" s="7"/>
      <c r="I604" s="4"/>
      <c r="J604" s="7"/>
      <c r="K604" s="7"/>
      <c r="L604" s="7"/>
      <c r="M604" s="7"/>
      <c r="N604" s="4"/>
      <c r="O604" s="4"/>
      <c r="P604" s="4"/>
      <c r="Q604" s="4"/>
      <c r="R604" s="4"/>
      <c r="S604" s="7"/>
      <c r="T604" s="7"/>
      <c r="U604" s="7"/>
      <c r="V604" s="7"/>
      <c r="W604" s="7"/>
      <c r="X604" s="7"/>
      <c r="Y604" s="4"/>
      <c r="Z604" s="4"/>
      <c r="AA604" s="4"/>
      <c r="AB604" s="4"/>
      <c r="AC604" s="4"/>
      <c r="AD604" s="4"/>
      <c r="AE604" s="4"/>
      <c r="AF604" s="4"/>
      <c r="AG604" s="49"/>
      <c r="AH604" s="4"/>
      <c r="AI604" s="4"/>
      <c r="AJ604" s="4"/>
      <c r="AK604" s="4"/>
      <c r="AL604" s="4"/>
      <c r="AM604" s="4"/>
      <c r="AN604" s="44"/>
      <c r="AO604" s="8"/>
      <c r="AP604" s="8"/>
      <c r="AQ604" s="8"/>
      <c r="AR604" s="8"/>
      <c r="AS604" s="8"/>
      <c r="AT604" s="8"/>
      <c r="AU604" s="8"/>
      <c r="AV604" s="46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4"/>
      <c r="BX604" s="4"/>
    </row>
    <row r="605" spans="1:76" s="16" customFormat="1" x14ac:dyDescent="0.25">
      <c r="A605" s="26"/>
      <c r="B605" s="6"/>
      <c r="C605" s="7"/>
      <c r="D605" s="7"/>
      <c r="E605" s="7"/>
      <c r="F605" s="7"/>
      <c r="G605" s="7"/>
      <c r="H605" s="7"/>
      <c r="I605" s="4"/>
      <c r="J605" s="7"/>
      <c r="K605" s="7"/>
      <c r="L605" s="7"/>
      <c r="M605" s="7"/>
      <c r="N605" s="4"/>
      <c r="O605" s="4"/>
      <c r="P605" s="4"/>
      <c r="Q605" s="4"/>
      <c r="R605" s="4"/>
      <c r="S605" s="7"/>
      <c r="T605" s="7"/>
      <c r="U605" s="7"/>
      <c r="V605" s="7"/>
      <c r="W605" s="7"/>
      <c r="X605" s="7"/>
      <c r="Y605" s="4"/>
      <c r="Z605" s="4"/>
      <c r="AA605" s="4"/>
      <c r="AB605" s="4"/>
      <c r="AC605" s="4"/>
      <c r="AD605" s="4"/>
      <c r="AE605" s="4"/>
      <c r="AF605" s="4"/>
      <c r="AG605" s="49"/>
      <c r="AH605" s="4"/>
      <c r="AI605" s="4"/>
      <c r="AJ605" s="4"/>
      <c r="AK605" s="4"/>
      <c r="AL605" s="4"/>
      <c r="AM605" s="4"/>
      <c r="AN605" s="44"/>
      <c r="AO605" s="8"/>
      <c r="AP605" s="8"/>
      <c r="AQ605" s="8"/>
      <c r="AR605" s="8"/>
      <c r="AS605" s="8"/>
      <c r="AT605" s="8"/>
      <c r="AU605" s="8"/>
      <c r="AV605" s="46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4"/>
      <c r="BX605" s="4"/>
    </row>
    <row r="606" spans="1:76" s="16" customFormat="1" x14ac:dyDescent="0.25">
      <c r="A606" s="26"/>
      <c r="B606" s="6"/>
      <c r="C606" s="7"/>
      <c r="D606" s="7"/>
      <c r="E606" s="7"/>
      <c r="F606" s="7"/>
      <c r="G606" s="7"/>
      <c r="H606" s="7"/>
      <c r="I606" s="4"/>
      <c r="J606" s="7"/>
      <c r="K606" s="7"/>
      <c r="L606" s="7"/>
      <c r="M606" s="7"/>
      <c r="N606" s="4"/>
      <c r="O606" s="4"/>
      <c r="P606" s="4"/>
      <c r="Q606" s="4"/>
      <c r="R606" s="4"/>
      <c r="S606" s="7"/>
      <c r="T606" s="7"/>
      <c r="U606" s="7"/>
      <c r="V606" s="7"/>
      <c r="W606" s="7"/>
      <c r="X606" s="7"/>
      <c r="Y606" s="4"/>
      <c r="Z606" s="4"/>
      <c r="AA606" s="4"/>
      <c r="AB606" s="4"/>
      <c r="AC606" s="4"/>
      <c r="AD606" s="4"/>
      <c r="AE606" s="4"/>
      <c r="AF606" s="4"/>
      <c r="AG606" s="49"/>
      <c r="AH606" s="4"/>
      <c r="AI606" s="4"/>
      <c r="AJ606" s="4"/>
      <c r="AK606" s="4"/>
      <c r="AL606" s="4"/>
      <c r="AM606" s="4"/>
      <c r="AN606" s="44"/>
      <c r="AO606" s="8"/>
      <c r="AP606" s="8"/>
      <c r="AQ606" s="8"/>
      <c r="AR606" s="8"/>
      <c r="AS606" s="8"/>
      <c r="AT606" s="8"/>
      <c r="AU606" s="8"/>
      <c r="AV606" s="46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4"/>
      <c r="BX606" s="4"/>
    </row>
    <row r="607" spans="1:76" s="16" customFormat="1" x14ac:dyDescent="0.25">
      <c r="A607" s="26"/>
      <c r="B607" s="6"/>
      <c r="C607" s="7"/>
      <c r="D607" s="7"/>
      <c r="E607" s="7"/>
      <c r="F607" s="7"/>
      <c r="G607" s="7"/>
      <c r="H607" s="7"/>
      <c r="I607" s="4"/>
      <c r="J607" s="7"/>
      <c r="K607" s="7"/>
      <c r="L607" s="7"/>
      <c r="M607" s="7"/>
      <c r="N607" s="4"/>
      <c r="O607" s="4"/>
      <c r="P607" s="4"/>
      <c r="Q607" s="4"/>
      <c r="R607" s="4"/>
      <c r="S607" s="7"/>
      <c r="T607" s="7"/>
      <c r="U607" s="7"/>
      <c r="V607" s="7"/>
      <c r="W607" s="7"/>
      <c r="X607" s="7"/>
      <c r="Y607" s="4"/>
      <c r="Z607" s="4"/>
      <c r="AA607" s="4"/>
      <c r="AB607" s="4"/>
      <c r="AC607" s="4"/>
      <c r="AD607" s="4"/>
      <c r="AE607" s="4"/>
      <c r="AF607" s="4"/>
      <c r="AG607" s="49"/>
      <c r="AH607" s="4"/>
      <c r="AI607" s="4"/>
      <c r="AJ607" s="4"/>
      <c r="AK607" s="4"/>
      <c r="AL607" s="4"/>
      <c r="AM607" s="4"/>
      <c r="AN607" s="44"/>
      <c r="AO607" s="8"/>
      <c r="AP607" s="8"/>
      <c r="AQ607" s="8"/>
      <c r="AR607" s="8"/>
      <c r="AS607" s="8"/>
      <c r="AT607" s="8"/>
      <c r="AU607" s="8"/>
      <c r="AV607" s="46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4"/>
      <c r="BX607" s="4"/>
    </row>
    <row r="608" spans="1:76" s="16" customFormat="1" x14ac:dyDescent="0.25">
      <c r="A608" s="26"/>
      <c r="B608" s="6"/>
      <c r="C608" s="7"/>
      <c r="D608" s="7"/>
      <c r="E608" s="7"/>
      <c r="F608" s="7"/>
      <c r="G608" s="7"/>
      <c r="H608" s="7"/>
      <c r="I608" s="4"/>
      <c r="J608" s="7"/>
      <c r="K608" s="7"/>
      <c r="L608" s="7"/>
      <c r="M608" s="7"/>
      <c r="N608" s="4"/>
      <c r="O608" s="4"/>
      <c r="P608" s="4"/>
      <c r="Q608" s="4"/>
      <c r="R608" s="4"/>
      <c r="S608" s="7"/>
      <c r="T608" s="7"/>
      <c r="U608" s="7"/>
      <c r="V608" s="7"/>
      <c r="W608" s="7"/>
      <c r="X608" s="7"/>
      <c r="Y608" s="4"/>
      <c r="Z608" s="4"/>
      <c r="AA608" s="4"/>
      <c r="AB608" s="4"/>
      <c r="AC608" s="4"/>
      <c r="AD608" s="4"/>
      <c r="AE608" s="4"/>
      <c r="AF608" s="4"/>
      <c r="AG608" s="49"/>
      <c r="AH608" s="4"/>
      <c r="AI608" s="4"/>
      <c r="AJ608" s="4"/>
      <c r="AK608" s="4"/>
      <c r="AL608" s="4"/>
      <c r="AM608" s="4"/>
      <c r="AN608" s="44"/>
      <c r="AO608" s="8"/>
      <c r="AP608" s="8"/>
      <c r="AQ608" s="8"/>
      <c r="AR608" s="8"/>
      <c r="AS608" s="8"/>
      <c r="AT608" s="8"/>
      <c r="AU608" s="8"/>
      <c r="AV608" s="46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4"/>
      <c r="BX608" s="4"/>
    </row>
    <row r="609" spans="1:76" s="16" customFormat="1" x14ac:dyDescent="0.25">
      <c r="A609" s="26"/>
      <c r="B609" s="6"/>
      <c r="C609" s="7"/>
      <c r="D609" s="7"/>
      <c r="E609" s="7"/>
      <c r="F609" s="7"/>
      <c r="G609" s="7"/>
      <c r="H609" s="7"/>
      <c r="I609" s="4"/>
      <c r="J609" s="7"/>
      <c r="K609" s="7"/>
      <c r="L609" s="7"/>
      <c r="M609" s="7"/>
      <c r="N609" s="4"/>
      <c r="O609" s="4"/>
      <c r="P609" s="4"/>
      <c r="Q609" s="4"/>
      <c r="R609" s="4"/>
      <c r="S609" s="7"/>
      <c r="T609" s="7"/>
      <c r="U609" s="7"/>
      <c r="V609" s="7"/>
      <c r="W609" s="7"/>
      <c r="X609" s="7"/>
      <c r="Y609" s="4"/>
      <c r="Z609" s="4"/>
      <c r="AA609" s="4"/>
      <c r="AB609" s="4"/>
      <c r="AC609" s="4"/>
      <c r="AD609" s="4"/>
      <c r="AE609" s="4"/>
      <c r="AF609" s="4"/>
      <c r="AG609" s="49"/>
      <c r="AH609" s="4"/>
      <c r="AI609" s="4"/>
      <c r="AJ609" s="4"/>
      <c r="AK609" s="4"/>
      <c r="AL609" s="4"/>
      <c r="AM609" s="4"/>
      <c r="AN609" s="44"/>
      <c r="AO609" s="8"/>
      <c r="AP609" s="8"/>
      <c r="AQ609" s="8"/>
      <c r="AR609" s="8"/>
      <c r="AS609" s="8"/>
      <c r="AT609" s="8"/>
      <c r="AU609" s="8"/>
      <c r="AV609" s="46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4"/>
      <c r="BX609" s="4"/>
    </row>
    <row r="610" spans="1:76" s="16" customFormat="1" x14ac:dyDescent="0.25">
      <c r="A610" s="26"/>
      <c r="B610" s="6"/>
      <c r="C610" s="7"/>
      <c r="D610" s="7"/>
      <c r="E610" s="7"/>
      <c r="F610" s="7"/>
      <c r="G610" s="7"/>
      <c r="H610" s="7"/>
      <c r="I610" s="4"/>
      <c r="J610" s="7"/>
      <c r="K610" s="7"/>
      <c r="L610" s="7"/>
      <c r="M610" s="7"/>
      <c r="N610" s="4"/>
      <c r="O610" s="4"/>
      <c r="P610" s="4"/>
      <c r="Q610" s="4"/>
      <c r="R610" s="4"/>
      <c r="S610" s="7"/>
      <c r="T610" s="7"/>
      <c r="U610" s="7"/>
      <c r="V610" s="7"/>
      <c r="W610" s="7"/>
      <c r="X610" s="7"/>
      <c r="Y610" s="4"/>
      <c r="Z610" s="4"/>
      <c r="AA610" s="4"/>
      <c r="AB610" s="4"/>
      <c r="AC610" s="4"/>
      <c r="AD610" s="4"/>
      <c r="AE610" s="4"/>
      <c r="AF610" s="4"/>
      <c r="AG610" s="49"/>
      <c r="AH610" s="4"/>
      <c r="AI610" s="4"/>
      <c r="AJ610" s="4"/>
      <c r="AK610" s="4"/>
      <c r="AL610" s="4"/>
      <c r="AM610" s="4"/>
      <c r="AN610" s="44"/>
      <c r="AO610" s="8"/>
      <c r="AP610" s="8"/>
      <c r="AQ610" s="8"/>
      <c r="AR610" s="8"/>
      <c r="AS610" s="8"/>
      <c r="AT610" s="8"/>
      <c r="AU610" s="8"/>
      <c r="AV610" s="46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4"/>
      <c r="BX610" s="4"/>
    </row>
    <row r="611" spans="1:76" s="16" customFormat="1" x14ac:dyDescent="0.25">
      <c r="A611" s="26"/>
      <c r="B611" s="6"/>
      <c r="C611" s="7"/>
      <c r="D611" s="7"/>
      <c r="E611" s="7"/>
      <c r="F611" s="7"/>
      <c r="G611" s="7"/>
      <c r="H611" s="7"/>
      <c r="I611" s="4"/>
      <c r="J611" s="7"/>
      <c r="K611" s="7"/>
      <c r="L611" s="7"/>
      <c r="M611" s="7"/>
      <c r="N611" s="4"/>
      <c r="O611" s="4"/>
      <c r="P611" s="4"/>
      <c r="Q611" s="4"/>
      <c r="R611" s="4"/>
      <c r="S611" s="7"/>
      <c r="T611" s="7"/>
      <c r="U611" s="7"/>
      <c r="V611" s="7"/>
      <c r="W611" s="7"/>
      <c r="X611" s="7"/>
      <c r="Y611" s="4"/>
      <c r="Z611" s="4"/>
      <c r="AA611" s="4"/>
      <c r="AB611" s="4"/>
      <c r="AC611" s="4"/>
      <c r="AD611" s="4"/>
      <c r="AE611" s="4"/>
      <c r="AF611" s="4"/>
      <c r="AG611" s="49"/>
      <c r="AH611" s="4"/>
      <c r="AI611" s="4"/>
      <c r="AJ611" s="4"/>
      <c r="AK611" s="4"/>
      <c r="AL611" s="4"/>
      <c r="AM611" s="4"/>
      <c r="AN611" s="44"/>
      <c r="AO611" s="8"/>
      <c r="AP611" s="8"/>
      <c r="AQ611" s="8"/>
      <c r="AR611" s="8"/>
      <c r="AS611" s="8"/>
      <c r="AT611" s="8"/>
      <c r="AU611" s="8"/>
      <c r="AV611" s="46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4"/>
      <c r="BX611" s="4"/>
    </row>
    <row r="612" spans="1:76" s="16" customFormat="1" x14ac:dyDescent="0.25">
      <c r="A612" s="26"/>
      <c r="B612" s="6"/>
      <c r="C612" s="7"/>
      <c r="D612" s="7"/>
      <c r="E612" s="7"/>
      <c r="F612" s="7"/>
      <c r="G612" s="7"/>
      <c r="H612" s="7"/>
      <c r="I612" s="4"/>
      <c r="J612" s="7"/>
      <c r="K612" s="7"/>
      <c r="L612" s="7"/>
      <c r="M612" s="7"/>
      <c r="N612" s="4"/>
      <c r="O612" s="4"/>
      <c r="P612" s="4"/>
      <c r="Q612" s="4"/>
      <c r="R612" s="4"/>
      <c r="S612" s="7"/>
      <c r="T612" s="7"/>
      <c r="U612" s="7"/>
      <c r="V612" s="7"/>
      <c r="W612" s="7"/>
      <c r="X612" s="7"/>
      <c r="Y612" s="4"/>
      <c r="Z612" s="4"/>
      <c r="AA612" s="4"/>
      <c r="AB612" s="4"/>
      <c r="AC612" s="4"/>
      <c r="AD612" s="4"/>
      <c r="AE612" s="4"/>
      <c r="AF612" s="4"/>
      <c r="AG612" s="49"/>
      <c r="AH612" s="4"/>
      <c r="AI612" s="4"/>
      <c r="AJ612" s="4"/>
      <c r="AK612" s="4"/>
      <c r="AL612" s="4"/>
      <c r="AM612" s="4"/>
      <c r="AN612" s="44"/>
      <c r="AO612" s="8"/>
      <c r="AP612" s="8"/>
      <c r="AQ612" s="8"/>
      <c r="AR612" s="8"/>
      <c r="AS612" s="8"/>
      <c r="AT612" s="8"/>
      <c r="AU612" s="8"/>
      <c r="AV612" s="46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4"/>
      <c r="BX612" s="4"/>
    </row>
    <row r="613" spans="1:76" s="16" customFormat="1" x14ac:dyDescent="0.25">
      <c r="A613" s="26"/>
      <c r="B613" s="6"/>
      <c r="C613" s="7"/>
      <c r="D613" s="7"/>
      <c r="E613" s="7"/>
      <c r="F613" s="7"/>
      <c r="G613" s="7"/>
      <c r="H613" s="7"/>
      <c r="I613" s="4"/>
      <c r="J613" s="7"/>
      <c r="K613" s="7"/>
      <c r="L613" s="7"/>
      <c r="M613" s="7"/>
      <c r="N613" s="4"/>
      <c r="O613" s="4"/>
      <c r="P613" s="4"/>
      <c r="Q613" s="4"/>
      <c r="R613" s="4"/>
      <c r="S613" s="7"/>
      <c r="T613" s="7"/>
      <c r="U613" s="7"/>
      <c r="V613" s="7"/>
      <c r="W613" s="7"/>
      <c r="X613" s="7"/>
      <c r="Y613" s="4"/>
      <c r="Z613" s="4"/>
      <c r="AA613" s="4"/>
      <c r="AB613" s="4"/>
      <c r="AC613" s="4"/>
      <c r="AD613" s="4"/>
      <c r="AE613" s="4"/>
      <c r="AF613" s="4"/>
      <c r="AG613" s="49"/>
      <c r="AH613" s="4"/>
      <c r="AI613" s="4"/>
      <c r="AJ613" s="4"/>
      <c r="AK613" s="4"/>
      <c r="AL613" s="4"/>
      <c r="AM613" s="4"/>
      <c r="AN613" s="44"/>
      <c r="AO613" s="8"/>
      <c r="AP613" s="8"/>
      <c r="AQ613" s="8"/>
      <c r="AR613" s="8"/>
      <c r="AS613" s="8"/>
      <c r="AT613" s="8"/>
      <c r="AU613" s="8"/>
      <c r="AV613" s="46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4"/>
      <c r="BX613" s="4"/>
    </row>
    <row r="614" spans="1:76" s="16" customFormat="1" x14ac:dyDescent="0.25">
      <c r="A614" s="26"/>
      <c r="B614" s="6"/>
      <c r="C614" s="7"/>
      <c r="D614" s="7"/>
      <c r="E614" s="7"/>
      <c r="F614" s="7"/>
      <c r="G614" s="7"/>
      <c r="H614" s="7"/>
      <c r="I614" s="4"/>
      <c r="J614" s="7"/>
      <c r="K614" s="7"/>
      <c r="L614" s="7"/>
      <c r="M614" s="7"/>
      <c r="N614" s="4"/>
      <c r="O614" s="4"/>
      <c r="P614" s="4"/>
      <c r="Q614" s="4"/>
      <c r="R614" s="4"/>
      <c r="S614" s="7"/>
      <c r="T614" s="7"/>
      <c r="U614" s="7"/>
      <c r="V614" s="7"/>
      <c r="W614" s="7"/>
      <c r="X614" s="7"/>
      <c r="Y614" s="4"/>
      <c r="Z614" s="4"/>
      <c r="AA614" s="4"/>
      <c r="AB614" s="4"/>
      <c r="AC614" s="4"/>
      <c r="AD614" s="4"/>
      <c r="AE614" s="4"/>
      <c r="AF614" s="4"/>
      <c r="AG614" s="49"/>
      <c r="AH614" s="4"/>
      <c r="AI614" s="4"/>
      <c r="AJ614" s="4"/>
      <c r="AK614" s="4"/>
      <c r="AL614" s="4"/>
      <c r="AM614" s="4"/>
      <c r="AN614" s="44"/>
      <c r="AO614" s="8"/>
      <c r="AP614" s="8"/>
      <c r="AQ614" s="8"/>
      <c r="AR614" s="8"/>
      <c r="AS614" s="8"/>
      <c r="AT614" s="8"/>
      <c r="AU614" s="8"/>
      <c r="AV614" s="46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4"/>
      <c r="BX614" s="4"/>
    </row>
    <row r="615" spans="1:76" s="16" customFormat="1" x14ac:dyDescent="0.25">
      <c r="A615" s="26"/>
      <c r="B615" s="6"/>
      <c r="C615" s="7"/>
      <c r="D615" s="7"/>
      <c r="E615" s="7"/>
      <c r="F615" s="7"/>
      <c r="G615" s="7"/>
      <c r="H615" s="7"/>
      <c r="I615" s="4"/>
      <c r="J615" s="7"/>
      <c r="K615" s="7"/>
      <c r="L615" s="7"/>
      <c r="M615" s="7"/>
      <c r="N615" s="4"/>
      <c r="O615" s="4"/>
      <c r="P615" s="4"/>
      <c r="Q615" s="4"/>
      <c r="R615" s="4"/>
      <c r="S615" s="7"/>
      <c r="T615" s="7"/>
      <c r="U615" s="7"/>
      <c r="V615" s="7"/>
      <c r="W615" s="7"/>
      <c r="X615" s="7"/>
      <c r="Y615" s="4"/>
      <c r="Z615" s="4"/>
      <c r="AA615" s="4"/>
      <c r="AB615" s="4"/>
      <c r="AC615" s="4"/>
      <c r="AD615" s="4"/>
      <c r="AE615" s="4"/>
      <c r="AF615" s="4"/>
      <c r="AG615" s="49"/>
      <c r="AH615" s="4"/>
      <c r="AI615" s="4"/>
      <c r="AJ615" s="4"/>
      <c r="AK615" s="4"/>
      <c r="AL615" s="4"/>
      <c r="AM615" s="4"/>
      <c r="AN615" s="44"/>
      <c r="AO615" s="8"/>
      <c r="AP615" s="8"/>
      <c r="AQ615" s="8"/>
      <c r="AR615" s="8"/>
      <c r="AS615" s="8"/>
      <c r="AT615" s="8"/>
      <c r="AU615" s="8"/>
      <c r="AV615" s="46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4"/>
      <c r="BX615" s="4"/>
    </row>
    <row r="616" spans="1:76" s="16" customFormat="1" x14ac:dyDescent="0.25">
      <c r="A616" s="26"/>
      <c r="B616" s="6"/>
      <c r="C616" s="7"/>
      <c r="D616" s="7"/>
      <c r="E616" s="7"/>
      <c r="F616" s="7"/>
      <c r="G616" s="7"/>
      <c r="H616" s="7"/>
      <c r="I616" s="4"/>
      <c r="J616" s="7"/>
      <c r="K616" s="7"/>
      <c r="L616" s="7"/>
      <c r="M616" s="7"/>
      <c r="N616" s="4"/>
      <c r="O616" s="4"/>
      <c r="P616" s="4"/>
      <c r="Q616" s="4"/>
      <c r="R616" s="4"/>
      <c r="S616" s="7"/>
      <c r="T616" s="7"/>
      <c r="U616" s="7"/>
      <c r="V616" s="7"/>
      <c r="W616" s="7"/>
      <c r="X616" s="7"/>
      <c r="Y616" s="4"/>
      <c r="Z616" s="4"/>
      <c r="AA616" s="4"/>
      <c r="AB616" s="4"/>
      <c r="AC616" s="4"/>
      <c r="AD616" s="4"/>
      <c r="AE616" s="4"/>
      <c r="AF616" s="4"/>
      <c r="AG616" s="49"/>
      <c r="AH616" s="4"/>
      <c r="AI616" s="4"/>
      <c r="AJ616" s="4"/>
      <c r="AK616" s="4"/>
      <c r="AL616" s="4"/>
      <c r="AM616" s="4"/>
      <c r="AN616" s="44"/>
      <c r="AO616" s="8"/>
      <c r="AP616" s="8"/>
      <c r="AQ616" s="8"/>
      <c r="AR616" s="8"/>
      <c r="AS616" s="8"/>
      <c r="AT616" s="8"/>
      <c r="AU616" s="8"/>
      <c r="AV616" s="46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4"/>
      <c r="BX616" s="4"/>
    </row>
    <row r="617" spans="1:76" s="16" customFormat="1" x14ac:dyDescent="0.25">
      <c r="A617" s="26"/>
      <c r="B617" s="6"/>
      <c r="C617" s="7"/>
      <c r="D617" s="7"/>
      <c r="E617" s="7"/>
      <c r="F617" s="7"/>
      <c r="G617" s="7"/>
      <c r="H617" s="7"/>
      <c r="I617" s="4"/>
      <c r="J617" s="7"/>
      <c r="K617" s="7"/>
      <c r="L617" s="7"/>
      <c r="M617" s="7"/>
      <c r="N617" s="4"/>
      <c r="O617" s="4"/>
      <c r="P617" s="4"/>
      <c r="Q617" s="4"/>
      <c r="R617" s="4"/>
      <c r="S617" s="7"/>
      <c r="T617" s="7"/>
      <c r="U617" s="7"/>
      <c r="V617" s="7"/>
      <c r="W617" s="7"/>
      <c r="X617" s="7"/>
      <c r="Y617" s="4"/>
      <c r="Z617" s="4"/>
      <c r="AA617" s="4"/>
      <c r="AB617" s="4"/>
      <c r="AC617" s="4"/>
      <c r="AD617" s="4"/>
      <c r="AE617" s="4"/>
      <c r="AF617" s="4"/>
      <c r="AG617" s="49"/>
      <c r="AH617" s="4"/>
      <c r="AI617" s="4"/>
      <c r="AJ617" s="4"/>
      <c r="AK617" s="4"/>
      <c r="AL617" s="4"/>
      <c r="AM617" s="4"/>
      <c r="AN617" s="44"/>
      <c r="AO617" s="8"/>
      <c r="AP617" s="8"/>
      <c r="AQ617" s="8"/>
      <c r="AR617" s="8"/>
      <c r="AS617" s="8"/>
      <c r="AT617" s="8"/>
      <c r="AU617" s="8"/>
      <c r="AV617" s="46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4"/>
      <c r="BX617" s="4"/>
    </row>
    <row r="618" spans="1:76" s="16" customFormat="1" x14ac:dyDescent="0.25">
      <c r="A618" s="26"/>
      <c r="B618" s="6"/>
      <c r="C618" s="7"/>
      <c r="D618" s="7"/>
      <c r="E618" s="7"/>
      <c r="F618" s="7"/>
      <c r="G618" s="7"/>
      <c r="H618" s="7"/>
      <c r="I618" s="4"/>
      <c r="J618" s="7"/>
      <c r="K618" s="7"/>
      <c r="L618" s="7"/>
      <c r="M618" s="7"/>
      <c r="N618" s="4"/>
      <c r="O618" s="4"/>
      <c r="P618" s="4"/>
      <c r="Q618" s="4"/>
      <c r="R618" s="4"/>
      <c r="S618" s="7"/>
      <c r="T618" s="7"/>
      <c r="U618" s="7"/>
      <c r="V618" s="7"/>
      <c r="W618" s="7"/>
      <c r="X618" s="7"/>
      <c r="Y618" s="4"/>
      <c r="Z618" s="4"/>
      <c r="AA618" s="4"/>
      <c r="AB618" s="4"/>
      <c r="AC618" s="4"/>
      <c r="AD618" s="4"/>
      <c r="AE618" s="4"/>
      <c r="AF618" s="4"/>
      <c r="AG618" s="49"/>
      <c r="AH618" s="4"/>
      <c r="AI618" s="4"/>
      <c r="AJ618" s="4"/>
      <c r="AK618" s="4"/>
      <c r="AL618" s="4"/>
      <c r="AM618" s="4"/>
      <c r="AN618" s="44"/>
      <c r="AO618" s="8"/>
      <c r="AP618" s="8"/>
      <c r="AQ618" s="8"/>
      <c r="AR618" s="8"/>
      <c r="AS618" s="8"/>
      <c r="AT618" s="8"/>
      <c r="AU618" s="8"/>
      <c r="AV618" s="46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4"/>
      <c r="BX618" s="4"/>
    </row>
    <row r="619" spans="1:76" s="16" customFormat="1" x14ac:dyDescent="0.25">
      <c r="A619" s="26"/>
      <c r="B619" s="6"/>
      <c r="C619" s="7"/>
      <c r="D619" s="7"/>
      <c r="E619" s="7"/>
      <c r="F619" s="7"/>
      <c r="G619" s="7"/>
      <c r="H619" s="7"/>
      <c r="I619" s="4"/>
      <c r="J619" s="7"/>
      <c r="K619" s="7"/>
      <c r="L619" s="7"/>
      <c r="M619" s="7"/>
      <c r="N619" s="4"/>
      <c r="O619" s="4"/>
      <c r="P619" s="4"/>
      <c r="Q619" s="4"/>
      <c r="R619" s="4"/>
      <c r="S619" s="7"/>
      <c r="T619" s="7"/>
      <c r="U619" s="7"/>
      <c r="V619" s="7"/>
      <c r="W619" s="7"/>
      <c r="X619" s="7"/>
      <c r="Y619" s="4"/>
      <c r="Z619" s="4"/>
      <c r="AA619" s="4"/>
      <c r="AB619" s="4"/>
      <c r="AC619" s="4"/>
      <c r="AD619" s="4"/>
      <c r="AE619" s="4"/>
      <c r="AF619" s="4"/>
      <c r="AG619" s="49"/>
      <c r="AH619" s="4"/>
      <c r="AI619" s="4"/>
      <c r="AJ619" s="4"/>
      <c r="AK619" s="4"/>
      <c r="AL619" s="4"/>
      <c r="AM619" s="4"/>
      <c r="AN619" s="44"/>
      <c r="AO619" s="8"/>
      <c r="AP619" s="8"/>
      <c r="AQ619" s="8"/>
      <c r="AR619" s="8"/>
      <c r="AS619" s="8"/>
      <c r="AT619" s="8"/>
      <c r="AU619" s="8"/>
      <c r="AV619" s="46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4"/>
      <c r="BX619" s="4"/>
    </row>
    <row r="620" spans="1:76" s="16" customFormat="1" x14ac:dyDescent="0.25">
      <c r="A620" s="26"/>
      <c r="B620" s="6"/>
      <c r="C620" s="7"/>
      <c r="D620" s="7"/>
      <c r="E620" s="7"/>
      <c r="F620" s="7"/>
      <c r="G620" s="7"/>
      <c r="H620" s="7"/>
      <c r="I620" s="4"/>
      <c r="J620" s="7"/>
      <c r="K620" s="7"/>
      <c r="L620" s="7"/>
      <c r="M620" s="7"/>
      <c r="N620" s="4"/>
      <c r="O620" s="4"/>
      <c r="P620" s="4"/>
      <c r="Q620" s="4"/>
      <c r="R620" s="4"/>
      <c r="S620" s="7"/>
      <c r="T620" s="7"/>
      <c r="U620" s="7"/>
      <c r="V620" s="7"/>
      <c r="W620" s="7"/>
      <c r="X620" s="7"/>
      <c r="Y620" s="4"/>
      <c r="Z620" s="4"/>
      <c r="AA620" s="4"/>
      <c r="AB620" s="4"/>
      <c r="AC620" s="4"/>
      <c r="AD620" s="4"/>
      <c r="AE620" s="4"/>
      <c r="AF620" s="4"/>
      <c r="AG620" s="49"/>
      <c r="AH620" s="4"/>
      <c r="AI620" s="4"/>
      <c r="AJ620" s="4"/>
      <c r="AK620" s="4"/>
      <c r="AL620" s="4"/>
      <c r="AM620" s="4"/>
      <c r="AN620" s="44"/>
      <c r="AO620" s="8"/>
      <c r="AP620" s="8"/>
      <c r="AQ620" s="8"/>
      <c r="AR620" s="8"/>
      <c r="AS620" s="8"/>
      <c r="AT620" s="8"/>
      <c r="AU620" s="8"/>
      <c r="AV620" s="46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4"/>
      <c r="BX620" s="4"/>
    </row>
    <row r="621" spans="1:76" s="16" customFormat="1" x14ac:dyDescent="0.25">
      <c r="A621" s="26"/>
      <c r="B621" s="6"/>
      <c r="C621" s="7"/>
      <c r="D621" s="7"/>
      <c r="E621" s="7"/>
      <c r="F621" s="7"/>
      <c r="G621" s="7"/>
      <c r="H621" s="7"/>
      <c r="I621" s="4"/>
      <c r="J621" s="7"/>
      <c r="K621" s="7"/>
      <c r="L621" s="7"/>
      <c r="M621" s="7"/>
      <c r="N621" s="4"/>
      <c r="O621" s="4"/>
      <c r="P621" s="4"/>
      <c r="Q621" s="4"/>
      <c r="R621" s="4"/>
      <c r="S621" s="7"/>
      <c r="T621" s="7"/>
      <c r="U621" s="7"/>
      <c r="V621" s="7"/>
      <c r="W621" s="7"/>
      <c r="X621" s="7"/>
      <c r="Y621" s="4"/>
      <c r="Z621" s="4"/>
      <c r="AA621" s="4"/>
      <c r="AB621" s="4"/>
      <c r="AC621" s="4"/>
      <c r="AD621" s="4"/>
      <c r="AE621" s="4"/>
      <c r="AF621" s="4"/>
      <c r="AG621" s="49"/>
      <c r="AH621" s="4"/>
      <c r="AI621" s="4"/>
      <c r="AJ621" s="4"/>
      <c r="AK621" s="4"/>
      <c r="AL621" s="4"/>
      <c r="AM621" s="4"/>
      <c r="AN621" s="44"/>
      <c r="AO621" s="8"/>
      <c r="AP621" s="8"/>
      <c r="AQ621" s="8"/>
      <c r="AR621" s="8"/>
      <c r="AS621" s="8"/>
      <c r="AT621" s="8"/>
      <c r="AU621" s="8"/>
      <c r="AV621" s="46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4"/>
      <c r="BX621" s="4"/>
    </row>
    <row r="622" spans="1:76" s="16" customFormat="1" x14ac:dyDescent="0.25">
      <c r="A622" s="26"/>
      <c r="B622" s="6"/>
      <c r="C622" s="7"/>
      <c r="D622" s="7"/>
      <c r="E622" s="7"/>
      <c r="F622" s="7"/>
      <c r="G622" s="7"/>
      <c r="H622" s="7"/>
      <c r="I622" s="4"/>
      <c r="J622" s="7"/>
      <c r="K622" s="7"/>
      <c r="L622" s="7"/>
      <c r="M622" s="7"/>
      <c r="N622" s="4"/>
      <c r="O622" s="4"/>
      <c r="P622" s="4"/>
      <c r="Q622" s="4"/>
      <c r="R622" s="4"/>
      <c r="S622" s="7"/>
      <c r="T622" s="7"/>
      <c r="U622" s="7"/>
      <c r="V622" s="7"/>
      <c r="W622" s="7"/>
      <c r="X622" s="7"/>
      <c r="Y622" s="4"/>
      <c r="Z622" s="4"/>
      <c r="AA622" s="4"/>
      <c r="AB622" s="4"/>
      <c r="AC622" s="4"/>
      <c r="AD622" s="4"/>
      <c r="AE622" s="4"/>
      <c r="AF622" s="4"/>
      <c r="AG622" s="49"/>
      <c r="AH622" s="4"/>
      <c r="AI622" s="4"/>
      <c r="AJ622" s="4"/>
      <c r="AK622" s="4"/>
      <c r="AL622" s="4"/>
      <c r="AM622" s="4"/>
      <c r="AN622" s="44"/>
      <c r="AO622" s="8"/>
      <c r="AP622" s="8"/>
      <c r="AQ622" s="8"/>
      <c r="AR622" s="8"/>
      <c r="AS622" s="8"/>
      <c r="AT622" s="8"/>
      <c r="AU622" s="8"/>
      <c r="AV622" s="46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4"/>
      <c r="BX622" s="4"/>
    </row>
    <row r="623" spans="1:76" s="16" customFormat="1" x14ac:dyDescent="0.25">
      <c r="A623" s="26"/>
      <c r="B623" s="6"/>
      <c r="C623" s="7"/>
      <c r="D623" s="7"/>
      <c r="E623" s="7"/>
      <c r="F623" s="7"/>
      <c r="G623" s="7"/>
      <c r="H623" s="7"/>
      <c r="I623" s="4"/>
      <c r="J623" s="7"/>
      <c r="K623" s="7"/>
      <c r="L623" s="7"/>
      <c r="M623" s="7"/>
      <c r="N623" s="4"/>
      <c r="O623" s="4"/>
      <c r="P623" s="4"/>
      <c r="Q623" s="4"/>
      <c r="R623" s="4"/>
      <c r="S623" s="7"/>
      <c r="T623" s="7"/>
      <c r="U623" s="7"/>
      <c r="V623" s="7"/>
      <c r="W623" s="7"/>
      <c r="X623" s="7"/>
      <c r="Y623" s="4"/>
      <c r="Z623" s="4"/>
      <c r="AA623" s="4"/>
      <c r="AB623" s="4"/>
      <c r="AC623" s="4"/>
      <c r="AD623" s="4"/>
      <c r="AE623" s="4"/>
      <c r="AF623" s="4"/>
      <c r="AG623" s="49"/>
      <c r="AH623" s="4"/>
      <c r="AI623" s="4"/>
      <c r="AJ623" s="4"/>
      <c r="AK623" s="4"/>
      <c r="AL623" s="4"/>
      <c r="AM623" s="4"/>
      <c r="AN623" s="44"/>
      <c r="AO623" s="8"/>
      <c r="AP623" s="8"/>
      <c r="AQ623" s="8"/>
      <c r="AR623" s="8"/>
      <c r="AS623" s="8"/>
      <c r="AT623" s="8"/>
      <c r="AU623" s="8"/>
      <c r="AV623" s="46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4"/>
      <c r="BX623" s="4"/>
    </row>
    <row r="624" spans="1:76" s="16" customFormat="1" x14ac:dyDescent="0.25">
      <c r="A624" s="26"/>
      <c r="B624" s="6"/>
      <c r="C624" s="7"/>
      <c r="D624" s="7"/>
      <c r="E624" s="7"/>
      <c r="F624" s="7"/>
      <c r="G624" s="7"/>
      <c r="H624" s="7"/>
      <c r="I624" s="4"/>
      <c r="J624" s="7"/>
      <c r="K624" s="7"/>
      <c r="L624" s="7"/>
      <c r="M624" s="7"/>
      <c r="N624" s="4"/>
      <c r="O624" s="4"/>
      <c r="P624" s="4"/>
      <c r="Q624" s="4"/>
      <c r="R624" s="4"/>
      <c r="S624" s="7"/>
      <c r="T624" s="7"/>
      <c r="U624" s="7"/>
      <c r="V624" s="7"/>
      <c r="W624" s="7"/>
      <c r="X624" s="7"/>
      <c r="Y624" s="4"/>
      <c r="Z624" s="4"/>
      <c r="AA624" s="4"/>
      <c r="AB624" s="4"/>
      <c r="AC624" s="4"/>
      <c r="AD624" s="4"/>
      <c r="AE624" s="4"/>
      <c r="AF624" s="4"/>
      <c r="AG624" s="49"/>
      <c r="AH624" s="4"/>
      <c r="AI624" s="4"/>
      <c r="AJ624" s="4"/>
      <c r="AK624" s="4"/>
      <c r="AL624" s="4"/>
      <c r="AM624" s="4"/>
      <c r="AN624" s="44"/>
      <c r="AO624" s="8"/>
      <c r="AP624" s="8"/>
      <c r="AQ624" s="8"/>
      <c r="AR624" s="8"/>
      <c r="AS624" s="8"/>
      <c r="AT624" s="8"/>
      <c r="AU624" s="8"/>
      <c r="AV624" s="46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4"/>
      <c r="BX624" s="4"/>
    </row>
    <row r="625" spans="1:76" s="16" customFormat="1" x14ac:dyDescent="0.25">
      <c r="A625" s="26"/>
      <c r="B625" s="6"/>
      <c r="C625" s="7"/>
      <c r="D625" s="7"/>
      <c r="E625" s="7"/>
      <c r="F625" s="7"/>
      <c r="G625" s="7"/>
      <c r="H625" s="7"/>
      <c r="I625" s="4"/>
      <c r="J625" s="7"/>
      <c r="K625" s="7"/>
      <c r="L625" s="7"/>
      <c r="M625" s="7"/>
      <c r="N625" s="4"/>
      <c r="O625" s="4"/>
      <c r="P625" s="4"/>
      <c r="Q625" s="4"/>
      <c r="R625" s="4"/>
      <c r="S625" s="7"/>
      <c r="T625" s="7"/>
      <c r="U625" s="7"/>
      <c r="V625" s="7"/>
      <c r="W625" s="7"/>
      <c r="X625" s="7"/>
      <c r="Y625" s="4"/>
      <c r="Z625" s="4"/>
      <c r="AA625" s="4"/>
      <c r="AB625" s="4"/>
      <c r="AC625" s="4"/>
      <c r="AD625" s="4"/>
      <c r="AE625" s="4"/>
      <c r="AF625" s="4"/>
      <c r="AG625" s="49"/>
      <c r="AH625" s="4"/>
      <c r="AI625" s="4"/>
      <c r="AJ625" s="4"/>
      <c r="AK625" s="4"/>
      <c r="AL625" s="4"/>
      <c r="AM625" s="4"/>
      <c r="AN625" s="44"/>
      <c r="AO625" s="8"/>
      <c r="AP625" s="8"/>
      <c r="AQ625" s="8"/>
      <c r="AR625" s="8"/>
      <c r="AS625" s="8"/>
      <c r="AT625" s="8"/>
      <c r="AU625" s="8"/>
      <c r="AV625" s="46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4"/>
      <c r="BX625" s="4"/>
    </row>
    <row r="626" spans="1:76" s="16" customFormat="1" x14ac:dyDescent="0.25">
      <c r="A626" s="26"/>
      <c r="B626" s="6"/>
      <c r="C626" s="7"/>
      <c r="D626" s="7"/>
      <c r="E626" s="7"/>
      <c r="F626" s="7"/>
      <c r="G626" s="7"/>
      <c r="H626" s="7"/>
      <c r="I626" s="4"/>
      <c r="J626" s="7"/>
      <c r="K626" s="7"/>
      <c r="L626" s="7"/>
      <c r="M626" s="7"/>
      <c r="N626" s="4"/>
      <c r="O626" s="4"/>
      <c r="P626" s="4"/>
      <c r="Q626" s="4"/>
      <c r="R626" s="4"/>
      <c r="S626" s="7"/>
      <c r="T626" s="7"/>
      <c r="U626" s="7"/>
      <c r="V626" s="7"/>
      <c r="W626" s="7"/>
      <c r="X626" s="7"/>
      <c r="Y626" s="4"/>
      <c r="Z626" s="4"/>
      <c r="AA626" s="4"/>
      <c r="AB626" s="4"/>
      <c r="AC626" s="4"/>
      <c r="AD626" s="4"/>
      <c r="AE626" s="4"/>
      <c r="AF626" s="4"/>
      <c r="AG626" s="49"/>
      <c r="AH626" s="4"/>
      <c r="AI626" s="4"/>
      <c r="AJ626" s="4"/>
      <c r="AK626" s="4"/>
      <c r="AL626" s="4"/>
      <c r="AM626" s="4"/>
      <c r="AN626" s="44"/>
      <c r="AO626" s="8"/>
      <c r="AP626" s="8"/>
      <c r="AQ626" s="8"/>
      <c r="AR626" s="8"/>
      <c r="AS626" s="8"/>
      <c r="AT626" s="8"/>
      <c r="AU626" s="8"/>
      <c r="AV626" s="46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4"/>
      <c r="BX626" s="4"/>
    </row>
    <row r="627" spans="1:76" s="16" customFormat="1" x14ac:dyDescent="0.25">
      <c r="A627" s="26"/>
      <c r="B627" s="6"/>
      <c r="C627" s="7"/>
      <c r="D627" s="7"/>
      <c r="E627" s="7"/>
      <c r="F627" s="7"/>
      <c r="G627" s="7"/>
      <c r="H627" s="7"/>
      <c r="I627" s="4"/>
      <c r="J627" s="7"/>
      <c r="K627" s="7"/>
      <c r="L627" s="7"/>
      <c r="M627" s="7"/>
      <c r="N627" s="4"/>
      <c r="O627" s="4"/>
      <c r="P627" s="4"/>
      <c r="Q627" s="4"/>
      <c r="R627" s="4"/>
      <c r="S627" s="7"/>
      <c r="T627" s="7"/>
      <c r="U627" s="7"/>
      <c r="V627" s="7"/>
      <c r="W627" s="7"/>
      <c r="X627" s="7"/>
      <c r="Y627" s="4"/>
      <c r="Z627" s="4"/>
      <c r="AA627" s="4"/>
      <c r="AB627" s="4"/>
      <c r="AC627" s="4"/>
      <c r="AD627" s="4"/>
      <c r="AE627" s="4"/>
      <c r="AF627" s="4"/>
      <c r="AG627" s="49"/>
      <c r="AH627" s="4"/>
      <c r="AI627" s="4"/>
      <c r="AJ627" s="4"/>
      <c r="AK627" s="4"/>
      <c r="AL627" s="4"/>
      <c r="AM627" s="4"/>
      <c r="AN627" s="44"/>
      <c r="AO627" s="8"/>
      <c r="AP627" s="8"/>
      <c r="AQ627" s="8"/>
      <c r="AR627" s="8"/>
      <c r="AS627" s="8"/>
      <c r="AT627" s="8"/>
      <c r="AU627" s="8"/>
      <c r="AV627" s="46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4"/>
      <c r="BX627" s="4"/>
    </row>
    <row r="628" spans="1:76" s="16" customFormat="1" x14ac:dyDescent="0.25">
      <c r="A628" s="26"/>
      <c r="B628" s="6"/>
      <c r="C628" s="7"/>
      <c r="D628" s="7"/>
      <c r="E628" s="7"/>
      <c r="F628" s="7"/>
      <c r="G628" s="7"/>
      <c r="H628" s="7"/>
      <c r="I628" s="4"/>
      <c r="J628" s="7"/>
      <c r="K628" s="7"/>
      <c r="L628" s="7"/>
      <c r="M628" s="7"/>
      <c r="N628" s="4"/>
      <c r="O628" s="4"/>
      <c r="P628" s="4"/>
      <c r="Q628" s="4"/>
      <c r="R628" s="4"/>
      <c r="S628" s="7"/>
      <c r="T628" s="7"/>
      <c r="U628" s="7"/>
      <c r="V628" s="7"/>
      <c r="W628" s="7"/>
      <c r="X628" s="7"/>
      <c r="Y628" s="4"/>
      <c r="Z628" s="4"/>
      <c r="AA628" s="4"/>
      <c r="AB628" s="4"/>
      <c r="AC628" s="4"/>
      <c r="AD628" s="4"/>
      <c r="AE628" s="4"/>
      <c r="AF628" s="4"/>
      <c r="AG628" s="49"/>
      <c r="AH628" s="4"/>
      <c r="AI628" s="4"/>
      <c r="AJ628" s="4"/>
      <c r="AK628" s="4"/>
      <c r="AL628" s="4"/>
      <c r="AM628" s="4"/>
      <c r="AN628" s="44"/>
      <c r="AO628" s="8"/>
      <c r="AP628" s="8"/>
      <c r="AQ628" s="8"/>
      <c r="AR628" s="8"/>
      <c r="AS628" s="8"/>
      <c r="AT628" s="8"/>
      <c r="AU628" s="8"/>
      <c r="AV628" s="46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4"/>
      <c r="BX628" s="4"/>
    </row>
    <row r="629" spans="1:76" s="16" customFormat="1" x14ac:dyDescent="0.25">
      <c r="A629" s="26"/>
      <c r="B629" s="6"/>
      <c r="C629" s="7"/>
      <c r="D629" s="7"/>
      <c r="E629" s="7"/>
      <c r="F629" s="7"/>
      <c r="G629" s="7"/>
      <c r="H629" s="7"/>
      <c r="I629" s="4"/>
      <c r="J629" s="7"/>
      <c r="K629" s="7"/>
      <c r="L629" s="7"/>
      <c r="M629" s="7"/>
      <c r="N629" s="4"/>
      <c r="O629" s="4"/>
      <c r="P629" s="4"/>
      <c r="Q629" s="4"/>
      <c r="R629" s="4"/>
      <c r="S629" s="7"/>
      <c r="T629" s="7"/>
      <c r="U629" s="7"/>
      <c r="V629" s="7"/>
      <c r="W629" s="7"/>
      <c r="X629" s="7"/>
      <c r="Y629" s="4"/>
      <c r="Z629" s="4"/>
      <c r="AA629" s="4"/>
      <c r="AB629" s="4"/>
      <c r="AC629" s="4"/>
      <c r="AD629" s="4"/>
      <c r="AE629" s="4"/>
      <c r="AF629" s="4"/>
      <c r="AG629" s="49"/>
      <c r="AH629" s="4"/>
      <c r="AI629" s="4"/>
      <c r="AJ629" s="4"/>
      <c r="AK629" s="4"/>
      <c r="AL629" s="4"/>
      <c r="AM629" s="4"/>
      <c r="AN629" s="44"/>
      <c r="AO629" s="8"/>
      <c r="AP629" s="8"/>
      <c r="AQ629" s="8"/>
      <c r="AR629" s="8"/>
      <c r="AS629" s="8"/>
      <c r="AT629" s="8"/>
      <c r="AU629" s="8"/>
      <c r="AV629" s="46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4"/>
      <c r="BX629" s="4"/>
    </row>
    <row r="630" spans="1:76" s="16" customFormat="1" x14ac:dyDescent="0.25">
      <c r="A630" s="26"/>
      <c r="B630" s="6"/>
      <c r="C630" s="7"/>
      <c r="D630" s="7"/>
      <c r="E630" s="7"/>
      <c r="F630" s="7"/>
      <c r="G630" s="7"/>
      <c r="H630" s="7"/>
      <c r="I630" s="4"/>
      <c r="J630" s="7"/>
      <c r="K630" s="7"/>
      <c r="L630" s="7"/>
      <c r="M630" s="7"/>
      <c r="N630" s="4"/>
      <c r="O630" s="4"/>
      <c r="P630" s="4"/>
      <c r="Q630" s="4"/>
      <c r="R630" s="4"/>
      <c r="S630" s="7"/>
      <c r="T630" s="7"/>
      <c r="U630" s="7"/>
      <c r="V630" s="7"/>
      <c r="W630" s="7"/>
      <c r="X630" s="7"/>
      <c r="Y630" s="4"/>
      <c r="Z630" s="4"/>
      <c r="AA630" s="4"/>
      <c r="AB630" s="4"/>
      <c r="AC630" s="4"/>
      <c r="AD630" s="4"/>
      <c r="AE630" s="4"/>
      <c r="AF630" s="4"/>
      <c r="AG630" s="49"/>
      <c r="AH630" s="4"/>
      <c r="AI630" s="4"/>
      <c r="AJ630" s="4"/>
      <c r="AK630" s="4"/>
      <c r="AL630" s="4"/>
      <c r="AM630" s="4"/>
      <c r="AN630" s="44"/>
      <c r="AO630" s="8"/>
      <c r="AP630" s="8"/>
      <c r="AQ630" s="8"/>
      <c r="AR630" s="8"/>
      <c r="AS630" s="8"/>
      <c r="AT630" s="8"/>
      <c r="AU630" s="8"/>
      <c r="AV630" s="46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4"/>
      <c r="BX630" s="4"/>
    </row>
    <row r="631" spans="1:76" s="16" customFormat="1" x14ac:dyDescent="0.25">
      <c r="A631" s="26"/>
      <c r="B631" s="6"/>
      <c r="C631" s="7"/>
      <c r="D631" s="7"/>
      <c r="E631" s="7"/>
      <c r="F631" s="7"/>
      <c r="G631" s="7"/>
      <c r="H631" s="7"/>
      <c r="I631" s="4"/>
      <c r="J631" s="7"/>
      <c r="K631" s="7"/>
      <c r="L631" s="7"/>
      <c r="M631" s="7"/>
      <c r="N631" s="4"/>
      <c r="O631" s="4"/>
      <c r="P631" s="4"/>
      <c r="Q631" s="4"/>
      <c r="R631" s="4"/>
      <c r="S631" s="7"/>
      <c r="T631" s="7"/>
      <c r="U631" s="7"/>
      <c r="V631" s="7"/>
      <c r="W631" s="7"/>
      <c r="X631" s="7"/>
      <c r="Y631" s="4"/>
      <c r="Z631" s="4"/>
      <c r="AA631" s="4"/>
      <c r="AB631" s="4"/>
      <c r="AC631" s="4"/>
      <c r="AD631" s="4"/>
      <c r="AE631" s="4"/>
      <c r="AF631" s="4"/>
      <c r="AG631" s="49"/>
      <c r="AH631" s="4"/>
      <c r="AI631" s="4"/>
      <c r="AJ631" s="4"/>
      <c r="AK631" s="4"/>
      <c r="AL631" s="4"/>
      <c r="AM631" s="4"/>
      <c r="AN631" s="44"/>
      <c r="AO631" s="8"/>
      <c r="AP631" s="8"/>
      <c r="AQ631" s="8"/>
      <c r="AR631" s="8"/>
      <c r="AS631" s="8"/>
      <c r="AT631" s="8"/>
      <c r="AU631" s="8"/>
      <c r="AV631" s="46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4"/>
      <c r="BX631" s="4"/>
    </row>
    <row r="632" spans="1:76" s="16" customFormat="1" x14ac:dyDescent="0.25">
      <c r="A632" s="26"/>
      <c r="B632" s="6"/>
      <c r="C632" s="7"/>
      <c r="D632" s="7"/>
      <c r="E632" s="7"/>
      <c r="F632" s="7"/>
      <c r="G632" s="7"/>
      <c r="H632" s="7"/>
      <c r="I632" s="4"/>
      <c r="J632" s="7"/>
      <c r="K632" s="7"/>
      <c r="L632" s="7"/>
      <c r="M632" s="7"/>
      <c r="N632" s="4"/>
      <c r="O632" s="4"/>
      <c r="P632" s="4"/>
      <c r="Q632" s="4"/>
      <c r="R632" s="4"/>
      <c r="S632" s="7"/>
      <c r="T632" s="7"/>
      <c r="U632" s="7"/>
      <c r="V632" s="7"/>
      <c r="W632" s="7"/>
      <c r="X632" s="7"/>
      <c r="Y632" s="4"/>
      <c r="Z632" s="4"/>
      <c r="AA632" s="4"/>
      <c r="AB632" s="4"/>
      <c r="AC632" s="4"/>
      <c r="AD632" s="4"/>
      <c r="AE632" s="4"/>
      <c r="AF632" s="4"/>
      <c r="AG632" s="49"/>
      <c r="AH632" s="4"/>
      <c r="AI632" s="4"/>
      <c r="AJ632" s="4"/>
      <c r="AK632" s="4"/>
      <c r="AL632" s="4"/>
      <c r="AM632" s="4"/>
      <c r="AN632" s="44"/>
      <c r="AO632" s="8"/>
      <c r="AP632" s="8"/>
      <c r="AQ632" s="8"/>
      <c r="AR632" s="8"/>
      <c r="AS632" s="8"/>
      <c r="AT632" s="8"/>
      <c r="AU632" s="8"/>
      <c r="AV632" s="46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4"/>
      <c r="BX632" s="4"/>
    </row>
    <row r="633" spans="1:76" s="16" customFormat="1" x14ac:dyDescent="0.25">
      <c r="A633" s="26"/>
      <c r="B633" s="6"/>
      <c r="C633" s="7"/>
      <c r="D633" s="7"/>
      <c r="E633" s="7"/>
      <c r="F633" s="7"/>
      <c r="G633" s="7"/>
      <c r="H633" s="7"/>
      <c r="I633" s="4"/>
      <c r="J633" s="7"/>
      <c r="K633" s="7"/>
      <c r="L633" s="7"/>
      <c r="M633" s="7"/>
      <c r="N633" s="4"/>
      <c r="O633" s="4"/>
      <c r="P633" s="4"/>
      <c r="Q633" s="4"/>
      <c r="R633" s="4"/>
      <c r="S633" s="7"/>
      <c r="T633" s="7"/>
      <c r="U633" s="7"/>
      <c r="V633" s="7"/>
      <c r="W633" s="7"/>
      <c r="X633" s="7"/>
      <c r="Y633" s="4"/>
      <c r="Z633" s="4"/>
      <c r="AA633" s="4"/>
      <c r="AB633" s="4"/>
      <c r="AC633" s="4"/>
      <c r="AD633" s="4"/>
      <c r="AE633" s="4"/>
      <c r="AF633" s="4"/>
      <c r="AG633" s="49"/>
      <c r="AH633" s="4"/>
      <c r="AI633" s="4"/>
      <c r="AJ633" s="4"/>
      <c r="AK633" s="4"/>
      <c r="AL633" s="4"/>
      <c r="AM633" s="4"/>
      <c r="AN633" s="44"/>
      <c r="AO633" s="8"/>
      <c r="AP633" s="8"/>
      <c r="AQ633" s="8"/>
      <c r="AR633" s="8"/>
      <c r="AS633" s="8"/>
      <c r="AT633" s="8"/>
      <c r="AU633" s="8"/>
      <c r="AV633" s="46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4"/>
      <c r="BX633" s="4"/>
    </row>
    <row r="634" spans="1:76" s="16" customFormat="1" x14ac:dyDescent="0.25">
      <c r="A634" s="26"/>
      <c r="B634" s="6"/>
      <c r="C634" s="7"/>
      <c r="D634" s="7"/>
      <c r="E634" s="7"/>
      <c r="F634" s="7"/>
      <c r="G634" s="7"/>
      <c r="H634" s="7"/>
      <c r="I634" s="4"/>
      <c r="J634" s="7"/>
      <c r="K634" s="7"/>
      <c r="L634" s="7"/>
      <c r="M634" s="7"/>
      <c r="N634" s="4"/>
      <c r="O634" s="4"/>
      <c r="P634" s="4"/>
      <c r="Q634" s="4"/>
      <c r="R634" s="4"/>
      <c r="S634" s="7"/>
      <c r="T634" s="7"/>
      <c r="U634" s="7"/>
      <c r="V634" s="7"/>
      <c r="W634" s="7"/>
      <c r="X634" s="7"/>
      <c r="Y634" s="4"/>
      <c r="Z634" s="4"/>
      <c r="AA634" s="4"/>
      <c r="AB634" s="4"/>
      <c r="AC634" s="4"/>
      <c r="AD634" s="4"/>
      <c r="AE634" s="4"/>
      <c r="AF634" s="4"/>
      <c r="AG634" s="49"/>
      <c r="AH634" s="4"/>
      <c r="AI634" s="4"/>
      <c r="AJ634" s="4"/>
      <c r="AK634" s="4"/>
      <c r="AL634" s="4"/>
      <c r="AM634" s="4"/>
      <c r="AN634" s="44"/>
      <c r="AO634" s="8"/>
      <c r="AP634" s="8"/>
      <c r="AQ634" s="8"/>
      <c r="AR634" s="8"/>
      <c r="AS634" s="8"/>
      <c r="AT634" s="8"/>
      <c r="AU634" s="8"/>
      <c r="AV634" s="46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4"/>
      <c r="BX634" s="4"/>
    </row>
    <row r="635" spans="1:76" s="16" customFormat="1" x14ac:dyDescent="0.25">
      <c r="A635" s="26"/>
      <c r="B635" s="6"/>
      <c r="C635" s="7"/>
      <c r="D635" s="7"/>
      <c r="E635" s="7"/>
      <c r="F635" s="7"/>
      <c r="G635" s="7"/>
      <c r="H635" s="7"/>
      <c r="I635" s="4"/>
      <c r="J635" s="7"/>
      <c r="K635" s="7"/>
      <c r="L635" s="7"/>
      <c r="M635" s="7"/>
      <c r="N635" s="4"/>
      <c r="O635" s="4"/>
      <c r="P635" s="4"/>
      <c r="Q635" s="4"/>
      <c r="R635" s="4"/>
      <c r="S635" s="7"/>
      <c r="T635" s="7"/>
      <c r="U635" s="7"/>
      <c r="V635" s="7"/>
      <c r="W635" s="7"/>
      <c r="X635" s="7"/>
      <c r="Y635" s="4"/>
      <c r="Z635" s="4"/>
      <c r="AA635" s="4"/>
      <c r="AB635" s="4"/>
      <c r="AC635" s="4"/>
      <c r="AD635" s="4"/>
      <c r="AE635" s="4"/>
      <c r="AF635" s="4"/>
      <c r="AG635" s="49"/>
      <c r="AH635" s="4"/>
      <c r="AI635" s="4"/>
      <c r="AJ635" s="4"/>
      <c r="AK635" s="4"/>
      <c r="AL635" s="4"/>
      <c r="AM635" s="4"/>
      <c r="AN635" s="44"/>
      <c r="AO635" s="8"/>
      <c r="AP635" s="8"/>
      <c r="AQ635" s="8"/>
      <c r="AR635" s="8"/>
      <c r="AS635" s="8"/>
      <c r="AT635" s="8"/>
      <c r="AU635" s="8"/>
      <c r="AV635" s="46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4"/>
      <c r="BX635" s="4"/>
    </row>
    <row r="636" spans="1:76" s="16" customFormat="1" x14ac:dyDescent="0.25">
      <c r="A636" s="26"/>
      <c r="B636" s="6"/>
      <c r="C636" s="7"/>
      <c r="D636" s="7"/>
      <c r="E636" s="7"/>
      <c r="F636" s="7"/>
      <c r="G636" s="7"/>
      <c r="H636" s="7"/>
      <c r="I636" s="4"/>
      <c r="J636" s="7"/>
      <c r="K636" s="7"/>
      <c r="L636" s="7"/>
      <c r="M636" s="7"/>
      <c r="N636" s="4"/>
      <c r="O636" s="4"/>
      <c r="P636" s="4"/>
      <c r="Q636" s="4"/>
      <c r="R636" s="4"/>
      <c r="S636" s="7"/>
      <c r="T636" s="7"/>
      <c r="U636" s="7"/>
      <c r="V636" s="7"/>
      <c r="W636" s="7"/>
      <c r="X636" s="7"/>
      <c r="Y636" s="4"/>
      <c r="Z636" s="4"/>
      <c r="AA636" s="4"/>
      <c r="AB636" s="4"/>
      <c r="AC636" s="4"/>
      <c r="AD636" s="4"/>
      <c r="AE636" s="4"/>
      <c r="AF636" s="4"/>
      <c r="AG636" s="49"/>
      <c r="AH636" s="4"/>
      <c r="AI636" s="4"/>
      <c r="AJ636" s="4"/>
      <c r="AK636" s="4"/>
      <c r="AL636" s="4"/>
      <c r="AM636" s="4"/>
      <c r="AN636" s="44"/>
      <c r="AO636" s="8"/>
      <c r="AP636" s="8"/>
      <c r="AQ636" s="8"/>
      <c r="AR636" s="8"/>
      <c r="AS636" s="8"/>
      <c r="AT636" s="8"/>
      <c r="AU636" s="8"/>
      <c r="AV636" s="46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4"/>
      <c r="BX636" s="4"/>
    </row>
    <row r="637" spans="1:76" s="16" customFormat="1" x14ac:dyDescent="0.25">
      <c r="A637" s="26"/>
      <c r="B637" s="6"/>
      <c r="C637" s="7"/>
      <c r="D637" s="7"/>
      <c r="E637" s="7"/>
      <c r="F637" s="7"/>
      <c r="G637" s="7"/>
      <c r="H637" s="7"/>
      <c r="I637" s="4"/>
      <c r="J637" s="7"/>
      <c r="K637" s="7"/>
      <c r="L637" s="7"/>
      <c r="M637" s="7"/>
      <c r="N637" s="4"/>
      <c r="O637" s="4"/>
      <c r="P637" s="4"/>
      <c r="Q637" s="4"/>
      <c r="R637" s="4"/>
      <c r="S637" s="7"/>
      <c r="T637" s="7"/>
      <c r="U637" s="7"/>
      <c r="V637" s="7"/>
      <c r="W637" s="7"/>
      <c r="X637" s="7"/>
      <c r="Y637" s="4"/>
      <c r="Z637" s="4"/>
      <c r="AA637" s="4"/>
      <c r="AB637" s="4"/>
      <c r="AC637" s="4"/>
      <c r="AD637" s="4"/>
      <c r="AE637" s="4"/>
      <c r="AF637" s="4"/>
      <c r="AG637" s="49"/>
      <c r="AH637" s="4"/>
      <c r="AI637" s="4"/>
      <c r="AJ637" s="4"/>
      <c r="AK637" s="4"/>
      <c r="AL637" s="4"/>
      <c r="AM637" s="4"/>
      <c r="AN637" s="44"/>
      <c r="AO637" s="8"/>
      <c r="AP637" s="8"/>
      <c r="AQ637" s="8"/>
      <c r="AR637" s="8"/>
      <c r="AS637" s="8"/>
      <c r="AT637" s="8"/>
      <c r="AU637" s="8"/>
      <c r="AV637" s="46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4"/>
      <c r="BX637" s="4"/>
    </row>
    <row r="638" spans="1:76" s="16" customFormat="1" x14ac:dyDescent="0.25">
      <c r="A638" s="26"/>
      <c r="B638" s="6"/>
      <c r="C638" s="7"/>
      <c r="D638" s="7"/>
      <c r="E638" s="7"/>
      <c r="F638" s="7"/>
      <c r="G638" s="7"/>
      <c r="H638" s="7"/>
      <c r="I638" s="4"/>
      <c r="J638" s="7"/>
      <c r="K638" s="7"/>
      <c r="L638" s="7"/>
      <c r="M638" s="7"/>
      <c r="N638" s="4"/>
      <c r="O638" s="4"/>
      <c r="P638" s="4"/>
      <c r="Q638" s="4"/>
      <c r="R638" s="4"/>
      <c r="S638" s="7"/>
      <c r="T638" s="7"/>
      <c r="U638" s="7"/>
      <c r="V638" s="7"/>
      <c r="W638" s="7"/>
      <c r="X638" s="7"/>
      <c r="Y638" s="4"/>
      <c r="Z638" s="4"/>
      <c r="AA638" s="4"/>
      <c r="AB638" s="4"/>
      <c r="AC638" s="4"/>
      <c r="AD638" s="4"/>
      <c r="AE638" s="4"/>
      <c r="AF638" s="4"/>
      <c r="AG638" s="49"/>
      <c r="AH638" s="4"/>
      <c r="AI638" s="4"/>
      <c r="AJ638" s="4"/>
      <c r="AK638" s="4"/>
      <c r="AL638" s="4"/>
      <c r="AM638" s="4"/>
      <c r="AN638" s="44"/>
      <c r="AO638" s="8"/>
      <c r="AP638" s="8"/>
      <c r="AQ638" s="8"/>
      <c r="AR638" s="8"/>
      <c r="AS638" s="8"/>
      <c r="AT638" s="8"/>
      <c r="AU638" s="8"/>
      <c r="AV638" s="46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4"/>
      <c r="BX638" s="4"/>
    </row>
    <row r="639" spans="1:76" s="16" customFormat="1" x14ac:dyDescent="0.25">
      <c r="A639" s="26"/>
      <c r="B639" s="6"/>
      <c r="C639" s="7"/>
      <c r="D639" s="7"/>
      <c r="E639" s="7"/>
      <c r="F639" s="7"/>
      <c r="G639" s="7"/>
      <c r="H639" s="7"/>
      <c r="I639" s="4"/>
      <c r="J639" s="7"/>
      <c r="K639" s="7"/>
      <c r="L639" s="7"/>
      <c r="M639" s="7"/>
      <c r="N639" s="4"/>
      <c r="O639" s="4"/>
      <c r="P639" s="4"/>
      <c r="Q639" s="4"/>
      <c r="R639" s="4"/>
      <c r="S639" s="7"/>
      <c r="T639" s="7"/>
      <c r="U639" s="7"/>
      <c r="V639" s="7"/>
      <c r="W639" s="7"/>
      <c r="X639" s="7"/>
      <c r="Y639" s="4"/>
      <c r="Z639" s="4"/>
      <c r="AA639" s="4"/>
      <c r="AB639" s="4"/>
      <c r="AC639" s="4"/>
      <c r="AD639" s="4"/>
      <c r="AE639" s="4"/>
      <c r="AF639" s="4"/>
      <c r="AG639" s="49"/>
      <c r="AH639" s="4"/>
      <c r="AI639" s="4"/>
      <c r="AJ639" s="4"/>
      <c r="AK639" s="4"/>
      <c r="AL639" s="4"/>
      <c r="AM639" s="4"/>
      <c r="AN639" s="44"/>
      <c r="AO639" s="8"/>
      <c r="AP639" s="8"/>
      <c r="AQ639" s="8"/>
      <c r="AR639" s="8"/>
      <c r="AS639" s="8"/>
      <c r="AT639" s="8"/>
      <c r="AU639" s="8"/>
      <c r="AV639" s="46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4"/>
      <c r="BX639" s="4"/>
    </row>
    <row r="640" spans="1:76" s="16" customFormat="1" x14ac:dyDescent="0.25">
      <c r="A640" s="26"/>
      <c r="B640" s="6"/>
      <c r="C640" s="7"/>
      <c r="D640" s="7"/>
      <c r="E640" s="7"/>
      <c r="F640" s="7"/>
      <c r="G640" s="7"/>
      <c r="H640" s="7"/>
      <c r="I640" s="4"/>
      <c r="J640" s="7"/>
      <c r="K640" s="7"/>
      <c r="L640" s="7"/>
      <c r="M640" s="7"/>
      <c r="N640" s="4"/>
      <c r="O640" s="4"/>
      <c r="P640" s="4"/>
      <c r="Q640" s="4"/>
      <c r="R640" s="4"/>
      <c r="S640" s="7"/>
      <c r="T640" s="7"/>
      <c r="U640" s="7"/>
      <c r="V640" s="7"/>
      <c r="W640" s="7"/>
      <c r="X640" s="7"/>
      <c r="Y640" s="4"/>
      <c r="Z640" s="4"/>
      <c r="AA640" s="4"/>
      <c r="AB640" s="4"/>
      <c r="AC640" s="4"/>
      <c r="AD640" s="4"/>
      <c r="AE640" s="4"/>
      <c r="AF640" s="4"/>
      <c r="AG640" s="49"/>
      <c r="AH640" s="4"/>
      <c r="AI640" s="4"/>
      <c r="AJ640" s="4"/>
      <c r="AK640" s="4"/>
      <c r="AL640" s="4"/>
      <c r="AM640" s="4"/>
      <c r="AN640" s="44"/>
      <c r="AO640" s="8"/>
      <c r="AP640" s="8"/>
      <c r="AQ640" s="8"/>
      <c r="AR640" s="8"/>
      <c r="AS640" s="8"/>
      <c r="AT640" s="8"/>
      <c r="AU640" s="8"/>
      <c r="AV640" s="46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4"/>
      <c r="BX640" s="4"/>
    </row>
    <row r="641" spans="1:76" s="16" customFormat="1" x14ac:dyDescent="0.25">
      <c r="A641" s="26"/>
      <c r="B641" s="6"/>
      <c r="C641" s="7"/>
      <c r="D641" s="7"/>
      <c r="E641" s="7"/>
      <c r="F641" s="7"/>
      <c r="G641" s="7"/>
      <c r="H641" s="7"/>
      <c r="I641" s="4"/>
      <c r="J641" s="7"/>
      <c r="K641" s="7"/>
      <c r="L641" s="7"/>
      <c r="M641" s="7"/>
      <c r="N641" s="4"/>
      <c r="O641" s="4"/>
      <c r="P641" s="4"/>
      <c r="Q641" s="4"/>
      <c r="R641" s="4"/>
      <c r="S641" s="7"/>
      <c r="T641" s="7"/>
      <c r="U641" s="7"/>
      <c r="V641" s="7"/>
      <c r="W641" s="7"/>
      <c r="X641" s="7"/>
      <c r="Y641" s="4"/>
      <c r="Z641" s="4"/>
      <c r="AA641" s="4"/>
      <c r="AB641" s="4"/>
      <c r="AC641" s="4"/>
      <c r="AD641" s="4"/>
      <c r="AE641" s="4"/>
      <c r="AF641" s="4"/>
      <c r="AG641" s="49"/>
      <c r="AH641" s="4"/>
      <c r="AI641" s="4"/>
      <c r="AJ641" s="4"/>
      <c r="AK641" s="4"/>
      <c r="AL641" s="4"/>
      <c r="AM641" s="4"/>
      <c r="AN641" s="44"/>
      <c r="AO641" s="8"/>
      <c r="AP641" s="8"/>
      <c r="AQ641" s="8"/>
      <c r="AR641" s="8"/>
      <c r="AS641" s="8"/>
      <c r="AT641" s="8"/>
      <c r="AU641" s="8"/>
      <c r="AV641" s="46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4"/>
      <c r="BX641" s="4"/>
    </row>
    <row r="642" spans="1:76" s="16" customFormat="1" x14ac:dyDescent="0.25">
      <c r="A642" s="26"/>
      <c r="B642" s="6"/>
      <c r="C642" s="7"/>
      <c r="D642" s="7"/>
      <c r="E642" s="7"/>
      <c r="F642" s="7"/>
      <c r="G642" s="7"/>
      <c r="H642" s="7"/>
      <c r="I642" s="4"/>
      <c r="J642" s="7"/>
      <c r="K642" s="7"/>
      <c r="L642" s="7"/>
      <c r="M642" s="7"/>
      <c r="N642" s="4"/>
      <c r="O642" s="4"/>
      <c r="P642" s="4"/>
      <c r="Q642" s="4"/>
      <c r="R642" s="4"/>
      <c r="S642" s="7"/>
      <c r="T642" s="7"/>
      <c r="U642" s="7"/>
      <c r="V642" s="7"/>
      <c r="W642" s="7"/>
      <c r="X642" s="7"/>
      <c r="Y642" s="4"/>
      <c r="Z642" s="4"/>
      <c r="AA642" s="4"/>
      <c r="AB642" s="4"/>
      <c r="AC642" s="4"/>
      <c r="AD642" s="4"/>
      <c r="AE642" s="4"/>
      <c r="AF642" s="4"/>
      <c r="AG642" s="49"/>
      <c r="AH642" s="4"/>
      <c r="AI642" s="4"/>
      <c r="AJ642" s="4"/>
      <c r="AK642" s="4"/>
      <c r="AL642" s="4"/>
      <c r="AM642" s="4"/>
      <c r="AN642" s="44"/>
      <c r="AO642" s="8"/>
      <c r="AP642" s="8"/>
      <c r="AQ642" s="8"/>
      <c r="AR642" s="8"/>
      <c r="AS642" s="8"/>
      <c r="AT642" s="8"/>
      <c r="AU642" s="8"/>
      <c r="AV642" s="46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4"/>
      <c r="BX642" s="4"/>
    </row>
    <row r="643" spans="1:76" s="16" customFormat="1" x14ac:dyDescent="0.25">
      <c r="A643" s="26"/>
      <c r="B643" s="6"/>
      <c r="C643" s="7"/>
      <c r="D643" s="7"/>
      <c r="E643" s="7"/>
      <c r="F643" s="7"/>
      <c r="G643" s="7"/>
      <c r="H643" s="7"/>
      <c r="I643" s="4"/>
      <c r="J643" s="7"/>
      <c r="K643" s="7"/>
      <c r="L643" s="7"/>
      <c r="M643" s="7"/>
      <c r="N643" s="4"/>
      <c r="O643" s="4"/>
      <c r="P643" s="4"/>
      <c r="Q643" s="4"/>
      <c r="R643" s="4"/>
      <c r="S643" s="7"/>
      <c r="T643" s="7"/>
      <c r="U643" s="7"/>
      <c r="V643" s="7"/>
      <c r="W643" s="7"/>
      <c r="X643" s="7"/>
      <c r="Y643" s="4"/>
      <c r="Z643" s="4"/>
      <c r="AA643" s="4"/>
      <c r="AB643" s="4"/>
      <c r="AC643" s="4"/>
      <c r="AD643" s="4"/>
      <c r="AE643" s="4"/>
      <c r="AF643" s="4"/>
      <c r="AG643" s="49"/>
      <c r="AH643" s="4"/>
      <c r="AI643" s="4"/>
      <c r="AJ643" s="4"/>
      <c r="AK643" s="4"/>
      <c r="AL643" s="4"/>
      <c r="AM643" s="4"/>
      <c r="AN643" s="44"/>
      <c r="AO643" s="8"/>
      <c r="AP643" s="8"/>
      <c r="AQ643" s="8"/>
      <c r="AR643" s="8"/>
      <c r="AS643" s="8"/>
      <c r="AT643" s="8"/>
      <c r="AU643" s="8"/>
      <c r="AV643" s="46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4"/>
      <c r="BX643" s="4"/>
    </row>
    <row r="644" spans="1:76" s="16" customFormat="1" x14ac:dyDescent="0.25">
      <c r="A644" s="26"/>
      <c r="B644" s="6"/>
      <c r="C644" s="7"/>
      <c r="D644" s="7"/>
      <c r="E644" s="7"/>
      <c r="F644" s="7"/>
      <c r="G644" s="7"/>
      <c r="H644" s="7"/>
      <c r="I644" s="4"/>
      <c r="J644" s="7"/>
      <c r="K644" s="7"/>
      <c r="L644" s="7"/>
      <c r="M644" s="7"/>
      <c r="N644" s="4"/>
      <c r="O644" s="4"/>
      <c r="P644" s="4"/>
      <c r="Q644" s="4"/>
      <c r="R644" s="4"/>
      <c r="S644" s="7"/>
      <c r="T644" s="7"/>
      <c r="U644" s="7"/>
      <c r="V644" s="7"/>
      <c r="W644" s="7"/>
      <c r="X644" s="7"/>
      <c r="Y644" s="4"/>
      <c r="Z644" s="4"/>
      <c r="AA644" s="4"/>
      <c r="AB644" s="4"/>
      <c r="AC644" s="4"/>
      <c r="AD644" s="4"/>
      <c r="AE644" s="4"/>
      <c r="AF644" s="4"/>
      <c r="AG644" s="49"/>
      <c r="AH644" s="4"/>
      <c r="AI644" s="4"/>
      <c r="AJ644" s="4"/>
      <c r="AK644" s="4"/>
      <c r="AL644" s="4"/>
      <c r="AM644" s="4"/>
      <c r="AN644" s="44"/>
      <c r="AO644" s="8"/>
      <c r="AP644" s="8"/>
      <c r="AQ644" s="8"/>
      <c r="AR644" s="8"/>
      <c r="AS644" s="8"/>
      <c r="AT644" s="8"/>
      <c r="AU644" s="8"/>
      <c r="AV644" s="46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4"/>
      <c r="BX644" s="4"/>
    </row>
    <row r="645" spans="1:76" s="16" customFormat="1" x14ac:dyDescent="0.25">
      <c r="A645" s="26"/>
      <c r="B645" s="6"/>
      <c r="C645" s="7"/>
      <c r="D645" s="7"/>
      <c r="E645" s="7"/>
      <c r="F645" s="7"/>
      <c r="G645" s="7"/>
      <c r="H645" s="7"/>
      <c r="I645" s="4"/>
      <c r="J645" s="7"/>
      <c r="K645" s="7"/>
      <c r="L645" s="7"/>
      <c r="M645" s="7"/>
      <c r="N645" s="4"/>
      <c r="O645" s="4"/>
      <c r="P645" s="4"/>
      <c r="Q645" s="4"/>
      <c r="R645" s="4"/>
      <c r="S645" s="7"/>
      <c r="T645" s="7"/>
      <c r="U645" s="7"/>
      <c r="V645" s="7"/>
      <c r="W645" s="7"/>
      <c r="X645" s="7"/>
      <c r="Y645" s="4"/>
      <c r="Z645" s="4"/>
      <c r="AA645" s="4"/>
      <c r="AB645" s="4"/>
      <c r="AC645" s="4"/>
      <c r="AD645" s="4"/>
      <c r="AE645" s="4"/>
      <c r="AF645" s="4"/>
      <c r="AG645" s="49"/>
      <c r="AH645" s="4"/>
      <c r="AI645" s="4"/>
      <c r="AJ645" s="4"/>
      <c r="AK645" s="4"/>
      <c r="AL645" s="4"/>
      <c r="AM645" s="4"/>
      <c r="AN645" s="44"/>
      <c r="AO645" s="8"/>
      <c r="AP645" s="8"/>
      <c r="AQ645" s="8"/>
      <c r="AR645" s="8"/>
      <c r="AS645" s="8"/>
      <c r="AT645" s="8"/>
      <c r="AU645" s="8"/>
      <c r="AV645" s="46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4"/>
      <c r="BX645" s="4"/>
    </row>
    <row r="646" spans="1:76" s="16" customFormat="1" x14ac:dyDescent="0.25">
      <c r="A646" s="26"/>
      <c r="B646" s="6"/>
      <c r="C646" s="7"/>
      <c r="D646" s="7"/>
      <c r="E646" s="7"/>
      <c r="F646" s="7"/>
      <c r="G646" s="7"/>
      <c r="H646" s="7"/>
      <c r="I646" s="4"/>
      <c r="J646" s="7"/>
      <c r="K646" s="7"/>
      <c r="L646" s="7"/>
      <c r="M646" s="7"/>
      <c r="N646" s="4"/>
      <c r="O646" s="4"/>
      <c r="P646" s="4"/>
      <c r="Q646" s="4"/>
      <c r="R646" s="4"/>
      <c r="S646" s="7"/>
      <c r="T646" s="7"/>
      <c r="U646" s="7"/>
      <c r="V646" s="7"/>
      <c r="W646" s="7"/>
      <c r="X646" s="7"/>
      <c r="Y646" s="4"/>
      <c r="Z646" s="4"/>
      <c r="AA646" s="4"/>
      <c r="AB646" s="4"/>
      <c r="AC646" s="4"/>
      <c r="AD646" s="4"/>
      <c r="AE646" s="4"/>
      <c r="AF646" s="4"/>
      <c r="AG646" s="49"/>
      <c r="AH646" s="4"/>
      <c r="AI646" s="4"/>
      <c r="AJ646" s="4"/>
      <c r="AK646" s="4"/>
      <c r="AL646" s="4"/>
      <c r="AM646" s="4"/>
      <c r="AN646" s="44"/>
      <c r="AO646" s="8"/>
      <c r="AP646" s="8"/>
      <c r="AQ646" s="8"/>
      <c r="AR646" s="8"/>
      <c r="AS646" s="8"/>
      <c r="AT646" s="8"/>
      <c r="AU646" s="8"/>
      <c r="AV646" s="46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4"/>
      <c r="BX646" s="4"/>
    </row>
    <row r="647" spans="1:76" s="16" customFormat="1" x14ac:dyDescent="0.25">
      <c r="A647" s="26"/>
      <c r="B647" s="6"/>
      <c r="C647" s="7"/>
      <c r="D647" s="7"/>
      <c r="E647" s="7"/>
      <c r="F647" s="7"/>
      <c r="G647" s="7"/>
      <c r="H647" s="7"/>
      <c r="I647" s="4"/>
      <c r="J647" s="7"/>
      <c r="K647" s="7"/>
      <c r="L647" s="7"/>
      <c r="M647" s="7"/>
      <c r="N647" s="4"/>
      <c r="O647" s="4"/>
      <c r="P647" s="4"/>
      <c r="Q647" s="4"/>
      <c r="R647" s="4"/>
      <c r="S647" s="7"/>
      <c r="T647" s="7"/>
      <c r="U647" s="7"/>
      <c r="V647" s="7"/>
      <c r="W647" s="7"/>
      <c r="X647" s="7"/>
      <c r="Y647" s="4"/>
      <c r="Z647" s="4"/>
      <c r="AA647" s="4"/>
      <c r="AB647" s="4"/>
      <c r="AC647" s="4"/>
      <c r="AD647" s="4"/>
      <c r="AE647" s="4"/>
      <c r="AF647" s="4"/>
      <c r="AG647" s="49"/>
      <c r="AH647" s="4"/>
      <c r="AI647" s="4"/>
      <c r="AJ647" s="4"/>
      <c r="AK647" s="4"/>
      <c r="AL647" s="4"/>
      <c r="AM647" s="4"/>
      <c r="AN647" s="44"/>
      <c r="AO647" s="8"/>
      <c r="AP647" s="8"/>
      <c r="AQ647" s="8"/>
      <c r="AR647" s="8"/>
      <c r="AS647" s="8"/>
      <c r="AT647" s="8"/>
      <c r="AU647" s="8"/>
      <c r="AV647" s="46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4"/>
      <c r="BX647" s="4"/>
    </row>
    <row r="648" spans="1:76" s="16" customFormat="1" x14ac:dyDescent="0.25">
      <c r="A648" s="26"/>
      <c r="B648" s="6"/>
      <c r="C648" s="7"/>
      <c r="D648" s="7"/>
      <c r="E648" s="7"/>
      <c r="F648" s="7"/>
      <c r="G648" s="7"/>
      <c r="H648" s="7"/>
      <c r="I648" s="4"/>
      <c r="J648" s="7"/>
      <c r="K648" s="7"/>
      <c r="L648" s="7"/>
      <c r="M648" s="7"/>
      <c r="N648" s="4"/>
      <c r="O648" s="4"/>
      <c r="P648" s="4"/>
      <c r="Q648" s="4"/>
      <c r="R648" s="4"/>
      <c r="S648" s="7"/>
      <c r="T648" s="7"/>
      <c r="U648" s="7"/>
      <c r="V648" s="7"/>
      <c r="W648" s="7"/>
      <c r="X648" s="7"/>
      <c r="Y648" s="4"/>
      <c r="Z648" s="4"/>
      <c r="AA648" s="4"/>
      <c r="AB648" s="4"/>
      <c r="AC648" s="4"/>
      <c r="AD648" s="4"/>
      <c r="AE648" s="4"/>
      <c r="AF648" s="4"/>
      <c r="AG648" s="49"/>
      <c r="AH648" s="4"/>
      <c r="AI648" s="4"/>
      <c r="AJ648" s="4"/>
      <c r="AK648" s="4"/>
      <c r="AL648" s="4"/>
      <c r="AM648" s="4"/>
      <c r="AN648" s="44"/>
      <c r="AO648" s="8"/>
      <c r="AP648" s="8"/>
      <c r="AQ648" s="8"/>
      <c r="AR648" s="8"/>
      <c r="AS648" s="8"/>
      <c r="AT648" s="8"/>
      <c r="AU648" s="8"/>
      <c r="AV648" s="46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4"/>
      <c r="BX648" s="4"/>
    </row>
    <row r="649" spans="1:76" s="16" customFormat="1" x14ac:dyDescent="0.25">
      <c r="A649" s="26"/>
      <c r="B649" s="6"/>
      <c r="C649" s="7"/>
      <c r="D649" s="7"/>
      <c r="E649" s="7"/>
      <c r="F649" s="7"/>
      <c r="G649" s="7"/>
      <c r="H649" s="7"/>
      <c r="I649" s="4"/>
      <c r="J649" s="7"/>
      <c r="K649" s="7"/>
      <c r="L649" s="7"/>
      <c r="M649" s="7"/>
      <c r="N649" s="4"/>
      <c r="O649" s="4"/>
      <c r="P649" s="4"/>
      <c r="Q649" s="4"/>
      <c r="R649" s="4"/>
      <c r="S649" s="7"/>
      <c r="T649" s="7"/>
      <c r="U649" s="7"/>
      <c r="V649" s="7"/>
      <c r="W649" s="7"/>
      <c r="X649" s="7"/>
      <c r="Y649" s="4"/>
      <c r="Z649" s="4"/>
      <c r="AA649" s="4"/>
      <c r="AB649" s="4"/>
      <c r="AC649" s="4"/>
      <c r="AD649" s="4"/>
      <c r="AE649" s="4"/>
      <c r="AF649" s="4"/>
      <c r="AG649" s="49"/>
      <c r="AH649" s="4"/>
      <c r="AI649" s="4"/>
      <c r="AJ649" s="4"/>
      <c r="AK649" s="4"/>
      <c r="AL649" s="4"/>
      <c r="AM649" s="4"/>
      <c r="AN649" s="44"/>
      <c r="AO649" s="8"/>
      <c r="AP649" s="8"/>
      <c r="AQ649" s="8"/>
      <c r="AR649" s="8"/>
      <c r="AS649" s="8"/>
      <c r="AT649" s="8"/>
      <c r="AU649" s="8"/>
      <c r="AV649" s="46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4"/>
      <c r="BX649" s="4"/>
    </row>
    <row r="650" spans="1:76" s="16" customFormat="1" x14ac:dyDescent="0.25">
      <c r="A650" s="26"/>
      <c r="B650" s="6"/>
      <c r="C650" s="7"/>
      <c r="D650" s="7"/>
      <c r="E650" s="7"/>
      <c r="F650" s="7"/>
      <c r="G650" s="7"/>
      <c r="H650" s="7"/>
      <c r="I650" s="4"/>
      <c r="J650" s="7"/>
      <c r="K650" s="7"/>
      <c r="L650" s="7"/>
      <c r="M650" s="7"/>
      <c r="N650" s="4"/>
      <c r="O650" s="4"/>
      <c r="P650" s="4"/>
      <c r="Q650" s="4"/>
      <c r="R650" s="4"/>
      <c r="S650" s="7"/>
      <c r="T650" s="7"/>
      <c r="U650" s="7"/>
      <c r="V650" s="7"/>
      <c r="W650" s="7"/>
      <c r="X650" s="7"/>
      <c r="Y650" s="4"/>
      <c r="Z650" s="4"/>
      <c r="AA650" s="4"/>
      <c r="AB650" s="4"/>
      <c r="AC650" s="4"/>
      <c r="AD650" s="4"/>
      <c r="AE650" s="4"/>
      <c r="AF650" s="4"/>
      <c r="AG650" s="49"/>
      <c r="AH650" s="4"/>
      <c r="AI650" s="4"/>
      <c r="AJ650" s="4"/>
      <c r="AK650" s="4"/>
      <c r="AL650" s="4"/>
      <c r="AM650" s="4"/>
      <c r="AN650" s="44"/>
      <c r="AO650" s="8"/>
      <c r="AP650" s="8"/>
      <c r="AQ650" s="8"/>
      <c r="AR650" s="8"/>
      <c r="AS650" s="8"/>
      <c r="AT650" s="8"/>
      <c r="AU650" s="8"/>
      <c r="AV650" s="46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4"/>
      <c r="BX650" s="4"/>
    </row>
    <row r="651" spans="1:76" s="16" customFormat="1" x14ac:dyDescent="0.25">
      <c r="A651" s="26"/>
      <c r="B651" s="6"/>
      <c r="C651" s="7"/>
      <c r="D651" s="7"/>
      <c r="E651" s="7"/>
      <c r="F651" s="7"/>
      <c r="G651" s="7"/>
      <c r="H651" s="7"/>
      <c r="I651" s="4"/>
      <c r="J651" s="7"/>
      <c r="K651" s="7"/>
      <c r="L651" s="7"/>
      <c r="M651" s="7"/>
      <c r="N651" s="4"/>
      <c r="O651" s="4"/>
      <c r="P651" s="4"/>
      <c r="Q651" s="4"/>
      <c r="R651" s="4"/>
      <c r="S651" s="7"/>
      <c r="T651" s="7"/>
      <c r="U651" s="7"/>
      <c r="V651" s="7"/>
      <c r="W651" s="7"/>
      <c r="X651" s="7"/>
      <c r="Y651" s="4"/>
      <c r="Z651" s="4"/>
      <c r="AA651" s="4"/>
      <c r="AB651" s="4"/>
      <c r="AC651" s="4"/>
      <c r="AD651" s="4"/>
      <c r="AE651" s="4"/>
      <c r="AF651" s="4"/>
      <c r="AG651" s="49"/>
      <c r="AH651" s="4"/>
      <c r="AI651" s="4"/>
      <c r="AJ651" s="4"/>
      <c r="AK651" s="4"/>
      <c r="AL651" s="4"/>
      <c r="AM651" s="4"/>
      <c r="AN651" s="44"/>
      <c r="AO651" s="8"/>
      <c r="AP651" s="8"/>
      <c r="AQ651" s="8"/>
      <c r="AR651" s="8"/>
      <c r="AS651" s="8"/>
      <c r="AT651" s="8"/>
      <c r="AU651" s="8"/>
      <c r="AV651" s="46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4"/>
      <c r="BX651" s="4"/>
    </row>
    <row r="652" spans="1:76" s="16" customFormat="1" x14ac:dyDescent="0.25">
      <c r="A652" s="26"/>
      <c r="B652" s="6"/>
      <c r="C652" s="7"/>
      <c r="D652" s="7"/>
      <c r="E652" s="7"/>
      <c r="F652" s="7"/>
      <c r="G652" s="7"/>
      <c r="H652" s="7"/>
      <c r="I652" s="4"/>
      <c r="J652" s="7"/>
      <c r="K652" s="7"/>
      <c r="L652" s="7"/>
      <c r="M652" s="7"/>
      <c r="N652" s="4"/>
      <c r="O652" s="4"/>
      <c r="P652" s="4"/>
      <c r="Q652" s="4"/>
      <c r="R652" s="4"/>
      <c r="S652" s="7"/>
      <c r="T652" s="7"/>
      <c r="U652" s="7"/>
      <c r="V652" s="7"/>
      <c r="W652" s="7"/>
      <c r="X652" s="7"/>
      <c r="Y652" s="4"/>
      <c r="Z652" s="4"/>
      <c r="AA652" s="4"/>
      <c r="AB652" s="4"/>
      <c r="AC652" s="4"/>
      <c r="AD652" s="4"/>
      <c r="AE652" s="4"/>
      <c r="AF652" s="4"/>
      <c r="AG652" s="49"/>
      <c r="AH652" s="4"/>
      <c r="AI652" s="4"/>
      <c r="AJ652" s="4"/>
      <c r="AK652" s="4"/>
      <c r="AL652" s="4"/>
      <c r="AM652" s="4"/>
      <c r="AN652" s="44"/>
      <c r="AO652" s="8"/>
      <c r="AP652" s="8"/>
      <c r="AQ652" s="8"/>
      <c r="AR652" s="8"/>
      <c r="AS652" s="8"/>
      <c r="AT652" s="8"/>
      <c r="AU652" s="8"/>
      <c r="AV652" s="46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4"/>
      <c r="BX652" s="4"/>
    </row>
    <row r="653" spans="1:76" s="16" customFormat="1" x14ac:dyDescent="0.25">
      <c r="A653" s="26"/>
      <c r="B653" s="6"/>
      <c r="C653" s="7"/>
      <c r="D653" s="7"/>
      <c r="E653" s="7"/>
      <c r="F653" s="7"/>
      <c r="G653" s="7"/>
      <c r="H653" s="7"/>
      <c r="I653" s="4"/>
      <c r="J653" s="7"/>
      <c r="K653" s="7"/>
      <c r="L653" s="7"/>
      <c r="M653" s="7"/>
      <c r="N653" s="4"/>
      <c r="O653" s="4"/>
      <c r="P653" s="4"/>
      <c r="Q653" s="4"/>
      <c r="R653" s="4"/>
      <c r="S653" s="7"/>
      <c r="T653" s="7"/>
      <c r="U653" s="7"/>
      <c r="V653" s="7"/>
      <c r="W653" s="7"/>
      <c r="X653" s="7"/>
      <c r="Y653" s="4"/>
      <c r="Z653" s="4"/>
      <c r="AA653" s="4"/>
      <c r="AB653" s="4"/>
      <c r="AC653" s="4"/>
      <c r="AD653" s="4"/>
      <c r="AE653" s="4"/>
      <c r="AF653" s="4"/>
      <c r="AG653" s="49"/>
      <c r="AH653" s="4"/>
      <c r="AI653" s="4"/>
      <c r="AJ653" s="4"/>
      <c r="AK653" s="4"/>
      <c r="AL653" s="4"/>
      <c r="AM653" s="4"/>
      <c r="AN653" s="44"/>
      <c r="AO653" s="8"/>
      <c r="AP653" s="8"/>
      <c r="AQ653" s="8"/>
      <c r="AR653" s="8"/>
      <c r="AS653" s="8"/>
      <c r="AT653" s="8"/>
      <c r="AU653" s="8"/>
      <c r="AV653" s="46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4"/>
      <c r="BX653" s="4"/>
    </row>
    <row r="654" spans="1:76" s="16" customFormat="1" x14ac:dyDescent="0.25">
      <c r="A654" s="26"/>
      <c r="B654" s="6"/>
      <c r="C654" s="7"/>
      <c r="D654" s="7"/>
      <c r="E654" s="7"/>
      <c r="F654" s="7"/>
      <c r="G654" s="7"/>
      <c r="H654" s="7"/>
      <c r="I654" s="4"/>
      <c r="J654" s="7"/>
      <c r="K654" s="7"/>
      <c r="L654" s="7"/>
      <c r="M654" s="7"/>
      <c r="N654" s="4"/>
      <c r="O654" s="4"/>
      <c r="P654" s="4"/>
      <c r="Q654" s="4"/>
      <c r="R654" s="4"/>
      <c r="S654" s="7"/>
      <c r="T654" s="7"/>
      <c r="U654" s="7"/>
      <c r="V654" s="7"/>
      <c r="W654" s="7"/>
      <c r="X654" s="7"/>
      <c r="Y654" s="4"/>
      <c r="Z654" s="4"/>
      <c r="AA654" s="4"/>
      <c r="AB654" s="4"/>
      <c r="AC654" s="4"/>
      <c r="AD654" s="4"/>
      <c r="AE654" s="4"/>
      <c r="AF654" s="4"/>
      <c r="AG654" s="49"/>
      <c r="AH654" s="4"/>
      <c r="AI654" s="4"/>
      <c r="AJ654" s="4"/>
      <c r="AK654" s="4"/>
      <c r="AL654" s="4"/>
      <c r="AM654" s="4"/>
      <c r="AN654" s="44"/>
      <c r="AO654" s="8"/>
      <c r="AP654" s="8"/>
      <c r="AQ654" s="8"/>
      <c r="AR654" s="8"/>
      <c r="AS654" s="8"/>
      <c r="AT654" s="8"/>
      <c r="AU654" s="8"/>
      <c r="AV654" s="46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4"/>
      <c r="BX654" s="4"/>
    </row>
    <row r="655" spans="1:76" s="16" customFormat="1" x14ac:dyDescent="0.25">
      <c r="A655" s="26"/>
      <c r="B655" s="6"/>
      <c r="C655" s="7"/>
      <c r="D655" s="7"/>
      <c r="E655" s="7"/>
      <c r="F655" s="7"/>
      <c r="G655" s="7"/>
      <c r="H655" s="7"/>
      <c r="I655" s="4"/>
      <c r="J655" s="7"/>
      <c r="K655" s="7"/>
      <c r="L655" s="7"/>
      <c r="M655" s="7"/>
      <c r="N655" s="4"/>
      <c r="O655" s="4"/>
      <c r="P655" s="4"/>
      <c r="Q655" s="4"/>
      <c r="R655" s="4"/>
      <c r="S655" s="7"/>
      <c r="T655" s="7"/>
      <c r="U655" s="7"/>
      <c r="V655" s="7"/>
      <c r="W655" s="7"/>
      <c r="X655" s="7"/>
      <c r="Y655" s="4"/>
      <c r="Z655" s="4"/>
      <c r="AA655" s="4"/>
      <c r="AB655" s="4"/>
      <c r="AC655" s="4"/>
      <c r="AD655" s="4"/>
      <c r="AE655" s="4"/>
      <c r="AF655" s="4"/>
      <c r="AG655" s="49"/>
      <c r="AH655" s="4"/>
      <c r="AI655" s="4"/>
      <c r="AJ655" s="4"/>
      <c r="AK655" s="4"/>
      <c r="AL655" s="4"/>
      <c r="AM655" s="4"/>
      <c r="AN655" s="44"/>
      <c r="AO655" s="8"/>
      <c r="AP655" s="8"/>
      <c r="AQ655" s="8"/>
      <c r="AR655" s="8"/>
      <c r="AS655" s="8"/>
      <c r="AT655" s="8"/>
      <c r="AU655" s="8"/>
      <c r="AV655" s="46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4"/>
      <c r="BX655" s="4"/>
    </row>
    <row r="656" spans="1:76" s="16" customFormat="1" x14ac:dyDescent="0.25">
      <c r="A656" s="26"/>
      <c r="B656" s="6"/>
      <c r="C656" s="7"/>
      <c r="D656" s="7"/>
      <c r="E656" s="7"/>
      <c r="F656" s="7"/>
      <c r="G656" s="7"/>
      <c r="H656" s="7"/>
      <c r="I656" s="4"/>
      <c r="J656" s="7"/>
      <c r="K656" s="7"/>
      <c r="L656" s="7"/>
      <c r="M656" s="7"/>
      <c r="N656" s="4"/>
      <c r="O656" s="4"/>
      <c r="P656" s="4"/>
      <c r="Q656" s="4"/>
      <c r="R656" s="4"/>
      <c r="S656" s="7"/>
      <c r="T656" s="7"/>
      <c r="U656" s="7"/>
      <c r="V656" s="7"/>
      <c r="W656" s="7"/>
      <c r="X656" s="7"/>
      <c r="Y656" s="4"/>
      <c r="Z656" s="4"/>
      <c r="AA656" s="4"/>
      <c r="AB656" s="4"/>
      <c r="AC656" s="4"/>
      <c r="AD656" s="4"/>
      <c r="AE656" s="4"/>
      <c r="AF656" s="4"/>
      <c r="AG656" s="49"/>
      <c r="AH656" s="4"/>
      <c r="AI656" s="4"/>
      <c r="AJ656" s="4"/>
      <c r="AK656" s="4"/>
      <c r="AL656" s="4"/>
      <c r="AM656" s="4"/>
      <c r="AN656" s="44"/>
      <c r="AO656" s="8"/>
      <c r="AP656" s="8"/>
      <c r="AQ656" s="8"/>
      <c r="AR656" s="8"/>
      <c r="AS656" s="8"/>
      <c r="AT656" s="8"/>
      <c r="AU656" s="8"/>
      <c r="AV656" s="46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4"/>
      <c r="BX656" s="4"/>
    </row>
    <row r="657" spans="1:76" s="16" customFormat="1" x14ac:dyDescent="0.25">
      <c r="A657" s="26"/>
      <c r="B657" s="6"/>
      <c r="C657" s="7"/>
      <c r="D657" s="7"/>
      <c r="E657" s="7"/>
      <c r="F657" s="7"/>
      <c r="G657" s="7"/>
      <c r="H657" s="7"/>
      <c r="I657" s="4"/>
      <c r="J657" s="7"/>
      <c r="K657" s="7"/>
      <c r="L657" s="7"/>
      <c r="M657" s="7"/>
      <c r="N657" s="4"/>
      <c r="O657" s="4"/>
      <c r="P657" s="4"/>
      <c r="Q657" s="4"/>
      <c r="R657" s="4"/>
      <c r="S657" s="7"/>
      <c r="T657" s="7"/>
      <c r="U657" s="7"/>
      <c r="V657" s="7"/>
      <c r="W657" s="7"/>
      <c r="X657" s="7"/>
      <c r="Y657" s="4"/>
      <c r="Z657" s="4"/>
      <c r="AA657" s="4"/>
      <c r="AB657" s="4"/>
      <c r="AC657" s="4"/>
      <c r="AD657" s="4"/>
      <c r="AE657" s="4"/>
      <c r="AF657" s="4"/>
      <c r="AG657" s="49"/>
      <c r="AH657" s="4"/>
      <c r="AI657" s="4"/>
      <c r="AJ657" s="4"/>
      <c r="AK657" s="4"/>
      <c r="AL657" s="4"/>
      <c r="AM657" s="4"/>
      <c r="AN657" s="44"/>
      <c r="AO657" s="8"/>
      <c r="AP657" s="8"/>
      <c r="AQ657" s="8"/>
      <c r="AR657" s="8"/>
      <c r="AS657" s="8"/>
      <c r="AT657" s="8"/>
      <c r="AU657" s="8"/>
      <c r="AV657" s="46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4"/>
      <c r="BX657" s="4"/>
    </row>
    <row r="658" spans="1:76" s="16" customFormat="1" x14ac:dyDescent="0.25">
      <c r="A658" s="26"/>
      <c r="B658" s="6"/>
      <c r="C658" s="7"/>
      <c r="D658" s="7"/>
      <c r="E658" s="7"/>
      <c r="F658" s="7"/>
      <c r="G658" s="7"/>
      <c r="H658" s="7"/>
      <c r="I658" s="4"/>
      <c r="J658" s="7"/>
      <c r="K658" s="7"/>
      <c r="L658" s="7"/>
      <c r="M658" s="7"/>
      <c r="N658" s="4"/>
      <c r="O658" s="4"/>
      <c r="P658" s="4"/>
      <c r="Q658" s="4"/>
      <c r="R658" s="4"/>
      <c r="S658" s="7"/>
      <c r="T658" s="7"/>
      <c r="U658" s="7"/>
      <c r="V658" s="7"/>
      <c r="W658" s="7"/>
      <c r="X658" s="7"/>
      <c r="Y658" s="4"/>
      <c r="Z658" s="4"/>
      <c r="AA658" s="4"/>
      <c r="AB658" s="4"/>
      <c r="AC658" s="4"/>
      <c r="AD658" s="4"/>
      <c r="AE658" s="4"/>
      <c r="AF658" s="4"/>
      <c r="AG658" s="49"/>
      <c r="AH658" s="4"/>
      <c r="AI658" s="4"/>
      <c r="AJ658" s="4"/>
      <c r="AK658" s="4"/>
      <c r="AL658" s="4"/>
      <c r="AM658" s="4"/>
      <c r="AN658" s="44"/>
      <c r="AO658" s="8"/>
      <c r="AP658" s="8"/>
      <c r="AQ658" s="8"/>
      <c r="AR658" s="8"/>
      <c r="AS658" s="8"/>
      <c r="AT658" s="8"/>
      <c r="AU658" s="8"/>
      <c r="AV658" s="46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4"/>
      <c r="BX658" s="4"/>
    </row>
    <row r="659" spans="1:76" s="16" customFormat="1" x14ac:dyDescent="0.25">
      <c r="A659" s="26"/>
      <c r="B659" s="6"/>
      <c r="C659" s="7"/>
      <c r="D659" s="7"/>
      <c r="E659" s="7"/>
      <c r="F659" s="7"/>
      <c r="G659" s="7"/>
      <c r="H659" s="7"/>
      <c r="I659" s="4"/>
      <c r="J659" s="7"/>
      <c r="K659" s="7"/>
      <c r="L659" s="7"/>
      <c r="M659" s="7"/>
      <c r="N659" s="4"/>
      <c r="O659" s="4"/>
      <c r="P659" s="4"/>
      <c r="Q659" s="4"/>
      <c r="R659" s="4"/>
      <c r="S659" s="7"/>
      <c r="T659" s="7"/>
      <c r="U659" s="7"/>
      <c r="V659" s="7"/>
      <c r="W659" s="7"/>
      <c r="X659" s="7"/>
      <c r="Y659" s="4"/>
      <c r="Z659" s="4"/>
      <c r="AA659" s="4"/>
      <c r="AB659" s="4"/>
      <c r="AC659" s="4"/>
      <c r="AD659" s="4"/>
      <c r="AE659" s="4"/>
      <c r="AF659" s="4"/>
      <c r="AG659" s="49"/>
      <c r="AH659" s="4"/>
      <c r="AI659" s="4"/>
      <c r="AJ659" s="4"/>
      <c r="AK659" s="4"/>
      <c r="AL659" s="4"/>
      <c r="AM659" s="4"/>
      <c r="AN659" s="44"/>
      <c r="AO659" s="8"/>
      <c r="AP659" s="8"/>
      <c r="AQ659" s="8"/>
      <c r="AR659" s="8"/>
      <c r="AS659" s="8"/>
      <c r="AT659" s="8"/>
      <c r="AU659" s="8"/>
      <c r="AV659" s="46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4"/>
      <c r="BX659" s="4"/>
    </row>
    <row r="660" spans="1:76" s="16" customFormat="1" x14ac:dyDescent="0.25">
      <c r="A660" s="26"/>
      <c r="B660" s="6"/>
      <c r="C660" s="7"/>
      <c r="D660" s="7"/>
      <c r="E660" s="7"/>
      <c r="F660" s="7"/>
      <c r="G660" s="7"/>
      <c r="H660" s="7"/>
      <c r="I660" s="4"/>
      <c r="J660" s="7"/>
      <c r="K660" s="7"/>
      <c r="L660" s="7"/>
      <c r="M660" s="7"/>
      <c r="N660" s="4"/>
      <c r="O660" s="4"/>
      <c r="P660" s="4"/>
      <c r="Q660" s="4"/>
      <c r="R660" s="4"/>
      <c r="S660" s="7"/>
      <c r="T660" s="7"/>
      <c r="U660" s="7"/>
      <c r="V660" s="7"/>
      <c r="W660" s="7"/>
      <c r="X660" s="7"/>
      <c r="Y660" s="4"/>
      <c r="Z660" s="4"/>
      <c r="AA660" s="4"/>
      <c r="AB660" s="4"/>
      <c r="AC660" s="4"/>
      <c r="AD660" s="4"/>
      <c r="AE660" s="4"/>
      <c r="AF660" s="4"/>
      <c r="AG660" s="49"/>
      <c r="AH660" s="4"/>
      <c r="AI660" s="4"/>
      <c r="AJ660" s="4"/>
      <c r="AK660" s="4"/>
      <c r="AL660" s="4"/>
      <c r="AM660" s="4"/>
      <c r="AN660" s="44"/>
      <c r="AO660" s="8"/>
      <c r="AP660" s="8"/>
      <c r="AQ660" s="8"/>
      <c r="AR660" s="8"/>
      <c r="AS660" s="8"/>
      <c r="AT660" s="8"/>
      <c r="AU660" s="8"/>
      <c r="AV660" s="46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4"/>
      <c r="BX660" s="4"/>
    </row>
    <row r="661" spans="1:76" s="16" customFormat="1" x14ac:dyDescent="0.25">
      <c r="A661" s="26"/>
      <c r="B661" s="6"/>
      <c r="C661" s="7"/>
      <c r="D661" s="7"/>
      <c r="E661" s="7"/>
      <c r="F661" s="7"/>
      <c r="G661" s="7"/>
      <c r="H661" s="7"/>
      <c r="I661" s="4"/>
      <c r="J661" s="7"/>
      <c r="K661" s="7"/>
      <c r="L661" s="7"/>
      <c r="M661" s="7"/>
      <c r="N661" s="4"/>
      <c r="O661" s="4"/>
      <c r="P661" s="4"/>
      <c r="Q661" s="4"/>
      <c r="R661" s="4"/>
      <c r="S661" s="7"/>
      <c r="T661" s="7"/>
      <c r="U661" s="7"/>
      <c r="V661" s="7"/>
      <c r="W661" s="7"/>
      <c r="X661" s="7"/>
      <c r="Y661" s="4"/>
      <c r="Z661" s="4"/>
      <c r="AA661" s="4"/>
      <c r="AB661" s="4"/>
      <c r="AC661" s="4"/>
      <c r="AD661" s="4"/>
      <c r="AE661" s="4"/>
      <c r="AF661" s="4"/>
      <c r="AG661" s="49"/>
      <c r="AH661" s="4"/>
      <c r="AI661" s="4"/>
      <c r="AJ661" s="4"/>
      <c r="AK661" s="4"/>
      <c r="AL661" s="4"/>
      <c r="AM661" s="4"/>
      <c r="AN661" s="44"/>
      <c r="AO661" s="8"/>
      <c r="AP661" s="8"/>
      <c r="AQ661" s="8"/>
      <c r="AR661" s="8"/>
      <c r="AS661" s="8"/>
      <c r="AT661" s="8"/>
      <c r="AU661" s="8"/>
      <c r="AV661" s="46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4"/>
      <c r="BX661" s="4"/>
    </row>
    <row r="662" spans="1:76" s="16" customFormat="1" x14ac:dyDescent="0.25">
      <c r="A662" s="26"/>
      <c r="B662" s="6"/>
      <c r="C662" s="7"/>
      <c r="D662" s="7"/>
      <c r="E662" s="7"/>
      <c r="F662" s="7"/>
      <c r="G662" s="7"/>
      <c r="H662" s="7"/>
      <c r="I662" s="4"/>
      <c r="J662" s="7"/>
      <c r="K662" s="7"/>
      <c r="L662" s="7"/>
      <c r="M662" s="7"/>
      <c r="N662" s="4"/>
      <c r="O662" s="4"/>
      <c r="P662" s="4"/>
      <c r="Q662" s="4"/>
      <c r="R662" s="4"/>
      <c r="S662" s="7"/>
      <c r="T662" s="7"/>
      <c r="U662" s="7"/>
      <c r="V662" s="7"/>
      <c r="W662" s="7"/>
      <c r="X662" s="7"/>
      <c r="Y662" s="4"/>
      <c r="Z662" s="4"/>
      <c r="AA662" s="4"/>
      <c r="AB662" s="4"/>
      <c r="AC662" s="4"/>
      <c r="AD662" s="4"/>
      <c r="AE662" s="4"/>
      <c r="AF662" s="4"/>
      <c r="AG662" s="49"/>
      <c r="AH662" s="4"/>
      <c r="AI662" s="4"/>
      <c r="AJ662" s="4"/>
      <c r="AK662" s="4"/>
      <c r="AL662" s="4"/>
      <c r="AM662" s="4"/>
      <c r="AN662" s="44"/>
      <c r="AO662" s="8"/>
      <c r="AP662" s="8"/>
      <c r="AQ662" s="8"/>
      <c r="AR662" s="8"/>
      <c r="AS662" s="8"/>
      <c r="AT662" s="8"/>
      <c r="AU662" s="8"/>
      <c r="AV662" s="46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4"/>
      <c r="BX662" s="4"/>
    </row>
    <row r="663" spans="1:76" s="16" customFormat="1" x14ac:dyDescent="0.25">
      <c r="A663" s="26"/>
      <c r="B663" s="6"/>
      <c r="C663" s="7"/>
      <c r="D663" s="7"/>
      <c r="E663" s="7"/>
      <c r="F663" s="7"/>
      <c r="G663" s="7"/>
      <c r="H663" s="7"/>
      <c r="I663" s="4"/>
      <c r="J663" s="7"/>
      <c r="K663" s="7"/>
      <c r="L663" s="7"/>
      <c r="M663" s="7"/>
      <c r="N663" s="4"/>
      <c r="O663" s="4"/>
      <c r="P663" s="4"/>
      <c r="Q663" s="4"/>
      <c r="R663" s="4"/>
      <c r="S663" s="7"/>
      <c r="T663" s="7"/>
      <c r="U663" s="7"/>
      <c r="V663" s="7"/>
      <c r="W663" s="7"/>
      <c r="X663" s="7"/>
      <c r="Y663" s="4"/>
      <c r="Z663" s="4"/>
      <c r="AA663" s="4"/>
      <c r="AB663" s="4"/>
      <c r="AC663" s="4"/>
      <c r="AD663" s="4"/>
      <c r="AE663" s="4"/>
      <c r="AF663" s="4"/>
      <c r="AG663" s="49"/>
      <c r="AH663" s="4"/>
      <c r="AI663" s="4"/>
      <c r="AJ663" s="4"/>
      <c r="AK663" s="4"/>
      <c r="AL663" s="4"/>
      <c r="AM663" s="4"/>
      <c r="AN663" s="44"/>
      <c r="AO663" s="8"/>
      <c r="AP663" s="8"/>
      <c r="AQ663" s="8"/>
      <c r="AR663" s="8"/>
      <c r="AS663" s="8"/>
      <c r="AT663" s="8"/>
      <c r="AU663" s="8"/>
      <c r="AV663" s="46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4"/>
      <c r="BX663" s="4"/>
    </row>
    <row r="664" spans="1:76" s="16" customFormat="1" x14ac:dyDescent="0.25">
      <c r="A664" s="26"/>
      <c r="B664" s="6"/>
      <c r="C664" s="7"/>
      <c r="D664" s="7"/>
      <c r="E664" s="7"/>
      <c r="F664" s="7"/>
      <c r="G664" s="7"/>
      <c r="H664" s="7"/>
      <c r="I664" s="4"/>
      <c r="J664" s="7"/>
      <c r="K664" s="7"/>
      <c r="L664" s="7"/>
      <c r="M664" s="7"/>
      <c r="N664" s="4"/>
      <c r="O664" s="4"/>
      <c r="P664" s="4"/>
      <c r="Q664" s="4"/>
      <c r="R664" s="4"/>
      <c r="S664" s="7"/>
      <c r="T664" s="7"/>
      <c r="U664" s="7"/>
      <c r="V664" s="7"/>
      <c r="W664" s="7"/>
      <c r="X664" s="7"/>
      <c r="Y664" s="4"/>
      <c r="Z664" s="4"/>
      <c r="AA664" s="4"/>
      <c r="AB664" s="4"/>
      <c r="AC664" s="4"/>
      <c r="AD664" s="4"/>
      <c r="AE664" s="4"/>
      <c r="AF664" s="4"/>
      <c r="AG664" s="49"/>
      <c r="AH664" s="4"/>
      <c r="AI664" s="4"/>
      <c r="AJ664" s="4"/>
      <c r="AK664" s="4"/>
      <c r="AL664" s="4"/>
      <c r="AM664" s="4"/>
      <c r="AN664" s="44"/>
      <c r="AO664" s="8"/>
      <c r="AP664" s="8"/>
      <c r="AQ664" s="8"/>
      <c r="AR664" s="8"/>
      <c r="AS664" s="8"/>
      <c r="AT664" s="8"/>
      <c r="AU664" s="8"/>
      <c r="AV664" s="46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4"/>
      <c r="BX664" s="4"/>
    </row>
    <row r="665" spans="1:76" s="16" customFormat="1" x14ac:dyDescent="0.25">
      <c r="A665" s="26"/>
      <c r="B665" s="6"/>
      <c r="C665" s="7"/>
      <c r="D665" s="7"/>
      <c r="E665" s="7"/>
      <c r="F665" s="7"/>
      <c r="G665" s="7"/>
      <c r="H665" s="7"/>
      <c r="I665" s="4"/>
      <c r="J665" s="7"/>
      <c r="K665" s="7"/>
      <c r="L665" s="7"/>
      <c r="M665" s="7"/>
      <c r="N665" s="4"/>
      <c r="O665" s="4"/>
      <c r="P665" s="4"/>
      <c r="Q665" s="4"/>
      <c r="R665" s="4"/>
      <c r="S665" s="7"/>
      <c r="T665" s="7"/>
      <c r="U665" s="7"/>
      <c r="V665" s="7"/>
      <c r="W665" s="7"/>
      <c r="X665" s="7"/>
      <c r="Y665" s="4"/>
      <c r="Z665" s="4"/>
      <c r="AA665" s="4"/>
      <c r="AB665" s="4"/>
      <c r="AC665" s="4"/>
      <c r="AD665" s="4"/>
      <c r="AE665" s="4"/>
      <c r="AF665" s="4"/>
      <c r="AG665" s="49"/>
      <c r="AH665" s="4"/>
      <c r="AI665" s="4"/>
      <c r="AJ665" s="4"/>
      <c r="AK665" s="4"/>
      <c r="AL665" s="4"/>
      <c r="AM665" s="4"/>
      <c r="AN665" s="44"/>
      <c r="AO665" s="8"/>
      <c r="AP665" s="8"/>
      <c r="AQ665" s="8"/>
      <c r="AR665" s="8"/>
      <c r="AS665" s="8"/>
      <c r="AT665" s="8"/>
      <c r="AU665" s="8"/>
      <c r="AV665" s="46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4"/>
      <c r="BX665" s="4"/>
    </row>
    <row r="666" spans="1:76" s="16" customFormat="1" x14ac:dyDescent="0.25">
      <c r="A666" s="26"/>
      <c r="B666" s="6"/>
      <c r="C666" s="7"/>
      <c r="D666" s="7"/>
      <c r="E666" s="7"/>
      <c r="F666" s="7"/>
      <c r="G666" s="7"/>
      <c r="H666" s="7"/>
      <c r="I666" s="4"/>
      <c r="J666" s="7"/>
      <c r="K666" s="7"/>
      <c r="L666" s="7"/>
      <c r="M666" s="7"/>
      <c r="N666" s="4"/>
      <c r="O666" s="4"/>
      <c r="P666" s="4"/>
      <c r="Q666" s="4"/>
      <c r="R666" s="4"/>
      <c r="S666" s="7"/>
      <c r="T666" s="7"/>
      <c r="U666" s="7"/>
      <c r="V666" s="7"/>
      <c r="W666" s="7"/>
      <c r="X666" s="7"/>
      <c r="Y666" s="4"/>
      <c r="Z666" s="4"/>
      <c r="AA666" s="4"/>
      <c r="AB666" s="4"/>
      <c r="AC666" s="4"/>
      <c r="AD666" s="4"/>
      <c r="AE666" s="4"/>
      <c r="AF666" s="4"/>
      <c r="AG666" s="49"/>
      <c r="AH666" s="4"/>
      <c r="AI666" s="4"/>
      <c r="AJ666" s="4"/>
      <c r="AK666" s="4"/>
      <c r="AL666" s="4"/>
      <c r="AM666" s="4"/>
      <c r="AN666" s="44"/>
      <c r="AO666" s="8"/>
      <c r="AP666" s="8"/>
      <c r="AQ666" s="8"/>
      <c r="AR666" s="8"/>
      <c r="AS666" s="8"/>
      <c r="AT666" s="8"/>
      <c r="AU666" s="8"/>
      <c r="AV666" s="46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4"/>
      <c r="BX666" s="4"/>
    </row>
    <row r="667" spans="1:76" s="16" customFormat="1" x14ac:dyDescent="0.25">
      <c r="A667" s="26"/>
      <c r="B667" s="6"/>
      <c r="C667" s="7"/>
      <c r="D667" s="7"/>
      <c r="E667" s="7"/>
      <c r="F667" s="7"/>
      <c r="G667" s="7"/>
      <c r="H667" s="7"/>
      <c r="I667" s="4"/>
      <c r="J667" s="7"/>
      <c r="K667" s="7"/>
      <c r="L667" s="7"/>
      <c r="M667" s="7"/>
      <c r="N667" s="4"/>
      <c r="O667" s="4"/>
      <c r="P667" s="4"/>
      <c r="Q667" s="4"/>
      <c r="R667" s="4"/>
      <c r="S667" s="7"/>
      <c r="T667" s="7"/>
      <c r="U667" s="7"/>
      <c r="V667" s="7"/>
      <c r="W667" s="7"/>
      <c r="X667" s="7"/>
      <c r="Y667" s="4"/>
      <c r="Z667" s="4"/>
      <c r="AA667" s="4"/>
      <c r="AB667" s="4"/>
      <c r="AC667" s="4"/>
      <c r="AD667" s="4"/>
      <c r="AE667" s="4"/>
      <c r="AF667" s="4"/>
      <c r="AG667" s="49"/>
      <c r="AH667" s="4"/>
      <c r="AI667" s="4"/>
      <c r="AJ667" s="4"/>
      <c r="AK667" s="4"/>
      <c r="AL667" s="4"/>
      <c r="AM667" s="4"/>
      <c r="AN667" s="44"/>
      <c r="AO667" s="8"/>
      <c r="AP667" s="8"/>
      <c r="AQ667" s="8"/>
      <c r="AR667" s="8"/>
      <c r="AS667" s="8"/>
      <c r="AT667" s="8"/>
      <c r="AU667" s="8"/>
      <c r="AV667" s="46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4"/>
      <c r="BX667" s="4"/>
    </row>
    <row r="668" spans="1:76" s="16" customFormat="1" x14ac:dyDescent="0.25">
      <c r="A668" s="26"/>
      <c r="B668" s="6"/>
      <c r="C668" s="7"/>
      <c r="D668" s="7"/>
      <c r="E668" s="7"/>
      <c r="F668" s="7"/>
      <c r="G668" s="7"/>
      <c r="H668" s="7"/>
      <c r="I668" s="4"/>
      <c r="J668" s="7"/>
      <c r="K668" s="7"/>
      <c r="L668" s="7"/>
      <c r="M668" s="7"/>
      <c r="N668" s="4"/>
      <c r="O668" s="4"/>
      <c r="P668" s="4"/>
      <c r="Q668" s="4"/>
      <c r="R668" s="4"/>
      <c r="S668" s="7"/>
      <c r="T668" s="7"/>
      <c r="U668" s="7"/>
      <c r="V668" s="7"/>
      <c r="W668" s="7"/>
      <c r="X668" s="7"/>
      <c r="Y668" s="4"/>
      <c r="Z668" s="4"/>
      <c r="AA668" s="4"/>
      <c r="AB668" s="4"/>
      <c r="AC668" s="4"/>
      <c r="AD668" s="4"/>
      <c r="AE668" s="4"/>
      <c r="AF668" s="4"/>
      <c r="AG668" s="49"/>
      <c r="AH668" s="4"/>
      <c r="AI668" s="4"/>
      <c r="AJ668" s="4"/>
      <c r="AK668" s="4"/>
      <c r="AL668" s="4"/>
      <c r="AM668" s="4"/>
      <c r="AN668" s="44"/>
      <c r="AO668" s="8"/>
      <c r="AP668" s="8"/>
      <c r="AQ668" s="8"/>
      <c r="AR668" s="8"/>
      <c r="AS668" s="8"/>
      <c r="AT668" s="8"/>
      <c r="AU668" s="8"/>
      <c r="AV668" s="46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4"/>
      <c r="BX668" s="4"/>
    </row>
    <row r="669" spans="1:76" s="16" customFormat="1" x14ac:dyDescent="0.25">
      <c r="A669" s="26"/>
      <c r="B669" s="6"/>
      <c r="C669" s="7"/>
      <c r="D669" s="7"/>
      <c r="E669" s="7"/>
      <c r="F669" s="7"/>
      <c r="G669" s="7"/>
      <c r="H669" s="7"/>
      <c r="I669" s="4"/>
      <c r="J669" s="7"/>
      <c r="K669" s="7"/>
      <c r="L669" s="7"/>
      <c r="M669" s="7"/>
      <c r="N669" s="4"/>
      <c r="O669" s="4"/>
      <c r="P669" s="4"/>
      <c r="Q669" s="4"/>
      <c r="R669" s="4"/>
      <c r="S669" s="7"/>
      <c r="T669" s="7"/>
      <c r="U669" s="7"/>
      <c r="V669" s="7"/>
      <c r="W669" s="7"/>
      <c r="X669" s="7"/>
      <c r="Y669" s="4"/>
      <c r="Z669" s="4"/>
      <c r="AA669" s="4"/>
      <c r="AB669" s="4"/>
      <c r="AC669" s="4"/>
      <c r="AD669" s="4"/>
      <c r="AE669" s="4"/>
      <c r="AF669" s="4"/>
      <c r="AG669" s="49"/>
      <c r="AH669" s="4"/>
      <c r="AI669" s="4"/>
      <c r="AJ669" s="4"/>
      <c r="AK669" s="4"/>
      <c r="AL669" s="4"/>
      <c r="AM669" s="4"/>
      <c r="AN669" s="44"/>
      <c r="AO669" s="8"/>
      <c r="AP669" s="8"/>
      <c r="AQ669" s="8"/>
      <c r="AR669" s="8"/>
      <c r="AS669" s="8"/>
      <c r="AT669" s="8"/>
      <c r="AU669" s="8"/>
      <c r="AV669" s="46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4"/>
      <c r="BX669" s="4"/>
    </row>
    <row r="670" spans="1:76" s="16" customFormat="1" x14ac:dyDescent="0.25">
      <c r="A670" s="26"/>
      <c r="B670" s="6"/>
      <c r="C670" s="7"/>
      <c r="D670" s="7"/>
      <c r="E670" s="7"/>
      <c r="F670" s="7"/>
      <c r="G670" s="7"/>
      <c r="H670" s="7"/>
      <c r="I670" s="4"/>
      <c r="J670" s="7"/>
      <c r="K670" s="7"/>
      <c r="L670" s="7"/>
      <c r="M670" s="7"/>
      <c r="N670" s="4"/>
      <c r="O670" s="4"/>
      <c r="P670" s="4"/>
      <c r="Q670" s="4"/>
      <c r="R670" s="4"/>
      <c r="S670" s="7"/>
      <c r="T670" s="7"/>
      <c r="U670" s="7"/>
      <c r="V670" s="7"/>
      <c r="W670" s="7"/>
      <c r="X670" s="7"/>
      <c r="Y670" s="4"/>
      <c r="Z670" s="4"/>
      <c r="AA670" s="4"/>
      <c r="AB670" s="4"/>
      <c r="AC670" s="4"/>
      <c r="AD670" s="4"/>
      <c r="AE670" s="4"/>
      <c r="AF670" s="4"/>
      <c r="AG670" s="49"/>
      <c r="AH670" s="4"/>
      <c r="AI670" s="4"/>
      <c r="AJ670" s="4"/>
      <c r="AK670" s="4"/>
      <c r="AL670" s="4"/>
      <c r="AM670" s="4"/>
      <c r="AN670" s="44"/>
      <c r="AO670" s="8"/>
      <c r="AP670" s="8"/>
      <c r="AQ670" s="8"/>
      <c r="AR670" s="8"/>
      <c r="AS670" s="8"/>
      <c r="AT670" s="8"/>
      <c r="AU670" s="8"/>
      <c r="AV670" s="46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4"/>
      <c r="BX670" s="4"/>
    </row>
    <row r="671" spans="1:76" s="16" customFormat="1" x14ac:dyDescent="0.25">
      <c r="A671" s="26"/>
      <c r="B671" s="6"/>
      <c r="C671" s="7"/>
      <c r="D671" s="7"/>
      <c r="E671" s="7"/>
      <c r="F671" s="7"/>
      <c r="G671" s="7"/>
      <c r="H671" s="7"/>
      <c r="I671" s="4"/>
      <c r="J671" s="7"/>
      <c r="K671" s="7"/>
      <c r="L671" s="7"/>
      <c r="M671" s="7"/>
      <c r="N671" s="4"/>
      <c r="O671" s="4"/>
      <c r="P671" s="4"/>
      <c r="Q671" s="4"/>
      <c r="R671" s="4"/>
      <c r="S671" s="7"/>
      <c r="T671" s="7"/>
      <c r="U671" s="7"/>
      <c r="V671" s="7"/>
      <c r="W671" s="7"/>
      <c r="X671" s="7"/>
      <c r="Y671" s="4"/>
      <c r="Z671" s="4"/>
      <c r="AA671" s="4"/>
      <c r="AB671" s="4"/>
      <c r="AC671" s="4"/>
      <c r="AD671" s="4"/>
      <c r="AE671" s="4"/>
      <c r="AF671" s="4"/>
      <c r="AG671" s="49"/>
      <c r="AH671" s="4"/>
      <c r="AI671" s="4"/>
      <c r="AJ671" s="4"/>
      <c r="AK671" s="4"/>
      <c r="AL671" s="4"/>
      <c r="AM671" s="4"/>
      <c r="AN671" s="44"/>
      <c r="AO671" s="8"/>
      <c r="AP671" s="8"/>
      <c r="AQ671" s="8"/>
      <c r="AR671" s="8"/>
      <c r="AS671" s="8"/>
      <c r="AT671" s="8"/>
      <c r="AU671" s="8"/>
      <c r="AV671" s="46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4"/>
      <c r="BX671" s="4"/>
    </row>
    <row r="672" spans="1:76" s="16" customFormat="1" x14ac:dyDescent="0.25">
      <c r="A672" s="26"/>
      <c r="B672" s="6"/>
      <c r="C672" s="7"/>
      <c r="D672" s="7"/>
      <c r="E672" s="7"/>
      <c r="F672" s="7"/>
      <c r="G672" s="7"/>
      <c r="H672" s="7"/>
      <c r="I672" s="4"/>
      <c r="J672" s="7"/>
      <c r="K672" s="7"/>
      <c r="L672" s="7"/>
      <c r="M672" s="7"/>
      <c r="N672" s="4"/>
      <c r="O672" s="4"/>
      <c r="P672" s="4"/>
      <c r="Q672" s="4"/>
      <c r="R672" s="4"/>
      <c r="S672" s="7"/>
      <c r="T672" s="7"/>
      <c r="U672" s="7"/>
      <c r="V672" s="7"/>
      <c r="W672" s="7"/>
      <c r="X672" s="7"/>
      <c r="Y672" s="4"/>
      <c r="Z672" s="4"/>
      <c r="AA672" s="4"/>
      <c r="AB672" s="4"/>
      <c r="AC672" s="4"/>
      <c r="AD672" s="4"/>
      <c r="AE672" s="4"/>
      <c r="AF672" s="4"/>
      <c r="AG672" s="49"/>
      <c r="AH672" s="4"/>
      <c r="AI672" s="4"/>
      <c r="AJ672" s="4"/>
      <c r="AK672" s="4"/>
      <c r="AL672" s="4"/>
      <c r="AM672" s="4"/>
      <c r="AN672" s="44"/>
      <c r="AO672" s="8"/>
      <c r="AP672" s="8"/>
      <c r="AQ672" s="8"/>
      <c r="AR672" s="8"/>
      <c r="AS672" s="8"/>
      <c r="AT672" s="8"/>
      <c r="AU672" s="8"/>
      <c r="AV672" s="46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4"/>
      <c r="BX672" s="4"/>
    </row>
    <row r="673" spans="1:76" s="16" customFormat="1" x14ac:dyDescent="0.25">
      <c r="A673" s="26"/>
      <c r="B673" s="6"/>
      <c r="C673" s="7"/>
      <c r="D673" s="7"/>
      <c r="E673" s="7"/>
      <c r="F673" s="7"/>
      <c r="G673" s="7"/>
      <c r="H673" s="7"/>
      <c r="I673" s="4"/>
      <c r="J673" s="7"/>
      <c r="K673" s="7"/>
      <c r="L673" s="7"/>
      <c r="M673" s="7"/>
      <c r="N673" s="4"/>
      <c r="O673" s="4"/>
      <c r="P673" s="4"/>
      <c r="Q673" s="4"/>
      <c r="R673" s="4"/>
      <c r="S673" s="7"/>
      <c r="T673" s="7"/>
      <c r="U673" s="7"/>
      <c r="V673" s="7"/>
      <c r="W673" s="7"/>
      <c r="X673" s="7"/>
      <c r="Y673" s="4"/>
      <c r="Z673" s="4"/>
      <c r="AA673" s="4"/>
      <c r="AB673" s="4"/>
      <c r="AC673" s="4"/>
      <c r="AD673" s="4"/>
      <c r="AE673" s="4"/>
      <c r="AF673" s="4"/>
      <c r="AG673" s="49"/>
      <c r="AH673" s="4"/>
      <c r="AI673" s="4"/>
      <c r="AJ673" s="4"/>
      <c r="AK673" s="4"/>
      <c r="AL673" s="4"/>
      <c r="AM673" s="4"/>
      <c r="AN673" s="44"/>
      <c r="AO673" s="8"/>
      <c r="AP673" s="8"/>
      <c r="AQ673" s="8"/>
      <c r="AR673" s="8"/>
      <c r="AS673" s="8"/>
      <c r="AT673" s="8"/>
      <c r="AU673" s="8"/>
      <c r="AV673" s="46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4"/>
      <c r="BX673" s="4"/>
    </row>
    <row r="674" spans="1:76" s="16" customFormat="1" x14ac:dyDescent="0.25">
      <c r="A674" s="26"/>
      <c r="B674" s="6"/>
      <c r="C674" s="7"/>
      <c r="D674" s="7"/>
      <c r="E674" s="7"/>
      <c r="F674" s="7"/>
      <c r="G674" s="7"/>
      <c r="H674" s="7"/>
      <c r="I674" s="4"/>
      <c r="J674" s="7"/>
      <c r="K674" s="7"/>
      <c r="L674" s="7"/>
      <c r="M674" s="7"/>
      <c r="N674" s="4"/>
      <c r="O674" s="4"/>
      <c r="P674" s="4"/>
      <c r="Q674" s="4"/>
      <c r="R674" s="4"/>
      <c r="S674" s="7"/>
      <c r="T674" s="7"/>
      <c r="U674" s="7"/>
      <c r="V674" s="7"/>
      <c r="W674" s="7"/>
      <c r="X674" s="7"/>
      <c r="Y674" s="4"/>
      <c r="Z674" s="4"/>
      <c r="AA674" s="4"/>
      <c r="AB674" s="4"/>
      <c r="AC674" s="4"/>
      <c r="AD674" s="4"/>
      <c r="AE674" s="4"/>
      <c r="AF674" s="4"/>
      <c r="AG674" s="49"/>
      <c r="AH674" s="4"/>
      <c r="AI674" s="4"/>
      <c r="AJ674" s="4"/>
      <c r="AK674" s="4"/>
      <c r="AL674" s="4"/>
      <c r="AM674" s="4"/>
      <c r="AN674" s="44"/>
      <c r="AO674" s="8"/>
      <c r="AP674" s="8"/>
      <c r="AQ674" s="8"/>
      <c r="AR674" s="8"/>
      <c r="AS674" s="8"/>
      <c r="AT674" s="8"/>
      <c r="AU674" s="8"/>
      <c r="AV674" s="46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4"/>
      <c r="BX674" s="4"/>
    </row>
    <row r="675" spans="1:76" s="16" customFormat="1" x14ac:dyDescent="0.25">
      <c r="A675" s="26"/>
      <c r="B675" s="6"/>
      <c r="C675" s="7"/>
      <c r="D675" s="7"/>
      <c r="E675" s="7"/>
      <c r="F675" s="7"/>
      <c r="G675" s="7"/>
      <c r="H675" s="7"/>
      <c r="I675" s="4"/>
      <c r="J675" s="7"/>
      <c r="K675" s="7"/>
      <c r="L675" s="7"/>
      <c r="M675" s="7"/>
      <c r="N675" s="4"/>
      <c r="O675" s="4"/>
      <c r="P675" s="4"/>
      <c r="Q675" s="4"/>
      <c r="R675" s="4"/>
      <c r="S675" s="7"/>
      <c r="T675" s="7"/>
      <c r="U675" s="7"/>
      <c r="V675" s="7"/>
      <c r="W675" s="7"/>
      <c r="X675" s="7"/>
      <c r="Y675" s="4"/>
      <c r="Z675" s="4"/>
      <c r="AA675" s="4"/>
      <c r="AB675" s="4"/>
      <c r="AC675" s="4"/>
      <c r="AD675" s="4"/>
      <c r="AE675" s="4"/>
      <c r="AF675" s="4"/>
      <c r="AG675" s="49"/>
      <c r="AH675" s="4"/>
      <c r="AI675" s="4"/>
      <c r="AJ675" s="4"/>
      <c r="AK675" s="4"/>
      <c r="AL675" s="4"/>
      <c r="AM675" s="4"/>
      <c r="AN675" s="44"/>
      <c r="AO675" s="8"/>
      <c r="AP675" s="8"/>
      <c r="AQ675" s="8"/>
      <c r="AR675" s="8"/>
      <c r="AS675" s="8"/>
      <c r="AT675" s="8"/>
      <c r="AU675" s="8"/>
      <c r="AV675" s="46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4"/>
      <c r="BX675" s="4"/>
    </row>
    <row r="676" spans="1:76" s="16" customFormat="1" x14ac:dyDescent="0.25">
      <c r="A676" s="26"/>
      <c r="B676" s="6"/>
      <c r="C676" s="7"/>
      <c r="D676" s="7"/>
      <c r="E676" s="7"/>
      <c r="F676" s="7"/>
      <c r="G676" s="7"/>
      <c r="H676" s="7"/>
      <c r="I676" s="4"/>
      <c r="J676" s="7"/>
      <c r="K676" s="7"/>
      <c r="L676" s="7"/>
      <c r="M676" s="7"/>
      <c r="N676" s="4"/>
      <c r="O676" s="4"/>
      <c r="P676" s="4"/>
      <c r="Q676" s="4"/>
      <c r="R676" s="4"/>
      <c r="S676" s="7"/>
      <c r="T676" s="7"/>
      <c r="U676" s="7"/>
      <c r="V676" s="7"/>
      <c r="W676" s="7"/>
      <c r="X676" s="7"/>
      <c r="Y676" s="4"/>
      <c r="Z676" s="4"/>
      <c r="AA676" s="4"/>
      <c r="AB676" s="4"/>
      <c r="AC676" s="4"/>
      <c r="AD676" s="4"/>
      <c r="AE676" s="4"/>
      <c r="AF676" s="4"/>
      <c r="AG676" s="49"/>
      <c r="AH676" s="4"/>
      <c r="AI676" s="4"/>
      <c r="AJ676" s="4"/>
      <c r="AK676" s="4"/>
      <c r="AL676" s="4"/>
      <c r="AM676" s="4"/>
      <c r="AN676" s="44"/>
      <c r="AO676" s="8"/>
      <c r="AP676" s="8"/>
      <c r="AQ676" s="8"/>
      <c r="AR676" s="8"/>
      <c r="AS676" s="8"/>
      <c r="AT676" s="8"/>
      <c r="AU676" s="8"/>
      <c r="AV676" s="46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4"/>
      <c r="BX676" s="4"/>
    </row>
    <row r="677" spans="1:76" s="16" customFormat="1" x14ac:dyDescent="0.25">
      <c r="A677" s="26"/>
      <c r="B677" s="6"/>
      <c r="C677" s="7"/>
      <c r="D677" s="7"/>
      <c r="E677" s="7"/>
      <c r="F677" s="7"/>
      <c r="G677" s="7"/>
      <c r="H677" s="7"/>
      <c r="I677" s="4"/>
      <c r="J677" s="7"/>
      <c r="K677" s="7"/>
      <c r="L677" s="7"/>
      <c r="M677" s="7"/>
      <c r="N677" s="4"/>
      <c r="O677" s="4"/>
      <c r="P677" s="4"/>
      <c r="Q677" s="4"/>
      <c r="R677" s="4"/>
      <c r="S677" s="7"/>
      <c r="T677" s="7"/>
      <c r="U677" s="7"/>
      <c r="V677" s="7"/>
      <c r="W677" s="7"/>
      <c r="X677" s="7"/>
      <c r="Y677" s="4"/>
      <c r="Z677" s="4"/>
      <c r="AA677" s="4"/>
      <c r="AB677" s="4"/>
      <c r="AC677" s="4"/>
      <c r="AD677" s="4"/>
      <c r="AE677" s="4"/>
      <c r="AF677" s="4"/>
      <c r="AG677" s="49"/>
      <c r="AH677" s="4"/>
      <c r="AI677" s="4"/>
      <c r="AJ677" s="4"/>
      <c r="AK677" s="4"/>
      <c r="AL677" s="4"/>
      <c r="AM677" s="4"/>
      <c r="AN677" s="44"/>
      <c r="AO677" s="8"/>
      <c r="AP677" s="8"/>
      <c r="AQ677" s="8"/>
      <c r="AR677" s="8"/>
      <c r="AS677" s="8"/>
      <c r="AT677" s="8"/>
      <c r="AU677" s="8"/>
      <c r="AV677" s="46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4"/>
      <c r="BX677" s="4"/>
    </row>
    <row r="678" spans="1:76" s="16" customFormat="1" x14ac:dyDescent="0.25">
      <c r="A678" s="26"/>
      <c r="B678" s="6"/>
      <c r="C678" s="7"/>
      <c r="D678" s="7"/>
      <c r="E678" s="7"/>
      <c r="F678" s="7"/>
      <c r="G678" s="7"/>
      <c r="H678" s="7"/>
      <c r="I678" s="4"/>
      <c r="J678" s="7"/>
      <c r="K678" s="7"/>
      <c r="L678" s="7"/>
      <c r="M678" s="7"/>
      <c r="N678" s="4"/>
      <c r="O678" s="4"/>
      <c r="P678" s="4"/>
      <c r="Q678" s="4"/>
      <c r="R678" s="4"/>
      <c r="S678" s="7"/>
      <c r="T678" s="7"/>
      <c r="U678" s="7"/>
      <c r="V678" s="7"/>
      <c r="W678" s="7"/>
      <c r="X678" s="7"/>
      <c r="Y678" s="4"/>
      <c r="Z678" s="4"/>
      <c r="AA678" s="4"/>
      <c r="AB678" s="4"/>
      <c r="AC678" s="4"/>
      <c r="AD678" s="4"/>
      <c r="AE678" s="4"/>
      <c r="AF678" s="4"/>
      <c r="AG678" s="49"/>
      <c r="AH678" s="4"/>
      <c r="AI678" s="4"/>
      <c r="AJ678" s="4"/>
      <c r="AK678" s="4"/>
      <c r="AL678" s="4"/>
      <c r="AM678" s="4"/>
      <c r="AN678" s="44"/>
      <c r="AO678" s="8"/>
      <c r="AP678" s="8"/>
      <c r="AQ678" s="8"/>
      <c r="AR678" s="8"/>
      <c r="AS678" s="8"/>
      <c r="AT678" s="8"/>
      <c r="AU678" s="8"/>
      <c r="AV678" s="46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4"/>
      <c r="BX678" s="4"/>
    </row>
    <row r="679" spans="1:76" s="16" customFormat="1" x14ac:dyDescent="0.25">
      <c r="A679" s="26"/>
      <c r="B679" s="6"/>
      <c r="C679" s="7"/>
      <c r="D679" s="7"/>
      <c r="E679" s="7"/>
      <c r="F679" s="7"/>
      <c r="G679" s="7"/>
      <c r="H679" s="7"/>
      <c r="I679" s="4"/>
      <c r="J679" s="7"/>
      <c r="K679" s="7"/>
      <c r="L679" s="7"/>
      <c r="M679" s="7"/>
      <c r="N679" s="4"/>
      <c r="O679" s="4"/>
      <c r="P679" s="4"/>
      <c r="Q679" s="4"/>
      <c r="R679" s="4"/>
      <c r="S679" s="7"/>
      <c r="T679" s="7"/>
      <c r="U679" s="7"/>
      <c r="V679" s="7"/>
      <c r="W679" s="7"/>
      <c r="X679" s="7"/>
      <c r="Y679" s="4"/>
      <c r="Z679" s="4"/>
      <c r="AA679" s="4"/>
      <c r="AB679" s="4"/>
      <c r="AC679" s="4"/>
      <c r="AD679" s="4"/>
      <c r="AE679" s="4"/>
      <c r="AF679" s="4"/>
      <c r="AG679" s="49"/>
      <c r="AH679" s="4"/>
      <c r="AI679" s="4"/>
      <c r="AJ679" s="4"/>
      <c r="AK679" s="4"/>
      <c r="AL679" s="4"/>
      <c r="AM679" s="4"/>
      <c r="AN679" s="44"/>
      <c r="AO679" s="8"/>
      <c r="AP679" s="8"/>
      <c r="AQ679" s="8"/>
      <c r="AR679" s="8"/>
      <c r="AS679" s="8"/>
      <c r="AT679" s="8"/>
      <c r="AU679" s="8"/>
      <c r="AV679" s="46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4"/>
      <c r="BX679" s="4"/>
    </row>
    <row r="680" spans="1:76" s="16" customFormat="1" x14ac:dyDescent="0.25">
      <c r="A680" s="26"/>
      <c r="B680" s="6"/>
      <c r="C680" s="7"/>
      <c r="D680" s="7"/>
      <c r="E680" s="7"/>
      <c r="F680" s="7"/>
      <c r="G680" s="7"/>
      <c r="H680" s="7"/>
      <c r="I680" s="4"/>
      <c r="J680" s="7"/>
      <c r="K680" s="7"/>
      <c r="L680" s="7"/>
      <c r="M680" s="7"/>
      <c r="N680" s="4"/>
      <c r="O680" s="4"/>
      <c r="P680" s="4"/>
      <c r="Q680" s="4"/>
      <c r="R680" s="4"/>
      <c r="S680" s="7"/>
      <c r="T680" s="7"/>
      <c r="U680" s="7"/>
      <c r="V680" s="7"/>
      <c r="W680" s="7"/>
      <c r="X680" s="7"/>
      <c r="Y680" s="4"/>
      <c r="Z680" s="4"/>
      <c r="AA680" s="4"/>
      <c r="AB680" s="4"/>
      <c r="AC680" s="4"/>
      <c r="AD680" s="4"/>
      <c r="AE680" s="4"/>
      <c r="AF680" s="4"/>
      <c r="AG680" s="49"/>
      <c r="AH680" s="4"/>
      <c r="AI680" s="4"/>
      <c r="AJ680" s="4"/>
      <c r="AK680" s="4"/>
      <c r="AL680" s="4"/>
      <c r="AM680" s="4"/>
      <c r="AN680" s="44"/>
      <c r="AO680" s="8"/>
      <c r="AP680" s="8"/>
      <c r="AQ680" s="8"/>
      <c r="AR680" s="8"/>
      <c r="AS680" s="8"/>
      <c r="AT680" s="8"/>
      <c r="AU680" s="8"/>
      <c r="AV680" s="46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4"/>
      <c r="BX680" s="4"/>
    </row>
    <row r="681" spans="1:76" s="16" customFormat="1" x14ac:dyDescent="0.25">
      <c r="A681" s="26"/>
      <c r="B681" s="6"/>
      <c r="C681" s="7"/>
      <c r="D681" s="7"/>
      <c r="E681" s="7"/>
      <c r="F681" s="7"/>
      <c r="G681" s="7"/>
      <c r="H681" s="7"/>
      <c r="I681" s="4"/>
      <c r="J681" s="7"/>
      <c r="K681" s="7"/>
      <c r="L681" s="7"/>
      <c r="M681" s="7"/>
      <c r="N681" s="4"/>
      <c r="O681" s="4"/>
      <c r="P681" s="4"/>
      <c r="Q681" s="4"/>
      <c r="R681" s="4"/>
      <c r="S681" s="7"/>
      <c r="T681" s="7"/>
      <c r="U681" s="7"/>
      <c r="V681" s="7"/>
      <c r="W681" s="7"/>
      <c r="X681" s="7"/>
      <c r="Y681" s="4"/>
      <c r="Z681" s="4"/>
      <c r="AA681" s="4"/>
      <c r="AB681" s="4"/>
      <c r="AC681" s="4"/>
      <c r="AD681" s="4"/>
      <c r="AE681" s="4"/>
      <c r="AF681" s="4"/>
      <c r="AG681" s="49"/>
      <c r="AH681" s="4"/>
      <c r="AI681" s="4"/>
      <c r="AJ681" s="4"/>
      <c r="AK681" s="4"/>
      <c r="AL681" s="4"/>
      <c r="AM681" s="4"/>
      <c r="AN681" s="44"/>
      <c r="AO681" s="8"/>
      <c r="AP681" s="8"/>
      <c r="AQ681" s="8"/>
      <c r="AR681" s="8"/>
      <c r="AS681" s="8"/>
      <c r="AT681" s="8"/>
      <c r="AU681" s="8"/>
      <c r="AV681" s="46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4"/>
      <c r="BX681" s="4"/>
    </row>
    <row r="682" spans="1:76" s="16" customFormat="1" x14ac:dyDescent="0.25">
      <c r="A682" s="26"/>
      <c r="B682" s="6"/>
      <c r="C682" s="7"/>
      <c r="D682" s="7"/>
      <c r="E682" s="7"/>
      <c r="F682" s="7"/>
      <c r="G682" s="7"/>
      <c r="H682" s="7"/>
      <c r="I682" s="4"/>
      <c r="J682" s="7"/>
      <c r="K682" s="7"/>
      <c r="L682" s="7"/>
      <c r="M682" s="7"/>
      <c r="N682" s="4"/>
      <c r="O682" s="4"/>
      <c r="P682" s="4"/>
      <c r="Q682" s="4"/>
      <c r="R682" s="4"/>
      <c r="S682" s="7"/>
      <c r="T682" s="7"/>
      <c r="U682" s="7"/>
      <c r="V682" s="7"/>
      <c r="W682" s="7"/>
      <c r="X682" s="7"/>
      <c r="Y682" s="4"/>
      <c r="Z682" s="4"/>
      <c r="AA682" s="4"/>
      <c r="AB682" s="4"/>
      <c r="AC682" s="4"/>
      <c r="AD682" s="4"/>
      <c r="AE682" s="4"/>
      <c r="AF682" s="4"/>
      <c r="AG682" s="49"/>
      <c r="AH682" s="4"/>
      <c r="AI682" s="4"/>
      <c r="AJ682" s="4"/>
      <c r="AK682" s="4"/>
      <c r="AL682" s="4"/>
      <c r="AM682" s="4"/>
      <c r="AN682" s="44"/>
      <c r="AO682" s="8"/>
      <c r="AP682" s="8"/>
      <c r="AQ682" s="8"/>
      <c r="AR682" s="8"/>
      <c r="AS682" s="8"/>
      <c r="AT682" s="8"/>
      <c r="AU682" s="8"/>
      <c r="AV682" s="46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4"/>
      <c r="BX682" s="4"/>
    </row>
    <row r="683" spans="1:76" s="16" customFormat="1" x14ac:dyDescent="0.25">
      <c r="A683" s="26"/>
      <c r="B683" s="6"/>
      <c r="C683" s="7"/>
      <c r="D683" s="7"/>
      <c r="E683" s="7"/>
      <c r="F683" s="7"/>
      <c r="G683" s="7"/>
      <c r="H683" s="7"/>
      <c r="I683" s="4"/>
      <c r="J683" s="7"/>
      <c r="K683" s="7"/>
      <c r="L683" s="7"/>
      <c r="M683" s="7"/>
      <c r="N683" s="4"/>
      <c r="O683" s="4"/>
      <c r="P683" s="4"/>
      <c r="Q683" s="4"/>
      <c r="R683" s="4"/>
      <c r="S683" s="7"/>
      <c r="T683" s="7"/>
      <c r="U683" s="7"/>
      <c r="V683" s="7"/>
      <c r="W683" s="7"/>
      <c r="X683" s="7"/>
      <c r="Y683" s="4"/>
      <c r="Z683" s="4"/>
      <c r="AA683" s="4"/>
      <c r="AB683" s="4"/>
      <c r="AC683" s="4"/>
      <c r="AD683" s="4"/>
      <c r="AE683" s="4"/>
      <c r="AF683" s="4"/>
      <c r="AG683" s="49"/>
      <c r="AH683" s="4"/>
      <c r="AI683" s="4"/>
      <c r="AJ683" s="4"/>
      <c r="AK683" s="4"/>
      <c r="AL683" s="4"/>
      <c r="AM683" s="4"/>
      <c r="AN683" s="44"/>
      <c r="AO683" s="8"/>
      <c r="AP683" s="8"/>
      <c r="AQ683" s="8"/>
      <c r="AR683" s="8"/>
      <c r="AS683" s="8"/>
      <c r="AT683" s="8"/>
      <c r="AU683" s="8"/>
      <c r="AV683" s="46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4"/>
      <c r="BX683" s="4"/>
    </row>
    <row r="684" spans="1:76" s="16" customFormat="1" x14ac:dyDescent="0.25">
      <c r="A684" s="26"/>
      <c r="B684" s="6"/>
      <c r="C684" s="7"/>
      <c r="D684" s="7"/>
      <c r="E684" s="7"/>
      <c r="F684" s="7"/>
      <c r="G684" s="7"/>
      <c r="H684" s="7"/>
      <c r="I684" s="4"/>
      <c r="J684" s="7"/>
      <c r="K684" s="7"/>
      <c r="L684" s="7"/>
      <c r="M684" s="7"/>
      <c r="N684" s="4"/>
      <c r="O684" s="4"/>
      <c r="P684" s="4"/>
      <c r="Q684" s="4"/>
      <c r="R684" s="4"/>
      <c r="S684" s="7"/>
      <c r="T684" s="7"/>
      <c r="U684" s="7"/>
      <c r="V684" s="7"/>
      <c r="W684" s="7"/>
      <c r="X684" s="7"/>
      <c r="Y684" s="4"/>
      <c r="Z684" s="4"/>
      <c r="AA684" s="4"/>
      <c r="AB684" s="4"/>
      <c r="AC684" s="4"/>
      <c r="AD684" s="4"/>
      <c r="AE684" s="4"/>
      <c r="AF684" s="4"/>
      <c r="AG684" s="49"/>
      <c r="AH684" s="4"/>
      <c r="AI684" s="4"/>
      <c r="AJ684" s="4"/>
      <c r="AK684" s="4"/>
      <c r="AL684" s="4"/>
      <c r="AM684" s="4"/>
      <c r="AN684" s="44"/>
      <c r="AO684" s="8"/>
      <c r="AP684" s="8"/>
      <c r="AQ684" s="8"/>
      <c r="AR684" s="8"/>
      <c r="AS684" s="8"/>
      <c r="AT684" s="8"/>
      <c r="AU684" s="8"/>
      <c r="AV684" s="46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4"/>
      <c r="BX684" s="4"/>
    </row>
    <row r="685" spans="1:76" s="16" customFormat="1" x14ac:dyDescent="0.25">
      <c r="A685" s="26"/>
      <c r="B685" s="6"/>
      <c r="C685" s="7"/>
      <c r="D685" s="7"/>
      <c r="E685" s="7"/>
      <c r="F685" s="7"/>
      <c r="G685" s="7"/>
      <c r="H685" s="7"/>
      <c r="I685" s="4"/>
      <c r="J685" s="7"/>
      <c r="K685" s="7"/>
      <c r="L685" s="7"/>
      <c r="M685" s="7"/>
      <c r="N685" s="4"/>
      <c r="O685" s="4"/>
      <c r="P685" s="4"/>
      <c r="Q685" s="4"/>
      <c r="R685" s="4"/>
      <c r="S685" s="7"/>
      <c r="T685" s="7"/>
      <c r="U685" s="7"/>
      <c r="V685" s="7"/>
      <c r="W685" s="7"/>
      <c r="X685" s="7"/>
      <c r="Y685" s="4"/>
      <c r="Z685" s="4"/>
      <c r="AA685" s="4"/>
      <c r="AB685" s="4"/>
      <c r="AC685" s="4"/>
      <c r="AD685" s="4"/>
      <c r="AE685" s="4"/>
      <c r="AF685" s="4"/>
      <c r="AG685" s="49"/>
      <c r="AH685" s="4"/>
      <c r="AI685" s="4"/>
      <c r="AJ685" s="4"/>
      <c r="AK685" s="4"/>
      <c r="AL685" s="4"/>
      <c r="AM685" s="4"/>
      <c r="AN685" s="44"/>
      <c r="AO685" s="8"/>
      <c r="AP685" s="8"/>
      <c r="AQ685" s="8"/>
      <c r="AR685" s="8"/>
      <c r="AS685" s="8"/>
      <c r="AT685" s="8"/>
      <c r="AU685" s="8"/>
      <c r="AV685" s="46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4"/>
      <c r="BX685" s="4"/>
    </row>
    <row r="686" spans="1:76" s="16" customFormat="1" x14ac:dyDescent="0.25">
      <c r="A686" s="26"/>
      <c r="B686" s="6"/>
      <c r="C686" s="7"/>
      <c r="D686" s="7"/>
      <c r="E686" s="7"/>
      <c r="F686" s="7"/>
      <c r="G686" s="7"/>
      <c r="H686" s="7"/>
      <c r="I686" s="4"/>
      <c r="J686" s="7"/>
      <c r="K686" s="7"/>
      <c r="L686" s="7"/>
      <c r="M686" s="7"/>
      <c r="N686" s="4"/>
      <c r="O686" s="4"/>
      <c r="P686" s="4"/>
      <c r="Q686" s="4"/>
      <c r="R686" s="4"/>
      <c r="S686" s="7"/>
      <c r="T686" s="7"/>
      <c r="U686" s="7"/>
      <c r="V686" s="7"/>
      <c r="W686" s="7"/>
      <c r="X686" s="7"/>
      <c r="Y686" s="4"/>
      <c r="Z686" s="4"/>
      <c r="AA686" s="4"/>
      <c r="AB686" s="4"/>
      <c r="AC686" s="4"/>
      <c r="AD686" s="4"/>
      <c r="AE686" s="4"/>
      <c r="AF686" s="4"/>
      <c r="AG686" s="49"/>
      <c r="AH686" s="4"/>
      <c r="AI686" s="4"/>
      <c r="AJ686" s="4"/>
      <c r="AK686" s="4"/>
      <c r="AL686" s="4"/>
      <c r="AM686" s="4"/>
      <c r="AN686" s="44"/>
      <c r="AO686" s="8"/>
      <c r="AP686" s="8"/>
      <c r="AQ686" s="8"/>
      <c r="AR686" s="8"/>
      <c r="AS686" s="8"/>
      <c r="AT686" s="8"/>
      <c r="AU686" s="8"/>
      <c r="AV686" s="46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4"/>
      <c r="BX686" s="4"/>
    </row>
    <row r="687" spans="1:76" s="16" customFormat="1" x14ac:dyDescent="0.25">
      <c r="A687" s="26"/>
      <c r="B687" s="6"/>
      <c r="C687" s="7"/>
      <c r="D687" s="7"/>
      <c r="E687" s="7"/>
      <c r="F687" s="7"/>
      <c r="G687" s="7"/>
      <c r="H687" s="7"/>
      <c r="I687" s="4"/>
      <c r="J687" s="7"/>
      <c r="K687" s="7"/>
      <c r="L687" s="7"/>
      <c r="M687" s="7"/>
      <c r="N687" s="4"/>
      <c r="O687" s="4"/>
      <c r="P687" s="4"/>
      <c r="Q687" s="4"/>
      <c r="R687" s="4"/>
      <c r="S687" s="7"/>
      <c r="T687" s="7"/>
      <c r="U687" s="7"/>
      <c r="V687" s="7"/>
      <c r="W687" s="7"/>
      <c r="X687" s="7"/>
      <c r="Y687" s="4"/>
      <c r="Z687" s="4"/>
      <c r="AA687" s="4"/>
      <c r="AB687" s="4"/>
      <c r="AC687" s="4"/>
      <c r="AD687" s="4"/>
      <c r="AE687" s="4"/>
      <c r="AF687" s="4"/>
      <c r="AG687" s="49"/>
      <c r="AH687" s="4"/>
      <c r="AI687" s="4"/>
      <c r="AJ687" s="4"/>
      <c r="AK687" s="4"/>
      <c r="AL687" s="4"/>
      <c r="AM687" s="4"/>
      <c r="AN687" s="44"/>
      <c r="AO687" s="8"/>
      <c r="AP687" s="8"/>
      <c r="AQ687" s="8"/>
      <c r="AR687" s="8"/>
      <c r="AS687" s="8"/>
      <c r="AT687" s="8"/>
      <c r="AU687" s="8"/>
      <c r="AV687" s="46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4"/>
      <c r="BX687" s="4"/>
    </row>
    <row r="688" spans="1:76" s="16" customFormat="1" x14ac:dyDescent="0.25">
      <c r="A688" s="26"/>
      <c r="B688" s="6"/>
      <c r="C688" s="7"/>
      <c r="D688" s="7"/>
      <c r="E688" s="7"/>
      <c r="F688" s="7"/>
      <c r="G688" s="7"/>
      <c r="H688" s="7"/>
      <c r="I688" s="4"/>
      <c r="J688" s="7"/>
      <c r="K688" s="7"/>
      <c r="L688" s="7"/>
      <c r="M688" s="7"/>
      <c r="N688" s="4"/>
      <c r="O688" s="4"/>
      <c r="P688" s="4"/>
      <c r="Q688" s="4"/>
      <c r="R688" s="4"/>
      <c r="S688" s="7"/>
      <c r="T688" s="7"/>
      <c r="U688" s="7"/>
      <c r="V688" s="7"/>
      <c r="W688" s="7"/>
      <c r="X688" s="7"/>
      <c r="Y688" s="4"/>
      <c r="Z688" s="4"/>
      <c r="AA688" s="4"/>
      <c r="AB688" s="4"/>
      <c r="AC688" s="4"/>
      <c r="AD688" s="4"/>
      <c r="AE688" s="4"/>
      <c r="AF688" s="4"/>
      <c r="AG688" s="49"/>
      <c r="AH688" s="4"/>
      <c r="AI688" s="4"/>
      <c r="AJ688" s="4"/>
      <c r="AK688" s="4"/>
      <c r="AL688" s="4"/>
      <c r="AM688" s="4"/>
      <c r="AN688" s="44"/>
      <c r="AO688" s="8"/>
      <c r="AP688" s="8"/>
      <c r="AQ688" s="8"/>
      <c r="AR688" s="8"/>
      <c r="AS688" s="8"/>
      <c r="AT688" s="8"/>
      <c r="AU688" s="8"/>
      <c r="AV688" s="46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4"/>
      <c r="BX688" s="4"/>
    </row>
    <row r="689" spans="1:76" s="16" customFormat="1" x14ac:dyDescent="0.25">
      <c r="A689" s="26"/>
      <c r="B689" s="6"/>
      <c r="C689" s="7"/>
      <c r="D689" s="7"/>
      <c r="E689" s="7"/>
      <c r="F689" s="7"/>
      <c r="G689" s="7"/>
      <c r="H689" s="7"/>
      <c r="I689" s="4"/>
      <c r="J689" s="7"/>
      <c r="K689" s="7"/>
      <c r="L689" s="7"/>
      <c r="M689" s="7"/>
      <c r="N689" s="4"/>
      <c r="O689" s="4"/>
      <c r="P689" s="4"/>
      <c r="Q689" s="4"/>
      <c r="R689" s="4"/>
      <c r="S689" s="7"/>
      <c r="T689" s="7"/>
      <c r="U689" s="7"/>
      <c r="V689" s="7"/>
      <c r="W689" s="7"/>
      <c r="X689" s="7"/>
      <c r="Y689" s="4"/>
      <c r="Z689" s="4"/>
      <c r="AA689" s="4"/>
      <c r="AB689" s="4"/>
      <c r="AC689" s="4"/>
      <c r="AD689" s="4"/>
      <c r="AE689" s="4"/>
      <c r="AF689" s="4"/>
      <c r="AG689" s="49"/>
      <c r="AH689" s="4"/>
      <c r="AI689" s="4"/>
      <c r="AJ689" s="4"/>
      <c r="AK689" s="4"/>
      <c r="AL689" s="4"/>
      <c r="AM689" s="4"/>
      <c r="AN689" s="44"/>
      <c r="AO689" s="8"/>
      <c r="AP689" s="8"/>
      <c r="AQ689" s="8"/>
      <c r="AR689" s="8"/>
      <c r="AS689" s="8"/>
      <c r="AT689" s="8"/>
      <c r="AU689" s="8"/>
      <c r="AV689" s="46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4"/>
      <c r="BX689" s="4"/>
    </row>
    <row r="690" spans="1:76" s="16" customFormat="1" x14ac:dyDescent="0.25">
      <c r="A690" s="26"/>
      <c r="B690" s="6"/>
      <c r="C690" s="7"/>
      <c r="D690" s="7"/>
      <c r="E690" s="7"/>
      <c r="F690" s="7"/>
      <c r="G690" s="7"/>
      <c r="H690" s="7"/>
      <c r="I690" s="4"/>
      <c r="J690" s="7"/>
      <c r="K690" s="7"/>
      <c r="L690" s="7"/>
      <c r="M690" s="7"/>
      <c r="N690" s="4"/>
      <c r="O690" s="4"/>
      <c r="P690" s="4"/>
      <c r="Q690" s="4"/>
      <c r="R690" s="4"/>
      <c r="S690" s="7"/>
      <c r="T690" s="7"/>
      <c r="U690" s="7"/>
      <c r="V690" s="7"/>
      <c r="W690" s="7"/>
      <c r="X690" s="7"/>
      <c r="Y690" s="4"/>
      <c r="Z690" s="4"/>
      <c r="AA690" s="4"/>
      <c r="AB690" s="4"/>
      <c r="AC690" s="4"/>
      <c r="AD690" s="4"/>
      <c r="AE690" s="4"/>
      <c r="AF690" s="4"/>
      <c r="AG690" s="49"/>
      <c r="AH690" s="4"/>
      <c r="AI690" s="4"/>
      <c r="AJ690" s="4"/>
      <c r="AK690" s="4"/>
      <c r="AL690" s="4"/>
      <c r="AM690" s="4"/>
      <c r="AN690" s="44"/>
      <c r="AO690" s="8"/>
      <c r="AP690" s="8"/>
      <c r="AQ690" s="8"/>
      <c r="AR690" s="8"/>
      <c r="AS690" s="8"/>
      <c r="AT690" s="8"/>
      <c r="AU690" s="8"/>
      <c r="AV690" s="46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4"/>
      <c r="BX690" s="4"/>
    </row>
    <row r="691" spans="1:76" s="16" customFormat="1" x14ac:dyDescent="0.25">
      <c r="A691" s="26"/>
      <c r="B691" s="6"/>
      <c r="C691" s="7"/>
      <c r="D691" s="7"/>
      <c r="E691" s="7"/>
      <c r="F691" s="7"/>
      <c r="G691" s="7"/>
      <c r="H691" s="7"/>
      <c r="I691" s="4"/>
      <c r="J691" s="7"/>
      <c r="K691" s="7"/>
      <c r="L691" s="7"/>
      <c r="M691" s="7"/>
      <c r="N691" s="4"/>
      <c r="O691" s="4"/>
      <c r="P691" s="4"/>
      <c r="Q691" s="4"/>
      <c r="R691" s="4"/>
      <c r="S691" s="7"/>
      <c r="T691" s="7"/>
      <c r="U691" s="7"/>
      <c r="V691" s="7"/>
      <c r="W691" s="7"/>
      <c r="X691" s="7"/>
      <c r="Y691" s="4"/>
      <c r="Z691" s="4"/>
      <c r="AA691" s="4"/>
      <c r="AB691" s="4"/>
      <c r="AC691" s="4"/>
      <c r="AD691" s="4"/>
      <c r="AE691" s="4"/>
      <c r="AF691" s="4"/>
      <c r="AG691" s="49"/>
      <c r="AH691" s="4"/>
      <c r="AI691" s="4"/>
      <c r="AJ691" s="4"/>
      <c r="AK691" s="4"/>
      <c r="AL691" s="4"/>
      <c r="AM691" s="4"/>
      <c r="AN691" s="44"/>
      <c r="AO691" s="8"/>
      <c r="AP691" s="8"/>
      <c r="AQ691" s="8"/>
      <c r="AR691" s="8"/>
      <c r="AS691" s="8"/>
      <c r="AT691" s="8"/>
      <c r="AU691" s="8"/>
      <c r="AV691" s="46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4"/>
      <c r="BX691" s="4"/>
    </row>
    <row r="692" spans="1:76" s="16" customFormat="1" x14ac:dyDescent="0.25">
      <c r="A692" s="26"/>
      <c r="B692" s="6"/>
      <c r="C692" s="7"/>
      <c r="D692" s="7"/>
      <c r="E692" s="7"/>
      <c r="F692" s="7"/>
      <c r="G692" s="7"/>
      <c r="H692" s="7"/>
      <c r="I692" s="4"/>
      <c r="J692" s="7"/>
      <c r="K692" s="7"/>
      <c r="L692" s="7"/>
      <c r="M692" s="7"/>
      <c r="N692" s="4"/>
      <c r="O692" s="4"/>
      <c r="P692" s="4"/>
      <c r="Q692" s="4"/>
      <c r="R692" s="4"/>
      <c r="S692" s="7"/>
      <c r="T692" s="7"/>
      <c r="U692" s="7"/>
      <c r="V692" s="7"/>
      <c r="W692" s="7"/>
      <c r="X692" s="7"/>
      <c r="Y692" s="4"/>
      <c r="Z692" s="4"/>
      <c r="AA692" s="4"/>
      <c r="AB692" s="4"/>
      <c r="AC692" s="4"/>
      <c r="AD692" s="4"/>
      <c r="AE692" s="4"/>
      <c r="AF692" s="4"/>
      <c r="AG692" s="49"/>
      <c r="AH692" s="4"/>
      <c r="AI692" s="4"/>
      <c r="AJ692" s="4"/>
      <c r="AK692" s="4"/>
      <c r="AL692" s="4"/>
      <c r="AM692" s="4"/>
      <c r="AN692" s="44"/>
      <c r="AO692" s="8"/>
      <c r="AP692" s="8"/>
      <c r="AQ692" s="8"/>
      <c r="AR692" s="8"/>
      <c r="AS692" s="8"/>
      <c r="AT692" s="8"/>
      <c r="AU692" s="8"/>
      <c r="AV692" s="46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4"/>
      <c r="BX692" s="4"/>
    </row>
    <row r="693" spans="1:76" s="16" customFormat="1" x14ac:dyDescent="0.25">
      <c r="A693" s="26"/>
      <c r="B693" s="6"/>
      <c r="C693" s="7"/>
      <c r="D693" s="7"/>
      <c r="E693" s="7"/>
      <c r="F693" s="7"/>
      <c r="G693" s="7"/>
      <c r="H693" s="7"/>
      <c r="I693" s="4"/>
      <c r="J693" s="7"/>
      <c r="K693" s="7"/>
      <c r="L693" s="7"/>
      <c r="M693" s="7"/>
      <c r="N693" s="4"/>
      <c r="O693" s="4"/>
      <c r="P693" s="4"/>
      <c r="Q693" s="4"/>
      <c r="R693" s="4"/>
      <c r="S693" s="7"/>
      <c r="T693" s="7"/>
      <c r="U693" s="7"/>
      <c r="V693" s="7"/>
      <c r="W693" s="7"/>
      <c r="X693" s="7"/>
      <c r="Y693" s="4"/>
      <c r="Z693" s="4"/>
      <c r="AA693" s="4"/>
      <c r="AB693" s="4"/>
      <c r="AC693" s="4"/>
      <c r="AD693" s="4"/>
      <c r="AE693" s="4"/>
      <c r="AF693" s="4"/>
      <c r="AG693" s="49"/>
      <c r="AH693" s="4"/>
      <c r="AI693" s="4"/>
      <c r="AJ693" s="4"/>
      <c r="AK693" s="4"/>
      <c r="AL693" s="4"/>
      <c r="AM693" s="4"/>
      <c r="AN693" s="44"/>
      <c r="AO693" s="8"/>
      <c r="AP693" s="8"/>
      <c r="AQ693" s="8"/>
      <c r="AR693" s="8"/>
      <c r="AS693" s="8"/>
      <c r="AT693" s="8"/>
      <c r="AU693" s="8"/>
      <c r="AV693" s="46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4"/>
      <c r="BX693" s="4"/>
    </row>
    <row r="694" spans="1:76" s="16" customFormat="1" x14ac:dyDescent="0.25">
      <c r="A694" s="26"/>
      <c r="B694" s="6"/>
      <c r="C694" s="7"/>
      <c r="D694" s="7"/>
      <c r="E694" s="7"/>
      <c r="F694" s="7"/>
      <c r="G694" s="7"/>
      <c r="H694" s="7"/>
      <c r="I694" s="4"/>
      <c r="J694" s="7"/>
      <c r="K694" s="7"/>
      <c r="L694" s="7"/>
      <c r="M694" s="7"/>
      <c r="N694" s="4"/>
      <c r="O694" s="4"/>
      <c r="P694" s="4"/>
      <c r="Q694" s="4"/>
      <c r="R694" s="4"/>
      <c r="S694" s="7"/>
      <c r="T694" s="7"/>
      <c r="U694" s="7"/>
      <c r="V694" s="7"/>
      <c r="W694" s="7"/>
      <c r="X694" s="7"/>
      <c r="Y694" s="4"/>
      <c r="Z694" s="4"/>
      <c r="AA694" s="4"/>
      <c r="AB694" s="4"/>
      <c r="AC694" s="4"/>
      <c r="AD694" s="4"/>
      <c r="AE694" s="4"/>
      <c r="AF694" s="4"/>
      <c r="AG694" s="49"/>
      <c r="AH694" s="4"/>
      <c r="AI694" s="4"/>
      <c r="AJ694" s="4"/>
      <c r="AK694" s="4"/>
      <c r="AL694" s="4"/>
      <c r="AM694" s="4"/>
      <c r="AN694" s="44"/>
      <c r="AO694" s="8"/>
      <c r="AP694" s="8"/>
      <c r="AQ694" s="8"/>
      <c r="AR694" s="8"/>
      <c r="AS694" s="8"/>
      <c r="AT694" s="8"/>
      <c r="AU694" s="8"/>
      <c r="AV694" s="46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4"/>
      <c r="BX694" s="4"/>
    </row>
    <row r="695" spans="1:76" s="16" customFormat="1" x14ac:dyDescent="0.25">
      <c r="A695" s="26"/>
      <c r="B695" s="6"/>
      <c r="C695" s="7"/>
      <c r="D695" s="7"/>
      <c r="E695" s="7"/>
      <c r="F695" s="7"/>
      <c r="G695" s="7"/>
      <c r="H695" s="7"/>
      <c r="I695" s="4"/>
      <c r="J695" s="7"/>
      <c r="K695" s="7"/>
      <c r="L695" s="7"/>
      <c r="M695" s="7"/>
      <c r="N695" s="4"/>
      <c r="O695" s="4"/>
      <c r="P695" s="4"/>
      <c r="Q695" s="4"/>
      <c r="R695" s="4"/>
      <c r="S695" s="7"/>
      <c r="T695" s="7"/>
      <c r="U695" s="7"/>
      <c r="V695" s="7"/>
      <c r="W695" s="7"/>
      <c r="X695" s="7"/>
      <c r="Y695" s="4"/>
      <c r="Z695" s="4"/>
      <c r="AA695" s="4"/>
      <c r="AB695" s="4"/>
      <c r="AC695" s="4"/>
      <c r="AD695" s="4"/>
      <c r="AE695" s="4"/>
      <c r="AF695" s="4"/>
      <c r="AG695" s="49"/>
      <c r="AH695" s="4"/>
      <c r="AI695" s="4"/>
      <c r="AJ695" s="4"/>
      <c r="AK695" s="4"/>
      <c r="AL695" s="4"/>
      <c r="AM695" s="4"/>
      <c r="AN695" s="44"/>
      <c r="AO695" s="8"/>
      <c r="AP695" s="8"/>
      <c r="AQ695" s="8"/>
      <c r="AR695" s="8"/>
      <c r="AS695" s="8"/>
      <c r="AT695" s="8"/>
      <c r="AU695" s="8"/>
      <c r="AV695" s="46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4"/>
      <c r="BX695" s="4"/>
    </row>
    <row r="696" spans="1:76" s="16" customFormat="1" x14ac:dyDescent="0.25">
      <c r="A696" s="26"/>
      <c r="B696" s="6"/>
      <c r="C696" s="7"/>
      <c r="D696" s="7"/>
      <c r="E696" s="7"/>
      <c r="F696" s="7"/>
      <c r="G696" s="7"/>
      <c r="H696" s="7"/>
      <c r="I696" s="4"/>
      <c r="J696" s="7"/>
      <c r="K696" s="7"/>
      <c r="L696" s="7"/>
      <c r="M696" s="7"/>
      <c r="N696" s="4"/>
      <c r="O696" s="4"/>
      <c r="P696" s="4"/>
      <c r="Q696" s="4"/>
      <c r="R696" s="4"/>
      <c r="S696" s="7"/>
      <c r="T696" s="7"/>
      <c r="U696" s="7"/>
      <c r="V696" s="7"/>
      <c r="W696" s="7"/>
      <c r="X696" s="7"/>
      <c r="Y696" s="4"/>
      <c r="Z696" s="4"/>
      <c r="AA696" s="4"/>
      <c r="AB696" s="4"/>
      <c r="AC696" s="4"/>
      <c r="AD696" s="4"/>
      <c r="AE696" s="4"/>
      <c r="AF696" s="4"/>
      <c r="AG696" s="49"/>
      <c r="AH696" s="4"/>
      <c r="AI696" s="4"/>
      <c r="AJ696" s="4"/>
      <c r="AK696" s="4"/>
      <c r="AL696" s="4"/>
      <c r="AM696" s="4"/>
      <c r="AN696" s="44"/>
      <c r="AO696" s="8"/>
      <c r="AP696" s="8"/>
      <c r="AQ696" s="8"/>
      <c r="AR696" s="8"/>
      <c r="AS696" s="8"/>
      <c r="AT696" s="8"/>
      <c r="AU696" s="8"/>
      <c r="AV696" s="46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4"/>
      <c r="BX696" s="4"/>
    </row>
    <row r="697" spans="1:76" s="16" customFormat="1" x14ac:dyDescent="0.25">
      <c r="A697" s="26"/>
      <c r="B697" s="6"/>
      <c r="C697" s="7"/>
      <c r="D697" s="7"/>
      <c r="E697" s="7"/>
      <c r="F697" s="7"/>
      <c r="G697" s="7"/>
      <c r="H697" s="7"/>
      <c r="I697" s="4"/>
      <c r="J697" s="7"/>
      <c r="K697" s="7"/>
      <c r="L697" s="7"/>
      <c r="M697" s="7"/>
      <c r="N697" s="4"/>
      <c r="O697" s="4"/>
      <c r="P697" s="4"/>
      <c r="Q697" s="4"/>
      <c r="R697" s="4"/>
      <c r="S697" s="7"/>
      <c r="T697" s="7"/>
      <c r="U697" s="7"/>
      <c r="V697" s="7"/>
      <c r="W697" s="7"/>
      <c r="X697" s="7"/>
      <c r="Y697" s="4"/>
      <c r="Z697" s="4"/>
      <c r="AA697" s="4"/>
      <c r="AB697" s="4"/>
      <c r="AC697" s="4"/>
      <c r="AD697" s="4"/>
      <c r="AE697" s="4"/>
      <c r="AF697" s="4"/>
      <c r="AG697" s="49"/>
      <c r="AH697" s="4"/>
      <c r="AI697" s="4"/>
      <c r="AJ697" s="4"/>
      <c r="AK697" s="4"/>
      <c r="AL697" s="4"/>
      <c r="AM697" s="4"/>
      <c r="AN697" s="44"/>
      <c r="AO697" s="8"/>
      <c r="AP697" s="8"/>
      <c r="AQ697" s="8"/>
      <c r="AR697" s="8"/>
      <c r="AS697" s="8"/>
      <c r="AT697" s="8"/>
      <c r="AU697" s="8"/>
      <c r="AV697" s="46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4"/>
      <c r="BX697" s="4"/>
    </row>
    <row r="698" spans="1:76" s="16" customFormat="1" x14ac:dyDescent="0.25">
      <c r="A698" s="26"/>
      <c r="B698" s="6"/>
      <c r="C698" s="7"/>
      <c r="D698" s="7"/>
      <c r="E698" s="7"/>
      <c r="F698" s="7"/>
      <c r="G698" s="7"/>
      <c r="H698" s="7"/>
      <c r="I698" s="4"/>
      <c r="J698" s="7"/>
      <c r="K698" s="7"/>
      <c r="L698" s="7"/>
      <c r="M698" s="7"/>
      <c r="N698" s="4"/>
      <c r="O698" s="4"/>
      <c r="P698" s="4"/>
      <c r="Q698" s="4"/>
      <c r="R698" s="4"/>
      <c r="S698" s="7"/>
      <c r="T698" s="7"/>
      <c r="U698" s="7"/>
      <c r="V698" s="7"/>
      <c r="W698" s="7"/>
      <c r="X698" s="7"/>
      <c r="Y698" s="4"/>
      <c r="Z698" s="4"/>
      <c r="AA698" s="4"/>
      <c r="AB698" s="4"/>
      <c r="AC698" s="4"/>
      <c r="AD698" s="4"/>
      <c r="AE698" s="4"/>
      <c r="AF698" s="4"/>
      <c r="AG698" s="49"/>
      <c r="AH698" s="4"/>
      <c r="AI698" s="4"/>
      <c r="AJ698" s="4"/>
      <c r="AK698" s="4"/>
      <c r="AL698" s="4"/>
      <c r="AM698" s="4"/>
      <c r="AN698" s="44"/>
      <c r="AO698" s="8"/>
      <c r="AP698" s="8"/>
      <c r="AQ698" s="8"/>
      <c r="AR698" s="8"/>
      <c r="AS698" s="8"/>
      <c r="AT698" s="8"/>
      <c r="AU698" s="8"/>
      <c r="AV698" s="46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4"/>
      <c r="BX698" s="4"/>
    </row>
    <row r="699" spans="1:76" s="16" customFormat="1" x14ac:dyDescent="0.25">
      <c r="A699" s="26"/>
      <c r="B699" s="6"/>
      <c r="C699" s="7"/>
      <c r="D699" s="7"/>
      <c r="E699" s="7"/>
      <c r="F699" s="7"/>
      <c r="G699" s="7"/>
      <c r="H699" s="7"/>
      <c r="I699" s="4"/>
      <c r="J699" s="7"/>
      <c r="K699" s="7"/>
      <c r="L699" s="7"/>
      <c r="M699" s="7"/>
      <c r="N699" s="4"/>
      <c r="O699" s="4"/>
      <c r="P699" s="4"/>
      <c r="Q699" s="4"/>
      <c r="R699" s="4"/>
      <c r="S699" s="7"/>
      <c r="T699" s="7"/>
      <c r="U699" s="7"/>
      <c r="V699" s="7"/>
      <c r="W699" s="7"/>
      <c r="X699" s="7"/>
      <c r="Y699" s="4"/>
      <c r="Z699" s="4"/>
      <c r="AA699" s="4"/>
      <c r="AB699" s="4"/>
      <c r="AC699" s="4"/>
      <c r="AD699" s="4"/>
      <c r="AE699" s="4"/>
      <c r="AF699" s="4"/>
      <c r="AG699" s="49"/>
      <c r="AH699" s="4"/>
      <c r="AI699" s="4"/>
      <c r="AJ699" s="4"/>
      <c r="AK699" s="4"/>
      <c r="AL699" s="4"/>
      <c r="AM699" s="4"/>
      <c r="AN699" s="44"/>
      <c r="AO699" s="8"/>
      <c r="AP699" s="8"/>
      <c r="AQ699" s="8"/>
      <c r="AR699" s="8"/>
      <c r="AS699" s="8"/>
      <c r="AT699" s="8"/>
      <c r="AU699" s="8"/>
      <c r="AV699" s="46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4"/>
      <c r="BX699" s="4"/>
    </row>
    <row r="700" spans="1:76" s="16" customFormat="1" x14ac:dyDescent="0.25">
      <c r="A700" s="26"/>
      <c r="B700" s="6"/>
      <c r="C700" s="7"/>
      <c r="D700" s="7"/>
      <c r="E700" s="7"/>
      <c r="F700" s="7"/>
      <c r="G700" s="7"/>
      <c r="H700" s="7"/>
      <c r="I700" s="4"/>
      <c r="J700" s="7"/>
      <c r="K700" s="7"/>
      <c r="L700" s="7"/>
      <c r="M700" s="7"/>
      <c r="N700" s="4"/>
      <c r="O700" s="4"/>
      <c r="P700" s="4"/>
      <c r="Q700" s="4"/>
      <c r="R700" s="4"/>
      <c r="S700" s="7"/>
      <c r="T700" s="7"/>
      <c r="U700" s="7"/>
      <c r="V700" s="7"/>
      <c r="W700" s="7"/>
      <c r="X700" s="7"/>
      <c r="Y700" s="4"/>
      <c r="Z700" s="4"/>
      <c r="AA700" s="4"/>
      <c r="AB700" s="4"/>
      <c r="AC700" s="4"/>
      <c r="AD700" s="4"/>
      <c r="AE700" s="4"/>
      <c r="AF700" s="4"/>
      <c r="AG700" s="49"/>
      <c r="AH700" s="4"/>
      <c r="AI700" s="4"/>
      <c r="AJ700" s="4"/>
      <c r="AK700" s="4"/>
      <c r="AL700" s="4"/>
      <c r="AM700" s="4"/>
      <c r="AN700" s="44"/>
      <c r="AO700" s="8"/>
      <c r="AP700" s="8"/>
      <c r="AQ700" s="8"/>
      <c r="AR700" s="8"/>
      <c r="AS700" s="8"/>
      <c r="AT700" s="8"/>
      <c r="AU700" s="8"/>
      <c r="AV700" s="46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4"/>
      <c r="BX700" s="4"/>
    </row>
    <row r="701" spans="1:76" s="16" customFormat="1" x14ac:dyDescent="0.25">
      <c r="A701" s="26"/>
      <c r="B701" s="6"/>
      <c r="C701" s="7"/>
      <c r="D701" s="7"/>
      <c r="E701" s="7"/>
      <c r="F701" s="7"/>
      <c r="G701" s="7"/>
      <c r="H701" s="7"/>
      <c r="I701" s="4"/>
      <c r="J701" s="7"/>
      <c r="K701" s="7"/>
      <c r="L701" s="7"/>
      <c r="M701" s="7"/>
      <c r="N701" s="4"/>
      <c r="O701" s="4"/>
      <c r="P701" s="4"/>
      <c r="Q701" s="4"/>
      <c r="R701" s="4"/>
      <c r="S701" s="7"/>
      <c r="T701" s="7"/>
      <c r="U701" s="7"/>
      <c r="V701" s="7"/>
      <c r="W701" s="7"/>
      <c r="X701" s="7"/>
      <c r="Y701" s="4"/>
      <c r="Z701" s="4"/>
      <c r="AA701" s="4"/>
      <c r="AB701" s="4"/>
      <c r="AC701" s="4"/>
      <c r="AD701" s="4"/>
      <c r="AE701" s="4"/>
      <c r="AF701" s="4"/>
      <c r="AG701" s="49"/>
      <c r="AH701" s="4"/>
      <c r="AI701" s="4"/>
      <c r="AJ701" s="4"/>
      <c r="AK701" s="4"/>
      <c r="AL701" s="4"/>
      <c r="AM701" s="4"/>
      <c r="AN701" s="44"/>
      <c r="AO701" s="8"/>
      <c r="AP701" s="8"/>
      <c r="AQ701" s="8"/>
      <c r="AR701" s="8"/>
      <c r="AS701" s="8"/>
      <c r="AT701" s="8"/>
      <c r="AU701" s="8"/>
      <c r="AV701" s="46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4"/>
      <c r="BX701" s="4"/>
    </row>
    <row r="702" spans="1:76" s="16" customFormat="1" x14ac:dyDescent="0.25">
      <c r="A702" s="26"/>
      <c r="B702" s="6"/>
      <c r="C702" s="7"/>
      <c r="D702" s="7"/>
      <c r="E702" s="7"/>
      <c r="F702" s="7"/>
      <c r="G702" s="7"/>
      <c r="H702" s="7"/>
      <c r="I702" s="4"/>
      <c r="J702" s="7"/>
      <c r="K702" s="7"/>
      <c r="L702" s="7"/>
      <c r="M702" s="7"/>
      <c r="N702" s="4"/>
      <c r="O702" s="4"/>
      <c r="P702" s="4"/>
      <c r="Q702" s="4"/>
      <c r="R702" s="4"/>
      <c r="S702" s="7"/>
      <c r="T702" s="7"/>
      <c r="U702" s="7"/>
      <c r="V702" s="7"/>
      <c r="W702" s="7"/>
      <c r="X702" s="7"/>
      <c r="Y702" s="4"/>
      <c r="Z702" s="4"/>
      <c r="AA702" s="4"/>
      <c r="AB702" s="4"/>
      <c r="AC702" s="4"/>
      <c r="AD702" s="4"/>
      <c r="AE702" s="4"/>
      <c r="AF702" s="4"/>
      <c r="AG702" s="49"/>
      <c r="AH702" s="4"/>
      <c r="AI702" s="4"/>
      <c r="AJ702" s="4"/>
      <c r="AK702" s="4"/>
      <c r="AL702" s="4"/>
      <c r="AM702" s="4"/>
      <c r="AN702" s="44"/>
      <c r="AO702" s="8"/>
      <c r="AP702" s="8"/>
      <c r="AQ702" s="8"/>
      <c r="AR702" s="8"/>
      <c r="AS702" s="8"/>
      <c r="AT702" s="8"/>
      <c r="AU702" s="8"/>
      <c r="AV702" s="46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4"/>
      <c r="BX702" s="4"/>
    </row>
    <row r="703" spans="1:76" s="16" customFormat="1" x14ac:dyDescent="0.25">
      <c r="A703" s="26"/>
      <c r="B703" s="6"/>
      <c r="C703" s="7"/>
      <c r="D703" s="7"/>
      <c r="E703" s="7"/>
      <c r="F703" s="7"/>
      <c r="G703" s="7"/>
      <c r="H703" s="7"/>
      <c r="I703" s="4"/>
      <c r="J703" s="7"/>
      <c r="K703" s="7"/>
      <c r="L703" s="7"/>
      <c r="M703" s="7"/>
      <c r="N703" s="4"/>
      <c r="O703" s="4"/>
      <c r="P703" s="4"/>
      <c r="Q703" s="4"/>
      <c r="R703" s="4"/>
      <c r="S703" s="7"/>
      <c r="T703" s="7"/>
      <c r="U703" s="7"/>
      <c r="V703" s="7"/>
      <c r="W703" s="7"/>
      <c r="X703" s="7"/>
      <c r="Y703" s="4"/>
      <c r="Z703" s="4"/>
      <c r="AA703" s="4"/>
      <c r="AB703" s="4"/>
      <c r="AC703" s="4"/>
      <c r="AD703" s="4"/>
      <c r="AE703" s="4"/>
      <c r="AF703" s="4"/>
      <c r="AG703" s="49"/>
      <c r="AH703" s="4"/>
      <c r="AI703" s="4"/>
      <c r="AJ703" s="4"/>
      <c r="AK703" s="4"/>
      <c r="AL703" s="4"/>
      <c r="AM703" s="4"/>
      <c r="AN703" s="44"/>
      <c r="AO703" s="8"/>
      <c r="AP703" s="8"/>
      <c r="AQ703" s="8"/>
      <c r="AR703" s="8"/>
      <c r="AS703" s="8"/>
      <c r="AT703" s="8"/>
      <c r="AU703" s="8"/>
      <c r="AV703" s="46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4"/>
      <c r="BX703" s="4"/>
    </row>
    <row r="704" spans="1:76" s="16" customFormat="1" x14ac:dyDescent="0.25">
      <c r="A704" s="26"/>
      <c r="B704" s="6"/>
      <c r="C704" s="7"/>
      <c r="D704" s="7"/>
      <c r="E704" s="7"/>
      <c r="F704" s="7"/>
      <c r="G704" s="7"/>
      <c r="H704" s="7"/>
      <c r="I704" s="4"/>
      <c r="J704" s="7"/>
      <c r="K704" s="7"/>
      <c r="L704" s="7"/>
      <c r="M704" s="7"/>
      <c r="N704" s="4"/>
      <c r="O704" s="4"/>
      <c r="P704" s="4"/>
      <c r="Q704" s="4"/>
      <c r="R704" s="4"/>
      <c r="S704" s="7"/>
      <c r="T704" s="7"/>
      <c r="U704" s="7"/>
      <c r="V704" s="7"/>
      <c r="W704" s="7"/>
      <c r="X704" s="7"/>
      <c r="Y704" s="4"/>
      <c r="Z704" s="4"/>
      <c r="AA704" s="4"/>
      <c r="AB704" s="4"/>
      <c r="AC704" s="4"/>
      <c r="AD704" s="4"/>
      <c r="AE704" s="4"/>
      <c r="AF704" s="4"/>
      <c r="AG704" s="49"/>
      <c r="AH704" s="4"/>
      <c r="AI704" s="4"/>
      <c r="AJ704" s="4"/>
      <c r="AK704" s="4"/>
      <c r="AL704" s="4"/>
      <c r="AM704" s="4"/>
      <c r="AN704" s="44"/>
      <c r="AO704" s="8"/>
      <c r="AP704" s="8"/>
      <c r="AQ704" s="8"/>
      <c r="AR704" s="8"/>
      <c r="AS704" s="8"/>
      <c r="AT704" s="8"/>
      <c r="AU704" s="8"/>
      <c r="AV704" s="46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4"/>
      <c r="BX704" s="4"/>
    </row>
    <row r="705" spans="1:76" s="16" customFormat="1" x14ac:dyDescent="0.25">
      <c r="A705" s="26"/>
      <c r="B705" s="6"/>
      <c r="C705" s="7"/>
      <c r="D705" s="7"/>
      <c r="E705" s="7"/>
      <c r="F705" s="7"/>
      <c r="G705" s="7"/>
      <c r="H705" s="7"/>
      <c r="I705" s="4"/>
      <c r="J705" s="7"/>
      <c r="K705" s="7"/>
      <c r="L705" s="7"/>
      <c r="M705" s="7"/>
      <c r="N705" s="4"/>
      <c r="O705" s="4"/>
      <c r="P705" s="4"/>
      <c r="Q705" s="4"/>
      <c r="R705" s="4"/>
      <c r="S705" s="7"/>
      <c r="T705" s="7"/>
      <c r="U705" s="7"/>
      <c r="V705" s="7"/>
      <c r="W705" s="7"/>
      <c r="X705" s="7"/>
      <c r="Y705" s="4"/>
      <c r="Z705" s="4"/>
      <c r="AA705" s="4"/>
      <c r="AB705" s="4"/>
      <c r="AC705" s="4"/>
      <c r="AD705" s="4"/>
      <c r="AE705" s="4"/>
      <c r="AF705" s="4"/>
      <c r="AG705" s="49"/>
      <c r="AH705" s="4"/>
      <c r="AI705" s="4"/>
      <c r="AJ705" s="4"/>
      <c r="AK705" s="4"/>
      <c r="AL705" s="4"/>
      <c r="AM705" s="4"/>
      <c r="AN705" s="44"/>
      <c r="AO705" s="8"/>
      <c r="AP705" s="8"/>
      <c r="AQ705" s="8"/>
      <c r="AR705" s="8"/>
      <c r="AS705" s="8"/>
      <c r="AT705" s="8"/>
      <c r="AU705" s="8"/>
      <c r="AV705" s="46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4"/>
      <c r="BX705" s="4"/>
    </row>
    <row r="706" spans="1:76" s="16" customFormat="1" x14ac:dyDescent="0.25">
      <c r="A706" s="26"/>
      <c r="B706" s="6"/>
      <c r="C706" s="7"/>
      <c r="D706" s="7"/>
      <c r="E706" s="7"/>
      <c r="F706" s="7"/>
      <c r="G706" s="7"/>
      <c r="H706" s="7"/>
      <c r="I706" s="4"/>
      <c r="J706" s="7"/>
      <c r="K706" s="7"/>
      <c r="L706" s="7"/>
      <c r="M706" s="7"/>
      <c r="N706" s="4"/>
      <c r="O706" s="4"/>
      <c r="P706" s="4"/>
      <c r="Q706" s="4"/>
      <c r="R706" s="4"/>
      <c r="S706" s="7"/>
      <c r="T706" s="7"/>
      <c r="U706" s="7"/>
      <c r="V706" s="7"/>
      <c r="W706" s="7"/>
      <c r="X706" s="7"/>
      <c r="Y706" s="4"/>
      <c r="Z706" s="4"/>
      <c r="AA706" s="4"/>
      <c r="AB706" s="4"/>
      <c r="AC706" s="4"/>
      <c r="AD706" s="4"/>
      <c r="AE706" s="4"/>
      <c r="AF706" s="4"/>
      <c r="AG706" s="49"/>
      <c r="AH706" s="4"/>
      <c r="AI706" s="4"/>
      <c r="AJ706" s="4"/>
      <c r="AK706" s="4"/>
      <c r="AL706" s="4"/>
      <c r="AM706" s="4"/>
      <c r="AN706" s="44"/>
      <c r="AO706" s="8"/>
      <c r="AP706" s="8"/>
      <c r="AQ706" s="8"/>
      <c r="AR706" s="8"/>
      <c r="AS706" s="8"/>
      <c r="AT706" s="8"/>
      <c r="AU706" s="8"/>
      <c r="AV706" s="46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4"/>
      <c r="BX706" s="4"/>
    </row>
    <row r="707" spans="1:76" s="16" customFormat="1" x14ac:dyDescent="0.25">
      <c r="A707" s="26"/>
      <c r="B707" s="6"/>
      <c r="C707" s="7"/>
      <c r="D707" s="7"/>
      <c r="E707" s="7"/>
      <c r="F707" s="7"/>
      <c r="G707" s="7"/>
      <c r="H707" s="7"/>
      <c r="I707" s="4"/>
      <c r="J707" s="7"/>
      <c r="K707" s="7"/>
      <c r="L707" s="7"/>
      <c r="M707" s="7"/>
      <c r="N707" s="4"/>
      <c r="O707" s="4"/>
      <c r="P707" s="4"/>
      <c r="Q707" s="4"/>
      <c r="R707" s="4"/>
      <c r="S707" s="7"/>
      <c r="T707" s="7"/>
      <c r="U707" s="7"/>
      <c r="V707" s="7"/>
      <c r="W707" s="7"/>
      <c r="X707" s="7"/>
      <c r="Y707" s="4"/>
      <c r="Z707" s="4"/>
      <c r="AA707" s="4"/>
      <c r="AB707" s="4"/>
      <c r="AC707" s="4"/>
      <c r="AD707" s="4"/>
      <c r="AE707" s="4"/>
      <c r="AF707" s="4"/>
      <c r="AG707" s="49"/>
      <c r="AH707" s="4"/>
      <c r="AI707" s="4"/>
      <c r="AJ707" s="4"/>
      <c r="AK707" s="4"/>
      <c r="AL707" s="4"/>
      <c r="AM707" s="4"/>
      <c r="AN707" s="44"/>
      <c r="AO707" s="8"/>
      <c r="AP707" s="8"/>
      <c r="AQ707" s="8"/>
      <c r="AR707" s="8"/>
      <c r="AS707" s="8"/>
      <c r="AT707" s="8"/>
      <c r="AU707" s="8"/>
      <c r="AV707" s="46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4"/>
      <c r="BX707" s="4"/>
    </row>
    <row r="708" spans="1:76" s="16" customFormat="1" x14ac:dyDescent="0.25">
      <c r="A708" s="26"/>
      <c r="B708" s="6"/>
      <c r="C708" s="7"/>
      <c r="D708" s="7"/>
      <c r="E708" s="7"/>
      <c r="F708" s="7"/>
      <c r="G708" s="7"/>
      <c r="H708" s="7"/>
      <c r="I708" s="4"/>
      <c r="J708" s="7"/>
      <c r="K708" s="7"/>
      <c r="L708" s="7"/>
      <c r="M708" s="7"/>
      <c r="N708" s="4"/>
      <c r="O708" s="4"/>
      <c r="P708" s="4"/>
      <c r="Q708" s="4"/>
      <c r="R708" s="4"/>
      <c r="S708" s="7"/>
      <c r="T708" s="7"/>
      <c r="U708" s="7"/>
      <c r="V708" s="7"/>
      <c r="W708" s="7"/>
      <c r="X708" s="7"/>
      <c r="Y708" s="4"/>
      <c r="Z708" s="4"/>
      <c r="AA708" s="4"/>
      <c r="AB708" s="4"/>
      <c r="AC708" s="4"/>
      <c r="AD708" s="4"/>
      <c r="AE708" s="4"/>
      <c r="AF708" s="4"/>
      <c r="AG708" s="49"/>
      <c r="AH708" s="4"/>
      <c r="AI708" s="4"/>
      <c r="AJ708" s="4"/>
      <c r="AK708" s="4"/>
      <c r="AL708" s="4"/>
      <c r="AM708" s="4"/>
      <c r="AN708" s="44"/>
      <c r="AO708" s="8"/>
      <c r="AP708" s="8"/>
      <c r="AQ708" s="8"/>
      <c r="AR708" s="8"/>
      <c r="AS708" s="8"/>
      <c r="AT708" s="8"/>
      <c r="AU708" s="8"/>
      <c r="AV708" s="46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4"/>
      <c r="BX708" s="4"/>
    </row>
    <row r="709" spans="1:76" s="16" customFormat="1" x14ac:dyDescent="0.25">
      <c r="A709" s="26"/>
      <c r="B709" s="6"/>
      <c r="C709" s="7"/>
      <c r="D709" s="7"/>
      <c r="E709" s="7"/>
      <c r="F709" s="7"/>
      <c r="G709" s="7"/>
      <c r="H709" s="7"/>
      <c r="I709" s="4"/>
      <c r="J709" s="7"/>
      <c r="K709" s="7"/>
      <c r="L709" s="7"/>
      <c r="M709" s="7"/>
      <c r="N709" s="4"/>
      <c r="O709" s="4"/>
      <c r="P709" s="4"/>
      <c r="Q709" s="4"/>
      <c r="R709" s="4"/>
      <c r="S709" s="7"/>
      <c r="T709" s="7"/>
      <c r="U709" s="7"/>
      <c r="V709" s="7"/>
      <c r="W709" s="7"/>
      <c r="X709" s="7"/>
      <c r="Y709" s="4"/>
      <c r="Z709" s="4"/>
      <c r="AA709" s="4"/>
      <c r="AB709" s="4"/>
      <c r="AC709" s="4"/>
      <c r="AD709" s="4"/>
      <c r="AE709" s="4"/>
      <c r="AF709" s="4"/>
      <c r="AG709" s="49"/>
      <c r="AH709" s="4"/>
      <c r="AI709" s="4"/>
      <c r="AJ709" s="4"/>
      <c r="AK709" s="4"/>
      <c r="AL709" s="4"/>
      <c r="AM709" s="4"/>
      <c r="AN709" s="44"/>
      <c r="AO709" s="8"/>
      <c r="AP709" s="8"/>
      <c r="AQ709" s="8"/>
      <c r="AR709" s="8"/>
      <c r="AS709" s="8"/>
      <c r="AT709" s="8"/>
      <c r="AU709" s="8"/>
      <c r="AV709" s="46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4"/>
      <c r="BX709" s="4"/>
    </row>
    <row r="710" spans="1:76" s="16" customFormat="1" x14ac:dyDescent="0.25">
      <c r="A710" s="26"/>
      <c r="B710" s="6"/>
      <c r="C710" s="7"/>
      <c r="D710" s="7"/>
      <c r="E710" s="7"/>
      <c r="F710" s="7"/>
      <c r="G710" s="7"/>
      <c r="H710" s="7"/>
      <c r="I710" s="4"/>
      <c r="J710" s="7"/>
      <c r="K710" s="7"/>
      <c r="L710" s="7"/>
      <c r="M710" s="7"/>
      <c r="N710" s="4"/>
      <c r="O710" s="4"/>
      <c r="P710" s="4"/>
      <c r="Q710" s="4"/>
      <c r="R710" s="4"/>
      <c r="S710" s="7"/>
      <c r="T710" s="7"/>
      <c r="U710" s="7"/>
      <c r="V710" s="7"/>
      <c r="W710" s="7"/>
      <c r="X710" s="7"/>
      <c r="Y710" s="4"/>
      <c r="Z710" s="4"/>
      <c r="AA710" s="4"/>
      <c r="AB710" s="4"/>
      <c r="AC710" s="4"/>
      <c r="AD710" s="4"/>
      <c r="AE710" s="4"/>
      <c r="AF710" s="4"/>
      <c r="AG710" s="49"/>
      <c r="AH710" s="4"/>
      <c r="AI710" s="4"/>
      <c r="AJ710" s="4"/>
      <c r="AK710" s="4"/>
      <c r="AL710" s="4"/>
      <c r="AM710" s="4"/>
      <c r="AN710" s="44"/>
      <c r="AO710" s="8"/>
      <c r="AP710" s="8"/>
      <c r="AQ710" s="8"/>
      <c r="AR710" s="8"/>
      <c r="AS710" s="8"/>
      <c r="AT710" s="8"/>
      <c r="AU710" s="8"/>
      <c r="AV710" s="46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4"/>
      <c r="BX710" s="4"/>
    </row>
    <row r="711" spans="1:76" s="16" customFormat="1" x14ac:dyDescent="0.25">
      <c r="A711" s="26"/>
      <c r="B711" s="6"/>
      <c r="C711" s="7"/>
      <c r="D711" s="7"/>
      <c r="E711" s="7"/>
      <c r="F711" s="7"/>
      <c r="G711" s="7"/>
      <c r="H711" s="7"/>
      <c r="I711" s="4"/>
      <c r="J711" s="7"/>
      <c r="K711" s="7"/>
      <c r="L711" s="7"/>
      <c r="M711" s="7"/>
      <c r="N711" s="4"/>
      <c r="O711" s="4"/>
      <c r="P711" s="4"/>
      <c r="Q711" s="4"/>
      <c r="R711" s="4"/>
      <c r="S711" s="7"/>
      <c r="T711" s="7"/>
      <c r="U711" s="7"/>
      <c r="V711" s="7"/>
      <c r="W711" s="7"/>
      <c r="X711" s="7"/>
      <c r="Y711" s="4"/>
      <c r="Z711" s="4"/>
      <c r="AA711" s="4"/>
      <c r="AB711" s="4"/>
      <c r="AC711" s="4"/>
      <c r="AD711" s="4"/>
      <c r="AE711" s="4"/>
      <c r="AF711" s="4"/>
      <c r="AG711" s="49"/>
      <c r="AH711" s="4"/>
      <c r="AI711" s="4"/>
      <c r="AJ711" s="4"/>
      <c r="AK711" s="4"/>
      <c r="AL711" s="4"/>
      <c r="AM711" s="4"/>
      <c r="AN711" s="44"/>
      <c r="AO711" s="8"/>
      <c r="AP711" s="8"/>
      <c r="AQ711" s="8"/>
      <c r="AR711" s="8"/>
      <c r="AS711" s="8"/>
      <c r="AT711" s="8"/>
      <c r="AU711" s="8"/>
      <c r="AV711" s="46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4"/>
      <c r="BX711" s="4"/>
    </row>
    <row r="712" spans="1:76" s="16" customFormat="1" x14ac:dyDescent="0.25">
      <c r="A712" s="26"/>
      <c r="B712" s="6"/>
      <c r="C712" s="7"/>
      <c r="D712" s="7"/>
      <c r="E712" s="7"/>
      <c r="F712" s="7"/>
      <c r="G712" s="7"/>
      <c r="H712" s="7"/>
      <c r="I712" s="4"/>
      <c r="J712" s="7"/>
      <c r="K712" s="7"/>
      <c r="L712" s="7"/>
      <c r="M712" s="7"/>
      <c r="N712" s="4"/>
      <c r="O712" s="4"/>
      <c r="P712" s="4"/>
      <c r="Q712" s="4"/>
      <c r="R712" s="4"/>
      <c r="S712" s="7"/>
      <c r="T712" s="7"/>
      <c r="U712" s="7"/>
      <c r="V712" s="7"/>
      <c r="W712" s="7"/>
      <c r="X712" s="7"/>
      <c r="Y712" s="4"/>
      <c r="Z712" s="4"/>
      <c r="AA712" s="4"/>
      <c r="AB712" s="4"/>
      <c r="AC712" s="4"/>
      <c r="AD712" s="4"/>
      <c r="AE712" s="4"/>
      <c r="AF712" s="4"/>
      <c r="AG712" s="49"/>
      <c r="AH712" s="4"/>
      <c r="AI712" s="4"/>
      <c r="AJ712" s="4"/>
      <c r="AK712" s="4"/>
      <c r="AL712" s="4"/>
      <c r="AM712" s="4"/>
      <c r="AN712" s="44"/>
      <c r="AO712" s="8"/>
      <c r="AP712" s="8"/>
      <c r="AQ712" s="8"/>
      <c r="AR712" s="8"/>
      <c r="AS712" s="8"/>
      <c r="AT712" s="8"/>
      <c r="AU712" s="8"/>
      <c r="AV712" s="46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4"/>
      <c r="BX712" s="4"/>
    </row>
    <row r="713" spans="1:76" s="16" customFormat="1" x14ac:dyDescent="0.25">
      <c r="A713" s="26"/>
      <c r="B713" s="6"/>
      <c r="C713" s="7"/>
      <c r="D713" s="7"/>
      <c r="E713" s="7"/>
      <c r="F713" s="7"/>
      <c r="G713" s="7"/>
      <c r="H713" s="7"/>
      <c r="I713" s="4"/>
      <c r="J713" s="7"/>
      <c r="K713" s="7"/>
      <c r="L713" s="7"/>
      <c r="M713" s="7"/>
      <c r="N713" s="4"/>
      <c r="O713" s="4"/>
      <c r="P713" s="4"/>
      <c r="Q713" s="4"/>
      <c r="R713" s="4"/>
      <c r="S713" s="7"/>
      <c r="T713" s="7"/>
      <c r="U713" s="7"/>
      <c r="V713" s="7"/>
      <c r="W713" s="7"/>
      <c r="X713" s="7"/>
      <c r="Y713" s="4"/>
      <c r="Z713" s="4"/>
      <c r="AA713" s="4"/>
      <c r="AB713" s="4"/>
      <c r="AC713" s="4"/>
      <c r="AD713" s="4"/>
      <c r="AE713" s="4"/>
      <c r="AF713" s="4"/>
      <c r="AG713" s="49"/>
      <c r="AH713" s="4"/>
      <c r="AI713" s="4"/>
      <c r="AJ713" s="4"/>
      <c r="AK713" s="4"/>
      <c r="AL713" s="4"/>
      <c r="AM713" s="4"/>
      <c r="AN713" s="44"/>
      <c r="AO713" s="8"/>
      <c r="AP713" s="8"/>
      <c r="AQ713" s="8"/>
      <c r="AR713" s="8"/>
      <c r="AS713" s="8"/>
      <c r="AT713" s="8"/>
      <c r="AU713" s="8"/>
      <c r="AV713" s="46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4"/>
      <c r="BX713" s="4"/>
    </row>
    <row r="714" spans="1:76" s="16" customFormat="1" x14ac:dyDescent="0.25">
      <c r="A714" s="26"/>
      <c r="B714" s="6"/>
      <c r="C714" s="7"/>
      <c r="D714" s="7"/>
      <c r="E714" s="7"/>
      <c r="F714" s="7"/>
      <c r="G714" s="7"/>
      <c r="H714" s="7"/>
      <c r="I714" s="4"/>
      <c r="J714" s="7"/>
      <c r="K714" s="7"/>
      <c r="L714" s="7"/>
      <c r="M714" s="7"/>
      <c r="N714" s="4"/>
      <c r="O714" s="4"/>
      <c r="P714" s="4"/>
      <c r="Q714" s="4"/>
      <c r="R714" s="4"/>
      <c r="S714" s="7"/>
      <c r="T714" s="7"/>
      <c r="U714" s="7"/>
      <c r="V714" s="7"/>
      <c r="W714" s="7"/>
      <c r="X714" s="7"/>
      <c r="Y714" s="4"/>
      <c r="Z714" s="4"/>
      <c r="AA714" s="4"/>
      <c r="AB714" s="4"/>
      <c r="AC714" s="4"/>
      <c r="AD714" s="4"/>
      <c r="AE714" s="4"/>
      <c r="AF714" s="4"/>
      <c r="AG714" s="49"/>
      <c r="AH714" s="4"/>
      <c r="AI714" s="4"/>
      <c r="AJ714" s="4"/>
      <c r="AK714" s="4"/>
      <c r="AL714" s="4"/>
      <c r="AM714" s="4"/>
      <c r="AN714" s="44"/>
      <c r="AO714" s="8"/>
      <c r="AP714" s="8"/>
      <c r="AQ714" s="8"/>
      <c r="AR714" s="8"/>
      <c r="AS714" s="8"/>
      <c r="AT714" s="8"/>
      <c r="AU714" s="8"/>
      <c r="AV714" s="46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4"/>
      <c r="BX714" s="4"/>
    </row>
    <row r="715" spans="1:76" s="16" customFormat="1" x14ac:dyDescent="0.25">
      <c r="A715" s="26"/>
      <c r="B715" s="6"/>
      <c r="C715" s="7"/>
      <c r="D715" s="7"/>
      <c r="E715" s="7"/>
      <c r="F715" s="7"/>
      <c r="G715" s="7"/>
      <c r="H715" s="7"/>
      <c r="I715" s="4"/>
      <c r="J715" s="7"/>
      <c r="K715" s="7"/>
      <c r="L715" s="7"/>
      <c r="M715" s="7"/>
      <c r="N715" s="4"/>
      <c r="O715" s="4"/>
      <c r="P715" s="4"/>
      <c r="Q715" s="4"/>
      <c r="R715" s="4"/>
      <c r="S715" s="7"/>
      <c r="T715" s="7"/>
      <c r="U715" s="7"/>
      <c r="V715" s="7"/>
      <c r="W715" s="7"/>
      <c r="X715" s="7"/>
      <c r="Y715" s="4"/>
      <c r="Z715" s="4"/>
      <c r="AA715" s="4"/>
      <c r="AB715" s="4"/>
      <c r="AC715" s="4"/>
      <c r="AD715" s="4"/>
      <c r="AE715" s="4"/>
      <c r="AF715" s="4"/>
      <c r="AG715" s="49"/>
      <c r="AH715" s="4"/>
      <c r="AI715" s="4"/>
      <c r="AJ715" s="4"/>
      <c r="AK715" s="4"/>
      <c r="AL715" s="4"/>
      <c r="AM715" s="4"/>
      <c r="AN715" s="44"/>
      <c r="AO715" s="8"/>
      <c r="AP715" s="8"/>
      <c r="AQ715" s="8"/>
      <c r="AR715" s="8"/>
      <c r="AS715" s="8"/>
      <c r="AT715" s="8"/>
      <c r="AU715" s="8"/>
      <c r="AV715" s="46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4"/>
      <c r="BX715" s="4"/>
    </row>
    <row r="716" spans="1:76" s="16" customFormat="1" x14ac:dyDescent="0.25">
      <c r="A716" s="26"/>
      <c r="B716" s="6"/>
      <c r="C716" s="7"/>
      <c r="D716" s="7"/>
      <c r="E716" s="7"/>
      <c r="F716" s="7"/>
      <c r="G716" s="7"/>
      <c r="H716" s="7"/>
      <c r="I716" s="4"/>
      <c r="J716" s="7"/>
      <c r="K716" s="7"/>
      <c r="L716" s="7"/>
      <c r="M716" s="7"/>
      <c r="N716" s="4"/>
      <c r="O716" s="4"/>
      <c r="P716" s="4"/>
      <c r="Q716" s="4"/>
      <c r="R716" s="4"/>
      <c r="S716" s="7"/>
      <c r="T716" s="7"/>
      <c r="U716" s="7"/>
      <c r="V716" s="7"/>
      <c r="W716" s="7"/>
      <c r="X716" s="7"/>
      <c r="Y716" s="4"/>
      <c r="Z716" s="4"/>
      <c r="AA716" s="4"/>
      <c r="AB716" s="4"/>
      <c r="AC716" s="4"/>
      <c r="AD716" s="4"/>
      <c r="AE716" s="4"/>
      <c r="AF716" s="4"/>
      <c r="AG716" s="49"/>
      <c r="AH716" s="4"/>
      <c r="AI716" s="4"/>
      <c r="AJ716" s="4"/>
      <c r="AK716" s="4"/>
      <c r="AL716" s="4"/>
      <c r="AM716" s="4"/>
      <c r="AN716" s="44"/>
      <c r="AO716" s="8"/>
      <c r="AP716" s="8"/>
      <c r="AQ716" s="8"/>
      <c r="AR716" s="8"/>
      <c r="AS716" s="8"/>
      <c r="AT716" s="8"/>
      <c r="AU716" s="8"/>
      <c r="AV716" s="46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4"/>
      <c r="BX716" s="4"/>
    </row>
    <row r="717" spans="1:76" s="16" customFormat="1" x14ac:dyDescent="0.25">
      <c r="A717" s="26"/>
      <c r="B717" s="6"/>
      <c r="C717" s="7"/>
      <c r="D717" s="7"/>
      <c r="E717" s="7"/>
      <c r="F717" s="7"/>
      <c r="G717" s="7"/>
      <c r="H717" s="7"/>
      <c r="I717" s="4"/>
      <c r="J717" s="7"/>
      <c r="K717" s="7"/>
      <c r="L717" s="7"/>
      <c r="M717" s="7"/>
      <c r="N717" s="4"/>
      <c r="O717" s="4"/>
      <c r="P717" s="4"/>
      <c r="Q717" s="4"/>
      <c r="R717" s="4"/>
      <c r="S717" s="7"/>
      <c r="T717" s="7"/>
      <c r="U717" s="7"/>
      <c r="V717" s="7"/>
      <c r="W717" s="7"/>
      <c r="X717" s="7"/>
      <c r="Y717" s="4"/>
      <c r="Z717" s="4"/>
      <c r="AA717" s="4"/>
      <c r="AB717" s="4"/>
      <c r="AC717" s="4"/>
      <c r="AD717" s="4"/>
      <c r="AE717" s="4"/>
      <c r="AF717" s="4"/>
      <c r="AG717" s="49"/>
      <c r="AH717" s="4"/>
      <c r="AI717" s="4"/>
      <c r="AJ717" s="4"/>
      <c r="AK717" s="4"/>
      <c r="AL717" s="4"/>
      <c r="AM717" s="4"/>
      <c r="AN717" s="44"/>
      <c r="AO717" s="8"/>
      <c r="AP717" s="8"/>
      <c r="AQ717" s="8"/>
      <c r="AR717" s="8"/>
      <c r="AS717" s="8"/>
      <c r="AT717" s="8"/>
      <c r="AU717" s="8"/>
      <c r="AV717" s="46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4"/>
      <c r="BX717" s="4"/>
    </row>
    <row r="718" spans="1:76" s="16" customFormat="1" x14ac:dyDescent="0.25">
      <c r="A718" s="26"/>
      <c r="B718" s="6"/>
      <c r="C718" s="7"/>
      <c r="D718" s="7"/>
      <c r="E718" s="7"/>
      <c r="F718" s="7"/>
      <c r="G718" s="7"/>
      <c r="H718" s="7"/>
      <c r="I718" s="4"/>
      <c r="J718" s="7"/>
      <c r="K718" s="7"/>
      <c r="L718" s="7"/>
      <c r="M718" s="7"/>
      <c r="N718" s="4"/>
      <c r="O718" s="4"/>
      <c r="P718" s="4"/>
      <c r="Q718" s="4"/>
      <c r="R718" s="4"/>
      <c r="S718" s="7"/>
      <c r="T718" s="7"/>
      <c r="U718" s="7"/>
      <c r="V718" s="7"/>
      <c r="W718" s="7"/>
      <c r="X718" s="7"/>
      <c r="Y718" s="4"/>
      <c r="Z718" s="4"/>
      <c r="AA718" s="4"/>
      <c r="AB718" s="4"/>
      <c r="AC718" s="4"/>
      <c r="AD718" s="4"/>
      <c r="AE718" s="4"/>
      <c r="AF718" s="4"/>
      <c r="AG718" s="49"/>
      <c r="AH718" s="4"/>
      <c r="AI718" s="4"/>
      <c r="AJ718" s="4"/>
      <c r="AK718" s="4"/>
      <c r="AL718" s="4"/>
      <c r="AM718" s="4"/>
      <c r="AN718" s="44"/>
      <c r="AO718" s="8"/>
      <c r="AP718" s="8"/>
      <c r="AQ718" s="8"/>
      <c r="AR718" s="8"/>
      <c r="AS718" s="8"/>
      <c r="AT718" s="8"/>
      <c r="AU718" s="8"/>
      <c r="AV718" s="46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4"/>
      <c r="BX718" s="4"/>
    </row>
    <row r="719" spans="1:76" s="16" customFormat="1" x14ac:dyDescent="0.25">
      <c r="A719" s="26"/>
      <c r="B719" s="6"/>
      <c r="C719" s="7"/>
      <c r="D719" s="7"/>
      <c r="E719" s="7"/>
      <c r="F719" s="7"/>
      <c r="G719" s="7"/>
      <c r="H719" s="7"/>
      <c r="I719" s="4"/>
      <c r="J719" s="7"/>
      <c r="K719" s="7"/>
      <c r="L719" s="7"/>
      <c r="M719" s="7"/>
      <c r="N719" s="4"/>
      <c r="O719" s="4"/>
      <c r="P719" s="4"/>
      <c r="Q719" s="4"/>
      <c r="R719" s="4"/>
      <c r="S719" s="7"/>
      <c r="T719" s="7"/>
      <c r="U719" s="7"/>
      <c r="V719" s="7"/>
      <c r="W719" s="7"/>
      <c r="X719" s="7"/>
      <c r="Y719" s="4"/>
      <c r="Z719" s="4"/>
      <c r="AA719" s="4"/>
      <c r="AB719" s="4"/>
      <c r="AC719" s="4"/>
      <c r="AD719" s="4"/>
      <c r="AE719" s="4"/>
      <c r="AF719" s="4"/>
      <c r="AG719" s="49"/>
      <c r="AH719" s="4"/>
      <c r="AI719" s="4"/>
      <c r="AJ719" s="4"/>
      <c r="AK719" s="4"/>
      <c r="AL719" s="4"/>
      <c r="AM719" s="4"/>
      <c r="AN719" s="44"/>
      <c r="AO719" s="8"/>
      <c r="AP719" s="8"/>
      <c r="AQ719" s="8"/>
      <c r="AR719" s="8"/>
      <c r="AS719" s="8"/>
      <c r="AT719" s="8"/>
      <c r="AU719" s="8"/>
      <c r="AV719" s="46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4"/>
      <c r="BX719" s="4"/>
    </row>
    <row r="720" spans="1:76" s="16" customFormat="1" x14ac:dyDescent="0.25">
      <c r="A720" s="26"/>
      <c r="B720" s="6"/>
      <c r="C720" s="7"/>
      <c r="D720" s="7"/>
      <c r="E720" s="7"/>
      <c r="F720" s="7"/>
      <c r="G720" s="7"/>
      <c r="H720" s="7"/>
      <c r="I720" s="4"/>
      <c r="J720" s="7"/>
      <c r="K720" s="7"/>
      <c r="L720" s="7"/>
      <c r="M720" s="7"/>
      <c r="N720" s="4"/>
      <c r="O720" s="4"/>
      <c r="P720" s="4"/>
      <c r="Q720" s="4"/>
      <c r="R720" s="4"/>
      <c r="S720" s="7"/>
      <c r="T720" s="7"/>
      <c r="U720" s="7"/>
      <c r="V720" s="7"/>
      <c r="W720" s="7"/>
      <c r="X720" s="7"/>
      <c r="Y720" s="4"/>
      <c r="Z720" s="4"/>
      <c r="AA720" s="4"/>
      <c r="AB720" s="4"/>
      <c r="AC720" s="4"/>
      <c r="AD720" s="4"/>
      <c r="AE720" s="4"/>
      <c r="AF720" s="4"/>
      <c r="AG720" s="49"/>
      <c r="AH720" s="4"/>
      <c r="AI720" s="4"/>
      <c r="AJ720" s="4"/>
      <c r="AK720" s="4"/>
      <c r="AL720" s="4"/>
      <c r="AM720" s="4"/>
      <c r="AN720" s="44"/>
      <c r="AO720" s="8"/>
      <c r="AP720" s="8"/>
      <c r="AQ720" s="8"/>
      <c r="AR720" s="8"/>
      <c r="AS720" s="8"/>
      <c r="AT720" s="8"/>
      <c r="AU720" s="8"/>
      <c r="AV720" s="46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4"/>
      <c r="BX720" s="4"/>
    </row>
    <row r="721" spans="1:76" s="16" customFormat="1" x14ac:dyDescent="0.25">
      <c r="A721" s="26"/>
      <c r="B721" s="6"/>
      <c r="C721" s="7"/>
      <c r="D721" s="7"/>
      <c r="E721" s="7"/>
      <c r="F721" s="7"/>
      <c r="G721" s="7"/>
      <c r="H721" s="7"/>
      <c r="I721" s="4"/>
      <c r="J721" s="7"/>
      <c r="K721" s="7"/>
      <c r="L721" s="7"/>
      <c r="M721" s="7"/>
      <c r="N721" s="4"/>
      <c r="O721" s="4"/>
      <c r="P721" s="4"/>
      <c r="Q721" s="4"/>
      <c r="R721" s="4"/>
      <c r="S721" s="7"/>
      <c r="T721" s="7"/>
      <c r="U721" s="7"/>
      <c r="V721" s="7"/>
      <c r="W721" s="7"/>
      <c r="X721" s="7"/>
      <c r="Y721" s="4"/>
      <c r="Z721" s="4"/>
      <c r="AA721" s="4"/>
      <c r="AB721" s="4"/>
      <c r="AC721" s="4"/>
      <c r="AD721" s="4"/>
      <c r="AE721" s="4"/>
      <c r="AF721" s="4"/>
      <c r="AG721" s="49"/>
      <c r="AH721" s="4"/>
      <c r="AI721" s="4"/>
      <c r="AJ721" s="4"/>
      <c r="AK721" s="4"/>
      <c r="AL721" s="4"/>
      <c r="AM721" s="4"/>
      <c r="AN721" s="44"/>
      <c r="AO721" s="8"/>
      <c r="AP721" s="8"/>
      <c r="AQ721" s="8"/>
      <c r="AR721" s="8"/>
      <c r="AS721" s="8"/>
      <c r="AT721" s="8"/>
      <c r="AU721" s="8"/>
      <c r="AV721" s="46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4"/>
      <c r="BX721" s="4"/>
    </row>
    <row r="722" spans="1:76" s="16" customFormat="1" x14ac:dyDescent="0.25">
      <c r="A722" s="26"/>
      <c r="B722" s="6"/>
      <c r="C722" s="7"/>
      <c r="D722" s="7"/>
      <c r="E722" s="7"/>
      <c r="F722" s="7"/>
      <c r="G722" s="7"/>
      <c r="H722" s="7"/>
      <c r="I722" s="4"/>
      <c r="J722" s="7"/>
      <c r="K722" s="7"/>
      <c r="L722" s="7"/>
      <c r="M722" s="7"/>
      <c r="N722" s="4"/>
      <c r="O722" s="4"/>
      <c r="P722" s="4"/>
      <c r="Q722" s="4"/>
      <c r="R722" s="4"/>
      <c r="S722" s="7"/>
      <c r="T722" s="7"/>
      <c r="U722" s="7"/>
      <c r="V722" s="7"/>
      <c r="W722" s="7"/>
      <c r="X722" s="7"/>
      <c r="Y722" s="4"/>
      <c r="Z722" s="4"/>
      <c r="AA722" s="4"/>
      <c r="AB722" s="4"/>
      <c r="AC722" s="4"/>
      <c r="AD722" s="4"/>
      <c r="AE722" s="4"/>
      <c r="AF722" s="4"/>
      <c r="AG722" s="49"/>
      <c r="AH722" s="4"/>
      <c r="AI722" s="4"/>
      <c r="AJ722" s="4"/>
      <c r="AK722" s="4"/>
      <c r="AL722" s="4"/>
      <c r="AM722" s="4"/>
      <c r="AN722" s="44"/>
      <c r="AO722" s="8"/>
      <c r="AP722" s="8"/>
      <c r="AQ722" s="8"/>
      <c r="AR722" s="8"/>
      <c r="AS722" s="8"/>
      <c r="AT722" s="8"/>
      <c r="AU722" s="8"/>
      <c r="AV722" s="46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4"/>
      <c r="BX722" s="4"/>
    </row>
    <row r="723" spans="1:76" s="16" customFormat="1" x14ac:dyDescent="0.25">
      <c r="A723" s="26"/>
      <c r="B723" s="6"/>
      <c r="C723" s="7"/>
      <c r="D723" s="7"/>
      <c r="E723" s="7"/>
      <c r="F723" s="7"/>
      <c r="G723" s="7"/>
      <c r="H723" s="7"/>
      <c r="I723" s="4"/>
      <c r="J723" s="7"/>
      <c r="K723" s="7"/>
      <c r="L723" s="7"/>
      <c r="M723" s="7"/>
      <c r="N723" s="4"/>
      <c r="O723" s="4"/>
      <c r="P723" s="4"/>
      <c r="Q723" s="4"/>
      <c r="R723" s="4"/>
      <c r="S723" s="7"/>
      <c r="T723" s="7"/>
      <c r="U723" s="7"/>
      <c r="V723" s="7"/>
      <c r="W723" s="7"/>
      <c r="X723" s="7"/>
      <c r="Y723" s="4"/>
      <c r="Z723" s="4"/>
      <c r="AA723" s="4"/>
      <c r="AB723" s="4"/>
      <c r="AC723" s="4"/>
      <c r="AD723" s="4"/>
      <c r="AE723" s="4"/>
      <c r="AF723" s="4"/>
      <c r="AG723" s="49"/>
      <c r="AH723" s="4"/>
      <c r="AI723" s="4"/>
      <c r="AJ723" s="4"/>
      <c r="AK723" s="4"/>
      <c r="AL723" s="4"/>
      <c r="AM723" s="4"/>
      <c r="AN723" s="44"/>
      <c r="AO723" s="8"/>
      <c r="AP723" s="8"/>
      <c r="AQ723" s="8"/>
      <c r="AR723" s="8"/>
      <c r="AS723" s="8"/>
      <c r="AT723" s="8"/>
      <c r="AU723" s="8"/>
      <c r="AV723" s="46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4"/>
      <c r="BX723" s="4"/>
    </row>
    <row r="724" spans="1:76" s="16" customFormat="1" x14ac:dyDescent="0.25">
      <c r="A724" s="26"/>
      <c r="B724" s="6"/>
      <c r="C724" s="7"/>
      <c r="D724" s="7"/>
      <c r="E724" s="7"/>
      <c r="F724" s="7"/>
      <c r="G724" s="7"/>
      <c r="H724" s="7"/>
      <c r="I724" s="4"/>
      <c r="J724" s="7"/>
      <c r="K724" s="7"/>
      <c r="L724" s="7"/>
      <c r="M724" s="7"/>
      <c r="N724" s="4"/>
      <c r="O724" s="4"/>
      <c r="P724" s="4"/>
      <c r="Q724" s="4"/>
      <c r="R724" s="4"/>
      <c r="S724" s="7"/>
      <c r="T724" s="7"/>
      <c r="U724" s="7"/>
      <c r="V724" s="7"/>
      <c r="W724" s="7"/>
      <c r="X724" s="7"/>
      <c r="Y724" s="4"/>
      <c r="Z724" s="4"/>
      <c r="AA724" s="4"/>
      <c r="AB724" s="4"/>
      <c r="AC724" s="4"/>
      <c r="AD724" s="4"/>
      <c r="AE724" s="4"/>
      <c r="AF724" s="4"/>
      <c r="AG724" s="49"/>
      <c r="AH724" s="4"/>
      <c r="AI724" s="4"/>
      <c r="AJ724" s="4"/>
      <c r="AK724" s="4"/>
      <c r="AL724" s="4"/>
      <c r="AM724" s="4"/>
      <c r="AN724" s="44"/>
      <c r="AO724" s="8"/>
      <c r="AP724" s="8"/>
      <c r="AQ724" s="8"/>
      <c r="AR724" s="8"/>
      <c r="AS724" s="8"/>
      <c r="AT724" s="8"/>
      <c r="AU724" s="8"/>
      <c r="AV724" s="46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4"/>
      <c r="BX724" s="4"/>
    </row>
    <row r="725" spans="1:76" s="16" customFormat="1" x14ac:dyDescent="0.25">
      <c r="A725" s="26"/>
      <c r="B725" s="6"/>
      <c r="C725" s="7"/>
      <c r="D725" s="7"/>
      <c r="E725" s="7"/>
      <c r="F725" s="7"/>
      <c r="G725" s="7"/>
      <c r="H725" s="7"/>
      <c r="I725" s="4"/>
      <c r="J725" s="7"/>
      <c r="K725" s="7"/>
      <c r="L725" s="7"/>
      <c r="M725" s="7"/>
      <c r="N725" s="4"/>
      <c r="O725" s="4"/>
      <c r="P725" s="4"/>
      <c r="Q725" s="4"/>
      <c r="R725" s="4"/>
      <c r="S725" s="7"/>
      <c r="T725" s="7"/>
      <c r="U725" s="7"/>
      <c r="V725" s="7"/>
      <c r="W725" s="7"/>
      <c r="X725" s="7"/>
      <c r="Y725" s="4"/>
      <c r="Z725" s="4"/>
      <c r="AA725" s="4"/>
      <c r="AB725" s="4"/>
      <c r="AC725" s="4"/>
      <c r="AD725" s="4"/>
      <c r="AE725" s="4"/>
      <c r="AF725" s="4"/>
      <c r="AG725" s="49"/>
      <c r="AH725" s="4"/>
      <c r="AI725" s="4"/>
      <c r="AJ725" s="4"/>
      <c r="AK725" s="4"/>
      <c r="AL725" s="4"/>
      <c r="AM725" s="4"/>
      <c r="AN725" s="44"/>
      <c r="AO725" s="8"/>
      <c r="AP725" s="8"/>
      <c r="AQ725" s="8"/>
      <c r="AR725" s="8"/>
      <c r="AS725" s="8"/>
      <c r="AT725" s="8"/>
      <c r="AU725" s="8"/>
      <c r="AV725" s="46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4"/>
      <c r="BX725" s="4"/>
    </row>
    <row r="726" spans="1:76" s="16" customFormat="1" x14ac:dyDescent="0.25">
      <c r="A726" s="26"/>
      <c r="B726" s="6"/>
      <c r="C726" s="7"/>
      <c r="D726" s="7"/>
      <c r="E726" s="7"/>
      <c r="F726" s="7"/>
      <c r="G726" s="7"/>
      <c r="H726" s="7"/>
      <c r="I726" s="4"/>
      <c r="J726" s="7"/>
      <c r="K726" s="7"/>
      <c r="L726" s="7"/>
      <c r="M726" s="7"/>
      <c r="N726" s="4"/>
      <c r="O726" s="4"/>
      <c r="P726" s="4"/>
      <c r="Q726" s="4"/>
      <c r="R726" s="4"/>
      <c r="S726" s="7"/>
      <c r="T726" s="7"/>
      <c r="U726" s="7"/>
      <c r="V726" s="7"/>
      <c r="W726" s="7"/>
      <c r="X726" s="7"/>
      <c r="Y726" s="4"/>
      <c r="Z726" s="4"/>
      <c r="AA726" s="4"/>
      <c r="AB726" s="4"/>
      <c r="AC726" s="4"/>
      <c r="AD726" s="4"/>
      <c r="AE726" s="4"/>
      <c r="AF726" s="4"/>
      <c r="AG726" s="49"/>
      <c r="AH726" s="4"/>
      <c r="AI726" s="4"/>
      <c r="AJ726" s="4"/>
      <c r="AK726" s="4"/>
      <c r="AL726" s="4"/>
      <c r="AM726" s="4"/>
      <c r="AN726" s="44"/>
      <c r="AO726" s="8"/>
      <c r="AP726" s="8"/>
      <c r="AQ726" s="8"/>
      <c r="AR726" s="8"/>
      <c r="AS726" s="8"/>
      <c r="AT726" s="8"/>
      <c r="AU726" s="8"/>
      <c r="AV726" s="46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4"/>
      <c r="BX726" s="4"/>
    </row>
    <row r="727" spans="1:76" s="16" customFormat="1" x14ac:dyDescent="0.25">
      <c r="A727" s="26"/>
      <c r="B727" s="6"/>
      <c r="C727" s="7"/>
      <c r="D727" s="7"/>
      <c r="E727" s="7"/>
      <c r="F727" s="7"/>
      <c r="G727" s="7"/>
      <c r="H727" s="7"/>
      <c r="I727" s="4"/>
      <c r="J727" s="7"/>
      <c r="K727" s="7"/>
      <c r="L727" s="7"/>
      <c r="M727" s="7"/>
      <c r="N727" s="4"/>
      <c r="O727" s="4"/>
      <c r="P727" s="4"/>
      <c r="Q727" s="4"/>
      <c r="R727" s="4"/>
      <c r="S727" s="7"/>
      <c r="T727" s="7"/>
      <c r="U727" s="7"/>
      <c r="V727" s="7"/>
      <c r="W727" s="7"/>
      <c r="X727" s="7"/>
      <c r="Y727" s="4"/>
      <c r="Z727" s="4"/>
      <c r="AA727" s="4"/>
      <c r="AB727" s="4"/>
      <c r="AC727" s="4"/>
      <c r="AD727" s="4"/>
      <c r="AE727" s="4"/>
      <c r="AF727" s="4"/>
      <c r="AG727" s="49"/>
      <c r="AH727" s="4"/>
      <c r="AI727" s="4"/>
      <c r="AJ727" s="4"/>
      <c r="AK727" s="4"/>
      <c r="AL727" s="4"/>
      <c r="AM727" s="4"/>
      <c r="AN727" s="44"/>
      <c r="AO727" s="8"/>
      <c r="AP727" s="8"/>
      <c r="AQ727" s="8"/>
      <c r="AR727" s="8"/>
      <c r="AS727" s="8"/>
      <c r="AT727" s="8"/>
      <c r="AU727" s="8"/>
      <c r="AV727" s="46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4"/>
      <c r="BX727" s="4"/>
    </row>
    <row r="728" spans="1:76" s="16" customFormat="1" x14ac:dyDescent="0.25">
      <c r="A728" s="26"/>
      <c r="B728" s="6"/>
      <c r="C728" s="7"/>
      <c r="D728" s="7"/>
      <c r="E728" s="7"/>
      <c r="F728" s="7"/>
      <c r="G728" s="7"/>
      <c r="H728" s="7"/>
      <c r="I728" s="4"/>
      <c r="J728" s="7"/>
      <c r="K728" s="7"/>
      <c r="L728" s="7"/>
      <c r="M728" s="7"/>
      <c r="N728" s="4"/>
      <c r="O728" s="4"/>
      <c r="P728" s="4"/>
      <c r="Q728" s="4"/>
      <c r="R728" s="4"/>
      <c r="S728" s="7"/>
      <c r="T728" s="7"/>
      <c r="U728" s="7"/>
      <c r="V728" s="7"/>
      <c r="W728" s="7"/>
      <c r="X728" s="7"/>
      <c r="Y728" s="4"/>
      <c r="Z728" s="4"/>
      <c r="AA728" s="4"/>
      <c r="AB728" s="4"/>
      <c r="AC728" s="4"/>
      <c r="AD728" s="4"/>
      <c r="AE728" s="4"/>
      <c r="AF728" s="4"/>
      <c r="AG728" s="49"/>
      <c r="AH728" s="4"/>
      <c r="AI728" s="4"/>
      <c r="AJ728" s="4"/>
      <c r="AK728" s="4"/>
      <c r="AL728" s="4"/>
      <c r="AM728" s="4"/>
      <c r="AN728" s="44"/>
      <c r="AO728" s="8"/>
      <c r="AP728" s="8"/>
      <c r="AQ728" s="8"/>
      <c r="AR728" s="8"/>
      <c r="AS728" s="8"/>
      <c r="AT728" s="8"/>
      <c r="AU728" s="8"/>
      <c r="AV728" s="46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4"/>
      <c r="BX728" s="4"/>
    </row>
    <row r="729" spans="1:76" s="16" customFormat="1" x14ac:dyDescent="0.25">
      <c r="A729" s="26"/>
      <c r="B729" s="6"/>
      <c r="C729" s="7"/>
      <c r="D729" s="7"/>
      <c r="E729" s="7"/>
      <c r="F729" s="7"/>
      <c r="G729" s="7"/>
      <c r="H729" s="7"/>
      <c r="I729" s="4"/>
      <c r="J729" s="7"/>
      <c r="K729" s="7"/>
      <c r="L729" s="7"/>
      <c r="M729" s="7"/>
      <c r="N729" s="4"/>
      <c r="O729" s="4"/>
      <c r="P729" s="4"/>
      <c r="Q729" s="4"/>
      <c r="R729" s="4"/>
      <c r="S729" s="7"/>
      <c r="T729" s="7"/>
      <c r="U729" s="7"/>
      <c r="V729" s="7"/>
      <c r="W729" s="7"/>
      <c r="X729" s="7"/>
      <c r="Y729" s="4"/>
      <c r="Z729" s="4"/>
      <c r="AA729" s="4"/>
      <c r="AB729" s="4"/>
      <c r="AC729" s="4"/>
      <c r="AD729" s="4"/>
      <c r="AE729" s="4"/>
      <c r="AF729" s="4"/>
      <c r="AG729" s="49"/>
      <c r="AH729" s="4"/>
      <c r="AI729" s="4"/>
      <c r="AJ729" s="4"/>
      <c r="AK729" s="4"/>
      <c r="AL729" s="4"/>
      <c r="AM729" s="4"/>
      <c r="AN729" s="44"/>
      <c r="AO729" s="8"/>
      <c r="AP729" s="8"/>
      <c r="AQ729" s="8"/>
      <c r="AR729" s="8"/>
      <c r="AS729" s="8"/>
      <c r="AT729" s="8"/>
      <c r="AU729" s="8"/>
      <c r="AV729" s="46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4"/>
      <c r="BX729" s="4"/>
    </row>
    <row r="730" spans="1:76" s="16" customFormat="1" x14ac:dyDescent="0.25">
      <c r="A730" s="26"/>
      <c r="B730" s="6"/>
      <c r="C730" s="7"/>
      <c r="D730" s="7"/>
      <c r="E730" s="7"/>
      <c r="F730" s="7"/>
      <c r="G730" s="7"/>
      <c r="H730" s="7"/>
      <c r="I730" s="4"/>
      <c r="J730" s="7"/>
      <c r="K730" s="7"/>
      <c r="L730" s="7"/>
      <c r="M730" s="7"/>
      <c r="N730" s="4"/>
      <c r="O730" s="4"/>
      <c r="P730" s="4"/>
      <c r="Q730" s="4"/>
      <c r="R730" s="4"/>
      <c r="S730" s="7"/>
      <c r="T730" s="7"/>
      <c r="U730" s="7"/>
      <c r="V730" s="7"/>
      <c r="W730" s="7"/>
      <c r="X730" s="7"/>
      <c r="Y730" s="4"/>
      <c r="Z730" s="4"/>
      <c r="AA730" s="4"/>
      <c r="AB730" s="4"/>
      <c r="AC730" s="4"/>
      <c r="AD730" s="4"/>
      <c r="AE730" s="4"/>
      <c r="AF730" s="4"/>
      <c r="AG730" s="49"/>
      <c r="AH730" s="4"/>
      <c r="AI730" s="4"/>
      <c r="AJ730" s="4"/>
      <c r="AK730" s="4"/>
      <c r="AL730" s="4"/>
      <c r="AM730" s="4"/>
      <c r="AN730" s="44"/>
      <c r="AO730" s="8"/>
      <c r="AP730" s="8"/>
      <c r="AQ730" s="8"/>
      <c r="AR730" s="8"/>
      <c r="AS730" s="8"/>
      <c r="AT730" s="8"/>
      <c r="AU730" s="8"/>
      <c r="AV730" s="46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4"/>
      <c r="BX730" s="4"/>
    </row>
    <row r="731" spans="1:76" s="16" customFormat="1" x14ac:dyDescent="0.25">
      <c r="A731" s="26"/>
      <c r="B731" s="6"/>
      <c r="C731" s="7"/>
      <c r="D731" s="7"/>
      <c r="E731" s="7"/>
      <c r="F731" s="7"/>
      <c r="G731" s="7"/>
      <c r="H731" s="7"/>
      <c r="I731" s="4"/>
      <c r="J731" s="7"/>
      <c r="K731" s="7"/>
      <c r="L731" s="7"/>
      <c r="M731" s="7"/>
      <c r="N731" s="4"/>
      <c r="O731" s="4"/>
      <c r="P731" s="4"/>
      <c r="Q731" s="4"/>
      <c r="R731" s="4"/>
      <c r="S731" s="7"/>
      <c r="T731" s="7"/>
      <c r="U731" s="7"/>
      <c r="V731" s="7"/>
      <c r="W731" s="7"/>
      <c r="X731" s="7"/>
      <c r="Y731" s="4"/>
      <c r="Z731" s="4"/>
      <c r="AA731" s="4"/>
      <c r="AB731" s="4"/>
      <c r="AC731" s="4"/>
      <c r="AD731" s="4"/>
      <c r="AE731" s="4"/>
      <c r="AF731" s="4"/>
      <c r="AG731" s="49"/>
      <c r="AH731" s="4"/>
      <c r="AI731" s="4"/>
      <c r="AJ731" s="4"/>
      <c r="AK731" s="4"/>
      <c r="AL731" s="4"/>
      <c r="AM731" s="4"/>
      <c r="AN731" s="44"/>
      <c r="AO731" s="8"/>
      <c r="AP731" s="8"/>
      <c r="AQ731" s="8"/>
      <c r="AR731" s="8"/>
      <c r="AS731" s="8"/>
      <c r="AT731" s="8"/>
      <c r="AU731" s="8"/>
      <c r="AV731" s="46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4"/>
      <c r="BX731" s="4"/>
    </row>
    <row r="732" spans="1:76" s="16" customFormat="1" x14ac:dyDescent="0.25">
      <c r="A732" s="26"/>
      <c r="B732" s="6"/>
      <c r="C732" s="7"/>
      <c r="D732" s="7"/>
      <c r="E732" s="7"/>
      <c r="F732" s="7"/>
      <c r="G732" s="7"/>
      <c r="H732" s="7"/>
      <c r="I732" s="4"/>
      <c r="J732" s="7"/>
      <c r="K732" s="7"/>
      <c r="L732" s="7"/>
      <c r="M732" s="7"/>
      <c r="N732" s="4"/>
      <c r="O732" s="4"/>
      <c r="P732" s="4"/>
      <c r="Q732" s="4"/>
      <c r="R732" s="4"/>
      <c r="S732" s="7"/>
      <c r="T732" s="7"/>
      <c r="U732" s="7"/>
      <c r="V732" s="7"/>
      <c r="W732" s="7"/>
      <c r="X732" s="7"/>
      <c r="Y732" s="4"/>
      <c r="Z732" s="4"/>
      <c r="AA732" s="4"/>
      <c r="AB732" s="4"/>
      <c r="AC732" s="4"/>
      <c r="AD732" s="4"/>
      <c r="AE732" s="4"/>
      <c r="AF732" s="4"/>
      <c r="AG732" s="49"/>
      <c r="AH732" s="4"/>
      <c r="AI732" s="4"/>
      <c r="AJ732" s="4"/>
      <c r="AK732" s="4"/>
      <c r="AL732" s="4"/>
      <c r="AM732" s="4"/>
      <c r="AN732" s="44"/>
      <c r="AO732" s="8"/>
      <c r="AP732" s="8"/>
      <c r="AQ732" s="8"/>
      <c r="AR732" s="8"/>
      <c r="AS732" s="8"/>
      <c r="AT732" s="8"/>
      <c r="AU732" s="8"/>
      <c r="AV732" s="46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4"/>
      <c r="BX732" s="4"/>
    </row>
    <row r="733" spans="1:76" s="16" customFormat="1" x14ac:dyDescent="0.25">
      <c r="A733" s="26"/>
      <c r="B733" s="6"/>
      <c r="C733" s="7"/>
      <c r="D733" s="7"/>
      <c r="E733" s="7"/>
      <c r="F733" s="7"/>
      <c r="G733" s="7"/>
      <c r="H733" s="7"/>
      <c r="I733" s="4"/>
      <c r="J733" s="7"/>
      <c r="K733" s="7"/>
      <c r="L733" s="7"/>
      <c r="M733" s="7"/>
      <c r="N733" s="4"/>
      <c r="O733" s="4"/>
      <c r="P733" s="4"/>
      <c r="Q733" s="4"/>
      <c r="R733" s="4"/>
      <c r="S733" s="7"/>
      <c r="T733" s="7"/>
      <c r="U733" s="7"/>
      <c r="V733" s="7"/>
      <c r="W733" s="7"/>
      <c r="X733" s="7"/>
      <c r="Y733" s="4"/>
      <c r="Z733" s="4"/>
      <c r="AA733" s="4"/>
      <c r="AB733" s="4"/>
      <c r="AC733" s="4"/>
      <c r="AD733" s="4"/>
      <c r="AE733" s="4"/>
      <c r="AF733" s="4"/>
      <c r="AG733" s="49"/>
      <c r="AH733" s="4"/>
      <c r="AI733" s="4"/>
      <c r="AJ733" s="4"/>
      <c r="AK733" s="4"/>
      <c r="AL733" s="4"/>
      <c r="AM733" s="4"/>
      <c r="AN733" s="44"/>
      <c r="AO733" s="8"/>
      <c r="AP733" s="8"/>
      <c r="AQ733" s="8"/>
      <c r="AR733" s="8"/>
      <c r="AS733" s="8"/>
      <c r="AT733" s="8"/>
      <c r="AU733" s="8"/>
      <c r="AV733" s="46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4"/>
      <c r="BX733" s="4"/>
    </row>
    <row r="734" spans="1:76" s="16" customFormat="1" x14ac:dyDescent="0.25">
      <c r="A734" s="26"/>
      <c r="B734" s="6"/>
      <c r="C734" s="7"/>
      <c r="D734" s="7"/>
      <c r="E734" s="7"/>
      <c r="F734" s="7"/>
      <c r="G734" s="7"/>
      <c r="H734" s="7"/>
      <c r="I734" s="4"/>
      <c r="J734" s="7"/>
      <c r="K734" s="7"/>
      <c r="L734" s="7"/>
      <c r="M734" s="7"/>
      <c r="N734" s="4"/>
      <c r="O734" s="4"/>
      <c r="P734" s="4"/>
      <c r="Q734" s="4"/>
      <c r="R734" s="4"/>
      <c r="S734" s="7"/>
      <c r="T734" s="7"/>
      <c r="U734" s="7"/>
      <c r="V734" s="7"/>
      <c r="W734" s="7"/>
      <c r="X734" s="7"/>
      <c r="Y734" s="4"/>
      <c r="Z734" s="4"/>
      <c r="AA734" s="4"/>
      <c r="AB734" s="4"/>
      <c r="AC734" s="4"/>
      <c r="AD734" s="4"/>
      <c r="AE734" s="4"/>
      <c r="AF734" s="4"/>
      <c r="AG734" s="49"/>
      <c r="AH734" s="4"/>
      <c r="AI734" s="4"/>
      <c r="AJ734" s="4"/>
      <c r="AK734" s="4"/>
      <c r="AL734" s="4"/>
      <c r="AM734" s="4"/>
      <c r="AN734" s="44"/>
      <c r="AO734" s="8"/>
      <c r="AP734" s="8"/>
      <c r="AQ734" s="8"/>
      <c r="AR734" s="8"/>
      <c r="AS734" s="8"/>
      <c r="AT734" s="8"/>
      <c r="AU734" s="8"/>
      <c r="AV734" s="46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4"/>
      <c r="BX734" s="4"/>
    </row>
    <row r="735" spans="1:76" s="16" customFormat="1" x14ac:dyDescent="0.25">
      <c r="A735" s="26"/>
      <c r="B735" s="6"/>
      <c r="C735" s="7"/>
      <c r="D735" s="7"/>
      <c r="E735" s="7"/>
      <c r="F735" s="7"/>
      <c r="G735" s="7"/>
      <c r="H735" s="7"/>
      <c r="I735" s="4"/>
      <c r="J735" s="7"/>
      <c r="K735" s="7"/>
      <c r="L735" s="7"/>
      <c r="M735" s="7"/>
      <c r="N735" s="4"/>
      <c r="O735" s="4"/>
      <c r="P735" s="4"/>
      <c r="Q735" s="4"/>
      <c r="R735" s="4"/>
      <c r="S735" s="7"/>
      <c r="T735" s="7"/>
      <c r="U735" s="7"/>
      <c r="V735" s="7"/>
      <c r="W735" s="7"/>
      <c r="X735" s="7"/>
      <c r="Y735" s="4"/>
      <c r="Z735" s="4"/>
      <c r="AA735" s="4"/>
      <c r="AB735" s="4"/>
      <c r="AC735" s="4"/>
      <c r="AD735" s="4"/>
      <c r="AE735" s="4"/>
      <c r="AF735" s="4"/>
      <c r="AG735" s="49"/>
      <c r="AH735" s="4"/>
      <c r="AI735" s="4"/>
      <c r="AJ735" s="4"/>
      <c r="AK735" s="4"/>
      <c r="AL735" s="4"/>
      <c r="AM735" s="4"/>
      <c r="AN735" s="44"/>
      <c r="AO735" s="8"/>
      <c r="AP735" s="8"/>
      <c r="AQ735" s="8"/>
      <c r="AR735" s="8"/>
      <c r="AS735" s="8"/>
      <c r="AT735" s="8"/>
      <c r="AU735" s="8"/>
      <c r="AV735" s="46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4"/>
      <c r="BX735" s="4"/>
    </row>
    <row r="736" spans="1:76" s="16" customFormat="1" x14ac:dyDescent="0.25">
      <c r="A736" s="26"/>
      <c r="B736" s="6"/>
      <c r="C736" s="7"/>
      <c r="D736" s="7"/>
      <c r="E736" s="7"/>
      <c r="F736" s="7"/>
      <c r="G736" s="7"/>
      <c r="H736" s="7"/>
      <c r="I736" s="4"/>
      <c r="J736" s="7"/>
      <c r="K736" s="7"/>
      <c r="L736" s="7"/>
      <c r="M736" s="7"/>
      <c r="N736" s="4"/>
      <c r="O736" s="4"/>
      <c r="P736" s="4"/>
      <c r="Q736" s="4"/>
      <c r="R736" s="4"/>
      <c r="S736" s="7"/>
      <c r="T736" s="7"/>
      <c r="U736" s="7"/>
      <c r="V736" s="7"/>
      <c r="W736" s="7"/>
      <c r="X736" s="7"/>
      <c r="Y736" s="4"/>
      <c r="Z736" s="4"/>
      <c r="AA736" s="4"/>
      <c r="AB736" s="4"/>
      <c r="AC736" s="4"/>
      <c r="AD736" s="4"/>
      <c r="AE736" s="4"/>
      <c r="AF736" s="4"/>
      <c r="AG736" s="49"/>
      <c r="AH736" s="4"/>
      <c r="AI736" s="4"/>
      <c r="AJ736" s="4"/>
      <c r="AK736" s="4"/>
      <c r="AL736" s="4"/>
      <c r="AM736" s="4"/>
      <c r="AN736" s="44"/>
      <c r="AO736" s="8"/>
      <c r="AP736" s="8"/>
      <c r="AQ736" s="8"/>
      <c r="AR736" s="8"/>
      <c r="AS736" s="8"/>
      <c r="AT736" s="8"/>
      <c r="AU736" s="8"/>
      <c r="AV736" s="46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4"/>
      <c r="BX736" s="4"/>
    </row>
    <row r="737" spans="1:76" s="16" customFormat="1" x14ac:dyDescent="0.25">
      <c r="A737" s="26"/>
      <c r="B737" s="6"/>
      <c r="C737" s="7"/>
      <c r="D737" s="7"/>
      <c r="E737" s="7"/>
      <c r="F737" s="7"/>
      <c r="G737" s="7"/>
      <c r="H737" s="7"/>
      <c r="I737" s="4"/>
      <c r="J737" s="7"/>
      <c r="K737" s="7"/>
      <c r="L737" s="7"/>
      <c r="M737" s="7"/>
      <c r="N737" s="4"/>
      <c r="O737" s="4"/>
      <c r="P737" s="4"/>
      <c r="Q737" s="4"/>
      <c r="R737" s="4"/>
      <c r="S737" s="7"/>
      <c r="T737" s="7"/>
      <c r="U737" s="7"/>
      <c r="V737" s="7"/>
      <c r="W737" s="7"/>
      <c r="X737" s="7"/>
      <c r="Y737" s="4"/>
      <c r="Z737" s="4"/>
      <c r="AA737" s="4"/>
      <c r="AB737" s="4"/>
      <c r="AC737" s="4"/>
      <c r="AD737" s="4"/>
      <c r="AE737" s="4"/>
      <c r="AF737" s="4"/>
      <c r="AG737" s="49"/>
      <c r="AH737" s="4"/>
      <c r="AI737" s="4"/>
      <c r="AJ737" s="4"/>
      <c r="AK737" s="4"/>
      <c r="AL737" s="4"/>
      <c r="AM737" s="4"/>
      <c r="AN737" s="44"/>
      <c r="AO737" s="8"/>
      <c r="AP737" s="8"/>
      <c r="AQ737" s="8"/>
      <c r="AR737" s="8"/>
      <c r="AS737" s="8"/>
      <c r="AT737" s="8"/>
      <c r="AU737" s="8"/>
      <c r="AV737" s="46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4"/>
      <c r="BX737" s="4"/>
    </row>
    <row r="738" spans="1:76" s="16" customFormat="1" x14ac:dyDescent="0.25">
      <c r="A738" s="26"/>
      <c r="B738" s="6"/>
      <c r="C738" s="7"/>
      <c r="D738" s="7"/>
      <c r="E738" s="7"/>
      <c r="F738" s="7"/>
      <c r="G738" s="7"/>
      <c r="H738" s="7"/>
      <c r="I738" s="4"/>
      <c r="J738" s="7"/>
      <c r="K738" s="7"/>
      <c r="L738" s="7"/>
      <c r="M738" s="7"/>
      <c r="N738" s="4"/>
      <c r="O738" s="4"/>
      <c r="P738" s="4"/>
      <c r="Q738" s="4"/>
      <c r="R738" s="4"/>
      <c r="S738" s="7"/>
      <c r="T738" s="7"/>
      <c r="U738" s="7"/>
      <c r="V738" s="7"/>
      <c r="W738" s="7"/>
      <c r="X738" s="7"/>
      <c r="Y738" s="4"/>
      <c r="Z738" s="4"/>
      <c r="AA738" s="4"/>
      <c r="AB738" s="4"/>
      <c r="AC738" s="4"/>
      <c r="AD738" s="4"/>
      <c r="AE738" s="4"/>
      <c r="AF738" s="4"/>
      <c r="AG738" s="49"/>
      <c r="AH738" s="4"/>
      <c r="AI738" s="4"/>
      <c r="AJ738" s="4"/>
      <c r="AK738" s="4"/>
      <c r="AL738" s="4"/>
      <c r="AM738" s="4"/>
      <c r="AN738" s="44"/>
      <c r="AO738" s="8"/>
      <c r="AP738" s="8"/>
      <c r="AQ738" s="8"/>
      <c r="AR738" s="8"/>
      <c r="AS738" s="8"/>
      <c r="AT738" s="8"/>
      <c r="AU738" s="8"/>
      <c r="AV738" s="46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4"/>
      <c r="BX738" s="4"/>
    </row>
    <row r="739" spans="1:76" s="16" customFormat="1" x14ac:dyDescent="0.25">
      <c r="A739" s="26"/>
      <c r="B739" s="6"/>
      <c r="C739" s="7"/>
      <c r="D739" s="7"/>
      <c r="E739" s="7"/>
      <c r="F739" s="7"/>
      <c r="G739" s="7"/>
      <c r="H739" s="7"/>
      <c r="I739" s="4"/>
      <c r="J739" s="7"/>
      <c r="K739" s="7"/>
      <c r="L739" s="7"/>
      <c r="M739" s="7"/>
      <c r="N739" s="4"/>
      <c r="O739" s="4"/>
      <c r="P739" s="4"/>
      <c r="Q739" s="4"/>
      <c r="R739" s="4"/>
      <c r="S739" s="7"/>
      <c r="T739" s="7"/>
      <c r="U739" s="7"/>
      <c r="V739" s="7"/>
      <c r="W739" s="7"/>
      <c r="X739" s="7"/>
      <c r="Y739" s="4"/>
      <c r="Z739" s="4"/>
      <c r="AA739" s="4"/>
      <c r="AB739" s="4"/>
      <c r="AC739" s="4"/>
      <c r="AD739" s="4"/>
      <c r="AE739" s="4"/>
      <c r="AF739" s="4"/>
      <c r="AG739" s="49"/>
      <c r="AH739" s="4"/>
      <c r="AI739" s="4"/>
      <c r="AJ739" s="4"/>
      <c r="AK739" s="4"/>
      <c r="AL739" s="4"/>
      <c r="AM739" s="4"/>
      <c r="AN739" s="44"/>
      <c r="AO739" s="8"/>
      <c r="AP739" s="8"/>
      <c r="AQ739" s="8"/>
      <c r="AR739" s="8"/>
      <c r="AS739" s="8"/>
      <c r="AT739" s="8"/>
      <c r="AU739" s="8"/>
      <c r="AV739" s="46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4"/>
      <c r="BX739" s="4"/>
    </row>
    <row r="740" spans="1:76" s="16" customFormat="1" x14ac:dyDescent="0.25">
      <c r="A740" s="26"/>
      <c r="B740" s="6"/>
      <c r="C740" s="7"/>
      <c r="D740" s="7"/>
      <c r="E740" s="7"/>
      <c r="F740" s="7"/>
      <c r="G740" s="7"/>
      <c r="H740" s="7"/>
      <c r="I740" s="4"/>
      <c r="J740" s="7"/>
      <c r="K740" s="7"/>
      <c r="L740" s="7"/>
      <c r="M740" s="7"/>
      <c r="N740" s="4"/>
      <c r="O740" s="4"/>
      <c r="P740" s="4"/>
      <c r="Q740" s="4"/>
      <c r="R740" s="4"/>
      <c r="S740" s="7"/>
      <c r="T740" s="7"/>
      <c r="U740" s="7"/>
      <c r="V740" s="7"/>
      <c r="W740" s="7"/>
      <c r="X740" s="7"/>
      <c r="Y740" s="4"/>
      <c r="Z740" s="4"/>
      <c r="AA740" s="4"/>
      <c r="AB740" s="4"/>
      <c r="AC740" s="4"/>
      <c r="AD740" s="4"/>
      <c r="AE740" s="4"/>
      <c r="AF740" s="4"/>
      <c r="AG740" s="49"/>
      <c r="AH740" s="4"/>
      <c r="AI740" s="4"/>
      <c r="AJ740" s="4"/>
      <c r="AK740" s="4"/>
      <c r="AL740" s="4"/>
      <c r="AM740" s="4"/>
      <c r="AN740" s="44"/>
      <c r="AO740" s="8"/>
      <c r="AP740" s="8"/>
      <c r="AQ740" s="8"/>
      <c r="AR740" s="8"/>
      <c r="AS740" s="8"/>
      <c r="AT740" s="8"/>
      <c r="AU740" s="8"/>
      <c r="AV740" s="46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4"/>
      <c r="BX740" s="4"/>
    </row>
    <row r="741" spans="1:76" s="16" customFormat="1" x14ac:dyDescent="0.25">
      <c r="A741" s="26"/>
      <c r="B741" s="6"/>
      <c r="C741" s="7"/>
      <c r="D741" s="7"/>
      <c r="E741" s="7"/>
      <c r="F741" s="7"/>
      <c r="G741" s="7"/>
      <c r="H741" s="7"/>
      <c r="I741" s="4"/>
      <c r="J741" s="7"/>
      <c r="K741" s="7"/>
      <c r="L741" s="7"/>
      <c r="M741" s="7"/>
      <c r="N741" s="4"/>
      <c r="O741" s="4"/>
      <c r="P741" s="4"/>
      <c r="Q741" s="4"/>
      <c r="R741" s="4"/>
      <c r="S741" s="7"/>
      <c r="T741" s="7"/>
      <c r="U741" s="7"/>
      <c r="V741" s="7"/>
      <c r="W741" s="7"/>
      <c r="X741" s="7"/>
      <c r="Y741" s="4"/>
      <c r="Z741" s="4"/>
      <c r="AA741" s="4"/>
      <c r="AB741" s="4"/>
      <c r="AC741" s="4"/>
      <c r="AD741" s="4"/>
      <c r="AE741" s="4"/>
      <c r="AF741" s="4"/>
      <c r="AG741" s="49"/>
      <c r="AH741" s="4"/>
      <c r="AI741" s="4"/>
      <c r="AJ741" s="4"/>
      <c r="AK741" s="4"/>
      <c r="AL741" s="4"/>
      <c r="AM741" s="4"/>
      <c r="AN741" s="44"/>
      <c r="AO741" s="8"/>
      <c r="AP741" s="8"/>
      <c r="AQ741" s="8"/>
      <c r="AR741" s="8"/>
      <c r="AS741" s="8"/>
      <c r="AT741" s="8"/>
      <c r="AU741" s="8"/>
      <c r="AV741" s="46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4"/>
      <c r="BX741" s="4"/>
    </row>
    <row r="742" spans="1:76" s="16" customFormat="1" x14ac:dyDescent="0.25">
      <c r="A742" s="26"/>
      <c r="B742" s="6"/>
      <c r="C742" s="7"/>
      <c r="D742" s="7"/>
      <c r="E742" s="7"/>
      <c r="F742" s="7"/>
      <c r="G742" s="7"/>
      <c r="H742" s="7"/>
      <c r="I742" s="4"/>
      <c r="J742" s="7"/>
      <c r="K742" s="7"/>
      <c r="L742" s="7"/>
      <c r="M742" s="7"/>
      <c r="N742" s="4"/>
      <c r="O742" s="4"/>
      <c r="P742" s="4"/>
      <c r="Q742" s="4"/>
      <c r="R742" s="4"/>
      <c r="S742" s="7"/>
      <c r="T742" s="7"/>
      <c r="U742" s="7"/>
      <c r="V742" s="7"/>
      <c r="W742" s="7"/>
      <c r="X742" s="7"/>
      <c r="Y742" s="4"/>
      <c r="Z742" s="4"/>
      <c r="AA742" s="4"/>
      <c r="AB742" s="4"/>
      <c r="AC742" s="4"/>
      <c r="AD742" s="4"/>
      <c r="AE742" s="4"/>
      <c r="AF742" s="4"/>
      <c r="AG742" s="49"/>
      <c r="AH742" s="4"/>
      <c r="AI742" s="4"/>
      <c r="AJ742" s="4"/>
      <c r="AK742" s="4"/>
      <c r="AL742" s="4"/>
      <c r="AM742" s="4"/>
      <c r="AN742" s="44"/>
      <c r="AO742" s="8"/>
      <c r="AP742" s="8"/>
      <c r="AQ742" s="8"/>
      <c r="AR742" s="8"/>
      <c r="AS742" s="8"/>
      <c r="AT742" s="8"/>
      <c r="AU742" s="8"/>
      <c r="AV742" s="46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4"/>
      <c r="BX742" s="4"/>
    </row>
    <row r="743" spans="1:76" s="16" customFormat="1" x14ac:dyDescent="0.25">
      <c r="A743" s="26"/>
      <c r="B743" s="6"/>
      <c r="C743" s="7"/>
      <c r="D743" s="7"/>
      <c r="E743" s="7"/>
      <c r="F743" s="7"/>
      <c r="G743" s="7"/>
      <c r="H743" s="7"/>
      <c r="I743" s="4"/>
      <c r="J743" s="7"/>
      <c r="K743" s="7"/>
      <c r="L743" s="7"/>
      <c r="M743" s="7"/>
      <c r="N743" s="4"/>
      <c r="O743" s="4"/>
      <c r="P743" s="4"/>
      <c r="Q743" s="4"/>
      <c r="R743" s="4"/>
      <c r="S743" s="7"/>
      <c r="T743" s="7"/>
      <c r="U743" s="7"/>
      <c r="V743" s="7"/>
      <c r="W743" s="7"/>
      <c r="X743" s="7"/>
      <c r="Y743" s="4"/>
      <c r="Z743" s="4"/>
      <c r="AA743" s="4"/>
      <c r="AB743" s="4"/>
      <c r="AC743" s="4"/>
      <c r="AD743" s="4"/>
      <c r="AE743" s="4"/>
      <c r="AF743" s="4"/>
      <c r="AG743" s="49"/>
      <c r="AH743" s="4"/>
      <c r="AI743" s="4"/>
      <c r="AJ743" s="4"/>
      <c r="AK743" s="4"/>
      <c r="AL743" s="4"/>
      <c r="AM743" s="4"/>
      <c r="AN743" s="44"/>
      <c r="AO743" s="8"/>
      <c r="AP743" s="8"/>
      <c r="AQ743" s="8"/>
      <c r="AR743" s="8"/>
      <c r="AS743" s="8"/>
      <c r="AT743" s="8"/>
      <c r="AU743" s="8"/>
      <c r="AV743" s="46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4"/>
      <c r="BX743" s="4"/>
    </row>
    <row r="744" spans="1:76" s="16" customFormat="1" x14ac:dyDescent="0.25">
      <c r="A744" s="26"/>
      <c r="B744" s="6"/>
      <c r="C744" s="7"/>
      <c r="D744" s="7"/>
      <c r="E744" s="7"/>
      <c r="F744" s="7"/>
      <c r="G744" s="7"/>
      <c r="H744" s="7"/>
      <c r="I744" s="4"/>
      <c r="J744" s="7"/>
      <c r="K744" s="7"/>
      <c r="L744" s="7"/>
      <c r="M744" s="7"/>
      <c r="N744" s="4"/>
      <c r="O744" s="4"/>
      <c r="P744" s="4"/>
      <c r="Q744" s="4"/>
      <c r="R744" s="4"/>
      <c r="S744" s="7"/>
      <c r="T744" s="7"/>
      <c r="U744" s="7"/>
      <c r="V744" s="7"/>
      <c r="W744" s="7"/>
      <c r="X744" s="7"/>
      <c r="Y744" s="4"/>
      <c r="Z744" s="4"/>
      <c r="AA744" s="4"/>
      <c r="AB744" s="4"/>
      <c r="AC744" s="4"/>
      <c r="AD744" s="4"/>
      <c r="AE744" s="4"/>
      <c r="AF744" s="4"/>
      <c r="AG744" s="49"/>
      <c r="AH744" s="4"/>
      <c r="AI744" s="4"/>
      <c r="AJ744" s="4"/>
      <c r="AK744" s="4"/>
      <c r="AL744" s="4"/>
      <c r="AM744" s="4"/>
      <c r="AN744" s="44"/>
      <c r="AO744" s="8"/>
      <c r="AP744" s="8"/>
      <c r="AQ744" s="8"/>
      <c r="AR744" s="8"/>
      <c r="AS744" s="8"/>
      <c r="AT744" s="8"/>
      <c r="AU744" s="8"/>
      <c r="AV744" s="46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4"/>
      <c r="BX744" s="4"/>
    </row>
    <row r="745" spans="1:76" s="16" customFormat="1" x14ac:dyDescent="0.25">
      <c r="A745" s="26"/>
      <c r="B745" s="6"/>
      <c r="C745" s="7"/>
      <c r="D745" s="7"/>
      <c r="E745" s="7"/>
      <c r="F745" s="7"/>
      <c r="G745" s="7"/>
      <c r="H745" s="7"/>
      <c r="I745" s="4"/>
      <c r="J745" s="7"/>
      <c r="K745" s="7"/>
      <c r="L745" s="7"/>
      <c r="M745" s="7"/>
      <c r="N745" s="4"/>
      <c r="O745" s="4"/>
      <c r="P745" s="4"/>
      <c r="Q745" s="4"/>
      <c r="R745" s="4"/>
      <c r="S745" s="7"/>
      <c r="T745" s="7"/>
      <c r="U745" s="7"/>
      <c r="V745" s="7"/>
      <c r="W745" s="7"/>
      <c r="X745" s="7"/>
      <c r="Y745" s="4"/>
      <c r="Z745" s="4"/>
      <c r="AA745" s="4"/>
      <c r="AB745" s="4"/>
      <c r="AC745" s="4"/>
      <c r="AD745" s="4"/>
      <c r="AE745" s="4"/>
      <c r="AF745" s="4"/>
      <c r="AG745" s="49"/>
      <c r="AH745" s="4"/>
      <c r="AI745" s="4"/>
      <c r="AJ745" s="4"/>
      <c r="AK745" s="4"/>
      <c r="AL745" s="4"/>
      <c r="AM745" s="4"/>
      <c r="AN745" s="44"/>
      <c r="AO745" s="8"/>
      <c r="AP745" s="8"/>
      <c r="AQ745" s="8"/>
      <c r="AR745" s="8"/>
      <c r="AS745" s="8"/>
      <c r="AT745" s="8"/>
      <c r="AU745" s="8"/>
      <c r="AV745" s="46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4"/>
      <c r="BX745" s="4"/>
    </row>
    <row r="746" spans="1:76" s="16" customFormat="1" x14ac:dyDescent="0.25">
      <c r="A746" s="26"/>
      <c r="B746" s="6"/>
      <c r="C746" s="7"/>
      <c r="D746" s="7"/>
      <c r="E746" s="7"/>
      <c r="F746" s="7"/>
      <c r="G746" s="7"/>
      <c r="H746" s="7"/>
      <c r="I746" s="4"/>
      <c r="J746" s="7"/>
      <c r="K746" s="7"/>
      <c r="L746" s="7"/>
      <c r="M746" s="7"/>
      <c r="N746" s="4"/>
      <c r="O746" s="4"/>
      <c r="P746" s="4"/>
      <c r="Q746" s="4"/>
      <c r="R746" s="4"/>
      <c r="S746" s="7"/>
      <c r="T746" s="7"/>
      <c r="U746" s="7"/>
      <c r="V746" s="7"/>
      <c r="W746" s="7"/>
      <c r="X746" s="7"/>
      <c r="Y746" s="4"/>
      <c r="Z746" s="4"/>
      <c r="AA746" s="4"/>
      <c r="AB746" s="4"/>
      <c r="AC746" s="4"/>
      <c r="AD746" s="4"/>
      <c r="AE746" s="4"/>
      <c r="AF746" s="4"/>
      <c r="AG746" s="49"/>
      <c r="AH746" s="4"/>
      <c r="AI746" s="4"/>
      <c r="AJ746" s="4"/>
      <c r="AK746" s="4"/>
      <c r="AL746" s="4"/>
      <c r="AM746" s="4"/>
      <c r="AN746" s="44"/>
      <c r="AO746" s="8"/>
      <c r="AP746" s="8"/>
      <c r="AQ746" s="8"/>
      <c r="AR746" s="8"/>
      <c r="AS746" s="8"/>
      <c r="AT746" s="8"/>
      <c r="AU746" s="8"/>
      <c r="AV746" s="46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4"/>
      <c r="BX746" s="4"/>
    </row>
    <row r="747" spans="1:76" s="16" customFormat="1" x14ac:dyDescent="0.25">
      <c r="A747" s="26"/>
      <c r="B747" s="6"/>
      <c r="C747" s="7"/>
      <c r="D747" s="7"/>
      <c r="E747" s="7"/>
      <c r="F747" s="7"/>
      <c r="G747" s="7"/>
      <c r="H747" s="7"/>
      <c r="I747" s="4"/>
      <c r="J747" s="7"/>
      <c r="K747" s="7"/>
      <c r="L747" s="7"/>
      <c r="M747" s="7"/>
      <c r="N747" s="4"/>
      <c r="O747" s="4"/>
      <c r="P747" s="4"/>
      <c r="Q747" s="4"/>
      <c r="R747" s="4"/>
      <c r="S747" s="7"/>
      <c r="T747" s="7"/>
      <c r="U747" s="7"/>
      <c r="V747" s="7"/>
      <c r="W747" s="7"/>
      <c r="X747" s="7"/>
      <c r="Y747" s="4"/>
      <c r="Z747" s="4"/>
      <c r="AA747" s="4"/>
      <c r="AB747" s="4"/>
      <c r="AC747" s="4"/>
      <c r="AD747" s="4"/>
      <c r="AE747" s="4"/>
      <c r="AF747" s="4"/>
      <c r="AG747" s="49"/>
      <c r="AH747" s="4"/>
      <c r="AI747" s="4"/>
      <c r="AJ747" s="4"/>
      <c r="AK747" s="4"/>
      <c r="AL747" s="4"/>
      <c r="AM747" s="4"/>
      <c r="AN747" s="44"/>
      <c r="AO747" s="8"/>
      <c r="AP747" s="8"/>
      <c r="AQ747" s="8"/>
      <c r="AR747" s="8"/>
      <c r="AS747" s="8"/>
      <c r="AT747" s="8"/>
      <c r="AU747" s="8"/>
      <c r="AV747" s="46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4"/>
      <c r="BX747" s="4"/>
    </row>
    <row r="748" spans="1:76" s="16" customFormat="1" x14ac:dyDescent="0.25">
      <c r="A748" s="26"/>
      <c r="B748" s="6"/>
      <c r="C748" s="7"/>
      <c r="D748" s="7"/>
      <c r="E748" s="7"/>
      <c r="F748" s="7"/>
      <c r="G748" s="7"/>
      <c r="H748" s="7"/>
      <c r="I748" s="4"/>
      <c r="J748" s="7"/>
      <c r="K748" s="7"/>
      <c r="L748" s="7"/>
      <c r="M748" s="7"/>
      <c r="N748" s="4"/>
      <c r="O748" s="4"/>
      <c r="P748" s="4"/>
      <c r="Q748" s="4"/>
      <c r="R748" s="4"/>
      <c r="S748" s="7"/>
      <c r="T748" s="7"/>
      <c r="U748" s="7"/>
      <c r="V748" s="7"/>
      <c r="W748" s="7"/>
      <c r="X748" s="7"/>
      <c r="Y748" s="4"/>
      <c r="Z748" s="4"/>
      <c r="AA748" s="4"/>
      <c r="AB748" s="4"/>
      <c r="AC748" s="4"/>
      <c r="AD748" s="4"/>
      <c r="AE748" s="4"/>
      <c r="AF748" s="4"/>
      <c r="AG748" s="49"/>
      <c r="AH748" s="4"/>
      <c r="AI748" s="4"/>
      <c r="AJ748" s="4"/>
      <c r="AK748" s="4"/>
      <c r="AL748" s="4"/>
      <c r="AM748" s="4"/>
      <c r="AN748" s="44"/>
      <c r="AO748" s="8"/>
      <c r="AP748" s="8"/>
      <c r="AQ748" s="8"/>
      <c r="AR748" s="8"/>
      <c r="AS748" s="8"/>
      <c r="AT748" s="8"/>
      <c r="AU748" s="8"/>
      <c r="AV748" s="46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4"/>
      <c r="BX748" s="4"/>
    </row>
    <row r="749" spans="1:76" s="16" customFormat="1" x14ac:dyDescent="0.25">
      <c r="A749" s="26"/>
      <c r="B749" s="6"/>
      <c r="C749" s="7"/>
      <c r="D749" s="7"/>
      <c r="E749" s="7"/>
      <c r="F749" s="7"/>
      <c r="G749" s="7"/>
      <c r="H749" s="7"/>
      <c r="I749" s="4"/>
      <c r="J749" s="7"/>
      <c r="K749" s="7"/>
      <c r="L749" s="7"/>
      <c r="M749" s="7"/>
      <c r="N749" s="4"/>
      <c r="O749" s="4"/>
      <c r="P749" s="4"/>
      <c r="Q749" s="4"/>
      <c r="R749" s="4"/>
      <c r="S749" s="7"/>
      <c r="T749" s="7"/>
      <c r="U749" s="7"/>
      <c r="V749" s="7"/>
      <c r="W749" s="7"/>
      <c r="X749" s="7"/>
      <c r="Y749" s="4"/>
      <c r="Z749" s="4"/>
      <c r="AA749" s="4"/>
      <c r="AB749" s="4"/>
      <c r="AC749" s="4"/>
      <c r="AD749" s="4"/>
      <c r="AE749" s="4"/>
      <c r="AF749" s="4"/>
      <c r="AG749" s="49"/>
      <c r="AH749" s="4"/>
      <c r="AI749" s="4"/>
      <c r="AJ749" s="4"/>
      <c r="AK749" s="4"/>
      <c r="AL749" s="4"/>
      <c r="AM749" s="4"/>
      <c r="AN749" s="44"/>
      <c r="AO749" s="8"/>
      <c r="AP749" s="8"/>
      <c r="AQ749" s="8"/>
      <c r="AR749" s="8"/>
      <c r="AS749" s="8"/>
      <c r="AT749" s="8"/>
      <c r="AU749" s="8"/>
      <c r="AV749" s="46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4"/>
      <c r="BX749" s="4"/>
    </row>
    <row r="750" spans="1:76" s="16" customFormat="1" x14ac:dyDescent="0.25">
      <c r="A750" s="26"/>
      <c r="B750" s="6"/>
      <c r="C750" s="7"/>
      <c r="D750" s="7"/>
      <c r="E750" s="7"/>
      <c r="F750" s="7"/>
      <c r="G750" s="7"/>
      <c r="H750" s="7"/>
      <c r="I750" s="4"/>
      <c r="J750" s="7"/>
      <c r="K750" s="7"/>
      <c r="L750" s="7"/>
      <c r="M750" s="7"/>
      <c r="N750" s="4"/>
      <c r="O750" s="4"/>
      <c r="P750" s="4"/>
      <c r="Q750" s="4"/>
      <c r="R750" s="4"/>
      <c r="S750" s="7"/>
      <c r="T750" s="7"/>
      <c r="U750" s="7"/>
      <c r="V750" s="7"/>
      <c r="W750" s="7"/>
      <c r="X750" s="7"/>
      <c r="Y750" s="4"/>
      <c r="Z750" s="4"/>
      <c r="AA750" s="4"/>
      <c r="AB750" s="4"/>
      <c r="AC750" s="4"/>
      <c r="AD750" s="4"/>
      <c r="AE750" s="4"/>
      <c r="AF750" s="4"/>
      <c r="AG750" s="49"/>
      <c r="AH750" s="4"/>
      <c r="AI750" s="4"/>
      <c r="AJ750" s="4"/>
      <c r="AK750" s="4"/>
      <c r="AL750" s="4"/>
      <c r="AM750" s="4"/>
      <c r="AN750" s="44"/>
      <c r="AO750" s="8"/>
      <c r="AP750" s="8"/>
      <c r="AQ750" s="8"/>
      <c r="AR750" s="8"/>
      <c r="AS750" s="8"/>
      <c r="AT750" s="8"/>
      <c r="AU750" s="8"/>
      <c r="AV750" s="46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4"/>
      <c r="BX750" s="4"/>
    </row>
    <row r="751" spans="1:76" s="16" customFormat="1" x14ac:dyDescent="0.25">
      <c r="A751" s="26"/>
      <c r="B751" s="6"/>
      <c r="C751" s="7"/>
      <c r="D751" s="7"/>
      <c r="E751" s="7"/>
      <c r="F751" s="7"/>
      <c r="G751" s="7"/>
      <c r="H751" s="7"/>
      <c r="I751" s="4"/>
      <c r="J751" s="7"/>
      <c r="K751" s="7"/>
      <c r="L751" s="7"/>
      <c r="M751" s="7"/>
      <c r="N751" s="4"/>
      <c r="O751" s="4"/>
      <c r="P751" s="4"/>
      <c r="Q751" s="4"/>
      <c r="R751" s="4"/>
      <c r="S751" s="7"/>
      <c r="T751" s="7"/>
      <c r="U751" s="7"/>
      <c r="V751" s="7"/>
      <c r="W751" s="7"/>
      <c r="X751" s="7"/>
      <c r="Y751" s="4"/>
      <c r="Z751" s="4"/>
      <c r="AA751" s="4"/>
      <c r="AB751" s="4"/>
      <c r="AC751" s="4"/>
      <c r="AD751" s="4"/>
      <c r="AE751" s="4"/>
      <c r="AF751" s="4"/>
      <c r="AG751" s="49"/>
      <c r="AH751" s="4"/>
      <c r="AI751" s="4"/>
      <c r="AJ751" s="4"/>
      <c r="AK751" s="4"/>
      <c r="AL751" s="4"/>
      <c r="AM751" s="4"/>
      <c r="AN751" s="44"/>
      <c r="AO751" s="8"/>
      <c r="AP751" s="8"/>
      <c r="AQ751" s="8"/>
      <c r="AR751" s="8"/>
      <c r="AS751" s="8"/>
      <c r="AT751" s="8"/>
      <c r="AU751" s="8"/>
      <c r="AV751" s="46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4"/>
      <c r="BX751" s="4"/>
    </row>
    <row r="752" spans="1:76" s="16" customFormat="1" x14ac:dyDescent="0.25">
      <c r="A752" s="26"/>
      <c r="B752" s="6"/>
      <c r="C752" s="7"/>
      <c r="D752" s="7"/>
      <c r="E752" s="7"/>
      <c r="F752" s="7"/>
      <c r="G752" s="7"/>
      <c r="H752" s="7"/>
      <c r="I752" s="4"/>
      <c r="J752" s="7"/>
      <c r="K752" s="7"/>
      <c r="L752" s="7"/>
      <c r="M752" s="7"/>
      <c r="N752" s="4"/>
      <c r="O752" s="4"/>
      <c r="P752" s="4"/>
      <c r="Q752" s="4"/>
      <c r="R752" s="4"/>
      <c r="S752" s="7"/>
      <c r="T752" s="7"/>
      <c r="U752" s="7"/>
      <c r="V752" s="7"/>
      <c r="W752" s="7"/>
      <c r="X752" s="7"/>
      <c r="Y752" s="4"/>
      <c r="Z752" s="4"/>
      <c r="AA752" s="4"/>
      <c r="AB752" s="4"/>
      <c r="AC752" s="4"/>
      <c r="AD752" s="4"/>
      <c r="AE752" s="4"/>
      <c r="AF752" s="4"/>
      <c r="AG752" s="49"/>
      <c r="AH752" s="4"/>
      <c r="AI752" s="4"/>
      <c r="AJ752" s="4"/>
      <c r="AK752" s="4"/>
      <c r="AL752" s="4"/>
      <c r="AM752" s="4"/>
      <c r="AN752" s="44"/>
      <c r="AO752" s="8"/>
      <c r="AP752" s="8"/>
      <c r="AQ752" s="8"/>
      <c r="AR752" s="8"/>
      <c r="AS752" s="8"/>
      <c r="AT752" s="8"/>
      <c r="AU752" s="8"/>
      <c r="AV752" s="46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4"/>
      <c r="BX752" s="4"/>
    </row>
    <row r="753" spans="1:76" s="16" customFormat="1" x14ac:dyDescent="0.25">
      <c r="A753" s="26"/>
      <c r="B753" s="6"/>
      <c r="C753" s="7"/>
      <c r="D753" s="7"/>
      <c r="E753" s="7"/>
      <c r="F753" s="7"/>
      <c r="G753" s="7"/>
      <c r="H753" s="7"/>
      <c r="I753" s="4"/>
      <c r="J753" s="7"/>
      <c r="K753" s="7"/>
      <c r="L753" s="7"/>
      <c r="M753" s="7"/>
      <c r="N753" s="4"/>
      <c r="O753" s="4"/>
      <c r="P753" s="4"/>
      <c r="Q753" s="4"/>
      <c r="R753" s="4"/>
      <c r="S753" s="7"/>
      <c r="T753" s="7"/>
      <c r="U753" s="7"/>
      <c r="V753" s="7"/>
      <c r="W753" s="7"/>
      <c r="X753" s="7"/>
      <c r="Y753" s="4"/>
      <c r="Z753" s="4"/>
      <c r="AA753" s="4"/>
      <c r="AB753" s="4"/>
      <c r="AC753" s="4"/>
      <c r="AD753" s="4"/>
      <c r="AE753" s="4"/>
      <c r="AF753" s="4"/>
      <c r="AG753" s="49"/>
      <c r="AH753" s="4"/>
      <c r="AI753" s="4"/>
      <c r="AJ753" s="4"/>
      <c r="AK753" s="4"/>
      <c r="AL753" s="4"/>
      <c r="AM753" s="4"/>
      <c r="AN753" s="44"/>
      <c r="AO753" s="8"/>
      <c r="AP753" s="8"/>
      <c r="AQ753" s="8"/>
      <c r="AR753" s="8"/>
      <c r="AS753" s="8"/>
      <c r="AT753" s="8"/>
      <c r="AU753" s="8"/>
      <c r="AV753" s="46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4"/>
      <c r="BX753" s="4"/>
    </row>
    <row r="754" spans="1:76" s="16" customFormat="1" x14ac:dyDescent="0.25">
      <c r="A754" s="26"/>
      <c r="B754" s="6"/>
      <c r="C754" s="7"/>
      <c r="D754" s="7"/>
      <c r="E754" s="7"/>
      <c r="F754" s="7"/>
      <c r="G754" s="7"/>
      <c r="H754" s="7"/>
      <c r="I754" s="4"/>
      <c r="J754" s="7"/>
      <c r="K754" s="7"/>
      <c r="L754" s="7"/>
      <c r="M754" s="7"/>
      <c r="N754" s="4"/>
      <c r="O754" s="4"/>
      <c r="P754" s="4"/>
      <c r="Q754" s="4"/>
      <c r="R754" s="4"/>
      <c r="S754" s="7"/>
      <c r="T754" s="7"/>
      <c r="U754" s="7"/>
      <c r="V754" s="7"/>
      <c r="W754" s="7"/>
      <c r="X754" s="7"/>
      <c r="Y754" s="4"/>
      <c r="Z754" s="4"/>
      <c r="AA754" s="4"/>
      <c r="AB754" s="4"/>
      <c r="AC754" s="4"/>
      <c r="AD754" s="4"/>
      <c r="AE754" s="4"/>
      <c r="AF754" s="4"/>
      <c r="AG754" s="49"/>
      <c r="AH754" s="4"/>
      <c r="AI754" s="4"/>
      <c r="AJ754" s="4"/>
      <c r="AK754" s="4"/>
      <c r="AL754" s="4"/>
      <c r="AM754" s="4"/>
      <c r="AN754" s="44"/>
      <c r="AO754" s="8"/>
      <c r="AP754" s="8"/>
      <c r="AQ754" s="8"/>
      <c r="AR754" s="8"/>
      <c r="AS754" s="8"/>
      <c r="AT754" s="8"/>
      <c r="AU754" s="8"/>
      <c r="AV754" s="46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4"/>
      <c r="BX754" s="4"/>
    </row>
    <row r="755" spans="1:76" s="16" customFormat="1" x14ac:dyDescent="0.25">
      <c r="A755" s="26"/>
      <c r="B755" s="6"/>
      <c r="C755" s="7"/>
      <c r="D755" s="7"/>
      <c r="E755" s="7"/>
      <c r="F755" s="7"/>
      <c r="G755" s="7"/>
      <c r="H755" s="7"/>
      <c r="I755" s="4"/>
      <c r="J755" s="7"/>
      <c r="K755" s="7"/>
      <c r="L755" s="7"/>
      <c r="M755" s="7"/>
      <c r="N755" s="4"/>
      <c r="O755" s="4"/>
      <c r="P755" s="4"/>
      <c r="Q755" s="4"/>
      <c r="R755" s="4"/>
      <c r="S755" s="7"/>
      <c r="T755" s="7"/>
      <c r="U755" s="7"/>
      <c r="V755" s="7"/>
      <c r="W755" s="7"/>
      <c r="X755" s="7"/>
      <c r="Y755" s="4"/>
      <c r="Z755" s="4"/>
      <c r="AA755" s="4"/>
      <c r="AB755" s="4"/>
      <c r="AC755" s="4"/>
      <c r="AD755" s="4"/>
      <c r="AE755" s="4"/>
      <c r="AF755" s="4"/>
      <c r="AG755" s="49"/>
      <c r="AH755" s="4"/>
      <c r="AI755" s="4"/>
      <c r="AJ755" s="4"/>
      <c r="AK755" s="4"/>
      <c r="AL755" s="4"/>
      <c r="AM755" s="4"/>
      <c r="AN755" s="44"/>
      <c r="AO755" s="8"/>
      <c r="AP755" s="8"/>
      <c r="AQ755" s="8"/>
      <c r="AR755" s="8"/>
      <c r="AS755" s="8"/>
      <c r="AT755" s="8"/>
      <c r="AU755" s="8"/>
      <c r="AV755" s="46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4"/>
      <c r="BX755" s="4"/>
    </row>
    <row r="756" spans="1:76" s="16" customFormat="1" x14ac:dyDescent="0.25">
      <c r="A756" s="26"/>
      <c r="B756" s="6"/>
      <c r="C756" s="7"/>
      <c r="D756" s="7"/>
      <c r="E756" s="7"/>
      <c r="F756" s="7"/>
      <c r="G756" s="7"/>
      <c r="H756" s="7"/>
      <c r="I756" s="4"/>
      <c r="J756" s="7"/>
      <c r="K756" s="7"/>
      <c r="L756" s="7"/>
      <c r="M756" s="7"/>
      <c r="N756" s="4"/>
      <c r="O756" s="4"/>
      <c r="P756" s="4"/>
      <c r="Q756" s="4"/>
      <c r="R756" s="4"/>
      <c r="S756" s="7"/>
      <c r="T756" s="7"/>
      <c r="U756" s="7"/>
      <c r="V756" s="7"/>
      <c r="W756" s="7"/>
      <c r="X756" s="7"/>
      <c r="Y756" s="4"/>
      <c r="Z756" s="4"/>
      <c r="AA756" s="4"/>
      <c r="AB756" s="4"/>
      <c r="AC756" s="4"/>
      <c r="AD756" s="4"/>
      <c r="AE756" s="4"/>
      <c r="AF756" s="4"/>
      <c r="AG756" s="49"/>
      <c r="AH756" s="4"/>
      <c r="AI756" s="4"/>
      <c r="AJ756" s="4"/>
      <c r="AK756" s="4"/>
      <c r="AL756" s="4"/>
      <c r="AM756" s="4"/>
      <c r="AN756" s="44"/>
      <c r="AO756" s="8"/>
      <c r="AP756" s="8"/>
      <c r="AQ756" s="8"/>
      <c r="AR756" s="8"/>
      <c r="AS756" s="8"/>
      <c r="AT756" s="8"/>
      <c r="AU756" s="8"/>
      <c r="AV756" s="46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4"/>
      <c r="BX756" s="4"/>
    </row>
    <row r="757" spans="1:76" s="16" customFormat="1" x14ac:dyDescent="0.25">
      <c r="A757" s="26"/>
      <c r="B757" s="6"/>
      <c r="C757" s="7"/>
      <c r="D757" s="7"/>
      <c r="E757" s="7"/>
      <c r="F757" s="7"/>
      <c r="G757" s="7"/>
      <c r="H757" s="7"/>
      <c r="I757" s="4"/>
      <c r="J757" s="7"/>
      <c r="K757" s="7"/>
      <c r="L757" s="7"/>
      <c r="M757" s="7"/>
      <c r="N757" s="4"/>
      <c r="O757" s="4"/>
      <c r="P757" s="4"/>
      <c r="Q757" s="4"/>
      <c r="R757" s="4"/>
      <c r="S757" s="7"/>
      <c r="T757" s="7"/>
      <c r="U757" s="7"/>
      <c r="V757" s="7"/>
      <c r="W757" s="7"/>
      <c r="X757" s="7"/>
      <c r="Y757" s="4"/>
      <c r="Z757" s="4"/>
      <c r="AA757" s="4"/>
      <c r="AB757" s="4"/>
      <c r="AC757" s="4"/>
      <c r="AD757" s="4"/>
      <c r="AE757" s="4"/>
      <c r="AF757" s="4"/>
      <c r="AG757" s="49"/>
      <c r="AH757" s="4"/>
      <c r="AI757" s="4"/>
      <c r="AJ757" s="4"/>
      <c r="AK757" s="4"/>
      <c r="AL757" s="4"/>
      <c r="AM757" s="4"/>
      <c r="AN757" s="44"/>
      <c r="AO757" s="8"/>
      <c r="AP757" s="8"/>
      <c r="AQ757" s="8"/>
      <c r="AR757" s="8"/>
      <c r="AS757" s="8"/>
      <c r="AT757" s="8"/>
      <c r="AU757" s="8"/>
      <c r="AV757" s="46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4"/>
      <c r="BX757" s="4"/>
    </row>
    <row r="758" spans="1:76" s="16" customFormat="1" x14ac:dyDescent="0.25">
      <c r="A758" s="26"/>
      <c r="B758" s="6"/>
      <c r="C758" s="7"/>
      <c r="D758" s="7"/>
      <c r="E758" s="7"/>
      <c r="F758" s="7"/>
      <c r="G758" s="7"/>
      <c r="H758" s="7"/>
      <c r="I758" s="4"/>
      <c r="J758" s="7"/>
      <c r="K758" s="7"/>
      <c r="L758" s="7"/>
      <c r="M758" s="7"/>
      <c r="N758" s="4"/>
      <c r="O758" s="4"/>
      <c r="P758" s="4"/>
      <c r="Q758" s="4"/>
      <c r="R758" s="4"/>
      <c r="S758" s="7"/>
      <c r="T758" s="7"/>
      <c r="U758" s="7"/>
      <c r="V758" s="7"/>
      <c r="W758" s="7"/>
      <c r="X758" s="7"/>
      <c r="Y758" s="4"/>
      <c r="Z758" s="4"/>
      <c r="AA758" s="4"/>
      <c r="AB758" s="4"/>
      <c r="AC758" s="4"/>
      <c r="AD758" s="4"/>
      <c r="AE758" s="4"/>
      <c r="AF758" s="4"/>
      <c r="AG758" s="49"/>
      <c r="AH758" s="4"/>
      <c r="AI758" s="4"/>
      <c r="AJ758" s="4"/>
      <c r="AK758" s="4"/>
      <c r="AL758" s="4"/>
      <c r="AM758" s="4"/>
      <c r="AN758" s="44"/>
      <c r="AO758" s="8"/>
      <c r="AP758" s="8"/>
      <c r="AQ758" s="8"/>
      <c r="AR758" s="8"/>
      <c r="AS758" s="8"/>
      <c r="AT758" s="8"/>
      <c r="AU758" s="8"/>
      <c r="AV758" s="46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4"/>
      <c r="BX758" s="4"/>
    </row>
    <row r="759" spans="1:76" s="16" customFormat="1" x14ac:dyDescent="0.25">
      <c r="A759" s="26"/>
      <c r="B759" s="6"/>
      <c r="C759" s="7"/>
      <c r="D759" s="7"/>
      <c r="E759" s="7"/>
      <c r="F759" s="7"/>
      <c r="G759" s="7"/>
      <c r="H759" s="7"/>
      <c r="I759" s="4"/>
      <c r="J759" s="7"/>
      <c r="K759" s="7"/>
      <c r="L759" s="7"/>
      <c r="M759" s="7"/>
      <c r="N759" s="4"/>
      <c r="O759" s="4"/>
      <c r="P759" s="4"/>
      <c r="Q759" s="4"/>
      <c r="R759" s="4"/>
      <c r="S759" s="7"/>
      <c r="T759" s="7"/>
      <c r="U759" s="7"/>
      <c r="V759" s="7"/>
      <c r="W759" s="7"/>
      <c r="X759" s="7"/>
      <c r="Y759" s="4"/>
      <c r="Z759" s="4"/>
      <c r="AA759" s="4"/>
      <c r="AB759" s="4"/>
      <c r="AC759" s="4"/>
      <c r="AD759" s="4"/>
      <c r="AE759" s="4"/>
      <c r="AF759" s="4"/>
      <c r="AG759" s="49"/>
      <c r="AH759" s="4"/>
      <c r="AI759" s="4"/>
      <c r="AJ759" s="4"/>
      <c r="AK759" s="4"/>
      <c r="AL759" s="4"/>
      <c r="AM759" s="4"/>
      <c r="AN759" s="44"/>
      <c r="AO759" s="8"/>
      <c r="AP759" s="8"/>
      <c r="AQ759" s="8"/>
      <c r="AR759" s="8"/>
      <c r="AS759" s="8"/>
      <c r="AT759" s="8"/>
      <c r="AU759" s="8"/>
      <c r="AV759" s="46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4"/>
      <c r="BX759" s="4"/>
    </row>
    <row r="760" spans="1:76" s="16" customFormat="1" x14ac:dyDescent="0.25">
      <c r="A760" s="26"/>
      <c r="B760" s="6"/>
      <c r="C760" s="7"/>
      <c r="D760" s="7"/>
      <c r="E760" s="7"/>
      <c r="F760" s="7"/>
      <c r="G760" s="7"/>
      <c r="H760" s="7"/>
      <c r="I760" s="4"/>
      <c r="J760" s="7"/>
      <c r="K760" s="7"/>
      <c r="L760" s="7"/>
      <c r="M760" s="7"/>
      <c r="N760" s="4"/>
      <c r="O760" s="4"/>
      <c r="P760" s="4"/>
      <c r="Q760" s="4"/>
      <c r="R760" s="4"/>
      <c r="S760" s="7"/>
      <c r="T760" s="7"/>
      <c r="U760" s="7"/>
      <c r="V760" s="7"/>
      <c r="W760" s="7"/>
      <c r="X760" s="7"/>
      <c r="Y760" s="4"/>
      <c r="Z760" s="4"/>
      <c r="AA760" s="4"/>
      <c r="AB760" s="4"/>
      <c r="AC760" s="4"/>
      <c r="AD760" s="4"/>
      <c r="AE760" s="4"/>
      <c r="AF760" s="4"/>
      <c r="AG760" s="49"/>
      <c r="AH760" s="4"/>
      <c r="AI760" s="4"/>
      <c r="AJ760" s="4"/>
      <c r="AK760" s="4"/>
      <c r="AL760" s="4"/>
      <c r="AM760" s="4"/>
      <c r="AN760" s="44"/>
      <c r="AO760" s="8"/>
      <c r="AP760" s="8"/>
      <c r="AQ760" s="8"/>
      <c r="AR760" s="8"/>
      <c r="AS760" s="8"/>
      <c r="AT760" s="8"/>
      <c r="AU760" s="8"/>
      <c r="AV760" s="46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4"/>
      <c r="BX760" s="4"/>
    </row>
    <row r="761" spans="1:76" s="16" customFormat="1" x14ac:dyDescent="0.25">
      <c r="A761" s="26"/>
      <c r="B761" s="6"/>
      <c r="C761" s="7"/>
      <c r="D761" s="7"/>
      <c r="E761" s="7"/>
      <c r="F761" s="7"/>
      <c r="G761" s="7"/>
      <c r="H761" s="7"/>
      <c r="I761" s="4"/>
      <c r="J761" s="7"/>
      <c r="K761" s="7"/>
      <c r="L761" s="7"/>
      <c r="M761" s="7"/>
      <c r="N761" s="4"/>
      <c r="O761" s="4"/>
      <c r="P761" s="4"/>
      <c r="Q761" s="4"/>
      <c r="R761" s="4"/>
      <c r="S761" s="7"/>
      <c r="T761" s="7"/>
      <c r="U761" s="7"/>
      <c r="V761" s="7"/>
      <c r="W761" s="7"/>
      <c r="X761" s="7"/>
      <c r="Y761" s="4"/>
      <c r="Z761" s="4"/>
      <c r="AA761" s="4"/>
      <c r="AB761" s="4"/>
      <c r="AC761" s="4"/>
      <c r="AD761" s="4"/>
      <c r="AE761" s="4"/>
      <c r="AF761" s="4"/>
      <c r="AG761" s="49"/>
      <c r="AH761" s="4"/>
      <c r="AI761" s="4"/>
      <c r="AJ761" s="4"/>
      <c r="AK761" s="4"/>
      <c r="AL761" s="4"/>
      <c r="AM761" s="4"/>
      <c r="AN761" s="44"/>
      <c r="AO761" s="8"/>
      <c r="AP761" s="8"/>
      <c r="AQ761" s="8"/>
      <c r="AR761" s="8"/>
      <c r="AS761" s="8"/>
      <c r="AT761" s="8"/>
      <c r="AU761" s="8"/>
      <c r="AV761" s="46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4"/>
      <c r="BX761" s="4"/>
    </row>
    <row r="762" spans="1:76" s="16" customFormat="1" x14ac:dyDescent="0.25">
      <c r="A762" s="26"/>
      <c r="B762" s="6"/>
      <c r="C762" s="7"/>
      <c r="D762" s="7"/>
      <c r="E762" s="7"/>
      <c r="F762" s="7"/>
      <c r="G762" s="7"/>
      <c r="H762" s="7"/>
      <c r="I762" s="4"/>
      <c r="J762" s="7"/>
      <c r="K762" s="7"/>
      <c r="L762" s="7"/>
      <c r="M762" s="7"/>
      <c r="N762" s="4"/>
      <c r="O762" s="4"/>
      <c r="P762" s="4"/>
      <c r="Q762" s="4"/>
      <c r="R762" s="4"/>
      <c r="S762" s="7"/>
      <c r="T762" s="7"/>
      <c r="U762" s="7"/>
      <c r="V762" s="7"/>
      <c r="W762" s="7"/>
      <c r="X762" s="7"/>
      <c r="Y762" s="4"/>
      <c r="Z762" s="4"/>
      <c r="AA762" s="4"/>
      <c r="AB762" s="4"/>
      <c r="AC762" s="4"/>
      <c r="AD762" s="4"/>
      <c r="AE762" s="4"/>
      <c r="AF762" s="4"/>
      <c r="AG762" s="49"/>
      <c r="AH762" s="4"/>
      <c r="AI762" s="4"/>
      <c r="AJ762" s="4"/>
      <c r="AK762" s="4"/>
      <c r="AL762" s="4"/>
      <c r="AM762" s="4"/>
      <c r="AN762" s="44"/>
      <c r="AO762" s="8"/>
      <c r="AP762" s="8"/>
      <c r="AQ762" s="8"/>
      <c r="AR762" s="8"/>
      <c r="AS762" s="8"/>
      <c r="AT762" s="8"/>
      <c r="AU762" s="8"/>
      <c r="AV762" s="46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4"/>
      <c r="BX762" s="4"/>
    </row>
    <row r="763" spans="1:76" s="16" customFormat="1" x14ac:dyDescent="0.25">
      <c r="A763" s="26"/>
      <c r="B763" s="6"/>
      <c r="C763" s="7"/>
      <c r="D763" s="7"/>
      <c r="E763" s="7"/>
      <c r="F763" s="7"/>
      <c r="G763" s="7"/>
      <c r="H763" s="7"/>
      <c r="I763" s="4"/>
      <c r="J763" s="7"/>
      <c r="K763" s="7"/>
      <c r="L763" s="7"/>
      <c r="M763" s="7"/>
      <c r="N763" s="4"/>
      <c r="O763" s="4"/>
      <c r="P763" s="4"/>
      <c r="Q763" s="4"/>
      <c r="R763" s="4"/>
      <c r="S763" s="7"/>
      <c r="T763" s="7"/>
      <c r="U763" s="7"/>
      <c r="V763" s="7"/>
      <c r="W763" s="7"/>
      <c r="X763" s="7"/>
      <c r="Y763" s="4"/>
      <c r="Z763" s="4"/>
      <c r="AA763" s="4"/>
      <c r="AB763" s="4"/>
      <c r="AC763" s="4"/>
      <c r="AD763" s="4"/>
      <c r="AE763" s="4"/>
      <c r="AF763" s="4"/>
      <c r="AG763" s="49"/>
      <c r="AH763" s="4"/>
      <c r="AI763" s="4"/>
      <c r="AJ763" s="4"/>
      <c r="AK763" s="4"/>
      <c r="AL763" s="4"/>
      <c r="AM763" s="4"/>
      <c r="AN763" s="44"/>
      <c r="AO763" s="8"/>
      <c r="AP763" s="8"/>
      <c r="AQ763" s="8"/>
      <c r="AR763" s="8"/>
      <c r="AS763" s="8"/>
      <c r="AT763" s="8"/>
      <c r="AU763" s="8"/>
      <c r="AV763" s="46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4"/>
      <c r="BX763" s="4"/>
    </row>
    <row r="764" spans="1:76" s="16" customFormat="1" x14ac:dyDescent="0.25">
      <c r="A764" s="26"/>
      <c r="B764" s="6"/>
      <c r="C764" s="7"/>
      <c r="D764" s="7"/>
      <c r="E764" s="7"/>
      <c r="F764" s="7"/>
      <c r="G764" s="7"/>
      <c r="H764" s="7"/>
      <c r="I764" s="4"/>
      <c r="J764" s="7"/>
      <c r="K764" s="7"/>
      <c r="L764" s="7"/>
      <c r="M764" s="7"/>
      <c r="N764" s="4"/>
      <c r="O764" s="4"/>
      <c r="P764" s="4"/>
      <c r="Q764" s="4"/>
      <c r="R764" s="4"/>
      <c r="S764" s="7"/>
      <c r="T764" s="7"/>
      <c r="U764" s="7"/>
      <c r="V764" s="7"/>
      <c r="W764" s="7"/>
      <c r="X764" s="7"/>
      <c r="Y764" s="4"/>
      <c r="Z764" s="4"/>
      <c r="AA764" s="4"/>
      <c r="AB764" s="4"/>
      <c r="AC764" s="4"/>
      <c r="AD764" s="4"/>
      <c r="AE764" s="4"/>
      <c r="AF764" s="4"/>
      <c r="AG764" s="49"/>
      <c r="AH764" s="4"/>
      <c r="AI764" s="4"/>
      <c r="AJ764" s="4"/>
      <c r="AK764" s="4"/>
      <c r="AL764" s="4"/>
      <c r="AM764" s="4"/>
      <c r="AN764" s="44"/>
      <c r="AO764" s="8"/>
      <c r="AP764" s="8"/>
      <c r="AQ764" s="8"/>
      <c r="AR764" s="8"/>
      <c r="AS764" s="8"/>
      <c r="AT764" s="8"/>
      <c r="AU764" s="8"/>
      <c r="AV764" s="46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4"/>
      <c r="BX764" s="4"/>
    </row>
    <row r="765" spans="1:76" s="16" customFormat="1" x14ac:dyDescent="0.25">
      <c r="A765" s="26"/>
      <c r="B765" s="6"/>
      <c r="C765" s="7"/>
      <c r="D765" s="7"/>
      <c r="E765" s="7"/>
      <c r="F765" s="7"/>
      <c r="G765" s="7"/>
      <c r="H765" s="7"/>
      <c r="I765" s="4"/>
      <c r="J765" s="7"/>
      <c r="K765" s="7"/>
      <c r="L765" s="7"/>
      <c r="M765" s="7"/>
      <c r="N765" s="4"/>
      <c r="O765" s="4"/>
      <c r="P765" s="4"/>
      <c r="Q765" s="4"/>
      <c r="R765" s="4"/>
      <c r="S765" s="7"/>
      <c r="T765" s="7"/>
      <c r="U765" s="7"/>
      <c r="V765" s="7"/>
      <c r="W765" s="7"/>
      <c r="X765" s="7"/>
      <c r="Y765" s="4"/>
      <c r="Z765" s="4"/>
      <c r="AA765" s="4"/>
      <c r="AB765" s="4"/>
      <c r="AC765" s="4"/>
      <c r="AD765" s="4"/>
      <c r="AE765" s="4"/>
      <c r="AF765" s="4"/>
      <c r="AG765" s="49"/>
      <c r="AH765" s="4"/>
      <c r="AI765" s="4"/>
      <c r="AJ765" s="4"/>
      <c r="AK765" s="4"/>
      <c r="AL765" s="4"/>
      <c r="AM765" s="4"/>
      <c r="AN765" s="44"/>
      <c r="AO765" s="8"/>
      <c r="AP765" s="8"/>
      <c r="AQ765" s="8"/>
      <c r="AR765" s="8"/>
      <c r="AS765" s="8"/>
      <c r="AT765" s="8"/>
      <c r="AU765" s="8"/>
      <c r="AV765" s="46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4"/>
      <c r="BX765" s="4"/>
    </row>
    <row r="766" spans="1:76" s="16" customFormat="1" x14ac:dyDescent="0.25">
      <c r="A766" s="26"/>
      <c r="B766" s="6"/>
      <c r="C766" s="7"/>
      <c r="D766" s="7"/>
      <c r="E766" s="7"/>
      <c r="F766" s="7"/>
      <c r="G766" s="7"/>
      <c r="H766" s="7"/>
      <c r="I766" s="4"/>
      <c r="J766" s="7"/>
      <c r="K766" s="7"/>
      <c r="L766" s="7"/>
      <c r="M766" s="7"/>
      <c r="N766" s="4"/>
      <c r="O766" s="4"/>
      <c r="P766" s="4"/>
      <c r="Q766" s="4"/>
      <c r="R766" s="4"/>
      <c r="S766" s="7"/>
      <c r="T766" s="7"/>
      <c r="U766" s="7"/>
      <c r="V766" s="7"/>
      <c r="W766" s="7"/>
      <c r="X766" s="7"/>
      <c r="Y766" s="4"/>
      <c r="Z766" s="4"/>
      <c r="AA766" s="4"/>
      <c r="AB766" s="4"/>
      <c r="AC766" s="4"/>
      <c r="AD766" s="4"/>
      <c r="AE766" s="4"/>
      <c r="AF766" s="4"/>
      <c r="AG766" s="49"/>
      <c r="AH766" s="4"/>
      <c r="AI766" s="4"/>
      <c r="AJ766" s="4"/>
      <c r="AK766" s="4"/>
      <c r="AL766" s="4"/>
      <c r="AM766" s="4"/>
      <c r="AN766" s="44"/>
      <c r="AO766" s="8"/>
      <c r="AP766" s="8"/>
      <c r="AQ766" s="8"/>
      <c r="AR766" s="8"/>
      <c r="AS766" s="8"/>
      <c r="AT766" s="8"/>
      <c r="AU766" s="8"/>
      <c r="AV766" s="46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4"/>
      <c r="BX766" s="4"/>
    </row>
    <row r="767" spans="1:76" s="16" customFormat="1" x14ac:dyDescent="0.25">
      <c r="A767" s="26"/>
      <c r="B767" s="6"/>
      <c r="C767" s="7"/>
      <c r="D767" s="7"/>
      <c r="E767" s="7"/>
      <c r="F767" s="7"/>
      <c r="G767" s="7"/>
      <c r="H767" s="7"/>
      <c r="I767" s="4"/>
      <c r="J767" s="7"/>
      <c r="K767" s="7"/>
      <c r="L767" s="7"/>
      <c r="M767" s="7"/>
      <c r="N767" s="4"/>
      <c r="O767" s="4"/>
      <c r="P767" s="4"/>
      <c r="Q767" s="4"/>
      <c r="R767" s="4"/>
      <c r="S767" s="7"/>
      <c r="T767" s="7"/>
      <c r="U767" s="7"/>
      <c r="V767" s="7"/>
      <c r="W767" s="7"/>
      <c r="X767" s="7"/>
      <c r="Y767" s="4"/>
      <c r="Z767" s="4"/>
      <c r="AA767" s="4"/>
      <c r="AB767" s="4"/>
      <c r="AC767" s="4"/>
      <c r="AD767" s="4"/>
      <c r="AE767" s="4"/>
      <c r="AF767" s="4"/>
      <c r="AG767" s="49"/>
      <c r="AH767" s="4"/>
      <c r="AI767" s="4"/>
      <c r="AJ767" s="4"/>
      <c r="AK767" s="4"/>
      <c r="AL767" s="4"/>
      <c r="AM767" s="4"/>
      <c r="AN767" s="44"/>
      <c r="AO767" s="8"/>
      <c r="AP767" s="8"/>
      <c r="AQ767" s="8"/>
      <c r="AR767" s="8"/>
      <c r="AS767" s="8"/>
      <c r="AT767" s="8"/>
      <c r="AU767" s="8"/>
      <c r="AV767" s="46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4"/>
      <c r="BX767" s="4"/>
    </row>
    <row r="768" spans="1:76" s="16" customFormat="1" x14ac:dyDescent="0.25">
      <c r="A768" s="26"/>
      <c r="B768" s="6"/>
      <c r="C768" s="7"/>
      <c r="D768" s="7"/>
      <c r="E768" s="7"/>
      <c r="F768" s="7"/>
      <c r="G768" s="7"/>
      <c r="H768" s="7"/>
      <c r="I768" s="4"/>
      <c r="J768" s="7"/>
      <c r="K768" s="7"/>
      <c r="L768" s="7"/>
      <c r="M768" s="7"/>
      <c r="N768" s="4"/>
      <c r="O768" s="4"/>
      <c r="P768" s="4"/>
      <c r="Q768" s="4"/>
      <c r="R768" s="4"/>
      <c r="S768" s="7"/>
      <c r="T768" s="7"/>
      <c r="U768" s="7"/>
      <c r="V768" s="7"/>
      <c r="W768" s="7"/>
      <c r="X768" s="7"/>
      <c r="Y768" s="4"/>
      <c r="Z768" s="4"/>
      <c r="AA768" s="4"/>
      <c r="AB768" s="4"/>
      <c r="AC768" s="4"/>
      <c r="AD768" s="4"/>
      <c r="AE768" s="4"/>
      <c r="AF768" s="4"/>
      <c r="AG768" s="49"/>
      <c r="AH768" s="4"/>
      <c r="AI768" s="4"/>
      <c r="AJ768" s="4"/>
      <c r="AK768" s="4"/>
      <c r="AL768" s="4"/>
      <c r="AM768" s="4"/>
      <c r="AN768" s="44"/>
      <c r="AO768" s="8"/>
      <c r="AP768" s="8"/>
      <c r="AQ768" s="8"/>
      <c r="AR768" s="8"/>
      <c r="AS768" s="8"/>
      <c r="AT768" s="8"/>
      <c r="AU768" s="8"/>
      <c r="AV768" s="46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4"/>
      <c r="BX768" s="4"/>
    </row>
    <row r="769" spans="1:76" s="16" customFormat="1" x14ac:dyDescent="0.25">
      <c r="A769" s="26"/>
      <c r="B769" s="6"/>
      <c r="C769" s="7"/>
      <c r="D769" s="7"/>
      <c r="E769" s="7"/>
      <c r="F769" s="7"/>
      <c r="G769" s="7"/>
      <c r="H769" s="7"/>
      <c r="I769" s="4"/>
      <c r="J769" s="7"/>
      <c r="K769" s="7"/>
      <c r="L769" s="7"/>
      <c r="M769" s="7"/>
      <c r="N769" s="4"/>
      <c r="O769" s="4"/>
      <c r="P769" s="4"/>
      <c r="Q769" s="4"/>
      <c r="R769" s="4"/>
      <c r="S769" s="7"/>
      <c r="T769" s="7"/>
      <c r="U769" s="7"/>
      <c r="V769" s="7"/>
      <c r="W769" s="7"/>
      <c r="X769" s="7"/>
      <c r="Y769" s="4"/>
      <c r="Z769" s="4"/>
      <c r="AA769" s="4"/>
      <c r="AB769" s="4"/>
      <c r="AC769" s="4"/>
      <c r="AD769" s="4"/>
      <c r="AE769" s="4"/>
      <c r="AF769" s="4"/>
      <c r="AG769" s="49"/>
      <c r="AH769" s="4"/>
      <c r="AI769" s="4"/>
      <c r="AJ769" s="4"/>
      <c r="AK769" s="4"/>
      <c r="AL769" s="4"/>
      <c r="AM769" s="4"/>
      <c r="AN769" s="44"/>
      <c r="AO769" s="8"/>
      <c r="AP769" s="8"/>
      <c r="AQ769" s="8"/>
      <c r="AR769" s="8"/>
      <c r="AS769" s="8"/>
      <c r="AT769" s="8"/>
      <c r="AU769" s="8"/>
      <c r="AV769" s="46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4"/>
      <c r="BX769" s="4"/>
    </row>
    <row r="770" spans="1:76" s="16" customFormat="1" x14ac:dyDescent="0.25">
      <c r="A770" s="26"/>
      <c r="B770" s="6"/>
      <c r="C770" s="7"/>
      <c r="D770" s="7"/>
      <c r="E770" s="7"/>
      <c r="F770" s="7"/>
      <c r="G770" s="7"/>
      <c r="H770" s="7"/>
      <c r="I770" s="4"/>
      <c r="J770" s="7"/>
      <c r="K770" s="7"/>
      <c r="L770" s="7"/>
      <c r="M770" s="7"/>
      <c r="N770" s="4"/>
      <c r="O770" s="4"/>
      <c r="P770" s="4"/>
      <c r="Q770" s="4"/>
      <c r="R770" s="4"/>
      <c r="S770" s="7"/>
      <c r="T770" s="7"/>
      <c r="U770" s="7"/>
      <c r="V770" s="7"/>
      <c r="W770" s="7"/>
      <c r="X770" s="7"/>
      <c r="Y770" s="4"/>
      <c r="Z770" s="4"/>
      <c r="AA770" s="4"/>
      <c r="AB770" s="4"/>
      <c r="AC770" s="4"/>
      <c r="AD770" s="4"/>
      <c r="AE770" s="4"/>
      <c r="AF770" s="4"/>
      <c r="AG770" s="49"/>
      <c r="AH770" s="4"/>
      <c r="AI770" s="4"/>
      <c r="AJ770" s="4"/>
      <c r="AK770" s="4"/>
      <c r="AL770" s="4"/>
      <c r="AM770" s="4"/>
      <c r="AN770" s="44"/>
      <c r="AO770" s="8"/>
      <c r="AP770" s="8"/>
      <c r="AQ770" s="8"/>
      <c r="AR770" s="8"/>
      <c r="AS770" s="8"/>
      <c r="AT770" s="8"/>
      <c r="AU770" s="8"/>
      <c r="AV770" s="46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4"/>
      <c r="BX770" s="4"/>
    </row>
    <row r="771" spans="1:76" s="16" customFormat="1" x14ac:dyDescent="0.25">
      <c r="A771" s="26"/>
      <c r="B771" s="6"/>
      <c r="C771" s="7"/>
      <c r="D771" s="7"/>
      <c r="E771" s="7"/>
      <c r="F771" s="7"/>
      <c r="G771" s="7"/>
      <c r="H771" s="7"/>
      <c r="I771" s="4"/>
      <c r="J771" s="7"/>
      <c r="K771" s="7"/>
      <c r="L771" s="7"/>
      <c r="M771" s="7"/>
      <c r="N771" s="4"/>
      <c r="O771" s="4"/>
      <c r="P771" s="4"/>
      <c r="Q771" s="4"/>
      <c r="R771" s="4"/>
      <c r="S771" s="7"/>
      <c r="T771" s="7"/>
      <c r="U771" s="7"/>
      <c r="V771" s="7"/>
      <c r="W771" s="7"/>
      <c r="X771" s="7"/>
      <c r="Y771" s="4"/>
      <c r="Z771" s="4"/>
      <c r="AA771" s="4"/>
      <c r="AB771" s="4"/>
      <c r="AC771" s="4"/>
      <c r="AD771" s="4"/>
      <c r="AE771" s="4"/>
      <c r="AF771" s="4"/>
      <c r="AG771" s="49"/>
      <c r="AH771" s="4"/>
      <c r="AI771" s="4"/>
      <c r="AJ771" s="4"/>
      <c r="AK771" s="4"/>
      <c r="AL771" s="4"/>
      <c r="AM771" s="4"/>
      <c r="AN771" s="44"/>
      <c r="AO771" s="8"/>
      <c r="AP771" s="8"/>
      <c r="AQ771" s="8"/>
      <c r="AR771" s="8"/>
      <c r="AS771" s="8"/>
      <c r="AT771" s="8"/>
      <c r="AU771" s="8"/>
      <c r="AV771" s="46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4"/>
      <c r="BX771" s="4"/>
    </row>
    <row r="772" spans="1:76" s="16" customFormat="1" x14ac:dyDescent="0.25">
      <c r="A772" s="26"/>
      <c r="B772" s="6"/>
      <c r="C772" s="7"/>
      <c r="D772" s="7"/>
      <c r="E772" s="7"/>
      <c r="F772" s="7"/>
      <c r="G772" s="7"/>
      <c r="H772" s="7"/>
      <c r="I772" s="4"/>
      <c r="J772" s="7"/>
      <c r="K772" s="7"/>
      <c r="L772" s="7"/>
      <c r="M772" s="7"/>
      <c r="N772" s="4"/>
      <c r="O772" s="4"/>
      <c r="P772" s="4"/>
      <c r="Q772" s="4"/>
      <c r="R772" s="4"/>
      <c r="S772" s="7"/>
      <c r="T772" s="7"/>
      <c r="U772" s="7"/>
      <c r="V772" s="7"/>
      <c r="W772" s="7"/>
      <c r="X772" s="7"/>
      <c r="Y772" s="4"/>
      <c r="Z772" s="4"/>
      <c r="AA772" s="4"/>
      <c r="AB772" s="4"/>
      <c r="AC772" s="4"/>
      <c r="AD772" s="4"/>
      <c r="AE772" s="4"/>
      <c r="AF772" s="4"/>
      <c r="AG772" s="49"/>
      <c r="AH772" s="4"/>
      <c r="AI772" s="4"/>
      <c r="AJ772" s="4"/>
      <c r="AK772" s="4"/>
      <c r="AL772" s="4"/>
      <c r="AM772" s="4"/>
      <c r="AN772" s="44"/>
      <c r="AO772" s="8"/>
      <c r="AP772" s="8"/>
      <c r="AQ772" s="8"/>
      <c r="AR772" s="8"/>
      <c r="AS772" s="8"/>
      <c r="AT772" s="8"/>
      <c r="AU772" s="8"/>
      <c r="AV772" s="46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4"/>
      <c r="BX772" s="4"/>
    </row>
    <row r="773" spans="1:76" s="16" customFormat="1" x14ac:dyDescent="0.25">
      <c r="A773" s="26"/>
      <c r="B773" s="6"/>
      <c r="C773" s="7"/>
      <c r="D773" s="7"/>
      <c r="E773" s="7"/>
      <c r="F773" s="7"/>
      <c r="G773" s="7"/>
      <c r="H773" s="7"/>
      <c r="I773" s="4"/>
      <c r="J773" s="7"/>
      <c r="K773" s="7"/>
      <c r="L773" s="7"/>
      <c r="M773" s="7"/>
      <c r="N773" s="4"/>
      <c r="O773" s="4"/>
      <c r="P773" s="4"/>
      <c r="Q773" s="4"/>
      <c r="R773" s="4"/>
      <c r="S773" s="7"/>
      <c r="T773" s="7"/>
      <c r="U773" s="7"/>
      <c r="V773" s="7"/>
      <c r="W773" s="7"/>
      <c r="X773" s="7"/>
      <c r="Y773" s="4"/>
      <c r="Z773" s="4"/>
      <c r="AA773" s="4"/>
      <c r="AB773" s="4"/>
      <c r="AC773" s="4"/>
      <c r="AD773" s="4"/>
      <c r="AE773" s="4"/>
      <c r="AF773" s="4"/>
      <c r="AG773" s="49"/>
      <c r="AH773" s="4"/>
      <c r="AI773" s="4"/>
      <c r="AJ773" s="4"/>
      <c r="AK773" s="4"/>
      <c r="AL773" s="4"/>
      <c r="AM773" s="4"/>
      <c r="AN773" s="44"/>
      <c r="AO773" s="8"/>
      <c r="AP773" s="8"/>
      <c r="AQ773" s="8"/>
      <c r="AR773" s="8"/>
      <c r="AS773" s="8"/>
      <c r="AT773" s="8"/>
      <c r="AU773" s="8"/>
      <c r="AV773" s="46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4"/>
      <c r="BX773" s="4"/>
    </row>
    <row r="774" spans="1:76" s="16" customFormat="1" x14ac:dyDescent="0.25">
      <c r="A774" s="26"/>
      <c r="B774" s="6"/>
      <c r="C774" s="7"/>
      <c r="D774" s="7"/>
      <c r="E774" s="7"/>
      <c r="F774" s="7"/>
      <c r="G774" s="7"/>
      <c r="H774" s="7"/>
      <c r="I774" s="4"/>
      <c r="J774" s="7"/>
      <c r="K774" s="7"/>
      <c r="L774" s="7"/>
      <c r="M774" s="7"/>
      <c r="N774" s="4"/>
      <c r="O774" s="4"/>
      <c r="P774" s="4"/>
      <c r="Q774" s="4"/>
      <c r="R774" s="4"/>
      <c r="S774" s="7"/>
      <c r="T774" s="7"/>
      <c r="U774" s="7"/>
      <c r="V774" s="7"/>
      <c r="W774" s="7"/>
      <c r="X774" s="7"/>
      <c r="Y774" s="4"/>
      <c r="Z774" s="4"/>
      <c r="AA774" s="4"/>
      <c r="AB774" s="4"/>
      <c r="AC774" s="4"/>
      <c r="AD774" s="4"/>
      <c r="AE774" s="4"/>
      <c r="AF774" s="4"/>
      <c r="AG774" s="49"/>
      <c r="AH774" s="4"/>
      <c r="AI774" s="4"/>
      <c r="AJ774" s="4"/>
      <c r="AK774" s="4"/>
      <c r="AL774" s="4"/>
      <c r="AM774" s="4"/>
      <c r="AN774" s="44"/>
      <c r="AO774" s="8"/>
      <c r="AP774" s="8"/>
      <c r="AQ774" s="8"/>
      <c r="AR774" s="8"/>
      <c r="AS774" s="8"/>
      <c r="AT774" s="8"/>
      <c r="AU774" s="8"/>
      <c r="AV774" s="46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4"/>
      <c r="BX774" s="4"/>
    </row>
    <row r="775" spans="1:76" s="16" customFormat="1" x14ac:dyDescent="0.25">
      <c r="A775" s="26"/>
      <c r="B775" s="6"/>
      <c r="C775" s="7"/>
      <c r="D775" s="7"/>
      <c r="E775" s="7"/>
      <c r="F775" s="7"/>
      <c r="G775" s="7"/>
      <c r="H775" s="7"/>
      <c r="I775" s="4"/>
      <c r="J775" s="7"/>
      <c r="K775" s="7"/>
      <c r="L775" s="7"/>
      <c r="M775" s="7"/>
      <c r="N775" s="4"/>
      <c r="O775" s="4"/>
      <c r="P775" s="4"/>
      <c r="Q775" s="4"/>
      <c r="R775" s="4"/>
      <c r="S775" s="7"/>
      <c r="T775" s="7"/>
      <c r="U775" s="7"/>
      <c r="V775" s="7"/>
      <c r="W775" s="7"/>
      <c r="X775" s="7"/>
      <c r="Y775" s="4"/>
      <c r="Z775" s="4"/>
      <c r="AA775" s="4"/>
      <c r="AB775" s="4"/>
      <c r="AC775" s="4"/>
      <c r="AD775" s="4"/>
      <c r="AE775" s="4"/>
      <c r="AF775" s="4"/>
      <c r="AG775" s="49"/>
      <c r="AH775" s="4"/>
      <c r="AI775" s="4"/>
      <c r="AJ775" s="4"/>
      <c r="AK775" s="4"/>
      <c r="AL775" s="4"/>
      <c r="AM775" s="4"/>
      <c r="AN775" s="44"/>
      <c r="AO775" s="8"/>
      <c r="AP775" s="8"/>
      <c r="AQ775" s="8"/>
      <c r="AR775" s="8"/>
      <c r="AS775" s="8"/>
      <c r="AT775" s="8"/>
      <c r="AU775" s="8"/>
      <c r="AV775" s="46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4"/>
      <c r="BX775" s="4"/>
    </row>
    <row r="776" spans="1:76" s="16" customFormat="1" x14ac:dyDescent="0.25">
      <c r="A776" s="26"/>
      <c r="B776" s="6"/>
      <c r="C776" s="7"/>
      <c r="D776" s="7"/>
      <c r="E776" s="7"/>
      <c r="F776" s="7"/>
      <c r="G776" s="7"/>
      <c r="H776" s="7"/>
      <c r="I776" s="4"/>
      <c r="J776" s="7"/>
      <c r="K776" s="7"/>
      <c r="L776" s="7"/>
      <c r="M776" s="7"/>
      <c r="N776" s="4"/>
      <c r="O776" s="4"/>
      <c r="P776" s="4"/>
      <c r="Q776" s="4"/>
      <c r="R776" s="4"/>
      <c r="S776" s="7"/>
      <c r="T776" s="7"/>
      <c r="U776" s="7"/>
      <c r="V776" s="7"/>
      <c r="W776" s="7"/>
      <c r="X776" s="7"/>
      <c r="Y776" s="4"/>
      <c r="Z776" s="4"/>
      <c r="AA776" s="4"/>
      <c r="AB776" s="4"/>
      <c r="AC776" s="4"/>
      <c r="AD776" s="4"/>
      <c r="AE776" s="4"/>
      <c r="AF776" s="4"/>
      <c r="AG776" s="49"/>
      <c r="AH776" s="4"/>
      <c r="AI776" s="4"/>
      <c r="AJ776" s="4"/>
      <c r="AK776" s="4"/>
      <c r="AL776" s="4"/>
      <c r="AM776" s="4"/>
      <c r="AN776" s="44"/>
      <c r="AO776" s="8"/>
      <c r="AP776" s="8"/>
      <c r="AQ776" s="8"/>
      <c r="AR776" s="8"/>
      <c r="AS776" s="8"/>
      <c r="AT776" s="8"/>
      <c r="AU776" s="8"/>
      <c r="AV776" s="46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4"/>
      <c r="BX776" s="4"/>
    </row>
    <row r="777" spans="1:76" s="16" customFormat="1" x14ac:dyDescent="0.25">
      <c r="A777" s="26"/>
      <c r="B777" s="6"/>
      <c r="C777" s="7"/>
      <c r="D777" s="7"/>
      <c r="E777" s="7"/>
      <c r="F777" s="7"/>
      <c r="G777" s="7"/>
      <c r="H777" s="7"/>
      <c r="I777" s="4"/>
      <c r="J777" s="7"/>
      <c r="K777" s="7"/>
      <c r="L777" s="7"/>
      <c r="M777" s="7"/>
      <c r="N777" s="4"/>
      <c r="O777" s="4"/>
      <c r="P777" s="4"/>
      <c r="Q777" s="4"/>
      <c r="R777" s="4"/>
      <c r="S777" s="7"/>
      <c r="T777" s="7"/>
      <c r="U777" s="7"/>
      <c r="V777" s="7"/>
      <c r="W777" s="7"/>
      <c r="X777" s="7"/>
      <c r="Y777" s="4"/>
      <c r="Z777" s="4"/>
      <c r="AA777" s="4"/>
      <c r="AB777" s="4"/>
      <c r="AC777" s="4"/>
      <c r="AD777" s="4"/>
      <c r="AE777" s="4"/>
      <c r="AF777" s="4"/>
      <c r="AG777" s="49"/>
      <c r="AH777" s="4"/>
      <c r="AI777" s="4"/>
      <c r="AJ777" s="4"/>
      <c r="AK777" s="4"/>
      <c r="AL777" s="4"/>
      <c r="AM777" s="4"/>
      <c r="AN777" s="44"/>
      <c r="AO777" s="8"/>
      <c r="AP777" s="8"/>
      <c r="AQ777" s="8"/>
      <c r="AR777" s="8"/>
      <c r="AS777" s="8"/>
      <c r="AT777" s="8"/>
      <c r="AU777" s="8"/>
      <c r="AV777" s="46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4"/>
      <c r="BX777" s="4"/>
    </row>
    <row r="778" spans="1:76" s="16" customFormat="1" x14ac:dyDescent="0.25">
      <c r="A778" s="26"/>
      <c r="B778" s="6"/>
      <c r="C778" s="7"/>
      <c r="D778" s="7"/>
      <c r="E778" s="7"/>
      <c r="F778" s="7"/>
      <c r="G778" s="7"/>
      <c r="H778" s="7"/>
      <c r="I778" s="4"/>
      <c r="J778" s="7"/>
      <c r="K778" s="7"/>
      <c r="L778" s="7"/>
      <c r="M778" s="7"/>
      <c r="N778" s="4"/>
      <c r="O778" s="4"/>
      <c r="P778" s="4"/>
      <c r="Q778" s="4"/>
      <c r="R778" s="4"/>
      <c r="S778" s="7"/>
      <c r="T778" s="7"/>
      <c r="U778" s="7"/>
      <c r="V778" s="7"/>
      <c r="W778" s="7"/>
      <c r="X778" s="7"/>
      <c r="Y778" s="4"/>
      <c r="Z778" s="4"/>
      <c r="AA778" s="4"/>
      <c r="AB778" s="4"/>
      <c r="AC778" s="4"/>
      <c r="AD778" s="4"/>
      <c r="AE778" s="4"/>
      <c r="AF778" s="4"/>
      <c r="AG778" s="49"/>
      <c r="AH778" s="4"/>
      <c r="AI778" s="4"/>
      <c r="AJ778" s="4"/>
      <c r="AK778" s="4"/>
      <c r="AL778" s="4"/>
      <c r="AM778" s="4"/>
      <c r="AN778" s="44"/>
      <c r="AO778" s="8"/>
      <c r="AP778" s="8"/>
      <c r="AQ778" s="8"/>
      <c r="AR778" s="8"/>
      <c r="AS778" s="8"/>
      <c r="AT778" s="8"/>
      <c r="AU778" s="8"/>
      <c r="AV778" s="46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4"/>
      <c r="BX778" s="4"/>
    </row>
    <row r="779" spans="1:76" s="16" customFormat="1" x14ac:dyDescent="0.25">
      <c r="A779" s="26"/>
      <c r="B779" s="6"/>
      <c r="C779" s="7"/>
      <c r="D779" s="7"/>
      <c r="E779" s="7"/>
      <c r="F779" s="7"/>
      <c r="G779" s="7"/>
      <c r="H779" s="7"/>
      <c r="I779" s="4"/>
      <c r="J779" s="7"/>
      <c r="K779" s="7"/>
      <c r="L779" s="7"/>
      <c r="M779" s="7"/>
      <c r="N779" s="4"/>
      <c r="O779" s="4"/>
      <c r="P779" s="4"/>
      <c r="Q779" s="4"/>
      <c r="R779" s="4"/>
      <c r="S779" s="7"/>
      <c r="T779" s="7"/>
      <c r="U779" s="7"/>
      <c r="V779" s="7"/>
      <c r="W779" s="7"/>
      <c r="X779" s="7"/>
      <c r="Y779" s="4"/>
      <c r="Z779" s="4"/>
      <c r="AA779" s="4"/>
      <c r="AB779" s="4"/>
      <c r="AC779" s="4"/>
      <c r="AD779" s="4"/>
      <c r="AE779" s="4"/>
      <c r="AF779" s="4"/>
      <c r="AG779" s="49"/>
      <c r="AH779" s="4"/>
      <c r="AI779" s="4"/>
      <c r="AJ779" s="4"/>
      <c r="AK779" s="4"/>
      <c r="AL779" s="4"/>
      <c r="AM779" s="4"/>
      <c r="AN779" s="44"/>
      <c r="AO779" s="8"/>
      <c r="AP779" s="8"/>
      <c r="AQ779" s="8"/>
      <c r="AR779" s="8"/>
      <c r="AS779" s="8"/>
      <c r="AT779" s="8"/>
      <c r="AU779" s="8"/>
      <c r="AV779" s="46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4"/>
      <c r="BX779" s="4"/>
    </row>
    <row r="780" spans="1:76" s="16" customFormat="1" x14ac:dyDescent="0.25">
      <c r="A780" s="26"/>
      <c r="B780" s="6"/>
      <c r="C780" s="7"/>
      <c r="D780" s="7"/>
      <c r="E780" s="7"/>
      <c r="F780" s="7"/>
      <c r="G780" s="7"/>
      <c r="H780" s="7"/>
      <c r="I780" s="4"/>
      <c r="J780" s="7"/>
      <c r="K780" s="7"/>
      <c r="L780" s="7"/>
      <c r="M780" s="7"/>
      <c r="N780" s="4"/>
      <c r="O780" s="4"/>
      <c r="P780" s="4"/>
      <c r="Q780" s="4"/>
      <c r="R780" s="4"/>
      <c r="S780" s="7"/>
      <c r="T780" s="7"/>
      <c r="U780" s="7"/>
      <c r="V780" s="7"/>
      <c r="W780" s="7"/>
      <c r="X780" s="7"/>
      <c r="Y780" s="4"/>
      <c r="Z780" s="4"/>
      <c r="AA780" s="4"/>
      <c r="AB780" s="4"/>
      <c r="AC780" s="4"/>
      <c r="AD780" s="4"/>
      <c r="AE780" s="4"/>
      <c r="AF780" s="4"/>
      <c r="AG780" s="49"/>
      <c r="AH780" s="4"/>
      <c r="AI780" s="4"/>
      <c r="AJ780" s="4"/>
      <c r="AK780" s="4"/>
      <c r="AL780" s="4"/>
      <c r="AM780" s="4"/>
      <c r="AN780" s="44"/>
      <c r="AO780" s="8"/>
      <c r="AP780" s="8"/>
      <c r="AQ780" s="8"/>
      <c r="AR780" s="8"/>
      <c r="AS780" s="8"/>
      <c r="AT780" s="8"/>
      <c r="AU780" s="8"/>
      <c r="AV780" s="46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4"/>
      <c r="BX780" s="4"/>
    </row>
    <row r="781" spans="1:76" s="16" customFormat="1" x14ac:dyDescent="0.25">
      <c r="A781" s="26"/>
      <c r="B781" s="6"/>
      <c r="C781" s="7"/>
      <c r="D781" s="7"/>
      <c r="E781" s="7"/>
      <c r="F781" s="7"/>
      <c r="G781" s="7"/>
      <c r="H781" s="7"/>
      <c r="I781" s="4"/>
      <c r="J781" s="7"/>
      <c r="K781" s="7"/>
      <c r="L781" s="7"/>
      <c r="M781" s="7"/>
      <c r="N781" s="4"/>
      <c r="O781" s="4"/>
      <c r="P781" s="4"/>
      <c r="Q781" s="4"/>
      <c r="R781" s="4"/>
      <c r="S781" s="7"/>
      <c r="T781" s="7"/>
      <c r="U781" s="7"/>
      <c r="V781" s="7"/>
      <c r="W781" s="7"/>
      <c r="X781" s="7"/>
      <c r="Y781" s="4"/>
      <c r="Z781" s="4"/>
      <c r="AA781" s="4"/>
      <c r="AB781" s="4"/>
      <c r="AC781" s="4"/>
      <c r="AD781" s="4"/>
      <c r="AE781" s="4"/>
      <c r="AF781" s="4"/>
      <c r="AG781" s="49"/>
      <c r="AH781" s="4"/>
      <c r="AI781" s="4"/>
      <c r="AJ781" s="4"/>
      <c r="AK781" s="4"/>
      <c r="AL781" s="4"/>
      <c r="AM781" s="4"/>
      <c r="AN781" s="44"/>
      <c r="AO781" s="8"/>
      <c r="AP781" s="8"/>
      <c r="AQ781" s="8"/>
      <c r="AR781" s="8"/>
      <c r="AS781" s="8"/>
      <c r="AT781" s="8"/>
      <c r="AU781" s="8"/>
      <c r="AV781" s="46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4"/>
      <c r="BX781" s="4"/>
    </row>
    <row r="782" spans="1:76" s="16" customFormat="1" x14ac:dyDescent="0.25">
      <c r="A782" s="26"/>
      <c r="B782" s="6"/>
      <c r="C782" s="7"/>
      <c r="D782" s="7"/>
      <c r="E782" s="7"/>
      <c r="F782" s="7"/>
      <c r="G782" s="7"/>
      <c r="H782" s="7"/>
      <c r="I782" s="4"/>
      <c r="J782" s="7"/>
      <c r="K782" s="7"/>
      <c r="L782" s="7"/>
      <c r="M782" s="7"/>
      <c r="N782" s="4"/>
      <c r="O782" s="4"/>
      <c r="P782" s="4"/>
      <c r="Q782" s="4"/>
      <c r="R782" s="4"/>
      <c r="S782" s="7"/>
      <c r="T782" s="7"/>
      <c r="U782" s="7"/>
      <c r="V782" s="7"/>
      <c r="W782" s="7"/>
      <c r="X782" s="7"/>
      <c r="Y782" s="4"/>
      <c r="Z782" s="4"/>
      <c r="AA782" s="4"/>
      <c r="AB782" s="4"/>
      <c r="AC782" s="4"/>
      <c r="AD782" s="4"/>
      <c r="AE782" s="4"/>
      <c r="AF782" s="4"/>
      <c r="AG782" s="49"/>
      <c r="AH782" s="4"/>
      <c r="AI782" s="4"/>
      <c r="AJ782" s="4"/>
      <c r="AK782" s="4"/>
      <c r="AL782" s="4"/>
      <c r="AM782" s="4"/>
      <c r="AN782" s="44"/>
      <c r="AO782" s="8"/>
      <c r="AP782" s="8"/>
      <c r="AQ782" s="8"/>
      <c r="AR782" s="8"/>
      <c r="AS782" s="8"/>
      <c r="AT782" s="8"/>
      <c r="AU782" s="8"/>
      <c r="AV782" s="46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4"/>
      <c r="BX782" s="4"/>
    </row>
    <row r="783" spans="1:76" s="16" customFormat="1" x14ac:dyDescent="0.25">
      <c r="A783" s="26"/>
      <c r="B783" s="6"/>
      <c r="C783" s="7"/>
      <c r="D783" s="7"/>
      <c r="E783" s="7"/>
      <c r="F783" s="7"/>
      <c r="G783" s="7"/>
      <c r="H783" s="7"/>
      <c r="I783" s="4"/>
      <c r="J783" s="7"/>
      <c r="K783" s="7"/>
      <c r="L783" s="7"/>
      <c r="M783" s="7"/>
      <c r="N783" s="4"/>
      <c r="O783" s="4"/>
      <c r="P783" s="4"/>
      <c r="Q783" s="4"/>
      <c r="R783" s="4"/>
      <c r="S783" s="7"/>
      <c r="T783" s="7"/>
      <c r="U783" s="7"/>
      <c r="V783" s="7"/>
      <c r="W783" s="7"/>
      <c r="X783" s="7"/>
      <c r="Y783" s="4"/>
      <c r="Z783" s="4"/>
      <c r="AA783" s="4"/>
      <c r="AB783" s="4"/>
      <c r="AC783" s="4"/>
      <c r="AD783" s="4"/>
      <c r="AE783" s="4"/>
      <c r="AF783" s="4"/>
      <c r="AG783" s="49"/>
      <c r="AH783" s="4"/>
      <c r="AI783" s="4"/>
      <c r="AJ783" s="4"/>
      <c r="AK783" s="4"/>
      <c r="AL783" s="4"/>
      <c r="AM783" s="4"/>
      <c r="AN783" s="44"/>
      <c r="AO783" s="8"/>
      <c r="AP783" s="8"/>
      <c r="AQ783" s="8"/>
      <c r="AR783" s="8"/>
      <c r="AS783" s="8"/>
      <c r="AT783" s="8"/>
      <c r="AU783" s="8"/>
      <c r="AV783" s="46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4"/>
      <c r="BX783" s="4"/>
    </row>
    <row r="784" spans="1:76" s="16" customFormat="1" x14ac:dyDescent="0.25">
      <c r="A784" s="26"/>
      <c r="B784" s="6"/>
      <c r="C784" s="7"/>
      <c r="D784" s="7"/>
      <c r="E784" s="7"/>
      <c r="F784" s="7"/>
      <c r="G784" s="7"/>
      <c r="H784" s="7"/>
      <c r="I784" s="4"/>
      <c r="J784" s="7"/>
      <c r="K784" s="7"/>
      <c r="L784" s="7"/>
      <c r="M784" s="7"/>
      <c r="N784" s="4"/>
      <c r="O784" s="4"/>
      <c r="P784" s="4"/>
      <c r="Q784" s="4"/>
      <c r="R784" s="4"/>
      <c r="S784" s="7"/>
      <c r="T784" s="7"/>
      <c r="U784" s="7"/>
      <c r="V784" s="7"/>
      <c r="W784" s="7"/>
      <c r="X784" s="7"/>
      <c r="Y784" s="4"/>
      <c r="Z784" s="4"/>
      <c r="AA784" s="4"/>
      <c r="AB784" s="4"/>
      <c r="AC784" s="4"/>
      <c r="AD784" s="4"/>
      <c r="AE784" s="4"/>
      <c r="AF784" s="4"/>
      <c r="AG784" s="49"/>
      <c r="AH784" s="4"/>
      <c r="AI784" s="4"/>
      <c r="AJ784" s="4"/>
      <c r="AK784" s="4"/>
      <c r="AL784" s="4"/>
      <c r="AM784" s="4"/>
      <c r="AN784" s="44"/>
      <c r="AO784" s="8"/>
      <c r="AP784" s="8"/>
      <c r="AQ784" s="8"/>
      <c r="AR784" s="8"/>
      <c r="AS784" s="8"/>
      <c r="AT784" s="8"/>
      <c r="AU784" s="8"/>
      <c r="AV784" s="46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4"/>
      <c r="BX784" s="4"/>
    </row>
    <row r="785" spans="1:76" s="16" customFormat="1" x14ac:dyDescent="0.25">
      <c r="A785" s="26"/>
      <c r="B785" s="6"/>
      <c r="C785" s="7"/>
      <c r="D785" s="7"/>
      <c r="E785" s="7"/>
      <c r="F785" s="7"/>
      <c r="G785" s="7"/>
      <c r="H785" s="7"/>
      <c r="I785" s="4"/>
      <c r="J785" s="7"/>
      <c r="K785" s="7"/>
      <c r="L785" s="7"/>
      <c r="M785" s="7"/>
      <c r="N785" s="4"/>
      <c r="O785" s="4"/>
      <c r="P785" s="4"/>
      <c r="Q785" s="4"/>
      <c r="R785" s="4"/>
      <c r="S785" s="7"/>
      <c r="T785" s="7"/>
      <c r="U785" s="7"/>
      <c r="V785" s="7"/>
      <c r="W785" s="7"/>
      <c r="X785" s="7"/>
      <c r="Y785" s="4"/>
      <c r="Z785" s="4"/>
      <c r="AA785" s="4"/>
      <c r="AB785" s="4"/>
      <c r="AC785" s="4"/>
      <c r="AD785" s="4"/>
      <c r="AE785" s="4"/>
      <c r="AF785" s="4"/>
      <c r="AG785" s="49"/>
      <c r="AH785" s="4"/>
      <c r="AI785" s="4"/>
      <c r="AJ785" s="4"/>
      <c r="AK785" s="4"/>
      <c r="AL785" s="4"/>
      <c r="AM785" s="4"/>
      <c r="AN785" s="44"/>
      <c r="AO785" s="8"/>
      <c r="AP785" s="8"/>
      <c r="AQ785" s="8"/>
      <c r="AR785" s="8"/>
      <c r="AS785" s="8"/>
      <c r="AT785" s="8"/>
      <c r="AU785" s="8"/>
      <c r="AV785" s="46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4"/>
      <c r="BX785" s="4"/>
    </row>
    <row r="786" spans="1:76" s="16" customFormat="1" x14ac:dyDescent="0.25">
      <c r="A786" s="26"/>
      <c r="B786" s="6"/>
      <c r="C786" s="7"/>
      <c r="D786" s="7"/>
      <c r="E786" s="7"/>
      <c r="F786" s="7"/>
      <c r="G786" s="7"/>
      <c r="H786" s="7"/>
      <c r="I786" s="4"/>
      <c r="J786" s="7"/>
      <c r="K786" s="7"/>
      <c r="L786" s="7"/>
      <c r="M786" s="7"/>
      <c r="N786" s="4"/>
      <c r="O786" s="4"/>
      <c r="P786" s="4"/>
      <c r="Q786" s="4"/>
      <c r="R786" s="4"/>
      <c r="S786" s="7"/>
      <c r="T786" s="7"/>
      <c r="U786" s="7"/>
      <c r="V786" s="7"/>
      <c r="W786" s="7"/>
      <c r="X786" s="7"/>
      <c r="Y786" s="4"/>
      <c r="Z786" s="4"/>
      <c r="AA786" s="4"/>
      <c r="AB786" s="4"/>
      <c r="AC786" s="4"/>
      <c r="AD786" s="4"/>
      <c r="AE786" s="4"/>
      <c r="AF786" s="4"/>
      <c r="AG786" s="49"/>
      <c r="AH786" s="4"/>
      <c r="AI786" s="4"/>
      <c r="AJ786" s="4"/>
      <c r="AK786" s="4"/>
      <c r="AL786" s="4"/>
      <c r="AM786" s="4"/>
      <c r="AN786" s="44"/>
      <c r="AO786" s="8"/>
      <c r="AP786" s="8"/>
      <c r="AQ786" s="8"/>
      <c r="AR786" s="8"/>
      <c r="AS786" s="8"/>
      <c r="AT786" s="8"/>
      <c r="AU786" s="8"/>
      <c r="AV786" s="46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4"/>
      <c r="BX786" s="4"/>
    </row>
    <row r="787" spans="1:76" s="16" customFormat="1" x14ac:dyDescent="0.25">
      <c r="A787" s="26"/>
      <c r="B787" s="6"/>
      <c r="C787" s="7"/>
      <c r="D787" s="7"/>
      <c r="E787" s="7"/>
      <c r="F787" s="7"/>
      <c r="G787" s="7"/>
      <c r="H787" s="7"/>
      <c r="I787" s="4"/>
      <c r="J787" s="7"/>
      <c r="K787" s="7"/>
      <c r="L787" s="7"/>
      <c r="M787" s="7"/>
      <c r="N787" s="4"/>
      <c r="O787" s="4"/>
      <c r="P787" s="4"/>
      <c r="Q787" s="4"/>
      <c r="R787" s="4"/>
      <c r="S787" s="7"/>
      <c r="T787" s="7"/>
      <c r="U787" s="7"/>
      <c r="V787" s="7"/>
      <c r="W787" s="7"/>
      <c r="X787" s="7"/>
      <c r="Y787" s="4"/>
      <c r="Z787" s="4"/>
      <c r="AA787" s="4"/>
      <c r="AB787" s="4"/>
      <c r="AC787" s="4"/>
      <c r="AD787" s="4"/>
      <c r="AE787" s="4"/>
      <c r="AF787" s="4"/>
      <c r="AG787" s="49"/>
      <c r="AH787" s="4"/>
      <c r="AI787" s="4"/>
      <c r="AJ787" s="4"/>
      <c r="AK787" s="4"/>
      <c r="AL787" s="4"/>
      <c r="AM787" s="4"/>
      <c r="AN787" s="44"/>
      <c r="AO787" s="8"/>
      <c r="AP787" s="8"/>
      <c r="AQ787" s="8"/>
      <c r="AR787" s="8"/>
      <c r="AS787" s="8"/>
      <c r="AT787" s="8"/>
      <c r="AU787" s="8"/>
      <c r="AV787" s="46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4"/>
      <c r="BX787" s="4"/>
    </row>
    <row r="788" spans="1:76" s="16" customFormat="1" x14ac:dyDescent="0.25">
      <c r="A788" s="26"/>
      <c r="B788" s="6"/>
      <c r="C788" s="7"/>
      <c r="D788" s="7"/>
      <c r="E788" s="7"/>
      <c r="F788" s="7"/>
      <c r="G788" s="7"/>
      <c r="H788" s="7"/>
      <c r="I788" s="4"/>
      <c r="J788" s="7"/>
      <c r="K788" s="7"/>
      <c r="L788" s="7"/>
      <c r="M788" s="7"/>
      <c r="N788" s="4"/>
      <c r="O788" s="4"/>
      <c r="P788" s="4"/>
      <c r="Q788" s="4"/>
      <c r="R788" s="4"/>
      <c r="S788" s="7"/>
      <c r="T788" s="7"/>
      <c r="U788" s="7"/>
      <c r="V788" s="7"/>
      <c r="W788" s="7"/>
      <c r="X788" s="7"/>
      <c r="Y788" s="4"/>
      <c r="Z788" s="4"/>
      <c r="AA788" s="4"/>
      <c r="AB788" s="4"/>
      <c r="AC788" s="4"/>
      <c r="AD788" s="4"/>
      <c r="AE788" s="4"/>
      <c r="AF788" s="4"/>
      <c r="AG788" s="49"/>
      <c r="AH788" s="4"/>
      <c r="AI788" s="4"/>
      <c r="AJ788" s="4"/>
      <c r="AK788" s="4"/>
      <c r="AL788" s="4"/>
      <c r="AM788" s="4"/>
      <c r="AN788" s="44"/>
      <c r="AO788" s="8"/>
      <c r="AP788" s="8"/>
      <c r="AQ788" s="8"/>
      <c r="AR788" s="8"/>
      <c r="AS788" s="8"/>
      <c r="AT788" s="8"/>
      <c r="AU788" s="8"/>
      <c r="AV788" s="46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4"/>
      <c r="BX788" s="4"/>
    </row>
    <row r="789" spans="1:76" s="16" customFormat="1" x14ac:dyDescent="0.25">
      <c r="A789" s="26"/>
      <c r="B789" s="6"/>
      <c r="C789" s="7"/>
      <c r="D789" s="7"/>
      <c r="E789" s="7"/>
      <c r="F789" s="7"/>
      <c r="G789" s="7"/>
      <c r="H789" s="7"/>
      <c r="I789" s="4"/>
      <c r="J789" s="7"/>
      <c r="K789" s="7"/>
      <c r="L789" s="7"/>
      <c r="M789" s="7"/>
      <c r="N789" s="4"/>
      <c r="O789" s="4"/>
      <c r="P789" s="4"/>
      <c r="Q789" s="4"/>
      <c r="R789" s="4"/>
      <c r="S789" s="7"/>
      <c r="T789" s="7"/>
      <c r="U789" s="7"/>
      <c r="V789" s="7"/>
      <c r="W789" s="7"/>
      <c r="X789" s="7"/>
      <c r="Y789" s="4"/>
      <c r="Z789" s="4"/>
      <c r="AA789" s="4"/>
      <c r="AB789" s="4"/>
      <c r="AC789" s="4"/>
      <c r="AD789" s="4"/>
      <c r="AE789" s="4"/>
      <c r="AF789" s="4"/>
      <c r="AG789" s="49"/>
      <c r="AH789" s="4"/>
      <c r="AI789" s="4"/>
      <c r="AJ789" s="4"/>
      <c r="AK789" s="4"/>
      <c r="AL789" s="4"/>
      <c r="AM789" s="4"/>
      <c r="AN789" s="44"/>
      <c r="AO789" s="8"/>
      <c r="AP789" s="8"/>
      <c r="AQ789" s="8"/>
      <c r="AR789" s="8"/>
      <c r="AS789" s="8"/>
      <c r="AT789" s="8"/>
      <c r="AU789" s="8"/>
      <c r="AV789" s="46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4"/>
      <c r="BX789" s="4"/>
    </row>
    <row r="790" spans="1:76" s="16" customFormat="1" x14ac:dyDescent="0.25">
      <c r="A790" s="26"/>
      <c r="B790" s="6"/>
      <c r="C790" s="7"/>
      <c r="D790" s="7"/>
      <c r="E790" s="7"/>
      <c r="F790" s="7"/>
      <c r="G790" s="7"/>
      <c r="H790" s="7"/>
      <c r="I790" s="4"/>
      <c r="J790" s="7"/>
      <c r="K790" s="7"/>
      <c r="L790" s="7"/>
      <c r="M790" s="7"/>
      <c r="N790" s="4"/>
      <c r="O790" s="4"/>
      <c r="P790" s="4"/>
      <c r="Q790" s="4"/>
      <c r="R790" s="4"/>
      <c r="S790" s="7"/>
      <c r="T790" s="7"/>
      <c r="U790" s="7"/>
      <c r="V790" s="7"/>
      <c r="W790" s="7"/>
      <c r="X790" s="7"/>
      <c r="Y790" s="4"/>
      <c r="Z790" s="4"/>
      <c r="AA790" s="4"/>
      <c r="AB790" s="4"/>
      <c r="AC790" s="4"/>
      <c r="AD790" s="4"/>
      <c r="AE790" s="4"/>
      <c r="AF790" s="4"/>
      <c r="AG790" s="49"/>
      <c r="AH790" s="4"/>
      <c r="AI790" s="4"/>
      <c r="AJ790" s="4"/>
      <c r="AK790" s="4"/>
      <c r="AL790" s="4"/>
      <c r="AM790" s="4"/>
      <c r="AN790" s="44"/>
      <c r="AO790" s="8"/>
      <c r="AP790" s="8"/>
      <c r="AQ790" s="8"/>
      <c r="AR790" s="8"/>
      <c r="AS790" s="8"/>
      <c r="AT790" s="8"/>
      <c r="AU790" s="8"/>
      <c r="AV790" s="46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4"/>
      <c r="BX790" s="4"/>
    </row>
    <row r="791" spans="1:76" s="16" customFormat="1" x14ac:dyDescent="0.25">
      <c r="A791" s="26"/>
      <c r="B791" s="6"/>
      <c r="C791" s="7"/>
      <c r="D791" s="7"/>
      <c r="E791" s="7"/>
      <c r="F791" s="7"/>
      <c r="G791" s="7"/>
      <c r="H791" s="7"/>
      <c r="I791" s="4"/>
      <c r="J791" s="7"/>
      <c r="K791" s="7"/>
      <c r="L791" s="7"/>
      <c r="M791" s="7"/>
      <c r="N791" s="4"/>
      <c r="O791" s="4"/>
      <c r="P791" s="4"/>
      <c r="Q791" s="4"/>
      <c r="R791" s="4"/>
      <c r="S791" s="7"/>
      <c r="T791" s="7"/>
      <c r="U791" s="7"/>
      <c r="V791" s="7"/>
      <c r="W791" s="7"/>
      <c r="X791" s="7"/>
      <c r="Y791" s="4"/>
      <c r="Z791" s="4"/>
      <c r="AA791" s="4"/>
      <c r="AB791" s="4"/>
      <c r="AC791" s="4"/>
      <c r="AD791" s="4"/>
      <c r="AE791" s="4"/>
      <c r="AF791" s="4"/>
      <c r="AG791" s="49"/>
      <c r="AH791" s="4"/>
      <c r="AI791" s="4"/>
      <c r="AJ791" s="4"/>
      <c r="AK791" s="4"/>
      <c r="AL791" s="4"/>
      <c r="AM791" s="4"/>
      <c r="AN791" s="44"/>
      <c r="AO791" s="8"/>
      <c r="AP791" s="8"/>
      <c r="AQ791" s="8"/>
      <c r="AR791" s="8"/>
      <c r="AS791" s="8"/>
      <c r="AT791" s="8"/>
      <c r="AU791" s="8"/>
      <c r="AV791" s="46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4"/>
      <c r="BX791" s="4"/>
    </row>
    <row r="792" spans="1:76" s="16" customFormat="1" x14ac:dyDescent="0.25">
      <c r="A792" s="26"/>
      <c r="B792" s="6"/>
      <c r="C792" s="7"/>
      <c r="D792" s="7"/>
      <c r="E792" s="7"/>
      <c r="F792" s="7"/>
      <c r="G792" s="7"/>
      <c r="H792" s="7"/>
      <c r="I792" s="4"/>
      <c r="J792" s="7"/>
      <c r="K792" s="7"/>
      <c r="L792" s="7"/>
      <c r="M792" s="7"/>
      <c r="N792" s="4"/>
      <c r="O792" s="4"/>
      <c r="P792" s="4"/>
      <c r="Q792" s="4"/>
      <c r="R792" s="4"/>
      <c r="S792" s="7"/>
      <c r="T792" s="7"/>
      <c r="U792" s="7"/>
      <c r="V792" s="7"/>
      <c r="W792" s="7"/>
      <c r="X792" s="7"/>
      <c r="Y792" s="4"/>
      <c r="Z792" s="4"/>
      <c r="AA792" s="4"/>
      <c r="AB792" s="4"/>
      <c r="AC792" s="4"/>
      <c r="AD792" s="4"/>
      <c r="AE792" s="4"/>
      <c r="AF792" s="4"/>
      <c r="AG792" s="49"/>
      <c r="AH792" s="4"/>
      <c r="AI792" s="4"/>
      <c r="AJ792" s="4"/>
      <c r="AK792" s="4"/>
      <c r="AL792" s="4"/>
      <c r="AM792" s="4"/>
      <c r="AN792" s="44"/>
      <c r="AO792" s="8"/>
      <c r="AP792" s="8"/>
      <c r="AQ792" s="8"/>
      <c r="AR792" s="8"/>
      <c r="AS792" s="8"/>
      <c r="AT792" s="8"/>
      <c r="AU792" s="8"/>
      <c r="AV792" s="46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4"/>
      <c r="BX792" s="4"/>
    </row>
    <row r="793" spans="1:76" s="16" customFormat="1" x14ac:dyDescent="0.25">
      <c r="A793" s="26"/>
      <c r="B793" s="6"/>
      <c r="C793" s="7"/>
      <c r="D793" s="7"/>
      <c r="E793" s="7"/>
      <c r="F793" s="7"/>
      <c r="G793" s="7"/>
      <c r="H793" s="7"/>
      <c r="I793" s="4"/>
      <c r="J793" s="7"/>
      <c r="K793" s="7"/>
      <c r="L793" s="7"/>
      <c r="M793" s="7"/>
      <c r="N793" s="4"/>
      <c r="O793" s="4"/>
      <c r="P793" s="4"/>
      <c r="Q793" s="4"/>
      <c r="R793" s="4"/>
      <c r="S793" s="7"/>
      <c r="T793" s="7"/>
      <c r="U793" s="7"/>
      <c r="V793" s="7"/>
      <c r="W793" s="7"/>
      <c r="X793" s="7"/>
      <c r="Y793" s="4"/>
      <c r="Z793" s="4"/>
      <c r="AA793" s="4"/>
      <c r="AB793" s="4"/>
      <c r="AC793" s="4"/>
      <c r="AD793" s="4"/>
      <c r="AE793" s="4"/>
      <c r="AF793" s="4"/>
      <c r="AG793" s="49"/>
      <c r="AH793" s="4"/>
      <c r="AI793" s="4"/>
      <c r="AJ793" s="4"/>
      <c r="AK793" s="4"/>
      <c r="AL793" s="4"/>
      <c r="AM793" s="4"/>
      <c r="AN793" s="44"/>
      <c r="AO793" s="8"/>
      <c r="AP793" s="8"/>
      <c r="AQ793" s="8"/>
      <c r="AR793" s="8"/>
      <c r="AS793" s="8"/>
      <c r="AT793" s="8"/>
      <c r="AU793" s="8"/>
      <c r="AV793" s="46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4"/>
      <c r="BX793" s="4"/>
    </row>
    <row r="794" spans="1:76" s="16" customFormat="1" x14ac:dyDescent="0.25">
      <c r="A794" s="26"/>
      <c r="B794" s="6"/>
      <c r="C794" s="7"/>
      <c r="D794" s="7"/>
      <c r="E794" s="7"/>
      <c r="F794" s="7"/>
      <c r="G794" s="7"/>
      <c r="H794" s="7"/>
      <c r="I794" s="4"/>
      <c r="J794" s="7"/>
      <c r="K794" s="7"/>
      <c r="L794" s="7"/>
      <c r="M794" s="7"/>
      <c r="N794" s="4"/>
      <c r="O794" s="4"/>
      <c r="P794" s="4"/>
      <c r="Q794" s="4"/>
      <c r="R794" s="4"/>
      <c r="S794" s="7"/>
      <c r="T794" s="7"/>
      <c r="U794" s="7"/>
      <c r="V794" s="7"/>
      <c r="W794" s="7"/>
      <c r="X794" s="7"/>
      <c r="Y794" s="4"/>
      <c r="Z794" s="4"/>
      <c r="AA794" s="4"/>
      <c r="AB794" s="4"/>
      <c r="AC794" s="4"/>
      <c r="AD794" s="4"/>
      <c r="AE794" s="4"/>
      <c r="AF794" s="4"/>
      <c r="AG794" s="49"/>
      <c r="AH794" s="4"/>
      <c r="AI794" s="4"/>
      <c r="AJ794" s="4"/>
      <c r="AK794" s="4"/>
      <c r="AL794" s="4"/>
      <c r="AM794" s="4"/>
      <c r="AN794" s="44"/>
      <c r="AO794" s="8"/>
      <c r="AP794" s="8"/>
      <c r="AQ794" s="8"/>
      <c r="AR794" s="8"/>
      <c r="AS794" s="8"/>
      <c r="AT794" s="8"/>
      <c r="AU794" s="8"/>
      <c r="AV794" s="46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4"/>
      <c r="BX794" s="4"/>
    </row>
    <row r="795" spans="1:76" s="16" customFormat="1" x14ac:dyDescent="0.25">
      <c r="A795" s="26"/>
      <c r="B795" s="6"/>
      <c r="C795" s="7"/>
      <c r="D795" s="7"/>
      <c r="E795" s="7"/>
      <c r="F795" s="7"/>
      <c r="G795" s="7"/>
      <c r="H795" s="7"/>
      <c r="I795" s="4"/>
      <c r="J795" s="7"/>
      <c r="K795" s="7"/>
      <c r="L795" s="7"/>
      <c r="M795" s="7"/>
      <c r="N795" s="4"/>
      <c r="O795" s="4"/>
      <c r="P795" s="4"/>
      <c r="Q795" s="4"/>
      <c r="R795" s="4"/>
      <c r="S795" s="7"/>
      <c r="T795" s="7"/>
      <c r="U795" s="7"/>
      <c r="V795" s="7"/>
      <c r="W795" s="7"/>
      <c r="X795" s="7"/>
      <c r="Y795" s="4"/>
      <c r="Z795" s="4"/>
      <c r="AA795" s="4"/>
      <c r="AB795" s="4"/>
      <c r="AC795" s="4"/>
      <c r="AD795" s="4"/>
      <c r="AE795" s="4"/>
      <c r="AF795" s="4"/>
      <c r="AG795" s="49"/>
      <c r="AH795" s="4"/>
      <c r="AI795" s="4"/>
      <c r="AJ795" s="4"/>
      <c r="AK795" s="4"/>
      <c r="AL795" s="4"/>
      <c r="AM795" s="4"/>
      <c r="AN795" s="44"/>
      <c r="AO795" s="8"/>
      <c r="AP795" s="8"/>
      <c r="AQ795" s="8"/>
      <c r="AR795" s="8"/>
      <c r="AS795" s="8"/>
      <c r="AT795" s="8"/>
      <c r="AU795" s="8"/>
      <c r="AV795" s="46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4"/>
      <c r="BX795" s="4"/>
    </row>
    <row r="796" spans="1:76" s="16" customFormat="1" x14ac:dyDescent="0.25">
      <c r="A796" s="26"/>
      <c r="B796" s="6"/>
      <c r="C796" s="7"/>
      <c r="D796" s="7"/>
      <c r="E796" s="7"/>
      <c r="F796" s="7"/>
      <c r="G796" s="7"/>
      <c r="H796" s="7"/>
      <c r="I796" s="4"/>
      <c r="J796" s="7"/>
      <c r="K796" s="7"/>
      <c r="L796" s="7"/>
      <c r="M796" s="7"/>
      <c r="N796" s="4"/>
      <c r="O796" s="4"/>
      <c r="P796" s="4"/>
      <c r="Q796" s="4"/>
      <c r="R796" s="4"/>
      <c r="S796" s="7"/>
      <c r="T796" s="7"/>
      <c r="U796" s="7"/>
      <c r="V796" s="7"/>
      <c r="W796" s="7"/>
      <c r="X796" s="7"/>
      <c r="Y796" s="4"/>
      <c r="Z796" s="4"/>
      <c r="AA796" s="4"/>
      <c r="AB796" s="4"/>
      <c r="AC796" s="4"/>
      <c r="AD796" s="4"/>
      <c r="AE796" s="4"/>
      <c r="AF796" s="4"/>
      <c r="AG796" s="49"/>
      <c r="AH796" s="4"/>
      <c r="AI796" s="4"/>
      <c r="AJ796" s="4"/>
      <c r="AK796" s="4"/>
      <c r="AL796" s="4"/>
      <c r="AM796" s="4"/>
      <c r="AN796" s="44"/>
      <c r="AO796" s="8"/>
      <c r="AP796" s="8"/>
      <c r="AQ796" s="8"/>
      <c r="AR796" s="8"/>
      <c r="AS796" s="8"/>
      <c r="AT796" s="8"/>
      <c r="AU796" s="8"/>
      <c r="AV796" s="46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4"/>
      <c r="BX796" s="4"/>
    </row>
    <row r="797" spans="1:76" s="16" customFormat="1" x14ac:dyDescent="0.25">
      <c r="A797" s="26"/>
      <c r="B797" s="6"/>
      <c r="C797" s="7"/>
      <c r="D797" s="7"/>
      <c r="E797" s="7"/>
      <c r="F797" s="7"/>
      <c r="G797" s="7"/>
      <c r="H797" s="7"/>
      <c r="I797" s="4"/>
      <c r="J797" s="7"/>
      <c r="K797" s="7"/>
      <c r="L797" s="7"/>
      <c r="M797" s="7"/>
      <c r="N797" s="4"/>
      <c r="O797" s="4"/>
      <c r="P797" s="4"/>
      <c r="Q797" s="4"/>
      <c r="R797" s="4"/>
      <c r="S797" s="7"/>
      <c r="T797" s="7"/>
      <c r="U797" s="7"/>
      <c r="V797" s="7"/>
      <c r="W797" s="7"/>
      <c r="X797" s="7"/>
      <c r="Y797" s="4"/>
      <c r="Z797" s="4"/>
      <c r="AA797" s="4"/>
      <c r="AB797" s="4"/>
      <c r="AC797" s="4"/>
      <c r="AD797" s="4"/>
      <c r="AE797" s="4"/>
      <c r="AF797" s="4"/>
      <c r="AG797" s="49"/>
      <c r="AH797" s="4"/>
      <c r="AI797" s="4"/>
      <c r="AJ797" s="4"/>
      <c r="AK797" s="4"/>
      <c r="AL797" s="4"/>
      <c r="AM797" s="4"/>
      <c r="AN797" s="44"/>
      <c r="AO797" s="8"/>
      <c r="AP797" s="8"/>
      <c r="AQ797" s="8"/>
      <c r="AR797" s="8"/>
      <c r="AS797" s="8"/>
      <c r="AT797" s="8"/>
      <c r="AU797" s="8"/>
      <c r="AV797" s="46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4"/>
      <c r="BX797" s="4"/>
    </row>
    <row r="798" spans="1:76" s="16" customFormat="1" x14ac:dyDescent="0.25">
      <c r="A798" s="26"/>
      <c r="B798" s="6"/>
      <c r="C798" s="7"/>
      <c r="D798" s="7"/>
      <c r="E798" s="7"/>
      <c r="F798" s="7"/>
      <c r="G798" s="7"/>
      <c r="H798" s="7"/>
      <c r="I798" s="4"/>
      <c r="J798" s="7"/>
      <c r="K798" s="7"/>
      <c r="L798" s="7"/>
      <c r="M798" s="7"/>
      <c r="N798" s="4"/>
      <c r="O798" s="4"/>
      <c r="P798" s="4"/>
      <c r="Q798" s="4"/>
      <c r="R798" s="4"/>
      <c r="S798" s="7"/>
      <c r="T798" s="7"/>
      <c r="U798" s="7"/>
      <c r="V798" s="7"/>
      <c r="W798" s="7"/>
      <c r="X798" s="7"/>
      <c r="Y798" s="4"/>
      <c r="Z798" s="4"/>
      <c r="AA798" s="4"/>
      <c r="AB798" s="4"/>
      <c r="AC798" s="4"/>
      <c r="AD798" s="4"/>
      <c r="AE798" s="4"/>
      <c r="AF798" s="4"/>
      <c r="AG798" s="49"/>
      <c r="AH798" s="4"/>
      <c r="AI798" s="4"/>
      <c r="AJ798" s="4"/>
      <c r="AK798" s="4"/>
      <c r="AL798" s="4"/>
      <c r="AM798" s="4"/>
      <c r="AN798" s="44"/>
      <c r="AO798" s="8"/>
      <c r="AP798" s="8"/>
      <c r="AQ798" s="8"/>
      <c r="AR798" s="8"/>
      <c r="AS798" s="8"/>
      <c r="AT798" s="8"/>
      <c r="AU798" s="8"/>
      <c r="AV798" s="46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4"/>
      <c r="BX798" s="4"/>
    </row>
    <row r="799" spans="1:76" s="16" customFormat="1" x14ac:dyDescent="0.25">
      <c r="A799" s="26"/>
      <c r="B799" s="6"/>
      <c r="C799" s="7"/>
      <c r="D799" s="7"/>
      <c r="E799" s="7"/>
      <c r="F799" s="7"/>
      <c r="G799" s="7"/>
      <c r="H799" s="7"/>
      <c r="I799" s="4"/>
      <c r="J799" s="7"/>
      <c r="K799" s="7"/>
      <c r="L799" s="7"/>
      <c r="M799" s="7"/>
      <c r="N799" s="4"/>
      <c r="O799" s="4"/>
      <c r="P799" s="4"/>
      <c r="Q799" s="4"/>
      <c r="R799" s="4"/>
      <c r="S799" s="7"/>
      <c r="T799" s="7"/>
      <c r="U799" s="7"/>
      <c r="V799" s="7"/>
      <c r="W799" s="7"/>
      <c r="X799" s="7"/>
      <c r="Y799" s="4"/>
      <c r="Z799" s="4"/>
      <c r="AA799" s="4"/>
      <c r="AB799" s="4"/>
      <c r="AC799" s="4"/>
      <c r="AD799" s="4"/>
      <c r="AE799" s="4"/>
      <c r="AF799" s="4"/>
      <c r="AG799" s="49"/>
      <c r="AH799" s="4"/>
      <c r="AI799" s="4"/>
      <c r="AJ799" s="4"/>
      <c r="AK799" s="4"/>
      <c r="AL799" s="4"/>
      <c r="AM799" s="4"/>
      <c r="AN799" s="44"/>
      <c r="AO799" s="8"/>
      <c r="AP799" s="8"/>
      <c r="AQ799" s="8"/>
      <c r="AR799" s="8"/>
      <c r="AS799" s="8"/>
      <c r="AT799" s="8"/>
      <c r="AU799" s="8"/>
      <c r="AV799" s="46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4"/>
      <c r="BX799" s="4"/>
    </row>
    <row r="800" spans="1:76" s="16" customFormat="1" x14ac:dyDescent="0.25">
      <c r="A800" s="26"/>
      <c r="B800" s="6"/>
      <c r="C800" s="7"/>
      <c r="D800" s="7"/>
      <c r="E800" s="7"/>
      <c r="F800" s="7"/>
      <c r="G800" s="7"/>
      <c r="H800" s="7"/>
      <c r="I800" s="4"/>
      <c r="J800" s="7"/>
      <c r="K800" s="7"/>
      <c r="L800" s="7"/>
      <c r="M800" s="7"/>
      <c r="N800" s="4"/>
      <c r="O800" s="4"/>
      <c r="P800" s="4"/>
      <c r="Q800" s="4"/>
      <c r="R800" s="4"/>
      <c r="S800" s="7"/>
      <c r="T800" s="7"/>
      <c r="U800" s="7"/>
      <c r="V800" s="7"/>
      <c r="W800" s="7"/>
      <c r="X800" s="7"/>
      <c r="Y800" s="4"/>
      <c r="Z800" s="4"/>
      <c r="AA800" s="4"/>
      <c r="AB800" s="4"/>
      <c r="AC800" s="4"/>
      <c r="AD800" s="4"/>
      <c r="AE800" s="4"/>
      <c r="AF800" s="4"/>
      <c r="AG800" s="49"/>
      <c r="AH800" s="4"/>
      <c r="AI800" s="4"/>
      <c r="AJ800" s="4"/>
      <c r="AK800" s="4"/>
      <c r="AL800" s="4"/>
      <c r="AM800" s="4"/>
      <c r="AN800" s="44"/>
      <c r="AO800" s="8"/>
      <c r="AP800" s="8"/>
      <c r="AQ800" s="8"/>
      <c r="AR800" s="8"/>
      <c r="AS800" s="8"/>
      <c r="AT800" s="8"/>
      <c r="AU800" s="8"/>
      <c r="AV800" s="46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4"/>
      <c r="BX800" s="4"/>
    </row>
    <row r="801" spans="1:76" s="16" customFormat="1" x14ac:dyDescent="0.25">
      <c r="A801" s="26"/>
      <c r="B801" s="6"/>
      <c r="C801" s="7"/>
      <c r="D801" s="7"/>
      <c r="E801" s="7"/>
      <c r="F801" s="7"/>
      <c r="G801" s="7"/>
      <c r="H801" s="7"/>
      <c r="I801" s="4"/>
      <c r="J801" s="7"/>
      <c r="K801" s="7"/>
      <c r="L801" s="7"/>
      <c r="M801" s="7"/>
      <c r="N801" s="4"/>
      <c r="O801" s="4"/>
      <c r="P801" s="4"/>
      <c r="Q801" s="4"/>
      <c r="R801" s="4"/>
      <c r="S801" s="7"/>
      <c r="T801" s="7"/>
      <c r="U801" s="7"/>
      <c r="V801" s="7"/>
      <c r="W801" s="7"/>
      <c r="X801" s="7"/>
      <c r="Y801" s="4"/>
      <c r="Z801" s="4"/>
      <c r="AA801" s="4"/>
      <c r="AB801" s="4"/>
      <c r="AC801" s="4"/>
      <c r="AD801" s="4"/>
      <c r="AE801" s="4"/>
      <c r="AF801" s="4"/>
      <c r="AG801" s="49"/>
      <c r="AH801" s="4"/>
      <c r="AI801" s="4"/>
      <c r="AJ801" s="4"/>
      <c r="AK801" s="4"/>
      <c r="AL801" s="4"/>
      <c r="AM801" s="4"/>
      <c r="AN801" s="44"/>
      <c r="AO801" s="8"/>
      <c r="AP801" s="8"/>
      <c r="AQ801" s="8"/>
      <c r="AR801" s="8"/>
      <c r="AS801" s="8"/>
      <c r="AT801" s="8"/>
      <c r="AU801" s="8"/>
      <c r="AV801" s="46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4"/>
      <c r="BX801" s="4"/>
    </row>
    <row r="802" spans="1:76" s="16" customFormat="1" x14ac:dyDescent="0.25">
      <c r="A802" s="26"/>
      <c r="B802" s="6"/>
      <c r="C802" s="7"/>
      <c r="D802" s="7"/>
      <c r="E802" s="7"/>
      <c r="F802" s="7"/>
      <c r="G802" s="7"/>
      <c r="H802" s="7"/>
      <c r="I802" s="4"/>
      <c r="J802" s="7"/>
      <c r="K802" s="7"/>
      <c r="L802" s="7"/>
      <c r="M802" s="7"/>
      <c r="N802" s="4"/>
      <c r="O802" s="4"/>
      <c r="P802" s="4"/>
      <c r="Q802" s="4"/>
      <c r="R802" s="4"/>
      <c r="S802" s="7"/>
      <c r="T802" s="7"/>
      <c r="U802" s="7"/>
      <c r="V802" s="7"/>
      <c r="W802" s="7"/>
      <c r="X802" s="7"/>
      <c r="Y802" s="4"/>
      <c r="Z802" s="4"/>
      <c r="AA802" s="4"/>
      <c r="AB802" s="4"/>
      <c r="AC802" s="4"/>
      <c r="AD802" s="4"/>
      <c r="AE802" s="4"/>
      <c r="AF802" s="4"/>
      <c r="AG802" s="49"/>
      <c r="AH802" s="4"/>
      <c r="AI802" s="4"/>
      <c r="AJ802" s="4"/>
      <c r="AK802" s="4"/>
      <c r="AL802" s="4"/>
      <c r="AM802" s="4"/>
      <c r="AN802" s="44"/>
      <c r="AO802" s="8"/>
      <c r="AP802" s="8"/>
      <c r="AQ802" s="8"/>
      <c r="AR802" s="8"/>
      <c r="AS802" s="8"/>
      <c r="AT802" s="8"/>
      <c r="AU802" s="8"/>
      <c r="AV802" s="46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4"/>
      <c r="BX802" s="4"/>
    </row>
    <row r="803" spans="1:76" s="16" customFormat="1" x14ac:dyDescent="0.25">
      <c r="A803" s="26"/>
      <c r="B803" s="6"/>
      <c r="C803" s="7"/>
      <c r="D803" s="7"/>
      <c r="E803" s="7"/>
      <c r="F803" s="7"/>
      <c r="G803" s="7"/>
      <c r="H803" s="7"/>
      <c r="I803" s="4"/>
      <c r="J803" s="7"/>
      <c r="K803" s="7"/>
      <c r="L803" s="7"/>
      <c r="M803" s="7"/>
      <c r="N803" s="4"/>
      <c r="O803" s="4"/>
      <c r="P803" s="4"/>
      <c r="Q803" s="4"/>
      <c r="R803" s="4"/>
      <c r="S803" s="7"/>
      <c r="T803" s="7"/>
      <c r="U803" s="7"/>
      <c r="V803" s="7"/>
      <c r="W803" s="7"/>
      <c r="X803" s="7"/>
      <c r="Y803" s="4"/>
      <c r="Z803" s="4"/>
      <c r="AA803" s="4"/>
      <c r="AB803" s="4"/>
      <c r="AC803" s="4"/>
      <c r="AD803" s="4"/>
      <c r="AE803" s="4"/>
      <c r="AF803" s="4"/>
      <c r="AG803" s="49"/>
      <c r="AH803" s="4"/>
      <c r="AI803" s="4"/>
      <c r="AJ803" s="4"/>
      <c r="AK803" s="4"/>
      <c r="AL803" s="4"/>
      <c r="AM803" s="4"/>
      <c r="AN803" s="44"/>
      <c r="AO803" s="8"/>
      <c r="AP803" s="8"/>
      <c r="AQ803" s="8"/>
      <c r="AR803" s="8"/>
      <c r="AS803" s="8"/>
      <c r="AT803" s="8"/>
      <c r="AU803" s="8"/>
      <c r="AV803" s="46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4"/>
      <c r="BX803" s="4"/>
    </row>
    <row r="804" spans="1:76" s="16" customFormat="1" x14ac:dyDescent="0.25">
      <c r="A804" s="26"/>
      <c r="B804" s="6"/>
      <c r="C804" s="7"/>
      <c r="D804" s="7"/>
      <c r="E804" s="7"/>
      <c r="F804" s="7"/>
      <c r="G804" s="7"/>
      <c r="H804" s="7"/>
      <c r="I804" s="4"/>
      <c r="J804" s="7"/>
      <c r="K804" s="7"/>
      <c r="L804" s="7"/>
      <c r="M804" s="7"/>
      <c r="N804" s="4"/>
      <c r="O804" s="4"/>
      <c r="P804" s="4"/>
      <c r="Q804" s="4"/>
      <c r="R804" s="4"/>
      <c r="S804" s="7"/>
      <c r="T804" s="7"/>
      <c r="U804" s="7"/>
      <c r="V804" s="7"/>
      <c r="W804" s="7"/>
      <c r="X804" s="7"/>
      <c r="Y804" s="4"/>
      <c r="Z804" s="4"/>
      <c r="AA804" s="4"/>
      <c r="AB804" s="4"/>
      <c r="AC804" s="4"/>
      <c r="AD804" s="4"/>
      <c r="AE804" s="4"/>
      <c r="AF804" s="4"/>
      <c r="AG804" s="49"/>
      <c r="AH804" s="4"/>
      <c r="AI804" s="4"/>
      <c r="AJ804" s="4"/>
      <c r="AK804" s="4"/>
      <c r="AL804" s="4"/>
      <c r="AM804" s="4"/>
      <c r="AN804" s="44"/>
      <c r="AO804" s="8"/>
      <c r="AP804" s="8"/>
      <c r="AQ804" s="8"/>
      <c r="AR804" s="8"/>
      <c r="AS804" s="8"/>
      <c r="AT804" s="8"/>
      <c r="AU804" s="8"/>
      <c r="AV804" s="46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4"/>
      <c r="BX804" s="4"/>
    </row>
    <row r="805" spans="1:76" s="16" customFormat="1" x14ac:dyDescent="0.25">
      <c r="A805" s="26"/>
      <c r="B805" s="6"/>
      <c r="C805" s="7"/>
      <c r="D805" s="7"/>
      <c r="E805" s="7"/>
      <c r="F805" s="7"/>
      <c r="G805" s="7"/>
      <c r="H805" s="7"/>
      <c r="I805" s="4"/>
      <c r="J805" s="7"/>
      <c r="K805" s="7"/>
      <c r="L805" s="7"/>
      <c r="M805" s="7"/>
      <c r="N805" s="4"/>
      <c r="O805" s="4"/>
      <c r="P805" s="4"/>
      <c r="Q805" s="4"/>
      <c r="R805" s="4"/>
      <c r="S805" s="7"/>
      <c r="T805" s="7"/>
      <c r="U805" s="7"/>
      <c r="V805" s="7"/>
      <c r="W805" s="7"/>
      <c r="X805" s="7"/>
      <c r="Y805" s="4"/>
      <c r="Z805" s="4"/>
      <c r="AA805" s="4"/>
      <c r="AB805" s="4"/>
      <c r="AC805" s="4"/>
      <c r="AD805" s="4"/>
      <c r="AE805" s="4"/>
      <c r="AF805" s="4"/>
      <c r="AG805" s="49"/>
      <c r="AH805" s="4"/>
      <c r="AI805" s="4"/>
      <c r="AJ805" s="4"/>
      <c r="AK805" s="4"/>
      <c r="AL805" s="4"/>
      <c r="AM805" s="4"/>
      <c r="AN805" s="44"/>
      <c r="AO805" s="8"/>
      <c r="AP805" s="8"/>
      <c r="AQ805" s="8"/>
      <c r="AR805" s="8"/>
      <c r="AS805" s="8"/>
      <c r="AT805" s="8"/>
      <c r="AU805" s="8"/>
      <c r="AV805" s="46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4"/>
      <c r="BX805" s="4"/>
    </row>
    <row r="806" spans="1:76" s="16" customFormat="1" x14ac:dyDescent="0.25">
      <c r="A806" s="26"/>
      <c r="B806" s="6"/>
      <c r="C806" s="7"/>
      <c r="D806" s="7"/>
      <c r="E806" s="7"/>
      <c r="F806" s="7"/>
      <c r="G806" s="7"/>
      <c r="H806" s="7"/>
      <c r="I806" s="4"/>
      <c r="J806" s="7"/>
      <c r="K806" s="7"/>
      <c r="L806" s="7"/>
      <c r="M806" s="7"/>
      <c r="N806" s="4"/>
      <c r="O806" s="4"/>
      <c r="P806" s="4"/>
      <c r="Q806" s="4"/>
      <c r="R806" s="4"/>
      <c r="S806" s="7"/>
      <c r="T806" s="7"/>
      <c r="U806" s="7"/>
      <c r="V806" s="7"/>
      <c r="W806" s="7"/>
      <c r="X806" s="7"/>
      <c r="Y806" s="4"/>
      <c r="Z806" s="4"/>
      <c r="AA806" s="4"/>
      <c r="AB806" s="4"/>
      <c r="AC806" s="4"/>
      <c r="AD806" s="4"/>
      <c r="AE806" s="4"/>
      <c r="AF806" s="4"/>
      <c r="AG806" s="49"/>
      <c r="AH806" s="4"/>
      <c r="AI806" s="4"/>
      <c r="AJ806" s="4"/>
      <c r="AK806" s="4"/>
      <c r="AL806" s="4"/>
      <c r="AM806" s="4"/>
      <c r="AN806" s="44"/>
      <c r="AO806" s="8"/>
      <c r="AP806" s="8"/>
      <c r="AQ806" s="8"/>
      <c r="AR806" s="8"/>
      <c r="AS806" s="8"/>
      <c r="AT806" s="8"/>
      <c r="AU806" s="8"/>
      <c r="AV806" s="46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4"/>
      <c r="BX806" s="4"/>
    </row>
    <row r="807" spans="1:76" s="16" customFormat="1" x14ac:dyDescent="0.25">
      <c r="A807" s="26"/>
      <c r="B807" s="6"/>
      <c r="C807" s="7"/>
      <c r="D807" s="7"/>
      <c r="E807" s="7"/>
      <c r="F807" s="7"/>
      <c r="G807" s="7"/>
      <c r="H807" s="7"/>
      <c r="I807" s="4"/>
      <c r="J807" s="7"/>
      <c r="K807" s="7"/>
      <c r="L807" s="7"/>
      <c r="M807" s="7"/>
      <c r="N807" s="4"/>
      <c r="O807" s="4"/>
      <c r="P807" s="4"/>
      <c r="Q807" s="4"/>
      <c r="R807" s="4"/>
      <c r="S807" s="7"/>
      <c r="T807" s="7"/>
      <c r="U807" s="7"/>
      <c r="V807" s="7"/>
      <c r="W807" s="7"/>
      <c r="X807" s="7"/>
      <c r="Y807" s="4"/>
      <c r="Z807" s="4"/>
      <c r="AA807" s="4"/>
      <c r="AB807" s="4"/>
      <c r="AC807" s="4"/>
      <c r="AD807" s="4"/>
      <c r="AE807" s="4"/>
      <c r="AF807" s="4"/>
      <c r="AG807" s="49"/>
      <c r="AH807" s="4"/>
      <c r="AI807" s="4"/>
      <c r="AJ807" s="4"/>
      <c r="AK807" s="4"/>
      <c r="AL807" s="4"/>
      <c r="AM807" s="4"/>
      <c r="AN807" s="44"/>
      <c r="AO807" s="8"/>
      <c r="AP807" s="8"/>
      <c r="AQ807" s="8"/>
      <c r="AR807" s="8"/>
      <c r="AS807" s="8"/>
      <c r="AT807" s="8"/>
      <c r="AU807" s="8"/>
      <c r="AV807" s="46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4"/>
      <c r="BX807" s="4"/>
    </row>
    <row r="808" spans="1:76" s="16" customFormat="1" x14ac:dyDescent="0.25">
      <c r="A808" s="26"/>
      <c r="B808" s="6"/>
      <c r="C808" s="7"/>
      <c r="D808" s="7"/>
      <c r="E808" s="7"/>
      <c r="F808" s="7"/>
      <c r="G808" s="7"/>
      <c r="H808" s="7"/>
      <c r="I808" s="4"/>
      <c r="J808" s="7"/>
      <c r="K808" s="7"/>
      <c r="L808" s="7"/>
      <c r="M808" s="7"/>
      <c r="N808" s="4"/>
      <c r="O808" s="4"/>
      <c r="P808" s="4"/>
      <c r="Q808" s="4"/>
      <c r="R808" s="4"/>
      <c r="S808" s="7"/>
      <c r="T808" s="7"/>
      <c r="U808" s="7"/>
      <c r="V808" s="7"/>
      <c r="W808" s="7"/>
      <c r="X808" s="7"/>
      <c r="Y808" s="4"/>
      <c r="Z808" s="4"/>
      <c r="AA808" s="4"/>
      <c r="AB808" s="4"/>
      <c r="AC808" s="4"/>
      <c r="AD808" s="4"/>
      <c r="AE808" s="4"/>
      <c r="AF808" s="4"/>
      <c r="AG808" s="49"/>
      <c r="AH808" s="4"/>
      <c r="AI808" s="4"/>
      <c r="AJ808" s="4"/>
      <c r="AK808" s="4"/>
      <c r="AL808" s="4"/>
      <c r="AM808" s="4"/>
      <c r="AN808" s="44"/>
      <c r="AO808" s="8"/>
      <c r="AP808" s="8"/>
      <c r="AQ808" s="8"/>
      <c r="AR808" s="8"/>
      <c r="AS808" s="8"/>
      <c r="AT808" s="8"/>
      <c r="AU808" s="8"/>
      <c r="AV808" s="46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4"/>
      <c r="BX808" s="4"/>
    </row>
    <row r="809" spans="1:76" s="16" customFormat="1" x14ac:dyDescent="0.25">
      <c r="A809" s="26"/>
      <c r="B809" s="6"/>
      <c r="C809" s="7"/>
      <c r="D809" s="7"/>
      <c r="E809" s="7"/>
      <c r="F809" s="7"/>
      <c r="G809" s="7"/>
      <c r="H809" s="7"/>
      <c r="I809" s="4"/>
      <c r="J809" s="7"/>
      <c r="K809" s="7"/>
      <c r="L809" s="7"/>
      <c r="M809" s="7"/>
      <c r="N809" s="4"/>
      <c r="O809" s="4"/>
      <c r="P809" s="4"/>
      <c r="Q809" s="4"/>
      <c r="R809" s="4"/>
      <c r="S809" s="7"/>
      <c r="T809" s="7"/>
      <c r="U809" s="7"/>
      <c r="V809" s="7"/>
      <c r="W809" s="7"/>
      <c r="X809" s="7"/>
      <c r="Y809" s="4"/>
      <c r="Z809" s="4"/>
      <c r="AA809" s="4"/>
      <c r="AB809" s="4"/>
      <c r="AC809" s="4"/>
      <c r="AD809" s="4"/>
      <c r="AE809" s="4"/>
      <c r="AF809" s="4"/>
      <c r="AG809" s="49"/>
      <c r="AH809" s="4"/>
      <c r="AI809" s="4"/>
      <c r="AJ809" s="4"/>
      <c r="AK809" s="4"/>
      <c r="AL809" s="4"/>
      <c r="AM809" s="4"/>
      <c r="AN809" s="44"/>
      <c r="AO809" s="8"/>
      <c r="AP809" s="8"/>
      <c r="AQ809" s="8"/>
      <c r="AR809" s="8"/>
      <c r="AS809" s="8"/>
      <c r="AT809" s="8"/>
      <c r="AU809" s="8"/>
      <c r="AV809" s="46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4"/>
      <c r="BX809" s="4"/>
    </row>
    <row r="810" spans="1:76" s="16" customFormat="1" x14ac:dyDescent="0.25">
      <c r="A810" s="26"/>
      <c r="B810" s="6"/>
      <c r="C810" s="7"/>
      <c r="D810" s="7"/>
      <c r="E810" s="7"/>
      <c r="F810" s="7"/>
      <c r="G810" s="7"/>
      <c r="H810" s="7"/>
      <c r="I810" s="4"/>
      <c r="J810" s="7"/>
      <c r="K810" s="7"/>
      <c r="L810" s="7"/>
      <c r="M810" s="7"/>
      <c r="N810" s="4"/>
      <c r="O810" s="4"/>
      <c r="P810" s="4"/>
      <c r="Q810" s="4"/>
      <c r="R810" s="4"/>
      <c r="S810" s="7"/>
      <c r="T810" s="7"/>
      <c r="U810" s="7"/>
      <c r="V810" s="7"/>
      <c r="W810" s="7"/>
      <c r="X810" s="7"/>
      <c r="Y810" s="4"/>
      <c r="Z810" s="4"/>
      <c r="AA810" s="4"/>
      <c r="AB810" s="4"/>
      <c r="AC810" s="4"/>
      <c r="AD810" s="4"/>
      <c r="AE810" s="4"/>
      <c r="AF810" s="4"/>
      <c r="AG810" s="49"/>
      <c r="AH810" s="4"/>
      <c r="AI810" s="4"/>
      <c r="AJ810" s="4"/>
      <c r="AK810" s="4"/>
      <c r="AL810" s="4"/>
      <c r="AM810" s="4"/>
      <c r="AN810" s="44"/>
      <c r="AO810" s="8"/>
      <c r="AP810" s="8"/>
      <c r="AQ810" s="8"/>
      <c r="AR810" s="8"/>
      <c r="AS810" s="8"/>
      <c r="AT810" s="8"/>
      <c r="AU810" s="8"/>
      <c r="AV810" s="46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4"/>
      <c r="BX810" s="4"/>
    </row>
    <row r="811" spans="1:76" s="16" customFormat="1" x14ac:dyDescent="0.25">
      <c r="A811" s="26"/>
      <c r="B811" s="6"/>
      <c r="C811" s="7"/>
      <c r="D811" s="7"/>
      <c r="E811" s="7"/>
      <c r="F811" s="7"/>
      <c r="G811" s="7"/>
      <c r="H811" s="7"/>
      <c r="I811" s="4"/>
      <c r="J811" s="7"/>
      <c r="K811" s="7"/>
      <c r="L811" s="7"/>
      <c r="M811" s="7"/>
      <c r="N811" s="4"/>
      <c r="O811" s="4"/>
      <c r="P811" s="4"/>
      <c r="Q811" s="4"/>
      <c r="R811" s="4"/>
      <c r="S811" s="7"/>
      <c r="T811" s="7"/>
      <c r="U811" s="7"/>
      <c r="V811" s="7"/>
      <c r="W811" s="7"/>
      <c r="X811" s="7"/>
      <c r="Y811" s="4"/>
      <c r="Z811" s="4"/>
      <c r="AA811" s="4"/>
      <c r="AB811" s="4"/>
      <c r="AC811" s="4"/>
      <c r="AD811" s="4"/>
      <c r="AE811" s="4"/>
      <c r="AF811" s="4"/>
      <c r="AG811" s="49"/>
      <c r="AH811" s="4"/>
      <c r="AI811" s="4"/>
      <c r="AJ811" s="4"/>
      <c r="AK811" s="4"/>
      <c r="AL811" s="4"/>
      <c r="AM811" s="4"/>
      <c r="AN811" s="44"/>
      <c r="AO811" s="8"/>
      <c r="AP811" s="8"/>
      <c r="AQ811" s="8"/>
      <c r="AR811" s="8"/>
      <c r="AS811" s="8"/>
      <c r="AT811" s="8"/>
      <c r="AU811" s="8"/>
      <c r="AV811" s="46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4"/>
      <c r="BX811" s="4"/>
    </row>
    <row r="812" spans="1:76" s="16" customFormat="1" x14ac:dyDescent="0.25">
      <c r="A812" s="26"/>
      <c r="B812" s="6"/>
      <c r="C812" s="7"/>
      <c r="D812" s="7"/>
      <c r="E812" s="7"/>
      <c r="F812" s="7"/>
      <c r="G812" s="7"/>
      <c r="H812" s="7"/>
      <c r="I812" s="4"/>
      <c r="J812" s="7"/>
      <c r="K812" s="7"/>
      <c r="L812" s="7"/>
      <c r="M812" s="7"/>
      <c r="N812" s="4"/>
      <c r="O812" s="4"/>
      <c r="P812" s="4"/>
      <c r="Q812" s="4"/>
      <c r="R812" s="4"/>
      <c r="S812" s="7"/>
      <c r="T812" s="7"/>
      <c r="U812" s="7"/>
      <c r="V812" s="7"/>
      <c r="W812" s="7"/>
      <c r="X812" s="7"/>
      <c r="Y812" s="4"/>
      <c r="Z812" s="4"/>
      <c r="AA812" s="4"/>
      <c r="AB812" s="4"/>
      <c r="AC812" s="4"/>
      <c r="AD812" s="4"/>
      <c r="AE812" s="4"/>
      <c r="AF812" s="4"/>
      <c r="AG812" s="49"/>
      <c r="AH812" s="4"/>
      <c r="AI812" s="4"/>
      <c r="AJ812" s="4"/>
      <c r="AK812" s="4"/>
      <c r="AL812" s="4"/>
      <c r="AM812" s="4"/>
      <c r="AN812" s="44"/>
      <c r="AO812" s="8"/>
      <c r="AP812" s="8"/>
      <c r="AQ812" s="8"/>
      <c r="AR812" s="8"/>
      <c r="AS812" s="8"/>
      <c r="AT812" s="8"/>
      <c r="AU812" s="8"/>
      <c r="AV812" s="46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4"/>
      <c r="BX812" s="4"/>
    </row>
    <row r="813" spans="1:76" s="16" customFormat="1" x14ac:dyDescent="0.25">
      <c r="A813" s="26"/>
      <c r="B813" s="6"/>
      <c r="C813" s="7"/>
      <c r="D813" s="7"/>
      <c r="E813" s="7"/>
      <c r="F813" s="7"/>
      <c r="G813" s="7"/>
      <c r="H813" s="7"/>
      <c r="I813" s="4"/>
      <c r="J813" s="7"/>
      <c r="K813" s="7"/>
      <c r="L813" s="7"/>
      <c r="M813" s="7"/>
      <c r="N813" s="4"/>
      <c r="O813" s="4"/>
      <c r="P813" s="4"/>
      <c r="Q813" s="4"/>
      <c r="R813" s="4"/>
      <c r="S813" s="7"/>
      <c r="T813" s="7"/>
      <c r="U813" s="7"/>
      <c r="V813" s="7"/>
      <c r="W813" s="7"/>
      <c r="X813" s="7"/>
      <c r="Y813" s="4"/>
      <c r="Z813" s="4"/>
      <c r="AA813" s="4"/>
      <c r="AB813" s="4"/>
      <c r="AC813" s="4"/>
      <c r="AD813" s="4"/>
      <c r="AE813" s="4"/>
      <c r="AF813" s="4"/>
      <c r="AG813" s="49"/>
      <c r="AH813" s="4"/>
      <c r="AI813" s="4"/>
      <c r="AJ813" s="4"/>
      <c r="AK813" s="4"/>
      <c r="AL813" s="4"/>
      <c r="AM813" s="4"/>
      <c r="AN813" s="44"/>
      <c r="AO813" s="8"/>
      <c r="AP813" s="8"/>
      <c r="AQ813" s="8"/>
      <c r="AR813" s="8"/>
      <c r="AS813" s="8"/>
      <c r="AT813" s="8"/>
      <c r="AU813" s="8"/>
      <c r="AV813" s="46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4"/>
      <c r="BX813" s="4"/>
    </row>
    <row r="814" spans="1:76" s="16" customFormat="1" x14ac:dyDescent="0.25">
      <c r="A814" s="26"/>
      <c r="B814" s="6"/>
      <c r="C814" s="7"/>
      <c r="D814" s="7"/>
      <c r="E814" s="7"/>
      <c r="F814" s="7"/>
      <c r="G814" s="7"/>
      <c r="H814" s="7"/>
      <c r="I814" s="4"/>
      <c r="J814" s="7"/>
      <c r="K814" s="7"/>
      <c r="L814" s="7"/>
      <c r="M814" s="7"/>
      <c r="N814" s="4"/>
      <c r="O814" s="4"/>
      <c r="P814" s="4"/>
      <c r="Q814" s="4"/>
      <c r="R814" s="4"/>
      <c r="S814" s="7"/>
      <c r="T814" s="7"/>
      <c r="U814" s="7"/>
      <c r="V814" s="7"/>
      <c r="W814" s="7"/>
      <c r="X814" s="7"/>
      <c r="Y814" s="4"/>
      <c r="Z814" s="4"/>
      <c r="AA814" s="4"/>
      <c r="AB814" s="4"/>
      <c r="AC814" s="4"/>
      <c r="AD814" s="4"/>
      <c r="AE814" s="4"/>
      <c r="AF814" s="4"/>
      <c r="AG814" s="49"/>
      <c r="AH814" s="4"/>
      <c r="AI814" s="4"/>
      <c r="AJ814" s="4"/>
      <c r="AK814" s="4"/>
      <c r="AL814" s="4"/>
      <c r="AM814" s="4"/>
      <c r="AN814" s="44"/>
      <c r="AO814" s="8"/>
      <c r="AP814" s="8"/>
      <c r="AQ814" s="8"/>
      <c r="AR814" s="8"/>
      <c r="AS814" s="8"/>
      <c r="AT814" s="8"/>
      <c r="AU814" s="8"/>
      <c r="AV814" s="46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4"/>
      <c r="BX814" s="4"/>
    </row>
    <row r="815" spans="1:76" s="16" customFormat="1" x14ac:dyDescent="0.25">
      <c r="A815" s="26"/>
      <c r="B815" s="6"/>
      <c r="C815" s="7"/>
      <c r="D815" s="7"/>
      <c r="E815" s="7"/>
      <c r="F815" s="7"/>
      <c r="G815" s="7"/>
      <c r="H815" s="7"/>
      <c r="I815" s="4"/>
      <c r="J815" s="7"/>
      <c r="K815" s="7"/>
      <c r="L815" s="7"/>
      <c r="M815" s="7"/>
      <c r="N815" s="4"/>
      <c r="O815" s="4"/>
      <c r="P815" s="4"/>
      <c r="Q815" s="4"/>
      <c r="R815" s="4"/>
      <c r="S815" s="7"/>
      <c r="T815" s="7"/>
      <c r="U815" s="7"/>
      <c r="V815" s="7"/>
      <c r="W815" s="7"/>
      <c r="X815" s="7"/>
      <c r="Y815" s="4"/>
      <c r="Z815" s="4"/>
      <c r="AA815" s="4"/>
      <c r="AB815" s="4"/>
      <c r="AC815" s="4"/>
      <c r="AD815" s="4"/>
      <c r="AE815" s="4"/>
      <c r="AF815" s="4"/>
      <c r="AG815" s="49"/>
      <c r="AH815" s="4"/>
      <c r="AI815" s="4"/>
      <c r="AJ815" s="4"/>
      <c r="AK815" s="4"/>
      <c r="AL815" s="4"/>
      <c r="AM815" s="4"/>
      <c r="AN815" s="44"/>
      <c r="AO815" s="8"/>
      <c r="AP815" s="8"/>
      <c r="AQ815" s="8"/>
      <c r="AR815" s="8"/>
      <c r="AS815" s="8"/>
      <c r="AT815" s="8"/>
      <c r="AU815" s="8"/>
      <c r="AV815" s="46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4"/>
      <c r="BX815" s="4"/>
    </row>
    <row r="816" spans="1:76" s="16" customFormat="1" x14ac:dyDescent="0.25">
      <c r="A816" s="26"/>
      <c r="B816" s="6"/>
      <c r="C816" s="7"/>
      <c r="D816" s="7"/>
      <c r="E816" s="7"/>
      <c r="F816" s="7"/>
      <c r="G816" s="7"/>
      <c r="H816" s="7"/>
      <c r="I816" s="4"/>
      <c r="J816" s="7"/>
      <c r="K816" s="7"/>
      <c r="L816" s="7"/>
      <c r="M816" s="7"/>
      <c r="N816" s="4"/>
      <c r="O816" s="4"/>
      <c r="P816" s="4"/>
      <c r="Q816" s="4"/>
      <c r="R816" s="4"/>
      <c r="S816" s="7"/>
      <c r="T816" s="7"/>
      <c r="U816" s="7"/>
      <c r="V816" s="7"/>
      <c r="W816" s="7"/>
      <c r="X816" s="7"/>
      <c r="Y816" s="4"/>
      <c r="Z816" s="4"/>
      <c r="AA816" s="4"/>
      <c r="AB816" s="4"/>
      <c r="AC816" s="4"/>
      <c r="AD816" s="4"/>
      <c r="AE816" s="4"/>
      <c r="AF816" s="4"/>
      <c r="AG816" s="49"/>
      <c r="AH816" s="4"/>
      <c r="AI816" s="4"/>
      <c r="AJ816" s="4"/>
      <c r="AK816" s="4"/>
      <c r="AL816" s="4"/>
      <c r="AM816" s="4"/>
      <c r="AN816" s="44"/>
      <c r="AO816" s="8"/>
      <c r="AP816" s="8"/>
      <c r="AQ816" s="8"/>
      <c r="AR816" s="8"/>
      <c r="AS816" s="8"/>
      <c r="AT816" s="8"/>
      <c r="AU816" s="8"/>
      <c r="AV816" s="46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4"/>
      <c r="BX816" s="4"/>
    </row>
    <row r="817" spans="1:76" s="16" customFormat="1" x14ac:dyDescent="0.25">
      <c r="A817" s="26"/>
      <c r="B817" s="6"/>
      <c r="C817" s="7"/>
      <c r="D817" s="7"/>
      <c r="E817" s="7"/>
      <c r="F817" s="7"/>
      <c r="G817" s="7"/>
      <c r="H817" s="7"/>
      <c r="I817" s="4"/>
      <c r="J817" s="7"/>
      <c r="K817" s="7"/>
      <c r="L817" s="7"/>
      <c r="M817" s="7"/>
      <c r="N817" s="4"/>
      <c r="O817" s="4"/>
      <c r="P817" s="4"/>
      <c r="Q817" s="4"/>
      <c r="R817" s="4"/>
      <c r="S817" s="7"/>
      <c r="T817" s="7"/>
      <c r="U817" s="7"/>
      <c r="V817" s="7"/>
      <c r="W817" s="7"/>
      <c r="X817" s="7"/>
      <c r="Y817" s="4"/>
      <c r="Z817" s="4"/>
      <c r="AA817" s="4"/>
      <c r="AB817" s="4"/>
      <c r="AC817" s="4"/>
      <c r="AD817" s="4"/>
      <c r="AE817" s="4"/>
      <c r="AF817" s="4"/>
      <c r="AG817" s="49"/>
      <c r="AH817" s="4"/>
      <c r="AI817" s="4"/>
      <c r="AJ817" s="4"/>
      <c r="AK817" s="4"/>
      <c r="AL817" s="4"/>
      <c r="AM817" s="4"/>
      <c r="AN817" s="44"/>
      <c r="AO817" s="8"/>
      <c r="AP817" s="8"/>
      <c r="AQ817" s="8"/>
      <c r="AR817" s="8"/>
      <c r="AS817" s="8"/>
      <c r="AT817" s="8"/>
      <c r="AU817" s="8"/>
      <c r="AV817" s="46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4"/>
      <c r="BX817" s="4"/>
    </row>
    <row r="818" spans="1:76" s="16" customFormat="1" x14ac:dyDescent="0.25">
      <c r="A818" s="26"/>
      <c r="B818" s="6"/>
      <c r="C818" s="7"/>
      <c r="D818" s="7"/>
      <c r="E818" s="7"/>
      <c r="F818" s="7"/>
      <c r="G818" s="7"/>
      <c r="H818" s="7"/>
      <c r="I818" s="4"/>
      <c r="J818" s="7"/>
      <c r="K818" s="7"/>
      <c r="L818" s="7"/>
      <c r="M818" s="7"/>
      <c r="N818" s="4"/>
      <c r="O818" s="4"/>
      <c r="P818" s="4"/>
      <c r="Q818" s="4"/>
      <c r="R818" s="4"/>
      <c r="S818" s="7"/>
      <c r="T818" s="7"/>
      <c r="U818" s="7"/>
      <c r="V818" s="7"/>
      <c r="W818" s="7"/>
      <c r="X818" s="7"/>
      <c r="Y818" s="4"/>
      <c r="Z818" s="4"/>
      <c r="AA818" s="4"/>
      <c r="AB818" s="4"/>
      <c r="AC818" s="4"/>
      <c r="AD818" s="4"/>
      <c r="AE818" s="4"/>
      <c r="AF818" s="4"/>
      <c r="AG818" s="49"/>
      <c r="AH818" s="4"/>
      <c r="AI818" s="4"/>
      <c r="AJ818" s="4"/>
      <c r="AK818" s="4"/>
      <c r="AL818" s="4"/>
      <c r="AM818" s="4"/>
      <c r="AN818" s="44"/>
      <c r="AO818" s="8"/>
      <c r="AP818" s="8"/>
      <c r="AQ818" s="8"/>
      <c r="AR818" s="8"/>
      <c r="AS818" s="8"/>
      <c r="AT818" s="8"/>
      <c r="AU818" s="8"/>
      <c r="AV818" s="46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4"/>
      <c r="BX818" s="4"/>
    </row>
    <row r="819" spans="1:76" s="16" customFormat="1" x14ac:dyDescent="0.25">
      <c r="A819" s="26"/>
      <c r="B819" s="6"/>
      <c r="C819" s="7"/>
      <c r="D819" s="7"/>
      <c r="E819" s="7"/>
      <c r="F819" s="7"/>
      <c r="G819" s="7"/>
      <c r="H819" s="7"/>
      <c r="I819" s="4"/>
      <c r="J819" s="7"/>
      <c r="K819" s="7"/>
      <c r="L819" s="7"/>
      <c r="M819" s="7"/>
      <c r="N819" s="4"/>
      <c r="O819" s="4"/>
      <c r="P819" s="4"/>
      <c r="Q819" s="4"/>
      <c r="R819" s="4"/>
      <c r="S819" s="7"/>
      <c r="T819" s="7"/>
      <c r="U819" s="7"/>
      <c r="V819" s="7"/>
      <c r="W819" s="7"/>
      <c r="X819" s="7"/>
      <c r="Y819" s="4"/>
      <c r="Z819" s="4"/>
      <c r="AA819" s="4"/>
      <c r="AB819" s="4"/>
      <c r="AC819" s="4"/>
      <c r="AD819" s="4"/>
      <c r="AE819" s="4"/>
      <c r="AF819" s="4"/>
      <c r="AG819" s="49"/>
      <c r="AH819" s="4"/>
      <c r="AI819" s="4"/>
      <c r="AJ819" s="4"/>
      <c r="AK819" s="4"/>
      <c r="AL819" s="4"/>
      <c r="AM819" s="4"/>
      <c r="AN819" s="44"/>
      <c r="AO819" s="8"/>
      <c r="AP819" s="8"/>
      <c r="AQ819" s="8"/>
      <c r="AR819" s="8"/>
      <c r="AS819" s="8"/>
      <c r="AT819" s="8"/>
      <c r="AU819" s="8"/>
      <c r="AV819" s="46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4"/>
      <c r="BX819" s="4"/>
    </row>
    <row r="820" spans="1:76" s="16" customFormat="1" x14ac:dyDescent="0.25">
      <c r="A820" s="26"/>
      <c r="B820" s="6"/>
      <c r="C820" s="7"/>
      <c r="D820" s="7"/>
      <c r="E820" s="7"/>
      <c r="F820" s="7"/>
      <c r="G820" s="7"/>
      <c r="H820" s="7"/>
      <c r="I820" s="4"/>
      <c r="J820" s="7"/>
      <c r="K820" s="7"/>
      <c r="L820" s="7"/>
      <c r="M820" s="7"/>
      <c r="N820" s="4"/>
      <c r="O820" s="4"/>
      <c r="P820" s="4"/>
      <c r="Q820" s="4"/>
      <c r="R820" s="4"/>
      <c r="S820" s="7"/>
      <c r="T820" s="7"/>
      <c r="U820" s="7"/>
      <c r="V820" s="7"/>
      <c r="W820" s="7"/>
      <c r="X820" s="7"/>
      <c r="Y820" s="4"/>
      <c r="Z820" s="4"/>
      <c r="AA820" s="4"/>
      <c r="AB820" s="4"/>
      <c r="AC820" s="4"/>
      <c r="AD820" s="4"/>
      <c r="AE820" s="4"/>
      <c r="AF820" s="4"/>
      <c r="AG820" s="49"/>
      <c r="AH820" s="4"/>
      <c r="AI820" s="4"/>
      <c r="AJ820" s="4"/>
      <c r="AK820" s="4"/>
      <c r="AL820" s="4"/>
      <c r="AM820" s="4"/>
      <c r="AN820" s="44"/>
      <c r="AO820" s="8"/>
      <c r="AP820" s="8"/>
      <c r="AQ820" s="8"/>
      <c r="AR820" s="8"/>
      <c r="AS820" s="8"/>
      <c r="AT820" s="8"/>
      <c r="AU820" s="8"/>
      <c r="AV820" s="46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4"/>
      <c r="BX820" s="4"/>
    </row>
    <row r="821" spans="1:76" s="16" customFormat="1" x14ac:dyDescent="0.25">
      <c r="A821" s="26"/>
      <c r="B821" s="6"/>
      <c r="C821" s="7"/>
      <c r="D821" s="7"/>
      <c r="E821" s="7"/>
      <c r="F821" s="7"/>
      <c r="G821" s="7"/>
      <c r="H821" s="7"/>
      <c r="I821" s="4"/>
      <c r="J821" s="7"/>
      <c r="K821" s="7"/>
      <c r="L821" s="7"/>
      <c r="M821" s="7"/>
      <c r="N821" s="4"/>
      <c r="O821" s="4"/>
      <c r="P821" s="4"/>
      <c r="Q821" s="4"/>
      <c r="R821" s="4"/>
      <c r="S821" s="7"/>
      <c r="T821" s="7"/>
      <c r="U821" s="7"/>
      <c r="V821" s="7"/>
      <c r="W821" s="7"/>
      <c r="X821" s="7"/>
      <c r="Y821" s="4"/>
      <c r="Z821" s="4"/>
      <c r="AA821" s="4"/>
      <c r="AB821" s="4"/>
      <c r="AC821" s="4"/>
      <c r="AD821" s="4"/>
      <c r="AE821" s="4"/>
      <c r="AF821" s="4"/>
      <c r="AG821" s="49"/>
      <c r="AH821" s="4"/>
      <c r="AI821" s="4"/>
      <c r="AJ821" s="4"/>
      <c r="AK821" s="4"/>
      <c r="AL821" s="4"/>
      <c r="AM821" s="4"/>
      <c r="AN821" s="44"/>
      <c r="AO821" s="8"/>
      <c r="AP821" s="8"/>
      <c r="AQ821" s="8"/>
      <c r="AR821" s="8"/>
      <c r="AS821" s="8"/>
      <c r="AT821" s="8"/>
      <c r="AU821" s="8"/>
      <c r="AV821" s="46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4"/>
      <c r="BX821" s="4"/>
    </row>
    <row r="822" spans="1:76" s="16" customFormat="1" x14ac:dyDescent="0.25">
      <c r="A822" s="26"/>
      <c r="B822" s="6"/>
      <c r="C822" s="7"/>
      <c r="D822" s="7"/>
      <c r="E822" s="7"/>
      <c r="F822" s="7"/>
      <c r="G822" s="7"/>
      <c r="H822" s="7"/>
      <c r="I822" s="4"/>
      <c r="J822" s="7"/>
      <c r="K822" s="7"/>
      <c r="L822" s="7"/>
      <c r="M822" s="7"/>
      <c r="N822" s="4"/>
      <c r="O822" s="4"/>
      <c r="P822" s="4"/>
      <c r="Q822" s="4"/>
      <c r="R822" s="4"/>
      <c r="S822" s="7"/>
      <c r="T822" s="7"/>
      <c r="U822" s="7"/>
      <c r="V822" s="7"/>
      <c r="W822" s="7"/>
      <c r="X822" s="7"/>
      <c r="Y822" s="4"/>
      <c r="Z822" s="4"/>
      <c r="AA822" s="4"/>
      <c r="AB822" s="4"/>
      <c r="AC822" s="4"/>
      <c r="AD822" s="4"/>
      <c r="AE822" s="4"/>
      <c r="AF822" s="4"/>
      <c r="AG822" s="49"/>
      <c r="AH822" s="4"/>
      <c r="AI822" s="4"/>
      <c r="AJ822" s="4"/>
      <c r="AK822" s="4"/>
      <c r="AL822" s="4"/>
      <c r="AM822" s="4"/>
      <c r="AN822" s="44"/>
      <c r="AO822" s="8"/>
      <c r="AP822" s="8"/>
      <c r="AQ822" s="8"/>
      <c r="AR822" s="8"/>
      <c r="AS822" s="8"/>
      <c r="AT822" s="8"/>
      <c r="AU822" s="8"/>
      <c r="AV822" s="46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4"/>
      <c r="BX822" s="4"/>
    </row>
    <row r="823" spans="1:76" s="16" customFormat="1" x14ac:dyDescent="0.25">
      <c r="A823" s="26"/>
      <c r="B823" s="6"/>
      <c r="C823" s="7"/>
      <c r="D823" s="7"/>
      <c r="E823" s="7"/>
      <c r="F823" s="7"/>
      <c r="G823" s="7"/>
      <c r="H823" s="7"/>
      <c r="I823" s="4"/>
      <c r="J823" s="7"/>
      <c r="K823" s="7"/>
      <c r="L823" s="7"/>
      <c r="M823" s="7"/>
      <c r="N823" s="4"/>
      <c r="O823" s="4"/>
      <c r="P823" s="4"/>
      <c r="Q823" s="4"/>
      <c r="R823" s="4"/>
      <c r="S823" s="7"/>
      <c r="T823" s="7"/>
      <c r="U823" s="7"/>
      <c r="V823" s="7"/>
      <c r="W823" s="7"/>
      <c r="X823" s="7"/>
      <c r="Y823" s="4"/>
      <c r="Z823" s="4"/>
      <c r="AA823" s="4"/>
      <c r="AB823" s="4"/>
      <c r="AC823" s="4"/>
      <c r="AD823" s="4"/>
      <c r="AE823" s="4"/>
      <c r="AF823" s="4"/>
      <c r="AG823" s="49"/>
      <c r="AH823" s="4"/>
      <c r="AI823" s="4"/>
      <c r="AJ823" s="4"/>
      <c r="AK823" s="4"/>
      <c r="AL823" s="4"/>
      <c r="AM823" s="4"/>
      <c r="AN823" s="44"/>
      <c r="AO823" s="8"/>
      <c r="AP823" s="8"/>
      <c r="AQ823" s="8"/>
      <c r="AR823" s="8"/>
      <c r="AS823" s="8"/>
      <c r="AT823" s="8"/>
      <c r="AU823" s="8"/>
      <c r="AV823" s="46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4"/>
      <c r="BX823" s="4"/>
    </row>
    <row r="824" spans="1:76" s="16" customFormat="1" x14ac:dyDescent="0.25">
      <c r="A824" s="26"/>
      <c r="B824" s="6"/>
      <c r="C824" s="7"/>
      <c r="D824" s="7"/>
      <c r="E824" s="7"/>
      <c r="F824" s="7"/>
      <c r="G824" s="7"/>
      <c r="H824" s="7"/>
      <c r="I824" s="4"/>
      <c r="J824" s="7"/>
      <c r="K824" s="7"/>
      <c r="L824" s="7"/>
      <c r="M824" s="7"/>
      <c r="N824" s="4"/>
      <c r="O824" s="4"/>
      <c r="P824" s="4"/>
      <c r="Q824" s="4"/>
      <c r="R824" s="4"/>
      <c r="S824" s="7"/>
      <c r="T824" s="7"/>
      <c r="U824" s="7"/>
      <c r="V824" s="7"/>
      <c r="W824" s="7"/>
      <c r="X824" s="7"/>
      <c r="Y824" s="4"/>
      <c r="Z824" s="4"/>
      <c r="AA824" s="4"/>
      <c r="AB824" s="4"/>
      <c r="AC824" s="4"/>
      <c r="AD824" s="4"/>
      <c r="AE824" s="4"/>
      <c r="AF824" s="4"/>
      <c r="AG824" s="49"/>
      <c r="AH824" s="4"/>
      <c r="AI824" s="4"/>
      <c r="AJ824" s="4"/>
      <c r="AK824" s="4"/>
      <c r="AL824" s="4"/>
      <c r="AM824" s="4"/>
      <c r="AN824" s="44"/>
      <c r="AO824" s="8"/>
      <c r="AP824" s="8"/>
      <c r="AQ824" s="8"/>
      <c r="AR824" s="8"/>
      <c r="AS824" s="8"/>
      <c r="AT824" s="8"/>
      <c r="AU824" s="8"/>
      <c r="AV824" s="46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4"/>
      <c r="BX824" s="4"/>
    </row>
    <row r="825" spans="1:76" s="16" customFormat="1" x14ac:dyDescent="0.25">
      <c r="A825" s="26"/>
      <c r="B825" s="6"/>
      <c r="C825" s="7"/>
      <c r="D825" s="7"/>
      <c r="E825" s="7"/>
      <c r="F825" s="7"/>
      <c r="G825" s="7"/>
      <c r="H825" s="7"/>
      <c r="I825" s="4"/>
      <c r="J825" s="7"/>
      <c r="K825" s="7"/>
      <c r="L825" s="7"/>
      <c r="M825" s="7"/>
      <c r="N825" s="4"/>
      <c r="O825" s="4"/>
      <c r="P825" s="4"/>
      <c r="Q825" s="4"/>
      <c r="R825" s="4"/>
      <c r="S825" s="7"/>
      <c r="T825" s="7"/>
      <c r="U825" s="7"/>
      <c r="V825" s="7"/>
      <c r="W825" s="7"/>
      <c r="X825" s="7"/>
      <c r="Y825" s="4"/>
      <c r="Z825" s="4"/>
      <c r="AA825" s="4"/>
      <c r="AB825" s="4"/>
      <c r="AC825" s="4"/>
      <c r="AD825" s="4"/>
      <c r="AE825" s="4"/>
      <c r="AF825" s="4"/>
      <c r="AG825" s="49"/>
      <c r="AH825" s="4"/>
      <c r="AI825" s="4"/>
      <c r="AJ825" s="4"/>
      <c r="AK825" s="4"/>
      <c r="AL825" s="4"/>
      <c r="AM825" s="4"/>
      <c r="AN825" s="44"/>
      <c r="AO825" s="8"/>
      <c r="AP825" s="8"/>
      <c r="AQ825" s="8"/>
      <c r="AR825" s="8"/>
      <c r="AS825" s="8"/>
      <c r="AT825" s="8"/>
      <c r="AU825" s="8"/>
      <c r="AV825" s="46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4"/>
      <c r="BX825" s="4"/>
    </row>
    <row r="826" spans="1:76" s="16" customFormat="1" x14ac:dyDescent="0.25">
      <c r="A826" s="26"/>
      <c r="B826" s="6"/>
      <c r="C826" s="7"/>
      <c r="D826" s="7"/>
      <c r="E826" s="7"/>
      <c r="F826" s="7"/>
      <c r="G826" s="7"/>
      <c r="H826" s="7"/>
      <c r="I826" s="4"/>
      <c r="J826" s="7"/>
      <c r="K826" s="7"/>
      <c r="L826" s="7"/>
      <c r="M826" s="7"/>
      <c r="N826" s="4"/>
      <c r="O826" s="4"/>
      <c r="P826" s="4"/>
      <c r="Q826" s="4"/>
      <c r="R826" s="4"/>
      <c r="S826" s="7"/>
      <c r="T826" s="7"/>
      <c r="U826" s="7"/>
      <c r="V826" s="7"/>
      <c r="W826" s="7"/>
      <c r="X826" s="7"/>
      <c r="Y826" s="4"/>
      <c r="Z826" s="4"/>
      <c r="AA826" s="4"/>
      <c r="AB826" s="4"/>
      <c r="AC826" s="4"/>
      <c r="AD826" s="4"/>
      <c r="AE826" s="4"/>
      <c r="AF826" s="4"/>
      <c r="AG826" s="49"/>
      <c r="AH826" s="4"/>
      <c r="AI826" s="4"/>
      <c r="AJ826" s="4"/>
      <c r="AK826" s="4"/>
      <c r="AL826" s="4"/>
      <c r="AM826" s="4"/>
      <c r="AN826" s="44"/>
      <c r="AO826" s="8"/>
      <c r="AP826" s="8"/>
      <c r="AQ826" s="8"/>
      <c r="AR826" s="8"/>
      <c r="AS826" s="8"/>
      <c r="AT826" s="8"/>
      <c r="AU826" s="8"/>
      <c r="AV826" s="46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4"/>
      <c r="BX826" s="4"/>
    </row>
    <row r="827" spans="1:76" s="16" customFormat="1" x14ac:dyDescent="0.25">
      <c r="A827" s="26"/>
      <c r="B827" s="6"/>
      <c r="C827" s="7"/>
      <c r="D827" s="7"/>
      <c r="E827" s="7"/>
      <c r="F827" s="7"/>
      <c r="G827" s="7"/>
      <c r="H827" s="7"/>
      <c r="I827" s="4"/>
      <c r="J827" s="7"/>
      <c r="K827" s="7"/>
      <c r="L827" s="7"/>
      <c r="M827" s="7"/>
      <c r="N827" s="4"/>
      <c r="O827" s="4"/>
      <c r="P827" s="4"/>
      <c r="Q827" s="4"/>
      <c r="R827" s="4"/>
      <c r="S827" s="7"/>
      <c r="T827" s="7"/>
      <c r="U827" s="7"/>
      <c r="V827" s="7"/>
      <c r="W827" s="7"/>
      <c r="X827" s="7"/>
      <c r="Y827" s="4"/>
      <c r="Z827" s="4"/>
      <c r="AA827" s="4"/>
      <c r="AB827" s="4"/>
      <c r="AC827" s="4"/>
      <c r="AD827" s="4"/>
      <c r="AE827" s="4"/>
      <c r="AF827" s="4"/>
      <c r="AG827" s="49"/>
      <c r="AH827" s="4"/>
      <c r="AI827" s="4"/>
      <c r="AJ827" s="4"/>
      <c r="AK827" s="4"/>
      <c r="AL827" s="4"/>
      <c r="AM827" s="4"/>
      <c r="AN827" s="44"/>
      <c r="AO827" s="8"/>
      <c r="AP827" s="8"/>
      <c r="AQ827" s="8"/>
      <c r="AR827" s="8"/>
      <c r="AS827" s="8"/>
      <c r="AT827" s="8"/>
      <c r="AU827" s="8"/>
      <c r="AV827" s="46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4"/>
      <c r="BX827" s="4"/>
    </row>
    <row r="828" spans="1:76" s="16" customFormat="1" x14ac:dyDescent="0.25">
      <c r="A828" s="26"/>
      <c r="B828" s="6"/>
      <c r="C828" s="7"/>
      <c r="D828" s="7"/>
      <c r="E828" s="7"/>
      <c r="F828" s="7"/>
      <c r="G828" s="7"/>
      <c r="H828" s="7"/>
      <c r="I828" s="4"/>
      <c r="J828" s="7"/>
      <c r="K828" s="7"/>
      <c r="L828" s="7"/>
      <c r="M828" s="7"/>
      <c r="N828" s="4"/>
      <c r="O828" s="4"/>
      <c r="P828" s="4"/>
      <c r="Q828" s="4"/>
      <c r="R828" s="4"/>
      <c r="S828" s="7"/>
      <c r="T828" s="7"/>
      <c r="U828" s="7"/>
      <c r="V828" s="7"/>
      <c r="W828" s="7"/>
      <c r="X828" s="7"/>
      <c r="Y828" s="4"/>
      <c r="Z828" s="4"/>
      <c r="AA828" s="4"/>
      <c r="AB828" s="4"/>
      <c r="AC828" s="4"/>
      <c r="AD828" s="4"/>
      <c r="AE828" s="4"/>
      <c r="AF828" s="4"/>
      <c r="AG828" s="49"/>
      <c r="AH828" s="4"/>
      <c r="AI828" s="4"/>
      <c r="AJ828" s="4"/>
      <c r="AK828" s="4"/>
      <c r="AL828" s="4"/>
      <c r="AM828" s="4"/>
      <c r="AN828" s="44"/>
      <c r="AO828" s="8"/>
      <c r="AP828" s="8"/>
      <c r="AQ828" s="8"/>
      <c r="AR828" s="8"/>
      <c r="AS828" s="8"/>
      <c r="AT828" s="8"/>
      <c r="AU828" s="8"/>
      <c r="AV828" s="46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4"/>
      <c r="BX828" s="4"/>
    </row>
    <row r="829" spans="1:76" s="16" customFormat="1" x14ac:dyDescent="0.25">
      <c r="A829" s="26"/>
      <c r="B829" s="6"/>
      <c r="C829" s="7"/>
      <c r="D829" s="7"/>
      <c r="E829" s="7"/>
      <c r="F829" s="7"/>
      <c r="G829" s="7"/>
      <c r="H829" s="7"/>
      <c r="I829" s="4"/>
      <c r="J829" s="7"/>
      <c r="K829" s="7"/>
      <c r="L829" s="7"/>
      <c r="M829" s="7"/>
      <c r="N829" s="4"/>
      <c r="O829" s="4"/>
      <c r="P829" s="4"/>
      <c r="Q829" s="4"/>
      <c r="R829" s="4"/>
      <c r="S829" s="7"/>
      <c r="T829" s="7"/>
      <c r="U829" s="7"/>
      <c r="V829" s="7"/>
      <c r="W829" s="7"/>
      <c r="X829" s="7"/>
      <c r="Y829" s="4"/>
      <c r="Z829" s="4"/>
      <c r="AA829" s="4"/>
      <c r="AB829" s="4"/>
      <c r="AC829" s="4"/>
      <c r="AD829" s="4"/>
      <c r="AE829" s="4"/>
      <c r="AF829" s="4"/>
      <c r="AG829" s="49"/>
      <c r="AH829" s="4"/>
      <c r="AI829" s="4"/>
      <c r="AJ829" s="4"/>
      <c r="AK829" s="4"/>
      <c r="AL829" s="4"/>
      <c r="AM829" s="4"/>
      <c r="AN829" s="44"/>
      <c r="AO829" s="8"/>
      <c r="AP829" s="8"/>
      <c r="AQ829" s="8"/>
      <c r="AR829" s="8"/>
      <c r="AS829" s="8"/>
      <c r="AT829" s="8"/>
      <c r="AU829" s="8"/>
      <c r="AV829" s="46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4"/>
      <c r="BX829" s="4"/>
    </row>
    <row r="830" spans="1:76" s="16" customFormat="1" x14ac:dyDescent="0.25">
      <c r="A830" s="26"/>
      <c r="B830" s="6"/>
      <c r="C830" s="7"/>
      <c r="D830" s="7"/>
      <c r="E830" s="7"/>
      <c r="F830" s="7"/>
      <c r="G830" s="7"/>
      <c r="H830" s="7"/>
      <c r="I830" s="4"/>
      <c r="J830" s="7"/>
      <c r="K830" s="7"/>
      <c r="L830" s="7"/>
      <c r="M830" s="7"/>
      <c r="N830" s="4"/>
      <c r="O830" s="4"/>
      <c r="P830" s="4"/>
      <c r="Q830" s="4"/>
      <c r="R830" s="4"/>
      <c r="S830" s="7"/>
      <c r="T830" s="7"/>
      <c r="U830" s="7"/>
      <c r="V830" s="7"/>
      <c r="W830" s="7"/>
      <c r="X830" s="7"/>
      <c r="Y830" s="4"/>
      <c r="Z830" s="4"/>
      <c r="AA830" s="4"/>
      <c r="AB830" s="4"/>
      <c r="AC830" s="4"/>
      <c r="AD830" s="4"/>
      <c r="AE830" s="4"/>
      <c r="AF830" s="4"/>
      <c r="AG830" s="49"/>
      <c r="AH830" s="4"/>
      <c r="AI830" s="4"/>
      <c r="AJ830" s="4"/>
      <c r="AK830" s="4"/>
      <c r="AL830" s="4"/>
      <c r="AM830" s="4"/>
      <c r="AN830" s="44"/>
      <c r="AO830" s="8"/>
      <c r="AP830" s="8"/>
      <c r="AQ830" s="8"/>
      <c r="AR830" s="8"/>
      <c r="AS830" s="8"/>
      <c r="AT830" s="8"/>
      <c r="AU830" s="8"/>
      <c r="AV830" s="46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4"/>
      <c r="BX830" s="4"/>
    </row>
    <row r="831" spans="1:76" s="16" customFormat="1" x14ac:dyDescent="0.25">
      <c r="A831" s="26"/>
      <c r="B831" s="6"/>
      <c r="C831" s="7"/>
      <c r="D831" s="7"/>
      <c r="E831" s="7"/>
      <c r="F831" s="7"/>
      <c r="G831" s="7"/>
      <c r="H831" s="7"/>
      <c r="I831" s="4"/>
      <c r="J831" s="7"/>
      <c r="K831" s="7"/>
      <c r="L831" s="7"/>
      <c r="M831" s="7"/>
      <c r="N831" s="4"/>
      <c r="O831" s="4"/>
      <c r="P831" s="4"/>
      <c r="Q831" s="4"/>
      <c r="R831" s="4"/>
      <c r="S831" s="7"/>
      <c r="T831" s="7"/>
      <c r="U831" s="7"/>
      <c r="V831" s="7"/>
      <c r="W831" s="7"/>
      <c r="X831" s="7"/>
      <c r="Y831" s="4"/>
      <c r="Z831" s="4"/>
      <c r="AA831" s="4"/>
      <c r="AB831" s="4"/>
      <c r="AC831" s="4"/>
      <c r="AD831" s="4"/>
      <c r="AE831" s="4"/>
      <c r="AF831" s="4"/>
      <c r="AG831" s="49"/>
      <c r="AH831" s="4"/>
      <c r="AI831" s="4"/>
      <c r="AJ831" s="4"/>
      <c r="AK831" s="4"/>
      <c r="AL831" s="4"/>
      <c r="AM831" s="4"/>
      <c r="AN831" s="44"/>
      <c r="AO831" s="8"/>
      <c r="AP831" s="8"/>
      <c r="AQ831" s="8"/>
      <c r="AR831" s="8"/>
      <c r="AS831" s="8"/>
      <c r="AT831" s="8"/>
      <c r="AU831" s="8"/>
      <c r="AV831" s="46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4"/>
      <c r="BX831" s="4"/>
    </row>
    <row r="832" spans="1:76" s="16" customFormat="1" x14ac:dyDescent="0.25">
      <c r="A832" s="26"/>
      <c r="B832" s="6"/>
      <c r="C832" s="7"/>
      <c r="D832" s="7"/>
      <c r="E832" s="7"/>
      <c r="F832" s="7"/>
      <c r="G832" s="7"/>
      <c r="H832" s="7"/>
      <c r="I832" s="4"/>
      <c r="J832" s="7"/>
      <c r="K832" s="7"/>
      <c r="L832" s="7"/>
      <c r="M832" s="7"/>
      <c r="N832" s="4"/>
      <c r="O832" s="4"/>
      <c r="P832" s="4"/>
      <c r="Q832" s="4"/>
      <c r="R832" s="4"/>
      <c r="S832" s="7"/>
      <c r="T832" s="7"/>
      <c r="U832" s="7"/>
      <c r="V832" s="7"/>
      <c r="W832" s="7"/>
      <c r="X832" s="7"/>
      <c r="Y832" s="4"/>
      <c r="Z832" s="4"/>
      <c r="AA832" s="4"/>
      <c r="AB832" s="4"/>
      <c r="AC832" s="4"/>
      <c r="AD832" s="4"/>
      <c r="AE832" s="4"/>
      <c r="AF832" s="4"/>
      <c r="AG832" s="49"/>
      <c r="AH832" s="4"/>
      <c r="AI832" s="4"/>
      <c r="AJ832" s="4"/>
      <c r="AK832" s="4"/>
      <c r="AL832" s="4"/>
      <c r="AM832" s="4"/>
      <c r="AN832" s="44"/>
      <c r="AO832" s="8"/>
      <c r="AP832" s="8"/>
      <c r="AQ832" s="8"/>
      <c r="AR832" s="8"/>
      <c r="AS832" s="8"/>
      <c r="AT832" s="8"/>
      <c r="AU832" s="8"/>
      <c r="AV832" s="46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4"/>
      <c r="BX832" s="4"/>
    </row>
    <row r="833" spans="1:76" s="16" customFormat="1" x14ac:dyDescent="0.25">
      <c r="A833" s="26"/>
      <c r="B833" s="6"/>
      <c r="C833" s="7"/>
      <c r="D833" s="7"/>
      <c r="E833" s="7"/>
      <c r="F833" s="7"/>
      <c r="G833" s="7"/>
      <c r="H833" s="7"/>
      <c r="I833" s="4"/>
      <c r="J833" s="7"/>
      <c r="K833" s="7"/>
      <c r="L833" s="7"/>
      <c r="M833" s="7"/>
      <c r="N833" s="4"/>
      <c r="O833" s="4"/>
      <c r="P833" s="4"/>
      <c r="Q833" s="4"/>
      <c r="R833" s="4"/>
      <c r="S833" s="7"/>
      <c r="T833" s="7"/>
      <c r="U833" s="7"/>
      <c r="V833" s="7"/>
      <c r="W833" s="7"/>
      <c r="X833" s="7"/>
      <c r="Y833" s="4"/>
      <c r="Z833" s="4"/>
      <c r="AA833" s="4"/>
      <c r="AB833" s="4"/>
      <c r="AC833" s="4"/>
      <c r="AD833" s="4"/>
      <c r="AE833" s="4"/>
      <c r="AF833" s="4"/>
      <c r="AG833" s="49"/>
      <c r="AH833" s="4"/>
      <c r="AI833" s="4"/>
      <c r="AJ833" s="4"/>
      <c r="AK833" s="4"/>
      <c r="AL833" s="4"/>
      <c r="AM833" s="4"/>
      <c r="AN833" s="44"/>
      <c r="AO833" s="8"/>
      <c r="AP833" s="8"/>
      <c r="AQ833" s="8"/>
      <c r="AR833" s="8"/>
      <c r="AS833" s="8"/>
      <c r="AT833" s="8"/>
      <c r="AU833" s="8"/>
      <c r="AV833" s="46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4"/>
      <c r="BX833" s="4"/>
    </row>
    <row r="834" spans="1:76" s="16" customFormat="1" x14ac:dyDescent="0.25">
      <c r="A834" s="26"/>
      <c r="B834" s="6"/>
      <c r="C834" s="7"/>
      <c r="D834" s="7"/>
      <c r="E834" s="7"/>
      <c r="F834" s="7"/>
      <c r="G834" s="7"/>
      <c r="H834" s="7"/>
      <c r="I834" s="4"/>
      <c r="J834" s="7"/>
      <c r="K834" s="7"/>
      <c r="L834" s="7"/>
      <c r="M834" s="7"/>
      <c r="N834" s="4"/>
      <c r="O834" s="4"/>
      <c r="P834" s="4"/>
      <c r="Q834" s="4"/>
      <c r="R834" s="4"/>
      <c r="S834" s="7"/>
      <c r="T834" s="7"/>
      <c r="U834" s="7"/>
      <c r="V834" s="7"/>
      <c r="W834" s="7"/>
      <c r="X834" s="7"/>
      <c r="Y834" s="4"/>
      <c r="Z834" s="4"/>
      <c r="AA834" s="4"/>
      <c r="AB834" s="4"/>
      <c r="AC834" s="4"/>
      <c r="AD834" s="4"/>
      <c r="AE834" s="4"/>
      <c r="AF834" s="4"/>
      <c r="AG834" s="49"/>
      <c r="AH834" s="4"/>
      <c r="AI834" s="4"/>
      <c r="AJ834" s="4"/>
      <c r="AK834" s="4"/>
      <c r="AL834" s="4"/>
      <c r="AM834" s="4"/>
      <c r="AN834" s="44"/>
      <c r="AO834" s="8"/>
      <c r="AP834" s="8"/>
      <c r="AQ834" s="8"/>
      <c r="AR834" s="8"/>
      <c r="AS834" s="8"/>
      <c r="AT834" s="8"/>
      <c r="AU834" s="8"/>
      <c r="AV834" s="46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4"/>
      <c r="BX834" s="4"/>
    </row>
    <row r="835" spans="1:76" s="16" customFormat="1" x14ac:dyDescent="0.25">
      <c r="A835" s="26"/>
      <c r="B835" s="6"/>
      <c r="C835" s="7"/>
      <c r="D835" s="7"/>
      <c r="E835" s="7"/>
      <c r="F835" s="7"/>
      <c r="G835" s="7"/>
      <c r="H835" s="7"/>
      <c r="I835" s="4"/>
      <c r="J835" s="7"/>
      <c r="K835" s="7"/>
      <c r="L835" s="7"/>
      <c r="M835" s="7"/>
      <c r="N835" s="4"/>
      <c r="O835" s="4"/>
      <c r="P835" s="4"/>
      <c r="Q835" s="4"/>
      <c r="R835" s="4"/>
      <c r="S835" s="7"/>
      <c r="T835" s="7"/>
      <c r="U835" s="7"/>
      <c r="V835" s="7"/>
      <c r="W835" s="7"/>
      <c r="X835" s="7"/>
      <c r="Y835" s="4"/>
      <c r="Z835" s="4"/>
      <c r="AA835" s="4"/>
      <c r="AB835" s="4"/>
      <c r="AC835" s="4"/>
      <c r="AD835" s="4"/>
      <c r="AE835" s="4"/>
      <c r="AF835" s="4"/>
      <c r="AG835" s="49"/>
      <c r="AH835" s="4"/>
      <c r="AI835" s="4"/>
      <c r="AJ835" s="4"/>
      <c r="AK835" s="4"/>
      <c r="AL835" s="4"/>
      <c r="AM835" s="4"/>
      <c r="AN835" s="44"/>
      <c r="AO835" s="8"/>
      <c r="AP835" s="8"/>
      <c r="AQ835" s="8"/>
      <c r="AR835" s="8"/>
      <c r="AS835" s="8"/>
      <c r="AT835" s="8"/>
      <c r="AU835" s="8"/>
      <c r="AV835" s="46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4"/>
      <c r="BX835" s="4"/>
    </row>
    <row r="836" spans="1:76" s="16" customFormat="1" x14ac:dyDescent="0.25">
      <c r="A836" s="26"/>
      <c r="B836" s="6"/>
      <c r="C836" s="7"/>
      <c r="D836" s="7"/>
      <c r="E836" s="7"/>
      <c r="F836" s="7"/>
      <c r="G836" s="7"/>
      <c r="H836" s="7"/>
      <c r="I836" s="4"/>
      <c r="J836" s="7"/>
      <c r="K836" s="7"/>
      <c r="L836" s="7"/>
      <c r="M836" s="7"/>
      <c r="N836" s="4"/>
      <c r="O836" s="4"/>
      <c r="P836" s="4"/>
      <c r="Q836" s="4"/>
      <c r="R836" s="4"/>
      <c r="S836" s="7"/>
      <c r="T836" s="7"/>
      <c r="U836" s="7"/>
      <c r="V836" s="7"/>
      <c r="W836" s="7"/>
      <c r="X836" s="7"/>
      <c r="Y836" s="4"/>
      <c r="Z836" s="4"/>
      <c r="AA836" s="4"/>
      <c r="AB836" s="4"/>
      <c r="AC836" s="4"/>
      <c r="AD836" s="4"/>
      <c r="AE836" s="4"/>
      <c r="AF836" s="4"/>
      <c r="AG836" s="49"/>
      <c r="AH836" s="4"/>
      <c r="AI836" s="4"/>
      <c r="AJ836" s="4"/>
      <c r="AK836" s="4"/>
      <c r="AL836" s="4"/>
      <c r="AM836" s="4"/>
      <c r="AN836" s="44"/>
      <c r="AO836" s="8"/>
      <c r="AP836" s="8"/>
      <c r="AQ836" s="8"/>
      <c r="AR836" s="8"/>
      <c r="AS836" s="8"/>
      <c r="AT836" s="8"/>
      <c r="AU836" s="8"/>
      <c r="AV836" s="46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4"/>
      <c r="BX836" s="4"/>
    </row>
    <row r="837" spans="1:76" s="16" customFormat="1" x14ac:dyDescent="0.25">
      <c r="A837" s="26"/>
      <c r="B837" s="6"/>
      <c r="C837" s="7"/>
      <c r="D837" s="7"/>
      <c r="E837" s="7"/>
      <c r="F837" s="7"/>
      <c r="G837" s="7"/>
      <c r="H837" s="7"/>
      <c r="I837" s="4"/>
      <c r="J837" s="7"/>
      <c r="K837" s="7"/>
      <c r="L837" s="7"/>
      <c r="M837" s="7"/>
      <c r="N837" s="4"/>
      <c r="O837" s="4"/>
      <c r="P837" s="4"/>
      <c r="Q837" s="4"/>
      <c r="R837" s="4"/>
      <c r="S837" s="7"/>
      <c r="T837" s="7"/>
      <c r="U837" s="7"/>
      <c r="V837" s="7"/>
      <c r="W837" s="7"/>
      <c r="X837" s="7"/>
      <c r="Y837" s="4"/>
      <c r="Z837" s="4"/>
      <c r="AA837" s="4"/>
      <c r="AB837" s="4"/>
      <c r="AC837" s="4"/>
      <c r="AD837" s="4"/>
      <c r="AE837" s="4"/>
      <c r="AF837" s="4"/>
      <c r="AG837" s="49"/>
      <c r="AH837" s="4"/>
      <c r="AI837" s="4"/>
      <c r="AJ837" s="4"/>
      <c r="AK837" s="4"/>
      <c r="AL837" s="4"/>
      <c r="AM837" s="4"/>
      <c r="AN837" s="44"/>
      <c r="AO837" s="8"/>
      <c r="AP837" s="8"/>
      <c r="AQ837" s="8"/>
      <c r="AR837" s="8"/>
      <c r="AS837" s="8"/>
      <c r="AT837" s="8"/>
      <c r="AU837" s="8"/>
      <c r="AV837" s="46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4"/>
      <c r="BX837" s="4"/>
    </row>
    <row r="838" spans="1:76" s="16" customFormat="1" x14ac:dyDescent="0.25">
      <c r="A838" s="26"/>
      <c r="B838" s="6"/>
      <c r="C838" s="7"/>
      <c r="D838" s="7"/>
      <c r="E838" s="7"/>
      <c r="F838" s="7"/>
      <c r="G838" s="7"/>
      <c r="H838" s="7"/>
      <c r="I838" s="4"/>
      <c r="J838" s="7"/>
      <c r="K838" s="7"/>
      <c r="L838" s="7"/>
      <c r="M838" s="7"/>
      <c r="N838" s="4"/>
      <c r="O838" s="4"/>
      <c r="P838" s="4"/>
      <c r="Q838" s="4"/>
      <c r="R838" s="4"/>
      <c r="S838" s="7"/>
      <c r="T838" s="7"/>
      <c r="U838" s="7"/>
      <c r="V838" s="7"/>
      <c r="W838" s="7"/>
      <c r="X838" s="7"/>
      <c r="Y838" s="4"/>
      <c r="Z838" s="4"/>
      <c r="AA838" s="4"/>
      <c r="AB838" s="4"/>
      <c r="AC838" s="4"/>
      <c r="AD838" s="4"/>
      <c r="AE838" s="4"/>
      <c r="AF838" s="4"/>
      <c r="AG838" s="49"/>
      <c r="AH838" s="4"/>
      <c r="AI838" s="4"/>
      <c r="AJ838" s="4"/>
      <c r="AK838" s="4"/>
      <c r="AL838" s="4"/>
      <c r="AM838" s="4"/>
      <c r="AN838" s="44"/>
      <c r="AO838" s="8"/>
      <c r="AP838" s="8"/>
      <c r="AQ838" s="8"/>
      <c r="AR838" s="8"/>
      <c r="AS838" s="8"/>
      <c r="AT838" s="8"/>
      <c r="AU838" s="8"/>
      <c r="AV838" s="46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4"/>
      <c r="BX838" s="4"/>
    </row>
    <row r="839" spans="1:76" s="16" customFormat="1" x14ac:dyDescent="0.25">
      <c r="A839" s="26"/>
      <c r="B839" s="6"/>
      <c r="C839" s="7"/>
      <c r="D839" s="7"/>
      <c r="E839" s="7"/>
      <c r="F839" s="7"/>
      <c r="G839" s="7"/>
      <c r="H839" s="7"/>
      <c r="I839" s="4"/>
      <c r="J839" s="7"/>
      <c r="K839" s="7"/>
      <c r="L839" s="7"/>
      <c r="M839" s="7"/>
      <c r="N839" s="4"/>
      <c r="O839" s="4"/>
      <c r="P839" s="4"/>
      <c r="Q839" s="4"/>
      <c r="R839" s="4"/>
      <c r="S839" s="7"/>
      <c r="T839" s="7"/>
      <c r="U839" s="7"/>
      <c r="V839" s="7"/>
      <c r="W839" s="7"/>
      <c r="X839" s="7"/>
      <c r="Y839" s="4"/>
      <c r="Z839" s="4"/>
      <c r="AA839" s="4"/>
      <c r="AB839" s="4"/>
      <c r="AC839" s="4"/>
      <c r="AD839" s="4"/>
      <c r="AE839" s="4"/>
      <c r="AF839" s="4"/>
      <c r="AG839" s="49"/>
      <c r="AH839" s="4"/>
      <c r="AI839" s="4"/>
      <c r="AJ839" s="4"/>
      <c r="AK839" s="4"/>
      <c r="AL839" s="4"/>
      <c r="AM839" s="4"/>
      <c r="AN839" s="44"/>
      <c r="AO839" s="8"/>
      <c r="AP839" s="8"/>
      <c r="AQ839" s="8"/>
      <c r="AR839" s="8"/>
      <c r="AS839" s="8"/>
      <c r="AT839" s="8"/>
      <c r="AU839" s="8"/>
      <c r="AV839" s="46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4"/>
      <c r="BX839" s="4"/>
    </row>
    <row r="840" spans="1:76" s="16" customFormat="1" x14ac:dyDescent="0.25">
      <c r="A840" s="26"/>
      <c r="B840" s="6"/>
      <c r="C840" s="7"/>
      <c r="D840" s="7"/>
      <c r="E840" s="7"/>
      <c r="F840" s="7"/>
      <c r="G840" s="7"/>
      <c r="H840" s="7"/>
      <c r="I840" s="4"/>
      <c r="J840" s="7"/>
      <c r="K840" s="7"/>
      <c r="L840" s="7"/>
      <c r="M840" s="7"/>
      <c r="N840" s="4"/>
      <c r="O840" s="4"/>
      <c r="P840" s="4"/>
      <c r="Q840" s="4"/>
      <c r="R840" s="4"/>
      <c r="S840" s="7"/>
      <c r="T840" s="7"/>
      <c r="U840" s="7"/>
      <c r="V840" s="7"/>
      <c r="W840" s="7"/>
      <c r="X840" s="7"/>
      <c r="Y840" s="4"/>
      <c r="Z840" s="4"/>
      <c r="AA840" s="4"/>
      <c r="AB840" s="4"/>
      <c r="AC840" s="4"/>
      <c r="AD840" s="4"/>
      <c r="AE840" s="4"/>
      <c r="AF840" s="4"/>
      <c r="AG840" s="49"/>
      <c r="AH840" s="4"/>
      <c r="AI840" s="4"/>
      <c r="AJ840" s="4"/>
      <c r="AK840" s="4"/>
      <c r="AL840" s="4"/>
      <c r="AM840" s="4"/>
      <c r="AN840" s="44"/>
      <c r="AO840" s="8"/>
      <c r="AP840" s="8"/>
      <c r="AQ840" s="8"/>
      <c r="AR840" s="8"/>
      <c r="AS840" s="8"/>
      <c r="AT840" s="8"/>
      <c r="AU840" s="8"/>
      <c r="AV840" s="46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4"/>
      <c r="BX840" s="4"/>
    </row>
    <row r="841" spans="1:76" s="16" customFormat="1" x14ac:dyDescent="0.25">
      <c r="A841" s="26"/>
      <c r="B841" s="6"/>
      <c r="C841" s="7"/>
      <c r="D841" s="7"/>
      <c r="E841" s="7"/>
      <c r="F841" s="7"/>
      <c r="G841" s="7"/>
      <c r="H841" s="7"/>
      <c r="I841" s="4"/>
      <c r="J841" s="7"/>
      <c r="K841" s="7"/>
      <c r="L841" s="7"/>
      <c r="M841" s="7"/>
      <c r="N841" s="4"/>
      <c r="O841" s="4"/>
      <c r="P841" s="4"/>
      <c r="Q841" s="4"/>
      <c r="R841" s="4"/>
      <c r="S841" s="7"/>
      <c r="T841" s="7"/>
      <c r="U841" s="7"/>
      <c r="V841" s="7"/>
      <c r="W841" s="7"/>
      <c r="X841" s="7"/>
      <c r="Y841" s="4"/>
      <c r="Z841" s="4"/>
      <c r="AA841" s="4"/>
      <c r="AB841" s="4"/>
      <c r="AC841" s="4"/>
      <c r="AD841" s="4"/>
      <c r="AE841" s="4"/>
      <c r="AF841" s="4"/>
      <c r="AG841" s="49"/>
      <c r="AH841" s="4"/>
      <c r="AI841" s="4"/>
      <c r="AJ841" s="4"/>
      <c r="AK841" s="4"/>
      <c r="AL841" s="4"/>
      <c r="AM841" s="4"/>
      <c r="AN841" s="44"/>
      <c r="AO841" s="8"/>
      <c r="AP841" s="8"/>
      <c r="AQ841" s="8"/>
      <c r="AR841" s="8"/>
      <c r="AS841" s="8"/>
      <c r="AT841" s="8"/>
      <c r="AU841" s="8"/>
      <c r="AV841" s="46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4"/>
      <c r="BX841" s="4"/>
    </row>
    <row r="842" spans="1:76" s="16" customFormat="1" x14ac:dyDescent="0.25">
      <c r="A842" s="26"/>
      <c r="B842" s="6"/>
      <c r="C842" s="7"/>
      <c r="D842" s="7"/>
      <c r="E842" s="7"/>
      <c r="F842" s="7"/>
      <c r="G842" s="7"/>
      <c r="H842" s="7"/>
      <c r="I842" s="4"/>
      <c r="J842" s="7"/>
      <c r="K842" s="7"/>
      <c r="L842" s="7"/>
      <c r="M842" s="7"/>
      <c r="N842" s="4"/>
      <c r="O842" s="4"/>
      <c r="P842" s="4"/>
      <c r="Q842" s="4"/>
      <c r="R842" s="4"/>
      <c r="S842" s="7"/>
      <c r="T842" s="7"/>
      <c r="U842" s="7"/>
      <c r="V842" s="7"/>
      <c r="W842" s="7"/>
      <c r="X842" s="7"/>
      <c r="Y842" s="4"/>
      <c r="Z842" s="4"/>
      <c r="AA842" s="4"/>
      <c r="AB842" s="4"/>
      <c r="AC842" s="4"/>
      <c r="AD842" s="4"/>
      <c r="AE842" s="4"/>
      <c r="AF842" s="4"/>
      <c r="AG842" s="49"/>
      <c r="AH842" s="4"/>
      <c r="AI842" s="4"/>
      <c r="AJ842" s="4"/>
      <c r="AK842" s="4"/>
      <c r="AL842" s="4"/>
      <c r="AM842" s="4"/>
      <c r="AN842" s="44"/>
      <c r="AO842" s="8"/>
      <c r="AP842" s="8"/>
      <c r="AQ842" s="8"/>
      <c r="AR842" s="8"/>
      <c r="AS842" s="8"/>
      <c r="AT842" s="8"/>
      <c r="AU842" s="8"/>
      <c r="AV842" s="46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4"/>
      <c r="BX842" s="4"/>
    </row>
    <row r="843" spans="1:76" s="16" customFormat="1" x14ac:dyDescent="0.25">
      <c r="A843" s="26"/>
      <c r="B843" s="6"/>
      <c r="C843" s="7"/>
      <c r="D843" s="7"/>
      <c r="E843" s="7"/>
      <c r="F843" s="7"/>
      <c r="G843" s="7"/>
      <c r="H843" s="7"/>
      <c r="I843" s="4"/>
      <c r="J843" s="7"/>
      <c r="K843" s="7"/>
      <c r="L843" s="7"/>
      <c r="M843" s="7"/>
      <c r="N843" s="4"/>
      <c r="O843" s="4"/>
      <c r="P843" s="4"/>
      <c r="Q843" s="4"/>
      <c r="R843" s="4"/>
      <c r="S843" s="7"/>
      <c r="T843" s="7"/>
      <c r="U843" s="7"/>
      <c r="V843" s="7"/>
      <c r="W843" s="7"/>
      <c r="X843" s="7"/>
      <c r="Y843" s="4"/>
      <c r="Z843" s="4"/>
      <c r="AA843" s="4"/>
      <c r="AB843" s="4"/>
      <c r="AC843" s="4"/>
      <c r="AD843" s="4"/>
      <c r="AE843" s="4"/>
      <c r="AF843" s="4"/>
      <c r="AG843" s="49"/>
      <c r="AH843" s="4"/>
      <c r="AI843" s="4"/>
      <c r="AJ843" s="4"/>
      <c r="AK843" s="4"/>
      <c r="AL843" s="4"/>
      <c r="AM843" s="4"/>
      <c r="AN843" s="44"/>
      <c r="AO843" s="8"/>
      <c r="AP843" s="8"/>
      <c r="AQ843" s="8"/>
      <c r="AR843" s="8"/>
      <c r="AS843" s="8"/>
      <c r="AT843" s="8"/>
      <c r="AU843" s="8"/>
      <c r="AV843" s="46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4"/>
      <c r="BX843" s="4"/>
    </row>
    <row r="844" spans="1:76" s="16" customFormat="1" x14ac:dyDescent="0.25">
      <c r="A844" s="26"/>
      <c r="B844" s="6"/>
      <c r="C844" s="7"/>
      <c r="D844" s="7"/>
      <c r="E844" s="7"/>
      <c r="F844" s="7"/>
      <c r="G844" s="7"/>
      <c r="H844" s="7"/>
      <c r="I844" s="4"/>
      <c r="J844" s="7"/>
      <c r="K844" s="7"/>
      <c r="L844" s="7"/>
      <c r="M844" s="7"/>
      <c r="N844" s="4"/>
      <c r="O844" s="4"/>
      <c r="P844" s="4"/>
      <c r="Q844" s="4"/>
      <c r="R844" s="4"/>
      <c r="S844" s="7"/>
      <c r="T844" s="7"/>
      <c r="U844" s="7"/>
      <c r="V844" s="7"/>
      <c r="W844" s="7"/>
      <c r="X844" s="7"/>
      <c r="Y844" s="4"/>
      <c r="Z844" s="4"/>
      <c r="AA844" s="4"/>
      <c r="AB844" s="4"/>
      <c r="AC844" s="4"/>
      <c r="AD844" s="4"/>
      <c r="AE844" s="4"/>
      <c r="AF844" s="4"/>
      <c r="AG844" s="49"/>
      <c r="AH844" s="4"/>
      <c r="AI844" s="4"/>
      <c r="AJ844" s="4"/>
      <c r="AK844" s="4"/>
      <c r="AL844" s="4"/>
      <c r="AM844" s="4"/>
      <c r="AN844" s="44"/>
      <c r="AO844" s="8"/>
      <c r="AP844" s="8"/>
      <c r="AQ844" s="8"/>
      <c r="AR844" s="8"/>
      <c r="AS844" s="8"/>
      <c r="AT844" s="8"/>
      <c r="AU844" s="8"/>
      <c r="AV844" s="46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4"/>
      <c r="BX844" s="4"/>
    </row>
    <row r="845" spans="1:76" s="16" customFormat="1" x14ac:dyDescent="0.25">
      <c r="A845" s="26"/>
      <c r="B845" s="6"/>
      <c r="C845" s="7"/>
      <c r="D845" s="7"/>
      <c r="E845" s="7"/>
      <c r="F845" s="7"/>
      <c r="G845" s="7"/>
      <c r="H845" s="7"/>
      <c r="I845" s="4"/>
      <c r="J845" s="7"/>
      <c r="K845" s="7"/>
      <c r="L845" s="7"/>
      <c r="M845" s="7"/>
      <c r="N845" s="4"/>
      <c r="O845" s="4"/>
      <c r="P845" s="4"/>
      <c r="Q845" s="4"/>
      <c r="R845" s="4"/>
      <c r="S845" s="7"/>
      <c r="T845" s="7"/>
      <c r="U845" s="7"/>
      <c r="V845" s="7"/>
      <c r="W845" s="7"/>
      <c r="X845" s="7"/>
      <c r="Y845" s="4"/>
      <c r="Z845" s="4"/>
      <c r="AA845" s="4"/>
      <c r="AB845" s="4"/>
      <c r="AC845" s="4"/>
      <c r="AD845" s="4"/>
      <c r="AE845" s="4"/>
      <c r="AF845" s="4"/>
      <c r="AG845" s="49"/>
      <c r="AH845" s="4"/>
      <c r="AI845" s="4"/>
      <c r="AJ845" s="4"/>
      <c r="AK845" s="4"/>
      <c r="AL845" s="4"/>
      <c r="AM845" s="4"/>
      <c r="AN845" s="44"/>
      <c r="AO845" s="8"/>
      <c r="AP845" s="8"/>
      <c r="AQ845" s="8"/>
      <c r="AR845" s="8"/>
      <c r="AS845" s="8"/>
      <c r="AT845" s="8"/>
      <c r="AU845" s="8"/>
      <c r="AV845" s="46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4"/>
      <c r="BX845" s="4"/>
    </row>
    <row r="846" spans="1:76" s="16" customFormat="1" x14ac:dyDescent="0.25">
      <c r="A846" s="26"/>
      <c r="B846" s="6"/>
      <c r="C846" s="7"/>
      <c r="D846" s="7"/>
      <c r="E846" s="7"/>
      <c r="F846" s="7"/>
      <c r="G846" s="7"/>
      <c r="H846" s="7"/>
      <c r="I846" s="4"/>
      <c r="J846" s="7"/>
      <c r="K846" s="7"/>
      <c r="L846" s="7"/>
      <c r="M846" s="7"/>
      <c r="N846" s="4"/>
      <c r="O846" s="4"/>
      <c r="P846" s="4"/>
      <c r="Q846" s="4"/>
      <c r="R846" s="4"/>
      <c r="S846" s="7"/>
      <c r="T846" s="7"/>
      <c r="U846" s="7"/>
      <c r="V846" s="7"/>
      <c r="W846" s="7"/>
      <c r="X846" s="7"/>
      <c r="Y846" s="4"/>
      <c r="Z846" s="4"/>
      <c r="AA846" s="4"/>
      <c r="AB846" s="4"/>
      <c r="AC846" s="4"/>
      <c r="AD846" s="4"/>
      <c r="AE846" s="4"/>
      <c r="AF846" s="4"/>
      <c r="AG846" s="49"/>
      <c r="AH846" s="4"/>
      <c r="AI846" s="4"/>
      <c r="AJ846" s="4"/>
      <c r="AK846" s="4"/>
      <c r="AL846" s="4"/>
      <c r="AM846" s="4"/>
      <c r="AN846" s="44"/>
      <c r="AO846" s="8"/>
      <c r="AP846" s="8"/>
      <c r="AQ846" s="8"/>
      <c r="AR846" s="8"/>
      <c r="AS846" s="8"/>
      <c r="AT846" s="8"/>
      <c r="AU846" s="8"/>
      <c r="AV846" s="46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4"/>
      <c r="BX846" s="4"/>
    </row>
    <row r="847" spans="1:76" s="16" customFormat="1" x14ac:dyDescent="0.25">
      <c r="A847" s="26"/>
      <c r="B847" s="6"/>
      <c r="C847" s="7"/>
      <c r="D847" s="7"/>
      <c r="E847" s="7"/>
      <c r="F847" s="7"/>
      <c r="G847" s="7"/>
      <c r="H847" s="7"/>
      <c r="I847" s="4"/>
      <c r="J847" s="7"/>
      <c r="K847" s="7"/>
      <c r="L847" s="7"/>
      <c r="M847" s="7"/>
      <c r="N847" s="4"/>
      <c r="O847" s="4"/>
      <c r="P847" s="4"/>
      <c r="Q847" s="4"/>
      <c r="R847" s="4"/>
      <c r="S847" s="7"/>
      <c r="T847" s="7"/>
      <c r="U847" s="7"/>
      <c r="V847" s="7"/>
      <c r="W847" s="7"/>
      <c r="X847" s="7"/>
      <c r="Y847" s="4"/>
      <c r="Z847" s="4"/>
      <c r="AA847" s="4"/>
      <c r="AB847" s="4"/>
      <c r="AC847" s="4"/>
      <c r="AD847" s="4"/>
      <c r="AE847" s="4"/>
      <c r="AF847" s="4"/>
      <c r="AG847" s="49"/>
      <c r="AH847" s="4"/>
      <c r="AI847" s="4"/>
      <c r="AJ847" s="4"/>
      <c r="AK847" s="4"/>
      <c r="AL847" s="4"/>
      <c r="AM847" s="4"/>
      <c r="AN847" s="44"/>
      <c r="AO847" s="8"/>
      <c r="AP847" s="8"/>
      <c r="AQ847" s="8"/>
      <c r="AR847" s="8"/>
      <c r="AS847" s="8"/>
      <c r="AT847" s="8"/>
      <c r="AU847" s="8"/>
      <c r="AV847" s="46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4"/>
      <c r="BX847" s="4"/>
    </row>
    <row r="848" spans="1:76" s="16" customFormat="1" x14ac:dyDescent="0.25">
      <c r="A848" s="26"/>
      <c r="B848" s="6"/>
      <c r="C848" s="7"/>
      <c r="D848" s="7"/>
      <c r="E848" s="7"/>
      <c r="F848" s="7"/>
      <c r="G848" s="7"/>
      <c r="H848" s="7"/>
      <c r="I848" s="4"/>
      <c r="J848" s="7"/>
      <c r="K848" s="7"/>
      <c r="L848" s="7"/>
      <c r="M848" s="7"/>
      <c r="N848" s="4"/>
      <c r="O848" s="4"/>
      <c r="P848" s="4"/>
      <c r="Q848" s="4"/>
      <c r="R848" s="4"/>
      <c r="S848" s="7"/>
      <c r="T848" s="7"/>
      <c r="U848" s="7"/>
      <c r="V848" s="7"/>
      <c r="W848" s="7"/>
      <c r="X848" s="7"/>
      <c r="Y848" s="4"/>
      <c r="Z848" s="4"/>
      <c r="AA848" s="4"/>
      <c r="AB848" s="4"/>
      <c r="AC848" s="4"/>
      <c r="AD848" s="4"/>
      <c r="AE848" s="4"/>
      <c r="AF848" s="4"/>
      <c r="AG848" s="49"/>
      <c r="AH848" s="4"/>
      <c r="AI848" s="4"/>
      <c r="AJ848" s="4"/>
      <c r="AK848" s="4"/>
      <c r="AL848" s="4"/>
      <c r="AM848" s="4"/>
      <c r="AN848" s="44"/>
      <c r="AO848" s="8"/>
      <c r="AP848" s="8"/>
      <c r="AQ848" s="8"/>
      <c r="AR848" s="8"/>
      <c r="AS848" s="8"/>
      <c r="AT848" s="8"/>
      <c r="AU848" s="8"/>
      <c r="AV848" s="46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4"/>
      <c r="BX848" s="4"/>
    </row>
    <row r="849" spans="1:76" s="16" customFormat="1" x14ac:dyDescent="0.25">
      <c r="A849" s="26"/>
      <c r="B849" s="6"/>
      <c r="C849" s="7"/>
      <c r="D849" s="7"/>
      <c r="E849" s="7"/>
      <c r="F849" s="7"/>
      <c r="G849" s="7"/>
      <c r="H849" s="7"/>
      <c r="I849" s="4"/>
      <c r="J849" s="7"/>
      <c r="K849" s="7"/>
      <c r="L849" s="7"/>
      <c r="M849" s="7"/>
      <c r="N849" s="4"/>
      <c r="O849" s="4"/>
      <c r="P849" s="4"/>
      <c r="Q849" s="4"/>
      <c r="R849" s="4"/>
      <c r="S849" s="7"/>
      <c r="T849" s="7"/>
      <c r="U849" s="7"/>
      <c r="V849" s="7"/>
      <c r="W849" s="7"/>
      <c r="X849" s="7"/>
      <c r="Y849" s="4"/>
      <c r="Z849" s="4"/>
      <c r="AA849" s="4"/>
      <c r="AB849" s="4"/>
      <c r="AC849" s="4"/>
      <c r="AD849" s="4"/>
      <c r="AE849" s="4"/>
      <c r="AF849" s="4"/>
      <c r="AG849" s="49"/>
      <c r="AH849" s="4"/>
      <c r="AI849" s="4"/>
      <c r="AJ849" s="4"/>
      <c r="AK849" s="4"/>
      <c r="AL849" s="4"/>
      <c r="AM849" s="4"/>
      <c r="AN849" s="44"/>
      <c r="AO849" s="8"/>
      <c r="AP849" s="8"/>
      <c r="AQ849" s="8"/>
      <c r="AR849" s="8"/>
      <c r="AS849" s="8"/>
      <c r="AT849" s="8"/>
      <c r="AU849" s="8"/>
      <c r="AV849" s="46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4"/>
      <c r="BX849" s="4"/>
    </row>
    <row r="850" spans="1:76" s="16" customFormat="1" x14ac:dyDescent="0.25">
      <c r="A850" s="26"/>
      <c r="B850" s="6"/>
      <c r="C850" s="7"/>
      <c r="D850" s="7"/>
      <c r="E850" s="7"/>
      <c r="F850" s="7"/>
      <c r="G850" s="7"/>
      <c r="H850" s="7"/>
      <c r="I850" s="4"/>
      <c r="J850" s="7"/>
      <c r="K850" s="7"/>
      <c r="L850" s="7"/>
      <c r="M850" s="7"/>
      <c r="N850" s="4"/>
      <c r="O850" s="4"/>
      <c r="P850" s="4"/>
      <c r="Q850" s="4"/>
      <c r="R850" s="4"/>
      <c r="S850" s="7"/>
      <c r="T850" s="7"/>
      <c r="U850" s="7"/>
      <c r="V850" s="7"/>
      <c r="W850" s="7"/>
      <c r="X850" s="7"/>
      <c r="Y850" s="4"/>
      <c r="Z850" s="4"/>
      <c r="AA850" s="4"/>
      <c r="AB850" s="4"/>
      <c r="AC850" s="4"/>
      <c r="AD850" s="4"/>
      <c r="AE850" s="4"/>
      <c r="AF850" s="4"/>
      <c r="AG850" s="49"/>
      <c r="AH850" s="4"/>
      <c r="AI850" s="4"/>
      <c r="AJ850" s="4"/>
      <c r="AK850" s="4"/>
      <c r="AL850" s="4"/>
      <c r="AM850" s="4"/>
      <c r="AN850" s="44"/>
      <c r="AO850" s="8"/>
      <c r="AP850" s="8"/>
      <c r="AQ850" s="8"/>
      <c r="AR850" s="8"/>
      <c r="AS850" s="8"/>
      <c r="AT850" s="8"/>
      <c r="AU850" s="8"/>
      <c r="AV850" s="46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4"/>
      <c r="BX850" s="4"/>
    </row>
    <row r="851" spans="1:76" s="16" customFormat="1" x14ac:dyDescent="0.25">
      <c r="A851" s="26"/>
      <c r="B851" s="6"/>
      <c r="C851" s="7"/>
      <c r="D851" s="7"/>
      <c r="E851" s="7"/>
      <c r="F851" s="7"/>
      <c r="G851" s="7"/>
      <c r="H851" s="7"/>
      <c r="I851" s="4"/>
      <c r="J851" s="7"/>
      <c r="K851" s="7"/>
      <c r="L851" s="7"/>
      <c r="M851" s="7"/>
      <c r="N851" s="4"/>
      <c r="O851" s="4"/>
      <c r="P851" s="4"/>
      <c r="Q851" s="4"/>
      <c r="R851" s="4"/>
      <c r="S851" s="7"/>
      <c r="T851" s="7"/>
      <c r="U851" s="7"/>
      <c r="V851" s="7"/>
      <c r="W851" s="7"/>
      <c r="X851" s="7"/>
      <c r="Y851" s="4"/>
      <c r="Z851" s="4"/>
      <c r="AA851" s="4"/>
      <c r="AB851" s="4"/>
      <c r="AC851" s="4"/>
      <c r="AD851" s="4"/>
      <c r="AE851" s="4"/>
      <c r="AF851" s="4"/>
      <c r="AG851" s="49"/>
      <c r="AH851" s="4"/>
      <c r="AI851" s="4"/>
      <c r="AJ851" s="4"/>
      <c r="AK851" s="4"/>
      <c r="AL851" s="4"/>
      <c r="AM851" s="4"/>
      <c r="AN851" s="44"/>
      <c r="AO851" s="8"/>
      <c r="AP851" s="8"/>
      <c r="AQ851" s="8"/>
      <c r="AR851" s="8"/>
      <c r="AS851" s="8"/>
      <c r="AT851" s="8"/>
      <c r="AU851" s="8"/>
      <c r="AV851" s="46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4"/>
      <c r="BX851" s="4"/>
    </row>
    <row r="852" spans="1:76" s="16" customFormat="1" x14ac:dyDescent="0.25">
      <c r="A852" s="26"/>
      <c r="B852" s="6"/>
      <c r="C852" s="7"/>
      <c r="D852" s="7"/>
      <c r="E852" s="7"/>
      <c r="F852" s="7"/>
      <c r="G852" s="7"/>
      <c r="H852" s="7"/>
      <c r="I852" s="4"/>
      <c r="J852" s="7"/>
      <c r="K852" s="7"/>
      <c r="L852" s="7"/>
      <c r="M852" s="7"/>
      <c r="N852" s="4"/>
      <c r="O852" s="4"/>
      <c r="P852" s="4"/>
      <c r="Q852" s="4"/>
      <c r="R852" s="4"/>
      <c r="S852" s="7"/>
      <c r="T852" s="7"/>
      <c r="U852" s="7"/>
      <c r="V852" s="7"/>
      <c r="W852" s="7"/>
      <c r="X852" s="7"/>
      <c r="Y852" s="4"/>
      <c r="Z852" s="4"/>
      <c r="AA852" s="4"/>
      <c r="AB852" s="4"/>
      <c r="AC852" s="4"/>
      <c r="AD852" s="4"/>
      <c r="AE852" s="4"/>
      <c r="AF852" s="4"/>
      <c r="AG852" s="49"/>
      <c r="AH852" s="4"/>
      <c r="AI852" s="4"/>
      <c r="AJ852" s="4"/>
      <c r="AK852" s="4"/>
      <c r="AL852" s="4"/>
      <c r="AM852" s="4"/>
      <c r="AN852" s="44"/>
      <c r="AO852" s="8"/>
      <c r="AP852" s="8"/>
      <c r="AQ852" s="8"/>
      <c r="AR852" s="8"/>
      <c r="AS852" s="8"/>
      <c r="AT852" s="8"/>
      <c r="AU852" s="8"/>
      <c r="AV852" s="46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4"/>
      <c r="BX852" s="4"/>
    </row>
    <row r="853" spans="1:76" s="16" customFormat="1" x14ac:dyDescent="0.25">
      <c r="A853" s="26"/>
      <c r="B853" s="6"/>
      <c r="C853" s="7"/>
      <c r="D853" s="7"/>
      <c r="E853" s="7"/>
      <c r="F853" s="7"/>
      <c r="G853" s="7"/>
      <c r="H853" s="7"/>
      <c r="I853" s="4"/>
      <c r="J853" s="7"/>
      <c r="K853" s="7"/>
      <c r="L853" s="7"/>
      <c r="M853" s="7"/>
      <c r="N853" s="4"/>
      <c r="O853" s="4"/>
      <c r="P853" s="4"/>
      <c r="Q853" s="4"/>
      <c r="R853" s="4"/>
      <c r="S853" s="7"/>
      <c r="T853" s="7"/>
      <c r="U853" s="7"/>
      <c r="V853" s="7"/>
      <c r="W853" s="7"/>
      <c r="X853" s="7"/>
      <c r="Y853" s="4"/>
      <c r="Z853" s="4"/>
      <c r="AA853" s="4"/>
      <c r="AB853" s="4"/>
      <c r="AC853" s="4"/>
      <c r="AD853" s="4"/>
      <c r="AE853" s="4"/>
      <c r="AF853" s="4"/>
      <c r="AG853" s="49"/>
      <c r="AH853" s="4"/>
      <c r="AI853" s="4"/>
      <c r="AJ853" s="4"/>
      <c r="AK853" s="4"/>
      <c r="AL853" s="4"/>
      <c r="AM853" s="4"/>
      <c r="AN853" s="44"/>
      <c r="AO853" s="8"/>
      <c r="AP853" s="8"/>
      <c r="AQ853" s="8"/>
      <c r="AR853" s="8"/>
      <c r="AS853" s="8"/>
      <c r="AT853" s="8"/>
      <c r="AU853" s="8"/>
      <c r="AV853" s="46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4"/>
      <c r="BX853" s="4"/>
    </row>
    <row r="854" spans="1:76" s="16" customFormat="1" x14ac:dyDescent="0.25">
      <c r="A854" s="26"/>
      <c r="B854" s="6"/>
      <c r="C854" s="7"/>
      <c r="D854" s="7"/>
      <c r="E854" s="7"/>
      <c r="F854" s="7"/>
      <c r="G854" s="7"/>
      <c r="H854" s="7"/>
      <c r="I854" s="4"/>
      <c r="J854" s="7"/>
      <c r="K854" s="7"/>
      <c r="L854" s="7"/>
      <c r="M854" s="7"/>
      <c r="N854" s="4"/>
      <c r="O854" s="4"/>
      <c r="P854" s="4"/>
      <c r="Q854" s="4"/>
      <c r="R854" s="4"/>
      <c r="S854" s="7"/>
      <c r="T854" s="7"/>
      <c r="U854" s="7"/>
      <c r="V854" s="7"/>
      <c r="W854" s="7"/>
      <c r="X854" s="7"/>
      <c r="Y854" s="4"/>
      <c r="Z854" s="4"/>
      <c r="AA854" s="4"/>
      <c r="AB854" s="4"/>
      <c r="AC854" s="4"/>
      <c r="AD854" s="4"/>
      <c r="AE854" s="4"/>
      <c r="AF854" s="4"/>
      <c r="AG854" s="49"/>
      <c r="AH854" s="4"/>
      <c r="AI854" s="4"/>
      <c r="AJ854" s="4"/>
      <c r="AK854" s="4"/>
      <c r="AL854" s="4"/>
      <c r="AM854" s="4"/>
      <c r="AN854" s="44"/>
      <c r="AO854" s="8"/>
      <c r="AP854" s="8"/>
      <c r="AQ854" s="8"/>
      <c r="AR854" s="8"/>
      <c r="AS854" s="8"/>
      <c r="AT854" s="8"/>
      <c r="AU854" s="8"/>
      <c r="AV854" s="46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4"/>
      <c r="BX854" s="4"/>
    </row>
    <row r="855" spans="1:76" s="16" customFormat="1" x14ac:dyDescent="0.25">
      <c r="A855" s="26"/>
      <c r="B855" s="6"/>
      <c r="C855" s="7"/>
      <c r="D855" s="7"/>
      <c r="E855" s="7"/>
      <c r="F855" s="7"/>
      <c r="G855" s="7"/>
      <c r="H855" s="7"/>
      <c r="I855" s="4"/>
      <c r="J855" s="7"/>
      <c r="K855" s="7"/>
      <c r="L855" s="7"/>
      <c r="M855" s="7"/>
      <c r="N855" s="4"/>
      <c r="O855" s="4"/>
      <c r="P855" s="4"/>
      <c r="Q855" s="4"/>
      <c r="R855" s="4"/>
      <c r="S855" s="7"/>
      <c r="T855" s="7"/>
      <c r="U855" s="7"/>
      <c r="V855" s="7"/>
      <c r="W855" s="7"/>
      <c r="X855" s="7"/>
      <c r="Y855" s="4"/>
      <c r="Z855" s="4"/>
      <c r="AA855" s="4"/>
      <c r="AB855" s="4"/>
      <c r="AC855" s="4"/>
      <c r="AD855" s="4"/>
      <c r="AE855" s="4"/>
      <c r="AF855" s="4"/>
      <c r="AG855" s="49"/>
      <c r="AH855" s="4"/>
      <c r="AI855" s="4"/>
      <c r="AJ855" s="4"/>
      <c r="AK855" s="4"/>
      <c r="AL855" s="4"/>
      <c r="AM855" s="4"/>
      <c r="AN855" s="44"/>
      <c r="AO855" s="8"/>
      <c r="AP855" s="8"/>
      <c r="AQ855" s="8"/>
      <c r="AR855" s="8"/>
      <c r="AS855" s="8"/>
      <c r="AT855" s="8"/>
      <c r="AU855" s="8"/>
      <c r="AV855" s="46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4"/>
      <c r="BX855" s="4"/>
    </row>
    <row r="856" spans="1:76" s="16" customFormat="1" x14ac:dyDescent="0.25">
      <c r="A856" s="26"/>
      <c r="B856" s="6"/>
      <c r="C856" s="7"/>
      <c r="D856" s="7"/>
      <c r="E856" s="7"/>
      <c r="F856" s="7"/>
      <c r="G856" s="7"/>
      <c r="H856" s="7"/>
      <c r="I856" s="4"/>
      <c r="J856" s="7"/>
      <c r="K856" s="7"/>
      <c r="L856" s="7"/>
      <c r="M856" s="7"/>
      <c r="N856" s="4"/>
      <c r="O856" s="4"/>
      <c r="P856" s="4"/>
      <c r="Q856" s="4"/>
      <c r="R856" s="4"/>
      <c r="S856" s="7"/>
      <c r="T856" s="7"/>
      <c r="U856" s="7"/>
      <c r="V856" s="7"/>
      <c r="W856" s="7"/>
      <c r="X856" s="7"/>
      <c r="Y856" s="4"/>
      <c r="Z856" s="4"/>
      <c r="AA856" s="4"/>
      <c r="AB856" s="4"/>
      <c r="AC856" s="4"/>
      <c r="AD856" s="4"/>
      <c r="AE856" s="4"/>
      <c r="AF856" s="4"/>
      <c r="AG856" s="49"/>
      <c r="AH856" s="4"/>
      <c r="AI856" s="4"/>
      <c r="AJ856" s="4"/>
      <c r="AK856" s="4"/>
      <c r="AL856" s="4"/>
      <c r="AM856" s="4"/>
      <c r="AN856" s="44"/>
      <c r="AO856" s="8"/>
      <c r="AP856" s="8"/>
      <c r="AQ856" s="8"/>
      <c r="AR856" s="8"/>
      <c r="AS856" s="8"/>
      <c r="AT856" s="8"/>
      <c r="AU856" s="8"/>
      <c r="AV856" s="46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4"/>
      <c r="BX856" s="4"/>
    </row>
    <row r="857" spans="1:76" s="16" customFormat="1" x14ac:dyDescent="0.25">
      <c r="A857" s="26"/>
      <c r="B857" s="6"/>
      <c r="C857" s="7"/>
      <c r="D857" s="7"/>
      <c r="E857" s="7"/>
      <c r="F857" s="7"/>
      <c r="G857" s="7"/>
      <c r="H857" s="7"/>
      <c r="I857" s="4"/>
      <c r="J857" s="7"/>
      <c r="K857" s="7"/>
      <c r="L857" s="7"/>
      <c r="M857" s="7"/>
      <c r="N857" s="4"/>
      <c r="O857" s="4"/>
      <c r="P857" s="4"/>
      <c r="Q857" s="4"/>
      <c r="R857" s="4"/>
      <c r="S857" s="7"/>
      <c r="T857" s="7"/>
      <c r="U857" s="7"/>
      <c r="V857" s="7"/>
      <c r="W857" s="7"/>
      <c r="X857" s="7"/>
      <c r="Y857" s="4"/>
      <c r="Z857" s="4"/>
      <c r="AA857" s="4"/>
      <c r="AB857" s="4"/>
      <c r="AC857" s="4"/>
      <c r="AD857" s="4"/>
      <c r="AE857" s="4"/>
      <c r="AF857" s="4"/>
      <c r="AG857" s="49"/>
      <c r="AH857" s="4"/>
      <c r="AI857" s="4"/>
      <c r="AJ857" s="4"/>
      <c r="AK857" s="4"/>
      <c r="AL857" s="4"/>
      <c r="AM857" s="4"/>
      <c r="AN857" s="44"/>
      <c r="AO857" s="8"/>
      <c r="AP857" s="8"/>
      <c r="AQ857" s="8"/>
      <c r="AR857" s="8"/>
      <c r="AS857" s="8"/>
      <c r="AT857" s="8"/>
      <c r="AU857" s="8"/>
      <c r="AV857" s="46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4"/>
      <c r="BX857" s="4"/>
    </row>
    <row r="858" spans="1:76" s="16" customFormat="1" x14ac:dyDescent="0.25">
      <c r="A858" s="26"/>
      <c r="B858" s="6"/>
      <c r="C858" s="7"/>
      <c r="D858" s="7"/>
      <c r="E858" s="7"/>
      <c r="F858" s="7"/>
      <c r="G858" s="7"/>
      <c r="H858" s="7"/>
      <c r="I858" s="4"/>
      <c r="J858" s="7"/>
      <c r="K858" s="7"/>
      <c r="L858" s="7"/>
      <c r="M858" s="7"/>
      <c r="N858" s="4"/>
      <c r="O858" s="4"/>
      <c r="P858" s="4"/>
      <c r="Q858" s="4"/>
      <c r="R858" s="4"/>
      <c r="S858" s="7"/>
      <c r="T858" s="7"/>
      <c r="U858" s="7"/>
      <c r="V858" s="7"/>
      <c r="W858" s="7"/>
      <c r="X858" s="7"/>
      <c r="Y858" s="4"/>
      <c r="Z858" s="4"/>
      <c r="AA858" s="4"/>
      <c r="AB858" s="4"/>
      <c r="AC858" s="4"/>
      <c r="AD858" s="4"/>
      <c r="AE858" s="4"/>
      <c r="AF858" s="4"/>
      <c r="AG858" s="49"/>
      <c r="AH858" s="4"/>
      <c r="AI858" s="4"/>
      <c r="AJ858" s="4"/>
      <c r="AK858" s="4"/>
      <c r="AL858" s="4"/>
      <c r="AM858" s="4"/>
      <c r="AN858" s="44"/>
      <c r="AO858" s="8"/>
      <c r="AP858" s="8"/>
      <c r="AQ858" s="8"/>
      <c r="AR858" s="8"/>
      <c r="AS858" s="8"/>
      <c r="AT858" s="8"/>
      <c r="AU858" s="8"/>
      <c r="AV858" s="46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4"/>
      <c r="BX858" s="4"/>
    </row>
    <row r="859" spans="1:76" s="16" customFormat="1" x14ac:dyDescent="0.25">
      <c r="A859" s="26"/>
      <c r="B859" s="6"/>
      <c r="C859" s="7"/>
      <c r="D859" s="7"/>
      <c r="E859" s="7"/>
      <c r="F859" s="7"/>
      <c r="G859" s="7"/>
      <c r="H859" s="7"/>
      <c r="I859" s="4"/>
      <c r="J859" s="7"/>
      <c r="K859" s="7"/>
      <c r="L859" s="7"/>
      <c r="M859" s="7"/>
      <c r="N859" s="4"/>
      <c r="O859" s="4"/>
      <c r="P859" s="4"/>
      <c r="Q859" s="4"/>
      <c r="R859" s="4"/>
      <c r="S859" s="7"/>
      <c r="T859" s="7"/>
      <c r="U859" s="7"/>
      <c r="V859" s="7"/>
      <c r="W859" s="7"/>
      <c r="X859" s="7"/>
      <c r="Y859" s="4"/>
      <c r="Z859" s="4"/>
      <c r="AA859" s="4"/>
      <c r="AB859" s="4"/>
      <c r="AC859" s="4"/>
      <c r="AD859" s="4"/>
      <c r="AE859" s="4"/>
      <c r="AF859" s="4"/>
      <c r="AG859" s="49"/>
      <c r="AH859" s="4"/>
      <c r="AI859" s="4"/>
      <c r="AJ859" s="4"/>
      <c r="AK859" s="4"/>
      <c r="AL859" s="4"/>
      <c r="AM859" s="4"/>
      <c r="AN859" s="44"/>
      <c r="AO859" s="8"/>
      <c r="AP859" s="8"/>
      <c r="AQ859" s="8"/>
      <c r="AR859" s="8"/>
      <c r="AS859" s="8"/>
      <c r="AT859" s="8"/>
      <c r="AU859" s="8"/>
      <c r="AV859" s="46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4"/>
      <c r="BX859" s="4"/>
    </row>
    <row r="860" spans="1:76" s="16" customFormat="1" x14ac:dyDescent="0.25">
      <c r="A860" s="26"/>
      <c r="B860" s="6"/>
      <c r="C860" s="7"/>
      <c r="D860" s="7"/>
      <c r="E860" s="7"/>
      <c r="F860" s="7"/>
      <c r="G860" s="7"/>
      <c r="H860" s="7"/>
      <c r="I860" s="4"/>
      <c r="J860" s="7"/>
      <c r="K860" s="7"/>
      <c r="L860" s="7"/>
      <c r="M860" s="7"/>
      <c r="N860" s="4"/>
      <c r="O860" s="4"/>
      <c r="P860" s="4"/>
      <c r="Q860" s="4"/>
      <c r="R860" s="4"/>
      <c r="S860" s="7"/>
      <c r="T860" s="7"/>
      <c r="U860" s="7"/>
      <c r="V860" s="7"/>
      <c r="W860" s="7"/>
      <c r="X860" s="7"/>
      <c r="Y860" s="4"/>
      <c r="Z860" s="4"/>
      <c r="AA860" s="4"/>
      <c r="AB860" s="4"/>
      <c r="AC860" s="4"/>
      <c r="AD860" s="4"/>
      <c r="AE860" s="4"/>
      <c r="AF860" s="4"/>
      <c r="AG860" s="49"/>
      <c r="AH860" s="4"/>
      <c r="AI860" s="4"/>
      <c r="AJ860" s="4"/>
      <c r="AK860" s="4"/>
      <c r="AL860" s="4"/>
      <c r="AM860" s="4"/>
      <c r="AN860" s="44"/>
      <c r="AO860" s="8"/>
      <c r="AP860" s="8"/>
      <c r="AQ860" s="8"/>
      <c r="AR860" s="8"/>
      <c r="AS860" s="8"/>
      <c r="AT860" s="8"/>
      <c r="AU860" s="8"/>
      <c r="AV860" s="46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4"/>
      <c r="BX860" s="4"/>
    </row>
    <row r="861" spans="1:76" s="16" customFormat="1" x14ac:dyDescent="0.25">
      <c r="A861" s="26"/>
      <c r="B861" s="6"/>
      <c r="C861" s="7"/>
      <c r="D861" s="7"/>
      <c r="E861" s="7"/>
      <c r="F861" s="7"/>
      <c r="G861" s="7"/>
      <c r="H861" s="7"/>
      <c r="I861" s="4"/>
      <c r="J861" s="7"/>
      <c r="K861" s="7"/>
      <c r="L861" s="7"/>
      <c r="M861" s="7"/>
      <c r="N861" s="4"/>
      <c r="O861" s="4"/>
      <c r="P861" s="4"/>
      <c r="Q861" s="4"/>
      <c r="R861" s="4"/>
      <c r="S861" s="7"/>
      <c r="T861" s="7"/>
      <c r="U861" s="7"/>
      <c r="V861" s="7"/>
      <c r="W861" s="7"/>
      <c r="X861" s="7"/>
      <c r="Y861" s="4"/>
      <c r="Z861" s="4"/>
      <c r="AA861" s="4"/>
      <c r="AB861" s="4"/>
      <c r="AC861" s="4"/>
      <c r="AD861" s="4"/>
      <c r="AE861" s="4"/>
      <c r="AF861" s="4"/>
      <c r="AG861" s="49"/>
      <c r="AH861" s="4"/>
      <c r="AI861" s="4"/>
      <c r="AJ861" s="4"/>
      <c r="AK861" s="4"/>
      <c r="AL861" s="4"/>
      <c r="AM861" s="4"/>
      <c r="AN861" s="44"/>
      <c r="AO861" s="8"/>
      <c r="AP861" s="8"/>
      <c r="AQ861" s="8"/>
      <c r="AR861" s="8"/>
      <c r="AS861" s="8"/>
      <c r="AT861" s="8"/>
      <c r="AU861" s="8"/>
      <c r="AV861" s="46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4"/>
      <c r="BX861" s="4"/>
    </row>
    <row r="862" spans="1:76" s="16" customFormat="1" x14ac:dyDescent="0.25">
      <c r="A862" s="26"/>
      <c r="B862" s="6"/>
      <c r="C862" s="7"/>
      <c r="D862" s="7"/>
      <c r="E862" s="7"/>
      <c r="F862" s="7"/>
      <c r="G862" s="7"/>
      <c r="H862" s="7"/>
      <c r="I862" s="4"/>
      <c r="J862" s="7"/>
      <c r="K862" s="7"/>
      <c r="L862" s="7"/>
      <c r="M862" s="7"/>
      <c r="N862" s="4"/>
      <c r="O862" s="4"/>
      <c r="P862" s="4"/>
      <c r="Q862" s="4"/>
      <c r="R862" s="4"/>
      <c r="S862" s="7"/>
      <c r="T862" s="7"/>
      <c r="U862" s="7"/>
      <c r="V862" s="7"/>
      <c r="W862" s="7"/>
      <c r="X862" s="7"/>
      <c r="Y862" s="4"/>
      <c r="Z862" s="4"/>
      <c r="AA862" s="4"/>
      <c r="AB862" s="4"/>
      <c r="AC862" s="4"/>
      <c r="AD862" s="4"/>
      <c r="AE862" s="4"/>
      <c r="AF862" s="4"/>
      <c r="AG862" s="49"/>
      <c r="AH862" s="4"/>
      <c r="AI862" s="4"/>
      <c r="AJ862" s="4"/>
      <c r="AK862" s="4"/>
      <c r="AL862" s="4"/>
      <c r="AM862" s="4"/>
      <c r="AN862" s="44"/>
      <c r="AO862" s="8"/>
      <c r="AP862" s="8"/>
      <c r="AQ862" s="8"/>
      <c r="AR862" s="8"/>
      <c r="AS862" s="8"/>
      <c r="AT862" s="8"/>
      <c r="AU862" s="8"/>
      <c r="AV862" s="46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4"/>
      <c r="BX862" s="4"/>
    </row>
    <row r="863" spans="1:76" s="16" customFormat="1" x14ac:dyDescent="0.25">
      <c r="A863" s="26"/>
      <c r="B863" s="6"/>
      <c r="C863" s="7"/>
      <c r="D863" s="7"/>
      <c r="E863" s="7"/>
      <c r="F863" s="7"/>
      <c r="G863" s="7"/>
      <c r="H863" s="7"/>
      <c r="I863" s="4"/>
      <c r="J863" s="7"/>
      <c r="K863" s="7"/>
      <c r="L863" s="7"/>
      <c r="M863" s="7"/>
      <c r="N863" s="4"/>
      <c r="O863" s="4"/>
      <c r="P863" s="4"/>
      <c r="Q863" s="4"/>
      <c r="R863" s="4"/>
      <c r="S863" s="7"/>
      <c r="T863" s="7"/>
      <c r="U863" s="7"/>
      <c r="V863" s="7"/>
      <c r="W863" s="7"/>
      <c r="X863" s="7"/>
      <c r="Y863" s="4"/>
      <c r="Z863" s="4"/>
      <c r="AA863" s="4"/>
      <c r="AB863" s="4"/>
      <c r="AC863" s="4"/>
      <c r="AD863" s="4"/>
      <c r="AE863" s="4"/>
      <c r="AF863" s="4"/>
      <c r="AG863" s="49"/>
      <c r="AH863" s="4"/>
      <c r="AI863" s="4"/>
      <c r="AJ863" s="4"/>
      <c r="AK863" s="4"/>
      <c r="AL863" s="4"/>
      <c r="AM863" s="4"/>
      <c r="AN863" s="44"/>
      <c r="AO863" s="8"/>
      <c r="AP863" s="8"/>
      <c r="AQ863" s="8"/>
      <c r="AR863" s="8"/>
      <c r="AS863" s="8"/>
      <c r="AT863" s="8"/>
      <c r="AU863" s="8"/>
      <c r="AV863" s="46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4"/>
      <c r="BX863" s="4"/>
    </row>
    <row r="864" spans="1:76" s="16" customFormat="1" x14ac:dyDescent="0.25">
      <c r="A864" s="26"/>
      <c r="B864" s="6"/>
      <c r="C864" s="7"/>
      <c r="D864" s="7"/>
      <c r="E864" s="7"/>
      <c r="F864" s="7"/>
      <c r="G864" s="7"/>
      <c r="H864" s="7"/>
      <c r="I864" s="4"/>
      <c r="J864" s="7"/>
      <c r="K864" s="7"/>
      <c r="L864" s="7"/>
      <c r="M864" s="7"/>
      <c r="N864" s="4"/>
      <c r="O864" s="4"/>
      <c r="P864" s="4"/>
      <c r="Q864" s="4"/>
      <c r="R864" s="4"/>
      <c r="S864" s="7"/>
      <c r="T864" s="7"/>
      <c r="U864" s="7"/>
      <c r="V864" s="7"/>
      <c r="W864" s="7"/>
      <c r="X864" s="7"/>
      <c r="Y864" s="4"/>
      <c r="Z864" s="4"/>
      <c r="AA864" s="4"/>
      <c r="AB864" s="4"/>
      <c r="AC864" s="4"/>
      <c r="AD864" s="4"/>
      <c r="AE864" s="4"/>
      <c r="AF864" s="4"/>
      <c r="AG864" s="49"/>
      <c r="AH864" s="4"/>
      <c r="AI864" s="4"/>
      <c r="AJ864" s="4"/>
      <c r="AK864" s="4"/>
      <c r="AL864" s="4"/>
      <c r="AM864" s="4"/>
      <c r="AN864" s="44"/>
      <c r="AO864" s="8"/>
      <c r="AP864" s="8"/>
      <c r="AQ864" s="8"/>
      <c r="AR864" s="8"/>
      <c r="AS864" s="8"/>
      <c r="AT864" s="8"/>
      <c r="AU864" s="8"/>
      <c r="AV864" s="46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4"/>
      <c r="BX864" s="4"/>
    </row>
    <row r="865" spans="1:76" s="16" customFormat="1" x14ac:dyDescent="0.25">
      <c r="A865" s="26"/>
      <c r="B865" s="6"/>
      <c r="C865" s="7"/>
      <c r="D865" s="7"/>
      <c r="E865" s="7"/>
      <c r="F865" s="7"/>
      <c r="G865" s="7"/>
      <c r="H865" s="7"/>
      <c r="I865" s="4"/>
      <c r="J865" s="7"/>
      <c r="K865" s="7"/>
      <c r="L865" s="7"/>
      <c r="M865" s="7"/>
      <c r="N865" s="4"/>
      <c r="O865" s="4"/>
      <c r="P865" s="4"/>
      <c r="Q865" s="4"/>
      <c r="R865" s="4"/>
      <c r="S865" s="7"/>
      <c r="T865" s="7"/>
      <c r="U865" s="7"/>
      <c r="V865" s="7"/>
      <c r="W865" s="7"/>
      <c r="X865" s="7"/>
      <c r="Y865" s="4"/>
      <c r="Z865" s="4"/>
      <c r="AA865" s="4"/>
      <c r="AB865" s="4"/>
      <c r="AC865" s="4"/>
      <c r="AD865" s="4"/>
      <c r="AE865" s="4"/>
      <c r="AF865" s="4"/>
      <c r="AG865" s="49"/>
      <c r="AH865" s="4"/>
      <c r="AI865" s="4"/>
      <c r="AJ865" s="4"/>
      <c r="AK865" s="4"/>
      <c r="AL865" s="4"/>
      <c r="AM865" s="4"/>
      <c r="AN865" s="44"/>
      <c r="AO865" s="8"/>
      <c r="AP865" s="8"/>
      <c r="AQ865" s="8"/>
      <c r="AR865" s="8"/>
      <c r="AS865" s="8"/>
      <c r="AT865" s="8"/>
      <c r="AU865" s="8"/>
      <c r="AV865" s="46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4"/>
      <c r="BX865" s="4"/>
    </row>
    <row r="866" spans="1:76" s="16" customFormat="1" x14ac:dyDescent="0.25">
      <c r="A866" s="26"/>
      <c r="B866" s="6"/>
      <c r="C866" s="7"/>
      <c r="D866" s="7"/>
      <c r="E866" s="7"/>
      <c r="F866" s="7"/>
      <c r="G866" s="7"/>
      <c r="H866" s="7"/>
      <c r="I866" s="4"/>
      <c r="J866" s="7"/>
      <c r="K866" s="7"/>
      <c r="L866" s="7"/>
      <c r="M866" s="7"/>
      <c r="N866" s="4"/>
      <c r="O866" s="4"/>
      <c r="P866" s="4"/>
      <c r="Q866" s="4"/>
      <c r="R866" s="4"/>
      <c r="S866" s="7"/>
      <c r="T866" s="7"/>
      <c r="U866" s="7"/>
      <c r="V866" s="7"/>
      <c r="W866" s="7"/>
      <c r="X866" s="7"/>
      <c r="Y866" s="4"/>
      <c r="Z866" s="4"/>
      <c r="AA866" s="4"/>
      <c r="AB866" s="4"/>
      <c r="AC866" s="4"/>
      <c r="AD866" s="4"/>
      <c r="AE866" s="4"/>
      <c r="AF866" s="4"/>
      <c r="AG866" s="49"/>
      <c r="AH866" s="4"/>
      <c r="AI866" s="4"/>
      <c r="AJ866" s="4"/>
      <c r="AK866" s="4"/>
      <c r="AL866" s="4"/>
      <c r="AM866" s="4"/>
      <c r="AN866" s="44"/>
      <c r="AO866" s="8"/>
      <c r="AP866" s="8"/>
      <c r="AQ866" s="8"/>
      <c r="AR866" s="8"/>
      <c r="AS866" s="8"/>
      <c r="AT866" s="8"/>
      <c r="AU866" s="8"/>
      <c r="AV866" s="46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4"/>
      <c r="BX866" s="4"/>
    </row>
    <row r="867" spans="1:76" s="16" customFormat="1" x14ac:dyDescent="0.25">
      <c r="A867" s="26"/>
      <c r="B867" s="6"/>
      <c r="C867" s="7"/>
      <c r="D867" s="7"/>
      <c r="E867" s="7"/>
      <c r="F867" s="7"/>
      <c r="G867" s="7"/>
      <c r="H867" s="7"/>
      <c r="I867" s="4"/>
      <c r="J867" s="7"/>
      <c r="K867" s="7"/>
      <c r="L867" s="7"/>
      <c r="M867" s="7"/>
      <c r="N867" s="4"/>
      <c r="O867" s="4"/>
      <c r="P867" s="4"/>
      <c r="Q867" s="4"/>
      <c r="R867" s="4"/>
      <c r="S867" s="7"/>
      <c r="T867" s="7"/>
      <c r="U867" s="7"/>
      <c r="V867" s="7"/>
      <c r="W867" s="7"/>
      <c r="X867" s="7"/>
      <c r="Y867" s="4"/>
      <c r="Z867" s="4"/>
      <c r="AA867" s="4"/>
      <c r="AB867" s="4"/>
      <c r="AC867" s="4"/>
      <c r="AD867" s="4"/>
      <c r="AE867" s="4"/>
      <c r="AF867" s="4"/>
      <c r="AG867" s="49"/>
      <c r="AH867" s="4"/>
      <c r="AI867" s="4"/>
      <c r="AJ867" s="4"/>
      <c r="AK867" s="4"/>
      <c r="AL867" s="4"/>
      <c r="AM867" s="4"/>
      <c r="AN867" s="44"/>
      <c r="AO867" s="8"/>
      <c r="AP867" s="8"/>
      <c r="AQ867" s="8"/>
      <c r="AR867" s="8"/>
      <c r="AS867" s="8"/>
      <c r="AT867" s="8"/>
      <c r="AU867" s="8"/>
      <c r="AV867" s="46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4"/>
      <c r="BX867" s="4"/>
    </row>
    <row r="868" spans="1:76" s="16" customFormat="1" x14ac:dyDescent="0.25">
      <c r="A868" s="26"/>
      <c r="B868" s="6"/>
      <c r="C868" s="7"/>
      <c r="D868" s="7"/>
      <c r="E868" s="7"/>
      <c r="F868" s="7"/>
      <c r="G868" s="7"/>
      <c r="H868" s="7"/>
      <c r="I868" s="4"/>
      <c r="J868" s="7"/>
      <c r="K868" s="7"/>
      <c r="L868" s="7"/>
      <c r="M868" s="7"/>
      <c r="N868" s="4"/>
      <c r="O868" s="4"/>
      <c r="P868" s="4"/>
      <c r="Q868" s="4"/>
      <c r="R868" s="4"/>
      <c r="S868" s="7"/>
      <c r="T868" s="7"/>
      <c r="U868" s="7"/>
      <c r="V868" s="7"/>
      <c r="W868" s="7"/>
      <c r="X868" s="7"/>
      <c r="Y868" s="4"/>
      <c r="Z868" s="4"/>
      <c r="AA868" s="4"/>
      <c r="AB868" s="4"/>
      <c r="AC868" s="4"/>
      <c r="AD868" s="4"/>
      <c r="AE868" s="4"/>
      <c r="AF868" s="4"/>
      <c r="AG868" s="49"/>
      <c r="AH868" s="4"/>
      <c r="AI868" s="4"/>
      <c r="AJ868" s="4"/>
      <c r="AK868" s="4"/>
      <c r="AL868" s="4"/>
      <c r="AM868" s="4"/>
      <c r="AN868" s="44"/>
      <c r="AO868" s="8"/>
      <c r="AP868" s="8"/>
      <c r="AQ868" s="8"/>
      <c r="AR868" s="8"/>
      <c r="AS868" s="8"/>
      <c r="AT868" s="8"/>
      <c r="AU868" s="8"/>
      <c r="AV868" s="46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4"/>
      <c r="BX868" s="4"/>
    </row>
    <row r="869" spans="1:76" s="16" customFormat="1" x14ac:dyDescent="0.25">
      <c r="A869" s="26"/>
      <c r="B869" s="6"/>
      <c r="C869" s="7"/>
      <c r="D869" s="7"/>
      <c r="E869" s="7"/>
      <c r="F869" s="7"/>
      <c r="G869" s="7"/>
      <c r="H869" s="7"/>
      <c r="I869" s="4"/>
      <c r="J869" s="7"/>
      <c r="K869" s="7"/>
      <c r="L869" s="7"/>
      <c r="M869" s="7"/>
      <c r="N869" s="4"/>
      <c r="O869" s="4"/>
      <c r="P869" s="4"/>
      <c r="Q869" s="4"/>
      <c r="R869" s="4"/>
      <c r="S869" s="7"/>
      <c r="T869" s="7"/>
      <c r="U869" s="7"/>
      <c r="V869" s="7"/>
      <c r="W869" s="7"/>
      <c r="X869" s="7"/>
      <c r="Y869" s="4"/>
      <c r="Z869" s="4"/>
      <c r="AA869" s="4"/>
      <c r="AB869" s="4"/>
      <c r="AC869" s="4"/>
      <c r="AD869" s="4"/>
      <c r="AE869" s="4"/>
      <c r="AF869" s="4"/>
      <c r="AG869" s="49"/>
      <c r="AH869" s="4"/>
      <c r="AI869" s="4"/>
      <c r="AJ869" s="4"/>
      <c r="AK869" s="4"/>
      <c r="AL869" s="4"/>
      <c r="AM869" s="4"/>
      <c r="AN869" s="44"/>
      <c r="AO869" s="8"/>
      <c r="AP869" s="8"/>
      <c r="AQ869" s="8"/>
      <c r="AR869" s="8"/>
      <c r="AS869" s="8"/>
      <c r="AT869" s="8"/>
      <c r="AU869" s="8"/>
      <c r="AV869" s="46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4"/>
      <c r="BX869" s="4"/>
    </row>
    <row r="870" spans="1:76" s="16" customFormat="1" x14ac:dyDescent="0.25">
      <c r="A870" s="26"/>
      <c r="B870" s="6"/>
      <c r="C870" s="7"/>
      <c r="D870" s="7"/>
      <c r="E870" s="7"/>
      <c r="F870" s="7"/>
      <c r="G870" s="7"/>
      <c r="H870" s="7"/>
      <c r="I870" s="4"/>
      <c r="J870" s="7"/>
      <c r="K870" s="7"/>
      <c r="L870" s="7"/>
      <c r="M870" s="7"/>
      <c r="N870" s="4"/>
      <c r="O870" s="4"/>
      <c r="P870" s="4"/>
      <c r="Q870" s="4"/>
      <c r="R870" s="4"/>
      <c r="S870" s="7"/>
      <c r="T870" s="7"/>
      <c r="U870" s="7"/>
      <c r="V870" s="7"/>
      <c r="W870" s="7"/>
      <c r="X870" s="7"/>
      <c r="Y870" s="4"/>
      <c r="Z870" s="4"/>
      <c r="AA870" s="4"/>
      <c r="AB870" s="4"/>
      <c r="AC870" s="4"/>
      <c r="AD870" s="4"/>
      <c r="AE870" s="4"/>
      <c r="AF870" s="4"/>
      <c r="AG870" s="49"/>
      <c r="AH870" s="4"/>
      <c r="AI870" s="4"/>
      <c r="AJ870" s="4"/>
      <c r="AK870" s="4"/>
      <c r="AL870" s="4"/>
      <c r="AM870" s="4"/>
      <c r="AN870" s="44"/>
      <c r="AO870" s="8"/>
      <c r="AP870" s="8"/>
      <c r="AQ870" s="8"/>
      <c r="AR870" s="8"/>
      <c r="AS870" s="8"/>
      <c r="AT870" s="8"/>
      <c r="AU870" s="8"/>
      <c r="AV870" s="46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4"/>
      <c r="BX870" s="4"/>
    </row>
    <row r="871" spans="1:76" s="16" customFormat="1" x14ac:dyDescent="0.25">
      <c r="A871" s="26"/>
      <c r="B871" s="6"/>
      <c r="C871" s="7"/>
      <c r="D871" s="7"/>
      <c r="E871" s="7"/>
      <c r="F871" s="7"/>
      <c r="G871" s="7"/>
      <c r="H871" s="7"/>
      <c r="I871" s="4"/>
      <c r="J871" s="7"/>
      <c r="K871" s="7"/>
      <c r="L871" s="7"/>
      <c r="M871" s="7"/>
      <c r="N871" s="4"/>
      <c r="O871" s="4"/>
      <c r="P871" s="4"/>
      <c r="Q871" s="4"/>
      <c r="R871" s="4"/>
      <c r="S871" s="7"/>
      <c r="T871" s="7"/>
      <c r="U871" s="7"/>
      <c r="V871" s="7"/>
      <c r="W871" s="7"/>
      <c r="X871" s="7"/>
      <c r="Y871" s="4"/>
      <c r="Z871" s="4"/>
      <c r="AA871" s="4"/>
      <c r="AB871" s="4"/>
      <c r="AC871" s="4"/>
      <c r="AD871" s="4"/>
      <c r="AE871" s="4"/>
      <c r="AF871" s="4"/>
      <c r="AG871" s="49"/>
      <c r="AH871" s="4"/>
      <c r="AI871" s="4"/>
      <c r="AJ871" s="4"/>
      <c r="AK871" s="4"/>
      <c r="AL871" s="4"/>
      <c r="AM871" s="4"/>
      <c r="AN871" s="44"/>
      <c r="AO871" s="8"/>
      <c r="AP871" s="8"/>
      <c r="AQ871" s="8"/>
      <c r="AR871" s="8"/>
      <c r="AS871" s="8"/>
      <c r="AT871" s="8"/>
      <c r="AU871" s="8"/>
      <c r="AV871" s="46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4"/>
      <c r="BX871" s="4"/>
    </row>
    <row r="872" spans="1:76" s="16" customFormat="1" x14ac:dyDescent="0.25">
      <c r="A872" s="26"/>
      <c r="B872" s="6"/>
      <c r="C872" s="7"/>
      <c r="D872" s="7"/>
      <c r="E872" s="7"/>
      <c r="F872" s="7"/>
      <c r="G872" s="7"/>
      <c r="H872" s="7"/>
      <c r="I872" s="4"/>
      <c r="J872" s="7"/>
      <c r="K872" s="7"/>
      <c r="L872" s="7"/>
      <c r="M872" s="7"/>
      <c r="N872" s="4"/>
      <c r="O872" s="4"/>
      <c r="P872" s="4"/>
      <c r="Q872" s="4"/>
      <c r="R872" s="4"/>
      <c r="S872" s="7"/>
      <c r="T872" s="7"/>
      <c r="U872" s="7"/>
      <c r="V872" s="7"/>
      <c r="W872" s="7"/>
      <c r="X872" s="7"/>
      <c r="Y872" s="4"/>
      <c r="Z872" s="4"/>
      <c r="AA872" s="4"/>
      <c r="AB872" s="4"/>
      <c r="AC872" s="4"/>
      <c r="AD872" s="4"/>
      <c r="AE872" s="4"/>
      <c r="AF872" s="4"/>
      <c r="AG872" s="49"/>
      <c r="AH872" s="4"/>
      <c r="AI872" s="4"/>
      <c r="AJ872" s="4"/>
      <c r="AK872" s="4"/>
      <c r="AL872" s="4"/>
      <c r="AM872" s="4"/>
      <c r="AN872" s="44"/>
      <c r="AO872" s="8"/>
      <c r="AP872" s="8"/>
      <c r="AQ872" s="8"/>
      <c r="AR872" s="8"/>
      <c r="AS872" s="8"/>
      <c r="AT872" s="8"/>
      <c r="AU872" s="8"/>
      <c r="AV872" s="46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4"/>
      <c r="BX872" s="4"/>
    </row>
    <row r="873" spans="1:76" s="16" customFormat="1" x14ac:dyDescent="0.25">
      <c r="A873" s="26"/>
      <c r="B873" s="6"/>
      <c r="C873" s="7"/>
      <c r="D873" s="7"/>
      <c r="E873" s="7"/>
      <c r="F873" s="7"/>
      <c r="G873" s="7"/>
      <c r="H873" s="7"/>
      <c r="I873" s="4"/>
      <c r="J873" s="7"/>
      <c r="K873" s="7"/>
      <c r="L873" s="7"/>
      <c r="M873" s="7"/>
      <c r="N873" s="4"/>
      <c r="O873" s="4"/>
      <c r="P873" s="4"/>
      <c r="Q873" s="4"/>
      <c r="R873" s="4"/>
      <c r="S873" s="7"/>
      <c r="T873" s="7"/>
      <c r="U873" s="7"/>
      <c r="V873" s="7"/>
      <c r="W873" s="7"/>
      <c r="X873" s="7"/>
      <c r="Y873" s="4"/>
      <c r="Z873" s="4"/>
      <c r="AA873" s="4"/>
      <c r="AB873" s="4"/>
      <c r="AC873" s="4"/>
      <c r="AD873" s="4"/>
      <c r="AE873" s="4"/>
      <c r="AF873" s="4"/>
      <c r="AG873" s="49"/>
      <c r="AH873" s="4"/>
      <c r="AI873" s="4"/>
      <c r="AJ873" s="4"/>
      <c r="AK873" s="4"/>
      <c r="AL873" s="4"/>
      <c r="AM873" s="4"/>
      <c r="AN873" s="44"/>
      <c r="AO873" s="8"/>
      <c r="AP873" s="8"/>
      <c r="AQ873" s="8"/>
      <c r="AR873" s="8"/>
      <c r="AS873" s="8"/>
      <c r="AT873" s="8"/>
      <c r="AU873" s="8"/>
      <c r="AV873" s="46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4"/>
      <c r="BX873" s="4"/>
    </row>
    <row r="874" spans="1:76" s="16" customFormat="1" x14ac:dyDescent="0.25">
      <c r="A874" s="26"/>
      <c r="B874" s="6"/>
      <c r="C874" s="7"/>
      <c r="D874" s="7"/>
      <c r="E874" s="7"/>
      <c r="F874" s="7"/>
      <c r="G874" s="7"/>
      <c r="H874" s="7"/>
      <c r="I874" s="4"/>
      <c r="J874" s="7"/>
      <c r="K874" s="7"/>
      <c r="L874" s="7"/>
      <c r="M874" s="7"/>
      <c r="N874" s="4"/>
      <c r="O874" s="4"/>
      <c r="P874" s="4"/>
      <c r="Q874" s="4"/>
      <c r="R874" s="4"/>
      <c r="S874" s="7"/>
      <c r="T874" s="7"/>
      <c r="U874" s="7"/>
      <c r="V874" s="7"/>
      <c r="W874" s="7"/>
      <c r="X874" s="7"/>
      <c r="Y874" s="4"/>
      <c r="Z874" s="4"/>
      <c r="AA874" s="4"/>
      <c r="AB874" s="4"/>
      <c r="AC874" s="4"/>
      <c r="AD874" s="4"/>
      <c r="AE874" s="4"/>
      <c r="AF874" s="4"/>
      <c r="AG874" s="49"/>
      <c r="AH874" s="4"/>
      <c r="AI874" s="4"/>
      <c r="AJ874" s="4"/>
      <c r="AK874" s="4"/>
      <c r="AL874" s="4"/>
      <c r="AM874" s="4"/>
      <c r="AN874" s="44"/>
      <c r="AO874" s="8"/>
      <c r="AP874" s="8"/>
      <c r="AQ874" s="8"/>
      <c r="AR874" s="8"/>
      <c r="AS874" s="8"/>
      <c r="AT874" s="8"/>
      <c r="AU874" s="8"/>
      <c r="AV874" s="46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4"/>
      <c r="BX874" s="4"/>
    </row>
    <row r="875" spans="1:76" s="16" customFormat="1" x14ac:dyDescent="0.25">
      <c r="A875" s="26"/>
      <c r="B875" s="6"/>
      <c r="C875" s="7"/>
      <c r="D875" s="7"/>
      <c r="E875" s="7"/>
      <c r="F875" s="7"/>
      <c r="G875" s="7"/>
      <c r="H875" s="7"/>
      <c r="I875" s="4"/>
      <c r="J875" s="7"/>
      <c r="K875" s="7"/>
      <c r="L875" s="7"/>
      <c r="M875" s="7"/>
      <c r="N875" s="4"/>
      <c r="O875" s="4"/>
      <c r="P875" s="4"/>
      <c r="Q875" s="4"/>
      <c r="R875" s="4"/>
      <c r="S875" s="7"/>
      <c r="T875" s="7"/>
      <c r="U875" s="7"/>
      <c r="V875" s="7"/>
      <c r="W875" s="7"/>
      <c r="X875" s="7"/>
      <c r="Y875" s="4"/>
      <c r="Z875" s="4"/>
      <c r="AA875" s="4"/>
      <c r="AB875" s="4"/>
      <c r="AC875" s="4"/>
      <c r="AD875" s="4"/>
      <c r="AE875" s="4"/>
      <c r="AF875" s="4"/>
      <c r="AG875" s="49"/>
      <c r="AH875" s="4"/>
      <c r="AI875" s="4"/>
      <c r="AJ875" s="4"/>
      <c r="AK875" s="4"/>
      <c r="AL875" s="4"/>
      <c r="AM875" s="4"/>
      <c r="AN875" s="44"/>
      <c r="AO875" s="8"/>
      <c r="AP875" s="8"/>
      <c r="AQ875" s="8"/>
      <c r="AR875" s="8"/>
      <c r="AS875" s="8"/>
      <c r="AT875" s="8"/>
      <c r="AU875" s="8"/>
      <c r="AV875" s="46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4"/>
      <c r="BX875" s="4"/>
    </row>
    <row r="876" spans="1:76" s="16" customFormat="1" x14ac:dyDescent="0.25">
      <c r="A876" s="26"/>
      <c r="B876" s="6"/>
      <c r="C876" s="7"/>
      <c r="D876" s="7"/>
      <c r="E876" s="7"/>
      <c r="F876" s="7"/>
      <c r="G876" s="7"/>
      <c r="H876" s="7"/>
      <c r="I876" s="4"/>
      <c r="J876" s="7"/>
      <c r="K876" s="7"/>
      <c r="L876" s="7"/>
      <c r="M876" s="7"/>
      <c r="N876" s="4"/>
      <c r="O876" s="4"/>
      <c r="P876" s="4"/>
      <c r="Q876" s="4"/>
      <c r="R876" s="4"/>
      <c r="S876" s="7"/>
      <c r="T876" s="7"/>
      <c r="U876" s="7"/>
      <c r="V876" s="7"/>
      <c r="W876" s="7"/>
      <c r="X876" s="7"/>
      <c r="Y876" s="4"/>
      <c r="Z876" s="4"/>
      <c r="AA876" s="4"/>
      <c r="AB876" s="4"/>
      <c r="AC876" s="4"/>
      <c r="AD876" s="4"/>
      <c r="AE876" s="4"/>
      <c r="AF876" s="4"/>
      <c r="AG876" s="49"/>
      <c r="AH876" s="4"/>
      <c r="AI876" s="4"/>
      <c r="AJ876" s="4"/>
      <c r="AK876" s="4"/>
      <c r="AL876" s="4"/>
      <c r="AM876" s="4"/>
      <c r="AN876" s="44"/>
      <c r="AO876" s="8"/>
      <c r="AP876" s="8"/>
      <c r="AQ876" s="8"/>
      <c r="AR876" s="8"/>
      <c r="AS876" s="8"/>
      <c r="AT876" s="8"/>
      <c r="AU876" s="8"/>
      <c r="AV876" s="46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4"/>
      <c r="BX876" s="4"/>
    </row>
    <row r="877" spans="1:76" s="16" customFormat="1" x14ac:dyDescent="0.25">
      <c r="A877" s="26"/>
      <c r="B877" s="6"/>
      <c r="C877" s="7"/>
      <c r="D877" s="7"/>
      <c r="E877" s="7"/>
      <c r="F877" s="7"/>
      <c r="G877" s="7"/>
      <c r="H877" s="7"/>
      <c r="I877" s="4"/>
      <c r="J877" s="7"/>
      <c r="K877" s="7"/>
      <c r="L877" s="7"/>
      <c r="M877" s="7"/>
      <c r="N877" s="4"/>
      <c r="O877" s="4"/>
      <c r="P877" s="4"/>
      <c r="Q877" s="4"/>
      <c r="R877" s="4"/>
      <c r="S877" s="7"/>
      <c r="T877" s="7"/>
      <c r="U877" s="7"/>
      <c r="V877" s="7"/>
      <c r="W877" s="7"/>
      <c r="X877" s="7"/>
      <c r="Y877" s="4"/>
      <c r="Z877" s="4"/>
      <c r="AA877" s="4"/>
      <c r="AB877" s="4"/>
      <c r="AC877" s="4"/>
      <c r="AD877" s="4"/>
      <c r="AE877" s="4"/>
      <c r="AF877" s="4"/>
      <c r="AG877" s="49"/>
      <c r="AH877" s="4"/>
      <c r="AI877" s="4"/>
      <c r="AJ877" s="4"/>
      <c r="AK877" s="4"/>
      <c r="AL877" s="4"/>
      <c r="AM877" s="4"/>
      <c r="AN877" s="44"/>
      <c r="AO877" s="8"/>
      <c r="AP877" s="8"/>
      <c r="AQ877" s="8"/>
      <c r="AR877" s="8"/>
      <c r="AS877" s="8"/>
      <c r="AT877" s="8"/>
      <c r="AU877" s="8"/>
      <c r="AV877" s="46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4"/>
      <c r="BX877" s="4"/>
    </row>
    <row r="878" spans="1:76" s="16" customFormat="1" x14ac:dyDescent="0.25">
      <c r="A878" s="26"/>
      <c r="B878" s="6"/>
      <c r="C878" s="7"/>
      <c r="D878" s="7"/>
      <c r="E878" s="7"/>
      <c r="F878" s="7"/>
      <c r="G878" s="7"/>
      <c r="H878" s="7"/>
      <c r="I878" s="4"/>
      <c r="J878" s="7"/>
      <c r="K878" s="7"/>
      <c r="L878" s="7"/>
      <c r="M878" s="7"/>
      <c r="N878" s="4"/>
      <c r="O878" s="4"/>
      <c r="P878" s="4"/>
      <c r="Q878" s="4"/>
      <c r="R878" s="4"/>
      <c r="S878" s="7"/>
      <c r="T878" s="7"/>
      <c r="U878" s="7"/>
      <c r="V878" s="7"/>
      <c r="W878" s="7"/>
      <c r="X878" s="7"/>
      <c r="Y878" s="4"/>
      <c r="Z878" s="4"/>
      <c r="AA878" s="4"/>
      <c r="AB878" s="4"/>
      <c r="AC878" s="4"/>
      <c r="AD878" s="4"/>
      <c r="AE878" s="4"/>
      <c r="AF878" s="4"/>
      <c r="AG878" s="49"/>
      <c r="AH878" s="4"/>
      <c r="AI878" s="4"/>
      <c r="AJ878" s="4"/>
      <c r="AK878" s="4"/>
      <c r="AL878" s="4"/>
      <c r="AM878" s="4"/>
      <c r="AN878" s="44"/>
      <c r="AO878" s="8"/>
      <c r="AP878" s="8"/>
      <c r="AQ878" s="8"/>
      <c r="AR878" s="8"/>
      <c r="AS878" s="8"/>
      <c r="AT878" s="8"/>
      <c r="AU878" s="8"/>
      <c r="AV878" s="46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4"/>
      <c r="BX878" s="4"/>
    </row>
    <row r="879" spans="1:76" s="16" customFormat="1" x14ac:dyDescent="0.25">
      <c r="A879" s="26"/>
      <c r="B879" s="6"/>
      <c r="C879" s="7"/>
      <c r="D879" s="7"/>
      <c r="E879" s="7"/>
      <c r="F879" s="7"/>
      <c r="G879" s="7"/>
      <c r="H879" s="7"/>
      <c r="I879" s="4"/>
      <c r="J879" s="7"/>
      <c r="K879" s="7"/>
      <c r="L879" s="7"/>
      <c r="M879" s="7"/>
      <c r="N879" s="4"/>
      <c r="O879" s="4"/>
      <c r="P879" s="4"/>
      <c r="Q879" s="4"/>
      <c r="R879" s="4"/>
      <c r="S879" s="7"/>
      <c r="T879" s="7"/>
      <c r="U879" s="7"/>
      <c r="V879" s="7"/>
      <c r="W879" s="7"/>
      <c r="X879" s="7"/>
      <c r="Y879" s="4"/>
      <c r="Z879" s="4"/>
      <c r="AA879" s="4"/>
      <c r="AB879" s="4"/>
      <c r="AC879" s="4"/>
      <c r="AD879" s="4"/>
      <c r="AE879" s="4"/>
      <c r="AF879" s="4"/>
      <c r="AG879" s="49"/>
      <c r="AH879" s="4"/>
      <c r="AI879" s="4"/>
      <c r="AJ879" s="4"/>
      <c r="AK879" s="4"/>
      <c r="AL879" s="4"/>
      <c r="AM879" s="4"/>
      <c r="AN879" s="44"/>
      <c r="AO879" s="8"/>
      <c r="AP879" s="8"/>
      <c r="AQ879" s="8"/>
      <c r="AR879" s="8"/>
      <c r="AS879" s="8"/>
      <c r="AT879" s="8"/>
      <c r="AU879" s="8"/>
      <c r="AV879" s="46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4"/>
      <c r="BX879" s="4"/>
    </row>
    <row r="880" spans="1:76" s="16" customFormat="1" x14ac:dyDescent="0.25">
      <c r="A880" s="26"/>
      <c r="B880" s="6"/>
      <c r="C880" s="7"/>
      <c r="D880" s="7"/>
      <c r="E880" s="7"/>
      <c r="F880" s="7"/>
      <c r="G880" s="7"/>
      <c r="H880" s="7"/>
      <c r="I880" s="4"/>
      <c r="J880" s="7"/>
      <c r="K880" s="7"/>
      <c r="L880" s="7"/>
      <c r="M880" s="7"/>
      <c r="N880" s="4"/>
      <c r="O880" s="4"/>
      <c r="P880" s="4"/>
      <c r="Q880" s="4"/>
      <c r="R880" s="4"/>
      <c r="S880" s="7"/>
      <c r="T880" s="7"/>
      <c r="U880" s="7"/>
      <c r="V880" s="7"/>
      <c r="W880" s="7"/>
      <c r="X880" s="7"/>
      <c r="Y880" s="4"/>
      <c r="Z880" s="4"/>
      <c r="AA880" s="4"/>
      <c r="AB880" s="4"/>
      <c r="AC880" s="4"/>
      <c r="AD880" s="4"/>
      <c r="AE880" s="4"/>
      <c r="AF880" s="4"/>
      <c r="AG880" s="49"/>
      <c r="AH880" s="4"/>
      <c r="AI880" s="4"/>
      <c r="AJ880" s="4"/>
      <c r="AK880" s="4"/>
      <c r="AL880" s="4"/>
      <c r="AM880" s="4"/>
      <c r="AN880" s="44"/>
      <c r="AO880" s="8"/>
      <c r="AP880" s="8"/>
      <c r="AQ880" s="8"/>
      <c r="AR880" s="8"/>
      <c r="AS880" s="8"/>
      <c r="AT880" s="8"/>
      <c r="AU880" s="8"/>
      <c r="AV880" s="46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4"/>
      <c r="BX880" s="4"/>
    </row>
    <row r="881" spans="1:76" s="16" customFormat="1" x14ac:dyDescent="0.25">
      <c r="A881" s="26"/>
      <c r="B881" s="6"/>
      <c r="C881" s="7"/>
      <c r="D881" s="7"/>
      <c r="E881" s="7"/>
      <c r="F881" s="7"/>
      <c r="G881" s="7"/>
      <c r="H881" s="7"/>
      <c r="I881" s="4"/>
      <c r="J881" s="7"/>
      <c r="K881" s="7"/>
      <c r="L881" s="7"/>
      <c r="M881" s="7"/>
      <c r="N881" s="4"/>
      <c r="O881" s="4"/>
      <c r="P881" s="4"/>
      <c r="Q881" s="4"/>
      <c r="R881" s="4"/>
      <c r="S881" s="7"/>
      <c r="T881" s="7"/>
      <c r="U881" s="7"/>
      <c r="V881" s="7"/>
      <c r="W881" s="7"/>
      <c r="X881" s="7"/>
      <c r="Y881" s="4"/>
      <c r="Z881" s="4"/>
      <c r="AA881" s="4"/>
      <c r="AB881" s="4"/>
      <c r="AC881" s="4"/>
      <c r="AD881" s="4"/>
      <c r="AE881" s="4"/>
      <c r="AF881" s="4"/>
      <c r="AG881" s="49"/>
      <c r="AH881" s="4"/>
      <c r="AI881" s="4"/>
      <c r="AJ881" s="4"/>
      <c r="AK881" s="4"/>
      <c r="AL881" s="4"/>
      <c r="AM881" s="4"/>
      <c r="AN881" s="44"/>
      <c r="AO881" s="8"/>
      <c r="AP881" s="8"/>
      <c r="AQ881" s="8"/>
      <c r="AR881" s="8"/>
      <c r="AS881" s="8"/>
      <c r="AT881" s="8"/>
      <c r="AU881" s="8"/>
      <c r="AV881" s="46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4"/>
      <c r="BX881" s="4"/>
    </row>
    <row r="882" spans="1:76" s="16" customFormat="1" x14ac:dyDescent="0.25">
      <c r="A882" s="26"/>
      <c r="B882" s="6"/>
      <c r="C882" s="7"/>
      <c r="D882" s="7"/>
      <c r="E882" s="7"/>
      <c r="F882" s="7"/>
      <c r="G882" s="7"/>
      <c r="H882" s="7"/>
      <c r="I882" s="4"/>
      <c r="J882" s="7"/>
      <c r="K882" s="7"/>
      <c r="L882" s="7"/>
      <c r="M882" s="7"/>
      <c r="N882" s="4"/>
      <c r="O882" s="4"/>
      <c r="P882" s="4"/>
      <c r="Q882" s="4"/>
      <c r="R882" s="4"/>
      <c r="S882" s="7"/>
      <c r="T882" s="7"/>
      <c r="U882" s="7"/>
      <c r="V882" s="7"/>
      <c r="W882" s="7"/>
      <c r="X882" s="7"/>
      <c r="Y882" s="4"/>
      <c r="Z882" s="4"/>
      <c r="AA882" s="4"/>
      <c r="AB882" s="4"/>
      <c r="AC882" s="4"/>
      <c r="AD882" s="4"/>
      <c r="AE882" s="4"/>
      <c r="AF882" s="4"/>
      <c r="AG882" s="49"/>
      <c r="AH882" s="4"/>
      <c r="AI882" s="4"/>
      <c r="AJ882" s="4"/>
      <c r="AK882" s="4"/>
      <c r="AL882" s="4"/>
      <c r="AM882" s="4"/>
      <c r="AN882" s="44"/>
      <c r="AO882" s="8"/>
      <c r="AP882" s="8"/>
      <c r="AQ882" s="8"/>
      <c r="AR882" s="8"/>
      <c r="AS882" s="8"/>
      <c r="AT882" s="8"/>
      <c r="AU882" s="8"/>
      <c r="AV882" s="46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4"/>
      <c r="BX882" s="4"/>
    </row>
    <row r="883" spans="1:76" s="16" customFormat="1" x14ac:dyDescent="0.25">
      <c r="A883" s="26"/>
      <c r="B883" s="6"/>
      <c r="C883" s="7"/>
      <c r="D883" s="7"/>
      <c r="E883" s="7"/>
      <c r="F883" s="7"/>
      <c r="G883" s="7"/>
      <c r="H883" s="7"/>
      <c r="I883" s="4"/>
      <c r="J883" s="7"/>
      <c r="K883" s="7"/>
      <c r="L883" s="7"/>
      <c r="M883" s="7"/>
      <c r="N883" s="4"/>
      <c r="O883" s="4"/>
      <c r="P883" s="4"/>
      <c r="Q883" s="4"/>
      <c r="R883" s="4"/>
      <c r="S883" s="7"/>
      <c r="T883" s="7"/>
      <c r="U883" s="7"/>
      <c r="V883" s="7"/>
      <c r="W883" s="7"/>
      <c r="X883" s="7"/>
      <c r="Y883" s="4"/>
      <c r="Z883" s="4"/>
      <c r="AA883" s="4"/>
      <c r="AB883" s="4"/>
      <c r="AC883" s="4"/>
      <c r="AD883" s="4"/>
      <c r="AE883" s="4"/>
      <c r="AF883" s="4"/>
      <c r="AG883" s="49"/>
      <c r="AH883" s="4"/>
      <c r="AI883" s="4"/>
      <c r="AJ883" s="4"/>
      <c r="AK883" s="4"/>
      <c r="AL883" s="4"/>
      <c r="AM883" s="4"/>
      <c r="AN883" s="44"/>
      <c r="AO883" s="8"/>
      <c r="AP883" s="8"/>
      <c r="AQ883" s="8"/>
      <c r="AR883" s="8"/>
      <c r="AS883" s="8"/>
      <c r="AT883" s="8"/>
      <c r="AU883" s="8"/>
      <c r="AV883" s="46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4"/>
      <c r="BX883" s="4"/>
    </row>
    <row r="884" spans="1:76" s="16" customFormat="1" x14ac:dyDescent="0.25">
      <c r="A884" s="26"/>
      <c r="B884" s="6"/>
      <c r="C884" s="7"/>
      <c r="D884" s="7"/>
      <c r="E884" s="7"/>
      <c r="F884" s="7"/>
      <c r="G884" s="7"/>
      <c r="H884" s="7"/>
      <c r="I884" s="4"/>
      <c r="J884" s="7"/>
      <c r="K884" s="7"/>
      <c r="L884" s="7"/>
      <c r="M884" s="7"/>
      <c r="N884" s="4"/>
      <c r="O884" s="4"/>
      <c r="P884" s="4"/>
      <c r="Q884" s="4"/>
      <c r="R884" s="4"/>
      <c r="S884" s="7"/>
      <c r="T884" s="7"/>
      <c r="U884" s="7"/>
      <c r="V884" s="7"/>
      <c r="W884" s="7"/>
      <c r="X884" s="7"/>
      <c r="Y884" s="4"/>
      <c r="Z884" s="4"/>
      <c r="AA884" s="4"/>
      <c r="AB884" s="4"/>
      <c r="AC884" s="4"/>
      <c r="AD884" s="4"/>
      <c r="AE884" s="4"/>
      <c r="AF884" s="4"/>
      <c r="AG884" s="49"/>
      <c r="AH884" s="4"/>
      <c r="AI884" s="4"/>
      <c r="AJ884" s="4"/>
      <c r="AK884" s="4"/>
      <c r="AL884" s="4"/>
      <c r="AM884" s="4"/>
      <c r="AN884" s="44"/>
      <c r="AO884" s="8"/>
      <c r="AP884" s="8"/>
      <c r="AQ884" s="8"/>
      <c r="AR884" s="8"/>
      <c r="AS884" s="8"/>
      <c r="AT884" s="8"/>
      <c r="AU884" s="8"/>
      <c r="AV884" s="46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4"/>
      <c r="BX884" s="4"/>
    </row>
    <row r="885" spans="1:76" s="16" customFormat="1" x14ac:dyDescent="0.25">
      <c r="A885" s="26"/>
      <c r="B885" s="6"/>
      <c r="C885" s="7"/>
      <c r="D885" s="7"/>
      <c r="E885" s="7"/>
      <c r="F885" s="7"/>
      <c r="G885" s="7"/>
      <c r="H885" s="7"/>
      <c r="I885" s="4"/>
      <c r="J885" s="7"/>
      <c r="K885" s="7"/>
      <c r="L885" s="7"/>
      <c r="M885" s="7"/>
      <c r="N885" s="4"/>
      <c r="O885" s="4"/>
      <c r="P885" s="4"/>
      <c r="Q885" s="4"/>
      <c r="R885" s="4"/>
      <c r="S885" s="7"/>
      <c r="T885" s="7"/>
      <c r="U885" s="7"/>
      <c r="V885" s="7"/>
      <c r="W885" s="7"/>
      <c r="X885" s="7"/>
      <c r="Y885" s="4"/>
      <c r="Z885" s="4"/>
      <c r="AA885" s="4"/>
      <c r="AB885" s="4"/>
      <c r="AC885" s="4"/>
      <c r="AD885" s="4"/>
      <c r="AE885" s="4"/>
      <c r="AF885" s="4"/>
      <c r="AG885" s="49"/>
      <c r="AH885" s="4"/>
      <c r="AI885" s="4"/>
      <c r="AJ885" s="4"/>
      <c r="AK885" s="4"/>
      <c r="AL885" s="4"/>
      <c r="AM885" s="4"/>
      <c r="AN885" s="44"/>
      <c r="AO885" s="8"/>
      <c r="AP885" s="8"/>
      <c r="AQ885" s="8"/>
      <c r="AR885" s="8"/>
      <c r="AS885" s="8"/>
      <c r="AT885" s="8"/>
      <c r="AU885" s="8"/>
      <c r="AV885" s="46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4"/>
      <c r="BX885" s="4"/>
    </row>
    <row r="886" spans="1:76" s="16" customFormat="1" x14ac:dyDescent="0.25">
      <c r="A886" s="26"/>
      <c r="B886" s="6"/>
      <c r="C886" s="7"/>
      <c r="D886" s="7"/>
      <c r="E886" s="7"/>
      <c r="F886" s="7"/>
      <c r="G886" s="7"/>
      <c r="H886" s="7"/>
      <c r="I886" s="4"/>
      <c r="J886" s="7"/>
      <c r="K886" s="7"/>
      <c r="L886" s="7"/>
      <c r="M886" s="7"/>
      <c r="N886" s="4"/>
      <c r="O886" s="4"/>
      <c r="P886" s="4"/>
      <c r="Q886" s="4"/>
      <c r="R886" s="4"/>
      <c r="S886" s="7"/>
      <c r="T886" s="7"/>
      <c r="U886" s="7"/>
      <c r="V886" s="7"/>
      <c r="W886" s="7"/>
      <c r="X886" s="7"/>
      <c r="Y886" s="4"/>
      <c r="Z886" s="4"/>
      <c r="AA886" s="4"/>
      <c r="AB886" s="4"/>
      <c r="AC886" s="4"/>
      <c r="AD886" s="4"/>
      <c r="AE886" s="4"/>
      <c r="AF886" s="4"/>
      <c r="AG886" s="49"/>
      <c r="AH886" s="4"/>
      <c r="AI886" s="4"/>
      <c r="AJ886" s="4"/>
      <c r="AK886" s="4"/>
      <c r="AL886" s="4"/>
      <c r="AM886" s="4"/>
      <c r="AN886" s="44"/>
      <c r="AO886" s="8"/>
      <c r="AP886" s="8"/>
      <c r="AQ886" s="8"/>
      <c r="AR886" s="8"/>
      <c r="AS886" s="8"/>
      <c r="AT886" s="8"/>
      <c r="AU886" s="8"/>
      <c r="AV886" s="46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4"/>
      <c r="BX886" s="4"/>
    </row>
    <row r="887" spans="1:76" s="16" customFormat="1" x14ac:dyDescent="0.25">
      <c r="A887" s="26"/>
      <c r="B887" s="6"/>
      <c r="C887" s="7"/>
      <c r="D887" s="7"/>
      <c r="E887" s="7"/>
      <c r="F887" s="7"/>
      <c r="G887" s="7"/>
      <c r="H887" s="7"/>
      <c r="I887" s="4"/>
      <c r="J887" s="7"/>
      <c r="K887" s="7"/>
      <c r="L887" s="7"/>
      <c r="M887" s="7"/>
      <c r="N887" s="4"/>
      <c r="O887" s="4"/>
      <c r="P887" s="4"/>
      <c r="Q887" s="4"/>
      <c r="R887" s="4"/>
      <c r="S887" s="7"/>
      <c r="T887" s="7"/>
      <c r="U887" s="7"/>
      <c r="V887" s="7"/>
      <c r="W887" s="7"/>
      <c r="X887" s="7"/>
      <c r="Y887" s="4"/>
      <c r="Z887" s="4"/>
      <c r="AA887" s="4"/>
      <c r="AB887" s="4"/>
      <c r="AC887" s="4"/>
      <c r="AD887" s="4"/>
      <c r="AE887" s="4"/>
      <c r="AF887" s="4"/>
      <c r="AG887" s="49"/>
      <c r="AH887" s="4"/>
      <c r="AI887" s="4"/>
      <c r="AJ887" s="4"/>
      <c r="AK887" s="4"/>
      <c r="AL887" s="4"/>
      <c r="AM887" s="4"/>
      <c r="AN887" s="44"/>
      <c r="AO887" s="8"/>
      <c r="AP887" s="8"/>
      <c r="AQ887" s="8"/>
      <c r="AR887" s="8"/>
      <c r="AS887" s="8"/>
      <c r="AT887" s="8"/>
      <c r="AU887" s="8"/>
      <c r="AV887" s="46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4"/>
      <c r="BX887" s="4"/>
    </row>
    <row r="888" spans="1:76" s="16" customFormat="1" x14ac:dyDescent="0.25">
      <c r="A888" s="26"/>
      <c r="B888" s="6"/>
      <c r="C888" s="7"/>
      <c r="D888" s="7"/>
      <c r="E888" s="7"/>
      <c r="F888" s="7"/>
      <c r="G888" s="7"/>
      <c r="H888" s="7"/>
      <c r="I888" s="4"/>
      <c r="J888" s="7"/>
      <c r="K888" s="7"/>
      <c r="L888" s="7"/>
      <c r="M888" s="7"/>
      <c r="N888" s="4"/>
      <c r="O888" s="4"/>
      <c r="P888" s="4"/>
      <c r="Q888" s="4"/>
      <c r="R888" s="4"/>
      <c r="S888" s="7"/>
      <c r="T888" s="7"/>
      <c r="U888" s="7"/>
      <c r="V888" s="7"/>
      <c r="W888" s="7"/>
      <c r="X888" s="7"/>
      <c r="Y888" s="4"/>
      <c r="Z888" s="4"/>
      <c r="AA888" s="4"/>
      <c r="AB888" s="4"/>
      <c r="AC888" s="4"/>
      <c r="AD888" s="4"/>
      <c r="AE888" s="4"/>
      <c r="AF888" s="4"/>
      <c r="AG888" s="49"/>
      <c r="AH888" s="4"/>
      <c r="AI888" s="4"/>
      <c r="AJ888" s="4"/>
      <c r="AK888" s="4"/>
      <c r="AL888" s="4"/>
      <c r="AM888" s="4"/>
      <c r="AN888" s="44"/>
      <c r="AO888" s="8"/>
      <c r="AP888" s="8"/>
      <c r="AQ888" s="8"/>
      <c r="AR888" s="8"/>
      <c r="AS888" s="8"/>
      <c r="AT888" s="8"/>
      <c r="AU888" s="8"/>
      <c r="AV888" s="46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4"/>
      <c r="BX888" s="4"/>
    </row>
    <row r="889" spans="1:76" s="16" customFormat="1" x14ac:dyDescent="0.25">
      <c r="A889" s="26"/>
      <c r="B889" s="6"/>
      <c r="C889" s="7"/>
      <c r="D889" s="7"/>
      <c r="E889" s="7"/>
      <c r="F889" s="7"/>
      <c r="G889" s="7"/>
      <c r="H889" s="7"/>
      <c r="I889" s="4"/>
      <c r="J889" s="7"/>
      <c r="K889" s="7"/>
      <c r="L889" s="7"/>
      <c r="M889" s="7"/>
      <c r="N889" s="4"/>
      <c r="O889" s="4"/>
      <c r="P889" s="4"/>
      <c r="Q889" s="4"/>
      <c r="R889" s="4"/>
      <c r="S889" s="7"/>
      <c r="T889" s="7"/>
      <c r="U889" s="7"/>
      <c r="V889" s="7"/>
      <c r="W889" s="7"/>
      <c r="X889" s="7"/>
      <c r="Y889" s="4"/>
      <c r="Z889" s="4"/>
      <c r="AA889" s="4"/>
      <c r="AB889" s="4"/>
      <c r="AC889" s="4"/>
      <c r="AD889" s="4"/>
      <c r="AE889" s="4"/>
      <c r="AF889" s="4"/>
      <c r="AG889" s="49"/>
      <c r="AH889" s="4"/>
      <c r="AI889" s="4"/>
      <c r="AJ889" s="4"/>
      <c r="AK889" s="4"/>
      <c r="AL889" s="4"/>
      <c r="AM889" s="4"/>
      <c r="AN889" s="44"/>
      <c r="AO889" s="8"/>
      <c r="AP889" s="8"/>
      <c r="AQ889" s="8"/>
      <c r="AR889" s="8"/>
      <c r="AS889" s="8"/>
      <c r="AT889" s="8"/>
      <c r="AU889" s="8"/>
      <c r="AV889" s="46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4"/>
      <c r="BX889" s="4"/>
    </row>
    <row r="890" spans="1:76" s="16" customFormat="1" x14ac:dyDescent="0.25">
      <c r="A890" s="26"/>
      <c r="B890" s="6"/>
      <c r="C890" s="7"/>
      <c r="D890" s="7"/>
      <c r="E890" s="7"/>
      <c r="F890" s="7"/>
      <c r="G890" s="7"/>
      <c r="H890" s="7"/>
      <c r="I890" s="4"/>
      <c r="J890" s="7"/>
      <c r="K890" s="7"/>
      <c r="L890" s="7"/>
      <c r="M890" s="7"/>
      <c r="N890" s="4"/>
      <c r="O890" s="4"/>
      <c r="P890" s="4"/>
      <c r="Q890" s="4"/>
      <c r="R890" s="4"/>
      <c r="S890" s="7"/>
      <c r="T890" s="7"/>
      <c r="U890" s="7"/>
      <c r="V890" s="7"/>
      <c r="W890" s="7"/>
      <c r="X890" s="7"/>
      <c r="Y890" s="4"/>
      <c r="Z890" s="4"/>
      <c r="AA890" s="4"/>
      <c r="AB890" s="4"/>
      <c r="AC890" s="4"/>
      <c r="AD890" s="4"/>
      <c r="AE890" s="4"/>
      <c r="AF890" s="4"/>
      <c r="AG890" s="49"/>
      <c r="AH890" s="4"/>
      <c r="AI890" s="4"/>
      <c r="AJ890" s="4"/>
      <c r="AK890" s="4"/>
      <c r="AL890" s="4"/>
      <c r="AM890" s="4"/>
      <c r="AN890" s="44"/>
      <c r="AO890" s="8"/>
      <c r="AP890" s="8"/>
      <c r="AQ890" s="8"/>
      <c r="AR890" s="8"/>
      <c r="AS890" s="8"/>
      <c r="AT890" s="8"/>
      <c r="AU890" s="8"/>
      <c r="AV890" s="46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4"/>
      <c r="BX890" s="4"/>
    </row>
    <row r="891" spans="1:76" s="16" customFormat="1" x14ac:dyDescent="0.25">
      <c r="A891" s="26"/>
      <c r="B891" s="6"/>
      <c r="C891" s="7"/>
      <c r="D891" s="7"/>
      <c r="E891" s="7"/>
      <c r="F891" s="7"/>
      <c r="G891" s="7"/>
      <c r="H891" s="7"/>
      <c r="I891" s="4"/>
      <c r="J891" s="7"/>
      <c r="K891" s="7"/>
      <c r="L891" s="7"/>
      <c r="M891" s="7"/>
      <c r="N891" s="4"/>
      <c r="O891" s="4"/>
      <c r="P891" s="4"/>
      <c r="Q891" s="4"/>
      <c r="R891" s="4"/>
      <c r="S891" s="7"/>
      <c r="T891" s="7"/>
      <c r="U891" s="7"/>
      <c r="V891" s="7"/>
      <c r="W891" s="7"/>
      <c r="X891" s="7"/>
      <c r="Y891" s="4"/>
      <c r="Z891" s="4"/>
      <c r="AA891" s="4"/>
      <c r="AB891" s="4"/>
      <c r="AC891" s="4"/>
      <c r="AD891" s="4"/>
      <c r="AE891" s="4"/>
      <c r="AF891" s="4"/>
      <c r="AG891" s="49"/>
      <c r="AH891" s="4"/>
      <c r="AI891" s="4"/>
      <c r="AJ891" s="4"/>
      <c r="AK891" s="4"/>
      <c r="AL891" s="4"/>
      <c r="AM891" s="4"/>
      <c r="AN891" s="44"/>
      <c r="AO891" s="8"/>
      <c r="AP891" s="8"/>
      <c r="AQ891" s="8"/>
      <c r="AR891" s="8"/>
      <c r="AS891" s="8"/>
      <c r="AT891" s="8"/>
      <c r="AU891" s="8"/>
      <c r="AV891" s="46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4"/>
      <c r="BX891" s="4"/>
    </row>
    <row r="892" spans="1:76" s="16" customFormat="1" x14ac:dyDescent="0.25">
      <c r="A892" s="26"/>
      <c r="B892" s="6"/>
      <c r="C892" s="7"/>
      <c r="D892" s="7"/>
      <c r="E892" s="7"/>
      <c r="F892" s="7"/>
      <c r="G892" s="7"/>
      <c r="H892" s="7"/>
      <c r="I892" s="4"/>
      <c r="J892" s="7"/>
      <c r="K892" s="7"/>
      <c r="L892" s="7"/>
      <c r="M892" s="7"/>
      <c r="N892" s="4"/>
      <c r="O892" s="4"/>
      <c r="P892" s="4"/>
      <c r="Q892" s="4"/>
      <c r="R892" s="4"/>
      <c r="S892" s="7"/>
      <c r="T892" s="7"/>
      <c r="U892" s="7"/>
      <c r="V892" s="7"/>
      <c r="W892" s="7"/>
      <c r="X892" s="7"/>
      <c r="Y892" s="4"/>
      <c r="Z892" s="4"/>
      <c r="AA892" s="4"/>
      <c r="AB892" s="4"/>
      <c r="AC892" s="4"/>
      <c r="AD892" s="4"/>
      <c r="AE892" s="4"/>
      <c r="AF892" s="4"/>
      <c r="AG892" s="49"/>
      <c r="AH892" s="4"/>
      <c r="AI892" s="4"/>
      <c r="AJ892" s="4"/>
      <c r="AK892" s="4"/>
      <c r="AL892" s="4"/>
      <c r="AM892" s="4"/>
      <c r="AN892" s="44"/>
      <c r="AO892" s="8"/>
      <c r="AP892" s="8"/>
      <c r="AQ892" s="8"/>
      <c r="AR892" s="8"/>
      <c r="AS892" s="8"/>
      <c r="AT892" s="8"/>
      <c r="AU892" s="8"/>
      <c r="AV892" s="46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4"/>
      <c r="BX892" s="4"/>
    </row>
    <row r="893" spans="1:76" s="16" customFormat="1" x14ac:dyDescent="0.25">
      <c r="A893" s="26"/>
      <c r="B893" s="6"/>
      <c r="C893" s="7"/>
      <c r="D893" s="7"/>
      <c r="E893" s="7"/>
      <c r="F893" s="7"/>
      <c r="G893" s="7"/>
      <c r="H893" s="7"/>
      <c r="I893" s="4"/>
      <c r="J893" s="7"/>
      <c r="K893" s="7"/>
      <c r="L893" s="7"/>
      <c r="M893" s="7"/>
      <c r="N893" s="4"/>
      <c r="O893" s="4"/>
      <c r="P893" s="4"/>
      <c r="Q893" s="4"/>
      <c r="R893" s="4"/>
      <c r="S893" s="7"/>
      <c r="T893" s="7"/>
      <c r="U893" s="7"/>
      <c r="V893" s="7"/>
      <c r="W893" s="7"/>
      <c r="X893" s="7"/>
      <c r="Y893" s="4"/>
      <c r="Z893" s="4"/>
      <c r="AA893" s="4"/>
      <c r="AB893" s="4"/>
      <c r="AC893" s="4"/>
      <c r="AD893" s="4"/>
      <c r="AE893" s="4"/>
      <c r="AF893" s="4"/>
      <c r="AG893" s="49"/>
      <c r="AH893" s="4"/>
      <c r="AI893" s="4"/>
      <c r="AJ893" s="4"/>
      <c r="AK893" s="4"/>
      <c r="AL893" s="4"/>
      <c r="AM893" s="4"/>
      <c r="AN893" s="44"/>
      <c r="AO893" s="8"/>
      <c r="AP893" s="8"/>
      <c r="AQ893" s="8"/>
      <c r="AR893" s="8"/>
      <c r="AS893" s="8"/>
      <c r="AT893" s="8"/>
      <c r="AU893" s="8"/>
      <c r="AV893" s="46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4"/>
      <c r="BX893" s="4"/>
    </row>
    <row r="894" spans="1:76" s="16" customFormat="1" x14ac:dyDescent="0.25">
      <c r="A894" s="26"/>
      <c r="B894" s="6"/>
      <c r="C894" s="7"/>
      <c r="D894" s="7"/>
      <c r="E894" s="7"/>
      <c r="F894" s="7"/>
      <c r="G894" s="7"/>
      <c r="H894" s="7"/>
      <c r="I894" s="4"/>
      <c r="J894" s="7"/>
      <c r="K894" s="7"/>
      <c r="L894" s="7"/>
      <c r="M894" s="7"/>
      <c r="N894" s="4"/>
      <c r="O894" s="4"/>
      <c r="P894" s="4"/>
      <c r="Q894" s="4"/>
      <c r="R894" s="4"/>
      <c r="S894" s="7"/>
      <c r="T894" s="7"/>
      <c r="U894" s="7"/>
      <c r="V894" s="7"/>
      <c r="W894" s="7"/>
      <c r="X894" s="7"/>
      <c r="Y894" s="4"/>
      <c r="Z894" s="4"/>
      <c r="AA894" s="4"/>
      <c r="AB894" s="4"/>
      <c r="AC894" s="4"/>
      <c r="AD894" s="4"/>
      <c r="AE894" s="4"/>
      <c r="AF894" s="4"/>
      <c r="AG894" s="49"/>
      <c r="AH894" s="4"/>
      <c r="AI894" s="4"/>
      <c r="AJ894" s="4"/>
      <c r="AK894" s="4"/>
      <c r="AL894" s="4"/>
      <c r="AM894" s="4"/>
      <c r="AN894" s="44"/>
      <c r="AO894" s="8"/>
      <c r="AP894" s="8"/>
      <c r="AQ894" s="8"/>
      <c r="AR894" s="8"/>
      <c r="AS894" s="8"/>
      <c r="AT894" s="8"/>
      <c r="AU894" s="8"/>
      <c r="AV894" s="46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4"/>
      <c r="BX894" s="4"/>
    </row>
    <row r="895" spans="1:76" s="16" customFormat="1" x14ac:dyDescent="0.25">
      <c r="A895" s="26"/>
      <c r="B895" s="6"/>
      <c r="C895" s="7"/>
      <c r="D895" s="7"/>
      <c r="E895" s="7"/>
      <c r="F895" s="7"/>
      <c r="G895" s="7"/>
      <c r="H895" s="7"/>
      <c r="I895" s="4"/>
      <c r="J895" s="7"/>
      <c r="K895" s="7"/>
      <c r="L895" s="7"/>
      <c r="M895" s="7"/>
      <c r="N895" s="4"/>
      <c r="O895" s="4"/>
      <c r="P895" s="4"/>
      <c r="Q895" s="4"/>
      <c r="R895" s="4"/>
      <c r="S895" s="7"/>
      <c r="T895" s="7"/>
      <c r="U895" s="7"/>
      <c r="V895" s="7"/>
      <c r="W895" s="7"/>
      <c r="X895" s="7"/>
      <c r="Y895" s="4"/>
      <c r="Z895" s="4"/>
      <c r="AA895" s="4"/>
      <c r="AB895" s="4"/>
      <c r="AC895" s="4"/>
      <c r="AD895" s="4"/>
      <c r="AE895" s="4"/>
      <c r="AF895" s="4"/>
      <c r="AG895" s="49"/>
      <c r="AH895" s="4"/>
      <c r="AI895" s="4"/>
      <c r="AJ895" s="4"/>
      <c r="AK895" s="4"/>
      <c r="AL895" s="4"/>
      <c r="AM895" s="4"/>
      <c r="AN895" s="44"/>
      <c r="AO895" s="8"/>
      <c r="AP895" s="8"/>
      <c r="AQ895" s="8"/>
      <c r="AR895" s="8"/>
      <c r="AS895" s="8"/>
      <c r="AT895" s="8"/>
      <c r="AU895" s="8"/>
      <c r="AV895" s="46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4"/>
      <c r="BX895" s="4"/>
    </row>
    <row r="896" spans="1:76" s="16" customFormat="1" x14ac:dyDescent="0.25">
      <c r="A896" s="26"/>
      <c r="B896" s="6"/>
      <c r="C896" s="7"/>
      <c r="D896" s="7"/>
      <c r="E896" s="7"/>
      <c r="F896" s="7"/>
      <c r="G896" s="7"/>
      <c r="H896" s="7"/>
      <c r="I896" s="4"/>
      <c r="J896" s="7"/>
      <c r="K896" s="7"/>
      <c r="L896" s="7"/>
      <c r="M896" s="7"/>
      <c r="N896" s="4"/>
      <c r="O896" s="4"/>
      <c r="P896" s="4"/>
      <c r="Q896" s="4"/>
      <c r="R896" s="4"/>
      <c r="S896" s="7"/>
      <c r="T896" s="7"/>
      <c r="U896" s="7"/>
      <c r="V896" s="7"/>
      <c r="W896" s="7"/>
      <c r="X896" s="7"/>
      <c r="Y896" s="4"/>
      <c r="Z896" s="4"/>
      <c r="AA896" s="4"/>
      <c r="AB896" s="4"/>
      <c r="AC896" s="4"/>
      <c r="AD896" s="4"/>
      <c r="AE896" s="4"/>
      <c r="AF896" s="4"/>
      <c r="AG896" s="49"/>
      <c r="AH896" s="4"/>
      <c r="AI896" s="4"/>
      <c r="AJ896" s="4"/>
      <c r="AK896" s="4"/>
      <c r="AL896" s="4"/>
      <c r="AM896" s="4"/>
      <c r="AN896" s="44"/>
      <c r="AO896" s="8"/>
      <c r="AP896" s="8"/>
      <c r="AQ896" s="8"/>
      <c r="AR896" s="8"/>
      <c r="AS896" s="8"/>
      <c r="AT896" s="8"/>
      <c r="AU896" s="8"/>
      <c r="AV896" s="46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4"/>
      <c r="BX896" s="4"/>
    </row>
    <row r="897" spans="1:76" s="16" customFormat="1" x14ac:dyDescent="0.25">
      <c r="A897" s="26"/>
      <c r="B897" s="6"/>
      <c r="C897" s="7"/>
      <c r="D897" s="7"/>
      <c r="E897" s="7"/>
      <c r="F897" s="7"/>
      <c r="G897" s="7"/>
      <c r="H897" s="7"/>
      <c r="I897" s="4"/>
      <c r="J897" s="7"/>
      <c r="K897" s="7"/>
      <c r="L897" s="7"/>
      <c r="M897" s="7"/>
      <c r="N897" s="4"/>
      <c r="O897" s="4"/>
      <c r="P897" s="4"/>
      <c r="Q897" s="4"/>
      <c r="R897" s="4"/>
      <c r="S897" s="7"/>
      <c r="T897" s="7"/>
      <c r="U897" s="7"/>
      <c r="V897" s="7"/>
      <c r="W897" s="7"/>
      <c r="X897" s="7"/>
      <c r="Y897" s="4"/>
      <c r="Z897" s="4"/>
      <c r="AA897" s="4"/>
      <c r="AB897" s="4"/>
      <c r="AC897" s="4"/>
      <c r="AD897" s="4"/>
      <c r="AE897" s="4"/>
      <c r="AF897" s="4"/>
      <c r="AG897" s="49"/>
      <c r="AH897" s="4"/>
      <c r="AI897" s="4"/>
      <c r="AJ897" s="4"/>
      <c r="AK897" s="4"/>
      <c r="AL897" s="4"/>
      <c r="AM897" s="4"/>
      <c r="AN897" s="44"/>
      <c r="AO897" s="8"/>
      <c r="AP897" s="8"/>
      <c r="AQ897" s="8"/>
      <c r="AR897" s="8"/>
      <c r="AS897" s="8"/>
      <c r="AT897" s="8"/>
      <c r="AU897" s="8"/>
      <c r="AV897" s="46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4"/>
      <c r="BX897" s="4"/>
    </row>
    <row r="898" spans="1:76" s="16" customFormat="1" x14ac:dyDescent="0.25">
      <c r="A898" s="26"/>
      <c r="B898" s="6"/>
      <c r="C898" s="7"/>
      <c r="D898" s="7"/>
      <c r="E898" s="7"/>
      <c r="F898" s="7"/>
      <c r="G898" s="7"/>
      <c r="H898" s="7"/>
      <c r="I898" s="4"/>
      <c r="J898" s="7"/>
      <c r="K898" s="7"/>
      <c r="L898" s="7"/>
      <c r="M898" s="7"/>
      <c r="N898" s="4"/>
      <c r="O898" s="4"/>
      <c r="P898" s="4"/>
      <c r="Q898" s="4"/>
      <c r="R898" s="4"/>
      <c r="S898" s="7"/>
      <c r="T898" s="7"/>
      <c r="U898" s="7"/>
      <c r="V898" s="7"/>
      <c r="W898" s="7"/>
      <c r="X898" s="7"/>
      <c r="Y898" s="4"/>
      <c r="Z898" s="4"/>
      <c r="AA898" s="4"/>
      <c r="AB898" s="4"/>
      <c r="AC898" s="4"/>
      <c r="AD898" s="4"/>
      <c r="AE898" s="4"/>
      <c r="AF898" s="4"/>
      <c r="AG898" s="49"/>
      <c r="AH898" s="4"/>
      <c r="AI898" s="4"/>
      <c r="AJ898" s="4"/>
      <c r="AK898" s="4"/>
      <c r="AL898" s="4"/>
      <c r="AM898" s="4"/>
      <c r="AN898" s="44"/>
      <c r="AO898" s="8"/>
      <c r="AP898" s="8"/>
      <c r="AQ898" s="8"/>
      <c r="AR898" s="8"/>
      <c r="AS898" s="8"/>
      <c r="AT898" s="8"/>
      <c r="AU898" s="8"/>
      <c r="AV898" s="46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4"/>
      <c r="BX898" s="4"/>
    </row>
    <row r="899" spans="1:76" s="16" customFormat="1" x14ac:dyDescent="0.25">
      <c r="A899" s="26"/>
      <c r="B899" s="6"/>
      <c r="C899" s="7"/>
      <c r="D899" s="7"/>
      <c r="E899" s="7"/>
      <c r="F899" s="7"/>
      <c r="G899" s="7"/>
      <c r="H899" s="7"/>
      <c r="I899" s="4"/>
      <c r="J899" s="7"/>
      <c r="K899" s="7"/>
      <c r="L899" s="7"/>
      <c r="M899" s="7"/>
      <c r="N899" s="4"/>
      <c r="O899" s="4"/>
      <c r="P899" s="4"/>
      <c r="Q899" s="4"/>
      <c r="R899" s="4"/>
      <c r="S899" s="7"/>
      <c r="T899" s="7"/>
      <c r="U899" s="7"/>
      <c r="V899" s="7"/>
      <c r="W899" s="7"/>
      <c r="X899" s="7"/>
      <c r="Y899" s="4"/>
      <c r="Z899" s="4"/>
      <c r="AA899" s="4"/>
      <c r="AB899" s="4"/>
      <c r="AC899" s="4"/>
      <c r="AD899" s="4"/>
      <c r="AE899" s="4"/>
      <c r="AF899" s="4"/>
      <c r="AG899" s="49"/>
      <c r="AH899" s="4"/>
      <c r="AI899" s="4"/>
      <c r="AJ899" s="4"/>
      <c r="AK899" s="4"/>
      <c r="AL899" s="4"/>
      <c r="AM899" s="4"/>
      <c r="AN899" s="44"/>
      <c r="AO899" s="8"/>
      <c r="AP899" s="8"/>
      <c r="AQ899" s="8"/>
      <c r="AR899" s="8"/>
      <c r="AS899" s="8"/>
      <c r="AT899" s="8"/>
      <c r="AU899" s="8"/>
      <c r="AV899" s="46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4"/>
      <c r="BX899" s="4"/>
    </row>
    <row r="900" spans="1:76" s="16" customFormat="1" x14ac:dyDescent="0.25">
      <c r="A900" s="26"/>
      <c r="B900" s="6"/>
      <c r="C900" s="7"/>
      <c r="D900" s="7"/>
      <c r="E900" s="7"/>
      <c r="F900" s="7"/>
      <c r="G900" s="7"/>
      <c r="H900" s="7"/>
      <c r="I900" s="4"/>
      <c r="J900" s="7"/>
      <c r="K900" s="7"/>
      <c r="L900" s="7"/>
      <c r="M900" s="7"/>
      <c r="N900" s="4"/>
      <c r="O900" s="4"/>
      <c r="P900" s="4"/>
      <c r="Q900" s="4"/>
      <c r="R900" s="4"/>
      <c r="S900" s="7"/>
      <c r="T900" s="7"/>
      <c r="U900" s="7"/>
      <c r="V900" s="7"/>
      <c r="W900" s="7"/>
      <c r="X900" s="7"/>
      <c r="Y900" s="4"/>
      <c r="Z900" s="4"/>
      <c r="AA900" s="4"/>
      <c r="AB900" s="4"/>
      <c r="AC900" s="4"/>
      <c r="AD900" s="4"/>
      <c r="AE900" s="4"/>
      <c r="AF900" s="4"/>
      <c r="AG900" s="49"/>
      <c r="AH900" s="4"/>
      <c r="AI900" s="4"/>
      <c r="AJ900" s="4"/>
      <c r="AK900" s="4"/>
      <c r="AL900" s="4"/>
      <c r="AM900" s="4"/>
      <c r="AN900" s="44"/>
      <c r="AO900" s="8"/>
      <c r="AP900" s="8"/>
      <c r="AQ900" s="8"/>
      <c r="AR900" s="8"/>
      <c r="AS900" s="8"/>
      <c r="AT900" s="8"/>
      <c r="AU900" s="8"/>
      <c r="AV900" s="46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4"/>
      <c r="BX900" s="4"/>
    </row>
    <row r="901" spans="1:76" s="16" customFormat="1" x14ac:dyDescent="0.25">
      <c r="A901" s="26"/>
      <c r="B901" s="6"/>
      <c r="C901" s="7"/>
      <c r="D901" s="7"/>
      <c r="E901" s="7"/>
      <c r="F901" s="7"/>
      <c r="G901" s="7"/>
      <c r="H901" s="7"/>
      <c r="I901" s="4"/>
      <c r="J901" s="7"/>
      <c r="K901" s="7"/>
      <c r="L901" s="7"/>
      <c r="M901" s="7"/>
      <c r="N901" s="4"/>
      <c r="O901" s="4"/>
      <c r="P901" s="4"/>
      <c r="Q901" s="4"/>
      <c r="R901" s="4"/>
      <c r="S901" s="7"/>
      <c r="T901" s="7"/>
      <c r="U901" s="7"/>
      <c r="V901" s="7"/>
      <c r="W901" s="7"/>
      <c r="X901" s="7"/>
      <c r="Y901" s="4"/>
      <c r="Z901" s="4"/>
      <c r="AA901" s="4"/>
      <c r="AB901" s="4"/>
      <c r="AC901" s="4"/>
      <c r="AD901" s="4"/>
      <c r="AE901" s="4"/>
      <c r="AF901" s="4"/>
      <c r="AG901" s="49"/>
      <c r="AH901" s="4"/>
      <c r="AI901" s="4"/>
      <c r="AJ901" s="4"/>
      <c r="AK901" s="4"/>
      <c r="AL901" s="4"/>
      <c r="AM901" s="4"/>
      <c r="AN901" s="44"/>
      <c r="AO901" s="8"/>
      <c r="AP901" s="8"/>
      <c r="AQ901" s="8"/>
      <c r="AR901" s="8"/>
      <c r="AS901" s="8"/>
      <c r="AT901" s="8"/>
      <c r="AU901" s="8"/>
      <c r="AV901" s="46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4"/>
      <c r="BX901" s="4"/>
    </row>
    <row r="902" spans="1:76" s="16" customFormat="1" x14ac:dyDescent="0.25">
      <c r="A902" s="26"/>
      <c r="B902" s="6"/>
      <c r="C902" s="7"/>
      <c r="D902" s="7"/>
      <c r="E902" s="7"/>
      <c r="F902" s="7"/>
      <c r="G902" s="7"/>
      <c r="H902" s="7"/>
      <c r="I902" s="4"/>
      <c r="J902" s="7"/>
      <c r="K902" s="7"/>
      <c r="L902" s="7"/>
      <c r="M902" s="7"/>
      <c r="N902" s="4"/>
      <c r="O902" s="4"/>
      <c r="P902" s="4"/>
      <c r="Q902" s="4"/>
      <c r="R902" s="4"/>
      <c r="S902" s="7"/>
      <c r="T902" s="7"/>
      <c r="U902" s="7"/>
      <c r="V902" s="7"/>
      <c r="W902" s="7"/>
      <c r="X902" s="7"/>
      <c r="Y902" s="4"/>
      <c r="Z902" s="4"/>
      <c r="AA902" s="4"/>
      <c r="AB902" s="4"/>
      <c r="AC902" s="4"/>
      <c r="AD902" s="4"/>
      <c r="AE902" s="4"/>
      <c r="AF902" s="4"/>
      <c r="AG902" s="49"/>
      <c r="AH902" s="4"/>
      <c r="AI902" s="4"/>
      <c r="AJ902" s="4"/>
      <c r="AK902" s="4"/>
      <c r="AL902" s="4"/>
      <c r="AM902" s="4"/>
      <c r="AN902" s="44"/>
      <c r="AO902" s="8"/>
      <c r="AP902" s="8"/>
      <c r="AQ902" s="8"/>
      <c r="AR902" s="8"/>
      <c r="AS902" s="8"/>
      <c r="AT902" s="8"/>
      <c r="AU902" s="8"/>
      <c r="AV902" s="46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4"/>
      <c r="BX902" s="4"/>
    </row>
    <row r="903" spans="1:76" s="16" customFormat="1" x14ac:dyDescent="0.25">
      <c r="A903" s="26"/>
      <c r="B903" s="6"/>
      <c r="C903" s="7"/>
      <c r="D903" s="7"/>
      <c r="E903" s="7"/>
      <c r="F903" s="7"/>
      <c r="G903" s="7"/>
      <c r="H903" s="7"/>
      <c r="I903" s="4"/>
      <c r="J903" s="7"/>
      <c r="K903" s="7"/>
      <c r="L903" s="7"/>
      <c r="M903" s="7"/>
      <c r="N903" s="4"/>
      <c r="O903" s="4"/>
      <c r="P903" s="4"/>
      <c r="Q903" s="4"/>
      <c r="R903" s="4"/>
      <c r="S903" s="7"/>
      <c r="T903" s="7"/>
      <c r="U903" s="7"/>
      <c r="V903" s="7"/>
      <c r="W903" s="7"/>
      <c r="X903" s="7"/>
      <c r="Y903" s="4"/>
      <c r="Z903" s="4"/>
      <c r="AA903" s="4"/>
      <c r="AB903" s="4"/>
      <c r="AC903" s="4"/>
      <c r="AD903" s="4"/>
      <c r="AE903" s="4"/>
      <c r="AF903" s="4"/>
      <c r="AG903" s="49"/>
      <c r="AH903" s="4"/>
      <c r="AI903" s="4"/>
      <c r="AJ903" s="4"/>
      <c r="AK903" s="4"/>
      <c r="AL903" s="4"/>
      <c r="AM903" s="4"/>
      <c r="AN903" s="44"/>
      <c r="AO903" s="8"/>
      <c r="AP903" s="8"/>
      <c r="AQ903" s="8"/>
      <c r="AR903" s="8"/>
      <c r="AS903" s="8"/>
      <c r="AT903" s="8"/>
      <c r="AU903" s="8"/>
      <c r="AV903" s="46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4"/>
      <c r="BX903" s="4"/>
    </row>
    <row r="904" spans="1:76" s="16" customFormat="1" x14ac:dyDescent="0.25">
      <c r="A904" s="26"/>
      <c r="B904" s="6"/>
      <c r="C904" s="7"/>
      <c r="D904" s="7"/>
      <c r="E904" s="7"/>
      <c r="F904" s="7"/>
      <c r="G904" s="7"/>
      <c r="H904" s="7"/>
      <c r="I904" s="4"/>
      <c r="J904" s="7"/>
      <c r="K904" s="7"/>
      <c r="L904" s="7"/>
      <c r="M904" s="7"/>
      <c r="N904" s="4"/>
      <c r="O904" s="4"/>
      <c r="P904" s="4"/>
      <c r="Q904" s="4"/>
      <c r="R904" s="4"/>
      <c r="S904" s="7"/>
      <c r="T904" s="7"/>
      <c r="U904" s="7"/>
      <c r="V904" s="7"/>
      <c r="W904" s="7"/>
      <c r="X904" s="7"/>
      <c r="Y904" s="4"/>
      <c r="Z904" s="4"/>
      <c r="AA904" s="4"/>
      <c r="AB904" s="4"/>
      <c r="AC904" s="4"/>
      <c r="AD904" s="4"/>
      <c r="AE904" s="4"/>
      <c r="AF904" s="4"/>
      <c r="AG904" s="49"/>
      <c r="AH904" s="4"/>
      <c r="AI904" s="4"/>
      <c r="AJ904" s="4"/>
      <c r="AK904" s="4"/>
      <c r="AL904" s="4"/>
      <c r="AM904" s="4"/>
      <c r="AN904" s="44"/>
      <c r="AO904" s="8"/>
      <c r="AP904" s="8"/>
      <c r="AQ904" s="8"/>
      <c r="AR904" s="8"/>
      <c r="AS904" s="8"/>
      <c r="AT904" s="8"/>
      <c r="AU904" s="8"/>
      <c r="AV904" s="46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4"/>
      <c r="BX904" s="4"/>
    </row>
    <row r="905" spans="1:76" s="16" customFormat="1" x14ac:dyDescent="0.25">
      <c r="A905" s="26"/>
      <c r="B905" s="6"/>
      <c r="C905" s="7"/>
      <c r="D905" s="7"/>
      <c r="E905" s="7"/>
      <c r="F905" s="7"/>
      <c r="G905" s="7"/>
      <c r="H905" s="7"/>
      <c r="I905" s="4"/>
      <c r="J905" s="7"/>
      <c r="K905" s="7"/>
      <c r="L905" s="7"/>
      <c r="M905" s="7"/>
      <c r="N905" s="4"/>
      <c r="O905" s="4"/>
      <c r="P905" s="4"/>
      <c r="Q905" s="4"/>
      <c r="R905" s="4"/>
      <c r="S905" s="7"/>
      <c r="T905" s="7"/>
      <c r="U905" s="7"/>
      <c r="V905" s="7"/>
      <c r="W905" s="7"/>
      <c r="X905" s="7"/>
      <c r="Y905" s="4"/>
      <c r="Z905" s="4"/>
      <c r="AA905" s="4"/>
      <c r="AB905" s="4"/>
      <c r="AC905" s="4"/>
      <c r="AD905" s="4"/>
      <c r="AE905" s="4"/>
      <c r="AF905" s="4"/>
      <c r="AG905" s="49"/>
      <c r="AH905" s="4"/>
      <c r="AI905" s="4"/>
      <c r="AJ905" s="4"/>
      <c r="AK905" s="4"/>
      <c r="AL905" s="4"/>
      <c r="AM905" s="4"/>
      <c r="AN905" s="44"/>
      <c r="AO905" s="8"/>
      <c r="AP905" s="8"/>
      <c r="AQ905" s="8"/>
      <c r="AR905" s="8"/>
      <c r="AS905" s="8"/>
      <c r="AT905" s="8"/>
      <c r="AU905" s="8"/>
      <c r="AV905" s="46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4"/>
      <c r="BX905" s="4"/>
    </row>
    <row r="906" spans="1:76" s="16" customFormat="1" x14ac:dyDescent="0.25">
      <c r="A906" s="26"/>
      <c r="B906" s="6"/>
      <c r="C906" s="7"/>
      <c r="D906" s="7"/>
      <c r="E906" s="7"/>
      <c r="F906" s="7"/>
      <c r="G906" s="7"/>
      <c r="H906" s="7"/>
      <c r="I906" s="4"/>
      <c r="J906" s="7"/>
      <c r="K906" s="7"/>
      <c r="L906" s="7"/>
      <c r="M906" s="7"/>
      <c r="N906" s="4"/>
      <c r="O906" s="4"/>
      <c r="P906" s="4"/>
      <c r="Q906" s="4"/>
      <c r="R906" s="4"/>
      <c r="S906" s="7"/>
      <c r="T906" s="7"/>
      <c r="U906" s="7"/>
      <c r="V906" s="7"/>
      <c r="W906" s="7"/>
      <c r="X906" s="7"/>
      <c r="Y906" s="4"/>
      <c r="Z906" s="4"/>
      <c r="AA906" s="4"/>
      <c r="AB906" s="4"/>
      <c r="AC906" s="4"/>
      <c r="AD906" s="4"/>
      <c r="AE906" s="4"/>
      <c r="AF906" s="4"/>
      <c r="AG906" s="49"/>
      <c r="AH906" s="4"/>
      <c r="AI906" s="4"/>
      <c r="AJ906" s="4"/>
      <c r="AK906" s="4"/>
      <c r="AL906" s="4"/>
      <c r="AM906" s="4"/>
      <c r="AN906" s="44"/>
      <c r="AO906" s="8"/>
      <c r="AP906" s="8"/>
      <c r="AQ906" s="8"/>
      <c r="AR906" s="8"/>
      <c r="AS906" s="8"/>
      <c r="AT906" s="8"/>
      <c r="AU906" s="8"/>
      <c r="AV906" s="46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4"/>
      <c r="BX906" s="4"/>
    </row>
    <row r="907" spans="1:76" s="16" customFormat="1" x14ac:dyDescent="0.25">
      <c r="A907" s="26"/>
      <c r="B907" s="6"/>
      <c r="C907" s="7"/>
      <c r="D907" s="7"/>
      <c r="E907" s="7"/>
      <c r="F907" s="7"/>
      <c r="G907" s="7"/>
      <c r="H907" s="7"/>
      <c r="I907" s="4"/>
      <c r="J907" s="7"/>
      <c r="K907" s="7"/>
      <c r="L907" s="7"/>
      <c r="M907" s="7"/>
      <c r="N907" s="4"/>
      <c r="O907" s="4"/>
      <c r="P907" s="4"/>
      <c r="Q907" s="4"/>
      <c r="R907" s="4"/>
      <c r="S907" s="7"/>
      <c r="T907" s="7"/>
      <c r="U907" s="7"/>
      <c r="V907" s="7"/>
      <c r="W907" s="7"/>
      <c r="X907" s="7"/>
      <c r="Y907" s="4"/>
      <c r="Z907" s="4"/>
      <c r="AA907" s="4"/>
      <c r="AB907" s="4"/>
      <c r="AC907" s="4"/>
      <c r="AD907" s="4"/>
      <c r="AE907" s="4"/>
      <c r="AF907" s="4"/>
      <c r="AG907" s="49"/>
      <c r="AH907" s="4"/>
      <c r="AI907" s="4"/>
      <c r="AJ907" s="4"/>
      <c r="AK907" s="4"/>
      <c r="AL907" s="4"/>
      <c r="AM907" s="4"/>
      <c r="AN907" s="44"/>
      <c r="AO907" s="8"/>
      <c r="AP907" s="8"/>
      <c r="AQ907" s="8"/>
      <c r="AR907" s="8"/>
      <c r="AS907" s="8"/>
      <c r="AT907" s="8"/>
      <c r="AU907" s="8"/>
      <c r="AV907" s="46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4"/>
      <c r="BX907" s="4"/>
    </row>
    <row r="908" spans="1:76" s="16" customFormat="1" x14ac:dyDescent="0.25">
      <c r="A908" s="26"/>
      <c r="B908" s="6"/>
      <c r="C908" s="7"/>
      <c r="D908" s="7"/>
      <c r="E908" s="7"/>
      <c r="F908" s="7"/>
      <c r="G908" s="7"/>
      <c r="H908" s="7"/>
      <c r="I908" s="4"/>
      <c r="J908" s="7"/>
      <c r="K908" s="7"/>
      <c r="L908" s="7"/>
      <c r="M908" s="7"/>
      <c r="N908" s="4"/>
      <c r="O908" s="4"/>
      <c r="P908" s="4"/>
      <c r="Q908" s="4"/>
      <c r="R908" s="4"/>
      <c r="S908" s="7"/>
      <c r="T908" s="7"/>
      <c r="U908" s="7"/>
      <c r="V908" s="7"/>
      <c r="W908" s="7"/>
      <c r="X908" s="7"/>
      <c r="Y908" s="4"/>
      <c r="Z908" s="4"/>
      <c r="AA908" s="4"/>
      <c r="AB908" s="4"/>
      <c r="AC908" s="4"/>
      <c r="AD908" s="4"/>
      <c r="AE908" s="4"/>
      <c r="AF908" s="4"/>
      <c r="AG908" s="49"/>
      <c r="AH908" s="4"/>
      <c r="AI908" s="4"/>
      <c r="AJ908" s="4"/>
      <c r="AK908" s="4"/>
      <c r="AL908" s="4"/>
      <c r="AM908" s="4"/>
      <c r="AN908" s="44"/>
      <c r="AO908" s="8"/>
      <c r="AP908" s="8"/>
      <c r="AQ908" s="8"/>
      <c r="AR908" s="8"/>
      <c r="AS908" s="8"/>
      <c r="AT908" s="8"/>
      <c r="AU908" s="8"/>
      <c r="AV908" s="46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4"/>
      <c r="BX908" s="4"/>
    </row>
    <row r="909" spans="1:76" s="16" customFormat="1" x14ac:dyDescent="0.25">
      <c r="A909" s="26"/>
      <c r="B909" s="6"/>
      <c r="C909" s="7"/>
      <c r="D909" s="7"/>
      <c r="E909" s="7"/>
      <c r="F909" s="7"/>
      <c r="G909" s="7"/>
      <c r="H909" s="7"/>
      <c r="I909" s="4"/>
      <c r="J909" s="7"/>
      <c r="K909" s="7"/>
      <c r="L909" s="7"/>
      <c r="M909" s="7"/>
      <c r="N909" s="4"/>
      <c r="O909" s="4"/>
      <c r="P909" s="4"/>
      <c r="Q909" s="4"/>
      <c r="R909" s="4"/>
      <c r="S909" s="7"/>
      <c r="T909" s="7"/>
      <c r="U909" s="7"/>
      <c r="V909" s="7"/>
      <c r="W909" s="7"/>
      <c r="X909" s="7"/>
      <c r="Y909" s="4"/>
      <c r="Z909" s="4"/>
      <c r="AA909" s="4"/>
      <c r="AB909" s="4"/>
      <c r="AC909" s="4"/>
      <c r="AD909" s="4"/>
      <c r="AE909" s="4"/>
      <c r="AF909" s="4"/>
      <c r="AG909" s="49"/>
      <c r="AH909" s="4"/>
      <c r="AI909" s="4"/>
      <c r="AJ909" s="4"/>
      <c r="AK909" s="4"/>
      <c r="AL909" s="4"/>
      <c r="AM909" s="4"/>
      <c r="AN909" s="44"/>
      <c r="AO909" s="8"/>
      <c r="AP909" s="8"/>
      <c r="AQ909" s="8"/>
      <c r="AR909" s="8"/>
      <c r="AS909" s="8"/>
      <c r="AT909" s="8"/>
      <c r="AU909" s="8"/>
      <c r="AV909" s="46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4"/>
      <c r="BX909" s="4"/>
    </row>
    <row r="910" spans="1:76" s="16" customFormat="1" x14ac:dyDescent="0.25">
      <c r="A910" s="26"/>
      <c r="B910" s="6"/>
      <c r="C910" s="7"/>
      <c r="D910" s="7"/>
      <c r="E910" s="7"/>
      <c r="F910" s="7"/>
      <c r="G910" s="7"/>
      <c r="H910" s="7"/>
      <c r="I910" s="4"/>
      <c r="J910" s="7"/>
      <c r="K910" s="7"/>
      <c r="L910" s="7"/>
      <c r="M910" s="7"/>
      <c r="N910" s="4"/>
      <c r="O910" s="4"/>
      <c r="P910" s="4"/>
      <c r="Q910" s="4"/>
      <c r="R910" s="4"/>
      <c r="S910" s="7"/>
      <c r="T910" s="7"/>
      <c r="U910" s="7"/>
      <c r="V910" s="7"/>
      <c r="W910" s="7"/>
      <c r="X910" s="7"/>
      <c r="Y910" s="4"/>
      <c r="Z910" s="4"/>
      <c r="AA910" s="4"/>
      <c r="AB910" s="4"/>
      <c r="AC910" s="4"/>
      <c r="AD910" s="4"/>
      <c r="AE910" s="4"/>
      <c r="AF910" s="4"/>
      <c r="AG910" s="49"/>
      <c r="AH910" s="4"/>
      <c r="AI910" s="4"/>
      <c r="AJ910" s="4"/>
      <c r="AK910" s="4"/>
      <c r="AL910" s="4"/>
      <c r="AM910" s="4"/>
      <c r="AN910" s="44"/>
      <c r="AO910" s="8"/>
      <c r="AP910" s="8"/>
      <c r="AQ910" s="8"/>
      <c r="AR910" s="8"/>
      <c r="AS910" s="8"/>
      <c r="AT910" s="8"/>
      <c r="AU910" s="8"/>
      <c r="AV910" s="46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4"/>
      <c r="BX910" s="4"/>
    </row>
    <row r="911" spans="1:76" s="16" customFormat="1" x14ac:dyDescent="0.25">
      <c r="A911" s="26"/>
      <c r="B911" s="6"/>
      <c r="C911" s="7"/>
      <c r="D911" s="7"/>
      <c r="E911" s="7"/>
      <c r="F911" s="7"/>
      <c r="G911" s="7"/>
      <c r="H911" s="7"/>
      <c r="I911" s="4"/>
      <c r="J911" s="7"/>
      <c r="K911" s="7"/>
      <c r="L911" s="7"/>
      <c r="M911" s="7"/>
      <c r="N911" s="4"/>
      <c r="O911" s="4"/>
      <c r="P911" s="4"/>
      <c r="Q911" s="4"/>
      <c r="R911" s="4"/>
      <c r="S911" s="7"/>
      <c r="T911" s="7"/>
      <c r="U911" s="7"/>
      <c r="V911" s="7"/>
      <c r="W911" s="7"/>
      <c r="X911" s="7"/>
      <c r="Y911" s="4"/>
      <c r="Z911" s="4"/>
      <c r="AA911" s="4"/>
      <c r="AB911" s="4"/>
      <c r="AC911" s="4"/>
      <c r="AD911" s="4"/>
      <c r="AE911" s="4"/>
      <c r="AF911" s="4"/>
      <c r="AG911" s="49"/>
      <c r="AH911" s="4"/>
      <c r="AI911" s="4"/>
      <c r="AJ911" s="4"/>
      <c r="AK911" s="4"/>
      <c r="AL911" s="4"/>
      <c r="AM911" s="4"/>
      <c r="AN911" s="44"/>
      <c r="AO911" s="8"/>
      <c r="AP911" s="8"/>
      <c r="AQ911" s="8"/>
      <c r="AR911" s="8"/>
      <c r="AS911" s="8"/>
      <c r="AT911" s="8"/>
      <c r="AU911" s="8"/>
      <c r="AV911" s="46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4"/>
      <c r="BX911" s="4"/>
    </row>
    <row r="912" spans="1:76" s="16" customFormat="1" x14ac:dyDescent="0.25">
      <c r="A912" s="26"/>
      <c r="B912" s="6"/>
      <c r="C912" s="7"/>
      <c r="D912" s="7"/>
      <c r="E912" s="7"/>
      <c r="F912" s="7"/>
      <c r="G912" s="7"/>
      <c r="H912" s="7"/>
      <c r="I912" s="4"/>
      <c r="J912" s="7"/>
      <c r="K912" s="7"/>
      <c r="L912" s="7"/>
      <c r="M912" s="7"/>
      <c r="N912" s="4"/>
      <c r="O912" s="4"/>
      <c r="P912" s="4"/>
      <c r="Q912" s="4"/>
      <c r="R912" s="4"/>
      <c r="S912" s="7"/>
      <c r="T912" s="7"/>
      <c r="U912" s="7"/>
      <c r="V912" s="7"/>
      <c r="W912" s="7"/>
      <c r="X912" s="7"/>
      <c r="Y912" s="4"/>
      <c r="Z912" s="4"/>
      <c r="AA912" s="4"/>
      <c r="AB912" s="4"/>
      <c r="AC912" s="4"/>
      <c r="AD912" s="4"/>
      <c r="AE912" s="4"/>
      <c r="AF912" s="4"/>
      <c r="AG912" s="49"/>
      <c r="AH912" s="4"/>
      <c r="AI912" s="4"/>
      <c r="AJ912" s="4"/>
      <c r="AK912" s="4"/>
      <c r="AL912" s="4"/>
      <c r="AM912" s="4"/>
      <c r="AN912" s="44"/>
      <c r="AO912" s="8"/>
      <c r="AP912" s="8"/>
      <c r="AQ912" s="8"/>
      <c r="AR912" s="8"/>
      <c r="AS912" s="8"/>
      <c r="AT912" s="8"/>
      <c r="AU912" s="8"/>
      <c r="AV912" s="46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4"/>
      <c r="BX912" s="4"/>
    </row>
    <row r="913" spans="1:76" s="16" customFormat="1" x14ac:dyDescent="0.25">
      <c r="A913" s="26"/>
      <c r="B913" s="6"/>
      <c r="C913" s="7"/>
      <c r="D913" s="7"/>
      <c r="E913" s="7"/>
      <c r="F913" s="7"/>
      <c r="G913" s="7"/>
      <c r="H913" s="7"/>
      <c r="I913" s="4"/>
      <c r="J913" s="7"/>
      <c r="K913" s="7"/>
      <c r="L913" s="7"/>
      <c r="M913" s="7"/>
      <c r="N913" s="4"/>
      <c r="O913" s="4"/>
      <c r="P913" s="4"/>
      <c r="Q913" s="4"/>
      <c r="R913" s="4"/>
      <c r="S913" s="7"/>
      <c r="T913" s="7"/>
      <c r="U913" s="7"/>
      <c r="V913" s="7"/>
      <c r="W913" s="7"/>
      <c r="X913" s="7"/>
      <c r="Y913" s="4"/>
      <c r="Z913" s="4"/>
      <c r="AA913" s="4"/>
      <c r="AB913" s="4"/>
      <c r="AC913" s="4"/>
      <c r="AD913" s="4"/>
      <c r="AE913" s="4"/>
      <c r="AF913" s="4"/>
      <c r="AG913" s="49"/>
      <c r="AH913" s="4"/>
      <c r="AI913" s="4"/>
      <c r="AJ913" s="4"/>
      <c r="AK913" s="4"/>
      <c r="AL913" s="4"/>
      <c r="AM913" s="4"/>
      <c r="AN913" s="44"/>
      <c r="AO913" s="8"/>
      <c r="AP913" s="8"/>
      <c r="AQ913" s="8"/>
      <c r="AR913" s="8"/>
      <c r="AS913" s="8"/>
      <c r="AT913" s="8"/>
      <c r="AU913" s="8"/>
      <c r="AV913" s="46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4"/>
      <c r="BX913" s="4"/>
    </row>
    <row r="914" spans="1:76" s="16" customFormat="1" x14ac:dyDescent="0.25">
      <c r="A914" s="26"/>
      <c r="B914" s="6"/>
      <c r="C914" s="7"/>
      <c r="D914" s="7"/>
      <c r="E914" s="7"/>
      <c r="F914" s="7"/>
      <c r="G914" s="7"/>
      <c r="H914" s="7"/>
      <c r="I914" s="4"/>
      <c r="J914" s="7"/>
      <c r="K914" s="7"/>
      <c r="L914" s="7"/>
      <c r="M914" s="7"/>
      <c r="N914" s="4"/>
      <c r="O914" s="4"/>
      <c r="P914" s="4"/>
      <c r="Q914" s="4"/>
      <c r="R914" s="4"/>
      <c r="S914" s="7"/>
      <c r="T914" s="7"/>
      <c r="U914" s="7"/>
      <c r="V914" s="7"/>
      <c r="W914" s="7"/>
      <c r="X914" s="7"/>
      <c r="Y914" s="4"/>
      <c r="Z914" s="4"/>
      <c r="AA914" s="4"/>
      <c r="AB914" s="4"/>
      <c r="AC914" s="4"/>
      <c r="AD914" s="4"/>
      <c r="AE914" s="4"/>
      <c r="AF914" s="4"/>
      <c r="AG914" s="49"/>
      <c r="AH914" s="4"/>
      <c r="AI914" s="4"/>
      <c r="AJ914" s="4"/>
      <c r="AK914" s="4"/>
      <c r="AL914" s="4"/>
      <c r="AM914" s="4"/>
      <c r="AN914" s="44"/>
      <c r="AO914" s="8"/>
      <c r="AP914" s="8"/>
      <c r="AQ914" s="8"/>
      <c r="AR914" s="8"/>
      <c r="AS914" s="8"/>
      <c r="AT914" s="8"/>
      <c r="AU914" s="8"/>
      <c r="AV914" s="46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4"/>
      <c r="BX914" s="4"/>
    </row>
    <row r="915" spans="1:76" s="16" customFormat="1" x14ac:dyDescent="0.25">
      <c r="A915" s="26"/>
      <c r="B915" s="6"/>
      <c r="C915" s="7"/>
      <c r="D915" s="7"/>
      <c r="E915" s="7"/>
      <c r="F915" s="7"/>
      <c r="G915" s="7"/>
      <c r="H915" s="7"/>
      <c r="I915" s="4"/>
      <c r="J915" s="7"/>
      <c r="K915" s="7"/>
      <c r="L915" s="7"/>
      <c r="M915" s="7"/>
      <c r="N915" s="4"/>
      <c r="O915" s="4"/>
      <c r="P915" s="4"/>
      <c r="Q915" s="4"/>
      <c r="R915" s="4"/>
      <c r="S915" s="7"/>
      <c r="T915" s="7"/>
      <c r="U915" s="7"/>
      <c r="V915" s="7"/>
      <c r="W915" s="7"/>
      <c r="X915" s="7"/>
      <c r="Y915" s="4"/>
      <c r="Z915" s="4"/>
      <c r="AA915" s="4"/>
      <c r="AB915" s="4"/>
      <c r="AC915" s="4"/>
      <c r="AD915" s="4"/>
      <c r="AE915" s="4"/>
      <c r="AF915" s="4"/>
      <c r="AG915" s="49"/>
      <c r="AH915" s="4"/>
      <c r="AI915" s="4"/>
      <c r="AJ915" s="4"/>
      <c r="AK915" s="4"/>
      <c r="AL915" s="4"/>
      <c r="AM915" s="4"/>
      <c r="AN915" s="44"/>
      <c r="AO915" s="8"/>
      <c r="AP915" s="8"/>
      <c r="AQ915" s="8"/>
      <c r="AR915" s="8"/>
      <c r="AS915" s="8"/>
      <c r="AT915" s="8"/>
      <c r="AU915" s="8"/>
      <c r="AV915" s="46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4"/>
      <c r="BX915" s="4"/>
    </row>
    <row r="916" spans="1:76" s="16" customFormat="1" x14ac:dyDescent="0.25">
      <c r="A916" s="26"/>
      <c r="B916" s="6"/>
      <c r="C916" s="7"/>
      <c r="D916" s="7"/>
      <c r="E916" s="7"/>
      <c r="F916" s="7"/>
      <c r="G916" s="7"/>
      <c r="H916" s="7"/>
      <c r="I916" s="4"/>
      <c r="J916" s="7"/>
      <c r="K916" s="7"/>
      <c r="L916" s="7"/>
      <c r="M916" s="7"/>
      <c r="N916" s="4"/>
      <c r="O916" s="4"/>
      <c r="P916" s="4"/>
      <c r="Q916" s="4"/>
      <c r="R916" s="4"/>
      <c r="S916" s="7"/>
      <c r="T916" s="7"/>
      <c r="U916" s="7"/>
      <c r="V916" s="7"/>
      <c r="W916" s="7"/>
      <c r="X916" s="7"/>
      <c r="Y916" s="4"/>
      <c r="Z916" s="4"/>
      <c r="AA916" s="4"/>
      <c r="AB916" s="4"/>
      <c r="AC916" s="4"/>
      <c r="AD916" s="4"/>
      <c r="AE916" s="4"/>
      <c r="AF916" s="4"/>
      <c r="AG916" s="49"/>
      <c r="AH916" s="4"/>
      <c r="AI916" s="4"/>
      <c r="AJ916" s="4"/>
      <c r="AK916" s="4"/>
      <c r="AL916" s="4"/>
      <c r="AM916" s="4"/>
      <c r="AN916" s="44"/>
      <c r="AO916" s="8"/>
      <c r="AP916" s="8"/>
      <c r="AQ916" s="8"/>
      <c r="AR916" s="8"/>
      <c r="AS916" s="8"/>
      <c r="AT916" s="8"/>
      <c r="AU916" s="8"/>
      <c r="AV916" s="46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4"/>
      <c r="BX916" s="4"/>
    </row>
    <row r="917" spans="1:76" s="16" customFormat="1" x14ac:dyDescent="0.25">
      <c r="A917" s="26"/>
      <c r="B917" s="6"/>
      <c r="C917" s="7"/>
      <c r="D917" s="7"/>
      <c r="E917" s="7"/>
      <c r="F917" s="7"/>
      <c r="G917" s="7"/>
      <c r="H917" s="7"/>
      <c r="I917" s="4"/>
      <c r="J917" s="7"/>
      <c r="K917" s="7"/>
      <c r="L917" s="7"/>
      <c r="M917" s="7"/>
      <c r="N917" s="4"/>
      <c r="O917" s="4"/>
      <c r="P917" s="4"/>
      <c r="Q917" s="4"/>
      <c r="R917" s="4"/>
      <c r="S917" s="7"/>
      <c r="T917" s="7"/>
      <c r="U917" s="7"/>
      <c r="V917" s="7"/>
      <c r="W917" s="7"/>
      <c r="X917" s="7"/>
      <c r="Y917" s="4"/>
      <c r="Z917" s="4"/>
      <c r="AA917" s="4"/>
      <c r="AB917" s="4"/>
      <c r="AC917" s="4"/>
      <c r="AD917" s="4"/>
      <c r="AE917" s="4"/>
      <c r="AF917" s="4"/>
      <c r="AG917" s="49"/>
      <c r="AH917" s="4"/>
      <c r="AI917" s="4"/>
      <c r="AJ917" s="4"/>
      <c r="AK917" s="4"/>
      <c r="AL917" s="4"/>
      <c r="AM917" s="4"/>
      <c r="AN917" s="44"/>
      <c r="AO917" s="8"/>
      <c r="AP917" s="8"/>
      <c r="AQ917" s="8"/>
      <c r="AR917" s="8"/>
      <c r="AS917" s="8"/>
      <c r="AT917" s="8"/>
      <c r="AU917" s="8"/>
      <c r="AV917" s="46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4"/>
      <c r="BX917" s="4"/>
    </row>
    <row r="918" spans="1:76" s="16" customFormat="1" x14ac:dyDescent="0.25">
      <c r="A918" s="26"/>
      <c r="B918" s="6"/>
      <c r="C918" s="7"/>
      <c r="D918" s="7"/>
      <c r="E918" s="7"/>
      <c r="F918" s="7"/>
      <c r="G918" s="7"/>
      <c r="H918" s="7"/>
      <c r="I918" s="4"/>
      <c r="J918" s="7"/>
      <c r="K918" s="7"/>
      <c r="L918" s="7"/>
      <c r="M918" s="7"/>
      <c r="N918" s="4"/>
      <c r="O918" s="4"/>
      <c r="P918" s="4"/>
      <c r="Q918" s="4"/>
      <c r="R918" s="4"/>
      <c r="S918" s="7"/>
      <c r="T918" s="7"/>
      <c r="U918" s="7"/>
      <c r="V918" s="7"/>
      <c r="W918" s="7"/>
      <c r="X918" s="7"/>
      <c r="Y918" s="4"/>
      <c r="Z918" s="4"/>
      <c r="AA918" s="4"/>
      <c r="AB918" s="4"/>
      <c r="AC918" s="4"/>
      <c r="AD918" s="4"/>
      <c r="AE918" s="4"/>
      <c r="AF918" s="4"/>
      <c r="AG918" s="49"/>
      <c r="AH918" s="4"/>
      <c r="AI918" s="4"/>
      <c r="AJ918" s="4"/>
      <c r="AK918" s="4"/>
      <c r="AL918" s="4"/>
      <c r="AM918" s="4"/>
      <c r="AN918" s="44"/>
      <c r="AO918" s="8"/>
      <c r="AP918" s="8"/>
      <c r="AQ918" s="8"/>
      <c r="AR918" s="8"/>
      <c r="AS918" s="8"/>
      <c r="AT918" s="8"/>
      <c r="AU918" s="8"/>
      <c r="AV918" s="46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4"/>
      <c r="BX918" s="4"/>
    </row>
    <row r="919" spans="1:76" s="16" customFormat="1" x14ac:dyDescent="0.25">
      <c r="A919" s="26"/>
      <c r="B919" s="6"/>
      <c r="C919" s="7"/>
      <c r="D919" s="7"/>
      <c r="E919" s="7"/>
      <c r="F919" s="7"/>
      <c r="G919" s="7"/>
      <c r="H919" s="7"/>
      <c r="I919" s="4"/>
      <c r="J919" s="7"/>
      <c r="K919" s="7"/>
      <c r="L919" s="7"/>
      <c r="M919" s="7"/>
      <c r="N919" s="4"/>
      <c r="O919" s="4"/>
      <c r="P919" s="4"/>
      <c r="Q919" s="4"/>
      <c r="R919" s="4"/>
      <c r="S919" s="7"/>
      <c r="T919" s="7"/>
      <c r="U919" s="7"/>
      <c r="V919" s="7"/>
      <c r="W919" s="7"/>
      <c r="X919" s="7"/>
      <c r="Y919" s="4"/>
      <c r="Z919" s="4"/>
      <c r="AA919" s="4"/>
      <c r="AB919" s="4"/>
      <c r="AC919" s="4"/>
      <c r="AD919" s="4"/>
      <c r="AE919" s="4"/>
      <c r="AF919" s="4"/>
      <c r="AG919" s="49"/>
      <c r="AH919" s="4"/>
      <c r="AI919" s="4"/>
      <c r="AJ919" s="4"/>
      <c r="AK919" s="4"/>
      <c r="AL919" s="4"/>
      <c r="AM919" s="4"/>
      <c r="AN919" s="44"/>
      <c r="AO919" s="8"/>
      <c r="AP919" s="8"/>
      <c r="AQ919" s="8"/>
      <c r="AR919" s="8"/>
      <c r="AS919" s="8"/>
      <c r="AT919" s="8"/>
      <c r="AU919" s="8"/>
      <c r="AV919" s="46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4"/>
      <c r="BX919" s="4"/>
    </row>
    <row r="920" spans="1:76" s="16" customFormat="1" x14ac:dyDescent="0.25">
      <c r="A920" s="26"/>
      <c r="B920" s="6"/>
      <c r="C920" s="7"/>
      <c r="D920" s="7"/>
      <c r="E920" s="7"/>
      <c r="F920" s="7"/>
      <c r="G920" s="7"/>
      <c r="H920" s="7"/>
      <c r="I920" s="4"/>
      <c r="J920" s="7"/>
      <c r="K920" s="7"/>
      <c r="L920" s="7"/>
      <c r="M920" s="7"/>
      <c r="N920" s="4"/>
      <c r="O920" s="4"/>
      <c r="P920" s="4"/>
      <c r="Q920" s="4"/>
      <c r="R920" s="4"/>
      <c r="S920" s="7"/>
      <c r="T920" s="7"/>
      <c r="U920" s="7"/>
      <c r="V920" s="7"/>
      <c r="W920" s="7"/>
      <c r="X920" s="7"/>
      <c r="Y920" s="4"/>
      <c r="Z920" s="4"/>
      <c r="AA920" s="4"/>
      <c r="AB920" s="4"/>
      <c r="AC920" s="4"/>
      <c r="AD920" s="4"/>
      <c r="AE920" s="4"/>
      <c r="AF920" s="4"/>
      <c r="AG920" s="49"/>
      <c r="AH920" s="4"/>
      <c r="AI920" s="4"/>
      <c r="AJ920" s="4"/>
      <c r="AK920" s="4"/>
      <c r="AL920" s="4"/>
      <c r="AM920" s="4"/>
      <c r="AN920" s="44"/>
      <c r="AO920" s="8"/>
      <c r="AP920" s="8"/>
      <c r="AQ920" s="8"/>
      <c r="AR920" s="8"/>
      <c r="AS920" s="8"/>
      <c r="AT920" s="8"/>
      <c r="AU920" s="8"/>
      <c r="AV920" s="46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4"/>
      <c r="BX920" s="4"/>
    </row>
    <row r="921" spans="1:76" s="16" customFormat="1" x14ac:dyDescent="0.25">
      <c r="A921" s="26"/>
      <c r="B921" s="6"/>
      <c r="C921" s="7"/>
      <c r="D921" s="7"/>
      <c r="E921" s="7"/>
      <c r="F921" s="7"/>
      <c r="G921" s="7"/>
      <c r="H921" s="7"/>
      <c r="I921" s="4"/>
      <c r="J921" s="7"/>
      <c r="K921" s="7"/>
      <c r="L921" s="7"/>
      <c r="M921" s="7"/>
      <c r="N921" s="4"/>
      <c r="O921" s="4"/>
      <c r="P921" s="4"/>
      <c r="Q921" s="4"/>
      <c r="R921" s="4"/>
      <c r="S921" s="7"/>
      <c r="T921" s="7"/>
      <c r="U921" s="7"/>
      <c r="V921" s="7"/>
      <c r="W921" s="7"/>
      <c r="X921" s="7"/>
      <c r="Y921" s="4"/>
      <c r="Z921" s="4"/>
      <c r="AA921" s="4"/>
      <c r="AB921" s="4"/>
      <c r="AC921" s="4"/>
      <c r="AD921" s="4"/>
      <c r="AE921" s="4"/>
      <c r="AF921" s="4"/>
      <c r="AG921" s="49"/>
      <c r="AH921" s="4"/>
      <c r="AI921" s="4"/>
      <c r="AJ921" s="4"/>
      <c r="AK921" s="4"/>
      <c r="AL921" s="4"/>
      <c r="AM921" s="4"/>
      <c r="AN921" s="44"/>
      <c r="AO921" s="8"/>
      <c r="AP921" s="8"/>
      <c r="AQ921" s="8"/>
      <c r="AR921" s="8"/>
      <c r="AS921" s="8"/>
      <c r="AT921" s="8"/>
      <c r="AU921" s="8"/>
      <c r="AV921" s="46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4"/>
      <c r="BX921" s="4"/>
    </row>
    <row r="922" spans="1:76" s="16" customFormat="1" x14ac:dyDescent="0.25">
      <c r="A922" s="26"/>
      <c r="B922" s="6"/>
      <c r="C922" s="7"/>
      <c r="D922" s="7"/>
      <c r="E922" s="7"/>
      <c r="F922" s="7"/>
      <c r="G922" s="7"/>
      <c r="H922" s="7"/>
      <c r="I922" s="4"/>
      <c r="J922" s="7"/>
      <c r="K922" s="7"/>
      <c r="L922" s="7"/>
      <c r="M922" s="7"/>
      <c r="N922" s="4"/>
      <c r="O922" s="4"/>
      <c r="P922" s="4"/>
      <c r="Q922" s="4"/>
      <c r="R922" s="4"/>
      <c r="S922" s="7"/>
      <c r="T922" s="7"/>
      <c r="U922" s="7"/>
      <c r="V922" s="7"/>
      <c r="W922" s="7"/>
      <c r="X922" s="7"/>
      <c r="Y922" s="4"/>
      <c r="Z922" s="4"/>
      <c r="AA922" s="4"/>
      <c r="AB922" s="4"/>
      <c r="AC922" s="4"/>
      <c r="AD922" s="4"/>
      <c r="AE922" s="4"/>
      <c r="AF922" s="4"/>
      <c r="AG922" s="49"/>
      <c r="AH922" s="4"/>
      <c r="AI922" s="4"/>
      <c r="AJ922" s="4"/>
      <c r="AK922" s="4"/>
      <c r="AL922" s="4"/>
      <c r="AM922" s="4"/>
      <c r="AN922" s="44"/>
      <c r="AO922" s="8"/>
      <c r="AP922" s="8"/>
      <c r="AQ922" s="8"/>
      <c r="AR922" s="8"/>
      <c r="AS922" s="8"/>
      <c r="AT922" s="8"/>
      <c r="AU922" s="8"/>
      <c r="AV922" s="46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4"/>
      <c r="BX922" s="4"/>
    </row>
    <row r="923" spans="1:76" s="16" customFormat="1" x14ac:dyDescent="0.25">
      <c r="A923" s="26"/>
      <c r="B923" s="6"/>
      <c r="C923" s="7"/>
      <c r="D923" s="7"/>
      <c r="E923" s="7"/>
      <c r="F923" s="7"/>
      <c r="G923" s="7"/>
      <c r="H923" s="7"/>
      <c r="I923" s="4"/>
      <c r="J923" s="7"/>
      <c r="K923" s="7"/>
      <c r="L923" s="7"/>
      <c r="M923" s="7"/>
      <c r="N923" s="4"/>
      <c r="O923" s="4"/>
      <c r="P923" s="4"/>
      <c r="Q923" s="4"/>
      <c r="R923" s="4"/>
      <c r="S923" s="7"/>
      <c r="T923" s="7"/>
      <c r="U923" s="7"/>
      <c r="V923" s="7"/>
      <c r="W923" s="7"/>
      <c r="X923" s="7"/>
      <c r="Y923" s="4"/>
      <c r="Z923" s="4"/>
      <c r="AA923" s="4"/>
      <c r="AB923" s="4"/>
      <c r="AC923" s="4"/>
      <c r="AD923" s="4"/>
      <c r="AE923" s="4"/>
      <c r="AF923" s="4"/>
      <c r="AG923" s="49"/>
      <c r="AH923" s="4"/>
      <c r="AI923" s="4"/>
      <c r="AJ923" s="4"/>
      <c r="AK923" s="4"/>
      <c r="AL923" s="4"/>
      <c r="AM923" s="4"/>
      <c r="AN923" s="44"/>
      <c r="AO923" s="8"/>
      <c r="AP923" s="8"/>
      <c r="AQ923" s="8"/>
      <c r="AR923" s="8"/>
      <c r="AS923" s="8"/>
      <c r="AT923" s="8"/>
      <c r="AU923" s="8"/>
      <c r="AV923" s="46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4"/>
      <c r="BX923" s="4"/>
    </row>
    <row r="924" spans="1:76" s="16" customFormat="1" x14ac:dyDescent="0.25">
      <c r="A924" s="26"/>
      <c r="B924" s="6"/>
      <c r="C924" s="7"/>
      <c r="D924" s="7"/>
      <c r="E924" s="7"/>
      <c r="F924" s="7"/>
      <c r="G924" s="7"/>
      <c r="H924" s="7"/>
      <c r="I924" s="4"/>
      <c r="J924" s="7"/>
      <c r="K924" s="7"/>
      <c r="L924" s="7"/>
      <c r="M924" s="7"/>
      <c r="N924" s="4"/>
      <c r="O924" s="4"/>
      <c r="P924" s="4"/>
      <c r="Q924" s="4"/>
      <c r="R924" s="4"/>
      <c r="S924" s="7"/>
      <c r="T924" s="7"/>
      <c r="U924" s="7"/>
      <c r="V924" s="7"/>
      <c r="W924" s="7"/>
      <c r="X924" s="7"/>
      <c r="Y924" s="4"/>
      <c r="Z924" s="4"/>
      <c r="AA924" s="4"/>
      <c r="AB924" s="4"/>
      <c r="AC924" s="4"/>
      <c r="AD924" s="4"/>
      <c r="AE924" s="4"/>
      <c r="AF924" s="4"/>
      <c r="AG924" s="49"/>
      <c r="AH924" s="4"/>
      <c r="AI924" s="4"/>
      <c r="AJ924" s="4"/>
      <c r="AK924" s="4"/>
      <c r="AL924" s="4"/>
      <c r="AM924" s="4"/>
      <c r="AN924" s="44"/>
      <c r="AO924" s="8"/>
      <c r="AP924" s="8"/>
      <c r="AQ924" s="8"/>
      <c r="AR924" s="8"/>
      <c r="AS924" s="8"/>
      <c r="AT924" s="8"/>
      <c r="AU924" s="8"/>
      <c r="AV924" s="46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4"/>
      <c r="BX924" s="4"/>
    </row>
    <row r="925" spans="1:76" s="16" customFormat="1" x14ac:dyDescent="0.25">
      <c r="A925" s="26"/>
      <c r="B925" s="6"/>
      <c r="C925" s="7"/>
      <c r="D925" s="7"/>
      <c r="E925" s="7"/>
      <c r="F925" s="7"/>
      <c r="G925" s="7"/>
      <c r="H925" s="7"/>
      <c r="I925" s="4"/>
      <c r="J925" s="7"/>
      <c r="K925" s="7"/>
      <c r="L925" s="7"/>
      <c r="M925" s="7"/>
      <c r="N925" s="4"/>
      <c r="O925" s="4"/>
      <c r="P925" s="4"/>
      <c r="Q925" s="4"/>
      <c r="R925" s="4"/>
      <c r="S925" s="7"/>
      <c r="T925" s="7"/>
      <c r="U925" s="7"/>
      <c r="V925" s="7"/>
      <c r="W925" s="7"/>
      <c r="X925" s="7"/>
      <c r="Y925" s="4"/>
      <c r="Z925" s="4"/>
      <c r="AA925" s="4"/>
      <c r="AB925" s="4"/>
      <c r="AC925" s="4"/>
      <c r="AD925" s="4"/>
      <c r="AE925" s="4"/>
      <c r="AF925" s="4"/>
      <c r="AG925" s="49"/>
      <c r="AH925" s="4"/>
      <c r="AI925" s="4"/>
      <c r="AJ925" s="4"/>
      <c r="AK925" s="4"/>
      <c r="AL925" s="4"/>
      <c r="AM925" s="4"/>
      <c r="AN925" s="44"/>
      <c r="AO925" s="8"/>
      <c r="AP925" s="8"/>
      <c r="AQ925" s="8"/>
      <c r="AR925" s="8"/>
      <c r="AS925" s="8"/>
      <c r="AT925" s="8"/>
      <c r="AU925" s="8"/>
      <c r="AV925" s="46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4"/>
      <c r="BX925" s="4"/>
    </row>
    <row r="926" spans="1:76" s="16" customFormat="1" x14ac:dyDescent="0.25">
      <c r="A926" s="26"/>
      <c r="B926" s="6"/>
      <c r="C926" s="7"/>
      <c r="D926" s="7"/>
      <c r="E926" s="7"/>
      <c r="F926" s="7"/>
      <c r="G926" s="7"/>
      <c r="H926" s="7"/>
      <c r="I926" s="4"/>
      <c r="J926" s="7"/>
      <c r="K926" s="7"/>
      <c r="L926" s="7"/>
      <c r="M926" s="7"/>
      <c r="N926" s="4"/>
      <c r="O926" s="4"/>
      <c r="P926" s="4"/>
      <c r="Q926" s="4"/>
      <c r="R926" s="4"/>
      <c r="S926" s="7"/>
      <c r="T926" s="7"/>
      <c r="U926" s="7"/>
      <c r="V926" s="7"/>
      <c r="W926" s="7"/>
      <c r="X926" s="7"/>
      <c r="Y926" s="4"/>
      <c r="Z926" s="4"/>
      <c r="AA926" s="4"/>
      <c r="AB926" s="4"/>
      <c r="AC926" s="4"/>
      <c r="AD926" s="4"/>
      <c r="AE926" s="4"/>
      <c r="AF926" s="4"/>
      <c r="AG926" s="49"/>
      <c r="AH926" s="4"/>
      <c r="AI926" s="4"/>
      <c r="AJ926" s="4"/>
      <c r="AK926" s="4"/>
      <c r="AL926" s="4"/>
      <c r="AM926" s="4"/>
      <c r="AN926" s="44"/>
      <c r="AO926" s="8"/>
      <c r="AP926" s="8"/>
      <c r="AQ926" s="8"/>
      <c r="AR926" s="8"/>
      <c r="AS926" s="8"/>
      <c r="AT926" s="8"/>
      <c r="AU926" s="8"/>
      <c r="AV926" s="46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4"/>
      <c r="BX926" s="4"/>
    </row>
    <row r="927" spans="1:76" s="16" customFormat="1" x14ac:dyDescent="0.25">
      <c r="A927" s="26"/>
      <c r="B927" s="6"/>
      <c r="C927" s="7"/>
      <c r="D927" s="7"/>
      <c r="E927" s="7"/>
      <c r="F927" s="7"/>
      <c r="G927" s="7"/>
      <c r="H927" s="7"/>
      <c r="I927" s="4"/>
      <c r="J927" s="7"/>
      <c r="K927" s="7"/>
      <c r="L927" s="7"/>
      <c r="M927" s="7"/>
      <c r="N927" s="4"/>
      <c r="O927" s="4"/>
      <c r="P927" s="4"/>
      <c r="Q927" s="4"/>
      <c r="R927" s="4"/>
      <c r="S927" s="7"/>
      <c r="T927" s="7"/>
      <c r="U927" s="7"/>
      <c r="V927" s="7"/>
      <c r="W927" s="7"/>
      <c r="X927" s="7"/>
      <c r="Y927" s="4"/>
      <c r="Z927" s="4"/>
      <c r="AA927" s="4"/>
      <c r="AB927" s="4"/>
      <c r="AC927" s="4"/>
      <c r="AD927" s="4"/>
      <c r="AE927" s="4"/>
      <c r="AF927" s="4"/>
      <c r="AG927" s="49"/>
      <c r="AH927" s="4"/>
      <c r="AI927" s="4"/>
      <c r="AJ927" s="4"/>
      <c r="AK927" s="4"/>
      <c r="AL927" s="4"/>
      <c r="AM927" s="4"/>
      <c r="AN927" s="44"/>
      <c r="AO927" s="8"/>
      <c r="AP927" s="8"/>
      <c r="AQ927" s="8"/>
      <c r="AR927" s="8"/>
      <c r="AS927" s="8"/>
      <c r="AT927" s="8"/>
      <c r="AU927" s="8"/>
      <c r="AV927" s="46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4"/>
      <c r="BX927" s="4"/>
    </row>
    <row r="928" spans="1:76" s="16" customFormat="1" x14ac:dyDescent="0.25">
      <c r="A928" s="26"/>
      <c r="B928" s="6"/>
      <c r="C928" s="7"/>
      <c r="D928" s="7"/>
      <c r="E928" s="7"/>
      <c r="F928" s="7"/>
      <c r="G928" s="7"/>
      <c r="H928" s="7"/>
      <c r="I928" s="4"/>
      <c r="J928" s="7"/>
      <c r="K928" s="7"/>
      <c r="L928" s="7"/>
      <c r="M928" s="7"/>
      <c r="N928" s="4"/>
      <c r="O928" s="4"/>
      <c r="P928" s="4"/>
      <c r="Q928" s="4"/>
      <c r="R928" s="4"/>
      <c r="S928" s="7"/>
      <c r="T928" s="7"/>
      <c r="U928" s="7"/>
      <c r="V928" s="7"/>
      <c r="W928" s="7"/>
      <c r="X928" s="7"/>
      <c r="Y928" s="4"/>
      <c r="Z928" s="4"/>
      <c r="AA928" s="4"/>
      <c r="AB928" s="4"/>
      <c r="AC928" s="4"/>
      <c r="AD928" s="4"/>
      <c r="AE928" s="4"/>
      <c r="AF928" s="4"/>
      <c r="AG928" s="49"/>
      <c r="AH928" s="4"/>
      <c r="AI928" s="4"/>
      <c r="AJ928" s="4"/>
      <c r="AK928" s="4"/>
      <c r="AL928" s="4"/>
      <c r="AM928" s="4"/>
      <c r="AN928" s="44"/>
      <c r="AO928" s="8"/>
      <c r="AP928" s="8"/>
      <c r="AQ928" s="8"/>
      <c r="AR928" s="8"/>
      <c r="AS928" s="8"/>
      <c r="AT928" s="8"/>
      <c r="AU928" s="8"/>
      <c r="AV928" s="46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4"/>
      <c r="BX928" s="4"/>
    </row>
    <row r="929" spans="1:76" s="16" customFormat="1" x14ac:dyDescent="0.25">
      <c r="A929" s="26"/>
      <c r="B929" s="6"/>
      <c r="C929" s="7"/>
      <c r="D929" s="7"/>
      <c r="E929" s="7"/>
      <c r="F929" s="7"/>
      <c r="G929" s="7"/>
      <c r="H929" s="7"/>
      <c r="I929" s="4"/>
      <c r="J929" s="7"/>
      <c r="K929" s="7"/>
      <c r="L929" s="7"/>
      <c r="M929" s="7"/>
      <c r="N929" s="4"/>
      <c r="O929" s="4"/>
      <c r="P929" s="4"/>
      <c r="Q929" s="4"/>
      <c r="R929" s="4"/>
      <c r="S929" s="7"/>
      <c r="T929" s="7"/>
      <c r="U929" s="7"/>
      <c r="V929" s="7"/>
      <c r="W929" s="7"/>
      <c r="X929" s="7"/>
      <c r="Y929" s="4"/>
      <c r="Z929" s="4"/>
      <c r="AA929" s="4"/>
      <c r="AB929" s="4"/>
      <c r="AC929" s="4"/>
      <c r="AD929" s="4"/>
      <c r="AE929" s="4"/>
      <c r="AF929" s="4"/>
      <c r="AG929" s="49"/>
      <c r="AH929" s="4"/>
      <c r="AI929" s="4"/>
      <c r="AJ929" s="4"/>
      <c r="AK929" s="4"/>
      <c r="AL929" s="4"/>
      <c r="AM929" s="4"/>
      <c r="AN929" s="44"/>
      <c r="AO929" s="8"/>
      <c r="AP929" s="8"/>
      <c r="AQ929" s="8"/>
      <c r="AR929" s="8"/>
      <c r="AS929" s="8"/>
      <c r="AT929" s="8"/>
      <c r="AU929" s="8"/>
      <c r="AV929" s="46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4"/>
      <c r="BX929" s="4"/>
    </row>
    <row r="930" spans="1:76" s="16" customFormat="1" x14ac:dyDescent="0.25">
      <c r="A930" s="26"/>
      <c r="B930" s="6"/>
      <c r="C930" s="7"/>
      <c r="D930" s="7"/>
      <c r="E930" s="7"/>
      <c r="F930" s="7"/>
      <c r="G930" s="7"/>
      <c r="H930" s="7"/>
      <c r="I930" s="4"/>
      <c r="J930" s="7"/>
      <c r="K930" s="7"/>
      <c r="L930" s="7"/>
      <c r="M930" s="7"/>
      <c r="N930" s="4"/>
      <c r="O930" s="4"/>
      <c r="P930" s="4"/>
      <c r="Q930" s="4"/>
      <c r="R930" s="4"/>
      <c r="S930" s="7"/>
      <c r="T930" s="7"/>
      <c r="U930" s="7"/>
      <c r="V930" s="7"/>
      <c r="W930" s="7"/>
      <c r="X930" s="7"/>
      <c r="Y930" s="4"/>
      <c r="Z930" s="4"/>
      <c r="AA930" s="4"/>
      <c r="AB930" s="4"/>
      <c r="AC930" s="4"/>
      <c r="AD930" s="4"/>
      <c r="AE930" s="4"/>
      <c r="AF930" s="4"/>
      <c r="AG930" s="49"/>
      <c r="AH930" s="4"/>
      <c r="AI930" s="4"/>
      <c r="AJ930" s="4"/>
      <c r="AK930" s="4"/>
      <c r="AL930" s="4"/>
      <c r="AM930" s="4"/>
      <c r="AN930" s="44"/>
      <c r="AO930" s="8"/>
      <c r="AP930" s="8"/>
      <c r="AQ930" s="8"/>
      <c r="AR930" s="8"/>
      <c r="AS930" s="8"/>
      <c r="AT930" s="8"/>
      <c r="AU930" s="8"/>
      <c r="AV930" s="46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4"/>
      <c r="BX930" s="4"/>
    </row>
    <row r="931" spans="1:76" s="16" customFormat="1" x14ac:dyDescent="0.25">
      <c r="A931" s="26"/>
      <c r="B931" s="6"/>
      <c r="C931" s="7"/>
      <c r="D931" s="7"/>
      <c r="E931" s="7"/>
      <c r="F931" s="7"/>
      <c r="G931" s="7"/>
      <c r="H931" s="7"/>
      <c r="I931" s="4"/>
      <c r="J931" s="7"/>
      <c r="K931" s="7"/>
      <c r="L931" s="7"/>
      <c r="M931" s="7"/>
      <c r="N931" s="4"/>
      <c r="O931" s="4"/>
      <c r="P931" s="4"/>
      <c r="Q931" s="4"/>
      <c r="R931" s="4"/>
      <c r="S931" s="7"/>
      <c r="T931" s="7"/>
      <c r="U931" s="7"/>
      <c r="V931" s="7"/>
      <c r="W931" s="7"/>
      <c r="X931" s="7"/>
      <c r="Y931" s="4"/>
      <c r="Z931" s="4"/>
      <c r="AA931" s="4"/>
      <c r="AB931" s="4"/>
      <c r="AC931" s="4"/>
      <c r="AD931" s="4"/>
      <c r="AE931" s="4"/>
      <c r="AF931" s="4"/>
      <c r="AG931" s="49"/>
      <c r="AH931" s="4"/>
      <c r="AI931" s="4"/>
      <c r="AJ931" s="4"/>
      <c r="AK931" s="4"/>
      <c r="AL931" s="4"/>
      <c r="AM931" s="4"/>
      <c r="AN931" s="44"/>
      <c r="AO931" s="8"/>
      <c r="AP931" s="8"/>
      <c r="AQ931" s="8"/>
      <c r="AR931" s="8"/>
      <c r="AS931" s="8"/>
      <c r="AT931" s="8"/>
      <c r="AU931" s="8"/>
      <c r="AV931" s="46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4"/>
      <c r="BX931" s="4"/>
    </row>
    <row r="932" spans="1:76" s="16" customFormat="1" x14ac:dyDescent="0.25">
      <c r="A932" s="26"/>
      <c r="B932" s="6"/>
      <c r="C932" s="7"/>
      <c r="D932" s="7"/>
      <c r="E932" s="7"/>
      <c r="F932" s="7"/>
      <c r="G932" s="7"/>
      <c r="H932" s="7"/>
      <c r="I932" s="4"/>
      <c r="J932" s="7"/>
      <c r="K932" s="7"/>
      <c r="L932" s="7"/>
      <c r="M932" s="7"/>
      <c r="N932" s="4"/>
      <c r="O932" s="4"/>
      <c r="P932" s="4"/>
      <c r="Q932" s="4"/>
      <c r="R932" s="4"/>
      <c r="S932" s="7"/>
      <c r="T932" s="7"/>
      <c r="U932" s="7"/>
      <c r="V932" s="7"/>
      <c r="W932" s="7"/>
      <c r="X932" s="7"/>
      <c r="Y932" s="4"/>
      <c r="Z932" s="4"/>
      <c r="AA932" s="4"/>
      <c r="AB932" s="4"/>
      <c r="AC932" s="4"/>
      <c r="AD932" s="4"/>
      <c r="AE932" s="4"/>
      <c r="AF932" s="4"/>
      <c r="AG932" s="49"/>
      <c r="AH932" s="4"/>
      <c r="AI932" s="4"/>
      <c r="AJ932" s="4"/>
      <c r="AK932" s="4"/>
      <c r="AL932" s="4"/>
      <c r="AM932" s="4"/>
      <c r="AN932" s="44"/>
      <c r="AO932" s="8"/>
      <c r="AP932" s="8"/>
      <c r="AQ932" s="8"/>
      <c r="AR932" s="8"/>
      <c r="AS932" s="8"/>
      <c r="AT932" s="8"/>
      <c r="AU932" s="8"/>
      <c r="AV932" s="46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4"/>
      <c r="BX932" s="4"/>
    </row>
    <row r="933" spans="1:76" s="16" customFormat="1" x14ac:dyDescent="0.25">
      <c r="A933" s="26"/>
      <c r="B933" s="6"/>
      <c r="C933" s="7"/>
      <c r="D933" s="7"/>
      <c r="E933" s="7"/>
      <c r="F933" s="7"/>
      <c r="G933" s="7"/>
      <c r="H933" s="7"/>
      <c r="I933" s="4"/>
      <c r="J933" s="7"/>
      <c r="K933" s="7"/>
      <c r="L933" s="7"/>
      <c r="M933" s="7"/>
      <c r="N933" s="4"/>
      <c r="O933" s="4"/>
      <c r="P933" s="4"/>
      <c r="Q933" s="4"/>
      <c r="R933" s="4"/>
      <c r="S933" s="7"/>
      <c r="T933" s="7"/>
      <c r="U933" s="7"/>
      <c r="V933" s="7"/>
      <c r="W933" s="7"/>
      <c r="X933" s="7"/>
      <c r="Y933" s="4"/>
      <c r="Z933" s="4"/>
      <c r="AA933" s="4"/>
      <c r="AB933" s="4"/>
      <c r="AC933" s="4"/>
      <c r="AD933" s="4"/>
      <c r="AE933" s="4"/>
      <c r="AF933" s="4"/>
      <c r="AG933" s="49"/>
      <c r="AH933" s="4"/>
      <c r="AI933" s="4"/>
      <c r="AJ933" s="4"/>
      <c r="AK933" s="4"/>
      <c r="AL933" s="4"/>
      <c r="AM933" s="4"/>
      <c r="AN933" s="44"/>
      <c r="AO933" s="8"/>
      <c r="AP933" s="8"/>
      <c r="AQ933" s="8"/>
      <c r="AR933" s="8"/>
      <c r="AS933" s="8"/>
      <c r="AT933" s="8"/>
      <c r="AU933" s="8"/>
      <c r="AV933" s="46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4"/>
      <c r="BX933" s="4"/>
    </row>
    <row r="934" spans="1:76" s="16" customFormat="1" x14ac:dyDescent="0.25">
      <c r="A934" s="26"/>
      <c r="B934" s="6"/>
      <c r="C934" s="7"/>
      <c r="D934" s="7"/>
      <c r="E934" s="7"/>
      <c r="F934" s="7"/>
      <c r="G934" s="7"/>
      <c r="H934" s="7"/>
      <c r="I934" s="4"/>
      <c r="J934" s="7"/>
      <c r="K934" s="7"/>
      <c r="L934" s="7"/>
      <c r="M934" s="7"/>
      <c r="N934" s="4"/>
      <c r="O934" s="4"/>
      <c r="P934" s="4"/>
      <c r="Q934" s="4"/>
      <c r="R934" s="4"/>
      <c r="S934" s="7"/>
      <c r="T934" s="7"/>
      <c r="U934" s="7"/>
      <c r="V934" s="7"/>
      <c r="W934" s="7"/>
      <c r="X934" s="7"/>
      <c r="Y934" s="4"/>
      <c r="Z934" s="4"/>
      <c r="AA934" s="4"/>
      <c r="AB934" s="4"/>
      <c r="AC934" s="4"/>
      <c r="AD934" s="4"/>
      <c r="AE934" s="4"/>
      <c r="AF934" s="4"/>
      <c r="AG934" s="49"/>
      <c r="AH934" s="4"/>
      <c r="AI934" s="4"/>
      <c r="AJ934" s="4"/>
      <c r="AK934" s="4"/>
      <c r="AL934" s="4"/>
      <c r="AM934" s="4"/>
      <c r="AN934" s="44"/>
      <c r="AO934" s="8"/>
      <c r="AP934" s="8"/>
      <c r="AQ934" s="8"/>
      <c r="AR934" s="8"/>
      <c r="AS934" s="8"/>
      <c r="AT934" s="8"/>
      <c r="AU934" s="8"/>
      <c r="AV934" s="46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4"/>
      <c r="BX934" s="4"/>
    </row>
    <row r="935" spans="1:76" s="16" customFormat="1" x14ac:dyDescent="0.25">
      <c r="A935" s="26"/>
      <c r="B935" s="6"/>
      <c r="C935" s="7"/>
      <c r="D935" s="7"/>
      <c r="E935" s="7"/>
      <c r="F935" s="7"/>
      <c r="G935" s="7"/>
      <c r="H935" s="7"/>
      <c r="I935" s="4"/>
      <c r="J935" s="7"/>
      <c r="K935" s="7"/>
      <c r="L935" s="7"/>
      <c r="M935" s="7"/>
      <c r="N935" s="4"/>
      <c r="O935" s="4"/>
      <c r="P935" s="4"/>
      <c r="Q935" s="4"/>
      <c r="R935" s="4"/>
      <c r="S935" s="7"/>
      <c r="T935" s="7"/>
      <c r="U935" s="7"/>
      <c r="V935" s="7"/>
      <c r="W935" s="7"/>
      <c r="X935" s="7"/>
      <c r="Y935" s="4"/>
      <c r="Z935" s="4"/>
      <c r="AA935" s="4"/>
      <c r="AB935" s="4"/>
      <c r="AC935" s="4"/>
      <c r="AD935" s="4"/>
      <c r="AE935" s="4"/>
      <c r="AF935" s="4"/>
      <c r="AG935" s="49"/>
      <c r="AH935" s="4"/>
      <c r="AI935" s="4"/>
      <c r="AJ935" s="4"/>
      <c r="AK935" s="4"/>
      <c r="AL935" s="4"/>
      <c r="AM935" s="4"/>
      <c r="AN935" s="44"/>
      <c r="AO935" s="8"/>
      <c r="AP935" s="8"/>
      <c r="AQ935" s="8"/>
      <c r="AR935" s="8"/>
      <c r="AS935" s="8"/>
      <c r="AT935" s="8"/>
      <c r="AU935" s="8"/>
      <c r="AV935" s="46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4"/>
      <c r="BX935" s="4"/>
    </row>
    <row r="936" spans="1:76" s="16" customFormat="1" x14ac:dyDescent="0.25">
      <c r="A936" s="26"/>
      <c r="B936" s="6"/>
      <c r="C936" s="7"/>
      <c r="D936" s="7"/>
      <c r="E936" s="7"/>
      <c r="F936" s="7"/>
      <c r="G936" s="7"/>
      <c r="H936" s="7"/>
      <c r="I936" s="4"/>
      <c r="J936" s="7"/>
      <c r="K936" s="7"/>
      <c r="L936" s="7"/>
      <c r="M936" s="7"/>
      <c r="N936" s="4"/>
      <c r="O936" s="4"/>
      <c r="P936" s="4"/>
      <c r="Q936" s="4"/>
      <c r="R936" s="4"/>
      <c r="S936" s="7"/>
      <c r="T936" s="7"/>
      <c r="U936" s="7"/>
      <c r="V936" s="7"/>
      <c r="W936" s="7"/>
      <c r="X936" s="7"/>
      <c r="Y936" s="4"/>
      <c r="Z936" s="4"/>
      <c r="AA936" s="4"/>
      <c r="AB936" s="4"/>
      <c r="AC936" s="4"/>
      <c r="AD936" s="4"/>
      <c r="AE936" s="4"/>
      <c r="AF936" s="4"/>
      <c r="AG936" s="49"/>
      <c r="AH936" s="4"/>
      <c r="AI936" s="4"/>
      <c r="AJ936" s="4"/>
      <c r="AK936" s="4"/>
      <c r="AL936" s="4"/>
      <c r="AM936" s="4"/>
      <c r="AN936" s="44"/>
      <c r="AO936" s="8"/>
      <c r="AP936" s="8"/>
      <c r="AQ936" s="8"/>
      <c r="AR936" s="8"/>
      <c r="AS936" s="8"/>
      <c r="AT936" s="8"/>
      <c r="AU936" s="8"/>
      <c r="AV936" s="46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4"/>
      <c r="BX936" s="4"/>
    </row>
    <row r="937" spans="1:76" s="16" customFormat="1" x14ac:dyDescent="0.25">
      <c r="A937" s="26"/>
      <c r="B937" s="6"/>
      <c r="C937" s="7"/>
      <c r="D937" s="7"/>
      <c r="E937" s="7"/>
      <c r="F937" s="7"/>
      <c r="G937" s="7"/>
      <c r="H937" s="7"/>
      <c r="I937" s="4"/>
      <c r="J937" s="7"/>
      <c r="K937" s="7"/>
      <c r="L937" s="7"/>
      <c r="M937" s="7"/>
      <c r="N937" s="4"/>
      <c r="O937" s="4"/>
      <c r="P937" s="4"/>
      <c r="Q937" s="4"/>
      <c r="R937" s="4"/>
      <c r="S937" s="7"/>
      <c r="T937" s="7"/>
      <c r="U937" s="7"/>
      <c r="V937" s="7"/>
      <c r="W937" s="7"/>
      <c r="X937" s="7"/>
      <c r="Y937" s="4"/>
      <c r="Z937" s="4"/>
      <c r="AA937" s="4"/>
      <c r="AB937" s="4"/>
      <c r="AC937" s="4"/>
      <c r="AD937" s="4"/>
      <c r="AE937" s="4"/>
      <c r="AF937" s="4"/>
      <c r="AG937" s="49"/>
      <c r="AH937" s="4"/>
      <c r="AI937" s="4"/>
      <c r="AJ937" s="4"/>
      <c r="AK937" s="4"/>
      <c r="AL937" s="4"/>
      <c r="AM937" s="4"/>
      <c r="AN937" s="44"/>
      <c r="AO937" s="8"/>
      <c r="AP937" s="8"/>
      <c r="AQ937" s="8"/>
      <c r="AR937" s="8"/>
      <c r="AS937" s="8"/>
      <c r="AT937" s="8"/>
      <c r="AU937" s="8"/>
      <c r="AV937" s="46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4"/>
      <c r="BX937" s="4"/>
    </row>
    <row r="938" spans="1:76" s="16" customFormat="1" x14ac:dyDescent="0.25">
      <c r="A938" s="26"/>
      <c r="B938" s="6"/>
      <c r="C938" s="7"/>
      <c r="D938" s="7"/>
      <c r="E938" s="7"/>
      <c r="F938" s="7"/>
      <c r="G938" s="7"/>
      <c r="H938" s="7"/>
      <c r="I938" s="4"/>
      <c r="J938" s="7"/>
      <c r="K938" s="7"/>
      <c r="L938" s="7"/>
      <c r="M938" s="7"/>
      <c r="N938" s="4"/>
      <c r="O938" s="4"/>
      <c r="P938" s="4"/>
      <c r="Q938" s="4"/>
      <c r="R938" s="4"/>
      <c r="S938" s="7"/>
      <c r="T938" s="7"/>
      <c r="U938" s="7"/>
      <c r="V938" s="7"/>
      <c r="W938" s="7"/>
      <c r="X938" s="7"/>
      <c r="Y938" s="4"/>
      <c r="Z938" s="4"/>
      <c r="AA938" s="4"/>
      <c r="AB938" s="4"/>
      <c r="AC938" s="4"/>
      <c r="AD938" s="4"/>
      <c r="AE938" s="4"/>
      <c r="AF938" s="4"/>
      <c r="AG938" s="49"/>
      <c r="AH938" s="4"/>
      <c r="AI938" s="4"/>
      <c r="AJ938" s="4"/>
      <c r="AK938" s="4"/>
      <c r="AL938" s="4"/>
      <c r="AM938" s="4"/>
      <c r="AN938" s="44"/>
      <c r="AO938" s="8"/>
      <c r="AP938" s="8"/>
      <c r="AQ938" s="8"/>
      <c r="AR938" s="8"/>
      <c r="AS938" s="8"/>
      <c r="AT938" s="8"/>
      <c r="AU938" s="8"/>
      <c r="AV938" s="46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4"/>
      <c r="BX938" s="4"/>
    </row>
    <row r="939" spans="1:76" s="16" customFormat="1" x14ac:dyDescent="0.25">
      <c r="A939" s="26"/>
      <c r="B939" s="6"/>
      <c r="C939" s="7"/>
      <c r="D939" s="7"/>
      <c r="E939" s="7"/>
      <c r="F939" s="7"/>
      <c r="G939" s="7"/>
      <c r="H939" s="7"/>
      <c r="I939" s="4"/>
      <c r="J939" s="7"/>
      <c r="K939" s="7"/>
      <c r="L939" s="7"/>
      <c r="M939" s="7"/>
      <c r="N939" s="4"/>
      <c r="O939" s="4"/>
      <c r="P939" s="4"/>
      <c r="Q939" s="4"/>
      <c r="R939" s="4"/>
      <c r="S939" s="7"/>
      <c r="T939" s="7"/>
      <c r="U939" s="7"/>
      <c r="V939" s="7"/>
      <c r="W939" s="7"/>
      <c r="X939" s="7"/>
      <c r="Y939" s="4"/>
      <c r="Z939" s="4"/>
      <c r="AA939" s="4"/>
      <c r="AB939" s="4"/>
      <c r="AC939" s="4"/>
      <c r="AD939" s="4"/>
      <c r="AE939" s="4"/>
      <c r="AF939" s="4"/>
      <c r="AG939" s="49"/>
      <c r="AH939" s="4"/>
      <c r="AI939" s="4"/>
      <c r="AJ939" s="4"/>
      <c r="AK939" s="4"/>
      <c r="AL939" s="4"/>
      <c r="AM939" s="4"/>
      <c r="AN939" s="44"/>
      <c r="AO939" s="8"/>
      <c r="AP939" s="8"/>
      <c r="AQ939" s="8"/>
      <c r="AR939" s="8"/>
      <c r="AS939" s="8"/>
      <c r="AT939" s="8"/>
      <c r="AU939" s="8"/>
      <c r="AV939" s="46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4"/>
      <c r="BX939" s="4"/>
    </row>
    <row r="940" spans="1:76" s="16" customFormat="1" x14ac:dyDescent="0.25">
      <c r="A940" s="26"/>
      <c r="B940" s="6"/>
      <c r="C940" s="7"/>
      <c r="D940" s="7"/>
      <c r="E940" s="7"/>
      <c r="F940" s="7"/>
      <c r="G940" s="7"/>
      <c r="H940" s="7"/>
      <c r="I940" s="4"/>
      <c r="J940" s="7"/>
      <c r="K940" s="7"/>
      <c r="L940" s="7"/>
      <c r="M940" s="7"/>
      <c r="N940" s="4"/>
      <c r="O940" s="4"/>
      <c r="P940" s="4"/>
      <c r="Q940" s="4"/>
      <c r="R940" s="4"/>
      <c r="S940" s="7"/>
      <c r="T940" s="7"/>
      <c r="U940" s="7"/>
      <c r="V940" s="7"/>
      <c r="W940" s="7"/>
      <c r="X940" s="7"/>
      <c r="Y940" s="4"/>
      <c r="Z940" s="4"/>
      <c r="AA940" s="4"/>
      <c r="AB940" s="4"/>
      <c r="AC940" s="4"/>
      <c r="AD940" s="4"/>
      <c r="AE940" s="4"/>
      <c r="AF940" s="4"/>
      <c r="AG940" s="49"/>
      <c r="AH940" s="4"/>
      <c r="AI940" s="4"/>
      <c r="AJ940" s="4"/>
      <c r="AK940" s="4"/>
      <c r="AL940" s="4"/>
      <c r="AM940" s="4"/>
      <c r="AN940" s="44"/>
      <c r="AO940" s="8"/>
      <c r="AP940" s="8"/>
      <c r="AQ940" s="8"/>
      <c r="AR940" s="8"/>
      <c r="AS940" s="8"/>
      <c r="AT940" s="8"/>
      <c r="AU940" s="8"/>
      <c r="AV940" s="46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4"/>
      <c r="BX940" s="4"/>
    </row>
    <row r="941" spans="1:76" s="16" customFormat="1" x14ac:dyDescent="0.25">
      <c r="A941" s="26"/>
      <c r="B941" s="6"/>
      <c r="C941" s="7"/>
      <c r="D941" s="7"/>
      <c r="E941" s="7"/>
      <c r="F941" s="7"/>
      <c r="G941" s="7"/>
      <c r="H941" s="7"/>
      <c r="I941" s="4"/>
      <c r="J941" s="7"/>
      <c r="K941" s="7"/>
      <c r="L941" s="7"/>
      <c r="M941" s="7"/>
      <c r="N941" s="4"/>
      <c r="O941" s="4"/>
      <c r="P941" s="4"/>
      <c r="Q941" s="4"/>
      <c r="R941" s="4"/>
      <c r="S941" s="7"/>
      <c r="T941" s="7"/>
      <c r="U941" s="7"/>
      <c r="V941" s="7"/>
      <c r="W941" s="7"/>
      <c r="X941" s="7"/>
      <c r="Y941" s="4"/>
      <c r="Z941" s="4"/>
      <c r="AA941" s="4"/>
      <c r="AB941" s="4"/>
      <c r="AC941" s="4"/>
      <c r="AD941" s="4"/>
      <c r="AE941" s="4"/>
      <c r="AF941" s="4"/>
      <c r="AG941" s="49"/>
      <c r="AH941" s="4"/>
      <c r="AI941" s="4"/>
      <c r="AJ941" s="4"/>
      <c r="AK941" s="4"/>
      <c r="AL941" s="4"/>
      <c r="AM941" s="4"/>
      <c r="AN941" s="44"/>
      <c r="AO941" s="8"/>
      <c r="AP941" s="8"/>
      <c r="AQ941" s="8"/>
      <c r="AR941" s="8"/>
      <c r="AS941" s="8"/>
      <c r="AT941" s="8"/>
      <c r="AU941" s="8"/>
      <c r="AV941" s="46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4"/>
      <c r="BX941" s="4"/>
    </row>
    <row r="942" spans="1:76" s="16" customFormat="1" x14ac:dyDescent="0.25">
      <c r="A942" s="26"/>
      <c r="B942" s="6"/>
      <c r="C942" s="7"/>
      <c r="D942" s="7"/>
      <c r="E942" s="7"/>
      <c r="F942" s="7"/>
      <c r="G942" s="7"/>
      <c r="H942" s="7"/>
      <c r="I942" s="4"/>
      <c r="J942" s="7"/>
      <c r="K942" s="7"/>
      <c r="L942" s="7"/>
      <c r="M942" s="7"/>
      <c r="N942" s="4"/>
      <c r="O942" s="4"/>
      <c r="P942" s="4"/>
      <c r="Q942" s="4"/>
      <c r="R942" s="4"/>
      <c r="S942" s="7"/>
      <c r="T942" s="7"/>
      <c r="U942" s="7"/>
      <c r="V942" s="7"/>
      <c r="W942" s="7"/>
      <c r="X942" s="7"/>
      <c r="Y942" s="4"/>
      <c r="Z942" s="4"/>
      <c r="AA942" s="4"/>
      <c r="AB942" s="4"/>
      <c r="AC942" s="4"/>
      <c r="AD942" s="4"/>
      <c r="AE942" s="4"/>
      <c r="AF942" s="4"/>
      <c r="AG942" s="49"/>
      <c r="AH942" s="4"/>
      <c r="AI942" s="4"/>
      <c r="AJ942" s="4"/>
      <c r="AK942" s="4"/>
      <c r="AL942" s="4"/>
      <c r="AM942" s="4"/>
      <c r="AN942" s="44"/>
      <c r="AO942" s="8"/>
      <c r="AP942" s="8"/>
      <c r="AQ942" s="8"/>
      <c r="AR942" s="8"/>
      <c r="AS942" s="8"/>
      <c r="AT942" s="8"/>
      <c r="AU942" s="8"/>
      <c r="AV942" s="46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4"/>
      <c r="BX942" s="4"/>
    </row>
    <row r="943" spans="1:76" s="16" customFormat="1" x14ac:dyDescent="0.25">
      <c r="A943" s="26"/>
      <c r="B943" s="6"/>
      <c r="C943" s="7"/>
      <c r="D943" s="7"/>
      <c r="E943" s="7"/>
      <c r="F943" s="7"/>
      <c r="G943" s="7"/>
      <c r="H943" s="7"/>
      <c r="I943" s="4"/>
      <c r="J943" s="7"/>
      <c r="K943" s="7"/>
      <c r="L943" s="7"/>
      <c r="M943" s="7"/>
      <c r="N943" s="4"/>
      <c r="O943" s="4"/>
      <c r="P943" s="4"/>
      <c r="Q943" s="4"/>
      <c r="R943" s="4"/>
      <c r="S943" s="7"/>
      <c r="T943" s="7"/>
      <c r="U943" s="7"/>
      <c r="V943" s="7"/>
      <c r="W943" s="7"/>
      <c r="X943" s="7"/>
      <c r="Y943" s="4"/>
      <c r="Z943" s="4"/>
      <c r="AA943" s="4"/>
      <c r="AB943" s="4"/>
      <c r="AC943" s="4"/>
      <c r="AD943" s="4"/>
      <c r="AE943" s="4"/>
      <c r="AF943" s="4"/>
      <c r="AG943" s="49"/>
      <c r="AH943" s="4"/>
      <c r="AI943" s="4"/>
      <c r="AJ943" s="4"/>
      <c r="AK943" s="4"/>
      <c r="AL943" s="4"/>
      <c r="AM943" s="4"/>
      <c r="AN943" s="44"/>
      <c r="AO943" s="8"/>
      <c r="AP943" s="8"/>
      <c r="AQ943" s="8"/>
      <c r="AR943" s="8"/>
      <c r="AS943" s="8"/>
      <c r="AT943" s="8"/>
      <c r="AU943" s="8"/>
      <c r="AV943" s="46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4"/>
      <c r="BX943" s="4"/>
    </row>
    <row r="944" spans="1:76" s="16" customFormat="1" x14ac:dyDescent="0.25">
      <c r="A944" s="26"/>
      <c r="B944" s="6"/>
      <c r="C944" s="7"/>
      <c r="D944" s="7"/>
      <c r="E944" s="7"/>
      <c r="F944" s="7"/>
      <c r="G944" s="7"/>
      <c r="H944" s="7"/>
      <c r="I944" s="4"/>
      <c r="J944" s="7"/>
      <c r="K944" s="7"/>
      <c r="L944" s="7"/>
      <c r="M944" s="7"/>
      <c r="N944" s="4"/>
      <c r="O944" s="4"/>
      <c r="P944" s="4"/>
      <c r="Q944" s="4"/>
      <c r="R944" s="4"/>
      <c r="S944" s="7"/>
      <c r="T944" s="7"/>
      <c r="U944" s="7"/>
      <c r="V944" s="7"/>
      <c r="W944" s="7"/>
      <c r="X944" s="7"/>
      <c r="Y944" s="4"/>
      <c r="Z944" s="4"/>
      <c r="AA944" s="4"/>
      <c r="AB944" s="4"/>
      <c r="AC944" s="4"/>
      <c r="AD944" s="4"/>
      <c r="AE944" s="4"/>
      <c r="AF944" s="4"/>
      <c r="AG944" s="49"/>
      <c r="AH944" s="4"/>
      <c r="AI944" s="4"/>
      <c r="AJ944" s="4"/>
      <c r="AK944" s="4"/>
      <c r="AL944" s="4"/>
      <c r="AM944" s="4"/>
      <c r="AN944" s="44"/>
      <c r="AO944" s="8"/>
      <c r="AP944" s="8"/>
      <c r="AQ944" s="8"/>
      <c r="AR944" s="8"/>
      <c r="AS944" s="8"/>
      <c r="AT944" s="8"/>
      <c r="AU944" s="8"/>
      <c r="AV944" s="46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4"/>
      <c r="BX944" s="4"/>
    </row>
    <row r="945" spans="1:76" s="16" customFormat="1" x14ac:dyDescent="0.25">
      <c r="A945" s="26"/>
      <c r="B945" s="6"/>
      <c r="C945" s="7"/>
      <c r="D945" s="7"/>
      <c r="E945" s="7"/>
      <c r="F945" s="7"/>
      <c r="G945" s="7"/>
      <c r="H945" s="7"/>
      <c r="I945" s="4"/>
      <c r="J945" s="7"/>
      <c r="K945" s="7"/>
      <c r="L945" s="7"/>
      <c r="M945" s="7"/>
      <c r="N945" s="4"/>
      <c r="O945" s="4"/>
      <c r="P945" s="4"/>
      <c r="Q945" s="4"/>
      <c r="R945" s="4"/>
      <c r="S945" s="7"/>
      <c r="T945" s="7"/>
      <c r="U945" s="7"/>
      <c r="V945" s="7"/>
      <c r="W945" s="7"/>
      <c r="X945" s="7"/>
      <c r="Y945" s="4"/>
      <c r="Z945" s="4"/>
      <c r="AA945" s="4"/>
      <c r="AB945" s="4"/>
      <c r="AC945" s="4"/>
      <c r="AD945" s="4"/>
      <c r="AE945" s="4"/>
      <c r="AF945" s="4"/>
      <c r="AG945" s="49"/>
      <c r="AH945" s="4"/>
      <c r="AI945" s="4"/>
      <c r="AJ945" s="4"/>
      <c r="AK945" s="4"/>
      <c r="AL945" s="4"/>
      <c r="AM945" s="4"/>
      <c r="AN945" s="44"/>
      <c r="AO945" s="8"/>
      <c r="AP945" s="8"/>
      <c r="AQ945" s="8"/>
      <c r="AR945" s="8"/>
      <c r="AS945" s="8"/>
      <c r="AT945" s="8"/>
      <c r="AU945" s="8"/>
      <c r="AV945" s="46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4"/>
      <c r="BX945" s="4"/>
    </row>
    <row r="946" spans="1:76" s="16" customFormat="1" x14ac:dyDescent="0.25">
      <c r="A946" s="26"/>
      <c r="B946" s="6"/>
      <c r="C946" s="7"/>
      <c r="D946" s="7"/>
      <c r="E946" s="7"/>
      <c r="F946" s="7"/>
      <c r="G946" s="7"/>
      <c r="H946" s="7"/>
      <c r="I946" s="4"/>
      <c r="J946" s="7"/>
      <c r="K946" s="7"/>
      <c r="L946" s="7"/>
      <c r="M946" s="7"/>
      <c r="N946" s="4"/>
      <c r="O946" s="4"/>
      <c r="P946" s="4"/>
      <c r="Q946" s="4"/>
      <c r="R946" s="4"/>
      <c r="S946" s="7"/>
      <c r="T946" s="7"/>
      <c r="U946" s="7"/>
      <c r="V946" s="7"/>
      <c r="W946" s="7"/>
      <c r="X946" s="7"/>
      <c r="Y946" s="4"/>
      <c r="Z946" s="4"/>
      <c r="AA946" s="4"/>
      <c r="AB946" s="4"/>
      <c r="AC946" s="4"/>
      <c r="AD946" s="4"/>
      <c r="AE946" s="4"/>
      <c r="AF946" s="4"/>
      <c r="AG946" s="49"/>
      <c r="AH946" s="4"/>
      <c r="AI946" s="4"/>
      <c r="AJ946" s="4"/>
      <c r="AK946" s="4"/>
      <c r="AL946" s="4"/>
      <c r="AM946" s="4"/>
      <c r="AN946" s="44"/>
      <c r="AO946" s="8"/>
      <c r="AP946" s="8"/>
      <c r="AQ946" s="8"/>
      <c r="AR946" s="8"/>
      <c r="AS946" s="8"/>
      <c r="AT946" s="8"/>
      <c r="AU946" s="8"/>
      <c r="AV946" s="46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4"/>
      <c r="BX946" s="4"/>
    </row>
    <row r="947" spans="1:76" s="16" customFormat="1" x14ac:dyDescent="0.25">
      <c r="A947" s="26"/>
      <c r="B947" s="6"/>
      <c r="C947" s="7"/>
      <c r="D947" s="7"/>
      <c r="E947" s="7"/>
      <c r="F947" s="7"/>
      <c r="G947" s="7"/>
      <c r="H947" s="7"/>
      <c r="I947" s="4"/>
      <c r="J947" s="7"/>
      <c r="K947" s="7"/>
      <c r="L947" s="7"/>
      <c r="M947" s="7"/>
      <c r="N947" s="4"/>
      <c r="O947" s="4"/>
      <c r="P947" s="4"/>
      <c r="Q947" s="4"/>
      <c r="R947" s="4"/>
      <c r="S947" s="7"/>
      <c r="T947" s="7"/>
      <c r="U947" s="7"/>
      <c r="V947" s="7"/>
      <c r="W947" s="7"/>
      <c r="X947" s="7"/>
      <c r="Y947" s="4"/>
      <c r="Z947" s="4"/>
      <c r="AA947" s="4"/>
      <c r="AB947" s="4"/>
      <c r="AC947" s="4"/>
      <c r="AD947" s="4"/>
      <c r="AE947" s="4"/>
      <c r="AF947" s="4"/>
      <c r="AG947" s="49"/>
      <c r="AH947" s="4"/>
      <c r="AI947" s="4"/>
      <c r="AJ947" s="4"/>
      <c r="AK947" s="4"/>
      <c r="AL947" s="4"/>
      <c r="AM947" s="4"/>
      <c r="AN947" s="44"/>
      <c r="AO947" s="8"/>
      <c r="AP947" s="8"/>
      <c r="AQ947" s="8"/>
      <c r="AR947" s="8"/>
      <c r="AS947" s="8"/>
      <c r="AT947" s="8"/>
      <c r="AU947" s="8"/>
      <c r="AV947" s="46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4"/>
      <c r="BX947" s="4"/>
    </row>
    <row r="948" spans="1:76" s="16" customFormat="1" x14ac:dyDescent="0.25">
      <c r="A948" s="26"/>
      <c r="B948" s="6"/>
      <c r="C948" s="7"/>
      <c r="D948" s="7"/>
      <c r="E948" s="7"/>
      <c r="F948" s="7"/>
      <c r="G948" s="7"/>
      <c r="H948" s="7"/>
      <c r="I948" s="4"/>
      <c r="J948" s="7"/>
      <c r="K948" s="7"/>
      <c r="L948" s="7"/>
      <c r="M948" s="7"/>
      <c r="N948" s="4"/>
      <c r="O948" s="4"/>
      <c r="P948" s="4"/>
      <c r="Q948" s="4"/>
      <c r="R948" s="4"/>
      <c r="S948" s="7"/>
      <c r="T948" s="7"/>
      <c r="U948" s="7"/>
      <c r="V948" s="7"/>
      <c r="W948" s="7"/>
      <c r="X948" s="7"/>
      <c r="Y948" s="4"/>
      <c r="Z948" s="4"/>
      <c r="AA948" s="4"/>
      <c r="AB948" s="4"/>
      <c r="AC948" s="4"/>
      <c r="AD948" s="4"/>
      <c r="AE948" s="4"/>
      <c r="AF948" s="4"/>
      <c r="AG948" s="49"/>
      <c r="AH948" s="4"/>
      <c r="AI948" s="4"/>
      <c r="AJ948" s="4"/>
      <c r="AK948" s="4"/>
      <c r="AL948" s="4"/>
      <c r="AM948" s="4"/>
      <c r="AN948" s="44"/>
      <c r="AO948" s="8"/>
      <c r="AP948" s="8"/>
      <c r="AQ948" s="8"/>
      <c r="AR948" s="8"/>
      <c r="AS948" s="8"/>
      <c r="AT948" s="8"/>
      <c r="AU948" s="8"/>
      <c r="AV948" s="46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4"/>
      <c r="BX948" s="4"/>
    </row>
    <row r="949" spans="1:76" s="16" customFormat="1" x14ac:dyDescent="0.25">
      <c r="A949" s="26"/>
      <c r="B949" s="6"/>
      <c r="C949" s="7"/>
      <c r="D949" s="7"/>
      <c r="E949" s="7"/>
      <c r="F949" s="7"/>
      <c r="G949" s="7"/>
      <c r="H949" s="7"/>
      <c r="I949" s="4"/>
      <c r="J949" s="7"/>
      <c r="K949" s="7"/>
      <c r="L949" s="7"/>
      <c r="M949" s="7"/>
      <c r="N949" s="4"/>
      <c r="O949" s="4"/>
      <c r="P949" s="4"/>
      <c r="Q949" s="4"/>
      <c r="R949" s="4"/>
      <c r="S949" s="7"/>
      <c r="T949" s="7"/>
      <c r="U949" s="7"/>
      <c r="V949" s="7"/>
      <c r="W949" s="7"/>
      <c r="X949" s="7"/>
      <c r="Y949" s="4"/>
      <c r="Z949" s="4"/>
      <c r="AA949" s="4"/>
      <c r="AB949" s="4"/>
      <c r="AC949" s="4"/>
      <c r="AD949" s="4"/>
      <c r="AE949" s="4"/>
      <c r="AF949" s="4"/>
      <c r="AG949" s="49"/>
      <c r="AH949" s="4"/>
      <c r="AI949" s="4"/>
      <c r="AJ949" s="4"/>
      <c r="AK949" s="4"/>
      <c r="AL949" s="4"/>
      <c r="AM949" s="4"/>
      <c r="AN949" s="44"/>
      <c r="AO949" s="8"/>
      <c r="AP949" s="8"/>
      <c r="AQ949" s="8"/>
      <c r="AR949" s="8"/>
      <c r="AS949" s="8"/>
      <c r="AT949" s="8"/>
      <c r="AU949" s="8"/>
      <c r="AV949" s="46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4"/>
      <c r="BX949" s="4"/>
    </row>
    <row r="950" spans="1:76" s="16" customFormat="1" x14ac:dyDescent="0.25">
      <c r="A950" s="26"/>
      <c r="B950" s="6"/>
      <c r="C950" s="7"/>
      <c r="D950" s="7"/>
      <c r="E950" s="7"/>
      <c r="F950" s="7"/>
      <c r="G950" s="7"/>
      <c r="H950" s="7"/>
      <c r="I950" s="4"/>
      <c r="J950" s="7"/>
      <c r="K950" s="7"/>
      <c r="L950" s="7"/>
      <c r="M950" s="7"/>
      <c r="N950" s="4"/>
      <c r="O950" s="4"/>
      <c r="P950" s="4"/>
      <c r="Q950" s="4"/>
      <c r="R950" s="4"/>
      <c r="S950" s="7"/>
      <c r="T950" s="7"/>
      <c r="U950" s="7"/>
      <c r="V950" s="7"/>
      <c r="W950" s="7"/>
      <c r="X950" s="7"/>
      <c r="Y950" s="4"/>
      <c r="Z950" s="4"/>
      <c r="AA950" s="4"/>
      <c r="AB950" s="4"/>
      <c r="AC950" s="4"/>
      <c r="AD950" s="4"/>
      <c r="AE950" s="4"/>
      <c r="AF950" s="4"/>
      <c r="AG950" s="49"/>
      <c r="AH950" s="4"/>
      <c r="AI950" s="4"/>
      <c r="AJ950" s="4"/>
      <c r="AK950" s="4"/>
      <c r="AL950" s="4"/>
      <c r="AM950" s="4"/>
      <c r="AN950" s="44"/>
      <c r="AO950" s="8"/>
      <c r="AP950" s="8"/>
      <c r="AQ950" s="8"/>
      <c r="AR950" s="8"/>
      <c r="AS950" s="8"/>
      <c r="AT950" s="8"/>
      <c r="AU950" s="8"/>
      <c r="AV950" s="46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4"/>
      <c r="BX950" s="4"/>
    </row>
    <row r="951" spans="1:76" s="16" customFormat="1" x14ac:dyDescent="0.25">
      <c r="A951" s="26"/>
      <c r="B951" s="6"/>
      <c r="C951" s="7"/>
      <c r="D951" s="7"/>
      <c r="E951" s="7"/>
      <c r="F951" s="7"/>
      <c r="G951" s="7"/>
      <c r="H951" s="7"/>
      <c r="I951" s="4"/>
      <c r="J951" s="7"/>
      <c r="K951" s="7"/>
      <c r="L951" s="7"/>
      <c r="M951" s="7"/>
      <c r="N951" s="4"/>
      <c r="O951" s="4"/>
      <c r="P951" s="4"/>
      <c r="Q951" s="4"/>
      <c r="R951" s="4"/>
      <c r="S951" s="7"/>
      <c r="T951" s="7"/>
      <c r="U951" s="7"/>
      <c r="V951" s="7"/>
      <c r="W951" s="7"/>
      <c r="X951" s="7"/>
      <c r="Y951" s="4"/>
      <c r="Z951" s="4"/>
      <c r="AA951" s="4"/>
      <c r="AB951" s="4"/>
      <c r="AC951" s="4"/>
      <c r="AD951" s="4"/>
      <c r="AE951" s="4"/>
      <c r="AF951" s="4"/>
      <c r="AG951" s="49"/>
      <c r="AH951" s="4"/>
      <c r="AI951" s="4"/>
      <c r="AJ951" s="4"/>
      <c r="AK951" s="4"/>
      <c r="AL951" s="4"/>
      <c r="AM951" s="4"/>
      <c r="AN951" s="44"/>
      <c r="AO951" s="8"/>
      <c r="AP951" s="8"/>
      <c r="AQ951" s="8"/>
      <c r="AR951" s="8"/>
      <c r="AS951" s="8"/>
      <c r="AT951" s="8"/>
      <c r="AU951" s="8"/>
      <c r="AV951" s="46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4"/>
      <c r="BX951" s="4"/>
    </row>
  </sheetData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C665B5D-0EED-46CE-8383-84757755D331}">
          <x14:formula1>
            <xm:f>Leathers!$A$2:$A$99</xm:f>
          </x14:formula1>
          <xm:sqref>AG320:AG321 AG191:AG193 AG185:AG189 AG2:AG102 AG109:AG126 AG314:AG318 AG292:AG307 AG253 AG258 AG328 AG262 AG246:AG249 AG312 AG273:AG288 AG364:AG365 AW400:AW1048576 AG368:AG390 AG392:AG395 AG128:AG183 AG397:AG399</xm:sqref>
        </x14:dataValidation>
        <x14:dataValidation type="list" allowBlank="1" showInputMessage="1" showErrorMessage="1" xr:uid="{4DC84553-A26B-423A-B797-F1F5985274F8}">
          <x14:formula1>
            <xm:f>Groups!$A$2:$A$70</xm:f>
          </x14:formula1>
          <xm:sqref>E176 E214:E215 E185:E193 E183 E179 E322:E328 E301 E303:E306 E368:E380 E240:E244 E262 E278:E283 E294:E297 E224 E226 E217 E253 E286:E287 E289:E292 E365 E382:E390 E392:E399 E2:E166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3ECB-90B0-47F7-83FF-9A5FCCBB8861}">
  <dimension ref="A1:CO456"/>
  <sheetViews>
    <sheetView zoomScale="87" zoomScaleNormal="87" workbookViewId="0">
      <pane xSplit="1" ySplit="1" topLeftCell="AQ387" activePane="bottomRight" state="frozen"/>
      <selection activeCell="C1364" sqref="C1364"/>
      <selection pane="topRight" activeCell="C1364" sqref="C1364"/>
      <selection pane="bottomLeft" activeCell="C1364" sqref="C1364"/>
      <selection pane="bottomRight" activeCell="J410" sqref="J410"/>
    </sheetView>
  </sheetViews>
  <sheetFormatPr defaultRowHeight="15" x14ac:dyDescent="0.25"/>
  <cols>
    <col min="1" max="1" width="29.42578125" style="5" bestFit="1" customWidth="1"/>
    <col min="2" max="2" width="33.42578125" style="5" bestFit="1" customWidth="1"/>
    <col min="3" max="3" width="40.140625" style="4" bestFit="1" customWidth="1"/>
    <col min="4" max="4" width="39.42578125" style="4" bestFit="1" customWidth="1"/>
    <col min="5" max="5" width="21.140625" style="4" bestFit="1" customWidth="1"/>
    <col min="6" max="6" width="25.85546875" style="4" customWidth="1"/>
    <col min="7" max="7" width="12" style="4" bestFit="1" customWidth="1"/>
    <col min="8" max="8" width="13" style="2" bestFit="1" customWidth="1"/>
    <col min="9" max="9" width="11.85546875" style="2" bestFit="1" customWidth="1"/>
    <col min="10" max="10" width="9.28515625" style="2" bestFit="1" customWidth="1"/>
    <col min="11" max="11" width="9.140625" style="2" bestFit="1" customWidth="1"/>
    <col min="12" max="12" width="22.5703125" style="2" bestFit="1" customWidth="1"/>
    <col min="13" max="13" width="23" style="2" bestFit="1" customWidth="1"/>
    <col min="14" max="14" width="18.85546875" style="2" bestFit="1" customWidth="1"/>
    <col min="15" max="15" width="18.5703125" style="2" bestFit="1" customWidth="1"/>
    <col min="16" max="16" width="27.140625" style="2" bestFit="1" customWidth="1"/>
    <col min="17" max="17" width="13.28515625" style="5" bestFit="1" customWidth="1"/>
    <col min="18" max="18" width="19.140625" style="5" bestFit="1" customWidth="1"/>
    <col min="19" max="19" width="22.28515625" style="5" bestFit="1" customWidth="1"/>
    <col min="20" max="20" width="28.28515625" style="5" bestFit="1" customWidth="1"/>
    <col min="21" max="21" width="35.7109375" style="5" bestFit="1" customWidth="1"/>
    <col min="22" max="22" width="27.85546875" bestFit="1" customWidth="1"/>
    <col min="23" max="23" width="23.85546875" style="16" bestFit="1" customWidth="1"/>
    <col min="24" max="24" width="26.140625" style="5" bestFit="1" customWidth="1"/>
    <col min="25" max="25" width="32" style="5" bestFit="1" customWidth="1"/>
    <col min="26" max="26" width="39.5703125" style="5" bestFit="1" customWidth="1"/>
    <col min="27" max="27" width="23.140625" style="5" bestFit="1" customWidth="1"/>
    <col min="28" max="28" width="27.5703125" style="5" bestFit="1" customWidth="1"/>
    <col min="29" max="29" width="27.7109375" style="5" bestFit="1" customWidth="1"/>
    <col min="30" max="30" width="12.28515625" style="5" bestFit="1" customWidth="1"/>
    <col min="31" max="31" width="18.140625" style="5" bestFit="1" customWidth="1"/>
    <col min="32" max="32" width="25.7109375" style="5" bestFit="1" customWidth="1"/>
    <col min="33" max="33" width="10.28515625" style="5" bestFit="1" customWidth="1"/>
    <col min="34" max="34" width="13.85546875" style="5" bestFit="1" customWidth="1"/>
    <col min="35" max="35" width="23.5703125" style="5" bestFit="1" customWidth="1"/>
    <col min="36" max="36" width="29.7109375" style="5" bestFit="1" customWidth="1"/>
    <col min="37" max="37" width="37.140625" style="5" bestFit="1" customWidth="1"/>
    <col min="38" max="38" width="20.85546875" style="5" bestFit="1" customWidth="1"/>
    <col min="39" max="39" width="25.28515625" style="5" bestFit="1" customWidth="1"/>
    <col min="40" max="40" width="5.28515625" style="2" bestFit="1" customWidth="1"/>
    <col min="41" max="41" width="13.28515625" style="2" bestFit="1" customWidth="1"/>
    <col min="42" max="42" width="15.7109375" style="2" customWidth="1"/>
    <col min="43" max="43" width="16" style="2" bestFit="1" customWidth="1"/>
    <col min="44" max="44" width="15.28515625" style="2" bestFit="1" customWidth="1"/>
    <col min="45" max="45" width="22.28515625" style="35" bestFit="1" customWidth="1"/>
    <col min="46" max="46" width="9.7109375" style="2" bestFit="1" customWidth="1"/>
    <col min="47" max="47" width="14.140625" style="2" bestFit="1" customWidth="1"/>
    <col min="48" max="48" width="10" style="2" bestFit="1" customWidth="1"/>
    <col min="49" max="49" width="12.140625" style="2" bestFit="1" customWidth="1"/>
    <col min="50" max="50" width="22.28515625" style="2" bestFit="1" customWidth="1"/>
    <col min="51" max="51" width="41.85546875" style="2" bestFit="1" customWidth="1"/>
    <col min="52" max="52" width="13.7109375" style="2" bestFit="1" customWidth="1"/>
    <col min="53" max="53" width="23.140625" style="2" bestFit="1" customWidth="1"/>
    <col min="54" max="54" width="22.85546875" style="2" bestFit="1" customWidth="1"/>
    <col min="55" max="55" width="43" style="2" bestFit="1" customWidth="1"/>
    <col min="56" max="56" width="28.7109375" style="2" bestFit="1" customWidth="1"/>
    <col min="57" max="57" width="28" style="2" bestFit="1" customWidth="1"/>
    <col min="58" max="58" width="8.7109375" style="4" bestFit="1" customWidth="1"/>
    <col min="59" max="59" width="16.42578125" style="2" bestFit="1" customWidth="1"/>
    <col min="60" max="60" width="15.5703125" style="2" bestFit="1" customWidth="1"/>
    <col min="61" max="61" width="13.140625" style="2" bestFit="1" customWidth="1"/>
    <col min="62" max="62" width="9.7109375" style="2" bestFit="1" customWidth="1"/>
    <col min="63" max="63" width="17" style="2" bestFit="1" customWidth="1"/>
    <col min="64" max="64" width="21" style="2" bestFit="1" customWidth="1"/>
    <col min="65" max="65" width="36.85546875" style="2" bestFit="1" customWidth="1"/>
    <col min="66" max="66" width="12.85546875" bestFit="1" customWidth="1"/>
    <col min="67" max="67" width="15.140625" bestFit="1" customWidth="1"/>
    <col min="68" max="68" width="34.5703125" style="16" bestFit="1" customWidth="1"/>
    <col min="69" max="69" width="13.7109375" style="2" bestFit="1" customWidth="1"/>
    <col min="70" max="70" width="14.5703125" style="2" bestFit="1" customWidth="1"/>
    <col min="71" max="71" width="17.5703125" style="2" bestFit="1" customWidth="1"/>
    <col min="72" max="72" width="14.5703125" style="2" bestFit="1" customWidth="1"/>
    <col min="73" max="73" width="20.5703125" style="2" bestFit="1" customWidth="1"/>
    <col min="74" max="74" width="11.28515625" style="2" bestFit="1" customWidth="1"/>
    <col min="75" max="75" width="42.7109375" style="2" bestFit="1" customWidth="1"/>
    <col min="76" max="76" width="43.85546875" style="2" customWidth="1"/>
    <col min="77" max="77" width="6.5703125" style="2" bestFit="1" customWidth="1"/>
    <col min="78" max="78" width="18.85546875" style="2" bestFit="1" customWidth="1"/>
    <col min="79" max="79" width="24.140625" style="2" bestFit="1" customWidth="1"/>
    <col min="80" max="80" width="10.28515625" style="25" bestFit="1" customWidth="1"/>
    <col min="81" max="81" width="12" style="25" bestFit="1" customWidth="1"/>
    <col min="82" max="82" width="16.28515625" style="25" bestFit="1" customWidth="1"/>
    <col min="83" max="83" width="20.85546875" style="25" bestFit="1" customWidth="1"/>
    <col min="84" max="84" width="17.85546875" style="25" bestFit="1" customWidth="1"/>
    <col min="85" max="85" width="7.5703125" style="25" bestFit="1" customWidth="1"/>
    <col min="86" max="86" width="11.42578125" style="25" bestFit="1" customWidth="1"/>
    <col min="87" max="87" width="21.5703125" style="25" bestFit="1" customWidth="1"/>
    <col min="88" max="88" width="12.5703125" style="25" bestFit="1" customWidth="1"/>
  </cols>
  <sheetData>
    <row r="1" spans="1:93" ht="16.5" thickTop="1" thickBot="1" x14ac:dyDescent="0.3">
      <c r="A1" s="24" t="s">
        <v>0</v>
      </c>
      <c r="B1" s="33" t="s">
        <v>1</v>
      </c>
      <c r="C1" s="29" t="s">
        <v>302</v>
      </c>
      <c r="D1" s="29" t="s">
        <v>869</v>
      </c>
      <c r="E1" s="29" t="s">
        <v>417</v>
      </c>
      <c r="F1" s="29" t="s">
        <v>449</v>
      </c>
      <c r="G1" s="29" t="s">
        <v>1226</v>
      </c>
      <c r="H1" s="30" t="s">
        <v>5</v>
      </c>
      <c r="I1" s="30" t="s">
        <v>2</v>
      </c>
      <c r="J1" s="30" t="s">
        <v>19</v>
      </c>
      <c r="K1" s="30" t="s">
        <v>23</v>
      </c>
      <c r="L1" s="30" t="s">
        <v>3</v>
      </c>
      <c r="M1" s="30" t="s">
        <v>4</v>
      </c>
      <c r="N1" s="30" t="s">
        <v>438</v>
      </c>
      <c r="O1" s="30" t="s">
        <v>439</v>
      </c>
      <c r="P1" s="30" t="s">
        <v>30</v>
      </c>
      <c r="Q1" s="31" t="s">
        <v>6</v>
      </c>
      <c r="R1" s="29" t="s">
        <v>7</v>
      </c>
      <c r="S1" s="31" t="s">
        <v>8</v>
      </c>
      <c r="T1" s="29" t="s">
        <v>9</v>
      </c>
      <c r="U1" s="29" t="s">
        <v>648</v>
      </c>
      <c r="V1" s="29" t="s">
        <v>649</v>
      </c>
      <c r="W1" s="29" t="s">
        <v>657</v>
      </c>
      <c r="X1" s="31" t="s">
        <v>264</v>
      </c>
      <c r="Y1" s="29" t="s">
        <v>265</v>
      </c>
      <c r="Z1" s="29" t="s">
        <v>650</v>
      </c>
      <c r="AA1" s="29" t="s">
        <v>651</v>
      </c>
      <c r="AB1" s="29" t="s">
        <v>658</v>
      </c>
      <c r="AC1" s="29" t="s">
        <v>652</v>
      </c>
      <c r="AD1" s="31" t="s">
        <v>10</v>
      </c>
      <c r="AE1" s="29" t="s">
        <v>11</v>
      </c>
      <c r="AF1" s="29" t="s">
        <v>653</v>
      </c>
      <c r="AG1" s="29" t="s">
        <v>654</v>
      </c>
      <c r="AH1" s="29" t="s">
        <v>659</v>
      </c>
      <c r="AI1" s="31" t="s">
        <v>12</v>
      </c>
      <c r="AJ1" s="29" t="s">
        <v>13</v>
      </c>
      <c r="AK1" s="29" t="s">
        <v>655</v>
      </c>
      <c r="AL1" s="29" t="s">
        <v>656</v>
      </c>
      <c r="AM1" s="29" t="s">
        <v>661</v>
      </c>
      <c r="AN1" s="30" t="s">
        <v>294</v>
      </c>
      <c r="AO1" s="30" t="s">
        <v>16</v>
      </c>
      <c r="AP1" s="30" t="s">
        <v>14</v>
      </c>
      <c r="AQ1" s="30" t="s">
        <v>15</v>
      </c>
      <c r="AR1" s="30" t="s">
        <v>21</v>
      </c>
      <c r="AS1" s="34" t="s">
        <v>20</v>
      </c>
      <c r="AT1" s="30" t="s">
        <v>17</v>
      </c>
      <c r="AU1" s="30" t="s">
        <v>18</v>
      </c>
      <c r="AV1" s="30" t="s">
        <v>22</v>
      </c>
      <c r="AW1" s="30" t="s">
        <v>303</v>
      </c>
      <c r="AX1" s="30" t="s">
        <v>304</v>
      </c>
      <c r="AY1" s="30" t="s">
        <v>397</v>
      </c>
      <c r="AZ1" s="30" t="s">
        <v>24</v>
      </c>
      <c r="BA1" s="30" t="s">
        <v>1323</v>
      </c>
      <c r="BB1" s="30" t="s">
        <v>662</v>
      </c>
      <c r="BC1" s="30" t="s">
        <v>664</v>
      </c>
      <c r="BD1" s="30" t="s">
        <v>25</v>
      </c>
      <c r="BE1" s="30" t="s">
        <v>26</v>
      </c>
      <c r="BF1" s="30" t="s">
        <v>305</v>
      </c>
      <c r="BG1" s="30" t="s">
        <v>306</v>
      </c>
      <c r="BH1" s="30" t="s">
        <v>842</v>
      </c>
      <c r="BI1" s="30" t="s">
        <v>307</v>
      </c>
      <c r="BJ1" s="30" t="s">
        <v>308</v>
      </c>
      <c r="BK1" s="30" t="s">
        <v>27</v>
      </c>
      <c r="BL1" s="30" t="s">
        <v>309</v>
      </c>
      <c r="BM1" s="30" t="s">
        <v>621</v>
      </c>
      <c r="BN1" s="30" t="s">
        <v>622</v>
      </c>
      <c r="BO1" s="30" t="s">
        <v>663</v>
      </c>
      <c r="BP1" s="30" t="s">
        <v>667</v>
      </c>
      <c r="BQ1" s="30" t="s">
        <v>620</v>
      </c>
      <c r="BR1" s="30" t="s">
        <v>29</v>
      </c>
      <c r="BS1" s="30" t="s">
        <v>28</v>
      </c>
      <c r="BT1" s="30" t="s">
        <v>310</v>
      </c>
      <c r="BU1" s="30" t="s">
        <v>419</v>
      </c>
      <c r="BV1" s="30" t="s">
        <v>873</v>
      </c>
      <c r="BW1" s="30" t="s">
        <v>402</v>
      </c>
      <c r="BX1" s="30" t="s">
        <v>867</v>
      </c>
      <c r="BY1" s="30" t="s">
        <v>669</v>
      </c>
      <c r="BZ1" s="30" t="s">
        <v>31</v>
      </c>
      <c r="CA1" s="30" t="s">
        <v>32</v>
      </c>
      <c r="CB1" s="30" t="s">
        <v>844</v>
      </c>
      <c r="CC1" s="30" t="s">
        <v>848</v>
      </c>
      <c r="CD1" s="30" t="s">
        <v>845</v>
      </c>
      <c r="CE1" s="30" t="s">
        <v>846</v>
      </c>
      <c r="CF1" s="30" t="s">
        <v>847</v>
      </c>
      <c r="CG1" s="30" t="s">
        <v>849</v>
      </c>
      <c r="CH1" s="30" t="s">
        <v>850</v>
      </c>
      <c r="CI1" s="30" t="s">
        <v>1096</v>
      </c>
      <c r="CJ1" s="30" t="s">
        <v>1097</v>
      </c>
    </row>
    <row r="2" spans="1:93" ht="16.5" thickTop="1" thickBot="1" x14ac:dyDescent="0.3">
      <c r="A2" s="26" t="str">
        <f>_xlfn.XLOOKUP(B2,'Base stats'!B:B,'Base stats'!A:A)</f>
        <v>Polar bear</v>
      </c>
      <c r="B2" s="6" t="s">
        <v>173</v>
      </c>
      <c r="C2" s="28" t="s">
        <v>174</v>
      </c>
      <c r="D2" s="28" t="s">
        <v>45</v>
      </c>
      <c r="E2" s="28" t="s">
        <v>418</v>
      </c>
      <c r="F2" s="28" t="s">
        <v>450</v>
      </c>
      <c r="G2" s="28" t="s">
        <v>673</v>
      </c>
      <c r="H2" s="2">
        <f>MROUND((
  (IF(AND(_xlfn.XLOOKUP(B2,'Base stats'!B:B,'Base stats'!AL:AL)=0,BI2="None",_xlfn.XLOOKUP(_xlfn.XLOOKUP(B2,'Base stats'!B:B,'Base stats'!E:E),Groups!A:A,Groups!B:B)=0), (18 + BR2 * 2.7) * 0.5,
    IF(AND(_xlfn.XLOOKUP(B2,'Base stats'!B:B,'Base stats'!AL:AL)=0,OR(AO2&lt;0.55,AND(BI2="Intermediate",_xlfn.XLOOKUP(_xlfn.XLOOKUP(B2,'Base stats'!B:B,'Base stats'!E:E),Groups!A:A,Groups!B:B)&lt;2))), (18 + BR2 * 2.7),
      IF(OR(BI2="Advanced",_xlfn.XLOOKUP(B2,'Base stats'!B:B,'Base stats'!AL:AL)=1,_xlfn.XLOOKUP(_xlfn.XLOOKUP(B2,'Base stats'!B:B,'Base stats'!E:E),Groups!A:A,Groups!B:B)=2), (18 + BR2 * 2.7) + 250, (18 + BR2 * 2.7))
    )
  ))
  + AO2 * 80
  + IF(COUNTIF(EggMilk!K$2:K$998, A2) &gt; 0, 125, 0)
  + IF(COUNTIF(EggMilk!P$2:P$998, A2) &gt; 0, 90, 0)
  + IF(COUNTIF(EggMilk!A$2:A$998, A2) &gt; 0, 90, 0)
)
* (0.8 + 0.4 * J2)
* 0.75,25)</f>
        <v>950</v>
      </c>
      <c r="I2" s="2">
        <f>MROUND(ROUNDDOWN(_xlfn.XLOOKUP(B2,'Base stats'!B:B,'Base stats'!L:L)/3.6/(23.3/11),1),0.5)</f>
        <v>5</v>
      </c>
      <c r="J2" s="2">
        <f>IF(OR(_xlfn.XLOOKUP(B2,'Base stats'!B:B,'Base stats'!AB:AB)=1,_xlfn.XLOOKUP(_xlfn.XLOOKUP(B2,'Base stats'!B:B,'Base stats'!E:E),Groups!A:A,Groups!C:C)="Untamable"),1,IF(_xlfn.XLOOKUP(B2,'Base stats'!B:B,'Base stats'!AL:AL)=1,0.99,MIN(MROUND((1-0.6282*EXP(-0.459*AO2))*_xlfn.XLOOKUP(_xlfn.XLOOKUP(B2,'Base stats'!B:B,'Base stats'!E:E),Groups!A:A,Groups!C:C)*IF(_xlfn.XLOOKUP(B2,'Base stats'!B:B,'Base stats'!O:O)=1,0.5,IF(_xlfn.XLOOKUP(B2,'Base stats'!B:B,'Base stats'!O:O)=2,0,1)),0.05),IF(AO2&gt;3.5,0.985,0.95))))</f>
        <v>0.85000000000000009</v>
      </c>
      <c r="K2" s="2">
        <f>ROUNDUP(AO2*_xlfn.XLOOKUP(_xlfn.XLOOKUP(B2,'Base stats'!B:B,'Base stats'!E:E),Groups!A:A,Groups!E:E),0)</f>
        <v>3</v>
      </c>
      <c r="L2" s="2">
        <f>IF(OR(_xlfn.XLOOKUP(_xlfn.XLOOKUP(B2,'Base stats'!B:B,'Base stats'!E:E),Groups!A:A,Groups!F:F)=2,ISNUMBER(SEARCH("SeaIce",BX2)),ISNUMBER(SEARCH("IceSheet",BX2))),-50,IF(OR(ISNUMBER(SEARCH("GlacialPlain",BX2)),ISNUMBER(SEARCH("Tundra",BX2))),-40,IF(OR(ISNUMBER(SEARCH("Alpine",BX2)),ISNUMBER(SEARCH("BorealForest",BX2)),ISNUMBER(SEARCH("ColdBog",BX2))),-30,IF(OR(ISNUMBER(SEARCH("TemperateForest",BX2)),ISNUMBER(SEARCH("TemperateSwamp",BX2))),-20,IF(_xlfn.XLOOKUP(_xlfn.XLOOKUP(B2,'Base stats'!B:B,'Base stats'!E:E),Groups!A:A,Groups!F:F)=1,-15,IF(OR(ISNUMBER(SEARCH("Desert",BX2)),ISNUMBER(SEARCH("ExtremeDesert",BX2))),-10,IF(OR(ISNUMBER(SEARCH("Grasslands",BX2)),ISNUMBER(SEARCH("TropicalRainforest",BX2)),ISNUMBER(SEARCH("TropicalSwamp",BX2))),10,0)))))))-IF(CC2="False",MIN(IFERROR(MAX(MROUND(LOG10(_xlfn.XLOOKUP(B2,'Base stats'!B:B,'Base stats'!C:C)^(2/3))*10,5),5),5),30))-_xlfn.XLOOKUP(B2,'Base stats'!B:B,'Base stats'!P:P)+IF(CC2="True",5,0)</f>
        <v>-65</v>
      </c>
      <c r="M2" s="2">
        <f>IF(OR(_xlfn.XLOOKUP(_xlfn.XLOOKUP(B2,'Base stats'!B:B,'Base stats'!E:E),Groups!A:A,Groups!G:G)=2,ISNUMBER(SEARCH("Desert",BX2)),ISNUMBER(SEARCH("ExtremeDesert",BX2)),ISNUMBER(SEARCH("LavaField",BX2))),50,IF(ISNUMBER(SEARCH("Grasslands",BX2)),45,IF(OR(_xlfn.XLOOKUP(_xlfn.XLOOKUP(B2,'Base stats'!B:B,'Base stats'!E:E),Groups!A:A,Groups!G:G)=1,ISNUMBER(SEARCH("TropicalRainforest",BX2)),ISNUMBER(SEARCH("TropicalSwamp",BX2))),40,IF(OR(ISNUMBER(SEARCH("TemperateForest",BX2)),ISNUMBER(SEARCH("TemperateSwamp",BX2))),35,IF(OR(ISNUMBER(SEARCH("Alpine",BX2)),ISNUMBER(SEARCH("BorealForest",BX2)),ISNUMBER(SEARCH("ColdBog",BX2))),30,IF(ISNUMBER(OR(ISNUMBER(SEARCH("GlacialPlain",BX2)),SEARCH("Tundra",BX2))),25,IF(OR(ISNUMBER(SEARCH("SeaIce",BX2)),ISNUMBER(SEARCH("IceSheet",BX2)),ISNUMBER(SEARCH("TropicalSwamp",BX2))),10,35)))))))+_xlfn.XLOOKUP(B2,'Base stats'!B:B,'Base stats'!Q:Q)</f>
        <v>10</v>
      </c>
      <c r="N2" s="8" t="str">
        <f>IF(
_xlfn.XLOOKUP(
_xlfn.XLOOKUP(B2,'Base stats'!B:B,'Base stats'!E:E),
Groups!A:A,
Groups!L:L
)=1,
MIN(
MROUND(
IF(
_xlfn.XLOOKUP(B2,'Animals CE'!B:B,'Animals CE'!Z:Z)&lt;=1.5,
_xlfn.XLOOKUP(B2,'Animals CE'!B:B,'Animals CE'!Z:Z)/2+0.05,
0.8+
(_xlfn.XLOOKUP(B2,'Animals CE'!B:B,'Animals CE'!Z:Z)-1.5)
*0.02
),
0.05
),
200%
),
"No"
)</f>
        <v>No</v>
      </c>
      <c r="O2" s="8" t="str">
        <f>IF(
_xlfn.XLOOKUP(
_xlfn.XLOOKUP(B2,'Base stats'!B:B,'Base stats'!E:E),
Groups!A:A,
Groups!L:L
)=1,
MIN(
MROUND(
IF(
_xlfn.XLOOKUP(B2,'Animals CE'!B:B,'Animals CE'!AA:AA)&lt;=1.5,
_xlfn.XLOOKUP(B2,'Animals CE'!B:B,'Animals CE'!AA:AA)/2+0.05,
0.8+
(_xlfn.XLOOKUP(B2,'Animals CE'!B:B,'Animals CE'!AA:AA)-1.5)
*0.02
),
0.05
),
200%
),
"No"
)</f>
        <v>No</v>
      </c>
      <c r="P2" s="2" t="str">
        <f>_xlfn.XLOOKUP(B2,'Base stats'!B:B,'Base stats'!R:R)</f>
        <v>Standard</v>
      </c>
      <c r="Q2" s="13">
        <f>MROUND((LOG10(_xlfn.XLOOKUP(B2,'Base stats'!B:B,'Base stats'!AR:AR))*(AO2^0.5)+(_xlfn.XLOOKUP(B2,'Base stats'!B:B,'Base stats'!AR:AR)/1000)^(2/3)+_xlfn.XLOOKUP(B2,'Base stats'!B:B,'Base stats'!BA:BA)/2)+0.5,0.5)</f>
        <v>13</v>
      </c>
      <c r="R2" s="7">
        <f>IF(Q2="No","No",MAX(1,MROUND(_xlfn.XLOOKUP(B2,'Base stats'!B:B,'Base stats'!C:C)^0.165,0.05)))</f>
        <v>2.6</v>
      </c>
      <c r="S2" s="13" t="str">
        <f>IF(_xlfn.XLOOKUP(_xlfn.XLOOKUP(B2,'Base stats'!B:B,'Base stats'!E:E),Groups!A:A,Groups!P:P)=0,"No",MROUND((LOG10(_xlfn.XLOOKUP(B2,'Base stats'!B:B,'Base stats'!AS:AS))*(AO2^0.5)+(_xlfn.XLOOKUP(B2,'Base stats'!B:B,'Base stats'!AS:AS)/1000)^(2/3)+_xlfn.XLOOKUP(B2,'Base stats'!B:B,'Base stats'!BA:BA))+_xlfn.XLOOKUP(B2,'Base stats'!B:B,'Base stats'!AY:AY)+0.5,0.5))</f>
        <v>No</v>
      </c>
      <c r="T2" s="7" t="str">
        <f>IF(S2="No","No",MAX(_xlfn.XLOOKUP(_xlfn.XLOOKUP(B2,'Base stats'!B:B,'Base stats'!E:E),Groups!A:A,Groups!Q:Q),MROUND(_xlfn.XLOOKUP(_xlfn.XLOOKUP(B2,'Base stats'!B:B,'Base stats'!E:E),Groups!A:A,Groups!Q:Q)*_xlfn.XLOOKUP(B2,'Base stats'!B:B,'Base stats'!C:C)^0.165,0.05)))</f>
        <v>No</v>
      </c>
      <c r="U2" s="7" t="str">
        <f>IF(S2="No","No",_xlfn.XLOOKUP(_xlfn.XLOOKUP(B2,'Base stats'!B:B,'Base stats'!E:E),Groups!A:A,Groups!R:R))</f>
        <v>No</v>
      </c>
      <c r="V2" s="7" t="str">
        <f>IF(S2="No","No",_xlfn.XLOOKUP(_xlfn.XLOOKUP(B2,'Base stats'!B:B,'Base stats'!E:E),Groups!A:A,Groups!S:S))</f>
        <v>No</v>
      </c>
      <c r="W2" s="7" t="str">
        <f>IF(S2="No","No",_xlfn.XLOOKUP(_xlfn.XLOOKUP(B2,'Base stats'!B:B,'Base stats'!E:E),Groups!A:A,Groups!T:T))</f>
        <v>No</v>
      </c>
      <c r="X2" s="13" t="str">
        <f>IF(_xlfn.XLOOKUP(B2,'Base stats'!B:B,'Base stats'!W:W)="No","No",MROUND((LOG10(_xlfn.XLOOKUP(B2,'Base stats'!B:B,'Base stats'!AU:AU))*(AO2^0.5)+(_xlfn.XLOOKUP(B2,'Base stats'!B:B,'Base stats'!AU:AU)/1000)^(2/3)+_xlfn.XLOOKUP(B2,'Base stats'!B:B,'Base stats'!AZ:AZ))+0.5+IF(_xlfn.XLOOKUP(_xlfn.XLOOKUP(B2,'Base stats'!B:B,'Base stats'!E:E),Groups!A:A,Groups!U:U)&lt;&gt;3,_xlfn.XLOOKUP(B2,'Base stats'!B:B,'Base stats'!BA:BA),0),0.5))</f>
        <v>No</v>
      </c>
      <c r="Y2" s="7" t="str">
        <f>IF(X2="No","No",MAX(_xlfn.XLOOKUP(_xlfn.XLOOKUP(B2,'Base stats'!B:B,'Base stats'!E:E),Groups!A:A,Groups!V:V),MROUND(_xlfn.XLOOKUP(_xlfn.XLOOKUP(B2,'Base stats'!B:B,'Base stats'!E:E),Groups!A:A,Groups!V:V)*_xlfn.XLOOKUP(B2,'Base stats'!B:B,'Base stats'!C:C)^0.165,0.05)))</f>
        <v>No</v>
      </c>
      <c r="Z2" s="7" t="str">
        <f>IF(X2="No","No",_xlfn.XLOOKUP(_xlfn.XLOOKUP(B2,'Base stats'!B:B,'Base stats'!E:E),Groups!A:A,Groups!W:W))</f>
        <v>No</v>
      </c>
      <c r="AA2" s="7" t="str">
        <f>IF(X2="No","No",_xlfn.XLOOKUP(_xlfn.XLOOKUP(B2,'Base stats'!B:B,'Base stats'!E:E),Groups!A:A,Groups!X:X))</f>
        <v>No</v>
      </c>
      <c r="AB2" s="7" t="str">
        <f>IF(X2="No","No",_xlfn.XLOOKUP(_xlfn.XLOOKUP(B2,'Base stats'!B:B,'Base stats'!E:E),Groups!A:A,Groups!Y:Y))</f>
        <v>No</v>
      </c>
      <c r="AC2" s="7" t="str">
        <f>_xlfn.XLOOKUP(Animals!B2,'Base stats'!B:B,'Base stats'!X:X)</f>
        <v>False</v>
      </c>
      <c r="AD2" s="13">
        <f>IF(_xlfn.XLOOKUP(B2,'Base stats'!B:B,'Base stats'!AT:AT)="No","No",MROUND((LOG10(_xlfn.XLOOKUP(B2,'Base stats'!B:B,'Base stats'!AT:AT))*(AO2^0.75)+(_xlfn.XLOOKUP(B2,'Base stats'!B:B,'Base stats'!AT:AT)/1000)^(2/3)+_xlfn.XLOOKUP(B2,'Base stats'!B:B,'Base stats'!AX:AX)+_xlfn.XLOOKUP(B2,'Base stats'!B:B,'Base stats'!BA:BA))+0.5,0.5))</f>
        <v>20.5</v>
      </c>
      <c r="AE2" s="7">
        <f>IF(AD2="No","No",MAX(_xlfn.XLOOKUP(_xlfn.XLOOKUP(B2,'Base stats'!B:B,'Base stats'!E:E),Groups!A:A,Groups!Z:Z),MROUND(_xlfn.XLOOKUP(_xlfn.XLOOKUP(B2,'Base stats'!B:B,'Base stats'!E:E),Groups!A:A,Groups!Z:Z)*_xlfn.XLOOKUP(B2,'Base stats'!B:B,'Base stats'!C:C)^0.165,0.05)))</f>
        <v>2.2000000000000002</v>
      </c>
      <c r="AF2" s="7" t="str">
        <f>IF(AD2="No","No",_xlfn.XLOOKUP(_xlfn.XLOOKUP(B2,'Base stats'!B:B,'Base stats'!E:E),Groups!A:A,Groups!AA:AA))</f>
        <v>Teeth</v>
      </c>
      <c r="AG2" s="7" t="str">
        <f>IF(AD2="No","No",_xlfn.XLOOKUP(_xlfn.XLOOKUP(B2,'Base stats'!B:B,'Base stats'!E:E),Groups!A:A,Groups!AB:AB))</f>
        <v>canines</v>
      </c>
      <c r="AH2" s="7" t="str">
        <f>IF(AD2="No","No",_xlfn.XLOOKUP(_xlfn.XLOOKUP(B2,'Base stats'!B:B,'Base stats'!E:E),Groups!A:A,Groups!AC:AC))</f>
        <v>Bite</v>
      </c>
      <c r="AI2" s="13">
        <f>IF(_xlfn.XLOOKUP(_xlfn.XLOOKUP(B2,'Base stats'!B:B,'Base stats'!E:E),Groups!A:A,Groups!AD:AD)=0,"No",MROUND((LOG10(_xlfn.XLOOKUP(B2,'Base stats'!B:B,'Base stats'!AS:AS))*(AO2^0.75)+(_xlfn.XLOOKUP(B2,'Base stats'!B:B,'Base stats'!AS:AS)/1000)^(2/3)+_xlfn.XLOOKUP(B2,'Base stats'!B:B,'Base stats'!AY:AY)+_xlfn.XLOOKUP(B2,'Base stats'!B:B,'Base stats'!BA:BA))+0.5,0.5))</f>
        <v>20.5</v>
      </c>
      <c r="AJ2" s="7">
        <f>IF(AI2="No","No",MAX(_xlfn.XLOOKUP(_xlfn.XLOOKUP(B2,'Base stats'!B:B,'Base stats'!E:E),Groups!A:A,Groups!AE:AE),MROUND(_xlfn.XLOOKUP(_xlfn.XLOOKUP(B2,'Base stats'!B:B,'Base stats'!E:E),Groups!A:A,Groups!AE:AE)*IF(_xlfn.XLOOKUP(_xlfn.XLOOKUP(B2,'Base stats'!B:B,'Base stats'!E:E),Groups!A:A,Groups!AJ:AJ)="Photonozoa",0.6,1)*_xlfn.XLOOKUP(B2,'Base stats'!B:B,'Base stats'!C:C)^0.165,0.05)))</f>
        <v>1.7000000000000002</v>
      </c>
      <c r="AK2" s="7" t="str">
        <f>IF(AI2="No","No",_xlfn.XLOOKUP(_xlfn.XLOOKUP(B2,'Base stats'!B:B,'Base stats'!E:E),Groups!A:A,Groups!AF:AF))</f>
        <v>FrontLeftPaw, FrontRightPaw</v>
      </c>
      <c r="AL2" s="7" t="str">
        <f>IF(AI2="No","No",_xlfn.XLOOKUP(_xlfn.XLOOKUP(B2,'Base stats'!B:B,'Base stats'!E:E),Groups!A:A,Groups!AG:AG))</f>
        <v>left claw, right claw</v>
      </c>
      <c r="AM2" s="7" t="str">
        <f>IF(AI2="No","No",_xlfn.XLOOKUP(_xlfn.XLOOKUP(B2,'Base stats'!B:B,'Base stats'!E:E),Groups!A:A,Groups!AH:AH))</f>
        <v>Scratch</v>
      </c>
      <c r="AN2" s="2">
        <f>IF(BJ2="false","No",MROUND(AO2*5+15*1,5))</f>
        <v>25</v>
      </c>
      <c r="AO2" s="2">
        <f>MROUND(IF(AND(_xlfn.XLOOKUP(B2,'Base stats'!B:B,'Base stats'!C:C)&gt;=0.5,_xlfn.XLOOKUP(B2,'Base stats'!B:B,'Base stats'!C:C)&lt;=0.8),
IF(_xlfn.XLOOKUP(B2,'Base stats'!B:B,'Base stats'!C:C)&lt;0.1,0.05,IF(_xlfn.XLOOKUP(B2,'Base stats'!B:B,'Base stats'!C:C)&lt;=70,(_xlfn.XLOOKUP(B2,'Base stats'!B:B,'Base stats'!C:C)/70)^0.426489913056526,IF(_xlfn.XLOOKUP(B2,'Base stats'!B:B,'Base stats'!C:C)&lt;=400,(_xlfn.XLOOKUP(B2,'Base stats'!B:B,'Base stats'!C:C)/70)^0.572811455315093,IF(_xlfn.XLOOKUP(B2,'Base stats'!B:B,'Base stats'!C:C)&lt;=2000,2.71391647193063*(_xlfn.XLOOKUP(B2,'Base stats'!B:B,'Base stats'!C:C)/400)^0.252459582904293,3.74314280240376*(_xlfn.XLOOKUP(B2,'Base stats'!B:B,'Base stats'!C:C)/2000)^0.357012633876913)))),
IF(_xlfn.XLOOKUP(B2,'Base stats'!B:B,'Base stats'!C:C)&lt;0.1,0.05,IF(_xlfn.XLOOKUP(B2,'Base stats'!B:B,'Base stats'!C:C)&lt;0.4,0.1,IF(_xlfn.XLOOKUP(B2,'Base stats'!B:B,'Base stats'!C:C)&lt;=70,(_xlfn.XLOOKUP(B2,'Base stats'!B:B,'Base stats'!C:C)/70)^0.445823913056526,IF(_xlfn.XLOOKUP(B2,'Base stats'!B:B,'Base stats'!C:C)&lt;=400,(_xlfn.XLOOKUP(B2,'Base stats'!B:B,'Base stats'!C:C)/70)^0.572811455315093,IF(_xlfn.XLOOKUP(B2,'Base stats'!B:B,'Base stats'!C:C)&lt;=2000,2.71391647193063*(_xlfn.XLOOKUP(B2,'Base stats'!B:B,'Base stats'!C:C)/400)^0.252459582904293,3.74314280240376*(_xlfn.XLOOKUP(B2,'Base stats'!B:B,'Base stats'!C:C)/2000)^0.357012633876913)))))),
IF(_xlfn.XLOOKUP(B2,'Base stats'!B:B,'Base stats'!C:C)&lt;0.1,0.05,IF(_xlfn.XLOOKUP(B2,'Base stats'!B:B,'Base stats'!C:C)&lt;=100,0.05,IF(_xlfn.XLOOKUP(B2,'Base stats'!B:B,'Base stats'!C:C)&lt;=250,0.1,IF(_xlfn.XLOOKUP(B2,'Base stats'!B:B,'Base stats'!C:C)&lt;=4000,0.25,0.5)))))</f>
        <v>2.25</v>
      </c>
      <c r="AP2" s="8">
        <f>MROUND(AO2*_xlfn.XLOOKUP(_xlfn.XLOOKUP(B2,'Base stats'!B:B,'Base stats'!E:E),Groups!A:A,Groups!AI:AI)*_xlfn.XLOOKUP(B2,'Base stats'!B:B,'Base stats'!Z:Z),0.05)</f>
        <v>2.7</v>
      </c>
      <c r="AQ2" s="8">
        <f>MAX(0.01,MROUND(IF(CC2="True",0.196*(AO2*100*1000)^0.889,IF(_xlfn.XLOOKUP(_xlfn.XLOOKUP(B2,'Base stats'!B:B,'Base stats'!E:E),Groups!A:A,Groups!AJ:AJ)="Bird",10.5*(AO2*100*1000)^0.681,4.82*(AO2*100*1000)^0.734))/(4.82*(1*100*1000)^0.734)/IF(AO2&lt;3.5,2,IF(AO2=3.5,1.5,1.25))*(1+0.132282374779864/(AO2^0.994035016789033+0.00905238001496948)),0.05))</f>
        <v>0.95000000000000007</v>
      </c>
      <c r="AR2" s="9">
        <f>IFERROR(MROUND(_xlfn.XLOOKUP(B2,'Base stats'!B:B,'Base stats'!H:H)/IF(_xlfn.XLOOKUP(B2,'Base stats'!B:B,'Base stats'!I:I)&lt;&gt;1,(122.5/70),1.2),IF(_xlfn.XLOOKUP(B2,'Base stats'!B:B,'Base stats'!H:H)&gt;=30,5,IF(_xlfn.XLOOKUP(B2,'Base stats'!B:B,'Base stats'!H:H)&gt;=15,3,IF(_xlfn.XLOOKUP(B2,'Base stats'!B:B,'Base stats'!H:H)&gt;=10,2,1)))),"Immortal")</f>
        <v>25</v>
      </c>
      <c r="AS2" s="35">
        <f>IFERROR(IF(OR(_xlfn.XLOOKUP(B2,'Base stats'!B:B,'Base stats'!F:F)="Atypical reproduction",_xlfn.XLOOKUP(B2,'Base stats'!B:B,'Base stats'!F:F)="Lay eggs"),"Lay eggs",MIN(20,MAX(5.5,ROUND(((_xlfn.XLOOKUP(B2,'Base stats'!B:B,'Base stats'!F:F)-25)*(14.5/615) + 5.5)*2,0)/2))),"Unknown")</f>
        <v>6.5</v>
      </c>
      <c r="AT2" s="8">
        <f>IF(_xlfn.XLOOKUP(B2,'Base stats'!B:B,'Base stats'!G:G)="Atypical reproduction","No",IFERROR(MAX(IF(_xlfn.XLOOKUP(B2,'Base stats'!B:B,'Base stats'!G:G)&lt;0.5,0.2,0.3),MROUND(_xlfn.XLOOKUP(B2,'Base stats'!B:B,'Base stats'!G:G)/(365/60),0.2)),"Unknown"))</f>
        <v>0.8</v>
      </c>
      <c r="AU2" s="8">
        <f>IF(AT2="No","No",IFERROR(MROUND(AT2/2,0.05),"Unknown"))</f>
        <v>0.4</v>
      </c>
      <c r="AV2" s="8">
        <f>IFERROR(IFERROR(MROUND(_xlfn.XLOOKUP(B2,'Base stats'!B:B,'Base stats'!J:J),0.1),"Lay eggs"),"Cannot breed")</f>
        <v>2</v>
      </c>
      <c r="AW2" s="2" t="str">
        <f>IF(BT2="No","false","true")</f>
        <v>false</v>
      </c>
      <c r="AX2" s="2" t="str">
        <f>IF(_xlfn.XLOOKUP(_xlfn.XLOOKUP(Animals!B2,'Base stats'!B:B,'Base stats'!E:E),Groups!A:A,Groups!AK:AK)=1,"true","false")</f>
        <v>false</v>
      </c>
      <c r="AY2" s="25" t="str">
        <f>IF(_xlfn.XLOOKUP(B2,'Base stats'!B:B,'Base stats'!Y:Y)="Liquor","Liquor, CarnivoreAnimalStrict",IF(AND(_xlfn.XLOOKUP(B2,'Base stats'!B:B,'Base stats'!Y:Y)="Carnivore",_xlfn.XLOOKUP(_xlfn.XLOOKUP(B2,'Base stats'!B:B,'Base stats'!E:E),Groups!A:A,Groups!AJ:AJ)="Photonozoa"),"CarnivoreAnimalStrict, OvivoreAnimal",IF(_xlfn.XLOOKUP(B2,'Base stats'!B:B,'Base stats'!Y:Y)="Carnivore","CarnivoreAnimal, OvivoreAnimal",IF(_xlfn.XLOOKUP(B2,'Base stats'!B:B,'Base stats'!Y:Y)="Dendrovore","VegetarianRoughAnimal, DendrovoreAnimal",IF(_xlfn.XLOOKUP(B2,'Base stats'!B:B,'Base stats'!Y:Y)="Herbivore","VegetarianRoughAnimal",IF(_xlfn.XLOOKUP(B2,'Base stats'!B:B,'Base stats'!Y:Y)="OmnivoreRough","OmnivoreRoughAnimal, OvivoreAnimal","OmnivoreAnimal, OvivoreAnimal"))))))</f>
        <v>CarnivoreAnimal, OvivoreAnimal</v>
      </c>
      <c r="AZ2" s="2" t="str">
        <f>IF(_xlfn.XLOOKUP(_xlfn.XLOOKUP(B2,'Base stats'!B:B,'Base stats'!E:E),Groups!A:A,Groups!D:D)=1,MROUND((1-J2)*5+1,2)*IF(J2&lt;=0.4,2,1),"No")</f>
        <v>No</v>
      </c>
      <c r="BA2" s="2" t="str">
        <f>IF(AND(_xlfn.XLOOKUP(B2,'Base stats'!B:B,'Base stats'!AH:AH)="&lt;li&gt;Seal&lt;/li&gt;",G2="Odyssey"),"&lt;li&gt;AEXP_Seal&lt;/li&gt;",_xlfn.XLOOKUP(B2,'Base stats'!B:B,'Base stats'!AH:AH))</f>
        <v>&lt;li&gt;Bear_Grizzly&lt;/li&gt;</v>
      </c>
      <c r="BB2" s="2" t="str">
        <f>_xlfn.XLOOKUP(B2,'Base stats'!B:B,'Base stats'!AG:AG)</f>
        <v>Leather_Bear</v>
      </c>
      <c r="BC2" s="23" t="str">
        <f>_xlfn.XLOOKUP(_xlfn.XLOOKUP(B2,'Base stats'!B:B,'Base stats'!E:E),Groups!A:A,Groups!AL:AL)</f>
        <v>QuadrupedAnimalWithPaws</v>
      </c>
      <c r="BD2" s="23">
        <f>MIN(1,MROUND(IF(AND(AO2&lt;0.5,_xlfn.XLOOKUP(B2,'Base stats'!B:B,'Base stats'!AA:AA)=0),0,IF(OR(_xlfn.XLOOKUP(Animals!B2,'Base stats'!B:B,'Base stats'!O:O)=2,_xlfn.XLOOKUP(_xlfn.XLOOKUP(B2,'Base stats'!B:B,'Base stats'!E:E),Groups!A:A,Groups!AN:AN)=0),0,_xlfn.XLOOKUP(_xlfn.XLOOKUP(B2,'Base stats'!B:B,'Base stats'!E:E),Groups!A:A,Groups!AN:AN)/IF(_xlfn.XLOOKUP(Animals!B2,'Base stats'!B:B,'Base stats'!O:O)=1,2,1)))+_xlfn.XLOOKUP(B2,'Base stats'!B:B,'Base stats'!AC:AC),0.005))</f>
        <v>0.1</v>
      </c>
      <c r="BE2" s="23">
        <f>MIN(1,MROUND(IF(AND(AO2&lt;0.5,_xlfn.XLOOKUP(B2,'Base stats'!B:B,'Base stats'!AA:AA)=0),0,IF(_xlfn.XLOOKUP(_xlfn.XLOOKUP(B2,'Base stats'!B:B,'Base stats'!E:E),Groups!A:A,Groups!AO:AO)=0,0,_xlfn.XLOOKUP(_xlfn.XLOOKUP(B2,'Base stats'!B:B,'Base stats'!E:E),Groups!A:A,Groups!AO:AO)/IF(_xlfn.XLOOKUP(Animals!B2,'Base stats'!B:B,'Base stats'!O:O)=2,3,1)))+_xlfn.XLOOKUP(B2,'Base stats'!B:B,'Base stats'!AD:AD),0.005))</f>
        <v>0.3</v>
      </c>
      <c r="BF2" s="2" t="str">
        <f>IF(J2&gt;0.3,"No",_xlfn.XLOOKUP(_xlfn.XLOOKUP(Animals!B2,'Base stats'!B:B,'Base stats'!E:E),Groups!A:A,Groups!AP:AP))</f>
        <v>No</v>
      </c>
      <c r="BG2" s="2" t="str">
        <f>IF(AND(J2&lt;=0.65,_xlfn.XLOOKUP(_xlfn.XLOOKUP(Animals!B2,'Base stats'!B:B,'Base stats'!E:E),Groups!A:A,Groups!AP:AP)&lt;&gt;"No",_xlfn.XLOOKUP(_xlfn.XLOOKUP(B2,'Base stats'!B:B,'Base stats'!E:E),Groups!A:A,Groups!D:D)=0),MROUND((80/3)*IF(_xlfn.XLOOKUP(B2,'Base stats'!B:B,'Base stats'!O:O)=2,0.2,AO2) + 24*(1-IF(BF2="No",0,BF2)) + 16/3, 12),"No")</f>
        <v>No</v>
      </c>
      <c r="BH2" s="2">
        <f>IF(AND(_xlfn.XLOOKUP(_xlfn.XLOOKUP(B2,'Base stats'!B:B,'Base stats'!E:E),Groups!A:A,Groups!AQ:AQ)=1,AO2&lt;=0.35),8,12)</f>
        <v>12</v>
      </c>
      <c r="BI2" s="2" t="str">
        <f>IF(_xlfn.XLOOKUP(_xlfn.XLOOKUP(B2,'Base stats'!B:B,'Base stats'!E:E),Groups!A:A,Groups!D:D)=0,_xlfn.XLOOKUP(_xlfn.XLOOKUP(B2,'Base stats'!B:B,'Base stats'!E:E),Groups!A:A,Groups!AR:AR),"None")</f>
        <v>Advanced</v>
      </c>
      <c r="BJ2" s="2" t="str">
        <f>IF(AND(_xlfn.XLOOKUP(_xlfn.XLOOKUP(B2,'Base stats'!B:B,'Base stats'!E:E),Groups!A:A,Groups!AS:AS)=1,OR(_xlfn.XLOOKUP(B2,'Base stats'!B:B,'Base stats'!Y:Y)="Carnivore",_xlfn.XLOOKUP(B2,'Base stats'!B:B,'Base stats'!Y:Y)="Omnivore")),"true","false")</f>
        <v>true</v>
      </c>
      <c r="BK2" s="2">
        <f>IF(BJ2="true",MROUND(IF(AND(AO2&gt;0.5,OR(_xlfn.XLOOKUP(_xlfn.XLOOKUP(B2,'Base stats'!B:B,'Base stats'!E:E),Groups!A:A,Groups!AJ:AJ)="Photonozoa",_xlfn.XLOOKUP(_xlfn.XLOOKUP(B2,'Base stats'!B:B,'Base stats'!E:E),Groups!A:A,Groups!AJ:AJ)="Mammal")),Animals!AO2*1.75*IF(AW2="true",1.5,1),IF(AO2&lt;0.5,Animals!AO2*0.5,Animals!AO2)),IF(AO2&gt;2,0.5,IF(AO2&gt;0.5,0.25,0.1))),"No")</f>
        <v>4</v>
      </c>
      <c r="BL2" s="2">
        <f>IF(BI2&lt;&gt;"None",1,0)</f>
        <v>1</v>
      </c>
      <c r="BM2" s="25" t="str">
        <f>IF(_xlfn.XLOOKUP(B2,'Base stats'!B:B,'Base stats'!AN:AN)="Standard","No",MROUND((_xlfn.XLOOKUP(B2,'Base stats'!B:B,'Base stats'!AN:AN)/3.6)/I2,0.1))</f>
        <v>No</v>
      </c>
      <c r="BN2" s="25" t="str">
        <f>IF(OR(BM2&lt;&gt;"No",BQ2=1),"true","false")</f>
        <v>false</v>
      </c>
      <c r="BO2" s="25" t="str">
        <f>IF(AND(OR(_xlfn.XLOOKUP(B2,'Base stats'!B:B,'Base stats'!Y:Y)="Carnivore",_xlfn.XLOOKUP(B2,'Base stats'!B:B,'Base stats'!Y:Y)="Omnivore",_xlfn.XLOOKUP(B2,'Base stats'!B:B,'Base stats'!Y:Y)="OmnivoreRough"),_xlfn.XLOOKUP(_xlfn.XLOOKUP(B2,'Base stats'!B:B,'Base stats'!E:E),Groups!A:A,Groups!AT:AT)=1),"true","false")</f>
        <v>true</v>
      </c>
      <c r="BP2" s="25" t="str" cm="1">
        <f t="array" ref="BP2">IF(
  _xlfn.TEXTJOIN(", ",TRUE,
    IF(AND(BJ2="true",AO2&gt;0.5,BI2&lt;&gt;"None"),"AttackTarget",""),
    IF(AND(_xlfn.XLOOKUP(_xlfn.XLOOKUP(B2,'Base stats'!B:B,'Base stats'!E:E),Groups!A:A,Groups!AJ:AJ="Mammal"),OR(_xlfn.XLOOKUP(B2,'Base stats'!B:B,'Base stats'!Y:Y)="Omnivore",_xlfn.XLOOKUP(B2,'Base stats'!B:B,'Base stats'!Y:Y)="OmnivoreRough")),"Forage",""),
    IF(BG2&lt;=36,"Comfort",""),
    IF(_xlfn.XLOOKUP(B2,'Base stats'!B:B,'Base stats'!AE:AE)&lt;&gt;"No",_xlfn.XLOOKUP(B2,'Base stats'!B:B,'Base stats'!AE:AE),"")
  ) = "",
  "No",
  _xlfn.TEXTJOIN(", ",TRUE,
    IF(AND(BJ2="true",AO2&gt;0.5,BI2&lt;&gt;"None"),"AttackTarget",""),
    IF(AND(_xlfn.XLOOKUP(_xlfn.XLOOKUP(B2,'Base stats'!B:B,'Base stats'!E:E),Groups!A:A,Groups!AJ:AJ="Mammal"),OR(_xlfn.XLOOKUP(B2,'Base stats'!B:B,'Base stats'!Y:Y)="Omnivore",_xlfn.XLOOKUP(B2,'Base stats'!B:B,'Base stats'!Y:Y)="OmnivoreRough")),"Forage",""),
    IF(BG2&lt;=36,"Comfort",""),
    IF(_xlfn.XLOOKUP(B2,'Base stats'!B:B,'Base stats'!AE:AE)&lt;&gt;"No",_xlfn.XLOOKUP(B2,'Base stats'!B:B,'Base stats'!AE:AE),"")
  )
)</f>
        <v>AttackTarget</v>
      </c>
      <c r="BQ2" s="25">
        <f>IF(
   AND(
      'Base stats'!AN2="Standard",_xlfn.XLOOKUP(_xlfn.XLOOKUP(B2,'Base stats'!B:B,'Base stats'!E:E),Groups!A:A,Groups!AU:AU)=0,
      OR(
      BO2="True"
      )
   ),
   10,
   IF(
       OR(BM2&lt;&gt;"No",_xlfn.XLOOKUP(_xlfn.XLOOKUP(B2,'Base stats'!B:B,'Base stats'!E:E),Groups!A:A,Groups!AU:AU)=1),
      1,
      "No"
   )
)</f>
        <v>10</v>
      </c>
      <c r="BR2" s="9">
        <f>MROUND((1 + ((0.2*IF(OR(Q2="No",R2="No",R2=0),0,Q2/R2)
+IF(OR(V2="No",S2="No",T2="No"),0,S2/T2*(LEN(V2)-LEN(SUBSTITUTE(V2,",",""))+1))
+IF(OR(X2="No",Y2="No"),0,X2/Y2)
+IF(OR(AD2="No",AE2="No"),0,AD2/AE2)
+IF(OR(AL2="No",AI2="No",AJ2="No"),0,AI2/AJ2*(LEN(AL2)-LEN(SUBSTITUTE(AL2,",",""))+1))
)/(0.2*IF(OR(Q2="No",R2="No",R2=0),0,1)
+IF(OR(V2="No",S2="No",T2="No"),0,LEN(V2)-LEN(SUBSTITUTE(V2,",",""))+1)
+IF(OR(X2="No",Y2="No"),0,1)
+IF(OR(AD2="No",AE2="No"),0,1)
+IF(OR(AL2="No",AI2="No",AJ2="No"),0,LEN(AL2)-LEN(SUBSTITUTE(AL2,",",""))+1))*62%)* 2)*(1 + (AP2 / (IF(_xlfn.XLOOKUP(_xlfn.XLOOKUP(B2,'Base stats'!B:B,'Base stats'!E:E),Groups!A:A,Groups!AJ:AJ)="Photonozoa",0.3,1)) + _xlfn.XLOOKUP(B2,'Base stats'!B:B,'Base stats'!AV:AV) * 1.8) * 2) * 2.5 + 10 + I2 * 2,5)+IF(_xlfn.XLOOKUP(B2,'Base stats'!B:B,'Base stats'!AK:AK)=1,50,0)</f>
        <v>250</v>
      </c>
      <c r="BS2" s="8">
        <f>MROUND(AO2 * 0.2 + AQ2 * 0.8,0.05)</f>
        <v>1.2000000000000002</v>
      </c>
      <c r="BT2" s="8" t="str">
        <f>_xlfn.XLOOKUP(B2,'Base stats'!B:B,'Base stats'!AF:AF)</f>
        <v>No</v>
      </c>
      <c r="BU2" s="2" t="str">
        <f>IF(AND(J2&lt;=0.95,OR(_xlfn.XLOOKUP(B2,'Base stats'!B:B,'Base stats'!AK:AK)=1,_xlfn.XLOOKUP(B2,'Base stats'!B:B,'Base stats'!Y:Y)="Carnivore",_xlfn.XLOOKUP(B2,'Base stats'!B:B,'Base stats'!Y:Y)="Omnivore",BE2&gt;0.1)),"true","false")</f>
        <v>true</v>
      </c>
      <c r="BV2" s="2" t="str">
        <f>IF(_xlfn.XLOOKUP(B2,'Base stats'!B:B,'Base stats'!AI:AI)=1,"true","false")</f>
        <v>false</v>
      </c>
      <c r="BW2" s="25" t="str">
        <f>IF(E2="BaseInsect","AnimalInsect",
IF(J2&gt;0.95,"AnimalExotic",
_xlfn.TEXTJOIN(", ",TRUE,
IF(OR(_xlfn.XLOOKUP(B2,'Base stats'!B:B,'Base stats'!AM:AM)=1,AND(_xlfn.XLOOKUP(B2,'Base stats'!B:B,'Base stats'!O:O)=0,_xlfn.XLOOKUP(_xlfn.XLOOKUP(B2,'Base stats'!B:B,'Base stats'!E:E),Groups!A:A,Groups!B:B)&gt;0)),"AnimalUncommon","AnimalCommon"),
IF(AND(_xlfn.XLOOKUP(B2,'Base stats'!B:B,'Base stats'!O:O)=2,_xlfn.XLOOKUP(_xlfn.XLOOKUP(B2,'Base stats'!B:B,'Base stats'!E:E),Groups!A:A,Groups!D:D)=0),"AnimalPet",IF(AND(_xlfn.XLOOKUP(B2,'Base stats'!B:B,'Base stats'!O:O)&lt;&gt;0,_xlfn.XLOOKUP(_xlfn.XLOOKUP(B2,'Base stats'!B:B,'Base stats'!E:E),Groups!A:A,Groups!D:D)&lt;&gt;0),"AnimalFarm","")),
IF(OR(_xlfn.XLOOKUP(B2,'Base stats'!B:B,'Base stats'!AK:AK)=1,AND(BI2&lt;&gt;"None",BR2&gt;=60),ISNUMBER(SEARCH("Attack target",BP2))),"AnimalFighter","")
)))</f>
        <v>AnimalUncommon, AnimalFighter</v>
      </c>
      <c r="BX2" s="25" t="str">
        <f>IF(G2="None",TRIM(
SUBSTITUTE(
IF(COUNTIF(Biomes!B$2:B$259,"="&amp;$C2)&gt;0,Biomes!B$1&amp;", ","")&amp;
IF(COUNTIF(Biomes!C$2:C$259,"="&amp;$C2)&gt;0,Biomes!C$1&amp;", ","")&amp;
IF(COUNTIF(Biomes!D$2:D$259,"="&amp;$C2)&gt;0,Biomes!D$1&amp;", ","")&amp;
IF(COUNTIF(Biomes!F$2:F$259,"="&amp;$C2)&gt;0,Biomes!F$1&amp;", ","")&amp;
IF(COUNTIF(Biomes!G$2:G$259,"="&amp;$C2)&gt;0,Biomes!G$1&amp;", ","")&amp;
IF(COUNTIF(Biomes!H$2:H$259,"="&amp;$C2)&gt;0,Biomes!H$1&amp;", ","")&amp;
IF(COUNTIF(Biomes!I$2:I$259,"="&amp;$C2)&gt;0,Biomes!I$1&amp;", ","")&amp;
IF(COUNTIF(Biomes!J$2:J$259,"="&amp;$C2)&gt;0,Biomes!J$1&amp;", ","")&amp;
IF(COUNTIF(Biomes!M$2:M$259,"="&amp;$C2)&gt;0,Biomes!M$1&amp;", ","")&amp;
IF(COUNTIF(Biomes!N$2:N$259,"="&amp;$C2)&gt;0,Biomes!N$1&amp;", ","")&amp;
IF(COUNTIF(Biomes!O$2:O$259,"="&amp;$C2)&gt;0,Biomes!O$1&amp;", ","")&amp;
IF(COUNTIF(Biomes!P$2:P$259,"="&amp;$C2)&gt;0,Biomes!P$1&amp;", ","")&amp;
IF(COUNTIF(Biomes!K$2:K$259,"="&amp;$C2)&gt;0,Biomes!K$1&amp;", ","")&amp;
IF(COUNTIF(Biomes!Q$3:Q$259,"="&amp;$C2)&gt;0,Biomes!Q$1&amp;", ","")&amp;
IF(COUNTIF(Biomes!L$2:L$259,"="&amp;$C2)&gt;0,Biomes!L$1&amp;", ","")&amp;
IF(COUNTIF(Biomes!E$2:E$259,"="&amp;$C2)&gt;0,Biomes!E$1&amp;", ","")&amp;IF(COUNTIF(Biomes!S$2:S$259,"="&amp;$C2)&gt;0,Biomes!S$1&amp;", ","")&amp;
IF(COUNTIF(Biomes!R$2:R$259,"="&amp;$C2)&gt;0,Biomes!R$1&amp;", ",""),", ","")
),_xlfn.XLOOKUP(B2,B:B,BX:BX))</f>
        <v>SeaIce IceSheet Tundra</v>
      </c>
      <c r="BY2" s="25" t="str">
        <f>IF(_xlfn.XLOOKUP(B2,'Base stats'!B:B,'Base stats'!AJ:AJ)=1,"true","false")</f>
        <v>false</v>
      </c>
      <c r="BZ2" s="25">
        <f>IF(_xlfn.XLOOKUP(B2,'Base stats'!B:B,'Base stats'!N:N)=1,"No",MAX(0.001,MIN(MROUND(IF(AND(BJ2="True",CC2="False"),POWER(10,3.47*LOG10(_xlfn.XLOOKUP(B2,'Base stats'!B:B,'Base stats'!C:C)*1000)^-0.96),POWER(10,4.15*LOG10(_xlfn.XLOOKUP(B2,'Base stats'!B:B,'Base stats'!C:C)*1000)^-0.73))*IF(_xlfn.XLOOKUP(B2,'Base stats'!B:B,'Base stats'!AK:AK)=1,0.5,1)*IF(_xlfn.XLOOKUP(B2,'Base stats'!B:B,'Base stats'!AM:AM)=1,0.1,1)/100,IF(_xlfn.XLOOKUP(B2,'Base stats'!B:B,'Base stats'!AM:AM)=1,0.001,0.025)),0.5)))</f>
        <v>0.05</v>
      </c>
      <c r="CA2" s="25" t="str">
        <f>IF(P2="Standard","No",MAX(0.001,MIN(MROUND(IF(AND(BJ2="True",CC2="False"),POWER(10,3.47*LOG10(_xlfn.XLOOKUP(B2,'Base stats'!B:B,'Base stats'!C:C)*1000)^-0.96),POWER(10,4.15*LOG10(_xlfn.XLOOKUP(B2,'Base stats'!B:B,'Base stats'!C:C)*1000)^-0.73))*IF(_xlfn.XLOOKUP(B2,'Base stats'!B:B,'Base stats'!AM:AM)=1,0.1,1)*_xlfn.XLOOKUP(B2,'Base stats'!B:B,'Base stats'!R:R)/100,IF(_xlfn.XLOOKUP(B2,'Base stats'!B:B,'Base stats'!AM:AM)=1,0.001,0.025)),0.5)))</f>
        <v>No</v>
      </c>
      <c r="CB2" s="25" t="str">
        <f>IF(_xlfn.XLOOKUP(_xlfn.XLOOKUP(B2,'Base stats'!B:B,'Base stats'!E:E),Groups!A:A,Groups!AJ:AJ)="Mammal","True","False")</f>
        <v>True</v>
      </c>
      <c r="CC2" s="25" t="str">
        <f>IF(OR(_xlfn.XLOOKUP(_xlfn.XLOOKUP(B2,'Base stats'!B:B,'Base stats'!E:E),Groups!A:A,Groups!AJ:AJ)="Reptile",_xlfn.XLOOKUP(_xlfn.XLOOKUP(B2,'Base stats'!B:B,'Base stats'!E:E),Groups!A:A,Groups!AJ:AJ)="Amphibian",_xlfn.XLOOKUP(_xlfn.XLOOKUP(B2,'Base stats'!B:B,'Base stats'!E:E),Groups!A:A,Groups!AJ:AJ)="Invertebrate"),"True","False")</f>
        <v>False</v>
      </c>
      <c r="CD2" s="25" t="str">
        <f>IF(J2&gt;0.95,"True","False")</f>
        <v>False</v>
      </c>
      <c r="CE2" s="25" t="str">
        <f>IF(_xlfn.XLOOKUP(_xlfn.XLOOKUP(B2,'Base stats'!B:B,'Base stats'!E:E),Groups!A:A,Groups!AX:AX),"True","False")</f>
        <v>False</v>
      </c>
      <c r="CF2" s="25" t="str">
        <f>IF(_xlfn.XLOOKUP(_xlfn.XLOOKUP(B2,'Base stats'!B:B,'Base stats'!E:E),Groups!A:A,Groups!AY:AY),"True","False")</f>
        <v>False</v>
      </c>
      <c r="CG2" s="25" t="str">
        <f>IF(_xlfn.XLOOKUP(_xlfn.XLOOKUP(B2,'Base stats'!B:B,'Base stats'!E:E),Groups!A:A,Groups!AW:AW),"True","False")</f>
        <v>False</v>
      </c>
      <c r="CH2" s="25" t="str">
        <f>IF(
OR(
_xlfn.XLOOKUP(_xlfn.XLOOKUP(B2,'Base stats'!B:B,'Base stats'!E:E),Groups!A:A,Groups!AZ:AZ)=0,
AND(
_xlfn.XLOOKUP(B2,'Base stats'!B:B,'Base stats'!Y:Y)&lt;&gt;"Carnivore",
_xlfn.XLOOKUP(B2,'Base stats'!B:B,'Base stats'!Y:Y)&lt;&gt;"Omnivore",
_xlfn.XLOOKUP(B2,'Base stats'!B:B,'Base stats'!Y:Y)&lt;&gt;"OmnivoreRough"
)
),
"No",
IF(
_xlfn.XLOOKUP(_xlfn.XLOOKUP(B2,'Base stats'!B:B,'Base stats'!E:E),Groups!A:A,Groups!AZ:AZ)=1,
"Flesh",
IF(
_xlfn.XLOOKUP(_xlfn.XLOOKUP(B2,'Base stats'!B:B,'Base stats'!E:E),Groups!A:A,Groups!AZ:AZ)=2,
"Bone",
""
)
)
)</f>
        <v>Bone</v>
      </c>
      <c r="CI2" s="25" t="str">
        <f>IF(_xlfn.XLOOKUP(_xlfn.XLOOKUP(B2,'Base stats'!B:B,'Base stats'!E:E),Groups!A:A,Groups!BB:BB),"True","False")</f>
        <v>True</v>
      </c>
      <c r="CJ2" s="25" t="str">
        <f>IF(_xlfn.XLOOKUP(_xlfn.XLOOKUP(B2,'Base stats'!B:B,'Base stats'!E:E),Groups!A:A,Groups!BA:BA),"True","False")</f>
        <v>False</v>
      </c>
      <c r="CO2" s="16"/>
    </row>
    <row r="3" spans="1:93" ht="16.5" thickTop="1" thickBot="1" x14ac:dyDescent="0.3">
      <c r="A3" s="26" t="str">
        <f>_xlfn.XLOOKUP(B3,'Base stats'!B:B,'Base stats'!A:A)</f>
        <v>Grizzly</v>
      </c>
      <c r="B3" s="6" t="s">
        <v>176</v>
      </c>
      <c r="C3" s="28" t="s">
        <v>671</v>
      </c>
      <c r="D3" s="28" t="s">
        <v>45</v>
      </c>
      <c r="E3" s="28" t="s">
        <v>418</v>
      </c>
      <c r="F3" s="28" t="s">
        <v>450</v>
      </c>
      <c r="G3" s="28" t="s">
        <v>673</v>
      </c>
      <c r="H3" s="2">
        <f>MROUND((
  (IF(AND(_xlfn.XLOOKUP(B3,'Base stats'!B:B,'Base stats'!AL:AL)=0,BI3="None",_xlfn.XLOOKUP(_xlfn.XLOOKUP(B3,'Base stats'!B:B,'Base stats'!E:E),Groups!A:A,Groups!B:B)=0), (18 + BR3 * 2.7) * 0.5,
    IF(AND(_xlfn.XLOOKUP(B3,'Base stats'!B:B,'Base stats'!AL:AL)=0,OR(AO3&lt;0.55,AND(BI3="Intermediate",_xlfn.XLOOKUP(_xlfn.XLOOKUP(B3,'Base stats'!B:B,'Base stats'!E:E),Groups!A:A,Groups!B:B)&lt;2))), (18 + BR3 * 2.7),
      IF(OR(BI3="Advanced",_xlfn.XLOOKUP(B3,'Base stats'!B:B,'Base stats'!AL:AL)=1,_xlfn.XLOOKUP(_xlfn.XLOOKUP(B3,'Base stats'!B:B,'Base stats'!E:E),Groups!A:A,Groups!B:B)=2), (18 + BR3 * 2.7) + 250, (18 + BR3 * 2.7))
    )
  ))
  + AO3 * 80
  + IF(COUNTIF(EggMilk!K$2:K$998, A3) &gt; 0, 125, 0)
  + IF(COUNTIF(EggMilk!P$2:P$998, A3) &gt; 0, 90, 0)
  + IF(COUNTIF(EggMilk!A$2:A$998, A3) &gt; 0, 90, 0)
)
* (0.8 + 0.4 * J3)
* 0.75,25)</f>
        <v>875</v>
      </c>
      <c r="I3" s="2">
        <f>MROUND(ROUNDDOWN(_xlfn.XLOOKUP(B3,'Base stats'!B:B,'Base stats'!L:L)/3.6/(23.3/11),1),0.5)</f>
        <v>6</v>
      </c>
      <c r="J3" s="2">
        <f>IF(OR(_xlfn.XLOOKUP(B3,'Base stats'!B:B,'Base stats'!AB:AB)=1,_xlfn.XLOOKUP(_xlfn.XLOOKUP(B3,'Base stats'!B:B,'Base stats'!E:E),Groups!A:A,Groups!C:C)="Untamable"),1,IF(_xlfn.XLOOKUP(B3,'Base stats'!B:B,'Base stats'!AL:AL)=1,0.99,MIN(MROUND((1-0.6282*EXP(-0.459*AO3))*_xlfn.XLOOKUP(_xlfn.XLOOKUP(B3,'Base stats'!B:B,'Base stats'!E:E),Groups!A:A,Groups!C:C)*IF(_xlfn.XLOOKUP(B3,'Base stats'!B:B,'Base stats'!O:O)=1,0.5,IF(_xlfn.XLOOKUP(B3,'Base stats'!B:B,'Base stats'!O:O)=2,0,1)),0.05),IF(AO3&gt;3.5,0.985,0.95))))</f>
        <v>0.8</v>
      </c>
      <c r="K3" s="2">
        <f>ROUNDUP(AO3*_xlfn.XLOOKUP(_xlfn.XLOOKUP(B3,'Base stats'!B:B,'Base stats'!E:E),Groups!A:A,Groups!E:E),0)</f>
        <v>2</v>
      </c>
      <c r="L3" s="2">
        <f>IF(OR(_xlfn.XLOOKUP(_xlfn.XLOOKUP(B3,'Base stats'!B:B,'Base stats'!E:E),Groups!A:A,Groups!F:F)=2,ISNUMBER(SEARCH("SeaIce",BX3)),ISNUMBER(SEARCH("IceSheet",BX3))),-50,IF(OR(ISNUMBER(SEARCH("GlacialPlain",BX3)),ISNUMBER(SEARCH("Tundra",BX3))),-40,IF(OR(ISNUMBER(SEARCH("Alpine",BX3)),ISNUMBER(SEARCH("BorealForest",BX3)),ISNUMBER(SEARCH("ColdBog",BX3))),-30,IF(OR(ISNUMBER(SEARCH("TemperateForest",BX3)),ISNUMBER(SEARCH("TemperateSwamp",BX3))),-20,IF(_xlfn.XLOOKUP(_xlfn.XLOOKUP(B3,'Base stats'!B:B,'Base stats'!E:E),Groups!A:A,Groups!F:F)=1,-15,IF(OR(ISNUMBER(SEARCH("Desert",BX3)),ISNUMBER(SEARCH("ExtremeDesert",BX3))),-10,IF(OR(ISNUMBER(SEARCH("Grasslands",BX3)),ISNUMBER(SEARCH("TropicalRainforest",BX3)),ISNUMBER(SEARCH("TropicalSwamp",BX3))),10,0)))))))-IF(CC3="False",MIN(IFERROR(MAX(MROUND(LOG10(_xlfn.XLOOKUP(B3,'Base stats'!B:B,'Base stats'!C:C)^(2/3))*10,5),5),5),30))-_xlfn.XLOOKUP(B3,'Base stats'!B:B,'Base stats'!P:P)+IF(CC3="True",5,0)</f>
        <v>-55</v>
      </c>
      <c r="M3" s="2">
        <f>IF(OR(_xlfn.XLOOKUP(_xlfn.XLOOKUP(B3,'Base stats'!B:B,'Base stats'!E:E),Groups!A:A,Groups!G:G)=2,ISNUMBER(SEARCH("Desert",BX3)),ISNUMBER(SEARCH("ExtremeDesert",BX3)),ISNUMBER(SEARCH("LavaField",BX3))),50,IF(ISNUMBER(SEARCH("Grasslands",BX3)),45,IF(OR(_xlfn.XLOOKUP(_xlfn.XLOOKUP(B3,'Base stats'!B:B,'Base stats'!E:E),Groups!A:A,Groups!G:G)=1,ISNUMBER(SEARCH("TropicalRainforest",BX3)),ISNUMBER(SEARCH("TropicalSwamp",BX3))),40,IF(OR(ISNUMBER(SEARCH("TemperateForest",BX3)),ISNUMBER(SEARCH("TemperateSwamp",BX3))),35,IF(OR(ISNUMBER(SEARCH("Alpine",BX3)),ISNUMBER(SEARCH("BorealForest",BX3)),ISNUMBER(SEARCH("ColdBog",BX3))),30,IF(ISNUMBER(OR(ISNUMBER(SEARCH("GlacialPlain",BX3)),SEARCH("Tundra",BX3))),25,IF(OR(ISNUMBER(SEARCH("SeaIce",BX3)),ISNUMBER(SEARCH("IceSheet",BX3)),ISNUMBER(SEARCH("TropicalSwamp",BX3))),10,35)))))))+_xlfn.XLOOKUP(B3,'Base stats'!B:B,'Base stats'!Q:Q)</f>
        <v>35</v>
      </c>
      <c r="N3" s="8" t="str">
        <f>IF(
_xlfn.XLOOKUP(
_xlfn.XLOOKUP(B3,'Base stats'!B:B,'Base stats'!E:E),
Groups!A:A,
Groups!L:L
)=1,
MIN(
MROUND(
IF(
_xlfn.XLOOKUP(B3,'Animals CE'!B:B,'Animals CE'!Z:Z)&lt;=1.5,
_xlfn.XLOOKUP(B3,'Animals CE'!B:B,'Animals CE'!Z:Z)/2+0.05,
0.8+
(_xlfn.XLOOKUP(B3,'Animals CE'!B:B,'Animals CE'!Z:Z)-1.5)
*0.02
),
0.05
),
200%
),
"No"
)</f>
        <v>No</v>
      </c>
      <c r="O3" s="8" t="str">
        <f>IF(
_xlfn.XLOOKUP(
_xlfn.XLOOKUP(B3,'Base stats'!B:B,'Base stats'!E:E),
Groups!A:A,
Groups!L:L
)=1,
MIN(
MROUND(
IF(
_xlfn.XLOOKUP(B3,'Animals CE'!B:B,'Animals CE'!AA:AA)&lt;=1.5,
_xlfn.XLOOKUP(B3,'Animals CE'!B:B,'Animals CE'!AA:AA)/2+0.05,
0.8+
(_xlfn.XLOOKUP(B3,'Animals CE'!B:B,'Animals CE'!AA:AA)-1.5)
*0.02
),
0.05
),
200%
),
"No"
)</f>
        <v>No</v>
      </c>
      <c r="P3" s="2" t="str">
        <f>_xlfn.XLOOKUP(B3,'Base stats'!B:B,'Base stats'!R:R)</f>
        <v>Standard</v>
      </c>
      <c r="Q3" s="13">
        <f>MROUND((LOG10(_xlfn.XLOOKUP(B3,'Base stats'!B:B,'Base stats'!AR:AR))*(AO3^0.5)+(_xlfn.XLOOKUP(B3,'Base stats'!B:B,'Base stats'!AR:AR)/1000)^(2/3)+_xlfn.XLOOKUP(B3,'Base stats'!B:B,'Base stats'!BA:BA)/2)+0.5,0.5)</f>
        <v>12</v>
      </c>
      <c r="R3" s="7">
        <f>IF(Q3="No","No",MAX(1,MROUND(_xlfn.XLOOKUP(B3,'Base stats'!B:B,'Base stats'!C:C)^0.165,0.05)))</f>
        <v>2.5</v>
      </c>
      <c r="S3" s="13" t="str">
        <f>IF(_xlfn.XLOOKUP(_xlfn.XLOOKUP(B3,'Base stats'!B:B,'Base stats'!E:E),Groups!A:A,Groups!P:P)=0,"No",MROUND((LOG10(_xlfn.XLOOKUP(B3,'Base stats'!B:B,'Base stats'!AS:AS))*(AO3^0.5)+(_xlfn.XLOOKUP(B3,'Base stats'!B:B,'Base stats'!AS:AS)/1000)^(2/3)+_xlfn.XLOOKUP(B3,'Base stats'!B:B,'Base stats'!BA:BA))+_xlfn.XLOOKUP(B3,'Base stats'!B:B,'Base stats'!AY:AY)+0.5,0.5))</f>
        <v>No</v>
      </c>
      <c r="T3" s="7" t="str">
        <f>IF(S3="No","No",MAX(_xlfn.XLOOKUP(_xlfn.XLOOKUP(B3,'Base stats'!B:B,'Base stats'!E:E),Groups!A:A,Groups!Q:Q),MROUND(_xlfn.XLOOKUP(_xlfn.XLOOKUP(B3,'Base stats'!B:B,'Base stats'!E:E),Groups!A:A,Groups!Q:Q)*_xlfn.XLOOKUP(B3,'Base stats'!B:B,'Base stats'!C:C)^0.165,0.05)))</f>
        <v>No</v>
      </c>
      <c r="U3" s="7" t="str">
        <f>IF(S3="No","No",_xlfn.XLOOKUP(_xlfn.XLOOKUP(B3,'Base stats'!B:B,'Base stats'!E:E),Groups!A:A,Groups!R:R))</f>
        <v>No</v>
      </c>
      <c r="V3" s="7" t="str">
        <f>IF(S3="No","No",_xlfn.XLOOKUP(_xlfn.XLOOKUP(B3,'Base stats'!B:B,'Base stats'!E:E),Groups!A:A,Groups!S:S))</f>
        <v>No</v>
      </c>
      <c r="W3" s="7" t="str">
        <f>IF(S3="No","No",_xlfn.XLOOKUP(_xlfn.XLOOKUP(B3,'Base stats'!B:B,'Base stats'!E:E),Groups!A:A,Groups!T:T))</f>
        <v>No</v>
      </c>
      <c r="X3" s="13" t="str">
        <f>IF(_xlfn.XLOOKUP(B3,'Base stats'!B:B,'Base stats'!W:W)="No","No",MROUND((LOG10(_xlfn.XLOOKUP(B3,'Base stats'!B:B,'Base stats'!AU:AU))*(AO3^0.5)+(_xlfn.XLOOKUP(B3,'Base stats'!B:B,'Base stats'!AU:AU)/1000)^(2/3)+_xlfn.XLOOKUP(B3,'Base stats'!B:B,'Base stats'!AZ:AZ))+0.5+IF(_xlfn.XLOOKUP(_xlfn.XLOOKUP(B3,'Base stats'!B:B,'Base stats'!E:E),Groups!A:A,Groups!U:U)&lt;&gt;3,_xlfn.XLOOKUP(B3,'Base stats'!B:B,'Base stats'!BA:BA),0),0.5))</f>
        <v>No</v>
      </c>
      <c r="Y3" s="7" t="str">
        <f>IF(X3="No","No",MAX(_xlfn.XLOOKUP(_xlfn.XLOOKUP(B3,'Base stats'!B:B,'Base stats'!E:E),Groups!A:A,Groups!V:V),MROUND(_xlfn.XLOOKUP(_xlfn.XLOOKUP(B3,'Base stats'!B:B,'Base stats'!E:E),Groups!A:A,Groups!V:V)*_xlfn.XLOOKUP(B3,'Base stats'!B:B,'Base stats'!C:C)^0.165,0.05)))</f>
        <v>No</v>
      </c>
      <c r="Z3" s="7" t="str">
        <f>IF(X3="No","No",_xlfn.XLOOKUP(_xlfn.XLOOKUP(B3,'Base stats'!B:B,'Base stats'!E:E),Groups!A:A,Groups!W:W))</f>
        <v>No</v>
      </c>
      <c r="AA3" s="7" t="str">
        <f>IF(X3="No","No",_xlfn.XLOOKUP(_xlfn.XLOOKUP(B3,'Base stats'!B:B,'Base stats'!E:E),Groups!A:A,Groups!X:X))</f>
        <v>No</v>
      </c>
      <c r="AB3" s="7" t="str">
        <f>IF(X3="No","No",_xlfn.XLOOKUP(_xlfn.XLOOKUP(B3,'Base stats'!B:B,'Base stats'!E:E),Groups!A:A,Groups!Y:Y))</f>
        <v>No</v>
      </c>
      <c r="AC3" s="7" t="str">
        <f>_xlfn.XLOOKUP(Animals!B3,'Base stats'!B:B,'Base stats'!X:X)</f>
        <v>False</v>
      </c>
      <c r="AD3" s="13">
        <f>IF(_xlfn.XLOOKUP(B3,'Base stats'!B:B,'Base stats'!AT:AT)="No","No",MROUND((LOG10(_xlfn.XLOOKUP(B3,'Base stats'!B:B,'Base stats'!AT:AT))*(AO3^0.75)+(_xlfn.XLOOKUP(B3,'Base stats'!B:B,'Base stats'!AT:AT)/1000)^(2/3)+_xlfn.XLOOKUP(B3,'Base stats'!B:B,'Base stats'!AX:AX)+_xlfn.XLOOKUP(B3,'Base stats'!B:B,'Base stats'!BA:BA))+0.5,0.5))</f>
        <v>19</v>
      </c>
      <c r="AE3" s="7">
        <f>IF(AD3="No","No",MAX(_xlfn.XLOOKUP(_xlfn.XLOOKUP(B3,'Base stats'!B:B,'Base stats'!E:E),Groups!A:A,Groups!Z:Z),MROUND(_xlfn.XLOOKUP(_xlfn.XLOOKUP(B3,'Base stats'!B:B,'Base stats'!E:E),Groups!A:A,Groups!Z:Z)*_xlfn.XLOOKUP(B3,'Base stats'!B:B,'Base stats'!C:C)^0.165,0.05)))</f>
        <v>2.1</v>
      </c>
      <c r="AF3" s="7" t="str">
        <f>IF(AD3="No","No",_xlfn.XLOOKUP(_xlfn.XLOOKUP(B3,'Base stats'!B:B,'Base stats'!E:E),Groups!A:A,Groups!AA:AA))</f>
        <v>Teeth</v>
      </c>
      <c r="AG3" s="7" t="str">
        <f>IF(AD3="No","No",_xlfn.XLOOKUP(_xlfn.XLOOKUP(B3,'Base stats'!B:B,'Base stats'!E:E),Groups!A:A,Groups!AB:AB))</f>
        <v>canines</v>
      </c>
      <c r="AH3" s="7" t="str">
        <f>IF(AD3="No","No",_xlfn.XLOOKUP(_xlfn.XLOOKUP(B3,'Base stats'!B:B,'Base stats'!E:E),Groups!A:A,Groups!AC:AC))</f>
        <v>Bite</v>
      </c>
      <c r="AI3" s="13">
        <f>IF(_xlfn.XLOOKUP(_xlfn.XLOOKUP(B3,'Base stats'!B:B,'Base stats'!E:E),Groups!A:A,Groups!AD:AD)=0,"No",MROUND((LOG10(_xlfn.XLOOKUP(B3,'Base stats'!B:B,'Base stats'!AS:AS))*(AO3^0.75)+(_xlfn.XLOOKUP(B3,'Base stats'!B:B,'Base stats'!AS:AS)/1000)^(2/3)+_xlfn.XLOOKUP(B3,'Base stats'!B:B,'Base stats'!AY:AY)+_xlfn.XLOOKUP(B3,'Base stats'!B:B,'Base stats'!BA:BA))+0.5,0.5))</f>
        <v>18.5</v>
      </c>
      <c r="AJ3" s="7">
        <f>IF(AI3="No","No",MAX(_xlfn.XLOOKUP(_xlfn.XLOOKUP(B3,'Base stats'!B:B,'Base stats'!E:E),Groups!A:A,Groups!AE:AE),MROUND(_xlfn.XLOOKUP(_xlfn.XLOOKUP(B3,'Base stats'!B:B,'Base stats'!E:E),Groups!A:A,Groups!AE:AE)*IF(_xlfn.XLOOKUP(_xlfn.XLOOKUP(B3,'Base stats'!B:B,'Base stats'!E:E),Groups!A:A,Groups!AJ:AJ)="Photonozoa",0.6,1)*_xlfn.XLOOKUP(B3,'Base stats'!B:B,'Base stats'!C:C)^0.165,0.05)))</f>
        <v>1.6</v>
      </c>
      <c r="AK3" s="7" t="str">
        <f>IF(AI3="No","No",_xlfn.XLOOKUP(_xlfn.XLOOKUP(B3,'Base stats'!B:B,'Base stats'!E:E),Groups!A:A,Groups!AF:AF))</f>
        <v>FrontLeftPaw, FrontRightPaw</v>
      </c>
      <c r="AL3" s="7" t="str">
        <f>IF(AI3="No","No",_xlfn.XLOOKUP(_xlfn.XLOOKUP(B3,'Base stats'!B:B,'Base stats'!E:E),Groups!A:A,Groups!AG:AG))</f>
        <v>left claw, right claw</v>
      </c>
      <c r="AM3" s="7" t="str">
        <f>IF(AI3="No","No",_xlfn.XLOOKUP(_xlfn.XLOOKUP(B3,'Base stats'!B:B,'Base stats'!E:E),Groups!A:A,Groups!AH:AH))</f>
        <v>Scratch</v>
      </c>
      <c r="AN3" s="2">
        <f t="shared" ref="AN3:AN66" si="0">IF(BJ3="false","No",MROUND(AO3*5+15*1,5))</f>
        <v>25</v>
      </c>
      <c r="AO3" s="2">
        <f>MROUND(IF(AND(_xlfn.XLOOKUP(B3,'Base stats'!B:B,'Base stats'!C:C)&gt;=0.5,_xlfn.XLOOKUP(B3,'Base stats'!B:B,'Base stats'!C:C)&lt;=0.8),
IF(_xlfn.XLOOKUP(B3,'Base stats'!B:B,'Base stats'!C:C)&lt;0.1,0.05,IF(_xlfn.XLOOKUP(B3,'Base stats'!B:B,'Base stats'!C:C)&lt;=70,(_xlfn.XLOOKUP(B3,'Base stats'!B:B,'Base stats'!C:C)/70)^0.426489913056526,IF(_xlfn.XLOOKUP(B3,'Base stats'!B:B,'Base stats'!C:C)&lt;=400,(_xlfn.XLOOKUP(B3,'Base stats'!B:B,'Base stats'!C:C)/70)^0.572811455315093,IF(_xlfn.XLOOKUP(B3,'Base stats'!B:B,'Base stats'!C:C)&lt;=2000,2.71391647193063*(_xlfn.XLOOKUP(B3,'Base stats'!B:B,'Base stats'!C:C)/400)^0.252459582904293,3.74314280240376*(_xlfn.XLOOKUP(B3,'Base stats'!B:B,'Base stats'!C:C)/2000)^0.357012633876913)))),
IF(_xlfn.XLOOKUP(B3,'Base stats'!B:B,'Base stats'!C:C)&lt;0.1,0.05,IF(_xlfn.XLOOKUP(B3,'Base stats'!B:B,'Base stats'!C:C)&lt;0.4,0.1,IF(_xlfn.XLOOKUP(B3,'Base stats'!B:B,'Base stats'!C:C)&lt;=70,(_xlfn.XLOOKUP(B3,'Base stats'!B:B,'Base stats'!C:C)/70)^0.445823913056526,IF(_xlfn.XLOOKUP(B3,'Base stats'!B:B,'Base stats'!C:C)&lt;=400,(_xlfn.XLOOKUP(B3,'Base stats'!B:B,'Base stats'!C:C)/70)^0.572811455315093,IF(_xlfn.XLOOKUP(B3,'Base stats'!B:B,'Base stats'!C:C)&lt;=2000,2.71391647193063*(_xlfn.XLOOKUP(B3,'Base stats'!B:B,'Base stats'!C:C)/400)^0.252459582904293,3.74314280240376*(_xlfn.XLOOKUP(B3,'Base stats'!B:B,'Base stats'!C:C)/2000)^0.357012633876913)))))),
IF(_xlfn.XLOOKUP(B3,'Base stats'!B:B,'Base stats'!C:C)&lt;0.1,0.05,IF(_xlfn.XLOOKUP(B3,'Base stats'!B:B,'Base stats'!C:C)&lt;=100,0.05,IF(_xlfn.XLOOKUP(B3,'Base stats'!B:B,'Base stats'!C:C)&lt;=250,0.1,IF(_xlfn.XLOOKUP(B3,'Base stats'!B:B,'Base stats'!C:C)&lt;=4000,0.25,0.5)))))</f>
        <v>2</v>
      </c>
      <c r="AP3" s="8">
        <f>MROUND(AO3*_xlfn.XLOOKUP(_xlfn.XLOOKUP(B3,'Base stats'!B:B,'Base stats'!E:E),Groups!A:A,Groups!AI:AI)*_xlfn.XLOOKUP(B3,'Base stats'!B:B,'Base stats'!Z:Z),0.05)</f>
        <v>2.4000000000000004</v>
      </c>
      <c r="AQ3" s="8">
        <f>MAX(0.01,MROUND(IF(CC3="True",0.196*(AO3*100*1000)^0.889,IF(_xlfn.XLOOKUP(_xlfn.XLOOKUP(B3,'Base stats'!B:B,'Base stats'!E:E),Groups!A:A,Groups!AJ:AJ)="Bird",10.5*(AO3*100*1000)^0.681,4.82*(AO3*100*1000)^0.734))/(4.82*(1*100*1000)^0.734)/IF(AO3&lt;3.5,2,IF(AO3=3.5,1.5,1.25))*(1+0.132282374779864/(AO3^0.994035016789033+0.00905238001496948)),0.05))</f>
        <v>0.9</v>
      </c>
      <c r="AR3" s="9">
        <f>IFERROR(MROUND(_xlfn.XLOOKUP(B3,'Base stats'!B:B,'Base stats'!H:H)/IF(_xlfn.XLOOKUP(B3,'Base stats'!B:B,'Base stats'!I:I)&lt;&gt;1,(122.5/70),1.2),IF(_xlfn.XLOOKUP(B3,'Base stats'!B:B,'Base stats'!H:H)&gt;=30,5,IF(_xlfn.XLOOKUP(B3,'Base stats'!B:B,'Base stats'!H:H)&gt;=15,3,IF(_xlfn.XLOOKUP(B3,'Base stats'!B:B,'Base stats'!H:H)&gt;=10,2,1)))),"Immortal")</f>
        <v>25</v>
      </c>
      <c r="AS3" s="35">
        <f>IFERROR(IF(OR(_xlfn.XLOOKUP(B3,'Base stats'!B:B,'Base stats'!F:F)="Atypical reproduction",_xlfn.XLOOKUP(B3,'Base stats'!B:B,'Base stats'!F:F)="Lay eggs"),"Lay eggs",MIN(20,MAX(5.5,ROUND(((_xlfn.XLOOKUP(B3,'Base stats'!B:B,'Base stats'!F:F)-25)*(14.5/615) + 5.5)*2,0)/2))),"Unknown")</f>
        <v>7.5</v>
      </c>
      <c r="AT3" s="8">
        <f>IF(_xlfn.XLOOKUP(B3,'Base stats'!B:B,'Base stats'!G:G)="Atypical reproduction","No",IFERROR(MAX(IF(_xlfn.XLOOKUP(B3,'Base stats'!B:B,'Base stats'!G:G)&lt;0.5,0.2,0.3),MROUND(_xlfn.XLOOKUP(B3,'Base stats'!B:B,'Base stats'!G:G)/(365/60),0.2)),"Unknown"))</f>
        <v>0.60000000000000009</v>
      </c>
      <c r="AU3" s="8">
        <f t="shared" ref="AU3:AU66" si="1">IF(AT3="No","No",IFERROR(MROUND(AT3/2,0.05),"Unknown"))</f>
        <v>0.30000000000000004</v>
      </c>
      <c r="AV3" s="8">
        <f>IFERROR(IFERROR(MROUND(_xlfn.XLOOKUP(B3,'Base stats'!B:B,'Base stats'!J:J),0.1),"Lay eggs"),"Cannot breed")</f>
        <v>2</v>
      </c>
      <c r="AW3" s="2" t="str">
        <f t="shared" ref="AW3:AW66" si="2">IF(BT3="No","false","true")</f>
        <v>false</v>
      </c>
      <c r="AX3" s="2" t="str">
        <f>IF(_xlfn.XLOOKUP(_xlfn.XLOOKUP(Animals!B3,'Base stats'!B:B,'Base stats'!E:E),Groups!A:A,Groups!AK:AK)=1,"true","false")</f>
        <v>false</v>
      </c>
      <c r="AY3" s="25" t="str">
        <f>IF(_xlfn.XLOOKUP(B3,'Base stats'!B:B,'Base stats'!Y:Y)="Liquor","Liquor, CarnivoreAnimalStrict",IF(AND(_xlfn.XLOOKUP(B3,'Base stats'!B:B,'Base stats'!Y:Y)="Carnivore",_xlfn.XLOOKUP(_xlfn.XLOOKUP(B3,'Base stats'!B:B,'Base stats'!E:E),Groups!A:A,Groups!AJ:AJ)="Photonozoa"),"CarnivoreAnimalStrict, OvivoreAnimal",IF(_xlfn.XLOOKUP(B3,'Base stats'!B:B,'Base stats'!Y:Y)="Carnivore","CarnivoreAnimal, OvivoreAnimal",IF(_xlfn.XLOOKUP(B3,'Base stats'!B:B,'Base stats'!Y:Y)="Dendrovore","VegetarianRoughAnimal, DendrovoreAnimal",IF(_xlfn.XLOOKUP(B3,'Base stats'!B:B,'Base stats'!Y:Y)="Herbivore","VegetarianRoughAnimal",IF(_xlfn.XLOOKUP(B3,'Base stats'!B:B,'Base stats'!Y:Y)="OmnivoreRough","OmnivoreRoughAnimal, OvivoreAnimal","OmnivoreAnimal, OvivoreAnimal"))))))</f>
        <v>OmnivoreAnimal, OvivoreAnimal</v>
      </c>
      <c r="AZ3" s="2" t="str">
        <f>IF(_xlfn.XLOOKUP(_xlfn.XLOOKUP(B3,'Base stats'!B:B,'Base stats'!E:E),Groups!A:A,Groups!D:D)=1,MROUND((1-J3)*5+1,2)*IF(J3&lt;=0.4,2,1),"No")</f>
        <v>No</v>
      </c>
      <c r="BA3" s="2" t="str">
        <f>IF(AND(_xlfn.XLOOKUP(B3,'Base stats'!B:B,'Base stats'!AH:AH)="&lt;li&gt;Seal&lt;/li&gt;",G3="Odyssey"),"&lt;li&gt;AEXP_Seal&lt;/li&gt;",_xlfn.XLOOKUP(B3,'Base stats'!B:B,'Base stats'!AH:AH))</f>
        <v>No</v>
      </c>
      <c r="BB3" s="2" t="str">
        <f>_xlfn.XLOOKUP(B3,'Base stats'!B:B,'Base stats'!AG:AG)</f>
        <v>Leather_Bear</v>
      </c>
      <c r="BC3" s="23" t="str">
        <f>_xlfn.XLOOKUP(_xlfn.XLOOKUP(B3,'Base stats'!B:B,'Base stats'!E:E),Groups!A:A,Groups!AL:AL)</f>
        <v>QuadrupedAnimalWithPaws</v>
      </c>
      <c r="BD3" s="23">
        <f>MIN(1,MROUND(IF(AND(AO3&lt;0.5,_xlfn.XLOOKUP(B3,'Base stats'!B:B,'Base stats'!AA:AA)=0),0,IF(OR(_xlfn.XLOOKUP(Animals!B3,'Base stats'!B:B,'Base stats'!O:O)=2,_xlfn.XLOOKUP(_xlfn.XLOOKUP(B3,'Base stats'!B:B,'Base stats'!E:E),Groups!A:A,Groups!AN:AN)=0),0,_xlfn.XLOOKUP(_xlfn.XLOOKUP(B3,'Base stats'!B:B,'Base stats'!E:E),Groups!A:A,Groups!AN:AN)/IF(_xlfn.XLOOKUP(Animals!B3,'Base stats'!B:B,'Base stats'!O:O)=1,2,1)))+_xlfn.XLOOKUP(B3,'Base stats'!B:B,'Base stats'!AC:AC),0.005))</f>
        <v>0.1</v>
      </c>
      <c r="BE3" s="23">
        <f>MIN(1,MROUND(IF(AND(AO3&lt;0.5,_xlfn.XLOOKUP(B3,'Base stats'!B:B,'Base stats'!AA:AA)=0),0,IF(_xlfn.XLOOKUP(_xlfn.XLOOKUP(B3,'Base stats'!B:B,'Base stats'!E:E),Groups!A:A,Groups!AO:AO)=0,0,_xlfn.XLOOKUP(_xlfn.XLOOKUP(B3,'Base stats'!B:B,'Base stats'!E:E),Groups!A:A,Groups!AO:AO)/IF(_xlfn.XLOOKUP(Animals!B3,'Base stats'!B:B,'Base stats'!O:O)=2,3,1)))+_xlfn.XLOOKUP(B3,'Base stats'!B:B,'Base stats'!AD:AD),0.005))</f>
        <v>0.3</v>
      </c>
      <c r="BF3" s="2" t="str">
        <f>IF(J3&gt;0.3,"No",_xlfn.XLOOKUP(_xlfn.XLOOKUP(Animals!B3,'Base stats'!B:B,'Base stats'!E:E),Groups!A:A,Groups!AP:AP))</f>
        <v>No</v>
      </c>
      <c r="BG3" s="2" t="str">
        <f>IF(AND(J3&lt;=0.65,_xlfn.XLOOKUP(_xlfn.XLOOKUP(Animals!B3,'Base stats'!B:B,'Base stats'!E:E),Groups!A:A,Groups!AP:AP)&lt;&gt;"No",_xlfn.XLOOKUP(_xlfn.XLOOKUP(B3,'Base stats'!B:B,'Base stats'!E:E),Groups!A:A,Groups!D:D)=0),MROUND((80/3)*IF(_xlfn.XLOOKUP(B3,'Base stats'!B:B,'Base stats'!O:O)=2,0.2,AO3) + 24*(1-IF(BF3="No",0,BF3)) + 16/3, 12),"No")</f>
        <v>No</v>
      </c>
      <c r="BH3" s="2">
        <f>IF(AND(_xlfn.XLOOKUP(_xlfn.XLOOKUP(B3,'Base stats'!B:B,'Base stats'!E:E),Groups!A:A,Groups!AQ:AQ)=1,AO3&lt;=0.35),8,12)</f>
        <v>12</v>
      </c>
      <c r="BI3" s="2" t="str">
        <f>IF(_xlfn.XLOOKUP(_xlfn.XLOOKUP(B3,'Base stats'!B:B,'Base stats'!E:E),Groups!A:A,Groups!D:D)=0,_xlfn.XLOOKUP(_xlfn.XLOOKUP(B3,'Base stats'!B:B,'Base stats'!E:E),Groups!A:A,Groups!AR:AR),"None")</f>
        <v>Advanced</v>
      </c>
      <c r="BJ3" s="2" t="str">
        <f>IF(AND(_xlfn.XLOOKUP(_xlfn.XLOOKUP(B3,'Base stats'!B:B,'Base stats'!E:E),Groups!A:A,Groups!AS:AS)=1,OR(_xlfn.XLOOKUP(B3,'Base stats'!B:B,'Base stats'!Y:Y)="Carnivore",_xlfn.XLOOKUP(B3,'Base stats'!B:B,'Base stats'!Y:Y)="Omnivore")),"true","false")</f>
        <v>true</v>
      </c>
      <c r="BK3" s="2">
        <f>IF(BJ3="true",MROUND(IF(AND(AO3&gt;0.5,OR(_xlfn.XLOOKUP(_xlfn.XLOOKUP(B3,'Base stats'!B:B,'Base stats'!E:E),Groups!A:A,Groups!AJ:AJ)="Photonozoa",_xlfn.XLOOKUP(_xlfn.XLOOKUP(B3,'Base stats'!B:B,'Base stats'!E:E),Groups!A:A,Groups!AJ:AJ)="Mammal")),Animals!AO3*1.75*IF(AW3="true",1.5,1),IF(AO3&lt;0.5,Animals!AO3*0.5,Animals!AO3)),IF(AO3&gt;2,0.5,IF(AO3&gt;0.5,0.25,0.1))),"No")</f>
        <v>3.5</v>
      </c>
      <c r="BL3" s="2">
        <f t="shared" ref="BL3:BL66" si="3">IF(BI3&lt;&gt;"None",1,0)</f>
        <v>1</v>
      </c>
      <c r="BM3" s="25" t="str">
        <f>IF(_xlfn.XLOOKUP(B3,'Base stats'!B:B,'Base stats'!AN:AN)="Standard","No",MROUND((_xlfn.XLOOKUP(B3,'Base stats'!B:B,'Base stats'!AN:AN)/3.6)/I3,0.1))</f>
        <v>No</v>
      </c>
      <c r="BN3" s="25" t="str">
        <f t="shared" ref="BN3:BN66" si="4">IF(OR(BM3&lt;&gt;"No",BQ3=1),"true","false")</f>
        <v>false</v>
      </c>
      <c r="BO3" s="25" t="str">
        <f>IF(AND(OR(_xlfn.XLOOKUP(B3,'Base stats'!B:B,'Base stats'!Y:Y)="Carnivore",_xlfn.XLOOKUP(B3,'Base stats'!B:B,'Base stats'!Y:Y)="Omnivore",_xlfn.XLOOKUP(B3,'Base stats'!B:B,'Base stats'!Y:Y)="OmnivoreRough"),_xlfn.XLOOKUP(_xlfn.XLOOKUP(B3,'Base stats'!B:B,'Base stats'!E:E),Groups!A:A,Groups!AT:AT)=1),"true","false")</f>
        <v>true</v>
      </c>
      <c r="BP3" s="25" t="str" cm="1">
        <f t="array" ref="BP3">IF(
  _xlfn.TEXTJOIN(", ",TRUE,
    IF(AND(BJ3="true",AO3&gt;0.5,BI3&lt;&gt;"None"),"AttackTarget",""),
    IF(AND(_xlfn.XLOOKUP(_xlfn.XLOOKUP(B3,'Base stats'!B:B,'Base stats'!E:E),Groups!A:A,Groups!AJ:AJ="Mammal"),OR(_xlfn.XLOOKUP(B3,'Base stats'!B:B,'Base stats'!Y:Y)="Omnivore",_xlfn.XLOOKUP(B3,'Base stats'!B:B,'Base stats'!Y:Y)="OmnivoreRough")),"Forage",""),
    IF(BG3&lt;=36,"Comfort",""),
    IF(_xlfn.XLOOKUP(B3,'Base stats'!B:B,'Base stats'!AE:AE)&lt;&gt;"No",_xlfn.XLOOKUP(B3,'Base stats'!B:B,'Base stats'!AE:AE),"")
  ) = "",
  "No",
  _xlfn.TEXTJOIN(", ",TRUE,
    IF(AND(BJ3="true",AO3&gt;0.5,BI3&lt;&gt;"None"),"AttackTarget",""),
    IF(AND(_xlfn.XLOOKUP(_xlfn.XLOOKUP(B3,'Base stats'!B:B,'Base stats'!E:E),Groups!A:A,Groups!AJ:AJ="Mammal"),OR(_xlfn.XLOOKUP(B3,'Base stats'!B:B,'Base stats'!Y:Y)="Omnivore",_xlfn.XLOOKUP(B3,'Base stats'!B:B,'Base stats'!Y:Y)="OmnivoreRough")),"Forage",""),
    IF(BG3&lt;=36,"Comfort",""),
    IF(_xlfn.XLOOKUP(B3,'Base stats'!B:B,'Base stats'!AE:AE)&lt;&gt;"No",_xlfn.XLOOKUP(B3,'Base stats'!B:B,'Base stats'!AE:AE),"")
  )
)</f>
        <v>AttackTarget, Forage</v>
      </c>
      <c r="BQ3" s="25">
        <f>IF(
   AND(
      'Base stats'!AN3="Standard",_xlfn.XLOOKUP(_xlfn.XLOOKUP(B3,'Base stats'!B:B,'Base stats'!E:E),Groups!A:A,Groups!AU:AU)=0,
      OR(
      BO3="True"
      )
   ),
   10,
   IF(
       OR(BM3&lt;&gt;"No",_xlfn.XLOOKUP(_xlfn.XLOOKUP(B3,'Base stats'!B:B,'Base stats'!E:E),Groups!A:A,Groups!AU:AU)=1),
      1,
      "No"
   )
)</f>
        <v>10</v>
      </c>
      <c r="BR3" s="9">
        <f>MROUND((1 + ((0.2*IF(OR(Q3="No",R3="No",R3=0),0,Q3/R3)
+IF(OR(V3="No",S3="No",T3="No"),0,S3/T3*(LEN(V3)-LEN(SUBSTITUTE(V3,",",""))+1))
+IF(OR(X3="No",Y3="No"),0,X3/Y3)
+IF(OR(AD3="No",AE3="No"),0,AD3/AE3)
+IF(OR(AL3="No",AI3="No",AJ3="No"),0,AI3/AJ3*(LEN(AL3)-LEN(SUBSTITUTE(AL3,",",""))+1))
)/(0.2*IF(OR(Q3="No",R3="No",R3=0),0,1)
+IF(OR(V3="No",S3="No",T3="No"),0,LEN(V3)-LEN(SUBSTITUTE(V3,",",""))+1)
+IF(OR(X3="No",Y3="No"),0,1)
+IF(OR(AD3="No",AE3="No"),0,1)
+IF(OR(AL3="No",AI3="No",AJ3="No"),0,LEN(AL3)-LEN(SUBSTITUTE(AL3,",",""))+1))*62%)* 2)*(1 + (AP3 / (IF(_xlfn.XLOOKUP(_xlfn.XLOOKUP(B3,'Base stats'!B:B,'Base stats'!E:E),Groups!A:A,Groups!AJ:AJ)="Photonozoa",0.3,1)) + _xlfn.XLOOKUP(B3,'Base stats'!B:B,'Base stats'!AV:AV) * 1.8) * 2) * 2.5 + 10 + I3 * 2,5)+IF(_xlfn.XLOOKUP(B3,'Base stats'!B:B,'Base stats'!AK:AK)=1,50,0)</f>
        <v>225</v>
      </c>
      <c r="BS3" s="8">
        <f t="shared" ref="BS3:BS66" si="5">MROUND(AO3 * 0.2 + AQ3 * 0.8,0.05)</f>
        <v>1.1000000000000001</v>
      </c>
      <c r="BT3" s="8" t="str">
        <f>_xlfn.XLOOKUP(B3,'Base stats'!B:B,'Base stats'!AF:AF)</f>
        <v>No</v>
      </c>
      <c r="BU3" s="2" t="str">
        <f>IF(AND(J3&lt;=0.95,OR(_xlfn.XLOOKUP(B3,'Base stats'!B:B,'Base stats'!AK:AK)=1,_xlfn.XLOOKUP(B3,'Base stats'!B:B,'Base stats'!Y:Y)="Carnivore",_xlfn.XLOOKUP(B3,'Base stats'!B:B,'Base stats'!Y:Y)="Omnivore",BE3&gt;0.1)),"true","false")</f>
        <v>true</v>
      </c>
      <c r="BV3" s="2" t="str">
        <f>IF(_xlfn.XLOOKUP(B3,'Base stats'!B:B,'Base stats'!AI:AI)=1,"true","false")</f>
        <v>false</v>
      </c>
      <c r="BW3" s="25" t="str">
        <f>IF(E3="BaseInsect","AnimalInsect",
IF(J3&gt;0.95,"AnimalExotic",
_xlfn.TEXTJOIN(", ",TRUE,
IF(OR(_xlfn.XLOOKUP(B3,'Base stats'!B:B,'Base stats'!AM:AM)=1,AND(_xlfn.XLOOKUP(B3,'Base stats'!B:B,'Base stats'!O:O)=0,_xlfn.XLOOKUP(_xlfn.XLOOKUP(B3,'Base stats'!B:B,'Base stats'!E:E),Groups!A:A,Groups!B:B)&gt;0)),"AnimalUncommon","AnimalCommon"),
IF(AND(_xlfn.XLOOKUP(B3,'Base stats'!B:B,'Base stats'!O:O)=2,_xlfn.XLOOKUP(_xlfn.XLOOKUP(B3,'Base stats'!B:B,'Base stats'!E:E),Groups!A:A,Groups!D:D)=0),"AnimalPet",IF(AND(_xlfn.XLOOKUP(B3,'Base stats'!B:B,'Base stats'!O:O)&lt;&gt;0,_xlfn.XLOOKUP(_xlfn.XLOOKUP(B3,'Base stats'!B:B,'Base stats'!E:E),Groups!A:A,Groups!D:D)&lt;&gt;0),"AnimalFarm","")),
IF(OR(_xlfn.XLOOKUP(B3,'Base stats'!B:B,'Base stats'!AK:AK)=1,AND(BI3&lt;&gt;"None",BR3&gt;=60),ISNUMBER(SEARCH("Attack target",BP3))),"AnimalFighter","")
)))</f>
        <v>AnimalUncommon, AnimalFighter</v>
      </c>
      <c r="BX3" s="25" t="str">
        <f>IF(G3="None",TRIM(
SUBSTITUTE(
IF(COUNTIF(Biomes!B$2:B$259,"="&amp;$C3)&gt;0,Biomes!B$1&amp;", ","")&amp;
IF(COUNTIF(Biomes!C$2:C$259,"="&amp;$C3)&gt;0,Biomes!C$1&amp;", ","")&amp;
IF(COUNTIF(Biomes!D$2:D$259,"="&amp;$C3)&gt;0,Biomes!D$1&amp;", ","")&amp;
IF(COUNTIF(Biomes!F$2:F$259,"="&amp;$C3)&gt;0,Biomes!F$1&amp;", ","")&amp;
IF(COUNTIF(Biomes!G$2:G$259,"="&amp;$C3)&gt;0,Biomes!G$1&amp;", ","")&amp;
IF(COUNTIF(Biomes!H$2:H$259,"="&amp;$C3)&gt;0,Biomes!H$1&amp;", ","")&amp;
IF(COUNTIF(Biomes!I$2:I$259,"="&amp;$C3)&gt;0,Biomes!I$1&amp;", ","")&amp;
IF(COUNTIF(Biomes!J$2:J$259,"="&amp;$C3)&gt;0,Biomes!J$1&amp;", ","")&amp;
IF(COUNTIF(Biomes!M$2:M$259,"="&amp;$C3)&gt;0,Biomes!M$1&amp;", ","")&amp;
IF(COUNTIF(Biomes!N$2:N$259,"="&amp;$C3)&gt;0,Biomes!N$1&amp;", ","")&amp;
IF(COUNTIF(Biomes!O$2:O$259,"="&amp;$C3)&gt;0,Biomes!O$1&amp;", ","")&amp;
IF(COUNTIF(Biomes!P$2:P$259,"="&amp;$C3)&gt;0,Biomes!P$1&amp;", ","")&amp;
IF(COUNTIF(Biomes!K$2:K$259,"="&amp;$C3)&gt;0,Biomes!K$1&amp;", ","")&amp;
IF(COUNTIF(Biomes!Q$3:Q$259,"="&amp;$C3)&gt;0,Biomes!Q$1&amp;", ","")&amp;
IF(COUNTIF(Biomes!L$2:L$259,"="&amp;$C3)&gt;0,Biomes!L$1&amp;", ","")&amp;
IF(COUNTIF(Biomes!E$2:E$259,"="&amp;$C3)&gt;0,Biomes!E$1&amp;", ","")&amp;IF(COUNTIF(Biomes!S$2:S$259,"="&amp;$C3)&gt;0,Biomes!S$1&amp;", ","")&amp;
IF(COUNTIF(Biomes!R$2:R$259,"="&amp;$C3)&gt;0,Biomes!R$1&amp;", ",""),", ","")
),_xlfn.XLOOKUP(B3,B:B,BX:BX))</f>
        <v>BorealForest ColdBog TemperateForest TemperateSwamp GlacialPlain</v>
      </c>
      <c r="BY3" s="25" t="str">
        <f>IF(_xlfn.XLOOKUP(B3,'Base stats'!B:B,'Base stats'!AJ:AJ)=1,"true","false")</f>
        <v>false</v>
      </c>
      <c r="BZ3" s="25">
        <f>IF(_xlfn.XLOOKUP(B3,'Base stats'!B:B,'Base stats'!N:N)=1,"No",MAX(0.001,MIN(MROUND(IF(AND(BJ3="True",CC3="False"),POWER(10,3.47*LOG10(_xlfn.XLOOKUP(B3,'Base stats'!B:B,'Base stats'!C:C)*1000)^-0.96),POWER(10,4.15*LOG10(_xlfn.XLOOKUP(B3,'Base stats'!B:B,'Base stats'!C:C)*1000)^-0.73))*IF(_xlfn.XLOOKUP(B3,'Base stats'!B:B,'Base stats'!AK:AK)=1,0.5,1)*IF(_xlfn.XLOOKUP(B3,'Base stats'!B:B,'Base stats'!AM:AM)=1,0.1,1)/100,IF(_xlfn.XLOOKUP(B3,'Base stats'!B:B,'Base stats'!AM:AM)=1,0.001,0.025)),0.5)))</f>
        <v>0.05</v>
      </c>
      <c r="CA3" s="25" t="str">
        <f>IF(P3="Standard","No",MAX(0.001,MIN(MROUND(IF(AND(BJ3="True",CC3="False"),POWER(10,3.47*LOG10(_xlfn.XLOOKUP(B3,'Base stats'!B:B,'Base stats'!C:C)*1000)^-0.96),POWER(10,4.15*LOG10(_xlfn.XLOOKUP(B3,'Base stats'!B:B,'Base stats'!C:C)*1000)^-0.73))*IF(_xlfn.XLOOKUP(B3,'Base stats'!B:B,'Base stats'!AM:AM)=1,0.1,1)*_xlfn.XLOOKUP(B3,'Base stats'!B:B,'Base stats'!R:R)/100,IF(_xlfn.XLOOKUP(B3,'Base stats'!B:B,'Base stats'!AM:AM)=1,0.001,0.025)),0.5)))</f>
        <v>No</v>
      </c>
      <c r="CB3" s="25" t="str">
        <f>IF(_xlfn.XLOOKUP(_xlfn.XLOOKUP(B3,'Base stats'!B:B,'Base stats'!E:E),Groups!A:A,Groups!AJ:AJ)="Mammal","True","False")</f>
        <v>True</v>
      </c>
      <c r="CC3" s="25" t="str">
        <f>IF(OR(_xlfn.XLOOKUP(_xlfn.XLOOKUP(B3,'Base stats'!B:B,'Base stats'!E:E),Groups!A:A,Groups!AJ:AJ)="Reptile",_xlfn.XLOOKUP(_xlfn.XLOOKUP(B3,'Base stats'!B:B,'Base stats'!E:E),Groups!A:A,Groups!AJ:AJ)="Amphibian",_xlfn.XLOOKUP(_xlfn.XLOOKUP(B3,'Base stats'!B:B,'Base stats'!E:E),Groups!A:A,Groups!AJ:AJ)="Invertebrate"),"True","False")</f>
        <v>False</v>
      </c>
      <c r="CD3" s="25" t="str">
        <f t="shared" ref="CD3:CD66" si="6">IF(J3&gt;0.95,"True","False")</f>
        <v>False</v>
      </c>
      <c r="CE3" s="25" t="str">
        <f>IF(_xlfn.XLOOKUP(_xlfn.XLOOKUP(B3,'Base stats'!B:B,'Base stats'!E:E),Groups!A:A,Groups!AX:AX),"True","False")</f>
        <v>False</v>
      </c>
      <c r="CF3" s="25" t="str">
        <f>IF(_xlfn.XLOOKUP(_xlfn.XLOOKUP(B3,'Base stats'!B:B,'Base stats'!E:E),Groups!A:A,Groups!AY:AY),"True","False")</f>
        <v>False</v>
      </c>
      <c r="CG3" s="25" t="str">
        <f>IF(_xlfn.XLOOKUP(_xlfn.XLOOKUP(B3,'Base stats'!B:B,'Base stats'!E:E),Groups!A:A,Groups!AW:AW),"True","False")</f>
        <v>False</v>
      </c>
      <c r="CH3" s="25" t="str">
        <f>IF(
OR(
_xlfn.XLOOKUP(_xlfn.XLOOKUP(B3,'Base stats'!B:B,'Base stats'!E:E),Groups!A:A,Groups!AZ:AZ)=0,
AND(
_xlfn.XLOOKUP(B3,'Base stats'!B:B,'Base stats'!Y:Y)&lt;&gt;"Carnivore",
_xlfn.XLOOKUP(B3,'Base stats'!B:B,'Base stats'!Y:Y)&lt;&gt;"Omnivore",
_xlfn.XLOOKUP(B3,'Base stats'!B:B,'Base stats'!Y:Y)&lt;&gt;"OmnivoreRough"
)
),
"No",
IF(
_xlfn.XLOOKUP(_xlfn.XLOOKUP(B3,'Base stats'!B:B,'Base stats'!E:E),Groups!A:A,Groups!AZ:AZ)=1,
"Flesh",
IF(
_xlfn.XLOOKUP(_xlfn.XLOOKUP(B3,'Base stats'!B:B,'Base stats'!E:E),Groups!A:A,Groups!AZ:AZ)=2,
"Bone",
""
)
)
)</f>
        <v>Bone</v>
      </c>
      <c r="CI3" s="25" t="str">
        <f>IF(_xlfn.XLOOKUP(_xlfn.XLOOKUP(B3,'Base stats'!B:B,'Base stats'!E:E),Groups!A:A,Groups!BB:BB),"True","False")</f>
        <v>True</v>
      </c>
      <c r="CJ3" s="25" t="str">
        <f>IF(_xlfn.XLOOKUP(_xlfn.XLOOKUP(B3,'Base stats'!B:B,'Base stats'!E:E),Groups!A:A,Groups!BA:BA),"True","False")</f>
        <v>False</v>
      </c>
      <c r="CO3" s="16"/>
    </row>
    <row r="4" spans="1:93" ht="16.5" thickTop="1" thickBot="1" x14ac:dyDescent="0.3">
      <c r="A4" s="26" t="str">
        <f>_xlfn.XLOOKUP(B4,'Base stats'!B:B,'Base stats'!A:A)</f>
        <v>Raccoon</v>
      </c>
      <c r="B4" s="6" t="s">
        <v>178</v>
      </c>
      <c r="C4" s="28" t="s">
        <v>672</v>
      </c>
      <c r="D4" s="28" t="s">
        <v>45</v>
      </c>
      <c r="E4" s="28" t="s">
        <v>673</v>
      </c>
      <c r="F4" s="28" t="s">
        <v>673</v>
      </c>
      <c r="G4" s="28" t="s">
        <v>673</v>
      </c>
      <c r="H4" s="2">
        <f>MROUND((
  (IF(AND(_xlfn.XLOOKUP(B4,'Base stats'!B:B,'Base stats'!AL:AL)=0,BI4="None",_xlfn.XLOOKUP(_xlfn.XLOOKUP(B4,'Base stats'!B:B,'Base stats'!E:E),Groups!A:A,Groups!B:B)=0), (18 + BR4 * 2.7) * 0.5,
    IF(AND(_xlfn.XLOOKUP(B4,'Base stats'!B:B,'Base stats'!AL:AL)=0,OR(AO4&lt;0.55,AND(BI4="Intermediate",_xlfn.XLOOKUP(_xlfn.XLOOKUP(B4,'Base stats'!B:B,'Base stats'!E:E),Groups!A:A,Groups!B:B)&lt;2))), (18 + BR4 * 2.7),
      IF(OR(BI4="Advanced",_xlfn.XLOOKUP(B4,'Base stats'!B:B,'Base stats'!AL:AL)=1,_xlfn.XLOOKUP(_xlfn.XLOOKUP(B4,'Base stats'!B:B,'Base stats'!E:E),Groups!A:A,Groups!B:B)=2), (18 + BR4 * 2.7) + 250, (18 + BR4 * 2.7))
    )
  ))
  + AO4 * 80
  + IF(COUNTIF(EggMilk!K$2:K$998, A4) &gt; 0, 125, 0)
  + IF(COUNTIF(EggMilk!P$2:P$998, A4) &gt; 0, 90, 0)
  + IF(COUNTIF(EggMilk!A$2:A$998, A4) &gt; 0, 90, 0)
)
* (0.8 + 0.4 * J4)
* 0.75,25)</f>
        <v>125</v>
      </c>
      <c r="I4" s="2">
        <f>MROUND(ROUNDDOWN(_xlfn.XLOOKUP(B4,'Base stats'!B:B,'Base stats'!L:L)/3.6/(23.3/11),1),0.5)</f>
        <v>3</v>
      </c>
      <c r="J4" s="2">
        <f>IF(OR(_xlfn.XLOOKUP(B4,'Base stats'!B:B,'Base stats'!AB:AB)=1,_xlfn.XLOOKUP(_xlfn.XLOOKUP(B4,'Base stats'!B:B,'Base stats'!E:E),Groups!A:A,Groups!C:C)="Untamable"),1,IF(_xlfn.XLOOKUP(B4,'Base stats'!B:B,'Base stats'!AL:AL)=1,0.99,MIN(MROUND((1-0.6282*EXP(-0.459*AO4))*_xlfn.XLOOKUP(_xlfn.XLOOKUP(B4,'Base stats'!B:B,'Base stats'!E:E),Groups!A:A,Groups!C:C)*IF(_xlfn.XLOOKUP(B4,'Base stats'!B:B,'Base stats'!O:O)=1,0.5,IF(_xlfn.XLOOKUP(B4,'Base stats'!B:B,'Base stats'!O:O)=2,0,1)),0.05),IF(AO4&gt;3.5,0.985,0.95))))</f>
        <v>0.5</v>
      </c>
      <c r="K4" s="2">
        <f>ROUNDUP(AO4*_xlfn.XLOOKUP(_xlfn.XLOOKUP(B4,'Base stats'!B:B,'Base stats'!E:E),Groups!A:A,Groups!E:E),0)</f>
        <v>1</v>
      </c>
      <c r="L4" s="2">
        <f>IF(OR(_xlfn.XLOOKUP(_xlfn.XLOOKUP(B4,'Base stats'!B:B,'Base stats'!E:E),Groups!A:A,Groups!F:F)=2,ISNUMBER(SEARCH("SeaIce",BX4)),ISNUMBER(SEARCH("IceSheet",BX4))),-50,IF(OR(ISNUMBER(SEARCH("GlacialPlain",BX4)),ISNUMBER(SEARCH("Tundra",BX4))),-40,IF(OR(ISNUMBER(SEARCH("Alpine",BX4)),ISNUMBER(SEARCH("BorealForest",BX4)),ISNUMBER(SEARCH("ColdBog",BX4))),-30,IF(OR(ISNUMBER(SEARCH("TemperateForest",BX4)),ISNUMBER(SEARCH("TemperateSwamp",BX4))),-20,IF(_xlfn.XLOOKUP(_xlfn.XLOOKUP(B4,'Base stats'!B:B,'Base stats'!E:E),Groups!A:A,Groups!F:F)=1,-15,IF(OR(ISNUMBER(SEARCH("Desert",BX4)),ISNUMBER(SEARCH("ExtremeDesert",BX4))),-10,IF(OR(ISNUMBER(SEARCH("Grasslands",BX4)),ISNUMBER(SEARCH("TropicalRainforest",BX4)),ISNUMBER(SEARCH("TropicalSwamp",BX4))),10,0)))))))-IF(CC4="False",MIN(IFERROR(MAX(MROUND(LOG10(_xlfn.XLOOKUP(B4,'Base stats'!B:B,'Base stats'!C:C)^(2/3))*10,5),5),5),30))-_xlfn.XLOOKUP(B4,'Base stats'!B:B,'Base stats'!P:P)+IF(CC4="True",5,0)</f>
        <v>-45</v>
      </c>
      <c r="M4" s="2">
        <f>IF(OR(_xlfn.XLOOKUP(_xlfn.XLOOKUP(B4,'Base stats'!B:B,'Base stats'!E:E),Groups!A:A,Groups!G:G)=2,ISNUMBER(SEARCH("Desert",BX4)),ISNUMBER(SEARCH("ExtremeDesert",BX4)),ISNUMBER(SEARCH("LavaField",BX4))),50,IF(ISNUMBER(SEARCH("Grasslands",BX4)),45,IF(OR(_xlfn.XLOOKUP(_xlfn.XLOOKUP(B4,'Base stats'!B:B,'Base stats'!E:E),Groups!A:A,Groups!G:G)=1,ISNUMBER(SEARCH("TropicalRainforest",BX4)),ISNUMBER(SEARCH("TropicalSwamp",BX4))),40,IF(OR(ISNUMBER(SEARCH("TemperateForest",BX4)),ISNUMBER(SEARCH("TemperateSwamp",BX4))),35,IF(OR(ISNUMBER(SEARCH("Alpine",BX4)),ISNUMBER(SEARCH("BorealForest",BX4)),ISNUMBER(SEARCH("ColdBog",BX4))),30,IF(ISNUMBER(OR(ISNUMBER(SEARCH("GlacialPlain",BX4)),SEARCH("Tundra",BX4))),25,IF(OR(ISNUMBER(SEARCH("SeaIce",BX4)),ISNUMBER(SEARCH("IceSheet",BX4)),ISNUMBER(SEARCH("TropicalSwamp",BX4))),10,35)))))))+_xlfn.XLOOKUP(B4,'Base stats'!B:B,'Base stats'!Q:Q)</f>
        <v>35</v>
      </c>
      <c r="N4" s="8" t="str">
        <f>IF(
_xlfn.XLOOKUP(
_xlfn.XLOOKUP(B4,'Base stats'!B:B,'Base stats'!E:E),
Groups!A:A,
Groups!L:L
)=1,
MIN(
MROUND(
IF(
_xlfn.XLOOKUP(B4,'Animals CE'!B:B,'Animals CE'!Z:Z)&lt;=1.5,
_xlfn.XLOOKUP(B4,'Animals CE'!B:B,'Animals CE'!Z:Z)/2+0.05,
0.8+
(_xlfn.XLOOKUP(B4,'Animals CE'!B:B,'Animals CE'!Z:Z)-1.5)
*0.02
),
0.05
),
200%
),
"No"
)</f>
        <v>No</v>
      </c>
      <c r="O4" s="8" t="str">
        <f>IF(
_xlfn.XLOOKUP(
_xlfn.XLOOKUP(B4,'Base stats'!B:B,'Base stats'!E:E),
Groups!A:A,
Groups!L:L
)=1,
MIN(
MROUND(
IF(
_xlfn.XLOOKUP(B4,'Animals CE'!B:B,'Animals CE'!AA:AA)&lt;=1.5,
_xlfn.XLOOKUP(B4,'Animals CE'!B:B,'Animals CE'!AA:AA)/2+0.05,
0.8+
(_xlfn.XLOOKUP(B4,'Animals CE'!B:B,'Animals CE'!AA:AA)-1.5)
*0.02
),
0.05
),
200%
),
"No"
)</f>
        <v>No</v>
      </c>
      <c r="P4" s="2">
        <f>_xlfn.XLOOKUP(B4,'Base stats'!B:B,'Base stats'!R:R)</f>
        <v>0.8</v>
      </c>
      <c r="Q4" s="13">
        <f>MROUND((LOG10(_xlfn.XLOOKUP(B4,'Base stats'!B:B,'Base stats'!AR:AR))*(AO4^0.5)+(_xlfn.XLOOKUP(B4,'Base stats'!B:B,'Base stats'!AR:AR)/1000)^(2/3)+_xlfn.XLOOKUP(B4,'Base stats'!B:B,'Base stats'!BA:BA)/2)+0.5,0.5)</f>
        <v>3</v>
      </c>
      <c r="R4" s="7">
        <f>IF(Q4="No","No",MAX(1,MROUND(_xlfn.XLOOKUP(B4,'Base stats'!B:B,'Base stats'!C:C)^0.165,0.05)))</f>
        <v>1.35</v>
      </c>
      <c r="S4" s="13" t="str">
        <f>IF(_xlfn.XLOOKUP(_xlfn.XLOOKUP(B4,'Base stats'!B:B,'Base stats'!E:E),Groups!A:A,Groups!P:P)=0,"No",MROUND((LOG10(_xlfn.XLOOKUP(B4,'Base stats'!B:B,'Base stats'!AS:AS))*(AO4^0.5)+(_xlfn.XLOOKUP(B4,'Base stats'!B:B,'Base stats'!AS:AS)/1000)^(2/3)+_xlfn.XLOOKUP(B4,'Base stats'!B:B,'Base stats'!BA:BA))+_xlfn.XLOOKUP(B4,'Base stats'!B:B,'Base stats'!AY:AY)+0.5,0.5))</f>
        <v>No</v>
      </c>
      <c r="T4" s="7" t="str">
        <f>IF(S4="No","No",MAX(_xlfn.XLOOKUP(_xlfn.XLOOKUP(B4,'Base stats'!B:B,'Base stats'!E:E),Groups!A:A,Groups!Q:Q),MROUND(_xlfn.XLOOKUP(_xlfn.XLOOKUP(B4,'Base stats'!B:B,'Base stats'!E:E),Groups!A:A,Groups!Q:Q)*_xlfn.XLOOKUP(B4,'Base stats'!B:B,'Base stats'!C:C)^0.165,0.05)))</f>
        <v>No</v>
      </c>
      <c r="U4" s="7" t="str">
        <f>IF(S4="No","No",_xlfn.XLOOKUP(_xlfn.XLOOKUP(B4,'Base stats'!B:B,'Base stats'!E:E),Groups!A:A,Groups!R:R))</f>
        <v>No</v>
      </c>
      <c r="V4" s="7" t="str">
        <f>IF(S4="No","No",_xlfn.XLOOKUP(_xlfn.XLOOKUP(B4,'Base stats'!B:B,'Base stats'!E:E),Groups!A:A,Groups!S:S))</f>
        <v>No</v>
      </c>
      <c r="W4" s="7" t="str">
        <f>IF(S4="No","No",_xlfn.XLOOKUP(_xlfn.XLOOKUP(B4,'Base stats'!B:B,'Base stats'!E:E),Groups!A:A,Groups!T:T))</f>
        <v>No</v>
      </c>
      <c r="X4" s="13" t="str">
        <f>IF(_xlfn.XLOOKUP(B4,'Base stats'!B:B,'Base stats'!W:W)="No","No",MROUND((LOG10(_xlfn.XLOOKUP(B4,'Base stats'!B:B,'Base stats'!AU:AU))*(AO4^0.5)+(_xlfn.XLOOKUP(B4,'Base stats'!B:B,'Base stats'!AU:AU)/1000)^(2/3)+_xlfn.XLOOKUP(B4,'Base stats'!B:B,'Base stats'!AZ:AZ))+0.5+IF(_xlfn.XLOOKUP(_xlfn.XLOOKUP(B4,'Base stats'!B:B,'Base stats'!E:E),Groups!A:A,Groups!U:U)&lt;&gt;3,_xlfn.XLOOKUP(B4,'Base stats'!B:B,'Base stats'!BA:BA),0),0.5))</f>
        <v>No</v>
      </c>
      <c r="Y4" s="7" t="str">
        <f>IF(X4="No","No",MAX(_xlfn.XLOOKUP(_xlfn.XLOOKUP(B4,'Base stats'!B:B,'Base stats'!E:E),Groups!A:A,Groups!V:V),MROUND(_xlfn.XLOOKUP(_xlfn.XLOOKUP(B4,'Base stats'!B:B,'Base stats'!E:E),Groups!A:A,Groups!V:V)*_xlfn.XLOOKUP(B4,'Base stats'!B:B,'Base stats'!C:C)^0.165,0.05)))</f>
        <v>No</v>
      </c>
      <c r="Z4" s="7" t="str">
        <f>IF(X4="No","No",_xlfn.XLOOKUP(_xlfn.XLOOKUP(B4,'Base stats'!B:B,'Base stats'!E:E),Groups!A:A,Groups!W:W))</f>
        <v>No</v>
      </c>
      <c r="AA4" s="7" t="str">
        <f>IF(X4="No","No",_xlfn.XLOOKUP(_xlfn.XLOOKUP(B4,'Base stats'!B:B,'Base stats'!E:E),Groups!A:A,Groups!X:X))</f>
        <v>No</v>
      </c>
      <c r="AB4" s="7" t="str">
        <f>IF(X4="No","No",_xlfn.XLOOKUP(_xlfn.XLOOKUP(B4,'Base stats'!B:B,'Base stats'!E:E),Groups!A:A,Groups!Y:Y))</f>
        <v>No</v>
      </c>
      <c r="AC4" s="7" t="str">
        <f>_xlfn.XLOOKUP(Animals!B4,'Base stats'!B:B,'Base stats'!X:X)</f>
        <v>False</v>
      </c>
      <c r="AD4" s="13">
        <f>IF(_xlfn.XLOOKUP(B4,'Base stats'!B:B,'Base stats'!AT:AT)="No","No",MROUND((LOG10(_xlfn.XLOOKUP(B4,'Base stats'!B:B,'Base stats'!AT:AT))*(AO4^0.75)+(_xlfn.XLOOKUP(B4,'Base stats'!B:B,'Base stats'!AT:AT)/1000)^(2/3)+_xlfn.XLOOKUP(B4,'Base stats'!B:B,'Base stats'!AX:AX)+_xlfn.XLOOKUP(B4,'Base stats'!B:B,'Base stats'!BA:BA))+0.5,0.5))</f>
        <v>4.5</v>
      </c>
      <c r="AE4" s="7">
        <f>IF(AD4="No","No",MAX(_xlfn.XLOOKUP(_xlfn.XLOOKUP(B4,'Base stats'!B:B,'Base stats'!E:E),Groups!A:A,Groups!Z:Z),MROUND(_xlfn.XLOOKUP(_xlfn.XLOOKUP(B4,'Base stats'!B:B,'Base stats'!E:E),Groups!A:A,Groups!Z:Z)*_xlfn.XLOOKUP(B4,'Base stats'!B:B,'Base stats'!C:C)^0.165,0.05)))</f>
        <v>1.1500000000000001</v>
      </c>
      <c r="AF4" s="7" t="str">
        <f>IF(AD4="No","No",_xlfn.XLOOKUP(_xlfn.XLOOKUP(B4,'Base stats'!B:B,'Base stats'!E:E),Groups!A:A,Groups!AA:AA))</f>
        <v>Teeth</v>
      </c>
      <c r="AG4" s="7" t="str">
        <f>IF(AD4="No","No",_xlfn.XLOOKUP(_xlfn.XLOOKUP(B4,'Base stats'!B:B,'Base stats'!E:E),Groups!A:A,Groups!AB:AB))</f>
        <v>canines</v>
      </c>
      <c r="AH4" s="7" t="str">
        <f>IF(AD4="No","No",_xlfn.XLOOKUP(_xlfn.XLOOKUP(B4,'Base stats'!B:B,'Base stats'!E:E),Groups!A:A,Groups!AC:AC))</f>
        <v>Bite</v>
      </c>
      <c r="AI4" s="13">
        <f>IF(_xlfn.XLOOKUP(_xlfn.XLOOKUP(B4,'Base stats'!B:B,'Base stats'!E:E),Groups!A:A,Groups!AD:AD)=0,"No",MROUND((LOG10(_xlfn.XLOOKUP(B4,'Base stats'!B:B,'Base stats'!AS:AS))*(AO4^0.75)+(_xlfn.XLOOKUP(B4,'Base stats'!B:B,'Base stats'!AS:AS)/1000)^(2/3)+_xlfn.XLOOKUP(B4,'Base stats'!B:B,'Base stats'!AY:AY)+_xlfn.XLOOKUP(B4,'Base stats'!B:B,'Base stats'!BA:BA))+0.5,0.5))</f>
        <v>4</v>
      </c>
      <c r="AJ4" s="7">
        <f>IF(AI4="No","No",MAX(_xlfn.XLOOKUP(_xlfn.XLOOKUP(B4,'Base stats'!B:B,'Base stats'!E:E),Groups!A:A,Groups!AE:AE),MROUND(_xlfn.XLOOKUP(_xlfn.XLOOKUP(B4,'Base stats'!B:B,'Base stats'!E:E),Groups!A:A,Groups!AE:AE)*IF(_xlfn.XLOOKUP(_xlfn.XLOOKUP(B4,'Base stats'!B:B,'Base stats'!E:E),Groups!A:A,Groups!AJ:AJ)="Photonozoa",0.6,1)*_xlfn.XLOOKUP(B4,'Base stats'!B:B,'Base stats'!C:C)^0.165,0.05)))</f>
        <v>0.85000000000000009</v>
      </c>
      <c r="AK4" s="7" t="str">
        <f>IF(AI4="No","No",_xlfn.XLOOKUP(_xlfn.XLOOKUP(B4,'Base stats'!B:B,'Base stats'!E:E),Groups!A:A,Groups!AF:AF))</f>
        <v>FrontLeftPaw, FrontRightPaw</v>
      </c>
      <c r="AL4" s="7" t="str">
        <f>IF(AI4="No","No",_xlfn.XLOOKUP(_xlfn.XLOOKUP(B4,'Base stats'!B:B,'Base stats'!E:E),Groups!A:A,Groups!AG:AG))</f>
        <v>left claw, right claw</v>
      </c>
      <c r="AM4" s="7" t="str">
        <f>IF(AI4="No","No",_xlfn.XLOOKUP(_xlfn.XLOOKUP(B4,'Base stats'!B:B,'Base stats'!E:E),Groups!A:A,Groups!AH:AH))</f>
        <v>Scratch</v>
      </c>
      <c r="AN4" s="2" t="str">
        <f t="shared" si="0"/>
        <v>No</v>
      </c>
      <c r="AO4" s="2">
        <f>MROUND(IF(AND(_xlfn.XLOOKUP(B4,'Base stats'!B:B,'Base stats'!C:C)&gt;=0.5,_xlfn.XLOOKUP(B4,'Base stats'!B:B,'Base stats'!C:C)&lt;=0.8),
IF(_xlfn.XLOOKUP(B4,'Base stats'!B:B,'Base stats'!C:C)&lt;0.1,0.05,IF(_xlfn.XLOOKUP(B4,'Base stats'!B:B,'Base stats'!C:C)&lt;=70,(_xlfn.XLOOKUP(B4,'Base stats'!B:B,'Base stats'!C:C)/70)^0.426489913056526,IF(_xlfn.XLOOKUP(B4,'Base stats'!B:B,'Base stats'!C:C)&lt;=400,(_xlfn.XLOOKUP(B4,'Base stats'!B:B,'Base stats'!C:C)/70)^0.572811455315093,IF(_xlfn.XLOOKUP(B4,'Base stats'!B:B,'Base stats'!C:C)&lt;=2000,2.71391647193063*(_xlfn.XLOOKUP(B4,'Base stats'!B:B,'Base stats'!C:C)/400)^0.252459582904293,3.74314280240376*(_xlfn.XLOOKUP(B4,'Base stats'!B:B,'Base stats'!C:C)/2000)^0.357012633876913)))),
IF(_xlfn.XLOOKUP(B4,'Base stats'!B:B,'Base stats'!C:C)&lt;0.1,0.05,IF(_xlfn.XLOOKUP(B4,'Base stats'!B:B,'Base stats'!C:C)&lt;0.4,0.1,IF(_xlfn.XLOOKUP(B4,'Base stats'!B:B,'Base stats'!C:C)&lt;=70,(_xlfn.XLOOKUP(B4,'Base stats'!B:B,'Base stats'!C:C)/70)^0.445823913056526,IF(_xlfn.XLOOKUP(B4,'Base stats'!B:B,'Base stats'!C:C)&lt;=400,(_xlfn.XLOOKUP(B4,'Base stats'!B:B,'Base stats'!C:C)/70)^0.572811455315093,IF(_xlfn.XLOOKUP(B4,'Base stats'!B:B,'Base stats'!C:C)&lt;=2000,2.71391647193063*(_xlfn.XLOOKUP(B4,'Base stats'!B:B,'Base stats'!C:C)/400)^0.252459582904293,3.74314280240376*(_xlfn.XLOOKUP(B4,'Base stats'!B:B,'Base stats'!C:C)/2000)^0.357012633876913)))))),
IF(_xlfn.XLOOKUP(B4,'Base stats'!B:B,'Base stats'!C:C)&lt;0.1,0.05,IF(_xlfn.XLOOKUP(B4,'Base stats'!B:B,'Base stats'!C:C)&lt;=100,0.05,IF(_xlfn.XLOOKUP(B4,'Base stats'!B:B,'Base stats'!C:C)&lt;=250,0.1,IF(_xlfn.XLOOKUP(B4,'Base stats'!B:B,'Base stats'!C:C)&lt;=4000,0.25,0.5)))))</f>
        <v>0.35000000000000003</v>
      </c>
      <c r="AP4" s="8">
        <f>MROUND(AO4*_xlfn.XLOOKUP(_xlfn.XLOOKUP(B4,'Base stats'!B:B,'Base stats'!E:E),Groups!A:A,Groups!AI:AI)*_xlfn.XLOOKUP(B4,'Base stats'!B:B,'Base stats'!Z:Z),0.05)</f>
        <v>0.4</v>
      </c>
      <c r="AQ4" s="8">
        <f>MAX(0.01,MROUND(IF(CC4="True",0.196*(AO4*100*1000)^0.889,IF(_xlfn.XLOOKUP(_xlfn.XLOOKUP(B4,'Base stats'!B:B,'Base stats'!E:E),Groups!A:A,Groups!AJ:AJ)="Bird",10.5*(AO4*100*1000)^0.681,4.82*(AO4*100*1000)^0.734))/(4.82*(1*100*1000)^0.734)/IF(AO4&lt;3.5,2,IF(AO4=3.5,1.5,1.25))*(1+0.132282374779864/(AO4^0.994035016789033+0.00905238001496948)),0.05))</f>
        <v>0.30000000000000004</v>
      </c>
      <c r="AR4" s="9">
        <f>IFERROR(MROUND(_xlfn.XLOOKUP(B4,'Base stats'!B:B,'Base stats'!H:H)/IF(_xlfn.XLOOKUP(B4,'Base stats'!B:B,'Base stats'!I:I)&lt;&gt;1,(122.5/70),1.2),IF(_xlfn.XLOOKUP(B4,'Base stats'!B:B,'Base stats'!H:H)&gt;=30,5,IF(_xlfn.XLOOKUP(B4,'Base stats'!B:B,'Base stats'!H:H)&gt;=15,3,IF(_xlfn.XLOOKUP(B4,'Base stats'!B:B,'Base stats'!H:H)&gt;=10,2,1)))),"Immortal")</f>
        <v>12</v>
      </c>
      <c r="AS4" s="35">
        <f>IFERROR(IF(OR(_xlfn.XLOOKUP(B4,'Base stats'!B:B,'Base stats'!F:F)="Atypical reproduction",_xlfn.XLOOKUP(B4,'Base stats'!B:B,'Base stats'!F:F)="Lay eggs"),"Lay eggs",MIN(20,MAX(5.5,ROUND(((_xlfn.XLOOKUP(B4,'Base stats'!B:B,'Base stats'!F:F)-25)*(14.5/615) + 5.5)*2,0)/2))),"Unknown")</f>
        <v>6.5</v>
      </c>
      <c r="AT4" s="8">
        <f>IF(_xlfn.XLOOKUP(B4,'Base stats'!B:B,'Base stats'!G:G)="Atypical reproduction","No",IFERROR(MAX(IF(_xlfn.XLOOKUP(B4,'Base stats'!B:B,'Base stats'!G:G)&lt;0.5,0.2,0.3),MROUND(_xlfn.XLOOKUP(B4,'Base stats'!B:B,'Base stats'!G:G)/(365/60),0.2)),"Unknown"))</f>
        <v>0.3</v>
      </c>
      <c r="AU4" s="8">
        <f t="shared" si="1"/>
        <v>0.15000000000000002</v>
      </c>
      <c r="AV4" s="8">
        <f>IFERROR(IFERROR(MROUND(_xlfn.XLOOKUP(B4,'Base stats'!B:B,'Base stats'!J:J),0.1),"Lay eggs"),"Cannot breed")</f>
        <v>4</v>
      </c>
      <c r="AW4" s="2" t="str">
        <f t="shared" si="2"/>
        <v>false</v>
      </c>
      <c r="AX4" s="2" t="str">
        <f>IF(_xlfn.XLOOKUP(_xlfn.XLOOKUP(Animals!B4,'Base stats'!B:B,'Base stats'!E:E),Groups!A:A,Groups!AK:AK)=1,"true","false")</f>
        <v>false</v>
      </c>
      <c r="AY4" s="25" t="str">
        <f>IF(_xlfn.XLOOKUP(B4,'Base stats'!B:B,'Base stats'!Y:Y)="Liquor","Liquor, CarnivoreAnimalStrict",IF(AND(_xlfn.XLOOKUP(B4,'Base stats'!B:B,'Base stats'!Y:Y)="Carnivore",_xlfn.XLOOKUP(_xlfn.XLOOKUP(B4,'Base stats'!B:B,'Base stats'!E:E),Groups!A:A,Groups!AJ:AJ)="Photonozoa"),"CarnivoreAnimalStrict, OvivoreAnimal",IF(_xlfn.XLOOKUP(B4,'Base stats'!B:B,'Base stats'!Y:Y)="Carnivore","CarnivoreAnimal, OvivoreAnimal",IF(_xlfn.XLOOKUP(B4,'Base stats'!B:B,'Base stats'!Y:Y)="Dendrovore","VegetarianRoughAnimal, DendrovoreAnimal",IF(_xlfn.XLOOKUP(B4,'Base stats'!B:B,'Base stats'!Y:Y)="Herbivore","VegetarianRoughAnimal",IF(_xlfn.XLOOKUP(B4,'Base stats'!B:B,'Base stats'!Y:Y)="OmnivoreRough","OmnivoreRoughAnimal, OvivoreAnimal","OmnivoreAnimal, OvivoreAnimal"))))))</f>
        <v>OmnivoreAnimal, OvivoreAnimal</v>
      </c>
      <c r="AZ4" s="2" t="str">
        <f>IF(_xlfn.XLOOKUP(_xlfn.XLOOKUP(B4,'Base stats'!B:B,'Base stats'!E:E),Groups!A:A,Groups!D:D)=1,MROUND((1-J4)*5+1,2)*IF(J4&lt;=0.4,2,1),"No")</f>
        <v>No</v>
      </c>
      <c r="BA4" s="2" t="str">
        <f>IF(AND(_xlfn.XLOOKUP(B4,'Base stats'!B:B,'Base stats'!AH:AH)="&lt;li&gt;Seal&lt;/li&gt;",G4="Odyssey"),"&lt;li&gt;AEXP_Seal&lt;/li&gt;",_xlfn.XLOOKUP(B4,'Base stats'!B:B,'Base stats'!AH:AH))</f>
        <v>No</v>
      </c>
      <c r="BB4" s="2" t="str">
        <f>_xlfn.XLOOKUP(B4,'Base stats'!B:B,'Base stats'!AG:AG)</f>
        <v>Leather_Light</v>
      </c>
      <c r="BC4" s="23" t="str">
        <f>_xlfn.XLOOKUP(_xlfn.XLOOKUP(B4,'Base stats'!B:B,'Base stats'!E:E),Groups!A:A,Groups!AL:AL)</f>
        <v>QuadrupedAnimalWithPawsAndTail</v>
      </c>
      <c r="BD4" s="23">
        <f>MIN(1,MROUND(IF(AND(AO4&lt;0.5,_xlfn.XLOOKUP(B4,'Base stats'!B:B,'Base stats'!AA:AA)=0),0,IF(OR(_xlfn.XLOOKUP(Animals!B4,'Base stats'!B:B,'Base stats'!O:O)=2,_xlfn.XLOOKUP(_xlfn.XLOOKUP(B4,'Base stats'!B:B,'Base stats'!E:E),Groups!A:A,Groups!AN:AN)=0),0,_xlfn.XLOOKUP(_xlfn.XLOOKUP(B4,'Base stats'!B:B,'Base stats'!E:E),Groups!A:A,Groups!AN:AN)/IF(_xlfn.XLOOKUP(Animals!B4,'Base stats'!B:B,'Base stats'!O:O)=1,2,1)))+_xlfn.XLOOKUP(B4,'Base stats'!B:B,'Base stats'!AC:AC),0.005))</f>
        <v>0</v>
      </c>
      <c r="BE4" s="23">
        <f>MIN(1,MROUND(IF(AND(AO4&lt;0.5,_xlfn.XLOOKUP(B4,'Base stats'!B:B,'Base stats'!AA:AA)=0),0,IF(_xlfn.XLOOKUP(_xlfn.XLOOKUP(B4,'Base stats'!B:B,'Base stats'!E:E),Groups!A:A,Groups!AO:AO)=0,0,_xlfn.XLOOKUP(_xlfn.XLOOKUP(B4,'Base stats'!B:B,'Base stats'!E:E),Groups!A:A,Groups!AO:AO)/IF(_xlfn.XLOOKUP(Animals!B4,'Base stats'!B:B,'Base stats'!O:O)=2,3,1)))+_xlfn.XLOOKUP(B4,'Base stats'!B:B,'Base stats'!AD:AD),0.005))</f>
        <v>0</v>
      </c>
      <c r="BF4" s="2" t="str">
        <f>IF(J4&gt;0.3,"No",_xlfn.XLOOKUP(_xlfn.XLOOKUP(Animals!B4,'Base stats'!B:B,'Base stats'!E:E),Groups!A:A,Groups!AP:AP))</f>
        <v>No</v>
      </c>
      <c r="BG4" s="2">
        <f>IF(AND(J4&lt;=0.65,_xlfn.XLOOKUP(_xlfn.XLOOKUP(Animals!B4,'Base stats'!B:B,'Base stats'!E:E),Groups!A:A,Groups!AP:AP)&lt;&gt;"No",_xlfn.XLOOKUP(_xlfn.XLOOKUP(B4,'Base stats'!B:B,'Base stats'!E:E),Groups!A:A,Groups!D:D)=0),MROUND((80/3)*IF(_xlfn.XLOOKUP(B4,'Base stats'!B:B,'Base stats'!O:O)=2,0.2,AO4) + 24*(1-IF(BF4="No",0,BF4)) + 16/3, 12),"No")</f>
        <v>36</v>
      </c>
      <c r="BH4" s="2">
        <f>IF(AND(_xlfn.XLOOKUP(_xlfn.XLOOKUP(B4,'Base stats'!B:B,'Base stats'!E:E),Groups!A:A,Groups!AQ:AQ)=1,AO4&lt;=0.35),8,12)</f>
        <v>12</v>
      </c>
      <c r="BI4" s="2" t="str">
        <f>IF(_xlfn.XLOOKUP(_xlfn.XLOOKUP(B4,'Base stats'!B:B,'Base stats'!E:E),Groups!A:A,Groups!D:D)=0,_xlfn.XLOOKUP(_xlfn.XLOOKUP(B4,'Base stats'!B:B,'Base stats'!E:E),Groups!A:A,Groups!AR:AR),"None")</f>
        <v>Advanced</v>
      </c>
      <c r="BJ4" s="2" t="str">
        <f>IF(AND(_xlfn.XLOOKUP(_xlfn.XLOOKUP(B4,'Base stats'!B:B,'Base stats'!E:E),Groups!A:A,Groups!AS:AS)=1,OR(_xlfn.XLOOKUP(B4,'Base stats'!B:B,'Base stats'!Y:Y)="Carnivore",_xlfn.XLOOKUP(B4,'Base stats'!B:B,'Base stats'!Y:Y)="Omnivore")),"true","false")</f>
        <v>false</v>
      </c>
      <c r="BK4" s="2" t="str">
        <f>IF(BJ4="true",MROUND(IF(AND(AO4&gt;0.5,OR(_xlfn.XLOOKUP(_xlfn.XLOOKUP(B4,'Base stats'!B:B,'Base stats'!E:E),Groups!A:A,Groups!AJ:AJ)="Photonozoa",_xlfn.XLOOKUP(_xlfn.XLOOKUP(B4,'Base stats'!B:B,'Base stats'!E:E),Groups!A:A,Groups!AJ:AJ)="Mammal")),Animals!AO4*1.75*IF(AW4="true",1.5,1),IF(AO4&lt;0.5,Animals!AO4*0.5,Animals!AO4)),IF(AO4&gt;2,0.5,IF(AO4&gt;0.5,0.25,0.1))),"No")</f>
        <v>No</v>
      </c>
      <c r="BL4" s="2">
        <f t="shared" si="3"/>
        <v>1</v>
      </c>
      <c r="BM4" s="25" t="str">
        <f>IF(_xlfn.XLOOKUP(B4,'Base stats'!B:B,'Base stats'!AN:AN)="Standard","No",MROUND((_xlfn.XLOOKUP(B4,'Base stats'!B:B,'Base stats'!AN:AN)/3.6)/I4,0.1))</f>
        <v>No</v>
      </c>
      <c r="BN4" s="25" t="str">
        <f t="shared" si="4"/>
        <v>false</v>
      </c>
      <c r="BO4" s="25" t="str">
        <f>IF(AND(OR(_xlfn.XLOOKUP(B4,'Base stats'!B:B,'Base stats'!Y:Y)="Carnivore",_xlfn.XLOOKUP(B4,'Base stats'!B:B,'Base stats'!Y:Y)="Omnivore",_xlfn.XLOOKUP(B4,'Base stats'!B:B,'Base stats'!Y:Y)="OmnivoreRough"),_xlfn.XLOOKUP(_xlfn.XLOOKUP(B4,'Base stats'!B:B,'Base stats'!E:E),Groups!A:A,Groups!AT:AT)=1),"true","false")</f>
        <v>true</v>
      </c>
      <c r="BP4" s="25" t="str" cm="1">
        <f t="array" ref="BP4">IF(
  _xlfn.TEXTJOIN(", ",TRUE,
    IF(AND(BJ4="true",AO4&gt;0.5,BI4&lt;&gt;"None"),"AttackTarget",""),
    IF(AND(_xlfn.XLOOKUP(_xlfn.XLOOKUP(B4,'Base stats'!B:B,'Base stats'!E:E),Groups!A:A,Groups!AJ:AJ="Mammal"),OR(_xlfn.XLOOKUP(B4,'Base stats'!B:B,'Base stats'!Y:Y)="Omnivore",_xlfn.XLOOKUP(B4,'Base stats'!B:B,'Base stats'!Y:Y)="OmnivoreRough")),"Forage",""),
    IF(BG4&lt;=36,"Comfort",""),
    IF(_xlfn.XLOOKUP(B4,'Base stats'!B:B,'Base stats'!AE:AE)&lt;&gt;"No",_xlfn.XLOOKUP(B4,'Base stats'!B:B,'Base stats'!AE:AE),"")
  ) = "",
  "No",
  _xlfn.TEXTJOIN(", ",TRUE,
    IF(AND(BJ4="true",AO4&gt;0.5,BI4&lt;&gt;"None"),"AttackTarget",""),
    IF(AND(_xlfn.XLOOKUP(_xlfn.XLOOKUP(B4,'Base stats'!B:B,'Base stats'!E:E),Groups!A:A,Groups!AJ:AJ="Mammal"),OR(_xlfn.XLOOKUP(B4,'Base stats'!B:B,'Base stats'!Y:Y)="Omnivore",_xlfn.XLOOKUP(B4,'Base stats'!B:B,'Base stats'!Y:Y)="OmnivoreRough")),"Forage",""),
    IF(BG4&lt;=36,"Comfort",""),
    IF(_xlfn.XLOOKUP(B4,'Base stats'!B:B,'Base stats'!AE:AE)&lt;&gt;"No",_xlfn.XLOOKUP(B4,'Base stats'!B:B,'Base stats'!AE:AE),"")
  )
)</f>
        <v>Forage, Comfort</v>
      </c>
      <c r="BQ4" s="25">
        <f>IF(
   AND(
      'Base stats'!AN4="Standard",_xlfn.XLOOKUP(_xlfn.XLOOKUP(B4,'Base stats'!B:B,'Base stats'!E:E),Groups!A:A,Groups!AU:AU)=0,
      OR(
      BO4="True"
      )
   ),
   10,
   IF(
       OR(BM4&lt;&gt;"No",_xlfn.XLOOKUP(_xlfn.XLOOKUP(B4,'Base stats'!B:B,'Base stats'!E:E),Groups!A:A,Groups!AU:AU)=1),
      1,
      "No"
   )
)</f>
        <v>10</v>
      </c>
      <c r="BR4" s="9">
        <f>MROUND((1 + ((0.2*IF(OR(Q4="No",R4="No",R4=0),0,Q4/R4)
+IF(OR(V4="No",S4="No",T4="No"),0,S4/T4*(LEN(V4)-LEN(SUBSTITUTE(V4,",",""))+1))
+IF(OR(X4="No",Y4="No"),0,X4/Y4)
+IF(OR(AD4="No",AE4="No"),0,AD4/AE4)
+IF(OR(AL4="No",AI4="No",AJ4="No"),0,AI4/AJ4*(LEN(AL4)-LEN(SUBSTITUTE(AL4,",",""))+1))
)/(0.2*IF(OR(Q4="No",R4="No",R4=0),0,1)
+IF(OR(V4="No",S4="No",T4="No"),0,LEN(V4)-LEN(SUBSTITUTE(V4,",",""))+1)
+IF(OR(X4="No",Y4="No"),0,1)
+IF(OR(AD4="No",AE4="No"),0,1)
+IF(OR(AL4="No",AI4="No",AJ4="No"),0,LEN(AL4)-LEN(SUBSTITUTE(AL4,",",""))+1))*62%)* 2)*(1 + (AP4 / (IF(_xlfn.XLOOKUP(_xlfn.XLOOKUP(B4,'Base stats'!B:B,'Base stats'!E:E),Groups!A:A,Groups!AJ:AJ)="Photonozoa",0.3,1)) + _xlfn.XLOOKUP(B4,'Base stats'!B:B,'Base stats'!AV:AV) * 1.8) * 2) * 2.5 + 10 + I4 * 2,5)+IF(_xlfn.XLOOKUP(B4,'Base stats'!B:B,'Base stats'!AK:AK)=1,50,0)</f>
        <v>45</v>
      </c>
      <c r="BS4" s="8">
        <f t="shared" si="5"/>
        <v>0.30000000000000004</v>
      </c>
      <c r="BT4" s="8" t="str">
        <f>_xlfn.XLOOKUP(B4,'Base stats'!B:B,'Base stats'!AF:AF)</f>
        <v>No</v>
      </c>
      <c r="BU4" s="2" t="str">
        <f>IF(AND(J4&lt;=0.95,OR(_xlfn.XLOOKUP(B4,'Base stats'!B:B,'Base stats'!AK:AK)=1,_xlfn.XLOOKUP(B4,'Base stats'!B:B,'Base stats'!Y:Y)="Carnivore",_xlfn.XLOOKUP(B4,'Base stats'!B:B,'Base stats'!Y:Y)="Omnivore",BE4&gt;0.1)),"true","false")</f>
        <v>true</v>
      </c>
      <c r="BV4" s="2" t="str">
        <f>IF(_xlfn.XLOOKUP(B4,'Base stats'!B:B,'Base stats'!AI:AI)=1,"true","false")</f>
        <v>false</v>
      </c>
      <c r="BW4" s="25" t="str">
        <f>IF(E4="BaseInsect","AnimalInsect",
IF(J4&gt;0.95,"AnimalExotic",
_xlfn.TEXTJOIN(", ",TRUE,
IF(OR(_xlfn.XLOOKUP(B4,'Base stats'!B:B,'Base stats'!AM:AM)=1,AND(_xlfn.XLOOKUP(B4,'Base stats'!B:B,'Base stats'!O:O)=0,_xlfn.XLOOKUP(_xlfn.XLOOKUP(B4,'Base stats'!B:B,'Base stats'!E:E),Groups!A:A,Groups!B:B)&gt;0)),"AnimalUncommon","AnimalCommon"),
IF(AND(_xlfn.XLOOKUP(B4,'Base stats'!B:B,'Base stats'!O:O)=2,_xlfn.XLOOKUP(_xlfn.XLOOKUP(B4,'Base stats'!B:B,'Base stats'!E:E),Groups!A:A,Groups!D:D)=0),"AnimalPet",IF(AND(_xlfn.XLOOKUP(B4,'Base stats'!B:B,'Base stats'!O:O)&lt;&gt;0,_xlfn.XLOOKUP(_xlfn.XLOOKUP(B4,'Base stats'!B:B,'Base stats'!E:E),Groups!A:A,Groups!D:D)&lt;&gt;0),"AnimalFarm","")),
IF(OR(_xlfn.XLOOKUP(B4,'Base stats'!B:B,'Base stats'!AK:AK)=1,AND(BI4&lt;&gt;"None",BR4&gt;=60),ISNUMBER(SEARCH("Attack target",BP4))),"AnimalFighter","")
)))</f>
        <v>AnimalUncommon</v>
      </c>
      <c r="BX4" s="25" t="str">
        <f>IF(G4="None",TRIM(
SUBSTITUTE(
IF(COUNTIF(Biomes!B$2:B$259,"="&amp;$C4)&gt;0,Biomes!B$1&amp;", ","")&amp;
IF(COUNTIF(Biomes!C$2:C$259,"="&amp;$C4)&gt;0,Biomes!C$1&amp;", ","")&amp;
IF(COUNTIF(Biomes!D$2:D$259,"="&amp;$C4)&gt;0,Biomes!D$1&amp;", ","")&amp;
IF(COUNTIF(Biomes!F$2:F$259,"="&amp;$C4)&gt;0,Biomes!F$1&amp;", ","")&amp;
IF(COUNTIF(Biomes!G$2:G$259,"="&amp;$C4)&gt;0,Biomes!G$1&amp;", ","")&amp;
IF(COUNTIF(Biomes!H$2:H$259,"="&amp;$C4)&gt;0,Biomes!H$1&amp;", ","")&amp;
IF(COUNTIF(Biomes!I$2:I$259,"="&amp;$C4)&gt;0,Biomes!I$1&amp;", ","")&amp;
IF(COUNTIF(Biomes!J$2:J$259,"="&amp;$C4)&gt;0,Biomes!J$1&amp;", ","")&amp;
IF(COUNTIF(Biomes!M$2:M$259,"="&amp;$C4)&gt;0,Biomes!M$1&amp;", ","")&amp;
IF(COUNTIF(Biomes!N$2:N$259,"="&amp;$C4)&gt;0,Biomes!N$1&amp;", ","")&amp;
IF(COUNTIF(Biomes!O$2:O$259,"="&amp;$C4)&gt;0,Biomes!O$1&amp;", ","")&amp;
IF(COUNTIF(Biomes!P$2:P$259,"="&amp;$C4)&gt;0,Biomes!P$1&amp;", ","")&amp;
IF(COUNTIF(Biomes!K$2:K$259,"="&amp;$C4)&gt;0,Biomes!K$1&amp;", ","")&amp;
IF(COUNTIF(Biomes!Q$3:Q$259,"="&amp;$C4)&gt;0,Biomes!Q$1&amp;", ","")&amp;
IF(COUNTIF(Biomes!L$2:L$259,"="&amp;$C4)&gt;0,Biomes!L$1&amp;", ","")&amp;
IF(COUNTIF(Biomes!E$2:E$259,"="&amp;$C4)&gt;0,Biomes!E$1&amp;", ","")&amp;IF(COUNTIF(Biomes!S$2:S$259,"="&amp;$C4)&gt;0,Biomes!S$1&amp;", ","")&amp;
IF(COUNTIF(Biomes!R$2:R$259,"="&amp;$C4)&gt;0,Biomes!R$1&amp;", ",""),", ","")
),_xlfn.XLOOKUP(B4,B:B,BX:BX))</f>
        <v>BorealForest ColdBog TemperateForest TemperateSwamp GlacialPlain Scarlands</v>
      </c>
      <c r="BY4" s="25" t="str">
        <f>IF(_xlfn.XLOOKUP(B4,'Base stats'!B:B,'Base stats'!AJ:AJ)=1,"true","false")</f>
        <v>false</v>
      </c>
      <c r="BZ4" s="25">
        <f>IF(_xlfn.XLOOKUP(B4,'Base stats'!B:B,'Base stats'!N:N)=1,"No",MAX(0.001,MIN(MROUND(IF(AND(BJ4="True",CC4="False"),POWER(10,3.47*LOG10(_xlfn.XLOOKUP(B4,'Base stats'!B:B,'Base stats'!C:C)*1000)^-0.96),POWER(10,4.15*LOG10(_xlfn.XLOOKUP(B4,'Base stats'!B:B,'Base stats'!C:C)*1000)^-0.73))*IF(_xlfn.XLOOKUP(B4,'Base stats'!B:B,'Base stats'!AK:AK)=1,0.5,1)*IF(_xlfn.XLOOKUP(B4,'Base stats'!B:B,'Base stats'!AM:AM)=1,0.1,1)/100,IF(_xlfn.XLOOKUP(B4,'Base stats'!B:B,'Base stats'!AM:AM)=1,0.001,0.025)),0.5)))</f>
        <v>0.375</v>
      </c>
      <c r="CA4" s="25">
        <f>IF(P4="Standard","No",MAX(0.001,MIN(MROUND(IF(AND(BJ4="True",CC4="False"),POWER(10,3.47*LOG10(_xlfn.XLOOKUP(B4,'Base stats'!B:B,'Base stats'!C:C)*1000)^-0.96),POWER(10,4.15*LOG10(_xlfn.XLOOKUP(B4,'Base stats'!B:B,'Base stats'!C:C)*1000)^-0.73))*IF(_xlfn.XLOOKUP(B4,'Base stats'!B:B,'Base stats'!AM:AM)=1,0.1,1)*_xlfn.XLOOKUP(B4,'Base stats'!B:B,'Base stats'!R:R)/100,IF(_xlfn.XLOOKUP(B4,'Base stats'!B:B,'Base stats'!AM:AM)=1,0.001,0.025)),0.5)))</f>
        <v>0.30000000000000004</v>
      </c>
      <c r="CB4" s="25" t="str">
        <f>IF(_xlfn.XLOOKUP(_xlfn.XLOOKUP(B4,'Base stats'!B:B,'Base stats'!E:E),Groups!A:A,Groups!AJ:AJ)="Mammal","True","False")</f>
        <v>True</v>
      </c>
      <c r="CC4" s="25" t="str">
        <f>IF(OR(_xlfn.XLOOKUP(_xlfn.XLOOKUP(B4,'Base stats'!B:B,'Base stats'!E:E),Groups!A:A,Groups!AJ:AJ)="Reptile",_xlfn.XLOOKUP(_xlfn.XLOOKUP(B4,'Base stats'!B:B,'Base stats'!E:E),Groups!A:A,Groups!AJ:AJ)="Amphibian",_xlfn.XLOOKUP(_xlfn.XLOOKUP(B4,'Base stats'!B:B,'Base stats'!E:E),Groups!A:A,Groups!AJ:AJ)="Invertebrate"),"True","False")</f>
        <v>False</v>
      </c>
      <c r="CD4" s="25" t="str">
        <f t="shared" si="6"/>
        <v>False</v>
      </c>
      <c r="CE4" s="25" t="str">
        <f>IF(_xlfn.XLOOKUP(_xlfn.XLOOKUP(B4,'Base stats'!B:B,'Base stats'!E:E),Groups!A:A,Groups!AX:AX),"True","False")</f>
        <v>False</v>
      </c>
      <c r="CF4" s="25" t="str">
        <f>IF(_xlfn.XLOOKUP(_xlfn.XLOOKUP(B4,'Base stats'!B:B,'Base stats'!E:E),Groups!A:A,Groups!AY:AY),"True","False")</f>
        <v>False</v>
      </c>
      <c r="CG4" s="25" t="str">
        <f>IF(_xlfn.XLOOKUP(_xlfn.XLOOKUP(B4,'Base stats'!B:B,'Base stats'!E:E),Groups!A:A,Groups!AW:AW),"True","False")</f>
        <v>False</v>
      </c>
      <c r="CH4" s="25" t="str">
        <f>IF(
OR(
_xlfn.XLOOKUP(_xlfn.XLOOKUP(B4,'Base stats'!B:B,'Base stats'!E:E),Groups!A:A,Groups!AZ:AZ)=0,
AND(
_xlfn.XLOOKUP(B4,'Base stats'!B:B,'Base stats'!Y:Y)&lt;&gt;"Carnivore",
_xlfn.XLOOKUP(B4,'Base stats'!B:B,'Base stats'!Y:Y)&lt;&gt;"Omnivore",
_xlfn.XLOOKUP(B4,'Base stats'!B:B,'Base stats'!Y:Y)&lt;&gt;"OmnivoreRough"
)
),
"No",
IF(
_xlfn.XLOOKUP(_xlfn.XLOOKUP(B4,'Base stats'!B:B,'Base stats'!E:E),Groups!A:A,Groups!AZ:AZ)=1,
"Flesh",
IF(
_xlfn.XLOOKUP(_xlfn.XLOOKUP(B4,'Base stats'!B:B,'Base stats'!E:E),Groups!A:A,Groups!AZ:AZ)=2,
"Bone",
""
)
)
)</f>
        <v>Flesh</v>
      </c>
      <c r="CI4" s="25" t="str">
        <f>IF(_xlfn.XLOOKUP(_xlfn.XLOOKUP(B4,'Base stats'!B:B,'Base stats'!E:E),Groups!A:A,Groups!BB:BB),"True","False")</f>
        <v>True</v>
      </c>
      <c r="CJ4" s="25" t="str">
        <f>IF(_xlfn.XLOOKUP(_xlfn.XLOOKUP(B4,'Base stats'!B:B,'Base stats'!E:E),Groups!A:A,Groups!BA:BA),"True","False")</f>
        <v>False</v>
      </c>
      <c r="CO4" s="16"/>
    </row>
    <row r="5" spans="1:93" ht="16.5" thickTop="1" thickBot="1" x14ac:dyDescent="0.3">
      <c r="A5" s="26" t="str">
        <f>_xlfn.XLOOKUP(B5,'Base stats'!B:B,'Base stats'!A:A)</f>
        <v>Ostrich</v>
      </c>
      <c r="B5" s="6" t="s">
        <v>39</v>
      </c>
      <c r="C5" s="28" t="s">
        <v>674</v>
      </c>
      <c r="D5" s="28" t="s">
        <v>45</v>
      </c>
      <c r="E5" s="28" t="s">
        <v>675</v>
      </c>
      <c r="F5" s="28" t="s">
        <v>676</v>
      </c>
      <c r="G5" s="28" t="s">
        <v>673</v>
      </c>
      <c r="H5" s="2">
        <f>MROUND((
  (IF(AND(_xlfn.XLOOKUP(B5,'Base stats'!B:B,'Base stats'!AL:AL)=0,BI5="None",_xlfn.XLOOKUP(_xlfn.XLOOKUP(B5,'Base stats'!B:B,'Base stats'!E:E),Groups!A:A,Groups!B:B)=0), (18 + BR5 * 2.7) * 0.5,
    IF(AND(_xlfn.XLOOKUP(B5,'Base stats'!B:B,'Base stats'!AL:AL)=0,OR(AO5&lt;0.55,AND(BI5="Intermediate",_xlfn.XLOOKUP(_xlfn.XLOOKUP(B5,'Base stats'!B:B,'Base stats'!E:E),Groups!A:A,Groups!B:B)&lt;2))), (18 + BR5 * 2.7),
      IF(OR(BI5="Advanced",_xlfn.XLOOKUP(B5,'Base stats'!B:B,'Base stats'!AL:AL)=1,_xlfn.XLOOKUP(_xlfn.XLOOKUP(B5,'Base stats'!B:B,'Base stats'!E:E),Groups!A:A,Groups!B:B)=2), (18 + BR5 * 2.7) + 250, (18 + BR5 * 2.7))
    )
  ))
  + AO5 * 80
  + IF(COUNTIF(EggMilk!K$2:K$998, A5) &gt; 0, 125, 0)
  + IF(COUNTIF(EggMilk!P$2:P$998, A5) &gt; 0, 90, 0)
  + IF(COUNTIF(EggMilk!A$2:A$998, A5) &gt; 0, 90, 0)
)
* (0.8 + 0.4 * J5)
* 0.75,25)</f>
        <v>275</v>
      </c>
      <c r="I5" s="2">
        <f>MROUND(ROUNDDOWN(_xlfn.XLOOKUP(B5,'Base stats'!B:B,'Base stats'!L:L)/3.6/(23.3/11),1),0.5)</f>
        <v>6</v>
      </c>
      <c r="J5" s="2">
        <f>IF(OR(_xlfn.XLOOKUP(B5,'Base stats'!B:B,'Base stats'!AB:AB)=1,_xlfn.XLOOKUP(_xlfn.XLOOKUP(B5,'Base stats'!B:B,'Base stats'!E:E),Groups!A:A,Groups!C:C)="Untamable"),1,IF(_xlfn.XLOOKUP(B5,'Base stats'!B:B,'Base stats'!AL:AL)=1,0.99,MIN(MROUND((1-0.6282*EXP(-0.459*AO5))*_xlfn.XLOOKUP(_xlfn.XLOOKUP(B5,'Base stats'!B:B,'Base stats'!E:E),Groups!A:A,Groups!C:C)*IF(_xlfn.XLOOKUP(B5,'Base stats'!B:B,'Base stats'!O:O)=1,0.5,IF(_xlfn.XLOOKUP(B5,'Base stats'!B:B,'Base stats'!O:O)=2,0,1)),0.05),IF(AO5&gt;3.5,0.985,0.95))))</f>
        <v>0.8</v>
      </c>
      <c r="K5" s="2">
        <f>ROUNDUP(AO5*_xlfn.XLOOKUP(_xlfn.XLOOKUP(B5,'Base stats'!B:B,'Base stats'!E:E),Groups!A:A,Groups!E:E),0)</f>
        <v>15</v>
      </c>
      <c r="L5" s="2">
        <f>IF(OR(_xlfn.XLOOKUP(_xlfn.XLOOKUP(B5,'Base stats'!B:B,'Base stats'!E:E),Groups!A:A,Groups!F:F)=2,ISNUMBER(SEARCH("SeaIce",BX5)),ISNUMBER(SEARCH("IceSheet",BX5))),-50,IF(OR(ISNUMBER(SEARCH("GlacialPlain",BX5)),ISNUMBER(SEARCH("Tundra",BX5))),-40,IF(OR(ISNUMBER(SEARCH("Alpine",BX5)),ISNUMBER(SEARCH("BorealForest",BX5)),ISNUMBER(SEARCH("ColdBog",BX5))),-30,IF(OR(ISNUMBER(SEARCH("TemperateForest",BX5)),ISNUMBER(SEARCH("TemperateSwamp",BX5))),-20,IF(_xlfn.XLOOKUP(_xlfn.XLOOKUP(B5,'Base stats'!B:B,'Base stats'!E:E),Groups!A:A,Groups!F:F)=1,-15,IF(OR(ISNUMBER(SEARCH("Desert",BX5)),ISNUMBER(SEARCH("ExtremeDesert",BX5))),-10,IF(OR(ISNUMBER(SEARCH("Grasslands",BX5)),ISNUMBER(SEARCH("TropicalRainforest",BX5)),ISNUMBER(SEARCH("TropicalSwamp",BX5))),10,0)))))))-IF(CC5="False",MIN(IFERROR(MAX(MROUND(LOG10(_xlfn.XLOOKUP(B5,'Base stats'!B:B,'Base stats'!C:C)^(2/3))*10,5),5),5),30))-_xlfn.XLOOKUP(B5,'Base stats'!B:B,'Base stats'!P:P)+IF(CC5="True",5,0)</f>
        <v>-25</v>
      </c>
      <c r="M5" s="2">
        <f>IF(OR(_xlfn.XLOOKUP(_xlfn.XLOOKUP(B5,'Base stats'!B:B,'Base stats'!E:E),Groups!A:A,Groups!G:G)=2,ISNUMBER(SEARCH("Desert",BX5)),ISNUMBER(SEARCH("ExtremeDesert",BX5)),ISNUMBER(SEARCH("LavaField",BX5))),50,IF(ISNUMBER(SEARCH("Grasslands",BX5)),45,IF(OR(_xlfn.XLOOKUP(_xlfn.XLOOKUP(B5,'Base stats'!B:B,'Base stats'!E:E),Groups!A:A,Groups!G:G)=1,ISNUMBER(SEARCH("TropicalRainforest",BX5)),ISNUMBER(SEARCH("TropicalSwamp",BX5))),40,IF(OR(ISNUMBER(SEARCH("TemperateForest",BX5)),ISNUMBER(SEARCH("TemperateSwamp",BX5))),35,IF(OR(ISNUMBER(SEARCH("Alpine",BX5)),ISNUMBER(SEARCH("BorealForest",BX5)),ISNUMBER(SEARCH("ColdBog",BX5))),30,IF(ISNUMBER(OR(ISNUMBER(SEARCH("GlacialPlain",BX5)),SEARCH("Tundra",BX5))),25,IF(OR(ISNUMBER(SEARCH("SeaIce",BX5)),ISNUMBER(SEARCH("IceSheet",BX5)),ISNUMBER(SEARCH("TropicalSwamp",BX5))),10,35)))))))+_xlfn.XLOOKUP(B5,'Base stats'!B:B,'Base stats'!Q:Q)</f>
        <v>50</v>
      </c>
      <c r="N5" s="8" t="str">
        <f>IF(
_xlfn.XLOOKUP(
_xlfn.XLOOKUP(B5,'Base stats'!B:B,'Base stats'!E:E),
Groups!A:A,
Groups!L:L
)=1,
MIN(
MROUND(
IF(
_xlfn.XLOOKUP(B5,'Animals CE'!B:B,'Animals CE'!Z:Z)&lt;=1.5,
_xlfn.XLOOKUP(B5,'Animals CE'!B:B,'Animals CE'!Z:Z)/2+0.05,
0.8+
(_xlfn.XLOOKUP(B5,'Animals CE'!B:B,'Animals CE'!Z:Z)-1.5)
*0.02
),
0.05
),
200%
),
"No"
)</f>
        <v>No</v>
      </c>
      <c r="O5" s="8" t="str">
        <f>IF(
_xlfn.XLOOKUP(
_xlfn.XLOOKUP(B5,'Base stats'!B:B,'Base stats'!E:E),
Groups!A:A,
Groups!L:L
)=1,
MIN(
MROUND(
IF(
_xlfn.XLOOKUP(B5,'Animals CE'!B:B,'Animals CE'!AA:AA)&lt;=1.5,
_xlfn.XLOOKUP(B5,'Animals CE'!B:B,'Animals CE'!AA:AA)/2+0.05,
0.8+
(_xlfn.XLOOKUP(B5,'Animals CE'!B:B,'Animals CE'!AA:AA)-1.5)
*0.02
),
0.05
),
200%
),
"No"
)</f>
        <v>No</v>
      </c>
      <c r="P5" s="2" t="str">
        <f>_xlfn.XLOOKUP(B5,'Base stats'!B:B,'Base stats'!R:R)</f>
        <v>Standard</v>
      </c>
      <c r="Q5" s="13">
        <f>MROUND((LOG10(_xlfn.XLOOKUP(B5,'Base stats'!B:B,'Base stats'!AR:AR))*(AO5^0.5)+(_xlfn.XLOOKUP(B5,'Base stats'!B:B,'Base stats'!AR:AR)/1000)^(2/3)+_xlfn.XLOOKUP(B5,'Base stats'!B:B,'Base stats'!BA:BA)/2)+0.5,0.5)</f>
        <v>8.5</v>
      </c>
      <c r="R5" s="7">
        <f>IF(Q5="No","No",MAX(1,MROUND(_xlfn.XLOOKUP(B5,'Base stats'!B:B,'Base stats'!C:C)^0.165,0.05)))</f>
        <v>2.2000000000000002</v>
      </c>
      <c r="S5" s="13">
        <f>IF(_xlfn.XLOOKUP(_xlfn.XLOOKUP(B5,'Base stats'!B:B,'Base stats'!E:E),Groups!A:A,Groups!P:P)=0,"No",MROUND((LOG10(_xlfn.XLOOKUP(B5,'Base stats'!B:B,'Base stats'!AS:AS))*(AO5^0.5)+(_xlfn.XLOOKUP(B5,'Base stats'!B:B,'Base stats'!AS:AS)/1000)^(2/3)+_xlfn.XLOOKUP(B5,'Base stats'!B:B,'Base stats'!BA:BA))+_xlfn.XLOOKUP(B5,'Base stats'!B:B,'Base stats'!AY:AY)+0.5,0.5))</f>
        <v>13</v>
      </c>
      <c r="T5" s="7">
        <f>IF(S5="No","No",MAX(_xlfn.XLOOKUP(_xlfn.XLOOKUP(B5,'Base stats'!B:B,'Base stats'!E:E),Groups!A:A,Groups!Q:Q),MROUND(_xlfn.XLOOKUP(_xlfn.XLOOKUP(B5,'Base stats'!B:B,'Base stats'!E:E),Groups!A:A,Groups!Q:Q)*_xlfn.XLOOKUP(B5,'Base stats'!B:B,'Base stats'!C:C)^0.165,0.05)))</f>
        <v>2.2000000000000002</v>
      </c>
      <c r="U5" s="7" t="str">
        <f>IF(S5="No","No",_xlfn.XLOOKUP(_xlfn.XLOOKUP(B5,'Base stats'!B:B,'Base stats'!E:E),Groups!A:A,Groups!R:R))</f>
        <v>Feet</v>
      </c>
      <c r="V5" s="7" t="str">
        <f>IF(S5="No","No",_xlfn.XLOOKUP(_xlfn.XLOOKUP(B5,'Base stats'!B:B,'Base stats'!E:E),Groups!A:A,Groups!S:S))</f>
        <v>rear left claw, rear  right claw</v>
      </c>
      <c r="W5" s="7" t="str">
        <f>IF(S5="No","No",_xlfn.XLOOKUP(_xlfn.XLOOKUP(B5,'Base stats'!B:B,'Base stats'!E:E),Groups!A:A,Groups!T:T))</f>
        <v>Scratch</v>
      </c>
      <c r="X5" s="13" t="str">
        <f>IF(_xlfn.XLOOKUP(B5,'Base stats'!B:B,'Base stats'!W:W)="No","No",MROUND((LOG10(_xlfn.XLOOKUP(B5,'Base stats'!B:B,'Base stats'!AU:AU))*(AO5^0.5)+(_xlfn.XLOOKUP(B5,'Base stats'!B:B,'Base stats'!AU:AU)/1000)^(2/3)+_xlfn.XLOOKUP(B5,'Base stats'!B:B,'Base stats'!AZ:AZ))+0.5+IF(_xlfn.XLOOKUP(_xlfn.XLOOKUP(B5,'Base stats'!B:B,'Base stats'!E:E),Groups!A:A,Groups!U:U)&lt;&gt;3,_xlfn.XLOOKUP(B5,'Base stats'!B:B,'Base stats'!BA:BA),0),0.5))</f>
        <v>No</v>
      </c>
      <c r="Y5" s="7" t="str">
        <f>IF(X5="No","No",MAX(_xlfn.XLOOKUP(_xlfn.XLOOKUP(B5,'Base stats'!B:B,'Base stats'!E:E),Groups!A:A,Groups!V:V),MROUND(_xlfn.XLOOKUP(_xlfn.XLOOKUP(B5,'Base stats'!B:B,'Base stats'!E:E),Groups!A:A,Groups!V:V)*_xlfn.XLOOKUP(B5,'Base stats'!B:B,'Base stats'!C:C)^0.165,0.05)))</f>
        <v>No</v>
      </c>
      <c r="Z5" s="7" t="str">
        <f>IF(X5="No","No",_xlfn.XLOOKUP(_xlfn.XLOOKUP(B5,'Base stats'!B:B,'Base stats'!E:E),Groups!A:A,Groups!W:W))</f>
        <v>No</v>
      </c>
      <c r="AA5" s="7" t="str">
        <f>IF(X5="No","No",_xlfn.XLOOKUP(_xlfn.XLOOKUP(B5,'Base stats'!B:B,'Base stats'!E:E),Groups!A:A,Groups!X:X))</f>
        <v>No</v>
      </c>
      <c r="AB5" s="7" t="str">
        <f>IF(X5="No","No",_xlfn.XLOOKUP(_xlfn.XLOOKUP(B5,'Base stats'!B:B,'Base stats'!E:E),Groups!A:A,Groups!Y:Y))</f>
        <v>No</v>
      </c>
      <c r="AC5" s="7" t="str">
        <f>_xlfn.XLOOKUP(Animals!B5,'Base stats'!B:B,'Base stats'!X:X)</f>
        <v>False</v>
      </c>
      <c r="AD5" s="13">
        <f>IF(_xlfn.XLOOKUP(B5,'Base stats'!B:B,'Base stats'!AT:AT)="No","No",MROUND((LOG10(_xlfn.XLOOKUP(B5,'Base stats'!B:B,'Base stats'!AT:AT))*(AO5^0.75)+(_xlfn.XLOOKUP(B5,'Base stats'!B:B,'Base stats'!AT:AT)/1000)^(2/3)+_xlfn.XLOOKUP(B5,'Base stats'!B:B,'Base stats'!AX:AX)+_xlfn.XLOOKUP(B5,'Base stats'!B:B,'Base stats'!BA:BA))+0.5,0.5))</f>
        <v>8.5</v>
      </c>
      <c r="AE5" s="7">
        <f>IF(AD5="No","No",MAX(_xlfn.XLOOKUP(_xlfn.XLOOKUP(B5,'Base stats'!B:B,'Base stats'!E:E),Groups!A:A,Groups!Z:Z),MROUND(_xlfn.XLOOKUP(_xlfn.XLOOKUP(B5,'Base stats'!B:B,'Base stats'!E:E),Groups!A:A,Groups!Z:Z)*_xlfn.XLOOKUP(B5,'Base stats'!B:B,'Base stats'!C:C)^0.165,0.05)))</f>
        <v>2.2000000000000002</v>
      </c>
      <c r="AF5" s="7" t="str">
        <f>IF(AD5="No","No",_xlfn.XLOOKUP(_xlfn.XLOOKUP(B5,'Base stats'!B:B,'Base stats'!E:E),Groups!A:A,Groups!AA:AA))</f>
        <v>Beak</v>
      </c>
      <c r="AG5" s="7" t="str">
        <f>IF(AD5="No","No",_xlfn.XLOOKUP(_xlfn.XLOOKUP(B5,'Base stats'!B:B,'Base stats'!E:E),Groups!A:A,Groups!AB:AB))</f>
        <v>beak</v>
      </c>
      <c r="AH5" s="7" t="str">
        <f>IF(AD5="No","No",_xlfn.XLOOKUP(_xlfn.XLOOKUP(B5,'Base stats'!B:B,'Base stats'!E:E),Groups!A:A,Groups!AC:AC))</f>
        <v>Blunt</v>
      </c>
      <c r="AI5" s="13" t="str">
        <f>IF(_xlfn.XLOOKUP(_xlfn.XLOOKUP(B5,'Base stats'!B:B,'Base stats'!E:E),Groups!A:A,Groups!AD:AD)=0,"No",MROUND((LOG10(_xlfn.XLOOKUP(B5,'Base stats'!B:B,'Base stats'!AS:AS))*(AO5^0.75)+(_xlfn.XLOOKUP(B5,'Base stats'!B:B,'Base stats'!AS:AS)/1000)^(2/3)+_xlfn.XLOOKUP(B5,'Base stats'!B:B,'Base stats'!AY:AY)+_xlfn.XLOOKUP(B5,'Base stats'!B:B,'Base stats'!BA:BA))+0.5,0.5))</f>
        <v>No</v>
      </c>
      <c r="AJ5" s="7" t="str">
        <f>IF(AI5="No","No",MAX(_xlfn.XLOOKUP(_xlfn.XLOOKUP(B5,'Base stats'!B:B,'Base stats'!E:E),Groups!A:A,Groups!AE:AE),MROUND(_xlfn.XLOOKUP(_xlfn.XLOOKUP(B5,'Base stats'!B:B,'Base stats'!E:E),Groups!A:A,Groups!AE:AE)*IF(_xlfn.XLOOKUP(_xlfn.XLOOKUP(B5,'Base stats'!B:B,'Base stats'!E:E),Groups!A:A,Groups!AJ:AJ)="Photonozoa",0.6,1)*_xlfn.XLOOKUP(B5,'Base stats'!B:B,'Base stats'!C:C)^0.165,0.05)))</f>
        <v>No</v>
      </c>
      <c r="AK5" s="7" t="str">
        <f>IF(AI5="No","No",_xlfn.XLOOKUP(_xlfn.XLOOKUP(B5,'Base stats'!B:B,'Base stats'!E:E),Groups!A:A,Groups!AF:AF))</f>
        <v>No</v>
      </c>
      <c r="AL5" s="7" t="str">
        <f>IF(AI5="No","No",_xlfn.XLOOKUP(_xlfn.XLOOKUP(B5,'Base stats'!B:B,'Base stats'!E:E),Groups!A:A,Groups!AG:AG))</f>
        <v>No</v>
      </c>
      <c r="AM5" s="7" t="str">
        <f>IF(AI5="No","No",_xlfn.XLOOKUP(_xlfn.XLOOKUP(B5,'Base stats'!B:B,'Base stats'!E:E),Groups!A:A,Groups!AH:AH))</f>
        <v>No</v>
      </c>
      <c r="AN5" s="2" t="str">
        <f t="shared" si="0"/>
        <v>No</v>
      </c>
      <c r="AO5" s="2">
        <f>MROUND(IF(AND(_xlfn.XLOOKUP(B5,'Base stats'!B:B,'Base stats'!C:C)&gt;=0.5,_xlfn.XLOOKUP(B5,'Base stats'!B:B,'Base stats'!C:C)&lt;=0.8),
IF(_xlfn.XLOOKUP(B5,'Base stats'!B:B,'Base stats'!C:C)&lt;0.1,0.05,IF(_xlfn.XLOOKUP(B5,'Base stats'!B:B,'Base stats'!C:C)&lt;=70,(_xlfn.XLOOKUP(B5,'Base stats'!B:B,'Base stats'!C:C)/70)^0.426489913056526,IF(_xlfn.XLOOKUP(B5,'Base stats'!B:B,'Base stats'!C:C)&lt;=400,(_xlfn.XLOOKUP(B5,'Base stats'!B:B,'Base stats'!C:C)/70)^0.572811455315093,IF(_xlfn.XLOOKUP(B5,'Base stats'!B:B,'Base stats'!C:C)&lt;=2000,2.71391647193063*(_xlfn.XLOOKUP(B5,'Base stats'!B:B,'Base stats'!C:C)/400)^0.252459582904293,3.74314280240376*(_xlfn.XLOOKUP(B5,'Base stats'!B:B,'Base stats'!C:C)/2000)^0.357012633876913)))),
IF(_xlfn.XLOOKUP(B5,'Base stats'!B:B,'Base stats'!C:C)&lt;0.1,0.05,IF(_xlfn.XLOOKUP(B5,'Base stats'!B:B,'Base stats'!C:C)&lt;0.4,0.1,IF(_xlfn.XLOOKUP(B5,'Base stats'!B:B,'Base stats'!C:C)&lt;=70,(_xlfn.XLOOKUP(B5,'Base stats'!B:B,'Base stats'!C:C)/70)^0.445823913056526,IF(_xlfn.XLOOKUP(B5,'Base stats'!B:B,'Base stats'!C:C)&lt;=400,(_xlfn.XLOOKUP(B5,'Base stats'!B:B,'Base stats'!C:C)/70)^0.572811455315093,IF(_xlfn.XLOOKUP(B5,'Base stats'!B:B,'Base stats'!C:C)&lt;=2000,2.71391647193063*(_xlfn.XLOOKUP(B5,'Base stats'!B:B,'Base stats'!C:C)/400)^0.252459582904293,3.74314280240376*(_xlfn.XLOOKUP(B5,'Base stats'!B:B,'Base stats'!C:C)/2000)^0.357012633876913)))))),
IF(_xlfn.XLOOKUP(B5,'Base stats'!B:B,'Base stats'!C:C)&lt;0.1,0.05,IF(_xlfn.XLOOKUP(B5,'Base stats'!B:B,'Base stats'!C:C)&lt;=100,0.05,IF(_xlfn.XLOOKUP(B5,'Base stats'!B:B,'Base stats'!C:C)&lt;=250,0.1,IF(_xlfn.XLOOKUP(B5,'Base stats'!B:B,'Base stats'!C:C)&lt;=4000,0.25,0.5)))))</f>
        <v>1.3</v>
      </c>
      <c r="AP5" s="8">
        <f>MROUND(AO5*_xlfn.XLOOKUP(_xlfn.XLOOKUP(B5,'Base stats'!B:B,'Base stats'!E:E),Groups!A:A,Groups!AI:AI)*_xlfn.XLOOKUP(B5,'Base stats'!B:B,'Base stats'!Z:Z),0.05)</f>
        <v>1.3</v>
      </c>
      <c r="AQ5" s="8">
        <f>MAX(0.01,MROUND(IF(CC5="True",0.196*(AO5*100*1000)^0.889,IF(_xlfn.XLOOKUP(_xlfn.XLOOKUP(B5,'Base stats'!B:B,'Base stats'!E:E),Groups!A:A,Groups!AJ:AJ)="Bird",10.5*(AO5*100*1000)^0.681,4.82*(AO5*100*1000)^0.734))/(4.82*(1*100*1000)^0.734)/IF(AO5&lt;3.5,2,IF(AO5=3.5,1.5,1.25))*(1+0.132282374779864/(AO5^0.994035016789033+0.00905238001496948)),0.05))</f>
        <v>0.8</v>
      </c>
      <c r="AR5" s="9">
        <f>IFERROR(MROUND(_xlfn.XLOOKUP(B5,'Base stats'!B:B,'Base stats'!H:H)/IF(_xlfn.XLOOKUP(B5,'Base stats'!B:B,'Base stats'!I:I)&lt;&gt;1,(122.5/70),1.2),IF(_xlfn.XLOOKUP(B5,'Base stats'!B:B,'Base stats'!H:H)&gt;=30,5,IF(_xlfn.XLOOKUP(B5,'Base stats'!B:B,'Base stats'!H:H)&gt;=15,3,IF(_xlfn.XLOOKUP(B5,'Base stats'!B:B,'Base stats'!H:H)&gt;=10,2,1)))),"Immortal")</f>
        <v>30</v>
      </c>
      <c r="AS5" s="35" t="str">
        <f>IFERROR(IF(OR(_xlfn.XLOOKUP(B5,'Base stats'!B:B,'Base stats'!F:F)="Atypical reproduction",_xlfn.XLOOKUP(B5,'Base stats'!B:B,'Base stats'!F:F)="Lay eggs"),"Lay eggs",MIN(20,MAX(5.5,ROUND(((_xlfn.XLOOKUP(B5,'Base stats'!B:B,'Base stats'!F:F)-25)*(14.5/615) + 5.5)*2,0)/2))),"Unknown")</f>
        <v>Lay eggs</v>
      </c>
      <c r="AT5" s="8">
        <f>IF(_xlfn.XLOOKUP(B5,'Base stats'!B:B,'Base stats'!G:G)="Atypical reproduction","No",IFERROR(MAX(IF(_xlfn.XLOOKUP(B5,'Base stats'!B:B,'Base stats'!G:G)&lt;0.5,0.2,0.3),MROUND(_xlfn.XLOOKUP(B5,'Base stats'!B:B,'Base stats'!G:G)/(365/60),0.2)),"Unknown"))</f>
        <v>0.4</v>
      </c>
      <c r="AU5" s="8">
        <f t="shared" si="1"/>
        <v>0.2</v>
      </c>
      <c r="AV5" s="8" t="str">
        <f>IFERROR(IFERROR(MROUND(_xlfn.XLOOKUP(B5,'Base stats'!B:B,'Base stats'!J:J),0.1),"Lay eggs"),"Cannot breed")</f>
        <v>Lay eggs</v>
      </c>
      <c r="AW5" s="2" t="str">
        <f t="shared" si="2"/>
        <v>true</v>
      </c>
      <c r="AX5" s="2" t="str">
        <f>IF(_xlfn.XLOOKUP(_xlfn.XLOOKUP(Animals!B5,'Base stats'!B:B,'Base stats'!E:E),Groups!A:A,Groups!AK:AK)=1,"true","false")</f>
        <v>false</v>
      </c>
      <c r="AY5" s="25" t="str">
        <f>IF(_xlfn.XLOOKUP(B5,'Base stats'!B:B,'Base stats'!Y:Y)="Liquor","Liquor, CarnivoreAnimalStrict",IF(AND(_xlfn.XLOOKUP(B5,'Base stats'!B:B,'Base stats'!Y:Y)="Carnivore",_xlfn.XLOOKUP(_xlfn.XLOOKUP(B5,'Base stats'!B:B,'Base stats'!E:E),Groups!A:A,Groups!AJ:AJ)="Photonozoa"),"CarnivoreAnimalStrict, OvivoreAnimal",IF(_xlfn.XLOOKUP(B5,'Base stats'!B:B,'Base stats'!Y:Y)="Carnivore","CarnivoreAnimal, OvivoreAnimal",IF(_xlfn.XLOOKUP(B5,'Base stats'!B:B,'Base stats'!Y:Y)="Dendrovore","VegetarianRoughAnimal, DendrovoreAnimal",IF(_xlfn.XLOOKUP(B5,'Base stats'!B:B,'Base stats'!Y:Y)="Herbivore","VegetarianRoughAnimal",IF(_xlfn.XLOOKUP(B5,'Base stats'!B:B,'Base stats'!Y:Y)="OmnivoreRough","OmnivoreRoughAnimal, OvivoreAnimal","OmnivoreAnimal, OvivoreAnimal"))))))</f>
        <v>VegetarianRoughAnimal</v>
      </c>
      <c r="AZ5" s="2">
        <f>IF(_xlfn.XLOOKUP(_xlfn.XLOOKUP(B5,'Base stats'!B:B,'Base stats'!E:E),Groups!A:A,Groups!D:D)=1,MROUND((1-J5)*5+1,2)*IF(J5&lt;=0.4,2,1),"No")</f>
        <v>2</v>
      </c>
      <c r="BA5" s="2" t="str">
        <f>IF(AND(_xlfn.XLOOKUP(B5,'Base stats'!B:B,'Base stats'!AH:AH)="&lt;li&gt;Seal&lt;/li&gt;",G5="Odyssey"),"&lt;li&gt;AEXP_Seal&lt;/li&gt;",_xlfn.XLOOKUP(B5,'Base stats'!B:B,'Base stats'!AH:AH))</f>
        <v>&lt;li&gt;Cassowary&lt;/li&gt;</v>
      </c>
      <c r="BB5" s="2" t="str">
        <f>_xlfn.XLOOKUP(B5,'Base stats'!B:B,'Base stats'!AG:AG)</f>
        <v>Leather_Bird</v>
      </c>
      <c r="BC5" s="23" t="str">
        <f>_xlfn.XLOOKUP(_xlfn.XLOOKUP(B5,'Base stats'!B:B,'Base stats'!E:E),Groups!A:A,Groups!AL:AL)</f>
        <v>Bird</v>
      </c>
      <c r="BD5" s="23">
        <f>MIN(1,MROUND(IF(AND(AO5&lt;0.5,_xlfn.XLOOKUP(B5,'Base stats'!B:B,'Base stats'!AA:AA)=0),0,IF(OR(_xlfn.XLOOKUP(Animals!B5,'Base stats'!B:B,'Base stats'!O:O)=2,_xlfn.XLOOKUP(_xlfn.XLOOKUP(B5,'Base stats'!B:B,'Base stats'!E:E),Groups!A:A,Groups!AN:AN)=0),0,_xlfn.XLOOKUP(_xlfn.XLOOKUP(B5,'Base stats'!B:B,'Base stats'!E:E),Groups!A:A,Groups!AN:AN)/IF(_xlfn.XLOOKUP(Animals!B5,'Base stats'!B:B,'Base stats'!O:O)=1,2,1)))+_xlfn.XLOOKUP(B5,'Base stats'!B:B,'Base stats'!AC:AC),0.005))</f>
        <v>0</v>
      </c>
      <c r="BE5" s="23">
        <f>MIN(1,MROUND(IF(AND(AO5&lt;0.5,_xlfn.XLOOKUP(B5,'Base stats'!B:B,'Base stats'!AA:AA)=0),0,IF(_xlfn.XLOOKUP(_xlfn.XLOOKUP(B5,'Base stats'!B:B,'Base stats'!E:E),Groups!A:A,Groups!AO:AO)=0,0,_xlfn.XLOOKUP(_xlfn.XLOOKUP(B5,'Base stats'!B:B,'Base stats'!E:E),Groups!A:A,Groups!AO:AO)/IF(_xlfn.XLOOKUP(Animals!B5,'Base stats'!B:B,'Base stats'!O:O)=2,3,1)))+_xlfn.XLOOKUP(B5,'Base stats'!B:B,'Base stats'!AD:AD),0.005))</f>
        <v>0</v>
      </c>
      <c r="BF5" s="2" t="str">
        <f>IF(J5&gt;0.3,"No",_xlfn.XLOOKUP(_xlfn.XLOOKUP(Animals!B5,'Base stats'!B:B,'Base stats'!E:E),Groups!A:A,Groups!AP:AP))</f>
        <v>No</v>
      </c>
      <c r="BG5" s="2" t="str">
        <f>IF(AND(J5&lt;=0.65,_xlfn.XLOOKUP(_xlfn.XLOOKUP(Animals!B5,'Base stats'!B:B,'Base stats'!E:E),Groups!A:A,Groups!AP:AP)&lt;&gt;"No",_xlfn.XLOOKUP(_xlfn.XLOOKUP(B5,'Base stats'!B:B,'Base stats'!E:E),Groups!A:A,Groups!D:D)=0),MROUND((80/3)*IF(_xlfn.XLOOKUP(B5,'Base stats'!B:B,'Base stats'!O:O)=2,0.2,AO5) + 24*(1-IF(BF5="No",0,BF5)) + 16/3, 12),"No")</f>
        <v>No</v>
      </c>
      <c r="BH5" s="2">
        <f>IF(AND(_xlfn.XLOOKUP(_xlfn.XLOOKUP(B5,'Base stats'!B:B,'Base stats'!E:E),Groups!A:A,Groups!AQ:AQ)=1,AO5&lt;=0.35),8,12)</f>
        <v>12</v>
      </c>
      <c r="BI5" s="2" t="str">
        <f>IF(_xlfn.XLOOKUP(_xlfn.XLOOKUP(B5,'Base stats'!B:B,'Base stats'!E:E),Groups!A:A,Groups!D:D)=0,_xlfn.XLOOKUP(_xlfn.XLOOKUP(B5,'Base stats'!B:B,'Base stats'!E:E),Groups!A:A,Groups!AR:AR),"None")</f>
        <v>None</v>
      </c>
      <c r="BJ5" s="2" t="str">
        <f>IF(AND(_xlfn.XLOOKUP(_xlfn.XLOOKUP(B5,'Base stats'!B:B,'Base stats'!E:E),Groups!A:A,Groups!AS:AS)=1,OR(_xlfn.XLOOKUP(B5,'Base stats'!B:B,'Base stats'!Y:Y)="Carnivore",_xlfn.XLOOKUP(B5,'Base stats'!B:B,'Base stats'!Y:Y)="Omnivore")),"true","false")</f>
        <v>false</v>
      </c>
      <c r="BK5" s="2" t="str">
        <f>IF(BJ5="true",MROUND(IF(AND(AO5&gt;0.5,OR(_xlfn.XLOOKUP(_xlfn.XLOOKUP(B5,'Base stats'!B:B,'Base stats'!E:E),Groups!A:A,Groups!AJ:AJ)="Photonozoa",_xlfn.XLOOKUP(_xlfn.XLOOKUP(B5,'Base stats'!B:B,'Base stats'!E:E),Groups!A:A,Groups!AJ:AJ)="Mammal")),Animals!AO5*1.75*IF(AW5="true",1.5,1),IF(AO5&lt;0.5,Animals!AO5*0.5,Animals!AO5)),IF(AO5&gt;2,0.5,IF(AO5&gt;0.5,0.25,0.1))),"No")</f>
        <v>No</v>
      </c>
      <c r="BL5" s="2">
        <f t="shared" si="3"/>
        <v>0</v>
      </c>
      <c r="BM5" s="25" t="str">
        <f>IF(_xlfn.XLOOKUP(B5,'Base stats'!B:B,'Base stats'!AN:AN)="Standard","No",MROUND((_xlfn.XLOOKUP(B5,'Base stats'!B:B,'Base stats'!AN:AN)/3.6)/I5,0.1))</f>
        <v>No</v>
      </c>
      <c r="BN5" s="25" t="str">
        <f t="shared" si="4"/>
        <v>false</v>
      </c>
      <c r="BO5" s="25" t="str">
        <f>IF(AND(OR(_xlfn.XLOOKUP(B5,'Base stats'!B:B,'Base stats'!Y:Y)="Carnivore",_xlfn.XLOOKUP(B5,'Base stats'!B:B,'Base stats'!Y:Y)="Omnivore",_xlfn.XLOOKUP(B5,'Base stats'!B:B,'Base stats'!Y:Y)="OmnivoreRough"),_xlfn.XLOOKUP(_xlfn.XLOOKUP(B5,'Base stats'!B:B,'Base stats'!E:E),Groups!A:A,Groups!AT:AT)=1),"true","false")</f>
        <v>false</v>
      </c>
      <c r="BP5" s="25" t="str" cm="1">
        <f t="array" ref="BP5">IF(
  _xlfn.TEXTJOIN(", ",TRUE,
    IF(AND(BJ5="true",AO5&gt;0.5,BI5&lt;&gt;"None"),"AttackTarget",""),
    IF(AND(_xlfn.XLOOKUP(_xlfn.XLOOKUP(B5,'Base stats'!B:B,'Base stats'!E:E),Groups!A:A,Groups!AJ:AJ="Mammal"),OR(_xlfn.XLOOKUP(B5,'Base stats'!B:B,'Base stats'!Y:Y)="Omnivore",_xlfn.XLOOKUP(B5,'Base stats'!B:B,'Base stats'!Y:Y)="OmnivoreRough")),"Forage",""),
    IF(BG5&lt;=36,"Comfort",""),
    IF(_xlfn.XLOOKUP(B5,'Base stats'!B:B,'Base stats'!AE:AE)&lt;&gt;"No",_xlfn.XLOOKUP(B5,'Base stats'!B:B,'Base stats'!AE:AE),"")
  ) = "",
  "No",
  _xlfn.TEXTJOIN(", ",TRUE,
    IF(AND(BJ5="true",AO5&gt;0.5,BI5&lt;&gt;"None"),"AttackTarget",""),
    IF(AND(_xlfn.XLOOKUP(_xlfn.XLOOKUP(B5,'Base stats'!B:B,'Base stats'!E:E),Groups!A:A,Groups!AJ:AJ="Mammal"),OR(_xlfn.XLOOKUP(B5,'Base stats'!B:B,'Base stats'!Y:Y)="Omnivore",_xlfn.XLOOKUP(B5,'Base stats'!B:B,'Base stats'!Y:Y)="OmnivoreRough")),"Forage",""),
    IF(BG5&lt;=36,"Comfort",""),
    IF(_xlfn.XLOOKUP(B5,'Base stats'!B:B,'Base stats'!AE:AE)&lt;&gt;"No",_xlfn.XLOOKUP(B5,'Base stats'!B:B,'Base stats'!AE:AE),"")
  )
)</f>
        <v>No</v>
      </c>
      <c r="BQ5" s="25" t="str">
        <f>IF(
   AND(
      'Base stats'!AN5="Standard",_xlfn.XLOOKUP(_xlfn.XLOOKUP(B5,'Base stats'!B:B,'Base stats'!E:E),Groups!A:A,Groups!AU:AU)=0,
      OR(
      BO5="True"
      )
   ),
   10,
   IF(
       OR(BM5&lt;&gt;"No",_xlfn.XLOOKUP(_xlfn.XLOOKUP(B5,'Base stats'!B:B,'Base stats'!E:E),Groups!A:A,Groups!AU:AU)=1),
      1,
      "No"
   )
)</f>
        <v>No</v>
      </c>
      <c r="BR5" s="9">
        <f>MROUND((1 + ((0.2*IF(OR(Q5="No",R5="No",R5=0),0,Q5/R5)
+IF(OR(V5="No",S5="No",T5="No"),0,S5/T5*(LEN(V5)-LEN(SUBSTITUTE(V5,",",""))+1))
+IF(OR(X5="No",Y5="No"),0,X5/Y5)
+IF(OR(AD5="No",AE5="No"),0,AD5/AE5)
+IF(OR(AL5="No",AI5="No",AJ5="No"),0,AI5/AJ5*(LEN(AL5)-LEN(SUBSTITUTE(AL5,",",""))+1))
)/(0.2*IF(OR(Q5="No",R5="No",R5=0),0,1)
+IF(OR(V5="No",S5="No",T5="No"),0,LEN(V5)-LEN(SUBSTITUTE(V5,",",""))+1)
+IF(OR(X5="No",Y5="No"),0,1)
+IF(OR(AD5="No",AE5="No"),0,1)
+IF(OR(AL5="No",AI5="No",AJ5="No"),0,LEN(AL5)-LEN(SUBSTITUTE(AL5,",",""))+1))*62%)* 2)*(1 + (AP5 / (IF(_xlfn.XLOOKUP(_xlfn.XLOOKUP(B5,'Base stats'!B:B,'Base stats'!E:E),Groups!A:A,Groups!AJ:AJ)="Photonozoa",0.3,1)) + _xlfn.XLOOKUP(B5,'Base stats'!B:B,'Base stats'!AV:AV) * 1.8) * 2) * 2.5 + 10 + I5 * 2,5)+IF(_xlfn.XLOOKUP(B5,'Base stats'!B:B,'Base stats'!AK:AK)=1,50,0)</f>
        <v>90</v>
      </c>
      <c r="BS5" s="8">
        <f t="shared" si="5"/>
        <v>0.9</v>
      </c>
      <c r="BT5" s="8" t="str">
        <f>_xlfn.XLOOKUP(B5,'Base stats'!B:B,'Base stats'!AF:AF)</f>
        <v>2~6</v>
      </c>
      <c r="BU5" s="2" t="str">
        <f>IF(AND(J5&lt;=0.95,OR(_xlfn.XLOOKUP(B5,'Base stats'!B:B,'Base stats'!AK:AK)=1,_xlfn.XLOOKUP(B5,'Base stats'!B:B,'Base stats'!Y:Y)="Carnivore",_xlfn.XLOOKUP(B5,'Base stats'!B:B,'Base stats'!Y:Y)="Omnivore",BE5&gt;0.1)),"true","false")</f>
        <v>false</v>
      </c>
      <c r="BV5" s="2" t="str">
        <f>IF(_xlfn.XLOOKUP(B5,'Base stats'!B:B,'Base stats'!AI:AI)=1,"true","false")</f>
        <v>false</v>
      </c>
      <c r="BW5" s="25" t="str">
        <f>IF(E5="BaseInsect","AnimalInsect",
IF(J5&gt;0.95,"AnimalExotic",
_xlfn.TEXTJOIN(", ",TRUE,
IF(OR(_xlfn.XLOOKUP(B5,'Base stats'!B:B,'Base stats'!AM:AM)=1,AND(_xlfn.XLOOKUP(B5,'Base stats'!B:B,'Base stats'!O:O)=0,_xlfn.XLOOKUP(_xlfn.XLOOKUP(B5,'Base stats'!B:B,'Base stats'!E:E),Groups!A:A,Groups!B:B)&gt;0)),"AnimalUncommon","AnimalCommon"),
IF(AND(_xlfn.XLOOKUP(B5,'Base stats'!B:B,'Base stats'!O:O)=2,_xlfn.XLOOKUP(_xlfn.XLOOKUP(B5,'Base stats'!B:B,'Base stats'!E:E),Groups!A:A,Groups!D:D)=0),"AnimalPet",IF(AND(_xlfn.XLOOKUP(B5,'Base stats'!B:B,'Base stats'!O:O)&lt;&gt;0,_xlfn.XLOOKUP(_xlfn.XLOOKUP(B5,'Base stats'!B:B,'Base stats'!E:E),Groups!A:A,Groups!D:D)&lt;&gt;0),"AnimalFarm","")),
IF(OR(_xlfn.XLOOKUP(B5,'Base stats'!B:B,'Base stats'!AK:AK)=1,AND(BI5&lt;&gt;"None",BR5&gt;=60),ISNUMBER(SEARCH("Attack target",BP5))),"AnimalFighter","")
)))</f>
        <v>AnimalCommon</v>
      </c>
      <c r="BX5" s="25" t="str">
        <f>IF(G5="None",TRIM(
SUBSTITUTE(
IF(COUNTIF(Biomes!B$2:B$259,"="&amp;$C5)&gt;0,Biomes!B$1&amp;", ","")&amp;
IF(COUNTIF(Biomes!C$2:C$259,"="&amp;$C5)&gt;0,Biomes!C$1&amp;", ","")&amp;
IF(COUNTIF(Biomes!D$2:D$259,"="&amp;$C5)&gt;0,Biomes!D$1&amp;", ","")&amp;
IF(COUNTIF(Biomes!F$2:F$259,"="&amp;$C5)&gt;0,Biomes!F$1&amp;", ","")&amp;
IF(COUNTIF(Biomes!G$2:G$259,"="&amp;$C5)&gt;0,Biomes!G$1&amp;", ","")&amp;
IF(COUNTIF(Biomes!H$2:H$259,"="&amp;$C5)&gt;0,Biomes!H$1&amp;", ","")&amp;
IF(COUNTIF(Biomes!I$2:I$259,"="&amp;$C5)&gt;0,Biomes!I$1&amp;", ","")&amp;
IF(COUNTIF(Biomes!J$2:J$259,"="&amp;$C5)&gt;0,Biomes!J$1&amp;", ","")&amp;
IF(COUNTIF(Biomes!M$2:M$259,"="&amp;$C5)&gt;0,Biomes!M$1&amp;", ","")&amp;
IF(COUNTIF(Biomes!N$2:N$259,"="&amp;$C5)&gt;0,Biomes!N$1&amp;", ","")&amp;
IF(COUNTIF(Biomes!O$2:O$259,"="&amp;$C5)&gt;0,Biomes!O$1&amp;", ","")&amp;
IF(COUNTIF(Biomes!P$2:P$259,"="&amp;$C5)&gt;0,Biomes!P$1&amp;", ","")&amp;
IF(COUNTIF(Biomes!K$2:K$259,"="&amp;$C5)&gt;0,Biomes!K$1&amp;", ","")&amp;
IF(COUNTIF(Biomes!Q$3:Q$259,"="&amp;$C5)&gt;0,Biomes!Q$1&amp;", ","")&amp;
IF(COUNTIF(Biomes!L$2:L$259,"="&amp;$C5)&gt;0,Biomes!L$1&amp;", ","")&amp;
IF(COUNTIF(Biomes!E$2:E$259,"="&amp;$C5)&gt;0,Biomes!E$1&amp;", ","")&amp;IF(COUNTIF(Biomes!S$2:S$259,"="&amp;$C5)&gt;0,Biomes!S$1&amp;", ","")&amp;
IF(COUNTIF(Biomes!R$2:R$259,"="&amp;$C5)&gt;0,Biomes!R$1&amp;", ",""),", ","")
),_xlfn.XLOOKUP(B5,B:B,BX:BX))</f>
        <v>AridShrubland Desert ExtremeDesert Grasslands LavaField</v>
      </c>
      <c r="BY5" s="25" t="str">
        <f>IF(_xlfn.XLOOKUP(B5,'Base stats'!B:B,'Base stats'!AJ:AJ)=1,"true","false")</f>
        <v>false</v>
      </c>
      <c r="BZ5" s="25">
        <f>IF(_xlfn.XLOOKUP(B5,'Base stats'!B:B,'Base stats'!N:N)=1,"No",MAX(0.001,MIN(MROUND(IF(AND(BJ5="True",CC5="False"),POWER(10,3.47*LOG10(_xlfn.XLOOKUP(B5,'Base stats'!B:B,'Base stats'!C:C)*1000)^-0.96),POWER(10,4.15*LOG10(_xlfn.XLOOKUP(B5,'Base stats'!B:B,'Base stats'!C:C)*1000)^-0.73))*IF(_xlfn.XLOOKUP(B5,'Base stats'!B:B,'Base stats'!AK:AK)=1,0.5,1)*IF(_xlfn.XLOOKUP(B5,'Base stats'!B:B,'Base stats'!AM:AM)=1,0.1,1)/100,IF(_xlfn.XLOOKUP(B5,'Base stats'!B:B,'Base stats'!AM:AM)=1,0.001,0.025)),0.5)))</f>
        <v>0.2</v>
      </c>
      <c r="CA5" s="25" t="str">
        <f>IF(P5="Standard","No",MAX(0.001,MIN(MROUND(IF(AND(BJ5="True",CC5="False"),POWER(10,3.47*LOG10(_xlfn.XLOOKUP(B5,'Base stats'!B:B,'Base stats'!C:C)*1000)^-0.96),POWER(10,4.15*LOG10(_xlfn.XLOOKUP(B5,'Base stats'!B:B,'Base stats'!C:C)*1000)^-0.73))*IF(_xlfn.XLOOKUP(B5,'Base stats'!B:B,'Base stats'!AM:AM)=1,0.1,1)*_xlfn.XLOOKUP(B5,'Base stats'!B:B,'Base stats'!R:R)/100,IF(_xlfn.XLOOKUP(B5,'Base stats'!B:B,'Base stats'!AM:AM)=1,0.001,0.025)),0.5)))</f>
        <v>No</v>
      </c>
      <c r="CB5" s="25" t="str">
        <f>IF(_xlfn.XLOOKUP(_xlfn.XLOOKUP(B5,'Base stats'!B:B,'Base stats'!E:E),Groups!A:A,Groups!AJ:AJ)="Mammal","True","False")</f>
        <v>False</v>
      </c>
      <c r="CC5" s="25" t="str">
        <f>IF(OR(_xlfn.XLOOKUP(_xlfn.XLOOKUP(B5,'Base stats'!B:B,'Base stats'!E:E),Groups!A:A,Groups!AJ:AJ)="Reptile",_xlfn.XLOOKUP(_xlfn.XLOOKUP(B5,'Base stats'!B:B,'Base stats'!E:E),Groups!A:A,Groups!AJ:AJ)="Amphibian",_xlfn.XLOOKUP(_xlfn.XLOOKUP(B5,'Base stats'!B:B,'Base stats'!E:E),Groups!A:A,Groups!AJ:AJ)="Invertebrate"),"True","False")</f>
        <v>False</v>
      </c>
      <c r="CD5" s="25" t="str">
        <f t="shared" si="6"/>
        <v>False</v>
      </c>
      <c r="CE5" s="25" t="str">
        <f>IF(_xlfn.XLOOKUP(_xlfn.XLOOKUP(B5,'Base stats'!B:B,'Base stats'!E:E),Groups!A:A,Groups!AX:AX),"True","False")</f>
        <v>False</v>
      </c>
      <c r="CF5" s="25" t="str">
        <f>IF(_xlfn.XLOOKUP(_xlfn.XLOOKUP(B5,'Base stats'!B:B,'Base stats'!E:E),Groups!A:A,Groups!AY:AY),"True","False")</f>
        <v>False</v>
      </c>
      <c r="CG5" s="25" t="str">
        <f>IF(_xlfn.XLOOKUP(_xlfn.XLOOKUP(B5,'Base stats'!B:B,'Base stats'!E:E),Groups!A:A,Groups!AW:AW),"True","False")</f>
        <v>False</v>
      </c>
      <c r="CH5" s="25" t="str">
        <f>IF(
OR(
_xlfn.XLOOKUP(_xlfn.XLOOKUP(B5,'Base stats'!B:B,'Base stats'!E:E),Groups!A:A,Groups!AZ:AZ)=0,
AND(
_xlfn.XLOOKUP(B5,'Base stats'!B:B,'Base stats'!Y:Y)&lt;&gt;"Carnivore",
_xlfn.XLOOKUP(B5,'Base stats'!B:B,'Base stats'!Y:Y)&lt;&gt;"Omnivore",
_xlfn.XLOOKUP(B5,'Base stats'!B:B,'Base stats'!Y:Y)&lt;&gt;"OmnivoreRough"
)
),
"No",
IF(
_xlfn.XLOOKUP(_xlfn.XLOOKUP(B5,'Base stats'!B:B,'Base stats'!E:E),Groups!A:A,Groups!AZ:AZ)=1,
"Flesh",
IF(
_xlfn.XLOOKUP(_xlfn.XLOOKUP(B5,'Base stats'!B:B,'Base stats'!E:E),Groups!A:A,Groups!AZ:AZ)=2,
"Bone",
""
)
)
)</f>
        <v>No</v>
      </c>
      <c r="CI5" s="25" t="str">
        <f>IF(_xlfn.XLOOKUP(_xlfn.XLOOKUP(B5,'Base stats'!B:B,'Base stats'!E:E),Groups!A:A,Groups!BB:BB),"True","False")</f>
        <v>True</v>
      </c>
      <c r="CJ5" s="25" t="str">
        <f>IF(_xlfn.XLOOKUP(_xlfn.XLOOKUP(B5,'Base stats'!B:B,'Base stats'!E:E),Groups!A:A,Groups!BA:BA),"True","False")</f>
        <v>False</v>
      </c>
      <c r="CO5" s="16"/>
    </row>
    <row r="6" spans="1:93" ht="16.5" thickTop="1" thickBot="1" x14ac:dyDescent="0.3">
      <c r="A6" s="26" t="str">
        <f>_xlfn.XLOOKUP(B6,'Base stats'!B:B,'Base stats'!A:A)</f>
        <v>Cassowary</v>
      </c>
      <c r="B6" s="6" t="s">
        <v>44</v>
      </c>
      <c r="C6" s="28" t="s">
        <v>677</v>
      </c>
      <c r="D6" s="28" t="s">
        <v>45</v>
      </c>
      <c r="E6" s="28" t="s">
        <v>675</v>
      </c>
      <c r="F6" s="28" t="s">
        <v>676</v>
      </c>
      <c r="G6" s="28" t="s">
        <v>673</v>
      </c>
      <c r="H6" s="2">
        <f>MROUND((
  (IF(AND(_xlfn.XLOOKUP(B6,'Base stats'!B:B,'Base stats'!AL:AL)=0,BI6="None",_xlfn.XLOOKUP(_xlfn.XLOOKUP(B6,'Base stats'!B:B,'Base stats'!E:E),Groups!A:A,Groups!B:B)=0), (18 + BR6 * 2.7) * 0.5,
    IF(AND(_xlfn.XLOOKUP(B6,'Base stats'!B:B,'Base stats'!AL:AL)=0,OR(AO6&lt;0.55,AND(BI6="Intermediate",_xlfn.XLOOKUP(_xlfn.XLOOKUP(B6,'Base stats'!B:B,'Base stats'!E:E),Groups!A:A,Groups!B:B)&lt;2))), (18 + BR6 * 2.7),
      IF(OR(BI6="Advanced",_xlfn.XLOOKUP(B6,'Base stats'!B:B,'Base stats'!AL:AL)=1,_xlfn.XLOOKUP(_xlfn.XLOOKUP(B6,'Base stats'!B:B,'Base stats'!E:E),Groups!A:A,Groups!B:B)=2), (18 + BR6 * 2.7) + 250, (18 + BR6 * 2.7))
    )
  ))
  + AO6 * 80
  + IF(COUNTIF(EggMilk!K$2:K$998, A6) &gt; 0, 125, 0)
  + IF(COUNTIF(EggMilk!P$2:P$998, A6) &gt; 0, 90, 0)
  + IF(COUNTIF(EggMilk!A$2:A$998, A6) &gt; 0, 90, 0)
)
* (0.8 + 0.4 * J6)
* 0.75,25)</f>
        <v>300</v>
      </c>
      <c r="I6" s="2">
        <f>MROUND(ROUNDDOWN(_xlfn.XLOOKUP(B6,'Base stats'!B:B,'Base stats'!L:L)/3.6/(23.3/11),1),0.5)</f>
        <v>5.5</v>
      </c>
      <c r="J6" s="2">
        <f>IF(OR(_xlfn.XLOOKUP(B6,'Base stats'!B:B,'Base stats'!AB:AB)=1,_xlfn.XLOOKUP(_xlfn.XLOOKUP(B6,'Base stats'!B:B,'Base stats'!E:E),Groups!A:A,Groups!C:C)="Untamable"),1,IF(_xlfn.XLOOKUP(B6,'Base stats'!B:B,'Base stats'!AL:AL)=1,0.99,MIN(MROUND((1-0.6282*EXP(-0.459*AO6))*_xlfn.XLOOKUP(_xlfn.XLOOKUP(B6,'Base stats'!B:B,'Base stats'!E:E),Groups!A:A,Groups!C:C)*IF(_xlfn.XLOOKUP(B6,'Base stats'!B:B,'Base stats'!O:O)=1,0.5,IF(_xlfn.XLOOKUP(B6,'Base stats'!B:B,'Base stats'!O:O)=2,0,1)),0.05),IF(AO6&gt;3.5,0.985,0.95))))</f>
        <v>0.85000000000000009</v>
      </c>
      <c r="K6" s="2">
        <f>ROUNDUP(AO6*_xlfn.XLOOKUP(_xlfn.XLOOKUP(B6,'Base stats'!B:B,'Base stats'!E:E),Groups!A:A,Groups!E:E),0)</f>
        <v>9</v>
      </c>
      <c r="L6" s="2">
        <f>IF(OR(_xlfn.XLOOKUP(_xlfn.XLOOKUP(B6,'Base stats'!B:B,'Base stats'!E:E),Groups!A:A,Groups!F:F)=2,ISNUMBER(SEARCH("SeaIce",BX6)),ISNUMBER(SEARCH("IceSheet",BX6))),-50,IF(OR(ISNUMBER(SEARCH("GlacialPlain",BX6)),ISNUMBER(SEARCH("Tundra",BX6))),-40,IF(OR(ISNUMBER(SEARCH("Alpine",BX6)),ISNUMBER(SEARCH("BorealForest",BX6)),ISNUMBER(SEARCH("ColdBog",BX6))),-30,IF(OR(ISNUMBER(SEARCH("TemperateForest",BX6)),ISNUMBER(SEARCH("TemperateSwamp",BX6))),-20,IF(_xlfn.XLOOKUP(_xlfn.XLOOKUP(B6,'Base stats'!B:B,'Base stats'!E:E),Groups!A:A,Groups!F:F)=1,-15,IF(OR(ISNUMBER(SEARCH("Desert",BX6)),ISNUMBER(SEARCH("ExtremeDesert",BX6))),-10,IF(OR(ISNUMBER(SEARCH("Grasslands",BX6)),ISNUMBER(SEARCH("TropicalRainforest",BX6)),ISNUMBER(SEARCH("TropicalSwamp",BX6))),10,0)))))))-IF(CC6="False",MIN(IFERROR(MAX(MROUND(LOG10(_xlfn.XLOOKUP(B6,'Base stats'!B:B,'Base stats'!C:C)^(2/3))*10,5),5),5),30))-_xlfn.XLOOKUP(B6,'Base stats'!B:B,'Base stats'!P:P)+IF(CC6="True",5,0)</f>
        <v>0</v>
      </c>
      <c r="M6" s="2">
        <f>IF(OR(_xlfn.XLOOKUP(_xlfn.XLOOKUP(B6,'Base stats'!B:B,'Base stats'!E:E),Groups!A:A,Groups!G:G)=2,ISNUMBER(SEARCH("Desert",BX6)),ISNUMBER(SEARCH("ExtremeDesert",BX6)),ISNUMBER(SEARCH("LavaField",BX6))),50,IF(ISNUMBER(SEARCH("Grasslands",BX6)),45,IF(OR(_xlfn.XLOOKUP(_xlfn.XLOOKUP(B6,'Base stats'!B:B,'Base stats'!E:E),Groups!A:A,Groups!G:G)=1,ISNUMBER(SEARCH("TropicalRainforest",BX6)),ISNUMBER(SEARCH("TropicalSwamp",BX6))),40,IF(OR(ISNUMBER(SEARCH("TemperateForest",BX6)),ISNUMBER(SEARCH("TemperateSwamp",BX6))),35,IF(OR(ISNUMBER(SEARCH("Alpine",BX6)),ISNUMBER(SEARCH("BorealForest",BX6)),ISNUMBER(SEARCH("ColdBog",BX6))),30,IF(ISNUMBER(OR(ISNUMBER(SEARCH("GlacialPlain",BX6)),SEARCH("Tundra",BX6))),25,IF(OR(ISNUMBER(SEARCH("SeaIce",BX6)),ISNUMBER(SEARCH("IceSheet",BX6)),ISNUMBER(SEARCH("TropicalSwamp",BX6))),10,35)))))))+_xlfn.XLOOKUP(B6,'Base stats'!B:B,'Base stats'!Q:Q)</f>
        <v>40</v>
      </c>
      <c r="N6" s="8" t="str">
        <f>IF(
_xlfn.XLOOKUP(
_xlfn.XLOOKUP(B6,'Base stats'!B:B,'Base stats'!E:E),
Groups!A:A,
Groups!L:L
)=1,
MIN(
MROUND(
IF(
_xlfn.XLOOKUP(B6,'Animals CE'!B:B,'Animals CE'!Z:Z)&lt;=1.5,
_xlfn.XLOOKUP(B6,'Animals CE'!B:B,'Animals CE'!Z:Z)/2+0.05,
0.8+
(_xlfn.XLOOKUP(B6,'Animals CE'!B:B,'Animals CE'!Z:Z)-1.5)
*0.02
),
0.05
),
200%
),
"No"
)</f>
        <v>No</v>
      </c>
      <c r="O6" s="8" t="str">
        <f>IF(
_xlfn.XLOOKUP(
_xlfn.XLOOKUP(B6,'Base stats'!B:B,'Base stats'!E:E),
Groups!A:A,
Groups!L:L
)=1,
MIN(
MROUND(
IF(
_xlfn.XLOOKUP(B6,'Animals CE'!B:B,'Animals CE'!AA:AA)&lt;=1.5,
_xlfn.XLOOKUP(B6,'Animals CE'!B:B,'Animals CE'!AA:AA)/2+0.05,
0.8+
(_xlfn.XLOOKUP(B6,'Animals CE'!B:B,'Animals CE'!AA:AA)-1.5)
*0.02
),
0.05
),
200%
),
"No"
)</f>
        <v>No</v>
      </c>
      <c r="P6" s="2" t="str">
        <f>_xlfn.XLOOKUP(B6,'Base stats'!B:B,'Base stats'!R:R)</f>
        <v>Standard</v>
      </c>
      <c r="Q6" s="13">
        <f>MROUND((LOG10(_xlfn.XLOOKUP(B6,'Base stats'!B:B,'Base stats'!AR:AR))*(AO6^0.5)+(_xlfn.XLOOKUP(B6,'Base stats'!B:B,'Base stats'!AR:AR)/1000)^(2/3)+_xlfn.XLOOKUP(B6,'Base stats'!B:B,'Base stats'!BA:BA)/2)+0.5,0.5)</f>
        <v>6</v>
      </c>
      <c r="R6" s="7">
        <f>IF(Q6="No","No",MAX(1,MROUND(_xlfn.XLOOKUP(B6,'Base stats'!B:B,'Base stats'!C:C)^0.165,0.05)))</f>
        <v>1.85</v>
      </c>
      <c r="S6" s="13">
        <f>IF(_xlfn.XLOOKUP(_xlfn.XLOOKUP(B6,'Base stats'!B:B,'Base stats'!E:E),Groups!A:A,Groups!P:P)=0,"No",MROUND((LOG10(_xlfn.XLOOKUP(B6,'Base stats'!B:B,'Base stats'!AS:AS))*(AO6^0.5)+(_xlfn.XLOOKUP(B6,'Base stats'!B:B,'Base stats'!AS:AS)/1000)^(2/3)+_xlfn.XLOOKUP(B6,'Base stats'!B:B,'Base stats'!BA:BA))+_xlfn.XLOOKUP(B6,'Base stats'!B:B,'Base stats'!AY:AY)+0.5,0.5))</f>
        <v>11</v>
      </c>
      <c r="T6" s="7">
        <f>IF(S6="No","No",MAX(_xlfn.XLOOKUP(_xlfn.XLOOKUP(B6,'Base stats'!B:B,'Base stats'!E:E),Groups!A:A,Groups!Q:Q),MROUND(_xlfn.XLOOKUP(_xlfn.XLOOKUP(B6,'Base stats'!B:B,'Base stats'!E:E),Groups!A:A,Groups!Q:Q)*_xlfn.XLOOKUP(B6,'Base stats'!B:B,'Base stats'!C:C)^0.165,0.05)))</f>
        <v>1.7000000000000002</v>
      </c>
      <c r="U6" s="7" t="str">
        <f>IF(S6="No","No",_xlfn.XLOOKUP(_xlfn.XLOOKUP(B6,'Base stats'!B:B,'Base stats'!E:E),Groups!A:A,Groups!R:R))</f>
        <v>Feet</v>
      </c>
      <c r="V6" s="7" t="str">
        <f>IF(S6="No","No",_xlfn.XLOOKUP(_xlfn.XLOOKUP(B6,'Base stats'!B:B,'Base stats'!E:E),Groups!A:A,Groups!S:S))</f>
        <v>rear left claw, rear  right claw</v>
      </c>
      <c r="W6" s="7" t="str">
        <f>IF(S6="No","No",_xlfn.XLOOKUP(_xlfn.XLOOKUP(B6,'Base stats'!B:B,'Base stats'!E:E),Groups!A:A,Groups!T:T))</f>
        <v>Scratch</v>
      </c>
      <c r="X6" s="13" t="str">
        <f>IF(_xlfn.XLOOKUP(B6,'Base stats'!B:B,'Base stats'!W:W)="No","No",MROUND((LOG10(_xlfn.XLOOKUP(B6,'Base stats'!B:B,'Base stats'!AU:AU))*(AO6^0.5)+(_xlfn.XLOOKUP(B6,'Base stats'!B:B,'Base stats'!AU:AU)/1000)^(2/3)+_xlfn.XLOOKUP(B6,'Base stats'!B:B,'Base stats'!AZ:AZ))+0.5+IF(_xlfn.XLOOKUP(_xlfn.XLOOKUP(B6,'Base stats'!B:B,'Base stats'!E:E),Groups!A:A,Groups!U:U)&lt;&gt;3,_xlfn.XLOOKUP(B6,'Base stats'!B:B,'Base stats'!BA:BA),0),0.5))</f>
        <v>No</v>
      </c>
      <c r="Y6" s="7" t="str">
        <f>IF(X6="No","No",MAX(_xlfn.XLOOKUP(_xlfn.XLOOKUP(B6,'Base stats'!B:B,'Base stats'!E:E),Groups!A:A,Groups!V:V),MROUND(_xlfn.XLOOKUP(_xlfn.XLOOKUP(B6,'Base stats'!B:B,'Base stats'!E:E),Groups!A:A,Groups!V:V)*_xlfn.XLOOKUP(B6,'Base stats'!B:B,'Base stats'!C:C)^0.165,0.05)))</f>
        <v>No</v>
      </c>
      <c r="Z6" s="7" t="str">
        <f>IF(X6="No","No",_xlfn.XLOOKUP(_xlfn.XLOOKUP(B6,'Base stats'!B:B,'Base stats'!E:E),Groups!A:A,Groups!W:W))</f>
        <v>No</v>
      </c>
      <c r="AA6" s="7" t="str">
        <f>IF(X6="No","No",_xlfn.XLOOKUP(_xlfn.XLOOKUP(B6,'Base stats'!B:B,'Base stats'!E:E),Groups!A:A,Groups!X:X))</f>
        <v>No</v>
      </c>
      <c r="AB6" s="7" t="str">
        <f>IF(X6="No","No",_xlfn.XLOOKUP(_xlfn.XLOOKUP(B6,'Base stats'!B:B,'Base stats'!E:E),Groups!A:A,Groups!Y:Y))</f>
        <v>No</v>
      </c>
      <c r="AC6" s="7" t="str">
        <f>_xlfn.XLOOKUP(Animals!B6,'Base stats'!B:B,'Base stats'!X:X)</f>
        <v>False</v>
      </c>
      <c r="AD6" s="13">
        <f>IF(_xlfn.XLOOKUP(B6,'Base stats'!B:B,'Base stats'!AT:AT)="No","No",MROUND((LOG10(_xlfn.XLOOKUP(B6,'Base stats'!B:B,'Base stats'!AT:AT))*(AO6^0.75)+(_xlfn.XLOOKUP(B6,'Base stats'!B:B,'Base stats'!AT:AT)/1000)^(2/3)+_xlfn.XLOOKUP(B6,'Base stats'!B:B,'Base stats'!AX:AX)+_xlfn.XLOOKUP(B6,'Base stats'!B:B,'Base stats'!BA:BA))+0.5,0.5))</f>
        <v>6.5</v>
      </c>
      <c r="AE6" s="7">
        <f>IF(AD6="No","No",MAX(_xlfn.XLOOKUP(_xlfn.XLOOKUP(B6,'Base stats'!B:B,'Base stats'!E:E),Groups!A:A,Groups!Z:Z),MROUND(_xlfn.XLOOKUP(_xlfn.XLOOKUP(B6,'Base stats'!B:B,'Base stats'!E:E),Groups!A:A,Groups!Z:Z)*_xlfn.XLOOKUP(B6,'Base stats'!B:B,'Base stats'!C:C)^0.165,0.05)))</f>
        <v>1.85</v>
      </c>
      <c r="AF6" s="7" t="str">
        <f>IF(AD6="No","No",_xlfn.XLOOKUP(_xlfn.XLOOKUP(B6,'Base stats'!B:B,'Base stats'!E:E),Groups!A:A,Groups!AA:AA))</f>
        <v>Beak</v>
      </c>
      <c r="AG6" s="7" t="str">
        <f>IF(AD6="No","No",_xlfn.XLOOKUP(_xlfn.XLOOKUP(B6,'Base stats'!B:B,'Base stats'!E:E),Groups!A:A,Groups!AB:AB))</f>
        <v>beak</v>
      </c>
      <c r="AH6" s="7" t="str">
        <f>IF(AD6="No","No",_xlfn.XLOOKUP(_xlfn.XLOOKUP(B6,'Base stats'!B:B,'Base stats'!E:E),Groups!A:A,Groups!AC:AC))</f>
        <v>Blunt</v>
      </c>
      <c r="AI6" s="13" t="str">
        <f>IF(_xlfn.XLOOKUP(_xlfn.XLOOKUP(B6,'Base stats'!B:B,'Base stats'!E:E),Groups!A:A,Groups!AD:AD)=0,"No",MROUND((LOG10(_xlfn.XLOOKUP(B6,'Base stats'!B:B,'Base stats'!AS:AS))*(AO6^0.75)+(_xlfn.XLOOKUP(B6,'Base stats'!B:B,'Base stats'!AS:AS)/1000)^(2/3)+_xlfn.XLOOKUP(B6,'Base stats'!B:B,'Base stats'!AY:AY)+_xlfn.XLOOKUP(B6,'Base stats'!B:B,'Base stats'!BA:BA))+0.5,0.5))</f>
        <v>No</v>
      </c>
      <c r="AJ6" s="7" t="str">
        <f>IF(AI6="No","No",MAX(_xlfn.XLOOKUP(_xlfn.XLOOKUP(B6,'Base stats'!B:B,'Base stats'!E:E),Groups!A:A,Groups!AE:AE),MROUND(_xlfn.XLOOKUP(_xlfn.XLOOKUP(B6,'Base stats'!B:B,'Base stats'!E:E),Groups!A:A,Groups!AE:AE)*IF(_xlfn.XLOOKUP(_xlfn.XLOOKUP(B6,'Base stats'!B:B,'Base stats'!E:E),Groups!A:A,Groups!AJ:AJ)="Photonozoa",0.6,1)*_xlfn.XLOOKUP(B6,'Base stats'!B:B,'Base stats'!C:C)^0.165,0.05)))</f>
        <v>No</v>
      </c>
      <c r="AK6" s="7" t="str">
        <f>IF(AI6="No","No",_xlfn.XLOOKUP(_xlfn.XLOOKUP(B6,'Base stats'!B:B,'Base stats'!E:E),Groups!A:A,Groups!AF:AF))</f>
        <v>No</v>
      </c>
      <c r="AL6" s="7" t="str">
        <f>IF(AI6="No","No",_xlfn.XLOOKUP(_xlfn.XLOOKUP(B6,'Base stats'!B:B,'Base stats'!E:E),Groups!A:A,Groups!AG:AG))</f>
        <v>No</v>
      </c>
      <c r="AM6" s="7" t="str">
        <f>IF(AI6="No","No",_xlfn.XLOOKUP(_xlfn.XLOOKUP(B6,'Base stats'!B:B,'Base stats'!E:E),Groups!A:A,Groups!AH:AH))</f>
        <v>No</v>
      </c>
      <c r="AN6" s="2" t="str">
        <f t="shared" si="0"/>
        <v>No</v>
      </c>
      <c r="AO6" s="2">
        <f>MROUND(IF(AND(_xlfn.XLOOKUP(B6,'Base stats'!B:B,'Base stats'!C:C)&gt;=0.5,_xlfn.XLOOKUP(B6,'Base stats'!B:B,'Base stats'!C:C)&lt;=0.8),
IF(_xlfn.XLOOKUP(B6,'Base stats'!B:B,'Base stats'!C:C)&lt;0.1,0.05,IF(_xlfn.XLOOKUP(B6,'Base stats'!B:B,'Base stats'!C:C)&lt;=70,(_xlfn.XLOOKUP(B6,'Base stats'!B:B,'Base stats'!C:C)/70)^0.426489913056526,IF(_xlfn.XLOOKUP(B6,'Base stats'!B:B,'Base stats'!C:C)&lt;=400,(_xlfn.XLOOKUP(B6,'Base stats'!B:B,'Base stats'!C:C)/70)^0.572811455315093,IF(_xlfn.XLOOKUP(B6,'Base stats'!B:B,'Base stats'!C:C)&lt;=2000,2.71391647193063*(_xlfn.XLOOKUP(B6,'Base stats'!B:B,'Base stats'!C:C)/400)^0.252459582904293,3.74314280240376*(_xlfn.XLOOKUP(B6,'Base stats'!B:B,'Base stats'!C:C)/2000)^0.357012633876913)))),
IF(_xlfn.XLOOKUP(B6,'Base stats'!B:B,'Base stats'!C:C)&lt;0.1,0.05,IF(_xlfn.XLOOKUP(B6,'Base stats'!B:B,'Base stats'!C:C)&lt;0.4,0.1,IF(_xlfn.XLOOKUP(B6,'Base stats'!B:B,'Base stats'!C:C)&lt;=70,(_xlfn.XLOOKUP(B6,'Base stats'!B:B,'Base stats'!C:C)/70)^0.445823913056526,IF(_xlfn.XLOOKUP(B6,'Base stats'!B:B,'Base stats'!C:C)&lt;=400,(_xlfn.XLOOKUP(B6,'Base stats'!B:B,'Base stats'!C:C)/70)^0.572811455315093,IF(_xlfn.XLOOKUP(B6,'Base stats'!B:B,'Base stats'!C:C)&lt;=2000,2.71391647193063*(_xlfn.XLOOKUP(B6,'Base stats'!B:B,'Base stats'!C:C)/400)^0.252459582904293,3.74314280240376*(_xlfn.XLOOKUP(B6,'Base stats'!B:B,'Base stats'!C:C)/2000)^0.357012633876913)))))),
IF(_xlfn.XLOOKUP(B6,'Base stats'!B:B,'Base stats'!C:C)&lt;0.1,0.05,IF(_xlfn.XLOOKUP(B6,'Base stats'!B:B,'Base stats'!C:C)&lt;=100,0.05,IF(_xlfn.XLOOKUP(B6,'Base stats'!B:B,'Base stats'!C:C)&lt;=250,0.1,IF(_xlfn.XLOOKUP(B6,'Base stats'!B:B,'Base stats'!C:C)&lt;=4000,0.25,0.5)))))</f>
        <v>0.8</v>
      </c>
      <c r="AP6" s="8">
        <f>MROUND(AO6*_xlfn.XLOOKUP(_xlfn.XLOOKUP(B6,'Base stats'!B:B,'Base stats'!E:E),Groups!A:A,Groups!AI:AI)*_xlfn.XLOOKUP(B6,'Base stats'!B:B,'Base stats'!Z:Z),0.05)</f>
        <v>0.8</v>
      </c>
      <c r="AQ6" s="8">
        <f>MAX(0.01,MROUND(IF(CC6="True",0.196*(AO6*100*1000)^0.889,IF(_xlfn.XLOOKUP(_xlfn.XLOOKUP(B6,'Base stats'!B:B,'Base stats'!E:E),Groups!A:A,Groups!AJ:AJ)="Bird",10.5*(AO6*100*1000)^0.681,4.82*(AO6*100*1000)^0.734))/(4.82*(1*100*1000)^0.734)/IF(AO6&lt;3.5,2,IF(AO6=3.5,1.5,1.25))*(1+0.132282374779864/(AO6^0.994035016789033+0.00905238001496948)),0.05))</f>
        <v>0.60000000000000009</v>
      </c>
      <c r="AR6" s="9">
        <f>IFERROR(MROUND(_xlfn.XLOOKUP(B6,'Base stats'!B:B,'Base stats'!H:H)/IF(_xlfn.XLOOKUP(B6,'Base stats'!B:B,'Base stats'!I:I)&lt;&gt;1,(122.5/70),1.2),IF(_xlfn.XLOOKUP(B6,'Base stats'!B:B,'Base stats'!H:H)&gt;=30,5,IF(_xlfn.XLOOKUP(B6,'Base stats'!B:B,'Base stats'!H:H)&gt;=15,3,IF(_xlfn.XLOOKUP(B6,'Base stats'!B:B,'Base stats'!H:H)&gt;=10,2,1)))),"Immortal")</f>
        <v>15</v>
      </c>
      <c r="AS6" s="35" t="str">
        <f>IFERROR(IF(OR(_xlfn.XLOOKUP(B6,'Base stats'!B:B,'Base stats'!F:F)="Atypical reproduction",_xlfn.XLOOKUP(B6,'Base stats'!B:B,'Base stats'!F:F)="Lay eggs"),"Lay eggs",MIN(20,MAX(5.5,ROUND(((_xlfn.XLOOKUP(B6,'Base stats'!B:B,'Base stats'!F:F)-25)*(14.5/615) + 5.5)*2,0)/2))),"Unknown")</f>
        <v>Lay eggs</v>
      </c>
      <c r="AT6" s="8">
        <f>IF(_xlfn.XLOOKUP(B6,'Base stats'!B:B,'Base stats'!G:G)="Atypical reproduction","No",IFERROR(MAX(IF(_xlfn.XLOOKUP(B6,'Base stats'!B:B,'Base stats'!G:G)&lt;0.5,0.2,0.3),MROUND(_xlfn.XLOOKUP(B6,'Base stats'!B:B,'Base stats'!G:G)/(365/60),0.2)),"Unknown"))</f>
        <v>0.60000000000000009</v>
      </c>
      <c r="AU6" s="8">
        <f t="shared" si="1"/>
        <v>0.30000000000000004</v>
      </c>
      <c r="AV6" s="8" t="str">
        <f>IFERROR(IFERROR(MROUND(_xlfn.XLOOKUP(B6,'Base stats'!B:B,'Base stats'!J:J),0.1),"Lay eggs"),"Cannot breed")</f>
        <v>Lay eggs</v>
      </c>
      <c r="AW6" s="2" t="str">
        <f t="shared" si="2"/>
        <v>false</v>
      </c>
      <c r="AX6" s="2" t="str">
        <f>IF(_xlfn.XLOOKUP(_xlfn.XLOOKUP(Animals!B6,'Base stats'!B:B,'Base stats'!E:E),Groups!A:A,Groups!AK:AK)=1,"true","false")</f>
        <v>false</v>
      </c>
      <c r="AY6" s="25" t="str">
        <f>IF(_xlfn.XLOOKUP(B6,'Base stats'!B:B,'Base stats'!Y:Y)="Liquor","Liquor, CarnivoreAnimalStrict",IF(AND(_xlfn.XLOOKUP(B6,'Base stats'!B:B,'Base stats'!Y:Y)="Carnivore",_xlfn.XLOOKUP(_xlfn.XLOOKUP(B6,'Base stats'!B:B,'Base stats'!E:E),Groups!A:A,Groups!AJ:AJ)="Photonozoa"),"CarnivoreAnimalStrict, OvivoreAnimal",IF(_xlfn.XLOOKUP(B6,'Base stats'!B:B,'Base stats'!Y:Y)="Carnivore","CarnivoreAnimal, OvivoreAnimal",IF(_xlfn.XLOOKUP(B6,'Base stats'!B:B,'Base stats'!Y:Y)="Dendrovore","VegetarianRoughAnimal, DendrovoreAnimal",IF(_xlfn.XLOOKUP(B6,'Base stats'!B:B,'Base stats'!Y:Y)="Herbivore","VegetarianRoughAnimal",IF(_xlfn.XLOOKUP(B6,'Base stats'!B:B,'Base stats'!Y:Y)="OmnivoreRough","OmnivoreRoughAnimal, OvivoreAnimal","OmnivoreAnimal, OvivoreAnimal"))))))</f>
        <v>VegetarianRoughAnimal</v>
      </c>
      <c r="AZ6" s="2">
        <f>IF(_xlfn.XLOOKUP(_xlfn.XLOOKUP(B6,'Base stats'!B:B,'Base stats'!E:E),Groups!A:A,Groups!D:D)=1,MROUND((1-J6)*5+1,2)*IF(J6&lt;=0.4,2,1),"No")</f>
        <v>2</v>
      </c>
      <c r="BA6" s="2" t="str">
        <f>IF(AND(_xlfn.XLOOKUP(B6,'Base stats'!B:B,'Base stats'!AH:AH)="&lt;li&gt;Seal&lt;/li&gt;",G6="Odyssey"),"&lt;li&gt;AEXP_Seal&lt;/li&gt;",_xlfn.XLOOKUP(B6,'Base stats'!B:B,'Base stats'!AH:AH))</f>
        <v>No</v>
      </c>
      <c r="BB6" s="2" t="str">
        <f>_xlfn.XLOOKUP(B6,'Base stats'!B:B,'Base stats'!AG:AG)</f>
        <v>Leather_Bird</v>
      </c>
      <c r="BC6" s="23" t="str">
        <f>_xlfn.XLOOKUP(_xlfn.XLOOKUP(B6,'Base stats'!B:B,'Base stats'!E:E),Groups!A:A,Groups!AL:AL)</f>
        <v>Bird</v>
      </c>
      <c r="BD6" s="23">
        <f>MIN(1,MROUND(IF(AND(AO6&lt;0.5,_xlfn.XLOOKUP(B6,'Base stats'!B:B,'Base stats'!AA:AA)=0),0,IF(OR(_xlfn.XLOOKUP(Animals!B6,'Base stats'!B:B,'Base stats'!O:O)=2,_xlfn.XLOOKUP(_xlfn.XLOOKUP(B6,'Base stats'!B:B,'Base stats'!E:E),Groups!A:A,Groups!AN:AN)=0),0,_xlfn.XLOOKUP(_xlfn.XLOOKUP(B6,'Base stats'!B:B,'Base stats'!E:E),Groups!A:A,Groups!AN:AN)/IF(_xlfn.XLOOKUP(Animals!B6,'Base stats'!B:B,'Base stats'!O:O)=1,2,1)))+_xlfn.XLOOKUP(B6,'Base stats'!B:B,'Base stats'!AC:AC),0.005))</f>
        <v>2.5000000000000001E-2</v>
      </c>
      <c r="BE6" s="23">
        <f>MIN(1,MROUND(IF(AND(AO6&lt;0.5,_xlfn.XLOOKUP(B6,'Base stats'!B:B,'Base stats'!AA:AA)=0),0,IF(_xlfn.XLOOKUP(_xlfn.XLOOKUP(B6,'Base stats'!B:B,'Base stats'!E:E),Groups!A:A,Groups!AO:AO)=0,0,_xlfn.XLOOKUP(_xlfn.XLOOKUP(B6,'Base stats'!B:B,'Base stats'!E:E),Groups!A:A,Groups!AO:AO)/IF(_xlfn.XLOOKUP(Animals!B6,'Base stats'!B:B,'Base stats'!O:O)=2,3,1)))+_xlfn.XLOOKUP(B6,'Base stats'!B:B,'Base stats'!AD:AD),0.005))</f>
        <v>0.1</v>
      </c>
      <c r="BF6" s="2" t="str">
        <f>IF(J6&gt;0.3,"No",_xlfn.XLOOKUP(_xlfn.XLOOKUP(Animals!B6,'Base stats'!B:B,'Base stats'!E:E),Groups!A:A,Groups!AP:AP))</f>
        <v>No</v>
      </c>
      <c r="BG6" s="2" t="str">
        <f>IF(AND(J6&lt;=0.65,_xlfn.XLOOKUP(_xlfn.XLOOKUP(Animals!B6,'Base stats'!B:B,'Base stats'!E:E),Groups!A:A,Groups!AP:AP)&lt;&gt;"No",_xlfn.XLOOKUP(_xlfn.XLOOKUP(B6,'Base stats'!B:B,'Base stats'!E:E),Groups!A:A,Groups!D:D)=0),MROUND((80/3)*IF(_xlfn.XLOOKUP(B6,'Base stats'!B:B,'Base stats'!O:O)=2,0.2,AO6) + 24*(1-IF(BF6="No",0,BF6)) + 16/3, 12),"No")</f>
        <v>No</v>
      </c>
      <c r="BH6" s="2">
        <f>IF(AND(_xlfn.XLOOKUP(_xlfn.XLOOKUP(B6,'Base stats'!B:B,'Base stats'!E:E),Groups!A:A,Groups!AQ:AQ)=1,AO6&lt;=0.35),8,12)</f>
        <v>12</v>
      </c>
      <c r="BI6" s="2" t="str">
        <f>IF(_xlfn.XLOOKUP(_xlfn.XLOOKUP(B6,'Base stats'!B:B,'Base stats'!E:E),Groups!A:A,Groups!D:D)=0,_xlfn.XLOOKUP(_xlfn.XLOOKUP(B6,'Base stats'!B:B,'Base stats'!E:E),Groups!A:A,Groups!AR:AR),"None")</f>
        <v>None</v>
      </c>
      <c r="BJ6" s="2" t="str">
        <f>IF(AND(_xlfn.XLOOKUP(_xlfn.XLOOKUP(B6,'Base stats'!B:B,'Base stats'!E:E),Groups!A:A,Groups!AS:AS)=1,OR(_xlfn.XLOOKUP(B6,'Base stats'!B:B,'Base stats'!Y:Y)="Carnivore",_xlfn.XLOOKUP(B6,'Base stats'!B:B,'Base stats'!Y:Y)="Omnivore")),"true","false")</f>
        <v>false</v>
      </c>
      <c r="BK6" s="2" t="str">
        <f>IF(BJ6="true",MROUND(IF(AND(AO6&gt;0.5,OR(_xlfn.XLOOKUP(_xlfn.XLOOKUP(B6,'Base stats'!B:B,'Base stats'!E:E),Groups!A:A,Groups!AJ:AJ)="Photonozoa",_xlfn.XLOOKUP(_xlfn.XLOOKUP(B6,'Base stats'!B:B,'Base stats'!E:E),Groups!A:A,Groups!AJ:AJ)="Mammal")),Animals!AO6*1.75*IF(AW6="true",1.5,1),IF(AO6&lt;0.5,Animals!AO6*0.5,Animals!AO6)),IF(AO6&gt;2,0.5,IF(AO6&gt;0.5,0.25,0.1))),"No")</f>
        <v>No</v>
      </c>
      <c r="BL6" s="2">
        <f t="shared" si="3"/>
        <v>0</v>
      </c>
      <c r="BM6" s="25" t="str">
        <f>IF(_xlfn.XLOOKUP(B6,'Base stats'!B:B,'Base stats'!AN:AN)="Standard","No",MROUND((_xlfn.XLOOKUP(B6,'Base stats'!B:B,'Base stats'!AN:AN)/3.6)/I6,0.1))</f>
        <v>No</v>
      </c>
      <c r="BN6" s="25" t="str">
        <f t="shared" si="4"/>
        <v>false</v>
      </c>
      <c r="BO6" s="25" t="str">
        <f>IF(AND(OR(_xlfn.XLOOKUP(B6,'Base stats'!B:B,'Base stats'!Y:Y)="Carnivore",_xlfn.XLOOKUP(B6,'Base stats'!B:B,'Base stats'!Y:Y)="Omnivore",_xlfn.XLOOKUP(B6,'Base stats'!B:B,'Base stats'!Y:Y)="OmnivoreRough"),_xlfn.XLOOKUP(_xlfn.XLOOKUP(B6,'Base stats'!B:B,'Base stats'!E:E),Groups!A:A,Groups!AT:AT)=1),"true","false")</f>
        <v>false</v>
      </c>
      <c r="BP6" s="25" t="str" cm="1">
        <f t="array" ref="BP6">IF(
  _xlfn.TEXTJOIN(", ",TRUE,
    IF(AND(BJ6="true",AO6&gt;0.5,BI6&lt;&gt;"None"),"AttackTarget",""),
    IF(AND(_xlfn.XLOOKUP(_xlfn.XLOOKUP(B6,'Base stats'!B:B,'Base stats'!E:E),Groups!A:A,Groups!AJ:AJ="Mammal"),OR(_xlfn.XLOOKUP(B6,'Base stats'!B:B,'Base stats'!Y:Y)="Omnivore",_xlfn.XLOOKUP(B6,'Base stats'!B:B,'Base stats'!Y:Y)="OmnivoreRough")),"Forage",""),
    IF(BG6&lt;=36,"Comfort",""),
    IF(_xlfn.XLOOKUP(B6,'Base stats'!B:B,'Base stats'!AE:AE)&lt;&gt;"No",_xlfn.XLOOKUP(B6,'Base stats'!B:B,'Base stats'!AE:AE),"")
  ) = "",
  "No",
  _xlfn.TEXTJOIN(", ",TRUE,
    IF(AND(BJ6="true",AO6&gt;0.5,BI6&lt;&gt;"None"),"AttackTarget",""),
    IF(AND(_xlfn.XLOOKUP(_xlfn.XLOOKUP(B6,'Base stats'!B:B,'Base stats'!E:E),Groups!A:A,Groups!AJ:AJ="Mammal"),OR(_xlfn.XLOOKUP(B6,'Base stats'!B:B,'Base stats'!Y:Y)="Omnivore",_xlfn.XLOOKUP(B6,'Base stats'!B:B,'Base stats'!Y:Y)="OmnivoreRough")),"Forage",""),
    IF(BG6&lt;=36,"Comfort",""),
    IF(_xlfn.XLOOKUP(B6,'Base stats'!B:B,'Base stats'!AE:AE)&lt;&gt;"No",_xlfn.XLOOKUP(B6,'Base stats'!B:B,'Base stats'!AE:AE),"")
  )
)</f>
        <v>No</v>
      </c>
      <c r="BQ6" s="25" t="str">
        <f>IF(
   AND(
      'Base stats'!AN6="Standard",_xlfn.XLOOKUP(_xlfn.XLOOKUP(B6,'Base stats'!B:B,'Base stats'!E:E),Groups!A:A,Groups!AU:AU)=0,
      OR(
      BO6="True"
      )
   ),
   10,
   IF(
       OR(BM6&lt;&gt;"No",_xlfn.XLOOKUP(_xlfn.XLOOKUP(B6,'Base stats'!B:B,'Base stats'!E:E),Groups!A:A,Groups!AU:AU)=1),
      1,
      "No"
   )
)</f>
        <v>No</v>
      </c>
      <c r="BR6" s="9">
        <f>MROUND((1 + ((0.2*IF(OR(Q6="No",R6="No",R6=0),0,Q6/R6)
+IF(OR(V6="No",S6="No",T6="No"),0,S6/T6*(LEN(V6)-LEN(SUBSTITUTE(V6,",",""))+1))
+IF(OR(X6="No",Y6="No"),0,X6/Y6)
+IF(OR(AD6="No",AE6="No"),0,AD6/AE6)
+IF(OR(AL6="No",AI6="No",AJ6="No"),0,AI6/AJ6*(LEN(AL6)-LEN(SUBSTITUTE(AL6,",",""))+1))
)/(0.2*IF(OR(Q6="No",R6="No",R6=0),0,1)
+IF(OR(V6="No",S6="No",T6="No"),0,LEN(V6)-LEN(SUBSTITUTE(V6,",",""))+1)
+IF(OR(X6="No",Y6="No"),0,1)
+IF(OR(AD6="No",AE6="No"),0,1)
+IF(OR(AL6="No",AI6="No",AJ6="No"),0,LEN(AL6)-LEN(SUBSTITUTE(AL6,",",""))+1))*62%)* 2)*(1 + (AP6 / (IF(_xlfn.XLOOKUP(_xlfn.XLOOKUP(B6,'Base stats'!B:B,'Base stats'!E:E),Groups!A:A,Groups!AJ:AJ)="Photonozoa",0.3,1)) + _xlfn.XLOOKUP(B6,'Base stats'!B:B,'Base stats'!AV:AV) * 1.8) * 2) * 2.5 + 10 + I6 * 2,5)+IF(_xlfn.XLOOKUP(B6,'Base stats'!B:B,'Base stats'!AK:AK)=1,50,0)</f>
        <v>70</v>
      </c>
      <c r="BS6" s="8">
        <f t="shared" si="5"/>
        <v>0.65</v>
      </c>
      <c r="BT6" s="8" t="str">
        <f>_xlfn.XLOOKUP(B6,'Base stats'!B:B,'Base stats'!AF:AF)</f>
        <v>No</v>
      </c>
      <c r="BU6" s="2" t="str">
        <f>IF(AND(J6&lt;=0.95,OR(_xlfn.XLOOKUP(B6,'Base stats'!B:B,'Base stats'!AK:AK)=1,_xlfn.XLOOKUP(B6,'Base stats'!B:B,'Base stats'!Y:Y)="Carnivore",_xlfn.XLOOKUP(B6,'Base stats'!B:B,'Base stats'!Y:Y)="Omnivore",BE6&gt;0.1)),"true","false")</f>
        <v>false</v>
      </c>
      <c r="BV6" s="2" t="str">
        <f>IF(_xlfn.XLOOKUP(B6,'Base stats'!B:B,'Base stats'!AI:AI)=1,"true","false")</f>
        <v>false</v>
      </c>
      <c r="BW6" s="25" t="str">
        <f>IF(E6="BaseInsect","AnimalInsect",
IF(J6&gt;0.95,"AnimalExotic",
_xlfn.TEXTJOIN(", ",TRUE,
IF(OR(_xlfn.XLOOKUP(B6,'Base stats'!B:B,'Base stats'!AM:AM)=1,AND(_xlfn.XLOOKUP(B6,'Base stats'!B:B,'Base stats'!O:O)=0,_xlfn.XLOOKUP(_xlfn.XLOOKUP(B6,'Base stats'!B:B,'Base stats'!E:E),Groups!A:A,Groups!B:B)&gt;0)),"AnimalUncommon","AnimalCommon"),
IF(AND(_xlfn.XLOOKUP(B6,'Base stats'!B:B,'Base stats'!O:O)=2,_xlfn.XLOOKUP(_xlfn.XLOOKUP(B6,'Base stats'!B:B,'Base stats'!E:E),Groups!A:A,Groups!D:D)=0),"AnimalPet",IF(AND(_xlfn.XLOOKUP(B6,'Base stats'!B:B,'Base stats'!O:O)&lt;&gt;0,_xlfn.XLOOKUP(_xlfn.XLOOKUP(B6,'Base stats'!B:B,'Base stats'!E:E),Groups!A:A,Groups!D:D)&lt;&gt;0),"AnimalFarm","")),
IF(OR(_xlfn.XLOOKUP(B6,'Base stats'!B:B,'Base stats'!AK:AK)=1,AND(BI6&lt;&gt;"None",BR6&gt;=60),ISNUMBER(SEARCH("Attack target",BP6))),"AnimalFighter","")
)))</f>
        <v>AnimalUncommon</v>
      </c>
      <c r="BX6" s="25" t="str">
        <f>IF(G6="None",TRIM(
SUBSTITUTE(
IF(COUNTIF(Biomes!B$2:B$259,"="&amp;$C6)&gt;0,Biomes!B$1&amp;", ","")&amp;
IF(COUNTIF(Biomes!C$2:C$259,"="&amp;$C6)&gt;0,Biomes!C$1&amp;", ","")&amp;
IF(COUNTIF(Biomes!D$2:D$259,"="&amp;$C6)&gt;0,Biomes!D$1&amp;", ","")&amp;
IF(COUNTIF(Biomes!F$2:F$259,"="&amp;$C6)&gt;0,Biomes!F$1&amp;", ","")&amp;
IF(COUNTIF(Biomes!G$2:G$259,"="&amp;$C6)&gt;0,Biomes!G$1&amp;", ","")&amp;
IF(COUNTIF(Biomes!H$2:H$259,"="&amp;$C6)&gt;0,Biomes!H$1&amp;", ","")&amp;
IF(COUNTIF(Biomes!I$2:I$259,"="&amp;$C6)&gt;0,Biomes!I$1&amp;", ","")&amp;
IF(COUNTIF(Biomes!J$2:J$259,"="&amp;$C6)&gt;0,Biomes!J$1&amp;", ","")&amp;
IF(COUNTIF(Biomes!M$2:M$259,"="&amp;$C6)&gt;0,Biomes!M$1&amp;", ","")&amp;
IF(COUNTIF(Biomes!N$2:N$259,"="&amp;$C6)&gt;0,Biomes!N$1&amp;", ","")&amp;
IF(COUNTIF(Biomes!O$2:O$259,"="&amp;$C6)&gt;0,Biomes!O$1&amp;", ","")&amp;
IF(COUNTIF(Biomes!P$2:P$259,"="&amp;$C6)&gt;0,Biomes!P$1&amp;", ","")&amp;
IF(COUNTIF(Biomes!K$2:K$259,"="&amp;$C6)&gt;0,Biomes!K$1&amp;", ","")&amp;
IF(COUNTIF(Biomes!Q$3:Q$259,"="&amp;$C6)&gt;0,Biomes!Q$1&amp;", ","")&amp;
IF(COUNTIF(Biomes!L$2:L$259,"="&amp;$C6)&gt;0,Biomes!L$1&amp;", ","")&amp;
IF(COUNTIF(Biomes!E$2:E$259,"="&amp;$C6)&gt;0,Biomes!E$1&amp;", ","")&amp;IF(COUNTIF(Biomes!S$2:S$259,"="&amp;$C6)&gt;0,Biomes!S$1&amp;", ","")&amp;
IF(COUNTIF(Biomes!R$2:R$259,"="&amp;$C6)&gt;0,Biomes!R$1&amp;", ",""),", ","")
),_xlfn.XLOOKUP(B6,B:B,BX:BX))</f>
        <v>TropicalRainforest TropicalSwamp Glowforest</v>
      </c>
      <c r="BY6" s="25" t="str">
        <f>IF(_xlfn.XLOOKUP(B6,'Base stats'!B:B,'Base stats'!AJ:AJ)=1,"true","false")</f>
        <v>false</v>
      </c>
      <c r="BZ6" s="25">
        <f>IF(_xlfn.XLOOKUP(B6,'Base stats'!B:B,'Base stats'!N:N)=1,"No",MAX(0.001,MIN(MROUND(IF(AND(BJ6="True",CC6="False"),POWER(10,3.47*LOG10(_xlfn.XLOOKUP(B6,'Base stats'!B:B,'Base stats'!C:C)*1000)^-0.96),POWER(10,4.15*LOG10(_xlfn.XLOOKUP(B6,'Base stats'!B:B,'Base stats'!C:C)*1000)^-0.73))*IF(_xlfn.XLOOKUP(B6,'Base stats'!B:B,'Base stats'!AK:AK)=1,0.5,1)*IF(_xlfn.XLOOKUP(B6,'Base stats'!B:B,'Base stats'!AM:AM)=1,0.1,1)/100,IF(_xlfn.XLOOKUP(B6,'Base stats'!B:B,'Base stats'!AM:AM)=1,0.001,0.025)),0.5)))</f>
        <v>0.22500000000000001</v>
      </c>
      <c r="CA6" s="25" t="str">
        <f>IF(P6="Standard","No",MAX(0.001,MIN(MROUND(IF(AND(BJ6="True",CC6="False"),POWER(10,3.47*LOG10(_xlfn.XLOOKUP(B6,'Base stats'!B:B,'Base stats'!C:C)*1000)^-0.96),POWER(10,4.15*LOG10(_xlfn.XLOOKUP(B6,'Base stats'!B:B,'Base stats'!C:C)*1000)^-0.73))*IF(_xlfn.XLOOKUP(B6,'Base stats'!B:B,'Base stats'!AM:AM)=1,0.1,1)*_xlfn.XLOOKUP(B6,'Base stats'!B:B,'Base stats'!R:R)/100,IF(_xlfn.XLOOKUP(B6,'Base stats'!B:B,'Base stats'!AM:AM)=1,0.001,0.025)),0.5)))</f>
        <v>No</v>
      </c>
      <c r="CB6" s="25" t="str">
        <f>IF(_xlfn.XLOOKUP(_xlfn.XLOOKUP(B6,'Base stats'!B:B,'Base stats'!E:E),Groups!A:A,Groups!AJ:AJ)="Mammal","True","False")</f>
        <v>False</v>
      </c>
      <c r="CC6" s="25" t="str">
        <f>IF(OR(_xlfn.XLOOKUP(_xlfn.XLOOKUP(B6,'Base stats'!B:B,'Base stats'!E:E),Groups!A:A,Groups!AJ:AJ)="Reptile",_xlfn.XLOOKUP(_xlfn.XLOOKUP(B6,'Base stats'!B:B,'Base stats'!E:E),Groups!A:A,Groups!AJ:AJ)="Amphibian",_xlfn.XLOOKUP(_xlfn.XLOOKUP(B6,'Base stats'!B:B,'Base stats'!E:E),Groups!A:A,Groups!AJ:AJ)="Invertebrate"),"True","False")</f>
        <v>False</v>
      </c>
      <c r="CD6" s="25" t="str">
        <f t="shared" si="6"/>
        <v>False</v>
      </c>
      <c r="CE6" s="25" t="str">
        <f>IF(_xlfn.XLOOKUP(_xlfn.XLOOKUP(B6,'Base stats'!B:B,'Base stats'!E:E),Groups!A:A,Groups!AX:AX),"True","False")</f>
        <v>False</v>
      </c>
      <c r="CF6" s="25" t="str">
        <f>IF(_xlfn.XLOOKUP(_xlfn.XLOOKUP(B6,'Base stats'!B:B,'Base stats'!E:E),Groups!A:A,Groups!AY:AY),"True","False")</f>
        <v>False</v>
      </c>
      <c r="CG6" s="25" t="str">
        <f>IF(_xlfn.XLOOKUP(_xlfn.XLOOKUP(B6,'Base stats'!B:B,'Base stats'!E:E),Groups!A:A,Groups!AW:AW),"True","False")</f>
        <v>False</v>
      </c>
      <c r="CH6" s="25" t="str">
        <f>IF(
OR(
_xlfn.XLOOKUP(_xlfn.XLOOKUP(B6,'Base stats'!B:B,'Base stats'!E:E),Groups!A:A,Groups!AZ:AZ)=0,
AND(
_xlfn.XLOOKUP(B6,'Base stats'!B:B,'Base stats'!Y:Y)&lt;&gt;"Carnivore",
_xlfn.XLOOKUP(B6,'Base stats'!B:B,'Base stats'!Y:Y)&lt;&gt;"Omnivore",
_xlfn.XLOOKUP(B6,'Base stats'!B:B,'Base stats'!Y:Y)&lt;&gt;"OmnivoreRough"
)
),
"No",
IF(
_xlfn.XLOOKUP(_xlfn.XLOOKUP(B6,'Base stats'!B:B,'Base stats'!E:E),Groups!A:A,Groups!AZ:AZ)=1,
"Flesh",
IF(
_xlfn.XLOOKUP(_xlfn.XLOOKUP(B6,'Base stats'!B:B,'Base stats'!E:E),Groups!A:A,Groups!AZ:AZ)=2,
"Bone",
""
)
)
)</f>
        <v>No</v>
      </c>
      <c r="CI6" s="25" t="str">
        <f>IF(_xlfn.XLOOKUP(_xlfn.XLOOKUP(B6,'Base stats'!B:B,'Base stats'!E:E),Groups!A:A,Groups!BB:BB),"True","False")</f>
        <v>True</v>
      </c>
      <c r="CJ6" s="25" t="str">
        <f>IF(_xlfn.XLOOKUP(_xlfn.XLOOKUP(B6,'Base stats'!B:B,'Base stats'!E:E),Groups!A:A,Groups!BA:BA),"True","False")</f>
        <v>False</v>
      </c>
      <c r="CO6" s="16"/>
    </row>
    <row r="7" spans="1:93" ht="16.5" thickTop="1" thickBot="1" x14ac:dyDescent="0.3">
      <c r="A7" s="26" t="str">
        <f>_xlfn.XLOOKUP(B7,'Base stats'!B:B,'Base stats'!A:A)</f>
        <v>Emu</v>
      </c>
      <c r="B7" s="6" t="s">
        <v>47</v>
      </c>
      <c r="C7" s="28" t="s">
        <v>678</v>
      </c>
      <c r="D7" s="28" t="s">
        <v>45</v>
      </c>
      <c r="E7" s="28" t="s">
        <v>675</v>
      </c>
      <c r="F7" s="28" t="s">
        <v>676</v>
      </c>
      <c r="G7" s="28" t="s">
        <v>673</v>
      </c>
      <c r="H7" s="2">
        <f>MROUND((
  (IF(AND(_xlfn.XLOOKUP(B7,'Base stats'!B:B,'Base stats'!AL:AL)=0,BI7="None",_xlfn.XLOOKUP(_xlfn.XLOOKUP(B7,'Base stats'!B:B,'Base stats'!E:E),Groups!A:A,Groups!B:B)=0), (18 + BR7 * 2.7) * 0.5,
    IF(AND(_xlfn.XLOOKUP(B7,'Base stats'!B:B,'Base stats'!AL:AL)=0,OR(AO7&lt;0.55,AND(BI7="Intermediate",_xlfn.XLOOKUP(_xlfn.XLOOKUP(B7,'Base stats'!B:B,'Base stats'!E:E),Groups!A:A,Groups!B:B)&lt;2))), (18 + BR7 * 2.7),
      IF(OR(BI7="Advanced",_xlfn.XLOOKUP(B7,'Base stats'!B:B,'Base stats'!AL:AL)=1,_xlfn.XLOOKUP(_xlfn.XLOOKUP(B7,'Base stats'!B:B,'Base stats'!E:E),Groups!A:A,Groups!B:B)=2), (18 + BR7 * 2.7) + 250, (18 + BR7 * 2.7))
    )
  ))
  + AO7 * 80
  + IF(COUNTIF(EggMilk!K$2:K$998, A7) &gt; 0, 125, 0)
  + IF(COUNTIF(EggMilk!P$2:P$998, A7) &gt; 0, 90, 0)
  + IF(COUNTIF(EggMilk!A$2:A$998, A7) &gt; 0, 90, 0)
)
* (0.8 + 0.4 * J7)
* 0.75,25)</f>
        <v>200</v>
      </c>
      <c r="I7" s="2">
        <f>MROUND(ROUNDDOWN(_xlfn.XLOOKUP(B7,'Base stats'!B:B,'Base stats'!L:L)/3.6/(23.3/11),1),0.5)</f>
        <v>5</v>
      </c>
      <c r="J7" s="2">
        <f>IF(OR(_xlfn.XLOOKUP(B7,'Base stats'!B:B,'Base stats'!AB:AB)=1,_xlfn.XLOOKUP(_xlfn.XLOOKUP(B7,'Base stats'!B:B,'Base stats'!E:E),Groups!A:A,Groups!C:C)="Untamable"),1,IF(_xlfn.XLOOKUP(B7,'Base stats'!B:B,'Base stats'!AL:AL)=1,0.99,MIN(MROUND((1-0.6282*EXP(-0.459*AO7))*_xlfn.XLOOKUP(_xlfn.XLOOKUP(B7,'Base stats'!B:B,'Base stats'!E:E),Groups!A:A,Groups!C:C)*IF(_xlfn.XLOOKUP(B7,'Base stats'!B:B,'Base stats'!O:O)=1,0.5,IF(_xlfn.XLOOKUP(B7,'Base stats'!B:B,'Base stats'!O:O)=2,0,1)),0.05),IF(AO7&gt;3.5,0.985,0.95))))</f>
        <v>0.70000000000000007</v>
      </c>
      <c r="K7" s="2">
        <f>ROUNDUP(AO7*_xlfn.XLOOKUP(_xlfn.XLOOKUP(B7,'Base stats'!B:B,'Base stats'!E:E),Groups!A:A,Groups!E:E),0)</f>
        <v>9</v>
      </c>
      <c r="L7" s="2">
        <f>IF(OR(_xlfn.XLOOKUP(_xlfn.XLOOKUP(B7,'Base stats'!B:B,'Base stats'!E:E),Groups!A:A,Groups!F:F)=2,ISNUMBER(SEARCH("SeaIce",BX7)),ISNUMBER(SEARCH("IceSheet",BX7))),-50,IF(OR(ISNUMBER(SEARCH("GlacialPlain",BX7)),ISNUMBER(SEARCH("Tundra",BX7))),-40,IF(OR(ISNUMBER(SEARCH("Alpine",BX7)),ISNUMBER(SEARCH("BorealForest",BX7)),ISNUMBER(SEARCH("ColdBog",BX7))),-30,IF(OR(ISNUMBER(SEARCH("TemperateForest",BX7)),ISNUMBER(SEARCH("TemperateSwamp",BX7))),-20,IF(_xlfn.XLOOKUP(_xlfn.XLOOKUP(B7,'Base stats'!B:B,'Base stats'!E:E),Groups!A:A,Groups!F:F)=1,-15,IF(OR(ISNUMBER(SEARCH("Desert",BX7)),ISNUMBER(SEARCH("ExtremeDesert",BX7))),-10,IF(OR(ISNUMBER(SEARCH("Grasslands",BX7)),ISNUMBER(SEARCH("TropicalRainforest",BX7)),ISNUMBER(SEARCH("TropicalSwamp",BX7))),10,0)))))))-IF(CC7="False",MIN(IFERROR(MAX(MROUND(LOG10(_xlfn.XLOOKUP(B7,'Base stats'!B:B,'Base stats'!C:C)^(2/3))*10,5),5),5),30))-_xlfn.XLOOKUP(B7,'Base stats'!B:B,'Base stats'!P:P)+IF(CC7="True",5,0)</f>
        <v>-20</v>
      </c>
      <c r="M7" s="2">
        <f>IF(OR(_xlfn.XLOOKUP(_xlfn.XLOOKUP(B7,'Base stats'!B:B,'Base stats'!E:E),Groups!A:A,Groups!G:G)=2,ISNUMBER(SEARCH("Desert",BX7)),ISNUMBER(SEARCH("ExtremeDesert",BX7)),ISNUMBER(SEARCH("LavaField",BX7))),50,IF(ISNUMBER(SEARCH("Grasslands",BX7)),45,IF(OR(_xlfn.XLOOKUP(_xlfn.XLOOKUP(B7,'Base stats'!B:B,'Base stats'!E:E),Groups!A:A,Groups!G:G)=1,ISNUMBER(SEARCH("TropicalRainforest",BX7)),ISNUMBER(SEARCH("TropicalSwamp",BX7))),40,IF(OR(ISNUMBER(SEARCH("TemperateForest",BX7)),ISNUMBER(SEARCH("TemperateSwamp",BX7))),35,IF(OR(ISNUMBER(SEARCH("Alpine",BX7)),ISNUMBER(SEARCH("BorealForest",BX7)),ISNUMBER(SEARCH("ColdBog",BX7))),30,IF(ISNUMBER(OR(ISNUMBER(SEARCH("GlacialPlain",BX7)),SEARCH("Tundra",BX7))),25,IF(OR(ISNUMBER(SEARCH("SeaIce",BX7)),ISNUMBER(SEARCH("IceSheet",BX7)),ISNUMBER(SEARCH("TropicalSwamp",BX7))),10,35)))))))+_xlfn.XLOOKUP(B7,'Base stats'!B:B,'Base stats'!Q:Q)</f>
        <v>50</v>
      </c>
      <c r="N7" s="8" t="str">
        <f>IF(
_xlfn.XLOOKUP(
_xlfn.XLOOKUP(B7,'Base stats'!B:B,'Base stats'!E:E),
Groups!A:A,
Groups!L:L
)=1,
MIN(
MROUND(
IF(
_xlfn.XLOOKUP(B7,'Animals CE'!B:B,'Animals CE'!Z:Z)&lt;=1.5,
_xlfn.XLOOKUP(B7,'Animals CE'!B:B,'Animals CE'!Z:Z)/2+0.05,
0.8+
(_xlfn.XLOOKUP(B7,'Animals CE'!B:B,'Animals CE'!Z:Z)-1.5)
*0.02
),
0.05
),
200%
),
"No"
)</f>
        <v>No</v>
      </c>
      <c r="O7" s="8" t="str">
        <f>IF(
_xlfn.XLOOKUP(
_xlfn.XLOOKUP(B7,'Base stats'!B:B,'Base stats'!E:E),
Groups!A:A,
Groups!L:L
)=1,
MIN(
MROUND(
IF(
_xlfn.XLOOKUP(B7,'Animals CE'!B:B,'Animals CE'!AA:AA)&lt;=1.5,
_xlfn.XLOOKUP(B7,'Animals CE'!B:B,'Animals CE'!AA:AA)/2+0.05,
0.8+
(_xlfn.XLOOKUP(B7,'Animals CE'!B:B,'Animals CE'!AA:AA)-1.5)
*0.02
),
0.05
),
200%
),
"No"
)</f>
        <v>No</v>
      </c>
      <c r="P7" s="2" t="str">
        <f>_xlfn.XLOOKUP(B7,'Base stats'!B:B,'Base stats'!R:R)</f>
        <v>Standard</v>
      </c>
      <c r="Q7" s="13">
        <f>MROUND((LOG10(_xlfn.XLOOKUP(B7,'Base stats'!B:B,'Base stats'!AR:AR))*(AO7^0.5)+(_xlfn.XLOOKUP(B7,'Base stats'!B:B,'Base stats'!AR:AR)/1000)^(2/3)+_xlfn.XLOOKUP(B7,'Base stats'!B:B,'Base stats'!BA:BA)/2)+0.5,0.5)</f>
        <v>6</v>
      </c>
      <c r="R7" s="7">
        <f>IF(Q7="No","No",MAX(1,MROUND(_xlfn.XLOOKUP(B7,'Base stats'!B:B,'Base stats'!C:C)^0.165,0.05)))</f>
        <v>1.85</v>
      </c>
      <c r="S7" s="13">
        <f>IF(_xlfn.XLOOKUP(_xlfn.XLOOKUP(B7,'Base stats'!B:B,'Base stats'!E:E),Groups!A:A,Groups!P:P)=0,"No",MROUND((LOG10(_xlfn.XLOOKUP(B7,'Base stats'!B:B,'Base stats'!AS:AS))*(AO7^0.5)+(_xlfn.XLOOKUP(B7,'Base stats'!B:B,'Base stats'!AS:AS)/1000)^(2/3)+_xlfn.XLOOKUP(B7,'Base stats'!B:B,'Base stats'!BA:BA))+_xlfn.XLOOKUP(B7,'Base stats'!B:B,'Base stats'!AY:AY)+0.5,0.5))</f>
        <v>8.5</v>
      </c>
      <c r="T7" s="7">
        <f>IF(S7="No","No",MAX(_xlfn.XLOOKUP(_xlfn.XLOOKUP(B7,'Base stats'!B:B,'Base stats'!E:E),Groups!A:A,Groups!Q:Q),MROUND(_xlfn.XLOOKUP(_xlfn.XLOOKUP(B7,'Base stats'!B:B,'Base stats'!E:E),Groups!A:A,Groups!Q:Q)*_xlfn.XLOOKUP(B7,'Base stats'!B:B,'Base stats'!C:C)^0.165,0.05)))</f>
        <v>1.85</v>
      </c>
      <c r="U7" s="7" t="str">
        <f>IF(S7="No","No",_xlfn.XLOOKUP(_xlfn.XLOOKUP(B7,'Base stats'!B:B,'Base stats'!E:E),Groups!A:A,Groups!R:R))</f>
        <v>Feet</v>
      </c>
      <c r="V7" s="7" t="str">
        <f>IF(S7="No","No",_xlfn.XLOOKUP(_xlfn.XLOOKUP(B7,'Base stats'!B:B,'Base stats'!E:E),Groups!A:A,Groups!S:S))</f>
        <v>rear left claw, rear  right claw</v>
      </c>
      <c r="W7" s="7" t="str">
        <f>IF(S7="No","No",_xlfn.XLOOKUP(_xlfn.XLOOKUP(B7,'Base stats'!B:B,'Base stats'!E:E),Groups!A:A,Groups!T:T))</f>
        <v>Scratch</v>
      </c>
      <c r="X7" s="13" t="str">
        <f>IF(_xlfn.XLOOKUP(B7,'Base stats'!B:B,'Base stats'!W:W)="No","No",MROUND((LOG10(_xlfn.XLOOKUP(B7,'Base stats'!B:B,'Base stats'!AU:AU))*(AO7^0.5)+(_xlfn.XLOOKUP(B7,'Base stats'!B:B,'Base stats'!AU:AU)/1000)^(2/3)+_xlfn.XLOOKUP(B7,'Base stats'!B:B,'Base stats'!AZ:AZ))+0.5+IF(_xlfn.XLOOKUP(_xlfn.XLOOKUP(B7,'Base stats'!B:B,'Base stats'!E:E),Groups!A:A,Groups!U:U)&lt;&gt;3,_xlfn.XLOOKUP(B7,'Base stats'!B:B,'Base stats'!BA:BA),0),0.5))</f>
        <v>No</v>
      </c>
      <c r="Y7" s="7" t="str">
        <f>IF(X7="No","No",MAX(_xlfn.XLOOKUP(_xlfn.XLOOKUP(B7,'Base stats'!B:B,'Base stats'!E:E),Groups!A:A,Groups!V:V),MROUND(_xlfn.XLOOKUP(_xlfn.XLOOKUP(B7,'Base stats'!B:B,'Base stats'!E:E),Groups!A:A,Groups!V:V)*_xlfn.XLOOKUP(B7,'Base stats'!B:B,'Base stats'!C:C)^0.165,0.05)))</f>
        <v>No</v>
      </c>
      <c r="Z7" s="7" t="str">
        <f>IF(X7="No","No",_xlfn.XLOOKUP(_xlfn.XLOOKUP(B7,'Base stats'!B:B,'Base stats'!E:E),Groups!A:A,Groups!W:W))</f>
        <v>No</v>
      </c>
      <c r="AA7" s="7" t="str">
        <f>IF(X7="No","No",_xlfn.XLOOKUP(_xlfn.XLOOKUP(B7,'Base stats'!B:B,'Base stats'!E:E),Groups!A:A,Groups!X:X))</f>
        <v>No</v>
      </c>
      <c r="AB7" s="7" t="str">
        <f>IF(X7="No","No",_xlfn.XLOOKUP(_xlfn.XLOOKUP(B7,'Base stats'!B:B,'Base stats'!E:E),Groups!A:A,Groups!Y:Y))</f>
        <v>No</v>
      </c>
      <c r="AC7" s="7" t="str">
        <f>_xlfn.XLOOKUP(Animals!B7,'Base stats'!B:B,'Base stats'!X:X)</f>
        <v>False</v>
      </c>
      <c r="AD7" s="13">
        <f>IF(_xlfn.XLOOKUP(B7,'Base stats'!B:B,'Base stats'!AT:AT)="No","No",MROUND((LOG10(_xlfn.XLOOKUP(B7,'Base stats'!B:B,'Base stats'!AT:AT))*(AO7^0.75)+(_xlfn.XLOOKUP(B7,'Base stats'!B:B,'Base stats'!AT:AT)/1000)^(2/3)+_xlfn.XLOOKUP(B7,'Base stats'!B:B,'Base stats'!AX:AX)+_xlfn.XLOOKUP(B7,'Base stats'!B:B,'Base stats'!BA:BA))+0.5,0.5))</f>
        <v>6</v>
      </c>
      <c r="AE7" s="7">
        <f>IF(AD7="No","No",MAX(_xlfn.XLOOKUP(_xlfn.XLOOKUP(B7,'Base stats'!B:B,'Base stats'!E:E),Groups!A:A,Groups!Z:Z),MROUND(_xlfn.XLOOKUP(_xlfn.XLOOKUP(B7,'Base stats'!B:B,'Base stats'!E:E),Groups!A:A,Groups!Z:Z)*_xlfn.XLOOKUP(B7,'Base stats'!B:B,'Base stats'!C:C)^0.165,0.05)))</f>
        <v>1.85</v>
      </c>
      <c r="AF7" s="7" t="str">
        <f>IF(AD7="No","No",_xlfn.XLOOKUP(_xlfn.XLOOKUP(B7,'Base stats'!B:B,'Base stats'!E:E),Groups!A:A,Groups!AA:AA))</f>
        <v>Beak</v>
      </c>
      <c r="AG7" s="7" t="str">
        <f>IF(AD7="No","No",_xlfn.XLOOKUP(_xlfn.XLOOKUP(B7,'Base stats'!B:B,'Base stats'!E:E),Groups!A:A,Groups!AB:AB))</f>
        <v>beak</v>
      </c>
      <c r="AH7" s="7" t="str">
        <f>IF(AD7="No","No",_xlfn.XLOOKUP(_xlfn.XLOOKUP(B7,'Base stats'!B:B,'Base stats'!E:E),Groups!A:A,Groups!AC:AC))</f>
        <v>Blunt</v>
      </c>
      <c r="AI7" s="13" t="str">
        <f>IF(_xlfn.XLOOKUP(_xlfn.XLOOKUP(B7,'Base stats'!B:B,'Base stats'!E:E),Groups!A:A,Groups!AD:AD)=0,"No",MROUND((LOG10(_xlfn.XLOOKUP(B7,'Base stats'!B:B,'Base stats'!AS:AS))*(AO7^0.75)+(_xlfn.XLOOKUP(B7,'Base stats'!B:B,'Base stats'!AS:AS)/1000)^(2/3)+_xlfn.XLOOKUP(B7,'Base stats'!B:B,'Base stats'!AY:AY)+_xlfn.XLOOKUP(B7,'Base stats'!B:B,'Base stats'!BA:BA))+0.5,0.5))</f>
        <v>No</v>
      </c>
      <c r="AJ7" s="7" t="str">
        <f>IF(AI7="No","No",MAX(_xlfn.XLOOKUP(_xlfn.XLOOKUP(B7,'Base stats'!B:B,'Base stats'!E:E),Groups!A:A,Groups!AE:AE),MROUND(_xlfn.XLOOKUP(_xlfn.XLOOKUP(B7,'Base stats'!B:B,'Base stats'!E:E),Groups!A:A,Groups!AE:AE)*IF(_xlfn.XLOOKUP(_xlfn.XLOOKUP(B7,'Base stats'!B:B,'Base stats'!E:E),Groups!A:A,Groups!AJ:AJ)="Photonozoa",0.6,1)*_xlfn.XLOOKUP(B7,'Base stats'!B:B,'Base stats'!C:C)^0.165,0.05)))</f>
        <v>No</v>
      </c>
      <c r="AK7" s="7" t="str">
        <f>IF(AI7="No","No",_xlfn.XLOOKUP(_xlfn.XLOOKUP(B7,'Base stats'!B:B,'Base stats'!E:E),Groups!A:A,Groups!AF:AF))</f>
        <v>No</v>
      </c>
      <c r="AL7" s="7" t="str">
        <f>IF(AI7="No","No",_xlfn.XLOOKUP(_xlfn.XLOOKUP(B7,'Base stats'!B:B,'Base stats'!E:E),Groups!A:A,Groups!AG:AG))</f>
        <v>No</v>
      </c>
      <c r="AM7" s="7" t="str">
        <f>IF(AI7="No","No",_xlfn.XLOOKUP(_xlfn.XLOOKUP(B7,'Base stats'!B:B,'Base stats'!E:E),Groups!A:A,Groups!AH:AH))</f>
        <v>No</v>
      </c>
      <c r="AN7" s="2" t="str">
        <f t="shared" si="0"/>
        <v>No</v>
      </c>
      <c r="AO7" s="2">
        <f>MROUND(IF(AND(_xlfn.XLOOKUP(B7,'Base stats'!B:B,'Base stats'!C:C)&gt;=0.5,_xlfn.XLOOKUP(B7,'Base stats'!B:B,'Base stats'!C:C)&lt;=0.8),
IF(_xlfn.XLOOKUP(B7,'Base stats'!B:B,'Base stats'!C:C)&lt;0.1,0.05,IF(_xlfn.XLOOKUP(B7,'Base stats'!B:B,'Base stats'!C:C)&lt;=70,(_xlfn.XLOOKUP(B7,'Base stats'!B:B,'Base stats'!C:C)/70)^0.426489913056526,IF(_xlfn.XLOOKUP(B7,'Base stats'!B:B,'Base stats'!C:C)&lt;=400,(_xlfn.XLOOKUP(B7,'Base stats'!B:B,'Base stats'!C:C)/70)^0.572811455315093,IF(_xlfn.XLOOKUP(B7,'Base stats'!B:B,'Base stats'!C:C)&lt;=2000,2.71391647193063*(_xlfn.XLOOKUP(B7,'Base stats'!B:B,'Base stats'!C:C)/400)^0.252459582904293,3.74314280240376*(_xlfn.XLOOKUP(B7,'Base stats'!B:B,'Base stats'!C:C)/2000)^0.357012633876913)))),
IF(_xlfn.XLOOKUP(B7,'Base stats'!B:B,'Base stats'!C:C)&lt;0.1,0.05,IF(_xlfn.XLOOKUP(B7,'Base stats'!B:B,'Base stats'!C:C)&lt;0.4,0.1,IF(_xlfn.XLOOKUP(B7,'Base stats'!B:B,'Base stats'!C:C)&lt;=70,(_xlfn.XLOOKUP(B7,'Base stats'!B:B,'Base stats'!C:C)/70)^0.445823913056526,IF(_xlfn.XLOOKUP(B7,'Base stats'!B:B,'Base stats'!C:C)&lt;=400,(_xlfn.XLOOKUP(B7,'Base stats'!B:B,'Base stats'!C:C)/70)^0.572811455315093,IF(_xlfn.XLOOKUP(B7,'Base stats'!B:B,'Base stats'!C:C)&lt;=2000,2.71391647193063*(_xlfn.XLOOKUP(B7,'Base stats'!B:B,'Base stats'!C:C)/400)^0.252459582904293,3.74314280240376*(_xlfn.XLOOKUP(B7,'Base stats'!B:B,'Base stats'!C:C)/2000)^0.357012633876913)))))),
IF(_xlfn.XLOOKUP(B7,'Base stats'!B:B,'Base stats'!C:C)&lt;0.1,0.05,IF(_xlfn.XLOOKUP(B7,'Base stats'!B:B,'Base stats'!C:C)&lt;=100,0.05,IF(_xlfn.XLOOKUP(B7,'Base stats'!B:B,'Base stats'!C:C)&lt;=250,0.1,IF(_xlfn.XLOOKUP(B7,'Base stats'!B:B,'Base stats'!C:C)&lt;=4000,0.25,0.5)))))</f>
        <v>0.75</v>
      </c>
      <c r="AP7" s="8">
        <f>MROUND(AO7*_xlfn.XLOOKUP(_xlfn.XLOOKUP(B7,'Base stats'!B:B,'Base stats'!E:E),Groups!A:A,Groups!AI:AI)*_xlfn.XLOOKUP(B7,'Base stats'!B:B,'Base stats'!Z:Z),0.05)</f>
        <v>0.75</v>
      </c>
      <c r="AQ7" s="8">
        <f>MAX(0.01,MROUND(IF(CC7="True",0.196*(AO7*100*1000)^0.889,IF(_xlfn.XLOOKUP(_xlfn.XLOOKUP(B7,'Base stats'!B:B,'Base stats'!E:E),Groups!A:A,Groups!AJ:AJ)="Bird",10.5*(AO7*100*1000)^0.681,4.82*(AO7*100*1000)^0.734))/(4.82*(1*100*1000)^0.734)/IF(AO7&lt;3.5,2,IF(AO7=3.5,1.5,1.25))*(1+0.132282374779864/(AO7^0.994035016789033+0.00905238001496948)),0.05))</f>
        <v>0.55000000000000004</v>
      </c>
      <c r="AR7" s="9">
        <f>IFERROR(MROUND(_xlfn.XLOOKUP(B7,'Base stats'!B:B,'Base stats'!H:H)/IF(_xlfn.XLOOKUP(B7,'Base stats'!B:B,'Base stats'!I:I)&lt;&gt;1,(122.5/70),1.2),IF(_xlfn.XLOOKUP(B7,'Base stats'!B:B,'Base stats'!H:H)&gt;=30,5,IF(_xlfn.XLOOKUP(B7,'Base stats'!B:B,'Base stats'!H:H)&gt;=15,3,IF(_xlfn.XLOOKUP(B7,'Base stats'!B:B,'Base stats'!H:H)&gt;=10,2,1)))),"Immortal")</f>
        <v>15</v>
      </c>
      <c r="AS7" s="35" t="str">
        <f>IFERROR(IF(OR(_xlfn.XLOOKUP(B7,'Base stats'!B:B,'Base stats'!F:F)="Atypical reproduction",_xlfn.XLOOKUP(B7,'Base stats'!B:B,'Base stats'!F:F)="Lay eggs"),"Lay eggs",MIN(20,MAX(5.5,ROUND(((_xlfn.XLOOKUP(B7,'Base stats'!B:B,'Base stats'!F:F)-25)*(14.5/615) + 5.5)*2,0)/2))),"Unknown")</f>
        <v>Lay eggs</v>
      </c>
      <c r="AT7" s="8">
        <f>IF(_xlfn.XLOOKUP(B7,'Base stats'!B:B,'Base stats'!G:G)="Atypical reproduction","No",IFERROR(MAX(IF(_xlfn.XLOOKUP(B7,'Base stats'!B:B,'Base stats'!G:G)&lt;0.5,0.2,0.3),MROUND(_xlfn.XLOOKUP(B7,'Base stats'!B:B,'Base stats'!G:G)/(365/60),0.2)),"Unknown"))</f>
        <v>0.4</v>
      </c>
      <c r="AU7" s="8">
        <f t="shared" si="1"/>
        <v>0.2</v>
      </c>
      <c r="AV7" s="8" t="str">
        <f>IFERROR(IFERROR(MROUND(_xlfn.XLOOKUP(B7,'Base stats'!B:B,'Base stats'!J:J),0.1),"Lay eggs"),"Cannot breed")</f>
        <v>Lay eggs</v>
      </c>
      <c r="AW7" s="2" t="str">
        <f t="shared" si="2"/>
        <v>true</v>
      </c>
      <c r="AX7" s="2" t="str">
        <f>IF(_xlfn.XLOOKUP(_xlfn.XLOOKUP(Animals!B7,'Base stats'!B:B,'Base stats'!E:E),Groups!A:A,Groups!AK:AK)=1,"true","false")</f>
        <v>false</v>
      </c>
      <c r="AY7" s="25" t="str">
        <f>IF(_xlfn.XLOOKUP(B7,'Base stats'!B:B,'Base stats'!Y:Y)="Liquor","Liquor, CarnivoreAnimalStrict",IF(AND(_xlfn.XLOOKUP(B7,'Base stats'!B:B,'Base stats'!Y:Y)="Carnivore",_xlfn.XLOOKUP(_xlfn.XLOOKUP(B7,'Base stats'!B:B,'Base stats'!E:E),Groups!A:A,Groups!AJ:AJ)="Photonozoa"),"CarnivoreAnimalStrict, OvivoreAnimal",IF(_xlfn.XLOOKUP(B7,'Base stats'!B:B,'Base stats'!Y:Y)="Carnivore","CarnivoreAnimal, OvivoreAnimal",IF(_xlfn.XLOOKUP(B7,'Base stats'!B:B,'Base stats'!Y:Y)="Dendrovore","VegetarianRoughAnimal, DendrovoreAnimal",IF(_xlfn.XLOOKUP(B7,'Base stats'!B:B,'Base stats'!Y:Y)="Herbivore","VegetarianRoughAnimal",IF(_xlfn.XLOOKUP(B7,'Base stats'!B:B,'Base stats'!Y:Y)="OmnivoreRough","OmnivoreRoughAnimal, OvivoreAnimal","OmnivoreAnimal, OvivoreAnimal"))))))</f>
        <v>VegetarianRoughAnimal</v>
      </c>
      <c r="AZ7" s="2">
        <f>IF(_xlfn.XLOOKUP(_xlfn.XLOOKUP(B7,'Base stats'!B:B,'Base stats'!E:E),Groups!A:A,Groups!D:D)=1,MROUND((1-J7)*5+1,2)*IF(J7&lt;=0.4,2,1),"No")</f>
        <v>2</v>
      </c>
      <c r="BA7" s="2" t="str">
        <f>IF(AND(_xlfn.XLOOKUP(B7,'Base stats'!B:B,'Base stats'!AH:AH)="&lt;li&gt;Seal&lt;/li&gt;",G7="Odyssey"),"&lt;li&gt;AEXP_Seal&lt;/li&gt;",_xlfn.XLOOKUP(B7,'Base stats'!B:B,'Base stats'!AH:AH))</f>
        <v>&lt;li&gt;Cassowary&lt;/li&gt;</v>
      </c>
      <c r="BB7" s="2" t="str">
        <f>_xlfn.XLOOKUP(B7,'Base stats'!B:B,'Base stats'!AG:AG)</f>
        <v>Leather_Bird</v>
      </c>
      <c r="BC7" s="23" t="str">
        <f>_xlfn.XLOOKUP(_xlfn.XLOOKUP(B7,'Base stats'!B:B,'Base stats'!E:E),Groups!A:A,Groups!AL:AL)</f>
        <v>Bird</v>
      </c>
      <c r="BD7" s="23">
        <f>MIN(1,MROUND(IF(AND(AO7&lt;0.5,_xlfn.XLOOKUP(B7,'Base stats'!B:B,'Base stats'!AA:AA)=0),0,IF(OR(_xlfn.XLOOKUP(Animals!B7,'Base stats'!B:B,'Base stats'!O:O)=2,_xlfn.XLOOKUP(_xlfn.XLOOKUP(B7,'Base stats'!B:B,'Base stats'!E:E),Groups!A:A,Groups!AN:AN)=0),0,_xlfn.XLOOKUP(_xlfn.XLOOKUP(B7,'Base stats'!B:B,'Base stats'!E:E),Groups!A:A,Groups!AN:AN)/IF(_xlfn.XLOOKUP(Animals!B7,'Base stats'!B:B,'Base stats'!O:O)=1,2,1)))+_xlfn.XLOOKUP(B7,'Base stats'!B:B,'Base stats'!AC:AC),0.005))</f>
        <v>0</v>
      </c>
      <c r="BE7" s="23">
        <f>MIN(1,MROUND(IF(AND(AO7&lt;0.5,_xlfn.XLOOKUP(B7,'Base stats'!B:B,'Base stats'!AA:AA)=0),0,IF(_xlfn.XLOOKUP(_xlfn.XLOOKUP(B7,'Base stats'!B:B,'Base stats'!E:E),Groups!A:A,Groups!AO:AO)=0,0,_xlfn.XLOOKUP(_xlfn.XLOOKUP(B7,'Base stats'!B:B,'Base stats'!E:E),Groups!A:A,Groups!AO:AO)/IF(_xlfn.XLOOKUP(Animals!B7,'Base stats'!B:B,'Base stats'!O:O)=2,3,1)))+_xlfn.XLOOKUP(B7,'Base stats'!B:B,'Base stats'!AD:AD),0.005))</f>
        <v>0</v>
      </c>
      <c r="BF7" s="2" t="str">
        <f>IF(J7&gt;0.3,"No",_xlfn.XLOOKUP(_xlfn.XLOOKUP(Animals!B7,'Base stats'!B:B,'Base stats'!E:E),Groups!A:A,Groups!AP:AP))</f>
        <v>No</v>
      </c>
      <c r="BG7" s="2" t="str">
        <f>IF(AND(J7&lt;=0.65,_xlfn.XLOOKUP(_xlfn.XLOOKUP(Animals!B7,'Base stats'!B:B,'Base stats'!E:E),Groups!A:A,Groups!AP:AP)&lt;&gt;"No",_xlfn.XLOOKUP(_xlfn.XLOOKUP(B7,'Base stats'!B:B,'Base stats'!E:E),Groups!A:A,Groups!D:D)=0),MROUND((80/3)*IF(_xlfn.XLOOKUP(B7,'Base stats'!B:B,'Base stats'!O:O)=2,0.2,AO7) + 24*(1-IF(BF7="No",0,BF7)) + 16/3, 12),"No")</f>
        <v>No</v>
      </c>
      <c r="BH7" s="2">
        <f>IF(AND(_xlfn.XLOOKUP(_xlfn.XLOOKUP(B7,'Base stats'!B:B,'Base stats'!E:E),Groups!A:A,Groups!AQ:AQ)=1,AO7&lt;=0.35),8,12)</f>
        <v>12</v>
      </c>
      <c r="BI7" s="2" t="str">
        <f>IF(_xlfn.XLOOKUP(_xlfn.XLOOKUP(B7,'Base stats'!B:B,'Base stats'!E:E),Groups!A:A,Groups!D:D)=0,_xlfn.XLOOKUP(_xlfn.XLOOKUP(B7,'Base stats'!B:B,'Base stats'!E:E),Groups!A:A,Groups!AR:AR),"None")</f>
        <v>None</v>
      </c>
      <c r="BJ7" s="2" t="str">
        <f>IF(AND(_xlfn.XLOOKUP(_xlfn.XLOOKUP(B7,'Base stats'!B:B,'Base stats'!E:E),Groups!A:A,Groups!AS:AS)=1,OR(_xlfn.XLOOKUP(B7,'Base stats'!B:B,'Base stats'!Y:Y)="Carnivore",_xlfn.XLOOKUP(B7,'Base stats'!B:B,'Base stats'!Y:Y)="Omnivore")),"true","false")</f>
        <v>false</v>
      </c>
      <c r="BK7" s="2" t="str">
        <f>IF(BJ7="true",MROUND(IF(AND(AO7&gt;0.5,OR(_xlfn.XLOOKUP(_xlfn.XLOOKUP(B7,'Base stats'!B:B,'Base stats'!E:E),Groups!A:A,Groups!AJ:AJ)="Photonozoa",_xlfn.XLOOKUP(_xlfn.XLOOKUP(B7,'Base stats'!B:B,'Base stats'!E:E),Groups!A:A,Groups!AJ:AJ)="Mammal")),Animals!AO7*1.75*IF(AW7="true",1.5,1),IF(AO7&lt;0.5,Animals!AO7*0.5,Animals!AO7)),IF(AO7&gt;2,0.5,IF(AO7&gt;0.5,0.25,0.1))),"No")</f>
        <v>No</v>
      </c>
      <c r="BL7" s="2">
        <f t="shared" si="3"/>
        <v>0</v>
      </c>
      <c r="BM7" s="25" t="str">
        <f>IF(_xlfn.XLOOKUP(B7,'Base stats'!B:B,'Base stats'!AN:AN)="Standard","No",MROUND((_xlfn.XLOOKUP(B7,'Base stats'!B:B,'Base stats'!AN:AN)/3.6)/I7,0.1))</f>
        <v>No</v>
      </c>
      <c r="BN7" s="25" t="str">
        <f t="shared" si="4"/>
        <v>false</v>
      </c>
      <c r="BO7" s="25" t="str">
        <f>IF(AND(OR(_xlfn.XLOOKUP(B7,'Base stats'!B:B,'Base stats'!Y:Y)="Carnivore",_xlfn.XLOOKUP(B7,'Base stats'!B:B,'Base stats'!Y:Y)="Omnivore",_xlfn.XLOOKUP(B7,'Base stats'!B:B,'Base stats'!Y:Y)="OmnivoreRough"),_xlfn.XLOOKUP(_xlfn.XLOOKUP(B7,'Base stats'!B:B,'Base stats'!E:E),Groups!A:A,Groups!AT:AT)=1),"true","false")</f>
        <v>false</v>
      </c>
      <c r="BP7" s="25" t="str" cm="1">
        <f t="array" ref="BP7">IF(
  _xlfn.TEXTJOIN(", ",TRUE,
    IF(AND(BJ7="true",AO7&gt;0.5,BI7&lt;&gt;"None"),"AttackTarget",""),
    IF(AND(_xlfn.XLOOKUP(_xlfn.XLOOKUP(B7,'Base stats'!B:B,'Base stats'!E:E),Groups!A:A,Groups!AJ:AJ="Mammal"),OR(_xlfn.XLOOKUP(B7,'Base stats'!B:B,'Base stats'!Y:Y)="Omnivore",_xlfn.XLOOKUP(B7,'Base stats'!B:B,'Base stats'!Y:Y)="OmnivoreRough")),"Forage",""),
    IF(BG7&lt;=36,"Comfort",""),
    IF(_xlfn.XLOOKUP(B7,'Base stats'!B:B,'Base stats'!AE:AE)&lt;&gt;"No",_xlfn.XLOOKUP(B7,'Base stats'!B:B,'Base stats'!AE:AE),"")
  ) = "",
  "No",
  _xlfn.TEXTJOIN(", ",TRUE,
    IF(AND(BJ7="true",AO7&gt;0.5,BI7&lt;&gt;"None"),"AttackTarget",""),
    IF(AND(_xlfn.XLOOKUP(_xlfn.XLOOKUP(B7,'Base stats'!B:B,'Base stats'!E:E),Groups!A:A,Groups!AJ:AJ="Mammal"),OR(_xlfn.XLOOKUP(B7,'Base stats'!B:B,'Base stats'!Y:Y)="Omnivore",_xlfn.XLOOKUP(B7,'Base stats'!B:B,'Base stats'!Y:Y)="OmnivoreRough")),"Forage",""),
    IF(BG7&lt;=36,"Comfort",""),
    IF(_xlfn.XLOOKUP(B7,'Base stats'!B:B,'Base stats'!AE:AE)&lt;&gt;"No",_xlfn.XLOOKUP(B7,'Base stats'!B:B,'Base stats'!AE:AE),"")
  )
)</f>
        <v>No</v>
      </c>
      <c r="BQ7" s="25" t="str">
        <f>IF(
   AND(
      'Base stats'!AN7="Standard",_xlfn.XLOOKUP(_xlfn.XLOOKUP(B7,'Base stats'!B:B,'Base stats'!E:E),Groups!A:A,Groups!AU:AU)=0,
      OR(
      BO7="True"
      )
   ),
   10,
   IF(
       OR(BM7&lt;&gt;"No",_xlfn.XLOOKUP(_xlfn.XLOOKUP(B7,'Base stats'!B:B,'Base stats'!E:E),Groups!A:A,Groups!AU:AU)=1),
      1,
      "No"
   )
)</f>
        <v>No</v>
      </c>
      <c r="BR7" s="9">
        <f>MROUND((1 + ((0.2*IF(OR(Q7="No",R7="No",R7=0),0,Q7/R7)
+IF(OR(V7="No",S7="No",T7="No"),0,S7/T7*(LEN(V7)-LEN(SUBSTITUTE(V7,",",""))+1))
+IF(OR(X7="No",Y7="No"),0,X7/Y7)
+IF(OR(AD7="No",AE7="No"),0,AD7/AE7)
+IF(OR(AL7="No",AI7="No",AJ7="No"),0,AI7/AJ7*(LEN(AL7)-LEN(SUBSTITUTE(AL7,",",""))+1))
)/(0.2*IF(OR(Q7="No",R7="No",R7=0),0,1)
+IF(OR(V7="No",S7="No",T7="No"),0,LEN(V7)-LEN(SUBSTITUTE(V7,",",""))+1)
+IF(OR(X7="No",Y7="No"),0,1)
+IF(OR(AD7="No",AE7="No"),0,1)
+IF(OR(AL7="No",AI7="No",AJ7="No"),0,LEN(AL7)-LEN(SUBSTITUTE(AL7,",",""))+1))*62%)* 2)*(1 + (AP7 / (IF(_xlfn.XLOOKUP(_xlfn.XLOOKUP(B7,'Base stats'!B:B,'Base stats'!E:E),Groups!A:A,Groups!AJ:AJ)="Photonozoa",0.3,1)) + _xlfn.XLOOKUP(B7,'Base stats'!B:B,'Base stats'!AV:AV) * 1.8) * 2) * 2.5 + 10 + I7 * 2,5)+IF(_xlfn.XLOOKUP(B7,'Base stats'!B:B,'Base stats'!AK:AK)=1,50,0)</f>
        <v>60</v>
      </c>
      <c r="BS7" s="8">
        <f t="shared" si="5"/>
        <v>0.60000000000000009</v>
      </c>
      <c r="BT7" s="8" t="str">
        <f>_xlfn.XLOOKUP(B7,'Base stats'!B:B,'Base stats'!AF:AF)</f>
        <v>2~6</v>
      </c>
      <c r="BU7" s="2" t="str">
        <f>IF(AND(J7&lt;=0.95,OR(_xlfn.XLOOKUP(B7,'Base stats'!B:B,'Base stats'!AK:AK)=1,_xlfn.XLOOKUP(B7,'Base stats'!B:B,'Base stats'!Y:Y)="Carnivore",_xlfn.XLOOKUP(B7,'Base stats'!B:B,'Base stats'!Y:Y)="Omnivore",BE7&gt;0.1)),"true","false")</f>
        <v>false</v>
      </c>
      <c r="BV7" s="2" t="str">
        <f>IF(_xlfn.XLOOKUP(B7,'Base stats'!B:B,'Base stats'!AI:AI)=1,"true","false")</f>
        <v>false</v>
      </c>
      <c r="BW7" s="25" t="str">
        <f>IF(E7="BaseInsect","AnimalInsect",
IF(J7&gt;0.95,"AnimalExotic",
_xlfn.TEXTJOIN(", ",TRUE,
IF(OR(_xlfn.XLOOKUP(B7,'Base stats'!B:B,'Base stats'!AM:AM)=1,AND(_xlfn.XLOOKUP(B7,'Base stats'!B:B,'Base stats'!O:O)=0,_xlfn.XLOOKUP(_xlfn.XLOOKUP(B7,'Base stats'!B:B,'Base stats'!E:E),Groups!A:A,Groups!B:B)&gt;0)),"AnimalUncommon","AnimalCommon"),
IF(AND(_xlfn.XLOOKUP(B7,'Base stats'!B:B,'Base stats'!O:O)=2,_xlfn.XLOOKUP(_xlfn.XLOOKUP(B7,'Base stats'!B:B,'Base stats'!E:E),Groups!A:A,Groups!D:D)=0),"AnimalPet",IF(AND(_xlfn.XLOOKUP(B7,'Base stats'!B:B,'Base stats'!O:O)&lt;&gt;0,_xlfn.XLOOKUP(_xlfn.XLOOKUP(B7,'Base stats'!B:B,'Base stats'!E:E),Groups!A:A,Groups!D:D)&lt;&gt;0),"AnimalFarm","")),
IF(OR(_xlfn.XLOOKUP(B7,'Base stats'!B:B,'Base stats'!AK:AK)=1,AND(BI7&lt;&gt;"None",BR7&gt;=60),ISNUMBER(SEARCH("Attack target",BP7))),"AnimalFighter","")
)))</f>
        <v>AnimalCommon</v>
      </c>
      <c r="BX7" s="25" t="str">
        <f>IF(G7="None",TRIM(
SUBSTITUTE(
IF(COUNTIF(Biomes!B$2:B$259,"="&amp;$C7)&gt;0,Biomes!B$1&amp;", ","")&amp;
IF(COUNTIF(Biomes!C$2:C$259,"="&amp;$C7)&gt;0,Biomes!C$1&amp;", ","")&amp;
IF(COUNTIF(Biomes!D$2:D$259,"="&amp;$C7)&gt;0,Biomes!D$1&amp;", ","")&amp;
IF(COUNTIF(Biomes!F$2:F$259,"="&amp;$C7)&gt;0,Biomes!F$1&amp;", ","")&amp;
IF(COUNTIF(Biomes!G$2:G$259,"="&amp;$C7)&gt;0,Biomes!G$1&amp;", ","")&amp;
IF(COUNTIF(Biomes!H$2:H$259,"="&amp;$C7)&gt;0,Biomes!H$1&amp;", ","")&amp;
IF(COUNTIF(Biomes!I$2:I$259,"="&amp;$C7)&gt;0,Biomes!I$1&amp;", ","")&amp;
IF(COUNTIF(Biomes!J$2:J$259,"="&amp;$C7)&gt;0,Biomes!J$1&amp;", ","")&amp;
IF(COUNTIF(Biomes!M$2:M$259,"="&amp;$C7)&gt;0,Biomes!M$1&amp;", ","")&amp;
IF(COUNTIF(Biomes!N$2:N$259,"="&amp;$C7)&gt;0,Biomes!N$1&amp;", ","")&amp;
IF(COUNTIF(Biomes!O$2:O$259,"="&amp;$C7)&gt;0,Biomes!O$1&amp;", ","")&amp;
IF(COUNTIF(Biomes!P$2:P$259,"="&amp;$C7)&gt;0,Biomes!P$1&amp;", ","")&amp;
IF(COUNTIF(Biomes!K$2:K$259,"="&amp;$C7)&gt;0,Biomes!K$1&amp;", ","")&amp;
IF(COUNTIF(Biomes!Q$3:Q$259,"="&amp;$C7)&gt;0,Biomes!Q$1&amp;", ","")&amp;
IF(COUNTIF(Biomes!L$2:L$259,"="&amp;$C7)&gt;0,Biomes!L$1&amp;", ","")&amp;
IF(COUNTIF(Biomes!E$2:E$259,"="&amp;$C7)&gt;0,Biomes!E$1&amp;", ","")&amp;IF(COUNTIF(Biomes!S$2:S$259,"="&amp;$C7)&gt;0,Biomes!S$1&amp;", ","")&amp;
IF(COUNTIF(Biomes!R$2:R$259,"="&amp;$C7)&gt;0,Biomes!R$1&amp;", ",""),", ","")
),_xlfn.XLOOKUP(B7,B:B,BX:BX))</f>
        <v>AridShrubland Desert Grasslands LavaField</v>
      </c>
      <c r="BY7" s="25" t="str">
        <f>IF(_xlfn.XLOOKUP(B7,'Base stats'!B:B,'Base stats'!AJ:AJ)=1,"true","false")</f>
        <v>false</v>
      </c>
      <c r="BZ7" s="25">
        <f>IF(_xlfn.XLOOKUP(B7,'Base stats'!B:B,'Base stats'!N:N)=1,"No",MAX(0.001,MIN(MROUND(IF(AND(BJ7="True",CC7="False"),POWER(10,3.47*LOG10(_xlfn.XLOOKUP(B7,'Base stats'!B:B,'Base stats'!C:C)*1000)^-0.96),POWER(10,4.15*LOG10(_xlfn.XLOOKUP(B7,'Base stats'!B:B,'Base stats'!C:C)*1000)^-0.73))*IF(_xlfn.XLOOKUP(B7,'Base stats'!B:B,'Base stats'!AK:AK)=1,0.5,1)*IF(_xlfn.XLOOKUP(B7,'Base stats'!B:B,'Base stats'!AM:AM)=1,0.1,1)/100,IF(_xlfn.XLOOKUP(B7,'Base stats'!B:B,'Base stats'!AM:AM)=1,0.001,0.025)),0.5)))</f>
        <v>0.22500000000000001</v>
      </c>
      <c r="CA7" s="25" t="str">
        <f>IF(P7="Standard","No",MAX(0.001,MIN(MROUND(IF(AND(BJ7="True",CC7="False"),POWER(10,3.47*LOG10(_xlfn.XLOOKUP(B7,'Base stats'!B:B,'Base stats'!C:C)*1000)^-0.96),POWER(10,4.15*LOG10(_xlfn.XLOOKUP(B7,'Base stats'!B:B,'Base stats'!C:C)*1000)^-0.73))*IF(_xlfn.XLOOKUP(B7,'Base stats'!B:B,'Base stats'!AM:AM)=1,0.1,1)*_xlfn.XLOOKUP(B7,'Base stats'!B:B,'Base stats'!R:R)/100,IF(_xlfn.XLOOKUP(B7,'Base stats'!B:B,'Base stats'!AM:AM)=1,0.001,0.025)),0.5)))</f>
        <v>No</v>
      </c>
      <c r="CB7" s="25" t="str">
        <f>IF(_xlfn.XLOOKUP(_xlfn.XLOOKUP(B7,'Base stats'!B:B,'Base stats'!E:E),Groups!A:A,Groups!AJ:AJ)="Mammal","True","False")</f>
        <v>False</v>
      </c>
      <c r="CC7" s="25" t="str">
        <f>IF(OR(_xlfn.XLOOKUP(_xlfn.XLOOKUP(B7,'Base stats'!B:B,'Base stats'!E:E),Groups!A:A,Groups!AJ:AJ)="Reptile",_xlfn.XLOOKUP(_xlfn.XLOOKUP(B7,'Base stats'!B:B,'Base stats'!E:E),Groups!A:A,Groups!AJ:AJ)="Amphibian",_xlfn.XLOOKUP(_xlfn.XLOOKUP(B7,'Base stats'!B:B,'Base stats'!E:E),Groups!A:A,Groups!AJ:AJ)="Invertebrate"),"True","False")</f>
        <v>False</v>
      </c>
      <c r="CD7" s="25" t="str">
        <f t="shared" si="6"/>
        <v>False</v>
      </c>
      <c r="CE7" s="25" t="str">
        <f>IF(_xlfn.XLOOKUP(_xlfn.XLOOKUP(B7,'Base stats'!B:B,'Base stats'!E:E),Groups!A:A,Groups!AX:AX),"True","False")</f>
        <v>False</v>
      </c>
      <c r="CF7" s="25" t="str">
        <f>IF(_xlfn.XLOOKUP(_xlfn.XLOOKUP(B7,'Base stats'!B:B,'Base stats'!E:E),Groups!A:A,Groups!AY:AY),"True","False")</f>
        <v>False</v>
      </c>
      <c r="CG7" s="25" t="str">
        <f>IF(_xlfn.XLOOKUP(_xlfn.XLOOKUP(B7,'Base stats'!B:B,'Base stats'!E:E),Groups!A:A,Groups!AW:AW),"True","False")</f>
        <v>False</v>
      </c>
      <c r="CH7" s="25" t="str">
        <f>IF(
OR(
_xlfn.XLOOKUP(_xlfn.XLOOKUP(B7,'Base stats'!B:B,'Base stats'!E:E),Groups!A:A,Groups!AZ:AZ)=0,
AND(
_xlfn.XLOOKUP(B7,'Base stats'!B:B,'Base stats'!Y:Y)&lt;&gt;"Carnivore",
_xlfn.XLOOKUP(B7,'Base stats'!B:B,'Base stats'!Y:Y)&lt;&gt;"Omnivore",
_xlfn.XLOOKUP(B7,'Base stats'!B:B,'Base stats'!Y:Y)&lt;&gt;"OmnivoreRough"
)
),
"No",
IF(
_xlfn.XLOOKUP(_xlfn.XLOOKUP(B7,'Base stats'!B:B,'Base stats'!E:E),Groups!A:A,Groups!AZ:AZ)=1,
"Flesh",
IF(
_xlfn.XLOOKUP(_xlfn.XLOOKUP(B7,'Base stats'!B:B,'Base stats'!E:E),Groups!A:A,Groups!AZ:AZ)=2,
"Bone",
""
)
)
)</f>
        <v>No</v>
      </c>
      <c r="CI7" s="25" t="str">
        <f>IF(_xlfn.XLOOKUP(_xlfn.XLOOKUP(B7,'Base stats'!B:B,'Base stats'!E:E),Groups!A:A,Groups!BB:BB),"True","False")</f>
        <v>True</v>
      </c>
      <c r="CJ7" s="25" t="str">
        <f>IF(_xlfn.XLOOKUP(_xlfn.XLOOKUP(B7,'Base stats'!B:B,'Base stats'!E:E),Groups!A:A,Groups!BA:BA),"True","False")</f>
        <v>False</v>
      </c>
      <c r="CO7" s="16"/>
    </row>
    <row r="8" spans="1:93" ht="16.5" thickTop="1" thickBot="1" x14ac:dyDescent="0.3">
      <c r="A8" s="26" t="str">
        <f>_xlfn.XLOOKUP(B8,'Base stats'!B:B,'Base stats'!A:A)</f>
        <v>Turkey</v>
      </c>
      <c r="B8" s="27" t="s">
        <v>915</v>
      </c>
      <c r="C8" s="28" t="s">
        <v>679</v>
      </c>
      <c r="D8" s="28" t="s">
        <v>45</v>
      </c>
      <c r="E8" s="28" t="s">
        <v>675</v>
      </c>
      <c r="F8" s="28" t="s">
        <v>676</v>
      </c>
      <c r="G8" s="28" t="s">
        <v>673</v>
      </c>
      <c r="H8" s="2">
        <f>MROUND((
  (IF(AND(_xlfn.XLOOKUP(B8,'Base stats'!B:B,'Base stats'!AL:AL)=0,BI8="None",_xlfn.XLOOKUP(_xlfn.XLOOKUP(B8,'Base stats'!B:B,'Base stats'!E:E),Groups!A:A,Groups!B:B)=0), (18 + BR8 * 2.7) * 0.5,
    IF(AND(_xlfn.XLOOKUP(B8,'Base stats'!B:B,'Base stats'!AL:AL)=0,OR(AO8&lt;0.55,AND(BI8="Intermediate",_xlfn.XLOOKUP(_xlfn.XLOOKUP(B8,'Base stats'!B:B,'Base stats'!E:E),Groups!A:A,Groups!B:B)&lt;2))), (18 + BR8 * 2.7),
      IF(OR(BI8="Advanced",_xlfn.XLOOKUP(B8,'Base stats'!B:B,'Base stats'!AL:AL)=1,_xlfn.XLOOKUP(_xlfn.XLOOKUP(B8,'Base stats'!B:B,'Base stats'!E:E),Groups!A:A,Groups!B:B)=2), (18 + BR8 * 2.7) + 250, (18 + BR8 * 2.7))
    )
  ))
  + AO8 * 80
  + IF(COUNTIF(EggMilk!K$2:K$998, A8) &gt; 0, 125, 0)
  + IF(COUNTIF(EggMilk!P$2:P$998, A8) &gt; 0, 90, 0)
  + IF(COUNTIF(EggMilk!A$2:A$998, A8) &gt; 0, 90, 0)
)
* (0.8 + 0.4 * J8)
* 0.75,25)</f>
        <v>125</v>
      </c>
      <c r="I8" s="2">
        <f>MROUND(ROUNDDOWN(_xlfn.XLOOKUP(B8,'Base stats'!B:B,'Base stats'!L:L)/3.6/(23.3/11),1),0.5)</f>
        <v>2</v>
      </c>
      <c r="J8" s="2">
        <f>IF(OR(_xlfn.XLOOKUP(B8,'Base stats'!B:B,'Base stats'!AB:AB)=1,_xlfn.XLOOKUP(_xlfn.XLOOKUP(B8,'Base stats'!B:B,'Base stats'!E:E),Groups!A:A,Groups!C:C)="Untamable"),1,IF(_xlfn.XLOOKUP(B8,'Base stats'!B:B,'Base stats'!AL:AL)=1,0.99,MIN(MROUND((1-0.6282*EXP(-0.459*AO8))*_xlfn.XLOOKUP(_xlfn.XLOOKUP(B8,'Base stats'!B:B,'Base stats'!E:E),Groups!A:A,Groups!C:C)*IF(_xlfn.XLOOKUP(B8,'Base stats'!B:B,'Base stats'!O:O)=1,0.5,IF(_xlfn.XLOOKUP(B8,'Base stats'!B:B,'Base stats'!O:O)=2,0,1)),0.05),IF(AO8&gt;3.5,0.985,0.95))))</f>
        <v>0.60000000000000009</v>
      </c>
      <c r="K8" s="2">
        <f>ROUNDUP(AO8*_xlfn.XLOOKUP(_xlfn.XLOOKUP(B8,'Base stats'!B:B,'Base stats'!E:E),Groups!A:A,Groups!E:E),0)</f>
        <v>4</v>
      </c>
      <c r="L8" s="2">
        <f>IF(OR(_xlfn.XLOOKUP(_xlfn.XLOOKUP(B8,'Base stats'!B:B,'Base stats'!E:E),Groups!A:A,Groups!F:F)=2,ISNUMBER(SEARCH("SeaIce",BX8)),ISNUMBER(SEARCH("IceSheet",BX8))),-50,IF(OR(ISNUMBER(SEARCH("GlacialPlain",BX8)),ISNUMBER(SEARCH("Tundra",BX8))),-40,IF(OR(ISNUMBER(SEARCH("Alpine",BX8)),ISNUMBER(SEARCH("BorealForest",BX8)),ISNUMBER(SEARCH("ColdBog",BX8))),-30,IF(OR(ISNUMBER(SEARCH("TemperateForest",BX8)),ISNUMBER(SEARCH("TemperateSwamp",BX8))),-20,IF(_xlfn.XLOOKUP(_xlfn.XLOOKUP(B8,'Base stats'!B:B,'Base stats'!E:E),Groups!A:A,Groups!F:F)=1,-15,IF(OR(ISNUMBER(SEARCH("Desert",BX8)),ISNUMBER(SEARCH("ExtremeDesert",BX8))),-10,IF(OR(ISNUMBER(SEARCH("Grasslands",BX8)),ISNUMBER(SEARCH("TropicalRainforest",BX8)),ISNUMBER(SEARCH("TropicalSwamp",BX8))),10,0)))))))-IF(CC8="False",MIN(IFERROR(MAX(MROUND(LOG10(_xlfn.XLOOKUP(B8,'Base stats'!B:B,'Base stats'!C:C)^(2/3))*10,5),5),5),30))-_xlfn.XLOOKUP(B8,'Base stats'!B:B,'Base stats'!P:P)+IF(CC8="True",5,0)</f>
        <v>-25</v>
      </c>
      <c r="M8" s="2">
        <f>IF(OR(_xlfn.XLOOKUP(_xlfn.XLOOKUP(B8,'Base stats'!B:B,'Base stats'!E:E),Groups!A:A,Groups!G:G)=2,ISNUMBER(SEARCH("Desert",BX8)),ISNUMBER(SEARCH("ExtremeDesert",BX8)),ISNUMBER(SEARCH("LavaField",BX8))),50,IF(ISNUMBER(SEARCH("Grasslands",BX8)),45,IF(OR(_xlfn.XLOOKUP(_xlfn.XLOOKUP(B8,'Base stats'!B:B,'Base stats'!E:E),Groups!A:A,Groups!G:G)=1,ISNUMBER(SEARCH("TropicalRainforest",BX8)),ISNUMBER(SEARCH("TropicalSwamp",BX8))),40,IF(OR(ISNUMBER(SEARCH("TemperateForest",BX8)),ISNUMBER(SEARCH("TemperateSwamp",BX8))),35,IF(OR(ISNUMBER(SEARCH("Alpine",BX8)),ISNUMBER(SEARCH("BorealForest",BX8)),ISNUMBER(SEARCH("ColdBog",BX8))),30,IF(ISNUMBER(OR(ISNUMBER(SEARCH("GlacialPlain",BX8)),SEARCH("Tundra",BX8))),25,IF(OR(ISNUMBER(SEARCH("SeaIce",BX8)),ISNUMBER(SEARCH("IceSheet",BX8)),ISNUMBER(SEARCH("TropicalSwamp",BX8))),10,35)))))))+_xlfn.XLOOKUP(B8,'Base stats'!B:B,'Base stats'!Q:Q)</f>
        <v>35</v>
      </c>
      <c r="N8" s="8" t="str">
        <f>IF(
_xlfn.XLOOKUP(
_xlfn.XLOOKUP(B8,'Base stats'!B:B,'Base stats'!E:E),
Groups!A:A,
Groups!L:L
)=1,
MIN(
MROUND(
IF(
_xlfn.XLOOKUP(B8,'Animals CE'!B:B,'Animals CE'!Z:Z)&lt;=1.5,
_xlfn.XLOOKUP(B8,'Animals CE'!B:B,'Animals CE'!Z:Z)/2+0.05,
0.8+
(_xlfn.XLOOKUP(B8,'Animals CE'!B:B,'Animals CE'!Z:Z)-1.5)
*0.02
),
0.05
),
200%
),
"No"
)</f>
        <v>No</v>
      </c>
      <c r="O8" s="8" t="str">
        <f>IF(
_xlfn.XLOOKUP(
_xlfn.XLOOKUP(B8,'Base stats'!B:B,'Base stats'!E:E),
Groups!A:A,
Groups!L:L
)=1,
MIN(
MROUND(
IF(
_xlfn.XLOOKUP(B8,'Animals CE'!B:B,'Animals CE'!AA:AA)&lt;=1.5,
_xlfn.XLOOKUP(B8,'Animals CE'!B:B,'Animals CE'!AA:AA)/2+0.05,
0.8+
(_xlfn.XLOOKUP(B8,'Animals CE'!B:B,'Animals CE'!AA:AA)-1.5)
*0.02
),
0.05
),
200%
),
"No"
)</f>
        <v>No</v>
      </c>
      <c r="P8" s="2" t="str">
        <f>_xlfn.XLOOKUP(B8,'Base stats'!B:B,'Base stats'!R:R)</f>
        <v>Standard</v>
      </c>
      <c r="Q8" s="13">
        <f>MROUND((LOG10(_xlfn.XLOOKUP(B8,'Base stats'!B:B,'Base stats'!AR:AR))*(AO8^0.5)+(_xlfn.XLOOKUP(B8,'Base stats'!B:B,'Base stats'!AR:AR)/1000)^(2/3)+_xlfn.XLOOKUP(B8,'Base stats'!B:B,'Base stats'!BA:BA)/2)+0.5,0.5)</f>
        <v>3</v>
      </c>
      <c r="R8" s="7">
        <f>IF(Q8="No","No",MAX(1,MROUND(_xlfn.XLOOKUP(B8,'Base stats'!B:B,'Base stats'!C:C)^0.165,0.05)))</f>
        <v>1.35</v>
      </c>
      <c r="S8" s="13">
        <f>IF(_xlfn.XLOOKUP(_xlfn.XLOOKUP(B8,'Base stats'!B:B,'Base stats'!E:E),Groups!A:A,Groups!P:P)=0,"No",MROUND((LOG10(_xlfn.XLOOKUP(B8,'Base stats'!B:B,'Base stats'!AS:AS))*(AO8^0.5)+(_xlfn.XLOOKUP(B8,'Base stats'!B:B,'Base stats'!AS:AS)/1000)^(2/3)+_xlfn.XLOOKUP(B8,'Base stats'!B:B,'Base stats'!BA:BA))+_xlfn.XLOOKUP(B8,'Base stats'!B:B,'Base stats'!AY:AY)+0.5,0.5))</f>
        <v>5.5</v>
      </c>
      <c r="T8" s="7">
        <f>IF(S8="No","No",MAX(_xlfn.XLOOKUP(_xlfn.XLOOKUP(B8,'Base stats'!B:B,'Base stats'!E:E),Groups!A:A,Groups!Q:Q),MROUND(_xlfn.XLOOKUP(_xlfn.XLOOKUP(B8,'Base stats'!B:B,'Base stats'!E:E),Groups!A:A,Groups!Q:Q)*_xlfn.XLOOKUP(B8,'Base stats'!B:B,'Base stats'!C:C)^0.165,0.05)))</f>
        <v>1.35</v>
      </c>
      <c r="U8" s="7" t="str">
        <f>IF(S8="No","No",_xlfn.XLOOKUP(_xlfn.XLOOKUP(B8,'Base stats'!B:B,'Base stats'!E:E),Groups!A:A,Groups!R:R))</f>
        <v>Feet</v>
      </c>
      <c r="V8" s="7" t="str">
        <f>IF(S8="No","No",_xlfn.XLOOKUP(_xlfn.XLOOKUP(B8,'Base stats'!B:B,'Base stats'!E:E),Groups!A:A,Groups!S:S))</f>
        <v>rear left claw, rear  right claw</v>
      </c>
      <c r="W8" s="7" t="str">
        <f>IF(S8="No","No",_xlfn.XLOOKUP(_xlfn.XLOOKUP(B8,'Base stats'!B:B,'Base stats'!E:E),Groups!A:A,Groups!T:T))</f>
        <v>Scratch</v>
      </c>
      <c r="X8" s="13" t="str">
        <f>IF(_xlfn.XLOOKUP(B8,'Base stats'!B:B,'Base stats'!W:W)="No","No",MROUND((LOG10(_xlfn.XLOOKUP(B8,'Base stats'!B:B,'Base stats'!AU:AU))*(AO8^0.5)+(_xlfn.XLOOKUP(B8,'Base stats'!B:B,'Base stats'!AU:AU)/1000)^(2/3)+_xlfn.XLOOKUP(B8,'Base stats'!B:B,'Base stats'!AZ:AZ))+0.5+IF(_xlfn.XLOOKUP(_xlfn.XLOOKUP(B8,'Base stats'!B:B,'Base stats'!E:E),Groups!A:A,Groups!U:U)&lt;&gt;3,_xlfn.XLOOKUP(B8,'Base stats'!B:B,'Base stats'!BA:BA),0),0.5))</f>
        <v>No</v>
      </c>
      <c r="Y8" s="7" t="str">
        <f>IF(X8="No","No",MAX(_xlfn.XLOOKUP(_xlfn.XLOOKUP(B8,'Base stats'!B:B,'Base stats'!E:E),Groups!A:A,Groups!V:V),MROUND(_xlfn.XLOOKUP(_xlfn.XLOOKUP(B8,'Base stats'!B:B,'Base stats'!E:E),Groups!A:A,Groups!V:V)*_xlfn.XLOOKUP(B8,'Base stats'!B:B,'Base stats'!C:C)^0.165,0.05)))</f>
        <v>No</v>
      </c>
      <c r="Z8" s="7" t="str">
        <f>IF(X8="No","No",_xlfn.XLOOKUP(_xlfn.XLOOKUP(B8,'Base stats'!B:B,'Base stats'!E:E),Groups!A:A,Groups!W:W))</f>
        <v>No</v>
      </c>
      <c r="AA8" s="7" t="str">
        <f>IF(X8="No","No",_xlfn.XLOOKUP(_xlfn.XLOOKUP(B8,'Base stats'!B:B,'Base stats'!E:E),Groups!A:A,Groups!X:X))</f>
        <v>No</v>
      </c>
      <c r="AB8" s="7" t="str">
        <f>IF(X8="No","No",_xlfn.XLOOKUP(_xlfn.XLOOKUP(B8,'Base stats'!B:B,'Base stats'!E:E),Groups!A:A,Groups!Y:Y))</f>
        <v>No</v>
      </c>
      <c r="AC8" s="7" t="str">
        <f>_xlfn.XLOOKUP(Animals!B8,'Base stats'!B:B,'Base stats'!X:X)</f>
        <v>False</v>
      </c>
      <c r="AD8" s="13">
        <f>IF(_xlfn.XLOOKUP(B8,'Base stats'!B:B,'Base stats'!AT:AT)="No","No",MROUND((LOG10(_xlfn.XLOOKUP(B8,'Base stats'!B:B,'Base stats'!AT:AT))*(AO8^0.75)+(_xlfn.XLOOKUP(B8,'Base stats'!B:B,'Base stats'!AT:AT)/1000)^(2/3)+_xlfn.XLOOKUP(B8,'Base stats'!B:B,'Base stats'!AX:AX)+_xlfn.XLOOKUP(B8,'Base stats'!B:B,'Base stats'!BA:BA))+0.5,0.5))</f>
        <v>3</v>
      </c>
      <c r="AE8" s="7">
        <f>IF(AD8="No","No",MAX(_xlfn.XLOOKUP(_xlfn.XLOOKUP(B8,'Base stats'!B:B,'Base stats'!E:E),Groups!A:A,Groups!Z:Z),MROUND(_xlfn.XLOOKUP(_xlfn.XLOOKUP(B8,'Base stats'!B:B,'Base stats'!E:E),Groups!A:A,Groups!Z:Z)*_xlfn.XLOOKUP(B8,'Base stats'!B:B,'Base stats'!C:C)^0.165,0.05)))</f>
        <v>1.35</v>
      </c>
      <c r="AF8" s="7" t="str">
        <f>IF(AD8="No","No",_xlfn.XLOOKUP(_xlfn.XLOOKUP(B8,'Base stats'!B:B,'Base stats'!E:E),Groups!A:A,Groups!AA:AA))</f>
        <v>Beak</v>
      </c>
      <c r="AG8" s="7" t="str">
        <f>IF(AD8="No","No",_xlfn.XLOOKUP(_xlfn.XLOOKUP(B8,'Base stats'!B:B,'Base stats'!E:E),Groups!A:A,Groups!AB:AB))</f>
        <v>beak</v>
      </c>
      <c r="AH8" s="7" t="str">
        <f>IF(AD8="No","No",_xlfn.XLOOKUP(_xlfn.XLOOKUP(B8,'Base stats'!B:B,'Base stats'!E:E),Groups!A:A,Groups!AC:AC))</f>
        <v>Blunt</v>
      </c>
      <c r="AI8" s="13" t="str">
        <f>IF(_xlfn.XLOOKUP(_xlfn.XLOOKUP(B8,'Base stats'!B:B,'Base stats'!E:E),Groups!A:A,Groups!AD:AD)=0,"No",MROUND((LOG10(_xlfn.XLOOKUP(B8,'Base stats'!B:B,'Base stats'!AS:AS))*(AO8^0.75)+(_xlfn.XLOOKUP(B8,'Base stats'!B:B,'Base stats'!AS:AS)/1000)^(2/3)+_xlfn.XLOOKUP(B8,'Base stats'!B:B,'Base stats'!AY:AY)+_xlfn.XLOOKUP(B8,'Base stats'!B:B,'Base stats'!BA:BA))+0.5,0.5))</f>
        <v>No</v>
      </c>
      <c r="AJ8" s="7" t="str">
        <f>IF(AI8="No","No",MAX(_xlfn.XLOOKUP(_xlfn.XLOOKUP(B8,'Base stats'!B:B,'Base stats'!E:E),Groups!A:A,Groups!AE:AE),MROUND(_xlfn.XLOOKUP(_xlfn.XLOOKUP(B8,'Base stats'!B:B,'Base stats'!E:E),Groups!A:A,Groups!AE:AE)*IF(_xlfn.XLOOKUP(_xlfn.XLOOKUP(B8,'Base stats'!B:B,'Base stats'!E:E),Groups!A:A,Groups!AJ:AJ)="Photonozoa",0.6,1)*_xlfn.XLOOKUP(B8,'Base stats'!B:B,'Base stats'!C:C)^0.165,0.05)))</f>
        <v>No</v>
      </c>
      <c r="AK8" s="7" t="str">
        <f>IF(AI8="No","No",_xlfn.XLOOKUP(_xlfn.XLOOKUP(B8,'Base stats'!B:B,'Base stats'!E:E),Groups!A:A,Groups!AF:AF))</f>
        <v>No</v>
      </c>
      <c r="AL8" s="7" t="str">
        <f>IF(AI8="No","No",_xlfn.XLOOKUP(_xlfn.XLOOKUP(B8,'Base stats'!B:B,'Base stats'!E:E),Groups!A:A,Groups!AG:AG))</f>
        <v>No</v>
      </c>
      <c r="AM8" s="7" t="str">
        <f>IF(AI8="No","No",_xlfn.XLOOKUP(_xlfn.XLOOKUP(B8,'Base stats'!B:B,'Base stats'!E:E),Groups!A:A,Groups!AH:AH))</f>
        <v>No</v>
      </c>
      <c r="AN8" s="2" t="str">
        <f t="shared" si="0"/>
        <v>No</v>
      </c>
      <c r="AO8" s="2">
        <f>MROUND(IF(AND(_xlfn.XLOOKUP(B8,'Base stats'!B:B,'Base stats'!C:C)&gt;=0.5,_xlfn.XLOOKUP(B8,'Base stats'!B:B,'Base stats'!C:C)&lt;=0.8),
IF(_xlfn.XLOOKUP(B8,'Base stats'!B:B,'Base stats'!C:C)&lt;0.1,0.05,IF(_xlfn.XLOOKUP(B8,'Base stats'!B:B,'Base stats'!C:C)&lt;=70,(_xlfn.XLOOKUP(B8,'Base stats'!B:B,'Base stats'!C:C)/70)^0.426489913056526,IF(_xlfn.XLOOKUP(B8,'Base stats'!B:B,'Base stats'!C:C)&lt;=400,(_xlfn.XLOOKUP(B8,'Base stats'!B:B,'Base stats'!C:C)/70)^0.572811455315093,IF(_xlfn.XLOOKUP(B8,'Base stats'!B:B,'Base stats'!C:C)&lt;=2000,2.71391647193063*(_xlfn.XLOOKUP(B8,'Base stats'!B:B,'Base stats'!C:C)/400)^0.252459582904293,3.74314280240376*(_xlfn.XLOOKUP(B8,'Base stats'!B:B,'Base stats'!C:C)/2000)^0.357012633876913)))),
IF(_xlfn.XLOOKUP(B8,'Base stats'!B:B,'Base stats'!C:C)&lt;0.1,0.05,IF(_xlfn.XLOOKUP(B8,'Base stats'!B:B,'Base stats'!C:C)&lt;0.4,0.1,IF(_xlfn.XLOOKUP(B8,'Base stats'!B:B,'Base stats'!C:C)&lt;=70,(_xlfn.XLOOKUP(B8,'Base stats'!B:B,'Base stats'!C:C)/70)^0.445823913056526,IF(_xlfn.XLOOKUP(B8,'Base stats'!B:B,'Base stats'!C:C)&lt;=400,(_xlfn.XLOOKUP(B8,'Base stats'!B:B,'Base stats'!C:C)/70)^0.572811455315093,IF(_xlfn.XLOOKUP(B8,'Base stats'!B:B,'Base stats'!C:C)&lt;=2000,2.71391647193063*(_xlfn.XLOOKUP(B8,'Base stats'!B:B,'Base stats'!C:C)/400)^0.252459582904293,3.74314280240376*(_xlfn.XLOOKUP(B8,'Base stats'!B:B,'Base stats'!C:C)/2000)^0.357012633876913)))))),
IF(_xlfn.XLOOKUP(B8,'Base stats'!B:B,'Base stats'!C:C)&lt;0.1,0.05,IF(_xlfn.XLOOKUP(B8,'Base stats'!B:B,'Base stats'!C:C)&lt;=100,0.05,IF(_xlfn.XLOOKUP(B8,'Base stats'!B:B,'Base stats'!C:C)&lt;=250,0.1,IF(_xlfn.XLOOKUP(B8,'Base stats'!B:B,'Base stats'!C:C)&lt;=4000,0.25,0.5)))))</f>
        <v>0.35000000000000003</v>
      </c>
      <c r="AP8" s="8">
        <f>MROUND(AO8*_xlfn.XLOOKUP(_xlfn.XLOOKUP(B8,'Base stats'!B:B,'Base stats'!E:E),Groups!A:A,Groups!AI:AI)*_xlfn.XLOOKUP(B8,'Base stats'!B:B,'Base stats'!Z:Z),0.05)</f>
        <v>0.35000000000000003</v>
      </c>
      <c r="AQ8" s="8">
        <f>MAX(0.01,MROUND(IF(CC8="True",0.196*(AO8*100*1000)^0.889,IF(_xlfn.XLOOKUP(_xlfn.XLOOKUP(B8,'Base stats'!B:B,'Base stats'!E:E),Groups!A:A,Groups!AJ:AJ)="Bird",10.5*(AO8*100*1000)^0.681,4.82*(AO8*100*1000)^0.734))/(4.82*(1*100*1000)^0.734)/IF(AO8&lt;3.5,2,IF(AO8=3.5,1.5,1.25))*(1+0.132282374779864/(AO8^0.994035016789033+0.00905238001496948)),0.05))</f>
        <v>0.4</v>
      </c>
      <c r="AR8" s="9">
        <f>IFERROR(MROUND(_xlfn.XLOOKUP(B8,'Base stats'!B:B,'Base stats'!H:H)/IF(_xlfn.XLOOKUP(B8,'Base stats'!B:B,'Base stats'!I:I)&lt;&gt;1,(122.5/70),1.2),IF(_xlfn.XLOOKUP(B8,'Base stats'!B:B,'Base stats'!H:H)&gt;=30,5,IF(_xlfn.XLOOKUP(B8,'Base stats'!B:B,'Base stats'!H:H)&gt;=15,3,IF(_xlfn.XLOOKUP(B8,'Base stats'!B:B,'Base stats'!H:H)&gt;=10,2,1)))),"Immortal")</f>
        <v>10</v>
      </c>
      <c r="AS8" s="35" t="str">
        <f>IFERROR(IF(OR(_xlfn.XLOOKUP(B8,'Base stats'!B:B,'Base stats'!F:F)="Atypical reproduction",_xlfn.XLOOKUP(B8,'Base stats'!B:B,'Base stats'!F:F)="Lay eggs"),"Lay eggs",MIN(20,MAX(5.5,ROUND(((_xlfn.XLOOKUP(B8,'Base stats'!B:B,'Base stats'!F:F)-25)*(14.5/615) + 5.5)*2,0)/2))),"Unknown")</f>
        <v>Lay eggs</v>
      </c>
      <c r="AT8" s="8">
        <f>IF(_xlfn.XLOOKUP(B8,'Base stats'!B:B,'Base stats'!G:G)="Atypical reproduction","No",IFERROR(MAX(IF(_xlfn.XLOOKUP(B8,'Base stats'!B:B,'Base stats'!G:G)&lt;0.5,0.2,0.3),MROUND(_xlfn.XLOOKUP(B8,'Base stats'!B:B,'Base stats'!G:G)/(365/60),0.2)),"Unknown"))</f>
        <v>0.3</v>
      </c>
      <c r="AU8" s="8">
        <f t="shared" si="1"/>
        <v>0.15000000000000002</v>
      </c>
      <c r="AV8" s="8" t="str">
        <f>IFERROR(IFERROR(MROUND(_xlfn.XLOOKUP(B8,'Base stats'!B:B,'Base stats'!J:J),0.1),"Lay eggs"),"Cannot breed")</f>
        <v>Lay eggs</v>
      </c>
      <c r="AW8" s="2" t="str">
        <f t="shared" si="2"/>
        <v>true</v>
      </c>
      <c r="AX8" s="2" t="str">
        <f>IF(_xlfn.XLOOKUP(_xlfn.XLOOKUP(Animals!B8,'Base stats'!B:B,'Base stats'!E:E),Groups!A:A,Groups!AK:AK)=1,"true","false")</f>
        <v>false</v>
      </c>
      <c r="AY8" s="25" t="str">
        <f>IF(_xlfn.XLOOKUP(B8,'Base stats'!B:B,'Base stats'!Y:Y)="Liquor","Liquor, CarnivoreAnimalStrict",IF(AND(_xlfn.XLOOKUP(B8,'Base stats'!B:B,'Base stats'!Y:Y)="Carnivore",_xlfn.XLOOKUP(_xlfn.XLOOKUP(B8,'Base stats'!B:B,'Base stats'!E:E),Groups!A:A,Groups!AJ:AJ)="Photonozoa"),"CarnivoreAnimalStrict, OvivoreAnimal",IF(_xlfn.XLOOKUP(B8,'Base stats'!B:B,'Base stats'!Y:Y)="Carnivore","CarnivoreAnimal, OvivoreAnimal",IF(_xlfn.XLOOKUP(B8,'Base stats'!B:B,'Base stats'!Y:Y)="Dendrovore","VegetarianRoughAnimal, DendrovoreAnimal",IF(_xlfn.XLOOKUP(B8,'Base stats'!B:B,'Base stats'!Y:Y)="Herbivore","VegetarianRoughAnimal",IF(_xlfn.XLOOKUP(B8,'Base stats'!B:B,'Base stats'!Y:Y)="OmnivoreRough","OmnivoreRoughAnimal, OvivoreAnimal","OmnivoreAnimal, OvivoreAnimal"))))))</f>
        <v>VegetarianRoughAnimal</v>
      </c>
      <c r="AZ8" s="2">
        <f>IF(_xlfn.XLOOKUP(_xlfn.XLOOKUP(B8,'Base stats'!B:B,'Base stats'!E:E),Groups!A:A,Groups!D:D)=1,MROUND((1-J8)*5+1,2)*IF(J8&lt;=0.4,2,1),"No")</f>
        <v>4</v>
      </c>
      <c r="BA8" s="2" t="str">
        <f>IF(AND(_xlfn.XLOOKUP(B8,'Base stats'!B:B,'Base stats'!AH:AH)="&lt;li&gt;Seal&lt;/li&gt;",G8="Odyssey"),"&lt;li&gt;AEXP_Seal&lt;/li&gt;",_xlfn.XLOOKUP(B8,'Base stats'!B:B,'Base stats'!AH:AH))</f>
        <v>No</v>
      </c>
      <c r="BB8" s="2" t="str">
        <f>_xlfn.XLOOKUP(B8,'Base stats'!B:B,'Base stats'!AG:AG)</f>
        <v>No</v>
      </c>
      <c r="BC8" s="23" t="str">
        <f>_xlfn.XLOOKUP(_xlfn.XLOOKUP(B8,'Base stats'!B:B,'Base stats'!E:E),Groups!A:A,Groups!AL:AL)</f>
        <v>Bird</v>
      </c>
      <c r="BD8" s="23">
        <f>MIN(1,MROUND(IF(AND(AO8&lt;0.5,_xlfn.XLOOKUP(B8,'Base stats'!B:B,'Base stats'!AA:AA)=0),0,IF(OR(_xlfn.XLOOKUP(Animals!B8,'Base stats'!B:B,'Base stats'!O:O)=2,_xlfn.XLOOKUP(_xlfn.XLOOKUP(B8,'Base stats'!B:B,'Base stats'!E:E),Groups!A:A,Groups!AN:AN)=0),0,_xlfn.XLOOKUP(_xlfn.XLOOKUP(B8,'Base stats'!B:B,'Base stats'!E:E),Groups!A:A,Groups!AN:AN)/IF(_xlfn.XLOOKUP(Animals!B8,'Base stats'!B:B,'Base stats'!O:O)=1,2,1)))+_xlfn.XLOOKUP(B8,'Base stats'!B:B,'Base stats'!AC:AC),0.005))</f>
        <v>0</v>
      </c>
      <c r="BE8" s="23">
        <f>MIN(1,MROUND(IF(AND(AO8&lt;0.5,_xlfn.XLOOKUP(B8,'Base stats'!B:B,'Base stats'!AA:AA)=0),0,IF(_xlfn.XLOOKUP(_xlfn.XLOOKUP(B8,'Base stats'!B:B,'Base stats'!E:E),Groups!A:A,Groups!AO:AO)=0,0,_xlfn.XLOOKUP(_xlfn.XLOOKUP(B8,'Base stats'!B:B,'Base stats'!E:E),Groups!A:A,Groups!AO:AO)/IF(_xlfn.XLOOKUP(Animals!B8,'Base stats'!B:B,'Base stats'!O:O)=2,3,1)))+_xlfn.XLOOKUP(B8,'Base stats'!B:B,'Base stats'!AD:AD),0.005))</f>
        <v>0</v>
      </c>
      <c r="BF8" s="2" t="str">
        <f>IF(J8&gt;0.3,"No",_xlfn.XLOOKUP(_xlfn.XLOOKUP(Animals!B8,'Base stats'!B:B,'Base stats'!E:E),Groups!A:A,Groups!AP:AP))</f>
        <v>No</v>
      </c>
      <c r="BG8" s="2" t="str">
        <f>IF(AND(J8&lt;=0.65,_xlfn.XLOOKUP(_xlfn.XLOOKUP(Animals!B8,'Base stats'!B:B,'Base stats'!E:E),Groups!A:A,Groups!AP:AP)&lt;&gt;"No",_xlfn.XLOOKUP(_xlfn.XLOOKUP(B8,'Base stats'!B:B,'Base stats'!E:E),Groups!A:A,Groups!D:D)=0),MROUND((80/3)*IF(_xlfn.XLOOKUP(B8,'Base stats'!B:B,'Base stats'!O:O)=2,0.2,AO8) + 24*(1-IF(BF8="No",0,BF8)) + 16/3, 12),"No")</f>
        <v>No</v>
      </c>
      <c r="BH8" s="2">
        <f>IF(AND(_xlfn.XLOOKUP(_xlfn.XLOOKUP(B8,'Base stats'!B:B,'Base stats'!E:E),Groups!A:A,Groups!AQ:AQ)=1,AO8&lt;=0.35),8,12)</f>
        <v>12</v>
      </c>
      <c r="BI8" s="2" t="str">
        <f>IF(_xlfn.XLOOKUP(_xlfn.XLOOKUP(B8,'Base stats'!B:B,'Base stats'!E:E),Groups!A:A,Groups!D:D)=0,_xlfn.XLOOKUP(_xlfn.XLOOKUP(B8,'Base stats'!B:B,'Base stats'!E:E),Groups!A:A,Groups!AR:AR),"None")</f>
        <v>None</v>
      </c>
      <c r="BJ8" s="2" t="str">
        <f>IF(AND(_xlfn.XLOOKUP(_xlfn.XLOOKUP(B8,'Base stats'!B:B,'Base stats'!E:E),Groups!A:A,Groups!AS:AS)=1,OR(_xlfn.XLOOKUP(B8,'Base stats'!B:B,'Base stats'!Y:Y)="Carnivore",_xlfn.XLOOKUP(B8,'Base stats'!B:B,'Base stats'!Y:Y)="Omnivore")),"true","false")</f>
        <v>false</v>
      </c>
      <c r="BK8" s="2" t="str">
        <f>IF(BJ8="true",MROUND(IF(AND(AO8&gt;0.5,OR(_xlfn.XLOOKUP(_xlfn.XLOOKUP(B8,'Base stats'!B:B,'Base stats'!E:E),Groups!A:A,Groups!AJ:AJ)="Photonozoa",_xlfn.XLOOKUP(_xlfn.XLOOKUP(B8,'Base stats'!B:B,'Base stats'!E:E),Groups!A:A,Groups!AJ:AJ)="Mammal")),Animals!AO8*1.75*IF(AW8="true",1.5,1),IF(AO8&lt;0.5,Animals!AO8*0.5,Animals!AO8)),IF(AO8&gt;2,0.5,IF(AO8&gt;0.5,0.25,0.1))),"No")</f>
        <v>No</v>
      </c>
      <c r="BL8" s="2">
        <f t="shared" si="3"/>
        <v>0</v>
      </c>
      <c r="BM8" s="25" t="str">
        <f>IF(_xlfn.XLOOKUP(B8,'Base stats'!B:B,'Base stats'!AN:AN)="Standard","No",MROUND((_xlfn.XLOOKUP(B8,'Base stats'!B:B,'Base stats'!AN:AN)/3.6)/I8,0.1))</f>
        <v>No</v>
      </c>
      <c r="BN8" s="25" t="str">
        <f t="shared" si="4"/>
        <v>false</v>
      </c>
      <c r="BO8" s="25" t="str">
        <f>IF(AND(OR(_xlfn.XLOOKUP(B8,'Base stats'!B:B,'Base stats'!Y:Y)="Carnivore",_xlfn.XLOOKUP(B8,'Base stats'!B:B,'Base stats'!Y:Y)="Omnivore",_xlfn.XLOOKUP(B8,'Base stats'!B:B,'Base stats'!Y:Y)="OmnivoreRough"),_xlfn.XLOOKUP(_xlfn.XLOOKUP(B8,'Base stats'!B:B,'Base stats'!E:E),Groups!A:A,Groups!AT:AT)=1),"true","false")</f>
        <v>false</v>
      </c>
      <c r="BP8" s="25" t="str" cm="1">
        <f t="array" ref="BP8">IF(
  _xlfn.TEXTJOIN(", ",TRUE,
    IF(AND(BJ8="true",AO8&gt;0.5,BI8&lt;&gt;"None"),"AttackTarget",""),
    IF(AND(_xlfn.XLOOKUP(_xlfn.XLOOKUP(B8,'Base stats'!B:B,'Base stats'!E:E),Groups!A:A,Groups!AJ:AJ="Mammal"),OR(_xlfn.XLOOKUP(B8,'Base stats'!B:B,'Base stats'!Y:Y)="Omnivore",_xlfn.XLOOKUP(B8,'Base stats'!B:B,'Base stats'!Y:Y)="OmnivoreRough")),"Forage",""),
    IF(BG8&lt;=36,"Comfort",""),
    IF(_xlfn.XLOOKUP(B8,'Base stats'!B:B,'Base stats'!AE:AE)&lt;&gt;"No",_xlfn.XLOOKUP(B8,'Base stats'!B:B,'Base stats'!AE:AE),"")
  ) = "",
  "No",
  _xlfn.TEXTJOIN(", ",TRUE,
    IF(AND(BJ8="true",AO8&gt;0.5,BI8&lt;&gt;"None"),"AttackTarget",""),
    IF(AND(_xlfn.XLOOKUP(_xlfn.XLOOKUP(B8,'Base stats'!B:B,'Base stats'!E:E),Groups!A:A,Groups!AJ:AJ="Mammal"),OR(_xlfn.XLOOKUP(B8,'Base stats'!B:B,'Base stats'!Y:Y)="Omnivore",_xlfn.XLOOKUP(B8,'Base stats'!B:B,'Base stats'!Y:Y)="OmnivoreRough")),"Forage",""),
    IF(BG8&lt;=36,"Comfort",""),
    IF(_xlfn.XLOOKUP(B8,'Base stats'!B:B,'Base stats'!AE:AE)&lt;&gt;"No",_xlfn.XLOOKUP(B8,'Base stats'!B:B,'Base stats'!AE:AE),"")
  )
)</f>
        <v>No</v>
      </c>
      <c r="BQ8" s="25" t="str">
        <f>IF(
   AND(
      'Base stats'!AN8="Standard",_xlfn.XLOOKUP(_xlfn.XLOOKUP(B8,'Base stats'!B:B,'Base stats'!E:E),Groups!A:A,Groups!AU:AU)=0,
      OR(
      BO8="True"
      )
   ),
   10,
   IF(
       OR(BM8&lt;&gt;"No",_xlfn.XLOOKUP(_xlfn.XLOOKUP(B8,'Base stats'!B:B,'Base stats'!E:E),Groups!A:A,Groups!AU:AU)=1),
      1,
      "No"
   )
)</f>
        <v>No</v>
      </c>
      <c r="BR8" s="9">
        <f>MROUND((1 + ((0.2*IF(OR(Q8="No",R8="No",R8=0),0,Q8/R8)
+IF(OR(V8="No",S8="No",T8="No"),0,S8/T8*(LEN(V8)-LEN(SUBSTITUTE(V8,",",""))+1))
+IF(OR(X8="No",Y8="No"),0,X8/Y8)
+IF(OR(AD8="No",AE8="No"),0,AD8/AE8)
+IF(OR(AL8="No",AI8="No",AJ8="No"),0,AI8/AJ8*(LEN(AL8)-LEN(SUBSTITUTE(AL8,",",""))+1))
)/(0.2*IF(OR(Q8="No",R8="No",R8=0),0,1)
+IF(OR(V8="No",S8="No",T8="No"),0,LEN(V8)-LEN(SUBSTITUTE(V8,",",""))+1)
+IF(OR(X8="No",Y8="No"),0,1)
+IF(OR(AD8="No",AE8="No"),0,1)
+IF(OR(AL8="No",AI8="No",AJ8="No"),0,LEN(AL8)-LEN(SUBSTITUTE(AL8,",",""))+1))*62%)* 2)*(1 + (AP8 / (IF(_xlfn.XLOOKUP(_xlfn.XLOOKUP(B8,'Base stats'!B:B,'Base stats'!E:E),Groups!A:A,Groups!AJ:AJ)="Photonozoa",0.3,1)) + _xlfn.XLOOKUP(B8,'Base stats'!B:B,'Base stats'!AV:AV) * 1.8) * 2) * 2.5 + 10 + I8 * 2,5)+IF(_xlfn.XLOOKUP(B8,'Base stats'!B:B,'Base stats'!AK:AK)=1,50,0)</f>
        <v>35</v>
      </c>
      <c r="BS8" s="8">
        <f t="shared" si="5"/>
        <v>0.4</v>
      </c>
      <c r="BT8" s="8" t="str">
        <f>_xlfn.XLOOKUP(B8,'Base stats'!B:B,'Base stats'!AF:AF)</f>
        <v>3~10</v>
      </c>
      <c r="BU8" s="2" t="str">
        <f>IF(AND(J8&lt;=0.95,OR(_xlfn.XLOOKUP(B8,'Base stats'!B:B,'Base stats'!AK:AK)=1,_xlfn.XLOOKUP(B8,'Base stats'!B:B,'Base stats'!Y:Y)="Carnivore",_xlfn.XLOOKUP(B8,'Base stats'!B:B,'Base stats'!Y:Y)="Omnivore",BE8&gt;0.1)),"true","false")</f>
        <v>false</v>
      </c>
      <c r="BV8" s="2" t="str">
        <f>IF(_xlfn.XLOOKUP(B8,'Base stats'!B:B,'Base stats'!AI:AI)=1,"true","false")</f>
        <v>false</v>
      </c>
      <c r="BW8" s="25" t="str">
        <f>IF(E8="BaseInsect","AnimalInsect",
IF(J8&gt;0.95,"AnimalExotic",
_xlfn.TEXTJOIN(", ",TRUE,
IF(OR(_xlfn.XLOOKUP(B8,'Base stats'!B:B,'Base stats'!AM:AM)=1,AND(_xlfn.XLOOKUP(B8,'Base stats'!B:B,'Base stats'!O:O)=0,_xlfn.XLOOKUP(_xlfn.XLOOKUP(B8,'Base stats'!B:B,'Base stats'!E:E),Groups!A:A,Groups!B:B)&gt;0)),"AnimalUncommon","AnimalCommon"),
IF(AND(_xlfn.XLOOKUP(B8,'Base stats'!B:B,'Base stats'!O:O)=2,_xlfn.XLOOKUP(_xlfn.XLOOKUP(B8,'Base stats'!B:B,'Base stats'!E:E),Groups!A:A,Groups!D:D)=0),"AnimalPet",IF(AND(_xlfn.XLOOKUP(B8,'Base stats'!B:B,'Base stats'!O:O)&lt;&gt;0,_xlfn.XLOOKUP(_xlfn.XLOOKUP(B8,'Base stats'!B:B,'Base stats'!E:E),Groups!A:A,Groups!D:D)&lt;&gt;0),"AnimalFarm","")),
IF(OR(_xlfn.XLOOKUP(B8,'Base stats'!B:B,'Base stats'!AK:AK)=1,AND(BI8&lt;&gt;"None",BR8&gt;=60),ISNUMBER(SEARCH("Attack target",BP8))),"AnimalFighter","")
)))</f>
        <v>AnimalCommon</v>
      </c>
      <c r="BX8" s="25" t="str">
        <f>IF(G8="None",TRIM(
SUBSTITUTE(
IF(COUNTIF(Biomes!B$2:B$259,"="&amp;$C8)&gt;0,Biomes!B$1&amp;", ","")&amp;
IF(COUNTIF(Biomes!C$2:C$259,"="&amp;$C8)&gt;0,Biomes!C$1&amp;", ","")&amp;
IF(COUNTIF(Biomes!D$2:D$259,"="&amp;$C8)&gt;0,Biomes!D$1&amp;", ","")&amp;
IF(COUNTIF(Biomes!F$2:F$259,"="&amp;$C8)&gt;0,Biomes!F$1&amp;", ","")&amp;
IF(COUNTIF(Biomes!G$2:G$259,"="&amp;$C8)&gt;0,Biomes!G$1&amp;", ","")&amp;
IF(COUNTIF(Biomes!H$2:H$259,"="&amp;$C8)&gt;0,Biomes!H$1&amp;", ","")&amp;
IF(COUNTIF(Biomes!I$2:I$259,"="&amp;$C8)&gt;0,Biomes!I$1&amp;", ","")&amp;
IF(COUNTIF(Biomes!J$2:J$259,"="&amp;$C8)&gt;0,Biomes!J$1&amp;", ","")&amp;
IF(COUNTIF(Biomes!M$2:M$259,"="&amp;$C8)&gt;0,Biomes!M$1&amp;", ","")&amp;
IF(COUNTIF(Biomes!N$2:N$259,"="&amp;$C8)&gt;0,Biomes!N$1&amp;", ","")&amp;
IF(COUNTIF(Biomes!O$2:O$259,"="&amp;$C8)&gt;0,Biomes!O$1&amp;", ","")&amp;
IF(COUNTIF(Biomes!P$2:P$259,"="&amp;$C8)&gt;0,Biomes!P$1&amp;", ","")&amp;
IF(COUNTIF(Biomes!K$2:K$259,"="&amp;$C8)&gt;0,Biomes!K$1&amp;", ","")&amp;
IF(COUNTIF(Biomes!Q$3:Q$259,"="&amp;$C8)&gt;0,Biomes!Q$1&amp;", ","")&amp;
IF(COUNTIF(Biomes!L$2:L$259,"="&amp;$C8)&gt;0,Biomes!L$1&amp;", ","")&amp;
IF(COUNTIF(Biomes!E$2:E$259,"="&amp;$C8)&gt;0,Biomes!E$1&amp;", ","")&amp;IF(COUNTIF(Biomes!S$2:S$259,"="&amp;$C8)&gt;0,Biomes!S$1&amp;", ","")&amp;
IF(COUNTIF(Biomes!R$2:R$259,"="&amp;$C8)&gt;0,Biomes!R$1&amp;", ",""),", ","")
),_xlfn.XLOOKUP(B8,B:B,BX:BX))</f>
        <v>TemperateForest TemperateSwamp</v>
      </c>
      <c r="BY8" s="25" t="str">
        <f>IF(_xlfn.XLOOKUP(B8,'Base stats'!B:B,'Base stats'!AJ:AJ)=1,"true","false")</f>
        <v>false</v>
      </c>
      <c r="BZ8" s="25">
        <f>IF(_xlfn.XLOOKUP(B8,'Base stats'!B:B,'Base stats'!N:N)=1,"No",MAX(0.001,MIN(MROUND(IF(AND(BJ8="True",CC8="False"),POWER(10,3.47*LOG10(_xlfn.XLOOKUP(B8,'Base stats'!B:B,'Base stats'!C:C)*1000)^-0.96),POWER(10,4.15*LOG10(_xlfn.XLOOKUP(B8,'Base stats'!B:B,'Base stats'!C:C)*1000)^-0.73))*IF(_xlfn.XLOOKUP(B8,'Base stats'!B:B,'Base stats'!AK:AK)=1,0.5,1)*IF(_xlfn.XLOOKUP(B8,'Base stats'!B:B,'Base stats'!AM:AM)=1,0.1,1)/100,IF(_xlfn.XLOOKUP(B8,'Base stats'!B:B,'Base stats'!AM:AM)=1,0.001,0.025)),0.5)))</f>
        <v>0.375</v>
      </c>
      <c r="CA8" s="25" t="str">
        <f>IF(P8="Standard","No",MAX(0.001,MIN(MROUND(IF(AND(BJ8="True",CC8="False"),POWER(10,3.47*LOG10(_xlfn.XLOOKUP(B8,'Base stats'!B:B,'Base stats'!C:C)*1000)^-0.96),POWER(10,4.15*LOG10(_xlfn.XLOOKUP(B8,'Base stats'!B:B,'Base stats'!C:C)*1000)^-0.73))*IF(_xlfn.XLOOKUP(B8,'Base stats'!B:B,'Base stats'!AM:AM)=1,0.1,1)*_xlfn.XLOOKUP(B8,'Base stats'!B:B,'Base stats'!R:R)/100,IF(_xlfn.XLOOKUP(B8,'Base stats'!B:B,'Base stats'!AM:AM)=1,0.001,0.025)),0.5)))</f>
        <v>No</v>
      </c>
      <c r="CB8" s="25" t="str">
        <f>IF(_xlfn.XLOOKUP(_xlfn.XLOOKUP(B8,'Base stats'!B:B,'Base stats'!E:E),Groups!A:A,Groups!AJ:AJ)="Mammal","True","False")</f>
        <v>False</v>
      </c>
      <c r="CC8" s="25" t="str">
        <f>IF(OR(_xlfn.XLOOKUP(_xlfn.XLOOKUP(B8,'Base stats'!B:B,'Base stats'!E:E),Groups!A:A,Groups!AJ:AJ)="Reptile",_xlfn.XLOOKUP(_xlfn.XLOOKUP(B8,'Base stats'!B:B,'Base stats'!E:E),Groups!A:A,Groups!AJ:AJ)="Amphibian",_xlfn.XLOOKUP(_xlfn.XLOOKUP(B8,'Base stats'!B:B,'Base stats'!E:E),Groups!A:A,Groups!AJ:AJ)="Invertebrate"),"True","False")</f>
        <v>False</v>
      </c>
      <c r="CD8" s="25" t="str">
        <f t="shared" si="6"/>
        <v>False</v>
      </c>
      <c r="CE8" s="25" t="str">
        <f>IF(_xlfn.XLOOKUP(_xlfn.XLOOKUP(B8,'Base stats'!B:B,'Base stats'!E:E),Groups!A:A,Groups!AX:AX),"True","False")</f>
        <v>False</v>
      </c>
      <c r="CF8" s="25" t="str">
        <f>IF(_xlfn.XLOOKUP(_xlfn.XLOOKUP(B8,'Base stats'!B:B,'Base stats'!E:E),Groups!A:A,Groups!AY:AY),"True","False")</f>
        <v>False</v>
      </c>
      <c r="CG8" s="25" t="str">
        <f>IF(_xlfn.XLOOKUP(_xlfn.XLOOKUP(B8,'Base stats'!B:B,'Base stats'!E:E),Groups!A:A,Groups!AW:AW),"True","False")</f>
        <v>False</v>
      </c>
      <c r="CH8" s="25" t="str">
        <f>IF(
OR(
_xlfn.XLOOKUP(_xlfn.XLOOKUP(B8,'Base stats'!B:B,'Base stats'!E:E),Groups!A:A,Groups!AZ:AZ)=0,
AND(
_xlfn.XLOOKUP(B8,'Base stats'!B:B,'Base stats'!Y:Y)&lt;&gt;"Carnivore",
_xlfn.XLOOKUP(B8,'Base stats'!B:B,'Base stats'!Y:Y)&lt;&gt;"Omnivore",
_xlfn.XLOOKUP(B8,'Base stats'!B:B,'Base stats'!Y:Y)&lt;&gt;"OmnivoreRough"
)
),
"No",
IF(
_xlfn.XLOOKUP(_xlfn.XLOOKUP(B8,'Base stats'!B:B,'Base stats'!E:E),Groups!A:A,Groups!AZ:AZ)=1,
"Flesh",
IF(
_xlfn.XLOOKUP(_xlfn.XLOOKUP(B8,'Base stats'!B:B,'Base stats'!E:E),Groups!A:A,Groups!AZ:AZ)=2,
"Bone",
""
)
)
)</f>
        <v>No</v>
      </c>
      <c r="CI8" s="25" t="str">
        <f>IF(_xlfn.XLOOKUP(_xlfn.XLOOKUP(B8,'Base stats'!B:B,'Base stats'!E:E),Groups!A:A,Groups!BB:BB),"True","False")</f>
        <v>True</v>
      </c>
      <c r="CJ8" s="25" t="str">
        <f>IF(_xlfn.XLOOKUP(_xlfn.XLOOKUP(B8,'Base stats'!B:B,'Base stats'!E:E),Groups!A:A,Groups!BA:BA),"True","False")</f>
        <v>False</v>
      </c>
      <c r="CO8" s="16"/>
    </row>
    <row r="9" spans="1:93" ht="16.5" thickTop="1" thickBot="1" x14ac:dyDescent="0.3">
      <c r="A9" s="26" t="str">
        <f>_xlfn.XLOOKUP(B9,'Base stats'!B:B,'Base stats'!A:A)</f>
        <v>Goose</v>
      </c>
      <c r="B9" s="27" t="s">
        <v>917</v>
      </c>
      <c r="C9" s="28" t="s">
        <v>680</v>
      </c>
      <c r="D9" s="28" t="s">
        <v>45</v>
      </c>
      <c r="E9" s="28" t="s">
        <v>673</v>
      </c>
      <c r="F9" s="28" t="s">
        <v>673</v>
      </c>
      <c r="G9" s="28" t="s">
        <v>673</v>
      </c>
      <c r="H9" s="2">
        <f>MROUND((
  (IF(AND(_xlfn.XLOOKUP(B9,'Base stats'!B:B,'Base stats'!AL:AL)=0,BI9="None",_xlfn.XLOOKUP(_xlfn.XLOOKUP(B9,'Base stats'!B:B,'Base stats'!E:E),Groups!A:A,Groups!B:B)=0), (18 + BR9 * 2.7) * 0.5,
    IF(AND(_xlfn.XLOOKUP(B9,'Base stats'!B:B,'Base stats'!AL:AL)=0,OR(AO9&lt;0.55,AND(BI9="Intermediate",_xlfn.XLOOKUP(_xlfn.XLOOKUP(B9,'Base stats'!B:B,'Base stats'!E:E),Groups!A:A,Groups!B:B)&lt;2))), (18 + BR9 * 2.7),
      IF(OR(BI9="Advanced",_xlfn.XLOOKUP(B9,'Base stats'!B:B,'Base stats'!AL:AL)=1,_xlfn.XLOOKUP(_xlfn.XLOOKUP(B9,'Base stats'!B:B,'Base stats'!E:E),Groups!A:A,Groups!B:B)=2), (18 + BR9 * 2.7) + 250, (18 + BR9 * 2.7))
    )
  ))
  + AO9 * 80
  + IF(COUNTIF(EggMilk!K$2:K$998, A9) &gt; 0, 125, 0)
  + IF(COUNTIF(EggMilk!P$2:P$998, A9) &gt; 0, 90, 0)
  + IF(COUNTIF(EggMilk!A$2:A$998, A9) &gt; 0, 90, 0)
)
* (0.8 + 0.4 * J9)
* 0.75,25)</f>
        <v>125</v>
      </c>
      <c r="I9" s="2">
        <f>MROUND(ROUNDDOWN(_xlfn.XLOOKUP(B9,'Base stats'!B:B,'Base stats'!L:L)/3.6/(23.3/11),1),0.5)</f>
        <v>1.5</v>
      </c>
      <c r="J9" s="2">
        <f>IF(OR(_xlfn.XLOOKUP(B9,'Base stats'!B:B,'Base stats'!AB:AB)=1,_xlfn.XLOOKUP(_xlfn.XLOOKUP(B9,'Base stats'!B:B,'Base stats'!E:E),Groups!A:A,Groups!C:C)="Untamable"),1,IF(_xlfn.XLOOKUP(B9,'Base stats'!B:B,'Base stats'!AL:AL)=1,0.99,MIN(MROUND((1-0.6282*EXP(-0.459*AO9))*_xlfn.XLOOKUP(_xlfn.XLOOKUP(B9,'Base stats'!B:B,'Base stats'!E:E),Groups!A:A,Groups!C:C)*IF(_xlfn.XLOOKUP(B9,'Base stats'!B:B,'Base stats'!O:O)=1,0.5,IF(_xlfn.XLOOKUP(B9,'Base stats'!B:B,'Base stats'!O:O)=2,0,1)),0.05),IF(AO9&gt;3.5,0.985,0.95))))</f>
        <v>0</v>
      </c>
      <c r="K9" s="2">
        <f>ROUNDUP(AO9*_xlfn.XLOOKUP(_xlfn.XLOOKUP(B9,'Base stats'!B:B,'Base stats'!E:E),Groups!A:A,Groups!E:E),0)</f>
        <v>4</v>
      </c>
      <c r="L9" s="2">
        <f>IF(OR(_xlfn.XLOOKUP(_xlfn.XLOOKUP(B9,'Base stats'!B:B,'Base stats'!E:E),Groups!A:A,Groups!F:F)=2,ISNUMBER(SEARCH("SeaIce",BX9)),ISNUMBER(SEARCH("IceSheet",BX9))),-50,IF(OR(ISNUMBER(SEARCH("GlacialPlain",BX9)),ISNUMBER(SEARCH("Tundra",BX9))),-40,IF(OR(ISNUMBER(SEARCH("Alpine",BX9)),ISNUMBER(SEARCH("BorealForest",BX9)),ISNUMBER(SEARCH("ColdBog",BX9))),-30,IF(OR(ISNUMBER(SEARCH("TemperateForest",BX9)),ISNUMBER(SEARCH("TemperateSwamp",BX9))),-20,IF(_xlfn.XLOOKUP(_xlfn.XLOOKUP(B9,'Base stats'!B:B,'Base stats'!E:E),Groups!A:A,Groups!F:F)=1,-15,IF(OR(ISNUMBER(SEARCH("Desert",BX9)),ISNUMBER(SEARCH("ExtremeDesert",BX9))),-10,IF(OR(ISNUMBER(SEARCH("Grasslands",BX9)),ISNUMBER(SEARCH("TropicalRainforest",BX9)),ISNUMBER(SEARCH("TropicalSwamp",BX9))),10,0)))))))-IF(CC9="False",MIN(IFERROR(MAX(MROUND(LOG10(_xlfn.XLOOKUP(B9,'Base stats'!B:B,'Base stats'!C:C)^(2/3))*10,5),5),5),30))-_xlfn.XLOOKUP(B9,'Base stats'!B:B,'Base stats'!P:P)+IF(CC9="True",5,0)</f>
        <v>-5</v>
      </c>
      <c r="M9" s="2">
        <f>IF(OR(_xlfn.XLOOKUP(_xlfn.XLOOKUP(B9,'Base stats'!B:B,'Base stats'!E:E),Groups!A:A,Groups!G:G)=2,ISNUMBER(SEARCH("Desert",BX9)),ISNUMBER(SEARCH("ExtremeDesert",BX9)),ISNUMBER(SEARCH("LavaField",BX9))),50,IF(ISNUMBER(SEARCH("Grasslands",BX9)),45,IF(OR(_xlfn.XLOOKUP(_xlfn.XLOOKUP(B9,'Base stats'!B:B,'Base stats'!E:E),Groups!A:A,Groups!G:G)=1,ISNUMBER(SEARCH("TropicalRainforest",BX9)),ISNUMBER(SEARCH("TropicalSwamp",BX9))),40,IF(OR(ISNUMBER(SEARCH("TemperateForest",BX9)),ISNUMBER(SEARCH("TemperateSwamp",BX9))),35,IF(OR(ISNUMBER(SEARCH("Alpine",BX9)),ISNUMBER(SEARCH("BorealForest",BX9)),ISNUMBER(SEARCH("ColdBog",BX9))),30,IF(ISNUMBER(OR(ISNUMBER(SEARCH("GlacialPlain",BX9)),SEARCH("Tundra",BX9))),25,IF(OR(ISNUMBER(SEARCH("SeaIce",BX9)),ISNUMBER(SEARCH("IceSheet",BX9)),ISNUMBER(SEARCH("TropicalSwamp",BX9))),10,35)))))))+_xlfn.XLOOKUP(B9,'Base stats'!B:B,'Base stats'!Q:Q)</f>
        <v>35</v>
      </c>
      <c r="N9" s="8" t="str">
        <f>IF(
_xlfn.XLOOKUP(
_xlfn.XLOOKUP(B9,'Base stats'!B:B,'Base stats'!E:E),
Groups!A:A,
Groups!L:L
)=1,
MIN(
MROUND(
IF(
_xlfn.XLOOKUP(B9,'Animals CE'!B:B,'Animals CE'!Z:Z)&lt;=1.5,
_xlfn.XLOOKUP(B9,'Animals CE'!B:B,'Animals CE'!Z:Z)/2+0.05,
0.8+
(_xlfn.XLOOKUP(B9,'Animals CE'!B:B,'Animals CE'!Z:Z)-1.5)
*0.02
),
0.05
),
200%
),
"No"
)</f>
        <v>No</v>
      </c>
      <c r="O9" s="8" t="str">
        <f>IF(
_xlfn.XLOOKUP(
_xlfn.XLOOKUP(B9,'Base stats'!B:B,'Base stats'!E:E),
Groups!A:A,
Groups!L:L
)=1,
MIN(
MROUND(
IF(
_xlfn.XLOOKUP(B9,'Animals CE'!B:B,'Animals CE'!AA:AA)&lt;=1.5,
_xlfn.XLOOKUP(B9,'Animals CE'!B:B,'Animals CE'!AA:AA)/2+0.05,
0.8+
(_xlfn.XLOOKUP(B9,'Animals CE'!B:B,'Animals CE'!AA:AA)-1.5)
*0.02
),
0.05
),
200%
),
"No"
)</f>
        <v>No</v>
      </c>
      <c r="P9" s="2" t="str">
        <f>_xlfn.XLOOKUP(B9,'Base stats'!B:B,'Base stats'!R:R)</f>
        <v>Standard</v>
      </c>
      <c r="Q9" s="13">
        <f>MROUND((LOG10(_xlfn.XLOOKUP(B9,'Base stats'!B:B,'Base stats'!AR:AR))*(AO9^0.5)+(_xlfn.XLOOKUP(B9,'Base stats'!B:B,'Base stats'!AR:AR)/1000)^(2/3)+_xlfn.XLOOKUP(B9,'Base stats'!B:B,'Base stats'!BA:BA)/2)+0.5,0.5)</f>
        <v>3</v>
      </c>
      <c r="R9" s="7">
        <f>IF(Q9="No","No",MAX(1,MROUND(_xlfn.XLOOKUP(B9,'Base stats'!B:B,'Base stats'!C:C)^0.165,0.05)))</f>
        <v>1.4000000000000001</v>
      </c>
      <c r="S9" s="13" t="str">
        <f>IF(_xlfn.XLOOKUP(_xlfn.XLOOKUP(B9,'Base stats'!B:B,'Base stats'!E:E),Groups!A:A,Groups!P:P)=0,"No",MROUND((LOG10(_xlfn.XLOOKUP(B9,'Base stats'!B:B,'Base stats'!AS:AS))*(AO9^0.5)+(_xlfn.XLOOKUP(B9,'Base stats'!B:B,'Base stats'!AS:AS)/1000)^(2/3)+_xlfn.XLOOKUP(B9,'Base stats'!B:B,'Base stats'!BA:BA))+_xlfn.XLOOKUP(B9,'Base stats'!B:B,'Base stats'!AY:AY)+0.5,0.5))</f>
        <v>No</v>
      </c>
      <c r="T9" s="7" t="str">
        <f>IF(S9="No","No",MAX(_xlfn.XLOOKUP(_xlfn.XLOOKUP(B9,'Base stats'!B:B,'Base stats'!E:E),Groups!A:A,Groups!Q:Q),MROUND(_xlfn.XLOOKUP(_xlfn.XLOOKUP(B9,'Base stats'!B:B,'Base stats'!E:E),Groups!A:A,Groups!Q:Q)*_xlfn.XLOOKUP(B9,'Base stats'!B:B,'Base stats'!C:C)^0.165,0.05)))</f>
        <v>No</v>
      </c>
      <c r="U9" s="7" t="str">
        <f>IF(S9="No","No",_xlfn.XLOOKUP(_xlfn.XLOOKUP(B9,'Base stats'!B:B,'Base stats'!E:E),Groups!A:A,Groups!R:R))</f>
        <v>No</v>
      </c>
      <c r="V9" s="7" t="str">
        <f>IF(S9="No","No",_xlfn.XLOOKUP(_xlfn.XLOOKUP(B9,'Base stats'!B:B,'Base stats'!E:E),Groups!A:A,Groups!S:S))</f>
        <v>No</v>
      </c>
      <c r="W9" s="7" t="str">
        <f>IF(S9="No","No",_xlfn.XLOOKUP(_xlfn.XLOOKUP(B9,'Base stats'!B:B,'Base stats'!E:E),Groups!A:A,Groups!T:T))</f>
        <v>No</v>
      </c>
      <c r="X9" s="13" t="str">
        <f>IF(_xlfn.XLOOKUP(B9,'Base stats'!B:B,'Base stats'!W:W)="No","No",MROUND((LOG10(_xlfn.XLOOKUP(B9,'Base stats'!B:B,'Base stats'!AU:AU))*(AO9^0.5)+(_xlfn.XLOOKUP(B9,'Base stats'!B:B,'Base stats'!AU:AU)/1000)^(2/3)+_xlfn.XLOOKUP(B9,'Base stats'!B:B,'Base stats'!AZ:AZ))+0.5+IF(_xlfn.XLOOKUP(_xlfn.XLOOKUP(B9,'Base stats'!B:B,'Base stats'!E:E),Groups!A:A,Groups!U:U)&lt;&gt;3,_xlfn.XLOOKUP(B9,'Base stats'!B:B,'Base stats'!BA:BA),0),0.5))</f>
        <v>No</v>
      </c>
      <c r="Y9" s="7" t="str">
        <f>IF(X9="No","No",MAX(_xlfn.XLOOKUP(_xlfn.XLOOKUP(B9,'Base stats'!B:B,'Base stats'!E:E),Groups!A:A,Groups!V:V),MROUND(_xlfn.XLOOKUP(_xlfn.XLOOKUP(B9,'Base stats'!B:B,'Base stats'!E:E),Groups!A:A,Groups!V:V)*_xlfn.XLOOKUP(B9,'Base stats'!B:B,'Base stats'!C:C)^0.165,0.05)))</f>
        <v>No</v>
      </c>
      <c r="Z9" s="7" t="str">
        <f>IF(X9="No","No",_xlfn.XLOOKUP(_xlfn.XLOOKUP(B9,'Base stats'!B:B,'Base stats'!E:E),Groups!A:A,Groups!W:W))</f>
        <v>No</v>
      </c>
      <c r="AA9" s="7" t="str">
        <f>IF(X9="No","No",_xlfn.XLOOKUP(_xlfn.XLOOKUP(B9,'Base stats'!B:B,'Base stats'!E:E),Groups!A:A,Groups!X:X))</f>
        <v>No</v>
      </c>
      <c r="AB9" s="7" t="str">
        <f>IF(X9="No","No",_xlfn.XLOOKUP(_xlfn.XLOOKUP(B9,'Base stats'!B:B,'Base stats'!E:E),Groups!A:A,Groups!Y:Y))</f>
        <v>No</v>
      </c>
      <c r="AC9" s="7" t="str">
        <f>_xlfn.XLOOKUP(Animals!B9,'Base stats'!B:B,'Base stats'!X:X)</f>
        <v>False</v>
      </c>
      <c r="AD9" s="13">
        <f>IF(_xlfn.XLOOKUP(B9,'Base stats'!B:B,'Base stats'!AT:AT)="No","No",MROUND((LOG10(_xlfn.XLOOKUP(B9,'Base stats'!B:B,'Base stats'!AT:AT))*(AO9^0.75)+(_xlfn.XLOOKUP(B9,'Base stats'!B:B,'Base stats'!AT:AT)/1000)^(2/3)+_xlfn.XLOOKUP(B9,'Base stats'!B:B,'Base stats'!AX:AX)+_xlfn.XLOOKUP(B9,'Base stats'!B:B,'Base stats'!BA:BA))+0.5,0.5))</f>
        <v>3</v>
      </c>
      <c r="AE9" s="7">
        <f>IF(AD9="No","No",MAX(_xlfn.XLOOKUP(_xlfn.XLOOKUP(B9,'Base stats'!B:B,'Base stats'!E:E),Groups!A:A,Groups!Z:Z),MROUND(_xlfn.XLOOKUP(_xlfn.XLOOKUP(B9,'Base stats'!B:B,'Base stats'!E:E),Groups!A:A,Groups!Z:Z)*_xlfn.XLOOKUP(B9,'Base stats'!B:B,'Base stats'!C:C)^0.165,0.05)))</f>
        <v>1.1000000000000001</v>
      </c>
      <c r="AF9" s="7" t="str">
        <f>IF(AD9="No","No",_xlfn.XLOOKUP(_xlfn.XLOOKUP(B9,'Base stats'!B:B,'Base stats'!E:E),Groups!A:A,Groups!AA:AA))</f>
        <v>Beak</v>
      </c>
      <c r="AG9" s="7" t="str">
        <f>IF(AD9="No","No",_xlfn.XLOOKUP(_xlfn.XLOOKUP(B9,'Base stats'!B:B,'Base stats'!E:E),Groups!A:A,Groups!AB:AB))</f>
        <v>beak</v>
      </c>
      <c r="AH9" s="7" t="str">
        <f>IF(AD9="No","No",_xlfn.XLOOKUP(_xlfn.XLOOKUP(B9,'Base stats'!B:B,'Base stats'!E:E),Groups!A:A,Groups!AC:AC))</f>
        <v>Blunt</v>
      </c>
      <c r="AI9" s="13" t="str">
        <f>IF(_xlfn.XLOOKUP(_xlfn.XLOOKUP(B9,'Base stats'!B:B,'Base stats'!E:E),Groups!A:A,Groups!AD:AD)=0,"No",MROUND((LOG10(_xlfn.XLOOKUP(B9,'Base stats'!B:B,'Base stats'!AS:AS))*(AO9^0.75)+(_xlfn.XLOOKUP(B9,'Base stats'!B:B,'Base stats'!AS:AS)/1000)^(2/3)+_xlfn.XLOOKUP(B9,'Base stats'!B:B,'Base stats'!AY:AY)+_xlfn.XLOOKUP(B9,'Base stats'!B:B,'Base stats'!BA:BA))+0.5,0.5))</f>
        <v>No</v>
      </c>
      <c r="AJ9" s="7" t="str">
        <f>IF(AI9="No","No",MAX(_xlfn.XLOOKUP(_xlfn.XLOOKUP(B9,'Base stats'!B:B,'Base stats'!E:E),Groups!A:A,Groups!AE:AE),MROUND(_xlfn.XLOOKUP(_xlfn.XLOOKUP(B9,'Base stats'!B:B,'Base stats'!E:E),Groups!A:A,Groups!AE:AE)*IF(_xlfn.XLOOKUP(_xlfn.XLOOKUP(B9,'Base stats'!B:B,'Base stats'!E:E),Groups!A:A,Groups!AJ:AJ)="Photonozoa",0.6,1)*_xlfn.XLOOKUP(B9,'Base stats'!B:B,'Base stats'!C:C)^0.165,0.05)))</f>
        <v>No</v>
      </c>
      <c r="AK9" s="7" t="str">
        <f>IF(AI9="No","No",_xlfn.XLOOKUP(_xlfn.XLOOKUP(B9,'Base stats'!B:B,'Base stats'!E:E),Groups!A:A,Groups!AF:AF))</f>
        <v>No</v>
      </c>
      <c r="AL9" s="7" t="str">
        <f>IF(AI9="No","No",_xlfn.XLOOKUP(_xlfn.XLOOKUP(B9,'Base stats'!B:B,'Base stats'!E:E),Groups!A:A,Groups!AG:AG))</f>
        <v>No</v>
      </c>
      <c r="AM9" s="7" t="str">
        <f>IF(AI9="No","No",_xlfn.XLOOKUP(_xlfn.XLOOKUP(B9,'Base stats'!B:B,'Base stats'!E:E),Groups!A:A,Groups!AH:AH))</f>
        <v>No</v>
      </c>
      <c r="AN9" s="2" t="str">
        <f t="shared" si="0"/>
        <v>No</v>
      </c>
      <c r="AO9" s="2">
        <f>MROUND(IF(AND(_xlfn.XLOOKUP(B9,'Base stats'!B:B,'Base stats'!C:C)&gt;=0.5,_xlfn.XLOOKUP(B9,'Base stats'!B:B,'Base stats'!C:C)&lt;=0.8),
IF(_xlfn.XLOOKUP(B9,'Base stats'!B:B,'Base stats'!C:C)&lt;0.1,0.05,IF(_xlfn.XLOOKUP(B9,'Base stats'!B:B,'Base stats'!C:C)&lt;=70,(_xlfn.XLOOKUP(B9,'Base stats'!B:B,'Base stats'!C:C)/70)^0.426489913056526,IF(_xlfn.XLOOKUP(B9,'Base stats'!B:B,'Base stats'!C:C)&lt;=400,(_xlfn.XLOOKUP(B9,'Base stats'!B:B,'Base stats'!C:C)/70)^0.572811455315093,IF(_xlfn.XLOOKUP(B9,'Base stats'!B:B,'Base stats'!C:C)&lt;=2000,2.71391647193063*(_xlfn.XLOOKUP(B9,'Base stats'!B:B,'Base stats'!C:C)/400)^0.252459582904293,3.74314280240376*(_xlfn.XLOOKUP(B9,'Base stats'!B:B,'Base stats'!C:C)/2000)^0.357012633876913)))),
IF(_xlfn.XLOOKUP(B9,'Base stats'!B:B,'Base stats'!C:C)&lt;0.1,0.05,IF(_xlfn.XLOOKUP(B9,'Base stats'!B:B,'Base stats'!C:C)&lt;0.4,0.1,IF(_xlfn.XLOOKUP(B9,'Base stats'!B:B,'Base stats'!C:C)&lt;=70,(_xlfn.XLOOKUP(B9,'Base stats'!B:B,'Base stats'!C:C)/70)^0.445823913056526,IF(_xlfn.XLOOKUP(B9,'Base stats'!B:B,'Base stats'!C:C)&lt;=400,(_xlfn.XLOOKUP(B9,'Base stats'!B:B,'Base stats'!C:C)/70)^0.572811455315093,IF(_xlfn.XLOOKUP(B9,'Base stats'!B:B,'Base stats'!C:C)&lt;=2000,2.71391647193063*(_xlfn.XLOOKUP(B9,'Base stats'!B:B,'Base stats'!C:C)/400)^0.252459582904293,3.74314280240376*(_xlfn.XLOOKUP(B9,'Base stats'!B:B,'Base stats'!C:C)/2000)^0.357012633876913)))))),
IF(_xlfn.XLOOKUP(B9,'Base stats'!B:B,'Base stats'!C:C)&lt;0.1,0.05,IF(_xlfn.XLOOKUP(B9,'Base stats'!B:B,'Base stats'!C:C)&lt;=100,0.05,IF(_xlfn.XLOOKUP(B9,'Base stats'!B:B,'Base stats'!C:C)&lt;=250,0.1,IF(_xlfn.XLOOKUP(B9,'Base stats'!B:B,'Base stats'!C:C)&lt;=4000,0.25,0.5)))))</f>
        <v>0.35000000000000003</v>
      </c>
      <c r="AP9" s="8">
        <f>MROUND(AO9*_xlfn.XLOOKUP(_xlfn.XLOOKUP(B9,'Base stats'!B:B,'Base stats'!E:E),Groups!A:A,Groups!AI:AI)*_xlfn.XLOOKUP(B9,'Base stats'!B:B,'Base stats'!Z:Z),0.05)</f>
        <v>0.35000000000000003</v>
      </c>
      <c r="AQ9" s="8">
        <f>MAX(0.01,MROUND(IF(CC9="True",0.196*(AO9*100*1000)^0.889,IF(_xlfn.XLOOKUP(_xlfn.XLOOKUP(B9,'Base stats'!B:B,'Base stats'!E:E),Groups!A:A,Groups!AJ:AJ)="Bird",10.5*(AO9*100*1000)^0.681,4.82*(AO9*100*1000)^0.734))/(4.82*(1*100*1000)^0.734)/IF(AO9&lt;3.5,2,IF(AO9=3.5,1.5,1.25))*(1+0.132282374779864/(AO9^0.994035016789033+0.00905238001496948)),0.05))</f>
        <v>0.4</v>
      </c>
      <c r="AR9" s="9">
        <f>IFERROR(MROUND(_xlfn.XLOOKUP(B9,'Base stats'!B:B,'Base stats'!H:H)/IF(_xlfn.XLOOKUP(B9,'Base stats'!B:B,'Base stats'!I:I)&lt;&gt;1,(122.5/70),1.2),IF(_xlfn.XLOOKUP(B9,'Base stats'!B:B,'Base stats'!H:H)&gt;=30,5,IF(_xlfn.XLOOKUP(B9,'Base stats'!B:B,'Base stats'!H:H)&gt;=15,3,IF(_xlfn.XLOOKUP(B9,'Base stats'!B:B,'Base stats'!H:H)&gt;=10,2,1)))),"Immortal")</f>
        <v>20</v>
      </c>
      <c r="AS9" s="35" t="str">
        <f>IFERROR(IF(OR(_xlfn.XLOOKUP(B9,'Base stats'!B:B,'Base stats'!F:F)="Atypical reproduction",_xlfn.XLOOKUP(B9,'Base stats'!B:B,'Base stats'!F:F)="Lay eggs"),"Lay eggs",MIN(20,MAX(5.5,ROUND(((_xlfn.XLOOKUP(B9,'Base stats'!B:B,'Base stats'!F:F)-25)*(14.5/615) + 5.5)*2,0)/2))),"Unknown")</f>
        <v>Lay eggs</v>
      </c>
      <c r="AT9" s="8">
        <f>IF(_xlfn.XLOOKUP(B9,'Base stats'!B:B,'Base stats'!G:G)="Atypical reproduction","No",IFERROR(MAX(IF(_xlfn.XLOOKUP(B9,'Base stats'!B:B,'Base stats'!G:G)&lt;0.5,0.2,0.3),MROUND(_xlfn.XLOOKUP(B9,'Base stats'!B:B,'Base stats'!G:G)/(365/60),0.2)),"Unknown"))</f>
        <v>0.3</v>
      </c>
      <c r="AU9" s="8">
        <f t="shared" si="1"/>
        <v>0.15000000000000002</v>
      </c>
      <c r="AV9" s="8" t="str">
        <f>IFERROR(IFERROR(MROUND(_xlfn.XLOOKUP(B9,'Base stats'!B:B,'Base stats'!J:J),0.1),"Lay eggs"),"Cannot breed")</f>
        <v>Lay eggs</v>
      </c>
      <c r="AW9" s="2" t="str">
        <f t="shared" si="2"/>
        <v>true</v>
      </c>
      <c r="AX9" s="2" t="str">
        <f>IF(_xlfn.XLOOKUP(_xlfn.XLOOKUP(Animals!B9,'Base stats'!B:B,'Base stats'!E:E),Groups!A:A,Groups!AK:AK)=1,"true","false")</f>
        <v>false</v>
      </c>
      <c r="AY9" s="25" t="str">
        <f>IF(_xlfn.XLOOKUP(B9,'Base stats'!B:B,'Base stats'!Y:Y)="Liquor","Liquor, CarnivoreAnimalStrict",IF(AND(_xlfn.XLOOKUP(B9,'Base stats'!B:B,'Base stats'!Y:Y)="Carnivore",_xlfn.XLOOKUP(_xlfn.XLOOKUP(B9,'Base stats'!B:B,'Base stats'!E:E),Groups!A:A,Groups!AJ:AJ)="Photonozoa"),"CarnivoreAnimalStrict, OvivoreAnimal",IF(_xlfn.XLOOKUP(B9,'Base stats'!B:B,'Base stats'!Y:Y)="Carnivore","CarnivoreAnimal, OvivoreAnimal",IF(_xlfn.XLOOKUP(B9,'Base stats'!B:B,'Base stats'!Y:Y)="Dendrovore","VegetarianRoughAnimal, DendrovoreAnimal",IF(_xlfn.XLOOKUP(B9,'Base stats'!B:B,'Base stats'!Y:Y)="Herbivore","VegetarianRoughAnimal",IF(_xlfn.XLOOKUP(B9,'Base stats'!B:B,'Base stats'!Y:Y)="OmnivoreRough","OmnivoreRoughAnimal, OvivoreAnimal","OmnivoreAnimal, OvivoreAnimal"))))))</f>
        <v>VegetarianRoughAnimal</v>
      </c>
      <c r="AZ9" s="2">
        <f>IF(_xlfn.XLOOKUP(_xlfn.XLOOKUP(B9,'Base stats'!B:B,'Base stats'!E:E),Groups!A:A,Groups!D:D)=1,MROUND((1-J9)*5+1,2)*IF(J9&lt;=0.4,2,1),"No")</f>
        <v>12</v>
      </c>
      <c r="BA9" s="2" t="str">
        <f>IF(AND(_xlfn.XLOOKUP(B9,'Base stats'!B:B,'Base stats'!AH:AH)="&lt;li&gt;Seal&lt;/li&gt;",G9="Odyssey"),"&lt;li&gt;AEXP_Seal&lt;/li&gt;",_xlfn.XLOOKUP(B9,'Base stats'!B:B,'Base stats'!AH:AH))</f>
        <v>No</v>
      </c>
      <c r="BB9" s="2" t="str">
        <f>_xlfn.XLOOKUP(B9,'Base stats'!B:B,'Base stats'!AG:AG)</f>
        <v>No</v>
      </c>
      <c r="BC9" s="23" t="str">
        <f>_xlfn.XLOOKUP(_xlfn.XLOOKUP(B9,'Base stats'!B:B,'Base stats'!E:E),Groups!A:A,Groups!AL:AL)</f>
        <v>Bird</v>
      </c>
      <c r="BD9" s="23">
        <f>MIN(1,MROUND(IF(AND(AO9&lt;0.5,_xlfn.XLOOKUP(B9,'Base stats'!B:B,'Base stats'!AA:AA)=0),0,IF(OR(_xlfn.XLOOKUP(Animals!B9,'Base stats'!B:B,'Base stats'!O:O)=2,_xlfn.XLOOKUP(_xlfn.XLOOKUP(B9,'Base stats'!B:B,'Base stats'!E:E),Groups!A:A,Groups!AN:AN)=0),0,_xlfn.XLOOKUP(_xlfn.XLOOKUP(B9,'Base stats'!B:B,'Base stats'!E:E),Groups!A:A,Groups!AN:AN)/IF(_xlfn.XLOOKUP(Animals!B9,'Base stats'!B:B,'Base stats'!O:O)=1,2,1)))+_xlfn.XLOOKUP(B9,'Base stats'!B:B,'Base stats'!AC:AC),0.005))</f>
        <v>0</v>
      </c>
      <c r="BE9" s="23">
        <f>MIN(1,MROUND(IF(AND(AO9&lt;0.5,_xlfn.XLOOKUP(B9,'Base stats'!B:B,'Base stats'!AA:AA)=0),0,IF(_xlfn.XLOOKUP(_xlfn.XLOOKUP(B9,'Base stats'!B:B,'Base stats'!E:E),Groups!A:A,Groups!AO:AO)=0,0,_xlfn.XLOOKUP(_xlfn.XLOOKUP(B9,'Base stats'!B:B,'Base stats'!E:E),Groups!A:A,Groups!AO:AO)/IF(_xlfn.XLOOKUP(Animals!B9,'Base stats'!B:B,'Base stats'!O:O)=2,3,1)))+_xlfn.XLOOKUP(B9,'Base stats'!B:B,'Base stats'!AD:AD),0.005))</f>
        <v>0</v>
      </c>
      <c r="BF9" s="2" t="str">
        <f>IF(J9&gt;0.3,"No",_xlfn.XLOOKUP(_xlfn.XLOOKUP(Animals!B9,'Base stats'!B:B,'Base stats'!E:E),Groups!A:A,Groups!AP:AP))</f>
        <v>No</v>
      </c>
      <c r="BG9" s="2" t="str">
        <f>IF(AND(J9&lt;=0.65,_xlfn.XLOOKUP(_xlfn.XLOOKUP(Animals!B9,'Base stats'!B:B,'Base stats'!E:E),Groups!A:A,Groups!AP:AP)&lt;&gt;"No",_xlfn.XLOOKUP(_xlfn.XLOOKUP(B9,'Base stats'!B:B,'Base stats'!E:E),Groups!A:A,Groups!D:D)=0),MROUND((80/3)*IF(_xlfn.XLOOKUP(B9,'Base stats'!B:B,'Base stats'!O:O)=2,0.2,AO9) + 24*(1-IF(BF9="No",0,BF9)) + 16/3, 12),"No")</f>
        <v>No</v>
      </c>
      <c r="BH9" s="2">
        <f>IF(AND(_xlfn.XLOOKUP(_xlfn.XLOOKUP(B9,'Base stats'!B:B,'Base stats'!E:E),Groups!A:A,Groups!AQ:AQ)=1,AO9&lt;=0.35),8,12)</f>
        <v>12</v>
      </c>
      <c r="BI9" s="2" t="str">
        <f>IF(_xlfn.XLOOKUP(_xlfn.XLOOKUP(B9,'Base stats'!B:B,'Base stats'!E:E),Groups!A:A,Groups!D:D)=0,_xlfn.XLOOKUP(_xlfn.XLOOKUP(B9,'Base stats'!B:B,'Base stats'!E:E),Groups!A:A,Groups!AR:AR),"None")</f>
        <v>None</v>
      </c>
      <c r="BJ9" s="2" t="str">
        <f>IF(AND(_xlfn.XLOOKUP(_xlfn.XLOOKUP(B9,'Base stats'!B:B,'Base stats'!E:E),Groups!A:A,Groups!AS:AS)=1,OR(_xlfn.XLOOKUP(B9,'Base stats'!B:B,'Base stats'!Y:Y)="Carnivore",_xlfn.XLOOKUP(B9,'Base stats'!B:B,'Base stats'!Y:Y)="Omnivore")),"true","false")</f>
        <v>false</v>
      </c>
      <c r="BK9" s="2" t="str">
        <f>IF(BJ9="true",MROUND(IF(AND(AO9&gt;0.5,OR(_xlfn.XLOOKUP(_xlfn.XLOOKUP(B9,'Base stats'!B:B,'Base stats'!E:E),Groups!A:A,Groups!AJ:AJ)="Photonozoa",_xlfn.XLOOKUP(_xlfn.XLOOKUP(B9,'Base stats'!B:B,'Base stats'!E:E),Groups!A:A,Groups!AJ:AJ)="Mammal")),Animals!AO9*1.75*IF(AW9="true",1.5,1),IF(AO9&lt;0.5,Animals!AO9*0.5,Animals!AO9)),IF(AO9&gt;2,0.5,IF(AO9&gt;0.5,0.25,0.1))),"No")</f>
        <v>No</v>
      </c>
      <c r="BL9" s="2">
        <f t="shared" si="3"/>
        <v>0</v>
      </c>
      <c r="BM9" s="25" t="str">
        <f>IF(_xlfn.XLOOKUP(B9,'Base stats'!B:B,'Base stats'!AN:AN)="Standard","No",MROUND((_xlfn.XLOOKUP(B9,'Base stats'!B:B,'Base stats'!AN:AN)/3.6)/I9,0.1))</f>
        <v>No</v>
      </c>
      <c r="BN9" s="25" t="str">
        <f t="shared" si="4"/>
        <v>true</v>
      </c>
      <c r="BO9" s="25" t="str">
        <f>IF(AND(OR(_xlfn.XLOOKUP(B9,'Base stats'!B:B,'Base stats'!Y:Y)="Carnivore",_xlfn.XLOOKUP(B9,'Base stats'!B:B,'Base stats'!Y:Y)="Omnivore",_xlfn.XLOOKUP(B9,'Base stats'!B:B,'Base stats'!Y:Y)="OmnivoreRough"),_xlfn.XLOOKUP(_xlfn.XLOOKUP(B9,'Base stats'!B:B,'Base stats'!E:E),Groups!A:A,Groups!AT:AT)=1),"true","false")</f>
        <v>false</v>
      </c>
      <c r="BP9" s="25" t="str" cm="1">
        <f t="array" ref="BP9">IF(
  _xlfn.TEXTJOIN(", ",TRUE,
    IF(AND(BJ9="true",AO9&gt;0.5,BI9&lt;&gt;"None"),"AttackTarget",""),
    IF(AND(_xlfn.XLOOKUP(_xlfn.XLOOKUP(B9,'Base stats'!B:B,'Base stats'!E:E),Groups!A:A,Groups!AJ:AJ="Mammal"),OR(_xlfn.XLOOKUP(B9,'Base stats'!B:B,'Base stats'!Y:Y)="Omnivore",_xlfn.XLOOKUP(B9,'Base stats'!B:B,'Base stats'!Y:Y)="OmnivoreRough")),"Forage",""),
    IF(BG9&lt;=36,"Comfort",""),
    IF(_xlfn.XLOOKUP(B9,'Base stats'!B:B,'Base stats'!AE:AE)&lt;&gt;"No",_xlfn.XLOOKUP(B9,'Base stats'!B:B,'Base stats'!AE:AE),"")
  ) = "",
  "No",
  _xlfn.TEXTJOIN(", ",TRUE,
    IF(AND(BJ9="true",AO9&gt;0.5,BI9&lt;&gt;"None"),"AttackTarget",""),
    IF(AND(_xlfn.XLOOKUP(_xlfn.XLOOKUP(B9,'Base stats'!B:B,'Base stats'!E:E),Groups!A:A,Groups!AJ:AJ="Mammal"),OR(_xlfn.XLOOKUP(B9,'Base stats'!B:B,'Base stats'!Y:Y)="Omnivore",_xlfn.XLOOKUP(B9,'Base stats'!B:B,'Base stats'!Y:Y)="OmnivoreRough")),"Forage",""),
    IF(BG9&lt;=36,"Comfort",""),
    IF(_xlfn.XLOOKUP(B9,'Base stats'!B:B,'Base stats'!AE:AE)&lt;&gt;"No",_xlfn.XLOOKUP(B9,'Base stats'!B:B,'Base stats'!AE:AE),"")
  )
)</f>
        <v>No</v>
      </c>
      <c r="BQ9" s="25">
        <f>IF(
   AND(
      'Base stats'!AN9="Standard",_xlfn.XLOOKUP(_xlfn.XLOOKUP(B9,'Base stats'!B:B,'Base stats'!E:E),Groups!A:A,Groups!AU:AU)=0,
      OR(
      BO9="True"
      )
   ),
   10,
   IF(
       OR(BM9&lt;&gt;"No",_xlfn.XLOOKUP(_xlfn.XLOOKUP(B9,'Base stats'!B:B,'Base stats'!E:E),Groups!A:A,Groups!AU:AU)=1),
      1,
      "No"
   )
)</f>
        <v>1</v>
      </c>
      <c r="BR9" s="9">
        <f>MROUND((1 + ((0.2*IF(OR(Q9="No",R9="No",R9=0),0,Q9/R9)
+IF(OR(V9="No",S9="No",T9="No"),0,S9/T9*(LEN(V9)-LEN(SUBSTITUTE(V9,",",""))+1))
+IF(OR(X9="No",Y9="No"),0,X9/Y9)
+IF(OR(AD9="No",AE9="No"),0,AD9/AE9)
+IF(OR(AL9="No",AI9="No",AJ9="No"),0,AI9/AJ9*(LEN(AL9)-LEN(SUBSTITUTE(AL9,",",""))+1))
)/(0.2*IF(OR(Q9="No",R9="No",R9=0),0,1)
+IF(OR(V9="No",S9="No",T9="No"),0,LEN(V9)-LEN(SUBSTITUTE(V9,",",""))+1)
+IF(OR(X9="No",Y9="No"),0,1)
+IF(OR(AD9="No",AE9="No"),0,1)
+IF(OR(AL9="No",AI9="No",AJ9="No"),0,LEN(AL9)-LEN(SUBSTITUTE(AL9,",",""))+1))*62%)* 2)*(1 + (AP9 / (IF(_xlfn.XLOOKUP(_xlfn.XLOOKUP(B9,'Base stats'!B:B,'Base stats'!E:E),Groups!A:A,Groups!AJ:AJ)="Photonozoa",0.3,1)) + _xlfn.XLOOKUP(B9,'Base stats'!B:B,'Base stats'!AV:AV) * 1.8) * 2) * 2.5 + 10 + I9 * 2,5)+IF(_xlfn.XLOOKUP(B9,'Base stats'!B:B,'Base stats'!AK:AK)=1,50,0)</f>
        <v>30</v>
      </c>
      <c r="BS9" s="8">
        <f t="shared" si="5"/>
        <v>0.4</v>
      </c>
      <c r="BT9" s="8" t="str">
        <f>_xlfn.XLOOKUP(B9,'Base stats'!B:B,'Base stats'!AF:AF)</f>
        <v>3~10</v>
      </c>
      <c r="BU9" s="2" t="str">
        <f>IF(AND(J9&lt;=0.95,OR(_xlfn.XLOOKUP(B9,'Base stats'!B:B,'Base stats'!AK:AK)=1,_xlfn.XLOOKUP(B9,'Base stats'!B:B,'Base stats'!Y:Y)="Carnivore",_xlfn.XLOOKUP(B9,'Base stats'!B:B,'Base stats'!Y:Y)="Omnivore",BE9&gt;0.1)),"true","false")</f>
        <v>false</v>
      </c>
      <c r="BV9" s="2" t="str">
        <f>IF(_xlfn.XLOOKUP(B9,'Base stats'!B:B,'Base stats'!AI:AI)=1,"true","false")</f>
        <v>false</v>
      </c>
      <c r="BW9" s="25" t="str">
        <f>IF(E9="BaseInsect","AnimalInsect",
IF(J9&gt;0.95,"AnimalExotic",
_xlfn.TEXTJOIN(", ",TRUE,
IF(OR(_xlfn.XLOOKUP(B9,'Base stats'!B:B,'Base stats'!AM:AM)=1,AND(_xlfn.XLOOKUP(B9,'Base stats'!B:B,'Base stats'!O:O)=0,_xlfn.XLOOKUP(_xlfn.XLOOKUP(B9,'Base stats'!B:B,'Base stats'!E:E),Groups!A:A,Groups!B:B)&gt;0)),"AnimalUncommon","AnimalCommon"),
IF(AND(_xlfn.XLOOKUP(B9,'Base stats'!B:B,'Base stats'!O:O)=2,_xlfn.XLOOKUP(_xlfn.XLOOKUP(B9,'Base stats'!B:B,'Base stats'!E:E),Groups!A:A,Groups!D:D)=0),"AnimalPet",IF(AND(_xlfn.XLOOKUP(B9,'Base stats'!B:B,'Base stats'!O:O)&lt;&gt;0,_xlfn.XLOOKUP(_xlfn.XLOOKUP(B9,'Base stats'!B:B,'Base stats'!E:E),Groups!A:A,Groups!D:D)&lt;&gt;0),"AnimalFarm","")),
IF(OR(_xlfn.XLOOKUP(B9,'Base stats'!B:B,'Base stats'!AK:AK)=1,AND(BI9&lt;&gt;"None",BR9&gt;=60),ISNUMBER(SEARCH("Attack target",BP9))),"AnimalFighter","")
)))</f>
        <v>AnimalCommon, AnimalFarm</v>
      </c>
      <c r="BX9" s="25" t="str">
        <f>IF(G9="None",TRIM(
SUBSTITUTE(
IF(COUNTIF(Biomes!B$2:B$259,"="&amp;$C9)&gt;0,Biomes!B$1&amp;", ","")&amp;
IF(COUNTIF(Biomes!C$2:C$259,"="&amp;$C9)&gt;0,Biomes!C$1&amp;", ","")&amp;
IF(COUNTIF(Biomes!D$2:D$259,"="&amp;$C9)&gt;0,Biomes!D$1&amp;", ","")&amp;
IF(COUNTIF(Biomes!F$2:F$259,"="&amp;$C9)&gt;0,Biomes!F$1&amp;", ","")&amp;
IF(COUNTIF(Biomes!G$2:G$259,"="&amp;$C9)&gt;0,Biomes!G$1&amp;", ","")&amp;
IF(COUNTIF(Biomes!H$2:H$259,"="&amp;$C9)&gt;0,Biomes!H$1&amp;", ","")&amp;
IF(COUNTIF(Biomes!I$2:I$259,"="&amp;$C9)&gt;0,Biomes!I$1&amp;", ","")&amp;
IF(COUNTIF(Biomes!J$2:J$259,"="&amp;$C9)&gt;0,Biomes!J$1&amp;", ","")&amp;
IF(COUNTIF(Biomes!M$2:M$259,"="&amp;$C9)&gt;0,Biomes!M$1&amp;", ","")&amp;
IF(COUNTIF(Biomes!N$2:N$259,"="&amp;$C9)&gt;0,Biomes!N$1&amp;", ","")&amp;
IF(COUNTIF(Biomes!O$2:O$259,"="&amp;$C9)&gt;0,Biomes!O$1&amp;", ","")&amp;
IF(COUNTIF(Biomes!P$2:P$259,"="&amp;$C9)&gt;0,Biomes!P$1&amp;", ","")&amp;
IF(COUNTIF(Biomes!K$2:K$259,"="&amp;$C9)&gt;0,Biomes!K$1&amp;", ","")&amp;
IF(COUNTIF(Biomes!Q$3:Q$259,"="&amp;$C9)&gt;0,Biomes!Q$1&amp;", ","")&amp;
IF(COUNTIF(Biomes!L$2:L$259,"="&amp;$C9)&gt;0,Biomes!L$1&amp;", ","")&amp;
IF(COUNTIF(Biomes!E$2:E$259,"="&amp;$C9)&gt;0,Biomes!E$1&amp;", ","")&amp;IF(COUNTIF(Biomes!S$2:S$259,"="&amp;$C9)&gt;0,Biomes!S$1&amp;", ","")&amp;
IF(COUNTIF(Biomes!R$2:R$259,"="&amp;$C9)&gt;0,Biomes!R$1&amp;", ",""),", ","")
),_xlfn.XLOOKUP(B9,B:B,BX:BX))</f>
        <v/>
      </c>
      <c r="BY9" s="25" t="str">
        <f>IF(_xlfn.XLOOKUP(B9,'Base stats'!B:B,'Base stats'!AJ:AJ)=1,"true","false")</f>
        <v>false</v>
      </c>
      <c r="BZ9" s="25">
        <f>IF(_xlfn.XLOOKUP(B9,'Base stats'!B:B,'Base stats'!N:N)=1,"No",MAX(0.001,MIN(MROUND(IF(AND(BJ9="True",CC9="False"),POWER(10,3.47*LOG10(_xlfn.XLOOKUP(B9,'Base stats'!B:B,'Base stats'!C:C)*1000)^-0.96),POWER(10,4.15*LOG10(_xlfn.XLOOKUP(B9,'Base stats'!B:B,'Base stats'!C:C)*1000)^-0.73))*IF(_xlfn.XLOOKUP(B9,'Base stats'!B:B,'Base stats'!AK:AK)=1,0.5,1)*IF(_xlfn.XLOOKUP(B9,'Base stats'!B:B,'Base stats'!AM:AM)=1,0.1,1)/100,IF(_xlfn.XLOOKUP(B9,'Base stats'!B:B,'Base stats'!AM:AM)=1,0.001,0.025)),0.5)))</f>
        <v>0.35000000000000003</v>
      </c>
      <c r="CA9" s="25" t="str">
        <f>IF(P9="Standard","No",MAX(0.001,MIN(MROUND(IF(AND(BJ9="True",CC9="False"),POWER(10,3.47*LOG10(_xlfn.XLOOKUP(B9,'Base stats'!B:B,'Base stats'!C:C)*1000)^-0.96),POWER(10,4.15*LOG10(_xlfn.XLOOKUP(B9,'Base stats'!B:B,'Base stats'!C:C)*1000)^-0.73))*IF(_xlfn.XLOOKUP(B9,'Base stats'!B:B,'Base stats'!AM:AM)=1,0.1,1)*_xlfn.XLOOKUP(B9,'Base stats'!B:B,'Base stats'!R:R)/100,IF(_xlfn.XLOOKUP(B9,'Base stats'!B:B,'Base stats'!AM:AM)=1,0.001,0.025)),0.5)))</f>
        <v>No</v>
      </c>
      <c r="CB9" s="25" t="str">
        <f>IF(_xlfn.XLOOKUP(_xlfn.XLOOKUP(B9,'Base stats'!B:B,'Base stats'!E:E),Groups!A:A,Groups!AJ:AJ)="Mammal","True","False")</f>
        <v>False</v>
      </c>
      <c r="CC9" s="25" t="str">
        <f>IF(OR(_xlfn.XLOOKUP(_xlfn.XLOOKUP(B9,'Base stats'!B:B,'Base stats'!E:E),Groups!A:A,Groups!AJ:AJ)="Reptile",_xlfn.XLOOKUP(_xlfn.XLOOKUP(B9,'Base stats'!B:B,'Base stats'!E:E),Groups!A:A,Groups!AJ:AJ)="Amphibian",_xlfn.XLOOKUP(_xlfn.XLOOKUP(B9,'Base stats'!B:B,'Base stats'!E:E),Groups!A:A,Groups!AJ:AJ)="Invertebrate"),"True","False")</f>
        <v>False</v>
      </c>
      <c r="CD9" s="25" t="str">
        <f t="shared" si="6"/>
        <v>False</v>
      </c>
      <c r="CE9" s="25" t="str">
        <f>IF(_xlfn.XLOOKUP(_xlfn.XLOOKUP(B9,'Base stats'!B:B,'Base stats'!E:E),Groups!A:A,Groups!AX:AX),"True","False")</f>
        <v>False</v>
      </c>
      <c r="CF9" s="25" t="str">
        <f>IF(_xlfn.XLOOKUP(_xlfn.XLOOKUP(B9,'Base stats'!B:B,'Base stats'!E:E),Groups!A:A,Groups!AY:AY),"True","False")</f>
        <v>False</v>
      </c>
      <c r="CG9" s="25" t="str">
        <f>IF(_xlfn.XLOOKUP(_xlfn.XLOOKUP(B9,'Base stats'!B:B,'Base stats'!E:E),Groups!A:A,Groups!AW:AW),"True","False")</f>
        <v>False</v>
      </c>
      <c r="CH9" s="25" t="str">
        <f>IF(
OR(
_xlfn.XLOOKUP(_xlfn.XLOOKUP(B9,'Base stats'!B:B,'Base stats'!E:E),Groups!A:A,Groups!AZ:AZ)=0,
AND(
_xlfn.XLOOKUP(B9,'Base stats'!B:B,'Base stats'!Y:Y)&lt;&gt;"Carnivore",
_xlfn.XLOOKUP(B9,'Base stats'!B:B,'Base stats'!Y:Y)&lt;&gt;"Omnivore",
_xlfn.XLOOKUP(B9,'Base stats'!B:B,'Base stats'!Y:Y)&lt;&gt;"OmnivoreRough"
)
),
"No",
IF(
_xlfn.XLOOKUP(_xlfn.XLOOKUP(B9,'Base stats'!B:B,'Base stats'!E:E),Groups!A:A,Groups!AZ:AZ)=1,
"Flesh",
IF(
_xlfn.XLOOKUP(_xlfn.XLOOKUP(B9,'Base stats'!B:B,'Base stats'!E:E),Groups!A:A,Groups!AZ:AZ)=2,
"Bone",
""
)
)
)</f>
        <v>No</v>
      </c>
      <c r="CI9" s="25" t="str">
        <f>IF(_xlfn.XLOOKUP(_xlfn.XLOOKUP(B9,'Base stats'!B:B,'Base stats'!E:E),Groups!A:A,Groups!BB:BB),"True","False")</f>
        <v>True</v>
      </c>
      <c r="CJ9" s="25" t="str">
        <f>IF(_xlfn.XLOOKUP(_xlfn.XLOOKUP(B9,'Base stats'!B:B,'Base stats'!E:E),Groups!A:A,Groups!BA:BA),"True","False")</f>
        <v>False</v>
      </c>
      <c r="CO9" s="16"/>
    </row>
    <row r="10" spans="1:93" ht="16.5" thickTop="1" thickBot="1" x14ac:dyDescent="0.3">
      <c r="A10" s="26" t="str">
        <f>_xlfn.XLOOKUP(B10,'Base stats'!B:B,'Base stats'!A:A)</f>
        <v>Duck</v>
      </c>
      <c r="B10" s="27" t="s">
        <v>916</v>
      </c>
      <c r="C10" s="28" t="s">
        <v>681</v>
      </c>
      <c r="D10" s="28" t="s">
        <v>45</v>
      </c>
      <c r="E10" s="28" t="s">
        <v>673</v>
      </c>
      <c r="F10" s="28" t="s">
        <v>673</v>
      </c>
      <c r="G10" s="28" t="s">
        <v>673</v>
      </c>
      <c r="H10" s="2">
        <f>MROUND((
  (IF(AND(_xlfn.XLOOKUP(B10,'Base stats'!B:B,'Base stats'!AL:AL)=0,BI10="None",_xlfn.XLOOKUP(_xlfn.XLOOKUP(B10,'Base stats'!B:B,'Base stats'!E:E),Groups!A:A,Groups!B:B)=0), (18 + BR10 * 2.7) * 0.5,
    IF(AND(_xlfn.XLOOKUP(B10,'Base stats'!B:B,'Base stats'!AL:AL)=0,OR(AO10&lt;0.55,AND(BI10="Intermediate",_xlfn.XLOOKUP(_xlfn.XLOOKUP(B10,'Base stats'!B:B,'Base stats'!E:E),Groups!A:A,Groups!B:B)&lt;2))), (18 + BR10 * 2.7),
      IF(OR(BI10="Advanced",_xlfn.XLOOKUP(B10,'Base stats'!B:B,'Base stats'!AL:AL)=1,_xlfn.XLOOKUP(_xlfn.XLOOKUP(B10,'Base stats'!B:B,'Base stats'!E:E),Groups!A:A,Groups!B:B)=2), (18 + BR10 * 2.7) + 250, (18 + BR10 * 2.7))
    )
  ))
  + AO10 * 80
  + IF(COUNTIF(EggMilk!K$2:K$998, A10) &gt; 0, 125, 0)
  + IF(COUNTIF(EggMilk!P$2:P$998, A10) &gt; 0, 90, 0)
  + IF(COUNTIF(EggMilk!A$2:A$998, A10) &gt; 0, 90, 0)
)
* (0.8 + 0.4 * J10)
* 0.75,25)</f>
        <v>150</v>
      </c>
      <c r="I10" s="2">
        <f>MROUND(ROUNDDOWN(_xlfn.XLOOKUP(B10,'Base stats'!B:B,'Base stats'!L:L)/3.6/(23.3/11),1),0.5)</f>
        <v>1.5</v>
      </c>
      <c r="J10" s="2">
        <f>IF(OR(_xlfn.XLOOKUP(B10,'Base stats'!B:B,'Base stats'!AB:AB)=1,_xlfn.XLOOKUP(_xlfn.XLOOKUP(B10,'Base stats'!B:B,'Base stats'!E:E),Groups!A:A,Groups!C:C)="Untamable"),1,IF(_xlfn.XLOOKUP(B10,'Base stats'!B:B,'Base stats'!AL:AL)=1,0.99,MIN(MROUND((1-0.6282*EXP(-0.459*AO10))*_xlfn.XLOOKUP(_xlfn.XLOOKUP(B10,'Base stats'!B:B,'Base stats'!E:E),Groups!A:A,Groups!C:C)*IF(_xlfn.XLOOKUP(B10,'Base stats'!B:B,'Base stats'!O:O)=1,0.5,IF(_xlfn.XLOOKUP(B10,'Base stats'!B:B,'Base stats'!O:O)=2,0,1)),0.05),IF(AO10&gt;3.5,0.985,0.95))))</f>
        <v>0.5</v>
      </c>
      <c r="K10" s="2">
        <f>ROUNDUP(AO10*_xlfn.XLOOKUP(_xlfn.XLOOKUP(B10,'Base stats'!B:B,'Base stats'!E:E),Groups!A:A,Groups!E:E),0)</f>
        <v>2</v>
      </c>
      <c r="L10" s="2">
        <f>IF(OR(_xlfn.XLOOKUP(_xlfn.XLOOKUP(B10,'Base stats'!B:B,'Base stats'!E:E),Groups!A:A,Groups!F:F)=2,ISNUMBER(SEARCH("SeaIce",BX10)),ISNUMBER(SEARCH("IceSheet",BX10))),-50,IF(OR(ISNUMBER(SEARCH("GlacialPlain",BX10)),ISNUMBER(SEARCH("Tundra",BX10))),-40,IF(OR(ISNUMBER(SEARCH("Alpine",BX10)),ISNUMBER(SEARCH("BorealForest",BX10)),ISNUMBER(SEARCH("ColdBog",BX10))),-30,IF(OR(ISNUMBER(SEARCH("TemperateForest",BX10)),ISNUMBER(SEARCH("TemperateSwamp",BX10))),-20,IF(_xlfn.XLOOKUP(_xlfn.XLOOKUP(B10,'Base stats'!B:B,'Base stats'!E:E),Groups!A:A,Groups!F:F)=1,-15,IF(OR(ISNUMBER(SEARCH("Desert",BX10)),ISNUMBER(SEARCH("ExtremeDesert",BX10))),-10,IF(OR(ISNUMBER(SEARCH("Grasslands",BX10)),ISNUMBER(SEARCH("TropicalRainforest",BX10)),ISNUMBER(SEARCH("TropicalSwamp",BX10))),10,0)))))))-IF(CC10="False",MIN(IFERROR(MAX(MROUND(LOG10(_xlfn.XLOOKUP(B10,'Base stats'!B:B,'Base stats'!C:C)^(2/3))*10,5),5),5),30))-_xlfn.XLOOKUP(B10,'Base stats'!B:B,'Base stats'!P:P)+IF(CC10="True",5,0)</f>
        <v>-35</v>
      </c>
      <c r="M10" s="2">
        <f>IF(OR(_xlfn.XLOOKUP(_xlfn.XLOOKUP(B10,'Base stats'!B:B,'Base stats'!E:E),Groups!A:A,Groups!G:G)=2,ISNUMBER(SEARCH("Desert",BX10)),ISNUMBER(SEARCH("ExtremeDesert",BX10)),ISNUMBER(SEARCH("LavaField",BX10))),50,IF(ISNUMBER(SEARCH("Grasslands",BX10)),45,IF(OR(_xlfn.XLOOKUP(_xlfn.XLOOKUP(B10,'Base stats'!B:B,'Base stats'!E:E),Groups!A:A,Groups!G:G)=1,ISNUMBER(SEARCH("TropicalRainforest",BX10)),ISNUMBER(SEARCH("TropicalSwamp",BX10))),40,IF(OR(ISNUMBER(SEARCH("TemperateForest",BX10)),ISNUMBER(SEARCH("TemperateSwamp",BX10))),35,IF(OR(ISNUMBER(SEARCH("Alpine",BX10)),ISNUMBER(SEARCH("BorealForest",BX10)),ISNUMBER(SEARCH("ColdBog",BX10))),30,IF(ISNUMBER(OR(ISNUMBER(SEARCH("GlacialPlain",BX10)),SEARCH("Tundra",BX10))),25,IF(OR(ISNUMBER(SEARCH("SeaIce",BX10)),ISNUMBER(SEARCH("IceSheet",BX10)),ISNUMBER(SEARCH("TropicalSwamp",BX10))),10,35)))))))+_xlfn.XLOOKUP(B10,'Base stats'!B:B,'Base stats'!Q:Q)</f>
        <v>35</v>
      </c>
      <c r="N10" s="8" t="str">
        <f>IF(
_xlfn.XLOOKUP(
_xlfn.XLOOKUP(B10,'Base stats'!B:B,'Base stats'!E:E),
Groups!A:A,
Groups!L:L
)=1,
MIN(
MROUND(
IF(
_xlfn.XLOOKUP(B10,'Animals CE'!B:B,'Animals CE'!Z:Z)&lt;=1.5,
_xlfn.XLOOKUP(B10,'Animals CE'!B:B,'Animals CE'!Z:Z)/2+0.05,
0.8+
(_xlfn.XLOOKUP(B10,'Animals CE'!B:B,'Animals CE'!Z:Z)-1.5)
*0.02
),
0.05
),
200%
),
"No"
)</f>
        <v>No</v>
      </c>
      <c r="O10" s="8" t="str">
        <f>IF(
_xlfn.XLOOKUP(
_xlfn.XLOOKUP(B10,'Base stats'!B:B,'Base stats'!E:E),
Groups!A:A,
Groups!L:L
)=1,
MIN(
MROUND(
IF(
_xlfn.XLOOKUP(B10,'Animals CE'!B:B,'Animals CE'!AA:AA)&lt;=1.5,
_xlfn.XLOOKUP(B10,'Animals CE'!B:B,'Animals CE'!AA:AA)/2+0.05,
0.8+
(_xlfn.XLOOKUP(B10,'Animals CE'!B:B,'Animals CE'!AA:AA)-1.5)
*0.02
),
0.05
),
200%
),
"No"
)</f>
        <v>No</v>
      </c>
      <c r="P10" s="2" t="str">
        <f>_xlfn.XLOOKUP(B10,'Base stats'!B:B,'Base stats'!R:R)</f>
        <v>Standard</v>
      </c>
      <c r="Q10" s="13">
        <f>MROUND((LOG10(_xlfn.XLOOKUP(B10,'Base stats'!B:B,'Base stats'!AR:AR))*(AO10^0.5)+(_xlfn.XLOOKUP(B10,'Base stats'!B:B,'Base stats'!AR:AR)/1000)^(2/3)+_xlfn.XLOOKUP(B10,'Base stats'!B:B,'Base stats'!BA:BA)/2)+0.5,0.5)</f>
        <v>1.5</v>
      </c>
      <c r="R10" s="7">
        <f>IF(Q10="No","No",MAX(1,MROUND(_xlfn.XLOOKUP(B10,'Base stats'!B:B,'Base stats'!C:C)^0.165,0.05)))</f>
        <v>1</v>
      </c>
      <c r="S10" s="13" t="str">
        <f>IF(_xlfn.XLOOKUP(_xlfn.XLOOKUP(B10,'Base stats'!B:B,'Base stats'!E:E),Groups!A:A,Groups!P:P)=0,"No",MROUND((LOG10(_xlfn.XLOOKUP(B10,'Base stats'!B:B,'Base stats'!AS:AS))*(AO10^0.5)+(_xlfn.XLOOKUP(B10,'Base stats'!B:B,'Base stats'!AS:AS)/1000)^(2/3)+_xlfn.XLOOKUP(B10,'Base stats'!B:B,'Base stats'!BA:BA))+_xlfn.XLOOKUP(B10,'Base stats'!B:B,'Base stats'!AY:AY)+0.5,0.5))</f>
        <v>No</v>
      </c>
      <c r="T10" s="7" t="str">
        <f>IF(S10="No","No",MAX(_xlfn.XLOOKUP(_xlfn.XLOOKUP(B10,'Base stats'!B:B,'Base stats'!E:E),Groups!A:A,Groups!Q:Q),MROUND(_xlfn.XLOOKUP(_xlfn.XLOOKUP(B10,'Base stats'!B:B,'Base stats'!E:E),Groups!A:A,Groups!Q:Q)*_xlfn.XLOOKUP(B10,'Base stats'!B:B,'Base stats'!C:C)^0.165,0.05)))</f>
        <v>No</v>
      </c>
      <c r="U10" s="7" t="str">
        <f>IF(S10="No","No",_xlfn.XLOOKUP(_xlfn.XLOOKUP(B10,'Base stats'!B:B,'Base stats'!E:E),Groups!A:A,Groups!R:R))</f>
        <v>No</v>
      </c>
      <c r="V10" s="7" t="str">
        <f>IF(S10="No","No",_xlfn.XLOOKUP(_xlfn.XLOOKUP(B10,'Base stats'!B:B,'Base stats'!E:E),Groups!A:A,Groups!S:S))</f>
        <v>No</v>
      </c>
      <c r="W10" s="7" t="str">
        <f>IF(S10="No","No",_xlfn.XLOOKUP(_xlfn.XLOOKUP(B10,'Base stats'!B:B,'Base stats'!E:E),Groups!A:A,Groups!T:T))</f>
        <v>No</v>
      </c>
      <c r="X10" s="13" t="str">
        <f>IF(_xlfn.XLOOKUP(B10,'Base stats'!B:B,'Base stats'!W:W)="No","No",MROUND((LOG10(_xlfn.XLOOKUP(B10,'Base stats'!B:B,'Base stats'!AU:AU))*(AO10^0.5)+(_xlfn.XLOOKUP(B10,'Base stats'!B:B,'Base stats'!AU:AU)/1000)^(2/3)+_xlfn.XLOOKUP(B10,'Base stats'!B:B,'Base stats'!AZ:AZ))+0.5+IF(_xlfn.XLOOKUP(_xlfn.XLOOKUP(B10,'Base stats'!B:B,'Base stats'!E:E),Groups!A:A,Groups!U:U)&lt;&gt;3,_xlfn.XLOOKUP(B10,'Base stats'!B:B,'Base stats'!BA:BA),0),0.5))</f>
        <v>No</v>
      </c>
      <c r="Y10" s="7" t="str">
        <f>IF(X10="No","No",MAX(_xlfn.XLOOKUP(_xlfn.XLOOKUP(B10,'Base stats'!B:B,'Base stats'!E:E),Groups!A:A,Groups!V:V),MROUND(_xlfn.XLOOKUP(_xlfn.XLOOKUP(B10,'Base stats'!B:B,'Base stats'!E:E),Groups!A:A,Groups!V:V)*_xlfn.XLOOKUP(B10,'Base stats'!B:B,'Base stats'!C:C)^0.165,0.05)))</f>
        <v>No</v>
      </c>
      <c r="Z10" s="7" t="str">
        <f>IF(X10="No","No",_xlfn.XLOOKUP(_xlfn.XLOOKUP(B10,'Base stats'!B:B,'Base stats'!E:E),Groups!A:A,Groups!W:W))</f>
        <v>No</v>
      </c>
      <c r="AA10" s="7" t="str">
        <f>IF(X10="No","No",_xlfn.XLOOKUP(_xlfn.XLOOKUP(B10,'Base stats'!B:B,'Base stats'!E:E),Groups!A:A,Groups!X:X))</f>
        <v>No</v>
      </c>
      <c r="AB10" s="7" t="str">
        <f>IF(X10="No","No",_xlfn.XLOOKUP(_xlfn.XLOOKUP(B10,'Base stats'!B:B,'Base stats'!E:E),Groups!A:A,Groups!Y:Y))</f>
        <v>No</v>
      </c>
      <c r="AC10" s="7" t="str">
        <f>_xlfn.XLOOKUP(Animals!B10,'Base stats'!B:B,'Base stats'!X:X)</f>
        <v>False</v>
      </c>
      <c r="AD10" s="13">
        <f>IF(_xlfn.XLOOKUP(B10,'Base stats'!B:B,'Base stats'!AT:AT)="No","No",MROUND((LOG10(_xlfn.XLOOKUP(B10,'Base stats'!B:B,'Base stats'!AT:AT))*(AO10^0.75)+(_xlfn.XLOOKUP(B10,'Base stats'!B:B,'Base stats'!AT:AT)/1000)^(2/3)+_xlfn.XLOOKUP(B10,'Base stats'!B:B,'Base stats'!AX:AX)+_xlfn.XLOOKUP(B10,'Base stats'!B:B,'Base stats'!BA:BA))+0.5,0.5))</f>
        <v>1.5</v>
      </c>
      <c r="AE10" s="7">
        <f>IF(AD10="No","No",MAX(_xlfn.XLOOKUP(_xlfn.XLOOKUP(B10,'Base stats'!B:B,'Base stats'!E:E),Groups!A:A,Groups!Z:Z),MROUND(_xlfn.XLOOKUP(_xlfn.XLOOKUP(B10,'Base stats'!B:B,'Base stats'!E:E),Groups!A:A,Groups!Z:Z)*_xlfn.XLOOKUP(B10,'Base stats'!B:B,'Base stats'!C:C)^0.165,0.05)))</f>
        <v>0.8</v>
      </c>
      <c r="AF10" s="7" t="str">
        <f>IF(AD10="No","No",_xlfn.XLOOKUP(_xlfn.XLOOKUP(B10,'Base stats'!B:B,'Base stats'!E:E),Groups!A:A,Groups!AA:AA))</f>
        <v>Beak</v>
      </c>
      <c r="AG10" s="7" t="str">
        <f>IF(AD10="No","No",_xlfn.XLOOKUP(_xlfn.XLOOKUP(B10,'Base stats'!B:B,'Base stats'!E:E),Groups!A:A,Groups!AB:AB))</f>
        <v>beak</v>
      </c>
      <c r="AH10" s="7" t="str">
        <f>IF(AD10="No","No",_xlfn.XLOOKUP(_xlfn.XLOOKUP(B10,'Base stats'!B:B,'Base stats'!E:E),Groups!A:A,Groups!AC:AC))</f>
        <v>Blunt</v>
      </c>
      <c r="AI10" s="13" t="str">
        <f>IF(_xlfn.XLOOKUP(_xlfn.XLOOKUP(B10,'Base stats'!B:B,'Base stats'!E:E),Groups!A:A,Groups!AD:AD)=0,"No",MROUND((LOG10(_xlfn.XLOOKUP(B10,'Base stats'!B:B,'Base stats'!AS:AS))*(AO10^0.75)+(_xlfn.XLOOKUP(B10,'Base stats'!B:B,'Base stats'!AS:AS)/1000)^(2/3)+_xlfn.XLOOKUP(B10,'Base stats'!B:B,'Base stats'!AY:AY)+_xlfn.XLOOKUP(B10,'Base stats'!B:B,'Base stats'!BA:BA))+0.5,0.5))</f>
        <v>No</v>
      </c>
      <c r="AJ10" s="7" t="str">
        <f>IF(AI10="No","No",MAX(_xlfn.XLOOKUP(_xlfn.XLOOKUP(B10,'Base stats'!B:B,'Base stats'!E:E),Groups!A:A,Groups!AE:AE),MROUND(_xlfn.XLOOKUP(_xlfn.XLOOKUP(B10,'Base stats'!B:B,'Base stats'!E:E),Groups!A:A,Groups!AE:AE)*IF(_xlfn.XLOOKUP(_xlfn.XLOOKUP(B10,'Base stats'!B:B,'Base stats'!E:E),Groups!A:A,Groups!AJ:AJ)="Photonozoa",0.6,1)*_xlfn.XLOOKUP(B10,'Base stats'!B:B,'Base stats'!C:C)^0.165,0.05)))</f>
        <v>No</v>
      </c>
      <c r="AK10" s="7" t="str">
        <f>IF(AI10="No","No",_xlfn.XLOOKUP(_xlfn.XLOOKUP(B10,'Base stats'!B:B,'Base stats'!E:E),Groups!A:A,Groups!AF:AF))</f>
        <v>No</v>
      </c>
      <c r="AL10" s="7" t="str">
        <f>IF(AI10="No","No",_xlfn.XLOOKUP(_xlfn.XLOOKUP(B10,'Base stats'!B:B,'Base stats'!E:E),Groups!A:A,Groups!AG:AG))</f>
        <v>No</v>
      </c>
      <c r="AM10" s="7" t="str">
        <f>IF(AI10="No","No",_xlfn.XLOOKUP(_xlfn.XLOOKUP(B10,'Base stats'!B:B,'Base stats'!E:E),Groups!A:A,Groups!AH:AH))</f>
        <v>No</v>
      </c>
      <c r="AN10" s="2" t="str">
        <f t="shared" si="0"/>
        <v>No</v>
      </c>
      <c r="AO10" s="2">
        <f>MROUND(IF(AND(_xlfn.XLOOKUP(B10,'Base stats'!B:B,'Base stats'!C:C)&gt;=0.5,_xlfn.XLOOKUP(B10,'Base stats'!B:B,'Base stats'!C:C)&lt;=0.8),
IF(_xlfn.XLOOKUP(B10,'Base stats'!B:B,'Base stats'!C:C)&lt;0.1,0.05,IF(_xlfn.XLOOKUP(B10,'Base stats'!B:B,'Base stats'!C:C)&lt;=70,(_xlfn.XLOOKUP(B10,'Base stats'!B:B,'Base stats'!C:C)/70)^0.426489913056526,IF(_xlfn.XLOOKUP(B10,'Base stats'!B:B,'Base stats'!C:C)&lt;=400,(_xlfn.XLOOKUP(B10,'Base stats'!B:B,'Base stats'!C:C)/70)^0.572811455315093,IF(_xlfn.XLOOKUP(B10,'Base stats'!B:B,'Base stats'!C:C)&lt;=2000,2.71391647193063*(_xlfn.XLOOKUP(B10,'Base stats'!B:B,'Base stats'!C:C)/400)^0.252459582904293,3.74314280240376*(_xlfn.XLOOKUP(B10,'Base stats'!B:B,'Base stats'!C:C)/2000)^0.357012633876913)))),
IF(_xlfn.XLOOKUP(B10,'Base stats'!B:B,'Base stats'!C:C)&lt;0.1,0.05,IF(_xlfn.XLOOKUP(B10,'Base stats'!B:B,'Base stats'!C:C)&lt;0.4,0.1,IF(_xlfn.XLOOKUP(B10,'Base stats'!B:B,'Base stats'!C:C)&lt;=70,(_xlfn.XLOOKUP(B10,'Base stats'!B:B,'Base stats'!C:C)/70)^0.445823913056526,IF(_xlfn.XLOOKUP(B10,'Base stats'!B:B,'Base stats'!C:C)&lt;=400,(_xlfn.XLOOKUP(B10,'Base stats'!B:B,'Base stats'!C:C)/70)^0.572811455315093,IF(_xlfn.XLOOKUP(B10,'Base stats'!B:B,'Base stats'!C:C)&lt;=2000,2.71391647193063*(_xlfn.XLOOKUP(B10,'Base stats'!B:B,'Base stats'!C:C)/400)^0.252459582904293,3.74314280240376*(_xlfn.XLOOKUP(B10,'Base stats'!B:B,'Base stats'!C:C)/2000)^0.357012633876913)))))),
IF(_xlfn.XLOOKUP(B10,'Base stats'!B:B,'Base stats'!C:C)&lt;0.1,0.05,IF(_xlfn.XLOOKUP(B10,'Base stats'!B:B,'Base stats'!C:C)&lt;=100,0.05,IF(_xlfn.XLOOKUP(B10,'Base stats'!B:B,'Base stats'!C:C)&lt;=250,0.1,IF(_xlfn.XLOOKUP(B10,'Base stats'!B:B,'Base stats'!C:C)&lt;=4000,0.25,0.5)))))</f>
        <v>0.15000000000000002</v>
      </c>
      <c r="AP10" s="8">
        <f>MROUND(AO10*_xlfn.XLOOKUP(_xlfn.XLOOKUP(B10,'Base stats'!B:B,'Base stats'!E:E),Groups!A:A,Groups!AI:AI)*_xlfn.XLOOKUP(B10,'Base stats'!B:B,'Base stats'!Z:Z),0.05)</f>
        <v>0.15000000000000002</v>
      </c>
      <c r="AQ10" s="8">
        <f>MAX(0.01,MROUND(IF(CC10="True",0.196*(AO10*100*1000)^0.889,IF(_xlfn.XLOOKUP(_xlfn.XLOOKUP(B10,'Base stats'!B:B,'Base stats'!E:E),Groups!A:A,Groups!AJ:AJ)="Bird",10.5*(AO10*100*1000)^0.681,4.82*(AO10*100*1000)^0.734))/(4.82*(1*100*1000)^0.734)/IF(AO10&lt;3.5,2,IF(AO10=3.5,1.5,1.25))*(1+0.132282374779864/(AO10^0.994035016789033+0.00905238001496948)),0.05))</f>
        <v>0.30000000000000004</v>
      </c>
      <c r="AR10" s="9">
        <f>IFERROR(MROUND(_xlfn.XLOOKUP(B10,'Base stats'!B:B,'Base stats'!H:H)/IF(_xlfn.XLOOKUP(B10,'Base stats'!B:B,'Base stats'!I:I)&lt;&gt;1,(122.5/70),1.2),IF(_xlfn.XLOOKUP(B10,'Base stats'!B:B,'Base stats'!H:H)&gt;=30,5,IF(_xlfn.XLOOKUP(B10,'Base stats'!B:B,'Base stats'!H:H)&gt;=15,3,IF(_xlfn.XLOOKUP(B10,'Base stats'!B:B,'Base stats'!H:H)&gt;=10,2,1)))),"Immortal")</f>
        <v>18</v>
      </c>
      <c r="AS10" s="35" t="str">
        <f>IFERROR(IF(OR(_xlfn.XLOOKUP(B10,'Base stats'!B:B,'Base stats'!F:F)="Atypical reproduction",_xlfn.XLOOKUP(B10,'Base stats'!B:B,'Base stats'!F:F)="Lay eggs"),"Lay eggs",MIN(20,MAX(5.5,ROUND(((_xlfn.XLOOKUP(B10,'Base stats'!B:B,'Base stats'!F:F)-25)*(14.5/615) + 5.5)*2,0)/2))),"Unknown")</f>
        <v>Lay eggs</v>
      </c>
      <c r="AT10" s="8">
        <f>IF(_xlfn.XLOOKUP(B10,'Base stats'!B:B,'Base stats'!G:G)="Atypical reproduction","No",IFERROR(MAX(IF(_xlfn.XLOOKUP(B10,'Base stats'!B:B,'Base stats'!G:G)&lt;0.5,0.2,0.3),MROUND(_xlfn.XLOOKUP(B10,'Base stats'!B:B,'Base stats'!G:G)/(365/60),0.2)),"Unknown"))</f>
        <v>0.3</v>
      </c>
      <c r="AU10" s="8">
        <f t="shared" si="1"/>
        <v>0.15000000000000002</v>
      </c>
      <c r="AV10" s="8" t="str">
        <f>IFERROR(IFERROR(MROUND(_xlfn.XLOOKUP(B10,'Base stats'!B:B,'Base stats'!J:J),0.1),"Lay eggs"),"Cannot breed")</f>
        <v>Lay eggs</v>
      </c>
      <c r="AW10" s="2" t="str">
        <f t="shared" si="2"/>
        <v>true</v>
      </c>
      <c r="AX10" s="2" t="str">
        <f>IF(_xlfn.XLOOKUP(_xlfn.XLOOKUP(Animals!B10,'Base stats'!B:B,'Base stats'!E:E),Groups!A:A,Groups!AK:AK)=1,"true","false")</f>
        <v>false</v>
      </c>
      <c r="AY10" s="25" t="str">
        <f>IF(_xlfn.XLOOKUP(B10,'Base stats'!B:B,'Base stats'!Y:Y)="Liquor","Liquor, CarnivoreAnimalStrict",IF(AND(_xlfn.XLOOKUP(B10,'Base stats'!B:B,'Base stats'!Y:Y)="Carnivore",_xlfn.XLOOKUP(_xlfn.XLOOKUP(B10,'Base stats'!B:B,'Base stats'!E:E),Groups!A:A,Groups!AJ:AJ)="Photonozoa"),"CarnivoreAnimalStrict, OvivoreAnimal",IF(_xlfn.XLOOKUP(B10,'Base stats'!B:B,'Base stats'!Y:Y)="Carnivore","CarnivoreAnimal, OvivoreAnimal",IF(_xlfn.XLOOKUP(B10,'Base stats'!B:B,'Base stats'!Y:Y)="Dendrovore","VegetarianRoughAnimal, DendrovoreAnimal",IF(_xlfn.XLOOKUP(B10,'Base stats'!B:B,'Base stats'!Y:Y)="Herbivore","VegetarianRoughAnimal",IF(_xlfn.XLOOKUP(B10,'Base stats'!B:B,'Base stats'!Y:Y)="OmnivoreRough","OmnivoreRoughAnimal, OvivoreAnimal","OmnivoreAnimal, OvivoreAnimal"))))))</f>
        <v>VegetarianRoughAnimal</v>
      </c>
      <c r="AZ10" s="2">
        <f>IF(_xlfn.XLOOKUP(_xlfn.XLOOKUP(B10,'Base stats'!B:B,'Base stats'!E:E),Groups!A:A,Groups!D:D)=1,MROUND((1-J10)*5+1,2)*IF(J10&lt;=0.4,2,1),"No")</f>
        <v>4</v>
      </c>
      <c r="BA10" s="2" t="str">
        <f>IF(AND(_xlfn.XLOOKUP(B10,'Base stats'!B:B,'Base stats'!AH:AH)="&lt;li&gt;Seal&lt;/li&gt;",G10="Odyssey"),"&lt;li&gt;AEXP_Seal&lt;/li&gt;",_xlfn.XLOOKUP(B10,'Base stats'!B:B,'Base stats'!AH:AH))</f>
        <v>No</v>
      </c>
      <c r="BB10" s="2" t="str">
        <f>_xlfn.XLOOKUP(B10,'Base stats'!B:B,'Base stats'!AG:AG)</f>
        <v>No</v>
      </c>
      <c r="BC10" s="23" t="str">
        <f>_xlfn.XLOOKUP(_xlfn.XLOOKUP(B10,'Base stats'!B:B,'Base stats'!E:E),Groups!A:A,Groups!AL:AL)</f>
        <v>Bird</v>
      </c>
      <c r="BD10" s="23">
        <f>MIN(1,MROUND(IF(AND(AO10&lt;0.5,_xlfn.XLOOKUP(B10,'Base stats'!B:B,'Base stats'!AA:AA)=0),0,IF(OR(_xlfn.XLOOKUP(Animals!B10,'Base stats'!B:B,'Base stats'!O:O)=2,_xlfn.XLOOKUP(_xlfn.XLOOKUP(B10,'Base stats'!B:B,'Base stats'!E:E),Groups!A:A,Groups!AN:AN)=0),0,_xlfn.XLOOKUP(_xlfn.XLOOKUP(B10,'Base stats'!B:B,'Base stats'!E:E),Groups!A:A,Groups!AN:AN)/IF(_xlfn.XLOOKUP(Animals!B10,'Base stats'!B:B,'Base stats'!O:O)=1,2,1)))+_xlfn.XLOOKUP(B10,'Base stats'!B:B,'Base stats'!AC:AC),0.005))</f>
        <v>0</v>
      </c>
      <c r="BE10" s="23">
        <f>MIN(1,MROUND(IF(AND(AO10&lt;0.5,_xlfn.XLOOKUP(B10,'Base stats'!B:B,'Base stats'!AA:AA)=0),0,IF(_xlfn.XLOOKUP(_xlfn.XLOOKUP(B10,'Base stats'!B:B,'Base stats'!E:E),Groups!A:A,Groups!AO:AO)=0,0,_xlfn.XLOOKUP(_xlfn.XLOOKUP(B10,'Base stats'!B:B,'Base stats'!E:E),Groups!A:A,Groups!AO:AO)/IF(_xlfn.XLOOKUP(Animals!B10,'Base stats'!B:B,'Base stats'!O:O)=2,3,1)))+_xlfn.XLOOKUP(B10,'Base stats'!B:B,'Base stats'!AD:AD),0.005))</f>
        <v>0</v>
      </c>
      <c r="BF10" s="2" t="str">
        <f>IF(J10&gt;0.3,"No",_xlfn.XLOOKUP(_xlfn.XLOOKUP(Animals!B10,'Base stats'!B:B,'Base stats'!E:E),Groups!A:A,Groups!AP:AP))</f>
        <v>No</v>
      </c>
      <c r="BG10" s="2" t="str">
        <f>IF(AND(J10&lt;=0.65,_xlfn.XLOOKUP(_xlfn.XLOOKUP(Animals!B10,'Base stats'!B:B,'Base stats'!E:E),Groups!A:A,Groups!AP:AP)&lt;&gt;"No",_xlfn.XLOOKUP(_xlfn.XLOOKUP(B10,'Base stats'!B:B,'Base stats'!E:E),Groups!A:A,Groups!D:D)=0),MROUND((80/3)*IF(_xlfn.XLOOKUP(B10,'Base stats'!B:B,'Base stats'!O:O)=2,0.2,AO10) + 24*(1-IF(BF10="No",0,BF10)) + 16/3, 12),"No")</f>
        <v>No</v>
      </c>
      <c r="BH10" s="2">
        <f>IF(AND(_xlfn.XLOOKUP(_xlfn.XLOOKUP(B10,'Base stats'!B:B,'Base stats'!E:E),Groups!A:A,Groups!AQ:AQ)=1,AO10&lt;=0.35),8,12)</f>
        <v>12</v>
      </c>
      <c r="BI10" s="2" t="str">
        <f>IF(_xlfn.XLOOKUP(_xlfn.XLOOKUP(B10,'Base stats'!B:B,'Base stats'!E:E),Groups!A:A,Groups!D:D)=0,_xlfn.XLOOKUP(_xlfn.XLOOKUP(B10,'Base stats'!B:B,'Base stats'!E:E),Groups!A:A,Groups!AR:AR),"None")</f>
        <v>None</v>
      </c>
      <c r="BJ10" s="2" t="str">
        <f>IF(AND(_xlfn.XLOOKUP(_xlfn.XLOOKUP(B10,'Base stats'!B:B,'Base stats'!E:E),Groups!A:A,Groups!AS:AS)=1,OR(_xlfn.XLOOKUP(B10,'Base stats'!B:B,'Base stats'!Y:Y)="Carnivore",_xlfn.XLOOKUP(B10,'Base stats'!B:B,'Base stats'!Y:Y)="Omnivore")),"true","false")</f>
        <v>false</v>
      </c>
      <c r="BK10" s="2" t="str">
        <f>IF(BJ10="true",MROUND(IF(AND(AO10&gt;0.5,OR(_xlfn.XLOOKUP(_xlfn.XLOOKUP(B10,'Base stats'!B:B,'Base stats'!E:E),Groups!A:A,Groups!AJ:AJ)="Photonozoa",_xlfn.XLOOKUP(_xlfn.XLOOKUP(B10,'Base stats'!B:B,'Base stats'!E:E),Groups!A:A,Groups!AJ:AJ)="Mammal")),Animals!AO10*1.75*IF(AW10="true",1.5,1),IF(AO10&lt;0.5,Animals!AO10*0.5,Animals!AO10)),IF(AO10&gt;2,0.5,IF(AO10&gt;0.5,0.25,0.1))),"No")</f>
        <v>No</v>
      </c>
      <c r="BL10" s="2">
        <f t="shared" si="3"/>
        <v>0</v>
      </c>
      <c r="BM10" s="25" t="str">
        <f>IF(_xlfn.XLOOKUP(B10,'Base stats'!B:B,'Base stats'!AN:AN)="Standard","No",MROUND((_xlfn.XLOOKUP(B10,'Base stats'!B:B,'Base stats'!AN:AN)/3.6)/I10,0.1))</f>
        <v>No</v>
      </c>
      <c r="BN10" s="25" t="str">
        <f t="shared" si="4"/>
        <v>true</v>
      </c>
      <c r="BO10" s="25" t="str">
        <f>IF(AND(OR(_xlfn.XLOOKUP(B10,'Base stats'!B:B,'Base stats'!Y:Y)="Carnivore",_xlfn.XLOOKUP(B10,'Base stats'!B:B,'Base stats'!Y:Y)="Omnivore",_xlfn.XLOOKUP(B10,'Base stats'!B:B,'Base stats'!Y:Y)="OmnivoreRough"),_xlfn.XLOOKUP(_xlfn.XLOOKUP(B10,'Base stats'!B:B,'Base stats'!E:E),Groups!A:A,Groups!AT:AT)=1),"true","false")</f>
        <v>false</v>
      </c>
      <c r="BP10" s="25" t="str" cm="1">
        <f t="array" ref="BP10">IF(
  _xlfn.TEXTJOIN(", ",TRUE,
    IF(AND(BJ10="true",AO10&gt;0.5,BI10&lt;&gt;"None"),"AttackTarget",""),
    IF(AND(_xlfn.XLOOKUP(_xlfn.XLOOKUP(B10,'Base stats'!B:B,'Base stats'!E:E),Groups!A:A,Groups!AJ:AJ="Mammal"),OR(_xlfn.XLOOKUP(B10,'Base stats'!B:B,'Base stats'!Y:Y)="Omnivore",_xlfn.XLOOKUP(B10,'Base stats'!B:B,'Base stats'!Y:Y)="OmnivoreRough")),"Forage",""),
    IF(BG10&lt;=36,"Comfort",""),
    IF(_xlfn.XLOOKUP(B10,'Base stats'!B:B,'Base stats'!AE:AE)&lt;&gt;"No",_xlfn.XLOOKUP(B10,'Base stats'!B:B,'Base stats'!AE:AE),"")
  ) = "",
  "No",
  _xlfn.TEXTJOIN(", ",TRUE,
    IF(AND(BJ10="true",AO10&gt;0.5,BI10&lt;&gt;"None"),"AttackTarget",""),
    IF(AND(_xlfn.XLOOKUP(_xlfn.XLOOKUP(B10,'Base stats'!B:B,'Base stats'!E:E),Groups!A:A,Groups!AJ:AJ="Mammal"),OR(_xlfn.XLOOKUP(B10,'Base stats'!B:B,'Base stats'!Y:Y)="Omnivore",_xlfn.XLOOKUP(B10,'Base stats'!B:B,'Base stats'!Y:Y)="OmnivoreRough")),"Forage",""),
    IF(BG10&lt;=36,"Comfort",""),
    IF(_xlfn.XLOOKUP(B10,'Base stats'!B:B,'Base stats'!AE:AE)&lt;&gt;"No",_xlfn.XLOOKUP(B10,'Base stats'!B:B,'Base stats'!AE:AE),"")
  )
)</f>
        <v>No</v>
      </c>
      <c r="BQ10" s="25">
        <f>IF(
   AND(
      'Base stats'!AN10="Standard",_xlfn.XLOOKUP(_xlfn.XLOOKUP(B10,'Base stats'!B:B,'Base stats'!E:E),Groups!A:A,Groups!AU:AU)=0,
      OR(
      BO10="True"
      )
   ),
   10,
   IF(
       OR(BM10&lt;&gt;"No",_xlfn.XLOOKUP(_xlfn.XLOOKUP(B10,'Base stats'!B:B,'Base stats'!E:E),Groups!A:A,Groups!AU:AU)=1),
      1,
      "No"
   )
)</f>
        <v>1</v>
      </c>
      <c r="BR10" s="9">
        <f>MROUND((1 + ((0.2*IF(OR(Q10="No",R10="No",R10=0),0,Q10/R10)
+IF(OR(V10="No",S10="No",T10="No"),0,S10/T10*(LEN(V10)-LEN(SUBSTITUTE(V10,",",""))+1))
+IF(OR(X10="No",Y10="No"),0,X10/Y10)
+IF(OR(AD10="No",AE10="No"),0,AD10/AE10)
+IF(OR(AL10="No",AI10="No",AJ10="No"),0,AI10/AJ10*(LEN(AL10)-LEN(SUBSTITUTE(AL10,",",""))+1))
)/(0.2*IF(OR(Q10="No",R10="No",R10=0),0,1)
+IF(OR(V10="No",S10="No",T10="No"),0,LEN(V10)-LEN(SUBSTITUTE(V10,",",""))+1)
+IF(OR(X10="No",Y10="No"),0,1)
+IF(OR(AD10="No",AE10="No"),0,1)
+IF(OR(AL10="No",AI10="No",AJ10="No"),0,LEN(AL10)-LEN(SUBSTITUTE(AL10,",",""))+1))*62%)* 2)*(1 + (AP10 / (IF(_xlfn.XLOOKUP(_xlfn.XLOOKUP(B10,'Base stats'!B:B,'Base stats'!E:E),Groups!A:A,Groups!AJ:AJ)="Photonozoa",0.3,1)) + _xlfn.XLOOKUP(B10,'Base stats'!B:B,'Base stats'!AV:AV) * 1.8) * 2) * 2.5 + 10 + I10 * 2,5)+IF(_xlfn.XLOOKUP(B10,'Base stats'!B:B,'Base stats'!AK:AK)=1,50,0)</f>
        <v>25</v>
      </c>
      <c r="BS10" s="8">
        <f t="shared" si="5"/>
        <v>0.25</v>
      </c>
      <c r="BT10" s="8" t="str">
        <f>_xlfn.XLOOKUP(B10,'Base stats'!B:B,'Base stats'!AF:AF)</f>
        <v>3~10</v>
      </c>
      <c r="BU10" s="2" t="str">
        <f>IF(AND(J10&lt;=0.95,OR(_xlfn.XLOOKUP(B10,'Base stats'!B:B,'Base stats'!AK:AK)=1,_xlfn.XLOOKUP(B10,'Base stats'!B:B,'Base stats'!Y:Y)="Carnivore",_xlfn.XLOOKUP(B10,'Base stats'!B:B,'Base stats'!Y:Y)="Omnivore",BE10&gt;0.1)),"true","false")</f>
        <v>false</v>
      </c>
      <c r="BV10" s="2" t="str">
        <f>IF(_xlfn.XLOOKUP(B10,'Base stats'!B:B,'Base stats'!AI:AI)=1,"true","false")</f>
        <v>false</v>
      </c>
      <c r="BW10" s="25" t="str">
        <f>IF(E10="BaseInsect","AnimalInsect",
IF(J10&gt;0.95,"AnimalExotic",
_xlfn.TEXTJOIN(", ",TRUE,
IF(OR(_xlfn.XLOOKUP(B10,'Base stats'!B:B,'Base stats'!AM:AM)=1,AND(_xlfn.XLOOKUP(B10,'Base stats'!B:B,'Base stats'!O:O)=0,_xlfn.XLOOKUP(_xlfn.XLOOKUP(B10,'Base stats'!B:B,'Base stats'!E:E),Groups!A:A,Groups!B:B)&gt;0)),"AnimalUncommon","AnimalCommon"),
IF(AND(_xlfn.XLOOKUP(B10,'Base stats'!B:B,'Base stats'!O:O)=2,_xlfn.XLOOKUP(_xlfn.XLOOKUP(B10,'Base stats'!B:B,'Base stats'!E:E),Groups!A:A,Groups!D:D)=0),"AnimalPet",IF(AND(_xlfn.XLOOKUP(B10,'Base stats'!B:B,'Base stats'!O:O)&lt;&gt;0,_xlfn.XLOOKUP(_xlfn.XLOOKUP(B10,'Base stats'!B:B,'Base stats'!E:E),Groups!A:A,Groups!D:D)&lt;&gt;0),"AnimalFarm","")),
IF(OR(_xlfn.XLOOKUP(B10,'Base stats'!B:B,'Base stats'!AK:AK)=1,AND(BI10&lt;&gt;"None",BR10&gt;=60),ISNUMBER(SEARCH("Attack target",BP10))),"AnimalFighter","")
)))</f>
        <v>AnimalUncommon</v>
      </c>
      <c r="BX10" s="25" t="str">
        <f>IF(G10="None",TRIM(
SUBSTITUTE(
IF(COUNTIF(Biomes!B$2:B$259,"="&amp;$C10)&gt;0,Biomes!B$1&amp;", ","")&amp;
IF(COUNTIF(Biomes!C$2:C$259,"="&amp;$C10)&gt;0,Biomes!C$1&amp;", ","")&amp;
IF(COUNTIF(Biomes!D$2:D$259,"="&amp;$C10)&gt;0,Biomes!D$1&amp;", ","")&amp;
IF(COUNTIF(Biomes!F$2:F$259,"="&amp;$C10)&gt;0,Biomes!F$1&amp;", ","")&amp;
IF(COUNTIF(Biomes!G$2:G$259,"="&amp;$C10)&gt;0,Biomes!G$1&amp;", ","")&amp;
IF(COUNTIF(Biomes!H$2:H$259,"="&amp;$C10)&gt;0,Biomes!H$1&amp;", ","")&amp;
IF(COUNTIF(Biomes!I$2:I$259,"="&amp;$C10)&gt;0,Biomes!I$1&amp;", ","")&amp;
IF(COUNTIF(Biomes!J$2:J$259,"="&amp;$C10)&gt;0,Biomes!J$1&amp;", ","")&amp;
IF(COUNTIF(Biomes!M$2:M$259,"="&amp;$C10)&gt;0,Biomes!M$1&amp;", ","")&amp;
IF(COUNTIF(Biomes!N$2:N$259,"="&amp;$C10)&gt;0,Biomes!N$1&amp;", ","")&amp;
IF(COUNTIF(Biomes!O$2:O$259,"="&amp;$C10)&gt;0,Biomes!O$1&amp;", ","")&amp;
IF(COUNTIF(Biomes!P$2:P$259,"="&amp;$C10)&gt;0,Biomes!P$1&amp;", ","")&amp;
IF(COUNTIF(Biomes!K$2:K$259,"="&amp;$C10)&gt;0,Biomes!K$1&amp;", ","")&amp;
IF(COUNTIF(Biomes!Q$3:Q$259,"="&amp;$C10)&gt;0,Biomes!Q$1&amp;", ","")&amp;
IF(COUNTIF(Biomes!L$2:L$259,"="&amp;$C10)&gt;0,Biomes!L$1&amp;", ","")&amp;
IF(COUNTIF(Biomes!E$2:E$259,"="&amp;$C10)&gt;0,Biomes!E$1&amp;", ","")&amp;IF(COUNTIF(Biomes!S$2:S$259,"="&amp;$C10)&gt;0,Biomes!S$1&amp;", ","")&amp;
IF(COUNTIF(Biomes!R$2:R$259,"="&amp;$C10)&gt;0,Biomes!R$1&amp;", ",""),", ","")
),_xlfn.XLOOKUP(B10,B:B,BX:BX))</f>
        <v>ColdBog TemperateSwamp</v>
      </c>
      <c r="BY10" s="25" t="str">
        <f>IF(_xlfn.XLOOKUP(B10,'Base stats'!B:B,'Base stats'!AJ:AJ)=1,"true","false")</f>
        <v>false</v>
      </c>
      <c r="BZ10" s="25">
        <f>IF(_xlfn.XLOOKUP(B10,'Base stats'!B:B,'Base stats'!N:N)=1,"No",MAX(0.001,MIN(MROUND(IF(AND(BJ10="True",CC10="False"),POWER(10,3.47*LOG10(_xlfn.XLOOKUP(B10,'Base stats'!B:B,'Base stats'!C:C)*1000)^-0.96),POWER(10,4.15*LOG10(_xlfn.XLOOKUP(B10,'Base stats'!B:B,'Base stats'!C:C)*1000)^-0.73))*IF(_xlfn.XLOOKUP(B10,'Base stats'!B:B,'Base stats'!AK:AK)=1,0.5,1)*IF(_xlfn.XLOOKUP(B10,'Base stats'!B:B,'Base stats'!AM:AM)=1,0.1,1)/100,IF(_xlfn.XLOOKUP(B10,'Base stats'!B:B,'Base stats'!AM:AM)=1,0.001,0.025)),0.5)))</f>
        <v>0.5</v>
      </c>
      <c r="CA10" s="25" t="str">
        <f>IF(P10="Standard","No",MAX(0.001,MIN(MROUND(IF(AND(BJ10="True",CC10="False"),POWER(10,3.47*LOG10(_xlfn.XLOOKUP(B10,'Base stats'!B:B,'Base stats'!C:C)*1000)^-0.96),POWER(10,4.15*LOG10(_xlfn.XLOOKUP(B10,'Base stats'!B:B,'Base stats'!C:C)*1000)^-0.73))*IF(_xlfn.XLOOKUP(B10,'Base stats'!B:B,'Base stats'!AM:AM)=1,0.1,1)*_xlfn.XLOOKUP(B10,'Base stats'!B:B,'Base stats'!R:R)/100,IF(_xlfn.XLOOKUP(B10,'Base stats'!B:B,'Base stats'!AM:AM)=1,0.001,0.025)),0.5)))</f>
        <v>No</v>
      </c>
      <c r="CB10" s="25" t="str">
        <f>IF(_xlfn.XLOOKUP(_xlfn.XLOOKUP(B10,'Base stats'!B:B,'Base stats'!E:E),Groups!A:A,Groups!AJ:AJ)="Mammal","True","False")</f>
        <v>False</v>
      </c>
      <c r="CC10" s="25" t="str">
        <f>IF(OR(_xlfn.XLOOKUP(_xlfn.XLOOKUP(B10,'Base stats'!B:B,'Base stats'!E:E),Groups!A:A,Groups!AJ:AJ)="Reptile",_xlfn.XLOOKUP(_xlfn.XLOOKUP(B10,'Base stats'!B:B,'Base stats'!E:E),Groups!A:A,Groups!AJ:AJ)="Amphibian",_xlfn.XLOOKUP(_xlfn.XLOOKUP(B10,'Base stats'!B:B,'Base stats'!E:E),Groups!A:A,Groups!AJ:AJ)="Invertebrate"),"True","False")</f>
        <v>False</v>
      </c>
      <c r="CD10" s="25" t="str">
        <f t="shared" si="6"/>
        <v>False</v>
      </c>
      <c r="CE10" s="25" t="str">
        <f>IF(_xlfn.XLOOKUP(_xlfn.XLOOKUP(B10,'Base stats'!B:B,'Base stats'!E:E),Groups!A:A,Groups!AX:AX),"True","False")</f>
        <v>False</v>
      </c>
      <c r="CF10" s="25" t="str">
        <f>IF(_xlfn.XLOOKUP(_xlfn.XLOOKUP(B10,'Base stats'!B:B,'Base stats'!E:E),Groups!A:A,Groups!AY:AY),"True","False")</f>
        <v>False</v>
      </c>
      <c r="CG10" s="25" t="str">
        <f>IF(_xlfn.XLOOKUP(_xlfn.XLOOKUP(B10,'Base stats'!B:B,'Base stats'!E:E),Groups!A:A,Groups!AW:AW),"True","False")</f>
        <v>False</v>
      </c>
      <c r="CH10" s="25" t="str">
        <f>IF(
OR(
_xlfn.XLOOKUP(_xlfn.XLOOKUP(B10,'Base stats'!B:B,'Base stats'!E:E),Groups!A:A,Groups!AZ:AZ)=0,
AND(
_xlfn.XLOOKUP(B10,'Base stats'!B:B,'Base stats'!Y:Y)&lt;&gt;"Carnivore",
_xlfn.XLOOKUP(B10,'Base stats'!B:B,'Base stats'!Y:Y)&lt;&gt;"Omnivore",
_xlfn.XLOOKUP(B10,'Base stats'!B:B,'Base stats'!Y:Y)&lt;&gt;"OmnivoreRough"
)
),
"No",
IF(
_xlfn.XLOOKUP(_xlfn.XLOOKUP(B10,'Base stats'!B:B,'Base stats'!E:E),Groups!A:A,Groups!AZ:AZ)=1,
"Flesh",
IF(
_xlfn.XLOOKUP(_xlfn.XLOOKUP(B10,'Base stats'!B:B,'Base stats'!E:E),Groups!A:A,Groups!AZ:AZ)=2,
"Bone",
""
)
)
)</f>
        <v>No</v>
      </c>
      <c r="CI10" s="25" t="str">
        <f>IF(_xlfn.XLOOKUP(_xlfn.XLOOKUP(B10,'Base stats'!B:B,'Base stats'!E:E),Groups!A:A,Groups!BB:BB),"True","False")</f>
        <v>True</v>
      </c>
      <c r="CJ10" s="25" t="str">
        <f>IF(_xlfn.XLOOKUP(_xlfn.XLOOKUP(B10,'Base stats'!B:B,'Base stats'!E:E),Groups!A:A,Groups!BA:BA),"True","False")</f>
        <v>False</v>
      </c>
      <c r="CO10" s="16"/>
    </row>
    <row r="11" spans="1:93" ht="16.5" thickTop="1" thickBot="1" x14ac:dyDescent="0.3">
      <c r="A11" s="26" t="str">
        <f>_xlfn.XLOOKUP(B11,'Base stats'!B:B,'Base stats'!A:A)</f>
        <v>Chicken</v>
      </c>
      <c r="B11" s="6" t="s">
        <v>52</v>
      </c>
      <c r="C11" s="28" t="s">
        <v>682</v>
      </c>
      <c r="D11" s="28" t="s">
        <v>45</v>
      </c>
      <c r="E11" s="28" t="s">
        <v>673</v>
      </c>
      <c r="F11" s="28" t="s">
        <v>673</v>
      </c>
      <c r="G11" s="28" t="s">
        <v>673</v>
      </c>
      <c r="H11" s="2">
        <f>MROUND((
  (IF(AND(_xlfn.XLOOKUP(B11,'Base stats'!B:B,'Base stats'!AL:AL)=0,BI11="None",_xlfn.XLOOKUP(_xlfn.XLOOKUP(B11,'Base stats'!B:B,'Base stats'!E:E),Groups!A:A,Groups!B:B)=0), (18 + BR11 * 2.7) * 0.5,
    IF(AND(_xlfn.XLOOKUP(B11,'Base stats'!B:B,'Base stats'!AL:AL)=0,OR(AO11&lt;0.55,AND(BI11="Intermediate",_xlfn.XLOOKUP(_xlfn.XLOOKUP(B11,'Base stats'!B:B,'Base stats'!E:E),Groups!A:A,Groups!B:B)&lt;2))), (18 + BR11 * 2.7),
      IF(OR(BI11="Advanced",_xlfn.XLOOKUP(B11,'Base stats'!B:B,'Base stats'!AL:AL)=1,_xlfn.XLOOKUP(_xlfn.XLOOKUP(B11,'Base stats'!B:B,'Base stats'!E:E),Groups!A:A,Groups!B:B)=2), (18 + BR11 * 2.7) + 250, (18 + BR11 * 2.7))
    )
  ))
  + AO11 * 80
  + IF(COUNTIF(EggMilk!K$2:K$998, A11) &gt; 0, 125, 0)
  + IF(COUNTIF(EggMilk!P$2:P$998, A11) &gt; 0, 90, 0)
  + IF(COUNTIF(EggMilk!A$2:A$998, A11) &gt; 0, 90, 0)
)
* (0.8 + 0.4 * J11)
* 0.75,25)</f>
        <v>100</v>
      </c>
      <c r="I11" s="2">
        <f>MROUND(ROUNDDOWN(_xlfn.XLOOKUP(B11,'Base stats'!B:B,'Base stats'!L:L)/3.6/(23.3/11),1),0.5)</f>
        <v>2</v>
      </c>
      <c r="J11" s="2">
        <f>IF(OR(_xlfn.XLOOKUP(B11,'Base stats'!B:B,'Base stats'!AB:AB)=1,_xlfn.XLOOKUP(_xlfn.XLOOKUP(B11,'Base stats'!B:B,'Base stats'!E:E),Groups!A:A,Groups!C:C)="Untamable"),1,IF(_xlfn.XLOOKUP(B11,'Base stats'!B:B,'Base stats'!AL:AL)=1,0.99,MIN(MROUND((1-0.6282*EXP(-0.459*AO11))*_xlfn.XLOOKUP(_xlfn.XLOOKUP(B11,'Base stats'!B:B,'Base stats'!E:E),Groups!A:A,Groups!C:C)*IF(_xlfn.XLOOKUP(B11,'Base stats'!B:B,'Base stats'!O:O)=1,0.5,IF(_xlfn.XLOOKUP(B11,'Base stats'!B:B,'Base stats'!O:O)=2,0,1)),0.05),IF(AO11&gt;3.5,0.985,0.95))))</f>
        <v>0</v>
      </c>
      <c r="K11" s="2">
        <f>ROUNDUP(AO11*_xlfn.XLOOKUP(_xlfn.XLOOKUP(B11,'Base stats'!B:B,'Base stats'!E:E),Groups!A:A,Groups!E:E),0)</f>
        <v>3</v>
      </c>
      <c r="L11" s="2">
        <f>IF(OR(_xlfn.XLOOKUP(_xlfn.XLOOKUP(B11,'Base stats'!B:B,'Base stats'!E:E),Groups!A:A,Groups!F:F)=2,ISNUMBER(SEARCH("SeaIce",BX11)),ISNUMBER(SEARCH("IceSheet",BX11))),-50,IF(OR(ISNUMBER(SEARCH("GlacialPlain",BX11)),ISNUMBER(SEARCH("Tundra",BX11))),-40,IF(OR(ISNUMBER(SEARCH("Alpine",BX11)),ISNUMBER(SEARCH("BorealForest",BX11)),ISNUMBER(SEARCH("ColdBog",BX11))),-30,IF(OR(ISNUMBER(SEARCH("TemperateForest",BX11)),ISNUMBER(SEARCH("TemperateSwamp",BX11))),-20,IF(_xlfn.XLOOKUP(_xlfn.XLOOKUP(B11,'Base stats'!B:B,'Base stats'!E:E),Groups!A:A,Groups!F:F)=1,-15,IF(OR(ISNUMBER(SEARCH("Desert",BX11)),ISNUMBER(SEARCH("ExtremeDesert",BX11))),-10,IF(OR(ISNUMBER(SEARCH("Grasslands",BX11)),ISNUMBER(SEARCH("TropicalRainforest",BX11)),ISNUMBER(SEARCH("TropicalSwamp",BX11))),10,0)))))))-IF(CC11="False",MIN(IFERROR(MAX(MROUND(LOG10(_xlfn.XLOOKUP(B11,'Base stats'!B:B,'Base stats'!C:C)^(2/3))*10,5),5),5),30))-_xlfn.XLOOKUP(B11,'Base stats'!B:B,'Base stats'!P:P)+IF(CC11="True",5,0)</f>
        <v>-5</v>
      </c>
      <c r="M11" s="2">
        <f>IF(OR(_xlfn.XLOOKUP(_xlfn.XLOOKUP(B11,'Base stats'!B:B,'Base stats'!E:E),Groups!A:A,Groups!G:G)=2,ISNUMBER(SEARCH("Desert",BX11)),ISNUMBER(SEARCH("ExtremeDesert",BX11)),ISNUMBER(SEARCH("LavaField",BX11))),50,IF(ISNUMBER(SEARCH("Grasslands",BX11)),45,IF(OR(_xlfn.XLOOKUP(_xlfn.XLOOKUP(B11,'Base stats'!B:B,'Base stats'!E:E),Groups!A:A,Groups!G:G)=1,ISNUMBER(SEARCH("TropicalRainforest",BX11)),ISNUMBER(SEARCH("TropicalSwamp",BX11))),40,IF(OR(ISNUMBER(SEARCH("TemperateForest",BX11)),ISNUMBER(SEARCH("TemperateSwamp",BX11))),35,IF(OR(ISNUMBER(SEARCH("Alpine",BX11)),ISNUMBER(SEARCH("BorealForest",BX11)),ISNUMBER(SEARCH("ColdBog",BX11))),30,IF(ISNUMBER(OR(ISNUMBER(SEARCH("GlacialPlain",BX11)),SEARCH("Tundra",BX11))),25,IF(OR(ISNUMBER(SEARCH("SeaIce",BX11)),ISNUMBER(SEARCH("IceSheet",BX11)),ISNUMBER(SEARCH("TropicalSwamp",BX11))),10,35)))))))+_xlfn.XLOOKUP(B11,'Base stats'!B:B,'Base stats'!Q:Q)</f>
        <v>35</v>
      </c>
      <c r="N11" s="8" t="str">
        <f>IF(
_xlfn.XLOOKUP(
_xlfn.XLOOKUP(B11,'Base stats'!B:B,'Base stats'!E:E),
Groups!A:A,
Groups!L:L
)=1,
MIN(
MROUND(
IF(
_xlfn.XLOOKUP(B11,'Animals CE'!B:B,'Animals CE'!Z:Z)&lt;=1.5,
_xlfn.XLOOKUP(B11,'Animals CE'!B:B,'Animals CE'!Z:Z)/2+0.05,
0.8+
(_xlfn.XLOOKUP(B11,'Animals CE'!B:B,'Animals CE'!Z:Z)-1.5)
*0.02
),
0.05
),
200%
),
"No"
)</f>
        <v>No</v>
      </c>
      <c r="O11" s="8" t="str">
        <f>IF(
_xlfn.XLOOKUP(
_xlfn.XLOOKUP(B11,'Base stats'!B:B,'Base stats'!E:E),
Groups!A:A,
Groups!L:L
)=1,
MIN(
MROUND(
IF(
_xlfn.XLOOKUP(B11,'Animals CE'!B:B,'Animals CE'!AA:AA)&lt;=1.5,
_xlfn.XLOOKUP(B11,'Animals CE'!B:B,'Animals CE'!AA:AA)/2+0.05,
0.8+
(_xlfn.XLOOKUP(B11,'Animals CE'!B:B,'Animals CE'!AA:AA)-1.5)
*0.02
),
0.05
),
200%
),
"No"
)</f>
        <v>No</v>
      </c>
      <c r="P11" s="2" t="str">
        <f>_xlfn.XLOOKUP(B11,'Base stats'!B:B,'Base stats'!R:R)</f>
        <v>Standard</v>
      </c>
      <c r="Q11" s="13">
        <f>MROUND((LOG10(_xlfn.XLOOKUP(B11,'Base stats'!B:B,'Base stats'!AR:AR))*(AO11^0.5)+(_xlfn.XLOOKUP(B11,'Base stats'!B:B,'Base stats'!AR:AR)/1000)^(2/3)+_xlfn.XLOOKUP(B11,'Base stats'!B:B,'Base stats'!BA:BA)/2)+0.5,0.5)</f>
        <v>2</v>
      </c>
      <c r="R11" s="7">
        <f>IF(Q11="No","No",MAX(1,MROUND(_xlfn.XLOOKUP(B11,'Base stats'!B:B,'Base stats'!C:C)^0.165,0.05)))</f>
        <v>1.1500000000000001</v>
      </c>
      <c r="S11" s="13">
        <f>IF(_xlfn.XLOOKUP(_xlfn.XLOOKUP(B11,'Base stats'!B:B,'Base stats'!E:E),Groups!A:A,Groups!P:P)=0,"No",MROUND((LOG10(_xlfn.XLOOKUP(B11,'Base stats'!B:B,'Base stats'!AS:AS))*(AO11^0.5)+(_xlfn.XLOOKUP(B11,'Base stats'!B:B,'Base stats'!AS:AS)/1000)^(2/3)+_xlfn.XLOOKUP(B11,'Base stats'!B:B,'Base stats'!BA:BA))+_xlfn.XLOOKUP(B11,'Base stats'!B:B,'Base stats'!AY:AY)+0.5,0.5))</f>
        <v>3.5</v>
      </c>
      <c r="T11" s="7">
        <f>IF(S11="No","No",MAX(_xlfn.XLOOKUP(_xlfn.XLOOKUP(B11,'Base stats'!B:B,'Base stats'!E:E),Groups!A:A,Groups!Q:Q),MROUND(_xlfn.XLOOKUP(_xlfn.XLOOKUP(B11,'Base stats'!B:B,'Base stats'!E:E),Groups!A:A,Groups!Q:Q)*_xlfn.XLOOKUP(B11,'Base stats'!B:B,'Base stats'!C:C)^0.165,0.05)))</f>
        <v>1.1500000000000001</v>
      </c>
      <c r="U11" s="7" t="str">
        <f>IF(S11="No","No",_xlfn.XLOOKUP(_xlfn.XLOOKUP(B11,'Base stats'!B:B,'Base stats'!E:E),Groups!A:A,Groups!R:R))</f>
        <v>Feet</v>
      </c>
      <c r="V11" s="7" t="str">
        <f>IF(S11="No","No",_xlfn.XLOOKUP(_xlfn.XLOOKUP(B11,'Base stats'!B:B,'Base stats'!E:E),Groups!A:A,Groups!S:S))</f>
        <v>rear left claw, rear  right claw</v>
      </c>
      <c r="W11" s="7" t="str">
        <f>IF(S11="No","No",_xlfn.XLOOKUP(_xlfn.XLOOKUP(B11,'Base stats'!B:B,'Base stats'!E:E),Groups!A:A,Groups!T:T))</f>
        <v>Scratch</v>
      </c>
      <c r="X11" s="13" t="str">
        <f>IF(_xlfn.XLOOKUP(B11,'Base stats'!B:B,'Base stats'!W:W)="No","No",MROUND((LOG10(_xlfn.XLOOKUP(B11,'Base stats'!B:B,'Base stats'!AU:AU))*(AO11^0.5)+(_xlfn.XLOOKUP(B11,'Base stats'!B:B,'Base stats'!AU:AU)/1000)^(2/3)+_xlfn.XLOOKUP(B11,'Base stats'!B:B,'Base stats'!AZ:AZ))+0.5+IF(_xlfn.XLOOKUP(_xlfn.XLOOKUP(B11,'Base stats'!B:B,'Base stats'!E:E),Groups!A:A,Groups!U:U)&lt;&gt;3,_xlfn.XLOOKUP(B11,'Base stats'!B:B,'Base stats'!BA:BA),0),0.5))</f>
        <v>No</v>
      </c>
      <c r="Y11" s="7" t="str">
        <f>IF(X11="No","No",MAX(_xlfn.XLOOKUP(_xlfn.XLOOKUP(B11,'Base stats'!B:B,'Base stats'!E:E),Groups!A:A,Groups!V:V),MROUND(_xlfn.XLOOKUP(_xlfn.XLOOKUP(B11,'Base stats'!B:B,'Base stats'!E:E),Groups!A:A,Groups!V:V)*_xlfn.XLOOKUP(B11,'Base stats'!B:B,'Base stats'!C:C)^0.165,0.05)))</f>
        <v>No</v>
      </c>
      <c r="Z11" s="7" t="str">
        <f>IF(X11="No","No",_xlfn.XLOOKUP(_xlfn.XLOOKUP(B11,'Base stats'!B:B,'Base stats'!E:E),Groups!A:A,Groups!W:W))</f>
        <v>No</v>
      </c>
      <c r="AA11" s="7" t="str">
        <f>IF(X11="No","No",_xlfn.XLOOKUP(_xlfn.XLOOKUP(B11,'Base stats'!B:B,'Base stats'!E:E),Groups!A:A,Groups!X:X))</f>
        <v>No</v>
      </c>
      <c r="AB11" s="7" t="str">
        <f>IF(X11="No","No",_xlfn.XLOOKUP(_xlfn.XLOOKUP(B11,'Base stats'!B:B,'Base stats'!E:E),Groups!A:A,Groups!Y:Y))</f>
        <v>No</v>
      </c>
      <c r="AC11" s="7" t="str">
        <f>_xlfn.XLOOKUP(Animals!B11,'Base stats'!B:B,'Base stats'!X:X)</f>
        <v>False</v>
      </c>
      <c r="AD11" s="13">
        <f>IF(_xlfn.XLOOKUP(B11,'Base stats'!B:B,'Base stats'!AT:AT)="No","No",MROUND((LOG10(_xlfn.XLOOKUP(B11,'Base stats'!B:B,'Base stats'!AT:AT))*(AO11^0.75)+(_xlfn.XLOOKUP(B11,'Base stats'!B:B,'Base stats'!AT:AT)/1000)^(2/3)+_xlfn.XLOOKUP(B11,'Base stats'!B:B,'Base stats'!AX:AX)+_xlfn.XLOOKUP(B11,'Base stats'!B:B,'Base stats'!BA:BA))+0.5,0.5))</f>
        <v>2</v>
      </c>
      <c r="AE11" s="7">
        <f>IF(AD11="No","No",MAX(_xlfn.XLOOKUP(_xlfn.XLOOKUP(B11,'Base stats'!B:B,'Base stats'!E:E),Groups!A:A,Groups!Z:Z),MROUND(_xlfn.XLOOKUP(_xlfn.XLOOKUP(B11,'Base stats'!B:B,'Base stats'!E:E),Groups!A:A,Groups!Z:Z)*_xlfn.XLOOKUP(B11,'Base stats'!B:B,'Base stats'!C:C)^0.165,0.05)))</f>
        <v>1.1500000000000001</v>
      </c>
      <c r="AF11" s="7" t="str">
        <f>IF(AD11="No","No",_xlfn.XLOOKUP(_xlfn.XLOOKUP(B11,'Base stats'!B:B,'Base stats'!E:E),Groups!A:A,Groups!AA:AA))</f>
        <v>Beak</v>
      </c>
      <c r="AG11" s="7" t="str">
        <f>IF(AD11="No","No",_xlfn.XLOOKUP(_xlfn.XLOOKUP(B11,'Base stats'!B:B,'Base stats'!E:E),Groups!A:A,Groups!AB:AB))</f>
        <v>beak</v>
      </c>
      <c r="AH11" s="7" t="str">
        <f>IF(AD11="No","No",_xlfn.XLOOKUP(_xlfn.XLOOKUP(B11,'Base stats'!B:B,'Base stats'!E:E),Groups!A:A,Groups!AC:AC))</f>
        <v>Blunt</v>
      </c>
      <c r="AI11" s="13" t="str">
        <f>IF(_xlfn.XLOOKUP(_xlfn.XLOOKUP(B11,'Base stats'!B:B,'Base stats'!E:E),Groups!A:A,Groups!AD:AD)=0,"No",MROUND((LOG10(_xlfn.XLOOKUP(B11,'Base stats'!B:B,'Base stats'!AS:AS))*(AO11^0.75)+(_xlfn.XLOOKUP(B11,'Base stats'!B:B,'Base stats'!AS:AS)/1000)^(2/3)+_xlfn.XLOOKUP(B11,'Base stats'!B:B,'Base stats'!AY:AY)+_xlfn.XLOOKUP(B11,'Base stats'!B:B,'Base stats'!BA:BA))+0.5,0.5))</f>
        <v>No</v>
      </c>
      <c r="AJ11" s="7" t="str">
        <f>IF(AI11="No","No",MAX(_xlfn.XLOOKUP(_xlfn.XLOOKUP(B11,'Base stats'!B:B,'Base stats'!E:E),Groups!A:A,Groups!AE:AE),MROUND(_xlfn.XLOOKUP(_xlfn.XLOOKUP(B11,'Base stats'!B:B,'Base stats'!E:E),Groups!A:A,Groups!AE:AE)*IF(_xlfn.XLOOKUP(_xlfn.XLOOKUP(B11,'Base stats'!B:B,'Base stats'!E:E),Groups!A:A,Groups!AJ:AJ)="Photonozoa",0.6,1)*_xlfn.XLOOKUP(B11,'Base stats'!B:B,'Base stats'!C:C)^0.165,0.05)))</f>
        <v>No</v>
      </c>
      <c r="AK11" s="7" t="str">
        <f>IF(AI11="No","No",_xlfn.XLOOKUP(_xlfn.XLOOKUP(B11,'Base stats'!B:B,'Base stats'!E:E),Groups!A:A,Groups!AF:AF))</f>
        <v>No</v>
      </c>
      <c r="AL11" s="7" t="str">
        <f>IF(AI11="No","No",_xlfn.XLOOKUP(_xlfn.XLOOKUP(B11,'Base stats'!B:B,'Base stats'!E:E),Groups!A:A,Groups!AG:AG))</f>
        <v>No</v>
      </c>
      <c r="AM11" s="7" t="str">
        <f>IF(AI11="No","No",_xlfn.XLOOKUP(_xlfn.XLOOKUP(B11,'Base stats'!B:B,'Base stats'!E:E),Groups!A:A,Groups!AH:AH))</f>
        <v>No</v>
      </c>
      <c r="AN11" s="2" t="str">
        <f t="shared" si="0"/>
        <v>No</v>
      </c>
      <c r="AO11" s="2">
        <f>MROUND(IF(AND(_xlfn.XLOOKUP(B11,'Base stats'!B:B,'Base stats'!C:C)&gt;=0.5,_xlfn.XLOOKUP(B11,'Base stats'!B:B,'Base stats'!C:C)&lt;=0.8),
IF(_xlfn.XLOOKUP(B11,'Base stats'!B:B,'Base stats'!C:C)&lt;0.1,0.05,IF(_xlfn.XLOOKUP(B11,'Base stats'!B:B,'Base stats'!C:C)&lt;=70,(_xlfn.XLOOKUP(B11,'Base stats'!B:B,'Base stats'!C:C)/70)^0.426489913056526,IF(_xlfn.XLOOKUP(B11,'Base stats'!B:B,'Base stats'!C:C)&lt;=400,(_xlfn.XLOOKUP(B11,'Base stats'!B:B,'Base stats'!C:C)/70)^0.572811455315093,IF(_xlfn.XLOOKUP(B11,'Base stats'!B:B,'Base stats'!C:C)&lt;=2000,2.71391647193063*(_xlfn.XLOOKUP(B11,'Base stats'!B:B,'Base stats'!C:C)/400)^0.252459582904293,3.74314280240376*(_xlfn.XLOOKUP(B11,'Base stats'!B:B,'Base stats'!C:C)/2000)^0.357012633876913)))),
IF(_xlfn.XLOOKUP(B11,'Base stats'!B:B,'Base stats'!C:C)&lt;0.1,0.05,IF(_xlfn.XLOOKUP(B11,'Base stats'!B:B,'Base stats'!C:C)&lt;0.4,0.1,IF(_xlfn.XLOOKUP(B11,'Base stats'!B:B,'Base stats'!C:C)&lt;=70,(_xlfn.XLOOKUP(B11,'Base stats'!B:B,'Base stats'!C:C)/70)^0.445823913056526,IF(_xlfn.XLOOKUP(B11,'Base stats'!B:B,'Base stats'!C:C)&lt;=400,(_xlfn.XLOOKUP(B11,'Base stats'!B:B,'Base stats'!C:C)/70)^0.572811455315093,IF(_xlfn.XLOOKUP(B11,'Base stats'!B:B,'Base stats'!C:C)&lt;=2000,2.71391647193063*(_xlfn.XLOOKUP(B11,'Base stats'!B:B,'Base stats'!C:C)/400)^0.252459582904293,3.74314280240376*(_xlfn.XLOOKUP(B11,'Base stats'!B:B,'Base stats'!C:C)/2000)^0.357012633876913)))))),
IF(_xlfn.XLOOKUP(B11,'Base stats'!B:B,'Base stats'!C:C)&lt;0.1,0.05,IF(_xlfn.XLOOKUP(B11,'Base stats'!B:B,'Base stats'!C:C)&lt;=100,0.05,IF(_xlfn.XLOOKUP(B11,'Base stats'!B:B,'Base stats'!C:C)&lt;=250,0.1,IF(_xlfn.XLOOKUP(B11,'Base stats'!B:B,'Base stats'!C:C)&lt;=4000,0.25,0.5)))))</f>
        <v>0.2</v>
      </c>
      <c r="AP11" s="8">
        <f>MROUND(AO11*_xlfn.XLOOKUP(_xlfn.XLOOKUP(B11,'Base stats'!B:B,'Base stats'!E:E),Groups!A:A,Groups!AI:AI)*_xlfn.XLOOKUP(B11,'Base stats'!B:B,'Base stats'!Z:Z),0.05)</f>
        <v>0.2</v>
      </c>
      <c r="AQ11" s="8">
        <f>MAX(0.01,MROUND(IF(CC11="True",0.196*(AO11*100*1000)^0.889,IF(_xlfn.XLOOKUP(_xlfn.XLOOKUP(B11,'Base stats'!B:B,'Base stats'!E:E),Groups!A:A,Groups!AJ:AJ)="Bird",10.5*(AO11*100*1000)^0.681,4.82*(AO11*100*1000)^0.734))/(4.82*(1*100*1000)^0.734)/IF(AO11&lt;3.5,2,IF(AO11=3.5,1.5,1.25))*(1+0.132282374779864/(AO11^0.994035016789033+0.00905238001496948)),0.05))</f>
        <v>0.30000000000000004</v>
      </c>
      <c r="AR11" s="9">
        <f>IFERROR(MROUND(_xlfn.XLOOKUP(B11,'Base stats'!B:B,'Base stats'!H:H)/IF(_xlfn.XLOOKUP(B11,'Base stats'!B:B,'Base stats'!I:I)&lt;&gt;1,(122.5/70),1.2),IF(_xlfn.XLOOKUP(B11,'Base stats'!B:B,'Base stats'!H:H)&gt;=30,5,IF(_xlfn.XLOOKUP(B11,'Base stats'!B:B,'Base stats'!H:H)&gt;=15,3,IF(_xlfn.XLOOKUP(B11,'Base stats'!B:B,'Base stats'!H:H)&gt;=10,2,1)))),"Immortal")</f>
        <v>15</v>
      </c>
      <c r="AS11" s="35" t="str">
        <f>IFERROR(IF(OR(_xlfn.XLOOKUP(B11,'Base stats'!B:B,'Base stats'!F:F)="Atypical reproduction",_xlfn.XLOOKUP(B11,'Base stats'!B:B,'Base stats'!F:F)="Lay eggs"),"Lay eggs",MIN(20,MAX(5.5,ROUND(((_xlfn.XLOOKUP(B11,'Base stats'!B:B,'Base stats'!F:F)-25)*(14.5/615) + 5.5)*2,0)/2))),"Unknown")</f>
        <v>Lay eggs</v>
      </c>
      <c r="AT11" s="8">
        <f>IF(_xlfn.XLOOKUP(B11,'Base stats'!B:B,'Base stats'!G:G)="Atypical reproduction","No",IFERROR(MAX(IF(_xlfn.XLOOKUP(B11,'Base stats'!B:B,'Base stats'!G:G)&lt;0.5,0.2,0.3),MROUND(_xlfn.XLOOKUP(B11,'Base stats'!B:B,'Base stats'!G:G)/(365/60),0.2)),"Unknown"))</f>
        <v>0.2</v>
      </c>
      <c r="AU11" s="8">
        <f t="shared" si="1"/>
        <v>0.1</v>
      </c>
      <c r="AV11" s="8" t="str">
        <f>IFERROR(IFERROR(MROUND(_xlfn.XLOOKUP(B11,'Base stats'!B:B,'Base stats'!J:J),0.1),"Lay eggs"),"Cannot breed")</f>
        <v>Lay eggs</v>
      </c>
      <c r="AW11" s="2" t="str">
        <f t="shared" si="2"/>
        <v>true</v>
      </c>
      <c r="AX11" s="2" t="str">
        <f>IF(_xlfn.XLOOKUP(_xlfn.XLOOKUP(Animals!B11,'Base stats'!B:B,'Base stats'!E:E),Groups!A:A,Groups!AK:AK)=1,"true","false")</f>
        <v>false</v>
      </c>
      <c r="AY11" s="25" t="str">
        <f>IF(_xlfn.XLOOKUP(B11,'Base stats'!B:B,'Base stats'!Y:Y)="Liquor","Liquor, CarnivoreAnimalStrict",IF(AND(_xlfn.XLOOKUP(B11,'Base stats'!B:B,'Base stats'!Y:Y)="Carnivore",_xlfn.XLOOKUP(_xlfn.XLOOKUP(B11,'Base stats'!B:B,'Base stats'!E:E),Groups!A:A,Groups!AJ:AJ)="Photonozoa"),"CarnivoreAnimalStrict, OvivoreAnimal",IF(_xlfn.XLOOKUP(B11,'Base stats'!B:B,'Base stats'!Y:Y)="Carnivore","CarnivoreAnimal, OvivoreAnimal",IF(_xlfn.XLOOKUP(B11,'Base stats'!B:B,'Base stats'!Y:Y)="Dendrovore","VegetarianRoughAnimal, DendrovoreAnimal",IF(_xlfn.XLOOKUP(B11,'Base stats'!B:B,'Base stats'!Y:Y)="Herbivore","VegetarianRoughAnimal",IF(_xlfn.XLOOKUP(B11,'Base stats'!B:B,'Base stats'!Y:Y)="OmnivoreRough","OmnivoreRoughAnimal, OvivoreAnimal","OmnivoreAnimal, OvivoreAnimal"))))))</f>
        <v>OmnivoreRoughAnimal, OvivoreAnimal</v>
      </c>
      <c r="AZ11" s="2">
        <f>IF(_xlfn.XLOOKUP(_xlfn.XLOOKUP(B11,'Base stats'!B:B,'Base stats'!E:E),Groups!A:A,Groups!D:D)=1,MROUND((1-J11)*5+1,2)*IF(J11&lt;=0.4,2,1),"No")</f>
        <v>12</v>
      </c>
      <c r="BA11" s="2" t="str">
        <f>IF(AND(_xlfn.XLOOKUP(B11,'Base stats'!B:B,'Base stats'!AH:AH)="&lt;li&gt;Seal&lt;/li&gt;",G11="Odyssey"),"&lt;li&gt;AEXP_Seal&lt;/li&gt;",_xlfn.XLOOKUP(B11,'Base stats'!B:B,'Base stats'!AH:AH))</f>
        <v>No</v>
      </c>
      <c r="BB11" s="2" t="str">
        <f>_xlfn.XLOOKUP(B11,'Base stats'!B:B,'Base stats'!AG:AG)</f>
        <v>No</v>
      </c>
      <c r="BC11" s="23" t="str">
        <f>_xlfn.XLOOKUP(_xlfn.XLOOKUP(B11,'Base stats'!B:B,'Base stats'!E:E),Groups!A:A,Groups!AL:AL)</f>
        <v>Bird</v>
      </c>
      <c r="BD11" s="23">
        <f>MIN(1,MROUND(IF(AND(AO11&lt;0.5,_xlfn.XLOOKUP(B11,'Base stats'!B:B,'Base stats'!AA:AA)=0),0,IF(OR(_xlfn.XLOOKUP(Animals!B11,'Base stats'!B:B,'Base stats'!O:O)=2,_xlfn.XLOOKUP(_xlfn.XLOOKUP(B11,'Base stats'!B:B,'Base stats'!E:E),Groups!A:A,Groups!AN:AN)=0),0,_xlfn.XLOOKUP(_xlfn.XLOOKUP(B11,'Base stats'!B:B,'Base stats'!E:E),Groups!A:A,Groups!AN:AN)/IF(_xlfn.XLOOKUP(Animals!B11,'Base stats'!B:B,'Base stats'!O:O)=1,2,1)))+_xlfn.XLOOKUP(B11,'Base stats'!B:B,'Base stats'!AC:AC),0.005))</f>
        <v>0</v>
      </c>
      <c r="BE11" s="23">
        <f>MIN(1,MROUND(IF(AND(AO11&lt;0.5,_xlfn.XLOOKUP(B11,'Base stats'!B:B,'Base stats'!AA:AA)=0),0,IF(_xlfn.XLOOKUP(_xlfn.XLOOKUP(B11,'Base stats'!B:B,'Base stats'!E:E),Groups!A:A,Groups!AO:AO)=0,0,_xlfn.XLOOKUP(_xlfn.XLOOKUP(B11,'Base stats'!B:B,'Base stats'!E:E),Groups!A:A,Groups!AO:AO)/IF(_xlfn.XLOOKUP(Animals!B11,'Base stats'!B:B,'Base stats'!O:O)=2,3,1)))+_xlfn.XLOOKUP(B11,'Base stats'!B:B,'Base stats'!AD:AD),0.005))</f>
        <v>0</v>
      </c>
      <c r="BF11" s="2" t="str">
        <f>IF(J11&gt;0.3,"No",_xlfn.XLOOKUP(_xlfn.XLOOKUP(Animals!B11,'Base stats'!B:B,'Base stats'!E:E),Groups!A:A,Groups!AP:AP))</f>
        <v>No</v>
      </c>
      <c r="BG11" s="2" t="str">
        <f>IF(AND(J11&lt;=0.65,_xlfn.XLOOKUP(_xlfn.XLOOKUP(Animals!B11,'Base stats'!B:B,'Base stats'!E:E),Groups!A:A,Groups!AP:AP)&lt;&gt;"No",_xlfn.XLOOKUP(_xlfn.XLOOKUP(B11,'Base stats'!B:B,'Base stats'!E:E),Groups!A:A,Groups!D:D)=0),MROUND((80/3)*IF(_xlfn.XLOOKUP(B11,'Base stats'!B:B,'Base stats'!O:O)=2,0.2,AO11) + 24*(1-IF(BF11="No",0,BF11)) + 16/3, 12),"No")</f>
        <v>No</v>
      </c>
      <c r="BH11" s="2">
        <f>IF(AND(_xlfn.XLOOKUP(_xlfn.XLOOKUP(B11,'Base stats'!B:B,'Base stats'!E:E),Groups!A:A,Groups!AQ:AQ)=1,AO11&lt;=0.35),8,12)</f>
        <v>12</v>
      </c>
      <c r="BI11" s="2" t="str">
        <f>IF(_xlfn.XLOOKUP(_xlfn.XLOOKUP(B11,'Base stats'!B:B,'Base stats'!E:E),Groups!A:A,Groups!D:D)=0,_xlfn.XLOOKUP(_xlfn.XLOOKUP(B11,'Base stats'!B:B,'Base stats'!E:E),Groups!A:A,Groups!AR:AR),"None")</f>
        <v>None</v>
      </c>
      <c r="BJ11" s="2" t="str">
        <f>IF(AND(_xlfn.XLOOKUP(_xlfn.XLOOKUP(B11,'Base stats'!B:B,'Base stats'!E:E),Groups!A:A,Groups!AS:AS)=1,OR(_xlfn.XLOOKUP(B11,'Base stats'!B:B,'Base stats'!Y:Y)="Carnivore",_xlfn.XLOOKUP(B11,'Base stats'!B:B,'Base stats'!Y:Y)="Omnivore")),"true","false")</f>
        <v>false</v>
      </c>
      <c r="BK11" s="2" t="str">
        <f>IF(BJ11="true",MROUND(IF(AND(AO11&gt;0.5,OR(_xlfn.XLOOKUP(_xlfn.XLOOKUP(B11,'Base stats'!B:B,'Base stats'!E:E),Groups!A:A,Groups!AJ:AJ)="Photonozoa",_xlfn.XLOOKUP(_xlfn.XLOOKUP(B11,'Base stats'!B:B,'Base stats'!E:E),Groups!A:A,Groups!AJ:AJ)="Mammal")),Animals!AO11*1.75*IF(AW11="true",1.5,1),IF(AO11&lt;0.5,Animals!AO11*0.5,Animals!AO11)),IF(AO11&gt;2,0.5,IF(AO11&gt;0.5,0.25,0.1))),"No")</f>
        <v>No</v>
      </c>
      <c r="BL11" s="2">
        <f t="shared" si="3"/>
        <v>0</v>
      </c>
      <c r="BM11" s="25" t="str">
        <f>IF(_xlfn.XLOOKUP(B11,'Base stats'!B:B,'Base stats'!AN:AN)="Standard","No",MROUND((_xlfn.XLOOKUP(B11,'Base stats'!B:B,'Base stats'!AN:AN)/3.6)/I11,0.1))</f>
        <v>No</v>
      </c>
      <c r="BN11" s="25" t="str">
        <f t="shared" si="4"/>
        <v>false</v>
      </c>
      <c r="BO11" s="25" t="str">
        <f>IF(AND(OR(_xlfn.XLOOKUP(B11,'Base stats'!B:B,'Base stats'!Y:Y)="Carnivore",_xlfn.XLOOKUP(B11,'Base stats'!B:B,'Base stats'!Y:Y)="Omnivore",_xlfn.XLOOKUP(B11,'Base stats'!B:B,'Base stats'!Y:Y)="OmnivoreRough"),_xlfn.XLOOKUP(_xlfn.XLOOKUP(B11,'Base stats'!B:B,'Base stats'!E:E),Groups!A:A,Groups!AT:AT)=1),"true","false")</f>
        <v>false</v>
      </c>
      <c r="BP11" s="25" t="str" cm="1">
        <f t="array" ref="BP11">IF(
  _xlfn.TEXTJOIN(", ",TRUE,
    IF(AND(BJ11="true",AO11&gt;0.5,BI11&lt;&gt;"None"),"AttackTarget",""),
    IF(AND(_xlfn.XLOOKUP(_xlfn.XLOOKUP(B11,'Base stats'!B:B,'Base stats'!E:E),Groups!A:A,Groups!AJ:AJ="Mammal"),OR(_xlfn.XLOOKUP(B11,'Base stats'!B:B,'Base stats'!Y:Y)="Omnivore",_xlfn.XLOOKUP(B11,'Base stats'!B:B,'Base stats'!Y:Y)="OmnivoreRough")),"Forage",""),
    IF(BG11&lt;=36,"Comfort",""),
    IF(_xlfn.XLOOKUP(B11,'Base stats'!B:B,'Base stats'!AE:AE)&lt;&gt;"No",_xlfn.XLOOKUP(B11,'Base stats'!B:B,'Base stats'!AE:AE),"")
  ) = "",
  "No",
  _xlfn.TEXTJOIN(", ",TRUE,
    IF(AND(BJ11="true",AO11&gt;0.5,BI11&lt;&gt;"None"),"AttackTarget",""),
    IF(AND(_xlfn.XLOOKUP(_xlfn.XLOOKUP(B11,'Base stats'!B:B,'Base stats'!E:E),Groups!A:A,Groups!AJ:AJ="Mammal"),OR(_xlfn.XLOOKUP(B11,'Base stats'!B:B,'Base stats'!Y:Y)="Omnivore",_xlfn.XLOOKUP(B11,'Base stats'!B:B,'Base stats'!Y:Y)="OmnivoreRough")),"Forage",""),
    IF(BG11&lt;=36,"Comfort",""),
    IF(_xlfn.XLOOKUP(B11,'Base stats'!B:B,'Base stats'!AE:AE)&lt;&gt;"No",_xlfn.XLOOKUP(B11,'Base stats'!B:B,'Base stats'!AE:AE),"")
  )
)</f>
        <v>No</v>
      </c>
      <c r="BQ11" s="25" t="str">
        <f>IF(
   AND(
      'Base stats'!AN11="Standard",_xlfn.XLOOKUP(_xlfn.XLOOKUP(B11,'Base stats'!B:B,'Base stats'!E:E),Groups!A:A,Groups!AU:AU)=0,
      OR(
      BO11="True"
      )
   ),
   10,
   IF(
       OR(BM11&lt;&gt;"No",_xlfn.XLOOKUP(_xlfn.XLOOKUP(B11,'Base stats'!B:B,'Base stats'!E:E),Groups!A:A,Groups!AU:AU)=1),
      1,
      "No"
   )
)</f>
        <v>No</v>
      </c>
      <c r="BR11" s="9">
        <f>MROUND((1 + ((0.2*IF(OR(Q11="No",R11="No",R11=0),0,Q11/R11)
+IF(OR(V11="No",S11="No",T11="No"),0,S11/T11*(LEN(V11)-LEN(SUBSTITUTE(V11,",",""))+1))
+IF(OR(X11="No",Y11="No"),0,X11/Y11)
+IF(OR(AD11="No",AE11="No"),0,AD11/AE11)
+IF(OR(AL11="No",AI11="No",AJ11="No"),0,AI11/AJ11*(LEN(AL11)-LEN(SUBSTITUTE(AL11,",",""))+1))
)/(0.2*IF(OR(Q11="No",R11="No",R11=0),0,1)
+IF(OR(V11="No",S11="No",T11="No"),0,LEN(V11)-LEN(SUBSTITUTE(V11,",",""))+1)
+IF(OR(X11="No",Y11="No"),0,1)
+IF(OR(AD11="No",AE11="No"),0,1)
+IF(OR(AL11="No",AI11="No",AJ11="No"),0,LEN(AL11)-LEN(SUBSTITUTE(AL11,",",""))+1))*62%)* 2)*(1 + (AP11 / (IF(_xlfn.XLOOKUP(_xlfn.XLOOKUP(B11,'Base stats'!B:B,'Base stats'!E:E),Groups!A:A,Groups!AJ:AJ)="Photonozoa",0.3,1)) + _xlfn.XLOOKUP(B11,'Base stats'!B:B,'Base stats'!AV:AV) * 1.8) * 2) * 2.5 + 10 + I11 * 2,5)+IF(_xlfn.XLOOKUP(B11,'Base stats'!B:B,'Base stats'!AK:AK)=1,50,0)</f>
        <v>30</v>
      </c>
      <c r="BS11" s="8">
        <f t="shared" si="5"/>
        <v>0.30000000000000004</v>
      </c>
      <c r="BT11" s="8" t="str">
        <f>_xlfn.XLOOKUP(B11,'Base stats'!B:B,'Base stats'!AF:AF)</f>
        <v>3~10</v>
      </c>
      <c r="BU11" s="2" t="str">
        <f>IF(AND(J11&lt;=0.95,OR(_xlfn.XLOOKUP(B11,'Base stats'!B:B,'Base stats'!AK:AK)=1,_xlfn.XLOOKUP(B11,'Base stats'!B:B,'Base stats'!Y:Y)="Carnivore",_xlfn.XLOOKUP(B11,'Base stats'!B:B,'Base stats'!Y:Y)="Omnivore",BE11&gt;0.1)),"true","false")</f>
        <v>false</v>
      </c>
      <c r="BV11" s="2" t="str">
        <f>IF(_xlfn.XLOOKUP(B11,'Base stats'!B:B,'Base stats'!AI:AI)=1,"true","false")</f>
        <v>false</v>
      </c>
      <c r="BW11" s="25" t="str">
        <f>IF(E11="BaseInsect","AnimalInsect",
IF(J11&gt;0.95,"AnimalExotic",
_xlfn.TEXTJOIN(", ",TRUE,
IF(OR(_xlfn.XLOOKUP(B11,'Base stats'!B:B,'Base stats'!AM:AM)=1,AND(_xlfn.XLOOKUP(B11,'Base stats'!B:B,'Base stats'!O:O)=0,_xlfn.XLOOKUP(_xlfn.XLOOKUP(B11,'Base stats'!B:B,'Base stats'!E:E),Groups!A:A,Groups!B:B)&gt;0)),"AnimalUncommon","AnimalCommon"),
IF(AND(_xlfn.XLOOKUP(B11,'Base stats'!B:B,'Base stats'!O:O)=2,_xlfn.XLOOKUP(_xlfn.XLOOKUP(B11,'Base stats'!B:B,'Base stats'!E:E),Groups!A:A,Groups!D:D)=0),"AnimalPet",IF(AND(_xlfn.XLOOKUP(B11,'Base stats'!B:B,'Base stats'!O:O)&lt;&gt;0,_xlfn.XLOOKUP(_xlfn.XLOOKUP(B11,'Base stats'!B:B,'Base stats'!E:E),Groups!A:A,Groups!D:D)&lt;&gt;0),"AnimalFarm","")),
IF(OR(_xlfn.XLOOKUP(B11,'Base stats'!B:B,'Base stats'!AK:AK)=1,AND(BI11&lt;&gt;"None",BR11&gt;=60),ISNUMBER(SEARCH("Attack target",BP11))),"AnimalFighter","")
)))</f>
        <v>AnimalCommon, AnimalFarm</v>
      </c>
      <c r="BX11" s="25" t="str">
        <f>IF(G11="None",TRIM(
SUBSTITUTE(
IF(COUNTIF(Biomes!B$2:B$259,"="&amp;$C11)&gt;0,Biomes!B$1&amp;", ","")&amp;
IF(COUNTIF(Biomes!C$2:C$259,"="&amp;$C11)&gt;0,Biomes!C$1&amp;", ","")&amp;
IF(COUNTIF(Biomes!D$2:D$259,"="&amp;$C11)&gt;0,Biomes!D$1&amp;", ","")&amp;
IF(COUNTIF(Biomes!F$2:F$259,"="&amp;$C11)&gt;0,Biomes!F$1&amp;", ","")&amp;
IF(COUNTIF(Biomes!G$2:G$259,"="&amp;$C11)&gt;0,Biomes!G$1&amp;", ","")&amp;
IF(COUNTIF(Biomes!H$2:H$259,"="&amp;$C11)&gt;0,Biomes!H$1&amp;", ","")&amp;
IF(COUNTIF(Biomes!I$2:I$259,"="&amp;$C11)&gt;0,Biomes!I$1&amp;", ","")&amp;
IF(COUNTIF(Biomes!J$2:J$259,"="&amp;$C11)&gt;0,Biomes!J$1&amp;", ","")&amp;
IF(COUNTIF(Biomes!M$2:M$259,"="&amp;$C11)&gt;0,Biomes!M$1&amp;", ","")&amp;
IF(COUNTIF(Biomes!N$2:N$259,"="&amp;$C11)&gt;0,Biomes!N$1&amp;", ","")&amp;
IF(COUNTIF(Biomes!O$2:O$259,"="&amp;$C11)&gt;0,Biomes!O$1&amp;", ","")&amp;
IF(COUNTIF(Biomes!P$2:P$259,"="&amp;$C11)&gt;0,Biomes!P$1&amp;", ","")&amp;
IF(COUNTIF(Biomes!K$2:K$259,"="&amp;$C11)&gt;0,Biomes!K$1&amp;", ","")&amp;
IF(COUNTIF(Biomes!Q$3:Q$259,"="&amp;$C11)&gt;0,Biomes!Q$1&amp;", ","")&amp;
IF(COUNTIF(Biomes!L$2:L$259,"="&amp;$C11)&gt;0,Biomes!L$1&amp;", ","")&amp;
IF(COUNTIF(Biomes!E$2:E$259,"="&amp;$C11)&gt;0,Biomes!E$1&amp;", ","")&amp;IF(COUNTIF(Biomes!S$2:S$259,"="&amp;$C11)&gt;0,Biomes!S$1&amp;", ","")&amp;
IF(COUNTIF(Biomes!R$2:R$259,"="&amp;$C11)&gt;0,Biomes!R$1&amp;", ",""),", ","")
),_xlfn.XLOOKUP(B11,B:B,BX:BX))</f>
        <v/>
      </c>
      <c r="BY11" s="25" t="str">
        <f>IF(_xlfn.XLOOKUP(B11,'Base stats'!B:B,'Base stats'!AJ:AJ)=1,"true","false")</f>
        <v>false</v>
      </c>
      <c r="BZ11" s="25">
        <f>IF(_xlfn.XLOOKUP(B11,'Base stats'!B:B,'Base stats'!N:N)=1,"No",MAX(0.001,MIN(MROUND(IF(AND(BJ11="True",CC11="False"),POWER(10,3.47*LOG10(_xlfn.XLOOKUP(B11,'Base stats'!B:B,'Base stats'!C:C)*1000)^-0.96),POWER(10,4.15*LOG10(_xlfn.XLOOKUP(B11,'Base stats'!B:B,'Base stats'!C:C)*1000)^-0.73))*IF(_xlfn.XLOOKUP(B11,'Base stats'!B:B,'Base stats'!AK:AK)=1,0.5,1)*IF(_xlfn.XLOOKUP(B11,'Base stats'!B:B,'Base stats'!AM:AM)=1,0.1,1)/100,IF(_xlfn.XLOOKUP(B11,'Base stats'!B:B,'Base stats'!AM:AM)=1,0.001,0.025)),0.5)))</f>
        <v>0.5</v>
      </c>
      <c r="CA11" s="25" t="str">
        <f>IF(P11="Standard","No",MAX(0.001,MIN(MROUND(IF(AND(BJ11="True",CC11="False"),POWER(10,3.47*LOG10(_xlfn.XLOOKUP(B11,'Base stats'!B:B,'Base stats'!C:C)*1000)^-0.96),POWER(10,4.15*LOG10(_xlfn.XLOOKUP(B11,'Base stats'!B:B,'Base stats'!C:C)*1000)^-0.73))*IF(_xlfn.XLOOKUP(B11,'Base stats'!B:B,'Base stats'!AM:AM)=1,0.1,1)*_xlfn.XLOOKUP(B11,'Base stats'!B:B,'Base stats'!R:R)/100,IF(_xlfn.XLOOKUP(B11,'Base stats'!B:B,'Base stats'!AM:AM)=1,0.001,0.025)),0.5)))</f>
        <v>No</v>
      </c>
      <c r="CB11" s="25" t="str">
        <f>IF(_xlfn.XLOOKUP(_xlfn.XLOOKUP(B11,'Base stats'!B:B,'Base stats'!E:E),Groups!A:A,Groups!AJ:AJ)="Mammal","True","False")</f>
        <v>False</v>
      </c>
      <c r="CC11" s="25" t="str">
        <f>IF(OR(_xlfn.XLOOKUP(_xlfn.XLOOKUP(B11,'Base stats'!B:B,'Base stats'!E:E),Groups!A:A,Groups!AJ:AJ)="Reptile",_xlfn.XLOOKUP(_xlfn.XLOOKUP(B11,'Base stats'!B:B,'Base stats'!E:E),Groups!A:A,Groups!AJ:AJ)="Amphibian",_xlfn.XLOOKUP(_xlfn.XLOOKUP(B11,'Base stats'!B:B,'Base stats'!E:E),Groups!A:A,Groups!AJ:AJ)="Invertebrate"),"True","False")</f>
        <v>False</v>
      </c>
      <c r="CD11" s="25" t="str">
        <f t="shared" si="6"/>
        <v>False</v>
      </c>
      <c r="CE11" s="25" t="str">
        <f>IF(_xlfn.XLOOKUP(_xlfn.XLOOKUP(B11,'Base stats'!B:B,'Base stats'!E:E),Groups!A:A,Groups!AX:AX),"True","False")</f>
        <v>False</v>
      </c>
      <c r="CF11" s="25" t="str">
        <f>IF(_xlfn.XLOOKUP(_xlfn.XLOOKUP(B11,'Base stats'!B:B,'Base stats'!E:E),Groups!A:A,Groups!AY:AY),"True","False")</f>
        <v>False</v>
      </c>
      <c r="CG11" s="25" t="str">
        <f>IF(_xlfn.XLOOKUP(_xlfn.XLOOKUP(B11,'Base stats'!B:B,'Base stats'!E:E),Groups!A:A,Groups!AW:AW),"True","False")</f>
        <v>False</v>
      </c>
      <c r="CH11" s="25" t="str">
        <f>IF(
OR(
_xlfn.XLOOKUP(_xlfn.XLOOKUP(B11,'Base stats'!B:B,'Base stats'!E:E),Groups!A:A,Groups!AZ:AZ)=0,
AND(
_xlfn.XLOOKUP(B11,'Base stats'!B:B,'Base stats'!Y:Y)&lt;&gt;"Carnivore",
_xlfn.XLOOKUP(B11,'Base stats'!B:B,'Base stats'!Y:Y)&lt;&gt;"Omnivore",
_xlfn.XLOOKUP(B11,'Base stats'!B:B,'Base stats'!Y:Y)&lt;&gt;"OmnivoreRough"
)
),
"No",
IF(
_xlfn.XLOOKUP(_xlfn.XLOOKUP(B11,'Base stats'!B:B,'Base stats'!E:E),Groups!A:A,Groups!AZ:AZ)=1,
"Flesh",
IF(
_xlfn.XLOOKUP(_xlfn.XLOOKUP(B11,'Base stats'!B:B,'Base stats'!E:E),Groups!A:A,Groups!AZ:AZ)=2,
"Bone",
""
)
)
)</f>
        <v>No</v>
      </c>
      <c r="CI11" s="25" t="str">
        <f>IF(_xlfn.XLOOKUP(_xlfn.XLOOKUP(B11,'Base stats'!B:B,'Base stats'!E:E),Groups!A:A,Groups!BB:BB),"True","False")</f>
        <v>True</v>
      </c>
      <c r="CJ11" s="25" t="str">
        <f>IF(_xlfn.XLOOKUP(_xlfn.XLOOKUP(B11,'Base stats'!B:B,'Base stats'!E:E),Groups!A:A,Groups!BA:BA),"True","False")</f>
        <v>False</v>
      </c>
      <c r="CO11" s="16"/>
    </row>
    <row r="12" spans="1:93" ht="16.5" thickTop="1" thickBot="1" x14ac:dyDescent="0.3">
      <c r="A12" s="26" t="str">
        <f>_xlfn.XLOOKUP(B12,'Base stats'!B:B,'Base stats'!A:A)</f>
        <v>Dromedary</v>
      </c>
      <c r="B12" s="6" t="s">
        <v>89</v>
      </c>
      <c r="C12" s="28" t="s">
        <v>683</v>
      </c>
      <c r="D12" s="28" t="s">
        <v>45</v>
      </c>
      <c r="E12" s="28" t="s">
        <v>673</v>
      </c>
      <c r="F12" s="28" t="s">
        <v>673</v>
      </c>
      <c r="G12" s="28" t="s">
        <v>673</v>
      </c>
      <c r="H12" s="2">
        <f>MROUND((
  (IF(AND(_xlfn.XLOOKUP(B12,'Base stats'!B:B,'Base stats'!AL:AL)=0,BI12="None",_xlfn.XLOOKUP(_xlfn.XLOOKUP(B12,'Base stats'!B:B,'Base stats'!E:E),Groups!A:A,Groups!B:B)=0), (18 + BR12 * 2.7) * 0.5,
    IF(AND(_xlfn.XLOOKUP(B12,'Base stats'!B:B,'Base stats'!AL:AL)=0,OR(AO12&lt;0.55,AND(BI12="Intermediate",_xlfn.XLOOKUP(_xlfn.XLOOKUP(B12,'Base stats'!B:B,'Base stats'!E:E),Groups!A:A,Groups!B:B)&lt;2))), (18 + BR12 * 2.7),
      IF(OR(BI12="Advanced",_xlfn.XLOOKUP(B12,'Base stats'!B:B,'Base stats'!AL:AL)=1,_xlfn.XLOOKUP(_xlfn.XLOOKUP(B12,'Base stats'!B:B,'Base stats'!E:E),Groups!A:A,Groups!B:B)=2), (18 + BR12 * 2.7) + 250, (18 + BR12 * 2.7))
    )
  ))
  + AO12 * 80
  + IF(COUNTIF(EggMilk!K$2:K$998, A12) &gt; 0, 125, 0)
  + IF(COUNTIF(EggMilk!P$2:P$998, A12) &gt; 0, 90, 0)
  + IF(COUNTIF(EggMilk!A$2:A$998, A12) &gt; 0, 90, 0)
)
* (0.8 + 0.4 * J12)
* 0.75,25)</f>
        <v>475</v>
      </c>
      <c r="I12" s="2">
        <f>MROUND(ROUNDDOWN(_xlfn.XLOOKUP(B12,'Base stats'!B:B,'Base stats'!L:L)/3.6/(23.3/11),1),0.5)</f>
        <v>5</v>
      </c>
      <c r="J12" s="2">
        <f>IF(OR(_xlfn.XLOOKUP(B12,'Base stats'!B:B,'Base stats'!AB:AB)=1,_xlfn.XLOOKUP(_xlfn.XLOOKUP(B12,'Base stats'!B:B,'Base stats'!E:E),Groups!A:A,Groups!C:C)="Untamable"),1,IF(_xlfn.XLOOKUP(B12,'Base stats'!B:B,'Base stats'!AL:AL)=1,0.99,MIN(MROUND((1-0.6282*EXP(-0.459*AO12))*_xlfn.XLOOKUP(_xlfn.XLOOKUP(B12,'Base stats'!B:B,'Base stats'!E:E),Groups!A:A,Groups!C:C)*IF(_xlfn.XLOOKUP(B12,'Base stats'!B:B,'Base stats'!O:O)=1,0.5,IF(_xlfn.XLOOKUP(B12,'Base stats'!B:B,'Base stats'!O:O)=2,0,1)),0.05),IF(AO12&gt;3.5,0.985,0.95))))</f>
        <v>0.30000000000000004</v>
      </c>
      <c r="K12" s="2">
        <f>ROUNDUP(AO12*_xlfn.XLOOKUP(_xlfn.XLOOKUP(B12,'Base stats'!B:B,'Base stats'!E:E),Groups!A:A,Groups!E:E),0)</f>
        <v>14</v>
      </c>
      <c r="L12" s="2">
        <f>IF(OR(_xlfn.XLOOKUP(_xlfn.XLOOKUP(B12,'Base stats'!B:B,'Base stats'!E:E),Groups!A:A,Groups!F:F)=2,ISNUMBER(SEARCH("SeaIce",BX12)),ISNUMBER(SEARCH("IceSheet",BX12))),-50,IF(OR(ISNUMBER(SEARCH("GlacialPlain",BX12)),ISNUMBER(SEARCH("Tundra",BX12))),-40,IF(OR(ISNUMBER(SEARCH("Alpine",BX12)),ISNUMBER(SEARCH("BorealForest",BX12)),ISNUMBER(SEARCH("ColdBog",BX12))),-30,IF(OR(ISNUMBER(SEARCH("TemperateForest",BX12)),ISNUMBER(SEARCH("TemperateSwamp",BX12))),-20,IF(_xlfn.XLOOKUP(_xlfn.XLOOKUP(B12,'Base stats'!B:B,'Base stats'!E:E),Groups!A:A,Groups!F:F)=1,-15,IF(OR(ISNUMBER(SEARCH("Desert",BX12)),ISNUMBER(SEARCH("ExtremeDesert",BX12))),-10,IF(OR(ISNUMBER(SEARCH("Grasslands",BX12)),ISNUMBER(SEARCH("TropicalRainforest",BX12)),ISNUMBER(SEARCH("TropicalSwamp",BX12))),10,0)))))))-IF(CC12="False",MIN(IFERROR(MAX(MROUND(LOG10(_xlfn.XLOOKUP(B12,'Base stats'!B:B,'Base stats'!C:C)^(2/3))*10,5),5),5),30))-_xlfn.XLOOKUP(B12,'Base stats'!B:B,'Base stats'!P:P)+IF(CC12="True",5,0)</f>
        <v>-35</v>
      </c>
      <c r="M12" s="2">
        <f>IF(OR(_xlfn.XLOOKUP(_xlfn.XLOOKUP(B12,'Base stats'!B:B,'Base stats'!E:E),Groups!A:A,Groups!G:G)=2,ISNUMBER(SEARCH("Desert",BX12)),ISNUMBER(SEARCH("ExtremeDesert",BX12)),ISNUMBER(SEARCH("LavaField",BX12))),50,IF(ISNUMBER(SEARCH("Grasslands",BX12)),45,IF(OR(_xlfn.XLOOKUP(_xlfn.XLOOKUP(B12,'Base stats'!B:B,'Base stats'!E:E),Groups!A:A,Groups!G:G)=1,ISNUMBER(SEARCH("TropicalRainforest",BX12)),ISNUMBER(SEARCH("TropicalSwamp",BX12))),40,IF(OR(ISNUMBER(SEARCH("TemperateForest",BX12)),ISNUMBER(SEARCH("TemperateSwamp",BX12))),35,IF(OR(ISNUMBER(SEARCH("Alpine",BX12)),ISNUMBER(SEARCH("BorealForest",BX12)),ISNUMBER(SEARCH("ColdBog",BX12))),30,IF(ISNUMBER(OR(ISNUMBER(SEARCH("GlacialPlain",BX12)),SEARCH("Tundra",BX12))),25,IF(OR(ISNUMBER(SEARCH("SeaIce",BX12)),ISNUMBER(SEARCH("IceSheet",BX12)),ISNUMBER(SEARCH("TropicalSwamp",BX12))),10,35)))))))+_xlfn.XLOOKUP(B12,'Base stats'!B:B,'Base stats'!Q:Q)</f>
        <v>50</v>
      </c>
      <c r="N12" s="8" t="str">
        <f>IF(
_xlfn.XLOOKUP(
_xlfn.XLOOKUP(B12,'Base stats'!B:B,'Base stats'!E:E),
Groups!A:A,
Groups!L:L
)=1,
MIN(
MROUND(
IF(
_xlfn.XLOOKUP(B12,'Animals CE'!B:B,'Animals CE'!Z:Z)&lt;=1.5,
_xlfn.XLOOKUP(B12,'Animals CE'!B:B,'Animals CE'!Z:Z)/2+0.05,
0.8+
(_xlfn.XLOOKUP(B12,'Animals CE'!B:B,'Animals CE'!Z:Z)-1.5)
*0.02
),
0.05
),
200%
),
"No"
)</f>
        <v>No</v>
      </c>
      <c r="O12" s="8" t="str">
        <f>IF(
_xlfn.XLOOKUP(
_xlfn.XLOOKUP(B12,'Base stats'!B:B,'Base stats'!E:E),
Groups!A:A,
Groups!L:L
)=1,
MIN(
MROUND(
IF(
_xlfn.XLOOKUP(B12,'Animals CE'!B:B,'Animals CE'!AA:AA)&lt;=1.5,
_xlfn.XLOOKUP(B12,'Animals CE'!B:B,'Animals CE'!AA:AA)/2+0.05,
0.8+
(_xlfn.XLOOKUP(B12,'Animals CE'!B:B,'Animals CE'!AA:AA)-1.5)
*0.02
),
0.05
),
200%
),
"No"
)</f>
        <v>No</v>
      </c>
      <c r="P12" s="2" t="str">
        <f>_xlfn.XLOOKUP(B12,'Base stats'!B:B,'Base stats'!R:R)</f>
        <v>Standard</v>
      </c>
      <c r="Q12" s="13">
        <f>MROUND((LOG10(_xlfn.XLOOKUP(B12,'Base stats'!B:B,'Base stats'!AR:AR))*(AO12^0.5)+(_xlfn.XLOOKUP(B12,'Base stats'!B:B,'Base stats'!AR:AR)/1000)^(2/3)+_xlfn.XLOOKUP(B12,'Base stats'!B:B,'Base stats'!BA:BA)/2)+0.5,0.5)</f>
        <v>15</v>
      </c>
      <c r="R12" s="7">
        <f>IF(Q12="No","No",MAX(1,MROUND(_xlfn.XLOOKUP(B12,'Base stats'!B:B,'Base stats'!C:C)^0.165,0.05)))</f>
        <v>2.7</v>
      </c>
      <c r="S12" s="13">
        <f>IF(_xlfn.XLOOKUP(_xlfn.XLOOKUP(B12,'Base stats'!B:B,'Base stats'!E:E),Groups!A:A,Groups!P:P)=0,"No",MROUND((LOG10(_xlfn.XLOOKUP(B12,'Base stats'!B:B,'Base stats'!AS:AS))*(AO12^0.5)+(_xlfn.XLOOKUP(B12,'Base stats'!B:B,'Base stats'!AS:AS)/1000)^(2/3)+_xlfn.XLOOKUP(B12,'Base stats'!B:B,'Base stats'!BA:BA))+_xlfn.XLOOKUP(B12,'Base stats'!B:B,'Base stats'!AY:AY)+0.5,0.5))</f>
        <v>18.5</v>
      </c>
      <c r="T12" s="7">
        <f>IF(S12="No","No",MAX(_xlfn.XLOOKUP(_xlfn.XLOOKUP(B12,'Base stats'!B:B,'Base stats'!E:E),Groups!A:A,Groups!Q:Q),MROUND(_xlfn.XLOOKUP(_xlfn.XLOOKUP(B12,'Base stats'!B:B,'Base stats'!E:E),Groups!A:A,Groups!Q:Q)*_xlfn.XLOOKUP(B12,'Base stats'!B:B,'Base stats'!C:C)^0.165,0.05)))</f>
        <v>2.6</v>
      </c>
      <c r="U12" s="7" t="str">
        <f>IF(S12="No","No",_xlfn.XLOOKUP(_xlfn.XLOOKUP(B12,'Base stats'!B:B,'Base stats'!E:E),Groups!A:A,Groups!R:R))</f>
        <v>FrontLeftLeg, FrontRightLeg</v>
      </c>
      <c r="V12" s="7" t="str">
        <f>IF(S12="No","No",_xlfn.XLOOKUP(_xlfn.XLOOKUP(B12,'Base stats'!B:B,'Base stats'!E:E),Groups!A:A,Groups!S:S))</f>
        <v>left hoof, right hoof</v>
      </c>
      <c r="W12" s="7" t="str">
        <f>IF(S12="No","No",_xlfn.XLOOKUP(_xlfn.XLOOKUP(B12,'Base stats'!B:B,'Base stats'!E:E),Groups!A:A,Groups!T:T))</f>
        <v>Blunt</v>
      </c>
      <c r="X12" s="13" t="str">
        <f>IF(_xlfn.XLOOKUP(B12,'Base stats'!B:B,'Base stats'!W:W)="No","No",MROUND((LOG10(_xlfn.XLOOKUP(B12,'Base stats'!B:B,'Base stats'!AU:AU))*(AO12^0.5)+(_xlfn.XLOOKUP(B12,'Base stats'!B:B,'Base stats'!AU:AU)/1000)^(2/3)+_xlfn.XLOOKUP(B12,'Base stats'!B:B,'Base stats'!AZ:AZ))+0.5+IF(_xlfn.XLOOKUP(_xlfn.XLOOKUP(B12,'Base stats'!B:B,'Base stats'!E:E),Groups!A:A,Groups!U:U)&lt;&gt;3,_xlfn.XLOOKUP(B12,'Base stats'!B:B,'Base stats'!BA:BA),0),0.5))</f>
        <v>No</v>
      </c>
      <c r="Y12" s="7" t="str">
        <f>IF(X12="No","No",MAX(_xlfn.XLOOKUP(_xlfn.XLOOKUP(B12,'Base stats'!B:B,'Base stats'!E:E),Groups!A:A,Groups!V:V),MROUND(_xlfn.XLOOKUP(_xlfn.XLOOKUP(B12,'Base stats'!B:B,'Base stats'!E:E),Groups!A:A,Groups!V:V)*_xlfn.XLOOKUP(B12,'Base stats'!B:B,'Base stats'!C:C)^0.165,0.05)))</f>
        <v>No</v>
      </c>
      <c r="Z12" s="7" t="str">
        <f>IF(X12="No","No",_xlfn.XLOOKUP(_xlfn.XLOOKUP(B12,'Base stats'!B:B,'Base stats'!E:E),Groups!A:A,Groups!W:W))</f>
        <v>No</v>
      </c>
      <c r="AA12" s="7" t="str">
        <f>IF(X12="No","No",_xlfn.XLOOKUP(_xlfn.XLOOKUP(B12,'Base stats'!B:B,'Base stats'!E:E),Groups!A:A,Groups!X:X))</f>
        <v>No</v>
      </c>
      <c r="AB12" s="7" t="str">
        <f>IF(X12="No","No",_xlfn.XLOOKUP(_xlfn.XLOOKUP(B12,'Base stats'!B:B,'Base stats'!E:E),Groups!A:A,Groups!Y:Y))</f>
        <v>No</v>
      </c>
      <c r="AC12" s="7" t="str">
        <f>_xlfn.XLOOKUP(Animals!B12,'Base stats'!B:B,'Base stats'!X:X)</f>
        <v>False</v>
      </c>
      <c r="AD12" s="13">
        <f>IF(_xlfn.XLOOKUP(B12,'Base stats'!B:B,'Base stats'!AT:AT)="No","No",MROUND((LOG10(_xlfn.XLOOKUP(B12,'Base stats'!B:B,'Base stats'!AT:AT))*(AO12^0.75)+(_xlfn.XLOOKUP(B12,'Base stats'!B:B,'Base stats'!AT:AT)/1000)^(2/3)+_xlfn.XLOOKUP(B12,'Base stats'!B:B,'Base stats'!AX:AX)+_xlfn.XLOOKUP(B12,'Base stats'!B:B,'Base stats'!BA:BA))+0.5,0.5))</f>
        <v>20.5</v>
      </c>
      <c r="AE12" s="7">
        <f>IF(AD12="No","No",MAX(_xlfn.XLOOKUP(_xlfn.XLOOKUP(B12,'Base stats'!B:B,'Base stats'!E:E),Groups!A:A,Groups!Z:Z),MROUND(_xlfn.XLOOKUP(_xlfn.XLOOKUP(B12,'Base stats'!B:B,'Base stats'!E:E),Groups!A:A,Groups!Z:Z)*_xlfn.XLOOKUP(B12,'Base stats'!B:B,'Base stats'!C:C)^0.165,0.05)))</f>
        <v>2.7</v>
      </c>
      <c r="AF12" s="7" t="str">
        <f>IF(AD12="No","No",_xlfn.XLOOKUP(_xlfn.XLOOKUP(B12,'Base stats'!B:B,'Base stats'!E:E),Groups!A:A,Groups!AA:AA))</f>
        <v>Teeth</v>
      </c>
      <c r="AG12" s="7" t="str">
        <f>IF(AD12="No","No",_xlfn.XLOOKUP(_xlfn.XLOOKUP(B12,'Base stats'!B:B,'Base stats'!E:E),Groups!A:A,Groups!AB:AB))</f>
        <v>teeth</v>
      </c>
      <c r="AH12" s="7" t="str">
        <f>IF(AD12="No","No",_xlfn.XLOOKUP(_xlfn.XLOOKUP(B12,'Base stats'!B:B,'Base stats'!E:E),Groups!A:A,Groups!AC:AC))</f>
        <v>Bite</v>
      </c>
      <c r="AI12" s="13" t="str">
        <f>IF(_xlfn.XLOOKUP(_xlfn.XLOOKUP(B12,'Base stats'!B:B,'Base stats'!E:E),Groups!A:A,Groups!AD:AD)=0,"No",MROUND((LOG10(_xlfn.XLOOKUP(B12,'Base stats'!B:B,'Base stats'!AS:AS))*(AO12^0.75)+(_xlfn.XLOOKUP(B12,'Base stats'!B:B,'Base stats'!AS:AS)/1000)^(2/3)+_xlfn.XLOOKUP(B12,'Base stats'!B:B,'Base stats'!AY:AY)+_xlfn.XLOOKUP(B12,'Base stats'!B:B,'Base stats'!BA:BA))+0.5,0.5))</f>
        <v>No</v>
      </c>
      <c r="AJ12" s="7" t="str">
        <f>IF(AI12="No","No",MAX(_xlfn.XLOOKUP(_xlfn.XLOOKUP(B12,'Base stats'!B:B,'Base stats'!E:E),Groups!A:A,Groups!AE:AE),MROUND(_xlfn.XLOOKUP(_xlfn.XLOOKUP(B12,'Base stats'!B:B,'Base stats'!E:E),Groups!A:A,Groups!AE:AE)*IF(_xlfn.XLOOKUP(_xlfn.XLOOKUP(B12,'Base stats'!B:B,'Base stats'!E:E),Groups!A:A,Groups!AJ:AJ)="Photonozoa",0.6,1)*_xlfn.XLOOKUP(B12,'Base stats'!B:B,'Base stats'!C:C)^0.165,0.05)))</f>
        <v>No</v>
      </c>
      <c r="AK12" s="7" t="str">
        <f>IF(AI12="No","No",_xlfn.XLOOKUP(_xlfn.XLOOKUP(B12,'Base stats'!B:B,'Base stats'!E:E),Groups!A:A,Groups!AF:AF))</f>
        <v>No</v>
      </c>
      <c r="AL12" s="7" t="str">
        <f>IF(AI12="No","No",_xlfn.XLOOKUP(_xlfn.XLOOKUP(B12,'Base stats'!B:B,'Base stats'!E:E),Groups!A:A,Groups!AG:AG))</f>
        <v>No</v>
      </c>
      <c r="AM12" s="7" t="str">
        <f>IF(AI12="No","No",_xlfn.XLOOKUP(_xlfn.XLOOKUP(B12,'Base stats'!B:B,'Base stats'!E:E),Groups!A:A,Groups!AH:AH))</f>
        <v>No</v>
      </c>
      <c r="AN12" s="2" t="str">
        <f t="shared" si="0"/>
        <v>No</v>
      </c>
      <c r="AO12" s="2">
        <f>MROUND(IF(AND(_xlfn.XLOOKUP(B12,'Base stats'!B:B,'Base stats'!C:C)&gt;=0.5,_xlfn.XLOOKUP(B12,'Base stats'!B:B,'Base stats'!C:C)&lt;=0.8),
IF(_xlfn.XLOOKUP(B12,'Base stats'!B:B,'Base stats'!C:C)&lt;0.1,0.05,IF(_xlfn.XLOOKUP(B12,'Base stats'!B:B,'Base stats'!C:C)&lt;=70,(_xlfn.XLOOKUP(B12,'Base stats'!B:B,'Base stats'!C:C)/70)^0.426489913056526,IF(_xlfn.XLOOKUP(B12,'Base stats'!B:B,'Base stats'!C:C)&lt;=400,(_xlfn.XLOOKUP(B12,'Base stats'!B:B,'Base stats'!C:C)/70)^0.572811455315093,IF(_xlfn.XLOOKUP(B12,'Base stats'!B:B,'Base stats'!C:C)&lt;=2000,2.71391647193063*(_xlfn.XLOOKUP(B12,'Base stats'!B:B,'Base stats'!C:C)/400)^0.252459582904293,3.74314280240376*(_xlfn.XLOOKUP(B12,'Base stats'!B:B,'Base stats'!C:C)/2000)^0.357012633876913)))),
IF(_xlfn.XLOOKUP(B12,'Base stats'!B:B,'Base stats'!C:C)&lt;0.1,0.05,IF(_xlfn.XLOOKUP(B12,'Base stats'!B:B,'Base stats'!C:C)&lt;0.4,0.1,IF(_xlfn.XLOOKUP(B12,'Base stats'!B:B,'Base stats'!C:C)&lt;=70,(_xlfn.XLOOKUP(B12,'Base stats'!B:B,'Base stats'!C:C)/70)^0.445823913056526,IF(_xlfn.XLOOKUP(B12,'Base stats'!B:B,'Base stats'!C:C)&lt;=400,(_xlfn.XLOOKUP(B12,'Base stats'!B:B,'Base stats'!C:C)/70)^0.572811455315093,IF(_xlfn.XLOOKUP(B12,'Base stats'!B:B,'Base stats'!C:C)&lt;=2000,2.71391647193063*(_xlfn.XLOOKUP(B12,'Base stats'!B:B,'Base stats'!C:C)/400)^0.252459582904293,3.74314280240376*(_xlfn.XLOOKUP(B12,'Base stats'!B:B,'Base stats'!C:C)/2000)^0.357012633876913)))))),
IF(_xlfn.XLOOKUP(B12,'Base stats'!B:B,'Base stats'!C:C)&lt;0.1,0.05,IF(_xlfn.XLOOKUP(B12,'Base stats'!B:B,'Base stats'!C:C)&lt;=100,0.05,IF(_xlfn.XLOOKUP(B12,'Base stats'!B:B,'Base stats'!C:C)&lt;=250,0.1,IF(_xlfn.XLOOKUP(B12,'Base stats'!B:B,'Base stats'!C:C)&lt;=4000,0.25,0.5)))))</f>
        <v>2.75</v>
      </c>
      <c r="AP12" s="8">
        <f>MROUND(AO12*_xlfn.XLOOKUP(_xlfn.XLOOKUP(B12,'Base stats'!B:B,'Base stats'!E:E),Groups!A:A,Groups!AI:AI)*_xlfn.XLOOKUP(B12,'Base stats'!B:B,'Base stats'!Z:Z),0.05)</f>
        <v>2.75</v>
      </c>
      <c r="AQ12" s="8">
        <f>MAX(0.01,MROUND(IF(CC12="True",0.196*(AO12*100*1000)^0.889,IF(_xlfn.XLOOKUP(_xlfn.XLOOKUP(B12,'Base stats'!B:B,'Base stats'!E:E),Groups!A:A,Groups!AJ:AJ)="Bird",10.5*(AO12*100*1000)^0.681,4.82*(AO12*100*1000)^0.734))/(4.82*(1*100*1000)^0.734)/IF(AO12&lt;3.5,2,IF(AO12=3.5,1.5,1.25))*(1+0.132282374779864/(AO12^0.994035016789033+0.00905238001496948)),0.05))</f>
        <v>1.1000000000000001</v>
      </c>
      <c r="AR12" s="9">
        <f>IFERROR(MROUND(_xlfn.XLOOKUP(B12,'Base stats'!B:B,'Base stats'!H:H)/IF(_xlfn.XLOOKUP(B12,'Base stats'!B:B,'Base stats'!I:I)&lt;&gt;1,(122.5/70),1.2),IF(_xlfn.XLOOKUP(B12,'Base stats'!B:B,'Base stats'!H:H)&gt;=30,5,IF(_xlfn.XLOOKUP(B12,'Base stats'!B:B,'Base stats'!H:H)&gt;=15,3,IF(_xlfn.XLOOKUP(B12,'Base stats'!B:B,'Base stats'!H:H)&gt;=10,2,1)))),"Immortal")</f>
        <v>15</v>
      </c>
      <c r="AS12" s="35">
        <f>IFERROR(IF(OR(_xlfn.XLOOKUP(B12,'Base stats'!B:B,'Base stats'!F:F)="Atypical reproduction",_xlfn.XLOOKUP(B12,'Base stats'!B:B,'Base stats'!F:F)="Lay eggs"),"Lay eggs",MIN(20,MAX(5.5,ROUND(((_xlfn.XLOOKUP(B12,'Base stats'!B:B,'Base stats'!F:F)-25)*(14.5/615) + 5.5)*2,0)/2))),"Unknown")</f>
        <v>14</v>
      </c>
      <c r="AT12" s="8">
        <f>IF(_xlfn.XLOOKUP(B12,'Base stats'!B:B,'Base stats'!G:G)="Atypical reproduction","No",IFERROR(MAX(IF(_xlfn.XLOOKUP(B12,'Base stats'!B:B,'Base stats'!G:G)&lt;0.5,0.2,0.3),MROUND(_xlfn.XLOOKUP(B12,'Base stats'!B:B,'Base stats'!G:G)/(365/60),0.2)),"Unknown"))</f>
        <v>0.4</v>
      </c>
      <c r="AU12" s="8">
        <f t="shared" si="1"/>
        <v>0.2</v>
      </c>
      <c r="AV12" s="8">
        <f>IFERROR(IFERROR(MROUND(_xlfn.XLOOKUP(B12,'Base stats'!B:B,'Base stats'!J:J),0.1),"Lay eggs"),"Cannot breed")</f>
        <v>1</v>
      </c>
      <c r="AW12" s="2" t="str">
        <f t="shared" si="2"/>
        <v>true</v>
      </c>
      <c r="AX12" s="2" t="str">
        <f>IF(_xlfn.XLOOKUP(_xlfn.XLOOKUP(Animals!B12,'Base stats'!B:B,'Base stats'!E:E),Groups!A:A,Groups!AK:AK)=1,"true","false")</f>
        <v>true</v>
      </c>
      <c r="AY12" s="25" t="str">
        <f>IF(_xlfn.XLOOKUP(B12,'Base stats'!B:B,'Base stats'!Y:Y)="Liquor","Liquor, CarnivoreAnimalStrict",IF(AND(_xlfn.XLOOKUP(B12,'Base stats'!B:B,'Base stats'!Y:Y)="Carnivore",_xlfn.XLOOKUP(_xlfn.XLOOKUP(B12,'Base stats'!B:B,'Base stats'!E:E),Groups!A:A,Groups!AJ:AJ)="Photonozoa"),"CarnivoreAnimalStrict, OvivoreAnimal",IF(_xlfn.XLOOKUP(B12,'Base stats'!B:B,'Base stats'!Y:Y)="Carnivore","CarnivoreAnimal, OvivoreAnimal",IF(_xlfn.XLOOKUP(B12,'Base stats'!B:B,'Base stats'!Y:Y)="Dendrovore","VegetarianRoughAnimal, DendrovoreAnimal",IF(_xlfn.XLOOKUP(B12,'Base stats'!B:B,'Base stats'!Y:Y)="Herbivore","VegetarianRoughAnimal",IF(_xlfn.XLOOKUP(B12,'Base stats'!B:B,'Base stats'!Y:Y)="OmnivoreRough","OmnivoreRoughAnimal, OvivoreAnimal","OmnivoreAnimal, OvivoreAnimal"))))))</f>
        <v>VegetarianRoughAnimal</v>
      </c>
      <c r="AZ12" s="2">
        <f>IF(_xlfn.XLOOKUP(_xlfn.XLOOKUP(B12,'Base stats'!B:B,'Base stats'!E:E),Groups!A:A,Groups!D:D)=1,MROUND((1-J12)*5+1,2)*IF(J12&lt;=0.4,2,1),"No")</f>
        <v>8</v>
      </c>
      <c r="BA12" s="2" t="str">
        <f>IF(AND(_xlfn.XLOOKUP(B12,'Base stats'!B:B,'Base stats'!AH:AH)="&lt;li&gt;Seal&lt;/li&gt;",G12="Odyssey"),"&lt;li&gt;AEXP_Seal&lt;/li&gt;",_xlfn.XLOOKUP(B12,'Base stats'!B:B,'Base stats'!AH:AH))</f>
        <v>No</v>
      </c>
      <c r="BB12" s="2" t="str">
        <f>_xlfn.XLOOKUP(B12,'Base stats'!B:B,'Base stats'!AG:AG)</f>
        <v>Leather_Camel</v>
      </c>
      <c r="BC12" s="23" t="str">
        <f>_xlfn.XLOOKUP(_xlfn.XLOOKUP(B12,'Base stats'!B:B,'Base stats'!E:E),Groups!A:A,Groups!AL:AL)</f>
        <v>QuadrupedAnimalWithHoovesAndHump</v>
      </c>
      <c r="BD12" s="23">
        <f>MIN(1,MROUND(IF(AND(AO12&lt;0.5,_xlfn.XLOOKUP(B12,'Base stats'!B:B,'Base stats'!AA:AA)=0),0,IF(OR(_xlfn.XLOOKUP(Animals!B12,'Base stats'!B:B,'Base stats'!O:O)=2,_xlfn.XLOOKUP(_xlfn.XLOOKUP(B12,'Base stats'!B:B,'Base stats'!E:E),Groups!A:A,Groups!AN:AN)=0),0,_xlfn.XLOOKUP(_xlfn.XLOOKUP(B12,'Base stats'!B:B,'Base stats'!E:E),Groups!A:A,Groups!AN:AN)/IF(_xlfn.XLOOKUP(Animals!B12,'Base stats'!B:B,'Base stats'!O:O)=1,2,1)))+_xlfn.XLOOKUP(B12,'Base stats'!B:B,'Base stats'!AC:AC),0.005))</f>
        <v>0</v>
      </c>
      <c r="BE12" s="23">
        <f>MIN(1,MROUND(IF(AND(AO12&lt;0.5,_xlfn.XLOOKUP(B12,'Base stats'!B:B,'Base stats'!AA:AA)=0),0,IF(_xlfn.XLOOKUP(_xlfn.XLOOKUP(B12,'Base stats'!B:B,'Base stats'!E:E),Groups!A:A,Groups!AO:AO)=0,0,_xlfn.XLOOKUP(_xlfn.XLOOKUP(B12,'Base stats'!B:B,'Base stats'!E:E),Groups!A:A,Groups!AO:AO)/IF(_xlfn.XLOOKUP(Animals!B12,'Base stats'!B:B,'Base stats'!O:O)=2,3,1)))+_xlfn.XLOOKUP(B12,'Base stats'!B:B,'Base stats'!AD:AD),0.005))</f>
        <v>0</v>
      </c>
      <c r="BF12" s="2" t="str">
        <f>IF(J12&gt;0.3,"No",_xlfn.XLOOKUP(_xlfn.XLOOKUP(Animals!B12,'Base stats'!B:B,'Base stats'!E:E),Groups!A:A,Groups!AP:AP))</f>
        <v>No</v>
      </c>
      <c r="BG12" s="2" t="str">
        <f>IF(AND(J12&lt;=0.65,_xlfn.XLOOKUP(_xlfn.XLOOKUP(Animals!B12,'Base stats'!B:B,'Base stats'!E:E),Groups!A:A,Groups!AP:AP)&lt;&gt;"No",_xlfn.XLOOKUP(_xlfn.XLOOKUP(B12,'Base stats'!B:B,'Base stats'!E:E),Groups!A:A,Groups!D:D)=0),MROUND((80/3)*IF(_xlfn.XLOOKUP(B12,'Base stats'!B:B,'Base stats'!O:O)=2,0.2,AO12) + 24*(1-IF(BF12="No",0,BF12)) + 16/3, 12),"No")</f>
        <v>No</v>
      </c>
      <c r="BH12" s="2">
        <f>IF(AND(_xlfn.XLOOKUP(_xlfn.XLOOKUP(B12,'Base stats'!B:B,'Base stats'!E:E),Groups!A:A,Groups!AQ:AQ)=1,AO12&lt;=0.35),8,12)</f>
        <v>12</v>
      </c>
      <c r="BI12" s="2" t="str">
        <f>IF(_xlfn.XLOOKUP(_xlfn.XLOOKUP(B12,'Base stats'!B:B,'Base stats'!E:E),Groups!A:A,Groups!D:D)=0,_xlfn.XLOOKUP(_xlfn.XLOOKUP(B12,'Base stats'!B:B,'Base stats'!E:E),Groups!A:A,Groups!AR:AR),"None")</f>
        <v>None</v>
      </c>
      <c r="BJ12" s="2" t="str">
        <f>IF(AND(_xlfn.XLOOKUP(_xlfn.XLOOKUP(B12,'Base stats'!B:B,'Base stats'!E:E),Groups!A:A,Groups!AS:AS)=1,OR(_xlfn.XLOOKUP(B12,'Base stats'!B:B,'Base stats'!Y:Y)="Carnivore",_xlfn.XLOOKUP(B12,'Base stats'!B:B,'Base stats'!Y:Y)="Omnivore")),"true","false")</f>
        <v>false</v>
      </c>
      <c r="BK12" s="2" t="str">
        <f>IF(BJ12="true",MROUND(IF(AND(AO12&gt;0.5,OR(_xlfn.XLOOKUP(_xlfn.XLOOKUP(B12,'Base stats'!B:B,'Base stats'!E:E),Groups!A:A,Groups!AJ:AJ)="Photonozoa",_xlfn.XLOOKUP(_xlfn.XLOOKUP(B12,'Base stats'!B:B,'Base stats'!E:E),Groups!A:A,Groups!AJ:AJ)="Mammal")),Animals!AO12*1.75*IF(AW12="true",1.5,1),IF(AO12&lt;0.5,Animals!AO12*0.5,Animals!AO12)),IF(AO12&gt;2,0.5,IF(AO12&gt;0.5,0.25,0.1))),"No")</f>
        <v>No</v>
      </c>
      <c r="BL12" s="2">
        <f t="shared" si="3"/>
        <v>0</v>
      </c>
      <c r="BM12" s="25" t="str">
        <f>IF(_xlfn.XLOOKUP(B12,'Base stats'!B:B,'Base stats'!AN:AN)="Standard","No",MROUND((_xlfn.XLOOKUP(B12,'Base stats'!B:B,'Base stats'!AN:AN)/3.6)/I12,0.1))</f>
        <v>No</v>
      </c>
      <c r="BN12" s="25" t="str">
        <f t="shared" si="4"/>
        <v>false</v>
      </c>
      <c r="BO12" s="25" t="str">
        <f>IF(AND(OR(_xlfn.XLOOKUP(B12,'Base stats'!B:B,'Base stats'!Y:Y)="Carnivore",_xlfn.XLOOKUP(B12,'Base stats'!B:B,'Base stats'!Y:Y)="Omnivore",_xlfn.XLOOKUP(B12,'Base stats'!B:B,'Base stats'!Y:Y)="OmnivoreRough"),_xlfn.XLOOKUP(_xlfn.XLOOKUP(B12,'Base stats'!B:B,'Base stats'!E:E),Groups!A:A,Groups!AT:AT)=1),"true","false")</f>
        <v>false</v>
      </c>
      <c r="BP12" s="25" t="str" cm="1">
        <f t="array" ref="BP12">IF(
  _xlfn.TEXTJOIN(", ",TRUE,
    IF(AND(BJ12="true",AO12&gt;0.5,BI12&lt;&gt;"None"),"AttackTarget",""),
    IF(AND(_xlfn.XLOOKUP(_xlfn.XLOOKUP(B12,'Base stats'!B:B,'Base stats'!E:E),Groups!A:A,Groups!AJ:AJ="Mammal"),OR(_xlfn.XLOOKUP(B12,'Base stats'!B:B,'Base stats'!Y:Y)="Omnivore",_xlfn.XLOOKUP(B12,'Base stats'!B:B,'Base stats'!Y:Y)="OmnivoreRough")),"Forage",""),
    IF(BG12&lt;=36,"Comfort",""),
    IF(_xlfn.XLOOKUP(B12,'Base stats'!B:B,'Base stats'!AE:AE)&lt;&gt;"No",_xlfn.XLOOKUP(B12,'Base stats'!B:B,'Base stats'!AE:AE),"")
  ) = "",
  "No",
  _xlfn.TEXTJOIN(", ",TRUE,
    IF(AND(BJ12="true",AO12&gt;0.5,BI12&lt;&gt;"None"),"AttackTarget",""),
    IF(AND(_xlfn.XLOOKUP(_xlfn.XLOOKUP(B12,'Base stats'!B:B,'Base stats'!E:E),Groups!A:A,Groups!AJ:AJ="Mammal"),OR(_xlfn.XLOOKUP(B12,'Base stats'!B:B,'Base stats'!Y:Y)="Omnivore",_xlfn.XLOOKUP(B12,'Base stats'!B:B,'Base stats'!Y:Y)="OmnivoreRough")),"Forage",""),
    IF(BG12&lt;=36,"Comfort",""),
    IF(_xlfn.XLOOKUP(B12,'Base stats'!B:B,'Base stats'!AE:AE)&lt;&gt;"No",_xlfn.XLOOKUP(B12,'Base stats'!B:B,'Base stats'!AE:AE),"")
  )
)</f>
        <v>No</v>
      </c>
      <c r="BQ12" s="25" t="str">
        <f>IF(
   AND(
      'Base stats'!AN12="Standard",_xlfn.XLOOKUP(_xlfn.XLOOKUP(B12,'Base stats'!B:B,'Base stats'!E:E),Groups!A:A,Groups!AU:AU)=0,
      OR(
      BO12="True"
      )
   ),
   10,
   IF(
       OR(BM12&lt;&gt;"No",_xlfn.XLOOKUP(_xlfn.XLOOKUP(B12,'Base stats'!B:B,'Base stats'!E:E),Groups!A:A,Groups!AU:AU)=1),
      1,
      "No"
   )
)</f>
        <v>No</v>
      </c>
      <c r="BR12" s="9">
        <f>MROUND((1 + ((0.2*IF(OR(Q12="No",R12="No",R12=0),0,Q12/R12)
+IF(OR(V12="No",S12="No",T12="No"),0,S12/T12*(LEN(V12)-LEN(SUBSTITUTE(V12,",",""))+1))
+IF(OR(X12="No",Y12="No"),0,X12/Y12)
+IF(OR(AD12="No",AE12="No"),0,AD12/AE12)
+IF(OR(AL12="No",AI12="No",AJ12="No"),0,AI12/AJ12*(LEN(AL12)-LEN(SUBSTITUTE(AL12,",",""))+1))
)/(0.2*IF(OR(Q12="No",R12="No",R12=0),0,1)
+IF(OR(V12="No",S12="No",T12="No"),0,LEN(V12)-LEN(SUBSTITUTE(V12,",",""))+1)
+IF(OR(X12="No",Y12="No"),0,1)
+IF(OR(AD12="No",AE12="No"),0,1)
+IF(OR(AL12="No",AI12="No",AJ12="No"),0,LEN(AL12)-LEN(SUBSTITUTE(AL12,",",""))+1))*62%)* 2)*(1 + (AP12 / (IF(_xlfn.XLOOKUP(_xlfn.XLOOKUP(B12,'Base stats'!B:B,'Base stats'!E:E),Groups!A:A,Groups!AJ:AJ)="Photonozoa",0.3,1)) + _xlfn.XLOOKUP(B12,'Base stats'!B:B,'Base stats'!AV:AV) * 1.8) * 2) * 2.5 + 10 + I12 * 2,5)+IF(_xlfn.XLOOKUP(B12,'Base stats'!B:B,'Base stats'!AK:AK)=1,50,0)</f>
        <v>180</v>
      </c>
      <c r="BS12" s="8">
        <f t="shared" si="5"/>
        <v>1.4500000000000002</v>
      </c>
      <c r="BT12" s="8" t="str">
        <f>_xlfn.XLOOKUP(B12,'Base stats'!B:B,'Base stats'!AF:AF)</f>
        <v>3~10</v>
      </c>
      <c r="BU12" s="2" t="str">
        <f>IF(AND(J12&lt;=0.95,OR(_xlfn.XLOOKUP(B12,'Base stats'!B:B,'Base stats'!AK:AK)=1,_xlfn.XLOOKUP(B12,'Base stats'!B:B,'Base stats'!Y:Y)="Carnivore",_xlfn.XLOOKUP(B12,'Base stats'!B:B,'Base stats'!Y:Y)="Omnivore",BE12&gt;0.1)),"true","false")</f>
        <v>false</v>
      </c>
      <c r="BV12" s="2" t="str">
        <f>IF(_xlfn.XLOOKUP(B12,'Base stats'!B:B,'Base stats'!AI:AI)=1,"true","false")</f>
        <v>true</v>
      </c>
      <c r="BW12" s="25" t="str">
        <f>IF(E12="BaseInsect","AnimalInsect",
IF(J12&gt;0.95,"AnimalExotic",
_xlfn.TEXTJOIN(", ",TRUE,
IF(OR(_xlfn.XLOOKUP(B12,'Base stats'!B:B,'Base stats'!AM:AM)=1,AND(_xlfn.XLOOKUP(B12,'Base stats'!B:B,'Base stats'!O:O)=0,_xlfn.XLOOKUP(_xlfn.XLOOKUP(B12,'Base stats'!B:B,'Base stats'!E:E),Groups!A:A,Groups!B:B)&gt;0)),"AnimalUncommon","AnimalCommon"),
IF(AND(_xlfn.XLOOKUP(B12,'Base stats'!B:B,'Base stats'!O:O)=2,_xlfn.XLOOKUP(_xlfn.XLOOKUP(B12,'Base stats'!B:B,'Base stats'!E:E),Groups!A:A,Groups!D:D)=0),"AnimalPet",IF(AND(_xlfn.XLOOKUP(B12,'Base stats'!B:B,'Base stats'!O:O)&lt;&gt;0,_xlfn.XLOOKUP(_xlfn.XLOOKUP(B12,'Base stats'!B:B,'Base stats'!E:E),Groups!A:A,Groups!D:D)&lt;&gt;0),"AnimalFarm","")),
IF(OR(_xlfn.XLOOKUP(B12,'Base stats'!B:B,'Base stats'!AK:AK)=1,AND(BI12&lt;&gt;"None",BR12&gt;=60),ISNUMBER(SEARCH("Attack target",BP12))),"AnimalFighter","")
)))</f>
        <v>AnimalCommon, AnimalFarm</v>
      </c>
      <c r="BX12" s="25" t="str">
        <f>IF(G12="None",TRIM(
SUBSTITUTE(
IF(COUNTIF(Biomes!B$2:B$259,"="&amp;$C12)&gt;0,Biomes!B$1&amp;", ","")&amp;
IF(COUNTIF(Biomes!C$2:C$259,"="&amp;$C12)&gt;0,Biomes!C$1&amp;", ","")&amp;
IF(COUNTIF(Biomes!D$2:D$259,"="&amp;$C12)&gt;0,Biomes!D$1&amp;", ","")&amp;
IF(COUNTIF(Biomes!F$2:F$259,"="&amp;$C12)&gt;0,Biomes!F$1&amp;", ","")&amp;
IF(COUNTIF(Biomes!G$2:G$259,"="&amp;$C12)&gt;0,Biomes!G$1&amp;", ","")&amp;
IF(COUNTIF(Biomes!H$2:H$259,"="&amp;$C12)&gt;0,Biomes!H$1&amp;", ","")&amp;
IF(COUNTIF(Biomes!I$2:I$259,"="&amp;$C12)&gt;0,Biomes!I$1&amp;", ","")&amp;
IF(COUNTIF(Biomes!J$2:J$259,"="&amp;$C12)&gt;0,Biomes!J$1&amp;", ","")&amp;
IF(COUNTIF(Biomes!M$2:M$259,"="&amp;$C12)&gt;0,Biomes!M$1&amp;", ","")&amp;
IF(COUNTIF(Biomes!N$2:N$259,"="&amp;$C12)&gt;0,Biomes!N$1&amp;", ","")&amp;
IF(COUNTIF(Biomes!O$2:O$259,"="&amp;$C12)&gt;0,Biomes!O$1&amp;", ","")&amp;
IF(COUNTIF(Biomes!P$2:P$259,"="&amp;$C12)&gt;0,Biomes!P$1&amp;", ","")&amp;
IF(COUNTIF(Biomes!K$2:K$259,"="&amp;$C12)&gt;0,Biomes!K$1&amp;", ","")&amp;
IF(COUNTIF(Biomes!Q$3:Q$259,"="&amp;$C12)&gt;0,Biomes!Q$1&amp;", ","")&amp;
IF(COUNTIF(Biomes!L$2:L$259,"="&amp;$C12)&gt;0,Biomes!L$1&amp;", ","")&amp;
IF(COUNTIF(Biomes!E$2:E$259,"="&amp;$C12)&gt;0,Biomes!E$1&amp;", ","")&amp;IF(COUNTIF(Biomes!S$2:S$259,"="&amp;$C12)&gt;0,Biomes!S$1&amp;", ","")&amp;
IF(COUNTIF(Biomes!R$2:R$259,"="&amp;$C12)&gt;0,Biomes!R$1&amp;", ",""),", ","")
),_xlfn.XLOOKUP(B12,B:B,BX:BX))</f>
        <v>AridShrubland Desert ExtremeDesert LavaField Scarlands</v>
      </c>
      <c r="BY12" s="25" t="str">
        <f>IF(_xlfn.XLOOKUP(B12,'Base stats'!B:B,'Base stats'!AJ:AJ)=1,"true","false")</f>
        <v>false</v>
      </c>
      <c r="BZ12" s="25">
        <f>IF(_xlfn.XLOOKUP(B12,'Base stats'!B:B,'Base stats'!N:N)=1,"No",MAX(0.001,MIN(MROUND(IF(AND(BJ12="True",CC12="False"),POWER(10,3.47*LOG10(_xlfn.XLOOKUP(B12,'Base stats'!B:B,'Base stats'!C:C)*1000)^-0.96),POWER(10,4.15*LOG10(_xlfn.XLOOKUP(B12,'Base stats'!B:B,'Base stats'!C:C)*1000)^-0.73))*IF(_xlfn.XLOOKUP(B12,'Base stats'!B:B,'Base stats'!AK:AK)=1,0.5,1)*IF(_xlfn.XLOOKUP(B12,'Base stats'!B:B,'Base stats'!AM:AM)=1,0.1,1)/100,IF(_xlfn.XLOOKUP(B12,'Base stats'!B:B,'Base stats'!AM:AM)=1,0.001,0.025)),0.5)))</f>
        <v>0.15000000000000002</v>
      </c>
      <c r="CA12" s="25" t="str">
        <f>IF(P12="Standard","No",MAX(0.001,MIN(MROUND(IF(AND(BJ12="True",CC12="False"),POWER(10,3.47*LOG10(_xlfn.XLOOKUP(B12,'Base stats'!B:B,'Base stats'!C:C)*1000)^-0.96),POWER(10,4.15*LOG10(_xlfn.XLOOKUP(B12,'Base stats'!B:B,'Base stats'!C:C)*1000)^-0.73))*IF(_xlfn.XLOOKUP(B12,'Base stats'!B:B,'Base stats'!AM:AM)=1,0.1,1)*_xlfn.XLOOKUP(B12,'Base stats'!B:B,'Base stats'!R:R)/100,IF(_xlfn.XLOOKUP(B12,'Base stats'!B:B,'Base stats'!AM:AM)=1,0.001,0.025)),0.5)))</f>
        <v>No</v>
      </c>
      <c r="CB12" s="25" t="str">
        <f>IF(_xlfn.XLOOKUP(_xlfn.XLOOKUP(B12,'Base stats'!B:B,'Base stats'!E:E),Groups!A:A,Groups!AJ:AJ)="Mammal","True","False")</f>
        <v>True</v>
      </c>
      <c r="CC12" s="25" t="str">
        <f>IF(OR(_xlfn.XLOOKUP(_xlfn.XLOOKUP(B12,'Base stats'!B:B,'Base stats'!E:E),Groups!A:A,Groups!AJ:AJ)="Reptile",_xlfn.XLOOKUP(_xlfn.XLOOKUP(B12,'Base stats'!B:B,'Base stats'!E:E),Groups!A:A,Groups!AJ:AJ)="Amphibian",_xlfn.XLOOKUP(_xlfn.XLOOKUP(B12,'Base stats'!B:B,'Base stats'!E:E),Groups!A:A,Groups!AJ:AJ)="Invertebrate"),"True","False")</f>
        <v>False</v>
      </c>
      <c r="CD12" s="25" t="str">
        <f t="shared" si="6"/>
        <v>False</v>
      </c>
      <c r="CE12" s="25" t="str">
        <f>IF(_xlfn.XLOOKUP(_xlfn.XLOOKUP(B12,'Base stats'!B:B,'Base stats'!E:E),Groups!A:A,Groups!AX:AX),"True","False")</f>
        <v>False</v>
      </c>
      <c r="CF12" s="25" t="str">
        <f>IF(_xlfn.XLOOKUP(_xlfn.XLOOKUP(B12,'Base stats'!B:B,'Base stats'!E:E),Groups!A:A,Groups!AY:AY),"True","False")</f>
        <v>False</v>
      </c>
      <c r="CG12" s="25" t="str">
        <f>IF(_xlfn.XLOOKUP(_xlfn.XLOOKUP(B12,'Base stats'!B:B,'Base stats'!E:E),Groups!A:A,Groups!AW:AW),"True","False")</f>
        <v>False</v>
      </c>
      <c r="CH12" s="25" t="str">
        <f>IF(
OR(
_xlfn.XLOOKUP(_xlfn.XLOOKUP(B12,'Base stats'!B:B,'Base stats'!E:E),Groups!A:A,Groups!AZ:AZ)=0,
AND(
_xlfn.XLOOKUP(B12,'Base stats'!B:B,'Base stats'!Y:Y)&lt;&gt;"Carnivore",
_xlfn.XLOOKUP(B12,'Base stats'!B:B,'Base stats'!Y:Y)&lt;&gt;"Omnivore",
_xlfn.XLOOKUP(B12,'Base stats'!B:B,'Base stats'!Y:Y)&lt;&gt;"OmnivoreRough"
)
),
"No",
IF(
_xlfn.XLOOKUP(_xlfn.XLOOKUP(B12,'Base stats'!B:B,'Base stats'!E:E),Groups!A:A,Groups!AZ:AZ)=1,
"Flesh",
IF(
_xlfn.XLOOKUP(_xlfn.XLOOKUP(B12,'Base stats'!B:B,'Base stats'!E:E),Groups!A:A,Groups!AZ:AZ)=2,
"Bone",
""
)
)
)</f>
        <v>No</v>
      </c>
      <c r="CI12" s="25" t="str">
        <f>IF(_xlfn.XLOOKUP(_xlfn.XLOOKUP(B12,'Base stats'!B:B,'Base stats'!E:E),Groups!A:A,Groups!BB:BB),"True","False")</f>
        <v>True</v>
      </c>
      <c r="CJ12" s="25" t="str">
        <f>IF(_xlfn.XLOOKUP(_xlfn.XLOOKUP(B12,'Base stats'!B:B,'Base stats'!E:E),Groups!A:A,Groups!BA:BA),"True","False")</f>
        <v>False</v>
      </c>
      <c r="CO12" s="16"/>
    </row>
    <row r="13" spans="1:93" ht="16.5" thickTop="1" thickBot="1" x14ac:dyDescent="0.3">
      <c r="A13" s="26" t="str">
        <f>_xlfn.XLOOKUP(B13,'Base stats'!B:B,'Base stats'!A:A)</f>
        <v>Alpaca</v>
      </c>
      <c r="B13" s="6" t="s">
        <v>99</v>
      </c>
      <c r="C13" s="28" t="s">
        <v>684</v>
      </c>
      <c r="D13" s="28" t="s">
        <v>45</v>
      </c>
      <c r="E13" s="28" t="s">
        <v>673</v>
      </c>
      <c r="F13" s="28" t="s">
        <v>673</v>
      </c>
      <c r="G13" s="28" t="s">
        <v>673</v>
      </c>
      <c r="H13" s="2">
        <f>MROUND((
  (IF(AND(_xlfn.XLOOKUP(B13,'Base stats'!B:B,'Base stats'!AL:AL)=0,BI13="None",_xlfn.XLOOKUP(_xlfn.XLOOKUP(B13,'Base stats'!B:B,'Base stats'!E:E),Groups!A:A,Groups!B:B)=0), (18 + BR13 * 2.7) * 0.5,
    IF(AND(_xlfn.XLOOKUP(B13,'Base stats'!B:B,'Base stats'!AL:AL)=0,OR(AO13&lt;0.55,AND(BI13="Intermediate",_xlfn.XLOOKUP(_xlfn.XLOOKUP(B13,'Base stats'!B:B,'Base stats'!E:E),Groups!A:A,Groups!B:B)&lt;2))), (18 + BR13 * 2.7),
      IF(OR(BI13="Advanced",_xlfn.XLOOKUP(B13,'Base stats'!B:B,'Base stats'!AL:AL)=1,_xlfn.XLOOKUP(_xlfn.XLOOKUP(B13,'Base stats'!B:B,'Base stats'!E:E),Groups!A:A,Groups!B:B)=2), (18 + BR13 * 2.7) + 250, (18 + BR13 * 2.7))
    )
  ))
  + AO13 * 80
  + IF(COUNTIF(EggMilk!K$2:K$998, A13) &gt; 0, 125, 0)
  + IF(COUNTIF(EggMilk!P$2:P$998, A13) &gt; 0, 90, 0)
  + IF(COUNTIF(EggMilk!A$2:A$998, A13) &gt; 0, 90, 0)
)
* (0.8 + 0.4 * J13)
* 0.75,25)</f>
        <v>175</v>
      </c>
      <c r="I13" s="2">
        <f>MROUND(ROUNDDOWN(_xlfn.XLOOKUP(B13,'Base stats'!B:B,'Base stats'!L:L)/3.6/(23.3/11),1),0.5)</f>
        <v>7.5</v>
      </c>
      <c r="J13" s="2">
        <f>IF(OR(_xlfn.XLOOKUP(B13,'Base stats'!B:B,'Base stats'!AB:AB)=1,_xlfn.XLOOKUP(_xlfn.XLOOKUP(B13,'Base stats'!B:B,'Base stats'!E:E),Groups!A:A,Groups!C:C)="Untamable"),1,IF(_xlfn.XLOOKUP(B13,'Base stats'!B:B,'Base stats'!AL:AL)=1,0.99,MIN(MROUND((1-0.6282*EXP(-0.459*AO13))*_xlfn.XLOOKUP(_xlfn.XLOOKUP(B13,'Base stats'!B:B,'Base stats'!E:E),Groups!A:A,Groups!C:C)*IF(_xlfn.XLOOKUP(B13,'Base stats'!B:B,'Base stats'!O:O)=1,0.5,IF(_xlfn.XLOOKUP(B13,'Base stats'!B:B,'Base stats'!O:O)=2,0,1)),0.05),IF(AO13&gt;3.5,0.985,0.95))))</f>
        <v>0</v>
      </c>
      <c r="K13" s="2">
        <f>ROUNDUP(AO13*_xlfn.XLOOKUP(_xlfn.XLOOKUP(B13,'Base stats'!B:B,'Base stats'!E:E),Groups!A:A,Groups!E:E),0)</f>
        <v>6</v>
      </c>
      <c r="L13" s="2">
        <f>IF(OR(_xlfn.XLOOKUP(_xlfn.XLOOKUP(B13,'Base stats'!B:B,'Base stats'!E:E),Groups!A:A,Groups!F:F)=2,ISNUMBER(SEARCH("SeaIce",BX13)),ISNUMBER(SEARCH("IceSheet",BX13))),-50,IF(OR(ISNUMBER(SEARCH("GlacialPlain",BX13)),ISNUMBER(SEARCH("Tundra",BX13))),-40,IF(OR(ISNUMBER(SEARCH("Alpine",BX13)),ISNUMBER(SEARCH("BorealForest",BX13)),ISNUMBER(SEARCH("ColdBog",BX13))),-30,IF(OR(ISNUMBER(SEARCH("TemperateForest",BX13)),ISNUMBER(SEARCH("TemperateSwamp",BX13))),-20,IF(_xlfn.XLOOKUP(_xlfn.XLOOKUP(B13,'Base stats'!B:B,'Base stats'!E:E),Groups!A:A,Groups!F:F)=1,-15,IF(OR(ISNUMBER(SEARCH("Desert",BX13)),ISNUMBER(SEARCH("ExtremeDesert",BX13))),-10,IF(OR(ISNUMBER(SEARCH("Grasslands",BX13)),ISNUMBER(SEARCH("TropicalRainforest",BX13)),ISNUMBER(SEARCH("TropicalSwamp",BX13))),10,0)))))))-IF(CC13="False",MIN(IFERROR(MAX(MROUND(LOG10(_xlfn.XLOOKUP(B13,'Base stats'!B:B,'Base stats'!C:C)^(2/3))*10,5),5),5),30))-_xlfn.XLOOKUP(B13,'Base stats'!B:B,'Base stats'!P:P)+IF(CC13="True",5,0)</f>
        <v>-30</v>
      </c>
      <c r="M13" s="2">
        <f>IF(OR(_xlfn.XLOOKUP(_xlfn.XLOOKUP(B13,'Base stats'!B:B,'Base stats'!E:E),Groups!A:A,Groups!G:G)=2,ISNUMBER(SEARCH("Desert",BX13)),ISNUMBER(SEARCH("ExtremeDesert",BX13)),ISNUMBER(SEARCH("LavaField",BX13))),50,IF(ISNUMBER(SEARCH("Grasslands",BX13)),45,IF(OR(_xlfn.XLOOKUP(_xlfn.XLOOKUP(B13,'Base stats'!B:B,'Base stats'!E:E),Groups!A:A,Groups!G:G)=1,ISNUMBER(SEARCH("TropicalRainforest",BX13)),ISNUMBER(SEARCH("TropicalSwamp",BX13))),40,IF(OR(ISNUMBER(SEARCH("TemperateForest",BX13)),ISNUMBER(SEARCH("TemperateSwamp",BX13))),35,IF(OR(ISNUMBER(SEARCH("Alpine",BX13)),ISNUMBER(SEARCH("BorealForest",BX13)),ISNUMBER(SEARCH("ColdBog",BX13))),30,IF(ISNUMBER(OR(ISNUMBER(SEARCH("GlacialPlain",BX13)),SEARCH("Tundra",BX13))),25,IF(OR(ISNUMBER(SEARCH("SeaIce",BX13)),ISNUMBER(SEARCH("IceSheet",BX13)),ISNUMBER(SEARCH("TropicalSwamp",BX13))),10,35)))))))+_xlfn.XLOOKUP(B13,'Base stats'!B:B,'Base stats'!Q:Q)</f>
        <v>35</v>
      </c>
      <c r="N13" s="8" t="str">
        <f>IF(
_xlfn.XLOOKUP(
_xlfn.XLOOKUP(B13,'Base stats'!B:B,'Base stats'!E:E),
Groups!A:A,
Groups!L:L
)=1,
MIN(
MROUND(
IF(
_xlfn.XLOOKUP(B13,'Animals CE'!B:B,'Animals CE'!Z:Z)&lt;=1.5,
_xlfn.XLOOKUP(B13,'Animals CE'!B:B,'Animals CE'!Z:Z)/2+0.05,
0.8+
(_xlfn.XLOOKUP(B13,'Animals CE'!B:B,'Animals CE'!Z:Z)-1.5)
*0.02
),
0.05
),
200%
),
"No"
)</f>
        <v>No</v>
      </c>
      <c r="O13" s="8" t="str">
        <f>IF(
_xlfn.XLOOKUP(
_xlfn.XLOOKUP(B13,'Base stats'!B:B,'Base stats'!E:E),
Groups!A:A,
Groups!L:L
)=1,
MIN(
MROUND(
IF(
_xlfn.XLOOKUP(B13,'Animals CE'!B:B,'Animals CE'!AA:AA)&lt;=1.5,
_xlfn.XLOOKUP(B13,'Animals CE'!B:B,'Animals CE'!AA:AA)/2+0.05,
0.8+
(_xlfn.XLOOKUP(B13,'Animals CE'!B:B,'Animals CE'!AA:AA)-1.5)
*0.02
),
0.05
),
200%
),
"No"
)</f>
        <v>No</v>
      </c>
      <c r="P13" s="2" t="str">
        <f>_xlfn.XLOOKUP(B13,'Base stats'!B:B,'Base stats'!R:R)</f>
        <v>Standard</v>
      </c>
      <c r="Q13" s="13">
        <f>MROUND((LOG10(_xlfn.XLOOKUP(B13,'Base stats'!B:B,'Base stats'!AR:AR))*(AO13^0.5)+(_xlfn.XLOOKUP(B13,'Base stats'!B:B,'Base stats'!AR:AR)/1000)^(2/3)+_xlfn.XLOOKUP(B13,'Base stats'!B:B,'Base stats'!BA:BA)/2)+0.5,0.5)</f>
        <v>7.5</v>
      </c>
      <c r="R13" s="7">
        <f>IF(Q13="No","No",MAX(1,MROUND(_xlfn.XLOOKUP(B13,'Base stats'!B:B,'Base stats'!C:C)^0.165,0.05)))</f>
        <v>2.0500000000000003</v>
      </c>
      <c r="S13" s="13">
        <f>IF(_xlfn.XLOOKUP(_xlfn.XLOOKUP(B13,'Base stats'!B:B,'Base stats'!E:E),Groups!A:A,Groups!P:P)=0,"No",MROUND((LOG10(_xlfn.XLOOKUP(B13,'Base stats'!B:B,'Base stats'!AS:AS))*(AO13^0.5)+(_xlfn.XLOOKUP(B13,'Base stats'!B:B,'Base stats'!AS:AS)/1000)^(2/3)+_xlfn.XLOOKUP(B13,'Base stats'!B:B,'Base stats'!BA:BA))+_xlfn.XLOOKUP(B13,'Base stats'!B:B,'Base stats'!AY:AY)+0.5,0.5))</f>
        <v>9.5</v>
      </c>
      <c r="T13" s="7">
        <f>IF(S13="No","No",MAX(_xlfn.XLOOKUP(_xlfn.XLOOKUP(B13,'Base stats'!B:B,'Base stats'!E:E),Groups!A:A,Groups!Q:Q),MROUND(_xlfn.XLOOKUP(_xlfn.XLOOKUP(B13,'Base stats'!B:B,'Base stats'!E:E),Groups!A:A,Groups!Q:Q)*_xlfn.XLOOKUP(B13,'Base stats'!B:B,'Base stats'!C:C)^0.165,0.05)))</f>
        <v>1.9500000000000002</v>
      </c>
      <c r="U13" s="7" t="str">
        <f>IF(S13="No","No",_xlfn.XLOOKUP(_xlfn.XLOOKUP(B13,'Base stats'!B:B,'Base stats'!E:E),Groups!A:A,Groups!R:R))</f>
        <v>FrontLeftLeg, FrontRightLeg</v>
      </c>
      <c r="V13" s="7" t="str">
        <f>IF(S13="No","No",_xlfn.XLOOKUP(_xlfn.XLOOKUP(B13,'Base stats'!B:B,'Base stats'!E:E),Groups!A:A,Groups!S:S))</f>
        <v>left hoof, right hoof</v>
      </c>
      <c r="W13" s="7" t="str">
        <f>IF(S13="No","No",_xlfn.XLOOKUP(_xlfn.XLOOKUP(B13,'Base stats'!B:B,'Base stats'!E:E),Groups!A:A,Groups!T:T))</f>
        <v>Blunt</v>
      </c>
      <c r="X13" s="13" t="str">
        <f>IF(_xlfn.XLOOKUP(B13,'Base stats'!B:B,'Base stats'!W:W)="No","No",MROUND((LOG10(_xlfn.XLOOKUP(B13,'Base stats'!B:B,'Base stats'!AU:AU))*(AO13^0.5)+(_xlfn.XLOOKUP(B13,'Base stats'!B:B,'Base stats'!AU:AU)/1000)^(2/3)+_xlfn.XLOOKUP(B13,'Base stats'!B:B,'Base stats'!AZ:AZ))+0.5+IF(_xlfn.XLOOKUP(_xlfn.XLOOKUP(B13,'Base stats'!B:B,'Base stats'!E:E),Groups!A:A,Groups!U:U)&lt;&gt;3,_xlfn.XLOOKUP(B13,'Base stats'!B:B,'Base stats'!BA:BA),0),0.5))</f>
        <v>No</v>
      </c>
      <c r="Y13" s="7" t="str">
        <f>IF(X13="No","No",MAX(_xlfn.XLOOKUP(_xlfn.XLOOKUP(B13,'Base stats'!B:B,'Base stats'!E:E),Groups!A:A,Groups!V:V),MROUND(_xlfn.XLOOKUP(_xlfn.XLOOKUP(B13,'Base stats'!B:B,'Base stats'!E:E),Groups!A:A,Groups!V:V)*_xlfn.XLOOKUP(B13,'Base stats'!B:B,'Base stats'!C:C)^0.165,0.05)))</f>
        <v>No</v>
      </c>
      <c r="Z13" s="7" t="str">
        <f>IF(X13="No","No",_xlfn.XLOOKUP(_xlfn.XLOOKUP(B13,'Base stats'!B:B,'Base stats'!E:E),Groups!A:A,Groups!W:W))</f>
        <v>No</v>
      </c>
      <c r="AA13" s="7" t="str">
        <f>IF(X13="No","No",_xlfn.XLOOKUP(_xlfn.XLOOKUP(B13,'Base stats'!B:B,'Base stats'!E:E),Groups!A:A,Groups!X:X))</f>
        <v>No</v>
      </c>
      <c r="AB13" s="7" t="str">
        <f>IF(X13="No","No",_xlfn.XLOOKUP(_xlfn.XLOOKUP(B13,'Base stats'!B:B,'Base stats'!E:E),Groups!A:A,Groups!Y:Y))</f>
        <v>No</v>
      </c>
      <c r="AC13" s="7" t="str">
        <f>_xlfn.XLOOKUP(Animals!B13,'Base stats'!B:B,'Base stats'!X:X)</f>
        <v>False</v>
      </c>
      <c r="AD13" s="13">
        <f>IF(_xlfn.XLOOKUP(B13,'Base stats'!B:B,'Base stats'!AT:AT)="No","No",MROUND((LOG10(_xlfn.XLOOKUP(B13,'Base stats'!B:B,'Base stats'!AT:AT))*(AO13^0.75)+(_xlfn.XLOOKUP(B13,'Base stats'!B:B,'Base stats'!AT:AT)/1000)^(2/3)+_xlfn.XLOOKUP(B13,'Base stats'!B:B,'Base stats'!AX:AX)+_xlfn.XLOOKUP(B13,'Base stats'!B:B,'Base stats'!BA:BA))+0.5,0.5))</f>
        <v>10</v>
      </c>
      <c r="AE13" s="7">
        <f>IF(AD13="No","No",MAX(_xlfn.XLOOKUP(_xlfn.XLOOKUP(B13,'Base stats'!B:B,'Base stats'!E:E),Groups!A:A,Groups!Z:Z),MROUND(_xlfn.XLOOKUP(_xlfn.XLOOKUP(B13,'Base stats'!B:B,'Base stats'!E:E),Groups!A:A,Groups!Z:Z)*_xlfn.XLOOKUP(B13,'Base stats'!B:B,'Base stats'!C:C)^0.165,0.05)))</f>
        <v>2.0500000000000003</v>
      </c>
      <c r="AF13" s="7" t="str">
        <f>IF(AD13="No","No",_xlfn.XLOOKUP(_xlfn.XLOOKUP(B13,'Base stats'!B:B,'Base stats'!E:E),Groups!A:A,Groups!AA:AA))</f>
        <v>Teeth</v>
      </c>
      <c r="AG13" s="7" t="str">
        <f>IF(AD13="No","No",_xlfn.XLOOKUP(_xlfn.XLOOKUP(B13,'Base stats'!B:B,'Base stats'!E:E),Groups!A:A,Groups!AB:AB))</f>
        <v>teeth</v>
      </c>
      <c r="AH13" s="7" t="str">
        <f>IF(AD13="No","No",_xlfn.XLOOKUP(_xlfn.XLOOKUP(B13,'Base stats'!B:B,'Base stats'!E:E),Groups!A:A,Groups!AC:AC))</f>
        <v>Bite</v>
      </c>
      <c r="AI13" s="13" t="str">
        <f>IF(_xlfn.XLOOKUP(_xlfn.XLOOKUP(B13,'Base stats'!B:B,'Base stats'!E:E),Groups!A:A,Groups!AD:AD)=0,"No",MROUND((LOG10(_xlfn.XLOOKUP(B13,'Base stats'!B:B,'Base stats'!AS:AS))*(AO13^0.75)+(_xlfn.XLOOKUP(B13,'Base stats'!B:B,'Base stats'!AS:AS)/1000)^(2/3)+_xlfn.XLOOKUP(B13,'Base stats'!B:B,'Base stats'!AY:AY)+_xlfn.XLOOKUP(B13,'Base stats'!B:B,'Base stats'!BA:BA))+0.5,0.5))</f>
        <v>No</v>
      </c>
      <c r="AJ13" s="7" t="str">
        <f>IF(AI13="No","No",MAX(_xlfn.XLOOKUP(_xlfn.XLOOKUP(B13,'Base stats'!B:B,'Base stats'!E:E),Groups!A:A,Groups!AE:AE),MROUND(_xlfn.XLOOKUP(_xlfn.XLOOKUP(B13,'Base stats'!B:B,'Base stats'!E:E),Groups!A:A,Groups!AE:AE)*IF(_xlfn.XLOOKUP(_xlfn.XLOOKUP(B13,'Base stats'!B:B,'Base stats'!E:E),Groups!A:A,Groups!AJ:AJ)="Photonozoa",0.6,1)*_xlfn.XLOOKUP(B13,'Base stats'!B:B,'Base stats'!C:C)^0.165,0.05)))</f>
        <v>No</v>
      </c>
      <c r="AK13" s="7" t="str">
        <f>IF(AI13="No","No",_xlfn.XLOOKUP(_xlfn.XLOOKUP(B13,'Base stats'!B:B,'Base stats'!E:E),Groups!A:A,Groups!AF:AF))</f>
        <v>No</v>
      </c>
      <c r="AL13" s="7" t="str">
        <f>IF(AI13="No","No",_xlfn.XLOOKUP(_xlfn.XLOOKUP(B13,'Base stats'!B:B,'Base stats'!E:E),Groups!A:A,Groups!AG:AG))</f>
        <v>No</v>
      </c>
      <c r="AM13" s="7" t="str">
        <f>IF(AI13="No","No",_xlfn.XLOOKUP(_xlfn.XLOOKUP(B13,'Base stats'!B:B,'Base stats'!E:E),Groups!A:A,Groups!AH:AH))</f>
        <v>No</v>
      </c>
      <c r="AN13" s="2" t="str">
        <f t="shared" si="0"/>
        <v>No</v>
      </c>
      <c r="AO13" s="2">
        <f>MROUND(IF(AND(_xlfn.XLOOKUP(B13,'Base stats'!B:B,'Base stats'!C:C)&gt;=0.5,_xlfn.XLOOKUP(B13,'Base stats'!B:B,'Base stats'!C:C)&lt;=0.8),
IF(_xlfn.XLOOKUP(B13,'Base stats'!B:B,'Base stats'!C:C)&lt;0.1,0.05,IF(_xlfn.XLOOKUP(B13,'Base stats'!B:B,'Base stats'!C:C)&lt;=70,(_xlfn.XLOOKUP(B13,'Base stats'!B:B,'Base stats'!C:C)/70)^0.426489913056526,IF(_xlfn.XLOOKUP(B13,'Base stats'!B:B,'Base stats'!C:C)&lt;=400,(_xlfn.XLOOKUP(B13,'Base stats'!B:B,'Base stats'!C:C)/70)^0.572811455315093,IF(_xlfn.XLOOKUP(B13,'Base stats'!B:B,'Base stats'!C:C)&lt;=2000,2.71391647193063*(_xlfn.XLOOKUP(B13,'Base stats'!B:B,'Base stats'!C:C)/400)^0.252459582904293,3.74314280240376*(_xlfn.XLOOKUP(B13,'Base stats'!B:B,'Base stats'!C:C)/2000)^0.357012633876913)))),
IF(_xlfn.XLOOKUP(B13,'Base stats'!B:B,'Base stats'!C:C)&lt;0.1,0.05,IF(_xlfn.XLOOKUP(B13,'Base stats'!B:B,'Base stats'!C:C)&lt;0.4,0.1,IF(_xlfn.XLOOKUP(B13,'Base stats'!B:B,'Base stats'!C:C)&lt;=70,(_xlfn.XLOOKUP(B13,'Base stats'!B:B,'Base stats'!C:C)/70)^0.445823913056526,IF(_xlfn.XLOOKUP(B13,'Base stats'!B:B,'Base stats'!C:C)&lt;=400,(_xlfn.XLOOKUP(B13,'Base stats'!B:B,'Base stats'!C:C)/70)^0.572811455315093,IF(_xlfn.XLOOKUP(B13,'Base stats'!B:B,'Base stats'!C:C)&lt;=2000,2.71391647193063*(_xlfn.XLOOKUP(B13,'Base stats'!B:B,'Base stats'!C:C)/400)^0.252459582904293,3.74314280240376*(_xlfn.XLOOKUP(B13,'Base stats'!B:B,'Base stats'!C:C)/2000)^0.357012633876913)))))),
IF(_xlfn.XLOOKUP(B13,'Base stats'!B:B,'Base stats'!C:C)&lt;0.1,0.05,IF(_xlfn.XLOOKUP(B13,'Base stats'!B:B,'Base stats'!C:C)&lt;=100,0.05,IF(_xlfn.XLOOKUP(B13,'Base stats'!B:B,'Base stats'!C:C)&lt;=250,0.1,IF(_xlfn.XLOOKUP(B13,'Base stats'!B:B,'Base stats'!C:C)&lt;=4000,0.25,0.5)))))</f>
        <v>1.05</v>
      </c>
      <c r="AP13" s="8">
        <f>MROUND(AO13*_xlfn.XLOOKUP(_xlfn.XLOOKUP(B13,'Base stats'!B:B,'Base stats'!E:E),Groups!A:A,Groups!AI:AI)*_xlfn.XLOOKUP(B13,'Base stats'!B:B,'Base stats'!Z:Z),0.05)</f>
        <v>1.05</v>
      </c>
      <c r="AQ13" s="8">
        <f>MAX(0.01,MROUND(IF(CC13="True",0.196*(AO13*100*1000)^0.889,IF(_xlfn.XLOOKUP(_xlfn.XLOOKUP(B13,'Base stats'!B:B,'Base stats'!E:E),Groups!A:A,Groups!AJ:AJ)="Bird",10.5*(AO13*100*1000)^0.681,4.82*(AO13*100*1000)^0.734))/(4.82*(1*100*1000)^0.734)/IF(AO13&lt;3.5,2,IF(AO13=3.5,1.5,1.25))*(1+0.132282374779864/(AO13^0.994035016789033+0.00905238001496948)),0.05))</f>
        <v>0.60000000000000009</v>
      </c>
      <c r="AR13" s="9">
        <f>IFERROR(MROUND(_xlfn.XLOOKUP(B13,'Base stats'!B:B,'Base stats'!H:H)/IF(_xlfn.XLOOKUP(B13,'Base stats'!B:B,'Base stats'!I:I)&lt;&gt;1,(122.5/70),1.2),IF(_xlfn.XLOOKUP(B13,'Base stats'!B:B,'Base stats'!H:H)&gt;=30,5,IF(_xlfn.XLOOKUP(B13,'Base stats'!B:B,'Base stats'!H:H)&gt;=15,3,IF(_xlfn.XLOOKUP(B13,'Base stats'!B:B,'Base stats'!H:H)&gt;=10,2,1)))),"Immortal")</f>
        <v>15</v>
      </c>
      <c r="AS13" s="35">
        <f>IFERROR(IF(OR(_xlfn.XLOOKUP(B13,'Base stats'!B:B,'Base stats'!F:F)="Atypical reproduction",_xlfn.XLOOKUP(B13,'Base stats'!B:B,'Base stats'!F:F)="Lay eggs"),"Lay eggs",MIN(20,MAX(5.5,ROUND(((_xlfn.XLOOKUP(B13,'Base stats'!B:B,'Base stats'!F:F)-25)*(14.5/615) + 5.5)*2,0)/2))),"Unknown")</f>
        <v>13</v>
      </c>
      <c r="AT13" s="8">
        <f>IF(_xlfn.XLOOKUP(B13,'Base stats'!B:B,'Base stats'!G:G)="Atypical reproduction","No",IFERROR(MAX(IF(_xlfn.XLOOKUP(B13,'Base stats'!B:B,'Base stats'!G:G)&lt;0.5,0.2,0.3),MROUND(_xlfn.XLOOKUP(B13,'Base stats'!B:B,'Base stats'!G:G)/(365/60),0.2)),"Unknown"))</f>
        <v>0.3</v>
      </c>
      <c r="AU13" s="8">
        <f t="shared" si="1"/>
        <v>0.15000000000000002</v>
      </c>
      <c r="AV13" s="8">
        <f>IFERROR(IFERROR(MROUND(_xlfn.XLOOKUP(B13,'Base stats'!B:B,'Base stats'!J:J),0.1),"Lay eggs"),"Cannot breed")</f>
        <v>1</v>
      </c>
      <c r="AW13" s="2" t="str">
        <f t="shared" si="2"/>
        <v>true</v>
      </c>
      <c r="AX13" s="2" t="str">
        <f>IF(_xlfn.XLOOKUP(_xlfn.XLOOKUP(Animals!B13,'Base stats'!B:B,'Base stats'!E:E),Groups!A:A,Groups!AK:AK)=1,"true","false")</f>
        <v>true</v>
      </c>
      <c r="AY13" s="25" t="str">
        <f>IF(_xlfn.XLOOKUP(B13,'Base stats'!B:B,'Base stats'!Y:Y)="Liquor","Liquor, CarnivoreAnimalStrict",IF(AND(_xlfn.XLOOKUP(B13,'Base stats'!B:B,'Base stats'!Y:Y)="Carnivore",_xlfn.XLOOKUP(_xlfn.XLOOKUP(B13,'Base stats'!B:B,'Base stats'!E:E),Groups!A:A,Groups!AJ:AJ)="Photonozoa"),"CarnivoreAnimalStrict, OvivoreAnimal",IF(_xlfn.XLOOKUP(B13,'Base stats'!B:B,'Base stats'!Y:Y)="Carnivore","CarnivoreAnimal, OvivoreAnimal",IF(_xlfn.XLOOKUP(B13,'Base stats'!B:B,'Base stats'!Y:Y)="Dendrovore","VegetarianRoughAnimal, DendrovoreAnimal",IF(_xlfn.XLOOKUP(B13,'Base stats'!B:B,'Base stats'!Y:Y)="Herbivore","VegetarianRoughAnimal",IF(_xlfn.XLOOKUP(B13,'Base stats'!B:B,'Base stats'!Y:Y)="OmnivoreRough","OmnivoreRoughAnimal, OvivoreAnimal","OmnivoreAnimal, OvivoreAnimal"))))))</f>
        <v>VegetarianRoughAnimal</v>
      </c>
      <c r="AZ13" s="2">
        <f>IF(_xlfn.XLOOKUP(_xlfn.XLOOKUP(B13,'Base stats'!B:B,'Base stats'!E:E),Groups!A:A,Groups!D:D)=1,MROUND((1-J13)*5+1,2)*IF(J13&lt;=0.4,2,1),"No")</f>
        <v>12</v>
      </c>
      <c r="BA13" s="2" t="str">
        <f>IF(AND(_xlfn.XLOOKUP(B13,'Base stats'!B:B,'Base stats'!AH:AH)="&lt;li&gt;Seal&lt;/li&gt;",G13="Odyssey"),"&lt;li&gt;AEXP_Seal&lt;/li&gt;",_xlfn.XLOOKUP(B13,'Base stats'!B:B,'Base stats'!AH:AH))</f>
        <v>No</v>
      </c>
      <c r="BB13" s="2" t="str">
        <f>_xlfn.XLOOKUP(B13,'Base stats'!B:B,'Base stats'!AG:AG)</f>
        <v>Leather_Camel</v>
      </c>
      <c r="BC13" s="23" t="str">
        <f>_xlfn.XLOOKUP(_xlfn.XLOOKUP(B13,'Base stats'!B:B,'Base stats'!E:E),Groups!A:A,Groups!AL:AL)</f>
        <v>QuadrupedAnimalWithHooves</v>
      </c>
      <c r="BD13" s="23">
        <f>MIN(1,MROUND(IF(AND(AO13&lt;0.5,_xlfn.XLOOKUP(B13,'Base stats'!B:B,'Base stats'!AA:AA)=0),0,IF(OR(_xlfn.XLOOKUP(Animals!B13,'Base stats'!B:B,'Base stats'!O:O)=2,_xlfn.XLOOKUP(_xlfn.XLOOKUP(B13,'Base stats'!B:B,'Base stats'!E:E),Groups!A:A,Groups!AN:AN)=0),0,_xlfn.XLOOKUP(_xlfn.XLOOKUP(B13,'Base stats'!B:B,'Base stats'!E:E),Groups!A:A,Groups!AN:AN)/IF(_xlfn.XLOOKUP(Animals!B13,'Base stats'!B:B,'Base stats'!O:O)=1,2,1)))+_xlfn.XLOOKUP(B13,'Base stats'!B:B,'Base stats'!AC:AC),0.005))</f>
        <v>0</v>
      </c>
      <c r="BE13" s="23">
        <f>MIN(1,MROUND(IF(AND(AO13&lt;0.5,_xlfn.XLOOKUP(B13,'Base stats'!B:B,'Base stats'!AA:AA)=0),0,IF(_xlfn.XLOOKUP(_xlfn.XLOOKUP(B13,'Base stats'!B:B,'Base stats'!E:E),Groups!A:A,Groups!AO:AO)=0,0,_xlfn.XLOOKUP(_xlfn.XLOOKUP(B13,'Base stats'!B:B,'Base stats'!E:E),Groups!A:A,Groups!AO:AO)/IF(_xlfn.XLOOKUP(Animals!B13,'Base stats'!B:B,'Base stats'!O:O)=2,3,1)))+_xlfn.XLOOKUP(B13,'Base stats'!B:B,'Base stats'!AD:AD),0.005))</f>
        <v>0</v>
      </c>
      <c r="BF13" s="2" t="str">
        <f>IF(J13&gt;0.3,"No",_xlfn.XLOOKUP(_xlfn.XLOOKUP(Animals!B13,'Base stats'!B:B,'Base stats'!E:E),Groups!A:A,Groups!AP:AP))</f>
        <v>No</v>
      </c>
      <c r="BG13" s="2" t="str">
        <f>IF(AND(J13&lt;=0.65,_xlfn.XLOOKUP(_xlfn.XLOOKUP(Animals!B13,'Base stats'!B:B,'Base stats'!E:E),Groups!A:A,Groups!AP:AP)&lt;&gt;"No",_xlfn.XLOOKUP(_xlfn.XLOOKUP(B13,'Base stats'!B:B,'Base stats'!E:E),Groups!A:A,Groups!D:D)=0),MROUND((80/3)*IF(_xlfn.XLOOKUP(B13,'Base stats'!B:B,'Base stats'!O:O)=2,0.2,AO13) + 24*(1-IF(BF13="No",0,BF13)) + 16/3, 12),"No")</f>
        <v>No</v>
      </c>
      <c r="BH13" s="2">
        <f>IF(AND(_xlfn.XLOOKUP(_xlfn.XLOOKUP(B13,'Base stats'!B:B,'Base stats'!E:E),Groups!A:A,Groups!AQ:AQ)=1,AO13&lt;=0.35),8,12)</f>
        <v>12</v>
      </c>
      <c r="BI13" s="2" t="str">
        <f>IF(_xlfn.XLOOKUP(_xlfn.XLOOKUP(B13,'Base stats'!B:B,'Base stats'!E:E),Groups!A:A,Groups!D:D)=0,_xlfn.XLOOKUP(_xlfn.XLOOKUP(B13,'Base stats'!B:B,'Base stats'!E:E),Groups!A:A,Groups!AR:AR),"None")</f>
        <v>None</v>
      </c>
      <c r="BJ13" s="2" t="str">
        <f>IF(AND(_xlfn.XLOOKUP(_xlfn.XLOOKUP(B13,'Base stats'!B:B,'Base stats'!E:E),Groups!A:A,Groups!AS:AS)=1,OR(_xlfn.XLOOKUP(B13,'Base stats'!B:B,'Base stats'!Y:Y)="Carnivore",_xlfn.XLOOKUP(B13,'Base stats'!B:B,'Base stats'!Y:Y)="Omnivore")),"true","false")</f>
        <v>false</v>
      </c>
      <c r="BK13" s="2" t="str">
        <f>IF(BJ13="true",MROUND(IF(AND(AO13&gt;0.5,OR(_xlfn.XLOOKUP(_xlfn.XLOOKUP(B13,'Base stats'!B:B,'Base stats'!E:E),Groups!A:A,Groups!AJ:AJ)="Photonozoa",_xlfn.XLOOKUP(_xlfn.XLOOKUP(B13,'Base stats'!B:B,'Base stats'!E:E),Groups!A:A,Groups!AJ:AJ)="Mammal")),Animals!AO13*1.75*IF(AW13="true",1.5,1),IF(AO13&lt;0.5,Animals!AO13*0.5,Animals!AO13)),IF(AO13&gt;2,0.5,IF(AO13&gt;0.5,0.25,0.1))),"No")</f>
        <v>No</v>
      </c>
      <c r="BL13" s="2">
        <f t="shared" si="3"/>
        <v>0</v>
      </c>
      <c r="BM13" s="25" t="str">
        <f>IF(_xlfn.XLOOKUP(B13,'Base stats'!B:B,'Base stats'!AN:AN)="Standard","No",MROUND((_xlfn.XLOOKUP(B13,'Base stats'!B:B,'Base stats'!AN:AN)/3.6)/I13,0.1))</f>
        <v>No</v>
      </c>
      <c r="BN13" s="25" t="str">
        <f t="shared" si="4"/>
        <v>false</v>
      </c>
      <c r="BO13" s="25" t="str">
        <f>IF(AND(OR(_xlfn.XLOOKUP(B13,'Base stats'!B:B,'Base stats'!Y:Y)="Carnivore",_xlfn.XLOOKUP(B13,'Base stats'!B:B,'Base stats'!Y:Y)="Omnivore",_xlfn.XLOOKUP(B13,'Base stats'!B:B,'Base stats'!Y:Y)="OmnivoreRough"),_xlfn.XLOOKUP(_xlfn.XLOOKUP(B13,'Base stats'!B:B,'Base stats'!E:E),Groups!A:A,Groups!AT:AT)=1),"true","false")</f>
        <v>false</v>
      </c>
      <c r="BP13" s="25" t="str" cm="1">
        <f t="array" ref="BP13">IF(
  _xlfn.TEXTJOIN(", ",TRUE,
    IF(AND(BJ13="true",AO13&gt;0.5,BI13&lt;&gt;"None"),"AttackTarget",""),
    IF(AND(_xlfn.XLOOKUP(_xlfn.XLOOKUP(B13,'Base stats'!B:B,'Base stats'!E:E),Groups!A:A,Groups!AJ:AJ="Mammal"),OR(_xlfn.XLOOKUP(B13,'Base stats'!B:B,'Base stats'!Y:Y)="Omnivore",_xlfn.XLOOKUP(B13,'Base stats'!B:B,'Base stats'!Y:Y)="OmnivoreRough")),"Forage",""),
    IF(BG13&lt;=36,"Comfort",""),
    IF(_xlfn.XLOOKUP(B13,'Base stats'!B:B,'Base stats'!AE:AE)&lt;&gt;"No",_xlfn.XLOOKUP(B13,'Base stats'!B:B,'Base stats'!AE:AE),"")
  ) = "",
  "No",
  _xlfn.TEXTJOIN(", ",TRUE,
    IF(AND(BJ13="true",AO13&gt;0.5,BI13&lt;&gt;"None"),"AttackTarget",""),
    IF(AND(_xlfn.XLOOKUP(_xlfn.XLOOKUP(B13,'Base stats'!B:B,'Base stats'!E:E),Groups!A:A,Groups!AJ:AJ="Mammal"),OR(_xlfn.XLOOKUP(B13,'Base stats'!B:B,'Base stats'!Y:Y)="Omnivore",_xlfn.XLOOKUP(B13,'Base stats'!B:B,'Base stats'!Y:Y)="OmnivoreRough")),"Forage",""),
    IF(BG13&lt;=36,"Comfort",""),
    IF(_xlfn.XLOOKUP(B13,'Base stats'!B:B,'Base stats'!AE:AE)&lt;&gt;"No",_xlfn.XLOOKUP(B13,'Base stats'!B:B,'Base stats'!AE:AE),"")
  )
)</f>
        <v>No</v>
      </c>
      <c r="BQ13" s="25" t="str">
        <f>IF(
   AND(
      'Base stats'!AN13="Standard",_xlfn.XLOOKUP(_xlfn.XLOOKUP(B13,'Base stats'!B:B,'Base stats'!E:E),Groups!A:A,Groups!AU:AU)=0,
      OR(
      BO13="True"
      )
   ),
   10,
   IF(
       OR(BM13&lt;&gt;"No",_xlfn.XLOOKUP(_xlfn.XLOOKUP(B13,'Base stats'!B:B,'Base stats'!E:E),Groups!A:A,Groups!AU:AU)=1),
      1,
      "No"
   )
)</f>
        <v>No</v>
      </c>
      <c r="BR13" s="9">
        <f>MROUND((1 + ((0.2*IF(OR(Q13="No",R13="No",R13=0),0,Q13/R13)
+IF(OR(V13="No",S13="No",T13="No"),0,S13/T13*(LEN(V13)-LEN(SUBSTITUTE(V13,",",""))+1))
+IF(OR(X13="No",Y13="No"),0,X13/Y13)
+IF(OR(AD13="No",AE13="No"),0,AD13/AE13)
+IF(OR(AL13="No",AI13="No",AJ13="No"),0,AI13/AJ13*(LEN(AL13)-LEN(SUBSTITUTE(AL13,",",""))+1))
)/(0.2*IF(OR(Q13="No",R13="No",R13=0),0,1)
+IF(OR(V13="No",S13="No",T13="No"),0,LEN(V13)-LEN(SUBSTITUTE(V13,",",""))+1)
+IF(OR(X13="No",Y13="No"),0,1)
+IF(OR(AD13="No",AE13="No"),0,1)
+IF(OR(AL13="No",AI13="No",AJ13="No"),0,LEN(AL13)-LEN(SUBSTITUTE(AL13,",",""))+1))*62%)* 2)*(1 + (AP13 / (IF(_xlfn.XLOOKUP(_xlfn.XLOOKUP(B13,'Base stats'!B:B,'Base stats'!E:E),Groups!A:A,Groups!AJ:AJ)="Photonozoa",0.3,1)) + _xlfn.XLOOKUP(B13,'Base stats'!B:B,'Base stats'!AV:AV) * 1.8) * 2) * 2.5 + 10 + I13 * 2,5)+IF(_xlfn.XLOOKUP(B13,'Base stats'!B:B,'Base stats'!AK:AK)=1,50,0)</f>
        <v>80</v>
      </c>
      <c r="BS13" s="8">
        <f t="shared" si="5"/>
        <v>0.70000000000000007</v>
      </c>
      <c r="BT13" s="8" t="str">
        <f>_xlfn.XLOOKUP(B13,'Base stats'!B:B,'Base stats'!AF:AF)</f>
        <v>3~8</v>
      </c>
      <c r="BU13" s="2" t="str">
        <f>IF(AND(J13&lt;=0.95,OR(_xlfn.XLOOKUP(B13,'Base stats'!B:B,'Base stats'!AK:AK)=1,_xlfn.XLOOKUP(B13,'Base stats'!B:B,'Base stats'!Y:Y)="Carnivore",_xlfn.XLOOKUP(B13,'Base stats'!B:B,'Base stats'!Y:Y)="Omnivore",BE13&gt;0.1)),"true","false")</f>
        <v>false</v>
      </c>
      <c r="BV13" s="2" t="str">
        <f>IF(_xlfn.XLOOKUP(B13,'Base stats'!B:B,'Base stats'!AI:AI)=1,"true","false")</f>
        <v>true</v>
      </c>
      <c r="BW13" s="25" t="str">
        <f>IF(E13="BaseInsect","AnimalInsect",
IF(J13&gt;0.95,"AnimalExotic",
_xlfn.TEXTJOIN(", ",TRUE,
IF(OR(_xlfn.XLOOKUP(B13,'Base stats'!B:B,'Base stats'!AM:AM)=1,AND(_xlfn.XLOOKUP(B13,'Base stats'!B:B,'Base stats'!O:O)=0,_xlfn.XLOOKUP(_xlfn.XLOOKUP(B13,'Base stats'!B:B,'Base stats'!E:E),Groups!A:A,Groups!B:B)&gt;0)),"AnimalUncommon","AnimalCommon"),
IF(AND(_xlfn.XLOOKUP(B13,'Base stats'!B:B,'Base stats'!O:O)=2,_xlfn.XLOOKUP(_xlfn.XLOOKUP(B13,'Base stats'!B:B,'Base stats'!E:E),Groups!A:A,Groups!D:D)=0),"AnimalPet",IF(AND(_xlfn.XLOOKUP(B13,'Base stats'!B:B,'Base stats'!O:O)&lt;&gt;0,_xlfn.XLOOKUP(_xlfn.XLOOKUP(B13,'Base stats'!B:B,'Base stats'!E:E),Groups!A:A,Groups!D:D)&lt;&gt;0),"AnimalFarm","")),
IF(OR(_xlfn.XLOOKUP(B13,'Base stats'!B:B,'Base stats'!AK:AK)=1,AND(BI13&lt;&gt;"None",BR13&gt;=60),ISNUMBER(SEARCH("Attack target",BP13))),"AnimalFighter","")
)))</f>
        <v>AnimalCommon, AnimalFarm</v>
      </c>
      <c r="BX13" s="25" t="str">
        <f>IF(G13="None",TRIM(
SUBSTITUTE(
IF(COUNTIF(Biomes!B$2:B$259,"="&amp;$C13)&gt;0,Biomes!B$1&amp;", ","")&amp;
IF(COUNTIF(Biomes!C$2:C$259,"="&amp;$C13)&gt;0,Biomes!C$1&amp;", ","")&amp;
IF(COUNTIF(Biomes!D$2:D$259,"="&amp;$C13)&gt;0,Biomes!D$1&amp;", ","")&amp;
IF(COUNTIF(Biomes!F$2:F$259,"="&amp;$C13)&gt;0,Biomes!F$1&amp;", ","")&amp;
IF(COUNTIF(Biomes!G$2:G$259,"="&amp;$C13)&gt;0,Biomes!G$1&amp;", ","")&amp;
IF(COUNTIF(Biomes!H$2:H$259,"="&amp;$C13)&gt;0,Biomes!H$1&amp;", ","")&amp;
IF(COUNTIF(Biomes!I$2:I$259,"="&amp;$C13)&gt;0,Biomes!I$1&amp;", ","")&amp;
IF(COUNTIF(Biomes!J$2:J$259,"="&amp;$C13)&gt;0,Biomes!J$1&amp;", ","")&amp;
IF(COUNTIF(Biomes!M$2:M$259,"="&amp;$C13)&gt;0,Biomes!M$1&amp;", ","")&amp;
IF(COUNTIF(Biomes!N$2:N$259,"="&amp;$C13)&gt;0,Biomes!N$1&amp;", ","")&amp;
IF(COUNTIF(Biomes!O$2:O$259,"="&amp;$C13)&gt;0,Biomes!O$1&amp;", ","")&amp;
IF(COUNTIF(Biomes!P$2:P$259,"="&amp;$C13)&gt;0,Biomes!P$1&amp;", ","")&amp;
IF(COUNTIF(Biomes!K$2:K$259,"="&amp;$C13)&gt;0,Biomes!K$1&amp;", ","")&amp;
IF(COUNTIF(Biomes!Q$3:Q$259,"="&amp;$C13)&gt;0,Biomes!Q$1&amp;", ","")&amp;
IF(COUNTIF(Biomes!L$2:L$259,"="&amp;$C13)&gt;0,Biomes!L$1&amp;", ","")&amp;
IF(COUNTIF(Biomes!E$2:E$259,"="&amp;$C13)&gt;0,Biomes!E$1&amp;", ","")&amp;IF(COUNTIF(Biomes!S$2:S$259,"="&amp;$C13)&gt;0,Biomes!S$1&amp;", ","")&amp;
IF(COUNTIF(Biomes!R$2:R$259,"="&amp;$C13)&gt;0,Biomes!R$1&amp;", ",""),", ","")
),_xlfn.XLOOKUP(B13,B:B,BX:BX))</f>
        <v/>
      </c>
      <c r="BY13" s="25" t="str">
        <f>IF(_xlfn.XLOOKUP(B13,'Base stats'!B:B,'Base stats'!AJ:AJ)=1,"true","false")</f>
        <v>false</v>
      </c>
      <c r="BZ13" s="25">
        <f>IF(_xlfn.XLOOKUP(B13,'Base stats'!B:B,'Base stats'!N:N)=1,"No",MAX(0.001,MIN(MROUND(IF(AND(BJ13="True",CC13="False"),POWER(10,3.47*LOG10(_xlfn.XLOOKUP(B13,'Base stats'!B:B,'Base stats'!C:C)*1000)^-0.96),POWER(10,4.15*LOG10(_xlfn.XLOOKUP(B13,'Base stats'!B:B,'Base stats'!C:C)*1000)^-0.73))*IF(_xlfn.XLOOKUP(B13,'Base stats'!B:B,'Base stats'!AK:AK)=1,0.5,1)*IF(_xlfn.XLOOKUP(B13,'Base stats'!B:B,'Base stats'!AM:AM)=1,0.1,1)/100,IF(_xlfn.XLOOKUP(B13,'Base stats'!B:B,'Base stats'!AM:AM)=1,0.001,0.025)),0.5)))</f>
        <v>0.2</v>
      </c>
      <c r="CA13" s="25" t="str">
        <f>IF(P13="Standard","No",MAX(0.001,MIN(MROUND(IF(AND(BJ13="True",CC13="False"),POWER(10,3.47*LOG10(_xlfn.XLOOKUP(B13,'Base stats'!B:B,'Base stats'!C:C)*1000)^-0.96),POWER(10,4.15*LOG10(_xlfn.XLOOKUP(B13,'Base stats'!B:B,'Base stats'!C:C)*1000)^-0.73))*IF(_xlfn.XLOOKUP(B13,'Base stats'!B:B,'Base stats'!AM:AM)=1,0.1,1)*_xlfn.XLOOKUP(B13,'Base stats'!B:B,'Base stats'!R:R)/100,IF(_xlfn.XLOOKUP(B13,'Base stats'!B:B,'Base stats'!AM:AM)=1,0.001,0.025)),0.5)))</f>
        <v>No</v>
      </c>
      <c r="CB13" s="25" t="str">
        <f>IF(_xlfn.XLOOKUP(_xlfn.XLOOKUP(B13,'Base stats'!B:B,'Base stats'!E:E),Groups!A:A,Groups!AJ:AJ)="Mammal","True","False")</f>
        <v>True</v>
      </c>
      <c r="CC13" s="25" t="str">
        <f>IF(OR(_xlfn.XLOOKUP(_xlfn.XLOOKUP(B13,'Base stats'!B:B,'Base stats'!E:E),Groups!A:A,Groups!AJ:AJ)="Reptile",_xlfn.XLOOKUP(_xlfn.XLOOKUP(B13,'Base stats'!B:B,'Base stats'!E:E),Groups!A:A,Groups!AJ:AJ)="Amphibian",_xlfn.XLOOKUP(_xlfn.XLOOKUP(B13,'Base stats'!B:B,'Base stats'!E:E),Groups!A:A,Groups!AJ:AJ)="Invertebrate"),"True","False")</f>
        <v>False</v>
      </c>
      <c r="CD13" s="25" t="str">
        <f t="shared" si="6"/>
        <v>False</v>
      </c>
      <c r="CE13" s="25" t="str">
        <f>IF(_xlfn.XLOOKUP(_xlfn.XLOOKUP(B13,'Base stats'!B:B,'Base stats'!E:E),Groups!A:A,Groups!AX:AX),"True","False")</f>
        <v>False</v>
      </c>
      <c r="CF13" s="25" t="str">
        <f>IF(_xlfn.XLOOKUP(_xlfn.XLOOKUP(B13,'Base stats'!B:B,'Base stats'!E:E),Groups!A:A,Groups!AY:AY),"True","False")</f>
        <v>False</v>
      </c>
      <c r="CG13" s="25" t="str">
        <f>IF(_xlfn.XLOOKUP(_xlfn.XLOOKUP(B13,'Base stats'!B:B,'Base stats'!E:E),Groups!A:A,Groups!AW:AW),"True","False")</f>
        <v>False</v>
      </c>
      <c r="CH13" s="25" t="str">
        <f>IF(
OR(
_xlfn.XLOOKUP(_xlfn.XLOOKUP(B13,'Base stats'!B:B,'Base stats'!E:E),Groups!A:A,Groups!AZ:AZ)=0,
AND(
_xlfn.XLOOKUP(B13,'Base stats'!B:B,'Base stats'!Y:Y)&lt;&gt;"Carnivore",
_xlfn.XLOOKUP(B13,'Base stats'!B:B,'Base stats'!Y:Y)&lt;&gt;"Omnivore",
_xlfn.XLOOKUP(B13,'Base stats'!B:B,'Base stats'!Y:Y)&lt;&gt;"OmnivoreRough"
)
),
"No",
IF(
_xlfn.XLOOKUP(_xlfn.XLOOKUP(B13,'Base stats'!B:B,'Base stats'!E:E),Groups!A:A,Groups!AZ:AZ)=1,
"Flesh",
IF(
_xlfn.XLOOKUP(_xlfn.XLOOKUP(B13,'Base stats'!B:B,'Base stats'!E:E),Groups!A:A,Groups!AZ:AZ)=2,
"Bone",
""
)
)
)</f>
        <v>No</v>
      </c>
      <c r="CI13" s="25" t="str">
        <f>IF(_xlfn.XLOOKUP(_xlfn.XLOOKUP(B13,'Base stats'!B:B,'Base stats'!E:E),Groups!A:A,Groups!BB:BB),"True","False")</f>
        <v>True</v>
      </c>
      <c r="CJ13" s="25" t="str">
        <f>IF(_xlfn.XLOOKUP(_xlfn.XLOOKUP(B13,'Base stats'!B:B,'Base stats'!E:E),Groups!A:A,Groups!BA:BA),"True","False")</f>
        <v>False</v>
      </c>
      <c r="CO13" s="16"/>
    </row>
    <row r="14" spans="1:93" ht="16.5" thickTop="1" thickBot="1" x14ac:dyDescent="0.3">
      <c r="A14" s="26" t="str">
        <f>_xlfn.XLOOKUP(B14,'Base stats'!B:B,'Base stats'!A:A)</f>
        <v>Yorkshire terrier</v>
      </c>
      <c r="B14" s="6" t="s">
        <v>874</v>
      </c>
      <c r="C14" s="28" t="s">
        <v>685</v>
      </c>
      <c r="D14" s="28" t="s">
        <v>45</v>
      </c>
      <c r="E14" s="28" t="s">
        <v>673</v>
      </c>
      <c r="F14" s="28" t="s">
        <v>673</v>
      </c>
      <c r="G14" s="28" t="s">
        <v>673</v>
      </c>
      <c r="H14" s="2">
        <f>MROUND((
  (IF(AND(_xlfn.XLOOKUP(B14,'Base stats'!B:B,'Base stats'!AL:AL)=0,BI14="None",_xlfn.XLOOKUP(_xlfn.XLOOKUP(B14,'Base stats'!B:B,'Base stats'!E:E),Groups!A:A,Groups!B:B)=0), (18 + BR14 * 2.7) * 0.5,
    IF(AND(_xlfn.XLOOKUP(B14,'Base stats'!B:B,'Base stats'!AL:AL)=0,OR(AO14&lt;0.55,AND(BI14="Intermediate",_xlfn.XLOOKUP(_xlfn.XLOOKUP(B14,'Base stats'!B:B,'Base stats'!E:E),Groups!A:A,Groups!B:B)&lt;2))), (18 + BR14 * 2.7),
      IF(OR(BI14="Advanced",_xlfn.XLOOKUP(B14,'Base stats'!B:B,'Base stats'!AL:AL)=1,_xlfn.XLOOKUP(_xlfn.XLOOKUP(B14,'Base stats'!B:B,'Base stats'!E:E),Groups!A:A,Groups!B:B)=2), (18 + BR14 * 2.7) + 250, (18 + BR14 * 2.7))
    )
  ))
  + AO14 * 80
  + IF(COUNTIF(EggMilk!K$2:K$998, A14) &gt; 0, 125, 0)
  + IF(COUNTIF(EggMilk!P$2:P$998, A14) &gt; 0, 90, 0)
  + IF(COUNTIF(EggMilk!A$2:A$998, A14) &gt; 0, 90, 0)
)
* (0.8 + 0.4 * J14)
* 0.75,25)</f>
        <v>75</v>
      </c>
      <c r="I14" s="2">
        <f>MROUND(ROUNDDOWN(_xlfn.XLOOKUP(B14,'Base stats'!B:B,'Base stats'!L:L)/3.6/(23.3/11),1),0.5)</f>
        <v>5</v>
      </c>
      <c r="J14" s="2">
        <f>IF(OR(_xlfn.XLOOKUP(B14,'Base stats'!B:B,'Base stats'!AB:AB)=1,_xlfn.XLOOKUP(_xlfn.XLOOKUP(B14,'Base stats'!B:B,'Base stats'!E:E),Groups!A:A,Groups!C:C)="Untamable"),1,IF(_xlfn.XLOOKUP(B14,'Base stats'!B:B,'Base stats'!AL:AL)=1,0.99,MIN(MROUND((1-0.6282*EXP(-0.459*AO14))*_xlfn.XLOOKUP(_xlfn.XLOOKUP(B14,'Base stats'!B:B,'Base stats'!E:E),Groups!A:A,Groups!C:C)*IF(_xlfn.XLOOKUP(B14,'Base stats'!B:B,'Base stats'!O:O)=1,0.5,IF(_xlfn.XLOOKUP(B14,'Base stats'!B:B,'Base stats'!O:O)=2,0,1)),0.05),IF(AO14&gt;3.5,0.985,0.95))))</f>
        <v>0</v>
      </c>
      <c r="K14" s="2">
        <f>ROUNDUP(AO14*_xlfn.XLOOKUP(_xlfn.XLOOKUP(B14,'Base stats'!B:B,'Base stats'!E:E),Groups!A:A,Groups!E:E),0)</f>
        <v>1</v>
      </c>
      <c r="L14" s="2">
        <f>IF(OR(_xlfn.XLOOKUP(_xlfn.XLOOKUP(B14,'Base stats'!B:B,'Base stats'!E:E),Groups!A:A,Groups!F:F)=2,ISNUMBER(SEARCH("SeaIce",BX14)),ISNUMBER(SEARCH("IceSheet",BX14))),-50,IF(OR(ISNUMBER(SEARCH("GlacialPlain",BX14)),ISNUMBER(SEARCH("Tundra",BX14))),-40,IF(OR(ISNUMBER(SEARCH("Alpine",BX14)),ISNUMBER(SEARCH("BorealForest",BX14)),ISNUMBER(SEARCH("ColdBog",BX14))),-30,IF(OR(ISNUMBER(SEARCH("TemperateForest",BX14)),ISNUMBER(SEARCH("TemperateSwamp",BX14))),-20,IF(_xlfn.XLOOKUP(_xlfn.XLOOKUP(B14,'Base stats'!B:B,'Base stats'!E:E),Groups!A:A,Groups!F:F)=1,-15,IF(OR(ISNUMBER(SEARCH("Desert",BX14)),ISNUMBER(SEARCH("ExtremeDesert",BX14))),-10,IF(OR(ISNUMBER(SEARCH("Grasslands",BX14)),ISNUMBER(SEARCH("TropicalRainforest",BX14)),ISNUMBER(SEARCH("TropicalSwamp",BX14))),10,0)))))))-IF(CC14="False",MIN(IFERROR(MAX(MROUND(LOG10(_xlfn.XLOOKUP(B14,'Base stats'!B:B,'Base stats'!C:C)^(2/3))*10,5),5),5),30))-_xlfn.XLOOKUP(B14,'Base stats'!B:B,'Base stats'!P:P)+IF(CC14="True",5,0)</f>
        <v>-20</v>
      </c>
      <c r="M14" s="2">
        <f>IF(OR(_xlfn.XLOOKUP(_xlfn.XLOOKUP(B14,'Base stats'!B:B,'Base stats'!E:E),Groups!A:A,Groups!G:G)=2,ISNUMBER(SEARCH("Desert",BX14)),ISNUMBER(SEARCH("ExtremeDesert",BX14)),ISNUMBER(SEARCH("LavaField",BX14))),50,IF(ISNUMBER(SEARCH("Grasslands",BX14)),45,IF(OR(_xlfn.XLOOKUP(_xlfn.XLOOKUP(B14,'Base stats'!B:B,'Base stats'!E:E),Groups!A:A,Groups!G:G)=1,ISNUMBER(SEARCH("TropicalRainforest",BX14)),ISNUMBER(SEARCH("TropicalSwamp",BX14))),40,IF(OR(ISNUMBER(SEARCH("TemperateForest",BX14)),ISNUMBER(SEARCH("TemperateSwamp",BX14))),35,IF(OR(ISNUMBER(SEARCH("Alpine",BX14)),ISNUMBER(SEARCH("BorealForest",BX14)),ISNUMBER(SEARCH("ColdBog",BX14))),30,IF(ISNUMBER(OR(ISNUMBER(SEARCH("GlacialPlain",BX14)),SEARCH("Tundra",BX14))),25,IF(OR(ISNUMBER(SEARCH("SeaIce",BX14)),ISNUMBER(SEARCH("IceSheet",BX14)),ISNUMBER(SEARCH("TropicalSwamp",BX14))),10,35)))))))+_xlfn.XLOOKUP(B14,'Base stats'!B:B,'Base stats'!Q:Q)</f>
        <v>35</v>
      </c>
      <c r="N14" s="8" t="str">
        <f>IF(
_xlfn.XLOOKUP(
_xlfn.XLOOKUP(B14,'Base stats'!B:B,'Base stats'!E:E),
Groups!A:A,
Groups!L:L
)=1,
MIN(
MROUND(
IF(
_xlfn.XLOOKUP(B14,'Animals CE'!B:B,'Animals CE'!Z:Z)&lt;=1.5,
_xlfn.XLOOKUP(B14,'Animals CE'!B:B,'Animals CE'!Z:Z)/2+0.05,
0.8+
(_xlfn.XLOOKUP(B14,'Animals CE'!B:B,'Animals CE'!Z:Z)-1.5)
*0.02
),
0.05
),
200%
),
"No"
)</f>
        <v>No</v>
      </c>
      <c r="O14" s="8" t="str">
        <f>IF(
_xlfn.XLOOKUP(
_xlfn.XLOOKUP(B14,'Base stats'!B:B,'Base stats'!E:E),
Groups!A:A,
Groups!L:L
)=1,
MIN(
MROUND(
IF(
_xlfn.XLOOKUP(B14,'Animals CE'!B:B,'Animals CE'!AA:AA)&lt;=1.5,
_xlfn.XLOOKUP(B14,'Animals CE'!B:B,'Animals CE'!AA:AA)/2+0.05,
0.8+
(_xlfn.XLOOKUP(B14,'Animals CE'!B:B,'Animals CE'!AA:AA)-1.5)
*0.02
),
0.05
),
200%
),
"No"
)</f>
        <v>No</v>
      </c>
      <c r="P14" s="2" t="str">
        <f>_xlfn.XLOOKUP(B14,'Base stats'!B:B,'Base stats'!R:R)</f>
        <v>Standard</v>
      </c>
      <c r="Q14" s="13">
        <f>MROUND((LOG10(_xlfn.XLOOKUP(B14,'Base stats'!B:B,'Base stats'!AR:AR))*(AO14^0.5)+(_xlfn.XLOOKUP(B14,'Base stats'!B:B,'Base stats'!AR:AR)/1000)^(2/3)+_xlfn.XLOOKUP(B14,'Base stats'!B:B,'Base stats'!BA:BA)/2)+0.5,0.5)</f>
        <v>2</v>
      </c>
      <c r="R14" s="7">
        <f>IF(Q14="No","No",MAX(1,MROUND(_xlfn.XLOOKUP(B14,'Base stats'!B:B,'Base stats'!C:C)^0.165,0.05)))</f>
        <v>1.1500000000000001</v>
      </c>
      <c r="S14" s="13" t="str">
        <f>IF(_xlfn.XLOOKUP(_xlfn.XLOOKUP(B14,'Base stats'!B:B,'Base stats'!E:E),Groups!A:A,Groups!P:P)=0,"No",MROUND((LOG10(_xlfn.XLOOKUP(B14,'Base stats'!B:B,'Base stats'!AS:AS))*(AO14^0.5)+(_xlfn.XLOOKUP(B14,'Base stats'!B:B,'Base stats'!AS:AS)/1000)^(2/3)+_xlfn.XLOOKUP(B14,'Base stats'!B:B,'Base stats'!BA:BA))+_xlfn.XLOOKUP(B14,'Base stats'!B:B,'Base stats'!AY:AY)+0.5,0.5))</f>
        <v>No</v>
      </c>
      <c r="T14" s="7" t="str">
        <f>IF(S14="No","No",MAX(_xlfn.XLOOKUP(_xlfn.XLOOKUP(B14,'Base stats'!B:B,'Base stats'!E:E),Groups!A:A,Groups!Q:Q),MROUND(_xlfn.XLOOKUP(_xlfn.XLOOKUP(B14,'Base stats'!B:B,'Base stats'!E:E),Groups!A:A,Groups!Q:Q)*_xlfn.XLOOKUP(B14,'Base stats'!B:B,'Base stats'!C:C)^0.165,0.05)))</f>
        <v>No</v>
      </c>
      <c r="U14" s="7" t="str">
        <f>IF(S14="No","No",_xlfn.XLOOKUP(_xlfn.XLOOKUP(B14,'Base stats'!B:B,'Base stats'!E:E),Groups!A:A,Groups!R:R))</f>
        <v>No</v>
      </c>
      <c r="V14" s="7" t="str">
        <f>IF(S14="No","No",_xlfn.XLOOKUP(_xlfn.XLOOKUP(B14,'Base stats'!B:B,'Base stats'!E:E),Groups!A:A,Groups!S:S))</f>
        <v>No</v>
      </c>
      <c r="W14" s="7" t="str">
        <f>IF(S14="No","No",_xlfn.XLOOKUP(_xlfn.XLOOKUP(B14,'Base stats'!B:B,'Base stats'!E:E),Groups!A:A,Groups!T:T))</f>
        <v>No</v>
      </c>
      <c r="X14" s="13" t="str">
        <f>IF(_xlfn.XLOOKUP(B14,'Base stats'!B:B,'Base stats'!W:W)="No","No",MROUND((LOG10(_xlfn.XLOOKUP(B14,'Base stats'!B:B,'Base stats'!AU:AU))*(AO14^0.5)+(_xlfn.XLOOKUP(B14,'Base stats'!B:B,'Base stats'!AU:AU)/1000)^(2/3)+_xlfn.XLOOKUP(B14,'Base stats'!B:B,'Base stats'!AZ:AZ))+0.5+IF(_xlfn.XLOOKUP(_xlfn.XLOOKUP(B14,'Base stats'!B:B,'Base stats'!E:E),Groups!A:A,Groups!U:U)&lt;&gt;3,_xlfn.XLOOKUP(B14,'Base stats'!B:B,'Base stats'!BA:BA),0),0.5))</f>
        <v>No</v>
      </c>
      <c r="Y14" s="7" t="str">
        <f>IF(X14="No","No",MAX(_xlfn.XLOOKUP(_xlfn.XLOOKUP(B14,'Base stats'!B:B,'Base stats'!E:E),Groups!A:A,Groups!V:V),MROUND(_xlfn.XLOOKUP(_xlfn.XLOOKUP(B14,'Base stats'!B:B,'Base stats'!E:E),Groups!A:A,Groups!V:V)*_xlfn.XLOOKUP(B14,'Base stats'!B:B,'Base stats'!C:C)^0.165,0.05)))</f>
        <v>No</v>
      </c>
      <c r="Z14" s="7" t="str">
        <f>IF(X14="No","No",_xlfn.XLOOKUP(_xlfn.XLOOKUP(B14,'Base stats'!B:B,'Base stats'!E:E),Groups!A:A,Groups!W:W))</f>
        <v>No</v>
      </c>
      <c r="AA14" s="7" t="str">
        <f>IF(X14="No","No",_xlfn.XLOOKUP(_xlfn.XLOOKUP(B14,'Base stats'!B:B,'Base stats'!E:E),Groups!A:A,Groups!X:X))</f>
        <v>No</v>
      </c>
      <c r="AB14" s="7" t="str">
        <f>IF(X14="No","No",_xlfn.XLOOKUP(_xlfn.XLOOKUP(B14,'Base stats'!B:B,'Base stats'!E:E),Groups!A:A,Groups!Y:Y))</f>
        <v>No</v>
      </c>
      <c r="AC14" s="7" t="str">
        <f>_xlfn.XLOOKUP(Animals!B14,'Base stats'!B:B,'Base stats'!X:X)</f>
        <v>False</v>
      </c>
      <c r="AD14" s="13">
        <f>IF(_xlfn.XLOOKUP(B14,'Base stats'!B:B,'Base stats'!AT:AT)="No","No",MROUND((LOG10(_xlfn.XLOOKUP(B14,'Base stats'!B:B,'Base stats'!AT:AT))*(AO14^0.75)+(_xlfn.XLOOKUP(B14,'Base stats'!B:B,'Base stats'!AT:AT)/1000)^(2/3)+_xlfn.XLOOKUP(B14,'Base stats'!B:B,'Base stats'!AX:AX)+_xlfn.XLOOKUP(B14,'Base stats'!B:B,'Base stats'!BA:BA))+0.5,0.5))</f>
        <v>2.5</v>
      </c>
      <c r="AE14" s="7">
        <f>IF(AD14="No","No",MAX(_xlfn.XLOOKUP(_xlfn.XLOOKUP(B14,'Base stats'!B:B,'Base stats'!E:E),Groups!A:A,Groups!Z:Z),MROUND(_xlfn.XLOOKUP(_xlfn.XLOOKUP(B14,'Base stats'!B:B,'Base stats'!E:E),Groups!A:A,Groups!Z:Z)*_xlfn.XLOOKUP(B14,'Base stats'!B:B,'Base stats'!C:C)^0.165,0.05)))</f>
        <v>0.9</v>
      </c>
      <c r="AF14" s="7" t="str">
        <f>IF(AD14="No","No",_xlfn.XLOOKUP(_xlfn.XLOOKUP(B14,'Base stats'!B:B,'Base stats'!E:E),Groups!A:A,Groups!AA:AA))</f>
        <v>Teeth</v>
      </c>
      <c r="AG14" s="7" t="str">
        <f>IF(AD14="No","No",_xlfn.XLOOKUP(_xlfn.XLOOKUP(B14,'Base stats'!B:B,'Base stats'!E:E),Groups!A:A,Groups!AB:AB))</f>
        <v>canines</v>
      </c>
      <c r="AH14" s="7" t="str">
        <f>IF(AD14="No","No",_xlfn.XLOOKUP(_xlfn.XLOOKUP(B14,'Base stats'!B:B,'Base stats'!E:E),Groups!A:A,Groups!AC:AC))</f>
        <v>Bite</v>
      </c>
      <c r="AI14" s="13" t="str">
        <f>IF(_xlfn.XLOOKUP(_xlfn.XLOOKUP(B14,'Base stats'!B:B,'Base stats'!E:E),Groups!A:A,Groups!AD:AD)=0,"No",MROUND((LOG10(_xlfn.XLOOKUP(B14,'Base stats'!B:B,'Base stats'!AS:AS))*(AO14^0.75)+(_xlfn.XLOOKUP(B14,'Base stats'!B:B,'Base stats'!AS:AS)/1000)^(2/3)+_xlfn.XLOOKUP(B14,'Base stats'!B:B,'Base stats'!AY:AY)+_xlfn.XLOOKUP(B14,'Base stats'!B:B,'Base stats'!BA:BA))+0.5,0.5))</f>
        <v>No</v>
      </c>
      <c r="AJ14" s="7" t="str">
        <f>IF(AI14="No","No",MAX(_xlfn.XLOOKUP(_xlfn.XLOOKUP(B14,'Base stats'!B:B,'Base stats'!E:E),Groups!A:A,Groups!AE:AE),MROUND(_xlfn.XLOOKUP(_xlfn.XLOOKUP(B14,'Base stats'!B:B,'Base stats'!E:E),Groups!A:A,Groups!AE:AE)*IF(_xlfn.XLOOKUP(_xlfn.XLOOKUP(B14,'Base stats'!B:B,'Base stats'!E:E),Groups!A:A,Groups!AJ:AJ)="Photonozoa",0.6,1)*_xlfn.XLOOKUP(B14,'Base stats'!B:B,'Base stats'!C:C)^0.165,0.05)))</f>
        <v>No</v>
      </c>
      <c r="AK14" s="7" t="str">
        <f>IF(AI14="No","No",_xlfn.XLOOKUP(_xlfn.XLOOKUP(B14,'Base stats'!B:B,'Base stats'!E:E),Groups!A:A,Groups!AF:AF))</f>
        <v>No</v>
      </c>
      <c r="AL14" s="7" t="str">
        <f>IF(AI14="No","No",_xlfn.XLOOKUP(_xlfn.XLOOKUP(B14,'Base stats'!B:B,'Base stats'!E:E),Groups!A:A,Groups!AG:AG))</f>
        <v>No</v>
      </c>
      <c r="AM14" s="7" t="str">
        <f>IF(AI14="No","No",_xlfn.XLOOKUP(_xlfn.XLOOKUP(B14,'Base stats'!B:B,'Base stats'!E:E),Groups!A:A,Groups!AH:AH))</f>
        <v>No</v>
      </c>
      <c r="AN14" s="2">
        <f t="shared" si="0"/>
        <v>15</v>
      </c>
      <c r="AO14" s="2">
        <f>MROUND(IF(AND(_xlfn.XLOOKUP(B14,'Base stats'!B:B,'Base stats'!C:C)&gt;=0.5,_xlfn.XLOOKUP(B14,'Base stats'!B:B,'Base stats'!C:C)&lt;=0.8),
IF(_xlfn.XLOOKUP(B14,'Base stats'!B:B,'Base stats'!C:C)&lt;0.1,0.05,IF(_xlfn.XLOOKUP(B14,'Base stats'!B:B,'Base stats'!C:C)&lt;=70,(_xlfn.XLOOKUP(B14,'Base stats'!B:B,'Base stats'!C:C)/70)^0.426489913056526,IF(_xlfn.XLOOKUP(B14,'Base stats'!B:B,'Base stats'!C:C)&lt;=400,(_xlfn.XLOOKUP(B14,'Base stats'!B:B,'Base stats'!C:C)/70)^0.572811455315093,IF(_xlfn.XLOOKUP(B14,'Base stats'!B:B,'Base stats'!C:C)&lt;=2000,2.71391647193063*(_xlfn.XLOOKUP(B14,'Base stats'!B:B,'Base stats'!C:C)/400)^0.252459582904293,3.74314280240376*(_xlfn.XLOOKUP(B14,'Base stats'!B:B,'Base stats'!C:C)/2000)^0.357012633876913)))),
IF(_xlfn.XLOOKUP(B14,'Base stats'!B:B,'Base stats'!C:C)&lt;0.1,0.05,IF(_xlfn.XLOOKUP(B14,'Base stats'!B:B,'Base stats'!C:C)&lt;0.4,0.1,IF(_xlfn.XLOOKUP(B14,'Base stats'!B:B,'Base stats'!C:C)&lt;=70,(_xlfn.XLOOKUP(B14,'Base stats'!B:B,'Base stats'!C:C)/70)^0.445823913056526,IF(_xlfn.XLOOKUP(B14,'Base stats'!B:B,'Base stats'!C:C)&lt;=400,(_xlfn.XLOOKUP(B14,'Base stats'!B:B,'Base stats'!C:C)/70)^0.572811455315093,IF(_xlfn.XLOOKUP(B14,'Base stats'!B:B,'Base stats'!C:C)&lt;=2000,2.71391647193063*(_xlfn.XLOOKUP(B14,'Base stats'!B:B,'Base stats'!C:C)/400)^0.252459582904293,3.74314280240376*(_xlfn.XLOOKUP(B14,'Base stats'!B:B,'Base stats'!C:C)/2000)^0.357012633876913)))))),
IF(_xlfn.XLOOKUP(B14,'Base stats'!B:B,'Base stats'!C:C)&lt;0.1,0.05,IF(_xlfn.XLOOKUP(B14,'Base stats'!B:B,'Base stats'!C:C)&lt;=100,0.05,IF(_xlfn.XLOOKUP(B14,'Base stats'!B:B,'Base stats'!C:C)&lt;=250,0.1,IF(_xlfn.XLOOKUP(B14,'Base stats'!B:B,'Base stats'!C:C)&lt;=4000,0.25,0.5)))))</f>
        <v>0.2</v>
      </c>
      <c r="AP14" s="8">
        <f>MROUND(AO14*_xlfn.XLOOKUP(_xlfn.XLOOKUP(B14,'Base stats'!B:B,'Base stats'!E:E),Groups!A:A,Groups!AI:AI)*_xlfn.XLOOKUP(B14,'Base stats'!B:B,'Base stats'!Z:Z),0.05)</f>
        <v>0.25</v>
      </c>
      <c r="AQ14" s="8">
        <f>MAX(0.01,MROUND(IF(CC14="True",0.196*(AO14*100*1000)^0.889,IF(_xlfn.XLOOKUP(_xlfn.XLOOKUP(B14,'Base stats'!B:B,'Base stats'!E:E),Groups!A:A,Groups!AJ:AJ)="Bird",10.5*(AO14*100*1000)^0.681,4.82*(AO14*100*1000)^0.734))/(4.82*(1*100*1000)^0.734)/IF(AO14&lt;3.5,2,IF(AO14=3.5,1.5,1.25))*(1+0.132282374779864/(AO14^0.994035016789033+0.00905238001496948)),0.05))</f>
        <v>0.25</v>
      </c>
      <c r="AR14" s="9">
        <f>IFERROR(MROUND(_xlfn.XLOOKUP(B14,'Base stats'!B:B,'Base stats'!H:H)/IF(_xlfn.XLOOKUP(B14,'Base stats'!B:B,'Base stats'!I:I)&lt;&gt;1,(122.5/70),1.2),IF(_xlfn.XLOOKUP(B14,'Base stats'!B:B,'Base stats'!H:H)&gt;=30,5,IF(_xlfn.XLOOKUP(B14,'Base stats'!B:B,'Base stats'!H:H)&gt;=15,3,IF(_xlfn.XLOOKUP(B14,'Base stats'!B:B,'Base stats'!H:H)&gt;=10,2,1)))),"Immortal")</f>
        <v>15</v>
      </c>
      <c r="AS14" s="35">
        <f>IFERROR(IF(OR(_xlfn.XLOOKUP(B14,'Base stats'!B:B,'Base stats'!F:F)="Atypical reproduction",_xlfn.XLOOKUP(B14,'Base stats'!B:B,'Base stats'!F:F)="Lay eggs"),"Lay eggs",MIN(20,MAX(5.5,ROUND(((_xlfn.XLOOKUP(B14,'Base stats'!B:B,'Base stats'!F:F)-25)*(14.5/615) + 5.5)*2,0)/2))),"Unknown")</f>
        <v>6.5</v>
      </c>
      <c r="AT14" s="8">
        <f>IF(_xlfn.XLOOKUP(B14,'Base stats'!B:B,'Base stats'!G:G)="Atypical reproduction","No",IFERROR(MAX(IF(_xlfn.XLOOKUP(B14,'Base stats'!B:B,'Base stats'!G:G)&lt;0.5,0.2,0.3),MROUND(_xlfn.XLOOKUP(B14,'Base stats'!B:B,'Base stats'!G:G)/(365/60),0.2)),"Unknown"))</f>
        <v>0.3</v>
      </c>
      <c r="AU14" s="8">
        <f t="shared" si="1"/>
        <v>0.15000000000000002</v>
      </c>
      <c r="AV14" s="8">
        <f>IFERROR(IFERROR(MROUND(_xlfn.XLOOKUP(B14,'Base stats'!B:B,'Base stats'!J:J),0.1),"Lay eggs"),"Cannot breed")</f>
        <v>6</v>
      </c>
      <c r="AW14" s="2" t="str">
        <f t="shared" si="2"/>
        <v>true</v>
      </c>
      <c r="AX14" s="2" t="str">
        <f>IF(_xlfn.XLOOKUP(_xlfn.XLOOKUP(Animals!B14,'Base stats'!B:B,'Base stats'!E:E),Groups!A:A,Groups!AK:AK)=1,"true","false")</f>
        <v>false</v>
      </c>
      <c r="AY14" s="25" t="str">
        <f>IF(_xlfn.XLOOKUP(B14,'Base stats'!B:B,'Base stats'!Y:Y)="Liquor","Liquor, CarnivoreAnimalStrict",IF(AND(_xlfn.XLOOKUP(B14,'Base stats'!B:B,'Base stats'!Y:Y)="Carnivore",_xlfn.XLOOKUP(_xlfn.XLOOKUP(B14,'Base stats'!B:B,'Base stats'!E:E),Groups!A:A,Groups!AJ:AJ)="Photonozoa"),"CarnivoreAnimalStrict, OvivoreAnimal",IF(_xlfn.XLOOKUP(B14,'Base stats'!B:B,'Base stats'!Y:Y)="Carnivore","CarnivoreAnimal, OvivoreAnimal",IF(_xlfn.XLOOKUP(B14,'Base stats'!B:B,'Base stats'!Y:Y)="Dendrovore","VegetarianRoughAnimal, DendrovoreAnimal",IF(_xlfn.XLOOKUP(B14,'Base stats'!B:B,'Base stats'!Y:Y)="Herbivore","VegetarianRoughAnimal",IF(_xlfn.XLOOKUP(B14,'Base stats'!B:B,'Base stats'!Y:Y)="OmnivoreRough","OmnivoreRoughAnimal, OvivoreAnimal","OmnivoreAnimal, OvivoreAnimal"))))))</f>
        <v>OmnivoreAnimal, OvivoreAnimal</v>
      </c>
      <c r="AZ14" s="2" t="str">
        <f>IF(_xlfn.XLOOKUP(_xlfn.XLOOKUP(B14,'Base stats'!B:B,'Base stats'!E:E),Groups!A:A,Groups!D:D)=1,MROUND((1-J14)*5+1,2)*IF(J14&lt;=0.4,2,1),"No")</f>
        <v>No</v>
      </c>
      <c r="BA14" s="2" t="str">
        <f>IF(AND(_xlfn.XLOOKUP(B14,'Base stats'!B:B,'Base stats'!AH:AH)="&lt;li&gt;Seal&lt;/li&gt;",G14="Odyssey"),"&lt;li&gt;AEXP_Seal&lt;/li&gt;",_xlfn.XLOOKUP(B14,'Base stats'!B:B,'Base stats'!AH:AH))</f>
        <v>No</v>
      </c>
      <c r="BB14" s="2" t="str">
        <f>_xlfn.XLOOKUP(B14,'Base stats'!B:B,'Base stats'!AG:AG)</f>
        <v>Leather_Dog</v>
      </c>
      <c r="BC14" s="23" t="str">
        <f>_xlfn.XLOOKUP(_xlfn.XLOOKUP(B14,'Base stats'!B:B,'Base stats'!E:E),Groups!A:A,Groups!AL:AL)</f>
        <v>QuadrupedAnimalWithPawsAndTail</v>
      </c>
      <c r="BD14" s="23">
        <f>MIN(1,MROUND(IF(AND(AO14&lt;0.5,_xlfn.XLOOKUP(B14,'Base stats'!B:B,'Base stats'!AA:AA)=0),0,IF(OR(_xlfn.XLOOKUP(Animals!B14,'Base stats'!B:B,'Base stats'!O:O)=2,_xlfn.XLOOKUP(_xlfn.XLOOKUP(B14,'Base stats'!B:B,'Base stats'!E:E),Groups!A:A,Groups!AN:AN)=0),0,_xlfn.XLOOKUP(_xlfn.XLOOKUP(B14,'Base stats'!B:B,'Base stats'!E:E),Groups!A:A,Groups!AN:AN)/IF(_xlfn.XLOOKUP(Animals!B14,'Base stats'!B:B,'Base stats'!O:O)=1,2,1)))+_xlfn.XLOOKUP(B14,'Base stats'!B:B,'Base stats'!AC:AC),0.005))</f>
        <v>0</v>
      </c>
      <c r="BE14" s="23">
        <f>MIN(1,MROUND(IF(AND(AO14&lt;0.5,_xlfn.XLOOKUP(B14,'Base stats'!B:B,'Base stats'!AA:AA)=0),0,IF(_xlfn.XLOOKUP(_xlfn.XLOOKUP(B14,'Base stats'!B:B,'Base stats'!E:E),Groups!A:A,Groups!AO:AO)=0,0,_xlfn.XLOOKUP(_xlfn.XLOOKUP(B14,'Base stats'!B:B,'Base stats'!E:E),Groups!A:A,Groups!AO:AO)/IF(_xlfn.XLOOKUP(Animals!B14,'Base stats'!B:B,'Base stats'!O:O)=2,3,1)))+_xlfn.XLOOKUP(B14,'Base stats'!B:B,'Base stats'!AD:AD),0.005))</f>
        <v>0</v>
      </c>
      <c r="BF14" s="2">
        <f>IF(J14&gt;0.3,"No",_xlfn.XLOOKUP(_xlfn.XLOOKUP(Animals!B14,'Base stats'!B:B,'Base stats'!E:E),Groups!A:A,Groups!AP:AP))</f>
        <v>1</v>
      </c>
      <c r="BG14" s="2">
        <f>IF(AND(J14&lt;=0.65,_xlfn.XLOOKUP(_xlfn.XLOOKUP(Animals!B14,'Base stats'!B:B,'Base stats'!E:E),Groups!A:A,Groups!AP:AP)&lt;&gt;"No",_xlfn.XLOOKUP(_xlfn.XLOOKUP(B14,'Base stats'!B:B,'Base stats'!E:E),Groups!A:A,Groups!D:D)=0),MROUND((80/3)*IF(_xlfn.XLOOKUP(B14,'Base stats'!B:B,'Base stats'!O:O)=2,0.2,AO14) + 24*(1-IF(BF14="No",0,BF14)) + 16/3, 12),"No")</f>
        <v>12</v>
      </c>
      <c r="BH14" s="2">
        <f>IF(AND(_xlfn.XLOOKUP(_xlfn.XLOOKUP(B14,'Base stats'!B:B,'Base stats'!E:E),Groups!A:A,Groups!AQ:AQ)=1,AO14&lt;=0.35),8,12)</f>
        <v>12</v>
      </c>
      <c r="BI14" s="2" t="str">
        <f>IF(_xlfn.XLOOKUP(_xlfn.XLOOKUP(B14,'Base stats'!B:B,'Base stats'!E:E),Groups!A:A,Groups!D:D)=0,_xlfn.XLOOKUP(_xlfn.XLOOKUP(B14,'Base stats'!B:B,'Base stats'!E:E),Groups!A:A,Groups!AR:AR),"None")</f>
        <v>Advanced</v>
      </c>
      <c r="BJ14" s="2" t="str">
        <f>IF(AND(_xlfn.XLOOKUP(_xlfn.XLOOKUP(B14,'Base stats'!B:B,'Base stats'!E:E),Groups!A:A,Groups!AS:AS)=1,OR(_xlfn.XLOOKUP(B14,'Base stats'!B:B,'Base stats'!Y:Y)="Carnivore",_xlfn.XLOOKUP(B14,'Base stats'!B:B,'Base stats'!Y:Y)="Omnivore")),"true","false")</f>
        <v>true</v>
      </c>
      <c r="BK14" s="2">
        <f>IF(BJ14="true",MROUND(IF(AND(AO14&gt;0.5,OR(_xlfn.XLOOKUP(_xlfn.XLOOKUP(B14,'Base stats'!B:B,'Base stats'!E:E),Groups!A:A,Groups!AJ:AJ)="Photonozoa",_xlfn.XLOOKUP(_xlfn.XLOOKUP(B14,'Base stats'!B:B,'Base stats'!E:E),Groups!A:A,Groups!AJ:AJ)="Mammal")),Animals!AO14*1.75*IF(AW14="true",1.5,1),IF(AO14&lt;0.5,Animals!AO14*0.5,Animals!AO14)),IF(AO14&gt;2,0.5,IF(AO14&gt;0.5,0.25,0.1))),"No")</f>
        <v>0.1</v>
      </c>
      <c r="BL14" s="2">
        <f t="shared" si="3"/>
        <v>1</v>
      </c>
      <c r="BM14" s="25" t="str">
        <f>IF(_xlfn.XLOOKUP(B14,'Base stats'!B:B,'Base stats'!AN:AN)="Standard","No",MROUND((_xlfn.XLOOKUP(B14,'Base stats'!B:B,'Base stats'!AN:AN)/3.6)/I14,0.1))</f>
        <v>No</v>
      </c>
      <c r="BN14" s="25" t="str">
        <f t="shared" si="4"/>
        <v>false</v>
      </c>
      <c r="BO14" s="25" t="str">
        <f>IF(AND(OR(_xlfn.XLOOKUP(B14,'Base stats'!B:B,'Base stats'!Y:Y)="Carnivore",_xlfn.XLOOKUP(B14,'Base stats'!B:B,'Base stats'!Y:Y)="Omnivore",_xlfn.XLOOKUP(B14,'Base stats'!B:B,'Base stats'!Y:Y)="OmnivoreRough"),_xlfn.XLOOKUP(_xlfn.XLOOKUP(B14,'Base stats'!B:B,'Base stats'!E:E),Groups!A:A,Groups!AT:AT)=1),"true","false")</f>
        <v>false</v>
      </c>
      <c r="BP14" s="25" t="str" cm="1">
        <f t="array" ref="BP14">IF(
  _xlfn.TEXTJOIN(", ",TRUE,
    IF(AND(BJ14="true",AO14&gt;0.5,BI14&lt;&gt;"None"),"AttackTarget",""),
    IF(AND(_xlfn.XLOOKUP(_xlfn.XLOOKUP(B14,'Base stats'!B:B,'Base stats'!E:E),Groups!A:A,Groups!AJ:AJ="Mammal"),OR(_xlfn.XLOOKUP(B14,'Base stats'!B:B,'Base stats'!Y:Y)="Omnivore",_xlfn.XLOOKUP(B14,'Base stats'!B:B,'Base stats'!Y:Y)="OmnivoreRough")),"Forage",""),
    IF(BG14&lt;=36,"Comfort",""),
    IF(_xlfn.XLOOKUP(B14,'Base stats'!B:B,'Base stats'!AE:AE)&lt;&gt;"No",_xlfn.XLOOKUP(B14,'Base stats'!B:B,'Base stats'!AE:AE),"")
  ) = "",
  "No",
  _xlfn.TEXTJOIN(", ",TRUE,
    IF(AND(BJ14="true",AO14&gt;0.5,BI14&lt;&gt;"None"),"AttackTarget",""),
    IF(AND(_xlfn.XLOOKUP(_xlfn.XLOOKUP(B14,'Base stats'!B:B,'Base stats'!E:E),Groups!A:A,Groups!AJ:AJ="Mammal"),OR(_xlfn.XLOOKUP(B14,'Base stats'!B:B,'Base stats'!Y:Y)="Omnivore",_xlfn.XLOOKUP(B14,'Base stats'!B:B,'Base stats'!Y:Y)="OmnivoreRough")),"Forage",""),
    IF(BG14&lt;=36,"Comfort",""),
    IF(_xlfn.XLOOKUP(B14,'Base stats'!B:B,'Base stats'!AE:AE)&lt;&gt;"No",_xlfn.XLOOKUP(B14,'Base stats'!B:B,'Base stats'!AE:AE),"")
  )
)</f>
        <v>Forage, Comfort</v>
      </c>
      <c r="BQ14" s="25" t="str">
        <f>IF(
   AND(
      'Base stats'!AN14="Standard",_xlfn.XLOOKUP(_xlfn.XLOOKUP(B14,'Base stats'!B:B,'Base stats'!E:E),Groups!A:A,Groups!AU:AU)=0,
      OR(
      BO14="True"
      )
   ),
   10,
   IF(
       OR(BM14&lt;&gt;"No",_xlfn.XLOOKUP(_xlfn.XLOOKUP(B14,'Base stats'!B:B,'Base stats'!E:E),Groups!A:A,Groups!AU:AU)=1),
      1,
      "No"
   )
)</f>
        <v>No</v>
      </c>
      <c r="BR14" s="9">
        <f>MROUND((1 + ((0.2*IF(OR(Q14="No",R14="No",R14=0),0,Q14/R14)
+IF(OR(V14="No",S14="No",T14="No"),0,S14/T14*(LEN(V14)-LEN(SUBSTITUTE(V14,",",""))+1))
+IF(OR(X14="No",Y14="No"),0,X14/Y14)
+IF(OR(AD14="No",AE14="No"),0,AD14/AE14)
+IF(OR(AL14="No",AI14="No",AJ14="No"),0,AI14/AJ14*(LEN(AL14)-LEN(SUBSTITUTE(AL14,",",""))+1))
)/(0.2*IF(OR(Q14="No",R14="No",R14=0),0,1)
+IF(OR(V14="No",S14="No",T14="No"),0,LEN(V14)-LEN(SUBSTITUTE(V14,",",""))+1)
+IF(OR(X14="No",Y14="No"),0,1)
+IF(OR(AD14="No",AE14="No"),0,1)
+IF(OR(AL14="No",AI14="No",AJ14="No"),0,LEN(AL14)-LEN(SUBSTITUTE(AL14,",",""))+1))*62%)* 2)*(1 + (AP14 / (IF(_xlfn.XLOOKUP(_xlfn.XLOOKUP(B14,'Base stats'!B:B,'Base stats'!E:E),Groups!A:A,Groups!AJ:AJ)="Photonozoa",0.3,1)) + _xlfn.XLOOKUP(B14,'Base stats'!B:B,'Base stats'!AV:AV) * 1.8) * 2) * 2.5 + 10 + I14 * 2,5)+IF(_xlfn.XLOOKUP(B14,'Base stats'!B:B,'Base stats'!AK:AK)=1,50,0)</f>
        <v>35</v>
      </c>
      <c r="BS14" s="8">
        <f t="shared" si="5"/>
        <v>0.25</v>
      </c>
      <c r="BT14" s="8" t="str">
        <f>_xlfn.XLOOKUP(B14,'Base stats'!B:B,'Base stats'!AF:AF)</f>
        <v>2~6</v>
      </c>
      <c r="BU14" s="2" t="str">
        <f>IF(AND(J14&lt;=0.95,OR(_xlfn.XLOOKUP(B14,'Base stats'!B:B,'Base stats'!AK:AK)=1,_xlfn.XLOOKUP(B14,'Base stats'!B:B,'Base stats'!Y:Y)="Carnivore",_xlfn.XLOOKUP(B14,'Base stats'!B:B,'Base stats'!Y:Y)="Omnivore",BE14&gt;0.1)),"true","false")</f>
        <v>true</v>
      </c>
      <c r="BV14" s="2" t="str">
        <f>IF(_xlfn.XLOOKUP(B14,'Base stats'!B:B,'Base stats'!AI:AI)=1,"true","false")</f>
        <v>false</v>
      </c>
      <c r="BW14" s="25" t="str">
        <f>IF(E14="BaseInsect","AnimalInsect",
IF(J14&gt;0.95,"AnimalExotic",
_xlfn.TEXTJOIN(", ",TRUE,
IF(OR(_xlfn.XLOOKUP(B14,'Base stats'!B:B,'Base stats'!AM:AM)=1,AND(_xlfn.XLOOKUP(B14,'Base stats'!B:B,'Base stats'!O:O)=0,_xlfn.XLOOKUP(_xlfn.XLOOKUP(B14,'Base stats'!B:B,'Base stats'!E:E),Groups!A:A,Groups!B:B)&gt;0)),"AnimalUncommon","AnimalCommon"),
IF(AND(_xlfn.XLOOKUP(B14,'Base stats'!B:B,'Base stats'!O:O)=2,_xlfn.XLOOKUP(_xlfn.XLOOKUP(B14,'Base stats'!B:B,'Base stats'!E:E),Groups!A:A,Groups!D:D)=0),"AnimalPet",IF(AND(_xlfn.XLOOKUP(B14,'Base stats'!B:B,'Base stats'!O:O)&lt;&gt;0,_xlfn.XLOOKUP(_xlfn.XLOOKUP(B14,'Base stats'!B:B,'Base stats'!E:E),Groups!A:A,Groups!D:D)&lt;&gt;0),"AnimalFarm","")),
IF(OR(_xlfn.XLOOKUP(B14,'Base stats'!B:B,'Base stats'!AK:AK)=1,AND(BI14&lt;&gt;"None",BR14&gt;=60),ISNUMBER(SEARCH("Attack target",BP14))),"AnimalFighter","")
)))</f>
        <v>AnimalCommon, AnimalPet</v>
      </c>
      <c r="BX14" s="25" t="str">
        <f>IF(G14="None",TRIM(
SUBSTITUTE(
IF(COUNTIF(Biomes!B$2:B$259,"="&amp;$C14)&gt;0,Biomes!B$1&amp;", ","")&amp;
IF(COUNTIF(Biomes!C$2:C$259,"="&amp;$C14)&gt;0,Biomes!C$1&amp;", ","")&amp;
IF(COUNTIF(Biomes!D$2:D$259,"="&amp;$C14)&gt;0,Biomes!D$1&amp;", ","")&amp;
IF(COUNTIF(Biomes!F$2:F$259,"="&amp;$C14)&gt;0,Biomes!F$1&amp;", ","")&amp;
IF(COUNTIF(Biomes!G$2:G$259,"="&amp;$C14)&gt;0,Biomes!G$1&amp;", ","")&amp;
IF(COUNTIF(Biomes!H$2:H$259,"="&amp;$C14)&gt;0,Biomes!H$1&amp;", ","")&amp;
IF(COUNTIF(Biomes!I$2:I$259,"="&amp;$C14)&gt;0,Biomes!I$1&amp;", ","")&amp;
IF(COUNTIF(Biomes!J$2:J$259,"="&amp;$C14)&gt;0,Biomes!J$1&amp;", ","")&amp;
IF(COUNTIF(Biomes!M$2:M$259,"="&amp;$C14)&gt;0,Biomes!M$1&amp;", ","")&amp;
IF(COUNTIF(Biomes!N$2:N$259,"="&amp;$C14)&gt;0,Biomes!N$1&amp;", ","")&amp;
IF(COUNTIF(Biomes!O$2:O$259,"="&amp;$C14)&gt;0,Biomes!O$1&amp;", ","")&amp;
IF(COUNTIF(Biomes!P$2:P$259,"="&amp;$C14)&gt;0,Biomes!P$1&amp;", ","")&amp;
IF(COUNTIF(Biomes!K$2:K$259,"="&amp;$C14)&gt;0,Biomes!K$1&amp;", ","")&amp;
IF(COUNTIF(Biomes!Q$3:Q$259,"="&amp;$C14)&gt;0,Biomes!Q$1&amp;", ","")&amp;
IF(COUNTIF(Biomes!L$2:L$259,"="&amp;$C14)&gt;0,Biomes!L$1&amp;", ","")&amp;
IF(COUNTIF(Biomes!E$2:E$259,"="&amp;$C14)&gt;0,Biomes!E$1&amp;", ","")&amp;IF(COUNTIF(Biomes!S$2:S$259,"="&amp;$C14)&gt;0,Biomes!S$1&amp;", ","")&amp;
IF(COUNTIF(Biomes!R$2:R$259,"="&amp;$C14)&gt;0,Biomes!R$1&amp;", ",""),", ","")
),_xlfn.XLOOKUP(B14,B:B,BX:BX))</f>
        <v/>
      </c>
      <c r="BY14" s="25" t="str">
        <f>IF(_xlfn.XLOOKUP(B14,'Base stats'!B:B,'Base stats'!AJ:AJ)=1,"true","false")</f>
        <v>false</v>
      </c>
      <c r="BZ14" s="25">
        <f>IF(_xlfn.XLOOKUP(B14,'Base stats'!B:B,'Base stats'!N:N)=1,"No",MAX(0.001,MIN(MROUND(IF(AND(BJ14="True",CC14="False"),POWER(10,3.47*LOG10(_xlfn.XLOOKUP(B14,'Base stats'!B:B,'Base stats'!C:C)*1000)^-0.96),POWER(10,4.15*LOG10(_xlfn.XLOOKUP(B14,'Base stats'!B:B,'Base stats'!C:C)*1000)^-0.73))*IF(_xlfn.XLOOKUP(B14,'Base stats'!B:B,'Base stats'!AK:AK)=1,0.5,1)*IF(_xlfn.XLOOKUP(B14,'Base stats'!B:B,'Base stats'!AM:AM)=1,0.1,1)/100,IF(_xlfn.XLOOKUP(B14,'Base stats'!B:B,'Base stats'!AM:AM)=1,0.001,0.025)),0.5)))</f>
        <v>0.125</v>
      </c>
      <c r="CA14" s="25" t="str">
        <f>IF(P14="Standard","No",MAX(0.001,MIN(MROUND(IF(AND(BJ14="True",CC14="False"),POWER(10,3.47*LOG10(_xlfn.XLOOKUP(B14,'Base stats'!B:B,'Base stats'!C:C)*1000)^-0.96),POWER(10,4.15*LOG10(_xlfn.XLOOKUP(B14,'Base stats'!B:B,'Base stats'!C:C)*1000)^-0.73))*IF(_xlfn.XLOOKUP(B14,'Base stats'!B:B,'Base stats'!AM:AM)=1,0.1,1)*_xlfn.XLOOKUP(B14,'Base stats'!B:B,'Base stats'!R:R)/100,IF(_xlfn.XLOOKUP(B14,'Base stats'!B:B,'Base stats'!AM:AM)=1,0.001,0.025)),0.5)))</f>
        <v>No</v>
      </c>
      <c r="CB14" s="25" t="str">
        <f>IF(_xlfn.XLOOKUP(_xlfn.XLOOKUP(B14,'Base stats'!B:B,'Base stats'!E:E),Groups!A:A,Groups!AJ:AJ)="Mammal","True","False")</f>
        <v>True</v>
      </c>
      <c r="CC14" s="25" t="str">
        <f>IF(OR(_xlfn.XLOOKUP(_xlfn.XLOOKUP(B14,'Base stats'!B:B,'Base stats'!E:E),Groups!A:A,Groups!AJ:AJ)="Reptile",_xlfn.XLOOKUP(_xlfn.XLOOKUP(B14,'Base stats'!B:B,'Base stats'!E:E),Groups!A:A,Groups!AJ:AJ)="Amphibian",_xlfn.XLOOKUP(_xlfn.XLOOKUP(B14,'Base stats'!B:B,'Base stats'!E:E),Groups!A:A,Groups!AJ:AJ)="Invertebrate"),"True","False")</f>
        <v>False</v>
      </c>
      <c r="CD14" s="25" t="str">
        <f t="shared" si="6"/>
        <v>False</v>
      </c>
      <c r="CE14" s="25" t="str">
        <f>IF(_xlfn.XLOOKUP(_xlfn.XLOOKUP(B14,'Base stats'!B:B,'Base stats'!E:E),Groups!A:A,Groups!AX:AX),"True","False")</f>
        <v>False</v>
      </c>
      <c r="CF14" s="25" t="str">
        <f>IF(_xlfn.XLOOKUP(_xlfn.XLOOKUP(B14,'Base stats'!B:B,'Base stats'!E:E),Groups!A:A,Groups!AY:AY),"True","False")</f>
        <v>False</v>
      </c>
      <c r="CG14" s="25" t="str">
        <f>IF(_xlfn.XLOOKUP(_xlfn.XLOOKUP(B14,'Base stats'!B:B,'Base stats'!E:E),Groups!A:A,Groups!AW:AW),"True","False")</f>
        <v>False</v>
      </c>
      <c r="CH14" s="25" t="str">
        <f>IF(
OR(
_xlfn.XLOOKUP(_xlfn.XLOOKUP(B14,'Base stats'!B:B,'Base stats'!E:E),Groups!A:A,Groups!AZ:AZ)=0,
AND(
_xlfn.XLOOKUP(B14,'Base stats'!B:B,'Base stats'!Y:Y)&lt;&gt;"Carnivore",
_xlfn.XLOOKUP(B14,'Base stats'!B:B,'Base stats'!Y:Y)&lt;&gt;"Omnivore",
_xlfn.XLOOKUP(B14,'Base stats'!B:B,'Base stats'!Y:Y)&lt;&gt;"OmnivoreRough"
)
),
"No",
IF(
_xlfn.XLOOKUP(_xlfn.XLOOKUP(B14,'Base stats'!B:B,'Base stats'!E:E),Groups!A:A,Groups!AZ:AZ)=1,
"Flesh",
IF(
_xlfn.XLOOKUP(_xlfn.XLOOKUP(B14,'Base stats'!B:B,'Base stats'!E:E),Groups!A:A,Groups!AZ:AZ)=2,
"Bone",
""
)
)
)</f>
        <v>No</v>
      </c>
      <c r="CI14" s="25" t="str">
        <f>IF(_xlfn.XLOOKUP(_xlfn.XLOOKUP(B14,'Base stats'!B:B,'Base stats'!E:E),Groups!A:A,Groups!BB:BB),"True","False")</f>
        <v>True</v>
      </c>
      <c r="CJ14" s="25" t="str">
        <f>IF(_xlfn.XLOOKUP(_xlfn.XLOOKUP(B14,'Base stats'!B:B,'Base stats'!E:E),Groups!A:A,Groups!BA:BA),"True","False")</f>
        <v>False</v>
      </c>
      <c r="CO14" s="16"/>
    </row>
    <row r="15" spans="1:93" ht="16.5" thickTop="1" thickBot="1" x14ac:dyDescent="0.3">
      <c r="A15" s="26" t="str">
        <f>_xlfn.XLOOKUP(B15,'Base stats'!B:B,'Base stats'!A:A)</f>
        <v>Labrador</v>
      </c>
      <c r="B15" s="6" t="s">
        <v>875</v>
      </c>
      <c r="C15" s="28" t="s">
        <v>686</v>
      </c>
      <c r="D15" s="28" t="s">
        <v>45</v>
      </c>
      <c r="E15" s="28" t="s">
        <v>673</v>
      </c>
      <c r="F15" s="28" t="s">
        <v>673</v>
      </c>
      <c r="G15" s="28" t="s">
        <v>673</v>
      </c>
      <c r="H15" s="2">
        <f>MROUND((
  (IF(AND(_xlfn.XLOOKUP(B15,'Base stats'!B:B,'Base stats'!AL:AL)=0,BI15="None",_xlfn.XLOOKUP(_xlfn.XLOOKUP(B15,'Base stats'!B:B,'Base stats'!E:E),Groups!A:A,Groups!B:B)=0), (18 + BR15 * 2.7) * 0.5,
    IF(AND(_xlfn.XLOOKUP(B15,'Base stats'!B:B,'Base stats'!AL:AL)=0,OR(AO15&lt;0.55,AND(BI15="Intermediate",_xlfn.XLOOKUP(_xlfn.XLOOKUP(B15,'Base stats'!B:B,'Base stats'!E:E),Groups!A:A,Groups!B:B)&lt;2))), (18 + BR15 * 2.7),
      IF(OR(BI15="Advanced",_xlfn.XLOOKUP(B15,'Base stats'!B:B,'Base stats'!AL:AL)=1,_xlfn.XLOOKUP(_xlfn.XLOOKUP(B15,'Base stats'!B:B,'Base stats'!E:E),Groups!A:A,Groups!B:B)=2), (18 + BR15 * 2.7) + 250, (18 + BR15 * 2.7))
    )
  ))
  + AO15 * 80
  + IF(COUNTIF(EggMilk!K$2:K$998, A15) &gt; 0, 125, 0)
  + IF(COUNTIF(EggMilk!P$2:P$998, A15) &gt; 0, 90, 0)
  + IF(COUNTIF(EggMilk!A$2:A$998, A15) &gt; 0, 90, 0)
)
* (0.8 + 0.4 * J15)
* 0.75,25)</f>
        <v>325</v>
      </c>
      <c r="I15" s="2">
        <f>MROUND(ROUNDDOWN(_xlfn.XLOOKUP(B15,'Base stats'!B:B,'Base stats'!L:L)/3.6/(23.3/11),1),0.5)</f>
        <v>6.5</v>
      </c>
      <c r="J15" s="2">
        <f>IF(OR(_xlfn.XLOOKUP(B15,'Base stats'!B:B,'Base stats'!AB:AB)=1,_xlfn.XLOOKUP(_xlfn.XLOOKUP(B15,'Base stats'!B:B,'Base stats'!E:E),Groups!A:A,Groups!C:C)="Untamable"),1,IF(_xlfn.XLOOKUP(B15,'Base stats'!B:B,'Base stats'!AL:AL)=1,0.99,MIN(MROUND((1-0.6282*EXP(-0.459*AO15))*_xlfn.XLOOKUP(_xlfn.XLOOKUP(B15,'Base stats'!B:B,'Base stats'!E:E),Groups!A:A,Groups!C:C)*IF(_xlfn.XLOOKUP(B15,'Base stats'!B:B,'Base stats'!O:O)=1,0.5,IF(_xlfn.XLOOKUP(B15,'Base stats'!B:B,'Base stats'!O:O)=2,0,1)),0.05),IF(AO15&gt;3.5,0.985,0.95))))</f>
        <v>0</v>
      </c>
      <c r="K15" s="2">
        <f>ROUNDUP(AO15*_xlfn.XLOOKUP(_xlfn.XLOOKUP(B15,'Base stats'!B:B,'Base stats'!E:E),Groups!A:A,Groups!E:E),0)</f>
        <v>1</v>
      </c>
      <c r="L15" s="2">
        <f>IF(OR(_xlfn.XLOOKUP(_xlfn.XLOOKUP(B15,'Base stats'!B:B,'Base stats'!E:E),Groups!A:A,Groups!F:F)=2,ISNUMBER(SEARCH("SeaIce",BX15)),ISNUMBER(SEARCH("IceSheet",BX15))),-50,IF(OR(ISNUMBER(SEARCH("GlacialPlain",BX15)),ISNUMBER(SEARCH("Tundra",BX15))),-40,IF(OR(ISNUMBER(SEARCH("Alpine",BX15)),ISNUMBER(SEARCH("BorealForest",BX15)),ISNUMBER(SEARCH("ColdBog",BX15))),-30,IF(OR(ISNUMBER(SEARCH("TemperateForest",BX15)),ISNUMBER(SEARCH("TemperateSwamp",BX15))),-20,IF(_xlfn.XLOOKUP(_xlfn.XLOOKUP(B15,'Base stats'!B:B,'Base stats'!E:E),Groups!A:A,Groups!F:F)=1,-15,IF(OR(ISNUMBER(SEARCH("Desert",BX15)),ISNUMBER(SEARCH("ExtremeDesert",BX15))),-10,IF(OR(ISNUMBER(SEARCH("Grasslands",BX15)),ISNUMBER(SEARCH("TropicalRainforest",BX15)),ISNUMBER(SEARCH("TropicalSwamp",BX15))),10,0)))))))-IF(CC15="False",MIN(IFERROR(MAX(MROUND(LOG10(_xlfn.XLOOKUP(B15,'Base stats'!B:B,'Base stats'!C:C)^(2/3))*10,5),5),5),30))-_xlfn.XLOOKUP(B15,'Base stats'!B:B,'Base stats'!P:P)+IF(CC15="True",5,0)</f>
        <v>-25</v>
      </c>
      <c r="M15" s="2">
        <f>IF(OR(_xlfn.XLOOKUP(_xlfn.XLOOKUP(B15,'Base stats'!B:B,'Base stats'!E:E),Groups!A:A,Groups!G:G)=2,ISNUMBER(SEARCH("Desert",BX15)),ISNUMBER(SEARCH("ExtremeDesert",BX15)),ISNUMBER(SEARCH("LavaField",BX15))),50,IF(ISNUMBER(SEARCH("Grasslands",BX15)),45,IF(OR(_xlfn.XLOOKUP(_xlfn.XLOOKUP(B15,'Base stats'!B:B,'Base stats'!E:E),Groups!A:A,Groups!G:G)=1,ISNUMBER(SEARCH("TropicalRainforest",BX15)),ISNUMBER(SEARCH("TropicalSwamp",BX15))),40,IF(OR(ISNUMBER(SEARCH("TemperateForest",BX15)),ISNUMBER(SEARCH("TemperateSwamp",BX15))),35,IF(OR(ISNUMBER(SEARCH("Alpine",BX15)),ISNUMBER(SEARCH("BorealForest",BX15)),ISNUMBER(SEARCH("ColdBog",BX15))),30,IF(ISNUMBER(OR(ISNUMBER(SEARCH("GlacialPlain",BX15)),SEARCH("Tundra",BX15))),25,IF(OR(ISNUMBER(SEARCH("SeaIce",BX15)),ISNUMBER(SEARCH("IceSheet",BX15)),ISNUMBER(SEARCH("TropicalSwamp",BX15))),10,35)))))))+_xlfn.XLOOKUP(B15,'Base stats'!B:B,'Base stats'!Q:Q)</f>
        <v>35</v>
      </c>
      <c r="N15" s="8" t="str">
        <f>IF(
_xlfn.XLOOKUP(
_xlfn.XLOOKUP(B15,'Base stats'!B:B,'Base stats'!E:E),
Groups!A:A,
Groups!L:L
)=1,
MIN(
MROUND(
IF(
_xlfn.XLOOKUP(B15,'Animals CE'!B:B,'Animals CE'!Z:Z)&lt;=1.5,
_xlfn.XLOOKUP(B15,'Animals CE'!B:B,'Animals CE'!Z:Z)/2+0.05,
0.8+
(_xlfn.XLOOKUP(B15,'Animals CE'!B:B,'Animals CE'!Z:Z)-1.5)
*0.02
),
0.05
),
200%
),
"No"
)</f>
        <v>No</v>
      </c>
      <c r="O15" s="8" t="str">
        <f>IF(
_xlfn.XLOOKUP(
_xlfn.XLOOKUP(B15,'Base stats'!B:B,'Base stats'!E:E),
Groups!A:A,
Groups!L:L
)=1,
MIN(
MROUND(
IF(
_xlfn.XLOOKUP(B15,'Animals CE'!B:B,'Animals CE'!AA:AA)&lt;=1.5,
_xlfn.XLOOKUP(B15,'Animals CE'!B:B,'Animals CE'!AA:AA)/2+0.05,
0.8+
(_xlfn.XLOOKUP(B15,'Animals CE'!B:B,'Animals CE'!AA:AA)-1.5)
*0.02
),
0.05
),
200%
),
"No"
)</f>
        <v>No</v>
      </c>
      <c r="P15" s="2" t="str">
        <f>_xlfn.XLOOKUP(B15,'Base stats'!B:B,'Base stats'!R:R)</f>
        <v>Standard</v>
      </c>
      <c r="Q15" s="13">
        <f>MROUND((LOG10(_xlfn.XLOOKUP(B15,'Base stats'!B:B,'Base stats'!AR:AR))*(AO15^0.5)+(_xlfn.XLOOKUP(B15,'Base stats'!B:B,'Base stats'!AR:AR)/1000)^(2/3)+_xlfn.XLOOKUP(B15,'Base stats'!B:B,'Base stats'!BA:BA)/2)+0.5,0.5)</f>
        <v>5.5</v>
      </c>
      <c r="R15" s="7">
        <f>IF(Q15="No","No",MAX(1,MROUND(_xlfn.XLOOKUP(B15,'Base stats'!B:B,'Base stats'!C:C)^0.165,0.05)))</f>
        <v>1.75</v>
      </c>
      <c r="S15" s="13" t="str">
        <f>IF(_xlfn.XLOOKUP(_xlfn.XLOOKUP(B15,'Base stats'!B:B,'Base stats'!E:E),Groups!A:A,Groups!P:P)=0,"No",MROUND((LOG10(_xlfn.XLOOKUP(B15,'Base stats'!B:B,'Base stats'!AS:AS))*(AO15^0.5)+(_xlfn.XLOOKUP(B15,'Base stats'!B:B,'Base stats'!AS:AS)/1000)^(2/3)+_xlfn.XLOOKUP(B15,'Base stats'!B:B,'Base stats'!BA:BA))+_xlfn.XLOOKUP(B15,'Base stats'!B:B,'Base stats'!AY:AY)+0.5,0.5))</f>
        <v>No</v>
      </c>
      <c r="T15" s="7" t="str">
        <f>IF(S15="No","No",MAX(_xlfn.XLOOKUP(_xlfn.XLOOKUP(B15,'Base stats'!B:B,'Base stats'!E:E),Groups!A:A,Groups!Q:Q),MROUND(_xlfn.XLOOKUP(_xlfn.XLOOKUP(B15,'Base stats'!B:B,'Base stats'!E:E),Groups!A:A,Groups!Q:Q)*_xlfn.XLOOKUP(B15,'Base stats'!B:B,'Base stats'!C:C)^0.165,0.05)))</f>
        <v>No</v>
      </c>
      <c r="U15" s="7" t="str">
        <f>IF(S15="No","No",_xlfn.XLOOKUP(_xlfn.XLOOKUP(B15,'Base stats'!B:B,'Base stats'!E:E),Groups!A:A,Groups!R:R))</f>
        <v>No</v>
      </c>
      <c r="V15" s="7" t="str">
        <f>IF(S15="No","No",_xlfn.XLOOKUP(_xlfn.XLOOKUP(B15,'Base stats'!B:B,'Base stats'!E:E),Groups!A:A,Groups!S:S))</f>
        <v>No</v>
      </c>
      <c r="W15" s="7" t="str">
        <f>IF(S15="No","No",_xlfn.XLOOKUP(_xlfn.XLOOKUP(B15,'Base stats'!B:B,'Base stats'!E:E),Groups!A:A,Groups!T:T))</f>
        <v>No</v>
      </c>
      <c r="X15" s="13" t="str">
        <f>IF(_xlfn.XLOOKUP(B15,'Base stats'!B:B,'Base stats'!W:W)="No","No",MROUND((LOG10(_xlfn.XLOOKUP(B15,'Base stats'!B:B,'Base stats'!AU:AU))*(AO15^0.5)+(_xlfn.XLOOKUP(B15,'Base stats'!B:B,'Base stats'!AU:AU)/1000)^(2/3)+_xlfn.XLOOKUP(B15,'Base stats'!B:B,'Base stats'!AZ:AZ))+0.5+IF(_xlfn.XLOOKUP(_xlfn.XLOOKUP(B15,'Base stats'!B:B,'Base stats'!E:E),Groups!A:A,Groups!U:U)&lt;&gt;3,_xlfn.XLOOKUP(B15,'Base stats'!B:B,'Base stats'!BA:BA),0),0.5))</f>
        <v>No</v>
      </c>
      <c r="Y15" s="7" t="str">
        <f>IF(X15="No","No",MAX(_xlfn.XLOOKUP(_xlfn.XLOOKUP(B15,'Base stats'!B:B,'Base stats'!E:E),Groups!A:A,Groups!V:V),MROUND(_xlfn.XLOOKUP(_xlfn.XLOOKUP(B15,'Base stats'!B:B,'Base stats'!E:E),Groups!A:A,Groups!V:V)*_xlfn.XLOOKUP(B15,'Base stats'!B:B,'Base stats'!C:C)^0.165,0.05)))</f>
        <v>No</v>
      </c>
      <c r="Z15" s="7" t="str">
        <f>IF(X15="No","No",_xlfn.XLOOKUP(_xlfn.XLOOKUP(B15,'Base stats'!B:B,'Base stats'!E:E),Groups!A:A,Groups!W:W))</f>
        <v>No</v>
      </c>
      <c r="AA15" s="7" t="str">
        <f>IF(X15="No","No",_xlfn.XLOOKUP(_xlfn.XLOOKUP(B15,'Base stats'!B:B,'Base stats'!E:E),Groups!A:A,Groups!X:X))</f>
        <v>No</v>
      </c>
      <c r="AB15" s="7" t="str">
        <f>IF(X15="No","No",_xlfn.XLOOKUP(_xlfn.XLOOKUP(B15,'Base stats'!B:B,'Base stats'!E:E),Groups!A:A,Groups!Y:Y))</f>
        <v>No</v>
      </c>
      <c r="AC15" s="7" t="str">
        <f>_xlfn.XLOOKUP(Animals!B15,'Base stats'!B:B,'Base stats'!X:X)</f>
        <v>False</v>
      </c>
      <c r="AD15" s="13">
        <f>IF(_xlfn.XLOOKUP(B15,'Base stats'!B:B,'Base stats'!AT:AT)="No","No",MROUND((LOG10(_xlfn.XLOOKUP(B15,'Base stats'!B:B,'Base stats'!AT:AT))*(AO15^0.75)+(_xlfn.XLOOKUP(B15,'Base stats'!B:B,'Base stats'!AT:AT)/1000)^(2/3)+_xlfn.XLOOKUP(B15,'Base stats'!B:B,'Base stats'!AX:AX)+_xlfn.XLOOKUP(B15,'Base stats'!B:B,'Base stats'!BA:BA))+0.5,0.5))</f>
        <v>9.5</v>
      </c>
      <c r="AE15" s="7">
        <f>IF(AD15="No","No",MAX(_xlfn.XLOOKUP(_xlfn.XLOOKUP(B15,'Base stats'!B:B,'Base stats'!E:E),Groups!A:A,Groups!Z:Z),MROUND(_xlfn.XLOOKUP(_xlfn.XLOOKUP(B15,'Base stats'!B:B,'Base stats'!E:E),Groups!A:A,Groups!Z:Z)*_xlfn.XLOOKUP(B15,'Base stats'!B:B,'Base stats'!C:C)^0.165,0.05)))</f>
        <v>1.4000000000000001</v>
      </c>
      <c r="AF15" s="7" t="str">
        <f>IF(AD15="No","No",_xlfn.XLOOKUP(_xlfn.XLOOKUP(B15,'Base stats'!B:B,'Base stats'!E:E),Groups!A:A,Groups!AA:AA))</f>
        <v>Teeth</v>
      </c>
      <c r="AG15" s="7" t="str">
        <f>IF(AD15="No","No",_xlfn.XLOOKUP(_xlfn.XLOOKUP(B15,'Base stats'!B:B,'Base stats'!E:E),Groups!A:A,Groups!AB:AB))</f>
        <v>canines</v>
      </c>
      <c r="AH15" s="7" t="str">
        <f>IF(AD15="No","No",_xlfn.XLOOKUP(_xlfn.XLOOKUP(B15,'Base stats'!B:B,'Base stats'!E:E),Groups!A:A,Groups!AC:AC))</f>
        <v>Bite</v>
      </c>
      <c r="AI15" s="13" t="str">
        <f>IF(_xlfn.XLOOKUP(_xlfn.XLOOKUP(B15,'Base stats'!B:B,'Base stats'!E:E),Groups!A:A,Groups!AD:AD)=0,"No",MROUND((LOG10(_xlfn.XLOOKUP(B15,'Base stats'!B:B,'Base stats'!AS:AS))*(AO15^0.75)+(_xlfn.XLOOKUP(B15,'Base stats'!B:B,'Base stats'!AS:AS)/1000)^(2/3)+_xlfn.XLOOKUP(B15,'Base stats'!B:B,'Base stats'!AY:AY)+_xlfn.XLOOKUP(B15,'Base stats'!B:B,'Base stats'!BA:BA))+0.5,0.5))</f>
        <v>No</v>
      </c>
      <c r="AJ15" s="7" t="str">
        <f>IF(AI15="No","No",MAX(_xlfn.XLOOKUP(_xlfn.XLOOKUP(B15,'Base stats'!B:B,'Base stats'!E:E),Groups!A:A,Groups!AE:AE),MROUND(_xlfn.XLOOKUP(_xlfn.XLOOKUP(B15,'Base stats'!B:B,'Base stats'!E:E),Groups!A:A,Groups!AE:AE)*IF(_xlfn.XLOOKUP(_xlfn.XLOOKUP(B15,'Base stats'!B:B,'Base stats'!E:E),Groups!A:A,Groups!AJ:AJ)="Photonozoa",0.6,1)*_xlfn.XLOOKUP(B15,'Base stats'!B:B,'Base stats'!C:C)^0.165,0.05)))</f>
        <v>No</v>
      </c>
      <c r="AK15" s="7" t="str">
        <f>IF(AI15="No","No",_xlfn.XLOOKUP(_xlfn.XLOOKUP(B15,'Base stats'!B:B,'Base stats'!E:E),Groups!A:A,Groups!AF:AF))</f>
        <v>No</v>
      </c>
      <c r="AL15" s="7" t="str">
        <f>IF(AI15="No","No",_xlfn.XLOOKUP(_xlfn.XLOOKUP(B15,'Base stats'!B:B,'Base stats'!E:E),Groups!A:A,Groups!AG:AG))</f>
        <v>No</v>
      </c>
      <c r="AM15" s="7" t="str">
        <f>IF(AI15="No","No",_xlfn.XLOOKUP(_xlfn.XLOOKUP(B15,'Base stats'!B:B,'Base stats'!E:E),Groups!A:A,Groups!AH:AH))</f>
        <v>No</v>
      </c>
      <c r="AN15" s="2">
        <f t="shared" si="0"/>
        <v>20</v>
      </c>
      <c r="AO15" s="2">
        <f>MROUND(IF(AND(_xlfn.XLOOKUP(B15,'Base stats'!B:B,'Base stats'!C:C)&gt;=0.5,_xlfn.XLOOKUP(B15,'Base stats'!B:B,'Base stats'!C:C)&lt;=0.8),
IF(_xlfn.XLOOKUP(B15,'Base stats'!B:B,'Base stats'!C:C)&lt;0.1,0.05,IF(_xlfn.XLOOKUP(B15,'Base stats'!B:B,'Base stats'!C:C)&lt;=70,(_xlfn.XLOOKUP(B15,'Base stats'!B:B,'Base stats'!C:C)/70)^0.426489913056526,IF(_xlfn.XLOOKUP(B15,'Base stats'!B:B,'Base stats'!C:C)&lt;=400,(_xlfn.XLOOKUP(B15,'Base stats'!B:B,'Base stats'!C:C)/70)^0.572811455315093,IF(_xlfn.XLOOKUP(B15,'Base stats'!B:B,'Base stats'!C:C)&lt;=2000,2.71391647193063*(_xlfn.XLOOKUP(B15,'Base stats'!B:B,'Base stats'!C:C)/400)^0.252459582904293,3.74314280240376*(_xlfn.XLOOKUP(B15,'Base stats'!B:B,'Base stats'!C:C)/2000)^0.357012633876913)))),
IF(_xlfn.XLOOKUP(B15,'Base stats'!B:B,'Base stats'!C:C)&lt;0.1,0.05,IF(_xlfn.XLOOKUP(B15,'Base stats'!B:B,'Base stats'!C:C)&lt;0.4,0.1,IF(_xlfn.XLOOKUP(B15,'Base stats'!B:B,'Base stats'!C:C)&lt;=70,(_xlfn.XLOOKUP(B15,'Base stats'!B:B,'Base stats'!C:C)/70)^0.445823913056526,IF(_xlfn.XLOOKUP(B15,'Base stats'!B:B,'Base stats'!C:C)&lt;=400,(_xlfn.XLOOKUP(B15,'Base stats'!B:B,'Base stats'!C:C)/70)^0.572811455315093,IF(_xlfn.XLOOKUP(B15,'Base stats'!B:B,'Base stats'!C:C)&lt;=2000,2.71391647193063*(_xlfn.XLOOKUP(B15,'Base stats'!B:B,'Base stats'!C:C)/400)^0.252459582904293,3.74314280240376*(_xlfn.XLOOKUP(B15,'Base stats'!B:B,'Base stats'!C:C)/2000)^0.357012633876913)))))),
IF(_xlfn.XLOOKUP(B15,'Base stats'!B:B,'Base stats'!C:C)&lt;0.1,0.05,IF(_xlfn.XLOOKUP(B15,'Base stats'!B:B,'Base stats'!C:C)&lt;=100,0.05,IF(_xlfn.XLOOKUP(B15,'Base stats'!B:B,'Base stats'!C:C)&lt;=250,0.1,IF(_xlfn.XLOOKUP(B15,'Base stats'!B:B,'Base stats'!C:C)&lt;=4000,0.25,0.5)))))</f>
        <v>0.70000000000000007</v>
      </c>
      <c r="AP15" s="8">
        <f>MROUND(AO15*_xlfn.XLOOKUP(_xlfn.XLOOKUP(B15,'Base stats'!B:B,'Base stats'!E:E),Groups!A:A,Groups!AI:AI)*_xlfn.XLOOKUP(B15,'Base stats'!B:B,'Base stats'!Z:Z),0.05)</f>
        <v>0.85000000000000009</v>
      </c>
      <c r="AQ15" s="8">
        <f>MAX(0.01,MROUND(IF(CC15="True",0.196*(AO15*100*1000)^0.889,IF(_xlfn.XLOOKUP(_xlfn.XLOOKUP(B15,'Base stats'!B:B,'Base stats'!E:E),Groups!A:A,Groups!AJ:AJ)="Bird",10.5*(AO15*100*1000)^0.681,4.82*(AO15*100*1000)^0.734))/(4.82*(1*100*1000)^0.734)/IF(AO15&lt;3.5,2,IF(AO15=3.5,1.5,1.25))*(1+0.132282374779864/(AO15^0.994035016789033+0.00905238001496948)),0.05))</f>
        <v>0.45</v>
      </c>
      <c r="AR15" s="9">
        <f>IFERROR(MROUND(_xlfn.XLOOKUP(B15,'Base stats'!B:B,'Base stats'!H:H)/IF(_xlfn.XLOOKUP(B15,'Base stats'!B:B,'Base stats'!I:I)&lt;&gt;1,(122.5/70),1.2),IF(_xlfn.XLOOKUP(B15,'Base stats'!B:B,'Base stats'!H:H)&gt;=30,5,IF(_xlfn.XLOOKUP(B15,'Base stats'!B:B,'Base stats'!H:H)&gt;=15,3,IF(_xlfn.XLOOKUP(B15,'Base stats'!B:B,'Base stats'!H:H)&gt;=10,2,1)))),"Immortal")</f>
        <v>15</v>
      </c>
      <c r="AS15" s="35">
        <f>IFERROR(IF(OR(_xlfn.XLOOKUP(B15,'Base stats'!B:B,'Base stats'!F:F)="Atypical reproduction",_xlfn.XLOOKUP(B15,'Base stats'!B:B,'Base stats'!F:F)="Lay eggs"),"Lay eggs",MIN(20,MAX(5.5,ROUND(((_xlfn.XLOOKUP(B15,'Base stats'!B:B,'Base stats'!F:F)-25)*(14.5/615) + 5.5)*2,0)/2))),"Unknown")</f>
        <v>6.5</v>
      </c>
      <c r="AT15" s="8">
        <f>IF(_xlfn.XLOOKUP(B15,'Base stats'!B:B,'Base stats'!G:G)="Atypical reproduction","No",IFERROR(MAX(IF(_xlfn.XLOOKUP(B15,'Base stats'!B:B,'Base stats'!G:G)&lt;0.5,0.2,0.3),MROUND(_xlfn.XLOOKUP(B15,'Base stats'!B:B,'Base stats'!G:G)/(365/60),0.2)),"Unknown"))</f>
        <v>0.3</v>
      </c>
      <c r="AU15" s="8">
        <f t="shared" si="1"/>
        <v>0.15000000000000002</v>
      </c>
      <c r="AV15" s="8">
        <f>IFERROR(IFERROR(MROUND(_xlfn.XLOOKUP(B15,'Base stats'!B:B,'Base stats'!J:J),0.1),"Lay eggs"),"Cannot breed")</f>
        <v>6</v>
      </c>
      <c r="AW15" s="2" t="str">
        <f t="shared" si="2"/>
        <v>true</v>
      </c>
      <c r="AX15" s="2" t="str">
        <f>IF(_xlfn.XLOOKUP(_xlfn.XLOOKUP(Animals!B15,'Base stats'!B:B,'Base stats'!E:E),Groups!A:A,Groups!AK:AK)=1,"true","false")</f>
        <v>false</v>
      </c>
      <c r="AY15" s="25" t="str">
        <f>IF(_xlfn.XLOOKUP(B15,'Base stats'!B:B,'Base stats'!Y:Y)="Liquor","Liquor, CarnivoreAnimalStrict",IF(AND(_xlfn.XLOOKUP(B15,'Base stats'!B:B,'Base stats'!Y:Y)="Carnivore",_xlfn.XLOOKUP(_xlfn.XLOOKUP(B15,'Base stats'!B:B,'Base stats'!E:E),Groups!A:A,Groups!AJ:AJ)="Photonozoa"),"CarnivoreAnimalStrict, OvivoreAnimal",IF(_xlfn.XLOOKUP(B15,'Base stats'!B:B,'Base stats'!Y:Y)="Carnivore","CarnivoreAnimal, OvivoreAnimal",IF(_xlfn.XLOOKUP(B15,'Base stats'!B:B,'Base stats'!Y:Y)="Dendrovore","VegetarianRoughAnimal, DendrovoreAnimal",IF(_xlfn.XLOOKUP(B15,'Base stats'!B:B,'Base stats'!Y:Y)="Herbivore","VegetarianRoughAnimal",IF(_xlfn.XLOOKUP(B15,'Base stats'!B:B,'Base stats'!Y:Y)="OmnivoreRough","OmnivoreRoughAnimal, OvivoreAnimal","OmnivoreAnimal, OvivoreAnimal"))))))</f>
        <v>OmnivoreAnimal, OvivoreAnimal</v>
      </c>
      <c r="AZ15" s="2" t="str">
        <f>IF(_xlfn.XLOOKUP(_xlfn.XLOOKUP(B15,'Base stats'!B:B,'Base stats'!E:E),Groups!A:A,Groups!D:D)=1,MROUND((1-J15)*5+1,2)*IF(J15&lt;=0.4,2,1),"No")</f>
        <v>No</v>
      </c>
      <c r="BA15" s="2" t="str">
        <f>IF(AND(_xlfn.XLOOKUP(B15,'Base stats'!B:B,'Base stats'!AH:AH)="&lt;li&gt;Seal&lt;/li&gt;",G15="Odyssey"),"&lt;li&gt;AEXP_Seal&lt;/li&gt;",_xlfn.XLOOKUP(B15,'Base stats'!B:B,'Base stats'!AH:AH))</f>
        <v>&lt;li&gt;YorkshireTerrier&lt;/li&gt;</v>
      </c>
      <c r="BB15" s="2" t="str">
        <f>_xlfn.XLOOKUP(B15,'Base stats'!B:B,'Base stats'!AG:AG)</f>
        <v>Leather_Dog</v>
      </c>
      <c r="BC15" s="23" t="str">
        <f>_xlfn.XLOOKUP(_xlfn.XLOOKUP(B15,'Base stats'!B:B,'Base stats'!E:E),Groups!A:A,Groups!AL:AL)</f>
        <v>QuadrupedAnimalWithPawsAndTail</v>
      </c>
      <c r="BD15" s="23">
        <f>MIN(1,MROUND(IF(AND(AO15&lt;0.5,_xlfn.XLOOKUP(B15,'Base stats'!B:B,'Base stats'!AA:AA)=0),0,IF(OR(_xlfn.XLOOKUP(Animals!B15,'Base stats'!B:B,'Base stats'!O:O)=2,_xlfn.XLOOKUP(_xlfn.XLOOKUP(B15,'Base stats'!B:B,'Base stats'!E:E),Groups!A:A,Groups!AN:AN)=0),0,_xlfn.XLOOKUP(_xlfn.XLOOKUP(B15,'Base stats'!B:B,'Base stats'!E:E),Groups!A:A,Groups!AN:AN)/IF(_xlfn.XLOOKUP(Animals!B15,'Base stats'!B:B,'Base stats'!O:O)=1,2,1)))+_xlfn.XLOOKUP(B15,'Base stats'!B:B,'Base stats'!AC:AC),0.005))</f>
        <v>0</v>
      </c>
      <c r="BE15" s="23">
        <f>MIN(1,MROUND(IF(AND(AO15&lt;0.5,_xlfn.XLOOKUP(B15,'Base stats'!B:B,'Base stats'!AA:AA)=0),0,IF(_xlfn.XLOOKUP(_xlfn.XLOOKUP(B15,'Base stats'!B:B,'Base stats'!E:E),Groups!A:A,Groups!AO:AO)=0,0,_xlfn.XLOOKUP(_xlfn.XLOOKUP(B15,'Base stats'!B:B,'Base stats'!E:E),Groups!A:A,Groups!AO:AO)/IF(_xlfn.XLOOKUP(Animals!B15,'Base stats'!B:B,'Base stats'!O:O)=2,3,1)))+_xlfn.XLOOKUP(B15,'Base stats'!B:B,'Base stats'!AD:AD),0.005))</f>
        <v>0.1</v>
      </c>
      <c r="BF15" s="2">
        <f>IF(J15&gt;0.3,"No",_xlfn.XLOOKUP(_xlfn.XLOOKUP(Animals!B15,'Base stats'!B:B,'Base stats'!E:E),Groups!A:A,Groups!AP:AP))</f>
        <v>1</v>
      </c>
      <c r="BG15" s="2">
        <f>IF(AND(J15&lt;=0.65,_xlfn.XLOOKUP(_xlfn.XLOOKUP(Animals!B15,'Base stats'!B:B,'Base stats'!E:E),Groups!A:A,Groups!AP:AP)&lt;&gt;"No",_xlfn.XLOOKUP(_xlfn.XLOOKUP(B15,'Base stats'!B:B,'Base stats'!E:E),Groups!A:A,Groups!D:D)=0),MROUND((80/3)*IF(_xlfn.XLOOKUP(B15,'Base stats'!B:B,'Base stats'!O:O)=2,0.2,AO15) + 24*(1-IF(BF15="No",0,BF15)) + 16/3, 12),"No")</f>
        <v>12</v>
      </c>
      <c r="BH15" s="2">
        <f>IF(AND(_xlfn.XLOOKUP(_xlfn.XLOOKUP(B15,'Base stats'!B:B,'Base stats'!E:E),Groups!A:A,Groups!AQ:AQ)=1,AO15&lt;=0.35),8,12)</f>
        <v>12</v>
      </c>
      <c r="BI15" s="2" t="str">
        <f>IF(_xlfn.XLOOKUP(_xlfn.XLOOKUP(B15,'Base stats'!B:B,'Base stats'!E:E),Groups!A:A,Groups!D:D)=0,_xlfn.XLOOKUP(_xlfn.XLOOKUP(B15,'Base stats'!B:B,'Base stats'!E:E),Groups!A:A,Groups!AR:AR),"None")</f>
        <v>Advanced</v>
      </c>
      <c r="BJ15" s="2" t="str">
        <f>IF(AND(_xlfn.XLOOKUP(_xlfn.XLOOKUP(B15,'Base stats'!B:B,'Base stats'!E:E),Groups!A:A,Groups!AS:AS)=1,OR(_xlfn.XLOOKUP(B15,'Base stats'!B:B,'Base stats'!Y:Y)="Carnivore",_xlfn.XLOOKUP(B15,'Base stats'!B:B,'Base stats'!Y:Y)="Omnivore")),"true","false")</f>
        <v>true</v>
      </c>
      <c r="BK15" s="2">
        <f>IF(BJ15="true",MROUND(IF(AND(AO15&gt;0.5,OR(_xlfn.XLOOKUP(_xlfn.XLOOKUP(B15,'Base stats'!B:B,'Base stats'!E:E),Groups!A:A,Groups!AJ:AJ)="Photonozoa",_xlfn.XLOOKUP(_xlfn.XLOOKUP(B15,'Base stats'!B:B,'Base stats'!E:E),Groups!A:A,Groups!AJ:AJ)="Mammal")),Animals!AO15*1.75*IF(AW15="true",1.5,1),IF(AO15&lt;0.5,Animals!AO15*0.5,Animals!AO15)),IF(AO15&gt;2,0.5,IF(AO15&gt;0.5,0.25,0.1))),"No")</f>
        <v>1.75</v>
      </c>
      <c r="BL15" s="2">
        <f t="shared" si="3"/>
        <v>1</v>
      </c>
      <c r="BM15" s="25" t="str">
        <f>IF(_xlfn.XLOOKUP(B15,'Base stats'!B:B,'Base stats'!AN:AN)="Standard","No",MROUND((_xlfn.XLOOKUP(B15,'Base stats'!B:B,'Base stats'!AN:AN)/3.6)/I15,0.1))</f>
        <v>No</v>
      </c>
      <c r="BN15" s="25" t="str">
        <f t="shared" si="4"/>
        <v>false</v>
      </c>
      <c r="BO15" s="25" t="str">
        <f>IF(AND(OR(_xlfn.XLOOKUP(B15,'Base stats'!B:B,'Base stats'!Y:Y)="Carnivore",_xlfn.XLOOKUP(B15,'Base stats'!B:B,'Base stats'!Y:Y)="Omnivore",_xlfn.XLOOKUP(B15,'Base stats'!B:B,'Base stats'!Y:Y)="OmnivoreRough"),_xlfn.XLOOKUP(_xlfn.XLOOKUP(B15,'Base stats'!B:B,'Base stats'!E:E),Groups!A:A,Groups!AT:AT)=1),"true","false")</f>
        <v>false</v>
      </c>
      <c r="BP15" s="25" t="str" cm="1">
        <f t="array" ref="BP15">IF(
  _xlfn.TEXTJOIN(", ",TRUE,
    IF(AND(BJ15="true",AO15&gt;0.5,BI15&lt;&gt;"None"),"AttackTarget",""),
    IF(AND(_xlfn.XLOOKUP(_xlfn.XLOOKUP(B15,'Base stats'!B:B,'Base stats'!E:E),Groups!A:A,Groups!AJ:AJ="Mammal"),OR(_xlfn.XLOOKUP(B15,'Base stats'!B:B,'Base stats'!Y:Y)="Omnivore",_xlfn.XLOOKUP(B15,'Base stats'!B:B,'Base stats'!Y:Y)="OmnivoreRough")),"Forage",""),
    IF(BG15&lt;=36,"Comfort",""),
    IF(_xlfn.XLOOKUP(B15,'Base stats'!B:B,'Base stats'!AE:AE)&lt;&gt;"No",_xlfn.XLOOKUP(B15,'Base stats'!B:B,'Base stats'!AE:AE),"")
  ) = "",
  "No",
  _xlfn.TEXTJOIN(", ",TRUE,
    IF(AND(BJ15="true",AO15&gt;0.5,BI15&lt;&gt;"None"),"AttackTarget",""),
    IF(AND(_xlfn.XLOOKUP(_xlfn.XLOOKUP(B15,'Base stats'!B:B,'Base stats'!E:E),Groups!A:A,Groups!AJ:AJ="Mammal"),OR(_xlfn.XLOOKUP(B15,'Base stats'!B:B,'Base stats'!Y:Y)="Omnivore",_xlfn.XLOOKUP(B15,'Base stats'!B:B,'Base stats'!Y:Y)="OmnivoreRough")),"Forage",""),
    IF(BG15&lt;=36,"Comfort",""),
    IF(_xlfn.XLOOKUP(B15,'Base stats'!B:B,'Base stats'!AE:AE)&lt;&gt;"No",_xlfn.XLOOKUP(B15,'Base stats'!B:B,'Base stats'!AE:AE),"")
  )
)</f>
        <v>AttackTarget, Forage, Comfort</v>
      </c>
      <c r="BQ15" s="25" t="str">
        <f>IF(
   AND(
      'Base stats'!AN15="Standard",_xlfn.XLOOKUP(_xlfn.XLOOKUP(B15,'Base stats'!B:B,'Base stats'!E:E),Groups!A:A,Groups!AU:AU)=0,
      OR(
      BO15="True"
      )
   ),
   10,
   IF(
       OR(BM15&lt;&gt;"No",_xlfn.XLOOKUP(_xlfn.XLOOKUP(B15,'Base stats'!B:B,'Base stats'!E:E),Groups!A:A,Groups!AU:AU)=1),
      1,
      "No"
   )
)</f>
        <v>No</v>
      </c>
      <c r="BR15" s="9">
        <f>MROUND((1 + ((0.2*IF(OR(Q15="No",R15="No",R15=0),0,Q15/R15)
+IF(OR(V15="No",S15="No",T15="No"),0,S15/T15*(LEN(V15)-LEN(SUBSTITUTE(V15,",",""))+1))
+IF(OR(X15="No",Y15="No"),0,X15/Y15)
+IF(OR(AD15="No",AE15="No"),0,AD15/AE15)
+IF(OR(AL15="No",AI15="No",AJ15="No"),0,AI15/AJ15*(LEN(AL15)-LEN(SUBSTITUTE(AL15,",",""))+1))
)/(0.2*IF(OR(Q15="No",R15="No",R15=0),0,1)
+IF(OR(V15="No",S15="No",T15="No"),0,LEN(V15)-LEN(SUBSTITUTE(V15,",",""))+1)
+IF(OR(X15="No",Y15="No"),0,1)
+IF(OR(AD15="No",AE15="No"),0,1)
+IF(OR(AL15="No",AI15="No",AJ15="No"),0,LEN(AL15)-LEN(SUBSTITUTE(AL15,",",""))+1))*62%)* 2)*(1 + (AP15 / (IF(_xlfn.XLOOKUP(_xlfn.XLOOKUP(B15,'Base stats'!B:B,'Base stats'!E:E),Groups!A:A,Groups!AJ:AJ)="Photonozoa",0.3,1)) + _xlfn.XLOOKUP(B15,'Base stats'!B:B,'Base stats'!AV:AV) * 1.8) * 2) * 2.5 + 10 + I15 * 2,5)+IF(_xlfn.XLOOKUP(B15,'Base stats'!B:B,'Base stats'!AK:AK)=1,50,0)</f>
        <v>80</v>
      </c>
      <c r="BS15" s="8">
        <f t="shared" si="5"/>
        <v>0.5</v>
      </c>
      <c r="BT15" s="8" t="str">
        <f>_xlfn.XLOOKUP(B15,'Base stats'!B:B,'Base stats'!AF:AF)</f>
        <v>2~6</v>
      </c>
      <c r="BU15" s="2" t="str">
        <f>IF(AND(J15&lt;=0.95,OR(_xlfn.XLOOKUP(B15,'Base stats'!B:B,'Base stats'!AK:AK)=1,_xlfn.XLOOKUP(B15,'Base stats'!B:B,'Base stats'!Y:Y)="Carnivore",_xlfn.XLOOKUP(B15,'Base stats'!B:B,'Base stats'!Y:Y)="Omnivore",BE15&gt;0.1)),"true","false")</f>
        <v>true</v>
      </c>
      <c r="BV15" s="2" t="str">
        <f>IF(_xlfn.XLOOKUP(B15,'Base stats'!B:B,'Base stats'!AI:AI)=1,"true","false")</f>
        <v>false</v>
      </c>
      <c r="BW15" s="25" t="str">
        <f>IF(E15="BaseInsect","AnimalInsect",
IF(J15&gt;0.95,"AnimalExotic",
_xlfn.TEXTJOIN(", ",TRUE,
IF(OR(_xlfn.XLOOKUP(B15,'Base stats'!B:B,'Base stats'!AM:AM)=1,AND(_xlfn.XLOOKUP(B15,'Base stats'!B:B,'Base stats'!O:O)=0,_xlfn.XLOOKUP(_xlfn.XLOOKUP(B15,'Base stats'!B:B,'Base stats'!E:E),Groups!A:A,Groups!B:B)&gt;0)),"AnimalUncommon","AnimalCommon"),
IF(AND(_xlfn.XLOOKUP(B15,'Base stats'!B:B,'Base stats'!O:O)=2,_xlfn.XLOOKUP(_xlfn.XLOOKUP(B15,'Base stats'!B:B,'Base stats'!E:E),Groups!A:A,Groups!D:D)=0),"AnimalPet",IF(AND(_xlfn.XLOOKUP(B15,'Base stats'!B:B,'Base stats'!O:O)&lt;&gt;0,_xlfn.XLOOKUP(_xlfn.XLOOKUP(B15,'Base stats'!B:B,'Base stats'!E:E),Groups!A:A,Groups!D:D)&lt;&gt;0),"AnimalFarm","")),
IF(OR(_xlfn.XLOOKUP(B15,'Base stats'!B:B,'Base stats'!AK:AK)=1,AND(BI15&lt;&gt;"None",BR15&gt;=60),ISNUMBER(SEARCH("Attack target",BP15))),"AnimalFighter","")
)))</f>
        <v>AnimalCommon, AnimalPet, AnimalFighter</v>
      </c>
      <c r="BX15" s="25" t="str">
        <f>IF(G15="None",TRIM(
SUBSTITUTE(
IF(COUNTIF(Biomes!B$2:B$259,"="&amp;$C15)&gt;0,Biomes!B$1&amp;", ","")&amp;
IF(COUNTIF(Biomes!C$2:C$259,"="&amp;$C15)&gt;0,Biomes!C$1&amp;", ","")&amp;
IF(COUNTIF(Biomes!D$2:D$259,"="&amp;$C15)&gt;0,Biomes!D$1&amp;", ","")&amp;
IF(COUNTIF(Biomes!F$2:F$259,"="&amp;$C15)&gt;0,Biomes!F$1&amp;", ","")&amp;
IF(COUNTIF(Biomes!G$2:G$259,"="&amp;$C15)&gt;0,Biomes!G$1&amp;", ","")&amp;
IF(COUNTIF(Biomes!H$2:H$259,"="&amp;$C15)&gt;0,Biomes!H$1&amp;", ","")&amp;
IF(COUNTIF(Biomes!I$2:I$259,"="&amp;$C15)&gt;0,Biomes!I$1&amp;", ","")&amp;
IF(COUNTIF(Biomes!J$2:J$259,"="&amp;$C15)&gt;0,Biomes!J$1&amp;", ","")&amp;
IF(COUNTIF(Biomes!M$2:M$259,"="&amp;$C15)&gt;0,Biomes!M$1&amp;", ","")&amp;
IF(COUNTIF(Biomes!N$2:N$259,"="&amp;$C15)&gt;0,Biomes!N$1&amp;", ","")&amp;
IF(COUNTIF(Biomes!O$2:O$259,"="&amp;$C15)&gt;0,Biomes!O$1&amp;", ","")&amp;
IF(COUNTIF(Biomes!P$2:P$259,"="&amp;$C15)&gt;0,Biomes!P$1&amp;", ","")&amp;
IF(COUNTIF(Biomes!K$2:K$259,"="&amp;$C15)&gt;0,Biomes!K$1&amp;", ","")&amp;
IF(COUNTIF(Biomes!Q$3:Q$259,"="&amp;$C15)&gt;0,Biomes!Q$1&amp;", ","")&amp;
IF(COUNTIF(Biomes!L$2:L$259,"="&amp;$C15)&gt;0,Biomes!L$1&amp;", ","")&amp;
IF(COUNTIF(Biomes!E$2:E$259,"="&amp;$C15)&gt;0,Biomes!E$1&amp;", ","")&amp;IF(COUNTIF(Biomes!S$2:S$259,"="&amp;$C15)&gt;0,Biomes!S$1&amp;", ","")&amp;
IF(COUNTIF(Biomes!R$2:R$259,"="&amp;$C15)&gt;0,Biomes!R$1&amp;", ",""),", ","")
),_xlfn.XLOOKUP(B15,B:B,BX:BX))</f>
        <v/>
      </c>
      <c r="BY15" s="25" t="str">
        <f>IF(_xlfn.XLOOKUP(B15,'Base stats'!B:B,'Base stats'!AJ:AJ)=1,"true","false")</f>
        <v>false</v>
      </c>
      <c r="BZ15" s="25">
        <f>IF(_xlfn.XLOOKUP(B15,'Base stats'!B:B,'Base stats'!N:N)=1,"No",MAX(0.001,MIN(MROUND(IF(AND(BJ15="True",CC15="False"),POWER(10,3.47*LOG10(_xlfn.XLOOKUP(B15,'Base stats'!B:B,'Base stats'!C:C)*1000)^-0.96),POWER(10,4.15*LOG10(_xlfn.XLOOKUP(B15,'Base stats'!B:B,'Base stats'!C:C)*1000)^-0.73))*IF(_xlfn.XLOOKUP(B15,'Base stats'!B:B,'Base stats'!AK:AK)=1,0.5,1)*IF(_xlfn.XLOOKUP(B15,'Base stats'!B:B,'Base stats'!AM:AM)=1,0.1,1)/100,IF(_xlfn.XLOOKUP(B15,'Base stats'!B:B,'Base stats'!AM:AM)=1,0.001,0.025)),0.5)))</f>
        <v>7.5000000000000011E-2</v>
      </c>
      <c r="CA15" s="25" t="str">
        <f>IF(P15="Standard","No",MAX(0.001,MIN(MROUND(IF(AND(BJ15="True",CC15="False"),POWER(10,3.47*LOG10(_xlfn.XLOOKUP(B15,'Base stats'!B:B,'Base stats'!C:C)*1000)^-0.96),POWER(10,4.15*LOG10(_xlfn.XLOOKUP(B15,'Base stats'!B:B,'Base stats'!C:C)*1000)^-0.73))*IF(_xlfn.XLOOKUP(B15,'Base stats'!B:B,'Base stats'!AM:AM)=1,0.1,1)*_xlfn.XLOOKUP(B15,'Base stats'!B:B,'Base stats'!R:R)/100,IF(_xlfn.XLOOKUP(B15,'Base stats'!B:B,'Base stats'!AM:AM)=1,0.001,0.025)),0.5)))</f>
        <v>No</v>
      </c>
      <c r="CB15" s="25" t="str">
        <f>IF(_xlfn.XLOOKUP(_xlfn.XLOOKUP(B15,'Base stats'!B:B,'Base stats'!E:E),Groups!A:A,Groups!AJ:AJ)="Mammal","True","False")</f>
        <v>True</v>
      </c>
      <c r="CC15" s="25" t="str">
        <f>IF(OR(_xlfn.XLOOKUP(_xlfn.XLOOKUP(B15,'Base stats'!B:B,'Base stats'!E:E),Groups!A:A,Groups!AJ:AJ)="Reptile",_xlfn.XLOOKUP(_xlfn.XLOOKUP(B15,'Base stats'!B:B,'Base stats'!E:E),Groups!A:A,Groups!AJ:AJ)="Amphibian",_xlfn.XLOOKUP(_xlfn.XLOOKUP(B15,'Base stats'!B:B,'Base stats'!E:E),Groups!A:A,Groups!AJ:AJ)="Invertebrate"),"True","False")</f>
        <v>False</v>
      </c>
      <c r="CD15" s="25" t="str">
        <f t="shared" si="6"/>
        <v>False</v>
      </c>
      <c r="CE15" s="25" t="str">
        <f>IF(_xlfn.XLOOKUP(_xlfn.XLOOKUP(B15,'Base stats'!B:B,'Base stats'!E:E),Groups!A:A,Groups!AX:AX),"True","False")</f>
        <v>False</v>
      </c>
      <c r="CF15" s="25" t="str">
        <f>IF(_xlfn.XLOOKUP(_xlfn.XLOOKUP(B15,'Base stats'!B:B,'Base stats'!E:E),Groups!A:A,Groups!AY:AY),"True","False")</f>
        <v>False</v>
      </c>
      <c r="CG15" s="25" t="str">
        <f>IF(_xlfn.XLOOKUP(_xlfn.XLOOKUP(B15,'Base stats'!B:B,'Base stats'!E:E),Groups!A:A,Groups!AW:AW),"True","False")</f>
        <v>False</v>
      </c>
      <c r="CH15" s="25" t="str">
        <f>IF(
OR(
_xlfn.XLOOKUP(_xlfn.XLOOKUP(B15,'Base stats'!B:B,'Base stats'!E:E),Groups!A:A,Groups!AZ:AZ)=0,
AND(
_xlfn.XLOOKUP(B15,'Base stats'!B:B,'Base stats'!Y:Y)&lt;&gt;"Carnivore",
_xlfn.XLOOKUP(B15,'Base stats'!B:B,'Base stats'!Y:Y)&lt;&gt;"Omnivore",
_xlfn.XLOOKUP(B15,'Base stats'!B:B,'Base stats'!Y:Y)&lt;&gt;"OmnivoreRough"
)
),
"No",
IF(
_xlfn.XLOOKUP(_xlfn.XLOOKUP(B15,'Base stats'!B:B,'Base stats'!E:E),Groups!A:A,Groups!AZ:AZ)=1,
"Flesh",
IF(
_xlfn.XLOOKUP(_xlfn.XLOOKUP(B15,'Base stats'!B:B,'Base stats'!E:E),Groups!A:A,Groups!AZ:AZ)=2,
"Bone",
""
)
)
)</f>
        <v>No</v>
      </c>
      <c r="CI15" s="25" t="str">
        <f>IF(_xlfn.XLOOKUP(_xlfn.XLOOKUP(B15,'Base stats'!B:B,'Base stats'!E:E),Groups!A:A,Groups!BB:BB),"True","False")</f>
        <v>True</v>
      </c>
      <c r="CJ15" s="25" t="str">
        <f>IF(_xlfn.XLOOKUP(_xlfn.XLOOKUP(B15,'Base stats'!B:B,'Base stats'!E:E),Groups!A:A,Groups!BA:BA),"True","False")</f>
        <v>False</v>
      </c>
      <c r="CO15" s="16"/>
    </row>
    <row r="16" spans="1:93" ht="16.5" thickTop="1" thickBot="1" x14ac:dyDescent="0.3">
      <c r="A16" s="26" t="str">
        <f>_xlfn.XLOOKUP(B16,'Base stats'!B:B,'Base stats'!A:A)</f>
        <v>Husky</v>
      </c>
      <c r="B16" s="6" t="s">
        <v>876</v>
      </c>
      <c r="C16" s="28" t="s">
        <v>687</v>
      </c>
      <c r="D16" s="28" t="s">
        <v>45</v>
      </c>
      <c r="E16" s="28" t="s">
        <v>673</v>
      </c>
      <c r="F16" s="28" t="s">
        <v>673</v>
      </c>
      <c r="G16" s="28" t="s">
        <v>673</v>
      </c>
      <c r="H16" s="2">
        <f>MROUND((
  (IF(AND(_xlfn.XLOOKUP(B16,'Base stats'!B:B,'Base stats'!AL:AL)=0,BI16="None",_xlfn.XLOOKUP(_xlfn.XLOOKUP(B16,'Base stats'!B:B,'Base stats'!E:E),Groups!A:A,Groups!B:B)=0), (18 + BR16 * 2.7) * 0.5,
    IF(AND(_xlfn.XLOOKUP(B16,'Base stats'!B:B,'Base stats'!AL:AL)=0,OR(AO16&lt;0.55,AND(BI16="Intermediate",_xlfn.XLOOKUP(_xlfn.XLOOKUP(B16,'Base stats'!B:B,'Base stats'!E:E),Groups!A:A,Groups!B:B)&lt;2))), (18 + BR16 * 2.7),
      IF(OR(BI16="Advanced",_xlfn.XLOOKUP(B16,'Base stats'!B:B,'Base stats'!AL:AL)=1,_xlfn.XLOOKUP(_xlfn.XLOOKUP(B16,'Base stats'!B:B,'Base stats'!E:E),Groups!A:A,Groups!B:B)=2), (18 + BR16 * 2.7) + 250, (18 + BR16 * 2.7))
    )
  ))
  + AO16 * 80
  + IF(COUNTIF(EggMilk!K$2:K$998, A16) &gt; 0, 125, 0)
  + IF(COUNTIF(EggMilk!P$2:P$998, A16) &gt; 0, 90, 0)
  + IF(COUNTIF(EggMilk!A$2:A$998, A16) &gt; 0, 90, 0)
)
* (0.8 + 0.4 * J16)
* 0.75,25)</f>
        <v>325</v>
      </c>
      <c r="I16" s="2">
        <f>MROUND(ROUNDDOWN(_xlfn.XLOOKUP(B16,'Base stats'!B:B,'Base stats'!L:L)/3.6/(23.3/11),1),0.5)</f>
        <v>6.5</v>
      </c>
      <c r="J16" s="2">
        <f>IF(OR(_xlfn.XLOOKUP(B16,'Base stats'!B:B,'Base stats'!AB:AB)=1,_xlfn.XLOOKUP(_xlfn.XLOOKUP(B16,'Base stats'!B:B,'Base stats'!E:E),Groups!A:A,Groups!C:C)="Untamable"),1,IF(_xlfn.XLOOKUP(B16,'Base stats'!B:B,'Base stats'!AL:AL)=1,0.99,MIN(MROUND((1-0.6282*EXP(-0.459*AO16))*_xlfn.XLOOKUP(_xlfn.XLOOKUP(B16,'Base stats'!B:B,'Base stats'!E:E),Groups!A:A,Groups!C:C)*IF(_xlfn.XLOOKUP(B16,'Base stats'!B:B,'Base stats'!O:O)=1,0.5,IF(_xlfn.XLOOKUP(B16,'Base stats'!B:B,'Base stats'!O:O)=2,0,1)),0.05),IF(AO16&gt;3.5,0.985,0.95))))</f>
        <v>0</v>
      </c>
      <c r="K16" s="2">
        <f>ROUNDUP(AO16*_xlfn.XLOOKUP(_xlfn.XLOOKUP(B16,'Base stats'!B:B,'Base stats'!E:E),Groups!A:A,Groups!E:E),0)</f>
        <v>1</v>
      </c>
      <c r="L16" s="2">
        <f>IF(OR(_xlfn.XLOOKUP(_xlfn.XLOOKUP(B16,'Base stats'!B:B,'Base stats'!E:E),Groups!A:A,Groups!F:F)=2,ISNUMBER(SEARCH("SeaIce",BX16)),ISNUMBER(SEARCH("IceSheet",BX16))),-50,IF(OR(ISNUMBER(SEARCH("GlacialPlain",BX16)),ISNUMBER(SEARCH("Tundra",BX16))),-40,IF(OR(ISNUMBER(SEARCH("Alpine",BX16)),ISNUMBER(SEARCH("BorealForest",BX16)),ISNUMBER(SEARCH("ColdBog",BX16))),-30,IF(OR(ISNUMBER(SEARCH("TemperateForest",BX16)),ISNUMBER(SEARCH("TemperateSwamp",BX16))),-20,IF(_xlfn.XLOOKUP(_xlfn.XLOOKUP(B16,'Base stats'!B:B,'Base stats'!E:E),Groups!A:A,Groups!F:F)=1,-15,IF(OR(ISNUMBER(SEARCH("Desert",BX16)),ISNUMBER(SEARCH("ExtremeDesert",BX16))),-10,IF(OR(ISNUMBER(SEARCH("Grasslands",BX16)),ISNUMBER(SEARCH("TropicalRainforest",BX16)),ISNUMBER(SEARCH("TropicalSwamp",BX16))),10,0)))))))-IF(CC16="False",MIN(IFERROR(MAX(MROUND(LOG10(_xlfn.XLOOKUP(B16,'Base stats'!B:B,'Base stats'!C:C)^(2/3))*10,5),5),5),30))-_xlfn.XLOOKUP(B16,'Base stats'!B:B,'Base stats'!P:P)+IF(CC16="True",5,0)</f>
        <v>-45</v>
      </c>
      <c r="M16" s="2">
        <f>IF(OR(_xlfn.XLOOKUP(_xlfn.XLOOKUP(B16,'Base stats'!B:B,'Base stats'!E:E),Groups!A:A,Groups!G:G)=2,ISNUMBER(SEARCH("Desert",BX16)),ISNUMBER(SEARCH("ExtremeDesert",BX16)),ISNUMBER(SEARCH("LavaField",BX16))),50,IF(ISNUMBER(SEARCH("Grasslands",BX16)),45,IF(OR(_xlfn.XLOOKUP(_xlfn.XLOOKUP(B16,'Base stats'!B:B,'Base stats'!E:E),Groups!A:A,Groups!G:G)=1,ISNUMBER(SEARCH("TropicalRainforest",BX16)),ISNUMBER(SEARCH("TropicalSwamp",BX16))),40,IF(OR(ISNUMBER(SEARCH("TemperateForest",BX16)),ISNUMBER(SEARCH("TemperateSwamp",BX16))),35,IF(OR(ISNUMBER(SEARCH("Alpine",BX16)),ISNUMBER(SEARCH("BorealForest",BX16)),ISNUMBER(SEARCH("ColdBog",BX16))),30,IF(ISNUMBER(OR(ISNUMBER(SEARCH("GlacialPlain",BX16)),SEARCH("Tundra",BX16))),25,IF(OR(ISNUMBER(SEARCH("SeaIce",BX16)),ISNUMBER(SEARCH("IceSheet",BX16)),ISNUMBER(SEARCH("TropicalSwamp",BX16))),10,35)))))))+_xlfn.XLOOKUP(B16,'Base stats'!B:B,'Base stats'!Q:Q)</f>
        <v>35</v>
      </c>
      <c r="N16" s="8" t="str">
        <f>IF(
_xlfn.XLOOKUP(
_xlfn.XLOOKUP(B16,'Base stats'!B:B,'Base stats'!E:E),
Groups!A:A,
Groups!L:L
)=1,
MIN(
MROUND(
IF(
_xlfn.XLOOKUP(B16,'Animals CE'!B:B,'Animals CE'!Z:Z)&lt;=1.5,
_xlfn.XLOOKUP(B16,'Animals CE'!B:B,'Animals CE'!Z:Z)/2+0.05,
0.8+
(_xlfn.XLOOKUP(B16,'Animals CE'!B:B,'Animals CE'!Z:Z)-1.5)
*0.02
),
0.05
),
200%
),
"No"
)</f>
        <v>No</v>
      </c>
      <c r="O16" s="8" t="str">
        <f>IF(
_xlfn.XLOOKUP(
_xlfn.XLOOKUP(B16,'Base stats'!B:B,'Base stats'!E:E),
Groups!A:A,
Groups!L:L
)=1,
MIN(
MROUND(
IF(
_xlfn.XLOOKUP(B16,'Animals CE'!B:B,'Animals CE'!AA:AA)&lt;=1.5,
_xlfn.XLOOKUP(B16,'Animals CE'!B:B,'Animals CE'!AA:AA)/2+0.05,
0.8+
(_xlfn.XLOOKUP(B16,'Animals CE'!B:B,'Animals CE'!AA:AA)-1.5)
*0.02
),
0.05
),
200%
),
"No"
)</f>
        <v>No</v>
      </c>
      <c r="P16" s="2" t="str">
        <f>_xlfn.XLOOKUP(B16,'Base stats'!B:B,'Base stats'!R:R)</f>
        <v>Standard</v>
      </c>
      <c r="Q16" s="13">
        <f>MROUND((LOG10(_xlfn.XLOOKUP(B16,'Base stats'!B:B,'Base stats'!AR:AR))*(AO16^0.5)+(_xlfn.XLOOKUP(B16,'Base stats'!B:B,'Base stats'!AR:AR)/1000)^(2/3)+_xlfn.XLOOKUP(B16,'Base stats'!B:B,'Base stats'!BA:BA)/2)+0.5,0.5)</f>
        <v>5.5</v>
      </c>
      <c r="R16" s="7">
        <f>IF(Q16="No","No",MAX(1,MROUND(_xlfn.XLOOKUP(B16,'Base stats'!B:B,'Base stats'!C:C)^0.165,0.05)))</f>
        <v>1.8</v>
      </c>
      <c r="S16" s="13" t="str">
        <f>IF(_xlfn.XLOOKUP(_xlfn.XLOOKUP(B16,'Base stats'!B:B,'Base stats'!E:E),Groups!A:A,Groups!P:P)=0,"No",MROUND((LOG10(_xlfn.XLOOKUP(B16,'Base stats'!B:B,'Base stats'!AS:AS))*(AO16^0.5)+(_xlfn.XLOOKUP(B16,'Base stats'!B:B,'Base stats'!AS:AS)/1000)^(2/3)+_xlfn.XLOOKUP(B16,'Base stats'!B:B,'Base stats'!BA:BA))+_xlfn.XLOOKUP(B16,'Base stats'!B:B,'Base stats'!AY:AY)+0.5,0.5))</f>
        <v>No</v>
      </c>
      <c r="T16" s="7" t="str">
        <f>IF(S16="No","No",MAX(_xlfn.XLOOKUP(_xlfn.XLOOKUP(B16,'Base stats'!B:B,'Base stats'!E:E),Groups!A:A,Groups!Q:Q),MROUND(_xlfn.XLOOKUP(_xlfn.XLOOKUP(B16,'Base stats'!B:B,'Base stats'!E:E),Groups!A:A,Groups!Q:Q)*_xlfn.XLOOKUP(B16,'Base stats'!B:B,'Base stats'!C:C)^0.165,0.05)))</f>
        <v>No</v>
      </c>
      <c r="U16" s="7" t="str">
        <f>IF(S16="No","No",_xlfn.XLOOKUP(_xlfn.XLOOKUP(B16,'Base stats'!B:B,'Base stats'!E:E),Groups!A:A,Groups!R:R))</f>
        <v>No</v>
      </c>
      <c r="V16" s="7" t="str">
        <f>IF(S16="No","No",_xlfn.XLOOKUP(_xlfn.XLOOKUP(B16,'Base stats'!B:B,'Base stats'!E:E),Groups!A:A,Groups!S:S))</f>
        <v>No</v>
      </c>
      <c r="W16" s="7" t="str">
        <f>IF(S16="No","No",_xlfn.XLOOKUP(_xlfn.XLOOKUP(B16,'Base stats'!B:B,'Base stats'!E:E),Groups!A:A,Groups!T:T))</f>
        <v>No</v>
      </c>
      <c r="X16" s="13" t="str">
        <f>IF(_xlfn.XLOOKUP(B16,'Base stats'!B:B,'Base stats'!W:W)="No","No",MROUND((LOG10(_xlfn.XLOOKUP(B16,'Base stats'!B:B,'Base stats'!AU:AU))*(AO16^0.5)+(_xlfn.XLOOKUP(B16,'Base stats'!B:B,'Base stats'!AU:AU)/1000)^(2/3)+_xlfn.XLOOKUP(B16,'Base stats'!B:B,'Base stats'!AZ:AZ))+0.5+IF(_xlfn.XLOOKUP(_xlfn.XLOOKUP(B16,'Base stats'!B:B,'Base stats'!E:E),Groups!A:A,Groups!U:U)&lt;&gt;3,_xlfn.XLOOKUP(B16,'Base stats'!B:B,'Base stats'!BA:BA),0),0.5))</f>
        <v>No</v>
      </c>
      <c r="Y16" s="7" t="str">
        <f>IF(X16="No","No",MAX(_xlfn.XLOOKUP(_xlfn.XLOOKUP(B16,'Base stats'!B:B,'Base stats'!E:E),Groups!A:A,Groups!V:V),MROUND(_xlfn.XLOOKUP(_xlfn.XLOOKUP(B16,'Base stats'!B:B,'Base stats'!E:E),Groups!A:A,Groups!V:V)*_xlfn.XLOOKUP(B16,'Base stats'!B:B,'Base stats'!C:C)^0.165,0.05)))</f>
        <v>No</v>
      </c>
      <c r="Z16" s="7" t="str">
        <f>IF(X16="No","No",_xlfn.XLOOKUP(_xlfn.XLOOKUP(B16,'Base stats'!B:B,'Base stats'!E:E),Groups!A:A,Groups!W:W))</f>
        <v>No</v>
      </c>
      <c r="AA16" s="7" t="str">
        <f>IF(X16="No","No",_xlfn.XLOOKUP(_xlfn.XLOOKUP(B16,'Base stats'!B:B,'Base stats'!E:E),Groups!A:A,Groups!X:X))</f>
        <v>No</v>
      </c>
      <c r="AB16" s="7" t="str">
        <f>IF(X16="No","No",_xlfn.XLOOKUP(_xlfn.XLOOKUP(B16,'Base stats'!B:B,'Base stats'!E:E),Groups!A:A,Groups!Y:Y))</f>
        <v>No</v>
      </c>
      <c r="AC16" s="7" t="str">
        <f>_xlfn.XLOOKUP(Animals!B16,'Base stats'!B:B,'Base stats'!X:X)</f>
        <v>False</v>
      </c>
      <c r="AD16" s="13">
        <f>IF(_xlfn.XLOOKUP(B16,'Base stats'!B:B,'Base stats'!AT:AT)="No","No",MROUND((LOG10(_xlfn.XLOOKUP(B16,'Base stats'!B:B,'Base stats'!AT:AT))*(AO16^0.75)+(_xlfn.XLOOKUP(B16,'Base stats'!B:B,'Base stats'!AT:AT)/1000)^(2/3)+_xlfn.XLOOKUP(B16,'Base stats'!B:B,'Base stats'!AX:AX)+_xlfn.XLOOKUP(B16,'Base stats'!B:B,'Base stats'!BA:BA))+0.5,0.5))</f>
        <v>10</v>
      </c>
      <c r="AE16" s="7">
        <f>IF(AD16="No","No",MAX(_xlfn.XLOOKUP(_xlfn.XLOOKUP(B16,'Base stats'!B:B,'Base stats'!E:E),Groups!A:A,Groups!Z:Z),MROUND(_xlfn.XLOOKUP(_xlfn.XLOOKUP(B16,'Base stats'!B:B,'Base stats'!E:E),Groups!A:A,Groups!Z:Z)*_xlfn.XLOOKUP(B16,'Base stats'!B:B,'Base stats'!C:C)^0.165,0.05)))</f>
        <v>1.4500000000000002</v>
      </c>
      <c r="AF16" s="7" t="str">
        <f>IF(AD16="No","No",_xlfn.XLOOKUP(_xlfn.XLOOKUP(B16,'Base stats'!B:B,'Base stats'!E:E),Groups!A:A,Groups!AA:AA))</f>
        <v>Teeth</v>
      </c>
      <c r="AG16" s="7" t="str">
        <f>IF(AD16="No","No",_xlfn.XLOOKUP(_xlfn.XLOOKUP(B16,'Base stats'!B:B,'Base stats'!E:E),Groups!A:A,Groups!AB:AB))</f>
        <v>canines</v>
      </c>
      <c r="AH16" s="7" t="str">
        <f>IF(AD16="No","No",_xlfn.XLOOKUP(_xlfn.XLOOKUP(B16,'Base stats'!B:B,'Base stats'!E:E),Groups!A:A,Groups!AC:AC))</f>
        <v>Bite</v>
      </c>
      <c r="AI16" s="13" t="str">
        <f>IF(_xlfn.XLOOKUP(_xlfn.XLOOKUP(B16,'Base stats'!B:B,'Base stats'!E:E),Groups!A:A,Groups!AD:AD)=0,"No",MROUND((LOG10(_xlfn.XLOOKUP(B16,'Base stats'!B:B,'Base stats'!AS:AS))*(AO16^0.75)+(_xlfn.XLOOKUP(B16,'Base stats'!B:B,'Base stats'!AS:AS)/1000)^(2/3)+_xlfn.XLOOKUP(B16,'Base stats'!B:B,'Base stats'!AY:AY)+_xlfn.XLOOKUP(B16,'Base stats'!B:B,'Base stats'!BA:BA))+0.5,0.5))</f>
        <v>No</v>
      </c>
      <c r="AJ16" s="7" t="str">
        <f>IF(AI16="No","No",MAX(_xlfn.XLOOKUP(_xlfn.XLOOKUP(B16,'Base stats'!B:B,'Base stats'!E:E),Groups!A:A,Groups!AE:AE),MROUND(_xlfn.XLOOKUP(_xlfn.XLOOKUP(B16,'Base stats'!B:B,'Base stats'!E:E),Groups!A:A,Groups!AE:AE)*IF(_xlfn.XLOOKUP(_xlfn.XLOOKUP(B16,'Base stats'!B:B,'Base stats'!E:E),Groups!A:A,Groups!AJ:AJ)="Photonozoa",0.6,1)*_xlfn.XLOOKUP(B16,'Base stats'!B:B,'Base stats'!C:C)^0.165,0.05)))</f>
        <v>No</v>
      </c>
      <c r="AK16" s="7" t="str">
        <f>IF(AI16="No","No",_xlfn.XLOOKUP(_xlfn.XLOOKUP(B16,'Base stats'!B:B,'Base stats'!E:E),Groups!A:A,Groups!AF:AF))</f>
        <v>No</v>
      </c>
      <c r="AL16" s="7" t="str">
        <f>IF(AI16="No","No",_xlfn.XLOOKUP(_xlfn.XLOOKUP(B16,'Base stats'!B:B,'Base stats'!E:E),Groups!A:A,Groups!AG:AG))</f>
        <v>No</v>
      </c>
      <c r="AM16" s="7" t="str">
        <f>IF(AI16="No","No",_xlfn.XLOOKUP(_xlfn.XLOOKUP(B16,'Base stats'!B:B,'Base stats'!E:E),Groups!A:A,Groups!AH:AH))</f>
        <v>No</v>
      </c>
      <c r="AN16" s="2">
        <f t="shared" si="0"/>
        <v>20</v>
      </c>
      <c r="AO16" s="2">
        <f>MROUND(IF(AND(_xlfn.XLOOKUP(B16,'Base stats'!B:B,'Base stats'!C:C)&gt;=0.5,_xlfn.XLOOKUP(B16,'Base stats'!B:B,'Base stats'!C:C)&lt;=0.8),
IF(_xlfn.XLOOKUP(B16,'Base stats'!B:B,'Base stats'!C:C)&lt;0.1,0.05,IF(_xlfn.XLOOKUP(B16,'Base stats'!B:B,'Base stats'!C:C)&lt;=70,(_xlfn.XLOOKUP(B16,'Base stats'!B:B,'Base stats'!C:C)/70)^0.426489913056526,IF(_xlfn.XLOOKUP(B16,'Base stats'!B:B,'Base stats'!C:C)&lt;=400,(_xlfn.XLOOKUP(B16,'Base stats'!B:B,'Base stats'!C:C)/70)^0.572811455315093,IF(_xlfn.XLOOKUP(B16,'Base stats'!B:B,'Base stats'!C:C)&lt;=2000,2.71391647193063*(_xlfn.XLOOKUP(B16,'Base stats'!B:B,'Base stats'!C:C)/400)^0.252459582904293,3.74314280240376*(_xlfn.XLOOKUP(B16,'Base stats'!B:B,'Base stats'!C:C)/2000)^0.357012633876913)))),
IF(_xlfn.XLOOKUP(B16,'Base stats'!B:B,'Base stats'!C:C)&lt;0.1,0.05,IF(_xlfn.XLOOKUP(B16,'Base stats'!B:B,'Base stats'!C:C)&lt;0.4,0.1,IF(_xlfn.XLOOKUP(B16,'Base stats'!B:B,'Base stats'!C:C)&lt;=70,(_xlfn.XLOOKUP(B16,'Base stats'!B:B,'Base stats'!C:C)/70)^0.445823913056526,IF(_xlfn.XLOOKUP(B16,'Base stats'!B:B,'Base stats'!C:C)&lt;=400,(_xlfn.XLOOKUP(B16,'Base stats'!B:B,'Base stats'!C:C)/70)^0.572811455315093,IF(_xlfn.XLOOKUP(B16,'Base stats'!B:B,'Base stats'!C:C)&lt;=2000,2.71391647193063*(_xlfn.XLOOKUP(B16,'Base stats'!B:B,'Base stats'!C:C)/400)^0.252459582904293,3.74314280240376*(_xlfn.XLOOKUP(B16,'Base stats'!B:B,'Base stats'!C:C)/2000)^0.357012633876913)))))),
IF(_xlfn.XLOOKUP(B16,'Base stats'!B:B,'Base stats'!C:C)&lt;0.1,0.05,IF(_xlfn.XLOOKUP(B16,'Base stats'!B:B,'Base stats'!C:C)&lt;=100,0.05,IF(_xlfn.XLOOKUP(B16,'Base stats'!B:B,'Base stats'!C:C)&lt;=250,0.1,IF(_xlfn.XLOOKUP(B16,'Base stats'!B:B,'Base stats'!C:C)&lt;=4000,0.25,0.5)))))</f>
        <v>0.75</v>
      </c>
      <c r="AP16" s="8">
        <f>MROUND(AO16*_xlfn.XLOOKUP(_xlfn.XLOOKUP(B16,'Base stats'!B:B,'Base stats'!E:E),Groups!A:A,Groups!AI:AI)*_xlfn.XLOOKUP(B16,'Base stats'!B:B,'Base stats'!Z:Z),0.05)</f>
        <v>0.9</v>
      </c>
      <c r="AQ16" s="8">
        <f>MAX(0.01,MROUND(IF(CC16="True",0.196*(AO16*100*1000)^0.889,IF(_xlfn.XLOOKUP(_xlfn.XLOOKUP(B16,'Base stats'!B:B,'Base stats'!E:E),Groups!A:A,Groups!AJ:AJ)="Bird",10.5*(AO16*100*1000)^0.681,4.82*(AO16*100*1000)^0.734))/(4.82*(1*100*1000)^0.734)/IF(AO16&lt;3.5,2,IF(AO16=3.5,1.5,1.25))*(1+0.132282374779864/(AO16^0.994035016789033+0.00905238001496948)),0.05))</f>
        <v>0.5</v>
      </c>
      <c r="AR16" s="9">
        <f>IFERROR(MROUND(_xlfn.XLOOKUP(B16,'Base stats'!B:B,'Base stats'!H:H)/IF(_xlfn.XLOOKUP(B16,'Base stats'!B:B,'Base stats'!I:I)&lt;&gt;1,(122.5/70),1.2),IF(_xlfn.XLOOKUP(B16,'Base stats'!B:B,'Base stats'!H:H)&gt;=30,5,IF(_xlfn.XLOOKUP(B16,'Base stats'!B:B,'Base stats'!H:H)&gt;=15,3,IF(_xlfn.XLOOKUP(B16,'Base stats'!B:B,'Base stats'!H:H)&gt;=10,2,1)))),"Immortal")</f>
        <v>15</v>
      </c>
      <c r="AS16" s="35">
        <f>IFERROR(IF(OR(_xlfn.XLOOKUP(B16,'Base stats'!B:B,'Base stats'!F:F)="Atypical reproduction",_xlfn.XLOOKUP(B16,'Base stats'!B:B,'Base stats'!F:F)="Lay eggs"),"Lay eggs",MIN(20,MAX(5.5,ROUND(((_xlfn.XLOOKUP(B16,'Base stats'!B:B,'Base stats'!F:F)-25)*(14.5/615) + 5.5)*2,0)/2))),"Unknown")</f>
        <v>6.5</v>
      </c>
      <c r="AT16" s="8">
        <f>IF(_xlfn.XLOOKUP(B16,'Base stats'!B:B,'Base stats'!G:G)="Atypical reproduction","No",IFERROR(MAX(IF(_xlfn.XLOOKUP(B16,'Base stats'!B:B,'Base stats'!G:G)&lt;0.5,0.2,0.3),MROUND(_xlfn.XLOOKUP(B16,'Base stats'!B:B,'Base stats'!G:G)/(365/60),0.2)),"Unknown"))</f>
        <v>0.3</v>
      </c>
      <c r="AU16" s="8">
        <f t="shared" si="1"/>
        <v>0.15000000000000002</v>
      </c>
      <c r="AV16" s="8">
        <f>IFERROR(IFERROR(MROUND(_xlfn.XLOOKUP(B16,'Base stats'!B:B,'Base stats'!J:J),0.1),"Lay eggs"),"Cannot breed")</f>
        <v>6</v>
      </c>
      <c r="AW16" s="2" t="str">
        <f t="shared" si="2"/>
        <v>true</v>
      </c>
      <c r="AX16" s="2" t="str">
        <f>IF(_xlfn.XLOOKUP(_xlfn.XLOOKUP(Animals!B16,'Base stats'!B:B,'Base stats'!E:E),Groups!A:A,Groups!AK:AK)=1,"true","false")</f>
        <v>false</v>
      </c>
      <c r="AY16" s="25" t="str">
        <f>IF(_xlfn.XLOOKUP(B16,'Base stats'!B:B,'Base stats'!Y:Y)="Liquor","Liquor, CarnivoreAnimalStrict",IF(AND(_xlfn.XLOOKUP(B16,'Base stats'!B:B,'Base stats'!Y:Y)="Carnivore",_xlfn.XLOOKUP(_xlfn.XLOOKUP(B16,'Base stats'!B:B,'Base stats'!E:E),Groups!A:A,Groups!AJ:AJ)="Photonozoa"),"CarnivoreAnimalStrict, OvivoreAnimal",IF(_xlfn.XLOOKUP(B16,'Base stats'!B:B,'Base stats'!Y:Y)="Carnivore","CarnivoreAnimal, OvivoreAnimal",IF(_xlfn.XLOOKUP(B16,'Base stats'!B:B,'Base stats'!Y:Y)="Dendrovore","VegetarianRoughAnimal, DendrovoreAnimal",IF(_xlfn.XLOOKUP(B16,'Base stats'!B:B,'Base stats'!Y:Y)="Herbivore","VegetarianRoughAnimal",IF(_xlfn.XLOOKUP(B16,'Base stats'!B:B,'Base stats'!Y:Y)="OmnivoreRough","OmnivoreRoughAnimal, OvivoreAnimal","OmnivoreAnimal, OvivoreAnimal"))))))</f>
        <v>OmnivoreAnimal, OvivoreAnimal</v>
      </c>
      <c r="AZ16" s="2" t="str">
        <f>IF(_xlfn.XLOOKUP(_xlfn.XLOOKUP(B16,'Base stats'!B:B,'Base stats'!E:E),Groups!A:A,Groups!D:D)=1,MROUND((1-J16)*5+1,2)*IF(J16&lt;=0.4,2,1),"No")</f>
        <v>No</v>
      </c>
      <c r="BA16" s="2" t="str">
        <f>IF(AND(_xlfn.XLOOKUP(B16,'Base stats'!B:B,'Base stats'!AH:AH)="&lt;li&gt;Seal&lt;/li&gt;",G16="Odyssey"),"&lt;li&gt;AEXP_Seal&lt;/li&gt;",_xlfn.XLOOKUP(B16,'Base stats'!B:B,'Base stats'!AH:AH))</f>
        <v>&lt;li&gt;YorkshireTerrier&lt;/li&gt;</v>
      </c>
      <c r="BB16" s="2" t="str">
        <f>_xlfn.XLOOKUP(B16,'Base stats'!B:B,'Base stats'!AG:AG)</f>
        <v>Leather_Dog</v>
      </c>
      <c r="BC16" s="23" t="str">
        <f>_xlfn.XLOOKUP(_xlfn.XLOOKUP(B16,'Base stats'!B:B,'Base stats'!E:E),Groups!A:A,Groups!AL:AL)</f>
        <v>QuadrupedAnimalWithPawsAndTail</v>
      </c>
      <c r="BD16" s="23">
        <f>MIN(1,MROUND(IF(AND(AO16&lt;0.5,_xlfn.XLOOKUP(B16,'Base stats'!B:B,'Base stats'!AA:AA)=0),0,IF(OR(_xlfn.XLOOKUP(Animals!B16,'Base stats'!B:B,'Base stats'!O:O)=2,_xlfn.XLOOKUP(_xlfn.XLOOKUP(B16,'Base stats'!B:B,'Base stats'!E:E),Groups!A:A,Groups!AN:AN)=0),0,_xlfn.XLOOKUP(_xlfn.XLOOKUP(B16,'Base stats'!B:B,'Base stats'!E:E),Groups!A:A,Groups!AN:AN)/IF(_xlfn.XLOOKUP(Animals!B16,'Base stats'!B:B,'Base stats'!O:O)=1,2,1)))+_xlfn.XLOOKUP(B16,'Base stats'!B:B,'Base stats'!AC:AC),0.005))</f>
        <v>0</v>
      </c>
      <c r="BE16" s="23">
        <f>MIN(1,MROUND(IF(AND(AO16&lt;0.5,_xlfn.XLOOKUP(B16,'Base stats'!B:B,'Base stats'!AA:AA)=0),0,IF(_xlfn.XLOOKUP(_xlfn.XLOOKUP(B16,'Base stats'!B:B,'Base stats'!E:E),Groups!A:A,Groups!AO:AO)=0,0,_xlfn.XLOOKUP(_xlfn.XLOOKUP(B16,'Base stats'!B:B,'Base stats'!E:E),Groups!A:A,Groups!AO:AO)/IF(_xlfn.XLOOKUP(Animals!B16,'Base stats'!B:B,'Base stats'!O:O)=2,3,1)))+_xlfn.XLOOKUP(B16,'Base stats'!B:B,'Base stats'!AD:AD),0.005))</f>
        <v>0.1</v>
      </c>
      <c r="BF16" s="2">
        <f>IF(J16&gt;0.3,"No",_xlfn.XLOOKUP(_xlfn.XLOOKUP(Animals!B16,'Base stats'!B:B,'Base stats'!E:E),Groups!A:A,Groups!AP:AP))</f>
        <v>1</v>
      </c>
      <c r="BG16" s="2">
        <f>IF(AND(J16&lt;=0.65,_xlfn.XLOOKUP(_xlfn.XLOOKUP(Animals!B16,'Base stats'!B:B,'Base stats'!E:E),Groups!A:A,Groups!AP:AP)&lt;&gt;"No",_xlfn.XLOOKUP(_xlfn.XLOOKUP(B16,'Base stats'!B:B,'Base stats'!E:E),Groups!A:A,Groups!D:D)=0),MROUND((80/3)*IF(_xlfn.XLOOKUP(B16,'Base stats'!B:B,'Base stats'!O:O)=2,0.2,AO16) + 24*(1-IF(BF16="No",0,BF16)) + 16/3, 12),"No")</f>
        <v>12</v>
      </c>
      <c r="BH16" s="2">
        <f>IF(AND(_xlfn.XLOOKUP(_xlfn.XLOOKUP(B16,'Base stats'!B:B,'Base stats'!E:E),Groups!A:A,Groups!AQ:AQ)=1,AO16&lt;=0.35),8,12)</f>
        <v>12</v>
      </c>
      <c r="BI16" s="2" t="str">
        <f>IF(_xlfn.XLOOKUP(_xlfn.XLOOKUP(B16,'Base stats'!B:B,'Base stats'!E:E),Groups!A:A,Groups!D:D)=0,_xlfn.XLOOKUP(_xlfn.XLOOKUP(B16,'Base stats'!B:B,'Base stats'!E:E),Groups!A:A,Groups!AR:AR),"None")</f>
        <v>Advanced</v>
      </c>
      <c r="BJ16" s="2" t="str">
        <f>IF(AND(_xlfn.XLOOKUP(_xlfn.XLOOKUP(B16,'Base stats'!B:B,'Base stats'!E:E),Groups!A:A,Groups!AS:AS)=1,OR(_xlfn.XLOOKUP(B16,'Base stats'!B:B,'Base stats'!Y:Y)="Carnivore",_xlfn.XLOOKUP(B16,'Base stats'!B:B,'Base stats'!Y:Y)="Omnivore")),"true","false")</f>
        <v>true</v>
      </c>
      <c r="BK16" s="2">
        <f>IF(BJ16="true",MROUND(IF(AND(AO16&gt;0.5,OR(_xlfn.XLOOKUP(_xlfn.XLOOKUP(B16,'Base stats'!B:B,'Base stats'!E:E),Groups!A:A,Groups!AJ:AJ)="Photonozoa",_xlfn.XLOOKUP(_xlfn.XLOOKUP(B16,'Base stats'!B:B,'Base stats'!E:E),Groups!A:A,Groups!AJ:AJ)="Mammal")),Animals!AO16*1.75*IF(AW16="true",1.5,1),IF(AO16&lt;0.5,Animals!AO16*0.5,Animals!AO16)),IF(AO16&gt;2,0.5,IF(AO16&gt;0.5,0.25,0.1))),"No")</f>
        <v>2</v>
      </c>
      <c r="BL16" s="2">
        <f t="shared" si="3"/>
        <v>1</v>
      </c>
      <c r="BM16" s="25" t="str">
        <f>IF(_xlfn.XLOOKUP(B16,'Base stats'!B:B,'Base stats'!AN:AN)="Standard","No",MROUND((_xlfn.XLOOKUP(B16,'Base stats'!B:B,'Base stats'!AN:AN)/3.6)/I16,0.1))</f>
        <v>No</v>
      </c>
      <c r="BN16" s="25" t="str">
        <f t="shared" si="4"/>
        <v>false</v>
      </c>
      <c r="BO16" s="25" t="str">
        <f>IF(AND(OR(_xlfn.XLOOKUP(B16,'Base stats'!B:B,'Base stats'!Y:Y)="Carnivore",_xlfn.XLOOKUP(B16,'Base stats'!B:B,'Base stats'!Y:Y)="Omnivore",_xlfn.XLOOKUP(B16,'Base stats'!B:B,'Base stats'!Y:Y)="OmnivoreRough"),_xlfn.XLOOKUP(_xlfn.XLOOKUP(B16,'Base stats'!B:B,'Base stats'!E:E),Groups!A:A,Groups!AT:AT)=1),"true","false")</f>
        <v>false</v>
      </c>
      <c r="BP16" s="25" t="str" cm="1">
        <f t="array" ref="BP16">IF(
  _xlfn.TEXTJOIN(", ",TRUE,
    IF(AND(BJ16="true",AO16&gt;0.5,BI16&lt;&gt;"None"),"AttackTarget",""),
    IF(AND(_xlfn.XLOOKUP(_xlfn.XLOOKUP(B16,'Base stats'!B:B,'Base stats'!E:E),Groups!A:A,Groups!AJ:AJ="Mammal"),OR(_xlfn.XLOOKUP(B16,'Base stats'!B:B,'Base stats'!Y:Y)="Omnivore",_xlfn.XLOOKUP(B16,'Base stats'!B:B,'Base stats'!Y:Y)="OmnivoreRough")),"Forage",""),
    IF(BG16&lt;=36,"Comfort",""),
    IF(_xlfn.XLOOKUP(B16,'Base stats'!B:B,'Base stats'!AE:AE)&lt;&gt;"No",_xlfn.XLOOKUP(B16,'Base stats'!B:B,'Base stats'!AE:AE),"")
  ) = "",
  "No",
  _xlfn.TEXTJOIN(", ",TRUE,
    IF(AND(BJ16="true",AO16&gt;0.5,BI16&lt;&gt;"None"),"AttackTarget",""),
    IF(AND(_xlfn.XLOOKUP(_xlfn.XLOOKUP(B16,'Base stats'!B:B,'Base stats'!E:E),Groups!A:A,Groups!AJ:AJ="Mammal"),OR(_xlfn.XLOOKUP(B16,'Base stats'!B:B,'Base stats'!Y:Y)="Omnivore",_xlfn.XLOOKUP(B16,'Base stats'!B:B,'Base stats'!Y:Y)="OmnivoreRough")),"Forage",""),
    IF(BG16&lt;=36,"Comfort",""),
    IF(_xlfn.XLOOKUP(B16,'Base stats'!B:B,'Base stats'!AE:AE)&lt;&gt;"No",_xlfn.XLOOKUP(B16,'Base stats'!B:B,'Base stats'!AE:AE),"")
  )
)</f>
        <v>AttackTarget, Forage, Comfort</v>
      </c>
      <c r="BQ16" s="25" t="str">
        <f>IF(
   AND(
      'Base stats'!AN16="Standard",_xlfn.XLOOKUP(_xlfn.XLOOKUP(B16,'Base stats'!B:B,'Base stats'!E:E),Groups!A:A,Groups!AU:AU)=0,
      OR(
      BO16="True"
      )
   ),
   10,
   IF(
       OR(BM16&lt;&gt;"No",_xlfn.XLOOKUP(_xlfn.XLOOKUP(B16,'Base stats'!B:B,'Base stats'!E:E),Groups!A:A,Groups!AU:AU)=1),
      1,
      "No"
   )
)</f>
        <v>No</v>
      </c>
      <c r="BR16" s="9">
        <f>MROUND((1 + ((0.2*IF(OR(Q16="No",R16="No",R16=0),0,Q16/R16)
+IF(OR(V16="No",S16="No",T16="No"),0,S16/T16*(LEN(V16)-LEN(SUBSTITUTE(V16,",",""))+1))
+IF(OR(X16="No",Y16="No"),0,X16/Y16)
+IF(OR(AD16="No",AE16="No"),0,AD16/AE16)
+IF(OR(AL16="No",AI16="No",AJ16="No"),0,AI16/AJ16*(LEN(AL16)-LEN(SUBSTITUTE(AL16,",",""))+1))
)/(0.2*IF(OR(Q16="No",R16="No",R16=0),0,1)
+IF(OR(V16="No",S16="No",T16="No"),0,LEN(V16)-LEN(SUBSTITUTE(V16,",",""))+1)
+IF(OR(X16="No",Y16="No"),0,1)
+IF(OR(AD16="No",AE16="No"),0,1)
+IF(OR(AL16="No",AI16="No",AJ16="No"),0,LEN(AL16)-LEN(SUBSTITUTE(AL16,",",""))+1))*62%)* 2)*(1 + (AP16 / (IF(_xlfn.XLOOKUP(_xlfn.XLOOKUP(B16,'Base stats'!B:B,'Base stats'!E:E),Groups!A:A,Groups!AJ:AJ)="Photonozoa",0.3,1)) + _xlfn.XLOOKUP(B16,'Base stats'!B:B,'Base stats'!AV:AV) * 1.8) * 2) * 2.5 + 10 + I16 * 2,5)+IF(_xlfn.XLOOKUP(B16,'Base stats'!B:B,'Base stats'!AK:AK)=1,50,0)</f>
        <v>85</v>
      </c>
      <c r="BS16" s="8">
        <f t="shared" si="5"/>
        <v>0.55000000000000004</v>
      </c>
      <c r="BT16" s="8" t="str">
        <f>_xlfn.XLOOKUP(B16,'Base stats'!B:B,'Base stats'!AF:AF)</f>
        <v>2~6</v>
      </c>
      <c r="BU16" s="2" t="str">
        <f>IF(AND(J16&lt;=0.95,OR(_xlfn.XLOOKUP(B16,'Base stats'!B:B,'Base stats'!AK:AK)=1,_xlfn.XLOOKUP(B16,'Base stats'!B:B,'Base stats'!Y:Y)="Carnivore",_xlfn.XLOOKUP(B16,'Base stats'!B:B,'Base stats'!Y:Y)="Omnivore",BE16&gt;0.1)),"true","false")</f>
        <v>true</v>
      </c>
      <c r="BV16" s="2" t="str">
        <f>IF(_xlfn.XLOOKUP(B16,'Base stats'!B:B,'Base stats'!AI:AI)=1,"true","false")</f>
        <v>false</v>
      </c>
      <c r="BW16" s="25" t="str">
        <f>IF(E16="BaseInsect","AnimalInsect",
IF(J16&gt;0.95,"AnimalExotic",
_xlfn.TEXTJOIN(", ",TRUE,
IF(OR(_xlfn.XLOOKUP(B16,'Base stats'!B:B,'Base stats'!AM:AM)=1,AND(_xlfn.XLOOKUP(B16,'Base stats'!B:B,'Base stats'!O:O)=0,_xlfn.XLOOKUP(_xlfn.XLOOKUP(B16,'Base stats'!B:B,'Base stats'!E:E),Groups!A:A,Groups!B:B)&gt;0)),"AnimalUncommon","AnimalCommon"),
IF(AND(_xlfn.XLOOKUP(B16,'Base stats'!B:B,'Base stats'!O:O)=2,_xlfn.XLOOKUP(_xlfn.XLOOKUP(B16,'Base stats'!B:B,'Base stats'!E:E),Groups!A:A,Groups!D:D)=0),"AnimalPet",IF(AND(_xlfn.XLOOKUP(B16,'Base stats'!B:B,'Base stats'!O:O)&lt;&gt;0,_xlfn.XLOOKUP(_xlfn.XLOOKUP(B16,'Base stats'!B:B,'Base stats'!E:E),Groups!A:A,Groups!D:D)&lt;&gt;0),"AnimalFarm","")),
IF(OR(_xlfn.XLOOKUP(B16,'Base stats'!B:B,'Base stats'!AK:AK)=1,AND(BI16&lt;&gt;"None",BR16&gt;=60),ISNUMBER(SEARCH("Attack target",BP16))),"AnimalFighter","")
)))</f>
        <v>AnimalCommon, AnimalPet, AnimalFighter</v>
      </c>
      <c r="BX16" s="25" t="str">
        <f>IF(G16="None",TRIM(
SUBSTITUTE(
IF(COUNTIF(Biomes!B$2:B$259,"="&amp;$C16)&gt;0,Biomes!B$1&amp;", ","")&amp;
IF(COUNTIF(Biomes!C$2:C$259,"="&amp;$C16)&gt;0,Biomes!C$1&amp;", ","")&amp;
IF(COUNTIF(Biomes!D$2:D$259,"="&amp;$C16)&gt;0,Biomes!D$1&amp;", ","")&amp;
IF(COUNTIF(Biomes!F$2:F$259,"="&amp;$C16)&gt;0,Biomes!F$1&amp;", ","")&amp;
IF(COUNTIF(Biomes!G$2:G$259,"="&amp;$C16)&gt;0,Biomes!G$1&amp;", ","")&amp;
IF(COUNTIF(Biomes!H$2:H$259,"="&amp;$C16)&gt;0,Biomes!H$1&amp;", ","")&amp;
IF(COUNTIF(Biomes!I$2:I$259,"="&amp;$C16)&gt;0,Biomes!I$1&amp;", ","")&amp;
IF(COUNTIF(Biomes!J$2:J$259,"="&amp;$C16)&gt;0,Biomes!J$1&amp;", ","")&amp;
IF(COUNTIF(Biomes!M$2:M$259,"="&amp;$C16)&gt;0,Biomes!M$1&amp;", ","")&amp;
IF(COUNTIF(Biomes!N$2:N$259,"="&amp;$C16)&gt;0,Biomes!N$1&amp;", ","")&amp;
IF(COUNTIF(Biomes!O$2:O$259,"="&amp;$C16)&gt;0,Biomes!O$1&amp;", ","")&amp;
IF(COUNTIF(Biomes!P$2:P$259,"="&amp;$C16)&gt;0,Biomes!P$1&amp;", ","")&amp;
IF(COUNTIF(Biomes!K$2:K$259,"="&amp;$C16)&gt;0,Biomes!K$1&amp;", ","")&amp;
IF(COUNTIF(Biomes!Q$3:Q$259,"="&amp;$C16)&gt;0,Biomes!Q$1&amp;", ","")&amp;
IF(COUNTIF(Biomes!L$2:L$259,"="&amp;$C16)&gt;0,Biomes!L$1&amp;", ","")&amp;
IF(COUNTIF(Biomes!E$2:E$259,"="&amp;$C16)&gt;0,Biomes!E$1&amp;", ","")&amp;IF(COUNTIF(Biomes!S$2:S$259,"="&amp;$C16)&gt;0,Biomes!S$1&amp;", ","")&amp;
IF(COUNTIF(Biomes!R$2:R$259,"="&amp;$C16)&gt;0,Biomes!R$1&amp;", ",""),", ","")
),_xlfn.XLOOKUP(B16,B:B,BX:BX))</f>
        <v/>
      </c>
      <c r="BY16" s="25" t="str">
        <f>IF(_xlfn.XLOOKUP(B16,'Base stats'!B:B,'Base stats'!AJ:AJ)=1,"true","false")</f>
        <v>false</v>
      </c>
      <c r="BZ16" s="25">
        <f>IF(_xlfn.XLOOKUP(B16,'Base stats'!B:B,'Base stats'!N:N)=1,"No",MAX(0.001,MIN(MROUND(IF(AND(BJ16="True",CC16="False"),POWER(10,3.47*LOG10(_xlfn.XLOOKUP(B16,'Base stats'!B:B,'Base stats'!C:C)*1000)^-0.96),POWER(10,4.15*LOG10(_xlfn.XLOOKUP(B16,'Base stats'!B:B,'Base stats'!C:C)*1000)^-0.73))*IF(_xlfn.XLOOKUP(B16,'Base stats'!B:B,'Base stats'!AK:AK)=1,0.5,1)*IF(_xlfn.XLOOKUP(B16,'Base stats'!B:B,'Base stats'!AM:AM)=1,0.1,1)/100,IF(_xlfn.XLOOKUP(B16,'Base stats'!B:B,'Base stats'!AM:AM)=1,0.001,0.025)),0.5)))</f>
        <v>7.5000000000000011E-2</v>
      </c>
      <c r="CA16" s="25" t="str">
        <f>IF(P16="Standard","No",MAX(0.001,MIN(MROUND(IF(AND(BJ16="True",CC16="False"),POWER(10,3.47*LOG10(_xlfn.XLOOKUP(B16,'Base stats'!B:B,'Base stats'!C:C)*1000)^-0.96),POWER(10,4.15*LOG10(_xlfn.XLOOKUP(B16,'Base stats'!B:B,'Base stats'!C:C)*1000)^-0.73))*IF(_xlfn.XLOOKUP(B16,'Base stats'!B:B,'Base stats'!AM:AM)=1,0.1,1)*_xlfn.XLOOKUP(B16,'Base stats'!B:B,'Base stats'!R:R)/100,IF(_xlfn.XLOOKUP(B16,'Base stats'!B:B,'Base stats'!AM:AM)=1,0.001,0.025)),0.5)))</f>
        <v>No</v>
      </c>
      <c r="CB16" s="25" t="str">
        <f>IF(_xlfn.XLOOKUP(_xlfn.XLOOKUP(B16,'Base stats'!B:B,'Base stats'!E:E),Groups!A:A,Groups!AJ:AJ)="Mammal","True","False")</f>
        <v>True</v>
      </c>
      <c r="CC16" s="25" t="str">
        <f>IF(OR(_xlfn.XLOOKUP(_xlfn.XLOOKUP(B16,'Base stats'!B:B,'Base stats'!E:E),Groups!A:A,Groups!AJ:AJ)="Reptile",_xlfn.XLOOKUP(_xlfn.XLOOKUP(B16,'Base stats'!B:B,'Base stats'!E:E),Groups!A:A,Groups!AJ:AJ)="Amphibian",_xlfn.XLOOKUP(_xlfn.XLOOKUP(B16,'Base stats'!B:B,'Base stats'!E:E),Groups!A:A,Groups!AJ:AJ)="Invertebrate"),"True","False")</f>
        <v>False</v>
      </c>
      <c r="CD16" s="25" t="str">
        <f t="shared" si="6"/>
        <v>False</v>
      </c>
      <c r="CE16" s="25" t="str">
        <f>IF(_xlfn.XLOOKUP(_xlfn.XLOOKUP(B16,'Base stats'!B:B,'Base stats'!E:E),Groups!A:A,Groups!AX:AX),"True","False")</f>
        <v>False</v>
      </c>
      <c r="CF16" s="25" t="str">
        <f>IF(_xlfn.XLOOKUP(_xlfn.XLOOKUP(B16,'Base stats'!B:B,'Base stats'!E:E),Groups!A:A,Groups!AY:AY),"True","False")</f>
        <v>False</v>
      </c>
      <c r="CG16" s="25" t="str">
        <f>IF(_xlfn.XLOOKUP(_xlfn.XLOOKUP(B16,'Base stats'!B:B,'Base stats'!E:E),Groups!A:A,Groups!AW:AW),"True","False")</f>
        <v>False</v>
      </c>
      <c r="CH16" s="25" t="str">
        <f>IF(
OR(
_xlfn.XLOOKUP(_xlfn.XLOOKUP(B16,'Base stats'!B:B,'Base stats'!E:E),Groups!A:A,Groups!AZ:AZ)=0,
AND(
_xlfn.XLOOKUP(B16,'Base stats'!B:B,'Base stats'!Y:Y)&lt;&gt;"Carnivore",
_xlfn.XLOOKUP(B16,'Base stats'!B:B,'Base stats'!Y:Y)&lt;&gt;"Omnivore",
_xlfn.XLOOKUP(B16,'Base stats'!B:B,'Base stats'!Y:Y)&lt;&gt;"OmnivoreRough"
)
),
"No",
IF(
_xlfn.XLOOKUP(_xlfn.XLOOKUP(B16,'Base stats'!B:B,'Base stats'!E:E),Groups!A:A,Groups!AZ:AZ)=1,
"Flesh",
IF(
_xlfn.XLOOKUP(_xlfn.XLOOKUP(B16,'Base stats'!B:B,'Base stats'!E:E),Groups!A:A,Groups!AZ:AZ)=2,
"Bone",
""
)
)
)</f>
        <v>No</v>
      </c>
      <c r="CI16" s="25" t="str">
        <f>IF(_xlfn.XLOOKUP(_xlfn.XLOOKUP(B16,'Base stats'!B:B,'Base stats'!E:E),Groups!A:A,Groups!BB:BB),"True","False")</f>
        <v>True</v>
      </c>
      <c r="CJ16" s="25" t="str">
        <f>IF(_xlfn.XLOOKUP(_xlfn.XLOOKUP(B16,'Base stats'!B:B,'Base stats'!E:E),Groups!A:A,Groups!BA:BA),"True","False")</f>
        <v>False</v>
      </c>
      <c r="CO16" s="16"/>
    </row>
    <row r="17" spans="1:93" ht="16.5" thickTop="1" thickBot="1" x14ac:dyDescent="0.3">
      <c r="A17" s="26" t="str">
        <f>_xlfn.XLOOKUP(B17,'Base stats'!B:B,'Base stats'!A:A)</f>
        <v>Cougar</v>
      </c>
      <c r="B17" s="6" t="s">
        <v>80</v>
      </c>
      <c r="C17" s="28" t="s">
        <v>688</v>
      </c>
      <c r="D17" s="28" t="s">
        <v>45</v>
      </c>
      <c r="E17" s="28" t="s">
        <v>689</v>
      </c>
      <c r="F17" s="28" t="s">
        <v>690</v>
      </c>
      <c r="G17" s="28" t="s">
        <v>673</v>
      </c>
      <c r="H17" s="2">
        <f>MROUND((
  (IF(AND(_xlfn.XLOOKUP(B17,'Base stats'!B:B,'Base stats'!AL:AL)=0,BI17="None",_xlfn.XLOOKUP(_xlfn.XLOOKUP(B17,'Base stats'!B:B,'Base stats'!E:E),Groups!A:A,Groups!B:B)=0), (18 + BR17 * 2.7) * 0.5,
    IF(AND(_xlfn.XLOOKUP(B17,'Base stats'!B:B,'Base stats'!AL:AL)=0,OR(AO17&lt;0.55,AND(BI17="Intermediate",_xlfn.XLOOKUP(_xlfn.XLOOKUP(B17,'Base stats'!B:B,'Base stats'!E:E),Groups!A:A,Groups!B:B)&lt;2))), (18 + BR17 * 2.7),
      IF(OR(BI17="Advanced",_xlfn.XLOOKUP(B17,'Base stats'!B:B,'Base stats'!AL:AL)=1,_xlfn.XLOOKUP(_xlfn.XLOOKUP(B17,'Base stats'!B:B,'Base stats'!E:E),Groups!A:A,Groups!B:B)=2), (18 + BR17 * 2.7) + 250, (18 + BR17 * 2.7))
    )
  ))
  + AO17 * 80
  + IF(COUNTIF(EggMilk!K$2:K$998, A17) &gt; 0, 125, 0)
  + IF(COUNTIF(EggMilk!P$2:P$998, A17) &gt; 0, 90, 0)
  + IF(COUNTIF(EggMilk!A$2:A$998, A17) &gt; 0, 90, 0)
)
* (0.8 + 0.4 * J17)
* 0.75,25)</f>
        <v>550</v>
      </c>
      <c r="I17" s="2">
        <f>MROUND(ROUNDDOWN(_xlfn.XLOOKUP(B17,'Base stats'!B:B,'Base stats'!L:L)/3.6/(23.3/11),1),0.5)</f>
        <v>8</v>
      </c>
      <c r="J17" s="2">
        <f>IF(OR(_xlfn.XLOOKUP(B17,'Base stats'!B:B,'Base stats'!AB:AB)=1,_xlfn.XLOOKUP(_xlfn.XLOOKUP(B17,'Base stats'!B:B,'Base stats'!E:E),Groups!A:A,Groups!C:C)="Untamable"),1,IF(_xlfn.XLOOKUP(B17,'Base stats'!B:B,'Base stats'!AL:AL)=1,0.99,MIN(MROUND((1-0.6282*EXP(-0.459*AO17))*_xlfn.XLOOKUP(_xlfn.XLOOKUP(B17,'Base stats'!B:B,'Base stats'!E:E),Groups!A:A,Groups!C:C)*IF(_xlfn.XLOOKUP(B17,'Base stats'!B:B,'Base stats'!O:O)=1,0.5,IF(_xlfn.XLOOKUP(B17,'Base stats'!B:B,'Base stats'!O:O)=2,0,1)),0.05),IF(AO17&gt;3.5,0.985,0.95))))</f>
        <v>0.75</v>
      </c>
      <c r="K17" s="2">
        <f>ROUNDUP(AO17*_xlfn.XLOOKUP(_xlfn.XLOOKUP(B17,'Base stats'!B:B,'Base stats'!E:E),Groups!A:A,Groups!E:E),0)</f>
        <v>1</v>
      </c>
      <c r="L17" s="2">
        <f>IF(OR(_xlfn.XLOOKUP(_xlfn.XLOOKUP(B17,'Base stats'!B:B,'Base stats'!E:E),Groups!A:A,Groups!F:F)=2,ISNUMBER(SEARCH("SeaIce",BX17)),ISNUMBER(SEARCH("IceSheet",BX17))),-50,IF(OR(ISNUMBER(SEARCH("GlacialPlain",BX17)),ISNUMBER(SEARCH("Tundra",BX17))),-40,IF(OR(ISNUMBER(SEARCH("Alpine",BX17)),ISNUMBER(SEARCH("BorealForest",BX17)),ISNUMBER(SEARCH("ColdBog",BX17))),-30,IF(OR(ISNUMBER(SEARCH("TemperateForest",BX17)),ISNUMBER(SEARCH("TemperateSwamp",BX17))),-20,IF(_xlfn.XLOOKUP(_xlfn.XLOOKUP(B17,'Base stats'!B:B,'Base stats'!E:E),Groups!A:A,Groups!F:F)=1,-15,IF(OR(ISNUMBER(SEARCH("Desert",BX17)),ISNUMBER(SEARCH("ExtremeDesert",BX17))),-10,IF(OR(ISNUMBER(SEARCH("Grasslands",BX17)),ISNUMBER(SEARCH("TropicalRainforest",BX17)),ISNUMBER(SEARCH("TropicalSwamp",BX17))),10,0)))))))-IF(CC17="False",MIN(IFERROR(MAX(MROUND(LOG10(_xlfn.XLOOKUP(B17,'Base stats'!B:B,'Base stats'!C:C)^(2/3))*10,5),5),5),30))-_xlfn.XLOOKUP(B17,'Base stats'!B:B,'Base stats'!P:P)+IF(CC17="True",5,0)</f>
        <v>-50</v>
      </c>
      <c r="M17" s="2">
        <f>IF(OR(_xlfn.XLOOKUP(_xlfn.XLOOKUP(B17,'Base stats'!B:B,'Base stats'!E:E),Groups!A:A,Groups!G:G)=2,ISNUMBER(SEARCH("Desert",BX17)),ISNUMBER(SEARCH("ExtremeDesert",BX17)),ISNUMBER(SEARCH("LavaField",BX17))),50,IF(ISNUMBER(SEARCH("Grasslands",BX17)),45,IF(OR(_xlfn.XLOOKUP(_xlfn.XLOOKUP(B17,'Base stats'!B:B,'Base stats'!E:E),Groups!A:A,Groups!G:G)=1,ISNUMBER(SEARCH("TropicalRainforest",BX17)),ISNUMBER(SEARCH("TropicalSwamp",BX17))),40,IF(OR(ISNUMBER(SEARCH("TemperateForest",BX17)),ISNUMBER(SEARCH("TemperateSwamp",BX17))),35,IF(OR(ISNUMBER(SEARCH("Alpine",BX17)),ISNUMBER(SEARCH("BorealForest",BX17)),ISNUMBER(SEARCH("ColdBog",BX17))),30,IF(ISNUMBER(OR(ISNUMBER(SEARCH("GlacialPlain",BX17)),SEARCH("Tundra",BX17))),25,IF(OR(ISNUMBER(SEARCH("SeaIce",BX17)),ISNUMBER(SEARCH("IceSheet",BX17)),ISNUMBER(SEARCH("TropicalSwamp",BX17))),10,35)))))))+_xlfn.XLOOKUP(B17,'Base stats'!B:B,'Base stats'!Q:Q)</f>
        <v>50</v>
      </c>
      <c r="N17" s="8" t="str">
        <f>IF(
_xlfn.XLOOKUP(
_xlfn.XLOOKUP(B17,'Base stats'!B:B,'Base stats'!E:E),
Groups!A:A,
Groups!L:L
)=1,
MIN(
MROUND(
IF(
_xlfn.XLOOKUP(B17,'Animals CE'!B:B,'Animals CE'!Z:Z)&lt;=1.5,
_xlfn.XLOOKUP(B17,'Animals CE'!B:B,'Animals CE'!Z:Z)/2+0.05,
0.8+
(_xlfn.XLOOKUP(B17,'Animals CE'!B:B,'Animals CE'!Z:Z)-1.5)
*0.02
),
0.05
),
200%
),
"No"
)</f>
        <v>No</v>
      </c>
      <c r="O17" s="8" t="str">
        <f>IF(
_xlfn.XLOOKUP(
_xlfn.XLOOKUP(B17,'Base stats'!B:B,'Base stats'!E:E),
Groups!A:A,
Groups!L:L
)=1,
MIN(
MROUND(
IF(
_xlfn.XLOOKUP(B17,'Animals CE'!B:B,'Animals CE'!AA:AA)&lt;=1.5,
_xlfn.XLOOKUP(B17,'Animals CE'!B:B,'Animals CE'!AA:AA)/2+0.05,
0.8+
(_xlfn.XLOOKUP(B17,'Animals CE'!B:B,'Animals CE'!AA:AA)-1.5)
*0.02
),
0.05
),
200%
),
"No"
)</f>
        <v>No</v>
      </c>
      <c r="P17" s="2" t="str">
        <f>_xlfn.XLOOKUP(B17,'Base stats'!B:B,'Base stats'!R:R)</f>
        <v>Standard</v>
      </c>
      <c r="Q17" s="13">
        <f>MROUND((LOG10(_xlfn.XLOOKUP(B17,'Base stats'!B:B,'Base stats'!AR:AR))*(AO17^0.5)+(_xlfn.XLOOKUP(B17,'Base stats'!B:B,'Base stats'!AR:AR)/1000)^(2/3)+_xlfn.XLOOKUP(B17,'Base stats'!B:B,'Base stats'!BA:BA)/2)+0.5,0.5)</f>
        <v>7</v>
      </c>
      <c r="R17" s="7">
        <f>IF(Q17="No","No",MAX(1,MROUND(_xlfn.XLOOKUP(B17,'Base stats'!B:B,'Base stats'!C:C)^0.165,0.05)))</f>
        <v>2</v>
      </c>
      <c r="S17" s="13" t="str">
        <f>IF(_xlfn.XLOOKUP(_xlfn.XLOOKUP(B17,'Base stats'!B:B,'Base stats'!E:E),Groups!A:A,Groups!P:P)=0,"No",MROUND((LOG10(_xlfn.XLOOKUP(B17,'Base stats'!B:B,'Base stats'!AS:AS))*(AO17^0.5)+(_xlfn.XLOOKUP(B17,'Base stats'!B:B,'Base stats'!AS:AS)/1000)^(2/3)+_xlfn.XLOOKUP(B17,'Base stats'!B:B,'Base stats'!BA:BA))+_xlfn.XLOOKUP(B17,'Base stats'!B:B,'Base stats'!AY:AY)+0.5,0.5))</f>
        <v>No</v>
      </c>
      <c r="T17" s="7" t="str">
        <f>IF(S17="No","No",MAX(_xlfn.XLOOKUP(_xlfn.XLOOKUP(B17,'Base stats'!B:B,'Base stats'!E:E),Groups!A:A,Groups!Q:Q),MROUND(_xlfn.XLOOKUP(_xlfn.XLOOKUP(B17,'Base stats'!B:B,'Base stats'!E:E),Groups!A:A,Groups!Q:Q)*_xlfn.XLOOKUP(B17,'Base stats'!B:B,'Base stats'!C:C)^0.165,0.05)))</f>
        <v>No</v>
      </c>
      <c r="U17" s="7" t="str">
        <f>IF(S17="No","No",_xlfn.XLOOKUP(_xlfn.XLOOKUP(B17,'Base stats'!B:B,'Base stats'!E:E),Groups!A:A,Groups!R:R))</f>
        <v>No</v>
      </c>
      <c r="V17" s="7" t="str">
        <f>IF(S17="No","No",_xlfn.XLOOKUP(_xlfn.XLOOKUP(B17,'Base stats'!B:B,'Base stats'!E:E),Groups!A:A,Groups!S:S))</f>
        <v>No</v>
      </c>
      <c r="W17" s="7" t="str">
        <f>IF(S17="No","No",_xlfn.XLOOKUP(_xlfn.XLOOKUP(B17,'Base stats'!B:B,'Base stats'!E:E),Groups!A:A,Groups!T:T))</f>
        <v>No</v>
      </c>
      <c r="X17" s="13" t="str">
        <f>IF(_xlfn.XLOOKUP(B17,'Base stats'!B:B,'Base stats'!W:W)="No","No",MROUND((LOG10(_xlfn.XLOOKUP(B17,'Base stats'!B:B,'Base stats'!AU:AU))*(AO17^0.5)+(_xlfn.XLOOKUP(B17,'Base stats'!B:B,'Base stats'!AU:AU)/1000)^(2/3)+_xlfn.XLOOKUP(B17,'Base stats'!B:B,'Base stats'!AZ:AZ))+0.5+IF(_xlfn.XLOOKUP(_xlfn.XLOOKUP(B17,'Base stats'!B:B,'Base stats'!E:E),Groups!A:A,Groups!U:U)&lt;&gt;3,_xlfn.XLOOKUP(B17,'Base stats'!B:B,'Base stats'!BA:BA),0),0.5))</f>
        <v>No</v>
      </c>
      <c r="Y17" s="7" t="str">
        <f>IF(X17="No","No",MAX(_xlfn.XLOOKUP(_xlfn.XLOOKUP(B17,'Base stats'!B:B,'Base stats'!E:E),Groups!A:A,Groups!V:V),MROUND(_xlfn.XLOOKUP(_xlfn.XLOOKUP(B17,'Base stats'!B:B,'Base stats'!E:E),Groups!A:A,Groups!V:V)*_xlfn.XLOOKUP(B17,'Base stats'!B:B,'Base stats'!C:C)^0.165,0.05)))</f>
        <v>No</v>
      </c>
      <c r="Z17" s="7" t="str">
        <f>IF(X17="No","No",_xlfn.XLOOKUP(_xlfn.XLOOKUP(B17,'Base stats'!B:B,'Base stats'!E:E),Groups!A:A,Groups!W:W))</f>
        <v>No</v>
      </c>
      <c r="AA17" s="7" t="str">
        <f>IF(X17="No","No",_xlfn.XLOOKUP(_xlfn.XLOOKUP(B17,'Base stats'!B:B,'Base stats'!E:E),Groups!A:A,Groups!X:X))</f>
        <v>No</v>
      </c>
      <c r="AB17" s="7" t="str">
        <f>IF(X17="No","No",_xlfn.XLOOKUP(_xlfn.XLOOKUP(B17,'Base stats'!B:B,'Base stats'!E:E),Groups!A:A,Groups!Y:Y))</f>
        <v>No</v>
      </c>
      <c r="AC17" s="7" t="str">
        <f>_xlfn.XLOOKUP(Animals!B17,'Base stats'!B:B,'Base stats'!X:X)</f>
        <v>False</v>
      </c>
      <c r="AD17" s="13">
        <f>IF(_xlfn.XLOOKUP(B17,'Base stats'!B:B,'Base stats'!AT:AT)="No","No",MROUND((LOG10(_xlfn.XLOOKUP(B17,'Base stats'!B:B,'Base stats'!AT:AT))*(AO17^0.75)+(_xlfn.XLOOKUP(B17,'Base stats'!B:B,'Base stats'!AT:AT)/1000)^(2/3)+_xlfn.XLOOKUP(B17,'Base stats'!B:B,'Base stats'!AX:AX)+_xlfn.XLOOKUP(B17,'Base stats'!B:B,'Base stats'!BA:BA))+0.5,0.5))</f>
        <v>12.5</v>
      </c>
      <c r="AE17" s="7">
        <f>IF(AD17="No","No",MAX(_xlfn.XLOOKUP(_xlfn.XLOOKUP(B17,'Base stats'!B:B,'Base stats'!E:E),Groups!A:A,Groups!Z:Z),MROUND(_xlfn.XLOOKUP(_xlfn.XLOOKUP(B17,'Base stats'!B:B,'Base stats'!E:E),Groups!A:A,Groups!Z:Z)*_xlfn.XLOOKUP(B17,'Base stats'!B:B,'Base stats'!C:C)^0.165,0.05)))</f>
        <v>1.4000000000000001</v>
      </c>
      <c r="AF17" s="7" t="str">
        <f>IF(AD17="No","No",_xlfn.XLOOKUP(_xlfn.XLOOKUP(B17,'Base stats'!B:B,'Base stats'!E:E),Groups!A:A,Groups!AA:AA))</f>
        <v>Teeth</v>
      </c>
      <c r="AG17" s="7" t="str">
        <f>IF(AD17="No","No",_xlfn.XLOOKUP(_xlfn.XLOOKUP(B17,'Base stats'!B:B,'Base stats'!E:E),Groups!A:A,Groups!AB:AB))</f>
        <v>canines</v>
      </c>
      <c r="AH17" s="7" t="str">
        <f>IF(AD17="No","No",_xlfn.XLOOKUP(_xlfn.XLOOKUP(B17,'Base stats'!B:B,'Base stats'!E:E),Groups!A:A,Groups!AC:AC))</f>
        <v>Bite</v>
      </c>
      <c r="AI17" s="13">
        <f>IF(_xlfn.XLOOKUP(_xlfn.XLOOKUP(B17,'Base stats'!B:B,'Base stats'!E:E),Groups!A:A,Groups!AD:AD)=0,"No",MROUND((LOG10(_xlfn.XLOOKUP(B17,'Base stats'!B:B,'Base stats'!AS:AS))*(AO17^0.75)+(_xlfn.XLOOKUP(B17,'Base stats'!B:B,'Base stats'!AS:AS)/1000)^(2/3)+_xlfn.XLOOKUP(B17,'Base stats'!B:B,'Base stats'!AY:AY)+_xlfn.XLOOKUP(B17,'Base stats'!B:B,'Base stats'!BA:BA))+0.5,0.5))</f>
        <v>11</v>
      </c>
      <c r="AJ17" s="7">
        <f>IF(AI17="No","No",MAX(_xlfn.XLOOKUP(_xlfn.XLOOKUP(B17,'Base stats'!B:B,'Base stats'!E:E),Groups!A:A,Groups!AE:AE),MROUND(_xlfn.XLOOKUP(_xlfn.XLOOKUP(B17,'Base stats'!B:B,'Base stats'!E:E),Groups!A:A,Groups!AE:AE)*IF(_xlfn.XLOOKUP(_xlfn.XLOOKUP(B17,'Base stats'!B:B,'Base stats'!E:E),Groups!A:A,Groups!AJ:AJ)="Photonozoa",0.6,1)*_xlfn.XLOOKUP(B17,'Base stats'!B:B,'Base stats'!C:C)^0.165,0.05)))</f>
        <v>1.3</v>
      </c>
      <c r="AK17" s="7" t="str">
        <f>IF(AI17="No","No",_xlfn.XLOOKUP(_xlfn.XLOOKUP(B17,'Base stats'!B:B,'Base stats'!E:E),Groups!A:A,Groups!AF:AF))</f>
        <v>FrontLeftPaw, FrontRightPaw</v>
      </c>
      <c r="AL17" s="7" t="str">
        <f>IF(AI17="No","No",_xlfn.XLOOKUP(_xlfn.XLOOKUP(B17,'Base stats'!B:B,'Base stats'!E:E),Groups!A:A,Groups!AG:AG))</f>
        <v>left claw, right claw</v>
      </c>
      <c r="AM17" s="7" t="str">
        <f>IF(AI17="No","No",_xlfn.XLOOKUP(_xlfn.XLOOKUP(B17,'Base stats'!B:B,'Base stats'!E:E),Groups!A:A,Groups!AH:AH))</f>
        <v>Scratch</v>
      </c>
      <c r="AN17" s="2">
        <f t="shared" si="0"/>
        <v>20</v>
      </c>
      <c r="AO17" s="2">
        <f>MROUND(IF(AND(_xlfn.XLOOKUP(B17,'Base stats'!B:B,'Base stats'!C:C)&gt;=0.5,_xlfn.XLOOKUP(B17,'Base stats'!B:B,'Base stats'!C:C)&lt;=0.8),
IF(_xlfn.XLOOKUP(B17,'Base stats'!B:B,'Base stats'!C:C)&lt;0.1,0.05,IF(_xlfn.XLOOKUP(B17,'Base stats'!B:B,'Base stats'!C:C)&lt;=70,(_xlfn.XLOOKUP(B17,'Base stats'!B:B,'Base stats'!C:C)/70)^0.426489913056526,IF(_xlfn.XLOOKUP(B17,'Base stats'!B:B,'Base stats'!C:C)&lt;=400,(_xlfn.XLOOKUP(B17,'Base stats'!B:B,'Base stats'!C:C)/70)^0.572811455315093,IF(_xlfn.XLOOKUP(B17,'Base stats'!B:B,'Base stats'!C:C)&lt;=2000,2.71391647193063*(_xlfn.XLOOKUP(B17,'Base stats'!B:B,'Base stats'!C:C)/400)^0.252459582904293,3.74314280240376*(_xlfn.XLOOKUP(B17,'Base stats'!B:B,'Base stats'!C:C)/2000)^0.357012633876913)))),
IF(_xlfn.XLOOKUP(B17,'Base stats'!B:B,'Base stats'!C:C)&lt;0.1,0.05,IF(_xlfn.XLOOKUP(B17,'Base stats'!B:B,'Base stats'!C:C)&lt;0.4,0.1,IF(_xlfn.XLOOKUP(B17,'Base stats'!B:B,'Base stats'!C:C)&lt;=70,(_xlfn.XLOOKUP(B17,'Base stats'!B:B,'Base stats'!C:C)/70)^0.445823913056526,IF(_xlfn.XLOOKUP(B17,'Base stats'!B:B,'Base stats'!C:C)&lt;=400,(_xlfn.XLOOKUP(B17,'Base stats'!B:B,'Base stats'!C:C)/70)^0.572811455315093,IF(_xlfn.XLOOKUP(B17,'Base stats'!B:B,'Base stats'!C:C)&lt;=2000,2.71391647193063*(_xlfn.XLOOKUP(B17,'Base stats'!B:B,'Base stats'!C:C)/400)^0.252459582904293,3.74314280240376*(_xlfn.XLOOKUP(B17,'Base stats'!B:B,'Base stats'!C:C)/2000)^0.357012633876913)))))),
IF(_xlfn.XLOOKUP(B17,'Base stats'!B:B,'Base stats'!C:C)&lt;0.1,0.05,IF(_xlfn.XLOOKUP(B17,'Base stats'!B:B,'Base stats'!C:C)&lt;=100,0.05,IF(_xlfn.XLOOKUP(B17,'Base stats'!B:B,'Base stats'!C:C)&lt;=250,0.1,IF(_xlfn.XLOOKUP(B17,'Base stats'!B:B,'Base stats'!C:C)&lt;=4000,0.25,0.5)))))</f>
        <v>0.95000000000000007</v>
      </c>
      <c r="AP17" s="8">
        <f>MROUND(AO17*_xlfn.XLOOKUP(_xlfn.XLOOKUP(B17,'Base stats'!B:B,'Base stats'!E:E),Groups!A:A,Groups!AI:AI)*_xlfn.XLOOKUP(B17,'Base stats'!B:B,'Base stats'!Z:Z),0.05)</f>
        <v>1.1500000000000001</v>
      </c>
      <c r="AQ17" s="8">
        <f>MAX(0.01,MROUND(IF(CC17="True",0.196*(AO17*100*1000)^0.889,IF(_xlfn.XLOOKUP(_xlfn.XLOOKUP(B17,'Base stats'!B:B,'Base stats'!E:E),Groups!A:A,Groups!AJ:AJ)="Bird",10.5*(AO17*100*1000)^0.681,4.82*(AO17*100*1000)^0.734))/(4.82*(1*100*1000)^0.734)/IF(AO17&lt;3.5,2,IF(AO17=3.5,1.5,1.25))*(1+0.132282374779864/(AO17^0.994035016789033+0.00905238001496948)),0.05))</f>
        <v>0.55000000000000004</v>
      </c>
      <c r="AR17" s="9">
        <f>IFERROR(MROUND(_xlfn.XLOOKUP(B17,'Base stats'!B:B,'Base stats'!H:H)/IF(_xlfn.XLOOKUP(B17,'Base stats'!B:B,'Base stats'!I:I)&lt;&gt;1,(122.5/70),1.2),IF(_xlfn.XLOOKUP(B17,'Base stats'!B:B,'Base stats'!H:H)&gt;=30,5,IF(_xlfn.XLOOKUP(B17,'Base stats'!B:B,'Base stats'!H:H)&gt;=15,3,IF(_xlfn.XLOOKUP(B17,'Base stats'!B:B,'Base stats'!H:H)&gt;=10,2,1)))),"Immortal")</f>
        <v>15</v>
      </c>
      <c r="AS17" s="35">
        <f>IFERROR(IF(OR(_xlfn.XLOOKUP(B17,'Base stats'!B:B,'Base stats'!F:F)="Atypical reproduction",_xlfn.XLOOKUP(B17,'Base stats'!B:B,'Base stats'!F:F)="Lay eggs"),"Lay eggs",MIN(20,MAX(5.5,ROUND(((_xlfn.XLOOKUP(B17,'Base stats'!B:B,'Base stats'!F:F)-25)*(14.5/615) + 5.5)*2,0)/2))),"Unknown")</f>
        <v>7</v>
      </c>
      <c r="AT17" s="8">
        <f>IF(_xlfn.XLOOKUP(B17,'Base stats'!B:B,'Base stats'!G:G)="Atypical reproduction","No",IFERROR(MAX(IF(_xlfn.XLOOKUP(B17,'Base stats'!B:B,'Base stats'!G:G)&lt;0.5,0.2,0.3),MROUND(_xlfn.XLOOKUP(B17,'Base stats'!B:B,'Base stats'!G:G)/(365/60),0.2)),"Unknown"))</f>
        <v>0.4</v>
      </c>
      <c r="AU17" s="8">
        <f t="shared" si="1"/>
        <v>0.2</v>
      </c>
      <c r="AV17" s="8">
        <f>IFERROR(IFERROR(MROUND(_xlfn.XLOOKUP(B17,'Base stats'!B:B,'Base stats'!J:J),0.1),"Lay eggs"),"Cannot breed")</f>
        <v>2.5</v>
      </c>
      <c r="AW17" s="2" t="str">
        <f t="shared" si="2"/>
        <v>false</v>
      </c>
      <c r="AX17" s="2" t="str">
        <f>IF(_xlfn.XLOOKUP(_xlfn.XLOOKUP(Animals!B17,'Base stats'!B:B,'Base stats'!E:E),Groups!A:A,Groups!AK:AK)=1,"true","false")</f>
        <v>false</v>
      </c>
      <c r="AY17" s="25" t="str">
        <f>IF(_xlfn.XLOOKUP(B17,'Base stats'!B:B,'Base stats'!Y:Y)="Liquor","Liquor, CarnivoreAnimalStrict",IF(AND(_xlfn.XLOOKUP(B17,'Base stats'!B:B,'Base stats'!Y:Y)="Carnivore",_xlfn.XLOOKUP(_xlfn.XLOOKUP(B17,'Base stats'!B:B,'Base stats'!E:E),Groups!A:A,Groups!AJ:AJ)="Photonozoa"),"CarnivoreAnimalStrict, OvivoreAnimal",IF(_xlfn.XLOOKUP(B17,'Base stats'!B:B,'Base stats'!Y:Y)="Carnivore","CarnivoreAnimal, OvivoreAnimal",IF(_xlfn.XLOOKUP(B17,'Base stats'!B:B,'Base stats'!Y:Y)="Dendrovore","VegetarianRoughAnimal, DendrovoreAnimal",IF(_xlfn.XLOOKUP(B17,'Base stats'!B:B,'Base stats'!Y:Y)="Herbivore","VegetarianRoughAnimal",IF(_xlfn.XLOOKUP(B17,'Base stats'!B:B,'Base stats'!Y:Y)="OmnivoreRough","OmnivoreRoughAnimal, OvivoreAnimal","OmnivoreAnimal, OvivoreAnimal"))))))</f>
        <v>CarnivoreAnimal, OvivoreAnimal</v>
      </c>
      <c r="AZ17" s="2" t="str">
        <f>IF(_xlfn.XLOOKUP(_xlfn.XLOOKUP(B17,'Base stats'!B:B,'Base stats'!E:E),Groups!A:A,Groups!D:D)=1,MROUND((1-J17)*5+1,2)*IF(J17&lt;=0.4,2,1),"No")</f>
        <v>No</v>
      </c>
      <c r="BA17" s="2" t="str">
        <f>IF(AND(_xlfn.XLOOKUP(B17,'Base stats'!B:B,'Base stats'!AH:AH)="&lt;li&gt;Seal&lt;/li&gt;",G17="Odyssey"),"&lt;li&gt;AEXP_Seal&lt;/li&gt;",_xlfn.XLOOKUP(B17,'Base stats'!B:B,'Base stats'!AH:AH))</f>
        <v>No</v>
      </c>
      <c r="BB17" s="2" t="str">
        <f>_xlfn.XLOOKUP(B17,'Base stats'!B:B,'Base stats'!AG:AG)</f>
        <v>Leather_Panthera</v>
      </c>
      <c r="BC17" s="23" t="str">
        <f>_xlfn.XLOOKUP(_xlfn.XLOOKUP(B17,'Base stats'!B:B,'Base stats'!E:E),Groups!A:A,Groups!AL:AL)</f>
        <v>QuadrupedAnimalWithPawsAndTail</v>
      </c>
      <c r="BD17" s="23">
        <f>MIN(1,MROUND(IF(AND(AO17&lt;0.5,_xlfn.XLOOKUP(B17,'Base stats'!B:B,'Base stats'!AA:AA)=0),0,IF(OR(_xlfn.XLOOKUP(Animals!B17,'Base stats'!B:B,'Base stats'!O:O)=2,_xlfn.XLOOKUP(_xlfn.XLOOKUP(B17,'Base stats'!B:B,'Base stats'!E:E),Groups!A:A,Groups!AN:AN)=0),0,_xlfn.XLOOKUP(_xlfn.XLOOKUP(B17,'Base stats'!B:B,'Base stats'!E:E),Groups!A:A,Groups!AN:AN)/IF(_xlfn.XLOOKUP(Animals!B17,'Base stats'!B:B,'Base stats'!O:O)=1,2,1)))+_xlfn.XLOOKUP(B17,'Base stats'!B:B,'Base stats'!AC:AC),0.005))</f>
        <v>0.1</v>
      </c>
      <c r="BE17" s="23">
        <f>MIN(1,MROUND(IF(AND(AO17&lt;0.5,_xlfn.XLOOKUP(B17,'Base stats'!B:B,'Base stats'!AA:AA)=0),0,IF(_xlfn.XLOOKUP(_xlfn.XLOOKUP(B17,'Base stats'!B:B,'Base stats'!E:E),Groups!A:A,Groups!AO:AO)=0,0,_xlfn.XLOOKUP(_xlfn.XLOOKUP(B17,'Base stats'!B:B,'Base stats'!E:E),Groups!A:A,Groups!AO:AO)/IF(_xlfn.XLOOKUP(Animals!B17,'Base stats'!B:B,'Base stats'!O:O)=2,3,1)))+_xlfn.XLOOKUP(B17,'Base stats'!B:B,'Base stats'!AD:AD),0.005))</f>
        <v>0.3</v>
      </c>
      <c r="BF17" s="2" t="str">
        <f>IF(J17&gt;0.3,"No",_xlfn.XLOOKUP(_xlfn.XLOOKUP(Animals!B17,'Base stats'!B:B,'Base stats'!E:E),Groups!A:A,Groups!AP:AP))</f>
        <v>No</v>
      </c>
      <c r="BG17" s="2" t="str">
        <f>IF(AND(J17&lt;=0.65,_xlfn.XLOOKUP(_xlfn.XLOOKUP(Animals!B17,'Base stats'!B:B,'Base stats'!E:E),Groups!A:A,Groups!AP:AP)&lt;&gt;"No",_xlfn.XLOOKUP(_xlfn.XLOOKUP(B17,'Base stats'!B:B,'Base stats'!E:E),Groups!A:A,Groups!D:D)=0),MROUND((80/3)*IF(_xlfn.XLOOKUP(B17,'Base stats'!B:B,'Base stats'!O:O)=2,0.2,AO17) + 24*(1-IF(BF17="No",0,BF17)) + 16/3, 12),"No")</f>
        <v>No</v>
      </c>
      <c r="BH17" s="2">
        <f>IF(AND(_xlfn.XLOOKUP(_xlfn.XLOOKUP(B17,'Base stats'!B:B,'Base stats'!E:E),Groups!A:A,Groups!AQ:AQ)=1,AO17&lt;=0.35),8,12)</f>
        <v>12</v>
      </c>
      <c r="BI17" s="2" t="str">
        <f>IF(_xlfn.XLOOKUP(_xlfn.XLOOKUP(B17,'Base stats'!B:B,'Base stats'!E:E),Groups!A:A,Groups!D:D)=0,_xlfn.XLOOKUP(_xlfn.XLOOKUP(B17,'Base stats'!B:B,'Base stats'!E:E),Groups!A:A,Groups!AR:AR),"None")</f>
        <v>Intermediate</v>
      </c>
      <c r="BJ17" s="2" t="str">
        <f>IF(AND(_xlfn.XLOOKUP(_xlfn.XLOOKUP(B17,'Base stats'!B:B,'Base stats'!E:E),Groups!A:A,Groups!AS:AS)=1,OR(_xlfn.XLOOKUP(B17,'Base stats'!B:B,'Base stats'!Y:Y)="Carnivore",_xlfn.XLOOKUP(B17,'Base stats'!B:B,'Base stats'!Y:Y)="Omnivore")),"true","false")</f>
        <v>true</v>
      </c>
      <c r="BK17" s="2">
        <f>IF(BJ17="true",MROUND(IF(AND(AO17&gt;0.5,OR(_xlfn.XLOOKUP(_xlfn.XLOOKUP(B17,'Base stats'!B:B,'Base stats'!E:E),Groups!A:A,Groups!AJ:AJ)="Photonozoa",_xlfn.XLOOKUP(_xlfn.XLOOKUP(B17,'Base stats'!B:B,'Base stats'!E:E),Groups!A:A,Groups!AJ:AJ)="Mammal")),Animals!AO17*1.75*IF(AW17="true",1.5,1),IF(AO17&lt;0.5,Animals!AO17*0.5,Animals!AO17)),IF(AO17&gt;2,0.5,IF(AO17&gt;0.5,0.25,0.1))),"No")</f>
        <v>1.75</v>
      </c>
      <c r="BL17" s="2">
        <f t="shared" si="3"/>
        <v>1</v>
      </c>
      <c r="BM17" s="25" t="str">
        <f>IF(_xlfn.XLOOKUP(B17,'Base stats'!B:B,'Base stats'!AN:AN)="Standard","No",MROUND((_xlfn.XLOOKUP(B17,'Base stats'!B:B,'Base stats'!AN:AN)/3.6)/I17,0.1))</f>
        <v>No</v>
      </c>
      <c r="BN17" s="25" t="str">
        <f t="shared" si="4"/>
        <v>false</v>
      </c>
      <c r="BO17" s="25" t="str">
        <f>IF(AND(OR(_xlfn.XLOOKUP(B17,'Base stats'!B:B,'Base stats'!Y:Y)="Carnivore",_xlfn.XLOOKUP(B17,'Base stats'!B:B,'Base stats'!Y:Y)="Omnivore",_xlfn.XLOOKUP(B17,'Base stats'!B:B,'Base stats'!Y:Y)="OmnivoreRough"),_xlfn.XLOOKUP(_xlfn.XLOOKUP(B17,'Base stats'!B:B,'Base stats'!E:E),Groups!A:A,Groups!AT:AT)=1),"true","false")</f>
        <v>false</v>
      </c>
      <c r="BP17" s="25" t="str" cm="1">
        <f t="array" ref="BP17">IF(
  _xlfn.TEXTJOIN(", ",TRUE,
    IF(AND(BJ17="true",AO17&gt;0.5,BI17&lt;&gt;"None"),"AttackTarget",""),
    IF(AND(_xlfn.XLOOKUP(_xlfn.XLOOKUP(B17,'Base stats'!B:B,'Base stats'!E:E),Groups!A:A,Groups!AJ:AJ="Mammal"),OR(_xlfn.XLOOKUP(B17,'Base stats'!B:B,'Base stats'!Y:Y)="Omnivore",_xlfn.XLOOKUP(B17,'Base stats'!B:B,'Base stats'!Y:Y)="OmnivoreRough")),"Forage",""),
    IF(BG17&lt;=36,"Comfort",""),
    IF(_xlfn.XLOOKUP(B17,'Base stats'!B:B,'Base stats'!AE:AE)&lt;&gt;"No",_xlfn.XLOOKUP(B17,'Base stats'!B:B,'Base stats'!AE:AE),"")
  ) = "",
  "No",
  _xlfn.TEXTJOIN(", ",TRUE,
    IF(AND(BJ17="true",AO17&gt;0.5,BI17&lt;&gt;"None"),"AttackTarget",""),
    IF(AND(_xlfn.XLOOKUP(_xlfn.XLOOKUP(B17,'Base stats'!B:B,'Base stats'!E:E),Groups!A:A,Groups!AJ:AJ="Mammal"),OR(_xlfn.XLOOKUP(B17,'Base stats'!B:B,'Base stats'!Y:Y)="Omnivore",_xlfn.XLOOKUP(B17,'Base stats'!B:B,'Base stats'!Y:Y)="OmnivoreRough")),"Forage",""),
    IF(BG17&lt;=36,"Comfort",""),
    IF(_xlfn.XLOOKUP(B17,'Base stats'!B:B,'Base stats'!AE:AE)&lt;&gt;"No",_xlfn.XLOOKUP(B17,'Base stats'!B:B,'Base stats'!AE:AE),"")
  )
)</f>
        <v>AttackTarget</v>
      </c>
      <c r="BQ17" s="25" t="str">
        <f>IF(
   AND(
      'Base stats'!AN17="Standard",_xlfn.XLOOKUP(_xlfn.XLOOKUP(B17,'Base stats'!B:B,'Base stats'!E:E),Groups!A:A,Groups!AU:AU)=0,
      OR(
      BO17="True"
      )
   ),
   10,
   IF(
       OR(BM17&lt;&gt;"No",_xlfn.XLOOKUP(_xlfn.XLOOKUP(B17,'Base stats'!B:B,'Base stats'!E:E),Groups!A:A,Groups!AU:AU)=1),
      1,
      "No"
   )
)</f>
        <v>No</v>
      </c>
      <c r="BR17" s="9">
        <f>MROUND((1 + ((0.2*IF(OR(Q17="No",R17="No",R17=0),0,Q17/R17)
+IF(OR(V17="No",S17="No",T17="No"),0,S17/T17*(LEN(V17)-LEN(SUBSTITUTE(V17,",",""))+1))
+IF(OR(X17="No",Y17="No"),0,X17/Y17)
+IF(OR(AD17="No",AE17="No"),0,AD17/AE17)
+IF(OR(AL17="No",AI17="No",AJ17="No"),0,AI17/AJ17*(LEN(AL17)-LEN(SUBSTITUTE(AL17,",",""))+1))
)/(0.2*IF(OR(Q17="No",R17="No",R17=0),0,1)
+IF(OR(V17="No",S17="No",T17="No"),0,LEN(V17)-LEN(SUBSTITUTE(V17,",",""))+1)
+IF(OR(X17="No",Y17="No"),0,1)
+IF(OR(AD17="No",AE17="No"),0,1)
+IF(OR(AL17="No",AI17="No",AJ17="No"),0,LEN(AL17)-LEN(SUBSTITUTE(AL17,",",""))+1))*62%)* 2)*(1 + (AP17 / (IF(_xlfn.XLOOKUP(_xlfn.XLOOKUP(B17,'Base stats'!B:B,'Base stats'!E:E),Groups!A:A,Groups!AJ:AJ)="Photonozoa",0.3,1)) + _xlfn.XLOOKUP(B17,'Base stats'!B:B,'Base stats'!AV:AV) * 1.8) * 2) * 2.5 + 10 + I17 * 2,5)+IF(_xlfn.XLOOKUP(B17,'Base stats'!B:B,'Base stats'!AK:AK)=1,50,0)</f>
        <v>120</v>
      </c>
      <c r="BS17" s="8">
        <f t="shared" si="5"/>
        <v>0.65</v>
      </c>
      <c r="BT17" s="8" t="str">
        <f>_xlfn.XLOOKUP(B17,'Base stats'!B:B,'Base stats'!AF:AF)</f>
        <v>No</v>
      </c>
      <c r="BU17" s="2" t="str">
        <f>IF(AND(J17&lt;=0.95,OR(_xlfn.XLOOKUP(B17,'Base stats'!B:B,'Base stats'!AK:AK)=1,_xlfn.XLOOKUP(B17,'Base stats'!B:B,'Base stats'!Y:Y)="Carnivore",_xlfn.XLOOKUP(B17,'Base stats'!B:B,'Base stats'!Y:Y)="Omnivore",BE17&gt;0.1)),"true","false")</f>
        <v>true</v>
      </c>
      <c r="BV17" s="2" t="str">
        <f>IF(_xlfn.XLOOKUP(B17,'Base stats'!B:B,'Base stats'!AI:AI)=1,"true","false")</f>
        <v>false</v>
      </c>
      <c r="BW17" s="25" t="str">
        <f>IF(E17="BaseInsect","AnimalInsect",
IF(J17&gt;0.95,"AnimalExotic",
_xlfn.TEXTJOIN(", ",TRUE,
IF(OR(_xlfn.XLOOKUP(B17,'Base stats'!B:B,'Base stats'!AM:AM)=1,AND(_xlfn.XLOOKUP(B17,'Base stats'!B:B,'Base stats'!O:O)=0,_xlfn.XLOOKUP(_xlfn.XLOOKUP(B17,'Base stats'!B:B,'Base stats'!E:E),Groups!A:A,Groups!B:B)&gt;0)),"AnimalUncommon","AnimalCommon"),
IF(AND(_xlfn.XLOOKUP(B17,'Base stats'!B:B,'Base stats'!O:O)=2,_xlfn.XLOOKUP(_xlfn.XLOOKUP(B17,'Base stats'!B:B,'Base stats'!E:E),Groups!A:A,Groups!D:D)=0),"AnimalPet",IF(AND(_xlfn.XLOOKUP(B17,'Base stats'!B:B,'Base stats'!O:O)&lt;&gt;0,_xlfn.XLOOKUP(_xlfn.XLOOKUP(B17,'Base stats'!B:B,'Base stats'!E:E),Groups!A:A,Groups!D:D)&lt;&gt;0),"AnimalFarm","")),
IF(OR(_xlfn.XLOOKUP(B17,'Base stats'!B:B,'Base stats'!AK:AK)=1,AND(BI17&lt;&gt;"None",BR17&gt;=60),ISNUMBER(SEARCH("Attack target",BP17))),"AnimalFighter","")
)))</f>
        <v>AnimalUncommon, AnimalFighter</v>
      </c>
      <c r="BX17" s="25" t="str">
        <f>IF(G17="None",TRIM(
SUBSTITUTE(
IF(COUNTIF(Biomes!B$2:B$259,"="&amp;$C17)&gt;0,Biomes!B$1&amp;", ","")&amp;
IF(COUNTIF(Biomes!C$2:C$259,"="&amp;$C17)&gt;0,Biomes!C$1&amp;", ","")&amp;
IF(COUNTIF(Biomes!D$2:D$259,"="&amp;$C17)&gt;0,Biomes!D$1&amp;", ","")&amp;
IF(COUNTIF(Biomes!F$2:F$259,"="&amp;$C17)&gt;0,Biomes!F$1&amp;", ","")&amp;
IF(COUNTIF(Biomes!G$2:G$259,"="&amp;$C17)&gt;0,Biomes!G$1&amp;", ","")&amp;
IF(COUNTIF(Biomes!H$2:H$259,"="&amp;$C17)&gt;0,Biomes!H$1&amp;", ","")&amp;
IF(COUNTIF(Biomes!I$2:I$259,"="&amp;$C17)&gt;0,Biomes!I$1&amp;", ","")&amp;
IF(COUNTIF(Biomes!J$2:J$259,"="&amp;$C17)&gt;0,Biomes!J$1&amp;", ","")&amp;
IF(COUNTIF(Biomes!M$2:M$259,"="&amp;$C17)&gt;0,Biomes!M$1&amp;", ","")&amp;
IF(COUNTIF(Biomes!N$2:N$259,"="&amp;$C17)&gt;0,Biomes!N$1&amp;", ","")&amp;
IF(COUNTIF(Biomes!O$2:O$259,"="&amp;$C17)&gt;0,Biomes!O$1&amp;", ","")&amp;
IF(COUNTIF(Biomes!P$2:P$259,"="&amp;$C17)&gt;0,Biomes!P$1&amp;", ","")&amp;
IF(COUNTIF(Biomes!K$2:K$259,"="&amp;$C17)&gt;0,Biomes!K$1&amp;", ","")&amp;
IF(COUNTIF(Biomes!Q$3:Q$259,"="&amp;$C17)&gt;0,Biomes!Q$1&amp;", ","")&amp;
IF(COUNTIF(Biomes!L$2:L$259,"="&amp;$C17)&gt;0,Biomes!L$1&amp;", ","")&amp;
IF(COUNTIF(Biomes!E$2:E$259,"="&amp;$C17)&gt;0,Biomes!E$1&amp;", ","")&amp;IF(COUNTIF(Biomes!S$2:S$259,"="&amp;$C17)&gt;0,Biomes!S$1&amp;", ","")&amp;
IF(COUNTIF(Biomes!R$2:R$259,"="&amp;$C17)&gt;0,Biomes!R$1&amp;", ",""),", ","")
),_xlfn.XLOOKUP(B17,B:B,BX:BX))</f>
        <v>BorealForest ColdBog TemperateForest TemperateSwamp AridShrubland Desert LavaField GlacialPlain</v>
      </c>
      <c r="BY17" s="25" t="str">
        <f>IF(_xlfn.XLOOKUP(B17,'Base stats'!B:B,'Base stats'!AJ:AJ)=1,"true","false")</f>
        <v>false</v>
      </c>
      <c r="BZ17" s="25">
        <f>IF(_xlfn.XLOOKUP(B17,'Base stats'!B:B,'Base stats'!N:N)=1,"No",MAX(0.001,MIN(MROUND(IF(AND(BJ17="True",CC17="False"),POWER(10,3.47*LOG10(_xlfn.XLOOKUP(B17,'Base stats'!B:B,'Base stats'!C:C)*1000)^-0.96),POWER(10,4.15*LOG10(_xlfn.XLOOKUP(B17,'Base stats'!B:B,'Base stats'!C:C)*1000)^-0.73))*IF(_xlfn.XLOOKUP(B17,'Base stats'!B:B,'Base stats'!AK:AK)=1,0.5,1)*IF(_xlfn.XLOOKUP(B17,'Base stats'!B:B,'Base stats'!AM:AM)=1,0.1,1)/100,IF(_xlfn.XLOOKUP(B17,'Base stats'!B:B,'Base stats'!AM:AM)=1,0.001,0.025)),0.5)))</f>
        <v>0.05</v>
      </c>
      <c r="CA17" s="25" t="str">
        <f>IF(P17="Standard","No",MAX(0.001,MIN(MROUND(IF(AND(BJ17="True",CC17="False"),POWER(10,3.47*LOG10(_xlfn.XLOOKUP(B17,'Base stats'!B:B,'Base stats'!C:C)*1000)^-0.96),POWER(10,4.15*LOG10(_xlfn.XLOOKUP(B17,'Base stats'!B:B,'Base stats'!C:C)*1000)^-0.73))*IF(_xlfn.XLOOKUP(B17,'Base stats'!B:B,'Base stats'!AM:AM)=1,0.1,1)*_xlfn.XLOOKUP(B17,'Base stats'!B:B,'Base stats'!R:R)/100,IF(_xlfn.XLOOKUP(B17,'Base stats'!B:B,'Base stats'!AM:AM)=1,0.001,0.025)),0.5)))</f>
        <v>No</v>
      </c>
      <c r="CB17" s="25" t="str">
        <f>IF(_xlfn.XLOOKUP(_xlfn.XLOOKUP(B17,'Base stats'!B:B,'Base stats'!E:E),Groups!A:A,Groups!AJ:AJ)="Mammal","True","False")</f>
        <v>True</v>
      </c>
      <c r="CC17" s="25" t="str">
        <f>IF(OR(_xlfn.XLOOKUP(_xlfn.XLOOKUP(B17,'Base stats'!B:B,'Base stats'!E:E),Groups!A:A,Groups!AJ:AJ)="Reptile",_xlfn.XLOOKUP(_xlfn.XLOOKUP(B17,'Base stats'!B:B,'Base stats'!E:E),Groups!A:A,Groups!AJ:AJ)="Amphibian",_xlfn.XLOOKUP(_xlfn.XLOOKUP(B17,'Base stats'!B:B,'Base stats'!E:E),Groups!A:A,Groups!AJ:AJ)="Invertebrate"),"True","False")</f>
        <v>False</v>
      </c>
      <c r="CD17" s="25" t="str">
        <f t="shared" si="6"/>
        <v>False</v>
      </c>
      <c r="CE17" s="25" t="str">
        <f>IF(_xlfn.XLOOKUP(_xlfn.XLOOKUP(B17,'Base stats'!B:B,'Base stats'!E:E),Groups!A:A,Groups!AX:AX),"True","False")</f>
        <v>False</v>
      </c>
      <c r="CF17" s="25" t="str">
        <f>IF(_xlfn.XLOOKUP(_xlfn.XLOOKUP(B17,'Base stats'!B:B,'Base stats'!E:E),Groups!A:A,Groups!AY:AY),"True","False")</f>
        <v>False</v>
      </c>
      <c r="CG17" s="25" t="str">
        <f>IF(_xlfn.XLOOKUP(_xlfn.XLOOKUP(B17,'Base stats'!B:B,'Base stats'!E:E),Groups!A:A,Groups!AW:AW),"True","False")</f>
        <v>False</v>
      </c>
      <c r="CH17" s="25" t="str">
        <f>IF(
OR(
_xlfn.XLOOKUP(_xlfn.XLOOKUP(B17,'Base stats'!B:B,'Base stats'!E:E),Groups!A:A,Groups!AZ:AZ)=0,
AND(
_xlfn.XLOOKUP(B17,'Base stats'!B:B,'Base stats'!Y:Y)&lt;&gt;"Carnivore",
_xlfn.XLOOKUP(B17,'Base stats'!B:B,'Base stats'!Y:Y)&lt;&gt;"Omnivore",
_xlfn.XLOOKUP(B17,'Base stats'!B:B,'Base stats'!Y:Y)&lt;&gt;"OmnivoreRough"
)
),
"No",
IF(
_xlfn.XLOOKUP(_xlfn.XLOOKUP(B17,'Base stats'!B:B,'Base stats'!E:E),Groups!A:A,Groups!AZ:AZ)=1,
"Flesh",
IF(
_xlfn.XLOOKUP(_xlfn.XLOOKUP(B17,'Base stats'!B:B,'Base stats'!E:E),Groups!A:A,Groups!AZ:AZ)=2,
"Bone",
""
)
)
)</f>
        <v>No</v>
      </c>
      <c r="CI17" s="25" t="str">
        <f>IF(_xlfn.XLOOKUP(_xlfn.XLOOKUP(B17,'Base stats'!B:B,'Base stats'!E:E),Groups!A:A,Groups!BB:BB),"True","False")</f>
        <v>True</v>
      </c>
      <c r="CJ17" s="25" t="str">
        <f>IF(_xlfn.XLOOKUP(_xlfn.XLOOKUP(B17,'Base stats'!B:B,'Base stats'!E:E),Groups!A:A,Groups!BA:BA),"True","False")</f>
        <v>False</v>
      </c>
      <c r="CO17" s="16"/>
    </row>
    <row r="18" spans="1:93" ht="16.5" thickTop="1" thickBot="1" x14ac:dyDescent="0.3">
      <c r="A18" s="26" t="str">
        <f>_xlfn.XLOOKUP(B18,'Base stats'!B:B,'Base stats'!A:A)</f>
        <v>Leopard</v>
      </c>
      <c r="B18" s="6" t="s">
        <v>81</v>
      </c>
      <c r="C18" s="28" t="s">
        <v>691</v>
      </c>
      <c r="D18" s="28" t="s">
        <v>45</v>
      </c>
      <c r="E18" s="28" t="s">
        <v>689</v>
      </c>
      <c r="F18" s="28" t="s">
        <v>690</v>
      </c>
      <c r="G18" s="28" t="s">
        <v>673</v>
      </c>
      <c r="H18" s="2">
        <f>MROUND((
  (IF(AND(_xlfn.XLOOKUP(B18,'Base stats'!B:B,'Base stats'!AL:AL)=0,BI18="None",_xlfn.XLOOKUP(_xlfn.XLOOKUP(B18,'Base stats'!B:B,'Base stats'!E:E),Groups!A:A,Groups!B:B)=0), (18 + BR18 * 2.7) * 0.5,
    IF(AND(_xlfn.XLOOKUP(B18,'Base stats'!B:B,'Base stats'!AL:AL)=0,OR(AO18&lt;0.55,AND(BI18="Intermediate",_xlfn.XLOOKUP(_xlfn.XLOOKUP(B18,'Base stats'!B:B,'Base stats'!E:E),Groups!A:A,Groups!B:B)&lt;2))), (18 + BR18 * 2.7),
      IF(OR(BI18="Advanced",_xlfn.XLOOKUP(B18,'Base stats'!B:B,'Base stats'!AL:AL)=1,_xlfn.XLOOKUP(_xlfn.XLOOKUP(B18,'Base stats'!B:B,'Base stats'!E:E),Groups!A:A,Groups!B:B)=2), (18 + BR18 * 2.7) + 250, (18 + BR18 * 2.7))
    )
  ))
  + AO18 * 80
  + IF(COUNTIF(EggMilk!K$2:K$998, A18) &gt; 0, 125, 0)
  + IF(COUNTIF(EggMilk!P$2:P$998, A18) &gt; 0, 90, 0)
  + IF(COUNTIF(EggMilk!A$2:A$998, A18) &gt; 0, 90, 0)
)
* (0.8 + 0.4 * J18)
* 0.75,25)</f>
        <v>525</v>
      </c>
      <c r="I18" s="2">
        <f>MROUND(ROUNDDOWN(_xlfn.XLOOKUP(B18,'Base stats'!B:B,'Base stats'!L:L)/3.6/(23.3/11),1),0.5)</f>
        <v>8</v>
      </c>
      <c r="J18" s="2">
        <f>IF(OR(_xlfn.XLOOKUP(B18,'Base stats'!B:B,'Base stats'!AB:AB)=1,_xlfn.XLOOKUP(_xlfn.XLOOKUP(B18,'Base stats'!B:B,'Base stats'!E:E),Groups!A:A,Groups!C:C)="Untamable"),1,IF(_xlfn.XLOOKUP(B18,'Base stats'!B:B,'Base stats'!AL:AL)=1,0.99,MIN(MROUND((1-0.6282*EXP(-0.459*AO18))*_xlfn.XLOOKUP(_xlfn.XLOOKUP(B18,'Base stats'!B:B,'Base stats'!E:E),Groups!A:A,Groups!C:C)*IF(_xlfn.XLOOKUP(B18,'Base stats'!B:B,'Base stats'!O:O)=1,0.5,IF(_xlfn.XLOOKUP(B18,'Base stats'!B:B,'Base stats'!O:O)=2,0,1)),0.05),IF(AO18&gt;3.5,0.985,0.95))))</f>
        <v>0.75</v>
      </c>
      <c r="K18" s="2">
        <f>ROUNDUP(AO18*_xlfn.XLOOKUP(_xlfn.XLOOKUP(B18,'Base stats'!B:B,'Base stats'!E:E),Groups!A:A,Groups!E:E),0)</f>
        <v>1</v>
      </c>
      <c r="L18" s="2">
        <f>IF(OR(_xlfn.XLOOKUP(_xlfn.XLOOKUP(B18,'Base stats'!B:B,'Base stats'!E:E),Groups!A:A,Groups!F:F)=2,ISNUMBER(SEARCH("SeaIce",BX18)),ISNUMBER(SEARCH("IceSheet",BX18))),-50,IF(OR(ISNUMBER(SEARCH("GlacialPlain",BX18)),ISNUMBER(SEARCH("Tundra",BX18))),-40,IF(OR(ISNUMBER(SEARCH("Alpine",BX18)),ISNUMBER(SEARCH("BorealForest",BX18)),ISNUMBER(SEARCH("ColdBog",BX18))),-30,IF(OR(ISNUMBER(SEARCH("TemperateForest",BX18)),ISNUMBER(SEARCH("TemperateSwamp",BX18))),-20,IF(_xlfn.XLOOKUP(_xlfn.XLOOKUP(B18,'Base stats'!B:B,'Base stats'!E:E),Groups!A:A,Groups!F:F)=1,-15,IF(OR(ISNUMBER(SEARCH("Desert",BX18)),ISNUMBER(SEARCH("ExtremeDesert",BX18))),-10,IF(OR(ISNUMBER(SEARCH("Grasslands",BX18)),ISNUMBER(SEARCH("TropicalRainforest",BX18)),ISNUMBER(SEARCH("TropicalSwamp",BX18))),10,0)))))))-IF(CC18="False",MIN(IFERROR(MAX(MROUND(LOG10(_xlfn.XLOOKUP(B18,'Base stats'!B:B,'Base stats'!C:C)^(2/3))*10,5),5),5),30))-_xlfn.XLOOKUP(B18,'Base stats'!B:B,'Base stats'!P:P)+IF(CC18="True",5,0)</f>
        <v>-25</v>
      </c>
      <c r="M18" s="2">
        <f>IF(OR(_xlfn.XLOOKUP(_xlfn.XLOOKUP(B18,'Base stats'!B:B,'Base stats'!E:E),Groups!A:A,Groups!G:G)=2,ISNUMBER(SEARCH("Desert",BX18)),ISNUMBER(SEARCH("ExtremeDesert",BX18)),ISNUMBER(SEARCH("LavaField",BX18))),50,IF(ISNUMBER(SEARCH("Grasslands",BX18)),45,IF(OR(_xlfn.XLOOKUP(_xlfn.XLOOKUP(B18,'Base stats'!B:B,'Base stats'!E:E),Groups!A:A,Groups!G:G)=1,ISNUMBER(SEARCH("TropicalRainforest",BX18)),ISNUMBER(SEARCH("TropicalSwamp",BX18))),40,IF(OR(ISNUMBER(SEARCH("TemperateForest",BX18)),ISNUMBER(SEARCH("TemperateSwamp",BX18))),35,IF(OR(ISNUMBER(SEARCH("Alpine",BX18)),ISNUMBER(SEARCH("BorealForest",BX18)),ISNUMBER(SEARCH("ColdBog",BX18))),30,IF(ISNUMBER(OR(ISNUMBER(SEARCH("GlacialPlain",BX18)),SEARCH("Tundra",BX18))),25,IF(OR(ISNUMBER(SEARCH("SeaIce",BX18)),ISNUMBER(SEARCH("IceSheet",BX18)),ISNUMBER(SEARCH("TropicalSwamp",BX18))),10,35)))))))+_xlfn.XLOOKUP(B18,'Base stats'!B:B,'Base stats'!Q:Q)</f>
        <v>40</v>
      </c>
      <c r="N18" s="8" t="str">
        <f>IF(
_xlfn.XLOOKUP(
_xlfn.XLOOKUP(B18,'Base stats'!B:B,'Base stats'!E:E),
Groups!A:A,
Groups!L:L
)=1,
MIN(
MROUND(
IF(
_xlfn.XLOOKUP(B18,'Animals CE'!B:B,'Animals CE'!Z:Z)&lt;=1.5,
_xlfn.XLOOKUP(B18,'Animals CE'!B:B,'Animals CE'!Z:Z)/2+0.05,
0.8+
(_xlfn.XLOOKUP(B18,'Animals CE'!B:B,'Animals CE'!Z:Z)-1.5)
*0.02
),
0.05
),
200%
),
"No"
)</f>
        <v>No</v>
      </c>
      <c r="O18" s="8" t="str">
        <f>IF(
_xlfn.XLOOKUP(
_xlfn.XLOOKUP(B18,'Base stats'!B:B,'Base stats'!E:E),
Groups!A:A,
Groups!L:L
)=1,
MIN(
MROUND(
IF(
_xlfn.XLOOKUP(B18,'Animals CE'!B:B,'Animals CE'!AA:AA)&lt;=1.5,
_xlfn.XLOOKUP(B18,'Animals CE'!B:B,'Animals CE'!AA:AA)/2+0.05,
0.8+
(_xlfn.XLOOKUP(B18,'Animals CE'!B:B,'Animals CE'!AA:AA)-1.5)
*0.02
),
0.05
),
200%
),
"No"
)</f>
        <v>No</v>
      </c>
      <c r="P18" s="2" t="str">
        <f>_xlfn.XLOOKUP(B18,'Base stats'!B:B,'Base stats'!R:R)</f>
        <v>Standard</v>
      </c>
      <c r="Q18" s="13">
        <f>MROUND((LOG10(_xlfn.XLOOKUP(B18,'Base stats'!B:B,'Base stats'!AR:AR))*(AO18^0.5)+(_xlfn.XLOOKUP(B18,'Base stats'!B:B,'Base stats'!AR:AR)/1000)^(2/3)+_xlfn.XLOOKUP(B18,'Base stats'!B:B,'Base stats'!BA:BA)/2)+0.5,0.5)</f>
        <v>6.5</v>
      </c>
      <c r="R18" s="7">
        <f>IF(Q18="No","No",MAX(1,MROUND(_xlfn.XLOOKUP(B18,'Base stats'!B:B,'Base stats'!C:C)^0.165,0.05)))</f>
        <v>1.9500000000000002</v>
      </c>
      <c r="S18" s="13" t="str">
        <f>IF(_xlfn.XLOOKUP(_xlfn.XLOOKUP(B18,'Base stats'!B:B,'Base stats'!E:E),Groups!A:A,Groups!P:P)=0,"No",MROUND((LOG10(_xlfn.XLOOKUP(B18,'Base stats'!B:B,'Base stats'!AS:AS))*(AO18^0.5)+(_xlfn.XLOOKUP(B18,'Base stats'!B:B,'Base stats'!AS:AS)/1000)^(2/3)+_xlfn.XLOOKUP(B18,'Base stats'!B:B,'Base stats'!BA:BA))+_xlfn.XLOOKUP(B18,'Base stats'!B:B,'Base stats'!AY:AY)+0.5,0.5))</f>
        <v>No</v>
      </c>
      <c r="T18" s="7" t="str">
        <f>IF(S18="No","No",MAX(_xlfn.XLOOKUP(_xlfn.XLOOKUP(B18,'Base stats'!B:B,'Base stats'!E:E),Groups!A:A,Groups!Q:Q),MROUND(_xlfn.XLOOKUP(_xlfn.XLOOKUP(B18,'Base stats'!B:B,'Base stats'!E:E),Groups!A:A,Groups!Q:Q)*_xlfn.XLOOKUP(B18,'Base stats'!B:B,'Base stats'!C:C)^0.165,0.05)))</f>
        <v>No</v>
      </c>
      <c r="U18" s="7" t="str">
        <f>IF(S18="No","No",_xlfn.XLOOKUP(_xlfn.XLOOKUP(B18,'Base stats'!B:B,'Base stats'!E:E),Groups!A:A,Groups!R:R))</f>
        <v>No</v>
      </c>
      <c r="V18" s="7" t="str">
        <f>IF(S18="No","No",_xlfn.XLOOKUP(_xlfn.XLOOKUP(B18,'Base stats'!B:B,'Base stats'!E:E),Groups!A:A,Groups!S:S))</f>
        <v>No</v>
      </c>
      <c r="W18" s="7" t="str">
        <f>IF(S18="No","No",_xlfn.XLOOKUP(_xlfn.XLOOKUP(B18,'Base stats'!B:B,'Base stats'!E:E),Groups!A:A,Groups!T:T))</f>
        <v>No</v>
      </c>
      <c r="X18" s="13" t="str">
        <f>IF(_xlfn.XLOOKUP(B18,'Base stats'!B:B,'Base stats'!W:W)="No","No",MROUND((LOG10(_xlfn.XLOOKUP(B18,'Base stats'!B:B,'Base stats'!AU:AU))*(AO18^0.5)+(_xlfn.XLOOKUP(B18,'Base stats'!B:B,'Base stats'!AU:AU)/1000)^(2/3)+_xlfn.XLOOKUP(B18,'Base stats'!B:B,'Base stats'!AZ:AZ))+0.5+IF(_xlfn.XLOOKUP(_xlfn.XLOOKUP(B18,'Base stats'!B:B,'Base stats'!E:E),Groups!A:A,Groups!U:U)&lt;&gt;3,_xlfn.XLOOKUP(B18,'Base stats'!B:B,'Base stats'!BA:BA),0),0.5))</f>
        <v>No</v>
      </c>
      <c r="Y18" s="7" t="str">
        <f>IF(X18="No","No",MAX(_xlfn.XLOOKUP(_xlfn.XLOOKUP(B18,'Base stats'!B:B,'Base stats'!E:E),Groups!A:A,Groups!V:V),MROUND(_xlfn.XLOOKUP(_xlfn.XLOOKUP(B18,'Base stats'!B:B,'Base stats'!E:E),Groups!A:A,Groups!V:V)*_xlfn.XLOOKUP(B18,'Base stats'!B:B,'Base stats'!C:C)^0.165,0.05)))</f>
        <v>No</v>
      </c>
      <c r="Z18" s="7" t="str">
        <f>IF(X18="No","No",_xlfn.XLOOKUP(_xlfn.XLOOKUP(B18,'Base stats'!B:B,'Base stats'!E:E),Groups!A:A,Groups!W:W))</f>
        <v>No</v>
      </c>
      <c r="AA18" s="7" t="str">
        <f>IF(X18="No","No",_xlfn.XLOOKUP(_xlfn.XLOOKUP(B18,'Base stats'!B:B,'Base stats'!E:E),Groups!A:A,Groups!X:X))</f>
        <v>No</v>
      </c>
      <c r="AB18" s="7" t="str">
        <f>IF(X18="No","No",_xlfn.XLOOKUP(_xlfn.XLOOKUP(B18,'Base stats'!B:B,'Base stats'!E:E),Groups!A:A,Groups!Y:Y))</f>
        <v>No</v>
      </c>
      <c r="AC18" s="7" t="str">
        <f>_xlfn.XLOOKUP(Animals!B18,'Base stats'!B:B,'Base stats'!X:X)</f>
        <v>False</v>
      </c>
      <c r="AD18" s="13">
        <f>IF(_xlfn.XLOOKUP(B18,'Base stats'!B:B,'Base stats'!AT:AT)="No","No",MROUND((LOG10(_xlfn.XLOOKUP(B18,'Base stats'!B:B,'Base stats'!AT:AT))*(AO18^0.75)+(_xlfn.XLOOKUP(B18,'Base stats'!B:B,'Base stats'!AT:AT)/1000)^(2/3)+_xlfn.XLOOKUP(B18,'Base stats'!B:B,'Base stats'!AX:AX)+_xlfn.XLOOKUP(B18,'Base stats'!B:B,'Base stats'!BA:BA))+0.5,0.5))</f>
        <v>12.5</v>
      </c>
      <c r="AE18" s="7">
        <f>IF(AD18="No","No",MAX(_xlfn.XLOOKUP(_xlfn.XLOOKUP(B18,'Base stats'!B:B,'Base stats'!E:E),Groups!A:A,Groups!Z:Z),MROUND(_xlfn.XLOOKUP(_xlfn.XLOOKUP(B18,'Base stats'!B:B,'Base stats'!E:E),Groups!A:A,Groups!Z:Z)*_xlfn.XLOOKUP(B18,'Base stats'!B:B,'Base stats'!C:C)^0.165,0.05)))</f>
        <v>1.35</v>
      </c>
      <c r="AF18" s="7" t="str">
        <f>IF(AD18="No","No",_xlfn.XLOOKUP(_xlfn.XLOOKUP(B18,'Base stats'!B:B,'Base stats'!E:E),Groups!A:A,Groups!AA:AA))</f>
        <v>Teeth</v>
      </c>
      <c r="AG18" s="7" t="str">
        <f>IF(AD18="No","No",_xlfn.XLOOKUP(_xlfn.XLOOKUP(B18,'Base stats'!B:B,'Base stats'!E:E),Groups!A:A,Groups!AB:AB))</f>
        <v>canines</v>
      </c>
      <c r="AH18" s="7" t="str">
        <f>IF(AD18="No","No",_xlfn.XLOOKUP(_xlfn.XLOOKUP(B18,'Base stats'!B:B,'Base stats'!E:E),Groups!A:A,Groups!AC:AC))</f>
        <v>Bite</v>
      </c>
      <c r="AI18" s="13">
        <f>IF(_xlfn.XLOOKUP(_xlfn.XLOOKUP(B18,'Base stats'!B:B,'Base stats'!E:E),Groups!A:A,Groups!AD:AD)=0,"No",MROUND((LOG10(_xlfn.XLOOKUP(B18,'Base stats'!B:B,'Base stats'!AS:AS))*(AO18^0.75)+(_xlfn.XLOOKUP(B18,'Base stats'!B:B,'Base stats'!AS:AS)/1000)^(2/3)+_xlfn.XLOOKUP(B18,'Base stats'!B:B,'Base stats'!AY:AY)+_xlfn.XLOOKUP(B18,'Base stats'!B:B,'Base stats'!BA:BA))+0.5,0.5))</f>
        <v>10.5</v>
      </c>
      <c r="AJ18" s="7">
        <f>IF(AI18="No","No",MAX(_xlfn.XLOOKUP(_xlfn.XLOOKUP(B18,'Base stats'!B:B,'Base stats'!E:E),Groups!A:A,Groups!AE:AE),MROUND(_xlfn.XLOOKUP(_xlfn.XLOOKUP(B18,'Base stats'!B:B,'Base stats'!E:E),Groups!A:A,Groups!AE:AE)*IF(_xlfn.XLOOKUP(_xlfn.XLOOKUP(B18,'Base stats'!B:B,'Base stats'!E:E),Groups!A:A,Groups!AJ:AJ)="Photonozoa",0.6,1)*_xlfn.XLOOKUP(B18,'Base stats'!B:B,'Base stats'!C:C)^0.165,0.05)))</f>
        <v>1.25</v>
      </c>
      <c r="AK18" s="7" t="str">
        <f>IF(AI18="No","No",_xlfn.XLOOKUP(_xlfn.XLOOKUP(B18,'Base stats'!B:B,'Base stats'!E:E),Groups!A:A,Groups!AF:AF))</f>
        <v>FrontLeftPaw, FrontRightPaw</v>
      </c>
      <c r="AL18" s="7" t="str">
        <f>IF(AI18="No","No",_xlfn.XLOOKUP(_xlfn.XLOOKUP(B18,'Base stats'!B:B,'Base stats'!E:E),Groups!A:A,Groups!AG:AG))</f>
        <v>left claw, right claw</v>
      </c>
      <c r="AM18" s="7" t="str">
        <f>IF(AI18="No","No",_xlfn.XLOOKUP(_xlfn.XLOOKUP(B18,'Base stats'!B:B,'Base stats'!E:E),Groups!A:A,Groups!AH:AH))</f>
        <v>Scratch</v>
      </c>
      <c r="AN18" s="2">
        <f t="shared" si="0"/>
        <v>20</v>
      </c>
      <c r="AO18" s="2">
        <f>MROUND(IF(AND(_xlfn.XLOOKUP(B18,'Base stats'!B:B,'Base stats'!C:C)&gt;=0.5,_xlfn.XLOOKUP(B18,'Base stats'!B:B,'Base stats'!C:C)&lt;=0.8),
IF(_xlfn.XLOOKUP(B18,'Base stats'!B:B,'Base stats'!C:C)&lt;0.1,0.05,IF(_xlfn.XLOOKUP(B18,'Base stats'!B:B,'Base stats'!C:C)&lt;=70,(_xlfn.XLOOKUP(B18,'Base stats'!B:B,'Base stats'!C:C)/70)^0.426489913056526,IF(_xlfn.XLOOKUP(B18,'Base stats'!B:B,'Base stats'!C:C)&lt;=400,(_xlfn.XLOOKUP(B18,'Base stats'!B:B,'Base stats'!C:C)/70)^0.572811455315093,IF(_xlfn.XLOOKUP(B18,'Base stats'!B:B,'Base stats'!C:C)&lt;=2000,2.71391647193063*(_xlfn.XLOOKUP(B18,'Base stats'!B:B,'Base stats'!C:C)/400)^0.252459582904293,3.74314280240376*(_xlfn.XLOOKUP(B18,'Base stats'!B:B,'Base stats'!C:C)/2000)^0.357012633876913)))),
IF(_xlfn.XLOOKUP(B18,'Base stats'!B:B,'Base stats'!C:C)&lt;0.1,0.05,IF(_xlfn.XLOOKUP(B18,'Base stats'!B:B,'Base stats'!C:C)&lt;0.4,0.1,IF(_xlfn.XLOOKUP(B18,'Base stats'!B:B,'Base stats'!C:C)&lt;=70,(_xlfn.XLOOKUP(B18,'Base stats'!B:B,'Base stats'!C:C)/70)^0.445823913056526,IF(_xlfn.XLOOKUP(B18,'Base stats'!B:B,'Base stats'!C:C)&lt;=400,(_xlfn.XLOOKUP(B18,'Base stats'!B:B,'Base stats'!C:C)/70)^0.572811455315093,IF(_xlfn.XLOOKUP(B18,'Base stats'!B:B,'Base stats'!C:C)&lt;=2000,2.71391647193063*(_xlfn.XLOOKUP(B18,'Base stats'!B:B,'Base stats'!C:C)/400)^0.252459582904293,3.74314280240376*(_xlfn.XLOOKUP(B18,'Base stats'!B:B,'Base stats'!C:C)/2000)^0.357012633876913)))))),
IF(_xlfn.XLOOKUP(B18,'Base stats'!B:B,'Base stats'!C:C)&lt;0.1,0.05,IF(_xlfn.XLOOKUP(B18,'Base stats'!B:B,'Base stats'!C:C)&lt;=100,0.05,IF(_xlfn.XLOOKUP(B18,'Base stats'!B:B,'Base stats'!C:C)&lt;=250,0.1,IF(_xlfn.XLOOKUP(B18,'Base stats'!B:B,'Base stats'!C:C)&lt;=4000,0.25,0.5)))))</f>
        <v>0.9</v>
      </c>
      <c r="AP18" s="8">
        <f>MROUND(AO18*_xlfn.XLOOKUP(_xlfn.XLOOKUP(B18,'Base stats'!B:B,'Base stats'!E:E),Groups!A:A,Groups!AI:AI)*_xlfn.XLOOKUP(B18,'Base stats'!B:B,'Base stats'!Z:Z),0.05)</f>
        <v>1.1000000000000001</v>
      </c>
      <c r="AQ18" s="8">
        <f>MAX(0.01,MROUND(IF(CC18="True",0.196*(AO18*100*1000)^0.889,IF(_xlfn.XLOOKUP(_xlfn.XLOOKUP(B18,'Base stats'!B:B,'Base stats'!E:E),Groups!A:A,Groups!AJ:AJ)="Bird",10.5*(AO18*100*1000)^0.681,4.82*(AO18*100*1000)^0.734))/(4.82*(1*100*1000)^0.734)/IF(AO18&lt;3.5,2,IF(AO18=3.5,1.5,1.25))*(1+0.132282374779864/(AO18^0.994035016789033+0.00905238001496948)),0.05))</f>
        <v>0.55000000000000004</v>
      </c>
      <c r="AR18" s="9">
        <f>IFERROR(MROUND(_xlfn.XLOOKUP(B18,'Base stats'!B:B,'Base stats'!H:H)/IF(_xlfn.XLOOKUP(B18,'Base stats'!B:B,'Base stats'!I:I)&lt;&gt;1,(122.5/70),1.2),IF(_xlfn.XLOOKUP(B18,'Base stats'!B:B,'Base stats'!H:H)&gt;=30,5,IF(_xlfn.XLOOKUP(B18,'Base stats'!B:B,'Base stats'!H:H)&gt;=15,3,IF(_xlfn.XLOOKUP(B18,'Base stats'!B:B,'Base stats'!H:H)&gt;=10,2,1)))),"Immortal")</f>
        <v>15</v>
      </c>
      <c r="AS18" s="35">
        <f>IFERROR(IF(OR(_xlfn.XLOOKUP(B18,'Base stats'!B:B,'Base stats'!F:F)="Atypical reproduction",_xlfn.XLOOKUP(B18,'Base stats'!B:B,'Base stats'!F:F)="Lay eggs"),"Lay eggs",MIN(20,MAX(5.5,ROUND(((_xlfn.XLOOKUP(B18,'Base stats'!B:B,'Base stats'!F:F)-25)*(14.5/615) + 5.5)*2,0)/2))),"Unknown")</f>
        <v>7</v>
      </c>
      <c r="AT18" s="8">
        <f>IF(_xlfn.XLOOKUP(B18,'Base stats'!B:B,'Base stats'!G:G)="Atypical reproduction","No",IFERROR(MAX(IF(_xlfn.XLOOKUP(B18,'Base stats'!B:B,'Base stats'!G:G)&lt;0.5,0.2,0.3),MROUND(_xlfn.XLOOKUP(B18,'Base stats'!B:B,'Base stats'!G:G)/(365/60),0.2)),"Unknown"))</f>
        <v>0.4</v>
      </c>
      <c r="AU18" s="8">
        <f t="shared" si="1"/>
        <v>0.2</v>
      </c>
      <c r="AV18" s="8">
        <f>IFERROR(IFERROR(MROUND(_xlfn.XLOOKUP(B18,'Base stats'!B:B,'Base stats'!J:J),0.1),"Lay eggs"),"Cannot breed")</f>
        <v>2</v>
      </c>
      <c r="AW18" s="2" t="str">
        <f t="shared" si="2"/>
        <v>false</v>
      </c>
      <c r="AX18" s="2" t="str">
        <f>IF(_xlfn.XLOOKUP(_xlfn.XLOOKUP(Animals!B18,'Base stats'!B:B,'Base stats'!E:E),Groups!A:A,Groups!AK:AK)=1,"true","false")</f>
        <v>false</v>
      </c>
      <c r="AY18" s="25" t="str">
        <f>IF(_xlfn.XLOOKUP(B18,'Base stats'!B:B,'Base stats'!Y:Y)="Liquor","Liquor, CarnivoreAnimalStrict",IF(AND(_xlfn.XLOOKUP(B18,'Base stats'!B:B,'Base stats'!Y:Y)="Carnivore",_xlfn.XLOOKUP(_xlfn.XLOOKUP(B18,'Base stats'!B:B,'Base stats'!E:E),Groups!A:A,Groups!AJ:AJ)="Photonozoa"),"CarnivoreAnimalStrict, OvivoreAnimal",IF(_xlfn.XLOOKUP(B18,'Base stats'!B:B,'Base stats'!Y:Y)="Carnivore","CarnivoreAnimal, OvivoreAnimal",IF(_xlfn.XLOOKUP(B18,'Base stats'!B:B,'Base stats'!Y:Y)="Dendrovore","VegetarianRoughAnimal, DendrovoreAnimal",IF(_xlfn.XLOOKUP(B18,'Base stats'!B:B,'Base stats'!Y:Y)="Herbivore","VegetarianRoughAnimal",IF(_xlfn.XLOOKUP(B18,'Base stats'!B:B,'Base stats'!Y:Y)="OmnivoreRough","OmnivoreRoughAnimal, OvivoreAnimal","OmnivoreAnimal, OvivoreAnimal"))))))</f>
        <v>CarnivoreAnimal, OvivoreAnimal</v>
      </c>
      <c r="AZ18" s="2" t="str">
        <f>IF(_xlfn.XLOOKUP(_xlfn.XLOOKUP(B18,'Base stats'!B:B,'Base stats'!E:E),Groups!A:A,Groups!D:D)=1,MROUND((1-J18)*5+1,2)*IF(J18&lt;=0.4,2,1),"No")</f>
        <v>No</v>
      </c>
      <c r="BA18" s="2" t="str">
        <f>IF(AND(_xlfn.XLOOKUP(B18,'Base stats'!B:B,'Base stats'!AH:AH)="&lt;li&gt;Seal&lt;/li&gt;",G18="Odyssey"),"&lt;li&gt;AEXP_Seal&lt;/li&gt;",_xlfn.XLOOKUP(B18,'Base stats'!B:B,'Base stats'!AH:AH))</f>
        <v>No</v>
      </c>
      <c r="BB18" s="2" t="str">
        <f>_xlfn.XLOOKUP(B18,'Base stats'!B:B,'Base stats'!AG:AG)</f>
        <v>Leather_Panthera</v>
      </c>
      <c r="BC18" s="23" t="str">
        <f>_xlfn.XLOOKUP(_xlfn.XLOOKUP(B18,'Base stats'!B:B,'Base stats'!E:E),Groups!A:A,Groups!AL:AL)</f>
        <v>QuadrupedAnimalWithPawsAndTail</v>
      </c>
      <c r="BD18" s="23">
        <f>MIN(1,MROUND(IF(AND(AO18&lt;0.5,_xlfn.XLOOKUP(B18,'Base stats'!B:B,'Base stats'!AA:AA)=0),0,IF(OR(_xlfn.XLOOKUP(Animals!B18,'Base stats'!B:B,'Base stats'!O:O)=2,_xlfn.XLOOKUP(_xlfn.XLOOKUP(B18,'Base stats'!B:B,'Base stats'!E:E),Groups!A:A,Groups!AN:AN)=0),0,_xlfn.XLOOKUP(_xlfn.XLOOKUP(B18,'Base stats'!B:B,'Base stats'!E:E),Groups!A:A,Groups!AN:AN)/IF(_xlfn.XLOOKUP(Animals!B18,'Base stats'!B:B,'Base stats'!O:O)=1,2,1)))+_xlfn.XLOOKUP(B18,'Base stats'!B:B,'Base stats'!AC:AC),0.005))</f>
        <v>0.1</v>
      </c>
      <c r="BE18" s="23">
        <f>MIN(1,MROUND(IF(AND(AO18&lt;0.5,_xlfn.XLOOKUP(B18,'Base stats'!B:B,'Base stats'!AA:AA)=0),0,IF(_xlfn.XLOOKUP(_xlfn.XLOOKUP(B18,'Base stats'!B:B,'Base stats'!E:E),Groups!A:A,Groups!AO:AO)=0,0,_xlfn.XLOOKUP(_xlfn.XLOOKUP(B18,'Base stats'!B:B,'Base stats'!E:E),Groups!A:A,Groups!AO:AO)/IF(_xlfn.XLOOKUP(Animals!B18,'Base stats'!B:B,'Base stats'!O:O)=2,3,1)))+_xlfn.XLOOKUP(B18,'Base stats'!B:B,'Base stats'!AD:AD),0.005))</f>
        <v>0.3</v>
      </c>
      <c r="BF18" s="2" t="str">
        <f>IF(J18&gt;0.3,"No",_xlfn.XLOOKUP(_xlfn.XLOOKUP(Animals!B18,'Base stats'!B:B,'Base stats'!E:E),Groups!A:A,Groups!AP:AP))</f>
        <v>No</v>
      </c>
      <c r="BG18" s="2" t="str">
        <f>IF(AND(J18&lt;=0.65,_xlfn.XLOOKUP(_xlfn.XLOOKUP(Animals!B18,'Base stats'!B:B,'Base stats'!E:E),Groups!A:A,Groups!AP:AP)&lt;&gt;"No",_xlfn.XLOOKUP(_xlfn.XLOOKUP(B18,'Base stats'!B:B,'Base stats'!E:E),Groups!A:A,Groups!D:D)=0),MROUND((80/3)*IF(_xlfn.XLOOKUP(B18,'Base stats'!B:B,'Base stats'!O:O)=2,0.2,AO18) + 24*(1-IF(BF18="No",0,BF18)) + 16/3, 12),"No")</f>
        <v>No</v>
      </c>
      <c r="BH18" s="2">
        <f>IF(AND(_xlfn.XLOOKUP(_xlfn.XLOOKUP(B18,'Base stats'!B:B,'Base stats'!E:E),Groups!A:A,Groups!AQ:AQ)=1,AO18&lt;=0.35),8,12)</f>
        <v>12</v>
      </c>
      <c r="BI18" s="2" t="str">
        <f>IF(_xlfn.XLOOKUP(_xlfn.XLOOKUP(B18,'Base stats'!B:B,'Base stats'!E:E),Groups!A:A,Groups!D:D)=0,_xlfn.XLOOKUP(_xlfn.XLOOKUP(B18,'Base stats'!B:B,'Base stats'!E:E),Groups!A:A,Groups!AR:AR),"None")</f>
        <v>Intermediate</v>
      </c>
      <c r="BJ18" s="2" t="str">
        <f>IF(AND(_xlfn.XLOOKUP(_xlfn.XLOOKUP(B18,'Base stats'!B:B,'Base stats'!E:E),Groups!A:A,Groups!AS:AS)=1,OR(_xlfn.XLOOKUP(B18,'Base stats'!B:B,'Base stats'!Y:Y)="Carnivore",_xlfn.XLOOKUP(B18,'Base stats'!B:B,'Base stats'!Y:Y)="Omnivore")),"true","false")</f>
        <v>true</v>
      </c>
      <c r="BK18" s="2">
        <f>IF(BJ18="true",MROUND(IF(AND(AO18&gt;0.5,OR(_xlfn.XLOOKUP(_xlfn.XLOOKUP(B18,'Base stats'!B:B,'Base stats'!E:E),Groups!A:A,Groups!AJ:AJ)="Photonozoa",_xlfn.XLOOKUP(_xlfn.XLOOKUP(B18,'Base stats'!B:B,'Base stats'!E:E),Groups!A:A,Groups!AJ:AJ)="Mammal")),Animals!AO18*1.75*IF(AW18="true",1.5,1),IF(AO18&lt;0.5,Animals!AO18*0.5,Animals!AO18)),IF(AO18&gt;2,0.5,IF(AO18&gt;0.5,0.25,0.1))),"No")</f>
        <v>1.5</v>
      </c>
      <c r="BL18" s="2">
        <f t="shared" si="3"/>
        <v>1</v>
      </c>
      <c r="BM18" s="25" t="str">
        <f>IF(_xlfn.XLOOKUP(B18,'Base stats'!B:B,'Base stats'!AN:AN)="Standard","No",MROUND((_xlfn.XLOOKUP(B18,'Base stats'!B:B,'Base stats'!AN:AN)/3.6)/I18,0.1))</f>
        <v>No</v>
      </c>
      <c r="BN18" s="25" t="str">
        <f t="shared" si="4"/>
        <v>false</v>
      </c>
      <c r="BO18" s="25" t="str">
        <f>IF(AND(OR(_xlfn.XLOOKUP(B18,'Base stats'!B:B,'Base stats'!Y:Y)="Carnivore",_xlfn.XLOOKUP(B18,'Base stats'!B:B,'Base stats'!Y:Y)="Omnivore",_xlfn.XLOOKUP(B18,'Base stats'!B:B,'Base stats'!Y:Y)="OmnivoreRough"),_xlfn.XLOOKUP(_xlfn.XLOOKUP(B18,'Base stats'!B:B,'Base stats'!E:E),Groups!A:A,Groups!AT:AT)=1),"true","false")</f>
        <v>false</v>
      </c>
      <c r="BP18" s="25" t="str" cm="1">
        <f t="array" ref="BP18">IF(
  _xlfn.TEXTJOIN(", ",TRUE,
    IF(AND(BJ18="true",AO18&gt;0.5,BI18&lt;&gt;"None"),"AttackTarget",""),
    IF(AND(_xlfn.XLOOKUP(_xlfn.XLOOKUP(B18,'Base stats'!B:B,'Base stats'!E:E),Groups!A:A,Groups!AJ:AJ="Mammal"),OR(_xlfn.XLOOKUP(B18,'Base stats'!B:B,'Base stats'!Y:Y)="Omnivore",_xlfn.XLOOKUP(B18,'Base stats'!B:B,'Base stats'!Y:Y)="OmnivoreRough")),"Forage",""),
    IF(BG18&lt;=36,"Comfort",""),
    IF(_xlfn.XLOOKUP(B18,'Base stats'!B:B,'Base stats'!AE:AE)&lt;&gt;"No",_xlfn.XLOOKUP(B18,'Base stats'!B:B,'Base stats'!AE:AE),"")
  ) = "",
  "No",
  _xlfn.TEXTJOIN(", ",TRUE,
    IF(AND(BJ18="true",AO18&gt;0.5,BI18&lt;&gt;"None"),"AttackTarget",""),
    IF(AND(_xlfn.XLOOKUP(_xlfn.XLOOKUP(B18,'Base stats'!B:B,'Base stats'!E:E),Groups!A:A,Groups!AJ:AJ="Mammal"),OR(_xlfn.XLOOKUP(B18,'Base stats'!B:B,'Base stats'!Y:Y)="Omnivore",_xlfn.XLOOKUP(B18,'Base stats'!B:B,'Base stats'!Y:Y)="OmnivoreRough")),"Forage",""),
    IF(BG18&lt;=36,"Comfort",""),
    IF(_xlfn.XLOOKUP(B18,'Base stats'!B:B,'Base stats'!AE:AE)&lt;&gt;"No",_xlfn.XLOOKUP(B18,'Base stats'!B:B,'Base stats'!AE:AE),"")
  )
)</f>
        <v>AttackTarget</v>
      </c>
      <c r="BQ18" s="25" t="str">
        <f>IF(
   AND(
      'Base stats'!AN18="Standard",_xlfn.XLOOKUP(_xlfn.XLOOKUP(B18,'Base stats'!B:B,'Base stats'!E:E),Groups!A:A,Groups!AU:AU)=0,
      OR(
      BO18="True"
      )
   ),
   10,
   IF(
       OR(BM18&lt;&gt;"No",_xlfn.XLOOKUP(_xlfn.XLOOKUP(B18,'Base stats'!B:B,'Base stats'!E:E),Groups!A:A,Groups!AU:AU)=1),
      1,
      "No"
   )
)</f>
        <v>No</v>
      </c>
      <c r="BR18" s="9">
        <f>MROUND((1 + ((0.2*IF(OR(Q18="No",R18="No",R18=0),0,Q18/R18)
+IF(OR(V18="No",S18="No",T18="No"),0,S18/T18*(LEN(V18)-LEN(SUBSTITUTE(V18,",",""))+1))
+IF(OR(X18="No",Y18="No"),0,X18/Y18)
+IF(OR(AD18="No",AE18="No"),0,AD18/AE18)
+IF(OR(AL18="No",AI18="No",AJ18="No"),0,AI18/AJ18*(LEN(AL18)-LEN(SUBSTITUTE(AL18,",",""))+1))
)/(0.2*IF(OR(Q18="No",R18="No",R18=0),0,1)
+IF(OR(V18="No",S18="No",T18="No"),0,LEN(V18)-LEN(SUBSTITUTE(V18,",",""))+1)
+IF(OR(X18="No",Y18="No"),0,1)
+IF(OR(AD18="No",AE18="No"),0,1)
+IF(OR(AL18="No",AI18="No",AJ18="No"),0,LEN(AL18)-LEN(SUBSTITUTE(AL18,",",""))+1))*62%)* 2)*(1 + (AP18 / (IF(_xlfn.XLOOKUP(_xlfn.XLOOKUP(B18,'Base stats'!B:B,'Base stats'!E:E),Groups!A:A,Groups!AJ:AJ)="Photonozoa",0.3,1)) + _xlfn.XLOOKUP(B18,'Base stats'!B:B,'Base stats'!AV:AV) * 1.8) * 2) * 2.5 + 10 + I18 * 2,5)+IF(_xlfn.XLOOKUP(B18,'Base stats'!B:B,'Base stats'!AK:AK)=1,50,0)</f>
        <v>115</v>
      </c>
      <c r="BS18" s="8">
        <f t="shared" si="5"/>
        <v>0.60000000000000009</v>
      </c>
      <c r="BT18" s="8" t="str">
        <f>_xlfn.XLOOKUP(B18,'Base stats'!B:B,'Base stats'!AF:AF)</f>
        <v>No</v>
      </c>
      <c r="BU18" s="2" t="str">
        <f>IF(AND(J18&lt;=0.95,OR(_xlfn.XLOOKUP(B18,'Base stats'!B:B,'Base stats'!AK:AK)=1,_xlfn.XLOOKUP(B18,'Base stats'!B:B,'Base stats'!Y:Y)="Carnivore",_xlfn.XLOOKUP(B18,'Base stats'!B:B,'Base stats'!Y:Y)="Omnivore",BE18&gt;0.1)),"true","false")</f>
        <v>true</v>
      </c>
      <c r="BV18" s="2" t="str">
        <f>IF(_xlfn.XLOOKUP(B18,'Base stats'!B:B,'Base stats'!AI:AI)=1,"true","false")</f>
        <v>false</v>
      </c>
      <c r="BW18" s="25" t="str">
        <f>IF(E18="BaseInsect","AnimalInsect",
IF(J18&gt;0.95,"AnimalExotic",
_xlfn.TEXTJOIN(", ",TRUE,
IF(OR(_xlfn.XLOOKUP(B18,'Base stats'!B:B,'Base stats'!AM:AM)=1,AND(_xlfn.XLOOKUP(B18,'Base stats'!B:B,'Base stats'!O:O)=0,_xlfn.XLOOKUP(_xlfn.XLOOKUP(B18,'Base stats'!B:B,'Base stats'!E:E),Groups!A:A,Groups!B:B)&gt;0)),"AnimalUncommon","AnimalCommon"),
IF(AND(_xlfn.XLOOKUP(B18,'Base stats'!B:B,'Base stats'!O:O)=2,_xlfn.XLOOKUP(_xlfn.XLOOKUP(B18,'Base stats'!B:B,'Base stats'!E:E),Groups!A:A,Groups!D:D)=0),"AnimalPet",IF(AND(_xlfn.XLOOKUP(B18,'Base stats'!B:B,'Base stats'!O:O)&lt;&gt;0,_xlfn.XLOOKUP(_xlfn.XLOOKUP(B18,'Base stats'!B:B,'Base stats'!E:E),Groups!A:A,Groups!D:D)&lt;&gt;0),"AnimalFarm","")),
IF(OR(_xlfn.XLOOKUP(B18,'Base stats'!B:B,'Base stats'!AK:AK)=1,AND(BI18&lt;&gt;"None",BR18&gt;=60),ISNUMBER(SEARCH("Attack target",BP18))),"AnimalFighter","")
)))</f>
        <v>AnimalUncommon, AnimalFighter</v>
      </c>
      <c r="BX18" s="25" t="str">
        <f>IF(G18="None",TRIM(
SUBSTITUTE(
IF(COUNTIF(Biomes!B$2:B$259,"="&amp;$C18)&gt;0,Biomes!B$1&amp;", ","")&amp;
IF(COUNTIF(Biomes!C$2:C$259,"="&amp;$C18)&gt;0,Biomes!C$1&amp;", ","")&amp;
IF(COUNTIF(Biomes!D$2:D$259,"="&amp;$C18)&gt;0,Biomes!D$1&amp;", ","")&amp;
IF(COUNTIF(Biomes!F$2:F$259,"="&amp;$C18)&gt;0,Biomes!F$1&amp;", ","")&amp;
IF(COUNTIF(Biomes!G$2:G$259,"="&amp;$C18)&gt;0,Biomes!G$1&amp;", ","")&amp;
IF(COUNTIF(Biomes!H$2:H$259,"="&amp;$C18)&gt;0,Biomes!H$1&amp;", ","")&amp;
IF(COUNTIF(Biomes!I$2:I$259,"="&amp;$C18)&gt;0,Biomes!I$1&amp;", ","")&amp;
IF(COUNTIF(Biomes!J$2:J$259,"="&amp;$C18)&gt;0,Biomes!J$1&amp;", ","")&amp;
IF(COUNTIF(Biomes!M$2:M$259,"="&amp;$C18)&gt;0,Biomes!M$1&amp;", ","")&amp;
IF(COUNTIF(Biomes!N$2:N$259,"="&amp;$C18)&gt;0,Biomes!N$1&amp;", ","")&amp;
IF(COUNTIF(Biomes!O$2:O$259,"="&amp;$C18)&gt;0,Biomes!O$1&amp;", ","")&amp;
IF(COUNTIF(Biomes!P$2:P$259,"="&amp;$C18)&gt;0,Biomes!P$1&amp;", ","")&amp;
IF(COUNTIF(Biomes!K$2:K$259,"="&amp;$C18)&gt;0,Biomes!K$1&amp;", ","")&amp;
IF(COUNTIF(Biomes!Q$3:Q$259,"="&amp;$C18)&gt;0,Biomes!Q$1&amp;", ","")&amp;
IF(COUNTIF(Biomes!L$2:L$259,"="&amp;$C18)&gt;0,Biomes!L$1&amp;", ","")&amp;
IF(COUNTIF(Biomes!E$2:E$259,"="&amp;$C18)&gt;0,Biomes!E$1&amp;", ","")&amp;IF(COUNTIF(Biomes!S$2:S$259,"="&amp;$C18)&gt;0,Biomes!S$1&amp;", ","")&amp;
IF(COUNTIF(Biomes!R$2:R$259,"="&amp;$C18)&gt;0,Biomes!R$1&amp;", ",""),", ","")
),_xlfn.XLOOKUP(B18,B:B,BX:BX))</f>
        <v>TropicalRainforest TropicalSwamp Glowforest</v>
      </c>
      <c r="BY18" s="25" t="str">
        <f>IF(_xlfn.XLOOKUP(B18,'Base stats'!B:B,'Base stats'!AJ:AJ)=1,"true","false")</f>
        <v>false</v>
      </c>
      <c r="BZ18" s="25">
        <f>IF(_xlfn.XLOOKUP(B18,'Base stats'!B:B,'Base stats'!N:N)=1,"No",MAX(0.001,MIN(MROUND(IF(AND(BJ18="True",CC18="False"),POWER(10,3.47*LOG10(_xlfn.XLOOKUP(B18,'Base stats'!B:B,'Base stats'!C:C)*1000)^-0.96),POWER(10,4.15*LOG10(_xlfn.XLOOKUP(B18,'Base stats'!B:B,'Base stats'!C:C)*1000)^-0.73))*IF(_xlfn.XLOOKUP(B18,'Base stats'!B:B,'Base stats'!AK:AK)=1,0.5,1)*IF(_xlfn.XLOOKUP(B18,'Base stats'!B:B,'Base stats'!AM:AM)=1,0.1,1)/100,IF(_xlfn.XLOOKUP(B18,'Base stats'!B:B,'Base stats'!AM:AM)=1,0.001,0.025)),0.5)))</f>
        <v>0.05</v>
      </c>
      <c r="CA18" s="25" t="str">
        <f>IF(P18="Standard","No",MAX(0.001,MIN(MROUND(IF(AND(BJ18="True",CC18="False"),POWER(10,3.47*LOG10(_xlfn.XLOOKUP(B18,'Base stats'!B:B,'Base stats'!C:C)*1000)^-0.96),POWER(10,4.15*LOG10(_xlfn.XLOOKUP(B18,'Base stats'!B:B,'Base stats'!C:C)*1000)^-0.73))*IF(_xlfn.XLOOKUP(B18,'Base stats'!B:B,'Base stats'!AM:AM)=1,0.1,1)*_xlfn.XLOOKUP(B18,'Base stats'!B:B,'Base stats'!R:R)/100,IF(_xlfn.XLOOKUP(B18,'Base stats'!B:B,'Base stats'!AM:AM)=1,0.001,0.025)),0.5)))</f>
        <v>No</v>
      </c>
      <c r="CB18" s="25" t="str">
        <f>IF(_xlfn.XLOOKUP(_xlfn.XLOOKUP(B18,'Base stats'!B:B,'Base stats'!E:E),Groups!A:A,Groups!AJ:AJ)="Mammal","True","False")</f>
        <v>True</v>
      </c>
      <c r="CC18" s="25" t="str">
        <f>IF(OR(_xlfn.XLOOKUP(_xlfn.XLOOKUP(B18,'Base stats'!B:B,'Base stats'!E:E),Groups!A:A,Groups!AJ:AJ)="Reptile",_xlfn.XLOOKUP(_xlfn.XLOOKUP(B18,'Base stats'!B:B,'Base stats'!E:E),Groups!A:A,Groups!AJ:AJ)="Amphibian",_xlfn.XLOOKUP(_xlfn.XLOOKUP(B18,'Base stats'!B:B,'Base stats'!E:E),Groups!A:A,Groups!AJ:AJ)="Invertebrate"),"True","False")</f>
        <v>False</v>
      </c>
      <c r="CD18" s="25" t="str">
        <f t="shared" si="6"/>
        <v>False</v>
      </c>
      <c r="CE18" s="25" t="str">
        <f>IF(_xlfn.XLOOKUP(_xlfn.XLOOKUP(B18,'Base stats'!B:B,'Base stats'!E:E),Groups!A:A,Groups!AX:AX),"True","False")</f>
        <v>False</v>
      </c>
      <c r="CF18" s="25" t="str">
        <f>IF(_xlfn.XLOOKUP(_xlfn.XLOOKUP(B18,'Base stats'!B:B,'Base stats'!E:E),Groups!A:A,Groups!AY:AY),"True","False")</f>
        <v>False</v>
      </c>
      <c r="CG18" s="25" t="str">
        <f>IF(_xlfn.XLOOKUP(_xlfn.XLOOKUP(B18,'Base stats'!B:B,'Base stats'!E:E),Groups!A:A,Groups!AW:AW),"True","False")</f>
        <v>False</v>
      </c>
      <c r="CH18" s="25" t="str">
        <f>IF(
OR(
_xlfn.XLOOKUP(_xlfn.XLOOKUP(B18,'Base stats'!B:B,'Base stats'!E:E),Groups!A:A,Groups!AZ:AZ)=0,
AND(
_xlfn.XLOOKUP(B18,'Base stats'!B:B,'Base stats'!Y:Y)&lt;&gt;"Carnivore",
_xlfn.XLOOKUP(B18,'Base stats'!B:B,'Base stats'!Y:Y)&lt;&gt;"Omnivore",
_xlfn.XLOOKUP(B18,'Base stats'!B:B,'Base stats'!Y:Y)&lt;&gt;"OmnivoreRough"
)
),
"No",
IF(
_xlfn.XLOOKUP(_xlfn.XLOOKUP(B18,'Base stats'!B:B,'Base stats'!E:E),Groups!A:A,Groups!AZ:AZ)=1,
"Flesh",
IF(
_xlfn.XLOOKUP(_xlfn.XLOOKUP(B18,'Base stats'!B:B,'Base stats'!E:E),Groups!A:A,Groups!AZ:AZ)=2,
"Bone",
""
)
)
)</f>
        <v>No</v>
      </c>
      <c r="CI18" s="25" t="str">
        <f>IF(_xlfn.XLOOKUP(_xlfn.XLOOKUP(B18,'Base stats'!B:B,'Base stats'!E:E),Groups!A:A,Groups!BB:BB),"True","False")</f>
        <v>True</v>
      </c>
      <c r="CJ18" s="25" t="str">
        <f>IF(_xlfn.XLOOKUP(_xlfn.XLOOKUP(B18,'Base stats'!B:B,'Base stats'!E:E),Groups!A:A,Groups!BA:BA),"True","False")</f>
        <v>False</v>
      </c>
      <c r="CO18" s="16"/>
    </row>
    <row r="19" spans="1:93" ht="16.5" thickTop="1" thickBot="1" x14ac:dyDescent="0.3">
      <c r="A19" s="26" t="str">
        <f>_xlfn.XLOOKUP(B19,'Base stats'!B:B,'Base stats'!A:A)</f>
        <v>Lynx</v>
      </c>
      <c r="B19" s="6" t="s">
        <v>83</v>
      </c>
      <c r="C19" s="28" t="s">
        <v>692</v>
      </c>
      <c r="D19" s="28" t="s">
        <v>45</v>
      </c>
      <c r="E19" s="28" t="s">
        <v>673</v>
      </c>
      <c r="F19" s="28" t="s">
        <v>673</v>
      </c>
      <c r="G19" s="28" t="s">
        <v>673</v>
      </c>
      <c r="H19" s="2">
        <f>MROUND((
  (IF(AND(_xlfn.XLOOKUP(B19,'Base stats'!B:B,'Base stats'!AL:AL)=0,BI19="None",_xlfn.XLOOKUP(_xlfn.XLOOKUP(B19,'Base stats'!B:B,'Base stats'!E:E),Groups!A:A,Groups!B:B)=0), (18 + BR19 * 2.7) * 0.5,
    IF(AND(_xlfn.XLOOKUP(B19,'Base stats'!B:B,'Base stats'!AL:AL)=0,OR(AO19&lt;0.55,AND(BI19="Intermediate",_xlfn.XLOOKUP(_xlfn.XLOOKUP(B19,'Base stats'!B:B,'Base stats'!E:E),Groups!A:A,Groups!B:B)&lt;2))), (18 + BR19 * 2.7),
      IF(OR(BI19="Advanced",_xlfn.XLOOKUP(B19,'Base stats'!B:B,'Base stats'!AL:AL)=1,_xlfn.XLOOKUP(_xlfn.XLOOKUP(B19,'Base stats'!B:B,'Base stats'!E:E),Groups!A:A,Groups!B:B)=2), (18 + BR19 * 2.7) + 250, (18 + BR19 * 2.7))
    )
  ))
  + AO19 * 80
  + IF(COUNTIF(EggMilk!K$2:K$998, A19) &gt; 0, 125, 0)
  + IF(COUNTIF(EggMilk!P$2:P$998, A19) &gt; 0, 90, 0)
  + IF(COUNTIF(EggMilk!A$2:A$998, A19) &gt; 0, 90, 0)
)
* (0.8 + 0.4 * J19)
* 0.75,25)</f>
        <v>425</v>
      </c>
      <c r="I19" s="2">
        <f>MROUND(ROUNDDOWN(_xlfn.XLOOKUP(B19,'Base stats'!B:B,'Base stats'!L:L)/3.6/(23.3/11),1),0.5)</f>
        <v>6.5</v>
      </c>
      <c r="J19" s="2">
        <f>IF(OR(_xlfn.XLOOKUP(B19,'Base stats'!B:B,'Base stats'!AB:AB)=1,_xlfn.XLOOKUP(_xlfn.XLOOKUP(B19,'Base stats'!B:B,'Base stats'!E:E),Groups!A:A,Groups!C:C)="Untamable"),1,IF(_xlfn.XLOOKUP(B19,'Base stats'!B:B,'Base stats'!AL:AL)=1,0.99,MIN(MROUND((1-0.6282*EXP(-0.459*AO19))*_xlfn.XLOOKUP(_xlfn.XLOOKUP(B19,'Base stats'!B:B,'Base stats'!E:E),Groups!A:A,Groups!C:C)*IF(_xlfn.XLOOKUP(B19,'Base stats'!B:B,'Base stats'!O:O)=1,0.5,IF(_xlfn.XLOOKUP(B19,'Base stats'!B:B,'Base stats'!O:O)=2,0,1)),0.05),IF(AO19&gt;3.5,0.985,0.95))))</f>
        <v>0.65</v>
      </c>
      <c r="K19" s="2">
        <f>ROUNDUP(AO19*_xlfn.XLOOKUP(_xlfn.XLOOKUP(B19,'Base stats'!B:B,'Base stats'!E:E),Groups!A:A,Groups!E:E),0)</f>
        <v>1</v>
      </c>
      <c r="L19" s="2">
        <f>IF(OR(_xlfn.XLOOKUP(_xlfn.XLOOKUP(B19,'Base stats'!B:B,'Base stats'!E:E),Groups!A:A,Groups!F:F)=2,ISNUMBER(SEARCH("SeaIce",BX19)),ISNUMBER(SEARCH("IceSheet",BX19))),-50,IF(OR(ISNUMBER(SEARCH("GlacialPlain",BX19)),ISNUMBER(SEARCH("Tundra",BX19))),-40,IF(OR(ISNUMBER(SEARCH("Alpine",BX19)),ISNUMBER(SEARCH("BorealForest",BX19)),ISNUMBER(SEARCH("ColdBog",BX19))),-30,IF(OR(ISNUMBER(SEARCH("TemperateForest",BX19)),ISNUMBER(SEARCH("TemperateSwamp",BX19))),-20,IF(_xlfn.XLOOKUP(_xlfn.XLOOKUP(B19,'Base stats'!B:B,'Base stats'!E:E),Groups!A:A,Groups!F:F)=1,-15,IF(OR(ISNUMBER(SEARCH("Desert",BX19)),ISNUMBER(SEARCH("ExtremeDesert",BX19))),-10,IF(OR(ISNUMBER(SEARCH("Grasslands",BX19)),ISNUMBER(SEARCH("TropicalRainforest",BX19)),ISNUMBER(SEARCH("TropicalSwamp",BX19))),10,0)))))))-IF(CC19="False",MIN(IFERROR(MAX(MROUND(LOG10(_xlfn.XLOOKUP(B19,'Base stats'!B:B,'Base stats'!C:C)^(2/3))*10,5),5),5),30))-_xlfn.XLOOKUP(B19,'Base stats'!B:B,'Base stats'!P:P)+IF(CC19="True",5,0)</f>
        <v>-50</v>
      </c>
      <c r="M19" s="2">
        <f>IF(OR(_xlfn.XLOOKUP(_xlfn.XLOOKUP(B19,'Base stats'!B:B,'Base stats'!E:E),Groups!A:A,Groups!G:G)=2,ISNUMBER(SEARCH("Desert",BX19)),ISNUMBER(SEARCH("ExtremeDesert",BX19)),ISNUMBER(SEARCH("LavaField",BX19))),50,IF(ISNUMBER(SEARCH("Grasslands",BX19)),45,IF(OR(_xlfn.XLOOKUP(_xlfn.XLOOKUP(B19,'Base stats'!B:B,'Base stats'!E:E),Groups!A:A,Groups!G:G)=1,ISNUMBER(SEARCH("TropicalRainforest",BX19)),ISNUMBER(SEARCH("TropicalSwamp",BX19))),40,IF(OR(ISNUMBER(SEARCH("TemperateForest",BX19)),ISNUMBER(SEARCH("TemperateSwamp",BX19))),35,IF(OR(ISNUMBER(SEARCH("Alpine",BX19)),ISNUMBER(SEARCH("BorealForest",BX19)),ISNUMBER(SEARCH("ColdBog",BX19))),30,IF(ISNUMBER(OR(ISNUMBER(SEARCH("GlacialPlain",BX19)),SEARCH("Tundra",BX19))),25,IF(OR(ISNUMBER(SEARCH("SeaIce",BX19)),ISNUMBER(SEARCH("IceSheet",BX19)),ISNUMBER(SEARCH("TropicalSwamp",BX19))),10,35)))))))+_xlfn.XLOOKUP(B19,'Base stats'!B:B,'Base stats'!Q:Q)</f>
        <v>40</v>
      </c>
      <c r="N19" s="8" t="str">
        <f>IF(
_xlfn.XLOOKUP(
_xlfn.XLOOKUP(B19,'Base stats'!B:B,'Base stats'!E:E),
Groups!A:A,
Groups!L:L
)=1,
MIN(
MROUND(
IF(
_xlfn.XLOOKUP(B19,'Animals CE'!B:B,'Animals CE'!Z:Z)&lt;=1.5,
_xlfn.XLOOKUP(B19,'Animals CE'!B:B,'Animals CE'!Z:Z)/2+0.05,
0.8+
(_xlfn.XLOOKUP(B19,'Animals CE'!B:B,'Animals CE'!Z:Z)-1.5)
*0.02
),
0.05
),
200%
),
"No"
)</f>
        <v>No</v>
      </c>
      <c r="O19" s="8" t="str">
        <f>IF(
_xlfn.XLOOKUP(
_xlfn.XLOOKUP(B19,'Base stats'!B:B,'Base stats'!E:E),
Groups!A:A,
Groups!L:L
)=1,
MIN(
MROUND(
IF(
_xlfn.XLOOKUP(B19,'Animals CE'!B:B,'Animals CE'!AA:AA)&lt;=1.5,
_xlfn.XLOOKUP(B19,'Animals CE'!B:B,'Animals CE'!AA:AA)/2+0.05,
0.8+
(_xlfn.XLOOKUP(B19,'Animals CE'!B:B,'Animals CE'!AA:AA)-1.5)
*0.02
),
0.05
),
200%
),
"No"
)</f>
        <v>No</v>
      </c>
      <c r="P19" s="2" t="str">
        <f>_xlfn.XLOOKUP(B19,'Base stats'!B:B,'Base stats'!R:R)</f>
        <v>Standard</v>
      </c>
      <c r="Q19" s="13">
        <f>MROUND((LOG10(_xlfn.XLOOKUP(B19,'Base stats'!B:B,'Base stats'!AR:AR))*(AO19^0.5)+(_xlfn.XLOOKUP(B19,'Base stats'!B:B,'Base stats'!AR:AR)/1000)^(2/3)+_xlfn.XLOOKUP(B19,'Base stats'!B:B,'Base stats'!BA:BA)/2)+0.5,0.5)</f>
        <v>5</v>
      </c>
      <c r="R19" s="7">
        <f>IF(Q19="No","No",MAX(1,MROUND(_xlfn.XLOOKUP(B19,'Base stats'!B:B,'Base stats'!C:C)^0.165,0.05)))</f>
        <v>1.7000000000000002</v>
      </c>
      <c r="S19" s="13" t="str">
        <f>IF(_xlfn.XLOOKUP(_xlfn.XLOOKUP(B19,'Base stats'!B:B,'Base stats'!E:E),Groups!A:A,Groups!P:P)=0,"No",MROUND((LOG10(_xlfn.XLOOKUP(B19,'Base stats'!B:B,'Base stats'!AS:AS))*(AO19^0.5)+(_xlfn.XLOOKUP(B19,'Base stats'!B:B,'Base stats'!AS:AS)/1000)^(2/3)+_xlfn.XLOOKUP(B19,'Base stats'!B:B,'Base stats'!BA:BA))+_xlfn.XLOOKUP(B19,'Base stats'!B:B,'Base stats'!AY:AY)+0.5,0.5))</f>
        <v>No</v>
      </c>
      <c r="T19" s="7" t="str">
        <f>IF(S19="No","No",MAX(_xlfn.XLOOKUP(_xlfn.XLOOKUP(B19,'Base stats'!B:B,'Base stats'!E:E),Groups!A:A,Groups!Q:Q),MROUND(_xlfn.XLOOKUP(_xlfn.XLOOKUP(B19,'Base stats'!B:B,'Base stats'!E:E),Groups!A:A,Groups!Q:Q)*_xlfn.XLOOKUP(B19,'Base stats'!B:B,'Base stats'!C:C)^0.165,0.05)))</f>
        <v>No</v>
      </c>
      <c r="U19" s="7" t="str">
        <f>IF(S19="No","No",_xlfn.XLOOKUP(_xlfn.XLOOKUP(B19,'Base stats'!B:B,'Base stats'!E:E),Groups!A:A,Groups!R:R))</f>
        <v>No</v>
      </c>
      <c r="V19" s="7" t="str">
        <f>IF(S19="No","No",_xlfn.XLOOKUP(_xlfn.XLOOKUP(B19,'Base stats'!B:B,'Base stats'!E:E),Groups!A:A,Groups!S:S))</f>
        <v>No</v>
      </c>
      <c r="W19" s="7" t="str">
        <f>IF(S19="No","No",_xlfn.XLOOKUP(_xlfn.XLOOKUP(B19,'Base stats'!B:B,'Base stats'!E:E),Groups!A:A,Groups!T:T))</f>
        <v>No</v>
      </c>
      <c r="X19" s="13" t="str">
        <f>IF(_xlfn.XLOOKUP(B19,'Base stats'!B:B,'Base stats'!W:W)="No","No",MROUND((LOG10(_xlfn.XLOOKUP(B19,'Base stats'!B:B,'Base stats'!AU:AU))*(AO19^0.5)+(_xlfn.XLOOKUP(B19,'Base stats'!B:B,'Base stats'!AU:AU)/1000)^(2/3)+_xlfn.XLOOKUP(B19,'Base stats'!B:B,'Base stats'!AZ:AZ))+0.5+IF(_xlfn.XLOOKUP(_xlfn.XLOOKUP(B19,'Base stats'!B:B,'Base stats'!E:E),Groups!A:A,Groups!U:U)&lt;&gt;3,_xlfn.XLOOKUP(B19,'Base stats'!B:B,'Base stats'!BA:BA),0),0.5))</f>
        <v>No</v>
      </c>
      <c r="Y19" s="7" t="str">
        <f>IF(X19="No","No",MAX(_xlfn.XLOOKUP(_xlfn.XLOOKUP(B19,'Base stats'!B:B,'Base stats'!E:E),Groups!A:A,Groups!V:V),MROUND(_xlfn.XLOOKUP(_xlfn.XLOOKUP(B19,'Base stats'!B:B,'Base stats'!E:E),Groups!A:A,Groups!V:V)*_xlfn.XLOOKUP(B19,'Base stats'!B:B,'Base stats'!C:C)^0.165,0.05)))</f>
        <v>No</v>
      </c>
      <c r="Z19" s="7" t="str">
        <f>IF(X19="No","No",_xlfn.XLOOKUP(_xlfn.XLOOKUP(B19,'Base stats'!B:B,'Base stats'!E:E),Groups!A:A,Groups!W:W))</f>
        <v>No</v>
      </c>
      <c r="AA19" s="7" t="str">
        <f>IF(X19="No","No",_xlfn.XLOOKUP(_xlfn.XLOOKUP(B19,'Base stats'!B:B,'Base stats'!E:E),Groups!A:A,Groups!X:X))</f>
        <v>No</v>
      </c>
      <c r="AB19" s="7" t="str">
        <f>IF(X19="No","No",_xlfn.XLOOKUP(_xlfn.XLOOKUP(B19,'Base stats'!B:B,'Base stats'!E:E),Groups!A:A,Groups!Y:Y))</f>
        <v>No</v>
      </c>
      <c r="AC19" s="7" t="str">
        <f>_xlfn.XLOOKUP(Animals!B19,'Base stats'!B:B,'Base stats'!X:X)</f>
        <v>False</v>
      </c>
      <c r="AD19" s="13">
        <f>IF(_xlfn.XLOOKUP(B19,'Base stats'!B:B,'Base stats'!AT:AT)="No","No",MROUND((LOG10(_xlfn.XLOOKUP(B19,'Base stats'!B:B,'Base stats'!AT:AT))*(AO19^0.75)+(_xlfn.XLOOKUP(B19,'Base stats'!B:B,'Base stats'!AT:AT)/1000)^(2/3)+_xlfn.XLOOKUP(B19,'Base stats'!B:B,'Base stats'!AX:AX)+_xlfn.XLOOKUP(B19,'Base stats'!B:B,'Base stats'!BA:BA))+0.5,0.5))</f>
        <v>8.5</v>
      </c>
      <c r="AE19" s="7">
        <f>IF(AD19="No","No",MAX(_xlfn.XLOOKUP(_xlfn.XLOOKUP(B19,'Base stats'!B:B,'Base stats'!E:E),Groups!A:A,Groups!Z:Z),MROUND(_xlfn.XLOOKUP(_xlfn.XLOOKUP(B19,'Base stats'!B:B,'Base stats'!E:E),Groups!A:A,Groups!Z:Z)*_xlfn.XLOOKUP(B19,'Base stats'!B:B,'Base stats'!C:C)^0.165,0.05)))</f>
        <v>1.1500000000000001</v>
      </c>
      <c r="AF19" s="7" t="str">
        <f>IF(AD19="No","No",_xlfn.XLOOKUP(_xlfn.XLOOKUP(B19,'Base stats'!B:B,'Base stats'!E:E),Groups!A:A,Groups!AA:AA))</f>
        <v>Teeth</v>
      </c>
      <c r="AG19" s="7" t="str">
        <f>IF(AD19="No","No",_xlfn.XLOOKUP(_xlfn.XLOOKUP(B19,'Base stats'!B:B,'Base stats'!E:E),Groups!A:A,Groups!AB:AB))</f>
        <v>canines</v>
      </c>
      <c r="AH19" s="7" t="str">
        <f>IF(AD19="No","No",_xlfn.XLOOKUP(_xlfn.XLOOKUP(B19,'Base stats'!B:B,'Base stats'!E:E),Groups!A:A,Groups!AC:AC))</f>
        <v>Bite</v>
      </c>
      <c r="AI19" s="13">
        <f>IF(_xlfn.XLOOKUP(_xlfn.XLOOKUP(B19,'Base stats'!B:B,'Base stats'!E:E),Groups!A:A,Groups!AD:AD)=0,"No",MROUND((LOG10(_xlfn.XLOOKUP(B19,'Base stats'!B:B,'Base stats'!AS:AS))*(AO19^0.75)+(_xlfn.XLOOKUP(B19,'Base stats'!B:B,'Base stats'!AS:AS)/1000)^(2/3)+_xlfn.XLOOKUP(B19,'Base stats'!B:B,'Base stats'!AY:AY)+_xlfn.XLOOKUP(B19,'Base stats'!B:B,'Base stats'!BA:BA))+0.5,0.5))</f>
        <v>7.5</v>
      </c>
      <c r="AJ19" s="7">
        <f>IF(AI19="No","No",MAX(_xlfn.XLOOKUP(_xlfn.XLOOKUP(B19,'Base stats'!B:B,'Base stats'!E:E),Groups!A:A,Groups!AE:AE),MROUND(_xlfn.XLOOKUP(_xlfn.XLOOKUP(B19,'Base stats'!B:B,'Base stats'!E:E),Groups!A:A,Groups!AE:AE)*IF(_xlfn.XLOOKUP(_xlfn.XLOOKUP(B19,'Base stats'!B:B,'Base stats'!E:E),Groups!A:A,Groups!AJ:AJ)="Photonozoa",0.6,1)*_xlfn.XLOOKUP(B19,'Base stats'!B:B,'Base stats'!C:C)^0.165,0.05)))</f>
        <v>1.1000000000000001</v>
      </c>
      <c r="AK19" s="7" t="str">
        <f>IF(AI19="No","No",_xlfn.XLOOKUP(_xlfn.XLOOKUP(B19,'Base stats'!B:B,'Base stats'!E:E),Groups!A:A,Groups!AF:AF))</f>
        <v>FrontLeftPaw, FrontRightPaw</v>
      </c>
      <c r="AL19" s="7" t="str">
        <f>IF(AI19="No","No",_xlfn.XLOOKUP(_xlfn.XLOOKUP(B19,'Base stats'!B:B,'Base stats'!E:E),Groups!A:A,Groups!AG:AG))</f>
        <v>left claw, right claw</v>
      </c>
      <c r="AM19" s="7" t="str">
        <f>IF(AI19="No","No",_xlfn.XLOOKUP(_xlfn.XLOOKUP(B19,'Base stats'!B:B,'Base stats'!E:E),Groups!A:A,Groups!AH:AH))</f>
        <v>Scratch</v>
      </c>
      <c r="AN19" s="2">
        <f t="shared" si="0"/>
        <v>20</v>
      </c>
      <c r="AO19" s="2">
        <f>MROUND(IF(AND(_xlfn.XLOOKUP(B19,'Base stats'!B:B,'Base stats'!C:C)&gt;=0.5,_xlfn.XLOOKUP(B19,'Base stats'!B:B,'Base stats'!C:C)&lt;=0.8),
IF(_xlfn.XLOOKUP(B19,'Base stats'!B:B,'Base stats'!C:C)&lt;0.1,0.05,IF(_xlfn.XLOOKUP(B19,'Base stats'!B:B,'Base stats'!C:C)&lt;=70,(_xlfn.XLOOKUP(B19,'Base stats'!B:B,'Base stats'!C:C)/70)^0.426489913056526,IF(_xlfn.XLOOKUP(B19,'Base stats'!B:B,'Base stats'!C:C)&lt;=400,(_xlfn.XLOOKUP(B19,'Base stats'!B:B,'Base stats'!C:C)/70)^0.572811455315093,IF(_xlfn.XLOOKUP(B19,'Base stats'!B:B,'Base stats'!C:C)&lt;=2000,2.71391647193063*(_xlfn.XLOOKUP(B19,'Base stats'!B:B,'Base stats'!C:C)/400)^0.252459582904293,3.74314280240376*(_xlfn.XLOOKUP(B19,'Base stats'!B:B,'Base stats'!C:C)/2000)^0.357012633876913)))),
IF(_xlfn.XLOOKUP(B19,'Base stats'!B:B,'Base stats'!C:C)&lt;0.1,0.05,IF(_xlfn.XLOOKUP(B19,'Base stats'!B:B,'Base stats'!C:C)&lt;0.4,0.1,IF(_xlfn.XLOOKUP(B19,'Base stats'!B:B,'Base stats'!C:C)&lt;=70,(_xlfn.XLOOKUP(B19,'Base stats'!B:B,'Base stats'!C:C)/70)^0.445823913056526,IF(_xlfn.XLOOKUP(B19,'Base stats'!B:B,'Base stats'!C:C)&lt;=400,(_xlfn.XLOOKUP(B19,'Base stats'!B:B,'Base stats'!C:C)/70)^0.572811455315093,IF(_xlfn.XLOOKUP(B19,'Base stats'!B:B,'Base stats'!C:C)&lt;=2000,2.71391647193063*(_xlfn.XLOOKUP(B19,'Base stats'!B:B,'Base stats'!C:C)/400)^0.252459582904293,3.74314280240376*(_xlfn.XLOOKUP(B19,'Base stats'!B:B,'Base stats'!C:C)/2000)^0.357012633876913)))))),
IF(_xlfn.XLOOKUP(B19,'Base stats'!B:B,'Base stats'!C:C)&lt;0.1,0.05,IF(_xlfn.XLOOKUP(B19,'Base stats'!B:B,'Base stats'!C:C)&lt;=100,0.05,IF(_xlfn.XLOOKUP(B19,'Base stats'!B:B,'Base stats'!C:C)&lt;=250,0.1,IF(_xlfn.XLOOKUP(B19,'Base stats'!B:B,'Base stats'!C:C)&lt;=4000,0.25,0.5)))))</f>
        <v>0.60000000000000009</v>
      </c>
      <c r="AP19" s="8">
        <f>MROUND(AO19*_xlfn.XLOOKUP(_xlfn.XLOOKUP(B19,'Base stats'!B:B,'Base stats'!E:E),Groups!A:A,Groups!AI:AI)*_xlfn.XLOOKUP(B19,'Base stats'!B:B,'Base stats'!Z:Z),0.05)</f>
        <v>0.70000000000000007</v>
      </c>
      <c r="AQ19" s="8">
        <f>MAX(0.01,MROUND(IF(CC19="True",0.196*(AO19*100*1000)^0.889,IF(_xlfn.XLOOKUP(_xlfn.XLOOKUP(B19,'Base stats'!B:B,'Base stats'!E:E),Groups!A:A,Groups!AJ:AJ)="Bird",10.5*(AO19*100*1000)^0.681,4.82*(AO19*100*1000)^0.734))/(4.82*(1*100*1000)^0.734)/IF(AO19&lt;3.5,2,IF(AO19=3.5,1.5,1.25))*(1+0.132282374779864/(AO19^0.994035016789033+0.00905238001496948)),0.05))</f>
        <v>0.4</v>
      </c>
      <c r="AR19" s="9">
        <f>IFERROR(MROUND(_xlfn.XLOOKUP(B19,'Base stats'!B:B,'Base stats'!H:H)/IF(_xlfn.XLOOKUP(B19,'Base stats'!B:B,'Base stats'!I:I)&lt;&gt;1,(122.5/70),1.2),IF(_xlfn.XLOOKUP(B19,'Base stats'!B:B,'Base stats'!H:H)&gt;=30,5,IF(_xlfn.XLOOKUP(B19,'Base stats'!B:B,'Base stats'!H:H)&gt;=15,3,IF(_xlfn.XLOOKUP(B19,'Base stats'!B:B,'Base stats'!H:H)&gt;=10,2,1)))),"Immortal")</f>
        <v>15</v>
      </c>
      <c r="AS19" s="35">
        <f>IFERROR(IF(OR(_xlfn.XLOOKUP(B19,'Base stats'!B:B,'Base stats'!F:F)="Atypical reproduction",_xlfn.XLOOKUP(B19,'Base stats'!B:B,'Base stats'!F:F)="Lay eggs"),"Lay eggs",MIN(20,MAX(5.5,ROUND(((_xlfn.XLOOKUP(B19,'Base stats'!B:B,'Base stats'!F:F)-25)*(14.5/615) + 5.5)*2,0)/2))),"Unknown")</f>
        <v>6.5</v>
      </c>
      <c r="AT19" s="8">
        <f>IF(_xlfn.XLOOKUP(B19,'Base stats'!B:B,'Base stats'!G:G)="Atypical reproduction","No",IFERROR(MAX(IF(_xlfn.XLOOKUP(B19,'Base stats'!B:B,'Base stats'!G:G)&lt;0.5,0.2,0.3),MROUND(_xlfn.XLOOKUP(B19,'Base stats'!B:B,'Base stats'!G:G)/(365/60),0.2)),"Unknown"))</f>
        <v>0.3</v>
      </c>
      <c r="AU19" s="8">
        <f t="shared" si="1"/>
        <v>0.15000000000000002</v>
      </c>
      <c r="AV19" s="8">
        <f>IFERROR(IFERROR(MROUND(_xlfn.XLOOKUP(B19,'Base stats'!B:B,'Base stats'!J:J),0.1),"Lay eggs"),"Cannot breed")</f>
        <v>2</v>
      </c>
      <c r="AW19" s="2" t="str">
        <f t="shared" si="2"/>
        <v>false</v>
      </c>
      <c r="AX19" s="2" t="str">
        <f>IF(_xlfn.XLOOKUP(_xlfn.XLOOKUP(Animals!B19,'Base stats'!B:B,'Base stats'!E:E),Groups!A:A,Groups!AK:AK)=1,"true","false")</f>
        <v>false</v>
      </c>
      <c r="AY19" s="25" t="str">
        <f>IF(_xlfn.XLOOKUP(B19,'Base stats'!B:B,'Base stats'!Y:Y)="Liquor","Liquor, CarnivoreAnimalStrict",IF(AND(_xlfn.XLOOKUP(B19,'Base stats'!B:B,'Base stats'!Y:Y)="Carnivore",_xlfn.XLOOKUP(_xlfn.XLOOKUP(B19,'Base stats'!B:B,'Base stats'!E:E),Groups!A:A,Groups!AJ:AJ)="Photonozoa"),"CarnivoreAnimalStrict, OvivoreAnimal",IF(_xlfn.XLOOKUP(B19,'Base stats'!B:B,'Base stats'!Y:Y)="Carnivore","CarnivoreAnimal, OvivoreAnimal",IF(_xlfn.XLOOKUP(B19,'Base stats'!B:B,'Base stats'!Y:Y)="Dendrovore","VegetarianRoughAnimal, DendrovoreAnimal",IF(_xlfn.XLOOKUP(B19,'Base stats'!B:B,'Base stats'!Y:Y)="Herbivore","VegetarianRoughAnimal",IF(_xlfn.XLOOKUP(B19,'Base stats'!B:B,'Base stats'!Y:Y)="OmnivoreRough","OmnivoreRoughAnimal, OvivoreAnimal","OmnivoreAnimal, OvivoreAnimal"))))))</f>
        <v>CarnivoreAnimal, OvivoreAnimal</v>
      </c>
      <c r="AZ19" s="2" t="str">
        <f>IF(_xlfn.XLOOKUP(_xlfn.XLOOKUP(B19,'Base stats'!B:B,'Base stats'!E:E),Groups!A:A,Groups!D:D)=1,MROUND((1-J19)*5+1,2)*IF(J19&lt;=0.4,2,1),"No")</f>
        <v>No</v>
      </c>
      <c r="BA19" s="2" t="str">
        <f>IF(AND(_xlfn.XLOOKUP(B19,'Base stats'!B:B,'Base stats'!AH:AH)="&lt;li&gt;Seal&lt;/li&gt;",G19="Odyssey"),"&lt;li&gt;AEXP_Seal&lt;/li&gt;",_xlfn.XLOOKUP(B19,'Base stats'!B:B,'Base stats'!AH:AH))</f>
        <v>No</v>
      </c>
      <c r="BB19" s="2" t="str">
        <f>_xlfn.XLOOKUP(B19,'Base stats'!B:B,'Base stats'!AG:AG)</f>
        <v>Leather_Panthera</v>
      </c>
      <c r="BC19" s="23" t="str">
        <f>_xlfn.XLOOKUP(_xlfn.XLOOKUP(B19,'Base stats'!B:B,'Base stats'!E:E),Groups!A:A,Groups!AL:AL)</f>
        <v>QuadrupedAnimalWithPawsAndTail</v>
      </c>
      <c r="BD19" s="23">
        <f>MIN(1,MROUND(IF(AND(AO19&lt;0.5,_xlfn.XLOOKUP(B19,'Base stats'!B:B,'Base stats'!AA:AA)=0),0,IF(OR(_xlfn.XLOOKUP(Animals!B19,'Base stats'!B:B,'Base stats'!O:O)=2,_xlfn.XLOOKUP(_xlfn.XLOOKUP(B19,'Base stats'!B:B,'Base stats'!E:E),Groups!A:A,Groups!AN:AN)=0),0,_xlfn.XLOOKUP(_xlfn.XLOOKUP(B19,'Base stats'!B:B,'Base stats'!E:E),Groups!A:A,Groups!AN:AN)/IF(_xlfn.XLOOKUP(Animals!B19,'Base stats'!B:B,'Base stats'!O:O)=1,2,1)))+_xlfn.XLOOKUP(B19,'Base stats'!B:B,'Base stats'!AC:AC),0.005))</f>
        <v>0.1</v>
      </c>
      <c r="BE19" s="23">
        <f>MIN(1,MROUND(IF(AND(AO19&lt;0.5,_xlfn.XLOOKUP(B19,'Base stats'!B:B,'Base stats'!AA:AA)=0),0,IF(_xlfn.XLOOKUP(_xlfn.XLOOKUP(B19,'Base stats'!B:B,'Base stats'!E:E),Groups!A:A,Groups!AO:AO)=0,0,_xlfn.XLOOKUP(_xlfn.XLOOKUP(B19,'Base stats'!B:B,'Base stats'!E:E),Groups!A:A,Groups!AO:AO)/IF(_xlfn.XLOOKUP(Animals!B19,'Base stats'!B:B,'Base stats'!O:O)=2,3,1)))+_xlfn.XLOOKUP(B19,'Base stats'!B:B,'Base stats'!AD:AD),0.005))</f>
        <v>0.3</v>
      </c>
      <c r="BF19" s="2" t="str">
        <f>IF(J19&gt;0.3,"No",_xlfn.XLOOKUP(_xlfn.XLOOKUP(Animals!B19,'Base stats'!B:B,'Base stats'!E:E),Groups!A:A,Groups!AP:AP))</f>
        <v>No</v>
      </c>
      <c r="BG19" s="2">
        <f>IF(AND(J19&lt;=0.65,_xlfn.XLOOKUP(_xlfn.XLOOKUP(Animals!B19,'Base stats'!B:B,'Base stats'!E:E),Groups!A:A,Groups!AP:AP)&lt;&gt;"No",_xlfn.XLOOKUP(_xlfn.XLOOKUP(B19,'Base stats'!B:B,'Base stats'!E:E),Groups!A:A,Groups!D:D)=0),MROUND((80/3)*IF(_xlfn.XLOOKUP(B19,'Base stats'!B:B,'Base stats'!O:O)=2,0.2,AO19) + 24*(1-IF(BF19="No",0,BF19)) + 16/3, 12),"No")</f>
        <v>48</v>
      </c>
      <c r="BH19" s="2">
        <f>IF(AND(_xlfn.XLOOKUP(_xlfn.XLOOKUP(B19,'Base stats'!B:B,'Base stats'!E:E),Groups!A:A,Groups!AQ:AQ)=1,AO19&lt;=0.35),8,12)</f>
        <v>12</v>
      </c>
      <c r="BI19" s="2" t="str">
        <f>IF(_xlfn.XLOOKUP(_xlfn.XLOOKUP(B19,'Base stats'!B:B,'Base stats'!E:E),Groups!A:A,Groups!D:D)=0,_xlfn.XLOOKUP(_xlfn.XLOOKUP(B19,'Base stats'!B:B,'Base stats'!E:E),Groups!A:A,Groups!AR:AR),"None")</f>
        <v>Intermediate</v>
      </c>
      <c r="BJ19" s="2" t="str">
        <f>IF(AND(_xlfn.XLOOKUP(_xlfn.XLOOKUP(B19,'Base stats'!B:B,'Base stats'!E:E),Groups!A:A,Groups!AS:AS)=1,OR(_xlfn.XLOOKUP(B19,'Base stats'!B:B,'Base stats'!Y:Y)="Carnivore",_xlfn.XLOOKUP(B19,'Base stats'!B:B,'Base stats'!Y:Y)="Omnivore")),"true","false")</f>
        <v>true</v>
      </c>
      <c r="BK19" s="2">
        <f>IF(BJ19="true",MROUND(IF(AND(AO19&gt;0.5,OR(_xlfn.XLOOKUP(_xlfn.XLOOKUP(B19,'Base stats'!B:B,'Base stats'!E:E),Groups!A:A,Groups!AJ:AJ)="Photonozoa",_xlfn.XLOOKUP(_xlfn.XLOOKUP(B19,'Base stats'!B:B,'Base stats'!E:E),Groups!A:A,Groups!AJ:AJ)="Mammal")),Animals!AO19*1.75*IF(AW19="true",1.5,1),IF(AO19&lt;0.5,Animals!AO19*0.5,Animals!AO19)),IF(AO19&gt;2,0.5,IF(AO19&gt;0.5,0.25,0.1))),"No")</f>
        <v>1</v>
      </c>
      <c r="BL19" s="2">
        <f t="shared" si="3"/>
        <v>1</v>
      </c>
      <c r="BM19" s="25" t="str">
        <f>IF(_xlfn.XLOOKUP(B19,'Base stats'!B:B,'Base stats'!AN:AN)="Standard","No",MROUND((_xlfn.XLOOKUP(B19,'Base stats'!B:B,'Base stats'!AN:AN)/3.6)/I19,0.1))</f>
        <v>No</v>
      </c>
      <c r="BN19" s="25" t="str">
        <f t="shared" si="4"/>
        <v>false</v>
      </c>
      <c r="BO19" s="25" t="str">
        <f>IF(AND(OR(_xlfn.XLOOKUP(B19,'Base stats'!B:B,'Base stats'!Y:Y)="Carnivore",_xlfn.XLOOKUP(B19,'Base stats'!B:B,'Base stats'!Y:Y)="Omnivore",_xlfn.XLOOKUP(B19,'Base stats'!B:B,'Base stats'!Y:Y)="OmnivoreRough"),_xlfn.XLOOKUP(_xlfn.XLOOKUP(B19,'Base stats'!B:B,'Base stats'!E:E),Groups!A:A,Groups!AT:AT)=1),"true","false")</f>
        <v>false</v>
      </c>
      <c r="BP19" s="25" t="str" cm="1">
        <f t="array" ref="BP19">IF(
  _xlfn.TEXTJOIN(", ",TRUE,
    IF(AND(BJ19="true",AO19&gt;0.5,BI19&lt;&gt;"None"),"AttackTarget",""),
    IF(AND(_xlfn.XLOOKUP(_xlfn.XLOOKUP(B19,'Base stats'!B:B,'Base stats'!E:E),Groups!A:A,Groups!AJ:AJ="Mammal"),OR(_xlfn.XLOOKUP(B19,'Base stats'!B:B,'Base stats'!Y:Y)="Omnivore",_xlfn.XLOOKUP(B19,'Base stats'!B:B,'Base stats'!Y:Y)="OmnivoreRough")),"Forage",""),
    IF(BG19&lt;=36,"Comfort",""),
    IF(_xlfn.XLOOKUP(B19,'Base stats'!B:B,'Base stats'!AE:AE)&lt;&gt;"No",_xlfn.XLOOKUP(B19,'Base stats'!B:B,'Base stats'!AE:AE),"")
  ) = "",
  "No",
  _xlfn.TEXTJOIN(", ",TRUE,
    IF(AND(BJ19="true",AO19&gt;0.5,BI19&lt;&gt;"None"),"AttackTarget",""),
    IF(AND(_xlfn.XLOOKUP(_xlfn.XLOOKUP(B19,'Base stats'!B:B,'Base stats'!E:E),Groups!A:A,Groups!AJ:AJ="Mammal"),OR(_xlfn.XLOOKUP(B19,'Base stats'!B:B,'Base stats'!Y:Y)="Omnivore",_xlfn.XLOOKUP(B19,'Base stats'!B:B,'Base stats'!Y:Y)="OmnivoreRough")),"Forage",""),
    IF(BG19&lt;=36,"Comfort",""),
    IF(_xlfn.XLOOKUP(B19,'Base stats'!B:B,'Base stats'!AE:AE)&lt;&gt;"No",_xlfn.XLOOKUP(B19,'Base stats'!B:B,'Base stats'!AE:AE),"")
  )
)</f>
        <v>AttackTarget</v>
      </c>
      <c r="BQ19" s="25" t="str">
        <f>IF(
   AND(
      'Base stats'!AN19="Standard",_xlfn.XLOOKUP(_xlfn.XLOOKUP(B19,'Base stats'!B:B,'Base stats'!E:E),Groups!A:A,Groups!AU:AU)=0,
      OR(
      BO19="True"
      )
   ),
   10,
   IF(
       OR(BM19&lt;&gt;"No",_xlfn.XLOOKUP(_xlfn.XLOOKUP(B19,'Base stats'!B:B,'Base stats'!E:E),Groups!A:A,Groups!AU:AU)=1),
      1,
      "No"
   )
)</f>
        <v>No</v>
      </c>
      <c r="BR19" s="9">
        <f>MROUND((1 + ((0.2*IF(OR(Q19="No",R19="No",R19=0),0,Q19/R19)
+IF(OR(V19="No",S19="No",T19="No"),0,S19/T19*(LEN(V19)-LEN(SUBSTITUTE(V19,",",""))+1))
+IF(OR(X19="No",Y19="No"),0,X19/Y19)
+IF(OR(AD19="No",AE19="No"),0,AD19/AE19)
+IF(OR(AL19="No",AI19="No",AJ19="No"),0,AI19/AJ19*(LEN(AL19)-LEN(SUBSTITUTE(AL19,",",""))+1))
)/(0.2*IF(OR(Q19="No",R19="No",R19=0),0,1)
+IF(OR(V19="No",S19="No",T19="No"),0,LEN(V19)-LEN(SUBSTITUTE(V19,",",""))+1)
+IF(OR(X19="No",Y19="No"),0,1)
+IF(OR(AD19="No",AE19="No"),0,1)
+IF(OR(AL19="No",AI19="No",AJ19="No"),0,LEN(AL19)-LEN(SUBSTITUTE(AL19,",",""))+1))*62%)* 2)*(1 + (AP19 / (IF(_xlfn.XLOOKUP(_xlfn.XLOOKUP(B19,'Base stats'!B:B,'Base stats'!E:E),Groups!A:A,Groups!AJ:AJ)="Photonozoa",0.3,1)) + _xlfn.XLOOKUP(B19,'Base stats'!B:B,'Base stats'!AV:AV) * 1.8) * 2) * 2.5 + 10 + I19 * 2,5)+IF(_xlfn.XLOOKUP(B19,'Base stats'!B:B,'Base stats'!AK:AK)=1,50,0)</f>
        <v>80</v>
      </c>
      <c r="BS19" s="8">
        <f t="shared" si="5"/>
        <v>0.45</v>
      </c>
      <c r="BT19" s="8" t="str">
        <f>_xlfn.XLOOKUP(B19,'Base stats'!B:B,'Base stats'!AF:AF)</f>
        <v>No</v>
      </c>
      <c r="BU19" s="2" t="str">
        <f>IF(AND(J19&lt;=0.95,OR(_xlfn.XLOOKUP(B19,'Base stats'!B:B,'Base stats'!AK:AK)=1,_xlfn.XLOOKUP(B19,'Base stats'!B:B,'Base stats'!Y:Y)="Carnivore",_xlfn.XLOOKUP(B19,'Base stats'!B:B,'Base stats'!Y:Y)="Omnivore",BE19&gt;0.1)),"true","false")</f>
        <v>true</v>
      </c>
      <c r="BV19" s="2" t="str">
        <f>IF(_xlfn.XLOOKUP(B19,'Base stats'!B:B,'Base stats'!AI:AI)=1,"true","false")</f>
        <v>false</v>
      </c>
      <c r="BW19" s="25" t="str">
        <f>IF(E19="BaseInsect","AnimalInsect",
IF(J19&gt;0.95,"AnimalExotic",
_xlfn.TEXTJOIN(", ",TRUE,
IF(OR(_xlfn.XLOOKUP(B19,'Base stats'!B:B,'Base stats'!AM:AM)=1,AND(_xlfn.XLOOKUP(B19,'Base stats'!B:B,'Base stats'!O:O)=0,_xlfn.XLOOKUP(_xlfn.XLOOKUP(B19,'Base stats'!B:B,'Base stats'!E:E),Groups!A:A,Groups!B:B)&gt;0)),"AnimalUncommon","AnimalCommon"),
IF(AND(_xlfn.XLOOKUP(B19,'Base stats'!B:B,'Base stats'!O:O)=2,_xlfn.XLOOKUP(_xlfn.XLOOKUP(B19,'Base stats'!B:B,'Base stats'!E:E),Groups!A:A,Groups!D:D)=0),"AnimalPet",IF(AND(_xlfn.XLOOKUP(B19,'Base stats'!B:B,'Base stats'!O:O)&lt;&gt;0,_xlfn.XLOOKUP(_xlfn.XLOOKUP(B19,'Base stats'!B:B,'Base stats'!E:E),Groups!A:A,Groups!D:D)&lt;&gt;0),"AnimalFarm","")),
IF(OR(_xlfn.XLOOKUP(B19,'Base stats'!B:B,'Base stats'!AK:AK)=1,AND(BI19&lt;&gt;"None",BR19&gt;=60),ISNUMBER(SEARCH("Attack target",BP19))),"AnimalFighter","")
)))</f>
        <v>AnimalUncommon, AnimalFighter</v>
      </c>
      <c r="BX19" s="25" t="str">
        <f>IF(G19="None",TRIM(
SUBSTITUTE(
IF(COUNTIF(Biomes!B$2:B$259,"="&amp;$C19)&gt;0,Biomes!B$1&amp;", ","")&amp;
IF(COUNTIF(Biomes!C$2:C$259,"="&amp;$C19)&gt;0,Biomes!C$1&amp;", ","")&amp;
IF(COUNTIF(Biomes!D$2:D$259,"="&amp;$C19)&gt;0,Biomes!D$1&amp;", ","")&amp;
IF(COUNTIF(Biomes!F$2:F$259,"="&amp;$C19)&gt;0,Biomes!F$1&amp;", ","")&amp;
IF(COUNTIF(Biomes!G$2:G$259,"="&amp;$C19)&gt;0,Biomes!G$1&amp;", ","")&amp;
IF(COUNTIF(Biomes!H$2:H$259,"="&amp;$C19)&gt;0,Biomes!H$1&amp;", ","")&amp;
IF(COUNTIF(Biomes!I$2:I$259,"="&amp;$C19)&gt;0,Biomes!I$1&amp;", ","")&amp;
IF(COUNTIF(Biomes!J$2:J$259,"="&amp;$C19)&gt;0,Biomes!J$1&amp;", ","")&amp;
IF(COUNTIF(Biomes!M$2:M$259,"="&amp;$C19)&gt;0,Biomes!M$1&amp;", ","")&amp;
IF(COUNTIF(Biomes!N$2:N$259,"="&amp;$C19)&gt;0,Biomes!N$1&amp;", ","")&amp;
IF(COUNTIF(Biomes!O$2:O$259,"="&amp;$C19)&gt;0,Biomes!O$1&amp;", ","")&amp;
IF(COUNTIF(Biomes!P$2:P$259,"="&amp;$C19)&gt;0,Biomes!P$1&amp;", ","")&amp;
IF(COUNTIF(Biomes!K$2:K$259,"="&amp;$C19)&gt;0,Biomes!K$1&amp;", ","")&amp;
IF(COUNTIF(Biomes!Q$3:Q$259,"="&amp;$C19)&gt;0,Biomes!Q$1&amp;", ","")&amp;
IF(COUNTIF(Biomes!L$2:L$259,"="&amp;$C19)&gt;0,Biomes!L$1&amp;", ","")&amp;
IF(COUNTIF(Biomes!E$2:E$259,"="&amp;$C19)&gt;0,Biomes!E$1&amp;", ","")&amp;IF(COUNTIF(Biomes!S$2:S$259,"="&amp;$C19)&gt;0,Biomes!S$1&amp;", ","")&amp;
IF(COUNTIF(Biomes!R$2:R$259,"="&amp;$C19)&gt;0,Biomes!R$1&amp;", ",""),", ","")
),_xlfn.XLOOKUP(B19,B:B,BX:BX))</f>
        <v>Tundra BorealForest ColdBog TemperateForest TemperateSwamp GlacialPlain</v>
      </c>
      <c r="BY19" s="25" t="str">
        <f>IF(_xlfn.XLOOKUP(B19,'Base stats'!B:B,'Base stats'!AJ:AJ)=1,"true","false")</f>
        <v>false</v>
      </c>
      <c r="BZ19" s="25">
        <f>IF(_xlfn.XLOOKUP(B19,'Base stats'!B:B,'Base stats'!N:N)=1,"No",MAX(0.001,MIN(MROUND(IF(AND(BJ19="True",CC19="False"),POWER(10,3.47*LOG10(_xlfn.XLOOKUP(B19,'Base stats'!B:B,'Base stats'!C:C)*1000)^-0.96),POWER(10,4.15*LOG10(_xlfn.XLOOKUP(B19,'Base stats'!B:B,'Base stats'!C:C)*1000)^-0.73))*IF(_xlfn.XLOOKUP(B19,'Base stats'!B:B,'Base stats'!AK:AK)=1,0.5,1)*IF(_xlfn.XLOOKUP(B19,'Base stats'!B:B,'Base stats'!AM:AM)=1,0.1,1)/100,IF(_xlfn.XLOOKUP(B19,'Base stats'!B:B,'Base stats'!AM:AM)=1,0.001,0.025)),0.5)))</f>
        <v>7.5000000000000011E-2</v>
      </c>
      <c r="CA19" s="25" t="str">
        <f>IF(P19="Standard","No",MAX(0.001,MIN(MROUND(IF(AND(BJ19="True",CC19="False"),POWER(10,3.47*LOG10(_xlfn.XLOOKUP(B19,'Base stats'!B:B,'Base stats'!C:C)*1000)^-0.96),POWER(10,4.15*LOG10(_xlfn.XLOOKUP(B19,'Base stats'!B:B,'Base stats'!C:C)*1000)^-0.73))*IF(_xlfn.XLOOKUP(B19,'Base stats'!B:B,'Base stats'!AM:AM)=1,0.1,1)*_xlfn.XLOOKUP(B19,'Base stats'!B:B,'Base stats'!R:R)/100,IF(_xlfn.XLOOKUP(B19,'Base stats'!B:B,'Base stats'!AM:AM)=1,0.001,0.025)),0.5)))</f>
        <v>No</v>
      </c>
      <c r="CB19" s="25" t="str">
        <f>IF(_xlfn.XLOOKUP(_xlfn.XLOOKUP(B19,'Base stats'!B:B,'Base stats'!E:E),Groups!A:A,Groups!AJ:AJ)="Mammal","True","False")</f>
        <v>True</v>
      </c>
      <c r="CC19" s="25" t="str">
        <f>IF(OR(_xlfn.XLOOKUP(_xlfn.XLOOKUP(B19,'Base stats'!B:B,'Base stats'!E:E),Groups!A:A,Groups!AJ:AJ)="Reptile",_xlfn.XLOOKUP(_xlfn.XLOOKUP(B19,'Base stats'!B:B,'Base stats'!E:E),Groups!A:A,Groups!AJ:AJ)="Amphibian",_xlfn.XLOOKUP(_xlfn.XLOOKUP(B19,'Base stats'!B:B,'Base stats'!E:E),Groups!A:A,Groups!AJ:AJ)="Invertebrate"),"True","False")</f>
        <v>False</v>
      </c>
      <c r="CD19" s="25" t="str">
        <f t="shared" si="6"/>
        <v>False</v>
      </c>
      <c r="CE19" s="25" t="str">
        <f>IF(_xlfn.XLOOKUP(_xlfn.XLOOKUP(B19,'Base stats'!B:B,'Base stats'!E:E),Groups!A:A,Groups!AX:AX),"True","False")</f>
        <v>False</v>
      </c>
      <c r="CF19" s="25" t="str">
        <f>IF(_xlfn.XLOOKUP(_xlfn.XLOOKUP(B19,'Base stats'!B:B,'Base stats'!E:E),Groups!A:A,Groups!AY:AY),"True","False")</f>
        <v>False</v>
      </c>
      <c r="CG19" s="25" t="str">
        <f>IF(_xlfn.XLOOKUP(_xlfn.XLOOKUP(B19,'Base stats'!B:B,'Base stats'!E:E),Groups!A:A,Groups!AW:AW),"True","False")</f>
        <v>False</v>
      </c>
      <c r="CH19" s="25" t="str">
        <f>IF(
OR(
_xlfn.XLOOKUP(_xlfn.XLOOKUP(B19,'Base stats'!B:B,'Base stats'!E:E),Groups!A:A,Groups!AZ:AZ)=0,
AND(
_xlfn.XLOOKUP(B19,'Base stats'!B:B,'Base stats'!Y:Y)&lt;&gt;"Carnivore",
_xlfn.XLOOKUP(B19,'Base stats'!B:B,'Base stats'!Y:Y)&lt;&gt;"Omnivore",
_xlfn.XLOOKUP(B19,'Base stats'!B:B,'Base stats'!Y:Y)&lt;&gt;"OmnivoreRough"
)
),
"No",
IF(
_xlfn.XLOOKUP(_xlfn.XLOOKUP(B19,'Base stats'!B:B,'Base stats'!E:E),Groups!A:A,Groups!AZ:AZ)=1,
"Flesh",
IF(
_xlfn.XLOOKUP(_xlfn.XLOOKUP(B19,'Base stats'!B:B,'Base stats'!E:E),Groups!A:A,Groups!AZ:AZ)=2,
"Bone",
""
)
)
)</f>
        <v>No</v>
      </c>
      <c r="CI19" s="25" t="str">
        <f>IF(_xlfn.XLOOKUP(_xlfn.XLOOKUP(B19,'Base stats'!B:B,'Base stats'!E:E),Groups!A:A,Groups!BB:BB),"True","False")</f>
        <v>True</v>
      </c>
      <c r="CJ19" s="25" t="str">
        <f>IF(_xlfn.XLOOKUP(_xlfn.XLOOKUP(B19,'Base stats'!B:B,'Base stats'!E:E),Groups!A:A,Groups!BA:BA),"True","False")</f>
        <v>False</v>
      </c>
      <c r="CO19" s="16"/>
    </row>
    <row r="20" spans="1:93" ht="16.5" thickTop="1" thickBot="1" x14ac:dyDescent="0.3">
      <c r="A20" s="26" t="str">
        <f>_xlfn.XLOOKUP(B20,'Base stats'!B:B,'Base stats'!A:A)</f>
        <v>Cat</v>
      </c>
      <c r="B20" s="6" t="s">
        <v>85</v>
      </c>
      <c r="C20" s="28" t="s">
        <v>693</v>
      </c>
      <c r="D20" s="28" t="s">
        <v>45</v>
      </c>
      <c r="E20" s="28" t="s">
        <v>673</v>
      </c>
      <c r="F20" s="28" t="s">
        <v>673</v>
      </c>
      <c r="G20" s="28" t="s">
        <v>673</v>
      </c>
      <c r="H20" s="2">
        <f>MROUND((
  (IF(AND(_xlfn.XLOOKUP(B20,'Base stats'!B:B,'Base stats'!AL:AL)=0,BI20="None",_xlfn.XLOOKUP(_xlfn.XLOOKUP(B20,'Base stats'!B:B,'Base stats'!E:E),Groups!A:A,Groups!B:B)=0), (18 + BR20 * 2.7) * 0.5,
    IF(AND(_xlfn.XLOOKUP(B20,'Base stats'!B:B,'Base stats'!AL:AL)=0,OR(AO20&lt;0.55,AND(BI20="Intermediate",_xlfn.XLOOKUP(_xlfn.XLOOKUP(B20,'Base stats'!B:B,'Base stats'!E:E),Groups!A:A,Groups!B:B)&lt;2))), (18 + BR20 * 2.7),
      IF(OR(BI20="Advanced",_xlfn.XLOOKUP(B20,'Base stats'!B:B,'Base stats'!AL:AL)=1,_xlfn.XLOOKUP(_xlfn.XLOOKUP(B20,'Base stats'!B:B,'Base stats'!E:E),Groups!A:A,Groups!B:B)=2), (18 + BR20 * 2.7) + 250, (18 + BR20 * 2.7))
    )
  ))
  + AO20 * 80
  + IF(COUNTIF(EggMilk!K$2:K$998, A20) &gt; 0, 125, 0)
  + IF(COUNTIF(EggMilk!P$2:P$998, A20) &gt; 0, 90, 0)
  + IF(COUNTIF(EggMilk!A$2:A$998, A20) &gt; 0, 90, 0)
)
* (0.8 + 0.4 * J20)
* 0.75,25)</f>
        <v>100</v>
      </c>
      <c r="I20" s="2">
        <f>MROUND(ROUNDDOWN(_xlfn.XLOOKUP(B20,'Base stats'!B:B,'Base stats'!L:L)/3.6/(23.3/11),1),0.5)</f>
        <v>5.5</v>
      </c>
      <c r="J20" s="2">
        <f>IF(OR(_xlfn.XLOOKUP(B20,'Base stats'!B:B,'Base stats'!AB:AB)=1,_xlfn.XLOOKUP(_xlfn.XLOOKUP(B20,'Base stats'!B:B,'Base stats'!E:E),Groups!A:A,Groups!C:C)="Untamable"),1,IF(_xlfn.XLOOKUP(B20,'Base stats'!B:B,'Base stats'!AL:AL)=1,0.99,MIN(MROUND((1-0.6282*EXP(-0.459*AO20))*_xlfn.XLOOKUP(_xlfn.XLOOKUP(B20,'Base stats'!B:B,'Base stats'!E:E),Groups!A:A,Groups!C:C)*IF(_xlfn.XLOOKUP(B20,'Base stats'!B:B,'Base stats'!O:O)=1,0.5,IF(_xlfn.XLOOKUP(B20,'Base stats'!B:B,'Base stats'!O:O)=2,0,1)),0.05),IF(AO20&gt;3.5,0.985,0.95))))</f>
        <v>0</v>
      </c>
      <c r="K20" s="2">
        <f>ROUNDUP(AO20*_xlfn.XLOOKUP(_xlfn.XLOOKUP(B20,'Base stats'!B:B,'Base stats'!E:E),Groups!A:A,Groups!E:E),0)</f>
        <v>1</v>
      </c>
      <c r="L20" s="2">
        <f>IF(OR(_xlfn.XLOOKUP(_xlfn.XLOOKUP(B20,'Base stats'!B:B,'Base stats'!E:E),Groups!A:A,Groups!F:F)=2,ISNUMBER(SEARCH("SeaIce",BX20)),ISNUMBER(SEARCH("IceSheet",BX20))),-50,IF(OR(ISNUMBER(SEARCH("GlacialPlain",BX20)),ISNUMBER(SEARCH("Tundra",BX20))),-40,IF(OR(ISNUMBER(SEARCH("Alpine",BX20)),ISNUMBER(SEARCH("BorealForest",BX20)),ISNUMBER(SEARCH("ColdBog",BX20))),-30,IF(OR(ISNUMBER(SEARCH("TemperateForest",BX20)),ISNUMBER(SEARCH("TemperateSwamp",BX20))),-20,IF(_xlfn.XLOOKUP(_xlfn.XLOOKUP(B20,'Base stats'!B:B,'Base stats'!E:E),Groups!A:A,Groups!F:F)=1,-15,IF(OR(ISNUMBER(SEARCH("Desert",BX20)),ISNUMBER(SEARCH("ExtremeDesert",BX20))),-10,IF(OR(ISNUMBER(SEARCH("Grasslands",BX20)),ISNUMBER(SEARCH("TropicalRainforest",BX20)),ISNUMBER(SEARCH("TropicalSwamp",BX20))),10,0)))))))-IF(CC20="False",MIN(IFERROR(MAX(MROUND(LOG10(_xlfn.XLOOKUP(B20,'Base stats'!B:B,'Base stats'!C:C)^(2/3))*10,5),5),5),30))-_xlfn.XLOOKUP(B20,'Base stats'!B:B,'Base stats'!P:P)+IF(CC20="True",5,0)</f>
        <v>-20</v>
      </c>
      <c r="M20" s="2">
        <f>IF(OR(_xlfn.XLOOKUP(_xlfn.XLOOKUP(B20,'Base stats'!B:B,'Base stats'!E:E),Groups!A:A,Groups!G:G)=2,ISNUMBER(SEARCH("Desert",BX20)),ISNUMBER(SEARCH("ExtremeDesert",BX20)),ISNUMBER(SEARCH("LavaField",BX20))),50,IF(ISNUMBER(SEARCH("Grasslands",BX20)),45,IF(OR(_xlfn.XLOOKUP(_xlfn.XLOOKUP(B20,'Base stats'!B:B,'Base stats'!E:E),Groups!A:A,Groups!G:G)=1,ISNUMBER(SEARCH("TropicalRainforest",BX20)),ISNUMBER(SEARCH("TropicalSwamp",BX20))),40,IF(OR(ISNUMBER(SEARCH("TemperateForest",BX20)),ISNUMBER(SEARCH("TemperateSwamp",BX20))),35,IF(OR(ISNUMBER(SEARCH("Alpine",BX20)),ISNUMBER(SEARCH("BorealForest",BX20)),ISNUMBER(SEARCH("ColdBog",BX20))),30,IF(ISNUMBER(OR(ISNUMBER(SEARCH("GlacialPlain",BX20)),SEARCH("Tundra",BX20))),25,IF(OR(ISNUMBER(SEARCH("SeaIce",BX20)),ISNUMBER(SEARCH("IceSheet",BX20)),ISNUMBER(SEARCH("TropicalSwamp",BX20))),10,35)))))))+_xlfn.XLOOKUP(B20,'Base stats'!B:B,'Base stats'!Q:Q)</f>
        <v>40</v>
      </c>
      <c r="N20" s="8" t="str">
        <f>IF(
_xlfn.XLOOKUP(
_xlfn.XLOOKUP(B20,'Base stats'!B:B,'Base stats'!E:E),
Groups!A:A,
Groups!L:L
)=1,
MIN(
MROUND(
IF(
_xlfn.XLOOKUP(B20,'Animals CE'!B:B,'Animals CE'!Z:Z)&lt;=1.5,
_xlfn.XLOOKUP(B20,'Animals CE'!B:B,'Animals CE'!Z:Z)/2+0.05,
0.8+
(_xlfn.XLOOKUP(B20,'Animals CE'!B:B,'Animals CE'!Z:Z)-1.5)
*0.02
),
0.05
),
200%
),
"No"
)</f>
        <v>No</v>
      </c>
      <c r="O20" s="8" t="str">
        <f>IF(
_xlfn.XLOOKUP(
_xlfn.XLOOKUP(B20,'Base stats'!B:B,'Base stats'!E:E),
Groups!A:A,
Groups!L:L
)=1,
MIN(
MROUND(
IF(
_xlfn.XLOOKUP(B20,'Animals CE'!B:B,'Animals CE'!AA:AA)&lt;=1.5,
_xlfn.XLOOKUP(B20,'Animals CE'!B:B,'Animals CE'!AA:AA)/2+0.05,
0.8+
(_xlfn.XLOOKUP(B20,'Animals CE'!B:B,'Animals CE'!AA:AA)-1.5)
*0.02
),
0.05
),
200%
),
"No"
)</f>
        <v>No</v>
      </c>
      <c r="P20" s="2" t="str">
        <f>_xlfn.XLOOKUP(B20,'Base stats'!B:B,'Base stats'!R:R)</f>
        <v>Standard</v>
      </c>
      <c r="Q20" s="13">
        <f>MROUND((LOG10(_xlfn.XLOOKUP(B20,'Base stats'!B:B,'Base stats'!AR:AR))*(AO20^0.5)+(_xlfn.XLOOKUP(B20,'Base stats'!B:B,'Base stats'!AR:AR)/1000)^(2/3)+_xlfn.XLOOKUP(B20,'Base stats'!B:B,'Base stats'!BA:BA)/2)+0.5,0.5)</f>
        <v>2.5</v>
      </c>
      <c r="R20" s="7">
        <f>IF(Q20="No","No",MAX(1,MROUND(_xlfn.XLOOKUP(B20,'Base stats'!B:B,'Base stats'!C:C)^0.165,0.05)))</f>
        <v>1.25</v>
      </c>
      <c r="S20" s="13" t="str">
        <f>IF(_xlfn.XLOOKUP(_xlfn.XLOOKUP(B20,'Base stats'!B:B,'Base stats'!E:E),Groups!A:A,Groups!P:P)=0,"No",MROUND((LOG10(_xlfn.XLOOKUP(B20,'Base stats'!B:B,'Base stats'!AS:AS))*(AO20^0.5)+(_xlfn.XLOOKUP(B20,'Base stats'!B:B,'Base stats'!AS:AS)/1000)^(2/3)+_xlfn.XLOOKUP(B20,'Base stats'!B:B,'Base stats'!BA:BA))+_xlfn.XLOOKUP(B20,'Base stats'!B:B,'Base stats'!AY:AY)+0.5,0.5))</f>
        <v>No</v>
      </c>
      <c r="T20" s="7" t="str">
        <f>IF(S20="No","No",MAX(_xlfn.XLOOKUP(_xlfn.XLOOKUP(B20,'Base stats'!B:B,'Base stats'!E:E),Groups!A:A,Groups!Q:Q),MROUND(_xlfn.XLOOKUP(_xlfn.XLOOKUP(B20,'Base stats'!B:B,'Base stats'!E:E),Groups!A:A,Groups!Q:Q)*_xlfn.XLOOKUP(B20,'Base stats'!B:B,'Base stats'!C:C)^0.165,0.05)))</f>
        <v>No</v>
      </c>
      <c r="U20" s="7" t="str">
        <f>IF(S20="No","No",_xlfn.XLOOKUP(_xlfn.XLOOKUP(B20,'Base stats'!B:B,'Base stats'!E:E),Groups!A:A,Groups!R:R))</f>
        <v>No</v>
      </c>
      <c r="V20" s="7" t="str">
        <f>IF(S20="No","No",_xlfn.XLOOKUP(_xlfn.XLOOKUP(B20,'Base stats'!B:B,'Base stats'!E:E),Groups!A:A,Groups!S:S))</f>
        <v>No</v>
      </c>
      <c r="W20" s="7" t="str">
        <f>IF(S20="No","No",_xlfn.XLOOKUP(_xlfn.XLOOKUP(B20,'Base stats'!B:B,'Base stats'!E:E),Groups!A:A,Groups!T:T))</f>
        <v>No</v>
      </c>
      <c r="X20" s="13" t="str">
        <f>IF(_xlfn.XLOOKUP(B20,'Base stats'!B:B,'Base stats'!W:W)="No","No",MROUND((LOG10(_xlfn.XLOOKUP(B20,'Base stats'!B:B,'Base stats'!AU:AU))*(AO20^0.5)+(_xlfn.XLOOKUP(B20,'Base stats'!B:B,'Base stats'!AU:AU)/1000)^(2/3)+_xlfn.XLOOKUP(B20,'Base stats'!B:B,'Base stats'!AZ:AZ))+0.5+IF(_xlfn.XLOOKUP(_xlfn.XLOOKUP(B20,'Base stats'!B:B,'Base stats'!E:E),Groups!A:A,Groups!U:U)&lt;&gt;3,_xlfn.XLOOKUP(B20,'Base stats'!B:B,'Base stats'!BA:BA),0),0.5))</f>
        <v>No</v>
      </c>
      <c r="Y20" s="7" t="str">
        <f>IF(X20="No","No",MAX(_xlfn.XLOOKUP(_xlfn.XLOOKUP(B20,'Base stats'!B:B,'Base stats'!E:E),Groups!A:A,Groups!V:V),MROUND(_xlfn.XLOOKUP(_xlfn.XLOOKUP(B20,'Base stats'!B:B,'Base stats'!E:E),Groups!A:A,Groups!V:V)*_xlfn.XLOOKUP(B20,'Base stats'!B:B,'Base stats'!C:C)^0.165,0.05)))</f>
        <v>No</v>
      </c>
      <c r="Z20" s="7" t="str">
        <f>IF(X20="No","No",_xlfn.XLOOKUP(_xlfn.XLOOKUP(B20,'Base stats'!B:B,'Base stats'!E:E),Groups!A:A,Groups!W:W))</f>
        <v>No</v>
      </c>
      <c r="AA20" s="7" t="str">
        <f>IF(X20="No","No",_xlfn.XLOOKUP(_xlfn.XLOOKUP(B20,'Base stats'!B:B,'Base stats'!E:E),Groups!A:A,Groups!X:X))</f>
        <v>No</v>
      </c>
      <c r="AB20" s="7" t="str">
        <f>IF(X20="No","No",_xlfn.XLOOKUP(_xlfn.XLOOKUP(B20,'Base stats'!B:B,'Base stats'!E:E),Groups!A:A,Groups!Y:Y))</f>
        <v>No</v>
      </c>
      <c r="AC20" s="7" t="str">
        <f>_xlfn.XLOOKUP(Animals!B20,'Base stats'!B:B,'Base stats'!X:X)</f>
        <v>False</v>
      </c>
      <c r="AD20" s="13">
        <f>IF(_xlfn.XLOOKUP(B20,'Base stats'!B:B,'Base stats'!AT:AT)="No","No",MROUND((LOG10(_xlfn.XLOOKUP(B20,'Base stats'!B:B,'Base stats'!AT:AT))*(AO20^0.75)+(_xlfn.XLOOKUP(B20,'Base stats'!B:B,'Base stats'!AT:AT)/1000)^(2/3)+_xlfn.XLOOKUP(B20,'Base stats'!B:B,'Base stats'!AX:AX)+_xlfn.XLOOKUP(B20,'Base stats'!B:B,'Base stats'!BA:BA))+0.5,0.5))</f>
        <v>3.5</v>
      </c>
      <c r="AE20" s="7">
        <f>IF(AD20="No","No",MAX(_xlfn.XLOOKUP(_xlfn.XLOOKUP(B20,'Base stats'!B:B,'Base stats'!E:E),Groups!A:A,Groups!Z:Z),MROUND(_xlfn.XLOOKUP(_xlfn.XLOOKUP(B20,'Base stats'!B:B,'Base stats'!E:E),Groups!A:A,Groups!Z:Z)*_xlfn.XLOOKUP(B20,'Base stats'!B:B,'Base stats'!C:C)^0.165,0.05)))</f>
        <v>0.9</v>
      </c>
      <c r="AF20" s="7" t="str">
        <f>IF(AD20="No","No",_xlfn.XLOOKUP(_xlfn.XLOOKUP(B20,'Base stats'!B:B,'Base stats'!E:E),Groups!A:A,Groups!AA:AA))</f>
        <v>Teeth</v>
      </c>
      <c r="AG20" s="7" t="str">
        <f>IF(AD20="No","No",_xlfn.XLOOKUP(_xlfn.XLOOKUP(B20,'Base stats'!B:B,'Base stats'!E:E),Groups!A:A,Groups!AB:AB))</f>
        <v>canines</v>
      </c>
      <c r="AH20" s="7" t="str">
        <f>IF(AD20="No","No",_xlfn.XLOOKUP(_xlfn.XLOOKUP(B20,'Base stats'!B:B,'Base stats'!E:E),Groups!A:A,Groups!AC:AC))</f>
        <v>Bite</v>
      </c>
      <c r="AI20" s="13">
        <f>IF(_xlfn.XLOOKUP(_xlfn.XLOOKUP(B20,'Base stats'!B:B,'Base stats'!E:E),Groups!A:A,Groups!AD:AD)=0,"No",MROUND((LOG10(_xlfn.XLOOKUP(B20,'Base stats'!B:B,'Base stats'!AS:AS))*(AO20^0.75)+(_xlfn.XLOOKUP(B20,'Base stats'!B:B,'Base stats'!AS:AS)/1000)^(2/3)+_xlfn.XLOOKUP(B20,'Base stats'!B:B,'Base stats'!AY:AY)+_xlfn.XLOOKUP(B20,'Base stats'!B:B,'Base stats'!BA:BA))+0.5,0.5))</f>
        <v>3</v>
      </c>
      <c r="AJ20" s="7">
        <f>IF(AI20="No","No",MAX(_xlfn.XLOOKUP(_xlfn.XLOOKUP(B20,'Base stats'!B:B,'Base stats'!E:E),Groups!A:A,Groups!AE:AE),MROUND(_xlfn.XLOOKUP(_xlfn.XLOOKUP(B20,'Base stats'!B:B,'Base stats'!E:E),Groups!A:A,Groups!AE:AE)*IF(_xlfn.XLOOKUP(_xlfn.XLOOKUP(B20,'Base stats'!B:B,'Base stats'!E:E),Groups!A:A,Groups!AJ:AJ)="Photonozoa",0.6,1)*_xlfn.XLOOKUP(B20,'Base stats'!B:B,'Base stats'!C:C)^0.165,0.05)))</f>
        <v>0.8</v>
      </c>
      <c r="AK20" s="7" t="str">
        <f>IF(AI20="No","No",_xlfn.XLOOKUP(_xlfn.XLOOKUP(B20,'Base stats'!B:B,'Base stats'!E:E),Groups!A:A,Groups!AF:AF))</f>
        <v>FrontLeftPaw, FrontRightPaw</v>
      </c>
      <c r="AL20" s="7" t="str">
        <f>IF(AI20="No","No",_xlfn.XLOOKUP(_xlfn.XLOOKUP(B20,'Base stats'!B:B,'Base stats'!E:E),Groups!A:A,Groups!AG:AG))</f>
        <v>left claw, right claw</v>
      </c>
      <c r="AM20" s="7" t="str">
        <f>IF(AI20="No","No",_xlfn.XLOOKUP(_xlfn.XLOOKUP(B20,'Base stats'!B:B,'Base stats'!E:E),Groups!A:A,Groups!AH:AH))</f>
        <v>Scratch</v>
      </c>
      <c r="AN20" s="2">
        <f t="shared" si="0"/>
        <v>15</v>
      </c>
      <c r="AO20" s="2">
        <f>MROUND(IF(AND(_xlfn.XLOOKUP(B20,'Base stats'!B:B,'Base stats'!C:C)&gt;=0.5,_xlfn.XLOOKUP(B20,'Base stats'!B:B,'Base stats'!C:C)&lt;=0.8),
IF(_xlfn.XLOOKUP(B20,'Base stats'!B:B,'Base stats'!C:C)&lt;0.1,0.05,IF(_xlfn.XLOOKUP(B20,'Base stats'!B:B,'Base stats'!C:C)&lt;=70,(_xlfn.XLOOKUP(B20,'Base stats'!B:B,'Base stats'!C:C)/70)^0.426489913056526,IF(_xlfn.XLOOKUP(B20,'Base stats'!B:B,'Base stats'!C:C)&lt;=400,(_xlfn.XLOOKUP(B20,'Base stats'!B:B,'Base stats'!C:C)/70)^0.572811455315093,IF(_xlfn.XLOOKUP(B20,'Base stats'!B:B,'Base stats'!C:C)&lt;=2000,2.71391647193063*(_xlfn.XLOOKUP(B20,'Base stats'!B:B,'Base stats'!C:C)/400)^0.252459582904293,3.74314280240376*(_xlfn.XLOOKUP(B20,'Base stats'!B:B,'Base stats'!C:C)/2000)^0.357012633876913)))),
IF(_xlfn.XLOOKUP(B20,'Base stats'!B:B,'Base stats'!C:C)&lt;0.1,0.05,IF(_xlfn.XLOOKUP(B20,'Base stats'!B:B,'Base stats'!C:C)&lt;0.4,0.1,IF(_xlfn.XLOOKUP(B20,'Base stats'!B:B,'Base stats'!C:C)&lt;=70,(_xlfn.XLOOKUP(B20,'Base stats'!B:B,'Base stats'!C:C)/70)^0.445823913056526,IF(_xlfn.XLOOKUP(B20,'Base stats'!B:B,'Base stats'!C:C)&lt;=400,(_xlfn.XLOOKUP(B20,'Base stats'!B:B,'Base stats'!C:C)/70)^0.572811455315093,IF(_xlfn.XLOOKUP(B20,'Base stats'!B:B,'Base stats'!C:C)&lt;=2000,2.71391647193063*(_xlfn.XLOOKUP(B20,'Base stats'!B:B,'Base stats'!C:C)/400)^0.252459582904293,3.74314280240376*(_xlfn.XLOOKUP(B20,'Base stats'!B:B,'Base stats'!C:C)/2000)^0.357012633876913)))))),
IF(_xlfn.XLOOKUP(B20,'Base stats'!B:B,'Base stats'!C:C)&lt;0.1,0.05,IF(_xlfn.XLOOKUP(B20,'Base stats'!B:B,'Base stats'!C:C)&lt;=100,0.05,IF(_xlfn.XLOOKUP(B20,'Base stats'!B:B,'Base stats'!C:C)&lt;=250,0.1,IF(_xlfn.XLOOKUP(B20,'Base stats'!B:B,'Base stats'!C:C)&lt;=4000,0.25,0.5)))))</f>
        <v>0.30000000000000004</v>
      </c>
      <c r="AP20" s="8">
        <f>MROUND(AO20*_xlfn.XLOOKUP(_xlfn.XLOOKUP(B20,'Base stats'!B:B,'Base stats'!E:E),Groups!A:A,Groups!AI:AI)*_xlfn.XLOOKUP(B20,'Base stats'!B:B,'Base stats'!Z:Z),0.05)</f>
        <v>0.35000000000000003</v>
      </c>
      <c r="AQ20" s="8">
        <f>MAX(0.01,MROUND(IF(CC20="True",0.196*(AO20*100*1000)^0.889,IF(_xlfn.XLOOKUP(_xlfn.XLOOKUP(B20,'Base stats'!B:B,'Base stats'!E:E),Groups!A:A,Groups!AJ:AJ)="Bird",10.5*(AO20*100*1000)^0.681,4.82*(AO20*100*1000)^0.734))/(4.82*(1*100*1000)^0.734)/IF(AO20&lt;3.5,2,IF(AO20=3.5,1.5,1.25))*(1+0.132282374779864/(AO20^0.994035016789033+0.00905238001496948)),0.05))</f>
        <v>0.30000000000000004</v>
      </c>
      <c r="AR20" s="9">
        <f>IFERROR(MROUND(_xlfn.XLOOKUP(B20,'Base stats'!B:B,'Base stats'!H:H)/IF(_xlfn.XLOOKUP(B20,'Base stats'!B:B,'Base stats'!I:I)&lt;&gt;1,(122.5/70),1.2),IF(_xlfn.XLOOKUP(B20,'Base stats'!B:B,'Base stats'!H:H)&gt;=30,5,IF(_xlfn.XLOOKUP(B20,'Base stats'!B:B,'Base stats'!H:H)&gt;=15,3,IF(_xlfn.XLOOKUP(B20,'Base stats'!B:B,'Base stats'!H:H)&gt;=10,2,1)))),"Immortal")</f>
        <v>15</v>
      </c>
      <c r="AS20" s="35">
        <f>IFERROR(IF(OR(_xlfn.XLOOKUP(B20,'Base stats'!B:B,'Base stats'!F:F)="Atypical reproduction",_xlfn.XLOOKUP(B20,'Base stats'!B:B,'Base stats'!F:F)="Lay eggs"),"Lay eggs",MIN(20,MAX(5.5,ROUND(((_xlfn.XLOOKUP(B20,'Base stats'!B:B,'Base stats'!F:F)-25)*(14.5/615) + 5.5)*2,0)/2))),"Unknown")</f>
        <v>6.5</v>
      </c>
      <c r="AT20" s="8">
        <f>IF(_xlfn.XLOOKUP(B20,'Base stats'!B:B,'Base stats'!G:G)="Atypical reproduction","No",IFERROR(MAX(IF(_xlfn.XLOOKUP(B20,'Base stats'!B:B,'Base stats'!G:G)&lt;0.5,0.2,0.3),MROUND(_xlfn.XLOOKUP(B20,'Base stats'!B:B,'Base stats'!G:G)/(365/60),0.2)),"Unknown"))</f>
        <v>0.3</v>
      </c>
      <c r="AU20" s="8">
        <f t="shared" si="1"/>
        <v>0.15000000000000002</v>
      </c>
      <c r="AV20" s="8">
        <f>IFERROR(IFERROR(MROUND(_xlfn.XLOOKUP(B20,'Base stats'!B:B,'Base stats'!J:J),0.1),"Lay eggs"),"Cannot breed")</f>
        <v>4</v>
      </c>
      <c r="AW20" s="2" t="str">
        <f t="shared" si="2"/>
        <v>false</v>
      </c>
      <c r="AX20" s="2" t="str">
        <f>IF(_xlfn.XLOOKUP(_xlfn.XLOOKUP(Animals!B20,'Base stats'!B:B,'Base stats'!E:E),Groups!A:A,Groups!AK:AK)=1,"true","false")</f>
        <v>false</v>
      </c>
      <c r="AY20" s="25" t="str">
        <f>IF(_xlfn.XLOOKUP(B20,'Base stats'!B:B,'Base stats'!Y:Y)="Liquor","Liquor, CarnivoreAnimalStrict",IF(AND(_xlfn.XLOOKUP(B20,'Base stats'!B:B,'Base stats'!Y:Y)="Carnivore",_xlfn.XLOOKUP(_xlfn.XLOOKUP(B20,'Base stats'!B:B,'Base stats'!E:E),Groups!A:A,Groups!AJ:AJ)="Photonozoa"),"CarnivoreAnimalStrict, OvivoreAnimal",IF(_xlfn.XLOOKUP(B20,'Base stats'!B:B,'Base stats'!Y:Y)="Carnivore","CarnivoreAnimal, OvivoreAnimal",IF(_xlfn.XLOOKUP(B20,'Base stats'!B:B,'Base stats'!Y:Y)="Dendrovore","VegetarianRoughAnimal, DendrovoreAnimal",IF(_xlfn.XLOOKUP(B20,'Base stats'!B:B,'Base stats'!Y:Y)="Herbivore","VegetarianRoughAnimal",IF(_xlfn.XLOOKUP(B20,'Base stats'!B:B,'Base stats'!Y:Y)="OmnivoreRough","OmnivoreRoughAnimal, OvivoreAnimal","OmnivoreAnimal, OvivoreAnimal"))))))</f>
        <v>CarnivoreAnimal, OvivoreAnimal</v>
      </c>
      <c r="AZ20" s="2" t="str">
        <f>IF(_xlfn.XLOOKUP(_xlfn.XLOOKUP(B20,'Base stats'!B:B,'Base stats'!E:E),Groups!A:A,Groups!D:D)=1,MROUND((1-J20)*5+1,2)*IF(J20&lt;=0.4,2,1),"No")</f>
        <v>No</v>
      </c>
      <c r="BA20" s="2" t="str">
        <f>IF(AND(_xlfn.XLOOKUP(B20,'Base stats'!B:B,'Base stats'!AH:AH)="&lt;li&gt;Seal&lt;/li&gt;",G20="Odyssey"),"&lt;li&gt;AEXP_Seal&lt;/li&gt;",_xlfn.XLOOKUP(B20,'Base stats'!B:B,'Base stats'!AH:AH))</f>
        <v>No</v>
      </c>
      <c r="BB20" s="2" t="str">
        <f>_xlfn.XLOOKUP(B20,'Base stats'!B:B,'Base stats'!AG:AG)</f>
        <v>Leather_Light</v>
      </c>
      <c r="BC20" s="23" t="str">
        <f>_xlfn.XLOOKUP(_xlfn.XLOOKUP(B20,'Base stats'!B:B,'Base stats'!E:E),Groups!A:A,Groups!AL:AL)</f>
        <v>QuadrupedAnimalWithPawsAndTail</v>
      </c>
      <c r="BD20" s="23">
        <f>MIN(1,MROUND(IF(AND(AO20&lt;0.5,_xlfn.XLOOKUP(B20,'Base stats'!B:B,'Base stats'!AA:AA)=0),0,IF(OR(_xlfn.XLOOKUP(Animals!B20,'Base stats'!B:B,'Base stats'!O:O)=2,_xlfn.XLOOKUP(_xlfn.XLOOKUP(B20,'Base stats'!B:B,'Base stats'!E:E),Groups!A:A,Groups!AN:AN)=0),0,_xlfn.XLOOKUP(_xlfn.XLOOKUP(B20,'Base stats'!B:B,'Base stats'!E:E),Groups!A:A,Groups!AN:AN)/IF(_xlfn.XLOOKUP(Animals!B20,'Base stats'!B:B,'Base stats'!O:O)=1,2,1)))+_xlfn.XLOOKUP(B20,'Base stats'!B:B,'Base stats'!AC:AC),0.005))</f>
        <v>0</v>
      </c>
      <c r="BE20" s="23">
        <f>MIN(1,MROUND(IF(AND(AO20&lt;0.5,_xlfn.XLOOKUP(B20,'Base stats'!B:B,'Base stats'!AA:AA)=0),0,IF(_xlfn.XLOOKUP(_xlfn.XLOOKUP(B20,'Base stats'!B:B,'Base stats'!E:E),Groups!A:A,Groups!AO:AO)=0,0,_xlfn.XLOOKUP(_xlfn.XLOOKUP(B20,'Base stats'!B:B,'Base stats'!E:E),Groups!A:A,Groups!AO:AO)/IF(_xlfn.XLOOKUP(Animals!B20,'Base stats'!B:B,'Base stats'!O:O)=2,3,1)))+_xlfn.XLOOKUP(B20,'Base stats'!B:B,'Base stats'!AD:AD),0.005))</f>
        <v>0</v>
      </c>
      <c r="BF20" s="2">
        <f>IF(J20&gt;0.3,"No",_xlfn.XLOOKUP(_xlfn.XLOOKUP(Animals!B20,'Base stats'!B:B,'Base stats'!E:E),Groups!A:A,Groups!AP:AP))</f>
        <v>1</v>
      </c>
      <c r="BG20" s="2">
        <f>IF(AND(J20&lt;=0.65,_xlfn.XLOOKUP(_xlfn.XLOOKUP(Animals!B20,'Base stats'!B:B,'Base stats'!E:E),Groups!A:A,Groups!AP:AP)&lt;&gt;"No",_xlfn.XLOOKUP(_xlfn.XLOOKUP(B20,'Base stats'!B:B,'Base stats'!E:E),Groups!A:A,Groups!D:D)=0),MROUND((80/3)*IF(_xlfn.XLOOKUP(B20,'Base stats'!B:B,'Base stats'!O:O)=2,0.2,AO20) + 24*(1-IF(BF20="No",0,BF20)) + 16/3, 12),"No")</f>
        <v>12</v>
      </c>
      <c r="BH20" s="2">
        <f>IF(AND(_xlfn.XLOOKUP(_xlfn.XLOOKUP(B20,'Base stats'!B:B,'Base stats'!E:E),Groups!A:A,Groups!AQ:AQ)=1,AO20&lt;=0.35),8,12)</f>
        <v>12</v>
      </c>
      <c r="BI20" s="2" t="str">
        <f>IF(_xlfn.XLOOKUP(_xlfn.XLOOKUP(B20,'Base stats'!B:B,'Base stats'!E:E),Groups!A:A,Groups!D:D)=0,_xlfn.XLOOKUP(_xlfn.XLOOKUP(B20,'Base stats'!B:B,'Base stats'!E:E),Groups!A:A,Groups!AR:AR),"None")</f>
        <v>Intermediate</v>
      </c>
      <c r="BJ20" s="2" t="str">
        <f>IF(AND(_xlfn.XLOOKUP(_xlfn.XLOOKUP(B20,'Base stats'!B:B,'Base stats'!E:E),Groups!A:A,Groups!AS:AS)=1,OR(_xlfn.XLOOKUP(B20,'Base stats'!B:B,'Base stats'!Y:Y)="Carnivore",_xlfn.XLOOKUP(B20,'Base stats'!B:B,'Base stats'!Y:Y)="Omnivore")),"true","false")</f>
        <v>true</v>
      </c>
      <c r="BK20" s="2">
        <f>IF(BJ20="true",MROUND(IF(AND(AO20&gt;0.5,OR(_xlfn.XLOOKUP(_xlfn.XLOOKUP(B20,'Base stats'!B:B,'Base stats'!E:E),Groups!A:A,Groups!AJ:AJ)="Photonozoa",_xlfn.XLOOKUP(_xlfn.XLOOKUP(B20,'Base stats'!B:B,'Base stats'!E:E),Groups!A:A,Groups!AJ:AJ)="Mammal")),Animals!AO20*1.75*IF(AW20="true",1.5,1),IF(AO20&lt;0.5,Animals!AO20*0.5,Animals!AO20)),IF(AO20&gt;2,0.5,IF(AO20&gt;0.5,0.25,0.1))),"No")</f>
        <v>0.2</v>
      </c>
      <c r="BL20" s="2">
        <f t="shared" si="3"/>
        <v>1</v>
      </c>
      <c r="BM20" s="25" t="str">
        <f>IF(_xlfn.XLOOKUP(B20,'Base stats'!B:B,'Base stats'!AN:AN)="Standard","No",MROUND((_xlfn.XLOOKUP(B20,'Base stats'!B:B,'Base stats'!AN:AN)/3.6)/I20,0.1))</f>
        <v>No</v>
      </c>
      <c r="BN20" s="25" t="str">
        <f t="shared" si="4"/>
        <v>false</v>
      </c>
      <c r="BO20" s="25" t="str">
        <f>IF(AND(OR(_xlfn.XLOOKUP(B20,'Base stats'!B:B,'Base stats'!Y:Y)="Carnivore",_xlfn.XLOOKUP(B20,'Base stats'!B:B,'Base stats'!Y:Y)="Omnivore",_xlfn.XLOOKUP(B20,'Base stats'!B:B,'Base stats'!Y:Y)="OmnivoreRough"),_xlfn.XLOOKUP(_xlfn.XLOOKUP(B20,'Base stats'!B:B,'Base stats'!E:E),Groups!A:A,Groups!AT:AT)=1),"true","false")</f>
        <v>false</v>
      </c>
      <c r="BP20" s="25" t="str" cm="1">
        <f t="array" ref="BP20">IF(
  _xlfn.TEXTJOIN(", ",TRUE,
    IF(AND(BJ20="true",AO20&gt;0.5,BI20&lt;&gt;"None"),"AttackTarget",""),
    IF(AND(_xlfn.XLOOKUP(_xlfn.XLOOKUP(B20,'Base stats'!B:B,'Base stats'!E:E),Groups!A:A,Groups!AJ:AJ="Mammal"),OR(_xlfn.XLOOKUP(B20,'Base stats'!B:B,'Base stats'!Y:Y)="Omnivore",_xlfn.XLOOKUP(B20,'Base stats'!B:B,'Base stats'!Y:Y)="OmnivoreRough")),"Forage",""),
    IF(BG20&lt;=36,"Comfort",""),
    IF(_xlfn.XLOOKUP(B20,'Base stats'!B:B,'Base stats'!AE:AE)&lt;&gt;"No",_xlfn.XLOOKUP(B20,'Base stats'!B:B,'Base stats'!AE:AE),"")
  ) = "",
  "No",
  _xlfn.TEXTJOIN(", ",TRUE,
    IF(AND(BJ20="true",AO20&gt;0.5,BI20&lt;&gt;"None"),"AttackTarget",""),
    IF(AND(_xlfn.XLOOKUP(_xlfn.XLOOKUP(B20,'Base stats'!B:B,'Base stats'!E:E),Groups!A:A,Groups!AJ:AJ="Mammal"),OR(_xlfn.XLOOKUP(B20,'Base stats'!B:B,'Base stats'!Y:Y)="Omnivore",_xlfn.XLOOKUP(B20,'Base stats'!B:B,'Base stats'!Y:Y)="OmnivoreRough")),"Forage",""),
    IF(BG20&lt;=36,"Comfort",""),
    IF(_xlfn.XLOOKUP(B20,'Base stats'!B:B,'Base stats'!AE:AE)&lt;&gt;"No",_xlfn.XLOOKUP(B20,'Base stats'!B:B,'Base stats'!AE:AE),"")
  )
)</f>
        <v>Comfort</v>
      </c>
      <c r="BQ20" s="25" t="str">
        <f>IF(
   AND(
      'Base stats'!AN20="Standard",_xlfn.XLOOKUP(_xlfn.XLOOKUP(B20,'Base stats'!B:B,'Base stats'!E:E),Groups!A:A,Groups!AU:AU)=0,
      OR(
      BO20="True"
      )
   ),
   10,
   IF(
       OR(BM20&lt;&gt;"No",_xlfn.XLOOKUP(_xlfn.XLOOKUP(B20,'Base stats'!B:B,'Base stats'!E:E),Groups!A:A,Groups!AU:AU)=1),
      1,
      "No"
   )
)</f>
        <v>No</v>
      </c>
      <c r="BR20" s="9">
        <f>MROUND((1 + ((0.2*IF(OR(Q20="No",R20="No",R20=0),0,Q20/R20)
+IF(OR(V20="No",S20="No",T20="No"),0,S20/T20*(LEN(V20)-LEN(SUBSTITUTE(V20,",",""))+1))
+IF(OR(X20="No",Y20="No"),0,X20/Y20)
+IF(OR(AD20="No",AE20="No"),0,AD20/AE20)
+IF(OR(AL20="No",AI20="No",AJ20="No"),0,AI20/AJ20*(LEN(AL20)-LEN(SUBSTITUTE(AL20,",",""))+1))
)/(0.2*IF(OR(Q20="No",R20="No",R20=0),0,1)
+IF(OR(V20="No",S20="No",T20="No"),0,LEN(V20)-LEN(SUBSTITUTE(V20,",",""))+1)
+IF(OR(X20="No",Y20="No"),0,1)
+IF(OR(AD20="No",AE20="No"),0,1)
+IF(OR(AL20="No",AI20="No",AJ20="No"),0,LEN(AL20)-LEN(SUBSTITUTE(AL20,",",""))+1))*62%)* 2)*(1 + (AP20 / (IF(_xlfn.XLOOKUP(_xlfn.XLOOKUP(B20,'Base stats'!B:B,'Base stats'!E:E),Groups!A:A,Groups!AJ:AJ)="Photonozoa",0.3,1)) + _xlfn.XLOOKUP(B20,'Base stats'!B:B,'Base stats'!AV:AV) * 1.8) * 2) * 2.5 + 10 + I20 * 2,5)+IF(_xlfn.XLOOKUP(B20,'Base stats'!B:B,'Base stats'!AK:AK)=1,50,0)</f>
        <v>45</v>
      </c>
      <c r="BS20" s="8">
        <f t="shared" si="5"/>
        <v>0.30000000000000004</v>
      </c>
      <c r="BT20" s="8" t="str">
        <f>_xlfn.XLOOKUP(B20,'Base stats'!B:B,'Base stats'!AF:AF)</f>
        <v>No</v>
      </c>
      <c r="BU20" s="2" t="str">
        <f>IF(AND(J20&lt;=0.95,OR(_xlfn.XLOOKUP(B20,'Base stats'!B:B,'Base stats'!AK:AK)=1,_xlfn.XLOOKUP(B20,'Base stats'!B:B,'Base stats'!Y:Y)="Carnivore",_xlfn.XLOOKUP(B20,'Base stats'!B:B,'Base stats'!Y:Y)="Omnivore",BE20&gt;0.1)),"true","false")</f>
        <v>true</v>
      </c>
      <c r="BV20" s="2" t="str">
        <f>IF(_xlfn.XLOOKUP(B20,'Base stats'!B:B,'Base stats'!AI:AI)=1,"true","false")</f>
        <v>false</v>
      </c>
      <c r="BW20" s="25" t="str">
        <f>IF(E20="BaseInsect","AnimalInsect",
IF(J20&gt;0.95,"AnimalExotic",
_xlfn.TEXTJOIN(", ",TRUE,
IF(OR(_xlfn.XLOOKUP(B20,'Base stats'!B:B,'Base stats'!AM:AM)=1,AND(_xlfn.XLOOKUP(B20,'Base stats'!B:B,'Base stats'!O:O)=0,_xlfn.XLOOKUP(_xlfn.XLOOKUP(B20,'Base stats'!B:B,'Base stats'!E:E),Groups!A:A,Groups!B:B)&gt;0)),"AnimalUncommon","AnimalCommon"),
IF(AND(_xlfn.XLOOKUP(B20,'Base stats'!B:B,'Base stats'!O:O)=2,_xlfn.XLOOKUP(_xlfn.XLOOKUP(B20,'Base stats'!B:B,'Base stats'!E:E),Groups!A:A,Groups!D:D)=0),"AnimalPet",IF(AND(_xlfn.XLOOKUP(B20,'Base stats'!B:B,'Base stats'!O:O)&lt;&gt;0,_xlfn.XLOOKUP(_xlfn.XLOOKUP(B20,'Base stats'!B:B,'Base stats'!E:E),Groups!A:A,Groups!D:D)&lt;&gt;0),"AnimalFarm","")),
IF(OR(_xlfn.XLOOKUP(B20,'Base stats'!B:B,'Base stats'!AK:AK)=1,AND(BI20&lt;&gt;"None",BR20&gt;=60),ISNUMBER(SEARCH("Attack target",BP20))),"AnimalFighter","")
)))</f>
        <v>AnimalCommon, AnimalPet</v>
      </c>
      <c r="BX20" s="25" t="str">
        <f>IF(G20="None",TRIM(
SUBSTITUTE(
IF(COUNTIF(Biomes!B$2:B$259,"="&amp;$C20)&gt;0,Biomes!B$1&amp;", ","")&amp;
IF(COUNTIF(Biomes!C$2:C$259,"="&amp;$C20)&gt;0,Biomes!C$1&amp;", ","")&amp;
IF(COUNTIF(Biomes!D$2:D$259,"="&amp;$C20)&gt;0,Biomes!D$1&amp;", ","")&amp;
IF(COUNTIF(Biomes!F$2:F$259,"="&amp;$C20)&gt;0,Biomes!F$1&amp;", ","")&amp;
IF(COUNTIF(Biomes!G$2:G$259,"="&amp;$C20)&gt;0,Biomes!G$1&amp;", ","")&amp;
IF(COUNTIF(Biomes!H$2:H$259,"="&amp;$C20)&gt;0,Biomes!H$1&amp;", ","")&amp;
IF(COUNTIF(Biomes!I$2:I$259,"="&amp;$C20)&gt;0,Biomes!I$1&amp;", ","")&amp;
IF(COUNTIF(Biomes!J$2:J$259,"="&amp;$C20)&gt;0,Biomes!J$1&amp;", ","")&amp;
IF(COUNTIF(Biomes!M$2:M$259,"="&amp;$C20)&gt;0,Biomes!M$1&amp;", ","")&amp;
IF(COUNTIF(Biomes!N$2:N$259,"="&amp;$C20)&gt;0,Biomes!N$1&amp;", ","")&amp;
IF(COUNTIF(Biomes!O$2:O$259,"="&amp;$C20)&gt;0,Biomes!O$1&amp;", ","")&amp;
IF(COUNTIF(Biomes!P$2:P$259,"="&amp;$C20)&gt;0,Biomes!P$1&amp;", ","")&amp;
IF(COUNTIF(Biomes!K$2:K$259,"="&amp;$C20)&gt;0,Biomes!K$1&amp;", ","")&amp;
IF(COUNTIF(Biomes!Q$3:Q$259,"="&amp;$C20)&gt;0,Biomes!Q$1&amp;", ","")&amp;
IF(COUNTIF(Biomes!L$2:L$259,"="&amp;$C20)&gt;0,Biomes!L$1&amp;", ","")&amp;
IF(COUNTIF(Biomes!E$2:E$259,"="&amp;$C20)&gt;0,Biomes!E$1&amp;", ","")&amp;IF(COUNTIF(Biomes!S$2:S$259,"="&amp;$C20)&gt;0,Biomes!S$1&amp;", ","")&amp;
IF(COUNTIF(Biomes!R$2:R$259,"="&amp;$C20)&gt;0,Biomes!R$1&amp;", ",""),", ","")
),_xlfn.XLOOKUP(B20,B:B,BX:BX))</f>
        <v>Scarlands</v>
      </c>
      <c r="BY20" s="25" t="str">
        <f>IF(_xlfn.XLOOKUP(B20,'Base stats'!B:B,'Base stats'!AJ:AJ)=1,"true","false")</f>
        <v>false</v>
      </c>
      <c r="BZ20" s="25">
        <f>IF(_xlfn.XLOOKUP(B20,'Base stats'!B:B,'Base stats'!N:N)=1,"No",MAX(0.001,MIN(MROUND(IF(AND(BJ20="True",CC20="False"),POWER(10,3.47*LOG10(_xlfn.XLOOKUP(B20,'Base stats'!B:B,'Base stats'!C:C)*1000)^-0.96),POWER(10,4.15*LOG10(_xlfn.XLOOKUP(B20,'Base stats'!B:B,'Base stats'!C:C)*1000)^-0.73))*IF(_xlfn.XLOOKUP(B20,'Base stats'!B:B,'Base stats'!AK:AK)=1,0.5,1)*IF(_xlfn.XLOOKUP(B20,'Base stats'!B:B,'Base stats'!AM:AM)=1,0.1,1)/100,IF(_xlfn.XLOOKUP(B20,'Base stats'!B:B,'Base stats'!AM:AM)=1,0.001,0.025)),0.5)))</f>
        <v>0.1</v>
      </c>
      <c r="CA20" s="25" t="str">
        <f>IF(P20="Standard","No",MAX(0.001,MIN(MROUND(IF(AND(BJ20="True",CC20="False"),POWER(10,3.47*LOG10(_xlfn.XLOOKUP(B20,'Base stats'!B:B,'Base stats'!C:C)*1000)^-0.96),POWER(10,4.15*LOG10(_xlfn.XLOOKUP(B20,'Base stats'!B:B,'Base stats'!C:C)*1000)^-0.73))*IF(_xlfn.XLOOKUP(B20,'Base stats'!B:B,'Base stats'!AM:AM)=1,0.1,1)*_xlfn.XLOOKUP(B20,'Base stats'!B:B,'Base stats'!R:R)/100,IF(_xlfn.XLOOKUP(B20,'Base stats'!B:B,'Base stats'!AM:AM)=1,0.001,0.025)),0.5)))</f>
        <v>No</v>
      </c>
      <c r="CB20" s="25" t="str">
        <f>IF(_xlfn.XLOOKUP(_xlfn.XLOOKUP(B20,'Base stats'!B:B,'Base stats'!E:E),Groups!A:A,Groups!AJ:AJ)="Mammal","True","False")</f>
        <v>True</v>
      </c>
      <c r="CC20" s="25" t="str">
        <f>IF(OR(_xlfn.XLOOKUP(_xlfn.XLOOKUP(B20,'Base stats'!B:B,'Base stats'!E:E),Groups!A:A,Groups!AJ:AJ)="Reptile",_xlfn.XLOOKUP(_xlfn.XLOOKUP(B20,'Base stats'!B:B,'Base stats'!E:E),Groups!A:A,Groups!AJ:AJ)="Amphibian",_xlfn.XLOOKUP(_xlfn.XLOOKUP(B20,'Base stats'!B:B,'Base stats'!E:E),Groups!A:A,Groups!AJ:AJ)="Invertebrate"),"True","False")</f>
        <v>False</v>
      </c>
      <c r="CD20" s="25" t="str">
        <f t="shared" si="6"/>
        <v>False</v>
      </c>
      <c r="CE20" s="25" t="str">
        <f>IF(_xlfn.XLOOKUP(_xlfn.XLOOKUP(B20,'Base stats'!B:B,'Base stats'!E:E),Groups!A:A,Groups!AX:AX),"True","False")</f>
        <v>False</v>
      </c>
      <c r="CF20" s="25" t="str">
        <f>IF(_xlfn.XLOOKUP(_xlfn.XLOOKUP(B20,'Base stats'!B:B,'Base stats'!E:E),Groups!A:A,Groups!AY:AY),"True","False")</f>
        <v>False</v>
      </c>
      <c r="CG20" s="25" t="str">
        <f>IF(_xlfn.XLOOKUP(_xlfn.XLOOKUP(B20,'Base stats'!B:B,'Base stats'!E:E),Groups!A:A,Groups!AW:AW),"True","False")</f>
        <v>False</v>
      </c>
      <c r="CH20" s="25" t="str">
        <f>IF(
OR(
_xlfn.XLOOKUP(_xlfn.XLOOKUP(B20,'Base stats'!B:B,'Base stats'!E:E),Groups!A:A,Groups!AZ:AZ)=0,
AND(
_xlfn.XLOOKUP(B20,'Base stats'!B:B,'Base stats'!Y:Y)&lt;&gt;"Carnivore",
_xlfn.XLOOKUP(B20,'Base stats'!B:B,'Base stats'!Y:Y)&lt;&gt;"Omnivore",
_xlfn.XLOOKUP(B20,'Base stats'!B:B,'Base stats'!Y:Y)&lt;&gt;"OmnivoreRough"
)
),
"No",
IF(
_xlfn.XLOOKUP(_xlfn.XLOOKUP(B20,'Base stats'!B:B,'Base stats'!E:E),Groups!A:A,Groups!AZ:AZ)=1,
"Flesh",
IF(
_xlfn.XLOOKUP(_xlfn.XLOOKUP(B20,'Base stats'!B:B,'Base stats'!E:E),Groups!A:A,Groups!AZ:AZ)=2,
"Bone",
""
)
)
)</f>
        <v>No</v>
      </c>
      <c r="CI20" s="25" t="str">
        <f>IF(_xlfn.XLOOKUP(_xlfn.XLOOKUP(B20,'Base stats'!B:B,'Base stats'!E:E),Groups!A:A,Groups!BB:BB),"True","False")</f>
        <v>True</v>
      </c>
      <c r="CJ20" s="25" t="str">
        <f>IF(_xlfn.XLOOKUP(_xlfn.XLOOKUP(B20,'Base stats'!B:B,'Base stats'!E:E),Groups!A:A,Groups!BA:BA),"True","False")</f>
        <v>False</v>
      </c>
      <c r="CO20" s="16"/>
    </row>
    <row r="21" spans="1:93" ht="16.5" thickTop="1" thickBot="1" x14ac:dyDescent="0.3">
      <c r="A21" s="26" t="str">
        <f>_xlfn.XLOOKUP(B21,'Base stats'!B:B,'Base stats'!A:A)</f>
        <v>Horse</v>
      </c>
      <c r="B21" s="6" t="s">
        <v>91</v>
      </c>
      <c r="C21" s="28" t="s">
        <v>694</v>
      </c>
      <c r="D21" s="28" t="s">
        <v>45</v>
      </c>
      <c r="E21" s="28" t="s">
        <v>673</v>
      </c>
      <c r="F21" s="28" t="s">
        <v>673</v>
      </c>
      <c r="G21" s="28" t="s">
        <v>673</v>
      </c>
      <c r="H21" s="2">
        <f>MROUND((
  (IF(AND(_xlfn.XLOOKUP(B21,'Base stats'!B:B,'Base stats'!AL:AL)=0,BI21="None",_xlfn.XLOOKUP(_xlfn.XLOOKUP(B21,'Base stats'!B:B,'Base stats'!E:E),Groups!A:A,Groups!B:B)=0), (18 + BR21 * 2.7) * 0.5,
    IF(AND(_xlfn.XLOOKUP(B21,'Base stats'!B:B,'Base stats'!AL:AL)=0,OR(AO21&lt;0.55,AND(BI21="Intermediate",_xlfn.XLOOKUP(_xlfn.XLOOKUP(B21,'Base stats'!B:B,'Base stats'!E:E),Groups!A:A,Groups!B:B)&lt;2))), (18 + BR21 * 2.7),
      IF(OR(BI21="Advanced",_xlfn.XLOOKUP(B21,'Base stats'!B:B,'Base stats'!AL:AL)=1,_xlfn.XLOOKUP(_xlfn.XLOOKUP(B21,'Base stats'!B:B,'Base stats'!E:E),Groups!A:A,Groups!B:B)=2), (18 + BR21 * 2.7) + 250, (18 + BR21 * 2.7))
    )
  ))
  + AO21 * 80
  + IF(COUNTIF(EggMilk!K$2:K$998, A21) &gt; 0, 125, 0)
  + IF(COUNTIF(EggMilk!P$2:P$998, A21) &gt; 0, 90, 0)
  + IF(COUNTIF(EggMilk!A$2:A$998, A21) &gt; 0, 90, 0)
)
* (0.8 + 0.4 * J21)
* 0.75,25)</f>
        <v>425</v>
      </c>
      <c r="I21" s="2">
        <f>MROUND(ROUNDDOWN(_xlfn.XLOOKUP(B21,'Base stats'!B:B,'Base stats'!L:L)/3.6/(23.3/11),1),0.5)</f>
        <v>9</v>
      </c>
      <c r="J21" s="2">
        <f>IF(OR(_xlfn.XLOOKUP(B21,'Base stats'!B:B,'Base stats'!AB:AB)=1,_xlfn.XLOOKUP(_xlfn.XLOOKUP(B21,'Base stats'!B:B,'Base stats'!E:E),Groups!A:A,Groups!C:C)="Untamable"),1,IF(_xlfn.XLOOKUP(B21,'Base stats'!B:B,'Base stats'!AL:AL)=1,0.99,MIN(MROUND((1-0.6282*EXP(-0.459*AO21))*_xlfn.XLOOKUP(_xlfn.XLOOKUP(B21,'Base stats'!B:B,'Base stats'!E:E),Groups!A:A,Groups!C:C)*IF(_xlfn.XLOOKUP(B21,'Base stats'!B:B,'Base stats'!O:O)=1,0.5,IF(_xlfn.XLOOKUP(B21,'Base stats'!B:B,'Base stats'!O:O)=2,0,1)),0.05),IF(AO21&gt;3.5,0.985,0.95))))</f>
        <v>0.30000000000000004</v>
      </c>
      <c r="K21" s="2">
        <f>ROUNDUP(AO21*_xlfn.XLOOKUP(_xlfn.XLOOKUP(B21,'Base stats'!B:B,'Base stats'!E:E),Groups!A:A,Groups!E:E),0)</f>
        <v>14</v>
      </c>
      <c r="L21" s="2">
        <f>IF(OR(_xlfn.XLOOKUP(_xlfn.XLOOKUP(B21,'Base stats'!B:B,'Base stats'!E:E),Groups!A:A,Groups!F:F)=2,ISNUMBER(SEARCH("SeaIce",BX21)),ISNUMBER(SEARCH("IceSheet",BX21))),-50,IF(OR(ISNUMBER(SEARCH("GlacialPlain",BX21)),ISNUMBER(SEARCH("Tundra",BX21))),-40,IF(OR(ISNUMBER(SEARCH("Alpine",BX21)),ISNUMBER(SEARCH("BorealForest",BX21)),ISNUMBER(SEARCH("ColdBog",BX21))),-30,IF(OR(ISNUMBER(SEARCH("TemperateForest",BX21)),ISNUMBER(SEARCH("TemperateSwamp",BX21))),-20,IF(_xlfn.XLOOKUP(_xlfn.XLOOKUP(B21,'Base stats'!B:B,'Base stats'!E:E),Groups!A:A,Groups!F:F)=1,-15,IF(OR(ISNUMBER(SEARCH("Desert",BX21)),ISNUMBER(SEARCH("ExtremeDesert",BX21))),-10,IF(OR(ISNUMBER(SEARCH("Grasslands",BX21)),ISNUMBER(SEARCH("TropicalRainforest",BX21)),ISNUMBER(SEARCH("TropicalSwamp",BX21))),10,0)))))))-IF(CC21="False",MIN(IFERROR(MAX(MROUND(LOG10(_xlfn.XLOOKUP(B21,'Base stats'!B:B,'Base stats'!C:C)^(2/3))*10,5),5),5),30))-_xlfn.XLOOKUP(B21,'Base stats'!B:B,'Base stats'!P:P)+IF(CC21="True",5,0)</f>
        <v>-35</v>
      </c>
      <c r="M21" s="2">
        <f>IF(OR(_xlfn.XLOOKUP(_xlfn.XLOOKUP(B21,'Base stats'!B:B,'Base stats'!E:E),Groups!A:A,Groups!G:G)=2,ISNUMBER(SEARCH("Desert",BX21)),ISNUMBER(SEARCH("ExtremeDesert",BX21)),ISNUMBER(SEARCH("LavaField",BX21))),50,IF(ISNUMBER(SEARCH("Grasslands",BX21)),45,IF(OR(_xlfn.XLOOKUP(_xlfn.XLOOKUP(B21,'Base stats'!B:B,'Base stats'!E:E),Groups!A:A,Groups!G:G)=1,ISNUMBER(SEARCH("TropicalRainforest",BX21)),ISNUMBER(SEARCH("TropicalSwamp",BX21))),40,IF(OR(ISNUMBER(SEARCH("TemperateForest",BX21)),ISNUMBER(SEARCH("TemperateSwamp",BX21))),35,IF(OR(ISNUMBER(SEARCH("Alpine",BX21)),ISNUMBER(SEARCH("BorealForest",BX21)),ISNUMBER(SEARCH("ColdBog",BX21))),30,IF(ISNUMBER(OR(ISNUMBER(SEARCH("GlacialPlain",BX21)),SEARCH("Tundra",BX21))),25,IF(OR(ISNUMBER(SEARCH("SeaIce",BX21)),ISNUMBER(SEARCH("IceSheet",BX21)),ISNUMBER(SEARCH("TropicalSwamp",BX21))),10,35)))))))+_xlfn.XLOOKUP(B21,'Base stats'!B:B,'Base stats'!Q:Q)</f>
        <v>45</v>
      </c>
      <c r="N21" s="8" t="str">
        <f>IF(
_xlfn.XLOOKUP(
_xlfn.XLOOKUP(B21,'Base stats'!B:B,'Base stats'!E:E),
Groups!A:A,
Groups!L:L
)=1,
MIN(
MROUND(
IF(
_xlfn.XLOOKUP(B21,'Animals CE'!B:B,'Animals CE'!Z:Z)&lt;=1.5,
_xlfn.XLOOKUP(B21,'Animals CE'!B:B,'Animals CE'!Z:Z)/2+0.05,
0.8+
(_xlfn.XLOOKUP(B21,'Animals CE'!B:B,'Animals CE'!Z:Z)-1.5)
*0.02
),
0.05
),
200%
),
"No"
)</f>
        <v>No</v>
      </c>
      <c r="O21" s="8" t="str">
        <f>IF(
_xlfn.XLOOKUP(
_xlfn.XLOOKUP(B21,'Base stats'!B:B,'Base stats'!E:E),
Groups!A:A,
Groups!L:L
)=1,
MIN(
MROUND(
IF(
_xlfn.XLOOKUP(B21,'Animals CE'!B:B,'Animals CE'!AA:AA)&lt;=1.5,
_xlfn.XLOOKUP(B21,'Animals CE'!B:B,'Animals CE'!AA:AA)/2+0.05,
0.8+
(_xlfn.XLOOKUP(B21,'Animals CE'!B:B,'Animals CE'!AA:AA)-1.5)
*0.02
),
0.05
),
200%
),
"No"
)</f>
        <v>No</v>
      </c>
      <c r="P21" s="2" t="str">
        <f>_xlfn.XLOOKUP(B21,'Base stats'!B:B,'Base stats'!R:R)</f>
        <v>Standard</v>
      </c>
      <c r="Q21" s="13">
        <f>MROUND((LOG10(_xlfn.XLOOKUP(B21,'Base stats'!B:B,'Base stats'!AR:AR))*(AO21^0.5)+(_xlfn.XLOOKUP(B21,'Base stats'!B:B,'Base stats'!AR:AR)/1000)^(2/3)+_xlfn.XLOOKUP(B21,'Base stats'!B:B,'Base stats'!BA:BA)/2)+0.5,0.5)</f>
        <v>14.5</v>
      </c>
      <c r="R21" s="7">
        <f>IF(Q21="No","No",MAX(1,MROUND(_xlfn.XLOOKUP(B21,'Base stats'!B:B,'Base stats'!C:C)^0.165,0.05)))</f>
        <v>2.7</v>
      </c>
      <c r="S21" s="13">
        <f>IF(_xlfn.XLOOKUP(_xlfn.XLOOKUP(B21,'Base stats'!B:B,'Base stats'!E:E),Groups!A:A,Groups!P:P)=0,"No",MROUND((LOG10(_xlfn.XLOOKUP(B21,'Base stats'!B:B,'Base stats'!AS:AS))*(AO21^0.5)+(_xlfn.XLOOKUP(B21,'Base stats'!B:B,'Base stats'!AS:AS)/1000)^(2/3)+_xlfn.XLOOKUP(B21,'Base stats'!B:B,'Base stats'!BA:BA))+_xlfn.XLOOKUP(B21,'Base stats'!B:B,'Base stats'!AY:AY)+0.5,0.5))</f>
        <v>18</v>
      </c>
      <c r="T21" s="7">
        <f>IF(S21="No","No",MAX(_xlfn.XLOOKUP(_xlfn.XLOOKUP(B21,'Base stats'!B:B,'Base stats'!E:E),Groups!A:A,Groups!Q:Q),MROUND(_xlfn.XLOOKUP(_xlfn.XLOOKUP(B21,'Base stats'!B:B,'Base stats'!E:E),Groups!A:A,Groups!Q:Q)*_xlfn.XLOOKUP(B21,'Base stats'!B:B,'Base stats'!C:C)^0.165,0.05)))</f>
        <v>2.3000000000000003</v>
      </c>
      <c r="U21" s="7" t="str">
        <f>IF(S21="No","No",_xlfn.XLOOKUP(_xlfn.XLOOKUP(B21,'Base stats'!B:B,'Base stats'!E:E),Groups!A:A,Groups!R:R))</f>
        <v>FrontLeftLeg, FrontRightLeg</v>
      </c>
      <c r="V21" s="7" t="str">
        <f>IF(S21="No","No",_xlfn.XLOOKUP(_xlfn.XLOOKUP(B21,'Base stats'!B:B,'Base stats'!E:E),Groups!A:A,Groups!S:S))</f>
        <v>left hoof, right hoof</v>
      </c>
      <c r="W21" s="7" t="str">
        <f>IF(S21="No","No",_xlfn.XLOOKUP(_xlfn.XLOOKUP(B21,'Base stats'!B:B,'Base stats'!E:E),Groups!A:A,Groups!T:T))</f>
        <v>Blunt</v>
      </c>
      <c r="X21" s="13" t="str">
        <f>IF(_xlfn.XLOOKUP(B21,'Base stats'!B:B,'Base stats'!W:W)="No","No",MROUND((LOG10(_xlfn.XLOOKUP(B21,'Base stats'!B:B,'Base stats'!AU:AU))*(AO21^0.5)+(_xlfn.XLOOKUP(B21,'Base stats'!B:B,'Base stats'!AU:AU)/1000)^(2/3)+_xlfn.XLOOKUP(B21,'Base stats'!B:B,'Base stats'!AZ:AZ))+0.5+IF(_xlfn.XLOOKUP(_xlfn.XLOOKUP(B21,'Base stats'!B:B,'Base stats'!E:E),Groups!A:A,Groups!U:U)&lt;&gt;3,_xlfn.XLOOKUP(B21,'Base stats'!B:B,'Base stats'!BA:BA),0),0.5))</f>
        <v>No</v>
      </c>
      <c r="Y21" s="7" t="str">
        <f>IF(X21="No","No",MAX(_xlfn.XLOOKUP(_xlfn.XLOOKUP(B21,'Base stats'!B:B,'Base stats'!E:E),Groups!A:A,Groups!V:V),MROUND(_xlfn.XLOOKUP(_xlfn.XLOOKUP(B21,'Base stats'!B:B,'Base stats'!E:E),Groups!A:A,Groups!V:V)*_xlfn.XLOOKUP(B21,'Base stats'!B:B,'Base stats'!C:C)^0.165,0.05)))</f>
        <v>No</v>
      </c>
      <c r="Z21" s="7" t="str">
        <f>IF(X21="No","No",_xlfn.XLOOKUP(_xlfn.XLOOKUP(B21,'Base stats'!B:B,'Base stats'!E:E),Groups!A:A,Groups!W:W))</f>
        <v>No</v>
      </c>
      <c r="AA21" s="7" t="str">
        <f>IF(X21="No","No",_xlfn.XLOOKUP(_xlfn.XLOOKUP(B21,'Base stats'!B:B,'Base stats'!E:E),Groups!A:A,Groups!X:X))</f>
        <v>No</v>
      </c>
      <c r="AB21" s="7" t="str">
        <f>IF(X21="No","No",_xlfn.XLOOKUP(_xlfn.XLOOKUP(B21,'Base stats'!B:B,'Base stats'!E:E),Groups!A:A,Groups!Y:Y))</f>
        <v>No</v>
      </c>
      <c r="AC21" s="7" t="str">
        <f>_xlfn.XLOOKUP(Animals!B21,'Base stats'!B:B,'Base stats'!X:X)</f>
        <v>False</v>
      </c>
      <c r="AD21" s="13">
        <f>IF(_xlfn.XLOOKUP(B21,'Base stats'!B:B,'Base stats'!AT:AT)="No","No",MROUND((LOG10(_xlfn.XLOOKUP(B21,'Base stats'!B:B,'Base stats'!AT:AT))*(AO21^0.75)+(_xlfn.XLOOKUP(B21,'Base stats'!B:B,'Base stats'!AT:AT)/1000)^(2/3)+_xlfn.XLOOKUP(B21,'Base stats'!B:B,'Base stats'!AX:AX)+_xlfn.XLOOKUP(B21,'Base stats'!B:B,'Base stats'!BA:BA))+0.5,0.5))</f>
        <v>19</v>
      </c>
      <c r="AE21" s="7">
        <f>IF(AD21="No","No",MAX(_xlfn.XLOOKUP(_xlfn.XLOOKUP(B21,'Base stats'!B:B,'Base stats'!E:E),Groups!A:A,Groups!Z:Z),MROUND(_xlfn.XLOOKUP(_xlfn.XLOOKUP(B21,'Base stats'!B:B,'Base stats'!E:E),Groups!A:A,Groups!Z:Z)*_xlfn.XLOOKUP(B21,'Base stats'!B:B,'Base stats'!C:C)^0.165,0.05)))</f>
        <v>2.7</v>
      </c>
      <c r="AF21" s="7" t="str">
        <f>IF(AD21="No","No",_xlfn.XLOOKUP(_xlfn.XLOOKUP(B21,'Base stats'!B:B,'Base stats'!E:E),Groups!A:A,Groups!AA:AA))</f>
        <v>Teeth</v>
      </c>
      <c r="AG21" s="7" t="str">
        <f>IF(AD21="No","No",_xlfn.XLOOKUP(_xlfn.XLOOKUP(B21,'Base stats'!B:B,'Base stats'!E:E),Groups!A:A,Groups!AB:AB))</f>
        <v>teeth</v>
      </c>
      <c r="AH21" s="7" t="str">
        <f>IF(AD21="No","No",_xlfn.XLOOKUP(_xlfn.XLOOKUP(B21,'Base stats'!B:B,'Base stats'!E:E),Groups!A:A,Groups!AC:AC))</f>
        <v>Bite</v>
      </c>
      <c r="AI21" s="13" t="str">
        <f>IF(_xlfn.XLOOKUP(_xlfn.XLOOKUP(B21,'Base stats'!B:B,'Base stats'!E:E),Groups!A:A,Groups!AD:AD)=0,"No",MROUND((LOG10(_xlfn.XLOOKUP(B21,'Base stats'!B:B,'Base stats'!AS:AS))*(AO21^0.75)+(_xlfn.XLOOKUP(B21,'Base stats'!B:B,'Base stats'!AS:AS)/1000)^(2/3)+_xlfn.XLOOKUP(B21,'Base stats'!B:B,'Base stats'!AY:AY)+_xlfn.XLOOKUP(B21,'Base stats'!B:B,'Base stats'!BA:BA))+0.5,0.5))</f>
        <v>No</v>
      </c>
      <c r="AJ21" s="7" t="str">
        <f>IF(AI21="No","No",MAX(_xlfn.XLOOKUP(_xlfn.XLOOKUP(B21,'Base stats'!B:B,'Base stats'!E:E),Groups!A:A,Groups!AE:AE),MROUND(_xlfn.XLOOKUP(_xlfn.XLOOKUP(B21,'Base stats'!B:B,'Base stats'!E:E),Groups!A:A,Groups!AE:AE)*IF(_xlfn.XLOOKUP(_xlfn.XLOOKUP(B21,'Base stats'!B:B,'Base stats'!E:E),Groups!A:A,Groups!AJ:AJ)="Photonozoa",0.6,1)*_xlfn.XLOOKUP(B21,'Base stats'!B:B,'Base stats'!C:C)^0.165,0.05)))</f>
        <v>No</v>
      </c>
      <c r="AK21" s="7" t="str">
        <f>IF(AI21="No","No",_xlfn.XLOOKUP(_xlfn.XLOOKUP(B21,'Base stats'!B:B,'Base stats'!E:E),Groups!A:A,Groups!AF:AF))</f>
        <v>No</v>
      </c>
      <c r="AL21" s="7" t="str">
        <f>IF(AI21="No","No",_xlfn.XLOOKUP(_xlfn.XLOOKUP(B21,'Base stats'!B:B,'Base stats'!E:E),Groups!A:A,Groups!AG:AG))</f>
        <v>No</v>
      </c>
      <c r="AM21" s="7" t="str">
        <f>IF(AI21="No","No",_xlfn.XLOOKUP(_xlfn.XLOOKUP(B21,'Base stats'!B:B,'Base stats'!E:E),Groups!A:A,Groups!AH:AH))</f>
        <v>No</v>
      </c>
      <c r="AN21" s="2" t="str">
        <f t="shared" si="0"/>
        <v>No</v>
      </c>
      <c r="AO21" s="2">
        <f>MROUND(IF(AND(_xlfn.XLOOKUP(B21,'Base stats'!B:B,'Base stats'!C:C)&gt;=0.5,_xlfn.XLOOKUP(B21,'Base stats'!B:B,'Base stats'!C:C)&lt;=0.8),
IF(_xlfn.XLOOKUP(B21,'Base stats'!B:B,'Base stats'!C:C)&lt;0.1,0.05,IF(_xlfn.XLOOKUP(B21,'Base stats'!B:B,'Base stats'!C:C)&lt;=70,(_xlfn.XLOOKUP(B21,'Base stats'!B:B,'Base stats'!C:C)/70)^0.426489913056526,IF(_xlfn.XLOOKUP(B21,'Base stats'!B:B,'Base stats'!C:C)&lt;=400,(_xlfn.XLOOKUP(B21,'Base stats'!B:B,'Base stats'!C:C)/70)^0.572811455315093,IF(_xlfn.XLOOKUP(B21,'Base stats'!B:B,'Base stats'!C:C)&lt;=2000,2.71391647193063*(_xlfn.XLOOKUP(B21,'Base stats'!B:B,'Base stats'!C:C)/400)^0.252459582904293,3.74314280240376*(_xlfn.XLOOKUP(B21,'Base stats'!B:B,'Base stats'!C:C)/2000)^0.357012633876913)))),
IF(_xlfn.XLOOKUP(B21,'Base stats'!B:B,'Base stats'!C:C)&lt;0.1,0.05,IF(_xlfn.XLOOKUP(B21,'Base stats'!B:B,'Base stats'!C:C)&lt;0.4,0.1,IF(_xlfn.XLOOKUP(B21,'Base stats'!B:B,'Base stats'!C:C)&lt;=70,(_xlfn.XLOOKUP(B21,'Base stats'!B:B,'Base stats'!C:C)/70)^0.445823913056526,IF(_xlfn.XLOOKUP(B21,'Base stats'!B:B,'Base stats'!C:C)&lt;=400,(_xlfn.XLOOKUP(B21,'Base stats'!B:B,'Base stats'!C:C)/70)^0.572811455315093,IF(_xlfn.XLOOKUP(B21,'Base stats'!B:B,'Base stats'!C:C)&lt;=2000,2.71391647193063*(_xlfn.XLOOKUP(B21,'Base stats'!B:B,'Base stats'!C:C)/400)^0.252459582904293,3.74314280240376*(_xlfn.XLOOKUP(B21,'Base stats'!B:B,'Base stats'!C:C)/2000)^0.357012633876913)))))),
IF(_xlfn.XLOOKUP(B21,'Base stats'!B:B,'Base stats'!C:C)&lt;0.1,0.05,IF(_xlfn.XLOOKUP(B21,'Base stats'!B:B,'Base stats'!C:C)&lt;=100,0.05,IF(_xlfn.XLOOKUP(B21,'Base stats'!B:B,'Base stats'!C:C)&lt;=250,0.1,IF(_xlfn.XLOOKUP(B21,'Base stats'!B:B,'Base stats'!C:C)&lt;=4000,0.25,0.5)))))</f>
        <v>2.75</v>
      </c>
      <c r="AP21" s="8">
        <f>MROUND(AO21*_xlfn.XLOOKUP(_xlfn.XLOOKUP(B21,'Base stats'!B:B,'Base stats'!E:E),Groups!A:A,Groups!AI:AI)*_xlfn.XLOOKUP(B21,'Base stats'!B:B,'Base stats'!Z:Z),0.05)</f>
        <v>2.75</v>
      </c>
      <c r="AQ21" s="8">
        <f>MAX(0.01,MROUND(IF(CC21="True",0.196*(AO21*100*1000)^0.889,IF(_xlfn.XLOOKUP(_xlfn.XLOOKUP(B21,'Base stats'!B:B,'Base stats'!E:E),Groups!A:A,Groups!AJ:AJ)="Bird",10.5*(AO21*100*1000)^0.681,4.82*(AO21*100*1000)^0.734))/(4.82*(1*100*1000)^0.734)/IF(AO21&lt;3.5,2,IF(AO21=3.5,1.5,1.25))*(1+0.132282374779864/(AO21^0.994035016789033+0.00905238001496948)),0.05))</f>
        <v>1.1000000000000001</v>
      </c>
      <c r="AR21" s="9">
        <f>IFERROR(MROUND(_xlfn.XLOOKUP(B21,'Base stats'!B:B,'Base stats'!H:H)/IF(_xlfn.XLOOKUP(B21,'Base stats'!B:B,'Base stats'!I:I)&lt;&gt;1,(122.5/70),1.2),IF(_xlfn.XLOOKUP(B21,'Base stats'!B:B,'Base stats'!H:H)&gt;=30,5,IF(_xlfn.XLOOKUP(B21,'Base stats'!B:B,'Base stats'!H:H)&gt;=15,3,IF(_xlfn.XLOOKUP(B21,'Base stats'!B:B,'Base stats'!H:H)&gt;=10,2,1)))),"Immortal")</f>
        <v>35</v>
      </c>
      <c r="AS21" s="35">
        <f>IFERROR(IF(OR(_xlfn.XLOOKUP(B21,'Base stats'!B:B,'Base stats'!F:F)="Atypical reproduction",_xlfn.XLOOKUP(B21,'Base stats'!B:B,'Base stats'!F:F)="Lay eggs"),"Lay eggs",MIN(20,MAX(5.5,ROUND(((_xlfn.XLOOKUP(B21,'Base stats'!B:B,'Base stats'!F:F)-25)*(14.5/615) + 5.5)*2,0)/2))),"Unknown")</f>
        <v>13</v>
      </c>
      <c r="AT21" s="8">
        <f>IF(_xlfn.XLOOKUP(B21,'Base stats'!B:B,'Base stats'!G:G)="Atypical reproduction","No",IFERROR(MAX(IF(_xlfn.XLOOKUP(B21,'Base stats'!B:B,'Base stats'!G:G)&lt;0.5,0.2,0.3),MROUND(_xlfn.XLOOKUP(B21,'Base stats'!B:B,'Base stats'!G:G)/(365/60),0.2)),"Unknown"))</f>
        <v>0.4</v>
      </c>
      <c r="AU21" s="8">
        <f t="shared" si="1"/>
        <v>0.2</v>
      </c>
      <c r="AV21" s="8">
        <f>IFERROR(IFERROR(MROUND(_xlfn.XLOOKUP(B21,'Base stats'!B:B,'Base stats'!J:J),0.1),"Lay eggs"),"Cannot breed")</f>
        <v>1</v>
      </c>
      <c r="AW21" s="2" t="str">
        <f t="shared" si="2"/>
        <v>true</v>
      </c>
      <c r="AX21" s="2" t="str">
        <f>IF(_xlfn.XLOOKUP(_xlfn.XLOOKUP(Animals!B21,'Base stats'!B:B,'Base stats'!E:E),Groups!A:A,Groups!AK:AK)=1,"true","false")</f>
        <v>true</v>
      </c>
      <c r="AY21" s="25" t="str">
        <f>IF(_xlfn.XLOOKUP(B21,'Base stats'!B:B,'Base stats'!Y:Y)="Liquor","Liquor, CarnivoreAnimalStrict",IF(AND(_xlfn.XLOOKUP(B21,'Base stats'!B:B,'Base stats'!Y:Y)="Carnivore",_xlfn.XLOOKUP(_xlfn.XLOOKUP(B21,'Base stats'!B:B,'Base stats'!E:E),Groups!A:A,Groups!AJ:AJ)="Photonozoa"),"CarnivoreAnimalStrict, OvivoreAnimal",IF(_xlfn.XLOOKUP(B21,'Base stats'!B:B,'Base stats'!Y:Y)="Carnivore","CarnivoreAnimal, OvivoreAnimal",IF(_xlfn.XLOOKUP(B21,'Base stats'!B:B,'Base stats'!Y:Y)="Dendrovore","VegetarianRoughAnimal, DendrovoreAnimal",IF(_xlfn.XLOOKUP(B21,'Base stats'!B:B,'Base stats'!Y:Y)="Herbivore","VegetarianRoughAnimal",IF(_xlfn.XLOOKUP(B21,'Base stats'!B:B,'Base stats'!Y:Y)="OmnivoreRough","OmnivoreRoughAnimal, OvivoreAnimal","OmnivoreAnimal, OvivoreAnimal"))))))</f>
        <v>VegetarianRoughAnimal</v>
      </c>
      <c r="AZ21" s="2">
        <f>IF(_xlfn.XLOOKUP(_xlfn.XLOOKUP(B21,'Base stats'!B:B,'Base stats'!E:E),Groups!A:A,Groups!D:D)=1,MROUND((1-J21)*5+1,2)*IF(J21&lt;=0.4,2,1),"No")</f>
        <v>8</v>
      </c>
      <c r="BA21" s="2" t="str">
        <f>IF(AND(_xlfn.XLOOKUP(B21,'Base stats'!B:B,'Base stats'!AH:AH)="&lt;li&gt;Seal&lt;/li&gt;",G21="Odyssey"),"&lt;li&gt;AEXP_Seal&lt;/li&gt;",_xlfn.XLOOKUP(B21,'Base stats'!B:B,'Base stats'!AH:AH))</f>
        <v>No</v>
      </c>
      <c r="BB21" s="2" t="str">
        <f>_xlfn.XLOOKUP(B21,'Base stats'!B:B,'Base stats'!AG:AG)</f>
        <v>Leather_Plain</v>
      </c>
      <c r="BC21" s="23" t="str">
        <f>_xlfn.XLOOKUP(_xlfn.XLOOKUP(B21,'Base stats'!B:B,'Base stats'!E:E),Groups!A:A,Groups!AL:AL)</f>
        <v>QuadrupedAnimalWithHooves</v>
      </c>
      <c r="BD21" s="23">
        <f>MIN(1,MROUND(IF(AND(AO21&lt;0.5,_xlfn.XLOOKUP(B21,'Base stats'!B:B,'Base stats'!AA:AA)=0),0,IF(OR(_xlfn.XLOOKUP(Animals!B21,'Base stats'!B:B,'Base stats'!O:O)=2,_xlfn.XLOOKUP(_xlfn.XLOOKUP(B21,'Base stats'!B:B,'Base stats'!E:E),Groups!A:A,Groups!AN:AN)=0),0,_xlfn.XLOOKUP(_xlfn.XLOOKUP(B21,'Base stats'!B:B,'Base stats'!E:E),Groups!A:A,Groups!AN:AN)/IF(_xlfn.XLOOKUP(Animals!B21,'Base stats'!B:B,'Base stats'!O:O)=1,2,1)))+_xlfn.XLOOKUP(B21,'Base stats'!B:B,'Base stats'!AC:AC),0.005))</f>
        <v>0</v>
      </c>
      <c r="BE21" s="23">
        <f>MIN(1,MROUND(IF(AND(AO21&lt;0.5,_xlfn.XLOOKUP(B21,'Base stats'!B:B,'Base stats'!AA:AA)=0),0,IF(_xlfn.XLOOKUP(_xlfn.XLOOKUP(B21,'Base stats'!B:B,'Base stats'!E:E),Groups!A:A,Groups!AO:AO)=0,0,_xlfn.XLOOKUP(_xlfn.XLOOKUP(B21,'Base stats'!B:B,'Base stats'!E:E),Groups!A:A,Groups!AO:AO)/IF(_xlfn.XLOOKUP(Animals!B21,'Base stats'!B:B,'Base stats'!O:O)=2,3,1)))+_xlfn.XLOOKUP(B21,'Base stats'!B:B,'Base stats'!AD:AD),0.005))</f>
        <v>0</v>
      </c>
      <c r="BF21" s="2">
        <f>IF(J21&gt;0.3,"No",_xlfn.XLOOKUP(_xlfn.XLOOKUP(Animals!B21,'Base stats'!B:B,'Base stats'!E:E),Groups!A:A,Groups!AP:AP))</f>
        <v>0.2</v>
      </c>
      <c r="BG21" s="2" t="str">
        <f>IF(AND(J21&lt;=0.65,_xlfn.XLOOKUP(_xlfn.XLOOKUP(Animals!B21,'Base stats'!B:B,'Base stats'!E:E),Groups!A:A,Groups!AP:AP)&lt;&gt;"No",_xlfn.XLOOKUP(_xlfn.XLOOKUP(B21,'Base stats'!B:B,'Base stats'!E:E),Groups!A:A,Groups!D:D)=0),MROUND((80/3)*IF(_xlfn.XLOOKUP(B21,'Base stats'!B:B,'Base stats'!O:O)=2,0.2,AO21) + 24*(1-IF(BF21="No",0,BF21)) + 16/3, 12),"No")</f>
        <v>No</v>
      </c>
      <c r="BH21" s="2">
        <f>IF(AND(_xlfn.XLOOKUP(_xlfn.XLOOKUP(B21,'Base stats'!B:B,'Base stats'!E:E),Groups!A:A,Groups!AQ:AQ)=1,AO21&lt;=0.35),8,12)</f>
        <v>12</v>
      </c>
      <c r="BI21" s="2" t="str">
        <f>IF(_xlfn.XLOOKUP(_xlfn.XLOOKUP(B21,'Base stats'!B:B,'Base stats'!E:E),Groups!A:A,Groups!D:D)=0,_xlfn.XLOOKUP(_xlfn.XLOOKUP(B21,'Base stats'!B:B,'Base stats'!E:E),Groups!A:A,Groups!AR:AR),"None")</f>
        <v>None</v>
      </c>
      <c r="BJ21" s="2" t="str">
        <f>IF(AND(_xlfn.XLOOKUP(_xlfn.XLOOKUP(B21,'Base stats'!B:B,'Base stats'!E:E),Groups!A:A,Groups!AS:AS)=1,OR(_xlfn.XLOOKUP(B21,'Base stats'!B:B,'Base stats'!Y:Y)="Carnivore",_xlfn.XLOOKUP(B21,'Base stats'!B:B,'Base stats'!Y:Y)="Omnivore")),"true","false")</f>
        <v>false</v>
      </c>
      <c r="BK21" s="2" t="str">
        <f>IF(BJ21="true",MROUND(IF(AND(AO21&gt;0.5,OR(_xlfn.XLOOKUP(_xlfn.XLOOKUP(B21,'Base stats'!B:B,'Base stats'!E:E),Groups!A:A,Groups!AJ:AJ)="Photonozoa",_xlfn.XLOOKUP(_xlfn.XLOOKUP(B21,'Base stats'!B:B,'Base stats'!E:E),Groups!A:A,Groups!AJ:AJ)="Mammal")),Animals!AO21*1.75*IF(AW21="true",1.5,1),IF(AO21&lt;0.5,Animals!AO21*0.5,Animals!AO21)),IF(AO21&gt;2,0.5,IF(AO21&gt;0.5,0.25,0.1))),"No")</f>
        <v>No</v>
      </c>
      <c r="BL21" s="2">
        <f t="shared" si="3"/>
        <v>0</v>
      </c>
      <c r="BM21" s="25" t="str">
        <f>IF(_xlfn.XLOOKUP(B21,'Base stats'!B:B,'Base stats'!AN:AN)="Standard","No",MROUND((_xlfn.XLOOKUP(B21,'Base stats'!B:B,'Base stats'!AN:AN)/3.6)/I21,0.1))</f>
        <v>No</v>
      </c>
      <c r="BN21" s="25" t="str">
        <f t="shared" si="4"/>
        <v>false</v>
      </c>
      <c r="BO21" s="25" t="str">
        <f>IF(AND(OR(_xlfn.XLOOKUP(B21,'Base stats'!B:B,'Base stats'!Y:Y)="Carnivore",_xlfn.XLOOKUP(B21,'Base stats'!B:B,'Base stats'!Y:Y)="Omnivore",_xlfn.XLOOKUP(B21,'Base stats'!B:B,'Base stats'!Y:Y)="OmnivoreRough"),_xlfn.XLOOKUP(_xlfn.XLOOKUP(B21,'Base stats'!B:B,'Base stats'!E:E),Groups!A:A,Groups!AT:AT)=1),"true","false")</f>
        <v>false</v>
      </c>
      <c r="BP21" s="25" t="str" cm="1">
        <f t="array" ref="BP21">IF(
  _xlfn.TEXTJOIN(", ",TRUE,
    IF(AND(BJ21="true",AO21&gt;0.5,BI21&lt;&gt;"None"),"AttackTarget",""),
    IF(AND(_xlfn.XLOOKUP(_xlfn.XLOOKUP(B21,'Base stats'!B:B,'Base stats'!E:E),Groups!A:A,Groups!AJ:AJ="Mammal"),OR(_xlfn.XLOOKUP(B21,'Base stats'!B:B,'Base stats'!Y:Y)="Omnivore",_xlfn.XLOOKUP(B21,'Base stats'!B:B,'Base stats'!Y:Y)="OmnivoreRough")),"Forage",""),
    IF(BG21&lt;=36,"Comfort",""),
    IF(_xlfn.XLOOKUP(B21,'Base stats'!B:B,'Base stats'!AE:AE)&lt;&gt;"No",_xlfn.XLOOKUP(B21,'Base stats'!B:B,'Base stats'!AE:AE),"")
  ) = "",
  "No",
  _xlfn.TEXTJOIN(", ",TRUE,
    IF(AND(BJ21="true",AO21&gt;0.5,BI21&lt;&gt;"None"),"AttackTarget",""),
    IF(AND(_xlfn.XLOOKUP(_xlfn.XLOOKUP(B21,'Base stats'!B:B,'Base stats'!E:E),Groups!A:A,Groups!AJ:AJ="Mammal"),OR(_xlfn.XLOOKUP(B21,'Base stats'!B:B,'Base stats'!Y:Y)="Omnivore",_xlfn.XLOOKUP(B21,'Base stats'!B:B,'Base stats'!Y:Y)="OmnivoreRough")),"Forage",""),
    IF(BG21&lt;=36,"Comfort",""),
    IF(_xlfn.XLOOKUP(B21,'Base stats'!B:B,'Base stats'!AE:AE)&lt;&gt;"No",_xlfn.XLOOKUP(B21,'Base stats'!B:B,'Base stats'!AE:AE),"")
  )
)</f>
        <v>No</v>
      </c>
      <c r="BQ21" s="25" t="str">
        <f>IF(
   AND(
      'Base stats'!AN21="Standard",_xlfn.XLOOKUP(_xlfn.XLOOKUP(B21,'Base stats'!B:B,'Base stats'!E:E),Groups!A:A,Groups!AU:AU)=0,
      OR(
      BO21="True"
      )
   ),
   10,
   IF(
       OR(BM21&lt;&gt;"No",_xlfn.XLOOKUP(_xlfn.XLOOKUP(B21,'Base stats'!B:B,'Base stats'!E:E),Groups!A:A,Groups!AU:AU)=1),
      1,
      "No"
   )
)</f>
        <v>No</v>
      </c>
      <c r="BR21" s="9">
        <f>MROUND((1 + ((0.2*IF(OR(Q21="No",R21="No",R21=0),0,Q21/R21)
+IF(OR(V21="No",S21="No",T21="No"),0,S21/T21*(LEN(V21)-LEN(SUBSTITUTE(V21,",",""))+1))
+IF(OR(X21="No",Y21="No"),0,X21/Y21)
+IF(OR(AD21="No",AE21="No"),0,AD21/AE21)
+IF(OR(AL21="No",AI21="No",AJ21="No"),0,AI21/AJ21*(LEN(AL21)-LEN(SUBSTITUTE(AL21,",",""))+1))
)/(0.2*IF(OR(Q21="No",R21="No",R21=0),0,1)
+IF(OR(V21="No",S21="No",T21="No"),0,LEN(V21)-LEN(SUBSTITUTE(V21,",",""))+1)
+IF(OR(X21="No",Y21="No"),0,1)
+IF(OR(AD21="No",AE21="No"),0,1)
+IF(OR(AL21="No",AI21="No",AJ21="No"),0,LEN(AL21)-LEN(SUBSTITUTE(AL21,",",""))+1))*62%)* 2)*(1 + (AP21 / (IF(_xlfn.XLOOKUP(_xlfn.XLOOKUP(B21,'Base stats'!B:B,'Base stats'!E:E),Groups!A:A,Groups!AJ:AJ)="Photonozoa",0.3,1)) + _xlfn.XLOOKUP(B21,'Base stats'!B:B,'Base stats'!AV:AV) * 1.8) * 2) * 2.5 + 10 + I21 * 2,5)+IF(_xlfn.XLOOKUP(B21,'Base stats'!B:B,'Base stats'!AK:AK)=1,50,0)</f>
        <v>195</v>
      </c>
      <c r="BS21" s="8">
        <f t="shared" si="5"/>
        <v>1.4500000000000002</v>
      </c>
      <c r="BT21" s="8" t="str">
        <f>_xlfn.XLOOKUP(B21,'Base stats'!B:B,'Base stats'!AF:AF)</f>
        <v>3~10</v>
      </c>
      <c r="BU21" s="2" t="str">
        <f>IF(AND(J21&lt;=0.95,OR(_xlfn.XLOOKUP(B21,'Base stats'!B:B,'Base stats'!AK:AK)=1,_xlfn.XLOOKUP(B21,'Base stats'!B:B,'Base stats'!Y:Y)="Carnivore",_xlfn.XLOOKUP(B21,'Base stats'!B:B,'Base stats'!Y:Y)="Omnivore",BE21&gt;0.1)),"true","false")</f>
        <v>false</v>
      </c>
      <c r="BV21" s="2" t="str">
        <f>IF(_xlfn.XLOOKUP(B21,'Base stats'!B:B,'Base stats'!AI:AI)=1,"true","false")</f>
        <v>true</v>
      </c>
      <c r="BW21" s="25" t="str">
        <f>IF(E21="BaseInsect","AnimalInsect",
IF(J21&gt;0.95,"AnimalExotic",
_xlfn.TEXTJOIN(", ",TRUE,
IF(OR(_xlfn.XLOOKUP(B21,'Base stats'!B:B,'Base stats'!AM:AM)=1,AND(_xlfn.XLOOKUP(B21,'Base stats'!B:B,'Base stats'!O:O)=0,_xlfn.XLOOKUP(_xlfn.XLOOKUP(B21,'Base stats'!B:B,'Base stats'!E:E),Groups!A:A,Groups!B:B)&gt;0)),"AnimalUncommon","AnimalCommon"),
IF(AND(_xlfn.XLOOKUP(B21,'Base stats'!B:B,'Base stats'!O:O)=2,_xlfn.XLOOKUP(_xlfn.XLOOKUP(B21,'Base stats'!B:B,'Base stats'!E:E),Groups!A:A,Groups!D:D)=0),"AnimalPet",IF(AND(_xlfn.XLOOKUP(B21,'Base stats'!B:B,'Base stats'!O:O)&lt;&gt;0,_xlfn.XLOOKUP(_xlfn.XLOOKUP(B21,'Base stats'!B:B,'Base stats'!E:E),Groups!A:A,Groups!D:D)&lt;&gt;0),"AnimalFarm","")),
IF(OR(_xlfn.XLOOKUP(B21,'Base stats'!B:B,'Base stats'!AK:AK)=1,AND(BI21&lt;&gt;"None",BR21&gt;=60),ISNUMBER(SEARCH("Attack target",BP21))),"AnimalFighter","")
)))</f>
        <v>AnimalCommon, AnimalFarm</v>
      </c>
      <c r="BX21" s="25" t="str">
        <f>IF(G21="None",TRIM(
SUBSTITUTE(
IF(COUNTIF(Biomes!B$2:B$259,"="&amp;$C21)&gt;0,Biomes!B$1&amp;", ","")&amp;
IF(COUNTIF(Biomes!C$2:C$259,"="&amp;$C21)&gt;0,Biomes!C$1&amp;", ","")&amp;
IF(COUNTIF(Biomes!D$2:D$259,"="&amp;$C21)&gt;0,Biomes!D$1&amp;", ","")&amp;
IF(COUNTIF(Biomes!F$2:F$259,"="&amp;$C21)&gt;0,Biomes!F$1&amp;", ","")&amp;
IF(COUNTIF(Biomes!G$2:G$259,"="&amp;$C21)&gt;0,Biomes!G$1&amp;", ","")&amp;
IF(COUNTIF(Biomes!H$2:H$259,"="&amp;$C21)&gt;0,Biomes!H$1&amp;", ","")&amp;
IF(COUNTIF(Biomes!I$2:I$259,"="&amp;$C21)&gt;0,Biomes!I$1&amp;", ","")&amp;
IF(COUNTIF(Biomes!J$2:J$259,"="&amp;$C21)&gt;0,Biomes!J$1&amp;", ","")&amp;
IF(COUNTIF(Biomes!M$2:M$259,"="&amp;$C21)&gt;0,Biomes!M$1&amp;", ","")&amp;
IF(COUNTIF(Biomes!N$2:N$259,"="&amp;$C21)&gt;0,Biomes!N$1&amp;", ","")&amp;
IF(COUNTIF(Biomes!O$2:O$259,"="&amp;$C21)&gt;0,Biomes!O$1&amp;", ","")&amp;
IF(COUNTIF(Biomes!P$2:P$259,"="&amp;$C21)&gt;0,Biomes!P$1&amp;", ","")&amp;
IF(COUNTIF(Biomes!K$2:K$259,"="&amp;$C21)&gt;0,Biomes!K$1&amp;", ","")&amp;
IF(COUNTIF(Biomes!Q$3:Q$259,"="&amp;$C21)&gt;0,Biomes!Q$1&amp;", ","")&amp;
IF(COUNTIF(Biomes!L$2:L$259,"="&amp;$C21)&gt;0,Biomes!L$1&amp;", ","")&amp;
IF(COUNTIF(Biomes!E$2:E$259,"="&amp;$C21)&gt;0,Biomes!E$1&amp;", ","")&amp;IF(COUNTIF(Biomes!S$2:S$259,"="&amp;$C21)&gt;0,Biomes!S$1&amp;", ","")&amp;
IF(COUNTIF(Biomes!R$2:R$259,"="&amp;$C21)&gt;0,Biomes!R$1&amp;", ",""),", ","")
),_xlfn.XLOOKUP(B21,B:B,BX:BX))</f>
        <v>TemperateForest TemperateSwamp AridShrubland Grasslands Scarlands</v>
      </c>
      <c r="BY21" s="25" t="str">
        <f>IF(_xlfn.XLOOKUP(B21,'Base stats'!B:B,'Base stats'!AJ:AJ)=1,"true","false")</f>
        <v>false</v>
      </c>
      <c r="BZ21" s="25">
        <f>IF(_xlfn.XLOOKUP(B21,'Base stats'!B:B,'Base stats'!N:N)=1,"No",MAX(0.001,MIN(MROUND(IF(AND(BJ21="True",CC21="False"),POWER(10,3.47*LOG10(_xlfn.XLOOKUP(B21,'Base stats'!B:B,'Base stats'!C:C)*1000)^-0.96),POWER(10,4.15*LOG10(_xlfn.XLOOKUP(B21,'Base stats'!B:B,'Base stats'!C:C)*1000)^-0.73))*IF(_xlfn.XLOOKUP(B21,'Base stats'!B:B,'Base stats'!AK:AK)=1,0.5,1)*IF(_xlfn.XLOOKUP(B21,'Base stats'!B:B,'Base stats'!AM:AM)=1,0.1,1)/100,IF(_xlfn.XLOOKUP(B21,'Base stats'!B:B,'Base stats'!AM:AM)=1,0.001,0.025)),0.5)))</f>
        <v>0.15000000000000002</v>
      </c>
      <c r="CA21" s="25" t="str">
        <f>IF(P21="Standard","No",MAX(0.001,MIN(MROUND(IF(AND(BJ21="True",CC21="False"),POWER(10,3.47*LOG10(_xlfn.XLOOKUP(B21,'Base stats'!B:B,'Base stats'!C:C)*1000)^-0.96),POWER(10,4.15*LOG10(_xlfn.XLOOKUP(B21,'Base stats'!B:B,'Base stats'!C:C)*1000)^-0.73))*IF(_xlfn.XLOOKUP(B21,'Base stats'!B:B,'Base stats'!AM:AM)=1,0.1,1)*_xlfn.XLOOKUP(B21,'Base stats'!B:B,'Base stats'!R:R)/100,IF(_xlfn.XLOOKUP(B21,'Base stats'!B:B,'Base stats'!AM:AM)=1,0.001,0.025)),0.5)))</f>
        <v>No</v>
      </c>
      <c r="CB21" s="25" t="str">
        <f>IF(_xlfn.XLOOKUP(_xlfn.XLOOKUP(B21,'Base stats'!B:B,'Base stats'!E:E),Groups!A:A,Groups!AJ:AJ)="Mammal","True","False")</f>
        <v>True</v>
      </c>
      <c r="CC21" s="25" t="str">
        <f>IF(OR(_xlfn.XLOOKUP(_xlfn.XLOOKUP(B21,'Base stats'!B:B,'Base stats'!E:E),Groups!A:A,Groups!AJ:AJ)="Reptile",_xlfn.XLOOKUP(_xlfn.XLOOKUP(B21,'Base stats'!B:B,'Base stats'!E:E),Groups!A:A,Groups!AJ:AJ)="Amphibian",_xlfn.XLOOKUP(_xlfn.XLOOKUP(B21,'Base stats'!B:B,'Base stats'!E:E),Groups!A:A,Groups!AJ:AJ)="Invertebrate"),"True","False")</f>
        <v>False</v>
      </c>
      <c r="CD21" s="25" t="str">
        <f t="shared" si="6"/>
        <v>False</v>
      </c>
      <c r="CE21" s="25" t="str">
        <f>IF(_xlfn.XLOOKUP(_xlfn.XLOOKUP(B21,'Base stats'!B:B,'Base stats'!E:E),Groups!A:A,Groups!AX:AX),"True","False")</f>
        <v>False</v>
      </c>
      <c r="CF21" s="25" t="str">
        <f>IF(_xlfn.XLOOKUP(_xlfn.XLOOKUP(B21,'Base stats'!B:B,'Base stats'!E:E),Groups!A:A,Groups!AY:AY),"True","False")</f>
        <v>False</v>
      </c>
      <c r="CG21" s="25" t="str">
        <f>IF(_xlfn.XLOOKUP(_xlfn.XLOOKUP(B21,'Base stats'!B:B,'Base stats'!E:E),Groups!A:A,Groups!AW:AW),"True","False")</f>
        <v>False</v>
      </c>
      <c r="CH21" s="25" t="str">
        <f>IF(
OR(
_xlfn.XLOOKUP(_xlfn.XLOOKUP(B21,'Base stats'!B:B,'Base stats'!E:E),Groups!A:A,Groups!AZ:AZ)=0,
AND(
_xlfn.XLOOKUP(B21,'Base stats'!B:B,'Base stats'!Y:Y)&lt;&gt;"Carnivore",
_xlfn.XLOOKUP(B21,'Base stats'!B:B,'Base stats'!Y:Y)&lt;&gt;"Omnivore",
_xlfn.XLOOKUP(B21,'Base stats'!B:B,'Base stats'!Y:Y)&lt;&gt;"OmnivoreRough"
)
),
"No",
IF(
_xlfn.XLOOKUP(_xlfn.XLOOKUP(B21,'Base stats'!B:B,'Base stats'!E:E),Groups!A:A,Groups!AZ:AZ)=1,
"Flesh",
IF(
_xlfn.XLOOKUP(_xlfn.XLOOKUP(B21,'Base stats'!B:B,'Base stats'!E:E),Groups!A:A,Groups!AZ:AZ)=2,
"Bone",
""
)
)
)</f>
        <v>No</v>
      </c>
      <c r="CI21" s="25" t="str">
        <f>IF(_xlfn.XLOOKUP(_xlfn.XLOOKUP(B21,'Base stats'!B:B,'Base stats'!E:E),Groups!A:A,Groups!BB:BB),"True","False")</f>
        <v>True</v>
      </c>
      <c r="CJ21" s="25" t="str">
        <f>IF(_xlfn.XLOOKUP(_xlfn.XLOOKUP(B21,'Base stats'!B:B,'Base stats'!E:E),Groups!A:A,Groups!BA:BA),"True","False")</f>
        <v>False</v>
      </c>
      <c r="CO21" s="16"/>
    </row>
    <row r="22" spans="1:93" ht="16.5" thickTop="1" thickBot="1" x14ac:dyDescent="0.3">
      <c r="A22" s="26" t="str">
        <f>_xlfn.XLOOKUP(B22,'Base stats'!B:B,'Base stats'!A:A)</f>
        <v>Donkey</v>
      </c>
      <c r="B22" s="6" t="s">
        <v>97</v>
      </c>
      <c r="C22" s="28" t="s">
        <v>695</v>
      </c>
      <c r="D22" s="28" t="s">
        <v>45</v>
      </c>
      <c r="E22" s="28" t="s">
        <v>673</v>
      </c>
      <c r="F22" s="28" t="s">
        <v>673</v>
      </c>
      <c r="G22" s="28" t="s">
        <v>673</v>
      </c>
      <c r="H22" s="2">
        <f>MROUND((
  (IF(AND(_xlfn.XLOOKUP(B22,'Base stats'!B:B,'Base stats'!AL:AL)=0,BI22="None",_xlfn.XLOOKUP(_xlfn.XLOOKUP(B22,'Base stats'!B:B,'Base stats'!E:E),Groups!A:A,Groups!B:B)=0), (18 + BR22 * 2.7) * 0.5,
    IF(AND(_xlfn.XLOOKUP(B22,'Base stats'!B:B,'Base stats'!AL:AL)=0,OR(AO22&lt;0.55,AND(BI22="Intermediate",_xlfn.XLOOKUP(_xlfn.XLOOKUP(B22,'Base stats'!B:B,'Base stats'!E:E),Groups!A:A,Groups!B:B)&lt;2))), (18 + BR22 * 2.7),
      IF(OR(BI22="Advanced",_xlfn.XLOOKUP(B22,'Base stats'!B:B,'Base stats'!AL:AL)=1,_xlfn.XLOOKUP(_xlfn.XLOOKUP(B22,'Base stats'!B:B,'Base stats'!E:E),Groups!A:A,Groups!B:B)=2), (18 + BR22 * 2.7) + 250, (18 + BR22 * 2.7))
    )
  ))
  + AO22 * 80
  + IF(COUNTIF(EggMilk!K$2:K$998, A22) &gt; 0, 125, 0)
  + IF(COUNTIF(EggMilk!P$2:P$998, A22) &gt; 0, 90, 0)
  + IF(COUNTIF(EggMilk!A$2:A$998, A22) &gt; 0, 90, 0)
)
* (0.8 + 0.4 * J22)
* 0.75,25)</f>
        <v>200</v>
      </c>
      <c r="I22" s="2">
        <f>MROUND(ROUNDDOWN(_xlfn.XLOOKUP(B22,'Base stats'!B:B,'Base stats'!L:L)/3.6/(23.3/11),1),0.5)</f>
        <v>8.5</v>
      </c>
      <c r="J22" s="2">
        <f>IF(OR(_xlfn.XLOOKUP(B22,'Base stats'!B:B,'Base stats'!AB:AB)=1,_xlfn.XLOOKUP(_xlfn.XLOOKUP(B22,'Base stats'!B:B,'Base stats'!E:E),Groups!A:A,Groups!C:C)="Untamable"),1,IF(_xlfn.XLOOKUP(B22,'Base stats'!B:B,'Base stats'!AL:AL)=1,0.99,MIN(MROUND((1-0.6282*EXP(-0.459*AO22))*_xlfn.XLOOKUP(_xlfn.XLOOKUP(B22,'Base stats'!B:B,'Base stats'!E:E),Groups!A:A,Groups!C:C)*IF(_xlfn.XLOOKUP(B22,'Base stats'!B:B,'Base stats'!O:O)=1,0.5,IF(_xlfn.XLOOKUP(B22,'Base stats'!B:B,'Base stats'!O:O)=2,0,1)),0.05),IF(AO22&gt;3.5,0.985,0.95))))</f>
        <v>0.25</v>
      </c>
      <c r="K22" s="2">
        <f>ROUNDUP(AO22*_xlfn.XLOOKUP(_xlfn.XLOOKUP(B22,'Base stats'!B:B,'Base stats'!E:E),Groups!A:A,Groups!E:E),0)</f>
        <v>8</v>
      </c>
      <c r="L22" s="2">
        <f>IF(OR(_xlfn.XLOOKUP(_xlfn.XLOOKUP(B22,'Base stats'!B:B,'Base stats'!E:E),Groups!A:A,Groups!F:F)=2,ISNUMBER(SEARCH("SeaIce",BX22)),ISNUMBER(SEARCH("IceSheet",BX22))),-50,IF(OR(ISNUMBER(SEARCH("GlacialPlain",BX22)),ISNUMBER(SEARCH("Tundra",BX22))),-40,IF(OR(ISNUMBER(SEARCH("Alpine",BX22)),ISNUMBER(SEARCH("BorealForest",BX22)),ISNUMBER(SEARCH("ColdBog",BX22))),-30,IF(OR(ISNUMBER(SEARCH("TemperateForest",BX22)),ISNUMBER(SEARCH("TemperateSwamp",BX22))),-20,IF(_xlfn.XLOOKUP(_xlfn.XLOOKUP(B22,'Base stats'!B:B,'Base stats'!E:E),Groups!A:A,Groups!F:F)=1,-15,IF(OR(ISNUMBER(SEARCH("Desert",BX22)),ISNUMBER(SEARCH("ExtremeDesert",BX22))),-10,IF(OR(ISNUMBER(SEARCH("Grasslands",BX22)),ISNUMBER(SEARCH("TropicalRainforest",BX22)),ISNUMBER(SEARCH("TropicalSwamp",BX22))),10,0)))))))-IF(CC22="False",MIN(IFERROR(MAX(MROUND(LOG10(_xlfn.XLOOKUP(B22,'Base stats'!B:B,'Base stats'!C:C)^(2/3))*10,5),5),5),30))-_xlfn.XLOOKUP(B22,'Base stats'!B:B,'Base stats'!P:P)+IF(CC22="True",5,0)</f>
        <v>-30</v>
      </c>
      <c r="M22" s="2">
        <f>IF(OR(_xlfn.XLOOKUP(_xlfn.XLOOKUP(B22,'Base stats'!B:B,'Base stats'!E:E),Groups!A:A,Groups!G:G)=2,ISNUMBER(SEARCH("Desert",BX22)),ISNUMBER(SEARCH("ExtremeDesert",BX22)),ISNUMBER(SEARCH("LavaField",BX22))),50,IF(ISNUMBER(SEARCH("Grasslands",BX22)),45,IF(OR(_xlfn.XLOOKUP(_xlfn.XLOOKUP(B22,'Base stats'!B:B,'Base stats'!E:E),Groups!A:A,Groups!G:G)=1,ISNUMBER(SEARCH("TropicalRainforest",BX22)),ISNUMBER(SEARCH("TropicalSwamp",BX22))),40,IF(OR(ISNUMBER(SEARCH("TemperateForest",BX22)),ISNUMBER(SEARCH("TemperateSwamp",BX22))),35,IF(OR(ISNUMBER(SEARCH("Alpine",BX22)),ISNUMBER(SEARCH("BorealForest",BX22)),ISNUMBER(SEARCH("ColdBog",BX22))),30,IF(ISNUMBER(OR(ISNUMBER(SEARCH("GlacialPlain",BX22)),SEARCH("Tundra",BX22))),25,IF(OR(ISNUMBER(SEARCH("SeaIce",BX22)),ISNUMBER(SEARCH("IceSheet",BX22)),ISNUMBER(SEARCH("TropicalSwamp",BX22))),10,35)))))))+_xlfn.XLOOKUP(B22,'Base stats'!B:B,'Base stats'!Q:Q)</f>
        <v>50</v>
      </c>
      <c r="N22" s="8" t="str">
        <f>IF(
_xlfn.XLOOKUP(
_xlfn.XLOOKUP(B22,'Base stats'!B:B,'Base stats'!E:E),
Groups!A:A,
Groups!L:L
)=1,
MIN(
MROUND(
IF(
_xlfn.XLOOKUP(B22,'Animals CE'!B:B,'Animals CE'!Z:Z)&lt;=1.5,
_xlfn.XLOOKUP(B22,'Animals CE'!B:B,'Animals CE'!Z:Z)/2+0.05,
0.8+
(_xlfn.XLOOKUP(B22,'Animals CE'!B:B,'Animals CE'!Z:Z)-1.5)
*0.02
),
0.05
),
200%
),
"No"
)</f>
        <v>No</v>
      </c>
      <c r="O22" s="8" t="str">
        <f>IF(
_xlfn.XLOOKUP(
_xlfn.XLOOKUP(B22,'Base stats'!B:B,'Base stats'!E:E),
Groups!A:A,
Groups!L:L
)=1,
MIN(
MROUND(
IF(
_xlfn.XLOOKUP(B22,'Animals CE'!B:B,'Animals CE'!AA:AA)&lt;=1.5,
_xlfn.XLOOKUP(B22,'Animals CE'!B:B,'Animals CE'!AA:AA)/2+0.05,
0.8+
(_xlfn.XLOOKUP(B22,'Animals CE'!B:B,'Animals CE'!AA:AA)-1.5)
*0.02
),
0.05
),
200%
),
"No"
)</f>
        <v>No</v>
      </c>
      <c r="P22" s="2" t="str">
        <f>_xlfn.XLOOKUP(B22,'Base stats'!B:B,'Base stats'!R:R)</f>
        <v>Standard</v>
      </c>
      <c r="Q22" s="13">
        <f>MROUND((LOG10(_xlfn.XLOOKUP(B22,'Base stats'!B:B,'Base stats'!AR:AR))*(AO22^0.5)+(_xlfn.XLOOKUP(B22,'Base stats'!B:B,'Base stats'!AR:AR)/1000)^(2/3)+_xlfn.XLOOKUP(B22,'Base stats'!B:B,'Base stats'!BA:BA)/2)+0.5,0.5)</f>
        <v>10</v>
      </c>
      <c r="R22" s="7">
        <f>IF(Q22="No","No",MAX(1,MROUND(_xlfn.XLOOKUP(B22,'Base stats'!B:B,'Base stats'!C:C)^0.165,0.05)))</f>
        <v>2.3000000000000003</v>
      </c>
      <c r="S22" s="13">
        <f>IF(_xlfn.XLOOKUP(_xlfn.XLOOKUP(B22,'Base stats'!B:B,'Base stats'!E:E),Groups!A:A,Groups!P:P)=0,"No",MROUND((LOG10(_xlfn.XLOOKUP(B22,'Base stats'!B:B,'Base stats'!AS:AS))*(AO22^0.5)+(_xlfn.XLOOKUP(B22,'Base stats'!B:B,'Base stats'!AS:AS)/1000)^(2/3)+_xlfn.XLOOKUP(B22,'Base stats'!B:B,'Base stats'!BA:BA))+_xlfn.XLOOKUP(B22,'Base stats'!B:B,'Base stats'!AY:AY)+0.5,0.5))</f>
        <v>12.5</v>
      </c>
      <c r="T22" s="7">
        <f>IF(S22="No","No",MAX(_xlfn.XLOOKUP(_xlfn.XLOOKUP(B22,'Base stats'!B:B,'Base stats'!E:E),Groups!A:A,Groups!Q:Q),MROUND(_xlfn.XLOOKUP(_xlfn.XLOOKUP(B22,'Base stats'!B:B,'Base stats'!E:E),Groups!A:A,Groups!Q:Q)*_xlfn.XLOOKUP(B22,'Base stats'!B:B,'Base stats'!C:C)^0.165,0.05)))</f>
        <v>1.9500000000000002</v>
      </c>
      <c r="U22" s="7" t="str">
        <f>IF(S22="No","No",_xlfn.XLOOKUP(_xlfn.XLOOKUP(B22,'Base stats'!B:B,'Base stats'!E:E),Groups!A:A,Groups!R:R))</f>
        <v>FrontLeftLeg, FrontRightLeg</v>
      </c>
      <c r="V22" s="7" t="str">
        <f>IF(S22="No","No",_xlfn.XLOOKUP(_xlfn.XLOOKUP(B22,'Base stats'!B:B,'Base stats'!E:E),Groups!A:A,Groups!S:S))</f>
        <v>left hoof, right hoof</v>
      </c>
      <c r="W22" s="7" t="str">
        <f>IF(S22="No","No",_xlfn.XLOOKUP(_xlfn.XLOOKUP(B22,'Base stats'!B:B,'Base stats'!E:E),Groups!A:A,Groups!T:T))</f>
        <v>Blunt</v>
      </c>
      <c r="X22" s="13" t="str">
        <f>IF(_xlfn.XLOOKUP(B22,'Base stats'!B:B,'Base stats'!W:W)="No","No",MROUND((LOG10(_xlfn.XLOOKUP(B22,'Base stats'!B:B,'Base stats'!AU:AU))*(AO22^0.5)+(_xlfn.XLOOKUP(B22,'Base stats'!B:B,'Base stats'!AU:AU)/1000)^(2/3)+_xlfn.XLOOKUP(B22,'Base stats'!B:B,'Base stats'!AZ:AZ))+0.5+IF(_xlfn.XLOOKUP(_xlfn.XLOOKUP(B22,'Base stats'!B:B,'Base stats'!E:E),Groups!A:A,Groups!U:U)&lt;&gt;3,_xlfn.XLOOKUP(B22,'Base stats'!B:B,'Base stats'!BA:BA),0),0.5))</f>
        <v>No</v>
      </c>
      <c r="Y22" s="7" t="str">
        <f>IF(X22="No","No",MAX(_xlfn.XLOOKUP(_xlfn.XLOOKUP(B22,'Base stats'!B:B,'Base stats'!E:E),Groups!A:A,Groups!V:V),MROUND(_xlfn.XLOOKUP(_xlfn.XLOOKUP(B22,'Base stats'!B:B,'Base stats'!E:E),Groups!A:A,Groups!V:V)*_xlfn.XLOOKUP(B22,'Base stats'!B:B,'Base stats'!C:C)^0.165,0.05)))</f>
        <v>No</v>
      </c>
      <c r="Z22" s="7" t="str">
        <f>IF(X22="No","No",_xlfn.XLOOKUP(_xlfn.XLOOKUP(B22,'Base stats'!B:B,'Base stats'!E:E),Groups!A:A,Groups!W:W))</f>
        <v>No</v>
      </c>
      <c r="AA22" s="7" t="str">
        <f>IF(X22="No","No",_xlfn.XLOOKUP(_xlfn.XLOOKUP(B22,'Base stats'!B:B,'Base stats'!E:E),Groups!A:A,Groups!X:X))</f>
        <v>No</v>
      </c>
      <c r="AB22" s="7" t="str">
        <f>IF(X22="No","No",_xlfn.XLOOKUP(_xlfn.XLOOKUP(B22,'Base stats'!B:B,'Base stats'!E:E),Groups!A:A,Groups!Y:Y))</f>
        <v>No</v>
      </c>
      <c r="AC22" s="7" t="str">
        <f>_xlfn.XLOOKUP(Animals!B22,'Base stats'!B:B,'Base stats'!X:X)</f>
        <v>False</v>
      </c>
      <c r="AD22" s="13">
        <f>IF(_xlfn.XLOOKUP(B22,'Base stats'!B:B,'Base stats'!AT:AT)="No","No",MROUND((LOG10(_xlfn.XLOOKUP(B22,'Base stats'!B:B,'Base stats'!AT:AT))*(AO22^0.75)+(_xlfn.XLOOKUP(B22,'Base stats'!B:B,'Base stats'!AT:AT)/1000)^(2/3)+_xlfn.XLOOKUP(B22,'Base stats'!B:B,'Base stats'!AX:AX)+_xlfn.XLOOKUP(B22,'Base stats'!B:B,'Base stats'!BA:BA))+0.5,0.5))</f>
        <v>13</v>
      </c>
      <c r="AE22" s="7">
        <f>IF(AD22="No","No",MAX(_xlfn.XLOOKUP(_xlfn.XLOOKUP(B22,'Base stats'!B:B,'Base stats'!E:E),Groups!A:A,Groups!Z:Z),MROUND(_xlfn.XLOOKUP(_xlfn.XLOOKUP(B22,'Base stats'!B:B,'Base stats'!E:E),Groups!A:A,Groups!Z:Z)*_xlfn.XLOOKUP(B22,'Base stats'!B:B,'Base stats'!C:C)^0.165,0.05)))</f>
        <v>2.3000000000000003</v>
      </c>
      <c r="AF22" s="7" t="str">
        <f>IF(AD22="No","No",_xlfn.XLOOKUP(_xlfn.XLOOKUP(B22,'Base stats'!B:B,'Base stats'!E:E),Groups!A:A,Groups!AA:AA))</f>
        <v>Teeth</v>
      </c>
      <c r="AG22" s="7" t="str">
        <f>IF(AD22="No","No",_xlfn.XLOOKUP(_xlfn.XLOOKUP(B22,'Base stats'!B:B,'Base stats'!E:E),Groups!A:A,Groups!AB:AB))</f>
        <v>teeth</v>
      </c>
      <c r="AH22" s="7" t="str">
        <f>IF(AD22="No","No",_xlfn.XLOOKUP(_xlfn.XLOOKUP(B22,'Base stats'!B:B,'Base stats'!E:E),Groups!A:A,Groups!AC:AC))</f>
        <v>Bite</v>
      </c>
      <c r="AI22" s="13" t="str">
        <f>IF(_xlfn.XLOOKUP(_xlfn.XLOOKUP(B22,'Base stats'!B:B,'Base stats'!E:E),Groups!A:A,Groups!AD:AD)=0,"No",MROUND((LOG10(_xlfn.XLOOKUP(B22,'Base stats'!B:B,'Base stats'!AS:AS))*(AO22^0.75)+(_xlfn.XLOOKUP(B22,'Base stats'!B:B,'Base stats'!AS:AS)/1000)^(2/3)+_xlfn.XLOOKUP(B22,'Base stats'!B:B,'Base stats'!AY:AY)+_xlfn.XLOOKUP(B22,'Base stats'!B:B,'Base stats'!BA:BA))+0.5,0.5))</f>
        <v>No</v>
      </c>
      <c r="AJ22" s="7" t="str">
        <f>IF(AI22="No","No",MAX(_xlfn.XLOOKUP(_xlfn.XLOOKUP(B22,'Base stats'!B:B,'Base stats'!E:E),Groups!A:A,Groups!AE:AE),MROUND(_xlfn.XLOOKUP(_xlfn.XLOOKUP(B22,'Base stats'!B:B,'Base stats'!E:E),Groups!A:A,Groups!AE:AE)*IF(_xlfn.XLOOKUP(_xlfn.XLOOKUP(B22,'Base stats'!B:B,'Base stats'!E:E),Groups!A:A,Groups!AJ:AJ)="Photonozoa",0.6,1)*_xlfn.XLOOKUP(B22,'Base stats'!B:B,'Base stats'!C:C)^0.165,0.05)))</f>
        <v>No</v>
      </c>
      <c r="AK22" s="7" t="str">
        <f>IF(AI22="No","No",_xlfn.XLOOKUP(_xlfn.XLOOKUP(B22,'Base stats'!B:B,'Base stats'!E:E),Groups!A:A,Groups!AF:AF))</f>
        <v>No</v>
      </c>
      <c r="AL22" s="7" t="str">
        <f>IF(AI22="No","No",_xlfn.XLOOKUP(_xlfn.XLOOKUP(B22,'Base stats'!B:B,'Base stats'!E:E),Groups!A:A,Groups!AG:AG))</f>
        <v>No</v>
      </c>
      <c r="AM22" s="7" t="str">
        <f>IF(AI22="No","No",_xlfn.XLOOKUP(_xlfn.XLOOKUP(B22,'Base stats'!B:B,'Base stats'!E:E),Groups!A:A,Groups!AH:AH))</f>
        <v>No</v>
      </c>
      <c r="AN22" s="2" t="str">
        <f t="shared" si="0"/>
        <v>No</v>
      </c>
      <c r="AO22" s="2">
        <f>MROUND(IF(AND(_xlfn.XLOOKUP(B22,'Base stats'!B:B,'Base stats'!C:C)&gt;=0.5,_xlfn.XLOOKUP(B22,'Base stats'!B:B,'Base stats'!C:C)&lt;=0.8),
IF(_xlfn.XLOOKUP(B22,'Base stats'!B:B,'Base stats'!C:C)&lt;0.1,0.05,IF(_xlfn.XLOOKUP(B22,'Base stats'!B:B,'Base stats'!C:C)&lt;=70,(_xlfn.XLOOKUP(B22,'Base stats'!B:B,'Base stats'!C:C)/70)^0.426489913056526,IF(_xlfn.XLOOKUP(B22,'Base stats'!B:B,'Base stats'!C:C)&lt;=400,(_xlfn.XLOOKUP(B22,'Base stats'!B:B,'Base stats'!C:C)/70)^0.572811455315093,IF(_xlfn.XLOOKUP(B22,'Base stats'!B:B,'Base stats'!C:C)&lt;=2000,2.71391647193063*(_xlfn.XLOOKUP(B22,'Base stats'!B:B,'Base stats'!C:C)/400)^0.252459582904293,3.74314280240376*(_xlfn.XLOOKUP(B22,'Base stats'!B:B,'Base stats'!C:C)/2000)^0.357012633876913)))),
IF(_xlfn.XLOOKUP(B22,'Base stats'!B:B,'Base stats'!C:C)&lt;0.1,0.05,IF(_xlfn.XLOOKUP(B22,'Base stats'!B:B,'Base stats'!C:C)&lt;0.4,0.1,IF(_xlfn.XLOOKUP(B22,'Base stats'!B:B,'Base stats'!C:C)&lt;=70,(_xlfn.XLOOKUP(B22,'Base stats'!B:B,'Base stats'!C:C)/70)^0.445823913056526,IF(_xlfn.XLOOKUP(B22,'Base stats'!B:B,'Base stats'!C:C)&lt;=400,(_xlfn.XLOOKUP(B22,'Base stats'!B:B,'Base stats'!C:C)/70)^0.572811455315093,IF(_xlfn.XLOOKUP(B22,'Base stats'!B:B,'Base stats'!C:C)&lt;=2000,2.71391647193063*(_xlfn.XLOOKUP(B22,'Base stats'!B:B,'Base stats'!C:C)/400)^0.252459582904293,3.74314280240376*(_xlfn.XLOOKUP(B22,'Base stats'!B:B,'Base stats'!C:C)/2000)^0.357012633876913)))))),
IF(_xlfn.XLOOKUP(B22,'Base stats'!B:B,'Base stats'!C:C)&lt;0.1,0.05,IF(_xlfn.XLOOKUP(B22,'Base stats'!B:B,'Base stats'!C:C)&lt;=100,0.05,IF(_xlfn.XLOOKUP(B22,'Base stats'!B:B,'Base stats'!C:C)&lt;=250,0.1,IF(_xlfn.XLOOKUP(B22,'Base stats'!B:B,'Base stats'!C:C)&lt;=4000,0.25,0.5)))))</f>
        <v>1.6</v>
      </c>
      <c r="AP22" s="8">
        <f>MROUND(AO22*_xlfn.XLOOKUP(_xlfn.XLOOKUP(B22,'Base stats'!B:B,'Base stats'!E:E),Groups!A:A,Groups!AI:AI)*_xlfn.XLOOKUP(B22,'Base stats'!B:B,'Base stats'!Z:Z),0.05)</f>
        <v>1.6</v>
      </c>
      <c r="AQ22" s="8">
        <f>MAX(0.01,MROUND(IF(CC22="True",0.196*(AO22*100*1000)^0.889,IF(_xlfn.XLOOKUP(_xlfn.XLOOKUP(B22,'Base stats'!B:B,'Base stats'!E:E),Groups!A:A,Groups!AJ:AJ)="Bird",10.5*(AO22*100*1000)^0.681,4.82*(AO22*100*1000)^0.734))/(4.82*(1*100*1000)^0.734)/IF(AO22&lt;3.5,2,IF(AO22=3.5,1.5,1.25))*(1+0.132282374779864/(AO22^0.994035016789033+0.00905238001496948)),0.05))</f>
        <v>0.75</v>
      </c>
      <c r="AR22" s="9">
        <f>IFERROR(MROUND(_xlfn.XLOOKUP(B22,'Base stats'!B:B,'Base stats'!H:H)/IF(_xlfn.XLOOKUP(B22,'Base stats'!B:B,'Base stats'!I:I)&lt;&gt;1,(122.5/70),1.2),IF(_xlfn.XLOOKUP(B22,'Base stats'!B:B,'Base stats'!H:H)&gt;=30,5,IF(_xlfn.XLOOKUP(B22,'Base stats'!B:B,'Base stats'!H:H)&gt;=15,3,IF(_xlfn.XLOOKUP(B22,'Base stats'!B:B,'Base stats'!H:H)&gt;=10,2,1)))),"Immortal")</f>
        <v>25</v>
      </c>
      <c r="AS22" s="35">
        <f>IFERROR(IF(OR(_xlfn.XLOOKUP(B22,'Base stats'!B:B,'Base stats'!F:F)="Atypical reproduction",_xlfn.XLOOKUP(B22,'Base stats'!B:B,'Base stats'!F:F)="Lay eggs"),"Lay eggs",MIN(20,MAX(5.5,ROUND(((_xlfn.XLOOKUP(B22,'Base stats'!B:B,'Base stats'!F:F)-25)*(14.5/615) + 5.5)*2,0)/2))),"Unknown")</f>
        <v>13.5</v>
      </c>
      <c r="AT22" s="8">
        <f>IF(_xlfn.XLOOKUP(B22,'Base stats'!B:B,'Base stats'!G:G)="Atypical reproduction","No",IFERROR(MAX(IF(_xlfn.XLOOKUP(B22,'Base stats'!B:B,'Base stats'!G:G)&lt;0.5,0.2,0.3),MROUND(_xlfn.XLOOKUP(B22,'Base stats'!B:B,'Base stats'!G:G)/(365/60),0.2)),"Unknown"))</f>
        <v>0.4</v>
      </c>
      <c r="AU22" s="8">
        <f t="shared" si="1"/>
        <v>0.2</v>
      </c>
      <c r="AV22" s="8">
        <f>IFERROR(IFERROR(MROUND(_xlfn.XLOOKUP(B22,'Base stats'!B:B,'Base stats'!J:J),0.1),"Lay eggs"),"Cannot breed")</f>
        <v>1</v>
      </c>
      <c r="AW22" s="2" t="str">
        <f t="shared" si="2"/>
        <v>true</v>
      </c>
      <c r="AX22" s="2" t="str">
        <f>IF(_xlfn.XLOOKUP(_xlfn.XLOOKUP(Animals!B22,'Base stats'!B:B,'Base stats'!E:E),Groups!A:A,Groups!AK:AK)=1,"true","false")</f>
        <v>true</v>
      </c>
      <c r="AY22" s="25" t="str">
        <f>IF(_xlfn.XLOOKUP(B22,'Base stats'!B:B,'Base stats'!Y:Y)="Liquor","Liquor, CarnivoreAnimalStrict",IF(AND(_xlfn.XLOOKUP(B22,'Base stats'!B:B,'Base stats'!Y:Y)="Carnivore",_xlfn.XLOOKUP(_xlfn.XLOOKUP(B22,'Base stats'!B:B,'Base stats'!E:E),Groups!A:A,Groups!AJ:AJ)="Photonozoa"),"CarnivoreAnimalStrict, OvivoreAnimal",IF(_xlfn.XLOOKUP(B22,'Base stats'!B:B,'Base stats'!Y:Y)="Carnivore","CarnivoreAnimal, OvivoreAnimal",IF(_xlfn.XLOOKUP(B22,'Base stats'!B:B,'Base stats'!Y:Y)="Dendrovore","VegetarianRoughAnimal, DendrovoreAnimal",IF(_xlfn.XLOOKUP(B22,'Base stats'!B:B,'Base stats'!Y:Y)="Herbivore","VegetarianRoughAnimal",IF(_xlfn.XLOOKUP(B22,'Base stats'!B:B,'Base stats'!Y:Y)="OmnivoreRough","OmnivoreRoughAnimal, OvivoreAnimal","OmnivoreAnimal, OvivoreAnimal"))))))</f>
        <v>VegetarianRoughAnimal</v>
      </c>
      <c r="AZ22" s="2">
        <f>IF(_xlfn.XLOOKUP(_xlfn.XLOOKUP(B22,'Base stats'!B:B,'Base stats'!E:E),Groups!A:A,Groups!D:D)=1,MROUND((1-J22)*5+1,2)*IF(J22&lt;=0.4,2,1),"No")</f>
        <v>8</v>
      </c>
      <c r="BA22" s="2" t="str">
        <f>IF(AND(_xlfn.XLOOKUP(B22,'Base stats'!B:B,'Base stats'!AH:AH)="&lt;li&gt;Seal&lt;/li&gt;",G22="Odyssey"),"&lt;li&gt;AEXP_Seal&lt;/li&gt;",_xlfn.XLOOKUP(B22,'Base stats'!B:B,'Base stats'!AH:AH))</f>
        <v>&lt;li&gt;Horse&lt;/li&gt;</v>
      </c>
      <c r="BB22" s="2" t="str">
        <f>_xlfn.XLOOKUP(B22,'Base stats'!B:B,'Base stats'!AG:AG)</f>
        <v>Leather_Plain</v>
      </c>
      <c r="BC22" s="23" t="str">
        <f>_xlfn.XLOOKUP(_xlfn.XLOOKUP(B22,'Base stats'!B:B,'Base stats'!E:E),Groups!A:A,Groups!AL:AL)</f>
        <v>QuadrupedAnimalWithHooves</v>
      </c>
      <c r="BD22" s="23">
        <f>MIN(1,MROUND(IF(AND(AO22&lt;0.5,_xlfn.XLOOKUP(B22,'Base stats'!B:B,'Base stats'!AA:AA)=0),0,IF(OR(_xlfn.XLOOKUP(Animals!B22,'Base stats'!B:B,'Base stats'!O:O)=2,_xlfn.XLOOKUP(_xlfn.XLOOKUP(B22,'Base stats'!B:B,'Base stats'!E:E),Groups!A:A,Groups!AN:AN)=0),0,_xlfn.XLOOKUP(_xlfn.XLOOKUP(B22,'Base stats'!B:B,'Base stats'!E:E),Groups!A:A,Groups!AN:AN)/IF(_xlfn.XLOOKUP(Animals!B22,'Base stats'!B:B,'Base stats'!O:O)=1,2,1)))+_xlfn.XLOOKUP(B22,'Base stats'!B:B,'Base stats'!AC:AC),0.005))</f>
        <v>0</v>
      </c>
      <c r="BE22" s="23">
        <f>MIN(1,MROUND(IF(AND(AO22&lt;0.5,_xlfn.XLOOKUP(B22,'Base stats'!B:B,'Base stats'!AA:AA)=0),0,IF(_xlfn.XLOOKUP(_xlfn.XLOOKUP(B22,'Base stats'!B:B,'Base stats'!E:E),Groups!A:A,Groups!AO:AO)=0,0,_xlfn.XLOOKUP(_xlfn.XLOOKUP(B22,'Base stats'!B:B,'Base stats'!E:E),Groups!A:A,Groups!AO:AO)/IF(_xlfn.XLOOKUP(Animals!B22,'Base stats'!B:B,'Base stats'!O:O)=2,3,1)))+_xlfn.XLOOKUP(B22,'Base stats'!B:B,'Base stats'!AD:AD),0.005))</f>
        <v>0</v>
      </c>
      <c r="BF22" s="2">
        <f>IF(J22&gt;0.3,"No",_xlfn.XLOOKUP(_xlfn.XLOOKUP(Animals!B22,'Base stats'!B:B,'Base stats'!E:E),Groups!A:A,Groups!AP:AP))</f>
        <v>0.2</v>
      </c>
      <c r="BG22" s="2" t="str">
        <f>IF(AND(J22&lt;=0.65,_xlfn.XLOOKUP(_xlfn.XLOOKUP(Animals!B22,'Base stats'!B:B,'Base stats'!E:E),Groups!A:A,Groups!AP:AP)&lt;&gt;"No",_xlfn.XLOOKUP(_xlfn.XLOOKUP(B22,'Base stats'!B:B,'Base stats'!E:E),Groups!A:A,Groups!D:D)=0),MROUND((80/3)*IF(_xlfn.XLOOKUP(B22,'Base stats'!B:B,'Base stats'!O:O)=2,0.2,AO22) + 24*(1-IF(BF22="No",0,BF22)) + 16/3, 12),"No")</f>
        <v>No</v>
      </c>
      <c r="BH22" s="2">
        <f>IF(AND(_xlfn.XLOOKUP(_xlfn.XLOOKUP(B22,'Base stats'!B:B,'Base stats'!E:E),Groups!A:A,Groups!AQ:AQ)=1,AO22&lt;=0.35),8,12)</f>
        <v>12</v>
      </c>
      <c r="BI22" s="2" t="str">
        <f>IF(_xlfn.XLOOKUP(_xlfn.XLOOKUP(B22,'Base stats'!B:B,'Base stats'!E:E),Groups!A:A,Groups!D:D)=0,_xlfn.XLOOKUP(_xlfn.XLOOKUP(B22,'Base stats'!B:B,'Base stats'!E:E),Groups!A:A,Groups!AR:AR),"None")</f>
        <v>None</v>
      </c>
      <c r="BJ22" s="2" t="str">
        <f>IF(AND(_xlfn.XLOOKUP(_xlfn.XLOOKUP(B22,'Base stats'!B:B,'Base stats'!E:E),Groups!A:A,Groups!AS:AS)=1,OR(_xlfn.XLOOKUP(B22,'Base stats'!B:B,'Base stats'!Y:Y)="Carnivore",_xlfn.XLOOKUP(B22,'Base stats'!B:B,'Base stats'!Y:Y)="Omnivore")),"true","false")</f>
        <v>false</v>
      </c>
      <c r="BK22" s="2" t="str">
        <f>IF(BJ22="true",MROUND(IF(AND(AO22&gt;0.5,OR(_xlfn.XLOOKUP(_xlfn.XLOOKUP(B22,'Base stats'!B:B,'Base stats'!E:E),Groups!A:A,Groups!AJ:AJ)="Photonozoa",_xlfn.XLOOKUP(_xlfn.XLOOKUP(B22,'Base stats'!B:B,'Base stats'!E:E),Groups!A:A,Groups!AJ:AJ)="Mammal")),Animals!AO22*1.75*IF(AW22="true",1.5,1),IF(AO22&lt;0.5,Animals!AO22*0.5,Animals!AO22)),IF(AO22&gt;2,0.5,IF(AO22&gt;0.5,0.25,0.1))),"No")</f>
        <v>No</v>
      </c>
      <c r="BL22" s="2">
        <f t="shared" si="3"/>
        <v>0</v>
      </c>
      <c r="BM22" s="25" t="str">
        <f>IF(_xlfn.XLOOKUP(B22,'Base stats'!B:B,'Base stats'!AN:AN)="Standard","No",MROUND((_xlfn.XLOOKUP(B22,'Base stats'!B:B,'Base stats'!AN:AN)/3.6)/I22,0.1))</f>
        <v>No</v>
      </c>
      <c r="BN22" s="25" t="str">
        <f t="shared" si="4"/>
        <v>false</v>
      </c>
      <c r="BO22" s="25" t="str">
        <f>IF(AND(OR(_xlfn.XLOOKUP(B22,'Base stats'!B:B,'Base stats'!Y:Y)="Carnivore",_xlfn.XLOOKUP(B22,'Base stats'!B:B,'Base stats'!Y:Y)="Omnivore",_xlfn.XLOOKUP(B22,'Base stats'!B:B,'Base stats'!Y:Y)="OmnivoreRough"),_xlfn.XLOOKUP(_xlfn.XLOOKUP(B22,'Base stats'!B:B,'Base stats'!E:E),Groups!A:A,Groups!AT:AT)=1),"true","false")</f>
        <v>false</v>
      </c>
      <c r="BP22" s="25" t="str" cm="1">
        <f t="array" ref="BP22">IF(
  _xlfn.TEXTJOIN(", ",TRUE,
    IF(AND(BJ22="true",AO22&gt;0.5,BI22&lt;&gt;"None"),"AttackTarget",""),
    IF(AND(_xlfn.XLOOKUP(_xlfn.XLOOKUP(B22,'Base stats'!B:B,'Base stats'!E:E),Groups!A:A,Groups!AJ:AJ="Mammal"),OR(_xlfn.XLOOKUP(B22,'Base stats'!B:B,'Base stats'!Y:Y)="Omnivore",_xlfn.XLOOKUP(B22,'Base stats'!B:B,'Base stats'!Y:Y)="OmnivoreRough")),"Forage",""),
    IF(BG22&lt;=36,"Comfort",""),
    IF(_xlfn.XLOOKUP(B22,'Base stats'!B:B,'Base stats'!AE:AE)&lt;&gt;"No",_xlfn.XLOOKUP(B22,'Base stats'!B:B,'Base stats'!AE:AE),"")
  ) = "",
  "No",
  _xlfn.TEXTJOIN(", ",TRUE,
    IF(AND(BJ22="true",AO22&gt;0.5,BI22&lt;&gt;"None"),"AttackTarget",""),
    IF(AND(_xlfn.XLOOKUP(_xlfn.XLOOKUP(B22,'Base stats'!B:B,'Base stats'!E:E),Groups!A:A,Groups!AJ:AJ="Mammal"),OR(_xlfn.XLOOKUP(B22,'Base stats'!B:B,'Base stats'!Y:Y)="Omnivore",_xlfn.XLOOKUP(B22,'Base stats'!B:B,'Base stats'!Y:Y)="OmnivoreRough")),"Forage",""),
    IF(BG22&lt;=36,"Comfort",""),
    IF(_xlfn.XLOOKUP(B22,'Base stats'!B:B,'Base stats'!AE:AE)&lt;&gt;"No",_xlfn.XLOOKUP(B22,'Base stats'!B:B,'Base stats'!AE:AE),"")
  )
)</f>
        <v>No</v>
      </c>
      <c r="BQ22" s="25" t="str">
        <f>IF(
   AND(
      'Base stats'!AN22="Standard",_xlfn.XLOOKUP(_xlfn.XLOOKUP(B22,'Base stats'!B:B,'Base stats'!E:E),Groups!A:A,Groups!AU:AU)=0,
      OR(
      BO22="True"
      )
   ),
   10,
   IF(
       OR(BM22&lt;&gt;"No",_xlfn.XLOOKUP(_xlfn.XLOOKUP(B22,'Base stats'!B:B,'Base stats'!E:E),Groups!A:A,Groups!AU:AU)=1),
      1,
      "No"
   )
)</f>
        <v>No</v>
      </c>
      <c r="BR22" s="9">
        <f>MROUND((1 + ((0.2*IF(OR(Q22="No",R22="No",R22=0),0,Q22/R22)
+IF(OR(V22="No",S22="No",T22="No"),0,S22/T22*(LEN(V22)-LEN(SUBSTITUTE(V22,",",""))+1))
+IF(OR(X22="No",Y22="No"),0,X22/Y22)
+IF(OR(AD22="No",AE22="No"),0,AD22/AE22)
+IF(OR(AL22="No",AI22="No",AJ22="No"),0,AI22/AJ22*(LEN(AL22)-LEN(SUBSTITUTE(AL22,",",""))+1))
)/(0.2*IF(OR(Q22="No",R22="No",R22=0),0,1)
+IF(OR(V22="No",S22="No",T22="No"),0,LEN(V22)-LEN(SUBSTITUTE(V22,",",""))+1)
+IF(OR(X22="No",Y22="No"),0,1)
+IF(OR(AD22="No",AE22="No"),0,1)
+IF(OR(AL22="No",AI22="No",AJ22="No"),0,LEN(AL22)-LEN(SUBSTITUTE(AL22,",",""))+1))*62%)* 2)*(1 + (AP22 / (IF(_xlfn.XLOOKUP(_xlfn.XLOOKUP(B22,'Base stats'!B:B,'Base stats'!E:E),Groups!A:A,Groups!AJ:AJ)="Photonozoa",0.3,1)) + _xlfn.XLOOKUP(B22,'Base stats'!B:B,'Base stats'!AV:AV) * 1.8) * 2) * 2.5 + 10 + I22 * 2,5)+IF(_xlfn.XLOOKUP(B22,'Base stats'!B:B,'Base stats'!AK:AK)=1,50,0)</f>
        <v>115</v>
      </c>
      <c r="BS22" s="8">
        <f t="shared" si="5"/>
        <v>0.9</v>
      </c>
      <c r="BT22" s="8" t="str">
        <f>_xlfn.XLOOKUP(B22,'Base stats'!B:B,'Base stats'!AF:AF)</f>
        <v>3~10</v>
      </c>
      <c r="BU22" s="2" t="str">
        <f>IF(AND(J22&lt;=0.95,OR(_xlfn.XLOOKUP(B22,'Base stats'!B:B,'Base stats'!AK:AK)=1,_xlfn.XLOOKUP(B22,'Base stats'!B:B,'Base stats'!Y:Y)="Carnivore",_xlfn.XLOOKUP(B22,'Base stats'!B:B,'Base stats'!Y:Y)="Omnivore",BE22&gt;0.1)),"true","false")</f>
        <v>false</v>
      </c>
      <c r="BV22" s="2" t="str">
        <f>IF(_xlfn.XLOOKUP(B22,'Base stats'!B:B,'Base stats'!AI:AI)=1,"true","false")</f>
        <v>true</v>
      </c>
      <c r="BW22" s="25" t="str">
        <f>IF(E22="BaseInsect","AnimalInsect",
IF(J22&gt;0.95,"AnimalExotic",
_xlfn.TEXTJOIN(", ",TRUE,
IF(OR(_xlfn.XLOOKUP(B22,'Base stats'!B:B,'Base stats'!AM:AM)=1,AND(_xlfn.XLOOKUP(B22,'Base stats'!B:B,'Base stats'!O:O)=0,_xlfn.XLOOKUP(_xlfn.XLOOKUP(B22,'Base stats'!B:B,'Base stats'!E:E),Groups!A:A,Groups!B:B)&gt;0)),"AnimalUncommon","AnimalCommon"),
IF(AND(_xlfn.XLOOKUP(B22,'Base stats'!B:B,'Base stats'!O:O)=2,_xlfn.XLOOKUP(_xlfn.XLOOKUP(B22,'Base stats'!B:B,'Base stats'!E:E),Groups!A:A,Groups!D:D)=0),"AnimalPet",IF(AND(_xlfn.XLOOKUP(B22,'Base stats'!B:B,'Base stats'!O:O)&lt;&gt;0,_xlfn.XLOOKUP(_xlfn.XLOOKUP(B22,'Base stats'!B:B,'Base stats'!E:E),Groups!A:A,Groups!D:D)&lt;&gt;0),"AnimalFarm","")),
IF(OR(_xlfn.XLOOKUP(B22,'Base stats'!B:B,'Base stats'!AK:AK)=1,AND(BI22&lt;&gt;"None",BR22&gt;=60),ISNUMBER(SEARCH("Attack target",BP22))),"AnimalFighter","")
)))</f>
        <v>AnimalCommon, AnimalFarm</v>
      </c>
      <c r="BX22" s="25" t="str">
        <f>IF(G22="None",TRIM(
SUBSTITUTE(
IF(COUNTIF(Biomes!B$2:B$259,"="&amp;$C22)&gt;0,Biomes!B$1&amp;", ","")&amp;
IF(COUNTIF(Biomes!C$2:C$259,"="&amp;$C22)&gt;0,Biomes!C$1&amp;", ","")&amp;
IF(COUNTIF(Biomes!D$2:D$259,"="&amp;$C22)&gt;0,Biomes!D$1&amp;", ","")&amp;
IF(COUNTIF(Biomes!F$2:F$259,"="&amp;$C22)&gt;0,Biomes!F$1&amp;", ","")&amp;
IF(COUNTIF(Biomes!G$2:G$259,"="&amp;$C22)&gt;0,Biomes!G$1&amp;", ","")&amp;
IF(COUNTIF(Biomes!H$2:H$259,"="&amp;$C22)&gt;0,Biomes!H$1&amp;", ","")&amp;
IF(COUNTIF(Biomes!I$2:I$259,"="&amp;$C22)&gt;0,Biomes!I$1&amp;", ","")&amp;
IF(COUNTIF(Biomes!J$2:J$259,"="&amp;$C22)&gt;0,Biomes!J$1&amp;", ","")&amp;
IF(COUNTIF(Biomes!M$2:M$259,"="&amp;$C22)&gt;0,Biomes!M$1&amp;", ","")&amp;
IF(COUNTIF(Biomes!N$2:N$259,"="&amp;$C22)&gt;0,Biomes!N$1&amp;", ","")&amp;
IF(COUNTIF(Biomes!O$2:O$259,"="&amp;$C22)&gt;0,Biomes!O$1&amp;", ","")&amp;
IF(COUNTIF(Biomes!P$2:P$259,"="&amp;$C22)&gt;0,Biomes!P$1&amp;", ","")&amp;
IF(COUNTIF(Biomes!K$2:K$259,"="&amp;$C22)&gt;0,Biomes!K$1&amp;", ","")&amp;
IF(COUNTIF(Biomes!Q$3:Q$259,"="&amp;$C22)&gt;0,Biomes!Q$1&amp;", ","")&amp;
IF(COUNTIF(Biomes!L$2:L$259,"="&amp;$C22)&gt;0,Biomes!L$1&amp;", ","")&amp;
IF(COUNTIF(Biomes!E$2:E$259,"="&amp;$C22)&gt;0,Biomes!E$1&amp;", ","")&amp;IF(COUNTIF(Biomes!S$2:S$259,"="&amp;$C22)&gt;0,Biomes!S$1&amp;", ","")&amp;
IF(COUNTIF(Biomes!R$2:R$259,"="&amp;$C22)&gt;0,Biomes!R$1&amp;", ",""),", ","")
),_xlfn.XLOOKUP(B22,B:B,BX:BX))</f>
        <v>AridShrubland Desert ExtremeDesert Grasslands LavaField Scarlands</v>
      </c>
      <c r="BY22" s="25" t="str">
        <f>IF(_xlfn.XLOOKUP(B22,'Base stats'!B:B,'Base stats'!AJ:AJ)=1,"true","false")</f>
        <v>false</v>
      </c>
      <c r="BZ22" s="25">
        <f>IF(_xlfn.XLOOKUP(B22,'Base stats'!B:B,'Base stats'!N:N)=1,"No",MAX(0.001,MIN(MROUND(IF(AND(BJ22="True",CC22="False"),POWER(10,3.47*LOG10(_xlfn.XLOOKUP(B22,'Base stats'!B:B,'Base stats'!C:C)*1000)^-0.96),POWER(10,4.15*LOG10(_xlfn.XLOOKUP(B22,'Base stats'!B:B,'Base stats'!C:C)*1000)^-0.73))*IF(_xlfn.XLOOKUP(B22,'Base stats'!B:B,'Base stats'!AK:AK)=1,0.5,1)*IF(_xlfn.XLOOKUP(B22,'Base stats'!B:B,'Base stats'!AM:AM)=1,0.1,1)/100,IF(_xlfn.XLOOKUP(B22,'Base stats'!B:B,'Base stats'!AM:AM)=1,0.001,0.025)),0.5)))</f>
        <v>0.17500000000000002</v>
      </c>
      <c r="CA22" s="25" t="str">
        <f>IF(P22="Standard","No",MAX(0.001,MIN(MROUND(IF(AND(BJ22="True",CC22="False"),POWER(10,3.47*LOG10(_xlfn.XLOOKUP(B22,'Base stats'!B:B,'Base stats'!C:C)*1000)^-0.96),POWER(10,4.15*LOG10(_xlfn.XLOOKUP(B22,'Base stats'!B:B,'Base stats'!C:C)*1000)^-0.73))*IF(_xlfn.XLOOKUP(B22,'Base stats'!B:B,'Base stats'!AM:AM)=1,0.1,1)*_xlfn.XLOOKUP(B22,'Base stats'!B:B,'Base stats'!R:R)/100,IF(_xlfn.XLOOKUP(B22,'Base stats'!B:B,'Base stats'!AM:AM)=1,0.001,0.025)),0.5)))</f>
        <v>No</v>
      </c>
      <c r="CB22" s="25" t="str">
        <f>IF(_xlfn.XLOOKUP(_xlfn.XLOOKUP(B22,'Base stats'!B:B,'Base stats'!E:E),Groups!A:A,Groups!AJ:AJ)="Mammal","True","False")</f>
        <v>True</v>
      </c>
      <c r="CC22" s="25" t="str">
        <f>IF(OR(_xlfn.XLOOKUP(_xlfn.XLOOKUP(B22,'Base stats'!B:B,'Base stats'!E:E),Groups!A:A,Groups!AJ:AJ)="Reptile",_xlfn.XLOOKUP(_xlfn.XLOOKUP(B22,'Base stats'!B:B,'Base stats'!E:E),Groups!A:A,Groups!AJ:AJ)="Amphibian",_xlfn.XLOOKUP(_xlfn.XLOOKUP(B22,'Base stats'!B:B,'Base stats'!E:E),Groups!A:A,Groups!AJ:AJ)="Invertebrate"),"True","False")</f>
        <v>False</v>
      </c>
      <c r="CD22" s="25" t="str">
        <f t="shared" si="6"/>
        <v>False</v>
      </c>
      <c r="CE22" s="25" t="str">
        <f>IF(_xlfn.XLOOKUP(_xlfn.XLOOKUP(B22,'Base stats'!B:B,'Base stats'!E:E),Groups!A:A,Groups!AX:AX),"True","False")</f>
        <v>False</v>
      </c>
      <c r="CF22" s="25" t="str">
        <f>IF(_xlfn.XLOOKUP(_xlfn.XLOOKUP(B22,'Base stats'!B:B,'Base stats'!E:E),Groups!A:A,Groups!AY:AY),"True","False")</f>
        <v>False</v>
      </c>
      <c r="CG22" s="25" t="str">
        <f>IF(_xlfn.XLOOKUP(_xlfn.XLOOKUP(B22,'Base stats'!B:B,'Base stats'!E:E),Groups!A:A,Groups!AW:AW),"True","False")</f>
        <v>False</v>
      </c>
      <c r="CH22" s="25" t="str">
        <f>IF(
OR(
_xlfn.XLOOKUP(_xlfn.XLOOKUP(B22,'Base stats'!B:B,'Base stats'!E:E),Groups!A:A,Groups!AZ:AZ)=0,
AND(
_xlfn.XLOOKUP(B22,'Base stats'!B:B,'Base stats'!Y:Y)&lt;&gt;"Carnivore",
_xlfn.XLOOKUP(B22,'Base stats'!B:B,'Base stats'!Y:Y)&lt;&gt;"Omnivore",
_xlfn.XLOOKUP(B22,'Base stats'!B:B,'Base stats'!Y:Y)&lt;&gt;"OmnivoreRough"
)
),
"No",
IF(
_xlfn.XLOOKUP(_xlfn.XLOOKUP(B22,'Base stats'!B:B,'Base stats'!E:E),Groups!A:A,Groups!AZ:AZ)=1,
"Flesh",
IF(
_xlfn.XLOOKUP(_xlfn.XLOOKUP(B22,'Base stats'!B:B,'Base stats'!E:E),Groups!A:A,Groups!AZ:AZ)=2,
"Bone",
""
)
)
)</f>
        <v>No</v>
      </c>
      <c r="CI22" s="25" t="str">
        <f>IF(_xlfn.XLOOKUP(_xlfn.XLOOKUP(B22,'Base stats'!B:B,'Base stats'!E:E),Groups!A:A,Groups!BB:BB),"True","False")</f>
        <v>True</v>
      </c>
      <c r="CJ22" s="25" t="str">
        <f>IF(_xlfn.XLOOKUP(_xlfn.XLOOKUP(B22,'Base stats'!B:B,'Base stats'!E:E),Groups!A:A,Groups!BA:BA),"True","False")</f>
        <v>False</v>
      </c>
      <c r="CO22" s="16"/>
    </row>
    <row r="23" spans="1:93" ht="16.5" thickTop="1" thickBot="1" x14ac:dyDescent="0.3">
      <c r="A23" s="26" t="str">
        <f>_xlfn.XLOOKUP(B23,'Base stats'!B:B,'Base stats'!A:A)</f>
        <v>Hare</v>
      </c>
      <c r="B23" s="37" t="s">
        <v>877</v>
      </c>
      <c r="C23" s="28" t="s">
        <v>696</v>
      </c>
      <c r="D23" s="28" t="s">
        <v>45</v>
      </c>
      <c r="E23" s="28" t="s">
        <v>697</v>
      </c>
      <c r="F23" s="28" t="s">
        <v>698</v>
      </c>
      <c r="G23" s="28" t="s">
        <v>673</v>
      </c>
      <c r="H23" s="2">
        <f>MROUND((
  (IF(AND(_xlfn.XLOOKUP(B23,'Base stats'!B:B,'Base stats'!AL:AL)=0,BI23="None",_xlfn.XLOOKUP(_xlfn.XLOOKUP(B23,'Base stats'!B:B,'Base stats'!E:E),Groups!A:A,Groups!B:B)=0), (18 + BR23 * 2.7) * 0.5,
    IF(AND(_xlfn.XLOOKUP(B23,'Base stats'!B:B,'Base stats'!AL:AL)=0,OR(AO23&lt;0.55,AND(BI23="Intermediate",_xlfn.XLOOKUP(_xlfn.XLOOKUP(B23,'Base stats'!B:B,'Base stats'!E:E),Groups!A:A,Groups!B:B)&lt;2))), (18 + BR23 * 2.7),
      IF(OR(BI23="Advanced",_xlfn.XLOOKUP(B23,'Base stats'!B:B,'Base stats'!AL:AL)=1,_xlfn.XLOOKUP(_xlfn.XLOOKUP(B23,'Base stats'!B:B,'Base stats'!E:E),Groups!A:A,Groups!B:B)=2), (18 + BR23 * 2.7) + 250, (18 + BR23 * 2.7))
    )
  ))
  + AO23 * 80
  + IF(COUNTIF(EggMilk!K$2:K$998, A23) &gt; 0, 125, 0)
  + IF(COUNTIF(EggMilk!P$2:P$998, A23) &gt; 0, 90, 0)
  + IF(COUNTIF(EggMilk!A$2:A$998, A23) &gt; 0, 90, 0)
)
* (0.8 + 0.4 * J23)
* 0.75,25)</f>
        <v>75</v>
      </c>
      <c r="I23" s="2">
        <f>MROUND(ROUNDDOWN(_xlfn.XLOOKUP(B23,'Base stats'!B:B,'Base stats'!L:L)/3.6/(23.3/11),1),0.5)</f>
        <v>9.5</v>
      </c>
      <c r="J23" s="2">
        <f>IF(OR(_xlfn.XLOOKUP(B23,'Base stats'!B:B,'Base stats'!AB:AB)=1,_xlfn.XLOOKUP(_xlfn.XLOOKUP(B23,'Base stats'!B:B,'Base stats'!E:E),Groups!A:A,Groups!C:C)="Untamable"),1,IF(_xlfn.XLOOKUP(B23,'Base stats'!B:B,'Base stats'!AL:AL)=1,0.99,MIN(MROUND((1-0.6282*EXP(-0.459*AO23))*_xlfn.XLOOKUP(_xlfn.XLOOKUP(B23,'Base stats'!B:B,'Base stats'!E:E),Groups!A:A,Groups!C:C)*IF(_xlfn.XLOOKUP(B23,'Base stats'!B:B,'Base stats'!O:O)=1,0.5,IF(_xlfn.XLOOKUP(B23,'Base stats'!B:B,'Base stats'!O:O)=2,0,1)),0.05),IF(AO23&gt;3.5,0.985,0.95))))</f>
        <v>0.55000000000000004</v>
      </c>
      <c r="K23" s="2">
        <f>ROUNDUP(AO23*_xlfn.XLOOKUP(_xlfn.XLOOKUP(B23,'Base stats'!B:B,'Base stats'!E:E),Groups!A:A,Groups!E:E),0)</f>
        <v>1</v>
      </c>
      <c r="L23" s="2">
        <f>IF(OR(_xlfn.XLOOKUP(_xlfn.XLOOKUP(B23,'Base stats'!B:B,'Base stats'!E:E),Groups!A:A,Groups!F:F)=2,ISNUMBER(SEARCH("SeaIce",BX23)),ISNUMBER(SEARCH("IceSheet",BX23))),-50,IF(OR(ISNUMBER(SEARCH("GlacialPlain",BX23)),ISNUMBER(SEARCH("Tundra",BX23))),-40,IF(OR(ISNUMBER(SEARCH("Alpine",BX23)),ISNUMBER(SEARCH("BorealForest",BX23)),ISNUMBER(SEARCH("ColdBog",BX23))),-30,IF(OR(ISNUMBER(SEARCH("TemperateForest",BX23)),ISNUMBER(SEARCH("TemperateSwamp",BX23))),-20,IF(_xlfn.XLOOKUP(_xlfn.XLOOKUP(B23,'Base stats'!B:B,'Base stats'!E:E),Groups!A:A,Groups!F:F)=1,-15,IF(OR(ISNUMBER(SEARCH("Desert",BX23)),ISNUMBER(SEARCH("ExtremeDesert",BX23))),-10,IF(OR(ISNUMBER(SEARCH("Grasslands",BX23)),ISNUMBER(SEARCH("TropicalRainforest",BX23)),ISNUMBER(SEARCH("TropicalSwamp",BX23))),10,0)))))))-IF(CC23="False",MIN(IFERROR(MAX(MROUND(LOG10(_xlfn.XLOOKUP(B23,'Base stats'!B:B,'Base stats'!C:C)^(2/3))*10,5),5),5),30))-_xlfn.XLOOKUP(B23,'Base stats'!B:B,'Base stats'!P:P)+IF(CC23="True",5,0)</f>
        <v>-45</v>
      </c>
      <c r="M23" s="2">
        <f>IF(OR(_xlfn.XLOOKUP(_xlfn.XLOOKUP(B23,'Base stats'!B:B,'Base stats'!E:E),Groups!A:A,Groups!G:G)=2,ISNUMBER(SEARCH("Desert",BX23)),ISNUMBER(SEARCH("ExtremeDesert",BX23)),ISNUMBER(SEARCH("LavaField",BX23))),50,IF(ISNUMBER(SEARCH("Grasslands",BX23)),45,IF(OR(_xlfn.XLOOKUP(_xlfn.XLOOKUP(B23,'Base stats'!B:B,'Base stats'!E:E),Groups!A:A,Groups!G:G)=1,ISNUMBER(SEARCH("TropicalRainforest",BX23)),ISNUMBER(SEARCH("TropicalSwamp",BX23))),40,IF(OR(ISNUMBER(SEARCH("TemperateForest",BX23)),ISNUMBER(SEARCH("TemperateSwamp",BX23))),35,IF(OR(ISNUMBER(SEARCH("Alpine",BX23)),ISNUMBER(SEARCH("BorealForest",BX23)),ISNUMBER(SEARCH("ColdBog",BX23))),30,IF(ISNUMBER(OR(ISNUMBER(SEARCH("GlacialPlain",BX23)),SEARCH("Tundra",BX23))),25,IF(OR(ISNUMBER(SEARCH("SeaIce",BX23)),ISNUMBER(SEARCH("IceSheet",BX23)),ISNUMBER(SEARCH("TropicalSwamp",BX23))),10,35)))))))+_xlfn.XLOOKUP(B23,'Base stats'!B:B,'Base stats'!Q:Q)</f>
        <v>35</v>
      </c>
      <c r="N23" s="8" t="str">
        <f>IF(
_xlfn.XLOOKUP(
_xlfn.XLOOKUP(B23,'Base stats'!B:B,'Base stats'!E:E),
Groups!A:A,
Groups!L:L
)=1,
MIN(
MROUND(
IF(
_xlfn.XLOOKUP(B23,'Animals CE'!B:B,'Animals CE'!Z:Z)&lt;=1.5,
_xlfn.XLOOKUP(B23,'Animals CE'!B:B,'Animals CE'!Z:Z)/2+0.05,
0.8+
(_xlfn.XLOOKUP(B23,'Animals CE'!B:B,'Animals CE'!Z:Z)-1.5)
*0.02
),
0.05
),
200%
),
"No"
)</f>
        <v>No</v>
      </c>
      <c r="O23" s="8" t="str">
        <f>IF(
_xlfn.XLOOKUP(
_xlfn.XLOOKUP(B23,'Base stats'!B:B,'Base stats'!E:E),
Groups!A:A,
Groups!L:L
)=1,
MIN(
MROUND(
IF(
_xlfn.XLOOKUP(B23,'Animals CE'!B:B,'Animals CE'!AA:AA)&lt;=1.5,
_xlfn.XLOOKUP(B23,'Animals CE'!B:B,'Animals CE'!AA:AA)/2+0.05,
0.8+
(_xlfn.XLOOKUP(B23,'Animals CE'!B:B,'Animals CE'!AA:AA)-1.5)
*0.02
),
0.05
),
200%
),
"No"
)</f>
        <v>No</v>
      </c>
      <c r="P23" s="2" t="str">
        <f>_xlfn.XLOOKUP(B23,'Base stats'!B:B,'Base stats'!R:R)</f>
        <v>Standard</v>
      </c>
      <c r="Q23" s="13">
        <f>MROUND((LOG10(_xlfn.XLOOKUP(B23,'Base stats'!B:B,'Base stats'!AR:AR))*(AO23^0.5)+(_xlfn.XLOOKUP(B23,'Base stats'!B:B,'Base stats'!AR:AR)/1000)^(2/3)+_xlfn.XLOOKUP(B23,'Base stats'!B:B,'Base stats'!BA:BA)/2)+0.5,0.5)</f>
        <v>2.5</v>
      </c>
      <c r="R23" s="7">
        <f>IF(Q23="No","No",MAX(1,MROUND(_xlfn.XLOOKUP(B23,'Base stats'!B:B,'Base stats'!C:C)^0.165,0.05)))</f>
        <v>1.25</v>
      </c>
      <c r="S23" s="13" t="str">
        <f>IF(_xlfn.XLOOKUP(_xlfn.XLOOKUP(B23,'Base stats'!B:B,'Base stats'!E:E),Groups!A:A,Groups!P:P)=0,"No",MROUND((LOG10(_xlfn.XLOOKUP(B23,'Base stats'!B:B,'Base stats'!AS:AS))*(AO23^0.5)+(_xlfn.XLOOKUP(B23,'Base stats'!B:B,'Base stats'!AS:AS)/1000)^(2/3)+_xlfn.XLOOKUP(B23,'Base stats'!B:B,'Base stats'!BA:BA))+_xlfn.XLOOKUP(B23,'Base stats'!B:B,'Base stats'!AY:AY)+0.5,0.5))</f>
        <v>No</v>
      </c>
      <c r="T23" s="7" t="str">
        <f>IF(S23="No","No",MAX(_xlfn.XLOOKUP(_xlfn.XLOOKUP(B23,'Base stats'!B:B,'Base stats'!E:E),Groups!A:A,Groups!Q:Q),MROUND(_xlfn.XLOOKUP(_xlfn.XLOOKUP(B23,'Base stats'!B:B,'Base stats'!E:E),Groups!A:A,Groups!Q:Q)*_xlfn.XLOOKUP(B23,'Base stats'!B:B,'Base stats'!C:C)^0.165,0.05)))</f>
        <v>No</v>
      </c>
      <c r="U23" s="7" t="str">
        <f>IF(S23="No","No",_xlfn.XLOOKUP(_xlfn.XLOOKUP(B23,'Base stats'!B:B,'Base stats'!E:E),Groups!A:A,Groups!R:R))</f>
        <v>No</v>
      </c>
      <c r="V23" s="7" t="str">
        <f>IF(S23="No","No",_xlfn.XLOOKUP(_xlfn.XLOOKUP(B23,'Base stats'!B:B,'Base stats'!E:E),Groups!A:A,Groups!S:S))</f>
        <v>No</v>
      </c>
      <c r="W23" s="7" t="str">
        <f>IF(S23="No","No",_xlfn.XLOOKUP(_xlfn.XLOOKUP(B23,'Base stats'!B:B,'Base stats'!E:E),Groups!A:A,Groups!T:T))</f>
        <v>No</v>
      </c>
      <c r="X23" s="13" t="str">
        <f>IF(_xlfn.XLOOKUP(B23,'Base stats'!B:B,'Base stats'!W:W)="No","No",MROUND((LOG10(_xlfn.XLOOKUP(B23,'Base stats'!B:B,'Base stats'!AU:AU))*(AO23^0.5)+(_xlfn.XLOOKUP(B23,'Base stats'!B:B,'Base stats'!AU:AU)/1000)^(2/3)+_xlfn.XLOOKUP(B23,'Base stats'!B:B,'Base stats'!AZ:AZ))+0.5+IF(_xlfn.XLOOKUP(_xlfn.XLOOKUP(B23,'Base stats'!B:B,'Base stats'!E:E),Groups!A:A,Groups!U:U)&lt;&gt;3,_xlfn.XLOOKUP(B23,'Base stats'!B:B,'Base stats'!BA:BA),0),0.5))</f>
        <v>No</v>
      </c>
      <c r="Y23" s="7" t="str">
        <f>IF(X23="No","No",MAX(_xlfn.XLOOKUP(_xlfn.XLOOKUP(B23,'Base stats'!B:B,'Base stats'!E:E),Groups!A:A,Groups!V:V),MROUND(_xlfn.XLOOKUP(_xlfn.XLOOKUP(B23,'Base stats'!B:B,'Base stats'!E:E),Groups!A:A,Groups!V:V)*_xlfn.XLOOKUP(B23,'Base stats'!B:B,'Base stats'!C:C)^0.165,0.05)))</f>
        <v>No</v>
      </c>
      <c r="Z23" s="7" t="str">
        <f>IF(X23="No","No",_xlfn.XLOOKUP(_xlfn.XLOOKUP(B23,'Base stats'!B:B,'Base stats'!E:E),Groups!A:A,Groups!W:W))</f>
        <v>No</v>
      </c>
      <c r="AA23" s="7" t="str">
        <f>IF(X23="No","No",_xlfn.XLOOKUP(_xlfn.XLOOKUP(B23,'Base stats'!B:B,'Base stats'!E:E),Groups!A:A,Groups!X:X))</f>
        <v>No</v>
      </c>
      <c r="AB23" s="7" t="str">
        <f>IF(X23="No","No",_xlfn.XLOOKUP(_xlfn.XLOOKUP(B23,'Base stats'!B:B,'Base stats'!E:E),Groups!A:A,Groups!Y:Y))</f>
        <v>No</v>
      </c>
      <c r="AC23" s="7" t="str">
        <f>_xlfn.XLOOKUP(Animals!B23,'Base stats'!B:B,'Base stats'!X:X)</f>
        <v>False</v>
      </c>
      <c r="AD23" s="13">
        <f>IF(_xlfn.XLOOKUP(B23,'Base stats'!B:B,'Base stats'!AT:AT)="No","No",MROUND((LOG10(_xlfn.XLOOKUP(B23,'Base stats'!B:B,'Base stats'!AT:AT))*(AO23^0.75)+(_xlfn.XLOOKUP(B23,'Base stats'!B:B,'Base stats'!AT:AT)/1000)^(2/3)+_xlfn.XLOOKUP(B23,'Base stats'!B:B,'Base stats'!AX:AX)+_xlfn.XLOOKUP(B23,'Base stats'!B:B,'Base stats'!BA:BA))+0.5,0.5))</f>
        <v>2.5</v>
      </c>
      <c r="AE23" s="7">
        <f>IF(AD23="No","No",MAX(_xlfn.XLOOKUP(_xlfn.XLOOKUP(B23,'Base stats'!B:B,'Base stats'!E:E),Groups!A:A,Groups!Z:Z),MROUND(_xlfn.XLOOKUP(_xlfn.XLOOKUP(B23,'Base stats'!B:B,'Base stats'!E:E),Groups!A:A,Groups!Z:Z)*_xlfn.XLOOKUP(B23,'Base stats'!B:B,'Base stats'!C:C)^0.165,0.05)))</f>
        <v>1.25</v>
      </c>
      <c r="AF23" s="7" t="str">
        <f>IF(AD23="No","No",_xlfn.XLOOKUP(_xlfn.XLOOKUP(B23,'Base stats'!B:B,'Base stats'!E:E),Groups!A:A,Groups!AA:AA))</f>
        <v>Teeth</v>
      </c>
      <c r="AG23" s="7" t="str">
        <f>IF(AD23="No","No",_xlfn.XLOOKUP(_xlfn.XLOOKUP(B23,'Base stats'!B:B,'Base stats'!E:E),Groups!A:A,Groups!AB:AB))</f>
        <v>Incisors</v>
      </c>
      <c r="AH23" s="7" t="str">
        <f>IF(AD23="No","No",_xlfn.XLOOKUP(_xlfn.XLOOKUP(B23,'Base stats'!B:B,'Base stats'!E:E),Groups!A:A,Groups!AC:AC))</f>
        <v>Bite</v>
      </c>
      <c r="AI23" s="13" t="str">
        <f>IF(_xlfn.XLOOKUP(_xlfn.XLOOKUP(B23,'Base stats'!B:B,'Base stats'!E:E),Groups!A:A,Groups!AD:AD)=0,"No",MROUND((LOG10(_xlfn.XLOOKUP(B23,'Base stats'!B:B,'Base stats'!AS:AS))*(AO23^0.75)+(_xlfn.XLOOKUP(B23,'Base stats'!B:B,'Base stats'!AS:AS)/1000)^(2/3)+_xlfn.XLOOKUP(B23,'Base stats'!B:B,'Base stats'!AY:AY)+_xlfn.XLOOKUP(B23,'Base stats'!B:B,'Base stats'!BA:BA))+0.5,0.5))</f>
        <v>No</v>
      </c>
      <c r="AJ23" s="7" t="str">
        <f>IF(AI23="No","No",MAX(_xlfn.XLOOKUP(_xlfn.XLOOKUP(B23,'Base stats'!B:B,'Base stats'!E:E),Groups!A:A,Groups!AE:AE),MROUND(_xlfn.XLOOKUP(_xlfn.XLOOKUP(B23,'Base stats'!B:B,'Base stats'!E:E),Groups!A:A,Groups!AE:AE)*IF(_xlfn.XLOOKUP(_xlfn.XLOOKUP(B23,'Base stats'!B:B,'Base stats'!E:E),Groups!A:A,Groups!AJ:AJ)="Photonozoa",0.6,1)*_xlfn.XLOOKUP(B23,'Base stats'!B:B,'Base stats'!C:C)^0.165,0.05)))</f>
        <v>No</v>
      </c>
      <c r="AK23" s="7" t="str">
        <f>IF(AI23="No","No",_xlfn.XLOOKUP(_xlfn.XLOOKUP(B23,'Base stats'!B:B,'Base stats'!E:E),Groups!A:A,Groups!AF:AF))</f>
        <v>No</v>
      </c>
      <c r="AL23" s="7" t="str">
        <f>IF(AI23="No","No",_xlfn.XLOOKUP(_xlfn.XLOOKUP(B23,'Base stats'!B:B,'Base stats'!E:E),Groups!A:A,Groups!AG:AG))</f>
        <v>No</v>
      </c>
      <c r="AM23" s="7" t="str">
        <f>IF(AI23="No","No",_xlfn.XLOOKUP(_xlfn.XLOOKUP(B23,'Base stats'!B:B,'Base stats'!E:E),Groups!A:A,Groups!AH:AH))</f>
        <v>No</v>
      </c>
      <c r="AN23" s="2" t="str">
        <f t="shared" si="0"/>
        <v>No</v>
      </c>
      <c r="AO23" s="2">
        <f>MROUND(IF(AND(_xlfn.XLOOKUP(B23,'Base stats'!B:B,'Base stats'!C:C)&gt;=0.5,_xlfn.XLOOKUP(B23,'Base stats'!B:B,'Base stats'!C:C)&lt;=0.8),
IF(_xlfn.XLOOKUP(B23,'Base stats'!B:B,'Base stats'!C:C)&lt;0.1,0.05,IF(_xlfn.XLOOKUP(B23,'Base stats'!B:B,'Base stats'!C:C)&lt;=70,(_xlfn.XLOOKUP(B23,'Base stats'!B:B,'Base stats'!C:C)/70)^0.426489913056526,IF(_xlfn.XLOOKUP(B23,'Base stats'!B:B,'Base stats'!C:C)&lt;=400,(_xlfn.XLOOKUP(B23,'Base stats'!B:B,'Base stats'!C:C)/70)^0.572811455315093,IF(_xlfn.XLOOKUP(B23,'Base stats'!B:B,'Base stats'!C:C)&lt;=2000,2.71391647193063*(_xlfn.XLOOKUP(B23,'Base stats'!B:B,'Base stats'!C:C)/400)^0.252459582904293,3.74314280240376*(_xlfn.XLOOKUP(B23,'Base stats'!B:B,'Base stats'!C:C)/2000)^0.357012633876913)))),
IF(_xlfn.XLOOKUP(B23,'Base stats'!B:B,'Base stats'!C:C)&lt;0.1,0.05,IF(_xlfn.XLOOKUP(B23,'Base stats'!B:B,'Base stats'!C:C)&lt;0.4,0.1,IF(_xlfn.XLOOKUP(B23,'Base stats'!B:B,'Base stats'!C:C)&lt;=70,(_xlfn.XLOOKUP(B23,'Base stats'!B:B,'Base stats'!C:C)/70)^0.445823913056526,IF(_xlfn.XLOOKUP(B23,'Base stats'!B:B,'Base stats'!C:C)&lt;=400,(_xlfn.XLOOKUP(B23,'Base stats'!B:B,'Base stats'!C:C)/70)^0.572811455315093,IF(_xlfn.XLOOKUP(B23,'Base stats'!B:B,'Base stats'!C:C)&lt;=2000,2.71391647193063*(_xlfn.XLOOKUP(B23,'Base stats'!B:B,'Base stats'!C:C)/400)^0.252459582904293,3.74314280240376*(_xlfn.XLOOKUP(B23,'Base stats'!B:B,'Base stats'!C:C)/2000)^0.357012633876913)))))),
IF(_xlfn.XLOOKUP(B23,'Base stats'!B:B,'Base stats'!C:C)&lt;0.1,0.05,IF(_xlfn.XLOOKUP(B23,'Base stats'!B:B,'Base stats'!C:C)&lt;=100,0.05,IF(_xlfn.XLOOKUP(B23,'Base stats'!B:B,'Base stats'!C:C)&lt;=250,0.1,IF(_xlfn.XLOOKUP(B23,'Base stats'!B:B,'Base stats'!C:C)&lt;=4000,0.25,0.5)))))</f>
        <v>0.30000000000000004</v>
      </c>
      <c r="AP23" s="8">
        <f>MROUND(AO23*_xlfn.XLOOKUP(_xlfn.XLOOKUP(B23,'Base stats'!B:B,'Base stats'!E:E),Groups!A:A,Groups!AI:AI)*_xlfn.XLOOKUP(B23,'Base stats'!B:B,'Base stats'!Z:Z),0.05)</f>
        <v>0.30000000000000004</v>
      </c>
      <c r="AQ23" s="8">
        <f>MAX(0.01,MROUND(IF(CC23="True",0.196*(AO23*100*1000)^0.889,IF(_xlfn.XLOOKUP(_xlfn.XLOOKUP(B23,'Base stats'!B:B,'Base stats'!E:E),Groups!A:A,Groups!AJ:AJ)="Bird",10.5*(AO23*100*1000)^0.681,4.82*(AO23*100*1000)^0.734))/(4.82*(1*100*1000)^0.734)/IF(AO23&lt;3.5,2,IF(AO23=3.5,1.5,1.25))*(1+0.132282374779864/(AO23^0.994035016789033+0.00905238001496948)),0.05))</f>
        <v>0.30000000000000004</v>
      </c>
      <c r="AR23" s="9">
        <f>IFERROR(MROUND(_xlfn.XLOOKUP(B23,'Base stats'!B:B,'Base stats'!H:H)/IF(_xlfn.XLOOKUP(B23,'Base stats'!B:B,'Base stats'!I:I)&lt;&gt;1,(122.5/70),1.2),IF(_xlfn.XLOOKUP(B23,'Base stats'!B:B,'Base stats'!H:H)&gt;=30,5,IF(_xlfn.XLOOKUP(B23,'Base stats'!B:B,'Base stats'!H:H)&gt;=15,3,IF(_xlfn.XLOOKUP(B23,'Base stats'!B:B,'Base stats'!H:H)&gt;=10,2,1)))),"Immortal")</f>
        <v>6</v>
      </c>
      <c r="AS23" s="35">
        <f>IFERROR(IF(OR(_xlfn.XLOOKUP(B23,'Base stats'!B:B,'Base stats'!F:F)="Atypical reproduction",_xlfn.XLOOKUP(B23,'Base stats'!B:B,'Base stats'!F:F)="Lay eggs"),"Lay eggs",MIN(20,MAX(5.5,ROUND(((_xlfn.XLOOKUP(B23,'Base stats'!B:B,'Base stats'!F:F)-25)*(14.5/615) + 5.5)*2,0)/2))),"Unknown")</f>
        <v>6</v>
      </c>
      <c r="AT23" s="8">
        <f>IF(_xlfn.XLOOKUP(B23,'Base stats'!B:B,'Base stats'!G:G)="Atypical reproduction","No",IFERROR(MAX(IF(_xlfn.XLOOKUP(B23,'Base stats'!B:B,'Base stats'!G:G)&lt;0.5,0.2,0.3),MROUND(_xlfn.XLOOKUP(B23,'Base stats'!B:B,'Base stats'!G:G)/(365/60),0.2)),"Unknown"))</f>
        <v>0.3</v>
      </c>
      <c r="AU23" s="8">
        <f t="shared" si="1"/>
        <v>0.15000000000000002</v>
      </c>
      <c r="AV23" s="8">
        <f>IFERROR(IFERROR(MROUND(_xlfn.XLOOKUP(B23,'Base stats'!B:B,'Base stats'!J:J),0.1),"Lay eggs"),"Cannot breed")</f>
        <v>2</v>
      </c>
      <c r="AW23" s="2" t="str">
        <f t="shared" si="2"/>
        <v>false</v>
      </c>
      <c r="AX23" s="2" t="str">
        <f>IF(_xlfn.XLOOKUP(_xlfn.XLOOKUP(Animals!B23,'Base stats'!B:B,'Base stats'!E:E),Groups!A:A,Groups!AK:AK)=1,"true","false")</f>
        <v>false</v>
      </c>
      <c r="AY23" s="25" t="str">
        <f>IF(_xlfn.XLOOKUP(B23,'Base stats'!B:B,'Base stats'!Y:Y)="Liquor","Liquor, CarnivoreAnimalStrict",IF(AND(_xlfn.XLOOKUP(B23,'Base stats'!B:B,'Base stats'!Y:Y)="Carnivore",_xlfn.XLOOKUP(_xlfn.XLOOKUP(B23,'Base stats'!B:B,'Base stats'!E:E),Groups!A:A,Groups!AJ:AJ)="Photonozoa"),"CarnivoreAnimalStrict, OvivoreAnimal",IF(_xlfn.XLOOKUP(B23,'Base stats'!B:B,'Base stats'!Y:Y)="Carnivore","CarnivoreAnimal, OvivoreAnimal",IF(_xlfn.XLOOKUP(B23,'Base stats'!B:B,'Base stats'!Y:Y)="Dendrovore","VegetarianRoughAnimal, DendrovoreAnimal",IF(_xlfn.XLOOKUP(B23,'Base stats'!B:B,'Base stats'!Y:Y)="Herbivore","VegetarianRoughAnimal",IF(_xlfn.XLOOKUP(B23,'Base stats'!B:B,'Base stats'!Y:Y)="OmnivoreRough","OmnivoreRoughAnimal, OvivoreAnimal","OmnivoreAnimal, OvivoreAnimal"))))))</f>
        <v>VegetarianRoughAnimal</v>
      </c>
      <c r="AZ23" s="2" t="str">
        <f>IF(_xlfn.XLOOKUP(_xlfn.XLOOKUP(B23,'Base stats'!B:B,'Base stats'!E:E),Groups!A:A,Groups!D:D)=1,MROUND((1-J23)*5+1,2)*IF(J23&lt;=0.4,2,1),"No")</f>
        <v>No</v>
      </c>
      <c r="BA23" s="2" t="str">
        <f>IF(AND(_xlfn.XLOOKUP(B23,'Base stats'!B:B,'Base stats'!AH:AH)="&lt;li&gt;Seal&lt;/li&gt;",G23="Odyssey"),"&lt;li&gt;AEXP_Seal&lt;/li&gt;",_xlfn.XLOOKUP(B23,'Base stats'!B:B,'Base stats'!AH:AH))</f>
        <v>No</v>
      </c>
      <c r="BB23" s="2" t="str">
        <f>_xlfn.XLOOKUP(B23,'Base stats'!B:B,'Base stats'!AG:AG)</f>
        <v>Leather_Light</v>
      </c>
      <c r="BC23" s="23" t="str">
        <f>_xlfn.XLOOKUP(_xlfn.XLOOKUP(B23,'Base stats'!B:B,'Base stats'!E:E),Groups!A:A,Groups!AL:AL)</f>
        <v>QuadrupedAnimalWithPaws</v>
      </c>
      <c r="BD23" s="23">
        <f>MIN(1,MROUND(IF(AND(AO23&lt;0.5,_xlfn.XLOOKUP(B23,'Base stats'!B:B,'Base stats'!AA:AA)=0),0,IF(OR(_xlfn.XLOOKUP(Animals!B23,'Base stats'!B:B,'Base stats'!O:O)=2,_xlfn.XLOOKUP(_xlfn.XLOOKUP(B23,'Base stats'!B:B,'Base stats'!E:E),Groups!A:A,Groups!AN:AN)=0),0,_xlfn.XLOOKUP(_xlfn.XLOOKUP(B23,'Base stats'!B:B,'Base stats'!E:E),Groups!A:A,Groups!AN:AN)/IF(_xlfn.XLOOKUP(Animals!B23,'Base stats'!B:B,'Base stats'!O:O)=1,2,1)))+_xlfn.XLOOKUP(B23,'Base stats'!B:B,'Base stats'!AC:AC),0.005))</f>
        <v>0</v>
      </c>
      <c r="BE23" s="23">
        <f>MIN(1,MROUND(IF(AND(AO23&lt;0.5,_xlfn.XLOOKUP(B23,'Base stats'!B:B,'Base stats'!AA:AA)=0),0,IF(_xlfn.XLOOKUP(_xlfn.XLOOKUP(B23,'Base stats'!B:B,'Base stats'!E:E),Groups!A:A,Groups!AO:AO)=0,0,_xlfn.XLOOKUP(_xlfn.XLOOKUP(B23,'Base stats'!B:B,'Base stats'!E:E),Groups!A:A,Groups!AO:AO)/IF(_xlfn.XLOOKUP(Animals!B23,'Base stats'!B:B,'Base stats'!O:O)=2,3,1)))+_xlfn.XLOOKUP(B23,'Base stats'!B:B,'Base stats'!AD:AD),0.005))</f>
        <v>0</v>
      </c>
      <c r="BF23" s="2" t="str">
        <f>IF(J23&gt;0.3,"No",_xlfn.XLOOKUP(_xlfn.XLOOKUP(Animals!B23,'Base stats'!B:B,'Base stats'!E:E),Groups!A:A,Groups!AP:AP))</f>
        <v>No</v>
      </c>
      <c r="BG23" s="2">
        <f>IF(AND(J23&lt;=0.65,_xlfn.XLOOKUP(_xlfn.XLOOKUP(Animals!B23,'Base stats'!B:B,'Base stats'!E:E),Groups!A:A,Groups!AP:AP)&lt;&gt;"No",_xlfn.XLOOKUP(_xlfn.XLOOKUP(B23,'Base stats'!B:B,'Base stats'!E:E),Groups!A:A,Groups!D:D)=0),MROUND((80/3)*IF(_xlfn.XLOOKUP(B23,'Base stats'!B:B,'Base stats'!O:O)=2,0.2,AO23) + 24*(1-IF(BF23="No",0,BF23)) + 16/3, 12),"No")</f>
        <v>36</v>
      </c>
      <c r="BH23" s="2">
        <f>IF(AND(_xlfn.XLOOKUP(_xlfn.XLOOKUP(B23,'Base stats'!B:B,'Base stats'!E:E),Groups!A:A,Groups!AQ:AQ)=1,AO23&lt;=0.35),8,12)</f>
        <v>8</v>
      </c>
      <c r="BI23" s="2" t="str">
        <f>IF(_xlfn.XLOOKUP(_xlfn.XLOOKUP(B23,'Base stats'!B:B,'Base stats'!E:E),Groups!A:A,Groups!D:D)=0,_xlfn.XLOOKUP(_xlfn.XLOOKUP(B23,'Base stats'!B:B,'Base stats'!E:E),Groups!A:A,Groups!AR:AR),"None")</f>
        <v>None</v>
      </c>
      <c r="BJ23" s="2" t="str">
        <f>IF(AND(_xlfn.XLOOKUP(_xlfn.XLOOKUP(B23,'Base stats'!B:B,'Base stats'!E:E),Groups!A:A,Groups!AS:AS)=1,OR(_xlfn.XLOOKUP(B23,'Base stats'!B:B,'Base stats'!Y:Y)="Carnivore",_xlfn.XLOOKUP(B23,'Base stats'!B:B,'Base stats'!Y:Y)="Omnivore")),"true","false")</f>
        <v>false</v>
      </c>
      <c r="BK23" s="2" t="str">
        <f>IF(BJ23="true",MROUND(IF(AND(AO23&gt;0.5,OR(_xlfn.XLOOKUP(_xlfn.XLOOKUP(B23,'Base stats'!B:B,'Base stats'!E:E),Groups!A:A,Groups!AJ:AJ)="Photonozoa",_xlfn.XLOOKUP(_xlfn.XLOOKUP(B23,'Base stats'!B:B,'Base stats'!E:E),Groups!A:A,Groups!AJ:AJ)="Mammal")),Animals!AO23*1.75*IF(AW23="true",1.5,1),IF(AO23&lt;0.5,Animals!AO23*0.5,Animals!AO23)),IF(AO23&gt;2,0.5,IF(AO23&gt;0.5,0.25,0.1))),"No")</f>
        <v>No</v>
      </c>
      <c r="BL23" s="2">
        <f t="shared" si="3"/>
        <v>0</v>
      </c>
      <c r="BM23" s="25" t="str">
        <f>IF(_xlfn.XLOOKUP(B23,'Base stats'!B:B,'Base stats'!AN:AN)="Standard","No",MROUND((_xlfn.XLOOKUP(B23,'Base stats'!B:B,'Base stats'!AN:AN)/3.6)/I23,0.1))</f>
        <v>No</v>
      </c>
      <c r="BN23" s="25" t="str">
        <f t="shared" si="4"/>
        <v>false</v>
      </c>
      <c r="BO23" s="25" t="str">
        <f>IF(AND(OR(_xlfn.XLOOKUP(B23,'Base stats'!B:B,'Base stats'!Y:Y)="Carnivore",_xlfn.XLOOKUP(B23,'Base stats'!B:B,'Base stats'!Y:Y)="Omnivore",_xlfn.XLOOKUP(B23,'Base stats'!B:B,'Base stats'!Y:Y)="OmnivoreRough"),_xlfn.XLOOKUP(_xlfn.XLOOKUP(B23,'Base stats'!B:B,'Base stats'!E:E),Groups!A:A,Groups!AT:AT)=1),"true","false")</f>
        <v>false</v>
      </c>
      <c r="BP23" s="25" t="str" cm="1">
        <f t="array" ref="BP23">IF(
  _xlfn.TEXTJOIN(", ",TRUE,
    IF(AND(BJ23="true",AO23&gt;0.5,BI23&lt;&gt;"None"),"AttackTarget",""),
    IF(AND(_xlfn.XLOOKUP(_xlfn.XLOOKUP(B23,'Base stats'!B:B,'Base stats'!E:E),Groups!A:A,Groups!AJ:AJ="Mammal"),OR(_xlfn.XLOOKUP(B23,'Base stats'!B:B,'Base stats'!Y:Y)="Omnivore",_xlfn.XLOOKUP(B23,'Base stats'!B:B,'Base stats'!Y:Y)="OmnivoreRough")),"Forage",""),
    IF(BG23&lt;=36,"Comfort",""),
    IF(_xlfn.XLOOKUP(B23,'Base stats'!B:B,'Base stats'!AE:AE)&lt;&gt;"No",_xlfn.XLOOKUP(B23,'Base stats'!B:B,'Base stats'!AE:AE),"")
  ) = "",
  "No",
  _xlfn.TEXTJOIN(", ",TRUE,
    IF(AND(BJ23="true",AO23&gt;0.5,BI23&lt;&gt;"None"),"AttackTarget",""),
    IF(AND(_xlfn.XLOOKUP(_xlfn.XLOOKUP(B23,'Base stats'!B:B,'Base stats'!E:E),Groups!A:A,Groups!AJ:AJ="Mammal"),OR(_xlfn.XLOOKUP(B23,'Base stats'!B:B,'Base stats'!Y:Y)="Omnivore",_xlfn.XLOOKUP(B23,'Base stats'!B:B,'Base stats'!Y:Y)="OmnivoreRough")),"Forage",""),
    IF(BG23&lt;=36,"Comfort",""),
    IF(_xlfn.XLOOKUP(B23,'Base stats'!B:B,'Base stats'!AE:AE)&lt;&gt;"No",_xlfn.XLOOKUP(B23,'Base stats'!B:B,'Base stats'!AE:AE),"")
  )
)</f>
        <v>Comfort</v>
      </c>
      <c r="BQ23" s="25" t="str">
        <f>IF(
   AND(
      'Base stats'!AN23="Standard",_xlfn.XLOOKUP(_xlfn.XLOOKUP(B23,'Base stats'!B:B,'Base stats'!E:E),Groups!A:A,Groups!AU:AU)=0,
      OR(
      BO23="True"
      )
   ),
   10,
   IF(
       OR(BM23&lt;&gt;"No",_xlfn.XLOOKUP(_xlfn.XLOOKUP(B23,'Base stats'!B:B,'Base stats'!E:E),Groups!A:A,Groups!AU:AU)=1),
      1,
      "No"
   )
)</f>
        <v>No</v>
      </c>
      <c r="BR23" s="9">
        <f>MROUND((1 + ((0.2*IF(OR(Q23="No",R23="No",R23=0),0,Q23/R23)
+IF(OR(V23="No",S23="No",T23="No"),0,S23/T23*(LEN(V23)-LEN(SUBSTITUTE(V23,",",""))+1))
+IF(OR(X23="No",Y23="No"),0,X23/Y23)
+IF(OR(AD23="No",AE23="No"),0,AD23/AE23)
+IF(OR(AL23="No",AI23="No",AJ23="No"),0,AI23/AJ23*(LEN(AL23)-LEN(SUBSTITUTE(AL23,",",""))+1))
)/(0.2*IF(OR(Q23="No",R23="No",R23=0),0,1)
+IF(OR(V23="No",S23="No",T23="No"),0,LEN(V23)-LEN(SUBSTITUTE(V23,",",""))+1)
+IF(OR(X23="No",Y23="No"),0,1)
+IF(OR(AD23="No",AE23="No"),0,1)
+IF(OR(AL23="No",AI23="No",AJ23="No"),0,LEN(AL23)-LEN(SUBSTITUTE(AL23,",",""))+1))*62%)* 2)*(1 + (AP23 / (IF(_xlfn.XLOOKUP(_xlfn.XLOOKUP(B23,'Base stats'!B:B,'Base stats'!E:E),Groups!A:A,Groups!AJ:AJ)="Photonozoa",0.3,1)) + _xlfn.XLOOKUP(B23,'Base stats'!B:B,'Base stats'!AV:AV) * 1.8) * 2) * 2.5 + 10 + I23 * 2,5)+IF(_xlfn.XLOOKUP(B23,'Base stats'!B:B,'Base stats'!AK:AK)=1,50,0)</f>
        <v>45</v>
      </c>
      <c r="BS23" s="8">
        <f t="shared" si="5"/>
        <v>0.30000000000000004</v>
      </c>
      <c r="BT23" s="8" t="str">
        <f>_xlfn.XLOOKUP(B23,'Base stats'!B:B,'Base stats'!AF:AF)</f>
        <v>No</v>
      </c>
      <c r="BU23" s="2" t="str">
        <f>IF(AND(J23&lt;=0.95,OR(_xlfn.XLOOKUP(B23,'Base stats'!B:B,'Base stats'!AK:AK)=1,_xlfn.XLOOKUP(B23,'Base stats'!B:B,'Base stats'!Y:Y)="Carnivore",_xlfn.XLOOKUP(B23,'Base stats'!B:B,'Base stats'!Y:Y)="Omnivore",BE23&gt;0.1)),"true","false")</f>
        <v>false</v>
      </c>
      <c r="BV23" s="2" t="str">
        <f>IF(_xlfn.XLOOKUP(B23,'Base stats'!B:B,'Base stats'!AI:AI)=1,"true","false")</f>
        <v>false</v>
      </c>
      <c r="BW23" s="25" t="str">
        <f>IF(E23="BaseInsect","AnimalInsect",
IF(J23&gt;0.95,"AnimalExotic",
_xlfn.TEXTJOIN(", ",TRUE,
IF(OR(_xlfn.XLOOKUP(B23,'Base stats'!B:B,'Base stats'!AM:AM)=1,AND(_xlfn.XLOOKUP(B23,'Base stats'!B:B,'Base stats'!O:O)=0,_xlfn.XLOOKUP(_xlfn.XLOOKUP(B23,'Base stats'!B:B,'Base stats'!E:E),Groups!A:A,Groups!B:B)&gt;0)),"AnimalUncommon","AnimalCommon"),
IF(AND(_xlfn.XLOOKUP(B23,'Base stats'!B:B,'Base stats'!O:O)=2,_xlfn.XLOOKUP(_xlfn.XLOOKUP(B23,'Base stats'!B:B,'Base stats'!E:E),Groups!A:A,Groups!D:D)=0),"AnimalPet",IF(AND(_xlfn.XLOOKUP(B23,'Base stats'!B:B,'Base stats'!O:O)&lt;&gt;0,_xlfn.XLOOKUP(_xlfn.XLOOKUP(B23,'Base stats'!B:B,'Base stats'!E:E),Groups!A:A,Groups!D:D)&lt;&gt;0),"AnimalFarm","")),
IF(OR(_xlfn.XLOOKUP(B23,'Base stats'!B:B,'Base stats'!AK:AK)=1,AND(BI23&lt;&gt;"None",BR23&gt;=60),ISNUMBER(SEARCH("Attack target",BP23))),"AnimalFighter","")
)))</f>
        <v>AnimalCommon</v>
      </c>
      <c r="BX23" s="25" t="str">
        <f>IF(G23="None",TRIM(
SUBSTITUTE(
IF(COUNTIF(Biomes!B$2:B$259,"="&amp;$C23)&gt;0,Biomes!B$1&amp;", ","")&amp;
IF(COUNTIF(Biomes!C$2:C$259,"="&amp;$C23)&gt;0,Biomes!C$1&amp;", ","")&amp;
IF(COUNTIF(Biomes!D$2:D$259,"="&amp;$C23)&gt;0,Biomes!D$1&amp;", ","")&amp;
IF(COUNTIF(Biomes!F$2:F$259,"="&amp;$C23)&gt;0,Biomes!F$1&amp;", ","")&amp;
IF(COUNTIF(Biomes!G$2:G$259,"="&amp;$C23)&gt;0,Biomes!G$1&amp;", ","")&amp;
IF(COUNTIF(Biomes!H$2:H$259,"="&amp;$C23)&gt;0,Biomes!H$1&amp;", ","")&amp;
IF(COUNTIF(Biomes!I$2:I$259,"="&amp;$C23)&gt;0,Biomes!I$1&amp;", ","")&amp;
IF(COUNTIF(Biomes!J$2:J$259,"="&amp;$C23)&gt;0,Biomes!J$1&amp;", ","")&amp;
IF(COUNTIF(Biomes!M$2:M$259,"="&amp;$C23)&gt;0,Biomes!M$1&amp;", ","")&amp;
IF(COUNTIF(Biomes!N$2:N$259,"="&amp;$C23)&gt;0,Biomes!N$1&amp;", ","")&amp;
IF(COUNTIF(Biomes!O$2:O$259,"="&amp;$C23)&gt;0,Biomes!O$1&amp;", ","")&amp;
IF(COUNTIF(Biomes!P$2:P$259,"="&amp;$C23)&gt;0,Biomes!P$1&amp;", ","")&amp;
IF(COUNTIF(Biomes!K$2:K$259,"="&amp;$C23)&gt;0,Biomes!K$1&amp;", ","")&amp;
IF(COUNTIF(Biomes!Q$3:Q$259,"="&amp;$C23)&gt;0,Biomes!Q$1&amp;", ","")&amp;
IF(COUNTIF(Biomes!L$2:L$259,"="&amp;$C23)&gt;0,Biomes!L$1&amp;", ","")&amp;
IF(COUNTIF(Biomes!E$2:E$259,"="&amp;$C23)&gt;0,Biomes!E$1&amp;", ","")&amp;IF(COUNTIF(Biomes!S$2:S$259,"="&amp;$C23)&gt;0,Biomes!S$1&amp;", ","")&amp;
IF(COUNTIF(Biomes!R$2:R$259,"="&amp;$C23)&gt;0,Biomes!R$1&amp;", ",""),", ","")
),_xlfn.XLOOKUP(B23,B:B,BX:BX))</f>
        <v>BorealForest ColdBog TemperateForest TemperateSwamp GlacialPlain</v>
      </c>
      <c r="BY23" s="25" t="str">
        <f>IF(_xlfn.XLOOKUP(B23,'Base stats'!B:B,'Base stats'!AJ:AJ)=1,"true","false")</f>
        <v>false</v>
      </c>
      <c r="BZ23" s="25">
        <f>IF(_xlfn.XLOOKUP(B23,'Base stats'!B:B,'Base stats'!N:N)=1,"No",MAX(0.001,MIN(MROUND(IF(AND(BJ23="True",CC23="False"),POWER(10,3.47*LOG10(_xlfn.XLOOKUP(B23,'Base stats'!B:B,'Base stats'!C:C)*1000)^-0.96),POWER(10,4.15*LOG10(_xlfn.XLOOKUP(B23,'Base stats'!B:B,'Base stats'!C:C)*1000)^-0.73))*IF(_xlfn.XLOOKUP(B23,'Base stats'!B:B,'Base stats'!AK:AK)=1,0.5,1)*IF(_xlfn.XLOOKUP(B23,'Base stats'!B:B,'Base stats'!AM:AM)=1,0.1,1)/100,IF(_xlfn.XLOOKUP(B23,'Base stats'!B:B,'Base stats'!AM:AM)=1,0.001,0.025)),0.5)))</f>
        <v>0.42500000000000004</v>
      </c>
      <c r="CA23" s="25" t="str">
        <f>IF(P23="Standard","No",MAX(0.001,MIN(MROUND(IF(AND(BJ23="True",CC23="False"),POWER(10,3.47*LOG10(_xlfn.XLOOKUP(B23,'Base stats'!B:B,'Base stats'!C:C)*1000)^-0.96),POWER(10,4.15*LOG10(_xlfn.XLOOKUP(B23,'Base stats'!B:B,'Base stats'!C:C)*1000)^-0.73))*IF(_xlfn.XLOOKUP(B23,'Base stats'!B:B,'Base stats'!AM:AM)=1,0.1,1)*_xlfn.XLOOKUP(B23,'Base stats'!B:B,'Base stats'!R:R)/100,IF(_xlfn.XLOOKUP(B23,'Base stats'!B:B,'Base stats'!AM:AM)=1,0.001,0.025)),0.5)))</f>
        <v>No</v>
      </c>
      <c r="CB23" s="25" t="str">
        <f>IF(_xlfn.XLOOKUP(_xlfn.XLOOKUP(B23,'Base stats'!B:B,'Base stats'!E:E),Groups!A:A,Groups!AJ:AJ)="Mammal","True","False")</f>
        <v>True</v>
      </c>
      <c r="CC23" s="25" t="str">
        <f>IF(OR(_xlfn.XLOOKUP(_xlfn.XLOOKUP(B23,'Base stats'!B:B,'Base stats'!E:E),Groups!A:A,Groups!AJ:AJ)="Reptile",_xlfn.XLOOKUP(_xlfn.XLOOKUP(B23,'Base stats'!B:B,'Base stats'!E:E),Groups!A:A,Groups!AJ:AJ)="Amphibian",_xlfn.XLOOKUP(_xlfn.XLOOKUP(B23,'Base stats'!B:B,'Base stats'!E:E),Groups!A:A,Groups!AJ:AJ)="Invertebrate"),"True","False")</f>
        <v>False</v>
      </c>
      <c r="CD23" s="25" t="str">
        <f t="shared" si="6"/>
        <v>False</v>
      </c>
      <c r="CE23" s="25" t="str">
        <f>IF(_xlfn.XLOOKUP(_xlfn.XLOOKUP(B23,'Base stats'!B:B,'Base stats'!E:E),Groups!A:A,Groups!AX:AX),"True","False")</f>
        <v>False</v>
      </c>
      <c r="CF23" s="25" t="str">
        <f>IF(_xlfn.XLOOKUP(_xlfn.XLOOKUP(B23,'Base stats'!B:B,'Base stats'!E:E),Groups!A:A,Groups!AY:AY),"True","False")</f>
        <v>False</v>
      </c>
      <c r="CG23" s="25" t="str">
        <f>IF(_xlfn.XLOOKUP(_xlfn.XLOOKUP(B23,'Base stats'!B:B,'Base stats'!E:E),Groups!A:A,Groups!AW:AW),"True","False")</f>
        <v>False</v>
      </c>
      <c r="CH23" s="25" t="str">
        <f>IF(
OR(
_xlfn.XLOOKUP(_xlfn.XLOOKUP(B23,'Base stats'!B:B,'Base stats'!E:E),Groups!A:A,Groups!AZ:AZ)=0,
AND(
_xlfn.XLOOKUP(B23,'Base stats'!B:B,'Base stats'!Y:Y)&lt;&gt;"Carnivore",
_xlfn.XLOOKUP(B23,'Base stats'!B:B,'Base stats'!Y:Y)&lt;&gt;"Omnivore",
_xlfn.XLOOKUP(B23,'Base stats'!B:B,'Base stats'!Y:Y)&lt;&gt;"OmnivoreRough"
)
),
"No",
IF(
_xlfn.XLOOKUP(_xlfn.XLOOKUP(B23,'Base stats'!B:B,'Base stats'!E:E),Groups!A:A,Groups!AZ:AZ)=1,
"Flesh",
IF(
_xlfn.XLOOKUP(_xlfn.XLOOKUP(B23,'Base stats'!B:B,'Base stats'!E:E),Groups!A:A,Groups!AZ:AZ)=2,
"Bone",
""
)
)
)</f>
        <v>No</v>
      </c>
      <c r="CI23" s="25" t="str">
        <f>IF(_xlfn.XLOOKUP(_xlfn.XLOOKUP(B23,'Base stats'!B:B,'Base stats'!E:E),Groups!A:A,Groups!BB:BB),"True","False")</f>
        <v>True</v>
      </c>
      <c r="CJ23" s="25" t="str">
        <f>IF(_xlfn.XLOOKUP(_xlfn.XLOOKUP(B23,'Base stats'!B:B,'Base stats'!E:E),Groups!A:A,Groups!BA:BA),"True","False")</f>
        <v>False</v>
      </c>
      <c r="CO23" s="16"/>
    </row>
    <row r="24" spans="1:93" s="16" customFormat="1" ht="16.5" thickTop="1" thickBot="1" x14ac:dyDescent="0.3">
      <c r="A24" s="26" t="str">
        <f>_xlfn.XLOOKUP(B24,'Base stats'!B:B,'Base stats'!A:A)</f>
        <v>Hare</v>
      </c>
      <c r="B24" s="6" t="s">
        <v>126</v>
      </c>
      <c r="C24" s="28" t="s">
        <v>699</v>
      </c>
      <c r="D24" s="28" t="s">
        <v>45</v>
      </c>
      <c r="E24" s="28" t="s">
        <v>697</v>
      </c>
      <c r="F24" s="28" t="s">
        <v>698</v>
      </c>
      <c r="G24" s="28" t="s">
        <v>673</v>
      </c>
      <c r="H24" s="2">
        <f>MROUND((
  (IF(AND(_xlfn.XLOOKUP(B24,'Base stats'!B:B,'Base stats'!AL:AL)=0,BI24="None",_xlfn.XLOOKUP(_xlfn.XLOOKUP(B24,'Base stats'!B:B,'Base stats'!E:E),Groups!A:A,Groups!B:B)=0), (18 + BR24 * 2.7) * 0.5,
    IF(AND(_xlfn.XLOOKUP(B24,'Base stats'!B:B,'Base stats'!AL:AL)=0,OR(AO24&lt;0.55,AND(BI24="Intermediate",_xlfn.XLOOKUP(_xlfn.XLOOKUP(B24,'Base stats'!B:B,'Base stats'!E:E),Groups!A:A,Groups!B:B)&lt;2))), (18 + BR24 * 2.7),
      IF(OR(BI24="Advanced",_xlfn.XLOOKUP(B24,'Base stats'!B:B,'Base stats'!AL:AL)=1,_xlfn.XLOOKUP(_xlfn.XLOOKUP(B24,'Base stats'!B:B,'Base stats'!E:E),Groups!A:A,Groups!B:B)=2), (18 + BR24 * 2.7) + 250, (18 + BR24 * 2.7))
    )
  ))
  + AO24 * 80
  + IF(COUNTIF(EggMilk!K$2:K$998, A24) &gt; 0, 125, 0)
  + IF(COUNTIF(EggMilk!P$2:P$998, A24) &gt; 0, 90, 0)
  + IF(COUNTIF(EggMilk!A$2:A$998, A24) &gt; 0, 90, 0)
)
* (0.8 + 0.4 * J24)
* 0.75,25)</f>
        <v>75</v>
      </c>
      <c r="I24" s="2">
        <f>MROUND(ROUNDDOWN(_xlfn.XLOOKUP(B24,'Base stats'!B:B,'Base stats'!L:L)/3.6/(23.3/11),1),0.5)</f>
        <v>9.5</v>
      </c>
      <c r="J24" s="2">
        <f>IF(OR(_xlfn.XLOOKUP(B24,'Base stats'!B:B,'Base stats'!AB:AB)=1,_xlfn.XLOOKUP(_xlfn.XLOOKUP(B24,'Base stats'!B:B,'Base stats'!E:E),Groups!A:A,Groups!C:C)="Untamable"),1,IF(_xlfn.XLOOKUP(B24,'Base stats'!B:B,'Base stats'!AL:AL)=1,0.99,MIN(MROUND((1-0.6282*EXP(-0.459*AO24))*_xlfn.XLOOKUP(_xlfn.XLOOKUP(B24,'Base stats'!B:B,'Base stats'!E:E),Groups!A:A,Groups!C:C)*IF(_xlfn.XLOOKUP(B24,'Base stats'!B:B,'Base stats'!O:O)=1,0.5,IF(_xlfn.XLOOKUP(B24,'Base stats'!B:B,'Base stats'!O:O)=2,0,1)),0.05),IF(AO24&gt;3.5,0.985,0.95))))</f>
        <v>0.55000000000000004</v>
      </c>
      <c r="K24" s="2">
        <f>ROUNDUP(AO24*_xlfn.XLOOKUP(_xlfn.XLOOKUP(B24,'Base stats'!B:B,'Base stats'!E:E),Groups!A:A,Groups!E:E),0)</f>
        <v>1</v>
      </c>
      <c r="L24" s="2">
        <f>IF(OR(_xlfn.XLOOKUP(_xlfn.XLOOKUP(B24,'Base stats'!B:B,'Base stats'!E:E),Groups!A:A,Groups!F:F)=2,ISNUMBER(SEARCH("SeaIce",BX24)),ISNUMBER(SEARCH("IceSheet",BX24))),-50,IF(OR(ISNUMBER(SEARCH("GlacialPlain",BX24)),ISNUMBER(SEARCH("Tundra",BX24))),-40,IF(OR(ISNUMBER(SEARCH("Alpine",BX24)),ISNUMBER(SEARCH("BorealForest",BX24)),ISNUMBER(SEARCH("ColdBog",BX24))),-30,IF(OR(ISNUMBER(SEARCH("TemperateForest",BX24)),ISNUMBER(SEARCH("TemperateSwamp",BX24))),-20,IF(_xlfn.XLOOKUP(_xlfn.XLOOKUP(B24,'Base stats'!B:B,'Base stats'!E:E),Groups!A:A,Groups!F:F)=1,-15,IF(OR(ISNUMBER(SEARCH("Desert",BX24)),ISNUMBER(SEARCH("ExtremeDesert",BX24))),-10,IF(OR(ISNUMBER(SEARCH("Grasslands",BX24)),ISNUMBER(SEARCH("TropicalRainforest",BX24)),ISNUMBER(SEARCH("TropicalSwamp",BX24))),10,0)))))))-IF(CC24="False",MIN(IFERROR(MAX(MROUND(LOG10(_xlfn.XLOOKUP(B24,'Base stats'!B:B,'Base stats'!C:C)^(2/3))*10,5),5),5),30))-_xlfn.XLOOKUP(B24,'Base stats'!B:B,'Base stats'!P:P)+IF(CC24="True",5,0)</f>
        <v>-55</v>
      </c>
      <c r="M24" s="2">
        <f>IF(OR(_xlfn.XLOOKUP(_xlfn.XLOOKUP(B24,'Base stats'!B:B,'Base stats'!E:E),Groups!A:A,Groups!G:G)=2,ISNUMBER(SEARCH("Desert",BX24)),ISNUMBER(SEARCH("ExtremeDesert",BX24)),ISNUMBER(SEARCH("LavaField",BX24))),50,IF(ISNUMBER(SEARCH("Grasslands",BX24)),45,IF(OR(_xlfn.XLOOKUP(_xlfn.XLOOKUP(B24,'Base stats'!B:B,'Base stats'!E:E),Groups!A:A,Groups!G:G)=1,ISNUMBER(SEARCH("TropicalRainforest",BX24)),ISNUMBER(SEARCH("TropicalSwamp",BX24))),40,IF(OR(ISNUMBER(SEARCH("TemperateForest",BX24)),ISNUMBER(SEARCH("TemperateSwamp",BX24))),35,IF(OR(ISNUMBER(SEARCH("Alpine",BX24)),ISNUMBER(SEARCH("BorealForest",BX24)),ISNUMBER(SEARCH("ColdBog",BX24))),30,IF(ISNUMBER(OR(ISNUMBER(SEARCH("GlacialPlain",BX24)),SEARCH("Tundra",BX24))),25,IF(OR(ISNUMBER(SEARCH("SeaIce",BX24)),ISNUMBER(SEARCH("IceSheet",BX24)),ISNUMBER(SEARCH("TropicalSwamp",BX24))),10,35)))))))+_xlfn.XLOOKUP(B24,'Base stats'!B:B,'Base stats'!Q:Q)</f>
        <v>10</v>
      </c>
      <c r="N24" s="8" t="str">
        <f>IF(
_xlfn.XLOOKUP(
_xlfn.XLOOKUP(B24,'Base stats'!B:B,'Base stats'!E:E),
Groups!A:A,
Groups!L:L
)=1,
MIN(
MROUND(
IF(
_xlfn.XLOOKUP(B24,'Animals CE'!B:B,'Animals CE'!Z:Z)&lt;=1.5,
_xlfn.XLOOKUP(B24,'Animals CE'!B:B,'Animals CE'!Z:Z)/2+0.05,
0.8+
(_xlfn.XLOOKUP(B24,'Animals CE'!B:B,'Animals CE'!Z:Z)-1.5)
*0.02
),
0.05
),
200%
),
"No"
)</f>
        <v>No</v>
      </c>
      <c r="O24" s="8" t="str">
        <f>IF(
_xlfn.XLOOKUP(
_xlfn.XLOOKUP(B24,'Base stats'!B:B,'Base stats'!E:E),
Groups!A:A,
Groups!L:L
)=1,
MIN(
MROUND(
IF(
_xlfn.XLOOKUP(B24,'Animals CE'!B:B,'Animals CE'!AA:AA)&lt;=1.5,
_xlfn.XLOOKUP(B24,'Animals CE'!B:B,'Animals CE'!AA:AA)/2+0.05,
0.8+
(_xlfn.XLOOKUP(B24,'Animals CE'!B:B,'Animals CE'!AA:AA)-1.5)
*0.02
),
0.05
),
200%
),
"No"
)</f>
        <v>No</v>
      </c>
      <c r="P24" s="2" t="str">
        <f>_xlfn.XLOOKUP(B24,'Base stats'!B:B,'Base stats'!R:R)</f>
        <v>Standard</v>
      </c>
      <c r="Q24" s="13">
        <f>MROUND((LOG10(_xlfn.XLOOKUP(B24,'Base stats'!B:B,'Base stats'!AR:AR))*(AO24^0.5)+(_xlfn.XLOOKUP(B24,'Base stats'!B:B,'Base stats'!AR:AR)/1000)^(2/3)+_xlfn.XLOOKUP(B24,'Base stats'!B:B,'Base stats'!BA:BA)/2)+0.5,0.5)</f>
        <v>2.5</v>
      </c>
      <c r="R24" s="7">
        <f>IF(Q24="No","No",MAX(1,MROUND(_xlfn.XLOOKUP(B24,'Base stats'!B:B,'Base stats'!C:C)^0.165,0.05)))</f>
        <v>1.25</v>
      </c>
      <c r="S24" s="13" t="str">
        <f>IF(_xlfn.XLOOKUP(_xlfn.XLOOKUP(B24,'Base stats'!B:B,'Base stats'!E:E),Groups!A:A,Groups!P:P)=0,"No",MROUND((LOG10(_xlfn.XLOOKUP(B24,'Base stats'!B:B,'Base stats'!AS:AS))*(AO24^0.5)+(_xlfn.XLOOKUP(B24,'Base stats'!B:B,'Base stats'!AS:AS)/1000)^(2/3)+_xlfn.XLOOKUP(B24,'Base stats'!B:B,'Base stats'!BA:BA))+_xlfn.XLOOKUP(B24,'Base stats'!B:B,'Base stats'!AY:AY)+0.5,0.5))</f>
        <v>No</v>
      </c>
      <c r="T24" s="7" t="str">
        <f>IF(S24="No","No",MAX(_xlfn.XLOOKUP(_xlfn.XLOOKUP(B24,'Base stats'!B:B,'Base stats'!E:E),Groups!A:A,Groups!Q:Q),MROUND(_xlfn.XLOOKUP(_xlfn.XLOOKUP(B24,'Base stats'!B:B,'Base stats'!E:E),Groups!A:A,Groups!Q:Q)*_xlfn.XLOOKUP(B24,'Base stats'!B:B,'Base stats'!C:C)^0.165,0.05)))</f>
        <v>No</v>
      </c>
      <c r="U24" s="7" t="str">
        <f>IF(S24="No","No",_xlfn.XLOOKUP(_xlfn.XLOOKUP(B24,'Base stats'!B:B,'Base stats'!E:E),Groups!A:A,Groups!R:R))</f>
        <v>No</v>
      </c>
      <c r="V24" s="7" t="str">
        <f>IF(S24="No","No",_xlfn.XLOOKUP(_xlfn.XLOOKUP(B24,'Base stats'!B:B,'Base stats'!E:E),Groups!A:A,Groups!S:S))</f>
        <v>No</v>
      </c>
      <c r="W24" s="7" t="str">
        <f>IF(S24="No","No",_xlfn.XLOOKUP(_xlfn.XLOOKUP(B24,'Base stats'!B:B,'Base stats'!E:E),Groups!A:A,Groups!T:T))</f>
        <v>No</v>
      </c>
      <c r="X24" s="13" t="str">
        <f>IF(_xlfn.XLOOKUP(B24,'Base stats'!B:B,'Base stats'!W:W)="No","No",MROUND((LOG10(_xlfn.XLOOKUP(B24,'Base stats'!B:B,'Base stats'!AU:AU))*(AO24^0.5)+(_xlfn.XLOOKUP(B24,'Base stats'!B:B,'Base stats'!AU:AU)/1000)^(2/3)+_xlfn.XLOOKUP(B24,'Base stats'!B:B,'Base stats'!AZ:AZ))+0.5+IF(_xlfn.XLOOKUP(_xlfn.XLOOKUP(B24,'Base stats'!B:B,'Base stats'!E:E),Groups!A:A,Groups!U:U)&lt;&gt;3,_xlfn.XLOOKUP(B24,'Base stats'!B:B,'Base stats'!BA:BA),0),0.5))</f>
        <v>No</v>
      </c>
      <c r="Y24" s="7" t="str">
        <f>IF(X24="No","No",MAX(_xlfn.XLOOKUP(_xlfn.XLOOKUP(B24,'Base stats'!B:B,'Base stats'!E:E),Groups!A:A,Groups!V:V),MROUND(_xlfn.XLOOKUP(_xlfn.XLOOKUP(B24,'Base stats'!B:B,'Base stats'!E:E),Groups!A:A,Groups!V:V)*_xlfn.XLOOKUP(B24,'Base stats'!B:B,'Base stats'!C:C)^0.165,0.05)))</f>
        <v>No</v>
      </c>
      <c r="Z24" s="7" t="str">
        <f>IF(X24="No","No",_xlfn.XLOOKUP(_xlfn.XLOOKUP(B24,'Base stats'!B:B,'Base stats'!E:E),Groups!A:A,Groups!W:W))</f>
        <v>No</v>
      </c>
      <c r="AA24" s="7" t="str">
        <f>IF(X24="No","No",_xlfn.XLOOKUP(_xlfn.XLOOKUP(B24,'Base stats'!B:B,'Base stats'!E:E),Groups!A:A,Groups!X:X))</f>
        <v>No</v>
      </c>
      <c r="AB24" s="7" t="str">
        <f>IF(X24="No","No",_xlfn.XLOOKUP(_xlfn.XLOOKUP(B24,'Base stats'!B:B,'Base stats'!E:E),Groups!A:A,Groups!Y:Y))</f>
        <v>No</v>
      </c>
      <c r="AC24" s="7" t="str">
        <f>_xlfn.XLOOKUP(Animals!B24,'Base stats'!B:B,'Base stats'!X:X)</f>
        <v>False</v>
      </c>
      <c r="AD24" s="13">
        <f>IF(_xlfn.XLOOKUP(B24,'Base stats'!B:B,'Base stats'!AT:AT)="No","No",MROUND((LOG10(_xlfn.XLOOKUP(B24,'Base stats'!B:B,'Base stats'!AT:AT))*(AO24^0.75)+(_xlfn.XLOOKUP(B24,'Base stats'!B:B,'Base stats'!AT:AT)/1000)^(2/3)+_xlfn.XLOOKUP(B24,'Base stats'!B:B,'Base stats'!AX:AX)+_xlfn.XLOOKUP(B24,'Base stats'!B:B,'Base stats'!BA:BA))+0.5,0.5))</f>
        <v>2.5</v>
      </c>
      <c r="AE24" s="7">
        <f>IF(AD24="No","No",MAX(_xlfn.XLOOKUP(_xlfn.XLOOKUP(B24,'Base stats'!B:B,'Base stats'!E:E),Groups!A:A,Groups!Z:Z),MROUND(_xlfn.XLOOKUP(_xlfn.XLOOKUP(B24,'Base stats'!B:B,'Base stats'!E:E),Groups!A:A,Groups!Z:Z)*_xlfn.XLOOKUP(B24,'Base stats'!B:B,'Base stats'!C:C)^0.165,0.05)))</f>
        <v>1.25</v>
      </c>
      <c r="AF24" s="7" t="str">
        <f>IF(AD24="No","No",_xlfn.XLOOKUP(_xlfn.XLOOKUP(B24,'Base stats'!B:B,'Base stats'!E:E),Groups!A:A,Groups!AA:AA))</f>
        <v>Teeth</v>
      </c>
      <c r="AG24" s="7" t="str">
        <f>IF(AD24="No","No",_xlfn.XLOOKUP(_xlfn.XLOOKUP(B24,'Base stats'!B:B,'Base stats'!E:E),Groups!A:A,Groups!AB:AB))</f>
        <v>Incisors</v>
      </c>
      <c r="AH24" s="7" t="str">
        <f>IF(AD24="No","No",_xlfn.XLOOKUP(_xlfn.XLOOKUP(B24,'Base stats'!B:B,'Base stats'!E:E),Groups!A:A,Groups!AC:AC))</f>
        <v>Bite</v>
      </c>
      <c r="AI24" s="13" t="str">
        <f>IF(_xlfn.XLOOKUP(_xlfn.XLOOKUP(B24,'Base stats'!B:B,'Base stats'!E:E),Groups!A:A,Groups!AD:AD)=0,"No",MROUND((LOG10(_xlfn.XLOOKUP(B24,'Base stats'!B:B,'Base stats'!AS:AS))*(AO24^0.75)+(_xlfn.XLOOKUP(B24,'Base stats'!B:B,'Base stats'!AS:AS)/1000)^(2/3)+_xlfn.XLOOKUP(B24,'Base stats'!B:B,'Base stats'!AY:AY)+_xlfn.XLOOKUP(B24,'Base stats'!B:B,'Base stats'!BA:BA))+0.5,0.5))</f>
        <v>No</v>
      </c>
      <c r="AJ24" s="7" t="str">
        <f>IF(AI24="No","No",MAX(_xlfn.XLOOKUP(_xlfn.XLOOKUP(B24,'Base stats'!B:B,'Base stats'!E:E),Groups!A:A,Groups!AE:AE),MROUND(_xlfn.XLOOKUP(_xlfn.XLOOKUP(B24,'Base stats'!B:B,'Base stats'!E:E),Groups!A:A,Groups!AE:AE)*IF(_xlfn.XLOOKUP(_xlfn.XLOOKUP(B24,'Base stats'!B:B,'Base stats'!E:E),Groups!A:A,Groups!AJ:AJ)="Photonozoa",0.6,1)*_xlfn.XLOOKUP(B24,'Base stats'!B:B,'Base stats'!C:C)^0.165,0.05)))</f>
        <v>No</v>
      </c>
      <c r="AK24" s="7" t="str">
        <f>IF(AI24="No","No",_xlfn.XLOOKUP(_xlfn.XLOOKUP(B24,'Base stats'!B:B,'Base stats'!E:E),Groups!A:A,Groups!AF:AF))</f>
        <v>No</v>
      </c>
      <c r="AL24" s="7" t="str">
        <f>IF(AI24="No","No",_xlfn.XLOOKUP(_xlfn.XLOOKUP(B24,'Base stats'!B:B,'Base stats'!E:E),Groups!A:A,Groups!AG:AG))</f>
        <v>No</v>
      </c>
      <c r="AM24" s="7" t="str">
        <f>IF(AI24="No","No",_xlfn.XLOOKUP(_xlfn.XLOOKUP(B24,'Base stats'!B:B,'Base stats'!E:E),Groups!A:A,Groups!AH:AH))</f>
        <v>No</v>
      </c>
      <c r="AN24" s="2" t="str">
        <f t="shared" si="0"/>
        <v>No</v>
      </c>
      <c r="AO24" s="2">
        <f>MROUND(IF(AND(_xlfn.XLOOKUP(B24,'Base stats'!B:B,'Base stats'!C:C)&gt;=0.5,_xlfn.XLOOKUP(B24,'Base stats'!B:B,'Base stats'!C:C)&lt;=0.8),
IF(_xlfn.XLOOKUP(B24,'Base stats'!B:B,'Base stats'!C:C)&lt;0.1,0.05,IF(_xlfn.XLOOKUP(B24,'Base stats'!B:B,'Base stats'!C:C)&lt;=70,(_xlfn.XLOOKUP(B24,'Base stats'!B:B,'Base stats'!C:C)/70)^0.426489913056526,IF(_xlfn.XLOOKUP(B24,'Base stats'!B:B,'Base stats'!C:C)&lt;=400,(_xlfn.XLOOKUP(B24,'Base stats'!B:B,'Base stats'!C:C)/70)^0.572811455315093,IF(_xlfn.XLOOKUP(B24,'Base stats'!B:B,'Base stats'!C:C)&lt;=2000,2.71391647193063*(_xlfn.XLOOKUP(B24,'Base stats'!B:B,'Base stats'!C:C)/400)^0.252459582904293,3.74314280240376*(_xlfn.XLOOKUP(B24,'Base stats'!B:B,'Base stats'!C:C)/2000)^0.357012633876913)))),
IF(_xlfn.XLOOKUP(B24,'Base stats'!B:B,'Base stats'!C:C)&lt;0.1,0.05,IF(_xlfn.XLOOKUP(B24,'Base stats'!B:B,'Base stats'!C:C)&lt;0.4,0.1,IF(_xlfn.XLOOKUP(B24,'Base stats'!B:B,'Base stats'!C:C)&lt;=70,(_xlfn.XLOOKUP(B24,'Base stats'!B:B,'Base stats'!C:C)/70)^0.445823913056526,IF(_xlfn.XLOOKUP(B24,'Base stats'!B:B,'Base stats'!C:C)&lt;=400,(_xlfn.XLOOKUP(B24,'Base stats'!B:B,'Base stats'!C:C)/70)^0.572811455315093,IF(_xlfn.XLOOKUP(B24,'Base stats'!B:B,'Base stats'!C:C)&lt;=2000,2.71391647193063*(_xlfn.XLOOKUP(B24,'Base stats'!B:B,'Base stats'!C:C)/400)^0.252459582904293,3.74314280240376*(_xlfn.XLOOKUP(B24,'Base stats'!B:B,'Base stats'!C:C)/2000)^0.357012633876913)))))),
IF(_xlfn.XLOOKUP(B24,'Base stats'!B:B,'Base stats'!C:C)&lt;0.1,0.05,IF(_xlfn.XLOOKUP(B24,'Base stats'!B:B,'Base stats'!C:C)&lt;=100,0.05,IF(_xlfn.XLOOKUP(B24,'Base stats'!B:B,'Base stats'!C:C)&lt;=250,0.1,IF(_xlfn.XLOOKUP(B24,'Base stats'!B:B,'Base stats'!C:C)&lt;=4000,0.25,0.5)))))</f>
        <v>0.30000000000000004</v>
      </c>
      <c r="AP24" s="8">
        <f>MROUND(AO24*_xlfn.XLOOKUP(_xlfn.XLOOKUP(B24,'Base stats'!B:B,'Base stats'!E:E),Groups!A:A,Groups!AI:AI)*_xlfn.XLOOKUP(B24,'Base stats'!B:B,'Base stats'!Z:Z),0.05)</f>
        <v>0.30000000000000004</v>
      </c>
      <c r="AQ24" s="8">
        <f>MAX(0.01,MROUND(IF(CC24="True",0.196*(AO24*100*1000)^0.889,IF(_xlfn.XLOOKUP(_xlfn.XLOOKUP(B24,'Base stats'!B:B,'Base stats'!E:E),Groups!A:A,Groups!AJ:AJ)="Bird",10.5*(AO24*100*1000)^0.681,4.82*(AO24*100*1000)^0.734))/(4.82*(1*100*1000)^0.734)/IF(AO24&lt;3.5,2,IF(AO24=3.5,1.5,1.25))*(1+0.132282374779864/(AO24^0.994035016789033+0.00905238001496948)),0.05))</f>
        <v>0.30000000000000004</v>
      </c>
      <c r="AR24" s="9">
        <f>IFERROR(MROUND(_xlfn.XLOOKUP(B24,'Base stats'!B:B,'Base stats'!H:H)/IF(_xlfn.XLOOKUP(B24,'Base stats'!B:B,'Base stats'!I:I)&lt;&gt;1,(122.5/70),1.2),IF(_xlfn.XLOOKUP(B24,'Base stats'!B:B,'Base stats'!H:H)&gt;=30,5,IF(_xlfn.XLOOKUP(B24,'Base stats'!B:B,'Base stats'!H:H)&gt;=15,3,IF(_xlfn.XLOOKUP(B24,'Base stats'!B:B,'Base stats'!H:H)&gt;=10,2,1)))),"Immortal")</f>
        <v>9</v>
      </c>
      <c r="AS24" s="35">
        <f>IFERROR(IF(OR(_xlfn.XLOOKUP(B24,'Base stats'!B:B,'Base stats'!F:F)="Atypical reproduction",_xlfn.XLOOKUP(B24,'Base stats'!B:B,'Base stats'!F:F)="Lay eggs"),"Lay eggs",MIN(20,MAX(5.5,ROUND(((_xlfn.XLOOKUP(B24,'Base stats'!B:B,'Base stats'!F:F)-25)*(14.5/615) + 5.5)*2,0)/2))),"Unknown")</f>
        <v>6</v>
      </c>
      <c r="AT24" s="8">
        <f>IF(_xlfn.XLOOKUP(B24,'Base stats'!B:B,'Base stats'!G:G)="Atypical reproduction","No",IFERROR(MAX(IF(_xlfn.XLOOKUP(B24,'Base stats'!B:B,'Base stats'!G:G)&lt;0.5,0.2,0.3),MROUND(_xlfn.XLOOKUP(B24,'Base stats'!B:B,'Base stats'!G:G)/(365/60),0.2)),"Unknown"))</f>
        <v>0.3</v>
      </c>
      <c r="AU24" s="8">
        <f t="shared" si="1"/>
        <v>0.15000000000000002</v>
      </c>
      <c r="AV24" s="8">
        <f>IFERROR(IFERROR(MROUND(_xlfn.XLOOKUP(B24,'Base stats'!B:B,'Base stats'!J:J),0.1),"Lay eggs"),"Cannot breed")</f>
        <v>2</v>
      </c>
      <c r="AW24" s="2" t="str">
        <f t="shared" si="2"/>
        <v>false</v>
      </c>
      <c r="AX24" s="2" t="str">
        <f>IF(_xlfn.XLOOKUP(_xlfn.XLOOKUP(Animals!B24,'Base stats'!B:B,'Base stats'!E:E),Groups!A:A,Groups!AK:AK)=1,"true","false")</f>
        <v>false</v>
      </c>
      <c r="AY24" s="25" t="str">
        <f>IF(_xlfn.XLOOKUP(B24,'Base stats'!B:B,'Base stats'!Y:Y)="Liquor","Liquor, CarnivoreAnimalStrict",IF(AND(_xlfn.XLOOKUP(B24,'Base stats'!B:B,'Base stats'!Y:Y)="Carnivore",_xlfn.XLOOKUP(_xlfn.XLOOKUP(B24,'Base stats'!B:B,'Base stats'!E:E),Groups!A:A,Groups!AJ:AJ)="Photonozoa"),"CarnivoreAnimalStrict, OvivoreAnimal",IF(_xlfn.XLOOKUP(B24,'Base stats'!B:B,'Base stats'!Y:Y)="Carnivore","CarnivoreAnimal, OvivoreAnimal",IF(_xlfn.XLOOKUP(B24,'Base stats'!B:B,'Base stats'!Y:Y)="Dendrovore","VegetarianRoughAnimal, DendrovoreAnimal",IF(_xlfn.XLOOKUP(B24,'Base stats'!B:B,'Base stats'!Y:Y)="Herbivore","VegetarianRoughAnimal",IF(_xlfn.XLOOKUP(B24,'Base stats'!B:B,'Base stats'!Y:Y)="OmnivoreRough","OmnivoreRoughAnimal, OvivoreAnimal","OmnivoreAnimal, OvivoreAnimal"))))))</f>
        <v>VegetarianRoughAnimal</v>
      </c>
      <c r="AZ24" s="2" t="str">
        <f>IF(_xlfn.XLOOKUP(_xlfn.XLOOKUP(B24,'Base stats'!B:B,'Base stats'!E:E),Groups!A:A,Groups!D:D)=1,MROUND((1-J24)*5+1,2)*IF(J24&lt;=0.4,2,1),"No")</f>
        <v>No</v>
      </c>
      <c r="BA24" s="2" t="str">
        <f>IF(AND(_xlfn.XLOOKUP(B24,'Base stats'!B:B,'Base stats'!AH:AH)="&lt;li&gt;Seal&lt;/li&gt;",G24="Odyssey"),"&lt;li&gt;AEXP_Seal&lt;/li&gt;",_xlfn.XLOOKUP(B24,'Base stats'!B:B,'Base stats'!AH:AH))</f>
        <v>&lt;li&gt;Hare&lt;/li&gt;</v>
      </c>
      <c r="BB24" s="2" t="str">
        <f>_xlfn.XLOOKUP(B24,'Base stats'!B:B,'Base stats'!AG:AG)</f>
        <v>Leather_Light</v>
      </c>
      <c r="BC24" s="23" t="str">
        <f>_xlfn.XLOOKUP(_xlfn.XLOOKUP(B24,'Base stats'!B:B,'Base stats'!E:E),Groups!A:A,Groups!AL:AL)</f>
        <v>QuadrupedAnimalWithPaws</v>
      </c>
      <c r="BD24" s="23">
        <f>MIN(1,MROUND(IF(AND(AO24&lt;0.5,_xlfn.XLOOKUP(B24,'Base stats'!B:B,'Base stats'!AA:AA)=0),0,IF(OR(_xlfn.XLOOKUP(Animals!B24,'Base stats'!B:B,'Base stats'!O:O)=2,_xlfn.XLOOKUP(_xlfn.XLOOKUP(B24,'Base stats'!B:B,'Base stats'!E:E),Groups!A:A,Groups!AN:AN)=0),0,_xlfn.XLOOKUP(_xlfn.XLOOKUP(B24,'Base stats'!B:B,'Base stats'!E:E),Groups!A:A,Groups!AN:AN)/IF(_xlfn.XLOOKUP(Animals!B24,'Base stats'!B:B,'Base stats'!O:O)=1,2,1)))+_xlfn.XLOOKUP(B24,'Base stats'!B:B,'Base stats'!AC:AC),0.005))</f>
        <v>0</v>
      </c>
      <c r="BE24" s="23">
        <f>MIN(1,MROUND(IF(AND(AO24&lt;0.5,_xlfn.XLOOKUP(B24,'Base stats'!B:B,'Base stats'!AA:AA)=0),0,IF(_xlfn.XLOOKUP(_xlfn.XLOOKUP(B24,'Base stats'!B:B,'Base stats'!E:E),Groups!A:A,Groups!AO:AO)=0,0,_xlfn.XLOOKUP(_xlfn.XLOOKUP(B24,'Base stats'!B:B,'Base stats'!E:E),Groups!A:A,Groups!AO:AO)/IF(_xlfn.XLOOKUP(Animals!B24,'Base stats'!B:B,'Base stats'!O:O)=2,3,1)))+_xlfn.XLOOKUP(B24,'Base stats'!B:B,'Base stats'!AD:AD),0.005))</f>
        <v>0</v>
      </c>
      <c r="BF24" s="2" t="str">
        <f>IF(J24&gt;0.3,"No",_xlfn.XLOOKUP(_xlfn.XLOOKUP(Animals!B24,'Base stats'!B:B,'Base stats'!E:E),Groups!A:A,Groups!AP:AP))</f>
        <v>No</v>
      </c>
      <c r="BG24" s="2">
        <f>IF(AND(J24&lt;=0.65,_xlfn.XLOOKUP(_xlfn.XLOOKUP(Animals!B24,'Base stats'!B:B,'Base stats'!E:E),Groups!A:A,Groups!AP:AP)&lt;&gt;"No",_xlfn.XLOOKUP(_xlfn.XLOOKUP(B24,'Base stats'!B:B,'Base stats'!E:E),Groups!A:A,Groups!D:D)=0),MROUND((80/3)*IF(_xlfn.XLOOKUP(B24,'Base stats'!B:B,'Base stats'!O:O)=2,0.2,AO24) + 24*(1-IF(BF24="No",0,BF24)) + 16/3, 12),"No")</f>
        <v>36</v>
      </c>
      <c r="BH24" s="2">
        <f>IF(AND(_xlfn.XLOOKUP(_xlfn.XLOOKUP(B24,'Base stats'!B:B,'Base stats'!E:E),Groups!A:A,Groups!AQ:AQ)=1,AO24&lt;=0.35),8,12)</f>
        <v>8</v>
      </c>
      <c r="BI24" s="2" t="str">
        <f>IF(_xlfn.XLOOKUP(_xlfn.XLOOKUP(B24,'Base stats'!B:B,'Base stats'!E:E),Groups!A:A,Groups!D:D)=0,_xlfn.XLOOKUP(_xlfn.XLOOKUP(B24,'Base stats'!B:B,'Base stats'!E:E),Groups!A:A,Groups!AR:AR),"None")</f>
        <v>None</v>
      </c>
      <c r="BJ24" s="2" t="str">
        <f>IF(AND(_xlfn.XLOOKUP(_xlfn.XLOOKUP(B24,'Base stats'!B:B,'Base stats'!E:E),Groups!A:A,Groups!AS:AS)=1,OR(_xlfn.XLOOKUP(B24,'Base stats'!B:B,'Base stats'!Y:Y)="Carnivore",_xlfn.XLOOKUP(B24,'Base stats'!B:B,'Base stats'!Y:Y)="Omnivore")),"true","false")</f>
        <v>false</v>
      </c>
      <c r="BK24" s="2" t="str">
        <f>IF(BJ24="true",MROUND(IF(AND(AO24&gt;0.5,OR(_xlfn.XLOOKUP(_xlfn.XLOOKUP(B24,'Base stats'!B:B,'Base stats'!E:E),Groups!A:A,Groups!AJ:AJ)="Photonozoa",_xlfn.XLOOKUP(_xlfn.XLOOKUP(B24,'Base stats'!B:B,'Base stats'!E:E),Groups!A:A,Groups!AJ:AJ)="Mammal")),Animals!AO24*1.75*IF(AW24="true",1.5,1),IF(AO24&lt;0.5,Animals!AO24*0.5,Animals!AO24)),IF(AO24&gt;2,0.5,IF(AO24&gt;0.5,0.25,0.1))),"No")</f>
        <v>No</v>
      </c>
      <c r="BL24" s="2">
        <f t="shared" si="3"/>
        <v>0</v>
      </c>
      <c r="BM24" s="25" t="str">
        <f>IF(_xlfn.XLOOKUP(B24,'Base stats'!B:B,'Base stats'!AN:AN)="Standard","No",MROUND((_xlfn.XLOOKUP(B24,'Base stats'!B:B,'Base stats'!AN:AN)/3.6)/I24,0.1))</f>
        <v>No</v>
      </c>
      <c r="BN24" s="25" t="str">
        <f t="shared" si="4"/>
        <v>false</v>
      </c>
      <c r="BO24" s="25" t="str">
        <f>IF(AND(OR(_xlfn.XLOOKUP(B24,'Base stats'!B:B,'Base stats'!Y:Y)="Carnivore",_xlfn.XLOOKUP(B24,'Base stats'!B:B,'Base stats'!Y:Y)="Omnivore",_xlfn.XLOOKUP(B24,'Base stats'!B:B,'Base stats'!Y:Y)="OmnivoreRough"),_xlfn.XLOOKUP(_xlfn.XLOOKUP(B24,'Base stats'!B:B,'Base stats'!E:E),Groups!A:A,Groups!AT:AT)=1),"true","false")</f>
        <v>false</v>
      </c>
      <c r="BP24" s="25" t="str" cm="1">
        <f t="array" ref="BP24">IF(
  _xlfn.TEXTJOIN(", ",TRUE,
    IF(AND(BJ24="true",AO24&gt;0.5,BI24&lt;&gt;"None"),"AttackTarget",""),
    IF(AND(_xlfn.XLOOKUP(_xlfn.XLOOKUP(B24,'Base stats'!B:B,'Base stats'!E:E),Groups!A:A,Groups!AJ:AJ="Mammal"),OR(_xlfn.XLOOKUP(B24,'Base stats'!B:B,'Base stats'!Y:Y)="Omnivore",_xlfn.XLOOKUP(B24,'Base stats'!B:B,'Base stats'!Y:Y)="OmnivoreRough")),"Forage",""),
    IF(BG24&lt;=36,"Comfort",""),
    IF(_xlfn.XLOOKUP(B24,'Base stats'!B:B,'Base stats'!AE:AE)&lt;&gt;"No",_xlfn.XLOOKUP(B24,'Base stats'!B:B,'Base stats'!AE:AE),"")
  ) = "",
  "No",
  _xlfn.TEXTJOIN(", ",TRUE,
    IF(AND(BJ24="true",AO24&gt;0.5,BI24&lt;&gt;"None"),"AttackTarget",""),
    IF(AND(_xlfn.XLOOKUP(_xlfn.XLOOKUP(B24,'Base stats'!B:B,'Base stats'!E:E),Groups!A:A,Groups!AJ:AJ="Mammal"),OR(_xlfn.XLOOKUP(B24,'Base stats'!B:B,'Base stats'!Y:Y)="Omnivore",_xlfn.XLOOKUP(B24,'Base stats'!B:B,'Base stats'!Y:Y)="OmnivoreRough")),"Forage",""),
    IF(BG24&lt;=36,"Comfort",""),
    IF(_xlfn.XLOOKUP(B24,'Base stats'!B:B,'Base stats'!AE:AE)&lt;&gt;"No",_xlfn.XLOOKUP(B24,'Base stats'!B:B,'Base stats'!AE:AE),"")
  )
)</f>
        <v>Comfort</v>
      </c>
      <c r="BQ24" s="25" t="str">
        <f>IF(
   AND(
      'Base stats'!AN24="Standard",_xlfn.XLOOKUP(_xlfn.XLOOKUP(B24,'Base stats'!B:B,'Base stats'!E:E),Groups!A:A,Groups!AU:AU)=0,
      OR(
      BO24="True"
      )
   ),
   10,
   IF(
       OR(BM24&lt;&gt;"No",_xlfn.XLOOKUP(_xlfn.XLOOKUP(B24,'Base stats'!B:B,'Base stats'!E:E),Groups!A:A,Groups!AU:AU)=1),
      1,
      "No"
   )
)</f>
        <v>No</v>
      </c>
      <c r="BR24" s="9">
        <f>MROUND((1 + ((0.2*IF(OR(Q24="No",R24="No",R24=0),0,Q24/R24)
+IF(OR(V24="No",S24="No",T24="No"),0,S24/T24*(LEN(V24)-LEN(SUBSTITUTE(V24,",",""))+1))
+IF(OR(X24="No",Y24="No"),0,X24/Y24)
+IF(OR(AD24="No",AE24="No"),0,AD24/AE24)
+IF(OR(AL24="No",AI24="No",AJ24="No"),0,AI24/AJ24*(LEN(AL24)-LEN(SUBSTITUTE(AL24,",",""))+1))
)/(0.2*IF(OR(Q24="No",R24="No",R24=0),0,1)
+IF(OR(V24="No",S24="No",T24="No"),0,LEN(V24)-LEN(SUBSTITUTE(V24,",",""))+1)
+IF(OR(X24="No",Y24="No"),0,1)
+IF(OR(AD24="No",AE24="No"),0,1)
+IF(OR(AL24="No",AI24="No",AJ24="No"),0,LEN(AL24)-LEN(SUBSTITUTE(AL24,",",""))+1))*62%)* 2)*(1 + (AP24 / (IF(_xlfn.XLOOKUP(_xlfn.XLOOKUP(B24,'Base stats'!B:B,'Base stats'!E:E),Groups!A:A,Groups!AJ:AJ)="Photonozoa",0.3,1)) + _xlfn.XLOOKUP(B24,'Base stats'!B:B,'Base stats'!AV:AV) * 1.8) * 2) * 2.5 + 10 + I24 * 2,5)+IF(_xlfn.XLOOKUP(B24,'Base stats'!B:B,'Base stats'!AK:AK)=1,50,0)</f>
        <v>45</v>
      </c>
      <c r="BS24" s="8">
        <f t="shared" si="5"/>
        <v>0.30000000000000004</v>
      </c>
      <c r="BT24" s="8" t="str">
        <f>_xlfn.XLOOKUP(B24,'Base stats'!B:B,'Base stats'!AF:AF)</f>
        <v>No</v>
      </c>
      <c r="BU24" s="2" t="str">
        <f>IF(AND(J24&lt;=0.95,OR(_xlfn.XLOOKUP(B24,'Base stats'!B:B,'Base stats'!AK:AK)=1,_xlfn.XLOOKUP(B24,'Base stats'!B:B,'Base stats'!Y:Y)="Carnivore",_xlfn.XLOOKUP(B24,'Base stats'!B:B,'Base stats'!Y:Y)="Omnivore",BE24&gt;0.1)),"true","false")</f>
        <v>false</v>
      </c>
      <c r="BV24" s="2" t="str">
        <f>IF(_xlfn.XLOOKUP(B24,'Base stats'!B:B,'Base stats'!AI:AI)=1,"true","false")</f>
        <v>false</v>
      </c>
      <c r="BW24" s="25" t="str">
        <f>IF(E24="BaseInsect","AnimalInsect",
IF(J24&gt;0.95,"AnimalExotic",
_xlfn.TEXTJOIN(", ",TRUE,
IF(OR(_xlfn.XLOOKUP(B24,'Base stats'!B:B,'Base stats'!AM:AM)=1,AND(_xlfn.XLOOKUP(B24,'Base stats'!B:B,'Base stats'!O:O)=0,_xlfn.XLOOKUP(_xlfn.XLOOKUP(B24,'Base stats'!B:B,'Base stats'!E:E),Groups!A:A,Groups!B:B)&gt;0)),"AnimalUncommon","AnimalCommon"),
IF(AND(_xlfn.XLOOKUP(B24,'Base stats'!B:B,'Base stats'!O:O)=2,_xlfn.XLOOKUP(_xlfn.XLOOKUP(B24,'Base stats'!B:B,'Base stats'!E:E),Groups!A:A,Groups!D:D)=0),"AnimalPet",IF(AND(_xlfn.XLOOKUP(B24,'Base stats'!B:B,'Base stats'!O:O)&lt;&gt;0,_xlfn.XLOOKUP(_xlfn.XLOOKUP(B24,'Base stats'!B:B,'Base stats'!E:E),Groups!A:A,Groups!D:D)&lt;&gt;0),"AnimalFarm","")),
IF(OR(_xlfn.XLOOKUP(B24,'Base stats'!B:B,'Base stats'!AK:AK)=1,AND(BI24&lt;&gt;"None",BR24&gt;=60),ISNUMBER(SEARCH("Attack target",BP24))),"AnimalFighter","")
)))</f>
        <v>AnimalCommon</v>
      </c>
      <c r="BX24" s="25" t="str">
        <f>IF(G24="None",TRIM(
SUBSTITUTE(
IF(COUNTIF(Biomes!B$2:B$259,"="&amp;$C24)&gt;0,Biomes!B$1&amp;", ","")&amp;
IF(COUNTIF(Biomes!C$2:C$259,"="&amp;$C24)&gt;0,Biomes!C$1&amp;", ","")&amp;
IF(COUNTIF(Biomes!D$2:D$259,"="&amp;$C24)&gt;0,Biomes!D$1&amp;", ","")&amp;
IF(COUNTIF(Biomes!F$2:F$259,"="&amp;$C24)&gt;0,Biomes!F$1&amp;", ","")&amp;
IF(COUNTIF(Biomes!G$2:G$259,"="&amp;$C24)&gt;0,Biomes!G$1&amp;", ","")&amp;
IF(COUNTIF(Biomes!H$2:H$259,"="&amp;$C24)&gt;0,Biomes!H$1&amp;", ","")&amp;
IF(COUNTIF(Biomes!I$2:I$259,"="&amp;$C24)&gt;0,Biomes!I$1&amp;", ","")&amp;
IF(COUNTIF(Biomes!J$2:J$259,"="&amp;$C24)&gt;0,Biomes!J$1&amp;", ","")&amp;
IF(COUNTIF(Biomes!M$2:M$259,"="&amp;$C24)&gt;0,Biomes!M$1&amp;", ","")&amp;
IF(COUNTIF(Biomes!N$2:N$259,"="&amp;$C24)&gt;0,Biomes!N$1&amp;", ","")&amp;
IF(COUNTIF(Biomes!O$2:O$259,"="&amp;$C24)&gt;0,Biomes!O$1&amp;", ","")&amp;
IF(COUNTIF(Biomes!P$2:P$259,"="&amp;$C24)&gt;0,Biomes!P$1&amp;", ","")&amp;
IF(COUNTIF(Biomes!K$2:K$259,"="&amp;$C24)&gt;0,Biomes!K$1&amp;", ","")&amp;
IF(COUNTIF(Biomes!Q$3:Q$259,"="&amp;$C24)&gt;0,Biomes!Q$1&amp;", ","")&amp;
IF(COUNTIF(Biomes!L$2:L$259,"="&amp;$C24)&gt;0,Biomes!L$1&amp;", ","")&amp;
IF(COUNTIF(Biomes!E$2:E$259,"="&amp;$C24)&gt;0,Biomes!E$1&amp;", ","")&amp;IF(COUNTIF(Biomes!S$2:S$259,"="&amp;$C24)&gt;0,Biomes!S$1&amp;", ","")&amp;
IF(COUNTIF(Biomes!R$2:R$259,"="&amp;$C24)&gt;0,Biomes!R$1&amp;", ",""),", ","")
),_xlfn.XLOOKUP(B24,B:B,BX:BX))</f>
        <v>SeaIce IceSheet Tundra</v>
      </c>
      <c r="BY24" s="25" t="str">
        <f>IF(_xlfn.XLOOKUP(B24,'Base stats'!B:B,'Base stats'!AJ:AJ)=1,"true","false")</f>
        <v>false</v>
      </c>
      <c r="BZ24" s="25">
        <f>IF(_xlfn.XLOOKUP(B24,'Base stats'!B:B,'Base stats'!N:N)=1,"No",MAX(0.001,MIN(MROUND(IF(AND(BJ24="True",CC24="False"),POWER(10,3.47*LOG10(_xlfn.XLOOKUP(B24,'Base stats'!B:B,'Base stats'!C:C)*1000)^-0.96),POWER(10,4.15*LOG10(_xlfn.XLOOKUP(B24,'Base stats'!B:B,'Base stats'!C:C)*1000)^-0.73))*IF(_xlfn.XLOOKUP(B24,'Base stats'!B:B,'Base stats'!AK:AK)=1,0.5,1)*IF(_xlfn.XLOOKUP(B24,'Base stats'!B:B,'Base stats'!AM:AM)=1,0.1,1)/100,IF(_xlfn.XLOOKUP(B24,'Base stats'!B:B,'Base stats'!AM:AM)=1,0.001,0.025)),0.5)))</f>
        <v>0.42500000000000004</v>
      </c>
      <c r="CA24" s="25" t="str">
        <f>IF(P24="Standard","No",MAX(0.001,MIN(MROUND(IF(AND(BJ24="True",CC24="False"),POWER(10,3.47*LOG10(_xlfn.XLOOKUP(B24,'Base stats'!B:B,'Base stats'!C:C)*1000)^-0.96),POWER(10,4.15*LOG10(_xlfn.XLOOKUP(B24,'Base stats'!B:B,'Base stats'!C:C)*1000)^-0.73))*IF(_xlfn.XLOOKUP(B24,'Base stats'!B:B,'Base stats'!AM:AM)=1,0.1,1)*_xlfn.XLOOKUP(B24,'Base stats'!B:B,'Base stats'!R:R)/100,IF(_xlfn.XLOOKUP(B24,'Base stats'!B:B,'Base stats'!AM:AM)=1,0.001,0.025)),0.5)))</f>
        <v>No</v>
      </c>
      <c r="CB24" s="25" t="str">
        <f>IF(_xlfn.XLOOKUP(_xlfn.XLOOKUP(B24,'Base stats'!B:B,'Base stats'!E:E),Groups!A:A,Groups!AJ:AJ)="Mammal","True","False")</f>
        <v>True</v>
      </c>
      <c r="CC24" s="25" t="str">
        <f>IF(OR(_xlfn.XLOOKUP(_xlfn.XLOOKUP(B24,'Base stats'!B:B,'Base stats'!E:E),Groups!A:A,Groups!AJ:AJ)="Reptile",_xlfn.XLOOKUP(_xlfn.XLOOKUP(B24,'Base stats'!B:B,'Base stats'!E:E),Groups!A:A,Groups!AJ:AJ)="Amphibian",_xlfn.XLOOKUP(_xlfn.XLOOKUP(B24,'Base stats'!B:B,'Base stats'!E:E),Groups!A:A,Groups!AJ:AJ)="Invertebrate"),"True","False")</f>
        <v>False</v>
      </c>
      <c r="CD24" s="25" t="str">
        <f t="shared" si="6"/>
        <v>False</v>
      </c>
      <c r="CE24" s="25" t="str">
        <f>IF(_xlfn.XLOOKUP(_xlfn.XLOOKUP(B24,'Base stats'!B:B,'Base stats'!E:E),Groups!A:A,Groups!AX:AX),"True","False")</f>
        <v>False</v>
      </c>
      <c r="CF24" s="25" t="str">
        <f>IF(_xlfn.XLOOKUP(_xlfn.XLOOKUP(B24,'Base stats'!B:B,'Base stats'!E:E),Groups!A:A,Groups!AY:AY),"True","False")</f>
        <v>False</v>
      </c>
      <c r="CG24" s="25" t="str">
        <f>IF(_xlfn.XLOOKUP(_xlfn.XLOOKUP(B24,'Base stats'!B:B,'Base stats'!E:E),Groups!A:A,Groups!AW:AW),"True","False")</f>
        <v>False</v>
      </c>
      <c r="CH24" s="25" t="str">
        <f>IF(
OR(
_xlfn.XLOOKUP(_xlfn.XLOOKUP(B24,'Base stats'!B:B,'Base stats'!E:E),Groups!A:A,Groups!AZ:AZ)=0,
AND(
_xlfn.XLOOKUP(B24,'Base stats'!B:B,'Base stats'!Y:Y)&lt;&gt;"Carnivore",
_xlfn.XLOOKUP(B24,'Base stats'!B:B,'Base stats'!Y:Y)&lt;&gt;"Omnivore",
_xlfn.XLOOKUP(B24,'Base stats'!B:B,'Base stats'!Y:Y)&lt;&gt;"OmnivoreRough"
)
),
"No",
IF(
_xlfn.XLOOKUP(_xlfn.XLOOKUP(B24,'Base stats'!B:B,'Base stats'!E:E),Groups!A:A,Groups!AZ:AZ)=1,
"Flesh",
IF(
_xlfn.XLOOKUP(_xlfn.XLOOKUP(B24,'Base stats'!B:B,'Base stats'!E:E),Groups!A:A,Groups!AZ:AZ)=2,
"Bone",
""
)
)
)</f>
        <v>No</v>
      </c>
      <c r="CI24" s="25" t="str">
        <f>IF(_xlfn.XLOOKUP(_xlfn.XLOOKUP(B24,'Base stats'!B:B,'Base stats'!E:E),Groups!A:A,Groups!BB:BB),"True","False")</f>
        <v>True</v>
      </c>
      <c r="CJ24" s="25" t="str">
        <f>IF(_xlfn.XLOOKUP(_xlfn.XLOOKUP(B24,'Base stats'!B:B,'Base stats'!E:E),Groups!A:A,Groups!BA:BA),"True","False")</f>
        <v>False</v>
      </c>
    </row>
    <row r="25" spans="1:93" ht="16.5" thickTop="1" thickBot="1" x14ac:dyDescent="0.3">
      <c r="A25" s="26" t="str">
        <f>_xlfn.XLOOKUP(B25,'Base stats'!B:B,'Base stats'!A:A)</f>
        <v>Rhinoceros</v>
      </c>
      <c r="B25" s="6" t="s">
        <v>1133</v>
      </c>
      <c r="C25" s="28" t="s">
        <v>700</v>
      </c>
      <c r="D25" s="28" t="s">
        <v>45</v>
      </c>
      <c r="E25" s="28" t="s">
        <v>673</v>
      </c>
      <c r="F25" s="28" t="s">
        <v>673</v>
      </c>
      <c r="G25" s="28" t="s">
        <v>673</v>
      </c>
      <c r="H25" s="2">
        <f>MROUND((
  (IF(AND(_xlfn.XLOOKUP(B25,'Base stats'!B:B,'Base stats'!AL:AL)=0,BI25="None",_xlfn.XLOOKUP(_xlfn.XLOOKUP(B25,'Base stats'!B:B,'Base stats'!E:E),Groups!A:A,Groups!B:B)=0), (18 + BR25 * 2.7) * 0.5,
    IF(AND(_xlfn.XLOOKUP(B25,'Base stats'!B:B,'Base stats'!AL:AL)=0,OR(AO25&lt;0.55,AND(BI25="Intermediate",_xlfn.XLOOKUP(_xlfn.XLOOKUP(B25,'Base stats'!B:B,'Base stats'!E:E),Groups!A:A,Groups!B:B)&lt;2))), (18 + BR25 * 2.7),
      IF(OR(BI25="Advanced",_xlfn.XLOOKUP(B25,'Base stats'!B:B,'Base stats'!AL:AL)=1,_xlfn.XLOOKUP(_xlfn.XLOOKUP(B25,'Base stats'!B:B,'Base stats'!E:E),Groups!A:A,Groups!B:B)=2), (18 + BR25 * 2.7) + 250, (18 + BR25 * 2.7))
    )
  ))
  + AO25 * 80
  + IF(COUNTIF(EggMilk!K$2:K$998, A25) &gt; 0, 125, 0)
  + IF(COUNTIF(EggMilk!P$2:P$998, A25) &gt; 0, 90, 0)
  + IF(COUNTIF(EggMilk!A$2:A$998, A25) &gt; 0, 90, 0)
)
* (0.8 + 0.4 * J25)
* 0.75,25)</f>
        <v>1575</v>
      </c>
      <c r="I25" s="2">
        <f>MROUND(ROUNDDOWN(_xlfn.XLOOKUP(B25,'Base stats'!B:B,'Base stats'!L:L)/3.6/(23.3/11),1),0.5)</f>
        <v>3.5</v>
      </c>
      <c r="J25" s="2">
        <f>IF(OR(_xlfn.XLOOKUP(B25,'Base stats'!B:B,'Base stats'!AB:AB)=1,_xlfn.XLOOKUP(_xlfn.XLOOKUP(B25,'Base stats'!B:B,'Base stats'!E:E),Groups!A:A,Groups!C:C)="Untamable"),1,IF(_xlfn.XLOOKUP(B25,'Base stats'!B:B,'Base stats'!AL:AL)=1,0.99,MIN(MROUND((1-0.6282*EXP(-0.459*AO25))*_xlfn.XLOOKUP(_xlfn.XLOOKUP(B25,'Base stats'!B:B,'Base stats'!E:E),Groups!A:A,Groups!C:C)*IF(_xlfn.XLOOKUP(B25,'Base stats'!B:B,'Base stats'!O:O)=1,0.5,IF(_xlfn.XLOOKUP(B25,'Base stats'!B:B,'Base stats'!O:O)=2,0,1)),0.05),IF(AO25&gt;3.5,0.985,0.95))))</f>
        <v>0.9</v>
      </c>
      <c r="K25" s="2">
        <f>ROUNDUP(AO25*_xlfn.XLOOKUP(_xlfn.XLOOKUP(B25,'Base stats'!B:B,'Base stats'!E:E),Groups!A:A,Groups!E:E),0)</f>
        <v>19</v>
      </c>
      <c r="L25" s="2">
        <f>IF(OR(_xlfn.XLOOKUP(_xlfn.XLOOKUP(B25,'Base stats'!B:B,'Base stats'!E:E),Groups!A:A,Groups!F:F)=2,ISNUMBER(SEARCH("SeaIce",BX25)),ISNUMBER(SEARCH("IceSheet",BX25))),-50,IF(OR(ISNUMBER(SEARCH("GlacialPlain",BX25)),ISNUMBER(SEARCH("Tundra",BX25))),-40,IF(OR(ISNUMBER(SEARCH("Alpine",BX25)),ISNUMBER(SEARCH("BorealForest",BX25)),ISNUMBER(SEARCH("ColdBog",BX25))),-30,IF(OR(ISNUMBER(SEARCH("TemperateForest",BX25)),ISNUMBER(SEARCH("TemperateSwamp",BX25))),-20,IF(_xlfn.XLOOKUP(_xlfn.XLOOKUP(B25,'Base stats'!B:B,'Base stats'!E:E),Groups!A:A,Groups!F:F)=1,-15,IF(OR(ISNUMBER(SEARCH("Desert",BX25)),ISNUMBER(SEARCH("ExtremeDesert",BX25))),-10,IF(OR(ISNUMBER(SEARCH("Grasslands",BX25)),ISNUMBER(SEARCH("TropicalRainforest",BX25)),ISNUMBER(SEARCH("TropicalSwamp",BX25))),10,0)))))))-IF(CC25="False",MIN(IFERROR(MAX(MROUND(LOG10(_xlfn.XLOOKUP(B25,'Base stats'!B:B,'Base stats'!C:C)^(2/3))*10,5),5),5),30))-_xlfn.XLOOKUP(B25,'Base stats'!B:B,'Base stats'!P:P)+IF(CC25="True",5,0)</f>
        <v>-10</v>
      </c>
      <c r="M25" s="2">
        <f>IF(OR(_xlfn.XLOOKUP(_xlfn.XLOOKUP(B25,'Base stats'!B:B,'Base stats'!E:E),Groups!A:A,Groups!G:G)=2,ISNUMBER(SEARCH("Desert",BX25)),ISNUMBER(SEARCH("ExtremeDesert",BX25)),ISNUMBER(SEARCH("LavaField",BX25))),50,IF(ISNUMBER(SEARCH("Grasslands",BX25)),45,IF(OR(_xlfn.XLOOKUP(_xlfn.XLOOKUP(B25,'Base stats'!B:B,'Base stats'!E:E),Groups!A:A,Groups!G:G)=1,ISNUMBER(SEARCH("TropicalRainforest",BX25)),ISNUMBER(SEARCH("TropicalSwamp",BX25))),40,IF(OR(ISNUMBER(SEARCH("TemperateForest",BX25)),ISNUMBER(SEARCH("TemperateSwamp",BX25))),35,IF(OR(ISNUMBER(SEARCH("Alpine",BX25)),ISNUMBER(SEARCH("BorealForest",BX25)),ISNUMBER(SEARCH("ColdBog",BX25))),30,IF(ISNUMBER(OR(ISNUMBER(SEARCH("GlacialPlain",BX25)),SEARCH("Tundra",BX25))),25,IF(OR(ISNUMBER(SEARCH("SeaIce",BX25)),ISNUMBER(SEARCH("IceSheet",BX25)),ISNUMBER(SEARCH("TropicalSwamp",BX25))),10,35)))))))+_xlfn.XLOOKUP(B25,'Base stats'!B:B,'Base stats'!Q:Q)</f>
        <v>45</v>
      </c>
      <c r="N25" s="8">
        <f>IF(
_xlfn.XLOOKUP(
_xlfn.XLOOKUP(B25,'Base stats'!B:B,'Base stats'!E:E),
Groups!A:A,
Groups!L:L
)=1,
MIN(
MROUND(
IF(
_xlfn.XLOOKUP(B25,'Animals CE'!B:B,'Animals CE'!Z:Z)&lt;=1.5,
_xlfn.XLOOKUP(B25,'Animals CE'!B:B,'Animals CE'!Z:Z)/2+0.05,
0.8+
(_xlfn.XLOOKUP(B25,'Animals CE'!B:B,'Animals CE'!Z:Z)-1.5)
*0.02
),
0.05
),
200%
),
"No"
)</f>
        <v>0.2</v>
      </c>
      <c r="O25" s="8">
        <f>IF(
_xlfn.XLOOKUP(
_xlfn.XLOOKUP(B25,'Base stats'!B:B,'Base stats'!E:E),
Groups!A:A,
Groups!L:L
)=1,
MIN(
MROUND(
IF(
_xlfn.XLOOKUP(B25,'Animals CE'!B:B,'Animals CE'!AA:AA)&lt;=1.5,
_xlfn.XLOOKUP(B25,'Animals CE'!B:B,'Animals CE'!AA:AA)/2+0.05,
0.8+
(_xlfn.XLOOKUP(B25,'Animals CE'!B:B,'Animals CE'!AA:AA)-1.5)
*0.02
),
0.05
),
200%
),
"No"
)</f>
        <v>0.2</v>
      </c>
      <c r="P25" s="2" t="str">
        <f>_xlfn.XLOOKUP(B25,'Base stats'!B:B,'Base stats'!R:R)</f>
        <v>Standard</v>
      </c>
      <c r="Q25" s="13">
        <f>MROUND((LOG10(_xlfn.XLOOKUP(B25,'Base stats'!B:B,'Base stats'!AR:AR))*(AO25^0.5)+(_xlfn.XLOOKUP(B25,'Base stats'!B:B,'Base stats'!AR:AR)/1000)^(2/3)+_xlfn.XLOOKUP(B25,'Base stats'!B:B,'Base stats'!BA:BA)/2)+0.5,0.5)</f>
        <v>26.5</v>
      </c>
      <c r="R25" s="7">
        <f>IF(Q25="No","No",MAX(1,MROUND(_xlfn.XLOOKUP(B25,'Base stats'!B:B,'Base stats'!C:C)^0.165,0.05)))</f>
        <v>3.5500000000000003</v>
      </c>
      <c r="S25" s="13" t="str">
        <f>IF(_xlfn.XLOOKUP(_xlfn.XLOOKUP(B25,'Base stats'!B:B,'Base stats'!E:E),Groups!A:A,Groups!P:P)=0,"No",MROUND((LOG10(_xlfn.XLOOKUP(B25,'Base stats'!B:B,'Base stats'!AS:AS))*(AO25^0.5)+(_xlfn.XLOOKUP(B25,'Base stats'!B:B,'Base stats'!AS:AS)/1000)^(2/3)+_xlfn.XLOOKUP(B25,'Base stats'!B:B,'Base stats'!BA:BA))+_xlfn.XLOOKUP(B25,'Base stats'!B:B,'Base stats'!AY:AY)+0.5,0.5))</f>
        <v>No</v>
      </c>
      <c r="T25" s="7" t="str">
        <f>IF(S25="No","No",MAX(_xlfn.XLOOKUP(_xlfn.XLOOKUP(B25,'Base stats'!B:B,'Base stats'!E:E),Groups!A:A,Groups!Q:Q),MROUND(_xlfn.XLOOKUP(_xlfn.XLOOKUP(B25,'Base stats'!B:B,'Base stats'!E:E),Groups!A:A,Groups!Q:Q)*_xlfn.XLOOKUP(B25,'Base stats'!B:B,'Base stats'!C:C)^0.165,0.05)))</f>
        <v>No</v>
      </c>
      <c r="U25" s="7" t="str">
        <f>IF(S25="No","No",_xlfn.XLOOKUP(_xlfn.XLOOKUP(B25,'Base stats'!B:B,'Base stats'!E:E),Groups!A:A,Groups!R:R))</f>
        <v>No</v>
      </c>
      <c r="V25" s="7" t="str">
        <f>IF(S25="No","No",_xlfn.XLOOKUP(_xlfn.XLOOKUP(B25,'Base stats'!B:B,'Base stats'!E:E),Groups!A:A,Groups!S:S))</f>
        <v>No</v>
      </c>
      <c r="W25" s="7" t="str">
        <f>IF(S25="No","No",_xlfn.XLOOKUP(_xlfn.XLOOKUP(B25,'Base stats'!B:B,'Base stats'!E:E),Groups!A:A,Groups!T:T))</f>
        <v>No</v>
      </c>
      <c r="X25" s="13">
        <f>IF(_xlfn.XLOOKUP(B25,'Base stats'!B:B,'Base stats'!W:W)="No","No",MROUND((LOG10(_xlfn.XLOOKUP(B25,'Base stats'!B:B,'Base stats'!AU:AU))*(AO25^0.5)+(_xlfn.XLOOKUP(B25,'Base stats'!B:B,'Base stats'!AU:AU)/1000)^(2/3)+_xlfn.XLOOKUP(B25,'Base stats'!B:B,'Base stats'!AZ:AZ))+0.5+IF(_xlfn.XLOOKUP(_xlfn.XLOOKUP(B25,'Base stats'!B:B,'Base stats'!E:E),Groups!A:A,Groups!U:U)&lt;&gt;3,_xlfn.XLOOKUP(B25,'Base stats'!B:B,'Base stats'!BA:BA),0),0.5))</f>
        <v>42.5</v>
      </c>
      <c r="Y25" s="7">
        <f>IF(X25="No","No",MAX(_xlfn.XLOOKUP(_xlfn.XLOOKUP(B25,'Base stats'!B:B,'Base stats'!E:E),Groups!A:A,Groups!V:V),MROUND(_xlfn.XLOOKUP(_xlfn.XLOOKUP(B25,'Base stats'!B:B,'Base stats'!E:E),Groups!A:A,Groups!V:V)*_xlfn.XLOOKUP(B25,'Base stats'!B:B,'Base stats'!C:C)^0.165,0.05)))</f>
        <v>2.5</v>
      </c>
      <c r="Z25" s="7" t="str">
        <f>IF(X25="No","No",_xlfn.XLOOKUP(_xlfn.XLOOKUP(B25,'Base stats'!B:B,'Base stats'!E:E),Groups!A:A,Groups!W:W))</f>
        <v>HeadAttackTool</v>
      </c>
      <c r="AA25" s="7" t="str">
        <f>IF(X25="No","No",_xlfn.XLOOKUP(_xlfn.XLOOKUP(B25,'Base stats'!B:B,'Base stats'!E:E),Groups!A:A,Groups!X:X))</f>
        <v>horn</v>
      </c>
      <c r="AB25" s="7" t="str">
        <f>IF(X25="No","No",_xlfn.XLOOKUP(_xlfn.XLOOKUP(B25,'Base stats'!B:B,'Base stats'!E:E),Groups!A:A,Groups!Y:Y))</f>
        <v>Scratch</v>
      </c>
      <c r="AC25" s="7" t="str">
        <f>_xlfn.XLOOKUP(Animals!B25,'Base stats'!B:B,'Base stats'!X:X)</f>
        <v>False</v>
      </c>
      <c r="AD25" s="13">
        <f>IF(_xlfn.XLOOKUP(B25,'Base stats'!B:B,'Base stats'!AT:AT)="No","No",MROUND((LOG10(_xlfn.XLOOKUP(B25,'Base stats'!B:B,'Base stats'!AT:AT))*(AO25^0.75)+(_xlfn.XLOOKUP(B25,'Base stats'!B:B,'Base stats'!AT:AT)/1000)^(2/3)+_xlfn.XLOOKUP(B25,'Base stats'!B:B,'Base stats'!AX:AX)+_xlfn.XLOOKUP(B25,'Base stats'!B:B,'Base stats'!BA:BA))+0.5,0.5))</f>
        <v>32.5</v>
      </c>
      <c r="AE25" s="7">
        <f>IF(AD25="No","No",MAX(_xlfn.XLOOKUP(_xlfn.XLOOKUP(B25,'Base stats'!B:B,'Base stats'!E:E),Groups!A:A,Groups!Z:Z),MROUND(_xlfn.XLOOKUP(_xlfn.XLOOKUP(B25,'Base stats'!B:B,'Base stats'!E:E),Groups!A:A,Groups!Z:Z)*_xlfn.XLOOKUP(B25,'Base stats'!B:B,'Base stats'!C:C)^0.165,0.05)))</f>
        <v>3.5500000000000003</v>
      </c>
      <c r="AF25" s="7" t="str">
        <f>IF(AD25="No","No",_xlfn.XLOOKUP(_xlfn.XLOOKUP(B25,'Base stats'!B:B,'Base stats'!E:E),Groups!A:A,Groups!AA:AA))</f>
        <v>Teeth</v>
      </c>
      <c r="AG25" s="7" t="str">
        <f>IF(AD25="No","No",_xlfn.XLOOKUP(_xlfn.XLOOKUP(B25,'Base stats'!B:B,'Base stats'!E:E),Groups!A:A,Groups!AB:AB))</f>
        <v>teeth</v>
      </c>
      <c r="AH25" s="7" t="str">
        <f>IF(AD25="No","No",_xlfn.XLOOKUP(_xlfn.XLOOKUP(B25,'Base stats'!B:B,'Base stats'!E:E),Groups!A:A,Groups!AC:AC))</f>
        <v>Bite</v>
      </c>
      <c r="AI25" s="13" t="str">
        <f>IF(_xlfn.XLOOKUP(_xlfn.XLOOKUP(B25,'Base stats'!B:B,'Base stats'!E:E),Groups!A:A,Groups!AD:AD)=0,"No",MROUND((LOG10(_xlfn.XLOOKUP(B25,'Base stats'!B:B,'Base stats'!AS:AS))*(AO25^0.75)+(_xlfn.XLOOKUP(B25,'Base stats'!B:B,'Base stats'!AS:AS)/1000)^(2/3)+_xlfn.XLOOKUP(B25,'Base stats'!B:B,'Base stats'!AY:AY)+_xlfn.XLOOKUP(B25,'Base stats'!B:B,'Base stats'!BA:BA))+0.5,0.5))</f>
        <v>No</v>
      </c>
      <c r="AJ25" s="7" t="str">
        <f>IF(AI25="No","No",MAX(_xlfn.XLOOKUP(_xlfn.XLOOKUP(B25,'Base stats'!B:B,'Base stats'!E:E),Groups!A:A,Groups!AE:AE),MROUND(_xlfn.XLOOKUP(_xlfn.XLOOKUP(B25,'Base stats'!B:B,'Base stats'!E:E),Groups!A:A,Groups!AE:AE)*IF(_xlfn.XLOOKUP(_xlfn.XLOOKUP(B25,'Base stats'!B:B,'Base stats'!E:E),Groups!A:A,Groups!AJ:AJ)="Photonozoa",0.6,1)*_xlfn.XLOOKUP(B25,'Base stats'!B:B,'Base stats'!C:C)^0.165,0.05)))</f>
        <v>No</v>
      </c>
      <c r="AK25" s="7" t="str">
        <f>IF(AI25="No","No",_xlfn.XLOOKUP(_xlfn.XLOOKUP(B25,'Base stats'!B:B,'Base stats'!E:E),Groups!A:A,Groups!AF:AF))</f>
        <v>No</v>
      </c>
      <c r="AL25" s="7" t="str">
        <f>IF(AI25="No","No",_xlfn.XLOOKUP(_xlfn.XLOOKUP(B25,'Base stats'!B:B,'Base stats'!E:E),Groups!A:A,Groups!AG:AG))</f>
        <v>No</v>
      </c>
      <c r="AM25" s="7" t="str">
        <f>IF(AI25="No","No",_xlfn.XLOOKUP(_xlfn.XLOOKUP(B25,'Base stats'!B:B,'Base stats'!E:E),Groups!A:A,Groups!AH:AH))</f>
        <v>No</v>
      </c>
      <c r="AN25" s="2" t="str">
        <f t="shared" si="0"/>
        <v>No</v>
      </c>
      <c r="AO25" s="2">
        <f>MROUND(IF(AND(_xlfn.XLOOKUP(B25,'Base stats'!B:B,'Base stats'!C:C)&gt;=0.5,_xlfn.XLOOKUP(B25,'Base stats'!B:B,'Base stats'!C:C)&lt;=0.8),
IF(_xlfn.XLOOKUP(B25,'Base stats'!B:B,'Base stats'!C:C)&lt;0.1,0.05,IF(_xlfn.XLOOKUP(B25,'Base stats'!B:B,'Base stats'!C:C)&lt;=70,(_xlfn.XLOOKUP(B25,'Base stats'!B:B,'Base stats'!C:C)/70)^0.426489913056526,IF(_xlfn.XLOOKUP(B25,'Base stats'!B:B,'Base stats'!C:C)&lt;=400,(_xlfn.XLOOKUP(B25,'Base stats'!B:B,'Base stats'!C:C)/70)^0.572811455315093,IF(_xlfn.XLOOKUP(B25,'Base stats'!B:B,'Base stats'!C:C)&lt;=2000,2.71391647193063*(_xlfn.XLOOKUP(B25,'Base stats'!B:B,'Base stats'!C:C)/400)^0.252459582904293,3.74314280240376*(_xlfn.XLOOKUP(B25,'Base stats'!B:B,'Base stats'!C:C)/2000)^0.357012633876913)))),
IF(_xlfn.XLOOKUP(B25,'Base stats'!B:B,'Base stats'!C:C)&lt;0.1,0.05,IF(_xlfn.XLOOKUP(B25,'Base stats'!B:B,'Base stats'!C:C)&lt;0.4,0.1,IF(_xlfn.XLOOKUP(B25,'Base stats'!B:B,'Base stats'!C:C)&lt;=70,(_xlfn.XLOOKUP(B25,'Base stats'!B:B,'Base stats'!C:C)/70)^0.445823913056526,IF(_xlfn.XLOOKUP(B25,'Base stats'!B:B,'Base stats'!C:C)&lt;=400,(_xlfn.XLOOKUP(B25,'Base stats'!B:B,'Base stats'!C:C)/70)^0.572811455315093,IF(_xlfn.XLOOKUP(B25,'Base stats'!B:B,'Base stats'!C:C)&lt;=2000,2.71391647193063*(_xlfn.XLOOKUP(B25,'Base stats'!B:B,'Base stats'!C:C)/400)^0.252459582904293,3.74314280240376*(_xlfn.XLOOKUP(B25,'Base stats'!B:B,'Base stats'!C:C)/2000)^0.357012633876913)))))),
IF(_xlfn.XLOOKUP(B25,'Base stats'!B:B,'Base stats'!C:C)&lt;0.1,0.05,IF(_xlfn.XLOOKUP(B25,'Base stats'!B:B,'Base stats'!C:C)&lt;=100,0.05,IF(_xlfn.XLOOKUP(B25,'Base stats'!B:B,'Base stats'!C:C)&lt;=250,0.1,IF(_xlfn.XLOOKUP(B25,'Base stats'!B:B,'Base stats'!C:C)&lt;=4000,0.25,0.5)))))</f>
        <v>3.75</v>
      </c>
      <c r="AP25" s="8">
        <f>MROUND(AO25*_xlfn.XLOOKUP(_xlfn.XLOOKUP(B25,'Base stats'!B:B,'Base stats'!E:E),Groups!A:A,Groups!AI:AI)*_xlfn.XLOOKUP(B25,'Base stats'!B:B,'Base stats'!Z:Z),0.05)</f>
        <v>4.5</v>
      </c>
      <c r="AQ25" s="8">
        <f>MAX(0.01,MROUND(IF(CC25="True",0.196*(AO25*100*1000)^0.889,IF(_xlfn.XLOOKUP(_xlfn.XLOOKUP(B25,'Base stats'!B:B,'Base stats'!E:E),Groups!A:A,Groups!AJ:AJ)="Bird",10.5*(AO25*100*1000)^0.681,4.82*(AO25*100*1000)^0.734))/(4.82*(1*100*1000)^0.734)/IF(AO25&lt;3.5,2,IF(AO25=3.5,1.5,1.25))*(1+0.132282374779864/(AO25^0.994035016789033+0.00905238001496948)),0.05))</f>
        <v>2.2000000000000002</v>
      </c>
      <c r="AR25" s="9">
        <f>IFERROR(MROUND(_xlfn.XLOOKUP(B25,'Base stats'!B:B,'Base stats'!H:H)/IF(_xlfn.XLOOKUP(B25,'Base stats'!B:B,'Base stats'!I:I)&lt;&gt;1,(122.5/70),1.2),IF(_xlfn.XLOOKUP(B25,'Base stats'!B:B,'Base stats'!H:H)&gt;=30,5,IF(_xlfn.XLOOKUP(B25,'Base stats'!B:B,'Base stats'!H:H)&gt;=15,3,IF(_xlfn.XLOOKUP(B25,'Base stats'!B:B,'Base stats'!H:H)&gt;=10,2,1)))),"Immortal")</f>
        <v>40</v>
      </c>
      <c r="AS25" s="35">
        <f>IFERROR(IF(OR(_xlfn.XLOOKUP(B25,'Base stats'!B:B,'Base stats'!F:F)="Atypical reproduction",_xlfn.XLOOKUP(B25,'Base stats'!B:B,'Base stats'!F:F)="Lay eggs"),"Lay eggs",MIN(20,MAX(5.5,ROUND(((_xlfn.XLOOKUP(B25,'Base stats'!B:B,'Base stats'!F:F)-25)*(14.5/615) + 5.5)*2,0)/2))),"Unknown")</f>
        <v>17</v>
      </c>
      <c r="AT25" s="8">
        <f>IF(_xlfn.XLOOKUP(B25,'Base stats'!B:B,'Base stats'!G:G)="Atypical reproduction","No",IFERROR(MAX(IF(_xlfn.XLOOKUP(B25,'Base stats'!B:B,'Base stats'!G:G)&lt;0.5,0.2,0.3),MROUND(_xlfn.XLOOKUP(B25,'Base stats'!B:B,'Base stats'!G:G)/(365/60),0.2)),"Unknown"))</f>
        <v>0.8</v>
      </c>
      <c r="AU25" s="8">
        <f t="shared" si="1"/>
        <v>0.4</v>
      </c>
      <c r="AV25" s="8">
        <f>IFERROR(IFERROR(MROUND(_xlfn.XLOOKUP(B25,'Base stats'!B:B,'Base stats'!J:J),0.1),"Lay eggs"),"Cannot breed")</f>
        <v>1</v>
      </c>
      <c r="AW25" s="2" t="str">
        <f t="shared" si="2"/>
        <v>false</v>
      </c>
      <c r="AX25" s="2" t="str">
        <f>IF(_xlfn.XLOOKUP(_xlfn.XLOOKUP(Animals!B25,'Base stats'!B:B,'Base stats'!E:E),Groups!A:A,Groups!AK:AK)=1,"true","false")</f>
        <v>false</v>
      </c>
      <c r="AY25" s="25" t="str">
        <f>IF(_xlfn.XLOOKUP(B25,'Base stats'!B:B,'Base stats'!Y:Y)="Liquor","Liquor, CarnivoreAnimalStrict",IF(AND(_xlfn.XLOOKUP(B25,'Base stats'!B:B,'Base stats'!Y:Y)="Carnivore",_xlfn.XLOOKUP(_xlfn.XLOOKUP(B25,'Base stats'!B:B,'Base stats'!E:E),Groups!A:A,Groups!AJ:AJ)="Photonozoa"),"CarnivoreAnimalStrict, OvivoreAnimal",IF(_xlfn.XLOOKUP(B25,'Base stats'!B:B,'Base stats'!Y:Y)="Carnivore","CarnivoreAnimal, OvivoreAnimal",IF(_xlfn.XLOOKUP(B25,'Base stats'!B:B,'Base stats'!Y:Y)="Dendrovore","VegetarianRoughAnimal, DendrovoreAnimal",IF(_xlfn.XLOOKUP(B25,'Base stats'!B:B,'Base stats'!Y:Y)="Herbivore","VegetarianRoughAnimal",IF(_xlfn.XLOOKUP(B25,'Base stats'!B:B,'Base stats'!Y:Y)="OmnivoreRough","OmnivoreRoughAnimal, OvivoreAnimal","OmnivoreAnimal, OvivoreAnimal"))))))</f>
        <v>VegetarianRoughAnimal</v>
      </c>
      <c r="AZ25" s="2">
        <f>IF(_xlfn.XLOOKUP(_xlfn.XLOOKUP(B25,'Base stats'!B:B,'Base stats'!E:E),Groups!A:A,Groups!D:D)=1,MROUND((1-J25)*5+1,2)*IF(J25&lt;=0.4,2,1),"No")</f>
        <v>2</v>
      </c>
      <c r="BA25" s="2" t="str">
        <f>IF(AND(_xlfn.XLOOKUP(B25,'Base stats'!B:B,'Base stats'!AH:AH)="&lt;li&gt;Seal&lt;/li&gt;",G25="Odyssey"),"&lt;li&gt;AEXP_Seal&lt;/li&gt;",_xlfn.XLOOKUP(B25,'Base stats'!B:B,'Base stats'!AH:AH))</f>
        <v>No</v>
      </c>
      <c r="BB25" s="2" t="str">
        <f>_xlfn.XLOOKUP(B25,'Base stats'!B:B,'Base stats'!AG:AG)</f>
        <v>Leather_Rhinoceros</v>
      </c>
      <c r="BC25" s="23" t="str">
        <f>_xlfn.XLOOKUP(_xlfn.XLOOKUP(B25,'Base stats'!B:B,'Base stats'!E:E),Groups!A:A,Groups!AL:AL)</f>
        <v>QuadrupedAnimalWithHoovesAndHorn</v>
      </c>
      <c r="BD25" s="23">
        <f>MIN(1,MROUND(IF(AND(AO25&lt;0.5,_xlfn.XLOOKUP(B25,'Base stats'!B:B,'Base stats'!AA:AA)=0),0,IF(OR(_xlfn.XLOOKUP(Animals!B25,'Base stats'!B:B,'Base stats'!O:O)=2,_xlfn.XLOOKUP(_xlfn.XLOOKUP(B25,'Base stats'!B:B,'Base stats'!E:E),Groups!A:A,Groups!AN:AN)=0),0,_xlfn.XLOOKUP(_xlfn.XLOOKUP(B25,'Base stats'!B:B,'Base stats'!E:E),Groups!A:A,Groups!AN:AN)/IF(_xlfn.XLOOKUP(Animals!B25,'Base stats'!B:B,'Base stats'!O:O)=1,2,1)))+_xlfn.XLOOKUP(B25,'Base stats'!B:B,'Base stats'!AC:AC),0.005))</f>
        <v>0.1</v>
      </c>
      <c r="BE25" s="23">
        <f>MIN(1,MROUND(IF(AND(AO25&lt;0.5,_xlfn.XLOOKUP(B25,'Base stats'!B:B,'Base stats'!AA:AA)=0),0,IF(_xlfn.XLOOKUP(_xlfn.XLOOKUP(B25,'Base stats'!B:B,'Base stats'!E:E),Groups!A:A,Groups!AO:AO)=0,0,_xlfn.XLOOKUP(_xlfn.XLOOKUP(B25,'Base stats'!B:B,'Base stats'!E:E),Groups!A:A,Groups!AO:AO)/IF(_xlfn.XLOOKUP(Animals!B25,'Base stats'!B:B,'Base stats'!O:O)=2,3,1)))+_xlfn.XLOOKUP(B25,'Base stats'!B:B,'Base stats'!AD:AD),0.005))</f>
        <v>0.3</v>
      </c>
      <c r="BF25" s="2" t="str">
        <f>IF(J25&gt;0.3,"No",_xlfn.XLOOKUP(_xlfn.XLOOKUP(Animals!B25,'Base stats'!B:B,'Base stats'!E:E),Groups!A:A,Groups!AP:AP))</f>
        <v>No</v>
      </c>
      <c r="BG25" s="2" t="str">
        <f>IF(AND(J25&lt;=0.65,_xlfn.XLOOKUP(_xlfn.XLOOKUP(Animals!B25,'Base stats'!B:B,'Base stats'!E:E),Groups!A:A,Groups!AP:AP)&lt;&gt;"No",_xlfn.XLOOKUP(_xlfn.XLOOKUP(B25,'Base stats'!B:B,'Base stats'!E:E),Groups!A:A,Groups!D:D)=0),MROUND((80/3)*IF(_xlfn.XLOOKUP(B25,'Base stats'!B:B,'Base stats'!O:O)=2,0.2,AO25) + 24*(1-IF(BF25="No",0,BF25)) + 16/3, 12),"No")</f>
        <v>No</v>
      </c>
      <c r="BH25" s="2">
        <f>IF(AND(_xlfn.XLOOKUP(_xlfn.XLOOKUP(B25,'Base stats'!B:B,'Base stats'!E:E),Groups!A:A,Groups!AQ:AQ)=1,AO25&lt;=0.35),8,12)</f>
        <v>12</v>
      </c>
      <c r="BI25" s="2" t="str">
        <f>IF(_xlfn.XLOOKUP(_xlfn.XLOOKUP(B25,'Base stats'!B:B,'Base stats'!E:E),Groups!A:A,Groups!D:D)=0,_xlfn.XLOOKUP(_xlfn.XLOOKUP(B25,'Base stats'!B:B,'Base stats'!E:E),Groups!A:A,Groups!AR:AR),"None")</f>
        <v>None</v>
      </c>
      <c r="BJ25" s="2" t="str">
        <f>IF(AND(_xlfn.XLOOKUP(_xlfn.XLOOKUP(B25,'Base stats'!B:B,'Base stats'!E:E),Groups!A:A,Groups!AS:AS)=1,OR(_xlfn.XLOOKUP(B25,'Base stats'!B:B,'Base stats'!Y:Y)="Carnivore",_xlfn.XLOOKUP(B25,'Base stats'!B:B,'Base stats'!Y:Y)="Omnivore")),"true","false")</f>
        <v>false</v>
      </c>
      <c r="BK25" s="2" t="str">
        <f>IF(BJ25="true",MROUND(IF(AND(AO25&gt;0.5,OR(_xlfn.XLOOKUP(_xlfn.XLOOKUP(B25,'Base stats'!B:B,'Base stats'!E:E),Groups!A:A,Groups!AJ:AJ)="Photonozoa",_xlfn.XLOOKUP(_xlfn.XLOOKUP(B25,'Base stats'!B:B,'Base stats'!E:E),Groups!A:A,Groups!AJ:AJ)="Mammal")),Animals!AO25*1.75*IF(AW25="true",1.5,1),IF(AO25&lt;0.5,Animals!AO25*0.5,Animals!AO25)),IF(AO25&gt;2,0.5,IF(AO25&gt;0.5,0.25,0.1))),"No")</f>
        <v>No</v>
      </c>
      <c r="BL25" s="2">
        <f t="shared" si="3"/>
        <v>0</v>
      </c>
      <c r="BM25" s="25" t="str">
        <f>IF(_xlfn.XLOOKUP(B25,'Base stats'!B:B,'Base stats'!AN:AN)="Standard","No",MROUND((_xlfn.XLOOKUP(B25,'Base stats'!B:B,'Base stats'!AN:AN)/3.6)/I25,0.1))</f>
        <v>No</v>
      </c>
      <c r="BN25" s="25" t="str">
        <f t="shared" si="4"/>
        <v>false</v>
      </c>
      <c r="BO25" s="25" t="str">
        <f>IF(AND(OR(_xlfn.XLOOKUP(B25,'Base stats'!B:B,'Base stats'!Y:Y)="Carnivore",_xlfn.XLOOKUP(B25,'Base stats'!B:B,'Base stats'!Y:Y)="Omnivore",_xlfn.XLOOKUP(B25,'Base stats'!B:B,'Base stats'!Y:Y)="OmnivoreRough"),_xlfn.XLOOKUP(_xlfn.XLOOKUP(B25,'Base stats'!B:B,'Base stats'!E:E),Groups!A:A,Groups!AT:AT)=1),"true","false")</f>
        <v>false</v>
      </c>
      <c r="BP25" s="25" t="str" cm="1">
        <f t="array" ref="BP25">IF(
  _xlfn.TEXTJOIN(", ",TRUE,
    IF(AND(BJ25="true",AO25&gt;0.5,BI25&lt;&gt;"None"),"AttackTarget",""),
    IF(AND(_xlfn.XLOOKUP(_xlfn.XLOOKUP(B25,'Base stats'!B:B,'Base stats'!E:E),Groups!A:A,Groups!AJ:AJ="Mammal"),OR(_xlfn.XLOOKUP(B25,'Base stats'!B:B,'Base stats'!Y:Y)="Omnivore",_xlfn.XLOOKUP(B25,'Base stats'!B:B,'Base stats'!Y:Y)="OmnivoreRough")),"Forage",""),
    IF(BG25&lt;=36,"Comfort",""),
    IF(_xlfn.XLOOKUP(B25,'Base stats'!B:B,'Base stats'!AE:AE)&lt;&gt;"No",_xlfn.XLOOKUP(B25,'Base stats'!B:B,'Base stats'!AE:AE),"")
  ) = "",
  "No",
  _xlfn.TEXTJOIN(", ",TRUE,
    IF(AND(BJ25="true",AO25&gt;0.5,BI25&lt;&gt;"None"),"AttackTarget",""),
    IF(AND(_xlfn.XLOOKUP(_xlfn.XLOOKUP(B25,'Base stats'!B:B,'Base stats'!E:E),Groups!A:A,Groups!AJ:AJ="Mammal"),OR(_xlfn.XLOOKUP(B25,'Base stats'!B:B,'Base stats'!Y:Y)="Omnivore",_xlfn.XLOOKUP(B25,'Base stats'!B:B,'Base stats'!Y:Y)="OmnivoreRough")),"Forage",""),
    IF(BG25&lt;=36,"Comfort",""),
    IF(_xlfn.XLOOKUP(B25,'Base stats'!B:B,'Base stats'!AE:AE)&lt;&gt;"No",_xlfn.XLOOKUP(B25,'Base stats'!B:B,'Base stats'!AE:AE),"")
  )
)</f>
        <v>No</v>
      </c>
      <c r="BQ25" s="25" t="str">
        <f>IF(
   AND(
      'Base stats'!AN25="Standard",_xlfn.XLOOKUP(_xlfn.XLOOKUP(B25,'Base stats'!B:B,'Base stats'!E:E),Groups!A:A,Groups!AU:AU)=0,
      OR(
      BO25="True"
      )
   ),
   10,
   IF(
       OR(BM25&lt;&gt;"No",_xlfn.XLOOKUP(_xlfn.XLOOKUP(B25,'Base stats'!B:B,'Base stats'!E:E),Groups!A:A,Groups!AU:AU)=1),
      1,
      "No"
   )
)</f>
        <v>No</v>
      </c>
      <c r="BR25" s="9">
        <f>MROUND((1 + ((0.2*IF(OR(Q25="No",R25="No",R25=0),0,Q25/R25)
+IF(OR(V25="No",S25="No",T25="No"),0,S25/T25*(LEN(V25)-LEN(SUBSTITUTE(V25,",",""))+1))
+IF(OR(X25="No",Y25="No"),0,X25/Y25)
+IF(OR(AD25="No",AE25="No"),0,AD25/AE25)
+IF(OR(AL25="No",AI25="No",AJ25="No"),0,AI25/AJ25*(LEN(AL25)-LEN(SUBSTITUTE(AL25,",",""))+1))
)/(0.2*IF(OR(Q25="No",R25="No",R25=0),0,1)
+IF(OR(V25="No",S25="No",T25="No"),0,LEN(V25)-LEN(SUBSTITUTE(V25,",",""))+1)
+IF(OR(X25="No",Y25="No"),0,1)
+IF(OR(AD25="No",AE25="No"),0,1)
+IF(OR(AL25="No",AI25="No",AJ25="No"),0,LEN(AL25)-LEN(SUBSTITUTE(AL25,",",""))+1))*62%)* 2)*(1 + (AP25 / (IF(_xlfn.XLOOKUP(_xlfn.XLOOKUP(B25,'Base stats'!B:B,'Base stats'!E:E),Groups!A:A,Groups!AJ:AJ)="Photonozoa",0.3,1)) + _xlfn.XLOOKUP(B25,'Base stats'!B:B,'Base stats'!AV:AV) * 1.8) * 2) * 2.5 + 10 + I25 * 2,5)+IF(_xlfn.XLOOKUP(B25,'Base stats'!B:B,'Base stats'!AK:AK)=1,50,0)</f>
        <v>460</v>
      </c>
      <c r="BS25" s="8">
        <f t="shared" si="5"/>
        <v>2.5</v>
      </c>
      <c r="BT25" s="8" t="str">
        <f>_xlfn.XLOOKUP(B25,'Base stats'!B:B,'Base stats'!AF:AF)</f>
        <v>No</v>
      </c>
      <c r="BU25" s="2" t="str">
        <f>IF(AND(J25&lt;=0.95,OR(_xlfn.XLOOKUP(B25,'Base stats'!B:B,'Base stats'!AK:AK)=1,_xlfn.XLOOKUP(B25,'Base stats'!B:B,'Base stats'!Y:Y)="Carnivore",_xlfn.XLOOKUP(B25,'Base stats'!B:B,'Base stats'!Y:Y)="Omnivore",BE25&gt;0.1)),"true","false")</f>
        <v>true</v>
      </c>
      <c r="BV25" s="2" t="str">
        <f>IF(_xlfn.XLOOKUP(B25,'Base stats'!B:B,'Base stats'!AI:AI)=1,"true","false")</f>
        <v>false</v>
      </c>
      <c r="BW25" s="25" t="str">
        <f>IF(E25="BaseInsect","AnimalInsect",
IF(J25&gt;0.95,"AnimalExotic",
_xlfn.TEXTJOIN(", ",TRUE,
IF(OR(_xlfn.XLOOKUP(B25,'Base stats'!B:B,'Base stats'!AM:AM)=1,AND(_xlfn.XLOOKUP(B25,'Base stats'!B:B,'Base stats'!O:O)=0,_xlfn.XLOOKUP(_xlfn.XLOOKUP(B25,'Base stats'!B:B,'Base stats'!E:E),Groups!A:A,Groups!B:B)&gt;0)),"AnimalUncommon","AnimalCommon"),
IF(AND(_xlfn.XLOOKUP(B25,'Base stats'!B:B,'Base stats'!O:O)=2,_xlfn.XLOOKUP(_xlfn.XLOOKUP(B25,'Base stats'!B:B,'Base stats'!E:E),Groups!A:A,Groups!D:D)=0),"AnimalPet",IF(AND(_xlfn.XLOOKUP(B25,'Base stats'!B:B,'Base stats'!O:O)&lt;&gt;0,_xlfn.XLOOKUP(_xlfn.XLOOKUP(B25,'Base stats'!B:B,'Base stats'!E:E),Groups!A:A,Groups!D:D)&lt;&gt;0),"AnimalFarm","")),
IF(OR(_xlfn.XLOOKUP(B25,'Base stats'!B:B,'Base stats'!AK:AK)=1,AND(BI25&lt;&gt;"None",BR25&gt;=60),ISNUMBER(SEARCH("Attack target",BP25))),"AnimalFighter","")
)))</f>
        <v>AnimalUncommon</v>
      </c>
      <c r="BX25" s="25" t="str">
        <f>IF(G25="None",TRIM(
SUBSTITUTE(
IF(COUNTIF(Biomes!B$2:B$259,"="&amp;$C25)&gt;0,Biomes!B$1&amp;", ","")&amp;
IF(COUNTIF(Biomes!C$2:C$259,"="&amp;$C25)&gt;0,Biomes!C$1&amp;", ","")&amp;
IF(COUNTIF(Biomes!D$2:D$259,"="&amp;$C25)&gt;0,Biomes!D$1&amp;", ","")&amp;
IF(COUNTIF(Biomes!F$2:F$259,"="&amp;$C25)&gt;0,Biomes!F$1&amp;", ","")&amp;
IF(COUNTIF(Biomes!G$2:G$259,"="&amp;$C25)&gt;0,Biomes!G$1&amp;", ","")&amp;
IF(COUNTIF(Biomes!H$2:H$259,"="&amp;$C25)&gt;0,Biomes!H$1&amp;", ","")&amp;
IF(COUNTIF(Biomes!I$2:I$259,"="&amp;$C25)&gt;0,Biomes!I$1&amp;", ","")&amp;
IF(COUNTIF(Biomes!J$2:J$259,"="&amp;$C25)&gt;0,Biomes!J$1&amp;", ","")&amp;
IF(COUNTIF(Biomes!M$2:M$259,"="&amp;$C25)&gt;0,Biomes!M$1&amp;", ","")&amp;
IF(COUNTIF(Biomes!N$2:N$259,"="&amp;$C25)&gt;0,Biomes!N$1&amp;", ","")&amp;
IF(COUNTIF(Biomes!O$2:O$259,"="&amp;$C25)&gt;0,Biomes!O$1&amp;", ","")&amp;
IF(COUNTIF(Biomes!P$2:P$259,"="&amp;$C25)&gt;0,Biomes!P$1&amp;", ","")&amp;
IF(COUNTIF(Biomes!K$2:K$259,"="&amp;$C25)&gt;0,Biomes!K$1&amp;", ","")&amp;
IF(COUNTIF(Biomes!Q$3:Q$259,"="&amp;$C25)&gt;0,Biomes!Q$1&amp;", ","")&amp;
IF(COUNTIF(Biomes!L$2:L$259,"="&amp;$C25)&gt;0,Biomes!L$1&amp;", ","")&amp;
IF(COUNTIF(Biomes!E$2:E$259,"="&amp;$C25)&gt;0,Biomes!E$1&amp;", ","")&amp;IF(COUNTIF(Biomes!S$2:S$259,"="&amp;$C25)&gt;0,Biomes!S$1&amp;", ","")&amp;
IF(COUNTIF(Biomes!R$2:R$259,"="&amp;$C25)&gt;0,Biomes!R$1&amp;", ",""),", ","")
),_xlfn.XLOOKUP(B25,B:B,BX:BX))</f>
        <v>AridShrubland Grasslands</v>
      </c>
      <c r="BY25" s="25" t="str">
        <f>IF(_xlfn.XLOOKUP(B25,'Base stats'!B:B,'Base stats'!AJ:AJ)=1,"true","false")</f>
        <v>false</v>
      </c>
      <c r="BZ25" s="25">
        <f>IF(_xlfn.XLOOKUP(B25,'Base stats'!B:B,'Base stats'!N:N)=1,"No",MAX(0.001,MIN(MROUND(IF(AND(BJ25="True",CC25="False"),POWER(10,3.47*LOG10(_xlfn.XLOOKUP(B25,'Base stats'!B:B,'Base stats'!C:C)*1000)^-0.96),POWER(10,4.15*LOG10(_xlfn.XLOOKUP(B25,'Base stats'!B:B,'Base stats'!C:C)*1000)^-0.73))*IF(_xlfn.XLOOKUP(B25,'Base stats'!B:B,'Base stats'!AK:AK)=1,0.5,1)*IF(_xlfn.XLOOKUP(B25,'Base stats'!B:B,'Base stats'!AM:AM)=1,0.1,1)/100,IF(_xlfn.XLOOKUP(B25,'Base stats'!B:B,'Base stats'!AM:AM)=1,0.001,0.025)),0.5)))</f>
        <v>0.125</v>
      </c>
      <c r="CA25" s="25" t="str">
        <f>IF(P25="Standard","No",MAX(0.001,MIN(MROUND(IF(AND(BJ25="True",CC25="False"),POWER(10,3.47*LOG10(_xlfn.XLOOKUP(B25,'Base stats'!B:B,'Base stats'!C:C)*1000)^-0.96),POWER(10,4.15*LOG10(_xlfn.XLOOKUP(B25,'Base stats'!B:B,'Base stats'!C:C)*1000)^-0.73))*IF(_xlfn.XLOOKUP(B25,'Base stats'!B:B,'Base stats'!AM:AM)=1,0.1,1)*_xlfn.XLOOKUP(B25,'Base stats'!B:B,'Base stats'!R:R)/100,IF(_xlfn.XLOOKUP(B25,'Base stats'!B:B,'Base stats'!AM:AM)=1,0.001,0.025)),0.5)))</f>
        <v>No</v>
      </c>
      <c r="CB25" s="25" t="str">
        <f>IF(_xlfn.XLOOKUP(_xlfn.XLOOKUP(B25,'Base stats'!B:B,'Base stats'!E:E),Groups!A:A,Groups!AJ:AJ)="Mammal","True","False")</f>
        <v>True</v>
      </c>
      <c r="CC25" s="25" t="str">
        <f>IF(OR(_xlfn.XLOOKUP(_xlfn.XLOOKUP(B25,'Base stats'!B:B,'Base stats'!E:E),Groups!A:A,Groups!AJ:AJ)="Reptile",_xlfn.XLOOKUP(_xlfn.XLOOKUP(B25,'Base stats'!B:B,'Base stats'!E:E),Groups!A:A,Groups!AJ:AJ)="Amphibian",_xlfn.XLOOKUP(_xlfn.XLOOKUP(B25,'Base stats'!B:B,'Base stats'!E:E),Groups!A:A,Groups!AJ:AJ)="Invertebrate"),"True","False")</f>
        <v>False</v>
      </c>
      <c r="CD25" s="25" t="str">
        <f t="shared" si="6"/>
        <v>False</v>
      </c>
      <c r="CE25" s="25" t="str">
        <f>IF(_xlfn.XLOOKUP(_xlfn.XLOOKUP(B25,'Base stats'!B:B,'Base stats'!E:E),Groups!A:A,Groups!AX:AX),"True","False")</f>
        <v>False</v>
      </c>
      <c r="CF25" s="25" t="str">
        <f>IF(_xlfn.XLOOKUP(_xlfn.XLOOKUP(B25,'Base stats'!B:B,'Base stats'!E:E),Groups!A:A,Groups!AY:AY),"True","False")</f>
        <v>False</v>
      </c>
      <c r="CG25" s="25" t="str">
        <f>IF(_xlfn.XLOOKUP(_xlfn.XLOOKUP(B25,'Base stats'!B:B,'Base stats'!E:E),Groups!A:A,Groups!AW:AW),"True","False")</f>
        <v>False</v>
      </c>
      <c r="CH25" s="25" t="str">
        <f>IF(
OR(
_xlfn.XLOOKUP(_xlfn.XLOOKUP(B25,'Base stats'!B:B,'Base stats'!E:E),Groups!A:A,Groups!AZ:AZ)=0,
AND(
_xlfn.XLOOKUP(B25,'Base stats'!B:B,'Base stats'!Y:Y)&lt;&gt;"Carnivore",
_xlfn.XLOOKUP(B25,'Base stats'!B:B,'Base stats'!Y:Y)&lt;&gt;"Omnivore",
_xlfn.XLOOKUP(B25,'Base stats'!B:B,'Base stats'!Y:Y)&lt;&gt;"OmnivoreRough"
)
),
"No",
IF(
_xlfn.XLOOKUP(_xlfn.XLOOKUP(B25,'Base stats'!B:B,'Base stats'!E:E),Groups!A:A,Groups!AZ:AZ)=1,
"Flesh",
IF(
_xlfn.XLOOKUP(_xlfn.XLOOKUP(B25,'Base stats'!B:B,'Base stats'!E:E),Groups!A:A,Groups!AZ:AZ)=2,
"Bone",
""
)
)
)</f>
        <v>No</v>
      </c>
      <c r="CI25" s="25" t="str">
        <f>IF(_xlfn.XLOOKUP(_xlfn.XLOOKUP(B25,'Base stats'!B:B,'Base stats'!E:E),Groups!A:A,Groups!BB:BB),"True","False")</f>
        <v>True</v>
      </c>
      <c r="CJ25" s="25" t="str">
        <f>IF(_xlfn.XLOOKUP(_xlfn.XLOOKUP(B25,'Base stats'!B:B,'Base stats'!E:E),Groups!A:A,Groups!BA:BA),"True","False")</f>
        <v>False</v>
      </c>
      <c r="CO25" s="16"/>
    </row>
    <row r="26" spans="1:93" ht="16.5" thickTop="1" thickBot="1" x14ac:dyDescent="0.3">
      <c r="A26" s="26" t="str">
        <f>_xlfn.XLOOKUP(B26,'Base stats'!B:B,'Base stats'!A:A)</f>
        <v>Elephant</v>
      </c>
      <c r="B26" s="6" t="s">
        <v>71</v>
      </c>
      <c r="C26" s="28" t="s">
        <v>701</v>
      </c>
      <c r="D26" s="28" t="s">
        <v>45</v>
      </c>
      <c r="E26" s="28" t="s">
        <v>673</v>
      </c>
      <c r="F26" s="28" t="s">
        <v>673</v>
      </c>
      <c r="G26" s="28" t="s">
        <v>673</v>
      </c>
      <c r="H26" s="2">
        <f>MROUND((
  (IF(AND(_xlfn.XLOOKUP(B26,'Base stats'!B:B,'Base stats'!AL:AL)=0,BI26="None",_xlfn.XLOOKUP(_xlfn.XLOOKUP(B26,'Base stats'!B:B,'Base stats'!E:E),Groups!A:A,Groups!B:B)=0), (18 + BR26 * 2.7) * 0.5,
    IF(AND(_xlfn.XLOOKUP(B26,'Base stats'!B:B,'Base stats'!AL:AL)=0,OR(AO26&lt;0.55,AND(BI26="Intermediate",_xlfn.XLOOKUP(_xlfn.XLOOKUP(B26,'Base stats'!B:B,'Base stats'!E:E),Groups!A:A,Groups!B:B)&lt;2))), (18 + BR26 * 2.7),
      IF(OR(BI26="Advanced",_xlfn.XLOOKUP(B26,'Base stats'!B:B,'Base stats'!AL:AL)=1,_xlfn.XLOOKUP(_xlfn.XLOOKUP(B26,'Base stats'!B:B,'Base stats'!E:E),Groups!A:A,Groups!B:B)=2), (18 + BR26 * 2.7) + 250, (18 + BR26 * 2.7))
    )
  ))
  + AO26 * 80
  + IF(COUNTIF(EggMilk!K$2:K$998, A26) &gt; 0, 125, 0)
  + IF(COUNTIF(EggMilk!P$2:P$998, A26) &gt; 0, 90, 0)
  + IF(COUNTIF(EggMilk!A$2:A$998, A26) &gt; 0, 90, 0)
)
* (0.8 + 0.4 * J26)
* 0.75,25)</f>
        <v>1700</v>
      </c>
      <c r="I26" s="2">
        <f>MROUND(ROUNDDOWN(_xlfn.XLOOKUP(B26,'Base stats'!B:B,'Base stats'!L:L)/3.6/(23.3/11),1),0.5)</f>
        <v>3.5</v>
      </c>
      <c r="J26" s="2">
        <f>IF(OR(_xlfn.XLOOKUP(B26,'Base stats'!B:B,'Base stats'!AB:AB)=1,_xlfn.XLOOKUP(_xlfn.XLOOKUP(B26,'Base stats'!B:B,'Base stats'!E:E),Groups!A:A,Groups!C:C)="Untamable"),1,IF(_xlfn.XLOOKUP(B26,'Base stats'!B:B,'Base stats'!AL:AL)=1,0.99,MIN(MROUND((1-0.6282*EXP(-0.459*AO26))*_xlfn.XLOOKUP(_xlfn.XLOOKUP(B26,'Base stats'!B:B,'Base stats'!E:E),Groups!A:A,Groups!C:C)*IF(_xlfn.XLOOKUP(B26,'Base stats'!B:B,'Base stats'!O:O)=1,0.5,IF(_xlfn.XLOOKUP(B26,'Base stats'!B:B,'Base stats'!O:O)=2,0,1)),0.05),IF(AO26&gt;3.5,0.985,0.95))))</f>
        <v>0.95000000000000007</v>
      </c>
      <c r="K26" s="2">
        <f>ROUNDUP(AO26*_xlfn.XLOOKUP(_xlfn.XLOOKUP(B26,'Base stats'!B:B,'Base stats'!E:E),Groups!A:A,Groups!E:E),0)</f>
        <v>25</v>
      </c>
      <c r="L26" s="2">
        <f>IF(OR(_xlfn.XLOOKUP(_xlfn.XLOOKUP(B26,'Base stats'!B:B,'Base stats'!E:E),Groups!A:A,Groups!F:F)=2,ISNUMBER(SEARCH("SeaIce",BX26)),ISNUMBER(SEARCH("IceSheet",BX26))),-50,IF(OR(ISNUMBER(SEARCH("GlacialPlain",BX26)),ISNUMBER(SEARCH("Tundra",BX26))),-40,IF(OR(ISNUMBER(SEARCH("Alpine",BX26)),ISNUMBER(SEARCH("BorealForest",BX26)),ISNUMBER(SEARCH("ColdBog",BX26))),-30,IF(OR(ISNUMBER(SEARCH("TemperateForest",BX26)),ISNUMBER(SEARCH("TemperateSwamp",BX26))),-20,IF(_xlfn.XLOOKUP(_xlfn.XLOOKUP(B26,'Base stats'!B:B,'Base stats'!E:E),Groups!A:A,Groups!F:F)=1,-15,IF(OR(ISNUMBER(SEARCH("Desert",BX26)),ISNUMBER(SEARCH("ExtremeDesert",BX26))),-10,IF(OR(ISNUMBER(SEARCH("Grasslands",BX26)),ISNUMBER(SEARCH("TropicalRainforest",BX26)),ISNUMBER(SEARCH("TropicalSwamp",BX26))),10,0)))))))-IF(CC26="False",MIN(IFERROR(MAX(MROUND(LOG10(_xlfn.XLOOKUP(B26,'Base stats'!B:B,'Base stats'!C:C)^(2/3))*10,5),5),5),30))-_xlfn.XLOOKUP(B26,'Base stats'!B:B,'Base stats'!P:P)+IF(CC26="True",5,0)</f>
        <v>-15</v>
      </c>
      <c r="M26" s="2">
        <f>IF(OR(_xlfn.XLOOKUP(_xlfn.XLOOKUP(B26,'Base stats'!B:B,'Base stats'!E:E),Groups!A:A,Groups!G:G)=2,ISNUMBER(SEARCH("Desert",BX26)),ISNUMBER(SEARCH("ExtremeDesert",BX26)),ISNUMBER(SEARCH("LavaField",BX26))),50,IF(ISNUMBER(SEARCH("Grasslands",BX26)),45,IF(OR(_xlfn.XLOOKUP(_xlfn.XLOOKUP(B26,'Base stats'!B:B,'Base stats'!E:E),Groups!A:A,Groups!G:G)=1,ISNUMBER(SEARCH("TropicalRainforest",BX26)),ISNUMBER(SEARCH("TropicalSwamp",BX26))),40,IF(OR(ISNUMBER(SEARCH("TemperateForest",BX26)),ISNUMBER(SEARCH("TemperateSwamp",BX26))),35,IF(OR(ISNUMBER(SEARCH("Alpine",BX26)),ISNUMBER(SEARCH("BorealForest",BX26)),ISNUMBER(SEARCH("ColdBog",BX26))),30,IF(ISNUMBER(OR(ISNUMBER(SEARCH("GlacialPlain",BX26)),SEARCH("Tundra",BX26))),25,IF(OR(ISNUMBER(SEARCH("SeaIce",BX26)),ISNUMBER(SEARCH("IceSheet",BX26)),ISNUMBER(SEARCH("TropicalSwamp",BX26))),10,35)))))))+_xlfn.XLOOKUP(B26,'Base stats'!B:B,'Base stats'!Q:Q)</f>
        <v>45</v>
      </c>
      <c r="N26" s="8" t="str">
        <f>IF(
_xlfn.XLOOKUP(
_xlfn.XLOOKUP(B26,'Base stats'!B:B,'Base stats'!E:E),
Groups!A:A,
Groups!L:L
)=1,
MIN(
MROUND(
IF(
_xlfn.XLOOKUP(B26,'Animals CE'!B:B,'Animals CE'!Z:Z)&lt;=1.5,
_xlfn.XLOOKUP(B26,'Animals CE'!B:B,'Animals CE'!Z:Z)/2+0.05,
0.8+
(_xlfn.XLOOKUP(B26,'Animals CE'!B:B,'Animals CE'!Z:Z)-1.5)
*0.02
),
0.05
),
200%
),
"No"
)</f>
        <v>No</v>
      </c>
      <c r="O26" s="8" t="str">
        <f>IF(
_xlfn.XLOOKUP(
_xlfn.XLOOKUP(B26,'Base stats'!B:B,'Base stats'!E:E),
Groups!A:A,
Groups!L:L
)=1,
MIN(
MROUND(
IF(
_xlfn.XLOOKUP(B26,'Animals CE'!B:B,'Animals CE'!AA:AA)&lt;=1.5,
_xlfn.XLOOKUP(B26,'Animals CE'!B:B,'Animals CE'!AA:AA)/2+0.05,
0.8+
(_xlfn.XLOOKUP(B26,'Animals CE'!B:B,'Animals CE'!AA:AA)-1.5)
*0.02
),
0.05
),
200%
),
"No"
)</f>
        <v>No</v>
      </c>
      <c r="P26" s="2" t="str">
        <f>_xlfn.XLOOKUP(B26,'Base stats'!B:B,'Base stats'!R:R)</f>
        <v>Standard</v>
      </c>
      <c r="Q26" s="13">
        <f>MROUND((LOG10(_xlfn.XLOOKUP(B26,'Base stats'!B:B,'Base stats'!AR:AR))*(AO26^0.5)+(_xlfn.XLOOKUP(B26,'Base stats'!B:B,'Base stats'!AR:AR)/1000)^(2/3)+_xlfn.XLOOKUP(B26,'Base stats'!B:B,'Base stats'!BA:BA)/2)+0.5,0.5)</f>
        <v>36</v>
      </c>
      <c r="R26" s="7">
        <f>IF(Q26="No","No",MAX(1,MROUND(_xlfn.XLOOKUP(B26,'Base stats'!B:B,'Base stats'!C:C)^0.165,0.05)))</f>
        <v>4</v>
      </c>
      <c r="S26" s="13">
        <f>IF(_xlfn.XLOOKUP(_xlfn.XLOOKUP(B26,'Base stats'!B:B,'Base stats'!E:E),Groups!A:A,Groups!P:P)=0,"No",MROUND((LOG10(_xlfn.XLOOKUP(B26,'Base stats'!B:B,'Base stats'!AS:AS))*(AO26^0.5)+(_xlfn.XLOOKUP(B26,'Base stats'!B:B,'Base stats'!AS:AS)/1000)^(2/3)+_xlfn.XLOOKUP(B26,'Base stats'!B:B,'Base stats'!BA:BA))+_xlfn.XLOOKUP(B26,'Base stats'!B:B,'Base stats'!AY:AY)+0.5,0.5))</f>
        <v>42</v>
      </c>
      <c r="T26" s="7">
        <f>IF(S26="No","No",MAX(_xlfn.XLOOKUP(_xlfn.XLOOKUP(B26,'Base stats'!B:B,'Base stats'!E:E),Groups!A:A,Groups!Q:Q),MROUND(_xlfn.XLOOKUP(_xlfn.XLOOKUP(B26,'Base stats'!B:B,'Base stats'!E:E),Groups!A:A,Groups!Q:Q)*_xlfn.XLOOKUP(B26,'Base stats'!B:B,'Base stats'!C:C)^0.165,0.05)))</f>
        <v>3.6</v>
      </c>
      <c r="U26" s="7" t="str">
        <f>IF(S26="No","No",_xlfn.XLOOKUP(_xlfn.XLOOKUP(B26,'Base stats'!B:B,'Base stats'!E:E),Groups!A:A,Groups!R:R))</f>
        <v>FrontLeftLeg, FrontRightLeg</v>
      </c>
      <c r="V26" s="7" t="str">
        <f>IF(S26="No","No",_xlfn.XLOOKUP(_xlfn.XLOOKUP(B26,'Base stats'!B:B,'Base stats'!E:E),Groups!A:A,Groups!S:S))</f>
        <v>left foot, right foot</v>
      </c>
      <c r="W26" s="7" t="str">
        <f>IF(S26="No","No",_xlfn.XLOOKUP(_xlfn.XLOOKUP(B26,'Base stats'!B:B,'Base stats'!E:E),Groups!A:A,Groups!T:T))</f>
        <v>Blunt</v>
      </c>
      <c r="X26" s="13">
        <f>IF(_xlfn.XLOOKUP(B26,'Base stats'!B:B,'Base stats'!W:W)="No","No",MROUND((LOG10(_xlfn.XLOOKUP(B26,'Base stats'!B:B,'Base stats'!AU:AU))*(AO26^0.5)+(_xlfn.XLOOKUP(B26,'Base stats'!B:B,'Base stats'!AU:AU)/1000)^(2/3)+_xlfn.XLOOKUP(B26,'Base stats'!B:B,'Base stats'!AZ:AZ))+0.5+IF(_xlfn.XLOOKUP(_xlfn.XLOOKUP(B26,'Base stats'!B:B,'Base stats'!E:E),Groups!A:A,Groups!U:U)&lt;&gt;3,_xlfn.XLOOKUP(B26,'Base stats'!B:B,'Base stats'!BA:BA),0),0.5))</f>
        <v>38.5</v>
      </c>
      <c r="Y26" s="7">
        <f>IF(X26="No","No",MAX(_xlfn.XLOOKUP(_xlfn.XLOOKUP(B26,'Base stats'!B:B,'Base stats'!E:E),Groups!A:A,Groups!V:V),MROUND(_xlfn.XLOOKUP(_xlfn.XLOOKUP(B26,'Base stats'!B:B,'Base stats'!E:E),Groups!A:A,Groups!V:V)*_xlfn.XLOOKUP(B26,'Base stats'!B:B,'Base stats'!C:C)^0.165,0.05)))</f>
        <v>2.8000000000000003</v>
      </c>
      <c r="Z26" s="7" t="str">
        <f>IF(X26="No","No",_xlfn.XLOOKUP(_xlfn.XLOOKUP(B26,'Base stats'!B:B,'Base stats'!E:E),Groups!A:A,Groups!W:W))</f>
        <v>TuskAttackTool</v>
      </c>
      <c r="AA26" s="7" t="str">
        <f>IF(X26="No","No",_xlfn.XLOOKUP(_xlfn.XLOOKUP(B26,'Base stats'!B:B,'Base stats'!E:E),Groups!A:A,Groups!X:X))</f>
        <v>tusk</v>
      </c>
      <c r="AB26" s="7" t="str">
        <f>IF(X26="No","No",_xlfn.XLOOKUP(_xlfn.XLOOKUP(B26,'Base stats'!B:B,'Base stats'!E:E),Groups!A:A,Groups!Y:Y))</f>
        <v>Scratch</v>
      </c>
      <c r="AC26" s="7" t="str">
        <f>_xlfn.XLOOKUP(Animals!B26,'Base stats'!B:B,'Base stats'!X:X)</f>
        <v>False</v>
      </c>
      <c r="AD26" s="13" t="str">
        <f>IF(_xlfn.XLOOKUP(B26,'Base stats'!B:B,'Base stats'!AT:AT)="No","No",MROUND((LOG10(_xlfn.XLOOKUP(B26,'Base stats'!B:B,'Base stats'!AT:AT))*(AO26^0.75)+(_xlfn.XLOOKUP(B26,'Base stats'!B:B,'Base stats'!AT:AT)/1000)^(2/3)+_xlfn.XLOOKUP(B26,'Base stats'!B:B,'Base stats'!AX:AX)+_xlfn.XLOOKUP(B26,'Base stats'!B:B,'Base stats'!BA:BA))+0.5,0.5))</f>
        <v>No</v>
      </c>
      <c r="AE26" s="7" t="str">
        <f>IF(AD26="No","No",MAX(_xlfn.XLOOKUP(_xlfn.XLOOKUP(B26,'Base stats'!B:B,'Base stats'!E:E),Groups!A:A,Groups!Z:Z),MROUND(_xlfn.XLOOKUP(_xlfn.XLOOKUP(B26,'Base stats'!B:B,'Base stats'!E:E),Groups!A:A,Groups!Z:Z)*_xlfn.XLOOKUP(B26,'Base stats'!B:B,'Base stats'!C:C)^0.165,0.05)))</f>
        <v>No</v>
      </c>
      <c r="AF26" s="7" t="str">
        <f>IF(AD26="No","No",_xlfn.XLOOKUP(_xlfn.XLOOKUP(B26,'Base stats'!B:B,'Base stats'!E:E),Groups!A:A,Groups!AA:AA))</f>
        <v>No</v>
      </c>
      <c r="AG26" s="7" t="str">
        <f>IF(AD26="No","No",_xlfn.XLOOKUP(_xlfn.XLOOKUP(B26,'Base stats'!B:B,'Base stats'!E:E),Groups!A:A,Groups!AB:AB))</f>
        <v>No</v>
      </c>
      <c r="AH26" s="7" t="str">
        <f>IF(AD26="No","No",_xlfn.XLOOKUP(_xlfn.XLOOKUP(B26,'Base stats'!B:B,'Base stats'!E:E),Groups!A:A,Groups!AC:AC))</f>
        <v>No</v>
      </c>
      <c r="AI26" s="13" t="str">
        <f>IF(_xlfn.XLOOKUP(_xlfn.XLOOKUP(B26,'Base stats'!B:B,'Base stats'!E:E),Groups!A:A,Groups!AD:AD)=0,"No",MROUND((LOG10(_xlfn.XLOOKUP(B26,'Base stats'!B:B,'Base stats'!AS:AS))*(AO26^0.75)+(_xlfn.XLOOKUP(B26,'Base stats'!B:B,'Base stats'!AS:AS)/1000)^(2/3)+_xlfn.XLOOKUP(B26,'Base stats'!B:B,'Base stats'!AY:AY)+_xlfn.XLOOKUP(B26,'Base stats'!B:B,'Base stats'!BA:BA))+0.5,0.5))</f>
        <v>No</v>
      </c>
      <c r="AJ26" s="7" t="str">
        <f>IF(AI26="No","No",MAX(_xlfn.XLOOKUP(_xlfn.XLOOKUP(B26,'Base stats'!B:B,'Base stats'!E:E),Groups!A:A,Groups!AE:AE),MROUND(_xlfn.XLOOKUP(_xlfn.XLOOKUP(B26,'Base stats'!B:B,'Base stats'!E:E),Groups!A:A,Groups!AE:AE)*IF(_xlfn.XLOOKUP(_xlfn.XLOOKUP(B26,'Base stats'!B:B,'Base stats'!E:E),Groups!A:A,Groups!AJ:AJ)="Photonozoa",0.6,1)*_xlfn.XLOOKUP(B26,'Base stats'!B:B,'Base stats'!C:C)^0.165,0.05)))</f>
        <v>No</v>
      </c>
      <c r="AK26" s="7" t="str">
        <f>IF(AI26="No","No",_xlfn.XLOOKUP(_xlfn.XLOOKUP(B26,'Base stats'!B:B,'Base stats'!E:E),Groups!A:A,Groups!AF:AF))</f>
        <v>No</v>
      </c>
      <c r="AL26" s="7" t="str">
        <f>IF(AI26="No","No",_xlfn.XLOOKUP(_xlfn.XLOOKUP(B26,'Base stats'!B:B,'Base stats'!E:E),Groups!A:A,Groups!AG:AG))</f>
        <v>No</v>
      </c>
      <c r="AM26" s="7" t="str">
        <f>IF(AI26="No","No",_xlfn.XLOOKUP(_xlfn.XLOOKUP(B26,'Base stats'!B:B,'Base stats'!E:E),Groups!A:A,Groups!AH:AH))</f>
        <v>No</v>
      </c>
      <c r="AN26" s="2" t="str">
        <f t="shared" si="0"/>
        <v>No</v>
      </c>
      <c r="AO26" s="2">
        <f>MROUND(IF(AND(_xlfn.XLOOKUP(B26,'Base stats'!B:B,'Base stats'!C:C)&gt;=0.5,_xlfn.XLOOKUP(B26,'Base stats'!B:B,'Base stats'!C:C)&lt;=0.8),
IF(_xlfn.XLOOKUP(B26,'Base stats'!B:B,'Base stats'!C:C)&lt;0.1,0.05,IF(_xlfn.XLOOKUP(B26,'Base stats'!B:B,'Base stats'!C:C)&lt;=70,(_xlfn.XLOOKUP(B26,'Base stats'!B:B,'Base stats'!C:C)/70)^0.426489913056526,IF(_xlfn.XLOOKUP(B26,'Base stats'!B:B,'Base stats'!C:C)&lt;=400,(_xlfn.XLOOKUP(B26,'Base stats'!B:B,'Base stats'!C:C)/70)^0.572811455315093,IF(_xlfn.XLOOKUP(B26,'Base stats'!B:B,'Base stats'!C:C)&lt;=2000,2.71391647193063*(_xlfn.XLOOKUP(B26,'Base stats'!B:B,'Base stats'!C:C)/400)^0.252459582904293,3.74314280240376*(_xlfn.XLOOKUP(B26,'Base stats'!B:B,'Base stats'!C:C)/2000)^0.357012633876913)))),
IF(_xlfn.XLOOKUP(B26,'Base stats'!B:B,'Base stats'!C:C)&lt;0.1,0.05,IF(_xlfn.XLOOKUP(B26,'Base stats'!B:B,'Base stats'!C:C)&lt;0.4,0.1,IF(_xlfn.XLOOKUP(B26,'Base stats'!B:B,'Base stats'!C:C)&lt;=70,(_xlfn.XLOOKUP(B26,'Base stats'!B:B,'Base stats'!C:C)/70)^0.445823913056526,IF(_xlfn.XLOOKUP(B26,'Base stats'!B:B,'Base stats'!C:C)&lt;=400,(_xlfn.XLOOKUP(B26,'Base stats'!B:B,'Base stats'!C:C)/70)^0.572811455315093,IF(_xlfn.XLOOKUP(B26,'Base stats'!B:B,'Base stats'!C:C)&lt;=2000,2.71391647193063*(_xlfn.XLOOKUP(B26,'Base stats'!B:B,'Base stats'!C:C)/400)^0.252459582904293,3.74314280240376*(_xlfn.XLOOKUP(B26,'Base stats'!B:B,'Base stats'!C:C)/2000)^0.357012633876913)))))),
IF(_xlfn.XLOOKUP(B26,'Base stats'!B:B,'Base stats'!C:C)&lt;0.1,0.05,IF(_xlfn.XLOOKUP(B26,'Base stats'!B:B,'Base stats'!C:C)&lt;=100,0.05,IF(_xlfn.XLOOKUP(B26,'Base stats'!B:B,'Base stats'!C:C)&lt;=250,0.1,IF(_xlfn.XLOOKUP(B26,'Base stats'!B:B,'Base stats'!C:C)&lt;=4000,0.25,0.5)))))</f>
        <v>5</v>
      </c>
      <c r="AP26" s="8">
        <f>MROUND(AO26*_xlfn.XLOOKUP(_xlfn.XLOOKUP(B26,'Base stats'!B:B,'Base stats'!E:E),Groups!A:A,Groups!AI:AI)*_xlfn.XLOOKUP(B26,'Base stats'!B:B,'Base stats'!Z:Z),0.05)</f>
        <v>5</v>
      </c>
      <c r="AQ26" s="8">
        <f>MAX(0.01,MROUND(IF(CC26="True",0.196*(AO26*100*1000)^0.889,IF(_xlfn.XLOOKUP(_xlfn.XLOOKUP(B26,'Base stats'!B:B,'Base stats'!E:E),Groups!A:A,Groups!AJ:AJ)="Bird",10.5*(AO26*100*1000)^0.681,4.82*(AO26*100*1000)^0.734))/(4.82*(1*100*1000)^0.734)/IF(AO26&lt;3.5,2,IF(AO26=3.5,1.5,1.25))*(1+0.132282374779864/(AO26^0.994035016789033+0.00905238001496948)),0.05))</f>
        <v>2.7</v>
      </c>
      <c r="AR26" s="9">
        <f>IFERROR(MROUND(_xlfn.XLOOKUP(B26,'Base stats'!B:B,'Base stats'!H:H)/IF(_xlfn.XLOOKUP(B26,'Base stats'!B:B,'Base stats'!I:I)&lt;&gt;1,(122.5/70),1.2),IF(_xlfn.XLOOKUP(B26,'Base stats'!B:B,'Base stats'!H:H)&gt;=30,5,IF(_xlfn.XLOOKUP(B26,'Base stats'!B:B,'Base stats'!H:H)&gt;=15,3,IF(_xlfn.XLOOKUP(B26,'Base stats'!B:B,'Base stats'!H:H)&gt;=10,2,1)))),"Immortal")</f>
        <v>55</v>
      </c>
      <c r="AS26" s="35">
        <f>IFERROR(IF(OR(_xlfn.XLOOKUP(B26,'Base stats'!B:B,'Base stats'!F:F)="Atypical reproduction",_xlfn.XLOOKUP(B26,'Base stats'!B:B,'Base stats'!F:F)="Lay eggs"),"Lay eggs",MIN(20,MAX(5.5,ROUND(((_xlfn.XLOOKUP(B26,'Base stats'!B:B,'Base stats'!F:F)-25)*(14.5/615) + 5.5)*2,0)/2))),"Unknown")</f>
        <v>20</v>
      </c>
      <c r="AT26" s="8">
        <f>IF(_xlfn.XLOOKUP(B26,'Base stats'!B:B,'Base stats'!G:G)="Atypical reproduction","No",IFERROR(MAX(IF(_xlfn.XLOOKUP(B26,'Base stats'!B:B,'Base stats'!G:G)&lt;0.5,0.2,0.3),MROUND(_xlfn.XLOOKUP(B26,'Base stats'!B:B,'Base stats'!G:G)/(365/60),0.2)),"Unknown"))</f>
        <v>1.8</v>
      </c>
      <c r="AU26" s="8">
        <f t="shared" si="1"/>
        <v>0.9</v>
      </c>
      <c r="AV26" s="8">
        <f>IFERROR(IFERROR(MROUND(_xlfn.XLOOKUP(B26,'Base stats'!B:B,'Base stats'!J:J),0.1),"Lay eggs"),"Cannot breed")</f>
        <v>1</v>
      </c>
      <c r="AW26" s="2" t="str">
        <f t="shared" si="2"/>
        <v>true</v>
      </c>
      <c r="AX26" s="2" t="str">
        <f>IF(_xlfn.XLOOKUP(_xlfn.XLOOKUP(Animals!B26,'Base stats'!B:B,'Base stats'!E:E),Groups!A:A,Groups!AK:AK)=1,"true","false")</f>
        <v>true</v>
      </c>
      <c r="AY26" s="25" t="str">
        <f>IF(_xlfn.XLOOKUP(B26,'Base stats'!B:B,'Base stats'!Y:Y)="Liquor","Liquor, CarnivoreAnimalStrict",IF(AND(_xlfn.XLOOKUP(B26,'Base stats'!B:B,'Base stats'!Y:Y)="Carnivore",_xlfn.XLOOKUP(_xlfn.XLOOKUP(B26,'Base stats'!B:B,'Base stats'!E:E),Groups!A:A,Groups!AJ:AJ)="Photonozoa"),"CarnivoreAnimalStrict, OvivoreAnimal",IF(_xlfn.XLOOKUP(B26,'Base stats'!B:B,'Base stats'!Y:Y)="Carnivore","CarnivoreAnimal, OvivoreAnimal",IF(_xlfn.XLOOKUP(B26,'Base stats'!B:B,'Base stats'!Y:Y)="Dendrovore","VegetarianRoughAnimal, DendrovoreAnimal",IF(_xlfn.XLOOKUP(B26,'Base stats'!B:B,'Base stats'!Y:Y)="Herbivore","VegetarianRoughAnimal",IF(_xlfn.XLOOKUP(B26,'Base stats'!B:B,'Base stats'!Y:Y)="OmnivoreRough","OmnivoreRoughAnimal, OvivoreAnimal","OmnivoreAnimal, OvivoreAnimal"))))))</f>
        <v>VegetarianRoughAnimal</v>
      </c>
      <c r="AZ26" s="2" t="str">
        <f>IF(_xlfn.XLOOKUP(_xlfn.XLOOKUP(B26,'Base stats'!B:B,'Base stats'!E:E),Groups!A:A,Groups!D:D)=1,MROUND((1-J26)*5+1,2)*IF(J26&lt;=0.4,2,1),"No")</f>
        <v>No</v>
      </c>
      <c r="BA26" s="2" t="str">
        <f>IF(AND(_xlfn.XLOOKUP(B26,'Base stats'!B:B,'Base stats'!AH:AH)="&lt;li&gt;Seal&lt;/li&gt;",G26="Odyssey"),"&lt;li&gt;AEXP_Seal&lt;/li&gt;",_xlfn.XLOOKUP(B26,'Base stats'!B:B,'Base stats'!AH:AH))</f>
        <v>No</v>
      </c>
      <c r="BB26" s="2" t="str">
        <f>_xlfn.XLOOKUP(B26,'Base stats'!B:B,'Base stats'!AG:AG)</f>
        <v>Leather_Elephant</v>
      </c>
      <c r="BC26" s="23" t="str">
        <f>_xlfn.XLOOKUP(_xlfn.XLOOKUP(B26,'Base stats'!B:B,'Base stats'!E:E),Groups!A:A,Groups!AL:AL)</f>
        <v>QuadrupedAnimalWithHoovesTusksAndTrunk</v>
      </c>
      <c r="BD26" s="23">
        <f>MIN(1,MROUND(IF(AND(AO26&lt;0.5,_xlfn.XLOOKUP(B26,'Base stats'!B:B,'Base stats'!AA:AA)=0),0,IF(OR(_xlfn.XLOOKUP(Animals!B26,'Base stats'!B:B,'Base stats'!O:O)=2,_xlfn.XLOOKUP(_xlfn.XLOOKUP(B26,'Base stats'!B:B,'Base stats'!E:E),Groups!A:A,Groups!AN:AN)=0),0,_xlfn.XLOOKUP(_xlfn.XLOOKUP(B26,'Base stats'!B:B,'Base stats'!E:E),Groups!A:A,Groups!AN:AN)/IF(_xlfn.XLOOKUP(Animals!B26,'Base stats'!B:B,'Base stats'!O:O)=1,2,1)))+_xlfn.XLOOKUP(B26,'Base stats'!B:B,'Base stats'!AC:AC),0.005))</f>
        <v>2.5000000000000001E-2</v>
      </c>
      <c r="BE26" s="23">
        <f>MIN(1,MROUND(IF(AND(AO26&lt;0.5,_xlfn.XLOOKUP(B26,'Base stats'!B:B,'Base stats'!AA:AA)=0),0,IF(_xlfn.XLOOKUP(_xlfn.XLOOKUP(B26,'Base stats'!B:B,'Base stats'!E:E),Groups!A:A,Groups!AO:AO)=0,0,_xlfn.XLOOKUP(_xlfn.XLOOKUP(B26,'Base stats'!B:B,'Base stats'!E:E),Groups!A:A,Groups!AO:AO)/IF(_xlfn.XLOOKUP(Animals!B26,'Base stats'!B:B,'Base stats'!O:O)=2,3,1)))+_xlfn.XLOOKUP(B26,'Base stats'!B:B,'Base stats'!AD:AD),0.005))</f>
        <v>0.3</v>
      </c>
      <c r="BF26" s="2" t="str">
        <f>IF(J26&gt;0.3,"No",_xlfn.XLOOKUP(_xlfn.XLOOKUP(Animals!B26,'Base stats'!B:B,'Base stats'!E:E),Groups!A:A,Groups!AP:AP))</f>
        <v>No</v>
      </c>
      <c r="BG26" s="2" t="str">
        <f>IF(AND(J26&lt;=0.65,_xlfn.XLOOKUP(_xlfn.XLOOKUP(Animals!B26,'Base stats'!B:B,'Base stats'!E:E),Groups!A:A,Groups!AP:AP)&lt;&gt;"No",_xlfn.XLOOKUP(_xlfn.XLOOKUP(B26,'Base stats'!B:B,'Base stats'!E:E),Groups!A:A,Groups!D:D)=0),MROUND((80/3)*IF(_xlfn.XLOOKUP(B26,'Base stats'!B:B,'Base stats'!O:O)=2,0.2,AO26) + 24*(1-IF(BF26="No",0,BF26)) + 16/3, 12),"No")</f>
        <v>No</v>
      </c>
      <c r="BH26" s="2">
        <f>IF(AND(_xlfn.XLOOKUP(_xlfn.XLOOKUP(B26,'Base stats'!B:B,'Base stats'!E:E),Groups!A:A,Groups!AQ:AQ)=1,AO26&lt;=0.35),8,12)</f>
        <v>12</v>
      </c>
      <c r="BI26" s="2" t="str">
        <f>IF(_xlfn.XLOOKUP(_xlfn.XLOOKUP(B26,'Base stats'!B:B,'Base stats'!E:E),Groups!A:A,Groups!D:D)=0,_xlfn.XLOOKUP(_xlfn.XLOOKUP(B26,'Base stats'!B:B,'Base stats'!E:E),Groups!A:A,Groups!AR:AR),"None")</f>
        <v>Advanced</v>
      </c>
      <c r="BJ26" s="2" t="str">
        <f>IF(AND(_xlfn.XLOOKUP(_xlfn.XLOOKUP(B26,'Base stats'!B:B,'Base stats'!E:E),Groups!A:A,Groups!AS:AS)=1,OR(_xlfn.XLOOKUP(B26,'Base stats'!B:B,'Base stats'!Y:Y)="Carnivore",_xlfn.XLOOKUP(B26,'Base stats'!B:B,'Base stats'!Y:Y)="Omnivore")),"true","false")</f>
        <v>false</v>
      </c>
      <c r="BK26" s="2" t="str">
        <f>IF(BJ26="true",MROUND(IF(AND(AO26&gt;0.5,OR(_xlfn.XLOOKUP(_xlfn.XLOOKUP(B26,'Base stats'!B:B,'Base stats'!E:E),Groups!A:A,Groups!AJ:AJ)="Photonozoa",_xlfn.XLOOKUP(_xlfn.XLOOKUP(B26,'Base stats'!B:B,'Base stats'!E:E),Groups!A:A,Groups!AJ:AJ)="Mammal")),Animals!AO26*1.75*IF(AW26="true",1.5,1),IF(AO26&lt;0.5,Animals!AO26*0.5,Animals!AO26)),IF(AO26&gt;2,0.5,IF(AO26&gt;0.5,0.25,0.1))),"No")</f>
        <v>No</v>
      </c>
      <c r="BL26" s="2">
        <f t="shared" si="3"/>
        <v>1</v>
      </c>
      <c r="BM26" s="25" t="str">
        <f>IF(_xlfn.XLOOKUP(B26,'Base stats'!B:B,'Base stats'!AN:AN)="Standard","No",MROUND((_xlfn.XLOOKUP(B26,'Base stats'!B:B,'Base stats'!AN:AN)/3.6)/I26,0.1))</f>
        <v>No</v>
      </c>
      <c r="BN26" s="25" t="str">
        <f t="shared" si="4"/>
        <v>false</v>
      </c>
      <c r="BO26" s="25" t="str">
        <f>IF(AND(OR(_xlfn.XLOOKUP(B26,'Base stats'!B:B,'Base stats'!Y:Y)="Carnivore",_xlfn.XLOOKUP(B26,'Base stats'!B:B,'Base stats'!Y:Y)="Omnivore",_xlfn.XLOOKUP(B26,'Base stats'!B:B,'Base stats'!Y:Y)="OmnivoreRough"),_xlfn.XLOOKUP(_xlfn.XLOOKUP(B26,'Base stats'!B:B,'Base stats'!E:E),Groups!A:A,Groups!AT:AT)=1),"true","false")</f>
        <v>false</v>
      </c>
      <c r="BP26" s="25" t="str" cm="1">
        <f t="array" ref="BP26">IF(
  _xlfn.TEXTJOIN(", ",TRUE,
    IF(AND(BJ26="true",AO26&gt;0.5,BI26&lt;&gt;"None"),"AttackTarget",""),
    IF(AND(_xlfn.XLOOKUP(_xlfn.XLOOKUP(B26,'Base stats'!B:B,'Base stats'!E:E),Groups!A:A,Groups!AJ:AJ="Mammal"),OR(_xlfn.XLOOKUP(B26,'Base stats'!B:B,'Base stats'!Y:Y)="Omnivore",_xlfn.XLOOKUP(B26,'Base stats'!B:B,'Base stats'!Y:Y)="OmnivoreRough")),"Forage",""),
    IF(BG26&lt;=36,"Comfort",""),
    IF(_xlfn.XLOOKUP(B26,'Base stats'!B:B,'Base stats'!AE:AE)&lt;&gt;"No",_xlfn.XLOOKUP(B26,'Base stats'!B:B,'Base stats'!AE:AE),"")
  ) = "",
  "No",
  _xlfn.TEXTJOIN(", ",TRUE,
    IF(AND(BJ26="true",AO26&gt;0.5,BI26&lt;&gt;"None"),"AttackTarget",""),
    IF(AND(_xlfn.XLOOKUP(_xlfn.XLOOKUP(B26,'Base stats'!B:B,'Base stats'!E:E),Groups!A:A,Groups!AJ:AJ="Mammal"),OR(_xlfn.XLOOKUP(B26,'Base stats'!B:B,'Base stats'!Y:Y)="Omnivore",_xlfn.XLOOKUP(B26,'Base stats'!B:B,'Base stats'!Y:Y)="OmnivoreRough")),"Forage",""),
    IF(BG26&lt;=36,"Comfort",""),
    IF(_xlfn.XLOOKUP(B26,'Base stats'!B:B,'Base stats'!AE:AE)&lt;&gt;"No",_xlfn.XLOOKUP(B26,'Base stats'!B:B,'Base stats'!AE:AE),"")
  )
)</f>
        <v>WarTrumpet</v>
      </c>
      <c r="BQ26" s="25" t="str">
        <f>IF(
   AND(
      'Base stats'!AN26="Standard",_xlfn.XLOOKUP(_xlfn.XLOOKUP(B26,'Base stats'!B:B,'Base stats'!E:E),Groups!A:A,Groups!AU:AU)=0,
      OR(
      BO26="True"
      )
   ),
   10,
   IF(
       OR(BM26&lt;&gt;"No",_xlfn.XLOOKUP(_xlfn.XLOOKUP(B26,'Base stats'!B:B,'Base stats'!E:E),Groups!A:A,Groups!AU:AU)=1),
      1,
      "No"
   )
)</f>
        <v>No</v>
      </c>
      <c r="BR26" s="9">
        <f>MROUND((1 + ((0.2*IF(OR(Q26="No",R26="No",R26=0),0,Q26/R26)
+IF(OR(V26="No",S26="No",T26="No"),0,S26/T26*(LEN(V26)-LEN(SUBSTITUTE(V26,",",""))+1))
+IF(OR(X26="No",Y26="No"),0,X26/Y26)
+IF(OR(AD26="No",AE26="No"),0,AD26/AE26)
+IF(OR(AL26="No",AI26="No",AJ26="No"),0,AI26/AJ26*(LEN(AL26)-LEN(SUBSTITUTE(AL26,",",""))+1))
)/(0.2*IF(OR(Q26="No",R26="No",R26=0),0,1)
+IF(OR(V26="No",S26="No",T26="No"),0,LEN(V26)-LEN(SUBSTITUTE(V26,",",""))+1)
+IF(OR(X26="No",Y26="No"),0,1)
+IF(OR(AD26="No",AE26="No"),0,1)
+IF(OR(AL26="No",AI26="No",AJ26="No"),0,LEN(AL26)-LEN(SUBSTITUTE(AL26,",",""))+1))*62%)* 2)*(1 + (AP26 / (IF(_xlfn.XLOOKUP(_xlfn.XLOOKUP(B26,'Base stats'!B:B,'Base stats'!E:E),Groups!A:A,Groups!AJ:AJ)="Photonozoa",0.3,1)) + _xlfn.XLOOKUP(B26,'Base stats'!B:B,'Base stats'!AV:AV) * 1.8) * 2) * 2.5 + 10 + I26 * 2,5)+IF(_xlfn.XLOOKUP(B26,'Base stats'!B:B,'Base stats'!AK:AK)=1,50,0)</f>
        <v>460</v>
      </c>
      <c r="BS26" s="8">
        <f t="shared" si="5"/>
        <v>3.1500000000000004</v>
      </c>
      <c r="BT26" s="8" t="str">
        <f>_xlfn.XLOOKUP(B26,'Base stats'!B:B,'Base stats'!AF:AF)</f>
        <v>3~10</v>
      </c>
      <c r="BU26" s="2" t="str">
        <f>IF(AND(J26&lt;=0.95,OR(_xlfn.XLOOKUP(B26,'Base stats'!B:B,'Base stats'!AK:AK)=1,_xlfn.XLOOKUP(B26,'Base stats'!B:B,'Base stats'!Y:Y)="Carnivore",_xlfn.XLOOKUP(B26,'Base stats'!B:B,'Base stats'!Y:Y)="Omnivore",BE26&gt;0.1)),"true","false")</f>
        <v>true</v>
      </c>
      <c r="BV26" s="2" t="str">
        <f>IF(_xlfn.XLOOKUP(B26,'Base stats'!B:B,'Base stats'!AI:AI)=1,"true","false")</f>
        <v>true</v>
      </c>
      <c r="BW26" s="25" t="str">
        <f>IF(E26="BaseInsect","AnimalInsect",
IF(J26&gt;0.95,"AnimalExotic",
_xlfn.TEXTJOIN(", ",TRUE,
IF(OR(_xlfn.XLOOKUP(B26,'Base stats'!B:B,'Base stats'!AM:AM)=1,AND(_xlfn.XLOOKUP(B26,'Base stats'!B:B,'Base stats'!O:O)=0,_xlfn.XLOOKUP(_xlfn.XLOOKUP(B26,'Base stats'!B:B,'Base stats'!E:E),Groups!A:A,Groups!B:B)&gt;0)),"AnimalUncommon","AnimalCommon"),
IF(AND(_xlfn.XLOOKUP(B26,'Base stats'!B:B,'Base stats'!O:O)=2,_xlfn.XLOOKUP(_xlfn.XLOOKUP(B26,'Base stats'!B:B,'Base stats'!E:E),Groups!A:A,Groups!D:D)=0),"AnimalPet",IF(AND(_xlfn.XLOOKUP(B26,'Base stats'!B:B,'Base stats'!O:O)&lt;&gt;0,_xlfn.XLOOKUP(_xlfn.XLOOKUP(B26,'Base stats'!B:B,'Base stats'!E:E),Groups!A:A,Groups!D:D)&lt;&gt;0),"AnimalFarm","")),
IF(OR(_xlfn.XLOOKUP(B26,'Base stats'!B:B,'Base stats'!AK:AK)=1,AND(BI26&lt;&gt;"None",BR26&gt;=60),ISNUMBER(SEARCH("Attack target",BP26))),"AnimalFighter","")
)))</f>
        <v>AnimalUncommon, AnimalFighter</v>
      </c>
      <c r="BX26" s="25" t="str">
        <f>IF(G26="None",TRIM(
SUBSTITUTE(
IF(COUNTIF(Biomes!B$2:B$259,"="&amp;$C26)&gt;0,Biomes!B$1&amp;", ","")&amp;
IF(COUNTIF(Biomes!C$2:C$259,"="&amp;$C26)&gt;0,Biomes!C$1&amp;", ","")&amp;
IF(COUNTIF(Biomes!D$2:D$259,"="&amp;$C26)&gt;0,Biomes!D$1&amp;", ","")&amp;
IF(COUNTIF(Biomes!F$2:F$259,"="&amp;$C26)&gt;0,Biomes!F$1&amp;", ","")&amp;
IF(COUNTIF(Biomes!G$2:G$259,"="&amp;$C26)&gt;0,Biomes!G$1&amp;", ","")&amp;
IF(COUNTIF(Biomes!H$2:H$259,"="&amp;$C26)&gt;0,Biomes!H$1&amp;", ","")&amp;
IF(COUNTIF(Biomes!I$2:I$259,"="&amp;$C26)&gt;0,Biomes!I$1&amp;", ","")&amp;
IF(COUNTIF(Biomes!J$2:J$259,"="&amp;$C26)&gt;0,Biomes!J$1&amp;", ","")&amp;
IF(COUNTIF(Biomes!M$2:M$259,"="&amp;$C26)&gt;0,Biomes!M$1&amp;", ","")&amp;
IF(COUNTIF(Biomes!N$2:N$259,"="&amp;$C26)&gt;0,Biomes!N$1&amp;", ","")&amp;
IF(COUNTIF(Biomes!O$2:O$259,"="&amp;$C26)&gt;0,Biomes!O$1&amp;", ","")&amp;
IF(COUNTIF(Biomes!P$2:P$259,"="&amp;$C26)&gt;0,Biomes!P$1&amp;", ","")&amp;
IF(COUNTIF(Biomes!K$2:K$259,"="&amp;$C26)&gt;0,Biomes!K$1&amp;", ","")&amp;
IF(COUNTIF(Biomes!Q$3:Q$259,"="&amp;$C26)&gt;0,Biomes!Q$1&amp;", ","")&amp;
IF(COUNTIF(Biomes!L$2:L$259,"="&amp;$C26)&gt;0,Biomes!L$1&amp;", ","")&amp;
IF(COUNTIF(Biomes!E$2:E$259,"="&amp;$C26)&gt;0,Biomes!E$1&amp;", ","")&amp;IF(COUNTIF(Biomes!S$2:S$259,"="&amp;$C26)&gt;0,Biomes!S$1&amp;", ","")&amp;
IF(COUNTIF(Biomes!R$2:R$259,"="&amp;$C26)&gt;0,Biomes!R$1&amp;", ",""),", ","")
),_xlfn.XLOOKUP(B26,B:B,BX:BX))</f>
        <v>AridShrubland Grasslands</v>
      </c>
      <c r="BY26" s="25" t="str">
        <f>IF(_xlfn.XLOOKUP(B26,'Base stats'!B:B,'Base stats'!AJ:AJ)=1,"true","false")</f>
        <v>false</v>
      </c>
      <c r="BZ26" s="25">
        <f>IF(_xlfn.XLOOKUP(B26,'Base stats'!B:B,'Base stats'!N:N)=1,"No",MAX(0.001,MIN(MROUND(IF(AND(BJ26="True",CC26="False"),POWER(10,3.47*LOG10(_xlfn.XLOOKUP(B26,'Base stats'!B:B,'Base stats'!C:C)*1000)^-0.96),POWER(10,4.15*LOG10(_xlfn.XLOOKUP(B26,'Base stats'!B:B,'Base stats'!C:C)*1000)^-0.73))*IF(_xlfn.XLOOKUP(B26,'Base stats'!B:B,'Base stats'!AK:AK)=1,0.5,1)*IF(_xlfn.XLOOKUP(B26,'Base stats'!B:B,'Base stats'!AM:AM)=1,0.1,1)/100,IF(_xlfn.XLOOKUP(B26,'Base stats'!B:B,'Base stats'!AM:AM)=1,0.001,0.025)),0.5)))</f>
        <v>0.1</v>
      </c>
      <c r="CA26" s="25" t="str">
        <f>IF(P26="Standard","No",MAX(0.001,MIN(MROUND(IF(AND(BJ26="True",CC26="False"),POWER(10,3.47*LOG10(_xlfn.XLOOKUP(B26,'Base stats'!B:B,'Base stats'!C:C)*1000)^-0.96),POWER(10,4.15*LOG10(_xlfn.XLOOKUP(B26,'Base stats'!B:B,'Base stats'!C:C)*1000)^-0.73))*IF(_xlfn.XLOOKUP(B26,'Base stats'!B:B,'Base stats'!AM:AM)=1,0.1,1)*_xlfn.XLOOKUP(B26,'Base stats'!B:B,'Base stats'!R:R)/100,IF(_xlfn.XLOOKUP(B26,'Base stats'!B:B,'Base stats'!AM:AM)=1,0.001,0.025)),0.5)))</f>
        <v>No</v>
      </c>
      <c r="CB26" s="25" t="str">
        <f>IF(_xlfn.XLOOKUP(_xlfn.XLOOKUP(B26,'Base stats'!B:B,'Base stats'!E:E),Groups!A:A,Groups!AJ:AJ)="Mammal","True","False")</f>
        <v>True</v>
      </c>
      <c r="CC26" s="25" t="str">
        <f>IF(OR(_xlfn.XLOOKUP(_xlfn.XLOOKUP(B26,'Base stats'!B:B,'Base stats'!E:E),Groups!A:A,Groups!AJ:AJ)="Reptile",_xlfn.XLOOKUP(_xlfn.XLOOKUP(B26,'Base stats'!B:B,'Base stats'!E:E),Groups!A:A,Groups!AJ:AJ)="Amphibian",_xlfn.XLOOKUP(_xlfn.XLOOKUP(B26,'Base stats'!B:B,'Base stats'!E:E),Groups!A:A,Groups!AJ:AJ)="Invertebrate"),"True","False")</f>
        <v>False</v>
      </c>
      <c r="CD26" s="25" t="str">
        <f t="shared" si="6"/>
        <v>False</v>
      </c>
      <c r="CE26" s="25" t="str">
        <f>IF(_xlfn.XLOOKUP(_xlfn.XLOOKUP(B26,'Base stats'!B:B,'Base stats'!E:E),Groups!A:A,Groups!AX:AX),"True","False")</f>
        <v>False</v>
      </c>
      <c r="CF26" s="25" t="str">
        <f>IF(_xlfn.XLOOKUP(_xlfn.XLOOKUP(B26,'Base stats'!B:B,'Base stats'!E:E),Groups!A:A,Groups!AY:AY),"True","False")</f>
        <v>False</v>
      </c>
      <c r="CG26" s="25" t="str">
        <f>IF(_xlfn.XLOOKUP(_xlfn.XLOOKUP(B26,'Base stats'!B:B,'Base stats'!E:E),Groups!A:A,Groups!AW:AW),"True","False")</f>
        <v>False</v>
      </c>
      <c r="CH26" s="25" t="str">
        <f>IF(
OR(
_xlfn.XLOOKUP(_xlfn.XLOOKUP(B26,'Base stats'!B:B,'Base stats'!E:E),Groups!A:A,Groups!AZ:AZ)=0,
AND(
_xlfn.XLOOKUP(B26,'Base stats'!B:B,'Base stats'!Y:Y)&lt;&gt;"Carnivore",
_xlfn.XLOOKUP(B26,'Base stats'!B:B,'Base stats'!Y:Y)&lt;&gt;"Omnivore",
_xlfn.XLOOKUP(B26,'Base stats'!B:B,'Base stats'!Y:Y)&lt;&gt;"OmnivoreRough"
)
),
"No",
IF(
_xlfn.XLOOKUP(_xlfn.XLOOKUP(B26,'Base stats'!B:B,'Base stats'!E:E),Groups!A:A,Groups!AZ:AZ)=1,
"Flesh",
IF(
_xlfn.XLOOKUP(_xlfn.XLOOKUP(B26,'Base stats'!B:B,'Base stats'!E:E),Groups!A:A,Groups!AZ:AZ)=2,
"Bone",
""
)
)
)</f>
        <v>No</v>
      </c>
      <c r="CI26" s="25" t="str">
        <f>IF(_xlfn.XLOOKUP(_xlfn.XLOOKUP(B26,'Base stats'!B:B,'Base stats'!E:E),Groups!A:A,Groups!BB:BB),"True","False")</f>
        <v>True</v>
      </c>
      <c r="CJ26" s="25" t="str">
        <f>IF(_xlfn.XLOOKUP(_xlfn.XLOOKUP(B26,'Base stats'!B:B,'Base stats'!E:E),Groups!A:A,Groups!BA:BA),"True","False")</f>
        <v>False</v>
      </c>
      <c r="CO26" s="16"/>
    </row>
    <row r="27" spans="1:93" ht="16.5" thickTop="1" thickBot="1" x14ac:dyDescent="0.3">
      <c r="A27" s="26" t="str">
        <f>_xlfn.XLOOKUP(B27,'Base stats'!B:B,'Base stats'!A:A)</f>
        <v>Thrumbo</v>
      </c>
      <c r="B27" s="6" t="s">
        <v>115</v>
      </c>
      <c r="C27" s="28" t="s">
        <v>702</v>
      </c>
      <c r="D27" s="28" t="s">
        <v>45</v>
      </c>
      <c r="E27" s="28" t="s">
        <v>673</v>
      </c>
      <c r="F27" s="28" t="s">
        <v>673</v>
      </c>
      <c r="G27" s="28" t="s">
        <v>673</v>
      </c>
      <c r="H27" s="2">
        <f>MROUND((
  (IF(AND(_xlfn.XLOOKUP(B27,'Base stats'!B:B,'Base stats'!AL:AL)=0,BI27="None",_xlfn.XLOOKUP(_xlfn.XLOOKUP(B27,'Base stats'!B:B,'Base stats'!E:E),Groups!A:A,Groups!B:B)=0), (18 + BR27 * 2.7) * 0.5,
    IF(AND(_xlfn.XLOOKUP(B27,'Base stats'!B:B,'Base stats'!AL:AL)=0,OR(AO27&lt;0.55,AND(BI27="Intermediate",_xlfn.XLOOKUP(_xlfn.XLOOKUP(B27,'Base stats'!B:B,'Base stats'!E:E),Groups!A:A,Groups!B:B)&lt;2))), (18 + BR27 * 2.7),
      IF(OR(BI27="Advanced",_xlfn.XLOOKUP(B27,'Base stats'!B:B,'Base stats'!AL:AL)=1,_xlfn.XLOOKUP(_xlfn.XLOOKUP(B27,'Base stats'!B:B,'Base stats'!E:E),Groups!A:A,Groups!B:B)=2), (18 + BR27 * 2.7) + 250, (18 + BR27 * 2.7))
    )
  ))
  + AO27 * 80
  + IF(COUNTIF(EggMilk!K$2:K$998, A27) &gt; 0, 125, 0)
  + IF(COUNTIF(EggMilk!P$2:P$998, A27) &gt; 0, 90, 0)
  + IF(COUNTIF(EggMilk!A$2:A$998, A27) &gt; 0, 90, 0)
)
* (0.8 + 0.4 * J27)
* 0.75,25)</f>
        <v>3275</v>
      </c>
      <c r="I27" s="2">
        <f>MROUND(ROUNDDOWN(_xlfn.XLOOKUP(B27,'Base stats'!B:B,'Base stats'!L:L)/3.6/(23.3/11),1),0.5)</f>
        <v>4.5</v>
      </c>
      <c r="J27" s="2">
        <f>IF(OR(_xlfn.XLOOKUP(B27,'Base stats'!B:B,'Base stats'!AB:AB)=1,_xlfn.XLOOKUP(_xlfn.XLOOKUP(B27,'Base stats'!B:B,'Base stats'!E:E),Groups!A:A,Groups!C:C)="Untamable"),1,IF(_xlfn.XLOOKUP(B27,'Base stats'!B:B,'Base stats'!AL:AL)=1,0.99,MIN(MROUND((1-0.6282*EXP(-0.459*AO27))*_xlfn.XLOOKUP(_xlfn.XLOOKUP(B27,'Base stats'!B:B,'Base stats'!E:E),Groups!A:A,Groups!C:C)*IF(_xlfn.XLOOKUP(B27,'Base stats'!B:B,'Base stats'!O:O)=1,0.5,IF(_xlfn.XLOOKUP(B27,'Base stats'!B:B,'Base stats'!O:O)=2,0,1)),0.05),IF(AO27&gt;3.5,0.985,0.95))))</f>
        <v>0.98499999999999999</v>
      </c>
      <c r="K27" s="2">
        <f>ROUNDUP(AO27*_xlfn.XLOOKUP(_xlfn.XLOOKUP(B27,'Base stats'!B:B,'Base stats'!E:E),Groups!A:A,Groups!E:E),0)</f>
        <v>28</v>
      </c>
      <c r="L27" s="2">
        <f>IF(OR(_xlfn.XLOOKUP(_xlfn.XLOOKUP(B27,'Base stats'!B:B,'Base stats'!E:E),Groups!A:A,Groups!F:F)=2,ISNUMBER(SEARCH("SeaIce",BX27)),ISNUMBER(SEARCH("IceSheet",BX27))),-50,IF(OR(ISNUMBER(SEARCH("GlacialPlain",BX27)),ISNUMBER(SEARCH("Tundra",BX27))),-40,IF(OR(ISNUMBER(SEARCH("Alpine",BX27)),ISNUMBER(SEARCH("BorealForest",BX27)),ISNUMBER(SEARCH("ColdBog",BX27))),-30,IF(OR(ISNUMBER(SEARCH("TemperateForest",BX27)),ISNUMBER(SEARCH("TemperateSwamp",BX27))),-20,IF(_xlfn.XLOOKUP(_xlfn.XLOOKUP(B27,'Base stats'!B:B,'Base stats'!E:E),Groups!A:A,Groups!F:F)=1,-15,IF(OR(ISNUMBER(SEARCH("Desert",BX27)),ISNUMBER(SEARCH("ExtremeDesert",BX27))),-10,IF(OR(ISNUMBER(SEARCH("Grasslands",BX27)),ISNUMBER(SEARCH("TropicalRainforest",BX27)),ISNUMBER(SEARCH("TropicalSwamp",BX27))),10,0)))))))-IF(CC27="False",MIN(IFERROR(MAX(MROUND(LOG10(_xlfn.XLOOKUP(B27,'Base stats'!B:B,'Base stats'!C:C)^(2/3))*10,5),5),5),30))-_xlfn.XLOOKUP(B27,'Base stats'!B:B,'Base stats'!P:P)+IF(CC27="True",5,0)</f>
        <v>-75</v>
      </c>
      <c r="M27" s="2">
        <f>IF(OR(_xlfn.XLOOKUP(_xlfn.XLOOKUP(B27,'Base stats'!B:B,'Base stats'!E:E),Groups!A:A,Groups!G:G)=2,ISNUMBER(SEARCH("Desert",BX27)),ISNUMBER(SEARCH("ExtremeDesert",BX27)),ISNUMBER(SEARCH("LavaField",BX27))),50,IF(ISNUMBER(SEARCH("Grasslands",BX27)),45,IF(OR(_xlfn.XLOOKUP(_xlfn.XLOOKUP(B27,'Base stats'!B:B,'Base stats'!E:E),Groups!A:A,Groups!G:G)=1,ISNUMBER(SEARCH("TropicalRainforest",BX27)),ISNUMBER(SEARCH("TropicalSwamp",BX27))),40,IF(OR(ISNUMBER(SEARCH("TemperateForest",BX27)),ISNUMBER(SEARCH("TemperateSwamp",BX27))),35,IF(OR(ISNUMBER(SEARCH("Alpine",BX27)),ISNUMBER(SEARCH("BorealForest",BX27)),ISNUMBER(SEARCH("ColdBog",BX27))),30,IF(ISNUMBER(OR(ISNUMBER(SEARCH("GlacialPlain",BX27)),SEARCH("Tundra",BX27))),25,IF(OR(ISNUMBER(SEARCH("SeaIce",BX27)),ISNUMBER(SEARCH("IceSheet",BX27)),ISNUMBER(SEARCH("TropicalSwamp",BX27))),10,35)))))))+_xlfn.XLOOKUP(B27,'Base stats'!B:B,'Base stats'!Q:Q)</f>
        <v>35</v>
      </c>
      <c r="N27" s="8">
        <f>IF(
_xlfn.XLOOKUP(
_xlfn.XLOOKUP(B27,'Base stats'!B:B,'Base stats'!E:E),
Groups!A:A,
Groups!L:L
)=1,
MIN(
MROUND(
IF(
_xlfn.XLOOKUP(B27,'Animals CE'!B:B,'Animals CE'!Z:Z)&lt;=1.5,
_xlfn.XLOOKUP(B27,'Animals CE'!B:B,'Animals CE'!Z:Z)/2+0.05,
0.8+
(_xlfn.XLOOKUP(B27,'Animals CE'!B:B,'Animals CE'!Z:Z)-1.5)
*0.02
),
0.05
),
200%
),
"No"
)</f>
        <v>0.95000000000000007</v>
      </c>
      <c r="O27" s="8">
        <f>IF(
_xlfn.XLOOKUP(
_xlfn.XLOOKUP(B27,'Base stats'!B:B,'Base stats'!E:E),
Groups!A:A,
Groups!L:L
)=1,
MIN(
MROUND(
IF(
_xlfn.XLOOKUP(B27,'Animals CE'!B:B,'Animals CE'!AA:AA)&lt;=1.5,
_xlfn.XLOOKUP(B27,'Animals CE'!B:B,'Animals CE'!AA:AA)/2+0.05,
0.8+
(_xlfn.XLOOKUP(B27,'Animals CE'!B:B,'Animals CE'!AA:AA)-1.5)
*0.02
),
0.05
),
200%
),
"No"
)</f>
        <v>1.05</v>
      </c>
      <c r="P27" s="2">
        <f>_xlfn.XLOOKUP(B27,'Base stats'!B:B,'Base stats'!R:R)</f>
        <v>1</v>
      </c>
      <c r="Q27" s="13">
        <f>MROUND((LOG10(_xlfn.XLOOKUP(B27,'Base stats'!B:B,'Base stats'!AR:AR))*(AO27^0.5)+(_xlfn.XLOOKUP(B27,'Base stats'!B:B,'Base stats'!AR:AR)/1000)^(2/3)+_xlfn.XLOOKUP(B27,'Base stats'!B:B,'Base stats'!BA:BA)/2)+0.5,0.5)</f>
        <v>40.5</v>
      </c>
      <c r="R27" s="7">
        <f>IF(Q27="No","No",MAX(1,MROUND(_xlfn.XLOOKUP(B27,'Base stats'!B:B,'Base stats'!C:C)^0.165,0.05)))</f>
        <v>4.2</v>
      </c>
      <c r="S27" s="13">
        <f>IF(_xlfn.XLOOKUP(_xlfn.XLOOKUP(B27,'Base stats'!B:B,'Base stats'!E:E),Groups!A:A,Groups!P:P)=0,"No",MROUND((LOG10(_xlfn.XLOOKUP(B27,'Base stats'!B:B,'Base stats'!AS:AS))*(AO27^0.5)+(_xlfn.XLOOKUP(B27,'Base stats'!B:B,'Base stats'!AS:AS)/1000)^(2/3)+_xlfn.XLOOKUP(B27,'Base stats'!B:B,'Base stats'!BA:BA))+_xlfn.XLOOKUP(B27,'Base stats'!B:B,'Base stats'!AY:AY)+0.5,0.5))</f>
        <v>47</v>
      </c>
      <c r="T27" s="7">
        <f>IF(S27="No","No",MAX(_xlfn.XLOOKUP(_xlfn.XLOOKUP(B27,'Base stats'!B:B,'Base stats'!E:E),Groups!A:A,Groups!Q:Q),MROUND(_xlfn.XLOOKUP(_xlfn.XLOOKUP(B27,'Base stats'!B:B,'Base stats'!E:E),Groups!A:A,Groups!Q:Q)*_xlfn.XLOOKUP(B27,'Base stats'!B:B,'Base stats'!C:C)^0.165,0.05)))</f>
        <v>3.8000000000000003</v>
      </c>
      <c r="U27" s="7" t="str">
        <f>IF(S27="No","No",_xlfn.XLOOKUP(_xlfn.XLOOKUP(B27,'Base stats'!B:B,'Base stats'!E:E),Groups!A:A,Groups!R:R))</f>
        <v>FrontLeftLeg, FrontRightLeg</v>
      </c>
      <c r="V27" s="7" t="str">
        <f>IF(S27="No","No",_xlfn.XLOOKUP(_xlfn.XLOOKUP(B27,'Base stats'!B:B,'Base stats'!E:E),Groups!A:A,Groups!S:S))</f>
        <v>left foot, right foot</v>
      </c>
      <c r="W27" s="7" t="str">
        <f>IF(S27="No","No",_xlfn.XLOOKUP(_xlfn.XLOOKUP(B27,'Base stats'!B:B,'Base stats'!E:E),Groups!A:A,Groups!T:T))</f>
        <v>Blunt</v>
      </c>
      <c r="X27" s="13">
        <f>IF(_xlfn.XLOOKUP(B27,'Base stats'!B:B,'Base stats'!W:W)="No","No",MROUND((LOG10(_xlfn.XLOOKUP(B27,'Base stats'!B:B,'Base stats'!AU:AU))*(AO27^0.5)+(_xlfn.XLOOKUP(B27,'Base stats'!B:B,'Base stats'!AU:AU)/1000)^(2/3)+_xlfn.XLOOKUP(B27,'Base stats'!B:B,'Base stats'!AZ:AZ))+0.5+IF(_xlfn.XLOOKUP(_xlfn.XLOOKUP(B27,'Base stats'!B:B,'Base stats'!E:E),Groups!A:A,Groups!U:U)&lt;&gt;3,_xlfn.XLOOKUP(B27,'Base stats'!B:B,'Base stats'!BA:BA),0),0.5))</f>
        <v>58.5</v>
      </c>
      <c r="Y27" s="7">
        <f>IF(X27="No","No",MAX(_xlfn.XLOOKUP(_xlfn.XLOOKUP(B27,'Base stats'!B:B,'Base stats'!E:E),Groups!A:A,Groups!V:V),MROUND(_xlfn.XLOOKUP(_xlfn.XLOOKUP(B27,'Base stats'!B:B,'Base stats'!E:E),Groups!A:A,Groups!V:V)*_xlfn.XLOOKUP(B27,'Base stats'!B:B,'Base stats'!C:C)^0.165,0.05)))</f>
        <v>2.5</v>
      </c>
      <c r="Z27" s="7" t="str">
        <f>IF(X27="No","No",_xlfn.XLOOKUP(_xlfn.XLOOKUP(B27,'Base stats'!B:B,'Base stats'!E:E),Groups!A:A,Groups!W:W))</f>
        <v>HeadAttackTool</v>
      </c>
      <c r="AA27" s="7" t="str">
        <f>IF(X27="No","No",_xlfn.XLOOKUP(_xlfn.XLOOKUP(B27,'Base stats'!B:B,'Base stats'!E:E),Groups!A:A,Groups!X:X))</f>
        <v>horn</v>
      </c>
      <c r="AB27" s="7" t="str">
        <f>IF(X27="No","No",_xlfn.XLOOKUP(_xlfn.XLOOKUP(B27,'Base stats'!B:B,'Base stats'!E:E),Groups!A:A,Groups!Y:Y))</f>
        <v>Scratch</v>
      </c>
      <c r="AC27" s="7" t="str">
        <f>_xlfn.XLOOKUP(Animals!B27,'Base stats'!B:B,'Base stats'!X:X)</f>
        <v>False</v>
      </c>
      <c r="AD27" s="13" t="str">
        <f>IF(_xlfn.XLOOKUP(B27,'Base stats'!B:B,'Base stats'!AT:AT)="No","No",MROUND((LOG10(_xlfn.XLOOKUP(B27,'Base stats'!B:B,'Base stats'!AT:AT))*(AO27^0.75)+(_xlfn.XLOOKUP(B27,'Base stats'!B:B,'Base stats'!AT:AT)/1000)^(2/3)+_xlfn.XLOOKUP(B27,'Base stats'!B:B,'Base stats'!AX:AX)+_xlfn.XLOOKUP(B27,'Base stats'!B:B,'Base stats'!BA:BA))+0.5,0.5))</f>
        <v>No</v>
      </c>
      <c r="AE27" s="7" t="str">
        <f>IF(AD27="No","No",MAX(_xlfn.XLOOKUP(_xlfn.XLOOKUP(B27,'Base stats'!B:B,'Base stats'!E:E),Groups!A:A,Groups!Z:Z),MROUND(_xlfn.XLOOKUP(_xlfn.XLOOKUP(B27,'Base stats'!B:B,'Base stats'!E:E),Groups!A:A,Groups!Z:Z)*_xlfn.XLOOKUP(B27,'Base stats'!B:B,'Base stats'!C:C)^0.165,0.05)))</f>
        <v>No</v>
      </c>
      <c r="AF27" s="7" t="str">
        <f>IF(AD27="No","No",_xlfn.XLOOKUP(_xlfn.XLOOKUP(B27,'Base stats'!B:B,'Base stats'!E:E),Groups!A:A,Groups!AA:AA))</f>
        <v>No</v>
      </c>
      <c r="AG27" s="7" t="str">
        <f>IF(AD27="No","No",_xlfn.XLOOKUP(_xlfn.XLOOKUP(B27,'Base stats'!B:B,'Base stats'!E:E),Groups!A:A,Groups!AB:AB))</f>
        <v>No</v>
      </c>
      <c r="AH27" s="7" t="str">
        <f>IF(AD27="No","No",_xlfn.XLOOKUP(_xlfn.XLOOKUP(B27,'Base stats'!B:B,'Base stats'!E:E),Groups!A:A,Groups!AC:AC))</f>
        <v>No</v>
      </c>
      <c r="AI27" s="13" t="str">
        <f>IF(_xlfn.XLOOKUP(_xlfn.XLOOKUP(B27,'Base stats'!B:B,'Base stats'!E:E),Groups!A:A,Groups!AD:AD)=0,"No",MROUND((LOG10(_xlfn.XLOOKUP(B27,'Base stats'!B:B,'Base stats'!AS:AS))*(AO27^0.75)+(_xlfn.XLOOKUP(B27,'Base stats'!B:B,'Base stats'!AS:AS)/1000)^(2/3)+_xlfn.XLOOKUP(B27,'Base stats'!B:B,'Base stats'!AY:AY)+_xlfn.XLOOKUP(B27,'Base stats'!B:B,'Base stats'!BA:BA))+0.5,0.5))</f>
        <v>No</v>
      </c>
      <c r="AJ27" s="7" t="str">
        <f>IF(AI27="No","No",MAX(_xlfn.XLOOKUP(_xlfn.XLOOKUP(B27,'Base stats'!B:B,'Base stats'!E:E),Groups!A:A,Groups!AE:AE),MROUND(_xlfn.XLOOKUP(_xlfn.XLOOKUP(B27,'Base stats'!B:B,'Base stats'!E:E),Groups!A:A,Groups!AE:AE)*IF(_xlfn.XLOOKUP(_xlfn.XLOOKUP(B27,'Base stats'!B:B,'Base stats'!E:E),Groups!A:A,Groups!AJ:AJ)="Photonozoa",0.6,1)*_xlfn.XLOOKUP(B27,'Base stats'!B:B,'Base stats'!C:C)^0.165,0.05)))</f>
        <v>No</v>
      </c>
      <c r="AK27" s="7" t="str">
        <f>IF(AI27="No","No",_xlfn.XLOOKUP(_xlfn.XLOOKUP(B27,'Base stats'!B:B,'Base stats'!E:E),Groups!A:A,Groups!AF:AF))</f>
        <v>No</v>
      </c>
      <c r="AL27" s="7" t="str">
        <f>IF(AI27="No","No",_xlfn.XLOOKUP(_xlfn.XLOOKUP(B27,'Base stats'!B:B,'Base stats'!E:E),Groups!A:A,Groups!AG:AG))</f>
        <v>No</v>
      </c>
      <c r="AM27" s="7" t="str">
        <f>IF(AI27="No","No",_xlfn.XLOOKUP(_xlfn.XLOOKUP(B27,'Base stats'!B:B,'Base stats'!E:E),Groups!A:A,Groups!AH:AH))</f>
        <v>No</v>
      </c>
      <c r="AN27" s="2" t="str">
        <f t="shared" si="0"/>
        <v>No</v>
      </c>
      <c r="AO27" s="2">
        <f>MROUND(IF(AND(_xlfn.XLOOKUP(B27,'Base stats'!B:B,'Base stats'!C:C)&gt;=0.5,_xlfn.XLOOKUP(B27,'Base stats'!B:B,'Base stats'!C:C)&lt;=0.8),
IF(_xlfn.XLOOKUP(B27,'Base stats'!B:B,'Base stats'!C:C)&lt;0.1,0.05,IF(_xlfn.XLOOKUP(B27,'Base stats'!B:B,'Base stats'!C:C)&lt;=70,(_xlfn.XLOOKUP(B27,'Base stats'!B:B,'Base stats'!C:C)/70)^0.426489913056526,IF(_xlfn.XLOOKUP(B27,'Base stats'!B:B,'Base stats'!C:C)&lt;=400,(_xlfn.XLOOKUP(B27,'Base stats'!B:B,'Base stats'!C:C)/70)^0.572811455315093,IF(_xlfn.XLOOKUP(B27,'Base stats'!B:B,'Base stats'!C:C)&lt;=2000,2.71391647193063*(_xlfn.XLOOKUP(B27,'Base stats'!B:B,'Base stats'!C:C)/400)^0.252459582904293,3.74314280240376*(_xlfn.XLOOKUP(B27,'Base stats'!B:B,'Base stats'!C:C)/2000)^0.357012633876913)))),
IF(_xlfn.XLOOKUP(B27,'Base stats'!B:B,'Base stats'!C:C)&lt;0.1,0.05,IF(_xlfn.XLOOKUP(B27,'Base stats'!B:B,'Base stats'!C:C)&lt;0.4,0.1,IF(_xlfn.XLOOKUP(B27,'Base stats'!B:B,'Base stats'!C:C)&lt;=70,(_xlfn.XLOOKUP(B27,'Base stats'!B:B,'Base stats'!C:C)/70)^0.445823913056526,IF(_xlfn.XLOOKUP(B27,'Base stats'!B:B,'Base stats'!C:C)&lt;=400,(_xlfn.XLOOKUP(B27,'Base stats'!B:B,'Base stats'!C:C)/70)^0.572811455315093,IF(_xlfn.XLOOKUP(B27,'Base stats'!B:B,'Base stats'!C:C)&lt;=2000,2.71391647193063*(_xlfn.XLOOKUP(B27,'Base stats'!B:B,'Base stats'!C:C)/400)^0.252459582904293,3.74314280240376*(_xlfn.XLOOKUP(B27,'Base stats'!B:B,'Base stats'!C:C)/2000)^0.357012633876913)))))),
IF(_xlfn.XLOOKUP(B27,'Base stats'!B:B,'Base stats'!C:C)&lt;0.1,0.05,IF(_xlfn.XLOOKUP(B27,'Base stats'!B:B,'Base stats'!C:C)&lt;=100,0.05,IF(_xlfn.XLOOKUP(B27,'Base stats'!B:B,'Base stats'!C:C)&lt;=250,0.1,IF(_xlfn.XLOOKUP(B27,'Base stats'!B:B,'Base stats'!C:C)&lt;=4000,0.25,0.5)))))</f>
        <v>5.5</v>
      </c>
      <c r="AP27" s="8">
        <f>MROUND(AO27*_xlfn.XLOOKUP(_xlfn.XLOOKUP(B27,'Base stats'!B:B,'Base stats'!E:E),Groups!A:A,Groups!AI:AI)*_xlfn.XLOOKUP(B27,'Base stats'!B:B,'Base stats'!Z:Z),0.05)</f>
        <v>8.25</v>
      </c>
      <c r="AQ27" s="8">
        <f>MAX(0.01,MROUND(IF(CC27="True",0.196*(AO27*100*1000)^0.889,IF(_xlfn.XLOOKUP(_xlfn.XLOOKUP(B27,'Base stats'!B:B,'Base stats'!E:E),Groups!A:A,Groups!AJ:AJ)="Bird",10.5*(AO27*100*1000)^0.681,4.82*(AO27*100*1000)^0.734))/(4.82*(1*100*1000)^0.734)/IF(AO27&lt;3.5,2,IF(AO27=3.5,1.5,1.25))*(1+0.132282374779864/(AO27^0.994035016789033+0.00905238001496948)),0.05))</f>
        <v>2.85</v>
      </c>
      <c r="AR27" s="9">
        <f>IFERROR(MROUND(_xlfn.XLOOKUP(B27,'Base stats'!B:B,'Base stats'!H:H)/IF(_xlfn.XLOOKUP(B27,'Base stats'!B:B,'Base stats'!I:I)&lt;&gt;1,(122.5/70),1.2),IF(_xlfn.XLOOKUP(B27,'Base stats'!B:B,'Base stats'!H:H)&gt;=30,5,IF(_xlfn.XLOOKUP(B27,'Base stats'!B:B,'Base stats'!H:H)&gt;=15,3,IF(_xlfn.XLOOKUP(B27,'Base stats'!B:B,'Base stats'!H:H)&gt;=10,2,1)))),"Immortal")</f>
        <v>220</v>
      </c>
      <c r="AS27" s="35">
        <f>IFERROR(IF(OR(_xlfn.XLOOKUP(B27,'Base stats'!B:B,'Base stats'!F:F)="Atypical reproduction",_xlfn.XLOOKUP(B27,'Base stats'!B:B,'Base stats'!F:F)="Lay eggs"),"Lay eggs",MIN(20,MAX(5.5,ROUND(((_xlfn.XLOOKUP(B27,'Base stats'!B:B,'Base stats'!F:F)-25)*(14.5/615) + 5.5)*2,0)/2))),"Unknown")</f>
        <v>20</v>
      </c>
      <c r="AT27" s="8">
        <f>IF(_xlfn.XLOOKUP(B27,'Base stats'!B:B,'Base stats'!G:G)="Atypical reproduction","No",IFERROR(MAX(IF(_xlfn.XLOOKUP(B27,'Base stats'!B:B,'Base stats'!G:G)&lt;0.5,0.2,0.3),MROUND(_xlfn.XLOOKUP(B27,'Base stats'!B:B,'Base stats'!G:G)/(365/60),0.2)),"Unknown"))</f>
        <v>2</v>
      </c>
      <c r="AU27" s="8">
        <f t="shared" si="1"/>
        <v>1</v>
      </c>
      <c r="AV27" s="8">
        <f>IFERROR(IFERROR(MROUND(_xlfn.XLOOKUP(B27,'Base stats'!B:B,'Base stats'!J:J),0.1),"Lay eggs"),"Cannot breed")</f>
        <v>1</v>
      </c>
      <c r="AW27" s="2" t="str">
        <f t="shared" si="2"/>
        <v>true</v>
      </c>
      <c r="AX27" s="2" t="str">
        <f>IF(_xlfn.XLOOKUP(_xlfn.XLOOKUP(Animals!B27,'Base stats'!B:B,'Base stats'!E:E),Groups!A:A,Groups!AK:AK)=1,"true","false")</f>
        <v>false</v>
      </c>
      <c r="AY27" s="25" t="str">
        <f>IF(_xlfn.XLOOKUP(B27,'Base stats'!B:B,'Base stats'!Y:Y)="Liquor","Liquor, CarnivoreAnimalStrict",IF(AND(_xlfn.XLOOKUP(B27,'Base stats'!B:B,'Base stats'!Y:Y)="Carnivore",_xlfn.XLOOKUP(_xlfn.XLOOKUP(B27,'Base stats'!B:B,'Base stats'!E:E),Groups!A:A,Groups!AJ:AJ)="Photonozoa"),"CarnivoreAnimalStrict, OvivoreAnimal",IF(_xlfn.XLOOKUP(B27,'Base stats'!B:B,'Base stats'!Y:Y)="Carnivore","CarnivoreAnimal, OvivoreAnimal",IF(_xlfn.XLOOKUP(B27,'Base stats'!B:B,'Base stats'!Y:Y)="Dendrovore","VegetarianRoughAnimal, DendrovoreAnimal",IF(_xlfn.XLOOKUP(B27,'Base stats'!B:B,'Base stats'!Y:Y)="Herbivore","VegetarianRoughAnimal",IF(_xlfn.XLOOKUP(B27,'Base stats'!B:B,'Base stats'!Y:Y)="OmnivoreRough","OmnivoreRoughAnimal, OvivoreAnimal","OmnivoreAnimal, OvivoreAnimal"))))))</f>
        <v>VegetarianRoughAnimal, DendrovoreAnimal</v>
      </c>
      <c r="AZ27" s="2" t="str">
        <f>IF(_xlfn.XLOOKUP(_xlfn.XLOOKUP(B27,'Base stats'!B:B,'Base stats'!E:E),Groups!A:A,Groups!D:D)=1,MROUND((1-J27)*5+1,2)*IF(J27&lt;=0.4,2,1),"No")</f>
        <v>No</v>
      </c>
      <c r="BA27" s="2" t="str">
        <f>IF(AND(_xlfn.XLOOKUP(B27,'Base stats'!B:B,'Base stats'!AH:AH)="&lt;li&gt;Seal&lt;/li&gt;",G27="Odyssey"),"&lt;li&gt;AEXP_Seal&lt;/li&gt;",_xlfn.XLOOKUP(B27,'Base stats'!B:B,'Base stats'!AH:AH))</f>
        <v>No</v>
      </c>
      <c r="BB27" s="2" t="str">
        <f>_xlfn.XLOOKUP(B27,'Base stats'!B:B,'Base stats'!AG:AG)</f>
        <v>Leather_Thrumbo</v>
      </c>
      <c r="BC27" s="23" t="str">
        <f>_xlfn.XLOOKUP(_xlfn.XLOOKUP(B27,'Base stats'!B:B,'Base stats'!E:E),Groups!A:A,Groups!AL:AL)</f>
        <v>QuadrupedAnimalWithHoovesAndHorn</v>
      </c>
      <c r="BD27" s="23">
        <f>MIN(1,MROUND(IF(AND(AO27&lt;0.5,_xlfn.XLOOKUP(B27,'Base stats'!B:B,'Base stats'!AA:AA)=0),0,IF(OR(_xlfn.XLOOKUP(Animals!B27,'Base stats'!B:B,'Base stats'!O:O)=2,_xlfn.XLOOKUP(_xlfn.XLOOKUP(B27,'Base stats'!B:B,'Base stats'!E:E),Groups!A:A,Groups!AN:AN)=0),0,_xlfn.XLOOKUP(_xlfn.XLOOKUP(B27,'Base stats'!B:B,'Base stats'!E:E),Groups!A:A,Groups!AN:AN)/IF(_xlfn.XLOOKUP(Animals!B27,'Base stats'!B:B,'Base stats'!O:O)=1,2,1)))+_xlfn.XLOOKUP(B27,'Base stats'!B:B,'Base stats'!AC:AC),0.005))</f>
        <v>0</v>
      </c>
      <c r="BE27" s="23">
        <f>MIN(1,MROUND(IF(AND(AO27&lt;0.5,_xlfn.XLOOKUP(B27,'Base stats'!B:B,'Base stats'!AA:AA)=0),0,IF(_xlfn.XLOOKUP(_xlfn.XLOOKUP(B27,'Base stats'!B:B,'Base stats'!E:E),Groups!A:A,Groups!AO:AO)=0,0,_xlfn.XLOOKUP(_xlfn.XLOOKUP(B27,'Base stats'!B:B,'Base stats'!E:E),Groups!A:A,Groups!AO:AO)/IF(_xlfn.XLOOKUP(Animals!B27,'Base stats'!B:B,'Base stats'!O:O)=2,3,1)))+_xlfn.XLOOKUP(B27,'Base stats'!B:B,'Base stats'!AD:AD),0.005))</f>
        <v>1</v>
      </c>
      <c r="BF27" s="2" t="str">
        <f>IF(J27&gt;0.3,"No",_xlfn.XLOOKUP(_xlfn.XLOOKUP(Animals!B27,'Base stats'!B:B,'Base stats'!E:E),Groups!A:A,Groups!AP:AP))</f>
        <v>No</v>
      </c>
      <c r="BG27" s="2" t="str">
        <f>IF(AND(J27&lt;=0.65,_xlfn.XLOOKUP(_xlfn.XLOOKUP(Animals!B27,'Base stats'!B:B,'Base stats'!E:E),Groups!A:A,Groups!AP:AP)&lt;&gt;"No",_xlfn.XLOOKUP(_xlfn.XLOOKUP(B27,'Base stats'!B:B,'Base stats'!E:E),Groups!A:A,Groups!D:D)=0),MROUND((80/3)*IF(_xlfn.XLOOKUP(B27,'Base stats'!B:B,'Base stats'!O:O)=2,0.2,AO27) + 24*(1-IF(BF27="No",0,BF27)) + 16/3, 12),"No")</f>
        <v>No</v>
      </c>
      <c r="BH27" s="2">
        <f>IF(AND(_xlfn.XLOOKUP(_xlfn.XLOOKUP(B27,'Base stats'!B:B,'Base stats'!E:E),Groups!A:A,Groups!AQ:AQ)=1,AO27&lt;=0.35),8,12)</f>
        <v>12</v>
      </c>
      <c r="BI27" s="2" t="str">
        <f>IF(_xlfn.XLOOKUP(_xlfn.XLOOKUP(B27,'Base stats'!B:B,'Base stats'!E:E),Groups!A:A,Groups!D:D)=0,_xlfn.XLOOKUP(_xlfn.XLOOKUP(B27,'Base stats'!B:B,'Base stats'!E:E),Groups!A:A,Groups!AR:AR),"None")</f>
        <v>Advanced</v>
      </c>
      <c r="BJ27" s="2" t="str">
        <f>IF(AND(_xlfn.XLOOKUP(_xlfn.XLOOKUP(B27,'Base stats'!B:B,'Base stats'!E:E),Groups!A:A,Groups!AS:AS)=1,OR(_xlfn.XLOOKUP(B27,'Base stats'!B:B,'Base stats'!Y:Y)="Carnivore",_xlfn.XLOOKUP(B27,'Base stats'!B:B,'Base stats'!Y:Y)="Omnivore")),"true","false")</f>
        <v>false</v>
      </c>
      <c r="BK27" s="2" t="str">
        <f>IF(BJ27="true",MROUND(IF(AND(AO27&gt;0.5,OR(_xlfn.XLOOKUP(_xlfn.XLOOKUP(B27,'Base stats'!B:B,'Base stats'!E:E),Groups!A:A,Groups!AJ:AJ)="Photonozoa",_xlfn.XLOOKUP(_xlfn.XLOOKUP(B27,'Base stats'!B:B,'Base stats'!E:E),Groups!A:A,Groups!AJ:AJ)="Mammal")),Animals!AO27*1.75*IF(AW27="true",1.5,1),IF(AO27&lt;0.5,Animals!AO27*0.5,Animals!AO27)),IF(AO27&gt;2,0.5,IF(AO27&gt;0.5,0.25,0.1))),"No")</f>
        <v>No</v>
      </c>
      <c r="BL27" s="2">
        <f t="shared" si="3"/>
        <v>1</v>
      </c>
      <c r="BM27" s="25" t="str">
        <f>IF(_xlfn.XLOOKUP(B27,'Base stats'!B:B,'Base stats'!AN:AN)="Standard","No",MROUND((_xlfn.XLOOKUP(B27,'Base stats'!B:B,'Base stats'!AN:AN)/3.6)/I27,0.1))</f>
        <v>No</v>
      </c>
      <c r="BN27" s="25" t="str">
        <f t="shared" si="4"/>
        <v>false</v>
      </c>
      <c r="BO27" s="25" t="str">
        <f>IF(AND(OR(_xlfn.XLOOKUP(B27,'Base stats'!B:B,'Base stats'!Y:Y)="Carnivore",_xlfn.XLOOKUP(B27,'Base stats'!B:B,'Base stats'!Y:Y)="Omnivore",_xlfn.XLOOKUP(B27,'Base stats'!B:B,'Base stats'!Y:Y)="OmnivoreRough"),_xlfn.XLOOKUP(_xlfn.XLOOKUP(B27,'Base stats'!B:B,'Base stats'!E:E),Groups!A:A,Groups!AT:AT)=1),"true","false")</f>
        <v>false</v>
      </c>
      <c r="BP27" s="25" t="str" cm="1">
        <f t="array" ref="BP27">IF(
  _xlfn.TEXTJOIN(", ",TRUE,
    IF(AND(BJ27="true",AO27&gt;0.5,BI27&lt;&gt;"None"),"AttackTarget",""),
    IF(AND(_xlfn.XLOOKUP(_xlfn.XLOOKUP(B27,'Base stats'!B:B,'Base stats'!E:E),Groups!A:A,Groups!AJ:AJ="Mammal"),OR(_xlfn.XLOOKUP(B27,'Base stats'!B:B,'Base stats'!Y:Y)="Omnivore",_xlfn.XLOOKUP(B27,'Base stats'!B:B,'Base stats'!Y:Y)="OmnivoreRough")),"Forage",""),
    IF(BG27&lt;=36,"Comfort",""),
    IF(_xlfn.XLOOKUP(B27,'Base stats'!B:B,'Base stats'!AE:AE)&lt;&gt;"No",_xlfn.XLOOKUP(B27,'Base stats'!B:B,'Base stats'!AE:AE),"")
  ) = "",
  "No",
  _xlfn.TEXTJOIN(", ",TRUE,
    IF(AND(BJ27="true",AO27&gt;0.5,BI27&lt;&gt;"None"),"AttackTarget",""),
    IF(AND(_xlfn.XLOOKUP(_xlfn.XLOOKUP(B27,'Base stats'!B:B,'Base stats'!E:E),Groups!A:A,Groups!AJ:AJ="Mammal"),OR(_xlfn.XLOOKUP(B27,'Base stats'!B:B,'Base stats'!Y:Y)="Omnivore",_xlfn.XLOOKUP(B27,'Base stats'!B:B,'Base stats'!Y:Y)="OmnivoreRough")),"Forage",""),
    IF(BG27&lt;=36,"Comfort",""),
    IF(_xlfn.XLOOKUP(B27,'Base stats'!B:B,'Base stats'!AE:AE)&lt;&gt;"No",_xlfn.XLOOKUP(B27,'Base stats'!B:B,'Base stats'!AE:AE),"")
  )
)</f>
        <v>ThrumboRoar</v>
      </c>
      <c r="BQ27" s="25" t="str">
        <f>IF(
   AND(
      'Base stats'!AN27="Standard",_xlfn.XLOOKUP(_xlfn.XLOOKUP(B27,'Base stats'!B:B,'Base stats'!E:E),Groups!A:A,Groups!AU:AU)=0,
      OR(
      BO27="True"
      )
   ),
   10,
   IF(
       OR(BM27&lt;&gt;"No",_xlfn.XLOOKUP(_xlfn.XLOOKUP(B27,'Base stats'!B:B,'Base stats'!E:E),Groups!A:A,Groups!AU:AU)=1),
      1,
      "No"
   )
)</f>
        <v>No</v>
      </c>
      <c r="BR27" s="9">
        <f>MROUND((1 + ((0.2*IF(OR(Q27="No",R27="No",R27=0),0,Q27/R27)
+IF(OR(V27="No",S27="No",T27="No"),0,S27/T27*(LEN(V27)-LEN(SUBSTITUTE(V27,",",""))+1))
+IF(OR(X27="No",Y27="No"),0,X27/Y27)
+IF(OR(AD27="No",AE27="No"),0,AD27/AE27)
+IF(OR(AL27="No",AI27="No",AJ27="No"),0,AI27/AJ27*(LEN(AL27)-LEN(SUBSTITUTE(AL27,",",""))+1))
)/(0.2*IF(OR(Q27="No",R27="No",R27=0),0,1)
+IF(OR(V27="No",S27="No",T27="No"),0,LEN(V27)-LEN(SUBSTITUTE(V27,",",""))+1)
+IF(OR(X27="No",Y27="No"),0,1)
+IF(OR(AD27="No",AE27="No"),0,1)
+IF(OR(AL27="No",AI27="No",AJ27="No"),0,LEN(AL27)-LEN(SUBSTITUTE(AL27,",",""))+1))*62%)* 2)*(1 + (AP27 / (IF(_xlfn.XLOOKUP(_xlfn.XLOOKUP(B27,'Base stats'!B:B,'Base stats'!E:E),Groups!A:A,Groups!AJ:AJ)="Photonozoa",0.3,1)) + _xlfn.XLOOKUP(B27,'Base stats'!B:B,'Base stats'!AV:AV) * 1.8) * 2) * 2.5 + 10 + I27 * 2,5)+IF(_xlfn.XLOOKUP(B27,'Base stats'!B:B,'Base stats'!AK:AK)=1,50,0)</f>
        <v>1095</v>
      </c>
      <c r="BS27" s="8">
        <f t="shared" si="5"/>
        <v>3.4000000000000004</v>
      </c>
      <c r="BT27" s="8" t="str">
        <f>_xlfn.XLOOKUP(B27,'Base stats'!B:B,'Base stats'!AF:AF)</f>
        <v>1~6</v>
      </c>
      <c r="BU27" s="2" t="str">
        <f>IF(AND(J27&lt;=0.95,OR(_xlfn.XLOOKUP(B27,'Base stats'!B:B,'Base stats'!AK:AK)=1,_xlfn.XLOOKUP(B27,'Base stats'!B:B,'Base stats'!Y:Y)="Carnivore",_xlfn.XLOOKUP(B27,'Base stats'!B:B,'Base stats'!Y:Y)="Omnivore",BE27&gt;0.1)),"true","false")</f>
        <v>false</v>
      </c>
      <c r="BV27" s="2" t="str">
        <f>IF(_xlfn.XLOOKUP(B27,'Base stats'!B:B,'Base stats'!AI:AI)=1,"true","false")</f>
        <v>false</v>
      </c>
      <c r="BW27" s="25" t="str">
        <f>IF(E27="BaseInsect","AnimalInsect",
IF(J27&gt;0.95,"AnimalExotic",
_xlfn.TEXTJOIN(", ",TRUE,
IF(OR(_xlfn.XLOOKUP(B27,'Base stats'!B:B,'Base stats'!AM:AM)=1,AND(_xlfn.XLOOKUP(B27,'Base stats'!B:B,'Base stats'!O:O)=0,_xlfn.XLOOKUP(_xlfn.XLOOKUP(B27,'Base stats'!B:B,'Base stats'!E:E),Groups!A:A,Groups!B:B)&gt;0)),"AnimalUncommon","AnimalCommon"),
IF(AND(_xlfn.XLOOKUP(B27,'Base stats'!B:B,'Base stats'!O:O)=2,_xlfn.XLOOKUP(_xlfn.XLOOKUP(B27,'Base stats'!B:B,'Base stats'!E:E),Groups!A:A,Groups!D:D)=0),"AnimalPet",IF(AND(_xlfn.XLOOKUP(B27,'Base stats'!B:B,'Base stats'!O:O)&lt;&gt;0,_xlfn.XLOOKUP(_xlfn.XLOOKUP(B27,'Base stats'!B:B,'Base stats'!E:E),Groups!A:A,Groups!D:D)&lt;&gt;0),"AnimalFarm","")),
IF(OR(_xlfn.XLOOKUP(B27,'Base stats'!B:B,'Base stats'!AK:AK)=1,AND(BI27&lt;&gt;"None",BR27&gt;=60),ISNUMBER(SEARCH("Attack target",BP27))),"AnimalFighter","")
)))</f>
        <v>AnimalExotic</v>
      </c>
      <c r="BX27" s="25" t="str">
        <f>IF(G27="None",TRIM(
SUBSTITUTE(
IF(COUNTIF(Biomes!B$2:B$259,"="&amp;$C27)&gt;0,Biomes!B$1&amp;", ","")&amp;
IF(COUNTIF(Biomes!C$2:C$259,"="&amp;$C27)&gt;0,Biomes!C$1&amp;", ","")&amp;
IF(COUNTIF(Biomes!D$2:D$259,"="&amp;$C27)&gt;0,Biomes!D$1&amp;", ","")&amp;
IF(COUNTIF(Biomes!F$2:F$259,"="&amp;$C27)&gt;0,Biomes!F$1&amp;", ","")&amp;
IF(COUNTIF(Biomes!G$2:G$259,"="&amp;$C27)&gt;0,Biomes!G$1&amp;", ","")&amp;
IF(COUNTIF(Biomes!H$2:H$259,"="&amp;$C27)&gt;0,Biomes!H$1&amp;", ","")&amp;
IF(COUNTIF(Biomes!I$2:I$259,"="&amp;$C27)&gt;0,Biomes!I$1&amp;", ","")&amp;
IF(COUNTIF(Biomes!J$2:J$259,"="&amp;$C27)&gt;0,Biomes!J$1&amp;", ","")&amp;
IF(COUNTIF(Biomes!M$2:M$259,"="&amp;$C27)&gt;0,Biomes!M$1&amp;", ","")&amp;
IF(COUNTIF(Biomes!N$2:N$259,"="&amp;$C27)&gt;0,Biomes!N$1&amp;", ","")&amp;
IF(COUNTIF(Biomes!O$2:O$259,"="&amp;$C27)&gt;0,Biomes!O$1&amp;", ","")&amp;
IF(COUNTIF(Biomes!P$2:P$259,"="&amp;$C27)&gt;0,Biomes!P$1&amp;", ","")&amp;
IF(COUNTIF(Biomes!K$2:K$259,"="&amp;$C27)&gt;0,Biomes!K$1&amp;", ","")&amp;
IF(COUNTIF(Biomes!Q$3:Q$259,"="&amp;$C27)&gt;0,Biomes!Q$1&amp;", ","")&amp;
IF(COUNTIF(Biomes!L$2:L$259,"="&amp;$C27)&gt;0,Biomes!L$1&amp;", ","")&amp;
IF(COUNTIF(Biomes!E$2:E$259,"="&amp;$C27)&gt;0,Biomes!E$1&amp;", ","")&amp;IF(COUNTIF(Biomes!S$2:S$259,"="&amp;$C27)&gt;0,Biomes!S$1&amp;", ","")&amp;
IF(COUNTIF(Biomes!R$2:R$259,"="&amp;$C27)&gt;0,Biomes!R$1&amp;", ",""),", ","")
),_xlfn.XLOOKUP(B27,B:B,BX:BX))</f>
        <v/>
      </c>
      <c r="BY27" s="25" t="str">
        <f>IF(_xlfn.XLOOKUP(B27,'Base stats'!B:B,'Base stats'!AJ:AJ)=1,"true","false")</f>
        <v>false</v>
      </c>
      <c r="BZ27" s="25">
        <f>IF(_xlfn.XLOOKUP(B27,'Base stats'!B:B,'Base stats'!N:N)=1,"No",MAX(0.001,MIN(MROUND(IF(AND(BJ27="True",CC27="False"),POWER(10,3.47*LOG10(_xlfn.XLOOKUP(B27,'Base stats'!B:B,'Base stats'!C:C)*1000)^-0.96),POWER(10,4.15*LOG10(_xlfn.XLOOKUP(B27,'Base stats'!B:B,'Base stats'!C:C)*1000)^-0.73))*IF(_xlfn.XLOOKUP(B27,'Base stats'!B:B,'Base stats'!AK:AK)=1,0.5,1)*IF(_xlfn.XLOOKUP(B27,'Base stats'!B:B,'Base stats'!AM:AM)=1,0.1,1)/100,IF(_xlfn.XLOOKUP(B27,'Base stats'!B:B,'Base stats'!AM:AM)=1,0.001,0.025)),0.5)))</f>
        <v>1.0999999999999999E-2</v>
      </c>
      <c r="CA27" s="25">
        <f>IF(P27="Standard","No",MAX(0.001,MIN(MROUND(IF(AND(BJ27="True",CC27="False"),POWER(10,3.47*LOG10(_xlfn.XLOOKUP(B27,'Base stats'!B:B,'Base stats'!C:C)*1000)^-0.96),POWER(10,4.15*LOG10(_xlfn.XLOOKUP(B27,'Base stats'!B:B,'Base stats'!C:C)*1000)^-0.73))*IF(_xlfn.XLOOKUP(B27,'Base stats'!B:B,'Base stats'!AM:AM)=1,0.1,1)*_xlfn.XLOOKUP(B27,'Base stats'!B:B,'Base stats'!R:R)/100,IF(_xlfn.XLOOKUP(B27,'Base stats'!B:B,'Base stats'!AM:AM)=1,0.001,0.025)),0.5)))</f>
        <v>1.0999999999999999E-2</v>
      </c>
      <c r="CB27" s="25" t="str">
        <f>IF(_xlfn.XLOOKUP(_xlfn.XLOOKUP(B27,'Base stats'!B:B,'Base stats'!E:E),Groups!A:A,Groups!AJ:AJ)="Mammal","True","False")</f>
        <v>True</v>
      </c>
      <c r="CC27" s="25" t="str">
        <f>IF(OR(_xlfn.XLOOKUP(_xlfn.XLOOKUP(B27,'Base stats'!B:B,'Base stats'!E:E),Groups!A:A,Groups!AJ:AJ)="Reptile",_xlfn.XLOOKUP(_xlfn.XLOOKUP(B27,'Base stats'!B:B,'Base stats'!E:E),Groups!A:A,Groups!AJ:AJ)="Amphibian",_xlfn.XLOOKUP(_xlfn.XLOOKUP(B27,'Base stats'!B:B,'Base stats'!E:E),Groups!A:A,Groups!AJ:AJ)="Invertebrate"),"True","False")</f>
        <v>False</v>
      </c>
      <c r="CD27" s="25" t="str">
        <f t="shared" si="6"/>
        <v>True</v>
      </c>
      <c r="CE27" s="25" t="str">
        <f>IF(_xlfn.XLOOKUP(_xlfn.XLOOKUP(B27,'Base stats'!B:B,'Base stats'!E:E),Groups!A:A,Groups!AX:AX),"True","False")</f>
        <v>False</v>
      </c>
      <c r="CF27" s="25" t="str">
        <f>IF(_xlfn.XLOOKUP(_xlfn.XLOOKUP(B27,'Base stats'!B:B,'Base stats'!E:E),Groups!A:A,Groups!AY:AY),"True","False")</f>
        <v>False</v>
      </c>
      <c r="CG27" s="25" t="str">
        <f>IF(_xlfn.XLOOKUP(_xlfn.XLOOKUP(B27,'Base stats'!B:B,'Base stats'!E:E),Groups!A:A,Groups!AW:AW),"True","False")</f>
        <v>True</v>
      </c>
      <c r="CH27" s="25" t="str">
        <f>IF(
OR(
_xlfn.XLOOKUP(_xlfn.XLOOKUP(B27,'Base stats'!B:B,'Base stats'!E:E),Groups!A:A,Groups!AZ:AZ)=0,
AND(
_xlfn.XLOOKUP(B27,'Base stats'!B:B,'Base stats'!Y:Y)&lt;&gt;"Carnivore",
_xlfn.XLOOKUP(B27,'Base stats'!B:B,'Base stats'!Y:Y)&lt;&gt;"Omnivore",
_xlfn.XLOOKUP(B27,'Base stats'!B:B,'Base stats'!Y:Y)&lt;&gt;"OmnivoreRough"
)
),
"No",
IF(
_xlfn.XLOOKUP(_xlfn.XLOOKUP(B27,'Base stats'!B:B,'Base stats'!E:E),Groups!A:A,Groups!AZ:AZ)=1,
"Flesh",
IF(
_xlfn.XLOOKUP(_xlfn.XLOOKUP(B27,'Base stats'!B:B,'Base stats'!E:E),Groups!A:A,Groups!AZ:AZ)=2,
"Bone",
""
)
)
)</f>
        <v>No</v>
      </c>
      <c r="CI27" s="25" t="str">
        <f>IF(_xlfn.XLOOKUP(_xlfn.XLOOKUP(B27,'Base stats'!B:B,'Base stats'!E:E),Groups!A:A,Groups!BB:BB),"True","False")</f>
        <v>True</v>
      </c>
      <c r="CJ27" s="25" t="str">
        <f>IF(_xlfn.XLOOKUP(_xlfn.XLOOKUP(B27,'Base stats'!B:B,'Base stats'!E:E),Groups!A:A,Groups!BA:BA),"True","False")</f>
        <v>False</v>
      </c>
      <c r="CO27" s="16"/>
    </row>
    <row r="28" spans="1:93" ht="16.5" thickTop="1" thickBot="1" x14ac:dyDescent="0.3">
      <c r="A28" s="26" t="str">
        <f>_xlfn.XLOOKUP(B28,'Base stats'!B:B,'Base stats'!A:A)</f>
        <v>Megasloth</v>
      </c>
      <c r="B28" s="6" t="s">
        <v>165</v>
      </c>
      <c r="C28" s="28" t="s">
        <v>703</v>
      </c>
      <c r="D28" s="28" t="s">
        <v>45</v>
      </c>
      <c r="E28" s="28" t="s">
        <v>673</v>
      </c>
      <c r="F28" s="28" t="s">
        <v>673</v>
      </c>
      <c r="G28" s="28" t="s">
        <v>673</v>
      </c>
      <c r="H28" s="2">
        <f>MROUND((
  (IF(AND(_xlfn.XLOOKUP(B28,'Base stats'!B:B,'Base stats'!AL:AL)=0,BI28="None",_xlfn.XLOOKUP(_xlfn.XLOOKUP(B28,'Base stats'!B:B,'Base stats'!E:E),Groups!A:A,Groups!B:B)=0), (18 + BR28 * 2.7) * 0.5,
    IF(AND(_xlfn.XLOOKUP(B28,'Base stats'!B:B,'Base stats'!AL:AL)=0,OR(AO28&lt;0.55,AND(BI28="Intermediate",_xlfn.XLOOKUP(_xlfn.XLOOKUP(B28,'Base stats'!B:B,'Base stats'!E:E),Groups!A:A,Groups!B:B)&lt;2))), (18 + BR28 * 2.7),
      IF(OR(BI28="Advanced",_xlfn.XLOOKUP(B28,'Base stats'!B:B,'Base stats'!AL:AL)=1,_xlfn.XLOOKUP(_xlfn.XLOOKUP(B28,'Base stats'!B:B,'Base stats'!E:E),Groups!A:A,Groups!B:B)=2), (18 + BR28 * 2.7) + 250, (18 + BR28 * 2.7))
    )
  ))
  + AO28 * 80
  + IF(COUNTIF(EggMilk!K$2:K$998, A28) &gt; 0, 125, 0)
  + IF(COUNTIF(EggMilk!P$2:P$998, A28) &gt; 0, 90, 0)
  + IF(COUNTIF(EggMilk!A$2:A$998, A28) &gt; 0, 90, 0)
)
* (0.8 + 0.4 * J28)
* 0.75,25)</f>
        <v>2125</v>
      </c>
      <c r="I28" s="2">
        <f>MROUND(ROUNDDOWN(_xlfn.XLOOKUP(B28,'Base stats'!B:B,'Base stats'!L:L)/3.6/(23.3/11),1),0.5)</f>
        <v>3.5</v>
      </c>
      <c r="J28" s="2">
        <f>IF(OR(_xlfn.XLOOKUP(B28,'Base stats'!B:B,'Base stats'!AB:AB)=1,_xlfn.XLOOKUP(_xlfn.XLOOKUP(B28,'Base stats'!B:B,'Base stats'!E:E),Groups!A:A,Groups!C:C)="Untamable"),1,IF(_xlfn.XLOOKUP(B28,'Base stats'!B:B,'Base stats'!AL:AL)=1,0.99,MIN(MROUND((1-0.6282*EXP(-0.459*AO28))*_xlfn.XLOOKUP(_xlfn.XLOOKUP(B28,'Base stats'!B:B,'Base stats'!E:E),Groups!A:A,Groups!C:C)*IF(_xlfn.XLOOKUP(B28,'Base stats'!B:B,'Base stats'!O:O)=1,0.5,IF(_xlfn.XLOOKUP(B28,'Base stats'!B:B,'Base stats'!O:O)=2,0,1)),0.05),IF(AO28&gt;3.5,0.985,0.95))))</f>
        <v>0.95000000000000007</v>
      </c>
      <c r="K28" s="2">
        <f>ROUNDUP(AO28*_xlfn.XLOOKUP(_xlfn.XLOOKUP(B28,'Base stats'!B:B,'Base stats'!E:E),Groups!A:A,Groups!E:E),0)</f>
        <v>24</v>
      </c>
      <c r="L28" s="2">
        <f>IF(OR(_xlfn.XLOOKUP(_xlfn.XLOOKUP(B28,'Base stats'!B:B,'Base stats'!E:E),Groups!A:A,Groups!F:F)=2,ISNUMBER(SEARCH("SeaIce",BX28)),ISNUMBER(SEARCH("IceSheet",BX28))),-50,IF(OR(ISNUMBER(SEARCH("GlacialPlain",BX28)),ISNUMBER(SEARCH("Tundra",BX28))),-40,IF(OR(ISNUMBER(SEARCH("Alpine",BX28)),ISNUMBER(SEARCH("BorealForest",BX28)),ISNUMBER(SEARCH("ColdBog",BX28))),-30,IF(OR(ISNUMBER(SEARCH("TemperateForest",BX28)),ISNUMBER(SEARCH("TemperateSwamp",BX28))),-20,IF(_xlfn.XLOOKUP(_xlfn.XLOOKUP(B28,'Base stats'!B:B,'Base stats'!E:E),Groups!A:A,Groups!F:F)=1,-15,IF(OR(ISNUMBER(SEARCH("Desert",BX28)),ISNUMBER(SEARCH("ExtremeDesert",BX28))),-10,IF(OR(ISNUMBER(SEARCH("Grasslands",BX28)),ISNUMBER(SEARCH("TropicalRainforest",BX28)),ISNUMBER(SEARCH("TropicalSwamp",BX28))),10,0)))))))-IF(CC28="False",MIN(IFERROR(MAX(MROUND(LOG10(_xlfn.XLOOKUP(B28,'Base stats'!B:B,'Base stats'!C:C)^(2/3))*10,5),5),5),30))-_xlfn.XLOOKUP(B28,'Base stats'!B:B,'Base stats'!P:P)+IF(CC28="True",5,0)</f>
        <v>-65</v>
      </c>
      <c r="M28" s="2">
        <f>IF(OR(_xlfn.XLOOKUP(_xlfn.XLOOKUP(B28,'Base stats'!B:B,'Base stats'!E:E),Groups!A:A,Groups!G:G)=2,ISNUMBER(SEARCH("Desert",BX28)),ISNUMBER(SEARCH("ExtremeDesert",BX28)),ISNUMBER(SEARCH("LavaField",BX28))),50,IF(ISNUMBER(SEARCH("Grasslands",BX28)),45,IF(OR(_xlfn.XLOOKUP(_xlfn.XLOOKUP(B28,'Base stats'!B:B,'Base stats'!E:E),Groups!A:A,Groups!G:G)=1,ISNUMBER(SEARCH("TropicalRainforest",BX28)),ISNUMBER(SEARCH("TropicalSwamp",BX28))),40,IF(OR(ISNUMBER(SEARCH("TemperateForest",BX28)),ISNUMBER(SEARCH("TemperateSwamp",BX28))),35,IF(OR(ISNUMBER(SEARCH("Alpine",BX28)),ISNUMBER(SEARCH("BorealForest",BX28)),ISNUMBER(SEARCH("ColdBog",BX28))),30,IF(ISNUMBER(OR(ISNUMBER(SEARCH("GlacialPlain",BX28)),SEARCH("Tundra",BX28))),25,IF(OR(ISNUMBER(SEARCH("SeaIce",BX28)),ISNUMBER(SEARCH("IceSheet",BX28)),ISNUMBER(SEARCH("TropicalSwamp",BX28))),10,35)))))))+_xlfn.XLOOKUP(B28,'Base stats'!B:B,'Base stats'!Q:Q)</f>
        <v>45</v>
      </c>
      <c r="N28" s="8">
        <f>IF(
_xlfn.XLOOKUP(
_xlfn.XLOOKUP(B28,'Base stats'!B:B,'Base stats'!E:E),
Groups!A:A,
Groups!L:L
)=1,
MIN(
MROUND(
IF(
_xlfn.XLOOKUP(B28,'Animals CE'!B:B,'Animals CE'!Z:Z)&lt;=1.5,
_xlfn.XLOOKUP(B28,'Animals CE'!B:B,'Animals CE'!Z:Z)/2+0.05,
0.8+
(_xlfn.XLOOKUP(B28,'Animals CE'!B:B,'Animals CE'!Z:Z)-1.5)
*0.02
),
0.05
),
200%
),
"No"
)</f>
        <v>0.2</v>
      </c>
      <c r="O28" s="8">
        <f>IF(
_xlfn.XLOOKUP(
_xlfn.XLOOKUP(B28,'Base stats'!B:B,'Base stats'!E:E),
Groups!A:A,
Groups!L:L
)=1,
MIN(
MROUND(
IF(
_xlfn.XLOOKUP(B28,'Animals CE'!B:B,'Animals CE'!AA:AA)&lt;=1.5,
_xlfn.XLOOKUP(B28,'Animals CE'!B:B,'Animals CE'!AA:AA)/2+0.05,
0.8+
(_xlfn.XLOOKUP(B28,'Animals CE'!B:B,'Animals CE'!AA:AA)-1.5)
*0.02
),
0.05
),
200%
),
"No"
)</f>
        <v>0.25</v>
      </c>
      <c r="P28" s="2" t="str">
        <f>_xlfn.XLOOKUP(B28,'Base stats'!B:B,'Base stats'!R:R)</f>
        <v>Standard</v>
      </c>
      <c r="Q28" s="13">
        <f>MROUND((LOG10(_xlfn.XLOOKUP(B28,'Base stats'!B:B,'Base stats'!AR:AR))*(AO28^0.5)+(_xlfn.XLOOKUP(B28,'Base stats'!B:B,'Base stats'!AR:AR)/1000)^(2/3)+_xlfn.XLOOKUP(B28,'Base stats'!B:B,'Base stats'!BA:BA)/2)+0.5,0.5)</f>
        <v>33</v>
      </c>
      <c r="R28" s="7">
        <f>IF(Q28="No","No",MAX(1,MROUND(_xlfn.XLOOKUP(B28,'Base stats'!B:B,'Base stats'!C:C)^0.165,0.05)))</f>
        <v>3.9000000000000004</v>
      </c>
      <c r="S28" s="13" t="str">
        <f>IF(_xlfn.XLOOKUP(_xlfn.XLOOKUP(B28,'Base stats'!B:B,'Base stats'!E:E),Groups!A:A,Groups!P:P)=0,"No",MROUND((LOG10(_xlfn.XLOOKUP(B28,'Base stats'!B:B,'Base stats'!AS:AS))*(AO28^0.5)+(_xlfn.XLOOKUP(B28,'Base stats'!B:B,'Base stats'!AS:AS)/1000)^(2/3)+_xlfn.XLOOKUP(B28,'Base stats'!B:B,'Base stats'!BA:BA))+_xlfn.XLOOKUP(B28,'Base stats'!B:B,'Base stats'!AY:AY)+0.5,0.5))</f>
        <v>No</v>
      </c>
      <c r="T28" s="7" t="str">
        <f>IF(S28="No","No",MAX(_xlfn.XLOOKUP(_xlfn.XLOOKUP(B28,'Base stats'!B:B,'Base stats'!E:E),Groups!A:A,Groups!Q:Q),MROUND(_xlfn.XLOOKUP(_xlfn.XLOOKUP(B28,'Base stats'!B:B,'Base stats'!E:E),Groups!A:A,Groups!Q:Q)*_xlfn.XLOOKUP(B28,'Base stats'!B:B,'Base stats'!C:C)^0.165,0.05)))</f>
        <v>No</v>
      </c>
      <c r="U28" s="7" t="str">
        <f>IF(S28="No","No",_xlfn.XLOOKUP(_xlfn.XLOOKUP(B28,'Base stats'!B:B,'Base stats'!E:E),Groups!A:A,Groups!R:R))</f>
        <v>No</v>
      </c>
      <c r="V28" s="7" t="str">
        <f>IF(S28="No","No",_xlfn.XLOOKUP(_xlfn.XLOOKUP(B28,'Base stats'!B:B,'Base stats'!E:E),Groups!A:A,Groups!S:S))</f>
        <v>No</v>
      </c>
      <c r="W28" s="7" t="str">
        <f>IF(S28="No","No",_xlfn.XLOOKUP(_xlfn.XLOOKUP(B28,'Base stats'!B:B,'Base stats'!E:E),Groups!A:A,Groups!T:T))</f>
        <v>No</v>
      </c>
      <c r="X28" s="13" t="str">
        <f>IF(_xlfn.XLOOKUP(B28,'Base stats'!B:B,'Base stats'!W:W)="No","No",MROUND((LOG10(_xlfn.XLOOKUP(B28,'Base stats'!B:B,'Base stats'!AU:AU))*(AO28^0.5)+(_xlfn.XLOOKUP(B28,'Base stats'!B:B,'Base stats'!AU:AU)/1000)^(2/3)+_xlfn.XLOOKUP(B28,'Base stats'!B:B,'Base stats'!AZ:AZ))+0.5+IF(_xlfn.XLOOKUP(_xlfn.XLOOKUP(B28,'Base stats'!B:B,'Base stats'!E:E),Groups!A:A,Groups!U:U)&lt;&gt;3,_xlfn.XLOOKUP(B28,'Base stats'!B:B,'Base stats'!BA:BA),0),0.5))</f>
        <v>No</v>
      </c>
      <c r="Y28" s="7" t="str">
        <f>IF(X28="No","No",MAX(_xlfn.XLOOKUP(_xlfn.XLOOKUP(B28,'Base stats'!B:B,'Base stats'!E:E),Groups!A:A,Groups!V:V),MROUND(_xlfn.XLOOKUP(_xlfn.XLOOKUP(B28,'Base stats'!B:B,'Base stats'!E:E),Groups!A:A,Groups!V:V)*_xlfn.XLOOKUP(B28,'Base stats'!B:B,'Base stats'!C:C)^0.165,0.05)))</f>
        <v>No</v>
      </c>
      <c r="Z28" s="7" t="str">
        <f>IF(X28="No","No",_xlfn.XLOOKUP(_xlfn.XLOOKUP(B28,'Base stats'!B:B,'Base stats'!E:E),Groups!A:A,Groups!W:W))</f>
        <v>No</v>
      </c>
      <c r="AA28" s="7" t="str">
        <f>IF(X28="No","No",_xlfn.XLOOKUP(_xlfn.XLOOKUP(B28,'Base stats'!B:B,'Base stats'!E:E),Groups!A:A,Groups!X:X))</f>
        <v>No</v>
      </c>
      <c r="AB28" s="7" t="str">
        <f>IF(X28="No","No",_xlfn.XLOOKUP(_xlfn.XLOOKUP(B28,'Base stats'!B:B,'Base stats'!E:E),Groups!A:A,Groups!Y:Y))</f>
        <v>No</v>
      </c>
      <c r="AC28" s="7" t="str">
        <f>_xlfn.XLOOKUP(Animals!B28,'Base stats'!B:B,'Base stats'!X:X)</f>
        <v>False</v>
      </c>
      <c r="AD28" s="13">
        <f>IF(_xlfn.XLOOKUP(B28,'Base stats'!B:B,'Base stats'!AT:AT)="No","No",MROUND((LOG10(_xlfn.XLOOKUP(B28,'Base stats'!B:B,'Base stats'!AT:AT))*(AO28^0.75)+(_xlfn.XLOOKUP(B28,'Base stats'!B:B,'Base stats'!AT:AT)/1000)^(2/3)+_xlfn.XLOOKUP(B28,'Base stats'!B:B,'Base stats'!AX:AX)+_xlfn.XLOOKUP(B28,'Base stats'!B:B,'Base stats'!BA:BA))+0.5,0.5))</f>
        <v>38</v>
      </c>
      <c r="AE28" s="7">
        <f>IF(AD28="No","No",MAX(_xlfn.XLOOKUP(_xlfn.XLOOKUP(B28,'Base stats'!B:B,'Base stats'!E:E),Groups!A:A,Groups!Z:Z),MROUND(_xlfn.XLOOKUP(_xlfn.XLOOKUP(B28,'Base stats'!B:B,'Base stats'!E:E),Groups!A:A,Groups!Z:Z)*_xlfn.XLOOKUP(B28,'Base stats'!B:B,'Base stats'!C:C)^0.165,0.05)))</f>
        <v>3.3000000000000003</v>
      </c>
      <c r="AF28" s="7" t="str">
        <f>IF(AD28="No","No",_xlfn.XLOOKUP(_xlfn.XLOOKUP(B28,'Base stats'!B:B,'Base stats'!E:E),Groups!A:A,Groups!AA:AA))</f>
        <v>Teeth</v>
      </c>
      <c r="AG28" s="7" t="str">
        <f>IF(AD28="No","No",_xlfn.XLOOKUP(_xlfn.XLOOKUP(B28,'Base stats'!B:B,'Base stats'!E:E),Groups!A:A,Groups!AB:AB))</f>
        <v>teeth</v>
      </c>
      <c r="AH28" s="7" t="str">
        <f>IF(AD28="No","No",_xlfn.XLOOKUP(_xlfn.XLOOKUP(B28,'Base stats'!B:B,'Base stats'!E:E),Groups!A:A,Groups!AC:AC))</f>
        <v>Bite</v>
      </c>
      <c r="AI28" s="13">
        <f>IF(_xlfn.XLOOKUP(_xlfn.XLOOKUP(B28,'Base stats'!B:B,'Base stats'!E:E),Groups!A:A,Groups!AD:AD)=0,"No",MROUND((LOG10(_xlfn.XLOOKUP(B28,'Base stats'!B:B,'Base stats'!AS:AS))*(AO28^0.75)+(_xlfn.XLOOKUP(B28,'Base stats'!B:B,'Base stats'!AS:AS)/1000)^(2/3)+_xlfn.XLOOKUP(B28,'Base stats'!B:B,'Base stats'!AY:AY)+_xlfn.XLOOKUP(B28,'Base stats'!B:B,'Base stats'!BA:BA))+0.5,0.5))</f>
        <v>48</v>
      </c>
      <c r="AJ28" s="7">
        <f>IF(AI28="No","No",MAX(_xlfn.XLOOKUP(_xlfn.XLOOKUP(B28,'Base stats'!B:B,'Base stats'!E:E),Groups!A:A,Groups!AE:AE),MROUND(_xlfn.XLOOKUP(_xlfn.XLOOKUP(B28,'Base stats'!B:B,'Base stats'!E:E),Groups!A:A,Groups!AE:AE)*IF(_xlfn.XLOOKUP(_xlfn.XLOOKUP(B28,'Base stats'!B:B,'Base stats'!E:E),Groups!A:A,Groups!AJ:AJ)="Photonozoa",0.6,1)*_xlfn.XLOOKUP(B28,'Base stats'!B:B,'Base stats'!C:C)^0.165,0.05)))</f>
        <v>2.5</v>
      </c>
      <c r="AK28" s="7" t="str">
        <f>IF(AI28="No","No",_xlfn.XLOOKUP(_xlfn.XLOOKUP(B28,'Base stats'!B:B,'Base stats'!E:E),Groups!A:A,Groups!AF:AF))</f>
        <v>FrontLeftPaw, FrontRightPaw</v>
      </c>
      <c r="AL28" s="7" t="str">
        <f>IF(AI28="No","No",_xlfn.XLOOKUP(_xlfn.XLOOKUP(B28,'Base stats'!B:B,'Base stats'!E:E),Groups!A:A,Groups!AG:AG))</f>
        <v>left claw, right claw</v>
      </c>
      <c r="AM28" s="7" t="str">
        <f>IF(AI28="No","No",_xlfn.XLOOKUP(_xlfn.XLOOKUP(B28,'Base stats'!B:B,'Base stats'!E:E),Groups!A:A,Groups!AH:AH))</f>
        <v>Scratch</v>
      </c>
      <c r="AN28" s="2" t="str">
        <f t="shared" si="0"/>
        <v>No</v>
      </c>
      <c r="AO28" s="2">
        <f>MROUND(IF(AND(_xlfn.XLOOKUP(B28,'Base stats'!B:B,'Base stats'!C:C)&gt;=0.5,_xlfn.XLOOKUP(B28,'Base stats'!B:B,'Base stats'!C:C)&lt;=0.8),
IF(_xlfn.XLOOKUP(B28,'Base stats'!B:B,'Base stats'!C:C)&lt;0.1,0.05,IF(_xlfn.XLOOKUP(B28,'Base stats'!B:B,'Base stats'!C:C)&lt;=70,(_xlfn.XLOOKUP(B28,'Base stats'!B:B,'Base stats'!C:C)/70)^0.426489913056526,IF(_xlfn.XLOOKUP(B28,'Base stats'!B:B,'Base stats'!C:C)&lt;=400,(_xlfn.XLOOKUP(B28,'Base stats'!B:B,'Base stats'!C:C)/70)^0.572811455315093,IF(_xlfn.XLOOKUP(B28,'Base stats'!B:B,'Base stats'!C:C)&lt;=2000,2.71391647193063*(_xlfn.XLOOKUP(B28,'Base stats'!B:B,'Base stats'!C:C)/400)^0.252459582904293,3.74314280240376*(_xlfn.XLOOKUP(B28,'Base stats'!B:B,'Base stats'!C:C)/2000)^0.357012633876913)))),
IF(_xlfn.XLOOKUP(B28,'Base stats'!B:B,'Base stats'!C:C)&lt;0.1,0.05,IF(_xlfn.XLOOKUP(B28,'Base stats'!B:B,'Base stats'!C:C)&lt;0.4,0.1,IF(_xlfn.XLOOKUP(B28,'Base stats'!B:B,'Base stats'!C:C)&lt;=70,(_xlfn.XLOOKUP(B28,'Base stats'!B:B,'Base stats'!C:C)/70)^0.445823913056526,IF(_xlfn.XLOOKUP(B28,'Base stats'!B:B,'Base stats'!C:C)&lt;=400,(_xlfn.XLOOKUP(B28,'Base stats'!B:B,'Base stats'!C:C)/70)^0.572811455315093,IF(_xlfn.XLOOKUP(B28,'Base stats'!B:B,'Base stats'!C:C)&lt;=2000,2.71391647193063*(_xlfn.XLOOKUP(B28,'Base stats'!B:B,'Base stats'!C:C)/400)^0.252459582904293,3.74314280240376*(_xlfn.XLOOKUP(B28,'Base stats'!B:B,'Base stats'!C:C)/2000)^0.357012633876913)))))),
IF(_xlfn.XLOOKUP(B28,'Base stats'!B:B,'Base stats'!C:C)&lt;0.1,0.05,IF(_xlfn.XLOOKUP(B28,'Base stats'!B:B,'Base stats'!C:C)&lt;=100,0.05,IF(_xlfn.XLOOKUP(B28,'Base stats'!B:B,'Base stats'!C:C)&lt;=250,0.1,IF(_xlfn.XLOOKUP(B28,'Base stats'!B:B,'Base stats'!C:C)&lt;=4000,0.25,0.5)))))</f>
        <v>4.75</v>
      </c>
      <c r="AP28" s="8">
        <f>MROUND(AO28*_xlfn.XLOOKUP(_xlfn.XLOOKUP(B28,'Base stats'!B:B,'Base stats'!E:E),Groups!A:A,Groups!AI:AI)*_xlfn.XLOOKUP(B28,'Base stats'!B:B,'Base stats'!Z:Z),0.05)</f>
        <v>5.7</v>
      </c>
      <c r="AQ28" s="8">
        <f>MAX(0.01,MROUND(IF(CC28="True",0.196*(AO28*100*1000)^0.889,IF(_xlfn.XLOOKUP(_xlfn.XLOOKUP(B28,'Base stats'!B:B,'Base stats'!E:E),Groups!A:A,Groups!AJ:AJ)="Bird",10.5*(AO28*100*1000)^0.681,4.82*(AO28*100*1000)^0.734))/(4.82*(1*100*1000)^0.734)/IF(AO28&lt;3.5,2,IF(AO28=3.5,1.5,1.25))*(1+0.132282374779864/(AO28^0.994035016789033+0.00905238001496948)),0.05))</f>
        <v>2.6</v>
      </c>
      <c r="AR28" s="9">
        <f>IFERROR(MROUND(_xlfn.XLOOKUP(B28,'Base stats'!B:B,'Base stats'!H:H)/IF(_xlfn.XLOOKUP(B28,'Base stats'!B:B,'Base stats'!I:I)&lt;&gt;1,(122.5/70),1.2),IF(_xlfn.XLOOKUP(B28,'Base stats'!B:B,'Base stats'!H:H)&gt;=30,5,IF(_xlfn.XLOOKUP(B28,'Base stats'!B:B,'Base stats'!H:H)&gt;=15,3,IF(_xlfn.XLOOKUP(B28,'Base stats'!B:B,'Base stats'!H:H)&gt;=10,2,1)))),"Immortal")</f>
        <v>65</v>
      </c>
      <c r="AS28" s="35">
        <f>IFERROR(IF(OR(_xlfn.XLOOKUP(B28,'Base stats'!B:B,'Base stats'!F:F)="Atypical reproduction",_xlfn.XLOOKUP(B28,'Base stats'!B:B,'Base stats'!F:F)="Lay eggs"),"Lay eggs",MIN(20,MAX(5.5,ROUND(((_xlfn.XLOOKUP(B28,'Base stats'!B:B,'Base stats'!F:F)-25)*(14.5/615) + 5.5)*2,0)/2))),"Unknown")</f>
        <v>15.5</v>
      </c>
      <c r="AT28" s="8">
        <f>IF(_xlfn.XLOOKUP(B28,'Base stats'!B:B,'Base stats'!G:G)="Atypical reproduction","No",IFERROR(MAX(IF(_xlfn.XLOOKUP(B28,'Base stats'!B:B,'Base stats'!G:G)&lt;0.5,0.2,0.3),MROUND(_xlfn.XLOOKUP(B28,'Base stats'!B:B,'Base stats'!G:G)/(365/60),0.2)),"Unknown"))</f>
        <v>1.6</v>
      </c>
      <c r="AU28" s="8">
        <f t="shared" si="1"/>
        <v>0.8</v>
      </c>
      <c r="AV28" s="8">
        <f>IFERROR(IFERROR(MROUND(_xlfn.XLOOKUP(B28,'Base stats'!B:B,'Base stats'!J:J),0.1),"Lay eggs"),"Cannot breed")</f>
        <v>1</v>
      </c>
      <c r="AW28" s="2" t="str">
        <f t="shared" si="2"/>
        <v>false</v>
      </c>
      <c r="AX28" s="2" t="str">
        <f>IF(_xlfn.XLOOKUP(_xlfn.XLOOKUP(Animals!B28,'Base stats'!B:B,'Base stats'!E:E),Groups!A:A,Groups!AK:AK)=1,"true","false")</f>
        <v>false</v>
      </c>
      <c r="AY28" s="25" t="str">
        <f>IF(_xlfn.XLOOKUP(B28,'Base stats'!B:B,'Base stats'!Y:Y)="Liquor","Liquor, CarnivoreAnimalStrict",IF(AND(_xlfn.XLOOKUP(B28,'Base stats'!B:B,'Base stats'!Y:Y)="Carnivore",_xlfn.XLOOKUP(_xlfn.XLOOKUP(B28,'Base stats'!B:B,'Base stats'!E:E),Groups!A:A,Groups!AJ:AJ)="Photonozoa"),"CarnivoreAnimalStrict, OvivoreAnimal",IF(_xlfn.XLOOKUP(B28,'Base stats'!B:B,'Base stats'!Y:Y)="Carnivore","CarnivoreAnimal, OvivoreAnimal",IF(_xlfn.XLOOKUP(B28,'Base stats'!B:B,'Base stats'!Y:Y)="Dendrovore","VegetarianRoughAnimal, DendrovoreAnimal",IF(_xlfn.XLOOKUP(B28,'Base stats'!B:B,'Base stats'!Y:Y)="Herbivore","VegetarianRoughAnimal",IF(_xlfn.XLOOKUP(B28,'Base stats'!B:B,'Base stats'!Y:Y)="OmnivoreRough","OmnivoreRoughAnimal, OvivoreAnimal","OmnivoreAnimal, OvivoreAnimal"))))))</f>
        <v>VegetarianRoughAnimal</v>
      </c>
      <c r="AZ28" s="2" t="str">
        <f>IF(_xlfn.XLOOKUP(_xlfn.XLOOKUP(B28,'Base stats'!B:B,'Base stats'!E:E),Groups!A:A,Groups!D:D)=1,MROUND((1-J28)*5+1,2)*IF(J28&lt;=0.4,2,1),"No")</f>
        <v>No</v>
      </c>
      <c r="BA28" s="2" t="str">
        <f>IF(AND(_xlfn.XLOOKUP(B28,'Base stats'!B:B,'Base stats'!AH:AH)="&lt;li&gt;Seal&lt;/li&gt;",G28="Odyssey"),"&lt;li&gt;AEXP_Seal&lt;/li&gt;",_xlfn.XLOOKUP(B28,'Base stats'!B:B,'Base stats'!AH:AH))</f>
        <v>No</v>
      </c>
      <c r="BB28" s="2" t="str">
        <f>_xlfn.XLOOKUP(B28,'Base stats'!B:B,'Base stats'!AG:AG)</f>
        <v>Leather_Heavy</v>
      </c>
      <c r="BC28" s="23" t="str">
        <f>_xlfn.XLOOKUP(_xlfn.XLOOKUP(B28,'Base stats'!B:B,'Base stats'!E:E),Groups!A:A,Groups!AL:AL)</f>
        <v>QuadrupedAnimalWithPawsAndTail</v>
      </c>
      <c r="BD28" s="23">
        <f>MIN(1,MROUND(IF(AND(AO28&lt;0.5,_xlfn.XLOOKUP(B28,'Base stats'!B:B,'Base stats'!AA:AA)=0),0,IF(OR(_xlfn.XLOOKUP(Animals!B28,'Base stats'!B:B,'Base stats'!O:O)=2,_xlfn.XLOOKUP(_xlfn.XLOOKUP(B28,'Base stats'!B:B,'Base stats'!E:E),Groups!A:A,Groups!AN:AN)=0),0,_xlfn.XLOOKUP(_xlfn.XLOOKUP(B28,'Base stats'!B:B,'Base stats'!E:E),Groups!A:A,Groups!AN:AN)/IF(_xlfn.XLOOKUP(Animals!B28,'Base stats'!B:B,'Base stats'!O:O)=1,2,1)))+_xlfn.XLOOKUP(B28,'Base stats'!B:B,'Base stats'!AC:AC),0.005))</f>
        <v>0.05</v>
      </c>
      <c r="BE28" s="23">
        <f>MIN(1,MROUND(IF(AND(AO28&lt;0.5,_xlfn.XLOOKUP(B28,'Base stats'!B:B,'Base stats'!AA:AA)=0),0,IF(_xlfn.XLOOKUP(_xlfn.XLOOKUP(B28,'Base stats'!B:B,'Base stats'!E:E),Groups!A:A,Groups!AO:AO)=0,0,_xlfn.XLOOKUP(_xlfn.XLOOKUP(B28,'Base stats'!B:B,'Base stats'!E:E),Groups!A:A,Groups!AO:AO)/IF(_xlfn.XLOOKUP(Animals!B28,'Base stats'!B:B,'Base stats'!O:O)=2,3,1)))+_xlfn.XLOOKUP(B28,'Base stats'!B:B,'Base stats'!AD:AD),0.005))</f>
        <v>0.3</v>
      </c>
      <c r="BF28" s="2" t="str">
        <f>IF(J28&gt;0.3,"No",_xlfn.XLOOKUP(_xlfn.XLOOKUP(Animals!B28,'Base stats'!B:B,'Base stats'!E:E),Groups!A:A,Groups!AP:AP))</f>
        <v>No</v>
      </c>
      <c r="BG28" s="2" t="str">
        <f>IF(AND(J28&lt;=0.65,_xlfn.XLOOKUP(_xlfn.XLOOKUP(Animals!B28,'Base stats'!B:B,'Base stats'!E:E),Groups!A:A,Groups!AP:AP)&lt;&gt;"No",_xlfn.XLOOKUP(_xlfn.XLOOKUP(B28,'Base stats'!B:B,'Base stats'!E:E),Groups!A:A,Groups!D:D)=0),MROUND((80/3)*IF(_xlfn.XLOOKUP(B28,'Base stats'!B:B,'Base stats'!O:O)=2,0.2,AO28) + 24*(1-IF(BF28="No",0,BF28)) + 16/3, 12),"No")</f>
        <v>No</v>
      </c>
      <c r="BH28" s="2">
        <f>IF(AND(_xlfn.XLOOKUP(_xlfn.XLOOKUP(B28,'Base stats'!B:B,'Base stats'!E:E),Groups!A:A,Groups!AQ:AQ)=1,AO28&lt;=0.35),8,12)</f>
        <v>12</v>
      </c>
      <c r="BI28" s="2" t="str">
        <f>IF(_xlfn.XLOOKUP(_xlfn.XLOOKUP(B28,'Base stats'!B:B,'Base stats'!E:E),Groups!A:A,Groups!D:D)=0,_xlfn.XLOOKUP(_xlfn.XLOOKUP(B28,'Base stats'!B:B,'Base stats'!E:E),Groups!A:A,Groups!AR:AR),"None")</f>
        <v>Intermediate</v>
      </c>
      <c r="BJ28" s="2" t="str">
        <f>IF(AND(_xlfn.XLOOKUP(_xlfn.XLOOKUP(B28,'Base stats'!B:B,'Base stats'!E:E),Groups!A:A,Groups!AS:AS)=1,OR(_xlfn.XLOOKUP(B28,'Base stats'!B:B,'Base stats'!Y:Y)="Carnivore",_xlfn.XLOOKUP(B28,'Base stats'!B:B,'Base stats'!Y:Y)="Omnivore")),"true","false")</f>
        <v>false</v>
      </c>
      <c r="BK28" s="2" t="str">
        <f>IF(BJ28="true",MROUND(IF(AND(AO28&gt;0.5,OR(_xlfn.XLOOKUP(_xlfn.XLOOKUP(B28,'Base stats'!B:B,'Base stats'!E:E),Groups!A:A,Groups!AJ:AJ)="Photonozoa",_xlfn.XLOOKUP(_xlfn.XLOOKUP(B28,'Base stats'!B:B,'Base stats'!E:E),Groups!A:A,Groups!AJ:AJ)="Mammal")),Animals!AO28*1.75*IF(AW28="true",1.5,1),IF(AO28&lt;0.5,Animals!AO28*0.5,Animals!AO28)),IF(AO28&gt;2,0.5,IF(AO28&gt;0.5,0.25,0.1))),"No")</f>
        <v>No</v>
      </c>
      <c r="BL28" s="2">
        <f t="shared" si="3"/>
        <v>1</v>
      </c>
      <c r="BM28" s="25" t="str">
        <f>IF(_xlfn.XLOOKUP(B28,'Base stats'!B:B,'Base stats'!AN:AN)="Standard","No",MROUND((_xlfn.XLOOKUP(B28,'Base stats'!B:B,'Base stats'!AN:AN)/3.6)/I28,0.1))</f>
        <v>No</v>
      </c>
      <c r="BN28" s="25" t="str">
        <f t="shared" si="4"/>
        <v>false</v>
      </c>
      <c r="BO28" s="25" t="str">
        <f>IF(AND(OR(_xlfn.XLOOKUP(B28,'Base stats'!B:B,'Base stats'!Y:Y)="Carnivore",_xlfn.XLOOKUP(B28,'Base stats'!B:B,'Base stats'!Y:Y)="Omnivore",_xlfn.XLOOKUP(B28,'Base stats'!B:B,'Base stats'!Y:Y)="OmnivoreRough"),_xlfn.XLOOKUP(_xlfn.XLOOKUP(B28,'Base stats'!B:B,'Base stats'!E:E),Groups!A:A,Groups!AT:AT)=1),"true","false")</f>
        <v>false</v>
      </c>
      <c r="BP28" s="25" t="str" cm="1">
        <f t="array" ref="BP28">IF(
  _xlfn.TEXTJOIN(", ",TRUE,
    IF(AND(BJ28="true",AO28&gt;0.5,BI28&lt;&gt;"None"),"AttackTarget",""),
    IF(AND(_xlfn.XLOOKUP(_xlfn.XLOOKUP(B28,'Base stats'!B:B,'Base stats'!E:E),Groups!A:A,Groups!AJ:AJ="Mammal"),OR(_xlfn.XLOOKUP(B28,'Base stats'!B:B,'Base stats'!Y:Y)="Omnivore",_xlfn.XLOOKUP(B28,'Base stats'!B:B,'Base stats'!Y:Y)="OmnivoreRough")),"Forage",""),
    IF(BG28&lt;=36,"Comfort",""),
    IF(_xlfn.XLOOKUP(B28,'Base stats'!B:B,'Base stats'!AE:AE)&lt;&gt;"No",_xlfn.XLOOKUP(B28,'Base stats'!B:B,'Base stats'!AE:AE),"")
  ) = "",
  "No",
  _xlfn.TEXTJOIN(", ",TRUE,
    IF(AND(BJ28="true",AO28&gt;0.5,BI28&lt;&gt;"None"),"AttackTarget",""),
    IF(AND(_xlfn.XLOOKUP(_xlfn.XLOOKUP(B28,'Base stats'!B:B,'Base stats'!E:E),Groups!A:A,Groups!AJ:AJ="Mammal"),OR(_xlfn.XLOOKUP(B28,'Base stats'!B:B,'Base stats'!Y:Y)="Omnivore",_xlfn.XLOOKUP(B28,'Base stats'!B:B,'Base stats'!Y:Y)="OmnivoreRough")),"Forage",""),
    IF(BG28&lt;=36,"Comfort",""),
    IF(_xlfn.XLOOKUP(B28,'Base stats'!B:B,'Base stats'!AE:AE)&lt;&gt;"No",_xlfn.XLOOKUP(B28,'Base stats'!B:B,'Base stats'!AE:AE),"")
  )
)</f>
        <v>Dig</v>
      </c>
      <c r="BQ28" s="25" t="str">
        <f>IF(
   AND(
      'Base stats'!AN28="Standard",_xlfn.XLOOKUP(_xlfn.XLOOKUP(B28,'Base stats'!B:B,'Base stats'!E:E),Groups!A:A,Groups!AU:AU)=0,
      OR(
      BO28="True"
      )
   ),
   10,
   IF(
       OR(BM28&lt;&gt;"No",_xlfn.XLOOKUP(_xlfn.XLOOKUP(B28,'Base stats'!B:B,'Base stats'!E:E),Groups!A:A,Groups!AU:AU)=1),
      1,
      "No"
   )
)</f>
        <v>No</v>
      </c>
      <c r="BR28" s="9">
        <f>MROUND((1 + ((0.2*IF(OR(Q28="No",R28="No",R28=0),0,Q28/R28)
+IF(OR(V28="No",S28="No",T28="No"),0,S28/T28*(LEN(V28)-LEN(SUBSTITUTE(V28,",",""))+1))
+IF(OR(X28="No",Y28="No"),0,X28/Y28)
+IF(OR(AD28="No",AE28="No"),0,AD28/AE28)
+IF(OR(AL28="No",AI28="No",AJ28="No"),0,AI28/AJ28*(LEN(AL28)-LEN(SUBSTITUTE(AL28,",",""))+1))
)/(0.2*IF(OR(Q28="No",R28="No",R28=0),0,1)
+IF(OR(V28="No",S28="No",T28="No"),0,LEN(V28)-LEN(SUBSTITUTE(V28,",",""))+1)
+IF(OR(X28="No",Y28="No"),0,1)
+IF(OR(AD28="No",AE28="No"),0,1)
+IF(OR(AL28="No",AI28="No",AJ28="No"),0,LEN(AL28)-LEN(SUBSTITUTE(AL28,",",""))+1))*62%)* 2)*(1 + (AP28 / (IF(_xlfn.XLOOKUP(_xlfn.XLOOKUP(B28,'Base stats'!B:B,'Base stats'!E:E),Groups!A:A,Groups!AJ:AJ)="Photonozoa",0.3,1)) + _xlfn.XLOOKUP(B28,'Base stats'!B:B,'Base stats'!AV:AV) * 1.8) * 2) * 2.5 + 10 + I28 * 2,5)+IF(_xlfn.XLOOKUP(B28,'Base stats'!B:B,'Base stats'!AK:AK)=1,50,0)</f>
        <v>710</v>
      </c>
      <c r="BS28" s="8">
        <f t="shared" si="5"/>
        <v>3.0500000000000003</v>
      </c>
      <c r="BT28" s="8" t="str">
        <f>_xlfn.XLOOKUP(B28,'Base stats'!B:B,'Base stats'!AF:AF)</f>
        <v>No</v>
      </c>
      <c r="BU28" s="2" t="str">
        <f>IF(AND(J28&lt;=0.95,OR(_xlfn.XLOOKUP(B28,'Base stats'!B:B,'Base stats'!AK:AK)=1,_xlfn.XLOOKUP(B28,'Base stats'!B:B,'Base stats'!Y:Y)="Carnivore",_xlfn.XLOOKUP(B28,'Base stats'!B:B,'Base stats'!Y:Y)="Omnivore",BE28&gt;0.1)),"true","false")</f>
        <v>true</v>
      </c>
      <c r="BV28" s="2" t="str">
        <f>IF(_xlfn.XLOOKUP(B28,'Base stats'!B:B,'Base stats'!AI:AI)=1,"true","false")</f>
        <v>false</v>
      </c>
      <c r="BW28" s="25" t="str">
        <f>IF(E28="BaseInsect","AnimalInsect",
IF(J28&gt;0.95,"AnimalExotic",
_xlfn.TEXTJOIN(", ",TRUE,
IF(OR(_xlfn.XLOOKUP(B28,'Base stats'!B:B,'Base stats'!AM:AM)=1,AND(_xlfn.XLOOKUP(B28,'Base stats'!B:B,'Base stats'!O:O)=0,_xlfn.XLOOKUP(_xlfn.XLOOKUP(B28,'Base stats'!B:B,'Base stats'!E:E),Groups!A:A,Groups!B:B)&gt;0)),"AnimalUncommon","AnimalCommon"),
IF(AND(_xlfn.XLOOKUP(B28,'Base stats'!B:B,'Base stats'!O:O)=2,_xlfn.XLOOKUP(_xlfn.XLOOKUP(B28,'Base stats'!B:B,'Base stats'!E:E),Groups!A:A,Groups!D:D)=0),"AnimalPet",IF(AND(_xlfn.XLOOKUP(B28,'Base stats'!B:B,'Base stats'!O:O)&lt;&gt;0,_xlfn.XLOOKUP(_xlfn.XLOOKUP(B28,'Base stats'!B:B,'Base stats'!E:E),Groups!A:A,Groups!D:D)&lt;&gt;0),"AnimalFarm","")),
IF(OR(_xlfn.XLOOKUP(B28,'Base stats'!B:B,'Base stats'!AK:AK)=1,AND(BI28&lt;&gt;"None",BR28&gt;=60),ISNUMBER(SEARCH("Attack target",BP28))),"AnimalFighter","")
)))</f>
        <v>AnimalUncommon, AnimalFighter</v>
      </c>
      <c r="BX28" s="25" t="str">
        <f>IF(G28="None",TRIM(
SUBSTITUTE(
IF(COUNTIF(Biomes!B$2:B$259,"="&amp;$C28)&gt;0,Biomes!B$1&amp;", ","")&amp;
IF(COUNTIF(Biomes!C$2:C$259,"="&amp;$C28)&gt;0,Biomes!C$1&amp;", ","")&amp;
IF(COUNTIF(Biomes!D$2:D$259,"="&amp;$C28)&gt;0,Biomes!D$1&amp;", ","")&amp;
IF(COUNTIF(Biomes!F$2:F$259,"="&amp;$C28)&gt;0,Biomes!F$1&amp;", ","")&amp;
IF(COUNTIF(Biomes!G$2:G$259,"="&amp;$C28)&gt;0,Biomes!G$1&amp;", ","")&amp;
IF(COUNTIF(Biomes!H$2:H$259,"="&amp;$C28)&gt;0,Biomes!H$1&amp;", ","")&amp;
IF(COUNTIF(Biomes!I$2:I$259,"="&amp;$C28)&gt;0,Biomes!I$1&amp;", ","")&amp;
IF(COUNTIF(Biomes!J$2:J$259,"="&amp;$C28)&gt;0,Biomes!J$1&amp;", ","")&amp;
IF(COUNTIF(Biomes!M$2:M$259,"="&amp;$C28)&gt;0,Biomes!M$1&amp;", ","")&amp;
IF(COUNTIF(Biomes!N$2:N$259,"="&amp;$C28)&gt;0,Biomes!N$1&amp;", ","")&amp;
IF(COUNTIF(Biomes!O$2:O$259,"="&amp;$C28)&gt;0,Biomes!O$1&amp;", ","")&amp;
IF(COUNTIF(Biomes!P$2:P$259,"="&amp;$C28)&gt;0,Biomes!P$1&amp;", ","")&amp;
IF(COUNTIF(Biomes!K$2:K$259,"="&amp;$C28)&gt;0,Biomes!K$1&amp;", ","")&amp;
IF(COUNTIF(Biomes!Q$3:Q$259,"="&amp;$C28)&gt;0,Biomes!Q$1&amp;", ","")&amp;
IF(COUNTIF(Biomes!L$2:L$259,"="&amp;$C28)&gt;0,Biomes!L$1&amp;", ","")&amp;
IF(COUNTIF(Biomes!E$2:E$259,"="&amp;$C28)&gt;0,Biomes!E$1&amp;", ","")&amp;IF(COUNTIF(Biomes!S$2:S$259,"="&amp;$C28)&gt;0,Biomes!S$1&amp;", ","")&amp;
IF(COUNTIF(Biomes!R$2:R$259,"="&amp;$C28)&gt;0,Biomes!R$1&amp;", ",""),", ","")
),_xlfn.XLOOKUP(B28,B:B,BX:BX))</f>
        <v>BorealForest ColdBog TemperateForest TemperateSwamp Grasslands GlacialPlain</v>
      </c>
      <c r="BY28" s="25" t="str">
        <f>IF(_xlfn.XLOOKUP(B28,'Base stats'!B:B,'Base stats'!AJ:AJ)=1,"true","false")</f>
        <v>false</v>
      </c>
      <c r="BZ28" s="25">
        <f>IF(_xlfn.XLOOKUP(B28,'Base stats'!B:B,'Base stats'!N:N)=1,"No",MAX(0.001,MIN(MROUND(IF(AND(BJ28="True",CC28="False"),POWER(10,3.47*LOG10(_xlfn.XLOOKUP(B28,'Base stats'!B:B,'Base stats'!C:C)*1000)^-0.96),POWER(10,4.15*LOG10(_xlfn.XLOOKUP(B28,'Base stats'!B:B,'Base stats'!C:C)*1000)^-0.73))*IF(_xlfn.XLOOKUP(B28,'Base stats'!B:B,'Base stats'!AK:AK)=1,0.5,1)*IF(_xlfn.XLOOKUP(B28,'Base stats'!B:B,'Base stats'!AM:AM)=1,0.1,1)/100,IF(_xlfn.XLOOKUP(B28,'Base stats'!B:B,'Base stats'!AM:AM)=1,0.001,0.025)),0.5)))</f>
        <v>0.1</v>
      </c>
      <c r="CA28" s="25" t="str">
        <f>IF(P28="Standard","No",MAX(0.001,MIN(MROUND(IF(AND(BJ28="True",CC28="False"),POWER(10,3.47*LOG10(_xlfn.XLOOKUP(B28,'Base stats'!B:B,'Base stats'!C:C)*1000)^-0.96),POWER(10,4.15*LOG10(_xlfn.XLOOKUP(B28,'Base stats'!B:B,'Base stats'!C:C)*1000)^-0.73))*IF(_xlfn.XLOOKUP(B28,'Base stats'!B:B,'Base stats'!AM:AM)=1,0.1,1)*_xlfn.XLOOKUP(B28,'Base stats'!B:B,'Base stats'!R:R)/100,IF(_xlfn.XLOOKUP(B28,'Base stats'!B:B,'Base stats'!AM:AM)=1,0.001,0.025)),0.5)))</f>
        <v>No</v>
      </c>
      <c r="CB28" s="25" t="str">
        <f>IF(_xlfn.XLOOKUP(_xlfn.XLOOKUP(B28,'Base stats'!B:B,'Base stats'!E:E),Groups!A:A,Groups!AJ:AJ)="Mammal","True","False")</f>
        <v>True</v>
      </c>
      <c r="CC28" s="25" t="str">
        <f>IF(OR(_xlfn.XLOOKUP(_xlfn.XLOOKUP(B28,'Base stats'!B:B,'Base stats'!E:E),Groups!A:A,Groups!AJ:AJ)="Reptile",_xlfn.XLOOKUP(_xlfn.XLOOKUP(B28,'Base stats'!B:B,'Base stats'!E:E),Groups!A:A,Groups!AJ:AJ)="Amphibian",_xlfn.XLOOKUP(_xlfn.XLOOKUP(B28,'Base stats'!B:B,'Base stats'!E:E),Groups!A:A,Groups!AJ:AJ)="Invertebrate"),"True","False")</f>
        <v>False</v>
      </c>
      <c r="CD28" s="25" t="str">
        <f t="shared" si="6"/>
        <v>False</v>
      </c>
      <c r="CE28" s="25" t="str">
        <f>IF(_xlfn.XLOOKUP(_xlfn.XLOOKUP(B28,'Base stats'!B:B,'Base stats'!E:E),Groups!A:A,Groups!AX:AX),"True","False")</f>
        <v>False</v>
      </c>
      <c r="CF28" s="25" t="str">
        <f>IF(_xlfn.XLOOKUP(_xlfn.XLOOKUP(B28,'Base stats'!B:B,'Base stats'!E:E),Groups!A:A,Groups!AY:AY),"True","False")</f>
        <v>False</v>
      </c>
      <c r="CG28" s="25" t="str">
        <f>IF(_xlfn.XLOOKUP(_xlfn.XLOOKUP(B28,'Base stats'!B:B,'Base stats'!E:E),Groups!A:A,Groups!AW:AW),"True","False")</f>
        <v>False</v>
      </c>
      <c r="CH28" s="25" t="str">
        <f>IF(
OR(
_xlfn.XLOOKUP(_xlfn.XLOOKUP(B28,'Base stats'!B:B,'Base stats'!E:E),Groups!A:A,Groups!AZ:AZ)=0,
AND(
_xlfn.XLOOKUP(B28,'Base stats'!B:B,'Base stats'!Y:Y)&lt;&gt;"Carnivore",
_xlfn.XLOOKUP(B28,'Base stats'!B:B,'Base stats'!Y:Y)&lt;&gt;"Omnivore",
_xlfn.XLOOKUP(B28,'Base stats'!B:B,'Base stats'!Y:Y)&lt;&gt;"OmnivoreRough"
)
),
"No",
IF(
_xlfn.XLOOKUP(_xlfn.XLOOKUP(B28,'Base stats'!B:B,'Base stats'!E:E),Groups!A:A,Groups!AZ:AZ)=1,
"Flesh",
IF(
_xlfn.XLOOKUP(_xlfn.XLOOKUP(B28,'Base stats'!B:B,'Base stats'!E:E),Groups!A:A,Groups!AZ:AZ)=2,
"Bone",
""
)
)
)</f>
        <v>No</v>
      </c>
      <c r="CI28" s="25" t="str">
        <f>IF(_xlfn.XLOOKUP(_xlfn.XLOOKUP(B28,'Base stats'!B:B,'Base stats'!E:E),Groups!A:A,Groups!BB:BB),"True","False")</f>
        <v>True</v>
      </c>
      <c r="CJ28" s="25" t="str">
        <f>IF(_xlfn.XLOOKUP(_xlfn.XLOOKUP(B28,'Base stats'!B:B,'Base stats'!E:E),Groups!A:A,Groups!BA:BA),"True","False")</f>
        <v>False</v>
      </c>
    </row>
    <row r="29" spans="1:93" ht="16.5" thickTop="1" thickBot="1" x14ac:dyDescent="0.3">
      <c r="A29" s="26" t="str">
        <f>_xlfn.XLOOKUP(B29,'Base stats'!B:B,'Base stats'!A:A)</f>
        <v>Boar</v>
      </c>
      <c r="B29" s="6" t="s">
        <v>106</v>
      </c>
      <c r="C29" s="28" t="s">
        <v>704</v>
      </c>
      <c r="D29" s="28" t="s">
        <v>45</v>
      </c>
      <c r="E29" s="28" t="s">
        <v>673</v>
      </c>
      <c r="F29" s="28" t="s">
        <v>673</v>
      </c>
      <c r="G29" s="28" t="s">
        <v>673</v>
      </c>
      <c r="H29" s="2">
        <f>MROUND((
  (IF(AND(_xlfn.XLOOKUP(B29,'Base stats'!B:B,'Base stats'!AL:AL)=0,BI29="None",_xlfn.XLOOKUP(_xlfn.XLOOKUP(B29,'Base stats'!B:B,'Base stats'!E:E),Groups!A:A,Groups!B:B)=0), (18 + BR29 * 2.7) * 0.5,
    IF(AND(_xlfn.XLOOKUP(B29,'Base stats'!B:B,'Base stats'!AL:AL)=0,OR(AO29&lt;0.55,AND(BI29="Intermediate",_xlfn.XLOOKUP(_xlfn.XLOOKUP(B29,'Base stats'!B:B,'Base stats'!E:E),Groups!A:A,Groups!B:B)&lt;2))), (18 + BR29 * 2.7),
      IF(OR(BI29="Advanced",_xlfn.XLOOKUP(B29,'Base stats'!B:B,'Base stats'!AL:AL)=1,_xlfn.XLOOKUP(_xlfn.XLOOKUP(B29,'Base stats'!B:B,'Base stats'!E:E),Groups!A:A,Groups!B:B)=2), (18 + BR29 * 2.7) + 250, (18 + BR29 * 2.7))
    )
  ))
  + AO29 * 80
  + IF(COUNTIF(EggMilk!K$2:K$998, A29) &gt; 0, 125, 0)
  + IF(COUNTIF(EggMilk!P$2:P$998, A29) &gt; 0, 90, 0)
  + IF(COUNTIF(EggMilk!A$2:A$998, A29) &gt; 0, 90, 0)
)
* (0.8 + 0.4 * J29)
* 0.75,25)</f>
        <v>250</v>
      </c>
      <c r="I29" s="2">
        <f>MROUND(ROUNDDOWN(_xlfn.XLOOKUP(B29,'Base stats'!B:B,'Base stats'!L:L)/3.6/(23.3/11),1),0.5)</f>
        <v>5</v>
      </c>
      <c r="J29" s="2">
        <f>IF(OR(_xlfn.XLOOKUP(B29,'Base stats'!B:B,'Base stats'!AB:AB)=1,_xlfn.XLOOKUP(_xlfn.XLOOKUP(B29,'Base stats'!B:B,'Base stats'!E:E),Groups!A:A,Groups!C:C)="Untamable"),1,IF(_xlfn.XLOOKUP(B29,'Base stats'!B:B,'Base stats'!AL:AL)=1,0.99,MIN(MROUND((1-0.6282*EXP(-0.459*AO29))*_xlfn.XLOOKUP(_xlfn.XLOOKUP(B29,'Base stats'!B:B,'Base stats'!E:E),Groups!A:A,Groups!C:C)*IF(_xlfn.XLOOKUP(B29,'Base stats'!B:B,'Base stats'!O:O)=1,0.5,IF(_xlfn.XLOOKUP(B29,'Base stats'!B:B,'Base stats'!O:O)=2,0,1)),0.05),IF(AO29&gt;3.5,0.985,0.95))))</f>
        <v>0.70000000000000007</v>
      </c>
      <c r="K29" s="2">
        <f>ROUNDUP(AO29*_xlfn.XLOOKUP(_xlfn.XLOOKUP(B29,'Base stats'!B:B,'Base stats'!E:E),Groups!A:A,Groups!E:E),0)</f>
        <v>8</v>
      </c>
      <c r="L29" s="2">
        <f>IF(OR(_xlfn.XLOOKUP(_xlfn.XLOOKUP(B29,'Base stats'!B:B,'Base stats'!E:E),Groups!A:A,Groups!F:F)=2,ISNUMBER(SEARCH("SeaIce",BX29)),ISNUMBER(SEARCH("IceSheet",BX29))),-50,IF(OR(ISNUMBER(SEARCH("GlacialPlain",BX29)),ISNUMBER(SEARCH("Tundra",BX29))),-40,IF(OR(ISNUMBER(SEARCH("Alpine",BX29)),ISNUMBER(SEARCH("BorealForest",BX29)),ISNUMBER(SEARCH("ColdBog",BX29))),-30,IF(OR(ISNUMBER(SEARCH("TemperateForest",BX29)),ISNUMBER(SEARCH("TemperateSwamp",BX29))),-20,IF(_xlfn.XLOOKUP(_xlfn.XLOOKUP(B29,'Base stats'!B:B,'Base stats'!E:E),Groups!A:A,Groups!F:F)=1,-15,IF(OR(ISNUMBER(SEARCH("Desert",BX29)),ISNUMBER(SEARCH("ExtremeDesert",BX29))),-10,IF(OR(ISNUMBER(SEARCH("Grasslands",BX29)),ISNUMBER(SEARCH("TropicalRainforest",BX29)),ISNUMBER(SEARCH("TropicalSwamp",BX29))),10,0)))))))-IF(CC29="False",MIN(IFERROR(MAX(MROUND(LOG10(_xlfn.XLOOKUP(B29,'Base stats'!B:B,'Base stats'!C:C)^(2/3))*10,5),5),5),30))-_xlfn.XLOOKUP(B29,'Base stats'!B:B,'Base stats'!P:P)+IF(CC29="True",5,0)</f>
        <v>-45</v>
      </c>
      <c r="M29" s="2">
        <f>IF(OR(_xlfn.XLOOKUP(_xlfn.XLOOKUP(B29,'Base stats'!B:B,'Base stats'!E:E),Groups!A:A,Groups!G:G)=2,ISNUMBER(SEARCH("Desert",BX29)),ISNUMBER(SEARCH("ExtremeDesert",BX29)),ISNUMBER(SEARCH("LavaField",BX29))),50,IF(ISNUMBER(SEARCH("Grasslands",BX29)),45,IF(OR(_xlfn.XLOOKUP(_xlfn.XLOOKUP(B29,'Base stats'!B:B,'Base stats'!E:E),Groups!A:A,Groups!G:G)=1,ISNUMBER(SEARCH("TropicalRainforest",BX29)),ISNUMBER(SEARCH("TropicalSwamp",BX29))),40,IF(OR(ISNUMBER(SEARCH("TemperateForest",BX29)),ISNUMBER(SEARCH("TemperateSwamp",BX29))),35,IF(OR(ISNUMBER(SEARCH("Alpine",BX29)),ISNUMBER(SEARCH("BorealForest",BX29)),ISNUMBER(SEARCH("ColdBog",BX29))),30,IF(ISNUMBER(OR(ISNUMBER(SEARCH("GlacialPlain",BX29)),SEARCH("Tundra",BX29))),25,IF(OR(ISNUMBER(SEARCH("SeaIce",BX29)),ISNUMBER(SEARCH("IceSheet",BX29)),ISNUMBER(SEARCH("TropicalSwamp",BX29))),10,35)))))))+_xlfn.XLOOKUP(B29,'Base stats'!B:B,'Base stats'!Q:Q)</f>
        <v>40</v>
      </c>
      <c r="N29" s="8" t="str">
        <f>IF(
_xlfn.XLOOKUP(
_xlfn.XLOOKUP(B29,'Base stats'!B:B,'Base stats'!E:E),
Groups!A:A,
Groups!L:L
)=1,
MIN(
MROUND(
IF(
_xlfn.XLOOKUP(B29,'Animals CE'!B:B,'Animals CE'!Z:Z)&lt;=1.5,
_xlfn.XLOOKUP(B29,'Animals CE'!B:B,'Animals CE'!Z:Z)/2+0.05,
0.8+
(_xlfn.XLOOKUP(B29,'Animals CE'!B:B,'Animals CE'!Z:Z)-1.5)
*0.02
),
0.05
),
200%
),
"No"
)</f>
        <v>No</v>
      </c>
      <c r="O29" s="8" t="str">
        <f>IF(
_xlfn.XLOOKUP(
_xlfn.XLOOKUP(B29,'Base stats'!B:B,'Base stats'!E:E),
Groups!A:A,
Groups!L:L
)=1,
MIN(
MROUND(
IF(
_xlfn.XLOOKUP(B29,'Animals CE'!B:B,'Animals CE'!AA:AA)&lt;=1.5,
_xlfn.XLOOKUP(B29,'Animals CE'!B:B,'Animals CE'!AA:AA)/2+0.05,
0.8+
(_xlfn.XLOOKUP(B29,'Animals CE'!B:B,'Animals CE'!AA:AA)-1.5)
*0.02
),
0.05
),
200%
),
"No"
)</f>
        <v>No</v>
      </c>
      <c r="P29" s="2">
        <f>_xlfn.XLOOKUP(B29,'Base stats'!B:B,'Base stats'!R:R)</f>
        <v>0.8</v>
      </c>
      <c r="Q29" s="13">
        <f>MROUND((LOG10(_xlfn.XLOOKUP(B29,'Base stats'!B:B,'Base stats'!AR:AR))*(AO29^0.5)+(_xlfn.XLOOKUP(B29,'Base stats'!B:B,'Base stats'!AR:AR)/1000)^(2/3)+_xlfn.XLOOKUP(B29,'Base stats'!B:B,'Base stats'!BA:BA)/2)+0.5,0.5)</f>
        <v>9.5</v>
      </c>
      <c r="R29" s="7">
        <f>IF(Q29="No","No",MAX(1,MROUND(_xlfn.XLOOKUP(B29,'Base stats'!B:B,'Base stats'!C:C)^0.165,0.05)))</f>
        <v>2.3000000000000003</v>
      </c>
      <c r="S29" s="13" t="str">
        <f>IF(_xlfn.XLOOKUP(_xlfn.XLOOKUP(B29,'Base stats'!B:B,'Base stats'!E:E),Groups!A:A,Groups!P:P)=0,"No",MROUND((LOG10(_xlfn.XLOOKUP(B29,'Base stats'!B:B,'Base stats'!AS:AS))*(AO29^0.5)+(_xlfn.XLOOKUP(B29,'Base stats'!B:B,'Base stats'!AS:AS)/1000)^(2/3)+_xlfn.XLOOKUP(B29,'Base stats'!B:B,'Base stats'!BA:BA))+_xlfn.XLOOKUP(B29,'Base stats'!B:B,'Base stats'!AY:AY)+0.5,0.5))</f>
        <v>No</v>
      </c>
      <c r="T29" s="7" t="str">
        <f>IF(S29="No","No",MAX(_xlfn.XLOOKUP(_xlfn.XLOOKUP(B29,'Base stats'!B:B,'Base stats'!E:E),Groups!A:A,Groups!Q:Q),MROUND(_xlfn.XLOOKUP(_xlfn.XLOOKUP(B29,'Base stats'!B:B,'Base stats'!E:E),Groups!A:A,Groups!Q:Q)*_xlfn.XLOOKUP(B29,'Base stats'!B:B,'Base stats'!C:C)^0.165,0.05)))</f>
        <v>No</v>
      </c>
      <c r="U29" s="7" t="str">
        <f>IF(S29="No","No",_xlfn.XLOOKUP(_xlfn.XLOOKUP(B29,'Base stats'!B:B,'Base stats'!E:E),Groups!A:A,Groups!R:R))</f>
        <v>No</v>
      </c>
      <c r="V29" s="7" t="str">
        <f>IF(S29="No","No",_xlfn.XLOOKUP(_xlfn.XLOOKUP(B29,'Base stats'!B:B,'Base stats'!E:E),Groups!A:A,Groups!S:S))</f>
        <v>No</v>
      </c>
      <c r="W29" s="7" t="str">
        <f>IF(S29="No","No",_xlfn.XLOOKUP(_xlfn.XLOOKUP(B29,'Base stats'!B:B,'Base stats'!E:E),Groups!A:A,Groups!T:T))</f>
        <v>No</v>
      </c>
      <c r="X29" s="13">
        <f>IF(_xlfn.XLOOKUP(B29,'Base stats'!B:B,'Base stats'!W:W)="No","No",MROUND((LOG10(_xlfn.XLOOKUP(B29,'Base stats'!B:B,'Base stats'!AU:AU))*(AO29^0.5)+(_xlfn.XLOOKUP(B29,'Base stats'!B:B,'Base stats'!AU:AU)/1000)^(2/3)+_xlfn.XLOOKUP(B29,'Base stats'!B:B,'Base stats'!AZ:AZ))+0.5+IF(_xlfn.XLOOKUP(_xlfn.XLOOKUP(B29,'Base stats'!B:B,'Base stats'!E:E),Groups!A:A,Groups!U:U)&lt;&gt;3,_xlfn.XLOOKUP(B29,'Base stats'!B:B,'Base stats'!BA:BA),0),0.5))</f>
        <v>17.5</v>
      </c>
      <c r="Y29" s="7">
        <f>IF(X29="No","No",MAX(_xlfn.XLOOKUP(_xlfn.XLOOKUP(B29,'Base stats'!B:B,'Base stats'!E:E),Groups!A:A,Groups!V:V),MROUND(_xlfn.XLOOKUP(_xlfn.XLOOKUP(B29,'Base stats'!B:B,'Base stats'!E:E),Groups!A:A,Groups!V:V)*_xlfn.XLOOKUP(B29,'Base stats'!B:B,'Base stats'!C:C)^0.165,0.05)))</f>
        <v>1.85</v>
      </c>
      <c r="Z29" s="7" t="str">
        <f>IF(X29="No","No",_xlfn.XLOOKUP(_xlfn.XLOOKUP(B29,'Base stats'!B:B,'Base stats'!E:E),Groups!A:A,Groups!W:W))</f>
        <v>TuskAttackTool</v>
      </c>
      <c r="AA29" s="7" t="str">
        <f>IF(X29="No","No",_xlfn.XLOOKUP(_xlfn.XLOOKUP(B29,'Base stats'!B:B,'Base stats'!E:E),Groups!A:A,Groups!X:X))</f>
        <v>tusk</v>
      </c>
      <c r="AB29" s="7" t="str">
        <f>IF(X29="No","No",_xlfn.XLOOKUP(_xlfn.XLOOKUP(B29,'Base stats'!B:B,'Base stats'!E:E),Groups!A:A,Groups!Y:Y))</f>
        <v>Scratch</v>
      </c>
      <c r="AC29" s="7" t="str">
        <f>_xlfn.XLOOKUP(Animals!B29,'Base stats'!B:B,'Base stats'!X:X)</f>
        <v>True</v>
      </c>
      <c r="AD29" s="13">
        <f>IF(_xlfn.XLOOKUP(B29,'Base stats'!B:B,'Base stats'!AT:AT)="No","No",MROUND((LOG10(_xlfn.XLOOKUP(B29,'Base stats'!B:B,'Base stats'!AT:AT))*(AO29^0.75)+(_xlfn.XLOOKUP(B29,'Base stats'!B:B,'Base stats'!AT:AT)/1000)^(2/3)+_xlfn.XLOOKUP(B29,'Base stats'!B:B,'Base stats'!AX:AX)+_xlfn.XLOOKUP(B29,'Base stats'!B:B,'Base stats'!BA:BA))+0.5,0.5))</f>
        <v>19.5</v>
      </c>
      <c r="AE29" s="7">
        <f>IF(AD29="No","No",MAX(_xlfn.XLOOKUP(_xlfn.XLOOKUP(B29,'Base stats'!B:B,'Base stats'!E:E),Groups!A:A,Groups!Z:Z),MROUND(_xlfn.XLOOKUP(_xlfn.XLOOKUP(B29,'Base stats'!B:B,'Base stats'!E:E),Groups!A:A,Groups!Z:Z)*_xlfn.XLOOKUP(B29,'Base stats'!B:B,'Base stats'!C:C)^0.165,0.05)))</f>
        <v>2.15</v>
      </c>
      <c r="AF29" s="7" t="str">
        <f>IF(AD29="No","No",_xlfn.XLOOKUP(_xlfn.XLOOKUP(B29,'Base stats'!B:B,'Base stats'!E:E),Groups!A:A,Groups!AA:AA))</f>
        <v>Teeth</v>
      </c>
      <c r="AG29" s="7" t="str">
        <f>IF(AD29="No","No",_xlfn.XLOOKUP(_xlfn.XLOOKUP(B29,'Base stats'!B:B,'Base stats'!E:E),Groups!A:A,Groups!AB:AB))</f>
        <v>teeth</v>
      </c>
      <c r="AH29" s="7" t="str">
        <f>IF(AD29="No","No",_xlfn.XLOOKUP(_xlfn.XLOOKUP(B29,'Base stats'!B:B,'Base stats'!E:E),Groups!A:A,Groups!AC:AC))</f>
        <v>Bite</v>
      </c>
      <c r="AI29" s="13" t="str">
        <f>IF(_xlfn.XLOOKUP(_xlfn.XLOOKUP(B29,'Base stats'!B:B,'Base stats'!E:E),Groups!A:A,Groups!AD:AD)=0,"No",MROUND((LOG10(_xlfn.XLOOKUP(B29,'Base stats'!B:B,'Base stats'!AS:AS))*(AO29^0.75)+(_xlfn.XLOOKUP(B29,'Base stats'!B:B,'Base stats'!AS:AS)/1000)^(2/3)+_xlfn.XLOOKUP(B29,'Base stats'!B:B,'Base stats'!AY:AY)+_xlfn.XLOOKUP(B29,'Base stats'!B:B,'Base stats'!BA:BA))+0.5,0.5))</f>
        <v>No</v>
      </c>
      <c r="AJ29" s="7" t="str">
        <f>IF(AI29="No","No",MAX(_xlfn.XLOOKUP(_xlfn.XLOOKUP(B29,'Base stats'!B:B,'Base stats'!E:E),Groups!A:A,Groups!AE:AE),MROUND(_xlfn.XLOOKUP(_xlfn.XLOOKUP(B29,'Base stats'!B:B,'Base stats'!E:E),Groups!A:A,Groups!AE:AE)*IF(_xlfn.XLOOKUP(_xlfn.XLOOKUP(B29,'Base stats'!B:B,'Base stats'!E:E),Groups!A:A,Groups!AJ:AJ)="Photonozoa",0.6,1)*_xlfn.XLOOKUP(B29,'Base stats'!B:B,'Base stats'!C:C)^0.165,0.05)))</f>
        <v>No</v>
      </c>
      <c r="AK29" s="7" t="str">
        <f>IF(AI29="No","No",_xlfn.XLOOKUP(_xlfn.XLOOKUP(B29,'Base stats'!B:B,'Base stats'!E:E),Groups!A:A,Groups!AF:AF))</f>
        <v>No</v>
      </c>
      <c r="AL29" s="7" t="str">
        <f>IF(AI29="No","No",_xlfn.XLOOKUP(_xlfn.XLOOKUP(B29,'Base stats'!B:B,'Base stats'!E:E),Groups!A:A,Groups!AG:AG))</f>
        <v>No</v>
      </c>
      <c r="AM29" s="7" t="str">
        <f>IF(AI29="No","No",_xlfn.XLOOKUP(_xlfn.XLOOKUP(B29,'Base stats'!B:B,'Base stats'!E:E),Groups!A:A,Groups!AH:AH))</f>
        <v>No</v>
      </c>
      <c r="AN29" s="2" t="str">
        <f t="shared" si="0"/>
        <v>No</v>
      </c>
      <c r="AO29" s="2">
        <f>MROUND(IF(AND(_xlfn.XLOOKUP(B29,'Base stats'!B:B,'Base stats'!C:C)&gt;=0.5,_xlfn.XLOOKUP(B29,'Base stats'!B:B,'Base stats'!C:C)&lt;=0.8),
IF(_xlfn.XLOOKUP(B29,'Base stats'!B:B,'Base stats'!C:C)&lt;0.1,0.05,IF(_xlfn.XLOOKUP(B29,'Base stats'!B:B,'Base stats'!C:C)&lt;=70,(_xlfn.XLOOKUP(B29,'Base stats'!B:B,'Base stats'!C:C)/70)^0.426489913056526,IF(_xlfn.XLOOKUP(B29,'Base stats'!B:B,'Base stats'!C:C)&lt;=400,(_xlfn.XLOOKUP(B29,'Base stats'!B:B,'Base stats'!C:C)/70)^0.572811455315093,IF(_xlfn.XLOOKUP(B29,'Base stats'!B:B,'Base stats'!C:C)&lt;=2000,2.71391647193063*(_xlfn.XLOOKUP(B29,'Base stats'!B:B,'Base stats'!C:C)/400)^0.252459582904293,3.74314280240376*(_xlfn.XLOOKUP(B29,'Base stats'!B:B,'Base stats'!C:C)/2000)^0.357012633876913)))),
IF(_xlfn.XLOOKUP(B29,'Base stats'!B:B,'Base stats'!C:C)&lt;0.1,0.05,IF(_xlfn.XLOOKUP(B29,'Base stats'!B:B,'Base stats'!C:C)&lt;0.4,0.1,IF(_xlfn.XLOOKUP(B29,'Base stats'!B:B,'Base stats'!C:C)&lt;=70,(_xlfn.XLOOKUP(B29,'Base stats'!B:B,'Base stats'!C:C)/70)^0.445823913056526,IF(_xlfn.XLOOKUP(B29,'Base stats'!B:B,'Base stats'!C:C)&lt;=400,(_xlfn.XLOOKUP(B29,'Base stats'!B:B,'Base stats'!C:C)/70)^0.572811455315093,IF(_xlfn.XLOOKUP(B29,'Base stats'!B:B,'Base stats'!C:C)&lt;=2000,2.71391647193063*(_xlfn.XLOOKUP(B29,'Base stats'!B:B,'Base stats'!C:C)/400)^0.252459582904293,3.74314280240376*(_xlfn.XLOOKUP(B29,'Base stats'!B:B,'Base stats'!C:C)/2000)^0.357012633876913)))))),
IF(_xlfn.XLOOKUP(B29,'Base stats'!B:B,'Base stats'!C:C)&lt;0.1,0.05,IF(_xlfn.XLOOKUP(B29,'Base stats'!B:B,'Base stats'!C:C)&lt;=100,0.05,IF(_xlfn.XLOOKUP(B29,'Base stats'!B:B,'Base stats'!C:C)&lt;=250,0.1,IF(_xlfn.XLOOKUP(B29,'Base stats'!B:B,'Base stats'!C:C)&lt;=4000,0.25,0.5)))))</f>
        <v>1.5</v>
      </c>
      <c r="AP29" s="8">
        <f>MROUND(AO29*_xlfn.XLOOKUP(_xlfn.XLOOKUP(B29,'Base stats'!B:B,'Base stats'!E:E),Groups!A:A,Groups!AI:AI)*_xlfn.XLOOKUP(B29,'Base stats'!B:B,'Base stats'!Z:Z),0.05)</f>
        <v>1.5</v>
      </c>
      <c r="AQ29" s="8">
        <f>MAX(0.01,MROUND(IF(CC29="True",0.196*(AO29*100*1000)^0.889,IF(_xlfn.XLOOKUP(_xlfn.XLOOKUP(B29,'Base stats'!B:B,'Base stats'!E:E),Groups!A:A,Groups!AJ:AJ)="Bird",10.5*(AO29*100*1000)^0.681,4.82*(AO29*100*1000)^0.734))/(4.82*(1*100*1000)^0.734)/IF(AO29&lt;3.5,2,IF(AO29=3.5,1.5,1.25))*(1+0.132282374779864/(AO29^0.994035016789033+0.00905238001496948)),0.05))</f>
        <v>0.75</v>
      </c>
      <c r="AR29" s="9">
        <f>IFERROR(MROUND(_xlfn.XLOOKUP(B29,'Base stats'!B:B,'Base stats'!H:H)/IF(_xlfn.XLOOKUP(B29,'Base stats'!B:B,'Base stats'!I:I)&lt;&gt;1,(122.5/70),1.2),IF(_xlfn.XLOOKUP(B29,'Base stats'!B:B,'Base stats'!H:H)&gt;=30,5,IF(_xlfn.XLOOKUP(B29,'Base stats'!B:B,'Base stats'!H:H)&gt;=15,3,IF(_xlfn.XLOOKUP(B29,'Base stats'!B:B,'Base stats'!H:H)&gt;=10,2,1)))),"Immortal")</f>
        <v>15</v>
      </c>
      <c r="AS29" s="35">
        <f>IFERROR(IF(OR(_xlfn.XLOOKUP(B29,'Base stats'!B:B,'Base stats'!F:F)="Atypical reproduction",_xlfn.XLOOKUP(B29,'Base stats'!B:B,'Base stats'!F:F)="Lay eggs"),"Lay eggs",MIN(20,MAX(5.5,ROUND(((_xlfn.XLOOKUP(B29,'Base stats'!B:B,'Base stats'!F:F)-25)*(14.5/615) + 5.5)*2,0)/2))),"Unknown")</f>
        <v>7.5</v>
      </c>
      <c r="AT29" s="8">
        <f>IF(_xlfn.XLOOKUP(B29,'Base stats'!B:B,'Base stats'!G:G)="Atypical reproduction","No",IFERROR(MAX(IF(_xlfn.XLOOKUP(B29,'Base stats'!B:B,'Base stats'!G:G)&lt;0.5,0.2,0.3),MROUND(_xlfn.XLOOKUP(B29,'Base stats'!B:B,'Base stats'!G:G)/(365/60),0.2)),"Unknown"))</f>
        <v>0.3</v>
      </c>
      <c r="AU29" s="8">
        <f t="shared" si="1"/>
        <v>0.15000000000000002</v>
      </c>
      <c r="AV29" s="8">
        <f>IFERROR(IFERROR(MROUND(_xlfn.XLOOKUP(B29,'Base stats'!B:B,'Base stats'!J:J),0.1),"Lay eggs"),"Cannot breed")</f>
        <v>7</v>
      </c>
      <c r="AW29" s="2" t="str">
        <f t="shared" si="2"/>
        <v>true</v>
      </c>
      <c r="AX29" s="2" t="str">
        <f>IF(_xlfn.XLOOKUP(_xlfn.XLOOKUP(Animals!B29,'Base stats'!B:B,'Base stats'!E:E),Groups!A:A,Groups!AK:AK)=1,"true","false")</f>
        <v>false</v>
      </c>
      <c r="AY29" s="25" t="str">
        <f>IF(_xlfn.XLOOKUP(B29,'Base stats'!B:B,'Base stats'!Y:Y)="Liquor","Liquor, CarnivoreAnimalStrict",IF(AND(_xlfn.XLOOKUP(B29,'Base stats'!B:B,'Base stats'!Y:Y)="Carnivore",_xlfn.XLOOKUP(_xlfn.XLOOKUP(B29,'Base stats'!B:B,'Base stats'!E:E),Groups!A:A,Groups!AJ:AJ)="Photonozoa"),"CarnivoreAnimalStrict, OvivoreAnimal",IF(_xlfn.XLOOKUP(B29,'Base stats'!B:B,'Base stats'!Y:Y)="Carnivore","CarnivoreAnimal, OvivoreAnimal",IF(_xlfn.XLOOKUP(B29,'Base stats'!B:B,'Base stats'!Y:Y)="Dendrovore","VegetarianRoughAnimal, DendrovoreAnimal",IF(_xlfn.XLOOKUP(B29,'Base stats'!B:B,'Base stats'!Y:Y)="Herbivore","VegetarianRoughAnimal",IF(_xlfn.XLOOKUP(B29,'Base stats'!B:B,'Base stats'!Y:Y)="OmnivoreRough","OmnivoreRoughAnimal, OvivoreAnimal","OmnivoreAnimal, OvivoreAnimal"))))))</f>
        <v>OmnivoreRoughAnimal, OvivoreAnimal</v>
      </c>
      <c r="AZ29" s="2">
        <f>IF(_xlfn.XLOOKUP(_xlfn.XLOOKUP(B29,'Base stats'!B:B,'Base stats'!E:E),Groups!A:A,Groups!D:D)=1,MROUND((1-J29)*5+1,2)*IF(J29&lt;=0.4,2,1),"No")</f>
        <v>2</v>
      </c>
      <c r="BA29" s="2" t="str">
        <f>IF(AND(_xlfn.XLOOKUP(B29,'Base stats'!B:B,'Base stats'!AH:AH)="&lt;li&gt;Seal&lt;/li&gt;",G29="Odyssey"),"&lt;li&gt;AEXP_Seal&lt;/li&gt;",_xlfn.XLOOKUP(B29,'Base stats'!B:B,'Base stats'!AH:AH))</f>
        <v>&lt;li&gt;Pig&lt;/li&gt;</v>
      </c>
      <c r="BB29" s="2" t="str">
        <f>_xlfn.XLOOKUP(B29,'Base stats'!B:B,'Base stats'!AG:AG)</f>
        <v>Leather_Pig</v>
      </c>
      <c r="BC29" s="23" t="str">
        <f>_xlfn.XLOOKUP(_xlfn.XLOOKUP(B29,'Base stats'!B:B,'Base stats'!E:E),Groups!A:A,Groups!AL:AL)</f>
        <v>QuadrupedAnimalWithHoovesAndTusks</v>
      </c>
      <c r="BD29" s="23">
        <f>MIN(1,MROUND(IF(AND(AO29&lt;0.5,_xlfn.XLOOKUP(B29,'Base stats'!B:B,'Base stats'!AA:AA)=0),0,IF(OR(_xlfn.XLOOKUP(Animals!B29,'Base stats'!B:B,'Base stats'!O:O)=2,_xlfn.XLOOKUP(_xlfn.XLOOKUP(B29,'Base stats'!B:B,'Base stats'!E:E),Groups!A:A,Groups!AN:AN)=0),0,_xlfn.XLOOKUP(_xlfn.XLOOKUP(B29,'Base stats'!B:B,'Base stats'!E:E),Groups!A:A,Groups!AN:AN)/IF(_xlfn.XLOOKUP(Animals!B29,'Base stats'!B:B,'Base stats'!O:O)=1,2,1)))+_xlfn.XLOOKUP(B29,'Base stats'!B:B,'Base stats'!AC:AC),0.005))</f>
        <v>2.5000000000000001E-2</v>
      </c>
      <c r="BE29" s="23">
        <f>MIN(1,MROUND(IF(AND(AO29&lt;0.5,_xlfn.XLOOKUP(B29,'Base stats'!B:B,'Base stats'!AA:AA)=0),0,IF(_xlfn.XLOOKUP(_xlfn.XLOOKUP(B29,'Base stats'!B:B,'Base stats'!E:E),Groups!A:A,Groups!AO:AO)=0,0,_xlfn.XLOOKUP(_xlfn.XLOOKUP(B29,'Base stats'!B:B,'Base stats'!E:E),Groups!A:A,Groups!AO:AO)/IF(_xlfn.XLOOKUP(Animals!B29,'Base stats'!B:B,'Base stats'!O:O)=2,3,1)))+_xlfn.XLOOKUP(B29,'Base stats'!B:B,'Base stats'!AD:AD),0.005))</f>
        <v>0.1</v>
      </c>
      <c r="BF29" s="2" t="str">
        <f>IF(J29&gt;0.3,"No",_xlfn.XLOOKUP(_xlfn.XLOOKUP(Animals!B29,'Base stats'!B:B,'Base stats'!E:E),Groups!A:A,Groups!AP:AP))</f>
        <v>No</v>
      </c>
      <c r="BG29" s="2" t="str">
        <f>IF(AND(J29&lt;=0.65,_xlfn.XLOOKUP(_xlfn.XLOOKUP(Animals!B29,'Base stats'!B:B,'Base stats'!E:E),Groups!A:A,Groups!AP:AP)&lt;&gt;"No",_xlfn.XLOOKUP(_xlfn.XLOOKUP(B29,'Base stats'!B:B,'Base stats'!E:E),Groups!A:A,Groups!D:D)=0),MROUND((80/3)*IF(_xlfn.XLOOKUP(B29,'Base stats'!B:B,'Base stats'!O:O)=2,0.2,AO29) + 24*(1-IF(BF29="No",0,BF29)) + 16/3, 12),"No")</f>
        <v>No</v>
      </c>
      <c r="BH29" s="2">
        <f>IF(AND(_xlfn.XLOOKUP(_xlfn.XLOOKUP(B29,'Base stats'!B:B,'Base stats'!E:E),Groups!A:A,Groups!AQ:AQ)=1,AO29&lt;=0.35),8,12)</f>
        <v>12</v>
      </c>
      <c r="BI29" s="2" t="str">
        <f>IF(_xlfn.XLOOKUP(_xlfn.XLOOKUP(B29,'Base stats'!B:B,'Base stats'!E:E),Groups!A:A,Groups!D:D)=0,_xlfn.XLOOKUP(_xlfn.XLOOKUP(B29,'Base stats'!B:B,'Base stats'!E:E),Groups!A:A,Groups!AR:AR),"None")</f>
        <v>None</v>
      </c>
      <c r="BJ29" s="2" t="str">
        <f>IF(AND(_xlfn.XLOOKUP(_xlfn.XLOOKUP(B29,'Base stats'!B:B,'Base stats'!E:E),Groups!A:A,Groups!AS:AS)=1,OR(_xlfn.XLOOKUP(B29,'Base stats'!B:B,'Base stats'!Y:Y)="Carnivore",_xlfn.XLOOKUP(B29,'Base stats'!B:B,'Base stats'!Y:Y)="Omnivore")),"true","false")</f>
        <v>false</v>
      </c>
      <c r="BK29" s="2" t="str">
        <f>IF(BJ29="true",MROUND(IF(AND(AO29&gt;0.5,OR(_xlfn.XLOOKUP(_xlfn.XLOOKUP(B29,'Base stats'!B:B,'Base stats'!E:E),Groups!A:A,Groups!AJ:AJ)="Photonozoa",_xlfn.XLOOKUP(_xlfn.XLOOKUP(B29,'Base stats'!B:B,'Base stats'!E:E),Groups!A:A,Groups!AJ:AJ)="Mammal")),Animals!AO29*1.75*IF(AW29="true",1.5,1),IF(AO29&lt;0.5,Animals!AO29*0.5,Animals!AO29)),IF(AO29&gt;2,0.5,IF(AO29&gt;0.5,0.25,0.1))),"No")</f>
        <v>No</v>
      </c>
      <c r="BL29" s="2">
        <f t="shared" si="3"/>
        <v>0</v>
      </c>
      <c r="BM29" s="25" t="str">
        <f>IF(_xlfn.XLOOKUP(B29,'Base stats'!B:B,'Base stats'!AN:AN)="Standard","No",MROUND((_xlfn.XLOOKUP(B29,'Base stats'!B:B,'Base stats'!AN:AN)/3.6)/I29,0.1))</f>
        <v>No</v>
      </c>
      <c r="BN29" s="25" t="str">
        <f t="shared" si="4"/>
        <v>false</v>
      </c>
      <c r="BO29" s="25" t="str">
        <f>IF(AND(OR(_xlfn.XLOOKUP(B29,'Base stats'!B:B,'Base stats'!Y:Y)="Carnivore",_xlfn.XLOOKUP(B29,'Base stats'!B:B,'Base stats'!Y:Y)="Omnivore",_xlfn.XLOOKUP(B29,'Base stats'!B:B,'Base stats'!Y:Y)="OmnivoreRough"),_xlfn.XLOOKUP(_xlfn.XLOOKUP(B29,'Base stats'!B:B,'Base stats'!E:E),Groups!A:A,Groups!AT:AT)=1),"true","false")</f>
        <v>false</v>
      </c>
      <c r="BP29" s="25" t="str" cm="1">
        <f t="array" ref="BP29">IF(
  _xlfn.TEXTJOIN(", ",TRUE,
    IF(AND(BJ29="true",AO29&gt;0.5,BI29&lt;&gt;"None"),"AttackTarget",""),
    IF(AND(_xlfn.XLOOKUP(_xlfn.XLOOKUP(B29,'Base stats'!B:B,'Base stats'!E:E),Groups!A:A,Groups!AJ:AJ="Mammal"),OR(_xlfn.XLOOKUP(B29,'Base stats'!B:B,'Base stats'!Y:Y)="Omnivore",_xlfn.XLOOKUP(B29,'Base stats'!B:B,'Base stats'!Y:Y)="OmnivoreRough")),"Forage",""),
    IF(BG29&lt;=36,"Comfort",""),
    IF(_xlfn.XLOOKUP(B29,'Base stats'!B:B,'Base stats'!AE:AE)&lt;&gt;"No",_xlfn.XLOOKUP(B29,'Base stats'!B:B,'Base stats'!AE:AE),"")
  ) = "",
  "No",
  _xlfn.TEXTJOIN(", ",TRUE,
    IF(AND(BJ29="true",AO29&gt;0.5,BI29&lt;&gt;"None"),"AttackTarget",""),
    IF(AND(_xlfn.XLOOKUP(_xlfn.XLOOKUP(B29,'Base stats'!B:B,'Base stats'!E:E),Groups!A:A,Groups!AJ:AJ="Mammal"),OR(_xlfn.XLOOKUP(B29,'Base stats'!B:B,'Base stats'!Y:Y)="Omnivore",_xlfn.XLOOKUP(B29,'Base stats'!B:B,'Base stats'!Y:Y)="OmnivoreRough")),"Forage",""),
    IF(BG29&lt;=36,"Comfort",""),
    IF(_xlfn.XLOOKUP(B29,'Base stats'!B:B,'Base stats'!AE:AE)&lt;&gt;"No",_xlfn.XLOOKUP(B29,'Base stats'!B:B,'Base stats'!AE:AE),"")
  )
)</f>
        <v>Forage</v>
      </c>
      <c r="BQ29" s="25" t="str">
        <f>IF(
   AND(
      'Base stats'!AN29="Standard",_xlfn.XLOOKUP(_xlfn.XLOOKUP(B29,'Base stats'!B:B,'Base stats'!E:E),Groups!A:A,Groups!AU:AU)=0,
      OR(
      BO29="True"
      )
   ),
   10,
   IF(
       OR(BM29&lt;&gt;"No",_xlfn.XLOOKUP(_xlfn.XLOOKUP(B29,'Base stats'!B:B,'Base stats'!E:E),Groups!A:A,Groups!AU:AU)=1),
      1,
      "No"
   )
)</f>
        <v>No</v>
      </c>
      <c r="BR29" s="9">
        <f>MROUND((1 + ((0.2*IF(OR(Q29="No",R29="No",R29=0),0,Q29/R29)
+IF(OR(V29="No",S29="No",T29="No"),0,S29/T29*(LEN(V29)-LEN(SUBSTITUTE(V29,",",""))+1))
+IF(OR(X29="No",Y29="No"),0,X29/Y29)
+IF(OR(AD29="No",AE29="No"),0,AD29/AE29)
+IF(OR(AL29="No",AI29="No",AJ29="No"),0,AI29/AJ29*(LEN(AL29)-LEN(SUBSTITUTE(AL29,",",""))+1))
)/(0.2*IF(OR(Q29="No",R29="No",R29=0),0,1)
+IF(OR(V29="No",S29="No",T29="No"),0,LEN(V29)-LEN(SUBSTITUTE(V29,",",""))+1)
+IF(OR(X29="No",Y29="No"),0,1)
+IF(OR(AD29="No",AE29="No"),0,1)
+IF(OR(AL29="No",AI29="No",AJ29="No"),0,LEN(AL29)-LEN(SUBSTITUTE(AL29,",",""))+1))*62%)* 2)*(1 + (AP29 / (IF(_xlfn.XLOOKUP(_xlfn.XLOOKUP(B29,'Base stats'!B:B,'Base stats'!E:E),Groups!A:A,Groups!AJ:AJ)="Photonozoa",0.3,1)) + _xlfn.XLOOKUP(B29,'Base stats'!B:B,'Base stats'!AV:AV) * 1.8) * 2) * 2.5 + 10 + I29 * 2,5)+IF(_xlfn.XLOOKUP(B29,'Base stats'!B:B,'Base stats'!AK:AK)=1,50,0)</f>
        <v>140</v>
      </c>
      <c r="BS29" s="8">
        <f t="shared" si="5"/>
        <v>0.9</v>
      </c>
      <c r="BT29" s="8" t="str">
        <f>_xlfn.XLOOKUP(B29,'Base stats'!B:B,'Base stats'!AF:AF)</f>
        <v>3~10</v>
      </c>
      <c r="BU29" s="2" t="str">
        <f>IF(AND(J29&lt;=0.95,OR(_xlfn.XLOOKUP(B29,'Base stats'!B:B,'Base stats'!AK:AK)=1,_xlfn.XLOOKUP(B29,'Base stats'!B:B,'Base stats'!Y:Y)="Carnivore",_xlfn.XLOOKUP(B29,'Base stats'!B:B,'Base stats'!Y:Y)="Omnivore",BE29&gt;0.1)),"true","false")</f>
        <v>false</v>
      </c>
      <c r="BV29" s="2" t="str">
        <f>IF(_xlfn.XLOOKUP(B29,'Base stats'!B:B,'Base stats'!AI:AI)=1,"true","false")</f>
        <v>false</v>
      </c>
      <c r="BW29" s="25" t="str">
        <f>IF(E29="BaseInsect","AnimalInsect",
IF(J29&gt;0.95,"AnimalExotic",
_xlfn.TEXTJOIN(", ",TRUE,
IF(OR(_xlfn.XLOOKUP(B29,'Base stats'!B:B,'Base stats'!AM:AM)=1,AND(_xlfn.XLOOKUP(B29,'Base stats'!B:B,'Base stats'!O:O)=0,_xlfn.XLOOKUP(_xlfn.XLOOKUP(B29,'Base stats'!B:B,'Base stats'!E:E),Groups!A:A,Groups!B:B)&gt;0)),"AnimalUncommon","AnimalCommon"),
IF(AND(_xlfn.XLOOKUP(B29,'Base stats'!B:B,'Base stats'!O:O)=2,_xlfn.XLOOKUP(_xlfn.XLOOKUP(B29,'Base stats'!B:B,'Base stats'!E:E),Groups!A:A,Groups!D:D)=0),"AnimalPet",IF(AND(_xlfn.XLOOKUP(B29,'Base stats'!B:B,'Base stats'!O:O)&lt;&gt;0,_xlfn.XLOOKUP(_xlfn.XLOOKUP(B29,'Base stats'!B:B,'Base stats'!E:E),Groups!A:A,Groups!D:D)&lt;&gt;0),"AnimalFarm","")),
IF(OR(_xlfn.XLOOKUP(B29,'Base stats'!B:B,'Base stats'!AK:AK)=1,AND(BI29&lt;&gt;"None",BR29&gt;=60),ISNUMBER(SEARCH("Attack target",BP29))),"AnimalFighter","")
)))</f>
        <v>AnimalCommon</v>
      </c>
      <c r="BX29" s="25" t="str">
        <f>IF(G29="None",TRIM(
SUBSTITUTE(
IF(COUNTIF(Biomes!B$2:B$259,"="&amp;$C29)&gt;0,Biomes!B$1&amp;", ","")&amp;
IF(COUNTIF(Biomes!C$2:C$259,"="&amp;$C29)&gt;0,Biomes!C$1&amp;", ","")&amp;
IF(COUNTIF(Biomes!D$2:D$259,"="&amp;$C29)&gt;0,Biomes!D$1&amp;", ","")&amp;
IF(COUNTIF(Biomes!F$2:F$259,"="&amp;$C29)&gt;0,Biomes!F$1&amp;", ","")&amp;
IF(COUNTIF(Biomes!G$2:G$259,"="&amp;$C29)&gt;0,Biomes!G$1&amp;", ","")&amp;
IF(COUNTIF(Biomes!H$2:H$259,"="&amp;$C29)&gt;0,Biomes!H$1&amp;", ","")&amp;
IF(COUNTIF(Biomes!I$2:I$259,"="&amp;$C29)&gt;0,Biomes!I$1&amp;", ","")&amp;
IF(COUNTIF(Biomes!J$2:J$259,"="&amp;$C29)&gt;0,Biomes!J$1&amp;", ","")&amp;
IF(COUNTIF(Biomes!M$2:M$259,"="&amp;$C29)&gt;0,Biomes!M$1&amp;", ","")&amp;
IF(COUNTIF(Biomes!N$2:N$259,"="&amp;$C29)&gt;0,Biomes!N$1&amp;", ","")&amp;
IF(COUNTIF(Biomes!O$2:O$259,"="&amp;$C29)&gt;0,Biomes!O$1&amp;", ","")&amp;
IF(COUNTIF(Biomes!P$2:P$259,"="&amp;$C29)&gt;0,Biomes!P$1&amp;", ","")&amp;
IF(COUNTIF(Biomes!K$2:K$259,"="&amp;$C29)&gt;0,Biomes!K$1&amp;", ","")&amp;
IF(COUNTIF(Biomes!Q$3:Q$259,"="&amp;$C29)&gt;0,Biomes!Q$1&amp;", ","")&amp;
IF(COUNTIF(Biomes!L$2:L$259,"="&amp;$C29)&gt;0,Biomes!L$1&amp;", ","")&amp;
IF(COUNTIF(Biomes!E$2:E$259,"="&amp;$C29)&gt;0,Biomes!E$1&amp;", ","")&amp;IF(COUNTIF(Biomes!S$2:S$259,"="&amp;$C29)&gt;0,Biomes!S$1&amp;", ","")&amp;
IF(COUNTIF(Biomes!R$2:R$259,"="&amp;$C29)&gt;0,Biomes!R$1&amp;", ",""),", ","")
),_xlfn.XLOOKUP(B29,B:B,BX:BX))</f>
        <v>BorealForest ColdBog TemperateForest TemperateSwamp TropicalRainforest TropicalSwamp Glowforest Scarlands</v>
      </c>
      <c r="BY29" s="25" t="str">
        <f>IF(_xlfn.XLOOKUP(B29,'Base stats'!B:B,'Base stats'!AJ:AJ)=1,"true","false")</f>
        <v>false</v>
      </c>
      <c r="BZ29" s="25">
        <f>IF(_xlfn.XLOOKUP(B29,'Base stats'!B:B,'Base stats'!N:N)=1,"No",MAX(0.001,MIN(MROUND(IF(AND(BJ29="True",CC29="False"),POWER(10,3.47*LOG10(_xlfn.XLOOKUP(B29,'Base stats'!B:B,'Base stats'!C:C)*1000)^-0.96),POWER(10,4.15*LOG10(_xlfn.XLOOKUP(B29,'Base stats'!B:B,'Base stats'!C:C)*1000)^-0.73))*IF(_xlfn.XLOOKUP(B29,'Base stats'!B:B,'Base stats'!AK:AK)=1,0.5,1)*IF(_xlfn.XLOOKUP(B29,'Base stats'!B:B,'Base stats'!AM:AM)=1,0.1,1)/100,IF(_xlfn.XLOOKUP(B29,'Base stats'!B:B,'Base stats'!AM:AM)=1,0.001,0.025)),0.5)))</f>
        <v>0.17500000000000002</v>
      </c>
      <c r="CA29" s="25">
        <f>IF(P29="Standard","No",MAX(0.001,MIN(MROUND(IF(AND(BJ29="True",CC29="False"),POWER(10,3.47*LOG10(_xlfn.XLOOKUP(B29,'Base stats'!B:B,'Base stats'!C:C)*1000)^-0.96),POWER(10,4.15*LOG10(_xlfn.XLOOKUP(B29,'Base stats'!B:B,'Base stats'!C:C)*1000)^-0.73))*IF(_xlfn.XLOOKUP(B29,'Base stats'!B:B,'Base stats'!AM:AM)=1,0.1,1)*_xlfn.XLOOKUP(B29,'Base stats'!B:B,'Base stats'!R:R)/100,IF(_xlfn.XLOOKUP(B29,'Base stats'!B:B,'Base stats'!AM:AM)=1,0.001,0.025)),0.5)))</f>
        <v>0.15000000000000002</v>
      </c>
      <c r="CB29" s="25" t="str">
        <f>IF(_xlfn.XLOOKUP(_xlfn.XLOOKUP(B29,'Base stats'!B:B,'Base stats'!E:E),Groups!A:A,Groups!AJ:AJ)="Mammal","True","False")</f>
        <v>True</v>
      </c>
      <c r="CC29" s="25" t="str">
        <f>IF(OR(_xlfn.XLOOKUP(_xlfn.XLOOKUP(B29,'Base stats'!B:B,'Base stats'!E:E),Groups!A:A,Groups!AJ:AJ)="Reptile",_xlfn.XLOOKUP(_xlfn.XLOOKUP(B29,'Base stats'!B:B,'Base stats'!E:E),Groups!A:A,Groups!AJ:AJ)="Amphibian",_xlfn.XLOOKUP(_xlfn.XLOOKUP(B29,'Base stats'!B:B,'Base stats'!E:E),Groups!A:A,Groups!AJ:AJ)="Invertebrate"),"True","False")</f>
        <v>False</v>
      </c>
      <c r="CD29" s="25" t="str">
        <f t="shared" si="6"/>
        <v>False</v>
      </c>
      <c r="CE29" s="25" t="str">
        <f>IF(_xlfn.XLOOKUP(_xlfn.XLOOKUP(B29,'Base stats'!B:B,'Base stats'!E:E),Groups!A:A,Groups!AX:AX),"True","False")</f>
        <v>False</v>
      </c>
      <c r="CF29" s="25" t="str">
        <f>IF(_xlfn.XLOOKUP(_xlfn.XLOOKUP(B29,'Base stats'!B:B,'Base stats'!E:E),Groups!A:A,Groups!AY:AY),"True","False")</f>
        <v>False</v>
      </c>
      <c r="CG29" s="25" t="str">
        <f>IF(_xlfn.XLOOKUP(_xlfn.XLOOKUP(B29,'Base stats'!B:B,'Base stats'!E:E),Groups!A:A,Groups!AW:AW),"True","False")</f>
        <v>False</v>
      </c>
      <c r="CH29" s="25" t="str">
        <f>IF(
OR(
_xlfn.XLOOKUP(_xlfn.XLOOKUP(B29,'Base stats'!B:B,'Base stats'!E:E),Groups!A:A,Groups!AZ:AZ)=0,
AND(
_xlfn.XLOOKUP(B29,'Base stats'!B:B,'Base stats'!Y:Y)&lt;&gt;"Carnivore",
_xlfn.XLOOKUP(B29,'Base stats'!B:B,'Base stats'!Y:Y)&lt;&gt;"Omnivore",
_xlfn.XLOOKUP(B29,'Base stats'!B:B,'Base stats'!Y:Y)&lt;&gt;"OmnivoreRough"
)
),
"No",
IF(
_xlfn.XLOOKUP(_xlfn.XLOOKUP(B29,'Base stats'!B:B,'Base stats'!E:E),Groups!A:A,Groups!AZ:AZ)=1,
"Flesh",
IF(
_xlfn.XLOOKUP(_xlfn.XLOOKUP(B29,'Base stats'!B:B,'Base stats'!E:E),Groups!A:A,Groups!AZ:AZ)=2,
"Bone",
""
)
)
)</f>
        <v>Bone</v>
      </c>
      <c r="CI29" s="25" t="str">
        <f>IF(_xlfn.XLOOKUP(_xlfn.XLOOKUP(B29,'Base stats'!B:B,'Base stats'!E:E),Groups!A:A,Groups!BB:BB),"True","False")</f>
        <v>True</v>
      </c>
      <c r="CJ29" s="25" t="str">
        <f>IF(_xlfn.XLOOKUP(_xlfn.XLOOKUP(B29,'Base stats'!B:B,'Base stats'!E:E),Groups!A:A,Groups!BA:BA),"True","False")</f>
        <v>False</v>
      </c>
    </row>
    <row r="30" spans="1:93" ht="16.5" thickTop="1" thickBot="1" x14ac:dyDescent="0.3">
      <c r="A30" s="26" t="str">
        <f>_xlfn.XLOOKUP(B30,'Base stats'!B:B,'Base stats'!A:A)</f>
        <v>Pig</v>
      </c>
      <c r="B30" s="6" t="s">
        <v>533</v>
      </c>
      <c r="C30" s="28" t="s">
        <v>705</v>
      </c>
      <c r="D30" s="28" t="s">
        <v>45</v>
      </c>
      <c r="E30" s="28" t="s">
        <v>673</v>
      </c>
      <c r="F30" s="28" t="s">
        <v>673</v>
      </c>
      <c r="G30" s="28" t="s">
        <v>673</v>
      </c>
      <c r="H30" s="2">
        <f>MROUND((
  (IF(AND(_xlfn.XLOOKUP(B30,'Base stats'!B:B,'Base stats'!AL:AL)=0,BI30="None",_xlfn.XLOOKUP(_xlfn.XLOOKUP(B30,'Base stats'!B:B,'Base stats'!E:E),Groups!A:A,Groups!B:B)=0), (18 + BR30 * 2.7) * 0.5,
    IF(AND(_xlfn.XLOOKUP(B30,'Base stats'!B:B,'Base stats'!AL:AL)=0,OR(AO30&lt;0.55,AND(BI30="Intermediate",_xlfn.XLOOKUP(_xlfn.XLOOKUP(B30,'Base stats'!B:B,'Base stats'!E:E),Groups!A:A,Groups!B:B)&lt;2))), (18 + BR30 * 2.7),
      IF(OR(BI30="Advanced",_xlfn.XLOOKUP(B30,'Base stats'!B:B,'Base stats'!AL:AL)=1,_xlfn.XLOOKUP(_xlfn.XLOOKUP(B30,'Base stats'!B:B,'Base stats'!E:E),Groups!A:A,Groups!B:B)=2), (18 + BR30 * 2.7) + 250, (18 + BR30 * 2.7))
    )
  ))
  + AO30 * 80
  + IF(COUNTIF(EggMilk!K$2:K$998, A30) &gt; 0, 125, 0)
  + IF(COUNTIF(EggMilk!P$2:P$998, A30) &gt; 0, 90, 0)
  + IF(COUNTIF(EggMilk!A$2:A$998, A30) &gt; 0, 90, 0)
)
* (0.8 + 0.4 * J30)
* 0.75,25)</f>
        <v>225</v>
      </c>
      <c r="I30" s="2">
        <f>MROUND(ROUNDDOWN(_xlfn.XLOOKUP(B30,'Base stats'!B:B,'Base stats'!L:L)/3.6/(23.3/11),1),0.5)</f>
        <v>5</v>
      </c>
      <c r="J30" s="2">
        <f>IF(OR(_xlfn.XLOOKUP(B30,'Base stats'!B:B,'Base stats'!AB:AB)=1,_xlfn.XLOOKUP(_xlfn.XLOOKUP(B30,'Base stats'!B:B,'Base stats'!E:E),Groups!A:A,Groups!C:C)="Untamable"),1,IF(_xlfn.XLOOKUP(B30,'Base stats'!B:B,'Base stats'!AL:AL)=1,0.99,MIN(MROUND((1-0.6282*EXP(-0.459*AO30))*_xlfn.XLOOKUP(_xlfn.XLOOKUP(B30,'Base stats'!B:B,'Base stats'!E:E),Groups!A:A,Groups!C:C)*IF(_xlfn.XLOOKUP(B30,'Base stats'!B:B,'Base stats'!O:O)=1,0.5,IF(_xlfn.XLOOKUP(B30,'Base stats'!B:B,'Base stats'!O:O)=2,0,1)),0.05),IF(AO30&gt;3.5,0.985,0.95))))</f>
        <v>0</v>
      </c>
      <c r="K30" s="2">
        <f>ROUNDUP(AO30*_xlfn.XLOOKUP(_xlfn.XLOOKUP(B30,'Base stats'!B:B,'Base stats'!E:E),Groups!A:A,Groups!E:E),0)</f>
        <v>12</v>
      </c>
      <c r="L30" s="2">
        <f>IF(OR(_xlfn.XLOOKUP(_xlfn.XLOOKUP(B30,'Base stats'!B:B,'Base stats'!E:E),Groups!A:A,Groups!F:F)=2,ISNUMBER(SEARCH("SeaIce",BX30)),ISNUMBER(SEARCH("IceSheet",BX30))),-50,IF(OR(ISNUMBER(SEARCH("GlacialPlain",BX30)),ISNUMBER(SEARCH("Tundra",BX30))),-40,IF(OR(ISNUMBER(SEARCH("Alpine",BX30)),ISNUMBER(SEARCH("BorealForest",BX30)),ISNUMBER(SEARCH("ColdBog",BX30))),-30,IF(OR(ISNUMBER(SEARCH("TemperateForest",BX30)),ISNUMBER(SEARCH("TemperateSwamp",BX30))),-20,IF(_xlfn.XLOOKUP(_xlfn.XLOOKUP(B30,'Base stats'!B:B,'Base stats'!E:E),Groups!A:A,Groups!F:F)=1,-15,IF(OR(ISNUMBER(SEARCH("Desert",BX30)),ISNUMBER(SEARCH("ExtremeDesert",BX30))),-10,IF(OR(ISNUMBER(SEARCH("Grasslands",BX30)),ISNUMBER(SEARCH("TropicalRainforest",BX30)),ISNUMBER(SEARCH("TropicalSwamp",BX30))),10,0)))))))-IF(CC30="False",MIN(IFERROR(MAX(MROUND(LOG10(_xlfn.XLOOKUP(B30,'Base stats'!B:B,'Base stats'!C:C)^(2/3))*10,5),5),5),30))-_xlfn.XLOOKUP(B30,'Base stats'!B:B,'Base stats'!P:P)+IF(CC30="True",5,0)</f>
        <v>0</v>
      </c>
      <c r="M30" s="2">
        <f>IF(OR(_xlfn.XLOOKUP(_xlfn.XLOOKUP(B30,'Base stats'!B:B,'Base stats'!E:E),Groups!A:A,Groups!G:G)=2,ISNUMBER(SEARCH("Desert",BX30)),ISNUMBER(SEARCH("ExtremeDesert",BX30)),ISNUMBER(SEARCH("LavaField",BX30))),50,IF(ISNUMBER(SEARCH("Grasslands",BX30)),45,IF(OR(_xlfn.XLOOKUP(_xlfn.XLOOKUP(B30,'Base stats'!B:B,'Base stats'!E:E),Groups!A:A,Groups!G:G)=1,ISNUMBER(SEARCH("TropicalRainforest",BX30)),ISNUMBER(SEARCH("TropicalSwamp",BX30))),40,IF(OR(ISNUMBER(SEARCH("TemperateForest",BX30)),ISNUMBER(SEARCH("TemperateSwamp",BX30))),35,IF(OR(ISNUMBER(SEARCH("Alpine",BX30)),ISNUMBER(SEARCH("BorealForest",BX30)),ISNUMBER(SEARCH("ColdBog",BX30))),30,IF(ISNUMBER(OR(ISNUMBER(SEARCH("GlacialPlain",BX30)),SEARCH("Tundra",BX30))),25,IF(OR(ISNUMBER(SEARCH("SeaIce",BX30)),ISNUMBER(SEARCH("IceSheet",BX30)),ISNUMBER(SEARCH("TropicalSwamp",BX30))),10,35)))))))+_xlfn.XLOOKUP(B30,'Base stats'!B:B,'Base stats'!Q:Q)</f>
        <v>35</v>
      </c>
      <c r="N30" s="8" t="str">
        <f>IF(
_xlfn.XLOOKUP(
_xlfn.XLOOKUP(B30,'Base stats'!B:B,'Base stats'!E:E),
Groups!A:A,
Groups!L:L
)=1,
MIN(
MROUND(
IF(
_xlfn.XLOOKUP(B30,'Animals CE'!B:B,'Animals CE'!Z:Z)&lt;=1.5,
_xlfn.XLOOKUP(B30,'Animals CE'!B:B,'Animals CE'!Z:Z)/2+0.05,
0.8+
(_xlfn.XLOOKUP(B30,'Animals CE'!B:B,'Animals CE'!Z:Z)-1.5)
*0.02
),
0.05
),
200%
),
"No"
)</f>
        <v>No</v>
      </c>
      <c r="O30" s="8" t="str">
        <f>IF(
_xlfn.XLOOKUP(
_xlfn.XLOOKUP(B30,'Base stats'!B:B,'Base stats'!E:E),
Groups!A:A,
Groups!L:L
)=1,
MIN(
MROUND(
IF(
_xlfn.XLOOKUP(B30,'Animals CE'!B:B,'Animals CE'!AA:AA)&lt;=1.5,
_xlfn.XLOOKUP(B30,'Animals CE'!B:B,'Animals CE'!AA:AA)/2+0.05,
0.8+
(_xlfn.XLOOKUP(B30,'Animals CE'!B:B,'Animals CE'!AA:AA)-1.5)
*0.02
),
0.05
),
200%
),
"No"
)</f>
        <v>No</v>
      </c>
      <c r="P30" s="2" t="str">
        <f>_xlfn.XLOOKUP(B30,'Base stats'!B:B,'Base stats'!R:R)</f>
        <v>Standard</v>
      </c>
      <c r="Q30" s="13">
        <f>MROUND((LOG10(_xlfn.XLOOKUP(B30,'Base stats'!B:B,'Base stats'!AR:AR))*(AO30^0.5)+(_xlfn.XLOOKUP(B30,'Base stats'!B:B,'Base stats'!AR:AR)/1000)^(2/3)+_xlfn.XLOOKUP(B30,'Base stats'!B:B,'Base stats'!BA:BA)/2)+0.5,0.5)</f>
        <v>12.5</v>
      </c>
      <c r="R30" s="7">
        <f>IF(Q30="No","No",MAX(1,MROUND(_xlfn.XLOOKUP(B30,'Base stats'!B:B,'Base stats'!C:C)^0.165,0.05)))</f>
        <v>2.5500000000000003</v>
      </c>
      <c r="S30" s="13" t="str">
        <f>IF(_xlfn.XLOOKUP(_xlfn.XLOOKUP(B30,'Base stats'!B:B,'Base stats'!E:E),Groups!A:A,Groups!P:P)=0,"No",MROUND((LOG10(_xlfn.XLOOKUP(B30,'Base stats'!B:B,'Base stats'!AS:AS))*(AO30^0.5)+(_xlfn.XLOOKUP(B30,'Base stats'!B:B,'Base stats'!AS:AS)/1000)^(2/3)+_xlfn.XLOOKUP(B30,'Base stats'!B:B,'Base stats'!BA:BA))+_xlfn.XLOOKUP(B30,'Base stats'!B:B,'Base stats'!AY:AY)+0.5,0.5))</f>
        <v>No</v>
      </c>
      <c r="T30" s="7" t="str">
        <f>IF(S30="No","No",MAX(_xlfn.XLOOKUP(_xlfn.XLOOKUP(B30,'Base stats'!B:B,'Base stats'!E:E),Groups!A:A,Groups!Q:Q),MROUND(_xlfn.XLOOKUP(_xlfn.XLOOKUP(B30,'Base stats'!B:B,'Base stats'!E:E),Groups!A:A,Groups!Q:Q)*_xlfn.XLOOKUP(B30,'Base stats'!B:B,'Base stats'!C:C)^0.165,0.05)))</f>
        <v>No</v>
      </c>
      <c r="U30" s="7" t="str">
        <f>IF(S30="No","No",_xlfn.XLOOKUP(_xlfn.XLOOKUP(B30,'Base stats'!B:B,'Base stats'!E:E),Groups!A:A,Groups!R:R))</f>
        <v>No</v>
      </c>
      <c r="V30" s="7" t="str">
        <f>IF(S30="No","No",_xlfn.XLOOKUP(_xlfn.XLOOKUP(B30,'Base stats'!B:B,'Base stats'!E:E),Groups!A:A,Groups!S:S))</f>
        <v>No</v>
      </c>
      <c r="W30" s="7" t="str">
        <f>IF(S30="No","No",_xlfn.XLOOKUP(_xlfn.XLOOKUP(B30,'Base stats'!B:B,'Base stats'!E:E),Groups!A:A,Groups!T:T))</f>
        <v>No</v>
      </c>
      <c r="X30" s="13" t="str">
        <f>IF(_xlfn.XLOOKUP(B30,'Base stats'!B:B,'Base stats'!W:W)="No","No",MROUND((LOG10(_xlfn.XLOOKUP(B30,'Base stats'!B:B,'Base stats'!AU:AU))*(AO30^0.5)+(_xlfn.XLOOKUP(B30,'Base stats'!B:B,'Base stats'!AU:AU)/1000)^(2/3)+_xlfn.XLOOKUP(B30,'Base stats'!B:B,'Base stats'!AZ:AZ))+0.5+IF(_xlfn.XLOOKUP(_xlfn.XLOOKUP(B30,'Base stats'!B:B,'Base stats'!E:E),Groups!A:A,Groups!U:U)&lt;&gt;3,_xlfn.XLOOKUP(B30,'Base stats'!B:B,'Base stats'!BA:BA),0),0.5))</f>
        <v>No</v>
      </c>
      <c r="Y30" s="7" t="str">
        <f>IF(X30="No","No",MAX(_xlfn.XLOOKUP(_xlfn.XLOOKUP(B30,'Base stats'!B:B,'Base stats'!E:E),Groups!A:A,Groups!V:V),MROUND(_xlfn.XLOOKUP(_xlfn.XLOOKUP(B30,'Base stats'!B:B,'Base stats'!E:E),Groups!A:A,Groups!V:V)*_xlfn.XLOOKUP(B30,'Base stats'!B:B,'Base stats'!C:C)^0.165,0.05)))</f>
        <v>No</v>
      </c>
      <c r="Z30" s="7" t="str">
        <f>IF(X30="No","No",_xlfn.XLOOKUP(_xlfn.XLOOKUP(B30,'Base stats'!B:B,'Base stats'!E:E),Groups!A:A,Groups!W:W))</f>
        <v>No</v>
      </c>
      <c r="AA30" s="7" t="str">
        <f>IF(X30="No","No",_xlfn.XLOOKUP(_xlfn.XLOOKUP(B30,'Base stats'!B:B,'Base stats'!E:E),Groups!A:A,Groups!X:X))</f>
        <v>No</v>
      </c>
      <c r="AB30" s="7" t="str">
        <f>IF(X30="No","No",_xlfn.XLOOKUP(_xlfn.XLOOKUP(B30,'Base stats'!B:B,'Base stats'!E:E),Groups!A:A,Groups!Y:Y))</f>
        <v>No</v>
      </c>
      <c r="AC30" s="7" t="str">
        <f>_xlfn.XLOOKUP(Animals!B30,'Base stats'!B:B,'Base stats'!X:X)</f>
        <v>False</v>
      </c>
      <c r="AD30" s="13">
        <f>IF(_xlfn.XLOOKUP(B30,'Base stats'!B:B,'Base stats'!AT:AT)="No","No",MROUND((LOG10(_xlfn.XLOOKUP(B30,'Base stats'!B:B,'Base stats'!AT:AT))*(AO30^0.75)+(_xlfn.XLOOKUP(B30,'Base stats'!B:B,'Base stats'!AT:AT)/1000)^(2/3)+_xlfn.XLOOKUP(B30,'Base stats'!B:B,'Base stats'!AX:AX)+_xlfn.XLOOKUP(B30,'Base stats'!B:B,'Base stats'!BA:BA))+0.5,0.5))</f>
        <v>19</v>
      </c>
      <c r="AE30" s="7">
        <f>IF(AD30="No","No",MAX(_xlfn.XLOOKUP(_xlfn.XLOOKUP(B30,'Base stats'!B:B,'Base stats'!E:E),Groups!A:A,Groups!Z:Z),MROUND(_xlfn.XLOOKUP(_xlfn.XLOOKUP(B30,'Base stats'!B:B,'Base stats'!E:E),Groups!A:A,Groups!Z:Z)*_xlfn.XLOOKUP(B30,'Base stats'!B:B,'Base stats'!C:C)^0.165,0.05)))</f>
        <v>2.8000000000000003</v>
      </c>
      <c r="AF30" s="7" t="str">
        <f>IF(AD30="No","No",_xlfn.XLOOKUP(_xlfn.XLOOKUP(B30,'Base stats'!B:B,'Base stats'!E:E),Groups!A:A,Groups!AA:AA))</f>
        <v>Teeth</v>
      </c>
      <c r="AG30" s="7" t="str">
        <f>IF(AD30="No","No",_xlfn.XLOOKUP(_xlfn.XLOOKUP(B30,'Base stats'!B:B,'Base stats'!E:E),Groups!A:A,Groups!AB:AB))</f>
        <v>teeth</v>
      </c>
      <c r="AH30" s="7" t="str">
        <f>IF(AD30="No","No",_xlfn.XLOOKUP(_xlfn.XLOOKUP(B30,'Base stats'!B:B,'Base stats'!E:E),Groups!A:A,Groups!AC:AC))</f>
        <v>Bite</v>
      </c>
      <c r="AI30" s="13" t="str">
        <f>IF(_xlfn.XLOOKUP(_xlfn.XLOOKUP(B30,'Base stats'!B:B,'Base stats'!E:E),Groups!A:A,Groups!AD:AD)=0,"No",MROUND((LOG10(_xlfn.XLOOKUP(B30,'Base stats'!B:B,'Base stats'!AS:AS))*(AO30^0.75)+(_xlfn.XLOOKUP(B30,'Base stats'!B:B,'Base stats'!AS:AS)/1000)^(2/3)+_xlfn.XLOOKUP(B30,'Base stats'!B:B,'Base stats'!AY:AY)+_xlfn.XLOOKUP(B30,'Base stats'!B:B,'Base stats'!BA:BA))+0.5,0.5))</f>
        <v>No</v>
      </c>
      <c r="AJ30" s="7" t="str">
        <f>IF(AI30="No","No",MAX(_xlfn.XLOOKUP(_xlfn.XLOOKUP(B30,'Base stats'!B:B,'Base stats'!E:E),Groups!A:A,Groups!AE:AE),MROUND(_xlfn.XLOOKUP(_xlfn.XLOOKUP(B30,'Base stats'!B:B,'Base stats'!E:E),Groups!A:A,Groups!AE:AE)*IF(_xlfn.XLOOKUP(_xlfn.XLOOKUP(B30,'Base stats'!B:B,'Base stats'!E:E),Groups!A:A,Groups!AJ:AJ)="Photonozoa",0.6,1)*_xlfn.XLOOKUP(B30,'Base stats'!B:B,'Base stats'!C:C)^0.165,0.05)))</f>
        <v>No</v>
      </c>
      <c r="AK30" s="7" t="str">
        <f>IF(AI30="No","No",_xlfn.XLOOKUP(_xlfn.XLOOKUP(B30,'Base stats'!B:B,'Base stats'!E:E),Groups!A:A,Groups!AF:AF))</f>
        <v>No</v>
      </c>
      <c r="AL30" s="7" t="str">
        <f>IF(AI30="No","No",_xlfn.XLOOKUP(_xlfn.XLOOKUP(B30,'Base stats'!B:B,'Base stats'!E:E),Groups!A:A,Groups!AG:AG))</f>
        <v>No</v>
      </c>
      <c r="AM30" s="7" t="str">
        <f>IF(AI30="No","No",_xlfn.XLOOKUP(_xlfn.XLOOKUP(B30,'Base stats'!B:B,'Base stats'!E:E),Groups!A:A,Groups!AH:AH))</f>
        <v>No</v>
      </c>
      <c r="AN30" s="2" t="str">
        <f t="shared" si="0"/>
        <v>No</v>
      </c>
      <c r="AO30" s="2">
        <f>MROUND(IF(AND(_xlfn.XLOOKUP(B30,'Base stats'!B:B,'Base stats'!C:C)&gt;=0.5,_xlfn.XLOOKUP(B30,'Base stats'!B:B,'Base stats'!C:C)&lt;=0.8),
IF(_xlfn.XLOOKUP(B30,'Base stats'!B:B,'Base stats'!C:C)&lt;0.1,0.05,IF(_xlfn.XLOOKUP(B30,'Base stats'!B:B,'Base stats'!C:C)&lt;=70,(_xlfn.XLOOKUP(B30,'Base stats'!B:B,'Base stats'!C:C)/70)^0.426489913056526,IF(_xlfn.XLOOKUP(B30,'Base stats'!B:B,'Base stats'!C:C)&lt;=400,(_xlfn.XLOOKUP(B30,'Base stats'!B:B,'Base stats'!C:C)/70)^0.572811455315093,IF(_xlfn.XLOOKUP(B30,'Base stats'!B:B,'Base stats'!C:C)&lt;=2000,2.71391647193063*(_xlfn.XLOOKUP(B30,'Base stats'!B:B,'Base stats'!C:C)/400)^0.252459582904293,3.74314280240376*(_xlfn.XLOOKUP(B30,'Base stats'!B:B,'Base stats'!C:C)/2000)^0.357012633876913)))),
IF(_xlfn.XLOOKUP(B30,'Base stats'!B:B,'Base stats'!C:C)&lt;0.1,0.05,IF(_xlfn.XLOOKUP(B30,'Base stats'!B:B,'Base stats'!C:C)&lt;0.4,0.1,IF(_xlfn.XLOOKUP(B30,'Base stats'!B:B,'Base stats'!C:C)&lt;=70,(_xlfn.XLOOKUP(B30,'Base stats'!B:B,'Base stats'!C:C)/70)^0.445823913056526,IF(_xlfn.XLOOKUP(B30,'Base stats'!B:B,'Base stats'!C:C)&lt;=400,(_xlfn.XLOOKUP(B30,'Base stats'!B:B,'Base stats'!C:C)/70)^0.572811455315093,IF(_xlfn.XLOOKUP(B30,'Base stats'!B:B,'Base stats'!C:C)&lt;=2000,2.71391647193063*(_xlfn.XLOOKUP(B30,'Base stats'!B:B,'Base stats'!C:C)/400)^0.252459582904293,3.74314280240376*(_xlfn.XLOOKUP(B30,'Base stats'!B:B,'Base stats'!C:C)/2000)^0.357012633876913)))))),
IF(_xlfn.XLOOKUP(B30,'Base stats'!B:B,'Base stats'!C:C)&lt;0.1,0.05,IF(_xlfn.XLOOKUP(B30,'Base stats'!B:B,'Base stats'!C:C)&lt;=100,0.05,IF(_xlfn.XLOOKUP(B30,'Base stats'!B:B,'Base stats'!C:C)&lt;=250,0.1,IF(_xlfn.XLOOKUP(B30,'Base stats'!B:B,'Base stats'!C:C)&lt;=4000,0.25,0.5)))))</f>
        <v>2.25</v>
      </c>
      <c r="AP30" s="8">
        <f>MROUND(AO30*_xlfn.XLOOKUP(_xlfn.XLOOKUP(B30,'Base stats'!B:B,'Base stats'!E:E),Groups!A:A,Groups!AI:AI)*_xlfn.XLOOKUP(B30,'Base stats'!B:B,'Base stats'!Z:Z),0.05)</f>
        <v>2.25</v>
      </c>
      <c r="AQ30" s="8">
        <f>MAX(0.01,MROUND(IF(CC30="True",0.196*(AO30*100*1000)^0.889,IF(_xlfn.XLOOKUP(_xlfn.XLOOKUP(B30,'Base stats'!B:B,'Base stats'!E:E),Groups!A:A,Groups!AJ:AJ)="Bird",10.5*(AO30*100*1000)^0.681,4.82*(AO30*100*1000)^0.734))/(4.82*(1*100*1000)^0.734)/IF(AO30&lt;3.5,2,IF(AO30=3.5,1.5,1.25))*(1+0.132282374779864/(AO30^0.994035016789033+0.00905238001496948)),0.05))</f>
        <v>0.95000000000000007</v>
      </c>
      <c r="AR30" s="9">
        <f>IFERROR(MROUND(_xlfn.XLOOKUP(B30,'Base stats'!B:B,'Base stats'!H:H)/IF(_xlfn.XLOOKUP(B30,'Base stats'!B:B,'Base stats'!I:I)&lt;&gt;1,(122.5/70),1.2),IF(_xlfn.XLOOKUP(B30,'Base stats'!B:B,'Base stats'!H:H)&gt;=30,5,IF(_xlfn.XLOOKUP(B30,'Base stats'!B:B,'Base stats'!H:H)&gt;=15,3,IF(_xlfn.XLOOKUP(B30,'Base stats'!B:B,'Base stats'!H:H)&gt;=10,2,1)))),"Immortal")</f>
        <v>15</v>
      </c>
      <c r="AS30" s="35">
        <f>IFERROR(IF(OR(_xlfn.XLOOKUP(B30,'Base stats'!B:B,'Base stats'!F:F)="Atypical reproduction",_xlfn.XLOOKUP(B30,'Base stats'!B:B,'Base stats'!F:F)="Lay eggs"),"Lay eggs",MIN(20,MAX(5.5,ROUND(((_xlfn.XLOOKUP(B30,'Base stats'!B:B,'Base stats'!F:F)-25)*(14.5/615) + 5.5)*2,0)/2))),"Unknown")</f>
        <v>7.5</v>
      </c>
      <c r="AT30" s="8">
        <f>IF(_xlfn.XLOOKUP(B30,'Base stats'!B:B,'Base stats'!G:G)="Atypical reproduction","No",IFERROR(MAX(IF(_xlfn.XLOOKUP(B30,'Base stats'!B:B,'Base stats'!G:G)&lt;0.5,0.2,0.3),MROUND(_xlfn.XLOOKUP(B30,'Base stats'!B:B,'Base stats'!G:G)/(365/60),0.2)),"Unknown"))</f>
        <v>0.3</v>
      </c>
      <c r="AU30" s="8">
        <f t="shared" si="1"/>
        <v>0.15000000000000002</v>
      </c>
      <c r="AV30" s="8">
        <f>IFERROR(IFERROR(MROUND(_xlfn.XLOOKUP(B30,'Base stats'!B:B,'Base stats'!J:J),0.1),"Lay eggs"),"Cannot breed")</f>
        <v>11.100000000000001</v>
      </c>
      <c r="AW30" s="2" t="str">
        <f t="shared" si="2"/>
        <v>true</v>
      </c>
      <c r="AX30" s="2" t="str">
        <f>IF(_xlfn.XLOOKUP(_xlfn.XLOOKUP(Animals!B30,'Base stats'!B:B,'Base stats'!E:E),Groups!A:A,Groups!AK:AK)=1,"true","false")</f>
        <v>false</v>
      </c>
      <c r="AY30" s="25" t="str">
        <f>IF(_xlfn.XLOOKUP(B30,'Base stats'!B:B,'Base stats'!Y:Y)="Liquor","Liquor, CarnivoreAnimalStrict",IF(AND(_xlfn.XLOOKUP(B30,'Base stats'!B:B,'Base stats'!Y:Y)="Carnivore",_xlfn.XLOOKUP(_xlfn.XLOOKUP(B30,'Base stats'!B:B,'Base stats'!E:E),Groups!A:A,Groups!AJ:AJ)="Photonozoa"),"CarnivoreAnimalStrict, OvivoreAnimal",IF(_xlfn.XLOOKUP(B30,'Base stats'!B:B,'Base stats'!Y:Y)="Carnivore","CarnivoreAnimal, OvivoreAnimal",IF(_xlfn.XLOOKUP(B30,'Base stats'!B:B,'Base stats'!Y:Y)="Dendrovore","VegetarianRoughAnimal, DendrovoreAnimal",IF(_xlfn.XLOOKUP(B30,'Base stats'!B:B,'Base stats'!Y:Y)="Herbivore","VegetarianRoughAnimal",IF(_xlfn.XLOOKUP(B30,'Base stats'!B:B,'Base stats'!Y:Y)="OmnivoreRough","OmnivoreRoughAnimal, OvivoreAnimal","OmnivoreAnimal, OvivoreAnimal"))))))</f>
        <v>OmnivoreRoughAnimal, OvivoreAnimal</v>
      </c>
      <c r="AZ30" s="2">
        <f>IF(_xlfn.XLOOKUP(_xlfn.XLOOKUP(B30,'Base stats'!B:B,'Base stats'!E:E),Groups!A:A,Groups!D:D)=1,MROUND((1-J30)*5+1,2)*IF(J30&lt;=0.4,2,1),"No")</f>
        <v>12</v>
      </c>
      <c r="BA30" s="2" t="str">
        <f>IF(AND(_xlfn.XLOOKUP(B30,'Base stats'!B:B,'Base stats'!AH:AH)="&lt;li&gt;Seal&lt;/li&gt;",G30="Odyssey"),"&lt;li&gt;AEXP_Seal&lt;/li&gt;",_xlfn.XLOOKUP(B30,'Base stats'!B:B,'Base stats'!AH:AH))</f>
        <v>No</v>
      </c>
      <c r="BB30" s="2" t="str">
        <f>_xlfn.XLOOKUP(B30,'Base stats'!B:B,'Base stats'!AG:AG)</f>
        <v>Leather_Pig</v>
      </c>
      <c r="BC30" s="23" t="str">
        <f>_xlfn.XLOOKUP(_xlfn.XLOOKUP(B30,'Base stats'!B:B,'Base stats'!E:E),Groups!A:A,Groups!AL:AL)</f>
        <v>QuadrupedAnimalWithHooves</v>
      </c>
      <c r="BD30" s="23">
        <f>MIN(1,MROUND(IF(AND(AO30&lt;0.5,_xlfn.XLOOKUP(B30,'Base stats'!B:B,'Base stats'!AA:AA)=0),0,IF(OR(_xlfn.XLOOKUP(Animals!B30,'Base stats'!B:B,'Base stats'!O:O)=2,_xlfn.XLOOKUP(_xlfn.XLOOKUP(B30,'Base stats'!B:B,'Base stats'!E:E),Groups!A:A,Groups!AN:AN)=0),0,_xlfn.XLOOKUP(_xlfn.XLOOKUP(B30,'Base stats'!B:B,'Base stats'!E:E),Groups!A:A,Groups!AN:AN)/IF(_xlfn.XLOOKUP(Animals!B30,'Base stats'!B:B,'Base stats'!O:O)=1,2,1)))+_xlfn.XLOOKUP(B30,'Base stats'!B:B,'Base stats'!AC:AC),0.005))</f>
        <v>0</v>
      </c>
      <c r="BE30" s="23">
        <f>MIN(1,MROUND(IF(AND(AO30&lt;0.5,_xlfn.XLOOKUP(B30,'Base stats'!B:B,'Base stats'!AA:AA)=0),0,IF(_xlfn.XLOOKUP(_xlfn.XLOOKUP(B30,'Base stats'!B:B,'Base stats'!E:E),Groups!A:A,Groups!AO:AO)=0,0,_xlfn.XLOOKUP(_xlfn.XLOOKUP(B30,'Base stats'!B:B,'Base stats'!E:E),Groups!A:A,Groups!AO:AO)/IF(_xlfn.XLOOKUP(Animals!B30,'Base stats'!B:B,'Base stats'!O:O)=2,3,1)))+_xlfn.XLOOKUP(B30,'Base stats'!B:B,'Base stats'!AD:AD),0.005))</f>
        <v>0</v>
      </c>
      <c r="BF30" s="2" t="str">
        <f>IF(J30&gt;0.3,"No",_xlfn.XLOOKUP(_xlfn.XLOOKUP(Animals!B30,'Base stats'!B:B,'Base stats'!E:E),Groups!A:A,Groups!AP:AP))</f>
        <v>No</v>
      </c>
      <c r="BG30" s="2" t="str">
        <f>IF(AND(J30&lt;=0.65,_xlfn.XLOOKUP(_xlfn.XLOOKUP(Animals!B30,'Base stats'!B:B,'Base stats'!E:E),Groups!A:A,Groups!AP:AP)&lt;&gt;"No",_xlfn.XLOOKUP(_xlfn.XLOOKUP(B30,'Base stats'!B:B,'Base stats'!E:E),Groups!A:A,Groups!D:D)=0),MROUND((80/3)*IF(_xlfn.XLOOKUP(B30,'Base stats'!B:B,'Base stats'!O:O)=2,0.2,AO30) + 24*(1-IF(BF30="No",0,BF30)) + 16/3, 12),"No")</f>
        <v>No</v>
      </c>
      <c r="BH30" s="2">
        <f>IF(AND(_xlfn.XLOOKUP(_xlfn.XLOOKUP(B30,'Base stats'!B:B,'Base stats'!E:E),Groups!A:A,Groups!AQ:AQ)=1,AO30&lt;=0.35),8,12)</f>
        <v>12</v>
      </c>
      <c r="BI30" s="2" t="str">
        <f>IF(_xlfn.XLOOKUP(_xlfn.XLOOKUP(B30,'Base stats'!B:B,'Base stats'!E:E),Groups!A:A,Groups!D:D)=0,_xlfn.XLOOKUP(_xlfn.XLOOKUP(B30,'Base stats'!B:B,'Base stats'!E:E),Groups!A:A,Groups!AR:AR),"None")</f>
        <v>None</v>
      </c>
      <c r="BJ30" s="2" t="str">
        <f>IF(AND(_xlfn.XLOOKUP(_xlfn.XLOOKUP(B30,'Base stats'!B:B,'Base stats'!E:E),Groups!A:A,Groups!AS:AS)=1,OR(_xlfn.XLOOKUP(B30,'Base stats'!B:B,'Base stats'!Y:Y)="Carnivore",_xlfn.XLOOKUP(B30,'Base stats'!B:B,'Base stats'!Y:Y)="Omnivore")),"true","false")</f>
        <v>false</v>
      </c>
      <c r="BK30" s="2" t="str">
        <f>IF(BJ30="true",MROUND(IF(AND(AO30&gt;0.5,OR(_xlfn.XLOOKUP(_xlfn.XLOOKUP(B30,'Base stats'!B:B,'Base stats'!E:E),Groups!A:A,Groups!AJ:AJ)="Photonozoa",_xlfn.XLOOKUP(_xlfn.XLOOKUP(B30,'Base stats'!B:B,'Base stats'!E:E),Groups!A:A,Groups!AJ:AJ)="Mammal")),Animals!AO30*1.75*IF(AW30="true",1.5,1),IF(AO30&lt;0.5,Animals!AO30*0.5,Animals!AO30)),IF(AO30&gt;2,0.5,IF(AO30&gt;0.5,0.25,0.1))),"No")</f>
        <v>No</v>
      </c>
      <c r="BL30" s="2">
        <f t="shared" si="3"/>
        <v>0</v>
      </c>
      <c r="BM30" s="25" t="str">
        <f>IF(_xlfn.XLOOKUP(B30,'Base stats'!B:B,'Base stats'!AN:AN)="Standard","No",MROUND((_xlfn.XLOOKUP(B30,'Base stats'!B:B,'Base stats'!AN:AN)/3.6)/I30,0.1))</f>
        <v>No</v>
      </c>
      <c r="BN30" s="25" t="str">
        <f t="shared" si="4"/>
        <v>false</v>
      </c>
      <c r="BO30" s="25" t="str">
        <f>IF(AND(OR(_xlfn.XLOOKUP(B30,'Base stats'!B:B,'Base stats'!Y:Y)="Carnivore",_xlfn.XLOOKUP(B30,'Base stats'!B:B,'Base stats'!Y:Y)="Omnivore",_xlfn.XLOOKUP(B30,'Base stats'!B:B,'Base stats'!Y:Y)="OmnivoreRough"),_xlfn.XLOOKUP(_xlfn.XLOOKUP(B30,'Base stats'!B:B,'Base stats'!E:E),Groups!A:A,Groups!AT:AT)=1),"true","false")</f>
        <v>false</v>
      </c>
      <c r="BP30" s="25" t="str" cm="1">
        <f t="array" ref="BP30">IF(
  _xlfn.TEXTJOIN(", ",TRUE,
    IF(AND(BJ30="true",AO30&gt;0.5,BI30&lt;&gt;"None"),"AttackTarget",""),
    IF(AND(_xlfn.XLOOKUP(_xlfn.XLOOKUP(B30,'Base stats'!B:B,'Base stats'!E:E),Groups!A:A,Groups!AJ:AJ="Mammal"),OR(_xlfn.XLOOKUP(B30,'Base stats'!B:B,'Base stats'!Y:Y)="Omnivore",_xlfn.XLOOKUP(B30,'Base stats'!B:B,'Base stats'!Y:Y)="OmnivoreRough")),"Forage",""),
    IF(BG30&lt;=36,"Comfort",""),
    IF(_xlfn.XLOOKUP(B30,'Base stats'!B:B,'Base stats'!AE:AE)&lt;&gt;"No",_xlfn.XLOOKUP(B30,'Base stats'!B:B,'Base stats'!AE:AE),"")
  ) = "",
  "No",
  _xlfn.TEXTJOIN(", ",TRUE,
    IF(AND(BJ30="true",AO30&gt;0.5,BI30&lt;&gt;"None"),"AttackTarget",""),
    IF(AND(_xlfn.XLOOKUP(_xlfn.XLOOKUP(B30,'Base stats'!B:B,'Base stats'!E:E),Groups!A:A,Groups!AJ:AJ="Mammal"),OR(_xlfn.XLOOKUP(B30,'Base stats'!B:B,'Base stats'!Y:Y)="Omnivore",_xlfn.XLOOKUP(B30,'Base stats'!B:B,'Base stats'!Y:Y)="OmnivoreRough")),"Forage",""),
    IF(BG30&lt;=36,"Comfort",""),
    IF(_xlfn.XLOOKUP(B30,'Base stats'!B:B,'Base stats'!AE:AE)&lt;&gt;"No",_xlfn.XLOOKUP(B30,'Base stats'!B:B,'Base stats'!AE:AE),"")
  )
)</f>
        <v>Forage</v>
      </c>
      <c r="BQ30" s="25" t="str">
        <f>IF(
   AND(
      'Base stats'!AN30="Standard",_xlfn.XLOOKUP(_xlfn.XLOOKUP(B30,'Base stats'!B:B,'Base stats'!E:E),Groups!A:A,Groups!AU:AU)=0,
      OR(
      BO30="True"
      )
   ),
   10,
   IF(
       OR(BM30&lt;&gt;"No",_xlfn.XLOOKUP(_xlfn.XLOOKUP(B30,'Base stats'!B:B,'Base stats'!E:E),Groups!A:A,Groups!AU:AU)=1),
      1,
      "No"
   )
)</f>
        <v>No</v>
      </c>
      <c r="BR30" s="9">
        <f>MROUND((1 + ((0.2*IF(OR(Q30="No",R30="No",R30=0),0,Q30/R30)
+IF(OR(V30="No",S30="No",T30="No"),0,S30/T30*(LEN(V30)-LEN(SUBSTITUTE(V30,",",""))+1))
+IF(OR(X30="No",Y30="No"),0,X30/Y30)
+IF(OR(AD30="No",AE30="No"),0,AD30/AE30)
+IF(OR(AL30="No",AI30="No",AJ30="No"),0,AI30/AJ30*(LEN(AL30)-LEN(SUBSTITUTE(AL30,",",""))+1))
)/(0.2*IF(OR(Q30="No",R30="No",R30=0),0,1)
+IF(OR(V30="No",S30="No",T30="No"),0,LEN(V30)-LEN(SUBSTITUTE(V30,",",""))+1)
+IF(OR(X30="No",Y30="No"),0,1)
+IF(OR(AD30="No",AE30="No"),0,1)
+IF(OR(AL30="No",AI30="No",AJ30="No"),0,LEN(AL30)-LEN(SUBSTITUTE(AL30,",",""))+1))*62%)* 2)*(1 + (AP30 / (IF(_xlfn.XLOOKUP(_xlfn.XLOOKUP(B30,'Base stats'!B:B,'Base stats'!E:E),Groups!A:A,Groups!AJ:AJ)="Photonozoa",0.3,1)) + _xlfn.XLOOKUP(B30,'Base stats'!B:B,'Base stats'!AV:AV) * 1.8) * 2) * 2.5 + 10 + I30 * 2,5)+IF(_xlfn.XLOOKUP(B30,'Base stats'!B:B,'Base stats'!AK:AK)=1,50,0)</f>
        <v>145</v>
      </c>
      <c r="BS30" s="8">
        <f t="shared" si="5"/>
        <v>1.2000000000000002</v>
      </c>
      <c r="BT30" s="8" t="str">
        <f>_xlfn.XLOOKUP(B30,'Base stats'!B:B,'Base stats'!AF:AF)</f>
        <v>3~10</v>
      </c>
      <c r="BU30" s="2" t="str">
        <f>IF(AND(J30&lt;=0.95,OR(_xlfn.XLOOKUP(B30,'Base stats'!B:B,'Base stats'!AK:AK)=1,_xlfn.XLOOKUP(B30,'Base stats'!B:B,'Base stats'!Y:Y)="Carnivore",_xlfn.XLOOKUP(B30,'Base stats'!B:B,'Base stats'!Y:Y)="Omnivore",BE30&gt;0.1)),"true","false")</f>
        <v>false</v>
      </c>
      <c r="BV30" s="2" t="str">
        <f>IF(_xlfn.XLOOKUP(B30,'Base stats'!B:B,'Base stats'!AI:AI)=1,"true","false")</f>
        <v>false</v>
      </c>
      <c r="BW30" s="25" t="str">
        <f>IF(E30="BaseInsect","AnimalInsect",
IF(J30&gt;0.95,"AnimalExotic",
_xlfn.TEXTJOIN(", ",TRUE,
IF(OR(_xlfn.XLOOKUP(B30,'Base stats'!B:B,'Base stats'!AM:AM)=1,AND(_xlfn.XLOOKUP(B30,'Base stats'!B:B,'Base stats'!O:O)=0,_xlfn.XLOOKUP(_xlfn.XLOOKUP(B30,'Base stats'!B:B,'Base stats'!E:E),Groups!A:A,Groups!B:B)&gt;0)),"AnimalUncommon","AnimalCommon"),
IF(AND(_xlfn.XLOOKUP(B30,'Base stats'!B:B,'Base stats'!O:O)=2,_xlfn.XLOOKUP(_xlfn.XLOOKUP(B30,'Base stats'!B:B,'Base stats'!E:E),Groups!A:A,Groups!D:D)=0),"AnimalPet",IF(AND(_xlfn.XLOOKUP(B30,'Base stats'!B:B,'Base stats'!O:O)&lt;&gt;0,_xlfn.XLOOKUP(_xlfn.XLOOKUP(B30,'Base stats'!B:B,'Base stats'!E:E),Groups!A:A,Groups!D:D)&lt;&gt;0),"AnimalFarm","")),
IF(OR(_xlfn.XLOOKUP(B30,'Base stats'!B:B,'Base stats'!AK:AK)=1,AND(BI30&lt;&gt;"None",BR30&gt;=60),ISNUMBER(SEARCH("Attack target",BP30))),"AnimalFighter","")
)))</f>
        <v>AnimalCommon, AnimalFarm</v>
      </c>
      <c r="BX30" s="25" t="str">
        <f>IF(G30="None",TRIM(
SUBSTITUTE(
IF(COUNTIF(Biomes!B$2:B$259,"="&amp;$C30)&gt;0,Biomes!B$1&amp;", ","")&amp;
IF(COUNTIF(Biomes!C$2:C$259,"="&amp;$C30)&gt;0,Biomes!C$1&amp;", ","")&amp;
IF(COUNTIF(Biomes!D$2:D$259,"="&amp;$C30)&gt;0,Biomes!D$1&amp;", ","")&amp;
IF(COUNTIF(Biomes!F$2:F$259,"="&amp;$C30)&gt;0,Biomes!F$1&amp;", ","")&amp;
IF(COUNTIF(Biomes!G$2:G$259,"="&amp;$C30)&gt;0,Biomes!G$1&amp;", ","")&amp;
IF(COUNTIF(Biomes!H$2:H$259,"="&amp;$C30)&gt;0,Biomes!H$1&amp;", ","")&amp;
IF(COUNTIF(Biomes!I$2:I$259,"="&amp;$C30)&gt;0,Biomes!I$1&amp;", ","")&amp;
IF(COUNTIF(Biomes!J$2:J$259,"="&amp;$C30)&gt;0,Biomes!J$1&amp;", ","")&amp;
IF(COUNTIF(Biomes!M$2:M$259,"="&amp;$C30)&gt;0,Biomes!M$1&amp;", ","")&amp;
IF(COUNTIF(Biomes!N$2:N$259,"="&amp;$C30)&gt;0,Biomes!N$1&amp;", ","")&amp;
IF(COUNTIF(Biomes!O$2:O$259,"="&amp;$C30)&gt;0,Biomes!O$1&amp;", ","")&amp;
IF(COUNTIF(Biomes!P$2:P$259,"="&amp;$C30)&gt;0,Biomes!P$1&amp;", ","")&amp;
IF(COUNTIF(Biomes!K$2:K$259,"="&amp;$C30)&gt;0,Biomes!K$1&amp;", ","")&amp;
IF(COUNTIF(Biomes!Q$3:Q$259,"="&amp;$C30)&gt;0,Biomes!Q$1&amp;", ","")&amp;
IF(COUNTIF(Biomes!L$2:L$259,"="&amp;$C30)&gt;0,Biomes!L$1&amp;", ","")&amp;
IF(COUNTIF(Biomes!E$2:E$259,"="&amp;$C30)&gt;0,Biomes!E$1&amp;", ","")&amp;IF(COUNTIF(Biomes!S$2:S$259,"="&amp;$C30)&gt;0,Biomes!S$1&amp;", ","")&amp;
IF(COUNTIF(Biomes!R$2:R$259,"="&amp;$C30)&gt;0,Biomes!R$1&amp;", ",""),", ","")
),_xlfn.XLOOKUP(B30,B:B,BX:BX))</f>
        <v>Scarlands</v>
      </c>
      <c r="BY30" s="25" t="str">
        <f>IF(_xlfn.XLOOKUP(B30,'Base stats'!B:B,'Base stats'!AJ:AJ)=1,"true","false")</f>
        <v>false</v>
      </c>
      <c r="BZ30" s="25">
        <f>IF(_xlfn.XLOOKUP(B30,'Base stats'!B:B,'Base stats'!N:N)=1,"No",MAX(0.001,MIN(MROUND(IF(AND(BJ30="True",CC30="False"),POWER(10,3.47*LOG10(_xlfn.XLOOKUP(B30,'Base stats'!B:B,'Base stats'!C:C)*1000)^-0.96),POWER(10,4.15*LOG10(_xlfn.XLOOKUP(B30,'Base stats'!B:B,'Base stats'!C:C)*1000)^-0.73))*IF(_xlfn.XLOOKUP(B30,'Base stats'!B:B,'Base stats'!AK:AK)=1,0.5,1)*IF(_xlfn.XLOOKUP(B30,'Base stats'!B:B,'Base stats'!AM:AM)=1,0.1,1)/100,IF(_xlfn.XLOOKUP(B30,'Base stats'!B:B,'Base stats'!AM:AM)=1,0.001,0.025)),0.5)))</f>
        <v>0.15000000000000002</v>
      </c>
      <c r="CA30" s="25" t="str">
        <f>IF(P30="Standard","No",MAX(0.001,MIN(MROUND(IF(AND(BJ30="True",CC30="False"),POWER(10,3.47*LOG10(_xlfn.XLOOKUP(B30,'Base stats'!B:B,'Base stats'!C:C)*1000)^-0.96),POWER(10,4.15*LOG10(_xlfn.XLOOKUP(B30,'Base stats'!B:B,'Base stats'!C:C)*1000)^-0.73))*IF(_xlfn.XLOOKUP(B30,'Base stats'!B:B,'Base stats'!AM:AM)=1,0.1,1)*_xlfn.XLOOKUP(B30,'Base stats'!B:B,'Base stats'!R:R)/100,IF(_xlfn.XLOOKUP(B30,'Base stats'!B:B,'Base stats'!AM:AM)=1,0.001,0.025)),0.5)))</f>
        <v>No</v>
      </c>
      <c r="CB30" s="25" t="str">
        <f>IF(_xlfn.XLOOKUP(_xlfn.XLOOKUP(B30,'Base stats'!B:B,'Base stats'!E:E),Groups!A:A,Groups!AJ:AJ)="Mammal","True","False")</f>
        <v>True</v>
      </c>
      <c r="CC30" s="25" t="str">
        <f>IF(OR(_xlfn.XLOOKUP(_xlfn.XLOOKUP(B30,'Base stats'!B:B,'Base stats'!E:E),Groups!A:A,Groups!AJ:AJ)="Reptile",_xlfn.XLOOKUP(_xlfn.XLOOKUP(B30,'Base stats'!B:B,'Base stats'!E:E),Groups!A:A,Groups!AJ:AJ)="Amphibian",_xlfn.XLOOKUP(_xlfn.XLOOKUP(B30,'Base stats'!B:B,'Base stats'!E:E),Groups!A:A,Groups!AJ:AJ)="Invertebrate"),"True","False")</f>
        <v>False</v>
      </c>
      <c r="CD30" s="25" t="str">
        <f t="shared" si="6"/>
        <v>False</v>
      </c>
      <c r="CE30" s="25" t="str">
        <f>IF(_xlfn.XLOOKUP(_xlfn.XLOOKUP(B30,'Base stats'!B:B,'Base stats'!E:E),Groups!A:A,Groups!AX:AX),"True","False")</f>
        <v>False</v>
      </c>
      <c r="CF30" s="25" t="str">
        <f>IF(_xlfn.XLOOKUP(_xlfn.XLOOKUP(B30,'Base stats'!B:B,'Base stats'!E:E),Groups!A:A,Groups!AY:AY),"True","False")</f>
        <v>False</v>
      </c>
      <c r="CG30" s="25" t="str">
        <f>IF(_xlfn.XLOOKUP(_xlfn.XLOOKUP(B30,'Base stats'!B:B,'Base stats'!E:E),Groups!A:A,Groups!AW:AW),"True","False")</f>
        <v>False</v>
      </c>
      <c r="CH30" s="25" t="str">
        <f>IF(
OR(
_xlfn.XLOOKUP(_xlfn.XLOOKUP(B30,'Base stats'!B:B,'Base stats'!E:E),Groups!A:A,Groups!AZ:AZ)=0,
AND(
_xlfn.XLOOKUP(B30,'Base stats'!B:B,'Base stats'!Y:Y)&lt;&gt;"Carnivore",
_xlfn.XLOOKUP(B30,'Base stats'!B:B,'Base stats'!Y:Y)&lt;&gt;"Omnivore",
_xlfn.XLOOKUP(B30,'Base stats'!B:B,'Base stats'!Y:Y)&lt;&gt;"OmnivoreRough"
)
),
"No",
IF(
_xlfn.XLOOKUP(_xlfn.XLOOKUP(B30,'Base stats'!B:B,'Base stats'!E:E),Groups!A:A,Groups!AZ:AZ)=1,
"Flesh",
IF(
_xlfn.XLOOKUP(_xlfn.XLOOKUP(B30,'Base stats'!B:B,'Base stats'!E:E),Groups!A:A,Groups!AZ:AZ)=2,
"Bone",
""
)
)
)</f>
        <v>Bone</v>
      </c>
      <c r="CI30" s="25" t="str">
        <f>IF(_xlfn.XLOOKUP(_xlfn.XLOOKUP(B30,'Base stats'!B:B,'Base stats'!E:E),Groups!A:A,Groups!BB:BB),"True","False")</f>
        <v>True</v>
      </c>
      <c r="CJ30" s="25" t="str">
        <f>IF(_xlfn.XLOOKUP(_xlfn.XLOOKUP(B30,'Base stats'!B:B,'Base stats'!E:E),Groups!A:A,Groups!BA:BA),"True","False")</f>
        <v>False</v>
      </c>
    </row>
    <row r="31" spans="1:93" ht="16.5" thickTop="1" thickBot="1" x14ac:dyDescent="0.3">
      <c r="A31" s="26" t="str">
        <f>_xlfn.XLOOKUP(B31,'Base stats'!B:B,'Base stats'!A:A)</f>
        <v>Monkey</v>
      </c>
      <c r="B31" s="6" t="s">
        <v>262</v>
      </c>
      <c r="C31" s="28" t="s">
        <v>706</v>
      </c>
      <c r="D31" s="28" t="s">
        <v>45</v>
      </c>
      <c r="E31" s="28" t="s">
        <v>673</v>
      </c>
      <c r="F31" s="28" t="s">
        <v>673</v>
      </c>
      <c r="G31" s="28" t="s">
        <v>673</v>
      </c>
      <c r="H31" s="2">
        <f>MROUND((
  (IF(AND(_xlfn.XLOOKUP(B31,'Base stats'!B:B,'Base stats'!AL:AL)=0,BI31="None",_xlfn.XLOOKUP(_xlfn.XLOOKUP(B31,'Base stats'!B:B,'Base stats'!E:E),Groups!A:A,Groups!B:B)=0), (18 + BR31 * 2.7) * 0.5,
    IF(AND(_xlfn.XLOOKUP(B31,'Base stats'!B:B,'Base stats'!AL:AL)=0,OR(AO31&lt;0.55,AND(BI31="Intermediate",_xlfn.XLOOKUP(_xlfn.XLOOKUP(B31,'Base stats'!B:B,'Base stats'!E:E),Groups!A:A,Groups!B:B)&lt;2))), (18 + BR31 * 2.7),
      IF(OR(BI31="Advanced",_xlfn.XLOOKUP(B31,'Base stats'!B:B,'Base stats'!AL:AL)=1,_xlfn.XLOOKUP(_xlfn.XLOOKUP(B31,'Base stats'!B:B,'Base stats'!E:E),Groups!A:A,Groups!B:B)=2), (18 + BR31 * 2.7) + 250, (18 + BR31 * 2.7))
    )
  ))
  + AO31 * 80
  + IF(COUNTIF(EggMilk!K$2:K$998, A31) &gt; 0, 125, 0)
  + IF(COUNTIF(EggMilk!P$2:P$998, A31) &gt; 0, 90, 0)
  + IF(COUNTIF(EggMilk!A$2:A$998, A31) &gt; 0, 90, 0)
)
* (0.8 + 0.4 * J31)
* 0.75,25)</f>
        <v>125</v>
      </c>
      <c r="I31" s="2">
        <f>MROUND(ROUNDDOWN(_xlfn.XLOOKUP(B31,'Base stats'!B:B,'Base stats'!L:L)/3.6/(23.3/11),1),0.5)</f>
        <v>4</v>
      </c>
      <c r="J31" s="2">
        <f>IF(OR(_xlfn.XLOOKUP(B31,'Base stats'!B:B,'Base stats'!AB:AB)=1,_xlfn.XLOOKUP(_xlfn.XLOOKUP(B31,'Base stats'!B:B,'Base stats'!E:E),Groups!A:A,Groups!C:C)="Untamable"),1,IF(_xlfn.XLOOKUP(B31,'Base stats'!B:B,'Base stats'!AL:AL)=1,0.99,MIN(MROUND((1-0.6282*EXP(-0.459*AO31))*_xlfn.XLOOKUP(_xlfn.XLOOKUP(B31,'Base stats'!B:B,'Base stats'!E:E),Groups!A:A,Groups!C:C)*IF(_xlfn.XLOOKUP(B31,'Base stats'!B:B,'Base stats'!O:O)=1,0.5,IF(_xlfn.XLOOKUP(B31,'Base stats'!B:B,'Base stats'!O:O)=2,0,1)),0.05),IF(AO31&gt;3.5,0.985,0.95))))</f>
        <v>0.60000000000000009</v>
      </c>
      <c r="K31" s="2">
        <f>ROUNDUP(AO31*_xlfn.XLOOKUP(_xlfn.XLOOKUP(B31,'Base stats'!B:B,'Base stats'!E:E),Groups!A:A,Groups!E:E),0)</f>
        <v>1</v>
      </c>
      <c r="L31" s="2">
        <f>IF(OR(_xlfn.XLOOKUP(_xlfn.XLOOKUP(B31,'Base stats'!B:B,'Base stats'!E:E),Groups!A:A,Groups!F:F)=2,ISNUMBER(SEARCH("SeaIce",BX31)),ISNUMBER(SEARCH("IceSheet",BX31))),-50,IF(OR(ISNUMBER(SEARCH("GlacialPlain",BX31)),ISNUMBER(SEARCH("Tundra",BX31))),-40,IF(OR(ISNUMBER(SEARCH("Alpine",BX31)),ISNUMBER(SEARCH("BorealForest",BX31)),ISNUMBER(SEARCH("ColdBog",BX31))),-30,IF(OR(ISNUMBER(SEARCH("TemperateForest",BX31)),ISNUMBER(SEARCH("TemperateSwamp",BX31))),-20,IF(_xlfn.XLOOKUP(_xlfn.XLOOKUP(B31,'Base stats'!B:B,'Base stats'!E:E),Groups!A:A,Groups!F:F)=1,-15,IF(OR(ISNUMBER(SEARCH("Desert",BX31)),ISNUMBER(SEARCH("ExtremeDesert",BX31))),-10,IF(OR(ISNUMBER(SEARCH("Grasslands",BX31)),ISNUMBER(SEARCH("TropicalRainforest",BX31)),ISNUMBER(SEARCH("TropicalSwamp",BX31))),10,0)))))))-IF(CC31="False",MIN(IFERROR(MAX(MROUND(LOG10(_xlfn.XLOOKUP(B31,'Base stats'!B:B,'Base stats'!C:C)^(2/3))*10,5),5),5),30))-_xlfn.XLOOKUP(B31,'Base stats'!B:B,'Base stats'!P:P)+IF(CC31="True",5,0)</f>
        <v>5</v>
      </c>
      <c r="M31" s="2">
        <f>IF(OR(_xlfn.XLOOKUP(_xlfn.XLOOKUP(B31,'Base stats'!B:B,'Base stats'!E:E),Groups!A:A,Groups!G:G)=2,ISNUMBER(SEARCH("Desert",BX31)),ISNUMBER(SEARCH("ExtremeDesert",BX31)),ISNUMBER(SEARCH("LavaField",BX31))),50,IF(ISNUMBER(SEARCH("Grasslands",BX31)),45,IF(OR(_xlfn.XLOOKUP(_xlfn.XLOOKUP(B31,'Base stats'!B:B,'Base stats'!E:E),Groups!A:A,Groups!G:G)=1,ISNUMBER(SEARCH("TropicalRainforest",BX31)),ISNUMBER(SEARCH("TropicalSwamp",BX31))),40,IF(OR(ISNUMBER(SEARCH("TemperateForest",BX31)),ISNUMBER(SEARCH("TemperateSwamp",BX31))),35,IF(OR(ISNUMBER(SEARCH("Alpine",BX31)),ISNUMBER(SEARCH("BorealForest",BX31)),ISNUMBER(SEARCH("ColdBog",BX31))),30,IF(ISNUMBER(OR(ISNUMBER(SEARCH("GlacialPlain",BX31)),SEARCH("Tundra",BX31))),25,IF(OR(ISNUMBER(SEARCH("SeaIce",BX31)),ISNUMBER(SEARCH("IceSheet",BX31)),ISNUMBER(SEARCH("TropicalSwamp",BX31))),10,35)))))))+_xlfn.XLOOKUP(B31,'Base stats'!B:B,'Base stats'!Q:Q)</f>
        <v>40</v>
      </c>
      <c r="N31" s="8" t="str">
        <f>IF(
_xlfn.XLOOKUP(
_xlfn.XLOOKUP(B31,'Base stats'!B:B,'Base stats'!E:E),
Groups!A:A,
Groups!L:L
)=1,
MIN(
MROUND(
IF(
_xlfn.XLOOKUP(B31,'Animals CE'!B:B,'Animals CE'!Z:Z)&lt;=1.5,
_xlfn.XLOOKUP(B31,'Animals CE'!B:B,'Animals CE'!Z:Z)/2+0.05,
0.8+
(_xlfn.XLOOKUP(B31,'Animals CE'!B:B,'Animals CE'!Z:Z)-1.5)
*0.02
),
0.05
),
200%
),
"No"
)</f>
        <v>No</v>
      </c>
      <c r="O31" s="8" t="str">
        <f>IF(
_xlfn.XLOOKUP(
_xlfn.XLOOKUP(B31,'Base stats'!B:B,'Base stats'!E:E),
Groups!A:A,
Groups!L:L
)=1,
MIN(
MROUND(
IF(
_xlfn.XLOOKUP(B31,'Animals CE'!B:B,'Animals CE'!AA:AA)&lt;=1.5,
_xlfn.XLOOKUP(B31,'Animals CE'!B:B,'Animals CE'!AA:AA)/2+0.05,
0.8+
(_xlfn.XLOOKUP(B31,'Animals CE'!B:B,'Animals CE'!AA:AA)-1.5)
*0.02
),
0.05
),
200%
),
"No"
)</f>
        <v>No</v>
      </c>
      <c r="P31" s="2" t="str">
        <f>_xlfn.XLOOKUP(B31,'Base stats'!B:B,'Base stats'!R:R)</f>
        <v>Standard</v>
      </c>
      <c r="Q31" s="13">
        <f>MROUND((LOG10(_xlfn.XLOOKUP(B31,'Base stats'!B:B,'Base stats'!AR:AR))*(AO31^0.5)+(_xlfn.XLOOKUP(B31,'Base stats'!B:B,'Base stats'!AR:AR)/1000)^(2/3)+_xlfn.XLOOKUP(B31,'Base stats'!B:B,'Base stats'!BA:BA)/2)+0.5,0.5)</f>
        <v>3</v>
      </c>
      <c r="R31" s="7">
        <f>IF(Q31="No","No",MAX(1,MROUND(_xlfn.XLOOKUP(B31,'Base stats'!B:B,'Base stats'!C:C)^0.165,0.05)))</f>
        <v>1.35</v>
      </c>
      <c r="S31" s="13" t="str">
        <f>IF(_xlfn.XLOOKUP(_xlfn.XLOOKUP(B31,'Base stats'!B:B,'Base stats'!E:E),Groups!A:A,Groups!P:P)=0,"No",MROUND((LOG10(_xlfn.XLOOKUP(B31,'Base stats'!B:B,'Base stats'!AS:AS))*(AO31^0.5)+(_xlfn.XLOOKUP(B31,'Base stats'!B:B,'Base stats'!AS:AS)/1000)^(2/3)+_xlfn.XLOOKUP(B31,'Base stats'!B:B,'Base stats'!BA:BA))+_xlfn.XLOOKUP(B31,'Base stats'!B:B,'Base stats'!AY:AY)+0.5,0.5))</f>
        <v>No</v>
      </c>
      <c r="T31" s="7" t="str">
        <f>IF(S31="No","No",MAX(_xlfn.XLOOKUP(_xlfn.XLOOKUP(B31,'Base stats'!B:B,'Base stats'!E:E),Groups!A:A,Groups!Q:Q),MROUND(_xlfn.XLOOKUP(_xlfn.XLOOKUP(B31,'Base stats'!B:B,'Base stats'!E:E),Groups!A:A,Groups!Q:Q)*_xlfn.XLOOKUP(B31,'Base stats'!B:B,'Base stats'!C:C)^0.165,0.05)))</f>
        <v>No</v>
      </c>
      <c r="U31" s="7" t="str">
        <f>IF(S31="No","No",_xlfn.XLOOKUP(_xlfn.XLOOKUP(B31,'Base stats'!B:B,'Base stats'!E:E),Groups!A:A,Groups!R:R))</f>
        <v>No</v>
      </c>
      <c r="V31" s="7" t="str">
        <f>IF(S31="No","No",_xlfn.XLOOKUP(_xlfn.XLOOKUP(B31,'Base stats'!B:B,'Base stats'!E:E),Groups!A:A,Groups!S:S))</f>
        <v>No</v>
      </c>
      <c r="W31" s="7" t="str">
        <f>IF(S31="No","No",_xlfn.XLOOKUP(_xlfn.XLOOKUP(B31,'Base stats'!B:B,'Base stats'!E:E),Groups!A:A,Groups!T:T))</f>
        <v>No</v>
      </c>
      <c r="X31" s="13" t="str">
        <f>IF(_xlfn.XLOOKUP(B31,'Base stats'!B:B,'Base stats'!W:W)="No","No",MROUND((LOG10(_xlfn.XLOOKUP(B31,'Base stats'!B:B,'Base stats'!AU:AU))*(AO31^0.5)+(_xlfn.XLOOKUP(B31,'Base stats'!B:B,'Base stats'!AU:AU)/1000)^(2/3)+_xlfn.XLOOKUP(B31,'Base stats'!B:B,'Base stats'!AZ:AZ))+0.5+IF(_xlfn.XLOOKUP(_xlfn.XLOOKUP(B31,'Base stats'!B:B,'Base stats'!E:E),Groups!A:A,Groups!U:U)&lt;&gt;3,_xlfn.XLOOKUP(B31,'Base stats'!B:B,'Base stats'!BA:BA),0),0.5))</f>
        <v>No</v>
      </c>
      <c r="Y31" s="7" t="str">
        <f>IF(X31="No","No",MAX(_xlfn.XLOOKUP(_xlfn.XLOOKUP(B31,'Base stats'!B:B,'Base stats'!E:E),Groups!A:A,Groups!V:V),MROUND(_xlfn.XLOOKUP(_xlfn.XLOOKUP(B31,'Base stats'!B:B,'Base stats'!E:E),Groups!A:A,Groups!V:V)*_xlfn.XLOOKUP(B31,'Base stats'!B:B,'Base stats'!C:C)^0.165,0.05)))</f>
        <v>No</v>
      </c>
      <c r="Z31" s="7" t="str">
        <f>IF(X31="No","No",_xlfn.XLOOKUP(_xlfn.XLOOKUP(B31,'Base stats'!B:B,'Base stats'!E:E),Groups!A:A,Groups!W:W))</f>
        <v>No</v>
      </c>
      <c r="AA31" s="7" t="str">
        <f>IF(X31="No","No",_xlfn.XLOOKUP(_xlfn.XLOOKUP(B31,'Base stats'!B:B,'Base stats'!E:E),Groups!A:A,Groups!X:X))</f>
        <v>No</v>
      </c>
      <c r="AB31" s="7" t="str">
        <f>IF(X31="No","No",_xlfn.XLOOKUP(_xlfn.XLOOKUP(B31,'Base stats'!B:B,'Base stats'!E:E),Groups!A:A,Groups!Y:Y))</f>
        <v>No</v>
      </c>
      <c r="AC31" s="7" t="str">
        <f>_xlfn.XLOOKUP(Animals!B31,'Base stats'!B:B,'Base stats'!X:X)</f>
        <v>False</v>
      </c>
      <c r="AD31" s="13">
        <f>IF(_xlfn.XLOOKUP(B31,'Base stats'!B:B,'Base stats'!AT:AT)="No","No",MROUND((LOG10(_xlfn.XLOOKUP(B31,'Base stats'!B:B,'Base stats'!AT:AT))*(AO31^0.75)+(_xlfn.XLOOKUP(B31,'Base stats'!B:B,'Base stats'!AT:AT)/1000)^(2/3)+_xlfn.XLOOKUP(B31,'Base stats'!B:B,'Base stats'!AX:AX)+_xlfn.XLOOKUP(B31,'Base stats'!B:B,'Base stats'!BA:BA))+0.5,0.5))</f>
        <v>5</v>
      </c>
      <c r="AE31" s="7">
        <f>IF(AD31="No","No",MAX(_xlfn.XLOOKUP(_xlfn.XLOOKUP(B31,'Base stats'!B:B,'Base stats'!E:E),Groups!A:A,Groups!Z:Z),MROUND(_xlfn.XLOOKUP(_xlfn.XLOOKUP(B31,'Base stats'!B:B,'Base stats'!E:E),Groups!A:A,Groups!Z:Z)*_xlfn.XLOOKUP(B31,'Base stats'!B:B,'Base stats'!C:C)^0.165,0.05)))</f>
        <v>1.1500000000000001</v>
      </c>
      <c r="AF31" s="7" t="str">
        <f>IF(AD31="No","No",_xlfn.XLOOKUP(_xlfn.XLOOKUP(B31,'Base stats'!B:B,'Base stats'!E:E),Groups!A:A,Groups!AA:AA))</f>
        <v>Teeth</v>
      </c>
      <c r="AG31" s="7" t="str">
        <f>IF(AD31="No","No",_xlfn.XLOOKUP(_xlfn.XLOOKUP(B31,'Base stats'!B:B,'Base stats'!E:E),Groups!A:A,Groups!AB:AB))</f>
        <v>canines</v>
      </c>
      <c r="AH31" s="7" t="str">
        <f>IF(AD31="No","No",_xlfn.XLOOKUP(_xlfn.XLOOKUP(B31,'Base stats'!B:B,'Base stats'!E:E),Groups!A:A,Groups!AC:AC))</f>
        <v>Bite</v>
      </c>
      <c r="AI31" s="13">
        <f>IF(_xlfn.XLOOKUP(_xlfn.XLOOKUP(B31,'Base stats'!B:B,'Base stats'!E:E),Groups!A:A,Groups!AD:AD)=0,"No",MROUND((LOG10(_xlfn.XLOOKUP(B31,'Base stats'!B:B,'Base stats'!AS:AS))*(AO31^0.75)+(_xlfn.XLOOKUP(B31,'Base stats'!B:B,'Base stats'!AS:AS)/1000)^(2/3)+_xlfn.XLOOKUP(B31,'Base stats'!B:B,'Base stats'!AY:AY)+_xlfn.XLOOKUP(B31,'Base stats'!B:B,'Base stats'!BA:BA))+0.5,0.5))</f>
        <v>3.5</v>
      </c>
      <c r="AJ31" s="7">
        <f>IF(AI31="No","No",MAX(_xlfn.XLOOKUP(_xlfn.XLOOKUP(B31,'Base stats'!B:B,'Base stats'!E:E),Groups!A:A,Groups!AE:AE),MROUND(_xlfn.XLOOKUP(_xlfn.XLOOKUP(B31,'Base stats'!B:B,'Base stats'!E:E),Groups!A:A,Groups!AE:AE)*IF(_xlfn.XLOOKUP(_xlfn.XLOOKUP(B31,'Base stats'!B:B,'Base stats'!E:E),Groups!A:A,Groups!AJ:AJ)="Photonozoa",0.6,1)*_xlfn.XLOOKUP(B31,'Base stats'!B:B,'Base stats'!C:C)^0.165,0.05)))</f>
        <v>0.9</v>
      </c>
      <c r="AK31" s="7" t="str">
        <f>IF(AI31="No","No",_xlfn.XLOOKUP(_xlfn.XLOOKUP(B31,'Base stats'!B:B,'Base stats'!E:E),Groups!A:A,Groups!AF:AF))</f>
        <v>LeftHand, RightHand</v>
      </c>
      <c r="AL31" s="7" t="str">
        <f>IF(AI31="No","No",_xlfn.XLOOKUP(_xlfn.XLOOKUP(B31,'Base stats'!B:B,'Base stats'!E:E),Groups!A:A,Groups!AG:AG))</f>
        <v>left fist, right fist</v>
      </c>
      <c r="AM31" s="7" t="str">
        <f>IF(AI31="No","No",_xlfn.XLOOKUP(_xlfn.XLOOKUP(B31,'Base stats'!B:B,'Base stats'!E:E),Groups!A:A,Groups!AH:AH))</f>
        <v>Blunt</v>
      </c>
      <c r="AN31" s="2" t="str">
        <f t="shared" si="0"/>
        <v>No</v>
      </c>
      <c r="AO31" s="2">
        <f>MROUND(IF(AND(_xlfn.XLOOKUP(B31,'Base stats'!B:B,'Base stats'!C:C)&gt;=0.5,_xlfn.XLOOKUP(B31,'Base stats'!B:B,'Base stats'!C:C)&lt;=0.8),
IF(_xlfn.XLOOKUP(B31,'Base stats'!B:B,'Base stats'!C:C)&lt;0.1,0.05,IF(_xlfn.XLOOKUP(B31,'Base stats'!B:B,'Base stats'!C:C)&lt;=70,(_xlfn.XLOOKUP(B31,'Base stats'!B:B,'Base stats'!C:C)/70)^0.426489913056526,IF(_xlfn.XLOOKUP(B31,'Base stats'!B:B,'Base stats'!C:C)&lt;=400,(_xlfn.XLOOKUP(B31,'Base stats'!B:B,'Base stats'!C:C)/70)^0.572811455315093,IF(_xlfn.XLOOKUP(B31,'Base stats'!B:B,'Base stats'!C:C)&lt;=2000,2.71391647193063*(_xlfn.XLOOKUP(B31,'Base stats'!B:B,'Base stats'!C:C)/400)^0.252459582904293,3.74314280240376*(_xlfn.XLOOKUP(B31,'Base stats'!B:B,'Base stats'!C:C)/2000)^0.357012633876913)))),
IF(_xlfn.XLOOKUP(B31,'Base stats'!B:B,'Base stats'!C:C)&lt;0.1,0.05,IF(_xlfn.XLOOKUP(B31,'Base stats'!B:B,'Base stats'!C:C)&lt;0.4,0.1,IF(_xlfn.XLOOKUP(B31,'Base stats'!B:B,'Base stats'!C:C)&lt;=70,(_xlfn.XLOOKUP(B31,'Base stats'!B:B,'Base stats'!C:C)/70)^0.445823913056526,IF(_xlfn.XLOOKUP(B31,'Base stats'!B:B,'Base stats'!C:C)&lt;=400,(_xlfn.XLOOKUP(B31,'Base stats'!B:B,'Base stats'!C:C)/70)^0.572811455315093,IF(_xlfn.XLOOKUP(B31,'Base stats'!B:B,'Base stats'!C:C)&lt;=2000,2.71391647193063*(_xlfn.XLOOKUP(B31,'Base stats'!B:B,'Base stats'!C:C)/400)^0.252459582904293,3.74314280240376*(_xlfn.XLOOKUP(B31,'Base stats'!B:B,'Base stats'!C:C)/2000)^0.357012633876913)))))),
IF(_xlfn.XLOOKUP(B31,'Base stats'!B:B,'Base stats'!C:C)&lt;0.1,0.05,IF(_xlfn.XLOOKUP(B31,'Base stats'!B:B,'Base stats'!C:C)&lt;=100,0.05,IF(_xlfn.XLOOKUP(B31,'Base stats'!B:B,'Base stats'!C:C)&lt;=250,0.1,IF(_xlfn.XLOOKUP(B31,'Base stats'!B:B,'Base stats'!C:C)&lt;=4000,0.25,0.5)))))</f>
        <v>0.35000000000000003</v>
      </c>
      <c r="AP31" s="8">
        <f>MROUND(AO31*_xlfn.XLOOKUP(_xlfn.XLOOKUP(B31,'Base stats'!B:B,'Base stats'!E:E),Groups!A:A,Groups!AI:AI)*_xlfn.XLOOKUP(B31,'Base stats'!B:B,'Base stats'!Z:Z),0.05)</f>
        <v>0.35000000000000003</v>
      </c>
      <c r="AQ31" s="8">
        <f>MAX(0.01,MROUND(IF(CC31="True",0.196*(AO31*100*1000)^0.889,IF(_xlfn.XLOOKUP(_xlfn.XLOOKUP(B31,'Base stats'!B:B,'Base stats'!E:E),Groups!A:A,Groups!AJ:AJ)="Bird",10.5*(AO31*100*1000)^0.681,4.82*(AO31*100*1000)^0.734))/(4.82*(1*100*1000)^0.734)/IF(AO31&lt;3.5,2,IF(AO31=3.5,1.5,1.25))*(1+0.132282374779864/(AO31^0.994035016789033+0.00905238001496948)),0.05))</f>
        <v>0.30000000000000004</v>
      </c>
      <c r="AR31" s="9">
        <f>IFERROR(MROUND(_xlfn.XLOOKUP(B31,'Base stats'!B:B,'Base stats'!H:H)/IF(_xlfn.XLOOKUP(B31,'Base stats'!B:B,'Base stats'!I:I)&lt;&gt;1,(122.5/70),1.2),IF(_xlfn.XLOOKUP(B31,'Base stats'!B:B,'Base stats'!H:H)&gt;=30,5,IF(_xlfn.XLOOKUP(B31,'Base stats'!B:B,'Base stats'!H:H)&gt;=15,3,IF(_xlfn.XLOOKUP(B31,'Base stats'!B:B,'Base stats'!H:H)&gt;=10,2,1)))),"Immortal")</f>
        <v>25</v>
      </c>
      <c r="AS31" s="35">
        <f>IFERROR(IF(OR(_xlfn.XLOOKUP(B31,'Base stats'!B:B,'Base stats'!F:F)="Atypical reproduction",_xlfn.XLOOKUP(B31,'Base stats'!B:B,'Base stats'!F:F)="Lay eggs"),"Lay eggs",MIN(20,MAX(5.5,ROUND(((_xlfn.XLOOKUP(B31,'Base stats'!B:B,'Base stats'!F:F)-25)*(14.5/615) + 5.5)*2,0)/2))),"Unknown")</f>
        <v>9</v>
      </c>
      <c r="AT31" s="8">
        <f>IF(_xlfn.XLOOKUP(B31,'Base stats'!B:B,'Base stats'!G:G)="Atypical reproduction","No",IFERROR(MAX(IF(_xlfn.XLOOKUP(B31,'Base stats'!B:B,'Base stats'!G:G)&lt;0.5,0.2,0.3),MROUND(_xlfn.XLOOKUP(B31,'Base stats'!B:B,'Base stats'!G:G)/(365/60),0.2)),"Unknown"))</f>
        <v>0.60000000000000009</v>
      </c>
      <c r="AU31" s="8">
        <f t="shared" si="1"/>
        <v>0.30000000000000004</v>
      </c>
      <c r="AV31" s="8">
        <f>IFERROR(IFERROR(MROUND(_xlfn.XLOOKUP(B31,'Base stats'!B:B,'Base stats'!J:J),0.1),"Lay eggs"),"Cannot breed")</f>
        <v>1</v>
      </c>
      <c r="AW31" s="2" t="str">
        <f t="shared" si="2"/>
        <v>true</v>
      </c>
      <c r="AX31" s="2" t="str">
        <f>IF(_xlfn.XLOOKUP(_xlfn.XLOOKUP(Animals!B31,'Base stats'!B:B,'Base stats'!E:E),Groups!A:A,Groups!AK:AK)=1,"true","false")</f>
        <v>false</v>
      </c>
      <c r="AY31" s="25" t="str">
        <f>IF(_xlfn.XLOOKUP(B31,'Base stats'!B:B,'Base stats'!Y:Y)="Liquor","Liquor, CarnivoreAnimalStrict",IF(AND(_xlfn.XLOOKUP(B31,'Base stats'!B:B,'Base stats'!Y:Y)="Carnivore",_xlfn.XLOOKUP(_xlfn.XLOOKUP(B31,'Base stats'!B:B,'Base stats'!E:E),Groups!A:A,Groups!AJ:AJ)="Photonozoa"),"CarnivoreAnimalStrict, OvivoreAnimal",IF(_xlfn.XLOOKUP(B31,'Base stats'!B:B,'Base stats'!Y:Y)="Carnivore","CarnivoreAnimal, OvivoreAnimal",IF(_xlfn.XLOOKUP(B31,'Base stats'!B:B,'Base stats'!Y:Y)="Dendrovore","VegetarianRoughAnimal, DendrovoreAnimal",IF(_xlfn.XLOOKUP(B31,'Base stats'!B:B,'Base stats'!Y:Y)="Herbivore","VegetarianRoughAnimal",IF(_xlfn.XLOOKUP(B31,'Base stats'!B:B,'Base stats'!Y:Y)="OmnivoreRough","OmnivoreRoughAnimal, OvivoreAnimal","OmnivoreAnimal, OvivoreAnimal"))))))</f>
        <v>OmnivoreRoughAnimal, OvivoreAnimal</v>
      </c>
      <c r="AZ31" s="2" t="str">
        <f>IF(_xlfn.XLOOKUP(_xlfn.XLOOKUP(B31,'Base stats'!B:B,'Base stats'!E:E),Groups!A:A,Groups!D:D)=1,MROUND((1-J31)*5+1,2)*IF(J31&lt;=0.4,2,1),"No")</f>
        <v>No</v>
      </c>
      <c r="BA31" s="2" t="str">
        <f>IF(AND(_xlfn.XLOOKUP(B31,'Base stats'!B:B,'Base stats'!AH:AH)="&lt;li&gt;Seal&lt;/li&gt;",G31="Odyssey"),"&lt;li&gt;AEXP_Seal&lt;/li&gt;",_xlfn.XLOOKUP(B31,'Base stats'!B:B,'Base stats'!AH:AH))</f>
        <v>No</v>
      </c>
      <c r="BB31" s="2" t="str">
        <f>_xlfn.XLOOKUP(B31,'Base stats'!B:B,'Base stats'!AG:AG)</f>
        <v>Leather_Light</v>
      </c>
      <c r="BC31" s="23" t="str">
        <f>_xlfn.XLOOKUP(_xlfn.XLOOKUP(B31,'Base stats'!B:B,'Base stats'!E:E),Groups!A:A,Groups!AL:AL)</f>
        <v>Monkey</v>
      </c>
      <c r="BD31" s="23">
        <f>MIN(1,MROUND(IF(AND(AO31&lt;0.5,_xlfn.XLOOKUP(B31,'Base stats'!B:B,'Base stats'!AA:AA)=0),0,IF(OR(_xlfn.XLOOKUP(Animals!B31,'Base stats'!B:B,'Base stats'!O:O)=2,_xlfn.XLOOKUP(_xlfn.XLOOKUP(B31,'Base stats'!B:B,'Base stats'!E:E),Groups!A:A,Groups!AN:AN)=0),0,_xlfn.XLOOKUP(_xlfn.XLOOKUP(B31,'Base stats'!B:B,'Base stats'!E:E),Groups!A:A,Groups!AN:AN)/IF(_xlfn.XLOOKUP(Animals!B31,'Base stats'!B:B,'Base stats'!O:O)=1,2,1)))+_xlfn.XLOOKUP(B31,'Base stats'!B:B,'Base stats'!AC:AC),0.005))</f>
        <v>0</v>
      </c>
      <c r="BE31" s="23">
        <f>MIN(1,MROUND(IF(AND(AO31&lt;0.5,_xlfn.XLOOKUP(B31,'Base stats'!B:B,'Base stats'!AA:AA)=0),0,IF(_xlfn.XLOOKUP(_xlfn.XLOOKUP(B31,'Base stats'!B:B,'Base stats'!E:E),Groups!A:A,Groups!AO:AO)=0,0,_xlfn.XLOOKUP(_xlfn.XLOOKUP(B31,'Base stats'!B:B,'Base stats'!E:E),Groups!A:A,Groups!AO:AO)/IF(_xlfn.XLOOKUP(Animals!B31,'Base stats'!B:B,'Base stats'!O:O)=2,3,1)))+_xlfn.XLOOKUP(B31,'Base stats'!B:B,'Base stats'!AD:AD),0.005))</f>
        <v>0</v>
      </c>
      <c r="BF31" s="2" t="str">
        <f>IF(J31&gt;0.3,"No",_xlfn.XLOOKUP(_xlfn.XLOOKUP(Animals!B31,'Base stats'!B:B,'Base stats'!E:E),Groups!A:A,Groups!AP:AP))</f>
        <v>No</v>
      </c>
      <c r="BG31" s="2">
        <f>IF(AND(J31&lt;=0.65,_xlfn.XLOOKUP(_xlfn.XLOOKUP(Animals!B31,'Base stats'!B:B,'Base stats'!E:E),Groups!A:A,Groups!AP:AP)&lt;&gt;"No",_xlfn.XLOOKUP(_xlfn.XLOOKUP(B31,'Base stats'!B:B,'Base stats'!E:E),Groups!A:A,Groups!D:D)=0),MROUND((80/3)*IF(_xlfn.XLOOKUP(B31,'Base stats'!B:B,'Base stats'!O:O)=2,0.2,AO31) + 24*(1-IF(BF31="No",0,BF31)) + 16/3, 12),"No")</f>
        <v>36</v>
      </c>
      <c r="BH31" s="2">
        <f>IF(AND(_xlfn.XLOOKUP(_xlfn.XLOOKUP(B31,'Base stats'!B:B,'Base stats'!E:E),Groups!A:A,Groups!AQ:AQ)=1,AO31&lt;=0.35),8,12)</f>
        <v>12</v>
      </c>
      <c r="BI31" s="2" t="str">
        <f>IF(_xlfn.XLOOKUP(_xlfn.XLOOKUP(B31,'Base stats'!B:B,'Base stats'!E:E),Groups!A:A,Groups!D:D)=0,_xlfn.XLOOKUP(_xlfn.XLOOKUP(B31,'Base stats'!B:B,'Base stats'!E:E),Groups!A:A,Groups!AR:AR),"None")</f>
        <v>Advanced</v>
      </c>
      <c r="BJ31" s="2" t="str">
        <f>IF(AND(_xlfn.XLOOKUP(_xlfn.XLOOKUP(B31,'Base stats'!B:B,'Base stats'!E:E),Groups!A:A,Groups!AS:AS)=1,OR(_xlfn.XLOOKUP(B31,'Base stats'!B:B,'Base stats'!Y:Y)="Carnivore",_xlfn.XLOOKUP(B31,'Base stats'!B:B,'Base stats'!Y:Y)="Omnivore")),"true","false")</f>
        <v>false</v>
      </c>
      <c r="BK31" s="2" t="str">
        <f>IF(BJ31="true",MROUND(IF(AND(AO31&gt;0.5,OR(_xlfn.XLOOKUP(_xlfn.XLOOKUP(B31,'Base stats'!B:B,'Base stats'!E:E),Groups!A:A,Groups!AJ:AJ)="Photonozoa",_xlfn.XLOOKUP(_xlfn.XLOOKUP(B31,'Base stats'!B:B,'Base stats'!E:E),Groups!A:A,Groups!AJ:AJ)="Mammal")),Animals!AO31*1.75*IF(AW31="true",1.5,1),IF(AO31&lt;0.5,Animals!AO31*0.5,Animals!AO31)),IF(AO31&gt;2,0.5,IF(AO31&gt;0.5,0.25,0.1))),"No")</f>
        <v>No</v>
      </c>
      <c r="BL31" s="2">
        <f t="shared" si="3"/>
        <v>1</v>
      </c>
      <c r="BM31" s="25" t="str">
        <f>IF(_xlfn.XLOOKUP(B31,'Base stats'!B:B,'Base stats'!AN:AN)="Standard","No",MROUND((_xlfn.XLOOKUP(B31,'Base stats'!B:B,'Base stats'!AN:AN)/3.6)/I31,0.1))</f>
        <v>No</v>
      </c>
      <c r="BN31" s="25" t="str">
        <f t="shared" si="4"/>
        <v>false</v>
      </c>
      <c r="BO31" s="25" t="str">
        <f>IF(AND(OR(_xlfn.XLOOKUP(B31,'Base stats'!B:B,'Base stats'!Y:Y)="Carnivore",_xlfn.XLOOKUP(B31,'Base stats'!B:B,'Base stats'!Y:Y)="Omnivore",_xlfn.XLOOKUP(B31,'Base stats'!B:B,'Base stats'!Y:Y)="OmnivoreRough"),_xlfn.XLOOKUP(_xlfn.XLOOKUP(B31,'Base stats'!B:B,'Base stats'!E:E),Groups!A:A,Groups!AT:AT)=1),"true","false")</f>
        <v>false</v>
      </c>
      <c r="BP31" s="25" t="str" cm="1">
        <f t="array" ref="BP31">IF(
  _xlfn.TEXTJOIN(", ",TRUE,
    IF(AND(BJ31="true",AO31&gt;0.5,BI31&lt;&gt;"None"),"AttackTarget",""),
    IF(AND(_xlfn.XLOOKUP(_xlfn.XLOOKUP(B31,'Base stats'!B:B,'Base stats'!E:E),Groups!A:A,Groups!AJ:AJ="Mammal"),OR(_xlfn.XLOOKUP(B31,'Base stats'!B:B,'Base stats'!Y:Y)="Omnivore",_xlfn.XLOOKUP(B31,'Base stats'!B:B,'Base stats'!Y:Y)="OmnivoreRough")),"Forage",""),
    IF(BG31&lt;=36,"Comfort",""),
    IF(_xlfn.XLOOKUP(B31,'Base stats'!B:B,'Base stats'!AE:AE)&lt;&gt;"No",_xlfn.XLOOKUP(B31,'Base stats'!B:B,'Base stats'!AE:AE),"")
  ) = "",
  "No",
  _xlfn.TEXTJOIN(", ",TRUE,
    IF(AND(BJ31="true",AO31&gt;0.5,BI31&lt;&gt;"None"),"AttackTarget",""),
    IF(AND(_xlfn.XLOOKUP(_xlfn.XLOOKUP(B31,'Base stats'!B:B,'Base stats'!E:E),Groups!A:A,Groups!AJ:AJ="Mammal"),OR(_xlfn.XLOOKUP(B31,'Base stats'!B:B,'Base stats'!Y:Y)="Omnivore",_xlfn.XLOOKUP(B31,'Base stats'!B:B,'Base stats'!Y:Y)="OmnivoreRough")),"Forage",""),
    IF(BG31&lt;=36,"Comfort",""),
    IF(_xlfn.XLOOKUP(B31,'Base stats'!B:B,'Base stats'!AE:AE)&lt;&gt;"No",_xlfn.XLOOKUP(B31,'Base stats'!B:B,'Base stats'!AE:AE),"")
  )
)</f>
        <v>Forage, Comfort, AttackTarget</v>
      </c>
      <c r="BQ31" s="25" t="str">
        <f>IF(
   AND(
      'Base stats'!AN31="Standard",_xlfn.XLOOKUP(_xlfn.XLOOKUP(B31,'Base stats'!B:B,'Base stats'!E:E),Groups!A:A,Groups!AU:AU)=0,
      OR(
      BO31="True"
      )
   ),
   10,
   IF(
       OR(BM31&lt;&gt;"No",_xlfn.XLOOKUP(_xlfn.XLOOKUP(B31,'Base stats'!B:B,'Base stats'!E:E),Groups!A:A,Groups!AU:AU)=1),
      1,
      "No"
   )
)</f>
        <v>No</v>
      </c>
      <c r="BR31" s="9">
        <f>MROUND((1 + ((0.2*IF(OR(Q31="No",R31="No",R31=0),0,Q31/R31)
+IF(OR(V31="No",S31="No",T31="No"),0,S31/T31*(LEN(V31)-LEN(SUBSTITUTE(V31,",",""))+1))
+IF(OR(X31="No",Y31="No"),0,X31/Y31)
+IF(OR(AD31="No",AE31="No"),0,AD31/AE31)
+IF(OR(AL31="No",AI31="No",AJ31="No"),0,AI31/AJ31*(LEN(AL31)-LEN(SUBSTITUTE(AL31,",",""))+1))
)/(0.2*IF(OR(Q31="No",R31="No",R31=0),0,1)
+IF(OR(V31="No",S31="No",T31="No"),0,LEN(V31)-LEN(SUBSTITUTE(V31,",",""))+1)
+IF(OR(X31="No",Y31="No"),0,1)
+IF(OR(AD31="No",AE31="No"),0,1)
+IF(OR(AL31="No",AI31="No",AJ31="No"),0,LEN(AL31)-LEN(SUBSTITUTE(AL31,",",""))+1))*62%)* 2)*(1 + (AP31 / (IF(_xlfn.XLOOKUP(_xlfn.XLOOKUP(B31,'Base stats'!B:B,'Base stats'!E:E),Groups!A:A,Groups!AJ:AJ)="Photonozoa",0.3,1)) + _xlfn.XLOOKUP(B31,'Base stats'!B:B,'Base stats'!AV:AV) * 1.8) * 2) * 2.5 + 10 + I31 * 2,5)+IF(_xlfn.XLOOKUP(B31,'Base stats'!B:B,'Base stats'!AK:AK)=1,50,0)</f>
        <v>45</v>
      </c>
      <c r="BS31" s="8">
        <f t="shared" si="5"/>
        <v>0.30000000000000004</v>
      </c>
      <c r="BT31" s="8" t="str">
        <f>_xlfn.XLOOKUP(B31,'Base stats'!B:B,'Base stats'!AF:AF)</f>
        <v>5~15</v>
      </c>
      <c r="BU31" s="2" t="str">
        <f>IF(AND(J31&lt;=0.95,OR(_xlfn.XLOOKUP(B31,'Base stats'!B:B,'Base stats'!AK:AK)=1,_xlfn.XLOOKUP(B31,'Base stats'!B:B,'Base stats'!Y:Y)="Carnivore",_xlfn.XLOOKUP(B31,'Base stats'!B:B,'Base stats'!Y:Y)="Omnivore",BE31&gt;0.1)),"true","false")</f>
        <v>false</v>
      </c>
      <c r="BV31" s="2" t="str">
        <f>IF(_xlfn.XLOOKUP(B31,'Base stats'!B:B,'Base stats'!AI:AI)=1,"true","false")</f>
        <v>false</v>
      </c>
      <c r="BW31" s="25" t="str">
        <f>IF(E31="BaseInsect","AnimalInsect",
IF(J31&gt;0.95,"AnimalExotic",
_xlfn.TEXTJOIN(", ",TRUE,
IF(OR(_xlfn.XLOOKUP(B31,'Base stats'!B:B,'Base stats'!AM:AM)=1,AND(_xlfn.XLOOKUP(B31,'Base stats'!B:B,'Base stats'!O:O)=0,_xlfn.XLOOKUP(_xlfn.XLOOKUP(B31,'Base stats'!B:B,'Base stats'!E:E),Groups!A:A,Groups!B:B)&gt;0)),"AnimalUncommon","AnimalCommon"),
IF(AND(_xlfn.XLOOKUP(B31,'Base stats'!B:B,'Base stats'!O:O)=2,_xlfn.XLOOKUP(_xlfn.XLOOKUP(B31,'Base stats'!B:B,'Base stats'!E:E),Groups!A:A,Groups!D:D)=0),"AnimalPet",IF(AND(_xlfn.XLOOKUP(B31,'Base stats'!B:B,'Base stats'!O:O)&lt;&gt;0,_xlfn.XLOOKUP(_xlfn.XLOOKUP(B31,'Base stats'!B:B,'Base stats'!E:E),Groups!A:A,Groups!D:D)&lt;&gt;0),"AnimalFarm","")),
IF(OR(_xlfn.XLOOKUP(B31,'Base stats'!B:B,'Base stats'!AK:AK)=1,AND(BI31&lt;&gt;"None",BR31&gt;=60),ISNUMBER(SEARCH("Attack target",BP31))),"AnimalFighter","")
)))</f>
        <v>AnimalUncommon</v>
      </c>
      <c r="BX31" s="25" t="str">
        <f>IF(G31="None",TRIM(
SUBSTITUTE(
IF(COUNTIF(Biomes!B$2:B$259,"="&amp;$C31)&gt;0,Biomes!B$1&amp;", ","")&amp;
IF(COUNTIF(Biomes!C$2:C$259,"="&amp;$C31)&gt;0,Biomes!C$1&amp;", ","")&amp;
IF(COUNTIF(Biomes!D$2:D$259,"="&amp;$C31)&gt;0,Biomes!D$1&amp;", ","")&amp;
IF(COUNTIF(Biomes!F$2:F$259,"="&amp;$C31)&gt;0,Biomes!F$1&amp;", ","")&amp;
IF(COUNTIF(Biomes!G$2:G$259,"="&amp;$C31)&gt;0,Biomes!G$1&amp;", ","")&amp;
IF(COUNTIF(Biomes!H$2:H$259,"="&amp;$C31)&gt;0,Biomes!H$1&amp;", ","")&amp;
IF(COUNTIF(Biomes!I$2:I$259,"="&amp;$C31)&gt;0,Biomes!I$1&amp;", ","")&amp;
IF(COUNTIF(Biomes!J$2:J$259,"="&amp;$C31)&gt;0,Biomes!J$1&amp;", ","")&amp;
IF(COUNTIF(Biomes!M$2:M$259,"="&amp;$C31)&gt;0,Biomes!M$1&amp;", ","")&amp;
IF(COUNTIF(Biomes!N$2:N$259,"="&amp;$C31)&gt;0,Biomes!N$1&amp;", ","")&amp;
IF(COUNTIF(Biomes!O$2:O$259,"="&amp;$C31)&gt;0,Biomes!O$1&amp;", ","")&amp;
IF(COUNTIF(Biomes!P$2:P$259,"="&amp;$C31)&gt;0,Biomes!P$1&amp;", ","")&amp;
IF(COUNTIF(Biomes!K$2:K$259,"="&amp;$C31)&gt;0,Biomes!K$1&amp;", ","")&amp;
IF(COUNTIF(Biomes!Q$3:Q$259,"="&amp;$C31)&gt;0,Biomes!Q$1&amp;", ","")&amp;
IF(COUNTIF(Biomes!L$2:L$259,"="&amp;$C31)&gt;0,Biomes!L$1&amp;", ","")&amp;
IF(COUNTIF(Biomes!E$2:E$259,"="&amp;$C31)&gt;0,Biomes!E$1&amp;", ","")&amp;IF(COUNTIF(Biomes!S$2:S$259,"="&amp;$C31)&gt;0,Biomes!S$1&amp;", ","")&amp;
IF(COUNTIF(Biomes!R$2:R$259,"="&amp;$C31)&gt;0,Biomes!R$1&amp;", ",""),", ","")
),_xlfn.XLOOKUP(B31,B:B,BX:BX))</f>
        <v>TropicalRainforest TropicalSwamp Glowforest</v>
      </c>
      <c r="BY31" s="25" t="str">
        <f>IF(_xlfn.XLOOKUP(B31,'Base stats'!B:B,'Base stats'!AJ:AJ)=1,"true","false")</f>
        <v>false</v>
      </c>
      <c r="BZ31" s="25">
        <f>IF(_xlfn.XLOOKUP(B31,'Base stats'!B:B,'Base stats'!N:N)=1,"No",MAX(0.001,MIN(MROUND(IF(AND(BJ31="True",CC31="False"),POWER(10,3.47*LOG10(_xlfn.XLOOKUP(B31,'Base stats'!B:B,'Base stats'!C:C)*1000)^-0.96),POWER(10,4.15*LOG10(_xlfn.XLOOKUP(B31,'Base stats'!B:B,'Base stats'!C:C)*1000)^-0.73))*IF(_xlfn.XLOOKUP(B31,'Base stats'!B:B,'Base stats'!AK:AK)=1,0.5,1)*IF(_xlfn.XLOOKUP(B31,'Base stats'!B:B,'Base stats'!AM:AM)=1,0.1,1)/100,IF(_xlfn.XLOOKUP(B31,'Base stats'!B:B,'Base stats'!AM:AM)=1,0.001,0.025)),0.5)))</f>
        <v>0.375</v>
      </c>
      <c r="CA31" s="25" t="str">
        <f>IF(P31="Standard","No",MAX(0.001,MIN(MROUND(IF(AND(BJ31="True",CC31="False"),POWER(10,3.47*LOG10(_xlfn.XLOOKUP(B31,'Base stats'!B:B,'Base stats'!C:C)*1000)^-0.96),POWER(10,4.15*LOG10(_xlfn.XLOOKUP(B31,'Base stats'!B:B,'Base stats'!C:C)*1000)^-0.73))*IF(_xlfn.XLOOKUP(B31,'Base stats'!B:B,'Base stats'!AM:AM)=1,0.1,1)*_xlfn.XLOOKUP(B31,'Base stats'!B:B,'Base stats'!R:R)/100,IF(_xlfn.XLOOKUP(B31,'Base stats'!B:B,'Base stats'!AM:AM)=1,0.001,0.025)),0.5)))</f>
        <v>No</v>
      </c>
      <c r="CB31" s="25" t="str">
        <f>IF(_xlfn.XLOOKUP(_xlfn.XLOOKUP(B31,'Base stats'!B:B,'Base stats'!E:E),Groups!A:A,Groups!AJ:AJ)="Mammal","True","False")</f>
        <v>True</v>
      </c>
      <c r="CC31" s="25" t="str">
        <f>IF(OR(_xlfn.XLOOKUP(_xlfn.XLOOKUP(B31,'Base stats'!B:B,'Base stats'!E:E),Groups!A:A,Groups!AJ:AJ)="Reptile",_xlfn.XLOOKUP(_xlfn.XLOOKUP(B31,'Base stats'!B:B,'Base stats'!E:E),Groups!A:A,Groups!AJ:AJ)="Amphibian",_xlfn.XLOOKUP(_xlfn.XLOOKUP(B31,'Base stats'!B:B,'Base stats'!E:E),Groups!A:A,Groups!AJ:AJ)="Invertebrate"),"True","False")</f>
        <v>False</v>
      </c>
      <c r="CD31" s="25" t="str">
        <f t="shared" si="6"/>
        <v>False</v>
      </c>
      <c r="CE31" s="25" t="str">
        <f>IF(_xlfn.XLOOKUP(_xlfn.XLOOKUP(B31,'Base stats'!B:B,'Base stats'!E:E),Groups!A:A,Groups!AX:AX),"True","False")</f>
        <v>False</v>
      </c>
      <c r="CF31" s="25" t="str">
        <f>IF(_xlfn.XLOOKUP(_xlfn.XLOOKUP(B31,'Base stats'!B:B,'Base stats'!E:E),Groups!A:A,Groups!AY:AY),"True","False")</f>
        <v>False</v>
      </c>
      <c r="CG31" s="25" t="str">
        <f>IF(_xlfn.XLOOKUP(_xlfn.XLOOKUP(B31,'Base stats'!B:B,'Base stats'!E:E),Groups!A:A,Groups!AW:AW),"True","False")</f>
        <v>False</v>
      </c>
      <c r="CH31" s="25" t="str">
        <f>IF(
OR(
_xlfn.XLOOKUP(_xlfn.XLOOKUP(B31,'Base stats'!B:B,'Base stats'!E:E),Groups!A:A,Groups!AZ:AZ)=0,
AND(
_xlfn.XLOOKUP(B31,'Base stats'!B:B,'Base stats'!Y:Y)&lt;&gt;"Carnivore",
_xlfn.XLOOKUP(B31,'Base stats'!B:B,'Base stats'!Y:Y)&lt;&gt;"Omnivore",
_xlfn.XLOOKUP(B31,'Base stats'!B:B,'Base stats'!Y:Y)&lt;&gt;"OmnivoreRough"
)
),
"No",
IF(
_xlfn.XLOOKUP(_xlfn.XLOOKUP(B31,'Base stats'!B:B,'Base stats'!E:E),Groups!A:A,Groups!AZ:AZ)=1,
"Flesh",
IF(
_xlfn.XLOOKUP(_xlfn.XLOOKUP(B31,'Base stats'!B:B,'Base stats'!E:E),Groups!A:A,Groups!AZ:AZ)=2,
"Bone",
""
)
)
)</f>
        <v>No</v>
      </c>
      <c r="CI31" s="25" t="str">
        <f>IF(_xlfn.XLOOKUP(_xlfn.XLOOKUP(B31,'Base stats'!B:B,'Base stats'!E:E),Groups!A:A,Groups!BB:BB),"True","False")</f>
        <v>True</v>
      </c>
      <c r="CJ31" s="25" t="str">
        <f>IF(_xlfn.XLOOKUP(_xlfn.XLOOKUP(B31,'Base stats'!B:B,'Base stats'!E:E),Groups!A:A,Groups!BA:BA),"True","False")</f>
        <v>False</v>
      </c>
    </row>
    <row r="32" spans="1:93" ht="16.5" thickTop="1" thickBot="1" x14ac:dyDescent="0.3">
      <c r="A32" s="26" t="str">
        <f>_xlfn.XLOOKUP(B32,'Base stats'!B:B,'Base stats'!A:A)</f>
        <v>Iguana</v>
      </c>
      <c r="B32" s="6" t="s">
        <v>101</v>
      </c>
      <c r="C32" s="28" t="s">
        <v>707</v>
      </c>
      <c r="D32" s="28" t="s">
        <v>45</v>
      </c>
      <c r="E32" s="28" t="s">
        <v>673</v>
      </c>
      <c r="F32" s="28" t="s">
        <v>673</v>
      </c>
      <c r="G32" s="28" t="s">
        <v>673</v>
      </c>
      <c r="H32" s="2">
        <f>MROUND((
  (IF(AND(_xlfn.XLOOKUP(B32,'Base stats'!B:B,'Base stats'!AL:AL)=0,BI32="None",_xlfn.XLOOKUP(_xlfn.XLOOKUP(B32,'Base stats'!B:B,'Base stats'!E:E),Groups!A:A,Groups!B:B)=0), (18 + BR32 * 2.7) * 0.5,
    IF(AND(_xlfn.XLOOKUP(B32,'Base stats'!B:B,'Base stats'!AL:AL)=0,OR(AO32&lt;0.55,AND(BI32="Intermediate",_xlfn.XLOOKUP(_xlfn.XLOOKUP(B32,'Base stats'!B:B,'Base stats'!E:E),Groups!A:A,Groups!B:B)&lt;2))), (18 + BR32 * 2.7),
      IF(OR(BI32="Advanced",_xlfn.XLOOKUP(B32,'Base stats'!B:B,'Base stats'!AL:AL)=1,_xlfn.XLOOKUP(_xlfn.XLOOKUP(B32,'Base stats'!B:B,'Base stats'!E:E),Groups!A:A,Groups!B:B)=2), (18 + BR32 * 2.7) + 250, (18 + BR32 * 2.7))
    )
  ))
  + AO32 * 80
  + IF(COUNTIF(EggMilk!K$2:K$998, A32) &gt; 0, 125, 0)
  + IF(COUNTIF(EggMilk!P$2:P$998, A32) &gt; 0, 90, 0)
  + IF(COUNTIF(EggMilk!A$2:A$998, A32) &gt; 0, 90, 0)
)
* (0.8 + 0.4 * J32)
* 0.75,25)</f>
        <v>175</v>
      </c>
      <c r="I32" s="2">
        <f>MROUND(ROUNDDOWN(_xlfn.XLOOKUP(B32,'Base stats'!B:B,'Base stats'!L:L)/3.6/(23.3/11),1),0.5)</f>
        <v>3.5</v>
      </c>
      <c r="J32" s="2">
        <f>IF(OR(_xlfn.XLOOKUP(B32,'Base stats'!B:B,'Base stats'!AB:AB)=1,_xlfn.XLOOKUP(_xlfn.XLOOKUP(B32,'Base stats'!B:B,'Base stats'!E:E),Groups!A:A,Groups!C:C)="Untamable"),1,IF(_xlfn.XLOOKUP(B32,'Base stats'!B:B,'Base stats'!AL:AL)=1,0.99,MIN(MROUND((1-0.6282*EXP(-0.459*AO32))*_xlfn.XLOOKUP(_xlfn.XLOOKUP(B32,'Base stats'!B:B,'Base stats'!E:E),Groups!A:A,Groups!C:C)*IF(_xlfn.XLOOKUP(B32,'Base stats'!B:B,'Base stats'!O:O)=1,0.5,IF(_xlfn.XLOOKUP(B32,'Base stats'!B:B,'Base stats'!O:O)=2,0,1)),0.05),IF(AO32&gt;3.5,0.985,0.95))))</f>
        <v>0.55000000000000004</v>
      </c>
      <c r="K32" s="2">
        <f>ROUNDUP(AO32*_xlfn.XLOOKUP(_xlfn.XLOOKUP(B32,'Base stats'!B:B,'Base stats'!E:E),Groups!A:A,Groups!E:E),0)</f>
        <v>1</v>
      </c>
      <c r="L32" s="2">
        <f>IF(OR(_xlfn.XLOOKUP(_xlfn.XLOOKUP(B32,'Base stats'!B:B,'Base stats'!E:E),Groups!A:A,Groups!F:F)=2,ISNUMBER(SEARCH("SeaIce",BX32)),ISNUMBER(SEARCH("IceSheet",BX32))),-50,IF(OR(ISNUMBER(SEARCH("GlacialPlain",BX32)),ISNUMBER(SEARCH("Tundra",BX32))),-40,IF(OR(ISNUMBER(SEARCH("Alpine",BX32)),ISNUMBER(SEARCH("BorealForest",BX32)),ISNUMBER(SEARCH("ColdBog",BX32))),-30,IF(OR(ISNUMBER(SEARCH("TemperateForest",BX32)),ISNUMBER(SEARCH("TemperateSwamp",BX32))),-20,IF(_xlfn.XLOOKUP(_xlfn.XLOOKUP(B32,'Base stats'!B:B,'Base stats'!E:E),Groups!A:A,Groups!F:F)=1,-15,IF(OR(ISNUMBER(SEARCH("Desert",BX32)),ISNUMBER(SEARCH("ExtremeDesert",BX32))),-10,IF(OR(ISNUMBER(SEARCH("Grasslands",BX32)),ISNUMBER(SEARCH("TropicalRainforest",BX32)),ISNUMBER(SEARCH("TropicalSwamp",BX32))),10,0)))))))-IF(CC32="False",MIN(IFERROR(MAX(MROUND(LOG10(_xlfn.XLOOKUP(B32,'Base stats'!B:B,'Base stats'!C:C)^(2/3))*10,5),5),5),30))-_xlfn.XLOOKUP(B32,'Base stats'!B:B,'Base stats'!P:P)+IF(CC32="True",5,0)</f>
        <v>15</v>
      </c>
      <c r="M32" s="2">
        <f>IF(OR(_xlfn.XLOOKUP(_xlfn.XLOOKUP(B32,'Base stats'!B:B,'Base stats'!E:E),Groups!A:A,Groups!G:G)=2,ISNUMBER(SEARCH("Desert",BX32)),ISNUMBER(SEARCH("ExtremeDesert",BX32)),ISNUMBER(SEARCH("LavaField",BX32))),50,IF(ISNUMBER(SEARCH("Grasslands",BX32)),45,IF(OR(_xlfn.XLOOKUP(_xlfn.XLOOKUP(B32,'Base stats'!B:B,'Base stats'!E:E),Groups!A:A,Groups!G:G)=1,ISNUMBER(SEARCH("TropicalRainforest",BX32)),ISNUMBER(SEARCH("TropicalSwamp",BX32))),40,IF(OR(ISNUMBER(SEARCH("TemperateForest",BX32)),ISNUMBER(SEARCH("TemperateSwamp",BX32))),35,IF(OR(ISNUMBER(SEARCH("Alpine",BX32)),ISNUMBER(SEARCH("BorealForest",BX32)),ISNUMBER(SEARCH("ColdBog",BX32))),30,IF(ISNUMBER(OR(ISNUMBER(SEARCH("GlacialPlain",BX32)),SEARCH("Tundra",BX32))),25,IF(OR(ISNUMBER(SEARCH("SeaIce",BX32)),ISNUMBER(SEARCH("IceSheet",BX32)),ISNUMBER(SEARCH("TropicalSwamp",BX32))),10,35)))))))+_xlfn.XLOOKUP(B32,'Base stats'!B:B,'Base stats'!Q:Q)</f>
        <v>40</v>
      </c>
      <c r="N32" s="8" t="str">
        <f>IF(
_xlfn.XLOOKUP(
_xlfn.XLOOKUP(B32,'Base stats'!B:B,'Base stats'!E:E),
Groups!A:A,
Groups!L:L
)=1,
MIN(
MROUND(
IF(
_xlfn.XLOOKUP(B32,'Animals CE'!B:B,'Animals CE'!Z:Z)&lt;=1.5,
_xlfn.XLOOKUP(B32,'Animals CE'!B:B,'Animals CE'!Z:Z)/2+0.05,
0.8+
(_xlfn.XLOOKUP(B32,'Animals CE'!B:B,'Animals CE'!Z:Z)-1.5)
*0.02
),
0.05
),
200%
),
"No"
)</f>
        <v>No</v>
      </c>
      <c r="O32" s="8" t="str">
        <f>IF(
_xlfn.XLOOKUP(
_xlfn.XLOOKUP(B32,'Base stats'!B:B,'Base stats'!E:E),
Groups!A:A,
Groups!L:L
)=1,
MIN(
MROUND(
IF(
_xlfn.XLOOKUP(B32,'Animals CE'!B:B,'Animals CE'!AA:AA)&lt;=1.5,
_xlfn.XLOOKUP(B32,'Animals CE'!B:B,'Animals CE'!AA:AA)/2+0.05,
0.8+
(_xlfn.XLOOKUP(B32,'Animals CE'!B:B,'Animals CE'!AA:AA)-1.5)
*0.02
),
0.05
),
200%
),
"No"
)</f>
        <v>No</v>
      </c>
      <c r="P32" s="2">
        <f>_xlfn.XLOOKUP(B32,'Base stats'!B:B,'Base stats'!R:R)</f>
        <v>0.8</v>
      </c>
      <c r="Q32" s="13">
        <f>MROUND((LOG10(_xlfn.XLOOKUP(B32,'Base stats'!B:B,'Base stats'!AR:AR))*(AO32^0.5)+(_xlfn.XLOOKUP(B32,'Base stats'!B:B,'Base stats'!AR:AR)/1000)^(2/3)+_xlfn.XLOOKUP(B32,'Base stats'!B:B,'Base stats'!BA:BA)/2)+0.5,0.5)</f>
        <v>2</v>
      </c>
      <c r="R32" s="7">
        <f>IF(Q32="No","No",MAX(1,MROUND(_xlfn.XLOOKUP(B32,'Base stats'!B:B,'Base stats'!C:C)^0.165,0.05)))</f>
        <v>1.05</v>
      </c>
      <c r="S32" s="13" t="str">
        <f>IF(_xlfn.XLOOKUP(_xlfn.XLOOKUP(B32,'Base stats'!B:B,'Base stats'!E:E),Groups!A:A,Groups!P:P)=0,"No",MROUND((LOG10(_xlfn.XLOOKUP(B32,'Base stats'!B:B,'Base stats'!AS:AS))*(AO32^0.5)+(_xlfn.XLOOKUP(B32,'Base stats'!B:B,'Base stats'!AS:AS)/1000)^(2/3)+_xlfn.XLOOKUP(B32,'Base stats'!B:B,'Base stats'!BA:BA))+_xlfn.XLOOKUP(B32,'Base stats'!B:B,'Base stats'!AY:AY)+0.5,0.5))</f>
        <v>No</v>
      </c>
      <c r="T32" s="7" t="str">
        <f>IF(S32="No","No",MAX(_xlfn.XLOOKUP(_xlfn.XLOOKUP(B32,'Base stats'!B:B,'Base stats'!E:E),Groups!A:A,Groups!Q:Q),MROUND(_xlfn.XLOOKUP(_xlfn.XLOOKUP(B32,'Base stats'!B:B,'Base stats'!E:E),Groups!A:A,Groups!Q:Q)*_xlfn.XLOOKUP(B32,'Base stats'!B:B,'Base stats'!C:C)^0.165,0.05)))</f>
        <v>No</v>
      </c>
      <c r="U32" s="7" t="str">
        <f>IF(S32="No","No",_xlfn.XLOOKUP(_xlfn.XLOOKUP(B32,'Base stats'!B:B,'Base stats'!E:E),Groups!A:A,Groups!R:R))</f>
        <v>No</v>
      </c>
      <c r="V32" s="7" t="str">
        <f>IF(S32="No","No",_xlfn.XLOOKUP(_xlfn.XLOOKUP(B32,'Base stats'!B:B,'Base stats'!E:E),Groups!A:A,Groups!S:S))</f>
        <v>No</v>
      </c>
      <c r="W32" s="7" t="str">
        <f>IF(S32="No","No",_xlfn.XLOOKUP(_xlfn.XLOOKUP(B32,'Base stats'!B:B,'Base stats'!E:E),Groups!A:A,Groups!T:T))</f>
        <v>No</v>
      </c>
      <c r="X32" s="13" t="str">
        <f>IF(_xlfn.XLOOKUP(B32,'Base stats'!B:B,'Base stats'!W:W)="No","No",MROUND((LOG10(_xlfn.XLOOKUP(B32,'Base stats'!B:B,'Base stats'!AU:AU))*(AO32^0.5)+(_xlfn.XLOOKUP(B32,'Base stats'!B:B,'Base stats'!AU:AU)/1000)^(2/3)+_xlfn.XLOOKUP(B32,'Base stats'!B:B,'Base stats'!AZ:AZ))+0.5+IF(_xlfn.XLOOKUP(_xlfn.XLOOKUP(B32,'Base stats'!B:B,'Base stats'!E:E),Groups!A:A,Groups!U:U)&lt;&gt;3,_xlfn.XLOOKUP(B32,'Base stats'!B:B,'Base stats'!BA:BA),0),0.5))</f>
        <v>No</v>
      </c>
      <c r="Y32" s="7" t="str">
        <f>IF(X32="No","No",MAX(_xlfn.XLOOKUP(_xlfn.XLOOKUP(B32,'Base stats'!B:B,'Base stats'!E:E),Groups!A:A,Groups!V:V),MROUND(_xlfn.XLOOKUP(_xlfn.XLOOKUP(B32,'Base stats'!B:B,'Base stats'!E:E),Groups!A:A,Groups!V:V)*_xlfn.XLOOKUP(B32,'Base stats'!B:B,'Base stats'!C:C)^0.165,0.05)))</f>
        <v>No</v>
      </c>
      <c r="Z32" s="7" t="str">
        <f>IF(X32="No","No",_xlfn.XLOOKUP(_xlfn.XLOOKUP(B32,'Base stats'!B:B,'Base stats'!E:E),Groups!A:A,Groups!W:W))</f>
        <v>No</v>
      </c>
      <c r="AA32" s="7" t="str">
        <f>IF(X32="No","No",_xlfn.XLOOKUP(_xlfn.XLOOKUP(B32,'Base stats'!B:B,'Base stats'!E:E),Groups!A:A,Groups!X:X))</f>
        <v>No</v>
      </c>
      <c r="AB32" s="7" t="str">
        <f>IF(X32="No","No",_xlfn.XLOOKUP(_xlfn.XLOOKUP(B32,'Base stats'!B:B,'Base stats'!E:E),Groups!A:A,Groups!Y:Y))</f>
        <v>No</v>
      </c>
      <c r="AC32" s="7" t="str">
        <f>_xlfn.XLOOKUP(Animals!B32,'Base stats'!B:B,'Base stats'!X:X)</f>
        <v>False</v>
      </c>
      <c r="AD32" s="13">
        <f>IF(_xlfn.XLOOKUP(B32,'Base stats'!B:B,'Base stats'!AT:AT)="No","No",MROUND((LOG10(_xlfn.XLOOKUP(B32,'Base stats'!B:B,'Base stats'!AT:AT))*(AO32^0.75)+(_xlfn.XLOOKUP(B32,'Base stats'!B:B,'Base stats'!AT:AT)/1000)^(2/3)+_xlfn.XLOOKUP(B32,'Base stats'!B:B,'Base stats'!AX:AX)+_xlfn.XLOOKUP(B32,'Base stats'!B:B,'Base stats'!BA:BA))+0.5,0.5))</f>
        <v>2.5</v>
      </c>
      <c r="AE32" s="7">
        <f>IF(AD32="No","No",MAX(_xlfn.XLOOKUP(_xlfn.XLOOKUP(B32,'Base stats'!B:B,'Base stats'!E:E),Groups!A:A,Groups!Z:Z),MROUND(_xlfn.XLOOKUP(_xlfn.XLOOKUP(B32,'Base stats'!B:B,'Base stats'!E:E),Groups!A:A,Groups!Z:Z)*_xlfn.XLOOKUP(B32,'Base stats'!B:B,'Base stats'!C:C)^0.165,0.05)))</f>
        <v>0.95000000000000007</v>
      </c>
      <c r="AF32" s="7" t="str">
        <f>IF(AD32="No","No",_xlfn.XLOOKUP(_xlfn.XLOOKUP(B32,'Base stats'!B:B,'Base stats'!E:E),Groups!A:A,Groups!AA:AA))</f>
        <v>Teeth</v>
      </c>
      <c r="AG32" s="7" t="str">
        <f>IF(AD32="No","No",_xlfn.XLOOKUP(_xlfn.XLOOKUP(B32,'Base stats'!B:B,'Base stats'!E:E),Groups!A:A,Groups!AB:AB))</f>
        <v>teeth</v>
      </c>
      <c r="AH32" s="7" t="str">
        <f>IF(AD32="No","No",_xlfn.XLOOKUP(_xlfn.XLOOKUP(B32,'Base stats'!B:B,'Base stats'!E:E),Groups!A:A,Groups!AC:AC))</f>
        <v>Bite</v>
      </c>
      <c r="AI32" s="13">
        <f>IF(_xlfn.XLOOKUP(_xlfn.XLOOKUP(B32,'Base stats'!B:B,'Base stats'!E:E),Groups!A:A,Groups!AD:AD)=0,"No",MROUND((LOG10(_xlfn.XLOOKUP(B32,'Base stats'!B:B,'Base stats'!AS:AS))*(AO32^0.75)+(_xlfn.XLOOKUP(B32,'Base stats'!B:B,'Base stats'!AS:AS)/1000)^(2/3)+_xlfn.XLOOKUP(B32,'Base stats'!B:B,'Base stats'!AY:AY)+_xlfn.XLOOKUP(B32,'Base stats'!B:B,'Base stats'!BA:BA))+0.5,0.5))</f>
        <v>2</v>
      </c>
      <c r="AJ32" s="7">
        <f>IF(AI32="No","No",MAX(_xlfn.XLOOKUP(_xlfn.XLOOKUP(B32,'Base stats'!B:B,'Base stats'!E:E),Groups!A:A,Groups!AE:AE),MROUND(_xlfn.XLOOKUP(_xlfn.XLOOKUP(B32,'Base stats'!B:B,'Base stats'!E:E),Groups!A:A,Groups!AE:AE)*IF(_xlfn.XLOOKUP(_xlfn.XLOOKUP(B32,'Base stats'!B:B,'Base stats'!E:E),Groups!A:A,Groups!AJ:AJ)="Photonozoa",0.6,1)*_xlfn.XLOOKUP(B32,'Base stats'!B:B,'Base stats'!C:C)^0.165,0.05)))</f>
        <v>0.75</v>
      </c>
      <c r="AK32" s="7" t="str">
        <f>IF(AI32="No","No",_xlfn.XLOOKUP(_xlfn.XLOOKUP(B32,'Base stats'!B:B,'Base stats'!E:E),Groups!A:A,Groups!AF:AF))</f>
        <v>FrontLeftClaws, FrontRightClaws</v>
      </c>
      <c r="AL32" s="7" t="str">
        <f>IF(AI32="No","No",_xlfn.XLOOKUP(_xlfn.XLOOKUP(B32,'Base stats'!B:B,'Base stats'!E:E),Groups!A:A,Groups!AG:AG))</f>
        <v>left claw, right claw</v>
      </c>
      <c r="AM32" s="7" t="str">
        <f>IF(AI32="No","No",_xlfn.XLOOKUP(_xlfn.XLOOKUP(B32,'Base stats'!B:B,'Base stats'!E:E),Groups!A:A,Groups!AH:AH))</f>
        <v>Scratch</v>
      </c>
      <c r="AN32" s="2" t="str">
        <f t="shared" si="0"/>
        <v>No</v>
      </c>
      <c r="AO32" s="2">
        <f>MROUND(IF(AND(_xlfn.XLOOKUP(B32,'Base stats'!B:B,'Base stats'!C:C)&gt;=0.5,_xlfn.XLOOKUP(B32,'Base stats'!B:B,'Base stats'!C:C)&lt;=0.8),
IF(_xlfn.XLOOKUP(B32,'Base stats'!B:B,'Base stats'!C:C)&lt;0.1,0.05,IF(_xlfn.XLOOKUP(B32,'Base stats'!B:B,'Base stats'!C:C)&lt;=70,(_xlfn.XLOOKUP(B32,'Base stats'!B:B,'Base stats'!C:C)/70)^0.426489913056526,IF(_xlfn.XLOOKUP(B32,'Base stats'!B:B,'Base stats'!C:C)&lt;=400,(_xlfn.XLOOKUP(B32,'Base stats'!B:B,'Base stats'!C:C)/70)^0.572811455315093,IF(_xlfn.XLOOKUP(B32,'Base stats'!B:B,'Base stats'!C:C)&lt;=2000,2.71391647193063*(_xlfn.XLOOKUP(B32,'Base stats'!B:B,'Base stats'!C:C)/400)^0.252459582904293,3.74314280240376*(_xlfn.XLOOKUP(B32,'Base stats'!B:B,'Base stats'!C:C)/2000)^0.357012633876913)))),
IF(_xlfn.XLOOKUP(B32,'Base stats'!B:B,'Base stats'!C:C)&lt;0.1,0.05,IF(_xlfn.XLOOKUP(B32,'Base stats'!B:B,'Base stats'!C:C)&lt;0.4,0.1,IF(_xlfn.XLOOKUP(B32,'Base stats'!B:B,'Base stats'!C:C)&lt;=70,(_xlfn.XLOOKUP(B32,'Base stats'!B:B,'Base stats'!C:C)/70)^0.445823913056526,IF(_xlfn.XLOOKUP(B32,'Base stats'!B:B,'Base stats'!C:C)&lt;=400,(_xlfn.XLOOKUP(B32,'Base stats'!B:B,'Base stats'!C:C)/70)^0.572811455315093,IF(_xlfn.XLOOKUP(B32,'Base stats'!B:B,'Base stats'!C:C)&lt;=2000,2.71391647193063*(_xlfn.XLOOKUP(B32,'Base stats'!B:B,'Base stats'!C:C)/400)^0.252459582904293,3.74314280240376*(_xlfn.XLOOKUP(B32,'Base stats'!B:B,'Base stats'!C:C)/2000)^0.357012633876913)))))),
IF(_xlfn.XLOOKUP(B32,'Base stats'!B:B,'Base stats'!C:C)&lt;0.1,0.05,IF(_xlfn.XLOOKUP(B32,'Base stats'!B:B,'Base stats'!C:C)&lt;=100,0.05,IF(_xlfn.XLOOKUP(B32,'Base stats'!B:B,'Base stats'!C:C)&lt;=250,0.1,IF(_xlfn.XLOOKUP(B32,'Base stats'!B:B,'Base stats'!C:C)&lt;=4000,0.25,0.5)))))</f>
        <v>0.2</v>
      </c>
      <c r="AP32" s="8">
        <f>MROUND(AO32*_xlfn.XLOOKUP(_xlfn.XLOOKUP(B32,'Base stats'!B:B,'Base stats'!E:E),Groups!A:A,Groups!AI:AI)*_xlfn.XLOOKUP(B32,'Base stats'!B:B,'Base stats'!Z:Z),0.05)</f>
        <v>0.25</v>
      </c>
      <c r="AQ32" s="8">
        <f>MAX(0.01,MROUND(IF(CC32="True",0.196*(AO32*100*1000)^0.889,IF(_xlfn.XLOOKUP(_xlfn.XLOOKUP(B32,'Base stats'!B:B,'Base stats'!E:E),Groups!A:A,Groups!AJ:AJ)="Bird",10.5*(AO32*100*1000)^0.681,4.82*(AO32*100*1000)^0.734))/(4.82*(1*100*1000)^0.734)/IF(AO32&lt;3.5,2,IF(AO32=3.5,1.5,1.25))*(1+0.132282374779864/(AO32^0.994035016789033+0.00905238001496948)),0.05))</f>
        <v>0.05</v>
      </c>
      <c r="AR32" s="9">
        <f>IFERROR(MROUND(_xlfn.XLOOKUP(B32,'Base stats'!B:B,'Base stats'!H:H)/IF(_xlfn.XLOOKUP(B32,'Base stats'!B:B,'Base stats'!I:I)&lt;&gt;1,(122.5/70),1.2),IF(_xlfn.XLOOKUP(B32,'Base stats'!B:B,'Base stats'!H:H)&gt;=30,5,IF(_xlfn.XLOOKUP(B32,'Base stats'!B:B,'Base stats'!H:H)&gt;=15,3,IF(_xlfn.XLOOKUP(B32,'Base stats'!B:B,'Base stats'!H:H)&gt;=10,2,1)))),"Immortal")</f>
        <v>12</v>
      </c>
      <c r="AS32" s="35" t="str">
        <f>IFERROR(IF(OR(_xlfn.XLOOKUP(B32,'Base stats'!B:B,'Base stats'!F:F)="Atypical reproduction",_xlfn.XLOOKUP(B32,'Base stats'!B:B,'Base stats'!F:F)="Lay eggs"),"Lay eggs",MIN(20,MAX(5.5,ROUND(((_xlfn.XLOOKUP(B32,'Base stats'!B:B,'Base stats'!F:F)-25)*(14.5/615) + 5.5)*2,0)/2))),"Unknown")</f>
        <v>Lay eggs</v>
      </c>
      <c r="AT32" s="8">
        <f>IF(_xlfn.XLOOKUP(B32,'Base stats'!B:B,'Base stats'!G:G)="Atypical reproduction","No",IFERROR(MAX(IF(_xlfn.XLOOKUP(B32,'Base stats'!B:B,'Base stats'!G:G)&lt;0.5,0.2,0.3),MROUND(_xlfn.XLOOKUP(B32,'Base stats'!B:B,'Base stats'!G:G)/(365/60),0.2)),"Unknown"))</f>
        <v>0.8</v>
      </c>
      <c r="AU32" s="8">
        <f t="shared" si="1"/>
        <v>0.4</v>
      </c>
      <c r="AV32" s="8" t="str">
        <f>IFERROR(IFERROR(MROUND(_xlfn.XLOOKUP(B32,'Base stats'!B:B,'Base stats'!J:J),0.1),"Lay eggs"),"Cannot breed")</f>
        <v>Lay eggs</v>
      </c>
      <c r="AW32" s="2" t="str">
        <f t="shared" si="2"/>
        <v>false</v>
      </c>
      <c r="AX32" s="2" t="str">
        <f>IF(_xlfn.XLOOKUP(_xlfn.XLOOKUP(Animals!B32,'Base stats'!B:B,'Base stats'!E:E),Groups!A:A,Groups!AK:AK)=1,"true","false")</f>
        <v>false</v>
      </c>
      <c r="AY32" s="25" t="str">
        <f>IF(_xlfn.XLOOKUP(B32,'Base stats'!B:B,'Base stats'!Y:Y)="Liquor","Liquor, CarnivoreAnimalStrict",IF(AND(_xlfn.XLOOKUP(B32,'Base stats'!B:B,'Base stats'!Y:Y)="Carnivore",_xlfn.XLOOKUP(_xlfn.XLOOKUP(B32,'Base stats'!B:B,'Base stats'!E:E),Groups!A:A,Groups!AJ:AJ)="Photonozoa"),"CarnivoreAnimalStrict, OvivoreAnimal",IF(_xlfn.XLOOKUP(B32,'Base stats'!B:B,'Base stats'!Y:Y)="Carnivore","CarnivoreAnimal, OvivoreAnimal",IF(_xlfn.XLOOKUP(B32,'Base stats'!B:B,'Base stats'!Y:Y)="Dendrovore","VegetarianRoughAnimal, DendrovoreAnimal",IF(_xlfn.XLOOKUP(B32,'Base stats'!B:B,'Base stats'!Y:Y)="Herbivore","VegetarianRoughAnimal",IF(_xlfn.XLOOKUP(B32,'Base stats'!B:B,'Base stats'!Y:Y)="OmnivoreRough","OmnivoreRoughAnimal, OvivoreAnimal","OmnivoreAnimal, OvivoreAnimal"))))))</f>
        <v>VegetarianRoughAnimal</v>
      </c>
      <c r="AZ32" s="2" t="str">
        <f>IF(_xlfn.XLOOKUP(_xlfn.XLOOKUP(B32,'Base stats'!B:B,'Base stats'!E:E),Groups!A:A,Groups!D:D)=1,MROUND((1-J32)*5+1,2)*IF(J32&lt;=0.4,2,1),"No")</f>
        <v>No</v>
      </c>
      <c r="BA32" s="2" t="str">
        <f>IF(AND(_xlfn.XLOOKUP(B32,'Base stats'!B:B,'Base stats'!AH:AH)="&lt;li&gt;Seal&lt;/li&gt;",G32="Odyssey"),"&lt;li&gt;AEXP_Seal&lt;/li&gt;",_xlfn.XLOOKUP(B32,'Base stats'!B:B,'Base stats'!AH:AH))</f>
        <v>No</v>
      </c>
      <c r="BB32" s="2" t="str">
        <f>_xlfn.XLOOKUP(B32,'Base stats'!B:B,'Base stats'!AG:AG)</f>
        <v>Leather_Lizard</v>
      </c>
      <c r="BC32" s="23" t="str">
        <f>_xlfn.XLOOKUP(_xlfn.XLOOKUP(B32,'Base stats'!B:B,'Base stats'!E:E),Groups!A:A,Groups!AL:AL)</f>
        <v>QuadrupedAnimalWithClawsTailAndJowl</v>
      </c>
      <c r="BD32" s="23">
        <f>MIN(1,MROUND(IF(AND(AO32&lt;0.5,_xlfn.XLOOKUP(B32,'Base stats'!B:B,'Base stats'!AA:AA)=0),0,IF(OR(_xlfn.XLOOKUP(Animals!B32,'Base stats'!B:B,'Base stats'!O:O)=2,_xlfn.XLOOKUP(_xlfn.XLOOKUP(B32,'Base stats'!B:B,'Base stats'!E:E),Groups!A:A,Groups!AN:AN)=0),0,_xlfn.XLOOKUP(_xlfn.XLOOKUP(B32,'Base stats'!B:B,'Base stats'!E:E),Groups!A:A,Groups!AN:AN)/IF(_xlfn.XLOOKUP(Animals!B32,'Base stats'!B:B,'Base stats'!O:O)=1,2,1)))+_xlfn.XLOOKUP(B32,'Base stats'!B:B,'Base stats'!AC:AC),0.005))</f>
        <v>0</v>
      </c>
      <c r="BE32" s="23">
        <f>MIN(1,MROUND(IF(AND(AO32&lt;0.5,_xlfn.XLOOKUP(B32,'Base stats'!B:B,'Base stats'!AA:AA)=0),0,IF(_xlfn.XLOOKUP(_xlfn.XLOOKUP(B32,'Base stats'!B:B,'Base stats'!E:E),Groups!A:A,Groups!AO:AO)=0,0,_xlfn.XLOOKUP(_xlfn.XLOOKUP(B32,'Base stats'!B:B,'Base stats'!E:E),Groups!A:A,Groups!AO:AO)/IF(_xlfn.XLOOKUP(Animals!B32,'Base stats'!B:B,'Base stats'!O:O)=2,3,1)))+_xlfn.XLOOKUP(B32,'Base stats'!B:B,'Base stats'!AD:AD),0.005))</f>
        <v>0</v>
      </c>
      <c r="BF32" s="2" t="str">
        <f>IF(J32&gt;0.3,"No",_xlfn.XLOOKUP(_xlfn.XLOOKUP(Animals!B32,'Base stats'!B:B,'Base stats'!E:E),Groups!A:A,Groups!AP:AP))</f>
        <v>No</v>
      </c>
      <c r="BG32" s="2" t="str">
        <f>IF(AND(J32&lt;=0.65,_xlfn.XLOOKUP(_xlfn.XLOOKUP(Animals!B32,'Base stats'!B:B,'Base stats'!E:E),Groups!A:A,Groups!AP:AP)&lt;&gt;"No",_xlfn.XLOOKUP(_xlfn.XLOOKUP(B32,'Base stats'!B:B,'Base stats'!E:E),Groups!A:A,Groups!D:D)=0),MROUND((80/3)*IF(_xlfn.XLOOKUP(B32,'Base stats'!B:B,'Base stats'!O:O)=2,0.2,AO32) + 24*(1-IF(BF32="No",0,BF32)) + 16/3, 12),"No")</f>
        <v>No</v>
      </c>
      <c r="BH32" s="2">
        <f>IF(AND(_xlfn.XLOOKUP(_xlfn.XLOOKUP(B32,'Base stats'!B:B,'Base stats'!E:E),Groups!A:A,Groups!AQ:AQ)=1,AO32&lt;=0.35),8,12)</f>
        <v>12</v>
      </c>
      <c r="BI32" s="2" t="str">
        <f>IF(_xlfn.XLOOKUP(_xlfn.XLOOKUP(B32,'Base stats'!B:B,'Base stats'!E:E),Groups!A:A,Groups!D:D)=0,_xlfn.XLOOKUP(_xlfn.XLOOKUP(B32,'Base stats'!B:B,'Base stats'!E:E),Groups!A:A,Groups!AR:AR),"None")</f>
        <v>None</v>
      </c>
      <c r="BJ32" s="2" t="str">
        <f>IF(AND(_xlfn.XLOOKUP(_xlfn.XLOOKUP(B32,'Base stats'!B:B,'Base stats'!E:E),Groups!A:A,Groups!AS:AS)=1,OR(_xlfn.XLOOKUP(B32,'Base stats'!B:B,'Base stats'!Y:Y)="Carnivore",_xlfn.XLOOKUP(B32,'Base stats'!B:B,'Base stats'!Y:Y)="Omnivore")),"true","false")</f>
        <v>false</v>
      </c>
      <c r="BK32" s="2" t="str">
        <f>IF(BJ32="true",MROUND(IF(AND(AO32&gt;0.5,OR(_xlfn.XLOOKUP(_xlfn.XLOOKUP(B32,'Base stats'!B:B,'Base stats'!E:E),Groups!A:A,Groups!AJ:AJ)="Photonozoa",_xlfn.XLOOKUP(_xlfn.XLOOKUP(B32,'Base stats'!B:B,'Base stats'!E:E),Groups!A:A,Groups!AJ:AJ)="Mammal")),Animals!AO32*1.75*IF(AW32="true",1.5,1),IF(AO32&lt;0.5,Animals!AO32*0.5,Animals!AO32)),IF(AO32&gt;2,0.5,IF(AO32&gt;0.5,0.25,0.1))),"No")</f>
        <v>No</v>
      </c>
      <c r="BL32" s="2">
        <f t="shared" si="3"/>
        <v>0</v>
      </c>
      <c r="BM32" s="25" t="str">
        <f>IF(_xlfn.XLOOKUP(B32,'Base stats'!B:B,'Base stats'!AN:AN)="Standard","No",MROUND((_xlfn.XLOOKUP(B32,'Base stats'!B:B,'Base stats'!AN:AN)/3.6)/I32,0.1))</f>
        <v>No</v>
      </c>
      <c r="BN32" s="25" t="str">
        <f t="shared" si="4"/>
        <v>false</v>
      </c>
      <c r="BO32" s="25" t="str">
        <f>IF(AND(OR(_xlfn.XLOOKUP(B32,'Base stats'!B:B,'Base stats'!Y:Y)="Carnivore",_xlfn.XLOOKUP(B32,'Base stats'!B:B,'Base stats'!Y:Y)="Omnivore",_xlfn.XLOOKUP(B32,'Base stats'!B:B,'Base stats'!Y:Y)="OmnivoreRough"),_xlfn.XLOOKUP(_xlfn.XLOOKUP(B32,'Base stats'!B:B,'Base stats'!E:E),Groups!A:A,Groups!AT:AT)=1),"true","false")</f>
        <v>false</v>
      </c>
      <c r="BP32" s="25" t="str" cm="1">
        <f t="array" ref="BP32">IF(
  _xlfn.TEXTJOIN(", ",TRUE,
    IF(AND(BJ32="true",AO32&gt;0.5,BI32&lt;&gt;"None"),"AttackTarget",""),
    IF(AND(_xlfn.XLOOKUP(_xlfn.XLOOKUP(B32,'Base stats'!B:B,'Base stats'!E:E),Groups!A:A,Groups!AJ:AJ="Mammal"),OR(_xlfn.XLOOKUP(B32,'Base stats'!B:B,'Base stats'!Y:Y)="Omnivore",_xlfn.XLOOKUP(B32,'Base stats'!B:B,'Base stats'!Y:Y)="OmnivoreRough")),"Forage",""),
    IF(BG32&lt;=36,"Comfort",""),
    IF(_xlfn.XLOOKUP(B32,'Base stats'!B:B,'Base stats'!AE:AE)&lt;&gt;"No",_xlfn.XLOOKUP(B32,'Base stats'!B:B,'Base stats'!AE:AE),"")
  ) = "",
  "No",
  _xlfn.TEXTJOIN(", ",TRUE,
    IF(AND(BJ32="true",AO32&gt;0.5,BI32&lt;&gt;"None"),"AttackTarget",""),
    IF(AND(_xlfn.XLOOKUP(_xlfn.XLOOKUP(B32,'Base stats'!B:B,'Base stats'!E:E),Groups!A:A,Groups!AJ:AJ="Mammal"),OR(_xlfn.XLOOKUP(B32,'Base stats'!B:B,'Base stats'!Y:Y)="Omnivore",_xlfn.XLOOKUP(B32,'Base stats'!B:B,'Base stats'!Y:Y)="OmnivoreRough")),"Forage",""),
    IF(BG32&lt;=36,"Comfort",""),
    IF(_xlfn.XLOOKUP(B32,'Base stats'!B:B,'Base stats'!AE:AE)&lt;&gt;"No",_xlfn.XLOOKUP(B32,'Base stats'!B:B,'Base stats'!AE:AE),"")
  )
)</f>
        <v>No</v>
      </c>
      <c r="BQ32" s="25" t="str">
        <f>IF(
   AND(
      'Base stats'!AN32="Standard",_xlfn.XLOOKUP(_xlfn.XLOOKUP(B32,'Base stats'!B:B,'Base stats'!E:E),Groups!A:A,Groups!AU:AU)=0,
      OR(
      BO32="True"
      )
   ),
   10,
   IF(
       OR(BM32&lt;&gt;"No",_xlfn.XLOOKUP(_xlfn.XLOOKUP(B32,'Base stats'!B:B,'Base stats'!E:E),Groups!A:A,Groups!AU:AU)=1),
      1,
      "No"
   )
)</f>
        <v>No</v>
      </c>
      <c r="BR32" s="9">
        <f>MROUND((1 + ((0.2*IF(OR(Q32="No",R32="No",R32=0),0,Q32/R32)
+IF(OR(V32="No",S32="No",T32="No"),0,S32/T32*(LEN(V32)-LEN(SUBSTITUTE(V32,",",""))+1))
+IF(OR(X32="No",Y32="No"),0,X32/Y32)
+IF(OR(AD32="No",AE32="No"),0,AD32/AE32)
+IF(OR(AL32="No",AI32="No",AJ32="No"),0,AI32/AJ32*(LEN(AL32)-LEN(SUBSTITUTE(AL32,",",""))+1))
)/(0.2*IF(OR(Q32="No",R32="No",R32=0),0,1)
+IF(OR(V32="No",S32="No",T32="No"),0,LEN(V32)-LEN(SUBSTITUTE(V32,",",""))+1)
+IF(OR(X32="No",Y32="No"),0,1)
+IF(OR(AD32="No",AE32="No"),0,1)
+IF(OR(AL32="No",AI32="No",AJ32="No"),0,LEN(AL32)-LEN(SUBSTITUTE(AL32,",",""))+1))*62%)* 2)*(1 + (AP32 / (IF(_xlfn.XLOOKUP(_xlfn.XLOOKUP(B32,'Base stats'!B:B,'Base stats'!E:E),Groups!A:A,Groups!AJ:AJ)="Photonozoa",0.3,1)) + _xlfn.XLOOKUP(B32,'Base stats'!B:B,'Base stats'!AV:AV) * 1.8) * 2) * 2.5 + 10 + I32 * 2,5)+IF(_xlfn.XLOOKUP(B32,'Base stats'!B:B,'Base stats'!AK:AK)=1,50,0)</f>
        <v>35</v>
      </c>
      <c r="BS32" s="8">
        <f t="shared" si="5"/>
        <v>0.1</v>
      </c>
      <c r="BT32" s="8" t="str">
        <f>_xlfn.XLOOKUP(B32,'Base stats'!B:B,'Base stats'!AF:AF)</f>
        <v>No</v>
      </c>
      <c r="BU32" s="2" t="str">
        <f>IF(AND(J32&lt;=0.95,OR(_xlfn.XLOOKUP(B32,'Base stats'!B:B,'Base stats'!AK:AK)=1,_xlfn.XLOOKUP(B32,'Base stats'!B:B,'Base stats'!Y:Y)="Carnivore",_xlfn.XLOOKUP(B32,'Base stats'!B:B,'Base stats'!Y:Y)="Omnivore",BE32&gt;0.1)),"true","false")</f>
        <v>false</v>
      </c>
      <c r="BV32" s="2" t="str">
        <f>IF(_xlfn.XLOOKUP(B32,'Base stats'!B:B,'Base stats'!AI:AI)=1,"true","false")</f>
        <v>false</v>
      </c>
      <c r="BW32" s="25" t="str">
        <f>IF(E32="BaseInsect","AnimalInsect",
IF(J32&gt;0.95,"AnimalExotic",
_xlfn.TEXTJOIN(", ",TRUE,
IF(OR(_xlfn.XLOOKUP(B32,'Base stats'!B:B,'Base stats'!AM:AM)=1,AND(_xlfn.XLOOKUP(B32,'Base stats'!B:B,'Base stats'!O:O)=0,_xlfn.XLOOKUP(_xlfn.XLOOKUP(B32,'Base stats'!B:B,'Base stats'!E:E),Groups!A:A,Groups!B:B)&gt;0)),"AnimalUncommon","AnimalCommon"),
IF(AND(_xlfn.XLOOKUP(B32,'Base stats'!B:B,'Base stats'!O:O)=2,_xlfn.XLOOKUP(_xlfn.XLOOKUP(B32,'Base stats'!B:B,'Base stats'!E:E),Groups!A:A,Groups!D:D)=0),"AnimalPet",IF(AND(_xlfn.XLOOKUP(B32,'Base stats'!B:B,'Base stats'!O:O)&lt;&gt;0,_xlfn.XLOOKUP(_xlfn.XLOOKUP(B32,'Base stats'!B:B,'Base stats'!E:E),Groups!A:A,Groups!D:D)&lt;&gt;0),"AnimalFarm","")),
IF(OR(_xlfn.XLOOKUP(B32,'Base stats'!B:B,'Base stats'!AK:AK)=1,AND(BI32&lt;&gt;"None",BR32&gt;=60),ISNUMBER(SEARCH("Attack target",BP32))),"AnimalFighter","")
)))</f>
        <v>AnimalUncommon</v>
      </c>
      <c r="BX32" s="25" t="str">
        <f>IF(G32="None",TRIM(
SUBSTITUTE(
IF(COUNTIF(Biomes!B$2:B$259,"="&amp;$C32)&gt;0,Biomes!B$1&amp;", ","")&amp;
IF(COUNTIF(Biomes!C$2:C$259,"="&amp;$C32)&gt;0,Biomes!C$1&amp;", ","")&amp;
IF(COUNTIF(Biomes!D$2:D$259,"="&amp;$C32)&gt;0,Biomes!D$1&amp;", ","")&amp;
IF(COUNTIF(Biomes!F$2:F$259,"="&amp;$C32)&gt;0,Biomes!F$1&amp;", ","")&amp;
IF(COUNTIF(Biomes!G$2:G$259,"="&amp;$C32)&gt;0,Biomes!G$1&amp;", ","")&amp;
IF(COUNTIF(Biomes!H$2:H$259,"="&amp;$C32)&gt;0,Biomes!H$1&amp;", ","")&amp;
IF(COUNTIF(Biomes!I$2:I$259,"="&amp;$C32)&gt;0,Biomes!I$1&amp;", ","")&amp;
IF(COUNTIF(Biomes!J$2:J$259,"="&amp;$C32)&gt;0,Biomes!J$1&amp;", ","")&amp;
IF(COUNTIF(Biomes!M$2:M$259,"="&amp;$C32)&gt;0,Biomes!M$1&amp;", ","")&amp;
IF(COUNTIF(Biomes!N$2:N$259,"="&amp;$C32)&gt;0,Biomes!N$1&amp;", ","")&amp;
IF(COUNTIF(Biomes!O$2:O$259,"="&amp;$C32)&gt;0,Biomes!O$1&amp;", ","")&amp;
IF(COUNTIF(Biomes!P$2:P$259,"="&amp;$C32)&gt;0,Biomes!P$1&amp;", ","")&amp;
IF(COUNTIF(Biomes!K$2:K$259,"="&amp;$C32)&gt;0,Biomes!K$1&amp;", ","")&amp;
IF(COUNTIF(Biomes!Q$3:Q$259,"="&amp;$C32)&gt;0,Biomes!Q$1&amp;", ","")&amp;
IF(COUNTIF(Biomes!L$2:L$259,"="&amp;$C32)&gt;0,Biomes!L$1&amp;", ","")&amp;
IF(COUNTIF(Biomes!E$2:E$259,"="&amp;$C32)&gt;0,Biomes!E$1&amp;", ","")&amp;IF(COUNTIF(Biomes!S$2:S$259,"="&amp;$C32)&gt;0,Biomes!S$1&amp;", ","")&amp;
IF(COUNTIF(Biomes!R$2:R$259,"="&amp;$C32)&gt;0,Biomes!R$1&amp;", ",""),", ","")
),_xlfn.XLOOKUP(B32,B:B,BX:BX))</f>
        <v>TropicalRainforest TropicalSwamp</v>
      </c>
      <c r="BY32" s="25" t="str">
        <f>IF(_xlfn.XLOOKUP(B32,'Base stats'!B:B,'Base stats'!AJ:AJ)=1,"true","false")</f>
        <v>false</v>
      </c>
      <c r="BZ32" s="25">
        <f>IF(_xlfn.XLOOKUP(B32,'Base stats'!B:B,'Base stats'!N:N)=1,"No",MAX(0.001,MIN(MROUND(IF(AND(BJ32="True",CC32="False"),POWER(10,3.47*LOG10(_xlfn.XLOOKUP(B32,'Base stats'!B:B,'Base stats'!C:C)*1000)^-0.96),POWER(10,4.15*LOG10(_xlfn.XLOOKUP(B32,'Base stats'!B:B,'Base stats'!C:C)*1000)^-0.73))*IF(_xlfn.XLOOKUP(B32,'Base stats'!B:B,'Base stats'!AK:AK)=1,0.5,1)*IF(_xlfn.XLOOKUP(B32,'Base stats'!B:B,'Base stats'!AM:AM)=1,0.1,1)/100,IF(_xlfn.XLOOKUP(B32,'Base stats'!B:B,'Base stats'!AM:AM)=1,0.001,0.025)),0.5)))</f>
        <v>0.5</v>
      </c>
      <c r="CA32" s="25">
        <f>IF(P32="Standard","No",MAX(0.001,MIN(MROUND(IF(AND(BJ32="True",CC32="False"),POWER(10,3.47*LOG10(_xlfn.XLOOKUP(B32,'Base stats'!B:B,'Base stats'!C:C)*1000)^-0.96),POWER(10,4.15*LOG10(_xlfn.XLOOKUP(B32,'Base stats'!B:B,'Base stats'!C:C)*1000)^-0.73))*IF(_xlfn.XLOOKUP(B32,'Base stats'!B:B,'Base stats'!AM:AM)=1,0.1,1)*_xlfn.XLOOKUP(B32,'Base stats'!B:B,'Base stats'!R:R)/100,IF(_xlfn.XLOOKUP(B32,'Base stats'!B:B,'Base stats'!AM:AM)=1,0.001,0.025)),0.5)))</f>
        <v>0.47500000000000003</v>
      </c>
      <c r="CB32" s="25" t="str">
        <f>IF(_xlfn.XLOOKUP(_xlfn.XLOOKUP(B32,'Base stats'!B:B,'Base stats'!E:E),Groups!A:A,Groups!AJ:AJ)="Mammal","True","False")</f>
        <v>False</v>
      </c>
      <c r="CC32" s="25" t="str">
        <f>IF(OR(_xlfn.XLOOKUP(_xlfn.XLOOKUP(B32,'Base stats'!B:B,'Base stats'!E:E),Groups!A:A,Groups!AJ:AJ)="Reptile",_xlfn.XLOOKUP(_xlfn.XLOOKUP(B32,'Base stats'!B:B,'Base stats'!E:E),Groups!A:A,Groups!AJ:AJ)="Amphibian",_xlfn.XLOOKUP(_xlfn.XLOOKUP(B32,'Base stats'!B:B,'Base stats'!E:E),Groups!A:A,Groups!AJ:AJ)="Invertebrate"),"True","False")</f>
        <v>True</v>
      </c>
      <c r="CD32" s="25" t="str">
        <f t="shared" si="6"/>
        <v>False</v>
      </c>
      <c r="CE32" s="25" t="str">
        <f>IF(_xlfn.XLOOKUP(_xlfn.XLOOKUP(B32,'Base stats'!B:B,'Base stats'!E:E),Groups!A:A,Groups!AX:AX),"True","False")</f>
        <v>False</v>
      </c>
      <c r="CF32" s="25" t="str">
        <f>IF(_xlfn.XLOOKUP(_xlfn.XLOOKUP(B32,'Base stats'!B:B,'Base stats'!E:E),Groups!A:A,Groups!AY:AY),"True","False")</f>
        <v>False</v>
      </c>
      <c r="CG32" s="25" t="str">
        <f>IF(_xlfn.XLOOKUP(_xlfn.XLOOKUP(B32,'Base stats'!B:B,'Base stats'!E:E),Groups!A:A,Groups!AW:AW),"True","False")</f>
        <v>False</v>
      </c>
      <c r="CH32" s="25" t="str">
        <f>IF(
OR(
_xlfn.XLOOKUP(_xlfn.XLOOKUP(B32,'Base stats'!B:B,'Base stats'!E:E),Groups!A:A,Groups!AZ:AZ)=0,
AND(
_xlfn.XLOOKUP(B32,'Base stats'!B:B,'Base stats'!Y:Y)&lt;&gt;"Carnivore",
_xlfn.XLOOKUP(B32,'Base stats'!B:B,'Base stats'!Y:Y)&lt;&gt;"Omnivore",
_xlfn.XLOOKUP(B32,'Base stats'!B:B,'Base stats'!Y:Y)&lt;&gt;"OmnivoreRough"
)
),
"No",
IF(
_xlfn.XLOOKUP(_xlfn.XLOOKUP(B32,'Base stats'!B:B,'Base stats'!E:E),Groups!A:A,Groups!AZ:AZ)=1,
"Flesh",
IF(
_xlfn.XLOOKUP(_xlfn.XLOOKUP(B32,'Base stats'!B:B,'Base stats'!E:E),Groups!A:A,Groups!AZ:AZ)=2,
"Bone",
""
)
)
)</f>
        <v>No</v>
      </c>
      <c r="CI32" s="25" t="str">
        <f>IF(_xlfn.XLOOKUP(_xlfn.XLOOKUP(B32,'Base stats'!B:B,'Base stats'!E:E),Groups!A:A,Groups!BB:BB),"True","False")</f>
        <v>False</v>
      </c>
      <c r="CJ32" s="25" t="str">
        <f>IF(_xlfn.XLOOKUP(_xlfn.XLOOKUP(B32,'Base stats'!B:B,'Base stats'!E:E),Groups!A:A,Groups!BA:BA),"True","False")</f>
        <v>False</v>
      </c>
    </row>
    <row r="33" spans="1:88" ht="16.5" thickTop="1" thickBot="1" x14ac:dyDescent="0.3">
      <c r="A33" s="26" t="str">
        <f>_xlfn.XLOOKUP(B33,'Base stats'!B:B,'Base stats'!A:A)</f>
        <v>Cobra</v>
      </c>
      <c r="B33" s="6" t="s">
        <v>167</v>
      </c>
      <c r="C33" s="28" t="s">
        <v>708</v>
      </c>
      <c r="D33" s="28" t="s">
        <v>45</v>
      </c>
      <c r="E33" s="28" t="s">
        <v>673</v>
      </c>
      <c r="F33" s="28" t="s">
        <v>673</v>
      </c>
      <c r="G33" s="28" t="s">
        <v>673</v>
      </c>
      <c r="H33" s="2">
        <f>MROUND((
  (IF(AND(_xlfn.XLOOKUP(B33,'Base stats'!B:B,'Base stats'!AL:AL)=0,BI33="None",_xlfn.XLOOKUP(_xlfn.XLOOKUP(B33,'Base stats'!B:B,'Base stats'!E:E),Groups!A:A,Groups!B:B)=0), (18 + BR33 * 2.7) * 0.5,
    IF(AND(_xlfn.XLOOKUP(B33,'Base stats'!B:B,'Base stats'!AL:AL)=0,OR(AO33&lt;0.55,AND(BI33="Intermediate",_xlfn.XLOOKUP(_xlfn.XLOOKUP(B33,'Base stats'!B:B,'Base stats'!E:E),Groups!A:A,Groups!B:B)&lt;2))), (18 + BR33 * 2.7),
      IF(OR(BI33="Advanced",_xlfn.XLOOKUP(B33,'Base stats'!B:B,'Base stats'!AL:AL)=1,_xlfn.XLOOKUP(_xlfn.XLOOKUP(B33,'Base stats'!B:B,'Base stats'!E:E),Groups!A:A,Groups!B:B)=2), (18 + BR33 * 2.7) + 250, (18 + BR33 * 2.7))
    )
  ))
  + AO33 * 80
  + IF(COUNTIF(EggMilk!K$2:K$998, A33) &gt; 0, 125, 0)
  + IF(COUNTIF(EggMilk!P$2:P$998, A33) &gt; 0, 90, 0)
  + IF(COUNTIF(EggMilk!A$2:A$998, A33) &gt; 0, 90, 0)
)
* (0.8 + 0.4 * J33)
* 0.75,25)</f>
        <v>200</v>
      </c>
      <c r="I33" s="2">
        <f>MROUND(ROUNDDOWN(_xlfn.XLOOKUP(B33,'Base stats'!B:B,'Base stats'!L:L)/3.6/(23.3/11),1),0.5)</f>
        <v>2.5</v>
      </c>
      <c r="J33" s="2">
        <f>IF(OR(_xlfn.XLOOKUP(B33,'Base stats'!B:B,'Base stats'!AB:AB)=1,_xlfn.XLOOKUP(_xlfn.XLOOKUP(B33,'Base stats'!B:B,'Base stats'!E:E),Groups!A:A,Groups!C:C)="Untamable"),1,IF(_xlfn.XLOOKUP(B33,'Base stats'!B:B,'Base stats'!AL:AL)=1,0.99,MIN(MROUND((1-0.6282*EXP(-0.459*AO33))*_xlfn.XLOOKUP(_xlfn.XLOOKUP(B33,'Base stats'!B:B,'Base stats'!E:E),Groups!A:A,Groups!C:C)*IF(_xlfn.XLOOKUP(B33,'Base stats'!B:B,'Base stats'!O:O)=1,0.5,IF(_xlfn.XLOOKUP(B33,'Base stats'!B:B,'Base stats'!O:O)=2,0,1)),0.05),IF(AO33&gt;3.5,0.985,0.95))))</f>
        <v>0.70000000000000007</v>
      </c>
      <c r="K33" s="2">
        <f>ROUNDUP(AO33*_xlfn.XLOOKUP(_xlfn.XLOOKUP(B33,'Base stats'!B:B,'Base stats'!E:E),Groups!A:A,Groups!E:E),0)</f>
        <v>1</v>
      </c>
      <c r="L33" s="2">
        <f>IF(OR(_xlfn.XLOOKUP(_xlfn.XLOOKUP(B33,'Base stats'!B:B,'Base stats'!E:E),Groups!A:A,Groups!F:F)=2,ISNUMBER(SEARCH("SeaIce",BX33)),ISNUMBER(SEARCH("IceSheet",BX33))),-50,IF(OR(ISNUMBER(SEARCH("GlacialPlain",BX33)),ISNUMBER(SEARCH("Tundra",BX33))),-40,IF(OR(ISNUMBER(SEARCH("Alpine",BX33)),ISNUMBER(SEARCH("BorealForest",BX33)),ISNUMBER(SEARCH("ColdBog",BX33))),-30,IF(OR(ISNUMBER(SEARCH("TemperateForest",BX33)),ISNUMBER(SEARCH("TemperateSwamp",BX33))),-20,IF(_xlfn.XLOOKUP(_xlfn.XLOOKUP(B33,'Base stats'!B:B,'Base stats'!E:E),Groups!A:A,Groups!F:F)=1,-15,IF(OR(ISNUMBER(SEARCH("Desert",BX33)),ISNUMBER(SEARCH("ExtremeDesert",BX33))),-10,IF(OR(ISNUMBER(SEARCH("Grasslands",BX33)),ISNUMBER(SEARCH("TropicalRainforest",BX33)),ISNUMBER(SEARCH("TropicalSwamp",BX33))),10,0)))))))-IF(CC33="False",MIN(IFERROR(MAX(MROUND(LOG10(_xlfn.XLOOKUP(B33,'Base stats'!B:B,'Base stats'!C:C)^(2/3))*10,5),5),5),30))-_xlfn.XLOOKUP(B33,'Base stats'!B:B,'Base stats'!P:P)+IF(CC33="True",5,0)</f>
        <v>15</v>
      </c>
      <c r="M33" s="2">
        <f>IF(OR(_xlfn.XLOOKUP(_xlfn.XLOOKUP(B33,'Base stats'!B:B,'Base stats'!E:E),Groups!A:A,Groups!G:G)=2,ISNUMBER(SEARCH("Desert",BX33)),ISNUMBER(SEARCH("ExtremeDesert",BX33)),ISNUMBER(SEARCH("LavaField",BX33))),50,IF(ISNUMBER(SEARCH("Grasslands",BX33)),45,IF(OR(_xlfn.XLOOKUP(_xlfn.XLOOKUP(B33,'Base stats'!B:B,'Base stats'!E:E),Groups!A:A,Groups!G:G)=1,ISNUMBER(SEARCH("TropicalRainforest",BX33)),ISNUMBER(SEARCH("TropicalSwamp",BX33))),40,IF(OR(ISNUMBER(SEARCH("TemperateForest",BX33)),ISNUMBER(SEARCH("TemperateSwamp",BX33))),35,IF(OR(ISNUMBER(SEARCH("Alpine",BX33)),ISNUMBER(SEARCH("BorealForest",BX33)),ISNUMBER(SEARCH("ColdBog",BX33))),30,IF(ISNUMBER(OR(ISNUMBER(SEARCH("GlacialPlain",BX33)),SEARCH("Tundra",BX33))),25,IF(OR(ISNUMBER(SEARCH("SeaIce",BX33)),ISNUMBER(SEARCH("IceSheet",BX33)),ISNUMBER(SEARCH("TropicalSwamp",BX33))),10,35)))))))+_xlfn.XLOOKUP(B33,'Base stats'!B:B,'Base stats'!Q:Q)</f>
        <v>40</v>
      </c>
      <c r="N33" s="8" t="str">
        <f>IF(
_xlfn.XLOOKUP(
_xlfn.XLOOKUP(B33,'Base stats'!B:B,'Base stats'!E:E),
Groups!A:A,
Groups!L:L
)=1,
MIN(
MROUND(
IF(
_xlfn.XLOOKUP(B33,'Animals CE'!B:B,'Animals CE'!Z:Z)&lt;=1.5,
_xlfn.XLOOKUP(B33,'Animals CE'!B:B,'Animals CE'!Z:Z)/2+0.05,
0.8+
(_xlfn.XLOOKUP(B33,'Animals CE'!B:B,'Animals CE'!Z:Z)-1.5)
*0.02
),
0.05
),
200%
),
"No"
)</f>
        <v>No</v>
      </c>
      <c r="O33" s="8" t="str">
        <f>IF(
_xlfn.XLOOKUP(
_xlfn.XLOOKUP(B33,'Base stats'!B:B,'Base stats'!E:E),
Groups!A:A,
Groups!L:L
)=1,
MIN(
MROUND(
IF(
_xlfn.XLOOKUP(B33,'Animals CE'!B:B,'Animals CE'!AA:AA)&lt;=1.5,
_xlfn.XLOOKUP(B33,'Animals CE'!B:B,'Animals CE'!AA:AA)/2+0.05,
0.8+
(_xlfn.XLOOKUP(B33,'Animals CE'!B:B,'Animals CE'!AA:AA)-1.5)
*0.02
),
0.05
),
200%
),
"No"
)</f>
        <v>No</v>
      </c>
      <c r="P33" s="2" t="str">
        <f>_xlfn.XLOOKUP(B33,'Base stats'!B:B,'Base stats'!R:R)</f>
        <v>Standard</v>
      </c>
      <c r="Q33" s="13">
        <f>MROUND((LOG10(_xlfn.XLOOKUP(B33,'Base stats'!B:B,'Base stats'!AR:AR))*(AO33^0.5)+(_xlfn.XLOOKUP(B33,'Base stats'!B:B,'Base stats'!AR:AR)/1000)^(2/3)+_xlfn.XLOOKUP(B33,'Base stats'!B:B,'Base stats'!BA:BA)/2)+0.5,0.5)</f>
        <v>3</v>
      </c>
      <c r="R33" s="7">
        <f>IF(Q33="No","No",MAX(1,MROUND(_xlfn.XLOOKUP(B33,'Base stats'!B:B,'Base stats'!C:C)^0.165,0.05)))</f>
        <v>1.4000000000000001</v>
      </c>
      <c r="S33" s="13" t="str">
        <f>IF(_xlfn.XLOOKUP(_xlfn.XLOOKUP(B33,'Base stats'!B:B,'Base stats'!E:E),Groups!A:A,Groups!P:P)=0,"No",MROUND((LOG10(_xlfn.XLOOKUP(B33,'Base stats'!B:B,'Base stats'!AS:AS))*(AO33^0.5)+(_xlfn.XLOOKUP(B33,'Base stats'!B:B,'Base stats'!AS:AS)/1000)^(2/3)+_xlfn.XLOOKUP(B33,'Base stats'!B:B,'Base stats'!BA:BA))+_xlfn.XLOOKUP(B33,'Base stats'!B:B,'Base stats'!AY:AY)+0.5,0.5))</f>
        <v>No</v>
      </c>
      <c r="T33" s="7" t="str">
        <f>IF(S33="No","No",MAX(_xlfn.XLOOKUP(_xlfn.XLOOKUP(B33,'Base stats'!B:B,'Base stats'!E:E),Groups!A:A,Groups!Q:Q),MROUND(_xlfn.XLOOKUP(_xlfn.XLOOKUP(B33,'Base stats'!B:B,'Base stats'!E:E),Groups!A:A,Groups!Q:Q)*_xlfn.XLOOKUP(B33,'Base stats'!B:B,'Base stats'!C:C)^0.165,0.05)))</f>
        <v>No</v>
      </c>
      <c r="U33" s="7" t="str">
        <f>IF(S33="No","No",_xlfn.XLOOKUP(_xlfn.XLOOKUP(B33,'Base stats'!B:B,'Base stats'!E:E),Groups!A:A,Groups!R:R))</f>
        <v>No</v>
      </c>
      <c r="V33" s="7" t="str">
        <f>IF(S33="No","No",_xlfn.XLOOKUP(_xlfn.XLOOKUP(B33,'Base stats'!B:B,'Base stats'!E:E),Groups!A:A,Groups!S:S))</f>
        <v>No</v>
      </c>
      <c r="W33" s="7" t="str">
        <f>IF(S33="No","No",_xlfn.XLOOKUP(_xlfn.XLOOKUP(B33,'Base stats'!B:B,'Base stats'!E:E),Groups!A:A,Groups!T:T))</f>
        <v>No</v>
      </c>
      <c r="X33" s="13" t="str">
        <f>IF(_xlfn.XLOOKUP(B33,'Base stats'!B:B,'Base stats'!W:W)="No","No",MROUND((LOG10(_xlfn.XLOOKUP(B33,'Base stats'!B:B,'Base stats'!AU:AU))*(AO33^0.5)+(_xlfn.XLOOKUP(B33,'Base stats'!B:B,'Base stats'!AU:AU)/1000)^(2/3)+_xlfn.XLOOKUP(B33,'Base stats'!B:B,'Base stats'!AZ:AZ))+0.5+IF(_xlfn.XLOOKUP(_xlfn.XLOOKUP(B33,'Base stats'!B:B,'Base stats'!E:E),Groups!A:A,Groups!U:U)&lt;&gt;3,_xlfn.XLOOKUP(B33,'Base stats'!B:B,'Base stats'!BA:BA),0),0.5))</f>
        <v>No</v>
      </c>
      <c r="Y33" s="7" t="str">
        <f>IF(X33="No","No",MAX(_xlfn.XLOOKUP(_xlfn.XLOOKUP(B33,'Base stats'!B:B,'Base stats'!E:E),Groups!A:A,Groups!V:V),MROUND(_xlfn.XLOOKUP(_xlfn.XLOOKUP(B33,'Base stats'!B:B,'Base stats'!E:E),Groups!A:A,Groups!V:V)*_xlfn.XLOOKUP(B33,'Base stats'!B:B,'Base stats'!C:C)^0.165,0.05)))</f>
        <v>No</v>
      </c>
      <c r="Z33" s="7" t="str">
        <f>IF(X33="No","No",_xlfn.XLOOKUP(_xlfn.XLOOKUP(B33,'Base stats'!B:B,'Base stats'!E:E),Groups!A:A,Groups!W:W))</f>
        <v>No</v>
      </c>
      <c r="AA33" s="7" t="str">
        <f>IF(X33="No","No",_xlfn.XLOOKUP(_xlfn.XLOOKUP(B33,'Base stats'!B:B,'Base stats'!E:E),Groups!A:A,Groups!X:X))</f>
        <v>No</v>
      </c>
      <c r="AB33" s="7" t="str">
        <f>IF(X33="No","No",_xlfn.XLOOKUP(_xlfn.XLOOKUP(B33,'Base stats'!B:B,'Base stats'!E:E),Groups!A:A,Groups!Y:Y))</f>
        <v>No</v>
      </c>
      <c r="AC33" s="7" t="str">
        <f>_xlfn.XLOOKUP(Animals!B33,'Base stats'!B:B,'Base stats'!X:X)</f>
        <v>False</v>
      </c>
      <c r="AD33" s="13">
        <f>IF(_xlfn.XLOOKUP(B33,'Base stats'!B:B,'Base stats'!AT:AT)="No","No",MROUND((LOG10(_xlfn.XLOOKUP(B33,'Base stats'!B:B,'Base stats'!AT:AT))*(AO33^0.75)+(_xlfn.XLOOKUP(B33,'Base stats'!B:B,'Base stats'!AT:AT)/1000)^(2/3)+_xlfn.XLOOKUP(B33,'Base stats'!B:B,'Base stats'!AX:AX)+_xlfn.XLOOKUP(B33,'Base stats'!B:B,'Base stats'!BA:BA))+0.5,0.5))</f>
        <v>4.5</v>
      </c>
      <c r="AE33" s="7">
        <f>IF(AD33="No","No",MAX(_xlfn.XLOOKUP(_xlfn.XLOOKUP(B33,'Base stats'!B:B,'Base stats'!E:E),Groups!A:A,Groups!Z:Z),MROUND(_xlfn.XLOOKUP(_xlfn.XLOOKUP(B33,'Base stats'!B:B,'Base stats'!E:E),Groups!A:A,Groups!Z:Z)*_xlfn.XLOOKUP(B33,'Base stats'!B:B,'Base stats'!C:C)^0.165,0.05)))</f>
        <v>1.1500000000000001</v>
      </c>
      <c r="AF33" s="7" t="str">
        <f>IF(AD33="No","No",_xlfn.XLOOKUP(_xlfn.XLOOKUP(B33,'Base stats'!B:B,'Base stats'!E:E),Groups!A:A,Groups!AA:AA))</f>
        <v>Mouth</v>
      </c>
      <c r="AG33" s="7" t="str">
        <f>IF(AD33="No","No",_xlfn.XLOOKUP(_xlfn.XLOOKUP(B33,'Base stats'!B:B,'Base stats'!E:E),Groups!A:A,Groups!AB:AB))</f>
        <v>fangs</v>
      </c>
      <c r="AH33" s="7" t="str">
        <f>IF(AD33="No","No",_xlfn.XLOOKUP(_xlfn.XLOOKUP(B33,'Base stats'!B:B,'Base stats'!E:E),Groups!A:A,Groups!AC:AC))</f>
        <v>ToxicBite</v>
      </c>
      <c r="AI33" s="13" t="str">
        <f>IF(_xlfn.XLOOKUP(_xlfn.XLOOKUP(B33,'Base stats'!B:B,'Base stats'!E:E),Groups!A:A,Groups!AD:AD)=0,"No",MROUND((LOG10(_xlfn.XLOOKUP(B33,'Base stats'!B:B,'Base stats'!AS:AS))*(AO33^0.75)+(_xlfn.XLOOKUP(B33,'Base stats'!B:B,'Base stats'!AS:AS)/1000)^(2/3)+_xlfn.XLOOKUP(B33,'Base stats'!B:B,'Base stats'!AY:AY)+_xlfn.XLOOKUP(B33,'Base stats'!B:B,'Base stats'!BA:BA))+0.5,0.5))</f>
        <v>No</v>
      </c>
      <c r="AJ33" s="7" t="str">
        <f>IF(AI33="No","No",MAX(_xlfn.XLOOKUP(_xlfn.XLOOKUP(B33,'Base stats'!B:B,'Base stats'!E:E),Groups!A:A,Groups!AE:AE),MROUND(_xlfn.XLOOKUP(_xlfn.XLOOKUP(B33,'Base stats'!B:B,'Base stats'!E:E),Groups!A:A,Groups!AE:AE)*IF(_xlfn.XLOOKUP(_xlfn.XLOOKUP(B33,'Base stats'!B:B,'Base stats'!E:E),Groups!A:A,Groups!AJ:AJ)="Photonozoa",0.6,1)*_xlfn.XLOOKUP(B33,'Base stats'!B:B,'Base stats'!C:C)^0.165,0.05)))</f>
        <v>No</v>
      </c>
      <c r="AK33" s="7" t="str">
        <f>IF(AI33="No","No",_xlfn.XLOOKUP(_xlfn.XLOOKUP(B33,'Base stats'!B:B,'Base stats'!E:E),Groups!A:A,Groups!AF:AF))</f>
        <v>No</v>
      </c>
      <c r="AL33" s="7" t="str">
        <f>IF(AI33="No","No",_xlfn.XLOOKUP(_xlfn.XLOOKUP(B33,'Base stats'!B:B,'Base stats'!E:E),Groups!A:A,Groups!AG:AG))</f>
        <v>No</v>
      </c>
      <c r="AM33" s="7" t="str">
        <f>IF(AI33="No","No",_xlfn.XLOOKUP(_xlfn.XLOOKUP(B33,'Base stats'!B:B,'Base stats'!E:E),Groups!A:A,Groups!AH:AH))</f>
        <v>No</v>
      </c>
      <c r="AN33" s="2">
        <f t="shared" si="0"/>
        <v>15</v>
      </c>
      <c r="AO33" s="2">
        <f>MROUND(IF(AND(_xlfn.XLOOKUP(B33,'Base stats'!B:B,'Base stats'!C:C)&gt;=0.5,_xlfn.XLOOKUP(B33,'Base stats'!B:B,'Base stats'!C:C)&lt;=0.8),
IF(_xlfn.XLOOKUP(B33,'Base stats'!B:B,'Base stats'!C:C)&lt;0.1,0.05,IF(_xlfn.XLOOKUP(B33,'Base stats'!B:B,'Base stats'!C:C)&lt;=70,(_xlfn.XLOOKUP(B33,'Base stats'!B:B,'Base stats'!C:C)/70)^0.426489913056526,IF(_xlfn.XLOOKUP(B33,'Base stats'!B:B,'Base stats'!C:C)&lt;=400,(_xlfn.XLOOKUP(B33,'Base stats'!B:B,'Base stats'!C:C)/70)^0.572811455315093,IF(_xlfn.XLOOKUP(B33,'Base stats'!B:B,'Base stats'!C:C)&lt;=2000,2.71391647193063*(_xlfn.XLOOKUP(B33,'Base stats'!B:B,'Base stats'!C:C)/400)^0.252459582904293,3.74314280240376*(_xlfn.XLOOKUP(B33,'Base stats'!B:B,'Base stats'!C:C)/2000)^0.357012633876913)))),
IF(_xlfn.XLOOKUP(B33,'Base stats'!B:B,'Base stats'!C:C)&lt;0.1,0.05,IF(_xlfn.XLOOKUP(B33,'Base stats'!B:B,'Base stats'!C:C)&lt;0.4,0.1,IF(_xlfn.XLOOKUP(B33,'Base stats'!B:B,'Base stats'!C:C)&lt;=70,(_xlfn.XLOOKUP(B33,'Base stats'!B:B,'Base stats'!C:C)/70)^0.445823913056526,IF(_xlfn.XLOOKUP(B33,'Base stats'!B:B,'Base stats'!C:C)&lt;=400,(_xlfn.XLOOKUP(B33,'Base stats'!B:B,'Base stats'!C:C)/70)^0.572811455315093,IF(_xlfn.XLOOKUP(B33,'Base stats'!B:B,'Base stats'!C:C)&lt;=2000,2.71391647193063*(_xlfn.XLOOKUP(B33,'Base stats'!B:B,'Base stats'!C:C)/400)^0.252459582904293,3.74314280240376*(_xlfn.XLOOKUP(B33,'Base stats'!B:B,'Base stats'!C:C)/2000)^0.357012633876913)))))),
IF(_xlfn.XLOOKUP(B33,'Base stats'!B:B,'Base stats'!C:C)&lt;0.1,0.05,IF(_xlfn.XLOOKUP(B33,'Base stats'!B:B,'Base stats'!C:C)&lt;=100,0.05,IF(_xlfn.XLOOKUP(B33,'Base stats'!B:B,'Base stats'!C:C)&lt;=250,0.1,IF(_xlfn.XLOOKUP(B33,'Base stats'!B:B,'Base stats'!C:C)&lt;=4000,0.25,0.5)))))</f>
        <v>0.4</v>
      </c>
      <c r="AP33" s="8">
        <f>MROUND(AO33*_xlfn.XLOOKUP(_xlfn.XLOOKUP(B33,'Base stats'!B:B,'Base stats'!E:E),Groups!A:A,Groups!AI:AI)*_xlfn.XLOOKUP(B33,'Base stats'!B:B,'Base stats'!Z:Z),0.05)</f>
        <v>0.4</v>
      </c>
      <c r="AQ33" s="8">
        <f>MAX(0.01,MROUND(IF(CC33="True",0.196*(AO33*100*1000)^0.889,IF(_xlfn.XLOOKUP(_xlfn.XLOOKUP(B33,'Base stats'!B:B,'Base stats'!E:E),Groups!A:A,Groups!AJ:AJ)="Bird",10.5*(AO33*100*1000)^0.681,4.82*(AO33*100*1000)^0.734))/(4.82*(1*100*1000)^0.734)/IF(AO33&lt;3.5,2,IF(AO33=3.5,1.5,1.25))*(1+0.132282374779864/(AO33^0.994035016789033+0.00905238001496948)),0.05))</f>
        <v>0.05</v>
      </c>
      <c r="AR33" s="9">
        <f>IFERROR(MROUND(_xlfn.XLOOKUP(B33,'Base stats'!B:B,'Base stats'!H:H)/IF(_xlfn.XLOOKUP(B33,'Base stats'!B:B,'Base stats'!I:I)&lt;&gt;1,(122.5/70),1.2),IF(_xlfn.XLOOKUP(B33,'Base stats'!B:B,'Base stats'!H:H)&gt;=30,5,IF(_xlfn.XLOOKUP(B33,'Base stats'!B:B,'Base stats'!H:H)&gt;=15,3,IF(_xlfn.XLOOKUP(B33,'Base stats'!B:B,'Base stats'!H:H)&gt;=10,2,1)))),"Immortal")</f>
        <v>12</v>
      </c>
      <c r="AS33" s="35" t="str">
        <f>IFERROR(IF(OR(_xlfn.XLOOKUP(B33,'Base stats'!B:B,'Base stats'!F:F)="Atypical reproduction",_xlfn.XLOOKUP(B33,'Base stats'!B:B,'Base stats'!F:F)="Lay eggs"),"Lay eggs",MIN(20,MAX(5.5,ROUND(((_xlfn.XLOOKUP(B33,'Base stats'!B:B,'Base stats'!F:F)-25)*(14.5/615) + 5.5)*2,0)/2))),"Unknown")</f>
        <v>Lay eggs</v>
      </c>
      <c r="AT33" s="8">
        <f>IF(_xlfn.XLOOKUP(B33,'Base stats'!B:B,'Base stats'!G:G)="Atypical reproduction","No",IFERROR(MAX(IF(_xlfn.XLOOKUP(B33,'Base stats'!B:B,'Base stats'!G:G)&lt;0.5,0.2,0.3),MROUND(_xlfn.XLOOKUP(B33,'Base stats'!B:B,'Base stats'!G:G)/(365/60),0.2)),"Unknown"))</f>
        <v>0.8</v>
      </c>
      <c r="AU33" s="8">
        <f t="shared" si="1"/>
        <v>0.4</v>
      </c>
      <c r="AV33" s="8" t="str">
        <f>IFERROR(IFERROR(MROUND(_xlfn.XLOOKUP(B33,'Base stats'!B:B,'Base stats'!J:J),0.1),"Lay eggs"),"Cannot breed")</f>
        <v>Lay eggs</v>
      </c>
      <c r="AW33" s="2" t="str">
        <f t="shared" si="2"/>
        <v>false</v>
      </c>
      <c r="AX33" s="2" t="str">
        <f>IF(_xlfn.XLOOKUP(_xlfn.XLOOKUP(Animals!B33,'Base stats'!B:B,'Base stats'!E:E),Groups!A:A,Groups!AK:AK)=1,"true","false")</f>
        <v>false</v>
      </c>
      <c r="AY33" s="25" t="str">
        <f>IF(_xlfn.XLOOKUP(B33,'Base stats'!B:B,'Base stats'!Y:Y)="Liquor","Liquor, CarnivoreAnimalStrict",IF(AND(_xlfn.XLOOKUP(B33,'Base stats'!B:B,'Base stats'!Y:Y)="Carnivore",_xlfn.XLOOKUP(_xlfn.XLOOKUP(B33,'Base stats'!B:B,'Base stats'!E:E),Groups!A:A,Groups!AJ:AJ)="Photonozoa"),"CarnivoreAnimalStrict, OvivoreAnimal",IF(_xlfn.XLOOKUP(B33,'Base stats'!B:B,'Base stats'!Y:Y)="Carnivore","CarnivoreAnimal, OvivoreAnimal",IF(_xlfn.XLOOKUP(B33,'Base stats'!B:B,'Base stats'!Y:Y)="Dendrovore","VegetarianRoughAnimal, DendrovoreAnimal",IF(_xlfn.XLOOKUP(B33,'Base stats'!B:B,'Base stats'!Y:Y)="Herbivore","VegetarianRoughAnimal",IF(_xlfn.XLOOKUP(B33,'Base stats'!B:B,'Base stats'!Y:Y)="OmnivoreRough","OmnivoreRoughAnimal, OvivoreAnimal","OmnivoreAnimal, OvivoreAnimal"))))))</f>
        <v>CarnivoreAnimal, OvivoreAnimal</v>
      </c>
      <c r="AZ33" s="2" t="str">
        <f>IF(_xlfn.XLOOKUP(_xlfn.XLOOKUP(B33,'Base stats'!B:B,'Base stats'!E:E),Groups!A:A,Groups!D:D)=1,MROUND((1-J33)*5+1,2)*IF(J33&lt;=0.4,2,1),"No")</f>
        <v>No</v>
      </c>
      <c r="BA33" s="2" t="str">
        <f>IF(AND(_xlfn.XLOOKUP(B33,'Base stats'!B:B,'Base stats'!AH:AH)="&lt;li&gt;Seal&lt;/li&gt;",G33="Odyssey"),"&lt;li&gt;AEXP_Seal&lt;/li&gt;",_xlfn.XLOOKUP(B33,'Base stats'!B:B,'Base stats'!AH:AH))</f>
        <v>No</v>
      </c>
      <c r="BB33" s="2" t="str">
        <f>_xlfn.XLOOKUP(B33,'Base stats'!B:B,'Base stats'!AG:AG)</f>
        <v>Leather_Lizard</v>
      </c>
      <c r="BC33" s="23" t="str">
        <f>_xlfn.XLOOKUP(_xlfn.XLOOKUP(B33,'Base stats'!B:B,'Base stats'!E:E),Groups!A:A,Groups!AL:AL)</f>
        <v>Snake</v>
      </c>
      <c r="BD33" s="23">
        <f>MIN(1,MROUND(IF(AND(AO33&lt;0.5,_xlfn.XLOOKUP(B33,'Base stats'!B:B,'Base stats'!AA:AA)=0),0,IF(OR(_xlfn.XLOOKUP(Animals!B33,'Base stats'!B:B,'Base stats'!O:O)=2,_xlfn.XLOOKUP(_xlfn.XLOOKUP(B33,'Base stats'!B:B,'Base stats'!E:E),Groups!A:A,Groups!AN:AN)=0),0,_xlfn.XLOOKUP(_xlfn.XLOOKUP(B33,'Base stats'!B:B,'Base stats'!E:E),Groups!A:A,Groups!AN:AN)/IF(_xlfn.XLOOKUP(Animals!B33,'Base stats'!B:B,'Base stats'!O:O)=1,2,1)))+_xlfn.XLOOKUP(B33,'Base stats'!B:B,'Base stats'!AC:AC),0.005))</f>
        <v>0.1</v>
      </c>
      <c r="BE33" s="23">
        <f>MIN(1,MROUND(IF(AND(AO33&lt;0.5,_xlfn.XLOOKUP(B33,'Base stats'!B:B,'Base stats'!AA:AA)=0),0,IF(_xlfn.XLOOKUP(_xlfn.XLOOKUP(B33,'Base stats'!B:B,'Base stats'!E:E),Groups!A:A,Groups!AO:AO)=0,0,_xlfn.XLOOKUP(_xlfn.XLOOKUP(B33,'Base stats'!B:B,'Base stats'!E:E),Groups!A:A,Groups!AO:AO)/IF(_xlfn.XLOOKUP(Animals!B33,'Base stats'!B:B,'Base stats'!O:O)=2,3,1)))+_xlfn.XLOOKUP(B33,'Base stats'!B:B,'Base stats'!AD:AD),0.005))</f>
        <v>0.3</v>
      </c>
      <c r="BF33" s="2" t="str">
        <f>IF(J33&gt;0.3,"No",_xlfn.XLOOKUP(_xlfn.XLOOKUP(Animals!B33,'Base stats'!B:B,'Base stats'!E:E),Groups!A:A,Groups!AP:AP))</f>
        <v>No</v>
      </c>
      <c r="BG33" s="2" t="str">
        <f>IF(AND(J33&lt;=0.65,_xlfn.XLOOKUP(_xlfn.XLOOKUP(Animals!B33,'Base stats'!B:B,'Base stats'!E:E),Groups!A:A,Groups!AP:AP)&lt;&gt;"No",_xlfn.XLOOKUP(_xlfn.XLOOKUP(B33,'Base stats'!B:B,'Base stats'!E:E),Groups!A:A,Groups!D:D)=0),MROUND((80/3)*IF(_xlfn.XLOOKUP(B33,'Base stats'!B:B,'Base stats'!O:O)=2,0.2,AO33) + 24*(1-IF(BF33="No",0,BF33)) + 16/3, 12),"No")</f>
        <v>No</v>
      </c>
      <c r="BH33" s="2">
        <f>IF(AND(_xlfn.XLOOKUP(_xlfn.XLOOKUP(B33,'Base stats'!B:B,'Base stats'!E:E),Groups!A:A,Groups!AQ:AQ)=1,AO33&lt;=0.35),8,12)</f>
        <v>12</v>
      </c>
      <c r="BI33" s="2" t="str">
        <f>IF(_xlfn.XLOOKUP(_xlfn.XLOOKUP(B33,'Base stats'!B:B,'Base stats'!E:E),Groups!A:A,Groups!D:D)=0,_xlfn.XLOOKUP(_xlfn.XLOOKUP(B33,'Base stats'!B:B,'Base stats'!E:E),Groups!A:A,Groups!AR:AR),"None")</f>
        <v>None</v>
      </c>
      <c r="BJ33" s="2" t="str">
        <f>IF(AND(_xlfn.XLOOKUP(_xlfn.XLOOKUP(B33,'Base stats'!B:B,'Base stats'!E:E),Groups!A:A,Groups!AS:AS)=1,OR(_xlfn.XLOOKUP(B33,'Base stats'!B:B,'Base stats'!Y:Y)="Carnivore",_xlfn.XLOOKUP(B33,'Base stats'!B:B,'Base stats'!Y:Y)="Omnivore")),"true","false")</f>
        <v>true</v>
      </c>
      <c r="BK33" s="2">
        <f>IF(BJ33="true",MROUND(IF(AND(AO33&gt;0.5,OR(_xlfn.XLOOKUP(_xlfn.XLOOKUP(B33,'Base stats'!B:B,'Base stats'!E:E),Groups!A:A,Groups!AJ:AJ)="Photonozoa",_xlfn.XLOOKUP(_xlfn.XLOOKUP(B33,'Base stats'!B:B,'Base stats'!E:E),Groups!A:A,Groups!AJ:AJ)="Mammal")),Animals!AO33*1.75*IF(AW33="true",1.5,1),IF(AO33&lt;0.5,Animals!AO33*0.5,Animals!AO33)),IF(AO33&gt;2,0.5,IF(AO33&gt;0.5,0.25,0.1))),"No")</f>
        <v>0.2</v>
      </c>
      <c r="BL33" s="2">
        <f t="shared" si="3"/>
        <v>0</v>
      </c>
      <c r="BM33" s="25" t="str">
        <f>IF(_xlfn.XLOOKUP(B33,'Base stats'!B:B,'Base stats'!AN:AN)="Standard","No",MROUND((_xlfn.XLOOKUP(B33,'Base stats'!B:B,'Base stats'!AN:AN)/3.6)/I33,0.1))</f>
        <v>No</v>
      </c>
      <c r="BN33" s="25" t="str">
        <f t="shared" si="4"/>
        <v>false</v>
      </c>
      <c r="BO33" s="25" t="str">
        <f>IF(AND(OR(_xlfn.XLOOKUP(B33,'Base stats'!B:B,'Base stats'!Y:Y)="Carnivore",_xlfn.XLOOKUP(B33,'Base stats'!B:B,'Base stats'!Y:Y)="Omnivore",_xlfn.XLOOKUP(B33,'Base stats'!B:B,'Base stats'!Y:Y)="OmnivoreRough"),_xlfn.XLOOKUP(_xlfn.XLOOKUP(B33,'Base stats'!B:B,'Base stats'!E:E),Groups!A:A,Groups!AT:AT)=1),"true","false")</f>
        <v>false</v>
      </c>
      <c r="BP33" s="25" t="str" cm="1">
        <f t="array" ref="BP33">IF(
  _xlfn.TEXTJOIN(", ",TRUE,
    IF(AND(BJ33="true",AO33&gt;0.5,BI33&lt;&gt;"None"),"AttackTarget",""),
    IF(AND(_xlfn.XLOOKUP(_xlfn.XLOOKUP(B33,'Base stats'!B:B,'Base stats'!E:E),Groups!A:A,Groups!AJ:AJ="Mammal"),OR(_xlfn.XLOOKUP(B33,'Base stats'!B:B,'Base stats'!Y:Y)="Omnivore",_xlfn.XLOOKUP(B33,'Base stats'!B:B,'Base stats'!Y:Y)="OmnivoreRough")),"Forage",""),
    IF(BG33&lt;=36,"Comfort",""),
    IF(_xlfn.XLOOKUP(B33,'Base stats'!B:B,'Base stats'!AE:AE)&lt;&gt;"No",_xlfn.XLOOKUP(B33,'Base stats'!B:B,'Base stats'!AE:AE),"")
  ) = "",
  "No",
  _xlfn.TEXTJOIN(", ",TRUE,
    IF(AND(BJ33="true",AO33&gt;0.5,BI33&lt;&gt;"None"),"AttackTarget",""),
    IF(AND(_xlfn.XLOOKUP(_xlfn.XLOOKUP(B33,'Base stats'!B:B,'Base stats'!E:E),Groups!A:A,Groups!AJ:AJ="Mammal"),OR(_xlfn.XLOOKUP(B33,'Base stats'!B:B,'Base stats'!Y:Y)="Omnivore",_xlfn.XLOOKUP(B33,'Base stats'!B:B,'Base stats'!Y:Y)="OmnivoreRough")),"Forage",""),
    IF(BG33&lt;=36,"Comfort",""),
    IF(_xlfn.XLOOKUP(B33,'Base stats'!B:B,'Base stats'!AE:AE)&lt;&gt;"No",_xlfn.XLOOKUP(B33,'Base stats'!B:B,'Base stats'!AE:AE),"")
  )
)</f>
        <v>No</v>
      </c>
      <c r="BQ33" s="25" t="str">
        <f>IF(
   AND(
      'Base stats'!AN33="Standard",_xlfn.XLOOKUP(_xlfn.XLOOKUP(B33,'Base stats'!B:B,'Base stats'!E:E),Groups!A:A,Groups!AU:AU)=0,
      OR(
      BO33="True"
      )
   ),
   10,
   IF(
       OR(BM33&lt;&gt;"No",_xlfn.XLOOKUP(_xlfn.XLOOKUP(B33,'Base stats'!B:B,'Base stats'!E:E),Groups!A:A,Groups!AU:AU)=1),
      1,
      "No"
   )
)</f>
        <v>No</v>
      </c>
      <c r="BR33" s="9">
        <f>MROUND((1 + ((0.2*IF(OR(Q33="No",R33="No",R33=0),0,Q33/R33)
+IF(OR(V33="No",S33="No",T33="No"),0,S33/T33*(LEN(V33)-LEN(SUBSTITUTE(V33,",",""))+1))
+IF(OR(X33="No",Y33="No"),0,X33/Y33)
+IF(OR(AD33="No",AE33="No"),0,AD33/AE33)
+IF(OR(AL33="No",AI33="No",AJ33="No"),0,AI33/AJ33*(LEN(AL33)-LEN(SUBSTITUTE(AL33,",",""))+1))
)/(0.2*IF(OR(Q33="No",R33="No",R33=0),0,1)
+IF(OR(V33="No",S33="No",T33="No"),0,LEN(V33)-LEN(SUBSTITUTE(V33,",",""))+1)
+IF(OR(X33="No",Y33="No"),0,1)
+IF(OR(AD33="No",AE33="No"),0,1)
+IF(OR(AL33="No",AI33="No",AJ33="No"),0,LEN(AL33)-LEN(SUBSTITUTE(AL33,",",""))+1))*62%)* 2)*(1 + (AP33 / (IF(_xlfn.XLOOKUP(_xlfn.XLOOKUP(B33,'Base stats'!B:B,'Base stats'!E:E),Groups!A:A,Groups!AJ:AJ)="Photonozoa",0.3,1)) + _xlfn.XLOOKUP(B33,'Base stats'!B:B,'Base stats'!AV:AV) * 1.8) * 2) * 2.5 + 10 + I33 * 2,5)+IF(_xlfn.XLOOKUP(B33,'Base stats'!B:B,'Base stats'!AK:AK)=1,50,0)</f>
        <v>40</v>
      </c>
      <c r="BS33" s="8">
        <f t="shared" si="5"/>
        <v>0.1</v>
      </c>
      <c r="BT33" s="8" t="str">
        <f>_xlfn.XLOOKUP(B33,'Base stats'!B:B,'Base stats'!AF:AF)</f>
        <v>No</v>
      </c>
      <c r="BU33" s="2" t="str">
        <f>IF(AND(J33&lt;=0.95,OR(_xlfn.XLOOKUP(B33,'Base stats'!B:B,'Base stats'!AK:AK)=1,_xlfn.XLOOKUP(B33,'Base stats'!B:B,'Base stats'!Y:Y)="Carnivore",_xlfn.XLOOKUP(B33,'Base stats'!B:B,'Base stats'!Y:Y)="Omnivore",BE33&gt;0.1)),"true","false")</f>
        <v>true</v>
      </c>
      <c r="BV33" s="2" t="str">
        <f>IF(_xlfn.XLOOKUP(B33,'Base stats'!B:B,'Base stats'!AI:AI)=1,"true","false")</f>
        <v>false</v>
      </c>
      <c r="BW33" s="25" t="str">
        <f>IF(E33="BaseInsect","AnimalInsect",
IF(J33&gt;0.95,"AnimalExotic",
_xlfn.TEXTJOIN(", ",TRUE,
IF(OR(_xlfn.XLOOKUP(B33,'Base stats'!B:B,'Base stats'!AM:AM)=1,AND(_xlfn.XLOOKUP(B33,'Base stats'!B:B,'Base stats'!O:O)=0,_xlfn.XLOOKUP(_xlfn.XLOOKUP(B33,'Base stats'!B:B,'Base stats'!E:E),Groups!A:A,Groups!B:B)&gt;0)),"AnimalUncommon","AnimalCommon"),
IF(AND(_xlfn.XLOOKUP(B33,'Base stats'!B:B,'Base stats'!O:O)=2,_xlfn.XLOOKUP(_xlfn.XLOOKUP(B33,'Base stats'!B:B,'Base stats'!E:E),Groups!A:A,Groups!D:D)=0),"AnimalPet",IF(AND(_xlfn.XLOOKUP(B33,'Base stats'!B:B,'Base stats'!O:O)&lt;&gt;0,_xlfn.XLOOKUP(_xlfn.XLOOKUP(B33,'Base stats'!B:B,'Base stats'!E:E),Groups!A:A,Groups!D:D)&lt;&gt;0),"AnimalFarm","")),
IF(OR(_xlfn.XLOOKUP(B33,'Base stats'!B:B,'Base stats'!AK:AK)=1,AND(BI33&lt;&gt;"None",BR33&gt;=60),ISNUMBER(SEARCH("Attack target",BP33))),"AnimalFighter","")
)))</f>
        <v>AnimalUncommon</v>
      </c>
      <c r="BX33" s="25" t="str">
        <f>IF(G33="None",TRIM(
SUBSTITUTE(
IF(COUNTIF(Biomes!B$2:B$259,"="&amp;$C33)&gt;0,Biomes!B$1&amp;", ","")&amp;
IF(COUNTIF(Biomes!C$2:C$259,"="&amp;$C33)&gt;0,Biomes!C$1&amp;", ","")&amp;
IF(COUNTIF(Biomes!D$2:D$259,"="&amp;$C33)&gt;0,Biomes!D$1&amp;", ","")&amp;
IF(COUNTIF(Biomes!F$2:F$259,"="&amp;$C33)&gt;0,Biomes!F$1&amp;", ","")&amp;
IF(COUNTIF(Biomes!G$2:G$259,"="&amp;$C33)&gt;0,Biomes!G$1&amp;", ","")&amp;
IF(COUNTIF(Biomes!H$2:H$259,"="&amp;$C33)&gt;0,Biomes!H$1&amp;", ","")&amp;
IF(COUNTIF(Biomes!I$2:I$259,"="&amp;$C33)&gt;0,Biomes!I$1&amp;", ","")&amp;
IF(COUNTIF(Biomes!J$2:J$259,"="&amp;$C33)&gt;0,Biomes!J$1&amp;", ","")&amp;
IF(COUNTIF(Biomes!M$2:M$259,"="&amp;$C33)&gt;0,Biomes!M$1&amp;", ","")&amp;
IF(COUNTIF(Biomes!N$2:N$259,"="&amp;$C33)&gt;0,Biomes!N$1&amp;", ","")&amp;
IF(COUNTIF(Biomes!O$2:O$259,"="&amp;$C33)&gt;0,Biomes!O$1&amp;", ","")&amp;
IF(COUNTIF(Biomes!P$2:P$259,"="&amp;$C33)&gt;0,Biomes!P$1&amp;", ","")&amp;
IF(COUNTIF(Biomes!K$2:K$259,"="&amp;$C33)&gt;0,Biomes!K$1&amp;", ","")&amp;
IF(COUNTIF(Biomes!Q$3:Q$259,"="&amp;$C33)&gt;0,Biomes!Q$1&amp;", ","")&amp;
IF(COUNTIF(Biomes!L$2:L$259,"="&amp;$C33)&gt;0,Biomes!L$1&amp;", ","")&amp;
IF(COUNTIF(Biomes!E$2:E$259,"="&amp;$C33)&gt;0,Biomes!E$1&amp;", ","")&amp;IF(COUNTIF(Biomes!S$2:S$259,"="&amp;$C33)&gt;0,Biomes!S$1&amp;", ","")&amp;
IF(COUNTIF(Biomes!R$2:R$259,"="&amp;$C33)&gt;0,Biomes!R$1&amp;", ",""),", ","")
),_xlfn.XLOOKUP(B33,B:B,BX:BX))</f>
        <v>TropicalRainforest TropicalSwamp Glowforest</v>
      </c>
      <c r="BY33" s="25" t="str">
        <f>IF(_xlfn.XLOOKUP(B33,'Base stats'!B:B,'Base stats'!AJ:AJ)=1,"true","false")</f>
        <v>false</v>
      </c>
      <c r="BZ33" s="25">
        <f>IF(_xlfn.XLOOKUP(B33,'Base stats'!B:B,'Base stats'!N:N)=1,"No",MAX(0.001,MIN(MROUND(IF(AND(BJ33="True",CC33="False"),POWER(10,3.47*LOG10(_xlfn.XLOOKUP(B33,'Base stats'!B:B,'Base stats'!C:C)*1000)^-0.96),POWER(10,4.15*LOG10(_xlfn.XLOOKUP(B33,'Base stats'!B:B,'Base stats'!C:C)*1000)^-0.73))*IF(_xlfn.XLOOKUP(B33,'Base stats'!B:B,'Base stats'!AK:AK)=1,0.5,1)*IF(_xlfn.XLOOKUP(B33,'Base stats'!B:B,'Base stats'!AM:AM)=1,0.1,1)/100,IF(_xlfn.XLOOKUP(B33,'Base stats'!B:B,'Base stats'!AM:AM)=1,0.001,0.025)),0.5)))</f>
        <v>0.35000000000000003</v>
      </c>
      <c r="CA33" s="25" t="str">
        <f>IF(P33="Standard","No",MAX(0.001,MIN(MROUND(IF(AND(BJ33="True",CC33="False"),POWER(10,3.47*LOG10(_xlfn.XLOOKUP(B33,'Base stats'!B:B,'Base stats'!C:C)*1000)^-0.96),POWER(10,4.15*LOG10(_xlfn.XLOOKUP(B33,'Base stats'!B:B,'Base stats'!C:C)*1000)^-0.73))*IF(_xlfn.XLOOKUP(B33,'Base stats'!B:B,'Base stats'!AM:AM)=1,0.1,1)*_xlfn.XLOOKUP(B33,'Base stats'!B:B,'Base stats'!R:R)/100,IF(_xlfn.XLOOKUP(B33,'Base stats'!B:B,'Base stats'!AM:AM)=1,0.001,0.025)),0.5)))</f>
        <v>No</v>
      </c>
      <c r="CB33" s="25" t="str">
        <f>IF(_xlfn.XLOOKUP(_xlfn.XLOOKUP(B33,'Base stats'!B:B,'Base stats'!E:E),Groups!A:A,Groups!AJ:AJ)="Mammal","True","False")</f>
        <v>False</v>
      </c>
      <c r="CC33" s="25" t="str">
        <f>IF(OR(_xlfn.XLOOKUP(_xlfn.XLOOKUP(B33,'Base stats'!B:B,'Base stats'!E:E),Groups!A:A,Groups!AJ:AJ)="Reptile",_xlfn.XLOOKUP(_xlfn.XLOOKUP(B33,'Base stats'!B:B,'Base stats'!E:E),Groups!A:A,Groups!AJ:AJ)="Amphibian",_xlfn.XLOOKUP(_xlfn.XLOOKUP(B33,'Base stats'!B:B,'Base stats'!E:E),Groups!A:A,Groups!AJ:AJ)="Invertebrate"),"True","False")</f>
        <v>True</v>
      </c>
      <c r="CD33" s="25" t="str">
        <f t="shared" si="6"/>
        <v>False</v>
      </c>
      <c r="CE33" s="25" t="str">
        <f>IF(_xlfn.XLOOKUP(_xlfn.XLOOKUP(B33,'Base stats'!B:B,'Base stats'!E:E),Groups!A:A,Groups!AX:AX),"True","False")</f>
        <v>False</v>
      </c>
      <c r="CF33" s="25" t="str">
        <f>IF(_xlfn.XLOOKUP(_xlfn.XLOOKUP(B33,'Base stats'!B:B,'Base stats'!E:E),Groups!A:A,Groups!AY:AY),"True","False")</f>
        <v>False</v>
      </c>
      <c r="CG33" s="25" t="str">
        <f>IF(_xlfn.XLOOKUP(_xlfn.XLOOKUP(B33,'Base stats'!B:B,'Base stats'!E:E),Groups!A:A,Groups!AW:AW),"True","False")</f>
        <v>False</v>
      </c>
      <c r="CH33" s="25" t="str">
        <f>IF(
OR(
_xlfn.XLOOKUP(_xlfn.XLOOKUP(B33,'Base stats'!B:B,'Base stats'!E:E),Groups!A:A,Groups!AZ:AZ)=0,
AND(
_xlfn.XLOOKUP(B33,'Base stats'!B:B,'Base stats'!Y:Y)&lt;&gt;"Carnivore",
_xlfn.XLOOKUP(B33,'Base stats'!B:B,'Base stats'!Y:Y)&lt;&gt;"Omnivore",
_xlfn.XLOOKUP(B33,'Base stats'!B:B,'Base stats'!Y:Y)&lt;&gt;"OmnivoreRough"
)
),
"No",
IF(
_xlfn.XLOOKUP(_xlfn.XLOOKUP(B33,'Base stats'!B:B,'Base stats'!E:E),Groups!A:A,Groups!AZ:AZ)=1,
"Flesh",
IF(
_xlfn.XLOOKUP(_xlfn.XLOOKUP(B33,'Base stats'!B:B,'Base stats'!E:E),Groups!A:A,Groups!AZ:AZ)=2,
"Bone",
""
)
)
)</f>
        <v>No</v>
      </c>
      <c r="CI33" s="25" t="str">
        <f>IF(_xlfn.XLOOKUP(_xlfn.XLOOKUP(B33,'Base stats'!B:B,'Base stats'!E:E),Groups!A:A,Groups!BB:BB),"True","False")</f>
        <v>False</v>
      </c>
      <c r="CJ33" s="25" t="str">
        <f>IF(_xlfn.XLOOKUP(_xlfn.XLOOKUP(B33,'Base stats'!B:B,'Base stats'!E:E),Groups!A:A,Groups!BA:BA),"True","False")</f>
        <v>True</v>
      </c>
    </row>
    <row r="34" spans="1:88" ht="16.5" thickTop="1" thickBot="1" x14ac:dyDescent="0.3">
      <c r="A34" s="26" t="str">
        <f>_xlfn.XLOOKUP(B34,'Base stats'!B:B,'Base stats'!A:A)</f>
        <v>Tortoise</v>
      </c>
      <c r="B34" s="6" t="s">
        <v>170</v>
      </c>
      <c r="C34" s="28" t="s">
        <v>709</v>
      </c>
      <c r="D34" s="28" t="s">
        <v>45</v>
      </c>
      <c r="E34" s="28" t="s">
        <v>673</v>
      </c>
      <c r="F34" s="28" t="s">
        <v>673</v>
      </c>
      <c r="G34" s="28" t="s">
        <v>673</v>
      </c>
      <c r="H34" s="2">
        <f>MROUND((
  (IF(AND(_xlfn.XLOOKUP(B34,'Base stats'!B:B,'Base stats'!AL:AL)=0,BI34="None",_xlfn.XLOOKUP(_xlfn.XLOOKUP(B34,'Base stats'!B:B,'Base stats'!E:E),Groups!A:A,Groups!B:B)=0), (18 + BR34 * 2.7) * 0.5,
    IF(AND(_xlfn.XLOOKUP(B34,'Base stats'!B:B,'Base stats'!AL:AL)=0,OR(AO34&lt;0.55,AND(BI34="Intermediate",_xlfn.XLOOKUP(_xlfn.XLOOKUP(B34,'Base stats'!B:B,'Base stats'!E:E),Groups!A:A,Groups!B:B)&lt;2))), (18 + BR34 * 2.7),
      IF(OR(BI34="Advanced",_xlfn.XLOOKUP(B34,'Base stats'!B:B,'Base stats'!AL:AL)=1,_xlfn.XLOOKUP(_xlfn.XLOOKUP(B34,'Base stats'!B:B,'Base stats'!E:E),Groups!A:A,Groups!B:B)=2), (18 + BR34 * 2.7) + 250, (18 + BR34 * 2.7))
    )
  ))
  + AO34 * 80
  + IF(COUNTIF(EggMilk!K$2:K$998, A34) &gt; 0, 125, 0)
  + IF(COUNTIF(EggMilk!P$2:P$998, A34) &gt; 0, 90, 0)
  + IF(COUNTIF(EggMilk!A$2:A$998, A34) &gt; 0, 90, 0)
)
* (0.8 + 0.4 * J34)
* 0.75,25)</f>
        <v>300</v>
      </c>
      <c r="I34" s="2">
        <f>MROUND(ROUNDDOWN(_xlfn.XLOOKUP(B34,'Base stats'!B:B,'Base stats'!L:L)/3.6/(23.3/11),1),0.5)</f>
        <v>0.5</v>
      </c>
      <c r="J34" s="2">
        <f>IF(OR(_xlfn.XLOOKUP(B34,'Base stats'!B:B,'Base stats'!AB:AB)=1,_xlfn.XLOOKUP(_xlfn.XLOOKUP(B34,'Base stats'!B:B,'Base stats'!E:E),Groups!A:A,Groups!C:C)="Untamable"),1,IF(_xlfn.XLOOKUP(B34,'Base stats'!B:B,'Base stats'!AL:AL)=1,0.99,MIN(MROUND((1-0.6282*EXP(-0.459*AO34))*_xlfn.XLOOKUP(_xlfn.XLOOKUP(B34,'Base stats'!B:B,'Base stats'!E:E),Groups!A:A,Groups!C:C)*IF(_xlfn.XLOOKUP(B34,'Base stats'!B:B,'Base stats'!O:O)=1,0.5,IF(_xlfn.XLOOKUP(B34,'Base stats'!B:B,'Base stats'!O:O)=2,0,1)),0.05),IF(AO34&gt;3.5,0.985,0.95))))</f>
        <v>0.70000000000000007</v>
      </c>
      <c r="K34" s="2">
        <f>ROUNDUP(AO34*_xlfn.XLOOKUP(_xlfn.XLOOKUP(B34,'Base stats'!B:B,'Base stats'!E:E),Groups!A:A,Groups!E:E),0)</f>
        <v>1</v>
      </c>
      <c r="L34" s="2">
        <f>IF(OR(_xlfn.XLOOKUP(_xlfn.XLOOKUP(B34,'Base stats'!B:B,'Base stats'!E:E),Groups!A:A,Groups!F:F)=2,ISNUMBER(SEARCH("SeaIce",BX34)),ISNUMBER(SEARCH("IceSheet",BX34))),-50,IF(OR(ISNUMBER(SEARCH("GlacialPlain",BX34)),ISNUMBER(SEARCH("Tundra",BX34))),-40,IF(OR(ISNUMBER(SEARCH("Alpine",BX34)),ISNUMBER(SEARCH("BorealForest",BX34)),ISNUMBER(SEARCH("ColdBog",BX34))),-30,IF(OR(ISNUMBER(SEARCH("TemperateForest",BX34)),ISNUMBER(SEARCH("TemperateSwamp",BX34))),-20,IF(_xlfn.XLOOKUP(_xlfn.XLOOKUP(B34,'Base stats'!B:B,'Base stats'!E:E),Groups!A:A,Groups!F:F)=1,-15,IF(OR(ISNUMBER(SEARCH("Desert",BX34)),ISNUMBER(SEARCH("ExtremeDesert",BX34))),-10,IF(OR(ISNUMBER(SEARCH("Grasslands",BX34)),ISNUMBER(SEARCH("TropicalRainforest",BX34)),ISNUMBER(SEARCH("TropicalSwamp",BX34))),10,0)))))))-IF(CC34="False",MIN(IFERROR(MAX(MROUND(LOG10(_xlfn.XLOOKUP(B34,'Base stats'!B:B,'Base stats'!C:C)^(2/3))*10,5),5),5),30))-_xlfn.XLOOKUP(B34,'Base stats'!B:B,'Base stats'!P:P)+IF(CC34="True",5,0)</f>
        <v>15</v>
      </c>
      <c r="M34" s="2">
        <f>IF(OR(_xlfn.XLOOKUP(_xlfn.XLOOKUP(B34,'Base stats'!B:B,'Base stats'!E:E),Groups!A:A,Groups!G:G)=2,ISNUMBER(SEARCH("Desert",BX34)),ISNUMBER(SEARCH("ExtremeDesert",BX34)),ISNUMBER(SEARCH("LavaField",BX34))),50,IF(ISNUMBER(SEARCH("Grasslands",BX34)),45,IF(OR(_xlfn.XLOOKUP(_xlfn.XLOOKUP(B34,'Base stats'!B:B,'Base stats'!E:E),Groups!A:A,Groups!G:G)=1,ISNUMBER(SEARCH("TropicalRainforest",BX34)),ISNUMBER(SEARCH("TropicalSwamp",BX34))),40,IF(OR(ISNUMBER(SEARCH("TemperateForest",BX34)),ISNUMBER(SEARCH("TemperateSwamp",BX34))),35,IF(OR(ISNUMBER(SEARCH("Alpine",BX34)),ISNUMBER(SEARCH("BorealForest",BX34)),ISNUMBER(SEARCH("ColdBog",BX34))),30,IF(ISNUMBER(OR(ISNUMBER(SEARCH("GlacialPlain",BX34)),SEARCH("Tundra",BX34))),25,IF(OR(ISNUMBER(SEARCH("SeaIce",BX34)),ISNUMBER(SEARCH("IceSheet",BX34)),ISNUMBER(SEARCH("TropicalSwamp",BX34))),10,35)))))))+_xlfn.XLOOKUP(B34,'Base stats'!B:B,'Base stats'!Q:Q)</f>
        <v>40</v>
      </c>
      <c r="N34" s="8">
        <f>IF(
_xlfn.XLOOKUP(
_xlfn.XLOOKUP(B34,'Base stats'!B:B,'Base stats'!E:E),
Groups!A:A,
Groups!L:L
)=1,
MIN(
MROUND(
IF(
_xlfn.XLOOKUP(B34,'Animals CE'!B:B,'Animals CE'!Z:Z)&lt;=1.5,
_xlfn.XLOOKUP(B34,'Animals CE'!B:B,'Animals CE'!Z:Z)/2+0.05,
0.8+
(_xlfn.XLOOKUP(B34,'Animals CE'!B:B,'Animals CE'!Z:Z)-1.5)
*0.02
),
0.05
),
200%
),
"No"
)</f>
        <v>0.60000000000000009</v>
      </c>
      <c r="O34" s="8">
        <f>IF(
_xlfn.XLOOKUP(
_xlfn.XLOOKUP(B34,'Base stats'!B:B,'Base stats'!E:E),
Groups!A:A,
Groups!L:L
)=1,
MIN(
MROUND(
IF(
_xlfn.XLOOKUP(B34,'Animals CE'!B:B,'Animals CE'!AA:AA)&lt;=1.5,
_xlfn.XLOOKUP(B34,'Animals CE'!B:B,'Animals CE'!AA:AA)/2+0.05,
0.8+
(_xlfn.XLOOKUP(B34,'Animals CE'!B:B,'Animals CE'!AA:AA)-1.5)
*0.02
),
0.05
),
200%
),
"No"
)</f>
        <v>0.8</v>
      </c>
      <c r="P34" s="2" t="str">
        <f>_xlfn.XLOOKUP(B34,'Base stats'!B:B,'Base stats'!R:R)</f>
        <v>Standard</v>
      </c>
      <c r="Q34" s="13">
        <f>MROUND((LOG10(_xlfn.XLOOKUP(B34,'Base stats'!B:B,'Base stats'!AR:AR))*(AO34^0.5)+(_xlfn.XLOOKUP(B34,'Base stats'!B:B,'Base stats'!AR:AR)/1000)^(2/3)+_xlfn.XLOOKUP(B34,'Base stats'!B:B,'Base stats'!BA:BA)/2)+0.5,0.5)</f>
        <v>5</v>
      </c>
      <c r="R34" s="7">
        <f>IF(Q34="No","No",MAX(1,MROUND(_xlfn.XLOOKUP(B34,'Base stats'!B:B,'Base stats'!C:C)^0.165,0.05)))</f>
        <v>1.7000000000000002</v>
      </c>
      <c r="S34" s="13" t="str">
        <f>IF(_xlfn.XLOOKUP(_xlfn.XLOOKUP(B34,'Base stats'!B:B,'Base stats'!E:E),Groups!A:A,Groups!P:P)=0,"No",MROUND((LOG10(_xlfn.XLOOKUP(B34,'Base stats'!B:B,'Base stats'!AS:AS))*(AO34^0.5)+(_xlfn.XLOOKUP(B34,'Base stats'!B:B,'Base stats'!AS:AS)/1000)^(2/3)+_xlfn.XLOOKUP(B34,'Base stats'!B:B,'Base stats'!BA:BA))+_xlfn.XLOOKUP(B34,'Base stats'!B:B,'Base stats'!AY:AY)+0.5,0.5))</f>
        <v>No</v>
      </c>
      <c r="T34" s="7" t="str">
        <f>IF(S34="No","No",MAX(_xlfn.XLOOKUP(_xlfn.XLOOKUP(B34,'Base stats'!B:B,'Base stats'!E:E),Groups!A:A,Groups!Q:Q),MROUND(_xlfn.XLOOKUP(_xlfn.XLOOKUP(B34,'Base stats'!B:B,'Base stats'!E:E),Groups!A:A,Groups!Q:Q)*_xlfn.XLOOKUP(B34,'Base stats'!B:B,'Base stats'!C:C)^0.165,0.05)))</f>
        <v>No</v>
      </c>
      <c r="U34" s="7" t="str">
        <f>IF(S34="No","No",_xlfn.XLOOKUP(_xlfn.XLOOKUP(B34,'Base stats'!B:B,'Base stats'!E:E),Groups!A:A,Groups!R:R))</f>
        <v>No</v>
      </c>
      <c r="V34" s="7" t="str">
        <f>IF(S34="No","No",_xlfn.XLOOKUP(_xlfn.XLOOKUP(B34,'Base stats'!B:B,'Base stats'!E:E),Groups!A:A,Groups!S:S))</f>
        <v>No</v>
      </c>
      <c r="W34" s="7" t="str">
        <f>IF(S34="No","No",_xlfn.XLOOKUP(_xlfn.XLOOKUP(B34,'Base stats'!B:B,'Base stats'!E:E),Groups!A:A,Groups!T:T))</f>
        <v>No</v>
      </c>
      <c r="X34" s="13" t="str">
        <f>IF(_xlfn.XLOOKUP(B34,'Base stats'!B:B,'Base stats'!W:W)="No","No",MROUND((LOG10(_xlfn.XLOOKUP(B34,'Base stats'!B:B,'Base stats'!AU:AU))*(AO34^0.5)+(_xlfn.XLOOKUP(B34,'Base stats'!B:B,'Base stats'!AU:AU)/1000)^(2/3)+_xlfn.XLOOKUP(B34,'Base stats'!B:B,'Base stats'!AZ:AZ))+0.5+IF(_xlfn.XLOOKUP(_xlfn.XLOOKUP(B34,'Base stats'!B:B,'Base stats'!E:E),Groups!A:A,Groups!U:U)&lt;&gt;3,_xlfn.XLOOKUP(B34,'Base stats'!B:B,'Base stats'!BA:BA),0),0.5))</f>
        <v>No</v>
      </c>
      <c r="Y34" s="7" t="str">
        <f>IF(X34="No","No",MAX(_xlfn.XLOOKUP(_xlfn.XLOOKUP(B34,'Base stats'!B:B,'Base stats'!E:E),Groups!A:A,Groups!V:V),MROUND(_xlfn.XLOOKUP(_xlfn.XLOOKUP(B34,'Base stats'!B:B,'Base stats'!E:E),Groups!A:A,Groups!V:V)*_xlfn.XLOOKUP(B34,'Base stats'!B:B,'Base stats'!C:C)^0.165,0.05)))</f>
        <v>No</v>
      </c>
      <c r="Z34" s="7" t="str">
        <f>IF(X34="No","No",_xlfn.XLOOKUP(_xlfn.XLOOKUP(B34,'Base stats'!B:B,'Base stats'!E:E),Groups!A:A,Groups!W:W))</f>
        <v>No</v>
      </c>
      <c r="AA34" s="7" t="str">
        <f>IF(X34="No","No",_xlfn.XLOOKUP(_xlfn.XLOOKUP(B34,'Base stats'!B:B,'Base stats'!E:E),Groups!A:A,Groups!X:X))</f>
        <v>No</v>
      </c>
      <c r="AB34" s="7" t="str">
        <f>IF(X34="No","No",_xlfn.XLOOKUP(_xlfn.XLOOKUP(B34,'Base stats'!B:B,'Base stats'!E:E),Groups!A:A,Groups!Y:Y))</f>
        <v>No</v>
      </c>
      <c r="AC34" s="7" t="str">
        <f>_xlfn.XLOOKUP(Animals!B34,'Base stats'!B:B,'Base stats'!X:X)</f>
        <v>False</v>
      </c>
      <c r="AD34" s="13">
        <f>IF(_xlfn.XLOOKUP(B34,'Base stats'!B:B,'Base stats'!AT:AT)="No","No",MROUND((LOG10(_xlfn.XLOOKUP(B34,'Base stats'!B:B,'Base stats'!AT:AT))*(AO34^0.75)+(_xlfn.XLOOKUP(B34,'Base stats'!B:B,'Base stats'!AT:AT)/1000)^(2/3)+_xlfn.XLOOKUP(B34,'Base stats'!B:B,'Base stats'!AX:AX)+_xlfn.XLOOKUP(B34,'Base stats'!B:B,'Base stats'!BA:BA))+0.5,0.5))</f>
        <v>6</v>
      </c>
      <c r="AE34" s="7">
        <f>IF(AD34="No","No",MAX(_xlfn.XLOOKUP(_xlfn.XLOOKUP(B34,'Base stats'!B:B,'Base stats'!E:E),Groups!A:A,Groups!Z:Z),MROUND(_xlfn.XLOOKUP(_xlfn.XLOOKUP(B34,'Base stats'!B:B,'Base stats'!E:E),Groups!A:A,Groups!Z:Z)*_xlfn.XLOOKUP(B34,'Base stats'!B:B,'Base stats'!C:C)^0.165,0.05)))</f>
        <v>1.7000000000000002</v>
      </c>
      <c r="AF34" s="7" t="str">
        <f>IF(AD34="No","No",_xlfn.XLOOKUP(_xlfn.XLOOKUP(B34,'Base stats'!B:B,'Base stats'!E:E),Groups!A:A,Groups!AA:AA))</f>
        <v>TurtleBeakAttackTool</v>
      </c>
      <c r="AG34" s="7" t="str">
        <f>IF(AD34="No","No",_xlfn.XLOOKUP(_xlfn.XLOOKUP(B34,'Base stats'!B:B,'Base stats'!E:E),Groups!A:A,Groups!AB:AB))</f>
        <v>beak</v>
      </c>
      <c r="AH34" s="7" t="str">
        <f>IF(AD34="No","No",_xlfn.XLOOKUP(_xlfn.XLOOKUP(B34,'Base stats'!B:B,'Base stats'!E:E),Groups!A:A,Groups!AC:AC))</f>
        <v>Bite</v>
      </c>
      <c r="AI34" s="13" t="str">
        <f>IF(_xlfn.XLOOKUP(_xlfn.XLOOKUP(B34,'Base stats'!B:B,'Base stats'!E:E),Groups!A:A,Groups!AD:AD)=0,"No",MROUND((LOG10(_xlfn.XLOOKUP(B34,'Base stats'!B:B,'Base stats'!AS:AS))*(AO34^0.75)+(_xlfn.XLOOKUP(B34,'Base stats'!B:B,'Base stats'!AS:AS)/1000)^(2/3)+_xlfn.XLOOKUP(B34,'Base stats'!B:B,'Base stats'!AY:AY)+_xlfn.XLOOKUP(B34,'Base stats'!B:B,'Base stats'!BA:BA))+0.5,0.5))</f>
        <v>No</v>
      </c>
      <c r="AJ34" s="7" t="str">
        <f>IF(AI34="No","No",MAX(_xlfn.XLOOKUP(_xlfn.XLOOKUP(B34,'Base stats'!B:B,'Base stats'!E:E),Groups!A:A,Groups!AE:AE),MROUND(_xlfn.XLOOKUP(_xlfn.XLOOKUP(B34,'Base stats'!B:B,'Base stats'!E:E),Groups!A:A,Groups!AE:AE)*IF(_xlfn.XLOOKUP(_xlfn.XLOOKUP(B34,'Base stats'!B:B,'Base stats'!E:E),Groups!A:A,Groups!AJ:AJ)="Photonozoa",0.6,1)*_xlfn.XLOOKUP(B34,'Base stats'!B:B,'Base stats'!C:C)^0.165,0.05)))</f>
        <v>No</v>
      </c>
      <c r="AK34" s="7" t="str">
        <f>IF(AI34="No","No",_xlfn.XLOOKUP(_xlfn.XLOOKUP(B34,'Base stats'!B:B,'Base stats'!E:E),Groups!A:A,Groups!AF:AF))</f>
        <v>No</v>
      </c>
      <c r="AL34" s="7" t="str">
        <f>IF(AI34="No","No",_xlfn.XLOOKUP(_xlfn.XLOOKUP(B34,'Base stats'!B:B,'Base stats'!E:E),Groups!A:A,Groups!AG:AG))</f>
        <v>No</v>
      </c>
      <c r="AM34" s="7" t="str">
        <f>IF(AI34="No","No",_xlfn.XLOOKUP(_xlfn.XLOOKUP(B34,'Base stats'!B:B,'Base stats'!E:E),Groups!A:A,Groups!AH:AH))</f>
        <v>No</v>
      </c>
      <c r="AN34" s="2" t="str">
        <f t="shared" si="0"/>
        <v>No</v>
      </c>
      <c r="AO34" s="2">
        <f>MROUND(IF(AND(_xlfn.XLOOKUP(B34,'Base stats'!B:B,'Base stats'!C:C)&gt;=0.5,_xlfn.XLOOKUP(B34,'Base stats'!B:B,'Base stats'!C:C)&lt;=0.8),
IF(_xlfn.XLOOKUP(B34,'Base stats'!B:B,'Base stats'!C:C)&lt;0.1,0.05,IF(_xlfn.XLOOKUP(B34,'Base stats'!B:B,'Base stats'!C:C)&lt;=70,(_xlfn.XLOOKUP(B34,'Base stats'!B:B,'Base stats'!C:C)/70)^0.426489913056526,IF(_xlfn.XLOOKUP(B34,'Base stats'!B:B,'Base stats'!C:C)&lt;=400,(_xlfn.XLOOKUP(B34,'Base stats'!B:B,'Base stats'!C:C)/70)^0.572811455315093,IF(_xlfn.XLOOKUP(B34,'Base stats'!B:B,'Base stats'!C:C)&lt;=2000,2.71391647193063*(_xlfn.XLOOKUP(B34,'Base stats'!B:B,'Base stats'!C:C)/400)^0.252459582904293,3.74314280240376*(_xlfn.XLOOKUP(B34,'Base stats'!B:B,'Base stats'!C:C)/2000)^0.357012633876913)))),
IF(_xlfn.XLOOKUP(B34,'Base stats'!B:B,'Base stats'!C:C)&lt;0.1,0.05,IF(_xlfn.XLOOKUP(B34,'Base stats'!B:B,'Base stats'!C:C)&lt;0.4,0.1,IF(_xlfn.XLOOKUP(B34,'Base stats'!B:B,'Base stats'!C:C)&lt;=70,(_xlfn.XLOOKUP(B34,'Base stats'!B:B,'Base stats'!C:C)/70)^0.445823913056526,IF(_xlfn.XLOOKUP(B34,'Base stats'!B:B,'Base stats'!C:C)&lt;=400,(_xlfn.XLOOKUP(B34,'Base stats'!B:B,'Base stats'!C:C)/70)^0.572811455315093,IF(_xlfn.XLOOKUP(B34,'Base stats'!B:B,'Base stats'!C:C)&lt;=2000,2.71391647193063*(_xlfn.XLOOKUP(B34,'Base stats'!B:B,'Base stats'!C:C)/400)^0.252459582904293,3.74314280240376*(_xlfn.XLOOKUP(B34,'Base stats'!B:B,'Base stats'!C:C)/2000)^0.357012633876913)))))),
IF(_xlfn.XLOOKUP(B34,'Base stats'!B:B,'Base stats'!C:C)&lt;0.1,0.05,IF(_xlfn.XLOOKUP(B34,'Base stats'!B:B,'Base stats'!C:C)&lt;=100,0.05,IF(_xlfn.XLOOKUP(B34,'Base stats'!B:B,'Base stats'!C:C)&lt;=250,0.1,IF(_xlfn.XLOOKUP(B34,'Base stats'!B:B,'Base stats'!C:C)&lt;=4000,0.25,0.5)))))</f>
        <v>0.65</v>
      </c>
      <c r="AP34" s="8">
        <f>MROUND(AO34*_xlfn.XLOOKUP(_xlfn.XLOOKUP(B34,'Base stats'!B:B,'Base stats'!E:E),Groups!A:A,Groups!AI:AI)*_xlfn.XLOOKUP(B34,'Base stats'!B:B,'Base stats'!Z:Z),0.05)</f>
        <v>0.65</v>
      </c>
      <c r="AQ34" s="8">
        <f>MAX(0.01,MROUND(IF(CC34="True",0.196*(AO34*100*1000)^0.889,IF(_xlfn.XLOOKUP(_xlfn.XLOOKUP(B34,'Base stats'!B:B,'Base stats'!E:E),Groups!A:A,Groups!AJ:AJ)="Bird",10.5*(AO34*100*1000)^0.681,4.82*(AO34*100*1000)^0.734))/(4.82*(1*100*1000)^0.734)/IF(AO34&lt;3.5,2,IF(AO34=3.5,1.5,1.25))*(1+0.132282374779864/(AO34^0.994035016789033+0.00905238001496948)),0.05))</f>
        <v>0.1</v>
      </c>
      <c r="AR34" s="9">
        <f>IFERROR(MROUND(_xlfn.XLOOKUP(B34,'Base stats'!B:B,'Base stats'!H:H)/IF(_xlfn.XLOOKUP(B34,'Base stats'!B:B,'Base stats'!I:I)&lt;&gt;1,(122.5/70),1.2),IF(_xlfn.XLOOKUP(B34,'Base stats'!B:B,'Base stats'!H:H)&gt;=30,5,IF(_xlfn.XLOOKUP(B34,'Base stats'!B:B,'Base stats'!H:H)&gt;=15,3,IF(_xlfn.XLOOKUP(B34,'Base stats'!B:B,'Base stats'!H:H)&gt;=10,2,1)))),"Immortal")</f>
        <v>85</v>
      </c>
      <c r="AS34" s="35" t="str">
        <f>IFERROR(IF(OR(_xlfn.XLOOKUP(B34,'Base stats'!B:B,'Base stats'!F:F)="Atypical reproduction",_xlfn.XLOOKUP(B34,'Base stats'!B:B,'Base stats'!F:F)="Lay eggs"),"Lay eggs",MIN(20,MAX(5.5,ROUND(((_xlfn.XLOOKUP(B34,'Base stats'!B:B,'Base stats'!F:F)-25)*(14.5/615) + 5.5)*2,0)/2))),"Unknown")</f>
        <v>Lay eggs</v>
      </c>
      <c r="AT34" s="8">
        <f>IF(_xlfn.XLOOKUP(B34,'Base stats'!B:B,'Base stats'!G:G)="Atypical reproduction","No",IFERROR(MAX(IF(_xlfn.XLOOKUP(B34,'Base stats'!B:B,'Base stats'!G:G)&lt;0.5,0.2,0.3),MROUND(_xlfn.XLOOKUP(B34,'Base stats'!B:B,'Base stats'!G:G)/(365/60),0.2)),"Unknown"))</f>
        <v>2.4000000000000004</v>
      </c>
      <c r="AU34" s="8">
        <f t="shared" si="1"/>
        <v>1.2000000000000002</v>
      </c>
      <c r="AV34" s="8" t="str">
        <f>IFERROR(IFERROR(MROUND(_xlfn.XLOOKUP(B34,'Base stats'!B:B,'Base stats'!J:J),0.1),"Lay eggs"),"Cannot breed")</f>
        <v>Lay eggs</v>
      </c>
      <c r="AW34" s="2" t="str">
        <f t="shared" si="2"/>
        <v>false</v>
      </c>
      <c r="AX34" s="2" t="str">
        <f>IF(_xlfn.XLOOKUP(_xlfn.XLOOKUP(Animals!B34,'Base stats'!B:B,'Base stats'!E:E),Groups!A:A,Groups!AK:AK)=1,"true","false")</f>
        <v>false</v>
      </c>
      <c r="AY34" s="25" t="str">
        <f>IF(_xlfn.XLOOKUP(B34,'Base stats'!B:B,'Base stats'!Y:Y)="Liquor","Liquor, CarnivoreAnimalStrict",IF(AND(_xlfn.XLOOKUP(B34,'Base stats'!B:B,'Base stats'!Y:Y)="Carnivore",_xlfn.XLOOKUP(_xlfn.XLOOKUP(B34,'Base stats'!B:B,'Base stats'!E:E),Groups!A:A,Groups!AJ:AJ)="Photonozoa"),"CarnivoreAnimalStrict, OvivoreAnimal",IF(_xlfn.XLOOKUP(B34,'Base stats'!B:B,'Base stats'!Y:Y)="Carnivore","CarnivoreAnimal, OvivoreAnimal",IF(_xlfn.XLOOKUP(B34,'Base stats'!B:B,'Base stats'!Y:Y)="Dendrovore","VegetarianRoughAnimal, DendrovoreAnimal",IF(_xlfn.XLOOKUP(B34,'Base stats'!B:B,'Base stats'!Y:Y)="Herbivore","VegetarianRoughAnimal",IF(_xlfn.XLOOKUP(B34,'Base stats'!B:B,'Base stats'!Y:Y)="OmnivoreRough","OmnivoreRoughAnimal, OvivoreAnimal","OmnivoreAnimal, OvivoreAnimal"))))))</f>
        <v>VegetarianRoughAnimal</v>
      </c>
      <c r="AZ34" s="2">
        <f>IF(_xlfn.XLOOKUP(_xlfn.XLOOKUP(B34,'Base stats'!B:B,'Base stats'!E:E),Groups!A:A,Groups!D:D)=1,MROUND((1-J34)*5+1,2)*IF(J34&lt;=0.4,2,1),"No")</f>
        <v>2</v>
      </c>
      <c r="BA34" s="2" t="str">
        <f>IF(AND(_xlfn.XLOOKUP(B34,'Base stats'!B:B,'Base stats'!AH:AH)="&lt;li&gt;Seal&lt;/li&gt;",G34="Odyssey"),"&lt;li&gt;AEXP_Seal&lt;/li&gt;",_xlfn.XLOOKUP(B34,'Base stats'!B:B,'Base stats'!AH:AH))</f>
        <v>No</v>
      </c>
      <c r="BB34" s="2" t="str">
        <f>_xlfn.XLOOKUP(B34,'Base stats'!B:B,'Base stats'!AG:AG)</f>
        <v>Leather_Lizard</v>
      </c>
      <c r="BC34" s="23" t="str">
        <f>_xlfn.XLOOKUP(_xlfn.XLOOKUP(B34,'Base stats'!B:B,'Base stats'!E:E),Groups!A:A,Groups!AL:AL)</f>
        <v>TurtleLike</v>
      </c>
      <c r="BD34" s="23">
        <f>MIN(1,MROUND(IF(AND(AO34&lt;0.5,_xlfn.XLOOKUP(B34,'Base stats'!B:B,'Base stats'!AA:AA)=0),0,IF(OR(_xlfn.XLOOKUP(Animals!B34,'Base stats'!B:B,'Base stats'!O:O)=2,_xlfn.XLOOKUP(_xlfn.XLOOKUP(B34,'Base stats'!B:B,'Base stats'!E:E),Groups!A:A,Groups!AN:AN)=0),0,_xlfn.XLOOKUP(_xlfn.XLOOKUP(B34,'Base stats'!B:B,'Base stats'!E:E),Groups!A:A,Groups!AN:AN)/IF(_xlfn.XLOOKUP(Animals!B34,'Base stats'!B:B,'Base stats'!O:O)=1,2,1)))+_xlfn.XLOOKUP(B34,'Base stats'!B:B,'Base stats'!AC:AC),0.005))</f>
        <v>0</v>
      </c>
      <c r="BE34" s="23">
        <f>MIN(1,MROUND(IF(AND(AO34&lt;0.5,_xlfn.XLOOKUP(B34,'Base stats'!B:B,'Base stats'!AA:AA)=0),0,IF(_xlfn.XLOOKUP(_xlfn.XLOOKUP(B34,'Base stats'!B:B,'Base stats'!E:E),Groups!A:A,Groups!AO:AO)=0,0,_xlfn.XLOOKUP(_xlfn.XLOOKUP(B34,'Base stats'!B:B,'Base stats'!E:E),Groups!A:A,Groups!AO:AO)/IF(_xlfn.XLOOKUP(Animals!B34,'Base stats'!B:B,'Base stats'!O:O)=2,3,1)))+_xlfn.XLOOKUP(B34,'Base stats'!B:B,'Base stats'!AD:AD),0.005))</f>
        <v>0</v>
      </c>
      <c r="BF34" s="2" t="str">
        <f>IF(J34&gt;0.3,"No",_xlfn.XLOOKUP(_xlfn.XLOOKUP(Animals!B34,'Base stats'!B:B,'Base stats'!E:E),Groups!A:A,Groups!AP:AP))</f>
        <v>No</v>
      </c>
      <c r="BG34" s="2" t="str">
        <f>IF(AND(J34&lt;=0.65,_xlfn.XLOOKUP(_xlfn.XLOOKUP(Animals!B34,'Base stats'!B:B,'Base stats'!E:E),Groups!A:A,Groups!AP:AP)&lt;&gt;"No",_xlfn.XLOOKUP(_xlfn.XLOOKUP(B34,'Base stats'!B:B,'Base stats'!E:E),Groups!A:A,Groups!D:D)=0),MROUND((80/3)*IF(_xlfn.XLOOKUP(B34,'Base stats'!B:B,'Base stats'!O:O)=2,0.2,AO34) + 24*(1-IF(BF34="No",0,BF34)) + 16/3, 12),"No")</f>
        <v>No</v>
      </c>
      <c r="BH34" s="2">
        <f>IF(AND(_xlfn.XLOOKUP(_xlfn.XLOOKUP(B34,'Base stats'!B:B,'Base stats'!E:E),Groups!A:A,Groups!AQ:AQ)=1,AO34&lt;=0.35),8,12)</f>
        <v>12</v>
      </c>
      <c r="BI34" s="2" t="str">
        <f>IF(_xlfn.XLOOKUP(_xlfn.XLOOKUP(B34,'Base stats'!B:B,'Base stats'!E:E),Groups!A:A,Groups!D:D)=0,_xlfn.XLOOKUP(_xlfn.XLOOKUP(B34,'Base stats'!B:B,'Base stats'!E:E),Groups!A:A,Groups!AR:AR),"None")</f>
        <v>None</v>
      </c>
      <c r="BJ34" s="2" t="str">
        <f>IF(AND(_xlfn.XLOOKUP(_xlfn.XLOOKUP(B34,'Base stats'!B:B,'Base stats'!E:E),Groups!A:A,Groups!AS:AS)=1,OR(_xlfn.XLOOKUP(B34,'Base stats'!B:B,'Base stats'!Y:Y)="Carnivore",_xlfn.XLOOKUP(B34,'Base stats'!B:B,'Base stats'!Y:Y)="Omnivore")),"true","false")</f>
        <v>false</v>
      </c>
      <c r="BK34" s="2" t="str">
        <f>IF(BJ34="true",MROUND(IF(AND(AO34&gt;0.5,OR(_xlfn.XLOOKUP(_xlfn.XLOOKUP(B34,'Base stats'!B:B,'Base stats'!E:E),Groups!A:A,Groups!AJ:AJ)="Photonozoa",_xlfn.XLOOKUP(_xlfn.XLOOKUP(B34,'Base stats'!B:B,'Base stats'!E:E),Groups!A:A,Groups!AJ:AJ)="Mammal")),Animals!AO34*1.75*IF(AW34="true",1.5,1),IF(AO34&lt;0.5,Animals!AO34*0.5,Animals!AO34)),IF(AO34&gt;2,0.5,IF(AO34&gt;0.5,0.25,0.1))),"No")</f>
        <v>No</v>
      </c>
      <c r="BL34" s="2">
        <f t="shared" si="3"/>
        <v>0</v>
      </c>
      <c r="BM34" s="25" t="str">
        <f>IF(_xlfn.XLOOKUP(B34,'Base stats'!B:B,'Base stats'!AN:AN)="Standard","No",MROUND((_xlfn.XLOOKUP(B34,'Base stats'!B:B,'Base stats'!AN:AN)/3.6)/I34,0.1))</f>
        <v>No</v>
      </c>
      <c r="BN34" s="25" t="str">
        <f t="shared" si="4"/>
        <v>false</v>
      </c>
      <c r="BO34" s="25" t="str">
        <f>IF(AND(OR(_xlfn.XLOOKUP(B34,'Base stats'!B:B,'Base stats'!Y:Y)="Carnivore",_xlfn.XLOOKUP(B34,'Base stats'!B:B,'Base stats'!Y:Y)="Omnivore",_xlfn.XLOOKUP(B34,'Base stats'!B:B,'Base stats'!Y:Y)="OmnivoreRough"),_xlfn.XLOOKUP(_xlfn.XLOOKUP(B34,'Base stats'!B:B,'Base stats'!E:E),Groups!A:A,Groups!AT:AT)=1),"true","false")</f>
        <v>false</v>
      </c>
      <c r="BP34" s="25" t="str" cm="1">
        <f t="array" ref="BP34">IF(
  _xlfn.TEXTJOIN(", ",TRUE,
    IF(AND(BJ34="true",AO34&gt;0.5,BI34&lt;&gt;"None"),"AttackTarget",""),
    IF(AND(_xlfn.XLOOKUP(_xlfn.XLOOKUP(B34,'Base stats'!B:B,'Base stats'!E:E),Groups!A:A,Groups!AJ:AJ="Mammal"),OR(_xlfn.XLOOKUP(B34,'Base stats'!B:B,'Base stats'!Y:Y)="Omnivore",_xlfn.XLOOKUP(B34,'Base stats'!B:B,'Base stats'!Y:Y)="OmnivoreRough")),"Forage",""),
    IF(BG34&lt;=36,"Comfort",""),
    IF(_xlfn.XLOOKUP(B34,'Base stats'!B:B,'Base stats'!AE:AE)&lt;&gt;"No",_xlfn.XLOOKUP(B34,'Base stats'!B:B,'Base stats'!AE:AE),"")
  ) = "",
  "No",
  _xlfn.TEXTJOIN(", ",TRUE,
    IF(AND(BJ34="true",AO34&gt;0.5,BI34&lt;&gt;"None"),"AttackTarget",""),
    IF(AND(_xlfn.XLOOKUP(_xlfn.XLOOKUP(B34,'Base stats'!B:B,'Base stats'!E:E),Groups!A:A,Groups!AJ:AJ="Mammal"),OR(_xlfn.XLOOKUP(B34,'Base stats'!B:B,'Base stats'!Y:Y)="Omnivore",_xlfn.XLOOKUP(B34,'Base stats'!B:B,'Base stats'!Y:Y)="OmnivoreRough")),"Forage",""),
    IF(BG34&lt;=36,"Comfort",""),
    IF(_xlfn.XLOOKUP(B34,'Base stats'!B:B,'Base stats'!AE:AE)&lt;&gt;"No",_xlfn.XLOOKUP(B34,'Base stats'!B:B,'Base stats'!AE:AE),"")
  )
)</f>
        <v>No</v>
      </c>
      <c r="BQ34" s="25" t="str">
        <f>IF(
   AND(
      'Base stats'!AN34="Standard",_xlfn.XLOOKUP(_xlfn.XLOOKUP(B34,'Base stats'!B:B,'Base stats'!E:E),Groups!A:A,Groups!AU:AU)=0,
      OR(
      BO34="True"
      )
   ),
   10,
   IF(
       OR(BM34&lt;&gt;"No",_xlfn.XLOOKUP(_xlfn.XLOOKUP(B34,'Base stats'!B:B,'Base stats'!E:E),Groups!A:A,Groups!AU:AU)=1),
      1,
      "No"
   )
)</f>
        <v>No</v>
      </c>
      <c r="BR34" s="9">
        <f>MROUND((1 + ((0.2*IF(OR(Q34="No",R34="No",R34=0),0,Q34/R34)
+IF(OR(V34="No",S34="No",T34="No"),0,S34/T34*(LEN(V34)-LEN(SUBSTITUTE(V34,",",""))+1))
+IF(OR(X34="No",Y34="No"),0,X34/Y34)
+IF(OR(AD34="No",AE34="No"),0,AD34/AE34)
+IF(OR(AL34="No",AI34="No",AJ34="No"),0,AI34/AJ34*(LEN(AL34)-LEN(SUBSTITUTE(AL34,",",""))+1))
)/(0.2*IF(OR(Q34="No",R34="No",R34=0),0,1)
+IF(OR(V34="No",S34="No",T34="No"),0,LEN(V34)-LEN(SUBSTITUTE(V34,",",""))+1)
+IF(OR(X34="No",Y34="No"),0,1)
+IF(OR(AD34="No",AE34="No"),0,1)
+IF(OR(AL34="No",AI34="No",AJ34="No"),0,LEN(AL34)-LEN(SUBSTITUTE(AL34,",",""))+1))*62%)* 2)*(1 + (AP34 / (IF(_xlfn.XLOOKUP(_xlfn.XLOOKUP(B34,'Base stats'!B:B,'Base stats'!E:E),Groups!A:A,Groups!AJ:AJ)="Photonozoa",0.3,1)) + _xlfn.XLOOKUP(B34,'Base stats'!B:B,'Base stats'!AV:AV) * 1.8) * 2) * 2.5 + 10 + I34 * 2,5)+IF(_xlfn.XLOOKUP(B34,'Base stats'!B:B,'Base stats'!AK:AK)=1,50,0)</f>
        <v>75</v>
      </c>
      <c r="BS34" s="8">
        <f t="shared" si="5"/>
        <v>0.2</v>
      </c>
      <c r="BT34" s="8" t="str">
        <f>_xlfn.XLOOKUP(B34,'Base stats'!B:B,'Base stats'!AF:AF)</f>
        <v>No</v>
      </c>
      <c r="BU34" s="2" t="str">
        <f>IF(AND(J34&lt;=0.95,OR(_xlfn.XLOOKUP(B34,'Base stats'!B:B,'Base stats'!AK:AK)=1,_xlfn.XLOOKUP(B34,'Base stats'!B:B,'Base stats'!Y:Y)="Carnivore",_xlfn.XLOOKUP(B34,'Base stats'!B:B,'Base stats'!Y:Y)="Omnivore",BE34&gt;0.1)),"true","false")</f>
        <v>false</v>
      </c>
      <c r="BV34" s="2" t="str">
        <f>IF(_xlfn.XLOOKUP(B34,'Base stats'!B:B,'Base stats'!AI:AI)=1,"true","false")</f>
        <v>false</v>
      </c>
      <c r="BW34" s="25" t="str">
        <f>IF(E34="BaseInsect","AnimalInsect",
IF(J34&gt;0.95,"AnimalExotic",
_xlfn.TEXTJOIN(", ",TRUE,
IF(OR(_xlfn.XLOOKUP(B34,'Base stats'!B:B,'Base stats'!AM:AM)=1,AND(_xlfn.XLOOKUP(B34,'Base stats'!B:B,'Base stats'!O:O)=0,_xlfn.XLOOKUP(_xlfn.XLOOKUP(B34,'Base stats'!B:B,'Base stats'!E:E),Groups!A:A,Groups!B:B)&gt;0)),"AnimalUncommon","AnimalCommon"),
IF(AND(_xlfn.XLOOKUP(B34,'Base stats'!B:B,'Base stats'!O:O)=2,_xlfn.XLOOKUP(_xlfn.XLOOKUP(B34,'Base stats'!B:B,'Base stats'!E:E),Groups!A:A,Groups!D:D)=0),"AnimalPet",IF(AND(_xlfn.XLOOKUP(B34,'Base stats'!B:B,'Base stats'!O:O)&lt;&gt;0,_xlfn.XLOOKUP(_xlfn.XLOOKUP(B34,'Base stats'!B:B,'Base stats'!E:E),Groups!A:A,Groups!D:D)&lt;&gt;0),"AnimalFarm","")),
IF(OR(_xlfn.XLOOKUP(B34,'Base stats'!B:B,'Base stats'!AK:AK)=1,AND(BI34&lt;&gt;"None",BR34&gt;=60),ISNUMBER(SEARCH("Attack target",BP34))),"AnimalFighter","")
)))</f>
        <v>AnimalUncommon</v>
      </c>
      <c r="BX34" s="25" t="str">
        <f>IF(G34="None",TRIM(
SUBSTITUTE(
IF(COUNTIF(Biomes!B$2:B$259,"="&amp;$C34)&gt;0,Biomes!B$1&amp;", ","")&amp;
IF(COUNTIF(Biomes!C$2:C$259,"="&amp;$C34)&gt;0,Biomes!C$1&amp;", ","")&amp;
IF(COUNTIF(Biomes!D$2:D$259,"="&amp;$C34)&gt;0,Biomes!D$1&amp;", ","")&amp;
IF(COUNTIF(Biomes!F$2:F$259,"="&amp;$C34)&gt;0,Biomes!F$1&amp;", ","")&amp;
IF(COUNTIF(Biomes!G$2:G$259,"="&amp;$C34)&gt;0,Biomes!G$1&amp;", ","")&amp;
IF(COUNTIF(Biomes!H$2:H$259,"="&amp;$C34)&gt;0,Biomes!H$1&amp;", ","")&amp;
IF(COUNTIF(Biomes!I$2:I$259,"="&amp;$C34)&gt;0,Biomes!I$1&amp;", ","")&amp;
IF(COUNTIF(Biomes!J$2:J$259,"="&amp;$C34)&gt;0,Biomes!J$1&amp;", ","")&amp;
IF(COUNTIF(Biomes!M$2:M$259,"="&amp;$C34)&gt;0,Biomes!M$1&amp;", ","")&amp;
IF(COUNTIF(Biomes!N$2:N$259,"="&amp;$C34)&gt;0,Biomes!N$1&amp;", ","")&amp;
IF(COUNTIF(Biomes!O$2:O$259,"="&amp;$C34)&gt;0,Biomes!O$1&amp;", ","")&amp;
IF(COUNTIF(Biomes!P$2:P$259,"="&amp;$C34)&gt;0,Biomes!P$1&amp;", ","")&amp;
IF(COUNTIF(Biomes!K$2:K$259,"="&amp;$C34)&gt;0,Biomes!K$1&amp;", ","")&amp;
IF(COUNTIF(Biomes!Q$3:Q$259,"="&amp;$C34)&gt;0,Biomes!Q$1&amp;", ","")&amp;
IF(COUNTIF(Biomes!L$2:L$259,"="&amp;$C34)&gt;0,Biomes!L$1&amp;", ","")&amp;
IF(COUNTIF(Biomes!E$2:E$259,"="&amp;$C34)&gt;0,Biomes!E$1&amp;", ","")&amp;IF(COUNTIF(Biomes!S$2:S$259,"="&amp;$C34)&gt;0,Biomes!S$1&amp;", ","")&amp;
IF(COUNTIF(Biomes!R$2:R$259,"="&amp;$C34)&gt;0,Biomes!R$1&amp;", ",""),", ","")
),_xlfn.XLOOKUP(B34,B:B,BX:BX))</f>
        <v>TropicalRainforest TropicalSwamp Glowforest</v>
      </c>
      <c r="BY34" s="25" t="str">
        <f>IF(_xlfn.XLOOKUP(B34,'Base stats'!B:B,'Base stats'!AJ:AJ)=1,"true","false")</f>
        <v>false</v>
      </c>
      <c r="BZ34" s="25">
        <f>IF(_xlfn.XLOOKUP(B34,'Base stats'!B:B,'Base stats'!N:N)=1,"No",MAX(0.001,MIN(MROUND(IF(AND(BJ34="True",CC34="False"),POWER(10,3.47*LOG10(_xlfn.XLOOKUP(B34,'Base stats'!B:B,'Base stats'!C:C)*1000)^-0.96),POWER(10,4.15*LOG10(_xlfn.XLOOKUP(B34,'Base stats'!B:B,'Base stats'!C:C)*1000)^-0.73))*IF(_xlfn.XLOOKUP(B34,'Base stats'!B:B,'Base stats'!AK:AK)=1,0.5,1)*IF(_xlfn.XLOOKUP(B34,'Base stats'!B:B,'Base stats'!AM:AM)=1,0.1,1)/100,IF(_xlfn.XLOOKUP(B34,'Base stats'!B:B,'Base stats'!AM:AM)=1,0.001,0.025)),0.5)))</f>
        <v>0.25</v>
      </c>
      <c r="CA34" s="25" t="str">
        <f>IF(P34="Standard","No",MAX(0.001,MIN(MROUND(IF(AND(BJ34="True",CC34="False"),POWER(10,3.47*LOG10(_xlfn.XLOOKUP(B34,'Base stats'!B:B,'Base stats'!C:C)*1000)^-0.96),POWER(10,4.15*LOG10(_xlfn.XLOOKUP(B34,'Base stats'!B:B,'Base stats'!C:C)*1000)^-0.73))*IF(_xlfn.XLOOKUP(B34,'Base stats'!B:B,'Base stats'!AM:AM)=1,0.1,1)*_xlfn.XLOOKUP(B34,'Base stats'!B:B,'Base stats'!R:R)/100,IF(_xlfn.XLOOKUP(B34,'Base stats'!B:B,'Base stats'!AM:AM)=1,0.001,0.025)),0.5)))</f>
        <v>No</v>
      </c>
      <c r="CB34" s="25" t="str">
        <f>IF(_xlfn.XLOOKUP(_xlfn.XLOOKUP(B34,'Base stats'!B:B,'Base stats'!E:E),Groups!A:A,Groups!AJ:AJ)="Mammal","True","False")</f>
        <v>False</v>
      </c>
      <c r="CC34" s="25" t="str">
        <f>IF(OR(_xlfn.XLOOKUP(_xlfn.XLOOKUP(B34,'Base stats'!B:B,'Base stats'!E:E),Groups!A:A,Groups!AJ:AJ)="Reptile",_xlfn.XLOOKUP(_xlfn.XLOOKUP(B34,'Base stats'!B:B,'Base stats'!E:E),Groups!A:A,Groups!AJ:AJ)="Amphibian",_xlfn.XLOOKUP(_xlfn.XLOOKUP(B34,'Base stats'!B:B,'Base stats'!E:E),Groups!A:A,Groups!AJ:AJ)="Invertebrate"),"True","False")</f>
        <v>True</v>
      </c>
      <c r="CD34" s="25" t="str">
        <f t="shared" si="6"/>
        <v>False</v>
      </c>
      <c r="CE34" s="25" t="str">
        <f>IF(_xlfn.XLOOKUP(_xlfn.XLOOKUP(B34,'Base stats'!B:B,'Base stats'!E:E),Groups!A:A,Groups!AX:AX),"True","False")</f>
        <v>False</v>
      </c>
      <c r="CF34" s="25" t="str">
        <f>IF(_xlfn.XLOOKUP(_xlfn.XLOOKUP(B34,'Base stats'!B:B,'Base stats'!E:E),Groups!A:A,Groups!AY:AY),"True","False")</f>
        <v>False</v>
      </c>
      <c r="CG34" s="25" t="str">
        <f>IF(_xlfn.XLOOKUP(_xlfn.XLOOKUP(B34,'Base stats'!B:B,'Base stats'!E:E),Groups!A:A,Groups!AW:AW),"True","False")</f>
        <v>False</v>
      </c>
      <c r="CH34" s="25" t="str">
        <f>IF(
OR(
_xlfn.XLOOKUP(_xlfn.XLOOKUP(B34,'Base stats'!B:B,'Base stats'!E:E),Groups!A:A,Groups!AZ:AZ)=0,
AND(
_xlfn.XLOOKUP(B34,'Base stats'!B:B,'Base stats'!Y:Y)&lt;&gt;"Carnivore",
_xlfn.XLOOKUP(B34,'Base stats'!B:B,'Base stats'!Y:Y)&lt;&gt;"Omnivore",
_xlfn.XLOOKUP(B34,'Base stats'!B:B,'Base stats'!Y:Y)&lt;&gt;"OmnivoreRough"
)
),
"No",
IF(
_xlfn.XLOOKUP(_xlfn.XLOOKUP(B34,'Base stats'!B:B,'Base stats'!E:E),Groups!A:A,Groups!AZ:AZ)=1,
"Flesh",
IF(
_xlfn.XLOOKUP(_xlfn.XLOOKUP(B34,'Base stats'!B:B,'Base stats'!E:E),Groups!A:A,Groups!AZ:AZ)=2,
"Bone",
""
)
)
)</f>
        <v>No</v>
      </c>
      <c r="CI34" s="25" t="str">
        <f>IF(_xlfn.XLOOKUP(_xlfn.XLOOKUP(B34,'Base stats'!B:B,'Base stats'!E:E),Groups!A:A,Groups!BB:BB),"True","False")</f>
        <v>False</v>
      </c>
      <c r="CJ34" s="25" t="str">
        <f>IF(_xlfn.XLOOKUP(_xlfn.XLOOKUP(B34,'Base stats'!B:B,'Base stats'!E:E),Groups!A:A,Groups!BA:BA),"True","False")</f>
        <v>False</v>
      </c>
    </row>
    <row r="35" spans="1:88" ht="16.5" thickTop="1" thickBot="1" x14ac:dyDescent="0.3">
      <c r="A35" s="26" t="str">
        <f>_xlfn.XLOOKUP(B35,'Base stats'!B:B,'Base stats'!A:A)</f>
        <v>Rat</v>
      </c>
      <c r="B35" s="6" t="s">
        <v>134</v>
      </c>
      <c r="C35" s="28" t="s">
        <v>710</v>
      </c>
      <c r="D35" s="28" t="s">
        <v>45</v>
      </c>
      <c r="E35" s="28" t="s">
        <v>673</v>
      </c>
      <c r="F35" s="28" t="s">
        <v>673</v>
      </c>
      <c r="G35" s="28" t="s">
        <v>673</v>
      </c>
      <c r="H35" s="2">
        <f>MROUND((
  (IF(AND(_xlfn.XLOOKUP(B35,'Base stats'!B:B,'Base stats'!AL:AL)=0,BI35="None",_xlfn.XLOOKUP(_xlfn.XLOOKUP(B35,'Base stats'!B:B,'Base stats'!E:E),Groups!A:A,Groups!B:B)=0), (18 + BR35 * 2.7) * 0.5,
    IF(AND(_xlfn.XLOOKUP(B35,'Base stats'!B:B,'Base stats'!AL:AL)=0,OR(AO35&lt;0.55,AND(BI35="Intermediate",_xlfn.XLOOKUP(_xlfn.XLOOKUP(B35,'Base stats'!B:B,'Base stats'!E:E),Groups!A:A,Groups!B:B)&lt;2))), (18 + BR35 * 2.7),
      IF(OR(BI35="Advanced",_xlfn.XLOOKUP(B35,'Base stats'!B:B,'Base stats'!AL:AL)=1,_xlfn.XLOOKUP(_xlfn.XLOOKUP(B35,'Base stats'!B:B,'Base stats'!E:E),Groups!A:A,Groups!B:B)=2), (18 + BR35 * 2.7) + 250, (18 + BR35 * 2.7))
    )
  ))
  + AO35 * 80
  + IF(COUNTIF(EggMilk!K$2:K$998, A35) &gt; 0, 125, 0)
  + IF(COUNTIF(EggMilk!P$2:P$998, A35) &gt; 0, 90, 0)
  + IF(COUNTIF(EggMilk!A$2:A$998, A35) &gt; 0, 90, 0)
)
* (0.8 + 0.4 * J35)
* 0.75,25)</f>
        <v>50</v>
      </c>
      <c r="I35" s="2">
        <f>MROUND(ROUNDDOWN(_xlfn.XLOOKUP(B35,'Base stats'!B:B,'Base stats'!L:L)/3.6/(23.3/11),1),0.5)</f>
        <v>1.5</v>
      </c>
      <c r="J35" s="2">
        <f>IF(OR(_xlfn.XLOOKUP(B35,'Base stats'!B:B,'Base stats'!AB:AB)=1,_xlfn.XLOOKUP(_xlfn.XLOOKUP(B35,'Base stats'!B:B,'Base stats'!E:E),Groups!A:A,Groups!C:C)="Untamable"),1,IF(_xlfn.XLOOKUP(B35,'Base stats'!B:B,'Base stats'!AL:AL)=1,0.99,MIN(MROUND((1-0.6282*EXP(-0.459*AO35))*_xlfn.XLOOKUP(_xlfn.XLOOKUP(B35,'Base stats'!B:B,'Base stats'!E:E),Groups!A:A,Groups!C:C)*IF(_xlfn.XLOOKUP(B35,'Base stats'!B:B,'Base stats'!O:O)=1,0.5,IF(_xlfn.XLOOKUP(B35,'Base stats'!B:B,'Base stats'!O:O)=2,0,1)),0.05),IF(AO35&gt;3.5,0.985,0.95))))</f>
        <v>0.5</v>
      </c>
      <c r="K35" s="2">
        <f>ROUNDUP(AO35*_xlfn.XLOOKUP(_xlfn.XLOOKUP(B35,'Base stats'!B:B,'Base stats'!E:E),Groups!A:A,Groups!E:E),0)</f>
        <v>1</v>
      </c>
      <c r="L35" s="2">
        <f>IF(OR(_xlfn.XLOOKUP(_xlfn.XLOOKUP(B35,'Base stats'!B:B,'Base stats'!E:E),Groups!A:A,Groups!F:F)=2,ISNUMBER(SEARCH("SeaIce",BX35)),ISNUMBER(SEARCH("IceSheet",BX35))),-50,IF(OR(ISNUMBER(SEARCH("GlacialPlain",BX35)),ISNUMBER(SEARCH("Tundra",BX35))),-40,IF(OR(ISNUMBER(SEARCH("Alpine",BX35)),ISNUMBER(SEARCH("BorealForest",BX35)),ISNUMBER(SEARCH("ColdBog",BX35))),-30,IF(OR(ISNUMBER(SEARCH("TemperateForest",BX35)),ISNUMBER(SEARCH("TemperateSwamp",BX35))),-20,IF(_xlfn.XLOOKUP(_xlfn.XLOOKUP(B35,'Base stats'!B:B,'Base stats'!E:E),Groups!A:A,Groups!F:F)=1,-15,IF(OR(ISNUMBER(SEARCH("Desert",BX35)),ISNUMBER(SEARCH("ExtremeDesert",BX35))),-10,IF(OR(ISNUMBER(SEARCH("Grasslands",BX35)),ISNUMBER(SEARCH("TropicalRainforest",BX35)),ISNUMBER(SEARCH("TropicalSwamp",BX35))),10,0)))))))-IF(CC35="False",MIN(IFERROR(MAX(MROUND(LOG10(_xlfn.XLOOKUP(B35,'Base stats'!B:B,'Base stats'!C:C)^(2/3))*10,5),5),5),30))-_xlfn.XLOOKUP(B35,'Base stats'!B:B,'Base stats'!P:P)+IF(CC35="True",5,0)</f>
        <v>-25</v>
      </c>
      <c r="M35" s="2">
        <f>IF(OR(_xlfn.XLOOKUP(_xlfn.XLOOKUP(B35,'Base stats'!B:B,'Base stats'!E:E),Groups!A:A,Groups!G:G)=2,ISNUMBER(SEARCH("Desert",BX35)),ISNUMBER(SEARCH("ExtremeDesert",BX35)),ISNUMBER(SEARCH("LavaField",BX35))),50,IF(ISNUMBER(SEARCH("Grasslands",BX35)),45,IF(OR(_xlfn.XLOOKUP(_xlfn.XLOOKUP(B35,'Base stats'!B:B,'Base stats'!E:E),Groups!A:A,Groups!G:G)=1,ISNUMBER(SEARCH("TropicalRainforest",BX35)),ISNUMBER(SEARCH("TropicalSwamp",BX35))),40,IF(OR(ISNUMBER(SEARCH("TemperateForest",BX35)),ISNUMBER(SEARCH("TemperateSwamp",BX35))),35,IF(OR(ISNUMBER(SEARCH("Alpine",BX35)),ISNUMBER(SEARCH("BorealForest",BX35)),ISNUMBER(SEARCH("ColdBog",BX35))),30,IF(ISNUMBER(OR(ISNUMBER(SEARCH("GlacialPlain",BX35)),SEARCH("Tundra",BX35))),25,IF(OR(ISNUMBER(SEARCH("SeaIce",BX35)),ISNUMBER(SEARCH("IceSheet",BX35)),ISNUMBER(SEARCH("TropicalSwamp",BX35))),10,35)))))))+_xlfn.XLOOKUP(B35,'Base stats'!B:B,'Base stats'!Q:Q)</f>
        <v>50</v>
      </c>
      <c r="N35" s="8" t="str">
        <f>IF(
_xlfn.XLOOKUP(
_xlfn.XLOOKUP(B35,'Base stats'!B:B,'Base stats'!E:E),
Groups!A:A,
Groups!L:L
)=1,
MIN(
MROUND(
IF(
_xlfn.XLOOKUP(B35,'Animals CE'!B:B,'Animals CE'!Z:Z)&lt;=1.5,
_xlfn.XLOOKUP(B35,'Animals CE'!B:B,'Animals CE'!Z:Z)/2+0.05,
0.8+
(_xlfn.XLOOKUP(B35,'Animals CE'!B:B,'Animals CE'!Z:Z)-1.5)
*0.02
),
0.05
),
200%
),
"No"
)</f>
        <v>No</v>
      </c>
      <c r="O35" s="8" t="str">
        <f>IF(
_xlfn.XLOOKUP(
_xlfn.XLOOKUP(B35,'Base stats'!B:B,'Base stats'!E:E),
Groups!A:A,
Groups!L:L
)=1,
MIN(
MROUND(
IF(
_xlfn.XLOOKUP(B35,'Animals CE'!B:B,'Animals CE'!AA:AA)&lt;=1.5,
_xlfn.XLOOKUP(B35,'Animals CE'!B:B,'Animals CE'!AA:AA)/2+0.05,
0.8+
(_xlfn.XLOOKUP(B35,'Animals CE'!B:B,'Animals CE'!AA:AA)-1.5)
*0.02
),
0.05
),
200%
),
"No"
)</f>
        <v>No</v>
      </c>
      <c r="P35" s="2">
        <f>_xlfn.XLOOKUP(B35,'Base stats'!B:B,'Base stats'!R:R)</f>
        <v>0.8</v>
      </c>
      <c r="Q35" s="13">
        <f>MROUND((LOG10(_xlfn.XLOOKUP(B35,'Base stats'!B:B,'Base stats'!AR:AR))*(AO35^0.5)+(_xlfn.XLOOKUP(B35,'Base stats'!B:B,'Base stats'!AR:AR)/1000)^(2/3)+_xlfn.XLOOKUP(B35,'Base stats'!B:B,'Base stats'!BA:BA)/2)+0.5,0.5)</f>
        <v>1</v>
      </c>
      <c r="R35" s="7">
        <f>IF(Q35="No","No",MAX(1,MROUND(_xlfn.XLOOKUP(B35,'Base stats'!B:B,'Base stats'!C:C)^0.165,0.05)))</f>
        <v>1</v>
      </c>
      <c r="S35" s="13" t="str">
        <f>IF(_xlfn.XLOOKUP(_xlfn.XLOOKUP(B35,'Base stats'!B:B,'Base stats'!E:E),Groups!A:A,Groups!P:P)=0,"No",MROUND((LOG10(_xlfn.XLOOKUP(B35,'Base stats'!B:B,'Base stats'!AS:AS))*(AO35^0.5)+(_xlfn.XLOOKUP(B35,'Base stats'!B:B,'Base stats'!AS:AS)/1000)^(2/3)+_xlfn.XLOOKUP(B35,'Base stats'!B:B,'Base stats'!BA:BA))+_xlfn.XLOOKUP(B35,'Base stats'!B:B,'Base stats'!AY:AY)+0.5,0.5))</f>
        <v>No</v>
      </c>
      <c r="T35" s="7" t="str">
        <f>IF(S35="No","No",MAX(_xlfn.XLOOKUP(_xlfn.XLOOKUP(B35,'Base stats'!B:B,'Base stats'!E:E),Groups!A:A,Groups!Q:Q),MROUND(_xlfn.XLOOKUP(_xlfn.XLOOKUP(B35,'Base stats'!B:B,'Base stats'!E:E),Groups!A:A,Groups!Q:Q)*_xlfn.XLOOKUP(B35,'Base stats'!B:B,'Base stats'!C:C)^0.165,0.05)))</f>
        <v>No</v>
      </c>
      <c r="U35" s="7" t="str">
        <f>IF(S35="No","No",_xlfn.XLOOKUP(_xlfn.XLOOKUP(B35,'Base stats'!B:B,'Base stats'!E:E),Groups!A:A,Groups!R:R))</f>
        <v>No</v>
      </c>
      <c r="V35" s="7" t="str">
        <f>IF(S35="No","No",_xlfn.XLOOKUP(_xlfn.XLOOKUP(B35,'Base stats'!B:B,'Base stats'!E:E),Groups!A:A,Groups!S:S))</f>
        <v>No</v>
      </c>
      <c r="W35" s="7" t="str">
        <f>IF(S35="No","No",_xlfn.XLOOKUP(_xlfn.XLOOKUP(B35,'Base stats'!B:B,'Base stats'!E:E),Groups!A:A,Groups!T:T))</f>
        <v>No</v>
      </c>
      <c r="X35" s="13" t="str">
        <f>IF(_xlfn.XLOOKUP(B35,'Base stats'!B:B,'Base stats'!W:W)="No","No",MROUND((LOG10(_xlfn.XLOOKUP(B35,'Base stats'!B:B,'Base stats'!AU:AU))*(AO35^0.5)+(_xlfn.XLOOKUP(B35,'Base stats'!B:B,'Base stats'!AU:AU)/1000)^(2/3)+_xlfn.XLOOKUP(B35,'Base stats'!B:B,'Base stats'!AZ:AZ))+0.5+IF(_xlfn.XLOOKUP(_xlfn.XLOOKUP(B35,'Base stats'!B:B,'Base stats'!E:E),Groups!A:A,Groups!U:U)&lt;&gt;3,_xlfn.XLOOKUP(B35,'Base stats'!B:B,'Base stats'!BA:BA),0),0.5))</f>
        <v>No</v>
      </c>
      <c r="Y35" s="7" t="str">
        <f>IF(X35="No","No",MAX(_xlfn.XLOOKUP(_xlfn.XLOOKUP(B35,'Base stats'!B:B,'Base stats'!E:E),Groups!A:A,Groups!V:V),MROUND(_xlfn.XLOOKUP(_xlfn.XLOOKUP(B35,'Base stats'!B:B,'Base stats'!E:E),Groups!A:A,Groups!V:V)*_xlfn.XLOOKUP(B35,'Base stats'!B:B,'Base stats'!C:C)^0.165,0.05)))</f>
        <v>No</v>
      </c>
      <c r="Z35" s="7" t="str">
        <f>IF(X35="No","No",_xlfn.XLOOKUP(_xlfn.XLOOKUP(B35,'Base stats'!B:B,'Base stats'!E:E),Groups!A:A,Groups!W:W))</f>
        <v>No</v>
      </c>
      <c r="AA35" s="7" t="str">
        <f>IF(X35="No","No",_xlfn.XLOOKUP(_xlfn.XLOOKUP(B35,'Base stats'!B:B,'Base stats'!E:E),Groups!A:A,Groups!X:X))</f>
        <v>No</v>
      </c>
      <c r="AB35" s="7" t="str">
        <f>IF(X35="No","No",_xlfn.XLOOKUP(_xlfn.XLOOKUP(B35,'Base stats'!B:B,'Base stats'!E:E),Groups!A:A,Groups!Y:Y))</f>
        <v>No</v>
      </c>
      <c r="AC35" s="7" t="str">
        <f>_xlfn.XLOOKUP(Animals!B35,'Base stats'!B:B,'Base stats'!X:X)</f>
        <v>False</v>
      </c>
      <c r="AD35" s="13">
        <f>IF(_xlfn.XLOOKUP(B35,'Base stats'!B:B,'Base stats'!AT:AT)="No","No",MROUND((LOG10(_xlfn.XLOOKUP(B35,'Base stats'!B:B,'Base stats'!AT:AT))*(AO35^0.75)+(_xlfn.XLOOKUP(B35,'Base stats'!B:B,'Base stats'!AT:AT)/1000)^(2/3)+_xlfn.XLOOKUP(B35,'Base stats'!B:B,'Base stats'!AX:AX)+_xlfn.XLOOKUP(B35,'Base stats'!B:B,'Base stats'!BA:BA))+0.5,0.5))</f>
        <v>1.5</v>
      </c>
      <c r="AE35" s="7">
        <f>IF(AD35="No","No",MAX(_xlfn.XLOOKUP(_xlfn.XLOOKUP(B35,'Base stats'!B:B,'Base stats'!E:E),Groups!A:A,Groups!Z:Z),MROUND(_xlfn.XLOOKUP(_xlfn.XLOOKUP(B35,'Base stats'!B:B,'Base stats'!E:E),Groups!A:A,Groups!Z:Z)*_xlfn.XLOOKUP(B35,'Base stats'!B:B,'Base stats'!C:C)^0.165,0.05)))</f>
        <v>0.9</v>
      </c>
      <c r="AF35" s="7" t="str">
        <f>IF(AD35="No","No",_xlfn.XLOOKUP(_xlfn.XLOOKUP(B35,'Base stats'!B:B,'Base stats'!E:E),Groups!A:A,Groups!AA:AA))</f>
        <v>Teeth</v>
      </c>
      <c r="AG35" s="7" t="str">
        <f>IF(AD35="No","No",_xlfn.XLOOKUP(_xlfn.XLOOKUP(B35,'Base stats'!B:B,'Base stats'!E:E),Groups!A:A,Groups!AB:AB))</f>
        <v>Incisors</v>
      </c>
      <c r="AH35" s="7" t="str">
        <f>IF(AD35="No","No",_xlfn.XLOOKUP(_xlfn.XLOOKUP(B35,'Base stats'!B:B,'Base stats'!E:E),Groups!A:A,Groups!AC:AC))</f>
        <v>Bite</v>
      </c>
      <c r="AI35" s="13" t="str">
        <f>IF(_xlfn.XLOOKUP(_xlfn.XLOOKUP(B35,'Base stats'!B:B,'Base stats'!E:E),Groups!A:A,Groups!AD:AD)=0,"No",MROUND((LOG10(_xlfn.XLOOKUP(B35,'Base stats'!B:B,'Base stats'!AS:AS))*(AO35^0.75)+(_xlfn.XLOOKUP(B35,'Base stats'!B:B,'Base stats'!AS:AS)/1000)^(2/3)+_xlfn.XLOOKUP(B35,'Base stats'!B:B,'Base stats'!AY:AY)+_xlfn.XLOOKUP(B35,'Base stats'!B:B,'Base stats'!BA:BA))+0.5,0.5))</f>
        <v>No</v>
      </c>
      <c r="AJ35" s="7" t="str">
        <f>IF(AI35="No","No",MAX(_xlfn.XLOOKUP(_xlfn.XLOOKUP(B35,'Base stats'!B:B,'Base stats'!E:E),Groups!A:A,Groups!AE:AE),MROUND(_xlfn.XLOOKUP(_xlfn.XLOOKUP(B35,'Base stats'!B:B,'Base stats'!E:E),Groups!A:A,Groups!AE:AE)*IF(_xlfn.XLOOKUP(_xlfn.XLOOKUP(B35,'Base stats'!B:B,'Base stats'!E:E),Groups!A:A,Groups!AJ:AJ)="Photonozoa",0.6,1)*_xlfn.XLOOKUP(B35,'Base stats'!B:B,'Base stats'!C:C)^0.165,0.05)))</f>
        <v>No</v>
      </c>
      <c r="AK35" s="7" t="str">
        <f>IF(AI35="No","No",_xlfn.XLOOKUP(_xlfn.XLOOKUP(B35,'Base stats'!B:B,'Base stats'!E:E),Groups!A:A,Groups!AF:AF))</f>
        <v>No</v>
      </c>
      <c r="AL35" s="7" t="str">
        <f>IF(AI35="No","No",_xlfn.XLOOKUP(_xlfn.XLOOKUP(B35,'Base stats'!B:B,'Base stats'!E:E),Groups!A:A,Groups!AG:AG))</f>
        <v>No</v>
      </c>
      <c r="AM35" s="7" t="str">
        <f>IF(AI35="No","No",_xlfn.XLOOKUP(_xlfn.XLOOKUP(B35,'Base stats'!B:B,'Base stats'!E:E),Groups!A:A,Groups!AH:AH))</f>
        <v>No</v>
      </c>
      <c r="AN35" s="2" t="str">
        <f t="shared" si="0"/>
        <v>No</v>
      </c>
      <c r="AO35" s="2">
        <f>MROUND(IF(AND(_xlfn.XLOOKUP(B35,'Base stats'!B:B,'Base stats'!C:C)&gt;=0.5,_xlfn.XLOOKUP(B35,'Base stats'!B:B,'Base stats'!C:C)&lt;=0.8),
IF(_xlfn.XLOOKUP(B35,'Base stats'!B:B,'Base stats'!C:C)&lt;0.1,0.05,IF(_xlfn.XLOOKUP(B35,'Base stats'!B:B,'Base stats'!C:C)&lt;=70,(_xlfn.XLOOKUP(B35,'Base stats'!B:B,'Base stats'!C:C)/70)^0.426489913056526,IF(_xlfn.XLOOKUP(B35,'Base stats'!B:B,'Base stats'!C:C)&lt;=400,(_xlfn.XLOOKUP(B35,'Base stats'!B:B,'Base stats'!C:C)/70)^0.572811455315093,IF(_xlfn.XLOOKUP(B35,'Base stats'!B:B,'Base stats'!C:C)&lt;=2000,2.71391647193063*(_xlfn.XLOOKUP(B35,'Base stats'!B:B,'Base stats'!C:C)/400)^0.252459582904293,3.74314280240376*(_xlfn.XLOOKUP(B35,'Base stats'!B:B,'Base stats'!C:C)/2000)^0.357012633876913)))),
IF(_xlfn.XLOOKUP(B35,'Base stats'!B:B,'Base stats'!C:C)&lt;0.1,0.05,IF(_xlfn.XLOOKUP(B35,'Base stats'!B:B,'Base stats'!C:C)&lt;0.4,0.1,IF(_xlfn.XLOOKUP(B35,'Base stats'!B:B,'Base stats'!C:C)&lt;=70,(_xlfn.XLOOKUP(B35,'Base stats'!B:B,'Base stats'!C:C)/70)^0.445823913056526,IF(_xlfn.XLOOKUP(B35,'Base stats'!B:B,'Base stats'!C:C)&lt;=400,(_xlfn.XLOOKUP(B35,'Base stats'!B:B,'Base stats'!C:C)/70)^0.572811455315093,IF(_xlfn.XLOOKUP(B35,'Base stats'!B:B,'Base stats'!C:C)&lt;=2000,2.71391647193063*(_xlfn.XLOOKUP(B35,'Base stats'!B:B,'Base stats'!C:C)/400)^0.252459582904293,3.74314280240376*(_xlfn.XLOOKUP(B35,'Base stats'!B:B,'Base stats'!C:C)/2000)^0.357012633876913)))))),
IF(_xlfn.XLOOKUP(B35,'Base stats'!B:B,'Base stats'!C:C)&lt;0.1,0.05,IF(_xlfn.XLOOKUP(B35,'Base stats'!B:B,'Base stats'!C:C)&lt;=100,0.05,IF(_xlfn.XLOOKUP(B35,'Base stats'!B:B,'Base stats'!C:C)&lt;=250,0.1,IF(_xlfn.XLOOKUP(B35,'Base stats'!B:B,'Base stats'!C:C)&lt;=4000,0.25,0.5)))))</f>
        <v>0.1</v>
      </c>
      <c r="AP35" s="8">
        <f>MROUND(AO35*_xlfn.XLOOKUP(_xlfn.XLOOKUP(B35,'Base stats'!B:B,'Base stats'!E:E),Groups!A:A,Groups!AI:AI)*_xlfn.XLOOKUP(B35,'Base stats'!B:B,'Base stats'!Z:Z),0.05)</f>
        <v>0.1</v>
      </c>
      <c r="AQ35" s="8">
        <f>MAX(0.01,MROUND(IF(CC35="True",0.196*(AO35*100*1000)^0.889,IF(_xlfn.XLOOKUP(_xlfn.XLOOKUP(B35,'Base stats'!B:B,'Base stats'!E:E),Groups!A:A,Groups!AJ:AJ)="Bird",10.5*(AO35*100*1000)^0.681,4.82*(AO35*100*1000)^0.734))/(4.82*(1*100*1000)^0.734)/IF(AO35&lt;3.5,2,IF(AO35=3.5,1.5,1.25))*(1+0.132282374779864/(AO35^0.994035016789033+0.00905238001496948)),0.05))</f>
        <v>0.2</v>
      </c>
      <c r="AR35" s="9">
        <f>IFERROR(MROUND(_xlfn.XLOOKUP(B35,'Base stats'!B:B,'Base stats'!H:H)/IF(_xlfn.XLOOKUP(B35,'Base stats'!B:B,'Base stats'!I:I)&lt;&gt;1,(122.5/70),1.2),IF(_xlfn.XLOOKUP(B35,'Base stats'!B:B,'Base stats'!H:H)&gt;=30,5,IF(_xlfn.XLOOKUP(B35,'Base stats'!B:B,'Base stats'!H:H)&gt;=15,3,IF(_xlfn.XLOOKUP(B35,'Base stats'!B:B,'Base stats'!H:H)&gt;=10,2,1)))),"Immortal")</f>
        <v>2</v>
      </c>
      <c r="AS35" s="35">
        <f>IFERROR(IF(OR(_xlfn.XLOOKUP(B35,'Base stats'!B:B,'Base stats'!F:F)="Atypical reproduction",_xlfn.XLOOKUP(B35,'Base stats'!B:B,'Base stats'!F:F)="Lay eggs"),"Lay eggs",MIN(20,MAX(5.5,ROUND(((_xlfn.XLOOKUP(B35,'Base stats'!B:B,'Base stats'!F:F)-25)*(14.5/615) + 5.5)*2,0)/2))),"Unknown")</f>
        <v>5.5</v>
      </c>
      <c r="AT35" s="8">
        <f>IF(_xlfn.XLOOKUP(B35,'Base stats'!B:B,'Base stats'!G:G)="Atypical reproduction","No",IFERROR(MAX(IF(_xlfn.XLOOKUP(B35,'Base stats'!B:B,'Base stats'!G:G)&lt;0.5,0.2,0.3),MROUND(_xlfn.XLOOKUP(B35,'Base stats'!B:B,'Base stats'!G:G)/(365/60),0.2)),"Unknown"))</f>
        <v>0.2</v>
      </c>
      <c r="AU35" s="8">
        <f t="shared" si="1"/>
        <v>0.1</v>
      </c>
      <c r="AV35" s="8">
        <f>IFERROR(IFERROR(MROUND(_xlfn.XLOOKUP(B35,'Base stats'!B:B,'Base stats'!J:J),0.1),"Lay eggs"),"Cannot breed")</f>
        <v>9.9</v>
      </c>
      <c r="AW35" s="2" t="str">
        <f t="shared" si="2"/>
        <v>true</v>
      </c>
      <c r="AX35" s="2" t="str">
        <f>IF(_xlfn.XLOOKUP(_xlfn.XLOOKUP(Animals!B35,'Base stats'!B:B,'Base stats'!E:E),Groups!A:A,Groups!AK:AK)=1,"true","false")</f>
        <v>false</v>
      </c>
      <c r="AY35" s="25" t="str">
        <f>IF(_xlfn.XLOOKUP(B35,'Base stats'!B:B,'Base stats'!Y:Y)="Liquor","Liquor, CarnivoreAnimalStrict",IF(AND(_xlfn.XLOOKUP(B35,'Base stats'!B:B,'Base stats'!Y:Y)="Carnivore",_xlfn.XLOOKUP(_xlfn.XLOOKUP(B35,'Base stats'!B:B,'Base stats'!E:E),Groups!A:A,Groups!AJ:AJ)="Photonozoa"),"CarnivoreAnimalStrict, OvivoreAnimal",IF(_xlfn.XLOOKUP(B35,'Base stats'!B:B,'Base stats'!Y:Y)="Carnivore","CarnivoreAnimal, OvivoreAnimal",IF(_xlfn.XLOOKUP(B35,'Base stats'!B:B,'Base stats'!Y:Y)="Dendrovore","VegetarianRoughAnimal, DendrovoreAnimal",IF(_xlfn.XLOOKUP(B35,'Base stats'!B:B,'Base stats'!Y:Y)="Herbivore","VegetarianRoughAnimal",IF(_xlfn.XLOOKUP(B35,'Base stats'!B:B,'Base stats'!Y:Y)="OmnivoreRough","OmnivoreRoughAnimal, OvivoreAnimal","OmnivoreAnimal, OvivoreAnimal"))))))</f>
        <v>OmnivoreRoughAnimal, OvivoreAnimal</v>
      </c>
      <c r="AZ35" s="2" t="str">
        <f>IF(_xlfn.XLOOKUP(_xlfn.XLOOKUP(B35,'Base stats'!B:B,'Base stats'!E:E),Groups!A:A,Groups!D:D)=1,MROUND((1-J35)*5+1,2)*IF(J35&lt;=0.4,2,1),"No")</f>
        <v>No</v>
      </c>
      <c r="BA35" s="2" t="str">
        <f>IF(AND(_xlfn.XLOOKUP(B35,'Base stats'!B:B,'Base stats'!AH:AH)="&lt;li&gt;Seal&lt;/li&gt;",G35="Odyssey"),"&lt;li&gt;AEXP_Seal&lt;/li&gt;",_xlfn.XLOOKUP(B35,'Base stats'!B:B,'Base stats'!AH:AH))</f>
        <v>No</v>
      </c>
      <c r="BB35" s="2" t="str">
        <f>_xlfn.XLOOKUP(B35,'Base stats'!B:B,'Base stats'!AG:AG)</f>
        <v>Leather_Light</v>
      </c>
      <c r="BC35" s="23" t="str">
        <f>_xlfn.XLOOKUP(_xlfn.XLOOKUP(B35,'Base stats'!B:B,'Base stats'!E:E),Groups!A:A,Groups!AL:AL)</f>
        <v>QuadrupedAnimalWithPawsAndTail</v>
      </c>
      <c r="BD35" s="23">
        <f>MIN(1,MROUND(IF(AND(AO35&lt;0.5,_xlfn.XLOOKUP(B35,'Base stats'!B:B,'Base stats'!AA:AA)=0),0,IF(OR(_xlfn.XLOOKUP(Animals!B35,'Base stats'!B:B,'Base stats'!O:O)=2,_xlfn.XLOOKUP(_xlfn.XLOOKUP(B35,'Base stats'!B:B,'Base stats'!E:E),Groups!A:A,Groups!AN:AN)=0),0,_xlfn.XLOOKUP(_xlfn.XLOOKUP(B35,'Base stats'!B:B,'Base stats'!E:E),Groups!A:A,Groups!AN:AN)/IF(_xlfn.XLOOKUP(Animals!B35,'Base stats'!B:B,'Base stats'!O:O)=1,2,1)))+_xlfn.XLOOKUP(B35,'Base stats'!B:B,'Base stats'!AC:AC),0.005))</f>
        <v>0</v>
      </c>
      <c r="BE35" s="23">
        <f>MIN(1,MROUND(IF(AND(AO35&lt;0.5,_xlfn.XLOOKUP(B35,'Base stats'!B:B,'Base stats'!AA:AA)=0),0,IF(_xlfn.XLOOKUP(_xlfn.XLOOKUP(B35,'Base stats'!B:B,'Base stats'!E:E),Groups!A:A,Groups!AO:AO)=0,0,_xlfn.XLOOKUP(_xlfn.XLOOKUP(B35,'Base stats'!B:B,'Base stats'!E:E),Groups!A:A,Groups!AO:AO)/IF(_xlfn.XLOOKUP(Animals!B35,'Base stats'!B:B,'Base stats'!O:O)=2,3,1)))+_xlfn.XLOOKUP(B35,'Base stats'!B:B,'Base stats'!AD:AD),0.005))</f>
        <v>0</v>
      </c>
      <c r="BF35" s="2" t="str">
        <f>IF(J35&gt;0.3,"No",_xlfn.XLOOKUP(_xlfn.XLOOKUP(Animals!B35,'Base stats'!B:B,'Base stats'!E:E),Groups!A:A,Groups!AP:AP))</f>
        <v>No</v>
      </c>
      <c r="BG35" s="2">
        <f>IF(AND(J35&lt;=0.65,_xlfn.XLOOKUP(_xlfn.XLOOKUP(Animals!B35,'Base stats'!B:B,'Base stats'!E:E),Groups!A:A,Groups!AP:AP)&lt;&gt;"No",_xlfn.XLOOKUP(_xlfn.XLOOKUP(B35,'Base stats'!B:B,'Base stats'!E:E),Groups!A:A,Groups!D:D)=0),MROUND((80/3)*IF(_xlfn.XLOOKUP(B35,'Base stats'!B:B,'Base stats'!O:O)=2,0.2,AO35) + 24*(1-IF(BF35="No",0,BF35)) + 16/3, 12),"No")</f>
        <v>36</v>
      </c>
      <c r="BH35" s="2">
        <f>IF(AND(_xlfn.XLOOKUP(_xlfn.XLOOKUP(B35,'Base stats'!B:B,'Base stats'!E:E),Groups!A:A,Groups!AQ:AQ)=1,AO35&lt;=0.35),8,12)</f>
        <v>8</v>
      </c>
      <c r="BI35" s="2" t="str">
        <f>IF(_xlfn.XLOOKUP(_xlfn.XLOOKUP(B35,'Base stats'!B:B,'Base stats'!E:E),Groups!A:A,Groups!D:D)=0,_xlfn.XLOOKUP(_xlfn.XLOOKUP(B35,'Base stats'!B:B,'Base stats'!E:E),Groups!A:A,Groups!AR:AR),"None")</f>
        <v>Intermediate</v>
      </c>
      <c r="BJ35" s="2" t="str">
        <f>IF(AND(_xlfn.XLOOKUP(_xlfn.XLOOKUP(B35,'Base stats'!B:B,'Base stats'!E:E),Groups!A:A,Groups!AS:AS)=1,OR(_xlfn.XLOOKUP(B35,'Base stats'!B:B,'Base stats'!Y:Y)="Carnivore",_xlfn.XLOOKUP(B35,'Base stats'!B:B,'Base stats'!Y:Y)="Omnivore")),"true","false")</f>
        <v>false</v>
      </c>
      <c r="BK35" s="2" t="str">
        <f>IF(BJ35="true",MROUND(IF(AND(AO35&gt;0.5,OR(_xlfn.XLOOKUP(_xlfn.XLOOKUP(B35,'Base stats'!B:B,'Base stats'!E:E),Groups!A:A,Groups!AJ:AJ)="Photonozoa",_xlfn.XLOOKUP(_xlfn.XLOOKUP(B35,'Base stats'!B:B,'Base stats'!E:E),Groups!A:A,Groups!AJ:AJ)="Mammal")),Animals!AO35*1.75*IF(AW35="true",1.5,1),IF(AO35&lt;0.5,Animals!AO35*0.5,Animals!AO35)),IF(AO35&gt;2,0.5,IF(AO35&gt;0.5,0.25,0.1))),"No")</f>
        <v>No</v>
      </c>
      <c r="BL35" s="2">
        <f t="shared" si="3"/>
        <v>1</v>
      </c>
      <c r="BM35" s="25" t="str">
        <f>IF(_xlfn.XLOOKUP(B35,'Base stats'!B:B,'Base stats'!AN:AN)="Standard","No",MROUND((_xlfn.XLOOKUP(B35,'Base stats'!B:B,'Base stats'!AN:AN)/3.6)/I35,0.1))</f>
        <v>No</v>
      </c>
      <c r="BN35" s="25" t="str">
        <f t="shared" si="4"/>
        <v>false</v>
      </c>
      <c r="BO35" s="25" t="str">
        <f>IF(AND(OR(_xlfn.XLOOKUP(B35,'Base stats'!B:B,'Base stats'!Y:Y)="Carnivore",_xlfn.XLOOKUP(B35,'Base stats'!B:B,'Base stats'!Y:Y)="Omnivore",_xlfn.XLOOKUP(B35,'Base stats'!B:B,'Base stats'!Y:Y)="OmnivoreRough"),_xlfn.XLOOKUP(_xlfn.XLOOKUP(B35,'Base stats'!B:B,'Base stats'!E:E),Groups!A:A,Groups!AT:AT)=1),"true","false")</f>
        <v>false</v>
      </c>
      <c r="BP35" s="25" t="str" cm="1">
        <f t="array" ref="BP35">IF(
  _xlfn.TEXTJOIN(", ",TRUE,
    IF(AND(BJ35="true",AO35&gt;0.5,BI35&lt;&gt;"None"),"AttackTarget",""),
    IF(AND(_xlfn.XLOOKUP(_xlfn.XLOOKUP(B35,'Base stats'!B:B,'Base stats'!E:E),Groups!A:A,Groups!AJ:AJ="Mammal"),OR(_xlfn.XLOOKUP(B35,'Base stats'!B:B,'Base stats'!Y:Y)="Omnivore",_xlfn.XLOOKUP(B35,'Base stats'!B:B,'Base stats'!Y:Y)="OmnivoreRough")),"Forage",""),
    IF(BG35&lt;=36,"Comfort",""),
    IF(_xlfn.XLOOKUP(B35,'Base stats'!B:B,'Base stats'!AE:AE)&lt;&gt;"No",_xlfn.XLOOKUP(B35,'Base stats'!B:B,'Base stats'!AE:AE),"")
  ) = "",
  "No",
  _xlfn.TEXTJOIN(", ",TRUE,
    IF(AND(BJ35="true",AO35&gt;0.5,BI35&lt;&gt;"None"),"AttackTarget",""),
    IF(AND(_xlfn.XLOOKUP(_xlfn.XLOOKUP(B35,'Base stats'!B:B,'Base stats'!E:E),Groups!A:A,Groups!AJ:AJ="Mammal"),OR(_xlfn.XLOOKUP(B35,'Base stats'!B:B,'Base stats'!Y:Y)="Omnivore",_xlfn.XLOOKUP(B35,'Base stats'!B:B,'Base stats'!Y:Y)="OmnivoreRough")),"Forage",""),
    IF(BG35&lt;=36,"Comfort",""),
    IF(_xlfn.XLOOKUP(B35,'Base stats'!B:B,'Base stats'!AE:AE)&lt;&gt;"No",_xlfn.XLOOKUP(B35,'Base stats'!B:B,'Base stats'!AE:AE),"")
  )
)</f>
        <v>Forage, Comfort</v>
      </c>
      <c r="BQ35" s="25" t="str">
        <f>IF(
   AND(
      'Base stats'!AN35="Standard",_xlfn.XLOOKUP(_xlfn.XLOOKUP(B35,'Base stats'!B:B,'Base stats'!E:E),Groups!A:A,Groups!AU:AU)=0,
      OR(
      BO35="True"
      )
   ),
   10,
   IF(
       OR(BM35&lt;&gt;"No",_xlfn.XLOOKUP(_xlfn.XLOOKUP(B35,'Base stats'!B:B,'Base stats'!E:E),Groups!A:A,Groups!AU:AU)=1),
      1,
      "No"
   )
)</f>
        <v>No</v>
      </c>
      <c r="BR35" s="9">
        <f>MROUND((1 + ((0.2*IF(OR(Q35="No",R35="No",R35=0),0,Q35/R35)
+IF(OR(V35="No",S35="No",T35="No"),0,S35/T35*(LEN(V35)-LEN(SUBSTITUTE(V35,",",""))+1))
+IF(OR(X35="No",Y35="No"),0,X35/Y35)
+IF(OR(AD35="No",AE35="No"),0,AD35/AE35)
+IF(OR(AL35="No",AI35="No",AJ35="No"),0,AI35/AJ35*(LEN(AL35)-LEN(SUBSTITUTE(AL35,",",""))+1))
)/(0.2*IF(OR(Q35="No",R35="No",R35=0),0,1)
+IF(OR(V35="No",S35="No",T35="No"),0,LEN(V35)-LEN(SUBSTITUTE(V35,",",""))+1)
+IF(OR(X35="No",Y35="No"),0,1)
+IF(OR(AD35="No",AE35="No"),0,1)
+IF(OR(AL35="No",AI35="No",AJ35="No"),0,LEN(AL35)-LEN(SUBSTITUTE(AL35,",",""))+1))*62%)* 2)*(1 + (AP35 / (IF(_xlfn.XLOOKUP(_xlfn.XLOOKUP(B35,'Base stats'!B:B,'Base stats'!E:E),Groups!A:A,Groups!AJ:AJ)="Photonozoa",0.3,1)) + _xlfn.XLOOKUP(B35,'Base stats'!B:B,'Base stats'!AV:AV) * 1.8) * 2) * 2.5 + 10 + I35 * 2,5)+IF(_xlfn.XLOOKUP(B35,'Base stats'!B:B,'Base stats'!AK:AK)=1,50,0)</f>
        <v>20</v>
      </c>
      <c r="BS35" s="8">
        <f t="shared" si="5"/>
        <v>0.2</v>
      </c>
      <c r="BT35" s="8" t="str">
        <f>_xlfn.XLOOKUP(B35,'Base stats'!B:B,'Base stats'!AF:AF)</f>
        <v>1~6</v>
      </c>
      <c r="BU35" s="2" t="str">
        <f>IF(AND(J35&lt;=0.95,OR(_xlfn.XLOOKUP(B35,'Base stats'!B:B,'Base stats'!AK:AK)=1,_xlfn.XLOOKUP(B35,'Base stats'!B:B,'Base stats'!Y:Y)="Carnivore",_xlfn.XLOOKUP(B35,'Base stats'!B:B,'Base stats'!Y:Y)="Omnivore",BE35&gt;0.1)),"true","false")</f>
        <v>false</v>
      </c>
      <c r="BV35" s="2" t="str">
        <f>IF(_xlfn.XLOOKUP(B35,'Base stats'!B:B,'Base stats'!AI:AI)=1,"true","false")</f>
        <v>false</v>
      </c>
      <c r="BW35" s="25" t="str">
        <f>IF(E35="BaseInsect","AnimalInsect",
IF(J35&gt;0.95,"AnimalExotic",
_xlfn.TEXTJOIN(", ",TRUE,
IF(OR(_xlfn.XLOOKUP(B35,'Base stats'!B:B,'Base stats'!AM:AM)=1,AND(_xlfn.XLOOKUP(B35,'Base stats'!B:B,'Base stats'!O:O)=0,_xlfn.XLOOKUP(_xlfn.XLOOKUP(B35,'Base stats'!B:B,'Base stats'!E:E),Groups!A:A,Groups!B:B)&gt;0)),"AnimalUncommon","AnimalCommon"),
IF(AND(_xlfn.XLOOKUP(B35,'Base stats'!B:B,'Base stats'!O:O)=2,_xlfn.XLOOKUP(_xlfn.XLOOKUP(B35,'Base stats'!B:B,'Base stats'!E:E),Groups!A:A,Groups!D:D)=0),"AnimalPet",IF(AND(_xlfn.XLOOKUP(B35,'Base stats'!B:B,'Base stats'!O:O)&lt;&gt;0,_xlfn.XLOOKUP(_xlfn.XLOOKUP(B35,'Base stats'!B:B,'Base stats'!E:E),Groups!A:A,Groups!D:D)&lt;&gt;0),"AnimalFarm","")),
IF(OR(_xlfn.XLOOKUP(B35,'Base stats'!B:B,'Base stats'!AK:AK)=1,AND(BI35&lt;&gt;"None",BR35&gt;=60),ISNUMBER(SEARCH("Attack target",BP35))),"AnimalFighter","")
)))</f>
        <v>AnimalCommon</v>
      </c>
      <c r="BX35" s="25" t="str">
        <f>IF(G35="None",TRIM(
SUBSTITUTE(
IF(COUNTIF(Biomes!B$2:B$259,"="&amp;$C35)&gt;0,Biomes!B$1&amp;", ","")&amp;
IF(COUNTIF(Biomes!C$2:C$259,"="&amp;$C35)&gt;0,Biomes!C$1&amp;", ","")&amp;
IF(COUNTIF(Biomes!D$2:D$259,"="&amp;$C35)&gt;0,Biomes!D$1&amp;", ","")&amp;
IF(COUNTIF(Biomes!F$2:F$259,"="&amp;$C35)&gt;0,Biomes!F$1&amp;", ","")&amp;
IF(COUNTIF(Biomes!G$2:G$259,"="&amp;$C35)&gt;0,Biomes!G$1&amp;", ","")&amp;
IF(COUNTIF(Biomes!H$2:H$259,"="&amp;$C35)&gt;0,Biomes!H$1&amp;", ","")&amp;
IF(COUNTIF(Biomes!I$2:I$259,"="&amp;$C35)&gt;0,Biomes!I$1&amp;", ","")&amp;
IF(COUNTIF(Biomes!J$2:J$259,"="&amp;$C35)&gt;0,Biomes!J$1&amp;", ","")&amp;
IF(COUNTIF(Biomes!M$2:M$259,"="&amp;$C35)&gt;0,Biomes!M$1&amp;", ","")&amp;
IF(COUNTIF(Biomes!N$2:N$259,"="&amp;$C35)&gt;0,Biomes!N$1&amp;", ","")&amp;
IF(COUNTIF(Biomes!O$2:O$259,"="&amp;$C35)&gt;0,Biomes!O$1&amp;", ","")&amp;
IF(COUNTIF(Biomes!P$2:P$259,"="&amp;$C35)&gt;0,Biomes!P$1&amp;", ","")&amp;
IF(COUNTIF(Biomes!K$2:K$259,"="&amp;$C35)&gt;0,Biomes!K$1&amp;", ","")&amp;
IF(COUNTIF(Biomes!Q$3:Q$259,"="&amp;$C35)&gt;0,Biomes!Q$1&amp;", ","")&amp;
IF(COUNTIF(Biomes!L$2:L$259,"="&amp;$C35)&gt;0,Biomes!L$1&amp;", ","")&amp;
IF(COUNTIF(Biomes!E$2:E$259,"="&amp;$C35)&gt;0,Biomes!E$1&amp;", ","")&amp;IF(COUNTIF(Biomes!S$2:S$259,"="&amp;$C35)&gt;0,Biomes!S$1&amp;", ","")&amp;
IF(COUNTIF(Biomes!R$2:R$259,"="&amp;$C35)&gt;0,Biomes!R$1&amp;", ",""),", ","")
),_xlfn.XLOOKUP(B35,B:B,BX:BX))</f>
        <v>BorealForest ColdBog TemperateForest TemperateSwamp AridShrubland Desert TropicalRainforest TropicalSwamp Grasslands Glowforest LavaField Scarlands</v>
      </c>
      <c r="BY35" s="25" t="str">
        <f>IF(_xlfn.XLOOKUP(B35,'Base stats'!B:B,'Base stats'!AJ:AJ)=1,"true","false")</f>
        <v>false</v>
      </c>
      <c r="BZ35" s="25">
        <f>IF(_xlfn.XLOOKUP(B35,'Base stats'!B:B,'Base stats'!N:N)=1,"No",MAX(0.001,MIN(MROUND(IF(AND(BJ35="True",CC35="False"),POWER(10,3.47*LOG10(_xlfn.XLOOKUP(B35,'Base stats'!B:B,'Base stats'!C:C)*1000)^-0.96),POWER(10,4.15*LOG10(_xlfn.XLOOKUP(B35,'Base stats'!B:B,'Base stats'!C:C)*1000)^-0.73))*IF(_xlfn.XLOOKUP(B35,'Base stats'!B:B,'Base stats'!AK:AK)=1,0.5,1)*IF(_xlfn.XLOOKUP(B35,'Base stats'!B:B,'Base stats'!AM:AM)=1,0.1,1)/100,IF(_xlfn.XLOOKUP(B35,'Base stats'!B:B,'Base stats'!AM:AM)=1,0.001,0.025)),0.5)))</f>
        <v>0.5</v>
      </c>
      <c r="CA35" s="25">
        <f>IF(P35="Standard","No",MAX(0.001,MIN(MROUND(IF(AND(BJ35="True",CC35="False"),POWER(10,3.47*LOG10(_xlfn.XLOOKUP(B35,'Base stats'!B:B,'Base stats'!C:C)*1000)^-0.96),POWER(10,4.15*LOG10(_xlfn.XLOOKUP(B35,'Base stats'!B:B,'Base stats'!C:C)*1000)^-0.73))*IF(_xlfn.XLOOKUP(B35,'Base stats'!B:B,'Base stats'!AM:AM)=1,0.1,1)*_xlfn.XLOOKUP(B35,'Base stats'!B:B,'Base stats'!R:R)/100,IF(_xlfn.XLOOKUP(B35,'Base stats'!B:B,'Base stats'!AM:AM)=1,0.001,0.025)),0.5)))</f>
        <v>0.5</v>
      </c>
      <c r="CB35" s="25" t="str">
        <f>IF(_xlfn.XLOOKUP(_xlfn.XLOOKUP(B35,'Base stats'!B:B,'Base stats'!E:E),Groups!A:A,Groups!AJ:AJ)="Mammal","True","False")</f>
        <v>True</v>
      </c>
      <c r="CC35" s="25" t="str">
        <f>IF(OR(_xlfn.XLOOKUP(_xlfn.XLOOKUP(B35,'Base stats'!B:B,'Base stats'!E:E),Groups!A:A,Groups!AJ:AJ)="Reptile",_xlfn.XLOOKUP(_xlfn.XLOOKUP(B35,'Base stats'!B:B,'Base stats'!E:E),Groups!A:A,Groups!AJ:AJ)="Amphibian",_xlfn.XLOOKUP(_xlfn.XLOOKUP(B35,'Base stats'!B:B,'Base stats'!E:E),Groups!A:A,Groups!AJ:AJ)="Invertebrate"),"True","False")</f>
        <v>False</v>
      </c>
      <c r="CD35" s="25" t="str">
        <f t="shared" si="6"/>
        <v>False</v>
      </c>
      <c r="CE35" s="25" t="str">
        <f>IF(_xlfn.XLOOKUP(_xlfn.XLOOKUP(B35,'Base stats'!B:B,'Base stats'!E:E),Groups!A:A,Groups!AX:AX),"True","False")</f>
        <v>False</v>
      </c>
      <c r="CF35" s="25" t="str">
        <f>IF(_xlfn.XLOOKUP(_xlfn.XLOOKUP(B35,'Base stats'!B:B,'Base stats'!E:E),Groups!A:A,Groups!AY:AY),"True","False")</f>
        <v>False</v>
      </c>
      <c r="CG35" s="25" t="str">
        <f>IF(_xlfn.XLOOKUP(_xlfn.XLOOKUP(B35,'Base stats'!B:B,'Base stats'!E:E),Groups!A:A,Groups!AW:AW),"True","False")</f>
        <v>False</v>
      </c>
      <c r="CH35" s="25" t="str">
        <f>IF(
OR(
_xlfn.XLOOKUP(_xlfn.XLOOKUP(B35,'Base stats'!B:B,'Base stats'!E:E),Groups!A:A,Groups!AZ:AZ)=0,
AND(
_xlfn.XLOOKUP(B35,'Base stats'!B:B,'Base stats'!Y:Y)&lt;&gt;"Carnivore",
_xlfn.XLOOKUP(B35,'Base stats'!B:B,'Base stats'!Y:Y)&lt;&gt;"Omnivore",
_xlfn.XLOOKUP(B35,'Base stats'!B:B,'Base stats'!Y:Y)&lt;&gt;"OmnivoreRough"
)
),
"No",
IF(
_xlfn.XLOOKUP(_xlfn.XLOOKUP(B35,'Base stats'!B:B,'Base stats'!E:E),Groups!A:A,Groups!AZ:AZ)=1,
"Flesh",
IF(
_xlfn.XLOOKUP(_xlfn.XLOOKUP(B35,'Base stats'!B:B,'Base stats'!E:E),Groups!A:A,Groups!AZ:AZ)=2,
"Bone",
""
)
)
)</f>
        <v>Bone</v>
      </c>
      <c r="CI35" s="25" t="str">
        <f>IF(_xlfn.XLOOKUP(_xlfn.XLOOKUP(B35,'Base stats'!B:B,'Base stats'!E:E),Groups!A:A,Groups!BB:BB),"True","False")</f>
        <v>True</v>
      </c>
      <c r="CJ35" s="25" t="str">
        <f>IF(_xlfn.XLOOKUP(_xlfn.XLOOKUP(B35,'Base stats'!B:B,'Base stats'!E:E),Groups!A:A,Groups!BA:BA),"True","False")</f>
        <v>False</v>
      </c>
    </row>
    <row r="36" spans="1:88" ht="16.5" thickTop="1" thickBot="1" x14ac:dyDescent="0.3">
      <c r="A36" s="26" t="str">
        <f>_xlfn.XLOOKUP(B36,'Base stats'!B:B,'Base stats'!A:A)</f>
        <v>Squirrel</v>
      </c>
      <c r="B36" s="6" t="s">
        <v>132</v>
      </c>
      <c r="C36" s="28" t="s">
        <v>711</v>
      </c>
      <c r="D36" s="28" t="s">
        <v>45</v>
      </c>
      <c r="E36" s="28" t="s">
        <v>673</v>
      </c>
      <c r="F36" s="28" t="s">
        <v>673</v>
      </c>
      <c r="G36" s="28" t="s">
        <v>673</v>
      </c>
      <c r="H36" s="2">
        <f>MROUND((
  (IF(AND(_xlfn.XLOOKUP(B36,'Base stats'!B:B,'Base stats'!AL:AL)=0,BI36="None",_xlfn.XLOOKUP(_xlfn.XLOOKUP(B36,'Base stats'!B:B,'Base stats'!E:E),Groups!A:A,Groups!B:B)=0), (18 + BR36 * 2.7) * 0.5,
    IF(AND(_xlfn.XLOOKUP(B36,'Base stats'!B:B,'Base stats'!AL:AL)=0,OR(AO36&lt;0.55,AND(BI36="Intermediate",_xlfn.XLOOKUP(_xlfn.XLOOKUP(B36,'Base stats'!B:B,'Base stats'!E:E),Groups!A:A,Groups!B:B)&lt;2))), (18 + BR36 * 2.7),
      IF(OR(BI36="Advanced",_xlfn.XLOOKUP(B36,'Base stats'!B:B,'Base stats'!AL:AL)=1,_xlfn.XLOOKUP(_xlfn.XLOOKUP(B36,'Base stats'!B:B,'Base stats'!E:E),Groups!A:A,Groups!B:B)=2), (18 + BR36 * 2.7) + 250, (18 + BR36 * 2.7))
    )
  ))
  + AO36 * 80
  + IF(COUNTIF(EggMilk!K$2:K$998, A36) &gt; 0, 125, 0)
  + IF(COUNTIF(EggMilk!P$2:P$998, A36) &gt; 0, 90, 0)
  + IF(COUNTIF(EggMilk!A$2:A$998, A36) &gt; 0, 90, 0)
)
* (0.8 + 0.4 * J36)
* 0.75,25)</f>
        <v>50</v>
      </c>
      <c r="I36" s="2">
        <f>MROUND(ROUNDDOWN(_xlfn.XLOOKUP(B36,'Base stats'!B:B,'Base stats'!L:L)/3.6/(23.3/11),1),0.5)</f>
        <v>3.5</v>
      </c>
      <c r="J36" s="2">
        <f>IF(OR(_xlfn.XLOOKUP(B36,'Base stats'!B:B,'Base stats'!AB:AB)=1,_xlfn.XLOOKUP(_xlfn.XLOOKUP(B36,'Base stats'!B:B,'Base stats'!E:E),Groups!A:A,Groups!C:C)="Untamable"),1,IF(_xlfn.XLOOKUP(B36,'Base stats'!B:B,'Base stats'!AL:AL)=1,0.99,MIN(MROUND((1-0.6282*EXP(-0.459*AO36))*_xlfn.XLOOKUP(_xlfn.XLOOKUP(B36,'Base stats'!B:B,'Base stats'!E:E),Groups!A:A,Groups!C:C)*IF(_xlfn.XLOOKUP(B36,'Base stats'!B:B,'Base stats'!O:O)=1,0.5,IF(_xlfn.XLOOKUP(B36,'Base stats'!B:B,'Base stats'!O:O)=2,0,1)),0.05),IF(AO36&gt;3.5,0.985,0.95))))</f>
        <v>0.5</v>
      </c>
      <c r="K36" s="2">
        <f>ROUNDUP(AO36*_xlfn.XLOOKUP(_xlfn.XLOOKUP(B36,'Base stats'!B:B,'Base stats'!E:E),Groups!A:A,Groups!E:E),0)</f>
        <v>1</v>
      </c>
      <c r="L36" s="2">
        <f>IF(OR(_xlfn.XLOOKUP(_xlfn.XLOOKUP(B36,'Base stats'!B:B,'Base stats'!E:E),Groups!A:A,Groups!F:F)=2,ISNUMBER(SEARCH("SeaIce",BX36)),ISNUMBER(SEARCH("IceSheet",BX36))),-50,IF(OR(ISNUMBER(SEARCH("GlacialPlain",BX36)),ISNUMBER(SEARCH("Tundra",BX36))),-40,IF(OR(ISNUMBER(SEARCH("Alpine",BX36)),ISNUMBER(SEARCH("BorealForest",BX36)),ISNUMBER(SEARCH("ColdBog",BX36))),-30,IF(OR(ISNUMBER(SEARCH("TemperateForest",BX36)),ISNUMBER(SEARCH("TemperateSwamp",BX36))),-20,IF(_xlfn.XLOOKUP(_xlfn.XLOOKUP(B36,'Base stats'!B:B,'Base stats'!E:E),Groups!A:A,Groups!F:F)=1,-15,IF(OR(ISNUMBER(SEARCH("Desert",BX36)),ISNUMBER(SEARCH("ExtremeDesert",BX36))),-10,IF(OR(ISNUMBER(SEARCH("Grasslands",BX36)),ISNUMBER(SEARCH("TropicalRainforest",BX36)),ISNUMBER(SEARCH("TropicalSwamp",BX36))),10,0)))))))-IF(CC36="False",MIN(IFERROR(MAX(MROUND(LOG10(_xlfn.XLOOKUP(B36,'Base stats'!B:B,'Base stats'!C:C)^(2/3))*10,5),5),5),30))-_xlfn.XLOOKUP(B36,'Base stats'!B:B,'Base stats'!P:P)+IF(CC36="True",5,0)</f>
        <v>-45</v>
      </c>
      <c r="M36" s="2">
        <f>IF(OR(_xlfn.XLOOKUP(_xlfn.XLOOKUP(B36,'Base stats'!B:B,'Base stats'!E:E),Groups!A:A,Groups!G:G)=2,ISNUMBER(SEARCH("Desert",BX36)),ISNUMBER(SEARCH("ExtremeDesert",BX36)),ISNUMBER(SEARCH("LavaField",BX36))),50,IF(ISNUMBER(SEARCH("Grasslands",BX36)),45,IF(OR(_xlfn.XLOOKUP(_xlfn.XLOOKUP(B36,'Base stats'!B:B,'Base stats'!E:E),Groups!A:A,Groups!G:G)=1,ISNUMBER(SEARCH("TropicalRainforest",BX36)),ISNUMBER(SEARCH("TropicalSwamp",BX36))),40,IF(OR(ISNUMBER(SEARCH("TemperateForest",BX36)),ISNUMBER(SEARCH("TemperateSwamp",BX36))),35,IF(OR(ISNUMBER(SEARCH("Alpine",BX36)),ISNUMBER(SEARCH("BorealForest",BX36)),ISNUMBER(SEARCH("ColdBog",BX36))),30,IF(ISNUMBER(OR(ISNUMBER(SEARCH("GlacialPlain",BX36)),SEARCH("Tundra",BX36))),25,IF(OR(ISNUMBER(SEARCH("SeaIce",BX36)),ISNUMBER(SEARCH("IceSheet",BX36)),ISNUMBER(SEARCH("TropicalSwamp",BX36))),10,35)))))))+_xlfn.XLOOKUP(B36,'Base stats'!B:B,'Base stats'!Q:Q)</f>
        <v>35</v>
      </c>
      <c r="N36" s="8" t="str">
        <f>IF(
_xlfn.XLOOKUP(
_xlfn.XLOOKUP(B36,'Base stats'!B:B,'Base stats'!E:E),
Groups!A:A,
Groups!L:L
)=1,
MIN(
MROUND(
IF(
_xlfn.XLOOKUP(B36,'Animals CE'!B:B,'Animals CE'!Z:Z)&lt;=1.5,
_xlfn.XLOOKUP(B36,'Animals CE'!B:B,'Animals CE'!Z:Z)/2+0.05,
0.8+
(_xlfn.XLOOKUP(B36,'Animals CE'!B:B,'Animals CE'!Z:Z)-1.5)
*0.02
),
0.05
),
200%
),
"No"
)</f>
        <v>No</v>
      </c>
      <c r="O36" s="8" t="str">
        <f>IF(
_xlfn.XLOOKUP(
_xlfn.XLOOKUP(B36,'Base stats'!B:B,'Base stats'!E:E),
Groups!A:A,
Groups!L:L
)=1,
MIN(
MROUND(
IF(
_xlfn.XLOOKUP(B36,'Animals CE'!B:B,'Animals CE'!AA:AA)&lt;=1.5,
_xlfn.XLOOKUP(B36,'Animals CE'!B:B,'Animals CE'!AA:AA)/2+0.05,
0.8+
(_xlfn.XLOOKUP(B36,'Animals CE'!B:B,'Animals CE'!AA:AA)-1.5)
*0.02
),
0.05
),
200%
),
"No"
)</f>
        <v>No</v>
      </c>
      <c r="P36" s="2" t="str">
        <f>_xlfn.XLOOKUP(B36,'Base stats'!B:B,'Base stats'!R:R)</f>
        <v>Standard</v>
      </c>
      <c r="Q36" s="13">
        <f>MROUND((LOG10(_xlfn.XLOOKUP(B36,'Base stats'!B:B,'Base stats'!AR:AR))*(AO36^0.5)+(_xlfn.XLOOKUP(B36,'Base stats'!B:B,'Base stats'!AR:AR)/1000)^(2/3)+_xlfn.XLOOKUP(B36,'Base stats'!B:B,'Base stats'!BA:BA)/2)+0.5,0.5)</f>
        <v>1.5</v>
      </c>
      <c r="R36" s="7">
        <f>IF(Q36="No","No",MAX(1,MROUND(_xlfn.XLOOKUP(B36,'Base stats'!B:B,'Base stats'!C:C)^0.165,0.05)))</f>
        <v>1</v>
      </c>
      <c r="S36" s="13" t="str">
        <f>IF(_xlfn.XLOOKUP(_xlfn.XLOOKUP(B36,'Base stats'!B:B,'Base stats'!E:E),Groups!A:A,Groups!P:P)=0,"No",MROUND((LOG10(_xlfn.XLOOKUP(B36,'Base stats'!B:B,'Base stats'!AS:AS))*(AO36^0.5)+(_xlfn.XLOOKUP(B36,'Base stats'!B:B,'Base stats'!AS:AS)/1000)^(2/3)+_xlfn.XLOOKUP(B36,'Base stats'!B:B,'Base stats'!BA:BA))+_xlfn.XLOOKUP(B36,'Base stats'!B:B,'Base stats'!AY:AY)+0.5,0.5))</f>
        <v>No</v>
      </c>
      <c r="T36" s="7" t="str">
        <f>IF(S36="No","No",MAX(_xlfn.XLOOKUP(_xlfn.XLOOKUP(B36,'Base stats'!B:B,'Base stats'!E:E),Groups!A:A,Groups!Q:Q),MROUND(_xlfn.XLOOKUP(_xlfn.XLOOKUP(B36,'Base stats'!B:B,'Base stats'!E:E),Groups!A:A,Groups!Q:Q)*_xlfn.XLOOKUP(B36,'Base stats'!B:B,'Base stats'!C:C)^0.165,0.05)))</f>
        <v>No</v>
      </c>
      <c r="U36" s="7" t="str">
        <f>IF(S36="No","No",_xlfn.XLOOKUP(_xlfn.XLOOKUP(B36,'Base stats'!B:B,'Base stats'!E:E),Groups!A:A,Groups!R:R))</f>
        <v>No</v>
      </c>
      <c r="V36" s="7" t="str">
        <f>IF(S36="No","No",_xlfn.XLOOKUP(_xlfn.XLOOKUP(B36,'Base stats'!B:B,'Base stats'!E:E),Groups!A:A,Groups!S:S))</f>
        <v>No</v>
      </c>
      <c r="W36" s="7" t="str">
        <f>IF(S36="No","No",_xlfn.XLOOKUP(_xlfn.XLOOKUP(B36,'Base stats'!B:B,'Base stats'!E:E),Groups!A:A,Groups!T:T))</f>
        <v>No</v>
      </c>
      <c r="X36" s="13" t="str">
        <f>IF(_xlfn.XLOOKUP(B36,'Base stats'!B:B,'Base stats'!W:W)="No","No",MROUND((LOG10(_xlfn.XLOOKUP(B36,'Base stats'!B:B,'Base stats'!AU:AU))*(AO36^0.5)+(_xlfn.XLOOKUP(B36,'Base stats'!B:B,'Base stats'!AU:AU)/1000)^(2/3)+_xlfn.XLOOKUP(B36,'Base stats'!B:B,'Base stats'!AZ:AZ))+0.5+IF(_xlfn.XLOOKUP(_xlfn.XLOOKUP(B36,'Base stats'!B:B,'Base stats'!E:E),Groups!A:A,Groups!U:U)&lt;&gt;3,_xlfn.XLOOKUP(B36,'Base stats'!B:B,'Base stats'!BA:BA),0),0.5))</f>
        <v>No</v>
      </c>
      <c r="Y36" s="7" t="str">
        <f>IF(X36="No","No",MAX(_xlfn.XLOOKUP(_xlfn.XLOOKUP(B36,'Base stats'!B:B,'Base stats'!E:E),Groups!A:A,Groups!V:V),MROUND(_xlfn.XLOOKUP(_xlfn.XLOOKUP(B36,'Base stats'!B:B,'Base stats'!E:E),Groups!A:A,Groups!V:V)*_xlfn.XLOOKUP(B36,'Base stats'!B:B,'Base stats'!C:C)^0.165,0.05)))</f>
        <v>No</v>
      </c>
      <c r="Z36" s="7" t="str">
        <f>IF(X36="No","No",_xlfn.XLOOKUP(_xlfn.XLOOKUP(B36,'Base stats'!B:B,'Base stats'!E:E),Groups!A:A,Groups!W:W))</f>
        <v>No</v>
      </c>
      <c r="AA36" s="7" t="str">
        <f>IF(X36="No","No",_xlfn.XLOOKUP(_xlfn.XLOOKUP(B36,'Base stats'!B:B,'Base stats'!E:E),Groups!A:A,Groups!X:X))</f>
        <v>No</v>
      </c>
      <c r="AB36" s="7" t="str">
        <f>IF(X36="No","No",_xlfn.XLOOKUP(_xlfn.XLOOKUP(B36,'Base stats'!B:B,'Base stats'!E:E),Groups!A:A,Groups!Y:Y))</f>
        <v>No</v>
      </c>
      <c r="AC36" s="7" t="str">
        <f>_xlfn.XLOOKUP(Animals!B36,'Base stats'!B:B,'Base stats'!X:X)</f>
        <v>False</v>
      </c>
      <c r="AD36" s="13">
        <f>IF(_xlfn.XLOOKUP(B36,'Base stats'!B:B,'Base stats'!AT:AT)="No","No",MROUND((LOG10(_xlfn.XLOOKUP(B36,'Base stats'!B:B,'Base stats'!AT:AT))*(AO36^0.75)+(_xlfn.XLOOKUP(B36,'Base stats'!B:B,'Base stats'!AT:AT)/1000)^(2/3)+_xlfn.XLOOKUP(B36,'Base stats'!B:B,'Base stats'!AX:AX)+_xlfn.XLOOKUP(B36,'Base stats'!B:B,'Base stats'!BA:BA))+0.5,0.5))</f>
        <v>1.5</v>
      </c>
      <c r="AE36" s="7">
        <f>IF(AD36="No","No",MAX(_xlfn.XLOOKUP(_xlfn.XLOOKUP(B36,'Base stats'!B:B,'Base stats'!E:E),Groups!A:A,Groups!Z:Z),MROUND(_xlfn.XLOOKUP(_xlfn.XLOOKUP(B36,'Base stats'!B:B,'Base stats'!E:E),Groups!A:A,Groups!Z:Z)*_xlfn.XLOOKUP(B36,'Base stats'!B:B,'Base stats'!C:C)^0.165,0.05)))</f>
        <v>0.95</v>
      </c>
      <c r="AF36" s="7" t="str">
        <f>IF(AD36="No","No",_xlfn.XLOOKUP(_xlfn.XLOOKUP(B36,'Base stats'!B:B,'Base stats'!E:E),Groups!A:A,Groups!AA:AA))</f>
        <v>Teeth</v>
      </c>
      <c r="AG36" s="7" t="str">
        <f>IF(AD36="No","No",_xlfn.XLOOKUP(_xlfn.XLOOKUP(B36,'Base stats'!B:B,'Base stats'!E:E),Groups!A:A,Groups!AB:AB))</f>
        <v>Incisors</v>
      </c>
      <c r="AH36" s="7" t="str">
        <f>IF(AD36="No","No",_xlfn.XLOOKUP(_xlfn.XLOOKUP(B36,'Base stats'!B:B,'Base stats'!E:E),Groups!A:A,Groups!AC:AC))</f>
        <v>Bite</v>
      </c>
      <c r="AI36" s="13" t="str">
        <f>IF(_xlfn.XLOOKUP(_xlfn.XLOOKUP(B36,'Base stats'!B:B,'Base stats'!E:E),Groups!A:A,Groups!AD:AD)=0,"No",MROUND((LOG10(_xlfn.XLOOKUP(B36,'Base stats'!B:B,'Base stats'!AS:AS))*(AO36^0.75)+(_xlfn.XLOOKUP(B36,'Base stats'!B:B,'Base stats'!AS:AS)/1000)^(2/3)+_xlfn.XLOOKUP(B36,'Base stats'!B:B,'Base stats'!AY:AY)+_xlfn.XLOOKUP(B36,'Base stats'!B:B,'Base stats'!BA:BA))+0.5,0.5))</f>
        <v>No</v>
      </c>
      <c r="AJ36" s="7" t="str">
        <f>IF(AI36="No","No",MAX(_xlfn.XLOOKUP(_xlfn.XLOOKUP(B36,'Base stats'!B:B,'Base stats'!E:E),Groups!A:A,Groups!AE:AE),MROUND(_xlfn.XLOOKUP(_xlfn.XLOOKUP(B36,'Base stats'!B:B,'Base stats'!E:E),Groups!A:A,Groups!AE:AE)*IF(_xlfn.XLOOKUP(_xlfn.XLOOKUP(B36,'Base stats'!B:B,'Base stats'!E:E),Groups!A:A,Groups!AJ:AJ)="Photonozoa",0.6,1)*_xlfn.XLOOKUP(B36,'Base stats'!B:B,'Base stats'!C:C)^0.165,0.05)))</f>
        <v>No</v>
      </c>
      <c r="AK36" s="7" t="str">
        <f>IF(AI36="No","No",_xlfn.XLOOKUP(_xlfn.XLOOKUP(B36,'Base stats'!B:B,'Base stats'!E:E),Groups!A:A,Groups!AF:AF))</f>
        <v>No</v>
      </c>
      <c r="AL36" s="7" t="str">
        <f>IF(AI36="No","No",_xlfn.XLOOKUP(_xlfn.XLOOKUP(B36,'Base stats'!B:B,'Base stats'!E:E),Groups!A:A,Groups!AG:AG))</f>
        <v>No</v>
      </c>
      <c r="AM36" s="7" t="str">
        <f>IF(AI36="No","No",_xlfn.XLOOKUP(_xlfn.XLOOKUP(B36,'Base stats'!B:B,'Base stats'!E:E),Groups!A:A,Groups!AH:AH))</f>
        <v>No</v>
      </c>
      <c r="AN36" s="2" t="str">
        <f t="shared" si="0"/>
        <v>No</v>
      </c>
      <c r="AO36" s="2">
        <f>MROUND(IF(AND(_xlfn.XLOOKUP(B36,'Base stats'!B:B,'Base stats'!C:C)&gt;=0.5,_xlfn.XLOOKUP(B36,'Base stats'!B:B,'Base stats'!C:C)&lt;=0.8),
IF(_xlfn.XLOOKUP(B36,'Base stats'!B:B,'Base stats'!C:C)&lt;0.1,0.05,IF(_xlfn.XLOOKUP(B36,'Base stats'!B:B,'Base stats'!C:C)&lt;=70,(_xlfn.XLOOKUP(B36,'Base stats'!B:B,'Base stats'!C:C)/70)^0.426489913056526,IF(_xlfn.XLOOKUP(B36,'Base stats'!B:B,'Base stats'!C:C)&lt;=400,(_xlfn.XLOOKUP(B36,'Base stats'!B:B,'Base stats'!C:C)/70)^0.572811455315093,IF(_xlfn.XLOOKUP(B36,'Base stats'!B:B,'Base stats'!C:C)&lt;=2000,2.71391647193063*(_xlfn.XLOOKUP(B36,'Base stats'!B:B,'Base stats'!C:C)/400)^0.252459582904293,3.74314280240376*(_xlfn.XLOOKUP(B36,'Base stats'!B:B,'Base stats'!C:C)/2000)^0.357012633876913)))),
IF(_xlfn.XLOOKUP(B36,'Base stats'!B:B,'Base stats'!C:C)&lt;0.1,0.05,IF(_xlfn.XLOOKUP(B36,'Base stats'!B:B,'Base stats'!C:C)&lt;0.4,0.1,IF(_xlfn.XLOOKUP(B36,'Base stats'!B:B,'Base stats'!C:C)&lt;=70,(_xlfn.XLOOKUP(B36,'Base stats'!B:B,'Base stats'!C:C)/70)^0.445823913056526,IF(_xlfn.XLOOKUP(B36,'Base stats'!B:B,'Base stats'!C:C)&lt;=400,(_xlfn.XLOOKUP(B36,'Base stats'!B:B,'Base stats'!C:C)/70)^0.572811455315093,IF(_xlfn.XLOOKUP(B36,'Base stats'!B:B,'Base stats'!C:C)&lt;=2000,2.71391647193063*(_xlfn.XLOOKUP(B36,'Base stats'!B:B,'Base stats'!C:C)/400)^0.252459582904293,3.74314280240376*(_xlfn.XLOOKUP(B36,'Base stats'!B:B,'Base stats'!C:C)/2000)^0.357012633876913)))))),
IF(_xlfn.XLOOKUP(B36,'Base stats'!B:B,'Base stats'!C:C)&lt;0.1,0.05,IF(_xlfn.XLOOKUP(B36,'Base stats'!B:B,'Base stats'!C:C)&lt;=100,0.05,IF(_xlfn.XLOOKUP(B36,'Base stats'!B:B,'Base stats'!C:C)&lt;=250,0.1,IF(_xlfn.XLOOKUP(B36,'Base stats'!B:B,'Base stats'!C:C)&lt;=4000,0.25,0.5)))))</f>
        <v>0.15000000000000002</v>
      </c>
      <c r="AP36" s="8">
        <f>MROUND(AO36*_xlfn.XLOOKUP(_xlfn.XLOOKUP(B36,'Base stats'!B:B,'Base stats'!E:E),Groups!A:A,Groups!AI:AI)*_xlfn.XLOOKUP(B36,'Base stats'!B:B,'Base stats'!Z:Z),0.05)</f>
        <v>0.15000000000000002</v>
      </c>
      <c r="AQ36" s="8">
        <f>MAX(0.01,MROUND(IF(CC36="True",0.196*(AO36*100*1000)^0.889,IF(_xlfn.XLOOKUP(_xlfn.XLOOKUP(B36,'Base stats'!B:B,'Base stats'!E:E),Groups!A:A,Groups!AJ:AJ)="Bird",10.5*(AO36*100*1000)^0.681,4.82*(AO36*100*1000)^0.734))/(4.82*(1*100*1000)^0.734)/IF(AO36&lt;3.5,2,IF(AO36=3.5,1.5,1.25))*(1+0.132282374779864/(AO36^0.994035016789033+0.00905238001496948)),0.05))</f>
        <v>0.25</v>
      </c>
      <c r="AR36" s="9">
        <f>IFERROR(MROUND(_xlfn.XLOOKUP(B36,'Base stats'!B:B,'Base stats'!H:H)/IF(_xlfn.XLOOKUP(B36,'Base stats'!B:B,'Base stats'!I:I)&lt;&gt;1,(122.5/70),1.2),IF(_xlfn.XLOOKUP(B36,'Base stats'!B:B,'Base stats'!H:H)&gt;=30,5,IF(_xlfn.XLOOKUP(B36,'Base stats'!B:B,'Base stats'!H:H)&gt;=15,3,IF(_xlfn.XLOOKUP(B36,'Base stats'!B:B,'Base stats'!H:H)&gt;=10,2,1)))),"Immortal")</f>
        <v>8</v>
      </c>
      <c r="AS36" s="35">
        <f>IFERROR(IF(OR(_xlfn.XLOOKUP(B36,'Base stats'!B:B,'Base stats'!F:F)="Atypical reproduction",_xlfn.XLOOKUP(B36,'Base stats'!B:B,'Base stats'!F:F)="Lay eggs"),"Lay eggs",MIN(20,MAX(5.5,ROUND(((_xlfn.XLOOKUP(B36,'Base stats'!B:B,'Base stats'!F:F)-25)*(14.5/615) + 5.5)*2,0)/2))),"Unknown")</f>
        <v>6</v>
      </c>
      <c r="AT36" s="8">
        <f>IF(_xlfn.XLOOKUP(B36,'Base stats'!B:B,'Base stats'!G:G)="Atypical reproduction","No",IFERROR(MAX(IF(_xlfn.XLOOKUP(B36,'Base stats'!B:B,'Base stats'!G:G)&lt;0.5,0.2,0.3),MROUND(_xlfn.XLOOKUP(B36,'Base stats'!B:B,'Base stats'!G:G)/(365/60),0.2)),"Unknown"))</f>
        <v>0.3</v>
      </c>
      <c r="AU36" s="8">
        <f t="shared" si="1"/>
        <v>0.15000000000000002</v>
      </c>
      <c r="AV36" s="8">
        <f>IFERROR(IFERROR(MROUND(_xlfn.XLOOKUP(B36,'Base stats'!B:B,'Base stats'!J:J),0.1),"Lay eggs"),"Cannot breed")</f>
        <v>5</v>
      </c>
      <c r="AW36" s="2" t="str">
        <f t="shared" si="2"/>
        <v>false</v>
      </c>
      <c r="AX36" s="2" t="str">
        <f>IF(_xlfn.XLOOKUP(_xlfn.XLOOKUP(Animals!B36,'Base stats'!B:B,'Base stats'!E:E),Groups!A:A,Groups!AK:AK)=1,"true","false")</f>
        <v>false</v>
      </c>
      <c r="AY36" s="25" t="str">
        <f>IF(_xlfn.XLOOKUP(B36,'Base stats'!B:B,'Base stats'!Y:Y)="Liquor","Liquor, CarnivoreAnimalStrict",IF(AND(_xlfn.XLOOKUP(B36,'Base stats'!B:B,'Base stats'!Y:Y)="Carnivore",_xlfn.XLOOKUP(_xlfn.XLOOKUP(B36,'Base stats'!B:B,'Base stats'!E:E),Groups!A:A,Groups!AJ:AJ)="Photonozoa"),"CarnivoreAnimalStrict, OvivoreAnimal",IF(_xlfn.XLOOKUP(B36,'Base stats'!B:B,'Base stats'!Y:Y)="Carnivore","CarnivoreAnimal, OvivoreAnimal",IF(_xlfn.XLOOKUP(B36,'Base stats'!B:B,'Base stats'!Y:Y)="Dendrovore","VegetarianRoughAnimal, DendrovoreAnimal",IF(_xlfn.XLOOKUP(B36,'Base stats'!B:B,'Base stats'!Y:Y)="Herbivore","VegetarianRoughAnimal",IF(_xlfn.XLOOKUP(B36,'Base stats'!B:B,'Base stats'!Y:Y)="OmnivoreRough","OmnivoreRoughAnimal, OvivoreAnimal","OmnivoreAnimal, OvivoreAnimal"))))))</f>
        <v>VegetarianRoughAnimal</v>
      </c>
      <c r="AZ36" s="2" t="str">
        <f>IF(_xlfn.XLOOKUP(_xlfn.XLOOKUP(B36,'Base stats'!B:B,'Base stats'!E:E),Groups!A:A,Groups!D:D)=1,MROUND((1-J36)*5+1,2)*IF(J36&lt;=0.4,2,1),"No")</f>
        <v>No</v>
      </c>
      <c r="BA36" s="2" t="str">
        <f>IF(AND(_xlfn.XLOOKUP(B36,'Base stats'!B:B,'Base stats'!AH:AH)="&lt;li&gt;Seal&lt;/li&gt;",G36="Odyssey"),"&lt;li&gt;AEXP_Seal&lt;/li&gt;",_xlfn.XLOOKUP(B36,'Base stats'!B:B,'Base stats'!AH:AH))</f>
        <v>&lt;li&gt;Rat&lt;/li&gt;</v>
      </c>
      <c r="BB36" s="2" t="str">
        <f>_xlfn.XLOOKUP(B36,'Base stats'!B:B,'Base stats'!AG:AG)</f>
        <v>Leather_Squirrel</v>
      </c>
      <c r="BC36" s="23" t="str">
        <f>_xlfn.XLOOKUP(_xlfn.XLOOKUP(B36,'Base stats'!B:B,'Base stats'!E:E),Groups!A:A,Groups!AL:AL)</f>
        <v>QuadrupedAnimalWithPawsAndTail</v>
      </c>
      <c r="BD36" s="23">
        <f>MIN(1,MROUND(IF(AND(AO36&lt;0.5,_xlfn.XLOOKUP(B36,'Base stats'!B:B,'Base stats'!AA:AA)=0),0,IF(OR(_xlfn.XLOOKUP(Animals!B36,'Base stats'!B:B,'Base stats'!O:O)=2,_xlfn.XLOOKUP(_xlfn.XLOOKUP(B36,'Base stats'!B:B,'Base stats'!E:E),Groups!A:A,Groups!AN:AN)=0),0,_xlfn.XLOOKUP(_xlfn.XLOOKUP(B36,'Base stats'!B:B,'Base stats'!E:E),Groups!A:A,Groups!AN:AN)/IF(_xlfn.XLOOKUP(Animals!B36,'Base stats'!B:B,'Base stats'!O:O)=1,2,1)))+_xlfn.XLOOKUP(B36,'Base stats'!B:B,'Base stats'!AC:AC),0.005))</f>
        <v>0</v>
      </c>
      <c r="BE36" s="23">
        <f>MIN(1,MROUND(IF(AND(AO36&lt;0.5,_xlfn.XLOOKUP(B36,'Base stats'!B:B,'Base stats'!AA:AA)=0),0,IF(_xlfn.XLOOKUP(_xlfn.XLOOKUP(B36,'Base stats'!B:B,'Base stats'!E:E),Groups!A:A,Groups!AO:AO)=0,0,_xlfn.XLOOKUP(_xlfn.XLOOKUP(B36,'Base stats'!B:B,'Base stats'!E:E),Groups!A:A,Groups!AO:AO)/IF(_xlfn.XLOOKUP(Animals!B36,'Base stats'!B:B,'Base stats'!O:O)=2,3,1)))+_xlfn.XLOOKUP(B36,'Base stats'!B:B,'Base stats'!AD:AD),0.005))</f>
        <v>0</v>
      </c>
      <c r="BF36" s="2" t="str">
        <f>IF(J36&gt;0.3,"No",_xlfn.XLOOKUP(_xlfn.XLOOKUP(Animals!B36,'Base stats'!B:B,'Base stats'!E:E),Groups!A:A,Groups!AP:AP))</f>
        <v>No</v>
      </c>
      <c r="BG36" s="2">
        <f>IF(AND(J36&lt;=0.65,_xlfn.XLOOKUP(_xlfn.XLOOKUP(Animals!B36,'Base stats'!B:B,'Base stats'!E:E),Groups!A:A,Groups!AP:AP)&lt;&gt;"No",_xlfn.XLOOKUP(_xlfn.XLOOKUP(B36,'Base stats'!B:B,'Base stats'!E:E),Groups!A:A,Groups!D:D)=0),MROUND((80/3)*IF(_xlfn.XLOOKUP(B36,'Base stats'!B:B,'Base stats'!O:O)=2,0.2,AO36) + 24*(1-IF(BF36="No",0,BF36)) + 16/3, 12),"No")</f>
        <v>36</v>
      </c>
      <c r="BH36" s="2">
        <f>IF(AND(_xlfn.XLOOKUP(_xlfn.XLOOKUP(B36,'Base stats'!B:B,'Base stats'!E:E),Groups!A:A,Groups!AQ:AQ)=1,AO36&lt;=0.35),8,12)</f>
        <v>8</v>
      </c>
      <c r="BI36" s="2" t="str">
        <f>IF(_xlfn.XLOOKUP(_xlfn.XLOOKUP(B36,'Base stats'!B:B,'Base stats'!E:E),Groups!A:A,Groups!D:D)=0,_xlfn.XLOOKUP(_xlfn.XLOOKUP(B36,'Base stats'!B:B,'Base stats'!E:E),Groups!A:A,Groups!AR:AR),"None")</f>
        <v>None</v>
      </c>
      <c r="BJ36" s="2" t="str">
        <f>IF(AND(_xlfn.XLOOKUP(_xlfn.XLOOKUP(B36,'Base stats'!B:B,'Base stats'!E:E),Groups!A:A,Groups!AS:AS)=1,OR(_xlfn.XLOOKUP(B36,'Base stats'!B:B,'Base stats'!Y:Y)="Carnivore",_xlfn.XLOOKUP(B36,'Base stats'!B:B,'Base stats'!Y:Y)="Omnivore")),"true","false")</f>
        <v>false</v>
      </c>
      <c r="BK36" s="2" t="str">
        <f>IF(BJ36="true",MROUND(IF(AND(AO36&gt;0.5,OR(_xlfn.XLOOKUP(_xlfn.XLOOKUP(B36,'Base stats'!B:B,'Base stats'!E:E),Groups!A:A,Groups!AJ:AJ)="Photonozoa",_xlfn.XLOOKUP(_xlfn.XLOOKUP(B36,'Base stats'!B:B,'Base stats'!E:E),Groups!A:A,Groups!AJ:AJ)="Mammal")),Animals!AO36*1.75*IF(AW36="true",1.5,1),IF(AO36&lt;0.5,Animals!AO36*0.5,Animals!AO36)),IF(AO36&gt;2,0.5,IF(AO36&gt;0.5,0.25,0.1))),"No")</f>
        <v>No</v>
      </c>
      <c r="BL36" s="2">
        <f t="shared" si="3"/>
        <v>0</v>
      </c>
      <c r="BM36" s="25" t="str">
        <f>IF(_xlfn.XLOOKUP(B36,'Base stats'!B:B,'Base stats'!AN:AN)="Standard","No",MROUND((_xlfn.XLOOKUP(B36,'Base stats'!B:B,'Base stats'!AN:AN)/3.6)/I36,0.1))</f>
        <v>No</v>
      </c>
      <c r="BN36" s="25" t="str">
        <f t="shared" si="4"/>
        <v>false</v>
      </c>
      <c r="BO36" s="25" t="str">
        <f>IF(AND(OR(_xlfn.XLOOKUP(B36,'Base stats'!B:B,'Base stats'!Y:Y)="Carnivore",_xlfn.XLOOKUP(B36,'Base stats'!B:B,'Base stats'!Y:Y)="Omnivore",_xlfn.XLOOKUP(B36,'Base stats'!B:B,'Base stats'!Y:Y)="OmnivoreRough"),_xlfn.XLOOKUP(_xlfn.XLOOKUP(B36,'Base stats'!B:B,'Base stats'!E:E),Groups!A:A,Groups!AT:AT)=1),"true","false")</f>
        <v>false</v>
      </c>
      <c r="BP36" s="25" t="str" cm="1">
        <f t="array" ref="BP36">IF(
  _xlfn.TEXTJOIN(", ",TRUE,
    IF(AND(BJ36="true",AO36&gt;0.5,BI36&lt;&gt;"None"),"AttackTarget",""),
    IF(AND(_xlfn.XLOOKUP(_xlfn.XLOOKUP(B36,'Base stats'!B:B,'Base stats'!E:E),Groups!A:A,Groups!AJ:AJ="Mammal"),OR(_xlfn.XLOOKUP(B36,'Base stats'!B:B,'Base stats'!Y:Y)="Omnivore",_xlfn.XLOOKUP(B36,'Base stats'!B:B,'Base stats'!Y:Y)="OmnivoreRough")),"Forage",""),
    IF(BG36&lt;=36,"Comfort",""),
    IF(_xlfn.XLOOKUP(B36,'Base stats'!B:B,'Base stats'!AE:AE)&lt;&gt;"No",_xlfn.XLOOKUP(B36,'Base stats'!B:B,'Base stats'!AE:AE),"")
  ) = "",
  "No",
  _xlfn.TEXTJOIN(", ",TRUE,
    IF(AND(BJ36="true",AO36&gt;0.5,BI36&lt;&gt;"None"),"AttackTarget",""),
    IF(AND(_xlfn.XLOOKUP(_xlfn.XLOOKUP(B36,'Base stats'!B:B,'Base stats'!E:E),Groups!A:A,Groups!AJ:AJ="Mammal"),OR(_xlfn.XLOOKUP(B36,'Base stats'!B:B,'Base stats'!Y:Y)="Omnivore",_xlfn.XLOOKUP(B36,'Base stats'!B:B,'Base stats'!Y:Y)="OmnivoreRough")),"Forage",""),
    IF(BG36&lt;=36,"Comfort",""),
    IF(_xlfn.XLOOKUP(B36,'Base stats'!B:B,'Base stats'!AE:AE)&lt;&gt;"No",_xlfn.XLOOKUP(B36,'Base stats'!B:B,'Base stats'!AE:AE),"")
  )
)</f>
        <v>Comfort</v>
      </c>
      <c r="BQ36" s="25" t="str">
        <f>IF(
   AND(
      'Base stats'!AN36="Standard",_xlfn.XLOOKUP(_xlfn.XLOOKUP(B36,'Base stats'!B:B,'Base stats'!E:E),Groups!A:A,Groups!AU:AU)=0,
      OR(
      BO36="True"
      )
   ),
   10,
   IF(
       OR(BM36&lt;&gt;"No",_xlfn.XLOOKUP(_xlfn.XLOOKUP(B36,'Base stats'!B:B,'Base stats'!E:E),Groups!A:A,Groups!AU:AU)=1),
      1,
      "No"
   )
)</f>
        <v>No</v>
      </c>
      <c r="BR36" s="9">
        <f>MROUND((1 + ((0.2*IF(OR(Q36="No",R36="No",R36=0),0,Q36/R36)
+IF(OR(V36="No",S36="No",T36="No"),0,S36/T36*(LEN(V36)-LEN(SUBSTITUTE(V36,",",""))+1))
+IF(OR(X36="No",Y36="No"),0,X36/Y36)
+IF(OR(AD36="No",AE36="No"),0,AD36/AE36)
+IF(OR(AL36="No",AI36="No",AJ36="No"),0,AI36/AJ36*(LEN(AL36)-LEN(SUBSTITUTE(AL36,",",""))+1))
)/(0.2*IF(OR(Q36="No",R36="No",R36=0),0,1)
+IF(OR(V36="No",S36="No",T36="No"),0,LEN(V36)-LEN(SUBSTITUTE(V36,",",""))+1)
+IF(OR(X36="No",Y36="No"),0,1)
+IF(OR(AD36="No",AE36="No"),0,1)
+IF(OR(AL36="No",AI36="No",AJ36="No"),0,LEN(AL36)-LEN(SUBSTITUTE(AL36,",",""))+1))*62%)* 2)*(1 + (AP36 / (IF(_xlfn.XLOOKUP(_xlfn.XLOOKUP(B36,'Base stats'!B:B,'Base stats'!E:E),Groups!A:A,Groups!AJ:AJ)="Photonozoa",0.3,1)) + _xlfn.XLOOKUP(B36,'Base stats'!B:B,'Base stats'!AV:AV) * 1.8) * 2) * 2.5 + 10 + I36 * 2,5)+IF(_xlfn.XLOOKUP(B36,'Base stats'!B:B,'Base stats'!AK:AK)=1,50,0)</f>
        <v>25</v>
      </c>
      <c r="BS36" s="8">
        <f t="shared" si="5"/>
        <v>0.25</v>
      </c>
      <c r="BT36" s="8" t="str">
        <f>_xlfn.XLOOKUP(B36,'Base stats'!B:B,'Base stats'!AF:AF)</f>
        <v>No</v>
      </c>
      <c r="BU36" s="2" t="str">
        <f>IF(AND(J36&lt;=0.95,OR(_xlfn.XLOOKUP(B36,'Base stats'!B:B,'Base stats'!AK:AK)=1,_xlfn.XLOOKUP(B36,'Base stats'!B:B,'Base stats'!Y:Y)="Carnivore",_xlfn.XLOOKUP(B36,'Base stats'!B:B,'Base stats'!Y:Y)="Omnivore",BE36&gt;0.1)),"true","false")</f>
        <v>false</v>
      </c>
      <c r="BV36" s="2" t="str">
        <f>IF(_xlfn.XLOOKUP(B36,'Base stats'!B:B,'Base stats'!AI:AI)=1,"true","false")</f>
        <v>false</v>
      </c>
      <c r="BW36" s="25" t="str">
        <f>IF(E36="BaseInsect","AnimalInsect",
IF(J36&gt;0.95,"AnimalExotic",
_xlfn.TEXTJOIN(", ",TRUE,
IF(OR(_xlfn.XLOOKUP(B36,'Base stats'!B:B,'Base stats'!AM:AM)=1,AND(_xlfn.XLOOKUP(B36,'Base stats'!B:B,'Base stats'!O:O)=0,_xlfn.XLOOKUP(_xlfn.XLOOKUP(B36,'Base stats'!B:B,'Base stats'!E:E),Groups!A:A,Groups!B:B)&gt;0)),"AnimalUncommon","AnimalCommon"),
IF(AND(_xlfn.XLOOKUP(B36,'Base stats'!B:B,'Base stats'!O:O)=2,_xlfn.XLOOKUP(_xlfn.XLOOKUP(B36,'Base stats'!B:B,'Base stats'!E:E),Groups!A:A,Groups!D:D)=0),"AnimalPet",IF(AND(_xlfn.XLOOKUP(B36,'Base stats'!B:B,'Base stats'!O:O)&lt;&gt;0,_xlfn.XLOOKUP(_xlfn.XLOOKUP(B36,'Base stats'!B:B,'Base stats'!E:E),Groups!A:A,Groups!D:D)&lt;&gt;0),"AnimalFarm","")),
IF(OR(_xlfn.XLOOKUP(B36,'Base stats'!B:B,'Base stats'!AK:AK)=1,AND(BI36&lt;&gt;"None",BR36&gt;=60),ISNUMBER(SEARCH("Attack target",BP36))),"AnimalFighter","")
)))</f>
        <v>AnimalCommon</v>
      </c>
      <c r="BX36" s="25" t="str">
        <f>IF(G36="None",TRIM(
SUBSTITUTE(
IF(COUNTIF(Biomes!B$2:B$259,"="&amp;$C36)&gt;0,Biomes!B$1&amp;", ","")&amp;
IF(COUNTIF(Biomes!C$2:C$259,"="&amp;$C36)&gt;0,Biomes!C$1&amp;", ","")&amp;
IF(COUNTIF(Biomes!D$2:D$259,"="&amp;$C36)&gt;0,Biomes!D$1&amp;", ","")&amp;
IF(COUNTIF(Biomes!F$2:F$259,"="&amp;$C36)&gt;0,Biomes!F$1&amp;", ","")&amp;
IF(COUNTIF(Biomes!G$2:G$259,"="&amp;$C36)&gt;0,Biomes!G$1&amp;", ","")&amp;
IF(COUNTIF(Biomes!H$2:H$259,"="&amp;$C36)&gt;0,Biomes!H$1&amp;", ","")&amp;
IF(COUNTIF(Biomes!I$2:I$259,"="&amp;$C36)&gt;0,Biomes!I$1&amp;", ","")&amp;
IF(COUNTIF(Biomes!J$2:J$259,"="&amp;$C36)&gt;0,Biomes!J$1&amp;", ","")&amp;
IF(COUNTIF(Biomes!M$2:M$259,"="&amp;$C36)&gt;0,Biomes!M$1&amp;", ","")&amp;
IF(COUNTIF(Biomes!N$2:N$259,"="&amp;$C36)&gt;0,Biomes!N$1&amp;", ","")&amp;
IF(COUNTIF(Biomes!O$2:O$259,"="&amp;$C36)&gt;0,Biomes!O$1&amp;", ","")&amp;
IF(COUNTIF(Biomes!P$2:P$259,"="&amp;$C36)&gt;0,Biomes!P$1&amp;", ","")&amp;
IF(COUNTIF(Biomes!K$2:K$259,"="&amp;$C36)&gt;0,Biomes!K$1&amp;", ","")&amp;
IF(COUNTIF(Biomes!Q$3:Q$259,"="&amp;$C36)&gt;0,Biomes!Q$1&amp;", ","")&amp;
IF(COUNTIF(Biomes!L$2:L$259,"="&amp;$C36)&gt;0,Biomes!L$1&amp;", ","")&amp;
IF(COUNTIF(Biomes!E$2:E$259,"="&amp;$C36)&gt;0,Biomes!E$1&amp;", ","")&amp;IF(COUNTIF(Biomes!S$2:S$259,"="&amp;$C36)&gt;0,Biomes!S$1&amp;", ","")&amp;
IF(COUNTIF(Biomes!R$2:R$259,"="&amp;$C36)&gt;0,Biomes!R$1&amp;", ",""),", ","")
),_xlfn.XLOOKUP(B36,B:B,BX:BX))</f>
        <v>BorealForest ColdBog TemperateForest TemperateSwamp GlacialPlain</v>
      </c>
      <c r="BY36" s="25" t="str">
        <f>IF(_xlfn.XLOOKUP(B36,'Base stats'!B:B,'Base stats'!AJ:AJ)=1,"true","false")</f>
        <v>false</v>
      </c>
      <c r="BZ36" s="25">
        <f>IF(_xlfn.XLOOKUP(B36,'Base stats'!B:B,'Base stats'!N:N)=1,"No",MAX(0.001,MIN(MROUND(IF(AND(BJ36="True",CC36="False"),POWER(10,3.47*LOG10(_xlfn.XLOOKUP(B36,'Base stats'!B:B,'Base stats'!C:C)*1000)^-0.96),POWER(10,4.15*LOG10(_xlfn.XLOOKUP(B36,'Base stats'!B:B,'Base stats'!C:C)*1000)^-0.73))*IF(_xlfn.XLOOKUP(B36,'Base stats'!B:B,'Base stats'!AK:AK)=1,0.5,1)*IF(_xlfn.XLOOKUP(B36,'Base stats'!B:B,'Base stats'!AM:AM)=1,0.1,1)/100,IF(_xlfn.XLOOKUP(B36,'Base stats'!B:B,'Base stats'!AM:AM)=1,0.001,0.025)),0.5)))</f>
        <v>0.5</v>
      </c>
      <c r="CA36" s="25" t="str">
        <f>IF(P36="Standard","No",MAX(0.001,MIN(MROUND(IF(AND(BJ36="True",CC36="False"),POWER(10,3.47*LOG10(_xlfn.XLOOKUP(B36,'Base stats'!B:B,'Base stats'!C:C)*1000)^-0.96),POWER(10,4.15*LOG10(_xlfn.XLOOKUP(B36,'Base stats'!B:B,'Base stats'!C:C)*1000)^-0.73))*IF(_xlfn.XLOOKUP(B36,'Base stats'!B:B,'Base stats'!AM:AM)=1,0.1,1)*_xlfn.XLOOKUP(B36,'Base stats'!B:B,'Base stats'!R:R)/100,IF(_xlfn.XLOOKUP(B36,'Base stats'!B:B,'Base stats'!AM:AM)=1,0.001,0.025)),0.5)))</f>
        <v>No</v>
      </c>
      <c r="CB36" s="25" t="str">
        <f>IF(_xlfn.XLOOKUP(_xlfn.XLOOKUP(B36,'Base stats'!B:B,'Base stats'!E:E),Groups!A:A,Groups!AJ:AJ)="Mammal","True","False")</f>
        <v>True</v>
      </c>
      <c r="CC36" s="25" t="str">
        <f>IF(OR(_xlfn.XLOOKUP(_xlfn.XLOOKUP(B36,'Base stats'!B:B,'Base stats'!E:E),Groups!A:A,Groups!AJ:AJ)="Reptile",_xlfn.XLOOKUP(_xlfn.XLOOKUP(B36,'Base stats'!B:B,'Base stats'!E:E),Groups!A:A,Groups!AJ:AJ)="Amphibian",_xlfn.XLOOKUP(_xlfn.XLOOKUP(B36,'Base stats'!B:B,'Base stats'!E:E),Groups!A:A,Groups!AJ:AJ)="Invertebrate"),"True","False")</f>
        <v>False</v>
      </c>
      <c r="CD36" s="25" t="str">
        <f t="shared" si="6"/>
        <v>False</v>
      </c>
      <c r="CE36" s="25" t="str">
        <f>IF(_xlfn.XLOOKUP(_xlfn.XLOOKUP(B36,'Base stats'!B:B,'Base stats'!E:E),Groups!A:A,Groups!AX:AX),"True","False")</f>
        <v>False</v>
      </c>
      <c r="CF36" s="25" t="str">
        <f>IF(_xlfn.XLOOKUP(_xlfn.XLOOKUP(B36,'Base stats'!B:B,'Base stats'!E:E),Groups!A:A,Groups!AY:AY),"True","False")</f>
        <v>False</v>
      </c>
      <c r="CG36" s="25" t="str">
        <f>IF(_xlfn.XLOOKUP(_xlfn.XLOOKUP(B36,'Base stats'!B:B,'Base stats'!E:E),Groups!A:A,Groups!AW:AW),"True","False")</f>
        <v>False</v>
      </c>
      <c r="CH36" s="25" t="str">
        <f>IF(
OR(
_xlfn.XLOOKUP(_xlfn.XLOOKUP(B36,'Base stats'!B:B,'Base stats'!E:E),Groups!A:A,Groups!AZ:AZ)=0,
AND(
_xlfn.XLOOKUP(B36,'Base stats'!B:B,'Base stats'!Y:Y)&lt;&gt;"Carnivore",
_xlfn.XLOOKUP(B36,'Base stats'!B:B,'Base stats'!Y:Y)&lt;&gt;"Omnivore",
_xlfn.XLOOKUP(B36,'Base stats'!B:B,'Base stats'!Y:Y)&lt;&gt;"OmnivoreRough"
)
),
"No",
IF(
_xlfn.XLOOKUP(_xlfn.XLOOKUP(B36,'Base stats'!B:B,'Base stats'!E:E),Groups!A:A,Groups!AZ:AZ)=1,
"Flesh",
IF(
_xlfn.XLOOKUP(_xlfn.XLOOKUP(B36,'Base stats'!B:B,'Base stats'!E:E),Groups!A:A,Groups!AZ:AZ)=2,
"Bone",
""
)
)
)</f>
        <v>No</v>
      </c>
      <c r="CI36" s="25" t="str">
        <f>IF(_xlfn.XLOOKUP(_xlfn.XLOOKUP(B36,'Base stats'!B:B,'Base stats'!E:E),Groups!A:A,Groups!BB:BB),"True","False")</f>
        <v>True</v>
      </c>
      <c r="CJ36" s="25" t="str">
        <f>IF(_xlfn.XLOOKUP(_xlfn.XLOOKUP(B36,'Base stats'!B:B,'Base stats'!E:E),Groups!A:A,Groups!BA:BA),"True","False")</f>
        <v>False</v>
      </c>
    </row>
    <row r="37" spans="1:88" ht="16.5" thickTop="1" thickBot="1" x14ac:dyDescent="0.3">
      <c r="A37" s="26" t="str">
        <f>_xlfn.XLOOKUP(B37,'Base stats'!B:B,'Base stats'!A:A)</f>
        <v>Guinea pig</v>
      </c>
      <c r="B37" s="6" t="s">
        <v>128</v>
      </c>
      <c r="C37" s="28" t="s">
        <v>712</v>
      </c>
      <c r="D37" s="28" t="s">
        <v>45</v>
      </c>
      <c r="E37" s="28" t="s">
        <v>673</v>
      </c>
      <c r="F37" s="28" t="s">
        <v>673</v>
      </c>
      <c r="G37" s="28" t="s">
        <v>673</v>
      </c>
      <c r="H37" s="2">
        <f>MROUND((
  (IF(AND(_xlfn.XLOOKUP(B37,'Base stats'!B:B,'Base stats'!AL:AL)=0,BI37="None",_xlfn.XLOOKUP(_xlfn.XLOOKUP(B37,'Base stats'!B:B,'Base stats'!E:E),Groups!A:A,Groups!B:B)=0), (18 + BR37 * 2.7) * 0.5,
    IF(AND(_xlfn.XLOOKUP(B37,'Base stats'!B:B,'Base stats'!AL:AL)=0,OR(AO37&lt;0.55,AND(BI37="Intermediate",_xlfn.XLOOKUP(_xlfn.XLOOKUP(B37,'Base stats'!B:B,'Base stats'!E:E),Groups!A:A,Groups!B:B)&lt;2))), (18 + BR37 * 2.7),
      IF(OR(BI37="Advanced",_xlfn.XLOOKUP(B37,'Base stats'!B:B,'Base stats'!AL:AL)=1,_xlfn.XLOOKUP(_xlfn.XLOOKUP(B37,'Base stats'!B:B,'Base stats'!E:E),Groups!A:A,Groups!B:B)=2), (18 + BR37 * 2.7) + 250, (18 + BR37 * 2.7))
    )
  ))
  + AO37 * 80
  + IF(COUNTIF(EggMilk!K$2:K$998, A37) &gt; 0, 125, 0)
  + IF(COUNTIF(EggMilk!P$2:P$998, A37) &gt; 0, 90, 0)
  + IF(COUNTIF(EggMilk!A$2:A$998, A37) &gt; 0, 90, 0)
)
* (0.8 + 0.4 * J37)
* 0.75,25)</f>
        <v>25</v>
      </c>
      <c r="I37" s="2">
        <f>MROUND(ROUNDDOWN(_xlfn.XLOOKUP(B37,'Base stats'!B:B,'Base stats'!L:L)/3.6/(23.3/11),1),0.5)</f>
        <v>2.5</v>
      </c>
      <c r="J37" s="2">
        <f>IF(OR(_xlfn.XLOOKUP(B37,'Base stats'!B:B,'Base stats'!AB:AB)=1,_xlfn.XLOOKUP(_xlfn.XLOOKUP(B37,'Base stats'!B:B,'Base stats'!E:E),Groups!A:A,Groups!C:C)="Untamable"),1,IF(_xlfn.XLOOKUP(B37,'Base stats'!B:B,'Base stats'!AL:AL)=1,0.99,MIN(MROUND((1-0.6282*EXP(-0.459*AO37))*_xlfn.XLOOKUP(_xlfn.XLOOKUP(B37,'Base stats'!B:B,'Base stats'!E:E),Groups!A:A,Groups!C:C)*IF(_xlfn.XLOOKUP(B37,'Base stats'!B:B,'Base stats'!O:O)=1,0.5,IF(_xlfn.XLOOKUP(B37,'Base stats'!B:B,'Base stats'!O:O)=2,0,1)),0.05),IF(AO37&gt;3.5,0.985,0.95))))</f>
        <v>0.25</v>
      </c>
      <c r="K37" s="2">
        <f>ROUNDUP(AO37*_xlfn.XLOOKUP(_xlfn.XLOOKUP(B37,'Base stats'!B:B,'Base stats'!E:E),Groups!A:A,Groups!E:E),0)</f>
        <v>1</v>
      </c>
      <c r="L37" s="2">
        <f>IF(OR(_xlfn.XLOOKUP(_xlfn.XLOOKUP(B37,'Base stats'!B:B,'Base stats'!E:E),Groups!A:A,Groups!F:F)=2,ISNUMBER(SEARCH("SeaIce",BX37)),ISNUMBER(SEARCH("IceSheet",BX37))),-50,IF(OR(ISNUMBER(SEARCH("GlacialPlain",BX37)),ISNUMBER(SEARCH("Tundra",BX37))),-40,IF(OR(ISNUMBER(SEARCH("Alpine",BX37)),ISNUMBER(SEARCH("BorealForest",BX37)),ISNUMBER(SEARCH("ColdBog",BX37))),-30,IF(OR(ISNUMBER(SEARCH("TemperateForest",BX37)),ISNUMBER(SEARCH("TemperateSwamp",BX37))),-20,IF(_xlfn.XLOOKUP(_xlfn.XLOOKUP(B37,'Base stats'!B:B,'Base stats'!E:E),Groups!A:A,Groups!F:F)=1,-15,IF(OR(ISNUMBER(SEARCH("Desert",BX37)),ISNUMBER(SEARCH("ExtremeDesert",BX37))),-10,IF(OR(ISNUMBER(SEARCH("Grasslands",BX37)),ISNUMBER(SEARCH("TropicalRainforest",BX37)),ISNUMBER(SEARCH("TropicalSwamp",BX37))),10,0)))))))-IF(CC37="False",MIN(IFERROR(MAX(MROUND(LOG10(_xlfn.XLOOKUP(B37,'Base stats'!B:B,'Base stats'!C:C)^(2/3))*10,5),5),5),30))-_xlfn.XLOOKUP(B37,'Base stats'!B:B,'Base stats'!P:P)+IF(CC37="True",5,0)</f>
        <v>5</v>
      </c>
      <c r="M37" s="2">
        <f>IF(OR(_xlfn.XLOOKUP(_xlfn.XLOOKUP(B37,'Base stats'!B:B,'Base stats'!E:E),Groups!A:A,Groups!G:G)=2,ISNUMBER(SEARCH("Desert",BX37)),ISNUMBER(SEARCH("ExtremeDesert",BX37)),ISNUMBER(SEARCH("LavaField",BX37))),50,IF(ISNUMBER(SEARCH("Grasslands",BX37)),45,IF(OR(_xlfn.XLOOKUP(_xlfn.XLOOKUP(B37,'Base stats'!B:B,'Base stats'!E:E),Groups!A:A,Groups!G:G)=1,ISNUMBER(SEARCH("TropicalRainforest",BX37)),ISNUMBER(SEARCH("TropicalSwamp",BX37))),40,IF(OR(ISNUMBER(SEARCH("TemperateForest",BX37)),ISNUMBER(SEARCH("TemperateSwamp",BX37))),35,IF(OR(ISNUMBER(SEARCH("Alpine",BX37)),ISNUMBER(SEARCH("BorealForest",BX37)),ISNUMBER(SEARCH("ColdBog",BX37))),30,IF(ISNUMBER(OR(ISNUMBER(SEARCH("GlacialPlain",BX37)),SEARCH("Tundra",BX37))),25,IF(OR(ISNUMBER(SEARCH("SeaIce",BX37)),ISNUMBER(SEARCH("IceSheet",BX37)),ISNUMBER(SEARCH("TropicalSwamp",BX37))),10,35)))))))+_xlfn.XLOOKUP(B37,'Base stats'!B:B,'Base stats'!Q:Q)</f>
        <v>50</v>
      </c>
      <c r="N37" s="8" t="str">
        <f>IF(
_xlfn.XLOOKUP(
_xlfn.XLOOKUP(B37,'Base stats'!B:B,'Base stats'!E:E),
Groups!A:A,
Groups!L:L
)=1,
MIN(
MROUND(
IF(
_xlfn.XLOOKUP(B37,'Animals CE'!B:B,'Animals CE'!Z:Z)&lt;=1.5,
_xlfn.XLOOKUP(B37,'Animals CE'!B:B,'Animals CE'!Z:Z)/2+0.05,
0.8+
(_xlfn.XLOOKUP(B37,'Animals CE'!B:B,'Animals CE'!Z:Z)-1.5)
*0.02
),
0.05
),
200%
),
"No"
)</f>
        <v>No</v>
      </c>
      <c r="O37" s="8" t="str">
        <f>IF(
_xlfn.XLOOKUP(
_xlfn.XLOOKUP(B37,'Base stats'!B:B,'Base stats'!E:E),
Groups!A:A,
Groups!L:L
)=1,
MIN(
MROUND(
IF(
_xlfn.XLOOKUP(B37,'Animals CE'!B:B,'Animals CE'!AA:AA)&lt;=1.5,
_xlfn.XLOOKUP(B37,'Animals CE'!B:B,'Animals CE'!AA:AA)/2+0.05,
0.8+
(_xlfn.XLOOKUP(B37,'Animals CE'!B:B,'Animals CE'!AA:AA)-1.5)
*0.02
),
0.05
),
200%
),
"No"
)</f>
        <v>No</v>
      </c>
      <c r="P37" s="2" t="str">
        <f>_xlfn.XLOOKUP(B37,'Base stats'!B:B,'Base stats'!R:R)</f>
        <v>Standard</v>
      </c>
      <c r="Q37" s="13">
        <f>MROUND((LOG10(_xlfn.XLOOKUP(B37,'Base stats'!B:B,'Base stats'!AR:AR))*(AO37^0.5)+(_xlfn.XLOOKUP(B37,'Base stats'!B:B,'Base stats'!AR:AR)/1000)^(2/3)+_xlfn.XLOOKUP(B37,'Base stats'!B:B,'Base stats'!BA:BA)/2)+0.5,0.5)</f>
        <v>1.5</v>
      </c>
      <c r="R37" s="7">
        <f>IF(Q37="No","No",MAX(1,MROUND(_xlfn.XLOOKUP(B37,'Base stats'!B:B,'Base stats'!C:C)^0.165,0.05)))</f>
        <v>1</v>
      </c>
      <c r="S37" s="13" t="str">
        <f>IF(_xlfn.XLOOKUP(_xlfn.XLOOKUP(B37,'Base stats'!B:B,'Base stats'!E:E),Groups!A:A,Groups!P:P)=0,"No",MROUND((LOG10(_xlfn.XLOOKUP(B37,'Base stats'!B:B,'Base stats'!AS:AS))*(AO37^0.5)+(_xlfn.XLOOKUP(B37,'Base stats'!B:B,'Base stats'!AS:AS)/1000)^(2/3)+_xlfn.XLOOKUP(B37,'Base stats'!B:B,'Base stats'!BA:BA))+_xlfn.XLOOKUP(B37,'Base stats'!B:B,'Base stats'!AY:AY)+0.5,0.5))</f>
        <v>No</v>
      </c>
      <c r="T37" s="7" t="str">
        <f>IF(S37="No","No",MAX(_xlfn.XLOOKUP(_xlfn.XLOOKUP(B37,'Base stats'!B:B,'Base stats'!E:E),Groups!A:A,Groups!Q:Q),MROUND(_xlfn.XLOOKUP(_xlfn.XLOOKUP(B37,'Base stats'!B:B,'Base stats'!E:E),Groups!A:A,Groups!Q:Q)*_xlfn.XLOOKUP(B37,'Base stats'!B:B,'Base stats'!C:C)^0.165,0.05)))</f>
        <v>No</v>
      </c>
      <c r="U37" s="7" t="str">
        <f>IF(S37="No","No",_xlfn.XLOOKUP(_xlfn.XLOOKUP(B37,'Base stats'!B:B,'Base stats'!E:E),Groups!A:A,Groups!R:R))</f>
        <v>No</v>
      </c>
      <c r="V37" s="7" t="str">
        <f>IF(S37="No","No",_xlfn.XLOOKUP(_xlfn.XLOOKUP(B37,'Base stats'!B:B,'Base stats'!E:E),Groups!A:A,Groups!S:S))</f>
        <v>No</v>
      </c>
      <c r="W37" s="7" t="str">
        <f>IF(S37="No","No",_xlfn.XLOOKUP(_xlfn.XLOOKUP(B37,'Base stats'!B:B,'Base stats'!E:E),Groups!A:A,Groups!T:T))</f>
        <v>No</v>
      </c>
      <c r="X37" s="13" t="str">
        <f>IF(_xlfn.XLOOKUP(B37,'Base stats'!B:B,'Base stats'!W:W)="No","No",MROUND((LOG10(_xlfn.XLOOKUP(B37,'Base stats'!B:B,'Base stats'!AU:AU))*(AO37^0.5)+(_xlfn.XLOOKUP(B37,'Base stats'!B:B,'Base stats'!AU:AU)/1000)^(2/3)+_xlfn.XLOOKUP(B37,'Base stats'!B:B,'Base stats'!AZ:AZ))+0.5+IF(_xlfn.XLOOKUP(_xlfn.XLOOKUP(B37,'Base stats'!B:B,'Base stats'!E:E),Groups!A:A,Groups!U:U)&lt;&gt;3,_xlfn.XLOOKUP(B37,'Base stats'!B:B,'Base stats'!BA:BA),0),0.5))</f>
        <v>No</v>
      </c>
      <c r="Y37" s="7" t="str">
        <f>IF(X37="No","No",MAX(_xlfn.XLOOKUP(_xlfn.XLOOKUP(B37,'Base stats'!B:B,'Base stats'!E:E),Groups!A:A,Groups!V:V),MROUND(_xlfn.XLOOKUP(_xlfn.XLOOKUP(B37,'Base stats'!B:B,'Base stats'!E:E),Groups!A:A,Groups!V:V)*_xlfn.XLOOKUP(B37,'Base stats'!B:B,'Base stats'!C:C)^0.165,0.05)))</f>
        <v>No</v>
      </c>
      <c r="Z37" s="7" t="str">
        <f>IF(X37="No","No",_xlfn.XLOOKUP(_xlfn.XLOOKUP(B37,'Base stats'!B:B,'Base stats'!E:E),Groups!A:A,Groups!W:W))</f>
        <v>No</v>
      </c>
      <c r="AA37" s="7" t="str">
        <f>IF(X37="No","No",_xlfn.XLOOKUP(_xlfn.XLOOKUP(B37,'Base stats'!B:B,'Base stats'!E:E),Groups!A:A,Groups!X:X))</f>
        <v>No</v>
      </c>
      <c r="AB37" s="7" t="str">
        <f>IF(X37="No","No",_xlfn.XLOOKUP(_xlfn.XLOOKUP(B37,'Base stats'!B:B,'Base stats'!E:E),Groups!A:A,Groups!Y:Y))</f>
        <v>No</v>
      </c>
      <c r="AC37" s="7" t="str">
        <f>_xlfn.XLOOKUP(Animals!B37,'Base stats'!B:B,'Base stats'!X:X)</f>
        <v>False</v>
      </c>
      <c r="AD37" s="13">
        <f>IF(_xlfn.XLOOKUP(B37,'Base stats'!B:B,'Base stats'!AT:AT)="No","No",MROUND((LOG10(_xlfn.XLOOKUP(B37,'Base stats'!B:B,'Base stats'!AT:AT))*(AO37^0.75)+(_xlfn.XLOOKUP(B37,'Base stats'!B:B,'Base stats'!AT:AT)/1000)^(2/3)+_xlfn.XLOOKUP(B37,'Base stats'!B:B,'Base stats'!AX:AX)+_xlfn.XLOOKUP(B37,'Base stats'!B:B,'Base stats'!BA:BA))+0.5,0.5))</f>
        <v>1.5</v>
      </c>
      <c r="AE37" s="7">
        <f>IF(AD37="No","No",MAX(_xlfn.XLOOKUP(_xlfn.XLOOKUP(B37,'Base stats'!B:B,'Base stats'!E:E),Groups!A:A,Groups!Z:Z),MROUND(_xlfn.XLOOKUP(_xlfn.XLOOKUP(B37,'Base stats'!B:B,'Base stats'!E:E),Groups!A:A,Groups!Z:Z)*_xlfn.XLOOKUP(B37,'Base stats'!B:B,'Base stats'!C:C)^0.165,0.05)))</f>
        <v>1</v>
      </c>
      <c r="AF37" s="7" t="str">
        <f>IF(AD37="No","No",_xlfn.XLOOKUP(_xlfn.XLOOKUP(B37,'Base stats'!B:B,'Base stats'!E:E),Groups!A:A,Groups!AA:AA))</f>
        <v>Teeth</v>
      </c>
      <c r="AG37" s="7" t="str">
        <f>IF(AD37="No","No",_xlfn.XLOOKUP(_xlfn.XLOOKUP(B37,'Base stats'!B:B,'Base stats'!E:E),Groups!A:A,Groups!AB:AB))</f>
        <v>Incisors</v>
      </c>
      <c r="AH37" s="7" t="str">
        <f>IF(AD37="No","No",_xlfn.XLOOKUP(_xlfn.XLOOKUP(B37,'Base stats'!B:B,'Base stats'!E:E),Groups!A:A,Groups!AC:AC))</f>
        <v>Bite</v>
      </c>
      <c r="AI37" s="13" t="str">
        <f>IF(_xlfn.XLOOKUP(_xlfn.XLOOKUP(B37,'Base stats'!B:B,'Base stats'!E:E),Groups!A:A,Groups!AD:AD)=0,"No",MROUND((LOG10(_xlfn.XLOOKUP(B37,'Base stats'!B:B,'Base stats'!AS:AS))*(AO37^0.75)+(_xlfn.XLOOKUP(B37,'Base stats'!B:B,'Base stats'!AS:AS)/1000)^(2/3)+_xlfn.XLOOKUP(B37,'Base stats'!B:B,'Base stats'!AY:AY)+_xlfn.XLOOKUP(B37,'Base stats'!B:B,'Base stats'!BA:BA))+0.5,0.5))</f>
        <v>No</v>
      </c>
      <c r="AJ37" s="7" t="str">
        <f>IF(AI37="No","No",MAX(_xlfn.XLOOKUP(_xlfn.XLOOKUP(B37,'Base stats'!B:B,'Base stats'!E:E),Groups!A:A,Groups!AE:AE),MROUND(_xlfn.XLOOKUP(_xlfn.XLOOKUP(B37,'Base stats'!B:B,'Base stats'!E:E),Groups!A:A,Groups!AE:AE)*IF(_xlfn.XLOOKUP(_xlfn.XLOOKUP(B37,'Base stats'!B:B,'Base stats'!E:E),Groups!A:A,Groups!AJ:AJ)="Photonozoa",0.6,1)*_xlfn.XLOOKUP(B37,'Base stats'!B:B,'Base stats'!C:C)^0.165,0.05)))</f>
        <v>No</v>
      </c>
      <c r="AK37" s="7" t="str">
        <f>IF(AI37="No","No",_xlfn.XLOOKUP(_xlfn.XLOOKUP(B37,'Base stats'!B:B,'Base stats'!E:E),Groups!A:A,Groups!AF:AF))</f>
        <v>No</v>
      </c>
      <c r="AL37" s="7" t="str">
        <f>IF(AI37="No","No",_xlfn.XLOOKUP(_xlfn.XLOOKUP(B37,'Base stats'!B:B,'Base stats'!E:E),Groups!A:A,Groups!AG:AG))</f>
        <v>No</v>
      </c>
      <c r="AM37" s="7" t="str">
        <f>IF(AI37="No","No",_xlfn.XLOOKUP(_xlfn.XLOOKUP(B37,'Base stats'!B:B,'Base stats'!E:E),Groups!A:A,Groups!AH:AH))</f>
        <v>No</v>
      </c>
      <c r="AN37" s="2" t="str">
        <f t="shared" si="0"/>
        <v>No</v>
      </c>
      <c r="AO37" s="2">
        <f>MROUND(IF(AND(_xlfn.XLOOKUP(B37,'Base stats'!B:B,'Base stats'!C:C)&gt;=0.5,_xlfn.XLOOKUP(B37,'Base stats'!B:B,'Base stats'!C:C)&lt;=0.8),
IF(_xlfn.XLOOKUP(B37,'Base stats'!B:B,'Base stats'!C:C)&lt;0.1,0.05,IF(_xlfn.XLOOKUP(B37,'Base stats'!B:B,'Base stats'!C:C)&lt;=70,(_xlfn.XLOOKUP(B37,'Base stats'!B:B,'Base stats'!C:C)/70)^0.426489913056526,IF(_xlfn.XLOOKUP(B37,'Base stats'!B:B,'Base stats'!C:C)&lt;=400,(_xlfn.XLOOKUP(B37,'Base stats'!B:B,'Base stats'!C:C)/70)^0.572811455315093,IF(_xlfn.XLOOKUP(B37,'Base stats'!B:B,'Base stats'!C:C)&lt;=2000,2.71391647193063*(_xlfn.XLOOKUP(B37,'Base stats'!B:B,'Base stats'!C:C)/400)^0.252459582904293,3.74314280240376*(_xlfn.XLOOKUP(B37,'Base stats'!B:B,'Base stats'!C:C)/2000)^0.357012633876913)))),
IF(_xlfn.XLOOKUP(B37,'Base stats'!B:B,'Base stats'!C:C)&lt;0.1,0.05,IF(_xlfn.XLOOKUP(B37,'Base stats'!B:B,'Base stats'!C:C)&lt;0.4,0.1,IF(_xlfn.XLOOKUP(B37,'Base stats'!B:B,'Base stats'!C:C)&lt;=70,(_xlfn.XLOOKUP(B37,'Base stats'!B:B,'Base stats'!C:C)/70)^0.445823913056526,IF(_xlfn.XLOOKUP(B37,'Base stats'!B:B,'Base stats'!C:C)&lt;=400,(_xlfn.XLOOKUP(B37,'Base stats'!B:B,'Base stats'!C:C)/70)^0.572811455315093,IF(_xlfn.XLOOKUP(B37,'Base stats'!B:B,'Base stats'!C:C)&lt;=2000,2.71391647193063*(_xlfn.XLOOKUP(B37,'Base stats'!B:B,'Base stats'!C:C)/400)^0.252459582904293,3.74314280240376*(_xlfn.XLOOKUP(B37,'Base stats'!B:B,'Base stats'!C:C)/2000)^0.357012633876913)))))),
IF(_xlfn.XLOOKUP(B37,'Base stats'!B:B,'Base stats'!C:C)&lt;0.1,0.05,IF(_xlfn.XLOOKUP(B37,'Base stats'!B:B,'Base stats'!C:C)&lt;=100,0.05,IF(_xlfn.XLOOKUP(B37,'Base stats'!B:B,'Base stats'!C:C)&lt;=250,0.1,IF(_xlfn.XLOOKUP(B37,'Base stats'!B:B,'Base stats'!C:C)&lt;=4000,0.25,0.5)))))</f>
        <v>0.15000000000000002</v>
      </c>
      <c r="AP37" s="8">
        <f>MROUND(AO37*_xlfn.XLOOKUP(_xlfn.XLOOKUP(B37,'Base stats'!B:B,'Base stats'!E:E),Groups!A:A,Groups!AI:AI)*_xlfn.XLOOKUP(B37,'Base stats'!B:B,'Base stats'!Z:Z),0.05)</f>
        <v>0.15000000000000002</v>
      </c>
      <c r="AQ37" s="8">
        <f>MAX(0.01,MROUND(IF(CC37="True",0.196*(AO37*100*1000)^0.889,IF(_xlfn.XLOOKUP(_xlfn.XLOOKUP(B37,'Base stats'!B:B,'Base stats'!E:E),Groups!A:A,Groups!AJ:AJ)="Bird",10.5*(AO37*100*1000)^0.681,4.82*(AO37*100*1000)^0.734))/(4.82*(1*100*1000)^0.734)/IF(AO37&lt;3.5,2,IF(AO37=3.5,1.5,1.25))*(1+0.132282374779864/(AO37^0.994035016789033+0.00905238001496948)),0.05))</f>
        <v>0.25</v>
      </c>
      <c r="AR37" s="9">
        <f>IFERROR(MROUND(_xlfn.XLOOKUP(B37,'Base stats'!B:B,'Base stats'!H:H)/IF(_xlfn.XLOOKUP(B37,'Base stats'!B:B,'Base stats'!I:I)&lt;&gt;1,(122.5/70),1.2),IF(_xlfn.XLOOKUP(B37,'Base stats'!B:B,'Base stats'!H:H)&gt;=30,5,IF(_xlfn.XLOOKUP(B37,'Base stats'!B:B,'Base stats'!H:H)&gt;=15,3,IF(_xlfn.XLOOKUP(B37,'Base stats'!B:B,'Base stats'!H:H)&gt;=10,2,1)))),"Immortal")</f>
        <v>6</v>
      </c>
      <c r="AS37" s="35">
        <f>IFERROR(IF(OR(_xlfn.XLOOKUP(B37,'Base stats'!B:B,'Base stats'!F:F)="Atypical reproduction",_xlfn.XLOOKUP(B37,'Base stats'!B:B,'Base stats'!F:F)="Lay eggs"),"Lay eggs",MIN(20,MAX(5.5,ROUND(((_xlfn.XLOOKUP(B37,'Base stats'!B:B,'Base stats'!F:F)-25)*(14.5/615) + 5.5)*2,0)/2))),"Unknown")</f>
        <v>6.5</v>
      </c>
      <c r="AT37" s="8">
        <f>IF(_xlfn.XLOOKUP(B37,'Base stats'!B:B,'Base stats'!G:G)="Atypical reproduction","No",IFERROR(MAX(IF(_xlfn.XLOOKUP(B37,'Base stats'!B:B,'Base stats'!G:G)&lt;0.5,0.2,0.3),MROUND(_xlfn.XLOOKUP(B37,'Base stats'!B:B,'Base stats'!G:G)/(365/60),0.2)),"Unknown"))</f>
        <v>0.2</v>
      </c>
      <c r="AU37" s="8">
        <f t="shared" si="1"/>
        <v>0.1</v>
      </c>
      <c r="AV37" s="8">
        <f>IFERROR(IFERROR(MROUND(_xlfn.XLOOKUP(B37,'Base stats'!B:B,'Base stats'!J:J),0.1),"Lay eggs"),"Cannot breed")</f>
        <v>3.8000000000000003</v>
      </c>
      <c r="AW37" s="2" t="str">
        <f t="shared" si="2"/>
        <v>true</v>
      </c>
      <c r="AX37" s="2" t="str">
        <f>IF(_xlfn.XLOOKUP(_xlfn.XLOOKUP(Animals!B37,'Base stats'!B:B,'Base stats'!E:E),Groups!A:A,Groups!AK:AK)=1,"true","false")</f>
        <v>false</v>
      </c>
      <c r="AY37" s="25" t="str">
        <f>IF(_xlfn.XLOOKUP(B37,'Base stats'!B:B,'Base stats'!Y:Y)="Liquor","Liquor, CarnivoreAnimalStrict",IF(AND(_xlfn.XLOOKUP(B37,'Base stats'!B:B,'Base stats'!Y:Y)="Carnivore",_xlfn.XLOOKUP(_xlfn.XLOOKUP(B37,'Base stats'!B:B,'Base stats'!E:E),Groups!A:A,Groups!AJ:AJ)="Photonozoa"),"CarnivoreAnimalStrict, OvivoreAnimal",IF(_xlfn.XLOOKUP(B37,'Base stats'!B:B,'Base stats'!Y:Y)="Carnivore","CarnivoreAnimal, OvivoreAnimal",IF(_xlfn.XLOOKUP(B37,'Base stats'!B:B,'Base stats'!Y:Y)="Dendrovore","VegetarianRoughAnimal, DendrovoreAnimal",IF(_xlfn.XLOOKUP(B37,'Base stats'!B:B,'Base stats'!Y:Y)="Herbivore","VegetarianRoughAnimal",IF(_xlfn.XLOOKUP(B37,'Base stats'!B:B,'Base stats'!Y:Y)="OmnivoreRough","OmnivoreRoughAnimal, OvivoreAnimal","OmnivoreAnimal, OvivoreAnimal"))))))</f>
        <v>VegetarianRoughAnimal</v>
      </c>
      <c r="AZ37" s="2" t="str">
        <f>IF(_xlfn.XLOOKUP(_xlfn.XLOOKUP(B37,'Base stats'!B:B,'Base stats'!E:E),Groups!A:A,Groups!D:D)=1,MROUND((1-J37)*5+1,2)*IF(J37&lt;=0.4,2,1),"No")</f>
        <v>No</v>
      </c>
      <c r="BA37" s="2" t="str">
        <f>IF(AND(_xlfn.XLOOKUP(B37,'Base stats'!B:B,'Base stats'!AH:AH)="&lt;li&gt;Seal&lt;/li&gt;",G37="Odyssey"),"&lt;li&gt;AEXP_Seal&lt;/li&gt;",_xlfn.XLOOKUP(B37,'Base stats'!B:B,'Base stats'!AH:AH))</f>
        <v>&lt;li&gt;Rat&lt;/li&gt;</v>
      </c>
      <c r="BB37" s="2" t="str">
        <f>_xlfn.XLOOKUP(B37,'Base stats'!B:B,'Base stats'!AG:AG)</f>
        <v>Leather_Light</v>
      </c>
      <c r="BC37" s="23" t="str">
        <f>_xlfn.XLOOKUP(_xlfn.XLOOKUP(B37,'Base stats'!B:B,'Base stats'!E:E),Groups!A:A,Groups!AL:AL)</f>
        <v>QuadrupedAnimalWithPaws</v>
      </c>
      <c r="BD37" s="23">
        <f>MIN(1,MROUND(IF(AND(AO37&lt;0.5,_xlfn.XLOOKUP(B37,'Base stats'!B:B,'Base stats'!AA:AA)=0),0,IF(OR(_xlfn.XLOOKUP(Animals!B37,'Base stats'!B:B,'Base stats'!O:O)=2,_xlfn.XLOOKUP(_xlfn.XLOOKUP(B37,'Base stats'!B:B,'Base stats'!E:E),Groups!A:A,Groups!AN:AN)=0),0,_xlfn.XLOOKUP(_xlfn.XLOOKUP(B37,'Base stats'!B:B,'Base stats'!E:E),Groups!A:A,Groups!AN:AN)/IF(_xlfn.XLOOKUP(Animals!B37,'Base stats'!B:B,'Base stats'!O:O)=1,2,1)))+_xlfn.XLOOKUP(B37,'Base stats'!B:B,'Base stats'!AC:AC),0.005))</f>
        <v>0</v>
      </c>
      <c r="BE37" s="23">
        <f>MIN(1,MROUND(IF(AND(AO37&lt;0.5,_xlfn.XLOOKUP(B37,'Base stats'!B:B,'Base stats'!AA:AA)=0),0,IF(_xlfn.XLOOKUP(_xlfn.XLOOKUP(B37,'Base stats'!B:B,'Base stats'!E:E),Groups!A:A,Groups!AO:AO)=0,0,_xlfn.XLOOKUP(_xlfn.XLOOKUP(B37,'Base stats'!B:B,'Base stats'!E:E),Groups!A:A,Groups!AO:AO)/IF(_xlfn.XLOOKUP(Animals!B37,'Base stats'!B:B,'Base stats'!O:O)=2,3,1)))+_xlfn.XLOOKUP(B37,'Base stats'!B:B,'Base stats'!AD:AD),0.005))</f>
        <v>0</v>
      </c>
      <c r="BF37" s="2">
        <f>IF(J37&gt;0.3,"No",_xlfn.XLOOKUP(_xlfn.XLOOKUP(Animals!B37,'Base stats'!B:B,'Base stats'!E:E),Groups!A:A,Groups!AP:AP))</f>
        <v>0.5</v>
      </c>
      <c r="BG37" s="2">
        <f>IF(AND(J37&lt;=0.65,_xlfn.XLOOKUP(_xlfn.XLOOKUP(Animals!B37,'Base stats'!B:B,'Base stats'!E:E),Groups!A:A,Groups!AP:AP)&lt;&gt;"No",_xlfn.XLOOKUP(_xlfn.XLOOKUP(B37,'Base stats'!B:B,'Base stats'!E:E),Groups!A:A,Groups!D:D)=0),MROUND((80/3)*IF(_xlfn.XLOOKUP(B37,'Base stats'!B:B,'Base stats'!O:O)=2,0.2,AO37) + 24*(1-IF(BF37="No",0,BF37)) + 16/3, 12),"No")</f>
        <v>24</v>
      </c>
      <c r="BH37" s="2">
        <f>IF(AND(_xlfn.XLOOKUP(_xlfn.XLOOKUP(B37,'Base stats'!B:B,'Base stats'!E:E),Groups!A:A,Groups!AQ:AQ)=1,AO37&lt;=0.35),8,12)</f>
        <v>8</v>
      </c>
      <c r="BI37" s="2" t="str">
        <f>IF(_xlfn.XLOOKUP(_xlfn.XLOOKUP(B37,'Base stats'!B:B,'Base stats'!E:E),Groups!A:A,Groups!D:D)=0,_xlfn.XLOOKUP(_xlfn.XLOOKUP(B37,'Base stats'!B:B,'Base stats'!E:E),Groups!A:A,Groups!AR:AR),"None")</f>
        <v>None</v>
      </c>
      <c r="BJ37" s="2" t="str">
        <f>IF(AND(_xlfn.XLOOKUP(_xlfn.XLOOKUP(B37,'Base stats'!B:B,'Base stats'!E:E),Groups!A:A,Groups!AS:AS)=1,OR(_xlfn.XLOOKUP(B37,'Base stats'!B:B,'Base stats'!Y:Y)="Carnivore",_xlfn.XLOOKUP(B37,'Base stats'!B:B,'Base stats'!Y:Y)="Omnivore")),"true","false")</f>
        <v>false</v>
      </c>
      <c r="BK37" s="2" t="str">
        <f>IF(BJ37="true",MROUND(IF(AND(AO37&gt;0.5,OR(_xlfn.XLOOKUP(_xlfn.XLOOKUP(B37,'Base stats'!B:B,'Base stats'!E:E),Groups!A:A,Groups!AJ:AJ)="Photonozoa",_xlfn.XLOOKUP(_xlfn.XLOOKUP(B37,'Base stats'!B:B,'Base stats'!E:E),Groups!A:A,Groups!AJ:AJ)="Mammal")),Animals!AO37*1.75*IF(AW37="true",1.5,1),IF(AO37&lt;0.5,Animals!AO37*0.5,Animals!AO37)),IF(AO37&gt;2,0.5,IF(AO37&gt;0.5,0.25,0.1))),"No")</f>
        <v>No</v>
      </c>
      <c r="BL37" s="2">
        <f t="shared" si="3"/>
        <v>0</v>
      </c>
      <c r="BM37" s="25" t="str">
        <f>IF(_xlfn.XLOOKUP(B37,'Base stats'!B:B,'Base stats'!AN:AN)="Standard","No",MROUND((_xlfn.XLOOKUP(B37,'Base stats'!B:B,'Base stats'!AN:AN)/3.6)/I37,0.1))</f>
        <v>No</v>
      </c>
      <c r="BN37" s="25" t="str">
        <f t="shared" si="4"/>
        <v>false</v>
      </c>
      <c r="BO37" s="25" t="str">
        <f>IF(AND(OR(_xlfn.XLOOKUP(B37,'Base stats'!B:B,'Base stats'!Y:Y)="Carnivore",_xlfn.XLOOKUP(B37,'Base stats'!B:B,'Base stats'!Y:Y)="Omnivore",_xlfn.XLOOKUP(B37,'Base stats'!B:B,'Base stats'!Y:Y)="OmnivoreRough"),_xlfn.XLOOKUP(_xlfn.XLOOKUP(B37,'Base stats'!B:B,'Base stats'!E:E),Groups!A:A,Groups!AT:AT)=1),"true","false")</f>
        <v>false</v>
      </c>
      <c r="BP37" s="25" t="str" cm="1">
        <f t="array" ref="BP37">IF(
  _xlfn.TEXTJOIN(", ",TRUE,
    IF(AND(BJ37="true",AO37&gt;0.5,BI37&lt;&gt;"None"),"AttackTarget",""),
    IF(AND(_xlfn.XLOOKUP(_xlfn.XLOOKUP(B37,'Base stats'!B:B,'Base stats'!E:E),Groups!A:A,Groups!AJ:AJ="Mammal"),OR(_xlfn.XLOOKUP(B37,'Base stats'!B:B,'Base stats'!Y:Y)="Omnivore",_xlfn.XLOOKUP(B37,'Base stats'!B:B,'Base stats'!Y:Y)="OmnivoreRough")),"Forage",""),
    IF(BG37&lt;=36,"Comfort",""),
    IF(_xlfn.XLOOKUP(B37,'Base stats'!B:B,'Base stats'!AE:AE)&lt;&gt;"No",_xlfn.XLOOKUP(B37,'Base stats'!B:B,'Base stats'!AE:AE),"")
  ) = "",
  "No",
  _xlfn.TEXTJOIN(", ",TRUE,
    IF(AND(BJ37="true",AO37&gt;0.5,BI37&lt;&gt;"None"),"AttackTarget",""),
    IF(AND(_xlfn.XLOOKUP(_xlfn.XLOOKUP(B37,'Base stats'!B:B,'Base stats'!E:E),Groups!A:A,Groups!AJ:AJ="Mammal"),OR(_xlfn.XLOOKUP(B37,'Base stats'!B:B,'Base stats'!Y:Y)="Omnivore",_xlfn.XLOOKUP(B37,'Base stats'!B:B,'Base stats'!Y:Y)="OmnivoreRough")),"Forage",""),
    IF(BG37&lt;=36,"Comfort",""),
    IF(_xlfn.XLOOKUP(B37,'Base stats'!B:B,'Base stats'!AE:AE)&lt;&gt;"No",_xlfn.XLOOKUP(B37,'Base stats'!B:B,'Base stats'!AE:AE),"")
  )
)</f>
        <v>Comfort</v>
      </c>
      <c r="BQ37" s="25" t="str">
        <f>IF(
   AND(
      'Base stats'!AN37="Standard",_xlfn.XLOOKUP(_xlfn.XLOOKUP(B37,'Base stats'!B:B,'Base stats'!E:E),Groups!A:A,Groups!AU:AU)=0,
      OR(
      BO37="True"
      )
   ),
   10,
   IF(
       OR(BM37&lt;&gt;"No",_xlfn.XLOOKUP(_xlfn.XLOOKUP(B37,'Base stats'!B:B,'Base stats'!E:E),Groups!A:A,Groups!AU:AU)=1),
      1,
      "No"
   )
)</f>
        <v>No</v>
      </c>
      <c r="BR37" s="9">
        <f>MROUND((1 + ((0.2*IF(OR(Q37="No",R37="No",R37=0),0,Q37/R37)
+IF(OR(V37="No",S37="No",T37="No"),0,S37/T37*(LEN(V37)-LEN(SUBSTITUTE(V37,",",""))+1))
+IF(OR(X37="No",Y37="No"),0,X37/Y37)
+IF(OR(AD37="No",AE37="No"),0,AD37/AE37)
+IF(OR(AL37="No",AI37="No",AJ37="No"),0,AI37/AJ37*(LEN(AL37)-LEN(SUBSTITUTE(AL37,",",""))+1))
)/(0.2*IF(OR(Q37="No",R37="No",R37=0),0,1)
+IF(OR(V37="No",S37="No",T37="No"),0,LEN(V37)-LEN(SUBSTITUTE(V37,",",""))+1)
+IF(OR(X37="No",Y37="No"),0,1)
+IF(OR(AD37="No",AE37="No"),0,1)
+IF(OR(AL37="No",AI37="No",AJ37="No"),0,LEN(AL37)-LEN(SUBSTITUTE(AL37,",",""))+1))*62%)* 2)*(1 + (AP37 / (IF(_xlfn.XLOOKUP(_xlfn.XLOOKUP(B37,'Base stats'!B:B,'Base stats'!E:E),Groups!A:A,Groups!AJ:AJ)="Photonozoa",0.3,1)) + _xlfn.XLOOKUP(B37,'Base stats'!B:B,'Base stats'!AV:AV) * 1.8) * 2) * 2.5 + 10 + I37 * 2,5)+IF(_xlfn.XLOOKUP(B37,'Base stats'!B:B,'Base stats'!AK:AK)=1,50,0)</f>
        <v>25</v>
      </c>
      <c r="BS37" s="8">
        <f t="shared" si="5"/>
        <v>0.25</v>
      </c>
      <c r="BT37" s="8" t="str">
        <f>_xlfn.XLOOKUP(B37,'Base stats'!B:B,'Base stats'!AF:AF)</f>
        <v>3~8</v>
      </c>
      <c r="BU37" s="2" t="str">
        <f>IF(AND(J37&lt;=0.95,OR(_xlfn.XLOOKUP(B37,'Base stats'!B:B,'Base stats'!AK:AK)=1,_xlfn.XLOOKUP(B37,'Base stats'!B:B,'Base stats'!Y:Y)="Carnivore",_xlfn.XLOOKUP(B37,'Base stats'!B:B,'Base stats'!Y:Y)="Omnivore",BE37&gt;0.1)),"true","false")</f>
        <v>false</v>
      </c>
      <c r="BV37" s="2" t="str">
        <f>IF(_xlfn.XLOOKUP(B37,'Base stats'!B:B,'Base stats'!AI:AI)=1,"true","false")</f>
        <v>false</v>
      </c>
      <c r="BW37" s="25" t="str">
        <f>IF(E37="BaseInsect","AnimalInsect",
IF(J37&gt;0.95,"AnimalExotic",
_xlfn.TEXTJOIN(", ",TRUE,
IF(OR(_xlfn.XLOOKUP(B37,'Base stats'!B:B,'Base stats'!AM:AM)=1,AND(_xlfn.XLOOKUP(B37,'Base stats'!B:B,'Base stats'!O:O)=0,_xlfn.XLOOKUP(_xlfn.XLOOKUP(B37,'Base stats'!B:B,'Base stats'!E:E),Groups!A:A,Groups!B:B)&gt;0)),"AnimalUncommon","AnimalCommon"),
IF(AND(_xlfn.XLOOKUP(B37,'Base stats'!B:B,'Base stats'!O:O)=2,_xlfn.XLOOKUP(_xlfn.XLOOKUP(B37,'Base stats'!B:B,'Base stats'!E:E),Groups!A:A,Groups!D:D)=0),"AnimalPet",IF(AND(_xlfn.XLOOKUP(B37,'Base stats'!B:B,'Base stats'!O:O)&lt;&gt;0,_xlfn.XLOOKUP(_xlfn.XLOOKUP(B37,'Base stats'!B:B,'Base stats'!E:E),Groups!A:A,Groups!D:D)&lt;&gt;0),"AnimalFarm","")),
IF(OR(_xlfn.XLOOKUP(B37,'Base stats'!B:B,'Base stats'!AK:AK)=1,AND(BI37&lt;&gt;"None",BR37&gt;=60),ISNUMBER(SEARCH("Attack target",BP37))),"AnimalFighter","")
)))</f>
        <v>AnimalCommon</v>
      </c>
      <c r="BX37" s="25" t="str">
        <f>IF(G37="None",TRIM(
SUBSTITUTE(
IF(COUNTIF(Biomes!B$2:B$259,"="&amp;$C37)&gt;0,Biomes!B$1&amp;", ","")&amp;
IF(COUNTIF(Biomes!C$2:C$259,"="&amp;$C37)&gt;0,Biomes!C$1&amp;", ","")&amp;
IF(COUNTIF(Biomes!D$2:D$259,"="&amp;$C37)&gt;0,Biomes!D$1&amp;", ","")&amp;
IF(COUNTIF(Biomes!F$2:F$259,"="&amp;$C37)&gt;0,Biomes!F$1&amp;", ","")&amp;
IF(COUNTIF(Biomes!G$2:G$259,"="&amp;$C37)&gt;0,Biomes!G$1&amp;", ","")&amp;
IF(COUNTIF(Biomes!H$2:H$259,"="&amp;$C37)&gt;0,Biomes!H$1&amp;", ","")&amp;
IF(COUNTIF(Biomes!I$2:I$259,"="&amp;$C37)&gt;0,Biomes!I$1&amp;", ","")&amp;
IF(COUNTIF(Biomes!J$2:J$259,"="&amp;$C37)&gt;0,Biomes!J$1&amp;", ","")&amp;
IF(COUNTIF(Biomes!M$2:M$259,"="&amp;$C37)&gt;0,Biomes!M$1&amp;", ","")&amp;
IF(COUNTIF(Biomes!N$2:N$259,"="&amp;$C37)&gt;0,Biomes!N$1&amp;", ","")&amp;
IF(COUNTIF(Biomes!O$2:O$259,"="&amp;$C37)&gt;0,Biomes!O$1&amp;", ","")&amp;
IF(COUNTIF(Biomes!P$2:P$259,"="&amp;$C37)&gt;0,Biomes!P$1&amp;", ","")&amp;
IF(COUNTIF(Biomes!K$2:K$259,"="&amp;$C37)&gt;0,Biomes!K$1&amp;", ","")&amp;
IF(COUNTIF(Biomes!Q$3:Q$259,"="&amp;$C37)&gt;0,Biomes!Q$1&amp;", ","")&amp;
IF(COUNTIF(Biomes!L$2:L$259,"="&amp;$C37)&gt;0,Biomes!L$1&amp;", ","")&amp;
IF(COUNTIF(Biomes!E$2:E$259,"="&amp;$C37)&gt;0,Biomes!E$1&amp;", ","")&amp;IF(COUNTIF(Biomes!S$2:S$259,"="&amp;$C37)&gt;0,Biomes!S$1&amp;", ","")&amp;
IF(COUNTIF(Biomes!R$2:R$259,"="&amp;$C37)&gt;0,Biomes!R$1&amp;", ",""),", ","")
),_xlfn.XLOOKUP(B37,B:B,BX:BX))</f>
        <v>AridShrubland TropicalRainforest TropicalSwamp Grasslands Glowforest LavaField</v>
      </c>
      <c r="BY37" s="25" t="str">
        <f>IF(_xlfn.XLOOKUP(B37,'Base stats'!B:B,'Base stats'!AJ:AJ)=1,"true","false")</f>
        <v>false</v>
      </c>
      <c r="BZ37" s="25">
        <f>IF(_xlfn.XLOOKUP(B37,'Base stats'!B:B,'Base stats'!N:N)=1,"No",MAX(0.001,MIN(MROUND(IF(AND(BJ37="True",CC37="False"),POWER(10,3.47*LOG10(_xlfn.XLOOKUP(B37,'Base stats'!B:B,'Base stats'!C:C)*1000)^-0.96),POWER(10,4.15*LOG10(_xlfn.XLOOKUP(B37,'Base stats'!B:B,'Base stats'!C:C)*1000)^-0.73))*IF(_xlfn.XLOOKUP(B37,'Base stats'!B:B,'Base stats'!AK:AK)=1,0.5,1)*IF(_xlfn.XLOOKUP(B37,'Base stats'!B:B,'Base stats'!AM:AM)=1,0.1,1)/100,IF(_xlfn.XLOOKUP(B37,'Base stats'!B:B,'Base stats'!AM:AM)=1,0.001,0.025)),0.5)))</f>
        <v>0.5</v>
      </c>
      <c r="CA37" s="25" t="str">
        <f>IF(P37="Standard","No",MAX(0.001,MIN(MROUND(IF(AND(BJ37="True",CC37="False"),POWER(10,3.47*LOG10(_xlfn.XLOOKUP(B37,'Base stats'!B:B,'Base stats'!C:C)*1000)^-0.96),POWER(10,4.15*LOG10(_xlfn.XLOOKUP(B37,'Base stats'!B:B,'Base stats'!C:C)*1000)^-0.73))*IF(_xlfn.XLOOKUP(B37,'Base stats'!B:B,'Base stats'!AM:AM)=1,0.1,1)*_xlfn.XLOOKUP(B37,'Base stats'!B:B,'Base stats'!R:R)/100,IF(_xlfn.XLOOKUP(B37,'Base stats'!B:B,'Base stats'!AM:AM)=1,0.001,0.025)),0.5)))</f>
        <v>No</v>
      </c>
      <c r="CB37" s="25" t="str">
        <f>IF(_xlfn.XLOOKUP(_xlfn.XLOOKUP(B37,'Base stats'!B:B,'Base stats'!E:E),Groups!A:A,Groups!AJ:AJ)="Mammal","True","False")</f>
        <v>True</v>
      </c>
      <c r="CC37" s="25" t="str">
        <f>IF(OR(_xlfn.XLOOKUP(_xlfn.XLOOKUP(B37,'Base stats'!B:B,'Base stats'!E:E),Groups!A:A,Groups!AJ:AJ)="Reptile",_xlfn.XLOOKUP(_xlfn.XLOOKUP(B37,'Base stats'!B:B,'Base stats'!E:E),Groups!A:A,Groups!AJ:AJ)="Amphibian",_xlfn.XLOOKUP(_xlfn.XLOOKUP(B37,'Base stats'!B:B,'Base stats'!E:E),Groups!A:A,Groups!AJ:AJ)="Invertebrate"),"True","False")</f>
        <v>False</v>
      </c>
      <c r="CD37" s="25" t="str">
        <f t="shared" si="6"/>
        <v>False</v>
      </c>
      <c r="CE37" s="25" t="str">
        <f>IF(_xlfn.XLOOKUP(_xlfn.XLOOKUP(B37,'Base stats'!B:B,'Base stats'!E:E),Groups!A:A,Groups!AX:AX),"True","False")</f>
        <v>False</v>
      </c>
      <c r="CF37" s="25" t="str">
        <f>IF(_xlfn.XLOOKUP(_xlfn.XLOOKUP(B37,'Base stats'!B:B,'Base stats'!E:E),Groups!A:A,Groups!AY:AY),"True","False")</f>
        <v>False</v>
      </c>
      <c r="CG37" s="25" t="str">
        <f>IF(_xlfn.XLOOKUP(_xlfn.XLOOKUP(B37,'Base stats'!B:B,'Base stats'!E:E),Groups!A:A,Groups!AW:AW),"True","False")</f>
        <v>False</v>
      </c>
      <c r="CH37" s="25" t="str">
        <f>IF(
OR(
_xlfn.XLOOKUP(_xlfn.XLOOKUP(B37,'Base stats'!B:B,'Base stats'!E:E),Groups!A:A,Groups!AZ:AZ)=0,
AND(
_xlfn.XLOOKUP(B37,'Base stats'!B:B,'Base stats'!Y:Y)&lt;&gt;"Carnivore",
_xlfn.XLOOKUP(B37,'Base stats'!B:B,'Base stats'!Y:Y)&lt;&gt;"Omnivore",
_xlfn.XLOOKUP(B37,'Base stats'!B:B,'Base stats'!Y:Y)&lt;&gt;"OmnivoreRough"
)
),
"No",
IF(
_xlfn.XLOOKUP(_xlfn.XLOOKUP(B37,'Base stats'!B:B,'Base stats'!E:E),Groups!A:A,Groups!AZ:AZ)=1,
"Flesh",
IF(
_xlfn.XLOOKUP(_xlfn.XLOOKUP(B37,'Base stats'!B:B,'Base stats'!E:E),Groups!A:A,Groups!AZ:AZ)=2,
"Bone",
""
)
)
)</f>
        <v>No</v>
      </c>
      <c r="CI37" s="25" t="str">
        <f>IF(_xlfn.XLOOKUP(_xlfn.XLOOKUP(B37,'Base stats'!B:B,'Base stats'!E:E),Groups!A:A,Groups!BB:BB),"True","False")</f>
        <v>True</v>
      </c>
      <c r="CJ37" s="25" t="str">
        <f>IF(_xlfn.XLOOKUP(_xlfn.XLOOKUP(B37,'Base stats'!B:B,'Base stats'!E:E),Groups!A:A,Groups!BA:BA),"True","False")</f>
        <v>False</v>
      </c>
    </row>
    <row r="38" spans="1:88" ht="16.5" thickTop="1" thickBot="1" x14ac:dyDescent="0.3">
      <c r="A38" s="26" t="str">
        <f>_xlfn.XLOOKUP(B38,'Base stats'!B:B,'Base stats'!A:A)</f>
        <v>Chinchilla</v>
      </c>
      <c r="B38" s="6" t="s">
        <v>130</v>
      </c>
      <c r="C38" s="28" t="s">
        <v>713</v>
      </c>
      <c r="D38" s="28" t="s">
        <v>45</v>
      </c>
      <c r="E38" s="28" t="s">
        <v>673</v>
      </c>
      <c r="F38" s="28" t="s">
        <v>673</v>
      </c>
      <c r="G38" s="28" t="s">
        <v>673</v>
      </c>
      <c r="H38" s="2">
        <f>MROUND((
  (IF(AND(_xlfn.XLOOKUP(B38,'Base stats'!B:B,'Base stats'!AL:AL)=0,BI38="None",_xlfn.XLOOKUP(_xlfn.XLOOKUP(B38,'Base stats'!B:B,'Base stats'!E:E),Groups!A:A,Groups!B:B)=0), (18 + BR38 * 2.7) * 0.5,
    IF(AND(_xlfn.XLOOKUP(B38,'Base stats'!B:B,'Base stats'!AL:AL)=0,OR(AO38&lt;0.55,AND(BI38="Intermediate",_xlfn.XLOOKUP(_xlfn.XLOOKUP(B38,'Base stats'!B:B,'Base stats'!E:E),Groups!A:A,Groups!B:B)&lt;2))), (18 + BR38 * 2.7),
      IF(OR(BI38="Advanced",_xlfn.XLOOKUP(B38,'Base stats'!B:B,'Base stats'!AL:AL)=1,_xlfn.XLOOKUP(_xlfn.XLOOKUP(B38,'Base stats'!B:B,'Base stats'!E:E),Groups!A:A,Groups!B:B)=2), (18 + BR38 * 2.7) + 250, (18 + BR38 * 2.7))
    )
  ))
  + AO38 * 80
  + IF(COUNTIF(EggMilk!K$2:K$998, A38) &gt; 0, 125, 0)
  + IF(COUNTIF(EggMilk!P$2:P$998, A38) &gt; 0, 90, 0)
  + IF(COUNTIF(EggMilk!A$2:A$998, A38) &gt; 0, 90, 0)
)
* (0.8 + 0.4 * J38)
* 0.75,25)</f>
        <v>50</v>
      </c>
      <c r="I38" s="2">
        <f>MROUND(ROUNDDOWN(_xlfn.XLOOKUP(B38,'Base stats'!B:B,'Base stats'!L:L)/3.6/(23.3/11),1),0.5)</f>
        <v>3</v>
      </c>
      <c r="J38" s="2">
        <f>IF(OR(_xlfn.XLOOKUP(B38,'Base stats'!B:B,'Base stats'!AB:AB)=1,_xlfn.XLOOKUP(_xlfn.XLOOKUP(B38,'Base stats'!B:B,'Base stats'!E:E),Groups!A:A,Groups!C:C)="Untamable"),1,IF(_xlfn.XLOOKUP(B38,'Base stats'!B:B,'Base stats'!AL:AL)=1,0.99,MIN(MROUND((1-0.6282*EXP(-0.459*AO38))*_xlfn.XLOOKUP(_xlfn.XLOOKUP(B38,'Base stats'!B:B,'Base stats'!E:E),Groups!A:A,Groups!C:C)*IF(_xlfn.XLOOKUP(B38,'Base stats'!B:B,'Base stats'!O:O)=1,0.5,IF(_xlfn.XLOOKUP(B38,'Base stats'!B:B,'Base stats'!O:O)=2,0,1)),0.05),IF(AO38&gt;3.5,0.985,0.95))))</f>
        <v>0.5</v>
      </c>
      <c r="K38" s="2">
        <f>ROUNDUP(AO38*_xlfn.XLOOKUP(_xlfn.XLOOKUP(B38,'Base stats'!B:B,'Base stats'!E:E),Groups!A:A,Groups!E:E),0)</f>
        <v>1</v>
      </c>
      <c r="L38" s="2">
        <f>IF(OR(_xlfn.XLOOKUP(_xlfn.XLOOKUP(B38,'Base stats'!B:B,'Base stats'!E:E),Groups!A:A,Groups!F:F)=2,ISNUMBER(SEARCH("SeaIce",BX38)),ISNUMBER(SEARCH("IceSheet",BX38))),-50,IF(OR(ISNUMBER(SEARCH("GlacialPlain",BX38)),ISNUMBER(SEARCH("Tundra",BX38))),-40,IF(OR(ISNUMBER(SEARCH("Alpine",BX38)),ISNUMBER(SEARCH("BorealForest",BX38)),ISNUMBER(SEARCH("ColdBog",BX38))),-30,IF(OR(ISNUMBER(SEARCH("TemperateForest",BX38)),ISNUMBER(SEARCH("TemperateSwamp",BX38))),-20,IF(_xlfn.XLOOKUP(_xlfn.XLOOKUP(B38,'Base stats'!B:B,'Base stats'!E:E),Groups!A:A,Groups!F:F)=1,-15,IF(OR(ISNUMBER(SEARCH("Desert",BX38)),ISNUMBER(SEARCH("ExtremeDesert",BX38))),-10,IF(OR(ISNUMBER(SEARCH("Grasslands",BX38)),ISNUMBER(SEARCH("TropicalRainforest",BX38)),ISNUMBER(SEARCH("TropicalSwamp",BX38))),10,0)))))))-IF(CC38="False",MIN(IFERROR(MAX(MROUND(LOG10(_xlfn.XLOOKUP(B38,'Base stats'!B:B,'Base stats'!C:C)^(2/3))*10,5),5),5),30))-_xlfn.XLOOKUP(B38,'Base stats'!B:B,'Base stats'!P:P)+IF(CC38="True",5,0)</f>
        <v>5</v>
      </c>
      <c r="M38" s="2">
        <f>IF(OR(_xlfn.XLOOKUP(_xlfn.XLOOKUP(B38,'Base stats'!B:B,'Base stats'!E:E),Groups!A:A,Groups!G:G)=2,ISNUMBER(SEARCH("Desert",BX38)),ISNUMBER(SEARCH("ExtremeDesert",BX38)),ISNUMBER(SEARCH("LavaField",BX38))),50,IF(ISNUMBER(SEARCH("Grasslands",BX38)),45,IF(OR(_xlfn.XLOOKUP(_xlfn.XLOOKUP(B38,'Base stats'!B:B,'Base stats'!E:E),Groups!A:A,Groups!G:G)=1,ISNUMBER(SEARCH("TropicalRainforest",BX38)),ISNUMBER(SEARCH("TropicalSwamp",BX38))),40,IF(OR(ISNUMBER(SEARCH("TemperateForest",BX38)),ISNUMBER(SEARCH("TemperateSwamp",BX38))),35,IF(OR(ISNUMBER(SEARCH("Alpine",BX38)),ISNUMBER(SEARCH("BorealForest",BX38)),ISNUMBER(SEARCH("ColdBog",BX38))),30,IF(ISNUMBER(OR(ISNUMBER(SEARCH("GlacialPlain",BX38)),SEARCH("Tundra",BX38))),25,IF(OR(ISNUMBER(SEARCH("SeaIce",BX38)),ISNUMBER(SEARCH("IceSheet",BX38)),ISNUMBER(SEARCH("TropicalSwamp",BX38))),10,35)))))))+_xlfn.XLOOKUP(B38,'Base stats'!B:B,'Base stats'!Q:Q)</f>
        <v>40</v>
      </c>
      <c r="N38" s="8" t="str">
        <f>IF(
_xlfn.XLOOKUP(
_xlfn.XLOOKUP(B38,'Base stats'!B:B,'Base stats'!E:E),
Groups!A:A,
Groups!L:L
)=1,
MIN(
MROUND(
IF(
_xlfn.XLOOKUP(B38,'Animals CE'!B:B,'Animals CE'!Z:Z)&lt;=1.5,
_xlfn.XLOOKUP(B38,'Animals CE'!B:B,'Animals CE'!Z:Z)/2+0.05,
0.8+
(_xlfn.XLOOKUP(B38,'Animals CE'!B:B,'Animals CE'!Z:Z)-1.5)
*0.02
),
0.05
),
200%
),
"No"
)</f>
        <v>No</v>
      </c>
      <c r="O38" s="8" t="str">
        <f>IF(
_xlfn.XLOOKUP(
_xlfn.XLOOKUP(B38,'Base stats'!B:B,'Base stats'!E:E),
Groups!A:A,
Groups!L:L
)=1,
MIN(
MROUND(
IF(
_xlfn.XLOOKUP(B38,'Animals CE'!B:B,'Animals CE'!AA:AA)&lt;=1.5,
_xlfn.XLOOKUP(B38,'Animals CE'!B:B,'Animals CE'!AA:AA)/2+0.05,
0.8+
(_xlfn.XLOOKUP(B38,'Animals CE'!B:B,'Animals CE'!AA:AA)-1.5)
*0.02
),
0.05
),
200%
),
"No"
)</f>
        <v>No</v>
      </c>
      <c r="P38" s="2" t="str">
        <f>_xlfn.XLOOKUP(B38,'Base stats'!B:B,'Base stats'!R:R)</f>
        <v>Standard</v>
      </c>
      <c r="Q38" s="13">
        <f>MROUND((LOG10(_xlfn.XLOOKUP(B38,'Base stats'!B:B,'Base stats'!AR:AR))*(AO38^0.5)+(_xlfn.XLOOKUP(B38,'Base stats'!B:B,'Base stats'!AR:AR)/1000)^(2/3)+_xlfn.XLOOKUP(B38,'Base stats'!B:B,'Base stats'!BA:BA)/2)+0.5,0.5)</f>
        <v>1.5</v>
      </c>
      <c r="R38" s="7">
        <f>IF(Q38="No","No",MAX(1,MROUND(_xlfn.XLOOKUP(B38,'Base stats'!B:B,'Base stats'!C:C)^0.165,0.05)))</f>
        <v>1</v>
      </c>
      <c r="S38" s="13" t="str">
        <f>IF(_xlfn.XLOOKUP(_xlfn.XLOOKUP(B38,'Base stats'!B:B,'Base stats'!E:E),Groups!A:A,Groups!P:P)=0,"No",MROUND((LOG10(_xlfn.XLOOKUP(B38,'Base stats'!B:B,'Base stats'!AS:AS))*(AO38^0.5)+(_xlfn.XLOOKUP(B38,'Base stats'!B:B,'Base stats'!AS:AS)/1000)^(2/3)+_xlfn.XLOOKUP(B38,'Base stats'!B:B,'Base stats'!BA:BA))+_xlfn.XLOOKUP(B38,'Base stats'!B:B,'Base stats'!AY:AY)+0.5,0.5))</f>
        <v>No</v>
      </c>
      <c r="T38" s="7" t="str">
        <f>IF(S38="No","No",MAX(_xlfn.XLOOKUP(_xlfn.XLOOKUP(B38,'Base stats'!B:B,'Base stats'!E:E),Groups!A:A,Groups!Q:Q),MROUND(_xlfn.XLOOKUP(_xlfn.XLOOKUP(B38,'Base stats'!B:B,'Base stats'!E:E),Groups!A:A,Groups!Q:Q)*_xlfn.XLOOKUP(B38,'Base stats'!B:B,'Base stats'!C:C)^0.165,0.05)))</f>
        <v>No</v>
      </c>
      <c r="U38" s="7" t="str">
        <f>IF(S38="No","No",_xlfn.XLOOKUP(_xlfn.XLOOKUP(B38,'Base stats'!B:B,'Base stats'!E:E),Groups!A:A,Groups!R:R))</f>
        <v>No</v>
      </c>
      <c r="V38" s="7" t="str">
        <f>IF(S38="No","No",_xlfn.XLOOKUP(_xlfn.XLOOKUP(B38,'Base stats'!B:B,'Base stats'!E:E),Groups!A:A,Groups!S:S))</f>
        <v>No</v>
      </c>
      <c r="W38" s="7" t="str">
        <f>IF(S38="No","No",_xlfn.XLOOKUP(_xlfn.XLOOKUP(B38,'Base stats'!B:B,'Base stats'!E:E),Groups!A:A,Groups!T:T))</f>
        <v>No</v>
      </c>
      <c r="X38" s="13" t="str">
        <f>IF(_xlfn.XLOOKUP(B38,'Base stats'!B:B,'Base stats'!W:W)="No","No",MROUND((LOG10(_xlfn.XLOOKUP(B38,'Base stats'!B:B,'Base stats'!AU:AU))*(AO38^0.5)+(_xlfn.XLOOKUP(B38,'Base stats'!B:B,'Base stats'!AU:AU)/1000)^(2/3)+_xlfn.XLOOKUP(B38,'Base stats'!B:B,'Base stats'!AZ:AZ))+0.5+IF(_xlfn.XLOOKUP(_xlfn.XLOOKUP(B38,'Base stats'!B:B,'Base stats'!E:E),Groups!A:A,Groups!U:U)&lt;&gt;3,_xlfn.XLOOKUP(B38,'Base stats'!B:B,'Base stats'!BA:BA),0),0.5))</f>
        <v>No</v>
      </c>
      <c r="Y38" s="7" t="str">
        <f>IF(X38="No","No",MAX(_xlfn.XLOOKUP(_xlfn.XLOOKUP(B38,'Base stats'!B:B,'Base stats'!E:E),Groups!A:A,Groups!V:V),MROUND(_xlfn.XLOOKUP(_xlfn.XLOOKUP(B38,'Base stats'!B:B,'Base stats'!E:E),Groups!A:A,Groups!V:V)*_xlfn.XLOOKUP(B38,'Base stats'!B:B,'Base stats'!C:C)^0.165,0.05)))</f>
        <v>No</v>
      </c>
      <c r="Z38" s="7" t="str">
        <f>IF(X38="No","No",_xlfn.XLOOKUP(_xlfn.XLOOKUP(B38,'Base stats'!B:B,'Base stats'!E:E),Groups!A:A,Groups!W:W))</f>
        <v>No</v>
      </c>
      <c r="AA38" s="7" t="str">
        <f>IF(X38="No","No",_xlfn.XLOOKUP(_xlfn.XLOOKUP(B38,'Base stats'!B:B,'Base stats'!E:E),Groups!A:A,Groups!X:X))</f>
        <v>No</v>
      </c>
      <c r="AB38" s="7" t="str">
        <f>IF(X38="No","No",_xlfn.XLOOKUP(_xlfn.XLOOKUP(B38,'Base stats'!B:B,'Base stats'!E:E),Groups!A:A,Groups!Y:Y))</f>
        <v>No</v>
      </c>
      <c r="AC38" s="7" t="str">
        <f>_xlfn.XLOOKUP(Animals!B38,'Base stats'!B:B,'Base stats'!X:X)</f>
        <v>False</v>
      </c>
      <c r="AD38" s="13">
        <f>IF(_xlfn.XLOOKUP(B38,'Base stats'!B:B,'Base stats'!AT:AT)="No","No",MROUND((LOG10(_xlfn.XLOOKUP(B38,'Base stats'!B:B,'Base stats'!AT:AT))*(AO38^0.75)+(_xlfn.XLOOKUP(B38,'Base stats'!B:B,'Base stats'!AT:AT)/1000)^(2/3)+_xlfn.XLOOKUP(B38,'Base stats'!B:B,'Base stats'!AX:AX)+_xlfn.XLOOKUP(B38,'Base stats'!B:B,'Base stats'!BA:BA))+0.5,0.5))</f>
        <v>1.5</v>
      </c>
      <c r="AE38" s="7">
        <f>IF(AD38="No","No",MAX(_xlfn.XLOOKUP(_xlfn.XLOOKUP(B38,'Base stats'!B:B,'Base stats'!E:E),Groups!A:A,Groups!Z:Z),MROUND(_xlfn.XLOOKUP(_xlfn.XLOOKUP(B38,'Base stats'!B:B,'Base stats'!E:E),Groups!A:A,Groups!Z:Z)*_xlfn.XLOOKUP(B38,'Base stats'!B:B,'Base stats'!C:C)^0.165,0.05)))</f>
        <v>0.95</v>
      </c>
      <c r="AF38" s="7" t="str">
        <f>IF(AD38="No","No",_xlfn.XLOOKUP(_xlfn.XLOOKUP(B38,'Base stats'!B:B,'Base stats'!E:E),Groups!A:A,Groups!AA:AA))</f>
        <v>Teeth</v>
      </c>
      <c r="AG38" s="7" t="str">
        <f>IF(AD38="No","No",_xlfn.XLOOKUP(_xlfn.XLOOKUP(B38,'Base stats'!B:B,'Base stats'!E:E),Groups!A:A,Groups!AB:AB))</f>
        <v>Incisors</v>
      </c>
      <c r="AH38" s="7" t="str">
        <f>IF(AD38="No","No",_xlfn.XLOOKUP(_xlfn.XLOOKUP(B38,'Base stats'!B:B,'Base stats'!E:E),Groups!A:A,Groups!AC:AC))</f>
        <v>Bite</v>
      </c>
      <c r="AI38" s="13" t="str">
        <f>IF(_xlfn.XLOOKUP(_xlfn.XLOOKUP(B38,'Base stats'!B:B,'Base stats'!E:E),Groups!A:A,Groups!AD:AD)=0,"No",MROUND((LOG10(_xlfn.XLOOKUP(B38,'Base stats'!B:B,'Base stats'!AS:AS))*(AO38^0.75)+(_xlfn.XLOOKUP(B38,'Base stats'!B:B,'Base stats'!AS:AS)/1000)^(2/3)+_xlfn.XLOOKUP(B38,'Base stats'!B:B,'Base stats'!AY:AY)+_xlfn.XLOOKUP(B38,'Base stats'!B:B,'Base stats'!BA:BA))+0.5,0.5))</f>
        <v>No</v>
      </c>
      <c r="AJ38" s="7" t="str">
        <f>IF(AI38="No","No",MAX(_xlfn.XLOOKUP(_xlfn.XLOOKUP(B38,'Base stats'!B:B,'Base stats'!E:E),Groups!A:A,Groups!AE:AE),MROUND(_xlfn.XLOOKUP(_xlfn.XLOOKUP(B38,'Base stats'!B:B,'Base stats'!E:E),Groups!A:A,Groups!AE:AE)*IF(_xlfn.XLOOKUP(_xlfn.XLOOKUP(B38,'Base stats'!B:B,'Base stats'!E:E),Groups!A:A,Groups!AJ:AJ)="Photonozoa",0.6,1)*_xlfn.XLOOKUP(B38,'Base stats'!B:B,'Base stats'!C:C)^0.165,0.05)))</f>
        <v>No</v>
      </c>
      <c r="AK38" s="7" t="str">
        <f>IF(AI38="No","No",_xlfn.XLOOKUP(_xlfn.XLOOKUP(B38,'Base stats'!B:B,'Base stats'!E:E),Groups!A:A,Groups!AF:AF))</f>
        <v>No</v>
      </c>
      <c r="AL38" s="7" t="str">
        <f>IF(AI38="No","No",_xlfn.XLOOKUP(_xlfn.XLOOKUP(B38,'Base stats'!B:B,'Base stats'!E:E),Groups!A:A,Groups!AG:AG))</f>
        <v>No</v>
      </c>
      <c r="AM38" s="7" t="str">
        <f>IF(AI38="No","No",_xlfn.XLOOKUP(_xlfn.XLOOKUP(B38,'Base stats'!B:B,'Base stats'!E:E),Groups!A:A,Groups!AH:AH))</f>
        <v>No</v>
      </c>
      <c r="AN38" s="2" t="str">
        <f t="shared" si="0"/>
        <v>No</v>
      </c>
      <c r="AO38" s="2">
        <f>MROUND(IF(AND(_xlfn.XLOOKUP(B38,'Base stats'!B:B,'Base stats'!C:C)&gt;=0.5,_xlfn.XLOOKUP(B38,'Base stats'!B:B,'Base stats'!C:C)&lt;=0.8),
IF(_xlfn.XLOOKUP(B38,'Base stats'!B:B,'Base stats'!C:C)&lt;0.1,0.05,IF(_xlfn.XLOOKUP(B38,'Base stats'!B:B,'Base stats'!C:C)&lt;=70,(_xlfn.XLOOKUP(B38,'Base stats'!B:B,'Base stats'!C:C)/70)^0.426489913056526,IF(_xlfn.XLOOKUP(B38,'Base stats'!B:B,'Base stats'!C:C)&lt;=400,(_xlfn.XLOOKUP(B38,'Base stats'!B:B,'Base stats'!C:C)/70)^0.572811455315093,IF(_xlfn.XLOOKUP(B38,'Base stats'!B:B,'Base stats'!C:C)&lt;=2000,2.71391647193063*(_xlfn.XLOOKUP(B38,'Base stats'!B:B,'Base stats'!C:C)/400)^0.252459582904293,3.74314280240376*(_xlfn.XLOOKUP(B38,'Base stats'!B:B,'Base stats'!C:C)/2000)^0.357012633876913)))),
IF(_xlfn.XLOOKUP(B38,'Base stats'!B:B,'Base stats'!C:C)&lt;0.1,0.05,IF(_xlfn.XLOOKUP(B38,'Base stats'!B:B,'Base stats'!C:C)&lt;0.4,0.1,IF(_xlfn.XLOOKUP(B38,'Base stats'!B:B,'Base stats'!C:C)&lt;=70,(_xlfn.XLOOKUP(B38,'Base stats'!B:B,'Base stats'!C:C)/70)^0.445823913056526,IF(_xlfn.XLOOKUP(B38,'Base stats'!B:B,'Base stats'!C:C)&lt;=400,(_xlfn.XLOOKUP(B38,'Base stats'!B:B,'Base stats'!C:C)/70)^0.572811455315093,IF(_xlfn.XLOOKUP(B38,'Base stats'!B:B,'Base stats'!C:C)&lt;=2000,2.71391647193063*(_xlfn.XLOOKUP(B38,'Base stats'!B:B,'Base stats'!C:C)/400)^0.252459582904293,3.74314280240376*(_xlfn.XLOOKUP(B38,'Base stats'!B:B,'Base stats'!C:C)/2000)^0.357012633876913)))))),
IF(_xlfn.XLOOKUP(B38,'Base stats'!B:B,'Base stats'!C:C)&lt;0.1,0.05,IF(_xlfn.XLOOKUP(B38,'Base stats'!B:B,'Base stats'!C:C)&lt;=100,0.05,IF(_xlfn.XLOOKUP(B38,'Base stats'!B:B,'Base stats'!C:C)&lt;=250,0.1,IF(_xlfn.XLOOKUP(B38,'Base stats'!B:B,'Base stats'!C:C)&lt;=4000,0.25,0.5)))))</f>
        <v>0.15000000000000002</v>
      </c>
      <c r="AP38" s="8">
        <f>MROUND(AO38*_xlfn.XLOOKUP(_xlfn.XLOOKUP(B38,'Base stats'!B:B,'Base stats'!E:E),Groups!A:A,Groups!AI:AI)*_xlfn.XLOOKUP(B38,'Base stats'!B:B,'Base stats'!Z:Z),0.05)</f>
        <v>0.15000000000000002</v>
      </c>
      <c r="AQ38" s="8">
        <f>MAX(0.01,MROUND(IF(CC38="True",0.196*(AO38*100*1000)^0.889,IF(_xlfn.XLOOKUP(_xlfn.XLOOKUP(B38,'Base stats'!B:B,'Base stats'!E:E),Groups!A:A,Groups!AJ:AJ)="Bird",10.5*(AO38*100*1000)^0.681,4.82*(AO38*100*1000)^0.734))/(4.82*(1*100*1000)^0.734)/IF(AO38&lt;3.5,2,IF(AO38=3.5,1.5,1.25))*(1+0.132282374779864/(AO38^0.994035016789033+0.00905238001496948)),0.05))</f>
        <v>0.25</v>
      </c>
      <c r="AR38" s="9">
        <f>IFERROR(MROUND(_xlfn.XLOOKUP(B38,'Base stats'!B:B,'Base stats'!H:H)/IF(_xlfn.XLOOKUP(B38,'Base stats'!B:B,'Base stats'!I:I)&lt;&gt;1,(122.5/70),1.2),IF(_xlfn.XLOOKUP(B38,'Base stats'!B:B,'Base stats'!H:H)&gt;=30,5,IF(_xlfn.XLOOKUP(B38,'Base stats'!B:B,'Base stats'!H:H)&gt;=15,3,IF(_xlfn.XLOOKUP(B38,'Base stats'!B:B,'Base stats'!H:H)&gt;=10,2,1)))),"Immortal")</f>
        <v>15</v>
      </c>
      <c r="AS38" s="35">
        <f>IFERROR(IF(OR(_xlfn.XLOOKUP(B38,'Base stats'!B:B,'Base stats'!F:F)="Atypical reproduction",_xlfn.XLOOKUP(B38,'Base stats'!B:B,'Base stats'!F:F)="Lay eggs"),"Lay eggs",MIN(20,MAX(5.5,ROUND(((_xlfn.XLOOKUP(B38,'Base stats'!B:B,'Base stats'!F:F)-25)*(14.5/615) + 5.5)*2,0)/2))),"Unknown")</f>
        <v>7.5</v>
      </c>
      <c r="AT38" s="8">
        <f>IF(_xlfn.XLOOKUP(B38,'Base stats'!B:B,'Base stats'!G:G)="Atypical reproduction","No",IFERROR(MAX(IF(_xlfn.XLOOKUP(B38,'Base stats'!B:B,'Base stats'!G:G)&lt;0.5,0.2,0.3),MROUND(_xlfn.XLOOKUP(B38,'Base stats'!B:B,'Base stats'!G:G)/(365/60),0.2)),"Unknown"))</f>
        <v>0.3</v>
      </c>
      <c r="AU38" s="8">
        <f t="shared" si="1"/>
        <v>0.15000000000000002</v>
      </c>
      <c r="AV38" s="8">
        <f>IFERROR(IFERROR(MROUND(_xlfn.XLOOKUP(B38,'Base stats'!B:B,'Base stats'!J:J),0.1),"Lay eggs"),"Cannot breed")</f>
        <v>2</v>
      </c>
      <c r="AW38" s="2" t="str">
        <f t="shared" si="2"/>
        <v>true</v>
      </c>
      <c r="AX38" s="2" t="str">
        <f>IF(_xlfn.XLOOKUP(_xlfn.XLOOKUP(Animals!B38,'Base stats'!B:B,'Base stats'!E:E),Groups!A:A,Groups!AK:AK)=1,"true","false")</f>
        <v>false</v>
      </c>
      <c r="AY38" s="25" t="str">
        <f>IF(_xlfn.XLOOKUP(B38,'Base stats'!B:B,'Base stats'!Y:Y)="Liquor","Liquor, CarnivoreAnimalStrict",IF(AND(_xlfn.XLOOKUP(B38,'Base stats'!B:B,'Base stats'!Y:Y)="Carnivore",_xlfn.XLOOKUP(_xlfn.XLOOKUP(B38,'Base stats'!B:B,'Base stats'!E:E),Groups!A:A,Groups!AJ:AJ)="Photonozoa"),"CarnivoreAnimalStrict, OvivoreAnimal",IF(_xlfn.XLOOKUP(B38,'Base stats'!B:B,'Base stats'!Y:Y)="Carnivore","CarnivoreAnimal, OvivoreAnimal",IF(_xlfn.XLOOKUP(B38,'Base stats'!B:B,'Base stats'!Y:Y)="Dendrovore","VegetarianRoughAnimal, DendrovoreAnimal",IF(_xlfn.XLOOKUP(B38,'Base stats'!B:B,'Base stats'!Y:Y)="Herbivore","VegetarianRoughAnimal",IF(_xlfn.XLOOKUP(B38,'Base stats'!B:B,'Base stats'!Y:Y)="OmnivoreRough","OmnivoreRoughAnimal, OvivoreAnimal","OmnivoreAnimal, OvivoreAnimal"))))))</f>
        <v>VegetarianRoughAnimal</v>
      </c>
      <c r="AZ38" s="2" t="str">
        <f>IF(_xlfn.XLOOKUP(_xlfn.XLOOKUP(B38,'Base stats'!B:B,'Base stats'!E:E),Groups!A:A,Groups!D:D)=1,MROUND((1-J38)*5+1,2)*IF(J38&lt;=0.4,2,1),"No")</f>
        <v>No</v>
      </c>
      <c r="BA38" s="2" t="str">
        <f>IF(AND(_xlfn.XLOOKUP(B38,'Base stats'!B:B,'Base stats'!AH:AH)="&lt;li&gt;Seal&lt;/li&gt;",G38="Odyssey"),"&lt;li&gt;AEXP_Seal&lt;/li&gt;",_xlfn.XLOOKUP(B38,'Base stats'!B:B,'Base stats'!AH:AH))</f>
        <v>&lt;li&gt;Rat&lt;/li&gt;</v>
      </c>
      <c r="BB38" s="2" t="str">
        <f>_xlfn.XLOOKUP(B38,'Base stats'!B:B,'Base stats'!AG:AG)</f>
        <v>Leather_Chinchilla</v>
      </c>
      <c r="BC38" s="23" t="str">
        <f>_xlfn.XLOOKUP(_xlfn.XLOOKUP(B38,'Base stats'!B:B,'Base stats'!E:E),Groups!A:A,Groups!AL:AL)</f>
        <v>QuadrupedAnimalWithPawsAndTail</v>
      </c>
      <c r="BD38" s="23">
        <f>MIN(1,MROUND(IF(AND(AO38&lt;0.5,_xlfn.XLOOKUP(B38,'Base stats'!B:B,'Base stats'!AA:AA)=0),0,IF(OR(_xlfn.XLOOKUP(Animals!B38,'Base stats'!B:B,'Base stats'!O:O)=2,_xlfn.XLOOKUP(_xlfn.XLOOKUP(B38,'Base stats'!B:B,'Base stats'!E:E),Groups!A:A,Groups!AN:AN)=0),0,_xlfn.XLOOKUP(_xlfn.XLOOKUP(B38,'Base stats'!B:B,'Base stats'!E:E),Groups!A:A,Groups!AN:AN)/IF(_xlfn.XLOOKUP(Animals!B38,'Base stats'!B:B,'Base stats'!O:O)=1,2,1)))+_xlfn.XLOOKUP(B38,'Base stats'!B:B,'Base stats'!AC:AC),0.005))</f>
        <v>0</v>
      </c>
      <c r="BE38" s="23">
        <f>MIN(1,MROUND(IF(AND(AO38&lt;0.5,_xlfn.XLOOKUP(B38,'Base stats'!B:B,'Base stats'!AA:AA)=0),0,IF(_xlfn.XLOOKUP(_xlfn.XLOOKUP(B38,'Base stats'!B:B,'Base stats'!E:E),Groups!A:A,Groups!AO:AO)=0,0,_xlfn.XLOOKUP(_xlfn.XLOOKUP(B38,'Base stats'!B:B,'Base stats'!E:E),Groups!A:A,Groups!AO:AO)/IF(_xlfn.XLOOKUP(Animals!B38,'Base stats'!B:B,'Base stats'!O:O)=2,3,1)))+_xlfn.XLOOKUP(B38,'Base stats'!B:B,'Base stats'!AD:AD),0.005))</f>
        <v>0</v>
      </c>
      <c r="BF38" s="2" t="str">
        <f>IF(J38&gt;0.3,"No",_xlfn.XLOOKUP(_xlfn.XLOOKUP(Animals!B38,'Base stats'!B:B,'Base stats'!E:E),Groups!A:A,Groups!AP:AP))</f>
        <v>No</v>
      </c>
      <c r="BG38" s="2">
        <f>IF(AND(J38&lt;=0.65,_xlfn.XLOOKUP(_xlfn.XLOOKUP(Animals!B38,'Base stats'!B:B,'Base stats'!E:E),Groups!A:A,Groups!AP:AP)&lt;&gt;"No",_xlfn.XLOOKUP(_xlfn.XLOOKUP(B38,'Base stats'!B:B,'Base stats'!E:E),Groups!A:A,Groups!D:D)=0),MROUND((80/3)*IF(_xlfn.XLOOKUP(B38,'Base stats'!B:B,'Base stats'!O:O)=2,0.2,AO38) + 24*(1-IF(BF38="No",0,BF38)) + 16/3, 12),"No")</f>
        <v>36</v>
      </c>
      <c r="BH38" s="2">
        <f>IF(AND(_xlfn.XLOOKUP(_xlfn.XLOOKUP(B38,'Base stats'!B:B,'Base stats'!E:E),Groups!A:A,Groups!AQ:AQ)=1,AO38&lt;=0.35),8,12)</f>
        <v>8</v>
      </c>
      <c r="BI38" s="2" t="str">
        <f>IF(_xlfn.XLOOKUP(_xlfn.XLOOKUP(B38,'Base stats'!B:B,'Base stats'!E:E),Groups!A:A,Groups!D:D)=0,_xlfn.XLOOKUP(_xlfn.XLOOKUP(B38,'Base stats'!B:B,'Base stats'!E:E),Groups!A:A,Groups!AR:AR),"None")</f>
        <v>None</v>
      </c>
      <c r="BJ38" s="2" t="str">
        <f>IF(AND(_xlfn.XLOOKUP(_xlfn.XLOOKUP(B38,'Base stats'!B:B,'Base stats'!E:E),Groups!A:A,Groups!AS:AS)=1,OR(_xlfn.XLOOKUP(B38,'Base stats'!B:B,'Base stats'!Y:Y)="Carnivore",_xlfn.XLOOKUP(B38,'Base stats'!B:B,'Base stats'!Y:Y)="Omnivore")),"true","false")</f>
        <v>false</v>
      </c>
      <c r="BK38" s="2" t="str">
        <f>IF(BJ38="true",MROUND(IF(AND(AO38&gt;0.5,OR(_xlfn.XLOOKUP(_xlfn.XLOOKUP(B38,'Base stats'!B:B,'Base stats'!E:E),Groups!A:A,Groups!AJ:AJ)="Photonozoa",_xlfn.XLOOKUP(_xlfn.XLOOKUP(B38,'Base stats'!B:B,'Base stats'!E:E),Groups!A:A,Groups!AJ:AJ)="Mammal")),Animals!AO38*1.75*IF(AW38="true",1.5,1),IF(AO38&lt;0.5,Animals!AO38*0.5,Animals!AO38)),IF(AO38&gt;2,0.5,IF(AO38&gt;0.5,0.25,0.1))),"No")</f>
        <v>No</v>
      </c>
      <c r="BL38" s="2">
        <f t="shared" si="3"/>
        <v>0</v>
      </c>
      <c r="BM38" s="25" t="str">
        <f>IF(_xlfn.XLOOKUP(B38,'Base stats'!B:B,'Base stats'!AN:AN)="Standard","No",MROUND((_xlfn.XLOOKUP(B38,'Base stats'!B:B,'Base stats'!AN:AN)/3.6)/I38,0.1))</f>
        <v>No</v>
      </c>
      <c r="BN38" s="25" t="str">
        <f t="shared" si="4"/>
        <v>false</v>
      </c>
      <c r="BO38" s="25" t="str">
        <f>IF(AND(OR(_xlfn.XLOOKUP(B38,'Base stats'!B:B,'Base stats'!Y:Y)="Carnivore",_xlfn.XLOOKUP(B38,'Base stats'!B:B,'Base stats'!Y:Y)="Omnivore",_xlfn.XLOOKUP(B38,'Base stats'!B:B,'Base stats'!Y:Y)="OmnivoreRough"),_xlfn.XLOOKUP(_xlfn.XLOOKUP(B38,'Base stats'!B:B,'Base stats'!E:E),Groups!A:A,Groups!AT:AT)=1),"true","false")</f>
        <v>false</v>
      </c>
      <c r="BP38" s="25" t="str" cm="1">
        <f t="array" ref="BP38">IF(
  _xlfn.TEXTJOIN(", ",TRUE,
    IF(AND(BJ38="true",AO38&gt;0.5,BI38&lt;&gt;"None"),"AttackTarget",""),
    IF(AND(_xlfn.XLOOKUP(_xlfn.XLOOKUP(B38,'Base stats'!B:B,'Base stats'!E:E),Groups!A:A,Groups!AJ:AJ="Mammal"),OR(_xlfn.XLOOKUP(B38,'Base stats'!B:B,'Base stats'!Y:Y)="Omnivore",_xlfn.XLOOKUP(B38,'Base stats'!B:B,'Base stats'!Y:Y)="OmnivoreRough")),"Forage",""),
    IF(BG38&lt;=36,"Comfort",""),
    IF(_xlfn.XLOOKUP(B38,'Base stats'!B:B,'Base stats'!AE:AE)&lt;&gt;"No",_xlfn.XLOOKUP(B38,'Base stats'!B:B,'Base stats'!AE:AE),"")
  ) = "",
  "No",
  _xlfn.TEXTJOIN(", ",TRUE,
    IF(AND(BJ38="true",AO38&gt;0.5,BI38&lt;&gt;"None"),"AttackTarget",""),
    IF(AND(_xlfn.XLOOKUP(_xlfn.XLOOKUP(B38,'Base stats'!B:B,'Base stats'!E:E),Groups!A:A,Groups!AJ:AJ="Mammal"),OR(_xlfn.XLOOKUP(B38,'Base stats'!B:B,'Base stats'!Y:Y)="Omnivore",_xlfn.XLOOKUP(B38,'Base stats'!B:B,'Base stats'!Y:Y)="OmnivoreRough")),"Forage",""),
    IF(BG38&lt;=36,"Comfort",""),
    IF(_xlfn.XLOOKUP(B38,'Base stats'!B:B,'Base stats'!AE:AE)&lt;&gt;"No",_xlfn.XLOOKUP(B38,'Base stats'!B:B,'Base stats'!AE:AE),"")
  )
)</f>
        <v>Comfort</v>
      </c>
      <c r="BQ38" s="25" t="str">
        <f>IF(
   AND(
      'Base stats'!AN38="Standard",_xlfn.XLOOKUP(_xlfn.XLOOKUP(B38,'Base stats'!B:B,'Base stats'!E:E),Groups!A:A,Groups!AU:AU)=0,
      OR(
      BO38="True"
      )
   ),
   10,
   IF(
       OR(BM38&lt;&gt;"No",_xlfn.XLOOKUP(_xlfn.XLOOKUP(B38,'Base stats'!B:B,'Base stats'!E:E),Groups!A:A,Groups!AU:AU)=1),
      1,
      "No"
   )
)</f>
        <v>No</v>
      </c>
      <c r="BR38" s="9">
        <f>MROUND((1 + ((0.2*IF(OR(Q38="No",R38="No",R38=0),0,Q38/R38)
+IF(OR(V38="No",S38="No",T38="No"),0,S38/T38*(LEN(V38)-LEN(SUBSTITUTE(V38,",",""))+1))
+IF(OR(X38="No",Y38="No"),0,X38/Y38)
+IF(OR(AD38="No",AE38="No"),0,AD38/AE38)
+IF(OR(AL38="No",AI38="No",AJ38="No"),0,AI38/AJ38*(LEN(AL38)-LEN(SUBSTITUTE(AL38,",",""))+1))
)/(0.2*IF(OR(Q38="No",R38="No",R38=0),0,1)
+IF(OR(V38="No",S38="No",T38="No"),0,LEN(V38)-LEN(SUBSTITUTE(V38,",",""))+1)
+IF(OR(X38="No",Y38="No"),0,1)
+IF(OR(AD38="No",AE38="No"),0,1)
+IF(OR(AL38="No",AI38="No",AJ38="No"),0,LEN(AL38)-LEN(SUBSTITUTE(AL38,",",""))+1))*62%)* 2)*(1 + (AP38 / (IF(_xlfn.XLOOKUP(_xlfn.XLOOKUP(B38,'Base stats'!B:B,'Base stats'!E:E),Groups!A:A,Groups!AJ:AJ)="Photonozoa",0.3,1)) + _xlfn.XLOOKUP(B38,'Base stats'!B:B,'Base stats'!AV:AV) * 1.8) * 2) * 2.5 + 10 + I38 * 2,5)+IF(_xlfn.XLOOKUP(B38,'Base stats'!B:B,'Base stats'!AK:AK)=1,50,0)</f>
        <v>25</v>
      </c>
      <c r="BS38" s="8">
        <f t="shared" si="5"/>
        <v>0.25</v>
      </c>
      <c r="BT38" s="8" t="str">
        <f>_xlfn.XLOOKUP(B38,'Base stats'!B:B,'Base stats'!AF:AF)</f>
        <v>5~15</v>
      </c>
      <c r="BU38" s="2" t="str">
        <f>IF(AND(J38&lt;=0.95,OR(_xlfn.XLOOKUP(B38,'Base stats'!B:B,'Base stats'!AK:AK)=1,_xlfn.XLOOKUP(B38,'Base stats'!B:B,'Base stats'!Y:Y)="Carnivore",_xlfn.XLOOKUP(B38,'Base stats'!B:B,'Base stats'!Y:Y)="Omnivore",BE38&gt;0.1)),"true","false")</f>
        <v>false</v>
      </c>
      <c r="BV38" s="2" t="str">
        <f>IF(_xlfn.XLOOKUP(B38,'Base stats'!B:B,'Base stats'!AI:AI)=1,"true","false")</f>
        <v>false</v>
      </c>
      <c r="BW38" s="25" t="str">
        <f>IF(E38="BaseInsect","AnimalInsect",
IF(J38&gt;0.95,"AnimalExotic",
_xlfn.TEXTJOIN(", ",TRUE,
IF(OR(_xlfn.XLOOKUP(B38,'Base stats'!B:B,'Base stats'!AM:AM)=1,AND(_xlfn.XLOOKUP(B38,'Base stats'!B:B,'Base stats'!O:O)=0,_xlfn.XLOOKUP(_xlfn.XLOOKUP(B38,'Base stats'!B:B,'Base stats'!E:E),Groups!A:A,Groups!B:B)&gt;0)),"AnimalUncommon","AnimalCommon"),
IF(AND(_xlfn.XLOOKUP(B38,'Base stats'!B:B,'Base stats'!O:O)=2,_xlfn.XLOOKUP(_xlfn.XLOOKUP(B38,'Base stats'!B:B,'Base stats'!E:E),Groups!A:A,Groups!D:D)=0),"AnimalPet",IF(AND(_xlfn.XLOOKUP(B38,'Base stats'!B:B,'Base stats'!O:O)&lt;&gt;0,_xlfn.XLOOKUP(_xlfn.XLOOKUP(B38,'Base stats'!B:B,'Base stats'!E:E),Groups!A:A,Groups!D:D)&lt;&gt;0),"AnimalFarm","")),
IF(OR(_xlfn.XLOOKUP(B38,'Base stats'!B:B,'Base stats'!AK:AK)=1,AND(BI38&lt;&gt;"None",BR38&gt;=60),ISNUMBER(SEARCH("Attack target",BP38))),"AnimalFighter","")
)))</f>
        <v>AnimalCommon</v>
      </c>
      <c r="BX38" s="25" t="str">
        <f>IF(G38="None",TRIM(
SUBSTITUTE(
IF(COUNTIF(Biomes!B$2:B$259,"="&amp;$C38)&gt;0,Biomes!B$1&amp;", ","")&amp;
IF(COUNTIF(Biomes!C$2:C$259,"="&amp;$C38)&gt;0,Biomes!C$1&amp;", ","")&amp;
IF(COUNTIF(Biomes!D$2:D$259,"="&amp;$C38)&gt;0,Biomes!D$1&amp;", ","")&amp;
IF(COUNTIF(Biomes!F$2:F$259,"="&amp;$C38)&gt;0,Biomes!F$1&amp;", ","")&amp;
IF(COUNTIF(Biomes!G$2:G$259,"="&amp;$C38)&gt;0,Biomes!G$1&amp;", ","")&amp;
IF(COUNTIF(Biomes!H$2:H$259,"="&amp;$C38)&gt;0,Biomes!H$1&amp;", ","")&amp;
IF(COUNTIF(Biomes!I$2:I$259,"="&amp;$C38)&gt;0,Biomes!I$1&amp;", ","")&amp;
IF(COUNTIF(Biomes!J$2:J$259,"="&amp;$C38)&gt;0,Biomes!J$1&amp;", ","")&amp;
IF(COUNTIF(Biomes!M$2:M$259,"="&amp;$C38)&gt;0,Biomes!M$1&amp;", ","")&amp;
IF(COUNTIF(Biomes!N$2:N$259,"="&amp;$C38)&gt;0,Biomes!N$1&amp;", ","")&amp;
IF(COUNTIF(Biomes!O$2:O$259,"="&amp;$C38)&gt;0,Biomes!O$1&amp;", ","")&amp;
IF(COUNTIF(Biomes!P$2:P$259,"="&amp;$C38)&gt;0,Biomes!P$1&amp;", ","")&amp;
IF(COUNTIF(Biomes!K$2:K$259,"="&amp;$C38)&gt;0,Biomes!K$1&amp;", ","")&amp;
IF(COUNTIF(Biomes!Q$3:Q$259,"="&amp;$C38)&gt;0,Biomes!Q$1&amp;", ","")&amp;
IF(COUNTIF(Biomes!L$2:L$259,"="&amp;$C38)&gt;0,Biomes!L$1&amp;", ","")&amp;
IF(COUNTIF(Biomes!E$2:E$259,"="&amp;$C38)&gt;0,Biomes!E$1&amp;", ","")&amp;IF(COUNTIF(Biomes!S$2:S$259,"="&amp;$C38)&gt;0,Biomes!S$1&amp;", ","")&amp;
IF(COUNTIF(Biomes!R$2:R$259,"="&amp;$C38)&gt;0,Biomes!R$1&amp;", ",""),", ","")
),_xlfn.XLOOKUP(B38,B:B,BX:BX))</f>
        <v>TropicalRainforest TropicalSwamp Glowforest</v>
      </c>
      <c r="BY38" s="25" t="str">
        <f>IF(_xlfn.XLOOKUP(B38,'Base stats'!B:B,'Base stats'!AJ:AJ)=1,"true","false")</f>
        <v>false</v>
      </c>
      <c r="BZ38" s="25">
        <f>IF(_xlfn.XLOOKUP(B38,'Base stats'!B:B,'Base stats'!N:N)=1,"No",MAX(0.001,MIN(MROUND(IF(AND(BJ38="True",CC38="False"),POWER(10,3.47*LOG10(_xlfn.XLOOKUP(B38,'Base stats'!B:B,'Base stats'!C:C)*1000)^-0.96),POWER(10,4.15*LOG10(_xlfn.XLOOKUP(B38,'Base stats'!B:B,'Base stats'!C:C)*1000)^-0.73))*IF(_xlfn.XLOOKUP(B38,'Base stats'!B:B,'Base stats'!AK:AK)=1,0.5,1)*IF(_xlfn.XLOOKUP(B38,'Base stats'!B:B,'Base stats'!AM:AM)=1,0.1,1)/100,IF(_xlfn.XLOOKUP(B38,'Base stats'!B:B,'Base stats'!AM:AM)=1,0.001,0.025)),0.5)))</f>
        <v>0.5</v>
      </c>
      <c r="CA38" s="25" t="str">
        <f>IF(P38="Standard","No",MAX(0.001,MIN(MROUND(IF(AND(BJ38="True",CC38="False"),POWER(10,3.47*LOG10(_xlfn.XLOOKUP(B38,'Base stats'!B:B,'Base stats'!C:C)*1000)^-0.96),POWER(10,4.15*LOG10(_xlfn.XLOOKUP(B38,'Base stats'!B:B,'Base stats'!C:C)*1000)^-0.73))*IF(_xlfn.XLOOKUP(B38,'Base stats'!B:B,'Base stats'!AM:AM)=1,0.1,1)*_xlfn.XLOOKUP(B38,'Base stats'!B:B,'Base stats'!R:R)/100,IF(_xlfn.XLOOKUP(B38,'Base stats'!B:B,'Base stats'!AM:AM)=1,0.001,0.025)),0.5)))</f>
        <v>No</v>
      </c>
      <c r="CB38" s="25" t="str">
        <f>IF(_xlfn.XLOOKUP(_xlfn.XLOOKUP(B38,'Base stats'!B:B,'Base stats'!E:E),Groups!A:A,Groups!AJ:AJ)="Mammal","True","False")</f>
        <v>True</v>
      </c>
      <c r="CC38" s="25" t="str">
        <f>IF(OR(_xlfn.XLOOKUP(_xlfn.XLOOKUP(B38,'Base stats'!B:B,'Base stats'!E:E),Groups!A:A,Groups!AJ:AJ)="Reptile",_xlfn.XLOOKUP(_xlfn.XLOOKUP(B38,'Base stats'!B:B,'Base stats'!E:E),Groups!A:A,Groups!AJ:AJ)="Amphibian",_xlfn.XLOOKUP(_xlfn.XLOOKUP(B38,'Base stats'!B:B,'Base stats'!E:E),Groups!A:A,Groups!AJ:AJ)="Invertebrate"),"True","False")</f>
        <v>False</v>
      </c>
      <c r="CD38" s="25" t="str">
        <f t="shared" si="6"/>
        <v>False</v>
      </c>
      <c r="CE38" s="25" t="str">
        <f>IF(_xlfn.XLOOKUP(_xlfn.XLOOKUP(B38,'Base stats'!B:B,'Base stats'!E:E),Groups!A:A,Groups!AX:AX),"True","False")</f>
        <v>False</v>
      </c>
      <c r="CF38" s="25" t="str">
        <f>IF(_xlfn.XLOOKUP(_xlfn.XLOOKUP(B38,'Base stats'!B:B,'Base stats'!E:E),Groups!A:A,Groups!AY:AY),"True","False")</f>
        <v>False</v>
      </c>
      <c r="CG38" s="25" t="str">
        <f>IF(_xlfn.XLOOKUP(_xlfn.XLOOKUP(B38,'Base stats'!B:B,'Base stats'!E:E),Groups!A:A,Groups!AW:AW),"True","False")</f>
        <v>False</v>
      </c>
      <c r="CH38" s="25" t="str">
        <f>IF(
OR(
_xlfn.XLOOKUP(_xlfn.XLOOKUP(B38,'Base stats'!B:B,'Base stats'!E:E),Groups!A:A,Groups!AZ:AZ)=0,
AND(
_xlfn.XLOOKUP(B38,'Base stats'!B:B,'Base stats'!Y:Y)&lt;&gt;"Carnivore",
_xlfn.XLOOKUP(B38,'Base stats'!B:B,'Base stats'!Y:Y)&lt;&gt;"Omnivore",
_xlfn.XLOOKUP(B38,'Base stats'!B:B,'Base stats'!Y:Y)&lt;&gt;"OmnivoreRough"
)
),
"No",
IF(
_xlfn.XLOOKUP(_xlfn.XLOOKUP(B38,'Base stats'!B:B,'Base stats'!E:E),Groups!A:A,Groups!AZ:AZ)=1,
"Flesh",
IF(
_xlfn.XLOOKUP(_xlfn.XLOOKUP(B38,'Base stats'!B:B,'Base stats'!E:E),Groups!A:A,Groups!AZ:AZ)=2,
"Bone",
""
)
)
)</f>
        <v>No</v>
      </c>
      <c r="CI38" s="25" t="str">
        <f>IF(_xlfn.XLOOKUP(_xlfn.XLOOKUP(B38,'Base stats'!B:B,'Base stats'!E:E),Groups!A:A,Groups!BB:BB),"True","False")</f>
        <v>True</v>
      </c>
      <c r="CJ38" s="25" t="str">
        <f>IF(_xlfn.XLOOKUP(_xlfn.XLOOKUP(B38,'Base stats'!B:B,'Base stats'!E:E),Groups!A:A,Groups!BA:BA),"True","False")</f>
        <v>False</v>
      </c>
    </row>
    <row r="39" spans="1:88" ht="16.5" thickTop="1" thickBot="1" x14ac:dyDescent="0.3">
      <c r="A39" s="26" t="str">
        <f>_xlfn.XLOOKUP(B39,'Base stats'!B:B,'Base stats'!A:A)</f>
        <v>Capybara</v>
      </c>
      <c r="B39" s="6" t="s">
        <v>118</v>
      </c>
      <c r="C39" s="28" t="s">
        <v>714</v>
      </c>
      <c r="D39" s="28" t="s">
        <v>45</v>
      </c>
      <c r="E39" s="28" t="s">
        <v>673</v>
      </c>
      <c r="F39" s="28" t="s">
        <v>673</v>
      </c>
      <c r="G39" s="28" t="s">
        <v>673</v>
      </c>
      <c r="H39" s="2">
        <f>MROUND((
  (IF(AND(_xlfn.XLOOKUP(B39,'Base stats'!B:B,'Base stats'!AL:AL)=0,BI39="None",_xlfn.XLOOKUP(_xlfn.XLOOKUP(B39,'Base stats'!B:B,'Base stats'!E:E),Groups!A:A,Groups!B:B)=0), (18 + BR39 * 2.7) * 0.5,
    IF(AND(_xlfn.XLOOKUP(B39,'Base stats'!B:B,'Base stats'!AL:AL)=0,OR(AO39&lt;0.55,AND(BI39="Intermediate",_xlfn.XLOOKUP(_xlfn.XLOOKUP(B39,'Base stats'!B:B,'Base stats'!E:E),Groups!A:A,Groups!B:B)&lt;2))), (18 + BR39 * 2.7),
      IF(OR(BI39="Advanced",_xlfn.XLOOKUP(B39,'Base stats'!B:B,'Base stats'!AL:AL)=1,_xlfn.XLOOKUP(_xlfn.XLOOKUP(B39,'Base stats'!B:B,'Base stats'!E:E),Groups!A:A,Groups!B:B)=2), (18 + BR39 * 2.7) + 250, (18 + BR39 * 2.7))
    )
  ))
  + AO39 * 80
  + IF(COUNTIF(EggMilk!K$2:K$998, A39) &gt; 0, 125, 0)
  + IF(COUNTIF(EggMilk!P$2:P$998, A39) &gt; 0, 90, 0)
  + IF(COUNTIF(EggMilk!A$2:A$998, A39) &gt; 0, 90, 0)
)
* (0.8 + 0.4 * J39)
* 0.75,25)</f>
        <v>250</v>
      </c>
      <c r="I39" s="2">
        <f>MROUND(ROUNDDOWN(_xlfn.XLOOKUP(B39,'Base stats'!B:B,'Base stats'!L:L)/3.6/(23.3/11),1),0.5)</f>
        <v>4.5</v>
      </c>
      <c r="J39" s="2">
        <f>IF(OR(_xlfn.XLOOKUP(B39,'Base stats'!B:B,'Base stats'!AB:AB)=1,_xlfn.XLOOKUP(_xlfn.XLOOKUP(B39,'Base stats'!B:B,'Base stats'!E:E),Groups!A:A,Groups!C:C)="Untamable"),1,IF(_xlfn.XLOOKUP(B39,'Base stats'!B:B,'Base stats'!AL:AL)=1,0.99,MIN(MROUND((1-0.6282*EXP(-0.459*AO39))*_xlfn.XLOOKUP(_xlfn.XLOOKUP(B39,'Base stats'!B:B,'Base stats'!E:E),Groups!A:A,Groups!C:C)*IF(_xlfn.XLOOKUP(B39,'Base stats'!B:B,'Base stats'!O:O)=1,0.5,IF(_xlfn.XLOOKUP(B39,'Base stats'!B:B,'Base stats'!O:O)=2,0,1)),0.05),IF(AO39&gt;3.5,0.985,0.95))))</f>
        <v>0.75</v>
      </c>
      <c r="K39" s="2">
        <f>ROUNDUP(AO39*_xlfn.XLOOKUP(_xlfn.XLOOKUP(B39,'Base stats'!B:B,'Base stats'!E:E),Groups!A:A,Groups!E:E),0)</f>
        <v>1</v>
      </c>
      <c r="L39" s="2">
        <f>IF(OR(_xlfn.XLOOKUP(_xlfn.XLOOKUP(B39,'Base stats'!B:B,'Base stats'!E:E),Groups!A:A,Groups!F:F)=2,ISNUMBER(SEARCH("SeaIce",BX39)),ISNUMBER(SEARCH("IceSheet",BX39))),-50,IF(OR(ISNUMBER(SEARCH("GlacialPlain",BX39)),ISNUMBER(SEARCH("Tundra",BX39))),-40,IF(OR(ISNUMBER(SEARCH("Alpine",BX39)),ISNUMBER(SEARCH("BorealForest",BX39)),ISNUMBER(SEARCH("ColdBog",BX39))),-30,IF(OR(ISNUMBER(SEARCH("TemperateForest",BX39)),ISNUMBER(SEARCH("TemperateSwamp",BX39))),-20,IF(_xlfn.XLOOKUP(_xlfn.XLOOKUP(B39,'Base stats'!B:B,'Base stats'!E:E),Groups!A:A,Groups!F:F)=1,-15,IF(OR(ISNUMBER(SEARCH("Desert",BX39)),ISNUMBER(SEARCH("ExtremeDesert",BX39))),-10,IF(OR(ISNUMBER(SEARCH("Grasslands",BX39)),ISNUMBER(SEARCH("TropicalRainforest",BX39)),ISNUMBER(SEARCH("TropicalSwamp",BX39))),10,0)))))))-IF(CC39="False",MIN(IFERROR(MAX(MROUND(LOG10(_xlfn.XLOOKUP(B39,'Base stats'!B:B,'Base stats'!C:C)^(2/3))*10,5),5),5),30))-_xlfn.XLOOKUP(B39,'Base stats'!B:B,'Base stats'!P:P)+IF(CC39="True",5,0)</f>
        <v>0</v>
      </c>
      <c r="M39" s="2">
        <f>IF(OR(_xlfn.XLOOKUP(_xlfn.XLOOKUP(B39,'Base stats'!B:B,'Base stats'!E:E),Groups!A:A,Groups!G:G)=2,ISNUMBER(SEARCH("Desert",BX39)),ISNUMBER(SEARCH("ExtremeDesert",BX39)),ISNUMBER(SEARCH("LavaField",BX39))),50,IF(ISNUMBER(SEARCH("Grasslands",BX39)),45,IF(OR(_xlfn.XLOOKUP(_xlfn.XLOOKUP(B39,'Base stats'!B:B,'Base stats'!E:E),Groups!A:A,Groups!G:G)=1,ISNUMBER(SEARCH("TropicalRainforest",BX39)),ISNUMBER(SEARCH("TropicalSwamp",BX39))),40,IF(OR(ISNUMBER(SEARCH("TemperateForest",BX39)),ISNUMBER(SEARCH("TemperateSwamp",BX39))),35,IF(OR(ISNUMBER(SEARCH("Alpine",BX39)),ISNUMBER(SEARCH("BorealForest",BX39)),ISNUMBER(SEARCH("ColdBog",BX39))),30,IF(ISNUMBER(OR(ISNUMBER(SEARCH("GlacialPlain",BX39)),SEARCH("Tundra",BX39))),25,IF(OR(ISNUMBER(SEARCH("SeaIce",BX39)),ISNUMBER(SEARCH("IceSheet",BX39)),ISNUMBER(SEARCH("TropicalSwamp",BX39))),10,35)))))))+_xlfn.XLOOKUP(B39,'Base stats'!B:B,'Base stats'!Q:Q)</f>
        <v>40</v>
      </c>
      <c r="N39" s="8" t="str">
        <f>IF(
_xlfn.XLOOKUP(
_xlfn.XLOOKUP(B39,'Base stats'!B:B,'Base stats'!E:E),
Groups!A:A,
Groups!L:L
)=1,
MIN(
MROUND(
IF(
_xlfn.XLOOKUP(B39,'Animals CE'!B:B,'Animals CE'!Z:Z)&lt;=1.5,
_xlfn.XLOOKUP(B39,'Animals CE'!B:B,'Animals CE'!Z:Z)/2+0.05,
0.8+
(_xlfn.XLOOKUP(B39,'Animals CE'!B:B,'Animals CE'!Z:Z)-1.5)
*0.02
),
0.05
),
200%
),
"No"
)</f>
        <v>No</v>
      </c>
      <c r="O39" s="8" t="str">
        <f>IF(
_xlfn.XLOOKUP(
_xlfn.XLOOKUP(B39,'Base stats'!B:B,'Base stats'!E:E),
Groups!A:A,
Groups!L:L
)=1,
MIN(
MROUND(
IF(
_xlfn.XLOOKUP(B39,'Animals CE'!B:B,'Animals CE'!AA:AA)&lt;=1.5,
_xlfn.XLOOKUP(B39,'Animals CE'!B:B,'Animals CE'!AA:AA)/2+0.05,
0.8+
(_xlfn.XLOOKUP(B39,'Animals CE'!B:B,'Animals CE'!AA:AA)-1.5)
*0.02
),
0.05
),
200%
),
"No"
)</f>
        <v>No</v>
      </c>
      <c r="P39" s="2" t="str">
        <f>_xlfn.XLOOKUP(B39,'Base stats'!B:B,'Base stats'!R:R)</f>
        <v>Standard</v>
      </c>
      <c r="Q39" s="13">
        <f>MROUND((LOG10(_xlfn.XLOOKUP(B39,'Base stats'!B:B,'Base stats'!AR:AR))*(AO39^0.5)+(_xlfn.XLOOKUP(B39,'Base stats'!B:B,'Base stats'!AR:AR)/1000)^(2/3)+_xlfn.XLOOKUP(B39,'Base stats'!B:B,'Base stats'!BA:BA)/2)+0.5,0.5)</f>
        <v>6.5</v>
      </c>
      <c r="R39" s="7">
        <f>IF(Q39="No","No",MAX(1,MROUND(_xlfn.XLOOKUP(B39,'Base stats'!B:B,'Base stats'!C:C)^0.165,0.05)))</f>
        <v>1.9500000000000002</v>
      </c>
      <c r="S39" s="13" t="str">
        <f>IF(_xlfn.XLOOKUP(_xlfn.XLOOKUP(B39,'Base stats'!B:B,'Base stats'!E:E),Groups!A:A,Groups!P:P)=0,"No",MROUND((LOG10(_xlfn.XLOOKUP(B39,'Base stats'!B:B,'Base stats'!AS:AS))*(AO39^0.5)+(_xlfn.XLOOKUP(B39,'Base stats'!B:B,'Base stats'!AS:AS)/1000)^(2/3)+_xlfn.XLOOKUP(B39,'Base stats'!B:B,'Base stats'!BA:BA))+_xlfn.XLOOKUP(B39,'Base stats'!B:B,'Base stats'!AY:AY)+0.5,0.5))</f>
        <v>No</v>
      </c>
      <c r="T39" s="7" t="str">
        <f>IF(S39="No","No",MAX(_xlfn.XLOOKUP(_xlfn.XLOOKUP(B39,'Base stats'!B:B,'Base stats'!E:E),Groups!A:A,Groups!Q:Q),MROUND(_xlfn.XLOOKUP(_xlfn.XLOOKUP(B39,'Base stats'!B:B,'Base stats'!E:E),Groups!A:A,Groups!Q:Q)*_xlfn.XLOOKUP(B39,'Base stats'!B:B,'Base stats'!C:C)^0.165,0.05)))</f>
        <v>No</v>
      </c>
      <c r="U39" s="7" t="str">
        <f>IF(S39="No","No",_xlfn.XLOOKUP(_xlfn.XLOOKUP(B39,'Base stats'!B:B,'Base stats'!E:E),Groups!A:A,Groups!R:R))</f>
        <v>No</v>
      </c>
      <c r="V39" s="7" t="str">
        <f>IF(S39="No","No",_xlfn.XLOOKUP(_xlfn.XLOOKUP(B39,'Base stats'!B:B,'Base stats'!E:E),Groups!A:A,Groups!S:S))</f>
        <v>No</v>
      </c>
      <c r="W39" s="7" t="str">
        <f>IF(S39="No","No",_xlfn.XLOOKUP(_xlfn.XLOOKUP(B39,'Base stats'!B:B,'Base stats'!E:E),Groups!A:A,Groups!T:T))</f>
        <v>No</v>
      </c>
      <c r="X39" s="13" t="str">
        <f>IF(_xlfn.XLOOKUP(B39,'Base stats'!B:B,'Base stats'!W:W)="No","No",MROUND((LOG10(_xlfn.XLOOKUP(B39,'Base stats'!B:B,'Base stats'!AU:AU))*(AO39^0.5)+(_xlfn.XLOOKUP(B39,'Base stats'!B:B,'Base stats'!AU:AU)/1000)^(2/3)+_xlfn.XLOOKUP(B39,'Base stats'!B:B,'Base stats'!AZ:AZ))+0.5+IF(_xlfn.XLOOKUP(_xlfn.XLOOKUP(B39,'Base stats'!B:B,'Base stats'!E:E),Groups!A:A,Groups!U:U)&lt;&gt;3,_xlfn.XLOOKUP(B39,'Base stats'!B:B,'Base stats'!BA:BA),0),0.5))</f>
        <v>No</v>
      </c>
      <c r="Y39" s="7" t="str">
        <f>IF(X39="No","No",MAX(_xlfn.XLOOKUP(_xlfn.XLOOKUP(B39,'Base stats'!B:B,'Base stats'!E:E),Groups!A:A,Groups!V:V),MROUND(_xlfn.XLOOKUP(_xlfn.XLOOKUP(B39,'Base stats'!B:B,'Base stats'!E:E),Groups!A:A,Groups!V:V)*_xlfn.XLOOKUP(B39,'Base stats'!B:B,'Base stats'!C:C)^0.165,0.05)))</f>
        <v>No</v>
      </c>
      <c r="Z39" s="7" t="str">
        <f>IF(X39="No","No",_xlfn.XLOOKUP(_xlfn.XLOOKUP(B39,'Base stats'!B:B,'Base stats'!E:E),Groups!A:A,Groups!W:W))</f>
        <v>No</v>
      </c>
      <c r="AA39" s="7" t="str">
        <f>IF(X39="No","No",_xlfn.XLOOKUP(_xlfn.XLOOKUP(B39,'Base stats'!B:B,'Base stats'!E:E),Groups!A:A,Groups!X:X))</f>
        <v>No</v>
      </c>
      <c r="AB39" s="7" t="str">
        <f>IF(X39="No","No",_xlfn.XLOOKUP(_xlfn.XLOOKUP(B39,'Base stats'!B:B,'Base stats'!E:E),Groups!A:A,Groups!Y:Y))</f>
        <v>No</v>
      </c>
      <c r="AC39" s="7" t="str">
        <f>_xlfn.XLOOKUP(Animals!B39,'Base stats'!B:B,'Base stats'!X:X)</f>
        <v>False</v>
      </c>
      <c r="AD39" s="13">
        <f>IF(_xlfn.XLOOKUP(B39,'Base stats'!B:B,'Base stats'!AT:AT)="No","No",MROUND((LOG10(_xlfn.XLOOKUP(B39,'Base stats'!B:B,'Base stats'!AT:AT))*(AO39^0.75)+(_xlfn.XLOOKUP(B39,'Base stats'!B:B,'Base stats'!AT:AT)/1000)^(2/3)+_xlfn.XLOOKUP(B39,'Base stats'!B:B,'Base stats'!AX:AX)+_xlfn.XLOOKUP(B39,'Base stats'!B:B,'Base stats'!BA:BA))+0.5,0.5))</f>
        <v>12.5</v>
      </c>
      <c r="AE39" s="7">
        <f>IF(AD39="No","No",MAX(_xlfn.XLOOKUP(_xlfn.XLOOKUP(B39,'Base stats'!B:B,'Base stats'!E:E),Groups!A:A,Groups!Z:Z),MROUND(_xlfn.XLOOKUP(_xlfn.XLOOKUP(B39,'Base stats'!B:B,'Base stats'!E:E),Groups!A:A,Groups!Z:Z)*_xlfn.XLOOKUP(B39,'Base stats'!B:B,'Base stats'!C:C)^0.165,0.05)))</f>
        <v>1.85</v>
      </c>
      <c r="AF39" s="7" t="str">
        <f>IF(AD39="No","No",_xlfn.XLOOKUP(_xlfn.XLOOKUP(B39,'Base stats'!B:B,'Base stats'!E:E),Groups!A:A,Groups!AA:AA))</f>
        <v>Teeth</v>
      </c>
      <c r="AG39" s="7" t="str">
        <f>IF(AD39="No","No",_xlfn.XLOOKUP(_xlfn.XLOOKUP(B39,'Base stats'!B:B,'Base stats'!E:E),Groups!A:A,Groups!AB:AB))</f>
        <v>Incisors</v>
      </c>
      <c r="AH39" s="7" t="str">
        <f>IF(AD39="No","No",_xlfn.XLOOKUP(_xlfn.XLOOKUP(B39,'Base stats'!B:B,'Base stats'!E:E),Groups!A:A,Groups!AC:AC))</f>
        <v>Bite</v>
      </c>
      <c r="AI39" s="13" t="str">
        <f>IF(_xlfn.XLOOKUP(_xlfn.XLOOKUP(B39,'Base stats'!B:B,'Base stats'!E:E),Groups!A:A,Groups!AD:AD)=0,"No",MROUND((LOG10(_xlfn.XLOOKUP(B39,'Base stats'!B:B,'Base stats'!AS:AS))*(AO39^0.75)+(_xlfn.XLOOKUP(B39,'Base stats'!B:B,'Base stats'!AS:AS)/1000)^(2/3)+_xlfn.XLOOKUP(B39,'Base stats'!B:B,'Base stats'!AY:AY)+_xlfn.XLOOKUP(B39,'Base stats'!B:B,'Base stats'!BA:BA))+0.5,0.5))</f>
        <v>No</v>
      </c>
      <c r="AJ39" s="7" t="str">
        <f>IF(AI39="No","No",MAX(_xlfn.XLOOKUP(_xlfn.XLOOKUP(B39,'Base stats'!B:B,'Base stats'!E:E),Groups!A:A,Groups!AE:AE),MROUND(_xlfn.XLOOKUP(_xlfn.XLOOKUP(B39,'Base stats'!B:B,'Base stats'!E:E),Groups!A:A,Groups!AE:AE)*IF(_xlfn.XLOOKUP(_xlfn.XLOOKUP(B39,'Base stats'!B:B,'Base stats'!E:E),Groups!A:A,Groups!AJ:AJ)="Photonozoa",0.6,1)*_xlfn.XLOOKUP(B39,'Base stats'!B:B,'Base stats'!C:C)^0.165,0.05)))</f>
        <v>No</v>
      </c>
      <c r="AK39" s="7" t="str">
        <f>IF(AI39="No","No",_xlfn.XLOOKUP(_xlfn.XLOOKUP(B39,'Base stats'!B:B,'Base stats'!E:E),Groups!A:A,Groups!AF:AF))</f>
        <v>No</v>
      </c>
      <c r="AL39" s="7" t="str">
        <f>IF(AI39="No","No",_xlfn.XLOOKUP(_xlfn.XLOOKUP(B39,'Base stats'!B:B,'Base stats'!E:E),Groups!A:A,Groups!AG:AG))</f>
        <v>No</v>
      </c>
      <c r="AM39" s="7" t="str">
        <f>IF(AI39="No","No",_xlfn.XLOOKUP(_xlfn.XLOOKUP(B39,'Base stats'!B:B,'Base stats'!E:E),Groups!A:A,Groups!AH:AH))</f>
        <v>No</v>
      </c>
      <c r="AN39" s="2" t="str">
        <f t="shared" si="0"/>
        <v>No</v>
      </c>
      <c r="AO39" s="2">
        <f>MROUND(IF(AND(_xlfn.XLOOKUP(B39,'Base stats'!B:B,'Base stats'!C:C)&gt;=0.5,_xlfn.XLOOKUP(B39,'Base stats'!B:B,'Base stats'!C:C)&lt;=0.8),
IF(_xlfn.XLOOKUP(B39,'Base stats'!B:B,'Base stats'!C:C)&lt;0.1,0.05,IF(_xlfn.XLOOKUP(B39,'Base stats'!B:B,'Base stats'!C:C)&lt;=70,(_xlfn.XLOOKUP(B39,'Base stats'!B:B,'Base stats'!C:C)/70)^0.426489913056526,IF(_xlfn.XLOOKUP(B39,'Base stats'!B:B,'Base stats'!C:C)&lt;=400,(_xlfn.XLOOKUP(B39,'Base stats'!B:B,'Base stats'!C:C)/70)^0.572811455315093,IF(_xlfn.XLOOKUP(B39,'Base stats'!B:B,'Base stats'!C:C)&lt;=2000,2.71391647193063*(_xlfn.XLOOKUP(B39,'Base stats'!B:B,'Base stats'!C:C)/400)^0.252459582904293,3.74314280240376*(_xlfn.XLOOKUP(B39,'Base stats'!B:B,'Base stats'!C:C)/2000)^0.357012633876913)))),
IF(_xlfn.XLOOKUP(B39,'Base stats'!B:B,'Base stats'!C:C)&lt;0.1,0.05,IF(_xlfn.XLOOKUP(B39,'Base stats'!B:B,'Base stats'!C:C)&lt;0.4,0.1,IF(_xlfn.XLOOKUP(B39,'Base stats'!B:B,'Base stats'!C:C)&lt;=70,(_xlfn.XLOOKUP(B39,'Base stats'!B:B,'Base stats'!C:C)/70)^0.445823913056526,IF(_xlfn.XLOOKUP(B39,'Base stats'!B:B,'Base stats'!C:C)&lt;=400,(_xlfn.XLOOKUP(B39,'Base stats'!B:B,'Base stats'!C:C)/70)^0.572811455315093,IF(_xlfn.XLOOKUP(B39,'Base stats'!B:B,'Base stats'!C:C)&lt;=2000,2.71391647193063*(_xlfn.XLOOKUP(B39,'Base stats'!B:B,'Base stats'!C:C)/400)^0.252459582904293,3.74314280240376*(_xlfn.XLOOKUP(B39,'Base stats'!B:B,'Base stats'!C:C)/2000)^0.357012633876913)))))),
IF(_xlfn.XLOOKUP(B39,'Base stats'!B:B,'Base stats'!C:C)&lt;0.1,0.05,IF(_xlfn.XLOOKUP(B39,'Base stats'!B:B,'Base stats'!C:C)&lt;=100,0.05,IF(_xlfn.XLOOKUP(B39,'Base stats'!B:B,'Base stats'!C:C)&lt;=250,0.1,IF(_xlfn.XLOOKUP(B39,'Base stats'!B:B,'Base stats'!C:C)&lt;=4000,0.25,0.5)))))</f>
        <v>0.9</v>
      </c>
      <c r="AP39" s="8">
        <f>MROUND(AO39*_xlfn.XLOOKUP(_xlfn.XLOOKUP(B39,'Base stats'!B:B,'Base stats'!E:E),Groups!A:A,Groups!AI:AI)*_xlfn.XLOOKUP(B39,'Base stats'!B:B,'Base stats'!Z:Z),0.05)</f>
        <v>0.9</v>
      </c>
      <c r="AQ39" s="8">
        <f>MAX(0.01,MROUND(IF(CC39="True",0.196*(AO39*100*1000)^0.889,IF(_xlfn.XLOOKUP(_xlfn.XLOOKUP(B39,'Base stats'!B:B,'Base stats'!E:E),Groups!A:A,Groups!AJ:AJ)="Bird",10.5*(AO39*100*1000)^0.681,4.82*(AO39*100*1000)^0.734))/(4.82*(1*100*1000)^0.734)/IF(AO39&lt;3.5,2,IF(AO39=3.5,1.5,1.25))*(1+0.132282374779864/(AO39^0.994035016789033+0.00905238001496948)),0.05))</f>
        <v>0.55000000000000004</v>
      </c>
      <c r="AR39" s="9">
        <f>IFERROR(MROUND(_xlfn.XLOOKUP(B39,'Base stats'!B:B,'Base stats'!H:H)/IF(_xlfn.XLOOKUP(B39,'Base stats'!B:B,'Base stats'!I:I)&lt;&gt;1,(122.5/70),1.2),IF(_xlfn.XLOOKUP(B39,'Base stats'!B:B,'Base stats'!H:H)&gt;=30,5,IF(_xlfn.XLOOKUP(B39,'Base stats'!B:B,'Base stats'!H:H)&gt;=15,3,IF(_xlfn.XLOOKUP(B39,'Base stats'!B:B,'Base stats'!H:H)&gt;=10,2,1)))),"Immortal")</f>
        <v>9</v>
      </c>
      <c r="AS39" s="35">
        <f>IFERROR(IF(OR(_xlfn.XLOOKUP(B39,'Base stats'!B:B,'Base stats'!F:F)="Atypical reproduction",_xlfn.XLOOKUP(B39,'Base stats'!B:B,'Base stats'!F:F)="Lay eggs"),"Lay eggs",MIN(20,MAX(5.5,ROUND(((_xlfn.XLOOKUP(B39,'Base stats'!B:B,'Base stats'!F:F)-25)*(14.5/615) + 5.5)*2,0)/2))),"Unknown")</f>
        <v>8.5</v>
      </c>
      <c r="AT39" s="8">
        <f>IF(_xlfn.XLOOKUP(B39,'Base stats'!B:B,'Base stats'!G:G)="Atypical reproduction","No",IFERROR(MAX(IF(_xlfn.XLOOKUP(B39,'Base stats'!B:B,'Base stats'!G:G)&lt;0.5,0.2,0.3),MROUND(_xlfn.XLOOKUP(B39,'Base stats'!B:B,'Base stats'!G:G)/(365/60),0.2)),"Unknown"))</f>
        <v>0.3</v>
      </c>
      <c r="AU39" s="8">
        <f t="shared" si="1"/>
        <v>0.15000000000000002</v>
      </c>
      <c r="AV39" s="8">
        <f>IFERROR(IFERROR(MROUND(_xlfn.XLOOKUP(B39,'Base stats'!B:B,'Base stats'!J:J),0.1),"Lay eggs"),"Cannot breed")</f>
        <v>4.8000000000000007</v>
      </c>
      <c r="AW39" s="2" t="str">
        <f t="shared" si="2"/>
        <v>true</v>
      </c>
      <c r="AX39" s="2" t="str">
        <f>IF(_xlfn.XLOOKUP(_xlfn.XLOOKUP(Animals!B39,'Base stats'!B:B,'Base stats'!E:E),Groups!A:A,Groups!AK:AK)=1,"true","false")</f>
        <v>false</v>
      </c>
      <c r="AY39" s="25" t="str">
        <f>IF(_xlfn.XLOOKUP(B39,'Base stats'!B:B,'Base stats'!Y:Y)="Liquor","Liquor, CarnivoreAnimalStrict",IF(AND(_xlfn.XLOOKUP(B39,'Base stats'!B:B,'Base stats'!Y:Y)="Carnivore",_xlfn.XLOOKUP(_xlfn.XLOOKUP(B39,'Base stats'!B:B,'Base stats'!E:E),Groups!A:A,Groups!AJ:AJ)="Photonozoa"),"CarnivoreAnimalStrict, OvivoreAnimal",IF(_xlfn.XLOOKUP(B39,'Base stats'!B:B,'Base stats'!Y:Y)="Carnivore","CarnivoreAnimal, OvivoreAnimal",IF(_xlfn.XLOOKUP(B39,'Base stats'!B:B,'Base stats'!Y:Y)="Dendrovore","VegetarianRoughAnimal, DendrovoreAnimal",IF(_xlfn.XLOOKUP(B39,'Base stats'!B:B,'Base stats'!Y:Y)="Herbivore","VegetarianRoughAnimal",IF(_xlfn.XLOOKUP(B39,'Base stats'!B:B,'Base stats'!Y:Y)="OmnivoreRough","OmnivoreRoughAnimal, OvivoreAnimal","OmnivoreAnimal, OvivoreAnimal"))))))</f>
        <v>VegetarianRoughAnimal</v>
      </c>
      <c r="AZ39" s="2" t="str">
        <f>IF(_xlfn.XLOOKUP(_xlfn.XLOOKUP(B39,'Base stats'!B:B,'Base stats'!E:E),Groups!A:A,Groups!D:D)=1,MROUND((1-J39)*5+1,2)*IF(J39&lt;=0.4,2,1),"No")</f>
        <v>No</v>
      </c>
      <c r="BA39" s="2" t="str">
        <f>IF(AND(_xlfn.XLOOKUP(B39,'Base stats'!B:B,'Base stats'!AH:AH)="&lt;li&gt;Seal&lt;/li&gt;",G39="Odyssey"),"&lt;li&gt;AEXP_Seal&lt;/li&gt;",_xlfn.XLOOKUP(B39,'Base stats'!B:B,'Base stats'!AH:AH))</f>
        <v>No</v>
      </c>
      <c r="BB39" s="2" t="str">
        <f>_xlfn.XLOOKUP(B39,'Base stats'!B:B,'Base stats'!AG:AG)</f>
        <v>Leather_Light</v>
      </c>
      <c r="BC39" s="23" t="str">
        <f>_xlfn.XLOOKUP(_xlfn.XLOOKUP(B39,'Base stats'!B:B,'Base stats'!E:E),Groups!A:A,Groups!AL:AL)</f>
        <v>QuadrupedAnimalWithPaws</v>
      </c>
      <c r="BD39" s="23">
        <f>MIN(1,MROUND(IF(AND(AO39&lt;0.5,_xlfn.XLOOKUP(B39,'Base stats'!B:B,'Base stats'!AA:AA)=0),0,IF(OR(_xlfn.XLOOKUP(Animals!B39,'Base stats'!B:B,'Base stats'!O:O)=2,_xlfn.XLOOKUP(_xlfn.XLOOKUP(B39,'Base stats'!B:B,'Base stats'!E:E),Groups!A:A,Groups!AN:AN)=0),0,_xlfn.XLOOKUP(_xlfn.XLOOKUP(B39,'Base stats'!B:B,'Base stats'!E:E),Groups!A:A,Groups!AN:AN)/IF(_xlfn.XLOOKUP(Animals!B39,'Base stats'!B:B,'Base stats'!O:O)=1,2,1)))+_xlfn.XLOOKUP(B39,'Base stats'!B:B,'Base stats'!AC:AC),0.005))</f>
        <v>0</v>
      </c>
      <c r="BE39" s="23">
        <f>MIN(1,MROUND(IF(AND(AO39&lt;0.5,_xlfn.XLOOKUP(B39,'Base stats'!B:B,'Base stats'!AA:AA)=0),0,IF(_xlfn.XLOOKUP(_xlfn.XLOOKUP(B39,'Base stats'!B:B,'Base stats'!E:E),Groups!A:A,Groups!AO:AO)=0,0,_xlfn.XLOOKUP(_xlfn.XLOOKUP(B39,'Base stats'!B:B,'Base stats'!E:E),Groups!A:A,Groups!AO:AO)/IF(_xlfn.XLOOKUP(Animals!B39,'Base stats'!B:B,'Base stats'!O:O)=2,3,1)))+_xlfn.XLOOKUP(B39,'Base stats'!B:B,'Base stats'!AD:AD),0.005))</f>
        <v>0</v>
      </c>
      <c r="BF39" s="2" t="str">
        <f>IF(J39&gt;0.3,"No",_xlfn.XLOOKUP(_xlfn.XLOOKUP(Animals!B39,'Base stats'!B:B,'Base stats'!E:E),Groups!A:A,Groups!AP:AP))</f>
        <v>No</v>
      </c>
      <c r="BG39" s="2" t="str">
        <f>IF(AND(J39&lt;=0.65,_xlfn.XLOOKUP(_xlfn.XLOOKUP(Animals!B39,'Base stats'!B:B,'Base stats'!E:E),Groups!A:A,Groups!AP:AP)&lt;&gt;"No",_xlfn.XLOOKUP(_xlfn.XLOOKUP(B39,'Base stats'!B:B,'Base stats'!E:E),Groups!A:A,Groups!D:D)=0),MROUND((80/3)*IF(_xlfn.XLOOKUP(B39,'Base stats'!B:B,'Base stats'!O:O)=2,0.2,AO39) + 24*(1-IF(BF39="No",0,BF39)) + 16/3, 12),"No")</f>
        <v>No</v>
      </c>
      <c r="BH39" s="2">
        <f>IF(AND(_xlfn.XLOOKUP(_xlfn.XLOOKUP(B39,'Base stats'!B:B,'Base stats'!E:E),Groups!A:A,Groups!AQ:AQ)=1,AO39&lt;=0.35),8,12)</f>
        <v>12</v>
      </c>
      <c r="BI39" s="2" t="str">
        <f>IF(_xlfn.XLOOKUP(_xlfn.XLOOKUP(B39,'Base stats'!B:B,'Base stats'!E:E),Groups!A:A,Groups!D:D)=0,_xlfn.XLOOKUP(_xlfn.XLOOKUP(B39,'Base stats'!B:B,'Base stats'!E:E),Groups!A:A,Groups!AR:AR),"None")</f>
        <v>None</v>
      </c>
      <c r="BJ39" s="2" t="str">
        <f>IF(AND(_xlfn.XLOOKUP(_xlfn.XLOOKUP(B39,'Base stats'!B:B,'Base stats'!E:E),Groups!A:A,Groups!AS:AS)=1,OR(_xlfn.XLOOKUP(B39,'Base stats'!B:B,'Base stats'!Y:Y)="Carnivore",_xlfn.XLOOKUP(B39,'Base stats'!B:B,'Base stats'!Y:Y)="Omnivore")),"true","false")</f>
        <v>false</v>
      </c>
      <c r="BK39" s="2" t="str">
        <f>IF(BJ39="true",MROUND(IF(AND(AO39&gt;0.5,OR(_xlfn.XLOOKUP(_xlfn.XLOOKUP(B39,'Base stats'!B:B,'Base stats'!E:E),Groups!A:A,Groups!AJ:AJ)="Photonozoa",_xlfn.XLOOKUP(_xlfn.XLOOKUP(B39,'Base stats'!B:B,'Base stats'!E:E),Groups!A:A,Groups!AJ:AJ)="Mammal")),Animals!AO39*1.75*IF(AW39="true",1.5,1),IF(AO39&lt;0.5,Animals!AO39*0.5,Animals!AO39)),IF(AO39&gt;2,0.5,IF(AO39&gt;0.5,0.25,0.1))),"No")</f>
        <v>No</v>
      </c>
      <c r="BL39" s="2">
        <f t="shared" si="3"/>
        <v>0</v>
      </c>
      <c r="BM39" s="25" t="str">
        <f>IF(_xlfn.XLOOKUP(B39,'Base stats'!B:B,'Base stats'!AN:AN)="Standard","No",MROUND((_xlfn.XLOOKUP(B39,'Base stats'!B:B,'Base stats'!AN:AN)/3.6)/I39,0.1))</f>
        <v>No</v>
      </c>
      <c r="BN39" s="25" t="str">
        <f t="shared" si="4"/>
        <v>true</v>
      </c>
      <c r="BO39" s="25" t="str">
        <f>IF(AND(OR(_xlfn.XLOOKUP(B39,'Base stats'!B:B,'Base stats'!Y:Y)="Carnivore",_xlfn.XLOOKUP(B39,'Base stats'!B:B,'Base stats'!Y:Y)="Omnivore",_xlfn.XLOOKUP(B39,'Base stats'!B:B,'Base stats'!Y:Y)="OmnivoreRough"),_xlfn.XLOOKUP(_xlfn.XLOOKUP(B39,'Base stats'!B:B,'Base stats'!E:E),Groups!A:A,Groups!AT:AT)=1),"true","false")</f>
        <v>false</v>
      </c>
      <c r="BP39" s="25" t="str" cm="1">
        <f t="array" ref="BP39">IF(
  _xlfn.TEXTJOIN(", ",TRUE,
    IF(AND(BJ39="true",AO39&gt;0.5,BI39&lt;&gt;"None"),"AttackTarget",""),
    IF(AND(_xlfn.XLOOKUP(_xlfn.XLOOKUP(B39,'Base stats'!B:B,'Base stats'!E:E),Groups!A:A,Groups!AJ:AJ="Mammal"),OR(_xlfn.XLOOKUP(B39,'Base stats'!B:B,'Base stats'!Y:Y)="Omnivore",_xlfn.XLOOKUP(B39,'Base stats'!B:B,'Base stats'!Y:Y)="OmnivoreRough")),"Forage",""),
    IF(BG39&lt;=36,"Comfort",""),
    IF(_xlfn.XLOOKUP(B39,'Base stats'!B:B,'Base stats'!AE:AE)&lt;&gt;"No",_xlfn.XLOOKUP(B39,'Base stats'!B:B,'Base stats'!AE:AE),"")
  ) = "",
  "No",
  _xlfn.TEXTJOIN(", ",TRUE,
    IF(AND(BJ39="true",AO39&gt;0.5,BI39&lt;&gt;"None"),"AttackTarget",""),
    IF(AND(_xlfn.XLOOKUP(_xlfn.XLOOKUP(B39,'Base stats'!B:B,'Base stats'!E:E),Groups!A:A,Groups!AJ:AJ="Mammal"),OR(_xlfn.XLOOKUP(B39,'Base stats'!B:B,'Base stats'!Y:Y)="Omnivore",_xlfn.XLOOKUP(B39,'Base stats'!B:B,'Base stats'!Y:Y)="OmnivoreRough")),"Forage",""),
    IF(BG39&lt;=36,"Comfort",""),
    IF(_xlfn.XLOOKUP(B39,'Base stats'!B:B,'Base stats'!AE:AE)&lt;&gt;"No",_xlfn.XLOOKUP(B39,'Base stats'!B:B,'Base stats'!AE:AE),"")
  )
)</f>
        <v>No</v>
      </c>
      <c r="BQ39" s="25">
        <f>IF(
   AND(
      'Base stats'!AN39="Standard",_xlfn.XLOOKUP(_xlfn.XLOOKUP(B39,'Base stats'!B:B,'Base stats'!E:E),Groups!A:A,Groups!AU:AU)=0,
      OR(
      BO39="True"
      )
   ),
   10,
   IF(
       OR(BM39&lt;&gt;"No",_xlfn.XLOOKUP(_xlfn.XLOOKUP(B39,'Base stats'!B:B,'Base stats'!E:E),Groups!A:A,Groups!AU:AU)=1),
      1,
      "No"
   )
)</f>
        <v>1</v>
      </c>
      <c r="BR39" s="9">
        <f>MROUND((1 + ((0.2*IF(OR(Q39="No",R39="No",R39=0),0,Q39/R39)
+IF(OR(V39="No",S39="No",T39="No"),0,S39/T39*(LEN(V39)-LEN(SUBSTITUTE(V39,",",""))+1))
+IF(OR(X39="No",Y39="No"),0,X39/Y39)
+IF(OR(AD39="No",AE39="No"),0,AD39/AE39)
+IF(OR(AL39="No",AI39="No",AJ39="No"),0,AI39/AJ39*(LEN(AL39)-LEN(SUBSTITUTE(AL39,",",""))+1))
)/(0.2*IF(OR(Q39="No",R39="No",R39=0),0,1)
+IF(OR(V39="No",S39="No",T39="No"),0,LEN(V39)-LEN(SUBSTITUTE(V39,",",""))+1)
+IF(OR(X39="No",Y39="No"),0,1)
+IF(OR(AD39="No",AE39="No"),0,1)
+IF(OR(AL39="No",AI39="No",AJ39="No"),0,LEN(AL39)-LEN(SUBSTITUTE(AL39,",",""))+1))*62%)* 2)*(1 + (AP39 / (IF(_xlfn.XLOOKUP(_xlfn.XLOOKUP(B39,'Base stats'!B:B,'Base stats'!E:E),Groups!A:A,Groups!AJ:AJ)="Photonozoa",0.3,1)) + _xlfn.XLOOKUP(B39,'Base stats'!B:B,'Base stats'!AV:AV) * 1.8) * 2) * 2.5 + 10 + I39 * 2,5)+IF(_xlfn.XLOOKUP(B39,'Base stats'!B:B,'Base stats'!AK:AK)=1,50,0)</f>
        <v>80</v>
      </c>
      <c r="BS39" s="8">
        <f t="shared" si="5"/>
        <v>0.60000000000000009</v>
      </c>
      <c r="BT39" s="8" t="str">
        <f>_xlfn.XLOOKUP(B39,'Base stats'!B:B,'Base stats'!AF:AF)</f>
        <v>5~15</v>
      </c>
      <c r="BU39" s="2" t="str">
        <f>IF(AND(J39&lt;=0.95,OR(_xlfn.XLOOKUP(B39,'Base stats'!B:B,'Base stats'!AK:AK)=1,_xlfn.XLOOKUP(B39,'Base stats'!B:B,'Base stats'!Y:Y)="Carnivore",_xlfn.XLOOKUP(B39,'Base stats'!B:B,'Base stats'!Y:Y)="Omnivore",BE39&gt;0.1)),"true","false")</f>
        <v>false</v>
      </c>
      <c r="BV39" s="2" t="str">
        <f>IF(_xlfn.XLOOKUP(B39,'Base stats'!B:B,'Base stats'!AI:AI)=1,"true","false")</f>
        <v>false</v>
      </c>
      <c r="BW39" s="25" t="str">
        <f>IF(E39="BaseInsect","AnimalInsect",
IF(J39&gt;0.95,"AnimalExotic",
_xlfn.TEXTJOIN(", ",TRUE,
IF(OR(_xlfn.XLOOKUP(B39,'Base stats'!B:B,'Base stats'!AM:AM)=1,AND(_xlfn.XLOOKUP(B39,'Base stats'!B:B,'Base stats'!O:O)=0,_xlfn.XLOOKUP(_xlfn.XLOOKUP(B39,'Base stats'!B:B,'Base stats'!E:E),Groups!A:A,Groups!B:B)&gt;0)),"AnimalUncommon","AnimalCommon"),
IF(AND(_xlfn.XLOOKUP(B39,'Base stats'!B:B,'Base stats'!O:O)=2,_xlfn.XLOOKUP(_xlfn.XLOOKUP(B39,'Base stats'!B:B,'Base stats'!E:E),Groups!A:A,Groups!D:D)=0),"AnimalPet",IF(AND(_xlfn.XLOOKUP(B39,'Base stats'!B:B,'Base stats'!O:O)&lt;&gt;0,_xlfn.XLOOKUP(_xlfn.XLOOKUP(B39,'Base stats'!B:B,'Base stats'!E:E),Groups!A:A,Groups!D:D)&lt;&gt;0),"AnimalFarm","")),
IF(OR(_xlfn.XLOOKUP(B39,'Base stats'!B:B,'Base stats'!AK:AK)=1,AND(BI39&lt;&gt;"None",BR39&gt;=60),ISNUMBER(SEARCH("Attack target",BP39))),"AnimalFighter","")
)))</f>
        <v>AnimalUncommon</v>
      </c>
      <c r="BX39" s="25" t="str">
        <f>IF(G39="None",TRIM(
SUBSTITUTE(
IF(COUNTIF(Biomes!B$2:B$259,"="&amp;$C39)&gt;0,Biomes!B$1&amp;", ","")&amp;
IF(COUNTIF(Biomes!C$2:C$259,"="&amp;$C39)&gt;0,Biomes!C$1&amp;", ","")&amp;
IF(COUNTIF(Biomes!D$2:D$259,"="&amp;$C39)&gt;0,Biomes!D$1&amp;", ","")&amp;
IF(COUNTIF(Biomes!F$2:F$259,"="&amp;$C39)&gt;0,Biomes!F$1&amp;", ","")&amp;
IF(COUNTIF(Biomes!G$2:G$259,"="&amp;$C39)&gt;0,Biomes!G$1&amp;", ","")&amp;
IF(COUNTIF(Biomes!H$2:H$259,"="&amp;$C39)&gt;0,Biomes!H$1&amp;", ","")&amp;
IF(COUNTIF(Biomes!I$2:I$259,"="&amp;$C39)&gt;0,Biomes!I$1&amp;", ","")&amp;
IF(COUNTIF(Biomes!J$2:J$259,"="&amp;$C39)&gt;0,Biomes!J$1&amp;", ","")&amp;
IF(COUNTIF(Biomes!M$2:M$259,"="&amp;$C39)&gt;0,Biomes!M$1&amp;", ","")&amp;
IF(COUNTIF(Biomes!N$2:N$259,"="&amp;$C39)&gt;0,Biomes!N$1&amp;", ","")&amp;
IF(COUNTIF(Biomes!O$2:O$259,"="&amp;$C39)&gt;0,Biomes!O$1&amp;", ","")&amp;
IF(COUNTIF(Biomes!P$2:P$259,"="&amp;$C39)&gt;0,Biomes!P$1&amp;", ","")&amp;
IF(COUNTIF(Biomes!K$2:K$259,"="&amp;$C39)&gt;0,Biomes!K$1&amp;", ","")&amp;
IF(COUNTIF(Biomes!Q$3:Q$259,"="&amp;$C39)&gt;0,Biomes!Q$1&amp;", ","")&amp;
IF(COUNTIF(Biomes!L$2:L$259,"="&amp;$C39)&gt;0,Biomes!L$1&amp;", ","")&amp;
IF(COUNTIF(Biomes!E$2:E$259,"="&amp;$C39)&gt;0,Biomes!E$1&amp;", ","")&amp;IF(COUNTIF(Biomes!S$2:S$259,"="&amp;$C39)&gt;0,Biomes!S$1&amp;", ","")&amp;
IF(COUNTIF(Biomes!R$2:R$259,"="&amp;$C39)&gt;0,Biomes!R$1&amp;", ",""),", ","")
),_xlfn.XLOOKUP(B39,B:B,BX:BX))</f>
        <v>TropicalRainforest TropicalSwamp Glowforest</v>
      </c>
      <c r="BY39" s="25" t="str">
        <f>IF(_xlfn.XLOOKUP(B39,'Base stats'!B:B,'Base stats'!AJ:AJ)=1,"true","false")</f>
        <v>false</v>
      </c>
      <c r="BZ39" s="25">
        <f>IF(_xlfn.XLOOKUP(B39,'Base stats'!B:B,'Base stats'!N:N)=1,"No",MAX(0.001,MIN(MROUND(IF(AND(BJ39="True",CC39="False"),POWER(10,3.47*LOG10(_xlfn.XLOOKUP(B39,'Base stats'!B:B,'Base stats'!C:C)*1000)^-0.96),POWER(10,4.15*LOG10(_xlfn.XLOOKUP(B39,'Base stats'!B:B,'Base stats'!C:C)*1000)^-0.73))*IF(_xlfn.XLOOKUP(B39,'Base stats'!B:B,'Base stats'!AK:AK)=1,0.5,1)*IF(_xlfn.XLOOKUP(B39,'Base stats'!B:B,'Base stats'!AM:AM)=1,0.1,1)/100,IF(_xlfn.XLOOKUP(B39,'Base stats'!B:B,'Base stats'!AM:AM)=1,0.001,0.025)),0.5)))</f>
        <v>0.22500000000000001</v>
      </c>
      <c r="CA39" s="25" t="str">
        <f>IF(P39="Standard","No",MAX(0.001,MIN(MROUND(IF(AND(BJ39="True",CC39="False"),POWER(10,3.47*LOG10(_xlfn.XLOOKUP(B39,'Base stats'!B:B,'Base stats'!C:C)*1000)^-0.96),POWER(10,4.15*LOG10(_xlfn.XLOOKUP(B39,'Base stats'!B:B,'Base stats'!C:C)*1000)^-0.73))*IF(_xlfn.XLOOKUP(B39,'Base stats'!B:B,'Base stats'!AM:AM)=1,0.1,1)*_xlfn.XLOOKUP(B39,'Base stats'!B:B,'Base stats'!R:R)/100,IF(_xlfn.XLOOKUP(B39,'Base stats'!B:B,'Base stats'!AM:AM)=1,0.001,0.025)),0.5)))</f>
        <v>No</v>
      </c>
      <c r="CB39" s="25" t="str">
        <f>IF(_xlfn.XLOOKUP(_xlfn.XLOOKUP(B39,'Base stats'!B:B,'Base stats'!E:E),Groups!A:A,Groups!AJ:AJ)="Mammal","True","False")</f>
        <v>True</v>
      </c>
      <c r="CC39" s="25" t="str">
        <f>IF(OR(_xlfn.XLOOKUP(_xlfn.XLOOKUP(B39,'Base stats'!B:B,'Base stats'!E:E),Groups!A:A,Groups!AJ:AJ)="Reptile",_xlfn.XLOOKUP(_xlfn.XLOOKUP(B39,'Base stats'!B:B,'Base stats'!E:E),Groups!A:A,Groups!AJ:AJ)="Amphibian",_xlfn.XLOOKUP(_xlfn.XLOOKUP(B39,'Base stats'!B:B,'Base stats'!E:E),Groups!A:A,Groups!AJ:AJ)="Invertebrate"),"True","False")</f>
        <v>False</v>
      </c>
      <c r="CD39" s="25" t="str">
        <f t="shared" si="6"/>
        <v>False</v>
      </c>
      <c r="CE39" s="25" t="str">
        <f>IF(_xlfn.XLOOKUP(_xlfn.XLOOKUP(B39,'Base stats'!B:B,'Base stats'!E:E),Groups!A:A,Groups!AX:AX),"True","False")</f>
        <v>False</v>
      </c>
      <c r="CF39" s="25" t="str">
        <f>IF(_xlfn.XLOOKUP(_xlfn.XLOOKUP(B39,'Base stats'!B:B,'Base stats'!E:E),Groups!A:A,Groups!AY:AY),"True","False")</f>
        <v>False</v>
      </c>
      <c r="CG39" s="25" t="str">
        <f>IF(_xlfn.XLOOKUP(_xlfn.XLOOKUP(B39,'Base stats'!B:B,'Base stats'!E:E),Groups!A:A,Groups!AW:AW),"True","False")</f>
        <v>False</v>
      </c>
      <c r="CH39" s="25" t="str">
        <f>IF(
OR(
_xlfn.XLOOKUP(_xlfn.XLOOKUP(B39,'Base stats'!B:B,'Base stats'!E:E),Groups!A:A,Groups!AZ:AZ)=0,
AND(
_xlfn.XLOOKUP(B39,'Base stats'!B:B,'Base stats'!Y:Y)&lt;&gt;"Carnivore",
_xlfn.XLOOKUP(B39,'Base stats'!B:B,'Base stats'!Y:Y)&lt;&gt;"Omnivore",
_xlfn.XLOOKUP(B39,'Base stats'!B:B,'Base stats'!Y:Y)&lt;&gt;"OmnivoreRough"
)
),
"No",
IF(
_xlfn.XLOOKUP(_xlfn.XLOOKUP(B39,'Base stats'!B:B,'Base stats'!E:E),Groups!A:A,Groups!AZ:AZ)=1,
"Flesh",
IF(
_xlfn.XLOOKUP(_xlfn.XLOOKUP(B39,'Base stats'!B:B,'Base stats'!E:E),Groups!A:A,Groups!AZ:AZ)=2,
"Bone",
""
)
)
)</f>
        <v>No</v>
      </c>
      <c r="CI39" s="25" t="str">
        <f>IF(_xlfn.XLOOKUP(_xlfn.XLOOKUP(B39,'Base stats'!B:B,'Base stats'!E:E),Groups!A:A,Groups!BB:BB),"True","False")</f>
        <v>True</v>
      </c>
      <c r="CJ39" s="25" t="str">
        <f>IF(_xlfn.XLOOKUP(_xlfn.XLOOKUP(B39,'Base stats'!B:B,'Base stats'!E:E),Groups!A:A,Groups!BA:BA),"True","False")</f>
        <v>False</v>
      </c>
    </row>
    <row r="40" spans="1:88" ht="16.5" thickTop="1" thickBot="1" x14ac:dyDescent="0.3">
      <c r="A40" s="26" t="str">
        <f>_xlfn.XLOOKUP(B40,'Base stats'!B:B,'Base stats'!A:A)</f>
        <v>Alphabeaver</v>
      </c>
      <c r="B40" s="6" t="s">
        <v>120</v>
      </c>
      <c r="C40" s="28" t="s">
        <v>715</v>
      </c>
      <c r="D40" s="28" t="s">
        <v>45</v>
      </c>
      <c r="E40" s="28" t="s">
        <v>673</v>
      </c>
      <c r="F40" s="28" t="s">
        <v>673</v>
      </c>
      <c r="G40" s="28" t="s">
        <v>673</v>
      </c>
      <c r="H40" s="2">
        <f>MROUND((
  (IF(AND(_xlfn.XLOOKUP(B40,'Base stats'!B:B,'Base stats'!AL:AL)=0,BI40="None",_xlfn.XLOOKUP(_xlfn.XLOOKUP(B40,'Base stats'!B:B,'Base stats'!E:E),Groups!A:A,Groups!B:B)=0), (18 + BR40 * 2.7) * 0.5,
    IF(AND(_xlfn.XLOOKUP(B40,'Base stats'!B:B,'Base stats'!AL:AL)=0,OR(AO40&lt;0.55,AND(BI40="Intermediate",_xlfn.XLOOKUP(_xlfn.XLOOKUP(B40,'Base stats'!B:B,'Base stats'!E:E),Groups!A:A,Groups!B:B)&lt;2))), (18 + BR40 * 2.7),
      IF(OR(BI40="Advanced",_xlfn.XLOOKUP(B40,'Base stats'!B:B,'Base stats'!AL:AL)=1,_xlfn.XLOOKUP(_xlfn.XLOOKUP(B40,'Base stats'!B:B,'Base stats'!E:E),Groups!A:A,Groups!B:B)=2), (18 + BR40 * 2.7) + 250, (18 + BR40 * 2.7))
    )
  ))
  + AO40 * 80
  + IF(COUNTIF(EggMilk!K$2:K$998, A40) &gt; 0, 125, 0)
  + IF(COUNTIF(EggMilk!P$2:P$998, A40) &gt; 0, 90, 0)
  + IF(COUNTIF(EggMilk!A$2:A$998, A40) &gt; 0, 90, 0)
)
* (0.8 + 0.4 * J40)
* 0.75,25)</f>
        <v>100</v>
      </c>
      <c r="I40" s="2">
        <f>MROUND(ROUNDDOWN(_xlfn.XLOOKUP(B40,'Base stats'!B:B,'Base stats'!L:L)/3.6/(23.3/11),1),0.5)</f>
        <v>2</v>
      </c>
      <c r="J40" s="2">
        <f>IF(OR(_xlfn.XLOOKUP(B40,'Base stats'!B:B,'Base stats'!AB:AB)=1,_xlfn.XLOOKUP(_xlfn.XLOOKUP(B40,'Base stats'!B:B,'Base stats'!E:E),Groups!A:A,Groups!C:C)="Untamable"),1,IF(_xlfn.XLOOKUP(B40,'Base stats'!B:B,'Base stats'!AL:AL)=1,0.99,MIN(MROUND((1-0.6282*EXP(-0.459*AO40))*_xlfn.XLOOKUP(_xlfn.XLOOKUP(B40,'Base stats'!B:B,'Base stats'!E:E),Groups!A:A,Groups!C:C)*IF(_xlfn.XLOOKUP(B40,'Base stats'!B:B,'Base stats'!O:O)=1,0.5,IF(_xlfn.XLOOKUP(B40,'Base stats'!B:B,'Base stats'!O:O)=2,0,1)),0.05),IF(AO40&gt;3.5,0.985,0.95))))</f>
        <v>0.35000000000000003</v>
      </c>
      <c r="K40" s="2">
        <f>ROUNDUP(AO40*_xlfn.XLOOKUP(_xlfn.XLOOKUP(B40,'Base stats'!B:B,'Base stats'!E:E),Groups!A:A,Groups!E:E),0)</f>
        <v>1</v>
      </c>
      <c r="L40" s="2">
        <f>IF(OR(_xlfn.XLOOKUP(_xlfn.XLOOKUP(B40,'Base stats'!B:B,'Base stats'!E:E),Groups!A:A,Groups!F:F)=2,ISNUMBER(SEARCH("SeaIce",BX40)),ISNUMBER(SEARCH("IceSheet",BX40))),-50,IF(OR(ISNUMBER(SEARCH("GlacialPlain",BX40)),ISNUMBER(SEARCH("Tundra",BX40))),-40,IF(OR(ISNUMBER(SEARCH("Alpine",BX40)),ISNUMBER(SEARCH("BorealForest",BX40)),ISNUMBER(SEARCH("ColdBog",BX40))),-30,IF(OR(ISNUMBER(SEARCH("TemperateForest",BX40)),ISNUMBER(SEARCH("TemperateSwamp",BX40))),-20,IF(_xlfn.XLOOKUP(_xlfn.XLOOKUP(B40,'Base stats'!B:B,'Base stats'!E:E),Groups!A:A,Groups!F:F)=1,-15,IF(OR(ISNUMBER(SEARCH("Desert",BX40)),ISNUMBER(SEARCH("ExtremeDesert",BX40))),-10,IF(OR(ISNUMBER(SEARCH("Grasslands",BX40)),ISNUMBER(SEARCH("TropicalRainforest",BX40)),ISNUMBER(SEARCH("TropicalSwamp",BX40))),10,0)))))))-IF(CC40="False",MIN(IFERROR(MAX(MROUND(LOG10(_xlfn.XLOOKUP(B40,'Base stats'!B:B,'Base stats'!C:C)^(2/3))*10,5),5),5),30))-_xlfn.XLOOKUP(B40,'Base stats'!B:B,'Base stats'!P:P)+IF(CC40="True",5,0)</f>
        <v>-30</v>
      </c>
      <c r="M40" s="2">
        <f>IF(OR(_xlfn.XLOOKUP(_xlfn.XLOOKUP(B40,'Base stats'!B:B,'Base stats'!E:E),Groups!A:A,Groups!G:G)=2,ISNUMBER(SEARCH("Desert",BX40)),ISNUMBER(SEARCH("ExtremeDesert",BX40)),ISNUMBER(SEARCH("LavaField",BX40))),50,IF(ISNUMBER(SEARCH("Grasslands",BX40)),45,IF(OR(_xlfn.XLOOKUP(_xlfn.XLOOKUP(B40,'Base stats'!B:B,'Base stats'!E:E),Groups!A:A,Groups!G:G)=1,ISNUMBER(SEARCH("TropicalRainforest",BX40)),ISNUMBER(SEARCH("TropicalSwamp",BX40))),40,IF(OR(ISNUMBER(SEARCH("TemperateForest",BX40)),ISNUMBER(SEARCH("TemperateSwamp",BX40))),35,IF(OR(ISNUMBER(SEARCH("Alpine",BX40)),ISNUMBER(SEARCH("BorealForest",BX40)),ISNUMBER(SEARCH("ColdBog",BX40))),30,IF(ISNUMBER(OR(ISNUMBER(SEARCH("GlacialPlain",BX40)),SEARCH("Tundra",BX40))),25,IF(OR(ISNUMBER(SEARCH("SeaIce",BX40)),ISNUMBER(SEARCH("IceSheet",BX40)),ISNUMBER(SEARCH("TropicalSwamp",BX40))),10,35)))))))+_xlfn.XLOOKUP(B40,'Base stats'!B:B,'Base stats'!Q:Q)</f>
        <v>35</v>
      </c>
      <c r="N40" s="8" t="str">
        <f>IF(
_xlfn.XLOOKUP(
_xlfn.XLOOKUP(B40,'Base stats'!B:B,'Base stats'!E:E),
Groups!A:A,
Groups!L:L
)=1,
MIN(
MROUND(
IF(
_xlfn.XLOOKUP(B40,'Animals CE'!B:B,'Animals CE'!Z:Z)&lt;=1.5,
_xlfn.XLOOKUP(B40,'Animals CE'!B:B,'Animals CE'!Z:Z)/2+0.05,
0.8+
(_xlfn.XLOOKUP(B40,'Animals CE'!B:B,'Animals CE'!Z:Z)-1.5)
*0.02
),
0.05
),
200%
),
"No"
)</f>
        <v>No</v>
      </c>
      <c r="O40" s="8" t="str">
        <f>IF(
_xlfn.XLOOKUP(
_xlfn.XLOOKUP(B40,'Base stats'!B:B,'Base stats'!E:E),
Groups!A:A,
Groups!L:L
)=1,
MIN(
MROUND(
IF(
_xlfn.XLOOKUP(B40,'Animals CE'!B:B,'Animals CE'!AA:AA)&lt;=1.5,
_xlfn.XLOOKUP(B40,'Animals CE'!B:B,'Animals CE'!AA:AA)/2+0.05,
0.8+
(_xlfn.XLOOKUP(B40,'Animals CE'!B:B,'Animals CE'!AA:AA)-1.5)
*0.02
),
0.05
),
200%
),
"No"
)</f>
        <v>No</v>
      </c>
      <c r="P40" s="2" t="str">
        <f>_xlfn.XLOOKUP(B40,'Base stats'!B:B,'Base stats'!R:R)</f>
        <v>Standard</v>
      </c>
      <c r="Q40" s="13">
        <f>MROUND((LOG10(_xlfn.XLOOKUP(B40,'Base stats'!B:B,'Base stats'!AR:AR))*(AO40^0.5)+(_xlfn.XLOOKUP(B40,'Base stats'!B:B,'Base stats'!AR:AR)/1000)^(2/3)+_xlfn.XLOOKUP(B40,'Base stats'!B:B,'Base stats'!BA:BA)/2)+0.5,0.5)</f>
        <v>5.5</v>
      </c>
      <c r="R40" s="7">
        <f>IF(Q40="No","No",MAX(1,MROUND(_xlfn.XLOOKUP(B40,'Base stats'!B:B,'Base stats'!C:C)^0.165,0.05)))</f>
        <v>1.8</v>
      </c>
      <c r="S40" s="13" t="str">
        <f>IF(_xlfn.XLOOKUP(_xlfn.XLOOKUP(B40,'Base stats'!B:B,'Base stats'!E:E),Groups!A:A,Groups!P:P)=0,"No",MROUND((LOG10(_xlfn.XLOOKUP(B40,'Base stats'!B:B,'Base stats'!AS:AS))*(AO40^0.5)+(_xlfn.XLOOKUP(B40,'Base stats'!B:B,'Base stats'!AS:AS)/1000)^(2/3)+_xlfn.XLOOKUP(B40,'Base stats'!B:B,'Base stats'!BA:BA))+_xlfn.XLOOKUP(B40,'Base stats'!B:B,'Base stats'!AY:AY)+0.5,0.5))</f>
        <v>No</v>
      </c>
      <c r="T40" s="7" t="str">
        <f>IF(S40="No","No",MAX(_xlfn.XLOOKUP(_xlfn.XLOOKUP(B40,'Base stats'!B:B,'Base stats'!E:E),Groups!A:A,Groups!Q:Q),MROUND(_xlfn.XLOOKUP(_xlfn.XLOOKUP(B40,'Base stats'!B:B,'Base stats'!E:E),Groups!A:A,Groups!Q:Q)*_xlfn.XLOOKUP(B40,'Base stats'!B:B,'Base stats'!C:C)^0.165,0.05)))</f>
        <v>No</v>
      </c>
      <c r="U40" s="7" t="str">
        <f>IF(S40="No","No",_xlfn.XLOOKUP(_xlfn.XLOOKUP(B40,'Base stats'!B:B,'Base stats'!E:E),Groups!A:A,Groups!R:R))</f>
        <v>No</v>
      </c>
      <c r="V40" s="7" t="str">
        <f>IF(S40="No","No",_xlfn.XLOOKUP(_xlfn.XLOOKUP(B40,'Base stats'!B:B,'Base stats'!E:E),Groups!A:A,Groups!S:S))</f>
        <v>No</v>
      </c>
      <c r="W40" s="7" t="str">
        <f>IF(S40="No","No",_xlfn.XLOOKUP(_xlfn.XLOOKUP(B40,'Base stats'!B:B,'Base stats'!E:E),Groups!A:A,Groups!T:T))</f>
        <v>No</v>
      </c>
      <c r="X40" s="13" t="str">
        <f>IF(_xlfn.XLOOKUP(B40,'Base stats'!B:B,'Base stats'!W:W)="No","No",MROUND((LOG10(_xlfn.XLOOKUP(B40,'Base stats'!B:B,'Base stats'!AU:AU))*(AO40^0.5)+(_xlfn.XLOOKUP(B40,'Base stats'!B:B,'Base stats'!AU:AU)/1000)^(2/3)+_xlfn.XLOOKUP(B40,'Base stats'!B:B,'Base stats'!AZ:AZ))+0.5+IF(_xlfn.XLOOKUP(_xlfn.XLOOKUP(B40,'Base stats'!B:B,'Base stats'!E:E),Groups!A:A,Groups!U:U)&lt;&gt;3,_xlfn.XLOOKUP(B40,'Base stats'!B:B,'Base stats'!BA:BA),0),0.5))</f>
        <v>No</v>
      </c>
      <c r="Y40" s="7" t="str">
        <f>IF(X40="No","No",MAX(_xlfn.XLOOKUP(_xlfn.XLOOKUP(B40,'Base stats'!B:B,'Base stats'!E:E),Groups!A:A,Groups!V:V),MROUND(_xlfn.XLOOKUP(_xlfn.XLOOKUP(B40,'Base stats'!B:B,'Base stats'!E:E),Groups!A:A,Groups!V:V)*_xlfn.XLOOKUP(B40,'Base stats'!B:B,'Base stats'!C:C)^0.165,0.05)))</f>
        <v>No</v>
      </c>
      <c r="Z40" s="7" t="str">
        <f>IF(X40="No","No",_xlfn.XLOOKUP(_xlfn.XLOOKUP(B40,'Base stats'!B:B,'Base stats'!E:E),Groups!A:A,Groups!W:W))</f>
        <v>No</v>
      </c>
      <c r="AA40" s="7" t="str">
        <f>IF(X40="No","No",_xlfn.XLOOKUP(_xlfn.XLOOKUP(B40,'Base stats'!B:B,'Base stats'!E:E),Groups!A:A,Groups!X:X))</f>
        <v>No</v>
      </c>
      <c r="AB40" s="7" t="str">
        <f>IF(X40="No","No",_xlfn.XLOOKUP(_xlfn.XLOOKUP(B40,'Base stats'!B:B,'Base stats'!E:E),Groups!A:A,Groups!Y:Y))</f>
        <v>No</v>
      </c>
      <c r="AC40" s="7" t="str">
        <f>_xlfn.XLOOKUP(Animals!B40,'Base stats'!B:B,'Base stats'!X:X)</f>
        <v>False</v>
      </c>
      <c r="AD40" s="13">
        <f>IF(_xlfn.XLOOKUP(B40,'Base stats'!B:B,'Base stats'!AT:AT)="No","No",MROUND((LOG10(_xlfn.XLOOKUP(B40,'Base stats'!B:B,'Base stats'!AT:AT))*(AO40^0.75)+(_xlfn.XLOOKUP(B40,'Base stats'!B:B,'Base stats'!AT:AT)/1000)^(2/3)+_xlfn.XLOOKUP(B40,'Base stats'!B:B,'Base stats'!AX:AX)+_xlfn.XLOOKUP(B40,'Base stats'!B:B,'Base stats'!BA:BA))+0.5,0.5))</f>
        <v>9</v>
      </c>
      <c r="AE40" s="7">
        <f>IF(AD40="No","No",MAX(_xlfn.XLOOKUP(_xlfn.XLOOKUP(B40,'Base stats'!B:B,'Base stats'!E:E),Groups!A:A,Groups!Z:Z),MROUND(_xlfn.XLOOKUP(_xlfn.XLOOKUP(B40,'Base stats'!B:B,'Base stats'!E:E),Groups!A:A,Groups!Z:Z)*_xlfn.XLOOKUP(B40,'Base stats'!B:B,'Base stats'!C:C)^0.165,0.05)))</f>
        <v>1.7000000000000002</v>
      </c>
      <c r="AF40" s="7" t="str">
        <f>IF(AD40="No","No",_xlfn.XLOOKUP(_xlfn.XLOOKUP(B40,'Base stats'!B:B,'Base stats'!E:E),Groups!A:A,Groups!AA:AA))</f>
        <v>Teeth</v>
      </c>
      <c r="AG40" s="7" t="str">
        <f>IF(AD40="No","No",_xlfn.XLOOKUP(_xlfn.XLOOKUP(B40,'Base stats'!B:B,'Base stats'!E:E),Groups!A:A,Groups!AB:AB))</f>
        <v>Incisors</v>
      </c>
      <c r="AH40" s="7" t="str">
        <f>IF(AD40="No","No",_xlfn.XLOOKUP(_xlfn.XLOOKUP(B40,'Base stats'!B:B,'Base stats'!E:E),Groups!A:A,Groups!AC:AC))</f>
        <v>Bite</v>
      </c>
      <c r="AI40" s="13" t="str">
        <f>IF(_xlfn.XLOOKUP(_xlfn.XLOOKUP(B40,'Base stats'!B:B,'Base stats'!E:E),Groups!A:A,Groups!AD:AD)=0,"No",MROUND((LOG10(_xlfn.XLOOKUP(B40,'Base stats'!B:B,'Base stats'!AS:AS))*(AO40^0.75)+(_xlfn.XLOOKUP(B40,'Base stats'!B:B,'Base stats'!AS:AS)/1000)^(2/3)+_xlfn.XLOOKUP(B40,'Base stats'!B:B,'Base stats'!AY:AY)+_xlfn.XLOOKUP(B40,'Base stats'!B:B,'Base stats'!BA:BA))+0.5,0.5))</f>
        <v>No</v>
      </c>
      <c r="AJ40" s="7" t="str">
        <f>IF(AI40="No","No",MAX(_xlfn.XLOOKUP(_xlfn.XLOOKUP(B40,'Base stats'!B:B,'Base stats'!E:E),Groups!A:A,Groups!AE:AE),MROUND(_xlfn.XLOOKUP(_xlfn.XLOOKUP(B40,'Base stats'!B:B,'Base stats'!E:E),Groups!A:A,Groups!AE:AE)*IF(_xlfn.XLOOKUP(_xlfn.XLOOKUP(B40,'Base stats'!B:B,'Base stats'!E:E),Groups!A:A,Groups!AJ:AJ)="Photonozoa",0.6,1)*_xlfn.XLOOKUP(B40,'Base stats'!B:B,'Base stats'!C:C)^0.165,0.05)))</f>
        <v>No</v>
      </c>
      <c r="AK40" s="7" t="str">
        <f>IF(AI40="No","No",_xlfn.XLOOKUP(_xlfn.XLOOKUP(B40,'Base stats'!B:B,'Base stats'!E:E),Groups!A:A,Groups!AF:AF))</f>
        <v>No</v>
      </c>
      <c r="AL40" s="7" t="str">
        <f>IF(AI40="No","No",_xlfn.XLOOKUP(_xlfn.XLOOKUP(B40,'Base stats'!B:B,'Base stats'!E:E),Groups!A:A,Groups!AG:AG))</f>
        <v>No</v>
      </c>
      <c r="AM40" s="7" t="str">
        <f>IF(AI40="No","No",_xlfn.XLOOKUP(_xlfn.XLOOKUP(B40,'Base stats'!B:B,'Base stats'!E:E),Groups!A:A,Groups!AH:AH))</f>
        <v>No</v>
      </c>
      <c r="AN40" s="2" t="str">
        <f t="shared" si="0"/>
        <v>No</v>
      </c>
      <c r="AO40" s="2">
        <f>MROUND(IF(AND(_xlfn.XLOOKUP(B40,'Base stats'!B:B,'Base stats'!C:C)&gt;=0.5,_xlfn.XLOOKUP(B40,'Base stats'!B:B,'Base stats'!C:C)&lt;=0.8),
IF(_xlfn.XLOOKUP(B40,'Base stats'!B:B,'Base stats'!C:C)&lt;0.1,0.05,IF(_xlfn.XLOOKUP(B40,'Base stats'!B:B,'Base stats'!C:C)&lt;=70,(_xlfn.XLOOKUP(B40,'Base stats'!B:B,'Base stats'!C:C)/70)^0.426489913056526,IF(_xlfn.XLOOKUP(B40,'Base stats'!B:B,'Base stats'!C:C)&lt;=400,(_xlfn.XLOOKUP(B40,'Base stats'!B:B,'Base stats'!C:C)/70)^0.572811455315093,IF(_xlfn.XLOOKUP(B40,'Base stats'!B:B,'Base stats'!C:C)&lt;=2000,2.71391647193063*(_xlfn.XLOOKUP(B40,'Base stats'!B:B,'Base stats'!C:C)/400)^0.252459582904293,3.74314280240376*(_xlfn.XLOOKUP(B40,'Base stats'!B:B,'Base stats'!C:C)/2000)^0.357012633876913)))),
IF(_xlfn.XLOOKUP(B40,'Base stats'!B:B,'Base stats'!C:C)&lt;0.1,0.05,IF(_xlfn.XLOOKUP(B40,'Base stats'!B:B,'Base stats'!C:C)&lt;0.4,0.1,IF(_xlfn.XLOOKUP(B40,'Base stats'!B:B,'Base stats'!C:C)&lt;=70,(_xlfn.XLOOKUP(B40,'Base stats'!B:B,'Base stats'!C:C)/70)^0.445823913056526,IF(_xlfn.XLOOKUP(B40,'Base stats'!B:B,'Base stats'!C:C)&lt;=400,(_xlfn.XLOOKUP(B40,'Base stats'!B:B,'Base stats'!C:C)/70)^0.572811455315093,IF(_xlfn.XLOOKUP(B40,'Base stats'!B:B,'Base stats'!C:C)&lt;=2000,2.71391647193063*(_xlfn.XLOOKUP(B40,'Base stats'!B:B,'Base stats'!C:C)/400)^0.252459582904293,3.74314280240376*(_xlfn.XLOOKUP(B40,'Base stats'!B:B,'Base stats'!C:C)/2000)^0.357012633876913)))))),
IF(_xlfn.XLOOKUP(B40,'Base stats'!B:B,'Base stats'!C:C)&lt;0.1,0.05,IF(_xlfn.XLOOKUP(B40,'Base stats'!B:B,'Base stats'!C:C)&lt;=100,0.05,IF(_xlfn.XLOOKUP(B40,'Base stats'!B:B,'Base stats'!C:C)&lt;=250,0.1,IF(_xlfn.XLOOKUP(B40,'Base stats'!B:B,'Base stats'!C:C)&lt;=4000,0.25,0.5)))))</f>
        <v>0.75</v>
      </c>
      <c r="AP40" s="8">
        <f>MROUND(AO40*_xlfn.XLOOKUP(_xlfn.XLOOKUP(B40,'Base stats'!B:B,'Base stats'!E:E),Groups!A:A,Groups!AI:AI)*_xlfn.XLOOKUP(B40,'Base stats'!B:B,'Base stats'!Z:Z),0.05)</f>
        <v>0.75</v>
      </c>
      <c r="AQ40" s="8">
        <f>MAX(0.01,MROUND(IF(CC40="True",0.196*(AO40*100*1000)^0.889,IF(_xlfn.XLOOKUP(_xlfn.XLOOKUP(B40,'Base stats'!B:B,'Base stats'!E:E),Groups!A:A,Groups!AJ:AJ)="Bird",10.5*(AO40*100*1000)^0.681,4.82*(AO40*100*1000)^0.734))/(4.82*(1*100*1000)^0.734)/IF(AO40&lt;3.5,2,IF(AO40=3.5,1.5,1.25))*(1+0.132282374779864/(AO40^0.994035016789033+0.00905238001496948)),0.05))</f>
        <v>0.5</v>
      </c>
      <c r="AR40" s="9">
        <f>IFERROR(MROUND(_xlfn.XLOOKUP(B40,'Base stats'!B:B,'Base stats'!H:H)/IF(_xlfn.XLOOKUP(B40,'Base stats'!B:B,'Base stats'!I:I)&lt;&gt;1,(122.5/70),1.2),IF(_xlfn.XLOOKUP(B40,'Base stats'!B:B,'Base stats'!H:H)&gt;=30,5,IF(_xlfn.XLOOKUP(B40,'Base stats'!B:B,'Base stats'!H:H)&gt;=15,3,IF(_xlfn.XLOOKUP(B40,'Base stats'!B:B,'Base stats'!H:H)&gt;=10,2,1)))),"Immortal")</f>
        <v>12</v>
      </c>
      <c r="AS40" s="35">
        <f>IFERROR(IF(OR(_xlfn.XLOOKUP(B40,'Base stats'!B:B,'Base stats'!F:F)="Atypical reproduction",_xlfn.XLOOKUP(B40,'Base stats'!B:B,'Base stats'!F:F)="Lay eggs"),"Lay eggs",MIN(20,MAX(5.5,ROUND(((_xlfn.XLOOKUP(B40,'Base stats'!B:B,'Base stats'!F:F)-25)*(14.5/615) + 5.5)*2,0)/2))),"Unknown")</f>
        <v>8</v>
      </c>
      <c r="AT40" s="8">
        <f>IF(_xlfn.XLOOKUP(B40,'Base stats'!B:B,'Base stats'!G:G)="Atypical reproduction","No",IFERROR(MAX(IF(_xlfn.XLOOKUP(B40,'Base stats'!B:B,'Base stats'!G:G)&lt;0.5,0.2,0.3),MROUND(_xlfn.XLOOKUP(B40,'Base stats'!B:B,'Base stats'!G:G)/(365/60),0.2)),"Unknown"))</f>
        <v>0.3</v>
      </c>
      <c r="AU40" s="8">
        <f t="shared" si="1"/>
        <v>0.15000000000000002</v>
      </c>
      <c r="AV40" s="8">
        <f>IFERROR(IFERROR(MROUND(_xlfn.XLOOKUP(B40,'Base stats'!B:B,'Base stats'!J:J),0.1),"Lay eggs"),"Cannot breed")</f>
        <v>3</v>
      </c>
      <c r="AW40" s="2" t="str">
        <f t="shared" si="2"/>
        <v>true</v>
      </c>
      <c r="AX40" s="2" t="str">
        <f>IF(_xlfn.XLOOKUP(_xlfn.XLOOKUP(Animals!B40,'Base stats'!B:B,'Base stats'!E:E),Groups!A:A,Groups!AK:AK)=1,"true","false")</f>
        <v>false</v>
      </c>
      <c r="AY40" s="25" t="str">
        <f>IF(_xlfn.XLOOKUP(B40,'Base stats'!B:B,'Base stats'!Y:Y)="Liquor","Liquor, CarnivoreAnimalStrict",IF(AND(_xlfn.XLOOKUP(B40,'Base stats'!B:B,'Base stats'!Y:Y)="Carnivore",_xlfn.XLOOKUP(_xlfn.XLOOKUP(B40,'Base stats'!B:B,'Base stats'!E:E),Groups!A:A,Groups!AJ:AJ)="Photonozoa"),"CarnivoreAnimalStrict, OvivoreAnimal",IF(_xlfn.XLOOKUP(B40,'Base stats'!B:B,'Base stats'!Y:Y)="Carnivore","CarnivoreAnimal, OvivoreAnimal",IF(_xlfn.XLOOKUP(B40,'Base stats'!B:B,'Base stats'!Y:Y)="Dendrovore","VegetarianRoughAnimal, DendrovoreAnimal",IF(_xlfn.XLOOKUP(B40,'Base stats'!B:B,'Base stats'!Y:Y)="Herbivore","VegetarianRoughAnimal",IF(_xlfn.XLOOKUP(B40,'Base stats'!B:B,'Base stats'!Y:Y)="OmnivoreRough","OmnivoreRoughAnimal, OvivoreAnimal","OmnivoreAnimal, OvivoreAnimal"))))))</f>
        <v>VegetarianRoughAnimal, DendrovoreAnimal</v>
      </c>
      <c r="AZ40" s="2" t="str">
        <f>IF(_xlfn.XLOOKUP(_xlfn.XLOOKUP(B40,'Base stats'!B:B,'Base stats'!E:E),Groups!A:A,Groups!D:D)=1,MROUND((1-J40)*5+1,2)*IF(J40&lt;=0.4,2,1),"No")</f>
        <v>No</v>
      </c>
      <c r="BA40" s="2" t="str">
        <f>IF(AND(_xlfn.XLOOKUP(B40,'Base stats'!B:B,'Base stats'!AH:AH)="&lt;li&gt;Seal&lt;/li&gt;",G40="Odyssey"),"&lt;li&gt;AEXP_Seal&lt;/li&gt;",_xlfn.XLOOKUP(B40,'Base stats'!B:B,'Base stats'!AH:AH))</f>
        <v>No</v>
      </c>
      <c r="BB40" s="2" t="str">
        <f>_xlfn.XLOOKUP(B40,'Base stats'!B:B,'Base stats'!AG:AG)</f>
        <v>Leather_Light</v>
      </c>
      <c r="BC40" s="23" t="str">
        <f>_xlfn.XLOOKUP(_xlfn.XLOOKUP(B40,'Base stats'!B:B,'Base stats'!E:E),Groups!A:A,Groups!AL:AL)</f>
        <v>QuadrupedAnimalWithPawsAndTail</v>
      </c>
      <c r="BD40" s="23">
        <f>MIN(1,MROUND(IF(AND(AO40&lt;0.5,_xlfn.XLOOKUP(B40,'Base stats'!B:B,'Base stats'!AA:AA)=0),0,IF(OR(_xlfn.XLOOKUP(Animals!B40,'Base stats'!B:B,'Base stats'!O:O)=2,_xlfn.XLOOKUP(_xlfn.XLOOKUP(B40,'Base stats'!B:B,'Base stats'!E:E),Groups!A:A,Groups!AN:AN)=0),0,_xlfn.XLOOKUP(_xlfn.XLOOKUP(B40,'Base stats'!B:B,'Base stats'!E:E),Groups!A:A,Groups!AN:AN)/IF(_xlfn.XLOOKUP(Animals!B40,'Base stats'!B:B,'Base stats'!O:O)=1,2,1)))+_xlfn.XLOOKUP(B40,'Base stats'!B:B,'Base stats'!AC:AC),0.005))</f>
        <v>0</v>
      </c>
      <c r="BE40" s="23">
        <f>MIN(1,MROUND(IF(AND(AO40&lt;0.5,_xlfn.XLOOKUP(B40,'Base stats'!B:B,'Base stats'!AA:AA)=0),0,IF(_xlfn.XLOOKUP(_xlfn.XLOOKUP(B40,'Base stats'!B:B,'Base stats'!E:E),Groups!A:A,Groups!AO:AO)=0,0,_xlfn.XLOOKUP(_xlfn.XLOOKUP(B40,'Base stats'!B:B,'Base stats'!E:E),Groups!A:A,Groups!AO:AO)/IF(_xlfn.XLOOKUP(Animals!B40,'Base stats'!B:B,'Base stats'!O:O)=2,3,1)))+_xlfn.XLOOKUP(B40,'Base stats'!B:B,'Base stats'!AD:AD),0.005))</f>
        <v>0</v>
      </c>
      <c r="BF40" s="2" t="str">
        <f>IF(J40&gt;0.3,"No",_xlfn.XLOOKUP(_xlfn.XLOOKUP(Animals!B40,'Base stats'!B:B,'Base stats'!E:E),Groups!A:A,Groups!AP:AP))</f>
        <v>No</v>
      </c>
      <c r="BG40" s="2">
        <f>IF(AND(J40&lt;=0.65,_xlfn.XLOOKUP(_xlfn.XLOOKUP(Animals!B40,'Base stats'!B:B,'Base stats'!E:E),Groups!A:A,Groups!AP:AP)&lt;&gt;"No",_xlfn.XLOOKUP(_xlfn.XLOOKUP(B40,'Base stats'!B:B,'Base stats'!E:E),Groups!A:A,Groups!D:D)=0),MROUND((80/3)*IF(_xlfn.XLOOKUP(B40,'Base stats'!B:B,'Base stats'!O:O)=2,0.2,AO40) + 24*(1-IF(BF40="No",0,BF40)) + 16/3, 12),"No")</f>
        <v>48</v>
      </c>
      <c r="BH40" s="2">
        <f>IF(AND(_xlfn.XLOOKUP(_xlfn.XLOOKUP(B40,'Base stats'!B:B,'Base stats'!E:E),Groups!A:A,Groups!AQ:AQ)=1,AO40&lt;=0.35),8,12)</f>
        <v>12</v>
      </c>
      <c r="BI40" s="2" t="str">
        <f>IF(_xlfn.XLOOKUP(_xlfn.XLOOKUP(B40,'Base stats'!B:B,'Base stats'!E:E),Groups!A:A,Groups!D:D)=0,_xlfn.XLOOKUP(_xlfn.XLOOKUP(B40,'Base stats'!B:B,'Base stats'!E:E),Groups!A:A,Groups!AR:AR),"None")</f>
        <v>None</v>
      </c>
      <c r="BJ40" s="2" t="str">
        <f>IF(AND(_xlfn.XLOOKUP(_xlfn.XLOOKUP(B40,'Base stats'!B:B,'Base stats'!E:E),Groups!A:A,Groups!AS:AS)=1,OR(_xlfn.XLOOKUP(B40,'Base stats'!B:B,'Base stats'!Y:Y)="Carnivore",_xlfn.XLOOKUP(B40,'Base stats'!B:B,'Base stats'!Y:Y)="Omnivore")),"true","false")</f>
        <v>false</v>
      </c>
      <c r="BK40" s="2" t="str">
        <f>IF(BJ40="true",MROUND(IF(AND(AO40&gt;0.5,OR(_xlfn.XLOOKUP(_xlfn.XLOOKUP(B40,'Base stats'!B:B,'Base stats'!E:E),Groups!A:A,Groups!AJ:AJ)="Photonozoa",_xlfn.XLOOKUP(_xlfn.XLOOKUP(B40,'Base stats'!B:B,'Base stats'!E:E),Groups!A:A,Groups!AJ:AJ)="Mammal")),Animals!AO40*1.75*IF(AW40="true",1.5,1),IF(AO40&lt;0.5,Animals!AO40*0.5,Animals!AO40)),IF(AO40&gt;2,0.5,IF(AO40&gt;0.5,0.25,0.1))),"No")</f>
        <v>No</v>
      </c>
      <c r="BL40" s="2">
        <f t="shared" si="3"/>
        <v>0</v>
      </c>
      <c r="BM40" s="25">
        <f>IF(_xlfn.XLOOKUP(B40,'Base stats'!B:B,'Base stats'!AN:AN)="Standard","No",MROUND((_xlfn.XLOOKUP(B40,'Base stats'!B:B,'Base stats'!AN:AN)/3.6)/I40,0.1))</f>
        <v>1.4000000000000001</v>
      </c>
      <c r="BN40" s="25" t="str">
        <f t="shared" si="4"/>
        <v>true</v>
      </c>
      <c r="BO40" s="25" t="str">
        <f>IF(AND(OR(_xlfn.XLOOKUP(B40,'Base stats'!B:B,'Base stats'!Y:Y)="Carnivore",_xlfn.XLOOKUP(B40,'Base stats'!B:B,'Base stats'!Y:Y)="Omnivore",_xlfn.XLOOKUP(B40,'Base stats'!B:B,'Base stats'!Y:Y)="OmnivoreRough"),_xlfn.XLOOKUP(_xlfn.XLOOKUP(B40,'Base stats'!B:B,'Base stats'!E:E),Groups!A:A,Groups!AT:AT)=1),"true","false")</f>
        <v>false</v>
      </c>
      <c r="BP40" s="25" t="str" cm="1">
        <f t="array" ref="BP40">IF(
  _xlfn.TEXTJOIN(", ",TRUE,
    IF(AND(BJ40="true",AO40&gt;0.5,BI40&lt;&gt;"None"),"AttackTarget",""),
    IF(AND(_xlfn.XLOOKUP(_xlfn.XLOOKUP(B40,'Base stats'!B:B,'Base stats'!E:E),Groups!A:A,Groups!AJ:AJ="Mammal"),OR(_xlfn.XLOOKUP(B40,'Base stats'!B:B,'Base stats'!Y:Y)="Omnivore",_xlfn.XLOOKUP(B40,'Base stats'!B:B,'Base stats'!Y:Y)="OmnivoreRough")),"Forage",""),
    IF(BG40&lt;=36,"Comfort",""),
    IF(_xlfn.XLOOKUP(B40,'Base stats'!B:B,'Base stats'!AE:AE)&lt;&gt;"No",_xlfn.XLOOKUP(B40,'Base stats'!B:B,'Base stats'!AE:AE),"")
  ) = "",
  "No",
  _xlfn.TEXTJOIN(", ",TRUE,
    IF(AND(BJ40="true",AO40&gt;0.5,BI40&lt;&gt;"None"),"AttackTarget",""),
    IF(AND(_xlfn.XLOOKUP(_xlfn.XLOOKUP(B40,'Base stats'!B:B,'Base stats'!E:E),Groups!A:A,Groups!AJ:AJ="Mammal"),OR(_xlfn.XLOOKUP(B40,'Base stats'!B:B,'Base stats'!Y:Y)="Omnivore",_xlfn.XLOOKUP(B40,'Base stats'!B:B,'Base stats'!Y:Y)="OmnivoreRough")),"Forage",""),
    IF(BG40&lt;=36,"Comfort",""),
    IF(_xlfn.XLOOKUP(B40,'Base stats'!B:B,'Base stats'!AE:AE)&lt;&gt;"No",_xlfn.XLOOKUP(B40,'Base stats'!B:B,'Base stats'!AE:AE),"")
  )
)</f>
        <v>No</v>
      </c>
      <c r="BQ40" s="25">
        <f>IF(
   AND(
      'Base stats'!AN40="Standard",_xlfn.XLOOKUP(_xlfn.XLOOKUP(B40,'Base stats'!B:B,'Base stats'!E:E),Groups!A:A,Groups!AU:AU)=0,
      OR(
      BO40="True"
      )
   ),
   10,
   IF(
       OR(BM40&lt;&gt;"No",_xlfn.XLOOKUP(_xlfn.XLOOKUP(B40,'Base stats'!B:B,'Base stats'!E:E),Groups!A:A,Groups!AU:AU)=1),
      1,
      "No"
   )
)</f>
        <v>1</v>
      </c>
      <c r="BR40" s="9">
        <f>MROUND((1 + ((0.2*IF(OR(Q40="No",R40="No",R40=0),0,Q40/R40)
+IF(OR(V40="No",S40="No",T40="No"),0,S40/T40*(LEN(V40)-LEN(SUBSTITUTE(V40,",",""))+1))
+IF(OR(X40="No",Y40="No"),0,X40/Y40)
+IF(OR(AD40="No",AE40="No"),0,AD40/AE40)
+IF(OR(AL40="No",AI40="No",AJ40="No"),0,AI40/AJ40*(LEN(AL40)-LEN(SUBSTITUTE(AL40,",",""))+1))
)/(0.2*IF(OR(Q40="No",R40="No",R40=0),0,1)
+IF(OR(V40="No",S40="No",T40="No"),0,LEN(V40)-LEN(SUBSTITUTE(V40,",",""))+1)
+IF(OR(X40="No",Y40="No"),0,1)
+IF(OR(AD40="No",AE40="No"),0,1)
+IF(OR(AL40="No",AI40="No",AJ40="No"),0,LEN(AL40)-LEN(SUBSTITUTE(AL40,",",""))+1))*62%)* 2)*(1 + (AP40 / (IF(_xlfn.XLOOKUP(_xlfn.XLOOKUP(B40,'Base stats'!B:B,'Base stats'!E:E),Groups!A:A,Groups!AJ:AJ)="Photonozoa",0.3,1)) + _xlfn.XLOOKUP(B40,'Base stats'!B:B,'Base stats'!AV:AV) * 1.8) * 2) * 2.5 + 10 + I40 * 2,5)+IF(_xlfn.XLOOKUP(B40,'Base stats'!B:B,'Base stats'!AK:AK)=1,50,0)</f>
        <v>60</v>
      </c>
      <c r="BS40" s="8">
        <f t="shared" si="5"/>
        <v>0.55000000000000004</v>
      </c>
      <c r="BT40" s="8" t="str">
        <f>_xlfn.XLOOKUP(B40,'Base stats'!B:B,'Base stats'!AF:AF)</f>
        <v>3~10</v>
      </c>
      <c r="BU40" s="2" t="str">
        <f>IF(AND(J40&lt;=0.95,OR(_xlfn.XLOOKUP(B40,'Base stats'!B:B,'Base stats'!AK:AK)=1,_xlfn.XLOOKUP(B40,'Base stats'!B:B,'Base stats'!Y:Y)="Carnivore",_xlfn.XLOOKUP(B40,'Base stats'!B:B,'Base stats'!Y:Y)="Omnivore",BE40&gt;0.1)),"true","false")</f>
        <v>false</v>
      </c>
      <c r="BV40" s="2" t="str">
        <f>IF(_xlfn.XLOOKUP(B40,'Base stats'!B:B,'Base stats'!AI:AI)=1,"true","false")</f>
        <v>false</v>
      </c>
      <c r="BW40" s="25" t="str">
        <f>IF(E40="BaseInsect","AnimalInsect",
IF(J40&gt;0.95,"AnimalExotic",
_xlfn.TEXTJOIN(", ",TRUE,
IF(OR(_xlfn.XLOOKUP(B40,'Base stats'!B:B,'Base stats'!AM:AM)=1,AND(_xlfn.XLOOKUP(B40,'Base stats'!B:B,'Base stats'!O:O)=0,_xlfn.XLOOKUP(_xlfn.XLOOKUP(B40,'Base stats'!B:B,'Base stats'!E:E),Groups!A:A,Groups!B:B)&gt;0)),"AnimalUncommon","AnimalCommon"),
IF(AND(_xlfn.XLOOKUP(B40,'Base stats'!B:B,'Base stats'!O:O)=2,_xlfn.XLOOKUP(_xlfn.XLOOKUP(B40,'Base stats'!B:B,'Base stats'!E:E),Groups!A:A,Groups!D:D)=0),"AnimalPet",IF(AND(_xlfn.XLOOKUP(B40,'Base stats'!B:B,'Base stats'!O:O)&lt;&gt;0,_xlfn.XLOOKUP(_xlfn.XLOOKUP(B40,'Base stats'!B:B,'Base stats'!E:E),Groups!A:A,Groups!D:D)&lt;&gt;0),"AnimalFarm","")),
IF(OR(_xlfn.XLOOKUP(B40,'Base stats'!B:B,'Base stats'!AK:AK)=1,AND(BI40&lt;&gt;"None",BR40&gt;=60),ISNUMBER(SEARCH("Attack target",BP40))),"AnimalFighter","")
)))</f>
        <v>AnimalCommon</v>
      </c>
      <c r="BX40" s="25" t="str">
        <f>IF(G40="None",TRIM(
SUBSTITUTE(
IF(COUNTIF(Biomes!B$2:B$259,"="&amp;$C40)&gt;0,Biomes!B$1&amp;", ","")&amp;
IF(COUNTIF(Biomes!C$2:C$259,"="&amp;$C40)&gt;0,Biomes!C$1&amp;", ","")&amp;
IF(COUNTIF(Biomes!D$2:D$259,"="&amp;$C40)&gt;0,Biomes!D$1&amp;", ","")&amp;
IF(COUNTIF(Biomes!F$2:F$259,"="&amp;$C40)&gt;0,Biomes!F$1&amp;", ","")&amp;
IF(COUNTIF(Biomes!G$2:G$259,"="&amp;$C40)&gt;0,Biomes!G$1&amp;", ","")&amp;
IF(COUNTIF(Biomes!H$2:H$259,"="&amp;$C40)&gt;0,Biomes!H$1&amp;", ","")&amp;
IF(COUNTIF(Biomes!I$2:I$259,"="&amp;$C40)&gt;0,Biomes!I$1&amp;", ","")&amp;
IF(COUNTIF(Biomes!J$2:J$259,"="&amp;$C40)&gt;0,Biomes!J$1&amp;", ","")&amp;
IF(COUNTIF(Biomes!M$2:M$259,"="&amp;$C40)&gt;0,Biomes!M$1&amp;", ","")&amp;
IF(COUNTIF(Biomes!N$2:N$259,"="&amp;$C40)&gt;0,Biomes!N$1&amp;", ","")&amp;
IF(COUNTIF(Biomes!O$2:O$259,"="&amp;$C40)&gt;0,Biomes!O$1&amp;", ","")&amp;
IF(COUNTIF(Biomes!P$2:P$259,"="&amp;$C40)&gt;0,Biomes!P$1&amp;", ","")&amp;
IF(COUNTIF(Biomes!K$2:K$259,"="&amp;$C40)&gt;0,Biomes!K$1&amp;", ","")&amp;
IF(COUNTIF(Biomes!Q$3:Q$259,"="&amp;$C40)&gt;0,Biomes!Q$1&amp;", ","")&amp;
IF(COUNTIF(Biomes!L$2:L$259,"="&amp;$C40)&gt;0,Biomes!L$1&amp;", ","")&amp;
IF(COUNTIF(Biomes!E$2:E$259,"="&amp;$C40)&gt;0,Biomes!E$1&amp;", ","")&amp;IF(COUNTIF(Biomes!S$2:S$259,"="&amp;$C40)&gt;0,Biomes!S$1&amp;", ","")&amp;
IF(COUNTIF(Biomes!R$2:R$259,"="&amp;$C40)&gt;0,Biomes!R$1&amp;", ",""),", ","")
),_xlfn.XLOOKUP(B40,B:B,BX:BX))</f>
        <v/>
      </c>
      <c r="BY40" s="25" t="str">
        <f>IF(_xlfn.XLOOKUP(B40,'Base stats'!B:B,'Base stats'!AJ:AJ)=1,"true","false")</f>
        <v>false</v>
      </c>
      <c r="BZ40" s="25">
        <f>IF(_xlfn.XLOOKUP(B40,'Base stats'!B:B,'Base stats'!N:N)=1,"No",MAX(0.001,MIN(MROUND(IF(AND(BJ40="True",CC40="False"),POWER(10,3.47*LOG10(_xlfn.XLOOKUP(B40,'Base stats'!B:B,'Base stats'!C:C)*1000)^-0.96),POWER(10,4.15*LOG10(_xlfn.XLOOKUP(B40,'Base stats'!B:B,'Base stats'!C:C)*1000)^-0.73))*IF(_xlfn.XLOOKUP(B40,'Base stats'!B:B,'Base stats'!AK:AK)=1,0.5,1)*IF(_xlfn.XLOOKUP(B40,'Base stats'!B:B,'Base stats'!AM:AM)=1,0.1,1)/100,IF(_xlfn.XLOOKUP(B40,'Base stats'!B:B,'Base stats'!AM:AM)=1,0.001,0.025)),0.5)))</f>
        <v>0.22500000000000001</v>
      </c>
      <c r="CA40" s="25" t="str">
        <f>IF(P40="Standard","No",MAX(0.001,MIN(MROUND(IF(AND(BJ40="True",CC40="False"),POWER(10,3.47*LOG10(_xlfn.XLOOKUP(B40,'Base stats'!B:B,'Base stats'!C:C)*1000)^-0.96),POWER(10,4.15*LOG10(_xlfn.XLOOKUP(B40,'Base stats'!B:B,'Base stats'!C:C)*1000)^-0.73))*IF(_xlfn.XLOOKUP(B40,'Base stats'!B:B,'Base stats'!AM:AM)=1,0.1,1)*_xlfn.XLOOKUP(B40,'Base stats'!B:B,'Base stats'!R:R)/100,IF(_xlfn.XLOOKUP(B40,'Base stats'!B:B,'Base stats'!AM:AM)=1,0.001,0.025)),0.5)))</f>
        <v>No</v>
      </c>
      <c r="CB40" s="25" t="str">
        <f>IF(_xlfn.XLOOKUP(_xlfn.XLOOKUP(B40,'Base stats'!B:B,'Base stats'!E:E),Groups!A:A,Groups!AJ:AJ)="Mammal","True","False")</f>
        <v>True</v>
      </c>
      <c r="CC40" s="25" t="str">
        <f>IF(OR(_xlfn.XLOOKUP(_xlfn.XLOOKUP(B40,'Base stats'!B:B,'Base stats'!E:E),Groups!A:A,Groups!AJ:AJ)="Reptile",_xlfn.XLOOKUP(_xlfn.XLOOKUP(B40,'Base stats'!B:B,'Base stats'!E:E),Groups!A:A,Groups!AJ:AJ)="Amphibian",_xlfn.XLOOKUP(_xlfn.XLOOKUP(B40,'Base stats'!B:B,'Base stats'!E:E),Groups!A:A,Groups!AJ:AJ)="Invertebrate"),"True","False")</f>
        <v>False</v>
      </c>
      <c r="CD40" s="25" t="str">
        <f t="shared" si="6"/>
        <v>False</v>
      </c>
      <c r="CE40" s="25" t="str">
        <f>IF(_xlfn.XLOOKUP(_xlfn.XLOOKUP(B40,'Base stats'!B:B,'Base stats'!E:E),Groups!A:A,Groups!AX:AX),"True","False")</f>
        <v>False</v>
      </c>
      <c r="CF40" s="25" t="str">
        <f>IF(_xlfn.XLOOKUP(_xlfn.XLOOKUP(B40,'Base stats'!B:B,'Base stats'!E:E),Groups!A:A,Groups!AY:AY),"True","False")</f>
        <v>False</v>
      </c>
      <c r="CG40" s="25" t="str">
        <f>IF(_xlfn.XLOOKUP(_xlfn.XLOOKUP(B40,'Base stats'!B:B,'Base stats'!E:E),Groups!A:A,Groups!AW:AW),"True","False")</f>
        <v>False</v>
      </c>
      <c r="CH40" s="25" t="str">
        <f>IF(
OR(
_xlfn.XLOOKUP(_xlfn.XLOOKUP(B40,'Base stats'!B:B,'Base stats'!E:E),Groups!A:A,Groups!AZ:AZ)=0,
AND(
_xlfn.XLOOKUP(B40,'Base stats'!B:B,'Base stats'!Y:Y)&lt;&gt;"Carnivore",
_xlfn.XLOOKUP(B40,'Base stats'!B:B,'Base stats'!Y:Y)&lt;&gt;"Omnivore",
_xlfn.XLOOKUP(B40,'Base stats'!B:B,'Base stats'!Y:Y)&lt;&gt;"OmnivoreRough"
)
),
"No",
IF(
_xlfn.XLOOKUP(_xlfn.XLOOKUP(B40,'Base stats'!B:B,'Base stats'!E:E),Groups!A:A,Groups!AZ:AZ)=1,
"Flesh",
IF(
_xlfn.XLOOKUP(_xlfn.XLOOKUP(B40,'Base stats'!B:B,'Base stats'!E:E),Groups!A:A,Groups!AZ:AZ)=2,
"Bone",
""
)
)
)</f>
        <v>No</v>
      </c>
      <c r="CI40" s="25" t="str">
        <f>IF(_xlfn.XLOOKUP(_xlfn.XLOOKUP(B40,'Base stats'!B:B,'Base stats'!E:E),Groups!A:A,Groups!BB:BB),"True","False")</f>
        <v>True</v>
      </c>
      <c r="CJ40" s="25" t="str">
        <f>IF(_xlfn.XLOOKUP(_xlfn.XLOOKUP(B40,'Base stats'!B:B,'Base stats'!E:E),Groups!A:A,Groups!BA:BA),"True","False")</f>
        <v>False</v>
      </c>
    </row>
    <row r="41" spans="1:88" ht="16.5" thickTop="1" thickBot="1" x14ac:dyDescent="0.3">
      <c r="A41" s="26" t="str">
        <f>_xlfn.XLOOKUP(B41,'Base stats'!B:B,'Base stats'!A:A)</f>
        <v>Boomrat</v>
      </c>
      <c r="B41" s="6" t="s">
        <v>122</v>
      </c>
      <c r="C41" s="28" t="s">
        <v>716</v>
      </c>
      <c r="D41" s="28" t="s">
        <v>45</v>
      </c>
      <c r="E41" s="28" t="s">
        <v>673</v>
      </c>
      <c r="F41" s="28" t="s">
        <v>673</v>
      </c>
      <c r="G41" s="28" t="s">
        <v>673</v>
      </c>
      <c r="H41" s="2">
        <f>MROUND((
  (IF(AND(_xlfn.XLOOKUP(B41,'Base stats'!B:B,'Base stats'!AL:AL)=0,BI41="None",_xlfn.XLOOKUP(_xlfn.XLOOKUP(B41,'Base stats'!B:B,'Base stats'!E:E),Groups!A:A,Groups!B:B)=0), (18 + BR41 * 2.7) * 0.5,
    IF(AND(_xlfn.XLOOKUP(B41,'Base stats'!B:B,'Base stats'!AL:AL)=0,OR(AO41&lt;0.55,AND(BI41="Intermediate",_xlfn.XLOOKUP(_xlfn.XLOOKUP(B41,'Base stats'!B:B,'Base stats'!E:E),Groups!A:A,Groups!B:B)&lt;2))), (18 + BR41 * 2.7),
      IF(OR(BI41="Advanced",_xlfn.XLOOKUP(B41,'Base stats'!B:B,'Base stats'!AL:AL)=1,_xlfn.XLOOKUP(_xlfn.XLOOKUP(B41,'Base stats'!B:B,'Base stats'!E:E),Groups!A:A,Groups!B:B)=2), (18 + BR41 * 2.7) + 250, (18 + BR41 * 2.7))
    )
  ))
  + AO41 * 80
  + IF(COUNTIF(EggMilk!K$2:K$998, A41) &gt; 0, 125, 0)
  + IF(COUNTIF(EggMilk!P$2:P$998, A41) &gt; 0, 90, 0)
  + IF(COUNTIF(EggMilk!A$2:A$998, A41) &gt; 0, 90, 0)
)
* (0.8 + 0.4 * J41)
* 0.75,25)</f>
        <v>250</v>
      </c>
      <c r="I41" s="2">
        <f>MROUND(ROUNDDOWN(_xlfn.XLOOKUP(B41,'Base stats'!B:B,'Base stats'!L:L)/3.6/(23.3/11),1),0.5)</f>
        <v>3.5</v>
      </c>
      <c r="J41" s="2">
        <f>IF(OR(_xlfn.XLOOKUP(B41,'Base stats'!B:B,'Base stats'!AB:AB)=1,_xlfn.XLOOKUP(_xlfn.XLOOKUP(B41,'Base stats'!B:B,'Base stats'!E:E),Groups!A:A,Groups!C:C)="Untamable"),1,IF(_xlfn.XLOOKUP(B41,'Base stats'!B:B,'Base stats'!AL:AL)=1,0.99,MIN(MROUND((1-0.6282*EXP(-0.459*AO41))*_xlfn.XLOOKUP(_xlfn.XLOOKUP(B41,'Base stats'!B:B,'Base stats'!E:E),Groups!A:A,Groups!C:C)*IF(_xlfn.XLOOKUP(B41,'Base stats'!B:B,'Base stats'!O:O)=1,0.5,IF(_xlfn.XLOOKUP(B41,'Base stats'!B:B,'Base stats'!O:O)=2,0,1)),0.05),IF(AO41&gt;3.5,0.985,0.95))))</f>
        <v>0.60000000000000009</v>
      </c>
      <c r="K41" s="2">
        <f>ROUNDUP(AO41*_xlfn.XLOOKUP(_xlfn.XLOOKUP(B41,'Base stats'!B:B,'Base stats'!E:E),Groups!A:A,Groups!E:E),0)</f>
        <v>1</v>
      </c>
      <c r="L41" s="2">
        <f>IF(OR(_xlfn.XLOOKUP(_xlfn.XLOOKUP(B41,'Base stats'!B:B,'Base stats'!E:E),Groups!A:A,Groups!F:F)=2,ISNUMBER(SEARCH("SeaIce",BX41)),ISNUMBER(SEARCH("IceSheet",BX41))),-50,IF(OR(ISNUMBER(SEARCH("GlacialPlain",BX41)),ISNUMBER(SEARCH("Tundra",BX41))),-40,IF(OR(ISNUMBER(SEARCH("Alpine",BX41)),ISNUMBER(SEARCH("BorealForest",BX41)),ISNUMBER(SEARCH("ColdBog",BX41))),-30,IF(OR(ISNUMBER(SEARCH("TemperateForest",BX41)),ISNUMBER(SEARCH("TemperateSwamp",BX41))),-20,IF(_xlfn.XLOOKUP(_xlfn.XLOOKUP(B41,'Base stats'!B:B,'Base stats'!E:E),Groups!A:A,Groups!F:F)=1,-15,IF(OR(ISNUMBER(SEARCH("Desert",BX41)),ISNUMBER(SEARCH("ExtremeDesert",BX41))),-10,IF(OR(ISNUMBER(SEARCH("Grasslands",BX41)),ISNUMBER(SEARCH("TropicalRainforest",BX41)),ISNUMBER(SEARCH("TropicalSwamp",BX41))),10,0)))))))-IF(CC41="False",MIN(IFERROR(MAX(MROUND(LOG10(_xlfn.XLOOKUP(B41,'Base stats'!B:B,'Base stats'!C:C)^(2/3))*10,5),5),5),30))-_xlfn.XLOOKUP(B41,'Base stats'!B:B,'Base stats'!P:P)+IF(CC41="True",5,0)</f>
        <v>-25</v>
      </c>
      <c r="M41" s="2">
        <f>IF(OR(_xlfn.XLOOKUP(_xlfn.XLOOKUP(B41,'Base stats'!B:B,'Base stats'!E:E),Groups!A:A,Groups!G:G)=2,ISNUMBER(SEARCH("Desert",BX41)),ISNUMBER(SEARCH("ExtremeDesert",BX41)),ISNUMBER(SEARCH("LavaField",BX41))),50,IF(ISNUMBER(SEARCH("Grasslands",BX41)),45,IF(OR(_xlfn.XLOOKUP(_xlfn.XLOOKUP(B41,'Base stats'!B:B,'Base stats'!E:E),Groups!A:A,Groups!G:G)=1,ISNUMBER(SEARCH("TropicalRainforest",BX41)),ISNUMBER(SEARCH("TropicalSwamp",BX41))),40,IF(OR(ISNUMBER(SEARCH("TemperateForest",BX41)),ISNUMBER(SEARCH("TemperateSwamp",BX41))),35,IF(OR(ISNUMBER(SEARCH("Alpine",BX41)),ISNUMBER(SEARCH("BorealForest",BX41)),ISNUMBER(SEARCH("ColdBog",BX41))),30,IF(ISNUMBER(OR(ISNUMBER(SEARCH("GlacialPlain",BX41)),SEARCH("Tundra",BX41))),25,IF(OR(ISNUMBER(SEARCH("SeaIce",BX41)),ISNUMBER(SEARCH("IceSheet",BX41)),ISNUMBER(SEARCH("TropicalSwamp",BX41))),10,35)))))))+_xlfn.XLOOKUP(B41,'Base stats'!B:B,'Base stats'!Q:Q)</f>
        <v>50</v>
      </c>
      <c r="N41" s="8" t="str">
        <f>IF(
_xlfn.XLOOKUP(
_xlfn.XLOOKUP(B41,'Base stats'!B:B,'Base stats'!E:E),
Groups!A:A,
Groups!L:L
)=1,
MIN(
MROUND(
IF(
_xlfn.XLOOKUP(B41,'Animals CE'!B:B,'Animals CE'!Z:Z)&lt;=1.5,
_xlfn.XLOOKUP(B41,'Animals CE'!B:B,'Animals CE'!Z:Z)/2+0.05,
0.8+
(_xlfn.XLOOKUP(B41,'Animals CE'!B:B,'Animals CE'!Z:Z)-1.5)
*0.02
),
0.05
),
200%
),
"No"
)</f>
        <v>No</v>
      </c>
      <c r="O41" s="8" t="str">
        <f>IF(
_xlfn.XLOOKUP(
_xlfn.XLOOKUP(B41,'Base stats'!B:B,'Base stats'!E:E),
Groups!A:A,
Groups!L:L
)=1,
MIN(
MROUND(
IF(
_xlfn.XLOOKUP(B41,'Animals CE'!B:B,'Animals CE'!AA:AA)&lt;=1.5,
_xlfn.XLOOKUP(B41,'Animals CE'!B:B,'Animals CE'!AA:AA)/2+0.05,
0.8+
(_xlfn.XLOOKUP(B41,'Animals CE'!B:B,'Animals CE'!AA:AA)-1.5)
*0.02
),
0.05
),
200%
),
"No"
)</f>
        <v>No</v>
      </c>
      <c r="P41" s="2">
        <f>_xlfn.XLOOKUP(B41,'Base stats'!B:B,'Base stats'!R:R)</f>
        <v>0.9</v>
      </c>
      <c r="Q41" s="13">
        <f>MROUND((LOG10(_xlfn.XLOOKUP(B41,'Base stats'!B:B,'Base stats'!AR:AR))*(AO41^0.5)+(_xlfn.XLOOKUP(B41,'Base stats'!B:B,'Base stats'!AR:AR)/1000)^(2/3)+_xlfn.XLOOKUP(B41,'Base stats'!B:B,'Base stats'!BA:BA)/2)+0.5,0.5)</f>
        <v>3.5</v>
      </c>
      <c r="R41" s="7">
        <f>IF(Q41="No","No",MAX(1,MROUND(_xlfn.XLOOKUP(B41,'Base stats'!B:B,'Base stats'!C:C)^0.165,0.05)))</f>
        <v>1.4500000000000002</v>
      </c>
      <c r="S41" s="13" t="str">
        <f>IF(_xlfn.XLOOKUP(_xlfn.XLOOKUP(B41,'Base stats'!B:B,'Base stats'!E:E),Groups!A:A,Groups!P:P)=0,"No",MROUND((LOG10(_xlfn.XLOOKUP(B41,'Base stats'!B:B,'Base stats'!AS:AS))*(AO41^0.5)+(_xlfn.XLOOKUP(B41,'Base stats'!B:B,'Base stats'!AS:AS)/1000)^(2/3)+_xlfn.XLOOKUP(B41,'Base stats'!B:B,'Base stats'!BA:BA))+_xlfn.XLOOKUP(B41,'Base stats'!B:B,'Base stats'!AY:AY)+0.5,0.5))</f>
        <v>No</v>
      </c>
      <c r="T41" s="7" t="str">
        <f>IF(S41="No","No",MAX(_xlfn.XLOOKUP(_xlfn.XLOOKUP(B41,'Base stats'!B:B,'Base stats'!E:E),Groups!A:A,Groups!Q:Q),MROUND(_xlfn.XLOOKUP(_xlfn.XLOOKUP(B41,'Base stats'!B:B,'Base stats'!E:E),Groups!A:A,Groups!Q:Q)*_xlfn.XLOOKUP(B41,'Base stats'!B:B,'Base stats'!C:C)^0.165,0.05)))</f>
        <v>No</v>
      </c>
      <c r="U41" s="7" t="str">
        <f>IF(S41="No","No",_xlfn.XLOOKUP(_xlfn.XLOOKUP(B41,'Base stats'!B:B,'Base stats'!E:E),Groups!A:A,Groups!R:R))</f>
        <v>No</v>
      </c>
      <c r="V41" s="7" t="str">
        <f>IF(S41="No","No",_xlfn.XLOOKUP(_xlfn.XLOOKUP(B41,'Base stats'!B:B,'Base stats'!E:E),Groups!A:A,Groups!S:S))</f>
        <v>No</v>
      </c>
      <c r="W41" s="7" t="str">
        <f>IF(S41="No","No",_xlfn.XLOOKUP(_xlfn.XLOOKUP(B41,'Base stats'!B:B,'Base stats'!E:E),Groups!A:A,Groups!T:T))</f>
        <v>No</v>
      </c>
      <c r="X41" s="13" t="str">
        <f>IF(_xlfn.XLOOKUP(B41,'Base stats'!B:B,'Base stats'!W:W)="No","No",MROUND((LOG10(_xlfn.XLOOKUP(B41,'Base stats'!B:B,'Base stats'!AU:AU))*(AO41^0.5)+(_xlfn.XLOOKUP(B41,'Base stats'!B:B,'Base stats'!AU:AU)/1000)^(2/3)+_xlfn.XLOOKUP(B41,'Base stats'!B:B,'Base stats'!AZ:AZ))+0.5+IF(_xlfn.XLOOKUP(_xlfn.XLOOKUP(B41,'Base stats'!B:B,'Base stats'!E:E),Groups!A:A,Groups!U:U)&lt;&gt;3,_xlfn.XLOOKUP(B41,'Base stats'!B:B,'Base stats'!BA:BA),0),0.5))</f>
        <v>No</v>
      </c>
      <c r="Y41" s="7" t="str">
        <f>IF(X41="No","No",MAX(_xlfn.XLOOKUP(_xlfn.XLOOKUP(B41,'Base stats'!B:B,'Base stats'!E:E),Groups!A:A,Groups!V:V),MROUND(_xlfn.XLOOKUP(_xlfn.XLOOKUP(B41,'Base stats'!B:B,'Base stats'!E:E),Groups!A:A,Groups!V:V)*_xlfn.XLOOKUP(B41,'Base stats'!B:B,'Base stats'!C:C)^0.165,0.05)))</f>
        <v>No</v>
      </c>
      <c r="Z41" s="7" t="str">
        <f>IF(X41="No","No",_xlfn.XLOOKUP(_xlfn.XLOOKUP(B41,'Base stats'!B:B,'Base stats'!E:E),Groups!A:A,Groups!W:W))</f>
        <v>No</v>
      </c>
      <c r="AA41" s="7" t="str">
        <f>IF(X41="No","No",_xlfn.XLOOKUP(_xlfn.XLOOKUP(B41,'Base stats'!B:B,'Base stats'!E:E),Groups!A:A,Groups!X:X))</f>
        <v>No</v>
      </c>
      <c r="AB41" s="7" t="str">
        <f>IF(X41="No","No",_xlfn.XLOOKUP(_xlfn.XLOOKUP(B41,'Base stats'!B:B,'Base stats'!E:E),Groups!A:A,Groups!Y:Y))</f>
        <v>No</v>
      </c>
      <c r="AC41" s="7" t="str">
        <f>_xlfn.XLOOKUP(Animals!B41,'Base stats'!B:B,'Base stats'!X:X)</f>
        <v>False</v>
      </c>
      <c r="AD41" s="13">
        <f>IF(_xlfn.XLOOKUP(B41,'Base stats'!B:B,'Base stats'!AT:AT)="No","No",MROUND((LOG10(_xlfn.XLOOKUP(B41,'Base stats'!B:B,'Base stats'!AT:AT))*(AO41^0.75)+(_xlfn.XLOOKUP(B41,'Base stats'!B:B,'Base stats'!AT:AT)/1000)^(2/3)+_xlfn.XLOOKUP(B41,'Base stats'!B:B,'Base stats'!AX:AX)+_xlfn.XLOOKUP(B41,'Base stats'!B:B,'Base stats'!BA:BA))+0.5,0.5))</f>
        <v>7.5</v>
      </c>
      <c r="AE41" s="7">
        <f>IF(AD41="No","No",MAX(_xlfn.XLOOKUP(_xlfn.XLOOKUP(B41,'Base stats'!B:B,'Base stats'!E:E),Groups!A:A,Groups!Z:Z),MROUND(_xlfn.XLOOKUP(_xlfn.XLOOKUP(B41,'Base stats'!B:B,'Base stats'!E:E),Groups!A:A,Groups!Z:Z)*_xlfn.XLOOKUP(B41,'Base stats'!B:B,'Base stats'!C:C)^0.165,0.05)))</f>
        <v>1.3</v>
      </c>
      <c r="AF41" s="7" t="str">
        <f>IF(AD41="No","No",_xlfn.XLOOKUP(_xlfn.XLOOKUP(B41,'Base stats'!B:B,'Base stats'!E:E),Groups!A:A,Groups!AA:AA))</f>
        <v>Teeth</v>
      </c>
      <c r="AG41" s="7" t="str">
        <f>IF(AD41="No","No",_xlfn.XLOOKUP(_xlfn.XLOOKUP(B41,'Base stats'!B:B,'Base stats'!E:E),Groups!A:A,Groups!AB:AB))</f>
        <v>Incisors</v>
      </c>
      <c r="AH41" s="7" t="str">
        <f>IF(AD41="No","No",_xlfn.XLOOKUP(_xlfn.XLOOKUP(B41,'Base stats'!B:B,'Base stats'!E:E),Groups!A:A,Groups!AC:AC))</f>
        <v>Bite</v>
      </c>
      <c r="AI41" s="13" t="str">
        <f>IF(_xlfn.XLOOKUP(_xlfn.XLOOKUP(B41,'Base stats'!B:B,'Base stats'!E:E),Groups!A:A,Groups!AD:AD)=0,"No",MROUND((LOG10(_xlfn.XLOOKUP(B41,'Base stats'!B:B,'Base stats'!AS:AS))*(AO41^0.75)+(_xlfn.XLOOKUP(B41,'Base stats'!B:B,'Base stats'!AS:AS)/1000)^(2/3)+_xlfn.XLOOKUP(B41,'Base stats'!B:B,'Base stats'!AY:AY)+_xlfn.XLOOKUP(B41,'Base stats'!B:B,'Base stats'!BA:BA))+0.5,0.5))</f>
        <v>No</v>
      </c>
      <c r="AJ41" s="7" t="str">
        <f>IF(AI41="No","No",MAX(_xlfn.XLOOKUP(_xlfn.XLOOKUP(B41,'Base stats'!B:B,'Base stats'!E:E),Groups!A:A,Groups!AE:AE),MROUND(_xlfn.XLOOKUP(_xlfn.XLOOKUP(B41,'Base stats'!B:B,'Base stats'!E:E),Groups!A:A,Groups!AE:AE)*IF(_xlfn.XLOOKUP(_xlfn.XLOOKUP(B41,'Base stats'!B:B,'Base stats'!E:E),Groups!A:A,Groups!AJ:AJ)="Photonozoa",0.6,1)*_xlfn.XLOOKUP(B41,'Base stats'!B:B,'Base stats'!C:C)^0.165,0.05)))</f>
        <v>No</v>
      </c>
      <c r="AK41" s="7" t="str">
        <f>IF(AI41="No","No",_xlfn.XLOOKUP(_xlfn.XLOOKUP(B41,'Base stats'!B:B,'Base stats'!E:E),Groups!A:A,Groups!AF:AF))</f>
        <v>No</v>
      </c>
      <c r="AL41" s="7" t="str">
        <f>IF(AI41="No","No",_xlfn.XLOOKUP(_xlfn.XLOOKUP(B41,'Base stats'!B:B,'Base stats'!E:E),Groups!A:A,Groups!AG:AG))</f>
        <v>No</v>
      </c>
      <c r="AM41" s="7" t="str">
        <f>IF(AI41="No","No",_xlfn.XLOOKUP(_xlfn.XLOOKUP(B41,'Base stats'!B:B,'Base stats'!E:E),Groups!A:A,Groups!AH:AH))</f>
        <v>No</v>
      </c>
      <c r="AN41" s="2" t="str">
        <f t="shared" si="0"/>
        <v>No</v>
      </c>
      <c r="AO41" s="2">
        <f>MROUND(IF(AND(_xlfn.XLOOKUP(B41,'Base stats'!B:B,'Base stats'!C:C)&gt;=0.5,_xlfn.XLOOKUP(B41,'Base stats'!B:B,'Base stats'!C:C)&lt;=0.8),
IF(_xlfn.XLOOKUP(B41,'Base stats'!B:B,'Base stats'!C:C)&lt;0.1,0.05,IF(_xlfn.XLOOKUP(B41,'Base stats'!B:B,'Base stats'!C:C)&lt;=70,(_xlfn.XLOOKUP(B41,'Base stats'!B:B,'Base stats'!C:C)/70)^0.426489913056526,IF(_xlfn.XLOOKUP(B41,'Base stats'!B:B,'Base stats'!C:C)&lt;=400,(_xlfn.XLOOKUP(B41,'Base stats'!B:B,'Base stats'!C:C)/70)^0.572811455315093,IF(_xlfn.XLOOKUP(B41,'Base stats'!B:B,'Base stats'!C:C)&lt;=2000,2.71391647193063*(_xlfn.XLOOKUP(B41,'Base stats'!B:B,'Base stats'!C:C)/400)^0.252459582904293,3.74314280240376*(_xlfn.XLOOKUP(B41,'Base stats'!B:B,'Base stats'!C:C)/2000)^0.357012633876913)))),
IF(_xlfn.XLOOKUP(B41,'Base stats'!B:B,'Base stats'!C:C)&lt;0.1,0.05,IF(_xlfn.XLOOKUP(B41,'Base stats'!B:B,'Base stats'!C:C)&lt;0.4,0.1,IF(_xlfn.XLOOKUP(B41,'Base stats'!B:B,'Base stats'!C:C)&lt;=70,(_xlfn.XLOOKUP(B41,'Base stats'!B:B,'Base stats'!C:C)/70)^0.445823913056526,IF(_xlfn.XLOOKUP(B41,'Base stats'!B:B,'Base stats'!C:C)&lt;=400,(_xlfn.XLOOKUP(B41,'Base stats'!B:B,'Base stats'!C:C)/70)^0.572811455315093,IF(_xlfn.XLOOKUP(B41,'Base stats'!B:B,'Base stats'!C:C)&lt;=2000,2.71391647193063*(_xlfn.XLOOKUP(B41,'Base stats'!B:B,'Base stats'!C:C)/400)^0.252459582904293,3.74314280240376*(_xlfn.XLOOKUP(B41,'Base stats'!B:B,'Base stats'!C:C)/2000)^0.357012633876913)))))),
IF(_xlfn.XLOOKUP(B41,'Base stats'!B:B,'Base stats'!C:C)&lt;0.1,0.05,IF(_xlfn.XLOOKUP(B41,'Base stats'!B:B,'Base stats'!C:C)&lt;=100,0.05,IF(_xlfn.XLOOKUP(B41,'Base stats'!B:B,'Base stats'!C:C)&lt;=250,0.1,IF(_xlfn.XLOOKUP(B41,'Base stats'!B:B,'Base stats'!C:C)&lt;=4000,0.25,0.5)))))</f>
        <v>0.4</v>
      </c>
      <c r="AP41" s="8">
        <f>MROUND(AO41*_xlfn.XLOOKUP(_xlfn.XLOOKUP(B41,'Base stats'!B:B,'Base stats'!E:E),Groups!A:A,Groups!AI:AI)*_xlfn.XLOOKUP(B41,'Base stats'!B:B,'Base stats'!Z:Z),0.05)</f>
        <v>0.4</v>
      </c>
      <c r="AQ41" s="8">
        <f>MAX(0.01,MROUND(IF(CC41="True",0.196*(AO41*100*1000)^0.889,IF(_xlfn.XLOOKUP(_xlfn.XLOOKUP(B41,'Base stats'!B:B,'Base stats'!E:E),Groups!A:A,Groups!AJ:AJ)="Bird",10.5*(AO41*100*1000)^0.681,4.82*(AO41*100*1000)^0.734))/(4.82*(1*100*1000)^0.734)/IF(AO41&lt;3.5,2,IF(AO41=3.5,1.5,1.25))*(1+0.132282374779864/(AO41^0.994035016789033+0.00905238001496948)),0.05))</f>
        <v>0.35000000000000003</v>
      </c>
      <c r="AR41" s="9">
        <f>IFERROR(MROUND(_xlfn.XLOOKUP(B41,'Base stats'!B:B,'Base stats'!H:H)/IF(_xlfn.XLOOKUP(B41,'Base stats'!B:B,'Base stats'!I:I)&lt;&gt;1,(122.5/70),1.2),IF(_xlfn.XLOOKUP(B41,'Base stats'!B:B,'Base stats'!H:H)&gt;=30,5,IF(_xlfn.XLOOKUP(B41,'Base stats'!B:B,'Base stats'!H:H)&gt;=15,3,IF(_xlfn.XLOOKUP(B41,'Base stats'!B:B,'Base stats'!H:H)&gt;=10,2,1)))),"Immortal")</f>
        <v>9</v>
      </c>
      <c r="AS41" s="35">
        <f>IFERROR(IF(OR(_xlfn.XLOOKUP(B41,'Base stats'!B:B,'Base stats'!F:F)="Atypical reproduction",_xlfn.XLOOKUP(B41,'Base stats'!B:B,'Base stats'!F:F)="Lay eggs"),"Lay eggs",MIN(20,MAX(5.5,ROUND(((_xlfn.XLOOKUP(B41,'Base stats'!B:B,'Base stats'!F:F)-25)*(14.5/615) + 5.5)*2,0)/2))),"Unknown")</f>
        <v>7</v>
      </c>
      <c r="AT41" s="8">
        <f>IF(_xlfn.XLOOKUP(B41,'Base stats'!B:B,'Base stats'!G:G)="Atypical reproduction","No",IFERROR(MAX(IF(_xlfn.XLOOKUP(B41,'Base stats'!B:B,'Base stats'!G:G)&lt;0.5,0.2,0.3),MROUND(_xlfn.XLOOKUP(B41,'Base stats'!B:B,'Base stats'!G:G)/(365/60),0.2)),"Unknown"))</f>
        <v>0.3</v>
      </c>
      <c r="AU41" s="8">
        <f t="shared" si="1"/>
        <v>0.15000000000000002</v>
      </c>
      <c r="AV41" s="8">
        <f>IFERROR(IFERROR(MROUND(_xlfn.XLOOKUP(B41,'Base stats'!B:B,'Base stats'!J:J),0.1),"Lay eggs"),"Cannot breed")</f>
        <v>5</v>
      </c>
      <c r="AW41" s="2" t="str">
        <f t="shared" si="2"/>
        <v>false</v>
      </c>
      <c r="AX41" s="2" t="str">
        <f>IF(_xlfn.XLOOKUP(_xlfn.XLOOKUP(Animals!B41,'Base stats'!B:B,'Base stats'!E:E),Groups!A:A,Groups!AK:AK)=1,"true","false")</f>
        <v>false</v>
      </c>
      <c r="AY41" s="25" t="str">
        <f>IF(_xlfn.XLOOKUP(B41,'Base stats'!B:B,'Base stats'!Y:Y)="Liquor","Liquor, CarnivoreAnimalStrict",IF(AND(_xlfn.XLOOKUP(B41,'Base stats'!B:B,'Base stats'!Y:Y)="Carnivore",_xlfn.XLOOKUP(_xlfn.XLOOKUP(B41,'Base stats'!B:B,'Base stats'!E:E),Groups!A:A,Groups!AJ:AJ)="Photonozoa"),"CarnivoreAnimalStrict, OvivoreAnimal",IF(_xlfn.XLOOKUP(B41,'Base stats'!B:B,'Base stats'!Y:Y)="Carnivore","CarnivoreAnimal, OvivoreAnimal",IF(_xlfn.XLOOKUP(B41,'Base stats'!B:B,'Base stats'!Y:Y)="Dendrovore","VegetarianRoughAnimal, DendrovoreAnimal",IF(_xlfn.XLOOKUP(B41,'Base stats'!B:B,'Base stats'!Y:Y)="Herbivore","VegetarianRoughAnimal",IF(_xlfn.XLOOKUP(B41,'Base stats'!B:B,'Base stats'!Y:Y)="OmnivoreRough","OmnivoreRoughAnimal, OvivoreAnimal","OmnivoreAnimal, OvivoreAnimal"))))))</f>
        <v>OmnivoreRoughAnimal, OvivoreAnimal</v>
      </c>
      <c r="AZ41" s="2" t="str">
        <f>IF(_xlfn.XLOOKUP(_xlfn.XLOOKUP(B41,'Base stats'!B:B,'Base stats'!E:E),Groups!A:A,Groups!D:D)=1,MROUND((1-J41)*5+1,2)*IF(J41&lt;=0.4,2,1),"No")</f>
        <v>No</v>
      </c>
      <c r="BA41" s="2" t="str">
        <f>IF(AND(_xlfn.XLOOKUP(B41,'Base stats'!B:B,'Base stats'!AH:AH)="&lt;li&gt;Seal&lt;/li&gt;",G41="Odyssey"),"&lt;li&gt;AEXP_Seal&lt;/li&gt;",_xlfn.XLOOKUP(B41,'Base stats'!B:B,'Base stats'!AH:AH))</f>
        <v>No</v>
      </c>
      <c r="BB41" s="2" t="str">
        <f>_xlfn.XLOOKUP(B41,'Base stats'!B:B,'Base stats'!AG:AG)</f>
        <v>Leather_Light</v>
      </c>
      <c r="BC41" s="23" t="str">
        <f>_xlfn.XLOOKUP(_xlfn.XLOOKUP(B41,'Base stats'!B:B,'Base stats'!E:E),Groups!A:A,Groups!AL:AL)</f>
        <v>QuadrupedAnimalWithPawsAndTail</v>
      </c>
      <c r="BD41" s="23">
        <f>MIN(1,MROUND(IF(AND(AO41&lt;0.5,_xlfn.XLOOKUP(B41,'Base stats'!B:B,'Base stats'!AA:AA)=0),0,IF(OR(_xlfn.XLOOKUP(Animals!B41,'Base stats'!B:B,'Base stats'!O:O)=2,_xlfn.XLOOKUP(_xlfn.XLOOKUP(B41,'Base stats'!B:B,'Base stats'!E:E),Groups!A:A,Groups!AN:AN)=0),0,_xlfn.XLOOKUP(_xlfn.XLOOKUP(B41,'Base stats'!B:B,'Base stats'!E:E),Groups!A:A,Groups!AN:AN)/IF(_xlfn.XLOOKUP(Animals!B41,'Base stats'!B:B,'Base stats'!O:O)=1,2,1)))+_xlfn.XLOOKUP(B41,'Base stats'!B:B,'Base stats'!AC:AC),0.005))</f>
        <v>0.1</v>
      </c>
      <c r="BE41" s="23">
        <f>MIN(1,MROUND(IF(AND(AO41&lt;0.5,_xlfn.XLOOKUP(B41,'Base stats'!B:B,'Base stats'!AA:AA)=0),0,IF(_xlfn.XLOOKUP(_xlfn.XLOOKUP(B41,'Base stats'!B:B,'Base stats'!E:E),Groups!A:A,Groups!AO:AO)=0,0,_xlfn.XLOOKUP(_xlfn.XLOOKUP(B41,'Base stats'!B:B,'Base stats'!E:E),Groups!A:A,Groups!AO:AO)/IF(_xlfn.XLOOKUP(Animals!B41,'Base stats'!B:B,'Base stats'!O:O)=2,3,1)))+_xlfn.XLOOKUP(B41,'Base stats'!B:B,'Base stats'!AD:AD),0.005))</f>
        <v>0.3</v>
      </c>
      <c r="BF41" s="2" t="str">
        <f>IF(J41&gt;0.3,"No",_xlfn.XLOOKUP(_xlfn.XLOOKUP(Animals!B41,'Base stats'!B:B,'Base stats'!E:E),Groups!A:A,Groups!AP:AP))</f>
        <v>No</v>
      </c>
      <c r="BG41" s="2">
        <f>IF(AND(J41&lt;=0.65,_xlfn.XLOOKUP(_xlfn.XLOOKUP(Animals!B41,'Base stats'!B:B,'Base stats'!E:E),Groups!A:A,Groups!AP:AP)&lt;&gt;"No",_xlfn.XLOOKUP(_xlfn.XLOOKUP(B41,'Base stats'!B:B,'Base stats'!E:E),Groups!A:A,Groups!D:D)=0),MROUND((80/3)*IF(_xlfn.XLOOKUP(B41,'Base stats'!B:B,'Base stats'!O:O)=2,0.2,AO41) + 24*(1-IF(BF41="No",0,BF41)) + 16/3, 12),"No")</f>
        <v>36</v>
      </c>
      <c r="BH41" s="2">
        <f>IF(AND(_xlfn.XLOOKUP(_xlfn.XLOOKUP(B41,'Base stats'!B:B,'Base stats'!E:E),Groups!A:A,Groups!AQ:AQ)=1,AO41&lt;=0.35),8,12)</f>
        <v>12</v>
      </c>
      <c r="BI41" s="2" t="str">
        <f>IF(_xlfn.XLOOKUP(_xlfn.XLOOKUP(B41,'Base stats'!B:B,'Base stats'!E:E),Groups!A:A,Groups!D:D)=0,_xlfn.XLOOKUP(_xlfn.XLOOKUP(B41,'Base stats'!B:B,'Base stats'!E:E),Groups!A:A,Groups!AR:AR),"None")</f>
        <v>Intermediate</v>
      </c>
      <c r="BJ41" s="2" t="str">
        <f>IF(AND(_xlfn.XLOOKUP(_xlfn.XLOOKUP(B41,'Base stats'!B:B,'Base stats'!E:E),Groups!A:A,Groups!AS:AS)=1,OR(_xlfn.XLOOKUP(B41,'Base stats'!B:B,'Base stats'!Y:Y)="Carnivore",_xlfn.XLOOKUP(B41,'Base stats'!B:B,'Base stats'!Y:Y)="Omnivore")),"true","false")</f>
        <v>false</v>
      </c>
      <c r="BK41" s="2" t="str">
        <f>IF(BJ41="true",MROUND(IF(AND(AO41&gt;0.5,OR(_xlfn.XLOOKUP(_xlfn.XLOOKUP(B41,'Base stats'!B:B,'Base stats'!E:E),Groups!A:A,Groups!AJ:AJ)="Photonozoa",_xlfn.XLOOKUP(_xlfn.XLOOKUP(B41,'Base stats'!B:B,'Base stats'!E:E),Groups!A:A,Groups!AJ:AJ)="Mammal")),Animals!AO41*1.75*IF(AW41="true",1.5,1),IF(AO41&lt;0.5,Animals!AO41*0.5,Animals!AO41)),IF(AO41&gt;2,0.5,IF(AO41&gt;0.5,0.25,0.1))),"No")</f>
        <v>No</v>
      </c>
      <c r="BL41" s="2">
        <f t="shared" si="3"/>
        <v>1</v>
      </c>
      <c r="BM41" s="25" t="str">
        <f>IF(_xlfn.XLOOKUP(B41,'Base stats'!B:B,'Base stats'!AN:AN)="Standard","No",MROUND((_xlfn.XLOOKUP(B41,'Base stats'!B:B,'Base stats'!AN:AN)/3.6)/I41,0.1))</f>
        <v>No</v>
      </c>
      <c r="BN41" s="25" t="str">
        <f t="shared" si="4"/>
        <v>false</v>
      </c>
      <c r="BO41" s="25" t="str">
        <f>IF(AND(OR(_xlfn.XLOOKUP(B41,'Base stats'!B:B,'Base stats'!Y:Y)="Carnivore",_xlfn.XLOOKUP(B41,'Base stats'!B:B,'Base stats'!Y:Y)="Omnivore",_xlfn.XLOOKUP(B41,'Base stats'!B:B,'Base stats'!Y:Y)="OmnivoreRough"),_xlfn.XLOOKUP(_xlfn.XLOOKUP(B41,'Base stats'!B:B,'Base stats'!E:E),Groups!A:A,Groups!AT:AT)=1),"true","false")</f>
        <v>false</v>
      </c>
      <c r="BP41" s="25" t="str" cm="1">
        <f t="array" ref="BP41">IF(
  _xlfn.TEXTJOIN(", ",TRUE,
    IF(AND(BJ41="true",AO41&gt;0.5,BI41&lt;&gt;"None"),"AttackTarget",""),
    IF(AND(_xlfn.XLOOKUP(_xlfn.XLOOKUP(B41,'Base stats'!B:B,'Base stats'!E:E),Groups!A:A,Groups!AJ:AJ="Mammal"),OR(_xlfn.XLOOKUP(B41,'Base stats'!B:B,'Base stats'!Y:Y)="Omnivore",_xlfn.XLOOKUP(B41,'Base stats'!B:B,'Base stats'!Y:Y)="OmnivoreRough")),"Forage",""),
    IF(BG41&lt;=36,"Comfort",""),
    IF(_xlfn.XLOOKUP(B41,'Base stats'!B:B,'Base stats'!AE:AE)&lt;&gt;"No",_xlfn.XLOOKUP(B41,'Base stats'!B:B,'Base stats'!AE:AE),"")
  ) = "",
  "No",
  _xlfn.TEXTJOIN(", ",TRUE,
    IF(AND(BJ41="true",AO41&gt;0.5,BI41&lt;&gt;"None"),"AttackTarget",""),
    IF(AND(_xlfn.XLOOKUP(_xlfn.XLOOKUP(B41,'Base stats'!B:B,'Base stats'!E:E),Groups!A:A,Groups!AJ:AJ="Mammal"),OR(_xlfn.XLOOKUP(B41,'Base stats'!B:B,'Base stats'!Y:Y)="Omnivore",_xlfn.XLOOKUP(B41,'Base stats'!B:B,'Base stats'!Y:Y)="OmnivoreRough")),"Forage",""),
    IF(BG41&lt;=36,"Comfort",""),
    IF(_xlfn.XLOOKUP(B41,'Base stats'!B:B,'Base stats'!AE:AE)&lt;&gt;"No",_xlfn.XLOOKUP(B41,'Base stats'!B:B,'Base stats'!AE:AE),"")
  )
)</f>
        <v>Forage, Comfort</v>
      </c>
      <c r="BQ41" s="25" t="str">
        <f>IF(
   AND(
      'Base stats'!AN41="Standard",_xlfn.XLOOKUP(_xlfn.XLOOKUP(B41,'Base stats'!B:B,'Base stats'!E:E),Groups!A:A,Groups!AU:AU)=0,
      OR(
      BO41="True"
      )
   ),
   10,
   IF(
       OR(BM41&lt;&gt;"No",_xlfn.XLOOKUP(_xlfn.XLOOKUP(B41,'Base stats'!B:B,'Base stats'!E:E),Groups!A:A,Groups!AU:AU)=1),
      1,
      "No"
   )
)</f>
        <v>No</v>
      </c>
      <c r="BR41" s="9">
        <f>MROUND((1 + ((0.2*IF(OR(Q41="No",R41="No",R41=0),0,Q41/R41)
+IF(OR(V41="No",S41="No",T41="No"),0,S41/T41*(LEN(V41)-LEN(SUBSTITUTE(V41,",",""))+1))
+IF(OR(X41="No",Y41="No"),0,X41/Y41)
+IF(OR(AD41="No",AE41="No"),0,AD41/AE41)
+IF(OR(AL41="No",AI41="No",AJ41="No"),0,AI41/AJ41*(LEN(AL41)-LEN(SUBSTITUTE(AL41,",",""))+1))
)/(0.2*IF(OR(Q41="No",R41="No",R41=0),0,1)
+IF(OR(V41="No",S41="No",T41="No"),0,LEN(V41)-LEN(SUBSTITUTE(V41,",",""))+1)
+IF(OR(X41="No",Y41="No"),0,1)
+IF(OR(AD41="No",AE41="No"),0,1)
+IF(OR(AL41="No",AI41="No",AJ41="No"),0,LEN(AL41)-LEN(SUBSTITUTE(AL41,",",""))+1))*62%)* 2)*(1 + (AP41 / (IF(_xlfn.XLOOKUP(_xlfn.XLOOKUP(B41,'Base stats'!B:B,'Base stats'!E:E),Groups!A:A,Groups!AJ:AJ)="Photonozoa",0.3,1)) + _xlfn.XLOOKUP(B41,'Base stats'!B:B,'Base stats'!AV:AV) * 1.8) * 2) * 2.5 + 10 + I41 * 2,5)+IF(_xlfn.XLOOKUP(B41,'Base stats'!B:B,'Base stats'!AK:AK)=1,50,0)</f>
        <v>100</v>
      </c>
      <c r="BS41" s="8">
        <f t="shared" si="5"/>
        <v>0.35000000000000003</v>
      </c>
      <c r="BT41" s="8" t="str">
        <f>_xlfn.XLOOKUP(B41,'Base stats'!B:B,'Base stats'!AF:AF)</f>
        <v>No</v>
      </c>
      <c r="BU41" s="2" t="str">
        <f>IF(AND(J41&lt;=0.95,OR(_xlfn.XLOOKUP(B41,'Base stats'!B:B,'Base stats'!AK:AK)=1,_xlfn.XLOOKUP(B41,'Base stats'!B:B,'Base stats'!Y:Y)="Carnivore",_xlfn.XLOOKUP(B41,'Base stats'!B:B,'Base stats'!Y:Y)="Omnivore",BE41&gt;0.1)),"true","false")</f>
        <v>true</v>
      </c>
      <c r="BV41" s="2" t="str">
        <f>IF(_xlfn.XLOOKUP(B41,'Base stats'!B:B,'Base stats'!AI:AI)=1,"true","false")</f>
        <v>false</v>
      </c>
      <c r="BW41" s="25" t="str">
        <f>IF(E41="BaseInsect","AnimalInsect",
IF(J41&gt;0.95,"AnimalExotic",
_xlfn.TEXTJOIN(", ",TRUE,
IF(OR(_xlfn.XLOOKUP(B41,'Base stats'!B:B,'Base stats'!AM:AM)=1,AND(_xlfn.XLOOKUP(B41,'Base stats'!B:B,'Base stats'!O:O)=0,_xlfn.XLOOKUP(_xlfn.XLOOKUP(B41,'Base stats'!B:B,'Base stats'!E:E),Groups!A:A,Groups!B:B)&gt;0)),"AnimalUncommon","AnimalCommon"),
IF(AND(_xlfn.XLOOKUP(B41,'Base stats'!B:B,'Base stats'!O:O)=2,_xlfn.XLOOKUP(_xlfn.XLOOKUP(B41,'Base stats'!B:B,'Base stats'!E:E),Groups!A:A,Groups!D:D)=0),"AnimalPet",IF(AND(_xlfn.XLOOKUP(B41,'Base stats'!B:B,'Base stats'!O:O)&lt;&gt;0,_xlfn.XLOOKUP(_xlfn.XLOOKUP(B41,'Base stats'!B:B,'Base stats'!E:E),Groups!A:A,Groups!D:D)&lt;&gt;0),"AnimalFarm","")),
IF(OR(_xlfn.XLOOKUP(B41,'Base stats'!B:B,'Base stats'!AK:AK)=1,AND(BI41&lt;&gt;"None",BR41&gt;=60),ISNUMBER(SEARCH("Attack target",BP41))),"AnimalFighter","")
)))</f>
        <v>AnimalCommon, AnimalFighter</v>
      </c>
      <c r="BX41" s="25" t="str">
        <f>IF(G41="None",TRIM(
SUBSTITUTE(
IF(COUNTIF(Biomes!B$2:B$259,"="&amp;$C41)&gt;0,Biomes!B$1&amp;", ","")&amp;
IF(COUNTIF(Biomes!C$2:C$259,"="&amp;$C41)&gt;0,Biomes!C$1&amp;", ","")&amp;
IF(COUNTIF(Biomes!D$2:D$259,"="&amp;$C41)&gt;0,Biomes!D$1&amp;", ","")&amp;
IF(COUNTIF(Biomes!F$2:F$259,"="&amp;$C41)&gt;0,Biomes!F$1&amp;", ","")&amp;
IF(COUNTIF(Biomes!G$2:G$259,"="&amp;$C41)&gt;0,Biomes!G$1&amp;", ","")&amp;
IF(COUNTIF(Biomes!H$2:H$259,"="&amp;$C41)&gt;0,Biomes!H$1&amp;", ","")&amp;
IF(COUNTIF(Biomes!I$2:I$259,"="&amp;$C41)&gt;0,Biomes!I$1&amp;", ","")&amp;
IF(COUNTIF(Biomes!J$2:J$259,"="&amp;$C41)&gt;0,Biomes!J$1&amp;", ","")&amp;
IF(COUNTIF(Biomes!M$2:M$259,"="&amp;$C41)&gt;0,Biomes!M$1&amp;", ","")&amp;
IF(COUNTIF(Biomes!N$2:N$259,"="&amp;$C41)&gt;0,Biomes!N$1&amp;", ","")&amp;
IF(COUNTIF(Biomes!O$2:O$259,"="&amp;$C41)&gt;0,Biomes!O$1&amp;", ","")&amp;
IF(COUNTIF(Biomes!P$2:P$259,"="&amp;$C41)&gt;0,Biomes!P$1&amp;", ","")&amp;
IF(COUNTIF(Biomes!K$2:K$259,"="&amp;$C41)&gt;0,Biomes!K$1&amp;", ","")&amp;
IF(COUNTIF(Biomes!Q$3:Q$259,"="&amp;$C41)&gt;0,Biomes!Q$1&amp;", ","")&amp;
IF(COUNTIF(Biomes!L$2:L$259,"="&amp;$C41)&gt;0,Biomes!L$1&amp;", ","")&amp;
IF(COUNTIF(Biomes!E$2:E$259,"="&amp;$C41)&gt;0,Biomes!E$1&amp;", ","")&amp;IF(COUNTIF(Biomes!S$2:S$259,"="&amp;$C41)&gt;0,Biomes!S$1&amp;", ","")&amp;
IF(COUNTIF(Biomes!R$2:R$259,"="&amp;$C41)&gt;0,Biomes!R$1&amp;", ",""),", ","")
),_xlfn.XLOOKUP(B41,B:B,BX:BX))</f>
        <v>TemperateForest TemperateSwamp AridShrubland Desert ExtremeDesert TropicalRainforest TropicalSwamp Grasslands Glowforest LavaField Scarlands</v>
      </c>
      <c r="BY41" s="25" t="str">
        <f>IF(_xlfn.XLOOKUP(B41,'Base stats'!B:B,'Base stats'!AJ:AJ)=1,"true","false")</f>
        <v>false</v>
      </c>
      <c r="BZ41" s="25">
        <f>IF(_xlfn.XLOOKUP(B41,'Base stats'!B:B,'Base stats'!N:N)=1,"No",MAX(0.001,MIN(MROUND(IF(AND(BJ41="True",CC41="False"),POWER(10,3.47*LOG10(_xlfn.XLOOKUP(B41,'Base stats'!B:B,'Base stats'!C:C)*1000)^-0.96),POWER(10,4.15*LOG10(_xlfn.XLOOKUP(B41,'Base stats'!B:B,'Base stats'!C:C)*1000)^-0.73))*IF(_xlfn.XLOOKUP(B41,'Base stats'!B:B,'Base stats'!AK:AK)=1,0.5,1)*IF(_xlfn.XLOOKUP(B41,'Base stats'!B:B,'Base stats'!AM:AM)=1,0.1,1)/100,IF(_xlfn.XLOOKUP(B41,'Base stats'!B:B,'Base stats'!AM:AM)=1,0.001,0.025)),0.5)))</f>
        <v>0.15000000000000002</v>
      </c>
      <c r="CA41" s="25">
        <f>IF(P41="Standard","No",MAX(0.001,MIN(MROUND(IF(AND(BJ41="True",CC41="False"),POWER(10,3.47*LOG10(_xlfn.XLOOKUP(B41,'Base stats'!B:B,'Base stats'!C:C)*1000)^-0.96),POWER(10,4.15*LOG10(_xlfn.XLOOKUP(B41,'Base stats'!B:B,'Base stats'!C:C)*1000)^-0.73))*IF(_xlfn.XLOOKUP(B41,'Base stats'!B:B,'Base stats'!AM:AM)=1,0.1,1)*_xlfn.XLOOKUP(B41,'Base stats'!B:B,'Base stats'!R:R)/100,IF(_xlfn.XLOOKUP(B41,'Base stats'!B:B,'Base stats'!AM:AM)=1,0.001,0.025)),0.5)))</f>
        <v>0.30000000000000004</v>
      </c>
      <c r="CB41" s="25" t="str">
        <f>IF(_xlfn.XLOOKUP(_xlfn.XLOOKUP(B41,'Base stats'!B:B,'Base stats'!E:E),Groups!A:A,Groups!AJ:AJ)="Mammal","True","False")</f>
        <v>True</v>
      </c>
      <c r="CC41" s="25" t="str">
        <f>IF(OR(_xlfn.XLOOKUP(_xlfn.XLOOKUP(B41,'Base stats'!B:B,'Base stats'!E:E),Groups!A:A,Groups!AJ:AJ)="Reptile",_xlfn.XLOOKUP(_xlfn.XLOOKUP(B41,'Base stats'!B:B,'Base stats'!E:E),Groups!A:A,Groups!AJ:AJ)="Amphibian",_xlfn.XLOOKUP(_xlfn.XLOOKUP(B41,'Base stats'!B:B,'Base stats'!E:E),Groups!A:A,Groups!AJ:AJ)="Invertebrate"),"True","False")</f>
        <v>False</v>
      </c>
      <c r="CD41" s="25" t="str">
        <f t="shared" si="6"/>
        <v>False</v>
      </c>
      <c r="CE41" s="25" t="str">
        <f>IF(_xlfn.XLOOKUP(_xlfn.XLOOKUP(B41,'Base stats'!B:B,'Base stats'!E:E),Groups!A:A,Groups!AX:AX),"True","False")</f>
        <v>False</v>
      </c>
      <c r="CF41" s="25" t="str">
        <f>IF(_xlfn.XLOOKUP(_xlfn.XLOOKUP(B41,'Base stats'!B:B,'Base stats'!E:E),Groups!A:A,Groups!AY:AY),"True","False")</f>
        <v>False</v>
      </c>
      <c r="CG41" s="25" t="str">
        <f>IF(_xlfn.XLOOKUP(_xlfn.XLOOKUP(B41,'Base stats'!B:B,'Base stats'!E:E),Groups!A:A,Groups!AW:AW),"True","False")</f>
        <v>False</v>
      </c>
      <c r="CH41" s="25" t="str">
        <f>IF(
OR(
_xlfn.XLOOKUP(_xlfn.XLOOKUP(B41,'Base stats'!B:B,'Base stats'!E:E),Groups!A:A,Groups!AZ:AZ)=0,
AND(
_xlfn.XLOOKUP(B41,'Base stats'!B:B,'Base stats'!Y:Y)&lt;&gt;"Carnivore",
_xlfn.XLOOKUP(B41,'Base stats'!B:B,'Base stats'!Y:Y)&lt;&gt;"Omnivore",
_xlfn.XLOOKUP(B41,'Base stats'!B:B,'Base stats'!Y:Y)&lt;&gt;"OmnivoreRough"
)
),
"No",
IF(
_xlfn.XLOOKUP(_xlfn.XLOOKUP(B41,'Base stats'!B:B,'Base stats'!E:E),Groups!A:A,Groups!AZ:AZ)=1,
"Flesh",
IF(
_xlfn.XLOOKUP(_xlfn.XLOOKUP(B41,'Base stats'!B:B,'Base stats'!E:E),Groups!A:A,Groups!AZ:AZ)=2,
"Bone",
""
)
)
)</f>
        <v>Bone</v>
      </c>
      <c r="CI41" s="25" t="str">
        <f>IF(_xlfn.XLOOKUP(_xlfn.XLOOKUP(B41,'Base stats'!B:B,'Base stats'!E:E),Groups!A:A,Groups!BB:BB),"True","False")</f>
        <v>True</v>
      </c>
      <c r="CJ41" s="25" t="str">
        <f>IF(_xlfn.XLOOKUP(_xlfn.XLOOKUP(B41,'Base stats'!B:B,'Base stats'!E:E),Groups!A:A,Groups!BA:BA),"True","False")</f>
        <v>False</v>
      </c>
    </row>
    <row r="42" spans="1:88" ht="16.5" thickTop="1" thickBot="1" x14ac:dyDescent="0.3">
      <c r="A42" s="26" t="str">
        <f>_xlfn.XLOOKUP(B42,'Base stats'!B:B,'Base stats'!A:A)</f>
        <v>Bison</v>
      </c>
      <c r="B42" s="6" t="s">
        <v>138</v>
      </c>
      <c r="C42" s="28" t="s">
        <v>717</v>
      </c>
      <c r="D42" s="28" t="s">
        <v>45</v>
      </c>
      <c r="E42" s="28" t="s">
        <v>673</v>
      </c>
      <c r="F42" s="28" t="s">
        <v>673</v>
      </c>
      <c r="G42" s="28" t="s">
        <v>673</v>
      </c>
      <c r="H42" s="2">
        <f>MROUND((
  (IF(AND(_xlfn.XLOOKUP(B42,'Base stats'!B:B,'Base stats'!AL:AL)=0,BI42="None",_xlfn.XLOOKUP(_xlfn.XLOOKUP(B42,'Base stats'!B:B,'Base stats'!E:E),Groups!A:A,Groups!B:B)=0), (18 + BR42 * 2.7) * 0.5,
    IF(AND(_xlfn.XLOOKUP(B42,'Base stats'!B:B,'Base stats'!AL:AL)=0,OR(AO42&lt;0.55,AND(BI42="Intermediate",_xlfn.XLOOKUP(_xlfn.XLOOKUP(B42,'Base stats'!B:B,'Base stats'!E:E),Groups!A:A,Groups!B:B)&lt;2))), (18 + BR42 * 2.7),
      IF(OR(BI42="Advanced",_xlfn.XLOOKUP(B42,'Base stats'!B:B,'Base stats'!AL:AL)=1,_xlfn.XLOOKUP(_xlfn.XLOOKUP(B42,'Base stats'!B:B,'Base stats'!E:E),Groups!A:A,Groups!B:B)=2), (18 + BR42 * 2.7) + 250, (18 + BR42 * 2.7))
    )
  ))
  + AO42 * 80
  + IF(COUNTIF(EggMilk!K$2:K$998, A42) &gt; 0, 125, 0)
  + IF(COUNTIF(EggMilk!P$2:P$998, A42) &gt; 0, 90, 0)
  + IF(COUNTIF(EggMilk!A$2:A$998, A42) &gt; 0, 90, 0)
)
* (0.8 + 0.4 * J42)
* 0.75,25)</f>
        <v>500</v>
      </c>
      <c r="I42" s="2">
        <f>MROUND(ROUNDDOWN(_xlfn.XLOOKUP(B42,'Base stats'!B:B,'Base stats'!L:L)/3.6/(23.3/11),1),0.5)</f>
        <v>7.5</v>
      </c>
      <c r="J42" s="2">
        <f>IF(OR(_xlfn.XLOOKUP(B42,'Base stats'!B:B,'Base stats'!AB:AB)=1,_xlfn.XLOOKUP(_xlfn.XLOOKUP(B42,'Base stats'!B:B,'Base stats'!E:E),Groups!A:A,Groups!C:C)="Untamable"),1,IF(_xlfn.XLOOKUP(B42,'Base stats'!B:B,'Base stats'!AL:AL)=1,0.99,MIN(MROUND((1-0.6282*EXP(-0.459*AO42))*_xlfn.XLOOKUP(_xlfn.XLOOKUP(B42,'Base stats'!B:B,'Base stats'!E:E),Groups!A:A,Groups!C:C)*IF(_xlfn.XLOOKUP(B42,'Base stats'!B:B,'Base stats'!O:O)=1,0.5,IF(_xlfn.XLOOKUP(B42,'Base stats'!B:B,'Base stats'!O:O)=2,0,1)),0.05),IF(AO42&gt;3.5,0.985,0.95))))</f>
        <v>0.70000000000000007</v>
      </c>
      <c r="K42" s="2">
        <f>ROUNDUP(AO42*_xlfn.XLOOKUP(_xlfn.XLOOKUP(B42,'Base stats'!B:B,'Base stats'!E:E),Groups!A:A,Groups!E:E),0)</f>
        <v>15</v>
      </c>
      <c r="L42" s="2">
        <f>IF(OR(_xlfn.XLOOKUP(_xlfn.XLOOKUP(B42,'Base stats'!B:B,'Base stats'!E:E),Groups!A:A,Groups!F:F)=2,ISNUMBER(SEARCH("SeaIce",BX42)),ISNUMBER(SEARCH("IceSheet",BX42))),-50,IF(OR(ISNUMBER(SEARCH("GlacialPlain",BX42)),ISNUMBER(SEARCH("Tundra",BX42))),-40,IF(OR(ISNUMBER(SEARCH("Alpine",BX42)),ISNUMBER(SEARCH("BorealForest",BX42)),ISNUMBER(SEARCH("ColdBog",BX42))),-30,IF(OR(ISNUMBER(SEARCH("TemperateForest",BX42)),ISNUMBER(SEARCH("TemperateSwamp",BX42))),-20,IF(_xlfn.XLOOKUP(_xlfn.XLOOKUP(B42,'Base stats'!B:B,'Base stats'!E:E),Groups!A:A,Groups!F:F)=1,-15,IF(OR(ISNUMBER(SEARCH("Desert",BX42)),ISNUMBER(SEARCH("ExtremeDesert",BX42))),-10,IF(OR(ISNUMBER(SEARCH("Grasslands",BX42)),ISNUMBER(SEARCH("TropicalRainforest",BX42)),ISNUMBER(SEARCH("TropicalSwamp",BX42))),10,0)))))))-IF(CC42="False",MIN(IFERROR(MAX(MROUND(LOG10(_xlfn.XLOOKUP(B42,'Base stats'!B:B,'Base stats'!C:C)^(2/3))*10,5),5),5),30))-_xlfn.XLOOKUP(B42,'Base stats'!B:B,'Base stats'!P:P)+IF(CC42="True",5,0)</f>
        <v>-60</v>
      </c>
      <c r="M42" s="2">
        <f>IF(OR(_xlfn.XLOOKUP(_xlfn.XLOOKUP(B42,'Base stats'!B:B,'Base stats'!E:E),Groups!A:A,Groups!G:G)=2,ISNUMBER(SEARCH("Desert",BX42)),ISNUMBER(SEARCH("ExtremeDesert",BX42)),ISNUMBER(SEARCH("LavaField",BX42))),50,IF(ISNUMBER(SEARCH("Grasslands",BX42)),45,IF(OR(_xlfn.XLOOKUP(_xlfn.XLOOKUP(B42,'Base stats'!B:B,'Base stats'!E:E),Groups!A:A,Groups!G:G)=1,ISNUMBER(SEARCH("TropicalRainforest",BX42)),ISNUMBER(SEARCH("TropicalSwamp",BX42))),40,IF(OR(ISNUMBER(SEARCH("TemperateForest",BX42)),ISNUMBER(SEARCH("TemperateSwamp",BX42))),35,IF(OR(ISNUMBER(SEARCH("Alpine",BX42)),ISNUMBER(SEARCH("BorealForest",BX42)),ISNUMBER(SEARCH("ColdBog",BX42))),30,IF(ISNUMBER(OR(ISNUMBER(SEARCH("GlacialPlain",BX42)),SEARCH("Tundra",BX42))),25,IF(OR(ISNUMBER(SEARCH("SeaIce",BX42)),ISNUMBER(SEARCH("IceSheet",BX42)),ISNUMBER(SEARCH("TropicalSwamp",BX42))),10,35)))))))+_xlfn.XLOOKUP(B42,'Base stats'!B:B,'Base stats'!Q:Q)</f>
        <v>45</v>
      </c>
      <c r="N42" s="8" t="str">
        <f>IF(
_xlfn.XLOOKUP(
_xlfn.XLOOKUP(B42,'Base stats'!B:B,'Base stats'!E:E),
Groups!A:A,
Groups!L:L
)=1,
MIN(
MROUND(
IF(
_xlfn.XLOOKUP(B42,'Animals CE'!B:B,'Animals CE'!Z:Z)&lt;=1.5,
_xlfn.XLOOKUP(B42,'Animals CE'!B:B,'Animals CE'!Z:Z)/2+0.05,
0.8+
(_xlfn.XLOOKUP(B42,'Animals CE'!B:B,'Animals CE'!Z:Z)-1.5)
*0.02
),
0.05
),
200%
),
"No"
)</f>
        <v>No</v>
      </c>
      <c r="O42" s="8" t="str">
        <f>IF(
_xlfn.XLOOKUP(
_xlfn.XLOOKUP(B42,'Base stats'!B:B,'Base stats'!E:E),
Groups!A:A,
Groups!L:L
)=1,
MIN(
MROUND(
IF(
_xlfn.XLOOKUP(B42,'Animals CE'!B:B,'Animals CE'!AA:AA)&lt;=1.5,
_xlfn.XLOOKUP(B42,'Animals CE'!B:B,'Animals CE'!AA:AA)/2+0.05,
0.8+
(_xlfn.XLOOKUP(B42,'Animals CE'!B:B,'Animals CE'!AA:AA)-1.5)
*0.02
),
0.05
),
200%
),
"No"
)</f>
        <v>No</v>
      </c>
      <c r="P42" s="2" t="str">
        <f>_xlfn.XLOOKUP(B42,'Base stats'!B:B,'Base stats'!R:R)</f>
        <v>Standard</v>
      </c>
      <c r="Q42" s="13">
        <f>MROUND((LOG10(_xlfn.XLOOKUP(B42,'Base stats'!B:B,'Base stats'!AR:AR))*(AO42^0.5)+(_xlfn.XLOOKUP(B42,'Base stats'!B:B,'Base stats'!AR:AR)/1000)^(2/3)+_xlfn.XLOOKUP(B42,'Base stats'!B:B,'Base stats'!BA:BA)/2)+0.5,0.5)</f>
        <v>17</v>
      </c>
      <c r="R42" s="7">
        <f>IF(Q42="No","No",MAX(1,MROUND(_xlfn.XLOOKUP(B42,'Base stats'!B:B,'Base stats'!C:C)^0.165,0.05)))</f>
        <v>2.9000000000000004</v>
      </c>
      <c r="S42" s="13">
        <f>IF(_xlfn.XLOOKUP(_xlfn.XLOOKUP(B42,'Base stats'!B:B,'Base stats'!E:E),Groups!A:A,Groups!P:P)=0,"No",MROUND((LOG10(_xlfn.XLOOKUP(B42,'Base stats'!B:B,'Base stats'!AS:AS))*(AO42^0.5)+(_xlfn.XLOOKUP(B42,'Base stats'!B:B,'Base stats'!AS:AS)/1000)^(2/3)+_xlfn.XLOOKUP(B42,'Base stats'!B:B,'Base stats'!BA:BA))+_xlfn.XLOOKUP(B42,'Base stats'!B:B,'Base stats'!AY:AY)+0.5,0.5))</f>
        <v>21</v>
      </c>
      <c r="T42" s="7">
        <f>IF(S42="No","No",MAX(_xlfn.XLOOKUP(_xlfn.XLOOKUP(B42,'Base stats'!B:B,'Base stats'!E:E),Groups!A:A,Groups!Q:Q),MROUND(_xlfn.XLOOKUP(_xlfn.XLOOKUP(B42,'Base stats'!B:B,'Base stats'!E:E),Groups!A:A,Groups!Q:Q)*_xlfn.XLOOKUP(B42,'Base stats'!B:B,'Base stats'!C:C)^0.165,0.05)))</f>
        <v>2.9000000000000004</v>
      </c>
      <c r="U42" s="7" t="str">
        <f>IF(S42="No","No",_xlfn.XLOOKUP(_xlfn.XLOOKUP(B42,'Base stats'!B:B,'Base stats'!E:E),Groups!A:A,Groups!R:R))</f>
        <v>FrontLeftLeg, FrontRightLeg</v>
      </c>
      <c r="V42" s="7" t="str">
        <f>IF(S42="No","No",_xlfn.XLOOKUP(_xlfn.XLOOKUP(B42,'Base stats'!B:B,'Base stats'!E:E),Groups!A:A,Groups!S:S))</f>
        <v>left hoof, right hoof</v>
      </c>
      <c r="W42" s="7" t="str">
        <f>IF(S42="No","No",_xlfn.XLOOKUP(_xlfn.XLOOKUP(B42,'Base stats'!B:B,'Base stats'!E:E),Groups!A:A,Groups!T:T))</f>
        <v>Blunt</v>
      </c>
      <c r="X42" s="13">
        <f>IF(_xlfn.XLOOKUP(B42,'Base stats'!B:B,'Base stats'!W:W)="No","No",MROUND((LOG10(_xlfn.XLOOKUP(B42,'Base stats'!B:B,'Base stats'!AU:AU))*(AO42^0.5)+(_xlfn.XLOOKUP(B42,'Base stats'!B:B,'Base stats'!AU:AU)/1000)^(2/3)+_xlfn.XLOOKUP(B42,'Base stats'!B:B,'Base stats'!AZ:AZ))+0.5+IF(_xlfn.XLOOKUP(_xlfn.XLOOKUP(B42,'Base stats'!B:B,'Base stats'!E:E),Groups!A:A,Groups!U:U)&lt;&gt;3,_xlfn.XLOOKUP(B42,'Base stats'!B:B,'Base stats'!BA:BA),0),0.5))</f>
        <v>19.5</v>
      </c>
      <c r="Y42" s="7">
        <f>IF(X42="No","No",MAX(_xlfn.XLOOKUP(_xlfn.XLOOKUP(B42,'Base stats'!B:B,'Base stats'!E:E),Groups!A:A,Groups!V:V),MROUND(_xlfn.XLOOKUP(_xlfn.XLOOKUP(B42,'Base stats'!B:B,'Base stats'!E:E),Groups!A:A,Groups!V:V)*_xlfn.XLOOKUP(B42,'Base stats'!B:B,'Base stats'!C:C)^0.165,0.05)))</f>
        <v>2.4500000000000002</v>
      </c>
      <c r="Z42" s="7" t="str">
        <f>IF(X42="No","No",_xlfn.XLOOKUP(_xlfn.XLOOKUP(B42,'Base stats'!B:B,'Base stats'!E:E),Groups!A:A,Groups!W:W))</f>
        <v>HeadAttackTool</v>
      </c>
      <c r="AA42" s="7" t="str">
        <f>IF(X42="No","No",_xlfn.XLOOKUP(_xlfn.XLOOKUP(B42,'Base stats'!B:B,'Base stats'!E:E),Groups!A:A,Groups!X:X))</f>
        <v>horn</v>
      </c>
      <c r="AB42" s="7" t="str">
        <f>IF(X42="No","No",_xlfn.XLOOKUP(_xlfn.XLOOKUP(B42,'Base stats'!B:B,'Base stats'!E:E),Groups!A:A,Groups!Y:Y))</f>
        <v>Scratch</v>
      </c>
      <c r="AC42" s="7" t="str">
        <f>_xlfn.XLOOKUP(Animals!B42,'Base stats'!B:B,'Base stats'!X:X)</f>
        <v>False</v>
      </c>
      <c r="AD42" s="13" t="str">
        <f>IF(_xlfn.XLOOKUP(B42,'Base stats'!B:B,'Base stats'!AT:AT)="No","No",MROUND((LOG10(_xlfn.XLOOKUP(B42,'Base stats'!B:B,'Base stats'!AT:AT))*(AO42^0.75)+(_xlfn.XLOOKUP(B42,'Base stats'!B:B,'Base stats'!AT:AT)/1000)^(2/3)+_xlfn.XLOOKUP(B42,'Base stats'!B:B,'Base stats'!AX:AX)+_xlfn.XLOOKUP(B42,'Base stats'!B:B,'Base stats'!BA:BA))+0.5,0.5))</f>
        <v>No</v>
      </c>
      <c r="AE42" s="7" t="str">
        <f>IF(AD42="No","No",MAX(_xlfn.XLOOKUP(_xlfn.XLOOKUP(B42,'Base stats'!B:B,'Base stats'!E:E),Groups!A:A,Groups!Z:Z),MROUND(_xlfn.XLOOKUP(_xlfn.XLOOKUP(B42,'Base stats'!B:B,'Base stats'!E:E),Groups!A:A,Groups!Z:Z)*_xlfn.XLOOKUP(B42,'Base stats'!B:B,'Base stats'!C:C)^0.165,0.05)))</f>
        <v>No</v>
      </c>
      <c r="AF42" s="7" t="str">
        <f>IF(AD42="No","No",_xlfn.XLOOKUP(_xlfn.XLOOKUP(B42,'Base stats'!B:B,'Base stats'!E:E),Groups!A:A,Groups!AA:AA))</f>
        <v>No</v>
      </c>
      <c r="AG42" s="7" t="str">
        <f>IF(AD42="No","No",_xlfn.XLOOKUP(_xlfn.XLOOKUP(B42,'Base stats'!B:B,'Base stats'!E:E),Groups!A:A,Groups!AB:AB))</f>
        <v>No</v>
      </c>
      <c r="AH42" s="7" t="str">
        <f>IF(AD42="No","No",_xlfn.XLOOKUP(_xlfn.XLOOKUP(B42,'Base stats'!B:B,'Base stats'!E:E),Groups!A:A,Groups!AC:AC))</f>
        <v>No</v>
      </c>
      <c r="AI42" s="13" t="str">
        <f>IF(_xlfn.XLOOKUP(_xlfn.XLOOKUP(B42,'Base stats'!B:B,'Base stats'!E:E),Groups!A:A,Groups!AD:AD)=0,"No",MROUND((LOG10(_xlfn.XLOOKUP(B42,'Base stats'!B:B,'Base stats'!AS:AS))*(AO42^0.75)+(_xlfn.XLOOKUP(B42,'Base stats'!B:B,'Base stats'!AS:AS)/1000)^(2/3)+_xlfn.XLOOKUP(B42,'Base stats'!B:B,'Base stats'!AY:AY)+_xlfn.XLOOKUP(B42,'Base stats'!B:B,'Base stats'!BA:BA))+0.5,0.5))</f>
        <v>No</v>
      </c>
      <c r="AJ42" s="7" t="str">
        <f>IF(AI42="No","No",MAX(_xlfn.XLOOKUP(_xlfn.XLOOKUP(B42,'Base stats'!B:B,'Base stats'!E:E),Groups!A:A,Groups!AE:AE),MROUND(_xlfn.XLOOKUP(_xlfn.XLOOKUP(B42,'Base stats'!B:B,'Base stats'!E:E),Groups!A:A,Groups!AE:AE)*IF(_xlfn.XLOOKUP(_xlfn.XLOOKUP(B42,'Base stats'!B:B,'Base stats'!E:E),Groups!A:A,Groups!AJ:AJ)="Photonozoa",0.6,1)*_xlfn.XLOOKUP(B42,'Base stats'!B:B,'Base stats'!C:C)^0.165,0.05)))</f>
        <v>No</v>
      </c>
      <c r="AK42" s="7" t="str">
        <f>IF(AI42="No","No",_xlfn.XLOOKUP(_xlfn.XLOOKUP(B42,'Base stats'!B:B,'Base stats'!E:E),Groups!A:A,Groups!AF:AF))</f>
        <v>No</v>
      </c>
      <c r="AL42" s="7" t="str">
        <f>IF(AI42="No","No",_xlfn.XLOOKUP(_xlfn.XLOOKUP(B42,'Base stats'!B:B,'Base stats'!E:E),Groups!A:A,Groups!AG:AG))</f>
        <v>No</v>
      </c>
      <c r="AM42" s="7" t="str">
        <f>IF(AI42="No","No",_xlfn.XLOOKUP(_xlfn.XLOOKUP(B42,'Base stats'!B:B,'Base stats'!E:E),Groups!A:A,Groups!AH:AH))</f>
        <v>No</v>
      </c>
      <c r="AN42" s="2" t="str">
        <f t="shared" si="0"/>
        <v>No</v>
      </c>
      <c r="AO42" s="2">
        <f>MROUND(IF(AND(_xlfn.XLOOKUP(B42,'Base stats'!B:B,'Base stats'!C:C)&gt;=0.5,_xlfn.XLOOKUP(B42,'Base stats'!B:B,'Base stats'!C:C)&lt;=0.8),
IF(_xlfn.XLOOKUP(B42,'Base stats'!B:B,'Base stats'!C:C)&lt;0.1,0.05,IF(_xlfn.XLOOKUP(B42,'Base stats'!B:B,'Base stats'!C:C)&lt;=70,(_xlfn.XLOOKUP(B42,'Base stats'!B:B,'Base stats'!C:C)/70)^0.426489913056526,IF(_xlfn.XLOOKUP(B42,'Base stats'!B:B,'Base stats'!C:C)&lt;=400,(_xlfn.XLOOKUP(B42,'Base stats'!B:B,'Base stats'!C:C)/70)^0.572811455315093,IF(_xlfn.XLOOKUP(B42,'Base stats'!B:B,'Base stats'!C:C)&lt;=2000,2.71391647193063*(_xlfn.XLOOKUP(B42,'Base stats'!B:B,'Base stats'!C:C)/400)^0.252459582904293,3.74314280240376*(_xlfn.XLOOKUP(B42,'Base stats'!B:B,'Base stats'!C:C)/2000)^0.357012633876913)))),
IF(_xlfn.XLOOKUP(B42,'Base stats'!B:B,'Base stats'!C:C)&lt;0.1,0.05,IF(_xlfn.XLOOKUP(B42,'Base stats'!B:B,'Base stats'!C:C)&lt;0.4,0.1,IF(_xlfn.XLOOKUP(B42,'Base stats'!B:B,'Base stats'!C:C)&lt;=70,(_xlfn.XLOOKUP(B42,'Base stats'!B:B,'Base stats'!C:C)/70)^0.445823913056526,IF(_xlfn.XLOOKUP(B42,'Base stats'!B:B,'Base stats'!C:C)&lt;=400,(_xlfn.XLOOKUP(B42,'Base stats'!B:B,'Base stats'!C:C)/70)^0.572811455315093,IF(_xlfn.XLOOKUP(B42,'Base stats'!B:B,'Base stats'!C:C)&lt;=2000,2.71391647193063*(_xlfn.XLOOKUP(B42,'Base stats'!B:B,'Base stats'!C:C)/400)^0.252459582904293,3.74314280240376*(_xlfn.XLOOKUP(B42,'Base stats'!B:B,'Base stats'!C:C)/2000)^0.357012633876913)))))),
IF(_xlfn.XLOOKUP(B42,'Base stats'!B:B,'Base stats'!C:C)&lt;0.1,0.05,IF(_xlfn.XLOOKUP(B42,'Base stats'!B:B,'Base stats'!C:C)&lt;=100,0.05,IF(_xlfn.XLOOKUP(B42,'Base stats'!B:B,'Base stats'!C:C)&lt;=250,0.1,IF(_xlfn.XLOOKUP(B42,'Base stats'!B:B,'Base stats'!C:C)&lt;=4000,0.25,0.5)))))</f>
        <v>3</v>
      </c>
      <c r="AP42" s="8">
        <f>MROUND(AO42*_xlfn.XLOOKUP(_xlfn.XLOOKUP(B42,'Base stats'!B:B,'Base stats'!E:E),Groups!A:A,Groups!AI:AI)*_xlfn.XLOOKUP(B42,'Base stats'!B:B,'Base stats'!Z:Z),0.05)</f>
        <v>3</v>
      </c>
      <c r="AQ42" s="8">
        <f>MAX(0.01,MROUND(IF(CC42="True",0.196*(AO42*100*1000)^0.889,IF(_xlfn.XLOOKUP(_xlfn.XLOOKUP(B42,'Base stats'!B:B,'Base stats'!E:E),Groups!A:A,Groups!AJ:AJ)="Bird",10.5*(AO42*100*1000)^0.681,4.82*(AO42*100*1000)^0.734))/(4.82*(1*100*1000)^0.734)/IF(AO42&lt;3.5,2,IF(AO42=3.5,1.5,1.25))*(1+0.132282374779864/(AO42^0.994035016789033+0.00905238001496948)),0.05))</f>
        <v>1.1500000000000001</v>
      </c>
      <c r="AR42" s="9">
        <f>IFERROR(MROUND(_xlfn.XLOOKUP(B42,'Base stats'!B:B,'Base stats'!H:H)/IF(_xlfn.XLOOKUP(B42,'Base stats'!B:B,'Base stats'!I:I)&lt;&gt;1,(122.5/70),1.2),IF(_xlfn.XLOOKUP(B42,'Base stats'!B:B,'Base stats'!H:H)&gt;=30,5,IF(_xlfn.XLOOKUP(B42,'Base stats'!B:B,'Base stats'!H:H)&gt;=15,3,IF(_xlfn.XLOOKUP(B42,'Base stats'!B:B,'Base stats'!H:H)&gt;=10,2,1)))),"Immortal")</f>
        <v>20</v>
      </c>
      <c r="AS42" s="35">
        <f>IFERROR(IF(OR(_xlfn.XLOOKUP(B42,'Base stats'!B:B,'Base stats'!F:F)="Atypical reproduction",_xlfn.XLOOKUP(B42,'Base stats'!B:B,'Base stats'!F:F)="Lay eggs"),"Lay eggs",MIN(20,MAX(5.5,ROUND(((_xlfn.XLOOKUP(B42,'Base stats'!B:B,'Base stats'!F:F)-25)*(14.5/615) + 5.5)*2,0)/2))),"Unknown")</f>
        <v>11.5</v>
      </c>
      <c r="AT42" s="8">
        <f>IF(_xlfn.XLOOKUP(B42,'Base stats'!B:B,'Base stats'!G:G)="Atypical reproduction","No",IFERROR(MAX(IF(_xlfn.XLOOKUP(B42,'Base stats'!B:B,'Base stats'!G:G)&lt;0.5,0.2,0.3),MROUND(_xlfn.XLOOKUP(B42,'Base stats'!B:B,'Base stats'!G:G)/(365/60),0.2)),"Unknown"))</f>
        <v>0.4</v>
      </c>
      <c r="AU42" s="8">
        <f t="shared" si="1"/>
        <v>0.2</v>
      </c>
      <c r="AV42" s="8">
        <f>IFERROR(IFERROR(MROUND(_xlfn.XLOOKUP(B42,'Base stats'!B:B,'Base stats'!J:J),0.1),"Lay eggs"),"Cannot breed")</f>
        <v>1</v>
      </c>
      <c r="AW42" s="2" t="str">
        <f t="shared" si="2"/>
        <v>true</v>
      </c>
      <c r="AX42" s="2" t="str">
        <f>IF(_xlfn.XLOOKUP(_xlfn.XLOOKUP(Animals!B42,'Base stats'!B:B,'Base stats'!E:E),Groups!A:A,Groups!AK:AK)=1,"true","false")</f>
        <v>true</v>
      </c>
      <c r="AY42" s="25" t="str">
        <f>IF(_xlfn.XLOOKUP(B42,'Base stats'!B:B,'Base stats'!Y:Y)="Liquor","Liquor, CarnivoreAnimalStrict",IF(AND(_xlfn.XLOOKUP(B42,'Base stats'!B:B,'Base stats'!Y:Y)="Carnivore",_xlfn.XLOOKUP(_xlfn.XLOOKUP(B42,'Base stats'!B:B,'Base stats'!E:E),Groups!A:A,Groups!AJ:AJ)="Photonozoa"),"CarnivoreAnimalStrict, OvivoreAnimal",IF(_xlfn.XLOOKUP(B42,'Base stats'!B:B,'Base stats'!Y:Y)="Carnivore","CarnivoreAnimal, OvivoreAnimal",IF(_xlfn.XLOOKUP(B42,'Base stats'!B:B,'Base stats'!Y:Y)="Dendrovore","VegetarianRoughAnimal, DendrovoreAnimal",IF(_xlfn.XLOOKUP(B42,'Base stats'!B:B,'Base stats'!Y:Y)="Herbivore","VegetarianRoughAnimal",IF(_xlfn.XLOOKUP(B42,'Base stats'!B:B,'Base stats'!Y:Y)="OmnivoreRough","OmnivoreRoughAnimal, OvivoreAnimal","OmnivoreAnimal, OvivoreAnimal"))))))</f>
        <v>VegetarianRoughAnimal</v>
      </c>
      <c r="AZ42" s="2">
        <f>IF(_xlfn.XLOOKUP(_xlfn.XLOOKUP(B42,'Base stats'!B:B,'Base stats'!E:E),Groups!A:A,Groups!D:D)=1,MROUND((1-J42)*5+1,2)*IF(J42&lt;=0.4,2,1),"No")</f>
        <v>2</v>
      </c>
      <c r="BA42" s="2" t="str">
        <f>IF(AND(_xlfn.XLOOKUP(B42,'Base stats'!B:B,'Base stats'!AH:AH)="&lt;li&gt;Seal&lt;/li&gt;",G42="Odyssey"),"&lt;li&gt;AEXP_Seal&lt;/li&gt;",_xlfn.XLOOKUP(B42,'Base stats'!B:B,'Base stats'!AH:AH))</f>
        <v>No</v>
      </c>
      <c r="BB42" s="2" t="str">
        <f>_xlfn.XLOOKUP(B42,'Base stats'!B:B,'Base stats'!AG:AG)</f>
        <v>Leather_Plain</v>
      </c>
      <c r="BC42" s="23" t="str">
        <f>_xlfn.XLOOKUP(_xlfn.XLOOKUP(B42,'Base stats'!B:B,'Base stats'!E:E),Groups!A:A,Groups!AL:AL)</f>
        <v>QuadrupedAnimalWithHooves</v>
      </c>
      <c r="BD42" s="23">
        <f>MIN(1,MROUND(IF(AND(AO42&lt;0.5,_xlfn.XLOOKUP(B42,'Base stats'!B:B,'Base stats'!AA:AA)=0),0,IF(OR(_xlfn.XLOOKUP(Animals!B42,'Base stats'!B:B,'Base stats'!O:O)=2,_xlfn.XLOOKUP(_xlfn.XLOOKUP(B42,'Base stats'!B:B,'Base stats'!E:E),Groups!A:A,Groups!AN:AN)=0),0,_xlfn.XLOOKUP(_xlfn.XLOOKUP(B42,'Base stats'!B:B,'Base stats'!E:E),Groups!A:A,Groups!AN:AN)/IF(_xlfn.XLOOKUP(Animals!B42,'Base stats'!B:B,'Base stats'!O:O)=1,2,1)))+_xlfn.XLOOKUP(B42,'Base stats'!B:B,'Base stats'!AC:AC),0.005))</f>
        <v>2.5000000000000001E-2</v>
      </c>
      <c r="BE42" s="23">
        <f>MIN(1,MROUND(IF(AND(AO42&lt;0.5,_xlfn.XLOOKUP(B42,'Base stats'!B:B,'Base stats'!AA:AA)=0),0,IF(_xlfn.XLOOKUP(_xlfn.XLOOKUP(B42,'Base stats'!B:B,'Base stats'!E:E),Groups!A:A,Groups!AO:AO)=0,0,_xlfn.XLOOKUP(_xlfn.XLOOKUP(B42,'Base stats'!B:B,'Base stats'!E:E),Groups!A:A,Groups!AO:AO)/IF(_xlfn.XLOOKUP(Animals!B42,'Base stats'!B:B,'Base stats'!O:O)=2,3,1)))+_xlfn.XLOOKUP(B42,'Base stats'!B:B,'Base stats'!AD:AD),0.005))</f>
        <v>0.1</v>
      </c>
      <c r="BF42" s="2" t="str">
        <f>IF(J42&gt;0.3,"No",_xlfn.XLOOKUP(_xlfn.XLOOKUP(Animals!B42,'Base stats'!B:B,'Base stats'!E:E),Groups!A:A,Groups!AP:AP))</f>
        <v>No</v>
      </c>
      <c r="BG42" s="2" t="str">
        <f>IF(AND(J42&lt;=0.65,_xlfn.XLOOKUP(_xlfn.XLOOKUP(Animals!B42,'Base stats'!B:B,'Base stats'!E:E),Groups!A:A,Groups!AP:AP)&lt;&gt;"No",_xlfn.XLOOKUP(_xlfn.XLOOKUP(B42,'Base stats'!B:B,'Base stats'!E:E),Groups!A:A,Groups!D:D)=0),MROUND((80/3)*IF(_xlfn.XLOOKUP(B42,'Base stats'!B:B,'Base stats'!O:O)=2,0.2,AO42) + 24*(1-IF(BF42="No",0,BF42)) + 16/3, 12),"No")</f>
        <v>No</v>
      </c>
      <c r="BH42" s="2">
        <f>IF(AND(_xlfn.XLOOKUP(_xlfn.XLOOKUP(B42,'Base stats'!B:B,'Base stats'!E:E),Groups!A:A,Groups!AQ:AQ)=1,AO42&lt;=0.35),8,12)</f>
        <v>12</v>
      </c>
      <c r="BI42" s="2" t="str">
        <f>IF(_xlfn.XLOOKUP(_xlfn.XLOOKUP(B42,'Base stats'!B:B,'Base stats'!E:E),Groups!A:A,Groups!D:D)=0,_xlfn.XLOOKUP(_xlfn.XLOOKUP(B42,'Base stats'!B:B,'Base stats'!E:E),Groups!A:A,Groups!AR:AR),"None")</f>
        <v>None</v>
      </c>
      <c r="BJ42" s="2" t="str">
        <f>IF(AND(_xlfn.XLOOKUP(_xlfn.XLOOKUP(B42,'Base stats'!B:B,'Base stats'!E:E),Groups!A:A,Groups!AS:AS)=1,OR(_xlfn.XLOOKUP(B42,'Base stats'!B:B,'Base stats'!Y:Y)="Carnivore",_xlfn.XLOOKUP(B42,'Base stats'!B:B,'Base stats'!Y:Y)="Omnivore")),"true","false")</f>
        <v>false</v>
      </c>
      <c r="BK42" s="2" t="str">
        <f>IF(BJ42="true",MROUND(IF(AND(AO42&gt;0.5,OR(_xlfn.XLOOKUP(_xlfn.XLOOKUP(B42,'Base stats'!B:B,'Base stats'!E:E),Groups!A:A,Groups!AJ:AJ)="Photonozoa",_xlfn.XLOOKUP(_xlfn.XLOOKUP(B42,'Base stats'!B:B,'Base stats'!E:E),Groups!A:A,Groups!AJ:AJ)="Mammal")),Animals!AO42*1.75*IF(AW42="true",1.5,1),IF(AO42&lt;0.5,Animals!AO42*0.5,Animals!AO42)),IF(AO42&gt;2,0.5,IF(AO42&gt;0.5,0.25,0.1))),"No")</f>
        <v>No</v>
      </c>
      <c r="BL42" s="2">
        <f t="shared" si="3"/>
        <v>0</v>
      </c>
      <c r="BM42" s="25" t="str">
        <f>IF(_xlfn.XLOOKUP(B42,'Base stats'!B:B,'Base stats'!AN:AN)="Standard","No",MROUND((_xlfn.XLOOKUP(B42,'Base stats'!B:B,'Base stats'!AN:AN)/3.6)/I42,0.1))</f>
        <v>No</v>
      </c>
      <c r="BN42" s="25" t="str">
        <f t="shared" si="4"/>
        <v>false</v>
      </c>
      <c r="BO42" s="25" t="str">
        <f>IF(AND(OR(_xlfn.XLOOKUP(B42,'Base stats'!B:B,'Base stats'!Y:Y)="Carnivore",_xlfn.XLOOKUP(B42,'Base stats'!B:B,'Base stats'!Y:Y)="Omnivore",_xlfn.XLOOKUP(B42,'Base stats'!B:B,'Base stats'!Y:Y)="OmnivoreRough"),_xlfn.XLOOKUP(_xlfn.XLOOKUP(B42,'Base stats'!B:B,'Base stats'!E:E),Groups!A:A,Groups!AT:AT)=1),"true","false")</f>
        <v>false</v>
      </c>
      <c r="BP42" s="25" t="str" cm="1">
        <f t="array" ref="BP42">IF(
  _xlfn.TEXTJOIN(", ",TRUE,
    IF(AND(BJ42="true",AO42&gt;0.5,BI42&lt;&gt;"None"),"AttackTarget",""),
    IF(AND(_xlfn.XLOOKUP(_xlfn.XLOOKUP(B42,'Base stats'!B:B,'Base stats'!E:E),Groups!A:A,Groups!AJ:AJ="Mammal"),OR(_xlfn.XLOOKUP(B42,'Base stats'!B:B,'Base stats'!Y:Y)="Omnivore",_xlfn.XLOOKUP(B42,'Base stats'!B:B,'Base stats'!Y:Y)="OmnivoreRough")),"Forage",""),
    IF(BG42&lt;=36,"Comfort",""),
    IF(_xlfn.XLOOKUP(B42,'Base stats'!B:B,'Base stats'!AE:AE)&lt;&gt;"No",_xlfn.XLOOKUP(B42,'Base stats'!B:B,'Base stats'!AE:AE),"")
  ) = "",
  "No",
  _xlfn.TEXTJOIN(", ",TRUE,
    IF(AND(BJ42="true",AO42&gt;0.5,BI42&lt;&gt;"None"),"AttackTarget",""),
    IF(AND(_xlfn.XLOOKUP(_xlfn.XLOOKUP(B42,'Base stats'!B:B,'Base stats'!E:E),Groups!A:A,Groups!AJ:AJ="Mammal"),OR(_xlfn.XLOOKUP(B42,'Base stats'!B:B,'Base stats'!Y:Y)="Omnivore",_xlfn.XLOOKUP(B42,'Base stats'!B:B,'Base stats'!Y:Y)="OmnivoreRough")),"Forage",""),
    IF(BG42&lt;=36,"Comfort",""),
    IF(_xlfn.XLOOKUP(B42,'Base stats'!B:B,'Base stats'!AE:AE)&lt;&gt;"No",_xlfn.XLOOKUP(B42,'Base stats'!B:B,'Base stats'!AE:AE),"")
  )
)</f>
        <v>No</v>
      </c>
      <c r="BQ42" s="25" t="str">
        <f>IF(
   AND(
      'Base stats'!AN42="Standard",_xlfn.XLOOKUP(_xlfn.XLOOKUP(B42,'Base stats'!B:B,'Base stats'!E:E),Groups!A:A,Groups!AU:AU)=0,
      OR(
      BO42="True"
      )
   ),
   10,
   IF(
       OR(BM42&lt;&gt;"No",_xlfn.XLOOKUP(_xlfn.XLOOKUP(B42,'Base stats'!B:B,'Base stats'!E:E),Groups!A:A,Groups!AU:AU)=1),
      1,
      "No"
   )
)</f>
        <v>No</v>
      </c>
      <c r="BR42" s="9">
        <f>MROUND((1 + ((0.2*IF(OR(Q42="No",R42="No",R42=0),0,Q42/R42)
+IF(OR(V42="No",S42="No",T42="No"),0,S42/T42*(LEN(V42)-LEN(SUBSTITUTE(V42,",",""))+1))
+IF(OR(X42="No",Y42="No"),0,X42/Y42)
+IF(OR(AD42="No",AE42="No"),0,AD42/AE42)
+IF(OR(AL42="No",AI42="No",AJ42="No"),0,AI42/AJ42*(LEN(AL42)-LEN(SUBSTITUTE(AL42,",",""))+1))
)/(0.2*IF(OR(Q42="No",R42="No",R42=0),0,1)
+IF(OR(V42="No",S42="No",T42="No"),0,LEN(V42)-LEN(SUBSTITUTE(V42,",",""))+1)
+IF(OR(X42="No",Y42="No"),0,1)
+IF(OR(AD42="No",AE42="No"),0,1)
+IF(OR(AL42="No",AI42="No",AJ42="No"),0,LEN(AL42)-LEN(SUBSTITUTE(AL42,",",""))+1))*62%)* 2)*(1 + (AP42 / (IF(_xlfn.XLOOKUP(_xlfn.XLOOKUP(B42,'Base stats'!B:B,'Base stats'!E:E),Groups!A:A,Groups!AJ:AJ)="Photonozoa",0.3,1)) + _xlfn.XLOOKUP(B42,'Base stats'!B:B,'Base stats'!AV:AV) * 1.8) * 2) * 2.5 + 10 + I42 * 2,5)+IF(_xlfn.XLOOKUP(B42,'Base stats'!B:B,'Base stats'!AK:AK)=1,50,0)</f>
        <v>205</v>
      </c>
      <c r="BS42" s="8">
        <f t="shared" si="5"/>
        <v>1.5</v>
      </c>
      <c r="BT42" s="8" t="str">
        <f>_xlfn.XLOOKUP(B42,'Base stats'!B:B,'Base stats'!AF:AF)</f>
        <v>5~15</v>
      </c>
      <c r="BU42" s="2" t="str">
        <f>IF(AND(J42&lt;=0.95,OR(_xlfn.XLOOKUP(B42,'Base stats'!B:B,'Base stats'!AK:AK)=1,_xlfn.XLOOKUP(B42,'Base stats'!B:B,'Base stats'!Y:Y)="Carnivore",_xlfn.XLOOKUP(B42,'Base stats'!B:B,'Base stats'!Y:Y)="Omnivore",BE42&gt;0.1)),"true","false")</f>
        <v>false</v>
      </c>
      <c r="BV42" s="2" t="str">
        <f>IF(_xlfn.XLOOKUP(B42,'Base stats'!B:B,'Base stats'!AI:AI)=1,"true","false")</f>
        <v>true</v>
      </c>
      <c r="BW42" s="25" t="str">
        <f>IF(E42="BaseInsect","AnimalInsect",
IF(J42&gt;0.95,"AnimalExotic",
_xlfn.TEXTJOIN(", ",TRUE,
IF(OR(_xlfn.XLOOKUP(B42,'Base stats'!B:B,'Base stats'!AM:AM)=1,AND(_xlfn.XLOOKUP(B42,'Base stats'!B:B,'Base stats'!O:O)=0,_xlfn.XLOOKUP(_xlfn.XLOOKUP(B42,'Base stats'!B:B,'Base stats'!E:E),Groups!A:A,Groups!B:B)&gt;0)),"AnimalUncommon","AnimalCommon"),
IF(AND(_xlfn.XLOOKUP(B42,'Base stats'!B:B,'Base stats'!O:O)=2,_xlfn.XLOOKUP(_xlfn.XLOOKUP(B42,'Base stats'!B:B,'Base stats'!E:E),Groups!A:A,Groups!D:D)=0),"AnimalPet",IF(AND(_xlfn.XLOOKUP(B42,'Base stats'!B:B,'Base stats'!O:O)&lt;&gt;0,_xlfn.XLOOKUP(_xlfn.XLOOKUP(B42,'Base stats'!B:B,'Base stats'!E:E),Groups!A:A,Groups!D:D)&lt;&gt;0),"AnimalFarm","")),
IF(OR(_xlfn.XLOOKUP(B42,'Base stats'!B:B,'Base stats'!AK:AK)=1,AND(BI42&lt;&gt;"None",BR42&gt;=60),ISNUMBER(SEARCH("Attack target",BP42))),"AnimalFighter","")
)))</f>
        <v>AnimalCommon</v>
      </c>
      <c r="BX42" s="25" t="str">
        <f>IF(G42="None",TRIM(
SUBSTITUTE(
IF(COUNTIF(Biomes!B$2:B$259,"="&amp;$C42)&gt;0,Biomes!B$1&amp;", ","")&amp;
IF(COUNTIF(Biomes!C$2:C$259,"="&amp;$C42)&gt;0,Biomes!C$1&amp;", ","")&amp;
IF(COUNTIF(Biomes!D$2:D$259,"="&amp;$C42)&gt;0,Biomes!D$1&amp;", ","")&amp;
IF(COUNTIF(Biomes!F$2:F$259,"="&amp;$C42)&gt;0,Biomes!F$1&amp;", ","")&amp;
IF(COUNTIF(Biomes!G$2:G$259,"="&amp;$C42)&gt;0,Biomes!G$1&amp;", ","")&amp;
IF(COUNTIF(Biomes!H$2:H$259,"="&amp;$C42)&gt;0,Biomes!H$1&amp;", ","")&amp;
IF(COUNTIF(Biomes!I$2:I$259,"="&amp;$C42)&gt;0,Biomes!I$1&amp;", ","")&amp;
IF(COUNTIF(Biomes!J$2:J$259,"="&amp;$C42)&gt;0,Biomes!J$1&amp;", ","")&amp;
IF(COUNTIF(Biomes!M$2:M$259,"="&amp;$C42)&gt;0,Biomes!M$1&amp;", ","")&amp;
IF(COUNTIF(Biomes!N$2:N$259,"="&amp;$C42)&gt;0,Biomes!N$1&amp;", ","")&amp;
IF(COUNTIF(Biomes!O$2:O$259,"="&amp;$C42)&gt;0,Biomes!O$1&amp;", ","")&amp;
IF(COUNTIF(Biomes!P$2:P$259,"="&amp;$C42)&gt;0,Biomes!P$1&amp;", ","")&amp;
IF(COUNTIF(Biomes!K$2:K$259,"="&amp;$C42)&gt;0,Biomes!K$1&amp;", ","")&amp;
IF(COUNTIF(Biomes!Q$3:Q$259,"="&amp;$C42)&gt;0,Biomes!Q$1&amp;", ","")&amp;
IF(COUNTIF(Biomes!L$2:L$259,"="&amp;$C42)&gt;0,Biomes!L$1&amp;", ","")&amp;
IF(COUNTIF(Biomes!E$2:E$259,"="&amp;$C42)&gt;0,Biomes!E$1&amp;", ","")&amp;IF(COUNTIF(Biomes!S$2:S$259,"="&amp;$C42)&gt;0,Biomes!S$1&amp;", ","")&amp;
IF(COUNTIF(Biomes!R$2:R$259,"="&amp;$C42)&gt;0,Biomes!R$1&amp;", ",""),", ","")
),_xlfn.XLOOKUP(B42,B:B,BX:BX))</f>
        <v>BorealForest ColdBog TemperateForest TemperateSwamp Grasslands GlacialPlain</v>
      </c>
      <c r="BY42" s="25" t="str">
        <f>IF(_xlfn.XLOOKUP(B42,'Base stats'!B:B,'Base stats'!AJ:AJ)=1,"true","false")</f>
        <v>false</v>
      </c>
      <c r="BZ42" s="25">
        <f>IF(_xlfn.XLOOKUP(B42,'Base stats'!B:B,'Base stats'!N:N)=1,"No",MAX(0.001,MIN(MROUND(IF(AND(BJ42="True",CC42="False"),POWER(10,3.47*LOG10(_xlfn.XLOOKUP(B42,'Base stats'!B:B,'Base stats'!C:C)*1000)^-0.96),POWER(10,4.15*LOG10(_xlfn.XLOOKUP(B42,'Base stats'!B:B,'Base stats'!C:C)*1000)^-0.73))*IF(_xlfn.XLOOKUP(B42,'Base stats'!B:B,'Base stats'!AK:AK)=1,0.5,1)*IF(_xlfn.XLOOKUP(B42,'Base stats'!B:B,'Base stats'!AM:AM)=1,0.1,1)/100,IF(_xlfn.XLOOKUP(B42,'Base stats'!B:B,'Base stats'!AM:AM)=1,0.001,0.025)),0.5)))</f>
        <v>0.15000000000000002</v>
      </c>
      <c r="CA42" s="25" t="str">
        <f>IF(P42="Standard","No",MAX(0.001,MIN(MROUND(IF(AND(BJ42="True",CC42="False"),POWER(10,3.47*LOG10(_xlfn.XLOOKUP(B42,'Base stats'!B:B,'Base stats'!C:C)*1000)^-0.96),POWER(10,4.15*LOG10(_xlfn.XLOOKUP(B42,'Base stats'!B:B,'Base stats'!C:C)*1000)^-0.73))*IF(_xlfn.XLOOKUP(B42,'Base stats'!B:B,'Base stats'!AM:AM)=1,0.1,1)*_xlfn.XLOOKUP(B42,'Base stats'!B:B,'Base stats'!R:R)/100,IF(_xlfn.XLOOKUP(B42,'Base stats'!B:B,'Base stats'!AM:AM)=1,0.001,0.025)),0.5)))</f>
        <v>No</v>
      </c>
      <c r="CB42" s="25" t="str">
        <f>IF(_xlfn.XLOOKUP(_xlfn.XLOOKUP(B42,'Base stats'!B:B,'Base stats'!E:E),Groups!A:A,Groups!AJ:AJ)="Mammal","True","False")</f>
        <v>True</v>
      </c>
      <c r="CC42" s="25" t="str">
        <f>IF(OR(_xlfn.XLOOKUP(_xlfn.XLOOKUP(B42,'Base stats'!B:B,'Base stats'!E:E),Groups!A:A,Groups!AJ:AJ)="Reptile",_xlfn.XLOOKUP(_xlfn.XLOOKUP(B42,'Base stats'!B:B,'Base stats'!E:E),Groups!A:A,Groups!AJ:AJ)="Amphibian",_xlfn.XLOOKUP(_xlfn.XLOOKUP(B42,'Base stats'!B:B,'Base stats'!E:E),Groups!A:A,Groups!AJ:AJ)="Invertebrate"),"True","False")</f>
        <v>False</v>
      </c>
      <c r="CD42" s="25" t="str">
        <f t="shared" si="6"/>
        <v>False</v>
      </c>
      <c r="CE42" s="25" t="str">
        <f>IF(_xlfn.XLOOKUP(_xlfn.XLOOKUP(B42,'Base stats'!B:B,'Base stats'!E:E),Groups!A:A,Groups!AX:AX),"True","False")</f>
        <v>False</v>
      </c>
      <c r="CF42" s="25" t="str">
        <f>IF(_xlfn.XLOOKUP(_xlfn.XLOOKUP(B42,'Base stats'!B:B,'Base stats'!E:E),Groups!A:A,Groups!AY:AY),"True","False")</f>
        <v>False</v>
      </c>
      <c r="CG42" s="25" t="str">
        <f>IF(_xlfn.XLOOKUP(_xlfn.XLOOKUP(B42,'Base stats'!B:B,'Base stats'!E:E),Groups!A:A,Groups!AW:AW),"True","False")</f>
        <v>False</v>
      </c>
      <c r="CH42" s="25" t="str">
        <f>IF(
OR(
_xlfn.XLOOKUP(_xlfn.XLOOKUP(B42,'Base stats'!B:B,'Base stats'!E:E),Groups!A:A,Groups!AZ:AZ)=0,
AND(
_xlfn.XLOOKUP(B42,'Base stats'!B:B,'Base stats'!Y:Y)&lt;&gt;"Carnivore",
_xlfn.XLOOKUP(B42,'Base stats'!B:B,'Base stats'!Y:Y)&lt;&gt;"Omnivore",
_xlfn.XLOOKUP(B42,'Base stats'!B:B,'Base stats'!Y:Y)&lt;&gt;"OmnivoreRough"
)
),
"No",
IF(
_xlfn.XLOOKUP(_xlfn.XLOOKUP(B42,'Base stats'!B:B,'Base stats'!E:E),Groups!A:A,Groups!AZ:AZ)=1,
"Flesh",
IF(
_xlfn.XLOOKUP(_xlfn.XLOOKUP(B42,'Base stats'!B:B,'Base stats'!E:E),Groups!A:A,Groups!AZ:AZ)=2,
"Bone",
""
)
)
)</f>
        <v>No</v>
      </c>
      <c r="CI42" s="25" t="str">
        <f>IF(_xlfn.XLOOKUP(_xlfn.XLOOKUP(B42,'Base stats'!B:B,'Base stats'!E:E),Groups!A:A,Groups!BB:BB),"True","False")</f>
        <v>True</v>
      </c>
      <c r="CJ42" s="25" t="str">
        <f>IF(_xlfn.XLOOKUP(_xlfn.XLOOKUP(B42,'Base stats'!B:B,'Base stats'!E:E),Groups!A:A,Groups!BA:BA),"True","False")</f>
        <v>False</v>
      </c>
    </row>
    <row r="43" spans="1:88" ht="16.5" thickTop="1" thickBot="1" x14ac:dyDescent="0.3">
      <c r="A43" s="26" t="str">
        <f>_xlfn.XLOOKUP(B43,'Base stats'!B:B,'Base stats'!A:A)</f>
        <v>Cow</v>
      </c>
      <c r="B43" s="6" t="s">
        <v>140</v>
      </c>
      <c r="C43" s="28" t="s">
        <v>718</v>
      </c>
      <c r="D43" s="28" t="s">
        <v>45</v>
      </c>
      <c r="E43" s="28" t="s">
        <v>673</v>
      </c>
      <c r="F43" s="28" t="s">
        <v>673</v>
      </c>
      <c r="G43" s="28" t="s">
        <v>673</v>
      </c>
      <c r="H43" s="2">
        <f>MROUND((
  (IF(AND(_xlfn.XLOOKUP(B43,'Base stats'!B:B,'Base stats'!AL:AL)=0,BI43="None",_xlfn.XLOOKUP(_xlfn.XLOOKUP(B43,'Base stats'!B:B,'Base stats'!E:E),Groups!A:A,Groups!B:B)=0), (18 + BR43 * 2.7) * 0.5,
    IF(AND(_xlfn.XLOOKUP(B43,'Base stats'!B:B,'Base stats'!AL:AL)=0,OR(AO43&lt;0.55,AND(BI43="Intermediate",_xlfn.XLOOKUP(_xlfn.XLOOKUP(B43,'Base stats'!B:B,'Base stats'!E:E),Groups!A:A,Groups!B:B)&lt;2))), (18 + BR43 * 2.7),
      IF(OR(BI43="Advanced",_xlfn.XLOOKUP(B43,'Base stats'!B:B,'Base stats'!AL:AL)=1,_xlfn.XLOOKUP(_xlfn.XLOOKUP(B43,'Base stats'!B:B,'Base stats'!E:E),Groups!A:A,Groups!B:B)=2), (18 + BR43 * 2.7) + 250, (18 + BR43 * 2.7))
    )
  ))
  + AO43 * 80
  + IF(COUNTIF(EggMilk!K$2:K$998, A43) &gt; 0, 125, 0)
  + IF(COUNTIF(EggMilk!P$2:P$998, A43) &gt; 0, 90, 0)
  + IF(COUNTIF(EggMilk!A$2:A$998, A43) &gt; 0, 90, 0)
)
* (0.8 + 0.4 * J43)
* 0.75,25)</f>
        <v>375</v>
      </c>
      <c r="I43" s="2">
        <f>MROUND(ROUNDDOWN(_xlfn.XLOOKUP(B43,'Base stats'!B:B,'Base stats'!L:L)/3.6/(23.3/11),1),0.5)</f>
        <v>4</v>
      </c>
      <c r="J43" s="2">
        <f>IF(OR(_xlfn.XLOOKUP(B43,'Base stats'!B:B,'Base stats'!AB:AB)=1,_xlfn.XLOOKUP(_xlfn.XLOOKUP(B43,'Base stats'!B:B,'Base stats'!E:E),Groups!A:A,Groups!C:C)="Untamable"),1,IF(_xlfn.XLOOKUP(B43,'Base stats'!B:B,'Base stats'!AL:AL)=1,0.99,MIN(MROUND((1-0.6282*EXP(-0.459*AO43))*_xlfn.XLOOKUP(_xlfn.XLOOKUP(B43,'Base stats'!B:B,'Base stats'!E:E),Groups!A:A,Groups!C:C)*IF(_xlfn.XLOOKUP(B43,'Base stats'!B:B,'Base stats'!O:O)=1,0.5,IF(_xlfn.XLOOKUP(B43,'Base stats'!B:B,'Base stats'!O:O)=2,0,1)),0.05),IF(AO43&gt;3.5,0.985,0.95))))</f>
        <v>0</v>
      </c>
      <c r="K43" s="2">
        <f>ROUNDUP(AO43*_xlfn.XLOOKUP(_xlfn.XLOOKUP(B43,'Base stats'!B:B,'Base stats'!E:E),Groups!A:A,Groups!E:E),0)</f>
        <v>15</v>
      </c>
      <c r="L43" s="2">
        <f>IF(OR(_xlfn.XLOOKUP(_xlfn.XLOOKUP(B43,'Base stats'!B:B,'Base stats'!E:E),Groups!A:A,Groups!F:F)=2,ISNUMBER(SEARCH("SeaIce",BX43)),ISNUMBER(SEARCH("IceSheet",BX43))),-50,IF(OR(ISNUMBER(SEARCH("GlacialPlain",BX43)),ISNUMBER(SEARCH("Tundra",BX43))),-40,IF(OR(ISNUMBER(SEARCH("Alpine",BX43)),ISNUMBER(SEARCH("BorealForest",BX43)),ISNUMBER(SEARCH("ColdBog",BX43))),-30,IF(OR(ISNUMBER(SEARCH("TemperateForest",BX43)),ISNUMBER(SEARCH("TemperateSwamp",BX43))),-20,IF(_xlfn.XLOOKUP(_xlfn.XLOOKUP(B43,'Base stats'!B:B,'Base stats'!E:E),Groups!A:A,Groups!F:F)=1,-15,IF(OR(ISNUMBER(SEARCH("Desert",BX43)),ISNUMBER(SEARCH("ExtremeDesert",BX43))),-10,IF(OR(ISNUMBER(SEARCH("Grasslands",BX43)),ISNUMBER(SEARCH("TropicalRainforest",BX43)),ISNUMBER(SEARCH("TropicalSwamp",BX43))),10,0)))))))-IF(CC43="False",MIN(IFERROR(MAX(MROUND(LOG10(_xlfn.XLOOKUP(B43,'Base stats'!B:B,'Base stats'!C:C)^(2/3))*10,5),5),5),30))-_xlfn.XLOOKUP(B43,'Base stats'!B:B,'Base stats'!P:P)+IF(CC43="True",5,0)</f>
        <v>-35</v>
      </c>
      <c r="M43" s="2">
        <f>IF(OR(_xlfn.XLOOKUP(_xlfn.XLOOKUP(B43,'Base stats'!B:B,'Base stats'!E:E),Groups!A:A,Groups!G:G)=2,ISNUMBER(SEARCH("Desert",BX43)),ISNUMBER(SEARCH("ExtremeDesert",BX43)),ISNUMBER(SEARCH("LavaField",BX43))),50,IF(ISNUMBER(SEARCH("Grasslands",BX43)),45,IF(OR(_xlfn.XLOOKUP(_xlfn.XLOOKUP(B43,'Base stats'!B:B,'Base stats'!E:E),Groups!A:A,Groups!G:G)=1,ISNUMBER(SEARCH("TropicalRainforest",BX43)),ISNUMBER(SEARCH("TropicalSwamp",BX43))),40,IF(OR(ISNUMBER(SEARCH("TemperateForest",BX43)),ISNUMBER(SEARCH("TemperateSwamp",BX43))),35,IF(OR(ISNUMBER(SEARCH("Alpine",BX43)),ISNUMBER(SEARCH("BorealForest",BX43)),ISNUMBER(SEARCH("ColdBog",BX43))),30,IF(ISNUMBER(OR(ISNUMBER(SEARCH("GlacialPlain",BX43)),SEARCH("Tundra",BX43))),25,IF(OR(ISNUMBER(SEARCH("SeaIce",BX43)),ISNUMBER(SEARCH("IceSheet",BX43)),ISNUMBER(SEARCH("TropicalSwamp",BX43))),10,35)))))))+_xlfn.XLOOKUP(B43,'Base stats'!B:B,'Base stats'!Q:Q)</f>
        <v>35</v>
      </c>
      <c r="N43" s="8" t="str">
        <f>IF(
_xlfn.XLOOKUP(
_xlfn.XLOOKUP(B43,'Base stats'!B:B,'Base stats'!E:E),
Groups!A:A,
Groups!L:L
)=1,
MIN(
MROUND(
IF(
_xlfn.XLOOKUP(B43,'Animals CE'!B:B,'Animals CE'!Z:Z)&lt;=1.5,
_xlfn.XLOOKUP(B43,'Animals CE'!B:B,'Animals CE'!Z:Z)/2+0.05,
0.8+
(_xlfn.XLOOKUP(B43,'Animals CE'!B:B,'Animals CE'!Z:Z)-1.5)
*0.02
),
0.05
),
200%
),
"No"
)</f>
        <v>No</v>
      </c>
      <c r="O43" s="8" t="str">
        <f>IF(
_xlfn.XLOOKUP(
_xlfn.XLOOKUP(B43,'Base stats'!B:B,'Base stats'!E:E),
Groups!A:A,
Groups!L:L
)=1,
MIN(
MROUND(
IF(
_xlfn.XLOOKUP(B43,'Animals CE'!B:B,'Animals CE'!AA:AA)&lt;=1.5,
_xlfn.XLOOKUP(B43,'Animals CE'!B:B,'Animals CE'!AA:AA)/2+0.05,
0.8+
(_xlfn.XLOOKUP(B43,'Animals CE'!B:B,'Animals CE'!AA:AA)-1.5)
*0.02
),
0.05
),
200%
),
"No"
)</f>
        <v>No</v>
      </c>
      <c r="P43" s="2" t="str">
        <f>_xlfn.XLOOKUP(B43,'Base stats'!B:B,'Base stats'!R:R)</f>
        <v>Standard</v>
      </c>
      <c r="Q43" s="13">
        <f>MROUND((LOG10(_xlfn.XLOOKUP(B43,'Base stats'!B:B,'Base stats'!AR:AR))*(AO43^0.5)+(_xlfn.XLOOKUP(B43,'Base stats'!B:B,'Base stats'!AR:AR)/1000)^(2/3)+_xlfn.XLOOKUP(B43,'Base stats'!B:B,'Base stats'!BA:BA)/2)+0.5,0.5)</f>
        <v>17.5</v>
      </c>
      <c r="R43" s="7">
        <f>IF(Q43="No","No",MAX(1,MROUND(_xlfn.XLOOKUP(B43,'Base stats'!B:B,'Base stats'!C:C)^0.165,0.05)))</f>
        <v>2.95</v>
      </c>
      <c r="S43" s="13">
        <f>IF(_xlfn.XLOOKUP(_xlfn.XLOOKUP(B43,'Base stats'!B:B,'Base stats'!E:E),Groups!A:A,Groups!P:P)=0,"No",MROUND((LOG10(_xlfn.XLOOKUP(B43,'Base stats'!B:B,'Base stats'!AS:AS))*(AO43^0.5)+(_xlfn.XLOOKUP(B43,'Base stats'!B:B,'Base stats'!AS:AS)/1000)^(2/3)+_xlfn.XLOOKUP(B43,'Base stats'!B:B,'Base stats'!BA:BA))+_xlfn.XLOOKUP(B43,'Base stats'!B:B,'Base stats'!AY:AY)+0.5,0.5))</f>
        <v>21.5</v>
      </c>
      <c r="T43" s="7">
        <f>IF(S43="No","No",MAX(_xlfn.XLOOKUP(_xlfn.XLOOKUP(B43,'Base stats'!B:B,'Base stats'!E:E),Groups!A:A,Groups!Q:Q),MROUND(_xlfn.XLOOKUP(_xlfn.XLOOKUP(B43,'Base stats'!B:B,'Base stats'!E:E),Groups!A:A,Groups!Q:Q)*_xlfn.XLOOKUP(B43,'Base stats'!B:B,'Base stats'!C:C)^0.165,0.05)))</f>
        <v>2.95</v>
      </c>
      <c r="U43" s="7" t="str">
        <f>IF(S43="No","No",_xlfn.XLOOKUP(_xlfn.XLOOKUP(B43,'Base stats'!B:B,'Base stats'!E:E),Groups!A:A,Groups!R:R))</f>
        <v>FrontLeftLeg, FrontRightLeg</v>
      </c>
      <c r="V43" s="7" t="str">
        <f>IF(S43="No","No",_xlfn.XLOOKUP(_xlfn.XLOOKUP(B43,'Base stats'!B:B,'Base stats'!E:E),Groups!A:A,Groups!S:S))</f>
        <v>left hoof, right hoof</v>
      </c>
      <c r="W43" s="7" t="str">
        <f>IF(S43="No","No",_xlfn.XLOOKUP(_xlfn.XLOOKUP(B43,'Base stats'!B:B,'Base stats'!E:E),Groups!A:A,Groups!T:T))</f>
        <v>Blunt</v>
      </c>
      <c r="X43" s="13">
        <f>IF(_xlfn.XLOOKUP(B43,'Base stats'!B:B,'Base stats'!W:W)="No","No",MROUND((LOG10(_xlfn.XLOOKUP(B43,'Base stats'!B:B,'Base stats'!AU:AU))*(AO43^0.5)+(_xlfn.XLOOKUP(B43,'Base stats'!B:B,'Base stats'!AU:AU)/1000)^(2/3)+_xlfn.XLOOKUP(B43,'Base stats'!B:B,'Base stats'!AZ:AZ))+0.5+IF(_xlfn.XLOOKUP(_xlfn.XLOOKUP(B43,'Base stats'!B:B,'Base stats'!E:E),Groups!A:A,Groups!U:U)&lt;&gt;3,_xlfn.XLOOKUP(B43,'Base stats'!B:B,'Base stats'!BA:BA),0),0.5))</f>
        <v>16.5</v>
      </c>
      <c r="Y43" s="7">
        <f>IF(X43="No","No",MAX(_xlfn.XLOOKUP(_xlfn.XLOOKUP(B43,'Base stats'!B:B,'Base stats'!E:E),Groups!A:A,Groups!V:V),MROUND(_xlfn.XLOOKUP(_xlfn.XLOOKUP(B43,'Base stats'!B:B,'Base stats'!E:E),Groups!A:A,Groups!V:V)*_xlfn.XLOOKUP(B43,'Base stats'!B:B,'Base stats'!C:C)^0.165,0.05)))</f>
        <v>2.5</v>
      </c>
      <c r="Z43" s="7" t="str">
        <f>IF(X43="No","No",_xlfn.XLOOKUP(_xlfn.XLOOKUP(B43,'Base stats'!B:B,'Base stats'!E:E),Groups!A:A,Groups!W:W))</f>
        <v>HeadAttackTool</v>
      </c>
      <c r="AA43" s="7" t="str">
        <f>IF(X43="No","No",_xlfn.XLOOKUP(_xlfn.XLOOKUP(B43,'Base stats'!B:B,'Base stats'!E:E),Groups!A:A,Groups!X:X))</f>
        <v>horn</v>
      </c>
      <c r="AB43" s="7" t="str">
        <f>IF(X43="No","No",_xlfn.XLOOKUP(_xlfn.XLOOKUP(B43,'Base stats'!B:B,'Base stats'!E:E),Groups!A:A,Groups!Y:Y))</f>
        <v>Scratch</v>
      </c>
      <c r="AC43" s="7" t="str">
        <f>_xlfn.XLOOKUP(Animals!B43,'Base stats'!B:B,'Base stats'!X:X)</f>
        <v>True</v>
      </c>
      <c r="AD43" s="13" t="str">
        <f>IF(_xlfn.XLOOKUP(B43,'Base stats'!B:B,'Base stats'!AT:AT)="No","No",MROUND((LOG10(_xlfn.XLOOKUP(B43,'Base stats'!B:B,'Base stats'!AT:AT))*(AO43^0.75)+(_xlfn.XLOOKUP(B43,'Base stats'!B:B,'Base stats'!AT:AT)/1000)^(2/3)+_xlfn.XLOOKUP(B43,'Base stats'!B:B,'Base stats'!AX:AX)+_xlfn.XLOOKUP(B43,'Base stats'!B:B,'Base stats'!BA:BA))+0.5,0.5))</f>
        <v>No</v>
      </c>
      <c r="AE43" s="7" t="str">
        <f>IF(AD43="No","No",MAX(_xlfn.XLOOKUP(_xlfn.XLOOKUP(B43,'Base stats'!B:B,'Base stats'!E:E),Groups!A:A,Groups!Z:Z),MROUND(_xlfn.XLOOKUP(_xlfn.XLOOKUP(B43,'Base stats'!B:B,'Base stats'!E:E),Groups!A:A,Groups!Z:Z)*_xlfn.XLOOKUP(B43,'Base stats'!B:B,'Base stats'!C:C)^0.165,0.05)))</f>
        <v>No</v>
      </c>
      <c r="AF43" s="7" t="str">
        <f>IF(AD43="No","No",_xlfn.XLOOKUP(_xlfn.XLOOKUP(B43,'Base stats'!B:B,'Base stats'!E:E),Groups!A:A,Groups!AA:AA))</f>
        <v>No</v>
      </c>
      <c r="AG43" s="7" t="str">
        <f>IF(AD43="No","No",_xlfn.XLOOKUP(_xlfn.XLOOKUP(B43,'Base stats'!B:B,'Base stats'!E:E),Groups!A:A,Groups!AB:AB))</f>
        <v>No</v>
      </c>
      <c r="AH43" s="7" t="str">
        <f>IF(AD43="No","No",_xlfn.XLOOKUP(_xlfn.XLOOKUP(B43,'Base stats'!B:B,'Base stats'!E:E),Groups!A:A,Groups!AC:AC))</f>
        <v>No</v>
      </c>
      <c r="AI43" s="13" t="str">
        <f>IF(_xlfn.XLOOKUP(_xlfn.XLOOKUP(B43,'Base stats'!B:B,'Base stats'!E:E),Groups!A:A,Groups!AD:AD)=0,"No",MROUND((LOG10(_xlfn.XLOOKUP(B43,'Base stats'!B:B,'Base stats'!AS:AS))*(AO43^0.75)+(_xlfn.XLOOKUP(B43,'Base stats'!B:B,'Base stats'!AS:AS)/1000)^(2/3)+_xlfn.XLOOKUP(B43,'Base stats'!B:B,'Base stats'!AY:AY)+_xlfn.XLOOKUP(B43,'Base stats'!B:B,'Base stats'!BA:BA))+0.5,0.5))</f>
        <v>No</v>
      </c>
      <c r="AJ43" s="7" t="str">
        <f>IF(AI43="No","No",MAX(_xlfn.XLOOKUP(_xlfn.XLOOKUP(B43,'Base stats'!B:B,'Base stats'!E:E),Groups!A:A,Groups!AE:AE),MROUND(_xlfn.XLOOKUP(_xlfn.XLOOKUP(B43,'Base stats'!B:B,'Base stats'!E:E),Groups!A:A,Groups!AE:AE)*IF(_xlfn.XLOOKUP(_xlfn.XLOOKUP(B43,'Base stats'!B:B,'Base stats'!E:E),Groups!A:A,Groups!AJ:AJ)="Photonozoa",0.6,1)*_xlfn.XLOOKUP(B43,'Base stats'!B:B,'Base stats'!C:C)^0.165,0.05)))</f>
        <v>No</v>
      </c>
      <c r="AK43" s="7" t="str">
        <f>IF(AI43="No","No",_xlfn.XLOOKUP(_xlfn.XLOOKUP(B43,'Base stats'!B:B,'Base stats'!E:E),Groups!A:A,Groups!AF:AF))</f>
        <v>No</v>
      </c>
      <c r="AL43" s="7" t="str">
        <f>IF(AI43="No","No",_xlfn.XLOOKUP(_xlfn.XLOOKUP(B43,'Base stats'!B:B,'Base stats'!E:E),Groups!A:A,Groups!AG:AG))</f>
        <v>No</v>
      </c>
      <c r="AM43" s="7" t="str">
        <f>IF(AI43="No","No",_xlfn.XLOOKUP(_xlfn.XLOOKUP(B43,'Base stats'!B:B,'Base stats'!E:E),Groups!A:A,Groups!AH:AH))</f>
        <v>No</v>
      </c>
      <c r="AN43" s="2" t="str">
        <f t="shared" si="0"/>
        <v>No</v>
      </c>
      <c r="AO43" s="2">
        <f>MROUND(IF(AND(_xlfn.XLOOKUP(B43,'Base stats'!B:B,'Base stats'!C:C)&gt;=0.5,_xlfn.XLOOKUP(B43,'Base stats'!B:B,'Base stats'!C:C)&lt;=0.8),
IF(_xlfn.XLOOKUP(B43,'Base stats'!B:B,'Base stats'!C:C)&lt;0.1,0.05,IF(_xlfn.XLOOKUP(B43,'Base stats'!B:B,'Base stats'!C:C)&lt;=70,(_xlfn.XLOOKUP(B43,'Base stats'!B:B,'Base stats'!C:C)/70)^0.426489913056526,IF(_xlfn.XLOOKUP(B43,'Base stats'!B:B,'Base stats'!C:C)&lt;=400,(_xlfn.XLOOKUP(B43,'Base stats'!B:B,'Base stats'!C:C)/70)^0.572811455315093,IF(_xlfn.XLOOKUP(B43,'Base stats'!B:B,'Base stats'!C:C)&lt;=2000,2.71391647193063*(_xlfn.XLOOKUP(B43,'Base stats'!B:B,'Base stats'!C:C)/400)^0.252459582904293,3.74314280240376*(_xlfn.XLOOKUP(B43,'Base stats'!B:B,'Base stats'!C:C)/2000)^0.357012633876913)))),
IF(_xlfn.XLOOKUP(B43,'Base stats'!B:B,'Base stats'!C:C)&lt;0.1,0.05,IF(_xlfn.XLOOKUP(B43,'Base stats'!B:B,'Base stats'!C:C)&lt;0.4,0.1,IF(_xlfn.XLOOKUP(B43,'Base stats'!B:B,'Base stats'!C:C)&lt;=70,(_xlfn.XLOOKUP(B43,'Base stats'!B:B,'Base stats'!C:C)/70)^0.445823913056526,IF(_xlfn.XLOOKUP(B43,'Base stats'!B:B,'Base stats'!C:C)&lt;=400,(_xlfn.XLOOKUP(B43,'Base stats'!B:B,'Base stats'!C:C)/70)^0.572811455315093,IF(_xlfn.XLOOKUP(B43,'Base stats'!B:B,'Base stats'!C:C)&lt;=2000,2.71391647193063*(_xlfn.XLOOKUP(B43,'Base stats'!B:B,'Base stats'!C:C)/400)^0.252459582904293,3.74314280240376*(_xlfn.XLOOKUP(B43,'Base stats'!B:B,'Base stats'!C:C)/2000)^0.357012633876913)))))),
IF(_xlfn.XLOOKUP(B43,'Base stats'!B:B,'Base stats'!C:C)&lt;0.1,0.05,IF(_xlfn.XLOOKUP(B43,'Base stats'!B:B,'Base stats'!C:C)&lt;=100,0.05,IF(_xlfn.XLOOKUP(B43,'Base stats'!B:B,'Base stats'!C:C)&lt;=250,0.1,IF(_xlfn.XLOOKUP(B43,'Base stats'!B:B,'Base stats'!C:C)&lt;=4000,0.25,0.5)))))</f>
        <v>3</v>
      </c>
      <c r="AP43" s="8">
        <f>MROUND(AO43*_xlfn.XLOOKUP(_xlfn.XLOOKUP(B43,'Base stats'!B:B,'Base stats'!E:E),Groups!A:A,Groups!AI:AI)*_xlfn.XLOOKUP(B43,'Base stats'!B:B,'Base stats'!Z:Z),0.05)</f>
        <v>3</v>
      </c>
      <c r="AQ43" s="8">
        <f>MAX(0.01,MROUND(IF(CC43="True",0.196*(AO43*100*1000)^0.889,IF(_xlfn.XLOOKUP(_xlfn.XLOOKUP(B43,'Base stats'!B:B,'Base stats'!E:E),Groups!A:A,Groups!AJ:AJ)="Bird",10.5*(AO43*100*1000)^0.681,4.82*(AO43*100*1000)^0.734))/(4.82*(1*100*1000)^0.734)/IF(AO43&lt;3.5,2,IF(AO43=3.5,1.5,1.25))*(1+0.132282374779864/(AO43^0.994035016789033+0.00905238001496948)),0.05))</f>
        <v>1.1500000000000001</v>
      </c>
      <c r="AR43" s="9">
        <f>IFERROR(MROUND(_xlfn.XLOOKUP(B43,'Base stats'!B:B,'Base stats'!H:H)/IF(_xlfn.XLOOKUP(B43,'Base stats'!B:B,'Base stats'!I:I)&lt;&gt;1,(122.5/70),1.2),IF(_xlfn.XLOOKUP(B43,'Base stats'!B:B,'Base stats'!H:H)&gt;=30,5,IF(_xlfn.XLOOKUP(B43,'Base stats'!B:B,'Base stats'!H:H)&gt;=15,3,IF(_xlfn.XLOOKUP(B43,'Base stats'!B:B,'Base stats'!H:H)&gt;=10,2,1)))),"Immortal")</f>
        <v>18</v>
      </c>
      <c r="AS43" s="35">
        <f>IFERROR(IF(OR(_xlfn.XLOOKUP(B43,'Base stats'!B:B,'Base stats'!F:F)="Atypical reproduction",_xlfn.XLOOKUP(B43,'Base stats'!B:B,'Base stats'!F:F)="Lay eggs"),"Lay eggs",MIN(20,MAX(5.5,ROUND(((_xlfn.XLOOKUP(B43,'Base stats'!B:B,'Base stats'!F:F)-25)*(14.5/615) + 5.5)*2,0)/2))),"Unknown")</f>
        <v>11.5</v>
      </c>
      <c r="AT43" s="8">
        <f>IF(_xlfn.XLOOKUP(B43,'Base stats'!B:B,'Base stats'!G:G)="Atypical reproduction","No",IFERROR(MAX(IF(_xlfn.XLOOKUP(B43,'Base stats'!B:B,'Base stats'!G:G)&lt;0.5,0.2,0.3),MROUND(_xlfn.XLOOKUP(B43,'Base stats'!B:B,'Base stats'!G:G)/(365/60),0.2)),"Unknown"))</f>
        <v>0.3</v>
      </c>
      <c r="AU43" s="8">
        <f t="shared" si="1"/>
        <v>0.15000000000000002</v>
      </c>
      <c r="AV43" s="8">
        <f>IFERROR(IFERROR(MROUND(_xlfn.XLOOKUP(B43,'Base stats'!B:B,'Base stats'!J:J),0.1),"Lay eggs"),"Cannot breed")</f>
        <v>1</v>
      </c>
      <c r="AW43" s="2" t="str">
        <f t="shared" si="2"/>
        <v>true</v>
      </c>
      <c r="AX43" s="2" t="str">
        <f>IF(_xlfn.XLOOKUP(_xlfn.XLOOKUP(Animals!B43,'Base stats'!B:B,'Base stats'!E:E),Groups!A:A,Groups!AK:AK)=1,"true","false")</f>
        <v>true</v>
      </c>
      <c r="AY43" s="25" t="str">
        <f>IF(_xlfn.XLOOKUP(B43,'Base stats'!B:B,'Base stats'!Y:Y)="Liquor","Liquor, CarnivoreAnimalStrict",IF(AND(_xlfn.XLOOKUP(B43,'Base stats'!B:B,'Base stats'!Y:Y)="Carnivore",_xlfn.XLOOKUP(_xlfn.XLOOKUP(B43,'Base stats'!B:B,'Base stats'!E:E),Groups!A:A,Groups!AJ:AJ)="Photonozoa"),"CarnivoreAnimalStrict, OvivoreAnimal",IF(_xlfn.XLOOKUP(B43,'Base stats'!B:B,'Base stats'!Y:Y)="Carnivore","CarnivoreAnimal, OvivoreAnimal",IF(_xlfn.XLOOKUP(B43,'Base stats'!B:B,'Base stats'!Y:Y)="Dendrovore","VegetarianRoughAnimal, DendrovoreAnimal",IF(_xlfn.XLOOKUP(B43,'Base stats'!B:B,'Base stats'!Y:Y)="Herbivore","VegetarianRoughAnimal",IF(_xlfn.XLOOKUP(B43,'Base stats'!B:B,'Base stats'!Y:Y)="OmnivoreRough","OmnivoreRoughAnimal, OvivoreAnimal","OmnivoreAnimal, OvivoreAnimal"))))))</f>
        <v>VegetarianRoughAnimal</v>
      </c>
      <c r="AZ43" s="2">
        <f>IF(_xlfn.XLOOKUP(_xlfn.XLOOKUP(B43,'Base stats'!B:B,'Base stats'!E:E),Groups!A:A,Groups!D:D)=1,MROUND((1-J43)*5+1,2)*IF(J43&lt;=0.4,2,1),"No")</f>
        <v>12</v>
      </c>
      <c r="BA43" s="2" t="str">
        <f>IF(AND(_xlfn.XLOOKUP(B43,'Base stats'!B:B,'Base stats'!AH:AH)="&lt;li&gt;Seal&lt;/li&gt;",G43="Odyssey"),"&lt;li&gt;AEXP_Seal&lt;/li&gt;",_xlfn.XLOOKUP(B43,'Base stats'!B:B,'Base stats'!AH:AH))</f>
        <v>No</v>
      </c>
      <c r="BB43" s="2" t="str">
        <f>_xlfn.XLOOKUP(B43,'Base stats'!B:B,'Base stats'!AG:AG)</f>
        <v>Leather_Plain</v>
      </c>
      <c r="BC43" s="23" t="str">
        <f>_xlfn.XLOOKUP(_xlfn.XLOOKUP(B43,'Base stats'!B:B,'Base stats'!E:E),Groups!A:A,Groups!AL:AL)</f>
        <v>QuadrupedAnimalWithHooves</v>
      </c>
      <c r="BD43" s="23">
        <f>MIN(1,MROUND(IF(AND(AO43&lt;0.5,_xlfn.XLOOKUP(B43,'Base stats'!B:B,'Base stats'!AA:AA)=0),0,IF(OR(_xlfn.XLOOKUP(Animals!B43,'Base stats'!B:B,'Base stats'!O:O)=2,_xlfn.XLOOKUP(_xlfn.XLOOKUP(B43,'Base stats'!B:B,'Base stats'!E:E),Groups!A:A,Groups!AN:AN)=0),0,_xlfn.XLOOKUP(_xlfn.XLOOKUP(B43,'Base stats'!B:B,'Base stats'!E:E),Groups!A:A,Groups!AN:AN)/IF(_xlfn.XLOOKUP(Animals!B43,'Base stats'!B:B,'Base stats'!O:O)=1,2,1)))+_xlfn.XLOOKUP(B43,'Base stats'!B:B,'Base stats'!AC:AC),0.005))</f>
        <v>0</v>
      </c>
      <c r="BE43" s="23">
        <f>MIN(1,MROUND(IF(AND(AO43&lt;0.5,_xlfn.XLOOKUP(B43,'Base stats'!B:B,'Base stats'!AA:AA)=0),0,IF(_xlfn.XLOOKUP(_xlfn.XLOOKUP(B43,'Base stats'!B:B,'Base stats'!E:E),Groups!A:A,Groups!AO:AO)=0,0,_xlfn.XLOOKUP(_xlfn.XLOOKUP(B43,'Base stats'!B:B,'Base stats'!E:E),Groups!A:A,Groups!AO:AO)/IF(_xlfn.XLOOKUP(Animals!B43,'Base stats'!B:B,'Base stats'!O:O)=2,3,1)))+_xlfn.XLOOKUP(B43,'Base stats'!B:B,'Base stats'!AD:AD),0.005))</f>
        <v>0</v>
      </c>
      <c r="BF43" s="2" t="str">
        <f>IF(J43&gt;0.3,"No",_xlfn.XLOOKUP(_xlfn.XLOOKUP(Animals!B43,'Base stats'!B:B,'Base stats'!E:E),Groups!A:A,Groups!AP:AP))</f>
        <v>No</v>
      </c>
      <c r="BG43" s="2" t="str">
        <f>IF(AND(J43&lt;=0.65,_xlfn.XLOOKUP(_xlfn.XLOOKUP(Animals!B43,'Base stats'!B:B,'Base stats'!E:E),Groups!A:A,Groups!AP:AP)&lt;&gt;"No",_xlfn.XLOOKUP(_xlfn.XLOOKUP(B43,'Base stats'!B:B,'Base stats'!E:E),Groups!A:A,Groups!D:D)=0),MROUND((80/3)*IF(_xlfn.XLOOKUP(B43,'Base stats'!B:B,'Base stats'!O:O)=2,0.2,AO43) + 24*(1-IF(BF43="No",0,BF43)) + 16/3, 12),"No")</f>
        <v>No</v>
      </c>
      <c r="BH43" s="2">
        <f>IF(AND(_xlfn.XLOOKUP(_xlfn.XLOOKUP(B43,'Base stats'!B:B,'Base stats'!E:E),Groups!A:A,Groups!AQ:AQ)=1,AO43&lt;=0.35),8,12)</f>
        <v>12</v>
      </c>
      <c r="BI43" s="2" t="str">
        <f>IF(_xlfn.XLOOKUP(_xlfn.XLOOKUP(B43,'Base stats'!B:B,'Base stats'!E:E),Groups!A:A,Groups!D:D)=0,_xlfn.XLOOKUP(_xlfn.XLOOKUP(B43,'Base stats'!B:B,'Base stats'!E:E),Groups!A:A,Groups!AR:AR),"None")</f>
        <v>None</v>
      </c>
      <c r="BJ43" s="2" t="str">
        <f>IF(AND(_xlfn.XLOOKUP(_xlfn.XLOOKUP(B43,'Base stats'!B:B,'Base stats'!E:E),Groups!A:A,Groups!AS:AS)=1,OR(_xlfn.XLOOKUP(B43,'Base stats'!B:B,'Base stats'!Y:Y)="Carnivore",_xlfn.XLOOKUP(B43,'Base stats'!B:B,'Base stats'!Y:Y)="Omnivore")),"true","false")</f>
        <v>false</v>
      </c>
      <c r="BK43" s="2" t="str">
        <f>IF(BJ43="true",MROUND(IF(AND(AO43&gt;0.5,OR(_xlfn.XLOOKUP(_xlfn.XLOOKUP(B43,'Base stats'!B:B,'Base stats'!E:E),Groups!A:A,Groups!AJ:AJ)="Photonozoa",_xlfn.XLOOKUP(_xlfn.XLOOKUP(B43,'Base stats'!B:B,'Base stats'!E:E),Groups!A:A,Groups!AJ:AJ)="Mammal")),Animals!AO43*1.75*IF(AW43="true",1.5,1),IF(AO43&lt;0.5,Animals!AO43*0.5,Animals!AO43)),IF(AO43&gt;2,0.5,IF(AO43&gt;0.5,0.25,0.1))),"No")</f>
        <v>No</v>
      </c>
      <c r="BL43" s="2">
        <f t="shared" si="3"/>
        <v>0</v>
      </c>
      <c r="BM43" s="25" t="str">
        <f>IF(_xlfn.XLOOKUP(B43,'Base stats'!B:B,'Base stats'!AN:AN)="Standard","No",MROUND((_xlfn.XLOOKUP(B43,'Base stats'!B:B,'Base stats'!AN:AN)/3.6)/I43,0.1))</f>
        <v>No</v>
      </c>
      <c r="BN43" s="25" t="str">
        <f t="shared" si="4"/>
        <v>false</v>
      </c>
      <c r="BO43" s="25" t="str">
        <f>IF(AND(OR(_xlfn.XLOOKUP(B43,'Base stats'!B:B,'Base stats'!Y:Y)="Carnivore",_xlfn.XLOOKUP(B43,'Base stats'!B:B,'Base stats'!Y:Y)="Omnivore",_xlfn.XLOOKUP(B43,'Base stats'!B:B,'Base stats'!Y:Y)="OmnivoreRough"),_xlfn.XLOOKUP(_xlfn.XLOOKUP(B43,'Base stats'!B:B,'Base stats'!E:E),Groups!A:A,Groups!AT:AT)=1),"true","false")</f>
        <v>false</v>
      </c>
      <c r="BP43" s="25" t="str" cm="1">
        <f t="array" ref="BP43">IF(
  _xlfn.TEXTJOIN(", ",TRUE,
    IF(AND(BJ43="true",AO43&gt;0.5,BI43&lt;&gt;"None"),"AttackTarget",""),
    IF(AND(_xlfn.XLOOKUP(_xlfn.XLOOKUP(B43,'Base stats'!B:B,'Base stats'!E:E),Groups!A:A,Groups!AJ:AJ="Mammal"),OR(_xlfn.XLOOKUP(B43,'Base stats'!B:B,'Base stats'!Y:Y)="Omnivore",_xlfn.XLOOKUP(B43,'Base stats'!B:B,'Base stats'!Y:Y)="OmnivoreRough")),"Forage",""),
    IF(BG43&lt;=36,"Comfort",""),
    IF(_xlfn.XLOOKUP(B43,'Base stats'!B:B,'Base stats'!AE:AE)&lt;&gt;"No",_xlfn.XLOOKUP(B43,'Base stats'!B:B,'Base stats'!AE:AE),"")
  ) = "",
  "No",
  _xlfn.TEXTJOIN(", ",TRUE,
    IF(AND(BJ43="true",AO43&gt;0.5,BI43&lt;&gt;"None"),"AttackTarget",""),
    IF(AND(_xlfn.XLOOKUP(_xlfn.XLOOKUP(B43,'Base stats'!B:B,'Base stats'!E:E),Groups!A:A,Groups!AJ:AJ="Mammal"),OR(_xlfn.XLOOKUP(B43,'Base stats'!B:B,'Base stats'!Y:Y)="Omnivore",_xlfn.XLOOKUP(B43,'Base stats'!B:B,'Base stats'!Y:Y)="OmnivoreRough")),"Forage",""),
    IF(BG43&lt;=36,"Comfort",""),
    IF(_xlfn.XLOOKUP(B43,'Base stats'!B:B,'Base stats'!AE:AE)&lt;&gt;"No",_xlfn.XLOOKUP(B43,'Base stats'!B:B,'Base stats'!AE:AE),"")
  )
)</f>
        <v>No</v>
      </c>
      <c r="BQ43" s="25" t="str">
        <f>IF(
   AND(
      'Base stats'!AN43="Standard",_xlfn.XLOOKUP(_xlfn.XLOOKUP(B43,'Base stats'!B:B,'Base stats'!E:E),Groups!A:A,Groups!AU:AU)=0,
      OR(
      BO43="True"
      )
   ),
   10,
   IF(
       OR(BM43&lt;&gt;"No",_xlfn.XLOOKUP(_xlfn.XLOOKUP(B43,'Base stats'!B:B,'Base stats'!E:E),Groups!A:A,Groups!AU:AU)=1),
      1,
      "No"
   )
)</f>
        <v>No</v>
      </c>
      <c r="BR43" s="9">
        <f>MROUND((1 + ((0.2*IF(OR(Q43="No",R43="No",R43=0),0,Q43/R43)
+IF(OR(V43="No",S43="No",T43="No"),0,S43/T43*(LEN(V43)-LEN(SUBSTITUTE(V43,",",""))+1))
+IF(OR(X43="No",Y43="No"),0,X43/Y43)
+IF(OR(AD43="No",AE43="No"),0,AD43/AE43)
+IF(OR(AL43="No",AI43="No",AJ43="No"),0,AI43/AJ43*(LEN(AL43)-LEN(SUBSTITUTE(AL43,",",""))+1))
)/(0.2*IF(OR(Q43="No",R43="No",R43=0),0,1)
+IF(OR(V43="No",S43="No",T43="No"),0,LEN(V43)-LEN(SUBSTITUTE(V43,",",""))+1)
+IF(OR(X43="No",Y43="No"),0,1)
+IF(OR(AD43="No",AE43="No"),0,1)
+IF(OR(AL43="No",AI43="No",AJ43="No"),0,LEN(AL43)-LEN(SUBSTITUTE(AL43,",",""))+1))*62%)* 2)*(1 + (AP43 / (IF(_xlfn.XLOOKUP(_xlfn.XLOOKUP(B43,'Base stats'!B:B,'Base stats'!E:E),Groups!A:A,Groups!AJ:AJ)="Photonozoa",0.3,1)) + _xlfn.XLOOKUP(B43,'Base stats'!B:B,'Base stats'!AV:AV) * 1.8) * 2) * 2.5 + 10 + I43 * 2,5)+IF(_xlfn.XLOOKUP(B43,'Base stats'!B:B,'Base stats'!AK:AK)=1,50,0)</f>
        <v>185</v>
      </c>
      <c r="BS43" s="8">
        <f t="shared" si="5"/>
        <v>1.5</v>
      </c>
      <c r="BT43" s="8" t="str">
        <f>_xlfn.XLOOKUP(B43,'Base stats'!B:B,'Base stats'!AF:AF)</f>
        <v>3~10</v>
      </c>
      <c r="BU43" s="2" t="str">
        <f>IF(AND(J43&lt;=0.95,OR(_xlfn.XLOOKUP(B43,'Base stats'!B:B,'Base stats'!AK:AK)=1,_xlfn.XLOOKUP(B43,'Base stats'!B:B,'Base stats'!Y:Y)="Carnivore",_xlfn.XLOOKUP(B43,'Base stats'!B:B,'Base stats'!Y:Y)="Omnivore",BE43&gt;0.1)),"true","false")</f>
        <v>false</v>
      </c>
      <c r="BV43" s="2" t="str">
        <f>IF(_xlfn.XLOOKUP(B43,'Base stats'!B:B,'Base stats'!AI:AI)=1,"true","false")</f>
        <v>false</v>
      </c>
      <c r="BW43" s="25" t="str">
        <f>IF(E43="BaseInsect","AnimalInsect",
IF(J43&gt;0.95,"AnimalExotic",
_xlfn.TEXTJOIN(", ",TRUE,
IF(OR(_xlfn.XLOOKUP(B43,'Base stats'!B:B,'Base stats'!AM:AM)=1,AND(_xlfn.XLOOKUP(B43,'Base stats'!B:B,'Base stats'!O:O)=0,_xlfn.XLOOKUP(_xlfn.XLOOKUP(B43,'Base stats'!B:B,'Base stats'!E:E),Groups!A:A,Groups!B:B)&gt;0)),"AnimalUncommon","AnimalCommon"),
IF(AND(_xlfn.XLOOKUP(B43,'Base stats'!B:B,'Base stats'!O:O)=2,_xlfn.XLOOKUP(_xlfn.XLOOKUP(B43,'Base stats'!B:B,'Base stats'!E:E),Groups!A:A,Groups!D:D)=0),"AnimalPet",IF(AND(_xlfn.XLOOKUP(B43,'Base stats'!B:B,'Base stats'!O:O)&lt;&gt;0,_xlfn.XLOOKUP(_xlfn.XLOOKUP(B43,'Base stats'!B:B,'Base stats'!E:E),Groups!A:A,Groups!D:D)&lt;&gt;0),"AnimalFarm","")),
IF(OR(_xlfn.XLOOKUP(B43,'Base stats'!B:B,'Base stats'!AK:AK)=1,AND(BI43&lt;&gt;"None",BR43&gt;=60),ISNUMBER(SEARCH("Attack target",BP43))),"AnimalFighter","")
)))</f>
        <v>AnimalCommon, AnimalFarm</v>
      </c>
      <c r="BX43" s="25" t="str">
        <f>IF(G43="None",TRIM(
SUBSTITUTE(
IF(COUNTIF(Biomes!B$2:B$259,"="&amp;$C43)&gt;0,Biomes!B$1&amp;", ","")&amp;
IF(COUNTIF(Biomes!C$2:C$259,"="&amp;$C43)&gt;0,Biomes!C$1&amp;", ","")&amp;
IF(COUNTIF(Biomes!D$2:D$259,"="&amp;$C43)&gt;0,Biomes!D$1&amp;", ","")&amp;
IF(COUNTIF(Biomes!F$2:F$259,"="&amp;$C43)&gt;0,Biomes!F$1&amp;", ","")&amp;
IF(COUNTIF(Biomes!G$2:G$259,"="&amp;$C43)&gt;0,Biomes!G$1&amp;", ","")&amp;
IF(COUNTIF(Biomes!H$2:H$259,"="&amp;$C43)&gt;0,Biomes!H$1&amp;", ","")&amp;
IF(COUNTIF(Biomes!I$2:I$259,"="&amp;$C43)&gt;0,Biomes!I$1&amp;", ","")&amp;
IF(COUNTIF(Biomes!J$2:J$259,"="&amp;$C43)&gt;0,Biomes!J$1&amp;", ","")&amp;
IF(COUNTIF(Biomes!M$2:M$259,"="&amp;$C43)&gt;0,Biomes!M$1&amp;", ","")&amp;
IF(COUNTIF(Biomes!N$2:N$259,"="&amp;$C43)&gt;0,Biomes!N$1&amp;", ","")&amp;
IF(COUNTIF(Biomes!O$2:O$259,"="&amp;$C43)&gt;0,Biomes!O$1&amp;", ","")&amp;
IF(COUNTIF(Biomes!P$2:P$259,"="&amp;$C43)&gt;0,Biomes!P$1&amp;", ","")&amp;
IF(COUNTIF(Biomes!K$2:K$259,"="&amp;$C43)&gt;0,Biomes!K$1&amp;", ","")&amp;
IF(COUNTIF(Biomes!Q$3:Q$259,"="&amp;$C43)&gt;0,Biomes!Q$1&amp;", ","")&amp;
IF(COUNTIF(Biomes!L$2:L$259,"="&amp;$C43)&gt;0,Biomes!L$1&amp;", ","")&amp;
IF(COUNTIF(Biomes!E$2:E$259,"="&amp;$C43)&gt;0,Biomes!E$1&amp;", ","")&amp;IF(COUNTIF(Biomes!S$2:S$259,"="&amp;$C43)&gt;0,Biomes!S$1&amp;", ","")&amp;
IF(COUNTIF(Biomes!R$2:R$259,"="&amp;$C43)&gt;0,Biomes!R$1&amp;", ",""),", ","")
),_xlfn.XLOOKUP(B43,B:B,BX:BX))</f>
        <v/>
      </c>
      <c r="BY43" s="25" t="str">
        <f>IF(_xlfn.XLOOKUP(B43,'Base stats'!B:B,'Base stats'!AJ:AJ)=1,"true","false")</f>
        <v>false</v>
      </c>
      <c r="BZ43" s="25">
        <f>IF(_xlfn.XLOOKUP(B43,'Base stats'!B:B,'Base stats'!N:N)=1,"No",MAX(0.001,MIN(MROUND(IF(AND(BJ43="True",CC43="False"),POWER(10,3.47*LOG10(_xlfn.XLOOKUP(B43,'Base stats'!B:B,'Base stats'!C:C)*1000)^-0.96),POWER(10,4.15*LOG10(_xlfn.XLOOKUP(B43,'Base stats'!B:B,'Base stats'!C:C)*1000)^-0.73))*IF(_xlfn.XLOOKUP(B43,'Base stats'!B:B,'Base stats'!AK:AK)=1,0.5,1)*IF(_xlfn.XLOOKUP(B43,'Base stats'!B:B,'Base stats'!AM:AM)=1,0.1,1)/100,IF(_xlfn.XLOOKUP(B43,'Base stats'!B:B,'Base stats'!AM:AM)=1,0.001,0.025)),0.5)))</f>
        <v>0.15000000000000002</v>
      </c>
      <c r="CA43" s="25" t="str">
        <f>IF(P43="Standard","No",MAX(0.001,MIN(MROUND(IF(AND(BJ43="True",CC43="False"),POWER(10,3.47*LOG10(_xlfn.XLOOKUP(B43,'Base stats'!B:B,'Base stats'!C:C)*1000)^-0.96),POWER(10,4.15*LOG10(_xlfn.XLOOKUP(B43,'Base stats'!B:B,'Base stats'!C:C)*1000)^-0.73))*IF(_xlfn.XLOOKUP(B43,'Base stats'!B:B,'Base stats'!AM:AM)=1,0.1,1)*_xlfn.XLOOKUP(B43,'Base stats'!B:B,'Base stats'!R:R)/100,IF(_xlfn.XLOOKUP(B43,'Base stats'!B:B,'Base stats'!AM:AM)=1,0.001,0.025)),0.5)))</f>
        <v>No</v>
      </c>
      <c r="CB43" s="25" t="str">
        <f>IF(_xlfn.XLOOKUP(_xlfn.XLOOKUP(B43,'Base stats'!B:B,'Base stats'!E:E),Groups!A:A,Groups!AJ:AJ)="Mammal","True","False")</f>
        <v>True</v>
      </c>
      <c r="CC43" s="25" t="str">
        <f>IF(OR(_xlfn.XLOOKUP(_xlfn.XLOOKUP(B43,'Base stats'!B:B,'Base stats'!E:E),Groups!A:A,Groups!AJ:AJ)="Reptile",_xlfn.XLOOKUP(_xlfn.XLOOKUP(B43,'Base stats'!B:B,'Base stats'!E:E),Groups!A:A,Groups!AJ:AJ)="Amphibian",_xlfn.XLOOKUP(_xlfn.XLOOKUP(B43,'Base stats'!B:B,'Base stats'!E:E),Groups!A:A,Groups!AJ:AJ)="Invertebrate"),"True","False")</f>
        <v>False</v>
      </c>
      <c r="CD43" s="25" t="str">
        <f t="shared" si="6"/>
        <v>False</v>
      </c>
      <c r="CE43" s="25" t="str">
        <f>IF(_xlfn.XLOOKUP(_xlfn.XLOOKUP(B43,'Base stats'!B:B,'Base stats'!E:E),Groups!A:A,Groups!AX:AX),"True","False")</f>
        <v>False</v>
      </c>
      <c r="CF43" s="25" t="str">
        <f>IF(_xlfn.XLOOKUP(_xlfn.XLOOKUP(B43,'Base stats'!B:B,'Base stats'!E:E),Groups!A:A,Groups!AY:AY),"True","False")</f>
        <v>False</v>
      </c>
      <c r="CG43" s="25" t="str">
        <f>IF(_xlfn.XLOOKUP(_xlfn.XLOOKUP(B43,'Base stats'!B:B,'Base stats'!E:E),Groups!A:A,Groups!AW:AW),"True","False")</f>
        <v>False</v>
      </c>
      <c r="CH43" s="25" t="str">
        <f>IF(
OR(
_xlfn.XLOOKUP(_xlfn.XLOOKUP(B43,'Base stats'!B:B,'Base stats'!E:E),Groups!A:A,Groups!AZ:AZ)=0,
AND(
_xlfn.XLOOKUP(B43,'Base stats'!B:B,'Base stats'!Y:Y)&lt;&gt;"Carnivore",
_xlfn.XLOOKUP(B43,'Base stats'!B:B,'Base stats'!Y:Y)&lt;&gt;"Omnivore",
_xlfn.XLOOKUP(B43,'Base stats'!B:B,'Base stats'!Y:Y)&lt;&gt;"OmnivoreRough"
)
),
"No",
IF(
_xlfn.XLOOKUP(_xlfn.XLOOKUP(B43,'Base stats'!B:B,'Base stats'!E:E),Groups!A:A,Groups!AZ:AZ)=1,
"Flesh",
IF(
_xlfn.XLOOKUP(_xlfn.XLOOKUP(B43,'Base stats'!B:B,'Base stats'!E:E),Groups!A:A,Groups!AZ:AZ)=2,
"Bone",
""
)
)
)</f>
        <v>No</v>
      </c>
      <c r="CI43" s="25" t="str">
        <f>IF(_xlfn.XLOOKUP(_xlfn.XLOOKUP(B43,'Base stats'!B:B,'Base stats'!E:E),Groups!A:A,Groups!BB:BB),"True","False")</f>
        <v>True</v>
      </c>
      <c r="CJ43" s="25" t="str">
        <f>IF(_xlfn.XLOOKUP(_xlfn.XLOOKUP(B43,'Base stats'!B:B,'Base stats'!E:E),Groups!A:A,Groups!BA:BA),"True","False")</f>
        <v>False</v>
      </c>
    </row>
    <row r="44" spans="1:88" ht="16.5" thickTop="1" thickBot="1" x14ac:dyDescent="0.3">
      <c r="A44" s="26" t="str">
        <f>_xlfn.XLOOKUP(B44,'Base stats'!B:B,'Base stats'!A:A)</f>
        <v>Muffalo</v>
      </c>
      <c r="B44" s="6" t="s">
        <v>144</v>
      </c>
      <c r="C44" s="28" t="s">
        <v>719</v>
      </c>
      <c r="D44" s="28" t="s">
        <v>45</v>
      </c>
      <c r="E44" s="28" t="s">
        <v>673</v>
      </c>
      <c r="F44" s="28" t="s">
        <v>673</v>
      </c>
      <c r="G44" s="28" t="s">
        <v>673</v>
      </c>
      <c r="H44" s="2">
        <f>MROUND((
  (IF(AND(_xlfn.XLOOKUP(B44,'Base stats'!B:B,'Base stats'!AL:AL)=0,BI44="None",_xlfn.XLOOKUP(_xlfn.XLOOKUP(B44,'Base stats'!B:B,'Base stats'!E:E),Groups!A:A,Groups!B:B)=0), (18 + BR44 * 2.7) * 0.5,
    IF(AND(_xlfn.XLOOKUP(B44,'Base stats'!B:B,'Base stats'!AL:AL)=0,OR(AO44&lt;0.55,AND(BI44="Intermediate",_xlfn.XLOOKUP(_xlfn.XLOOKUP(B44,'Base stats'!B:B,'Base stats'!E:E),Groups!A:A,Groups!B:B)&lt;2))), (18 + BR44 * 2.7),
      IF(OR(BI44="Advanced",_xlfn.XLOOKUP(B44,'Base stats'!B:B,'Base stats'!AL:AL)=1,_xlfn.XLOOKUP(_xlfn.XLOOKUP(B44,'Base stats'!B:B,'Base stats'!E:E),Groups!A:A,Groups!B:B)=2), (18 + BR44 * 2.7) + 250, (18 + BR44 * 2.7))
    )
  ))
  + AO44 * 80
  + IF(COUNTIF(EggMilk!K$2:K$998, A44) &gt; 0, 125, 0)
  + IF(COUNTIF(EggMilk!P$2:P$998, A44) &gt; 0, 90, 0)
  + IF(COUNTIF(EggMilk!A$2:A$998, A44) &gt; 0, 90, 0)
)
* (0.8 + 0.4 * J44)
* 0.75,25)</f>
        <v>425</v>
      </c>
      <c r="I44" s="2">
        <f>MROUND(ROUNDDOWN(_xlfn.XLOOKUP(B44,'Base stats'!B:B,'Base stats'!L:L)/3.6/(23.3/11),1),0.5)</f>
        <v>7</v>
      </c>
      <c r="J44" s="2">
        <f>IF(OR(_xlfn.XLOOKUP(B44,'Base stats'!B:B,'Base stats'!AB:AB)=1,_xlfn.XLOOKUP(_xlfn.XLOOKUP(B44,'Base stats'!B:B,'Base stats'!E:E),Groups!A:A,Groups!C:C)="Untamable"),1,IF(_xlfn.XLOOKUP(B44,'Base stats'!B:B,'Base stats'!AL:AL)=1,0.99,MIN(MROUND((1-0.6282*EXP(-0.459*AO44))*_xlfn.XLOOKUP(_xlfn.XLOOKUP(B44,'Base stats'!B:B,'Base stats'!E:E),Groups!A:A,Groups!C:C)*IF(_xlfn.XLOOKUP(B44,'Base stats'!B:B,'Base stats'!O:O)=1,0.5,IF(_xlfn.XLOOKUP(B44,'Base stats'!B:B,'Base stats'!O:O)=2,0,1)),0.05),IF(AO44&gt;3.5,0.985,0.95))))</f>
        <v>0.70000000000000007</v>
      </c>
      <c r="K44" s="2">
        <f>ROUNDUP(AO44*_xlfn.XLOOKUP(_xlfn.XLOOKUP(B44,'Base stats'!B:B,'Base stats'!E:E),Groups!A:A,Groups!E:E),0)</f>
        <v>13</v>
      </c>
      <c r="L44" s="2">
        <f>IF(OR(_xlfn.XLOOKUP(_xlfn.XLOOKUP(B44,'Base stats'!B:B,'Base stats'!E:E),Groups!A:A,Groups!F:F)=2,ISNUMBER(SEARCH("SeaIce",BX44)),ISNUMBER(SEARCH("IceSheet",BX44))),-50,IF(OR(ISNUMBER(SEARCH("GlacialPlain",BX44)),ISNUMBER(SEARCH("Tundra",BX44))),-40,IF(OR(ISNUMBER(SEARCH("Alpine",BX44)),ISNUMBER(SEARCH("BorealForest",BX44)),ISNUMBER(SEARCH("ColdBog",BX44))),-30,IF(OR(ISNUMBER(SEARCH("TemperateForest",BX44)),ISNUMBER(SEARCH("TemperateSwamp",BX44))),-20,IF(_xlfn.XLOOKUP(_xlfn.XLOOKUP(B44,'Base stats'!B:B,'Base stats'!E:E),Groups!A:A,Groups!F:F)=1,-15,IF(OR(ISNUMBER(SEARCH("Desert",BX44)),ISNUMBER(SEARCH("ExtremeDesert",BX44))),-10,IF(OR(ISNUMBER(SEARCH("Grasslands",BX44)),ISNUMBER(SEARCH("TropicalRainforest",BX44)),ISNUMBER(SEARCH("TropicalSwamp",BX44))),10,0)))))))-IF(CC44="False",MIN(IFERROR(MAX(MROUND(LOG10(_xlfn.XLOOKUP(B44,'Base stats'!B:B,'Base stats'!C:C)^(2/3))*10,5),5),5),30))-_xlfn.XLOOKUP(B44,'Base stats'!B:B,'Base stats'!P:P)+IF(CC44="True",5,0)</f>
        <v>-55</v>
      </c>
      <c r="M44" s="2">
        <f>IF(OR(_xlfn.XLOOKUP(_xlfn.XLOOKUP(B44,'Base stats'!B:B,'Base stats'!E:E),Groups!A:A,Groups!G:G)=2,ISNUMBER(SEARCH("Desert",BX44)),ISNUMBER(SEARCH("ExtremeDesert",BX44)),ISNUMBER(SEARCH("LavaField",BX44))),50,IF(ISNUMBER(SEARCH("Grasslands",BX44)),45,IF(OR(_xlfn.XLOOKUP(_xlfn.XLOOKUP(B44,'Base stats'!B:B,'Base stats'!E:E),Groups!A:A,Groups!G:G)=1,ISNUMBER(SEARCH("TropicalRainforest",BX44)),ISNUMBER(SEARCH("TropicalSwamp",BX44))),40,IF(OR(ISNUMBER(SEARCH("TemperateForest",BX44)),ISNUMBER(SEARCH("TemperateSwamp",BX44))),35,IF(OR(ISNUMBER(SEARCH("Alpine",BX44)),ISNUMBER(SEARCH("BorealForest",BX44)),ISNUMBER(SEARCH("ColdBog",BX44))),30,IF(ISNUMBER(OR(ISNUMBER(SEARCH("GlacialPlain",BX44)),SEARCH("Tundra",BX44))),25,IF(OR(ISNUMBER(SEARCH("SeaIce",BX44)),ISNUMBER(SEARCH("IceSheet",BX44)),ISNUMBER(SEARCH("TropicalSwamp",BX44))),10,35)))))))+_xlfn.XLOOKUP(B44,'Base stats'!B:B,'Base stats'!Q:Q)</f>
        <v>35</v>
      </c>
      <c r="N44" s="8" t="str">
        <f>IF(
_xlfn.XLOOKUP(
_xlfn.XLOOKUP(B44,'Base stats'!B:B,'Base stats'!E:E),
Groups!A:A,
Groups!L:L
)=1,
MIN(
MROUND(
IF(
_xlfn.XLOOKUP(B44,'Animals CE'!B:B,'Animals CE'!Z:Z)&lt;=1.5,
_xlfn.XLOOKUP(B44,'Animals CE'!B:B,'Animals CE'!Z:Z)/2+0.05,
0.8+
(_xlfn.XLOOKUP(B44,'Animals CE'!B:B,'Animals CE'!Z:Z)-1.5)
*0.02
),
0.05
),
200%
),
"No"
)</f>
        <v>No</v>
      </c>
      <c r="O44" s="8" t="str">
        <f>IF(
_xlfn.XLOOKUP(
_xlfn.XLOOKUP(B44,'Base stats'!B:B,'Base stats'!E:E),
Groups!A:A,
Groups!L:L
)=1,
MIN(
MROUND(
IF(
_xlfn.XLOOKUP(B44,'Animals CE'!B:B,'Animals CE'!AA:AA)&lt;=1.5,
_xlfn.XLOOKUP(B44,'Animals CE'!B:B,'Animals CE'!AA:AA)/2+0.05,
0.8+
(_xlfn.XLOOKUP(B44,'Animals CE'!B:B,'Animals CE'!AA:AA)-1.5)
*0.02
),
0.05
),
200%
),
"No"
)</f>
        <v>No</v>
      </c>
      <c r="P44" s="2" t="str">
        <f>_xlfn.XLOOKUP(B44,'Base stats'!B:B,'Base stats'!R:R)</f>
        <v>Standard</v>
      </c>
      <c r="Q44" s="13">
        <f>MROUND((LOG10(_xlfn.XLOOKUP(B44,'Base stats'!B:B,'Base stats'!AR:AR))*(AO44^0.5)+(_xlfn.XLOOKUP(B44,'Base stats'!B:B,'Base stats'!AR:AR)/1000)^(2/3)+_xlfn.XLOOKUP(B44,'Base stats'!B:B,'Base stats'!BA:BA)/2)+0.5,0.5)</f>
        <v>14</v>
      </c>
      <c r="R44" s="7">
        <f>IF(Q44="No","No",MAX(1,MROUND(_xlfn.XLOOKUP(B44,'Base stats'!B:B,'Base stats'!C:C)^0.165,0.05)))</f>
        <v>2.6500000000000004</v>
      </c>
      <c r="S44" s="13">
        <f>IF(_xlfn.XLOOKUP(_xlfn.XLOOKUP(B44,'Base stats'!B:B,'Base stats'!E:E),Groups!A:A,Groups!P:P)=0,"No",MROUND((LOG10(_xlfn.XLOOKUP(B44,'Base stats'!B:B,'Base stats'!AS:AS))*(AO44^0.5)+(_xlfn.XLOOKUP(B44,'Base stats'!B:B,'Base stats'!AS:AS)/1000)^(2/3)+_xlfn.XLOOKUP(B44,'Base stats'!B:B,'Base stats'!BA:BA))+_xlfn.XLOOKUP(B44,'Base stats'!B:B,'Base stats'!AY:AY)+0.5,0.5))</f>
        <v>17</v>
      </c>
      <c r="T44" s="7">
        <f>IF(S44="No","No",MAX(_xlfn.XLOOKUP(_xlfn.XLOOKUP(B44,'Base stats'!B:B,'Base stats'!E:E),Groups!A:A,Groups!Q:Q),MROUND(_xlfn.XLOOKUP(_xlfn.XLOOKUP(B44,'Base stats'!B:B,'Base stats'!E:E),Groups!A:A,Groups!Q:Q)*_xlfn.XLOOKUP(B44,'Base stats'!B:B,'Base stats'!C:C)^0.165,0.05)))</f>
        <v>2.6500000000000004</v>
      </c>
      <c r="U44" s="7" t="str">
        <f>IF(S44="No","No",_xlfn.XLOOKUP(_xlfn.XLOOKUP(B44,'Base stats'!B:B,'Base stats'!E:E),Groups!A:A,Groups!R:R))</f>
        <v>FrontLeftLeg, FrontRightLeg</v>
      </c>
      <c r="V44" s="7" t="str">
        <f>IF(S44="No","No",_xlfn.XLOOKUP(_xlfn.XLOOKUP(B44,'Base stats'!B:B,'Base stats'!E:E),Groups!A:A,Groups!S:S))</f>
        <v>left hoof, right hoof</v>
      </c>
      <c r="W44" s="7" t="str">
        <f>IF(S44="No","No",_xlfn.XLOOKUP(_xlfn.XLOOKUP(B44,'Base stats'!B:B,'Base stats'!E:E),Groups!A:A,Groups!T:T))</f>
        <v>Blunt</v>
      </c>
      <c r="X44" s="13">
        <f>IF(_xlfn.XLOOKUP(B44,'Base stats'!B:B,'Base stats'!W:W)="No","No",MROUND((LOG10(_xlfn.XLOOKUP(B44,'Base stats'!B:B,'Base stats'!AU:AU))*(AO44^0.5)+(_xlfn.XLOOKUP(B44,'Base stats'!B:B,'Base stats'!AU:AU)/1000)^(2/3)+_xlfn.XLOOKUP(B44,'Base stats'!B:B,'Base stats'!AZ:AZ))+0.5+IF(_xlfn.XLOOKUP(_xlfn.XLOOKUP(B44,'Base stats'!B:B,'Base stats'!E:E),Groups!A:A,Groups!U:U)&lt;&gt;3,_xlfn.XLOOKUP(B44,'Base stats'!B:B,'Base stats'!BA:BA),0),0.5))</f>
        <v>16</v>
      </c>
      <c r="Y44" s="7">
        <f>IF(X44="No","No",MAX(_xlfn.XLOOKUP(_xlfn.XLOOKUP(B44,'Base stats'!B:B,'Base stats'!E:E),Groups!A:A,Groups!V:V),MROUND(_xlfn.XLOOKUP(_xlfn.XLOOKUP(B44,'Base stats'!B:B,'Base stats'!E:E),Groups!A:A,Groups!V:V)*_xlfn.XLOOKUP(B44,'Base stats'!B:B,'Base stats'!C:C)^0.165,0.05)))</f>
        <v>2.25</v>
      </c>
      <c r="Z44" s="7" t="str">
        <f>IF(X44="No","No",_xlfn.XLOOKUP(_xlfn.XLOOKUP(B44,'Base stats'!B:B,'Base stats'!E:E),Groups!A:A,Groups!W:W))</f>
        <v>HeadAttackTool</v>
      </c>
      <c r="AA44" s="7" t="str">
        <f>IF(X44="No","No",_xlfn.XLOOKUP(_xlfn.XLOOKUP(B44,'Base stats'!B:B,'Base stats'!E:E),Groups!A:A,Groups!X:X))</f>
        <v>horn</v>
      </c>
      <c r="AB44" s="7" t="str">
        <f>IF(X44="No","No",_xlfn.XLOOKUP(_xlfn.XLOOKUP(B44,'Base stats'!B:B,'Base stats'!E:E),Groups!A:A,Groups!Y:Y))</f>
        <v>Scratch</v>
      </c>
      <c r="AC44" s="7" t="str">
        <f>_xlfn.XLOOKUP(Animals!B44,'Base stats'!B:B,'Base stats'!X:X)</f>
        <v>False</v>
      </c>
      <c r="AD44" s="13" t="str">
        <f>IF(_xlfn.XLOOKUP(B44,'Base stats'!B:B,'Base stats'!AT:AT)="No","No",MROUND((LOG10(_xlfn.XLOOKUP(B44,'Base stats'!B:B,'Base stats'!AT:AT))*(AO44^0.75)+(_xlfn.XLOOKUP(B44,'Base stats'!B:B,'Base stats'!AT:AT)/1000)^(2/3)+_xlfn.XLOOKUP(B44,'Base stats'!B:B,'Base stats'!AX:AX)+_xlfn.XLOOKUP(B44,'Base stats'!B:B,'Base stats'!BA:BA))+0.5,0.5))</f>
        <v>No</v>
      </c>
      <c r="AE44" s="7" t="str">
        <f>IF(AD44="No","No",MAX(_xlfn.XLOOKUP(_xlfn.XLOOKUP(B44,'Base stats'!B:B,'Base stats'!E:E),Groups!A:A,Groups!Z:Z),MROUND(_xlfn.XLOOKUP(_xlfn.XLOOKUP(B44,'Base stats'!B:B,'Base stats'!E:E),Groups!A:A,Groups!Z:Z)*_xlfn.XLOOKUP(B44,'Base stats'!B:B,'Base stats'!C:C)^0.165,0.05)))</f>
        <v>No</v>
      </c>
      <c r="AF44" s="7" t="str">
        <f>IF(AD44="No","No",_xlfn.XLOOKUP(_xlfn.XLOOKUP(B44,'Base stats'!B:B,'Base stats'!E:E),Groups!A:A,Groups!AA:AA))</f>
        <v>No</v>
      </c>
      <c r="AG44" s="7" t="str">
        <f>IF(AD44="No","No",_xlfn.XLOOKUP(_xlfn.XLOOKUP(B44,'Base stats'!B:B,'Base stats'!E:E),Groups!A:A,Groups!AB:AB))</f>
        <v>No</v>
      </c>
      <c r="AH44" s="7" t="str">
        <f>IF(AD44="No","No",_xlfn.XLOOKUP(_xlfn.XLOOKUP(B44,'Base stats'!B:B,'Base stats'!E:E),Groups!A:A,Groups!AC:AC))</f>
        <v>No</v>
      </c>
      <c r="AI44" s="13" t="str">
        <f>IF(_xlfn.XLOOKUP(_xlfn.XLOOKUP(B44,'Base stats'!B:B,'Base stats'!E:E),Groups!A:A,Groups!AD:AD)=0,"No",MROUND((LOG10(_xlfn.XLOOKUP(B44,'Base stats'!B:B,'Base stats'!AS:AS))*(AO44^0.75)+(_xlfn.XLOOKUP(B44,'Base stats'!B:B,'Base stats'!AS:AS)/1000)^(2/3)+_xlfn.XLOOKUP(B44,'Base stats'!B:B,'Base stats'!AY:AY)+_xlfn.XLOOKUP(B44,'Base stats'!B:B,'Base stats'!BA:BA))+0.5,0.5))</f>
        <v>No</v>
      </c>
      <c r="AJ44" s="7" t="str">
        <f>IF(AI44="No","No",MAX(_xlfn.XLOOKUP(_xlfn.XLOOKUP(B44,'Base stats'!B:B,'Base stats'!E:E),Groups!A:A,Groups!AE:AE),MROUND(_xlfn.XLOOKUP(_xlfn.XLOOKUP(B44,'Base stats'!B:B,'Base stats'!E:E),Groups!A:A,Groups!AE:AE)*IF(_xlfn.XLOOKUP(_xlfn.XLOOKUP(B44,'Base stats'!B:B,'Base stats'!E:E),Groups!A:A,Groups!AJ:AJ)="Photonozoa",0.6,1)*_xlfn.XLOOKUP(B44,'Base stats'!B:B,'Base stats'!C:C)^0.165,0.05)))</f>
        <v>No</v>
      </c>
      <c r="AK44" s="7" t="str">
        <f>IF(AI44="No","No",_xlfn.XLOOKUP(_xlfn.XLOOKUP(B44,'Base stats'!B:B,'Base stats'!E:E),Groups!A:A,Groups!AF:AF))</f>
        <v>No</v>
      </c>
      <c r="AL44" s="7" t="str">
        <f>IF(AI44="No","No",_xlfn.XLOOKUP(_xlfn.XLOOKUP(B44,'Base stats'!B:B,'Base stats'!E:E),Groups!A:A,Groups!AG:AG))</f>
        <v>No</v>
      </c>
      <c r="AM44" s="7" t="str">
        <f>IF(AI44="No","No",_xlfn.XLOOKUP(_xlfn.XLOOKUP(B44,'Base stats'!B:B,'Base stats'!E:E),Groups!A:A,Groups!AH:AH))</f>
        <v>No</v>
      </c>
      <c r="AN44" s="2" t="str">
        <f t="shared" si="0"/>
        <v>No</v>
      </c>
      <c r="AO44" s="2">
        <f>MROUND(IF(AND(_xlfn.XLOOKUP(B44,'Base stats'!B:B,'Base stats'!C:C)&gt;=0.5,_xlfn.XLOOKUP(B44,'Base stats'!B:B,'Base stats'!C:C)&lt;=0.8),
IF(_xlfn.XLOOKUP(B44,'Base stats'!B:B,'Base stats'!C:C)&lt;0.1,0.05,IF(_xlfn.XLOOKUP(B44,'Base stats'!B:B,'Base stats'!C:C)&lt;=70,(_xlfn.XLOOKUP(B44,'Base stats'!B:B,'Base stats'!C:C)/70)^0.426489913056526,IF(_xlfn.XLOOKUP(B44,'Base stats'!B:B,'Base stats'!C:C)&lt;=400,(_xlfn.XLOOKUP(B44,'Base stats'!B:B,'Base stats'!C:C)/70)^0.572811455315093,IF(_xlfn.XLOOKUP(B44,'Base stats'!B:B,'Base stats'!C:C)&lt;=2000,2.71391647193063*(_xlfn.XLOOKUP(B44,'Base stats'!B:B,'Base stats'!C:C)/400)^0.252459582904293,3.74314280240376*(_xlfn.XLOOKUP(B44,'Base stats'!B:B,'Base stats'!C:C)/2000)^0.357012633876913)))),
IF(_xlfn.XLOOKUP(B44,'Base stats'!B:B,'Base stats'!C:C)&lt;0.1,0.05,IF(_xlfn.XLOOKUP(B44,'Base stats'!B:B,'Base stats'!C:C)&lt;0.4,0.1,IF(_xlfn.XLOOKUP(B44,'Base stats'!B:B,'Base stats'!C:C)&lt;=70,(_xlfn.XLOOKUP(B44,'Base stats'!B:B,'Base stats'!C:C)/70)^0.445823913056526,IF(_xlfn.XLOOKUP(B44,'Base stats'!B:B,'Base stats'!C:C)&lt;=400,(_xlfn.XLOOKUP(B44,'Base stats'!B:B,'Base stats'!C:C)/70)^0.572811455315093,IF(_xlfn.XLOOKUP(B44,'Base stats'!B:B,'Base stats'!C:C)&lt;=2000,2.71391647193063*(_xlfn.XLOOKUP(B44,'Base stats'!B:B,'Base stats'!C:C)/400)^0.252459582904293,3.74314280240376*(_xlfn.XLOOKUP(B44,'Base stats'!B:B,'Base stats'!C:C)/2000)^0.357012633876913)))))),
IF(_xlfn.XLOOKUP(B44,'Base stats'!B:B,'Base stats'!C:C)&lt;0.1,0.05,IF(_xlfn.XLOOKUP(B44,'Base stats'!B:B,'Base stats'!C:C)&lt;=100,0.05,IF(_xlfn.XLOOKUP(B44,'Base stats'!B:B,'Base stats'!C:C)&lt;=250,0.1,IF(_xlfn.XLOOKUP(B44,'Base stats'!B:B,'Base stats'!C:C)&lt;=4000,0.25,0.5)))))</f>
        <v>2.5</v>
      </c>
      <c r="AP44" s="8">
        <f>MROUND(AO44*_xlfn.XLOOKUP(_xlfn.XLOOKUP(B44,'Base stats'!B:B,'Base stats'!E:E),Groups!A:A,Groups!AI:AI)*_xlfn.XLOOKUP(B44,'Base stats'!B:B,'Base stats'!Z:Z),0.05)</f>
        <v>2.5</v>
      </c>
      <c r="AQ44" s="8">
        <f>MAX(0.01,MROUND(IF(CC44="True",0.196*(AO44*100*1000)^0.889,IF(_xlfn.XLOOKUP(_xlfn.XLOOKUP(B44,'Base stats'!B:B,'Base stats'!E:E),Groups!A:A,Groups!AJ:AJ)="Bird",10.5*(AO44*100*1000)^0.681,4.82*(AO44*100*1000)^0.734))/(4.82*(1*100*1000)^0.734)/IF(AO44&lt;3.5,2,IF(AO44=3.5,1.5,1.25))*(1+0.132282374779864/(AO44^0.994035016789033+0.00905238001496948)),0.05))</f>
        <v>1.05</v>
      </c>
      <c r="AR44" s="9">
        <f>IFERROR(MROUND(_xlfn.XLOOKUP(B44,'Base stats'!B:B,'Base stats'!H:H)/IF(_xlfn.XLOOKUP(B44,'Base stats'!B:B,'Base stats'!I:I)&lt;&gt;1,(122.5/70),1.2),IF(_xlfn.XLOOKUP(B44,'Base stats'!B:B,'Base stats'!H:H)&gt;=30,5,IF(_xlfn.XLOOKUP(B44,'Base stats'!B:B,'Base stats'!H:H)&gt;=15,3,IF(_xlfn.XLOOKUP(B44,'Base stats'!B:B,'Base stats'!H:H)&gt;=10,2,1)))),"Immortal")</f>
        <v>15</v>
      </c>
      <c r="AS44" s="35">
        <f>IFERROR(IF(OR(_xlfn.XLOOKUP(B44,'Base stats'!B:B,'Base stats'!F:F)="Atypical reproduction",_xlfn.XLOOKUP(B44,'Base stats'!B:B,'Base stats'!F:F)="Lay eggs"),"Lay eggs",MIN(20,MAX(5.5,ROUND(((_xlfn.XLOOKUP(B44,'Base stats'!B:B,'Base stats'!F:F)-25)*(14.5/615) + 5.5)*2,0)/2))),"Unknown")</f>
        <v>10.5</v>
      </c>
      <c r="AT44" s="8">
        <f>IF(_xlfn.XLOOKUP(B44,'Base stats'!B:B,'Base stats'!G:G)="Atypical reproduction","No",IFERROR(MAX(IF(_xlfn.XLOOKUP(B44,'Base stats'!B:B,'Base stats'!G:G)&lt;0.5,0.2,0.3),MROUND(_xlfn.XLOOKUP(B44,'Base stats'!B:B,'Base stats'!G:G)/(365/60),0.2)),"Unknown"))</f>
        <v>0.4</v>
      </c>
      <c r="AU44" s="8">
        <f t="shared" si="1"/>
        <v>0.2</v>
      </c>
      <c r="AV44" s="8">
        <f>IFERROR(IFERROR(MROUND(_xlfn.XLOOKUP(B44,'Base stats'!B:B,'Base stats'!J:J),0.1),"Lay eggs"),"Cannot breed")</f>
        <v>1</v>
      </c>
      <c r="AW44" s="2" t="str">
        <f t="shared" si="2"/>
        <v>true</v>
      </c>
      <c r="AX44" s="2" t="str">
        <f>IF(_xlfn.XLOOKUP(_xlfn.XLOOKUP(Animals!B44,'Base stats'!B:B,'Base stats'!E:E),Groups!A:A,Groups!AK:AK)=1,"true","false")</f>
        <v>true</v>
      </c>
      <c r="AY44" s="25" t="str">
        <f>IF(_xlfn.XLOOKUP(B44,'Base stats'!B:B,'Base stats'!Y:Y)="Liquor","Liquor, CarnivoreAnimalStrict",IF(AND(_xlfn.XLOOKUP(B44,'Base stats'!B:B,'Base stats'!Y:Y)="Carnivore",_xlfn.XLOOKUP(_xlfn.XLOOKUP(B44,'Base stats'!B:B,'Base stats'!E:E),Groups!A:A,Groups!AJ:AJ)="Photonozoa"),"CarnivoreAnimalStrict, OvivoreAnimal",IF(_xlfn.XLOOKUP(B44,'Base stats'!B:B,'Base stats'!Y:Y)="Carnivore","CarnivoreAnimal, OvivoreAnimal",IF(_xlfn.XLOOKUP(B44,'Base stats'!B:B,'Base stats'!Y:Y)="Dendrovore","VegetarianRoughAnimal, DendrovoreAnimal",IF(_xlfn.XLOOKUP(B44,'Base stats'!B:B,'Base stats'!Y:Y)="Herbivore","VegetarianRoughAnimal",IF(_xlfn.XLOOKUP(B44,'Base stats'!B:B,'Base stats'!Y:Y)="OmnivoreRough","OmnivoreRoughAnimal, OvivoreAnimal","OmnivoreAnimal, OvivoreAnimal"))))))</f>
        <v>VegetarianRoughAnimal</v>
      </c>
      <c r="AZ44" s="2">
        <f>IF(_xlfn.XLOOKUP(_xlfn.XLOOKUP(B44,'Base stats'!B:B,'Base stats'!E:E),Groups!A:A,Groups!D:D)=1,MROUND((1-J44)*5+1,2)*IF(J44&lt;=0.4,2,1),"No")</f>
        <v>2</v>
      </c>
      <c r="BA44" s="2" t="str">
        <f>IF(AND(_xlfn.XLOOKUP(B44,'Base stats'!B:B,'Base stats'!AH:AH)="&lt;li&gt;Seal&lt;/li&gt;",G44="Odyssey"),"&lt;li&gt;AEXP_Seal&lt;/li&gt;",_xlfn.XLOOKUP(B44,'Base stats'!B:B,'Base stats'!AH:AH))</f>
        <v>No</v>
      </c>
      <c r="BB44" s="2" t="str">
        <f>_xlfn.XLOOKUP(B44,'Base stats'!B:B,'Base stats'!AG:AG)</f>
        <v>Leather_Bluefur</v>
      </c>
      <c r="BC44" s="23" t="str">
        <f>_xlfn.XLOOKUP(_xlfn.XLOOKUP(B44,'Base stats'!B:B,'Base stats'!E:E),Groups!A:A,Groups!AL:AL)</f>
        <v>QuadrupedAnimalWithHooves</v>
      </c>
      <c r="BD44" s="23">
        <f>MIN(1,MROUND(IF(AND(AO44&lt;0.5,_xlfn.XLOOKUP(B44,'Base stats'!B:B,'Base stats'!AA:AA)=0),0,IF(OR(_xlfn.XLOOKUP(Animals!B44,'Base stats'!B:B,'Base stats'!O:O)=2,_xlfn.XLOOKUP(_xlfn.XLOOKUP(B44,'Base stats'!B:B,'Base stats'!E:E),Groups!A:A,Groups!AN:AN)=0),0,_xlfn.XLOOKUP(_xlfn.XLOOKUP(B44,'Base stats'!B:B,'Base stats'!E:E),Groups!A:A,Groups!AN:AN)/IF(_xlfn.XLOOKUP(Animals!B44,'Base stats'!B:B,'Base stats'!O:O)=1,2,1)))+_xlfn.XLOOKUP(B44,'Base stats'!B:B,'Base stats'!AC:AC),0.005))</f>
        <v>2.5000000000000001E-2</v>
      </c>
      <c r="BE44" s="23">
        <f>MIN(1,MROUND(IF(AND(AO44&lt;0.5,_xlfn.XLOOKUP(B44,'Base stats'!B:B,'Base stats'!AA:AA)=0),0,IF(_xlfn.XLOOKUP(_xlfn.XLOOKUP(B44,'Base stats'!B:B,'Base stats'!E:E),Groups!A:A,Groups!AO:AO)=0,0,_xlfn.XLOOKUP(_xlfn.XLOOKUP(B44,'Base stats'!B:B,'Base stats'!E:E),Groups!A:A,Groups!AO:AO)/IF(_xlfn.XLOOKUP(Animals!B44,'Base stats'!B:B,'Base stats'!O:O)=2,3,1)))+_xlfn.XLOOKUP(B44,'Base stats'!B:B,'Base stats'!AD:AD),0.005))</f>
        <v>0.1</v>
      </c>
      <c r="BF44" s="2" t="str">
        <f>IF(J44&gt;0.3,"No",_xlfn.XLOOKUP(_xlfn.XLOOKUP(Animals!B44,'Base stats'!B:B,'Base stats'!E:E),Groups!A:A,Groups!AP:AP))</f>
        <v>No</v>
      </c>
      <c r="BG44" s="2" t="str">
        <f>IF(AND(J44&lt;=0.65,_xlfn.XLOOKUP(_xlfn.XLOOKUP(Animals!B44,'Base stats'!B:B,'Base stats'!E:E),Groups!A:A,Groups!AP:AP)&lt;&gt;"No",_xlfn.XLOOKUP(_xlfn.XLOOKUP(B44,'Base stats'!B:B,'Base stats'!E:E),Groups!A:A,Groups!D:D)=0),MROUND((80/3)*IF(_xlfn.XLOOKUP(B44,'Base stats'!B:B,'Base stats'!O:O)=2,0.2,AO44) + 24*(1-IF(BF44="No",0,BF44)) + 16/3, 12),"No")</f>
        <v>No</v>
      </c>
      <c r="BH44" s="2">
        <f>IF(AND(_xlfn.XLOOKUP(_xlfn.XLOOKUP(B44,'Base stats'!B:B,'Base stats'!E:E),Groups!A:A,Groups!AQ:AQ)=1,AO44&lt;=0.35),8,12)</f>
        <v>12</v>
      </c>
      <c r="BI44" s="2" t="str">
        <f>IF(_xlfn.XLOOKUP(_xlfn.XLOOKUP(B44,'Base stats'!B:B,'Base stats'!E:E),Groups!A:A,Groups!D:D)=0,_xlfn.XLOOKUP(_xlfn.XLOOKUP(B44,'Base stats'!B:B,'Base stats'!E:E),Groups!A:A,Groups!AR:AR),"None")</f>
        <v>None</v>
      </c>
      <c r="BJ44" s="2" t="str">
        <f>IF(AND(_xlfn.XLOOKUP(_xlfn.XLOOKUP(B44,'Base stats'!B:B,'Base stats'!E:E),Groups!A:A,Groups!AS:AS)=1,OR(_xlfn.XLOOKUP(B44,'Base stats'!B:B,'Base stats'!Y:Y)="Carnivore",_xlfn.XLOOKUP(B44,'Base stats'!B:B,'Base stats'!Y:Y)="Omnivore")),"true","false")</f>
        <v>false</v>
      </c>
      <c r="BK44" s="2" t="str">
        <f>IF(BJ44="true",MROUND(IF(AND(AO44&gt;0.5,OR(_xlfn.XLOOKUP(_xlfn.XLOOKUP(B44,'Base stats'!B:B,'Base stats'!E:E),Groups!A:A,Groups!AJ:AJ)="Photonozoa",_xlfn.XLOOKUP(_xlfn.XLOOKUP(B44,'Base stats'!B:B,'Base stats'!E:E),Groups!A:A,Groups!AJ:AJ)="Mammal")),Animals!AO44*1.75*IF(AW44="true",1.5,1),IF(AO44&lt;0.5,Animals!AO44*0.5,Animals!AO44)),IF(AO44&gt;2,0.5,IF(AO44&gt;0.5,0.25,0.1))),"No")</f>
        <v>No</v>
      </c>
      <c r="BL44" s="2">
        <f t="shared" si="3"/>
        <v>0</v>
      </c>
      <c r="BM44" s="25" t="str">
        <f>IF(_xlfn.XLOOKUP(B44,'Base stats'!B:B,'Base stats'!AN:AN)="Standard","No",MROUND((_xlfn.XLOOKUP(B44,'Base stats'!B:B,'Base stats'!AN:AN)/3.6)/I44,0.1))</f>
        <v>No</v>
      </c>
      <c r="BN44" s="25" t="str">
        <f t="shared" si="4"/>
        <v>false</v>
      </c>
      <c r="BO44" s="25" t="str">
        <f>IF(AND(OR(_xlfn.XLOOKUP(B44,'Base stats'!B:B,'Base stats'!Y:Y)="Carnivore",_xlfn.XLOOKUP(B44,'Base stats'!B:B,'Base stats'!Y:Y)="Omnivore",_xlfn.XLOOKUP(B44,'Base stats'!B:B,'Base stats'!Y:Y)="OmnivoreRough"),_xlfn.XLOOKUP(_xlfn.XLOOKUP(B44,'Base stats'!B:B,'Base stats'!E:E),Groups!A:A,Groups!AT:AT)=1),"true","false")</f>
        <v>false</v>
      </c>
      <c r="BP44" s="25" t="str" cm="1">
        <f t="array" ref="BP44">IF(
  _xlfn.TEXTJOIN(", ",TRUE,
    IF(AND(BJ44="true",AO44&gt;0.5,BI44&lt;&gt;"None"),"AttackTarget",""),
    IF(AND(_xlfn.XLOOKUP(_xlfn.XLOOKUP(B44,'Base stats'!B:B,'Base stats'!E:E),Groups!A:A,Groups!AJ:AJ="Mammal"),OR(_xlfn.XLOOKUP(B44,'Base stats'!B:B,'Base stats'!Y:Y)="Omnivore",_xlfn.XLOOKUP(B44,'Base stats'!B:B,'Base stats'!Y:Y)="OmnivoreRough")),"Forage",""),
    IF(BG44&lt;=36,"Comfort",""),
    IF(_xlfn.XLOOKUP(B44,'Base stats'!B:B,'Base stats'!AE:AE)&lt;&gt;"No",_xlfn.XLOOKUP(B44,'Base stats'!B:B,'Base stats'!AE:AE),"")
  ) = "",
  "No",
  _xlfn.TEXTJOIN(", ",TRUE,
    IF(AND(BJ44="true",AO44&gt;0.5,BI44&lt;&gt;"None"),"AttackTarget",""),
    IF(AND(_xlfn.XLOOKUP(_xlfn.XLOOKUP(B44,'Base stats'!B:B,'Base stats'!E:E),Groups!A:A,Groups!AJ:AJ="Mammal"),OR(_xlfn.XLOOKUP(B44,'Base stats'!B:B,'Base stats'!Y:Y)="Omnivore",_xlfn.XLOOKUP(B44,'Base stats'!B:B,'Base stats'!Y:Y)="OmnivoreRough")),"Forage",""),
    IF(BG44&lt;=36,"Comfort",""),
    IF(_xlfn.XLOOKUP(B44,'Base stats'!B:B,'Base stats'!AE:AE)&lt;&gt;"No",_xlfn.XLOOKUP(B44,'Base stats'!B:B,'Base stats'!AE:AE),"")
  )
)</f>
        <v>No</v>
      </c>
      <c r="BQ44" s="25" t="str">
        <f>IF(
   AND(
      'Base stats'!AN44="Standard",_xlfn.XLOOKUP(_xlfn.XLOOKUP(B44,'Base stats'!B:B,'Base stats'!E:E),Groups!A:A,Groups!AU:AU)=0,
      OR(
      BO44="True"
      )
   ),
   10,
   IF(
       OR(BM44&lt;&gt;"No",_xlfn.XLOOKUP(_xlfn.XLOOKUP(B44,'Base stats'!B:B,'Base stats'!E:E),Groups!A:A,Groups!AU:AU)=1),
      1,
      "No"
   )
)</f>
        <v>No</v>
      </c>
      <c r="BR44" s="9">
        <f>MROUND((1 + ((0.2*IF(OR(Q44="No",R44="No",R44=0),0,Q44/R44)
+IF(OR(V44="No",S44="No",T44="No"),0,S44/T44*(LEN(V44)-LEN(SUBSTITUTE(V44,",",""))+1))
+IF(OR(X44="No",Y44="No"),0,X44/Y44)
+IF(OR(AD44="No",AE44="No"),0,AD44/AE44)
+IF(OR(AL44="No",AI44="No",AJ44="No"),0,AI44/AJ44*(LEN(AL44)-LEN(SUBSTITUTE(AL44,",",""))+1))
)/(0.2*IF(OR(Q44="No",R44="No",R44=0),0,1)
+IF(OR(V44="No",S44="No",T44="No"),0,LEN(V44)-LEN(SUBSTITUTE(V44,",",""))+1)
+IF(OR(X44="No",Y44="No"),0,1)
+IF(OR(AD44="No",AE44="No"),0,1)
+IF(OR(AL44="No",AI44="No",AJ44="No"),0,LEN(AL44)-LEN(SUBSTITUTE(AL44,",",""))+1))*62%)* 2)*(1 + (AP44 / (IF(_xlfn.XLOOKUP(_xlfn.XLOOKUP(B44,'Base stats'!B:B,'Base stats'!E:E),Groups!A:A,Groups!AJ:AJ)="Photonozoa",0.3,1)) + _xlfn.XLOOKUP(B44,'Base stats'!B:B,'Base stats'!AV:AV) * 1.8) * 2) * 2.5 + 10 + I44 * 2,5)+IF(_xlfn.XLOOKUP(B44,'Base stats'!B:B,'Base stats'!AK:AK)=1,50,0)</f>
        <v>160</v>
      </c>
      <c r="BS44" s="8">
        <f t="shared" si="5"/>
        <v>1.35</v>
      </c>
      <c r="BT44" s="8" t="str">
        <f>_xlfn.XLOOKUP(B44,'Base stats'!B:B,'Base stats'!AF:AF)</f>
        <v>3~10</v>
      </c>
      <c r="BU44" s="2" t="str">
        <f>IF(AND(J44&lt;=0.95,OR(_xlfn.XLOOKUP(B44,'Base stats'!B:B,'Base stats'!AK:AK)=1,_xlfn.XLOOKUP(B44,'Base stats'!B:B,'Base stats'!Y:Y)="Carnivore",_xlfn.XLOOKUP(B44,'Base stats'!B:B,'Base stats'!Y:Y)="Omnivore",BE44&gt;0.1)),"true","false")</f>
        <v>false</v>
      </c>
      <c r="BV44" s="2" t="str">
        <f>IF(_xlfn.XLOOKUP(B44,'Base stats'!B:B,'Base stats'!AI:AI)=1,"true","false")</f>
        <v>true</v>
      </c>
      <c r="BW44" s="25" t="str">
        <f>IF(E44="BaseInsect","AnimalInsect",
IF(J44&gt;0.95,"AnimalExotic",
_xlfn.TEXTJOIN(", ",TRUE,
IF(OR(_xlfn.XLOOKUP(B44,'Base stats'!B:B,'Base stats'!AM:AM)=1,AND(_xlfn.XLOOKUP(B44,'Base stats'!B:B,'Base stats'!O:O)=0,_xlfn.XLOOKUP(_xlfn.XLOOKUP(B44,'Base stats'!B:B,'Base stats'!E:E),Groups!A:A,Groups!B:B)&gt;0)),"AnimalUncommon","AnimalCommon"),
IF(AND(_xlfn.XLOOKUP(B44,'Base stats'!B:B,'Base stats'!O:O)=2,_xlfn.XLOOKUP(_xlfn.XLOOKUP(B44,'Base stats'!B:B,'Base stats'!E:E),Groups!A:A,Groups!D:D)=0),"AnimalPet",IF(AND(_xlfn.XLOOKUP(B44,'Base stats'!B:B,'Base stats'!O:O)&lt;&gt;0,_xlfn.XLOOKUP(_xlfn.XLOOKUP(B44,'Base stats'!B:B,'Base stats'!E:E),Groups!A:A,Groups!D:D)&lt;&gt;0),"AnimalFarm","")),
IF(OR(_xlfn.XLOOKUP(B44,'Base stats'!B:B,'Base stats'!AK:AK)=1,AND(BI44&lt;&gt;"None",BR44&gt;=60),ISNUMBER(SEARCH("Attack target",BP44))),"AnimalFighter","")
)))</f>
        <v>AnimalCommon</v>
      </c>
      <c r="BX44" s="25" t="str">
        <f>IF(G44="None",TRIM(
SUBSTITUTE(
IF(COUNTIF(Biomes!B$2:B$259,"="&amp;$C44)&gt;0,Biomes!B$1&amp;", ","")&amp;
IF(COUNTIF(Biomes!C$2:C$259,"="&amp;$C44)&gt;0,Biomes!C$1&amp;", ","")&amp;
IF(COUNTIF(Biomes!D$2:D$259,"="&amp;$C44)&gt;0,Biomes!D$1&amp;", ","")&amp;
IF(COUNTIF(Biomes!F$2:F$259,"="&amp;$C44)&gt;0,Biomes!F$1&amp;", ","")&amp;
IF(COUNTIF(Biomes!G$2:G$259,"="&amp;$C44)&gt;0,Biomes!G$1&amp;", ","")&amp;
IF(COUNTIF(Biomes!H$2:H$259,"="&amp;$C44)&gt;0,Biomes!H$1&amp;", ","")&amp;
IF(COUNTIF(Biomes!I$2:I$259,"="&amp;$C44)&gt;0,Biomes!I$1&amp;", ","")&amp;
IF(COUNTIF(Biomes!J$2:J$259,"="&amp;$C44)&gt;0,Biomes!J$1&amp;", ","")&amp;
IF(COUNTIF(Biomes!M$2:M$259,"="&amp;$C44)&gt;0,Biomes!M$1&amp;", ","")&amp;
IF(COUNTIF(Biomes!N$2:N$259,"="&amp;$C44)&gt;0,Biomes!N$1&amp;", ","")&amp;
IF(COUNTIF(Biomes!O$2:O$259,"="&amp;$C44)&gt;0,Biomes!O$1&amp;", ","")&amp;
IF(COUNTIF(Biomes!P$2:P$259,"="&amp;$C44)&gt;0,Biomes!P$1&amp;", ","")&amp;
IF(COUNTIF(Biomes!K$2:K$259,"="&amp;$C44)&gt;0,Biomes!K$1&amp;", ","")&amp;
IF(COUNTIF(Biomes!Q$3:Q$259,"="&amp;$C44)&gt;0,Biomes!Q$1&amp;", ","")&amp;
IF(COUNTIF(Biomes!L$2:L$259,"="&amp;$C44)&gt;0,Biomes!L$1&amp;", ","")&amp;
IF(COUNTIF(Biomes!E$2:E$259,"="&amp;$C44)&gt;0,Biomes!E$1&amp;", ","")&amp;IF(COUNTIF(Biomes!S$2:S$259,"="&amp;$C44)&gt;0,Biomes!S$1&amp;", ","")&amp;
IF(COUNTIF(Biomes!R$2:R$259,"="&amp;$C44)&gt;0,Biomes!R$1&amp;", ",""),", ","")
),_xlfn.XLOOKUP(B44,B:B,BX:BX))</f>
        <v>Tundra BorealForest ColdBog TemperateForest TemperateSwamp GlacialPlain</v>
      </c>
      <c r="BY44" s="25" t="str">
        <f>IF(_xlfn.XLOOKUP(B44,'Base stats'!B:B,'Base stats'!AJ:AJ)=1,"true","false")</f>
        <v>false</v>
      </c>
      <c r="BZ44" s="25">
        <f>IF(_xlfn.XLOOKUP(B44,'Base stats'!B:B,'Base stats'!N:N)=1,"No",MAX(0.001,MIN(MROUND(IF(AND(BJ44="True",CC44="False"),POWER(10,3.47*LOG10(_xlfn.XLOOKUP(B44,'Base stats'!B:B,'Base stats'!C:C)*1000)^-0.96),POWER(10,4.15*LOG10(_xlfn.XLOOKUP(B44,'Base stats'!B:B,'Base stats'!C:C)*1000)^-0.73))*IF(_xlfn.XLOOKUP(B44,'Base stats'!B:B,'Base stats'!AK:AK)=1,0.5,1)*IF(_xlfn.XLOOKUP(B44,'Base stats'!B:B,'Base stats'!AM:AM)=1,0.1,1)/100,IF(_xlfn.XLOOKUP(B44,'Base stats'!B:B,'Base stats'!AM:AM)=1,0.001,0.025)),0.5)))</f>
        <v>0.15000000000000002</v>
      </c>
      <c r="CA44" s="25" t="str">
        <f>IF(P44="Standard","No",MAX(0.001,MIN(MROUND(IF(AND(BJ44="True",CC44="False"),POWER(10,3.47*LOG10(_xlfn.XLOOKUP(B44,'Base stats'!B:B,'Base stats'!C:C)*1000)^-0.96),POWER(10,4.15*LOG10(_xlfn.XLOOKUP(B44,'Base stats'!B:B,'Base stats'!C:C)*1000)^-0.73))*IF(_xlfn.XLOOKUP(B44,'Base stats'!B:B,'Base stats'!AM:AM)=1,0.1,1)*_xlfn.XLOOKUP(B44,'Base stats'!B:B,'Base stats'!R:R)/100,IF(_xlfn.XLOOKUP(B44,'Base stats'!B:B,'Base stats'!AM:AM)=1,0.001,0.025)),0.5)))</f>
        <v>No</v>
      </c>
      <c r="CB44" s="25" t="str">
        <f>IF(_xlfn.XLOOKUP(_xlfn.XLOOKUP(B44,'Base stats'!B:B,'Base stats'!E:E),Groups!A:A,Groups!AJ:AJ)="Mammal","True","False")</f>
        <v>True</v>
      </c>
      <c r="CC44" s="25" t="str">
        <f>IF(OR(_xlfn.XLOOKUP(_xlfn.XLOOKUP(B44,'Base stats'!B:B,'Base stats'!E:E),Groups!A:A,Groups!AJ:AJ)="Reptile",_xlfn.XLOOKUP(_xlfn.XLOOKUP(B44,'Base stats'!B:B,'Base stats'!E:E),Groups!A:A,Groups!AJ:AJ)="Amphibian",_xlfn.XLOOKUP(_xlfn.XLOOKUP(B44,'Base stats'!B:B,'Base stats'!E:E),Groups!A:A,Groups!AJ:AJ)="Invertebrate"),"True","False")</f>
        <v>False</v>
      </c>
      <c r="CD44" s="25" t="str">
        <f t="shared" si="6"/>
        <v>False</v>
      </c>
      <c r="CE44" s="25" t="str">
        <f>IF(_xlfn.XLOOKUP(_xlfn.XLOOKUP(B44,'Base stats'!B:B,'Base stats'!E:E),Groups!A:A,Groups!AX:AX),"True","False")</f>
        <v>False</v>
      </c>
      <c r="CF44" s="25" t="str">
        <f>IF(_xlfn.XLOOKUP(_xlfn.XLOOKUP(B44,'Base stats'!B:B,'Base stats'!E:E),Groups!A:A,Groups!AY:AY),"True","False")</f>
        <v>False</v>
      </c>
      <c r="CG44" s="25" t="str">
        <f>IF(_xlfn.XLOOKUP(_xlfn.XLOOKUP(B44,'Base stats'!B:B,'Base stats'!E:E),Groups!A:A,Groups!AW:AW),"True","False")</f>
        <v>False</v>
      </c>
      <c r="CH44" s="25" t="str">
        <f>IF(
OR(
_xlfn.XLOOKUP(_xlfn.XLOOKUP(B44,'Base stats'!B:B,'Base stats'!E:E),Groups!A:A,Groups!AZ:AZ)=0,
AND(
_xlfn.XLOOKUP(B44,'Base stats'!B:B,'Base stats'!Y:Y)&lt;&gt;"Carnivore",
_xlfn.XLOOKUP(B44,'Base stats'!B:B,'Base stats'!Y:Y)&lt;&gt;"Omnivore",
_xlfn.XLOOKUP(B44,'Base stats'!B:B,'Base stats'!Y:Y)&lt;&gt;"OmnivoreRough"
)
),
"No",
IF(
_xlfn.XLOOKUP(_xlfn.XLOOKUP(B44,'Base stats'!B:B,'Base stats'!E:E),Groups!A:A,Groups!AZ:AZ)=1,
"Flesh",
IF(
_xlfn.XLOOKUP(_xlfn.XLOOKUP(B44,'Base stats'!B:B,'Base stats'!E:E),Groups!A:A,Groups!AZ:AZ)=2,
"Bone",
""
)
)
)</f>
        <v>No</v>
      </c>
      <c r="CI44" s="25" t="str">
        <f>IF(_xlfn.XLOOKUP(_xlfn.XLOOKUP(B44,'Base stats'!B:B,'Base stats'!E:E),Groups!A:A,Groups!BB:BB),"True","False")</f>
        <v>True</v>
      </c>
      <c r="CJ44" s="25" t="str">
        <f>IF(_xlfn.XLOOKUP(_xlfn.XLOOKUP(B44,'Base stats'!B:B,'Base stats'!E:E),Groups!A:A,Groups!BA:BA),"True","False")</f>
        <v>False</v>
      </c>
    </row>
    <row r="45" spans="1:88" ht="16.5" thickTop="1" thickBot="1" x14ac:dyDescent="0.3">
      <c r="A45" s="26" t="str">
        <f>_xlfn.XLOOKUP(B45,'Base stats'!B:B,'Base stats'!A:A)</f>
        <v>Yak</v>
      </c>
      <c r="B45" s="6" t="s">
        <v>146</v>
      </c>
      <c r="C45" s="28" t="s">
        <v>720</v>
      </c>
      <c r="D45" s="28" t="s">
        <v>45</v>
      </c>
      <c r="E45" s="28" t="s">
        <v>673</v>
      </c>
      <c r="F45" s="28" t="s">
        <v>673</v>
      </c>
      <c r="G45" s="28" t="s">
        <v>673</v>
      </c>
      <c r="H45" s="2">
        <f>MROUND((
  (IF(AND(_xlfn.XLOOKUP(B45,'Base stats'!B:B,'Base stats'!AL:AL)=0,BI45="None",_xlfn.XLOOKUP(_xlfn.XLOOKUP(B45,'Base stats'!B:B,'Base stats'!E:E),Groups!A:A,Groups!B:B)=0), (18 + BR45 * 2.7) * 0.5,
    IF(AND(_xlfn.XLOOKUP(B45,'Base stats'!B:B,'Base stats'!AL:AL)=0,OR(AO45&lt;0.55,AND(BI45="Intermediate",_xlfn.XLOOKUP(_xlfn.XLOOKUP(B45,'Base stats'!B:B,'Base stats'!E:E),Groups!A:A,Groups!B:B)&lt;2))), (18 + BR45 * 2.7),
      IF(OR(BI45="Advanced",_xlfn.XLOOKUP(B45,'Base stats'!B:B,'Base stats'!AL:AL)=1,_xlfn.XLOOKUP(_xlfn.XLOOKUP(B45,'Base stats'!B:B,'Base stats'!E:E),Groups!A:A,Groups!B:B)=2), (18 + BR45 * 2.7) + 250, (18 + BR45 * 2.7))
    )
  ))
  + AO45 * 80
  + IF(COUNTIF(EggMilk!K$2:K$998, A45) &gt; 0, 125, 0)
  + IF(COUNTIF(EggMilk!P$2:P$998, A45) &gt; 0, 90, 0)
  + IF(COUNTIF(EggMilk!A$2:A$998, A45) &gt; 0, 90, 0)
)
* (0.8 + 0.4 * J45)
* 0.75,25)</f>
        <v>450</v>
      </c>
      <c r="I45" s="2">
        <f>MROUND(ROUNDDOWN(_xlfn.XLOOKUP(B45,'Base stats'!B:B,'Base stats'!L:L)/3.6/(23.3/11),1),0.5)</f>
        <v>4</v>
      </c>
      <c r="J45" s="2">
        <f>IF(OR(_xlfn.XLOOKUP(B45,'Base stats'!B:B,'Base stats'!AB:AB)=1,_xlfn.XLOOKUP(_xlfn.XLOOKUP(B45,'Base stats'!B:B,'Base stats'!E:E),Groups!A:A,Groups!C:C)="Untamable"),1,IF(_xlfn.XLOOKUP(B45,'Base stats'!B:B,'Base stats'!AL:AL)=1,0.99,MIN(MROUND((1-0.6282*EXP(-0.459*AO45))*_xlfn.XLOOKUP(_xlfn.XLOOKUP(B45,'Base stats'!B:B,'Base stats'!E:E),Groups!A:A,Groups!C:C)*IF(_xlfn.XLOOKUP(B45,'Base stats'!B:B,'Base stats'!O:O)=1,0.5,IF(_xlfn.XLOOKUP(B45,'Base stats'!B:B,'Base stats'!O:O)=2,0,1)),0.05),IF(AO45&gt;3.5,0.985,0.95))))</f>
        <v>0.35000000000000003</v>
      </c>
      <c r="K45" s="2">
        <f>ROUNDUP(AO45*_xlfn.XLOOKUP(_xlfn.XLOOKUP(B45,'Base stats'!B:B,'Base stats'!E:E),Groups!A:A,Groups!E:E),0)</f>
        <v>15</v>
      </c>
      <c r="L45" s="2">
        <f>IF(OR(_xlfn.XLOOKUP(_xlfn.XLOOKUP(B45,'Base stats'!B:B,'Base stats'!E:E),Groups!A:A,Groups!F:F)=2,ISNUMBER(SEARCH("SeaIce",BX45)),ISNUMBER(SEARCH("IceSheet",BX45))),-50,IF(OR(ISNUMBER(SEARCH("GlacialPlain",BX45)),ISNUMBER(SEARCH("Tundra",BX45))),-40,IF(OR(ISNUMBER(SEARCH("Alpine",BX45)),ISNUMBER(SEARCH("BorealForest",BX45)),ISNUMBER(SEARCH("ColdBog",BX45))),-30,IF(OR(ISNUMBER(SEARCH("TemperateForest",BX45)),ISNUMBER(SEARCH("TemperateSwamp",BX45))),-20,IF(_xlfn.XLOOKUP(_xlfn.XLOOKUP(B45,'Base stats'!B:B,'Base stats'!E:E),Groups!A:A,Groups!F:F)=1,-15,IF(OR(ISNUMBER(SEARCH("Desert",BX45)),ISNUMBER(SEARCH("ExtremeDesert",BX45))),-10,IF(OR(ISNUMBER(SEARCH("Grasslands",BX45)),ISNUMBER(SEARCH("TropicalRainforest",BX45)),ISNUMBER(SEARCH("TropicalSwamp",BX45))),10,0)))))))-IF(CC45="False",MIN(IFERROR(MAX(MROUND(LOG10(_xlfn.XLOOKUP(B45,'Base stats'!B:B,'Base stats'!C:C)^(2/3))*10,5),5),5),30))-_xlfn.XLOOKUP(B45,'Base stats'!B:B,'Base stats'!P:P)+IF(CC45="True",5,0)</f>
        <v>-50</v>
      </c>
      <c r="M45" s="2">
        <f>IF(OR(_xlfn.XLOOKUP(_xlfn.XLOOKUP(B45,'Base stats'!B:B,'Base stats'!E:E),Groups!A:A,Groups!G:G)=2,ISNUMBER(SEARCH("Desert",BX45)),ISNUMBER(SEARCH("ExtremeDesert",BX45)),ISNUMBER(SEARCH("LavaField",BX45))),50,IF(ISNUMBER(SEARCH("Grasslands",BX45)),45,IF(OR(_xlfn.XLOOKUP(_xlfn.XLOOKUP(B45,'Base stats'!B:B,'Base stats'!E:E),Groups!A:A,Groups!G:G)=1,ISNUMBER(SEARCH("TropicalRainforest",BX45)),ISNUMBER(SEARCH("TropicalSwamp",BX45))),40,IF(OR(ISNUMBER(SEARCH("TemperateForest",BX45)),ISNUMBER(SEARCH("TemperateSwamp",BX45))),35,IF(OR(ISNUMBER(SEARCH("Alpine",BX45)),ISNUMBER(SEARCH("BorealForest",BX45)),ISNUMBER(SEARCH("ColdBog",BX45))),30,IF(ISNUMBER(OR(ISNUMBER(SEARCH("GlacialPlain",BX45)),SEARCH("Tundra",BX45))),25,IF(OR(ISNUMBER(SEARCH("SeaIce",BX45)),ISNUMBER(SEARCH("IceSheet",BX45)),ISNUMBER(SEARCH("TropicalSwamp",BX45))),10,35)))))))+_xlfn.XLOOKUP(B45,'Base stats'!B:B,'Base stats'!Q:Q)</f>
        <v>30</v>
      </c>
      <c r="N45" s="8" t="str">
        <f>IF(
_xlfn.XLOOKUP(
_xlfn.XLOOKUP(B45,'Base stats'!B:B,'Base stats'!E:E),
Groups!A:A,
Groups!L:L
)=1,
MIN(
MROUND(
IF(
_xlfn.XLOOKUP(B45,'Animals CE'!B:B,'Animals CE'!Z:Z)&lt;=1.5,
_xlfn.XLOOKUP(B45,'Animals CE'!B:B,'Animals CE'!Z:Z)/2+0.05,
0.8+
(_xlfn.XLOOKUP(B45,'Animals CE'!B:B,'Animals CE'!Z:Z)-1.5)
*0.02
),
0.05
),
200%
),
"No"
)</f>
        <v>No</v>
      </c>
      <c r="O45" s="8" t="str">
        <f>IF(
_xlfn.XLOOKUP(
_xlfn.XLOOKUP(B45,'Base stats'!B:B,'Base stats'!E:E),
Groups!A:A,
Groups!L:L
)=1,
MIN(
MROUND(
IF(
_xlfn.XLOOKUP(B45,'Animals CE'!B:B,'Animals CE'!AA:AA)&lt;=1.5,
_xlfn.XLOOKUP(B45,'Animals CE'!B:B,'Animals CE'!AA:AA)/2+0.05,
0.8+
(_xlfn.XLOOKUP(B45,'Animals CE'!B:B,'Animals CE'!AA:AA)-1.5)
*0.02
),
0.05
),
200%
),
"No"
)</f>
        <v>No</v>
      </c>
      <c r="P45" s="2" t="str">
        <f>_xlfn.XLOOKUP(B45,'Base stats'!B:B,'Base stats'!R:R)</f>
        <v>Standard</v>
      </c>
      <c r="Q45" s="13">
        <f>MROUND((LOG10(_xlfn.XLOOKUP(B45,'Base stats'!B:B,'Base stats'!AR:AR))*(AO45^0.5)+(_xlfn.XLOOKUP(B45,'Base stats'!B:B,'Base stats'!AR:AR)/1000)^(2/3)+_xlfn.XLOOKUP(B45,'Base stats'!B:B,'Base stats'!BA:BA)/2)+0.5,0.5)</f>
        <v>17.5</v>
      </c>
      <c r="R45" s="7">
        <f>IF(Q45="No","No",MAX(1,MROUND(_xlfn.XLOOKUP(B45,'Base stats'!B:B,'Base stats'!C:C)^0.165,0.05)))</f>
        <v>2.9000000000000004</v>
      </c>
      <c r="S45" s="13">
        <f>IF(_xlfn.XLOOKUP(_xlfn.XLOOKUP(B45,'Base stats'!B:B,'Base stats'!E:E),Groups!A:A,Groups!P:P)=0,"No",MROUND((LOG10(_xlfn.XLOOKUP(B45,'Base stats'!B:B,'Base stats'!AS:AS))*(AO45^0.5)+(_xlfn.XLOOKUP(B45,'Base stats'!B:B,'Base stats'!AS:AS)/1000)^(2/3)+_xlfn.XLOOKUP(B45,'Base stats'!B:B,'Base stats'!BA:BA))+_xlfn.XLOOKUP(B45,'Base stats'!B:B,'Base stats'!AY:AY)+0.5,0.5))</f>
        <v>21</v>
      </c>
      <c r="T45" s="7">
        <f>IF(S45="No","No",MAX(_xlfn.XLOOKUP(_xlfn.XLOOKUP(B45,'Base stats'!B:B,'Base stats'!E:E),Groups!A:A,Groups!Q:Q),MROUND(_xlfn.XLOOKUP(_xlfn.XLOOKUP(B45,'Base stats'!B:B,'Base stats'!E:E),Groups!A:A,Groups!Q:Q)*_xlfn.XLOOKUP(B45,'Base stats'!B:B,'Base stats'!C:C)^0.165,0.05)))</f>
        <v>2.9000000000000004</v>
      </c>
      <c r="U45" s="7" t="str">
        <f>IF(S45="No","No",_xlfn.XLOOKUP(_xlfn.XLOOKUP(B45,'Base stats'!B:B,'Base stats'!E:E),Groups!A:A,Groups!R:R))</f>
        <v>FrontLeftLeg, FrontRightLeg</v>
      </c>
      <c r="V45" s="7" t="str">
        <f>IF(S45="No","No",_xlfn.XLOOKUP(_xlfn.XLOOKUP(B45,'Base stats'!B:B,'Base stats'!E:E),Groups!A:A,Groups!S:S))</f>
        <v>left hoof, right hoof</v>
      </c>
      <c r="W45" s="7" t="str">
        <f>IF(S45="No","No",_xlfn.XLOOKUP(_xlfn.XLOOKUP(B45,'Base stats'!B:B,'Base stats'!E:E),Groups!A:A,Groups!T:T))</f>
        <v>Blunt</v>
      </c>
      <c r="X45" s="13">
        <f>IF(_xlfn.XLOOKUP(B45,'Base stats'!B:B,'Base stats'!W:W)="No","No",MROUND((LOG10(_xlfn.XLOOKUP(B45,'Base stats'!B:B,'Base stats'!AU:AU))*(AO45^0.5)+(_xlfn.XLOOKUP(B45,'Base stats'!B:B,'Base stats'!AU:AU)/1000)^(2/3)+_xlfn.XLOOKUP(B45,'Base stats'!B:B,'Base stats'!AZ:AZ))+0.5+IF(_xlfn.XLOOKUP(_xlfn.XLOOKUP(B45,'Base stats'!B:B,'Base stats'!E:E),Groups!A:A,Groups!U:U)&lt;&gt;3,_xlfn.XLOOKUP(B45,'Base stats'!B:B,'Base stats'!BA:BA),0),0.5))</f>
        <v>19.5</v>
      </c>
      <c r="Y45" s="7">
        <f>IF(X45="No","No",MAX(_xlfn.XLOOKUP(_xlfn.XLOOKUP(B45,'Base stats'!B:B,'Base stats'!E:E),Groups!A:A,Groups!V:V),MROUND(_xlfn.XLOOKUP(_xlfn.XLOOKUP(B45,'Base stats'!B:B,'Base stats'!E:E),Groups!A:A,Groups!V:V)*_xlfn.XLOOKUP(B45,'Base stats'!B:B,'Base stats'!C:C)^0.165,0.05)))</f>
        <v>2.5</v>
      </c>
      <c r="Z45" s="7" t="str">
        <f>IF(X45="No","No",_xlfn.XLOOKUP(_xlfn.XLOOKUP(B45,'Base stats'!B:B,'Base stats'!E:E),Groups!A:A,Groups!W:W))</f>
        <v>HeadAttackTool</v>
      </c>
      <c r="AA45" s="7" t="str">
        <f>IF(X45="No","No",_xlfn.XLOOKUP(_xlfn.XLOOKUP(B45,'Base stats'!B:B,'Base stats'!E:E),Groups!A:A,Groups!X:X))</f>
        <v>horn</v>
      </c>
      <c r="AB45" s="7" t="str">
        <f>IF(X45="No","No",_xlfn.XLOOKUP(_xlfn.XLOOKUP(B45,'Base stats'!B:B,'Base stats'!E:E),Groups!A:A,Groups!Y:Y))</f>
        <v>Scratch</v>
      </c>
      <c r="AC45" s="7" t="str">
        <f>_xlfn.XLOOKUP(Animals!B45,'Base stats'!B:B,'Base stats'!X:X)</f>
        <v>True</v>
      </c>
      <c r="AD45" s="13" t="str">
        <f>IF(_xlfn.XLOOKUP(B45,'Base stats'!B:B,'Base stats'!AT:AT)="No","No",MROUND((LOG10(_xlfn.XLOOKUP(B45,'Base stats'!B:B,'Base stats'!AT:AT))*(AO45^0.75)+(_xlfn.XLOOKUP(B45,'Base stats'!B:B,'Base stats'!AT:AT)/1000)^(2/3)+_xlfn.XLOOKUP(B45,'Base stats'!B:B,'Base stats'!AX:AX)+_xlfn.XLOOKUP(B45,'Base stats'!B:B,'Base stats'!BA:BA))+0.5,0.5))</f>
        <v>No</v>
      </c>
      <c r="AE45" s="7" t="str">
        <f>IF(AD45="No","No",MAX(_xlfn.XLOOKUP(_xlfn.XLOOKUP(B45,'Base stats'!B:B,'Base stats'!E:E),Groups!A:A,Groups!Z:Z),MROUND(_xlfn.XLOOKUP(_xlfn.XLOOKUP(B45,'Base stats'!B:B,'Base stats'!E:E),Groups!A:A,Groups!Z:Z)*_xlfn.XLOOKUP(B45,'Base stats'!B:B,'Base stats'!C:C)^0.165,0.05)))</f>
        <v>No</v>
      </c>
      <c r="AF45" s="7" t="str">
        <f>IF(AD45="No","No",_xlfn.XLOOKUP(_xlfn.XLOOKUP(B45,'Base stats'!B:B,'Base stats'!E:E),Groups!A:A,Groups!AA:AA))</f>
        <v>No</v>
      </c>
      <c r="AG45" s="7" t="str">
        <f>IF(AD45="No","No",_xlfn.XLOOKUP(_xlfn.XLOOKUP(B45,'Base stats'!B:B,'Base stats'!E:E),Groups!A:A,Groups!AB:AB))</f>
        <v>No</v>
      </c>
      <c r="AH45" s="7" t="str">
        <f>IF(AD45="No","No",_xlfn.XLOOKUP(_xlfn.XLOOKUP(B45,'Base stats'!B:B,'Base stats'!E:E),Groups!A:A,Groups!AC:AC))</f>
        <v>No</v>
      </c>
      <c r="AI45" s="13" t="str">
        <f>IF(_xlfn.XLOOKUP(_xlfn.XLOOKUP(B45,'Base stats'!B:B,'Base stats'!E:E),Groups!A:A,Groups!AD:AD)=0,"No",MROUND((LOG10(_xlfn.XLOOKUP(B45,'Base stats'!B:B,'Base stats'!AS:AS))*(AO45^0.75)+(_xlfn.XLOOKUP(B45,'Base stats'!B:B,'Base stats'!AS:AS)/1000)^(2/3)+_xlfn.XLOOKUP(B45,'Base stats'!B:B,'Base stats'!AY:AY)+_xlfn.XLOOKUP(B45,'Base stats'!B:B,'Base stats'!BA:BA))+0.5,0.5))</f>
        <v>No</v>
      </c>
      <c r="AJ45" s="7" t="str">
        <f>IF(AI45="No","No",MAX(_xlfn.XLOOKUP(_xlfn.XLOOKUP(B45,'Base stats'!B:B,'Base stats'!E:E),Groups!A:A,Groups!AE:AE),MROUND(_xlfn.XLOOKUP(_xlfn.XLOOKUP(B45,'Base stats'!B:B,'Base stats'!E:E),Groups!A:A,Groups!AE:AE)*IF(_xlfn.XLOOKUP(_xlfn.XLOOKUP(B45,'Base stats'!B:B,'Base stats'!E:E),Groups!A:A,Groups!AJ:AJ)="Photonozoa",0.6,1)*_xlfn.XLOOKUP(B45,'Base stats'!B:B,'Base stats'!C:C)^0.165,0.05)))</f>
        <v>No</v>
      </c>
      <c r="AK45" s="7" t="str">
        <f>IF(AI45="No","No",_xlfn.XLOOKUP(_xlfn.XLOOKUP(B45,'Base stats'!B:B,'Base stats'!E:E),Groups!A:A,Groups!AF:AF))</f>
        <v>No</v>
      </c>
      <c r="AL45" s="7" t="str">
        <f>IF(AI45="No","No",_xlfn.XLOOKUP(_xlfn.XLOOKUP(B45,'Base stats'!B:B,'Base stats'!E:E),Groups!A:A,Groups!AG:AG))</f>
        <v>No</v>
      </c>
      <c r="AM45" s="7" t="str">
        <f>IF(AI45="No","No",_xlfn.XLOOKUP(_xlfn.XLOOKUP(B45,'Base stats'!B:B,'Base stats'!E:E),Groups!A:A,Groups!AH:AH))</f>
        <v>No</v>
      </c>
      <c r="AN45" s="2" t="str">
        <f t="shared" si="0"/>
        <v>No</v>
      </c>
      <c r="AO45" s="2">
        <f>MROUND(IF(AND(_xlfn.XLOOKUP(B45,'Base stats'!B:B,'Base stats'!C:C)&gt;=0.5,_xlfn.XLOOKUP(B45,'Base stats'!B:B,'Base stats'!C:C)&lt;=0.8),
IF(_xlfn.XLOOKUP(B45,'Base stats'!B:B,'Base stats'!C:C)&lt;0.1,0.05,IF(_xlfn.XLOOKUP(B45,'Base stats'!B:B,'Base stats'!C:C)&lt;=70,(_xlfn.XLOOKUP(B45,'Base stats'!B:B,'Base stats'!C:C)/70)^0.426489913056526,IF(_xlfn.XLOOKUP(B45,'Base stats'!B:B,'Base stats'!C:C)&lt;=400,(_xlfn.XLOOKUP(B45,'Base stats'!B:B,'Base stats'!C:C)/70)^0.572811455315093,IF(_xlfn.XLOOKUP(B45,'Base stats'!B:B,'Base stats'!C:C)&lt;=2000,2.71391647193063*(_xlfn.XLOOKUP(B45,'Base stats'!B:B,'Base stats'!C:C)/400)^0.252459582904293,3.74314280240376*(_xlfn.XLOOKUP(B45,'Base stats'!B:B,'Base stats'!C:C)/2000)^0.357012633876913)))),
IF(_xlfn.XLOOKUP(B45,'Base stats'!B:B,'Base stats'!C:C)&lt;0.1,0.05,IF(_xlfn.XLOOKUP(B45,'Base stats'!B:B,'Base stats'!C:C)&lt;0.4,0.1,IF(_xlfn.XLOOKUP(B45,'Base stats'!B:B,'Base stats'!C:C)&lt;=70,(_xlfn.XLOOKUP(B45,'Base stats'!B:B,'Base stats'!C:C)/70)^0.445823913056526,IF(_xlfn.XLOOKUP(B45,'Base stats'!B:B,'Base stats'!C:C)&lt;=400,(_xlfn.XLOOKUP(B45,'Base stats'!B:B,'Base stats'!C:C)/70)^0.572811455315093,IF(_xlfn.XLOOKUP(B45,'Base stats'!B:B,'Base stats'!C:C)&lt;=2000,2.71391647193063*(_xlfn.XLOOKUP(B45,'Base stats'!B:B,'Base stats'!C:C)/400)^0.252459582904293,3.74314280240376*(_xlfn.XLOOKUP(B45,'Base stats'!B:B,'Base stats'!C:C)/2000)^0.357012633876913)))))),
IF(_xlfn.XLOOKUP(B45,'Base stats'!B:B,'Base stats'!C:C)&lt;0.1,0.05,IF(_xlfn.XLOOKUP(B45,'Base stats'!B:B,'Base stats'!C:C)&lt;=100,0.05,IF(_xlfn.XLOOKUP(B45,'Base stats'!B:B,'Base stats'!C:C)&lt;=250,0.1,IF(_xlfn.XLOOKUP(B45,'Base stats'!B:B,'Base stats'!C:C)&lt;=4000,0.25,0.5)))))</f>
        <v>3</v>
      </c>
      <c r="AP45" s="8">
        <f>MROUND(AO45*_xlfn.XLOOKUP(_xlfn.XLOOKUP(B45,'Base stats'!B:B,'Base stats'!E:E),Groups!A:A,Groups!AI:AI)*_xlfn.XLOOKUP(B45,'Base stats'!B:B,'Base stats'!Z:Z),0.05)</f>
        <v>3</v>
      </c>
      <c r="AQ45" s="8">
        <f>MAX(0.01,MROUND(IF(CC45="True",0.196*(AO45*100*1000)^0.889,IF(_xlfn.XLOOKUP(_xlfn.XLOOKUP(B45,'Base stats'!B:B,'Base stats'!E:E),Groups!A:A,Groups!AJ:AJ)="Bird",10.5*(AO45*100*1000)^0.681,4.82*(AO45*100*1000)^0.734))/(4.82*(1*100*1000)^0.734)/IF(AO45&lt;3.5,2,IF(AO45=3.5,1.5,1.25))*(1+0.132282374779864/(AO45^0.994035016789033+0.00905238001496948)),0.05))</f>
        <v>1.1500000000000001</v>
      </c>
      <c r="AR45" s="9">
        <f>IFERROR(MROUND(_xlfn.XLOOKUP(B45,'Base stats'!B:B,'Base stats'!H:H)/IF(_xlfn.XLOOKUP(B45,'Base stats'!B:B,'Base stats'!I:I)&lt;&gt;1,(122.5/70),1.2),IF(_xlfn.XLOOKUP(B45,'Base stats'!B:B,'Base stats'!H:H)&gt;=30,5,IF(_xlfn.XLOOKUP(B45,'Base stats'!B:B,'Base stats'!H:H)&gt;=15,3,IF(_xlfn.XLOOKUP(B45,'Base stats'!B:B,'Base stats'!H:H)&gt;=10,2,1)))),"Immortal")</f>
        <v>15</v>
      </c>
      <c r="AS45" s="35">
        <f>IFERROR(IF(OR(_xlfn.XLOOKUP(B45,'Base stats'!B:B,'Base stats'!F:F)="Atypical reproduction",_xlfn.XLOOKUP(B45,'Base stats'!B:B,'Base stats'!F:F)="Lay eggs"),"Lay eggs",MIN(20,MAX(5.5,ROUND(((_xlfn.XLOOKUP(B45,'Base stats'!B:B,'Base stats'!F:F)-25)*(14.5/615) + 5.5)*2,0)/2))),"Unknown")</f>
        <v>11.5</v>
      </c>
      <c r="AT45" s="8">
        <f>IF(_xlfn.XLOOKUP(B45,'Base stats'!B:B,'Base stats'!G:G)="Atypical reproduction","No",IFERROR(MAX(IF(_xlfn.XLOOKUP(B45,'Base stats'!B:B,'Base stats'!G:G)&lt;0.5,0.2,0.3),MROUND(_xlfn.XLOOKUP(B45,'Base stats'!B:B,'Base stats'!G:G)/(365/60),0.2)),"Unknown"))</f>
        <v>0.4</v>
      </c>
      <c r="AU45" s="8">
        <f t="shared" si="1"/>
        <v>0.2</v>
      </c>
      <c r="AV45" s="8">
        <f>IFERROR(IFERROR(MROUND(_xlfn.XLOOKUP(B45,'Base stats'!B:B,'Base stats'!J:J),0.1),"Lay eggs"),"Cannot breed")</f>
        <v>1</v>
      </c>
      <c r="AW45" s="2" t="str">
        <f t="shared" si="2"/>
        <v>true</v>
      </c>
      <c r="AX45" s="2" t="str">
        <f>IF(_xlfn.XLOOKUP(_xlfn.XLOOKUP(Animals!B45,'Base stats'!B:B,'Base stats'!E:E),Groups!A:A,Groups!AK:AK)=1,"true","false")</f>
        <v>true</v>
      </c>
      <c r="AY45" s="25" t="str">
        <f>IF(_xlfn.XLOOKUP(B45,'Base stats'!B:B,'Base stats'!Y:Y)="Liquor","Liquor, CarnivoreAnimalStrict",IF(AND(_xlfn.XLOOKUP(B45,'Base stats'!B:B,'Base stats'!Y:Y)="Carnivore",_xlfn.XLOOKUP(_xlfn.XLOOKUP(B45,'Base stats'!B:B,'Base stats'!E:E),Groups!A:A,Groups!AJ:AJ)="Photonozoa"),"CarnivoreAnimalStrict, OvivoreAnimal",IF(_xlfn.XLOOKUP(B45,'Base stats'!B:B,'Base stats'!Y:Y)="Carnivore","CarnivoreAnimal, OvivoreAnimal",IF(_xlfn.XLOOKUP(B45,'Base stats'!B:B,'Base stats'!Y:Y)="Dendrovore","VegetarianRoughAnimal, DendrovoreAnimal",IF(_xlfn.XLOOKUP(B45,'Base stats'!B:B,'Base stats'!Y:Y)="Herbivore","VegetarianRoughAnimal",IF(_xlfn.XLOOKUP(B45,'Base stats'!B:B,'Base stats'!Y:Y)="OmnivoreRough","OmnivoreRoughAnimal, OvivoreAnimal","OmnivoreAnimal, OvivoreAnimal"))))))</f>
        <v>VegetarianRoughAnimal</v>
      </c>
      <c r="AZ45" s="2">
        <f>IF(_xlfn.XLOOKUP(_xlfn.XLOOKUP(B45,'Base stats'!B:B,'Base stats'!E:E),Groups!A:A,Groups!D:D)=1,MROUND((1-J45)*5+1,2)*IF(J45&lt;=0.4,2,1),"No")</f>
        <v>8</v>
      </c>
      <c r="BA45" s="2" t="str">
        <f>IF(AND(_xlfn.XLOOKUP(B45,'Base stats'!B:B,'Base stats'!AH:AH)="&lt;li&gt;Seal&lt;/li&gt;",G45="Odyssey"),"&lt;li&gt;AEXP_Seal&lt;/li&gt;",_xlfn.XLOOKUP(B45,'Base stats'!B:B,'Base stats'!AH:AH))</f>
        <v>No</v>
      </c>
      <c r="BB45" s="2" t="str">
        <f>_xlfn.XLOOKUP(B45,'Base stats'!B:B,'Base stats'!AG:AG)</f>
        <v>Leather_Plain</v>
      </c>
      <c r="BC45" s="23" t="str">
        <f>_xlfn.XLOOKUP(_xlfn.XLOOKUP(B45,'Base stats'!B:B,'Base stats'!E:E),Groups!A:A,Groups!AL:AL)</f>
        <v>QuadrupedAnimalWithHooves</v>
      </c>
      <c r="BD45" s="23">
        <f>MIN(1,MROUND(IF(AND(AO45&lt;0.5,_xlfn.XLOOKUP(B45,'Base stats'!B:B,'Base stats'!AA:AA)=0),0,IF(OR(_xlfn.XLOOKUP(Animals!B45,'Base stats'!B:B,'Base stats'!O:O)=2,_xlfn.XLOOKUP(_xlfn.XLOOKUP(B45,'Base stats'!B:B,'Base stats'!E:E),Groups!A:A,Groups!AN:AN)=0),0,_xlfn.XLOOKUP(_xlfn.XLOOKUP(B45,'Base stats'!B:B,'Base stats'!E:E),Groups!A:A,Groups!AN:AN)/IF(_xlfn.XLOOKUP(Animals!B45,'Base stats'!B:B,'Base stats'!O:O)=1,2,1)))+_xlfn.XLOOKUP(B45,'Base stats'!B:B,'Base stats'!AC:AC),0.005))</f>
        <v>1.4999999999999999E-2</v>
      </c>
      <c r="BE45" s="23">
        <f>MIN(1,MROUND(IF(AND(AO45&lt;0.5,_xlfn.XLOOKUP(B45,'Base stats'!B:B,'Base stats'!AA:AA)=0),0,IF(_xlfn.XLOOKUP(_xlfn.XLOOKUP(B45,'Base stats'!B:B,'Base stats'!E:E),Groups!A:A,Groups!AO:AO)=0,0,_xlfn.XLOOKUP(_xlfn.XLOOKUP(B45,'Base stats'!B:B,'Base stats'!E:E),Groups!A:A,Groups!AO:AO)/IF(_xlfn.XLOOKUP(Animals!B45,'Base stats'!B:B,'Base stats'!O:O)=2,3,1)))+_xlfn.XLOOKUP(B45,'Base stats'!B:B,'Base stats'!AD:AD),0.005))</f>
        <v>0.1</v>
      </c>
      <c r="BF45" s="2" t="str">
        <f>IF(J45&gt;0.3,"No",_xlfn.XLOOKUP(_xlfn.XLOOKUP(Animals!B45,'Base stats'!B:B,'Base stats'!E:E),Groups!A:A,Groups!AP:AP))</f>
        <v>No</v>
      </c>
      <c r="BG45" s="2" t="str">
        <f>IF(AND(J45&lt;=0.65,_xlfn.XLOOKUP(_xlfn.XLOOKUP(Animals!B45,'Base stats'!B:B,'Base stats'!E:E),Groups!A:A,Groups!AP:AP)&lt;&gt;"No",_xlfn.XLOOKUP(_xlfn.XLOOKUP(B45,'Base stats'!B:B,'Base stats'!E:E),Groups!A:A,Groups!D:D)=0),MROUND((80/3)*IF(_xlfn.XLOOKUP(B45,'Base stats'!B:B,'Base stats'!O:O)=2,0.2,AO45) + 24*(1-IF(BF45="No",0,BF45)) + 16/3, 12),"No")</f>
        <v>No</v>
      </c>
      <c r="BH45" s="2">
        <f>IF(AND(_xlfn.XLOOKUP(_xlfn.XLOOKUP(B45,'Base stats'!B:B,'Base stats'!E:E),Groups!A:A,Groups!AQ:AQ)=1,AO45&lt;=0.35),8,12)</f>
        <v>12</v>
      </c>
      <c r="BI45" s="2" t="str">
        <f>IF(_xlfn.XLOOKUP(_xlfn.XLOOKUP(B45,'Base stats'!B:B,'Base stats'!E:E),Groups!A:A,Groups!D:D)=0,_xlfn.XLOOKUP(_xlfn.XLOOKUP(B45,'Base stats'!B:B,'Base stats'!E:E),Groups!A:A,Groups!AR:AR),"None")</f>
        <v>None</v>
      </c>
      <c r="BJ45" s="2" t="str">
        <f>IF(AND(_xlfn.XLOOKUP(_xlfn.XLOOKUP(B45,'Base stats'!B:B,'Base stats'!E:E),Groups!A:A,Groups!AS:AS)=1,OR(_xlfn.XLOOKUP(B45,'Base stats'!B:B,'Base stats'!Y:Y)="Carnivore",_xlfn.XLOOKUP(B45,'Base stats'!B:B,'Base stats'!Y:Y)="Omnivore")),"true","false")</f>
        <v>false</v>
      </c>
      <c r="BK45" s="2" t="str">
        <f>IF(BJ45="true",MROUND(IF(AND(AO45&gt;0.5,OR(_xlfn.XLOOKUP(_xlfn.XLOOKUP(B45,'Base stats'!B:B,'Base stats'!E:E),Groups!A:A,Groups!AJ:AJ)="Photonozoa",_xlfn.XLOOKUP(_xlfn.XLOOKUP(B45,'Base stats'!B:B,'Base stats'!E:E),Groups!A:A,Groups!AJ:AJ)="Mammal")),Animals!AO45*1.75*IF(AW45="true",1.5,1),IF(AO45&lt;0.5,Animals!AO45*0.5,Animals!AO45)),IF(AO45&gt;2,0.5,IF(AO45&gt;0.5,0.25,0.1))),"No")</f>
        <v>No</v>
      </c>
      <c r="BL45" s="2">
        <f t="shared" si="3"/>
        <v>0</v>
      </c>
      <c r="BM45" s="25" t="str">
        <f>IF(_xlfn.XLOOKUP(B45,'Base stats'!B:B,'Base stats'!AN:AN)="Standard","No",MROUND((_xlfn.XLOOKUP(B45,'Base stats'!B:B,'Base stats'!AN:AN)/3.6)/I45,0.1))</f>
        <v>No</v>
      </c>
      <c r="BN45" s="25" t="str">
        <f t="shared" si="4"/>
        <v>false</v>
      </c>
      <c r="BO45" s="25" t="str">
        <f>IF(AND(OR(_xlfn.XLOOKUP(B45,'Base stats'!B:B,'Base stats'!Y:Y)="Carnivore",_xlfn.XLOOKUP(B45,'Base stats'!B:B,'Base stats'!Y:Y)="Omnivore",_xlfn.XLOOKUP(B45,'Base stats'!B:B,'Base stats'!Y:Y)="OmnivoreRough"),_xlfn.XLOOKUP(_xlfn.XLOOKUP(B45,'Base stats'!B:B,'Base stats'!E:E),Groups!A:A,Groups!AT:AT)=1),"true","false")</f>
        <v>false</v>
      </c>
      <c r="BP45" s="25" t="str" cm="1">
        <f t="array" ref="BP45">IF(
  _xlfn.TEXTJOIN(", ",TRUE,
    IF(AND(BJ45="true",AO45&gt;0.5,BI45&lt;&gt;"None"),"AttackTarget",""),
    IF(AND(_xlfn.XLOOKUP(_xlfn.XLOOKUP(B45,'Base stats'!B:B,'Base stats'!E:E),Groups!A:A,Groups!AJ:AJ="Mammal"),OR(_xlfn.XLOOKUP(B45,'Base stats'!B:B,'Base stats'!Y:Y)="Omnivore",_xlfn.XLOOKUP(B45,'Base stats'!B:B,'Base stats'!Y:Y)="OmnivoreRough")),"Forage",""),
    IF(BG45&lt;=36,"Comfort",""),
    IF(_xlfn.XLOOKUP(B45,'Base stats'!B:B,'Base stats'!AE:AE)&lt;&gt;"No",_xlfn.XLOOKUP(B45,'Base stats'!B:B,'Base stats'!AE:AE),"")
  ) = "",
  "No",
  _xlfn.TEXTJOIN(", ",TRUE,
    IF(AND(BJ45="true",AO45&gt;0.5,BI45&lt;&gt;"None"),"AttackTarget",""),
    IF(AND(_xlfn.XLOOKUP(_xlfn.XLOOKUP(B45,'Base stats'!B:B,'Base stats'!E:E),Groups!A:A,Groups!AJ:AJ="Mammal"),OR(_xlfn.XLOOKUP(B45,'Base stats'!B:B,'Base stats'!Y:Y)="Omnivore",_xlfn.XLOOKUP(B45,'Base stats'!B:B,'Base stats'!Y:Y)="OmnivoreRough")),"Forage",""),
    IF(BG45&lt;=36,"Comfort",""),
    IF(_xlfn.XLOOKUP(B45,'Base stats'!B:B,'Base stats'!AE:AE)&lt;&gt;"No",_xlfn.XLOOKUP(B45,'Base stats'!B:B,'Base stats'!AE:AE),"")
  )
)</f>
        <v>No</v>
      </c>
      <c r="BQ45" s="25" t="str">
        <f>IF(
   AND(
      'Base stats'!AN45="Standard",_xlfn.XLOOKUP(_xlfn.XLOOKUP(B45,'Base stats'!B:B,'Base stats'!E:E),Groups!A:A,Groups!AU:AU)=0,
      OR(
      BO45="True"
      )
   ),
   10,
   IF(
       OR(BM45&lt;&gt;"No",_xlfn.XLOOKUP(_xlfn.XLOOKUP(B45,'Base stats'!B:B,'Base stats'!E:E),Groups!A:A,Groups!AU:AU)=1),
      1,
      "No"
   )
)</f>
        <v>No</v>
      </c>
      <c r="BR45" s="9">
        <f>MROUND((1 + ((0.2*IF(OR(Q45="No",R45="No",R45=0),0,Q45/R45)
+IF(OR(V45="No",S45="No",T45="No"),0,S45/T45*(LEN(V45)-LEN(SUBSTITUTE(V45,",",""))+1))
+IF(OR(X45="No",Y45="No"),0,X45/Y45)
+IF(OR(AD45="No",AE45="No"),0,AD45/AE45)
+IF(OR(AL45="No",AI45="No",AJ45="No"),0,AI45/AJ45*(LEN(AL45)-LEN(SUBSTITUTE(AL45,",",""))+1))
)/(0.2*IF(OR(Q45="No",R45="No",R45=0),0,1)
+IF(OR(V45="No",S45="No",T45="No"),0,LEN(V45)-LEN(SUBSTITUTE(V45,",",""))+1)
+IF(OR(X45="No",Y45="No"),0,1)
+IF(OR(AD45="No",AE45="No"),0,1)
+IF(OR(AL45="No",AI45="No",AJ45="No"),0,LEN(AL45)-LEN(SUBSTITUTE(AL45,",",""))+1))*62%)* 2)*(1 + (AP45 / (IF(_xlfn.XLOOKUP(_xlfn.XLOOKUP(B45,'Base stats'!B:B,'Base stats'!E:E),Groups!A:A,Groups!AJ:AJ)="Photonozoa",0.3,1)) + _xlfn.XLOOKUP(B45,'Base stats'!B:B,'Base stats'!AV:AV) * 1.8) * 2) * 2.5 + 10 + I45 * 2,5)+IF(_xlfn.XLOOKUP(B45,'Base stats'!B:B,'Base stats'!AK:AK)=1,50,0)</f>
        <v>195</v>
      </c>
      <c r="BS45" s="8">
        <f t="shared" si="5"/>
        <v>1.5</v>
      </c>
      <c r="BT45" s="8" t="str">
        <f>_xlfn.XLOOKUP(B45,'Base stats'!B:B,'Base stats'!AF:AF)</f>
        <v>3~10</v>
      </c>
      <c r="BU45" s="2" t="str">
        <f>IF(AND(J45&lt;=0.95,OR(_xlfn.XLOOKUP(B45,'Base stats'!B:B,'Base stats'!AK:AK)=1,_xlfn.XLOOKUP(B45,'Base stats'!B:B,'Base stats'!Y:Y)="Carnivore",_xlfn.XLOOKUP(B45,'Base stats'!B:B,'Base stats'!Y:Y)="Omnivore",BE45&gt;0.1)),"true","false")</f>
        <v>false</v>
      </c>
      <c r="BV45" s="2" t="str">
        <f>IF(_xlfn.XLOOKUP(B45,'Base stats'!B:B,'Base stats'!AI:AI)=1,"true","false")</f>
        <v>true</v>
      </c>
      <c r="BW45" s="25" t="str">
        <f>IF(E45="BaseInsect","AnimalInsect",
IF(J45&gt;0.95,"AnimalExotic",
_xlfn.TEXTJOIN(", ",TRUE,
IF(OR(_xlfn.XLOOKUP(B45,'Base stats'!B:B,'Base stats'!AM:AM)=1,AND(_xlfn.XLOOKUP(B45,'Base stats'!B:B,'Base stats'!O:O)=0,_xlfn.XLOOKUP(_xlfn.XLOOKUP(B45,'Base stats'!B:B,'Base stats'!E:E),Groups!A:A,Groups!B:B)&gt;0)),"AnimalUncommon","AnimalCommon"),
IF(AND(_xlfn.XLOOKUP(B45,'Base stats'!B:B,'Base stats'!O:O)=2,_xlfn.XLOOKUP(_xlfn.XLOOKUP(B45,'Base stats'!B:B,'Base stats'!E:E),Groups!A:A,Groups!D:D)=0),"AnimalPet",IF(AND(_xlfn.XLOOKUP(B45,'Base stats'!B:B,'Base stats'!O:O)&lt;&gt;0,_xlfn.XLOOKUP(_xlfn.XLOOKUP(B45,'Base stats'!B:B,'Base stats'!E:E),Groups!A:A,Groups!D:D)&lt;&gt;0),"AnimalFarm","")),
IF(OR(_xlfn.XLOOKUP(B45,'Base stats'!B:B,'Base stats'!AK:AK)=1,AND(BI45&lt;&gt;"None",BR45&gt;=60),ISNUMBER(SEARCH("Attack target",BP45))),"AnimalFighter","")
)))</f>
        <v>AnimalCommon, AnimalFarm</v>
      </c>
      <c r="BX45" s="25" t="str">
        <f>IF(G45="None",TRIM(
SUBSTITUTE(
IF(COUNTIF(Biomes!B$2:B$259,"="&amp;$C45)&gt;0,Biomes!B$1&amp;", ","")&amp;
IF(COUNTIF(Biomes!C$2:C$259,"="&amp;$C45)&gt;0,Biomes!C$1&amp;", ","")&amp;
IF(COUNTIF(Biomes!D$2:D$259,"="&amp;$C45)&gt;0,Biomes!D$1&amp;", ","")&amp;
IF(COUNTIF(Biomes!F$2:F$259,"="&amp;$C45)&gt;0,Biomes!F$1&amp;", ","")&amp;
IF(COUNTIF(Biomes!G$2:G$259,"="&amp;$C45)&gt;0,Biomes!G$1&amp;", ","")&amp;
IF(COUNTIF(Biomes!H$2:H$259,"="&amp;$C45)&gt;0,Biomes!H$1&amp;", ","")&amp;
IF(COUNTIF(Biomes!I$2:I$259,"="&amp;$C45)&gt;0,Biomes!I$1&amp;", ","")&amp;
IF(COUNTIF(Biomes!J$2:J$259,"="&amp;$C45)&gt;0,Biomes!J$1&amp;", ","")&amp;
IF(COUNTIF(Biomes!M$2:M$259,"="&amp;$C45)&gt;0,Biomes!M$1&amp;", ","")&amp;
IF(COUNTIF(Biomes!N$2:N$259,"="&amp;$C45)&gt;0,Biomes!N$1&amp;", ","")&amp;
IF(COUNTIF(Biomes!O$2:O$259,"="&amp;$C45)&gt;0,Biomes!O$1&amp;", ","")&amp;
IF(COUNTIF(Biomes!P$2:P$259,"="&amp;$C45)&gt;0,Biomes!P$1&amp;", ","")&amp;
IF(COUNTIF(Biomes!K$2:K$259,"="&amp;$C45)&gt;0,Biomes!K$1&amp;", ","")&amp;
IF(COUNTIF(Biomes!Q$3:Q$259,"="&amp;$C45)&gt;0,Biomes!Q$1&amp;", ","")&amp;
IF(COUNTIF(Biomes!L$2:L$259,"="&amp;$C45)&gt;0,Biomes!L$1&amp;", ","")&amp;
IF(COUNTIF(Biomes!E$2:E$259,"="&amp;$C45)&gt;0,Biomes!E$1&amp;", ","")&amp;IF(COUNTIF(Biomes!S$2:S$259,"="&amp;$C45)&gt;0,Biomes!S$1&amp;", ","")&amp;
IF(COUNTIF(Biomes!R$2:R$259,"="&amp;$C45)&gt;0,Biomes!R$1&amp;", ",""),", ","")
),_xlfn.XLOOKUP(B45,B:B,BX:BX))</f>
        <v>Alpine</v>
      </c>
      <c r="BY45" s="25" t="str">
        <f>IF(_xlfn.XLOOKUP(B45,'Base stats'!B:B,'Base stats'!AJ:AJ)=1,"true","false")</f>
        <v>false</v>
      </c>
      <c r="BZ45" s="25">
        <f>IF(_xlfn.XLOOKUP(B45,'Base stats'!B:B,'Base stats'!N:N)=1,"No",MAX(0.001,MIN(MROUND(IF(AND(BJ45="True",CC45="False"),POWER(10,3.47*LOG10(_xlfn.XLOOKUP(B45,'Base stats'!B:B,'Base stats'!C:C)*1000)^-0.96),POWER(10,4.15*LOG10(_xlfn.XLOOKUP(B45,'Base stats'!B:B,'Base stats'!C:C)*1000)^-0.73))*IF(_xlfn.XLOOKUP(B45,'Base stats'!B:B,'Base stats'!AK:AK)=1,0.5,1)*IF(_xlfn.XLOOKUP(B45,'Base stats'!B:B,'Base stats'!AM:AM)=1,0.1,1)/100,IF(_xlfn.XLOOKUP(B45,'Base stats'!B:B,'Base stats'!AM:AM)=1,0.001,0.025)),0.5)))</f>
        <v>0.15000000000000002</v>
      </c>
      <c r="CA45" s="25" t="str">
        <f>IF(P45="Standard","No",MAX(0.001,MIN(MROUND(IF(AND(BJ45="True",CC45="False"),POWER(10,3.47*LOG10(_xlfn.XLOOKUP(B45,'Base stats'!B:B,'Base stats'!C:C)*1000)^-0.96),POWER(10,4.15*LOG10(_xlfn.XLOOKUP(B45,'Base stats'!B:B,'Base stats'!C:C)*1000)^-0.73))*IF(_xlfn.XLOOKUP(B45,'Base stats'!B:B,'Base stats'!AM:AM)=1,0.1,1)*_xlfn.XLOOKUP(B45,'Base stats'!B:B,'Base stats'!R:R)/100,IF(_xlfn.XLOOKUP(B45,'Base stats'!B:B,'Base stats'!AM:AM)=1,0.001,0.025)),0.5)))</f>
        <v>No</v>
      </c>
      <c r="CB45" s="25" t="str">
        <f>IF(_xlfn.XLOOKUP(_xlfn.XLOOKUP(B45,'Base stats'!B:B,'Base stats'!E:E),Groups!A:A,Groups!AJ:AJ)="Mammal","True","False")</f>
        <v>True</v>
      </c>
      <c r="CC45" s="25" t="str">
        <f>IF(OR(_xlfn.XLOOKUP(_xlfn.XLOOKUP(B45,'Base stats'!B:B,'Base stats'!E:E),Groups!A:A,Groups!AJ:AJ)="Reptile",_xlfn.XLOOKUP(_xlfn.XLOOKUP(B45,'Base stats'!B:B,'Base stats'!E:E),Groups!A:A,Groups!AJ:AJ)="Amphibian",_xlfn.XLOOKUP(_xlfn.XLOOKUP(B45,'Base stats'!B:B,'Base stats'!E:E),Groups!A:A,Groups!AJ:AJ)="Invertebrate"),"True","False")</f>
        <v>False</v>
      </c>
      <c r="CD45" s="25" t="str">
        <f t="shared" si="6"/>
        <v>False</v>
      </c>
      <c r="CE45" s="25" t="str">
        <f>IF(_xlfn.XLOOKUP(_xlfn.XLOOKUP(B45,'Base stats'!B:B,'Base stats'!E:E),Groups!A:A,Groups!AX:AX),"True","False")</f>
        <v>False</v>
      </c>
      <c r="CF45" s="25" t="str">
        <f>IF(_xlfn.XLOOKUP(_xlfn.XLOOKUP(B45,'Base stats'!B:B,'Base stats'!E:E),Groups!A:A,Groups!AY:AY),"True","False")</f>
        <v>False</v>
      </c>
      <c r="CG45" s="25" t="str">
        <f>IF(_xlfn.XLOOKUP(_xlfn.XLOOKUP(B45,'Base stats'!B:B,'Base stats'!E:E),Groups!A:A,Groups!AW:AW),"True","False")</f>
        <v>False</v>
      </c>
      <c r="CH45" s="25" t="str">
        <f>IF(
OR(
_xlfn.XLOOKUP(_xlfn.XLOOKUP(B45,'Base stats'!B:B,'Base stats'!E:E),Groups!A:A,Groups!AZ:AZ)=0,
AND(
_xlfn.XLOOKUP(B45,'Base stats'!B:B,'Base stats'!Y:Y)&lt;&gt;"Carnivore",
_xlfn.XLOOKUP(B45,'Base stats'!B:B,'Base stats'!Y:Y)&lt;&gt;"Omnivore",
_xlfn.XLOOKUP(B45,'Base stats'!B:B,'Base stats'!Y:Y)&lt;&gt;"OmnivoreRough"
)
),
"No",
IF(
_xlfn.XLOOKUP(_xlfn.XLOOKUP(B45,'Base stats'!B:B,'Base stats'!E:E),Groups!A:A,Groups!AZ:AZ)=1,
"Flesh",
IF(
_xlfn.XLOOKUP(_xlfn.XLOOKUP(B45,'Base stats'!B:B,'Base stats'!E:E),Groups!A:A,Groups!AZ:AZ)=2,
"Bone",
""
)
)
)</f>
        <v>No</v>
      </c>
      <c r="CI45" s="25" t="str">
        <f>IF(_xlfn.XLOOKUP(_xlfn.XLOOKUP(B45,'Base stats'!B:B,'Base stats'!E:E),Groups!A:A,Groups!BB:BB),"True","False")</f>
        <v>True</v>
      </c>
      <c r="CJ45" s="25" t="str">
        <f>IF(_xlfn.XLOOKUP(_xlfn.XLOOKUP(B45,'Base stats'!B:B,'Base stats'!E:E),Groups!A:A,Groups!BA:BA),"True","False")</f>
        <v>False</v>
      </c>
    </row>
    <row r="46" spans="1:88" ht="16.5" thickTop="1" thickBot="1" x14ac:dyDescent="0.3">
      <c r="A46" s="26" t="str">
        <f>_xlfn.XLOOKUP(B46,'Base stats'!B:B,'Base stats'!A:A)</f>
        <v>Elk</v>
      </c>
      <c r="B46" s="6" t="s">
        <v>150</v>
      </c>
      <c r="C46" s="28" t="s">
        <v>721</v>
      </c>
      <c r="D46" s="28" t="s">
        <v>45</v>
      </c>
      <c r="E46" s="28" t="s">
        <v>673</v>
      </c>
      <c r="F46" s="28" t="s">
        <v>673</v>
      </c>
      <c r="G46" s="28" t="s">
        <v>673</v>
      </c>
      <c r="H46" s="2">
        <f>MROUND((
  (IF(AND(_xlfn.XLOOKUP(B46,'Base stats'!B:B,'Base stats'!AL:AL)=0,BI46="None",_xlfn.XLOOKUP(_xlfn.XLOOKUP(B46,'Base stats'!B:B,'Base stats'!E:E),Groups!A:A,Groups!B:B)=0), (18 + BR46 * 2.7) * 0.5,
    IF(AND(_xlfn.XLOOKUP(B46,'Base stats'!B:B,'Base stats'!AL:AL)=0,OR(AO46&lt;0.55,AND(BI46="Intermediate",_xlfn.XLOOKUP(_xlfn.XLOOKUP(B46,'Base stats'!B:B,'Base stats'!E:E),Groups!A:A,Groups!B:B)&lt;2))), (18 + BR46 * 2.7),
      IF(OR(BI46="Advanced",_xlfn.XLOOKUP(B46,'Base stats'!B:B,'Base stats'!AL:AL)=1,_xlfn.XLOOKUP(_xlfn.XLOOKUP(B46,'Base stats'!B:B,'Base stats'!E:E),Groups!A:A,Groups!B:B)=2), (18 + BR46 * 2.7) + 250, (18 + BR46 * 2.7))
    )
  ))
  + AO46 * 80
  + IF(COUNTIF(EggMilk!K$2:K$998, A46) &gt; 0, 125, 0)
  + IF(COUNTIF(EggMilk!P$2:P$998, A46) &gt; 0, 90, 0)
  + IF(COUNTIF(EggMilk!A$2:A$998, A46) &gt; 0, 90, 0)
)
* (0.8 + 0.4 * J46)
* 0.75,25)</f>
        <v>350</v>
      </c>
      <c r="I46" s="2">
        <f>MROUND(ROUNDDOWN(_xlfn.XLOOKUP(B46,'Base stats'!B:B,'Base stats'!L:L)/3.6/(23.3/11),1),0.5)</f>
        <v>9.5</v>
      </c>
      <c r="J46" s="2">
        <f>IF(OR(_xlfn.XLOOKUP(B46,'Base stats'!B:B,'Base stats'!AB:AB)=1,_xlfn.XLOOKUP(_xlfn.XLOOKUP(B46,'Base stats'!B:B,'Base stats'!E:E),Groups!A:A,Groups!C:C)="Untamable"),1,IF(_xlfn.XLOOKUP(B46,'Base stats'!B:B,'Base stats'!AL:AL)=1,0.99,MIN(MROUND((1-0.6282*EXP(-0.459*AO46))*_xlfn.XLOOKUP(_xlfn.XLOOKUP(B46,'Base stats'!B:B,'Base stats'!E:E),Groups!A:A,Groups!C:C)*IF(_xlfn.XLOOKUP(B46,'Base stats'!B:B,'Base stats'!O:O)=1,0.5,IF(_xlfn.XLOOKUP(B46,'Base stats'!B:B,'Base stats'!O:O)=2,0,1)),0.05),IF(AO46&gt;3.5,0.985,0.95))))</f>
        <v>0.60000000000000009</v>
      </c>
      <c r="K46" s="2">
        <f>ROUNDUP(AO46*_xlfn.XLOOKUP(_xlfn.XLOOKUP(B46,'Base stats'!B:B,'Base stats'!E:E),Groups!A:A,Groups!E:E),0)</f>
        <v>9</v>
      </c>
      <c r="L46" s="2">
        <f>IF(OR(_xlfn.XLOOKUP(_xlfn.XLOOKUP(B46,'Base stats'!B:B,'Base stats'!E:E),Groups!A:A,Groups!F:F)=2,ISNUMBER(SEARCH("SeaIce",BX46)),ISNUMBER(SEARCH("IceSheet",BX46))),-50,IF(OR(ISNUMBER(SEARCH("GlacialPlain",BX46)),ISNUMBER(SEARCH("Tundra",BX46))),-40,IF(OR(ISNUMBER(SEARCH("Alpine",BX46)),ISNUMBER(SEARCH("BorealForest",BX46)),ISNUMBER(SEARCH("ColdBog",BX46))),-30,IF(OR(ISNUMBER(SEARCH("TemperateForest",BX46)),ISNUMBER(SEARCH("TemperateSwamp",BX46))),-20,IF(_xlfn.XLOOKUP(_xlfn.XLOOKUP(B46,'Base stats'!B:B,'Base stats'!E:E),Groups!A:A,Groups!F:F)=1,-15,IF(OR(ISNUMBER(SEARCH("Desert",BX46)),ISNUMBER(SEARCH("ExtremeDesert",BX46))),-10,IF(OR(ISNUMBER(SEARCH("Grasslands",BX46)),ISNUMBER(SEARCH("TropicalRainforest",BX46)),ISNUMBER(SEARCH("TropicalSwamp",BX46))),10,0)))))))-IF(CC46="False",MIN(IFERROR(MAX(MROUND(LOG10(_xlfn.XLOOKUP(B46,'Base stats'!B:B,'Base stats'!C:C)^(2/3))*10,5),5),5),30))-_xlfn.XLOOKUP(B46,'Base stats'!B:B,'Base stats'!P:P)+IF(CC46="True",5,0)</f>
        <v>-55</v>
      </c>
      <c r="M46" s="2">
        <f>IF(OR(_xlfn.XLOOKUP(_xlfn.XLOOKUP(B46,'Base stats'!B:B,'Base stats'!E:E),Groups!A:A,Groups!G:G)=2,ISNUMBER(SEARCH("Desert",BX46)),ISNUMBER(SEARCH("ExtremeDesert",BX46)),ISNUMBER(SEARCH("LavaField",BX46))),50,IF(ISNUMBER(SEARCH("Grasslands",BX46)),45,IF(OR(_xlfn.XLOOKUP(_xlfn.XLOOKUP(B46,'Base stats'!B:B,'Base stats'!E:E),Groups!A:A,Groups!G:G)=1,ISNUMBER(SEARCH("TropicalRainforest",BX46)),ISNUMBER(SEARCH("TropicalSwamp",BX46))),40,IF(OR(ISNUMBER(SEARCH("TemperateForest",BX46)),ISNUMBER(SEARCH("TemperateSwamp",BX46))),35,IF(OR(ISNUMBER(SEARCH("Alpine",BX46)),ISNUMBER(SEARCH("BorealForest",BX46)),ISNUMBER(SEARCH("ColdBog",BX46))),30,IF(ISNUMBER(OR(ISNUMBER(SEARCH("GlacialPlain",BX46)),SEARCH("Tundra",BX46))),25,IF(OR(ISNUMBER(SEARCH("SeaIce",BX46)),ISNUMBER(SEARCH("IceSheet",BX46)),ISNUMBER(SEARCH("TropicalSwamp",BX46))),10,35)))))))+_xlfn.XLOOKUP(B46,'Base stats'!B:B,'Base stats'!Q:Q)</f>
        <v>35</v>
      </c>
      <c r="N46" s="8" t="str">
        <f>IF(
_xlfn.XLOOKUP(
_xlfn.XLOOKUP(B46,'Base stats'!B:B,'Base stats'!E:E),
Groups!A:A,
Groups!L:L
)=1,
MIN(
MROUND(
IF(
_xlfn.XLOOKUP(B46,'Animals CE'!B:B,'Animals CE'!Z:Z)&lt;=1.5,
_xlfn.XLOOKUP(B46,'Animals CE'!B:B,'Animals CE'!Z:Z)/2+0.05,
0.8+
(_xlfn.XLOOKUP(B46,'Animals CE'!B:B,'Animals CE'!Z:Z)-1.5)
*0.02
),
0.05
),
200%
),
"No"
)</f>
        <v>No</v>
      </c>
      <c r="O46" s="8" t="str">
        <f>IF(
_xlfn.XLOOKUP(
_xlfn.XLOOKUP(B46,'Base stats'!B:B,'Base stats'!E:E),
Groups!A:A,
Groups!L:L
)=1,
MIN(
MROUND(
IF(
_xlfn.XLOOKUP(B46,'Animals CE'!B:B,'Animals CE'!AA:AA)&lt;=1.5,
_xlfn.XLOOKUP(B46,'Animals CE'!B:B,'Animals CE'!AA:AA)/2+0.05,
0.8+
(_xlfn.XLOOKUP(B46,'Animals CE'!B:B,'Animals CE'!AA:AA)-1.5)
*0.02
),
0.05
),
200%
),
"No"
)</f>
        <v>No</v>
      </c>
      <c r="P46" s="2" t="str">
        <f>_xlfn.XLOOKUP(B46,'Base stats'!B:B,'Base stats'!R:R)</f>
        <v>Standard</v>
      </c>
      <c r="Q46" s="13">
        <f>MROUND((LOG10(_xlfn.XLOOKUP(B46,'Base stats'!B:B,'Base stats'!AR:AR))*(AO46^0.5)+(_xlfn.XLOOKUP(B46,'Base stats'!B:B,'Base stats'!AR:AR)/1000)^(2/3)+_xlfn.XLOOKUP(B46,'Base stats'!B:B,'Base stats'!BA:BA)/2)+0.5,0.5)</f>
        <v>11</v>
      </c>
      <c r="R46" s="7">
        <f>IF(Q46="No","No",MAX(1,MROUND(_xlfn.XLOOKUP(B46,'Base stats'!B:B,'Base stats'!C:C)^0.165,0.05)))</f>
        <v>2.4000000000000004</v>
      </c>
      <c r="S46" s="13">
        <f>IF(_xlfn.XLOOKUP(_xlfn.XLOOKUP(B46,'Base stats'!B:B,'Base stats'!E:E),Groups!A:A,Groups!P:P)=0,"No",MROUND((LOG10(_xlfn.XLOOKUP(B46,'Base stats'!B:B,'Base stats'!AS:AS))*(AO46^0.5)+(_xlfn.XLOOKUP(B46,'Base stats'!B:B,'Base stats'!AS:AS)/1000)^(2/3)+_xlfn.XLOOKUP(B46,'Base stats'!B:B,'Base stats'!BA:BA))+_xlfn.XLOOKUP(B46,'Base stats'!B:B,'Base stats'!AY:AY)+0.5,0.5))</f>
        <v>13.5</v>
      </c>
      <c r="T46" s="7">
        <f>IF(S46="No","No",MAX(_xlfn.XLOOKUP(_xlfn.XLOOKUP(B46,'Base stats'!B:B,'Base stats'!E:E),Groups!A:A,Groups!Q:Q),MROUND(_xlfn.XLOOKUP(_xlfn.XLOOKUP(B46,'Base stats'!B:B,'Base stats'!E:E),Groups!A:A,Groups!Q:Q)*_xlfn.XLOOKUP(B46,'Base stats'!B:B,'Base stats'!C:C)^0.165,0.05)))</f>
        <v>2.4000000000000004</v>
      </c>
      <c r="U46" s="7" t="str">
        <f>IF(S46="No","No",_xlfn.XLOOKUP(_xlfn.XLOOKUP(B46,'Base stats'!B:B,'Base stats'!E:E),Groups!A:A,Groups!R:R))</f>
        <v>FrontLeftLeg, FrontRightLeg</v>
      </c>
      <c r="V46" s="7" t="str">
        <f>IF(S46="No","No",_xlfn.XLOOKUP(_xlfn.XLOOKUP(B46,'Base stats'!B:B,'Base stats'!E:E),Groups!A:A,Groups!S:S))</f>
        <v>left hoof, right hoof</v>
      </c>
      <c r="W46" s="7" t="str">
        <f>IF(S46="No","No",_xlfn.XLOOKUP(_xlfn.XLOOKUP(B46,'Base stats'!B:B,'Base stats'!E:E),Groups!A:A,Groups!T:T))</f>
        <v>Blunt</v>
      </c>
      <c r="X46" s="13">
        <f>IF(_xlfn.XLOOKUP(B46,'Base stats'!B:B,'Base stats'!W:W)="No","No",MROUND((LOG10(_xlfn.XLOOKUP(B46,'Base stats'!B:B,'Base stats'!AU:AU))*(AO46^0.5)+(_xlfn.XLOOKUP(B46,'Base stats'!B:B,'Base stats'!AU:AU)/1000)^(2/3)+_xlfn.XLOOKUP(B46,'Base stats'!B:B,'Base stats'!AZ:AZ))+0.5+IF(_xlfn.XLOOKUP(_xlfn.XLOOKUP(B46,'Base stats'!B:B,'Base stats'!E:E),Groups!A:A,Groups!U:U)&lt;&gt;3,_xlfn.XLOOKUP(B46,'Base stats'!B:B,'Base stats'!BA:BA),0),0.5))</f>
        <v>15.5</v>
      </c>
      <c r="Y46" s="7">
        <f>IF(X46="No","No",MAX(_xlfn.XLOOKUP(_xlfn.XLOOKUP(B46,'Base stats'!B:B,'Base stats'!E:E),Groups!A:A,Groups!V:V),MROUND(_xlfn.XLOOKUP(_xlfn.XLOOKUP(B46,'Base stats'!B:B,'Base stats'!E:E),Groups!A:A,Groups!V:V)*_xlfn.XLOOKUP(B46,'Base stats'!B:B,'Base stats'!C:C)^0.165,0.05)))</f>
        <v>2.0500000000000003</v>
      </c>
      <c r="Z46" s="7" t="str">
        <f>IF(X46="No","No",_xlfn.XLOOKUP(_xlfn.XLOOKUP(B46,'Base stats'!B:B,'Base stats'!E:E),Groups!A:A,Groups!W:W))</f>
        <v>HeadAttackTool</v>
      </c>
      <c r="AA46" s="7" t="str">
        <f>IF(X46="No","No",_xlfn.XLOOKUP(_xlfn.XLOOKUP(B46,'Base stats'!B:B,'Base stats'!E:E),Groups!A:A,Groups!X:X))</f>
        <v>antler</v>
      </c>
      <c r="AB46" s="7" t="str">
        <f>IF(X46="No","No",_xlfn.XLOOKUP(_xlfn.XLOOKUP(B46,'Base stats'!B:B,'Base stats'!E:E),Groups!A:A,Groups!Y:Y))</f>
        <v>Scratch</v>
      </c>
      <c r="AC46" s="7" t="str">
        <f>_xlfn.XLOOKUP(Animals!B46,'Base stats'!B:B,'Base stats'!X:X)</f>
        <v>False</v>
      </c>
      <c r="AD46" s="13" t="str">
        <f>IF(_xlfn.XLOOKUP(B46,'Base stats'!B:B,'Base stats'!AT:AT)="No","No",MROUND((LOG10(_xlfn.XLOOKUP(B46,'Base stats'!B:B,'Base stats'!AT:AT))*(AO46^0.75)+(_xlfn.XLOOKUP(B46,'Base stats'!B:B,'Base stats'!AT:AT)/1000)^(2/3)+_xlfn.XLOOKUP(B46,'Base stats'!B:B,'Base stats'!AX:AX)+_xlfn.XLOOKUP(B46,'Base stats'!B:B,'Base stats'!BA:BA))+0.5,0.5))</f>
        <v>No</v>
      </c>
      <c r="AE46" s="7" t="str">
        <f>IF(AD46="No","No",MAX(_xlfn.XLOOKUP(_xlfn.XLOOKUP(B46,'Base stats'!B:B,'Base stats'!E:E),Groups!A:A,Groups!Z:Z),MROUND(_xlfn.XLOOKUP(_xlfn.XLOOKUP(B46,'Base stats'!B:B,'Base stats'!E:E),Groups!A:A,Groups!Z:Z)*_xlfn.XLOOKUP(B46,'Base stats'!B:B,'Base stats'!C:C)^0.165,0.05)))</f>
        <v>No</v>
      </c>
      <c r="AF46" s="7" t="str">
        <f>IF(AD46="No","No",_xlfn.XLOOKUP(_xlfn.XLOOKUP(B46,'Base stats'!B:B,'Base stats'!E:E),Groups!A:A,Groups!AA:AA))</f>
        <v>No</v>
      </c>
      <c r="AG46" s="7" t="str">
        <f>IF(AD46="No","No",_xlfn.XLOOKUP(_xlfn.XLOOKUP(B46,'Base stats'!B:B,'Base stats'!E:E),Groups!A:A,Groups!AB:AB))</f>
        <v>No</v>
      </c>
      <c r="AH46" s="7" t="str">
        <f>IF(AD46="No","No",_xlfn.XLOOKUP(_xlfn.XLOOKUP(B46,'Base stats'!B:B,'Base stats'!E:E),Groups!A:A,Groups!AC:AC))</f>
        <v>No</v>
      </c>
      <c r="AI46" s="13" t="str">
        <f>IF(_xlfn.XLOOKUP(_xlfn.XLOOKUP(B46,'Base stats'!B:B,'Base stats'!E:E),Groups!A:A,Groups!AD:AD)=0,"No",MROUND((LOG10(_xlfn.XLOOKUP(B46,'Base stats'!B:B,'Base stats'!AS:AS))*(AO46^0.75)+(_xlfn.XLOOKUP(B46,'Base stats'!B:B,'Base stats'!AS:AS)/1000)^(2/3)+_xlfn.XLOOKUP(B46,'Base stats'!B:B,'Base stats'!AY:AY)+_xlfn.XLOOKUP(B46,'Base stats'!B:B,'Base stats'!BA:BA))+0.5,0.5))</f>
        <v>No</v>
      </c>
      <c r="AJ46" s="7" t="str">
        <f>IF(AI46="No","No",MAX(_xlfn.XLOOKUP(_xlfn.XLOOKUP(B46,'Base stats'!B:B,'Base stats'!E:E),Groups!A:A,Groups!AE:AE),MROUND(_xlfn.XLOOKUP(_xlfn.XLOOKUP(B46,'Base stats'!B:B,'Base stats'!E:E),Groups!A:A,Groups!AE:AE)*IF(_xlfn.XLOOKUP(_xlfn.XLOOKUP(B46,'Base stats'!B:B,'Base stats'!E:E),Groups!A:A,Groups!AJ:AJ)="Photonozoa",0.6,1)*_xlfn.XLOOKUP(B46,'Base stats'!B:B,'Base stats'!C:C)^0.165,0.05)))</f>
        <v>No</v>
      </c>
      <c r="AK46" s="7" t="str">
        <f>IF(AI46="No","No",_xlfn.XLOOKUP(_xlfn.XLOOKUP(B46,'Base stats'!B:B,'Base stats'!E:E),Groups!A:A,Groups!AF:AF))</f>
        <v>No</v>
      </c>
      <c r="AL46" s="7" t="str">
        <f>IF(AI46="No","No",_xlfn.XLOOKUP(_xlfn.XLOOKUP(B46,'Base stats'!B:B,'Base stats'!E:E),Groups!A:A,Groups!AG:AG))</f>
        <v>No</v>
      </c>
      <c r="AM46" s="7" t="str">
        <f>IF(AI46="No","No",_xlfn.XLOOKUP(_xlfn.XLOOKUP(B46,'Base stats'!B:B,'Base stats'!E:E),Groups!A:A,Groups!AH:AH))</f>
        <v>No</v>
      </c>
      <c r="AN46" s="2" t="str">
        <f t="shared" si="0"/>
        <v>No</v>
      </c>
      <c r="AO46" s="2">
        <f>MROUND(IF(AND(_xlfn.XLOOKUP(B46,'Base stats'!B:B,'Base stats'!C:C)&gt;=0.5,_xlfn.XLOOKUP(B46,'Base stats'!B:B,'Base stats'!C:C)&lt;=0.8),
IF(_xlfn.XLOOKUP(B46,'Base stats'!B:B,'Base stats'!C:C)&lt;0.1,0.05,IF(_xlfn.XLOOKUP(B46,'Base stats'!B:B,'Base stats'!C:C)&lt;=70,(_xlfn.XLOOKUP(B46,'Base stats'!B:B,'Base stats'!C:C)/70)^0.426489913056526,IF(_xlfn.XLOOKUP(B46,'Base stats'!B:B,'Base stats'!C:C)&lt;=400,(_xlfn.XLOOKUP(B46,'Base stats'!B:B,'Base stats'!C:C)/70)^0.572811455315093,IF(_xlfn.XLOOKUP(B46,'Base stats'!B:B,'Base stats'!C:C)&lt;=2000,2.71391647193063*(_xlfn.XLOOKUP(B46,'Base stats'!B:B,'Base stats'!C:C)/400)^0.252459582904293,3.74314280240376*(_xlfn.XLOOKUP(B46,'Base stats'!B:B,'Base stats'!C:C)/2000)^0.357012633876913)))),
IF(_xlfn.XLOOKUP(B46,'Base stats'!B:B,'Base stats'!C:C)&lt;0.1,0.05,IF(_xlfn.XLOOKUP(B46,'Base stats'!B:B,'Base stats'!C:C)&lt;0.4,0.1,IF(_xlfn.XLOOKUP(B46,'Base stats'!B:B,'Base stats'!C:C)&lt;=70,(_xlfn.XLOOKUP(B46,'Base stats'!B:B,'Base stats'!C:C)/70)^0.445823913056526,IF(_xlfn.XLOOKUP(B46,'Base stats'!B:B,'Base stats'!C:C)&lt;=400,(_xlfn.XLOOKUP(B46,'Base stats'!B:B,'Base stats'!C:C)/70)^0.572811455315093,IF(_xlfn.XLOOKUP(B46,'Base stats'!B:B,'Base stats'!C:C)&lt;=2000,2.71391647193063*(_xlfn.XLOOKUP(B46,'Base stats'!B:B,'Base stats'!C:C)/400)^0.252459582904293,3.74314280240376*(_xlfn.XLOOKUP(B46,'Base stats'!B:B,'Base stats'!C:C)/2000)^0.357012633876913)))))),
IF(_xlfn.XLOOKUP(B46,'Base stats'!B:B,'Base stats'!C:C)&lt;0.1,0.05,IF(_xlfn.XLOOKUP(B46,'Base stats'!B:B,'Base stats'!C:C)&lt;=100,0.05,IF(_xlfn.XLOOKUP(B46,'Base stats'!B:B,'Base stats'!C:C)&lt;=250,0.1,IF(_xlfn.XLOOKUP(B46,'Base stats'!B:B,'Base stats'!C:C)&lt;=4000,0.25,0.5)))))</f>
        <v>1.8</v>
      </c>
      <c r="AP46" s="8">
        <f>MROUND(AO46*_xlfn.XLOOKUP(_xlfn.XLOOKUP(B46,'Base stats'!B:B,'Base stats'!E:E),Groups!A:A,Groups!AI:AI)*_xlfn.XLOOKUP(B46,'Base stats'!B:B,'Base stats'!Z:Z),0.05)</f>
        <v>1.8</v>
      </c>
      <c r="AQ46" s="8">
        <f>MAX(0.01,MROUND(IF(CC46="True",0.196*(AO46*100*1000)^0.889,IF(_xlfn.XLOOKUP(_xlfn.XLOOKUP(B46,'Base stats'!B:B,'Base stats'!E:E),Groups!A:A,Groups!AJ:AJ)="Bird",10.5*(AO46*100*1000)^0.681,4.82*(AO46*100*1000)^0.734))/(4.82*(1*100*1000)^0.734)/IF(AO46&lt;3.5,2,IF(AO46=3.5,1.5,1.25))*(1+0.132282374779864/(AO46^0.994035016789033+0.00905238001496948)),0.05))</f>
        <v>0.85000000000000009</v>
      </c>
      <c r="AR46" s="9">
        <f>IFERROR(MROUND(_xlfn.XLOOKUP(B46,'Base stats'!B:B,'Base stats'!H:H)/IF(_xlfn.XLOOKUP(B46,'Base stats'!B:B,'Base stats'!I:I)&lt;&gt;1,(122.5/70),1.2),IF(_xlfn.XLOOKUP(B46,'Base stats'!B:B,'Base stats'!H:H)&gt;=30,5,IF(_xlfn.XLOOKUP(B46,'Base stats'!B:B,'Base stats'!H:H)&gt;=15,3,IF(_xlfn.XLOOKUP(B46,'Base stats'!B:B,'Base stats'!H:H)&gt;=10,2,1)))),"Immortal")</f>
        <v>20</v>
      </c>
      <c r="AS46" s="35">
        <f>IFERROR(IF(OR(_xlfn.XLOOKUP(B46,'Base stats'!B:B,'Base stats'!F:F)="Atypical reproduction",_xlfn.XLOOKUP(B46,'Base stats'!B:B,'Base stats'!F:F)="Lay eggs"),"Lay eggs",MIN(20,MAX(5.5,ROUND(((_xlfn.XLOOKUP(B46,'Base stats'!B:B,'Base stats'!F:F)-25)*(14.5/615) + 5.5)*2,0)/2))),"Unknown")</f>
        <v>10.5</v>
      </c>
      <c r="AT46" s="8">
        <f>IF(_xlfn.XLOOKUP(B46,'Base stats'!B:B,'Base stats'!G:G)="Atypical reproduction","No",IFERROR(MAX(IF(_xlfn.XLOOKUP(B46,'Base stats'!B:B,'Base stats'!G:G)&lt;0.5,0.2,0.3),MROUND(_xlfn.XLOOKUP(B46,'Base stats'!B:B,'Base stats'!G:G)/(365/60),0.2)),"Unknown"))</f>
        <v>0.4</v>
      </c>
      <c r="AU46" s="8">
        <f t="shared" si="1"/>
        <v>0.2</v>
      </c>
      <c r="AV46" s="8">
        <f>IFERROR(IFERROR(MROUND(_xlfn.XLOOKUP(B46,'Base stats'!B:B,'Base stats'!J:J),0.1),"Lay eggs"),"Cannot breed")</f>
        <v>1</v>
      </c>
      <c r="AW46" s="2" t="str">
        <f t="shared" si="2"/>
        <v>true</v>
      </c>
      <c r="AX46" s="2" t="str">
        <f>IF(_xlfn.XLOOKUP(_xlfn.XLOOKUP(Animals!B46,'Base stats'!B:B,'Base stats'!E:E),Groups!A:A,Groups!AK:AK)=1,"true","false")</f>
        <v>true</v>
      </c>
      <c r="AY46" s="25" t="str">
        <f>IF(_xlfn.XLOOKUP(B46,'Base stats'!B:B,'Base stats'!Y:Y)="Liquor","Liquor, CarnivoreAnimalStrict",IF(AND(_xlfn.XLOOKUP(B46,'Base stats'!B:B,'Base stats'!Y:Y)="Carnivore",_xlfn.XLOOKUP(_xlfn.XLOOKUP(B46,'Base stats'!B:B,'Base stats'!E:E),Groups!A:A,Groups!AJ:AJ)="Photonozoa"),"CarnivoreAnimalStrict, OvivoreAnimal",IF(_xlfn.XLOOKUP(B46,'Base stats'!B:B,'Base stats'!Y:Y)="Carnivore","CarnivoreAnimal, OvivoreAnimal",IF(_xlfn.XLOOKUP(B46,'Base stats'!B:B,'Base stats'!Y:Y)="Dendrovore","VegetarianRoughAnimal, DendrovoreAnimal",IF(_xlfn.XLOOKUP(B46,'Base stats'!B:B,'Base stats'!Y:Y)="Herbivore","VegetarianRoughAnimal",IF(_xlfn.XLOOKUP(B46,'Base stats'!B:B,'Base stats'!Y:Y)="OmnivoreRough","OmnivoreRoughAnimal, OvivoreAnimal","OmnivoreAnimal, OvivoreAnimal"))))))</f>
        <v>VegetarianRoughAnimal</v>
      </c>
      <c r="AZ46" s="2">
        <f>IF(_xlfn.XLOOKUP(_xlfn.XLOOKUP(B46,'Base stats'!B:B,'Base stats'!E:E),Groups!A:A,Groups!D:D)=1,MROUND((1-J46)*5+1,2)*IF(J46&lt;=0.4,2,1),"No")</f>
        <v>4</v>
      </c>
      <c r="BA46" s="2" t="str">
        <f>IF(AND(_xlfn.XLOOKUP(B46,'Base stats'!B:B,'Base stats'!AH:AH)="&lt;li&gt;Seal&lt;/li&gt;",G46="Odyssey"),"&lt;li&gt;AEXP_Seal&lt;/li&gt;",_xlfn.XLOOKUP(B46,'Base stats'!B:B,'Base stats'!AH:AH))</f>
        <v>&lt;li&gt;Deer&lt;/li&gt;</v>
      </c>
      <c r="BB46" s="2" t="str">
        <f>_xlfn.XLOOKUP(B46,'Base stats'!B:B,'Base stats'!AG:AG)</f>
        <v>Leather_Plain</v>
      </c>
      <c r="BC46" s="23" t="str">
        <f>_xlfn.XLOOKUP(_xlfn.XLOOKUP(B46,'Base stats'!B:B,'Base stats'!E:E),Groups!A:A,Groups!AL:AL)</f>
        <v>QuadrupedAnimalWithHooves</v>
      </c>
      <c r="BD46" s="23">
        <f>MIN(1,MROUND(IF(AND(AO46&lt;0.5,_xlfn.XLOOKUP(B46,'Base stats'!B:B,'Base stats'!AA:AA)=0),0,IF(OR(_xlfn.XLOOKUP(Animals!B46,'Base stats'!B:B,'Base stats'!O:O)=2,_xlfn.XLOOKUP(_xlfn.XLOOKUP(B46,'Base stats'!B:B,'Base stats'!E:E),Groups!A:A,Groups!AN:AN)=0),0,_xlfn.XLOOKUP(_xlfn.XLOOKUP(B46,'Base stats'!B:B,'Base stats'!E:E),Groups!A:A,Groups!AN:AN)/IF(_xlfn.XLOOKUP(Animals!B46,'Base stats'!B:B,'Base stats'!O:O)=1,2,1)))+_xlfn.XLOOKUP(B46,'Base stats'!B:B,'Base stats'!AC:AC),0.005))</f>
        <v>0</v>
      </c>
      <c r="BE46" s="23">
        <f>MIN(1,MROUND(IF(AND(AO46&lt;0.5,_xlfn.XLOOKUP(B46,'Base stats'!B:B,'Base stats'!AA:AA)=0),0,IF(_xlfn.XLOOKUP(_xlfn.XLOOKUP(B46,'Base stats'!B:B,'Base stats'!E:E),Groups!A:A,Groups!AO:AO)=0,0,_xlfn.XLOOKUP(_xlfn.XLOOKUP(B46,'Base stats'!B:B,'Base stats'!E:E),Groups!A:A,Groups!AO:AO)/IF(_xlfn.XLOOKUP(Animals!B46,'Base stats'!B:B,'Base stats'!O:O)=2,3,1)))+_xlfn.XLOOKUP(B46,'Base stats'!B:B,'Base stats'!AD:AD),0.005))</f>
        <v>0</v>
      </c>
      <c r="BF46" s="2" t="str">
        <f>IF(J46&gt;0.3,"No",_xlfn.XLOOKUP(_xlfn.XLOOKUP(Animals!B46,'Base stats'!B:B,'Base stats'!E:E),Groups!A:A,Groups!AP:AP))</f>
        <v>No</v>
      </c>
      <c r="BG46" s="2" t="str">
        <f>IF(AND(J46&lt;=0.65,_xlfn.XLOOKUP(_xlfn.XLOOKUP(Animals!B46,'Base stats'!B:B,'Base stats'!E:E),Groups!A:A,Groups!AP:AP)&lt;&gt;"No",_xlfn.XLOOKUP(_xlfn.XLOOKUP(B46,'Base stats'!B:B,'Base stats'!E:E),Groups!A:A,Groups!D:D)=0),MROUND((80/3)*IF(_xlfn.XLOOKUP(B46,'Base stats'!B:B,'Base stats'!O:O)=2,0.2,AO46) + 24*(1-IF(BF46="No",0,BF46)) + 16/3, 12),"No")</f>
        <v>No</v>
      </c>
      <c r="BH46" s="2">
        <f>IF(AND(_xlfn.XLOOKUP(_xlfn.XLOOKUP(B46,'Base stats'!B:B,'Base stats'!E:E),Groups!A:A,Groups!AQ:AQ)=1,AO46&lt;=0.35),8,12)</f>
        <v>12</v>
      </c>
      <c r="BI46" s="2" t="str">
        <f>IF(_xlfn.XLOOKUP(_xlfn.XLOOKUP(B46,'Base stats'!B:B,'Base stats'!E:E),Groups!A:A,Groups!D:D)=0,_xlfn.XLOOKUP(_xlfn.XLOOKUP(B46,'Base stats'!B:B,'Base stats'!E:E),Groups!A:A,Groups!AR:AR),"None")</f>
        <v>None</v>
      </c>
      <c r="BJ46" s="2" t="str">
        <f>IF(AND(_xlfn.XLOOKUP(_xlfn.XLOOKUP(B46,'Base stats'!B:B,'Base stats'!E:E),Groups!A:A,Groups!AS:AS)=1,OR(_xlfn.XLOOKUP(B46,'Base stats'!B:B,'Base stats'!Y:Y)="Carnivore",_xlfn.XLOOKUP(B46,'Base stats'!B:B,'Base stats'!Y:Y)="Omnivore")),"true","false")</f>
        <v>false</v>
      </c>
      <c r="BK46" s="2" t="str">
        <f>IF(BJ46="true",MROUND(IF(AND(AO46&gt;0.5,OR(_xlfn.XLOOKUP(_xlfn.XLOOKUP(B46,'Base stats'!B:B,'Base stats'!E:E),Groups!A:A,Groups!AJ:AJ)="Photonozoa",_xlfn.XLOOKUP(_xlfn.XLOOKUP(B46,'Base stats'!B:B,'Base stats'!E:E),Groups!A:A,Groups!AJ:AJ)="Mammal")),Animals!AO46*1.75*IF(AW46="true",1.5,1),IF(AO46&lt;0.5,Animals!AO46*0.5,Animals!AO46)),IF(AO46&gt;2,0.5,IF(AO46&gt;0.5,0.25,0.1))),"No")</f>
        <v>No</v>
      </c>
      <c r="BL46" s="2">
        <f t="shared" si="3"/>
        <v>0</v>
      </c>
      <c r="BM46" s="25" t="str">
        <f>IF(_xlfn.XLOOKUP(B46,'Base stats'!B:B,'Base stats'!AN:AN)="Standard","No",MROUND((_xlfn.XLOOKUP(B46,'Base stats'!B:B,'Base stats'!AN:AN)/3.6)/I46,0.1))</f>
        <v>No</v>
      </c>
      <c r="BN46" s="25" t="str">
        <f t="shared" si="4"/>
        <v>false</v>
      </c>
      <c r="BO46" s="25" t="str">
        <f>IF(AND(OR(_xlfn.XLOOKUP(B46,'Base stats'!B:B,'Base stats'!Y:Y)="Carnivore",_xlfn.XLOOKUP(B46,'Base stats'!B:B,'Base stats'!Y:Y)="Omnivore",_xlfn.XLOOKUP(B46,'Base stats'!B:B,'Base stats'!Y:Y)="OmnivoreRough"),_xlfn.XLOOKUP(_xlfn.XLOOKUP(B46,'Base stats'!B:B,'Base stats'!E:E),Groups!A:A,Groups!AT:AT)=1),"true","false")</f>
        <v>false</v>
      </c>
      <c r="BP46" s="25" t="str" cm="1">
        <f t="array" ref="BP46">IF(
  _xlfn.TEXTJOIN(", ",TRUE,
    IF(AND(BJ46="true",AO46&gt;0.5,BI46&lt;&gt;"None"),"AttackTarget",""),
    IF(AND(_xlfn.XLOOKUP(_xlfn.XLOOKUP(B46,'Base stats'!B:B,'Base stats'!E:E),Groups!A:A,Groups!AJ:AJ="Mammal"),OR(_xlfn.XLOOKUP(B46,'Base stats'!B:B,'Base stats'!Y:Y)="Omnivore",_xlfn.XLOOKUP(B46,'Base stats'!B:B,'Base stats'!Y:Y)="OmnivoreRough")),"Forage",""),
    IF(BG46&lt;=36,"Comfort",""),
    IF(_xlfn.XLOOKUP(B46,'Base stats'!B:B,'Base stats'!AE:AE)&lt;&gt;"No",_xlfn.XLOOKUP(B46,'Base stats'!B:B,'Base stats'!AE:AE),"")
  ) = "",
  "No",
  _xlfn.TEXTJOIN(", ",TRUE,
    IF(AND(BJ46="true",AO46&gt;0.5,BI46&lt;&gt;"None"),"AttackTarget",""),
    IF(AND(_xlfn.XLOOKUP(_xlfn.XLOOKUP(B46,'Base stats'!B:B,'Base stats'!E:E),Groups!A:A,Groups!AJ:AJ="Mammal"),OR(_xlfn.XLOOKUP(B46,'Base stats'!B:B,'Base stats'!Y:Y)="Omnivore",_xlfn.XLOOKUP(B46,'Base stats'!B:B,'Base stats'!Y:Y)="OmnivoreRough")),"Forage",""),
    IF(BG46&lt;=36,"Comfort",""),
    IF(_xlfn.XLOOKUP(B46,'Base stats'!B:B,'Base stats'!AE:AE)&lt;&gt;"No",_xlfn.XLOOKUP(B46,'Base stats'!B:B,'Base stats'!AE:AE),"")
  )
)</f>
        <v>No</v>
      </c>
      <c r="BQ46" s="25" t="str">
        <f>IF(
   AND(
      'Base stats'!AN46="Standard",_xlfn.XLOOKUP(_xlfn.XLOOKUP(B46,'Base stats'!B:B,'Base stats'!E:E),Groups!A:A,Groups!AU:AU)=0,
      OR(
      BO46="True"
      )
   ),
   10,
   IF(
       OR(BM46&lt;&gt;"No",_xlfn.XLOOKUP(_xlfn.XLOOKUP(B46,'Base stats'!B:B,'Base stats'!E:E),Groups!A:A,Groups!AU:AU)=1),
      1,
      "No"
   )
)</f>
        <v>No</v>
      </c>
      <c r="BR46" s="9">
        <f>MROUND((1 + ((0.2*IF(OR(Q46="No",R46="No",R46=0),0,Q46/R46)
+IF(OR(V46="No",S46="No",T46="No"),0,S46/T46*(LEN(V46)-LEN(SUBSTITUTE(V46,",",""))+1))
+IF(OR(X46="No",Y46="No"),0,X46/Y46)
+IF(OR(AD46="No",AE46="No"),0,AD46/AE46)
+IF(OR(AL46="No",AI46="No",AJ46="No"),0,AI46/AJ46*(LEN(AL46)-LEN(SUBSTITUTE(AL46,",",""))+1))
)/(0.2*IF(OR(Q46="No",R46="No",R46=0),0,1)
+IF(OR(V46="No",S46="No",T46="No"),0,LEN(V46)-LEN(SUBSTITUTE(V46,",",""))+1)
+IF(OR(X46="No",Y46="No"),0,1)
+IF(OR(AD46="No",AE46="No"),0,1)
+IF(OR(AL46="No",AI46="No",AJ46="No"),0,LEN(AL46)-LEN(SUBSTITUTE(AL46,",",""))+1))*62%)* 2)*(1 + (AP46 / (IF(_xlfn.XLOOKUP(_xlfn.XLOOKUP(B46,'Base stats'!B:B,'Base stats'!E:E),Groups!A:A,Groups!AJ:AJ)="Photonozoa",0.3,1)) + _xlfn.XLOOKUP(B46,'Base stats'!B:B,'Base stats'!AV:AV) * 1.8) * 2) * 2.5 + 10 + I46 * 2,5)+IF(_xlfn.XLOOKUP(B46,'Base stats'!B:B,'Base stats'!AK:AK)=1,50,0)</f>
        <v>130</v>
      </c>
      <c r="BS46" s="8">
        <f t="shared" si="5"/>
        <v>1.05</v>
      </c>
      <c r="BT46" s="8" t="str">
        <f>_xlfn.XLOOKUP(B46,'Base stats'!B:B,'Base stats'!AF:AF)</f>
        <v>3~10</v>
      </c>
      <c r="BU46" s="2" t="str">
        <f>IF(AND(J46&lt;=0.95,OR(_xlfn.XLOOKUP(B46,'Base stats'!B:B,'Base stats'!AK:AK)=1,_xlfn.XLOOKUP(B46,'Base stats'!B:B,'Base stats'!Y:Y)="Carnivore",_xlfn.XLOOKUP(B46,'Base stats'!B:B,'Base stats'!Y:Y)="Omnivore",BE46&gt;0.1)),"true","false")</f>
        <v>false</v>
      </c>
      <c r="BV46" s="2" t="str">
        <f>IF(_xlfn.XLOOKUP(B46,'Base stats'!B:B,'Base stats'!AI:AI)=1,"true","false")</f>
        <v>false</v>
      </c>
      <c r="BW46" s="25" t="str">
        <f>IF(E46="BaseInsect","AnimalInsect",
IF(J46&gt;0.95,"AnimalExotic",
_xlfn.TEXTJOIN(", ",TRUE,
IF(OR(_xlfn.XLOOKUP(B46,'Base stats'!B:B,'Base stats'!AM:AM)=1,AND(_xlfn.XLOOKUP(B46,'Base stats'!B:B,'Base stats'!O:O)=0,_xlfn.XLOOKUP(_xlfn.XLOOKUP(B46,'Base stats'!B:B,'Base stats'!E:E),Groups!A:A,Groups!B:B)&gt;0)),"AnimalUncommon","AnimalCommon"),
IF(AND(_xlfn.XLOOKUP(B46,'Base stats'!B:B,'Base stats'!O:O)=2,_xlfn.XLOOKUP(_xlfn.XLOOKUP(B46,'Base stats'!B:B,'Base stats'!E:E),Groups!A:A,Groups!D:D)=0),"AnimalPet",IF(AND(_xlfn.XLOOKUP(B46,'Base stats'!B:B,'Base stats'!O:O)&lt;&gt;0,_xlfn.XLOOKUP(_xlfn.XLOOKUP(B46,'Base stats'!B:B,'Base stats'!E:E),Groups!A:A,Groups!D:D)&lt;&gt;0),"AnimalFarm","")),
IF(OR(_xlfn.XLOOKUP(B46,'Base stats'!B:B,'Base stats'!AK:AK)=1,AND(BI46&lt;&gt;"None",BR46&gt;=60),ISNUMBER(SEARCH("Attack target",BP46))),"AnimalFighter","")
)))</f>
        <v>AnimalCommon</v>
      </c>
      <c r="BX46" s="25" t="str">
        <f>IF(G46="None",TRIM(
SUBSTITUTE(
IF(COUNTIF(Biomes!B$2:B$259,"="&amp;$C46)&gt;0,Biomes!B$1&amp;", ","")&amp;
IF(COUNTIF(Biomes!C$2:C$259,"="&amp;$C46)&gt;0,Biomes!C$1&amp;", ","")&amp;
IF(COUNTIF(Biomes!D$2:D$259,"="&amp;$C46)&gt;0,Biomes!D$1&amp;", ","")&amp;
IF(COUNTIF(Biomes!F$2:F$259,"="&amp;$C46)&gt;0,Biomes!F$1&amp;", ","")&amp;
IF(COUNTIF(Biomes!G$2:G$259,"="&amp;$C46)&gt;0,Biomes!G$1&amp;", ","")&amp;
IF(COUNTIF(Biomes!H$2:H$259,"="&amp;$C46)&gt;0,Biomes!H$1&amp;", ","")&amp;
IF(COUNTIF(Biomes!I$2:I$259,"="&amp;$C46)&gt;0,Biomes!I$1&amp;", ","")&amp;
IF(COUNTIF(Biomes!J$2:J$259,"="&amp;$C46)&gt;0,Biomes!J$1&amp;", ","")&amp;
IF(COUNTIF(Biomes!M$2:M$259,"="&amp;$C46)&gt;0,Biomes!M$1&amp;", ","")&amp;
IF(COUNTIF(Biomes!N$2:N$259,"="&amp;$C46)&gt;0,Biomes!N$1&amp;", ","")&amp;
IF(COUNTIF(Biomes!O$2:O$259,"="&amp;$C46)&gt;0,Biomes!O$1&amp;", ","")&amp;
IF(COUNTIF(Biomes!P$2:P$259,"="&amp;$C46)&gt;0,Biomes!P$1&amp;", ","")&amp;
IF(COUNTIF(Biomes!K$2:K$259,"="&amp;$C46)&gt;0,Biomes!K$1&amp;", ","")&amp;
IF(COUNTIF(Biomes!Q$3:Q$259,"="&amp;$C46)&gt;0,Biomes!Q$1&amp;", ","")&amp;
IF(COUNTIF(Biomes!L$2:L$259,"="&amp;$C46)&gt;0,Biomes!L$1&amp;", ","")&amp;
IF(COUNTIF(Biomes!E$2:E$259,"="&amp;$C46)&gt;0,Biomes!E$1&amp;", ","")&amp;IF(COUNTIF(Biomes!S$2:S$259,"="&amp;$C46)&gt;0,Biomes!S$1&amp;", ","")&amp;
IF(COUNTIF(Biomes!R$2:R$259,"="&amp;$C46)&gt;0,Biomes!R$1&amp;", ",""),", ","")
),_xlfn.XLOOKUP(B46,B:B,BX:BX))</f>
        <v>BorealForest ColdBog TemperateForest TemperateSwamp GlacialPlain</v>
      </c>
      <c r="BY46" s="25" t="str">
        <f>IF(_xlfn.XLOOKUP(B46,'Base stats'!B:B,'Base stats'!AJ:AJ)=1,"true","false")</f>
        <v>false</v>
      </c>
      <c r="BZ46" s="25">
        <f>IF(_xlfn.XLOOKUP(B46,'Base stats'!B:B,'Base stats'!N:N)=1,"No",MAX(0.001,MIN(MROUND(IF(AND(BJ46="True",CC46="False"),POWER(10,3.47*LOG10(_xlfn.XLOOKUP(B46,'Base stats'!B:B,'Base stats'!C:C)*1000)^-0.96),POWER(10,4.15*LOG10(_xlfn.XLOOKUP(B46,'Base stats'!B:B,'Base stats'!C:C)*1000)^-0.73))*IF(_xlfn.XLOOKUP(B46,'Base stats'!B:B,'Base stats'!AK:AK)=1,0.5,1)*IF(_xlfn.XLOOKUP(B46,'Base stats'!B:B,'Base stats'!AM:AM)=1,0.1,1)/100,IF(_xlfn.XLOOKUP(B46,'Base stats'!B:B,'Base stats'!AM:AM)=1,0.001,0.025)),0.5)))</f>
        <v>0.17500000000000002</v>
      </c>
      <c r="CA46" s="25" t="str">
        <f>IF(P46="Standard","No",MAX(0.001,MIN(MROUND(IF(AND(BJ46="True",CC46="False"),POWER(10,3.47*LOG10(_xlfn.XLOOKUP(B46,'Base stats'!B:B,'Base stats'!C:C)*1000)^-0.96),POWER(10,4.15*LOG10(_xlfn.XLOOKUP(B46,'Base stats'!B:B,'Base stats'!C:C)*1000)^-0.73))*IF(_xlfn.XLOOKUP(B46,'Base stats'!B:B,'Base stats'!AM:AM)=1,0.1,1)*_xlfn.XLOOKUP(B46,'Base stats'!B:B,'Base stats'!R:R)/100,IF(_xlfn.XLOOKUP(B46,'Base stats'!B:B,'Base stats'!AM:AM)=1,0.001,0.025)),0.5)))</f>
        <v>No</v>
      </c>
      <c r="CB46" s="25" t="str">
        <f>IF(_xlfn.XLOOKUP(_xlfn.XLOOKUP(B46,'Base stats'!B:B,'Base stats'!E:E),Groups!A:A,Groups!AJ:AJ)="Mammal","True","False")</f>
        <v>True</v>
      </c>
      <c r="CC46" s="25" t="str">
        <f>IF(OR(_xlfn.XLOOKUP(_xlfn.XLOOKUP(B46,'Base stats'!B:B,'Base stats'!E:E),Groups!A:A,Groups!AJ:AJ)="Reptile",_xlfn.XLOOKUP(_xlfn.XLOOKUP(B46,'Base stats'!B:B,'Base stats'!E:E),Groups!A:A,Groups!AJ:AJ)="Amphibian",_xlfn.XLOOKUP(_xlfn.XLOOKUP(B46,'Base stats'!B:B,'Base stats'!E:E),Groups!A:A,Groups!AJ:AJ)="Invertebrate"),"True","False")</f>
        <v>False</v>
      </c>
      <c r="CD46" s="25" t="str">
        <f t="shared" si="6"/>
        <v>False</v>
      </c>
      <c r="CE46" s="25" t="str">
        <f>IF(_xlfn.XLOOKUP(_xlfn.XLOOKUP(B46,'Base stats'!B:B,'Base stats'!E:E),Groups!A:A,Groups!AX:AX),"True","False")</f>
        <v>False</v>
      </c>
      <c r="CF46" s="25" t="str">
        <f>IF(_xlfn.XLOOKUP(_xlfn.XLOOKUP(B46,'Base stats'!B:B,'Base stats'!E:E),Groups!A:A,Groups!AY:AY),"True","False")</f>
        <v>False</v>
      </c>
      <c r="CG46" s="25" t="str">
        <f>IF(_xlfn.XLOOKUP(_xlfn.XLOOKUP(B46,'Base stats'!B:B,'Base stats'!E:E),Groups!A:A,Groups!AW:AW),"True","False")</f>
        <v>False</v>
      </c>
      <c r="CH46" s="25" t="str">
        <f>IF(
OR(
_xlfn.XLOOKUP(_xlfn.XLOOKUP(B46,'Base stats'!B:B,'Base stats'!E:E),Groups!A:A,Groups!AZ:AZ)=0,
AND(
_xlfn.XLOOKUP(B46,'Base stats'!B:B,'Base stats'!Y:Y)&lt;&gt;"Carnivore",
_xlfn.XLOOKUP(B46,'Base stats'!B:B,'Base stats'!Y:Y)&lt;&gt;"Omnivore",
_xlfn.XLOOKUP(B46,'Base stats'!B:B,'Base stats'!Y:Y)&lt;&gt;"OmnivoreRough"
)
),
"No",
IF(
_xlfn.XLOOKUP(_xlfn.XLOOKUP(B46,'Base stats'!B:B,'Base stats'!E:E),Groups!A:A,Groups!AZ:AZ)=1,
"Flesh",
IF(
_xlfn.XLOOKUP(_xlfn.XLOOKUP(B46,'Base stats'!B:B,'Base stats'!E:E),Groups!A:A,Groups!AZ:AZ)=2,
"Bone",
""
)
)
)</f>
        <v>No</v>
      </c>
      <c r="CI46" s="25" t="str">
        <f>IF(_xlfn.XLOOKUP(_xlfn.XLOOKUP(B46,'Base stats'!B:B,'Base stats'!E:E),Groups!A:A,Groups!BB:BB),"True","False")</f>
        <v>True</v>
      </c>
      <c r="CJ46" s="25" t="str">
        <f>IF(_xlfn.XLOOKUP(_xlfn.XLOOKUP(B46,'Base stats'!B:B,'Base stats'!E:E),Groups!A:A,Groups!BA:BA),"True","False")</f>
        <v>False</v>
      </c>
    </row>
    <row r="47" spans="1:88" ht="16.5" thickTop="1" thickBot="1" x14ac:dyDescent="0.3">
      <c r="A47" s="26" t="str">
        <f>_xlfn.XLOOKUP(B47,'Base stats'!B:B,'Base stats'!A:A)</f>
        <v>Boomalope</v>
      </c>
      <c r="B47" s="6" t="s">
        <v>152</v>
      </c>
      <c r="C47" s="28" t="s">
        <v>722</v>
      </c>
      <c r="D47" s="28" t="s">
        <v>45</v>
      </c>
      <c r="E47" s="28" t="s">
        <v>673</v>
      </c>
      <c r="F47" s="28" t="s">
        <v>673</v>
      </c>
      <c r="G47" s="28" t="s">
        <v>673</v>
      </c>
      <c r="H47" s="2">
        <f>MROUND((
  (IF(AND(_xlfn.XLOOKUP(B47,'Base stats'!B:B,'Base stats'!AL:AL)=0,BI47="None",_xlfn.XLOOKUP(_xlfn.XLOOKUP(B47,'Base stats'!B:B,'Base stats'!E:E),Groups!A:A,Groups!B:B)=0), (18 + BR47 * 2.7) * 0.5,
    IF(AND(_xlfn.XLOOKUP(B47,'Base stats'!B:B,'Base stats'!AL:AL)=0,OR(AO47&lt;0.55,AND(BI47="Intermediate",_xlfn.XLOOKUP(_xlfn.XLOOKUP(B47,'Base stats'!B:B,'Base stats'!E:E),Groups!A:A,Groups!B:B)&lt;2))), (18 + BR47 * 2.7),
      IF(OR(BI47="Advanced",_xlfn.XLOOKUP(B47,'Base stats'!B:B,'Base stats'!AL:AL)=1,_xlfn.XLOOKUP(_xlfn.XLOOKUP(B47,'Base stats'!B:B,'Base stats'!E:E),Groups!A:A,Groups!B:B)=2), (18 + BR47 * 2.7) + 250, (18 + BR47 * 2.7))
    )
  ))
  + AO47 * 80
  + IF(COUNTIF(EggMilk!K$2:K$998, A47) &gt; 0, 125, 0)
  + IF(COUNTIF(EggMilk!P$2:P$998, A47) &gt; 0, 90, 0)
  + IF(COUNTIF(EggMilk!A$2:A$998, A47) &gt; 0, 90, 0)
)
* (0.8 + 0.4 * J47)
* 0.75,25)</f>
        <v>250</v>
      </c>
      <c r="I47" s="2">
        <f>MROUND(ROUNDDOWN(_xlfn.XLOOKUP(B47,'Base stats'!B:B,'Base stats'!L:L)/3.6/(23.3/11),1),0.5)</f>
        <v>4</v>
      </c>
      <c r="J47" s="2">
        <f>IF(OR(_xlfn.XLOOKUP(B47,'Base stats'!B:B,'Base stats'!AB:AB)=1,_xlfn.XLOOKUP(_xlfn.XLOOKUP(B47,'Base stats'!B:B,'Base stats'!E:E),Groups!A:A,Groups!C:C)="Untamable"),1,IF(_xlfn.XLOOKUP(B47,'Base stats'!B:B,'Base stats'!AL:AL)=1,0.99,MIN(MROUND((1-0.6282*EXP(-0.459*AO47))*_xlfn.XLOOKUP(_xlfn.XLOOKUP(B47,'Base stats'!B:B,'Base stats'!E:E),Groups!A:A,Groups!C:C)*IF(_xlfn.XLOOKUP(B47,'Base stats'!B:B,'Base stats'!O:O)=1,0.5,IF(_xlfn.XLOOKUP(B47,'Base stats'!B:B,'Base stats'!O:O)=2,0,1)),0.05),IF(AO47&gt;3.5,0.985,0.95))))</f>
        <v>0.5</v>
      </c>
      <c r="K47" s="2">
        <f>ROUNDUP(AO47*_xlfn.XLOOKUP(_xlfn.XLOOKUP(B47,'Base stats'!B:B,'Base stats'!E:E),Groups!A:A,Groups!E:E),0)</f>
        <v>8</v>
      </c>
      <c r="L47" s="2">
        <f>IF(OR(_xlfn.XLOOKUP(_xlfn.XLOOKUP(B47,'Base stats'!B:B,'Base stats'!E:E),Groups!A:A,Groups!F:F)=2,ISNUMBER(SEARCH("SeaIce",BX47)),ISNUMBER(SEARCH("IceSheet",BX47))),-50,IF(OR(ISNUMBER(SEARCH("GlacialPlain",BX47)),ISNUMBER(SEARCH("Tundra",BX47))),-40,IF(OR(ISNUMBER(SEARCH("Alpine",BX47)),ISNUMBER(SEARCH("BorealForest",BX47)),ISNUMBER(SEARCH("ColdBog",BX47))),-30,IF(OR(ISNUMBER(SEARCH("TemperateForest",BX47)),ISNUMBER(SEARCH("TemperateSwamp",BX47))),-20,IF(_xlfn.XLOOKUP(_xlfn.XLOOKUP(B47,'Base stats'!B:B,'Base stats'!E:E),Groups!A:A,Groups!F:F)=1,-15,IF(OR(ISNUMBER(SEARCH("Desert",BX47)),ISNUMBER(SEARCH("ExtremeDesert",BX47))),-10,IF(OR(ISNUMBER(SEARCH("Grasslands",BX47)),ISNUMBER(SEARCH("TropicalRainforest",BX47)),ISNUMBER(SEARCH("TropicalSwamp",BX47))),10,0)))))))-IF(CC47="False",MIN(IFERROR(MAX(MROUND(LOG10(_xlfn.XLOOKUP(B47,'Base stats'!B:B,'Base stats'!C:C)^(2/3))*10,5),5),5),30))-_xlfn.XLOOKUP(B47,'Base stats'!B:B,'Base stats'!P:P)+IF(CC47="True",5,0)</f>
        <v>-35</v>
      </c>
      <c r="M47" s="2">
        <f>IF(OR(_xlfn.XLOOKUP(_xlfn.XLOOKUP(B47,'Base stats'!B:B,'Base stats'!E:E),Groups!A:A,Groups!G:G)=2,ISNUMBER(SEARCH("Desert",BX47)),ISNUMBER(SEARCH("ExtremeDesert",BX47)),ISNUMBER(SEARCH("LavaField",BX47))),50,IF(ISNUMBER(SEARCH("Grasslands",BX47)),45,IF(OR(_xlfn.XLOOKUP(_xlfn.XLOOKUP(B47,'Base stats'!B:B,'Base stats'!E:E),Groups!A:A,Groups!G:G)=1,ISNUMBER(SEARCH("TropicalRainforest",BX47)),ISNUMBER(SEARCH("TropicalSwamp",BX47))),40,IF(OR(ISNUMBER(SEARCH("TemperateForest",BX47)),ISNUMBER(SEARCH("TemperateSwamp",BX47))),35,IF(OR(ISNUMBER(SEARCH("Alpine",BX47)),ISNUMBER(SEARCH("BorealForest",BX47)),ISNUMBER(SEARCH("ColdBog",BX47))),30,IF(ISNUMBER(OR(ISNUMBER(SEARCH("GlacialPlain",BX47)),SEARCH("Tundra",BX47))),25,IF(OR(ISNUMBER(SEARCH("SeaIce",BX47)),ISNUMBER(SEARCH("IceSheet",BX47)),ISNUMBER(SEARCH("TropicalSwamp",BX47))),10,35)))))))+_xlfn.XLOOKUP(B47,'Base stats'!B:B,'Base stats'!Q:Q)</f>
        <v>50</v>
      </c>
      <c r="N47" s="8" t="str">
        <f>IF(
_xlfn.XLOOKUP(
_xlfn.XLOOKUP(B47,'Base stats'!B:B,'Base stats'!E:E),
Groups!A:A,
Groups!L:L
)=1,
MIN(
MROUND(
IF(
_xlfn.XLOOKUP(B47,'Animals CE'!B:B,'Animals CE'!Z:Z)&lt;=1.5,
_xlfn.XLOOKUP(B47,'Animals CE'!B:B,'Animals CE'!Z:Z)/2+0.05,
0.8+
(_xlfn.XLOOKUP(B47,'Animals CE'!B:B,'Animals CE'!Z:Z)-1.5)
*0.02
),
0.05
),
200%
),
"No"
)</f>
        <v>No</v>
      </c>
      <c r="O47" s="8" t="str">
        <f>IF(
_xlfn.XLOOKUP(
_xlfn.XLOOKUP(B47,'Base stats'!B:B,'Base stats'!E:E),
Groups!A:A,
Groups!L:L
)=1,
MIN(
MROUND(
IF(
_xlfn.XLOOKUP(B47,'Animals CE'!B:B,'Animals CE'!AA:AA)&lt;=1.5,
_xlfn.XLOOKUP(B47,'Animals CE'!B:B,'Animals CE'!AA:AA)/2+0.05,
0.8+
(_xlfn.XLOOKUP(B47,'Animals CE'!B:B,'Animals CE'!AA:AA)-1.5)
*0.02
),
0.05
),
200%
),
"No"
)</f>
        <v>No</v>
      </c>
      <c r="P47" s="2">
        <f>_xlfn.XLOOKUP(B47,'Base stats'!B:B,'Base stats'!R:R)</f>
        <v>0.9</v>
      </c>
      <c r="Q47" s="13">
        <f>MROUND((LOG10(_xlfn.XLOOKUP(B47,'Base stats'!B:B,'Base stats'!AR:AR))*(AO47^0.5)+(_xlfn.XLOOKUP(B47,'Base stats'!B:B,'Base stats'!AR:AR)/1000)^(2/3)+_xlfn.XLOOKUP(B47,'Base stats'!B:B,'Base stats'!BA:BA)/2)+0.5,0.5)</f>
        <v>9.5</v>
      </c>
      <c r="R47" s="7">
        <f>IF(Q47="No","No",MAX(1,MROUND(_xlfn.XLOOKUP(B47,'Base stats'!B:B,'Base stats'!C:C)^0.165,0.05)))</f>
        <v>2.3000000000000003</v>
      </c>
      <c r="S47" s="13">
        <f>IF(_xlfn.XLOOKUP(_xlfn.XLOOKUP(B47,'Base stats'!B:B,'Base stats'!E:E),Groups!A:A,Groups!P:P)=0,"No",MROUND((LOG10(_xlfn.XLOOKUP(B47,'Base stats'!B:B,'Base stats'!AS:AS))*(AO47^0.5)+(_xlfn.XLOOKUP(B47,'Base stats'!B:B,'Base stats'!AS:AS)/1000)^(2/3)+_xlfn.XLOOKUP(B47,'Base stats'!B:B,'Base stats'!BA:BA))+_xlfn.XLOOKUP(B47,'Base stats'!B:B,'Base stats'!AY:AY)+0.5,0.5))</f>
        <v>12</v>
      </c>
      <c r="T47" s="7">
        <f>IF(S47="No","No",MAX(_xlfn.XLOOKUP(_xlfn.XLOOKUP(B47,'Base stats'!B:B,'Base stats'!E:E),Groups!A:A,Groups!Q:Q),MROUND(_xlfn.XLOOKUP(_xlfn.XLOOKUP(B47,'Base stats'!B:B,'Base stats'!E:E),Groups!A:A,Groups!Q:Q)*_xlfn.XLOOKUP(B47,'Base stats'!B:B,'Base stats'!C:C)^0.165,0.05)))</f>
        <v>2.15</v>
      </c>
      <c r="U47" s="7" t="str">
        <f>IF(S47="No","No",_xlfn.XLOOKUP(_xlfn.XLOOKUP(B47,'Base stats'!B:B,'Base stats'!E:E),Groups!A:A,Groups!R:R))</f>
        <v>FrontLeftLeg, FrontRightLeg</v>
      </c>
      <c r="V47" s="7" t="str">
        <f>IF(S47="No","No",_xlfn.XLOOKUP(_xlfn.XLOOKUP(B47,'Base stats'!B:B,'Base stats'!E:E),Groups!A:A,Groups!S:S))</f>
        <v>left hoof, right hoof</v>
      </c>
      <c r="W47" s="7" t="str">
        <f>IF(S47="No","No",_xlfn.XLOOKUP(_xlfn.XLOOKUP(B47,'Base stats'!B:B,'Base stats'!E:E),Groups!A:A,Groups!T:T))</f>
        <v>Blunt</v>
      </c>
      <c r="X47" s="13" t="str">
        <f>IF(_xlfn.XLOOKUP(B47,'Base stats'!B:B,'Base stats'!W:W)="No","No",MROUND((LOG10(_xlfn.XLOOKUP(B47,'Base stats'!B:B,'Base stats'!AU:AU))*(AO47^0.5)+(_xlfn.XLOOKUP(B47,'Base stats'!B:B,'Base stats'!AU:AU)/1000)^(2/3)+_xlfn.XLOOKUP(B47,'Base stats'!B:B,'Base stats'!AZ:AZ))+0.5+IF(_xlfn.XLOOKUP(_xlfn.XLOOKUP(B47,'Base stats'!B:B,'Base stats'!E:E),Groups!A:A,Groups!U:U)&lt;&gt;3,_xlfn.XLOOKUP(B47,'Base stats'!B:B,'Base stats'!BA:BA),0),0.5))</f>
        <v>No</v>
      </c>
      <c r="Y47" s="7" t="str">
        <f>IF(X47="No","No",MAX(_xlfn.XLOOKUP(_xlfn.XLOOKUP(B47,'Base stats'!B:B,'Base stats'!E:E),Groups!A:A,Groups!V:V),MROUND(_xlfn.XLOOKUP(_xlfn.XLOOKUP(B47,'Base stats'!B:B,'Base stats'!E:E),Groups!A:A,Groups!V:V)*_xlfn.XLOOKUP(B47,'Base stats'!B:B,'Base stats'!C:C)^0.165,0.05)))</f>
        <v>No</v>
      </c>
      <c r="Z47" s="7" t="str">
        <f>IF(X47="No","No",_xlfn.XLOOKUP(_xlfn.XLOOKUP(B47,'Base stats'!B:B,'Base stats'!E:E),Groups!A:A,Groups!W:W))</f>
        <v>No</v>
      </c>
      <c r="AA47" s="7" t="str">
        <f>IF(X47="No","No",_xlfn.XLOOKUP(_xlfn.XLOOKUP(B47,'Base stats'!B:B,'Base stats'!E:E),Groups!A:A,Groups!X:X))</f>
        <v>No</v>
      </c>
      <c r="AB47" s="7" t="str">
        <f>IF(X47="No","No",_xlfn.XLOOKUP(_xlfn.XLOOKUP(B47,'Base stats'!B:B,'Base stats'!E:E),Groups!A:A,Groups!Y:Y))</f>
        <v>No</v>
      </c>
      <c r="AC47" s="7" t="str">
        <f>_xlfn.XLOOKUP(Animals!B47,'Base stats'!B:B,'Base stats'!X:X)</f>
        <v>False</v>
      </c>
      <c r="AD47" s="13">
        <f>IF(_xlfn.XLOOKUP(B47,'Base stats'!B:B,'Base stats'!AT:AT)="No","No",MROUND((LOG10(_xlfn.XLOOKUP(B47,'Base stats'!B:B,'Base stats'!AT:AT))*(AO47^0.75)+(_xlfn.XLOOKUP(B47,'Base stats'!B:B,'Base stats'!AT:AT)/1000)^(2/3)+_xlfn.XLOOKUP(B47,'Base stats'!B:B,'Base stats'!AX:AX)+_xlfn.XLOOKUP(B47,'Base stats'!B:B,'Base stats'!BA:BA))+0.5,0.5))</f>
        <v>12</v>
      </c>
      <c r="AE47" s="7">
        <f>IF(AD47="No","No",MAX(_xlfn.XLOOKUP(_xlfn.XLOOKUP(B47,'Base stats'!B:B,'Base stats'!E:E),Groups!A:A,Groups!Z:Z),MROUND(_xlfn.XLOOKUP(_xlfn.XLOOKUP(B47,'Base stats'!B:B,'Base stats'!E:E),Groups!A:A,Groups!Z:Z)*_xlfn.XLOOKUP(B47,'Base stats'!B:B,'Base stats'!C:C)^0.165,0.05)))</f>
        <v>2.3000000000000003</v>
      </c>
      <c r="AF47" s="7" t="str">
        <f>IF(AD47="No","No",_xlfn.XLOOKUP(_xlfn.XLOOKUP(B47,'Base stats'!B:B,'Base stats'!E:E),Groups!A:A,Groups!AA:AA))</f>
        <v>Teeth</v>
      </c>
      <c r="AG47" s="7" t="str">
        <f>IF(AD47="No","No",_xlfn.XLOOKUP(_xlfn.XLOOKUP(B47,'Base stats'!B:B,'Base stats'!E:E),Groups!A:A,Groups!AB:AB))</f>
        <v>teeth</v>
      </c>
      <c r="AH47" s="7" t="str">
        <f>IF(AD47="No","No",_xlfn.XLOOKUP(_xlfn.XLOOKUP(B47,'Base stats'!B:B,'Base stats'!E:E),Groups!A:A,Groups!AC:AC))</f>
        <v>Bite</v>
      </c>
      <c r="AI47" s="13" t="str">
        <f>IF(_xlfn.XLOOKUP(_xlfn.XLOOKUP(B47,'Base stats'!B:B,'Base stats'!E:E),Groups!A:A,Groups!AD:AD)=0,"No",MROUND((LOG10(_xlfn.XLOOKUP(B47,'Base stats'!B:B,'Base stats'!AS:AS))*(AO47^0.75)+(_xlfn.XLOOKUP(B47,'Base stats'!B:B,'Base stats'!AS:AS)/1000)^(2/3)+_xlfn.XLOOKUP(B47,'Base stats'!B:B,'Base stats'!AY:AY)+_xlfn.XLOOKUP(B47,'Base stats'!B:B,'Base stats'!BA:BA))+0.5,0.5))</f>
        <v>No</v>
      </c>
      <c r="AJ47" s="7" t="str">
        <f>IF(AI47="No","No",MAX(_xlfn.XLOOKUP(_xlfn.XLOOKUP(B47,'Base stats'!B:B,'Base stats'!E:E),Groups!A:A,Groups!AE:AE),MROUND(_xlfn.XLOOKUP(_xlfn.XLOOKUP(B47,'Base stats'!B:B,'Base stats'!E:E),Groups!A:A,Groups!AE:AE)*IF(_xlfn.XLOOKUP(_xlfn.XLOOKUP(B47,'Base stats'!B:B,'Base stats'!E:E),Groups!A:A,Groups!AJ:AJ)="Photonozoa",0.6,1)*_xlfn.XLOOKUP(B47,'Base stats'!B:B,'Base stats'!C:C)^0.165,0.05)))</f>
        <v>No</v>
      </c>
      <c r="AK47" s="7" t="str">
        <f>IF(AI47="No","No",_xlfn.XLOOKUP(_xlfn.XLOOKUP(B47,'Base stats'!B:B,'Base stats'!E:E),Groups!A:A,Groups!AF:AF))</f>
        <v>No</v>
      </c>
      <c r="AL47" s="7" t="str">
        <f>IF(AI47="No","No",_xlfn.XLOOKUP(_xlfn.XLOOKUP(B47,'Base stats'!B:B,'Base stats'!E:E),Groups!A:A,Groups!AG:AG))</f>
        <v>No</v>
      </c>
      <c r="AM47" s="7" t="str">
        <f>IF(AI47="No","No",_xlfn.XLOOKUP(_xlfn.XLOOKUP(B47,'Base stats'!B:B,'Base stats'!E:E),Groups!A:A,Groups!AH:AH))</f>
        <v>No</v>
      </c>
      <c r="AN47" s="2" t="str">
        <f t="shared" si="0"/>
        <v>No</v>
      </c>
      <c r="AO47" s="2">
        <f>MROUND(IF(AND(_xlfn.XLOOKUP(B47,'Base stats'!B:B,'Base stats'!C:C)&gt;=0.5,_xlfn.XLOOKUP(B47,'Base stats'!B:B,'Base stats'!C:C)&lt;=0.8),
IF(_xlfn.XLOOKUP(B47,'Base stats'!B:B,'Base stats'!C:C)&lt;0.1,0.05,IF(_xlfn.XLOOKUP(B47,'Base stats'!B:B,'Base stats'!C:C)&lt;=70,(_xlfn.XLOOKUP(B47,'Base stats'!B:B,'Base stats'!C:C)/70)^0.426489913056526,IF(_xlfn.XLOOKUP(B47,'Base stats'!B:B,'Base stats'!C:C)&lt;=400,(_xlfn.XLOOKUP(B47,'Base stats'!B:B,'Base stats'!C:C)/70)^0.572811455315093,IF(_xlfn.XLOOKUP(B47,'Base stats'!B:B,'Base stats'!C:C)&lt;=2000,2.71391647193063*(_xlfn.XLOOKUP(B47,'Base stats'!B:B,'Base stats'!C:C)/400)^0.252459582904293,3.74314280240376*(_xlfn.XLOOKUP(B47,'Base stats'!B:B,'Base stats'!C:C)/2000)^0.357012633876913)))),
IF(_xlfn.XLOOKUP(B47,'Base stats'!B:B,'Base stats'!C:C)&lt;0.1,0.05,IF(_xlfn.XLOOKUP(B47,'Base stats'!B:B,'Base stats'!C:C)&lt;0.4,0.1,IF(_xlfn.XLOOKUP(B47,'Base stats'!B:B,'Base stats'!C:C)&lt;=70,(_xlfn.XLOOKUP(B47,'Base stats'!B:B,'Base stats'!C:C)/70)^0.445823913056526,IF(_xlfn.XLOOKUP(B47,'Base stats'!B:B,'Base stats'!C:C)&lt;=400,(_xlfn.XLOOKUP(B47,'Base stats'!B:B,'Base stats'!C:C)/70)^0.572811455315093,IF(_xlfn.XLOOKUP(B47,'Base stats'!B:B,'Base stats'!C:C)&lt;=2000,2.71391647193063*(_xlfn.XLOOKUP(B47,'Base stats'!B:B,'Base stats'!C:C)/400)^0.252459582904293,3.74314280240376*(_xlfn.XLOOKUP(B47,'Base stats'!B:B,'Base stats'!C:C)/2000)^0.357012633876913)))))),
IF(_xlfn.XLOOKUP(B47,'Base stats'!B:B,'Base stats'!C:C)&lt;0.1,0.05,IF(_xlfn.XLOOKUP(B47,'Base stats'!B:B,'Base stats'!C:C)&lt;=100,0.05,IF(_xlfn.XLOOKUP(B47,'Base stats'!B:B,'Base stats'!C:C)&lt;=250,0.1,IF(_xlfn.XLOOKUP(B47,'Base stats'!B:B,'Base stats'!C:C)&lt;=4000,0.25,0.5)))))</f>
        <v>1.5</v>
      </c>
      <c r="AP47" s="8">
        <f>MROUND(AO47*_xlfn.XLOOKUP(_xlfn.XLOOKUP(B47,'Base stats'!B:B,'Base stats'!E:E),Groups!A:A,Groups!AI:AI)*_xlfn.XLOOKUP(B47,'Base stats'!B:B,'Base stats'!Z:Z),0.05)</f>
        <v>1.5</v>
      </c>
      <c r="AQ47" s="8">
        <f>MAX(0.01,MROUND(IF(CC47="True",0.196*(AO47*100*1000)^0.889,IF(_xlfn.XLOOKUP(_xlfn.XLOOKUP(B47,'Base stats'!B:B,'Base stats'!E:E),Groups!A:A,Groups!AJ:AJ)="Bird",10.5*(AO47*100*1000)^0.681,4.82*(AO47*100*1000)^0.734))/(4.82*(1*100*1000)^0.734)/IF(AO47&lt;3.5,2,IF(AO47=3.5,1.5,1.25))*(1+0.132282374779864/(AO47^0.994035016789033+0.00905238001496948)),0.05))</f>
        <v>0.75</v>
      </c>
      <c r="AR47" s="9">
        <f>IFERROR(MROUND(_xlfn.XLOOKUP(B47,'Base stats'!B:B,'Base stats'!H:H)/IF(_xlfn.XLOOKUP(B47,'Base stats'!B:B,'Base stats'!I:I)&lt;&gt;1,(122.5/70),1.2),IF(_xlfn.XLOOKUP(B47,'Base stats'!B:B,'Base stats'!H:H)&gt;=30,5,IF(_xlfn.XLOOKUP(B47,'Base stats'!B:B,'Base stats'!H:H)&gt;=15,3,IF(_xlfn.XLOOKUP(B47,'Base stats'!B:B,'Base stats'!H:H)&gt;=10,2,1)))),"Immortal")</f>
        <v>12</v>
      </c>
      <c r="AS47" s="35">
        <f>IFERROR(IF(OR(_xlfn.XLOOKUP(B47,'Base stats'!B:B,'Base stats'!F:F)="Atypical reproduction",_xlfn.XLOOKUP(B47,'Base stats'!B:B,'Base stats'!F:F)="Lay eggs"),"Lay eggs",MIN(20,MAX(5.5,ROUND(((_xlfn.XLOOKUP(B47,'Base stats'!B:B,'Base stats'!F:F)-25)*(14.5/615) + 5.5)*2,0)/2))),"Unknown")</f>
        <v>9.5</v>
      </c>
      <c r="AT47" s="8">
        <f>IF(_xlfn.XLOOKUP(B47,'Base stats'!B:B,'Base stats'!G:G)="Atypical reproduction","No",IFERROR(MAX(IF(_xlfn.XLOOKUP(B47,'Base stats'!B:B,'Base stats'!G:G)&lt;0.5,0.2,0.3),MROUND(_xlfn.XLOOKUP(B47,'Base stats'!B:B,'Base stats'!G:G)/(365/60),0.2)),"Unknown"))</f>
        <v>0.4</v>
      </c>
      <c r="AU47" s="8">
        <f t="shared" si="1"/>
        <v>0.2</v>
      </c>
      <c r="AV47" s="8">
        <f>IFERROR(IFERROR(MROUND(_xlfn.XLOOKUP(B47,'Base stats'!B:B,'Base stats'!J:J),0.1),"Lay eggs"),"Cannot breed")</f>
        <v>1</v>
      </c>
      <c r="AW47" s="2" t="str">
        <f t="shared" si="2"/>
        <v>true</v>
      </c>
      <c r="AX47" s="2" t="str">
        <f>IF(_xlfn.XLOOKUP(_xlfn.XLOOKUP(Animals!B47,'Base stats'!B:B,'Base stats'!E:E),Groups!A:A,Groups!AK:AK)=1,"true","false")</f>
        <v>true</v>
      </c>
      <c r="AY47" s="25" t="str">
        <f>IF(_xlfn.XLOOKUP(B47,'Base stats'!B:B,'Base stats'!Y:Y)="Liquor","Liquor, CarnivoreAnimalStrict",IF(AND(_xlfn.XLOOKUP(B47,'Base stats'!B:B,'Base stats'!Y:Y)="Carnivore",_xlfn.XLOOKUP(_xlfn.XLOOKUP(B47,'Base stats'!B:B,'Base stats'!E:E),Groups!A:A,Groups!AJ:AJ)="Photonozoa"),"CarnivoreAnimalStrict, OvivoreAnimal",IF(_xlfn.XLOOKUP(B47,'Base stats'!B:B,'Base stats'!Y:Y)="Carnivore","CarnivoreAnimal, OvivoreAnimal",IF(_xlfn.XLOOKUP(B47,'Base stats'!B:B,'Base stats'!Y:Y)="Dendrovore","VegetarianRoughAnimal, DendrovoreAnimal",IF(_xlfn.XLOOKUP(B47,'Base stats'!B:B,'Base stats'!Y:Y)="Herbivore","VegetarianRoughAnimal",IF(_xlfn.XLOOKUP(B47,'Base stats'!B:B,'Base stats'!Y:Y)="OmnivoreRough","OmnivoreRoughAnimal, OvivoreAnimal","OmnivoreAnimal, OvivoreAnimal"))))))</f>
        <v>VegetarianRoughAnimal</v>
      </c>
      <c r="AZ47" s="2">
        <f>IF(_xlfn.XLOOKUP(_xlfn.XLOOKUP(B47,'Base stats'!B:B,'Base stats'!E:E),Groups!A:A,Groups!D:D)=1,MROUND((1-J47)*5+1,2)*IF(J47&lt;=0.4,2,1),"No")</f>
        <v>4</v>
      </c>
      <c r="BA47" s="2" t="str">
        <f>IF(AND(_xlfn.XLOOKUP(B47,'Base stats'!B:B,'Base stats'!AH:AH)="&lt;li&gt;Seal&lt;/li&gt;",G47="Odyssey"),"&lt;li&gt;AEXP_Seal&lt;/li&gt;",_xlfn.XLOOKUP(B47,'Base stats'!B:B,'Base stats'!AH:AH))</f>
        <v>No</v>
      </c>
      <c r="BB47" s="2" t="str">
        <f>_xlfn.XLOOKUP(B47,'Base stats'!B:B,'Base stats'!AG:AG)</f>
        <v>Leather_Plain</v>
      </c>
      <c r="BC47" s="23" t="str">
        <f>_xlfn.XLOOKUP(_xlfn.XLOOKUP(B47,'Base stats'!B:B,'Base stats'!E:E),Groups!A:A,Groups!AL:AL)</f>
        <v>QuadrupedAnimalWithHoovesAndHump</v>
      </c>
      <c r="BD47" s="23">
        <f>MIN(1,MROUND(IF(AND(AO47&lt;0.5,_xlfn.XLOOKUP(B47,'Base stats'!B:B,'Base stats'!AA:AA)=0),0,IF(OR(_xlfn.XLOOKUP(Animals!B47,'Base stats'!B:B,'Base stats'!O:O)=2,_xlfn.XLOOKUP(_xlfn.XLOOKUP(B47,'Base stats'!B:B,'Base stats'!E:E),Groups!A:A,Groups!AN:AN)=0),0,_xlfn.XLOOKUP(_xlfn.XLOOKUP(B47,'Base stats'!B:B,'Base stats'!E:E),Groups!A:A,Groups!AN:AN)/IF(_xlfn.XLOOKUP(Animals!B47,'Base stats'!B:B,'Base stats'!O:O)=1,2,1)))+_xlfn.XLOOKUP(B47,'Base stats'!B:B,'Base stats'!AC:AC),0.005))</f>
        <v>0.1</v>
      </c>
      <c r="BE47" s="23">
        <f>MIN(1,MROUND(IF(AND(AO47&lt;0.5,_xlfn.XLOOKUP(B47,'Base stats'!B:B,'Base stats'!AA:AA)=0),0,IF(_xlfn.XLOOKUP(_xlfn.XLOOKUP(B47,'Base stats'!B:B,'Base stats'!E:E),Groups!A:A,Groups!AO:AO)=0,0,_xlfn.XLOOKUP(_xlfn.XLOOKUP(B47,'Base stats'!B:B,'Base stats'!E:E),Groups!A:A,Groups!AO:AO)/IF(_xlfn.XLOOKUP(Animals!B47,'Base stats'!B:B,'Base stats'!O:O)=2,3,1)))+_xlfn.XLOOKUP(B47,'Base stats'!B:B,'Base stats'!AD:AD),0.005))</f>
        <v>0.3</v>
      </c>
      <c r="BF47" s="2" t="str">
        <f>IF(J47&gt;0.3,"No",_xlfn.XLOOKUP(_xlfn.XLOOKUP(Animals!B47,'Base stats'!B:B,'Base stats'!E:E),Groups!A:A,Groups!AP:AP))</f>
        <v>No</v>
      </c>
      <c r="BG47" s="2" t="str">
        <f>IF(AND(J47&lt;=0.65,_xlfn.XLOOKUP(_xlfn.XLOOKUP(Animals!B47,'Base stats'!B:B,'Base stats'!E:E),Groups!A:A,Groups!AP:AP)&lt;&gt;"No",_xlfn.XLOOKUP(_xlfn.XLOOKUP(B47,'Base stats'!B:B,'Base stats'!E:E),Groups!A:A,Groups!D:D)=0),MROUND((80/3)*IF(_xlfn.XLOOKUP(B47,'Base stats'!B:B,'Base stats'!O:O)=2,0.2,AO47) + 24*(1-IF(BF47="No",0,BF47)) + 16/3, 12),"No")</f>
        <v>No</v>
      </c>
      <c r="BH47" s="2">
        <f>IF(AND(_xlfn.XLOOKUP(_xlfn.XLOOKUP(B47,'Base stats'!B:B,'Base stats'!E:E),Groups!A:A,Groups!AQ:AQ)=1,AO47&lt;=0.35),8,12)</f>
        <v>12</v>
      </c>
      <c r="BI47" s="2" t="str">
        <f>IF(_xlfn.XLOOKUP(_xlfn.XLOOKUP(B47,'Base stats'!B:B,'Base stats'!E:E),Groups!A:A,Groups!D:D)=0,_xlfn.XLOOKUP(_xlfn.XLOOKUP(B47,'Base stats'!B:B,'Base stats'!E:E),Groups!A:A,Groups!AR:AR),"None")</f>
        <v>None</v>
      </c>
      <c r="BJ47" s="2" t="str">
        <f>IF(AND(_xlfn.XLOOKUP(_xlfn.XLOOKUP(B47,'Base stats'!B:B,'Base stats'!E:E),Groups!A:A,Groups!AS:AS)=1,OR(_xlfn.XLOOKUP(B47,'Base stats'!B:B,'Base stats'!Y:Y)="Carnivore",_xlfn.XLOOKUP(B47,'Base stats'!B:B,'Base stats'!Y:Y)="Omnivore")),"true","false")</f>
        <v>false</v>
      </c>
      <c r="BK47" s="2" t="str">
        <f>IF(BJ47="true",MROUND(IF(AND(AO47&gt;0.5,OR(_xlfn.XLOOKUP(_xlfn.XLOOKUP(B47,'Base stats'!B:B,'Base stats'!E:E),Groups!A:A,Groups!AJ:AJ)="Photonozoa",_xlfn.XLOOKUP(_xlfn.XLOOKUP(B47,'Base stats'!B:B,'Base stats'!E:E),Groups!A:A,Groups!AJ:AJ)="Mammal")),Animals!AO47*1.75*IF(AW47="true",1.5,1),IF(AO47&lt;0.5,Animals!AO47*0.5,Animals!AO47)),IF(AO47&gt;2,0.5,IF(AO47&gt;0.5,0.25,0.1))),"No")</f>
        <v>No</v>
      </c>
      <c r="BL47" s="2">
        <f t="shared" si="3"/>
        <v>0</v>
      </c>
      <c r="BM47" s="25" t="str">
        <f>IF(_xlfn.XLOOKUP(B47,'Base stats'!B:B,'Base stats'!AN:AN)="Standard","No",MROUND((_xlfn.XLOOKUP(B47,'Base stats'!B:B,'Base stats'!AN:AN)/3.6)/I47,0.1))</f>
        <v>No</v>
      </c>
      <c r="BN47" s="25" t="str">
        <f t="shared" si="4"/>
        <v>false</v>
      </c>
      <c r="BO47" s="25" t="str">
        <f>IF(AND(OR(_xlfn.XLOOKUP(B47,'Base stats'!B:B,'Base stats'!Y:Y)="Carnivore",_xlfn.XLOOKUP(B47,'Base stats'!B:B,'Base stats'!Y:Y)="Omnivore",_xlfn.XLOOKUP(B47,'Base stats'!B:B,'Base stats'!Y:Y)="OmnivoreRough"),_xlfn.XLOOKUP(_xlfn.XLOOKUP(B47,'Base stats'!B:B,'Base stats'!E:E),Groups!A:A,Groups!AT:AT)=1),"true","false")</f>
        <v>false</v>
      </c>
      <c r="BP47" s="25" t="str" cm="1">
        <f t="array" ref="BP47">IF(
  _xlfn.TEXTJOIN(", ",TRUE,
    IF(AND(BJ47="true",AO47&gt;0.5,BI47&lt;&gt;"None"),"AttackTarget",""),
    IF(AND(_xlfn.XLOOKUP(_xlfn.XLOOKUP(B47,'Base stats'!B:B,'Base stats'!E:E),Groups!A:A,Groups!AJ:AJ="Mammal"),OR(_xlfn.XLOOKUP(B47,'Base stats'!B:B,'Base stats'!Y:Y)="Omnivore",_xlfn.XLOOKUP(B47,'Base stats'!B:B,'Base stats'!Y:Y)="OmnivoreRough")),"Forage",""),
    IF(BG47&lt;=36,"Comfort",""),
    IF(_xlfn.XLOOKUP(B47,'Base stats'!B:B,'Base stats'!AE:AE)&lt;&gt;"No",_xlfn.XLOOKUP(B47,'Base stats'!B:B,'Base stats'!AE:AE),"")
  ) = "",
  "No",
  _xlfn.TEXTJOIN(", ",TRUE,
    IF(AND(BJ47="true",AO47&gt;0.5,BI47&lt;&gt;"None"),"AttackTarget",""),
    IF(AND(_xlfn.XLOOKUP(_xlfn.XLOOKUP(B47,'Base stats'!B:B,'Base stats'!E:E),Groups!A:A,Groups!AJ:AJ="Mammal"),OR(_xlfn.XLOOKUP(B47,'Base stats'!B:B,'Base stats'!Y:Y)="Omnivore",_xlfn.XLOOKUP(B47,'Base stats'!B:B,'Base stats'!Y:Y)="OmnivoreRough")),"Forage",""),
    IF(BG47&lt;=36,"Comfort",""),
    IF(_xlfn.XLOOKUP(B47,'Base stats'!B:B,'Base stats'!AE:AE)&lt;&gt;"No",_xlfn.XLOOKUP(B47,'Base stats'!B:B,'Base stats'!AE:AE),"")
  )
)</f>
        <v>No</v>
      </c>
      <c r="BQ47" s="25" t="str">
        <f>IF(
   AND(
      'Base stats'!AN47="Standard",_xlfn.XLOOKUP(_xlfn.XLOOKUP(B47,'Base stats'!B:B,'Base stats'!E:E),Groups!A:A,Groups!AU:AU)=0,
      OR(
      BO47="True"
      )
   ),
   10,
   IF(
       OR(BM47&lt;&gt;"No",_xlfn.XLOOKUP(_xlfn.XLOOKUP(B47,'Base stats'!B:B,'Base stats'!E:E),Groups!A:A,Groups!AU:AU)=1),
      1,
      "No"
   )
)</f>
        <v>No</v>
      </c>
      <c r="BR47" s="9">
        <f>MROUND((1 + ((0.2*IF(OR(Q47="No",R47="No",R47=0),0,Q47/R47)
+IF(OR(V47="No",S47="No",T47="No"),0,S47/T47*(LEN(V47)-LEN(SUBSTITUTE(V47,",",""))+1))
+IF(OR(X47="No",Y47="No"),0,X47/Y47)
+IF(OR(AD47="No",AE47="No"),0,AD47/AE47)
+IF(OR(AL47="No",AI47="No",AJ47="No"),0,AI47/AJ47*(LEN(AL47)-LEN(SUBSTITUTE(AL47,",",""))+1))
)/(0.2*IF(OR(Q47="No",R47="No",R47=0),0,1)
+IF(OR(V47="No",S47="No",T47="No"),0,LEN(V47)-LEN(SUBSTITUTE(V47,",",""))+1)
+IF(OR(X47="No",Y47="No"),0,1)
+IF(OR(AD47="No",AE47="No"),0,1)
+IF(OR(AL47="No",AI47="No",AJ47="No"),0,LEN(AL47)-LEN(SUBSTITUTE(AL47,",",""))+1))*62%)* 2)*(1 + (AP47 / (IF(_xlfn.XLOOKUP(_xlfn.XLOOKUP(B47,'Base stats'!B:B,'Base stats'!E:E),Groups!A:A,Groups!AJ:AJ)="Photonozoa",0.3,1)) + _xlfn.XLOOKUP(B47,'Base stats'!B:B,'Base stats'!AV:AV) * 1.8) * 2) * 2.5 + 10 + I47 * 2,5)+IF(_xlfn.XLOOKUP(B47,'Base stats'!B:B,'Base stats'!AK:AK)=1,50,0)</f>
        <v>145</v>
      </c>
      <c r="BS47" s="8">
        <f t="shared" si="5"/>
        <v>0.9</v>
      </c>
      <c r="BT47" s="8" t="str">
        <f>_xlfn.XLOOKUP(B47,'Base stats'!B:B,'Base stats'!AF:AF)</f>
        <v>2~6</v>
      </c>
      <c r="BU47" s="2" t="str">
        <f>IF(AND(J47&lt;=0.95,OR(_xlfn.XLOOKUP(B47,'Base stats'!B:B,'Base stats'!AK:AK)=1,_xlfn.XLOOKUP(B47,'Base stats'!B:B,'Base stats'!Y:Y)="Carnivore",_xlfn.XLOOKUP(B47,'Base stats'!B:B,'Base stats'!Y:Y)="Omnivore",BE47&gt;0.1)),"true","false")</f>
        <v>true</v>
      </c>
      <c r="BV47" s="2" t="str">
        <f>IF(_xlfn.XLOOKUP(B47,'Base stats'!B:B,'Base stats'!AI:AI)=1,"true","false")</f>
        <v>false</v>
      </c>
      <c r="BW47" s="25" t="str">
        <f>IF(E47="BaseInsect","AnimalInsect",
IF(J47&gt;0.95,"AnimalExotic",
_xlfn.TEXTJOIN(", ",TRUE,
IF(OR(_xlfn.XLOOKUP(B47,'Base stats'!B:B,'Base stats'!AM:AM)=1,AND(_xlfn.XLOOKUP(B47,'Base stats'!B:B,'Base stats'!O:O)=0,_xlfn.XLOOKUP(_xlfn.XLOOKUP(B47,'Base stats'!B:B,'Base stats'!E:E),Groups!A:A,Groups!B:B)&gt;0)),"AnimalUncommon","AnimalCommon"),
IF(AND(_xlfn.XLOOKUP(B47,'Base stats'!B:B,'Base stats'!O:O)=2,_xlfn.XLOOKUP(_xlfn.XLOOKUP(B47,'Base stats'!B:B,'Base stats'!E:E),Groups!A:A,Groups!D:D)=0),"AnimalPet",IF(AND(_xlfn.XLOOKUP(B47,'Base stats'!B:B,'Base stats'!O:O)&lt;&gt;0,_xlfn.XLOOKUP(_xlfn.XLOOKUP(B47,'Base stats'!B:B,'Base stats'!E:E),Groups!A:A,Groups!D:D)&lt;&gt;0),"AnimalFarm","")),
IF(OR(_xlfn.XLOOKUP(B47,'Base stats'!B:B,'Base stats'!AK:AK)=1,AND(BI47&lt;&gt;"None",BR47&gt;=60),ISNUMBER(SEARCH("Attack target",BP47))),"AnimalFighter","")
)))</f>
        <v>AnimalCommon, AnimalFighter</v>
      </c>
      <c r="BX47" s="25" t="str">
        <f>IF(G47="None",TRIM(
SUBSTITUTE(
IF(COUNTIF(Biomes!B$2:B$259,"="&amp;$C47)&gt;0,Biomes!B$1&amp;", ","")&amp;
IF(COUNTIF(Biomes!C$2:C$259,"="&amp;$C47)&gt;0,Biomes!C$1&amp;", ","")&amp;
IF(COUNTIF(Biomes!D$2:D$259,"="&amp;$C47)&gt;0,Biomes!D$1&amp;", ","")&amp;
IF(COUNTIF(Biomes!F$2:F$259,"="&amp;$C47)&gt;0,Biomes!F$1&amp;", ","")&amp;
IF(COUNTIF(Biomes!G$2:G$259,"="&amp;$C47)&gt;0,Biomes!G$1&amp;", ","")&amp;
IF(COUNTIF(Biomes!H$2:H$259,"="&amp;$C47)&gt;0,Biomes!H$1&amp;", ","")&amp;
IF(COUNTIF(Biomes!I$2:I$259,"="&amp;$C47)&gt;0,Biomes!I$1&amp;", ","")&amp;
IF(COUNTIF(Biomes!J$2:J$259,"="&amp;$C47)&gt;0,Biomes!J$1&amp;", ","")&amp;
IF(COUNTIF(Biomes!M$2:M$259,"="&amp;$C47)&gt;0,Biomes!M$1&amp;", ","")&amp;
IF(COUNTIF(Biomes!N$2:N$259,"="&amp;$C47)&gt;0,Biomes!N$1&amp;", ","")&amp;
IF(COUNTIF(Biomes!O$2:O$259,"="&amp;$C47)&gt;0,Biomes!O$1&amp;", ","")&amp;
IF(COUNTIF(Biomes!P$2:P$259,"="&amp;$C47)&gt;0,Biomes!P$1&amp;", ","")&amp;
IF(COUNTIF(Biomes!K$2:K$259,"="&amp;$C47)&gt;0,Biomes!K$1&amp;", ","")&amp;
IF(COUNTIF(Biomes!Q$3:Q$259,"="&amp;$C47)&gt;0,Biomes!Q$1&amp;", ","")&amp;
IF(COUNTIF(Biomes!L$2:L$259,"="&amp;$C47)&gt;0,Biomes!L$1&amp;", ","")&amp;
IF(COUNTIF(Biomes!E$2:E$259,"="&amp;$C47)&gt;0,Biomes!E$1&amp;", ","")&amp;IF(COUNTIF(Biomes!S$2:S$259,"="&amp;$C47)&gt;0,Biomes!S$1&amp;", ","")&amp;
IF(COUNTIF(Biomes!R$2:R$259,"="&amp;$C47)&gt;0,Biomes!R$1&amp;", ",""),", ","")
),_xlfn.XLOOKUP(B47,B:B,BX:BX))</f>
        <v>TemperateForest TemperateSwamp AridShrubland Desert TropicalRainforest TropicalSwamp Grasslands Glowforest LavaField Scarlands</v>
      </c>
      <c r="BY47" s="25" t="str">
        <f>IF(_xlfn.XLOOKUP(B47,'Base stats'!B:B,'Base stats'!AJ:AJ)=1,"true","false")</f>
        <v>false</v>
      </c>
      <c r="BZ47" s="25">
        <f>IF(_xlfn.XLOOKUP(B47,'Base stats'!B:B,'Base stats'!N:N)=1,"No",MAX(0.001,MIN(MROUND(IF(AND(BJ47="True",CC47="False"),POWER(10,3.47*LOG10(_xlfn.XLOOKUP(B47,'Base stats'!B:B,'Base stats'!C:C)*1000)^-0.96),POWER(10,4.15*LOG10(_xlfn.XLOOKUP(B47,'Base stats'!B:B,'Base stats'!C:C)*1000)^-0.73))*IF(_xlfn.XLOOKUP(B47,'Base stats'!B:B,'Base stats'!AK:AK)=1,0.5,1)*IF(_xlfn.XLOOKUP(B47,'Base stats'!B:B,'Base stats'!AM:AM)=1,0.1,1)/100,IF(_xlfn.XLOOKUP(B47,'Base stats'!B:B,'Base stats'!AM:AM)=1,0.001,0.025)),0.5)))</f>
        <v>0.1</v>
      </c>
      <c r="CA47" s="25">
        <f>IF(P47="Standard","No",MAX(0.001,MIN(MROUND(IF(AND(BJ47="True",CC47="False"),POWER(10,3.47*LOG10(_xlfn.XLOOKUP(B47,'Base stats'!B:B,'Base stats'!C:C)*1000)^-0.96),POWER(10,4.15*LOG10(_xlfn.XLOOKUP(B47,'Base stats'!B:B,'Base stats'!C:C)*1000)^-0.73))*IF(_xlfn.XLOOKUP(B47,'Base stats'!B:B,'Base stats'!AM:AM)=1,0.1,1)*_xlfn.XLOOKUP(B47,'Base stats'!B:B,'Base stats'!R:R)/100,IF(_xlfn.XLOOKUP(B47,'Base stats'!B:B,'Base stats'!AM:AM)=1,0.001,0.025)),0.5)))</f>
        <v>0.15000000000000002</v>
      </c>
      <c r="CB47" s="25" t="str">
        <f>IF(_xlfn.XLOOKUP(_xlfn.XLOOKUP(B47,'Base stats'!B:B,'Base stats'!E:E),Groups!A:A,Groups!AJ:AJ)="Mammal","True","False")</f>
        <v>True</v>
      </c>
      <c r="CC47" s="25" t="str">
        <f>IF(OR(_xlfn.XLOOKUP(_xlfn.XLOOKUP(B47,'Base stats'!B:B,'Base stats'!E:E),Groups!A:A,Groups!AJ:AJ)="Reptile",_xlfn.XLOOKUP(_xlfn.XLOOKUP(B47,'Base stats'!B:B,'Base stats'!E:E),Groups!A:A,Groups!AJ:AJ)="Amphibian",_xlfn.XLOOKUP(_xlfn.XLOOKUP(B47,'Base stats'!B:B,'Base stats'!E:E),Groups!A:A,Groups!AJ:AJ)="Invertebrate"),"True","False")</f>
        <v>False</v>
      </c>
      <c r="CD47" s="25" t="str">
        <f t="shared" si="6"/>
        <v>False</v>
      </c>
      <c r="CE47" s="25" t="str">
        <f>IF(_xlfn.XLOOKUP(_xlfn.XLOOKUP(B47,'Base stats'!B:B,'Base stats'!E:E),Groups!A:A,Groups!AX:AX),"True","False")</f>
        <v>False</v>
      </c>
      <c r="CF47" s="25" t="str">
        <f>IF(_xlfn.XLOOKUP(_xlfn.XLOOKUP(B47,'Base stats'!B:B,'Base stats'!E:E),Groups!A:A,Groups!AY:AY),"True","False")</f>
        <v>False</v>
      </c>
      <c r="CG47" s="25" t="str">
        <f>IF(_xlfn.XLOOKUP(_xlfn.XLOOKUP(B47,'Base stats'!B:B,'Base stats'!E:E),Groups!A:A,Groups!AW:AW),"True","False")</f>
        <v>False</v>
      </c>
      <c r="CH47" s="25" t="str">
        <f>IF(
OR(
_xlfn.XLOOKUP(_xlfn.XLOOKUP(B47,'Base stats'!B:B,'Base stats'!E:E),Groups!A:A,Groups!AZ:AZ)=0,
AND(
_xlfn.XLOOKUP(B47,'Base stats'!B:B,'Base stats'!Y:Y)&lt;&gt;"Carnivore",
_xlfn.XLOOKUP(B47,'Base stats'!B:B,'Base stats'!Y:Y)&lt;&gt;"Omnivore",
_xlfn.XLOOKUP(B47,'Base stats'!B:B,'Base stats'!Y:Y)&lt;&gt;"OmnivoreRough"
)
),
"No",
IF(
_xlfn.XLOOKUP(_xlfn.XLOOKUP(B47,'Base stats'!B:B,'Base stats'!E:E),Groups!A:A,Groups!AZ:AZ)=1,
"Flesh",
IF(
_xlfn.XLOOKUP(_xlfn.XLOOKUP(B47,'Base stats'!B:B,'Base stats'!E:E),Groups!A:A,Groups!AZ:AZ)=2,
"Bone",
""
)
)
)</f>
        <v>No</v>
      </c>
      <c r="CI47" s="25" t="str">
        <f>IF(_xlfn.XLOOKUP(_xlfn.XLOOKUP(B47,'Base stats'!B:B,'Base stats'!E:E),Groups!A:A,Groups!BB:BB),"True","False")</f>
        <v>True</v>
      </c>
      <c r="CJ47" s="25" t="str">
        <f>IF(_xlfn.XLOOKUP(_xlfn.XLOOKUP(B47,'Base stats'!B:B,'Base stats'!E:E),Groups!A:A,Groups!BA:BA),"True","False")</f>
        <v>False</v>
      </c>
    </row>
    <row r="48" spans="1:88" s="16" customFormat="1" ht="16.5" thickTop="1" thickBot="1" x14ac:dyDescent="0.3">
      <c r="A48" s="26" t="str">
        <f>_xlfn.XLOOKUP(B48,'Base stats'!B:B,'Base stats'!A:A)</f>
        <v>Toxalope</v>
      </c>
      <c r="B48" s="6" t="s">
        <v>879</v>
      </c>
      <c r="C48" s="28" t="s">
        <v>723</v>
      </c>
      <c r="D48" s="28" t="s">
        <v>871</v>
      </c>
      <c r="E48" s="28" t="s">
        <v>673</v>
      </c>
      <c r="F48" s="28" t="s">
        <v>673</v>
      </c>
      <c r="G48" s="28" t="s">
        <v>673</v>
      </c>
      <c r="H48" s="2">
        <f>MROUND((
  (IF(AND(_xlfn.XLOOKUP(B48,'Base stats'!B:B,'Base stats'!AL:AL)=0,BI48="None",_xlfn.XLOOKUP(_xlfn.XLOOKUP(B48,'Base stats'!B:B,'Base stats'!E:E),Groups!A:A,Groups!B:B)=0), (18 + BR48 * 2.7) * 0.5,
    IF(AND(_xlfn.XLOOKUP(B48,'Base stats'!B:B,'Base stats'!AL:AL)=0,OR(AO48&lt;0.55,AND(BI48="Intermediate",_xlfn.XLOOKUP(_xlfn.XLOOKUP(B48,'Base stats'!B:B,'Base stats'!E:E),Groups!A:A,Groups!B:B)&lt;2))), (18 + BR48 * 2.7),
      IF(OR(BI48="Advanced",_xlfn.XLOOKUP(B48,'Base stats'!B:B,'Base stats'!AL:AL)=1,_xlfn.XLOOKUP(_xlfn.XLOOKUP(B48,'Base stats'!B:B,'Base stats'!E:E),Groups!A:A,Groups!B:B)=2), (18 + BR48 * 2.7) + 250, (18 + BR48 * 2.7))
    )
  ))
  + AO48 * 80
  + IF(COUNTIF(EggMilk!K$2:K$998, A48) &gt; 0, 125, 0)
  + IF(COUNTIF(EggMilk!P$2:P$998, A48) &gt; 0, 90, 0)
  + IF(COUNTIF(EggMilk!A$2:A$998, A48) &gt; 0, 90, 0)
)
* (0.8 + 0.4 * J48)
* 0.75,25)</f>
        <v>250</v>
      </c>
      <c r="I48" s="2">
        <f>MROUND(ROUNDDOWN(_xlfn.XLOOKUP(B48,'Base stats'!B:B,'Base stats'!L:L)/3.6/(23.3/11),1),0.5)</f>
        <v>4</v>
      </c>
      <c r="J48" s="2">
        <f>IF(OR(_xlfn.XLOOKUP(B48,'Base stats'!B:B,'Base stats'!AB:AB)=1,_xlfn.XLOOKUP(_xlfn.XLOOKUP(B48,'Base stats'!B:B,'Base stats'!E:E),Groups!A:A,Groups!C:C)="Untamable"),1,IF(_xlfn.XLOOKUP(B48,'Base stats'!B:B,'Base stats'!AL:AL)=1,0.99,MIN(MROUND((1-0.6282*EXP(-0.459*AO48))*_xlfn.XLOOKUP(_xlfn.XLOOKUP(B48,'Base stats'!B:B,'Base stats'!E:E),Groups!A:A,Groups!C:C)*IF(_xlfn.XLOOKUP(B48,'Base stats'!B:B,'Base stats'!O:O)=1,0.5,IF(_xlfn.XLOOKUP(B48,'Base stats'!B:B,'Base stats'!O:O)=2,0,1)),0.05),IF(AO48&gt;3.5,0.985,0.95))))</f>
        <v>0.5</v>
      </c>
      <c r="K48" s="2">
        <f>ROUNDUP(AO48*_xlfn.XLOOKUP(_xlfn.XLOOKUP(B48,'Base stats'!B:B,'Base stats'!E:E),Groups!A:A,Groups!E:E),0)</f>
        <v>8</v>
      </c>
      <c r="L48" s="2">
        <f>IF(OR(_xlfn.XLOOKUP(_xlfn.XLOOKUP(B48,'Base stats'!B:B,'Base stats'!E:E),Groups!A:A,Groups!F:F)=2,ISNUMBER(SEARCH("SeaIce",BX48)),ISNUMBER(SEARCH("IceSheet",BX48))),-50,IF(OR(ISNUMBER(SEARCH("GlacialPlain",BX48)),ISNUMBER(SEARCH("Tundra",BX48))),-40,IF(OR(ISNUMBER(SEARCH("Alpine",BX48)),ISNUMBER(SEARCH("BorealForest",BX48)),ISNUMBER(SEARCH("ColdBog",BX48))),-30,IF(OR(ISNUMBER(SEARCH("TemperateForest",BX48)),ISNUMBER(SEARCH("TemperateSwamp",BX48))),-20,IF(_xlfn.XLOOKUP(_xlfn.XLOOKUP(B48,'Base stats'!B:B,'Base stats'!E:E),Groups!A:A,Groups!F:F)=1,-15,IF(OR(ISNUMBER(SEARCH("Desert",BX48)),ISNUMBER(SEARCH("ExtremeDesert",BX48))),-10,IF(OR(ISNUMBER(SEARCH("Grasslands",BX48)),ISNUMBER(SEARCH("TropicalRainforest",BX48)),ISNUMBER(SEARCH("TropicalSwamp",BX48))),10,0)))))))-IF(CC48="False",MIN(IFERROR(MAX(MROUND(LOG10(_xlfn.XLOOKUP(B48,'Base stats'!B:B,'Base stats'!C:C)^(2/3))*10,5),5),5),30))-_xlfn.XLOOKUP(B48,'Base stats'!B:B,'Base stats'!P:P)+IF(CC48="True",5,0)</f>
        <v>-45</v>
      </c>
      <c r="M48" s="2">
        <f>IF(OR(_xlfn.XLOOKUP(_xlfn.XLOOKUP(B48,'Base stats'!B:B,'Base stats'!E:E),Groups!A:A,Groups!G:G)=2,ISNUMBER(SEARCH("Desert",BX48)),ISNUMBER(SEARCH("ExtremeDesert",BX48)),ISNUMBER(SEARCH("LavaField",BX48))),50,IF(ISNUMBER(SEARCH("Grasslands",BX48)),45,IF(OR(_xlfn.XLOOKUP(_xlfn.XLOOKUP(B48,'Base stats'!B:B,'Base stats'!E:E),Groups!A:A,Groups!G:G)=1,ISNUMBER(SEARCH("TropicalRainforest",BX48)),ISNUMBER(SEARCH("TropicalSwamp",BX48))),40,IF(OR(ISNUMBER(SEARCH("TemperateForest",BX48)),ISNUMBER(SEARCH("TemperateSwamp",BX48))),35,IF(OR(ISNUMBER(SEARCH("Alpine",BX48)),ISNUMBER(SEARCH("BorealForest",BX48)),ISNUMBER(SEARCH("ColdBog",BX48))),30,IF(ISNUMBER(OR(ISNUMBER(SEARCH("GlacialPlain",BX48)),SEARCH("Tundra",BX48))),25,IF(OR(ISNUMBER(SEARCH("SeaIce",BX48)),ISNUMBER(SEARCH("IceSheet",BX48)),ISNUMBER(SEARCH("TropicalSwamp",BX48))),10,35)))))))+_xlfn.XLOOKUP(B48,'Base stats'!B:B,'Base stats'!Q:Q)</f>
        <v>50</v>
      </c>
      <c r="N48" s="8" t="str">
        <f>IF(
_xlfn.XLOOKUP(
_xlfn.XLOOKUP(B48,'Base stats'!B:B,'Base stats'!E:E),
Groups!A:A,
Groups!L:L
)=1,
MIN(
MROUND(
IF(
_xlfn.XLOOKUP(B48,'Animals CE'!B:B,'Animals CE'!Z:Z)&lt;=1.5,
_xlfn.XLOOKUP(B48,'Animals CE'!B:B,'Animals CE'!Z:Z)/2+0.05,
0.8+
(_xlfn.XLOOKUP(B48,'Animals CE'!B:B,'Animals CE'!Z:Z)-1.5)
*0.02
),
0.05
),
200%
),
"No"
)</f>
        <v>No</v>
      </c>
      <c r="O48" s="8" t="str">
        <f>IF(
_xlfn.XLOOKUP(
_xlfn.XLOOKUP(B48,'Base stats'!B:B,'Base stats'!E:E),
Groups!A:A,
Groups!L:L
)=1,
MIN(
MROUND(
IF(
_xlfn.XLOOKUP(B48,'Animals CE'!B:B,'Animals CE'!AA:AA)&lt;=1.5,
_xlfn.XLOOKUP(B48,'Animals CE'!B:B,'Animals CE'!AA:AA)/2+0.05,
0.8+
(_xlfn.XLOOKUP(B48,'Animals CE'!B:B,'Animals CE'!AA:AA)-1.5)
*0.02
),
0.05
),
200%
),
"No"
)</f>
        <v>No</v>
      </c>
      <c r="P48" s="2">
        <f>_xlfn.XLOOKUP(B48,'Base stats'!B:B,'Base stats'!R:R)</f>
        <v>1</v>
      </c>
      <c r="Q48" s="13">
        <f>MROUND((LOG10(_xlfn.XLOOKUP(B48,'Base stats'!B:B,'Base stats'!AR:AR))*(AO48^0.5)+(_xlfn.XLOOKUP(B48,'Base stats'!B:B,'Base stats'!AR:AR)/1000)^(2/3)+_xlfn.XLOOKUP(B48,'Base stats'!B:B,'Base stats'!BA:BA)/2)+0.5,0.5)</f>
        <v>9.5</v>
      </c>
      <c r="R48" s="7">
        <f>IF(Q48="No","No",MAX(1,MROUND(_xlfn.XLOOKUP(B48,'Base stats'!B:B,'Base stats'!C:C)^0.165,0.05)))</f>
        <v>2.3000000000000003</v>
      </c>
      <c r="S48" s="13">
        <f>IF(_xlfn.XLOOKUP(_xlfn.XLOOKUP(B48,'Base stats'!B:B,'Base stats'!E:E),Groups!A:A,Groups!P:P)=0,"No",MROUND((LOG10(_xlfn.XLOOKUP(B48,'Base stats'!B:B,'Base stats'!AS:AS))*(AO48^0.5)+(_xlfn.XLOOKUP(B48,'Base stats'!B:B,'Base stats'!AS:AS)/1000)^(2/3)+_xlfn.XLOOKUP(B48,'Base stats'!B:B,'Base stats'!BA:BA))+_xlfn.XLOOKUP(B48,'Base stats'!B:B,'Base stats'!AY:AY)+0.5,0.5))</f>
        <v>12</v>
      </c>
      <c r="T48" s="7">
        <f>IF(S48="No","No",MAX(_xlfn.XLOOKUP(_xlfn.XLOOKUP(B48,'Base stats'!B:B,'Base stats'!E:E),Groups!A:A,Groups!Q:Q),MROUND(_xlfn.XLOOKUP(_xlfn.XLOOKUP(B48,'Base stats'!B:B,'Base stats'!E:E),Groups!A:A,Groups!Q:Q)*_xlfn.XLOOKUP(B48,'Base stats'!B:B,'Base stats'!C:C)^0.165,0.05)))</f>
        <v>2.15</v>
      </c>
      <c r="U48" s="7" t="str">
        <f>IF(S48="No","No",_xlfn.XLOOKUP(_xlfn.XLOOKUP(B48,'Base stats'!B:B,'Base stats'!E:E),Groups!A:A,Groups!R:R))</f>
        <v>FrontLeftLeg, FrontRightLeg</v>
      </c>
      <c r="V48" s="7" t="str">
        <f>IF(S48="No","No",_xlfn.XLOOKUP(_xlfn.XLOOKUP(B48,'Base stats'!B:B,'Base stats'!E:E),Groups!A:A,Groups!S:S))</f>
        <v>left hoof, right hoof</v>
      </c>
      <c r="W48" s="7" t="str">
        <f>IF(S48="No","No",_xlfn.XLOOKUP(_xlfn.XLOOKUP(B48,'Base stats'!B:B,'Base stats'!E:E),Groups!A:A,Groups!T:T))</f>
        <v>Blunt</v>
      </c>
      <c r="X48" s="13" t="str">
        <f>IF(_xlfn.XLOOKUP(B48,'Base stats'!B:B,'Base stats'!W:W)="No","No",MROUND((LOG10(_xlfn.XLOOKUP(B48,'Base stats'!B:B,'Base stats'!AU:AU))*(AO48^0.5)+(_xlfn.XLOOKUP(B48,'Base stats'!B:B,'Base stats'!AU:AU)/1000)^(2/3)+_xlfn.XLOOKUP(B48,'Base stats'!B:B,'Base stats'!AZ:AZ))+0.5+IF(_xlfn.XLOOKUP(_xlfn.XLOOKUP(B48,'Base stats'!B:B,'Base stats'!E:E),Groups!A:A,Groups!U:U)&lt;&gt;3,_xlfn.XLOOKUP(B48,'Base stats'!B:B,'Base stats'!BA:BA),0),0.5))</f>
        <v>No</v>
      </c>
      <c r="Y48" s="7" t="str">
        <f>IF(X48="No","No",MAX(_xlfn.XLOOKUP(_xlfn.XLOOKUP(B48,'Base stats'!B:B,'Base stats'!E:E),Groups!A:A,Groups!V:V),MROUND(_xlfn.XLOOKUP(_xlfn.XLOOKUP(B48,'Base stats'!B:B,'Base stats'!E:E),Groups!A:A,Groups!V:V)*_xlfn.XLOOKUP(B48,'Base stats'!B:B,'Base stats'!C:C)^0.165,0.05)))</f>
        <v>No</v>
      </c>
      <c r="Z48" s="7" t="str">
        <f>IF(X48="No","No",_xlfn.XLOOKUP(_xlfn.XLOOKUP(B48,'Base stats'!B:B,'Base stats'!E:E),Groups!A:A,Groups!W:W))</f>
        <v>No</v>
      </c>
      <c r="AA48" s="7" t="str">
        <f>IF(X48="No","No",_xlfn.XLOOKUP(_xlfn.XLOOKUP(B48,'Base stats'!B:B,'Base stats'!E:E),Groups!A:A,Groups!X:X))</f>
        <v>No</v>
      </c>
      <c r="AB48" s="7" t="str">
        <f>IF(X48="No","No",_xlfn.XLOOKUP(_xlfn.XLOOKUP(B48,'Base stats'!B:B,'Base stats'!E:E),Groups!A:A,Groups!Y:Y))</f>
        <v>No</v>
      </c>
      <c r="AC48" s="7" t="str">
        <f>_xlfn.XLOOKUP(Animals!B48,'Base stats'!B:B,'Base stats'!X:X)</f>
        <v>False</v>
      </c>
      <c r="AD48" s="13">
        <f>IF(_xlfn.XLOOKUP(B48,'Base stats'!B:B,'Base stats'!AT:AT)="No","No",MROUND((LOG10(_xlfn.XLOOKUP(B48,'Base stats'!B:B,'Base stats'!AT:AT))*(AO48^0.75)+(_xlfn.XLOOKUP(B48,'Base stats'!B:B,'Base stats'!AT:AT)/1000)^(2/3)+_xlfn.XLOOKUP(B48,'Base stats'!B:B,'Base stats'!AX:AX)+_xlfn.XLOOKUP(B48,'Base stats'!B:B,'Base stats'!BA:BA))+0.5,0.5))</f>
        <v>12</v>
      </c>
      <c r="AE48" s="7">
        <f>IF(AD48="No","No",MAX(_xlfn.XLOOKUP(_xlfn.XLOOKUP(B48,'Base stats'!B:B,'Base stats'!E:E),Groups!A:A,Groups!Z:Z),MROUND(_xlfn.XLOOKUP(_xlfn.XLOOKUP(B48,'Base stats'!B:B,'Base stats'!E:E),Groups!A:A,Groups!Z:Z)*_xlfn.XLOOKUP(B48,'Base stats'!B:B,'Base stats'!C:C)^0.165,0.05)))</f>
        <v>2.3000000000000003</v>
      </c>
      <c r="AF48" s="7" t="str">
        <f>IF(AD48="No","No",_xlfn.XLOOKUP(_xlfn.XLOOKUP(B48,'Base stats'!B:B,'Base stats'!E:E),Groups!A:A,Groups!AA:AA))</f>
        <v>Teeth</v>
      </c>
      <c r="AG48" s="7" t="str">
        <f>IF(AD48="No","No",_xlfn.XLOOKUP(_xlfn.XLOOKUP(B48,'Base stats'!B:B,'Base stats'!E:E),Groups!A:A,Groups!AB:AB))</f>
        <v>teeth</v>
      </c>
      <c r="AH48" s="7" t="str">
        <f>IF(AD48="No","No",_xlfn.XLOOKUP(_xlfn.XLOOKUP(B48,'Base stats'!B:B,'Base stats'!E:E),Groups!A:A,Groups!AC:AC))</f>
        <v>Bite</v>
      </c>
      <c r="AI48" s="13" t="str">
        <f>IF(_xlfn.XLOOKUP(_xlfn.XLOOKUP(B48,'Base stats'!B:B,'Base stats'!E:E),Groups!A:A,Groups!AD:AD)=0,"No",MROUND((LOG10(_xlfn.XLOOKUP(B48,'Base stats'!B:B,'Base stats'!AS:AS))*(AO48^0.75)+(_xlfn.XLOOKUP(B48,'Base stats'!B:B,'Base stats'!AS:AS)/1000)^(2/3)+_xlfn.XLOOKUP(B48,'Base stats'!B:B,'Base stats'!AY:AY)+_xlfn.XLOOKUP(B48,'Base stats'!B:B,'Base stats'!BA:BA))+0.5,0.5))</f>
        <v>No</v>
      </c>
      <c r="AJ48" s="7" t="str">
        <f>IF(AI48="No","No",MAX(_xlfn.XLOOKUP(_xlfn.XLOOKUP(B48,'Base stats'!B:B,'Base stats'!E:E),Groups!A:A,Groups!AE:AE),MROUND(_xlfn.XLOOKUP(_xlfn.XLOOKUP(B48,'Base stats'!B:B,'Base stats'!E:E),Groups!A:A,Groups!AE:AE)*IF(_xlfn.XLOOKUP(_xlfn.XLOOKUP(B48,'Base stats'!B:B,'Base stats'!E:E),Groups!A:A,Groups!AJ:AJ)="Photonozoa",0.6,1)*_xlfn.XLOOKUP(B48,'Base stats'!B:B,'Base stats'!C:C)^0.165,0.05)))</f>
        <v>No</v>
      </c>
      <c r="AK48" s="7" t="str">
        <f>IF(AI48="No","No",_xlfn.XLOOKUP(_xlfn.XLOOKUP(B48,'Base stats'!B:B,'Base stats'!E:E),Groups!A:A,Groups!AF:AF))</f>
        <v>No</v>
      </c>
      <c r="AL48" s="7" t="str">
        <f>IF(AI48="No","No",_xlfn.XLOOKUP(_xlfn.XLOOKUP(B48,'Base stats'!B:B,'Base stats'!E:E),Groups!A:A,Groups!AG:AG))</f>
        <v>No</v>
      </c>
      <c r="AM48" s="7" t="str">
        <f>IF(AI48="No","No",_xlfn.XLOOKUP(_xlfn.XLOOKUP(B48,'Base stats'!B:B,'Base stats'!E:E),Groups!A:A,Groups!AH:AH))</f>
        <v>No</v>
      </c>
      <c r="AN48" s="2" t="str">
        <f t="shared" si="0"/>
        <v>No</v>
      </c>
      <c r="AO48" s="2">
        <f>MROUND(IF(AND(_xlfn.XLOOKUP(B48,'Base stats'!B:B,'Base stats'!C:C)&gt;=0.5,_xlfn.XLOOKUP(B48,'Base stats'!B:B,'Base stats'!C:C)&lt;=0.8),
IF(_xlfn.XLOOKUP(B48,'Base stats'!B:B,'Base stats'!C:C)&lt;0.1,0.05,IF(_xlfn.XLOOKUP(B48,'Base stats'!B:B,'Base stats'!C:C)&lt;=70,(_xlfn.XLOOKUP(B48,'Base stats'!B:B,'Base stats'!C:C)/70)^0.426489913056526,IF(_xlfn.XLOOKUP(B48,'Base stats'!B:B,'Base stats'!C:C)&lt;=400,(_xlfn.XLOOKUP(B48,'Base stats'!B:B,'Base stats'!C:C)/70)^0.572811455315093,IF(_xlfn.XLOOKUP(B48,'Base stats'!B:B,'Base stats'!C:C)&lt;=2000,2.71391647193063*(_xlfn.XLOOKUP(B48,'Base stats'!B:B,'Base stats'!C:C)/400)^0.252459582904293,3.74314280240376*(_xlfn.XLOOKUP(B48,'Base stats'!B:B,'Base stats'!C:C)/2000)^0.357012633876913)))),
IF(_xlfn.XLOOKUP(B48,'Base stats'!B:B,'Base stats'!C:C)&lt;0.1,0.05,IF(_xlfn.XLOOKUP(B48,'Base stats'!B:B,'Base stats'!C:C)&lt;0.4,0.1,IF(_xlfn.XLOOKUP(B48,'Base stats'!B:B,'Base stats'!C:C)&lt;=70,(_xlfn.XLOOKUP(B48,'Base stats'!B:B,'Base stats'!C:C)/70)^0.445823913056526,IF(_xlfn.XLOOKUP(B48,'Base stats'!B:B,'Base stats'!C:C)&lt;=400,(_xlfn.XLOOKUP(B48,'Base stats'!B:B,'Base stats'!C:C)/70)^0.572811455315093,IF(_xlfn.XLOOKUP(B48,'Base stats'!B:B,'Base stats'!C:C)&lt;=2000,2.71391647193063*(_xlfn.XLOOKUP(B48,'Base stats'!B:B,'Base stats'!C:C)/400)^0.252459582904293,3.74314280240376*(_xlfn.XLOOKUP(B48,'Base stats'!B:B,'Base stats'!C:C)/2000)^0.357012633876913)))))),
IF(_xlfn.XLOOKUP(B48,'Base stats'!B:B,'Base stats'!C:C)&lt;0.1,0.05,IF(_xlfn.XLOOKUP(B48,'Base stats'!B:B,'Base stats'!C:C)&lt;=100,0.05,IF(_xlfn.XLOOKUP(B48,'Base stats'!B:B,'Base stats'!C:C)&lt;=250,0.1,IF(_xlfn.XLOOKUP(B48,'Base stats'!B:B,'Base stats'!C:C)&lt;=4000,0.25,0.5)))))</f>
        <v>1.5</v>
      </c>
      <c r="AP48" s="8">
        <f>MROUND(AO48*_xlfn.XLOOKUP(_xlfn.XLOOKUP(B48,'Base stats'!B:B,'Base stats'!E:E),Groups!A:A,Groups!AI:AI)*_xlfn.XLOOKUP(B48,'Base stats'!B:B,'Base stats'!Z:Z),0.05)</f>
        <v>1.5</v>
      </c>
      <c r="AQ48" s="8">
        <f>MAX(0.01,MROUND(IF(CC48="True",0.196*(AO48*100*1000)^0.889,IF(_xlfn.XLOOKUP(_xlfn.XLOOKUP(B48,'Base stats'!B:B,'Base stats'!E:E),Groups!A:A,Groups!AJ:AJ)="Bird",10.5*(AO48*100*1000)^0.681,4.82*(AO48*100*1000)^0.734))/(4.82*(1*100*1000)^0.734)/IF(AO48&lt;3.5,2,IF(AO48=3.5,1.5,1.25))*(1+0.132282374779864/(AO48^0.994035016789033+0.00905238001496948)),0.05))</f>
        <v>0.75</v>
      </c>
      <c r="AR48" s="9">
        <f>IFERROR(MROUND(_xlfn.XLOOKUP(B48,'Base stats'!B:B,'Base stats'!H:H)/IF(_xlfn.XLOOKUP(B48,'Base stats'!B:B,'Base stats'!I:I)&lt;&gt;1,(122.5/70),1.2),IF(_xlfn.XLOOKUP(B48,'Base stats'!B:B,'Base stats'!H:H)&gt;=30,5,IF(_xlfn.XLOOKUP(B48,'Base stats'!B:B,'Base stats'!H:H)&gt;=15,3,IF(_xlfn.XLOOKUP(B48,'Base stats'!B:B,'Base stats'!H:H)&gt;=10,2,1)))),"Immortal")</f>
        <v>12</v>
      </c>
      <c r="AS48" s="35">
        <f>IFERROR(IF(OR(_xlfn.XLOOKUP(B48,'Base stats'!B:B,'Base stats'!F:F)="Atypical reproduction",_xlfn.XLOOKUP(B48,'Base stats'!B:B,'Base stats'!F:F)="Lay eggs"),"Lay eggs",MIN(20,MAX(5.5,ROUND(((_xlfn.XLOOKUP(B48,'Base stats'!B:B,'Base stats'!F:F)-25)*(14.5/615) + 5.5)*2,0)/2))),"Unknown")</f>
        <v>9.5</v>
      </c>
      <c r="AT48" s="8">
        <f>IF(_xlfn.XLOOKUP(B48,'Base stats'!B:B,'Base stats'!G:G)="Atypical reproduction","No",IFERROR(MAX(IF(_xlfn.XLOOKUP(B48,'Base stats'!B:B,'Base stats'!G:G)&lt;0.5,0.2,0.3),MROUND(_xlfn.XLOOKUP(B48,'Base stats'!B:B,'Base stats'!G:G)/(365/60),0.2)),"Unknown"))</f>
        <v>0.4</v>
      </c>
      <c r="AU48" s="8">
        <f t="shared" si="1"/>
        <v>0.2</v>
      </c>
      <c r="AV48" s="8">
        <f>IFERROR(IFERROR(MROUND(_xlfn.XLOOKUP(B48,'Base stats'!B:B,'Base stats'!J:J),0.1),"Lay eggs"),"Cannot breed")</f>
        <v>1</v>
      </c>
      <c r="AW48" s="2" t="str">
        <f t="shared" si="2"/>
        <v>true</v>
      </c>
      <c r="AX48" s="2" t="str">
        <f>IF(_xlfn.XLOOKUP(_xlfn.XLOOKUP(Animals!B48,'Base stats'!B:B,'Base stats'!E:E),Groups!A:A,Groups!AK:AK)=1,"true","false")</f>
        <v>true</v>
      </c>
      <c r="AY48" s="25" t="str">
        <f>IF(_xlfn.XLOOKUP(B48,'Base stats'!B:B,'Base stats'!Y:Y)="Liquor","Liquor, CarnivoreAnimalStrict",IF(AND(_xlfn.XLOOKUP(B48,'Base stats'!B:B,'Base stats'!Y:Y)="Carnivore",_xlfn.XLOOKUP(_xlfn.XLOOKUP(B48,'Base stats'!B:B,'Base stats'!E:E),Groups!A:A,Groups!AJ:AJ)="Photonozoa"),"CarnivoreAnimalStrict, OvivoreAnimal",IF(_xlfn.XLOOKUP(B48,'Base stats'!B:B,'Base stats'!Y:Y)="Carnivore","CarnivoreAnimal, OvivoreAnimal",IF(_xlfn.XLOOKUP(B48,'Base stats'!B:B,'Base stats'!Y:Y)="Dendrovore","VegetarianRoughAnimal, DendrovoreAnimal",IF(_xlfn.XLOOKUP(B48,'Base stats'!B:B,'Base stats'!Y:Y)="Herbivore","VegetarianRoughAnimal",IF(_xlfn.XLOOKUP(B48,'Base stats'!B:B,'Base stats'!Y:Y)="OmnivoreRough","OmnivoreRoughAnimal, OvivoreAnimal","OmnivoreAnimal, OvivoreAnimal"))))))</f>
        <v>VegetarianRoughAnimal</v>
      </c>
      <c r="AZ48" s="2">
        <f>IF(_xlfn.XLOOKUP(_xlfn.XLOOKUP(B48,'Base stats'!B:B,'Base stats'!E:E),Groups!A:A,Groups!D:D)=1,MROUND((1-J48)*5+1,2)*IF(J48&lt;=0.4,2,1),"No")</f>
        <v>4</v>
      </c>
      <c r="BA48" s="2" t="str">
        <f>IF(AND(_xlfn.XLOOKUP(B48,'Base stats'!B:B,'Base stats'!AH:AH)="&lt;li&gt;Seal&lt;/li&gt;",G48="Odyssey"),"&lt;li&gt;AEXP_Seal&lt;/li&gt;",_xlfn.XLOOKUP(B48,'Base stats'!B:B,'Base stats'!AH:AH))</f>
        <v>No</v>
      </c>
      <c r="BB48" s="2" t="str">
        <f>_xlfn.XLOOKUP(B48,'Base stats'!B:B,'Base stats'!AG:AG)</f>
        <v>VAEWaste_ToxicLeather</v>
      </c>
      <c r="BC48" s="23" t="str">
        <f>_xlfn.XLOOKUP(_xlfn.XLOOKUP(B48,'Base stats'!B:B,'Base stats'!E:E),Groups!A:A,Groups!AL:AL)</f>
        <v>QuadrupedAnimalWithHoovesAndHump</v>
      </c>
      <c r="BD48" s="23">
        <f>MIN(1,MROUND(IF(AND(AO48&lt;0.5,_xlfn.XLOOKUP(B48,'Base stats'!B:B,'Base stats'!AA:AA)=0),0,IF(OR(_xlfn.XLOOKUP(Animals!B48,'Base stats'!B:B,'Base stats'!O:O)=2,_xlfn.XLOOKUP(_xlfn.XLOOKUP(B48,'Base stats'!B:B,'Base stats'!E:E),Groups!A:A,Groups!AN:AN)=0),0,_xlfn.XLOOKUP(_xlfn.XLOOKUP(B48,'Base stats'!B:B,'Base stats'!E:E),Groups!A:A,Groups!AN:AN)/IF(_xlfn.XLOOKUP(Animals!B48,'Base stats'!B:B,'Base stats'!O:O)=1,2,1)))+_xlfn.XLOOKUP(B48,'Base stats'!B:B,'Base stats'!AC:AC),0.005))</f>
        <v>0.1</v>
      </c>
      <c r="BE48" s="23">
        <f>MIN(1,MROUND(IF(AND(AO48&lt;0.5,_xlfn.XLOOKUP(B48,'Base stats'!B:B,'Base stats'!AA:AA)=0),0,IF(_xlfn.XLOOKUP(_xlfn.XLOOKUP(B48,'Base stats'!B:B,'Base stats'!E:E),Groups!A:A,Groups!AO:AO)=0,0,_xlfn.XLOOKUP(_xlfn.XLOOKUP(B48,'Base stats'!B:B,'Base stats'!E:E),Groups!A:A,Groups!AO:AO)/IF(_xlfn.XLOOKUP(Animals!B48,'Base stats'!B:B,'Base stats'!O:O)=2,3,1)))+_xlfn.XLOOKUP(B48,'Base stats'!B:B,'Base stats'!AD:AD),0.005))</f>
        <v>0.3</v>
      </c>
      <c r="BF48" s="2" t="str">
        <f>IF(J48&gt;0.3,"No",_xlfn.XLOOKUP(_xlfn.XLOOKUP(Animals!B48,'Base stats'!B:B,'Base stats'!E:E),Groups!A:A,Groups!AP:AP))</f>
        <v>No</v>
      </c>
      <c r="BG48" s="2" t="str">
        <f>IF(AND(J48&lt;=0.65,_xlfn.XLOOKUP(_xlfn.XLOOKUP(Animals!B48,'Base stats'!B:B,'Base stats'!E:E),Groups!A:A,Groups!AP:AP)&lt;&gt;"No",_xlfn.XLOOKUP(_xlfn.XLOOKUP(B48,'Base stats'!B:B,'Base stats'!E:E),Groups!A:A,Groups!D:D)=0),MROUND((80/3)*IF(_xlfn.XLOOKUP(B48,'Base stats'!B:B,'Base stats'!O:O)=2,0.2,AO48) + 24*(1-IF(BF48="No",0,BF48)) + 16/3, 12),"No")</f>
        <v>No</v>
      </c>
      <c r="BH48" s="2">
        <f>IF(AND(_xlfn.XLOOKUP(_xlfn.XLOOKUP(B48,'Base stats'!B:B,'Base stats'!E:E),Groups!A:A,Groups!AQ:AQ)=1,AO48&lt;=0.35),8,12)</f>
        <v>12</v>
      </c>
      <c r="BI48" s="2" t="str">
        <f>IF(_xlfn.XLOOKUP(_xlfn.XLOOKUP(B48,'Base stats'!B:B,'Base stats'!E:E),Groups!A:A,Groups!D:D)=0,_xlfn.XLOOKUP(_xlfn.XLOOKUP(B48,'Base stats'!B:B,'Base stats'!E:E),Groups!A:A,Groups!AR:AR),"None")</f>
        <v>None</v>
      </c>
      <c r="BJ48" s="2" t="str">
        <f>IF(AND(_xlfn.XLOOKUP(_xlfn.XLOOKUP(B48,'Base stats'!B:B,'Base stats'!E:E),Groups!A:A,Groups!AS:AS)=1,OR(_xlfn.XLOOKUP(B48,'Base stats'!B:B,'Base stats'!Y:Y)="Carnivore",_xlfn.XLOOKUP(B48,'Base stats'!B:B,'Base stats'!Y:Y)="Omnivore")),"true","false")</f>
        <v>false</v>
      </c>
      <c r="BK48" s="2" t="str">
        <f>IF(BJ48="true",MROUND(IF(AND(AO48&gt;0.5,OR(_xlfn.XLOOKUP(_xlfn.XLOOKUP(B48,'Base stats'!B:B,'Base stats'!E:E),Groups!A:A,Groups!AJ:AJ)="Photonozoa",_xlfn.XLOOKUP(_xlfn.XLOOKUP(B48,'Base stats'!B:B,'Base stats'!E:E),Groups!A:A,Groups!AJ:AJ)="Mammal")),Animals!AO48*1.75*IF(AW48="true",1.5,1),IF(AO48&lt;0.5,Animals!AO48*0.5,Animals!AO48)),IF(AO48&gt;2,0.5,IF(AO48&gt;0.5,0.25,0.1))),"No")</f>
        <v>No</v>
      </c>
      <c r="BL48" s="2">
        <f t="shared" si="3"/>
        <v>0</v>
      </c>
      <c r="BM48" s="25" t="str">
        <f>IF(_xlfn.XLOOKUP(B48,'Base stats'!B:B,'Base stats'!AN:AN)="Standard","No",MROUND((_xlfn.XLOOKUP(B48,'Base stats'!B:B,'Base stats'!AN:AN)/3.6)/I48,0.1))</f>
        <v>No</v>
      </c>
      <c r="BN48" s="25" t="str">
        <f t="shared" si="4"/>
        <v>false</v>
      </c>
      <c r="BO48" s="25" t="str">
        <f>IF(AND(OR(_xlfn.XLOOKUP(B48,'Base stats'!B:B,'Base stats'!Y:Y)="Carnivore",_xlfn.XLOOKUP(B48,'Base stats'!B:B,'Base stats'!Y:Y)="Omnivore",_xlfn.XLOOKUP(B48,'Base stats'!B:B,'Base stats'!Y:Y)="OmnivoreRough"),_xlfn.XLOOKUP(_xlfn.XLOOKUP(B48,'Base stats'!B:B,'Base stats'!E:E),Groups!A:A,Groups!AT:AT)=1),"true","false")</f>
        <v>false</v>
      </c>
      <c r="BP48" s="25" t="str" cm="1">
        <f t="array" ref="BP48">IF(
  _xlfn.TEXTJOIN(", ",TRUE,
    IF(AND(BJ48="true",AO48&gt;0.5,BI48&lt;&gt;"None"),"AttackTarget",""),
    IF(AND(_xlfn.XLOOKUP(_xlfn.XLOOKUP(B48,'Base stats'!B:B,'Base stats'!E:E),Groups!A:A,Groups!AJ:AJ="Mammal"),OR(_xlfn.XLOOKUP(B48,'Base stats'!B:B,'Base stats'!Y:Y)="Omnivore",_xlfn.XLOOKUP(B48,'Base stats'!B:B,'Base stats'!Y:Y)="OmnivoreRough")),"Forage",""),
    IF(BG48&lt;=36,"Comfort",""),
    IF(_xlfn.XLOOKUP(B48,'Base stats'!B:B,'Base stats'!AE:AE)&lt;&gt;"No",_xlfn.XLOOKUP(B48,'Base stats'!B:B,'Base stats'!AE:AE),"")
  ) = "",
  "No",
  _xlfn.TEXTJOIN(", ",TRUE,
    IF(AND(BJ48="true",AO48&gt;0.5,BI48&lt;&gt;"None"),"AttackTarget",""),
    IF(AND(_xlfn.XLOOKUP(_xlfn.XLOOKUP(B48,'Base stats'!B:B,'Base stats'!E:E),Groups!A:A,Groups!AJ:AJ="Mammal"),OR(_xlfn.XLOOKUP(B48,'Base stats'!B:B,'Base stats'!Y:Y)="Omnivore",_xlfn.XLOOKUP(B48,'Base stats'!B:B,'Base stats'!Y:Y)="OmnivoreRough")),"Forage",""),
    IF(BG48&lt;=36,"Comfort",""),
    IF(_xlfn.XLOOKUP(B48,'Base stats'!B:B,'Base stats'!AE:AE)&lt;&gt;"No",_xlfn.XLOOKUP(B48,'Base stats'!B:B,'Base stats'!AE:AE),"")
  )
)</f>
        <v>No</v>
      </c>
      <c r="BQ48" s="25" t="str">
        <f>IF(
   AND(
      'Base stats'!AN48="Standard",_xlfn.XLOOKUP(_xlfn.XLOOKUP(B48,'Base stats'!B:B,'Base stats'!E:E),Groups!A:A,Groups!AU:AU)=0,
      OR(
      BO48="True"
      )
   ),
   10,
   IF(
       OR(BM48&lt;&gt;"No",_xlfn.XLOOKUP(_xlfn.XLOOKUP(B48,'Base stats'!B:B,'Base stats'!E:E),Groups!A:A,Groups!AU:AU)=1),
      1,
      "No"
   )
)</f>
        <v>No</v>
      </c>
      <c r="BR48" s="9">
        <f>MROUND((1 + ((0.2*IF(OR(Q48="No",R48="No",R48=0),0,Q48/R48)
+IF(OR(V48="No",S48="No",T48="No"),0,S48/T48*(LEN(V48)-LEN(SUBSTITUTE(V48,",",""))+1))
+IF(OR(X48="No",Y48="No"),0,X48/Y48)
+IF(OR(AD48="No",AE48="No"),0,AD48/AE48)
+IF(OR(AL48="No",AI48="No",AJ48="No"),0,AI48/AJ48*(LEN(AL48)-LEN(SUBSTITUTE(AL48,",",""))+1))
)/(0.2*IF(OR(Q48="No",R48="No",R48=0),0,1)
+IF(OR(V48="No",S48="No",T48="No"),0,LEN(V48)-LEN(SUBSTITUTE(V48,",",""))+1)
+IF(OR(X48="No",Y48="No"),0,1)
+IF(OR(AD48="No",AE48="No"),0,1)
+IF(OR(AL48="No",AI48="No",AJ48="No"),0,LEN(AL48)-LEN(SUBSTITUTE(AL48,",",""))+1))*62%)* 2)*(1 + (AP48 / (IF(_xlfn.XLOOKUP(_xlfn.XLOOKUP(B48,'Base stats'!B:B,'Base stats'!E:E),Groups!A:A,Groups!AJ:AJ)="Photonozoa",0.3,1)) + _xlfn.XLOOKUP(B48,'Base stats'!B:B,'Base stats'!AV:AV) * 1.8) * 2) * 2.5 + 10 + I48 * 2,5)+IF(_xlfn.XLOOKUP(B48,'Base stats'!B:B,'Base stats'!AK:AK)=1,50,0)</f>
        <v>145</v>
      </c>
      <c r="BS48" s="8">
        <f t="shared" si="5"/>
        <v>0.9</v>
      </c>
      <c r="BT48" s="8" t="str">
        <f>_xlfn.XLOOKUP(B48,'Base stats'!B:B,'Base stats'!AF:AF)</f>
        <v>2~6</v>
      </c>
      <c r="BU48" s="2" t="str">
        <f>IF(AND(J48&lt;=0.95,OR(_xlfn.XLOOKUP(B48,'Base stats'!B:B,'Base stats'!AK:AK)=1,_xlfn.XLOOKUP(B48,'Base stats'!B:B,'Base stats'!Y:Y)="Carnivore",_xlfn.XLOOKUP(B48,'Base stats'!B:B,'Base stats'!Y:Y)="Omnivore",BE48&gt;0.1)),"true","false")</f>
        <v>true</v>
      </c>
      <c r="BV48" s="2" t="str">
        <f>IF(_xlfn.XLOOKUP(B48,'Base stats'!B:B,'Base stats'!AI:AI)=1,"true","false")</f>
        <v>false</v>
      </c>
      <c r="BW48" s="25" t="str">
        <f>IF(E48="BaseInsect","AnimalInsect",
IF(J48&gt;0.95,"AnimalExotic",
_xlfn.TEXTJOIN(", ",TRUE,
IF(OR(_xlfn.XLOOKUP(B48,'Base stats'!B:B,'Base stats'!AM:AM)=1,AND(_xlfn.XLOOKUP(B48,'Base stats'!B:B,'Base stats'!O:O)=0,_xlfn.XLOOKUP(_xlfn.XLOOKUP(B48,'Base stats'!B:B,'Base stats'!E:E),Groups!A:A,Groups!B:B)&gt;0)),"AnimalUncommon","AnimalCommon"),
IF(AND(_xlfn.XLOOKUP(B48,'Base stats'!B:B,'Base stats'!O:O)=2,_xlfn.XLOOKUP(_xlfn.XLOOKUP(B48,'Base stats'!B:B,'Base stats'!E:E),Groups!A:A,Groups!D:D)=0),"AnimalPet",IF(AND(_xlfn.XLOOKUP(B48,'Base stats'!B:B,'Base stats'!O:O)&lt;&gt;0,_xlfn.XLOOKUP(_xlfn.XLOOKUP(B48,'Base stats'!B:B,'Base stats'!E:E),Groups!A:A,Groups!D:D)&lt;&gt;0),"AnimalFarm","")),
IF(OR(_xlfn.XLOOKUP(B48,'Base stats'!B:B,'Base stats'!AK:AK)=1,AND(BI48&lt;&gt;"None",BR48&gt;=60),ISNUMBER(SEARCH("Attack target",BP48))),"AnimalFighter","")
)))</f>
        <v>AnimalCommon, AnimalFighter</v>
      </c>
      <c r="BX48" s="25" t="str">
        <f>IF(G48="None",TRIM(
SUBSTITUTE(
IF(COUNTIF(Biomes!B$2:B$259,"="&amp;$C48)&gt;0,Biomes!B$1&amp;", ","")&amp;
IF(COUNTIF(Biomes!C$2:C$259,"="&amp;$C48)&gt;0,Biomes!C$1&amp;", ","")&amp;
IF(COUNTIF(Biomes!D$2:D$259,"="&amp;$C48)&gt;0,Biomes!D$1&amp;", ","")&amp;
IF(COUNTIF(Biomes!F$2:F$259,"="&amp;$C48)&gt;0,Biomes!F$1&amp;", ","")&amp;
IF(COUNTIF(Biomes!G$2:G$259,"="&amp;$C48)&gt;0,Biomes!G$1&amp;", ","")&amp;
IF(COUNTIF(Biomes!H$2:H$259,"="&amp;$C48)&gt;0,Biomes!H$1&amp;", ","")&amp;
IF(COUNTIF(Biomes!I$2:I$259,"="&amp;$C48)&gt;0,Biomes!I$1&amp;", ","")&amp;
IF(COUNTIF(Biomes!J$2:J$259,"="&amp;$C48)&gt;0,Biomes!J$1&amp;", ","")&amp;
IF(COUNTIF(Biomes!M$2:M$259,"="&amp;$C48)&gt;0,Biomes!M$1&amp;", ","")&amp;
IF(COUNTIF(Biomes!N$2:N$259,"="&amp;$C48)&gt;0,Biomes!N$1&amp;", ","")&amp;
IF(COUNTIF(Biomes!O$2:O$259,"="&amp;$C48)&gt;0,Biomes!O$1&amp;", ","")&amp;
IF(COUNTIF(Biomes!P$2:P$259,"="&amp;$C48)&gt;0,Biomes!P$1&amp;", ","")&amp;
IF(COUNTIF(Biomes!K$2:K$259,"="&amp;$C48)&gt;0,Biomes!K$1&amp;", ","")&amp;
IF(COUNTIF(Biomes!Q$3:Q$259,"="&amp;$C48)&gt;0,Biomes!Q$1&amp;", ","")&amp;
IF(COUNTIF(Biomes!L$2:L$259,"="&amp;$C48)&gt;0,Biomes!L$1&amp;", ","")&amp;
IF(COUNTIF(Biomes!E$2:E$259,"="&amp;$C48)&gt;0,Biomes!E$1&amp;", ","")&amp;IF(COUNTIF(Biomes!S$2:S$259,"="&amp;$C48)&gt;0,Biomes!S$1&amp;", ","")&amp;
IF(COUNTIF(Biomes!R$2:R$259,"="&amp;$C48)&gt;0,Biomes!R$1&amp;", ",""),", ","")
),_xlfn.XLOOKUP(B48,B:B,BX:BX))</f>
        <v>BorealForest ColdBog TemperateForest TemperateSwamp AridShrubland Desert ExtremeDesert TropicalRainforest TropicalSwamp Grasslands Glowforest LavaField Scarlands</v>
      </c>
      <c r="BY48" s="25" t="str">
        <f>IF(_xlfn.XLOOKUP(B48,'Base stats'!B:B,'Base stats'!AJ:AJ)=1,"true","false")</f>
        <v>false</v>
      </c>
      <c r="BZ48" s="25" t="str">
        <f>IF(_xlfn.XLOOKUP(B48,'Base stats'!B:B,'Base stats'!N:N)=1,"No",MAX(0.001,MIN(MROUND(IF(AND(BJ48="True",CC48="False"),POWER(10,3.47*LOG10(_xlfn.XLOOKUP(B48,'Base stats'!B:B,'Base stats'!C:C)*1000)^-0.96),POWER(10,4.15*LOG10(_xlfn.XLOOKUP(B48,'Base stats'!B:B,'Base stats'!C:C)*1000)^-0.73))*IF(_xlfn.XLOOKUP(B48,'Base stats'!B:B,'Base stats'!AK:AK)=1,0.5,1)*IF(_xlfn.XLOOKUP(B48,'Base stats'!B:B,'Base stats'!AM:AM)=1,0.1,1)/100,IF(_xlfn.XLOOKUP(B48,'Base stats'!B:B,'Base stats'!AM:AM)=1,0.001,0.025)),0.5)))</f>
        <v>No</v>
      </c>
      <c r="CA48" s="25">
        <f>IF(P48="Standard","No",MAX(0.001,MIN(MROUND(IF(AND(BJ48="True",CC48="False"),POWER(10,3.47*LOG10(_xlfn.XLOOKUP(B48,'Base stats'!B:B,'Base stats'!C:C)*1000)^-0.96),POWER(10,4.15*LOG10(_xlfn.XLOOKUP(B48,'Base stats'!B:B,'Base stats'!C:C)*1000)^-0.73))*IF(_xlfn.XLOOKUP(B48,'Base stats'!B:B,'Base stats'!AM:AM)=1,0.1,1)*_xlfn.XLOOKUP(B48,'Base stats'!B:B,'Base stats'!R:R)/100,IF(_xlfn.XLOOKUP(B48,'Base stats'!B:B,'Base stats'!AM:AM)=1,0.001,0.025)),0.5)))</f>
        <v>0.17500000000000002</v>
      </c>
      <c r="CB48" s="25" t="str">
        <f>IF(_xlfn.XLOOKUP(_xlfn.XLOOKUP(B48,'Base stats'!B:B,'Base stats'!E:E),Groups!A:A,Groups!AJ:AJ)="Mammal","True","False")</f>
        <v>True</v>
      </c>
      <c r="CC48" s="25" t="str">
        <f>IF(OR(_xlfn.XLOOKUP(_xlfn.XLOOKUP(B48,'Base stats'!B:B,'Base stats'!E:E),Groups!A:A,Groups!AJ:AJ)="Reptile",_xlfn.XLOOKUP(_xlfn.XLOOKUP(B48,'Base stats'!B:B,'Base stats'!E:E),Groups!A:A,Groups!AJ:AJ)="Amphibian",_xlfn.XLOOKUP(_xlfn.XLOOKUP(B48,'Base stats'!B:B,'Base stats'!E:E),Groups!A:A,Groups!AJ:AJ)="Invertebrate"),"True","False")</f>
        <v>False</v>
      </c>
      <c r="CD48" s="25" t="str">
        <f t="shared" si="6"/>
        <v>False</v>
      </c>
      <c r="CE48" s="25" t="str">
        <f>IF(_xlfn.XLOOKUP(_xlfn.XLOOKUP(B48,'Base stats'!B:B,'Base stats'!E:E),Groups!A:A,Groups!AX:AX),"True","False")</f>
        <v>False</v>
      </c>
      <c r="CF48" s="25" t="str">
        <f>IF(_xlfn.XLOOKUP(_xlfn.XLOOKUP(B48,'Base stats'!B:B,'Base stats'!E:E),Groups!A:A,Groups!AY:AY),"True","False")</f>
        <v>False</v>
      </c>
      <c r="CG48" s="25" t="str">
        <f>IF(_xlfn.XLOOKUP(_xlfn.XLOOKUP(B48,'Base stats'!B:B,'Base stats'!E:E),Groups!A:A,Groups!AW:AW),"True","False")</f>
        <v>False</v>
      </c>
      <c r="CH48" s="25" t="str">
        <f>IF(
OR(
_xlfn.XLOOKUP(_xlfn.XLOOKUP(B48,'Base stats'!B:B,'Base stats'!E:E),Groups!A:A,Groups!AZ:AZ)=0,
AND(
_xlfn.XLOOKUP(B48,'Base stats'!B:B,'Base stats'!Y:Y)&lt;&gt;"Carnivore",
_xlfn.XLOOKUP(B48,'Base stats'!B:B,'Base stats'!Y:Y)&lt;&gt;"Omnivore",
_xlfn.XLOOKUP(B48,'Base stats'!B:B,'Base stats'!Y:Y)&lt;&gt;"OmnivoreRough"
)
),
"No",
IF(
_xlfn.XLOOKUP(_xlfn.XLOOKUP(B48,'Base stats'!B:B,'Base stats'!E:E),Groups!A:A,Groups!AZ:AZ)=1,
"Flesh",
IF(
_xlfn.XLOOKUP(_xlfn.XLOOKUP(B48,'Base stats'!B:B,'Base stats'!E:E),Groups!A:A,Groups!AZ:AZ)=2,
"Bone",
""
)
)
)</f>
        <v>No</v>
      </c>
      <c r="CI48" s="25" t="str">
        <f>IF(_xlfn.XLOOKUP(_xlfn.XLOOKUP(B48,'Base stats'!B:B,'Base stats'!E:E),Groups!A:A,Groups!BB:BB),"True","False")</f>
        <v>True</v>
      </c>
      <c r="CJ48" s="25" t="str">
        <f>IF(_xlfn.XLOOKUP(_xlfn.XLOOKUP(B48,'Base stats'!B:B,'Base stats'!E:E),Groups!A:A,Groups!BA:BA),"True","False")</f>
        <v>False</v>
      </c>
    </row>
    <row r="49" spans="1:88" ht="16.5" thickTop="1" thickBot="1" x14ac:dyDescent="0.3">
      <c r="A49" s="26" t="str">
        <f>_xlfn.XLOOKUP(B49,'Base stats'!B:B,'Base stats'!A:A)</f>
        <v>Caribou</v>
      </c>
      <c r="B49" s="6" t="s">
        <v>154</v>
      </c>
      <c r="C49" s="28" t="s">
        <v>724</v>
      </c>
      <c r="D49" s="28" t="s">
        <v>45</v>
      </c>
      <c r="E49" s="28" t="s">
        <v>673</v>
      </c>
      <c r="F49" s="28" t="s">
        <v>673</v>
      </c>
      <c r="G49" s="28" t="s">
        <v>673</v>
      </c>
      <c r="H49" s="2">
        <f>MROUND((
  (IF(AND(_xlfn.XLOOKUP(B49,'Base stats'!B:B,'Base stats'!AL:AL)=0,BI49="None",_xlfn.XLOOKUP(_xlfn.XLOOKUP(B49,'Base stats'!B:B,'Base stats'!E:E),Groups!A:A,Groups!B:B)=0), (18 + BR49 * 2.7) * 0.5,
    IF(AND(_xlfn.XLOOKUP(B49,'Base stats'!B:B,'Base stats'!AL:AL)=0,OR(AO49&lt;0.55,AND(BI49="Intermediate",_xlfn.XLOOKUP(_xlfn.XLOOKUP(B49,'Base stats'!B:B,'Base stats'!E:E),Groups!A:A,Groups!B:B)&lt;2))), (18 + BR49 * 2.7),
      IF(OR(BI49="Advanced",_xlfn.XLOOKUP(B49,'Base stats'!B:B,'Base stats'!AL:AL)=1,_xlfn.XLOOKUP(_xlfn.XLOOKUP(B49,'Base stats'!B:B,'Base stats'!E:E),Groups!A:A,Groups!B:B)=2), (18 + BR49 * 2.7) + 250, (18 + BR49 * 2.7))
    )
  ))
  + AO49 * 80
  + IF(COUNTIF(EggMilk!K$2:K$998, A49) &gt; 0, 125, 0)
  + IF(COUNTIF(EggMilk!P$2:P$998, A49) &gt; 0, 90, 0)
  + IF(COUNTIF(EggMilk!A$2:A$998, A49) &gt; 0, 90, 0)
)
* (0.8 + 0.4 * J49)
* 0.75,25)</f>
        <v>250</v>
      </c>
      <c r="I49" s="2">
        <f>MROUND(ROUNDDOWN(_xlfn.XLOOKUP(B49,'Base stats'!B:B,'Base stats'!L:L)/3.6/(23.3/11),1),0.5)</f>
        <v>10.5</v>
      </c>
      <c r="J49" s="2">
        <f>IF(OR(_xlfn.XLOOKUP(B49,'Base stats'!B:B,'Base stats'!AB:AB)=1,_xlfn.XLOOKUP(_xlfn.XLOOKUP(B49,'Base stats'!B:B,'Base stats'!E:E),Groups!A:A,Groups!C:C)="Untamable"),1,IF(_xlfn.XLOOKUP(B49,'Base stats'!B:B,'Base stats'!AL:AL)=1,0.99,MIN(MROUND((1-0.6282*EXP(-0.459*AO49))*_xlfn.XLOOKUP(_xlfn.XLOOKUP(B49,'Base stats'!B:B,'Base stats'!E:E),Groups!A:A,Groups!C:C)*IF(_xlfn.XLOOKUP(B49,'Base stats'!B:B,'Base stats'!O:O)=1,0.5,IF(_xlfn.XLOOKUP(B49,'Base stats'!B:B,'Base stats'!O:O)=2,0,1)),0.05),IF(AO49&gt;3.5,0.985,0.95))))</f>
        <v>0.30000000000000004</v>
      </c>
      <c r="K49" s="2">
        <f>ROUNDUP(AO49*_xlfn.XLOOKUP(_xlfn.XLOOKUP(B49,'Base stats'!B:B,'Base stats'!E:E),Groups!A:A,Groups!E:E),0)</f>
        <v>7</v>
      </c>
      <c r="L49" s="2">
        <f>IF(OR(_xlfn.XLOOKUP(_xlfn.XLOOKUP(B49,'Base stats'!B:B,'Base stats'!E:E),Groups!A:A,Groups!F:F)=2,ISNUMBER(SEARCH("SeaIce",BX49)),ISNUMBER(SEARCH("IceSheet",BX49))),-50,IF(OR(ISNUMBER(SEARCH("GlacialPlain",BX49)),ISNUMBER(SEARCH("Tundra",BX49))),-40,IF(OR(ISNUMBER(SEARCH("Alpine",BX49)),ISNUMBER(SEARCH("BorealForest",BX49)),ISNUMBER(SEARCH("ColdBog",BX49))),-30,IF(OR(ISNUMBER(SEARCH("TemperateForest",BX49)),ISNUMBER(SEARCH("TemperateSwamp",BX49))),-20,IF(_xlfn.XLOOKUP(_xlfn.XLOOKUP(B49,'Base stats'!B:B,'Base stats'!E:E),Groups!A:A,Groups!F:F)=1,-15,IF(OR(ISNUMBER(SEARCH("Desert",BX49)),ISNUMBER(SEARCH("ExtremeDesert",BX49))),-10,IF(OR(ISNUMBER(SEARCH("Grasslands",BX49)),ISNUMBER(SEARCH("TropicalRainforest",BX49)),ISNUMBER(SEARCH("TropicalSwamp",BX49))),10,0)))))))-IF(CC49="False",MIN(IFERROR(MAX(MROUND(LOG10(_xlfn.XLOOKUP(B49,'Base stats'!B:B,'Base stats'!C:C)^(2/3))*10,5),5),5),30))-_xlfn.XLOOKUP(B49,'Base stats'!B:B,'Base stats'!P:P)+IF(CC49="True",5,0)</f>
        <v>-55</v>
      </c>
      <c r="M49" s="2">
        <f>IF(OR(_xlfn.XLOOKUP(_xlfn.XLOOKUP(B49,'Base stats'!B:B,'Base stats'!E:E),Groups!A:A,Groups!G:G)=2,ISNUMBER(SEARCH("Desert",BX49)),ISNUMBER(SEARCH("ExtremeDesert",BX49)),ISNUMBER(SEARCH("LavaField",BX49))),50,IF(ISNUMBER(SEARCH("Grasslands",BX49)),45,IF(OR(_xlfn.XLOOKUP(_xlfn.XLOOKUP(B49,'Base stats'!B:B,'Base stats'!E:E),Groups!A:A,Groups!G:G)=1,ISNUMBER(SEARCH("TropicalRainforest",BX49)),ISNUMBER(SEARCH("TropicalSwamp",BX49))),40,IF(OR(ISNUMBER(SEARCH("TemperateForest",BX49)),ISNUMBER(SEARCH("TemperateSwamp",BX49))),35,IF(OR(ISNUMBER(SEARCH("Alpine",BX49)),ISNUMBER(SEARCH("BorealForest",BX49)),ISNUMBER(SEARCH("ColdBog",BX49))),30,IF(ISNUMBER(OR(ISNUMBER(SEARCH("GlacialPlain",BX49)),SEARCH("Tundra",BX49))),25,IF(OR(ISNUMBER(SEARCH("SeaIce",BX49)),ISNUMBER(SEARCH("IceSheet",BX49)),ISNUMBER(SEARCH("TropicalSwamp",BX49))),10,35)))))))+_xlfn.XLOOKUP(B49,'Base stats'!B:B,'Base stats'!Q:Q)</f>
        <v>35</v>
      </c>
      <c r="N49" s="8" t="str">
        <f>IF(
_xlfn.XLOOKUP(
_xlfn.XLOOKUP(B49,'Base stats'!B:B,'Base stats'!E:E),
Groups!A:A,
Groups!L:L
)=1,
MIN(
MROUND(
IF(
_xlfn.XLOOKUP(B49,'Animals CE'!B:B,'Animals CE'!Z:Z)&lt;=1.5,
_xlfn.XLOOKUP(B49,'Animals CE'!B:B,'Animals CE'!Z:Z)/2+0.05,
0.8+
(_xlfn.XLOOKUP(B49,'Animals CE'!B:B,'Animals CE'!Z:Z)-1.5)
*0.02
),
0.05
),
200%
),
"No"
)</f>
        <v>No</v>
      </c>
      <c r="O49" s="8" t="str">
        <f>IF(
_xlfn.XLOOKUP(
_xlfn.XLOOKUP(B49,'Base stats'!B:B,'Base stats'!E:E),
Groups!A:A,
Groups!L:L
)=1,
MIN(
MROUND(
IF(
_xlfn.XLOOKUP(B49,'Animals CE'!B:B,'Animals CE'!AA:AA)&lt;=1.5,
_xlfn.XLOOKUP(B49,'Animals CE'!B:B,'Animals CE'!AA:AA)/2+0.05,
0.8+
(_xlfn.XLOOKUP(B49,'Animals CE'!B:B,'Animals CE'!AA:AA)-1.5)
*0.02
),
0.05
),
200%
),
"No"
)</f>
        <v>No</v>
      </c>
      <c r="P49" s="2" t="str">
        <f>_xlfn.XLOOKUP(B49,'Base stats'!B:B,'Base stats'!R:R)</f>
        <v>Standard</v>
      </c>
      <c r="Q49" s="13">
        <f>MROUND((LOG10(_xlfn.XLOOKUP(B49,'Base stats'!B:B,'Base stats'!AR:AR))*(AO49^0.5)+(_xlfn.XLOOKUP(B49,'Base stats'!B:B,'Base stats'!AR:AR)/1000)^(2/3)+_xlfn.XLOOKUP(B49,'Base stats'!B:B,'Base stats'!BA:BA)/2)+0.5,0.5)</f>
        <v>8.5</v>
      </c>
      <c r="R49" s="7">
        <f>IF(Q49="No","No",MAX(1,MROUND(_xlfn.XLOOKUP(B49,'Base stats'!B:B,'Base stats'!C:C)^0.165,0.05)))</f>
        <v>2.2000000000000002</v>
      </c>
      <c r="S49" s="13">
        <f>IF(_xlfn.XLOOKUP(_xlfn.XLOOKUP(B49,'Base stats'!B:B,'Base stats'!E:E),Groups!A:A,Groups!P:P)=0,"No",MROUND((LOG10(_xlfn.XLOOKUP(B49,'Base stats'!B:B,'Base stats'!AS:AS))*(AO49^0.5)+(_xlfn.XLOOKUP(B49,'Base stats'!B:B,'Base stats'!AS:AS)/1000)^(2/3)+_xlfn.XLOOKUP(B49,'Base stats'!B:B,'Base stats'!BA:BA))+_xlfn.XLOOKUP(B49,'Base stats'!B:B,'Base stats'!AY:AY)+0.5,0.5))</f>
        <v>11</v>
      </c>
      <c r="T49" s="7">
        <f>IF(S49="No","No",MAX(_xlfn.XLOOKUP(_xlfn.XLOOKUP(B49,'Base stats'!B:B,'Base stats'!E:E),Groups!A:A,Groups!Q:Q),MROUND(_xlfn.XLOOKUP(_xlfn.XLOOKUP(B49,'Base stats'!B:B,'Base stats'!E:E),Groups!A:A,Groups!Q:Q)*_xlfn.XLOOKUP(B49,'Base stats'!B:B,'Base stats'!C:C)^0.165,0.05)))</f>
        <v>2.2000000000000002</v>
      </c>
      <c r="U49" s="7" t="str">
        <f>IF(S49="No","No",_xlfn.XLOOKUP(_xlfn.XLOOKUP(B49,'Base stats'!B:B,'Base stats'!E:E),Groups!A:A,Groups!R:R))</f>
        <v>FrontLeftLeg, FrontRightLeg</v>
      </c>
      <c r="V49" s="7" t="str">
        <f>IF(S49="No","No",_xlfn.XLOOKUP(_xlfn.XLOOKUP(B49,'Base stats'!B:B,'Base stats'!E:E),Groups!A:A,Groups!S:S))</f>
        <v>left hoof, right hoof</v>
      </c>
      <c r="W49" s="7" t="str">
        <f>IF(S49="No","No",_xlfn.XLOOKUP(_xlfn.XLOOKUP(B49,'Base stats'!B:B,'Base stats'!E:E),Groups!A:A,Groups!T:T))</f>
        <v>Blunt</v>
      </c>
      <c r="X49" s="13">
        <f>IF(_xlfn.XLOOKUP(B49,'Base stats'!B:B,'Base stats'!W:W)="No","No",MROUND((LOG10(_xlfn.XLOOKUP(B49,'Base stats'!B:B,'Base stats'!AU:AU))*(AO49^0.5)+(_xlfn.XLOOKUP(B49,'Base stats'!B:B,'Base stats'!AU:AU)/1000)^(2/3)+_xlfn.XLOOKUP(B49,'Base stats'!B:B,'Base stats'!AZ:AZ))+0.5+IF(_xlfn.XLOOKUP(_xlfn.XLOOKUP(B49,'Base stats'!B:B,'Base stats'!E:E),Groups!A:A,Groups!U:U)&lt;&gt;3,_xlfn.XLOOKUP(B49,'Base stats'!B:B,'Base stats'!BA:BA),0),0.5))</f>
        <v>13.5</v>
      </c>
      <c r="Y49" s="7">
        <f>IF(X49="No","No",MAX(_xlfn.XLOOKUP(_xlfn.XLOOKUP(B49,'Base stats'!B:B,'Base stats'!E:E),Groups!A:A,Groups!V:V),MROUND(_xlfn.XLOOKUP(_xlfn.XLOOKUP(B49,'Base stats'!B:B,'Base stats'!E:E),Groups!A:A,Groups!V:V)*_xlfn.XLOOKUP(B49,'Base stats'!B:B,'Base stats'!C:C)^0.165,0.05)))</f>
        <v>1.85</v>
      </c>
      <c r="Z49" s="7" t="str">
        <f>IF(X49="No","No",_xlfn.XLOOKUP(_xlfn.XLOOKUP(B49,'Base stats'!B:B,'Base stats'!E:E),Groups!A:A,Groups!W:W))</f>
        <v>HeadAttackTool</v>
      </c>
      <c r="AA49" s="7" t="str">
        <f>IF(X49="No","No",_xlfn.XLOOKUP(_xlfn.XLOOKUP(B49,'Base stats'!B:B,'Base stats'!E:E),Groups!A:A,Groups!X:X))</f>
        <v>antler</v>
      </c>
      <c r="AB49" s="7" t="str">
        <f>IF(X49="No","No",_xlfn.XLOOKUP(_xlfn.XLOOKUP(B49,'Base stats'!B:B,'Base stats'!E:E),Groups!A:A,Groups!Y:Y))</f>
        <v>Scratch</v>
      </c>
      <c r="AC49" s="7" t="str">
        <f>_xlfn.XLOOKUP(Animals!B49,'Base stats'!B:B,'Base stats'!X:X)</f>
        <v>False</v>
      </c>
      <c r="AD49" s="13" t="str">
        <f>IF(_xlfn.XLOOKUP(B49,'Base stats'!B:B,'Base stats'!AT:AT)="No","No",MROUND((LOG10(_xlfn.XLOOKUP(B49,'Base stats'!B:B,'Base stats'!AT:AT))*(AO49^0.75)+(_xlfn.XLOOKUP(B49,'Base stats'!B:B,'Base stats'!AT:AT)/1000)^(2/3)+_xlfn.XLOOKUP(B49,'Base stats'!B:B,'Base stats'!AX:AX)+_xlfn.XLOOKUP(B49,'Base stats'!B:B,'Base stats'!BA:BA))+0.5,0.5))</f>
        <v>No</v>
      </c>
      <c r="AE49" s="7" t="str">
        <f>IF(AD49="No","No",MAX(_xlfn.XLOOKUP(_xlfn.XLOOKUP(B49,'Base stats'!B:B,'Base stats'!E:E),Groups!A:A,Groups!Z:Z),MROUND(_xlfn.XLOOKUP(_xlfn.XLOOKUP(B49,'Base stats'!B:B,'Base stats'!E:E),Groups!A:A,Groups!Z:Z)*_xlfn.XLOOKUP(B49,'Base stats'!B:B,'Base stats'!C:C)^0.165,0.05)))</f>
        <v>No</v>
      </c>
      <c r="AF49" s="7" t="str">
        <f>IF(AD49="No","No",_xlfn.XLOOKUP(_xlfn.XLOOKUP(B49,'Base stats'!B:B,'Base stats'!E:E),Groups!A:A,Groups!AA:AA))</f>
        <v>No</v>
      </c>
      <c r="AG49" s="7" t="str">
        <f>IF(AD49="No","No",_xlfn.XLOOKUP(_xlfn.XLOOKUP(B49,'Base stats'!B:B,'Base stats'!E:E),Groups!A:A,Groups!AB:AB))</f>
        <v>No</v>
      </c>
      <c r="AH49" s="7" t="str">
        <f>IF(AD49="No","No",_xlfn.XLOOKUP(_xlfn.XLOOKUP(B49,'Base stats'!B:B,'Base stats'!E:E),Groups!A:A,Groups!AC:AC))</f>
        <v>No</v>
      </c>
      <c r="AI49" s="13" t="str">
        <f>IF(_xlfn.XLOOKUP(_xlfn.XLOOKUP(B49,'Base stats'!B:B,'Base stats'!E:E),Groups!A:A,Groups!AD:AD)=0,"No",MROUND((LOG10(_xlfn.XLOOKUP(B49,'Base stats'!B:B,'Base stats'!AS:AS))*(AO49^0.75)+(_xlfn.XLOOKUP(B49,'Base stats'!B:B,'Base stats'!AS:AS)/1000)^(2/3)+_xlfn.XLOOKUP(B49,'Base stats'!B:B,'Base stats'!AY:AY)+_xlfn.XLOOKUP(B49,'Base stats'!B:B,'Base stats'!BA:BA))+0.5,0.5))</f>
        <v>No</v>
      </c>
      <c r="AJ49" s="7" t="str">
        <f>IF(AI49="No","No",MAX(_xlfn.XLOOKUP(_xlfn.XLOOKUP(B49,'Base stats'!B:B,'Base stats'!E:E),Groups!A:A,Groups!AE:AE),MROUND(_xlfn.XLOOKUP(_xlfn.XLOOKUP(B49,'Base stats'!B:B,'Base stats'!E:E),Groups!A:A,Groups!AE:AE)*IF(_xlfn.XLOOKUP(_xlfn.XLOOKUP(B49,'Base stats'!B:B,'Base stats'!E:E),Groups!A:A,Groups!AJ:AJ)="Photonozoa",0.6,1)*_xlfn.XLOOKUP(B49,'Base stats'!B:B,'Base stats'!C:C)^0.165,0.05)))</f>
        <v>No</v>
      </c>
      <c r="AK49" s="7" t="str">
        <f>IF(AI49="No","No",_xlfn.XLOOKUP(_xlfn.XLOOKUP(B49,'Base stats'!B:B,'Base stats'!E:E),Groups!A:A,Groups!AF:AF))</f>
        <v>No</v>
      </c>
      <c r="AL49" s="7" t="str">
        <f>IF(AI49="No","No",_xlfn.XLOOKUP(_xlfn.XLOOKUP(B49,'Base stats'!B:B,'Base stats'!E:E),Groups!A:A,Groups!AG:AG))</f>
        <v>No</v>
      </c>
      <c r="AM49" s="7" t="str">
        <f>IF(AI49="No","No",_xlfn.XLOOKUP(_xlfn.XLOOKUP(B49,'Base stats'!B:B,'Base stats'!E:E),Groups!A:A,Groups!AH:AH))</f>
        <v>No</v>
      </c>
      <c r="AN49" s="2" t="str">
        <f t="shared" si="0"/>
        <v>No</v>
      </c>
      <c r="AO49" s="2">
        <f>MROUND(IF(AND(_xlfn.XLOOKUP(B49,'Base stats'!B:B,'Base stats'!C:C)&gt;=0.5,_xlfn.XLOOKUP(B49,'Base stats'!B:B,'Base stats'!C:C)&lt;=0.8),
IF(_xlfn.XLOOKUP(B49,'Base stats'!B:B,'Base stats'!C:C)&lt;0.1,0.05,IF(_xlfn.XLOOKUP(B49,'Base stats'!B:B,'Base stats'!C:C)&lt;=70,(_xlfn.XLOOKUP(B49,'Base stats'!B:B,'Base stats'!C:C)/70)^0.426489913056526,IF(_xlfn.XLOOKUP(B49,'Base stats'!B:B,'Base stats'!C:C)&lt;=400,(_xlfn.XLOOKUP(B49,'Base stats'!B:B,'Base stats'!C:C)/70)^0.572811455315093,IF(_xlfn.XLOOKUP(B49,'Base stats'!B:B,'Base stats'!C:C)&lt;=2000,2.71391647193063*(_xlfn.XLOOKUP(B49,'Base stats'!B:B,'Base stats'!C:C)/400)^0.252459582904293,3.74314280240376*(_xlfn.XLOOKUP(B49,'Base stats'!B:B,'Base stats'!C:C)/2000)^0.357012633876913)))),
IF(_xlfn.XLOOKUP(B49,'Base stats'!B:B,'Base stats'!C:C)&lt;0.1,0.05,IF(_xlfn.XLOOKUP(B49,'Base stats'!B:B,'Base stats'!C:C)&lt;0.4,0.1,IF(_xlfn.XLOOKUP(B49,'Base stats'!B:B,'Base stats'!C:C)&lt;=70,(_xlfn.XLOOKUP(B49,'Base stats'!B:B,'Base stats'!C:C)/70)^0.445823913056526,IF(_xlfn.XLOOKUP(B49,'Base stats'!B:B,'Base stats'!C:C)&lt;=400,(_xlfn.XLOOKUP(B49,'Base stats'!B:B,'Base stats'!C:C)/70)^0.572811455315093,IF(_xlfn.XLOOKUP(B49,'Base stats'!B:B,'Base stats'!C:C)&lt;=2000,2.71391647193063*(_xlfn.XLOOKUP(B49,'Base stats'!B:B,'Base stats'!C:C)/400)^0.252459582904293,3.74314280240376*(_xlfn.XLOOKUP(B49,'Base stats'!B:B,'Base stats'!C:C)/2000)^0.357012633876913)))))),
IF(_xlfn.XLOOKUP(B49,'Base stats'!B:B,'Base stats'!C:C)&lt;0.1,0.05,IF(_xlfn.XLOOKUP(B49,'Base stats'!B:B,'Base stats'!C:C)&lt;=100,0.05,IF(_xlfn.XLOOKUP(B49,'Base stats'!B:B,'Base stats'!C:C)&lt;=250,0.1,IF(_xlfn.XLOOKUP(B49,'Base stats'!B:B,'Base stats'!C:C)&lt;=4000,0.25,0.5)))))</f>
        <v>1.3</v>
      </c>
      <c r="AP49" s="8">
        <f>MROUND(AO49*_xlfn.XLOOKUP(_xlfn.XLOOKUP(B49,'Base stats'!B:B,'Base stats'!E:E),Groups!A:A,Groups!AI:AI)*_xlfn.XLOOKUP(B49,'Base stats'!B:B,'Base stats'!Z:Z),0.05)</f>
        <v>1.3</v>
      </c>
      <c r="AQ49" s="8">
        <f>MAX(0.01,MROUND(IF(CC49="True",0.196*(AO49*100*1000)^0.889,IF(_xlfn.XLOOKUP(_xlfn.XLOOKUP(B49,'Base stats'!B:B,'Base stats'!E:E),Groups!A:A,Groups!AJ:AJ)="Bird",10.5*(AO49*100*1000)^0.681,4.82*(AO49*100*1000)^0.734))/(4.82*(1*100*1000)^0.734)/IF(AO49&lt;3.5,2,IF(AO49=3.5,1.5,1.25))*(1+0.132282374779864/(AO49^0.994035016789033+0.00905238001496948)),0.05))</f>
        <v>0.65</v>
      </c>
      <c r="AR49" s="9">
        <f>IFERROR(MROUND(_xlfn.XLOOKUP(B49,'Base stats'!B:B,'Base stats'!H:H)/IF(_xlfn.XLOOKUP(B49,'Base stats'!B:B,'Base stats'!I:I)&lt;&gt;1,(122.5/70),1.2),IF(_xlfn.XLOOKUP(B49,'Base stats'!B:B,'Base stats'!H:H)&gt;=30,5,IF(_xlfn.XLOOKUP(B49,'Base stats'!B:B,'Base stats'!H:H)&gt;=15,3,IF(_xlfn.XLOOKUP(B49,'Base stats'!B:B,'Base stats'!H:H)&gt;=10,2,1)))),"Immortal")</f>
        <v>12</v>
      </c>
      <c r="AS49" s="35">
        <f>IFERROR(IF(OR(_xlfn.XLOOKUP(B49,'Base stats'!B:B,'Base stats'!F:F)="Atypical reproduction",_xlfn.XLOOKUP(B49,'Base stats'!B:B,'Base stats'!F:F)="Lay eggs"),"Lay eggs",MIN(20,MAX(5.5,ROUND(((_xlfn.XLOOKUP(B49,'Base stats'!B:B,'Base stats'!F:F)-25)*(14.5/615) + 5.5)*2,0)/2))),"Unknown")</f>
        <v>10.5</v>
      </c>
      <c r="AT49" s="8">
        <f>IF(_xlfn.XLOOKUP(B49,'Base stats'!B:B,'Base stats'!G:G)="Atypical reproduction","No",IFERROR(MAX(IF(_xlfn.XLOOKUP(B49,'Base stats'!B:B,'Base stats'!G:G)&lt;0.5,0.2,0.3),MROUND(_xlfn.XLOOKUP(B49,'Base stats'!B:B,'Base stats'!G:G)/(365/60),0.2)),"Unknown"))</f>
        <v>0.3</v>
      </c>
      <c r="AU49" s="8">
        <f t="shared" si="1"/>
        <v>0.15000000000000002</v>
      </c>
      <c r="AV49" s="8">
        <f>IFERROR(IFERROR(MROUND(_xlfn.XLOOKUP(B49,'Base stats'!B:B,'Base stats'!J:J),0.1),"Lay eggs"),"Cannot breed")</f>
        <v>1</v>
      </c>
      <c r="AW49" s="2" t="str">
        <f t="shared" si="2"/>
        <v>true</v>
      </c>
      <c r="AX49" s="2" t="str">
        <f>IF(_xlfn.XLOOKUP(_xlfn.XLOOKUP(Animals!B49,'Base stats'!B:B,'Base stats'!E:E),Groups!A:A,Groups!AK:AK)=1,"true","false")</f>
        <v>true</v>
      </c>
      <c r="AY49" s="25" t="str">
        <f>IF(_xlfn.XLOOKUP(B49,'Base stats'!B:B,'Base stats'!Y:Y)="Liquor","Liquor, CarnivoreAnimalStrict",IF(AND(_xlfn.XLOOKUP(B49,'Base stats'!B:B,'Base stats'!Y:Y)="Carnivore",_xlfn.XLOOKUP(_xlfn.XLOOKUP(B49,'Base stats'!B:B,'Base stats'!E:E),Groups!A:A,Groups!AJ:AJ)="Photonozoa"),"CarnivoreAnimalStrict, OvivoreAnimal",IF(_xlfn.XLOOKUP(B49,'Base stats'!B:B,'Base stats'!Y:Y)="Carnivore","CarnivoreAnimal, OvivoreAnimal",IF(_xlfn.XLOOKUP(B49,'Base stats'!B:B,'Base stats'!Y:Y)="Dendrovore","VegetarianRoughAnimal, DendrovoreAnimal",IF(_xlfn.XLOOKUP(B49,'Base stats'!B:B,'Base stats'!Y:Y)="Herbivore","VegetarianRoughAnimal",IF(_xlfn.XLOOKUP(B49,'Base stats'!B:B,'Base stats'!Y:Y)="OmnivoreRough","OmnivoreRoughAnimal, OvivoreAnimal","OmnivoreAnimal, OvivoreAnimal"))))))</f>
        <v>VegetarianRoughAnimal</v>
      </c>
      <c r="AZ49" s="2">
        <f>IF(_xlfn.XLOOKUP(_xlfn.XLOOKUP(B49,'Base stats'!B:B,'Base stats'!E:E),Groups!A:A,Groups!D:D)=1,MROUND((1-J49)*5+1,2)*IF(J49&lt;=0.4,2,1),"No")</f>
        <v>8</v>
      </c>
      <c r="BA49" s="2" t="str">
        <f>IF(AND(_xlfn.XLOOKUP(B49,'Base stats'!B:B,'Base stats'!AH:AH)="&lt;li&gt;Seal&lt;/li&gt;",G49="Odyssey"),"&lt;li&gt;AEXP_Seal&lt;/li&gt;",_xlfn.XLOOKUP(B49,'Base stats'!B:B,'Base stats'!AH:AH))</f>
        <v>&lt;li&gt;Deer&lt;/li&gt;</v>
      </c>
      <c r="BB49" s="2" t="str">
        <f>_xlfn.XLOOKUP(B49,'Base stats'!B:B,'Base stats'!AG:AG)</f>
        <v>Leather_Plain</v>
      </c>
      <c r="BC49" s="23" t="str">
        <f>_xlfn.XLOOKUP(_xlfn.XLOOKUP(B49,'Base stats'!B:B,'Base stats'!E:E),Groups!A:A,Groups!AL:AL)</f>
        <v>QuadrupedAnimalWithHooves</v>
      </c>
      <c r="BD49" s="23">
        <f>MIN(1,MROUND(IF(AND(AO49&lt;0.5,_xlfn.XLOOKUP(B49,'Base stats'!B:B,'Base stats'!AA:AA)=0),0,IF(OR(_xlfn.XLOOKUP(Animals!B49,'Base stats'!B:B,'Base stats'!O:O)=2,_xlfn.XLOOKUP(_xlfn.XLOOKUP(B49,'Base stats'!B:B,'Base stats'!E:E),Groups!A:A,Groups!AN:AN)=0),0,_xlfn.XLOOKUP(_xlfn.XLOOKUP(B49,'Base stats'!B:B,'Base stats'!E:E),Groups!A:A,Groups!AN:AN)/IF(_xlfn.XLOOKUP(Animals!B49,'Base stats'!B:B,'Base stats'!O:O)=1,2,1)))+_xlfn.XLOOKUP(B49,'Base stats'!B:B,'Base stats'!AC:AC),0.005))</f>
        <v>0</v>
      </c>
      <c r="BE49" s="23">
        <f>MIN(1,MROUND(IF(AND(AO49&lt;0.5,_xlfn.XLOOKUP(B49,'Base stats'!B:B,'Base stats'!AA:AA)=0),0,IF(_xlfn.XLOOKUP(_xlfn.XLOOKUP(B49,'Base stats'!B:B,'Base stats'!E:E),Groups!A:A,Groups!AO:AO)=0,0,_xlfn.XLOOKUP(_xlfn.XLOOKUP(B49,'Base stats'!B:B,'Base stats'!E:E),Groups!A:A,Groups!AO:AO)/IF(_xlfn.XLOOKUP(Animals!B49,'Base stats'!B:B,'Base stats'!O:O)=2,3,1)))+_xlfn.XLOOKUP(B49,'Base stats'!B:B,'Base stats'!AD:AD),0.005))</f>
        <v>0</v>
      </c>
      <c r="BF49" s="2" t="str">
        <f>IF(J49&gt;0.3,"No",_xlfn.XLOOKUP(_xlfn.XLOOKUP(Animals!B49,'Base stats'!B:B,'Base stats'!E:E),Groups!A:A,Groups!AP:AP))</f>
        <v>No</v>
      </c>
      <c r="BG49" s="2" t="str">
        <f>IF(AND(J49&lt;=0.65,_xlfn.XLOOKUP(_xlfn.XLOOKUP(Animals!B49,'Base stats'!B:B,'Base stats'!E:E),Groups!A:A,Groups!AP:AP)&lt;&gt;"No",_xlfn.XLOOKUP(_xlfn.XLOOKUP(B49,'Base stats'!B:B,'Base stats'!E:E),Groups!A:A,Groups!D:D)=0),MROUND((80/3)*IF(_xlfn.XLOOKUP(B49,'Base stats'!B:B,'Base stats'!O:O)=2,0.2,AO49) + 24*(1-IF(BF49="No",0,BF49)) + 16/3, 12),"No")</f>
        <v>No</v>
      </c>
      <c r="BH49" s="2">
        <f>IF(AND(_xlfn.XLOOKUP(_xlfn.XLOOKUP(B49,'Base stats'!B:B,'Base stats'!E:E),Groups!A:A,Groups!AQ:AQ)=1,AO49&lt;=0.35),8,12)</f>
        <v>12</v>
      </c>
      <c r="BI49" s="2" t="str">
        <f>IF(_xlfn.XLOOKUP(_xlfn.XLOOKUP(B49,'Base stats'!B:B,'Base stats'!E:E),Groups!A:A,Groups!D:D)=0,_xlfn.XLOOKUP(_xlfn.XLOOKUP(B49,'Base stats'!B:B,'Base stats'!E:E),Groups!A:A,Groups!AR:AR),"None")</f>
        <v>None</v>
      </c>
      <c r="BJ49" s="2" t="str">
        <f>IF(AND(_xlfn.XLOOKUP(_xlfn.XLOOKUP(B49,'Base stats'!B:B,'Base stats'!E:E),Groups!A:A,Groups!AS:AS)=1,OR(_xlfn.XLOOKUP(B49,'Base stats'!B:B,'Base stats'!Y:Y)="Carnivore",_xlfn.XLOOKUP(B49,'Base stats'!B:B,'Base stats'!Y:Y)="Omnivore")),"true","false")</f>
        <v>false</v>
      </c>
      <c r="BK49" s="2" t="str">
        <f>IF(BJ49="true",MROUND(IF(AND(AO49&gt;0.5,OR(_xlfn.XLOOKUP(_xlfn.XLOOKUP(B49,'Base stats'!B:B,'Base stats'!E:E),Groups!A:A,Groups!AJ:AJ)="Photonozoa",_xlfn.XLOOKUP(_xlfn.XLOOKUP(B49,'Base stats'!B:B,'Base stats'!E:E),Groups!A:A,Groups!AJ:AJ)="Mammal")),Animals!AO49*1.75*IF(AW49="true",1.5,1),IF(AO49&lt;0.5,Animals!AO49*0.5,Animals!AO49)),IF(AO49&gt;2,0.5,IF(AO49&gt;0.5,0.25,0.1))),"No")</f>
        <v>No</v>
      </c>
      <c r="BL49" s="2">
        <f t="shared" si="3"/>
        <v>0</v>
      </c>
      <c r="BM49" s="25" t="str">
        <f>IF(_xlfn.XLOOKUP(B49,'Base stats'!B:B,'Base stats'!AN:AN)="Standard","No",MROUND((_xlfn.XLOOKUP(B49,'Base stats'!B:B,'Base stats'!AN:AN)/3.6)/I49,0.1))</f>
        <v>No</v>
      </c>
      <c r="BN49" s="25" t="str">
        <f t="shared" si="4"/>
        <v>false</v>
      </c>
      <c r="BO49" s="25" t="str">
        <f>IF(AND(OR(_xlfn.XLOOKUP(B49,'Base stats'!B:B,'Base stats'!Y:Y)="Carnivore",_xlfn.XLOOKUP(B49,'Base stats'!B:B,'Base stats'!Y:Y)="Omnivore",_xlfn.XLOOKUP(B49,'Base stats'!B:B,'Base stats'!Y:Y)="OmnivoreRough"),_xlfn.XLOOKUP(_xlfn.XLOOKUP(B49,'Base stats'!B:B,'Base stats'!E:E),Groups!A:A,Groups!AT:AT)=1),"true","false")</f>
        <v>false</v>
      </c>
      <c r="BP49" s="25" t="str" cm="1">
        <f t="array" ref="BP49">IF(
  _xlfn.TEXTJOIN(", ",TRUE,
    IF(AND(BJ49="true",AO49&gt;0.5,BI49&lt;&gt;"None"),"AttackTarget",""),
    IF(AND(_xlfn.XLOOKUP(_xlfn.XLOOKUP(B49,'Base stats'!B:B,'Base stats'!E:E),Groups!A:A,Groups!AJ:AJ="Mammal"),OR(_xlfn.XLOOKUP(B49,'Base stats'!B:B,'Base stats'!Y:Y)="Omnivore",_xlfn.XLOOKUP(B49,'Base stats'!B:B,'Base stats'!Y:Y)="OmnivoreRough")),"Forage",""),
    IF(BG49&lt;=36,"Comfort",""),
    IF(_xlfn.XLOOKUP(B49,'Base stats'!B:B,'Base stats'!AE:AE)&lt;&gt;"No",_xlfn.XLOOKUP(B49,'Base stats'!B:B,'Base stats'!AE:AE),"")
  ) = "",
  "No",
  _xlfn.TEXTJOIN(", ",TRUE,
    IF(AND(BJ49="true",AO49&gt;0.5,BI49&lt;&gt;"None"),"AttackTarget",""),
    IF(AND(_xlfn.XLOOKUP(_xlfn.XLOOKUP(B49,'Base stats'!B:B,'Base stats'!E:E),Groups!A:A,Groups!AJ:AJ="Mammal"),OR(_xlfn.XLOOKUP(B49,'Base stats'!B:B,'Base stats'!Y:Y)="Omnivore",_xlfn.XLOOKUP(B49,'Base stats'!B:B,'Base stats'!Y:Y)="OmnivoreRough")),"Forage",""),
    IF(BG49&lt;=36,"Comfort",""),
    IF(_xlfn.XLOOKUP(B49,'Base stats'!B:B,'Base stats'!AE:AE)&lt;&gt;"No",_xlfn.XLOOKUP(B49,'Base stats'!B:B,'Base stats'!AE:AE),"")
  )
)</f>
        <v>No</v>
      </c>
      <c r="BQ49" s="25" t="str">
        <f>IF(
   AND(
      'Base stats'!AN49="Standard",_xlfn.XLOOKUP(_xlfn.XLOOKUP(B49,'Base stats'!B:B,'Base stats'!E:E),Groups!A:A,Groups!AU:AU)=0,
      OR(
      BO49="True"
      )
   ),
   10,
   IF(
       OR(BM49&lt;&gt;"No",_xlfn.XLOOKUP(_xlfn.XLOOKUP(B49,'Base stats'!B:B,'Base stats'!E:E),Groups!A:A,Groups!AU:AU)=1),
      1,
      "No"
   )
)</f>
        <v>No</v>
      </c>
      <c r="BR49" s="9">
        <f>MROUND((1 + ((0.2*IF(OR(Q49="No",R49="No",R49=0),0,Q49/R49)
+IF(OR(V49="No",S49="No",T49="No"),0,S49/T49*(LEN(V49)-LEN(SUBSTITUTE(V49,",",""))+1))
+IF(OR(X49="No",Y49="No"),0,X49/Y49)
+IF(OR(AD49="No",AE49="No"),0,AD49/AE49)
+IF(OR(AL49="No",AI49="No",AJ49="No"),0,AI49/AJ49*(LEN(AL49)-LEN(SUBSTITUTE(AL49,",",""))+1))
)/(0.2*IF(OR(Q49="No",R49="No",R49=0),0,1)
+IF(OR(V49="No",S49="No",T49="No"),0,LEN(V49)-LEN(SUBSTITUTE(V49,",",""))+1)
+IF(OR(X49="No",Y49="No"),0,1)
+IF(OR(AD49="No",AE49="No"),0,1)
+IF(OR(AL49="No",AI49="No",AJ49="No"),0,LEN(AL49)-LEN(SUBSTITUTE(AL49,",",""))+1))*62%)* 2)*(1 + (AP49 / (IF(_xlfn.XLOOKUP(_xlfn.XLOOKUP(B49,'Base stats'!B:B,'Base stats'!E:E),Groups!A:A,Groups!AJ:AJ)="Photonozoa",0.3,1)) + _xlfn.XLOOKUP(B49,'Base stats'!B:B,'Base stats'!AV:AV) * 1.8) * 2) * 2.5 + 10 + I49 * 2,5)+IF(_xlfn.XLOOKUP(B49,'Base stats'!B:B,'Base stats'!AK:AK)=1,50,0)</f>
        <v>105</v>
      </c>
      <c r="BS49" s="8">
        <f t="shared" si="5"/>
        <v>0.8</v>
      </c>
      <c r="BT49" s="8" t="str">
        <f>_xlfn.XLOOKUP(B49,'Base stats'!B:B,'Base stats'!AF:AF)</f>
        <v>5~15</v>
      </c>
      <c r="BU49" s="2" t="str">
        <f>IF(AND(J49&lt;=0.95,OR(_xlfn.XLOOKUP(B49,'Base stats'!B:B,'Base stats'!AK:AK)=1,_xlfn.XLOOKUP(B49,'Base stats'!B:B,'Base stats'!Y:Y)="Carnivore",_xlfn.XLOOKUP(B49,'Base stats'!B:B,'Base stats'!Y:Y)="Omnivore",BE49&gt;0.1)),"true","false")</f>
        <v>false</v>
      </c>
      <c r="BV49" s="2" t="str">
        <f>IF(_xlfn.XLOOKUP(B49,'Base stats'!B:B,'Base stats'!AI:AI)=1,"true","false")</f>
        <v>false</v>
      </c>
      <c r="BW49" s="25" t="str">
        <f>IF(E49="BaseInsect","AnimalInsect",
IF(J49&gt;0.95,"AnimalExotic",
_xlfn.TEXTJOIN(", ",TRUE,
IF(OR(_xlfn.XLOOKUP(B49,'Base stats'!B:B,'Base stats'!AM:AM)=1,AND(_xlfn.XLOOKUP(B49,'Base stats'!B:B,'Base stats'!O:O)=0,_xlfn.XLOOKUP(_xlfn.XLOOKUP(B49,'Base stats'!B:B,'Base stats'!E:E),Groups!A:A,Groups!B:B)&gt;0)),"AnimalUncommon","AnimalCommon"),
IF(AND(_xlfn.XLOOKUP(B49,'Base stats'!B:B,'Base stats'!O:O)=2,_xlfn.XLOOKUP(_xlfn.XLOOKUP(B49,'Base stats'!B:B,'Base stats'!E:E),Groups!A:A,Groups!D:D)=0),"AnimalPet",IF(AND(_xlfn.XLOOKUP(B49,'Base stats'!B:B,'Base stats'!O:O)&lt;&gt;0,_xlfn.XLOOKUP(_xlfn.XLOOKUP(B49,'Base stats'!B:B,'Base stats'!E:E),Groups!A:A,Groups!D:D)&lt;&gt;0),"AnimalFarm","")),
IF(OR(_xlfn.XLOOKUP(B49,'Base stats'!B:B,'Base stats'!AK:AK)=1,AND(BI49&lt;&gt;"None",BR49&gt;=60),ISNUMBER(SEARCH("Attack target",BP49))),"AnimalFighter","")
)))</f>
        <v>AnimalCommon, AnimalFarm</v>
      </c>
      <c r="BX49" s="25" t="str">
        <f>IF(G49="None",TRIM(
SUBSTITUTE(
IF(COUNTIF(Biomes!B$2:B$259,"="&amp;$C49)&gt;0,Biomes!B$1&amp;", ","")&amp;
IF(COUNTIF(Biomes!C$2:C$259,"="&amp;$C49)&gt;0,Biomes!C$1&amp;", ","")&amp;
IF(COUNTIF(Biomes!D$2:D$259,"="&amp;$C49)&gt;0,Biomes!D$1&amp;", ","")&amp;
IF(COUNTIF(Biomes!F$2:F$259,"="&amp;$C49)&gt;0,Biomes!F$1&amp;", ","")&amp;
IF(COUNTIF(Biomes!G$2:G$259,"="&amp;$C49)&gt;0,Biomes!G$1&amp;", ","")&amp;
IF(COUNTIF(Biomes!H$2:H$259,"="&amp;$C49)&gt;0,Biomes!H$1&amp;", ","")&amp;
IF(COUNTIF(Biomes!I$2:I$259,"="&amp;$C49)&gt;0,Biomes!I$1&amp;", ","")&amp;
IF(COUNTIF(Biomes!J$2:J$259,"="&amp;$C49)&gt;0,Biomes!J$1&amp;", ","")&amp;
IF(COUNTIF(Biomes!M$2:M$259,"="&amp;$C49)&gt;0,Biomes!M$1&amp;", ","")&amp;
IF(COUNTIF(Biomes!N$2:N$259,"="&amp;$C49)&gt;0,Biomes!N$1&amp;", ","")&amp;
IF(COUNTIF(Biomes!O$2:O$259,"="&amp;$C49)&gt;0,Biomes!O$1&amp;", ","")&amp;
IF(COUNTIF(Biomes!P$2:P$259,"="&amp;$C49)&gt;0,Biomes!P$1&amp;", ","")&amp;
IF(COUNTIF(Biomes!K$2:K$259,"="&amp;$C49)&gt;0,Biomes!K$1&amp;", ","")&amp;
IF(COUNTIF(Biomes!Q$3:Q$259,"="&amp;$C49)&gt;0,Biomes!Q$1&amp;", ","")&amp;
IF(COUNTIF(Biomes!L$2:L$259,"="&amp;$C49)&gt;0,Biomes!L$1&amp;", ","")&amp;
IF(COUNTIF(Biomes!E$2:E$259,"="&amp;$C49)&gt;0,Biomes!E$1&amp;", ","")&amp;IF(COUNTIF(Biomes!S$2:S$259,"="&amp;$C49)&gt;0,Biomes!S$1&amp;", ","")&amp;
IF(COUNTIF(Biomes!R$2:R$259,"="&amp;$C49)&gt;0,Biomes!R$1&amp;", ",""),", ","")
),_xlfn.XLOOKUP(B49,B:B,BX:BX))</f>
        <v>Tundra GlacialPlain</v>
      </c>
      <c r="BY49" s="25" t="str">
        <f>IF(_xlfn.XLOOKUP(B49,'Base stats'!B:B,'Base stats'!AJ:AJ)=1,"true","false")</f>
        <v>false</v>
      </c>
      <c r="BZ49" s="25">
        <f>IF(_xlfn.XLOOKUP(B49,'Base stats'!B:B,'Base stats'!N:N)=1,"No",MAX(0.001,MIN(MROUND(IF(AND(BJ49="True",CC49="False"),POWER(10,3.47*LOG10(_xlfn.XLOOKUP(B49,'Base stats'!B:B,'Base stats'!C:C)*1000)^-0.96),POWER(10,4.15*LOG10(_xlfn.XLOOKUP(B49,'Base stats'!B:B,'Base stats'!C:C)*1000)^-0.73))*IF(_xlfn.XLOOKUP(B49,'Base stats'!B:B,'Base stats'!AK:AK)=1,0.5,1)*IF(_xlfn.XLOOKUP(B49,'Base stats'!B:B,'Base stats'!AM:AM)=1,0.1,1)/100,IF(_xlfn.XLOOKUP(B49,'Base stats'!B:B,'Base stats'!AM:AM)=1,0.001,0.025)),0.5)))</f>
        <v>0.17500000000000002</v>
      </c>
      <c r="CA49" s="25" t="str">
        <f>IF(P49="Standard","No",MAX(0.001,MIN(MROUND(IF(AND(BJ49="True",CC49="False"),POWER(10,3.47*LOG10(_xlfn.XLOOKUP(B49,'Base stats'!B:B,'Base stats'!C:C)*1000)^-0.96),POWER(10,4.15*LOG10(_xlfn.XLOOKUP(B49,'Base stats'!B:B,'Base stats'!C:C)*1000)^-0.73))*IF(_xlfn.XLOOKUP(B49,'Base stats'!B:B,'Base stats'!AM:AM)=1,0.1,1)*_xlfn.XLOOKUP(B49,'Base stats'!B:B,'Base stats'!R:R)/100,IF(_xlfn.XLOOKUP(B49,'Base stats'!B:B,'Base stats'!AM:AM)=1,0.001,0.025)),0.5)))</f>
        <v>No</v>
      </c>
      <c r="CB49" s="25" t="str">
        <f>IF(_xlfn.XLOOKUP(_xlfn.XLOOKUP(B49,'Base stats'!B:B,'Base stats'!E:E),Groups!A:A,Groups!AJ:AJ)="Mammal","True","False")</f>
        <v>True</v>
      </c>
      <c r="CC49" s="25" t="str">
        <f>IF(OR(_xlfn.XLOOKUP(_xlfn.XLOOKUP(B49,'Base stats'!B:B,'Base stats'!E:E),Groups!A:A,Groups!AJ:AJ)="Reptile",_xlfn.XLOOKUP(_xlfn.XLOOKUP(B49,'Base stats'!B:B,'Base stats'!E:E),Groups!A:A,Groups!AJ:AJ)="Amphibian",_xlfn.XLOOKUP(_xlfn.XLOOKUP(B49,'Base stats'!B:B,'Base stats'!E:E),Groups!A:A,Groups!AJ:AJ)="Invertebrate"),"True","False")</f>
        <v>False</v>
      </c>
      <c r="CD49" s="25" t="str">
        <f t="shared" si="6"/>
        <v>False</v>
      </c>
      <c r="CE49" s="25" t="str">
        <f>IF(_xlfn.XLOOKUP(_xlfn.XLOOKUP(B49,'Base stats'!B:B,'Base stats'!E:E),Groups!A:A,Groups!AX:AX),"True","False")</f>
        <v>False</v>
      </c>
      <c r="CF49" s="25" t="str">
        <f>IF(_xlfn.XLOOKUP(_xlfn.XLOOKUP(B49,'Base stats'!B:B,'Base stats'!E:E),Groups!A:A,Groups!AY:AY),"True","False")</f>
        <v>False</v>
      </c>
      <c r="CG49" s="25" t="str">
        <f>IF(_xlfn.XLOOKUP(_xlfn.XLOOKUP(B49,'Base stats'!B:B,'Base stats'!E:E),Groups!A:A,Groups!AW:AW),"True","False")</f>
        <v>False</v>
      </c>
      <c r="CH49" s="25" t="str">
        <f>IF(
OR(
_xlfn.XLOOKUP(_xlfn.XLOOKUP(B49,'Base stats'!B:B,'Base stats'!E:E),Groups!A:A,Groups!AZ:AZ)=0,
AND(
_xlfn.XLOOKUP(B49,'Base stats'!B:B,'Base stats'!Y:Y)&lt;&gt;"Carnivore",
_xlfn.XLOOKUP(B49,'Base stats'!B:B,'Base stats'!Y:Y)&lt;&gt;"Omnivore",
_xlfn.XLOOKUP(B49,'Base stats'!B:B,'Base stats'!Y:Y)&lt;&gt;"OmnivoreRough"
)
),
"No",
IF(
_xlfn.XLOOKUP(_xlfn.XLOOKUP(B49,'Base stats'!B:B,'Base stats'!E:E),Groups!A:A,Groups!AZ:AZ)=1,
"Flesh",
IF(
_xlfn.XLOOKUP(_xlfn.XLOOKUP(B49,'Base stats'!B:B,'Base stats'!E:E),Groups!A:A,Groups!AZ:AZ)=2,
"Bone",
""
)
)
)</f>
        <v>No</v>
      </c>
      <c r="CI49" s="25" t="str">
        <f>IF(_xlfn.XLOOKUP(_xlfn.XLOOKUP(B49,'Base stats'!B:B,'Base stats'!E:E),Groups!A:A,Groups!BB:BB),"True","False")</f>
        <v>True</v>
      </c>
      <c r="CJ49" s="25" t="str">
        <f>IF(_xlfn.XLOOKUP(_xlfn.XLOOKUP(B49,'Base stats'!B:B,'Base stats'!E:E),Groups!A:A,Groups!BA:BA),"True","False")</f>
        <v>False</v>
      </c>
    </row>
    <row r="50" spans="1:88" ht="16.5" thickTop="1" thickBot="1" x14ac:dyDescent="0.3">
      <c r="A50" s="26" t="str">
        <f>_xlfn.XLOOKUP(B50,'Base stats'!B:B,'Base stats'!A:A)</f>
        <v>Ibex</v>
      </c>
      <c r="B50" s="6" t="s">
        <v>156</v>
      </c>
      <c r="C50" s="28" t="s">
        <v>725</v>
      </c>
      <c r="D50" s="28" t="s">
        <v>45</v>
      </c>
      <c r="E50" s="28" t="s">
        <v>673</v>
      </c>
      <c r="F50" s="28" t="s">
        <v>673</v>
      </c>
      <c r="G50" s="28" t="s">
        <v>673</v>
      </c>
      <c r="H50" s="2">
        <f>MROUND((
  (IF(AND(_xlfn.XLOOKUP(B50,'Base stats'!B:B,'Base stats'!AL:AL)=0,BI50="None",_xlfn.XLOOKUP(_xlfn.XLOOKUP(B50,'Base stats'!B:B,'Base stats'!E:E),Groups!A:A,Groups!B:B)=0), (18 + BR50 * 2.7) * 0.5,
    IF(AND(_xlfn.XLOOKUP(B50,'Base stats'!B:B,'Base stats'!AL:AL)=0,OR(AO50&lt;0.55,AND(BI50="Intermediate",_xlfn.XLOOKUP(_xlfn.XLOOKUP(B50,'Base stats'!B:B,'Base stats'!E:E),Groups!A:A,Groups!B:B)&lt;2))), (18 + BR50 * 2.7),
      IF(OR(BI50="Advanced",_xlfn.XLOOKUP(B50,'Base stats'!B:B,'Base stats'!AL:AL)=1,_xlfn.XLOOKUP(_xlfn.XLOOKUP(B50,'Base stats'!B:B,'Base stats'!E:E),Groups!A:A,Groups!B:B)=2), (18 + BR50 * 2.7) + 250, (18 + BR50 * 2.7))
    )
  ))
  + AO50 * 80
  + IF(COUNTIF(EggMilk!K$2:K$998, A50) &gt; 0, 125, 0)
  + IF(COUNTIF(EggMilk!P$2:P$998, A50) &gt; 0, 90, 0)
  + IF(COUNTIF(EggMilk!A$2:A$998, A50) &gt; 0, 90, 0)
)
* (0.8 + 0.4 * J50)
* 0.75,25)</f>
        <v>150</v>
      </c>
      <c r="I50" s="2">
        <f>MROUND(ROUNDDOWN(_xlfn.XLOOKUP(B50,'Base stats'!B:B,'Base stats'!L:L)/3.6/(23.3/11),1),0.5)</f>
        <v>6</v>
      </c>
      <c r="J50" s="2">
        <f>IF(OR(_xlfn.XLOOKUP(B50,'Base stats'!B:B,'Base stats'!AB:AB)=1,_xlfn.XLOOKUP(_xlfn.XLOOKUP(B50,'Base stats'!B:B,'Base stats'!E:E),Groups!A:A,Groups!C:C)="Untamable"),1,IF(_xlfn.XLOOKUP(B50,'Base stats'!B:B,'Base stats'!AL:AL)=1,0.99,MIN(MROUND((1-0.6282*EXP(-0.459*AO50))*_xlfn.XLOOKUP(_xlfn.XLOOKUP(B50,'Base stats'!B:B,'Base stats'!E:E),Groups!A:A,Groups!C:C)*IF(_xlfn.XLOOKUP(B50,'Base stats'!B:B,'Base stats'!O:O)=1,0.5,IF(_xlfn.XLOOKUP(B50,'Base stats'!B:B,'Base stats'!O:O)=2,0,1)),0.05),IF(AO50&gt;3.5,0.985,0.95))))</f>
        <v>0.55000000000000004</v>
      </c>
      <c r="K50" s="2">
        <f>ROUNDUP(AO50*_xlfn.XLOOKUP(_xlfn.XLOOKUP(B50,'Base stats'!B:B,'Base stats'!E:E),Groups!A:A,Groups!E:E),0)</f>
        <v>6</v>
      </c>
      <c r="L50" s="2">
        <f>IF(OR(_xlfn.XLOOKUP(_xlfn.XLOOKUP(B50,'Base stats'!B:B,'Base stats'!E:E),Groups!A:A,Groups!F:F)=2,ISNUMBER(SEARCH("SeaIce",BX50)),ISNUMBER(SEARCH("IceSheet",BX50))),-50,IF(OR(ISNUMBER(SEARCH("GlacialPlain",BX50)),ISNUMBER(SEARCH("Tundra",BX50))),-40,IF(OR(ISNUMBER(SEARCH("Alpine",BX50)),ISNUMBER(SEARCH("BorealForest",BX50)),ISNUMBER(SEARCH("ColdBog",BX50))),-30,IF(OR(ISNUMBER(SEARCH("TemperateForest",BX50)),ISNUMBER(SEARCH("TemperateSwamp",BX50))),-20,IF(_xlfn.XLOOKUP(_xlfn.XLOOKUP(B50,'Base stats'!B:B,'Base stats'!E:E),Groups!A:A,Groups!F:F)=1,-15,IF(OR(ISNUMBER(SEARCH("Desert",BX50)),ISNUMBER(SEARCH("ExtremeDesert",BX50))),-10,IF(OR(ISNUMBER(SEARCH("Grasslands",BX50)),ISNUMBER(SEARCH("TropicalRainforest",BX50)),ISNUMBER(SEARCH("TropicalSwamp",BX50))),10,0)))))))-IF(CC50="False",MIN(IFERROR(MAX(MROUND(LOG10(_xlfn.XLOOKUP(B50,'Base stats'!B:B,'Base stats'!C:C)^(2/3))*10,5),5),5),30))-_xlfn.XLOOKUP(B50,'Base stats'!B:B,'Base stats'!P:P)+IF(CC50="True",5,0)</f>
        <v>-45</v>
      </c>
      <c r="M50" s="2">
        <f>IF(OR(_xlfn.XLOOKUP(_xlfn.XLOOKUP(B50,'Base stats'!B:B,'Base stats'!E:E),Groups!A:A,Groups!G:G)=2,ISNUMBER(SEARCH("Desert",BX50)),ISNUMBER(SEARCH("ExtremeDesert",BX50)),ISNUMBER(SEARCH("LavaField",BX50))),50,IF(ISNUMBER(SEARCH("Grasslands",BX50)),45,IF(OR(_xlfn.XLOOKUP(_xlfn.XLOOKUP(B50,'Base stats'!B:B,'Base stats'!E:E),Groups!A:A,Groups!G:G)=1,ISNUMBER(SEARCH("TropicalRainforest",BX50)),ISNUMBER(SEARCH("TropicalSwamp",BX50))),40,IF(OR(ISNUMBER(SEARCH("TemperateForest",BX50)),ISNUMBER(SEARCH("TemperateSwamp",BX50))),35,IF(OR(ISNUMBER(SEARCH("Alpine",BX50)),ISNUMBER(SEARCH("BorealForest",BX50)),ISNUMBER(SEARCH("ColdBog",BX50))),30,IF(ISNUMBER(OR(ISNUMBER(SEARCH("GlacialPlain",BX50)),SEARCH("Tundra",BX50))),25,IF(OR(ISNUMBER(SEARCH("SeaIce",BX50)),ISNUMBER(SEARCH("IceSheet",BX50)),ISNUMBER(SEARCH("TropicalSwamp",BX50))),10,35)))))))+_xlfn.XLOOKUP(B50,'Base stats'!B:B,'Base stats'!Q:Q)</f>
        <v>30</v>
      </c>
      <c r="N50" s="8" t="str">
        <f>IF(
_xlfn.XLOOKUP(
_xlfn.XLOOKUP(B50,'Base stats'!B:B,'Base stats'!E:E),
Groups!A:A,
Groups!L:L
)=1,
MIN(
MROUND(
IF(
_xlfn.XLOOKUP(B50,'Animals CE'!B:B,'Animals CE'!Z:Z)&lt;=1.5,
_xlfn.XLOOKUP(B50,'Animals CE'!B:B,'Animals CE'!Z:Z)/2+0.05,
0.8+
(_xlfn.XLOOKUP(B50,'Animals CE'!B:B,'Animals CE'!Z:Z)-1.5)
*0.02
),
0.05
),
200%
),
"No"
)</f>
        <v>No</v>
      </c>
      <c r="O50" s="8" t="str">
        <f>IF(
_xlfn.XLOOKUP(
_xlfn.XLOOKUP(B50,'Base stats'!B:B,'Base stats'!E:E),
Groups!A:A,
Groups!L:L
)=1,
MIN(
MROUND(
IF(
_xlfn.XLOOKUP(B50,'Animals CE'!B:B,'Animals CE'!AA:AA)&lt;=1.5,
_xlfn.XLOOKUP(B50,'Animals CE'!B:B,'Animals CE'!AA:AA)/2+0.05,
0.8+
(_xlfn.XLOOKUP(B50,'Animals CE'!B:B,'Animals CE'!AA:AA)-1.5)
*0.02
),
0.05
),
200%
),
"No"
)</f>
        <v>No</v>
      </c>
      <c r="P50" s="2" t="str">
        <f>_xlfn.XLOOKUP(B50,'Base stats'!B:B,'Base stats'!R:R)</f>
        <v>Standard</v>
      </c>
      <c r="Q50" s="13">
        <f>MROUND((LOG10(_xlfn.XLOOKUP(B50,'Base stats'!B:B,'Base stats'!AR:AR))*(AO50^0.5)+(_xlfn.XLOOKUP(B50,'Base stats'!B:B,'Base stats'!AR:AR)/1000)^(2/3)+_xlfn.XLOOKUP(B50,'Base stats'!B:B,'Base stats'!BA:BA)/2)+0.5,0.5)</f>
        <v>7.5</v>
      </c>
      <c r="R50" s="7">
        <f>IF(Q50="No","No",MAX(1,MROUND(_xlfn.XLOOKUP(B50,'Base stats'!B:B,'Base stats'!C:C)^0.165,0.05)))</f>
        <v>2.0500000000000003</v>
      </c>
      <c r="S50" s="13">
        <f>IF(_xlfn.XLOOKUP(_xlfn.XLOOKUP(B50,'Base stats'!B:B,'Base stats'!E:E),Groups!A:A,Groups!P:P)=0,"No",MROUND((LOG10(_xlfn.XLOOKUP(B50,'Base stats'!B:B,'Base stats'!AS:AS))*(AO50^0.5)+(_xlfn.XLOOKUP(B50,'Base stats'!B:B,'Base stats'!AS:AS)/1000)^(2/3)+_xlfn.XLOOKUP(B50,'Base stats'!B:B,'Base stats'!BA:BA))+_xlfn.XLOOKUP(B50,'Base stats'!B:B,'Base stats'!AY:AY)+0.5,0.5))</f>
        <v>9.5</v>
      </c>
      <c r="T50" s="7">
        <f>IF(S50="No","No",MAX(_xlfn.XLOOKUP(_xlfn.XLOOKUP(B50,'Base stats'!B:B,'Base stats'!E:E),Groups!A:A,Groups!Q:Q),MROUND(_xlfn.XLOOKUP(_xlfn.XLOOKUP(B50,'Base stats'!B:B,'Base stats'!E:E),Groups!A:A,Groups!Q:Q)*_xlfn.XLOOKUP(B50,'Base stats'!B:B,'Base stats'!C:C)^0.165,0.05)))</f>
        <v>2.0500000000000003</v>
      </c>
      <c r="U50" s="7" t="str">
        <f>IF(S50="No","No",_xlfn.XLOOKUP(_xlfn.XLOOKUP(B50,'Base stats'!B:B,'Base stats'!E:E),Groups!A:A,Groups!R:R))</f>
        <v>FrontLeftLeg, FrontRightLeg</v>
      </c>
      <c r="V50" s="7" t="str">
        <f>IF(S50="No","No",_xlfn.XLOOKUP(_xlfn.XLOOKUP(B50,'Base stats'!B:B,'Base stats'!E:E),Groups!A:A,Groups!S:S))</f>
        <v>left hoof, right hoof</v>
      </c>
      <c r="W50" s="7" t="str">
        <f>IF(S50="No","No",_xlfn.XLOOKUP(_xlfn.XLOOKUP(B50,'Base stats'!B:B,'Base stats'!E:E),Groups!A:A,Groups!T:T))</f>
        <v>Blunt</v>
      </c>
      <c r="X50" s="13">
        <f>IF(_xlfn.XLOOKUP(B50,'Base stats'!B:B,'Base stats'!W:W)="No","No",MROUND((LOG10(_xlfn.XLOOKUP(B50,'Base stats'!B:B,'Base stats'!AU:AU))*(AO50^0.5)+(_xlfn.XLOOKUP(B50,'Base stats'!B:B,'Base stats'!AU:AU)/1000)^(2/3)+_xlfn.XLOOKUP(B50,'Base stats'!B:B,'Base stats'!AZ:AZ))+0.5+IF(_xlfn.XLOOKUP(_xlfn.XLOOKUP(B50,'Base stats'!B:B,'Base stats'!E:E),Groups!A:A,Groups!U:U)&lt;&gt;3,_xlfn.XLOOKUP(B50,'Base stats'!B:B,'Base stats'!BA:BA),0),0.5))</f>
        <v>13.5</v>
      </c>
      <c r="Y50" s="7">
        <f>IF(X50="No","No",MAX(_xlfn.XLOOKUP(_xlfn.XLOOKUP(B50,'Base stats'!B:B,'Base stats'!E:E),Groups!A:A,Groups!V:V),MROUND(_xlfn.XLOOKUP(_xlfn.XLOOKUP(B50,'Base stats'!B:B,'Base stats'!E:E),Groups!A:A,Groups!V:V)*_xlfn.XLOOKUP(B50,'Base stats'!B:B,'Base stats'!C:C)^0.165,0.05)))</f>
        <v>1.75</v>
      </c>
      <c r="Z50" s="7" t="str">
        <f>IF(X50="No","No",_xlfn.XLOOKUP(_xlfn.XLOOKUP(B50,'Base stats'!B:B,'Base stats'!E:E),Groups!A:A,Groups!W:W))</f>
        <v>HeadAttackTool</v>
      </c>
      <c r="AA50" s="7" t="str">
        <f>IF(X50="No","No",_xlfn.XLOOKUP(_xlfn.XLOOKUP(B50,'Base stats'!B:B,'Base stats'!E:E),Groups!A:A,Groups!X:X))</f>
        <v>horn</v>
      </c>
      <c r="AB50" s="7" t="str">
        <f>IF(X50="No","No",_xlfn.XLOOKUP(_xlfn.XLOOKUP(B50,'Base stats'!B:B,'Base stats'!E:E),Groups!A:A,Groups!Y:Y))</f>
        <v>Blunt</v>
      </c>
      <c r="AC50" s="7" t="str">
        <f>_xlfn.XLOOKUP(Animals!B50,'Base stats'!B:B,'Base stats'!X:X)</f>
        <v>False</v>
      </c>
      <c r="AD50" s="13" t="str">
        <f>IF(_xlfn.XLOOKUP(B50,'Base stats'!B:B,'Base stats'!AT:AT)="No","No",MROUND((LOG10(_xlfn.XLOOKUP(B50,'Base stats'!B:B,'Base stats'!AT:AT))*(AO50^0.75)+(_xlfn.XLOOKUP(B50,'Base stats'!B:B,'Base stats'!AT:AT)/1000)^(2/3)+_xlfn.XLOOKUP(B50,'Base stats'!B:B,'Base stats'!AX:AX)+_xlfn.XLOOKUP(B50,'Base stats'!B:B,'Base stats'!BA:BA))+0.5,0.5))</f>
        <v>No</v>
      </c>
      <c r="AE50" s="7" t="str">
        <f>IF(AD50="No","No",MAX(_xlfn.XLOOKUP(_xlfn.XLOOKUP(B50,'Base stats'!B:B,'Base stats'!E:E),Groups!A:A,Groups!Z:Z),MROUND(_xlfn.XLOOKUP(_xlfn.XLOOKUP(B50,'Base stats'!B:B,'Base stats'!E:E),Groups!A:A,Groups!Z:Z)*_xlfn.XLOOKUP(B50,'Base stats'!B:B,'Base stats'!C:C)^0.165,0.05)))</f>
        <v>No</v>
      </c>
      <c r="AF50" s="7" t="str">
        <f>IF(AD50="No","No",_xlfn.XLOOKUP(_xlfn.XLOOKUP(B50,'Base stats'!B:B,'Base stats'!E:E),Groups!A:A,Groups!AA:AA))</f>
        <v>No</v>
      </c>
      <c r="AG50" s="7" t="str">
        <f>IF(AD50="No","No",_xlfn.XLOOKUP(_xlfn.XLOOKUP(B50,'Base stats'!B:B,'Base stats'!E:E),Groups!A:A,Groups!AB:AB))</f>
        <v>No</v>
      </c>
      <c r="AH50" s="7" t="str">
        <f>IF(AD50="No","No",_xlfn.XLOOKUP(_xlfn.XLOOKUP(B50,'Base stats'!B:B,'Base stats'!E:E),Groups!A:A,Groups!AC:AC))</f>
        <v>No</v>
      </c>
      <c r="AI50" s="13" t="str">
        <f>IF(_xlfn.XLOOKUP(_xlfn.XLOOKUP(B50,'Base stats'!B:B,'Base stats'!E:E),Groups!A:A,Groups!AD:AD)=0,"No",MROUND((LOG10(_xlfn.XLOOKUP(B50,'Base stats'!B:B,'Base stats'!AS:AS))*(AO50^0.75)+(_xlfn.XLOOKUP(B50,'Base stats'!B:B,'Base stats'!AS:AS)/1000)^(2/3)+_xlfn.XLOOKUP(B50,'Base stats'!B:B,'Base stats'!AY:AY)+_xlfn.XLOOKUP(B50,'Base stats'!B:B,'Base stats'!BA:BA))+0.5,0.5))</f>
        <v>No</v>
      </c>
      <c r="AJ50" s="7" t="str">
        <f>IF(AI50="No","No",MAX(_xlfn.XLOOKUP(_xlfn.XLOOKUP(B50,'Base stats'!B:B,'Base stats'!E:E),Groups!A:A,Groups!AE:AE),MROUND(_xlfn.XLOOKUP(_xlfn.XLOOKUP(B50,'Base stats'!B:B,'Base stats'!E:E),Groups!A:A,Groups!AE:AE)*IF(_xlfn.XLOOKUP(_xlfn.XLOOKUP(B50,'Base stats'!B:B,'Base stats'!E:E),Groups!A:A,Groups!AJ:AJ)="Photonozoa",0.6,1)*_xlfn.XLOOKUP(B50,'Base stats'!B:B,'Base stats'!C:C)^0.165,0.05)))</f>
        <v>No</v>
      </c>
      <c r="AK50" s="7" t="str">
        <f>IF(AI50="No","No",_xlfn.XLOOKUP(_xlfn.XLOOKUP(B50,'Base stats'!B:B,'Base stats'!E:E),Groups!A:A,Groups!AF:AF))</f>
        <v>No</v>
      </c>
      <c r="AL50" s="7" t="str">
        <f>IF(AI50="No","No",_xlfn.XLOOKUP(_xlfn.XLOOKUP(B50,'Base stats'!B:B,'Base stats'!E:E),Groups!A:A,Groups!AG:AG))</f>
        <v>No</v>
      </c>
      <c r="AM50" s="7" t="str">
        <f>IF(AI50="No","No",_xlfn.XLOOKUP(_xlfn.XLOOKUP(B50,'Base stats'!B:B,'Base stats'!E:E),Groups!A:A,Groups!AH:AH))</f>
        <v>No</v>
      </c>
      <c r="AN50" s="2" t="str">
        <f t="shared" si="0"/>
        <v>No</v>
      </c>
      <c r="AO50" s="2">
        <f>MROUND(IF(AND(_xlfn.XLOOKUP(B50,'Base stats'!B:B,'Base stats'!C:C)&gt;=0.5,_xlfn.XLOOKUP(B50,'Base stats'!B:B,'Base stats'!C:C)&lt;=0.8),
IF(_xlfn.XLOOKUP(B50,'Base stats'!B:B,'Base stats'!C:C)&lt;0.1,0.05,IF(_xlfn.XLOOKUP(B50,'Base stats'!B:B,'Base stats'!C:C)&lt;=70,(_xlfn.XLOOKUP(B50,'Base stats'!B:B,'Base stats'!C:C)/70)^0.426489913056526,IF(_xlfn.XLOOKUP(B50,'Base stats'!B:B,'Base stats'!C:C)&lt;=400,(_xlfn.XLOOKUP(B50,'Base stats'!B:B,'Base stats'!C:C)/70)^0.572811455315093,IF(_xlfn.XLOOKUP(B50,'Base stats'!B:B,'Base stats'!C:C)&lt;=2000,2.71391647193063*(_xlfn.XLOOKUP(B50,'Base stats'!B:B,'Base stats'!C:C)/400)^0.252459582904293,3.74314280240376*(_xlfn.XLOOKUP(B50,'Base stats'!B:B,'Base stats'!C:C)/2000)^0.357012633876913)))),
IF(_xlfn.XLOOKUP(B50,'Base stats'!B:B,'Base stats'!C:C)&lt;0.1,0.05,IF(_xlfn.XLOOKUP(B50,'Base stats'!B:B,'Base stats'!C:C)&lt;0.4,0.1,IF(_xlfn.XLOOKUP(B50,'Base stats'!B:B,'Base stats'!C:C)&lt;=70,(_xlfn.XLOOKUP(B50,'Base stats'!B:B,'Base stats'!C:C)/70)^0.445823913056526,IF(_xlfn.XLOOKUP(B50,'Base stats'!B:B,'Base stats'!C:C)&lt;=400,(_xlfn.XLOOKUP(B50,'Base stats'!B:B,'Base stats'!C:C)/70)^0.572811455315093,IF(_xlfn.XLOOKUP(B50,'Base stats'!B:B,'Base stats'!C:C)&lt;=2000,2.71391647193063*(_xlfn.XLOOKUP(B50,'Base stats'!B:B,'Base stats'!C:C)/400)^0.252459582904293,3.74314280240376*(_xlfn.XLOOKUP(B50,'Base stats'!B:B,'Base stats'!C:C)/2000)^0.357012633876913)))))),
IF(_xlfn.XLOOKUP(B50,'Base stats'!B:B,'Base stats'!C:C)&lt;0.1,0.05,IF(_xlfn.XLOOKUP(B50,'Base stats'!B:B,'Base stats'!C:C)&lt;=100,0.05,IF(_xlfn.XLOOKUP(B50,'Base stats'!B:B,'Base stats'!C:C)&lt;=250,0.1,IF(_xlfn.XLOOKUP(B50,'Base stats'!B:B,'Base stats'!C:C)&lt;=4000,0.25,0.5)))))</f>
        <v>1.1000000000000001</v>
      </c>
      <c r="AP50" s="8">
        <f>MROUND(AO50*_xlfn.XLOOKUP(_xlfn.XLOOKUP(B50,'Base stats'!B:B,'Base stats'!E:E),Groups!A:A,Groups!AI:AI)*_xlfn.XLOOKUP(B50,'Base stats'!B:B,'Base stats'!Z:Z),0.05)</f>
        <v>1.1000000000000001</v>
      </c>
      <c r="AQ50" s="8">
        <f>MAX(0.01,MROUND(IF(CC50="True",0.196*(AO50*100*1000)^0.889,IF(_xlfn.XLOOKUP(_xlfn.XLOOKUP(B50,'Base stats'!B:B,'Base stats'!E:E),Groups!A:A,Groups!AJ:AJ)="Bird",10.5*(AO50*100*1000)^0.681,4.82*(AO50*100*1000)^0.734))/(4.82*(1*100*1000)^0.734)/IF(AO50&lt;3.5,2,IF(AO50=3.5,1.5,1.25))*(1+0.132282374779864/(AO50^0.994035016789033+0.00905238001496948)),0.05))</f>
        <v>0.60000000000000009</v>
      </c>
      <c r="AR50" s="9">
        <f>IFERROR(MROUND(_xlfn.XLOOKUP(B50,'Base stats'!B:B,'Base stats'!H:H)/IF(_xlfn.XLOOKUP(B50,'Base stats'!B:B,'Base stats'!I:I)&lt;&gt;1,(122.5/70),1.2),IF(_xlfn.XLOOKUP(B50,'Base stats'!B:B,'Base stats'!H:H)&gt;=30,5,IF(_xlfn.XLOOKUP(B50,'Base stats'!B:B,'Base stats'!H:H)&gt;=15,3,IF(_xlfn.XLOOKUP(B50,'Base stats'!B:B,'Base stats'!H:H)&gt;=10,2,1)))),"Immortal")</f>
        <v>12</v>
      </c>
      <c r="AS50" s="35">
        <f>IFERROR(IF(OR(_xlfn.XLOOKUP(B50,'Base stats'!B:B,'Base stats'!F:F)="Atypical reproduction",_xlfn.XLOOKUP(B50,'Base stats'!B:B,'Base stats'!F:F)="Lay eggs"),"Lay eggs",MIN(20,MAX(5.5,ROUND(((_xlfn.XLOOKUP(B50,'Base stats'!B:B,'Base stats'!F:F)-25)*(14.5/615) + 5.5)*2,0)/2))),"Unknown")</f>
        <v>9</v>
      </c>
      <c r="AT50" s="8">
        <f>IF(_xlfn.XLOOKUP(B50,'Base stats'!B:B,'Base stats'!G:G)="Atypical reproduction","No",IFERROR(MAX(IF(_xlfn.XLOOKUP(B50,'Base stats'!B:B,'Base stats'!G:G)&lt;0.5,0.2,0.3),MROUND(_xlfn.XLOOKUP(B50,'Base stats'!B:B,'Base stats'!G:G)/(365/60),0.2)),"Unknown"))</f>
        <v>0.4</v>
      </c>
      <c r="AU50" s="8">
        <f t="shared" si="1"/>
        <v>0.2</v>
      </c>
      <c r="AV50" s="8">
        <f>IFERROR(IFERROR(MROUND(_xlfn.XLOOKUP(B50,'Base stats'!B:B,'Base stats'!J:J),0.1),"Lay eggs"),"Cannot breed")</f>
        <v>1.1000000000000001</v>
      </c>
      <c r="AW50" s="2" t="str">
        <f t="shared" si="2"/>
        <v>true</v>
      </c>
      <c r="AX50" s="2" t="str">
        <f>IF(_xlfn.XLOOKUP(_xlfn.XLOOKUP(Animals!B50,'Base stats'!B:B,'Base stats'!E:E),Groups!A:A,Groups!AK:AK)=1,"true","false")</f>
        <v>true</v>
      </c>
      <c r="AY50" s="25" t="str">
        <f>IF(_xlfn.XLOOKUP(B50,'Base stats'!B:B,'Base stats'!Y:Y)="Liquor","Liquor, CarnivoreAnimalStrict",IF(AND(_xlfn.XLOOKUP(B50,'Base stats'!B:B,'Base stats'!Y:Y)="Carnivore",_xlfn.XLOOKUP(_xlfn.XLOOKUP(B50,'Base stats'!B:B,'Base stats'!E:E),Groups!A:A,Groups!AJ:AJ)="Photonozoa"),"CarnivoreAnimalStrict, OvivoreAnimal",IF(_xlfn.XLOOKUP(B50,'Base stats'!B:B,'Base stats'!Y:Y)="Carnivore","CarnivoreAnimal, OvivoreAnimal",IF(_xlfn.XLOOKUP(B50,'Base stats'!B:B,'Base stats'!Y:Y)="Dendrovore","VegetarianRoughAnimal, DendrovoreAnimal",IF(_xlfn.XLOOKUP(B50,'Base stats'!B:B,'Base stats'!Y:Y)="Herbivore","VegetarianRoughAnimal",IF(_xlfn.XLOOKUP(B50,'Base stats'!B:B,'Base stats'!Y:Y)="OmnivoreRough","OmnivoreRoughAnimal, OvivoreAnimal","OmnivoreAnimal, OvivoreAnimal"))))))</f>
        <v>VegetarianRoughAnimal</v>
      </c>
      <c r="AZ50" s="2">
        <f>IF(_xlfn.XLOOKUP(_xlfn.XLOOKUP(B50,'Base stats'!B:B,'Base stats'!E:E),Groups!A:A,Groups!D:D)=1,MROUND((1-J50)*5+1,2)*IF(J50&lt;=0.4,2,1),"No")</f>
        <v>4</v>
      </c>
      <c r="BA50" s="2" t="str">
        <f>IF(AND(_xlfn.XLOOKUP(B50,'Base stats'!B:B,'Base stats'!AH:AH)="&lt;li&gt;Seal&lt;/li&gt;",G50="Odyssey"),"&lt;li&gt;AEXP_Seal&lt;/li&gt;",_xlfn.XLOOKUP(B50,'Base stats'!B:B,'Base stats'!AH:AH))</f>
        <v>&lt;li&gt;Goat&lt;/li&gt;</v>
      </c>
      <c r="BB50" s="2" t="str">
        <f>_xlfn.XLOOKUP(B50,'Base stats'!B:B,'Base stats'!AG:AG)</f>
        <v>Leather_Plain</v>
      </c>
      <c r="BC50" s="23" t="str">
        <f>_xlfn.XLOOKUP(_xlfn.XLOOKUP(B50,'Base stats'!B:B,'Base stats'!E:E),Groups!A:A,Groups!AL:AL)</f>
        <v>QuadrupedAnimalWithHooves</v>
      </c>
      <c r="BD50" s="23">
        <f>MIN(1,MROUND(IF(AND(AO50&lt;0.5,_xlfn.XLOOKUP(B50,'Base stats'!B:B,'Base stats'!AA:AA)=0),0,IF(OR(_xlfn.XLOOKUP(Animals!B50,'Base stats'!B:B,'Base stats'!O:O)=2,_xlfn.XLOOKUP(_xlfn.XLOOKUP(B50,'Base stats'!B:B,'Base stats'!E:E),Groups!A:A,Groups!AN:AN)=0),0,_xlfn.XLOOKUP(_xlfn.XLOOKUP(B50,'Base stats'!B:B,'Base stats'!E:E),Groups!A:A,Groups!AN:AN)/IF(_xlfn.XLOOKUP(Animals!B50,'Base stats'!B:B,'Base stats'!O:O)=1,2,1)))+_xlfn.XLOOKUP(B50,'Base stats'!B:B,'Base stats'!AC:AC),0.005))</f>
        <v>0</v>
      </c>
      <c r="BE50" s="23">
        <f>MIN(1,MROUND(IF(AND(AO50&lt;0.5,_xlfn.XLOOKUP(B50,'Base stats'!B:B,'Base stats'!AA:AA)=0),0,IF(_xlfn.XLOOKUP(_xlfn.XLOOKUP(B50,'Base stats'!B:B,'Base stats'!E:E),Groups!A:A,Groups!AO:AO)=0,0,_xlfn.XLOOKUP(_xlfn.XLOOKUP(B50,'Base stats'!B:B,'Base stats'!E:E),Groups!A:A,Groups!AO:AO)/IF(_xlfn.XLOOKUP(Animals!B50,'Base stats'!B:B,'Base stats'!O:O)=2,3,1)))+_xlfn.XLOOKUP(B50,'Base stats'!B:B,'Base stats'!AD:AD),0.005))</f>
        <v>0</v>
      </c>
      <c r="BF50" s="2" t="str">
        <f>IF(J50&gt;0.3,"No",_xlfn.XLOOKUP(_xlfn.XLOOKUP(Animals!B50,'Base stats'!B:B,'Base stats'!E:E),Groups!A:A,Groups!AP:AP))</f>
        <v>No</v>
      </c>
      <c r="BG50" s="2" t="str">
        <f>IF(AND(J50&lt;=0.65,_xlfn.XLOOKUP(_xlfn.XLOOKUP(Animals!B50,'Base stats'!B:B,'Base stats'!E:E),Groups!A:A,Groups!AP:AP)&lt;&gt;"No",_xlfn.XLOOKUP(_xlfn.XLOOKUP(B50,'Base stats'!B:B,'Base stats'!E:E),Groups!A:A,Groups!D:D)=0),MROUND((80/3)*IF(_xlfn.XLOOKUP(B50,'Base stats'!B:B,'Base stats'!O:O)=2,0.2,AO50) + 24*(1-IF(BF50="No",0,BF50)) + 16/3, 12),"No")</f>
        <v>No</v>
      </c>
      <c r="BH50" s="2">
        <f>IF(AND(_xlfn.XLOOKUP(_xlfn.XLOOKUP(B50,'Base stats'!B:B,'Base stats'!E:E),Groups!A:A,Groups!AQ:AQ)=1,AO50&lt;=0.35),8,12)</f>
        <v>12</v>
      </c>
      <c r="BI50" s="2" t="str">
        <f>IF(_xlfn.XLOOKUP(_xlfn.XLOOKUP(B50,'Base stats'!B:B,'Base stats'!E:E),Groups!A:A,Groups!D:D)=0,_xlfn.XLOOKUP(_xlfn.XLOOKUP(B50,'Base stats'!B:B,'Base stats'!E:E),Groups!A:A,Groups!AR:AR),"None")</f>
        <v>None</v>
      </c>
      <c r="BJ50" s="2" t="str">
        <f>IF(AND(_xlfn.XLOOKUP(_xlfn.XLOOKUP(B50,'Base stats'!B:B,'Base stats'!E:E),Groups!A:A,Groups!AS:AS)=1,OR(_xlfn.XLOOKUP(B50,'Base stats'!B:B,'Base stats'!Y:Y)="Carnivore",_xlfn.XLOOKUP(B50,'Base stats'!B:B,'Base stats'!Y:Y)="Omnivore")),"true","false")</f>
        <v>false</v>
      </c>
      <c r="BK50" s="2" t="str">
        <f>IF(BJ50="true",MROUND(IF(AND(AO50&gt;0.5,OR(_xlfn.XLOOKUP(_xlfn.XLOOKUP(B50,'Base stats'!B:B,'Base stats'!E:E),Groups!A:A,Groups!AJ:AJ)="Photonozoa",_xlfn.XLOOKUP(_xlfn.XLOOKUP(B50,'Base stats'!B:B,'Base stats'!E:E),Groups!A:A,Groups!AJ:AJ)="Mammal")),Animals!AO50*1.75*IF(AW50="true",1.5,1),IF(AO50&lt;0.5,Animals!AO50*0.5,Animals!AO50)),IF(AO50&gt;2,0.5,IF(AO50&gt;0.5,0.25,0.1))),"No")</f>
        <v>No</v>
      </c>
      <c r="BL50" s="2">
        <f t="shared" si="3"/>
        <v>0</v>
      </c>
      <c r="BM50" s="25" t="str">
        <f>IF(_xlfn.XLOOKUP(B50,'Base stats'!B:B,'Base stats'!AN:AN)="Standard","No",MROUND((_xlfn.XLOOKUP(B50,'Base stats'!B:B,'Base stats'!AN:AN)/3.6)/I50,0.1))</f>
        <v>No</v>
      </c>
      <c r="BN50" s="25" t="str">
        <f t="shared" si="4"/>
        <v>false</v>
      </c>
      <c r="BO50" s="25" t="str">
        <f>IF(AND(OR(_xlfn.XLOOKUP(B50,'Base stats'!B:B,'Base stats'!Y:Y)="Carnivore",_xlfn.XLOOKUP(B50,'Base stats'!B:B,'Base stats'!Y:Y)="Omnivore",_xlfn.XLOOKUP(B50,'Base stats'!B:B,'Base stats'!Y:Y)="OmnivoreRough"),_xlfn.XLOOKUP(_xlfn.XLOOKUP(B50,'Base stats'!B:B,'Base stats'!E:E),Groups!A:A,Groups!AT:AT)=1),"true","false")</f>
        <v>false</v>
      </c>
      <c r="BP50" s="25" t="str" cm="1">
        <f t="array" ref="BP50">IF(
  _xlfn.TEXTJOIN(", ",TRUE,
    IF(AND(BJ50="true",AO50&gt;0.5,BI50&lt;&gt;"None"),"AttackTarget",""),
    IF(AND(_xlfn.XLOOKUP(_xlfn.XLOOKUP(B50,'Base stats'!B:B,'Base stats'!E:E),Groups!A:A,Groups!AJ:AJ="Mammal"),OR(_xlfn.XLOOKUP(B50,'Base stats'!B:B,'Base stats'!Y:Y)="Omnivore",_xlfn.XLOOKUP(B50,'Base stats'!B:B,'Base stats'!Y:Y)="OmnivoreRough")),"Forage",""),
    IF(BG50&lt;=36,"Comfort",""),
    IF(_xlfn.XLOOKUP(B50,'Base stats'!B:B,'Base stats'!AE:AE)&lt;&gt;"No",_xlfn.XLOOKUP(B50,'Base stats'!B:B,'Base stats'!AE:AE),"")
  ) = "",
  "No",
  _xlfn.TEXTJOIN(", ",TRUE,
    IF(AND(BJ50="true",AO50&gt;0.5,BI50&lt;&gt;"None"),"AttackTarget",""),
    IF(AND(_xlfn.XLOOKUP(_xlfn.XLOOKUP(B50,'Base stats'!B:B,'Base stats'!E:E),Groups!A:A,Groups!AJ:AJ="Mammal"),OR(_xlfn.XLOOKUP(B50,'Base stats'!B:B,'Base stats'!Y:Y)="Omnivore",_xlfn.XLOOKUP(B50,'Base stats'!B:B,'Base stats'!Y:Y)="OmnivoreRough")),"Forage",""),
    IF(BG50&lt;=36,"Comfort",""),
    IF(_xlfn.XLOOKUP(B50,'Base stats'!B:B,'Base stats'!AE:AE)&lt;&gt;"No",_xlfn.XLOOKUP(B50,'Base stats'!B:B,'Base stats'!AE:AE),"")
  )
)</f>
        <v>No</v>
      </c>
      <c r="BQ50" s="25" t="str">
        <f>IF(
   AND(
      'Base stats'!AN50="Standard",_xlfn.XLOOKUP(_xlfn.XLOOKUP(B50,'Base stats'!B:B,'Base stats'!E:E),Groups!A:A,Groups!AU:AU)=0,
      OR(
      BO50="True"
      )
   ),
   10,
   IF(
       OR(BM50&lt;&gt;"No",_xlfn.XLOOKUP(_xlfn.XLOOKUP(B50,'Base stats'!B:B,'Base stats'!E:E),Groups!A:A,Groups!AU:AU)=1),
      1,
      "No"
   )
)</f>
        <v>No</v>
      </c>
      <c r="BR50" s="9">
        <f>MROUND((1 + ((0.2*IF(OR(Q50="No",R50="No",R50=0),0,Q50/R50)
+IF(OR(V50="No",S50="No",T50="No"),0,S50/T50*(LEN(V50)-LEN(SUBSTITUTE(V50,",",""))+1))
+IF(OR(X50="No",Y50="No"),0,X50/Y50)
+IF(OR(AD50="No",AE50="No"),0,AD50/AE50)
+IF(OR(AL50="No",AI50="No",AJ50="No"),0,AI50/AJ50*(LEN(AL50)-LEN(SUBSTITUTE(AL50,",",""))+1))
)/(0.2*IF(OR(Q50="No",R50="No",R50=0),0,1)
+IF(OR(V50="No",S50="No",T50="No"),0,LEN(V50)-LEN(SUBSTITUTE(V50,",",""))+1)
+IF(OR(X50="No",Y50="No"),0,1)
+IF(OR(AD50="No",AE50="No"),0,1)
+IF(OR(AL50="No",AI50="No",AJ50="No"),0,LEN(AL50)-LEN(SUBSTITUTE(AL50,",",""))+1))*62%)* 2)*(1 + (AP50 / (IF(_xlfn.XLOOKUP(_xlfn.XLOOKUP(B50,'Base stats'!B:B,'Base stats'!E:E),Groups!A:A,Groups!AJ:AJ)="Photonozoa",0.3,1)) + _xlfn.XLOOKUP(B50,'Base stats'!B:B,'Base stats'!AV:AV) * 1.8) * 2) * 2.5 + 10 + I50 * 2,5)+IF(_xlfn.XLOOKUP(B50,'Base stats'!B:B,'Base stats'!AK:AK)=1,50,0)</f>
        <v>85</v>
      </c>
      <c r="BS50" s="8">
        <f t="shared" si="5"/>
        <v>0.70000000000000007</v>
      </c>
      <c r="BT50" s="8" t="str">
        <f>_xlfn.XLOOKUP(B50,'Base stats'!B:B,'Base stats'!AF:AF)</f>
        <v>3~10</v>
      </c>
      <c r="BU50" s="2" t="str">
        <f>IF(AND(J50&lt;=0.95,OR(_xlfn.XLOOKUP(B50,'Base stats'!B:B,'Base stats'!AK:AK)=1,_xlfn.XLOOKUP(B50,'Base stats'!B:B,'Base stats'!Y:Y)="Carnivore",_xlfn.XLOOKUP(B50,'Base stats'!B:B,'Base stats'!Y:Y)="Omnivore",BE50&gt;0.1)),"true","false")</f>
        <v>false</v>
      </c>
      <c r="BV50" s="2" t="str">
        <f>IF(_xlfn.XLOOKUP(B50,'Base stats'!B:B,'Base stats'!AI:AI)=1,"true","false")</f>
        <v>false</v>
      </c>
      <c r="BW50" s="25" t="str">
        <f>IF(E50="BaseInsect","AnimalInsect",
IF(J50&gt;0.95,"AnimalExotic",
_xlfn.TEXTJOIN(", ",TRUE,
IF(OR(_xlfn.XLOOKUP(B50,'Base stats'!B:B,'Base stats'!AM:AM)=1,AND(_xlfn.XLOOKUP(B50,'Base stats'!B:B,'Base stats'!O:O)=0,_xlfn.XLOOKUP(_xlfn.XLOOKUP(B50,'Base stats'!B:B,'Base stats'!E:E),Groups!A:A,Groups!B:B)&gt;0)),"AnimalUncommon","AnimalCommon"),
IF(AND(_xlfn.XLOOKUP(B50,'Base stats'!B:B,'Base stats'!O:O)=2,_xlfn.XLOOKUP(_xlfn.XLOOKUP(B50,'Base stats'!B:B,'Base stats'!E:E),Groups!A:A,Groups!D:D)=0),"AnimalPet",IF(AND(_xlfn.XLOOKUP(B50,'Base stats'!B:B,'Base stats'!O:O)&lt;&gt;0,_xlfn.XLOOKUP(_xlfn.XLOOKUP(B50,'Base stats'!B:B,'Base stats'!E:E),Groups!A:A,Groups!D:D)&lt;&gt;0),"AnimalFarm","")),
IF(OR(_xlfn.XLOOKUP(B50,'Base stats'!B:B,'Base stats'!AK:AK)=1,AND(BI50&lt;&gt;"None",BR50&gt;=60),ISNUMBER(SEARCH("Attack target",BP50))),"AnimalFighter","")
)))</f>
        <v>AnimalCommon</v>
      </c>
      <c r="BX50" s="25" t="str">
        <f>IF(G50="None",TRIM(
SUBSTITUTE(
IF(COUNTIF(Biomes!B$2:B$259,"="&amp;$C50)&gt;0,Biomes!B$1&amp;", ","")&amp;
IF(COUNTIF(Biomes!C$2:C$259,"="&amp;$C50)&gt;0,Biomes!C$1&amp;", ","")&amp;
IF(COUNTIF(Biomes!D$2:D$259,"="&amp;$C50)&gt;0,Biomes!D$1&amp;", ","")&amp;
IF(COUNTIF(Biomes!F$2:F$259,"="&amp;$C50)&gt;0,Biomes!F$1&amp;", ","")&amp;
IF(COUNTIF(Biomes!G$2:G$259,"="&amp;$C50)&gt;0,Biomes!G$1&amp;", ","")&amp;
IF(COUNTIF(Biomes!H$2:H$259,"="&amp;$C50)&gt;0,Biomes!H$1&amp;", ","")&amp;
IF(COUNTIF(Biomes!I$2:I$259,"="&amp;$C50)&gt;0,Biomes!I$1&amp;", ","")&amp;
IF(COUNTIF(Biomes!J$2:J$259,"="&amp;$C50)&gt;0,Biomes!J$1&amp;", ","")&amp;
IF(COUNTIF(Biomes!M$2:M$259,"="&amp;$C50)&gt;0,Biomes!M$1&amp;", ","")&amp;
IF(COUNTIF(Biomes!N$2:N$259,"="&amp;$C50)&gt;0,Biomes!N$1&amp;", ","")&amp;
IF(COUNTIF(Biomes!O$2:O$259,"="&amp;$C50)&gt;0,Biomes!O$1&amp;", ","")&amp;
IF(COUNTIF(Biomes!P$2:P$259,"="&amp;$C50)&gt;0,Biomes!P$1&amp;", ","")&amp;
IF(COUNTIF(Biomes!K$2:K$259,"="&amp;$C50)&gt;0,Biomes!K$1&amp;", ","")&amp;
IF(COUNTIF(Biomes!Q$3:Q$259,"="&amp;$C50)&gt;0,Biomes!Q$1&amp;", ","")&amp;
IF(COUNTIF(Biomes!L$2:L$259,"="&amp;$C50)&gt;0,Biomes!L$1&amp;", ","")&amp;
IF(COUNTIF(Biomes!E$2:E$259,"="&amp;$C50)&gt;0,Biomes!E$1&amp;", ","")&amp;IF(COUNTIF(Biomes!S$2:S$259,"="&amp;$C50)&gt;0,Biomes!S$1&amp;", ","")&amp;
IF(COUNTIF(Biomes!R$2:R$259,"="&amp;$C50)&gt;0,Biomes!R$1&amp;", ",""),", ","")
),_xlfn.XLOOKUP(B50,B:B,BX:BX))</f>
        <v>Alpine</v>
      </c>
      <c r="BY50" s="25" t="str">
        <f>IF(_xlfn.XLOOKUP(B50,'Base stats'!B:B,'Base stats'!AJ:AJ)=1,"true","false")</f>
        <v>false</v>
      </c>
      <c r="BZ50" s="25">
        <f>IF(_xlfn.XLOOKUP(B50,'Base stats'!B:B,'Base stats'!N:N)=1,"No",MAX(0.001,MIN(MROUND(IF(AND(BJ50="True",CC50="False"),POWER(10,3.47*LOG10(_xlfn.XLOOKUP(B50,'Base stats'!B:B,'Base stats'!C:C)*1000)^-0.96),POWER(10,4.15*LOG10(_xlfn.XLOOKUP(B50,'Base stats'!B:B,'Base stats'!C:C)*1000)^-0.73))*IF(_xlfn.XLOOKUP(B50,'Base stats'!B:B,'Base stats'!AK:AK)=1,0.5,1)*IF(_xlfn.XLOOKUP(B50,'Base stats'!B:B,'Base stats'!AM:AM)=1,0.1,1)/100,IF(_xlfn.XLOOKUP(B50,'Base stats'!B:B,'Base stats'!AM:AM)=1,0.001,0.025)),0.5)))</f>
        <v>0.2</v>
      </c>
      <c r="CA50" s="25" t="str">
        <f>IF(P50="Standard","No",MAX(0.001,MIN(MROUND(IF(AND(BJ50="True",CC50="False"),POWER(10,3.47*LOG10(_xlfn.XLOOKUP(B50,'Base stats'!B:B,'Base stats'!C:C)*1000)^-0.96),POWER(10,4.15*LOG10(_xlfn.XLOOKUP(B50,'Base stats'!B:B,'Base stats'!C:C)*1000)^-0.73))*IF(_xlfn.XLOOKUP(B50,'Base stats'!B:B,'Base stats'!AM:AM)=1,0.1,1)*_xlfn.XLOOKUP(B50,'Base stats'!B:B,'Base stats'!R:R)/100,IF(_xlfn.XLOOKUP(B50,'Base stats'!B:B,'Base stats'!AM:AM)=1,0.001,0.025)),0.5)))</f>
        <v>No</v>
      </c>
      <c r="CB50" s="25" t="str">
        <f>IF(_xlfn.XLOOKUP(_xlfn.XLOOKUP(B50,'Base stats'!B:B,'Base stats'!E:E),Groups!A:A,Groups!AJ:AJ)="Mammal","True","False")</f>
        <v>True</v>
      </c>
      <c r="CC50" s="25" t="str">
        <f>IF(OR(_xlfn.XLOOKUP(_xlfn.XLOOKUP(B50,'Base stats'!B:B,'Base stats'!E:E),Groups!A:A,Groups!AJ:AJ)="Reptile",_xlfn.XLOOKUP(_xlfn.XLOOKUP(B50,'Base stats'!B:B,'Base stats'!E:E),Groups!A:A,Groups!AJ:AJ)="Amphibian",_xlfn.XLOOKUP(_xlfn.XLOOKUP(B50,'Base stats'!B:B,'Base stats'!E:E),Groups!A:A,Groups!AJ:AJ)="Invertebrate"),"True","False")</f>
        <v>False</v>
      </c>
      <c r="CD50" s="25" t="str">
        <f t="shared" si="6"/>
        <v>False</v>
      </c>
      <c r="CE50" s="25" t="str">
        <f>IF(_xlfn.XLOOKUP(_xlfn.XLOOKUP(B50,'Base stats'!B:B,'Base stats'!E:E),Groups!A:A,Groups!AX:AX),"True","False")</f>
        <v>False</v>
      </c>
      <c r="CF50" s="25" t="str">
        <f>IF(_xlfn.XLOOKUP(_xlfn.XLOOKUP(B50,'Base stats'!B:B,'Base stats'!E:E),Groups!A:A,Groups!AY:AY),"True","False")</f>
        <v>False</v>
      </c>
      <c r="CG50" s="25" t="str">
        <f>IF(_xlfn.XLOOKUP(_xlfn.XLOOKUP(B50,'Base stats'!B:B,'Base stats'!E:E),Groups!A:A,Groups!AW:AW),"True","False")</f>
        <v>False</v>
      </c>
      <c r="CH50" s="25" t="str">
        <f>IF(
OR(
_xlfn.XLOOKUP(_xlfn.XLOOKUP(B50,'Base stats'!B:B,'Base stats'!E:E),Groups!A:A,Groups!AZ:AZ)=0,
AND(
_xlfn.XLOOKUP(B50,'Base stats'!B:B,'Base stats'!Y:Y)&lt;&gt;"Carnivore",
_xlfn.XLOOKUP(B50,'Base stats'!B:B,'Base stats'!Y:Y)&lt;&gt;"Omnivore",
_xlfn.XLOOKUP(B50,'Base stats'!B:B,'Base stats'!Y:Y)&lt;&gt;"OmnivoreRough"
)
),
"No",
IF(
_xlfn.XLOOKUP(_xlfn.XLOOKUP(B50,'Base stats'!B:B,'Base stats'!E:E),Groups!A:A,Groups!AZ:AZ)=1,
"Flesh",
IF(
_xlfn.XLOOKUP(_xlfn.XLOOKUP(B50,'Base stats'!B:B,'Base stats'!E:E),Groups!A:A,Groups!AZ:AZ)=2,
"Bone",
""
)
)
)</f>
        <v>No</v>
      </c>
      <c r="CI50" s="25" t="str">
        <f>IF(_xlfn.XLOOKUP(_xlfn.XLOOKUP(B50,'Base stats'!B:B,'Base stats'!E:E),Groups!A:A,Groups!BB:BB),"True","False")</f>
        <v>True</v>
      </c>
      <c r="CJ50" s="25" t="str">
        <f>IF(_xlfn.XLOOKUP(_xlfn.XLOOKUP(B50,'Base stats'!B:B,'Base stats'!E:E),Groups!A:A,Groups!BA:BA),"True","False")</f>
        <v>False</v>
      </c>
    </row>
    <row r="51" spans="1:88" ht="16.5" thickTop="1" thickBot="1" x14ac:dyDescent="0.3">
      <c r="A51" s="26" t="str">
        <f>_xlfn.XLOOKUP(B51,'Base stats'!B:B,'Base stats'!A:A)</f>
        <v>Goat</v>
      </c>
      <c r="B51" s="6" t="s">
        <v>158</v>
      </c>
      <c r="C51" s="28" t="s">
        <v>726</v>
      </c>
      <c r="D51" s="28" t="s">
        <v>45</v>
      </c>
      <c r="E51" s="28" t="s">
        <v>673</v>
      </c>
      <c r="F51" s="28" t="s">
        <v>673</v>
      </c>
      <c r="G51" s="28" t="s">
        <v>673</v>
      </c>
      <c r="H51" s="2">
        <f>MROUND((
  (IF(AND(_xlfn.XLOOKUP(B51,'Base stats'!B:B,'Base stats'!AL:AL)=0,BI51="None",_xlfn.XLOOKUP(_xlfn.XLOOKUP(B51,'Base stats'!B:B,'Base stats'!E:E),Groups!A:A,Groups!B:B)=0), (18 + BR51 * 2.7) * 0.5,
    IF(AND(_xlfn.XLOOKUP(B51,'Base stats'!B:B,'Base stats'!AL:AL)=0,OR(AO51&lt;0.55,AND(BI51="Intermediate",_xlfn.XLOOKUP(_xlfn.XLOOKUP(B51,'Base stats'!B:B,'Base stats'!E:E),Groups!A:A,Groups!B:B)&lt;2))), (18 + BR51 * 2.7),
      IF(OR(BI51="Advanced",_xlfn.XLOOKUP(B51,'Base stats'!B:B,'Base stats'!AL:AL)=1,_xlfn.XLOOKUP(_xlfn.XLOOKUP(B51,'Base stats'!B:B,'Base stats'!E:E),Groups!A:A,Groups!B:B)=2), (18 + BR51 * 2.7) + 250, (18 + BR51 * 2.7))
    )
  ))
  + AO51 * 80
  + IF(COUNTIF(EggMilk!K$2:K$998, A51) &gt; 0, 125, 0)
  + IF(COUNTIF(EggMilk!P$2:P$998, A51) &gt; 0, 90, 0)
  + IF(COUNTIF(EggMilk!A$2:A$998, A51) &gt; 0, 90, 0)
)
* (0.8 + 0.4 * J51)
* 0.75,25)</f>
        <v>175</v>
      </c>
      <c r="I51" s="2">
        <f>MROUND(ROUNDDOWN(_xlfn.XLOOKUP(B51,'Base stats'!B:B,'Base stats'!L:L)/3.6/(23.3/11),1),0.5)</f>
        <v>4</v>
      </c>
      <c r="J51" s="2">
        <f>IF(OR(_xlfn.XLOOKUP(B51,'Base stats'!B:B,'Base stats'!AB:AB)=1,_xlfn.XLOOKUP(_xlfn.XLOOKUP(B51,'Base stats'!B:B,'Base stats'!E:E),Groups!A:A,Groups!C:C)="Untamable"),1,IF(_xlfn.XLOOKUP(B51,'Base stats'!B:B,'Base stats'!AL:AL)=1,0.99,MIN(MROUND((1-0.6282*EXP(-0.459*AO51))*_xlfn.XLOOKUP(_xlfn.XLOOKUP(B51,'Base stats'!B:B,'Base stats'!E:E),Groups!A:A,Groups!C:C)*IF(_xlfn.XLOOKUP(B51,'Base stats'!B:B,'Base stats'!O:O)=1,0.5,IF(_xlfn.XLOOKUP(B51,'Base stats'!B:B,'Base stats'!O:O)=2,0,1)),0.05),IF(AO51&gt;3.5,0.985,0.95))))</f>
        <v>0</v>
      </c>
      <c r="K51" s="2">
        <f>ROUNDUP(AO51*_xlfn.XLOOKUP(_xlfn.XLOOKUP(B51,'Base stats'!B:B,'Base stats'!E:E),Groups!A:A,Groups!E:E),0)</f>
        <v>5</v>
      </c>
      <c r="L51" s="2">
        <f>IF(OR(_xlfn.XLOOKUP(_xlfn.XLOOKUP(B51,'Base stats'!B:B,'Base stats'!E:E),Groups!A:A,Groups!F:F)=2,ISNUMBER(SEARCH("SeaIce",BX51)),ISNUMBER(SEARCH("IceSheet",BX51))),-50,IF(OR(ISNUMBER(SEARCH("GlacialPlain",BX51)),ISNUMBER(SEARCH("Tundra",BX51))),-40,IF(OR(ISNUMBER(SEARCH("Alpine",BX51)),ISNUMBER(SEARCH("BorealForest",BX51)),ISNUMBER(SEARCH("ColdBog",BX51))),-30,IF(OR(ISNUMBER(SEARCH("TemperateForest",BX51)),ISNUMBER(SEARCH("TemperateSwamp",BX51))),-20,IF(_xlfn.XLOOKUP(_xlfn.XLOOKUP(B51,'Base stats'!B:B,'Base stats'!E:E),Groups!A:A,Groups!F:F)=1,-15,IF(OR(ISNUMBER(SEARCH("Desert",BX51)),ISNUMBER(SEARCH("ExtremeDesert",BX51))),-10,IF(OR(ISNUMBER(SEARCH("Grasslands",BX51)),ISNUMBER(SEARCH("TropicalRainforest",BX51)),ISNUMBER(SEARCH("TropicalSwamp",BX51))),10,0)))))))-IF(CC51="False",MIN(IFERROR(MAX(MROUND(LOG10(_xlfn.XLOOKUP(B51,'Base stats'!B:B,'Base stats'!C:C)^(2/3))*10,5),5),5),30))-_xlfn.XLOOKUP(B51,'Base stats'!B:B,'Base stats'!P:P)+IF(CC51="True",5,0)</f>
        <v>-30</v>
      </c>
      <c r="M51" s="2">
        <f>IF(OR(_xlfn.XLOOKUP(_xlfn.XLOOKUP(B51,'Base stats'!B:B,'Base stats'!E:E),Groups!A:A,Groups!G:G)=2,ISNUMBER(SEARCH("Desert",BX51)),ISNUMBER(SEARCH("ExtremeDesert",BX51)),ISNUMBER(SEARCH("LavaField",BX51))),50,IF(ISNUMBER(SEARCH("Grasslands",BX51)),45,IF(OR(_xlfn.XLOOKUP(_xlfn.XLOOKUP(B51,'Base stats'!B:B,'Base stats'!E:E),Groups!A:A,Groups!G:G)=1,ISNUMBER(SEARCH("TropicalRainforest",BX51)),ISNUMBER(SEARCH("TropicalSwamp",BX51))),40,IF(OR(ISNUMBER(SEARCH("TemperateForest",BX51)),ISNUMBER(SEARCH("TemperateSwamp",BX51))),35,IF(OR(ISNUMBER(SEARCH("Alpine",BX51)),ISNUMBER(SEARCH("BorealForest",BX51)),ISNUMBER(SEARCH("ColdBog",BX51))),30,IF(ISNUMBER(OR(ISNUMBER(SEARCH("GlacialPlain",BX51)),SEARCH("Tundra",BX51))),25,IF(OR(ISNUMBER(SEARCH("SeaIce",BX51)),ISNUMBER(SEARCH("IceSheet",BX51)),ISNUMBER(SEARCH("TropicalSwamp",BX51))),10,35)))))))+_xlfn.XLOOKUP(B51,'Base stats'!B:B,'Base stats'!Q:Q)</f>
        <v>45</v>
      </c>
      <c r="N51" s="8" t="str">
        <f>IF(
_xlfn.XLOOKUP(
_xlfn.XLOOKUP(B51,'Base stats'!B:B,'Base stats'!E:E),
Groups!A:A,
Groups!L:L
)=1,
MIN(
MROUND(
IF(
_xlfn.XLOOKUP(B51,'Animals CE'!B:B,'Animals CE'!Z:Z)&lt;=1.5,
_xlfn.XLOOKUP(B51,'Animals CE'!B:B,'Animals CE'!Z:Z)/2+0.05,
0.8+
(_xlfn.XLOOKUP(B51,'Animals CE'!B:B,'Animals CE'!Z:Z)-1.5)
*0.02
),
0.05
),
200%
),
"No"
)</f>
        <v>No</v>
      </c>
      <c r="O51" s="8" t="str">
        <f>IF(
_xlfn.XLOOKUP(
_xlfn.XLOOKUP(B51,'Base stats'!B:B,'Base stats'!E:E),
Groups!A:A,
Groups!L:L
)=1,
MIN(
MROUND(
IF(
_xlfn.XLOOKUP(B51,'Animals CE'!B:B,'Animals CE'!AA:AA)&lt;=1.5,
_xlfn.XLOOKUP(B51,'Animals CE'!B:B,'Animals CE'!AA:AA)/2+0.05,
0.8+
(_xlfn.XLOOKUP(B51,'Animals CE'!B:B,'Animals CE'!AA:AA)-1.5)
*0.02
),
0.05
),
200%
),
"No"
)</f>
        <v>No</v>
      </c>
      <c r="P51" s="2" t="str">
        <f>_xlfn.XLOOKUP(B51,'Base stats'!B:B,'Base stats'!R:R)</f>
        <v>Standard</v>
      </c>
      <c r="Q51" s="13">
        <f>MROUND((LOG10(_xlfn.XLOOKUP(B51,'Base stats'!B:B,'Base stats'!AR:AR))*(AO51^0.5)+(_xlfn.XLOOKUP(B51,'Base stats'!B:B,'Base stats'!AR:AR)/1000)^(2/3)+_xlfn.XLOOKUP(B51,'Base stats'!B:B,'Base stats'!BA:BA)/2)+0.5,0.5)</f>
        <v>7</v>
      </c>
      <c r="R51" s="7">
        <f>IF(Q51="No","No",MAX(1,MROUND(_xlfn.XLOOKUP(B51,'Base stats'!B:B,'Base stats'!C:C)^0.165,0.05)))</f>
        <v>2</v>
      </c>
      <c r="S51" s="13">
        <f>IF(_xlfn.XLOOKUP(_xlfn.XLOOKUP(B51,'Base stats'!B:B,'Base stats'!E:E),Groups!A:A,Groups!P:P)=0,"No",MROUND((LOG10(_xlfn.XLOOKUP(B51,'Base stats'!B:B,'Base stats'!AS:AS))*(AO51^0.5)+(_xlfn.XLOOKUP(B51,'Base stats'!B:B,'Base stats'!AS:AS)/1000)^(2/3)+_xlfn.XLOOKUP(B51,'Base stats'!B:B,'Base stats'!BA:BA))+_xlfn.XLOOKUP(B51,'Base stats'!B:B,'Base stats'!AY:AY)+0.5,0.5))</f>
        <v>9</v>
      </c>
      <c r="T51" s="7">
        <f>IF(S51="No","No",MAX(_xlfn.XLOOKUP(_xlfn.XLOOKUP(B51,'Base stats'!B:B,'Base stats'!E:E),Groups!A:A,Groups!Q:Q),MROUND(_xlfn.XLOOKUP(_xlfn.XLOOKUP(B51,'Base stats'!B:B,'Base stats'!E:E),Groups!A:A,Groups!Q:Q)*_xlfn.XLOOKUP(B51,'Base stats'!B:B,'Base stats'!C:C)^0.165,0.05)))</f>
        <v>2</v>
      </c>
      <c r="U51" s="7" t="str">
        <f>IF(S51="No","No",_xlfn.XLOOKUP(_xlfn.XLOOKUP(B51,'Base stats'!B:B,'Base stats'!E:E),Groups!A:A,Groups!R:R))</f>
        <v>FrontLeftLeg, FrontRightLeg</v>
      </c>
      <c r="V51" s="7" t="str">
        <f>IF(S51="No","No",_xlfn.XLOOKUP(_xlfn.XLOOKUP(B51,'Base stats'!B:B,'Base stats'!E:E),Groups!A:A,Groups!S:S))</f>
        <v>left hoof, right hoof</v>
      </c>
      <c r="W51" s="7" t="str">
        <f>IF(S51="No","No",_xlfn.XLOOKUP(_xlfn.XLOOKUP(B51,'Base stats'!B:B,'Base stats'!E:E),Groups!A:A,Groups!T:T))</f>
        <v>Blunt</v>
      </c>
      <c r="X51" s="13">
        <f>IF(_xlfn.XLOOKUP(B51,'Base stats'!B:B,'Base stats'!W:W)="No","No",MROUND((LOG10(_xlfn.XLOOKUP(B51,'Base stats'!B:B,'Base stats'!AU:AU))*(AO51^0.5)+(_xlfn.XLOOKUP(B51,'Base stats'!B:B,'Base stats'!AU:AU)/1000)^(2/3)+_xlfn.XLOOKUP(B51,'Base stats'!B:B,'Base stats'!AZ:AZ))+0.5+IF(_xlfn.XLOOKUP(_xlfn.XLOOKUP(B51,'Base stats'!B:B,'Base stats'!E:E),Groups!A:A,Groups!U:U)&lt;&gt;3,_xlfn.XLOOKUP(B51,'Base stats'!B:B,'Base stats'!BA:BA),0),0.5))</f>
        <v>10.5</v>
      </c>
      <c r="Y51" s="7">
        <f>IF(X51="No","No",MAX(_xlfn.XLOOKUP(_xlfn.XLOOKUP(B51,'Base stats'!B:B,'Base stats'!E:E),Groups!A:A,Groups!V:V),MROUND(_xlfn.XLOOKUP(_xlfn.XLOOKUP(B51,'Base stats'!B:B,'Base stats'!E:E),Groups!A:A,Groups!V:V)*_xlfn.XLOOKUP(B51,'Base stats'!B:B,'Base stats'!C:C)^0.165,0.05)))</f>
        <v>1.7000000000000002</v>
      </c>
      <c r="Z51" s="7" t="str">
        <f>IF(X51="No","No",_xlfn.XLOOKUP(_xlfn.XLOOKUP(B51,'Base stats'!B:B,'Base stats'!E:E),Groups!A:A,Groups!W:W))</f>
        <v>HeadAttackTool</v>
      </c>
      <c r="AA51" s="7" t="str">
        <f>IF(X51="No","No",_xlfn.XLOOKUP(_xlfn.XLOOKUP(B51,'Base stats'!B:B,'Base stats'!E:E),Groups!A:A,Groups!X:X))</f>
        <v>horn</v>
      </c>
      <c r="AB51" s="7" t="str">
        <f>IF(X51="No","No",_xlfn.XLOOKUP(_xlfn.XLOOKUP(B51,'Base stats'!B:B,'Base stats'!E:E),Groups!A:A,Groups!Y:Y))</f>
        <v>Scratch</v>
      </c>
      <c r="AC51" s="7" t="str">
        <f>_xlfn.XLOOKUP(Animals!B51,'Base stats'!B:B,'Base stats'!X:X)</f>
        <v>True</v>
      </c>
      <c r="AD51" s="13" t="str">
        <f>IF(_xlfn.XLOOKUP(B51,'Base stats'!B:B,'Base stats'!AT:AT)="No","No",MROUND((LOG10(_xlfn.XLOOKUP(B51,'Base stats'!B:B,'Base stats'!AT:AT))*(AO51^0.75)+(_xlfn.XLOOKUP(B51,'Base stats'!B:B,'Base stats'!AT:AT)/1000)^(2/3)+_xlfn.XLOOKUP(B51,'Base stats'!B:B,'Base stats'!AX:AX)+_xlfn.XLOOKUP(B51,'Base stats'!B:B,'Base stats'!BA:BA))+0.5,0.5))</f>
        <v>No</v>
      </c>
      <c r="AE51" s="7" t="str">
        <f>IF(AD51="No","No",MAX(_xlfn.XLOOKUP(_xlfn.XLOOKUP(B51,'Base stats'!B:B,'Base stats'!E:E),Groups!A:A,Groups!Z:Z),MROUND(_xlfn.XLOOKUP(_xlfn.XLOOKUP(B51,'Base stats'!B:B,'Base stats'!E:E),Groups!A:A,Groups!Z:Z)*_xlfn.XLOOKUP(B51,'Base stats'!B:B,'Base stats'!C:C)^0.165,0.05)))</f>
        <v>No</v>
      </c>
      <c r="AF51" s="7" t="str">
        <f>IF(AD51="No","No",_xlfn.XLOOKUP(_xlfn.XLOOKUP(B51,'Base stats'!B:B,'Base stats'!E:E),Groups!A:A,Groups!AA:AA))</f>
        <v>No</v>
      </c>
      <c r="AG51" s="7" t="str">
        <f>IF(AD51="No","No",_xlfn.XLOOKUP(_xlfn.XLOOKUP(B51,'Base stats'!B:B,'Base stats'!E:E),Groups!A:A,Groups!AB:AB))</f>
        <v>No</v>
      </c>
      <c r="AH51" s="7" t="str">
        <f>IF(AD51="No","No",_xlfn.XLOOKUP(_xlfn.XLOOKUP(B51,'Base stats'!B:B,'Base stats'!E:E),Groups!A:A,Groups!AC:AC))</f>
        <v>No</v>
      </c>
      <c r="AI51" s="13" t="str">
        <f>IF(_xlfn.XLOOKUP(_xlfn.XLOOKUP(B51,'Base stats'!B:B,'Base stats'!E:E),Groups!A:A,Groups!AD:AD)=0,"No",MROUND((LOG10(_xlfn.XLOOKUP(B51,'Base stats'!B:B,'Base stats'!AS:AS))*(AO51^0.75)+(_xlfn.XLOOKUP(B51,'Base stats'!B:B,'Base stats'!AS:AS)/1000)^(2/3)+_xlfn.XLOOKUP(B51,'Base stats'!B:B,'Base stats'!AY:AY)+_xlfn.XLOOKUP(B51,'Base stats'!B:B,'Base stats'!BA:BA))+0.5,0.5))</f>
        <v>No</v>
      </c>
      <c r="AJ51" s="7" t="str">
        <f>IF(AI51="No","No",MAX(_xlfn.XLOOKUP(_xlfn.XLOOKUP(B51,'Base stats'!B:B,'Base stats'!E:E),Groups!A:A,Groups!AE:AE),MROUND(_xlfn.XLOOKUP(_xlfn.XLOOKUP(B51,'Base stats'!B:B,'Base stats'!E:E),Groups!A:A,Groups!AE:AE)*IF(_xlfn.XLOOKUP(_xlfn.XLOOKUP(B51,'Base stats'!B:B,'Base stats'!E:E),Groups!A:A,Groups!AJ:AJ)="Photonozoa",0.6,1)*_xlfn.XLOOKUP(B51,'Base stats'!B:B,'Base stats'!C:C)^0.165,0.05)))</f>
        <v>No</v>
      </c>
      <c r="AK51" s="7" t="str">
        <f>IF(AI51="No","No",_xlfn.XLOOKUP(_xlfn.XLOOKUP(B51,'Base stats'!B:B,'Base stats'!E:E),Groups!A:A,Groups!AF:AF))</f>
        <v>No</v>
      </c>
      <c r="AL51" s="7" t="str">
        <f>IF(AI51="No","No",_xlfn.XLOOKUP(_xlfn.XLOOKUP(B51,'Base stats'!B:B,'Base stats'!E:E),Groups!A:A,Groups!AG:AG))</f>
        <v>No</v>
      </c>
      <c r="AM51" s="7" t="str">
        <f>IF(AI51="No","No",_xlfn.XLOOKUP(_xlfn.XLOOKUP(B51,'Base stats'!B:B,'Base stats'!E:E),Groups!A:A,Groups!AH:AH))</f>
        <v>No</v>
      </c>
      <c r="AN51" s="2" t="str">
        <f t="shared" si="0"/>
        <v>No</v>
      </c>
      <c r="AO51" s="2">
        <f>MROUND(IF(AND(_xlfn.XLOOKUP(B51,'Base stats'!B:B,'Base stats'!C:C)&gt;=0.5,_xlfn.XLOOKUP(B51,'Base stats'!B:B,'Base stats'!C:C)&lt;=0.8),
IF(_xlfn.XLOOKUP(B51,'Base stats'!B:B,'Base stats'!C:C)&lt;0.1,0.05,IF(_xlfn.XLOOKUP(B51,'Base stats'!B:B,'Base stats'!C:C)&lt;=70,(_xlfn.XLOOKUP(B51,'Base stats'!B:B,'Base stats'!C:C)/70)^0.426489913056526,IF(_xlfn.XLOOKUP(B51,'Base stats'!B:B,'Base stats'!C:C)&lt;=400,(_xlfn.XLOOKUP(B51,'Base stats'!B:B,'Base stats'!C:C)/70)^0.572811455315093,IF(_xlfn.XLOOKUP(B51,'Base stats'!B:B,'Base stats'!C:C)&lt;=2000,2.71391647193063*(_xlfn.XLOOKUP(B51,'Base stats'!B:B,'Base stats'!C:C)/400)^0.252459582904293,3.74314280240376*(_xlfn.XLOOKUP(B51,'Base stats'!B:B,'Base stats'!C:C)/2000)^0.357012633876913)))),
IF(_xlfn.XLOOKUP(B51,'Base stats'!B:B,'Base stats'!C:C)&lt;0.1,0.05,IF(_xlfn.XLOOKUP(B51,'Base stats'!B:B,'Base stats'!C:C)&lt;0.4,0.1,IF(_xlfn.XLOOKUP(B51,'Base stats'!B:B,'Base stats'!C:C)&lt;=70,(_xlfn.XLOOKUP(B51,'Base stats'!B:B,'Base stats'!C:C)/70)^0.445823913056526,IF(_xlfn.XLOOKUP(B51,'Base stats'!B:B,'Base stats'!C:C)&lt;=400,(_xlfn.XLOOKUP(B51,'Base stats'!B:B,'Base stats'!C:C)/70)^0.572811455315093,IF(_xlfn.XLOOKUP(B51,'Base stats'!B:B,'Base stats'!C:C)&lt;=2000,2.71391647193063*(_xlfn.XLOOKUP(B51,'Base stats'!B:B,'Base stats'!C:C)/400)^0.252459582904293,3.74314280240376*(_xlfn.XLOOKUP(B51,'Base stats'!B:B,'Base stats'!C:C)/2000)^0.357012633876913)))))),
IF(_xlfn.XLOOKUP(B51,'Base stats'!B:B,'Base stats'!C:C)&lt;0.1,0.05,IF(_xlfn.XLOOKUP(B51,'Base stats'!B:B,'Base stats'!C:C)&lt;=100,0.05,IF(_xlfn.XLOOKUP(B51,'Base stats'!B:B,'Base stats'!C:C)&lt;=250,0.1,IF(_xlfn.XLOOKUP(B51,'Base stats'!B:B,'Base stats'!C:C)&lt;=4000,0.25,0.5)))))</f>
        <v>0.95000000000000007</v>
      </c>
      <c r="AP51" s="8">
        <f>MROUND(AO51*_xlfn.XLOOKUP(_xlfn.XLOOKUP(B51,'Base stats'!B:B,'Base stats'!E:E),Groups!A:A,Groups!AI:AI)*_xlfn.XLOOKUP(B51,'Base stats'!B:B,'Base stats'!Z:Z),0.05)</f>
        <v>0.95000000000000007</v>
      </c>
      <c r="AQ51" s="8">
        <f>MAX(0.01,MROUND(IF(CC51="True",0.196*(AO51*100*1000)^0.889,IF(_xlfn.XLOOKUP(_xlfn.XLOOKUP(B51,'Base stats'!B:B,'Base stats'!E:E),Groups!A:A,Groups!AJ:AJ)="Bird",10.5*(AO51*100*1000)^0.681,4.82*(AO51*100*1000)^0.734))/(4.82*(1*100*1000)^0.734)/IF(AO51&lt;3.5,2,IF(AO51=3.5,1.5,1.25))*(1+0.132282374779864/(AO51^0.994035016789033+0.00905238001496948)),0.05))</f>
        <v>0.55000000000000004</v>
      </c>
      <c r="AR51" s="9">
        <f>IFERROR(MROUND(_xlfn.XLOOKUP(B51,'Base stats'!B:B,'Base stats'!H:H)/IF(_xlfn.XLOOKUP(B51,'Base stats'!B:B,'Base stats'!I:I)&lt;&gt;1,(122.5/70),1.2),IF(_xlfn.XLOOKUP(B51,'Base stats'!B:B,'Base stats'!H:H)&gt;=30,5,IF(_xlfn.XLOOKUP(B51,'Base stats'!B:B,'Base stats'!H:H)&gt;=15,3,IF(_xlfn.XLOOKUP(B51,'Base stats'!B:B,'Base stats'!H:H)&gt;=10,2,1)))),"Immortal")</f>
        <v>12</v>
      </c>
      <c r="AS51" s="35">
        <f>IFERROR(IF(OR(_xlfn.XLOOKUP(B51,'Base stats'!B:B,'Base stats'!F:F)="Atypical reproduction",_xlfn.XLOOKUP(B51,'Base stats'!B:B,'Base stats'!F:F)="Lay eggs"),"Lay eggs",MIN(20,MAX(5.5,ROUND(((_xlfn.XLOOKUP(B51,'Base stats'!B:B,'Base stats'!F:F)-25)*(14.5/615) + 5.5)*2,0)/2))),"Unknown")</f>
        <v>8.5</v>
      </c>
      <c r="AT51" s="8">
        <f>IF(_xlfn.XLOOKUP(B51,'Base stats'!B:B,'Base stats'!G:G)="Atypical reproduction","No",IFERROR(MAX(IF(_xlfn.XLOOKUP(B51,'Base stats'!B:B,'Base stats'!G:G)&lt;0.5,0.2,0.3),MROUND(_xlfn.XLOOKUP(B51,'Base stats'!B:B,'Base stats'!G:G)/(365/60),0.2)),"Unknown"))</f>
        <v>0.3</v>
      </c>
      <c r="AU51" s="8">
        <f t="shared" si="1"/>
        <v>0.15000000000000002</v>
      </c>
      <c r="AV51" s="8">
        <f>IFERROR(IFERROR(MROUND(_xlfn.XLOOKUP(B51,'Base stats'!B:B,'Base stats'!J:J),0.1),"Lay eggs"),"Cannot breed")</f>
        <v>1.5</v>
      </c>
      <c r="AW51" s="2" t="str">
        <f t="shared" si="2"/>
        <v>true</v>
      </c>
      <c r="AX51" s="2" t="str">
        <f>IF(_xlfn.XLOOKUP(_xlfn.XLOOKUP(Animals!B51,'Base stats'!B:B,'Base stats'!E:E),Groups!A:A,Groups!AK:AK)=1,"true","false")</f>
        <v>true</v>
      </c>
      <c r="AY51" s="25" t="str">
        <f>IF(_xlfn.XLOOKUP(B51,'Base stats'!B:B,'Base stats'!Y:Y)="Liquor","Liquor, CarnivoreAnimalStrict",IF(AND(_xlfn.XLOOKUP(B51,'Base stats'!B:B,'Base stats'!Y:Y)="Carnivore",_xlfn.XLOOKUP(_xlfn.XLOOKUP(B51,'Base stats'!B:B,'Base stats'!E:E),Groups!A:A,Groups!AJ:AJ)="Photonozoa"),"CarnivoreAnimalStrict, OvivoreAnimal",IF(_xlfn.XLOOKUP(B51,'Base stats'!B:B,'Base stats'!Y:Y)="Carnivore","CarnivoreAnimal, OvivoreAnimal",IF(_xlfn.XLOOKUP(B51,'Base stats'!B:B,'Base stats'!Y:Y)="Dendrovore","VegetarianRoughAnimal, DendrovoreAnimal",IF(_xlfn.XLOOKUP(B51,'Base stats'!B:B,'Base stats'!Y:Y)="Herbivore","VegetarianRoughAnimal",IF(_xlfn.XLOOKUP(B51,'Base stats'!B:B,'Base stats'!Y:Y)="OmnivoreRough","OmnivoreRoughAnimal, OvivoreAnimal","OmnivoreAnimal, OvivoreAnimal"))))))</f>
        <v>VegetarianRoughAnimal</v>
      </c>
      <c r="AZ51" s="2">
        <f>IF(_xlfn.XLOOKUP(_xlfn.XLOOKUP(B51,'Base stats'!B:B,'Base stats'!E:E),Groups!A:A,Groups!D:D)=1,MROUND((1-J51)*5+1,2)*IF(J51&lt;=0.4,2,1),"No")</f>
        <v>12</v>
      </c>
      <c r="BA51" s="2" t="str">
        <f>IF(AND(_xlfn.XLOOKUP(B51,'Base stats'!B:B,'Base stats'!AH:AH)="&lt;li&gt;Seal&lt;/li&gt;",G51="Odyssey"),"&lt;li&gt;AEXP_Seal&lt;/li&gt;",_xlfn.XLOOKUP(B51,'Base stats'!B:B,'Base stats'!AH:AH))</f>
        <v>No</v>
      </c>
      <c r="BB51" s="2" t="str">
        <f>_xlfn.XLOOKUP(B51,'Base stats'!B:B,'Base stats'!AG:AG)</f>
        <v>Leather_Plain</v>
      </c>
      <c r="BC51" s="23" t="str">
        <f>_xlfn.XLOOKUP(_xlfn.XLOOKUP(B51,'Base stats'!B:B,'Base stats'!E:E),Groups!A:A,Groups!AL:AL)</f>
        <v>QuadrupedAnimalWithHooves</v>
      </c>
      <c r="BD51" s="23">
        <f>MIN(1,MROUND(IF(AND(AO51&lt;0.5,_xlfn.XLOOKUP(B51,'Base stats'!B:B,'Base stats'!AA:AA)=0),0,IF(OR(_xlfn.XLOOKUP(Animals!B51,'Base stats'!B:B,'Base stats'!O:O)=2,_xlfn.XLOOKUP(_xlfn.XLOOKUP(B51,'Base stats'!B:B,'Base stats'!E:E),Groups!A:A,Groups!AN:AN)=0),0,_xlfn.XLOOKUP(_xlfn.XLOOKUP(B51,'Base stats'!B:B,'Base stats'!E:E),Groups!A:A,Groups!AN:AN)/IF(_xlfn.XLOOKUP(Animals!B51,'Base stats'!B:B,'Base stats'!O:O)=1,2,1)))+_xlfn.XLOOKUP(B51,'Base stats'!B:B,'Base stats'!AC:AC),0.005))</f>
        <v>0</v>
      </c>
      <c r="BE51" s="23">
        <f>MIN(1,MROUND(IF(AND(AO51&lt;0.5,_xlfn.XLOOKUP(B51,'Base stats'!B:B,'Base stats'!AA:AA)=0),0,IF(_xlfn.XLOOKUP(_xlfn.XLOOKUP(B51,'Base stats'!B:B,'Base stats'!E:E),Groups!A:A,Groups!AO:AO)=0,0,_xlfn.XLOOKUP(_xlfn.XLOOKUP(B51,'Base stats'!B:B,'Base stats'!E:E),Groups!A:A,Groups!AO:AO)/IF(_xlfn.XLOOKUP(Animals!B51,'Base stats'!B:B,'Base stats'!O:O)=2,3,1)))+_xlfn.XLOOKUP(B51,'Base stats'!B:B,'Base stats'!AD:AD),0.005))</f>
        <v>0</v>
      </c>
      <c r="BF51" s="2" t="str">
        <f>IF(J51&gt;0.3,"No",_xlfn.XLOOKUP(_xlfn.XLOOKUP(Animals!B51,'Base stats'!B:B,'Base stats'!E:E),Groups!A:A,Groups!AP:AP))</f>
        <v>No</v>
      </c>
      <c r="BG51" s="2" t="str">
        <f>IF(AND(J51&lt;=0.65,_xlfn.XLOOKUP(_xlfn.XLOOKUP(Animals!B51,'Base stats'!B:B,'Base stats'!E:E),Groups!A:A,Groups!AP:AP)&lt;&gt;"No",_xlfn.XLOOKUP(_xlfn.XLOOKUP(B51,'Base stats'!B:B,'Base stats'!E:E),Groups!A:A,Groups!D:D)=0),MROUND((80/3)*IF(_xlfn.XLOOKUP(B51,'Base stats'!B:B,'Base stats'!O:O)=2,0.2,AO51) + 24*(1-IF(BF51="No",0,BF51)) + 16/3, 12),"No")</f>
        <v>No</v>
      </c>
      <c r="BH51" s="2">
        <f>IF(AND(_xlfn.XLOOKUP(_xlfn.XLOOKUP(B51,'Base stats'!B:B,'Base stats'!E:E),Groups!A:A,Groups!AQ:AQ)=1,AO51&lt;=0.35),8,12)</f>
        <v>12</v>
      </c>
      <c r="BI51" s="2" t="str">
        <f>IF(_xlfn.XLOOKUP(_xlfn.XLOOKUP(B51,'Base stats'!B:B,'Base stats'!E:E),Groups!A:A,Groups!D:D)=0,_xlfn.XLOOKUP(_xlfn.XLOOKUP(B51,'Base stats'!B:B,'Base stats'!E:E),Groups!A:A,Groups!AR:AR),"None")</f>
        <v>None</v>
      </c>
      <c r="BJ51" s="2" t="str">
        <f>IF(AND(_xlfn.XLOOKUP(_xlfn.XLOOKUP(B51,'Base stats'!B:B,'Base stats'!E:E),Groups!A:A,Groups!AS:AS)=1,OR(_xlfn.XLOOKUP(B51,'Base stats'!B:B,'Base stats'!Y:Y)="Carnivore",_xlfn.XLOOKUP(B51,'Base stats'!B:B,'Base stats'!Y:Y)="Omnivore")),"true","false")</f>
        <v>false</v>
      </c>
      <c r="BK51" s="2" t="str">
        <f>IF(BJ51="true",MROUND(IF(AND(AO51&gt;0.5,OR(_xlfn.XLOOKUP(_xlfn.XLOOKUP(B51,'Base stats'!B:B,'Base stats'!E:E),Groups!A:A,Groups!AJ:AJ)="Photonozoa",_xlfn.XLOOKUP(_xlfn.XLOOKUP(B51,'Base stats'!B:B,'Base stats'!E:E),Groups!A:A,Groups!AJ:AJ)="Mammal")),Animals!AO51*1.75*IF(AW51="true",1.5,1),IF(AO51&lt;0.5,Animals!AO51*0.5,Animals!AO51)),IF(AO51&gt;2,0.5,IF(AO51&gt;0.5,0.25,0.1))),"No")</f>
        <v>No</v>
      </c>
      <c r="BL51" s="2">
        <f t="shared" si="3"/>
        <v>0</v>
      </c>
      <c r="BM51" s="25" t="str">
        <f>IF(_xlfn.XLOOKUP(B51,'Base stats'!B:B,'Base stats'!AN:AN)="Standard","No",MROUND((_xlfn.XLOOKUP(B51,'Base stats'!B:B,'Base stats'!AN:AN)/3.6)/I51,0.1))</f>
        <v>No</v>
      </c>
      <c r="BN51" s="25" t="str">
        <f t="shared" si="4"/>
        <v>false</v>
      </c>
      <c r="BO51" s="25" t="str">
        <f>IF(AND(OR(_xlfn.XLOOKUP(B51,'Base stats'!B:B,'Base stats'!Y:Y)="Carnivore",_xlfn.XLOOKUP(B51,'Base stats'!B:B,'Base stats'!Y:Y)="Omnivore",_xlfn.XLOOKUP(B51,'Base stats'!B:B,'Base stats'!Y:Y)="OmnivoreRough"),_xlfn.XLOOKUP(_xlfn.XLOOKUP(B51,'Base stats'!B:B,'Base stats'!E:E),Groups!A:A,Groups!AT:AT)=1),"true","false")</f>
        <v>false</v>
      </c>
      <c r="BP51" s="25" t="str" cm="1">
        <f t="array" ref="BP51">IF(
  _xlfn.TEXTJOIN(", ",TRUE,
    IF(AND(BJ51="true",AO51&gt;0.5,BI51&lt;&gt;"None"),"AttackTarget",""),
    IF(AND(_xlfn.XLOOKUP(_xlfn.XLOOKUP(B51,'Base stats'!B:B,'Base stats'!E:E),Groups!A:A,Groups!AJ:AJ="Mammal"),OR(_xlfn.XLOOKUP(B51,'Base stats'!B:B,'Base stats'!Y:Y)="Omnivore",_xlfn.XLOOKUP(B51,'Base stats'!B:B,'Base stats'!Y:Y)="OmnivoreRough")),"Forage",""),
    IF(BG51&lt;=36,"Comfort",""),
    IF(_xlfn.XLOOKUP(B51,'Base stats'!B:B,'Base stats'!AE:AE)&lt;&gt;"No",_xlfn.XLOOKUP(B51,'Base stats'!B:B,'Base stats'!AE:AE),"")
  ) = "",
  "No",
  _xlfn.TEXTJOIN(", ",TRUE,
    IF(AND(BJ51="true",AO51&gt;0.5,BI51&lt;&gt;"None"),"AttackTarget",""),
    IF(AND(_xlfn.XLOOKUP(_xlfn.XLOOKUP(B51,'Base stats'!B:B,'Base stats'!E:E),Groups!A:A,Groups!AJ:AJ="Mammal"),OR(_xlfn.XLOOKUP(B51,'Base stats'!B:B,'Base stats'!Y:Y)="Omnivore",_xlfn.XLOOKUP(B51,'Base stats'!B:B,'Base stats'!Y:Y)="OmnivoreRough")),"Forage",""),
    IF(BG51&lt;=36,"Comfort",""),
    IF(_xlfn.XLOOKUP(B51,'Base stats'!B:B,'Base stats'!AE:AE)&lt;&gt;"No",_xlfn.XLOOKUP(B51,'Base stats'!B:B,'Base stats'!AE:AE),"")
  )
)</f>
        <v>No</v>
      </c>
      <c r="BQ51" s="25" t="str">
        <f>IF(
   AND(
      'Base stats'!AN51="Standard",_xlfn.XLOOKUP(_xlfn.XLOOKUP(B51,'Base stats'!B:B,'Base stats'!E:E),Groups!A:A,Groups!AU:AU)=0,
      OR(
      BO51="True"
      )
   ),
   10,
   IF(
       OR(BM51&lt;&gt;"No",_xlfn.XLOOKUP(_xlfn.XLOOKUP(B51,'Base stats'!B:B,'Base stats'!E:E),Groups!A:A,Groups!AU:AU)=1),
      1,
      "No"
   )
)</f>
        <v>No</v>
      </c>
      <c r="BR51" s="9">
        <f>MROUND((1 + ((0.2*IF(OR(Q51="No",R51="No",R51=0),0,Q51/R51)
+IF(OR(V51="No",S51="No",T51="No"),0,S51/T51*(LEN(V51)-LEN(SUBSTITUTE(V51,",",""))+1))
+IF(OR(X51="No",Y51="No"),0,X51/Y51)
+IF(OR(AD51="No",AE51="No"),0,AD51/AE51)
+IF(OR(AL51="No",AI51="No",AJ51="No"),0,AI51/AJ51*(LEN(AL51)-LEN(SUBSTITUTE(AL51,",",""))+1))
)/(0.2*IF(OR(Q51="No",R51="No",R51=0),0,1)
+IF(OR(V51="No",S51="No",T51="No"),0,LEN(V51)-LEN(SUBSTITUTE(V51,",",""))+1)
+IF(OR(X51="No",Y51="No"),0,1)
+IF(OR(AD51="No",AE51="No"),0,1)
+IF(OR(AL51="No",AI51="No",AJ51="No"),0,LEN(AL51)-LEN(SUBSTITUTE(AL51,",",""))+1))*62%)* 2)*(1 + (AP51 / (IF(_xlfn.XLOOKUP(_xlfn.XLOOKUP(B51,'Base stats'!B:B,'Base stats'!E:E),Groups!A:A,Groups!AJ:AJ)="Photonozoa",0.3,1)) + _xlfn.XLOOKUP(B51,'Base stats'!B:B,'Base stats'!AV:AV) * 1.8) * 2) * 2.5 + 10 + I51 * 2,5)+IF(_xlfn.XLOOKUP(B51,'Base stats'!B:B,'Base stats'!AK:AK)=1,50,0)</f>
        <v>70</v>
      </c>
      <c r="BS51" s="8">
        <f t="shared" si="5"/>
        <v>0.65</v>
      </c>
      <c r="BT51" s="8" t="str">
        <f>_xlfn.XLOOKUP(B51,'Base stats'!B:B,'Base stats'!AF:AF)</f>
        <v>3~10</v>
      </c>
      <c r="BU51" s="2" t="str">
        <f>IF(AND(J51&lt;=0.95,OR(_xlfn.XLOOKUP(B51,'Base stats'!B:B,'Base stats'!AK:AK)=1,_xlfn.XLOOKUP(B51,'Base stats'!B:B,'Base stats'!Y:Y)="Carnivore",_xlfn.XLOOKUP(B51,'Base stats'!B:B,'Base stats'!Y:Y)="Omnivore",BE51&gt;0.1)),"true","false")</f>
        <v>false</v>
      </c>
      <c r="BV51" s="2" t="str">
        <f>IF(_xlfn.XLOOKUP(B51,'Base stats'!B:B,'Base stats'!AI:AI)=1,"true","false")</f>
        <v>false</v>
      </c>
      <c r="BW51" s="25" t="str">
        <f>IF(E51="BaseInsect","AnimalInsect",
IF(J51&gt;0.95,"AnimalExotic",
_xlfn.TEXTJOIN(", ",TRUE,
IF(OR(_xlfn.XLOOKUP(B51,'Base stats'!B:B,'Base stats'!AM:AM)=1,AND(_xlfn.XLOOKUP(B51,'Base stats'!B:B,'Base stats'!O:O)=0,_xlfn.XLOOKUP(_xlfn.XLOOKUP(B51,'Base stats'!B:B,'Base stats'!E:E),Groups!A:A,Groups!B:B)&gt;0)),"AnimalUncommon","AnimalCommon"),
IF(AND(_xlfn.XLOOKUP(B51,'Base stats'!B:B,'Base stats'!O:O)=2,_xlfn.XLOOKUP(_xlfn.XLOOKUP(B51,'Base stats'!B:B,'Base stats'!E:E),Groups!A:A,Groups!D:D)=0),"AnimalPet",IF(AND(_xlfn.XLOOKUP(B51,'Base stats'!B:B,'Base stats'!O:O)&lt;&gt;0,_xlfn.XLOOKUP(_xlfn.XLOOKUP(B51,'Base stats'!B:B,'Base stats'!E:E),Groups!A:A,Groups!D:D)&lt;&gt;0),"AnimalFarm","")),
IF(OR(_xlfn.XLOOKUP(B51,'Base stats'!B:B,'Base stats'!AK:AK)=1,AND(BI51&lt;&gt;"None",BR51&gt;=60),ISNUMBER(SEARCH("Attack target",BP51))),"AnimalFighter","")
)))</f>
        <v>AnimalCommon, AnimalFarm</v>
      </c>
      <c r="BX51" s="25" t="str">
        <f>IF(G51="None",TRIM(
SUBSTITUTE(
IF(COUNTIF(Biomes!B$2:B$259,"="&amp;$C51)&gt;0,Biomes!B$1&amp;", ","")&amp;
IF(COUNTIF(Biomes!C$2:C$259,"="&amp;$C51)&gt;0,Biomes!C$1&amp;", ","")&amp;
IF(COUNTIF(Biomes!D$2:D$259,"="&amp;$C51)&gt;0,Biomes!D$1&amp;", ","")&amp;
IF(COUNTIF(Biomes!F$2:F$259,"="&amp;$C51)&gt;0,Biomes!F$1&amp;", ","")&amp;
IF(COUNTIF(Biomes!G$2:G$259,"="&amp;$C51)&gt;0,Biomes!G$1&amp;", ","")&amp;
IF(COUNTIF(Biomes!H$2:H$259,"="&amp;$C51)&gt;0,Biomes!H$1&amp;", ","")&amp;
IF(COUNTIF(Biomes!I$2:I$259,"="&amp;$C51)&gt;0,Biomes!I$1&amp;", ","")&amp;
IF(COUNTIF(Biomes!J$2:J$259,"="&amp;$C51)&gt;0,Biomes!J$1&amp;", ","")&amp;
IF(COUNTIF(Biomes!M$2:M$259,"="&amp;$C51)&gt;0,Biomes!M$1&amp;", ","")&amp;
IF(COUNTIF(Biomes!N$2:N$259,"="&amp;$C51)&gt;0,Biomes!N$1&amp;", ","")&amp;
IF(COUNTIF(Biomes!O$2:O$259,"="&amp;$C51)&gt;0,Biomes!O$1&amp;", ","")&amp;
IF(COUNTIF(Biomes!P$2:P$259,"="&amp;$C51)&gt;0,Biomes!P$1&amp;", ","")&amp;
IF(COUNTIF(Biomes!K$2:K$259,"="&amp;$C51)&gt;0,Biomes!K$1&amp;", ","")&amp;
IF(COUNTIF(Biomes!Q$3:Q$259,"="&amp;$C51)&gt;0,Biomes!Q$1&amp;", ","")&amp;
IF(COUNTIF(Biomes!L$2:L$259,"="&amp;$C51)&gt;0,Biomes!L$1&amp;", ","")&amp;
IF(COUNTIF(Biomes!E$2:E$259,"="&amp;$C51)&gt;0,Biomes!E$1&amp;", ","")&amp;IF(COUNTIF(Biomes!S$2:S$259,"="&amp;$C51)&gt;0,Biomes!S$1&amp;", ","")&amp;
IF(COUNTIF(Biomes!R$2:R$259,"="&amp;$C51)&gt;0,Biomes!R$1&amp;", ",""),", ","")
),_xlfn.XLOOKUP(B51,B:B,BX:BX))</f>
        <v/>
      </c>
      <c r="BY51" s="25" t="str">
        <f>IF(_xlfn.XLOOKUP(B51,'Base stats'!B:B,'Base stats'!AJ:AJ)=1,"true","false")</f>
        <v>false</v>
      </c>
      <c r="BZ51" s="25">
        <f>IF(_xlfn.XLOOKUP(B51,'Base stats'!B:B,'Base stats'!N:N)=1,"No",MAX(0.001,MIN(MROUND(IF(AND(BJ51="True",CC51="False"),POWER(10,3.47*LOG10(_xlfn.XLOOKUP(B51,'Base stats'!B:B,'Base stats'!C:C)*1000)^-0.96),POWER(10,4.15*LOG10(_xlfn.XLOOKUP(B51,'Base stats'!B:B,'Base stats'!C:C)*1000)^-0.73))*IF(_xlfn.XLOOKUP(B51,'Base stats'!B:B,'Base stats'!AK:AK)=1,0.5,1)*IF(_xlfn.XLOOKUP(B51,'Base stats'!B:B,'Base stats'!AM:AM)=1,0.1,1)/100,IF(_xlfn.XLOOKUP(B51,'Base stats'!B:B,'Base stats'!AM:AM)=1,0.001,0.025)),0.5)))</f>
        <v>0.2</v>
      </c>
      <c r="CA51" s="25" t="str">
        <f>IF(P51="Standard","No",MAX(0.001,MIN(MROUND(IF(AND(BJ51="True",CC51="False"),POWER(10,3.47*LOG10(_xlfn.XLOOKUP(B51,'Base stats'!B:B,'Base stats'!C:C)*1000)^-0.96),POWER(10,4.15*LOG10(_xlfn.XLOOKUP(B51,'Base stats'!B:B,'Base stats'!C:C)*1000)^-0.73))*IF(_xlfn.XLOOKUP(B51,'Base stats'!B:B,'Base stats'!AM:AM)=1,0.1,1)*_xlfn.XLOOKUP(B51,'Base stats'!B:B,'Base stats'!R:R)/100,IF(_xlfn.XLOOKUP(B51,'Base stats'!B:B,'Base stats'!AM:AM)=1,0.001,0.025)),0.5)))</f>
        <v>No</v>
      </c>
      <c r="CB51" s="25" t="str">
        <f>IF(_xlfn.XLOOKUP(_xlfn.XLOOKUP(B51,'Base stats'!B:B,'Base stats'!E:E),Groups!A:A,Groups!AJ:AJ)="Mammal","True","False")</f>
        <v>True</v>
      </c>
      <c r="CC51" s="25" t="str">
        <f>IF(OR(_xlfn.XLOOKUP(_xlfn.XLOOKUP(B51,'Base stats'!B:B,'Base stats'!E:E),Groups!A:A,Groups!AJ:AJ)="Reptile",_xlfn.XLOOKUP(_xlfn.XLOOKUP(B51,'Base stats'!B:B,'Base stats'!E:E),Groups!A:A,Groups!AJ:AJ)="Amphibian",_xlfn.XLOOKUP(_xlfn.XLOOKUP(B51,'Base stats'!B:B,'Base stats'!E:E),Groups!A:A,Groups!AJ:AJ)="Invertebrate"),"True","False")</f>
        <v>False</v>
      </c>
      <c r="CD51" s="25" t="str">
        <f t="shared" si="6"/>
        <v>False</v>
      </c>
      <c r="CE51" s="25" t="str">
        <f>IF(_xlfn.XLOOKUP(_xlfn.XLOOKUP(B51,'Base stats'!B:B,'Base stats'!E:E),Groups!A:A,Groups!AX:AX),"True","False")</f>
        <v>False</v>
      </c>
      <c r="CF51" s="25" t="str">
        <f>IF(_xlfn.XLOOKUP(_xlfn.XLOOKUP(B51,'Base stats'!B:B,'Base stats'!E:E),Groups!A:A,Groups!AY:AY),"True","False")</f>
        <v>False</v>
      </c>
      <c r="CG51" s="25" t="str">
        <f>IF(_xlfn.XLOOKUP(_xlfn.XLOOKUP(B51,'Base stats'!B:B,'Base stats'!E:E),Groups!A:A,Groups!AW:AW),"True","False")</f>
        <v>False</v>
      </c>
      <c r="CH51" s="25" t="str">
        <f>IF(
OR(
_xlfn.XLOOKUP(_xlfn.XLOOKUP(B51,'Base stats'!B:B,'Base stats'!E:E),Groups!A:A,Groups!AZ:AZ)=0,
AND(
_xlfn.XLOOKUP(B51,'Base stats'!B:B,'Base stats'!Y:Y)&lt;&gt;"Carnivore",
_xlfn.XLOOKUP(B51,'Base stats'!B:B,'Base stats'!Y:Y)&lt;&gt;"Omnivore",
_xlfn.XLOOKUP(B51,'Base stats'!B:B,'Base stats'!Y:Y)&lt;&gt;"OmnivoreRough"
)
),
"No",
IF(
_xlfn.XLOOKUP(_xlfn.XLOOKUP(B51,'Base stats'!B:B,'Base stats'!E:E),Groups!A:A,Groups!AZ:AZ)=1,
"Flesh",
IF(
_xlfn.XLOOKUP(_xlfn.XLOOKUP(B51,'Base stats'!B:B,'Base stats'!E:E),Groups!A:A,Groups!AZ:AZ)=2,
"Bone",
""
)
)
)</f>
        <v>No</v>
      </c>
      <c r="CI51" s="25" t="str">
        <f>IF(_xlfn.XLOOKUP(_xlfn.XLOOKUP(B51,'Base stats'!B:B,'Base stats'!E:E),Groups!A:A,Groups!BB:BB),"True","False")</f>
        <v>True</v>
      </c>
      <c r="CJ51" s="25" t="str">
        <f>IF(_xlfn.XLOOKUP(_xlfn.XLOOKUP(B51,'Base stats'!B:B,'Base stats'!E:E),Groups!A:A,Groups!BA:BA),"True","False")</f>
        <v>False</v>
      </c>
    </row>
    <row r="52" spans="1:88" ht="16.5" thickTop="1" thickBot="1" x14ac:dyDescent="0.3">
      <c r="A52" s="26" t="str">
        <f>_xlfn.XLOOKUP(B52,'Base stats'!B:B,'Base stats'!A:A)</f>
        <v>Sheep</v>
      </c>
      <c r="B52" s="6" t="s">
        <v>160</v>
      </c>
      <c r="C52" s="28" t="s">
        <v>727</v>
      </c>
      <c r="D52" s="28" t="s">
        <v>45</v>
      </c>
      <c r="E52" s="28" t="s">
        <v>673</v>
      </c>
      <c r="F52" s="28" t="s">
        <v>673</v>
      </c>
      <c r="G52" s="28" t="s">
        <v>673</v>
      </c>
      <c r="H52" s="2">
        <f>MROUND((
  (IF(AND(_xlfn.XLOOKUP(B52,'Base stats'!B:B,'Base stats'!AL:AL)=0,BI52="None",_xlfn.XLOOKUP(_xlfn.XLOOKUP(B52,'Base stats'!B:B,'Base stats'!E:E),Groups!A:A,Groups!B:B)=0), (18 + BR52 * 2.7) * 0.5,
    IF(AND(_xlfn.XLOOKUP(B52,'Base stats'!B:B,'Base stats'!AL:AL)=0,OR(AO52&lt;0.55,AND(BI52="Intermediate",_xlfn.XLOOKUP(_xlfn.XLOOKUP(B52,'Base stats'!B:B,'Base stats'!E:E),Groups!A:A,Groups!B:B)&lt;2))), (18 + BR52 * 2.7),
      IF(OR(BI52="Advanced",_xlfn.XLOOKUP(B52,'Base stats'!B:B,'Base stats'!AL:AL)=1,_xlfn.XLOOKUP(_xlfn.XLOOKUP(B52,'Base stats'!B:B,'Base stats'!E:E),Groups!A:A,Groups!B:B)=2), (18 + BR52 * 2.7) + 250, (18 + BR52 * 2.7))
    )
  ))
  + AO52 * 80
  + IF(COUNTIF(EggMilk!K$2:K$998, A52) &gt; 0, 125, 0)
  + IF(COUNTIF(EggMilk!P$2:P$998, A52) &gt; 0, 90, 0)
  + IF(COUNTIF(EggMilk!A$2:A$998, A52) &gt; 0, 90, 0)
)
* (0.8 + 0.4 * J52)
* 0.75,25)</f>
        <v>150</v>
      </c>
      <c r="I52" s="2">
        <f>MROUND(ROUNDDOWN(_xlfn.XLOOKUP(B52,'Base stats'!B:B,'Base stats'!L:L)/3.6/(23.3/11),1),0.5)</f>
        <v>4.5</v>
      </c>
      <c r="J52" s="2">
        <f>IF(OR(_xlfn.XLOOKUP(B52,'Base stats'!B:B,'Base stats'!AB:AB)=1,_xlfn.XLOOKUP(_xlfn.XLOOKUP(B52,'Base stats'!B:B,'Base stats'!E:E),Groups!A:A,Groups!C:C)="Untamable"),1,IF(_xlfn.XLOOKUP(B52,'Base stats'!B:B,'Base stats'!AL:AL)=1,0.99,MIN(MROUND((1-0.6282*EXP(-0.459*AO52))*_xlfn.XLOOKUP(_xlfn.XLOOKUP(B52,'Base stats'!B:B,'Base stats'!E:E),Groups!A:A,Groups!C:C)*IF(_xlfn.XLOOKUP(B52,'Base stats'!B:B,'Base stats'!O:O)=1,0.5,IF(_xlfn.XLOOKUP(B52,'Base stats'!B:B,'Base stats'!O:O)=2,0,1)),0.05),IF(AO52&gt;3.5,0.985,0.95))))</f>
        <v>0</v>
      </c>
      <c r="K52" s="2">
        <f>ROUNDUP(AO52*_xlfn.XLOOKUP(_xlfn.XLOOKUP(B52,'Base stats'!B:B,'Base stats'!E:E),Groups!A:A,Groups!E:E),0)</f>
        <v>5</v>
      </c>
      <c r="L52" s="2">
        <f>IF(OR(_xlfn.XLOOKUP(_xlfn.XLOOKUP(B52,'Base stats'!B:B,'Base stats'!E:E),Groups!A:A,Groups!F:F)=2,ISNUMBER(SEARCH("SeaIce",BX52)),ISNUMBER(SEARCH("IceSheet",BX52))),-50,IF(OR(ISNUMBER(SEARCH("GlacialPlain",BX52)),ISNUMBER(SEARCH("Tundra",BX52))),-40,IF(OR(ISNUMBER(SEARCH("Alpine",BX52)),ISNUMBER(SEARCH("BorealForest",BX52)),ISNUMBER(SEARCH("ColdBog",BX52))),-30,IF(OR(ISNUMBER(SEARCH("TemperateForest",BX52)),ISNUMBER(SEARCH("TemperateSwamp",BX52))),-20,IF(_xlfn.XLOOKUP(_xlfn.XLOOKUP(B52,'Base stats'!B:B,'Base stats'!E:E),Groups!A:A,Groups!F:F)=1,-15,IF(OR(ISNUMBER(SEARCH("Desert",BX52)),ISNUMBER(SEARCH("ExtremeDesert",BX52))),-10,IF(OR(ISNUMBER(SEARCH("Grasslands",BX52)),ISNUMBER(SEARCH("TropicalRainforest",BX52)),ISNUMBER(SEARCH("TropicalSwamp",BX52))),10,0)))))))-IF(CC52="False",MIN(IFERROR(MAX(MROUND(LOG10(_xlfn.XLOOKUP(B52,'Base stats'!B:B,'Base stats'!C:C)^(2/3))*10,5),5),5),30))-_xlfn.XLOOKUP(B52,'Base stats'!B:B,'Base stats'!P:P)+IF(CC52="True",5,0)</f>
        <v>-35</v>
      </c>
      <c r="M52" s="2">
        <f>IF(OR(_xlfn.XLOOKUP(_xlfn.XLOOKUP(B52,'Base stats'!B:B,'Base stats'!E:E),Groups!A:A,Groups!G:G)=2,ISNUMBER(SEARCH("Desert",BX52)),ISNUMBER(SEARCH("ExtremeDesert",BX52)),ISNUMBER(SEARCH("LavaField",BX52))),50,IF(ISNUMBER(SEARCH("Grasslands",BX52)),45,IF(OR(_xlfn.XLOOKUP(_xlfn.XLOOKUP(B52,'Base stats'!B:B,'Base stats'!E:E),Groups!A:A,Groups!G:G)=1,ISNUMBER(SEARCH("TropicalRainforest",BX52)),ISNUMBER(SEARCH("TropicalSwamp",BX52))),40,IF(OR(ISNUMBER(SEARCH("TemperateForest",BX52)),ISNUMBER(SEARCH("TemperateSwamp",BX52))),35,IF(OR(ISNUMBER(SEARCH("Alpine",BX52)),ISNUMBER(SEARCH("BorealForest",BX52)),ISNUMBER(SEARCH("ColdBog",BX52))),30,IF(ISNUMBER(OR(ISNUMBER(SEARCH("GlacialPlain",BX52)),SEARCH("Tundra",BX52))),25,IF(OR(ISNUMBER(SEARCH("SeaIce",BX52)),ISNUMBER(SEARCH("IceSheet",BX52)),ISNUMBER(SEARCH("TropicalSwamp",BX52))),10,35)))))))+_xlfn.XLOOKUP(B52,'Base stats'!B:B,'Base stats'!Q:Q)</f>
        <v>35</v>
      </c>
      <c r="N52" s="8" t="str">
        <f>IF(
_xlfn.XLOOKUP(
_xlfn.XLOOKUP(B52,'Base stats'!B:B,'Base stats'!E:E),
Groups!A:A,
Groups!L:L
)=1,
MIN(
MROUND(
IF(
_xlfn.XLOOKUP(B52,'Animals CE'!B:B,'Animals CE'!Z:Z)&lt;=1.5,
_xlfn.XLOOKUP(B52,'Animals CE'!B:B,'Animals CE'!Z:Z)/2+0.05,
0.8+
(_xlfn.XLOOKUP(B52,'Animals CE'!B:B,'Animals CE'!Z:Z)-1.5)
*0.02
),
0.05
),
200%
),
"No"
)</f>
        <v>No</v>
      </c>
      <c r="O52" s="8" t="str">
        <f>IF(
_xlfn.XLOOKUP(
_xlfn.XLOOKUP(B52,'Base stats'!B:B,'Base stats'!E:E),
Groups!A:A,
Groups!L:L
)=1,
MIN(
MROUND(
IF(
_xlfn.XLOOKUP(B52,'Animals CE'!B:B,'Animals CE'!AA:AA)&lt;=1.5,
_xlfn.XLOOKUP(B52,'Animals CE'!B:B,'Animals CE'!AA:AA)/2+0.05,
0.8+
(_xlfn.XLOOKUP(B52,'Animals CE'!B:B,'Animals CE'!AA:AA)-1.5)
*0.02
),
0.05
),
200%
),
"No"
)</f>
        <v>No</v>
      </c>
      <c r="P52" s="2" t="str">
        <f>_xlfn.XLOOKUP(B52,'Base stats'!B:B,'Base stats'!R:R)</f>
        <v>Standard</v>
      </c>
      <c r="Q52" s="13">
        <f>MROUND((LOG10(_xlfn.XLOOKUP(B52,'Base stats'!B:B,'Base stats'!AR:AR))*(AO52^0.5)+(_xlfn.XLOOKUP(B52,'Base stats'!B:B,'Base stats'!AR:AR)/1000)^(2/3)+_xlfn.XLOOKUP(B52,'Base stats'!B:B,'Base stats'!BA:BA)/2)+0.5,0.5)</f>
        <v>7</v>
      </c>
      <c r="R52" s="7">
        <f>IF(Q52="No","No",MAX(1,MROUND(_xlfn.XLOOKUP(B52,'Base stats'!B:B,'Base stats'!C:C)^0.165,0.05)))</f>
        <v>2</v>
      </c>
      <c r="S52" s="13">
        <f>IF(_xlfn.XLOOKUP(_xlfn.XLOOKUP(B52,'Base stats'!B:B,'Base stats'!E:E),Groups!A:A,Groups!P:P)=0,"No",MROUND((LOG10(_xlfn.XLOOKUP(B52,'Base stats'!B:B,'Base stats'!AS:AS))*(AO52^0.5)+(_xlfn.XLOOKUP(B52,'Base stats'!B:B,'Base stats'!AS:AS)/1000)^(2/3)+_xlfn.XLOOKUP(B52,'Base stats'!B:B,'Base stats'!BA:BA))+_xlfn.XLOOKUP(B52,'Base stats'!B:B,'Base stats'!AY:AY)+0.5,0.5))</f>
        <v>9</v>
      </c>
      <c r="T52" s="7">
        <f>IF(S52="No","No",MAX(_xlfn.XLOOKUP(_xlfn.XLOOKUP(B52,'Base stats'!B:B,'Base stats'!E:E),Groups!A:A,Groups!Q:Q),MROUND(_xlfn.XLOOKUP(_xlfn.XLOOKUP(B52,'Base stats'!B:B,'Base stats'!E:E),Groups!A:A,Groups!Q:Q)*_xlfn.XLOOKUP(B52,'Base stats'!B:B,'Base stats'!C:C)^0.165,0.05)))</f>
        <v>2</v>
      </c>
      <c r="U52" s="7" t="str">
        <f>IF(S52="No","No",_xlfn.XLOOKUP(_xlfn.XLOOKUP(B52,'Base stats'!B:B,'Base stats'!E:E),Groups!A:A,Groups!R:R))</f>
        <v>FrontLeftLeg, FrontRightLeg</v>
      </c>
      <c r="V52" s="7" t="str">
        <f>IF(S52="No","No",_xlfn.XLOOKUP(_xlfn.XLOOKUP(B52,'Base stats'!B:B,'Base stats'!E:E),Groups!A:A,Groups!S:S))</f>
        <v>left hoof, right hoof</v>
      </c>
      <c r="W52" s="7" t="str">
        <f>IF(S52="No","No",_xlfn.XLOOKUP(_xlfn.XLOOKUP(B52,'Base stats'!B:B,'Base stats'!E:E),Groups!A:A,Groups!T:T))</f>
        <v>Blunt</v>
      </c>
      <c r="X52" s="13">
        <f>IF(_xlfn.XLOOKUP(B52,'Base stats'!B:B,'Base stats'!W:W)="No","No",MROUND((LOG10(_xlfn.XLOOKUP(B52,'Base stats'!B:B,'Base stats'!AU:AU))*(AO52^0.5)+(_xlfn.XLOOKUP(B52,'Base stats'!B:B,'Base stats'!AU:AU)/1000)^(2/3)+_xlfn.XLOOKUP(B52,'Base stats'!B:B,'Base stats'!AZ:AZ))+0.5+IF(_xlfn.XLOOKUP(_xlfn.XLOOKUP(B52,'Base stats'!B:B,'Base stats'!E:E),Groups!A:A,Groups!U:U)&lt;&gt;3,_xlfn.XLOOKUP(B52,'Base stats'!B:B,'Base stats'!BA:BA),0),0.5))</f>
        <v>11</v>
      </c>
      <c r="Y52" s="7">
        <f>IF(X52="No","No",MAX(_xlfn.XLOOKUP(_xlfn.XLOOKUP(B52,'Base stats'!B:B,'Base stats'!E:E),Groups!A:A,Groups!V:V),MROUND(_xlfn.XLOOKUP(_xlfn.XLOOKUP(B52,'Base stats'!B:B,'Base stats'!E:E),Groups!A:A,Groups!V:V)*_xlfn.XLOOKUP(B52,'Base stats'!B:B,'Base stats'!C:C)^0.165,0.05)))</f>
        <v>1.7000000000000002</v>
      </c>
      <c r="Z52" s="7" t="str">
        <f>IF(X52="No","No",_xlfn.XLOOKUP(_xlfn.XLOOKUP(B52,'Base stats'!B:B,'Base stats'!E:E),Groups!A:A,Groups!W:W))</f>
        <v>HeadAttackTool</v>
      </c>
      <c r="AA52" s="7" t="str">
        <f>IF(X52="No","No",_xlfn.XLOOKUP(_xlfn.XLOOKUP(B52,'Base stats'!B:B,'Base stats'!E:E),Groups!A:A,Groups!X:X))</f>
        <v>horn</v>
      </c>
      <c r="AB52" s="7" t="str">
        <f>IF(X52="No","No",_xlfn.XLOOKUP(_xlfn.XLOOKUP(B52,'Base stats'!B:B,'Base stats'!E:E),Groups!A:A,Groups!Y:Y))</f>
        <v>Blunt</v>
      </c>
      <c r="AC52" s="7" t="str">
        <f>_xlfn.XLOOKUP(Animals!B52,'Base stats'!B:B,'Base stats'!X:X)</f>
        <v>True</v>
      </c>
      <c r="AD52" s="13" t="str">
        <f>IF(_xlfn.XLOOKUP(B52,'Base stats'!B:B,'Base stats'!AT:AT)="No","No",MROUND((LOG10(_xlfn.XLOOKUP(B52,'Base stats'!B:B,'Base stats'!AT:AT))*(AO52^0.75)+(_xlfn.XLOOKUP(B52,'Base stats'!B:B,'Base stats'!AT:AT)/1000)^(2/3)+_xlfn.XLOOKUP(B52,'Base stats'!B:B,'Base stats'!AX:AX)+_xlfn.XLOOKUP(B52,'Base stats'!B:B,'Base stats'!BA:BA))+0.5,0.5))</f>
        <v>No</v>
      </c>
      <c r="AE52" s="7" t="str">
        <f>IF(AD52="No","No",MAX(_xlfn.XLOOKUP(_xlfn.XLOOKUP(B52,'Base stats'!B:B,'Base stats'!E:E),Groups!A:A,Groups!Z:Z),MROUND(_xlfn.XLOOKUP(_xlfn.XLOOKUP(B52,'Base stats'!B:B,'Base stats'!E:E),Groups!A:A,Groups!Z:Z)*_xlfn.XLOOKUP(B52,'Base stats'!B:B,'Base stats'!C:C)^0.165,0.05)))</f>
        <v>No</v>
      </c>
      <c r="AF52" s="7" t="str">
        <f>IF(AD52="No","No",_xlfn.XLOOKUP(_xlfn.XLOOKUP(B52,'Base stats'!B:B,'Base stats'!E:E),Groups!A:A,Groups!AA:AA))</f>
        <v>No</v>
      </c>
      <c r="AG52" s="7" t="str">
        <f>IF(AD52="No","No",_xlfn.XLOOKUP(_xlfn.XLOOKUP(B52,'Base stats'!B:B,'Base stats'!E:E),Groups!A:A,Groups!AB:AB))</f>
        <v>No</v>
      </c>
      <c r="AH52" s="7" t="str">
        <f>IF(AD52="No","No",_xlfn.XLOOKUP(_xlfn.XLOOKUP(B52,'Base stats'!B:B,'Base stats'!E:E),Groups!A:A,Groups!AC:AC))</f>
        <v>No</v>
      </c>
      <c r="AI52" s="13" t="str">
        <f>IF(_xlfn.XLOOKUP(_xlfn.XLOOKUP(B52,'Base stats'!B:B,'Base stats'!E:E),Groups!A:A,Groups!AD:AD)=0,"No",MROUND((LOG10(_xlfn.XLOOKUP(B52,'Base stats'!B:B,'Base stats'!AS:AS))*(AO52^0.75)+(_xlfn.XLOOKUP(B52,'Base stats'!B:B,'Base stats'!AS:AS)/1000)^(2/3)+_xlfn.XLOOKUP(B52,'Base stats'!B:B,'Base stats'!AY:AY)+_xlfn.XLOOKUP(B52,'Base stats'!B:B,'Base stats'!BA:BA))+0.5,0.5))</f>
        <v>No</v>
      </c>
      <c r="AJ52" s="7" t="str">
        <f>IF(AI52="No","No",MAX(_xlfn.XLOOKUP(_xlfn.XLOOKUP(B52,'Base stats'!B:B,'Base stats'!E:E),Groups!A:A,Groups!AE:AE),MROUND(_xlfn.XLOOKUP(_xlfn.XLOOKUP(B52,'Base stats'!B:B,'Base stats'!E:E),Groups!A:A,Groups!AE:AE)*IF(_xlfn.XLOOKUP(_xlfn.XLOOKUP(B52,'Base stats'!B:B,'Base stats'!E:E),Groups!A:A,Groups!AJ:AJ)="Photonozoa",0.6,1)*_xlfn.XLOOKUP(B52,'Base stats'!B:B,'Base stats'!C:C)^0.165,0.05)))</f>
        <v>No</v>
      </c>
      <c r="AK52" s="7" t="str">
        <f>IF(AI52="No","No",_xlfn.XLOOKUP(_xlfn.XLOOKUP(B52,'Base stats'!B:B,'Base stats'!E:E),Groups!A:A,Groups!AF:AF))</f>
        <v>No</v>
      </c>
      <c r="AL52" s="7" t="str">
        <f>IF(AI52="No","No",_xlfn.XLOOKUP(_xlfn.XLOOKUP(B52,'Base stats'!B:B,'Base stats'!E:E),Groups!A:A,Groups!AG:AG))</f>
        <v>No</v>
      </c>
      <c r="AM52" s="7" t="str">
        <f>IF(AI52="No","No",_xlfn.XLOOKUP(_xlfn.XLOOKUP(B52,'Base stats'!B:B,'Base stats'!E:E),Groups!A:A,Groups!AH:AH))</f>
        <v>No</v>
      </c>
      <c r="AN52" s="2" t="str">
        <f t="shared" si="0"/>
        <v>No</v>
      </c>
      <c r="AO52" s="2">
        <f>MROUND(IF(AND(_xlfn.XLOOKUP(B52,'Base stats'!B:B,'Base stats'!C:C)&gt;=0.5,_xlfn.XLOOKUP(B52,'Base stats'!B:B,'Base stats'!C:C)&lt;=0.8),
IF(_xlfn.XLOOKUP(B52,'Base stats'!B:B,'Base stats'!C:C)&lt;0.1,0.05,IF(_xlfn.XLOOKUP(B52,'Base stats'!B:B,'Base stats'!C:C)&lt;=70,(_xlfn.XLOOKUP(B52,'Base stats'!B:B,'Base stats'!C:C)/70)^0.426489913056526,IF(_xlfn.XLOOKUP(B52,'Base stats'!B:B,'Base stats'!C:C)&lt;=400,(_xlfn.XLOOKUP(B52,'Base stats'!B:B,'Base stats'!C:C)/70)^0.572811455315093,IF(_xlfn.XLOOKUP(B52,'Base stats'!B:B,'Base stats'!C:C)&lt;=2000,2.71391647193063*(_xlfn.XLOOKUP(B52,'Base stats'!B:B,'Base stats'!C:C)/400)^0.252459582904293,3.74314280240376*(_xlfn.XLOOKUP(B52,'Base stats'!B:B,'Base stats'!C:C)/2000)^0.357012633876913)))),
IF(_xlfn.XLOOKUP(B52,'Base stats'!B:B,'Base stats'!C:C)&lt;0.1,0.05,IF(_xlfn.XLOOKUP(B52,'Base stats'!B:B,'Base stats'!C:C)&lt;0.4,0.1,IF(_xlfn.XLOOKUP(B52,'Base stats'!B:B,'Base stats'!C:C)&lt;=70,(_xlfn.XLOOKUP(B52,'Base stats'!B:B,'Base stats'!C:C)/70)^0.445823913056526,IF(_xlfn.XLOOKUP(B52,'Base stats'!B:B,'Base stats'!C:C)&lt;=400,(_xlfn.XLOOKUP(B52,'Base stats'!B:B,'Base stats'!C:C)/70)^0.572811455315093,IF(_xlfn.XLOOKUP(B52,'Base stats'!B:B,'Base stats'!C:C)&lt;=2000,2.71391647193063*(_xlfn.XLOOKUP(B52,'Base stats'!B:B,'Base stats'!C:C)/400)^0.252459582904293,3.74314280240376*(_xlfn.XLOOKUP(B52,'Base stats'!B:B,'Base stats'!C:C)/2000)^0.357012633876913)))))),
IF(_xlfn.XLOOKUP(B52,'Base stats'!B:B,'Base stats'!C:C)&lt;0.1,0.05,IF(_xlfn.XLOOKUP(B52,'Base stats'!B:B,'Base stats'!C:C)&lt;=100,0.05,IF(_xlfn.XLOOKUP(B52,'Base stats'!B:B,'Base stats'!C:C)&lt;=250,0.1,IF(_xlfn.XLOOKUP(B52,'Base stats'!B:B,'Base stats'!C:C)&lt;=4000,0.25,0.5)))))</f>
        <v>0.95000000000000007</v>
      </c>
      <c r="AP52" s="8">
        <f>MROUND(AO52*_xlfn.XLOOKUP(_xlfn.XLOOKUP(B52,'Base stats'!B:B,'Base stats'!E:E),Groups!A:A,Groups!AI:AI)*_xlfn.XLOOKUP(B52,'Base stats'!B:B,'Base stats'!Z:Z),0.05)</f>
        <v>0.95000000000000007</v>
      </c>
      <c r="AQ52" s="8">
        <f>MAX(0.01,MROUND(IF(CC52="True",0.196*(AO52*100*1000)^0.889,IF(_xlfn.XLOOKUP(_xlfn.XLOOKUP(B52,'Base stats'!B:B,'Base stats'!E:E),Groups!A:A,Groups!AJ:AJ)="Bird",10.5*(AO52*100*1000)^0.681,4.82*(AO52*100*1000)^0.734))/(4.82*(1*100*1000)^0.734)/IF(AO52&lt;3.5,2,IF(AO52=3.5,1.5,1.25))*(1+0.132282374779864/(AO52^0.994035016789033+0.00905238001496948)),0.05))</f>
        <v>0.55000000000000004</v>
      </c>
      <c r="AR52" s="9">
        <f>IFERROR(MROUND(_xlfn.XLOOKUP(B52,'Base stats'!B:B,'Base stats'!H:H)/IF(_xlfn.XLOOKUP(B52,'Base stats'!B:B,'Base stats'!I:I)&lt;&gt;1,(122.5/70),1.2),IF(_xlfn.XLOOKUP(B52,'Base stats'!B:B,'Base stats'!H:H)&gt;=30,5,IF(_xlfn.XLOOKUP(B52,'Base stats'!B:B,'Base stats'!H:H)&gt;=15,3,IF(_xlfn.XLOOKUP(B52,'Base stats'!B:B,'Base stats'!H:H)&gt;=10,2,1)))),"Immortal")</f>
        <v>12</v>
      </c>
      <c r="AS52" s="35">
        <f>IFERROR(IF(OR(_xlfn.XLOOKUP(B52,'Base stats'!B:B,'Base stats'!F:F)="Atypical reproduction",_xlfn.XLOOKUP(B52,'Base stats'!B:B,'Base stats'!F:F)="Lay eggs"),"Lay eggs",MIN(20,MAX(5.5,ROUND(((_xlfn.XLOOKUP(B52,'Base stats'!B:B,'Base stats'!F:F)-25)*(14.5/615) + 5.5)*2,0)/2))),"Unknown")</f>
        <v>8.5</v>
      </c>
      <c r="AT52" s="8">
        <f>IF(_xlfn.XLOOKUP(B52,'Base stats'!B:B,'Base stats'!G:G)="Atypical reproduction","No",IFERROR(MAX(IF(_xlfn.XLOOKUP(B52,'Base stats'!B:B,'Base stats'!G:G)&lt;0.5,0.2,0.3),MROUND(_xlfn.XLOOKUP(B52,'Base stats'!B:B,'Base stats'!G:G)/(365/60),0.2)),"Unknown"))</f>
        <v>0.3</v>
      </c>
      <c r="AU52" s="8">
        <f t="shared" si="1"/>
        <v>0.15000000000000002</v>
      </c>
      <c r="AV52" s="8">
        <f>IFERROR(IFERROR(MROUND(_xlfn.XLOOKUP(B52,'Base stats'!B:B,'Base stats'!J:J),0.1),"Lay eggs"),"Cannot breed")</f>
        <v>1.6</v>
      </c>
      <c r="AW52" s="2" t="str">
        <f t="shared" si="2"/>
        <v>true</v>
      </c>
      <c r="AX52" s="2" t="str">
        <f>IF(_xlfn.XLOOKUP(_xlfn.XLOOKUP(Animals!B52,'Base stats'!B:B,'Base stats'!E:E),Groups!A:A,Groups!AK:AK)=1,"true","false")</f>
        <v>true</v>
      </c>
      <c r="AY52" s="25" t="str">
        <f>IF(_xlfn.XLOOKUP(B52,'Base stats'!B:B,'Base stats'!Y:Y)="Liquor","Liquor, CarnivoreAnimalStrict",IF(AND(_xlfn.XLOOKUP(B52,'Base stats'!B:B,'Base stats'!Y:Y)="Carnivore",_xlfn.XLOOKUP(_xlfn.XLOOKUP(B52,'Base stats'!B:B,'Base stats'!E:E),Groups!A:A,Groups!AJ:AJ)="Photonozoa"),"CarnivoreAnimalStrict, OvivoreAnimal",IF(_xlfn.XLOOKUP(B52,'Base stats'!B:B,'Base stats'!Y:Y)="Carnivore","CarnivoreAnimal, OvivoreAnimal",IF(_xlfn.XLOOKUP(B52,'Base stats'!B:B,'Base stats'!Y:Y)="Dendrovore","VegetarianRoughAnimal, DendrovoreAnimal",IF(_xlfn.XLOOKUP(B52,'Base stats'!B:B,'Base stats'!Y:Y)="Herbivore","VegetarianRoughAnimal",IF(_xlfn.XLOOKUP(B52,'Base stats'!B:B,'Base stats'!Y:Y)="OmnivoreRough","OmnivoreRoughAnimal, OvivoreAnimal","OmnivoreAnimal, OvivoreAnimal"))))))</f>
        <v>VegetarianRoughAnimal</v>
      </c>
      <c r="AZ52" s="2">
        <f>IF(_xlfn.XLOOKUP(_xlfn.XLOOKUP(B52,'Base stats'!B:B,'Base stats'!E:E),Groups!A:A,Groups!D:D)=1,MROUND((1-J52)*5+1,2)*IF(J52&lt;=0.4,2,1),"No")</f>
        <v>12</v>
      </c>
      <c r="BA52" s="2" t="str">
        <f>IF(AND(_xlfn.XLOOKUP(B52,'Base stats'!B:B,'Base stats'!AH:AH)="&lt;li&gt;Seal&lt;/li&gt;",G52="Odyssey"),"&lt;li&gt;AEXP_Seal&lt;/li&gt;",_xlfn.XLOOKUP(B52,'Base stats'!B:B,'Base stats'!AH:AH))</f>
        <v>No</v>
      </c>
      <c r="BB52" s="2" t="str">
        <f>_xlfn.XLOOKUP(B52,'Base stats'!B:B,'Base stats'!AG:AG)</f>
        <v>Leather_Plain</v>
      </c>
      <c r="BC52" s="23" t="str">
        <f>_xlfn.XLOOKUP(_xlfn.XLOOKUP(B52,'Base stats'!B:B,'Base stats'!E:E),Groups!A:A,Groups!AL:AL)</f>
        <v>QuadrupedAnimalWithHooves</v>
      </c>
      <c r="BD52" s="23">
        <f>MIN(1,MROUND(IF(AND(AO52&lt;0.5,_xlfn.XLOOKUP(B52,'Base stats'!B:B,'Base stats'!AA:AA)=0),0,IF(OR(_xlfn.XLOOKUP(Animals!B52,'Base stats'!B:B,'Base stats'!O:O)=2,_xlfn.XLOOKUP(_xlfn.XLOOKUP(B52,'Base stats'!B:B,'Base stats'!E:E),Groups!A:A,Groups!AN:AN)=0),0,_xlfn.XLOOKUP(_xlfn.XLOOKUP(B52,'Base stats'!B:B,'Base stats'!E:E),Groups!A:A,Groups!AN:AN)/IF(_xlfn.XLOOKUP(Animals!B52,'Base stats'!B:B,'Base stats'!O:O)=1,2,1)))+_xlfn.XLOOKUP(B52,'Base stats'!B:B,'Base stats'!AC:AC),0.005))</f>
        <v>0</v>
      </c>
      <c r="BE52" s="23">
        <f>MIN(1,MROUND(IF(AND(AO52&lt;0.5,_xlfn.XLOOKUP(B52,'Base stats'!B:B,'Base stats'!AA:AA)=0),0,IF(_xlfn.XLOOKUP(_xlfn.XLOOKUP(B52,'Base stats'!B:B,'Base stats'!E:E),Groups!A:A,Groups!AO:AO)=0,0,_xlfn.XLOOKUP(_xlfn.XLOOKUP(B52,'Base stats'!B:B,'Base stats'!E:E),Groups!A:A,Groups!AO:AO)/IF(_xlfn.XLOOKUP(Animals!B52,'Base stats'!B:B,'Base stats'!O:O)=2,3,1)))+_xlfn.XLOOKUP(B52,'Base stats'!B:B,'Base stats'!AD:AD),0.005))</f>
        <v>0</v>
      </c>
      <c r="BF52" s="2" t="str">
        <f>IF(J52&gt;0.3,"No",_xlfn.XLOOKUP(_xlfn.XLOOKUP(Animals!B52,'Base stats'!B:B,'Base stats'!E:E),Groups!A:A,Groups!AP:AP))</f>
        <v>No</v>
      </c>
      <c r="BG52" s="2" t="str">
        <f>IF(AND(J52&lt;=0.65,_xlfn.XLOOKUP(_xlfn.XLOOKUP(Animals!B52,'Base stats'!B:B,'Base stats'!E:E),Groups!A:A,Groups!AP:AP)&lt;&gt;"No",_xlfn.XLOOKUP(_xlfn.XLOOKUP(B52,'Base stats'!B:B,'Base stats'!E:E),Groups!A:A,Groups!D:D)=0),MROUND((80/3)*IF(_xlfn.XLOOKUP(B52,'Base stats'!B:B,'Base stats'!O:O)=2,0.2,AO52) + 24*(1-IF(BF52="No",0,BF52)) + 16/3, 12),"No")</f>
        <v>No</v>
      </c>
      <c r="BH52" s="2">
        <f>IF(AND(_xlfn.XLOOKUP(_xlfn.XLOOKUP(B52,'Base stats'!B:B,'Base stats'!E:E),Groups!A:A,Groups!AQ:AQ)=1,AO52&lt;=0.35),8,12)</f>
        <v>12</v>
      </c>
      <c r="BI52" s="2" t="str">
        <f>IF(_xlfn.XLOOKUP(_xlfn.XLOOKUP(B52,'Base stats'!B:B,'Base stats'!E:E),Groups!A:A,Groups!D:D)=0,_xlfn.XLOOKUP(_xlfn.XLOOKUP(B52,'Base stats'!B:B,'Base stats'!E:E),Groups!A:A,Groups!AR:AR),"None")</f>
        <v>None</v>
      </c>
      <c r="BJ52" s="2" t="str">
        <f>IF(AND(_xlfn.XLOOKUP(_xlfn.XLOOKUP(B52,'Base stats'!B:B,'Base stats'!E:E),Groups!A:A,Groups!AS:AS)=1,OR(_xlfn.XLOOKUP(B52,'Base stats'!B:B,'Base stats'!Y:Y)="Carnivore",_xlfn.XLOOKUP(B52,'Base stats'!B:B,'Base stats'!Y:Y)="Omnivore")),"true","false")</f>
        <v>false</v>
      </c>
      <c r="BK52" s="2" t="str">
        <f>IF(BJ52="true",MROUND(IF(AND(AO52&gt;0.5,OR(_xlfn.XLOOKUP(_xlfn.XLOOKUP(B52,'Base stats'!B:B,'Base stats'!E:E),Groups!A:A,Groups!AJ:AJ)="Photonozoa",_xlfn.XLOOKUP(_xlfn.XLOOKUP(B52,'Base stats'!B:B,'Base stats'!E:E),Groups!A:A,Groups!AJ:AJ)="Mammal")),Animals!AO52*1.75*IF(AW52="true",1.5,1),IF(AO52&lt;0.5,Animals!AO52*0.5,Animals!AO52)),IF(AO52&gt;2,0.5,IF(AO52&gt;0.5,0.25,0.1))),"No")</f>
        <v>No</v>
      </c>
      <c r="BL52" s="2">
        <f t="shared" si="3"/>
        <v>0</v>
      </c>
      <c r="BM52" s="25" t="str">
        <f>IF(_xlfn.XLOOKUP(B52,'Base stats'!B:B,'Base stats'!AN:AN)="Standard","No",MROUND((_xlfn.XLOOKUP(B52,'Base stats'!B:B,'Base stats'!AN:AN)/3.6)/I52,0.1))</f>
        <v>No</v>
      </c>
      <c r="BN52" s="25" t="str">
        <f t="shared" si="4"/>
        <v>false</v>
      </c>
      <c r="BO52" s="25" t="str">
        <f>IF(AND(OR(_xlfn.XLOOKUP(B52,'Base stats'!B:B,'Base stats'!Y:Y)="Carnivore",_xlfn.XLOOKUP(B52,'Base stats'!B:B,'Base stats'!Y:Y)="Omnivore",_xlfn.XLOOKUP(B52,'Base stats'!B:B,'Base stats'!Y:Y)="OmnivoreRough"),_xlfn.XLOOKUP(_xlfn.XLOOKUP(B52,'Base stats'!B:B,'Base stats'!E:E),Groups!A:A,Groups!AT:AT)=1),"true","false")</f>
        <v>false</v>
      </c>
      <c r="BP52" s="25" t="str" cm="1">
        <f t="array" ref="BP52">IF(
  _xlfn.TEXTJOIN(", ",TRUE,
    IF(AND(BJ52="true",AO52&gt;0.5,BI52&lt;&gt;"None"),"AttackTarget",""),
    IF(AND(_xlfn.XLOOKUP(_xlfn.XLOOKUP(B52,'Base stats'!B:B,'Base stats'!E:E),Groups!A:A,Groups!AJ:AJ="Mammal"),OR(_xlfn.XLOOKUP(B52,'Base stats'!B:B,'Base stats'!Y:Y)="Omnivore",_xlfn.XLOOKUP(B52,'Base stats'!B:B,'Base stats'!Y:Y)="OmnivoreRough")),"Forage",""),
    IF(BG52&lt;=36,"Comfort",""),
    IF(_xlfn.XLOOKUP(B52,'Base stats'!B:B,'Base stats'!AE:AE)&lt;&gt;"No",_xlfn.XLOOKUP(B52,'Base stats'!B:B,'Base stats'!AE:AE),"")
  ) = "",
  "No",
  _xlfn.TEXTJOIN(", ",TRUE,
    IF(AND(BJ52="true",AO52&gt;0.5,BI52&lt;&gt;"None"),"AttackTarget",""),
    IF(AND(_xlfn.XLOOKUP(_xlfn.XLOOKUP(B52,'Base stats'!B:B,'Base stats'!E:E),Groups!A:A,Groups!AJ:AJ="Mammal"),OR(_xlfn.XLOOKUP(B52,'Base stats'!B:B,'Base stats'!Y:Y)="Omnivore",_xlfn.XLOOKUP(B52,'Base stats'!B:B,'Base stats'!Y:Y)="OmnivoreRough")),"Forage",""),
    IF(BG52&lt;=36,"Comfort",""),
    IF(_xlfn.XLOOKUP(B52,'Base stats'!B:B,'Base stats'!AE:AE)&lt;&gt;"No",_xlfn.XLOOKUP(B52,'Base stats'!B:B,'Base stats'!AE:AE),"")
  )
)</f>
        <v>No</v>
      </c>
      <c r="BQ52" s="25" t="str">
        <f>IF(
   AND(
      'Base stats'!AN52="Standard",_xlfn.XLOOKUP(_xlfn.XLOOKUP(B52,'Base stats'!B:B,'Base stats'!E:E),Groups!A:A,Groups!AU:AU)=0,
      OR(
      BO52="True"
      )
   ),
   10,
   IF(
       OR(BM52&lt;&gt;"No",_xlfn.XLOOKUP(_xlfn.XLOOKUP(B52,'Base stats'!B:B,'Base stats'!E:E),Groups!A:A,Groups!AU:AU)=1),
      1,
      "No"
   )
)</f>
        <v>No</v>
      </c>
      <c r="BR52" s="9">
        <f>MROUND((1 + ((0.2*IF(OR(Q52="No",R52="No",R52=0),0,Q52/R52)
+IF(OR(V52="No",S52="No",T52="No"),0,S52/T52*(LEN(V52)-LEN(SUBSTITUTE(V52,",",""))+1))
+IF(OR(X52="No",Y52="No"),0,X52/Y52)
+IF(OR(AD52="No",AE52="No"),0,AD52/AE52)
+IF(OR(AL52="No",AI52="No",AJ52="No"),0,AI52/AJ52*(LEN(AL52)-LEN(SUBSTITUTE(AL52,",",""))+1))
)/(0.2*IF(OR(Q52="No",R52="No",R52=0),0,1)
+IF(OR(V52="No",S52="No",T52="No"),0,LEN(V52)-LEN(SUBSTITUTE(V52,",",""))+1)
+IF(OR(X52="No",Y52="No"),0,1)
+IF(OR(AD52="No",AE52="No"),0,1)
+IF(OR(AL52="No",AI52="No",AJ52="No"),0,LEN(AL52)-LEN(SUBSTITUTE(AL52,",",""))+1))*62%)* 2)*(1 + (AP52 / (IF(_xlfn.XLOOKUP(_xlfn.XLOOKUP(B52,'Base stats'!B:B,'Base stats'!E:E),Groups!A:A,Groups!AJ:AJ)="Photonozoa",0.3,1)) + _xlfn.XLOOKUP(B52,'Base stats'!B:B,'Base stats'!AV:AV) * 1.8) * 2) * 2.5 + 10 + I52 * 2,5)+IF(_xlfn.XLOOKUP(B52,'Base stats'!B:B,'Base stats'!AK:AK)=1,50,0)</f>
        <v>70</v>
      </c>
      <c r="BS52" s="8">
        <f t="shared" si="5"/>
        <v>0.65</v>
      </c>
      <c r="BT52" s="8" t="str">
        <f>_xlfn.XLOOKUP(B52,'Base stats'!B:B,'Base stats'!AF:AF)</f>
        <v>3~10</v>
      </c>
      <c r="BU52" s="2" t="str">
        <f>IF(AND(J52&lt;=0.95,OR(_xlfn.XLOOKUP(B52,'Base stats'!B:B,'Base stats'!AK:AK)=1,_xlfn.XLOOKUP(B52,'Base stats'!B:B,'Base stats'!Y:Y)="Carnivore",_xlfn.XLOOKUP(B52,'Base stats'!B:B,'Base stats'!Y:Y)="Omnivore",BE52&gt;0.1)),"true","false")</f>
        <v>false</v>
      </c>
      <c r="BV52" s="2" t="str">
        <f>IF(_xlfn.XLOOKUP(B52,'Base stats'!B:B,'Base stats'!AI:AI)=1,"true","false")</f>
        <v>false</v>
      </c>
      <c r="BW52" s="25" t="str">
        <f>IF(E52="BaseInsect","AnimalInsect",
IF(J52&gt;0.95,"AnimalExotic",
_xlfn.TEXTJOIN(", ",TRUE,
IF(OR(_xlfn.XLOOKUP(B52,'Base stats'!B:B,'Base stats'!AM:AM)=1,AND(_xlfn.XLOOKUP(B52,'Base stats'!B:B,'Base stats'!O:O)=0,_xlfn.XLOOKUP(_xlfn.XLOOKUP(B52,'Base stats'!B:B,'Base stats'!E:E),Groups!A:A,Groups!B:B)&gt;0)),"AnimalUncommon","AnimalCommon"),
IF(AND(_xlfn.XLOOKUP(B52,'Base stats'!B:B,'Base stats'!O:O)=2,_xlfn.XLOOKUP(_xlfn.XLOOKUP(B52,'Base stats'!B:B,'Base stats'!E:E),Groups!A:A,Groups!D:D)=0),"AnimalPet",IF(AND(_xlfn.XLOOKUP(B52,'Base stats'!B:B,'Base stats'!O:O)&lt;&gt;0,_xlfn.XLOOKUP(_xlfn.XLOOKUP(B52,'Base stats'!B:B,'Base stats'!E:E),Groups!A:A,Groups!D:D)&lt;&gt;0),"AnimalFarm","")),
IF(OR(_xlfn.XLOOKUP(B52,'Base stats'!B:B,'Base stats'!AK:AK)=1,AND(BI52&lt;&gt;"None",BR52&gt;=60),ISNUMBER(SEARCH("Attack target",BP52))),"AnimalFighter","")
)))</f>
        <v>AnimalCommon, AnimalFarm</v>
      </c>
      <c r="BX52" s="25" t="str">
        <f>IF(G52="None",TRIM(
SUBSTITUTE(
IF(COUNTIF(Biomes!B$2:B$259,"="&amp;$C52)&gt;0,Biomes!B$1&amp;", ","")&amp;
IF(COUNTIF(Biomes!C$2:C$259,"="&amp;$C52)&gt;0,Biomes!C$1&amp;", ","")&amp;
IF(COUNTIF(Biomes!D$2:D$259,"="&amp;$C52)&gt;0,Biomes!D$1&amp;", ","")&amp;
IF(COUNTIF(Biomes!F$2:F$259,"="&amp;$C52)&gt;0,Biomes!F$1&amp;", ","")&amp;
IF(COUNTIF(Biomes!G$2:G$259,"="&amp;$C52)&gt;0,Biomes!G$1&amp;", ","")&amp;
IF(COUNTIF(Biomes!H$2:H$259,"="&amp;$C52)&gt;0,Biomes!H$1&amp;", ","")&amp;
IF(COUNTIF(Biomes!I$2:I$259,"="&amp;$C52)&gt;0,Biomes!I$1&amp;", ","")&amp;
IF(COUNTIF(Biomes!J$2:J$259,"="&amp;$C52)&gt;0,Biomes!J$1&amp;", ","")&amp;
IF(COUNTIF(Biomes!M$2:M$259,"="&amp;$C52)&gt;0,Biomes!M$1&amp;", ","")&amp;
IF(COUNTIF(Biomes!N$2:N$259,"="&amp;$C52)&gt;0,Biomes!N$1&amp;", ","")&amp;
IF(COUNTIF(Biomes!O$2:O$259,"="&amp;$C52)&gt;0,Biomes!O$1&amp;", ","")&amp;
IF(COUNTIF(Biomes!P$2:P$259,"="&amp;$C52)&gt;0,Biomes!P$1&amp;", ","")&amp;
IF(COUNTIF(Biomes!K$2:K$259,"="&amp;$C52)&gt;0,Biomes!K$1&amp;", ","")&amp;
IF(COUNTIF(Biomes!Q$3:Q$259,"="&amp;$C52)&gt;0,Biomes!Q$1&amp;", ","")&amp;
IF(COUNTIF(Biomes!L$2:L$259,"="&amp;$C52)&gt;0,Biomes!L$1&amp;", ","")&amp;
IF(COUNTIF(Biomes!E$2:E$259,"="&amp;$C52)&gt;0,Biomes!E$1&amp;", ","")&amp;IF(COUNTIF(Biomes!S$2:S$259,"="&amp;$C52)&gt;0,Biomes!S$1&amp;", ","")&amp;
IF(COUNTIF(Biomes!R$2:R$259,"="&amp;$C52)&gt;0,Biomes!R$1&amp;", ",""),", ","")
),_xlfn.XLOOKUP(B52,B:B,BX:BX))</f>
        <v/>
      </c>
      <c r="BY52" s="25" t="str">
        <f>IF(_xlfn.XLOOKUP(B52,'Base stats'!B:B,'Base stats'!AJ:AJ)=1,"true","false")</f>
        <v>false</v>
      </c>
      <c r="BZ52" s="25">
        <f>IF(_xlfn.XLOOKUP(B52,'Base stats'!B:B,'Base stats'!N:N)=1,"No",MAX(0.001,MIN(MROUND(IF(AND(BJ52="True",CC52="False"),POWER(10,3.47*LOG10(_xlfn.XLOOKUP(B52,'Base stats'!B:B,'Base stats'!C:C)*1000)^-0.96),POWER(10,4.15*LOG10(_xlfn.XLOOKUP(B52,'Base stats'!B:B,'Base stats'!C:C)*1000)^-0.73))*IF(_xlfn.XLOOKUP(B52,'Base stats'!B:B,'Base stats'!AK:AK)=1,0.5,1)*IF(_xlfn.XLOOKUP(B52,'Base stats'!B:B,'Base stats'!AM:AM)=1,0.1,1)/100,IF(_xlfn.XLOOKUP(B52,'Base stats'!B:B,'Base stats'!AM:AM)=1,0.001,0.025)),0.5)))</f>
        <v>0.2</v>
      </c>
      <c r="CA52" s="25" t="str">
        <f>IF(P52="Standard","No",MAX(0.001,MIN(MROUND(IF(AND(BJ52="True",CC52="False"),POWER(10,3.47*LOG10(_xlfn.XLOOKUP(B52,'Base stats'!B:B,'Base stats'!C:C)*1000)^-0.96),POWER(10,4.15*LOG10(_xlfn.XLOOKUP(B52,'Base stats'!B:B,'Base stats'!C:C)*1000)^-0.73))*IF(_xlfn.XLOOKUP(B52,'Base stats'!B:B,'Base stats'!AM:AM)=1,0.1,1)*_xlfn.XLOOKUP(B52,'Base stats'!B:B,'Base stats'!R:R)/100,IF(_xlfn.XLOOKUP(B52,'Base stats'!B:B,'Base stats'!AM:AM)=1,0.001,0.025)),0.5)))</f>
        <v>No</v>
      </c>
      <c r="CB52" s="25" t="str">
        <f>IF(_xlfn.XLOOKUP(_xlfn.XLOOKUP(B52,'Base stats'!B:B,'Base stats'!E:E),Groups!A:A,Groups!AJ:AJ)="Mammal","True","False")</f>
        <v>True</v>
      </c>
      <c r="CC52" s="25" t="str">
        <f>IF(OR(_xlfn.XLOOKUP(_xlfn.XLOOKUP(B52,'Base stats'!B:B,'Base stats'!E:E),Groups!A:A,Groups!AJ:AJ)="Reptile",_xlfn.XLOOKUP(_xlfn.XLOOKUP(B52,'Base stats'!B:B,'Base stats'!E:E),Groups!A:A,Groups!AJ:AJ)="Amphibian",_xlfn.XLOOKUP(_xlfn.XLOOKUP(B52,'Base stats'!B:B,'Base stats'!E:E),Groups!A:A,Groups!AJ:AJ)="Invertebrate"),"True","False")</f>
        <v>False</v>
      </c>
      <c r="CD52" s="25" t="str">
        <f t="shared" si="6"/>
        <v>False</v>
      </c>
      <c r="CE52" s="25" t="str">
        <f>IF(_xlfn.XLOOKUP(_xlfn.XLOOKUP(B52,'Base stats'!B:B,'Base stats'!E:E),Groups!A:A,Groups!AX:AX),"True","False")</f>
        <v>False</v>
      </c>
      <c r="CF52" s="25" t="str">
        <f>IF(_xlfn.XLOOKUP(_xlfn.XLOOKUP(B52,'Base stats'!B:B,'Base stats'!E:E),Groups!A:A,Groups!AY:AY),"True","False")</f>
        <v>False</v>
      </c>
      <c r="CG52" s="25" t="str">
        <f>IF(_xlfn.XLOOKUP(_xlfn.XLOOKUP(B52,'Base stats'!B:B,'Base stats'!E:E),Groups!A:A,Groups!AW:AW),"True","False")</f>
        <v>False</v>
      </c>
      <c r="CH52" s="25" t="str">
        <f>IF(
OR(
_xlfn.XLOOKUP(_xlfn.XLOOKUP(B52,'Base stats'!B:B,'Base stats'!E:E),Groups!A:A,Groups!AZ:AZ)=0,
AND(
_xlfn.XLOOKUP(B52,'Base stats'!B:B,'Base stats'!Y:Y)&lt;&gt;"Carnivore",
_xlfn.XLOOKUP(B52,'Base stats'!B:B,'Base stats'!Y:Y)&lt;&gt;"Omnivore",
_xlfn.XLOOKUP(B52,'Base stats'!B:B,'Base stats'!Y:Y)&lt;&gt;"OmnivoreRough"
)
),
"No",
IF(
_xlfn.XLOOKUP(_xlfn.XLOOKUP(B52,'Base stats'!B:B,'Base stats'!E:E),Groups!A:A,Groups!AZ:AZ)=1,
"Flesh",
IF(
_xlfn.XLOOKUP(_xlfn.XLOOKUP(B52,'Base stats'!B:B,'Base stats'!E:E),Groups!A:A,Groups!AZ:AZ)=2,
"Bone",
""
)
)
)</f>
        <v>No</v>
      </c>
      <c r="CI52" s="25" t="str">
        <f>IF(_xlfn.XLOOKUP(_xlfn.XLOOKUP(B52,'Base stats'!B:B,'Base stats'!E:E),Groups!A:A,Groups!BB:BB),"True","False")</f>
        <v>True</v>
      </c>
      <c r="CJ52" s="25" t="str">
        <f>IF(_xlfn.XLOOKUP(_xlfn.XLOOKUP(B52,'Base stats'!B:B,'Base stats'!E:E),Groups!A:A,Groups!BA:BA),"True","False")</f>
        <v>False</v>
      </c>
    </row>
    <row r="53" spans="1:88" ht="16.5" thickTop="1" thickBot="1" x14ac:dyDescent="0.3">
      <c r="A53" s="26" t="str">
        <f>_xlfn.XLOOKUP(B53,'Base stats'!B:B,'Base stats'!A:A)</f>
        <v>Deer</v>
      </c>
      <c r="B53" s="6" t="s">
        <v>229</v>
      </c>
      <c r="C53" s="28" t="s">
        <v>728</v>
      </c>
      <c r="D53" s="28" t="s">
        <v>45</v>
      </c>
      <c r="E53" s="28" t="s">
        <v>673</v>
      </c>
      <c r="F53" s="28" t="s">
        <v>673</v>
      </c>
      <c r="G53" s="28" t="s">
        <v>673</v>
      </c>
      <c r="H53" s="2">
        <f>MROUND((
  (IF(AND(_xlfn.XLOOKUP(B53,'Base stats'!B:B,'Base stats'!AL:AL)=0,BI53="None",_xlfn.XLOOKUP(_xlfn.XLOOKUP(B53,'Base stats'!B:B,'Base stats'!E:E),Groups!A:A,Groups!B:B)=0), (18 + BR53 * 2.7) * 0.5,
    IF(AND(_xlfn.XLOOKUP(B53,'Base stats'!B:B,'Base stats'!AL:AL)=0,OR(AO53&lt;0.55,AND(BI53="Intermediate",_xlfn.XLOOKUP(_xlfn.XLOOKUP(B53,'Base stats'!B:B,'Base stats'!E:E),Groups!A:A,Groups!B:B)&lt;2))), (18 + BR53 * 2.7),
      IF(OR(BI53="Advanced",_xlfn.XLOOKUP(B53,'Base stats'!B:B,'Base stats'!AL:AL)=1,_xlfn.XLOOKUP(_xlfn.XLOOKUP(B53,'Base stats'!B:B,'Base stats'!E:E),Groups!A:A,Groups!B:B)=2), (18 + BR53 * 2.7) + 250, (18 + BR53 * 2.7))
    )
  ))
  + AO53 * 80
  + IF(COUNTIF(EggMilk!K$2:K$998, A53) &gt; 0, 125, 0)
  + IF(COUNTIF(EggMilk!P$2:P$998, A53) &gt; 0, 90, 0)
  + IF(COUNTIF(EggMilk!A$2:A$998, A53) &gt; 0, 90, 0)
)
* (0.8 + 0.4 * J53)
* 0.75,25)</f>
        <v>125</v>
      </c>
      <c r="I53" s="2">
        <f>MROUND(ROUNDDOWN(_xlfn.XLOOKUP(B53,'Base stats'!B:B,'Base stats'!L:L)/3.6/(23.3/11),1),0.5)</f>
        <v>8</v>
      </c>
      <c r="J53" s="2">
        <f>IF(OR(_xlfn.XLOOKUP(B53,'Base stats'!B:B,'Base stats'!AB:AB)=1,_xlfn.XLOOKUP(_xlfn.XLOOKUP(B53,'Base stats'!B:B,'Base stats'!E:E),Groups!A:A,Groups!C:C)="Untamable"),1,IF(_xlfn.XLOOKUP(B53,'Base stats'!B:B,'Base stats'!AL:AL)=1,0.99,MIN(MROUND((1-0.6282*EXP(-0.459*AO53))*_xlfn.XLOOKUP(_xlfn.XLOOKUP(B53,'Base stats'!B:B,'Base stats'!E:E),Groups!A:A,Groups!C:C)*IF(_xlfn.XLOOKUP(B53,'Base stats'!B:B,'Base stats'!O:O)=1,0.5,IF(_xlfn.XLOOKUP(B53,'Base stats'!B:B,'Base stats'!O:O)=2,0,1)),0.05),IF(AO53&gt;3.5,0.985,0.95))))</f>
        <v>0.5</v>
      </c>
      <c r="K53" s="2">
        <f>ROUNDUP(AO53*_xlfn.XLOOKUP(_xlfn.XLOOKUP(B53,'Base stats'!B:B,'Base stats'!E:E),Groups!A:A,Groups!E:E),0)</f>
        <v>5</v>
      </c>
      <c r="L53" s="2">
        <f>IF(OR(_xlfn.XLOOKUP(_xlfn.XLOOKUP(B53,'Base stats'!B:B,'Base stats'!E:E),Groups!A:A,Groups!F:F)=2,ISNUMBER(SEARCH("SeaIce",BX53)),ISNUMBER(SEARCH("IceSheet",BX53))),-50,IF(OR(ISNUMBER(SEARCH("GlacialPlain",BX53)),ISNUMBER(SEARCH("Tundra",BX53))),-40,IF(OR(ISNUMBER(SEARCH("Alpine",BX53)),ISNUMBER(SEARCH("BorealForest",BX53)),ISNUMBER(SEARCH("ColdBog",BX53))),-30,IF(OR(ISNUMBER(SEARCH("TemperateForest",BX53)),ISNUMBER(SEARCH("TemperateSwamp",BX53))),-20,IF(_xlfn.XLOOKUP(_xlfn.XLOOKUP(B53,'Base stats'!B:B,'Base stats'!E:E),Groups!A:A,Groups!F:F)=1,-15,IF(OR(ISNUMBER(SEARCH("Desert",BX53)),ISNUMBER(SEARCH("ExtremeDesert",BX53))),-10,IF(OR(ISNUMBER(SEARCH("Grasslands",BX53)),ISNUMBER(SEARCH("TropicalRainforest",BX53)),ISNUMBER(SEARCH("TropicalSwamp",BX53))),10,0)))))))-IF(CC53="False",MIN(IFERROR(MAX(MROUND(LOG10(_xlfn.XLOOKUP(B53,'Base stats'!B:B,'Base stats'!C:C)^(2/3))*10,5),5),5),30))-_xlfn.XLOOKUP(B53,'Base stats'!B:B,'Base stats'!P:P)+IF(CC53="True",5,0)</f>
        <v>-50</v>
      </c>
      <c r="M53" s="2">
        <f>IF(OR(_xlfn.XLOOKUP(_xlfn.XLOOKUP(B53,'Base stats'!B:B,'Base stats'!E:E),Groups!A:A,Groups!G:G)=2,ISNUMBER(SEARCH("Desert",BX53)),ISNUMBER(SEARCH("ExtremeDesert",BX53)),ISNUMBER(SEARCH("LavaField",BX53))),50,IF(ISNUMBER(SEARCH("Grasslands",BX53)),45,IF(OR(_xlfn.XLOOKUP(_xlfn.XLOOKUP(B53,'Base stats'!B:B,'Base stats'!E:E),Groups!A:A,Groups!G:G)=1,ISNUMBER(SEARCH("TropicalRainforest",BX53)),ISNUMBER(SEARCH("TropicalSwamp",BX53))),40,IF(OR(ISNUMBER(SEARCH("TemperateForest",BX53)),ISNUMBER(SEARCH("TemperateSwamp",BX53))),35,IF(OR(ISNUMBER(SEARCH("Alpine",BX53)),ISNUMBER(SEARCH("BorealForest",BX53)),ISNUMBER(SEARCH("ColdBog",BX53))),30,IF(ISNUMBER(OR(ISNUMBER(SEARCH("GlacialPlain",BX53)),SEARCH("Tundra",BX53))),25,IF(OR(ISNUMBER(SEARCH("SeaIce",BX53)),ISNUMBER(SEARCH("IceSheet",BX53)),ISNUMBER(SEARCH("TropicalSwamp",BX53))),10,35)))))))+_xlfn.XLOOKUP(B53,'Base stats'!B:B,'Base stats'!Q:Q)</f>
        <v>35</v>
      </c>
      <c r="N53" s="8" t="str">
        <f>IF(
_xlfn.XLOOKUP(
_xlfn.XLOOKUP(B53,'Base stats'!B:B,'Base stats'!E:E),
Groups!A:A,
Groups!L:L
)=1,
MIN(
MROUND(
IF(
_xlfn.XLOOKUP(B53,'Animals CE'!B:B,'Animals CE'!Z:Z)&lt;=1.5,
_xlfn.XLOOKUP(B53,'Animals CE'!B:B,'Animals CE'!Z:Z)/2+0.05,
0.8+
(_xlfn.XLOOKUP(B53,'Animals CE'!B:B,'Animals CE'!Z:Z)-1.5)
*0.02
),
0.05
),
200%
),
"No"
)</f>
        <v>No</v>
      </c>
      <c r="O53" s="8" t="str">
        <f>IF(
_xlfn.XLOOKUP(
_xlfn.XLOOKUP(B53,'Base stats'!B:B,'Base stats'!E:E),
Groups!A:A,
Groups!L:L
)=1,
MIN(
MROUND(
IF(
_xlfn.XLOOKUP(B53,'Animals CE'!B:B,'Animals CE'!AA:AA)&lt;=1.5,
_xlfn.XLOOKUP(B53,'Animals CE'!B:B,'Animals CE'!AA:AA)/2+0.05,
0.8+
(_xlfn.XLOOKUP(B53,'Animals CE'!B:B,'Animals CE'!AA:AA)-1.5)
*0.02
),
0.05
),
200%
),
"No"
)</f>
        <v>No</v>
      </c>
      <c r="P53" s="2" t="str">
        <f>_xlfn.XLOOKUP(B53,'Base stats'!B:B,'Base stats'!R:R)</f>
        <v>Standard</v>
      </c>
      <c r="Q53" s="13">
        <f>MROUND((LOG10(_xlfn.XLOOKUP(B53,'Base stats'!B:B,'Base stats'!AR:AR))*(AO53^0.5)+(_xlfn.XLOOKUP(B53,'Base stats'!B:B,'Base stats'!AR:AR)/1000)^(2/3)+_xlfn.XLOOKUP(B53,'Base stats'!B:B,'Base stats'!BA:BA)/2)+0.5,0.5)</f>
        <v>6.5</v>
      </c>
      <c r="R53" s="7">
        <f>IF(Q53="No","No",MAX(1,MROUND(_xlfn.XLOOKUP(B53,'Base stats'!B:B,'Base stats'!C:C)^0.165,0.05)))</f>
        <v>1.9500000000000002</v>
      </c>
      <c r="S53" s="13">
        <f>IF(_xlfn.XLOOKUP(_xlfn.XLOOKUP(B53,'Base stats'!B:B,'Base stats'!E:E),Groups!A:A,Groups!P:P)=0,"No",MROUND((LOG10(_xlfn.XLOOKUP(B53,'Base stats'!B:B,'Base stats'!AS:AS))*(AO53^0.5)+(_xlfn.XLOOKUP(B53,'Base stats'!B:B,'Base stats'!AS:AS)/1000)^(2/3)+_xlfn.XLOOKUP(B53,'Base stats'!B:B,'Base stats'!BA:BA))+_xlfn.XLOOKUP(B53,'Base stats'!B:B,'Base stats'!AY:AY)+0.5,0.5))</f>
        <v>8.5</v>
      </c>
      <c r="T53" s="7">
        <f>IF(S53="No","No",MAX(_xlfn.XLOOKUP(_xlfn.XLOOKUP(B53,'Base stats'!B:B,'Base stats'!E:E),Groups!A:A,Groups!Q:Q),MROUND(_xlfn.XLOOKUP(_xlfn.XLOOKUP(B53,'Base stats'!B:B,'Base stats'!E:E),Groups!A:A,Groups!Q:Q)*_xlfn.XLOOKUP(B53,'Base stats'!B:B,'Base stats'!C:C)^0.165,0.05)))</f>
        <v>1.9500000000000002</v>
      </c>
      <c r="U53" s="7" t="str">
        <f>IF(S53="No","No",_xlfn.XLOOKUP(_xlfn.XLOOKUP(B53,'Base stats'!B:B,'Base stats'!E:E),Groups!A:A,Groups!R:R))</f>
        <v>FrontLeftLeg, FrontRightLeg</v>
      </c>
      <c r="V53" s="7" t="str">
        <f>IF(S53="No","No",_xlfn.XLOOKUP(_xlfn.XLOOKUP(B53,'Base stats'!B:B,'Base stats'!E:E),Groups!A:A,Groups!S:S))</f>
        <v>left hoof, right hoof</v>
      </c>
      <c r="W53" s="7" t="str">
        <f>IF(S53="No","No",_xlfn.XLOOKUP(_xlfn.XLOOKUP(B53,'Base stats'!B:B,'Base stats'!E:E),Groups!A:A,Groups!T:T))</f>
        <v>Blunt</v>
      </c>
      <c r="X53" s="13">
        <f>IF(_xlfn.XLOOKUP(B53,'Base stats'!B:B,'Base stats'!W:W)="No","No",MROUND((LOG10(_xlfn.XLOOKUP(B53,'Base stats'!B:B,'Base stats'!AU:AU))*(AO53^0.5)+(_xlfn.XLOOKUP(B53,'Base stats'!B:B,'Base stats'!AU:AU)/1000)^(2/3)+_xlfn.XLOOKUP(B53,'Base stats'!B:B,'Base stats'!AZ:AZ))+0.5+IF(_xlfn.XLOOKUP(_xlfn.XLOOKUP(B53,'Base stats'!B:B,'Base stats'!E:E),Groups!A:A,Groups!U:U)&lt;&gt;3,_xlfn.XLOOKUP(B53,'Base stats'!B:B,'Base stats'!BA:BA),0),0.5))</f>
        <v>11.5</v>
      </c>
      <c r="Y53" s="7">
        <f>IF(X53="No","No",MAX(_xlfn.XLOOKUP(_xlfn.XLOOKUP(B53,'Base stats'!B:B,'Base stats'!E:E),Groups!A:A,Groups!V:V),MROUND(_xlfn.XLOOKUP(_xlfn.XLOOKUP(B53,'Base stats'!B:B,'Base stats'!E:E),Groups!A:A,Groups!V:V)*_xlfn.XLOOKUP(B53,'Base stats'!B:B,'Base stats'!C:C)^0.165,0.05)))</f>
        <v>1.6500000000000001</v>
      </c>
      <c r="Z53" s="7" t="str">
        <f>IF(X53="No","No",_xlfn.XLOOKUP(_xlfn.XLOOKUP(B53,'Base stats'!B:B,'Base stats'!E:E),Groups!A:A,Groups!W:W))</f>
        <v>HeadAttackTool</v>
      </c>
      <c r="AA53" s="7" t="str">
        <f>IF(X53="No","No",_xlfn.XLOOKUP(_xlfn.XLOOKUP(B53,'Base stats'!B:B,'Base stats'!E:E),Groups!A:A,Groups!X:X))</f>
        <v>antler</v>
      </c>
      <c r="AB53" s="7" t="str">
        <f>IF(X53="No","No",_xlfn.XLOOKUP(_xlfn.XLOOKUP(B53,'Base stats'!B:B,'Base stats'!E:E),Groups!A:A,Groups!Y:Y))</f>
        <v>Scratch</v>
      </c>
      <c r="AC53" s="7" t="str">
        <f>_xlfn.XLOOKUP(Animals!B53,'Base stats'!B:B,'Base stats'!X:X)</f>
        <v>True</v>
      </c>
      <c r="AD53" s="13" t="str">
        <f>IF(_xlfn.XLOOKUP(B53,'Base stats'!B:B,'Base stats'!AT:AT)="No","No",MROUND((LOG10(_xlfn.XLOOKUP(B53,'Base stats'!B:B,'Base stats'!AT:AT))*(AO53^0.75)+(_xlfn.XLOOKUP(B53,'Base stats'!B:B,'Base stats'!AT:AT)/1000)^(2/3)+_xlfn.XLOOKUP(B53,'Base stats'!B:B,'Base stats'!AX:AX)+_xlfn.XLOOKUP(B53,'Base stats'!B:B,'Base stats'!BA:BA))+0.5,0.5))</f>
        <v>No</v>
      </c>
      <c r="AE53" s="7" t="str">
        <f>IF(AD53="No","No",MAX(_xlfn.XLOOKUP(_xlfn.XLOOKUP(B53,'Base stats'!B:B,'Base stats'!E:E),Groups!A:A,Groups!Z:Z),MROUND(_xlfn.XLOOKUP(_xlfn.XLOOKUP(B53,'Base stats'!B:B,'Base stats'!E:E),Groups!A:A,Groups!Z:Z)*_xlfn.XLOOKUP(B53,'Base stats'!B:B,'Base stats'!C:C)^0.165,0.05)))</f>
        <v>No</v>
      </c>
      <c r="AF53" s="7" t="str">
        <f>IF(AD53="No","No",_xlfn.XLOOKUP(_xlfn.XLOOKUP(B53,'Base stats'!B:B,'Base stats'!E:E),Groups!A:A,Groups!AA:AA))</f>
        <v>No</v>
      </c>
      <c r="AG53" s="7" t="str">
        <f>IF(AD53="No","No",_xlfn.XLOOKUP(_xlfn.XLOOKUP(B53,'Base stats'!B:B,'Base stats'!E:E),Groups!A:A,Groups!AB:AB))</f>
        <v>No</v>
      </c>
      <c r="AH53" s="7" t="str">
        <f>IF(AD53="No","No",_xlfn.XLOOKUP(_xlfn.XLOOKUP(B53,'Base stats'!B:B,'Base stats'!E:E),Groups!A:A,Groups!AC:AC))</f>
        <v>No</v>
      </c>
      <c r="AI53" s="13" t="str">
        <f>IF(_xlfn.XLOOKUP(_xlfn.XLOOKUP(B53,'Base stats'!B:B,'Base stats'!E:E),Groups!A:A,Groups!AD:AD)=0,"No",MROUND((LOG10(_xlfn.XLOOKUP(B53,'Base stats'!B:B,'Base stats'!AS:AS))*(AO53^0.75)+(_xlfn.XLOOKUP(B53,'Base stats'!B:B,'Base stats'!AS:AS)/1000)^(2/3)+_xlfn.XLOOKUP(B53,'Base stats'!B:B,'Base stats'!AY:AY)+_xlfn.XLOOKUP(B53,'Base stats'!B:B,'Base stats'!BA:BA))+0.5,0.5))</f>
        <v>No</v>
      </c>
      <c r="AJ53" s="7" t="str">
        <f>IF(AI53="No","No",MAX(_xlfn.XLOOKUP(_xlfn.XLOOKUP(B53,'Base stats'!B:B,'Base stats'!E:E),Groups!A:A,Groups!AE:AE),MROUND(_xlfn.XLOOKUP(_xlfn.XLOOKUP(B53,'Base stats'!B:B,'Base stats'!E:E),Groups!A:A,Groups!AE:AE)*IF(_xlfn.XLOOKUP(_xlfn.XLOOKUP(B53,'Base stats'!B:B,'Base stats'!E:E),Groups!A:A,Groups!AJ:AJ)="Photonozoa",0.6,1)*_xlfn.XLOOKUP(B53,'Base stats'!B:B,'Base stats'!C:C)^0.165,0.05)))</f>
        <v>No</v>
      </c>
      <c r="AK53" s="7" t="str">
        <f>IF(AI53="No","No",_xlfn.XLOOKUP(_xlfn.XLOOKUP(B53,'Base stats'!B:B,'Base stats'!E:E),Groups!A:A,Groups!AF:AF))</f>
        <v>No</v>
      </c>
      <c r="AL53" s="7" t="str">
        <f>IF(AI53="No","No",_xlfn.XLOOKUP(_xlfn.XLOOKUP(B53,'Base stats'!B:B,'Base stats'!E:E),Groups!A:A,Groups!AG:AG))</f>
        <v>No</v>
      </c>
      <c r="AM53" s="7" t="str">
        <f>IF(AI53="No","No",_xlfn.XLOOKUP(_xlfn.XLOOKUP(B53,'Base stats'!B:B,'Base stats'!E:E),Groups!A:A,Groups!AH:AH))</f>
        <v>No</v>
      </c>
      <c r="AN53" s="2" t="str">
        <f t="shared" si="0"/>
        <v>No</v>
      </c>
      <c r="AO53" s="2">
        <f>MROUND(IF(AND(_xlfn.XLOOKUP(B53,'Base stats'!B:B,'Base stats'!C:C)&gt;=0.5,_xlfn.XLOOKUP(B53,'Base stats'!B:B,'Base stats'!C:C)&lt;=0.8),
IF(_xlfn.XLOOKUP(B53,'Base stats'!B:B,'Base stats'!C:C)&lt;0.1,0.05,IF(_xlfn.XLOOKUP(B53,'Base stats'!B:B,'Base stats'!C:C)&lt;=70,(_xlfn.XLOOKUP(B53,'Base stats'!B:B,'Base stats'!C:C)/70)^0.426489913056526,IF(_xlfn.XLOOKUP(B53,'Base stats'!B:B,'Base stats'!C:C)&lt;=400,(_xlfn.XLOOKUP(B53,'Base stats'!B:B,'Base stats'!C:C)/70)^0.572811455315093,IF(_xlfn.XLOOKUP(B53,'Base stats'!B:B,'Base stats'!C:C)&lt;=2000,2.71391647193063*(_xlfn.XLOOKUP(B53,'Base stats'!B:B,'Base stats'!C:C)/400)^0.252459582904293,3.74314280240376*(_xlfn.XLOOKUP(B53,'Base stats'!B:B,'Base stats'!C:C)/2000)^0.357012633876913)))),
IF(_xlfn.XLOOKUP(B53,'Base stats'!B:B,'Base stats'!C:C)&lt;0.1,0.05,IF(_xlfn.XLOOKUP(B53,'Base stats'!B:B,'Base stats'!C:C)&lt;0.4,0.1,IF(_xlfn.XLOOKUP(B53,'Base stats'!B:B,'Base stats'!C:C)&lt;=70,(_xlfn.XLOOKUP(B53,'Base stats'!B:B,'Base stats'!C:C)/70)^0.445823913056526,IF(_xlfn.XLOOKUP(B53,'Base stats'!B:B,'Base stats'!C:C)&lt;=400,(_xlfn.XLOOKUP(B53,'Base stats'!B:B,'Base stats'!C:C)/70)^0.572811455315093,IF(_xlfn.XLOOKUP(B53,'Base stats'!B:B,'Base stats'!C:C)&lt;=2000,2.71391647193063*(_xlfn.XLOOKUP(B53,'Base stats'!B:B,'Base stats'!C:C)/400)^0.252459582904293,3.74314280240376*(_xlfn.XLOOKUP(B53,'Base stats'!B:B,'Base stats'!C:C)/2000)^0.357012633876913)))))),
IF(_xlfn.XLOOKUP(B53,'Base stats'!B:B,'Base stats'!C:C)&lt;0.1,0.05,IF(_xlfn.XLOOKUP(B53,'Base stats'!B:B,'Base stats'!C:C)&lt;=100,0.05,IF(_xlfn.XLOOKUP(B53,'Base stats'!B:B,'Base stats'!C:C)&lt;=250,0.1,IF(_xlfn.XLOOKUP(B53,'Base stats'!B:B,'Base stats'!C:C)&lt;=4000,0.25,0.5)))))</f>
        <v>0.9</v>
      </c>
      <c r="AP53" s="8">
        <f>MROUND(AO53*_xlfn.XLOOKUP(_xlfn.XLOOKUP(B53,'Base stats'!B:B,'Base stats'!E:E),Groups!A:A,Groups!AI:AI)*_xlfn.XLOOKUP(B53,'Base stats'!B:B,'Base stats'!Z:Z),0.05)</f>
        <v>0.9</v>
      </c>
      <c r="AQ53" s="8">
        <f>MAX(0.01,MROUND(IF(CC53="True",0.196*(AO53*100*1000)^0.889,IF(_xlfn.XLOOKUP(_xlfn.XLOOKUP(B53,'Base stats'!B:B,'Base stats'!E:E),Groups!A:A,Groups!AJ:AJ)="Bird",10.5*(AO53*100*1000)^0.681,4.82*(AO53*100*1000)^0.734))/(4.82*(1*100*1000)^0.734)/IF(AO53&lt;3.5,2,IF(AO53=3.5,1.5,1.25))*(1+0.132282374779864/(AO53^0.994035016789033+0.00905238001496948)),0.05))</f>
        <v>0.55000000000000004</v>
      </c>
      <c r="AR53" s="9">
        <f>IFERROR(MROUND(_xlfn.XLOOKUP(B53,'Base stats'!B:B,'Base stats'!H:H)/IF(_xlfn.XLOOKUP(B53,'Base stats'!B:B,'Base stats'!I:I)&lt;&gt;1,(122.5/70),1.2),IF(_xlfn.XLOOKUP(B53,'Base stats'!B:B,'Base stats'!H:H)&gt;=30,5,IF(_xlfn.XLOOKUP(B53,'Base stats'!B:B,'Base stats'!H:H)&gt;=15,3,IF(_xlfn.XLOOKUP(B53,'Base stats'!B:B,'Base stats'!H:H)&gt;=10,2,1)))),"Immortal")</f>
        <v>12</v>
      </c>
      <c r="AS53" s="35">
        <f>IFERROR(IF(OR(_xlfn.XLOOKUP(B53,'Base stats'!B:B,'Base stats'!F:F)="Atypical reproduction",_xlfn.XLOOKUP(B53,'Base stats'!B:B,'Base stats'!F:F)="Lay eggs"),"Lay eggs",MIN(20,MAX(5.5,ROUND(((_xlfn.XLOOKUP(B53,'Base stats'!B:B,'Base stats'!F:F)-25)*(14.5/615) + 5.5)*2,0)/2))),"Unknown")</f>
        <v>10</v>
      </c>
      <c r="AT53" s="8">
        <f>IF(_xlfn.XLOOKUP(B53,'Base stats'!B:B,'Base stats'!G:G)="Atypical reproduction","No",IFERROR(MAX(IF(_xlfn.XLOOKUP(B53,'Base stats'!B:B,'Base stats'!G:G)&lt;0.5,0.2,0.3),MROUND(_xlfn.XLOOKUP(B53,'Base stats'!B:B,'Base stats'!G:G)/(365/60),0.2)),"Unknown"))</f>
        <v>0.3</v>
      </c>
      <c r="AU53" s="8">
        <f t="shared" si="1"/>
        <v>0.15000000000000002</v>
      </c>
      <c r="AV53" s="8">
        <f>IFERROR(IFERROR(MROUND(_xlfn.XLOOKUP(B53,'Base stats'!B:B,'Base stats'!J:J),0.1),"Lay eggs"),"Cannot breed")</f>
        <v>1.5</v>
      </c>
      <c r="AW53" s="2" t="str">
        <f t="shared" si="2"/>
        <v>true</v>
      </c>
      <c r="AX53" s="2" t="str">
        <f>IF(_xlfn.XLOOKUP(_xlfn.XLOOKUP(Animals!B53,'Base stats'!B:B,'Base stats'!E:E),Groups!A:A,Groups!AK:AK)=1,"true","false")</f>
        <v>true</v>
      </c>
      <c r="AY53" s="25" t="str">
        <f>IF(_xlfn.XLOOKUP(B53,'Base stats'!B:B,'Base stats'!Y:Y)="Liquor","Liquor, CarnivoreAnimalStrict",IF(AND(_xlfn.XLOOKUP(B53,'Base stats'!B:B,'Base stats'!Y:Y)="Carnivore",_xlfn.XLOOKUP(_xlfn.XLOOKUP(B53,'Base stats'!B:B,'Base stats'!E:E),Groups!A:A,Groups!AJ:AJ)="Photonozoa"),"CarnivoreAnimalStrict, OvivoreAnimal",IF(_xlfn.XLOOKUP(B53,'Base stats'!B:B,'Base stats'!Y:Y)="Carnivore","CarnivoreAnimal, OvivoreAnimal",IF(_xlfn.XLOOKUP(B53,'Base stats'!B:B,'Base stats'!Y:Y)="Dendrovore","VegetarianRoughAnimal, DendrovoreAnimal",IF(_xlfn.XLOOKUP(B53,'Base stats'!B:B,'Base stats'!Y:Y)="Herbivore","VegetarianRoughAnimal",IF(_xlfn.XLOOKUP(B53,'Base stats'!B:B,'Base stats'!Y:Y)="OmnivoreRough","OmnivoreRoughAnimal, OvivoreAnimal","OmnivoreAnimal, OvivoreAnimal"))))))</f>
        <v>VegetarianRoughAnimal</v>
      </c>
      <c r="AZ53" s="2">
        <f>IF(_xlfn.XLOOKUP(_xlfn.XLOOKUP(B53,'Base stats'!B:B,'Base stats'!E:E),Groups!A:A,Groups!D:D)=1,MROUND((1-J53)*5+1,2)*IF(J53&lt;=0.4,2,1),"No")</f>
        <v>4</v>
      </c>
      <c r="BA53" s="2" t="str">
        <f>IF(AND(_xlfn.XLOOKUP(B53,'Base stats'!B:B,'Base stats'!AH:AH)="&lt;li&gt;Seal&lt;/li&gt;",G53="Odyssey"),"&lt;li&gt;AEXP_Seal&lt;/li&gt;",_xlfn.XLOOKUP(B53,'Base stats'!B:B,'Base stats'!AH:AH))</f>
        <v>No</v>
      </c>
      <c r="BB53" s="2" t="str">
        <f>_xlfn.XLOOKUP(B53,'Base stats'!B:B,'Base stats'!AG:AG)</f>
        <v>Leather_Plain</v>
      </c>
      <c r="BC53" s="23" t="str">
        <f>_xlfn.XLOOKUP(_xlfn.XLOOKUP(B53,'Base stats'!B:B,'Base stats'!E:E),Groups!A:A,Groups!AL:AL)</f>
        <v>QuadrupedAnimalWithHooves</v>
      </c>
      <c r="BD53" s="23">
        <f>MIN(1,MROUND(IF(AND(AO53&lt;0.5,_xlfn.XLOOKUP(B53,'Base stats'!B:B,'Base stats'!AA:AA)=0),0,IF(OR(_xlfn.XLOOKUP(Animals!B53,'Base stats'!B:B,'Base stats'!O:O)=2,_xlfn.XLOOKUP(_xlfn.XLOOKUP(B53,'Base stats'!B:B,'Base stats'!E:E),Groups!A:A,Groups!AN:AN)=0),0,_xlfn.XLOOKUP(_xlfn.XLOOKUP(B53,'Base stats'!B:B,'Base stats'!E:E),Groups!A:A,Groups!AN:AN)/IF(_xlfn.XLOOKUP(Animals!B53,'Base stats'!B:B,'Base stats'!O:O)=1,2,1)))+_xlfn.XLOOKUP(B53,'Base stats'!B:B,'Base stats'!AC:AC),0.005))</f>
        <v>0</v>
      </c>
      <c r="BE53" s="23">
        <f>MIN(1,MROUND(IF(AND(AO53&lt;0.5,_xlfn.XLOOKUP(B53,'Base stats'!B:B,'Base stats'!AA:AA)=0),0,IF(_xlfn.XLOOKUP(_xlfn.XLOOKUP(B53,'Base stats'!B:B,'Base stats'!E:E),Groups!A:A,Groups!AO:AO)=0,0,_xlfn.XLOOKUP(_xlfn.XLOOKUP(B53,'Base stats'!B:B,'Base stats'!E:E),Groups!A:A,Groups!AO:AO)/IF(_xlfn.XLOOKUP(Animals!B53,'Base stats'!B:B,'Base stats'!O:O)=2,3,1)))+_xlfn.XLOOKUP(B53,'Base stats'!B:B,'Base stats'!AD:AD),0.005))</f>
        <v>0</v>
      </c>
      <c r="BF53" s="2" t="str">
        <f>IF(J53&gt;0.3,"No",_xlfn.XLOOKUP(_xlfn.XLOOKUP(Animals!B53,'Base stats'!B:B,'Base stats'!E:E),Groups!A:A,Groups!AP:AP))</f>
        <v>No</v>
      </c>
      <c r="BG53" s="2" t="str">
        <f>IF(AND(J53&lt;=0.65,_xlfn.XLOOKUP(_xlfn.XLOOKUP(Animals!B53,'Base stats'!B:B,'Base stats'!E:E),Groups!A:A,Groups!AP:AP)&lt;&gt;"No",_xlfn.XLOOKUP(_xlfn.XLOOKUP(B53,'Base stats'!B:B,'Base stats'!E:E),Groups!A:A,Groups!D:D)=0),MROUND((80/3)*IF(_xlfn.XLOOKUP(B53,'Base stats'!B:B,'Base stats'!O:O)=2,0.2,AO53) + 24*(1-IF(BF53="No",0,BF53)) + 16/3, 12),"No")</f>
        <v>No</v>
      </c>
      <c r="BH53" s="2">
        <f>IF(AND(_xlfn.XLOOKUP(_xlfn.XLOOKUP(B53,'Base stats'!B:B,'Base stats'!E:E),Groups!A:A,Groups!AQ:AQ)=1,AO53&lt;=0.35),8,12)</f>
        <v>12</v>
      </c>
      <c r="BI53" s="2" t="str">
        <f>IF(_xlfn.XLOOKUP(_xlfn.XLOOKUP(B53,'Base stats'!B:B,'Base stats'!E:E),Groups!A:A,Groups!D:D)=0,_xlfn.XLOOKUP(_xlfn.XLOOKUP(B53,'Base stats'!B:B,'Base stats'!E:E),Groups!A:A,Groups!AR:AR),"None")</f>
        <v>None</v>
      </c>
      <c r="BJ53" s="2" t="str">
        <f>IF(AND(_xlfn.XLOOKUP(_xlfn.XLOOKUP(B53,'Base stats'!B:B,'Base stats'!E:E),Groups!A:A,Groups!AS:AS)=1,OR(_xlfn.XLOOKUP(B53,'Base stats'!B:B,'Base stats'!Y:Y)="Carnivore",_xlfn.XLOOKUP(B53,'Base stats'!B:B,'Base stats'!Y:Y)="Omnivore")),"true","false")</f>
        <v>false</v>
      </c>
      <c r="BK53" s="2" t="str">
        <f>IF(BJ53="true",MROUND(IF(AND(AO53&gt;0.5,OR(_xlfn.XLOOKUP(_xlfn.XLOOKUP(B53,'Base stats'!B:B,'Base stats'!E:E),Groups!A:A,Groups!AJ:AJ)="Photonozoa",_xlfn.XLOOKUP(_xlfn.XLOOKUP(B53,'Base stats'!B:B,'Base stats'!E:E),Groups!A:A,Groups!AJ:AJ)="Mammal")),Animals!AO53*1.75*IF(AW53="true",1.5,1),IF(AO53&lt;0.5,Animals!AO53*0.5,Animals!AO53)),IF(AO53&gt;2,0.5,IF(AO53&gt;0.5,0.25,0.1))),"No")</f>
        <v>No</v>
      </c>
      <c r="BL53" s="2">
        <f t="shared" si="3"/>
        <v>0</v>
      </c>
      <c r="BM53" s="25" t="str">
        <f>IF(_xlfn.XLOOKUP(B53,'Base stats'!B:B,'Base stats'!AN:AN)="Standard","No",MROUND((_xlfn.XLOOKUP(B53,'Base stats'!B:B,'Base stats'!AN:AN)/3.6)/I53,0.1))</f>
        <v>No</v>
      </c>
      <c r="BN53" s="25" t="str">
        <f t="shared" si="4"/>
        <v>false</v>
      </c>
      <c r="BO53" s="25" t="str">
        <f>IF(AND(OR(_xlfn.XLOOKUP(B53,'Base stats'!B:B,'Base stats'!Y:Y)="Carnivore",_xlfn.XLOOKUP(B53,'Base stats'!B:B,'Base stats'!Y:Y)="Omnivore",_xlfn.XLOOKUP(B53,'Base stats'!B:B,'Base stats'!Y:Y)="OmnivoreRough"),_xlfn.XLOOKUP(_xlfn.XLOOKUP(B53,'Base stats'!B:B,'Base stats'!E:E),Groups!A:A,Groups!AT:AT)=1),"true","false")</f>
        <v>false</v>
      </c>
      <c r="BP53" s="25" t="str" cm="1">
        <f t="array" ref="BP53">IF(
  _xlfn.TEXTJOIN(", ",TRUE,
    IF(AND(BJ53="true",AO53&gt;0.5,BI53&lt;&gt;"None"),"AttackTarget",""),
    IF(AND(_xlfn.XLOOKUP(_xlfn.XLOOKUP(B53,'Base stats'!B:B,'Base stats'!E:E),Groups!A:A,Groups!AJ:AJ="Mammal"),OR(_xlfn.XLOOKUP(B53,'Base stats'!B:B,'Base stats'!Y:Y)="Omnivore",_xlfn.XLOOKUP(B53,'Base stats'!B:B,'Base stats'!Y:Y)="OmnivoreRough")),"Forage",""),
    IF(BG53&lt;=36,"Comfort",""),
    IF(_xlfn.XLOOKUP(B53,'Base stats'!B:B,'Base stats'!AE:AE)&lt;&gt;"No",_xlfn.XLOOKUP(B53,'Base stats'!B:B,'Base stats'!AE:AE),"")
  ) = "",
  "No",
  _xlfn.TEXTJOIN(", ",TRUE,
    IF(AND(BJ53="true",AO53&gt;0.5,BI53&lt;&gt;"None"),"AttackTarget",""),
    IF(AND(_xlfn.XLOOKUP(_xlfn.XLOOKUP(B53,'Base stats'!B:B,'Base stats'!E:E),Groups!A:A,Groups!AJ:AJ="Mammal"),OR(_xlfn.XLOOKUP(B53,'Base stats'!B:B,'Base stats'!Y:Y)="Omnivore",_xlfn.XLOOKUP(B53,'Base stats'!B:B,'Base stats'!Y:Y)="OmnivoreRough")),"Forage",""),
    IF(BG53&lt;=36,"Comfort",""),
    IF(_xlfn.XLOOKUP(B53,'Base stats'!B:B,'Base stats'!AE:AE)&lt;&gt;"No",_xlfn.XLOOKUP(B53,'Base stats'!B:B,'Base stats'!AE:AE),"")
  )
)</f>
        <v>No</v>
      </c>
      <c r="BQ53" s="25" t="str">
        <f>IF(
   AND(
      'Base stats'!AN53="Standard",_xlfn.XLOOKUP(_xlfn.XLOOKUP(B53,'Base stats'!B:B,'Base stats'!E:E),Groups!A:A,Groups!AU:AU)=0,
      OR(
      BO53="True"
      )
   ),
   10,
   IF(
       OR(BM53&lt;&gt;"No",_xlfn.XLOOKUP(_xlfn.XLOOKUP(B53,'Base stats'!B:B,'Base stats'!E:E),Groups!A:A,Groups!AU:AU)=1),
      1,
      "No"
   )
)</f>
        <v>No</v>
      </c>
      <c r="BR53" s="9">
        <f>MROUND((1 + ((0.2*IF(OR(Q53="No",R53="No",R53=0),0,Q53/R53)
+IF(OR(V53="No",S53="No",T53="No"),0,S53/T53*(LEN(V53)-LEN(SUBSTITUTE(V53,",",""))+1))
+IF(OR(X53="No",Y53="No"),0,X53/Y53)
+IF(OR(AD53="No",AE53="No"),0,AD53/AE53)
+IF(OR(AL53="No",AI53="No",AJ53="No"),0,AI53/AJ53*(LEN(AL53)-LEN(SUBSTITUTE(AL53,",",""))+1))
)/(0.2*IF(OR(Q53="No",R53="No",R53=0),0,1)
+IF(OR(V53="No",S53="No",T53="No"),0,LEN(V53)-LEN(SUBSTITUTE(V53,",",""))+1)
+IF(OR(X53="No",Y53="No"),0,1)
+IF(OR(AD53="No",AE53="No"),0,1)
+IF(OR(AL53="No",AI53="No",AJ53="No"),0,LEN(AL53)-LEN(SUBSTITUTE(AL53,",",""))+1))*62%)* 2)*(1 + (AP53 / (IF(_xlfn.XLOOKUP(_xlfn.XLOOKUP(B53,'Base stats'!B:B,'Base stats'!E:E),Groups!A:A,Groups!AJ:AJ)="Photonozoa",0.3,1)) + _xlfn.XLOOKUP(B53,'Base stats'!B:B,'Base stats'!AV:AV) * 1.8) * 2) * 2.5 + 10 + I53 * 2,5)+IF(_xlfn.XLOOKUP(B53,'Base stats'!B:B,'Base stats'!AK:AK)=1,50,0)</f>
        <v>75</v>
      </c>
      <c r="BS53" s="8">
        <f t="shared" si="5"/>
        <v>0.60000000000000009</v>
      </c>
      <c r="BT53" s="8" t="str">
        <f>_xlfn.XLOOKUP(B53,'Base stats'!B:B,'Base stats'!AF:AF)</f>
        <v>3~10</v>
      </c>
      <c r="BU53" s="2" t="str">
        <f>IF(AND(J53&lt;=0.95,OR(_xlfn.XLOOKUP(B53,'Base stats'!B:B,'Base stats'!AK:AK)=1,_xlfn.XLOOKUP(B53,'Base stats'!B:B,'Base stats'!Y:Y)="Carnivore",_xlfn.XLOOKUP(B53,'Base stats'!B:B,'Base stats'!Y:Y)="Omnivore",BE53&gt;0.1)),"true","false")</f>
        <v>false</v>
      </c>
      <c r="BV53" s="2" t="str">
        <f>IF(_xlfn.XLOOKUP(B53,'Base stats'!B:B,'Base stats'!AI:AI)=1,"true","false")</f>
        <v>false</v>
      </c>
      <c r="BW53" s="25" t="str">
        <f>IF(E53="BaseInsect","AnimalInsect",
IF(J53&gt;0.95,"AnimalExotic",
_xlfn.TEXTJOIN(", ",TRUE,
IF(OR(_xlfn.XLOOKUP(B53,'Base stats'!B:B,'Base stats'!AM:AM)=1,AND(_xlfn.XLOOKUP(B53,'Base stats'!B:B,'Base stats'!O:O)=0,_xlfn.XLOOKUP(_xlfn.XLOOKUP(B53,'Base stats'!B:B,'Base stats'!E:E),Groups!A:A,Groups!B:B)&gt;0)),"AnimalUncommon","AnimalCommon"),
IF(AND(_xlfn.XLOOKUP(B53,'Base stats'!B:B,'Base stats'!O:O)=2,_xlfn.XLOOKUP(_xlfn.XLOOKUP(B53,'Base stats'!B:B,'Base stats'!E:E),Groups!A:A,Groups!D:D)=0),"AnimalPet",IF(AND(_xlfn.XLOOKUP(B53,'Base stats'!B:B,'Base stats'!O:O)&lt;&gt;0,_xlfn.XLOOKUP(_xlfn.XLOOKUP(B53,'Base stats'!B:B,'Base stats'!E:E),Groups!A:A,Groups!D:D)&lt;&gt;0),"AnimalFarm","")),
IF(OR(_xlfn.XLOOKUP(B53,'Base stats'!B:B,'Base stats'!AK:AK)=1,AND(BI53&lt;&gt;"None",BR53&gt;=60),ISNUMBER(SEARCH("Attack target",BP53))),"AnimalFighter","")
)))</f>
        <v>AnimalCommon</v>
      </c>
      <c r="BX53" s="25" t="str">
        <f>IF(G53="None",TRIM(
SUBSTITUTE(
IF(COUNTIF(Biomes!B$2:B$259,"="&amp;$C53)&gt;0,Biomes!B$1&amp;", ","")&amp;
IF(COUNTIF(Biomes!C$2:C$259,"="&amp;$C53)&gt;0,Biomes!C$1&amp;", ","")&amp;
IF(COUNTIF(Biomes!D$2:D$259,"="&amp;$C53)&gt;0,Biomes!D$1&amp;", ","")&amp;
IF(COUNTIF(Biomes!F$2:F$259,"="&amp;$C53)&gt;0,Biomes!F$1&amp;", ","")&amp;
IF(COUNTIF(Biomes!G$2:G$259,"="&amp;$C53)&gt;0,Biomes!G$1&amp;", ","")&amp;
IF(COUNTIF(Biomes!H$2:H$259,"="&amp;$C53)&gt;0,Biomes!H$1&amp;", ","")&amp;
IF(COUNTIF(Biomes!I$2:I$259,"="&amp;$C53)&gt;0,Biomes!I$1&amp;", ","")&amp;
IF(COUNTIF(Biomes!J$2:J$259,"="&amp;$C53)&gt;0,Biomes!J$1&amp;", ","")&amp;
IF(COUNTIF(Biomes!M$2:M$259,"="&amp;$C53)&gt;0,Biomes!M$1&amp;", ","")&amp;
IF(COUNTIF(Biomes!N$2:N$259,"="&amp;$C53)&gt;0,Biomes!N$1&amp;", ","")&amp;
IF(COUNTIF(Biomes!O$2:O$259,"="&amp;$C53)&gt;0,Biomes!O$1&amp;", ","")&amp;
IF(COUNTIF(Biomes!P$2:P$259,"="&amp;$C53)&gt;0,Biomes!P$1&amp;", ","")&amp;
IF(COUNTIF(Biomes!K$2:K$259,"="&amp;$C53)&gt;0,Biomes!K$1&amp;", ","")&amp;
IF(COUNTIF(Biomes!Q$3:Q$259,"="&amp;$C53)&gt;0,Biomes!Q$1&amp;", ","")&amp;
IF(COUNTIF(Biomes!L$2:L$259,"="&amp;$C53)&gt;0,Biomes!L$1&amp;", ","")&amp;
IF(COUNTIF(Biomes!E$2:E$259,"="&amp;$C53)&gt;0,Biomes!E$1&amp;", ","")&amp;IF(COUNTIF(Biomes!S$2:S$259,"="&amp;$C53)&gt;0,Biomes!S$1&amp;", ","")&amp;
IF(COUNTIF(Biomes!R$2:R$259,"="&amp;$C53)&gt;0,Biomes!R$1&amp;", ",""),", ","")
),_xlfn.XLOOKUP(B53,B:B,BX:BX))</f>
        <v>BorealForest ColdBog TemperateForest TemperateSwamp GlacialPlain</v>
      </c>
      <c r="BY53" s="25" t="str">
        <f>IF(_xlfn.XLOOKUP(B53,'Base stats'!B:B,'Base stats'!AJ:AJ)=1,"true","false")</f>
        <v>false</v>
      </c>
      <c r="BZ53" s="25">
        <f>IF(_xlfn.XLOOKUP(B53,'Base stats'!B:B,'Base stats'!N:N)=1,"No",MAX(0.001,MIN(MROUND(IF(AND(BJ53="True",CC53="False"),POWER(10,3.47*LOG10(_xlfn.XLOOKUP(B53,'Base stats'!B:B,'Base stats'!C:C)*1000)^-0.96),POWER(10,4.15*LOG10(_xlfn.XLOOKUP(B53,'Base stats'!B:B,'Base stats'!C:C)*1000)^-0.73))*IF(_xlfn.XLOOKUP(B53,'Base stats'!B:B,'Base stats'!AK:AK)=1,0.5,1)*IF(_xlfn.XLOOKUP(B53,'Base stats'!B:B,'Base stats'!AM:AM)=1,0.1,1)/100,IF(_xlfn.XLOOKUP(B53,'Base stats'!B:B,'Base stats'!AM:AM)=1,0.001,0.025)),0.5)))</f>
        <v>0.22500000000000001</v>
      </c>
      <c r="CA53" s="25" t="str">
        <f>IF(P53="Standard","No",MAX(0.001,MIN(MROUND(IF(AND(BJ53="True",CC53="False"),POWER(10,3.47*LOG10(_xlfn.XLOOKUP(B53,'Base stats'!B:B,'Base stats'!C:C)*1000)^-0.96),POWER(10,4.15*LOG10(_xlfn.XLOOKUP(B53,'Base stats'!B:B,'Base stats'!C:C)*1000)^-0.73))*IF(_xlfn.XLOOKUP(B53,'Base stats'!B:B,'Base stats'!AM:AM)=1,0.1,1)*_xlfn.XLOOKUP(B53,'Base stats'!B:B,'Base stats'!R:R)/100,IF(_xlfn.XLOOKUP(B53,'Base stats'!B:B,'Base stats'!AM:AM)=1,0.001,0.025)),0.5)))</f>
        <v>No</v>
      </c>
      <c r="CB53" s="25" t="str">
        <f>IF(_xlfn.XLOOKUP(_xlfn.XLOOKUP(B53,'Base stats'!B:B,'Base stats'!E:E),Groups!A:A,Groups!AJ:AJ)="Mammal","True","False")</f>
        <v>True</v>
      </c>
      <c r="CC53" s="25" t="str">
        <f>IF(OR(_xlfn.XLOOKUP(_xlfn.XLOOKUP(B53,'Base stats'!B:B,'Base stats'!E:E),Groups!A:A,Groups!AJ:AJ)="Reptile",_xlfn.XLOOKUP(_xlfn.XLOOKUP(B53,'Base stats'!B:B,'Base stats'!E:E),Groups!A:A,Groups!AJ:AJ)="Amphibian",_xlfn.XLOOKUP(_xlfn.XLOOKUP(B53,'Base stats'!B:B,'Base stats'!E:E),Groups!A:A,Groups!AJ:AJ)="Invertebrate"),"True","False")</f>
        <v>False</v>
      </c>
      <c r="CD53" s="25" t="str">
        <f t="shared" si="6"/>
        <v>False</v>
      </c>
      <c r="CE53" s="25" t="str">
        <f>IF(_xlfn.XLOOKUP(_xlfn.XLOOKUP(B53,'Base stats'!B:B,'Base stats'!E:E),Groups!A:A,Groups!AX:AX),"True","False")</f>
        <v>False</v>
      </c>
      <c r="CF53" s="25" t="str">
        <f>IF(_xlfn.XLOOKUP(_xlfn.XLOOKUP(B53,'Base stats'!B:B,'Base stats'!E:E),Groups!A:A,Groups!AY:AY),"True","False")</f>
        <v>False</v>
      </c>
      <c r="CG53" s="25" t="str">
        <f>IF(_xlfn.XLOOKUP(_xlfn.XLOOKUP(B53,'Base stats'!B:B,'Base stats'!E:E),Groups!A:A,Groups!AW:AW),"True","False")</f>
        <v>False</v>
      </c>
      <c r="CH53" s="25" t="str">
        <f>IF(
OR(
_xlfn.XLOOKUP(_xlfn.XLOOKUP(B53,'Base stats'!B:B,'Base stats'!E:E),Groups!A:A,Groups!AZ:AZ)=0,
AND(
_xlfn.XLOOKUP(B53,'Base stats'!B:B,'Base stats'!Y:Y)&lt;&gt;"Carnivore",
_xlfn.XLOOKUP(B53,'Base stats'!B:B,'Base stats'!Y:Y)&lt;&gt;"Omnivore",
_xlfn.XLOOKUP(B53,'Base stats'!B:B,'Base stats'!Y:Y)&lt;&gt;"OmnivoreRough"
)
),
"No",
IF(
_xlfn.XLOOKUP(_xlfn.XLOOKUP(B53,'Base stats'!B:B,'Base stats'!E:E),Groups!A:A,Groups!AZ:AZ)=1,
"Flesh",
IF(
_xlfn.XLOOKUP(_xlfn.XLOOKUP(B53,'Base stats'!B:B,'Base stats'!E:E),Groups!A:A,Groups!AZ:AZ)=2,
"Bone",
""
)
)
)</f>
        <v>No</v>
      </c>
      <c r="CI53" s="25" t="str">
        <f>IF(_xlfn.XLOOKUP(_xlfn.XLOOKUP(B53,'Base stats'!B:B,'Base stats'!E:E),Groups!A:A,Groups!BB:BB),"True","False")</f>
        <v>True</v>
      </c>
      <c r="CJ53" s="25" t="str">
        <f>IF(_xlfn.XLOOKUP(_xlfn.XLOOKUP(B53,'Base stats'!B:B,'Base stats'!E:E),Groups!A:A,Groups!BA:BA),"True","False")</f>
        <v>False</v>
      </c>
    </row>
    <row r="54" spans="1:88" ht="16.5" thickTop="1" thickBot="1" x14ac:dyDescent="0.3">
      <c r="A54" s="26" t="str">
        <f>_xlfn.XLOOKUP(B54,'Base stats'!B:B,'Base stats'!A:A)</f>
        <v>Gazelle</v>
      </c>
      <c r="B54" s="6" t="s">
        <v>163</v>
      </c>
      <c r="C54" s="28" t="s">
        <v>729</v>
      </c>
      <c r="D54" s="28" t="s">
        <v>45</v>
      </c>
      <c r="E54" s="28" t="s">
        <v>673</v>
      </c>
      <c r="F54" s="28" t="s">
        <v>673</v>
      </c>
      <c r="G54" s="28" t="s">
        <v>673</v>
      </c>
      <c r="H54" s="2">
        <f>MROUND((
  (IF(AND(_xlfn.XLOOKUP(B54,'Base stats'!B:B,'Base stats'!AL:AL)=0,BI54="None",_xlfn.XLOOKUP(_xlfn.XLOOKUP(B54,'Base stats'!B:B,'Base stats'!E:E),Groups!A:A,Groups!B:B)=0), (18 + BR54 * 2.7) * 0.5,
    IF(AND(_xlfn.XLOOKUP(B54,'Base stats'!B:B,'Base stats'!AL:AL)=0,OR(AO54&lt;0.55,AND(BI54="Intermediate",_xlfn.XLOOKUP(_xlfn.XLOOKUP(B54,'Base stats'!B:B,'Base stats'!E:E),Groups!A:A,Groups!B:B)&lt;2))), (18 + BR54 * 2.7),
      IF(OR(BI54="Advanced",_xlfn.XLOOKUP(B54,'Base stats'!B:B,'Base stats'!AL:AL)=1,_xlfn.XLOOKUP(_xlfn.XLOOKUP(B54,'Base stats'!B:B,'Base stats'!E:E),Groups!A:A,Groups!B:B)=2), (18 + BR54 * 2.7) + 250, (18 + BR54 * 2.7))
    )
  ))
  + AO54 * 80
  + IF(COUNTIF(EggMilk!K$2:K$998, A54) &gt; 0, 125, 0)
  + IF(COUNTIF(EggMilk!P$2:P$998, A54) &gt; 0, 90, 0)
  + IF(COUNTIF(EggMilk!A$2:A$998, A54) &gt; 0, 90, 0)
)
* (0.8 + 0.4 * J54)
* 0.75,25)</f>
        <v>100</v>
      </c>
      <c r="I54" s="2">
        <f>MROUND(ROUNDDOWN(_xlfn.XLOOKUP(B54,'Base stats'!B:B,'Base stats'!L:L)/3.6/(23.3/11),1),0.5)</f>
        <v>10.5</v>
      </c>
      <c r="J54" s="2">
        <f>IF(OR(_xlfn.XLOOKUP(B54,'Base stats'!B:B,'Base stats'!AB:AB)=1,_xlfn.XLOOKUP(_xlfn.XLOOKUP(B54,'Base stats'!B:B,'Base stats'!E:E),Groups!A:A,Groups!C:C)="Untamable"),1,IF(_xlfn.XLOOKUP(B54,'Base stats'!B:B,'Base stats'!AL:AL)=1,0.99,MIN(MROUND((1-0.6282*EXP(-0.459*AO54))*_xlfn.XLOOKUP(_xlfn.XLOOKUP(B54,'Base stats'!B:B,'Base stats'!E:E),Groups!A:A,Groups!C:C)*IF(_xlfn.XLOOKUP(B54,'Base stats'!B:B,'Base stats'!O:O)=1,0.5,IF(_xlfn.XLOOKUP(B54,'Base stats'!B:B,'Base stats'!O:O)=2,0,1)),0.05),IF(AO54&gt;3.5,0.985,0.95))))</f>
        <v>0.45</v>
      </c>
      <c r="K54" s="2">
        <f>ROUNDUP(AO54*_xlfn.XLOOKUP(_xlfn.XLOOKUP(B54,'Base stats'!B:B,'Base stats'!E:E),Groups!A:A,Groups!E:E),0)</f>
        <v>3</v>
      </c>
      <c r="L54" s="2">
        <f>IF(OR(_xlfn.XLOOKUP(_xlfn.XLOOKUP(B54,'Base stats'!B:B,'Base stats'!E:E),Groups!A:A,Groups!F:F)=2,ISNUMBER(SEARCH("SeaIce",BX54)),ISNUMBER(SEARCH("IceSheet",BX54))),-50,IF(OR(ISNUMBER(SEARCH("GlacialPlain",BX54)),ISNUMBER(SEARCH("Tundra",BX54))),-40,IF(OR(ISNUMBER(SEARCH("Alpine",BX54)),ISNUMBER(SEARCH("BorealForest",BX54)),ISNUMBER(SEARCH("ColdBog",BX54))),-30,IF(OR(ISNUMBER(SEARCH("TemperateForest",BX54)),ISNUMBER(SEARCH("TemperateSwamp",BX54))),-20,IF(_xlfn.XLOOKUP(_xlfn.XLOOKUP(B54,'Base stats'!B:B,'Base stats'!E:E),Groups!A:A,Groups!F:F)=1,-15,IF(OR(ISNUMBER(SEARCH("Desert",BX54)),ISNUMBER(SEARCH("ExtremeDesert",BX54))),-10,IF(OR(ISNUMBER(SEARCH("Grasslands",BX54)),ISNUMBER(SEARCH("TropicalRainforest",BX54)),ISNUMBER(SEARCH("TropicalSwamp",BX54))),10,0)))))))-IF(CC54="False",MIN(IFERROR(MAX(MROUND(LOG10(_xlfn.XLOOKUP(B54,'Base stats'!B:B,'Base stats'!C:C)^(2/3))*10,5),5),5),30))-_xlfn.XLOOKUP(B54,'Base stats'!B:B,'Base stats'!P:P)+IF(CC54="True",5,0)</f>
        <v>-25</v>
      </c>
      <c r="M54" s="2">
        <f>IF(OR(_xlfn.XLOOKUP(_xlfn.XLOOKUP(B54,'Base stats'!B:B,'Base stats'!E:E),Groups!A:A,Groups!G:G)=2,ISNUMBER(SEARCH("Desert",BX54)),ISNUMBER(SEARCH("ExtremeDesert",BX54)),ISNUMBER(SEARCH("LavaField",BX54))),50,IF(ISNUMBER(SEARCH("Grasslands",BX54)),45,IF(OR(_xlfn.XLOOKUP(_xlfn.XLOOKUP(B54,'Base stats'!B:B,'Base stats'!E:E),Groups!A:A,Groups!G:G)=1,ISNUMBER(SEARCH("TropicalRainforest",BX54)),ISNUMBER(SEARCH("TropicalSwamp",BX54))),40,IF(OR(ISNUMBER(SEARCH("TemperateForest",BX54)),ISNUMBER(SEARCH("TemperateSwamp",BX54))),35,IF(OR(ISNUMBER(SEARCH("Alpine",BX54)),ISNUMBER(SEARCH("BorealForest",BX54)),ISNUMBER(SEARCH("ColdBog",BX54))),30,IF(ISNUMBER(OR(ISNUMBER(SEARCH("GlacialPlain",BX54)),SEARCH("Tundra",BX54))),25,IF(OR(ISNUMBER(SEARCH("SeaIce",BX54)),ISNUMBER(SEARCH("IceSheet",BX54)),ISNUMBER(SEARCH("TropicalSwamp",BX54))),10,35)))))))+_xlfn.XLOOKUP(B54,'Base stats'!B:B,'Base stats'!Q:Q)</f>
        <v>50</v>
      </c>
      <c r="N54" s="8" t="str">
        <f>IF(
_xlfn.XLOOKUP(
_xlfn.XLOOKUP(B54,'Base stats'!B:B,'Base stats'!E:E),
Groups!A:A,
Groups!L:L
)=1,
MIN(
MROUND(
IF(
_xlfn.XLOOKUP(B54,'Animals CE'!B:B,'Animals CE'!Z:Z)&lt;=1.5,
_xlfn.XLOOKUP(B54,'Animals CE'!B:B,'Animals CE'!Z:Z)/2+0.05,
0.8+
(_xlfn.XLOOKUP(B54,'Animals CE'!B:B,'Animals CE'!Z:Z)-1.5)
*0.02
),
0.05
),
200%
),
"No"
)</f>
        <v>No</v>
      </c>
      <c r="O54" s="8" t="str">
        <f>IF(
_xlfn.XLOOKUP(
_xlfn.XLOOKUP(B54,'Base stats'!B:B,'Base stats'!E:E),
Groups!A:A,
Groups!L:L
)=1,
MIN(
MROUND(
IF(
_xlfn.XLOOKUP(B54,'Animals CE'!B:B,'Animals CE'!AA:AA)&lt;=1.5,
_xlfn.XLOOKUP(B54,'Animals CE'!B:B,'Animals CE'!AA:AA)/2+0.05,
0.8+
(_xlfn.XLOOKUP(B54,'Animals CE'!B:B,'Animals CE'!AA:AA)-1.5)
*0.02
),
0.05
),
200%
),
"No"
)</f>
        <v>No</v>
      </c>
      <c r="P54" s="2" t="str">
        <f>_xlfn.XLOOKUP(B54,'Base stats'!B:B,'Base stats'!R:R)</f>
        <v>Standard</v>
      </c>
      <c r="Q54" s="13">
        <f>MROUND((LOG10(_xlfn.XLOOKUP(B54,'Base stats'!B:B,'Base stats'!AR:AR))*(AO54^0.5)+(_xlfn.XLOOKUP(B54,'Base stats'!B:B,'Base stats'!AR:AR)/1000)^(2/3)+_xlfn.XLOOKUP(B54,'Base stats'!B:B,'Base stats'!BA:BA)/2)+0.5,0.5)</f>
        <v>5</v>
      </c>
      <c r="R54" s="7">
        <f>IF(Q54="No","No",MAX(1,MROUND(_xlfn.XLOOKUP(B54,'Base stats'!B:B,'Base stats'!C:C)^0.165,0.05)))</f>
        <v>1.7000000000000002</v>
      </c>
      <c r="S54" s="13">
        <f>IF(_xlfn.XLOOKUP(_xlfn.XLOOKUP(B54,'Base stats'!B:B,'Base stats'!E:E),Groups!A:A,Groups!P:P)=0,"No",MROUND((LOG10(_xlfn.XLOOKUP(B54,'Base stats'!B:B,'Base stats'!AS:AS))*(AO54^0.5)+(_xlfn.XLOOKUP(B54,'Base stats'!B:B,'Base stats'!AS:AS)/1000)^(2/3)+_xlfn.XLOOKUP(B54,'Base stats'!B:B,'Base stats'!BA:BA))+_xlfn.XLOOKUP(B54,'Base stats'!B:B,'Base stats'!AY:AY)+0.5,0.5))</f>
        <v>6</v>
      </c>
      <c r="T54" s="7">
        <f>IF(S54="No","No",MAX(_xlfn.XLOOKUP(_xlfn.XLOOKUP(B54,'Base stats'!B:B,'Base stats'!E:E),Groups!A:A,Groups!Q:Q),MROUND(_xlfn.XLOOKUP(_xlfn.XLOOKUP(B54,'Base stats'!B:B,'Base stats'!E:E),Groups!A:A,Groups!Q:Q)*_xlfn.XLOOKUP(B54,'Base stats'!B:B,'Base stats'!C:C)^0.165,0.05)))</f>
        <v>1.7000000000000002</v>
      </c>
      <c r="U54" s="7" t="str">
        <f>IF(S54="No","No",_xlfn.XLOOKUP(_xlfn.XLOOKUP(B54,'Base stats'!B:B,'Base stats'!E:E),Groups!A:A,Groups!R:R))</f>
        <v>FrontLeftLeg, FrontRightLeg</v>
      </c>
      <c r="V54" s="7" t="str">
        <f>IF(S54="No","No",_xlfn.XLOOKUP(_xlfn.XLOOKUP(B54,'Base stats'!B:B,'Base stats'!E:E),Groups!A:A,Groups!S:S))</f>
        <v>left hoof, right hoof</v>
      </c>
      <c r="W54" s="7" t="str">
        <f>IF(S54="No","No",_xlfn.XLOOKUP(_xlfn.XLOOKUP(B54,'Base stats'!B:B,'Base stats'!E:E),Groups!A:A,Groups!T:T))</f>
        <v>Blunt</v>
      </c>
      <c r="X54" s="13">
        <f>IF(_xlfn.XLOOKUP(B54,'Base stats'!B:B,'Base stats'!W:W)="No","No",MROUND((LOG10(_xlfn.XLOOKUP(B54,'Base stats'!B:B,'Base stats'!AU:AU))*(AO54^0.5)+(_xlfn.XLOOKUP(B54,'Base stats'!B:B,'Base stats'!AU:AU)/1000)^(2/3)+_xlfn.XLOOKUP(B54,'Base stats'!B:B,'Base stats'!AZ:AZ))+0.5+IF(_xlfn.XLOOKUP(_xlfn.XLOOKUP(B54,'Base stats'!B:B,'Base stats'!E:E),Groups!A:A,Groups!U:U)&lt;&gt;3,_xlfn.XLOOKUP(B54,'Base stats'!B:B,'Base stats'!BA:BA),0),0.5))</f>
        <v>9</v>
      </c>
      <c r="Y54" s="7">
        <f>IF(X54="No","No",MAX(_xlfn.XLOOKUP(_xlfn.XLOOKUP(B54,'Base stats'!B:B,'Base stats'!E:E),Groups!A:A,Groups!V:V),MROUND(_xlfn.XLOOKUP(_xlfn.XLOOKUP(B54,'Base stats'!B:B,'Base stats'!E:E),Groups!A:A,Groups!V:V)*_xlfn.XLOOKUP(B54,'Base stats'!B:B,'Base stats'!C:C)^0.165,0.05)))</f>
        <v>1.4500000000000002</v>
      </c>
      <c r="Z54" s="7" t="str">
        <f>IF(X54="No","No",_xlfn.XLOOKUP(_xlfn.XLOOKUP(B54,'Base stats'!B:B,'Base stats'!E:E),Groups!A:A,Groups!W:W))</f>
        <v>HeadAttackTool</v>
      </c>
      <c r="AA54" s="7" t="str">
        <f>IF(X54="No","No",_xlfn.XLOOKUP(_xlfn.XLOOKUP(B54,'Base stats'!B:B,'Base stats'!E:E),Groups!A:A,Groups!X:X))</f>
        <v>horn</v>
      </c>
      <c r="AB54" s="7" t="str">
        <f>IF(X54="No","No",_xlfn.XLOOKUP(_xlfn.XLOOKUP(B54,'Base stats'!B:B,'Base stats'!E:E),Groups!A:A,Groups!Y:Y))</f>
        <v>Scratch</v>
      </c>
      <c r="AC54" s="7" t="str">
        <f>_xlfn.XLOOKUP(Animals!B54,'Base stats'!B:B,'Base stats'!X:X)</f>
        <v>False</v>
      </c>
      <c r="AD54" s="13" t="str">
        <f>IF(_xlfn.XLOOKUP(B54,'Base stats'!B:B,'Base stats'!AT:AT)="No","No",MROUND((LOG10(_xlfn.XLOOKUP(B54,'Base stats'!B:B,'Base stats'!AT:AT))*(AO54^0.75)+(_xlfn.XLOOKUP(B54,'Base stats'!B:B,'Base stats'!AT:AT)/1000)^(2/3)+_xlfn.XLOOKUP(B54,'Base stats'!B:B,'Base stats'!AX:AX)+_xlfn.XLOOKUP(B54,'Base stats'!B:B,'Base stats'!BA:BA))+0.5,0.5))</f>
        <v>No</v>
      </c>
      <c r="AE54" s="7" t="str">
        <f>IF(AD54="No","No",MAX(_xlfn.XLOOKUP(_xlfn.XLOOKUP(B54,'Base stats'!B:B,'Base stats'!E:E),Groups!A:A,Groups!Z:Z),MROUND(_xlfn.XLOOKUP(_xlfn.XLOOKUP(B54,'Base stats'!B:B,'Base stats'!E:E),Groups!A:A,Groups!Z:Z)*_xlfn.XLOOKUP(B54,'Base stats'!B:B,'Base stats'!C:C)^0.165,0.05)))</f>
        <v>No</v>
      </c>
      <c r="AF54" s="7" t="str">
        <f>IF(AD54="No","No",_xlfn.XLOOKUP(_xlfn.XLOOKUP(B54,'Base stats'!B:B,'Base stats'!E:E),Groups!A:A,Groups!AA:AA))</f>
        <v>No</v>
      </c>
      <c r="AG54" s="7" t="str">
        <f>IF(AD54="No","No",_xlfn.XLOOKUP(_xlfn.XLOOKUP(B54,'Base stats'!B:B,'Base stats'!E:E),Groups!A:A,Groups!AB:AB))</f>
        <v>No</v>
      </c>
      <c r="AH54" s="7" t="str">
        <f>IF(AD54="No","No",_xlfn.XLOOKUP(_xlfn.XLOOKUP(B54,'Base stats'!B:B,'Base stats'!E:E),Groups!A:A,Groups!AC:AC))</f>
        <v>No</v>
      </c>
      <c r="AI54" s="13" t="str">
        <f>IF(_xlfn.XLOOKUP(_xlfn.XLOOKUP(B54,'Base stats'!B:B,'Base stats'!E:E),Groups!A:A,Groups!AD:AD)=0,"No",MROUND((LOG10(_xlfn.XLOOKUP(B54,'Base stats'!B:B,'Base stats'!AS:AS))*(AO54^0.75)+(_xlfn.XLOOKUP(B54,'Base stats'!B:B,'Base stats'!AS:AS)/1000)^(2/3)+_xlfn.XLOOKUP(B54,'Base stats'!B:B,'Base stats'!AY:AY)+_xlfn.XLOOKUP(B54,'Base stats'!B:B,'Base stats'!BA:BA))+0.5,0.5))</f>
        <v>No</v>
      </c>
      <c r="AJ54" s="7" t="str">
        <f>IF(AI54="No","No",MAX(_xlfn.XLOOKUP(_xlfn.XLOOKUP(B54,'Base stats'!B:B,'Base stats'!E:E),Groups!A:A,Groups!AE:AE),MROUND(_xlfn.XLOOKUP(_xlfn.XLOOKUP(B54,'Base stats'!B:B,'Base stats'!E:E),Groups!A:A,Groups!AE:AE)*IF(_xlfn.XLOOKUP(_xlfn.XLOOKUP(B54,'Base stats'!B:B,'Base stats'!E:E),Groups!A:A,Groups!AJ:AJ)="Photonozoa",0.6,1)*_xlfn.XLOOKUP(B54,'Base stats'!B:B,'Base stats'!C:C)^0.165,0.05)))</f>
        <v>No</v>
      </c>
      <c r="AK54" s="7" t="str">
        <f>IF(AI54="No","No",_xlfn.XLOOKUP(_xlfn.XLOOKUP(B54,'Base stats'!B:B,'Base stats'!E:E),Groups!A:A,Groups!AF:AF))</f>
        <v>No</v>
      </c>
      <c r="AL54" s="7" t="str">
        <f>IF(AI54="No","No",_xlfn.XLOOKUP(_xlfn.XLOOKUP(B54,'Base stats'!B:B,'Base stats'!E:E),Groups!A:A,Groups!AG:AG))</f>
        <v>No</v>
      </c>
      <c r="AM54" s="7" t="str">
        <f>IF(AI54="No","No",_xlfn.XLOOKUP(_xlfn.XLOOKUP(B54,'Base stats'!B:B,'Base stats'!E:E),Groups!A:A,Groups!AH:AH))</f>
        <v>No</v>
      </c>
      <c r="AN54" s="2" t="str">
        <f t="shared" si="0"/>
        <v>No</v>
      </c>
      <c r="AO54" s="2">
        <f>MROUND(IF(AND(_xlfn.XLOOKUP(B54,'Base stats'!B:B,'Base stats'!C:C)&gt;=0.5,_xlfn.XLOOKUP(B54,'Base stats'!B:B,'Base stats'!C:C)&lt;=0.8),
IF(_xlfn.XLOOKUP(B54,'Base stats'!B:B,'Base stats'!C:C)&lt;0.1,0.05,IF(_xlfn.XLOOKUP(B54,'Base stats'!B:B,'Base stats'!C:C)&lt;=70,(_xlfn.XLOOKUP(B54,'Base stats'!B:B,'Base stats'!C:C)/70)^0.426489913056526,IF(_xlfn.XLOOKUP(B54,'Base stats'!B:B,'Base stats'!C:C)&lt;=400,(_xlfn.XLOOKUP(B54,'Base stats'!B:B,'Base stats'!C:C)/70)^0.572811455315093,IF(_xlfn.XLOOKUP(B54,'Base stats'!B:B,'Base stats'!C:C)&lt;=2000,2.71391647193063*(_xlfn.XLOOKUP(B54,'Base stats'!B:B,'Base stats'!C:C)/400)^0.252459582904293,3.74314280240376*(_xlfn.XLOOKUP(B54,'Base stats'!B:B,'Base stats'!C:C)/2000)^0.357012633876913)))),
IF(_xlfn.XLOOKUP(B54,'Base stats'!B:B,'Base stats'!C:C)&lt;0.1,0.05,IF(_xlfn.XLOOKUP(B54,'Base stats'!B:B,'Base stats'!C:C)&lt;0.4,0.1,IF(_xlfn.XLOOKUP(B54,'Base stats'!B:B,'Base stats'!C:C)&lt;=70,(_xlfn.XLOOKUP(B54,'Base stats'!B:B,'Base stats'!C:C)/70)^0.445823913056526,IF(_xlfn.XLOOKUP(B54,'Base stats'!B:B,'Base stats'!C:C)&lt;=400,(_xlfn.XLOOKUP(B54,'Base stats'!B:B,'Base stats'!C:C)/70)^0.572811455315093,IF(_xlfn.XLOOKUP(B54,'Base stats'!B:B,'Base stats'!C:C)&lt;=2000,2.71391647193063*(_xlfn.XLOOKUP(B54,'Base stats'!B:B,'Base stats'!C:C)/400)^0.252459582904293,3.74314280240376*(_xlfn.XLOOKUP(B54,'Base stats'!B:B,'Base stats'!C:C)/2000)^0.357012633876913)))))),
IF(_xlfn.XLOOKUP(B54,'Base stats'!B:B,'Base stats'!C:C)&lt;0.1,0.05,IF(_xlfn.XLOOKUP(B54,'Base stats'!B:B,'Base stats'!C:C)&lt;=100,0.05,IF(_xlfn.XLOOKUP(B54,'Base stats'!B:B,'Base stats'!C:C)&lt;=250,0.1,IF(_xlfn.XLOOKUP(B54,'Base stats'!B:B,'Base stats'!C:C)&lt;=4000,0.25,0.5)))))</f>
        <v>0.60000000000000009</v>
      </c>
      <c r="AP54" s="8">
        <f>MROUND(AO54*_xlfn.XLOOKUP(_xlfn.XLOOKUP(B54,'Base stats'!B:B,'Base stats'!E:E),Groups!A:A,Groups!AI:AI)*_xlfn.XLOOKUP(B54,'Base stats'!B:B,'Base stats'!Z:Z),0.05)</f>
        <v>0.60000000000000009</v>
      </c>
      <c r="AQ54" s="8">
        <f>MAX(0.01,MROUND(IF(CC54="True",0.196*(AO54*100*1000)^0.889,IF(_xlfn.XLOOKUP(_xlfn.XLOOKUP(B54,'Base stats'!B:B,'Base stats'!E:E),Groups!A:A,Groups!AJ:AJ)="Bird",10.5*(AO54*100*1000)^0.681,4.82*(AO54*100*1000)^0.734))/(4.82*(1*100*1000)^0.734)/IF(AO54&lt;3.5,2,IF(AO54=3.5,1.5,1.25))*(1+0.132282374779864/(AO54^0.994035016789033+0.00905238001496948)),0.05))</f>
        <v>0.4</v>
      </c>
      <c r="AR54" s="9">
        <f>IFERROR(MROUND(_xlfn.XLOOKUP(B54,'Base stats'!B:B,'Base stats'!H:H)/IF(_xlfn.XLOOKUP(B54,'Base stats'!B:B,'Base stats'!I:I)&lt;&gt;1,(122.5/70),1.2),IF(_xlfn.XLOOKUP(B54,'Base stats'!B:B,'Base stats'!H:H)&gt;=30,5,IF(_xlfn.XLOOKUP(B54,'Base stats'!B:B,'Base stats'!H:H)&gt;=15,3,IF(_xlfn.XLOOKUP(B54,'Base stats'!B:B,'Base stats'!H:H)&gt;=10,2,1)))),"Immortal")</f>
        <v>9</v>
      </c>
      <c r="AS54" s="35">
        <f>IFERROR(IF(OR(_xlfn.XLOOKUP(B54,'Base stats'!B:B,'Base stats'!F:F)="Atypical reproduction",_xlfn.XLOOKUP(B54,'Base stats'!B:B,'Base stats'!F:F)="Lay eggs"),"Lay eggs",MIN(20,MAX(5.5,ROUND(((_xlfn.XLOOKUP(B54,'Base stats'!B:B,'Base stats'!F:F)-25)*(14.5/615) + 5.5)*2,0)/2))),"Unknown")</f>
        <v>9</v>
      </c>
      <c r="AT54" s="8">
        <f>IF(_xlfn.XLOOKUP(B54,'Base stats'!B:B,'Base stats'!G:G)="Atypical reproduction","No",IFERROR(MAX(IF(_xlfn.XLOOKUP(B54,'Base stats'!B:B,'Base stats'!G:G)&lt;0.5,0.2,0.3),MROUND(_xlfn.XLOOKUP(B54,'Base stats'!B:B,'Base stats'!G:G)/(365/60),0.2)),"Unknown"))</f>
        <v>0.3</v>
      </c>
      <c r="AU54" s="8">
        <f t="shared" si="1"/>
        <v>0.15000000000000002</v>
      </c>
      <c r="AV54" s="8">
        <f>IFERROR(IFERROR(MROUND(_xlfn.XLOOKUP(B54,'Base stats'!B:B,'Base stats'!J:J),0.1),"Lay eggs"),"Cannot breed")</f>
        <v>1</v>
      </c>
      <c r="AW54" s="2" t="str">
        <f t="shared" si="2"/>
        <v>true</v>
      </c>
      <c r="AX54" s="2" t="str">
        <f>IF(_xlfn.XLOOKUP(_xlfn.XLOOKUP(Animals!B54,'Base stats'!B:B,'Base stats'!E:E),Groups!A:A,Groups!AK:AK)=1,"true","false")</f>
        <v>true</v>
      </c>
      <c r="AY54" s="25" t="str">
        <f>IF(_xlfn.XLOOKUP(B54,'Base stats'!B:B,'Base stats'!Y:Y)="Liquor","Liquor, CarnivoreAnimalStrict",IF(AND(_xlfn.XLOOKUP(B54,'Base stats'!B:B,'Base stats'!Y:Y)="Carnivore",_xlfn.XLOOKUP(_xlfn.XLOOKUP(B54,'Base stats'!B:B,'Base stats'!E:E),Groups!A:A,Groups!AJ:AJ)="Photonozoa"),"CarnivoreAnimalStrict, OvivoreAnimal",IF(_xlfn.XLOOKUP(B54,'Base stats'!B:B,'Base stats'!Y:Y)="Carnivore","CarnivoreAnimal, OvivoreAnimal",IF(_xlfn.XLOOKUP(B54,'Base stats'!B:B,'Base stats'!Y:Y)="Dendrovore","VegetarianRoughAnimal, DendrovoreAnimal",IF(_xlfn.XLOOKUP(B54,'Base stats'!B:B,'Base stats'!Y:Y)="Herbivore","VegetarianRoughAnimal",IF(_xlfn.XLOOKUP(B54,'Base stats'!B:B,'Base stats'!Y:Y)="OmnivoreRough","OmnivoreRoughAnimal, OvivoreAnimal","OmnivoreAnimal, OvivoreAnimal"))))))</f>
        <v>VegetarianRoughAnimal</v>
      </c>
      <c r="AZ54" s="2">
        <f>IF(_xlfn.XLOOKUP(_xlfn.XLOOKUP(B54,'Base stats'!B:B,'Base stats'!E:E),Groups!A:A,Groups!D:D)=1,MROUND((1-J54)*5+1,2)*IF(J54&lt;=0.4,2,1),"No")</f>
        <v>4</v>
      </c>
      <c r="BA54" s="2" t="str">
        <f>IF(AND(_xlfn.XLOOKUP(B54,'Base stats'!B:B,'Base stats'!AH:AH)="&lt;li&gt;Seal&lt;/li&gt;",G54="Odyssey"),"&lt;li&gt;AEXP_Seal&lt;/li&gt;",_xlfn.XLOOKUP(B54,'Base stats'!B:B,'Base stats'!AH:AH))</f>
        <v>No</v>
      </c>
      <c r="BB54" s="2" t="str">
        <f>_xlfn.XLOOKUP(B54,'Base stats'!B:B,'Base stats'!AG:AG)</f>
        <v>Leather_Plain</v>
      </c>
      <c r="BC54" s="23" t="str">
        <f>_xlfn.XLOOKUP(_xlfn.XLOOKUP(B54,'Base stats'!B:B,'Base stats'!E:E),Groups!A:A,Groups!AL:AL)</f>
        <v>QuadrupedAnimalWithHooves</v>
      </c>
      <c r="BD54" s="23">
        <f>MIN(1,MROUND(IF(AND(AO54&lt;0.5,_xlfn.XLOOKUP(B54,'Base stats'!B:B,'Base stats'!AA:AA)=0),0,IF(OR(_xlfn.XLOOKUP(Animals!B54,'Base stats'!B:B,'Base stats'!O:O)=2,_xlfn.XLOOKUP(_xlfn.XLOOKUP(B54,'Base stats'!B:B,'Base stats'!E:E),Groups!A:A,Groups!AN:AN)=0),0,_xlfn.XLOOKUP(_xlfn.XLOOKUP(B54,'Base stats'!B:B,'Base stats'!E:E),Groups!A:A,Groups!AN:AN)/IF(_xlfn.XLOOKUP(Animals!B54,'Base stats'!B:B,'Base stats'!O:O)=1,2,1)))+_xlfn.XLOOKUP(B54,'Base stats'!B:B,'Base stats'!AC:AC),0.005))</f>
        <v>0</v>
      </c>
      <c r="BE54" s="23">
        <f>MIN(1,MROUND(IF(AND(AO54&lt;0.5,_xlfn.XLOOKUP(B54,'Base stats'!B:B,'Base stats'!AA:AA)=0),0,IF(_xlfn.XLOOKUP(_xlfn.XLOOKUP(B54,'Base stats'!B:B,'Base stats'!E:E),Groups!A:A,Groups!AO:AO)=0,0,_xlfn.XLOOKUP(_xlfn.XLOOKUP(B54,'Base stats'!B:B,'Base stats'!E:E),Groups!A:A,Groups!AO:AO)/IF(_xlfn.XLOOKUP(Animals!B54,'Base stats'!B:B,'Base stats'!O:O)=2,3,1)))+_xlfn.XLOOKUP(B54,'Base stats'!B:B,'Base stats'!AD:AD),0.005))</f>
        <v>0</v>
      </c>
      <c r="BF54" s="2" t="str">
        <f>IF(J54&gt;0.3,"No",_xlfn.XLOOKUP(_xlfn.XLOOKUP(Animals!B54,'Base stats'!B:B,'Base stats'!E:E),Groups!A:A,Groups!AP:AP))</f>
        <v>No</v>
      </c>
      <c r="BG54" s="2" t="str">
        <f>IF(AND(J54&lt;=0.65,_xlfn.XLOOKUP(_xlfn.XLOOKUP(Animals!B54,'Base stats'!B:B,'Base stats'!E:E),Groups!A:A,Groups!AP:AP)&lt;&gt;"No",_xlfn.XLOOKUP(_xlfn.XLOOKUP(B54,'Base stats'!B:B,'Base stats'!E:E),Groups!A:A,Groups!D:D)=0),MROUND((80/3)*IF(_xlfn.XLOOKUP(B54,'Base stats'!B:B,'Base stats'!O:O)=2,0.2,AO54) + 24*(1-IF(BF54="No",0,BF54)) + 16/3, 12),"No")</f>
        <v>No</v>
      </c>
      <c r="BH54" s="2">
        <f>IF(AND(_xlfn.XLOOKUP(_xlfn.XLOOKUP(B54,'Base stats'!B:B,'Base stats'!E:E),Groups!A:A,Groups!AQ:AQ)=1,AO54&lt;=0.35),8,12)</f>
        <v>12</v>
      </c>
      <c r="BI54" s="2" t="str">
        <f>IF(_xlfn.XLOOKUP(_xlfn.XLOOKUP(B54,'Base stats'!B:B,'Base stats'!E:E),Groups!A:A,Groups!D:D)=0,_xlfn.XLOOKUP(_xlfn.XLOOKUP(B54,'Base stats'!B:B,'Base stats'!E:E),Groups!A:A,Groups!AR:AR),"None")</f>
        <v>None</v>
      </c>
      <c r="BJ54" s="2" t="str">
        <f>IF(AND(_xlfn.XLOOKUP(_xlfn.XLOOKUP(B54,'Base stats'!B:B,'Base stats'!E:E),Groups!A:A,Groups!AS:AS)=1,OR(_xlfn.XLOOKUP(B54,'Base stats'!B:B,'Base stats'!Y:Y)="Carnivore",_xlfn.XLOOKUP(B54,'Base stats'!B:B,'Base stats'!Y:Y)="Omnivore")),"true","false")</f>
        <v>false</v>
      </c>
      <c r="BK54" s="2" t="str">
        <f>IF(BJ54="true",MROUND(IF(AND(AO54&gt;0.5,OR(_xlfn.XLOOKUP(_xlfn.XLOOKUP(B54,'Base stats'!B:B,'Base stats'!E:E),Groups!A:A,Groups!AJ:AJ)="Photonozoa",_xlfn.XLOOKUP(_xlfn.XLOOKUP(B54,'Base stats'!B:B,'Base stats'!E:E),Groups!A:A,Groups!AJ:AJ)="Mammal")),Animals!AO54*1.75*IF(AW54="true",1.5,1),IF(AO54&lt;0.5,Animals!AO54*0.5,Animals!AO54)),IF(AO54&gt;2,0.5,IF(AO54&gt;0.5,0.25,0.1))),"No")</f>
        <v>No</v>
      </c>
      <c r="BL54" s="2">
        <f t="shared" si="3"/>
        <v>0</v>
      </c>
      <c r="BM54" s="25" t="str">
        <f>IF(_xlfn.XLOOKUP(B54,'Base stats'!B:B,'Base stats'!AN:AN)="Standard","No",MROUND((_xlfn.XLOOKUP(B54,'Base stats'!B:B,'Base stats'!AN:AN)/3.6)/I54,0.1))</f>
        <v>No</v>
      </c>
      <c r="BN54" s="25" t="str">
        <f t="shared" si="4"/>
        <v>false</v>
      </c>
      <c r="BO54" s="25" t="str">
        <f>IF(AND(OR(_xlfn.XLOOKUP(B54,'Base stats'!B:B,'Base stats'!Y:Y)="Carnivore",_xlfn.XLOOKUP(B54,'Base stats'!B:B,'Base stats'!Y:Y)="Omnivore",_xlfn.XLOOKUP(B54,'Base stats'!B:B,'Base stats'!Y:Y)="OmnivoreRough"),_xlfn.XLOOKUP(_xlfn.XLOOKUP(B54,'Base stats'!B:B,'Base stats'!E:E),Groups!A:A,Groups!AT:AT)=1),"true","false")</f>
        <v>false</v>
      </c>
      <c r="BP54" s="25" t="str" cm="1">
        <f t="array" ref="BP54">IF(
  _xlfn.TEXTJOIN(", ",TRUE,
    IF(AND(BJ54="true",AO54&gt;0.5,BI54&lt;&gt;"None"),"AttackTarget",""),
    IF(AND(_xlfn.XLOOKUP(_xlfn.XLOOKUP(B54,'Base stats'!B:B,'Base stats'!E:E),Groups!A:A,Groups!AJ:AJ="Mammal"),OR(_xlfn.XLOOKUP(B54,'Base stats'!B:B,'Base stats'!Y:Y)="Omnivore",_xlfn.XLOOKUP(B54,'Base stats'!B:B,'Base stats'!Y:Y)="OmnivoreRough")),"Forage",""),
    IF(BG54&lt;=36,"Comfort",""),
    IF(_xlfn.XLOOKUP(B54,'Base stats'!B:B,'Base stats'!AE:AE)&lt;&gt;"No",_xlfn.XLOOKUP(B54,'Base stats'!B:B,'Base stats'!AE:AE),"")
  ) = "",
  "No",
  _xlfn.TEXTJOIN(", ",TRUE,
    IF(AND(BJ54="true",AO54&gt;0.5,BI54&lt;&gt;"None"),"AttackTarget",""),
    IF(AND(_xlfn.XLOOKUP(_xlfn.XLOOKUP(B54,'Base stats'!B:B,'Base stats'!E:E),Groups!A:A,Groups!AJ:AJ="Mammal"),OR(_xlfn.XLOOKUP(B54,'Base stats'!B:B,'Base stats'!Y:Y)="Omnivore",_xlfn.XLOOKUP(B54,'Base stats'!B:B,'Base stats'!Y:Y)="OmnivoreRough")),"Forage",""),
    IF(BG54&lt;=36,"Comfort",""),
    IF(_xlfn.XLOOKUP(B54,'Base stats'!B:B,'Base stats'!AE:AE)&lt;&gt;"No",_xlfn.XLOOKUP(B54,'Base stats'!B:B,'Base stats'!AE:AE),"")
  )
)</f>
        <v>No</v>
      </c>
      <c r="BQ54" s="25" t="str">
        <f>IF(
   AND(
      'Base stats'!AN54="Standard",_xlfn.XLOOKUP(_xlfn.XLOOKUP(B54,'Base stats'!B:B,'Base stats'!E:E),Groups!A:A,Groups!AU:AU)=0,
      OR(
      BO54="True"
      )
   ),
   10,
   IF(
       OR(BM54&lt;&gt;"No",_xlfn.XLOOKUP(_xlfn.XLOOKUP(B54,'Base stats'!B:B,'Base stats'!E:E),Groups!A:A,Groups!AU:AU)=1),
      1,
      "No"
   )
)</f>
        <v>No</v>
      </c>
      <c r="BR54" s="9">
        <f>MROUND((1 + ((0.2*IF(OR(Q54="No",R54="No",R54=0),0,Q54/R54)
+IF(OR(V54="No",S54="No",T54="No"),0,S54/T54*(LEN(V54)-LEN(SUBSTITUTE(V54,",",""))+1))
+IF(OR(X54="No",Y54="No"),0,X54/Y54)
+IF(OR(AD54="No",AE54="No"),0,AD54/AE54)
+IF(OR(AL54="No",AI54="No",AJ54="No"),0,AI54/AJ54*(LEN(AL54)-LEN(SUBSTITUTE(AL54,",",""))+1))
)/(0.2*IF(OR(Q54="No",R54="No",R54=0),0,1)
+IF(OR(V54="No",S54="No",T54="No"),0,LEN(V54)-LEN(SUBSTITUTE(V54,",",""))+1)
+IF(OR(X54="No",Y54="No"),0,1)
+IF(OR(AD54="No",AE54="No"),0,1)
+IF(OR(AL54="No",AI54="No",AJ54="No"),0,LEN(AL54)-LEN(SUBSTITUTE(AL54,",",""))+1))*62%)* 2)*(1 + (AP54 / (IF(_xlfn.XLOOKUP(_xlfn.XLOOKUP(B54,'Base stats'!B:B,'Base stats'!E:E),Groups!A:A,Groups!AJ:AJ)="Photonozoa",0.3,1)) + _xlfn.XLOOKUP(B54,'Base stats'!B:B,'Base stats'!AV:AV) * 1.8) * 2) * 2.5 + 10 + I54 * 2,5)+IF(_xlfn.XLOOKUP(B54,'Base stats'!B:B,'Base stats'!AK:AK)=1,50,0)</f>
        <v>65</v>
      </c>
      <c r="BS54" s="8">
        <f t="shared" si="5"/>
        <v>0.45</v>
      </c>
      <c r="BT54" s="8" t="str">
        <f>_xlfn.XLOOKUP(B54,'Base stats'!B:B,'Base stats'!AF:AF)</f>
        <v>5~15</v>
      </c>
      <c r="BU54" s="2" t="str">
        <f>IF(AND(J54&lt;=0.95,OR(_xlfn.XLOOKUP(B54,'Base stats'!B:B,'Base stats'!AK:AK)=1,_xlfn.XLOOKUP(B54,'Base stats'!B:B,'Base stats'!Y:Y)="Carnivore",_xlfn.XLOOKUP(B54,'Base stats'!B:B,'Base stats'!Y:Y)="Omnivore",BE54&gt;0.1)),"true","false")</f>
        <v>false</v>
      </c>
      <c r="BV54" s="2" t="str">
        <f>IF(_xlfn.XLOOKUP(B54,'Base stats'!B:B,'Base stats'!AI:AI)=1,"true","false")</f>
        <v>false</v>
      </c>
      <c r="BW54" s="25" t="str">
        <f>IF(E54="BaseInsect","AnimalInsect",
IF(J54&gt;0.95,"AnimalExotic",
_xlfn.TEXTJOIN(", ",TRUE,
IF(OR(_xlfn.XLOOKUP(B54,'Base stats'!B:B,'Base stats'!AM:AM)=1,AND(_xlfn.XLOOKUP(B54,'Base stats'!B:B,'Base stats'!O:O)=0,_xlfn.XLOOKUP(_xlfn.XLOOKUP(B54,'Base stats'!B:B,'Base stats'!E:E),Groups!A:A,Groups!B:B)&gt;0)),"AnimalUncommon","AnimalCommon"),
IF(AND(_xlfn.XLOOKUP(B54,'Base stats'!B:B,'Base stats'!O:O)=2,_xlfn.XLOOKUP(_xlfn.XLOOKUP(B54,'Base stats'!B:B,'Base stats'!E:E),Groups!A:A,Groups!D:D)=0),"AnimalPet",IF(AND(_xlfn.XLOOKUP(B54,'Base stats'!B:B,'Base stats'!O:O)&lt;&gt;0,_xlfn.XLOOKUP(_xlfn.XLOOKUP(B54,'Base stats'!B:B,'Base stats'!E:E),Groups!A:A,Groups!D:D)&lt;&gt;0),"AnimalFarm","")),
IF(OR(_xlfn.XLOOKUP(B54,'Base stats'!B:B,'Base stats'!AK:AK)=1,AND(BI54&lt;&gt;"None",BR54&gt;=60),ISNUMBER(SEARCH("Attack target",BP54))),"AnimalFighter","")
)))</f>
        <v>AnimalCommon</v>
      </c>
      <c r="BX54" s="25" t="str">
        <f>IF(G54="None",TRIM(
SUBSTITUTE(
IF(COUNTIF(Biomes!B$2:B$259,"="&amp;$C54)&gt;0,Biomes!B$1&amp;", ","")&amp;
IF(COUNTIF(Biomes!C$2:C$259,"="&amp;$C54)&gt;0,Biomes!C$1&amp;", ","")&amp;
IF(COUNTIF(Biomes!D$2:D$259,"="&amp;$C54)&gt;0,Biomes!D$1&amp;", ","")&amp;
IF(COUNTIF(Biomes!F$2:F$259,"="&amp;$C54)&gt;0,Biomes!F$1&amp;", ","")&amp;
IF(COUNTIF(Biomes!G$2:G$259,"="&amp;$C54)&gt;0,Biomes!G$1&amp;", ","")&amp;
IF(COUNTIF(Biomes!H$2:H$259,"="&amp;$C54)&gt;0,Biomes!H$1&amp;", ","")&amp;
IF(COUNTIF(Biomes!I$2:I$259,"="&amp;$C54)&gt;0,Biomes!I$1&amp;", ","")&amp;
IF(COUNTIF(Biomes!J$2:J$259,"="&amp;$C54)&gt;0,Biomes!J$1&amp;", ","")&amp;
IF(COUNTIF(Biomes!M$2:M$259,"="&amp;$C54)&gt;0,Biomes!M$1&amp;", ","")&amp;
IF(COUNTIF(Biomes!N$2:N$259,"="&amp;$C54)&gt;0,Biomes!N$1&amp;", ","")&amp;
IF(COUNTIF(Biomes!O$2:O$259,"="&amp;$C54)&gt;0,Biomes!O$1&amp;", ","")&amp;
IF(COUNTIF(Biomes!P$2:P$259,"="&amp;$C54)&gt;0,Biomes!P$1&amp;", ","")&amp;
IF(COUNTIF(Biomes!K$2:K$259,"="&amp;$C54)&gt;0,Biomes!K$1&amp;", ","")&amp;
IF(COUNTIF(Biomes!Q$3:Q$259,"="&amp;$C54)&gt;0,Biomes!Q$1&amp;", ","")&amp;
IF(COUNTIF(Biomes!L$2:L$259,"="&amp;$C54)&gt;0,Biomes!L$1&amp;", ","")&amp;
IF(COUNTIF(Biomes!E$2:E$259,"="&amp;$C54)&gt;0,Biomes!E$1&amp;", ","")&amp;IF(COUNTIF(Biomes!S$2:S$259,"="&amp;$C54)&gt;0,Biomes!S$1&amp;", ","")&amp;
IF(COUNTIF(Biomes!R$2:R$259,"="&amp;$C54)&gt;0,Biomes!R$1&amp;", ",""),", ","")
),_xlfn.XLOOKUP(B54,B:B,BX:BX))</f>
        <v>AridShrubland Desert ExtremeDesert Grasslands LavaField</v>
      </c>
      <c r="BY54" s="25" t="str">
        <f>IF(_xlfn.XLOOKUP(B54,'Base stats'!B:B,'Base stats'!AJ:AJ)=1,"true","false")</f>
        <v>false</v>
      </c>
      <c r="BZ54" s="25">
        <f>IF(_xlfn.XLOOKUP(B54,'Base stats'!B:B,'Base stats'!N:N)=1,"No",MAX(0.001,MIN(MROUND(IF(AND(BJ54="True",CC54="False"),POWER(10,3.47*LOG10(_xlfn.XLOOKUP(B54,'Base stats'!B:B,'Base stats'!C:C)*1000)^-0.96),POWER(10,4.15*LOG10(_xlfn.XLOOKUP(B54,'Base stats'!B:B,'Base stats'!C:C)*1000)^-0.73))*IF(_xlfn.XLOOKUP(B54,'Base stats'!B:B,'Base stats'!AK:AK)=1,0.5,1)*IF(_xlfn.XLOOKUP(B54,'Base stats'!B:B,'Base stats'!AM:AM)=1,0.1,1)/100,IF(_xlfn.XLOOKUP(B54,'Base stats'!B:B,'Base stats'!AM:AM)=1,0.001,0.025)),0.5)))</f>
        <v>0.25</v>
      </c>
      <c r="CA54" s="25" t="str">
        <f>IF(P54="Standard","No",MAX(0.001,MIN(MROUND(IF(AND(BJ54="True",CC54="False"),POWER(10,3.47*LOG10(_xlfn.XLOOKUP(B54,'Base stats'!B:B,'Base stats'!C:C)*1000)^-0.96),POWER(10,4.15*LOG10(_xlfn.XLOOKUP(B54,'Base stats'!B:B,'Base stats'!C:C)*1000)^-0.73))*IF(_xlfn.XLOOKUP(B54,'Base stats'!B:B,'Base stats'!AM:AM)=1,0.1,1)*_xlfn.XLOOKUP(B54,'Base stats'!B:B,'Base stats'!R:R)/100,IF(_xlfn.XLOOKUP(B54,'Base stats'!B:B,'Base stats'!AM:AM)=1,0.001,0.025)),0.5)))</f>
        <v>No</v>
      </c>
      <c r="CB54" s="25" t="str">
        <f>IF(_xlfn.XLOOKUP(_xlfn.XLOOKUP(B54,'Base stats'!B:B,'Base stats'!E:E),Groups!A:A,Groups!AJ:AJ)="Mammal","True","False")</f>
        <v>True</v>
      </c>
      <c r="CC54" s="25" t="str">
        <f>IF(OR(_xlfn.XLOOKUP(_xlfn.XLOOKUP(B54,'Base stats'!B:B,'Base stats'!E:E),Groups!A:A,Groups!AJ:AJ)="Reptile",_xlfn.XLOOKUP(_xlfn.XLOOKUP(B54,'Base stats'!B:B,'Base stats'!E:E),Groups!A:A,Groups!AJ:AJ)="Amphibian",_xlfn.XLOOKUP(_xlfn.XLOOKUP(B54,'Base stats'!B:B,'Base stats'!E:E),Groups!A:A,Groups!AJ:AJ)="Invertebrate"),"True","False")</f>
        <v>False</v>
      </c>
      <c r="CD54" s="25" t="str">
        <f t="shared" si="6"/>
        <v>False</v>
      </c>
      <c r="CE54" s="25" t="str">
        <f>IF(_xlfn.XLOOKUP(_xlfn.XLOOKUP(B54,'Base stats'!B:B,'Base stats'!E:E),Groups!A:A,Groups!AX:AX),"True","False")</f>
        <v>False</v>
      </c>
      <c r="CF54" s="25" t="str">
        <f>IF(_xlfn.XLOOKUP(_xlfn.XLOOKUP(B54,'Base stats'!B:B,'Base stats'!E:E),Groups!A:A,Groups!AY:AY),"True","False")</f>
        <v>False</v>
      </c>
      <c r="CG54" s="25" t="str">
        <f>IF(_xlfn.XLOOKUP(_xlfn.XLOOKUP(B54,'Base stats'!B:B,'Base stats'!E:E),Groups!A:A,Groups!AW:AW),"True","False")</f>
        <v>False</v>
      </c>
      <c r="CH54" s="25" t="str">
        <f>IF(
OR(
_xlfn.XLOOKUP(_xlfn.XLOOKUP(B54,'Base stats'!B:B,'Base stats'!E:E),Groups!A:A,Groups!AZ:AZ)=0,
AND(
_xlfn.XLOOKUP(B54,'Base stats'!B:B,'Base stats'!Y:Y)&lt;&gt;"Carnivore",
_xlfn.XLOOKUP(B54,'Base stats'!B:B,'Base stats'!Y:Y)&lt;&gt;"Omnivore",
_xlfn.XLOOKUP(B54,'Base stats'!B:B,'Base stats'!Y:Y)&lt;&gt;"OmnivoreRough"
)
),
"No",
IF(
_xlfn.XLOOKUP(_xlfn.XLOOKUP(B54,'Base stats'!B:B,'Base stats'!E:E),Groups!A:A,Groups!AZ:AZ)=1,
"Flesh",
IF(
_xlfn.XLOOKUP(_xlfn.XLOOKUP(B54,'Base stats'!B:B,'Base stats'!E:E),Groups!A:A,Groups!AZ:AZ)=2,
"Bone",
""
)
)
)</f>
        <v>No</v>
      </c>
      <c r="CI54" s="25" t="str">
        <f>IF(_xlfn.XLOOKUP(_xlfn.XLOOKUP(B54,'Base stats'!B:B,'Base stats'!E:E),Groups!A:A,Groups!BB:BB),"True","False")</f>
        <v>True</v>
      </c>
      <c r="CJ54" s="25" t="str">
        <f>IF(_xlfn.XLOOKUP(_xlfn.XLOOKUP(B54,'Base stats'!B:B,'Base stats'!E:E),Groups!A:A,Groups!BA:BA),"True","False")</f>
        <v>False</v>
      </c>
    </row>
    <row r="55" spans="1:88" ht="16.5" thickTop="1" thickBot="1" x14ac:dyDescent="0.3">
      <c r="A55" s="26" t="str">
        <f>_xlfn.XLOOKUP(B55,'Base stats'!B:B,'Base stats'!A:A)</f>
        <v>Warg</v>
      </c>
      <c r="B55" s="6" t="s">
        <v>263</v>
      </c>
      <c r="C55" s="28" t="s">
        <v>730</v>
      </c>
      <c r="D55" s="28" t="s">
        <v>45</v>
      </c>
      <c r="E55" s="28" t="s">
        <v>673</v>
      </c>
      <c r="F55" s="28" t="s">
        <v>673</v>
      </c>
      <c r="G55" s="28" t="s">
        <v>673</v>
      </c>
      <c r="H55" s="2">
        <f>MROUND((
  (IF(AND(_xlfn.XLOOKUP(B55,'Base stats'!B:B,'Base stats'!AL:AL)=0,BI55="None",_xlfn.XLOOKUP(_xlfn.XLOOKUP(B55,'Base stats'!B:B,'Base stats'!E:E),Groups!A:A,Groups!B:B)=0), (18 + BR55 * 2.7) * 0.5,
    IF(AND(_xlfn.XLOOKUP(B55,'Base stats'!B:B,'Base stats'!AL:AL)=0,OR(AO55&lt;0.55,AND(BI55="Intermediate",_xlfn.XLOOKUP(_xlfn.XLOOKUP(B55,'Base stats'!B:B,'Base stats'!E:E),Groups!A:A,Groups!B:B)&lt;2))), (18 + BR55 * 2.7),
      IF(OR(BI55="Advanced",_xlfn.XLOOKUP(B55,'Base stats'!B:B,'Base stats'!AL:AL)=1,_xlfn.XLOOKUP(_xlfn.XLOOKUP(B55,'Base stats'!B:B,'Base stats'!E:E),Groups!A:A,Groups!B:B)=2), (18 + BR55 * 2.7) + 250, (18 + BR55 * 2.7))
    )
  ))
  + AO55 * 80
  + IF(COUNTIF(EggMilk!K$2:K$998, A55) &gt; 0, 125, 0)
  + IF(COUNTIF(EggMilk!P$2:P$998, A55) &gt; 0, 90, 0)
  + IF(COUNTIF(EggMilk!A$2:A$998, A55) &gt; 0, 90, 0)
)
* (0.8 + 0.4 * J55)
* 0.75,25)</f>
        <v>675</v>
      </c>
      <c r="I55" s="2">
        <f>MROUND(ROUNDDOWN(_xlfn.XLOOKUP(B55,'Base stats'!B:B,'Base stats'!L:L)/3.6/(23.3/11),1),0.5)</f>
        <v>7</v>
      </c>
      <c r="J55" s="2">
        <f>IF(OR(_xlfn.XLOOKUP(B55,'Base stats'!B:B,'Base stats'!AB:AB)=1,_xlfn.XLOOKUP(_xlfn.XLOOKUP(B55,'Base stats'!B:B,'Base stats'!E:E),Groups!A:A,Groups!C:C)="Untamable"),1,IF(_xlfn.XLOOKUP(B55,'Base stats'!B:B,'Base stats'!AL:AL)=1,0.99,MIN(MROUND((1-0.6282*EXP(-0.459*AO55))*_xlfn.XLOOKUP(_xlfn.XLOOKUP(B55,'Base stats'!B:B,'Base stats'!E:E),Groups!A:A,Groups!C:C)*IF(_xlfn.XLOOKUP(B55,'Base stats'!B:B,'Base stats'!O:O)=1,0.5,IF(_xlfn.XLOOKUP(B55,'Base stats'!B:B,'Base stats'!O:O)=2,0,1)),0.05),IF(AO55&gt;3.5,0.985,0.95))))</f>
        <v>0.45</v>
      </c>
      <c r="K55" s="2">
        <f>ROUNDUP(AO55*_xlfn.XLOOKUP(_xlfn.XLOOKUP(B55,'Base stats'!B:B,'Base stats'!E:E),Groups!A:A,Groups!E:E),0)</f>
        <v>2</v>
      </c>
      <c r="L55" s="2">
        <f>IF(OR(_xlfn.XLOOKUP(_xlfn.XLOOKUP(B55,'Base stats'!B:B,'Base stats'!E:E),Groups!A:A,Groups!F:F)=2,ISNUMBER(SEARCH("SeaIce",BX55)),ISNUMBER(SEARCH("IceSheet",BX55))),-50,IF(OR(ISNUMBER(SEARCH("GlacialPlain",BX55)),ISNUMBER(SEARCH("Tundra",BX55))),-40,IF(OR(ISNUMBER(SEARCH("Alpine",BX55)),ISNUMBER(SEARCH("BorealForest",BX55)),ISNUMBER(SEARCH("ColdBog",BX55))),-30,IF(OR(ISNUMBER(SEARCH("TemperateForest",BX55)),ISNUMBER(SEARCH("TemperateSwamp",BX55))),-20,IF(_xlfn.XLOOKUP(_xlfn.XLOOKUP(B55,'Base stats'!B:B,'Base stats'!E:E),Groups!A:A,Groups!F:F)=1,-15,IF(OR(ISNUMBER(SEARCH("Desert",BX55)),ISNUMBER(SEARCH("ExtremeDesert",BX55))),-10,IF(OR(ISNUMBER(SEARCH("Grasslands",BX55)),ISNUMBER(SEARCH("TropicalRainforest",BX55)),ISNUMBER(SEARCH("TropicalSwamp",BX55))),10,0)))))))-IF(CC55="False",MIN(IFERROR(MAX(MROUND(LOG10(_xlfn.XLOOKUP(B55,'Base stats'!B:B,'Base stats'!C:C)^(2/3))*10,5),5),5),30))-_xlfn.XLOOKUP(B55,'Base stats'!B:B,'Base stats'!P:P)+IF(CC55="True",5,0)</f>
        <v>-35</v>
      </c>
      <c r="M55" s="2">
        <f>IF(OR(_xlfn.XLOOKUP(_xlfn.XLOOKUP(B55,'Base stats'!B:B,'Base stats'!E:E),Groups!A:A,Groups!G:G)=2,ISNUMBER(SEARCH("Desert",BX55)),ISNUMBER(SEARCH("ExtremeDesert",BX55)),ISNUMBER(SEARCH("LavaField",BX55))),50,IF(ISNUMBER(SEARCH("Grasslands",BX55)),45,IF(OR(_xlfn.XLOOKUP(_xlfn.XLOOKUP(B55,'Base stats'!B:B,'Base stats'!E:E),Groups!A:A,Groups!G:G)=1,ISNUMBER(SEARCH("TropicalRainforest",BX55)),ISNUMBER(SEARCH("TropicalSwamp",BX55))),40,IF(OR(ISNUMBER(SEARCH("TemperateForest",BX55)),ISNUMBER(SEARCH("TemperateSwamp",BX55))),35,IF(OR(ISNUMBER(SEARCH("Alpine",BX55)),ISNUMBER(SEARCH("BorealForest",BX55)),ISNUMBER(SEARCH("ColdBog",BX55))),30,IF(ISNUMBER(OR(ISNUMBER(SEARCH("GlacialPlain",BX55)),SEARCH("Tundra",BX55))),25,IF(OR(ISNUMBER(SEARCH("SeaIce",BX55)),ISNUMBER(SEARCH("IceSheet",BX55)),ISNUMBER(SEARCH("TropicalSwamp",BX55))),10,35)))))))+_xlfn.XLOOKUP(B55,'Base stats'!B:B,'Base stats'!Q:Q)</f>
        <v>35</v>
      </c>
      <c r="N55" s="8" t="str">
        <f>IF(
_xlfn.XLOOKUP(
_xlfn.XLOOKUP(B55,'Base stats'!B:B,'Base stats'!E:E),
Groups!A:A,
Groups!L:L
)=1,
MIN(
MROUND(
IF(
_xlfn.XLOOKUP(B55,'Animals CE'!B:B,'Animals CE'!Z:Z)&lt;=1.5,
_xlfn.XLOOKUP(B55,'Animals CE'!B:B,'Animals CE'!Z:Z)/2+0.05,
0.8+
(_xlfn.XLOOKUP(B55,'Animals CE'!B:B,'Animals CE'!Z:Z)-1.5)
*0.02
),
0.05
),
200%
),
"No"
)</f>
        <v>No</v>
      </c>
      <c r="O55" s="8" t="str">
        <f>IF(
_xlfn.XLOOKUP(
_xlfn.XLOOKUP(B55,'Base stats'!B:B,'Base stats'!E:E),
Groups!A:A,
Groups!L:L
)=1,
MIN(
MROUND(
IF(
_xlfn.XLOOKUP(B55,'Animals CE'!B:B,'Animals CE'!AA:AA)&lt;=1.5,
_xlfn.XLOOKUP(B55,'Animals CE'!B:B,'Animals CE'!AA:AA)/2+0.05,
0.8+
(_xlfn.XLOOKUP(B55,'Animals CE'!B:B,'Animals CE'!AA:AA)-1.5)
*0.02
),
0.05
),
200%
),
"No"
)</f>
        <v>No</v>
      </c>
      <c r="P55" s="2">
        <f>_xlfn.XLOOKUP(B55,'Base stats'!B:B,'Base stats'!R:R)</f>
        <v>0.8</v>
      </c>
      <c r="Q55" s="13">
        <f>MROUND((LOG10(_xlfn.XLOOKUP(B55,'Base stats'!B:B,'Base stats'!AR:AR))*(AO55^0.5)+(_xlfn.XLOOKUP(B55,'Base stats'!B:B,'Base stats'!AR:AR)/1000)^(2/3)+_xlfn.XLOOKUP(B55,'Base stats'!B:B,'Base stats'!BA:BA)/2)+0.5,0.5)</f>
        <v>10.5</v>
      </c>
      <c r="R55" s="7">
        <f>IF(Q55="No","No",MAX(1,MROUND(_xlfn.XLOOKUP(B55,'Base stats'!B:B,'Base stats'!C:C)^0.165,0.05)))</f>
        <v>2.35</v>
      </c>
      <c r="S55" s="13" t="str">
        <f>IF(_xlfn.XLOOKUP(_xlfn.XLOOKUP(B55,'Base stats'!B:B,'Base stats'!E:E),Groups!A:A,Groups!P:P)=0,"No",MROUND((LOG10(_xlfn.XLOOKUP(B55,'Base stats'!B:B,'Base stats'!AS:AS))*(AO55^0.5)+(_xlfn.XLOOKUP(B55,'Base stats'!B:B,'Base stats'!AS:AS)/1000)^(2/3)+_xlfn.XLOOKUP(B55,'Base stats'!B:B,'Base stats'!BA:BA))+_xlfn.XLOOKUP(B55,'Base stats'!B:B,'Base stats'!AY:AY)+0.5,0.5))</f>
        <v>No</v>
      </c>
      <c r="T55" s="7" t="str">
        <f>IF(S55="No","No",MAX(_xlfn.XLOOKUP(_xlfn.XLOOKUP(B55,'Base stats'!B:B,'Base stats'!E:E),Groups!A:A,Groups!Q:Q),MROUND(_xlfn.XLOOKUP(_xlfn.XLOOKUP(B55,'Base stats'!B:B,'Base stats'!E:E),Groups!A:A,Groups!Q:Q)*_xlfn.XLOOKUP(B55,'Base stats'!B:B,'Base stats'!C:C)^0.165,0.05)))</f>
        <v>No</v>
      </c>
      <c r="U55" s="7" t="str">
        <f>IF(S55="No","No",_xlfn.XLOOKUP(_xlfn.XLOOKUP(B55,'Base stats'!B:B,'Base stats'!E:E),Groups!A:A,Groups!R:R))</f>
        <v>No</v>
      </c>
      <c r="V55" s="7" t="str">
        <f>IF(S55="No","No",_xlfn.XLOOKUP(_xlfn.XLOOKUP(B55,'Base stats'!B:B,'Base stats'!E:E),Groups!A:A,Groups!S:S))</f>
        <v>No</v>
      </c>
      <c r="W55" s="7" t="str">
        <f>IF(S55="No","No",_xlfn.XLOOKUP(_xlfn.XLOOKUP(B55,'Base stats'!B:B,'Base stats'!E:E),Groups!A:A,Groups!T:T))</f>
        <v>No</v>
      </c>
      <c r="X55" s="13" t="str">
        <f>IF(_xlfn.XLOOKUP(B55,'Base stats'!B:B,'Base stats'!W:W)="No","No",MROUND((LOG10(_xlfn.XLOOKUP(B55,'Base stats'!B:B,'Base stats'!AU:AU))*(AO55^0.5)+(_xlfn.XLOOKUP(B55,'Base stats'!B:B,'Base stats'!AU:AU)/1000)^(2/3)+_xlfn.XLOOKUP(B55,'Base stats'!B:B,'Base stats'!AZ:AZ))+0.5+IF(_xlfn.XLOOKUP(_xlfn.XLOOKUP(B55,'Base stats'!B:B,'Base stats'!E:E),Groups!A:A,Groups!U:U)&lt;&gt;3,_xlfn.XLOOKUP(B55,'Base stats'!B:B,'Base stats'!BA:BA),0),0.5))</f>
        <v>No</v>
      </c>
      <c r="Y55" s="7" t="str">
        <f>IF(X55="No","No",MAX(_xlfn.XLOOKUP(_xlfn.XLOOKUP(B55,'Base stats'!B:B,'Base stats'!E:E),Groups!A:A,Groups!V:V),MROUND(_xlfn.XLOOKUP(_xlfn.XLOOKUP(B55,'Base stats'!B:B,'Base stats'!E:E),Groups!A:A,Groups!V:V)*_xlfn.XLOOKUP(B55,'Base stats'!B:B,'Base stats'!C:C)^0.165,0.05)))</f>
        <v>No</v>
      </c>
      <c r="Z55" s="7" t="str">
        <f>IF(X55="No","No",_xlfn.XLOOKUP(_xlfn.XLOOKUP(B55,'Base stats'!B:B,'Base stats'!E:E),Groups!A:A,Groups!W:W))</f>
        <v>No</v>
      </c>
      <c r="AA55" s="7" t="str">
        <f>IF(X55="No","No",_xlfn.XLOOKUP(_xlfn.XLOOKUP(B55,'Base stats'!B:B,'Base stats'!E:E),Groups!A:A,Groups!X:X))</f>
        <v>No</v>
      </c>
      <c r="AB55" s="7" t="str">
        <f>IF(X55="No","No",_xlfn.XLOOKUP(_xlfn.XLOOKUP(B55,'Base stats'!B:B,'Base stats'!E:E),Groups!A:A,Groups!Y:Y))</f>
        <v>No</v>
      </c>
      <c r="AC55" s="7" t="str">
        <f>_xlfn.XLOOKUP(Animals!B55,'Base stats'!B:B,'Base stats'!X:X)</f>
        <v>False</v>
      </c>
      <c r="AD55" s="13">
        <f>IF(_xlfn.XLOOKUP(B55,'Base stats'!B:B,'Base stats'!AT:AT)="No","No",MROUND((LOG10(_xlfn.XLOOKUP(B55,'Base stats'!B:B,'Base stats'!AT:AT))*(AO55^0.75)+(_xlfn.XLOOKUP(B55,'Base stats'!B:B,'Base stats'!AT:AT)/1000)^(2/3)+_xlfn.XLOOKUP(B55,'Base stats'!B:B,'Base stats'!AX:AX)+_xlfn.XLOOKUP(B55,'Base stats'!B:B,'Base stats'!BA:BA))+0.5,0.5))</f>
        <v>20</v>
      </c>
      <c r="AE55" s="7">
        <f>IF(AD55="No","No",MAX(_xlfn.XLOOKUP(_xlfn.XLOOKUP(B55,'Base stats'!B:B,'Base stats'!E:E),Groups!A:A,Groups!Z:Z),MROUND(_xlfn.XLOOKUP(_xlfn.XLOOKUP(B55,'Base stats'!B:B,'Base stats'!E:E),Groups!A:A,Groups!Z:Z)*_xlfn.XLOOKUP(B55,'Base stats'!B:B,'Base stats'!C:C)^0.165,0.05)))</f>
        <v>1.85</v>
      </c>
      <c r="AF55" s="7" t="str">
        <f>IF(AD55="No","No",_xlfn.XLOOKUP(_xlfn.XLOOKUP(B55,'Base stats'!B:B,'Base stats'!E:E),Groups!A:A,Groups!AA:AA))</f>
        <v>Teeth</v>
      </c>
      <c r="AG55" s="7" t="str">
        <f>IF(AD55="No","No",_xlfn.XLOOKUP(_xlfn.XLOOKUP(B55,'Base stats'!B:B,'Base stats'!E:E),Groups!A:A,Groups!AB:AB))</f>
        <v>canines</v>
      </c>
      <c r="AH55" s="7" t="str">
        <f>IF(AD55="No","No",_xlfn.XLOOKUP(_xlfn.XLOOKUP(B55,'Base stats'!B:B,'Base stats'!E:E),Groups!A:A,Groups!AC:AC))</f>
        <v>Bite</v>
      </c>
      <c r="AI55" s="13" t="str">
        <f>IF(_xlfn.XLOOKUP(_xlfn.XLOOKUP(B55,'Base stats'!B:B,'Base stats'!E:E),Groups!A:A,Groups!AD:AD)=0,"No",MROUND((LOG10(_xlfn.XLOOKUP(B55,'Base stats'!B:B,'Base stats'!AS:AS))*(AO55^0.75)+(_xlfn.XLOOKUP(B55,'Base stats'!B:B,'Base stats'!AS:AS)/1000)^(2/3)+_xlfn.XLOOKUP(B55,'Base stats'!B:B,'Base stats'!AY:AY)+_xlfn.XLOOKUP(B55,'Base stats'!B:B,'Base stats'!BA:BA))+0.5,0.5))</f>
        <v>No</v>
      </c>
      <c r="AJ55" s="7" t="str">
        <f>IF(AI55="No","No",MAX(_xlfn.XLOOKUP(_xlfn.XLOOKUP(B55,'Base stats'!B:B,'Base stats'!E:E),Groups!A:A,Groups!AE:AE),MROUND(_xlfn.XLOOKUP(_xlfn.XLOOKUP(B55,'Base stats'!B:B,'Base stats'!E:E),Groups!A:A,Groups!AE:AE)*IF(_xlfn.XLOOKUP(_xlfn.XLOOKUP(B55,'Base stats'!B:B,'Base stats'!E:E),Groups!A:A,Groups!AJ:AJ)="Photonozoa",0.6,1)*_xlfn.XLOOKUP(B55,'Base stats'!B:B,'Base stats'!C:C)^0.165,0.05)))</f>
        <v>No</v>
      </c>
      <c r="AK55" s="7" t="str">
        <f>IF(AI55="No","No",_xlfn.XLOOKUP(_xlfn.XLOOKUP(B55,'Base stats'!B:B,'Base stats'!E:E),Groups!A:A,Groups!AF:AF))</f>
        <v>No</v>
      </c>
      <c r="AL55" s="7" t="str">
        <f>IF(AI55="No","No",_xlfn.XLOOKUP(_xlfn.XLOOKUP(B55,'Base stats'!B:B,'Base stats'!E:E),Groups!A:A,Groups!AG:AG))</f>
        <v>No</v>
      </c>
      <c r="AM55" s="7" t="str">
        <f>IF(AI55="No","No",_xlfn.XLOOKUP(_xlfn.XLOOKUP(B55,'Base stats'!B:B,'Base stats'!E:E),Groups!A:A,Groups!AH:AH))</f>
        <v>No</v>
      </c>
      <c r="AN55" s="2">
        <f t="shared" si="0"/>
        <v>25</v>
      </c>
      <c r="AO55" s="2">
        <f>MROUND(IF(AND(_xlfn.XLOOKUP(B55,'Base stats'!B:B,'Base stats'!C:C)&gt;=0.5,_xlfn.XLOOKUP(B55,'Base stats'!B:B,'Base stats'!C:C)&lt;=0.8),
IF(_xlfn.XLOOKUP(B55,'Base stats'!B:B,'Base stats'!C:C)&lt;0.1,0.05,IF(_xlfn.XLOOKUP(B55,'Base stats'!B:B,'Base stats'!C:C)&lt;=70,(_xlfn.XLOOKUP(B55,'Base stats'!B:B,'Base stats'!C:C)/70)^0.426489913056526,IF(_xlfn.XLOOKUP(B55,'Base stats'!B:B,'Base stats'!C:C)&lt;=400,(_xlfn.XLOOKUP(B55,'Base stats'!B:B,'Base stats'!C:C)/70)^0.572811455315093,IF(_xlfn.XLOOKUP(B55,'Base stats'!B:B,'Base stats'!C:C)&lt;=2000,2.71391647193063*(_xlfn.XLOOKUP(B55,'Base stats'!B:B,'Base stats'!C:C)/400)^0.252459582904293,3.74314280240376*(_xlfn.XLOOKUP(B55,'Base stats'!B:B,'Base stats'!C:C)/2000)^0.357012633876913)))),
IF(_xlfn.XLOOKUP(B55,'Base stats'!B:B,'Base stats'!C:C)&lt;0.1,0.05,IF(_xlfn.XLOOKUP(B55,'Base stats'!B:B,'Base stats'!C:C)&lt;0.4,0.1,IF(_xlfn.XLOOKUP(B55,'Base stats'!B:B,'Base stats'!C:C)&lt;=70,(_xlfn.XLOOKUP(B55,'Base stats'!B:B,'Base stats'!C:C)/70)^0.445823913056526,IF(_xlfn.XLOOKUP(B55,'Base stats'!B:B,'Base stats'!C:C)&lt;=400,(_xlfn.XLOOKUP(B55,'Base stats'!B:B,'Base stats'!C:C)/70)^0.572811455315093,IF(_xlfn.XLOOKUP(B55,'Base stats'!B:B,'Base stats'!C:C)&lt;=2000,2.71391647193063*(_xlfn.XLOOKUP(B55,'Base stats'!B:B,'Base stats'!C:C)/400)^0.252459582904293,3.74314280240376*(_xlfn.XLOOKUP(B55,'Base stats'!B:B,'Base stats'!C:C)/2000)^0.357012633876913)))))),
IF(_xlfn.XLOOKUP(B55,'Base stats'!B:B,'Base stats'!C:C)&lt;0.1,0.05,IF(_xlfn.XLOOKUP(B55,'Base stats'!B:B,'Base stats'!C:C)&lt;=100,0.05,IF(_xlfn.XLOOKUP(B55,'Base stats'!B:B,'Base stats'!C:C)&lt;=250,0.1,IF(_xlfn.XLOOKUP(B55,'Base stats'!B:B,'Base stats'!C:C)&lt;=4000,0.25,0.5)))))</f>
        <v>1.7000000000000002</v>
      </c>
      <c r="AP55" s="8">
        <f>MROUND(AO55*_xlfn.XLOOKUP(_xlfn.XLOOKUP(B55,'Base stats'!B:B,'Base stats'!E:E),Groups!A:A,Groups!AI:AI)*_xlfn.XLOOKUP(B55,'Base stats'!B:B,'Base stats'!Z:Z),0.05)</f>
        <v>2.0500000000000003</v>
      </c>
      <c r="AQ55" s="8">
        <f>MAX(0.01,MROUND(IF(CC55="True",0.196*(AO55*100*1000)^0.889,IF(_xlfn.XLOOKUP(_xlfn.XLOOKUP(B55,'Base stats'!B:B,'Base stats'!E:E),Groups!A:A,Groups!AJ:AJ)="Bird",10.5*(AO55*100*1000)^0.681,4.82*(AO55*100*1000)^0.734))/(4.82*(1*100*1000)^0.734)/IF(AO55&lt;3.5,2,IF(AO55=3.5,1.5,1.25))*(1+0.132282374779864/(AO55^0.994035016789033+0.00905238001496948)),0.05))</f>
        <v>0.8</v>
      </c>
      <c r="AR55" s="9">
        <f>IFERROR(MROUND(_xlfn.XLOOKUP(B55,'Base stats'!B:B,'Base stats'!H:H)/IF(_xlfn.XLOOKUP(B55,'Base stats'!B:B,'Base stats'!I:I)&lt;&gt;1,(122.5/70),1.2),IF(_xlfn.XLOOKUP(B55,'Base stats'!B:B,'Base stats'!H:H)&gt;=30,5,IF(_xlfn.XLOOKUP(B55,'Base stats'!B:B,'Base stats'!H:H)&gt;=15,3,IF(_xlfn.XLOOKUP(B55,'Base stats'!B:B,'Base stats'!H:H)&gt;=10,2,1)))),"Immortal")</f>
        <v>9</v>
      </c>
      <c r="AS55" s="35">
        <f>IFERROR(IF(OR(_xlfn.XLOOKUP(B55,'Base stats'!B:B,'Base stats'!F:F)="Atypical reproduction",_xlfn.XLOOKUP(B55,'Base stats'!B:B,'Base stats'!F:F)="Lay eggs"),"Lay eggs",MIN(20,MAX(5.5,ROUND(((_xlfn.XLOOKUP(B55,'Base stats'!B:B,'Base stats'!F:F)-25)*(14.5/615) + 5.5)*2,0)/2))),"Unknown")</f>
        <v>6.5</v>
      </c>
      <c r="AT55" s="8">
        <f>IF(_xlfn.XLOOKUP(B55,'Base stats'!B:B,'Base stats'!G:G)="Atypical reproduction","No",IFERROR(MAX(IF(_xlfn.XLOOKUP(B55,'Base stats'!B:B,'Base stats'!G:G)&lt;0.5,0.2,0.3),MROUND(_xlfn.XLOOKUP(B55,'Base stats'!B:B,'Base stats'!G:G)/(365/60),0.2)),"Unknown"))</f>
        <v>0.4</v>
      </c>
      <c r="AU55" s="8">
        <f t="shared" si="1"/>
        <v>0.2</v>
      </c>
      <c r="AV55" s="8">
        <f>IFERROR(IFERROR(MROUND(_xlfn.XLOOKUP(B55,'Base stats'!B:B,'Base stats'!J:J),0.1),"Lay eggs"),"Cannot breed")</f>
        <v>4</v>
      </c>
      <c r="AW55" s="2" t="str">
        <f t="shared" si="2"/>
        <v>false</v>
      </c>
      <c r="AX55" s="2" t="str">
        <f>IF(_xlfn.XLOOKUP(_xlfn.XLOOKUP(Animals!B55,'Base stats'!B:B,'Base stats'!E:E),Groups!A:A,Groups!AK:AK)=1,"true","false")</f>
        <v>false</v>
      </c>
      <c r="AY55" s="25" t="str">
        <f>IF(_xlfn.XLOOKUP(B55,'Base stats'!B:B,'Base stats'!Y:Y)="Liquor","Liquor, CarnivoreAnimalStrict",IF(AND(_xlfn.XLOOKUP(B55,'Base stats'!B:B,'Base stats'!Y:Y)="Carnivore",_xlfn.XLOOKUP(_xlfn.XLOOKUP(B55,'Base stats'!B:B,'Base stats'!E:E),Groups!A:A,Groups!AJ:AJ)="Photonozoa"),"CarnivoreAnimalStrict, OvivoreAnimal",IF(_xlfn.XLOOKUP(B55,'Base stats'!B:B,'Base stats'!Y:Y)="Carnivore","CarnivoreAnimal, OvivoreAnimal",IF(_xlfn.XLOOKUP(B55,'Base stats'!B:B,'Base stats'!Y:Y)="Dendrovore","VegetarianRoughAnimal, DendrovoreAnimal",IF(_xlfn.XLOOKUP(B55,'Base stats'!B:B,'Base stats'!Y:Y)="Herbivore","VegetarianRoughAnimal",IF(_xlfn.XLOOKUP(B55,'Base stats'!B:B,'Base stats'!Y:Y)="OmnivoreRough","OmnivoreRoughAnimal, OvivoreAnimal","OmnivoreAnimal, OvivoreAnimal"))))))</f>
        <v>CarnivoreAnimal, OvivoreAnimal</v>
      </c>
      <c r="AZ55" s="2" t="str">
        <f>IF(_xlfn.XLOOKUP(_xlfn.XLOOKUP(B55,'Base stats'!B:B,'Base stats'!E:E),Groups!A:A,Groups!D:D)=1,MROUND((1-J55)*5+1,2)*IF(J55&lt;=0.4,2,1),"No")</f>
        <v>No</v>
      </c>
      <c r="BA55" s="2" t="str">
        <f>IF(AND(_xlfn.XLOOKUP(B55,'Base stats'!B:B,'Base stats'!AH:AH)="&lt;li&gt;Seal&lt;/li&gt;",G55="Odyssey"),"&lt;li&gt;AEXP_Seal&lt;/li&gt;",_xlfn.XLOOKUP(B55,'Base stats'!B:B,'Base stats'!AH:AH))</f>
        <v>No</v>
      </c>
      <c r="BB55" s="2" t="str">
        <f>_xlfn.XLOOKUP(B55,'Base stats'!B:B,'Base stats'!AG:AG)</f>
        <v>Leather_Wolf</v>
      </c>
      <c r="BC55" s="23" t="str">
        <f>_xlfn.XLOOKUP(_xlfn.XLOOKUP(B55,'Base stats'!B:B,'Base stats'!E:E),Groups!A:A,Groups!AL:AL)</f>
        <v>QuadrupedAnimalWithPawsAndTail</v>
      </c>
      <c r="BD55" s="23">
        <f>MIN(1,MROUND(IF(AND(AO55&lt;0.5,_xlfn.XLOOKUP(B55,'Base stats'!B:B,'Base stats'!AA:AA)=0),0,IF(OR(_xlfn.XLOOKUP(Animals!B55,'Base stats'!B:B,'Base stats'!O:O)=2,_xlfn.XLOOKUP(_xlfn.XLOOKUP(B55,'Base stats'!B:B,'Base stats'!E:E),Groups!A:A,Groups!AN:AN)=0),0,_xlfn.XLOOKUP(_xlfn.XLOOKUP(B55,'Base stats'!B:B,'Base stats'!E:E),Groups!A:A,Groups!AN:AN)/IF(_xlfn.XLOOKUP(Animals!B55,'Base stats'!B:B,'Base stats'!O:O)=1,2,1)))+_xlfn.XLOOKUP(B55,'Base stats'!B:B,'Base stats'!AC:AC),0.005))</f>
        <v>0.05</v>
      </c>
      <c r="BE55" s="23">
        <f>MIN(1,MROUND(IF(AND(AO55&lt;0.5,_xlfn.XLOOKUP(B55,'Base stats'!B:B,'Base stats'!AA:AA)=0),0,IF(_xlfn.XLOOKUP(_xlfn.XLOOKUP(B55,'Base stats'!B:B,'Base stats'!E:E),Groups!A:A,Groups!AO:AO)=0,0,_xlfn.XLOOKUP(_xlfn.XLOOKUP(B55,'Base stats'!B:B,'Base stats'!E:E),Groups!A:A,Groups!AO:AO)/IF(_xlfn.XLOOKUP(Animals!B55,'Base stats'!B:B,'Base stats'!O:O)=2,3,1)))+_xlfn.XLOOKUP(B55,'Base stats'!B:B,'Base stats'!AD:AD),0.005))</f>
        <v>0.3</v>
      </c>
      <c r="BF55" s="2" t="str">
        <f>IF(J55&gt;0.3,"No",_xlfn.XLOOKUP(_xlfn.XLOOKUP(Animals!B55,'Base stats'!B:B,'Base stats'!E:E),Groups!A:A,Groups!AP:AP))</f>
        <v>No</v>
      </c>
      <c r="BG55" s="2">
        <f>IF(AND(J55&lt;=0.65,_xlfn.XLOOKUP(_xlfn.XLOOKUP(Animals!B55,'Base stats'!B:B,'Base stats'!E:E),Groups!A:A,Groups!AP:AP)&lt;&gt;"No",_xlfn.XLOOKUP(_xlfn.XLOOKUP(B55,'Base stats'!B:B,'Base stats'!E:E),Groups!A:A,Groups!D:D)=0),MROUND((80/3)*IF(_xlfn.XLOOKUP(B55,'Base stats'!B:B,'Base stats'!O:O)=2,0.2,AO55) + 24*(1-IF(BF55="No",0,BF55)) + 16/3, 12),"No")</f>
        <v>72</v>
      </c>
      <c r="BH55" s="2">
        <f>IF(AND(_xlfn.XLOOKUP(_xlfn.XLOOKUP(B55,'Base stats'!B:B,'Base stats'!E:E),Groups!A:A,Groups!AQ:AQ)=1,AO55&lt;=0.35),8,12)</f>
        <v>12</v>
      </c>
      <c r="BI55" s="2" t="str">
        <f>IF(_xlfn.XLOOKUP(_xlfn.XLOOKUP(B55,'Base stats'!B:B,'Base stats'!E:E),Groups!A:A,Groups!D:D)=0,_xlfn.XLOOKUP(_xlfn.XLOOKUP(B55,'Base stats'!B:B,'Base stats'!E:E),Groups!A:A,Groups!AR:AR),"None")</f>
        <v>Advanced</v>
      </c>
      <c r="BJ55" s="2" t="str">
        <f>IF(AND(_xlfn.XLOOKUP(_xlfn.XLOOKUP(B55,'Base stats'!B:B,'Base stats'!E:E),Groups!A:A,Groups!AS:AS)=1,OR(_xlfn.XLOOKUP(B55,'Base stats'!B:B,'Base stats'!Y:Y)="Carnivore",_xlfn.XLOOKUP(B55,'Base stats'!B:B,'Base stats'!Y:Y)="Omnivore")),"true","false")</f>
        <v>true</v>
      </c>
      <c r="BK55" s="2">
        <f>IF(BJ55="true",MROUND(IF(AND(AO55&gt;0.5,OR(_xlfn.XLOOKUP(_xlfn.XLOOKUP(B55,'Base stats'!B:B,'Base stats'!E:E),Groups!A:A,Groups!AJ:AJ)="Photonozoa",_xlfn.XLOOKUP(_xlfn.XLOOKUP(B55,'Base stats'!B:B,'Base stats'!E:E),Groups!A:A,Groups!AJ:AJ)="Mammal")),Animals!AO55*1.75*IF(AW55="true",1.5,1),IF(AO55&lt;0.5,Animals!AO55*0.5,Animals!AO55)),IF(AO55&gt;2,0.5,IF(AO55&gt;0.5,0.25,0.1))),"No")</f>
        <v>3</v>
      </c>
      <c r="BL55" s="2">
        <f t="shared" si="3"/>
        <v>1</v>
      </c>
      <c r="BM55" s="25" t="str">
        <f>IF(_xlfn.XLOOKUP(B55,'Base stats'!B:B,'Base stats'!AN:AN)="Standard","No",MROUND((_xlfn.XLOOKUP(B55,'Base stats'!B:B,'Base stats'!AN:AN)/3.6)/I55,0.1))</f>
        <v>No</v>
      </c>
      <c r="BN55" s="25" t="str">
        <f t="shared" si="4"/>
        <v>false</v>
      </c>
      <c r="BO55" s="25" t="str">
        <f>IF(AND(OR(_xlfn.XLOOKUP(B55,'Base stats'!B:B,'Base stats'!Y:Y)="Carnivore",_xlfn.XLOOKUP(B55,'Base stats'!B:B,'Base stats'!Y:Y)="Omnivore",_xlfn.XLOOKUP(B55,'Base stats'!B:B,'Base stats'!Y:Y)="OmnivoreRough"),_xlfn.XLOOKUP(_xlfn.XLOOKUP(B55,'Base stats'!B:B,'Base stats'!E:E),Groups!A:A,Groups!AT:AT)=1),"true","false")</f>
        <v>false</v>
      </c>
      <c r="BP55" s="25" t="str" cm="1">
        <f t="array" ref="BP55">IF(
  _xlfn.TEXTJOIN(", ",TRUE,
    IF(AND(BJ55="true",AO55&gt;0.5,BI55&lt;&gt;"None"),"AttackTarget",""),
    IF(AND(_xlfn.XLOOKUP(_xlfn.XLOOKUP(B55,'Base stats'!B:B,'Base stats'!E:E),Groups!A:A,Groups!AJ:AJ="Mammal"),OR(_xlfn.XLOOKUP(B55,'Base stats'!B:B,'Base stats'!Y:Y)="Omnivore",_xlfn.XLOOKUP(B55,'Base stats'!B:B,'Base stats'!Y:Y)="OmnivoreRough")),"Forage",""),
    IF(BG55&lt;=36,"Comfort",""),
    IF(_xlfn.XLOOKUP(B55,'Base stats'!B:B,'Base stats'!AE:AE)&lt;&gt;"No",_xlfn.XLOOKUP(B55,'Base stats'!B:B,'Base stats'!AE:AE),"")
  ) = "",
  "No",
  _xlfn.TEXTJOIN(", ",TRUE,
    IF(AND(BJ55="true",AO55&gt;0.5,BI55&lt;&gt;"None"),"AttackTarget",""),
    IF(AND(_xlfn.XLOOKUP(_xlfn.XLOOKUP(B55,'Base stats'!B:B,'Base stats'!E:E),Groups!A:A,Groups!AJ:AJ="Mammal"),OR(_xlfn.XLOOKUP(B55,'Base stats'!B:B,'Base stats'!Y:Y)="Omnivore",_xlfn.XLOOKUP(B55,'Base stats'!B:B,'Base stats'!Y:Y)="OmnivoreRough")),"Forage",""),
    IF(BG55&lt;=36,"Comfort",""),
    IF(_xlfn.XLOOKUP(B55,'Base stats'!B:B,'Base stats'!AE:AE)&lt;&gt;"No",_xlfn.XLOOKUP(B55,'Base stats'!B:B,'Base stats'!AE:AE),"")
  )
)</f>
        <v>AttackTarget</v>
      </c>
      <c r="BQ55" s="25" t="str">
        <f>IF(
   AND(
      'Base stats'!AN55="Standard",_xlfn.XLOOKUP(_xlfn.XLOOKUP(B55,'Base stats'!B:B,'Base stats'!E:E),Groups!A:A,Groups!AU:AU)=0,
      OR(
      BO55="True"
      )
   ),
   10,
   IF(
       OR(BM55&lt;&gt;"No",_xlfn.XLOOKUP(_xlfn.XLOOKUP(B55,'Base stats'!B:B,'Base stats'!E:E),Groups!A:A,Groups!AU:AU)=1),
      1,
      "No"
   )
)</f>
        <v>No</v>
      </c>
      <c r="BR55" s="9">
        <f>MROUND((1 + ((0.2*IF(OR(Q55="No",R55="No",R55=0),0,Q55/R55)
+IF(OR(V55="No",S55="No",T55="No"),0,S55/T55*(LEN(V55)-LEN(SUBSTITUTE(V55,",",""))+1))
+IF(OR(X55="No",Y55="No"),0,X55/Y55)
+IF(OR(AD55="No",AE55="No"),0,AD55/AE55)
+IF(OR(AL55="No",AI55="No",AJ55="No"),0,AI55/AJ55*(LEN(AL55)-LEN(SUBSTITUTE(AL55,",",""))+1))
)/(0.2*IF(OR(Q55="No",R55="No",R55=0),0,1)
+IF(OR(V55="No",S55="No",T55="No"),0,LEN(V55)-LEN(SUBSTITUTE(V55,",",""))+1)
+IF(OR(X55="No",Y55="No"),0,1)
+IF(OR(AD55="No",AE55="No"),0,1)
+IF(OR(AL55="No",AI55="No",AJ55="No"),0,LEN(AL55)-LEN(SUBSTITUTE(AL55,",",""))+1))*62%)* 2)*(1 + (AP55 / (IF(_xlfn.XLOOKUP(_xlfn.XLOOKUP(B55,'Base stats'!B:B,'Base stats'!E:E),Groups!A:A,Groups!AJ:AJ)="Photonozoa",0.3,1)) + _xlfn.XLOOKUP(B55,'Base stats'!B:B,'Base stats'!AV:AV) * 1.8) * 2) * 2.5 + 10 + I55 * 2,5)+IF(_xlfn.XLOOKUP(B55,'Base stats'!B:B,'Base stats'!AK:AK)=1,50,0)</f>
        <v>190</v>
      </c>
      <c r="BS55" s="8">
        <f t="shared" si="5"/>
        <v>1</v>
      </c>
      <c r="BT55" s="8" t="str">
        <f>_xlfn.XLOOKUP(B55,'Base stats'!B:B,'Base stats'!AF:AF)</f>
        <v>No</v>
      </c>
      <c r="BU55" s="2" t="str">
        <f>IF(AND(J55&lt;=0.95,OR(_xlfn.XLOOKUP(B55,'Base stats'!B:B,'Base stats'!AK:AK)=1,_xlfn.XLOOKUP(B55,'Base stats'!B:B,'Base stats'!Y:Y)="Carnivore",_xlfn.XLOOKUP(B55,'Base stats'!B:B,'Base stats'!Y:Y)="Omnivore",BE55&gt;0.1)),"true","false")</f>
        <v>true</v>
      </c>
      <c r="BV55" s="2" t="str">
        <f>IF(_xlfn.XLOOKUP(B55,'Base stats'!B:B,'Base stats'!AI:AI)=1,"true","false")</f>
        <v>false</v>
      </c>
      <c r="BW55" s="25" t="str">
        <f>IF(E55="BaseInsect","AnimalInsect",
IF(J55&gt;0.95,"AnimalExotic",
_xlfn.TEXTJOIN(", ",TRUE,
IF(OR(_xlfn.XLOOKUP(B55,'Base stats'!B:B,'Base stats'!AM:AM)=1,AND(_xlfn.XLOOKUP(B55,'Base stats'!B:B,'Base stats'!O:O)=0,_xlfn.XLOOKUP(_xlfn.XLOOKUP(B55,'Base stats'!B:B,'Base stats'!E:E),Groups!A:A,Groups!B:B)&gt;0)),"AnimalUncommon","AnimalCommon"),
IF(AND(_xlfn.XLOOKUP(B55,'Base stats'!B:B,'Base stats'!O:O)=2,_xlfn.XLOOKUP(_xlfn.XLOOKUP(B55,'Base stats'!B:B,'Base stats'!E:E),Groups!A:A,Groups!D:D)=0),"AnimalPet",IF(AND(_xlfn.XLOOKUP(B55,'Base stats'!B:B,'Base stats'!O:O)&lt;&gt;0,_xlfn.XLOOKUP(_xlfn.XLOOKUP(B55,'Base stats'!B:B,'Base stats'!E:E),Groups!A:A,Groups!D:D)&lt;&gt;0),"AnimalFarm","")),
IF(OR(_xlfn.XLOOKUP(B55,'Base stats'!B:B,'Base stats'!AK:AK)=1,AND(BI55&lt;&gt;"None",BR55&gt;=60),ISNUMBER(SEARCH("Attack target",BP55))),"AnimalFighter","")
)))</f>
        <v>AnimalCommon, AnimalFighter</v>
      </c>
      <c r="BX55" s="25" t="str">
        <f>IF(G55="None",TRIM(
SUBSTITUTE(
IF(COUNTIF(Biomes!B$2:B$259,"="&amp;$C55)&gt;0,Biomes!B$1&amp;", ","")&amp;
IF(COUNTIF(Biomes!C$2:C$259,"="&amp;$C55)&gt;0,Biomes!C$1&amp;", ","")&amp;
IF(COUNTIF(Biomes!D$2:D$259,"="&amp;$C55)&gt;0,Biomes!D$1&amp;", ","")&amp;
IF(COUNTIF(Biomes!F$2:F$259,"="&amp;$C55)&gt;0,Biomes!F$1&amp;", ","")&amp;
IF(COUNTIF(Biomes!G$2:G$259,"="&amp;$C55)&gt;0,Biomes!G$1&amp;", ","")&amp;
IF(COUNTIF(Biomes!H$2:H$259,"="&amp;$C55)&gt;0,Biomes!H$1&amp;", ","")&amp;
IF(COUNTIF(Biomes!I$2:I$259,"="&amp;$C55)&gt;0,Biomes!I$1&amp;", ","")&amp;
IF(COUNTIF(Biomes!J$2:J$259,"="&amp;$C55)&gt;0,Biomes!J$1&amp;", ","")&amp;
IF(COUNTIF(Biomes!M$2:M$259,"="&amp;$C55)&gt;0,Biomes!M$1&amp;", ","")&amp;
IF(COUNTIF(Biomes!N$2:N$259,"="&amp;$C55)&gt;0,Biomes!N$1&amp;", ","")&amp;
IF(COUNTIF(Biomes!O$2:O$259,"="&amp;$C55)&gt;0,Biomes!O$1&amp;", ","")&amp;
IF(COUNTIF(Biomes!P$2:P$259,"="&amp;$C55)&gt;0,Biomes!P$1&amp;", ","")&amp;
IF(COUNTIF(Biomes!K$2:K$259,"="&amp;$C55)&gt;0,Biomes!K$1&amp;", ","")&amp;
IF(COUNTIF(Biomes!Q$3:Q$259,"="&amp;$C55)&gt;0,Biomes!Q$1&amp;", ","")&amp;
IF(COUNTIF(Biomes!L$2:L$259,"="&amp;$C55)&gt;0,Biomes!L$1&amp;", ","")&amp;
IF(COUNTIF(Biomes!E$2:E$259,"="&amp;$C55)&gt;0,Biomes!E$1&amp;", ","")&amp;IF(COUNTIF(Biomes!S$2:S$259,"="&amp;$C55)&gt;0,Biomes!S$1&amp;", ","")&amp;
IF(COUNTIF(Biomes!R$2:R$259,"="&amp;$C55)&gt;0,Biomes!R$1&amp;", ",""),", ","")
),_xlfn.XLOOKUP(B55,B:B,BX:BX))</f>
        <v>TemperateForest TemperateSwamp Scarlands</v>
      </c>
      <c r="BY55" s="25" t="str">
        <f>IF(_xlfn.XLOOKUP(B55,'Base stats'!B:B,'Base stats'!AJ:AJ)=1,"true","false")</f>
        <v>false</v>
      </c>
      <c r="BZ55" s="25">
        <f>IF(_xlfn.XLOOKUP(B55,'Base stats'!B:B,'Base stats'!N:N)=1,"No",MAX(0.001,MIN(MROUND(IF(AND(BJ55="True",CC55="False"),POWER(10,3.47*LOG10(_xlfn.XLOOKUP(B55,'Base stats'!B:B,'Base stats'!C:C)*1000)^-0.96),POWER(10,4.15*LOG10(_xlfn.XLOOKUP(B55,'Base stats'!B:B,'Base stats'!C:C)*1000)^-0.73))*IF(_xlfn.XLOOKUP(B55,'Base stats'!B:B,'Base stats'!AK:AK)=1,0.5,1)*IF(_xlfn.XLOOKUP(B55,'Base stats'!B:B,'Base stats'!AM:AM)=1,0.1,1)/100,IF(_xlfn.XLOOKUP(B55,'Base stats'!B:B,'Base stats'!AM:AM)=1,0.001,0.025)),0.5)))</f>
        <v>0.05</v>
      </c>
      <c r="CA55" s="25">
        <f>IF(P55="Standard","No",MAX(0.001,MIN(MROUND(IF(AND(BJ55="True",CC55="False"),POWER(10,3.47*LOG10(_xlfn.XLOOKUP(B55,'Base stats'!B:B,'Base stats'!C:C)*1000)^-0.96),POWER(10,4.15*LOG10(_xlfn.XLOOKUP(B55,'Base stats'!B:B,'Base stats'!C:C)*1000)^-0.73))*IF(_xlfn.XLOOKUP(B55,'Base stats'!B:B,'Base stats'!AM:AM)=1,0.1,1)*_xlfn.XLOOKUP(B55,'Base stats'!B:B,'Base stats'!R:R)/100,IF(_xlfn.XLOOKUP(B55,'Base stats'!B:B,'Base stats'!AM:AM)=1,0.001,0.025)),0.5)))</f>
        <v>0.05</v>
      </c>
      <c r="CB55" s="25" t="str">
        <f>IF(_xlfn.XLOOKUP(_xlfn.XLOOKUP(B55,'Base stats'!B:B,'Base stats'!E:E),Groups!A:A,Groups!AJ:AJ)="Mammal","True","False")</f>
        <v>True</v>
      </c>
      <c r="CC55" s="25" t="str">
        <f>IF(OR(_xlfn.XLOOKUP(_xlfn.XLOOKUP(B55,'Base stats'!B:B,'Base stats'!E:E),Groups!A:A,Groups!AJ:AJ)="Reptile",_xlfn.XLOOKUP(_xlfn.XLOOKUP(B55,'Base stats'!B:B,'Base stats'!E:E),Groups!A:A,Groups!AJ:AJ)="Amphibian",_xlfn.XLOOKUP(_xlfn.XLOOKUP(B55,'Base stats'!B:B,'Base stats'!E:E),Groups!A:A,Groups!AJ:AJ)="Invertebrate"),"True","False")</f>
        <v>False</v>
      </c>
      <c r="CD55" s="25" t="str">
        <f t="shared" si="6"/>
        <v>False</v>
      </c>
      <c r="CE55" s="25" t="str">
        <f>IF(_xlfn.XLOOKUP(_xlfn.XLOOKUP(B55,'Base stats'!B:B,'Base stats'!E:E),Groups!A:A,Groups!AX:AX),"True","False")</f>
        <v>False</v>
      </c>
      <c r="CF55" s="25" t="str">
        <f>IF(_xlfn.XLOOKUP(_xlfn.XLOOKUP(B55,'Base stats'!B:B,'Base stats'!E:E),Groups!A:A,Groups!AY:AY),"True","False")</f>
        <v>False</v>
      </c>
      <c r="CG55" s="25" t="str">
        <f>IF(_xlfn.XLOOKUP(_xlfn.XLOOKUP(B55,'Base stats'!B:B,'Base stats'!E:E),Groups!A:A,Groups!AW:AW),"True","False")</f>
        <v>False</v>
      </c>
      <c r="CH55" s="25" t="str">
        <f>IF(
OR(
_xlfn.XLOOKUP(_xlfn.XLOOKUP(B55,'Base stats'!B:B,'Base stats'!E:E),Groups!A:A,Groups!AZ:AZ)=0,
AND(
_xlfn.XLOOKUP(B55,'Base stats'!B:B,'Base stats'!Y:Y)&lt;&gt;"Carnivore",
_xlfn.XLOOKUP(B55,'Base stats'!B:B,'Base stats'!Y:Y)&lt;&gt;"Omnivore",
_xlfn.XLOOKUP(B55,'Base stats'!B:B,'Base stats'!Y:Y)&lt;&gt;"OmnivoreRough"
)
),
"No",
IF(
_xlfn.XLOOKUP(_xlfn.XLOOKUP(B55,'Base stats'!B:B,'Base stats'!E:E),Groups!A:A,Groups!AZ:AZ)=1,
"Flesh",
IF(
_xlfn.XLOOKUP(_xlfn.XLOOKUP(B55,'Base stats'!B:B,'Base stats'!E:E),Groups!A:A,Groups!AZ:AZ)=2,
"Bone",
""
)
)
)</f>
        <v>No</v>
      </c>
      <c r="CI55" s="25" t="str">
        <f>IF(_xlfn.XLOOKUP(_xlfn.XLOOKUP(B55,'Base stats'!B:B,'Base stats'!E:E),Groups!A:A,Groups!BB:BB),"True","False")</f>
        <v>True</v>
      </c>
      <c r="CJ55" s="25" t="str">
        <f>IF(_xlfn.XLOOKUP(_xlfn.XLOOKUP(B55,'Base stats'!B:B,'Base stats'!E:E),Groups!A:A,Groups!BA:BA),"True","False")</f>
        <v>False</v>
      </c>
    </row>
    <row r="56" spans="1:88" s="16" customFormat="1" ht="16.5" thickTop="1" thickBot="1" x14ac:dyDescent="0.3">
      <c r="A56" s="26" t="str">
        <f>_xlfn.XLOOKUP(B56,'Base stats'!B:B,'Base stats'!A:A)</f>
        <v>Wolf</v>
      </c>
      <c r="B56" s="6" t="s">
        <v>881</v>
      </c>
      <c r="C56" s="28" t="s">
        <v>731</v>
      </c>
      <c r="D56" s="28" t="s">
        <v>45</v>
      </c>
      <c r="E56" s="28" t="s">
        <v>732</v>
      </c>
      <c r="F56" s="28" t="s">
        <v>733</v>
      </c>
      <c r="G56" s="28" t="s">
        <v>673</v>
      </c>
      <c r="H56" s="2">
        <f>MROUND((
  (IF(AND(_xlfn.XLOOKUP(B56,'Base stats'!B:B,'Base stats'!AL:AL)=0,BI56="None",_xlfn.XLOOKUP(_xlfn.XLOOKUP(B56,'Base stats'!B:B,'Base stats'!E:E),Groups!A:A,Groups!B:B)=0), (18 + BR56 * 2.7) * 0.5,
    IF(AND(_xlfn.XLOOKUP(B56,'Base stats'!B:B,'Base stats'!AL:AL)=0,OR(AO56&lt;0.55,AND(BI56="Intermediate",_xlfn.XLOOKUP(_xlfn.XLOOKUP(B56,'Base stats'!B:B,'Base stats'!E:E),Groups!A:A,Groups!B:B)&lt;2))), (18 + BR56 * 2.7),
      IF(OR(BI56="Advanced",_xlfn.XLOOKUP(B56,'Base stats'!B:B,'Base stats'!AL:AL)=1,_xlfn.XLOOKUP(_xlfn.XLOOKUP(B56,'Base stats'!B:B,'Base stats'!E:E),Groups!A:A,Groups!B:B)=2), (18 + BR56 * 2.7) + 250, (18 + BR56 * 2.7))
    )
  ))
  + AO56 * 80
  + IF(COUNTIF(EggMilk!K$2:K$998, A56) &gt; 0, 125, 0)
  + IF(COUNTIF(EggMilk!P$2:P$998, A56) &gt; 0, 90, 0)
  + IF(COUNTIF(EggMilk!A$2:A$998, A56) &gt; 0, 90, 0)
)
* (0.8 + 0.4 * J56)
* 0.75,25)</f>
        <v>500</v>
      </c>
      <c r="I56" s="2">
        <f>MROUND(ROUNDDOWN(_xlfn.XLOOKUP(B56,'Base stats'!B:B,'Base stats'!L:L)/3.6/(23.3/11),1),0.5)</f>
        <v>8.5</v>
      </c>
      <c r="J56" s="2">
        <f>IF(OR(_xlfn.XLOOKUP(B56,'Base stats'!B:B,'Base stats'!AB:AB)=1,_xlfn.XLOOKUP(_xlfn.XLOOKUP(B56,'Base stats'!B:B,'Base stats'!E:E),Groups!A:A,Groups!C:C)="Untamable"),1,IF(_xlfn.XLOOKUP(B56,'Base stats'!B:B,'Base stats'!AL:AL)=1,0.99,MIN(MROUND((1-0.6282*EXP(-0.459*AO56))*_xlfn.XLOOKUP(_xlfn.XLOOKUP(B56,'Base stats'!B:B,'Base stats'!E:E),Groups!A:A,Groups!C:C)*IF(_xlfn.XLOOKUP(B56,'Base stats'!B:B,'Base stats'!O:O)=1,0.5,IF(_xlfn.XLOOKUP(B56,'Base stats'!B:B,'Base stats'!O:O)=2,0,1)),0.05),IF(AO56&gt;3.5,0.985,0.95))))</f>
        <v>0.70000000000000007</v>
      </c>
      <c r="K56" s="2">
        <f>ROUNDUP(AO56*_xlfn.XLOOKUP(_xlfn.XLOOKUP(B56,'Base stats'!B:B,'Base stats'!E:E),Groups!A:A,Groups!E:E),0)</f>
        <v>1</v>
      </c>
      <c r="L56" s="2">
        <f>IF(OR(_xlfn.XLOOKUP(_xlfn.XLOOKUP(B56,'Base stats'!B:B,'Base stats'!E:E),Groups!A:A,Groups!F:F)=2,ISNUMBER(SEARCH("SeaIce",BX56)),ISNUMBER(SEARCH("IceSheet",BX56))),-50,IF(OR(ISNUMBER(SEARCH("GlacialPlain",BX56)),ISNUMBER(SEARCH("Tundra",BX56))),-40,IF(OR(ISNUMBER(SEARCH("Alpine",BX56)),ISNUMBER(SEARCH("BorealForest",BX56)),ISNUMBER(SEARCH("ColdBog",BX56))),-30,IF(OR(ISNUMBER(SEARCH("TemperateForest",BX56)),ISNUMBER(SEARCH("TemperateSwamp",BX56))),-20,IF(_xlfn.XLOOKUP(_xlfn.XLOOKUP(B56,'Base stats'!B:B,'Base stats'!E:E),Groups!A:A,Groups!F:F)=1,-15,IF(OR(ISNUMBER(SEARCH("Desert",BX56)),ISNUMBER(SEARCH("ExtremeDesert",BX56))),-10,IF(OR(ISNUMBER(SEARCH("Grasslands",BX56)),ISNUMBER(SEARCH("TropicalRainforest",BX56)),ISNUMBER(SEARCH("TropicalSwamp",BX56))),10,0)))))))-IF(CC56="False",MIN(IFERROR(MAX(MROUND(LOG10(_xlfn.XLOOKUP(B56,'Base stats'!B:B,'Base stats'!C:C)^(2/3))*10,5),5),5),30))-_xlfn.XLOOKUP(B56,'Base stats'!B:B,'Base stats'!P:P)+IF(CC56="True",5,0)</f>
        <v>-50</v>
      </c>
      <c r="M56" s="2">
        <f>IF(OR(_xlfn.XLOOKUP(_xlfn.XLOOKUP(B56,'Base stats'!B:B,'Base stats'!E:E),Groups!A:A,Groups!G:G)=2,ISNUMBER(SEARCH("Desert",BX56)),ISNUMBER(SEARCH("ExtremeDesert",BX56)),ISNUMBER(SEARCH("LavaField",BX56))),50,IF(ISNUMBER(SEARCH("Grasslands",BX56)),45,IF(OR(_xlfn.XLOOKUP(_xlfn.XLOOKUP(B56,'Base stats'!B:B,'Base stats'!E:E),Groups!A:A,Groups!G:G)=1,ISNUMBER(SEARCH("TropicalRainforest",BX56)),ISNUMBER(SEARCH("TropicalSwamp",BX56))),40,IF(OR(ISNUMBER(SEARCH("TemperateForest",BX56)),ISNUMBER(SEARCH("TemperateSwamp",BX56))),35,IF(OR(ISNUMBER(SEARCH("Alpine",BX56)),ISNUMBER(SEARCH("BorealForest",BX56)),ISNUMBER(SEARCH("ColdBog",BX56))),30,IF(ISNUMBER(OR(ISNUMBER(SEARCH("GlacialPlain",BX56)),SEARCH("Tundra",BX56))),25,IF(OR(ISNUMBER(SEARCH("SeaIce",BX56)),ISNUMBER(SEARCH("IceSheet",BX56)),ISNUMBER(SEARCH("TropicalSwamp",BX56))),10,35)))))))+_xlfn.XLOOKUP(B56,'Base stats'!B:B,'Base stats'!Q:Q)</f>
        <v>35</v>
      </c>
      <c r="N56" s="8" t="str">
        <f>IF(
_xlfn.XLOOKUP(
_xlfn.XLOOKUP(B56,'Base stats'!B:B,'Base stats'!E:E),
Groups!A:A,
Groups!L:L
)=1,
MIN(
MROUND(
IF(
_xlfn.XLOOKUP(B56,'Animals CE'!B:B,'Animals CE'!Z:Z)&lt;=1.5,
_xlfn.XLOOKUP(B56,'Animals CE'!B:B,'Animals CE'!Z:Z)/2+0.05,
0.8+
(_xlfn.XLOOKUP(B56,'Animals CE'!B:B,'Animals CE'!Z:Z)-1.5)
*0.02
),
0.05
),
200%
),
"No"
)</f>
        <v>No</v>
      </c>
      <c r="O56" s="8" t="str">
        <f>IF(
_xlfn.XLOOKUP(
_xlfn.XLOOKUP(B56,'Base stats'!B:B,'Base stats'!E:E),
Groups!A:A,
Groups!L:L
)=1,
MIN(
MROUND(
IF(
_xlfn.XLOOKUP(B56,'Animals CE'!B:B,'Animals CE'!AA:AA)&lt;=1.5,
_xlfn.XLOOKUP(B56,'Animals CE'!B:B,'Animals CE'!AA:AA)/2+0.05,
0.8+
(_xlfn.XLOOKUP(B56,'Animals CE'!B:B,'Animals CE'!AA:AA)-1.5)
*0.02
),
0.05
),
200%
),
"No"
)</f>
        <v>No</v>
      </c>
      <c r="P56" s="2" t="str">
        <f>_xlfn.XLOOKUP(B56,'Base stats'!B:B,'Base stats'!R:R)</f>
        <v>Standard</v>
      </c>
      <c r="Q56" s="13">
        <f>MROUND((LOG10(_xlfn.XLOOKUP(B56,'Base stats'!B:B,'Base stats'!AR:AR))*(AO56^0.5)+(_xlfn.XLOOKUP(B56,'Base stats'!B:B,'Base stats'!AR:AR)/1000)^(2/3)+_xlfn.XLOOKUP(B56,'Base stats'!B:B,'Base stats'!BA:BA)/2)+0.5,0.5)</f>
        <v>6</v>
      </c>
      <c r="R56" s="7">
        <f>IF(Q56="No","No",MAX(1,MROUND(_xlfn.XLOOKUP(B56,'Base stats'!B:B,'Base stats'!C:C)^0.165,0.05)))</f>
        <v>1.85</v>
      </c>
      <c r="S56" s="13" t="str">
        <f>IF(_xlfn.XLOOKUP(_xlfn.XLOOKUP(B56,'Base stats'!B:B,'Base stats'!E:E),Groups!A:A,Groups!P:P)=0,"No",MROUND((LOG10(_xlfn.XLOOKUP(B56,'Base stats'!B:B,'Base stats'!AS:AS))*(AO56^0.5)+(_xlfn.XLOOKUP(B56,'Base stats'!B:B,'Base stats'!AS:AS)/1000)^(2/3)+_xlfn.XLOOKUP(B56,'Base stats'!B:B,'Base stats'!BA:BA))+_xlfn.XLOOKUP(B56,'Base stats'!B:B,'Base stats'!AY:AY)+0.5,0.5))</f>
        <v>No</v>
      </c>
      <c r="T56" s="7" t="str">
        <f>IF(S56="No","No",MAX(_xlfn.XLOOKUP(_xlfn.XLOOKUP(B56,'Base stats'!B:B,'Base stats'!E:E),Groups!A:A,Groups!Q:Q),MROUND(_xlfn.XLOOKUP(_xlfn.XLOOKUP(B56,'Base stats'!B:B,'Base stats'!E:E),Groups!A:A,Groups!Q:Q)*_xlfn.XLOOKUP(B56,'Base stats'!B:B,'Base stats'!C:C)^0.165,0.05)))</f>
        <v>No</v>
      </c>
      <c r="U56" s="7" t="str">
        <f>IF(S56="No","No",_xlfn.XLOOKUP(_xlfn.XLOOKUP(B56,'Base stats'!B:B,'Base stats'!E:E),Groups!A:A,Groups!R:R))</f>
        <v>No</v>
      </c>
      <c r="V56" s="7" t="str">
        <f>IF(S56="No","No",_xlfn.XLOOKUP(_xlfn.XLOOKUP(B56,'Base stats'!B:B,'Base stats'!E:E),Groups!A:A,Groups!S:S))</f>
        <v>No</v>
      </c>
      <c r="W56" s="7" t="str">
        <f>IF(S56="No","No",_xlfn.XLOOKUP(_xlfn.XLOOKUP(B56,'Base stats'!B:B,'Base stats'!E:E),Groups!A:A,Groups!T:T))</f>
        <v>No</v>
      </c>
      <c r="X56" s="13" t="str">
        <f>IF(_xlfn.XLOOKUP(B56,'Base stats'!B:B,'Base stats'!W:W)="No","No",MROUND((LOG10(_xlfn.XLOOKUP(B56,'Base stats'!B:B,'Base stats'!AU:AU))*(AO56^0.5)+(_xlfn.XLOOKUP(B56,'Base stats'!B:B,'Base stats'!AU:AU)/1000)^(2/3)+_xlfn.XLOOKUP(B56,'Base stats'!B:B,'Base stats'!AZ:AZ))+0.5+IF(_xlfn.XLOOKUP(_xlfn.XLOOKUP(B56,'Base stats'!B:B,'Base stats'!E:E),Groups!A:A,Groups!U:U)&lt;&gt;3,_xlfn.XLOOKUP(B56,'Base stats'!B:B,'Base stats'!BA:BA),0),0.5))</f>
        <v>No</v>
      </c>
      <c r="Y56" s="7" t="str">
        <f>IF(X56="No","No",MAX(_xlfn.XLOOKUP(_xlfn.XLOOKUP(B56,'Base stats'!B:B,'Base stats'!E:E),Groups!A:A,Groups!V:V),MROUND(_xlfn.XLOOKUP(_xlfn.XLOOKUP(B56,'Base stats'!B:B,'Base stats'!E:E),Groups!A:A,Groups!V:V)*_xlfn.XLOOKUP(B56,'Base stats'!B:B,'Base stats'!C:C)^0.165,0.05)))</f>
        <v>No</v>
      </c>
      <c r="Z56" s="7" t="str">
        <f>IF(X56="No","No",_xlfn.XLOOKUP(_xlfn.XLOOKUP(B56,'Base stats'!B:B,'Base stats'!E:E),Groups!A:A,Groups!W:W))</f>
        <v>No</v>
      </c>
      <c r="AA56" s="7" t="str">
        <f>IF(X56="No","No",_xlfn.XLOOKUP(_xlfn.XLOOKUP(B56,'Base stats'!B:B,'Base stats'!E:E),Groups!A:A,Groups!X:X))</f>
        <v>No</v>
      </c>
      <c r="AB56" s="7" t="str">
        <f>IF(X56="No","No",_xlfn.XLOOKUP(_xlfn.XLOOKUP(B56,'Base stats'!B:B,'Base stats'!E:E),Groups!A:A,Groups!Y:Y))</f>
        <v>No</v>
      </c>
      <c r="AC56" s="7" t="str">
        <f>_xlfn.XLOOKUP(Animals!B56,'Base stats'!B:B,'Base stats'!X:X)</f>
        <v>False</v>
      </c>
      <c r="AD56" s="13">
        <f>IF(_xlfn.XLOOKUP(B56,'Base stats'!B:B,'Base stats'!AT:AT)="No","No",MROUND((LOG10(_xlfn.XLOOKUP(B56,'Base stats'!B:B,'Base stats'!AT:AT))*(AO56^0.75)+(_xlfn.XLOOKUP(B56,'Base stats'!B:B,'Base stats'!AT:AT)/1000)^(2/3)+_xlfn.XLOOKUP(B56,'Base stats'!B:B,'Base stats'!AX:AX)+_xlfn.XLOOKUP(B56,'Base stats'!B:B,'Base stats'!BA:BA))+0.5,0.5))</f>
        <v>11.5</v>
      </c>
      <c r="AE56" s="7">
        <f>IF(AD56="No","No",MAX(_xlfn.XLOOKUP(_xlfn.XLOOKUP(B56,'Base stats'!B:B,'Base stats'!E:E),Groups!A:A,Groups!Z:Z),MROUND(_xlfn.XLOOKUP(_xlfn.XLOOKUP(B56,'Base stats'!B:B,'Base stats'!E:E),Groups!A:A,Groups!Z:Z)*_xlfn.XLOOKUP(B56,'Base stats'!B:B,'Base stats'!C:C)^0.165,0.05)))</f>
        <v>1.4500000000000002</v>
      </c>
      <c r="AF56" s="7" t="str">
        <f>IF(AD56="No","No",_xlfn.XLOOKUP(_xlfn.XLOOKUP(B56,'Base stats'!B:B,'Base stats'!E:E),Groups!A:A,Groups!AA:AA))</f>
        <v>Teeth</v>
      </c>
      <c r="AG56" s="7" t="str">
        <f>IF(AD56="No","No",_xlfn.XLOOKUP(_xlfn.XLOOKUP(B56,'Base stats'!B:B,'Base stats'!E:E),Groups!A:A,Groups!AB:AB))</f>
        <v>canines</v>
      </c>
      <c r="AH56" s="7" t="str">
        <f>IF(AD56="No","No",_xlfn.XLOOKUP(_xlfn.XLOOKUP(B56,'Base stats'!B:B,'Base stats'!E:E),Groups!A:A,Groups!AC:AC))</f>
        <v>Bite</v>
      </c>
      <c r="AI56" s="13" t="str">
        <f>IF(_xlfn.XLOOKUP(_xlfn.XLOOKUP(B56,'Base stats'!B:B,'Base stats'!E:E),Groups!A:A,Groups!AD:AD)=0,"No",MROUND((LOG10(_xlfn.XLOOKUP(B56,'Base stats'!B:B,'Base stats'!AS:AS))*(AO56^0.75)+(_xlfn.XLOOKUP(B56,'Base stats'!B:B,'Base stats'!AS:AS)/1000)^(2/3)+_xlfn.XLOOKUP(B56,'Base stats'!B:B,'Base stats'!AY:AY)+_xlfn.XLOOKUP(B56,'Base stats'!B:B,'Base stats'!BA:BA))+0.5,0.5))</f>
        <v>No</v>
      </c>
      <c r="AJ56" s="7" t="str">
        <f>IF(AI56="No","No",MAX(_xlfn.XLOOKUP(_xlfn.XLOOKUP(B56,'Base stats'!B:B,'Base stats'!E:E),Groups!A:A,Groups!AE:AE),MROUND(_xlfn.XLOOKUP(_xlfn.XLOOKUP(B56,'Base stats'!B:B,'Base stats'!E:E),Groups!A:A,Groups!AE:AE)*IF(_xlfn.XLOOKUP(_xlfn.XLOOKUP(B56,'Base stats'!B:B,'Base stats'!E:E),Groups!A:A,Groups!AJ:AJ)="Photonozoa",0.6,1)*_xlfn.XLOOKUP(B56,'Base stats'!B:B,'Base stats'!C:C)^0.165,0.05)))</f>
        <v>No</v>
      </c>
      <c r="AK56" s="7" t="str">
        <f>IF(AI56="No","No",_xlfn.XLOOKUP(_xlfn.XLOOKUP(B56,'Base stats'!B:B,'Base stats'!E:E),Groups!A:A,Groups!AF:AF))</f>
        <v>No</v>
      </c>
      <c r="AL56" s="7" t="str">
        <f>IF(AI56="No","No",_xlfn.XLOOKUP(_xlfn.XLOOKUP(B56,'Base stats'!B:B,'Base stats'!E:E),Groups!A:A,Groups!AG:AG))</f>
        <v>No</v>
      </c>
      <c r="AM56" s="7" t="str">
        <f>IF(AI56="No","No",_xlfn.XLOOKUP(_xlfn.XLOOKUP(B56,'Base stats'!B:B,'Base stats'!E:E),Groups!A:A,Groups!AH:AH))</f>
        <v>No</v>
      </c>
      <c r="AN56" s="2">
        <f t="shared" si="0"/>
        <v>20</v>
      </c>
      <c r="AO56" s="2">
        <f>MROUND(IF(AND(_xlfn.XLOOKUP(B56,'Base stats'!B:B,'Base stats'!C:C)&gt;=0.5,_xlfn.XLOOKUP(B56,'Base stats'!B:B,'Base stats'!C:C)&lt;=0.8),
IF(_xlfn.XLOOKUP(B56,'Base stats'!B:B,'Base stats'!C:C)&lt;0.1,0.05,IF(_xlfn.XLOOKUP(B56,'Base stats'!B:B,'Base stats'!C:C)&lt;=70,(_xlfn.XLOOKUP(B56,'Base stats'!B:B,'Base stats'!C:C)/70)^0.426489913056526,IF(_xlfn.XLOOKUP(B56,'Base stats'!B:B,'Base stats'!C:C)&lt;=400,(_xlfn.XLOOKUP(B56,'Base stats'!B:B,'Base stats'!C:C)/70)^0.572811455315093,IF(_xlfn.XLOOKUP(B56,'Base stats'!B:B,'Base stats'!C:C)&lt;=2000,2.71391647193063*(_xlfn.XLOOKUP(B56,'Base stats'!B:B,'Base stats'!C:C)/400)^0.252459582904293,3.74314280240376*(_xlfn.XLOOKUP(B56,'Base stats'!B:B,'Base stats'!C:C)/2000)^0.357012633876913)))),
IF(_xlfn.XLOOKUP(B56,'Base stats'!B:B,'Base stats'!C:C)&lt;0.1,0.05,IF(_xlfn.XLOOKUP(B56,'Base stats'!B:B,'Base stats'!C:C)&lt;0.4,0.1,IF(_xlfn.XLOOKUP(B56,'Base stats'!B:B,'Base stats'!C:C)&lt;=70,(_xlfn.XLOOKUP(B56,'Base stats'!B:B,'Base stats'!C:C)/70)^0.445823913056526,IF(_xlfn.XLOOKUP(B56,'Base stats'!B:B,'Base stats'!C:C)&lt;=400,(_xlfn.XLOOKUP(B56,'Base stats'!B:B,'Base stats'!C:C)/70)^0.572811455315093,IF(_xlfn.XLOOKUP(B56,'Base stats'!B:B,'Base stats'!C:C)&lt;=2000,2.71391647193063*(_xlfn.XLOOKUP(B56,'Base stats'!B:B,'Base stats'!C:C)/400)^0.252459582904293,3.74314280240376*(_xlfn.XLOOKUP(B56,'Base stats'!B:B,'Base stats'!C:C)/2000)^0.357012633876913)))))),
IF(_xlfn.XLOOKUP(B56,'Base stats'!B:B,'Base stats'!C:C)&lt;0.1,0.05,IF(_xlfn.XLOOKUP(B56,'Base stats'!B:B,'Base stats'!C:C)&lt;=100,0.05,IF(_xlfn.XLOOKUP(B56,'Base stats'!B:B,'Base stats'!C:C)&lt;=250,0.1,IF(_xlfn.XLOOKUP(B56,'Base stats'!B:B,'Base stats'!C:C)&lt;=4000,0.25,0.5)))))</f>
        <v>0.8</v>
      </c>
      <c r="AP56" s="8">
        <f>MROUND(AO56*_xlfn.XLOOKUP(_xlfn.XLOOKUP(B56,'Base stats'!B:B,'Base stats'!E:E),Groups!A:A,Groups!AI:AI)*_xlfn.XLOOKUP(B56,'Base stats'!B:B,'Base stats'!Z:Z),0.05)</f>
        <v>0.95000000000000007</v>
      </c>
      <c r="AQ56" s="8">
        <f>MAX(0.01,MROUND(IF(CC56="True",0.196*(AO56*100*1000)^0.889,IF(_xlfn.XLOOKUP(_xlfn.XLOOKUP(B56,'Base stats'!B:B,'Base stats'!E:E),Groups!A:A,Groups!AJ:AJ)="Bird",10.5*(AO56*100*1000)^0.681,4.82*(AO56*100*1000)^0.734))/(4.82*(1*100*1000)^0.734)/IF(AO56&lt;3.5,2,IF(AO56=3.5,1.5,1.25))*(1+0.132282374779864/(AO56^0.994035016789033+0.00905238001496948)),0.05))</f>
        <v>0.5</v>
      </c>
      <c r="AR56" s="9">
        <f>IFERROR(MROUND(_xlfn.XLOOKUP(B56,'Base stats'!B:B,'Base stats'!H:H)/IF(_xlfn.XLOOKUP(B56,'Base stats'!B:B,'Base stats'!I:I)&lt;&gt;1,(122.5/70),1.2),IF(_xlfn.XLOOKUP(B56,'Base stats'!B:B,'Base stats'!H:H)&gt;=30,5,IF(_xlfn.XLOOKUP(B56,'Base stats'!B:B,'Base stats'!H:H)&gt;=15,3,IF(_xlfn.XLOOKUP(B56,'Base stats'!B:B,'Base stats'!H:H)&gt;=10,2,1)))),"Immortal")</f>
        <v>12</v>
      </c>
      <c r="AS56" s="35">
        <f>IFERROR(IF(OR(_xlfn.XLOOKUP(B56,'Base stats'!B:B,'Base stats'!F:F)="Atypical reproduction",_xlfn.XLOOKUP(B56,'Base stats'!B:B,'Base stats'!F:F)="Lay eggs"),"Lay eggs",MIN(20,MAX(5.5,ROUND(((_xlfn.XLOOKUP(B56,'Base stats'!B:B,'Base stats'!F:F)-25)*(14.5/615) + 5.5)*2,0)/2))),"Unknown")</f>
        <v>6.5</v>
      </c>
      <c r="AT56" s="8">
        <f>IF(_xlfn.XLOOKUP(B56,'Base stats'!B:B,'Base stats'!G:G)="Atypical reproduction","No",IFERROR(MAX(IF(_xlfn.XLOOKUP(B56,'Base stats'!B:B,'Base stats'!G:G)&lt;0.5,0.2,0.3),MROUND(_xlfn.XLOOKUP(B56,'Base stats'!B:B,'Base stats'!G:G)/(365/60),0.2)),"Unknown"))</f>
        <v>0.4</v>
      </c>
      <c r="AU56" s="8">
        <f t="shared" si="1"/>
        <v>0.2</v>
      </c>
      <c r="AV56" s="8">
        <f>IFERROR(IFERROR(MROUND(_xlfn.XLOOKUP(B56,'Base stats'!B:B,'Base stats'!J:J),0.1),"Lay eggs"),"Cannot breed")</f>
        <v>6</v>
      </c>
      <c r="AW56" s="2" t="str">
        <f t="shared" si="2"/>
        <v>true</v>
      </c>
      <c r="AX56" s="2" t="str">
        <f>IF(_xlfn.XLOOKUP(_xlfn.XLOOKUP(Animals!B56,'Base stats'!B:B,'Base stats'!E:E),Groups!A:A,Groups!AK:AK)=1,"true","false")</f>
        <v>false</v>
      </c>
      <c r="AY56" s="25" t="str">
        <f>IF(_xlfn.XLOOKUP(B56,'Base stats'!B:B,'Base stats'!Y:Y)="Liquor","Liquor, CarnivoreAnimalStrict",IF(AND(_xlfn.XLOOKUP(B56,'Base stats'!B:B,'Base stats'!Y:Y)="Carnivore",_xlfn.XLOOKUP(_xlfn.XLOOKUP(B56,'Base stats'!B:B,'Base stats'!E:E),Groups!A:A,Groups!AJ:AJ)="Photonozoa"),"CarnivoreAnimalStrict, OvivoreAnimal",IF(_xlfn.XLOOKUP(B56,'Base stats'!B:B,'Base stats'!Y:Y)="Carnivore","CarnivoreAnimal, OvivoreAnimal",IF(_xlfn.XLOOKUP(B56,'Base stats'!B:B,'Base stats'!Y:Y)="Dendrovore","VegetarianRoughAnimal, DendrovoreAnimal",IF(_xlfn.XLOOKUP(B56,'Base stats'!B:B,'Base stats'!Y:Y)="Herbivore","VegetarianRoughAnimal",IF(_xlfn.XLOOKUP(B56,'Base stats'!B:B,'Base stats'!Y:Y)="OmnivoreRough","OmnivoreRoughAnimal, OvivoreAnimal","OmnivoreAnimal, OvivoreAnimal"))))))</f>
        <v>CarnivoreAnimal, OvivoreAnimal</v>
      </c>
      <c r="AZ56" s="2" t="str">
        <f>IF(_xlfn.XLOOKUP(_xlfn.XLOOKUP(B56,'Base stats'!B:B,'Base stats'!E:E),Groups!A:A,Groups!D:D)=1,MROUND((1-J56)*5+1,2)*IF(J56&lt;=0.4,2,1),"No")</f>
        <v>No</v>
      </c>
      <c r="BA56" s="2" t="str">
        <f>IF(AND(_xlfn.XLOOKUP(B56,'Base stats'!B:B,'Base stats'!AH:AH)="&lt;li&gt;Seal&lt;/li&gt;",G56="Odyssey"),"&lt;li&gt;AEXP_Seal&lt;/li&gt;",_xlfn.XLOOKUP(B56,'Base stats'!B:B,'Base stats'!AH:AH))</f>
        <v>No</v>
      </c>
      <c r="BB56" s="2" t="str">
        <f>_xlfn.XLOOKUP(B56,'Base stats'!B:B,'Base stats'!AG:AG)</f>
        <v>Leather_Wolf</v>
      </c>
      <c r="BC56" s="23" t="str">
        <f>_xlfn.XLOOKUP(_xlfn.XLOOKUP(B56,'Base stats'!B:B,'Base stats'!E:E),Groups!A:A,Groups!AL:AL)</f>
        <v>QuadrupedAnimalWithPawsAndTail</v>
      </c>
      <c r="BD56" s="23">
        <f>MIN(1,MROUND(IF(AND(AO56&lt;0.5,_xlfn.XLOOKUP(B56,'Base stats'!B:B,'Base stats'!AA:AA)=0),0,IF(OR(_xlfn.XLOOKUP(Animals!B56,'Base stats'!B:B,'Base stats'!O:O)=2,_xlfn.XLOOKUP(_xlfn.XLOOKUP(B56,'Base stats'!B:B,'Base stats'!E:E),Groups!A:A,Groups!AN:AN)=0),0,_xlfn.XLOOKUP(_xlfn.XLOOKUP(B56,'Base stats'!B:B,'Base stats'!E:E),Groups!A:A,Groups!AN:AN)/IF(_xlfn.XLOOKUP(Animals!B56,'Base stats'!B:B,'Base stats'!O:O)=1,2,1)))+_xlfn.XLOOKUP(B56,'Base stats'!B:B,'Base stats'!AC:AC),0.005))</f>
        <v>0.1</v>
      </c>
      <c r="BE56" s="23">
        <f>MIN(1,MROUND(IF(AND(AO56&lt;0.5,_xlfn.XLOOKUP(B56,'Base stats'!B:B,'Base stats'!AA:AA)=0),0,IF(_xlfn.XLOOKUP(_xlfn.XLOOKUP(B56,'Base stats'!B:B,'Base stats'!E:E),Groups!A:A,Groups!AO:AO)=0,0,_xlfn.XLOOKUP(_xlfn.XLOOKUP(B56,'Base stats'!B:B,'Base stats'!E:E),Groups!A:A,Groups!AO:AO)/IF(_xlfn.XLOOKUP(Animals!B56,'Base stats'!B:B,'Base stats'!O:O)=2,3,1)))+_xlfn.XLOOKUP(B56,'Base stats'!B:B,'Base stats'!AD:AD),0.005))</f>
        <v>0.3</v>
      </c>
      <c r="BF56" s="2" t="str">
        <f>IF(J56&gt;0.3,"No",_xlfn.XLOOKUP(_xlfn.XLOOKUP(Animals!B56,'Base stats'!B:B,'Base stats'!E:E),Groups!A:A,Groups!AP:AP))</f>
        <v>No</v>
      </c>
      <c r="BG56" s="2" t="str">
        <f>IF(AND(J56&lt;=0.65,_xlfn.XLOOKUP(_xlfn.XLOOKUP(Animals!B56,'Base stats'!B:B,'Base stats'!E:E),Groups!A:A,Groups!AP:AP)&lt;&gt;"No",_xlfn.XLOOKUP(_xlfn.XLOOKUP(B56,'Base stats'!B:B,'Base stats'!E:E),Groups!A:A,Groups!D:D)=0),MROUND((80/3)*IF(_xlfn.XLOOKUP(B56,'Base stats'!B:B,'Base stats'!O:O)=2,0.2,AO56) + 24*(1-IF(BF56="No",0,BF56)) + 16/3, 12),"No")</f>
        <v>No</v>
      </c>
      <c r="BH56" s="2">
        <f>IF(AND(_xlfn.XLOOKUP(_xlfn.XLOOKUP(B56,'Base stats'!B:B,'Base stats'!E:E),Groups!A:A,Groups!AQ:AQ)=1,AO56&lt;=0.35),8,12)</f>
        <v>12</v>
      </c>
      <c r="BI56" s="2" t="str">
        <f>IF(_xlfn.XLOOKUP(_xlfn.XLOOKUP(B56,'Base stats'!B:B,'Base stats'!E:E),Groups!A:A,Groups!D:D)=0,_xlfn.XLOOKUP(_xlfn.XLOOKUP(B56,'Base stats'!B:B,'Base stats'!E:E),Groups!A:A,Groups!AR:AR),"None")</f>
        <v>Advanced</v>
      </c>
      <c r="BJ56" s="2" t="str">
        <f>IF(AND(_xlfn.XLOOKUP(_xlfn.XLOOKUP(B56,'Base stats'!B:B,'Base stats'!E:E),Groups!A:A,Groups!AS:AS)=1,OR(_xlfn.XLOOKUP(B56,'Base stats'!B:B,'Base stats'!Y:Y)="Carnivore",_xlfn.XLOOKUP(B56,'Base stats'!B:B,'Base stats'!Y:Y)="Omnivore")),"true","false")</f>
        <v>true</v>
      </c>
      <c r="BK56" s="2">
        <f>IF(BJ56="true",MROUND(IF(AND(AO56&gt;0.5,OR(_xlfn.XLOOKUP(_xlfn.XLOOKUP(B56,'Base stats'!B:B,'Base stats'!E:E),Groups!A:A,Groups!AJ:AJ)="Photonozoa",_xlfn.XLOOKUP(_xlfn.XLOOKUP(B56,'Base stats'!B:B,'Base stats'!E:E),Groups!A:A,Groups!AJ:AJ)="Mammal")),Animals!AO56*1.75*IF(AW56="true",1.5,1),IF(AO56&lt;0.5,Animals!AO56*0.5,Animals!AO56)),IF(AO56&gt;2,0.5,IF(AO56&gt;0.5,0.25,0.1))),"No")</f>
        <v>2</v>
      </c>
      <c r="BL56" s="2">
        <f t="shared" si="3"/>
        <v>1</v>
      </c>
      <c r="BM56" s="25" t="str">
        <f>IF(_xlfn.XLOOKUP(B56,'Base stats'!B:B,'Base stats'!AN:AN)="Standard","No",MROUND((_xlfn.XLOOKUP(B56,'Base stats'!B:B,'Base stats'!AN:AN)/3.6)/I56,0.1))</f>
        <v>No</v>
      </c>
      <c r="BN56" s="25" t="str">
        <f t="shared" si="4"/>
        <v>false</v>
      </c>
      <c r="BO56" s="25" t="str">
        <f>IF(AND(OR(_xlfn.XLOOKUP(B56,'Base stats'!B:B,'Base stats'!Y:Y)="Carnivore",_xlfn.XLOOKUP(B56,'Base stats'!B:B,'Base stats'!Y:Y)="Omnivore",_xlfn.XLOOKUP(B56,'Base stats'!B:B,'Base stats'!Y:Y)="OmnivoreRough"),_xlfn.XLOOKUP(_xlfn.XLOOKUP(B56,'Base stats'!B:B,'Base stats'!E:E),Groups!A:A,Groups!AT:AT)=1),"true","false")</f>
        <v>false</v>
      </c>
      <c r="BP56" s="25" t="str" cm="1">
        <f t="array" ref="BP56">IF(
  _xlfn.TEXTJOIN(", ",TRUE,
    IF(AND(BJ56="true",AO56&gt;0.5,BI56&lt;&gt;"None"),"AttackTarget",""),
    IF(AND(_xlfn.XLOOKUP(_xlfn.XLOOKUP(B56,'Base stats'!B:B,'Base stats'!E:E),Groups!A:A,Groups!AJ:AJ="Mammal"),OR(_xlfn.XLOOKUP(B56,'Base stats'!B:B,'Base stats'!Y:Y)="Omnivore",_xlfn.XLOOKUP(B56,'Base stats'!B:B,'Base stats'!Y:Y)="OmnivoreRough")),"Forage",""),
    IF(BG56&lt;=36,"Comfort",""),
    IF(_xlfn.XLOOKUP(B56,'Base stats'!B:B,'Base stats'!AE:AE)&lt;&gt;"No",_xlfn.XLOOKUP(B56,'Base stats'!B:B,'Base stats'!AE:AE),"")
  ) = "",
  "No",
  _xlfn.TEXTJOIN(", ",TRUE,
    IF(AND(BJ56="true",AO56&gt;0.5,BI56&lt;&gt;"None"),"AttackTarget",""),
    IF(AND(_xlfn.XLOOKUP(_xlfn.XLOOKUP(B56,'Base stats'!B:B,'Base stats'!E:E),Groups!A:A,Groups!AJ:AJ="Mammal"),OR(_xlfn.XLOOKUP(B56,'Base stats'!B:B,'Base stats'!Y:Y)="Omnivore",_xlfn.XLOOKUP(B56,'Base stats'!B:B,'Base stats'!Y:Y)="OmnivoreRough")),"Forage",""),
    IF(BG56&lt;=36,"Comfort",""),
    IF(_xlfn.XLOOKUP(B56,'Base stats'!B:B,'Base stats'!AE:AE)&lt;&gt;"No",_xlfn.XLOOKUP(B56,'Base stats'!B:B,'Base stats'!AE:AE),"")
  )
)</f>
        <v>AttackTarget</v>
      </c>
      <c r="BQ56" s="25" t="str">
        <f>IF(
   AND(
      'Base stats'!AN56="Standard",_xlfn.XLOOKUP(_xlfn.XLOOKUP(B56,'Base stats'!B:B,'Base stats'!E:E),Groups!A:A,Groups!AU:AU)=0,
      OR(
      BO56="True"
      )
   ),
   10,
   IF(
       OR(BM56&lt;&gt;"No",_xlfn.XLOOKUP(_xlfn.XLOOKUP(B56,'Base stats'!B:B,'Base stats'!E:E),Groups!A:A,Groups!AU:AU)=1),
      1,
      "No"
   )
)</f>
        <v>No</v>
      </c>
      <c r="BR56" s="9">
        <f>MROUND((1 + ((0.2*IF(OR(Q56="No",R56="No",R56=0),0,Q56/R56)
+IF(OR(V56="No",S56="No",T56="No"),0,S56/T56*(LEN(V56)-LEN(SUBSTITUTE(V56,",",""))+1))
+IF(OR(X56="No",Y56="No"),0,X56/Y56)
+IF(OR(AD56="No",AE56="No"),0,AD56/AE56)
+IF(OR(AL56="No",AI56="No",AJ56="No"),0,AI56/AJ56*(LEN(AL56)-LEN(SUBSTITUTE(AL56,",",""))+1))
)/(0.2*IF(OR(Q56="No",R56="No",R56=0),0,1)
+IF(OR(V56="No",S56="No",T56="No"),0,LEN(V56)-LEN(SUBSTITUTE(V56,",",""))+1)
+IF(OR(X56="No",Y56="No"),0,1)
+IF(OR(AD56="No",AE56="No"),0,1)
+IF(OR(AL56="No",AI56="No",AJ56="No"),0,LEN(AL56)-LEN(SUBSTITUTE(AL56,",",""))+1))*62%)* 2)*(1 + (AP56 / (IF(_xlfn.XLOOKUP(_xlfn.XLOOKUP(B56,'Base stats'!B:B,'Base stats'!E:E),Groups!A:A,Groups!AJ:AJ)="Photonozoa",0.3,1)) + _xlfn.XLOOKUP(B56,'Base stats'!B:B,'Base stats'!AV:AV) * 1.8) * 2) * 2.5 + 10 + I56 * 2,5)+IF(_xlfn.XLOOKUP(B56,'Base stats'!B:B,'Base stats'!AK:AK)=1,50,0)</f>
        <v>100</v>
      </c>
      <c r="BS56" s="8">
        <f t="shared" si="5"/>
        <v>0.55000000000000004</v>
      </c>
      <c r="BT56" s="8" t="str">
        <f>_xlfn.XLOOKUP(B56,'Base stats'!B:B,'Base stats'!AF:AF)</f>
        <v>2~6</v>
      </c>
      <c r="BU56" s="2" t="str">
        <f>IF(AND(J56&lt;=0.95,OR(_xlfn.XLOOKUP(B56,'Base stats'!B:B,'Base stats'!AK:AK)=1,_xlfn.XLOOKUP(B56,'Base stats'!B:B,'Base stats'!Y:Y)="Carnivore",_xlfn.XLOOKUP(B56,'Base stats'!B:B,'Base stats'!Y:Y)="Omnivore",BE56&gt;0.1)),"true","false")</f>
        <v>true</v>
      </c>
      <c r="BV56" s="2" t="str">
        <f>IF(_xlfn.XLOOKUP(B56,'Base stats'!B:B,'Base stats'!AI:AI)=1,"true","false")</f>
        <v>false</v>
      </c>
      <c r="BW56" s="25" t="str">
        <f>IF(E56="BaseInsect","AnimalInsect",
IF(J56&gt;0.95,"AnimalExotic",
_xlfn.TEXTJOIN(", ",TRUE,
IF(OR(_xlfn.XLOOKUP(B56,'Base stats'!B:B,'Base stats'!AM:AM)=1,AND(_xlfn.XLOOKUP(B56,'Base stats'!B:B,'Base stats'!O:O)=0,_xlfn.XLOOKUP(_xlfn.XLOOKUP(B56,'Base stats'!B:B,'Base stats'!E:E),Groups!A:A,Groups!B:B)&gt;0)),"AnimalUncommon","AnimalCommon"),
IF(AND(_xlfn.XLOOKUP(B56,'Base stats'!B:B,'Base stats'!O:O)=2,_xlfn.XLOOKUP(_xlfn.XLOOKUP(B56,'Base stats'!B:B,'Base stats'!E:E),Groups!A:A,Groups!D:D)=0),"AnimalPet",IF(AND(_xlfn.XLOOKUP(B56,'Base stats'!B:B,'Base stats'!O:O)&lt;&gt;0,_xlfn.XLOOKUP(_xlfn.XLOOKUP(B56,'Base stats'!B:B,'Base stats'!E:E),Groups!A:A,Groups!D:D)&lt;&gt;0),"AnimalFarm","")),
IF(OR(_xlfn.XLOOKUP(B56,'Base stats'!B:B,'Base stats'!AK:AK)=1,AND(BI56&lt;&gt;"None",BR56&gt;=60),ISNUMBER(SEARCH("Attack target",BP56))),"AnimalFighter","")
)))</f>
        <v>AnimalCommon, AnimalFighter</v>
      </c>
      <c r="BX56" s="25" t="str">
        <f>IF(G56="None",TRIM(
SUBSTITUTE(
IF(COUNTIF(Biomes!B$2:B$259,"="&amp;$C56)&gt;0,Biomes!B$1&amp;", ","")&amp;
IF(COUNTIF(Biomes!C$2:C$259,"="&amp;$C56)&gt;0,Biomes!C$1&amp;", ","")&amp;
IF(COUNTIF(Biomes!D$2:D$259,"="&amp;$C56)&gt;0,Biomes!D$1&amp;", ","")&amp;
IF(COUNTIF(Biomes!F$2:F$259,"="&amp;$C56)&gt;0,Biomes!F$1&amp;", ","")&amp;
IF(COUNTIF(Biomes!G$2:G$259,"="&amp;$C56)&gt;0,Biomes!G$1&amp;", ","")&amp;
IF(COUNTIF(Biomes!H$2:H$259,"="&amp;$C56)&gt;0,Biomes!H$1&amp;", ","")&amp;
IF(COUNTIF(Biomes!I$2:I$259,"="&amp;$C56)&gt;0,Biomes!I$1&amp;", ","")&amp;
IF(COUNTIF(Biomes!J$2:J$259,"="&amp;$C56)&gt;0,Biomes!J$1&amp;", ","")&amp;
IF(COUNTIF(Biomes!M$2:M$259,"="&amp;$C56)&gt;0,Biomes!M$1&amp;", ","")&amp;
IF(COUNTIF(Biomes!N$2:N$259,"="&amp;$C56)&gt;0,Biomes!N$1&amp;", ","")&amp;
IF(COUNTIF(Biomes!O$2:O$259,"="&amp;$C56)&gt;0,Biomes!O$1&amp;", ","")&amp;
IF(COUNTIF(Biomes!P$2:P$259,"="&amp;$C56)&gt;0,Biomes!P$1&amp;", ","")&amp;
IF(COUNTIF(Biomes!K$2:K$259,"="&amp;$C56)&gt;0,Biomes!K$1&amp;", ","")&amp;
IF(COUNTIF(Biomes!Q$3:Q$259,"="&amp;$C56)&gt;0,Biomes!Q$1&amp;", ","")&amp;
IF(COUNTIF(Biomes!L$2:L$259,"="&amp;$C56)&gt;0,Biomes!L$1&amp;", ","")&amp;
IF(COUNTIF(Biomes!E$2:E$259,"="&amp;$C56)&gt;0,Biomes!E$1&amp;", ","")&amp;IF(COUNTIF(Biomes!S$2:S$259,"="&amp;$C56)&gt;0,Biomes!S$1&amp;", ","")&amp;
IF(COUNTIF(Biomes!R$2:R$259,"="&amp;$C56)&gt;0,Biomes!R$1&amp;", ",""),", ","")
),_xlfn.XLOOKUP(B56,B:B,BX:BX))</f>
        <v>BorealForest ColdBog TemperateForest TemperateSwamp GlacialPlain</v>
      </c>
      <c r="BY56" s="25" t="str">
        <f>IF(_xlfn.XLOOKUP(B56,'Base stats'!B:B,'Base stats'!AJ:AJ)=1,"true","false")</f>
        <v>false</v>
      </c>
      <c r="BZ56" s="25">
        <f>IF(_xlfn.XLOOKUP(B56,'Base stats'!B:B,'Base stats'!N:N)=1,"No",MAX(0.001,MIN(MROUND(IF(AND(BJ56="True",CC56="False"),POWER(10,3.47*LOG10(_xlfn.XLOOKUP(B56,'Base stats'!B:B,'Base stats'!C:C)*1000)^-0.96),POWER(10,4.15*LOG10(_xlfn.XLOOKUP(B56,'Base stats'!B:B,'Base stats'!C:C)*1000)^-0.73))*IF(_xlfn.XLOOKUP(B56,'Base stats'!B:B,'Base stats'!AK:AK)=1,0.5,1)*IF(_xlfn.XLOOKUP(B56,'Base stats'!B:B,'Base stats'!AM:AM)=1,0.1,1)/100,IF(_xlfn.XLOOKUP(B56,'Base stats'!B:B,'Base stats'!AM:AM)=1,0.001,0.025)),0.5)))</f>
        <v>7.5000000000000011E-2</v>
      </c>
      <c r="CA56" s="25" t="str">
        <f>IF(P56="Standard","No",MAX(0.001,MIN(MROUND(IF(AND(BJ56="True",CC56="False"),POWER(10,3.47*LOG10(_xlfn.XLOOKUP(B56,'Base stats'!B:B,'Base stats'!C:C)*1000)^-0.96),POWER(10,4.15*LOG10(_xlfn.XLOOKUP(B56,'Base stats'!B:B,'Base stats'!C:C)*1000)^-0.73))*IF(_xlfn.XLOOKUP(B56,'Base stats'!B:B,'Base stats'!AM:AM)=1,0.1,1)*_xlfn.XLOOKUP(B56,'Base stats'!B:B,'Base stats'!R:R)/100,IF(_xlfn.XLOOKUP(B56,'Base stats'!B:B,'Base stats'!AM:AM)=1,0.001,0.025)),0.5)))</f>
        <v>No</v>
      </c>
      <c r="CB56" s="25" t="str">
        <f>IF(_xlfn.XLOOKUP(_xlfn.XLOOKUP(B56,'Base stats'!B:B,'Base stats'!E:E),Groups!A:A,Groups!AJ:AJ)="Mammal","True","False")</f>
        <v>True</v>
      </c>
      <c r="CC56" s="25" t="str">
        <f>IF(OR(_xlfn.XLOOKUP(_xlfn.XLOOKUP(B56,'Base stats'!B:B,'Base stats'!E:E),Groups!A:A,Groups!AJ:AJ)="Reptile",_xlfn.XLOOKUP(_xlfn.XLOOKUP(B56,'Base stats'!B:B,'Base stats'!E:E),Groups!A:A,Groups!AJ:AJ)="Amphibian",_xlfn.XLOOKUP(_xlfn.XLOOKUP(B56,'Base stats'!B:B,'Base stats'!E:E),Groups!A:A,Groups!AJ:AJ)="Invertebrate"),"True","False")</f>
        <v>False</v>
      </c>
      <c r="CD56" s="25" t="str">
        <f t="shared" si="6"/>
        <v>False</v>
      </c>
      <c r="CE56" s="25" t="str">
        <f>IF(_xlfn.XLOOKUP(_xlfn.XLOOKUP(B56,'Base stats'!B:B,'Base stats'!E:E),Groups!A:A,Groups!AX:AX),"True","False")</f>
        <v>False</v>
      </c>
      <c r="CF56" s="25" t="str">
        <f>IF(_xlfn.XLOOKUP(_xlfn.XLOOKUP(B56,'Base stats'!B:B,'Base stats'!E:E),Groups!A:A,Groups!AY:AY),"True","False")</f>
        <v>False</v>
      </c>
      <c r="CG56" s="25" t="str">
        <f>IF(_xlfn.XLOOKUP(_xlfn.XLOOKUP(B56,'Base stats'!B:B,'Base stats'!E:E),Groups!A:A,Groups!AW:AW),"True","False")</f>
        <v>False</v>
      </c>
      <c r="CH56" s="25" t="str">
        <f>IF(
OR(
_xlfn.XLOOKUP(_xlfn.XLOOKUP(B56,'Base stats'!B:B,'Base stats'!E:E),Groups!A:A,Groups!AZ:AZ)=0,
AND(
_xlfn.XLOOKUP(B56,'Base stats'!B:B,'Base stats'!Y:Y)&lt;&gt;"Carnivore",
_xlfn.XLOOKUP(B56,'Base stats'!B:B,'Base stats'!Y:Y)&lt;&gt;"Omnivore",
_xlfn.XLOOKUP(B56,'Base stats'!B:B,'Base stats'!Y:Y)&lt;&gt;"OmnivoreRough"
)
),
"No",
IF(
_xlfn.XLOOKUP(_xlfn.XLOOKUP(B56,'Base stats'!B:B,'Base stats'!E:E),Groups!A:A,Groups!AZ:AZ)=1,
"Flesh",
IF(
_xlfn.XLOOKUP(_xlfn.XLOOKUP(B56,'Base stats'!B:B,'Base stats'!E:E),Groups!A:A,Groups!AZ:AZ)=2,
"Bone",
""
)
)
)</f>
        <v>No</v>
      </c>
      <c r="CI56" s="25" t="str">
        <f>IF(_xlfn.XLOOKUP(_xlfn.XLOOKUP(B56,'Base stats'!B:B,'Base stats'!E:E),Groups!A:A,Groups!BB:BB),"True","False")</f>
        <v>True</v>
      </c>
      <c r="CJ56" s="25" t="str">
        <f>IF(_xlfn.XLOOKUP(_xlfn.XLOOKUP(B56,'Base stats'!B:B,'Base stats'!E:E),Groups!A:A,Groups!BA:BA),"True","False")</f>
        <v>False</v>
      </c>
    </row>
    <row r="57" spans="1:88" ht="16.5" thickTop="1" thickBot="1" x14ac:dyDescent="0.3">
      <c r="A57" s="26" t="str">
        <f>_xlfn.XLOOKUP(B57,'Base stats'!B:B,'Base stats'!A:A)</f>
        <v>Arctic Wolf</v>
      </c>
      <c r="B57" s="6" t="s">
        <v>880</v>
      </c>
      <c r="C57" s="28" t="s">
        <v>734</v>
      </c>
      <c r="D57" s="28" t="s">
        <v>45</v>
      </c>
      <c r="E57" s="28" t="s">
        <v>732</v>
      </c>
      <c r="F57" s="28" t="s">
        <v>733</v>
      </c>
      <c r="G57" s="28" t="s">
        <v>673</v>
      </c>
      <c r="H57" s="2">
        <f>MROUND((
  (IF(AND(_xlfn.XLOOKUP(B57,'Base stats'!B:B,'Base stats'!AL:AL)=0,BI57="None",_xlfn.XLOOKUP(_xlfn.XLOOKUP(B57,'Base stats'!B:B,'Base stats'!E:E),Groups!A:A,Groups!B:B)=0), (18 + BR57 * 2.7) * 0.5,
    IF(AND(_xlfn.XLOOKUP(B57,'Base stats'!B:B,'Base stats'!AL:AL)=0,OR(AO57&lt;0.55,AND(BI57="Intermediate",_xlfn.XLOOKUP(_xlfn.XLOOKUP(B57,'Base stats'!B:B,'Base stats'!E:E),Groups!A:A,Groups!B:B)&lt;2))), (18 + BR57 * 2.7),
      IF(OR(BI57="Advanced",_xlfn.XLOOKUP(B57,'Base stats'!B:B,'Base stats'!AL:AL)=1,_xlfn.XLOOKUP(_xlfn.XLOOKUP(B57,'Base stats'!B:B,'Base stats'!E:E),Groups!A:A,Groups!B:B)=2), (18 + BR57 * 2.7) + 250, (18 + BR57 * 2.7))
    )
  ))
  + AO57 * 80
  + IF(COUNTIF(EggMilk!K$2:K$998, A57) &gt; 0, 125, 0)
  + IF(COUNTIF(EggMilk!P$2:P$998, A57) &gt; 0, 90, 0)
  + IF(COUNTIF(EggMilk!A$2:A$998, A57) &gt; 0, 90, 0)
)
* (0.8 + 0.4 * J57)
* 0.75,25)</f>
        <v>500</v>
      </c>
      <c r="I57" s="2">
        <f>MROUND(ROUNDDOWN(_xlfn.XLOOKUP(B57,'Base stats'!B:B,'Base stats'!L:L)/3.6/(23.3/11),1),0.5)</f>
        <v>8.5</v>
      </c>
      <c r="J57" s="2">
        <f>IF(OR(_xlfn.XLOOKUP(B57,'Base stats'!B:B,'Base stats'!AB:AB)=1,_xlfn.XLOOKUP(_xlfn.XLOOKUP(B57,'Base stats'!B:B,'Base stats'!E:E),Groups!A:A,Groups!C:C)="Untamable"),1,IF(_xlfn.XLOOKUP(B57,'Base stats'!B:B,'Base stats'!AL:AL)=1,0.99,MIN(MROUND((1-0.6282*EXP(-0.459*AO57))*_xlfn.XLOOKUP(_xlfn.XLOOKUP(B57,'Base stats'!B:B,'Base stats'!E:E),Groups!A:A,Groups!C:C)*IF(_xlfn.XLOOKUP(B57,'Base stats'!B:B,'Base stats'!O:O)=1,0.5,IF(_xlfn.XLOOKUP(B57,'Base stats'!B:B,'Base stats'!O:O)=2,0,1)),0.05),IF(AO57&gt;3.5,0.985,0.95))))</f>
        <v>0.70000000000000007</v>
      </c>
      <c r="K57" s="2">
        <f>ROUNDUP(AO57*_xlfn.XLOOKUP(_xlfn.XLOOKUP(B57,'Base stats'!B:B,'Base stats'!E:E),Groups!A:A,Groups!E:E),0)</f>
        <v>1</v>
      </c>
      <c r="L57" s="2">
        <f>IF(OR(_xlfn.XLOOKUP(_xlfn.XLOOKUP(B57,'Base stats'!B:B,'Base stats'!E:E),Groups!A:A,Groups!F:F)=2,ISNUMBER(SEARCH("SeaIce",BX57)),ISNUMBER(SEARCH("IceSheet",BX57))),-50,IF(OR(ISNUMBER(SEARCH("GlacialPlain",BX57)),ISNUMBER(SEARCH("Tundra",BX57))),-40,IF(OR(ISNUMBER(SEARCH("Alpine",BX57)),ISNUMBER(SEARCH("BorealForest",BX57)),ISNUMBER(SEARCH("ColdBog",BX57))),-30,IF(OR(ISNUMBER(SEARCH("TemperateForest",BX57)),ISNUMBER(SEARCH("TemperateSwamp",BX57))),-20,IF(_xlfn.XLOOKUP(_xlfn.XLOOKUP(B57,'Base stats'!B:B,'Base stats'!E:E),Groups!A:A,Groups!F:F)=1,-15,IF(OR(ISNUMBER(SEARCH("Desert",BX57)),ISNUMBER(SEARCH("ExtremeDesert",BX57))),-10,IF(OR(ISNUMBER(SEARCH("Grasslands",BX57)),ISNUMBER(SEARCH("TropicalRainforest",BX57)),ISNUMBER(SEARCH("TropicalSwamp",BX57))),10,0)))))))-IF(CC57="False",MIN(IFERROR(MAX(MROUND(LOG10(_xlfn.XLOOKUP(B57,'Base stats'!B:B,'Base stats'!C:C)^(2/3))*10,5),5),5),30))-_xlfn.XLOOKUP(B57,'Base stats'!B:B,'Base stats'!P:P)+IF(CC57="True",5,0)</f>
        <v>-50</v>
      </c>
      <c r="M57" s="2">
        <f>IF(OR(_xlfn.XLOOKUP(_xlfn.XLOOKUP(B57,'Base stats'!B:B,'Base stats'!E:E),Groups!A:A,Groups!G:G)=2,ISNUMBER(SEARCH("Desert",BX57)),ISNUMBER(SEARCH("ExtremeDesert",BX57)),ISNUMBER(SEARCH("LavaField",BX57))),50,IF(ISNUMBER(SEARCH("Grasslands",BX57)),45,IF(OR(_xlfn.XLOOKUP(_xlfn.XLOOKUP(B57,'Base stats'!B:B,'Base stats'!E:E),Groups!A:A,Groups!G:G)=1,ISNUMBER(SEARCH("TropicalRainforest",BX57)),ISNUMBER(SEARCH("TropicalSwamp",BX57))),40,IF(OR(ISNUMBER(SEARCH("TemperateForest",BX57)),ISNUMBER(SEARCH("TemperateSwamp",BX57))),35,IF(OR(ISNUMBER(SEARCH("Alpine",BX57)),ISNUMBER(SEARCH("BorealForest",BX57)),ISNUMBER(SEARCH("ColdBog",BX57))),30,IF(ISNUMBER(OR(ISNUMBER(SEARCH("GlacialPlain",BX57)),SEARCH("Tundra",BX57))),25,IF(OR(ISNUMBER(SEARCH("SeaIce",BX57)),ISNUMBER(SEARCH("IceSheet",BX57)),ISNUMBER(SEARCH("TropicalSwamp",BX57))),10,35)))))))+_xlfn.XLOOKUP(B57,'Base stats'!B:B,'Base stats'!Q:Q)</f>
        <v>35</v>
      </c>
      <c r="N57" s="8" t="str">
        <f>IF(
_xlfn.XLOOKUP(
_xlfn.XLOOKUP(B57,'Base stats'!B:B,'Base stats'!E:E),
Groups!A:A,
Groups!L:L
)=1,
MIN(
MROUND(
IF(
_xlfn.XLOOKUP(B57,'Animals CE'!B:B,'Animals CE'!Z:Z)&lt;=1.5,
_xlfn.XLOOKUP(B57,'Animals CE'!B:B,'Animals CE'!Z:Z)/2+0.05,
0.8+
(_xlfn.XLOOKUP(B57,'Animals CE'!B:B,'Animals CE'!Z:Z)-1.5)
*0.02
),
0.05
),
200%
),
"No"
)</f>
        <v>No</v>
      </c>
      <c r="O57" s="8" t="str">
        <f>IF(
_xlfn.XLOOKUP(
_xlfn.XLOOKUP(B57,'Base stats'!B:B,'Base stats'!E:E),
Groups!A:A,
Groups!L:L
)=1,
MIN(
MROUND(
IF(
_xlfn.XLOOKUP(B57,'Animals CE'!B:B,'Animals CE'!AA:AA)&lt;=1.5,
_xlfn.XLOOKUP(B57,'Animals CE'!B:B,'Animals CE'!AA:AA)/2+0.05,
0.8+
(_xlfn.XLOOKUP(B57,'Animals CE'!B:B,'Animals CE'!AA:AA)-1.5)
*0.02
),
0.05
),
200%
),
"No"
)</f>
        <v>No</v>
      </c>
      <c r="P57" s="2" t="str">
        <f>_xlfn.XLOOKUP(B57,'Base stats'!B:B,'Base stats'!R:R)</f>
        <v>Standard</v>
      </c>
      <c r="Q57" s="13">
        <f>MROUND((LOG10(_xlfn.XLOOKUP(B57,'Base stats'!B:B,'Base stats'!AR:AR))*(AO57^0.5)+(_xlfn.XLOOKUP(B57,'Base stats'!B:B,'Base stats'!AR:AR)/1000)^(2/3)+_xlfn.XLOOKUP(B57,'Base stats'!B:B,'Base stats'!BA:BA)/2)+0.5,0.5)</f>
        <v>6</v>
      </c>
      <c r="R57" s="7">
        <f>IF(Q57="No","No",MAX(1,MROUND(_xlfn.XLOOKUP(B57,'Base stats'!B:B,'Base stats'!C:C)^0.165,0.05)))</f>
        <v>1.85</v>
      </c>
      <c r="S57" s="13" t="str">
        <f>IF(_xlfn.XLOOKUP(_xlfn.XLOOKUP(B57,'Base stats'!B:B,'Base stats'!E:E),Groups!A:A,Groups!P:P)=0,"No",MROUND((LOG10(_xlfn.XLOOKUP(B57,'Base stats'!B:B,'Base stats'!AS:AS))*(AO57^0.5)+(_xlfn.XLOOKUP(B57,'Base stats'!B:B,'Base stats'!AS:AS)/1000)^(2/3)+_xlfn.XLOOKUP(B57,'Base stats'!B:B,'Base stats'!BA:BA))+_xlfn.XLOOKUP(B57,'Base stats'!B:B,'Base stats'!AY:AY)+0.5,0.5))</f>
        <v>No</v>
      </c>
      <c r="T57" s="7" t="str">
        <f>IF(S57="No","No",MAX(_xlfn.XLOOKUP(_xlfn.XLOOKUP(B57,'Base stats'!B:B,'Base stats'!E:E),Groups!A:A,Groups!Q:Q),MROUND(_xlfn.XLOOKUP(_xlfn.XLOOKUP(B57,'Base stats'!B:B,'Base stats'!E:E),Groups!A:A,Groups!Q:Q)*_xlfn.XLOOKUP(B57,'Base stats'!B:B,'Base stats'!C:C)^0.165,0.05)))</f>
        <v>No</v>
      </c>
      <c r="U57" s="7" t="str">
        <f>IF(S57="No","No",_xlfn.XLOOKUP(_xlfn.XLOOKUP(B57,'Base stats'!B:B,'Base stats'!E:E),Groups!A:A,Groups!R:R))</f>
        <v>No</v>
      </c>
      <c r="V57" s="7" t="str">
        <f>IF(S57="No","No",_xlfn.XLOOKUP(_xlfn.XLOOKUP(B57,'Base stats'!B:B,'Base stats'!E:E),Groups!A:A,Groups!S:S))</f>
        <v>No</v>
      </c>
      <c r="W57" s="7" t="str">
        <f>IF(S57="No","No",_xlfn.XLOOKUP(_xlfn.XLOOKUP(B57,'Base stats'!B:B,'Base stats'!E:E),Groups!A:A,Groups!T:T))</f>
        <v>No</v>
      </c>
      <c r="X57" s="13" t="str">
        <f>IF(_xlfn.XLOOKUP(B57,'Base stats'!B:B,'Base stats'!W:W)="No","No",MROUND((LOG10(_xlfn.XLOOKUP(B57,'Base stats'!B:B,'Base stats'!AU:AU))*(AO57^0.5)+(_xlfn.XLOOKUP(B57,'Base stats'!B:B,'Base stats'!AU:AU)/1000)^(2/3)+_xlfn.XLOOKUP(B57,'Base stats'!B:B,'Base stats'!AZ:AZ))+0.5+IF(_xlfn.XLOOKUP(_xlfn.XLOOKUP(B57,'Base stats'!B:B,'Base stats'!E:E),Groups!A:A,Groups!U:U)&lt;&gt;3,_xlfn.XLOOKUP(B57,'Base stats'!B:B,'Base stats'!BA:BA),0),0.5))</f>
        <v>No</v>
      </c>
      <c r="Y57" s="7" t="str">
        <f>IF(X57="No","No",MAX(_xlfn.XLOOKUP(_xlfn.XLOOKUP(B57,'Base stats'!B:B,'Base stats'!E:E),Groups!A:A,Groups!V:V),MROUND(_xlfn.XLOOKUP(_xlfn.XLOOKUP(B57,'Base stats'!B:B,'Base stats'!E:E),Groups!A:A,Groups!V:V)*_xlfn.XLOOKUP(B57,'Base stats'!B:B,'Base stats'!C:C)^0.165,0.05)))</f>
        <v>No</v>
      </c>
      <c r="Z57" s="7" t="str">
        <f>IF(X57="No","No",_xlfn.XLOOKUP(_xlfn.XLOOKUP(B57,'Base stats'!B:B,'Base stats'!E:E),Groups!A:A,Groups!W:W))</f>
        <v>No</v>
      </c>
      <c r="AA57" s="7" t="str">
        <f>IF(X57="No","No",_xlfn.XLOOKUP(_xlfn.XLOOKUP(B57,'Base stats'!B:B,'Base stats'!E:E),Groups!A:A,Groups!X:X))</f>
        <v>No</v>
      </c>
      <c r="AB57" s="7" t="str">
        <f>IF(X57="No","No",_xlfn.XLOOKUP(_xlfn.XLOOKUP(B57,'Base stats'!B:B,'Base stats'!E:E),Groups!A:A,Groups!Y:Y))</f>
        <v>No</v>
      </c>
      <c r="AC57" s="7" t="str">
        <f>_xlfn.XLOOKUP(Animals!B57,'Base stats'!B:B,'Base stats'!X:X)</f>
        <v>False</v>
      </c>
      <c r="AD57" s="13">
        <f>IF(_xlfn.XLOOKUP(B57,'Base stats'!B:B,'Base stats'!AT:AT)="No","No",MROUND((LOG10(_xlfn.XLOOKUP(B57,'Base stats'!B:B,'Base stats'!AT:AT))*(AO57^0.75)+(_xlfn.XLOOKUP(B57,'Base stats'!B:B,'Base stats'!AT:AT)/1000)^(2/3)+_xlfn.XLOOKUP(B57,'Base stats'!B:B,'Base stats'!AX:AX)+_xlfn.XLOOKUP(B57,'Base stats'!B:B,'Base stats'!BA:BA))+0.5,0.5))</f>
        <v>11.5</v>
      </c>
      <c r="AE57" s="7">
        <f>IF(AD57="No","No",MAX(_xlfn.XLOOKUP(_xlfn.XLOOKUP(B57,'Base stats'!B:B,'Base stats'!E:E),Groups!A:A,Groups!Z:Z),MROUND(_xlfn.XLOOKUP(_xlfn.XLOOKUP(B57,'Base stats'!B:B,'Base stats'!E:E),Groups!A:A,Groups!Z:Z)*_xlfn.XLOOKUP(B57,'Base stats'!B:B,'Base stats'!C:C)^0.165,0.05)))</f>
        <v>1.4500000000000002</v>
      </c>
      <c r="AF57" s="7" t="str">
        <f>IF(AD57="No","No",_xlfn.XLOOKUP(_xlfn.XLOOKUP(B57,'Base stats'!B:B,'Base stats'!E:E),Groups!A:A,Groups!AA:AA))</f>
        <v>Teeth</v>
      </c>
      <c r="AG57" s="7" t="str">
        <f>IF(AD57="No","No",_xlfn.XLOOKUP(_xlfn.XLOOKUP(B57,'Base stats'!B:B,'Base stats'!E:E),Groups!A:A,Groups!AB:AB))</f>
        <v>canines</v>
      </c>
      <c r="AH57" s="7" t="str">
        <f>IF(AD57="No","No",_xlfn.XLOOKUP(_xlfn.XLOOKUP(B57,'Base stats'!B:B,'Base stats'!E:E),Groups!A:A,Groups!AC:AC))</f>
        <v>Bite</v>
      </c>
      <c r="AI57" s="13" t="str">
        <f>IF(_xlfn.XLOOKUP(_xlfn.XLOOKUP(B57,'Base stats'!B:B,'Base stats'!E:E),Groups!A:A,Groups!AD:AD)=0,"No",MROUND((LOG10(_xlfn.XLOOKUP(B57,'Base stats'!B:B,'Base stats'!AS:AS))*(AO57^0.75)+(_xlfn.XLOOKUP(B57,'Base stats'!B:B,'Base stats'!AS:AS)/1000)^(2/3)+_xlfn.XLOOKUP(B57,'Base stats'!B:B,'Base stats'!AY:AY)+_xlfn.XLOOKUP(B57,'Base stats'!B:B,'Base stats'!BA:BA))+0.5,0.5))</f>
        <v>No</v>
      </c>
      <c r="AJ57" s="7" t="str">
        <f>IF(AI57="No","No",MAX(_xlfn.XLOOKUP(_xlfn.XLOOKUP(B57,'Base stats'!B:B,'Base stats'!E:E),Groups!A:A,Groups!AE:AE),MROUND(_xlfn.XLOOKUP(_xlfn.XLOOKUP(B57,'Base stats'!B:B,'Base stats'!E:E),Groups!A:A,Groups!AE:AE)*IF(_xlfn.XLOOKUP(_xlfn.XLOOKUP(B57,'Base stats'!B:B,'Base stats'!E:E),Groups!A:A,Groups!AJ:AJ)="Photonozoa",0.6,1)*_xlfn.XLOOKUP(B57,'Base stats'!B:B,'Base stats'!C:C)^0.165,0.05)))</f>
        <v>No</v>
      </c>
      <c r="AK57" s="7" t="str">
        <f>IF(AI57="No","No",_xlfn.XLOOKUP(_xlfn.XLOOKUP(B57,'Base stats'!B:B,'Base stats'!E:E),Groups!A:A,Groups!AF:AF))</f>
        <v>No</v>
      </c>
      <c r="AL57" s="7" t="str">
        <f>IF(AI57="No","No",_xlfn.XLOOKUP(_xlfn.XLOOKUP(B57,'Base stats'!B:B,'Base stats'!E:E),Groups!A:A,Groups!AG:AG))</f>
        <v>No</v>
      </c>
      <c r="AM57" s="7" t="str">
        <f>IF(AI57="No","No",_xlfn.XLOOKUP(_xlfn.XLOOKUP(B57,'Base stats'!B:B,'Base stats'!E:E),Groups!A:A,Groups!AH:AH))</f>
        <v>No</v>
      </c>
      <c r="AN57" s="2">
        <f t="shared" si="0"/>
        <v>20</v>
      </c>
      <c r="AO57" s="2">
        <f>MROUND(IF(AND(_xlfn.XLOOKUP(B57,'Base stats'!B:B,'Base stats'!C:C)&gt;=0.5,_xlfn.XLOOKUP(B57,'Base stats'!B:B,'Base stats'!C:C)&lt;=0.8),
IF(_xlfn.XLOOKUP(B57,'Base stats'!B:B,'Base stats'!C:C)&lt;0.1,0.05,IF(_xlfn.XLOOKUP(B57,'Base stats'!B:B,'Base stats'!C:C)&lt;=70,(_xlfn.XLOOKUP(B57,'Base stats'!B:B,'Base stats'!C:C)/70)^0.426489913056526,IF(_xlfn.XLOOKUP(B57,'Base stats'!B:B,'Base stats'!C:C)&lt;=400,(_xlfn.XLOOKUP(B57,'Base stats'!B:B,'Base stats'!C:C)/70)^0.572811455315093,IF(_xlfn.XLOOKUP(B57,'Base stats'!B:B,'Base stats'!C:C)&lt;=2000,2.71391647193063*(_xlfn.XLOOKUP(B57,'Base stats'!B:B,'Base stats'!C:C)/400)^0.252459582904293,3.74314280240376*(_xlfn.XLOOKUP(B57,'Base stats'!B:B,'Base stats'!C:C)/2000)^0.357012633876913)))),
IF(_xlfn.XLOOKUP(B57,'Base stats'!B:B,'Base stats'!C:C)&lt;0.1,0.05,IF(_xlfn.XLOOKUP(B57,'Base stats'!B:B,'Base stats'!C:C)&lt;0.4,0.1,IF(_xlfn.XLOOKUP(B57,'Base stats'!B:B,'Base stats'!C:C)&lt;=70,(_xlfn.XLOOKUP(B57,'Base stats'!B:B,'Base stats'!C:C)/70)^0.445823913056526,IF(_xlfn.XLOOKUP(B57,'Base stats'!B:B,'Base stats'!C:C)&lt;=400,(_xlfn.XLOOKUP(B57,'Base stats'!B:B,'Base stats'!C:C)/70)^0.572811455315093,IF(_xlfn.XLOOKUP(B57,'Base stats'!B:B,'Base stats'!C:C)&lt;=2000,2.71391647193063*(_xlfn.XLOOKUP(B57,'Base stats'!B:B,'Base stats'!C:C)/400)^0.252459582904293,3.74314280240376*(_xlfn.XLOOKUP(B57,'Base stats'!B:B,'Base stats'!C:C)/2000)^0.357012633876913)))))),
IF(_xlfn.XLOOKUP(B57,'Base stats'!B:B,'Base stats'!C:C)&lt;0.1,0.05,IF(_xlfn.XLOOKUP(B57,'Base stats'!B:B,'Base stats'!C:C)&lt;=100,0.05,IF(_xlfn.XLOOKUP(B57,'Base stats'!B:B,'Base stats'!C:C)&lt;=250,0.1,IF(_xlfn.XLOOKUP(B57,'Base stats'!B:B,'Base stats'!C:C)&lt;=4000,0.25,0.5)))))</f>
        <v>0.8</v>
      </c>
      <c r="AP57" s="8">
        <f>MROUND(AO57*_xlfn.XLOOKUP(_xlfn.XLOOKUP(B57,'Base stats'!B:B,'Base stats'!E:E),Groups!A:A,Groups!AI:AI)*_xlfn.XLOOKUP(B57,'Base stats'!B:B,'Base stats'!Z:Z),0.05)</f>
        <v>0.95000000000000007</v>
      </c>
      <c r="AQ57" s="8">
        <f>MAX(0.01,MROUND(IF(CC57="True",0.196*(AO57*100*1000)^0.889,IF(_xlfn.XLOOKUP(_xlfn.XLOOKUP(B57,'Base stats'!B:B,'Base stats'!E:E),Groups!A:A,Groups!AJ:AJ)="Bird",10.5*(AO57*100*1000)^0.681,4.82*(AO57*100*1000)^0.734))/(4.82*(1*100*1000)^0.734)/IF(AO57&lt;3.5,2,IF(AO57=3.5,1.5,1.25))*(1+0.132282374779864/(AO57^0.994035016789033+0.00905238001496948)),0.05))</f>
        <v>0.5</v>
      </c>
      <c r="AR57" s="9">
        <f>IFERROR(MROUND(_xlfn.XLOOKUP(B57,'Base stats'!B:B,'Base stats'!H:H)/IF(_xlfn.XLOOKUP(B57,'Base stats'!B:B,'Base stats'!I:I)&lt;&gt;1,(122.5/70),1.2),IF(_xlfn.XLOOKUP(B57,'Base stats'!B:B,'Base stats'!H:H)&gt;=30,5,IF(_xlfn.XLOOKUP(B57,'Base stats'!B:B,'Base stats'!H:H)&gt;=15,3,IF(_xlfn.XLOOKUP(B57,'Base stats'!B:B,'Base stats'!H:H)&gt;=10,2,1)))),"Immortal")</f>
        <v>12</v>
      </c>
      <c r="AS57" s="35">
        <f>IFERROR(IF(OR(_xlfn.XLOOKUP(B57,'Base stats'!B:B,'Base stats'!F:F)="Atypical reproduction",_xlfn.XLOOKUP(B57,'Base stats'!B:B,'Base stats'!F:F)="Lay eggs"),"Lay eggs",MIN(20,MAX(5.5,ROUND(((_xlfn.XLOOKUP(B57,'Base stats'!B:B,'Base stats'!F:F)-25)*(14.5/615) + 5.5)*2,0)/2))),"Unknown")</f>
        <v>6.5</v>
      </c>
      <c r="AT57" s="8">
        <f>IF(_xlfn.XLOOKUP(B57,'Base stats'!B:B,'Base stats'!G:G)="Atypical reproduction","No",IFERROR(MAX(IF(_xlfn.XLOOKUP(B57,'Base stats'!B:B,'Base stats'!G:G)&lt;0.5,0.2,0.3),MROUND(_xlfn.XLOOKUP(B57,'Base stats'!B:B,'Base stats'!G:G)/(365/60),0.2)),"Unknown"))</f>
        <v>0.4</v>
      </c>
      <c r="AU57" s="8">
        <f t="shared" si="1"/>
        <v>0.2</v>
      </c>
      <c r="AV57" s="8">
        <f>IFERROR(IFERROR(MROUND(_xlfn.XLOOKUP(B57,'Base stats'!B:B,'Base stats'!J:J),0.1),"Lay eggs"),"Cannot breed")</f>
        <v>6</v>
      </c>
      <c r="AW57" s="2" t="str">
        <f t="shared" si="2"/>
        <v>true</v>
      </c>
      <c r="AX57" s="2" t="str">
        <f>IF(_xlfn.XLOOKUP(_xlfn.XLOOKUP(Animals!B57,'Base stats'!B:B,'Base stats'!E:E),Groups!A:A,Groups!AK:AK)=1,"true","false")</f>
        <v>false</v>
      </c>
      <c r="AY57" s="25" t="str">
        <f>IF(_xlfn.XLOOKUP(B57,'Base stats'!B:B,'Base stats'!Y:Y)="Liquor","Liquor, CarnivoreAnimalStrict",IF(AND(_xlfn.XLOOKUP(B57,'Base stats'!B:B,'Base stats'!Y:Y)="Carnivore",_xlfn.XLOOKUP(_xlfn.XLOOKUP(B57,'Base stats'!B:B,'Base stats'!E:E),Groups!A:A,Groups!AJ:AJ)="Photonozoa"),"CarnivoreAnimalStrict, OvivoreAnimal",IF(_xlfn.XLOOKUP(B57,'Base stats'!B:B,'Base stats'!Y:Y)="Carnivore","CarnivoreAnimal, OvivoreAnimal",IF(_xlfn.XLOOKUP(B57,'Base stats'!B:B,'Base stats'!Y:Y)="Dendrovore","VegetarianRoughAnimal, DendrovoreAnimal",IF(_xlfn.XLOOKUP(B57,'Base stats'!B:B,'Base stats'!Y:Y)="Herbivore","VegetarianRoughAnimal",IF(_xlfn.XLOOKUP(B57,'Base stats'!B:B,'Base stats'!Y:Y)="OmnivoreRough","OmnivoreRoughAnimal, OvivoreAnimal","OmnivoreAnimal, OvivoreAnimal"))))))</f>
        <v>CarnivoreAnimal, OvivoreAnimal</v>
      </c>
      <c r="AZ57" s="2" t="str">
        <f>IF(_xlfn.XLOOKUP(_xlfn.XLOOKUP(B57,'Base stats'!B:B,'Base stats'!E:E),Groups!A:A,Groups!D:D)=1,MROUND((1-J57)*5+1,2)*IF(J57&lt;=0.4,2,1),"No")</f>
        <v>No</v>
      </c>
      <c r="BA57" s="2" t="str">
        <f>IF(AND(_xlfn.XLOOKUP(B57,'Base stats'!B:B,'Base stats'!AH:AH)="&lt;li&gt;Seal&lt;/li&gt;",G57="Odyssey"),"&lt;li&gt;AEXP_Seal&lt;/li&gt;",_xlfn.XLOOKUP(B57,'Base stats'!B:B,'Base stats'!AH:AH))</f>
        <v>&lt;li&gt;Wolf_Timber&lt;/li&gt;</v>
      </c>
      <c r="BB57" s="2" t="str">
        <f>_xlfn.XLOOKUP(B57,'Base stats'!B:B,'Base stats'!AG:AG)</f>
        <v>Leather_Wolf</v>
      </c>
      <c r="BC57" s="23" t="str">
        <f>_xlfn.XLOOKUP(_xlfn.XLOOKUP(B57,'Base stats'!B:B,'Base stats'!E:E),Groups!A:A,Groups!AL:AL)</f>
        <v>QuadrupedAnimalWithPawsAndTail</v>
      </c>
      <c r="BD57" s="23">
        <f>MIN(1,MROUND(IF(AND(AO57&lt;0.5,_xlfn.XLOOKUP(B57,'Base stats'!B:B,'Base stats'!AA:AA)=0),0,IF(OR(_xlfn.XLOOKUP(Animals!B57,'Base stats'!B:B,'Base stats'!O:O)=2,_xlfn.XLOOKUP(_xlfn.XLOOKUP(B57,'Base stats'!B:B,'Base stats'!E:E),Groups!A:A,Groups!AN:AN)=0),0,_xlfn.XLOOKUP(_xlfn.XLOOKUP(B57,'Base stats'!B:B,'Base stats'!E:E),Groups!A:A,Groups!AN:AN)/IF(_xlfn.XLOOKUP(Animals!B57,'Base stats'!B:B,'Base stats'!O:O)=1,2,1)))+_xlfn.XLOOKUP(B57,'Base stats'!B:B,'Base stats'!AC:AC),0.005))</f>
        <v>0.1</v>
      </c>
      <c r="BE57" s="23">
        <f>MIN(1,MROUND(IF(AND(AO57&lt;0.5,_xlfn.XLOOKUP(B57,'Base stats'!B:B,'Base stats'!AA:AA)=0),0,IF(_xlfn.XLOOKUP(_xlfn.XLOOKUP(B57,'Base stats'!B:B,'Base stats'!E:E),Groups!A:A,Groups!AO:AO)=0,0,_xlfn.XLOOKUP(_xlfn.XLOOKUP(B57,'Base stats'!B:B,'Base stats'!E:E),Groups!A:A,Groups!AO:AO)/IF(_xlfn.XLOOKUP(Animals!B57,'Base stats'!B:B,'Base stats'!O:O)=2,3,1)))+_xlfn.XLOOKUP(B57,'Base stats'!B:B,'Base stats'!AD:AD),0.005))</f>
        <v>0.3</v>
      </c>
      <c r="BF57" s="2" t="str">
        <f>IF(J57&gt;0.3,"No",_xlfn.XLOOKUP(_xlfn.XLOOKUP(Animals!B57,'Base stats'!B:B,'Base stats'!E:E),Groups!A:A,Groups!AP:AP))</f>
        <v>No</v>
      </c>
      <c r="BG57" s="2" t="str">
        <f>IF(AND(J57&lt;=0.65,_xlfn.XLOOKUP(_xlfn.XLOOKUP(Animals!B57,'Base stats'!B:B,'Base stats'!E:E),Groups!A:A,Groups!AP:AP)&lt;&gt;"No",_xlfn.XLOOKUP(_xlfn.XLOOKUP(B57,'Base stats'!B:B,'Base stats'!E:E),Groups!A:A,Groups!D:D)=0),MROUND((80/3)*IF(_xlfn.XLOOKUP(B57,'Base stats'!B:B,'Base stats'!O:O)=2,0.2,AO57) + 24*(1-IF(BF57="No",0,BF57)) + 16/3, 12),"No")</f>
        <v>No</v>
      </c>
      <c r="BH57" s="2">
        <f>IF(AND(_xlfn.XLOOKUP(_xlfn.XLOOKUP(B57,'Base stats'!B:B,'Base stats'!E:E),Groups!A:A,Groups!AQ:AQ)=1,AO57&lt;=0.35),8,12)</f>
        <v>12</v>
      </c>
      <c r="BI57" s="2" t="str">
        <f>IF(_xlfn.XLOOKUP(_xlfn.XLOOKUP(B57,'Base stats'!B:B,'Base stats'!E:E),Groups!A:A,Groups!D:D)=0,_xlfn.XLOOKUP(_xlfn.XLOOKUP(B57,'Base stats'!B:B,'Base stats'!E:E),Groups!A:A,Groups!AR:AR),"None")</f>
        <v>Advanced</v>
      </c>
      <c r="BJ57" s="2" t="str">
        <f>IF(AND(_xlfn.XLOOKUP(_xlfn.XLOOKUP(B57,'Base stats'!B:B,'Base stats'!E:E),Groups!A:A,Groups!AS:AS)=1,OR(_xlfn.XLOOKUP(B57,'Base stats'!B:B,'Base stats'!Y:Y)="Carnivore",_xlfn.XLOOKUP(B57,'Base stats'!B:B,'Base stats'!Y:Y)="Omnivore")),"true","false")</f>
        <v>true</v>
      </c>
      <c r="BK57" s="2">
        <f>IF(BJ57="true",MROUND(IF(AND(AO57&gt;0.5,OR(_xlfn.XLOOKUP(_xlfn.XLOOKUP(B57,'Base stats'!B:B,'Base stats'!E:E),Groups!A:A,Groups!AJ:AJ)="Photonozoa",_xlfn.XLOOKUP(_xlfn.XLOOKUP(B57,'Base stats'!B:B,'Base stats'!E:E),Groups!A:A,Groups!AJ:AJ)="Mammal")),Animals!AO57*1.75*IF(AW57="true",1.5,1),IF(AO57&lt;0.5,Animals!AO57*0.5,Animals!AO57)),IF(AO57&gt;2,0.5,IF(AO57&gt;0.5,0.25,0.1))),"No")</f>
        <v>2</v>
      </c>
      <c r="BL57" s="2">
        <f t="shared" si="3"/>
        <v>1</v>
      </c>
      <c r="BM57" s="25" t="str">
        <f>IF(_xlfn.XLOOKUP(B57,'Base stats'!B:B,'Base stats'!AN:AN)="Standard","No",MROUND((_xlfn.XLOOKUP(B57,'Base stats'!B:B,'Base stats'!AN:AN)/3.6)/I57,0.1))</f>
        <v>No</v>
      </c>
      <c r="BN57" s="25" t="str">
        <f t="shared" si="4"/>
        <v>false</v>
      </c>
      <c r="BO57" s="25" t="str">
        <f>IF(AND(OR(_xlfn.XLOOKUP(B57,'Base stats'!B:B,'Base stats'!Y:Y)="Carnivore",_xlfn.XLOOKUP(B57,'Base stats'!B:B,'Base stats'!Y:Y)="Omnivore",_xlfn.XLOOKUP(B57,'Base stats'!B:B,'Base stats'!Y:Y)="OmnivoreRough"),_xlfn.XLOOKUP(_xlfn.XLOOKUP(B57,'Base stats'!B:B,'Base stats'!E:E),Groups!A:A,Groups!AT:AT)=1),"true","false")</f>
        <v>false</v>
      </c>
      <c r="BP57" s="25" t="str" cm="1">
        <f t="array" ref="BP57">IF(
  _xlfn.TEXTJOIN(", ",TRUE,
    IF(AND(BJ57="true",AO57&gt;0.5,BI57&lt;&gt;"None"),"AttackTarget",""),
    IF(AND(_xlfn.XLOOKUP(_xlfn.XLOOKUP(B57,'Base stats'!B:B,'Base stats'!E:E),Groups!A:A,Groups!AJ:AJ="Mammal"),OR(_xlfn.XLOOKUP(B57,'Base stats'!B:B,'Base stats'!Y:Y)="Omnivore",_xlfn.XLOOKUP(B57,'Base stats'!B:B,'Base stats'!Y:Y)="OmnivoreRough")),"Forage",""),
    IF(BG57&lt;=36,"Comfort",""),
    IF(_xlfn.XLOOKUP(B57,'Base stats'!B:B,'Base stats'!AE:AE)&lt;&gt;"No",_xlfn.XLOOKUP(B57,'Base stats'!B:B,'Base stats'!AE:AE),"")
  ) = "",
  "No",
  _xlfn.TEXTJOIN(", ",TRUE,
    IF(AND(BJ57="true",AO57&gt;0.5,BI57&lt;&gt;"None"),"AttackTarget",""),
    IF(AND(_xlfn.XLOOKUP(_xlfn.XLOOKUP(B57,'Base stats'!B:B,'Base stats'!E:E),Groups!A:A,Groups!AJ:AJ="Mammal"),OR(_xlfn.XLOOKUP(B57,'Base stats'!B:B,'Base stats'!Y:Y)="Omnivore",_xlfn.XLOOKUP(B57,'Base stats'!B:B,'Base stats'!Y:Y)="OmnivoreRough")),"Forage",""),
    IF(BG57&lt;=36,"Comfort",""),
    IF(_xlfn.XLOOKUP(B57,'Base stats'!B:B,'Base stats'!AE:AE)&lt;&gt;"No",_xlfn.XLOOKUP(B57,'Base stats'!B:B,'Base stats'!AE:AE),"")
  )
)</f>
        <v>AttackTarget</v>
      </c>
      <c r="BQ57" s="25" t="str">
        <f>IF(
   AND(
      'Base stats'!AN57="Standard",_xlfn.XLOOKUP(_xlfn.XLOOKUP(B57,'Base stats'!B:B,'Base stats'!E:E),Groups!A:A,Groups!AU:AU)=0,
      OR(
      BO57="True"
      )
   ),
   10,
   IF(
       OR(BM57&lt;&gt;"No",_xlfn.XLOOKUP(_xlfn.XLOOKUP(B57,'Base stats'!B:B,'Base stats'!E:E),Groups!A:A,Groups!AU:AU)=1),
      1,
      "No"
   )
)</f>
        <v>No</v>
      </c>
      <c r="BR57" s="9">
        <f>MROUND((1 + ((0.2*IF(OR(Q57="No",R57="No",R57=0),0,Q57/R57)
+IF(OR(V57="No",S57="No",T57="No"),0,S57/T57*(LEN(V57)-LEN(SUBSTITUTE(V57,",",""))+1))
+IF(OR(X57="No",Y57="No"),0,X57/Y57)
+IF(OR(AD57="No",AE57="No"),0,AD57/AE57)
+IF(OR(AL57="No",AI57="No",AJ57="No"),0,AI57/AJ57*(LEN(AL57)-LEN(SUBSTITUTE(AL57,",",""))+1))
)/(0.2*IF(OR(Q57="No",R57="No",R57=0),0,1)
+IF(OR(V57="No",S57="No",T57="No"),0,LEN(V57)-LEN(SUBSTITUTE(V57,",",""))+1)
+IF(OR(X57="No",Y57="No"),0,1)
+IF(OR(AD57="No",AE57="No"),0,1)
+IF(OR(AL57="No",AI57="No",AJ57="No"),0,LEN(AL57)-LEN(SUBSTITUTE(AL57,",",""))+1))*62%)* 2)*(1 + (AP57 / (IF(_xlfn.XLOOKUP(_xlfn.XLOOKUP(B57,'Base stats'!B:B,'Base stats'!E:E),Groups!A:A,Groups!AJ:AJ)="Photonozoa",0.3,1)) + _xlfn.XLOOKUP(B57,'Base stats'!B:B,'Base stats'!AV:AV) * 1.8) * 2) * 2.5 + 10 + I57 * 2,5)+IF(_xlfn.XLOOKUP(B57,'Base stats'!B:B,'Base stats'!AK:AK)=1,50,0)</f>
        <v>100</v>
      </c>
      <c r="BS57" s="8">
        <f t="shared" si="5"/>
        <v>0.55000000000000004</v>
      </c>
      <c r="BT57" s="8" t="str">
        <f>_xlfn.XLOOKUP(B57,'Base stats'!B:B,'Base stats'!AF:AF)</f>
        <v>2~6</v>
      </c>
      <c r="BU57" s="2" t="str">
        <f>IF(AND(J57&lt;=0.95,OR(_xlfn.XLOOKUP(B57,'Base stats'!B:B,'Base stats'!AK:AK)=1,_xlfn.XLOOKUP(B57,'Base stats'!B:B,'Base stats'!Y:Y)="Carnivore",_xlfn.XLOOKUP(B57,'Base stats'!B:B,'Base stats'!Y:Y)="Omnivore",BE57&gt;0.1)),"true","false")</f>
        <v>true</v>
      </c>
      <c r="BV57" s="2" t="str">
        <f>IF(_xlfn.XLOOKUP(B57,'Base stats'!B:B,'Base stats'!AI:AI)=1,"true","false")</f>
        <v>false</v>
      </c>
      <c r="BW57" s="25" t="str">
        <f>IF(E57="BaseInsect","AnimalInsect",
IF(J57&gt;0.95,"AnimalExotic",
_xlfn.TEXTJOIN(", ",TRUE,
IF(OR(_xlfn.XLOOKUP(B57,'Base stats'!B:B,'Base stats'!AM:AM)=1,AND(_xlfn.XLOOKUP(B57,'Base stats'!B:B,'Base stats'!O:O)=0,_xlfn.XLOOKUP(_xlfn.XLOOKUP(B57,'Base stats'!B:B,'Base stats'!E:E),Groups!A:A,Groups!B:B)&gt;0)),"AnimalUncommon","AnimalCommon"),
IF(AND(_xlfn.XLOOKUP(B57,'Base stats'!B:B,'Base stats'!O:O)=2,_xlfn.XLOOKUP(_xlfn.XLOOKUP(B57,'Base stats'!B:B,'Base stats'!E:E),Groups!A:A,Groups!D:D)=0),"AnimalPet",IF(AND(_xlfn.XLOOKUP(B57,'Base stats'!B:B,'Base stats'!O:O)&lt;&gt;0,_xlfn.XLOOKUP(_xlfn.XLOOKUP(B57,'Base stats'!B:B,'Base stats'!E:E),Groups!A:A,Groups!D:D)&lt;&gt;0),"AnimalFarm","")),
IF(OR(_xlfn.XLOOKUP(B57,'Base stats'!B:B,'Base stats'!AK:AK)=1,AND(BI57&lt;&gt;"None",BR57&gt;=60),ISNUMBER(SEARCH("Attack target",BP57))),"AnimalFighter","")
)))</f>
        <v>AnimalCommon, AnimalFighter</v>
      </c>
      <c r="BX57" s="25" t="str">
        <f>IF(G57="None",TRIM(
SUBSTITUTE(
IF(COUNTIF(Biomes!B$2:B$259,"="&amp;$C57)&gt;0,Biomes!B$1&amp;", ","")&amp;
IF(COUNTIF(Biomes!C$2:C$259,"="&amp;$C57)&gt;0,Biomes!C$1&amp;", ","")&amp;
IF(COUNTIF(Biomes!D$2:D$259,"="&amp;$C57)&gt;0,Biomes!D$1&amp;", ","")&amp;
IF(COUNTIF(Biomes!F$2:F$259,"="&amp;$C57)&gt;0,Biomes!F$1&amp;", ","")&amp;
IF(COUNTIF(Biomes!G$2:G$259,"="&amp;$C57)&gt;0,Biomes!G$1&amp;", ","")&amp;
IF(COUNTIF(Biomes!H$2:H$259,"="&amp;$C57)&gt;0,Biomes!H$1&amp;", ","")&amp;
IF(COUNTIF(Biomes!I$2:I$259,"="&amp;$C57)&gt;0,Biomes!I$1&amp;", ","")&amp;
IF(COUNTIF(Biomes!J$2:J$259,"="&amp;$C57)&gt;0,Biomes!J$1&amp;", ","")&amp;
IF(COUNTIF(Biomes!M$2:M$259,"="&amp;$C57)&gt;0,Biomes!M$1&amp;", ","")&amp;
IF(COUNTIF(Biomes!N$2:N$259,"="&amp;$C57)&gt;0,Biomes!N$1&amp;", ","")&amp;
IF(COUNTIF(Biomes!O$2:O$259,"="&amp;$C57)&gt;0,Biomes!O$1&amp;", ","")&amp;
IF(COUNTIF(Biomes!P$2:P$259,"="&amp;$C57)&gt;0,Biomes!P$1&amp;", ","")&amp;
IF(COUNTIF(Biomes!K$2:K$259,"="&amp;$C57)&gt;0,Biomes!K$1&amp;", ","")&amp;
IF(COUNTIF(Biomes!Q$3:Q$259,"="&amp;$C57)&gt;0,Biomes!Q$1&amp;", ","")&amp;
IF(COUNTIF(Biomes!L$2:L$259,"="&amp;$C57)&gt;0,Biomes!L$1&amp;", ","")&amp;
IF(COUNTIF(Biomes!E$2:E$259,"="&amp;$C57)&gt;0,Biomes!E$1&amp;", ","")&amp;IF(COUNTIF(Biomes!S$2:S$259,"="&amp;$C57)&gt;0,Biomes!S$1&amp;", ","")&amp;
IF(COUNTIF(Biomes!R$2:R$259,"="&amp;$C57)&gt;0,Biomes!R$1&amp;", ",""),", ","")
),_xlfn.XLOOKUP(B57,B:B,BX:BX))</f>
        <v>Tundra</v>
      </c>
      <c r="BY57" s="25" t="str">
        <f>IF(_xlfn.XLOOKUP(B57,'Base stats'!B:B,'Base stats'!AJ:AJ)=1,"true","false")</f>
        <v>false</v>
      </c>
      <c r="BZ57" s="25">
        <f>IF(_xlfn.XLOOKUP(B57,'Base stats'!B:B,'Base stats'!N:N)=1,"No",MAX(0.001,MIN(MROUND(IF(AND(BJ57="True",CC57="False"),POWER(10,3.47*LOG10(_xlfn.XLOOKUP(B57,'Base stats'!B:B,'Base stats'!C:C)*1000)^-0.96),POWER(10,4.15*LOG10(_xlfn.XLOOKUP(B57,'Base stats'!B:B,'Base stats'!C:C)*1000)^-0.73))*IF(_xlfn.XLOOKUP(B57,'Base stats'!B:B,'Base stats'!AK:AK)=1,0.5,1)*IF(_xlfn.XLOOKUP(B57,'Base stats'!B:B,'Base stats'!AM:AM)=1,0.1,1)/100,IF(_xlfn.XLOOKUP(B57,'Base stats'!B:B,'Base stats'!AM:AM)=1,0.001,0.025)),0.5)))</f>
        <v>7.5000000000000011E-2</v>
      </c>
      <c r="CA57" s="25" t="str">
        <f>IF(P57="Standard","No",MAX(0.001,MIN(MROUND(IF(AND(BJ57="True",CC57="False"),POWER(10,3.47*LOG10(_xlfn.XLOOKUP(B57,'Base stats'!B:B,'Base stats'!C:C)*1000)^-0.96),POWER(10,4.15*LOG10(_xlfn.XLOOKUP(B57,'Base stats'!B:B,'Base stats'!C:C)*1000)^-0.73))*IF(_xlfn.XLOOKUP(B57,'Base stats'!B:B,'Base stats'!AM:AM)=1,0.1,1)*_xlfn.XLOOKUP(B57,'Base stats'!B:B,'Base stats'!R:R)/100,IF(_xlfn.XLOOKUP(B57,'Base stats'!B:B,'Base stats'!AM:AM)=1,0.001,0.025)),0.5)))</f>
        <v>No</v>
      </c>
      <c r="CB57" s="25" t="str">
        <f>IF(_xlfn.XLOOKUP(_xlfn.XLOOKUP(B57,'Base stats'!B:B,'Base stats'!E:E),Groups!A:A,Groups!AJ:AJ)="Mammal","True","False")</f>
        <v>True</v>
      </c>
      <c r="CC57" s="25" t="str">
        <f>IF(OR(_xlfn.XLOOKUP(_xlfn.XLOOKUP(B57,'Base stats'!B:B,'Base stats'!E:E),Groups!A:A,Groups!AJ:AJ)="Reptile",_xlfn.XLOOKUP(_xlfn.XLOOKUP(B57,'Base stats'!B:B,'Base stats'!E:E),Groups!A:A,Groups!AJ:AJ)="Amphibian",_xlfn.XLOOKUP(_xlfn.XLOOKUP(B57,'Base stats'!B:B,'Base stats'!E:E),Groups!A:A,Groups!AJ:AJ)="Invertebrate"),"True","False")</f>
        <v>False</v>
      </c>
      <c r="CD57" s="25" t="str">
        <f t="shared" si="6"/>
        <v>False</v>
      </c>
      <c r="CE57" s="25" t="str">
        <f>IF(_xlfn.XLOOKUP(_xlfn.XLOOKUP(B57,'Base stats'!B:B,'Base stats'!E:E),Groups!A:A,Groups!AX:AX),"True","False")</f>
        <v>False</v>
      </c>
      <c r="CF57" s="25" t="str">
        <f>IF(_xlfn.XLOOKUP(_xlfn.XLOOKUP(B57,'Base stats'!B:B,'Base stats'!E:E),Groups!A:A,Groups!AY:AY),"True","False")</f>
        <v>False</v>
      </c>
      <c r="CG57" s="25" t="str">
        <f>IF(_xlfn.XLOOKUP(_xlfn.XLOOKUP(B57,'Base stats'!B:B,'Base stats'!E:E),Groups!A:A,Groups!AW:AW),"True","False")</f>
        <v>False</v>
      </c>
      <c r="CH57" s="25" t="str">
        <f>IF(
OR(
_xlfn.XLOOKUP(_xlfn.XLOOKUP(B57,'Base stats'!B:B,'Base stats'!E:E),Groups!A:A,Groups!AZ:AZ)=0,
AND(
_xlfn.XLOOKUP(B57,'Base stats'!B:B,'Base stats'!Y:Y)&lt;&gt;"Carnivore",
_xlfn.XLOOKUP(B57,'Base stats'!B:B,'Base stats'!Y:Y)&lt;&gt;"Omnivore",
_xlfn.XLOOKUP(B57,'Base stats'!B:B,'Base stats'!Y:Y)&lt;&gt;"OmnivoreRough"
)
),
"No",
IF(
_xlfn.XLOOKUP(_xlfn.XLOOKUP(B57,'Base stats'!B:B,'Base stats'!E:E),Groups!A:A,Groups!AZ:AZ)=1,
"Flesh",
IF(
_xlfn.XLOOKUP(_xlfn.XLOOKUP(B57,'Base stats'!B:B,'Base stats'!E:E),Groups!A:A,Groups!AZ:AZ)=2,
"Bone",
""
)
)
)</f>
        <v>No</v>
      </c>
      <c r="CI57" s="25" t="str">
        <f>IF(_xlfn.XLOOKUP(_xlfn.XLOOKUP(B57,'Base stats'!B:B,'Base stats'!E:E),Groups!A:A,Groups!BB:BB),"True","False")</f>
        <v>True</v>
      </c>
      <c r="CJ57" s="25" t="str">
        <f>IF(_xlfn.XLOOKUP(_xlfn.XLOOKUP(B57,'Base stats'!B:B,'Base stats'!E:E),Groups!A:A,Groups!BA:BA),"True","False")</f>
        <v>False</v>
      </c>
    </row>
    <row r="58" spans="1:88" ht="16.5" thickTop="1" thickBot="1" x14ac:dyDescent="0.3">
      <c r="A58" s="26" t="str">
        <f>_xlfn.XLOOKUP(B58,'Base stats'!B:B,'Base stats'!A:A)</f>
        <v>Red fox</v>
      </c>
      <c r="B58" s="6" t="s">
        <v>66</v>
      </c>
      <c r="C58" s="28" t="s">
        <v>735</v>
      </c>
      <c r="D58" s="28" t="s">
        <v>45</v>
      </c>
      <c r="E58" s="28" t="s">
        <v>736</v>
      </c>
      <c r="F58" s="28" t="s">
        <v>737</v>
      </c>
      <c r="G58" s="28" t="s">
        <v>673</v>
      </c>
      <c r="H58" s="2">
        <f>MROUND((
  (IF(AND(_xlfn.XLOOKUP(B58,'Base stats'!B:B,'Base stats'!AL:AL)=0,BI58="None",_xlfn.XLOOKUP(_xlfn.XLOOKUP(B58,'Base stats'!B:B,'Base stats'!E:E),Groups!A:A,Groups!B:B)=0), (18 + BR58 * 2.7) * 0.5,
    IF(AND(_xlfn.XLOOKUP(B58,'Base stats'!B:B,'Base stats'!AL:AL)=0,OR(AO58&lt;0.55,AND(BI58="Intermediate",_xlfn.XLOOKUP(_xlfn.XLOOKUP(B58,'Base stats'!B:B,'Base stats'!E:E),Groups!A:A,Groups!B:B)&lt;2))), (18 + BR58 * 2.7),
      IF(OR(BI58="Advanced",_xlfn.XLOOKUP(B58,'Base stats'!B:B,'Base stats'!AL:AL)=1,_xlfn.XLOOKUP(_xlfn.XLOOKUP(B58,'Base stats'!B:B,'Base stats'!E:E),Groups!A:A,Groups!B:B)=2), (18 + BR58 * 2.7) + 250, (18 + BR58 * 2.7))
    )
  ))
  + AO58 * 80
  + IF(COUNTIF(EggMilk!K$2:K$998, A58) &gt; 0, 125, 0)
  + IF(COUNTIF(EggMilk!P$2:P$998, A58) &gt; 0, 90, 0)
  + IF(COUNTIF(EggMilk!A$2:A$998, A58) &gt; 0, 90, 0)
)
* (0.8 + 0.4 * J58)
* 0.75,25)</f>
        <v>175</v>
      </c>
      <c r="I58" s="2">
        <f>MROUND(ROUNDDOWN(_xlfn.XLOOKUP(B58,'Base stats'!B:B,'Base stats'!L:L)/3.6/(23.3/11),1),0.5)</f>
        <v>6</v>
      </c>
      <c r="J58" s="2">
        <f>IF(OR(_xlfn.XLOOKUP(B58,'Base stats'!B:B,'Base stats'!AB:AB)=1,_xlfn.XLOOKUP(_xlfn.XLOOKUP(B58,'Base stats'!B:B,'Base stats'!E:E),Groups!A:A,Groups!C:C)="Untamable"),1,IF(_xlfn.XLOOKUP(B58,'Base stats'!B:B,'Base stats'!AL:AL)=1,0.99,MIN(MROUND((1-0.6282*EXP(-0.459*AO58))*_xlfn.XLOOKUP(_xlfn.XLOOKUP(B58,'Base stats'!B:B,'Base stats'!E:E),Groups!A:A,Groups!C:C)*IF(_xlfn.XLOOKUP(B58,'Base stats'!B:B,'Base stats'!O:O)=1,0.5,IF(_xlfn.XLOOKUP(B58,'Base stats'!B:B,'Base stats'!O:O)=2,0,1)),0.05),IF(AO58&gt;3.5,0.985,0.95))))</f>
        <v>0.60000000000000009</v>
      </c>
      <c r="K58" s="2">
        <f>ROUNDUP(AO58*_xlfn.XLOOKUP(_xlfn.XLOOKUP(B58,'Base stats'!B:B,'Base stats'!E:E),Groups!A:A,Groups!E:E),0)</f>
        <v>1</v>
      </c>
      <c r="L58" s="2">
        <f>IF(OR(_xlfn.XLOOKUP(_xlfn.XLOOKUP(B58,'Base stats'!B:B,'Base stats'!E:E),Groups!A:A,Groups!F:F)=2,ISNUMBER(SEARCH("SeaIce",BX58)),ISNUMBER(SEARCH("IceSheet",BX58))),-50,IF(OR(ISNUMBER(SEARCH("GlacialPlain",BX58)),ISNUMBER(SEARCH("Tundra",BX58))),-40,IF(OR(ISNUMBER(SEARCH("Alpine",BX58)),ISNUMBER(SEARCH("BorealForest",BX58)),ISNUMBER(SEARCH("ColdBog",BX58))),-30,IF(OR(ISNUMBER(SEARCH("TemperateForest",BX58)),ISNUMBER(SEARCH("TemperateSwamp",BX58))),-20,IF(_xlfn.XLOOKUP(_xlfn.XLOOKUP(B58,'Base stats'!B:B,'Base stats'!E:E),Groups!A:A,Groups!F:F)=1,-15,IF(OR(ISNUMBER(SEARCH("Desert",BX58)),ISNUMBER(SEARCH("ExtremeDesert",BX58))),-10,IF(OR(ISNUMBER(SEARCH("Grasslands",BX58)),ISNUMBER(SEARCH("TropicalRainforest",BX58)),ISNUMBER(SEARCH("TropicalSwamp",BX58))),10,0)))))))-IF(CC58="False",MIN(IFERROR(MAX(MROUND(LOG10(_xlfn.XLOOKUP(B58,'Base stats'!B:B,'Base stats'!C:C)^(2/3))*10,5),5),5),30))-_xlfn.XLOOKUP(B58,'Base stats'!B:B,'Base stats'!P:P)+IF(CC58="True",5,0)</f>
        <v>-45</v>
      </c>
      <c r="M58" s="2">
        <f>IF(OR(_xlfn.XLOOKUP(_xlfn.XLOOKUP(B58,'Base stats'!B:B,'Base stats'!E:E),Groups!A:A,Groups!G:G)=2,ISNUMBER(SEARCH("Desert",BX58)),ISNUMBER(SEARCH("ExtremeDesert",BX58)),ISNUMBER(SEARCH("LavaField",BX58))),50,IF(ISNUMBER(SEARCH("Grasslands",BX58)),45,IF(OR(_xlfn.XLOOKUP(_xlfn.XLOOKUP(B58,'Base stats'!B:B,'Base stats'!E:E),Groups!A:A,Groups!G:G)=1,ISNUMBER(SEARCH("TropicalRainforest",BX58)),ISNUMBER(SEARCH("TropicalSwamp",BX58))),40,IF(OR(ISNUMBER(SEARCH("TemperateForest",BX58)),ISNUMBER(SEARCH("TemperateSwamp",BX58))),35,IF(OR(ISNUMBER(SEARCH("Alpine",BX58)),ISNUMBER(SEARCH("BorealForest",BX58)),ISNUMBER(SEARCH("ColdBog",BX58))),30,IF(ISNUMBER(OR(ISNUMBER(SEARCH("GlacialPlain",BX58)),SEARCH("Tundra",BX58))),25,IF(OR(ISNUMBER(SEARCH("SeaIce",BX58)),ISNUMBER(SEARCH("IceSheet",BX58)),ISNUMBER(SEARCH("TropicalSwamp",BX58))),10,35)))))))+_xlfn.XLOOKUP(B58,'Base stats'!B:B,'Base stats'!Q:Q)</f>
        <v>35</v>
      </c>
      <c r="N58" s="8" t="str">
        <f>IF(
_xlfn.XLOOKUP(
_xlfn.XLOOKUP(B58,'Base stats'!B:B,'Base stats'!E:E),
Groups!A:A,
Groups!L:L
)=1,
MIN(
MROUND(
IF(
_xlfn.XLOOKUP(B58,'Animals CE'!B:B,'Animals CE'!Z:Z)&lt;=1.5,
_xlfn.XLOOKUP(B58,'Animals CE'!B:B,'Animals CE'!Z:Z)/2+0.05,
0.8+
(_xlfn.XLOOKUP(B58,'Animals CE'!B:B,'Animals CE'!Z:Z)-1.5)
*0.02
),
0.05
),
200%
),
"No"
)</f>
        <v>No</v>
      </c>
      <c r="O58" s="8" t="str">
        <f>IF(
_xlfn.XLOOKUP(
_xlfn.XLOOKUP(B58,'Base stats'!B:B,'Base stats'!E:E),
Groups!A:A,
Groups!L:L
)=1,
MIN(
MROUND(
IF(
_xlfn.XLOOKUP(B58,'Animals CE'!B:B,'Animals CE'!AA:AA)&lt;=1.5,
_xlfn.XLOOKUP(B58,'Animals CE'!B:B,'Animals CE'!AA:AA)/2+0.05,
0.8+
(_xlfn.XLOOKUP(B58,'Animals CE'!B:B,'Animals CE'!AA:AA)-1.5)
*0.02
),
0.05
),
200%
),
"No"
)</f>
        <v>No</v>
      </c>
      <c r="P58" s="2" t="str">
        <f>_xlfn.XLOOKUP(B58,'Base stats'!B:B,'Base stats'!R:R)</f>
        <v>Standard</v>
      </c>
      <c r="Q58" s="13">
        <f>MROUND((LOG10(_xlfn.XLOOKUP(B58,'Base stats'!B:B,'Base stats'!AR:AR))*(AO58^0.5)+(_xlfn.XLOOKUP(B58,'Base stats'!B:B,'Base stats'!AR:AR)/1000)^(2/3)+_xlfn.XLOOKUP(B58,'Base stats'!B:B,'Base stats'!BA:BA)/2)+0.5,0.5)</f>
        <v>3</v>
      </c>
      <c r="R58" s="7">
        <f>IF(Q58="No","No",MAX(1,MROUND(_xlfn.XLOOKUP(B58,'Base stats'!B:B,'Base stats'!C:C)^0.165,0.05)))</f>
        <v>1.4000000000000001</v>
      </c>
      <c r="S58" s="13" t="str">
        <f>IF(_xlfn.XLOOKUP(_xlfn.XLOOKUP(B58,'Base stats'!B:B,'Base stats'!E:E),Groups!A:A,Groups!P:P)=0,"No",MROUND((LOG10(_xlfn.XLOOKUP(B58,'Base stats'!B:B,'Base stats'!AS:AS))*(AO58^0.5)+(_xlfn.XLOOKUP(B58,'Base stats'!B:B,'Base stats'!AS:AS)/1000)^(2/3)+_xlfn.XLOOKUP(B58,'Base stats'!B:B,'Base stats'!BA:BA))+_xlfn.XLOOKUP(B58,'Base stats'!B:B,'Base stats'!AY:AY)+0.5,0.5))</f>
        <v>No</v>
      </c>
      <c r="T58" s="7" t="str">
        <f>IF(S58="No","No",MAX(_xlfn.XLOOKUP(_xlfn.XLOOKUP(B58,'Base stats'!B:B,'Base stats'!E:E),Groups!A:A,Groups!Q:Q),MROUND(_xlfn.XLOOKUP(_xlfn.XLOOKUP(B58,'Base stats'!B:B,'Base stats'!E:E),Groups!A:A,Groups!Q:Q)*_xlfn.XLOOKUP(B58,'Base stats'!B:B,'Base stats'!C:C)^0.165,0.05)))</f>
        <v>No</v>
      </c>
      <c r="U58" s="7" t="str">
        <f>IF(S58="No","No",_xlfn.XLOOKUP(_xlfn.XLOOKUP(B58,'Base stats'!B:B,'Base stats'!E:E),Groups!A:A,Groups!R:R))</f>
        <v>No</v>
      </c>
      <c r="V58" s="7" t="str">
        <f>IF(S58="No","No",_xlfn.XLOOKUP(_xlfn.XLOOKUP(B58,'Base stats'!B:B,'Base stats'!E:E),Groups!A:A,Groups!S:S))</f>
        <v>No</v>
      </c>
      <c r="W58" s="7" t="str">
        <f>IF(S58="No","No",_xlfn.XLOOKUP(_xlfn.XLOOKUP(B58,'Base stats'!B:B,'Base stats'!E:E),Groups!A:A,Groups!T:T))</f>
        <v>No</v>
      </c>
      <c r="X58" s="13" t="str">
        <f>IF(_xlfn.XLOOKUP(B58,'Base stats'!B:B,'Base stats'!W:W)="No","No",MROUND((LOG10(_xlfn.XLOOKUP(B58,'Base stats'!B:B,'Base stats'!AU:AU))*(AO58^0.5)+(_xlfn.XLOOKUP(B58,'Base stats'!B:B,'Base stats'!AU:AU)/1000)^(2/3)+_xlfn.XLOOKUP(B58,'Base stats'!B:B,'Base stats'!AZ:AZ))+0.5+IF(_xlfn.XLOOKUP(_xlfn.XLOOKUP(B58,'Base stats'!B:B,'Base stats'!E:E),Groups!A:A,Groups!U:U)&lt;&gt;3,_xlfn.XLOOKUP(B58,'Base stats'!B:B,'Base stats'!BA:BA),0),0.5))</f>
        <v>No</v>
      </c>
      <c r="Y58" s="7" t="str">
        <f>IF(X58="No","No",MAX(_xlfn.XLOOKUP(_xlfn.XLOOKUP(B58,'Base stats'!B:B,'Base stats'!E:E),Groups!A:A,Groups!V:V),MROUND(_xlfn.XLOOKUP(_xlfn.XLOOKUP(B58,'Base stats'!B:B,'Base stats'!E:E),Groups!A:A,Groups!V:V)*_xlfn.XLOOKUP(B58,'Base stats'!B:B,'Base stats'!C:C)^0.165,0.05)))</f>
        <v>No</v>
      </c>
      <c r="Z58" s="7" t="str">
        <f>IF(X58="No","No",_xlfn.XLOOKUP(_xlfn.XLOOKUP(B58,'Base stats'!B:B,'Base stats'!E:E),Groups!A:A,Groups!W:W))</f>
        <v>No</v>
      </c>
      <c r="AA58" s="7" t="str">
        <f>IF(X58="No","No",_xlfn.XLOOKUP(_xlfn.XLOOKUP(B58,'Base stats'!B:B,'Base stats'!E:E),Groups!A:A,Groups!X:X))</f>
        <v>No</v>
      </c>
      <c r="AB58" s="7" t="str">
        <f>IF(X58="No","No",_xlfn.XLOOKUP(_xlfn.XLOOKUP(B58,'Base stats'!B:B,'Base stats'!E:E),Groups!A:A,Groups!Y:Y))</f>
        <v>No</v>
      </c>
      <c r="AC58" s="7" t="str">
        <f>_xlfn.XLOOKUP(Animals!B58,'Base stats'!B:B,'Base stats'!X:X)</f>
        <v>False</v>
      </c>
      <c r="AD58" s="13">
        <f>IF(_xlfn.XLOOKUP(B58,'Base stats'!B:B,'Base stats'!AT:AT)="No","No",MROUND((LOG10(_xlfn.XLOOKUP(B58,'Base stats'!B:B,'Base stats'!AT:AT))*(AO58^0.75)+(_xlfn.XLOOKUP(B58,'Base stats'!B:B,'Base stats'!AT:AT)/1000)^(2/3)+_xlfn.XLOOKUP(B58,'Base stats'!B:B,'Base stats'!AX:AX)+_xlfn.XLOOKUP(B58,'Base stats'!B:B,'Base stats'!BA:BA))+0.5,0.5))</f>
        <v>6.5</v>
      </c>
      <c r="AE58" s="7">
        <f>IF(AD58="No","No",MAX(_xlfn.XLOOKUP(_xlfn.XLOOKUP(B58,'Base stats'!B:B,'Base stats'!E:E),Groups!A:A,Groups!Z:Z),MROUND(_xlfn.XLOOKUP(_xlfn.XLOOKUP(B58,'Base stats'!B:B,'Base stats'!E:E),Groups!A:A,Groups!Z:Z)*_xlfn.XLOOKUP(B58,'Base stats'!B:B,'Base stats'!C:C)^0.165,0.05)))</f>
        <v>1.1000000000000001</v>
      </c>
      <c r="AF58" s="7" t="str">
        <f>IF(AD58="No","No",_xlfn.XLOOKUP(_xlfn.XLOOKUP(B58,'Base stats'!B:B,'Base stats'!E:E),Groups!A:A,Groups!AA:AA))</f>
        <v>Teeth</v>
      </c>
      <c r="AG58" s="7" t="str">
        <f>IF(AD58="No","No",_xlfn.XLOOKUP(_xlfn.XLOOKUP(B58,'Base stats'!B:B,'Base stats'!E:E),Groups!A:A,Groups!AB:AB))</f>
        <v>canines</v>
      </c>
      <c r="AH58" s="7" t="str">
        <f>IF(AD58="No","No",_xlfn.XLOOKUP(_xlfn.XLOOKUP(B58,'Base stats'!B:B,'Base stats'!E:E),Groups!A:A,Groups!AC:AC))</f>
        <v>Bite</v>
      </c>
      <c r="AI58" s="13" t="str">
        <f>IF(_xlfn.XLOOKUP(_xlfn.XLOOKUP(B58,'Base stats'!B:B,'Base stats'!E:E),Groups!A:A,Groups!AD:AD)=0,"No",MROUND((LOG10(_xlfn.XLOOKUP(B58,'Base stats'!B:B,'Base stats'!AS:AS))*(AO58^0.75)+(_xlfn.XLOOKUP(B58,'Base stats'!B:B,'Base stats'!AS:AS)/1000)^(2/3)+_xlfn.XLOOKUP(B58,'Base stats'!B:B,'Base stats'!AY:AY)+_xlfn.XLOOKUP(B58,'Base stats'!B:B,'Base stats'!BA:BA))+0.5,0.5))</f>
        <v>No</v>
      </c>
      <c r="AJ58" s="7" t="str">
        <f>IF(AI58="No","No",MAX(_xlfn.XLOOKUP(_xlfn.XLOOKUP(B58,'Base stats'!B:B,'Base stats'!E:E),Groups!A:A,Groups!AE:AE),MROUND(_xlfn.XLOOKUP(_xlfn.XLOOKUP(B58,'Base stats'!B:B,'Base stats'!E:E),Groups!A:A,Groups!AE:AE)*IF(_xlfn.XLOOKUP(_xlfn.XLOOKUP(B58,'Base stats'!B:B,'Base stats'!E:E),Groups!A:A,Groups!AJ:AJ)="Photonozoa",0.6,1)*_xlfn.XLOOKUP(B58,'Base stats'!B:B,'Base stats'!C:C)^0.165,0.05)))</f>
        <v>No</v>
      </c>
      <c r="AK58" s="7" t="str">
        <f>IF(AI58="No","No",_xlfn.XLOOKUP(_xlfn.XLOOKUP(B58,'Base stats'!B:B,'Base stats'!E:E),Groups!A:A,Groups!AF:AF))</f>
        <v>No</v>
      </c>
      <c r="AL58" s="7" t="str">
        <f>IF(AI58="No","No",_xlfn.XLOOKUP(_xlfn.XLOOKUP(B58,'Base stats'!B:B,'Base stats'!E:E),Groups!A:A,Groups!AG:AG))</f>
        <v>No</v>
      </c>
      <c r="AM58" s="7" t="str">
        <f>IF(AI58="No","No",_xlfn.XLOOKUP(_xlfn.XLOOKUP(B58,'Base stats'!B:B,'Base stats'!E:E),Groups!A:A,Groups!AH:AH))</f>
        <v>No</v>
      </c>
      <c r="AN58" s="2">
        <f t="shared" si="0"/>
        <v>15</v>
      </c>
      <c r="AO58" s="2">
        <f>MROUND(IF(AND(_xlfn.XLOOKUP(B58,'Base stats'!B:B,'Base stats'!C:C)&gt;=0.5,_xlfn.XLOOKUP(B58,'Base stats'!B:B,'Base stats'!C:C)&lt;=0.8),
IF(_xlfn.XLOOKUP(B58,'Base stats'!B:B,'Base stats'!C:C)&lt;0.1,0.05,IF(_xlfn.XLOOKUP(B58,'Base stats'!B:B,'Base stats'!C:C)&lt;=70,(_xlfn.XLOOKUP(B58,'Base stats'!B:B,'Base stats'!C:C)/70)^0.426489913056526,IF(_xlfn.XLOOKUP(B58,'Base stats'!B:B,'Base stats'!C:C)&lt;=400,(_xlfn.XLOOKUP(B58,'Base stats'!B:B,'Base stats'!C:C)/70)^0.572811455315093,IF(_xlfn.XLOOKUP(B58,'Base stats'!B:B,'Base stats'!C:C)&lt;=2000,2.71391647193063*(_xlfn.XLOOKUP(B58,'Base stats'!B:B,'Base stats'!C:C)/400)^0.252459582904293,3.74314280240376*(_xlfn.XLOOKUP(B58,'Base stats'!B:B,'Base stats'!C:C)/2000)^0.357012633876913)))),
IF(_xlfn.XLOOKUP(B58,'Base stats'!B:B,'Base stats'!C:C)&lt;0.1,0.05,IF(_xlfn.XLOOKUP(B58,'Base stats'!B:B,'Base stats'!C:C)&lt;0.4,0.1,IF(_xlfn.XLOOKUP(B58,'Base stats'!B:B,'Base stats'!C:C)&lt;=70,(_xlfn.XLOOKUP(B58,'Base stats'!B:B,'Base stats'!C:C)/70)^0.445823913056526,IF(_xlfn.XLOOKUP(B58,'Base stats'!B:B,'Base stats'!C:C)&lt;=400,(_xlfn.XLOOKUP(B58,'Base stats'!B:B,'Base stats'!C:C)/70)^0.572811455315093,IF(_xlfn.XLOOKUP(B58,'Base stats'!B:B,'Base stats'!C:C)&lt;=2000,2.71391647193063*(_xlfn.XLOOKUP(B58,'Base stats'!B:B,'Base stats'!C:C)/400)^0.252459582904293,3.74314280240376*(_xlfn.XLOOKUP(B58,'Base stats'!B:B,'Base stats'!C:C)/2000)^0.357012633876913)))))),
IF(_xlfn.XLOOKUP(B58,'Base stats'!B:B,'Base stats'!C:C)&lt;0.1,0.05,IF(_xlfn.XLOOKUP(B58,'Base stats'!B:B,'Base stats'!C:C)&lt;=100,0.05,IF(_xlfn.XLOOKUP(B58,'Base stats'!B:B,'Base stats'!C:C)&lt;=250,0.1,IF(_xlfn.XLOOKUP(B58,'Base stats'!B:B,'Base stats'!C:C)&lt;=4000,0.25,0.5)))))</f>
        <v>0.4</v>
      </c>
      <c r="AP58" s="8">
        <f>MROUND(AO58*_xlfn.XLOOKUP(_xlfn.XLOOKUP(B58,'Base stats'!B:B,'Base stats'!E:E),Groups!A:A,Groups!AI:AI)*_xlfn.XLOOKUP(B58,'Base stats'!B:B,'Base stats'!Z:Z),0.05)</f>
        <v>0.5</v>
      </c>
      <c r="AQ58" s="8">
        <f>MAX(0.01,MROUND(IF(CC58="True",0.196*(AO58*100*1000)^0.889,IF(_xlfn.XLOOKUP(_xlfn.XLOOKUP(B58,'Base stats'!B:B,'Base stats'!E:E),Groups!A:A,Groups!AJ:AJ)="Bird",10.5*(AO58*100*1000)^0.681,4.82*(AO58*100*1000)^0.734))/(4.82*(1*100*1000)^0.734)/IF(AO58&lt;3.5,2,IF(AO58=3.5,1.5,1.25))*(1+0.132282374779864/(AO58^0.994035016789033+0.00905238001496948)),0.05))</f>
        <v>0.35000000000000003</v>
      </c>
      <c r="AR58" s="9">
        <f>IFERROR(MROUND(_xlfn.XLOOKUP(B58,'Base stats'!B:B,'Base stats'!H:H)/IF(_xlfn.XLOOKUP(B58,'Base stats'!B:B,'Base stats'!I:I)&lt;&gt;1,(122.5/70),1.2),IF(_xlfn.XLOOKUP(B58,'Base stats'!B:B,'Base stats'!H:H)&gt;=30,5,IF(_xlfn.XLOOKUP(B58,'Base stats'!B:B,'Base stats'!H:H)&gt;=15,3,IF(_xlfn.XLOOKUP(B58,'Base stats'!B:B,'Base stats'!H:H)&gt;=10,2,1)))),"Immortal")</f>
        <v>12</v>
      </c>
      <c r="AS58" s="35">
        <f>IFERROR(IF(OR(_xlfn.XLOOKUP(B58,'Base stats'!B:B,'Base stats'!F:F)="Atypical reproduction",_xlfn.XLOOKUP(B58,'Base stats'!B:B,'Base stats'!F:F)="Lay eggs"),"Lay eggs",MIN(20,MAX(5.5,ROUND(((_xlfn.XLOOKUP(B58,'Base stats'!B:B,'Base stats'!F:F)-25)*(14.5/615) + 5.5)*2,0)/2))),"Unknown")</f>
        <v>6</v>
      </c>
      <c r="AT58" s="8">
        <f>IF(_xlfn.XLOOKUP(B58,'Base stats'!B:B,'Base stats'!G:G)="Atypical reproduction","No",IFERROR(MAX(IF(_xlfn.XLOOKUP(B58,'Base stats'!B:B,'Base stats'!G:G)&lt;0.5,0.2,0.3),MROUND(_xlfn.XLOOKUP(B58,'Base stats'!B:B,'Base stats'!G:G)/(365/60),0.2)),"Unknown"))</f>
        <v>0.3</v>
      </c>
      <c r="AU58" s="8">
        <f t="shared" si="1"/>
        <v>0.15000000000000002</v>
      </c>
      <c r="AV58" s="8">
        <f>IFERROR(IFERROR(MROUND(_xlfn.XLOOKUP(B58,'Base stats'!B:B,'Base stats'!J:J),0.1),"Lay eggs"),"Cannot breed")</f>
        <v>5</v>
      </c>
      <c r="AW58" s="2" t="str">
        <f t="shared" si="2"/>
        <v>false</v>
      </c>
      <c r="AX58" s="2" t="str">
        <f>IF(_xlfn.XLOOKUP(_xlfn.XLOOKUP(Animals!B58,'Base stats'!B:B,'Base stats'!E:E),Groups!A:A,Groups!AK:AK)=1,"true","false")</f>
        <v>false</v>
      </c>
      <c r="AY58" s="25" t="str">
        <f>IF(_xlfn.XLOOKUP(B58,'Base stats'!B:B,'Base stats'!Y:Y)="Liquor","Liquor, CarnivoreAnimalStrict",IF(AND(_xlfn.XLOOKUP(B58,'Base stats'!B:B,'Base stats'!Y:Y)="Carnivore",_xlfn.XLOOKUP(_xlfn.XLOOKUP(B58,'Base stats'!B:B,'Base stats'!E:E),Groups!A:A,Groups!AJ:AJ)="Photonozoa"),"CarnivoreAnimalStrict, OvivoreAnimal",IF(_xlfn.XLOOKUP(B58,'Base stats'!B:B,'Base stats'!Y:Y)="Carnivore","CarnivoreAnimal, OvivoreAnimal",IF(_xlfn.XLOOKUP(B58,'Base stats'!B:B,'Base stats'!Y:Y)="Dendrovore","VegetarianRoughAnimal, DendrovoreAnimal",IF(_xlfn.XLOOKUP(B58,'Base stats'!B:B,'Base stats'!Y:Y)="Herbivore","VegetarianRoughAnimal",IF(_xlfn.XLOOKUP(B58,'Base stats'!B:B,'Base stats'!Y:Y)="OmnivoreRough","OmnivoreRoughAnimal, OvivoreAnimal","OmnivoreAnimal, OvivoreAnimal"))))))</f>
        <v>CarnivoreAnimal, OvivoreAnimal</v>
      </c>
      <c r="AZ58" s="2" t="str">
        <f>IF(_xlfn.XLOOKUP(_xlfn.XLOOKUP(B58,'Base stats'!B:B,'Base stats'!E:E),Groups!A:A,Groups!D:D)=1,MROUND((1-J58)*5+1,2)*IF(J58&lt;=0.4,2,1),"No")</f>
        <v>No</v>
      </c>
      <c r="BA58" s="2" t="str">
        <f>IF(AND(_xlfn.XLOOKUP(B58,'Base stats'!B:B,'Base stats'!AH:AH)="&lt;li&gt;Seal&lt;/li&gt;",G58="Odyssey"),"&lt;li&gt;AEXP_Seal&lt;/li&gt;",_xlfn.XLOOKUP(B58,'Base stats'!B:B,'Base stats'!AH:AH))</f>
        <v xml:space="preserve">&lt;li&gt;Fox_Fennec&lt;/li&gt; </v>
      </c>
      <c r="BB58" s="2" t="str">
        <f>_xlfn.XLOOKUP(B58,'Base stats'!B:B,'Base stats'!AG:AG)</f>
        <v>Leather_Fox</v>
      </c>
      <c r="BC58" s="23" t="str">
        <f>_xlfn.XLOOKUP(_xlfn.XLOOKUP(B58,'Base stats'!B:B,'Base stats'!E:E),Groups!A:A,Groups!AL:AL)</f>
        <v>QuadrupedAnimalWithPawsAndTail</v>
      </c>
      <c r="BD58" s="23">
        <f>MIN(1,MROUND(IF(AND(AO58&lt;0.5,_xlfn.XLOOKUP(B58,'Base stats'!B:B,'Base stats'!AA:AA)=0),0,IF(OR(_xlfn.XLOOKUP(Animals!B58,'Base stats'!B:B,'Base stats'!O:O)=2,_xlfn.XLOOKUP(_xlfn.XLOOKUP(B58,'Base stats'!B:B,'Base stats'!E:E),Groups!A:A,Groups!AN:AN)=0),0,_xlfn.XLOOKUP(_xlfn.XLOOKUP(B58,'Base stats'!B:B,'Base stats'!E:E),Groups!A:A,Groups!AN:AN)/IF(_xlfn.XLOOKUP(Animals!B58,'Base stats'!B:B,'Base stats'!O:O)=1,2,1)))+_xlfn.XLOOKUP(B58,'Base stats'!B:B,'Base stats'!AC:AC),0.005))</f>
        <v>0</v>
      </c>
      <c r="BE58" s="23">
        <f>MIN(1,MROUND(IF(AND(AO58&lt;0.5,_xlfn.XLOOKUP(B58,'Base stats'!B:B,'Base stats'!AA:AA)=0),0,IF(_xlfn.XLOOKUP(_xlfn.XLOOKUP(B58,'Base stats'!B:B,'Base stats'!E:E),Groups!A:A,Groups!AO:AO)=0,0,_xlfn.XLOOKUP(_xlfn.XLOOKUP(B58,'Base stats'!B:B,'Base stats'!E:E),Groups!A:A,Groups!AO:AO)/IF(_xlfn.XLOOKUP(Animals!B58,'Base stats'!B:B,'Base stats'!O:O)=2,3,1)))+_xlfn.XLOOKUP(B58,'Base stats'!B:B,'Base stats'!AD:AD),0.005))</f>
        <v>0</v>
      </c>
      <c r="BF58" s="2" t="str">
        <f>IF(J58&gt;0.3,"No",_xlfn.XLOOKUP(_xlfn.XLOOKUP(Animals!B58,'Base stats'!B:B,'Base stats'!E:E),Groups!A:A,Groups!AP:AP))</f>
        <v>No</v>
      </c>
      <c r="BG58" s="2">
        <f>IF(AND(J58&lt;=0.65,_xlfn.XLOOKUP(_xlfn.XLOOKUP(Animals!B58,'Base stats'!B:B,'Base stats'!E:E),Groups!A:A,Groups!AP:AP)&lt;&gt;"No",_xlfn.XLOOKUP(_xlfn.XLOOKUP(B58,'Base stats'!B:B,'Base stats'!E:E),Groups!A:A,Groups!D:D)=0),MROUND((80/3)*IF(_xlfn.XLOOKUP(B58,'Base stats'!B:B,'Base stats'!O:O)=2,0.2,AO58) + 24*(1-IF(BF58="No",0,BF58)) + 16/3, 12),"No")</f>
        <v>36</v>
      </c>
      <c r="BH58" s="2">
        <f>IF(AND(_xlfn.XLOOKUP(_xlfn.XLOOKUP(B58,'Base stats'!B:B,'Base stats'!E:E),Groups!A:A,Groups!AQ:AQ)=1,AO58&lt;=0.35),8,12)</f>
        <v>12</v>
      </c>
      <c r="BI58" s="2" t="str">
        <f>IF(_xlfn.XLOOKUP(_xlfn.XLOOKUP(B58,'Base stats'!B:B,'Base stats'!E:E),Groups!A:A,Groups!D:D)=0,_xlfn.XLOOKUP(_xlfn.XLOOKUP(B58,'Base stats'!B:B,'Base stats'!E:E),Groups!A:A,Groups!AR:AR),"None")</f>
        <v>Advanced</v>
      </c>
      <c r="BJ58" s="2" t="str">
        <f>IF(AND(_xlfn.XLOOKUP(_xlfn.XLOOKUP(B58,'Base stats'!B:B,'Base stats'!E:E),Groups!A:A,Groups!AS:AS)=1,OR(_xlfn.XLOOKUP(B58,'Base stats'!B:B,'Base stats'!Y:Y)="Carnivore",_xlfn.XLOOKUP(B58,'Base stats'!B:B,'Base stats'!Y:Y)="Omnivore")),"true","false")</f>
        <v>true</v>
      </c>
      <c r="BK58" s="2">
        <f>IF(BJ58="true",MROUND(IF(AND(AO58&gt;0.5,OR(_xlfn.XLOOKUP(_xlfn.XLOOKUP(B58,'Base stats'!B:B,'Base stats'!E:E),Groups!A:A,Groups!AJ:AJ)="Photonozoa",_xlfn.XLOOKUP(_xlfn.XLOOKUP(B58,'Base stats'!B:B,'Base stats'!E:E),Groups!A:A,Groups!AJ:AJ)="Mammal")),Animals!AO58*1.75*IF(AW58="true",1.5,1),IF(AO58&lt;0.5,Animals!AO58*0.5,Animals!AO58)),IF(AO58&gt;2,0.5,IF(AO58&gt;0.5,0.25,0.1))),"No")</f>
        <v>0.2</v>
      </c>
      <c r="BL58" s="2">
        <f t="shared" si="3"/>
        <v>1</v>
      </c>
      <c r="BM58" s="25" t="str">
        <f>IF(_xlfn.XLOOKUP(B58,'Base stats'!B:B,'Base stats'!AN:AN)="Standard","No",MROUND((_xlfn.XLOOKUP(B58,'Base stats'!B:B,'Base stats'!AN:AN)/3.6)/I58,0.1))</f>
        <v>No</v>
      </c>
      <c r="BN58" s="25" t="str">
        <f t="shared" si="4"/>
        <v>false</v>
      </c>
      <c r="BO58" s="25" t="str">
        <f>IF(AND(OR(_xlfn.XLOOKUP(B58,'Base stats'!B:B,'Base stats'!Y:Y)="Carnivore",_xlfn.XLOOKUP(B58,'Base stats'!B:B,'Base stats'!Y:Y)="Omnivore",_xlfn.XLOOKUP(B58,'Base stats'!B:B,'Base stats'!Y:Y)="OmnivoreRough"),_xlfn.XLOOKUP(_xlfn.XLOOKUP(B58,'Base stats'!B:B,'Base stats'!E:E),Groups!A:A,Groups!AT:AT)=1),"true","false")</f>
        <v>false</v>
      </c>
      <c r="BP58" s="25" t="str" cm="1">
        <f t="array" ref="BP58">IF(
  _xlfn.TEXTJOIN(", ",TRUE,
    IF(AND(BJ58="true",AO58&gt;0.5,BI58&lt;&gt;"None"),"AttackTarget",""),
    IF(AND(_xlfn.XLOOKUP(_xlfn.XLOOKUP(B58,'Base stats'!B:B,'Base stats'!E:E),Groups!A:A,Groups!AJ:AJ="Mammal"),OR(_xlfn.XLOOKUP(B58,'Base stats'!B:B,'Base stats'!Y:Y)="Omnivore",_xlfn.XLOOKUP(B58,'Base stats'!B:B,'Base stats'!Y:Y)="OmnivoreRough")),"Forage",""),
    IF(BG58&lt;=36,"Comfort",""),
    IF(_xlfn.XLOOKUP(B58,'Base stats'!B:B,'Base stats'!AE:AE)&lt;&gt;"No",_xlfn.XLOOKUP(B58,'Base stats'!B:B,'Base stats'!AE:AE),"")
  ) = "",
  "No",
  _xlfn.TEXTJOIN(", ",TRUE,
    IF(AND(BJ58="true",AO58&gt;0.5,BI58&lt;&gt;"None"),"AttackTarget",""),
    IF(AND(_xlfn.XLOOKUP(_xlfn.XLOOKUP(B58,'Base stats'!B:B,'Base stats'!E:E),Groups!A:A,Groups!AJ:AJ="Mammal"),OR(_xlfn.XLOOKUP(B58,'Base stats'!B:B,'Base stats'!Y:Y)="Omnivore",_xlfn.XLOOKUP(B58,'Base stats'!B:B,'Base stats'!Y:Y)="OmnivoreRough")),"Forage",""),
    IF(BG58&lt;=36,"Comfort",""),
    IF(_xlfn.XLOOKUP(B58,'Base stats'!B:B,'Base stats'!AE:AE)&lt;&gt;"No",_xlfn.XLOOKUP(B58,'Base stats'!B:B,'Base stats'!AE:AE),"")
  )
)</f>
        <v>Comfort</v>
      </c>
      <c r="BQ58" s="25" t="str">
        <f>IF(
   AND(
      'Base stats'!AN58="Standard",_xlfn.XLOOKUP(_xlfn.XLOOKUP(B58,'Base stats'!B:B,'Base stats'!E:E),Groups!A:A,Groups!AU:AU)=0,
      OR(
      BO58="True"
      )
   ),
   10,
   IF(
       OR(BM58&lt;&gt;"No",_xlfn.XLOOKUP(_xlfn.XLOOKUP(B58,'Base stats'!B:B,'Base stats'!E:E),Groups!A:A,Groups!AU:AU)=1),
      1,
      "No"
   )
)</f>
        <v>No</v>
      </c>
      <c r="BR58" s="9">
        <f>MROUND((1 + ((0.2*IF(OR(Q58="No",R58="No",R58=0),0,Q58/R58)
+IF(OR(V58="No",S58="No",T58="No"),0,S58/T58*(LEN(V58)-LEN(SUBSTITUTE(V58,",",""))+1))
+IF(OR(X58="No",Y58="No"),0,X58/Y58)
+IF(OR(AD58="No",AE58="No"),0,AD58/AE58)
+IF(OR(AL58="No",AI58="No",AJ58="No"),0,AI58/AJ58*(LEN(AL58)-LEN(SUBSTITUTE(AL58,",",""))+1))
)/(0.2*IF(OR(Q58="No",R58="No",R58=0),0,1)
+IF(OR(V58="No",S58="No",T58="No"),0,LEN(V58)-LEN(SUBSTITUTE(V58,",",""))+1)
+IF(OR(X58="No",Y58="No"),0,1)
+IF(OR(AD58="No",AE58="No"),0,1)
+IF(OR(AL58="No",AI58="No",AJ58="No"),0,LEN(AL58)-LEN(SUBSTITUTE(AL58,",",""))+1))*62%)* 2)*(1 + (AP58 / (IF(_xlfn.XLOOKUP(_xlfn.XLOOKUP(B58,'Base stats'!B:B,'Base stats'!E:E),Groups!A:A,Groups!AJ:AJ)="Photonozoa",0.3,1)) + _xlfn.XLOOKUP(B58,'Base stats'!B:B,'Base stats'!AV:AV) * 1.8) * 2) * 2.5 + 10 + I58 * 2,5)+IF(_xlfn.XLOOKUP(B58,'Base stats'!B:B,'Base stats'!AK:AK)=1,50,0)</f>
        <v>60</v>
      </c>
      <c r="BS58" s="8">
        <f t="shared" si="5"/>
        <v>0.35000000000000003</v>
      </c>
      <c r="BT58" s="8" t="str">
        <f>_xlfn.XLOOKUP(B58,'Base stats'!B:B,'Base stats'!AF:AF)</f>
        <v>No</v>
      </c>
      <c r="BU58" s="2" t="str">
        <f>IF(AND(J58&lt;=0.95,OR(_xlfn.XLOOKUP(B58,'Base stats'!B:B,'Base stats'!AK:AK)=1,_xlfn.XLOOKUP(B58,'Base stats'!B:B,'Base stats'!Y:Y)="Carnivore",_xlfn.XLOOKUP(B58,'Base stats'!B:B,'Base stats'!Y:Y)="Omnivore",BE58&gt;0.1)),"true","false")</f>
        <v>true</v>
      </c>
      <c r="BV58" s="2" t="str">
        <f>IF(_xlfn.XLOOKUP(B58,'Base stats'!B:B,'Base stats'!AI:AI)=1,"true","false")</f>
        <v>false</v>
      </c>
      <c r="BW58" s="25" t="str">
        <f>IF(E58="BaseInsect","AnimalInsect",
IF(J58&gt;0.95,"AnimalExotic",
_xlfn.TEXTJOIN(", ",TRUE,
IF(OR(_xlfn.XLOOKUP(B58,'Base stats'!B:B,'Base stats'!AM:AM)=1,AND(_xlfn.XLOOKUP(B58,'Base stats'!B:B,'Base stats'!O:O)=0,_xlfn.XLOOKUP(_xlfn.XLOOKUP(B58,'Base stats'!B:B,'Base stats'!E:E),Groups!A:A,Groups!B:B)&gt;0)),"AnimalUncommon","AnimalCommon"),
IF(AND(_xlfn.XLOOKUP(B58,'Base stats'!B:B,'Base stats'!O:O)=2,_xlfn.XLOOKUP(_xlfn.XLOOKUP(B58,'Base stats'!B:B,'Base stats'!E:E),Groups!A:A,Groups!D:D)=0),"AnimalPet",IF(AND(_xlfn.XLOOKUP(B58,'Base stats'!B:B,'Base stats'!O:O)&lt;&gt;0,_xlfn.XLOOKUP(_xlfn.XLOOKUP(B58,'Base stats'!B:B,'Base stats'!E:E),Groups!A:A,Groups!D:D)&lt;&gt;0),"AnimalFarm","")),
IF(OR(_xlfn.XLOOKUP(B58,'Base stats'!B:B,'Base stats'!AK:AK)=1,AND(BI58&lt;&gt;"None",BR58&gt;=60),ISNUMBER(SEARCH("Attack target",BP58))),"AnimalFighter","")
)))</f>
        <v>AnimalCommon, AnimalFighter</v>
      </c>
      <c r="BX58" s="25" t="str">
        <f>IF(G58="None",TRIM(
SUBSTITUTE(
IF(COUNTIF(Biomes!B$2:B$259,"="&amp;$C58)&gt;0,Biomes!B$1&amp;", ","")&amp;
IF(COUNTIF(Biomes!C$2:C$259,"="&amp;$C58)&gt;0,Biomes!C$1&amp;", ","")&amp;
IF(COUNTIF(Biomes!D$2:D$259,"="&amp;$C58)&gt;0,Biomes!D$1&amp;", ","")&amp;
IF(COUNTIF(Biomes!F$2:F$259,"="&amp;$C58)&gt;0,Biomes!F$1&amp;", ","")&amp;
IF(COUNTIF(Biomes!G$2:G$259,"="&amp;$C58)&gt;0,Biomes!G$1&amp;", ","")&amp;
IF(COUNTIF(Biomes!H$2:H$259,"="&amp;$C58)&gt;0,Biomes!H$1&amp;", ","")&amp;
IF(COUNTIF(Biomes!I$2:I$259,"="&amp;$C58)&gt;0,Biomes!I$1&amp;", ","")&amp;
IF(COUNTIF(Biomes!J$2:J$259,"="&amp;$C58)&gt;0,Biomes!J$1&amp;", ","")&amp;
IF(COUNTIF(Biomes!M$2:M$259,"="&amp;$C58)&gt;0,Biomes!M$1&amp;", ","")&amp;
IF(COUNTIF(Biomes!N$2:N$259,"="&amp;$C58)&gt;0,Biomes!N$1&amp;", ","")&amp;
IF(COUNTIF(Biomes!O$2:O$259,"="&amp;$C58)&gt;0,Biomes!O$1&amp;", ","")&amp;
IF(COUNTIF(Biomes!P$2:P$259,"="&amp;$C58)&gt;0,Biomes!P$1&amp;", ","")&amp;
IF(COUNTIF(Biomes!K$2:K$259,"="&amp;$C58)&gt;0,Biomes!K$1&amp;", ","")&amp;
IF(COUNTIF(Biomes!Q$3:Q$259,"="&amp;$C58)&gt;0,Biomes!Q$1&amp;", ","")&amp;
IF(COUNTIF(Biomes!L$2:L$259,"="&amp;$C58)&gt;0,Biomes!L$1&amp;", ","")&amp;
IF(COUNTIF(Biomes!E$2:E$259,"="&amp;$C58)&gt;0,Biomes!E$1&amp;", ","")&amp;IF(COUNTIF(Biomes!S$2:S$259,"="&amp;$C58)&gt;0,Biomes!S$1&amp;", ","")&amp;
IF(COUNTIF(Biomes!R$2:R$259,"="&amp;$C58)&gt;0,Biomes!R$1&amp;", ",""),", ","")
),_xlfn.XLOOKUP(B58,B:B,BX:BX))</f>
        <v>BorealForest ColdBog TemperateForest TemperateSwamp GlacialPlain</v>
      </c>
      <c r="BY58" s="25" t="str">
        <f>IF(_xlfn.XLOOKUP(B58,'Base stats'!B:B,'Base stats'!AJ:AJ)=1,"true","false")</f>
        <v>false</v>
      </c>
      <c r="BZ58" s="25">
        <f>IF(_xlfn.XLOOKUP(B58,'Base stats'!B:B,'Base stats'!N:N)=1,"No",MAX(0.001,MIN(MROUND(IF(AND(BJ58="True",CC58="False"),POWER(10,3.47*LOG10(_xlfn.XLOOKUP(B58,'Base stats'!B:B,'Base stats'!C:C)*1000)^-0.96),POWER(10,4.15*LOG10(_xlfn.XLOOKUP(B58,'Base stats'!B:B,'Base stats'!C:C)*1000)^-0.73))*IF(_xlfn.XLOOKUP(B58,'Base stats'!B:B,'Base stats'!AK:AK)=1,0.5,1)*IF(_xlfn.XLOOKUP(B58,'Base stats'!B:B,'Base stats'!AM:AM)=1,0.1,1)/100,IF(_xlfn.XLOOKUP(B58,'Base stats'!B:B,'Base stats'!AM:AM)=1,0.001,0.025)),0.5)))</f>
        <v>7.5000000000000011E-2</v>
      </c>
      <c r="CA58" s="25" t="str">
        <f>IF(P58="Standard","No",MAX(0.001,MIN(MROUND(IF(AND(BJ58="True",CC58="False"),POWER(10,3.47*LOG10(_xlfn.XLOOKUP(B58,'Base stats'!B:B,'Base stats'!C:C)*1000)^-0.96),POWER(10,4.15*LOG10(_xlfn.XLOOKUP(B58,'Base stats'!B:B,'Base stats'!C:C)*1000)^-0.73))*IF(_xlfn.XLOOKUP(B58,'Base stats'!B:B,'Base stats'!AM:AM)=1,0.1,1)*_xlfn.XLOOKUP(B58,'Base stats'!B:B,'Base stats'!R:R)/100,IF(_xlfn.XLOOKUP(B58,'Base stats'!B:B,'Base stats'!AM:AM)=1,0.001,0.025)),0.5)))</f>
        <v>No</v>
      </c>
      <c r="CB58" s="25" t="str">
        <f>IF(_xlfn.XLOOKUP(_xlfn.XLOOKUP(B58,'Base stats'!B:B,'Base stats'!E:E),Groups!A:A,Groups!AJ:AJ)="Mammal","True","False")</f>
        <v>True</v>
      </c>
      <c r="CC58" s="25" t="str">
        <f>IF(OR(_xlfn.XLOOKUP(_xlfn.XLOOKUP(B58,'Base stats'!B:B,'Base stats'!E:E),Groups!A:A,Groups!AJ:AJ)="Reptile",_xlfn.XLOOKUP(_xlfn.XLOOKUP(B58,'Base stats'!B:B,'Base stats'!E:E),Groups!A:A,Groups!AJ:AJ)="Amphibian",_xlfn.XLOOKUP(_xlfn.XLOOKUP(B58,'Base stats'!B:B,'Base stats'!E:E),Groups!A:A,Groups!AJ:AJ)="Invertebrate"),"True","False")</f>
        <v>False</v>
      </c>
      <c r="CD58" s="25" t="str">
        <f t="shared" si="6"/>
        <v>False</v>
      </c>
      <c r="CE58" s="25" t="str">
        <f>IF(_xlfn.XLOOKUP(_xlfn.XLOOKUP(B58,'Base stats'!B:B,'Base stats'!E:E),Groups!A:A,Groups!AX:AX),"True","False")</f>
        <v>False</v>
      </c>
      <c r="CF58" s="25" t="str">
        <f>IF(_xlfn.XLOOKUP(_xlfn.XLOOKUP(B58,'Base stats'!B:B,'Base stats'!E:E),Groups!A:A,Groups!AY:AY),"True","False")</f>
        <v>False</v>
      </c>
      <c r="CG58" s="25" t="str">
        <f>IF(_xlfn.XLOOKUP(_xlfn.XLOOKUP(B58,'Base stats'!B:B,'Base stats'!E:E),Groups!A:A,Groups!AW:AW),"True","False")</f>
        <v>False</v>
      </c>
      <c r="CH58" s="25" t="str">
        <f>IF(
OR(
_xlfn.XLOOKUP(_xlfn.XLOOKUP(B58,'Base stats'!B:B,'Base stats'!E:E),Groups!A:A,Groups!AZ:AZ)=0,
AND(
_xlfn.XLOOKUP(B58,'Base stats'!B:B,'Base stats'!Y:Y)&lt;&gt;"Carnivore",
_xlfn.XLOOKUP(B58,'Base stats'!B:B,'Base stats'!Y:Y)&lt;&gt;"Omnivore",
_xlfn.XLOOKUP(B58,'Base stats'!B:B,'Base stats'!Y:Y)&lt;&gt;"OmnivoreRough"
)
),
"No",
IF(
_xlfn.XLOOKUP(_xlfn.XLOOKUP(B58,'Base stats'!B:B,'Base stats'!E:E),Groups!A:A,Groups!AZ:AZ)=1,
"Flesh",
IF(
_xlfn.XLOOKUP(_xlfn.XLOOKUP(B58,'Base stats'!B:B,'Base stats'!E:E),Groups!A:A,Groups!AZ:AZ)=2,
"Bone",
""
)
)
)</f>
        <v>No</v>
      </c>
      <c r="CI58" s="25" t="str">
        <f>IF(_xlfn.XLOOKUP(_xlfn.XLOOKUP(B58,'Base stats'!B:B,'Base stats'!E:E),Groups!A:A,Groups!BB:BB),"True","False")</f>
        <v>True</v>
      </c>
      <c r="CJ58" s="25" t="str">
        <f>IF(_xlfn.XLOOKUP(_xlfn.XLOOKUP(B58,'Base stats'!B:B,'Base stats'!E:E),Groups!A:A,Groups!BA:BA),"True","False")</f>
        <v>False</v>
      </c>
    </row>
    <row r="59" spans="1:88" ht="16.5" thickTop="1" thickBot="1" x14ac:dyDescent="0.3">
      <c r="A59" s="26" t="str">
        <f>_xlfn.XLOOKUP(B59,'Base stats'!B:B,'Base stats'!A:A)</f>
        <v>Arctic fox</v>
      </c>
      <c r="B59" s="6" t="s">
        <v>68</v>
      </c>
      <c r="C59" s="28" t="s">
        <v>738</v>
      </c>
      <c r="D59" s="28" t="s">
        <v>45</v>
      </c>
      <c r="E59" s="28" t="s">
        <v>736</v>
      </c>
      <c r="F59" s="28" t="s">
        <v>737</v>
      </c>
      <c r="G59" s="28" t="s">
        <v>673</v>
      </c>
      <c r="H59" s="2">
        <f>MROUND((
  (IF(AND(_xlfn.XLOOKUP(B59,'Base stats'!B:B,'Base stats'!AL:AL)=0,BI59="None",_xlfn.XLOOKUP(_xlfn.XLOOKUP(B59,'Base stats'!B:B,'Base stats'!E:E),Groups!A:A,Groups!B:B)=0), (18 + BR59 * 2.7) * 0.5,
    IF(AND(_xlfn.XLOOKUP(B59,'Base stats'!B:B,'Base stats'!AL:AL)=0,OR(AO59&lt;0.55,AND(BI59="Intermediate",_xlfn.XLOOKUP(_xlfn.XLOOKUP(B59,'Base stats'!B:B,'Base stats'!E:E),Groups!A:A,Groups!B:B)&lt;2))), (18 + BR59 * 2.7),
      IF(OR(BI59="Advanced",_xlfn.XLOOKUP(B59,'Base stats'!B:B,'Base stats'!AL:AL)=1,_xlfn.XLOOKUP(_xlfn.XLOOKUP(B59,'Base stats'!B:B,'Base stats'!E:E),Groups!A:A,Groups!B:B)=2), (18 + BR59 * 2.7) + 250, (18 + BR59 * 2.7))
    )
  ))
  + AO59 * 80
  + IF(COUNTIF(EggMilk!K$2:K$998, A59) &gt; 0, 125, 0)
  + IF(COUNTIF(EggMilk!P$2:P$998, A59) &gt; 0, 90, 0)
  + IF(COUNTIF(EggMilk!A$2:A$998, A59) &gt; 0, 90, 0)
)
* (0.8 + 0.4 * J59)
* 0.75,25)</f>
        <v>125</v>
      </c>
      <c r="I59" s="2">
        <f>MROUND(ROUNDDOWN(_xlfn.XLOOKUP(B59,'Base stats'!B:B,'Base stats'!L:L)/3.6/(23.3/11),1),0.5)</f>
        <v>5.5</v>
      </c>
      <c r="J59" s="2">
        <f>IF(OR(_xlfn.XLOOKUP(B59,'Base stats'!B:B,'Base stats'!AB:AB)=1,_xlfn.XLOOKUP(_xlfn.XLOOKUP(B59,'Base stats'!B:B,'Base stats'!E:E),Groups!A:A,Groups!C:C)="Untamable"),1,IF(_xlfn.XLOOKUP(B59,'Base stats'!B:B,'Base stats'!AL:AL)=1,0.99,MIN(MROUND((1-0.6282*EXP(-0.459*AO59))*_xlfn.XLOOKUP(_xlfn.XLOOKUP(B59,'Base stats'!B:B,'Base stats'!E:E),Groups!A:A,Groups!C:C)*IF(_xlfn.XLOOKUP(B59,'Base stats'!B:B,'Base stats'!O:O)=1,0.5,IF(_xlfn.XLOOKUP(B59,'Base stats'!B:B,'Base stats'!O:O)=2,0,1)),0.05),IF(AO59&gt;3.5,0.985,0.95))))</f>
        <v>0.55000000000000004</v>
      </c>
      <c r="K59" s="2">
        <f>ROUNDUP(AO59*_xlfn.XLOOKUP(_xlfn.XLOOKUP(B59,'Base stats'!B:B,'Base stats'!E:E),Groups!A:A,Groups!E:E),0)</f>
        <v>1</v>
      </c>
      <c r="L59" s="2">
        <f>IF(OR(_xlfn.XLOOKUP(_xlfn.XLOOKUP(B59,'Base stats'!B:B,'Base stats'!E:E),Groups!A:A,Groups!F:F)=2,ISNUMBER(SEARCH("SeaIce",BX59)),ISNUMBER(SEARCH("IceSheet",BX59))),-50,IF(OR(ISNUMBER(SEARCH("GlacialPlain",BX59)),ISNUMBER(SEARCH("Tundra",BX59))),-40,IF(OR(ISNUMBER(SEARCH("Alpine",BX59)),ISNUMBER(SEARCH("BorealForest",BX59)),ISNUMBER(SEARCH("ColdBog",BX59))),-30,IF(OR(ISNUMBER(SEARCH("TemperateForest",BX59)),ISNUMBER(SEARCH("TemperateSwamp",BX59))),-20,IF(_xlfn.XLOOKUP(_xlfn.XLOOKUP(B59,'Base stats'!B:B,'Base stats'!E:E),Groups!A:A,Groups!F:F)=1,-15,IF(OR(ISNUMBER(SEARCH("Desert",BX59)),ISNUMBER(SEARCH("ExtremeDesert",BX59))),-10,IF(OR(ISNUMBER(SEARCH("Grasslands",BX59)),ISNUMBER(SEARCH("TropicalRainforest",BX59)),ISNUMBER(SEARCH("TropicalSwamp",BX59))),10,0)))))))-IF(CC59="False",MIN(IFERROR(MAX(MROUND(LOG10(_xlfn.XLOOKUP(B59,'Base stats'!B:B,'Base stats'!C:C)^(2/3))*10,5),5),5),30))-_xlfn.XLOOKUP(B59,'Base stats'!B:B,'Base stats'!P:P)+IF(CC59="True",5,0)</f>
        <v>-55</v>
      </c>
      <c r="M59" s="2">
        <f>IF(OR(_xlfn.XLOOKUP(_xlfn.XLOOKUP(B59,'Base stats'!B:B,'Base stats'!E:E),Groups!A:A,Groups!G:G)=2,ISNUMBER(SEARCH("Desert",BX59)),ISNUMBER(SEARCH("ExtremeDesert",BX59)),ISNUMBER(SEARCH("LavaField",BX59))),50,IF(ISNUMBER(SEARCH("Grasslands",BX59)),45,IF(OR(_xlfn.XLOOKUP(_xlfn.XLOOKUP(B59,'Base stats'!B:B,'Base stats'!E:E),Groups!A:A,Groups!G:G)=1,ISNUMBER(SEARCH("TropicalRainforest",BX59)),ISNUMBER(SEARCH("TropicalSwamp",BX59))),40,IF(OR(ISNUMBER(SEARCH("TemperateForest",BX59)),ISNUMBER(SEARCH("TemperateSwamp",BX59))),35,IF(OR(ISNUMBER(SEARCH("Alpine",BX59)),ISNUMBER(SEARCH("BorealForest",BX59)),ISNUMBER(SEARCH("ColdBog",BX59))),30,IF(ISNUMBER(OR(ISNUMBER(SEARCH("GlacialPlain",BX59)),SEARCH("Tundra",BX59))),25,IF(OR(ISNUMBER(SEARCH("SeaIce",BX59)),ISNUMBER(SEARCH("IceSheet",BX59)),ISNUMBER(SEARCH("TropicalSwamp",BX59))),10,35)))))))+_xlfn.XLOOKUP(B59,'Base stats'!B:B,'Base stats'!Q:Q)</f>
        <v>10</v>
      </c>
      <c r="N59" s="8" t="str">
        <f>IF(
_xlfn.XLOOKUP(
_xlfn.XLOOKUP(B59,'Base stats'!B:B,'Base stats'!E:E),
Groups!A:A,
Groups!L:L
)=1,
MIN(
MROUND(
IF(
_xlfn.XLOOKUP(B59,'Animals CE'!B:B,'Animals CE'!Z:Z)&lt;=1.5,
_xlfn.XLOOKUP(B59,'Animals CE'!B:B,'Animals CE'!Z:Z)/2+0.05,
0.8+
(_xlfn.XLOOKUP(B59,'Animals CE'!B:B,'Animals CE'!Z:Z)-1.5)
*0.02
),
0.05
),
200%
),
"No"
)</f>
        <v>No</v>
      </c>
      <c r="O59" s="8" t="str">
        <f>IF(
_xlfn.XLOOKUP(
_xlfn.XLOOKUP(B59,'Base stats'!B:B,'Base stats'!E:E),
Groups!A:A,
Groups!L:L
)=1,
MIN(
MROUND(
IF(
_xlfn.XLOOKUP(B59,'Animals CE'!B:B,'Animals CE'!AA:AA)&lt;=1.5,
_xlfn.XLOOKUP(B59,'Animals CE'!B:B,'Animals CE'!AA:AA)/2+0.05,
0.8+
(_xlfn.XLOOKUP(B59,'Animals CE'!B:B,'Animals CE'!AA:AA)-1.5)
*0.02
),
0.05
),
200%
),
"No"
)</f>
        <v>No</v>
      </c>
      <c r="P59" s="2" t="str">
        <f>_xlfn.XLOOKUP(B59,'Base stats'!B:B,'Base stats'!R:R)</f>
        <v>Standard</v>
      </c>
      <c r="Q59" s="13">
        <f>MROUND((LOG10(_xlfn.XLOOKUP(B59,'Base stats'!B:B,'Base stats'!AR:AR))*(AO59^0.5)+(_xlfn.XLOOKUP(B59,'Base stats'!B:B,'Base stats'!AR:AR)/1000)^(2/3)+_xlfn.XLOOKUP(B59,'Base stats'!B:B,'Base stats'!BA:BA)/2)+0.5,0.5)</f>
        <v>2.5</v>
      </c>
      <c r="R59" s="7">
        <f>IF(Q59="No","No",MAX(1,MROUND(_xlfn.XLOOKUP(B59,'Base stats'!B:B,'Base stats'!C:C)^0.165,0.05)))</f>
        <v>1.3</v>
      </c>
      <c r="S59" s="13" t="str">
        <f>IF(_xlfn.XLOOKUP(_xlfn.XLOOKUP(B59,'Base stats'!B:B,'Base stats'!E:E),Groups!A:A,Groups!P:P)=0,"No",MROUND((LOG10(_xlfn.XLOOKUP(B59,'Base stats'!B:B,'Base stats'!AS:AS))*(AO59^0.5)+(_xlfn.XLOOKUP(B59,'Base stats'!B:B,'Base stats'!AS:AS)/1000)^(2/3)+_xlfn.XLOOKUP(B59,'Base stats'!B:B,'Base stats'!BA:BA))+_xlfn.XLOOKUP(B59,'Base stats'!B:B,'Base stats'!AY:AY)+0.5,0.5))</f>
        <v>No</v>
      </c>
      <c r="T59" s="7" t="str">
        <f>IF(S59="No","No",MAX(_xlfn.XLOOKUP(_xlfn.XLOOKUP(B59,'Base stats'!B:B,'Base stats'!E:E),Groups!A:A,Groups!Q:Q),MROUND(_xlfn.XLOOKUP(_xlfn.XLOOKUP(B59,'Base stats'!B:B,'Base stats'!E:E),Groups!A:A,Groups!Q:Q)*_xlfn.XLOOKUP(B59,'Base stats'!B:B,'Base stats'!C:C)^0.165,0.05)))</f>
        <v>No</v>
      </c>
      <c r="U59" s="7" t="str">
        <f>IF(S59="No","No",_xlfn.XLOOKUP(_xlfn.XLOOKUP(B59,'Base stats'!B:B,'Base stats'!E:E),Groups!A:A,Groups!R:R))</f>
        <v>No</v>
      </c>
      <c r="V59" s="7" t="str">
        <f>IF(S59="No","No",_xlfn.XLOOKUP(_xlfn.XLOOKUP(B59,'Base stats'!B:B,'Base stats'!E:E),Groups!A:A,Groups!S:S))</f>
        <v>No</v>
      </c>
      <c r="W59" s="7" t="str">
        <f>IF(S59="No","No",_xlfn.XLOOKUP(_xlfn.XLOOKUP(B59,'Base stats'!B:B,'Base stats'!E:E),Groups!A:A,Groups!T:T))</f>
        <v>No</v>
      </c>
      <c r="X59" s="13" t="str">
        <f>IF(_xlfn.XLOOKUP(B59,'Base stats'!B:B,'Base stats'!W:W)="No","No",MROUND((LOG10(_xlfn.XLOOKUP(B59,'Base stats'!B:B,'Base stats'!AU:AU))*(AO59^0.5)+(_xlfn.XLOOKUP(B59,'Base stats'!B:B,'Base stats'!AU:AU)/1000)^(2/3)+_xlfn.XLOOKUP(B59,'Base stats'!B:B,'Base stats'!AZ:AZ))+0.5+IF(_xlfn.XLOOKUP(_xlfn.XLOOKUP(B59,'Base stats'!B:B,'Base stats'!E:E),Groups!A:A,Groups!U:U)&lt;&gt;3,_xlfn.XLOOKUP(B59,'Base stats'!B:B,'Base stats'!BA:BA),0),0.5))</f>
        <v>No</v>
      </c>
      <c r="Y59" s="7" t="str">
        <f>IF(X59="No","No",MAX(_xlfn.XLOOKUP(_xlfn.XLOOKUP(B59,'Base stats'!B:B,'Base stats'!E:E),Groups!A:A,Groups!V:V),MROUND(_xlfn.XLOOKUP(_xlfn.XLOOKUP(B59,'Base stats'!B:B,'Base stats'!E:E),Groups!A:A,Groups!V:V)*_xlfn.XLOOKUP(B59,'Base stats'!B:B,'Base stats'!C:C)^0.165,0.05)))</f>
        <v>No</v>
      </c>
      <c r="Z59" s="7" t="str">
        <f>IF(X59="No","No",_xlfn.XLOOKUP(_xlfn.XLOOKUP(B59,'Base stats'!B:B,'Base stats'!E:E),Groups!A:A,Groups!W:W))</f>
        <v>No</v>
      </c>
      <c r="AA59" s="7" t="str">
        <f>IF(X59="No","No",_xlfn.XLOOKUP(_xlfn.XLOOKUP(B59,'Base stats'!B:B,'Base stats'!E:E),Groups!A:A,Groups!X:X))</f>
        <v>No</v>
      </c>
      <c r="AB59" s="7" t="str">
        <f>IF(X59="No","No",_xlfn.XLOOKUP(_xlfn.XLOOKUP(B59,'Base stats'!B:B,'Base stats'!E:E),Groups!A:A,Groups!Y:Y))</f>
        <v>No</v>
      </c>
      <c r="AC59" s="7" t="str">
        <f>_xlfn.XLOOKUP(Animals!B59,'Base stats'!B:B,'Base stats'!X:X)</f>
        <v>False</v>
      </c>
      <c r="AD59" s="13">
        <f>IF(_xlfn.XLOOKUP(B59,'Base stats'!B:B,'Base stats'!AT:AT)="No","No",MROUND((LOG10(_xlfn.XLOOKUP(B59,'Base stats'!B:B,'Base stats'!AT:AT))*(AO59^0.75)+(_xlfn.XLOOKUP(B59,'Base stats'!B:B,'Base stats'!AT:AT)/1000)^(2/3)+_xlfn.XLOOKUP(B59,'Base stats'!B:B,'Base stats'!AX:AX)+_xlfn.XLOOKUP(B59,'Base stats'!B:B,'Base stats'!BA:BA))+0.5,0.5))</f>
        <v>5</v>
      </c>
      <c r="AE59" s="7">
        <f>IF(AD59="No","No",MAX(_xlfn.XLOOKUP(_xlfn.XLOOKUP(B59,'Base stats'!B:B,'Base stats'!E:E),Groups!A:A,Groups!Z:Z),MROUND(_xlfn.XLOOKUP(_xlfn.XLOOKUP(B59,'Base stats'!B:B,'Base stats'!E:E),Groups!A:A,Groups!Z:Z)*_xlfn.XLOOKUP(B59,'Base stats'!B:B,'Base stats'!C:C)^0.165,0.05)))</f>
        <v>1.05</v>
      </c>
      <c r="AF59" s="7" t="str">
        <f>IF(AD59="No","No",_xlfn.XLOOKUP(_xlfn.XLOOKUP(B59,'Base stats'!B:B,'Base stats'!E:E),Groups!A:A,Groups!AA:AA))</f>
        <v>Teeth</v>
      </c>
      <c r="AG59" s="7" t="str">
        <f>IF(AD59="No","No",_xlfn.XLOOKUP(_xlfn.XLOOKUP(B59,'Base stats'!B:B,'Base stats'!E:E),Groups!A:A,Groups!AB:AB))</f>
        <v>canines</v>
      </c>
      <c r="AH59" s="7" t="str">
        <f>IF(AD59="No","No",_xlfn.XLOOKUP(_xlfn.XLOOKUP(B59,'Base stats'!B:B,'Base stats'!E:E),Groups!A:A,Groups!AC:AC))</f>
        <v>Bite</v>
      </c>
      <c r="AI59" s="13" t="str">
        <f>IF(_xlfn.XLOOKUP(_xlfn.XLOOKUP(B59,'Base stats'!B:B,'Base stats'!E:E),Groups!A:A,Groups!AD:AD)=0,"No",MROUND((LOG10(_xlfn.XLOOKUP(B59,'Base stats'!B:B,'Base stats'!AS:AS))*(AO59^0.75)+(_xlfn.XLOOKUP(B59,'Base stats'!B:B,'Base stats'!AS:AS)/1000)^(2/3)+_xlfn.XLOOKUP(B59,'Base stats'!B:B,'Base stats'!AY:AY)+_xlfn.XLOOKUP(B59,'Base stats'!B:B,'Base stats'!BA:BA))+0.5,0.5))</f>
        <v>No</v>
      </c>
      <c r="AJ59" s="7" t="str">
        <f>IF(AI59="No","No",MAX(_xlfn.XLOOKUP(_xlfn.XLOOKUP(B59,'Base stats'!B:B,'Base stats'!E:E),Groups!A:A,Groups!AE:AE),MROUND(_xlfn.XLOOKUP(_xlfn.XLOOKUP(B59,'Base stats'!B:B,'Base stats'!E:E),Groups!A:A,Groups!AE:AE)*IF(_xlfn.XLOOKUP(_xlfn.XLOOKUP(B59,'Base stats'!B:B,'Base stats'!E:E),Groups!A:A,Groups!AJ:AJ)="Photonozoa",0.6,1)*_xlfn.XLOOKUP(B59,'Base stats'!B:B,'Base stats'!C:C)^0.165,0.05)))</f>
        <v>No</v>
      </c>
      <c r="AK59" s="7" t="str">
        <f>IF(AI59="No","No",_xlfn.XLOOKUP(_xlfn.XLOOKUP(B59,'Base stats'!B:B,'Base stats'!E:E),Groups!A:A,Groups!AF:AF))</f>
        <v>No</v>
      </c>
      <c r="AL59" s="7" t="str">
        <f>IF(AI59="No","No",_xlfn.XLOOKUP(_xlfn.XLOOKUP(B59,'Base stats'!B:B,'Base stats'!E:E),Groups!A:A,Groups!AG:AG))</f>
        <v>No</v>
      </c>
      <c r="AM59" s="7" t="str">
        <f>IF(AI59="No","No",_xlfn.XLOOKUP(_xlfn.XLOOKUP(B59,'Base stats'!B:B,'Base stats'!E:E),Groups!A:A,Groups!AH:AH))</f>
        <v>No</v>
      </c>
      <c r="AN59" s="2">
        <f t="shared" si="0"/>
        <v>15</v>
      </c>
      <c r="AO59" s="2">
        <f>MROUND(IF(AND(_xlfn.XLOOKUP(B59,'Base stats'!B:B,'Base stats'!C:C)&gt;=0.5,_xlfn.XLOOKUP(B59,'Base stats'!B:B,'Base stats'!C:C)&lt;=0.8),
IF(_xlfn.XLOOKUP(B59,'Base stats'!B:B,'Base stats'!C:C)&lt;0.1,0.05,IF(_xlfn.XLOOKUP(B59,'Base stats'!B:B,'Base stats'!C:C)&lt;=70,(_xlfn.XLOOKUP(B59,'Base stats'!B:B,'Base stats'!C:C)/70)^0.426489913056526,IF(_xlfn.XLOOKUP(B59,'Base stats'!B:B,'Base stats'!C:C)&lt;=400,(_xlfn.XLOOKUP(B59,'Base stats'!B:B,'Base stats'!C:C)/70)^0.572811455315093,IF(_xlfn.XLOOKUP(B59,'Base stats'!B:B,'Base stats'!C:C)&lt;=2000,2.71391647193063*(_xlfn.XLOOKUP(B59,'Base stats'!B:B,'Base stats'!C:C)/400)^0.252459582904293,3.74314280240376*(_xlfn.XLOOKUP(B59,'Base stats'!B:B,'Base stats'!C:C)/2000)^0.357012633876913)))),
IF(_xlfn.XLOOKUP(B59,'Base stats'!B:B,'Base stats'!C:C)&lt;0.1,0.05,IF(_xlfn.XLOOKUP(B59,'Base stats'!B:B,'Base stats'!C:C)&lt;0.4,0.1,IF(_xlfn.XLOOKUP(B59,'Base stats'!B:B,'Base stats'!C:C)&lt;=70,(_xlfn.XLOOKUP(B59,'Base stats'!B:B,'Base stats'!C:C)/70)^0.445823913056526,IF(_xlfn.XLOOKUP(B59,'Base stats'!B:B,'Base stats'!C:C)&lt;=400,(_xlfn.XLOOKUP(B59,'Base stats'!B:B,'Base stats'!C:C)/70)^0.572811455315093,IF(_xlfn.XLOOKUP(B59,'Base stats'!B:B,'Base stats'!C:C)&lt;=2000,2.71391647193063*(_xlfn.XLOOKUP(B59,'Base stats'!B:B,'Base stats'!C:C)/400)^0.252459582904293,3.74314280240376*(_xlfn.XLOOKUP(B59,'Base stats'!B:B,'Base stats'!C:C)/2000)^0.357012633876913)))))),
IF(_xlfn.XLOOKUP(B59,'Base stats'!B:B,'Base stats'!C:C)&lt;0.1,0.05,IF(_xlfn.XLOOKUP(B59,'Base stats'!B:B,'Base stats'!C:C)&lt;=100,0.05,IF(_xlfn.XLOOKUP(B59,'Base stats'!B:B,'Base stats'!C:C)&lt;=250,0.1,IF(_xlfn.XLOOKUP(B59,'Base stats'!B:B,'Base stats'!C:C)&lt;=4000,0.25,0.5)))))</f>
        <v>0.30000000000000004</v>
      </c>
      <c r="AP59" s="8">
        <f>MROUND(AO59*_xlfn.XLOOKUP(_xlfn.XLOOKUP(B59,'Base stats'!B:B,'Base stats'!E:E),Groups!A:A,Groups!AI:AI)*_xlfn.XLOOKUP(B59,'Base stats'!B:B,'Base stats'!Z:Z),0.05)</f>
        <v>0.35000000000000003</v>
      </c>
      <c r="AQ59" s="8">
        <f>MAX(0.01,MROUND(IF(CC59="True",0.196*(AO59*100*1000)^0.889,IF(_xlfn.XLOOKUP(_xlfn.XLOOKUP(B59,'Base stats'!B:B,'Base stats'!E:E),Groups!A:A,Groups!AJ:AJ)="Bird",10.5*(AO59*100*1000)^0.681,4.82*(AO59*100*1000)^0.734))/(4.82*(1*100*1000)^0.734)/IF(AO59&lt;3.5,2,IF(AO59=3.5,1.5,1.25))*(1+0.132282374779864/(AO59^0.994035016789033+0.00905238001496948)),0.05))</f>
        <v>0.30000000000000004</v>
      </c>
      <c r="AR59" s="9">
        <f>IFERROR(MROUND(_xlfn.XLOOKUP(B59,'Base stats'!B:B,'Base stats'!H:H)/IF(_xlfn.XLOOKUP(B59,'Base stats'!B:B,'Base stats'!I:I)&lt;&gt;1,(122.5/70),1.2),IF(_xlfn.XLOOKUP(B59,'Base stats'!B:B,'Base stats'!H:H)&gt;=30,5,IF(_xlfn.XLOOKUP(B59,'Base stats'!B:B,'Base stats'!H:H)&gt;=15,3,IF(_xlfn.XLOOKUP(B59,'Base stats'!B:B,'Base stats'!H:H)&gt;=10,2,1)))),"Immortal")</f>
        <v>9</v>
      </c>
      <c r="AS59" s="35">
        <f>IFERROR(IF(OR(_xlfn.XLOOKUP(B59,'Base stats'!B:B,'Base stats'!F:F)="Atypical reproduction",_xlfn.XLOOKUP(B59,'Base stats'!B:B,'Base stats'!F:F)="Lay eggs"),"Lay eggs",MIN(20,MAX(5.5,ROUND(((_xlfn.XLOOKUP(B59,'Base stats'!B:B,'Base stats'!F:F)-25)*(14.5/615) + 5.5)*2,0)/2))),"Unknown")</f>
        <v>6</v>
      </c>
      <c r="AT59" s="8">
        <f>IF(_xlfn.XLOOKUP(B59,'Base stats'!B:B,'Base stats'!G:G)="Atypical reproduction","No",IFERROR(MAX(IF(_xlfn.XLOOKUP(B59,'Base stats'!B:B,'Base stats'!G:G)&lt;0.5,0.2,0.3),MROUND(_xlfn.XLOOKUP(B59,'Base stats'!B:B,'Base stats'!G:G)/(365/60),0.2)),"Unknown"))</f>
        <v>0.3</v>
      </c>
      <c r="AU59" s="8">
        <f t="shared" si="1"/>
        <v>0.15000000000000002</v>
      </c>
      <c r="AV59" s="8">
        <f>IFERROR(IFERROR(MROUND(_xlfn.XLOOKUP(B59,'Base stats'!B:B,'Base stats'!J:J),0.1),"Lay eggs"),"Cannot breed")</f>
        <v>9</v>
      </c>
      <c r="AW59" s="2" t="str">
        <f t="shared" si="2"/>
        <v>false</v>
      </c>
      <c r="AX59" s="2" t="str">
        <f>IF(_xlfn.XLOOKUP(_xlfn.XLOOKUP(Animals!B59,'Base stats'!B:B,'Base stats'!E:E),Groups!A:A,Groups!AK:AK)=1,"true","false")</f>
        <v>false</v>
      </c>
      <c r="AY59" s="25" t="str">
        <f>IF(_xlfn.XLOOKUP(B59,'Base stats'!B:B,'Base stats'!Y:Y)="Liquor","Liquor, CarnivoreAnimalStrict",IF(AND(_xlfn.XLOOKUP(B59,'Base stats'!B:B,'Base stats'!Y:Y)="Carnivore",_xlfn.XLOOKUP(_xlfn.XLOOKUP(B59,'Base stats'!B:B,'Base stats'!E:E),Groups!A:A,Groups!AJ:AJ)="Photonozoa"),"CarnivoreAnimalStrict, OvivoreAnimal",IF(_xlfn.XLOOKUP(B59,'Base stats'!B:B,'Base stats'!Y:Y)="Carnivore","CarnivoreAnimal, OvivoreAnimal",IF(_xlfn.XLOOKUP(B59,'Base stats'!B:B,'Base stats'!Y:Y)="Dendrovore","VegetarianRoughAnimal, DendrovoreAnimal",IF(_xlfn.XLOOKUP(B59,'Base stats'!B:B,'Base stats'!Y:Y)="Herbivore","VegetarianRoughAnimal",IF(_xlfn.XLOOKUP(B59,'Base stats'!B:B,'Base stats'!Y:Y)="OmnivoreRough","OmnivoreRoughAnimal, OvivoreAnimal","OmnivoreAnimal, OvivoreAnimal"))))))</f>
        <v>CarnivoreAnimal, OvivoreAnimal</v>
      </c>
      <c r="AZ59" s="2" t="str">
        <f>IF(_xlfn.XLOOKUP(_xlfn.XLOOKUP(B59,'Base stats'!B:B,'Base stats'!E:E),Groups!A:A,Groups!D:D)=1,MROUND((1-J59)*5+1,2)*IF(J59&lt;=0.4,2,1),"No")</f>
        <v>No</v>
      </c>
      <c r="BA59" s="2" t="str">
        <f>IF(AND(_xlfn.XLOOKUP(B59,'Base stats'!B:B,'Base stats'!AH:AH)="&lt;li&gt;Seal&lt;/li&gt;",G59="Odyssey"),"&lt;li&gt;AEXP_Seal&lt;/li&gt;",_xlfn.XLOOKUP(B59,'Base stats'!B:B,'Base stats'!AH:AH))</f>
        <v xml:space="preserve">&lt;li&gt;Fox_Fennec&lt;/li&gt; </v>
      </c>
      <c r="BB59" s="2" t="str">
        <f>_xlfn.XLOOKUP(B59,'Base stats'!B:B,'Base stats'!AG:AG)</f>
        <v>Leather_Fox</v>
      </c>
      <c r="BC59" s="23" t="str">
        <f>_xlfn.XLOOKUP(_xlfn.XLOOKUP(B59,'Base stats'!B:B,'Base stats'!E:E),Groups!A:A,Groups!AL:AL)</f>
        <v>QuadrupedAnimalWithPawsAndTail</v>
      </c>
      <c r="BD59" s="23">
        <f>MIN(1,MROUND(IF(AND(AO59&lt;0.5,_xlfn.XLOOKUP(B59,'Base stats'!B:B,'Base stats'!AA:AA)=0),0,IF(OR(_xlfn.XLOOKUP(Animals!B59,'Base stats'!B:B,'Base stats'!O:O)=2,_xlfn.XLOOKUP(_xlfn.XLOOKUP(B59,'Base stats'!B:B,'Base stats'!E:E),Groups!A:A,Groups!AN:AN)=0),0,_xlfn.XLOOKUP(_xlfn.XLOOKUP(B59,'Base stats'!B:B,'Base stats'!E:E),Groups!A:A,Groups!AN:AN)/IF(_xlfn.XLOOKUP(Animals!B59,'Base stats'!B:B,'Base stats'!O:O)=1,2,1)))+_xlfn.XLOOKUP(B59,'Base stats'!B:B,'Base stats'!AC:AC),0.005))</f>
        <v>0</v>
      </c>
      <c r="BE59" s="23">
        <f>MIN(1,MROUND(IF(AND(AO59&lt;0.5,_xlfn.XLOOKUP(B59,'Base stats'!B:B,'Base stats'!AA:AA)=0),0,IF(_xlfn.XLOOKUP(_xlfn.XLOOKUP(B59,'Base stats'!B:B,'Base stats'!E:E),Groups!A:A,Groups!AO:AO)=0,0,_xlfn.XLOOKUP(_xlfn.XLOOKUP(B59,'Base stats'!B:B,'Base stats'!E:E),Groups!A:A,Groups!AO:AO)/IF(_xlfn.XLOOKUP(Animals!B59,'Base stats'!B:B,'Base stats'!O:O)=2,3,1)))+_xlfn.XLOOKUP(B59,'Base stats'!B:B,'Base stats'!AD:AD),0.005))</f>
        <v>0</v>
      </c>
      <c r="BF59" s="2" t="str">
        <f>IF(J59&gt;0.3,"No",_xlfn.XLOOKUP(_xlfn.XLOOKUP(Animals!B59,'Base stats'!B:B,'Base stats'!E:E),Groups!A:A,Groups!AP:AP))</f>
        <v>No</v>
      </c>
      <c r="BG59" s="2">
        <f>IF(AND(J59&lt;=0.65,_xlfn.XLOOKUP(_xlfn.XLOOKUP(Animals!B59,'Base stats'!B:B,'Base stats'!E:E),Groups!A:A,Groups!AP:AP)&lt;&gt;"No",_xlfn.XLOOKUP(_xlfn.XLOOKUP(B59,'Base stats'!B:B,'Base stats'!E:E),Groups!A:A,Groups!D:D)=0),MROUND((80/3)*IF(_xlfn.XLOOKUP(B59,'Base stats'!B:B,'Base stats'!O:O)=2,0.2,AO59) + 24*(1-IF(BF59="No",0,BF59)) + 16/3, 12),"No")</f>
        <v>36</v>
      </c>
      <c r="BH59" s="2">
        <f>IF(AND(_xlfn.XLOOKUP(_xlfn.XLOOKUP(B59,'Base stats'!B:B,'Base stats'!E:E),Groups!A:A,Groups!AQ:AQ)=1,AO59&lt;=0.35),8,12)</f>
        <v>12</v>
      </c>
      <c r="BI59" s="2" t="str">
        <f>IF(_xlfn.XLOOKUP(_xlfn.XLOOKUP(B59,'Base stats'!B:B,'Base stats'!E:E),Groups!A:A,Groups!D:D)=0,_xlfn.XLOOKUP(_xlfn.XLOOKUP(B59,'Base stats'!B:B,'Base stats'!E:E),Groups!A:A,Groups!AR:AR),"None")</f>
        <v>Advanced</v>
      </c>
      <c r="BJ59" s="2" t="str">
        <f>IF(AND(_xlfn.XLOOKUP(_xlfn.XLOOKUP(B59,'Base stats'!B:B,'Base stats'!E:E),Groups!A:A,Groups!AS:AS)=1,OR(_xlfn.XLOOKUP(B59,'Base stats'!B:B,'Base stats'!Y:Y)="Carnivore",_xlfn.XLOOKUP(B59,'Base stats'!B:B,'Base stats'!Y:Y)="Omnivore")),"true","false")</f>
        <v>true</v>
      </c>
      <c r="BK59" s="2">
        <f>IF(BJ59="true",MROUND(IF(AND(AO59&gt;0.5,OR(_xlfn.XLOOKUP(_xlfn.XLOOKUP(B59,'Base stats'!B:B,'Base stats'!E:E),Groups!A:A,Groups!AJ:AJ)="Photonozoa",_xlfn.XLOOKUP(_xlfn.XLOOKUP(B59,'Base stats'!B:B,'Base stats'!E:E),Groups!A:A,Groups!AJ:AJ)="Mammal")),Animals!AO59*1.75*IF(AW59="true",1.5,1),IF(AO59&lt;0.5,Animals!AO59*0.5,Animals!AO59)),IF(AO59&gt;2,0.5,IF(AO59&gt;0.5,0.25,0.1))),"No")</f>
        <v>0.2</v>
      </c>
      <c r="BL59" s="2">
        <f t="shared" si="3"/>
        <v>1</v>
      </c>
      <c r="BM59" s="25" t="str">
        <f>IF(_xlfn.XLOOKUP(B59,'Base stats'!B:B,'Base stats'!AN:AN)="Standard","No",MROUND((_xlfn.XLOOKUP(B59,'Base stats'!B:B,'Base stats'!AN:AN)/3.6)/I59,0.1))</f>
        <v>No</v>
      </c>
      <c r="BN59" s="25" t="str">
        <f t="shared" si="4"/>
        <v>false</v>
      </c>
      <c r="BO59" s="25" t="str">
        <f>IF(AND(OR(_xlfn.XLOOKUP(B59,'Base stats'!B:B,'Base stats'!Y:Y)="Carnivore",_xlfn.XLOOKUP(B59,'Base stats'!B:B,'Base stats'!Y:Y)="Omnivore",_xlfn.XLOOKUP(B59,'Base stats'!B:B,'Base stats'!Y:Y)="OmnivoreRough"),_xlfn.XLOOKUP(_xlfn.XLOOKUP(B59,'Base stats'!B:B,'Base stats'!E:E),Groups!A:A,Groups!AT:AT)=1),"true","false")</f>
        <v>false</v>
      </c>
      <c r="BP59" s="25" t="str" cm="1">
        <f t="array" ref="BP59">IF(
  _xlfn.TEXTJOIN(", ",TRUE,
    IF(AND(BJ59="true",AO59&gt;0.5,BI59&lt;&gt;"None"),"AttackTarget",""),
    IF(AND(_xlfn.XLOOKUP(_xlfn.XLOOKUP(B59,'Base stats'!B:B,'Base stats'!E:E),Groups!A:A,Groups!AJ:AJ="Mammal"),OR(_xlfn.XLOOKUP(B59,'Base stats'!B:B,'Base stats'!Y:Y)="Omnivore",_xlfn.XLOOKUP(B59,'Base stats'!B:B,'Base stats'!Y:Y)="OmnivoreRough")),"Forage",""),
    IF(BG59&lt;=36,"Comfort",""),
    IF(_xlfn.XLOOKUP(B59,'Base stats'!B:B,'Base stats'!AE:AE)&lt;&gt;"No",_xlfn.XLOOKUP(B59,'Base stats'!B:B,'Base stats'!AE:AE),"")
  ) = "",
  "No",
  _xlfn.TEXTJOIN(", ",TRUE,
    IF(AND(BJ59="true",AO59&gt;0.5,BI59&lt;&gt;"None"),"AttackTarget",""),
    IF(AND(_xlfn.XLOOKUP(_xlfn.XLOOKUP(B59,'Base stats'!B:B,'Base stats'!E:E),Groups!A:A,Groups!AJ:AJ="Mammal"),OR(_xlfn.XLOOKUP(B59,'Base stats'!B:B,'Base stats'!Y:Y)="Omnivore",_xlfn.XLOOKUP(B59,'Base stats'!B:B,'Base stats'!Y:Y)="OmnivoreRough")),"Forage",""),
    IF(BG59&lt;=36,"Comfort",""),
    IF(_xlfn.XLOOKUP(B59,'Base stats'!B:B,'Base stats'!AE:AE)&lt;&gt;"No",_xlfn.XLOOKUP(B59,'Base stats'!B:B,'Base stats'!AE:AE),"")
  )
)</f>
        <v>Comfort</v>
      </c>
      <c r="BQ59" s="25" t="str">
        <f>IF(
   AND(
      'Base stats'!AN59="Standard",_xlfn.XLOOKUP(_xlfn.XLOOKUP(B59,'Base stats'!B:B,'Base stats'!E:E),Groups!A:A,Groups!AU:AU)=0,
      OR(
      BO59="True"
      )
   ),
   10,
   IF(
       OR(BM59&lt;&gt;"No",_xlfn.XLOOKUP(_xlfn.XLOOKUP(B59,'Base stats'!B:B,'Base stats'!E:E),Groups!A:A,Groups!AU:AU)=1),
      1,
      "No"
   )
)</f>
        <v>No</v>
      </c>
      <c r="BR59" s="9">
        <f>MROUND((1 + ((0.2*IF(OR(Q59="No",R59="No",R59=0),0,Q59/R59)
+IF(OR(V59="No",S59="No",T59="No"),0,S59/T59*(LEN(V59)-LEN(SUBSTITUTE(V59,",",""))+1))
+IF(OR(X59="No",Y59="No"),0,X59/Y59)
+IF(OR(AD59="No",AE59="No"),0,AD59/AE59)
+IF(OR(AL59="No",AI59="No",AJ59="No"),0,AI59/AJ59*(LEN(AL59)-LEN(SUBSTITUTE(AL59,",",""))+1))
)/(0.2*IF(OR(Q59="No",R59="No",R59=0),0,1)
+IF(OR(V59="No",S59="No",T59="No"),0,LEN(V59)-LEN(SUBSTITUTE(V59,",",""))+1)
+IF(OR(X59="No",Y59="No"),0,1)
+IF(OR(AD59="No",AE59="No"),0,1)
+IF(OR(AL59="No",AI59="No",AJ59="No"),0,LEN(AL59)-LEN(SUBSTITUTE(AL59,",",""))+1))*62%)* 2)*(1 + (AP59 / (IF(_xlfn.XLOOKUP(_xlfn.XLOOKUP(B59,'Base stats'!B:B,'Base stats'!E:E),Groups!A:A,Groups!AJ:AJ)="Photonozoa",0.3,1)) + _xlfn.XLOOKUP(B59,'Base stats'!B:B,'Base stats'!AV:AV) * 1.8) * 2) * 2.5 + 10 + I59 * 2,5)+IF(_xlfn.XLOOKUP(B59,'Base stats'!B:B,'Base stats'!AK:AK)=1,50,0)</f>
        <v>50</v>
      </c>
      <c r="BS59" s="8">
        <f t="shared" si="5"/>
        <v>0.30000000000000004</v>
      </c>
      <c r="BT59" s="8" t="str">
        <f>_xlfn.XLOOKUP(B59,'Base stats'!B:B,'Base stats'!AF:AF)</f>
        <v>No</v>
      </c>
      <c r="BU59" s="2" t="str">
        <f>IF(AND(J59&lt;=0.95,OR(_xlfn.XLOOKUP(B59,'Base stats'!B:B,'Base stats'!AK:AK)=1,_xlfn.XLOOKUP(B59,'Base stats'!B:B,'Base stats'!Y:Y)="Carnivore",_xlfn.XLOOKUP(B59,'Base stats'!B:B,'Base stats'!Y:Y)="Omnivore",BE59&gt;0.1)),"true","false")</f>
        <v>true</v>
      </c>
      <c r="BV59" s="2" t="str">
        <f>IF(_xlfn.XLOOKUP(B59,'Base stats'!B:B,'Base stats'!AI:AI)=1,"true","false")</f>
        <v>false</v>
      </c>
      <c r="BW59" s="25" t="str">
        <f>IF(E59="BaseInsect","AnimalInsect",
IF(J59&gt;0.95,"AnimalExotic",
_xlfn.TEXTJOIN(", ",TRUE,
IF(OR(_xlfn.XLOOKUP(B59,'Base stats'!B:B,'Base stats'!AM:AM)=1,AND(_xlfn.XLOOKUP(B59,'Base stats'!B:B,'Base stats'!O:O)=0,_xlfn.XLOOKUP(_xlfn.XLOOKUP(B59,'Base stats'!B:B,'Base stats'!E:E),Groups!A:A,Groups!B:B)&gt;0)),"AnimalUncommon","AnimalCommon"),
IF(AND(_xlfn.XLOOKUP(B59,'Base stats'!B:B,'Base stats'!O:O)=2,_xlfn.XLOOKUP(_xlfn.XLOOKUP(B59,'Base stats'!B:B,'Base stats'!E:E),Groups!A:A,Groups!D:D)=0),"AnimalPet",IF(AND(_xlfn.XLOOKUP(B59,'Base stats'!B:B,'Base stats'!O:O)&lt;&gt;0,_xlfn.XLOOKUP(_xlfn.XLOOKUP(B59,'Base stats'!B:B,'Base stats'!E:E),Groups!A:A,Groups!D:D)&lt;&gt;0),"AnimalFarm","")),
IF(OR(_xlfn.XLOOKUP(B59,'Base stats'!B:B,'Base stats'!AK:AK)=1,AND(BI59&lt;&gt;"None",BR59&gt;=60),ISNUMBER(SEARCH("Attack target",BP59))),"AnimalFighter","")
)))</f>
        <v>AnimalCommon</v>
      </c>
      <c r="BX59" s="25" t="str">
        <f>IF(G59="None",TRIM(
SUBSTITUTE(
IF(COUNTIF(Biomes!B$2:B$259,"="&amp;$C59)&gt;0,Biomes!B$1&amp;", ","")&amp;
IF(COUNTIF(Biomes!C$2:C$259,"="&amp;$C59)&gt;0,Biomes!C$1&amp;", ","")&amp;
IF(COUNTIF(Biomes!D$2:D$259,"="&amp;$C59)&gt;0,Biomes!D$1&amp;", ","")&amp;
IF(COUNTIF(Biomes!F$2:F$259,"="&amp;$C59)&gt;0,Biomes!F$1&amp;", ","")&amp;
IF(COUNTIF(Biomes!G$2:G$259,"="&amp;$C59)&gt;0,Biomes!G$1&amp;", ","")&amp;
IF(COUNTIF(Biomes!H$2:H$259,"="&amp;$C59)&gt;0,Biomes!H$1&amp;", ","")&amp;
IF(COUNTIF(Biomes!I$2:I$259,"="&amp;$C59)&gt;0,Biomes!I$1&amp;", ","")&amp;
IF(COUNTIF(Biomes!J$2:J$259,"="&amp;$C59)&gt;0,Biomes!J$1&amp;", ","")&amp;
IF(COUNTIF(Biomes!M$2:M$259,"="&amp;$C59)&gt;0,Biomes!M$1&amp;", ","")&amp;
IF(COUNTIF(Biomes!N$2:N$259,"="&amp;$C59)&gt;0,Biomes!N$1&amp;", ","")&amp;
IF(COUNTIF(Biomes!O$2:O$259,"="&amp;$C59)&gt;0,Biomes!O$1&amp;", ","")&amp;
IF(COUNTIF(Biomes!P$2:P$259,"="&amp;$C59)&gt;0,Biomes!P$1&amp;", ","")&amp;
IF(COUNTIF(Biomes!K$2:K$259,"="&amp;$C59)&gt;0,Biomes!K$1&amp;", ","")&amp;
IF(COUNTIF(Biomes!Q$3:Q$259,"="&amp;$C59)&gt;0,Biomes!Q$1&amp;", ","")&amp;
IF(COUNTIF(Biomes!L$2:L$259,"="&amp;$C59)&gt;0,Biomes!L$1&amp;", ","")&amp;
IF(COUNTIF(Biomes!E$2:E$259,"="&amp;$C59)&gt;0,Biomes!E$1&amp;", ","")&amp;IF(COUNTIF(Biomes!S$2:S$259,"="&amp;$C59)&gt;0,Biomes!S$1&amp;", ","")&amp;
IF(COUNTIF(Biomes!R$2:R$259,"="&amp;$C59)&gt;0,Biomes!R$1&amp;", ",""),", ","")
),_xlfn.XLOOKUP(B59,B:B,BX:BX))</f>
        <v>SeaIce IceSheet Tundra</v>
      </c>
      <c r="BY59" s="25" t="str">
        <f>IF(_xlfn.XLOOKUP(B59,'Base stats'!B:B,'Base stats'!AJ:AJ)=1,"true","false")</f>
        <v>false</v>
      </c>
      <c r="BZ59" s="25">
        <f>IF(_xlfn.XLOOKUP(B59,'Base stats'!B:B,'Base stats'!N:N)=1,"No",MAX(0.001,MIN(MROUND(IF(AND(BJ59="True",CC59="False"),POWER(10,3.47*LOG10(_xlfn.XLOOKUP(B59,'Base stats'!B:B,'Base stats'!C:C)*1000)^-0.96),POWER(10,4.15*LOG10(_xlfn.XLOOKUP(B59,'Base stats'!B:B,'Base stats'!C:C)*1000)^-0.73))*IF(_xlfn.XLOOKUP(B59,'Base stats'!B:B,'Base stats'!AK:AK)=1,0.5,1)*IF(_xlfn.XLOOKUP(B59,'Base stats'!B:B,'Base stats'!AM:AM)=1,0.1,1)/100,IF(_xlfn.XLOOKUP(B59,'Base stats'!B:B,'Base stats'!AM:AM)=1,0.001,0.025)),0.5)))</f>
        <v>0.1</v>
      </c>
      <c r="CA59" s="25" t="str">
        <f>IF(P59="Standard","No",MAX(0.001,MIN(MROUND(IF(AND(BJ59="True",CC59="False"),POWER(10,3.47*LOG10(_xlfn.XLOOKUP(B59,'Base stats'!B:B,'Base stats'!C:C)*1000)^-0.96),POWER(10,4.15*LOG10(_xlfn.XLOOKUP(B59,'Base stats'!B:B,'Base stats'!C:C)*1000)^-0.73))*IF(_xlfn.XLOOKUP(B59,'Base stats'!B:B,'Base stats'!AM:AM)=1,0.1,1)*_xlfn.XLOOKUP(B59,'Base stats'!B:B,'Base stats'!R:R)/100,IF(_xlfn.XLOOKUP(B59,'Base stats'!B:B,'Base stats'!AM:AM)=1,0.001,0.025)),0.5)))</f>
        <v>No</v>
      </c>
      <c r="CB59" s="25" t="str">
        <f>IF(_xlfn.XLOOKUP(_xlfn.XLOOKUP(B59,'Base stats'!B:B,'Base stats'!E:E),Groups!A:A,Groups!AJ:AJ)="Mammal","True","False")</f>
        <v>True</v>
      </c>
      <c r="CC59" s="25" t="str">
        <f>IF(OR(_xlfn.XLOOKUP(_xlfn.XLOOKUP(B59,'Base stats'!B:B,'Base stats'!E:E),Groups!A:A,Groups!AJ:AJ)="Reptile",_xlfn.XLOOKUP(_xlfn.XLOOKUP(B59,'Base stats'!B:B,'Base stats'!E:E),Groups!A:A,Groups!AJ:AJ)="Amphibian",_xlfn.XLOOKUP(_xlfn.XLOOKUP(B59,'Base stats'!B:B,'Base stats'!E:E),Groups!A:A,Groups!AJ:AJ)="Invertebrate"),"True","False")</f>
        <v>False</v>
      </c>
      <c r="CD59" s="25" t="str">
        <f t="shared" si="6"/>
        <v>False</v>
      </c>
      <c r="CE59" s="25" t="str">
        <f>IF(_xlfn.XLOOKUP(_xlfn.XLOOKUP(B59,'Base stats'!B:B,'Base stats'!E:E),Groups!A:A,Groups!AX:AX),"True","False")</f>
        <v>False</v>
      </c>
      <c r="CF59" s="25" t="str">
        <f>IF(_xlfn.XLOOKUP(_xlfn.XLOOKUP(B59,'Base stats'!B:B,'Base stats'!E:E),Groups!A:A,Groups!AY:AY),"True","False")</f>
        <v>False</v>
      </c>
      <c r="CG59" s="25" t="str">
        <f>IF(_xlfn.XLOOKUP(_xlfn.XLOOKUP(B59,'Base stats'!B:B,'Base stats'!E:E),Groups!A:A,Groups!AW:AW),"True","False")</f>
        <v>False</v>
      </c>
      <c r="CH59" s="25" t="str">
        <f>IF(
OR(
_xlfn.XLOOKUP(_xlfn.XLOOKUP(B59,'Base stats'!B:B,'Base stats'!E:E),Groups!A:A,Groups!AZ:AZ)=0,
AND(
_xlfn.XLOOKUP(B59,'Base stats'!B:B,'Base stats'!Y:Y)&lt;&gt;"Carnivore",
_xlfn.XLOOKUP(B59,'Base stats'!B:B,'Base stats'!Y:Y)&lt;&gt;"Omnivore",
_xlfn.XLOOKUP(B59,'Base stats'!B:B,'Base stats'!Y:Y)&lt;&gt;"OmnivoreRough"
)
),
"No",
IF(
_xlfn.XLOOKUP(_xlfn.XLOOKUP(B59,'Base stats'!B:B,'Base stats'!E:E),Groups!A:A,Groups!AZ:AZ)=1,
"Flesh",
IF(
_xlfn.XLOOKUP(_xlfn.XLOOKUP(B59,'Base stats'!B:B,'Base stats'!E:E),Groups!A:A,Groups!AZ:AZ)=2,
"Bone",
""
)
)
)</f>
        <v>No</v>
      </c>
      <c r="CI59" s="25" t="str">
        <f>IF(_xlfn.XLOOKUP(_xlfn.XLOOKUP(B59,'Base stats'!B:B,'Base stats'!E:E),Groups!A:A,Groups!BB:BB),"True","False")</f>
        <v>True</v>
      </c>
      <c r="CJ59" s="25" t="str">
        <f>IF(_xlfn.XLOOKUP(_xlfn.XLOOKUP(B59,'Base stats'!B:B,'Base stats'!E:E),Groups!A:A,Groups!BA:BA),"True","False")</f>
        <v>False</v>
      </c>
    </row>
    <row r="60" spans="1:88" ht="16.5" thickTop="1" thickBot="1" x14ac:dyDescent="0.3">
      <c r="A60" s="26" t="str">
        <f>_xlfn.XLOOKUP(B60,'Base stats'!B:B,'Base stats'!A:A)</f>
        <v>Fennec fox</v>
      </c>
      <c r="B60" s="6" t="s">
        <v>487</v>
      </c>
      <c r="C60" s="28" t="s">
        <v>739</v>
      </c>
      <c r="D60" s="28" t="s">
        <v>45</v>
      </c>
      <c r="E60" s="28" t="s">
        <v>736</v>
      </c>
      <c r="F60" s="28" t="s">
        <v>737</v>
      </c>
      <c r="G60" s="28" t="s">
        <v>673</v>
      </c>
      <c r="H60" s="2">
        <f>MROUND((
  (IF(AND(_xlfn.XLOOKUP(B60,'Base stats'!B:B,'Base stats'!AL:AL)=0,BI60="None",_xlfn.XLOOKUP(_xlfn.XLOOKUP(B60,'Base stats'!B:B,'Base stats'!E:E),Groups!A:A,Groups!B:B)=0), (18 + BR60 * 2.7) * 0.5,
    IF(AND(_xlfn.XLOOKUP(B60,'Base stats'!B:B,'Base stats'!AL:AL)=0,OR(AO60&lt;0.55,AND(BI60="Intermediate",_xlfn.XLOOKUP(_xlfn.XLOOKUP(B60,'Base stats'!B:B,'Base stats'!E:E),Groups!A:A,Groups!B:B)&lt;2))), (18 + BR60 * 2.7),
      IF(OR(BI60="Advanced",_xlfn.XLOOKUP(B60,'Base stats'!B:B,'Base stats'!AL:AL)=1,_xlfn.XLOOKUP(_xlfn.XLOOKUP(B60,'Base stats'!B:B,'Base stats'!E:E),Groups!A:A,Groups!B:B)=2), (18 + BR60 * 2.7) + 250, (18 + BR60 * 2.7))
    )
  ))
  + AO60 * 80
  + IF(COUNTIF(EggMilk!K$2:K$998, A60) &gt; 0, 125, 0)
  + IF(COUNTIF(EggMilk!P$2:P$998, A60) &gt; 0, 90, 0)
  + IF(COUNTIF(EggMilk!A$2:A$998, A60) &gt; 0, 90, 0)
)
* (0.8 + 0.4 * J60)
* 0.75,25)</f>
        <v>100</v>
      </c>
      <c r="I60" s="2">
        <f>MROUND(ROUNDDOWN(_xlfn.XLOOKUP(B60,'Base stats'!B:B,'Base stats'!L:L)/3.6/(23.3/11),1),0.5)</f>
        <v>5.5</v>
      </c>
      <c r="J60" s="2">
        <f>IF(OR(_xlfn.XLOOKUP(B60,'Base stats'!B:B,'Base stats'!AB:AB)=1,_xlfn.XLOOKUP(_xlfn.XLOOKUP(B60,'Base stats'!B:B,'Base stats'!E:E),Groups!A:A,Groups!C:C)="Untamable"),1,IF(_xlfn.XLOOKUP(B60,'Base stats'!B:B,'Base stats'!AL:AL)=1,0.99,MIN(MROUND((1-0.6282*EXP(-0.459*AO60))*_xlfn.XLOOKUP(_xlfn.XLOOKUP(B60,'Base stats'!B:B,'Base stats'!E:E),Groups!A:A,Groups!C:C)*IF(_xlfn.XLOOKUP(B60,'Base stats'!B:B,'Base stats'!O:O)=1,0.5,IF(_xlfn.XLOOKUP(B60,'Base stats'!B:B,'Base stats'!O:O)=2,0,1)),0.05),IF(AO60&gt;3.5,0.985,0.95))))</f>
        <v>0.55000000000000004</v>
      </c>
      <c r="K60" s="2">
        <f>ROUNDUP(AO60*_xlfn.XLOOKUP(_xlfn.XLOOKUP(B60,'Base stats'!B:B,'Base stats'!E:E),Groups!A:A,Groups!E:E),0)</f>
        <v>1</v>
      </c>
      <c r="L60" s="2">
        <f>IF(OR(_xlfn.XLOOKUP(_xlfn.XLOOKUP(B60,'Base stats'!B:B,'Base stats'!E:E),Groups!A:A,Groups!F:F)=2,ISNUMBER(SEARCH("SeaIce",BX60)),ISNUMBER(SEARCH("IceSheet",BX60))),-50,IF(OR(ISNUMBER(SEARCH("GlacialPlain",BX60)),ISNUMBER(SEARCH("Tundra",BX60))),-40,IF(OR(ISNUMBER(SEARCH("Alpine",BX60)),ISNUMBER(SEARCH("BorealForest",BX60)),ISNUMBER(SEARCH("ColdBog",BX60))),-30,IF(OR(ISNUMBER(SEARCH("TemperateForest",BX60)),ISNUMBER(SEARCH("TemperateSwamp",BX60))),-20,IF(_xlfn.XLOOKUP(_xlfn.XLOOKUP(B60,'Base stats'!B:B,'Base stats'!E:E),Groups!A:A,Groups!F:F)=1,-15,IF(OR(ISNUMBER(SEARCH("Desert",BX60)),ISNUMBER(SEARCH("ExtremeDesert",BX60))),-10,IF(OR(ISNUMBER(SEARCH("Grasslands",BX60)),ISNUMBER(SEARCH("TropicalRainforest",BX60)),ISNUMBER(SEARCH("TropicalSwamp",BX60))),10,0)))))))-IF(CC60="False",MIN(IFERROR(MAX(MROUND(LOG10(_xlfn.XLOOKUP(B60,'Base stats'!B:B,'Base stats'!C:C)^(2/3))*10,5),5),5),30))-_xlfn.XLOOKUP(B60,'Base stats'!B:B,'Base stats'!P:P)+IF(CC60="True",5,0)</f>
        <v>-20</v>
      </c>
      <c r="M60" s="2">
        <f>IF(OR(_xlfn.XLOOKUP(_xlfn.XLOOKUP(B60,'Base stats'!B:B,'Base stats'!E:E),Groups!A:A,Groups!G:G)=2,ISNUMBER(SEARCH("Desert",BX60)),ISNUMBER(SEARCH("ExtremeDesert",BX60)),ISNUMBER(SEARCH("LavaField",BX60))),50,IF(ISNUMBER(SEARCH("Grasslands",BX60)),45,IF(OR(_xlfn.XLOOKUP(_xlfn.XLOOKUP(B60,'Base stats'!B:B,'Base stats'!E:E),Groups!A:A,Groups!G:G)=1,ISNUMBER(SEARCH("TropicalRainforest",BX60)),ISNUMBER(SEARCH("TropicalSwamp",BX60))),40,IF(OR(ISNUMBER(SEARCH("TemperateForest",BX60)),ISNUMBER(SEARCH("TemperateSwamp",BX60))),35,IF(OR(ISNUMBER(SEARCH("Alpine",BX60)),ISNUMBER(SEARCH("BorealForest",BX60)),ISNUMBER(SEARCH("ColdBog",BX60))),30,IF(ISNUMBER(OR(ISNUMBER(SEARCH("GlacialPlain",BX60)),SEARCH("Tundra",BX60))),25,IF(OR(ISNUMBER(SEARCH("SeaIce",BX60)),ISNUMBER(SEARCH("IceSheet",BX60)),ISNUMBER(SEARCH("TropicalSwamp",BX60))),10,35)))))))+_xlfn.XLOOKUP(B60,'Base stats'!B:B,'Base stats'!Q:Q)</f>
        <v>50</v>
      </c>
      <c r="N60" s="8" t="str">
        <f>IF(
_xlfn.XLOOKUP(
_xlfn.XLOOKUP(B60,'Base stats'!B:B,'Base stats'!E:E),
Groups!A:A,
Groups!L:L
)=1,
MIN(
MROUND(
IF(
_xlfn.XLOOKUP(B60,'Animals CE'!B:B,'Animals CE'!Z:Z)&lt;=1.5,
_xlfn.XLOOKUP(B60,'Animals CE'!B:B,'Animals CE'!Z:Z)/2+0.05,
0.8+
(_xlfn.XLOOKUP(B60,'Animals CE'!B:B,'Animals CE'!Z:Z)-1.5)
*0.02
),
0.05
),
200%
),
"No"
)</f>
        <v>No</v>
      </c>
      <c r="O60" s="8" t="str">
        <f>IF(
_xlfn.XLOOKUP(
_xlfn.XLOOKUP(B60,'Base stats'!B:B,'Base stats'!E:E),
Groups!A:A,
Groups!L:L
)=1,
MIN(
MROUND(
IF(
_xlfn.XLOOKUP(B60,'Animals CE'!B:B,'Animals CE'!AA:AA)&lt;=1.5,
_xlfn.XLOOKUP(B60,'Animals CE'!B:B,'Animals CE'!AA:AA)/2+0.05,
0.8+
(_xlfn.XLOOKUP(B60,'Animals CE'!B:B,'Animals CE'!AA:AA)-1.5)
*0.02
),
0.05
),
200%
),
"No"
)</f>
        <v>No</v>
      </c>
      <c r="P60" s="2" t="str">
        <f>_xlfn.XLOOKUP(B60,'Base stats'!B:B,'Base stats'!R:R)</f>
        <v>Standard</v>
      </c>
      <c r="Q60" s="13">
        <f>MROUND((LOG10(_xlfn.XLOOKUP(B60,'Base stats'!B:B,'Base stats'!AR:AR))*(AO60^0.5)+(_xlfn.XLOOKUP(B60,'Base stats'!B:B,'Base stats'!AR:AR)/1000)^(2/3)+_xlfn.XLOOKUP(B60,'Base stats'!B:B,'Base stats'!BA:BA)/2)+0.5,0.5)</f>
        <v>2</v>
      </c>
      <c r="R60" s="7">
        <f>IF(Q60="No","No",MAX(1,MROUND(_xlfn.XLOOKUP(B60,'Base stats'!B:B,'Base stats'!C:C)^0.165,0.05)))</f>
        <v>1.1500000000000001</v>
      </c>
      <c r="S60" s="13" t="str">
        <f>IF(_xlfn.XLOOKUP(_xlfn.XLOOKUP(B60,'Base stats'!B:B,'Base stats'!E:E),Groups!A:A,Groups!P:P)=0,"No",MROUND((LOG10(_xlfn.XLOOKUP(B60,'Base stats'!B:B,'Base stats'!AS:AS))*(AO60^0.5)+(_xlfn.XLOOKUP(B60,'Base stats'!B:B,'Base stats'!AS:AS)/1000)^(2/3)+_xlfn.XLOOKUP(B60,'Base stats'!B:B,'Base stats'!BA:BA))+_xlfn.XLOOKUP(B60,'Base stats'!B:B,'Base stats'!AY:AY)+0.5,0.5))</f>
        <v>No</v>
      </c>
      <c r="T60" s="7" t="str">
        <f>IF(S60="No","No",MAX(_xlfn.XLOOKUP(_xlfn.XLOOKUP(B60,'Base stats'!B:B,'Base stats'!E:E),Groups!A:A,Groups!Q:Q),MROUND(_xlfn.XLOOKUP(_xlfn.XLOOKUP(B60,'Base stats'!B:B,'Base stats'!E:E),Groups!A:A,Groups!Q:Q)*_xlfn.XLOOKUP(B60,'Base stats'!B:B,'Base stats'!C:C)^0.165,0.05)))</f>
        <v>No</v>
      </c>
      <c r="U60" s="7" t="str">
        <f>IF(S60="No","No",_xlfn.XLOOKUP(_xlfn.XLOOKUP(B60,'Base stats'!B:B,'Base stats'!E:E),Groups!A:A,Groups!R:R))</f>
        <v>No</v>
      </c>
      <c r="V60" s="7" t="str">
        <f>IF(S60="No","No",_xlfn.XLOOKUP(_xlfn.XLOOKUP(B60,'Base stats'!B:B,'Base stats'!E:E),Groups!A:A,Groups!S:S))</f>
        <v>No</v>
      </c>
      <c r="W60" s="7" t="str">
        <f>IF(S60="No","No",_xlfn.XLOOKUP(_xlfn.XLOOKUP(B60,'Base stats'!B:B,'Base stats'!E:E),Groups!A:A,Groups!T:T))</f>
        <v>No</v>
      </c>
      <c r="X60" s="13" t="str">
        <f>IF(_xlfn.XLOOKUP(B60,'Base stats'!B:B,'Base stats'!W:W)="No","No",MROUND((LOG10(_xlfn.XLOOKUP(B60,'Base stats'!B:B,'Base stats'!AU:AU))*(AO60^0.5)+(_xlfn.XLOOKUP(B60,'Base stats'!B:B,'Base stats'!AU:AU)/1000)^(2/3)+_xlfn.XLOOKUP(B60,'Base stats'!B:B,'Base stats'!AZ:AZ))+0.5+IF(_xlfn.XLOOKUP(_xlfn.XLOOKUP(B60,'Base stats'!B:B,'Base stats'!E:E),Groups!A:A,Groups!U:U)&lt;&gt;3,_xlfn.XLOOKUP(B60,'Base stats'!B:B,'Base stats'!BA:BA),0),0.5))</f>
        <v>No</v>
      </c>
      <c r="Y60" s="7" t="str">
        <f>IF(X60="No","No",MAX(_xlfn.XLOOKUP(_xlfn.XLOOKUP(B60,'Base stats'!B:B,'Base stats'!E:E),Groups!A:A,Groups!V:V),MROUND(_xlfn.XLOOKUP(_xlfn.XLOOKUP(B60,'Base stats'!B:B,'Base stats'!E:E),Groups!A:A,Groups!V:V)*_xlfn.XLOOKUP(B60,'Base stats'!B:B,'Base stats'!C:C)^0.165,0.05)))</f>
        <v>No</v>
      </c>
      <c r="Z60" s="7" t="str">
        <f>IF(X60="No","No",_xlfn.XLOOKUP(_xlfn.XLOOKUP(B60,'Base stats'!B:B,'Base stats'!E:E),Groups!A:A,Groups!W:W))</f>
        <v>No</v>
      </c>
      <c r="AA60" s="7" t="str">
        <f>IF(X60="No","No",_xlfn.XLOOKUP(_xlfn.XLOOKUP(B60,'Base stats'!B:B,'Base stats'!E:E),Groups!A:A,Groups!X:X))</f>
        <v>No</v>
      </c>
      <c r="AB60" s="7" t="str">
        <f>IF(X60="No","No",_xlfn.XLOOKUP(_xlfn.XLOOKUP(B60,'Base stats'!B:B,'Base stats'!E:E),Groups!A:A,Groups!Y:Y))</f>
        <v>No</v>
      </c>
      <c r="AC60" s="7" t="str">
        <f>_xlfn.XLOOKUP(Animals!B60,'Base stats'!B:B,'Base stats'!X:X)</f>
        <v>False</v>
      </c>
      <c r="AD60" s="13">
        <f>IF(_xlfn.XLOOKUP(B60,'Base stats'!B:B,'Base stats'!AT:AT)="No","No",MROUND((LOG10(_xlfn.XLOOKUP(B60,'Base stats'!B:B,'Base stats'!AT:AT))*(AO60^0.75)+(_xlfn.XLOOKUP(B60,'Base stats'!B:B,'Base stats'!AT:AT)/1000)^(2/3)+_xlfn.XLOOKUP(B60,'Base stats'!B:B,'Base stats'!AX:AX)+_xlfn.XLOOKUP(B60,'Base stats'!B:B,'Base stats'!BA:BA))+0.5,0.5))</f>
        <v>3.5</v>
      </c>
      <c r="AE60" s="7">
        <f>IF(AD60="No","No",MAX(_xlfn.XLOOKUP(_xlfn.XLOOKUP(B60,'Base stats'!B:B,'Base stats'!E:E),Groups!A:A,Groups!Z:Z),MROUND(_xlfn.XLOOKUP(_xlfn.XLOOKUP(B60,'Base stats'!B:B,'Base stats'!E:E),Groups!A:A,Groups!Z:Z)*_xlfn.XLOOKUP(B60,'Base stats'!B:B,'Base stats'!C:C)^0.165,0.05)))</f>
        <v>0.9</v>
      </c>
      <c r="AF60" s="7" t="str">
        <f>IF(AD60="No","No",_xlfn.XLOOKUP(_xlfn.XLOOKUP(B60,'Base stats'!B:B,'Base stats'!E:E),Groups!A:A,Groups!AA:AA))</f>
        <v>Teeth</v>
      </c>
      <c r="AG60" s="7" t="str">
        <f>IF(AD60="No","No",_xlfn.XLOOKUP(_xlfn.XLOOKUP(B60,'Base stats'!B:B,'Base stats'!E:E),Groups!A:A,Groups!AB:AB))</f>
        <v>canines</v>
      </c>
      <c r="AH60" s="7" t="str">
        <f>IF(AD60="No","No",_xlfn.XLOOKUP(_xlfn.XLOOKUP(B60,'Base stats'!B:B,'Base stats'!E:E),Groups!A:A,Groups!AC:AC))</f>
        <v>Bite</v>
      </c>
      <c r="AI60" s="13" t="str">
        <f>IF(_xlfn.XLOOKUP(_xlfn.XLOOKUP(B60,'Base stats'!B:B,'Base stats'!E:E),Groups!A:A,Groups!AD:AD)=0,"No",MROUND((LOG10(_xlfn.XLOOKUP(B60,'Base stats'!B:B,'Base stats'!AS:AS))*(AO60^0.75)+(_xlfn.XLOOKUP(B60,'Base stats'!B:B,'Base stats'!AS:AS)/1000)^(2/3)+_xlfn.XLOOKUP(B60,'Base stats'!B:B,'Base stats'!AY:AY)+_xlfn.XLOOKUP(B60,'Base stats'!B:B,'Base stats'!BA:BA))+0.5,0.5))</f>
        <v>No</v>
      </c>
      <c r="AJ60" s="7" t="str">
        <f>IF(AI60="No","No",MAX(_xlfn.XLOOKUP(_xlfn.XLOOKUP(B60,'Base stats'!B:B,'Base stats'!E:E),Groups!A:A,Groups!AE:AE),MROUND(_xlfn.XLOOKUP(_xlfn.XLOOKUP(B60,'Base stats'!B:B,'Base stats'!E:E),Groups!A:A,Groups!AE:AE)*IF(_xlfn.XLOOKUP(_xlfn.XLOOKUP(B60,'Base stats'!B:B,'Base stats'!E:E),Groups!A:A,Groups!AJ:AJ)="Photonozoa",0.6,1)*_xlfn.XLOOKUP(B60,'Base stats'!B:B,'Base stats'!C:C)^0.165,0.05)))</f>
        <v>No</v>
      </c>
      <c r="AK60" s="7" t="str">
        <f>IF(AI60="No","No",_xlfn.XLOOKUP(_xlfn.XLOOKUP(B60,'Base stats'!B:B,'Base stats'!E:E),Groups!A:A,Groups!AF:AF))</f>
        <v>No</v>
      </c>
      <c r="AL60" s="7" t="str">
        <f>IF(AI60="No","No",_xlfn.XLOOKUP(_xlfn.XLOOKUP(B60,'Base stats'!B:B,'Base stats'!E:E),Groups!A:A,Groups!AG:AG))</f>
        <v>No</v>
      </c>
      <c r="AM60" s="7" t="str">
        <f>IF(AI60="No","No",_xlfn.XLOOKUP(_xlfn.XLOOKUP(B60,'Base stats'!B:B,'Base stats'!E:E),Groups!A:A,Groups!AH:AH))</f>
        <v>No</v>
      </c>
      <c r="AN60" s="2">
        <f t="shared" si="0"/>
        <v>15</v>
      </c>
      <c r="AO60" s="2">
        <f>MROUND(IF(AND(_xlfn.XLOOKUP(B60,'Base stats'!B:B,'Base stats'!C:C)&gt;=0.5,_xlfn.XLOOKUP(B60,'Base stats'!B:B,'Base stats'!C:C)&lt;=0.8),
IF(_xlfn.XLOOKUP(B60,'Base stats'!B:B,'Base stats'!C:C)&lt;0.1,0.05,IF(_xlfn.XLOOKUP(B60,'Base stats'!B:B,'Base stats'!C:C)&lt;=70,(_xlfn.XLOOKUP(B60,'Base stats'!B:B,'Base stats'!C:C)/70)^0.426489913056526,IF(_xlfn.XLOOKUP(B60,'Base stats'!B:B,'Base stats'!C:C)&lt;=400,(_xlfn.XLOOKUP(B60,'Base stats'!B:B,'Base stats'!C:C)/70)^0.572811455315093,IF(_xlfn.XLOOKUP(B60,'Base stats'!B:B,'Base stats'!C:C)&lt;=2000,2.71391647193063*(_xlfn.XLOOKUP(B60,'Base stats'!B:B,'Base stats'!C:C)/400)^0.252459582904293,3.74314280240376*(_xlfn.XLOOKUP(B60,'Base stats'!B:B,'Base stats'!C:C)/2000)^0.357012633876913)))),
IF(_xlfn.XLOOKUP(B60,'Base stats'!B:B,'Base stats'!C:C)&lt;0.1,0.05,IF(_xlfn.XLOOKUP(B60,'Base stats'!B:B,'Base stats'!C:C)&lt;0.4,0.1,IF(_xlfn.XLOOKUP(B60,'Base stats'!B:B,'Base stats'!C:C)&lt;=70,(_xlfn.XLOOKUP(B60,'Base stats'!B:B,'Base stats'!C:C)/70)^0.445823913056526,IF(_xlfn.XLOOKUP(B60,'Base stats'!B:B,'Base stats'!C:C)&lt;=400,(_xlfn.XLOOKUP(B60,'Base stats'!B:B,'Base stats'!C:C)/70)^0.572811455315093,IF(_xlfn.XLOOKUP(B60,'Base stats'!B:B,'Base stats'!C:C)&lt;=2000,2.71391647193063*(_xlfn.XLOOKUP(B60,'Base stats'!B:B,'Base stats'!C:C)/400)^0.252459582904293,3.74314280240376*(_xlfn.XLOOKUP(B60,'Base stats'!B:B,'Base stats'!C:C)/2000)^0.357012633876913)))))),
IF(_xlfn.XLOOKUP(B60,'Base stats'!B:B,'Base stats'!C:C)&lt;0.1,0.05,IF(_xlfn.XLOOKUP(B60,'Base stats'!B:B,'Base stats'!C:C)&lt;=100,0.05,IF(_xlfn.XLOOKUP(B60,'Base stats'!B:B,'Base stats'!C:C)&lt;=250,0.1,IF(_xlfn.XLOOKUP(B60,'Base stats'!B:B,'Base stats'!C:C)&lt;=4000,0.25,0.5)))))</f>
        <v>0.2</v>
      </c>
      <c r="AP60" s="8">
        <f>MROUND(AO60*_xlfn.XLOOKUP(_xlfn.XLOOKUP(B60,'Base stats'!B:B,'Base stats'!E:E),Groups!A:A,Groups!AI:AI)*_xlfn.XLOOKUP(B60,'Base stats'!B:B,'Base stats'!Z:Z),0.05)</f>
        <v>0.25</v>
      </c>
      <c r="AQ60" s="8">
        <f>MAX(0.01,MROUND(IF(CC60="True",0.196*(AO60*100*1000)^0.889,IF(_xlfn.XLOOKUP(_xlfn.XLOOKUP(B60,'Base stats'!B:B,'Base stats'!E:E),Groups!A:A,Groups!AJ:AJ)="Bird",10.5*(AO60*100*1000)^0.681,4.82*(AO60*100*1000)^0.734))/(4.82*(1*100*1000)^0.734)/IF(AO60&lt;3.5,2,IF(AO60=3.5,1.5,1.25))*(1+0.132282374779864/(AO60^0.994035016789033+0.00905238001496948)),0.05))</f>
        <v>0.25</v>
      </c>
      <c r="AR60" s="9">
        <f>IFERROR(MROUND(_xlfn.XLOOKUP(B60,'Base stats'!B:B,'Base stats'!H:H)/IF(_xlfn.XLOOKUP(B60,'Base stats'!B:B,'Base stats'!I:I)&lt;&gt;1,(122.5/70),1.2),IF(_xlfn.XLOOKUP(B60,'Base stats'!B:B,'Base stats'!H:H)&gt;=30,5,IF(_xlfn.XLOOKUP(B60,'Base stats'!B:B,'Base stats'!H:H)&gt;=15,3,IF(_xlfn.XLOOKUP(B60,'Base stats'!B:B,'Base stats'!H:H)&gt;=10,2,1)))),"Immortal")</f>
        <v>9</v>
      </c>
      <c r="AS60" s="35">
        <f>IFERROR(IF(OR(_xlfn.XLOOKUP(B60,'Base stats'!B:B,'Base stats'!F:F)="Atypical reproduction",_xlfn.XLOOKUP(B60,'Base stats'!B:B,'Base stats'!F:F)="Lay eggs"),"Lay eggs",MIN(20,MAX(5.5,ROUND(((_xlfn.XLOOKUP(B60,'Base stats'!B:B,'Base stats'!F:F)-25)*(14.5/615) + 5.5)*2,0)/2))),"Unknown")</f>
        <v>6</v>
      </c>
      <c r="AT60" s="8">
        <f>IF(_xlfn.XLOOKUP(B60,'Base stats'!B:B,'Base stats'!G:G)="Atypical reproduction","No",IFERROR(MAX(IF(_xlfn.XLOOKUP(B60,'Base stats'!B:B,'Base stats'!G:G)&lt;0.5,0.2,0.3),MROUND(_xlfn.XLOOKUP(B60,'Base stats'!B:B,'Base stats'!G:G)/(365/60),0.2)),"Unknown"))</f>
        <v>0.3</v>
      </c>
      <c r="AU60" s="8">
        <f t="shared" si="1"/>
        <v>0.15000000000000002</v>
      </c>
      <c r="AV60" s="8">
        <f>IFERROR(IFERROR(MROUND(_xlfn.XLOOKUP(B60,'Base stats'!B:B,'Base stats'!J:J),0.1),"Lay eggs"),"Cannot breed")</f>
        <v>2.2000000000000002</v>
      </c>
      <c r="AW60" s="2" t="str">
        <f t="shared" si="2"/>
        <v>false</v>
      </c>
      <c r="AX60" s="2" t="str">
        <f>IF(_xlfn.XLOOKUP(_xlfn.XLOOKUP(Animals!B60,'Base stats'!B:B,'Base stats'!E:E),Groups!A:A,Groups!AK:AK)=1,"true","false")</f>
        <v>false</v>
      </c>
      <c r="AY60" s="25" t="str">
        <f>IF(_xlfn.XLOOKUP(B60,'Base stats'!B:B,'Base stats'!Y:Y)="Liquor","Liquor, CarnivoreAnimalStrict",IF(AND(_xlfn.XLOOKUP(B60,'Base stats'!B:B,'Base stats'!Y:Y)="Carnivore",_xlfn.XLOOKUP(_xlfn.XLOOKUP(B60,'Base stats'!B:B,'Base stats'!E:E),Groups!A:A,Groups!AJ:AJ)="Photonozoa"),"CarnivoreAnimalStrict, OvivoreAnimal",IF(_xlfn.XLOOKUP(B60,'Base stats'!B:B,'Base stats'!Y:Y)="Carnivore","CarnivoreAnimal, OvivoreAnimal",IF(_xlfn.XLOOKUP(B60,'Base stats'!B:B,'Base stats'!Y:Y)="Dendrovore","VegetarianRoughAnimal, DendrovoreAnimal",IF(_xlfn.XLOOKUP(B60,'Base stats'!B:B,'Base stats'!Y:Y)="Herbivore","VegetarianRoughAnimal",IF(_xlfn.XLOOKUP(B60,'Base stats'!B:B,'Base stats'!Y:Y)="OmnivoreRough","OmnivoreRoughAnimal, OvivoreAnimal","OmnivoreAnimal, OvivoreAnimal"))))))</f>
        <v>CarnivoreAnimal, OvivoreAnimal</v>
      </c>
      <c r="AZ60" s="2" t="str">
        <f>IF(_xlfn.XLOOKUP(_xlfn.XLOOKUP(B60,'Base stats'!B:B,'Base stats'!E:E),Groups!A:A,Groups!D:D)=1,MROUND((1-J60)*5+1,2)*IF(J60&lt;=0.4,2,1),"No")</f>
        <v>No</v>
      </c>
      <c r="BA60" s="2" t="str">
        <f>IF(AND(_xlfn.XLOOKUP(B60,'Base stats'!B:B,'Base stats'!AH:AH)="&lt;li&gt;Seal&lt;/li&gt;",G60="Odyssey"),"&lt;li&gt;AEXP_Seal&lt;/li&gt;",_xlfn.XLOOKUP(B60,'Base stats'!B:B,'Base stats'!AH:AH))</f>
        <v>No</v>
      </c>
      <c r="BB60" s="2" t="str">
        <f>_xlfn.XLOOKUP(B60,'Base stats'!B:B,'Base stats'!AG:AG)</f>
        <v>Leather_Fox</v>
      </c>
      <c r="BC60" s="23" t="str">
        <f>_xlfn.XLOOKUP(_xlfn.XLOOKUP(B60,'Base stats'!B:B,'Base stats'!E:E),Groups!A:A,Groups!AL:AL)</f>
        <v>QuadrupedAnimalWithPawsAndTail</v>
      </c>
      <c r="BD60" s="23">
        <f>MIN(1,MROUND(IF(AND(AO60&lt;0.5,_xlfn.XLOOKUP(B60,'Base stats'!B:B,'Base stats'!AA:AA)=0),0,IF(OR(_xlfn.XLOOKUP(Animals!B60,'Base stats'!B:B,'Base stats'!O:O)=2,_xlfn.XLOOKUP(_xlfn.XLOOKUP(B60,'Base stats'!B:B,'Base stats'!E:E),Groups!A:A,Groups!AN:AN)=0),0,_xlfn.XLOOKUP(_xlfn.XLOOKUP(B60,'Base stats'!B:B,'Base stats'!E:E),Groups!A:A,Groups!AN:AN)/IF(_xlfn.XLOOKUP(Animals!B60,'Base stats'!B:B,'Base stats'!O:O)=1,2,1)))+_xlfn.XLOOKUP(B60,'Base stats'!B:B,'Base stats'!AC:AC),0.005))</f>
        <v>0</v>
      </c>
      <c r="BE60" s="23">
        <f>MIN(1,MROUND(IF(AND(AO60&lt;0.5,_xlfn.XLOOKUP(B60,'Base stats'!B:B,'Base stats'!AA:AA)=0),0,IF(_xlfn.XLOOKUP(_xlfn.XLOOKUP(B60,'Base stats'!B:B,'Base stats'!E:E),Groups!A:A,Groups!AO:AO)=0,0,_xlfn.XLOOKUP(_xlfn.XLOOKUP(B60,'Base stats'!B:B,'Base stats'!E:E),Groups!A:A,Groups!AO:AO)/IF(_xlfn.XLOOKUP(Animals!B60,'Base stats'!B:B,'Base stats'!O:O)=2,3,1)))+_xlfn.XLOOKUP(B60,'Base stats'!B:B,'Base stats'!AD:AD),0.005))</f>
        <v>0</v>
      </c>
      <c r="BF60" s="2" t="str">
        <f>IF(J60&gt;0.3,"No",_xlfn.XLOOKUP(_xlfn.XLOOKUP(Animals!B60,'Base stats'!B:B,'Base stats'!E:E),Groups!A:A,Groups!AP:AP))</f>
        <v>No</v>
      </c>
      <c r="BG60" s="2">
        <f>IF(AND(J60&lt;=0.65,_xlfn.XLOOKUP(_xlfn.XLOOKUP(Animals!B60,'Base stats'!B:B,'Base stats'!E:E),Groups!A:A,Groups!AP:AP)&lt;&gt;"No",_xlfn.XLOOKUP(_xlfn.XLOOKUP(B60,'Base stats'!B:B,'Base stats'!E:E),Groups!A:A,Groups!D:D)=0),MROUND((80/3)*IF(_xlfn.XLOOKUP(B60,'Base stats'!B:B,'Base stats'!O:O)=2,0.2,AO60) + 24*(1-IF(BF60="No",0,BF60)) + 16/3, 12),"No")</f>
        <v>36</v>
      </c>
      <c r="BH60" s="2">
        <f>IF(AND(_xlfn.XLOOKUP(_xlfn.XLOOKUP(B60,'Base stats'!B:B,'Base stats'!E:E),Groups!A:A,Groups!AQ:AQ)=1,AO60&lt;=0.35),8,12)</f>
        <v>12</v>
      </c>
      <c r="BI60" s="2" t="str">
        <f>IF(_xlfn.XLOOKUP(_xlfn.XLOOKUP(B60,'Base stats'!B:B,'Base stats'!E:E),Groups!A:A,Groups!D:D)=0,_xlfn.XLOOKUP(_xlfn.XLOOKUP(B60,'Base stats'!B:B,'Base stats'!E:E),Groups!A:A,Groups!AR:AR),"None")</f>
        <v>Advanced</v>
      </c>
      <c r="BJ60" s="2" t="str">
        <f>IF(AND(_xlfn.XLOOKUP(_xlfn.XLOOKUP(B60,'Base stats'!B:B,'Base stats'!E:E),Groups!A:A,Groups!AS:AS)=1,OR(_xlfn.XLOOKUP(B60,'Base stats'!B:B,'Base stats'!Y:Y)="Carnivore",_xlfn.XLOOKUP(B60,'Base stats'!B:B,'Base stats'!Y:Y)="Omnivore")),"true","false")</f>
        <v>true</v>
      </c>
      <c r="BK60" s="2">
        <f>IF(BJ60="true",MROUND(IF(AND(AO60&gt;0.5,OR(_xlfn.XLOOKUP(_xlfn.XLOOKUP(B60,'Base stats'!B:B,'Base stats'!E:E),Groups!A:A,Groups!AJ:AJ)="Photonozoa",_xlfn.XLOOKUP(_xlfn.XLOOKUP(B60,'Base stats'!B:B,'Base stats'!E:E),Groups!A:A,Groups!AJ:AJ)="Mammal")),Animals!AO60*1.75*IF(AW60="true",1.5,1),IF(AO60&lt;0.5,Animals!AO60*0.5,Animals!AO60)),IF(AO60&gt;2,0.5,IF(AO60&gt;0.5,0.25,0.1))),"No")</f>
        <v>0.1</v>
      </c>
      <c r="BL60" s="2">
        <f t="shared" si="3"/>
        <v>1</v>
      </c>
      <c r="BM60" s="25" t="str">
        <f>IF(_xlfn.XLOOKUP(B60,'Base stats'!B:B,'Base stats'!AN:AN)="Standard","No",MROUND((_xlfn.XLOOKUP(B60,'Base stats'!B:B,'Base stats'!AN:AN)/3.6)/I60,0.1))</f>
        <v>No</v>
      </c>
      <c r="BN60" s="25" t="str">
        <f t="shared" si="4"/>
        <v>false</v>
      </c>
      <c r="BO60" s="25" t="str">
        <f>IF(AND(OR(_xlfn.XLOOKUP(B60,'Base stats'!B:B,'Base stats'!Y:Y)="Carnivore",_xlfn.XLOOKUP(B60,'Base stats'!B:B,'Base stats'!Y:Y)="Omnivore",_xlfn.XLOOKUP(B60,'Base stats'!B:B,'Base stats'!Y:Y)="OmnivoreRough"),_xlfn.XLOOKUP(_xlfn.XLOOKUP(B60,'Base stats'!B:B,'Base stats'!E:E),Groups!A:A,Groups!AT:AT)=1),"true","false")</f>
        <v>false</v>
      </c>
      <c r="BP60" s="25" t="str" cm="1">
        <f t="array" ref="BP60">IF(
  _xlfn.TEXTJOIN(", ",TRUE,
    IF(AND(BJ60="true",AO60&gt;0.5,BI60&lt;&gt;"None"),"AttackTarget",""),
    IF(AND(_xlfn.XLOOKUP(_xlfn.XLOOKUP(B60,'Base stats'!B:B,'Base stats'!E:E),Groups!A:A,Groups!AJ:AJ="Mammal"),OR(_xlfn.XLOOKUP(B60,'Base stats'!B:B,'Base stats'!Y:Y)="Omnivore",_xlfn.XLOOKUP(B60,'Base stats'!B:B,'Base stats'!Y:Y)="OmnivoreRough")),"Forage",""),
    IF(BG60&lt;=36,"Comfort",""),
    IF(_xlfn.XLOOKUP(B60,'Base stats'!B:B,'Base stats'!AE:AE)&lt;&gt;"No",_xlfn.XLOOKUP(B60,'Base stats'!B:B,'Base stats'!AE:AE),"")
  ) = "",
  "No",
  _xlfn.TEXTJOIN(", ",TRUE,
    IF(AND(BJ60="true",AO60&gt;0.5,BI60&lt;&gt;"None"),"AttackTarget",""),
    IF(AND(_xlfn.XLOOKUP(_xlfn.XLOOKUP(B60,'Base stats'!B:B,'Base stats'!E:E),Groups!A:A,Groups!AJ:AJ="Mammal"),OR(_xlfn.XLOOKUP(B60,'Base stats'!B:B,'Base stats'!Y:Y)="Omnivore",_xlfn.XLOOKUP(B60,'Base stats'!B:B,'Base stats'!Y:Y)="OmnivoreRough")),"Forage",""),
    IF(BG60&lt;=36,"Comfort",""),
    IF(_xlfn.XLOOKUP(B60,'Base stats'!B:B,'Base stats'!AE:AE)&lt;&gt;"No",_xlfn.XLOOKUP(B60,'Base stats'!B:B,'Base stats'!AE:AE),"")
  )
)</f>
        <v>Comfort</v>
      </c>
      <c r="BQ60" s="25" t="str">
        <f>IF(
   AND(
      'Base stats'!AN60="Standard",_xlfn.XLOOKUP(_xlfn.XLOOKUP(B60,'Base stats'!B:B,'Base stats'!E:E),Groups!A:A,Groups!AU:AU)=0,
      OR(
      BO60="True"
      )
   ),
   10,
   IF(
       OR(BM60&lt;&gt;"No",_xlfn.XLOOKUP(_xlfn.XLOOKUP(B60,'Base stats'!B:B,'Base stats'!E:E),Groups!A:A,Groups!AU:AU)=1),
      1,
      "No"
   )
)</f>
        <v>No</v>
      </c>
      <c r="BR60" s="9">
        <f>MROUND((1 + ((0.2*IF(OR(Q60="No",R60="No",R60=0),0,Q60/R60)
+IF(OR(V60="No",S60="No",T60="No"),0,S60/T60*(LEN(V60)-LEN(SUBSTITUTE(V60,",",""))+1))
+IF(OR(X60="No",Y60="No"),0,X60/Y60)
+IF(OR(AD60="No",AE60="No"),0,AD60/AE60)
+IF(OR(AL60="No",AI60="No",AJ60="No"),0,AI60/AJ60*(LEN(AL60)-LEN(SUBSTITUTE(AL60,",",""))+1))
)/(0.2*IF(OR(Q60="No",R60="No",R60=0),0,1)
+IF(OR(V60="No",S60="No",T60="No"),0,LEN(V60)-LEN(SUBSTITUTE(V60,",",""))+1)
+IF(OR(X60="No",Y60="No"),0,1)
+IF(OR(AD60="No",AE60="No"),0,1)
+IF(OR(AL60="No",AI60="No",AJ60="No"),0,LEN(AL60)-LEN(SUBSTITUTE(AL60,",",""))+1))*62%)* 2)*(1 + (AP60 / (IF(_xlfn.XLOOKUP(_xlfn.XLOOKUP(B60,'Base stats'!B:B,'Base stats'!E:E),Groups!A:A,Groups!AJ:AJ)="Photonozoa",0.3,1)) + _xlfn.XLOOKUP(B60,'Base stats'!B:B,'Base stats'!AV:AV) * 1.8) * 2) * 2.5 + 10 + I60 * 2,5)+IF(_xlfn.XLOOKUP(B60,'Base stats'!B:B,'Base stats'!AK:AK)=1,50,0)</f>
        <v>40</v>
      </c>
      <c r="BS60" s="8">
        <f t="shared" si="5"/>
        <v>0.25</v>
      </c>
      <c r="BT60" s="8" t="str">
        <f>_xlfn.XLOOKUP(B60,'Base stats'!B:B,'Base stats'!AF:AF)</f>
        <v>No</v>
      </c>
      <c r="BU60" s="2" t="str">
        <f>IF(AND(J60&lt;=0.95,OR(_xlfn.XLOOKUP(B60,'Base stats'!B:B,'Base stats'!AK:AK)=1,_xlfn.XLOOKUP(B60,'Base stats'!B:B,'Base stats'!Y:Y)="Carnivore",_xlfn.XLOOKUP(B60,'Base stats'!B:B,'Base stats'!Y:Y)="Omnivore",BE60&gt;0.1)),"true","false")</f>
        <v>true</v>
      </c>
      <c r="BV60" s="2" t="str">
        <f>IF(_xlfn.XLOOKUP(B60,'Base stats'!B:B,'Base stats'!AI:AI)=1,"true","false")</f>
        <v>false</v>
      </c>
      <c r="BW60" s="25" t="str">
        <f>IF(E60="BaseInsect","AnimalInsect",
IF(J60&gt;0.95,"AnimalExotic",
_xlfn.TEXTJOIN(", ",TRUE,
IF(OR(_xlfn.XLOOKUP(B60,'Base stats'!B:B,'Base stats'!AM:AM)=1,AND(_xlfn.XLOOKUP(B60,'Base stats'!B:B,'Base stats'!O:O)=0,_xlfn.XLOOKUP(_xlfn.XLOOKUP(B60,'Base stats'!B:B,'Base stats'!E:E),Groups!A:A,Groups!B:B)&gt;0)),"AnimalUncommon","AnimalCommon"),
IF(AND(_xlfn.XLOOKUP(B60,'Base stats'!B:B,'Base stats'!O:O)=2,_xlfn.XLOOKUP(_xlfn.XLOOKUP(B60,'Base stats'!B:B,'Base stats'!E:E),Groups!A:A,Groups!D:D)=0),"AnimalPet",IF(AND(_xlfn.XLOOKUP(B60,'Base stats'!B:B,'Base stats'!O:O)&lt;&gt;0,_xlfn.XLOOKUP(_xlfn.XLOOKUP(B60,'Base stats'!B:B,'Base stats'!E:E),Groups!A:A,Groups!D:D)&lt;&gt;0),"AnimalFarm","")),
IF(OR(_xlfn.XLOOKUP(B60,'Base stats'!B:B,'Base stats'!AK:AK)=1,AND(BI60&lt;&gt;"None",BR60&gt;=60),ISNUMBER(SEARCH("Attack target",BP60))),"AnimalFighter","")
)))</f>
        <v>AnimalCommon</v>
      </c>
      <c r="BX60" s="25" t="str">
        <f>IF(G60="None",TRIM(
SUBSTITUTE(
IF(COUNTIF(Biomes!B$2:B$259,"="&amp;$C60)&gt;0,Biomes!B$1&amp;", ","")&amp;
IF(COUNTIF(Biomes!C$2:C$259,"="&amp;$C60)&gt;0,Biomes!C$1&amp;", ","")&amp;
IF(COUNTIF(Biomes!D$2:D$259,"="&amp;$C60)&gt;0,Biomes!D$1&amp;", ","")&amp;
IF(COUNTIF(Biomes!F$2:F$259,"="&amp;$C60)&gt;0,Biomes!F$1&amp;", ","")&amp;
IF(COUNTIF(Biomes!G$2:G$259,"="&amp;$C60)&gt;0,Biomes!G$1&amp;", ","")&amp;
IF(COUNTIF(Biomes!H$2:H$259,"="&amp;$C60)&gt;0,Biomes!H$1&amp;", ","")&amp;
IF(COUNTIF(Biomes!I$2:I$259,"="&amp;$C60)&gt;0,Biomes!I$1&amp;", ","")&amp;
IF(COUNTIF(Biomes!J$2:J$259,"="&amp;$C60)&gt;0,Biomes!J$1&amp;", ","")&amp;
IF(COUNTIF(Biomes!M$2:M$259,"="&amp;$C60)&gt;0,Biomes!M$1&amp;", ","")&amp;
IF(COUNTIF(Biomes!N$2:N$259,"="&amp;$C60)&gt;0,Biomes!N$1&amp;", ","")&amp;
IF(COUNTIF(Biomes!O$2:O$259,"="&amp;$C60)&gt;0,Biomes!O$1&amp;", ","")&amp;
IF(COUNTIF(Biomes!P$2:P$259,"="&amp;$C60)&gt;0,Biomes!P$1&amp;", ","")&amp;
IF(COUNTIF(Biomes!K$2:K$259,"="&amp;$C60)&gt;0,Biomes!K$1&amp;", ","")&amp;
IF(COUNTIF(Biomes!Q$3:Q$259,"="&amp;$C60)&gt;0,Biomes!Q$1&amp;", ","")&amp;
IF(COUNTIF(Biomes!L$2:L$259,"="&amp;$C60)&gt;0,Biomes!L$1&amp;", ","")&amp;
IF(COUNTIF(Biomes!E$2:E$259,"="&amp;$C60)&gt;0,Biomes!E$1&amp;", ","")&amp;IF(COUNTIF(Biomes!S$2:S$259,"="&amp;$C60)&gt;0,Biomes!S$1&amp;", ","")&amp;
IF(COUNTIF(Biomes!R$2:R$259,"="&amp;$C60)&gt;0,Biomes!R$1&amp;", ",""),", ","")
),_xlfn.XLOOKUP(B60,B:B,BX:BX))</f>
        <v>AridShrubland Desert ExtremeDesert LavaField</v>
      </c>
      <c r="BY60" s="25" t="str">
        <f>IF(_xlfn.XLOOKUP(B60,'Base stats'!B:B,'Base stats'!AJ:AJ)=1,"true","false")</f>
        <v>false</v>
      </c>
      <c r="BZ60" s="25">
        <f>IF(_xlfn.XLOOKUP(B60,'Base stats'!B:B,'Base stats'!N:N)=1,"No",MAX(0.001,MIN(MROUND(IF(AND(BJ60="True",CC60="False"),POWER(10,3.47*LOG10(_xlfn.XLOOKUP(B60,'Base stats'!B:B,'Base stats'!C:C)*1000)^-0.96),POWER(10,4.15*LOG10(_xlfn.XLOOKUP(B60,'Base stats'!B:B,'Base stats'!C:C)*1000)^-0.73))*IF(_xlfn.XLOOKUP(B60,'Base stats'!B:B,'Base stats'!AK:AK)=1,0.5,1)*IF(_xlfn.XLOOKUP(B60,'Base stats'!B:B,'Base stats'!AM:AM)=1,0.1,1)/100,IF(_xlfn.XLOOKUP(B60,'Base stats'!B:B,'Base stats'!AM:AM)=1,0.001,0.025)),0.5)))</f>
        <v>0.125</v>
      </c>
      <c r="CA60" s="25" t="str">
        <f>IF(P60="Standard","No",MAX(0.001,MIN(MROUND(IF(AND(BJ60="True",CC60="False"),POWER(10,3.47*LOG10(_xlfn.XLOOKUP(B60,'Base stats'!B:B,'Base stats'!C:C)*1000)^-0.96),POWER(10,4.15*LOG10(_xlfn.XLOOKUP(B60,'Base stats'!B:B,'Base stats'!C:C)*1000)^-0.73))*IF(_xlfn.XLOOKUP(B60,'Base stats'!B:B,'Base stats'!AM:AM)=1,0.1,1)*_xlfn.XLOOKUP(B60,'Base stats'!B:B,'Base stats'!R:R)/100,IF(_xlfn.XLOOKUP(B60,'Base stats'!B:B,'Base stats'!AM:AM)=1,0.001,0.025)),0.5)))</f>
        <v>No</v>
      </c>
      <c r="CB60" s="25" t="str">
        <f>IF(_xlfn.XLOOKUP(_xlfn.XLOOKUP(B60,'Base stats'!B:B,'Base stats'!E:E),Groups!A:A,Groups!AJ:AJ)="Mammal","True","False")</f>
        <v>True</v>
      </c>
      <c r="CC60" s="25" t="str">
        <f>IF(OR(_xlfn.XLOOKUP(_xlfn.XLOOKUP(B60,'Base stats'!B:B,'Base stats'!E:E),Groups!A:A,Groups!AJ:AJ)="Reptile",_xlfn.XLOOKUP(_xlfn.XLOOKUP(B60,'Base stats'!B:B,'Base stats'!E:E),Groups!A:A,Groups!AJ:AJ)="Amphibian",_xlfn.XLOOKUP(_xlfn.XLOOKUP(B60,'Base stats'!B:B,'Base stats'!E:E),Groups!A:A,Groups!AJ:AJ)="Invertebrate"),"True","False")</f>
        <v>False</v>
      </c>
      <c r="CD60" s="25" t="str">
        <f t="shared" si="6"/>
        <v>False</v>
      </c>
      <c r="CE60" s="25" t="str">
        <f>IF(_xlfn.XLOOKUP(_xlfn.XLOOKUP(B60,'Base stats'!B:B,'Base stats'!E:E),Groups!A:A,Groups!AX:AX),"True","False")</f>
        <v>False</v>
      </c>
      <c r="CF60" s="25" t="str">
        <f>IF(_xlfn.XLOOKUP(_xlfn.XLOOKUP(B60,'Base stats'!B:B,'Base stats'!E:E),Groups!A:A,Groups!AY:AY),"True","False")</f>
        <v>False</v>
      </c>
      <c r="CG60" s="25" t="str">
        <f>IF(_xlfn.XLOOKUP(_xlfn.XLOOKUP(B60,'Base stats'!B:B,'Base stats'!E:E),Groups!A:A,Groups!AW:AW),"True","False")</f>
        <v>False</v>
      </c>
      <c r="CH60" s="25" t="str">
        <f>IF(
OR(
_xlfn.XLOOKUP(_xlfn.XLOOKUP(B60,'Base stats'!B:B,'Base stats'!E:E),Groups!A:A,Groups!AZ:AZ)=0,
AND(
_xlfn.XLOOKUP(B60,'Base stats'!B:B,'Base stats'!Y:Y)&lt;&gt;"Carnivore",
_xlfn.XLOOKUP(B60,'Base stats'!B:B,'Base stats'!Y:Y)&lt;&gt;"Omnivore",
_xlfn.XLOOKUP(B60,'Base stats'!B:B,'Base stats'!Y:Y)&lt;&gt;"OmnivoreRough"
)
),
"No",
IF(
_xlfn.XLOOKUP(_xlfn.XLOOKUP(B60,'Base stats'!B:B,'Base stats'!E:E),Groups!A:A,Groups!AZ:AZ)=1,
"Flesh",
IF(
_xlfn.XLOOKUP(_xlfn.XLOOKUP(B60,'Base stats'!B:B,'Base stats'!E:E),Groups!A:A,Groups!AZ:AZ)=2,
"Bone",
""
)
)
)</f>
        <v>No</v>
      </c>
      <c r="CI60" s="25" t="str">
        <f>IF(_xlfn.XLOOKUP(_xlfn.XLOOKUP(B60,'Base stats'!B:B,'Base stats'!E:E),Groups!A:A,Groups!BB:BB),"True","False")</f>
        <v>True</v>
      </c>
      <c r="CJ60" s="25" t="str">
        <f>IF(_xlfn.XLOOKUP(_xlfn.XLOOKUP(B60,'Base stats'!B:B,'Base stats'!E:E),Groups!A:A,Groups!BA:BA),"True","False")</f>
        <v>False</v>
      </c>
    </row>
    <row r="61" spans="1:88" ht="16.5" thickTop="1" thickBot="1" x14ac:dyDescent="0.3">
      <c r="A61" s="26" t="str">
        <f>_xlfn.XLOOKUP(B61,'Base stats'!B:B,'Base stats'!A:A)</f>
        <v>Waste rat</v>
      </c>
      <c r="B61" s="6" t="s">
        <v>124</v>
      </c>
      <c r="C61" s="28" t="s">
        <v>740</v>
      </c>
      <c r="D61" s="28" t="s">
        <v>871</v>
      </c>
      <c r="E61" s="28" t="s">
        <v>673</v>
      </c>
      <c r="F61" s="28" t="s">
        <v>673</v>
      </c>
      <c r="G61" s="28" t="s">
        <v>673</v>
      </c>
      <c r="H61" s="2">
        <f>MROUND((
  (IF(AND(_xlfn.XLOOKUP(B61,'Base stats'!B:B,'Base stats'!AL:AL)=0,BI61="None",_xlfn.XLOOKUP(_xlfn.XLOOKUP(B61,'Base stats'!B:B,'Base stats'!E:E),Groups!A:A,Groups!B:B)=0), (18 + BR61 * 2.7) * 0.5,
    IF(AND(_xlfn.XLOOKUP(B61,'Base stats'!B:B,'Base stats'!AL:AL)=0,OR(AO61&lt;0.55,AND(BI61="Intermediate",_xlfn.XLOOKUP(_xlfn.XLOOKUP(B61,'Base stats'!B:B,'Base stats'!E:E),Groups!A:A,Groups!B:B)&lt;2))), (18 + BR61 * 2.7),
      IF(OR(BI61="Advanced",_xlfn.XLOOKUP(B61,'Base stats'!B:B,'Base stats'!AL:AL)=1,_xlfn.XLOOKUP(_xlfn.XLOOKUP(B61,'Base stats'!B:B,'Base stats'!E:E),Groups!A:A,Groups!B:B)=2), (18 + BR61 * 2.7) + 250, (18 + BR61 * 2.7))
    )
  ))
  + AO61 * 80
  + IF(COUNTIF(EggMilk!K$2:K$998, A61) &gt; 0, 125, 0)
  + IF(COUNTIF(EggMilk!P$2:P$998, A61) &gt; 0, 90, 0)
  + IF(COUNTIF(EggMilk!A$2:A$998, A61) &gt; 0, 90, 0)
)
* (0.8 + 0.4 * J61)
* 0.75,25)</f>
        <v>150</v>
      </c>
      <c r="I61" s="2">
        <f>MROUND(ROUNDDOWN(_xlfn.XLOOKUP(B61,'Base stats'!B:B,'Base stats'!L:L)/3.6/(23.3/11),1),0.5)</f>
        <v>3.5</v>
      </c>
      <c r="J61" s="2">
        <f>IF(OR(_xlfn.XLOOKUP(B61,'Base stats'!B:B,'Base stats'!AB:AB)=1,_xlfn.XLOOKUP(_xlfn.XLOOKUP(B61,'Base stats'!B:B,'Base stats'!E:E),Groups!A:A,Groups!C:C)="Untamable"),1,IF(_xlfn.XLOOKUP(B61,'Base stats'!B:B,'Base stats'!AL:AL)=1,0.99,MIN(MROUND((1-0.6282*EXP(-0.459*AO61))*_xlfn.XLOOKUP(_xlfn.XLOOKUP(B61,'Base stats'!B:B,'Base stats'!E:E),Groups!A:A,Groups!C:C)*IF(_xlfn.XLOOKUP(B61,'Base stats'!B:B,'Base stats'!O:O)=1,0.5,IF(_xlfn.XLOOKUP(B61,'Base stats'!B:B,'Base stats'!O:O)=2,0,1)),0.05),IF(AO61&gt;3.5,0.985,0.95))))</f>
        <v>0.60000000000000009</v>
      </c>
      <c r="K61" s="2">
        <f>ROUNDUP(AO61*_xlfn.XLOOKUP(_xlfn.XLOOKUP(B61,'Base stats'!B:B,'Base stats'!E:E),Groups!A:A,Groups!E:E),0)</f>
        <v>1</v>
      </c>
      <c r="L61" s="2">
        <f>IF(OR(_xlfn.XLOOKUP(_xlfn.XLOOKUP(B61,'Base stats'!B:B,'Base stats'!E:E),Groups!A:A,Groups!F:F)=2,ISNUMBER(SEARCH("SeaIce",BX61)),ISNUMBER(SEARCH("IceSheet",BX61))),-50,IF(OR(ISNUMBER(SEARCH("GlacialPlain",BX61)),ISNUMBER(SEARCH("Tundra",BX61))),-40,IF(OR(ISNUMBER(SEARCH("Alpine",BX61)),ISNUMBER(SEARCH("BorealForest",BX61)),ISNUMBER(SEARCH("ColdBog",BX61))),-30,IF(OR(ISNUMBER(SEARCH("TemperateForest",BX61)),ISNUMBER(SEARCH("TemperateSwamp",BX61))),-20,IF(_xlfn.XLOOKUP(_xlfn.XLOOKUP(B61,'Base stats'!B:B,'Base stats'!E:E),Groups!A:A,Groups!F:F)=1,-15,IF(OR(ISNUMBER(SEARCH("Desert",BX61)),ISNUMBER(SEARCH("ExtremeDesert",BX61))),-10,IF(OR(ISNUMBER(SEARCH("Grasslands",BX61)),ISNUMBER(SEARCH("TropicalRainforest",BX61)),ISNUMBER(SEARCH("TropicalSwamp",BX61))),10,0)))))))-IF(CC61="False",MIN(IFERROR(MAX(MROUND(LOG10(_xlfn.XLOOKUP(B61,'Base stats'!B:B,'Base stats'!C:C)^(2/3))*10,5),5),5),30))-_xlfn.XLOOKUP(B61,'Base stats'!B:B,'Base stats'!P:P)+IF(CC61="True",5,0)</f>
        <v>-35</v>
      </c>
      <c r="M61" s="2">
        <f>IF(OR(_xlfn.XLOOKUP(_xlfn.XLOOKUP(B61,'Base stats'!B:B,'Base stats'!E:E),Groups!A:A,Groups!G:G)=2,ISNUMBER(SEARCH("Desert",BX61)),ISNUMBER(SEARCH("ExtremeDesert",BX61)),ISNUMBER(SEARCH("LavaField",BX61))),50,IF(ISNUMBER(SEARCH("Grasslands",BX61)),45,IF(OR(_xlfn.XLOOKUP(_xlfn.XLOOKUP(B61,'Base stats'!B:B,'Base stats'!E:E),Groups!A:A,Groups!G:G)=1,ISNUMBER(SEARCH("TropicalRainforest",BX61)),ISNUMBER(SEARCH("TropicalSwamp",BX61))),40,IF(OR(ISNUMBER(SEARCH("TemperateForest",BX61)),ISNUMBER(SEARCH("TemperateSwamp",BX61))),35,IF(OR(ISNUMBER(SEARCH("Alpine",BX61)),ISNUMBER(SEARCH("BorealForest",BX61)),ISNUMBER(SEARCH("ColdBog",BX61))),30,IF(ISNUMBER(OR(ISNUMBER(SEARCH("GlacialPlain",BX61)),SEARCH("Tundra",BX61))),25,IF(OR(ISNUMBER(SEARCH("SeaIce",BX61)),ISNUMBER(SEARCH("IceSheet",BX61)),ISNUMBER(SEARCH("TropicalSwamp",BX61))),10,35)))))))+_xlfn.XLOOKUP(B61,'Base stats'!B:B,'Base stats'!Q:Q)</f>
        <v>50</v>
      </c>
      <c r="N61" s="8" t="str">
        <f>IF(
_xlfn.XLOOKUP(
_xlfn.XLOOKUP(B61,'Base stats'!B:B,'Base stats'!E:E),
Groups!A:A,
Groups!L:L
)=1,
MIN(
MROUND(
IF(
_xlfn.XLOOKUP(B61,'Animals CE'!B:B,'Animals CE'!Z:Z)&lt;=1.5,
_xlfn.XLOOKUP(B61,'Animals CE'!B:B,'Animals CE'!Z:Z)/2+0.05,
0.8+
(_xlfn.XLOOKUP(B61,'Animals CE'!B:B,'Animals CE'!Z:Z)-1.5)
*0.02
),
0.05
),
200%
),
"No"
)</f>
        <v>No</v>
      </c>
      <c r="O61" s="8" t="str">
        <f>IF(
_xlfn.XLOOKUP(
_xlfn.XLOOKUP(B61,'Base stats'!B:B,'Base stats'!E:E),
Groups!A:A,
Groups!L:L
)=1,
MIN(
MROUND(
IF(
_xlfn.XLOOKUP(B61,'Animals CE'!B:B,'Animals CE'!AA:AA)&lt;=1.5,
_xlfn.XLOOKUP(B61,'Animals CE'!B:B,'Animals CE'!AA:AA)/2+0.05,
0.8+
(_xlfn.XLOOKUP(B61,'Animals CE'!B:B,'Animals CE'!AA:AA)-1.5)
*0.02
),
0.05
),
200%
),
"No"
)</f>
        <v>No</v>
      </c>
      <c r="P61" s="2">
        <f>_xlfn.XLOOKUP(B61,'Base stats'!B:B,'Base stats'!R:R)</f>
        <v>1</v>
      </c>
      <c r="Q61" s="13">
        <f>MROUND((LOG10(_xlfn.XLOOKUP(B61,'Base stats'!B:B,'Base stats'!AR:AR))*(AO61^0.5)+(_xlfn.XLOOKUP(B61,'Base stats'!B:B,'Base stats'!AR:AR)/1000)^(2/3)+_xlfn.XLOOKUP(B61,'Base stats'!B:B,'Base stats'!BA:BA)/2)+0.5,0.5)</f>
        <v>3.5</v>
      </c>
      <c r="R61" s="7">
        <f>IF(Q61="No","No",MAX(1,MROUND(_xlfn.XLOOKUP(B61,'Base stats'!B:B,'Base stats'!C:C)^0.165,0.05)))</f>
        <v>1.4500000000000002</v>
      </c>
      <c r="S61" s="13" t="str">
        <f>IF(_xlfn.XLOOKUP(_xlfn.XLOOKUP(B61,'Base stats'!B:B,'Base stats'!E:E),Groups!A:A,Groups!P:P)=0,"No",MROUND((LOG10(_xlfn.XLOOKUP(B61,'Base stats'!B:B,'Base stats'!AS:AS))*(AO61^0.5)+(_xlfn.XLOOKUP(B61,'Base stats'!B:B,'Base stats'!AS:AS)/1000)^(2/3)+_xlfn.XLOOKUP(B61,'Base stats'!B:B,'Base stats'!BA:BA))+_xlfn.XLOOKUP(B61,'Base stats'!B:B,'Base stats'!AY:AY)+0.5,0.5))</f>
        <v>No</v>
      </c>
      <c r="T61" s="7" t="str">
        <f>IF(S61="No","No",MAX(_xlfn.XLOOKUP(_xlfn.XLOOKUP(B61,'Base stats'!B:B,'Base stats'!E:E),Groups!A:A,Groups!Q:Q),MROUND(_xlfn.XLOOKUP(_xlfn.XLOOKUP(B61,'Base stats'!B:B,'Base stats'!E:E),Groups!A:A,Groups!Q:Q)*_xlfn.XLOOKUP(B61,'Base stats'!B:B,'Base stats'!C:C)^0.165,0.05)))</f>
        <v>No</v>
      </c>
      <c r="U61" s="7" t="str">
        <f>IF(S61="No","No",_xlfn.XLOOKUP(_xlfn.XLOOKUP(B61,'Base stats'!B:B,'Base stats'!E:E),Groups!A:A,Groups!R:R))</f>
        <v>No</v>
      </c>
      <c r="V61" s="7" t="str">
        <f>IF(S61="No","No",_xlfn.XLOOKUP(_xlfn.XLOOKUP(B61,'Base stats'!B:B,'Base stats'!E:E),Groups!A:A,Groups!S:S))</f>
        <v>No</v>
      </c>
      <c r="W61" s="7" t="str">
        <f>IF(S61="No","No",_xlfn.XLOOKUP(_xlfn.XLOOKUP(B61,'Base stats'!B:B,'Base stats'!E:E),Groups!A:A,Groups!T:T))</f>
        <v>No</v>
      </c>
      <c r="X61" s="13" t="str">
        <f>IF(_xlfn.XLOOKUP(B61,'Base stats'!B:B,'Base stats'!W:W)="No","No",MROUND((LOG10(_xlfn.XLOOKUP(B61,'Base stats'!B:B,'Base stats'!AU:AU))*(AO61^0.5)+(_xlfn.XLOOKUP(B61,'Base stats'!B:B,'Base stats'!AU:AU)/1000)^(2/3)+_xlfn.XLOOKUP(B61,'Base stats'!B:B,'Base stats'!AZ:AZ))+0.5+IF(_xlfn.XLOOKUP(_xlfn.XLOOKUP(B61,'Base stats'!B:B,'Base stats'!E:E),Groups!A:A,Groups!U:U)&lt;&gt;3,_xlfn.XLOOKUP(B61,'Base stats'!B:B,'Base stats'!BA:BA),0),0.5))</f>
        <v>No</v>
      </c>
      <c r="Y61" s="7" t="str">
        <f>IF(X61="No","No",MAX(_xlfn.XLOOKUP(_xlfn.XLOOKUP(B61,'Base stats'!B:B,'Base stats'!E:E),Groups!A:A,Groups!V:V),MROUND(_xlfn.XLOOKUP(_xlfn.XLOOKUP(B61,'Base stats'!B:B,'Base stats'!E:E),Groups!A:A,Groups!V:V)*_xlfn.XLOOKUP(B61,'Base stats'!B:B,'Base stats'!C:C)^0.165,0.05)))</f>
        <v>No</v>
      </c>
      <c r="Z61" s="7" t="str">
        <f>IF(X61="No","No",_xlfn.XLOOKUP(_xlfn.XLOOKUP(B61,'Base stats'!B:B,'Base stats'!E:E),Groups!A:A,Groups!W:W))</f>
        <v>No</v>
      </c>
      <c r="AA61" s="7" t="str">
        <f>IF(X61="No","No",_xlfn.XLOOKUP(_xlfn.XLOOKUP(B61,'Base stats'!B:B,'Base stats'!E:E),Groups!A:A,Groups!X:X))</f>
        <v>No</v>
      </c>
      <c r="AB61" s="7" t="str">
        <f>IF(X61="No","No",_xlfn.XLOOKUP(_xlfn.XLOOKUP(B61,'Base stats'!B:B,'Base stats'!E:E),Groups!A:A,Groups!Y:Y))</f>
        <v>No</v>
      </c>
      <c r="AC61" s="7" t="str">
        <f>_xlfn.XLOOKUP(Animals!B61,'Base stats'!B:B,'Base stats'!X:X)</f>
        <v>False</v>
      </c>
      <c r="AD61" s="13">
        <f>IF(_xlfn.XLOOKUP(B61,'Base stats'!B:B,'Base stats'!AT:AT)="No","No",MROUND((LOG10(_xlfn.XLOOKUP(B61,'Base stats'!B:B,'Base stats'!AT:AT))*(AO61^0.75)+(_xlfn.XLOOKUP(B61,'Base stats'!B:B,'Base stats'!AT:AT)/1000)^(2/3)+_xlfn.XLOOKUP(B61,'Base stats'!B:B,'Base stats'!AX:AX)+_xlfn.XLOOKUP(B61,'Base stats'!B:B,'Base stats'!BA:BA))+0.5,0.5))</f>
        <v>7.5</v>
      </c>
      <c r="AE61" s="7">
        <f>IF(AD61="No","No",MAX(_xlfn.XLOOKUP(_xlfn.XLOOKUP(B61,'Base stats'!B:B,'Base stats'!E:E),Groups!A:A,Groups!Z:Z),MROUND(_xlfn.XLOOKUP(_xlfn.XLOOKUP(B61,'Base stats'!B:B,'Base stats'!E:E),Groups!A:A,Groups!Z:Z)*_xlfn.XLOOKUP(B61,'Base stats'!B:B,'Base stats'!C:C)^0.165,0.05)))</f>
        <v>1.3</v>
      </c>
      <c r="AF61" s="7" t="str">
        <f>IF(AD61="No","No",_xlfn.XLOOKUP(_xlfn.XLOOKUP(B61,'Base stats'!B:B,'Base stats'!E:E),Groups!A:A,Groups!AA:AA))</f>
        <v>Teeth</v>
      </c>
      <c r="AG61" s="7" t="str">
        <f>IF(AD61="No","No",_xlfn.XLOOKUP(_xlfn.XLOOKUP(B61,'Base stats'!B:B,'Base stats'!E:E),Groups!A:A,Groups!AB:AB))</f>
        <v>Incisors</v>
      </c>
      <c r="AH61" s="7" t="str">
        <f>IF(AD61="No","No",_xlfn.XLOOKUP(_xlfn.XLOOKUP(B61,'Base stats'!B:B,'Base stats'!E:E),Groups!A:A,Groups!AC:AC))</f>
        <v>Bite</v>
      </c>
      <c r="AI61" s="13" t="str">
        <f>IF(_xlfn.XLOOKUP(_xlfn.XLOOKUP(B61,'Base stats'!B:B,'Base stats'!E:E),Groups!A:A,Groups!AD:AD)=0,"No",MROUND((LOG10(_xlfn.XLOOKUP(B61,'Base stats'!B:B,'Base stats'!AS:AS))*(AO61^0.75)+(_xlfn.XLOOKUP(B61,'Base stats'!B:B,'Base stats'!AS:AS)/1000)^(2/3)+_xlfn.XLOOKUP(B61,'Base stats'!B:B,'Base stats'!AY:AY)+_xlfn.XLOOKUP(B61,'Base stats'!B:B,'Base stats'!BA:BA))+0.5,0.5))</f>
        <v>No</v>
      </c>
      <c r="AJ61" s="7" t="str">
        <f>IF(AI61="No","No",MAX(_xlfn.XLOOKUP(_xlfn.XLOOKUP(B61,'Base stats'!B:B,'Base stats'!E:E),Groups!A:A,Groups!AE:AE),MROUND(_xlfn.XLOOKUP(_xlfn.XLOOKUP(B61,'Base stats'!B:B,'Base stats'!E:E),Groups!A:A,Groups!AE:AE)*IF(_xlfn.XLOOKUP(_xlfn.XLOOKUP(B61,'Base stats'!B:B,'Base stats'!E:E),Groups!A:A,Groups!AJ:AJ)="Photonozoa",0.6,1)*_xlfn.XLOOKUP(B61,'Base stats'!B:B,'Base stats'!C:C)^0.165,0.05)))</f>
        <v>No</v>
      </c>
      <c r="AK61" s="7" t="str">
        <f>IF(AI61="No","No",_xlfn.XLOOKUP(_xlfn.XLOOKUP(B61,'Base stats'!B:B,'Base stats'!E:E),Groups!A:A,Groups!AF:AF))</f>
        <v>No</v>
      </c>
      <c r="AL61" s="7" t="str">
        <f>IF(AI61="No","No",_xlfn.XLOOKUP(_xlfn.XLOOKUP(B61,'Base stats'!B:B,'Base stats'!E:E),Groups!A:A,Groups!AG:AG))</f>
        <v>No</v>
      </c>
      <c r="AM61" s="7" t="str">
        <f>IF(AI61="No","No",_xlfn.XLOOKUP(_xlfn.XLOOKUP(B61,'Base stats'!B:B,'Base stats'!E:E),Groups!A:A,Groups!AH:AH))</f>
        <v>No</v>
      </c>
      <c r="AN61" s="2" t="str">
        <f t="shared" si="0"/>
        <v>No</v>
      </c>
      <c r="AO61" s="2">
        <f>MROUND(IF(AND(_xlfn.XLOOKUP(B61,'Base stats'!B:B,'Base stats'!C:C)&gt;=0.5,_xlfn.XLOOKUP(B61,'Base stats'!B:B,'Base stats'!C:C)&lt;=0.8),
IF(_xlfn.XLOOKUP(B61,'Base stats'!B:B,'Base stats'!C:C)&lt;0.1,0.05,IF(_xlfn.XLOOKUP(B61,'Base stats'!B:B,'Base stats'!C:C)&lt;=70,(_xlfn.XLOOKUP(B61,'Base stats'!B:B,'Base stats'!C:C)/70)^0.426489913056526,IF(_xlfn.XLOOKUP(B61,'Base stats'!B:B,'Base stats'!C:C)&lt;=400,(_xlfn.XLOOKUP(B61,'Base stats'!B:B,'Base stats'!C:C)/70)^0.572811455315093,IF(_xlfn.XLOOKUP(B61,'Base stats'!B:B,'Base stats'!C:C)&lt;=2000,2.71391647193063*(_xlfn.XLOOKUP(B61,'Base stats'!B:B,'Base stats'!C:C)/400)^0.252459582904293,3.74314280240376*(_xlfn.XLOOKUP(B61,'Base stats'!B:B,'Base stats'!C:C)/2000)^0.357012633876913)))),
IF(_xlfn.XLOOKUP(B61,'Base stats'!B:B,'Base stats'!C:C)&lt;0.1,0.05,IF(_xlfn.XLOOKUP(B61,'Base stats'!B:B,'Base stats'!C:C)&lt;0.4,0.1,IF(_xlfn.XLOOKUP(B61,'Base stats'!B:B,'Base stats'!C:C)&lt;=70,(_xlfn.XLOOKUP(B61,'Base stats'!B:B,'Base stats'!C:C)/70)^0.445823913056526,IF(_xlfn.XLOOKUP(B61,'Base stats'!B:B,'Base stats'!C:C)&lt;=400,(_xlfn.XLOOKUP(B61,'Base stats'!B:B,'Base stats'!C:C)/70)^0.572811455315093,IF(_xlfn.XLOOKUP(B61,'Base stats'!B:B,'Base stats'!C:C)&lt;=2000,2.71391647193063*(_xlfn.XLOOKUP(B61,'Base stats'!B:B,'Base stats'!C:C)/400)^0.252459582904293,3.74314280240376*(_xlfn.XLOOKUP(B61,'Base stats'!B:B,'Base stats'!C:C)/2000)^0.357012633876913)))))),
IF(_xlfn.XLOOKUP(B61,'Base stats'!B:B,'Base stats'!C:C)&lt;0.1,0.05,IF(_xlfn.XLOOKUP(B61,'Base stats'!B:B,'Base stats'!C:C)&lt;=100,0.05,IF(_xlfn.XLOOKUP(B61,'Base stats'!B:B,'Base stats'!C:C)&lt;=250,0.1,IF(_xlfn.XLOOKUP(B61,'Base stats'!B:B,'Base stats'!C:C)&lt;=4000,0.25,0.5)))))</f>
        <v>0.4</v>
      </c>
      <c r="AP61" s="8">
        <f>MROUND(AO61*_xlfn.XLOOKUP(_xlfn.XLOOKUP(B61,'Base stats'!B:B,'Base stats'!E:E),Groups!A:A,Groups!AI:AI)*_xlfn.XLOOKUP(B61,'Base stats'!B:B,'Base stats'!Z:Z),0.05)</f>
        <v>0.4</v>
      </c>
      <c r="AQ61" s="8">
        <f>MAX(0.01,MROUND(IF(CC61="True",0.196*(AO61*100*1000)^0.889,IF(_xlfn.XLOOKUP(_xlfn.XLOOKUP(B61,'Base stats'!B:B,'Base stats'!E:E),Groups!A:A,Groups!AJ:AJ)="Bird",10.5*(AO61*100*1000)^0.681,4.82*(AO61*100*1000)^0.734))/(4.82*(1*100*1000)^0.734)/IF(AO61&lt;3.5,2,IF(AO61=3.5,1.5,1.25))*(1+0.132282374779864/(AO61^0.994035016789033+0.00905238001496948)),0.05))</f>
        <v>0.35000000000000003</v>
      </c>
      <c r="AR61" s="9">
        <f>IFERROR(MROUND(_xlfn.XLOOKUP(B61,'Base stats'!B:B,'Base stats'!H:H)/IF(_xlfn.XLOOKUP(B61,'Base stats'!B:B,'Base stats'!I:I)&lt;&gt;1,(122.5/70),1.2),IF(_xlfn.XLOOKUP(B61,'Base stats'!B:B,'Base stats'!H:H)&gt;=30,5,IF(_xlfn.XLOOKUP(B61,'Base stats'!B:B,'Base stats'!H:H)&gt;=15,3,IF(_xlfn.XLOOKUP(B61,'Base stats'!B:B,'Base stats'!H:H)&gt;=10,2,1)))),"Immortal")</f>
        <v>6</v>
      </c>
      <c r="AS61" s="35">
        <f>IFERROR(IF(OR(_xlfn.XLOOKUP(B61,'Base stats'!B:B,'Base stats'!F:F)="Atypical reproduction",_xlfn.XLOOKUP(B61,'Base stats'!B:B,'Base stats'!F:F)="Lay eggs"),"Lay eggs",MIN(20,MAX(5.5,ROUND(((_xlfn.XLOOKUP(B61,'Base stats'!B:B,'Base stats'!F:F)-25)*(14.5/615) + 5.5)*2,0)/2))),"Unknown")</f>
        <v>7</v>
      </c>
      <c r="AT61" s="8">
        <f>IF(_xlfn.XLOOKUP(B61,'Base stats'!B:B,'Base stats'!G:G)="Atypical reproduction","No",IFERROR(MAX(IF(_xlfn.XLOOKUP(B61,'Base stats'!B:B,'Base stats'!G:G)&lt;0.5,0.2,0.3),MROUND(_xlfn.XLOOKUP(B61,'Base stats'!B:B,'Base stats'!G:G)/(365/60),0.2)),"Unknown"))</f>
        <v>0.3</v>
      </c>
      <c r="AU61" s="8">
        <f t="shared" si="1"/>
        <v>0.15000000000000002</v>
      </c>
      <c r="AV61" s="8">
        <f>IFERROR(IFERROR(MROUND(_xlfn.XLOOKUP(B61,'Base stats'!B:B,'Base stats'!J:J),0.1),"Lay eggs"),"Cannot breed")</f>
        <v>8</v>
      </c>
      <c r="AW61" s="2" t="str">
        <f t="shared" si="2"/>
        <v>true</v>
      </c>
      <c r="AX61" s="2" t="str">
        <f>IF(_xlfn.XLOOKUP(_xlfn.XLOOKUP(Animals!B61,'Base stats'!B:B,'Base stats'!E:E),Groups!A:A,Groups!AK:AK)=1,"true","false")</f>
        <v>false</v>
      </c>
      <c r="AY61" s="25" t="str">
        <f>IF(_xlfn.XLOOKUP(B61,'Base stats'!B:B,'Base stats'!Y:Y)="Liquor","Liquor, CarnivoreAnimalStrict",IF(AND(_xlfn.XLOOKUP(B61,'Base stats'!B:B,'Base stats'!Y:Y)="Carnivore",_xlfn.XLOOKUP(_xlfn.XLOOKUP(B61,'Base stats'!B:B,'Base stats'!E:E),Groups!A:A,Groups!AJ:AJ)="Photonozoa"),"CarnivoreAnimalStrict, OvivoreAnimal",IF(_xlfn.XLOOKUP(B61,'Base stats'!B:B,'Base stats'!Y:Y)="Carnivore","CarnivoreAnimal, OvivoreAnimal",IF(_xlfn.XLOOKUP(B61,'Base stats'!B:B,'Base stats'!Y:Y)="Dendrovore","VegetarianRoughAnimal, DendrovoreAnimal",IF(_xlfn.XLOOKUP(B61,'Base stats'!B:B,'Base stats'!Y:Y)="Herbivore","VegetarianRoughAnimal",IF(_xlfn.XLOOKUP(B61,'Base stats'!B:B,'Base stats'!Y:Y)="OmnivoreRough","OmnivoreRoughAnimal, OvivoreAnimal","OmnivoreAnimal, OvivoreAnimal"))))))</f>
        <v>OmnivoreAnimal, OvivoreAnimal</v>
      </c>
      <c r="AZ61" s="2" t="str">
        <f>IF(_xlfn.XLOOKUP(_xlfn.XLOOKUP(B61,'Base stats'!B:B,'Base stats'!E:E),Groups!A:A,Groups!D:D)=1,MROUND((1-J61)*5+1,2)*IF(J61&lt;=0.4,2,1),"No")</f>
        <v>No</v>
      </c>
      <c r="BA61" s="2" t="str">
        <f>IF(AND(_xlfn.XLOOKUP(B61,'Base stats'!B:B,'Base stats'!AH:AH)="&lt;li&gt;Seal&lt;/li&gt;",G61="Odyssey"),"&lt;li&gt;AEXP_Seal&lt;/li&gt;",_xlfn.XLOOKUP(B61,'Base stats'!B:B,'Base stats'!AH:AH))</f>
        <v>No</v>
      </c>
      <c r="BB61" s="2" t="str">
        <f>_xlfn.XLOOKUP(B61,'Base stats'!B:B,'Base stats'!AG:AG)</f>
        <v>VAEWaste_ToxicLeather</v>
      </c>
      <c r="BC61" s="23" t="str">
        <f>_xlfn.XLOOKUP(_xlfn.XLOOKUP(B61,'Base stats'!B:B,'Base stats'!E:E),Groups!A:A,Groups!AL:AL)</f>
        <v>QuadrupedAnimalWithPawsAndTail</v>
      </c>
      <c r="BD61" s="23">
        <f>MIN(1,MROUND(IF(AND(AO61&lt;0.5,_xlfn.XLOOKUP(B61,'Base stats'!B:B,'Base stats'!AA:AA)=0),0,IF(OR(_xlfn.XLOOKUP(Animals!B61,'Base stats'!B:B,'Base stats'!O:O)=2,_xlfn.XLOOKUP(_xlfn.XLOOKUP(B61,'Base stats'!B:B,'Base stats'!E:E),Groups!A:A,Groups!AN:AN)=0),0,_xlfn.XLOOKUP(_xlfn.XLOOKUP(B61,'Base stats'!B:B,'Base stats'!E:E),Groups!A:A,Groups!AN:AN)/IF(_xlfn.XLOOKUP(Animals!B61,'Base stats'!B:B,'Base stats'!O:O)=1,2,1)))+_xlfn.XLOOKUP(B61,'Base stats'!B:B,'Base stats'!AC:AC),0.005))</f>
        <v>0.1</v>
      </c>
      <c r="BE61" s="23">
        <f>MIN(1,MROUND(IF(AND(AO61&lt;0.5,_xlfn.XLOOKUP(B61,'Base stats'!B:B,'Base stats'!AA:AA)=0),0,IF(_xlfn.XLOOKUP(_xlfn.XLOOKUP(B61,'Base stats'!B:B,'Base stats'!E:E),Groups!A:A,Groups!AO:AO)=0,0,_xlfn.XLOOKUP(_xlfn.XLOOKUP(B61,'Base stats'!B:B,'Base stats'!E:E),Groups!A:A,Groups!AO:AO)/IF(_xlfn.XLOOKUP(Animals!B61,'Base stats'!B:B,'Base stats'!O:O)=2,3,1)))+_xlfn.XLOOKUP(B61,'Base stats'!B:B,'Base stats'!AD:AD),0.005))</f>
        <v>0.3</v>
      </c>
      <c r="BF61" s="2" t="str">
        <f>IF(J61&gt;0.3,"No",_xlfn.XLOOKUP(_xlfn.XLOOKUP(Animals!B61,'Base stats'!B:B,'Base stats'!E:E),Groups!A:A,Groups!AP:AP))</f>
        <v>No</v>
      </c>
      <c r="BG61" s="2">
        <f>IF(AND(J61&lt;=0.65,_xlfn.XLOOKUP(_xlfn.XLOOKUP(Animals!B61,'Base stats'!B:B,'Base stats'!E:E),Groups!A:A,Groups!AP:AP)&lt;&gt;"No",_xlfn.XLOOKUP(_xlfn.XLOOKUP(B61,'Base stats'!B:B,'Base stats'!E:E),Groups!A:A,Groups!D:D)=0),MROUND((80/3)*IF(_xlfn.XLOOKUP(B61,'Base stats'!B:B,'Base stats'!O:O)=2,0.2,AO61) + 24*(1-IF(BF61="No",0,BF61)) + 16/3, 12),"No")</f>
        <v>36</v>
      </c>
      <c r="BH61" s="2">
        <f>IF(AND(_xlfn.XLOOKUP(_xlfn.XLOOKUP(B61,'Base stats'!B:B,'Base stats'!E:E),Groups!A:A,Groups!AQ:AQ)=1,AO61&lt;=0.35),8,12)</f>
        <v>12</v>
      </c>
      <c r="BI61" s="2" t="str">
        <f>IF(_xlfn.XLOOKUP(_xlfn.XLOOKUP(B61,'Base stats'!B:B,'Base stats'!E:E),Groups!A:A,Groups!D:D)=0,_xlfn.XLOOKUP(_xlfn.XLOOKUP(B61,'Base stats'!B:B,'Base stats'!E:E),Groups!A:A,Groups!AR:AR),"None")</f>
        <v>Intermediate</v>
      </c>
      <c r="BJ61" s="2" t="str">
        <f>IF(AND(_xlfn.XLOOKUP(_xlfn.XLOOKUP(B61,'Base stats'!B:B,'Base stats'!E:E),Groups!A:A,Groups!AS:AS)=1,OR(_xlfn.XLOOKUP(B61,'Base stats'!B:B,'Base stats'!Y:Y)="Carnivore",_xlfn.XLOOKUP(B61,'Base stats'!B:B,'Base stats'!Y:Y)="Omnivore")),"true","false")</f>
        <v>false</v>
      </c>
      <c r="BK61" s="2" t="str">
        <f>IF(BJ61="true",MROUND(IF(AND(AO61&gt;0.5,OR(_xlfn.XLOOKUP(_xlfn.XLOOKUP(B61,'Base stats'!B:B,'Base stats'!E:E),Groups!A:A,Groups!AJ:AJ)="Photonozoa",_xlfn.XLOOKUP(_xlfn.XLOOKUP(B61,'Base stats'!B:B,'Base stats'!E:E),Groups!A:A,Groups!AJ:AJ)="Mammal")),Animals!AO61*1.75*IF(AW61="true",1.5,1),IF(AO61&lt;0.5,Animals!AO61*0.5,Animals!AO61)),IF(AO61&gt;2,0.5,IF(AO61&gt;0.5,0.25,0.1))),"No")</f>
        <v>No</v>
      </c>
      <c r="BL61" s="2">
        <f t="shared" si="3"/>
        <v>1</v>
      </c>
      <c r="BM61" s="25" t="str">
        <f>IF(_xlfn.XLOOKUP(B61,'Base stats'!B:B,'Base stats'!AN:AN)="Standard","No",MROUND((_xlfn.XLOOKUP(B61,'Base stats'!B:B,'Base stats'!AN:AN)/3.6)/I61,0.1))</f>
        <v>No</v>
      </c>
      <c r="BN61" s="25" t="str">
        <f t="shared" si="4"/>
        <v>false</v>
      </c>
      <c r="BO61" s="25" t="str">
        <f>IF(AND(OR(_xlfn.XLOOKUP(B61,'Base stats'!B:B,'Base stats'!Y:Y)="Carnivore",_xlfn.XLOOKUP(B61,'Base stats'!B:B,'Base stats'!Y:Y)="Omnivore",_xlfn.XLOOKUP(B61,'Base stats'!B:B,'Base stats'!Y:Y)="OmnivoreRough"),_xlfn.XLOOKUP(_xlfn.XLOOKUP(B61,'Base stats'!B:B,'Base stats'!E:E),Groups!A:A,Groups!AT:AT)=1),"true","false")</f>
        <v>false</v>
      </c>
      <c r="BP61" s="25" t="str" cm="1">
        <f t="array" ref="BP61">IF(
  _xlfn.TEXTJOIN(", ",TRUE,
    IF(AND(BJ61="true",AO61&gt;0.5,BI61&lt;&gt;"None"),"AttackTarget",""),
    IF(AND(_xlfn.XLOOKUP(_xlfn.XLOOKUP(B61,'Base stats'!B:B,'Base stats'!E:E),Groups!A:A,Groups!AJ:AJ="Mammal"),OR(_xlfn.XLOOKUP(B61,'Base stats'!B:B,'Base stats'!Y:Y)="Omnivore",_xlfn.XLOOKUP(B61,'Base stats'!B:B,'Base stats'!Y:Y)="OmnivoreRough")),"Forage",""),
    IF(BG61&lt;=36,"Comfort",""),
    IF(_xlfn.XLOOKUP(B61,'Base stats'!B:B,'Base stats'!AE:AE)&lt;&gt;"No",_xlfn.XLOOKUP(B61,'Base stats'!B:B,'Base stats'!AE:AE),"")
  ) = "",
  "No",
  _xlfn.TEXTJOIN(", ",TRUE,
    IF(AND(BJ61="true",AO61&gt;0.5,BI61&lt;&gt;"None"),"AttackTarget",""),
    IF(AND(_xlfn.XLOOKUP(_xlfn.XLOOKUP(B61,'Base stats'!B:B,'Base stats'!E:E),Groups!A:A,Groups!AJ:AJ="Mammal"),OR(_xlfn.XLOOKUP(B61,'Base stats'!B:B,'Base stats'!Y:Y)="Omnivore",_xlfn.XLOOKUP(B61,'Base stats'!B:B,'Base stats'!Y:Y)="OmnivoreRough")),"Forage",""),
    IF(BG61&lt;=36,"Comfort",""),
    IF(_xlfn.XLOOKUP(B61,'Base stats'!B:B,'Base stats'!AE:AE)&lt;&gt;"No",_xlfn.XLOOKUP(B61,'Base stats'!B:B,'Base stats'!AE:AE),"")
  )
)</f>
        <v>Forage, Comfort</v>
      </c>
      <c r="BQ61" s="25" t="str">
        <f>IF(
   AND(
      'Base stats'!AN61="Standard",_xlfn.XLOOKUP(_xlfn.XLOOKUP(B61,'Base stats'!B:B,'Base stats'!E:E),Groups!A:A,Groups!AU:AU)=0,
      OR(
      BO61="True"
      )
   ),
   10,
   IF(
       OR(BM61&lt;&gt;"No",_xlfn.XLOOKUP(_xlfn.XLOOKUP(B61,'Base stats'!B:B,'Base stats'!E:E),Groups!A:A,Groups!AU:AU)=1),
      1,
      "No"
   )
)</f>
        <v>No</v>
      </c>
      <c r="BR61" s="9">
        <f>MROUND((1 + ((0.2*IF(OR(Q61="No",R61="No",R61=0),0,Q61/R61)
+IF(OR(V61="No",S61="No",T61="No"),0,S61/T61*(LEN(V61)-LEN(SUBSTITUTE(V61,",",""))+1))
+IF(OR(X61="No",Y61="No"),0,X61/Y61)
+IF(OR(AD61="No",AE61="No"),0,AD61/AE61)
+IF(OR(AL61="No",AI61="No",AJ61="No"),0,AI61/AJ61*(LEN(AL61)-LEN(SUBSTITUTE(AL61,",",""))+1))
)/(0.2*IF(OR(Q61="No",R61="No",R61=0),0,1)
+IF(OR(V61="No",S61="No",T61="No"),0,LEN(V61)-LEN(SUBSTITUTE(V61,",",""))+1)
+IF(OR(X61="No",Y61="No"),0,1)
+IF(OR(AD61="No",AE61="No"),0,1)
+IF(OR(AL61="No",AI61="No",AJ61="No"),0,LEN(AL61)-LEN(SUBSTITUTE(AL61,",",""))+1))*62%)* 2)*(1 + (AP61 / (IF(_xlfn.XLOOKUP(_xlfn.XLOOKUP(B61,'Base stats'!B:B,'Base stats'!E:E),Groups!A:A,Groups!AJ:AJ)="Photonozoa",0.3,1)) + _xlfn.XLOOKUP(B61,'Base stats'!B:B,'Base stats'!AV:AV) * 1.8) * 2) * 2.5 + 10 + I61 * 2,5)+IF(_xlfn.XLOOKUP(B61,'Base stats'!B:B,'Base stats'!AK:AK)=1,50,0)</f>
        <v>50</v>
      </c>
      <c r="BS61" s="8">
        <f t="shared" si="5"/>
        <v>0.35000000000000003</v>
      </c>
      <c r="BT61" s="8" t="str">
        <f>_xlfn.XLOOKUP(B61,'Base stats'!B:B,'Base stats'!AF:AF)</f>
        <v>1~6</v>
      </c>
      <c r="BU61" s="2" t="str">
        <f>IF(AND(J61&lt;=0.95,OR(_xlfn.XLOOKUP(B61,'Base stats'!B:B,'Base stats'!AK:AK)=1,_xlfn.XLOOKUP(B61,'Base stats'!B:B,'Base stats'!Y:Y)="Carnivore",_xlfn.XLOOKUP(B61,'Base stats'!B:B,'Base stats'!Y:Y)="Omnivore",BE61&gt;0.1)),"true","false")</f>
        <v>true</v>
      </c>
      <c r="BV61" s="2" t="str">
        <f>IF(_xlfn.XLOOKUP(B61,'Base stats'!B:B,'Base stats'!AI:AI)=1,"true","false")</f>
        <v>false</v>
      </c>
      <c r="BW61" s="25" t="str">
        <f>IF(E61="BaseInsect","AnimalInsect",
IF(J61&gt;0.95,"AnimalExotic",
_xlfn.TEXTJOIN(", ",TRUE,
IF(OR(_xlfn.XLOOKUP(B61,'Base stats'!B:B,'Base stats'!AM:AM)=1,AND(_xlfn.XLOOKUP(B61,'Base stats'!B:B,'Base stats'!O:O)=0,_xlfn.XLOOKUP(_xlfn.XLOOKUP(B61,'Base stats'!B:B,'Base stats'!E:E),Groups!A:A,Groups!B:B)&gt;0)),"AnimalUncommon","AnimalCommon"),
IF(AND(_xlfn.XLOOKUP(B61,'Base stats'!B:B,'Base stats'!O:O)=2,_xlfn.XLOOKUP(_xlfn.XLOOKUP(B61,'Base stats'!B:B,'Base stats'!E:E),Groups!A:A,Groups!D:D)=0),"AnimalPet",IF(AND(_xlfn.XLOOKUP(B61,'Base stats'!B:B,'Base stats'!O:O)&lt;&gt;0,_xlfn.XLOOKUP(_xlfn.XLOOKUP(B61,'Base stats'!B:B,'Base stats'!E:E),Groups!A:A,Groups!D:D)&lt;&gt;0),"AnimalFarm","")),
IF(OR(_xlfn.XLOOKUP(B61,'Base stats'!B:B,'Base stats'!AK:AK)=1,AND(BI61&lt;&gt;"None",BR61&gt;=60),ISNUMBER(SEARCH("Attack target",BP61))),"AnimalFighter","")
)))</f>
        <v>AnimalCommon</v>
      </c>
      <c r="BX61" s="25" t="str">
        <f>IF(G61="None",TRIM(
SUBSTITUTE(
IF(COUNTIF(Biomes!B$2:B$259,"="&amp;$C61)&gt;0,Biomes!B$1&amp;", ","")&amp;
IF(COUNTIF(Biomes!C$2:C$259,"="&amp;$C61)&gt;0,Biomes!C$1&amp;", ","")&amp;
IF(COUNTIF(Biomes!D$2:D$259,"="&amp;$C61)&gt;0,Biomes!D$1&amp;", ","")&amp;
IF(COUNTIF(Biomes!F$2:F$259,"="&amp;$C61)&gt;0,Biomes!F$1&amp;", ","")&amp;
IF(COUNTIF(Biomes!G$2:G$259,"="&amp;$C61)&gt;0,Biomes!G$1&amp;", ","")&amp;
IF(COUNTIF(Biomes!H$2:H$259,"="&amp;$C61)&gt;0,Biomes!H$1&amp;", ","")&amp;
IF(COUNTIF(Biomes!I$2:I$259,"="&amp;$C61)&gt;0,Biomes!I$1&amp;", ","")&amp;
IF(COUNTIF(Biomes!J$2:J$259,"="&amp;$C61)&gt;0,Biomes!J$1&amp;", ","")&amp;
IF(COUNTIF(Biomes!M$2:M$259,"="&amp;$C61)&gt;0,Biomes!M$1&amp;", ","")&amp;
IF(COUNTIF(Biomes!N$2:N$259,"="&amp;$C61)&gt;0,Biomes!N$1&amp;", ","")&amp;
IF(COUNTIF(Biomes!O$2:O$259,"="&amp;$C61)&gt;0,Biomes!O$1&amp;", ","")&amp;
IF(COUNTIF(Biomes!P$2:P$259,"="&amp;$C61)&gt;0,Biomes!P$1&amp;", ","")&amp;
IF(COUNTIF(Biomes!K$2:K$259,"="&amp;$C61)&gt;0,Biomes!K$1&amp;", ","")&amp;
IF(COUNTIF(Biomes!Q$3:Q$259,"="&amp;$C61)&gt;0,Biomes!Q$1&amp;", ","")&amp;
IF(COUNTIF(Biomes!L$2:L$259,"="&amp;$C61)&gt;0,Biomes!L$1&amp;", ","")&amp;
IF(COUNTIF(Biomes!E$2:E$259,"="&amp;$C61)&gt;0,Biomes!E$1&amp;", ","")&amp;IF(COUNTIF(Biomes!S$2:S$259,"="&amp;$C61)&gt;0,Biomes!S$1&amp;", ","")&amp;
IF(COUNTIF(Biomes!R$2:R$259,"="&amp;$C61)&gt;0,Biomes!R$1&amp;", ",""),", ","")
),_xlfn.XLOOKUP(B61,B:B,BX:BX))</f>
        <v>BorealForest ColdBog TemperateForest TemperateSwamp AridShrubland Desert ExtremeDesert TropicalRainforest TropicalSwamp Grasslands Glowforest LavaField Alpine Scarlands</v>
      </c>
      <c r="BY61" s="25" t="str">
        <f>IF(_xlfn.XLOOKUP(B61,'Base stats'!B:B,'Base stats'!AJ:AJ)=1,"true","false")</f>
        <v>false</v>
      </c>
      <c r="BZ61" s="25" t="str">
        <f>IF(_xlfn.XLOOKUP(B61,'Base stats'!B:B,'Base stats'!N:N)=1,"No",MAX(0.001,MIN(MROUND(IF(AND(BJ61="True",CC61="False"),POWER(10,3.47*LOG10(_xlfn.XLOOKUP(B61,'Base stats'!B:B,'Base stats'!C:C)*1000)^-0.96),POWER(10,4.15*LOG10(_xlfn.XLOOKUP(B61,'Base stats'!B:B,'Base stats'!C:C)*1000)^-0.73))*IF(_xlfn.XLOOKUP(B61,'Base stats'!B:B,'Base stats'!AK:AK)=1,0.5,1)*IF(_xlfn.XLOOKUP(B61,'Base stats'!B:B,'Base stats'!AM:AM)=1,0.1,1)/100,IF(_xlfn.XLOOKUP(B61,'Base stats'!B:B,'Base stats'!AM:AM)=1,0.001,0.025)),0.5)))</f>
        <v>No</v>
      </c>
      <c r="CA61" s="25">
        <f>IF(P61="Standard","No",MAX(0.001,MIN(MROUND(IF(AND(BJ61="True",CC61="False"),POWER(10,3.47*LOG10(_xlfn.XLOOKUP(B61,'Base stats'!B:B,'Base stats'!C:C)*1000)^-0.96),POWER(10,4.15*LOG10(_xlfn.XLOOKUP(B61,'Base stats'!B:B,'Base stats'!C:C)*1000)^-0.73))*IF(_xlfn.XLOOKUP(B61,'Base stats'!B:B,'Base stats'!AM:AM)=1,0.1,1)*_xlfn.XLOOKUP(B61,'Base stats'!B:B,'Base stats'!R:R)/100,IF(_xlfn.XLOOKUP(B61,'Base stats'!B:B,'Base stats'!AM:AM)=1,0.001,0.025)),0.5)))</f>
        <v>0.32500000000000001</v>
      </c>
      <c r="CB61" s="25" t="str">
        <f>IF(_xlfn.XLOOKUP(_xlfn.XLOOKUP(B61,'Base stats'!B:B,'Base stats'!E:E),Groups!A:A,Groups!AJ:AJ)="Mammal","True","False")</f>
        <v>True</v>
      </c>
      <c r="CC61" s="25" t="str">
        <f>IF(OR(_xlfn.XLOOKUP(_xlfn.XLOOKUP(B61,'Base stats'!B:B,'Base stats'!E:E),Groups!A:A,Groups!AJ:AJ)="Reptile",_xlfn.XLOOKUP(_xlfn.XLOOKUP(B61,'Base stats'!B:B,'Base stats'!E:E),Groups!A:A,Groups!AJ:AJ)="Amphibian",_xlfn.XLOOKUP(_xlfn.XLOOKUP(B61,'Base stats'!B:B,'Base stats'!E:E),Groups!A:A,Groups!AJ:AJ)="Invertebrate"),"True","False")</f>
        <v>False</v>
      </c>
      <c r="CD61" s="25" t="str">
        <f t="shared" si="6"/>
        <v>False</v>
      </c>
      <c r="CE61" s="25" t="str">
        <f>IF(_xlfn.XLOOKUP(_xlfn.XLOOKUP(B61,'Base stats'!B:B,'Base stats'!E:E),Groups!A:A,Groups!AX:AX),"True","False")</f>
        <v>False</v>
      </c>
      <c r="CF61" s="25" t="str">
        <f>IF(_xlfn.XLOOKUP(_xlfn.XLOOKUP(B61,'Base stats'!B:B,'Base stats'!E:E),Groups!A:A,Groups!AY:AY),"True","False")</f>
        <v>False</v>
      </c>
      <c r="CG61" s="25" t="str">
        <f>IF(_xlfn.XLOOKUP(_xlfn.XLOOKUP(B61,'Base stats'!B:B,'Base stats'!E:E),Groups!A:A,Groups!AW:AW),"True","False")</f>
        <v>False</v>
      </c>
      <c r="CH61" s="25" t="str">
        <f>IF(
OR(
_xlfn.XLOOKUP(_xlfn.XLOOKUP(B61,'Base stats'!B:B,'Base stats'!E:E),Groups!A:A,Groups!AZ:AZ)=0,
AND(
_xlfn.XLOOKUP(B61,'Base stats'!B:B,'Base stats'!Y:Y)&lt;&gt;"Carnivore",
_xlfn.XLOOKUP(B61,'Base stats'!B:B,'Base stats'!Y:Y)&lt;&gt;"Omnivore",
_xlfn.XLOOKUP(B61,'Base stats'!B:B,'Base stats'!Y:Y)&lt;&gt;"OmnivoreRough"
)
),
"No",
IF(
_xlfn.XLOOKUP(_xlfn.XLOOKUP(B61,'Base stats'!B:B,'Base stats'!E:E),Groups!A:A,Groups!AZ:AZ)=1,
"Flesh",
IF(
_xlfn.XLOOKUP(_xlfn.XLOOKUP(B61,'Base stats'!B:B,'Base stats'!E:E),Groups!A:A,Groups!AZ:AZ)=2,
"Bone",
""
)
)
)</f>
        <v>Bone</v>
      </c>
      <c r="CI61" s="25" t="str">
        <f>IF(_xlfn.XLOOKUP(_xlfn.XLOOKUP(B61,'Base stats'!B:B,'Base stats'!E:E),Groups!A:A,Groups!BB:BB),"True","False")</f>
        <v>True</v>
      </c>
      <c r="CJ61" s="25" t="str">
        <f>IF(_xlfn.XLOOKUP(_xlfn.XLOOKUP(B61,'Base stats'!B:B,'Base stats'!E:E),Groups!A:A,Groups!BA:BA),"True","False")</f>
        <v>False</v>
      </c>
    </row>
    <row r="62" spans="1:88" ht="16.5" thickTop="1" thickBot="1" x14ac:dyDescent="0.3">
      <c r="A62" s="26" t="str">
        <f>_xlfn.XLOOKUP(B62,'Base stats'!B:B,'Base stats'!A:A)</f>
        <v>Panda</v>
      </c>
      <c r="B62" s="6" t="s">
        <v>189</v>
      </c>
      <c r="C62" s="28" t="s">
        <v>741</v>
      </c>
      <c r="D62" s="28" t="s">
        <v>870</v>
      </c>
      <c r="E62" s="28" t="s">
        <v>673</v>
      </c>
      <c r="F62" s="28" t="s">
        <v>450</v>
      </c>
      <c r="G62" s="28" t="s">
        <v>673</v>
      </c>
      <c r="H62" s="2">
        <f>MROUND((
  (IF(AND(_xlfn.XLOOKUP(B62,'Base stats'!B:B,'Base stats'!AL:AL)=0,BI62="None",_xlfn.XLOOKUP(_xlfn.XLOOKUP(B62,'Base stats'!B:B,'Base stats'!E:E),Groups!A:A,Groups!B:B)=0), (18 + BR62 * 2.7) * 0.5,
    IF(AND(_xlfn.XLOOKUP(B62,'Base stats'!B:B,'Base stats'!AL:AL)=0,OR(AO62&lt;0.55,AND(BI62="Intermediate",_xlfn.XLOOKUP(_xlfn.XLOOKUP(B62,'Base stats'!B:B,'Base stats'!E:E),Groups!A:A,Groups!B:B)&lt;2))), (18 + BR62 * 2.7),
      IF(OR(BI62="Advanced",_xlfn.XLOOKUP(B62,'Base stats'!B:B,'Base stats'!AL:AL)=1,_xlfn.XLOOKUP(_xlfn.XLOOKUP(B62,'Base stats'!B:B,'Base stats'!E:E),Groups!A:A,Groups!B:B)=2), (18 + BR62 * 2.7) + 250, (18 + BR62 * 2.7))
    )
  ))
  + AO62 * 80
  + IF(COUNTIF(EggMilk!K$2:K$998, A62) &gt; 0, 125, 0)
  + IF(COUNTIF(EggMilk!P$2:P$998, A62) &gt; 0, 90, 0)
  + IF(COUNTIF(EggMilk!A$2:A$998, A62) &gt; 0, 90, 0)
)
* (0.8 + 0.4 * J62)
* 0.75,25)</f>
        <v>600</v>
      </c>
      <c r="I62" s="2">
        <f>MROUND(ROUNDDOWN(_xlfn.XLOOKUP(B62,'Base stats'!B:B,'Base stats'!L:L)/3.6/(23.3/11),1),0.5)</f>
        <v>5</v>
      </c>
      <c r="J62" s="2">
        <f>IF(OR(_xlfn.XLOOKUP(B62,'Base stats'!B:B,'Base stats'!AB:AB)=1,_xlfn.XLOOKUP(_xlfn.XLOOKUP(B62,'Base stats'!B:B,'Base stats'!E:E),Groups!A:A,Groups!C:C)="Untamable"),1,IF(_xlfn.XLOOKUP(B62,'Base stats'!B:B,'Base stats'!AL:AL)=1,0.99,MIN(MROUND((1-0.6282*EXP(-0.459*AO62))*_xlfn.XLOOKUP(_xlfn.XLOOKUP(B62,'Base stats'!B:B,'Base stats'!E:E),Groups!A:A,Groups!C:C)*IF(_xlfn.XLOOKUP(B62,'Base stats'!B:B,'Base stats'!O:O)=1,0.5,IF(_xlfn.XLOOKUP(B62,'Base stats'!B:B,'Base stats'!O:O)=2,0,1)),0.05),IF(AO62&gt;3.5,0.985,0.95))))</f>
        <v>0.70000000000000007</v>
      </c>
      <c r="K62" s="2">
        <f>ROUNDUP(AO62*_xlfn.XLOOKUP(_xlfn.XLOOKUP(B62,'Base stats'!B:B,'Base stats'!E:E),Groups!A:A,Groups!E:E),0)</f>
        <v>2</v>
      </c>
      <c r="L62" s="2">
        <f>IF(OR(_xlfn.XLOOKUP(_xlfn.XLOOKUP(B62,'Base stats'!B:B,'Base stats'!E:E),Groups!A:A,Groups!F:F)=2,ISNUMBER(SEARCH("SeaIce",BX62)),ISNUMBER(SEARCH("IceSheet",BX62))),-50,IF(OR(ISNUMBER(SEARCH("GlacialPlain",BX62)),ISNUMBER(SEARCH("Tundra",BX62))),-40,IF(OR(ISNUMBER(SEARCH("Alpine",BX62)),ISNUMBER(SEARCH("BorealForest",BX62)),ISNUMBER(SEARCH("ColdBog",BX62))),-30,IF(OR(ISNUMBER(SEARCH("TemperateForest",BX62)),ISNUMBER(SEARCH("TemperateSwamp",BX62))),-20,IF(_xlfn.XLOOKUP(_xlfn.XLOOKUP(B62,'Base stats'!B:B,'Base stats'!E:E),Groups!A:A,Groups!F:F)=1,-15,IF(OR(ISNUMBER(SEARCH("Desert",BX62)),ISNUMBER(SEARCH("ExtremeDesert",BX62))),-10,IF(OR(ISNUMBER(SEARCH("Grasslands",BX62)),ISNUMBER(SEARCH("TropicalRainforest",BX62)),ISNUMBER(SEARCH("TropicalSwamp",BX62))),10,0)))))))-IF(CC62="False",MIN(IFERROR(MAX(MROUND(LOG10(_xlfn.XLOOKUP(B62,'Base stats'!B:B,'Base stats'!C:C)^(2/3))*10,5),5),5),30))-_xlfn.XLOOKUP(B62,'Base stats'!B:B,'Base stats'!P:P)+IF(CC62="True",5,0)</f>
        <v>-35</v>
      </c>
      <c r="M62" s="2">
        <f>IF(OR(_xlfn.XLOOKUP(_xlfn.XLOOKUP(B62,'Base stats'!B:B,'Base stats'!E:E),Groups!A:A,Groups!G:G)=2,ISNUMBER(SEARCH("Desert",BX62)),ISNUMBER(SEARCH("ExtremeDesert",BX62)),ISNUMBER(SEARCH("LavaField",BX62))),50,IF(ISNUMBER(SEARCH("Grasslands",BX62)),45,IF(OR(_xlfn.XLOOKUP(_xlfn.XLOOKUP(B62,'Base stats'!B:B,'Base stats'!E:E),Groups!A:A,Groups!G:G)=1,ISNUMBER(SEARCH("TropicalRainforest",BX62)),ISNUMBER(SEARCH("TropicalSwamp",BX62))),40,IF(OR(ISNUMBER(SEARCH("TemperateForest",BX62)),ISNUMBER(SEARCH("TemperateSwamp",BX62))),35,IF(OR(ISNUMBER(SEARCH("Alpine",BX62)),ISNUMBER(SEARCH("BorealForest",BX62)),ISNUMBER(SEARCH("ColdBog",BX62))),30,IF(ISNUMBER(OR(ISNUMBER(SEARCH("GlacialPlain",BX62)),SEARCH("Tundra",BX62))),25,IF(OR(ISNUMBER(SEARCH("SeaIce",BX62)),ISNUMBER(SEARCH("IceSheet",BX62)),ISNUMBER(SEARCH("TropicalSwamp",BX62))),10,35)))))))+_xlfn.XLOOKUP(B62,'Base stats'!B:B,'Base stats'!Q:Q)</f>
        <v>35</v>
      </c>
      <c r="N62" s="8" t="str">
        <f>IF(
_xlfn.XLOOKUP(
_xlfn.XLOOKUP(B62,'Base stats'!B:B,'Base stats'!E:E),
Groups!A:A,
Groups!L:L
)=1,
MIN(
MROUND(
IF(
_xlfn.XLOOKUP(B62,'Animals CE'!B:B,'Animals CE'!Z:Z)&lt;=1.5,
_xlfn.XLOOKUP(B62,'Animals CE'!B:B,'Animals CE'!Z:Z)/2+0.05,
0.8+
(_xlfn.XLOOKUP(B62,'Animals CE'!B:B,'Animals CE'!Z:Z)-1.5)
*0.02
),
0.05
),
200%
),
"No"
)</f>
        <v>No</v>
      </c>
      <c r="O62" s="8" t="str">
        <f>IF(
_xlfn.XLOOKUP(
_xlfn.XLOOKUP(B62,'Base stats'!B:B,'Base stats'!E:E),
Groups!A:A,
Groups!L:L
)=1,
MIN(
MROUND(
IF(
_xlfn.XLOOKUP(B62,'Animals CE'!B:B,'Animals CE'!AA:AA)&lt;=1.5,
_xlfn.XLOOKUP(B62,'Animals CE'!B:B,'Animals CE'!AA:AA)/2+0.05,
0.8+
(_xlfn.XLOOKUP(B62,'Animals CE'!B:B,'Animals CE'!AA:AA)-1.5)
*0.02
),
0.05
),
200%
),
"No"
)</f>
        <v>No</v>
      </c>
      <c r="P62" s="2" t="str">
        <f>_xlfn.XLOOKUP(B62,'Base stats'!B:B,'Base stats'!R:R)</f>
        <v>Standard</v>
      </c>
      <c r="Q62" s="13">
        <f>MROUND((LOG10(_xlfn.XLOOKUP(B62,'Base stats'!B:B,'Base stats'!AR:AR))*(AO62^0.5)+(_xlfn.XLOOKUP(B62,'Base stats'!B:B,'Base stats'!AR:AR)/1000)^(2/3)+_xlfn.XLOOKUP(B62,'Base stats'!B:B,'Base stats'!BA:BA)/2)+0.5,0.5)</f>
        <v>9</v>
      </c>
      <c r="R62" s="7">
        <f>IF(Q62="No","No",MAX(1,MROUND(_xlfn.XLOOKUP(B62,'Base stats'!B:B,'Base stats'!C:C)^0.165,0.05)))</f>
        <v>2.2000000000000002</v>
      </c>
      <c r="S62" s="13" t="str">
        <f>IF(_xlfn.XLOOKUP(_xlfn.XLOOKUP(B62,'Base stats'!B:B,'Base stats'!E:E),Groups!A:A,Groups!P:P)=0,"No",MROUND((LOG10(_xlfn.XLOOKUP(B62,'Base stats'!B:B,'Base stats'!AS:AS))*(AO62^0.5)+(_xlfn.XLOOKUP(B62,'Base stats'!B:B,'Base stats'!AS:AS)/1000)^(2/3)+_xlfn.XLOOKUP(B62,'Base stats'!B:B,'Base stats'!BA:BA))+_xlfn.XLOOKUP(B62,'Base stats'!B:B,'Base stats'!AY:AY)+0.5,0.5))</f>
        <v>No</v>
      </c>
      <c r="T62" s="7" t="str">
        <f>IF(S62="No","No",MAX(_xlfn.XLOOKUP(_xlfn.XLOOKUP(B62,'Base stats'!B:B,'Base stats'!E:E),Groups!A:A,Groups!Q:Q),MROUND(_xlfn.XLOOKUP(_xlfn.XLOOKUP(B62,'Base stats'!B:B,'Base stats'!E:E),Groups!A:A,Groups!Q:Q)*_xlfn.XLOOKUP(B62,'Base stats'!B:B,'Base stats'!C:C)^0.165,0.05)))</f>
        <v>No</v>
      </c>
      <c r="U62" s="7" t="str">
        <f>IF(S62="No","No",_xlfn.XLOOKUP(_xlfn.XLOOKUP(B62,'Base stats'!B:B,'Base stats'!E:E),Groups!A:A,Groups!R:R))</f>
        <v>No</v>
      </c>
      <c r="V62" s="7" t="str">
        <f>IF(S62="No","No",_xlfn.XLOOKUP(_xlfn.XLOOKUP(B62,'Base stats'!B:B,'Base stats'!E:E),Groups!A:A,Groups!S:S))</f>
        <v>No</v>
      </c>
      <c r="W62" s="7" t="str">
        <f>IF(S62="No","No",_xlfn.XLOOKUP(_xlfn.XLOOKUP(B62,'Base stats'!B:B,'Base stats'!E:E),Groups!A:A,Groups!T:T))</f>
        <v>No</v>
      </c>
      <c r="X62" s="13" t="str">
        <f>IF(_xlfn.XLOOKUP(B62,'Base stats'!B:B,'Base stats'!W:W)="No","No",MROUND((LOG10(_xlfn.XLOOKUP(B62,'Base stats'!B:B,'Base stats'!AU:AU))*(AO62^0.5)+(_xlfn.XLOOKUP(B62,'Base stats'!B:B,'Base stats'!AU:AU)/1000)^(2/3)+_xlfn.XLOOKUP(B62,'Base stats'!B:B,'Base stats'!AZ:AZ))+0.5+IF(_xlfn.XLOOKUP(_xlfn.XLOOKUP(B62,'Base stats'!B:B,'Base stats'!E:E),Groups!A:A,Groups!U:U)&lt;&gt;3,_xlfn.XLOOKUP(B62,'Base stats'!B:B,'Base stats'!BA:BA),0),0.5))</f>
        <v>No</v>
      </c>
      <c r="Y62" s="7" t="str">
        <f>IF(X62="No","No",MAX(_xlfn.XLOOKUP(_xlfn.XLOOKUP(B62,'Base stats'!B:B,'Base stats'!E:E),Groups!A:A,Groups!V:V),MROUND(_xlfn.XLOOKUP(_xlfn.XLOOKUP(B62,'Base stats'!B:B,'Base stats'!E:E),Groups!A:A,Groups!V:V)*_xlfn.XLOOKUP(B62,'Base stats'!B:B,'Base stats'!C:C)^0.165,0.05)))</f>
        <v>No</v>
      </c>
      <c r="Z62" s="7" t="str">
        <f>IF(X62="No","No",_xlfn.XLOOKUP(_xlfn.XLOOKUP(B62,'Base stats'!B:B,'Base stats'!E:E),Groups!A:A,Groups!W:W))</f>
        <v>No</v>
      </c>
      <c r="AA62" s="7" t="str">
        <f>IF(X62="No","No",_xlfn.XLOOKUP(_xlfn.XLOOKUP(B62,'Base stats'!B:B,'Base stats'!E:E),Groups!A:A,Groups!X:X))</f>
        <v>No</v>
      </c>
      <c r="AB62" s="7" t="str">
        <f>IF(X62="No","No",_xlfn.XLOOKUP(_xlfn.XLOOKUP(B62,'Base stats'!B:B,'Base stats'!E:E),Groups!A:A,Groups!Y:Y))</f>
        <v>No</v>
      </c>
      <c r="AC62" s="7" t="str">
        <f>_xlfn.XLOOKUP(Animals!B62,'Base stats'!B:B,'Base stats'!X:X)</f>
        <v>False</v>
      </c>
      <c r="AD62" s="13">
        <f>IF(_xlfn.XLOOKUP(B62,'Base stats'!B:B,'Base stats'!AT:AT)="No","No",MROUND((LOG10(_xlfn.XLOOKUP(B62,'Base stats'!B:B,'Base stats'!AT:AT))*(AO62^0.75)+(_xlfn.XLOOKUP(B62,'Base stats'!B:B,'Base stats'!AT:AT)/1000)^(2/3)+_xlfn.XLOOKUP(B62,'Base stats'!B:B,'Base stats'!AX:AX)+_xlfn.XLOOKUP(B62,'Base stats'!B:B,'Base stats'!BA:BA))+0.5,0.5))</f>
        <v>15.5</v>
      </c>
      <c r="AE62" s="7">
        <f>IF(AD62="No","No",MAX(_xlfn.XLOOKUP(_xlfn.XLOOKUP(B62,'Base stats'!B:B,'Base stats'!E:E),Groups!A:A,Groups!Z:Z),MROUND(_xlfn.XLOOKUP(_xlfn.XLOOKUP(B62,'Base stats'!B:B,'Base stats'!E:E),Groups!A:A,Groups!Z:Z)*_xlfn.XLOOKUP(B62,'Base stats'!B:B,'Base stats'!C:C)^0.165,0.05)))</f>
        <v>1.85</v>
      </c>
      <c r="AF62" s="7" t="str">
        <f>IF(AD62="No","No",_xlfn.XLOOKUP(_xlfn.XLOOKUP(B62,'Base stats'!B:B,'Base stats'!E:E),Groups!A:A,Groups!AA:AA))</f>
        <v>Teeth</v>
      </c>
      <c r="AG62" s="7" t="str">
        <f>IF(AD62="No","No",_xlfn.XLOOKUP(_xlfn.XLOOKUP(B62,'Base stats'!B:B,'Base stats'!E:E),Groups!A:A,Groups!AB:AB))</f>
        <v>canines</v>
      </c>
      <c r="AH62" s="7" t="str">
        <f>IF(AD62="No","No",_xlfn.XLOOKUP(_xlfn.XLOOKUP(B62,'Base stats'!B:B,'Base stats'!E:E),Groups!A:A,Groups!AC:AC))</f>
        <v>Bite</v>
      </c>
      <c r="AI62" s="13">
        <f>IF(_xlfn.XLOOKUP(_xlfn.XLOOKUP(B62,'Base stats'!B:B,'Base stats'!E:E),Groups!A:A,Groups!AD:AD)=0,"No",MROUND((LOG10(_xlfn.XLOOKUP(B62,'Base stats'!B:B,'Base stats'!AS:AS))*(AO62^0.75)+(_xlfn.XLOOKUP(B62,'Base stats'!B:B,'Base stats'!AS:AS)/1000)^(2/3)+_xlfn.XLOOKUP(B62,'Base stats'!B:B,'Base stats'!AY:AY)+_xlfn.XLOOKUP(B62,'Base stats'!B:B,'Base stats'!BA:BA))+0.5,0.5))</f>
        <v>13.5</v>
      </c>
      <c r="AJ62" s="7">
        <f>IF(AI62="No","No",MAX(_xlfn.XLOOKUP(_xlfn.XLOOKUP(B62,'Base stats'!B:B,'Base stats'!E:E),Groups!A:A,Groups!AE:AE),MROUND(_xlfn.XLOOKUP(_xlfn.XLOOKUP(B62,'Base stats'!B:B,'Base stats'!E:E),Groups!A:A,Groups!AE:AE)*IF(_xlfn.XLOOKUP(_xlfn.XLOOKUP(B62,'Base stats'!B:B,'Base stats'!E:E),Groups!A:A,Groups!AJ:AJ)="Photonozoa",0.6,1)*_xlfn.XLOOKUP(B62,'Base stats'!B:B,'Base stats'!C:C)^0.165,0.05)))</f>
        <v>1.4500000000000002</v>
      </c>
      <c r="AK62" s="7" t="str">
        <f>IF(AI62="No","No",_xlfn.XLOOKUP(_xlfn.XLOOKUP(B62,'Base stats'!B:B,'Base stats'!E:E),Groups!A:A,Groups!AF:AF))</f>
        <v>FrontLeftPaw, FrontRightPaw</v>
      </c>
      <c r="AL62" s="7" t="str">
        <f>IF(AI62="No","No",_xlfn.XLOOKUP(_xlfn.XLOOKUP(B62,'Base stats'!B:B,'Base stats'!E:E),Groups!A:A,Groups!AG:AG))</f>
        <v>left claw, right claw</v>
      </c>
      <c r="AM62" s="7" t="str">
        <f>IF(AI62="No","No",_xlfn.XLOOKUP(_xlfn.XLOOKUP(B62,'Base stats'!B:B,'Base stats'!E:E),Groups!A:A,Groups!AH:AH))</f>
        <v>Scratch</v>
      </c>
      <c r="AN62" s="2" t="str">
        <f t="shared" si="0"/>
        <v>No</v>
      </c>
      <c r="AO62" s="2">
        <f>MROUND(IF(AND(_xlfn.XLOOKUP(B62,'Base stats'!B:B,'Base stats'!C:C)&gt;=0.5,_xlfn.XLOOKUP(B62,'Base stats'!B:B,'Base stats'!C:C)&lt;=0.8),
IF(_xlfn.XLOOKUP(B62,'Base stats'!B:B,'Base stats'!C:C)&lt;0.1,0.05,IF(_xlfn.XLOOKUP(B62,'Base stats'!B:B,'Base stats'!C:C)&lt;=70,(_xlfn.XLOOKUP(B62,'Base stats'!B:B,'Base stats'!C:C)/70)^0.426489913056526,IF(_xlfn.XLOOKUP(B62,'Base stats'!B:B,'Base stats'!C:C)&lt;=400,(_xlfn.XLOOKUP(B62,'Base stats'!B:B,'Base stats'!C:C)/70)^0.572811455315093,IF(_xlfn.XLOOKUP(B62,'Base stats'!B:B,'Base stats'!C:C)&lt;=2000,2.71391647193063*(_xlfn.XLOOKUP(B62,'Base stats'!B:B,'Base stats'!C:C)/400)^0.252459582904293,3.74314280240376*(_xlfn.XLOOKUP(B62,'Base stats'!B:B,'Base stats'!C:C)/2000)^0.357012633876913)))),
IF(_xlfn.XLOOKUP(B62,'Base stats'!B:B,'Base stats'!C:C)&lt;0.1,0.05,IF(_xlfn.XLOOKUP(B62,'Base stats'!B:B,'Base stats'!C:C)&lt;0.4,0.1,IF(_xlfn.XLOOKUP(B62,'Base stats'!B:B,'Base stats'!C:C)&lt;=70,(_xlfn.XLOOKUP(B62,'Base stats'!B:B,'Base stats'!C:C)/70)^0.445823913056526,IF(_xlfn.XLOOKUP(B62,'Base stats'!B:B,'Base stats'!C:C)&lt;=400,(_xlfn.XLOOKUP(B62,'Base stats'!B:B,'Base stats'!C:C)/70)^0.572811455315093,IF(_xlfn.XLOOKUP(B62,'Base stats'!B:B,'Base stats'!C:C)&lt;=2000,2.71391647193063*(_xlfn.XLOOKUP(B62,'Base stats'!B:B,'Base stats'!C:C)/400)^0.252459582904293,3.74314280240376*(_xlfn.XLOOKUP(B62,'Base stats'!B:B,'Base stats'!C:C)/2000)^0.357012633876913)))))),
IF(_xlfn.XLOOKUP(B62,'Base stats'!B:B,'Base stats'!C:C)&lt;0.1,0.05,IF(_xlfn.XLOOKUP(B62,'Base stats'!B:B,'Base stats'!C:C)&lt;=100,0.05,IF(_xlfn.XLOOKUP(B62,'Base stats'!B:B,'Base stats'!C:C)&lt;=250,0.1,IF(_xlfn.XLOOKUP(B62,'Base stats'!B:B,'Base stats'!C:C)&lt;=4000,0.25,0.5)))))</f>
        <v>1.3</v>
      </c>
      <c r="AP62" s="8">
        <f>MROUND(AO62*_xlfn.XLOOKUP(_xlfn.XLOOKUP(B62,'Base stats'!B:B,'Base stats'!E:E),Groups!A:A,Groups!AI:AI)*_xlfn.XLOOKUP(B62,'Base stats'!B:B,'Base stats'!Z:Z),0.05)</f>
        <v>1.55</v>
      </c>
      <c r="AQ62" s="8">
        <f>MAX(0.01,MROUND(IF(CC62="True",0.196*(AO62*100*1000)^0.889,IF(_xlfn.XLOOKUP(_xlfn.XLOOKUP(B62,'Base stats'!B:B,'Base stats'!E:E),Groups!A:A,Groups!AJ:AJ)="Bird",10.5*(AO62*100*1000)^0.681,4.82*(AO62*100*1000)^0.734))/(4.82*(1*100*1000)^0.734)/IF(AO62&lt;3.5,2,IF(AO62=3.5,1.5,1.25))*(1+0.132282374779864/(AO62^0.994035016789033+0.00905238001496948)),0.05))</f>
        <v>0.65</v>
      </c>
      <c r="AR62" s="9">
        <f>IFERROR(MROUND(_xlfn.XLOOKUP(B62,'Base stats'!B:B,'Base stats'!H:H)/IF(_xlfn.XLOOKUP(B62,'Base stats'!B:B,'Base stats'!I:I)&lt;&gt;1,(122.5/70),1.2),IF(_xlfn.XLOOKUP(B62,'Base stats'!B:B,'Base stats'!H:H)&gt;=30,5,IF(_xlfn.XLOOKUP(B62,'Base stats'!B:B,'Base stats'!H:H)&gt;=15,3,IF(_xlfn.XLOOKUP(B62,'Base stats'!B:B,'Base stats'!H:H)&gt;=10,2,1)))),"Immortal")</f>
        <v>20</v>
      </c>
      <c r="AS62" s="35">
        <f>IFERROR(IF(OR(_xlfn.XLOOKUP(B62,'Base stats'!B:B,'Base stats'!F:F)="Atypical reproduction",_xlfn.XLOOKUP(B62,'Base stats'!B:B,'Base stats'!F:F)="Lay eggs"),"Lay eggs",MIN(20,MAX(5.5,ROUND(((_xlfn.XLOOKUP(B62,'Base stats'!B:B,'Base stats'!F:F)-25)*(14.5/615) + 5.5)*2,0)/2))),"Unknown")</f>
        <v>6</v>
      </c>
      <c r="AT62" s="8">
        <f>IF(_xlfn.XLOOKUP(B62,'Base stats'!B:B,'Base stats'!G:G)="Atypical reproduction","No",IFERROR(MAX(IF(_xlfn.XLOOKUP(B62,'Base stats'!B:B,'Base stats'!G:G)&lt;0.5,0.2,0.3),MROUND(_xlfn.XLOOKUP(B62,'Base stats'!B:B,'Base stats'!G:G)/(365/60),0.2)),"Unknown"))</f>
        <v>1</v>
      </c>
      <c r="AU62" s="8">
        <f t="shared" si="1"/>
        <v>0.5</v>
      </c>
      <c r="AV62" s="8">
        <f>IFERROR(IFERROR(MROUND(_xlfn.XLOOKUP(B62,'Base stats'!B:B,'Base stats'!J:J),0.1),"Lay eggs"),"Cannot breed")</f>
        <v>1.5</v>
      </c>
      <c r="AW62" s="2" t="str">
        <f t="shared" si="2"/>
        <v>false</v>
      </c>
      <c r="AX62" s="2" t="str">
        <f>IF(_xlfn.XLOOKUP(_xlfn.XLOOKUP(Animals!B62,'Base stats'!B:B,'Base stats'!E:E),Groups!A:A,Groups!AK:AK)=1,"true","false")</f>
        <v>false</v>
      </c>
      <c r="AY62" s="25" t="str">
        <f>IF(_xlfn.XLOOKUP(B62,'Base stats'!B:B,'Base stats'!Y:Y)="Liquor","Liquor, CarnivoreAnimalStrict",IF(AND(_xlfn.XLOOKUP(B62,'Base stats'!B:B,'Base stats'!Y:Y)="Carnivore",_xlfn.XLOOKUP(_xlfn.XLOOKUP(B62,'Base stats'!B:B,'Base stats'!E:E),Groups!A:A,Groups!AJ:AJ)="Photonozoa"),"CarnivoreAnimalStrict, OvivoreAnimal",IF(_xlfn.XLOOKUP(B62,'Base stats'!B:B,'Base stats'!Y:Y)="Carnivore","CarnivoreAnimal, OvivoreAnimal",IF(_xlfn.XLOOKUP(B62,'Base stats'!B:B,'Base stats'!Y:Y)="Dendrovore","VegetarianRoughAnimal, DendrovoreAnimal",IF(_xlfn.XLOOKUP(B62,'Base stats'!B:B,'Base stats'!Y:Y)="Herbivore","VegetarianRoughAnimal",IF(_xlfn.XLOOKUP(B62,'Base stats'!B:B,'Base stats'!Y:Y)="OmnivoreRough","OmnivoreRoughAnimal, OvivoreAnimal","OmnivoreAnimal, OvivoreAnimal"))))))</f>
        <v>VegetarianRoughAnimal</v>
      </c>
      <c r="AZ62" s="2" t="str">
        <f>IF(_xlfn.XLOOKUP(_xlfn.XLOOKUP(B62,'Base stats'!B:B,'Base stats'!E:E),Groups!A:A,Groups!D:D)=1,MROUND((1-J62)*5+1,2)*IF(J62&lt;=0.4,2,1),"No")</f>
        <v>No</v>
      </c>
      <c r="BA62" s="2" t="str">
        <f>IF(AND(_xlfn.XLOOKUP(B62,'Base stats'!B:B,'Base stats'!AH:AH)="&lt;li&gt;Seal&lt;/li&gt;",G62="Odyssey"),"&lt;li&gt;AEXP_Seal&lt;/li&gt;",_xlfn.XLOOKUP(B62,'Base stats'!B:B,'Base stats'!AH:AH))</f>
        <v>&lt;li&gt;Bear_Grizzly&lt;/li&gt;</v>
      </c>
      <c r="BB62" s="2" t="str">
        <f>_xlfn.XLOOKUP(B62,'Base stats'!B:B,'Base stats'!AG:AG)</f>
        <v>Leather_Bear</v>
      </c>
      <c r="BC62" s="23" t="str">
        <f>_xlfn.XLOOKUP(_xlfn.XLOOKUP(B62,'Base stats'!B:B,'Base stats'!E:E),Groups!A:A,Groups!AL:AL)</f>
        <v>QuadrupedAnimalWithPaws</v>
      </c>
      <c r="BD62" s="23">
        <f>MIN(1,MROUND(IF(AND(AO62&lt;0.5,_xlfn.XLOOKUP(B62,'Base stats'!B:B,'Base stats'!AA:AA)=0),0,IF(OR(_xlfn.XLOOKUP(Animals!B62,'Base stats'!B:B,'Base stats'!O:O)=2,_xlfn.XLOOKUP(_xlfn.XLOOKUP(B62,'Base stats'!B:B,'Base stats'!E:E),Groups!A:A,Groups!AN:AN)=0),0,_xlfn.XLOOKUP(_xlfn.XLOOKUP(B62,'Base stats'!B:B,'Base stats'!E:E),Groups!A:A,Groups!AN:AN)/IF(_xlfn.XLOOKUP(Animals!B62,'Base stats'!B:B,'Base stats'!O:O)=1,2,1)))+_xlfn.XLOOKUP(B62,'Base stats'!B:B,'Base stats'!AC:AC),0.005))</f>
        <v>2.5000000000000001E-2</v>
      </c>
      <c r="BE62" s="23">
        <f>MIN(1,MROUND(IF(AND(AO62&lt;0.5,_xlfn.XLOOKUP(B62,'Base stats'!B:B,'Base stats'!AA:AA)=0),0,IF(_xlfn.XLOOKUP(_xlfn.XLOOKUP(B62,'Base stats'!B:B,'Base stats'!E:E),Groups!A:A,Groups!AO:AO)=0,0,_xlfn.XLOOKUP(_xlfn.XLOOKUP(B62,'Base stats'!B:B,'Base stats'!E:E),Groups!A:A,Groups!AO:AO)/IF(_xlfn.XLOOKUP(Animals!B62,'Base stats'!B:B,'Base stats'!O:O)=2,3,1)))+_xlfn.XLOOKUP(B62,'Base stats'!B:B,'Base stats'!AD:AD),0.005))</f>
        <v>0.1</v>
      </c>
      <c r="BF62" s="2" t="str">
        <f>IF(J62&gt;0.3,"No",_xlfn.XLOOKUP(_xlfn.XLOOKUP(Animals!B62,'Base stats'!B:B,'Base stats'!E:E),Groups!A:A,Groups!AP:AP))</f>
        <v>No</v>
      </c>
      <c r="BG62" s="2" t="str">
        <f>IF(AND(J62&lt;=0.65,_xlfn.XLOOKUP(_xlfn.XLOOKUP(Animals!B62,'Base stats'!B:B,'Base stats'!E:E),Groups!A:A,Groups!AP:AP)&lt;&gt;"No",_xlfn.XLOOKUP(_xlfn.XLOOKUP(B62,'Base stats'!B:B,'Base stats'!E:E),Groups!A:A,Groups!D:D)=0),MROUND((80/3)*IF(_xlfn.XLOOKUP(B62,'Base stats'!B:B,'Base stats'!O:O)=2,0.2,AO62) + 24*(1-IF(BF62="No",0,BF62)) + 16/3, 12),"No")</f>
        <v>No</v>
      </c>
      <c r="BH62" s="2">
        <f>IF(AND(_xlfn.XLOOKUP(_xlfn.XLOOKUP(B62,'Base stats'!B:B,'Base stats'!E:E),Groups!A:A,Groups!AQ:AQ)=1,AO62&lt;=0.35),8,12)</f>
        <v>12</v>
      </c>
      <c r="BI62" s="2" t="str">
        <f>IF(_xlfn.XLOOKUP(_xlfn.XLOOKUP(B62,'Base stats'!B:B,'Base stats'!E:E),Groups!A:A,Groups!D:D)=0,_xlfn.XLOOKUP(_xlfn.XLOOKUP(B62,'Base stats'!B:B,'Base stats'!E:E),Groups!A:A,Groups!AR:AR),"None")</f>
        <v>Advanced</v>
      </c>
      <c r="BJ62" s="2" t="str">
        <f>IF(AND(_xlfn.XLOOKUP(_xlfn.XLOOKUP(B62,'Base stats'!B:B,'Base stats'!E:E),Groups!A:A,Groups!AS:AS)=1,OR(_xlfn.XLOOKUP(B62,'Base stats'!B:B,'Base stats'!Y:Y)="Carnivore",_xlfn.XLOOKUP(B62,'Base stats'!B:B,'Base stats'!Y:Y)="Omnivore")),"true","false")</f>
        <v>false</v>
      </c>
      <c r="BK62" s="2" t="str">
        <f>IF(BJ62="true",MROUND(IF(AND(AO62&gt;0.5,OR(_xlfn.XLOOKUP(_xlfn.XLOOKUP(B62,'Base stats'!B:B,'Base stats'!E:E),Groups!A:A,Groups!AJ:AJ)="Photonozoa",_xlfn.XLOOKUP(_xlfn.XLOOKUP(B62,'Base stats'!B:B,'Base stats'!E:E),Groups!A:A,Groups!AJ:AJ)="Mammal")),Animals!AO62*1.75*IF(AW62="true",1.5,1),IF(AO62&lt;0.5,Animals!AO62*0.5,Animals!AO62)),IF(AO62&gt;2,0.5,IF(AO62&gt;0.5,0.25,0.1))),"No")</f>
        <v>No</v>
      </c>
      <c r="BL62" s="2">
        <f t="shared" si="3"/>
        <v>1</v>
      </c>
      <c r="BM62" s="25" t="str">
        <f>IF(_xlfn.XLOOKUP(B62,'Base stats'!B:B,'Base stats'!AN:AN)="Standard","No",MROUND((_xlfn.XLOOKUP(B62,'Base stats'!B:B,'Base stats'!AN:AN)/3.6)/I62,0.1))</f>
        <v>No</v>
      </c>
      <c r="BN62" s="25" t="str">
        <f t="shared" si="4"/>
        <v>false</v>
      </c>
      <c r="BO62" s="25" t="str">
        <f>IF(AND(OR(_xlfn.XLOOKUP(B62,'Base stats'!B:B,'Base stats'!Y:Y)="Carnivore",_xlfn.XLOOKUP(B62,'Base stats'!B:B,'Base stats'!Y:Y)="Omnivore",_xlfn.XLOOKUP(B62,'Base stats'!B:B,'Base stats'!Y:Y)="OmnivoreRough"),_xlfn.XLOOKUP(_xlfn.XLOOKUP(B62,'Base stats'!B:B,'Base stats'!E:E),Groups!A:A,Groups!AT:AT)=1),"true","false")</f>
        <v>false</v>
      </c>
      <c r="BP62" s="25" t="str" cm="1">
        <f t="array" ref="BP62">IF(
  _xlfn.TEXTJOIN(", ",TRUE,
    IF(AND(BJ62="true",AO62&gt;0.5,BI62&lt;&gt;"None"),"AttackTarget",""),
    IF(AND(_xlfn.XLOOKUP(_xlfn.XLOOKUP(B62,'Base stats'!B:B,'Base stats'!E:E),Groups!A:A,Groups!AJ:AJ="Mammal"),OR(_xlfn.XLOOKUP(B62,'Base stats'!B:B,'Base stats'!Y:Y)="Omnivore",_xlfn.XLOOKUP(B62,'Base stats'!B:B,'Base stats'!Y:Y)="OmnivoreRough")),"Forage",""),
    IF(BG62&lt;=36,"Comfort",""),
    IF(_xlfn.XLOOKUP(B62,'Base stats'!B:B,'Base stats'!AE:AE)&lt;&gt;"No",_xlfn.XLOOKUP(B62,'Base stats'!B:B,'Base stats'!AE:AE),"")
  ) = "",
  "No",
  _xlfn.TEXTJOIN(", ",TRUE,
    IF(AND(BJ62="true",AO62&gt;0.5,BI62&lt;&gt;"None"),"AttackTarget",""),
    IF(AND(_xlfn.XLOOKUP(_xlfn.XLOOKUP(B62,'Base stats'!B:B,'Base stats'!E:E),Groups!A:A,Groups!AJ:AJ="Mammal"),OR(_xlfn.XLOOKUP(B62,'Base stats'!B:B,'Base stats'!Y:Y)="Omnivore",_xlfn.XLOOKUP(B62,'Base stats'!B:B,'Base stats'!Y:Y)="OmnivoreRough")),"Forage",""),
    IF(BG62&lt;=36,"Comfort",""),
    IF(_xlfn.XLOOKUP(B62,'Base stats'!B:B,'Base stats'!AE:AE)&lt;&gt;"No",_xlfn.XLOOKUP(B62,'Base stats'!B:B,'Base stats'!AE:AE),"")
  )
)</f>
        <v>No</v>
      </c>
      <c r="BQ62" s="25" t="str">
        <f>IF(
   AND(
      'Base stats'!AN62="Standard",_xlfn.XLOOKUP(_xlfn.XLOOKUP(B62,'Base stats'!B:B,'Base stats'!E:E),Groups!A:A,Groups!AU:AU)=0,
      OR(
      BO62="True"
      )
   ),
   10,
   IF(
       OR(BM62&lt;&gt;"No",_xlfn.XLOOKUP(_xlfn.XLOOKUP(B62,'Base stats'!B:B,'Base stats'!E:E),Groups!A:A,Groups!AU:AU)=1),
      1,
      "No"
   )
)</f>
        <v>No</v>
      </c>
      <c r="BR62" s="9">
        <f>MROUND((1 + ((0.2*IF(OR(Q62="No",R62="No",R62=0),0,Q62/R62)
+IF(OR(V62="No",S62="No",T62="No"),0,S62/T62*(LEN(V62)-LEN(SUBSTITUTE(V62,",",""))+1))
+IF(OR(X62="No",Y62="No"),0,X62/Y62)
+IF(OR(AD62="No",AE62="No"),0,AD62/AE62)
+IF(OR(AL62="No",AI62="No",AJ62="No"),0,AI62/AJ62*(LEN(AL62)-LEN(SUBSTITUTE(AL62,",",""))+1))
)/(0.2*IF(OR(Q62="No",R62="No",R62=0),0,1)
+IF(OR(V62="No",S62="No",T62="No"),0,LEN(V62)-LEN(SUBSTITUTE(V62,",",""))+1)
+IF(OR(X62="No",Y62="No"),0,1)
+IF(OR(AD62="No",AE62="No"),0,1)
+IF(OR(AL62="No",AI62="No",AJ62="No"),0,LEN(AL62)-LEN(SUBSTITUTE(AL62,",",""))+1))*62%)* 2)*(1 + (AP62 / (IF(_xlfn.XLOOKUP(_xlfn.XLOOKUP(B62,'Base stats'!B:B,'Base stats'!E:E),Groups!A:A,Groups!AJ:AJ)="Photonozoa",0.3,1)) + _xlfn.XLOOKUP(B62,'Base stats'!B:B,'Base stats'!AV:AV) * 1.8) * 2) * 2.5 + 10 + I62 * 2,5)+IF(_xlfn.XLOOKUP(B62,'Base stats'!B:B,'Base stats'!AK:AK)=1,50,0)</f>
        <v>140</v>
      </c>
      <c r="BS62" s="8">
        <f t="shared" si="5"/>
        <v>0.8</v>
      </c>
      <c r="BT62" s="8" t="str">
        <f>_xlfn.XLOOKUP(B62,'Base stats'!B:B,'Base stats'!AF:AF)</f>
        <v>No</v>
      </c>
      <c r="BU62" s="2" t="str">
        <f>IF(AND(J62&lt;=0.95,OR(_xlfn.XLOOKUP(B62,'Base stats'!B:B,'Base stats'!AK:AK)=1,_xlfn.XLOOKUP(B62,'Base stats'!B:B,'Base stats'!Y:Y)="Carnivore",_xlfn.XLOOKUP(B62,'Base stats'!B:B,'Base stats'!Y:Y)="Omnivore",BE62&gt;0.1)),"true","false")</f>
        <v>false</v>
      </c>
      <c r="BV62" s="2" t="str">
        <f>IF(_xlfn.XLOOKUP(B62,'Base stats'!B:B,'Base stats'!AI:AI)=1,"true","false")</f>
        <v>false</v>
      </c>
      <c r="BW62" s="25" t="str">
        <f>IF(E62="BaseInsect","AnimalInsect",
IF(J62&gt;0.95,"AnimalExotic",
_xlfn.TEXTJOIN(", ",TRUE,
IF(OR(_xlfn.XLOOKUP(B62,'Base stats'!B:B,'Base stats'!AM:AM)=1,AND(_xlfn.XLOOKUP(B62,'Base stats'!B:B,'Base stats'!O:O)=0,_xlfn.XLOOKUP(_xlfn.XLOOKUP(B62,'Base stats'!B:B,'Base stats'!E:E),Groups!A:A,Groups!B:B)&gt;0)),"AnimalUncommon","AnimalCommon"),
IF(AND(_xlfn.XLOOKUP(B62,'Base stats'!B:B,'Base stats'!O:O)=2,_xlfn.XLOOKUP(_xlfn.XLOOKUP(B62,'Base stats'!B:B,'Base stats'!E:E),Groups!A:A,Groups!D:D)=0),"AnimalPet",IF(AND(_xlfn.XLOOKUP(B62,'Base stats'!B:B,'Base stats'!O:O)&lt;&gt;0,_xlfn.XLOOKUP(_xlfn.XLOOKUP(B62,'Base stats'!B:B,'Base stats'!E:E),Groups!A:A,Groups!D:D)&lt;&gt;0),"AnimalFarm","")),
IF(OR(_xlfn.XLOOKUP(B62,'Base stats'!B:B,'Base stats'!AK:AK)=1,AND(BI62&lt;&gt;"None",BR62&gt;=60),ISNUMBER(SEARCH("Attack target",BP62))),"AnimalFighter","")
)))</f>
        <v>AnimalUncommon, AnimalFighter</v>
      </c>
      <c r="BX62" s="25" t="str">
        <f>IF(G62="None",TRIM(
SUBSTITUTE(
IF(COUNTIF(Biomes!B$2:B$259,"="&amp;$C62)&gt;0,Biomes!B$1&amp;", ","")&amp;
IF(COUNTIF(Biomes!C$2:C$259,"="&amp;$C62)&gt;0,Biomes!C$1&amp;", ","")&amp;
IF(COUNTIF(Biomes!D$2:D$259,"="&amp;$C62)&gt;0,Biomes!D$1&amp;", ","")&amp;
IF(COUNTIF(Biomes!F$2:F$259,"="&amp;$C62)&gt;0,Biomes!F$1&amp;", ","")&amp;
IF(COUNTIF(Biomes!G$2:G$259,"="&amp;$C62)&gt;0,Biomes!G$1&amp;", ","")&amp;
IF(COUNTIF(Biomes!H$2:H$259,"="&amp;$C62)&gt;0,Biomes!H$1&amp;", ","")&amp;
IF(COUNTIF(Biomes!I$2:I$259,"="&amp;$C62)&gt;0,Biomes!I$1&amp;", ","")&amp;
IF(COUNTIF(Biomes!J$2:J$259,"="&amp;$C62)&gt;0,Biomes!J$1&amp;", ","")&amp;
IF(COUNTIF(Biomes!M$2:M$259,"="&amp;$C62)&gt;0,Biomes!M$1&amp;", ","")&amp;
IF(COUNTIF(Biomes!N$2:N$259,"="&amp;$C62)&gt;0,Biomes!N$1&amp;", ","")&amp;
IF(COUNTIF(Biomes!O$2:O$259,"="&amp;$C62)&gt;0,Biomes!O$1&amp;", ","")&amp;
IF(COUNTIF(Biomes!P$2:P$259,"="&amp;$C62)&gt;0,Biomes!P$1&amp;", ","")&amp;
IF(COUNTIF(Biomes!K$2:K$259,"="&amp;$C62)&gt;0,Biomes!K$1&amp;", ","")&amp;
IF(COUNTIF(Biomes!Q$3:Q$259,"="&amp;$C62)&gt;0,Biomes!Q$1&amp;", ","")&amp;
IF(COUNTIF(Biomes!L$2:L$259,"="&amp;$C62)&gt;0,Biomes!L$1&amp;", ","")&amp;
IF(COUNTIF(Biomes!E$2:E$259,"="&amp;$C62)&gt;0,Biomes!E$1&amp;", ","")&amp;IF(COUNTIF(Biomes!S$2:S$259,"="&amp;$C62)&gt;0,Biomes!S$1&amp;", ","")&amp;
IF(COUNTIF(Biomes!R$2:R$259,"="&amp;$C62)&gt;0,Biomes!R$1&amp;", ",""),", ","")
),_xlfn.XLOOKUP(B62,B:B,BX:BX))</f>
        <v>TemperateForest TemperateSwamp</v>
      </c>
      <c r="BY62" s="25" t="str">
        <f>IF(_xlfn.XLOOKUP(B62,'Base stats'!B:B,'Base stats'!AJ:AJ)=1,"true","false")</f>
        <v>false</v>
      </c>
      <c r="BZ62" s="25">
        <f>IF(_xlfn.XLOOKUP(B62,'Base stats'!B:B,'Base stats'!N:N)=1,"No",MAX(0.001,MIN(MROUND(IF(AND(BJ62="True",CC62="False"),POWER(10,3.47*LOG10(_xlfn.XLOOKUP(B62,'Base stats'!B:B,'Base stats'!C:C)*1000)^-0.96),POWER(10,4.15*LOG10(_xlfn.XLOOKUP(B62,'Base stats'!B:B,'Base stats'!C:C)*1000)^-0.73))*IF(_xlfn.XLOOKUP(B62,'Base stats'!B:B,'Base stats'!AK:AK)=1,0.5,1)*IF(_xlfn.XLOOKUP(B62,'Base stats'!B:B,'Base stats'!AM:AM)=1,0.1,1)/100,IF(_xlfn.XLOOKUP(B62,'Base stats'!B:B,'Base stats'!AM:AM)=1,0.001,0.025)),0.5)))</f>
        <v>1.9E-2</v>
      </c>
      <c r="CA62" s="25" t="str">
        <f>IF(P62="Standard","No",MAX(0.001,MIN(MROUND(IF(AND(BJ62="True",CC62="False"),POWER(10,3.47*LOG10(_xlfn.XLOOKUP(B62,'Base stats'!B:B,'Base stats'!C:C)*1000)^-0.96),POWER(10,4.15*LOG10(_xlfn.XLOOKUP(B62,'Base stats'!B:B,'Base stats'!C:C)*1000)^-0.73))*IF(_xlfn.XLOOKUP(B62,'Base stats'!B:B,'Base stats'!AM:AM)=1,0.1,1)*_xlfn.XLOOKUP(B62,'Base stats'!B:B,'Base stats'!R:R)/100,IF(_xlfn.XLOOKUP(B62,'Base stats'!B:B,'Base stats'!AM:AM)=1,0.001,0.025)),0.5)))</f>
        <v>No</v>
      </c>
      <c r="CB62" s="25" t="str">
        <f>IF(_xlfn.XLOOKUP(_xlfn.XLOOKUP(B62,'Base stats'!B:B,'Base stats'!E:E),Groups!A:A,Groups!AJ:AJ)="Mammal","True","False")</f>
        <v>True</v>
      </c>
      <c r="CC62" s="25" t="str">
        <f>IF(OR(_xlfn.XLOOKUP(_xlfn.XLOOKUP(B62,'Base stats'!B:B,'Base stats'!E:E),Groups!A:A,Groups!AJ:AJ)="Reptile",_xlfn.XLOOKUP(_xlfn.XLOOKUP(B62,'Base stats'!B:B,'Base stats'!E:E),Groups!A:A,Groups!AJ:AJ)="Amphibian",_xlfn.XLOOKUP(_xlfn.XLOOKUP(B62,'Base stats'!B:B,'Base stats'!E:E),Groups!A:A,Groups!AJ:AJ)="Invertebrate"),"True","False")</f>
        <v>False</v>
      </c>
      <c r="CD62" s="25" t="str">
        <f t="shared" si="6"/>
        <v>False</v>
      </c>
      <c r="CE62" s="25" t="str">
        <f>IF(_xlfn.XLOOKUP(_xlfn.XLOOKUP(B62,'Base stats'!B:B,'Base stats'!E:E),Groups!A:A,Groups!AX:AX),"True","False")</f>
        <v>False</v>
      </c>
      <c r="CF62" s="25" t="str">
        <f>IF(_xlfn.XLOOKUP(_xlfn.XLOOKUP(B62,'Base stats'!B:B,'Base stats'!E:E),Groups!A:A,Groups!AY:AY),"True","False")</f>
        <v>False</v>
      </c>
      <c r="CG62" s="25" t="str">
        <f>IF(_xlfn.XLOOKUP(_xlfn.XLOOKUP(B62,'Base stats'!B:B,'Base stats'!E:E),Groups!A:A,Groups!AW:AW),"True","False")</f>
        <v>False</v>
      </c>
      <c r="CH62" s="25" t="str">
        <f>IF(
OR(
_xlfn.XLOOKUP(_xlfn.XLOOKUP(B62,'Base stats'!B:B,'Base stats'!E:E),Groups!A:A,Groups!AZ:AZ)=0,
AND(
_xlfn.XLOOKUP(B62,'Base stats'!B:B,'Base stats'!Y:Y)&lt;&gt;"Carnivore",
_xlfn.XLOOKUP(B62,'Base stats'!B:B,'Base stats'!Y:Y)&lt;&gt;"Omnivore",
_xlfn.XLOOKUP(B62,'Base stats'!B:B,'Base stats'!Y:Y)&lt;&gt;"OmnivoreRough"
)
),
"No",
IF(
_xlfn.XLOOKUP(_xlfn.XLOOKUP(B62,'Base stats'!B:B,'Base stats'!E:E),Groups!A:A,Groups!AZ:AZ)=1,
"Flesh",
IF(
_xlfn.XLOOKUP(_xlfn.XLOOKUP(B62,'Base stats'!B:B,'Base stats'!E:E),Groups!A:A,Groups!AZ:AZ)=2,
"Bone",
""
)
)
)</f>
        <v>No</v>
      </c>
      <c r="CI62" s="25" t="str">
        <f>IF(_xlfn.XLOOKUP(_xlfn.XLOOKUP(B62,'Base stats'!B:B,'Base stats'!E:E),Groups!A:A,Groups!BB:BB),"True","False")</f>
        <v>True</v>
      </c>
      <c r="CJ62" s="25" t="str">
        <f>IF(_xlfn.XLOOKUP(_xlfn.XLOOKUP(B62,'Base stats'!B:B,'Base stats'!E:E),Groups!A:A,Groups!BA:BA),"True","False")</f>
        <v>False</v>
      </c>
    </row>
    <row r="63" spans="1:88" ht="16.5" thickTop="1" thickBot="1" x14ac:dyDescent="0.3">
      <c r="A63" s="26" t="str">
        <f>_xlfn.XLOOKUP(B63,'Base stats'!B:B,'Base stats'!A:A)</f>
        <v>Sparrow</v>
      </c>
      <c r="B63" s="6" t="s">
        <v>215</v>
      </c>
      <c r="C63" s="28" t="s">
        <v>742</v>
      </c>
      <c r="D63" s="28" t="s">
        <v>870</v>
      </c>
      <c r="E63" s="28" t="s">
        <v>743</v>
      </c>
      <c r="F63" s="28" t="s">
        <v>673</v>
      </c>
      <c r="G63" s="28" t="s">
        <v>673</v>
      </c>
      <c r="H63" s="2">
        <f>MROUND((
  (IF(AND(_xlfn.XLOOKUP(B63,'Base stats'!B:B,'Base stats'!AL:AL)=0,BI63="None",_xlfn.XLOOKUP(_xlfn.XLOOKUP(B63,'Base stats'!B:B,'Base stats'!E:E),Groups!A:A,Groups!B:B)=0), (18 + BR63 * 2.7) * 0.5,
    IF(AND(_xlfn.XLOOKUP(B63,'Base stats'!B:B,'Base stats'!AL:AL)=0,OR(AO63&lt;0.55,AND(BI63="Intermediate",_xlfn.XLOOKUP(_xlfn.XLOOKUP(B63,'Base stats'!B:B,'Base stats'!E:E),Groups!A:A,Groups!B:B)&lt;2))), (18 + BR63 * 2.7),
      IF(OR(BI63="Advanced",_xlfn.XLOOKUP(B63,'Base stats'!B:B,'Base stats'!AL:AL)=1,_xlfn.XLOOKUP(_xlfn.XLOOKUP(B63,'Base stats'!B:B,'Base stats'!E:E),Groups!A:A,Groups!B:B)=2), (18 + BR63 * 2.7) + 250, (18 + BR63 * 2.7))
    )
  ))
  + AO63 * 80
  + IF(COUNTIF(EggMilk!K$2:K$998, A63) &gt; 0, 125, 0)
  + IF(COUNTIF(EggMilk!P$2:P$998, A63) &gt; 0, 90, 0)
  + IF(COUNTIF(EggMilk!A$2:A$998, A63) &gt; 0, 90, 0)
)
* (0.8 + 0.4 * J63)
* 0.75,25)</f>
        <v>125</v>
      </c>
      <c r="I63" s="2">
        <f>MROUND(ROUNDDOWN(_xlfn.XLOOKUP(B63,'Base stats'!B:B,'Base stats'!L:L)/3.6/(23.3/11),1),0.5)</f>
        <v>2</v>
      </c>
      <c r="J63" s="2">
        <f>IF(OR(_xlfn.XLOOKUP(B63,'Base stats'!B:B,'Base stats'!AB:AB)=1,_xlfn.XLOOKUP(_xlfn.XLOOKUP(B63,'Base stats'!B:B,'Base stats'!E:E),Groups!A:A,Groups!C:C)="Untamable"),1,IF(_xlfn.XLOOKUP(B63,'Base stats'!B:B,'Base stats'!AL:AL)=1,0.99,MIN(MROUND((1-0.6282*EXP(-0.459*AO63))*_xlfn.XLOOKUP(_xlfn.XLOOKUP(B63,'Base stats'!B:B,'Base stats'!E:E),Groups!A:A,Groups!C:C)*IF(_xlfn.XLOOKUP(B63,'Base stats'!B:B,'Base stats'!O:O)=1,0.5,IF(_xlfn.XLOOKUP(B63,'Base stats'!B:B,'Base stats'!O:O)=2,0,1)),0.05),IF(AO63&gt;3.5,0.985,0.95))))</f>
        <v>0.5</v>
      </c>
      <c r="K63" s="2">
        <f>ROUNDUP(AO63*_xlfn.XLOOKUP(_xlfn.XLOOKUP(B63,'Base stats'!B:B,'Base stats'!E:E),Groups!A:A,Groups!E:E),0)</f>
        <v>1</v>
      </c>
      <c r="L63" s="2">
        <f>IF(OR(_xlfn.XLOOKUP(_xlfn.XLOOKUP(B63,'Base stats'!B:B,'Base stats'!E:E),Groups!A:A,Groups!F:F)=2,ISNUMBER(SEARCH("SeaIce",BX63)),ISNUMBER(SEARCH("IceSheet",BX63))),-50,IF(OR(ISNUMBER(SEARCH("GlacialPlain",BX63)),ISNUMBER(SEARCH("Tundra",BX63))),-40,IF(OR(ISNUMBER(SEARCH("Alpine",BX63)),ISNUMBER(SEARCH("BorealForest",BX63)),ISNUMBER(SEARCH("ColdBog",BX63))),-30,IF(OR(ISNUMBER(SEARCH("TemperateForest",BX63)),ISNUMBER(SEARCH("TemperateSwamp",BX63))),-20,IF(_xlfn.XLOOKUP(_xlfn.XLOOKUP(B63,'Base stats'!B:B,'Base stats'!E:E),Groups!A:A,Groups!F:F)=1,-15,IF(OR(ISNUMBER(SEARCH("Desert",BX63)),ISNUMBER(SEARCH("ExtremeDesert",BX63))),-10,IF(OR(ISNUMBER(SEARCH("Grasslands",BX63)),ISNUMBER(SEARCH("TropicalRainforest",BX63)),ISNUMBER(SEARCH("TropicalSwamp",BX63))),10,0)))))))-IF(CC63="False",MIN(IFERROR(MAX(MROUND(LOG10(_xlfn.XLOOKUP(B63,'Base stats'!B:B,'Base stats'!C:C)^(2/3))*10,5),5),5),30))-_xlfn.XLOOKUP(B63,'Base stats'!B:B,'Base stats'!P:P)+IF(CC63="True",5,0)</f>
        <v>-45</v>
      </c>
      <c r="M63" s="2">
        <f>IF(OR(_xlfn.XLOOKUP(_xlfn.XLOOKUP(B63,'Base stats'!B:B,'Base stats'!E:E),Groups!A:A,Groups!G:G)=2,ISNUMBER(SEARCH("Desert",BX63)),ISNUMBER(SEARCH("ExtremeDesert",BX63)),ISNUMBER(SEARCH("LavaField",BX63))),50,IF(ISNUMBER(SEARCH("Grasslands",BX63)),45,IF(OR(_xlfn.XLOOKUP(_xlfn.XLOOKUP(B63,'Base stats'!B:B,'Base stats'!E:E),Groups!A:A,Groups!G:G)=1,ISNUMBER(SEARCH("TropicalRainforest",BX63)),ISNUMBER(SEARCH("TropicalSwamp",BX63))),40,IF(OR(ISNUMBER(SEARCH("TemperateForest",BX63)),ISNUMBER(SEARCH("TemperateSwamp",BX63))),35,IF(OR(ISNUMBER(SEARCH("Alpine",BX63)),ISNUMBER(SEARCH("BorealForest",BX63)),ISNUMBER(SEARCH("ColdBog",BX63))),30,IF(ISNUMBER(OR(ISNUMBER(SEARCH("GlacialPlain",BX63)),SEARCH("Tundra",BX63))),25,IF(OR(ISNUMBER(SEARCH("SeaIce",BX63)),ISNUMBER(SEARCH("IceSheet",BX63)),ISNUMBER(SEARCH("TropicalSwamp",BX63))),10,35)))))))+_xlfn.XLOOKUP(B63,'Base stats'!B:B,'Base stats'!Q:Q)</f>
        <v>50</v>
      </c>
      <c r="N63" s="8" t="str">
        <f>IF(
_xlfn.XLOOKUP(
_xlfn.XLOOKUP(B63,'Base stats'!B:B,'Base stats'!E:E),
Groups!A:A,
Groups!L:L
)=1,
MIN(
MROUND(
IF(
_xlfn.XLOOKUP(B63,'Animals CE'!B:B,'Animals CE'!Z:Z)&lt;=1.5,
_xlfn.XLOOKUP(B63,'Animals CE'!B:B,'Animals CE'!Z:Z)/2+0.05,
0.8+
(_xlfn.XLOOKUP(B63,'Animals CE'!B:B,'Animals CE'!Z:Z)-1.5)
*0.02
),
0.05
),
200%
),
"No"
)</f>
        <v>No</v>
      </c>
      <c r="O63" s="8" t="str">
        <f>IF(
_xlfn.XLOOKUP(
_xlfn.XLOOKUP(B63,'Base stats'!B:B,'Base stats'!E:E),
Groups!A:A,
Groups!L:L
)=1,
MIN(
MROUND(
IF(
_xlfn.XLOOKUP(B63,'Animals CE'!B:B,'Animals CE'!AA:AA)&lt;=1.5,
_xlfn.XLOOKUP(B63,'Animals CE'!B:B,'Animals CE'!AA:AA)/2+0.05,
0.8+
(_xlfn.XLOOKUP(B63,'Animals CE'!B:B,'Animals CE'!AA:AA)-1.5)
*0.02
),
0.05
),
200%
),
"No"
)</f>
        <v>No</v>
      </c>
      <c r="P63" s="2">
        <f>_xlfn.XLOOKUP(B63,'Base stats'!B:B,'Base stats'!R:R)</f>
        <v>0.8</v>
      </c>
      <c r="Q63" s="13">
        <f>MROUND((LOG10(_xlfn.XLOOKUP(B63,'Base stats'!B:B,'Base stats'!AR:AR))*(AO63^0.5)+(_xlfn.XLOOKUP(B63,'Base stats'!B:B,'Base stats'!AR:AR)/1000)^(2/3)+_xlfn.XLOOKUP(B63,'Base stats'!B:B,'Base stats'!BA:BA)/2)+0.5,0.5)</f>
        <v>0.5</v>
      </c>
      <c r="R63" s="7">
        <f>IF(Q63="No","No",MAX(1,MROUND(_xlfn.XLOOKUP(B63,'Base stats'!B:B,'Base stats'!C:C)^0.165,0.05)))</f>
        <v>1</v>
      </c>
      <c r="S63" s="13">
        <f>IF(_xlfn.XLOOKUP(_xlfn.XLOOKUP(B63,'Base stats'!B:B,'Base stats'!E:E),Groups!A:A,Groups!P:P)=0,"No",MROUND((LOG10(_xlfn.XLOOKUP(B63,'Base stats'!B:B,'Base stats'!AS:AS))*(AO63^0.5)+(_xlfn.XLOOKUP(B63,'Base stats'!B:B,'Base stats'!AS:AS)/1000)^(2/3)+_xlfn.XLOOKUP(B63,'Base stats'!B:B,'Base stats'!BA:BA))+_xlfn.XLOOKUP(B63,'Base stats'!B:B,'Base stats'!AY:AY)+0.5,0.5))</f>
        <v>1</v>
      </c>
      <c r="T63" s="7">
        <f>IF(S63="No","No",MAX(_xlfn.XLOOKUP(_xlfn.XLOOKUP(B63,'Base stats'!B:B,'Base stats'!E:E),Groups!A:A,Groups!Q:Q),MROUND(_xlfn.XLOOKUP(_xlfn.XLOOKUP(B63,'Base stats'!B:B,'Base stats'!E:E),Groups!A:A,Groups!Q:Q)*_xlfn.XLOOKUP(B63,'Base stats'!B:B,'Base stats'!C:C)^0.165,0.05)))</f>
        <v>1</v>
      </c>
      <c r="U63" s="7" t="str">
        <f>IF(S63="No","No",_xlfn.XLOOKUP(_xlfn.XLOOKUP(B63,'Base stats'!B:B,'Base stats'!E:E),Groups!A:A,Groups!R:R))</f>
        <v>Feet</v>
      </c>
      <c r="V63" s="7" t="str">
        <f>IF(S63="No","No",_xlfn.XLOOKUP(_xlfn.XLOOKUP(B63,'Base stats'!B:B,'Base stats'!E:E),Groups!A:A,Groups!S:S))</f>
        <v>rear left claw, rear  right claw</v>
      </c>
      <c r="W63" s="7" t="str">
        <f>IF(S63="No","No",_xlfn.XLOOKUP(_xlfn.XLOOKUP(B63,'Base stats'!B:B,'Base stats'!E:E),Groups!A:A,Groups!T:T))</f>
        <v>Scratch</v>
      </c>
      <c r="X63" s="13" t="str">
        <f>IF(_xlfn.XLOOKUP(B63,'Base stats'!B:B,'Base stats'!W:W)="No","No",MROUND((LOG10(_xlfn.XLOOKUP(B63,'Base stats'!B:B,'Base stats'!AU:AU))*(AO63^0.5)+(_xlfn.XLOOKUP(B63,'Base stats'!B:B,'Base stats'!AU:AU)/1000)^(2/3)+_xlfn.XLOOKUP(B63,'Base stats'!B:B,'Base stats'!AZ:AZ))+0.5+IF(_xlfn.XLOOKUP(_xlfn.XLOOKUP(B63,'Base stats'!B:B,'Base stats'!E:E),Groups!A:A,Groups!U:U)&lt;&gt;3,_xlfn.XLOOKUP(B63,'Base stats'!B:B,'Base stats'!BA:BA),0),0.5))</f>
        <v>No</v>
      </c>
      <c r="Y63" s="7" t="str">
        <f>IF(X63="No","No",MAX(_xlfn.XLOOKUP(_xlfn.XLOOKUP(B63,'Base stats'!B:B,'Base stats'!E:E),Groups!A:A,Groups!V:V),MROUND(_xlfn.XLOOKUP(_xlfn.XLOOKUP(B63,'Base stats'!B:B,'Base stats'!E:E),Groups!A:A,Groups!V:V)*_xlfn.XLOOKUP(B63,'Base stats'!B:B,'Base stats'!C:C)^0.165,0.05)))</f>
        <v>No</v>
      </c>
      <c r="Z63" s="7" t="str">
        <f>IF(X63="No","No",_xlfn.XLOOKUP(_xlfn.XLOOKUP(B63,'Base stats'!B:B,'Base stats'!E:E),Groups!A:A,Groups!W:W))</f>
        <v>No</v>
      </c>
      <c r="AA63" s="7" t="str">
        <f>IF(X63="No","No",_xlfn.XLOOKUP(_xlfn.XLOOKUP(B63,'Base stats'!B:B,'Base stats'!E:E),Groups!A:A,Groups!X:X))</f>
        <v>No</v>
      </c>
      <c r="AB63" s="7" t="str">
        <f>IF(X63="No","No",_xlfn.XLOOKUP(_xlfn.XLOOKUP(B63,'Base stats'!B:B,'Base stats'!E:E),Groups!A:A,Groups!Y:Y))</f>
        <v>No</v>
      </c>
      <c r="AC63" s="7" t="str">
        <f>_xlfn.XLOOKUP(Animals!B63,'Base stats'!B:B,'Base stats'!X:X)</f>
        <v>False</v>
      </c>
      <c r="AD63" s="13">
        <f>IF(_xlfn.XLOOKUP(B63,'Base stats'!B:B,'Base stats'!AT:AT)="No","No",MROUND((LOG10(_xlfn.XLOOKUP(B63,'Base stats'!B:B,'Base stats'!AT:AT))*(AO63^0.75)+(_xlfn.XLOOKUP(B63,'Base stats'!B:B,'Base stats'!AT:AT)/1000)^(2/3)+_xlfn.XLOOKUP(B63,'Base stats'!B:B,'Base stats'!AX:AX)+_xlfn.XLOOKUP(B63,'Base stats'!B:B,'Base stats'!BA:BA))+0.5,0.5))</f>
        <v>1</v>
      </c>
      <c r="AE63" s="7">
        <f>IF(AD63="No","No",MAX(_xlfn.XLOOKUP(_xlfn.XLOOKUP(B63,'Base stats'!B:B,'Base stats'!E:E),Groups!A:A,Groups!Z:Z),MROUND(_xlfn.XLOOKUP(_xlfn.XLOOKUP(B63,'Base stats'!B:B,'Base stats'!E:E),Groups!A:A,Groups!Z:Z)*_xlfn.XLOOKUP(B63,'Base stats'!B:B,'Base stats'!C:C)^0.165,0.05)))</f>
        <v>0.8</v>
      </c>
      <c r="AF63" s="7" t="str">
        <f>IF(AD63="No","No",_xlfn.XLOOKUP(_xlfn.XLOOKUP(B63,'Base stats'!B:B,'Base stats'!E:E),Groups!A:A,Groups!AA:AA))</f>
        <v>Beak</v>
      </c>
      <c r="AG63" s="7" t="str">
        <f>IF(AD63="No","No",_xlfn.XLOOKUP(_xlfn.XLOOKUP(B63,'Base stats'!B:B,'Base stats'!E:E),Groups!A:A,Groups!AB:AB))</f>
        <v>beak</v>
      </c>
      <c r="AH63" s="7" t="str">
        <f>IF(AD63="No","No",_xlfn.XLOOKUP(_xlfn.XLOOKUP(B63,'Base stats'!B:B,'Base stats'!E:E),Groups!A:A,Groups!AC:AC))</f>
        <v>Blunt</v>
      </c>
      <c r="AI63" s="13" t="str">
        <f>IF(_xlfn.XLOOKUP(_xlfn.XLOOKUP(B63,'Base stats'!B:B,'Base stats'!E:E),Groups!A:A,Groups!AD:AD)=0,"No",MROUND((LOG10(_xlfn.XLOOKUP(B63,'Base stats'!B:B,'Base stats'!AS:AS))*(AO63^0.75)+(_xlfn.XLOOKUP(B63,'Base stats'!B:B,'Base stats'!AS:AS)/1000)^(2/3)+_xlfn.XLOOKUP(B63,'Base stats'!B:B,'Base stats'!AY:AY)+_xlfn.XLOOKUP(B63,'Base stats'!B:B,'Base stats'!BA:BA))+0.5,0.5))</f>
        <v>No</v>
      </c>
      <c r="AJ63" s="7" t="str">
        <f>IF(AI63="No","No",MAX(_xlfn.XLOOKUP(_xlfn.XLOOKUP(B63,'Base stats'!B:B,'Base stats'!E:E),Groups!A:A,Groups!AE:AE),MROUND(_xlfn.XLOOKUP(_xlfn.XLOOKUP(B63,'Base stats'!B:B,'Base stats'!E:E),Groups!A:A,Groups!AE:AE)*IF(_xlfn.XLOOKUP(_xlfn.XLOOKUP(B63,'Base stats'!B:B,'Base stats'!E:E),Groups!A:A,Groups!AJ:AJ)="Photonozoa",0.6,1)*_xlfn.XLOOKUP(B63,'Base stats'!B:B,'Base stats'!C:C)^0.165,0.05)))</f>
        <v>No</v>
      </c>
      <c r="AK63" s="7" t="str">
        <f>IF(AI63="No","No",_xlfn.XLOOKUP(_xlfn.XLOOKUP(B63,'Base stats'!B:B,'Base stats'!E:E),Groups!A:A,Groups!AF:AF))</f>
        <v>No</v>
      </c>
      <c r="AL63" s="7" t="str">
        <f>IF(AI63="No","No",_xlfn.XLOOKUP(_xlfn.XLOOKUP(B63,'Base stats'!B:B,'Base stats'!E:E),Groups!A:A,Groups!AG:AG))</f>
        <v>No</v>
      </c>
      <c r="AM63" s="7" t="str">
        <f>IF(AI63="No","No",_xlfn.XLOOKUP(_xlfn.XLOOKUP(B63,'Base stats'!B:B,'Base stats'!E:E),Groups!A:A,Groups!AH:AH))</f>
        <v>No</v>
      </c>
      <c r="AN63" s="2" t="str">
        <f t="shared" si="0"/>
        <v>No</v>
      </c>
      <c r="AO63" s="2">
        <f>MROUND(IF(AND(_xlfn.XLOOKUP(B63,'Base stats'!B:B,'Base stats'!C:C)&gt;=0.5,_xlfn.XLOOKUP(B63,'Base stats'!B:B,'Base stats'!C:C)&lt;=0.8),
IF(_xlfn.XLOOKUP(B63,'Base stats'!B:B,'Base stats'!C:C)&lt;0.1,0.05,IF(_xlfn.XLOOKUP(B63,'Base stats'!B:B,'Base stats'!C:C)&lt;=70,(_xlfn.XLOOKUP(B63,'Base stats'!B:B,'Base stats'!C:C)/70)^0.426489913056526,IF(_xlfn.XLOOKUP(B63,'Base stats'!B:B,'Base stats'!C:C)&lt;=400,(_xlfn.XLOOKUP(B63,'Base stats'!B:B,'Base stats'!C:C)/70)^0.572811455315093,IF(_xlfn.XLOOKUP(B63,'Base stats'!B:B,'Base stats'!C:C)&lt;=2000,2.71391647193063*(_xlfn.XLOOKUP(B63,'Base stats'!B:B,'Base stats'!C:C)/400)^0.252459582904293,3.74314280240376*(_xlfn.XLOOKUP(B63,'Base stats'!B:B,'Base stats'!C:C)/2000)^0.357012633876913)))),
IF(_xlfn.XLOOKUP(B63,'Base stats'!B:B,'Base stats'!C:C)&lt;0.1,0.05,IF(_xlfn.XLOOKUP(B63,'Base stats'!B:B,'Base stats'!C:C)&lt;0.4,0.1,IF(_xlfn.XLOOKUP(B63,'Base stats'!B:B,'Base stats'!C:C)&lt;=70,(_xlfn.XLOOKUP(B63,'Base stats'!B:B,'Base stats'!C:C)/70)^0.445823913056526,IF(_xlfn.XLOOKUP(B63,'Base stats'!B:B,'Base stats'!C:C)&lt;=400,(_xlfn.XLOOKUP(B63,'Base stats'!B:B,'Base stats'!C:C)/70)^0.572811455315093,IF(_xlfn.XLOOKUP(B63,'Base stats'!B:B,'Base stats'!C:C)&lt;=2000,2.71391647193063*(_xlfn.XLOOKUP(B63,'Base stats'!B:B,'Base stats'!C:C)/400)^0.252459582904293,3.74314280240376*(_xlfn.XLOOKUP(B63,'Base stats'!B:B,'Base stats'!C:C)/2000)^0.357012633876913)))))),
IF(_xlfn.XLOOKUP(B63,'Base stats'!B:B,'Base stats'!C:C)&lt;0.1,0.05,IF(_xlfn.XLOOKUP(B63,'Base stats'!B:B,'Base stats'!C:C)&lt;=100,0.05,IF(_xlfn.XLOOKUP(B63,'Base stats'!B:B,'Base stats'!C:C)&lt;=250,0.1,IF(_xlfn.XLOOKUP(B63,'Base stats'!B:B,'Base stats'!C:C)&lt;=4000,0.25,0.5)))))</f>
        <v>0.05</v>
      </c>
      <c r="AP63" s="8">
        <f>MROUND(AO63*_xlfn.XLOOKUP(_xlfn.XLOOKUP(B63,'Base stats'!B:B,'Base stats'!E:E),Groups!A:A,Groups!AI:AI)*_xlfn.XLOOKUP(B63,'Base stats'!B:B,'Base stats'!Z:Z),0.05)</f>
        <v>0.05</v>
      </c>
      <c r="AQ63" s="8">
        <f>MAX(0.01,MROUND(IF(CC63="True",0.196*(AO63*100*1000)^0.889,IF(_xlfn.XLOOKUP(_xlfn.XLOOKUP(B63,'Base stats'!B:B,'Base stats'!E:E),Groups!A:A,Groups!AJ:AJ)="Bird",10.5*(AO63*100*1000)^0.681,4.82*(AO63*100*1000)^0.734))/(4.82*(1*100*1000)^0.734)/IF(AO63&lt;3.5,2,IF(AO63=3.5,1.5,1.25))*(1+0.132282374779864/(AO63^0.994035016789033+0.00905238001496948)),0.05))</f>
        <v>0.25</v>
      </c>
      <c r="AR63" s="9">
        <f>IFERROR(MROUND(_xlfn.XLOOKUP(B63,'Base stats'!B:B,'Base stats'!H:H)/IF(_xlfn.XLOOKUP(B63,'Base stats'!B:B,'Base stats'!I:I)&lt;&gt;1,(122.5/70),1.2),IF(_xlfn.XLOOKUP(B63,'Base stats'!B:B,'Base stats'!H:H)&gt;=30,5,IF(_xlfn.XLOOKUP(B63,'Base stats'!B:B,'Base stats'!H:H)&gt;=15,3,IF(_xlfn.XLOOKUP(B63,'Base stats'!B:B,'Base stats'!H:H)&gt;=10,2,1)))),"Immortal")</f>
        <v>12</v>
      </c>
      <c r="AS63" s="35" t="str">
        <f>IFERROR(IF(OR(_xlfn.XLOOKUP(B63,'Base stats'!B:B,'Base stats'!F:F)="Atypical reproduction",_xlfn.XLOOKUP(B63,'Base stats'!B:B,'Base stats'!F:F)="Lay eggs"),"Lay eggs",MIN(20,MAX(5.5,ROUND(((_xlfn.XLOOKUP(B63,'Base stats'!B:B,'Base stats'!F:F)-25)*(14.5/615) + 5.5)*2,0)/2))),"Unknown")</f>
        <v>Lay eggs</v>
      </c>
      <c r="AT63" s="8">
        <f>IF(_xlfn.XLOOKUP(B63,'Base stats'!B:B,'Base stats'!G:G)="Atypical reproduction","No",IFERROR(MAX(IF(_xlfn.XLOOKUP(B63,'Base stats'!B:B,'Base stats'!G:G)&lt;0.5,0.2,0.3),MROUND(_xlfn.XLOOKUP(B63,'Base stats'!B:B,'Base stats'!G:G)/(365/60),0.2)),"Unknown"))</f>
        <v>0.2</v>
      </c>
      <c r="AU63" s="8">
        <f t="shared" si="1"/>
        <v>0.1</v>
      </c>
      <c r="AV63" s="8" t="str">
        <f>IFERROR(IFERROR(MROUND(_xlfn.XLOOKUP(B63,'Base stats'!B:B,'Base stats'!J:J),0.1),"Lay eggs"),"Cannot breed")</f>
        <v>Lay eggs</v>
      </c>
      <c r="AW63" s="2" t="str">
        <f t="shared" si="2"/>
        <v>true</v>
      </c>
      <c r="AX63" s="2" t="str">
        <f>IF(_xlfn.XLOOKUP(_xlfn.XLOOKUP(Animals!B63,'Base stats'!B:B,'Base stats'!E:E),Groups!A:A,Groups!AK:AK)=1,"true","false")</f>
        <v>false</v>
      </c>
      <c r="AY63" s="25" t="str">
        <f>IF(_xlfn.XLOOKUP(B63,'Base stats'!B:B,'Base stats'!Y:Y)="Liquor","Liquor, CarnivoreAnimalStrict",IF(AND(_xlfn.XLOOKUP(B63,'Base stats'!B:B,'Base stats'!Y:Y)="Carnivore",_xlfn.XLOOKUP(_xlfn.XLOOKUP(B63,'Base stats'!B:B,'Base stats'!E:E),Groups!A:A,Groups!AJ:AJ)="Photonozoa"),"CarnivoreAnimalStrict, OvivoreAnimal",IF(_xlfn.XLOOKUP(B63,'Base stats'!B:B,'Base stats'!Y:Y)="Carnivore","CarnivoreAnimal, OvivoreAnimal",IF(_xlfn.XLOOKUP(B63,'Base stats'!B:B,'Base stats'!Y:Y)="Dendrovore","VegetarianRoughAnimal, DendrovoreAnimal",IF(_xlfn.XLOOKUP(B63,'Base stats'!B:B,'Base stats'!Y:Y)="Herbivore","VegetarianRoughAnimal",IF(_xlfn.XLOOKUP(B63,'Base stats'!B:B,'Base stats'!Y:Y)="OmnivoreRough","OmnivoreRoughAnimal, OvivoreAnimal","OmnivoreAnimal, OvivoreAnimal"))))))</f>
        <v>VegetarianRoughAnimal</v>
      </c>
      <c r="AZ63" s="2" t="str">
        <f>IF(_xlfn.XLOOKUP(_xlfn.XLOOKUP(B63,'Base stats'!B:B,'Base stats'!E:E),Groups!A:A,Groups!D:D)=1,MROUND((1-J63)*5+1,2)*IF(J63&lt;=0.4,2,1),"No")</f>
        <v>No</v>
      </c>
      <c r="BA63" s="2" t="str">
        <f>IF(AND(_xlfn.XLOOKUP(B63,'Base stats'!B:B,'Base stats'!AH:AH)="&lt;li&gt;Seal&lt;/li&gt;",G63="Odyssey"),"&lt;li&gt;AEXP_Seal&lt;/li&gt;",_xlfn.XLOOKUP(B63,'Base stats'!B:B,'Base stats'!AH:AH))</f>
        <v>&lt;li&gt;Cassowary&lt;/li&gt;</v>
      </c>
      <c r="BB63" s="2" t="str">
        <f>_xlfn.XLOOKUP(B63,'Base stats'!B:B,'Base stats'!AG:AG)</f>
        <v>No</v>
      </c>
      <c r="BC63" s="23" t="str">
        <f>_xlfn.XLOOKUP(_xlfn.XLOOKUP(B63,'Base stats'!B:B,'Base stats'!E:E),Groups!A:A,Groups!AL:AL)</f>
        <v>Bird</v>
      </c>
      <c r="BD63" s="23">
        <f>MIN(1,MROUND(IF(AND(AO63&lt;0.5,_xlfn.XLOOKUP(B63,'Base stats'!B:B,'Base stats'!AA:AA)=0),0,IF(OR(_xlfn.XLOOKUP(Animals!B63,'Base stats'!B:B,'Base stats'!O:O)=2,_xlfn.XLOOKUP(_xlfn.XLOOKUP(B63,'Base stats'!B:B,'Base stats'!E:E),Groups!A:A,Groups!AN:AN)=0),0,_xlfn.XLOOKUP(_xlfn.XLOOKUP(B63,'Base stats'!B:B,'Base stats'!E:E),Groups!A:A,Groups!AN:AN)/IF(_xlfn.XLOOKUP(Animals!B63,'Base stats'!B:B,'Base stats'!O:O)=1,2,1)))+_xlfn.XLOOKUP(B63,'Base stats'!B:B,'Base stats'!AC:AC),0.005))</f>
        <v>0</v>
      </c>
      <c r="BE63" s="23">
        <f>MIN(1,MROUND(IF(AND(AO63&lt;0.5,_xlfn.XLOOKUP(B63,'Base stats'!B:B,'Base stats'!AA:AA)=0),0,IF(_xlfn.XLOOKUP(_xlfn.XLOOKUP(B63,'Base stats'!B:B,'Base stats'!E:E),Groups!A:A,Groups!AO:AO)=0,0,_xlfn.XLOOKUP(_xlfn.XLOOKUP(B63,'Base stats'!B:B,'Base stats'!E:E),Groups!A:A,Groups!AO:AO)/IF(_xlfn.XLOOKUP(Animals!B63,'Base stats'!B:B,'Base stats'!O:O)=2,3,1)))+_xlfn.XLOOKUP(B63,'Base stats'!B:B,'Base stats'!AD:AD),0.005))</f>
        <v>0</v>
      </c>
      <c r="BF63" s="2" t="str">
        <f>IF(J63&gt;0.3,"No",_xlfn.XLOOKUP(_xlfn.XLOOKUP(Animals!B63,'Base stats'!B:B,'Base stats'!E:E),Groups!A:A,Groups!AP:AP))</f>
        <v>No</v>
      </c>
      <c r="BG63" s="2" t="str">
        <f>IF(AND(J63&lt;=0.65,_xlfn.XLOOKUP(_xlfn.XLOOKUP(Animals!B63,'Base stats'!B:B,'Base stats'!E:E),Groups!A:A,Groups!AP:AP)&lt;&gt;"No",_xlfn.XLOOKUP(_xlfn.XLOOKUP(B63,'Base stats'!B:B,'Base stats'!E:E),Groups!A:A,Groups!D:D)=0),MROUND((80/3)*IF(_xlfn.XLOOKUP(B63,'Base stats'!B:B,'Base stats'!O:O)=2,0.2,AO63) + 24*(1-IF(BF63="No",0,BF63)) + 16/3, 12),"No")</f>
        <v>No</v>
      </c>
      <c r="BH63" s="2">
        <f>IF(AND(_xlfn.XLOOKUP(_xlfn.XLOOKUP(B63,'Base stats'!B:B,'Base stats'!E:E),Groups!A:A,Groups!AQ:AQ)=1,AO63&lt;=0.35),8,12)</f>
        <v>12</v>
      </c>
      <c r="BI63" s="2" t="str">
        <f>IF(_xlfn.XLOOKUP(_xlfn.XLOOKUP(B63,'Base stats'!B:B,'Base stats'!E:E),Groups!A:A,Groups!D:D)=0,_xlfn.XLOOKUP(_xlfn.XLOOKUP(B63,'Base stats'!B:B,'Base stats'!E:E),Groups!A:A,Groups!AR:AR),"None")</f>
        <v>Intermediate</v>
      </c>
      <c r="BJ63" s="2" t="str">
        <f>IF(AND(_xlfn.XLOOKUP(_xlfn.XLOOKUP(B63,'Base stats'!B:B,'Base stats'!E:E),Groups!A:A,Groups!AS:AS)=1,OR(_xlfn.XLOOKUP(B63,'Base stats'!B:B,'Base stats'!Y:Y)="Carnivore",_xlfn.XLOOKUP(B63,'Base stats'!B:B,'Base stats'!Y:Y)="Omnivore")),"true","false")</f>
        <v>false</v>
      </c>
      <c r="BK63" s="2" t="str">
        <f>IF(BJ63="true",MROUND(IF(AND(AO63&gt;0.5,OR(_xlfn.XLOOKUP(_xlfn.XLOOKUP(B63,'Base stats'!B:B,'Base stats'!E:E),Groups!A:A,Groups!AJ:AJ)="Photonozoa",_xlfn.XLOOKUP(_xlfn.XLOOKUP(B63,'Base stats'!B:B,'Base stats'!E:E),Groups!A:A,Groups!AJ:AJ)="Mammal")),Animals!AO63*1.75*IF(AW63="true",1.5,1),IF(AO63&lt;0.5,Animals!AO63*0.5,Animals!AO63)),IF(AO63&gt;2,0.5,IF(AO63&gt;0.5,0.25,0.1))),"No")</f>
        <v>No</v>
      </c>
      <c r="BL63" s="2">
        <f t="shared" si="3"/>
        <v>1</v>
      </c>
      <c r="BM63" s="25" t="str">
        <f>IF(_xlfn.XLOOKUP(B63,'Base stats'!B:B,'Base stats'!AN:AN)="Standard","No",MROUND((_xlfn.XLOOKUP(B63,'Base stats'!B:B,'Base stats'!AN:AN)/3.6)/I63,0.1))</f>
        <v>No</v>
      </c>
      <c r="BN63" s="25" t="str">
        <f t="shared" si="4"/>
        <v>false</v>
      </c>
      <c r="BO63" s="25" t="str">
        <f>IF(AND(OR(_xlfn.XLOOKUP(B63,'Base stats'!B:B,'Base stats'!Y:Y)="Carnivore",_xlfn.XLOOKUP(B63,'Base stats'!B:B,'Base stats'!Y:Y)="Omnivore",_xlfn.XLOOKUP(B63,'Base stats'!B:B,'Base stats'!Y:Y)="OmnivoreRough"),_xlfn.XLOOKUP(_xlfn.XLOOKUP(B63,'Base stats'!B:B,'Base stats'!E:E),Groups!A:A,Groups!AT:AT)=1),"true","false")</f>
        <v>false</v>
      </c>
      <c r="BP63" s="25" t="str" cm="1">
        <f t="array" ref="BP63">IF(
  _xlfn.TEXTJOIN(", ",TRUE,
    IF(AND(BJ63="true",AO63&gt;0.5,BI63&lt;&gt;"None"),"AttackTarget",""),
    IF(AND(_xlfn.XLOOKUP(_xlfn.XLOOKUP(B63,'Base stats'!B:B,'Base stats'!E:E),Groups!A:A,Groups!AJ:AJ="Mammal"),OR(_xlfn.XLOOKUP(B63,'Base stats'!B:B,'Base stats'!Y:Y)="Omnivore",_xlfn.XLOOKUP(B63,'Base stats'!B:B,'Base stats'!Y:Y)="OmnivoreRough")),"Forage",""),
    IF(BG63&lt;=36,"Comfort",""),
    IF(_xlfn.XLOOKUP(B63,'Base stats'!B:B,'Base stats'!AE:AE)&lt;&gt;"No",_xlfn.XLOOKUP(B63,'Base stats'!B:B,'Base stats'!AE:AE),"")
  ) = "",
  "No",
  _xlfn.TEXTJOIN(", ",TRUE,
    IF(AND(BJ63="true",AO63&gt;0.5,BI63&lt;&gt;"None"),"AttackTarget",""),
    IF(AND(_xlfn.XLOOKUP(_xlfn.XLOOKUP(B63,'Base stats'!B:B,'Base stats'!E:E),Groups!A:A,Groups!AJ:AJ="Mammal"),OR(_xlfn.XLOOKUP(B63,'Base stats'!B:B,'Base stats'!Y:Y)="Omnivore",_xlfn.XLOOKUP(B63,'Base stats'!B:B,'Base stats'!Y:Y)="OmnivoreRough")),"Forage",""),
    IF(BG63&lt;=36,"Comfort",""),
    IF(_xlfn.XLOOKUP(B63,'Base stats'!B:B,'Base stats'!AE:AE)&lt;&gt;"No",_xlfn.XLOOKUP(B63,'Base stats'!B:B,'Base stats'!AE:AE),"")
  )
)</f>
        <v>No</v>
      </c>
      <c r="BQ63" s="25" t="str">
        <f>IF(
   AND(
      'Base stats'!AN63="Standard",_xlfn.XLOOKUP(_xlfn.XLOOKUP(B63,'Base stats'!B:B,'Base stats'!E:E),Groups!A:A,Groups!AU:AU)=0,
      OR(
      BO63="True"
      )
   ),
   10,
   IF(
       OR(BM63&lt;&gt;"No",_xlfn.XLOOKUP(_xlfn.XLOOKUP(B63,'Base stats'!B:B,'Base stats'!E:E),Groups!A:A,Groups!AU:AU)=1),
      1,
      "No"
   )
)</f>
        <v>No</v>
      </c>
      <c r="BR63" s="9">
        <f>MROUND((1 + ((0.2*IF(OR(Q63="No",R63="No",R63=0),0,Q63/R63)
+IF(OR(V63="No",S63="No",T63="No"),0,S63/T63*(LEN(V63)-LEN(SUBSTITUTE(V63,",",""))+1))
+IF(OR(X63="No",Y63="No"),0,X63/Y63)
+IF(OR(AD63="No",AE63="No"),0,AD63/AE63)
+IF(OR(AL63="No",AI63="No",AJ63="No"),0,AI63/AJ63*(LEN(AL63)-LEN(SUBSTITUTE(AL63,",",""))+1))
)/(0.2*IF(OR(Q63="No",R63="No",R63=0),0,1)
+IF(OR(V63="No",S63="No",T63="No"),0,LEN(V63)-LEN(SUBSTITUTE(V63,",",""))+1)
+IF(OR(X63="No",Y63="No"),0,1)
+IF(OR(AD63="No",AE63="No"),0,1)
+IF(OR(AL63="No",AI63="No",AJ63="No"),0,LEN(AL63)-LEN(SUBSTITUTE(AL63,",",""))+1))*62%)* 2)*(1 + (AP63 / (IF(_xlfn.XLOOKUP(_xlfn.XLOOKUP(B63,'Base stats'!B:B,'Base stats'!E:E),Groups!A:A,Groups!AJ:AJ)="Photonozoa",0.3,1)) + _xlfn.XLOOKUP(B63,'Base stats'!B:B,'Base stats'!AV:AV) * 1.8) * 2) * 2.5 + 10 + I63 * 2,5)+IF(_xlfn.XLOOKUP(B63,'Base stats'!B:B,'Base stats'!AK:AK)=1,50,0)</f>
        <v>20</v>
      </c>
      <c r="BS63" s="8">
        <f t="shared" si="5"/>
        <v>0.2</v>
      </c>
      <c r="BT63" s="8" t="str">
        <f>_xlfn.XLOOKUP(B63,'Base stats'!B:B,'Base stats'!AF:AF)</f>
        <v>3~8</v>
      </c>
      <c r="BU63" s="2" t="str">
        <f>IF(AND(J63&lt;=0.95,OR(_xlfn.XLOOKUP(B63,'Base stats'!B:B,'Base stats'!AK:AK)=1,_xlfn.XLOOKUP(B63,'Base stats'!B:B,'Base stats'!Y:Y)="Carnivore",_xlfn.XLOOKUP(B63,'Base stats'!B:B,'Base stats'!Y:Y)="Omnivore",BE63&gt;0.1)),"true","false")</f>
        <v>false</v>
      </c>
      <c r="BV63" s="2" t="str">
        <f>IF(_xlfn.XLOOKUP(B63,'Base stats'!B:B,'Base stats'!AI:AI)=1,"true","false")</f>
        <v>false</v>
      </c>
      <c r="BW63" s="25" t="str">
        <f>IF(E63="BaseInsect","AnimalInsect",
IF(J63&gt;0.95,"AnimalExotic",
_xlfn.TEXTJOIN(", ",TRUE,
IF(OR(_xlfn.XLOOKUP(B63,'Base stats'!B:B,'Base stats'!AM:AM)=1,AND(_xlfn.XLOOKUP(B63,'Base stats'!B:B,'Base stats'!O:O)=0,_xlfn.XLOOKUP(_xlfn.XLOOKUP(B63,'Base stats'!B:B,'Base stats'!E:E),Groups!A:A,Groups!B:B)&gt;0)),"AnimalUncommon","AnimalCommon"),
IF(AND(_xlfn.XLOOKUP(B63,'Base stats'!B:B,'Base stats'!O:O)=2,_xlfn.XLOOKUP(_xlfn.XLOOKUP(B63,'Base stats'!B:B,'Base stats'!E:E),Groups!A:A,Groups!D:D)=0),"AnimalPet",IF(AND(_xlfn.XLOOKUP(B63,'Base stats'!B:B,'Base stats'!O:O)&lt;&gt;0,_xlfn.XLOOKUP(_xlfn.XLOOKUP(B63,'Base stats'!B:B,'Base stats'!E:E),Groups!A:A,Groups!D:D)&lt;&gt;0),"AnimalFarm","")),
IF(OR(_xlfn.XLOOKUP(B63,'Base stats'!B:B,'Base stats'!AK:AK)=1,AND(BI63&lt;&gt;"None",BR63&gt;=60),ISNUMBER(SEARCH("Attack target",BP63))),"AnimalFighter","")
)))</f>
        <v>AnimalCommon</v>
      </c>
      <c r="BX63" s="25" t="str">
        <f>IF(G63="None",TRIM(
SUBSTITUTE(
IF(COUNTIF(Biomes!B$2:B$259,"="&amp;$C63)&gt;0,Biomes!B$1&amp;", ","")&amp;
IF(COUNTIF(Biomes!C$2:C$259,"="&amp;$C63)&gt;0,Biomes!C$1&amp;", ","")&amp;
IF(COUNTIF(Biomes!D$2:D$259,"="&amp;$C63)&gt;0,Biomes!D$1&amp;", ","")&amp;
IF(COUNTIF(Biomes!F$2:F$259,"="&amp;$C63)&gt;0,Biomes!F$1&amp;", ","")&amp;
IF(COUNTIF(Biomes!G$2:G$259,"="&amp;$C63)&gt;0,Biomes!G$1&amp;", ","")&amp;
IF(COUNTIF(Biomes!H$2:H$259,"="&amp;$C63)&gt;0,Biomes!H$1&amp;", ","")&amp;
IF(COUNTIF(Biomes!I$2:I$259,"="&amp;$C63)&gt;0,Biomes!I$1&amp;", ","")&amp;
IF(COUNTIF(Biomes!J$2:J$259,"="&amp;$C63)&gt;0,Biomes!J$1&amp;", ","")&amp;
IF(COUNTIF(Biomes!M$2:M$259,"="&amp;$C63)&gt;0,Biomes!M$1&amp;", ","")&amp;
IF(COUNTIF(Biomes!N$2:N$259,"="&amp;$C63)&gt;0,Biomes!N$1&amp;", ","")&amp;
IF(COUNTIF(Biomes!O$2:O$259,"="&amp;$C63)&gt;0,Biomes!O$1&amp;", ","")&amp;
IF(COUNTIF(Biomes!P$2:P$259,"="&amp;$C63)&gt;0,Biomes!P$1&amp;", ","")&amp;
IF(COUNTIF(Biomes!K$2:K$259,"="&amp;$C63)&gt;0,Biomes!K$1&amp;", ","")&amp;
IF(COUNTIF(Biomes!Q$3:Q$259,"="&amp;$C63)&gt;0,Biomes!Q$1&amp;", ","")&amp;
IF(COUNTIF(Biomes!L$2:L$259,"="&amp;$C63)&gt;0,Biomes!L$1&amp;", ","")&amp;
IF(COUNTIF(Biomes!E$2:E$259,"="&amp;$C63)&gt;0,Biomes!E$1&amp;", ","")&amp;IF(COUNTIF(Biomes!S$2:S$259,"="&amp;$C63)&gt;0,Biomes!S$1&amp;", ","")&amp;
IF(COUNTIF(Biomes!R$2:R$259,"="&amp;$C63)&gt;0,Biomes!R$1&amp;", ",""),", ","")
),_xlfn.XLOOKUP(B63,B:B,BX:BX))</f>
        <v>Tundra BorealForest ColdBog TemperateForest TemperateSwamp AridShrubland Desert TropicalRainforest TropicalSwamp Grasslands LavaField GlacialPlain Scarlands</v>
      </c>
      <c r="BY63" s="25" t="str">
        <f>IF(_xlfn.XLOOKUP(B63,'Base stats'!B:B,'Base stats'!AJ:AJ)=1,"true","false")</f>
        <v>false</v>
      </c>
      <c r="BZ63" s="25">
        <f>IF(_xlfn.XLOOKUP(B63,'Base stats'!B:B,'Base stats'!N:N)=1,"No",MAX(0.001,MIN(MROUND(IF(AND(BJ63="True",CC63="False"),POWER(10,3.47*LOG10(_xlfn.XLOOKUP(B63,'Base stats'!B:B,'Base stats'!C:C)*1000)^-0.96),POWER(10,4.15*LOG10(_xlfn.XLOOKUP(B63,'Base stats'!B:B,'Base stats'!C:C)*1000)^-0.73))*IF(_xlfn.XLOOKUP(B63,'Base stats'!B:B,'Base stats'!AK:AK)=1,0.5,1)*IF(_xlfn.XLOOKUP(B63,'Base stats'!B:B,'Base stats'!AM:AM)=1,0.1,1)/100,IF(_xlfn.XLOOKUP(B63,'Base stats'!B:B,'Base stats'!AM:AM)=1,0.001,0.025)),0.5)))</f>
        <v>0.5</v>
      </c>
      <c r="CA63" s="25">
        <f>IF(P63="Standard","No",MAX(0.001,MIN(MROUND(IF(AND(BJ63="True",CC63="False"),POWER(10,3.47*LOG10(_xlfn.XLOOKUP(B63,'Base stats'!B:B,'Base stats'!C:C)*1000)^-0.96),POWER(10,4.15*LOG10(_xlfn.XLOOKUP(B63,'Base stats'!B:B,'Base stats'!C:C)*1000)^-0.73))*IF(_xlfn.XLOOKUP(B63,'Base stats'!B:B,'Base stats'!AM:AM)=1,0.1,1)*_xlfn.XLOOKUP(B63,'Base stats'!B:B,'Base stats'!R:R)/100,IF(_xlfn.XLOOKUP(B63,'Base stats'!B:B,'Base stats'!AM:AM)=1,0.001,0.025)),0.5)))</f>
        <v>0.5</v>
      </c>
      <c r="CB63" s="25" t="str">
        <f>IF(_xlfn.XLOOKUP(_xlfn.XLOOKUP(B63,'Base stats'!B:B,'Base stats'!E:E),Groups!A:A,Groups!AJ:AJ)="Mammal","True","False")</f>
        <v>False</v>
      </c>
      <c r="CC63" s="25" t="str">
        <f>IF(OR(_xlfn.XLOOKUP(_xlfn.XLOOKUP(B63,'Base stats'!B:B,'Base stats'!E:E),Groups!A:A,Groups!AJ:AJ)="Reptile",_xlfn.XLOOKUP(_xlfn.XLOOKUP(B63,'Base stats'!B:B,'Base stats'!E:E),Groups!A:A,Groups!AJ:AJ)="Amphibian",_xlfn.XLOOKUP(_xlfn.XLOOKUP(B63,'Base stats'!B:B,'Base stats'!E:E),Groups!A:A,Groups!AJ:AJ)="Invertebrate"),"True","False")</f>
        <v>False</v>
      </c>
      <c r="CD63" s="25" t="str">
        <f t="shared" si="6"/>
        <v>False</v>
      </c>
      <c r="CE63" s="25" t="str">
        <f>IF(_xlfn.XLOOKUP(_xlfn.XLOOKUP(B63,'Base stats'!B:B,'Base stats'!E:E),Groups!A:A,Groups!AX:AX),"True","False")</f>
        <v>False</v>
      </c>
      <c r="CF63" s="25" t="str">
        <f>IF(_xlfn.XLOOKUP(_xlfn.XLOOKUP(B63,'Base stats'!B:B,'Base stats'!E:E),Groups!A:A,Groups!AY:AY),"True","False")</f>
        <v>False</v>
      </c>
      <c r="CG63" s="25" t="str">
        <f>IF(_xlfn.XLOOKUP(_xlfn.XLOOKUP(B63,'Base stats'!B:B,'Base stats'!E:E),Groups!A:A,Groups!AW:AW),"True","False")</f>
        <v>False</v>
      </c>
      <c r="CH63" s="25" t="str">
        <f>IF(
OR(
_xlfn.XLOOKUP(_xlfn.XLOOKUP(B63,'Base stats'!B:B,'Base stats'!E:E),Groups!A:A,Groups!AZ:AZ)=0,
AND(
_xlfn.XLOOKUP(B63,'Base stats'!B:B,'Base stats'!Y:Y)&lt;&gt;"Carnivore",
_xlfn.XLOOKUP(B63,'Base stats'!B:B,'Base stats'!Y:Y)&lt;&gt;"Omnivore",
_xlfn.XLOOKUP(B63,'Base stats'!B:B,'Base stats'!Y:Y)&lt;&gt;"OmnivoreRough"
)
),
"No",
IF(
_xlfn.XLOOKUP(_xlfn.XLOOKUP(B63,'Base stats'!B:B,'Base stats'!E:E),Groups!A:A,Groups!AZ:AZ)=1,
"Flesh",
IF(
_xlfn.XLOOKUP(_xlfn.XLOOKUP(B63,'Base stats'!B:B,'Base stats'!E:E),Groups!A:A,Groups!AZ:AZ)=2,
"Bone",
""
)
)
)</f>
        <v>No</v>
      </c>
      <c r="CI63" s="25" t="str">
        <f>IF(_xlfn.XLOOKUP(_xlfn.XLOOKUP(B63,'Base stats'!B:B,'Base stats'!E:E),Groups!A:A,Groups!BB:BB),"True","False")</f>
        <v>True</v>
      </c>
      <c r="CJ63" s="25" t="str">
        <f>IF(_xlfn.XLOOKUP(_xlfn.XLOOKUP(B63,'Base stats'!B:B,'Base stats'!E:E),Groups!A:A,Groups!BA:BA),"True","False")</f>
        <v>False</v>
      </c>
    </row>
    <row r="64" spans="1:88" ht="16.5" thickTop="1" thickBot="1" x14ac:dyDescent="0.3">
      <c r="A64" s="26" t="str">
        <f>_xlfn.XLOOKUP(B64,'Base stats'!B:B,'Base stats'!A:A)</f>
        <v>Bluebird</v>
      </c>
      <c r="B64" s="6" t="s">
        <v>552</v>
      </c>
      <c r="C64" s="28" t="s">
        <v>744</v>
      </c>
      <c r="D64" s="28" t="s">
        <v>870</v>
      </c>
      <c r="E64" s="28" t="s">
        <v>743</v>
      </c>
      <c r="F64" s="28" t="s">
        <v>673</v>
      </c>
      <c r="G64" s="28" t="s">
        <v>673</v>
      </c>
      <c r="H64" s="2">
        <f>MROUND((
  (IF(AND(_xlfn.XLOOKUP(B64,'Base stats'!B:B,'Base stats'!AL:AL)=0,BI64="None",_xlfn.XLOOKUP(_xlfn.XLOOKUP(B64,'Base stats'!B:B,'Base stats'!E:E),Groups!A:A,Groups!B:B)=0), (18 + BR64 * 2.7) * 0.5,
    IF(AND(_xlfn.XLOOKUP(B64,'Base stats'!B:B,'Base stats'!AL:AL)=0,OR(AO64&lt;0.55,AND(BI64="Intermediate",_xlfn.XLOOKUP(_xlfn.XLOOKUP(B64,'Base stats'!B:B,'Base stats'!E:E),Groups!A:A,Groups!B:B)&lt;2))), (18 + BR64 * 2.7),
      IF(OR(BI64="Advanced",_xlfn.XLOOKUP(B64,'Base stats'!B:B,'Base stats'!AL:AL)=1,_xlfn.XLOOKUP(_xlfn.XLOOKUP(B64,'Base stats'!B:B,'Base stats'!E:E),Groups!A:A,Groups!B:B)=2), (18 + BR64 * 2.7) + 250, (18 + BR64 * 2.7))
    )
  ))
  + AO64 * 80
  + IF(COUNTIF(EggMilk!K$2:K$998, A64) &gt; 0, 125, 0)
  + IF(COUNTIF(EggMilk!P$2:P$998, A64) &gt; 0, 90, 0)
  + IF(COUNTIF(EggMilk!A$2:A$998, A64) &gt; 0, 90, 0)
)
* (0.8 + 0.4 * J64)
* 0.75,25)</f>
        <v>125</v>
      </c>
      <c r="I64" s="2">
        <f>MROUND(ROUNDDOWN(_xlfn.XLOOKUP(B64,'Base stats'!B:B,'Base stats'!L:L)/3.6/(23.3/11),1),0.5)</f>
        <v>2</v>
      </c>
      <c r="J64" s="2">
        <f>IF(OR(_xlfn.XLOOKUP(B64,'Base stats'!B:B,'Base stats'!AB:AB)=1,_xlfn.XLOOKUP(_xlfn.XLOOKUP(B64,'Base stats'!B:B,'Base stats'!E:E),Groups!A:A,Groups!C:C)="Untamable"),1,IF(_xlfn.XLOOKUP(B64,'Base stats'!B:B,'Base stats'!AL:AL)=1,0.99,MIN(MROUND((1-0.6282*EXP(-0.459*AO64))*_xlfn.XLOOKUP(_xlfn.XLOOKUP(B64,'Base stats'!B:B,'Base stats'!E:E),Groups!A:A,Groups!C:C)*IF(_xlfn.XLOOKUP(B64,'Base stats'!B:B,'Base stats'!O:O)=1,0.5,IF(_xlfn.XLOOKUP(B64,'Base stats'!B:B,'Base stats'!O:O)=2,0,1)),0.05),IF(AO64&gt;3.5,0.985,0.95))))</f>
        <v>0.5</v>
      </c>
      <c r="K64" s="2">
        <f>ROUNDUP(AO64*_xlfn.XLOOKUP(_xlfn.XLOOKUP(B64,'Base stats'!B:B,'Base stats'!E:E),Groups!A:A,Groups!E:E),0)</f>
        <v>1</v>
      </c>
      <c r="L64" s="2">
        <f>IF(OR(_xlfn.XLOOKUP(_xlfn.XLOOKUP(B64,'Base stats'!B:B,'Base stats'!E:E),Groups!A:A,Groups!F:F)=2,ISNUMBER(SEARCH("SeaIce",BX64)),ISNUMBER(SEARCH("IceSheet",BX64))),-50,IF(OR(ISNUMBER(SEARCH("GlacialPlain",BX64)),ISNUMBER(SEARCH("Tundra",BX64))),-40,IF(OR(ISNUMBER(SEARCH("Alpine",BX64)),ISNUMBER(SEARCH("BorealForest",BX64)),ISNUMBER(SEARCH("ColdBog",BX64))),-30,IF(OR(ISNUMBER(SEARCH("TemperateForest",BX64)),ISNUMBER(SEARCH("TemperateSwamp",BX64))),-20,IF(_xlfn.XLOOKUP(_xlfn.XLOOKUP(B64,'Base stats'!B:B,'Base stats'!E:E),Groups!A:A,Groups!F:F)=1,-15,IF(OR(ISNUMBER(SEARCH("Desert",BX64)),ISNUMBER(SEARCH("ExtremeDesert",BX64))),-10,IF(OR(ISNUMBER(SEARCH("Grasslands",BX64)),ISNUMBER(SEARCH("TropicalRainforest",BX64)),ISNUMBER(SEARCH("TropicalSwamp",BX64))),10,0)))))))-IF(CC64="False",MIN(IFERROR(MAX(MROUND(LOG10(_xlfn.XLOOKUP(B64,'Base stats'!B:B,'Base stats'!C:C)^(2/3))*10,5),5),5),30))-_xlfn.XLOOKUP(B64,'Base stats'!B:B,'Base stats'!P:P)+IF(CC64="True",5,0)</f>
        <v>-45</v>
      </c>
      <c r="M64" s="2">
        <f>IF(OR(_xlfn.XLOOKUP(_xlfn.XLOOKUP(B64,'Base stats'!B:B,'Base stats'!E:E),Groups!A:A,Groups!G:G)=2,ISNUMBER(SEARCH("Desert",BX64)),ISNUMBER(SEARCH("ExtremeDesert",BX64)),ISNUMBER(SEARCH("LavaField",BX64))),50,IF(ISNUMBER(SEARCH("Grasslands",BX64)),45,IF(OR(_xlfn.XLOOKUP(_xlfn.XLOOKUP(B64,'Base stats'!B:B,'Base stats'!E:E),Groups!A:A,Groups!G:G)=1,ISNUMBER(SEARCH("TropicalRainforest",BX64)),ISNUMBER(SEARCH("TropicalSwamp",BX64))),40,IF(OR(ISNUMBER(SEARCH("TemperateForest",BX64)),ISNUMBER(SEARCH("TemperateSwamp",BX64))),35,IF(OR(ISNUMBER(SEARCH("Alpine",BX64)),ISNUMBER(SEARCH("BorealForest",BX64)),ISNUMBER(SEARCH("ColdBog",BX64))),30,IF(ISNUMBER(OR(ISNUMBER(SEARCH("GlacialPlain",BX64)),SEARCH("Tundra",BX64))),25,IF(OR(ISNUMBER(SEARCH("SeaIce",BX64)),ISNUMBER(SEARCH("IceSheet",BX64)),ISNUMBER(SEARCH("TropicalSwamp",BX64))),10,35)))))))+_xlfn.XLOOKUP(B64,'Base stats'!B:B,'Base stats'!Q:Q)</f>
        <v>35</v>
      </c>
      <c r="N64" s="8" t="str">
        <f>IF(
_xlfn.XLOOKUP(
_xlfn.XLOOKUP(B64,'Base stats'!B:B,'Base stats'!E:E),
Groups!A:A,
Groups!L:L
)=1,
MIN(
MROUND(
IF(
_xlfn.XLOOKUP(B64,'Animals CE'!B:B,'Animals CE'!Z:Z)&lt;=1.5,
_xlfn.XLOOKUP(B64,'Animals CE'!B:B,'Animals CE'!Z:Z)/2+0.05,
0.8+
(_xlfn.XLOOKUP(B64,'Animals CE'!B:B,'Animals CE'!Z:Z)-1.5)
*0.02
),
0.05
),
200%
),
"No"
)</f>
        <v>No</v>
      </c>
      <c r="O64" s="8" t="str">
        <f>IF(
_xlfn.XLOOKUP(
_xlfn.XLOOKUP(B64,'Base stats'!B:B,'Base stats'!E:E),
Groups!A:A,
Groups!L:L
)=1,
MIN(
MROUND(
IF(
_xlfn.XLOOKUP(B64,'Animals CE'!B:B,'Animals CE'!AA:AA)&lt;=1.5,
_xlfn.XLOOKUP(B64,'Animals CE'!B:B,'Animals CE'!AA:AA)/2+0.05,
0.8+
(_xlfn.XLOOKUP(B64,'Animals CE'!B:B,'Animals CE'!AA:AA)-1.5)
*0.02
),
0.05
),
200%
),
"No"
)</f>
        <v>No</v>
      </c>
      <c r="P64" s="2" t="str">
        <f>_xlfn.XLOOKUP(B64,'Base stats'!B:B,'Base stats'!R:R)</f>
        <v>Standard</v>
      </c>
      <c r="Q64" s="13">
        <f>MROUND((LOG10(_xlfn.XLOOKUP(B64,'Base stats'!B:B,'Base stats'!AR:AR))*(AO64^0.5)+(_xlfn.XLOOKUP(B64,'Base stats'!B:B,'Base stats'!AR:AR)/1000)^(2/3)+_xlfn.XLOOKUP(B64,'Base stats'!B:B,'Base stats'!BA:BA)/2)+0.5,0.5)</f>
        <v>0.5</v>
      </c>
      <c r="R64" s="7">
        <f>IF(Q64="No","No",MAX(1,MROUND(_xlfn.XLOOKUP(B64,'Base stats'!B:B,'Base stats'!C:C)^0.165,0.05)))</f>
        <v>1</v>
      </c>
      <c r="S64" s="13">
        <f>IF(_xlfn.XLOOKUP(_xlfn.XLOOKUP(B64,'Base stats'!B:B,'Base stats'!E:E),Groups!A:A,Groups!P:P)=0,"No",MROUND((LOG10(_xlfn.XLOOKUP(B64,'Base stats'!B:B,'Base stats'!AS:AS))*(AO64^0.5)+(_xlfn.XLOOKUP(B64,'Base stats'!B:B,'Base stats'!AS:AS)/1000)^(2/3)+_xlfn.XLOOKUP(B64,'Base stats'!B:B,'Base stats'!BA:BA))+_xlfn.XLOOKUP(B64,'Base stats'!B:B,'Base stats'!AY:AY)+0.5,0.5))</f>
        <v>1</v>
      </c>
      <c r="T64" s="7">
        <f>IF(S64="No","No",MAX(_xlfn.XLOOKUP(_xlfn.XLOOKUP(B64,'Base stats'!B:B,'Base stats'!E:E),Groups!A:A,Groups!Q:Q),MROUND(_xlfn.XLOOKUP(_xlfn.XLOOKUP(B64,'Base stats'!B:B,'Base stats'!E:E),Groups!A:A,Groups!Q:Q)*_xlfn.XLOOKUP(B64,'Base stats'!B:B,'Base stats'!C:C)^0.165,0.05)))</f>
        <v>1</v>
      </c>
      <c r="U64" s="7" t="str">
        <f>IF(S64="No","No",_xlfn.XLOOKUP(_xlfn.XLOOKUP(B64,'Base stats'!B:B,'Base stats'!E:E),Groups!A:A,Groups!R:R))</f>
        <v>Feet</v>
      </c>
      <c r="V64" s="7" t="str">
        <f>IF(S64="No","No",_xlfn.XLOOKUP(_xlfn.XLOOKUP(B64,'Base stats'!B:B,'Base stats'!E:E),Groups!A:A,Groups!S:S))</f>
        <v>rear left claw, rear  right claw</v>
      </c>
      <c r="W64" s="7" t="str">
        <f>IF(S64="No","No",_xlfn.XLOOKUP(_xlfn.XLOOKUP(B64,'Base stats'!B:B,'Base stats'!E:E),Groups!A:A,Groups!T:T))</f>
        <v>Scratch</v>
      </c>
      <c r="X64" s="13" t="str">
        <f>IF(_xlfn.XLOOKUP(B64,'Base stats'!B:B,'Base stats'!W:W)="No","No",MROUND((LOG10(_xlfn.XLOOKUP(B64,'Base stats'!B:B,'Base stats'!AU:AU))*(AO64^0.5)+(_xlfn.XLOOKUP(B64,'Base stats'!B:B,'Base stats'!AU:AU)/1000)^(2/3)+_xlfn.XLOOKUP(B64,'Base stats'!B:B,'Base stats'!AZ:AZ))+0.5+IF(_xlfn.XLOOKUP(_xlfn.XLOOKUP(B64,'Base stats'!B:B,'Base stats'!E:E),Groups!A:A,Groups!U:U)&lt;&gt;3,_xlfn.XLOOKUP(B64,'Base stats'!B:B,'Base stats'!BA:BA),0),0.5))</f>
        <v>No</v>
      </c>
      <c r="Y64" s="7" t="str">
        <f>IF(X64="No","No",MAX(_xlfn.XLOOKUP(_xlfn.XLOOKUP(B64,'Base stats'!B:B,'Base stats'!E:E),Groups!A:A,Groups!V:V),MROUND(_xlfn.XLOOKUP(_xlfn.XLOOKUP(B64,'Base stats'!B:B,'Base stats'!E:E),Groups!A:A,Groups!V:V)*_xlfn.XLOOKUP(B64,'Base stats'!B:B,'Base stats'!C:C)^0.165,0.05)))</f>
        <v>No</v>
      </c>
      <c r="Z64" s="7" t="str">
        <f>IF(X64="No","No",_xlfn.XLOOKUP(_xlfn.XLOOKUP(B64,'Base stats'!B:B,'Base stats'!E:E),Groups!A:A,Groups!W:W))</f>
        <v>No</v>
      </c>
      <c r="AA64" s="7" t="str">
        <f>IF(X64="No","No",_xlfn.XLOOKUP(_xlfn.XLOOKUP(B64,'Base stats'!B:B,'Base stats'!E:E),Groups!A:A,Groups!X:X))</f>
        <v>No</v>
      </c>
      <c r="AB64" s="7" t="str">
        <f>IF(X64="No","No",_xlfn.XLOOKUP(_xlfn.XLOOKUP(B64,'Base stats'!B:B,'Base stats'!E:E),Groups!A:A,Groups!Y:Y))</f>
        <v>No</v>
      </c>
      <c r="AC64" s="7" t="str">
        <f>_xlfn.XLOOKUP(Animals!B64,'Base stats'!B:B,'Base stats'!X:X)</f>
        <v>False</v>
      </c>
      <c r="AD64" s="13">
        <f>IF(_xlfn.XLOOKUP(B64,'Base stats'!B:B,'Base stats'!AT:AT)="No","No",MROUND((LOG10(_xlfn.XLOOKUP(B64,'Base stats'!B:B,'Base stats'!AT:AT))*(AO64^0.75)+(_xlfn.XLOOKUP(B64,'Base stats'!B:B,'Base stats'!AT:AT)/1000)^(2/3)+_xlfn.XLOOKUP(B64,'Base stats'!B:B,'Base stats'!AX:AX)+_xlfn.XLOOKUP(B64,'Base stats'!B:B,'Base stats'!BA:BA))+0.5,0.5))</f>
        <v>1</v>
      </c>
      <c r="AE64" s="7">
        <f>IF(AD64="No","No",MAX(_xlfn.XLOOKUP(_xlfn.XLOOKUP(B64,'Base stats'!B:B,'Base stats'!E:E),Groups!A:A,Groups!Z:Z),MROUND(_xlfn.XLOOKUP(_xlfn.XLOOKUP(B64,'Base stats'!B:B,'Base stats'!E:E),Groups!A:A,Groups!Z:Z)*_xlfn.XLOOKUP(B64,'Base stats'!B:B,'Base stats'!C:C)^0.165,0.05)))</f>
        <v>0.8</v>
      </c>
      <c r="AF64" s="7" t="str">
        <f>IF(AD64="No","No",_xlfn.XLOOKUP(_xlfn.XLOOKUP(B64,'Base stats'!B:B,'Base stats'!E:E),Groups!A:A,Groups!AA:AA))</f>
        <v>Beak</v>
      </c>
      <c r="AG64" s="7" t="str">
        <f>IF(AD64="No","No",_xlfn.XLOOKUP(_xlfn.XLOOKUP(B64,'Base stats'!B:B,'Base stats'!E:E),Groups!A:A,Groups!AB:AB))</f>
        <v>beak</v>
      </c>
      <c r="AH64" s="7" t="str">
        <f>IF(AD64="No","No",_xlfn.XLOOKUP(_xlfn.XLOOKUP(B64,'Base stats'!B:B,'Base stats'!E:E),Groups!A:A,Groups!AC:AC))</f>
        <v>Blunt</v>
      </c>
      <c r="AI64" s="13" t="str">
        <f>IF(_xlfn.XLOOKUP(_xlfn.XLOOKUP(B64,'Base stats'!B:B,'Base stats'!E:E),Groups!A:A,Groups!AD:AD)=0,"No",MROUND((LOG10(_xlfn.XLOOKUP(B64,'Base stats'!B:B,'Base stats'!AS:AS))*(AO64^0.75)+(_xlfn.XLOOKUP(B64,'Base stats'!B:B,'Base stats'!AS:AS)/1000)^(2/3)+_xlfn.XLOOKUP(B64,'Base stats'!B:B,'Base stats'!AY:AY)+_xlfn.XLOOKUP(B64,'Base stats'!B:B,'Base stats'!BA:BA))+0.5,0.5))</f>
        <v>No</v>
      </c>
      <c r="AJ64" s="7" t="str">
        <f>IF(AI64="No","No",MAX(_xlfn.XLOOKUP(_xlfn.XLOOKUP(B64,'Base stats'!B:B,'Base stats'!E:E),Groups!A:A,Groups!AE:AE),MROUND(_xlfn.XLOOKUP(_xlfn.XLOOKUP(B64,'Base stats'!B:B,'Base stats'!E:E),Groups!A:A,Groups!AE:AE)*IF(_xlfn.XLOOKUP(_xlfn.XLOOKUP(B64,'Base stats'!B:B,'Base stats'!E:E),Groups!A:A,Groups!AJ:AJ)="Photonozoa",0.6,1)*_xlfn.XLOOKUP(B64,'Base stats'!B:B,'Base stats'!C:C)^0.165,0.05)))</f>
        <v>No</v>
      </c>
      <c r="AK64" s="7" t="str">
        <f>IF(AI64="No","No",_xlfn.XLOOKUP(_xlfn.XLOOKUP(B64,'Base stats'!B:B,'Base stats'!E:E),Groups!A:A,Groups!AF:AF))</f>
        <v>No</v>
      </c>
      <c r="AL64" s="7" t="str">
        <f>IF(AI64="No","No",_xlfn.XLOOKUP(_xlfn.XLOOKUP(B64,'Base stats'!B:B,'Base stats'!E:E),Groups!A:A,Groups!AG:AG))</f>
        <v>No</v>
      </c>
      <c r="AM64" s="7" t="str">
        <f>IF(AI64="No","No",_xlfn.XLOOKUP(_xlfn.XLOOKUP(B64,'Base stats'!B:B,'Base stats'!E:E),Groups!A:A,Groups!AH:AH))</f>
        <v>No</v>
      </c>
      <c r="AN64" s="2" t="str">
        <f t="shared" si="0"/>
        <v>No</v>
      </c>
      <c r="AO64" s="2">
        <f>MROUND(IF(AND(_xlfn.XLOOKUP(B64,'Base stats'!B:B,'Base stats'!C:C)&gt;=0.5,_xlfn.XLOOKUP(B64,'Base stats'!B:B,'Base stats'!C:C)&lt;=0.8),
IF(_xlfn.XLOOKUP(B64,'Base stats'!B:B,'Base stats'!C:C)&lt;0.1,0.05,IF(_xlfn.XLOOKUP(B64,'Base stats'!B:B,'Base stats'!C:C)&lt;=70,(_xlfn.XLOOKUP(B64,'Base stats'!B:B,'Base stats'!C:C)/70)^0.426489913056526,IF(_xlfn.XLOOKUP(B64,'Base stats'!B:B,'Base stats'!C:C)&lt;=400,(_xlfn.XLOOKUP(B64,'Base stats'!B:B,'Base stats'!C:C)/70)^0.572811455315093,IF(_xlfn.XLOOKUP(B64,'Base stats'!B:B,'Base stats'!C:C)&lt;=2000,2.71391647193063*(_xlfn.XLOOKUP(B64,'Base stats'!B:B,'Base stats'!C:C)/400)^0.252459582904293,3.74314280240376*(_xlfn.XLOOKUP(B64,'Base stats'!B:B,'Base stats'!C:C)/2000)^0.357012633876913)))),
IF(_xlfn.XLOOKUP(B64,'Base stats'!B:B,'Base stats'!C:C)&lt;0.1,0.05,IF(_xlfn.XLOOKUP(B64,'Base stats'!B:B,'Base stats'!C:C)&lt;0.4,0.1,IF(_xlfn.XLOOKUP(B64,'Base stats'!B:B,'Base stats'!C:C)&lt;=70,(_xlfn.XLOOKUP(B64,'Base stats'!B:B,'Base stats'!C:C)/70)^0.445823913056526,IF(_xlfn.XLOOKUP(B64,'Base stats'!B:B,'Base stats'!C:C)&lt;=400,(_xlfn.XLOOKUP(B64,'Base stats'!B:B,'Base stats'!C:C)/70)^0.572811455315093,IF(_xlfn.XLOOKUP(B64,'Base stats'!B:B,'Base stats'!C:C)&lt;=2000,2.71391647193063*(_xlfn.XLOOKUP(B64,'Base stats'!B:B,'Base stats'!C:C)/400)^0.252459582904293,3.74314280240376*(_xlfn.XLOOKUP(B64,'Base stats'!B:B,'Base stats'!C:C)/2000)^0.357012633876913)))))),
IF(_xlfn.XLOOKUP(B64,'Base stats'!B:B,'Base stats'!C:C)&lt;0.1,0.05,IF(_xlfn.XLOOKUP(B64,'Base stats'!B:B,'Base stats'!C:C)&lt;=100,0.05,IF(_xlfn.XLOOKUP(B64,'Base stats'!B:B,'Base stats'!C:C)&lt;=250,0.1,IF(_xlfn.XLOOKUP(B64,'Base stats'!B:B,'Base stats'!C:C)&lt;=4000,0.25,0.5)))))</f>
        <v>0.05</v>
      </c>
      <c r="AP64" s="8">
        <f>MROUND(AO64*_xlfn.XLOOKUP(_xlfn.XLOOKUP(B64,'Base stats'!B:B,'Base stats'!E:E),Groups!A:A,Groups!AI:AI)*_xlfn.XLOOKUP(B64,'Base stats'!B:B,'Base stats'!Z:Z),0.05)</f>
        <v>0.05</v>
      </c>
      <c r="AQ64" s="8">
        <f>MAX(0.01,MROUND(IF(CC64="True",0.196*(AO64*100*1000)^0.889,IF(_xlfn.XLOOKUP(_xlfn.XLOOKUP(B64,'Base stats'!B:B,'Base stats'!E:E),Groups!A:A,Groups!AJ:AJ)="Bird",10.5*(AO64*100*1000)^0.681,4.82*(AO64*100*1000)^0.734))/(4.82*(1*100*1000)^0.734)/IF(AO64&lt;3.5,2,IF(AO64=3.5,1.5,1.25))*(1+0.132282374779864/(AO64^0.994035016789033+0.00905238001496948)),0.05))</f>
        <v>0.25</v>
      </c>
      <c r="AR64" s="9">
        <f>IFERROR(MROUND(_xlfn.XLOOKUP(B64,'Base stats'!B:B,'Base stats'!H:H)/IF(_xlfn.XLOOKUP(B64,'Base stats'!B:B,'Base stats'!I:I)&lt;&gt;1,(122.5/70),1.2),IF(_xlfn.XLOOKUP(B64,'Base stats'!B:B,'Base stats'!H:H)&gt;=30,5,IF(_xlfn.XLOOKUP(B64,'Base stats'!B:B,'Base stats'!H:H)&gt;=15,3,IF(_xlfn.XLOOKUP(B64,'Base stats'!B:B,'Base stats'!H:H)&gt;=10,2,1)))),"Immortal")</f>
        <v>6</v>
      </c>
      <c r="AS64" s="35" t="str">
        <f>IFERROR(IF(OR(_xlfn.XLOOKUP(B64,'Base stats'!B:B,'Base stats'!F:F)="Atypical reproduction",_xlfn.XLOOKUP(B64,'Base stats'!B:B,'Base stats'!F:F)="Lay eggs"),"Lay eggs",MIN(20,MAX(5.5,ROUND(((_xlfn.XLOOKUP(B64,'Base stats'!B:B,'Base stats'!F:F)-25)*(14.5/615) + 5.5)*2,0)/2))),"Unknown")</f>
        <v>Lay eggs</v>
      </c>
      <c r="AT64" s="8">
        <f>IF(_xlfn.XLOOKUP(B64,'Base stats'!B:B,'Base stats'!G:G)="Atypical reproduction","No",IFERROR(MAX(IF(_xlfn.XLOOKUP(B64,'Base stats'!B:B,'Base stats'!G:G)&lt;0.5,0.2,0.3),MROUND(_xlfn.XLOOKUP(B64,'Base stats'!B:B,'Base stats'!G:G)/(365/60),0.2)),"Unknown"))</f>
        <v>0.3</v>
      </c>
      <c r="AU64" s="8">
        <f t="shared" si="1"/>
        <v>0.15000000000000002</v>
      </c>
      <c r="AV64" s="8" t="str">
        <f>IFERROR(IFERROR(MROUND(_xlfn.XLOOKUP(B64,'Base stats'!B:B,'Base stats'!J:J),0.1),"Lay eggs"),"Cannot breed")</f>
        <v>Lay eggs</v>
      </c>
      <c r="AW64" s="2" t="str">
        <f t="shared" si="2"/>
        <v>false</v>
      </c>
      <c r="AX64" s="2" t="str">
        <f>IF(_xlfn.XLOOKUP(_xlfn.XLOOKUP(Animals!B64,'Base stats'!B:B,'Base stats'!E:E),Groups!A:A,Groups!AK:AK)=1,"true","false")</f>
        <v>false</v>
      </c>
      <c r="AY64" s="25" t="str">
        <f>IF(_xlfn.XLOOKUP(B64,'Base stats'!B:B,'Base stats'!Y:Y)="Liquor","Liquor, CarnivoreAnimalStrict",IF(AND(_xlfn.XLOOKUP(B64,'Base stats'!B:B,'Base stats'!Y:Y)="Carnivore",_xlfn.XLOOKUP(_xlfn.XLOOKUP(B64,'Base stats'!B:B,'Base stats'!E:E),Groups!A:A,Groups!AJ:AJ)="Photonozoa"),"CarnivoreAnimalStrict, OvivoreAnimal",IF(_xlfn.XLOOKUP(B64,'Base stats'!B:B,'Base stats'!Y:Y)="Carnivore","CarnivoreAnimal, OvivoreAnimal",IF(_xlfn.XLOOKUP(B64,'Base stats'!B:B,'Base stats'!Y:Y)="Dendrovore","VegetarianRoughAnimal, DendrovoreAnimal",IF(_xlfn.XLOOKUP(B64,'Base stats'!B:B,'Base stats'!Y:Y)="Herbivore","VegetarianRoughAnimal",IF(_xlfn.XLOOKUP(B64,'Base stats'!B:B,'Base stats'!Y:Y)="OmnivoreRough","OmnivoreRoughAnimal, OvivoreAnimal","OmnivoreAnimal, OvivoreAnimal"))))))</f>
        <v>VegetarianRoughAnimal</v>
      </c>
      <c r="AZ64" s="2" t="str">
        <f>IF(_xlfn.XLOOKUP(_xlfn.XLOOKUP(B64,'Base stats'!B:B,'Base stats'!E:E),Groups!A:A,Groups!D:D)=1,MROUND((1-J64)*5+1,2)*IF(J64&lt;=0.4,2,1),"No")</f>
        <v>No</v>
      </c>
      <c r="BA64" s="2" t="str">
        <f>IF(AND(_xlfn.XLOOKUP(B64,'Base stats'!B:B,'Base stats'!AH:AH)="&lt;li&gt;Seal&lt;/li&gt;",G64="Odyssey"),"&lt;li&gt;AEXP_Seal&lt;/li&gt;",_xlfn.XLOOKUP(B64,'Base stats'!B:B,'Base stats'!AH:AH))</f>
        <v>&lt;li&gt;Cassowary&lt;/li&gt;</v>
      </c>
      <c r="BB64" s="2" t="str">
        <f>_xlfn.XLOOKUP(B64,'Base stats'!B:B,'Base stats'!AG:AG)</f>
        <v>No</v>
      </c>
      <c r="BC64" s="23" t="str">
        <f>_xlfn.XLOOKUP(_xlfn.XLOOKUP(B64,'Base stats'!B:B,'Base stats'!E:E),Groups!A:A,Groups!AL:AL)</f>
        <v>Bird</v>
      </c>
      <c r="BD64" s="23">
        <f>MIN(1,MROUND(IF(AND(AO64&lt;0.5,_xlfn.XLOOKUP(B64,'Base stats'!B:B,'Base stats'!AA:AA)=0),0,IF(OR(_xlfn.XLOOKUP(Animals!B64,'Base stats'!B:B,'Base stats'!O:O)=2,_xlfn.XLOOKUP(_xlfn.XLOOKUP(B64,'Base stats'!B:B,'Base stats'!E:E),Groups!A:A,Groups!AN:AN)=0),0,_xlfn.XLOOKUP(_xlfn.XLOOKUP(B64,'Base stats'!B:B,'Base stats'!E:E),Groups!A:A,Groups!AN:AN)/IF(_xlfn.XLOOKUP(Animals!B64,'Base stats'!B:B,'Base stats'!O:O)=1,2,1)))+_xlfn.XLOOKUP(B64,'Base stats'!B:B,'Base stats'!AC:AC),0.005))</f>
        <v>0</v>
      </c>
      <c r="BE64" s="23">
        <f>MIN(1,MROUND(IF(AND(AO64&lt;0.5,_xlfn.XLOOKUP(B64,'Base stats'!B:B,'Base stats'!AA:AA)=0),0,IF(_xlfn.XLOOKUP(_xlfn.XLOOKUP(B64,'Base stats'!B:B,'Base stats'!E:E),Groups!A:A,Groups!AO:AO)=0,0,_xlfn.XLOOKUP(_xlfn.XLOOKUP(B64,'Base stats'!B:B,'Base stats'!E:E),Groups!A:A,Groups!AO:AO)/IF(_xlfn.XLOOKUP(Animals!B64,'Base stats'!B:B,'Base stats'!O:O)=2,3,1)))+_xlfn.XLOOKUP(B64,'Base stats'!B:B,'Base stats'!AD:AD),0.005))</f>
        <v>0</v>
      </c>
      <c r="BF64" s="2" t="str">
        <f>IF(J64&gt;0.3,"No",_xlfn.XLOOKUP(_xlfn.XLOOKUP(Animals!B64,'Base stats'!B:B,'Base stats'!E:E),Groups!A:A,Groups!AP:AP))</f>
        <v>No</v>
      </c>
      <c r="BG64" s="2" t="str">
        <f>IF(AND(J64&lt;=0.65,_xlfn.XLOOKUP(_xlfn.XLOOKUP(Animals!B64,'Base stats'!B:B,'Base stats'!E:E),Groups!A:A,Groups!AP:AP)&lt;&gt;"No",_xlfn.XLOOKUP(_xlfn.XLOOKUP(B64,'Base stats'!B:B,'Base stats'!E:E),Groups!A:A,Groups!D:D)=0),MROUND((80/3)*IF(_xlfn.XLOOKUP(B64,'Base stats'!B:B,'Base stats'!O:O)=2,0.2,AO64) + 24*(1-IF(BF64="No",0,BF64)) + 16/3, 12),"No")</f>
        <v>No</v>
      </c>
      <c r="BH64" s="2">
        <f>IF(AND(_xlfn.XLOOKUP(_xlfn.XLOOKUP(B64,'Base stats'!B:B,'Base stats'!E:E),Groups!A:A,Groups!AQ:AQ)=1,AO64&lt;=0.35),8,12)</f>
        <v>12</v>
      </c>
      <c r="BI64" s="2" t="str">
        <f>IF(_xlfn.XLOOKUP(_xlfn.XLOOKUP(B64,'Base stats'!B:B,'Base stats'!E:E),Groups!A:A,Groups!D:D)=0,_xlfn.XLOOKUP(_xlfn.XLOOKUP(B64,'Base stats'!B:B,'Base stats'!E:E),Groups!A:A,Groups!AR:AR),"None")</f>
        <v>Intermediate</v>
      </c>
      <c r="BJ64" s="2" t="str">
        <f>IF(AND(_xlfn.XLOOKUP(_xlfn.XLOOKUP(B64,'Base stats'!B:B,'Base stats'!E:E),Groups!A:A,Groups!AS:AS)=1,OR(_xlfn.XLOOKUP(B64,'Base stats'!B:B,'Base stats'!Y:Y)="Carnivore",_xlfn.XLOOKUP(B64,'Base stats'!B:B,'Base stats'!Y:Y)="Omnivore")),"true","false")</f>
        <v>false</v>
      </c>
      <c r="BK64" s="2" t="str">
        <f>IF(BJ64="true",MROUND(IF(AND(AO64&gt;0.5,OR(_xlfn.XLOOKUP(_xlfn.XLOOKUP(B64,'Base stats'!B:B,'Base stats'!E:E),Groups!A:A,Groups!AJ:AJ)="Photonozoa",_xlfn.XLOOKUP(_xlfn.XLOOKUP(B64,'Base stats'!B:B,'Base stats'!E:E),Groups!A:A,Groups!AJ:AJ)="Mammal")),Animals!AO64*1.75*IF(AW64="true",1.5,1),IF(AO64&lt;0.5,Animals!AO64*0.5,Animals!AO64)),IF(AO64&gt;2,0.5,IF(AO64&gt;0.5,0.25,0.1))),"No")</f>
        <v>No</v>
      </c>
      <c r="BL64" s="2">
        <f t="shared" si="3"/>
        <v>1</v>
      </c>
      <c r="BM64" s="25" t="str">
        <f>IF(_xlfn.XLOOKUP(B64,'Base stats'!B:B,'Base stats'!AN:AN)="Standard","No",MROUND((_xlfn.XLOOKUP(B64,'Base stats'!B:B,'Base stats'!AN:AN)/3.6)/I64,0.1))</f>
        <v>No</v>
      </c>
      <c r="BN64" s="25" t="str">
        <f t="shared" si="4"/>
        <v>false</v>
      </c>
      <c r="BO64" s="25" t="str">
        <f>IF(AND(OR(_xlfn.XLOOKUP(B64,'Base stats'!B:B,'Base stats'!Y:Y)="Carnivore",_xlfn.XLOOKUP(B64,'Base stats'!B:B,'Base stats'!Y:Y)="Omnivore",_xlfn.XLOOKUP(B64,'Base stats'!B:B,'Base stats'!Y:Y)="OmnivoreRough"),_xlfn.XLOOKUP(_xlfn.XLOOKUP(B64,'Base stats'!B:B,'Base stats'!E:E),Groups!A:A,Groups!AT:AT)=1),"true","false")</f>
        <v>false</v>
      </c>
      <c r="BP64" s="25" t="str" cm="1">
        <f t="array" ref="BP64">IF(
  _xlfn.TEXTJOIN(", ",TRUE,
    IF(AND(BJ64="true",AO64&gt;0.5,BI64&lt;&gt;"None"),"AttackTarget",""),
    IF(AND(_xlfn.XLOOKUP(_xlfn.XLOOKUP(B64,'Base stats'!B:B,'Base stats'!E:E),Groups!A:A,Groups!AJ:AJ="Mammal"),OR(_xlfn.XLOOKUP(B64,'Base stats'!B:B,'Base stats'!Y:Y)="Omnivore",_xlfn.XLOOKUP(B64,'Base stats'!B:B,'Base stats'!Y:Y)="OmnivoreRough")),"Forage",""),
    IF(BG64&lt;=36,"Comfort",""),
    IF(_xlfn.XLOOKUP(B64,'Base stats'!B:B,'Base stats'!AE:AE)&lt;&gt;"No",_xlfn.XLOOKUP(B64,'Base stats'!B:B,'Base stats'!AE:AE),"")
  ) = "",
  "No",
  _xlfn.TEXTJOIN(", ",TRUE,
    IF(AND(BJ64="true",AO64&gt;0.5,BI64&lt;&gt;"None"),"AttackTarget",""),
    IF(AND(_xlfn.XLOOKUP(_xlfn.XLOOKUP(B64,'Base stats'!B:B,'Base stats'!E:E),Groups!A:A,Groups!AJ:AJ="Mammal"),OR(_xlfn.XLOOKUP(B64,'Base stats'!B:B,'Base stats'!Y:Y)="Omnivore",_xlfn.XLOOKUP(B64,'Base stats'!B:B,'Base stats'!Y:Y)="OmnivoreRough")),"Forage",""),
    IF(BG64&lt;=36,"Comfort",""),
    IF(_xlfn.XLOOKUP(B64,'Base stats'!B:B,'Base stats'!AE:AE)&lt;&gt;"No",_xlfn.XLOOKUP(B64,'Base stats'!B:B,'Base stats'!AE:AE),"")
  )
)</f>
        <v>No</v>
      </c>
      <c r="BQ64" s="25" t="str">
        <f>IF(
   AND(
      'Base stats'!AN64="Standard",_xlfn.XLOOKUP(_xlfn.XLOOKUP(B64,'Base stats'!B:B,'Base stats'!E:E),Groups!A:A,Groups!AU:AU)=0,
      OR(
      BO64="True"
      )
   ),
   10,
   IF(
       OR(BM64&lt;&gt;"No",_xlfn.XLOOKUP(_xlfn.XLOOKUP(B64,'Base stats'!B:B,'Base stats'!E:E),Groups!A:A,Groups!AU:AU)=1),
      1,
      "No"
   )
)</f>
        <v>No</v>
      </c>
      <c r="BR64" s="9">
        <f>MROUND((1 + ((0.2*IF(OR(Q64="No",R64="No",R64=0),0,Q64/R64)
+IF(OR(V64="No",S64="No",T64="No"),0,S64/T64*(LEN(V64)-LEN(SUBSTITUTE(V64,",",""))+1))
+IF(OR(X64="No",Y64="No"),0,X64/Y64)
+IF(OR(AD64="No",AE64="No"),0,AD64/AE64)
+IF(OR(AL64="No",AI64="No",AJ64="No"),0,AI64/AJ64*(LEN(AL64)-LEN(SUBSTITUTE(AL64,",",""))+1))
)/(0.2*IF(OR(Q64="No",R64="No",R64=0),0,1)
+IF(OR(V64="No",S64="No",T64="No"),0,LEN(V64)-LEN(SUBSTITUTE(V64,",",""))+1)
+IF(OR(X64="No",Y64="No"),0,1)
+IF(OR(AD64="No",AE64="No"),0,1)
+IF(OR(AL64="No",AI64="No",AJ64="No"),0,LEN(AL64)-LEN(SUBSTITUTE(AL64,",",""))+1))*62%)* 2)*(1 + (AP64 / (IF(_xlfn.XLOOKUP(_xlfn.XLOOKUP(B64,'Base stats'!B:B,'Base stats'!E:E),Groups!A:A,Groups!AJ:AJ)="Photonozoa",0.3,1)) + _xlfn.XLOOKUP(B64,'Base stats'!B:B,'Base stats'!AV:AV) * 1.8) * 2) * 2.5 + 10 + I64 * 2,5)+IF(_xlfn.XLOOKUP(B64,'Base stats'!B:B,'Base stats'!AK:AK)=1,50,0)</f>
        <v>20</v>
      </c>
      <c r="BS64" s="8">
        <f t="shared" si="5"/>
        <v>0.2</v>
      </c>
      <c r="BT64" s="8" t="str">
        <f>_xlfn.XLOOKUP(B64,'Base stats'!B:B,'Base stats'!AF:AF)</f>
        <v>No</v>
      </c>
      <c r="BU64" s="2" t="str">
        <f>IF(AND(J64&lt;=0.95,OR(_xlfn.XLOOKUP(B64,'Base stats'!B:B,'Base stats'!AK:AK)=1,_xlfn.XLOOKUP(B64,'Base stats'!B:B,'Base stats'!Y:Y)="Carnivore",_xlfn.XLOOKUP(B64,'Base stats'!B:B,'Base stats'!Y:Y)="Omnivore",BE64&gt;0.1)),"true","false")</f>
        <v>false</v>
      </c>
      <c r="BV64" s="2" t="str">
        <f>IF(_xlfn.XLOOKUP(B64,'Base stats'!B:B,'Base stats'!AI:AI)=1,"true","false")</f>
        <v>false</v>
      </c>
      <c r="BW64" s="25" t="str">
        <f>IF(E64="BaseInsect","AnimalInsect",
IF(J64&gt;0.95,"AnimalExotic",
_xlfn.TEXTJOIN(", ",TRUE,
IF(OR(_xlfn.XLOOKUP(B64,'Base stats'!B:B,'Base stats'!AM:AM)=1,AND(_xlfn.XLOOKUP(B64,'Base stats'!B:B,'Base stats'!O:O)=0,_xlfn.XLOOKUP(_xlfn.XLOOKUP(B64,'Base stats'!B:B,'Base stats'!E:E),Groups!A:A,Groups!B:B)&gt;0)),"AnimalUncommon","AnimalCommon"),
IF(AND(_xlfn.XLOOKUP(B64,'Base stats'!B:B,'Base stats'!O:O)=2,_xlfn.XLOOKUP(_xlfn.XLOOKUP(B64,'Base stats'!B:B,'Base stats'!E:E),Groups!A:A,Groups!D:D)=0),"AnimalPet",IF(AND(_xlfn.XLOOKUP(B64,'Base stats'!B:B,'Base stats'!O:O)&lt;&gt;0,_xlfn.XLOOKUP(_xlfn.XLOOKUP(B64,'Base stats'!B:B,'Base stats'!E:E),Groups!A:A,Groups!D:D)&lt;&gt;0),"AnimalFarm","")),
IF(OR(_xlfn.XLOOKUP(B64,'Base stats'!B:B,'Base stats'!AK:AK)=1,AND(BI64&lt;&gt;"None",BR64&gt;=60),ISNUMBER(SEARCH("Attack target",BP64))),"AnimalFighter","")
)))</f>
        <v>AnimalCommon</v>
      </c>
      <c r="BX64" s="25" t="str">
        <f>IF(G64="None",TRIM(
SUBSTITUTE(
IF(COUNTIF(Biomes!B$2:B$259,"="&amp;$C64)&gt;0,Biomes!B$1&amp;", ","")&amp;
IF(COUNTIF(Biomes!C$2:C$259,"="&amp;$C64)&gt;0,Biomes!C$1&amp;", ","")&amp;
IF(COUNTIF(Biomes!D$2:D$259,"="&amp;$C64)&gt;0,Biomes!D$1&amp;", ","")&amp;
IF(COUNTIF(Biomes!F$2:F$259,"="&amp;$C64)&gt;0,Biomes!F$1&amp;", ","")&amp;
IF(COUNTIF(Biomes!G$2:G$259,"="&amp;$C64)&gt;0,Biomes!G$1&amp;", ","")&amp;
IF(COUNTIF(Biomes!H$2:H$259,"="&amp;$C64)&gt;0,Biomes!H$1&amp;", ","")&amp;
IF(COUNTIF(Biomes!I$2:I$259,"="&amp;$C64)&gt;0,Biomes!I$1&amp;", ","")&amp;
IF(COUNTIF(Biomes!J$2:J$259,"="&amp;$C64)&gt;0,Biomes!J$1&amp;", ","")&amp;
IF(COUNTIF(Biomes!M$2:M$259,"="&amp;$C64)&gt;0,Biomes!M$1&amp;", ","")&amp;
IF(COUNTIF(Biomes!N$2:N$259,"="&amp;$C64)&gt;0,Biomes!N$1&amp;", ","")&amp;
IF(COUNTIF(Biomes!O$2:O$259,"="&amp;$C64)&gt;0,Biomes!O$1&amp;", ","")&amp;
IF(COUNTIF(Biomes!P$2:P$259,"="&amp;$C64)&gt;0,Biomes!P$1&amp;", ","")&amp;
IF(COUNTIF(Biomes!K$2:K$259,"="&amp;$C64)&gt;0,Biomes!K$1&amp;", ","")&amp;
IF(COUNTIF(Biomes!Q$3:Q$259,"="&amp;$C64)&gt;0,Biomes!Q$1&amp;", ","")&amp;
IF(COUNTIF(Biomes!L$2:L$259,"="&amp;$C64)&gt;0,Biomes!L$1&amp;", ","")&amp;
IF(COUNTIF(Biomes!E$2:E$259,"="&amp;$C64)&gt;0,Biomes!E$1&amp;", ","")&amp;IF(COUNTIF(Biomes!S$2:S$259,"="&amp;$C64)&gt;0,Biomes!S$1&amp;", ","")&amp;
IF(COUNTIF(Biomes!R$2:R$259,"="&amp;$C64)&gt;0,Biomes!R$1&amp;", ",""),", ","")
),_xlfn.XLOOKUP(B64,B:B,BX:BX))</f>
        <v>BorealForest ColdBog TemperateForest TemperateSwamp GlacialPlain</v>
      </c>
      <c r="BY64" s="25" t="str">
        <f>IF(_xlfn.XLOOKUP(B64,'Base stats'!B:B,'Base stats'!AJ:AJ)=1,"true","false")</f>
        <v>false</v>
      </c>
      <c r="BZ64" s="25">
        <f>IF(_xlfn.XLOOKUP(B64,'Base stats'!B:B,'Base stats'!N:N)=1,"No",MAX(0.001,MIN(MROUND(IF(AND(BJ64="True",CC64="False"),POWER(10,3.47*LOG10(_xlfn.XLOOKUP(B64,'Base stats'!B:B,'Base stats'!C:C)*1000)^-0.96),POWER(10,4.15*LOG10(_xlfn.XLOOKUP(B64,'Base stats'!B:B,'Base stats'!C:C)*1000)^-0.73))*IF(_xlfn.XLOOKUP(B64,'Base stats'!B:B,'Base stats'!AK:AK)=1,0.5,1)*IF(_xlfn.XLOOKUP(B64,'Base stats'!B:B,'Base stats'!AM:AM)=1,0.1,1)/100,IF(_xlfn.XLOOKUP(B64,'Base stats'!B:B,'Base stats'!AM:AM)=1,0.001,0.025)),0.5)))</f>
        <v>0.5</v>
      </c>
      <c r="CA64" s="25" t="str">
        <f>IF(P64="Standard","No",MAX(0.001,MIN(MROUND(IF(AND(BJ64="True",CC64="False"),POWER(10,3.47*LOG10(_xlfn.XLOOKUP(B64,'Base stats'!B:B,'Base stats'!C:C)*1000)^-0.96),POWER(10,4.15*LOG10(_xlfn.XLOOKUP(B64,'Base stats'!B:B,'Base stats'!C:C)*1000)^-0.73))*IF(_xlfn.XLOOKUP(B64,'Base stats'!B:B,'Base stats'!AM:AM)=1,0.1,1)*_xlfn.XLOOKUP(B64,'Base stats'!B:B,'Base stats'!R:R)/100,IF(_xlfn.XLOOKUP(B64,'Base stats'!B:B,'Base stats'!AM:AM)=1,0.001,0.025)),0.5)))</f>
        <v>No</v>
      </c>
      <c r="CB64" s="25" t="str">
        <f>IF(_xlfn.XLOOKUP(_xlfn.XLOOKUP(B64,'Base stats'!B:B,'Base stats'!E:E),Groups!A:A,Groups!AJ:AJ)="Mammal","True","False")</f>
        <v>False</v>
      </c>
      <c r="CC64" s="25" t="str">
        <f>IF(OR(_xlfn.XLOOKUP(_xlfn.XLOOKUP(B64,'Base stats'!B:B,'Base stats'!E:E),Groups!A:A,Groups!AJ:AJ)="Reptile",_xlfn.XLOOKUP(_xlfn.XLOOKUP(B64,'Base stats'!B:B,'Base stats'!E:E),Groups!A:A,Groups!AJ:AJ)="Amphibian",_xlfn.XLOOKUP(_xlfn.XLOOKUP(B64,'Base stats'!B:B,'Base stats'!E:E),Groups!A:A,Groups!AJ:AJ)="Invertebrate"),"True","False")</f>
        <v>False</v>
      </c>
      <c r="CD64" s="25" t="str">
        <f t="shared" si="6"/>
        <v>False</v>
      </c>
      <c r="CE64" s="25" t="str">
        <f>IF(_xlfn.XLOOKUP(_xlfn.XLOOKUP(B64,'Base stats'!B:B,'Base stats'!E:E),Groups!A:A,Groups!AX:AX),"True","False")</f>
        <v>False</v>
      </c>
      <c r="CF64" s="25" t="str">
        <f>IF(_xlfn.XLOOKUP(_xlfn.XLOOKUP(B64,'Base stats'!B:B,'Base stats'!E:E),Groups!A:A,Groups!AY:AY),"True","False")</f>
        <v>False</v>
      </c>
      <c r="CG64" s="25" t="str">
        <f>IF(_xlfn.XLOOKUP(_xlfn.XLOOKUP(B64,'Base stats'!B:B,'Base stats'!E:E),Groups!A:A,Groups!AW:AW),"True","False")</f>
        <v>False</v>
      </c>
      <c r="CH64" s="25" t="str">
        <f>IF(
OR(
_xlfn.XLOOKUP(_xlfn.XLOOKUP(B64,'Base stats'!B:B,'Base stats'!E:E),Groups!A:A,Groups!AZ:AZ)=0,
AND(
_xlfn.XLOOKUP(B64,'Base stats'!B:B,'Base stats'!Y:Y)&lt;&gt;"Carnivore",
_xlfn.XLOOKUP(B64,'Base stats'!B:B,'Base stats'!Y:Y)&lt;&gt;"Omnivore",
_xlfn.XLOOKUP(B64,'Base stats'!B:B,'Base stats'!Y:Y)&lt;&gt;"OmnivoreRough"
)
),
"No",
IF(
_xlfn.XLOOKUP(_xlfn.XLOOKUP(B64,'Base stats'!B:B,'Base stats'!E:E),Groups!A:A,Groups!AZ:AZ)=1,
"Flesh",
IF(
_xlfn.XLOOKUP(_xlfn.XLOOKUP(B64,'Base stats'!B:B,'Base stats'!E:E),Groups!A:A,Groups!AZ:AZ)=2,
"Bone",
""
)
)
)</f>
        <v>No</v>
      </c>
      <c r="CI64" s="25" t="str">
        <f>IF(_xlfn.XLOOKUP(_xlfn.XLOOKUP(B64,'Base stats'!B:B,'Base stats'!E:E),Groups!A:A,Groups!BB:BB),"True","False")</f>
        <v>True</v>
      </c>
      <c r="CJ64" s="25" t="str">
        <f>IF(_xlfn.XLOOKUP(_xlfn.XLOOKUP(B64,'Base stats'!B:B,'Base stats'!E:E),Groups!A:A,Groups!BA:BA),"True","False")</f>
        <v>False</v>
      </c>
    </row>
    <row r="65" spans="1:88" ht="16.5" thickTop="1" thickBot="1" x14ac:dyDescent="0.3">
      <c r="A65" s="26" t="str">
        <f>_xlfn.XLOOKUP(B65,'Base stats'!B:B,'Base stats'!A:A)</f>
        <v>Crow</v>
      </c>
      <c r="B65" s="6" t="s">
        <v>290</v>
      </c>
      <c r="C65" s="28" t="s">
        <v>745</v>
      </c>
      <c r="D65" s="28" t="s">
        <v>870</v>
      </c>
      <c r="E65" s="28" t="s">
        <v>743</v>
      </c>
      <c r="F65" s="28" t="s">
        <v>673</v>
      </c>
      <c r="G65" s="28" t="s">
        <v>673</v>
      </c>
      <c r="H65" s="2">
        <f>MROUND((
  (IF(AND(_xlfn.XLOOKUP(B65,'Base stats'!B:B,'Base stats'!AL:AL)=0,BI65="None",_xlfn.XLOOKUP(_xlfn.XLOOKUP(B65,'Base stats'!B:B,'Base stats'!E:E),Groups!A:A,Groups!B:B)=0), (18 + BR65 * 2.7) * 0.5,
    IF(AND(_xlfn.XLOOKUP(B65,'Base stats'!B:B,'Base stats'!AL:AL)=0,OR(AO65&lt;0.55,AND(BI65="Intermediate",_xlfn.XLOOKUP(_xlfn.XLOOKUP(B65,'Base stats'!B:B,'Base stats'!E:E),Groups!A:A,Groups!B:B)&lt;2))), (18 + BR65 * 2.7),
      IF(OR(BI65="Advanced",_xlfn.XLOOKUP(B65,'Base stats'!B:B,'Base stats'!AL:AL)=1,_xlfn.XLOOKUP(_xlfn.XLOOKUP(B65,'Base stats'!B:B,'Base stats'!E:E),Groups!A:A,Groups!B:B)=2), (18 + BR65 * 2.7) + 250, (18 + BR65 * 2.7))
    )
  ))
  + AO65 * 80
  + IF(COUNTIF(EggMilk!K$2:K$998, A65) &gt; 0, 125, 0)
  + IF(COUNTIF(EggMilk!P$2:P$998, A65) &gt; 0, 90, 0)
  + IF(COUNTIF(EggMilk!A$2:A$998, A65) &gt; 0, 90, 0)
)
* (0.8 + 0.4 * J65)
* 0.75,25)</f>
        <v>150</v>
      </c>
      <c r="I65" s="2">
        <f>MROUND(ROUNDDOWN(_xlfn.XLOOKUP(B65,'Base stats'!B:B,'Base stats'!L:L)/3.6/(23.3/11),1),0.5)</f>
        <v>2</v>
      </c>
      <c r="J65" s="2">
        <f>IF(OR(_xlfn.XLOOKUP(B65,'Base stats'!B:B,'Base stats'!AB:AB)=1,_xlfn.XLOOKUP(_xlfn.XLOOKUP(B65,'Base stats'!B:B,'Base stats'!E:E),Groups!A:A,Groups!C:C)="Untamable"),1,IF(_xlfn.XLOOKUP(B65,'Base stats'!B:B,'Base stats'!AL:AL)=1,0.99,MIN(MROUND((1-0.6282*EXP(-0.459*AO65))*_xlfn.XLOOKUP(_xlfn.XLOOKUP(B65,'Base stats'!B:B,'Base stats'!E:E),Groups!A:A,Groups!C:C)*IF(_xlfn.XLOOKUP(B65,'Base stats'!B:B,'Base stats'!O:O)=1,0.5,IF(_xlfn.XLOOKUP(B65,'Base stats'!B:B,'Base stats'!O:O)=2,0,1)),0.05),IF(AO65&gt;3.5,0.985,0.95))))</f>
        <v>0.5</v>
      </c>
      <c r="K65" s="2">
        <f>ROUNDUP(AO65*_xlfn.XLOOKUP(_xlfn.XLOOKUP(B65,'Base stats'!B:B,'Base stats'!E:E),Groups!A:A,Groups!E:E),0)</f>
        <v>2</v>
      </c>
      <c r="L65" s="2">
        <f>IF(OR(_xlfn.XLOOKUP(_xlfn.XLOOKUP(B65,'Base stats'!B:B,'Base stats'!E:E),Groups!A:A,Groups!F:F)=2,ISNUMBER(SEARCH("SeaIce",BX65)),ISNUMBER(SEARCH("IceSheet",BX65))),-50,IF(OR(ISNUMBER(SEARCH("GlacialPlain",BX65)),ISNUMBER(SEARCH("Tundra",BX65))),-40,IF(OR(ISNUMBER(SEARCH("Alpine",BX65)),ISNUMBER(SEARCH("BorealForest",BX65)),ISNUMBER(SEARCH("ColdBog",BX65))),-30,IF(OR(ISNUMBER(SEARCH("TemperateForest",BX65)),ISNUMBER(SEARCH("TemperateSwamp",BX65))),-20,IF(_xlfn.XLOOKUP(_xlfn.XLOOKUP(B65,'Base stats'!B:B,'Base stats'!E:E),Groups!A:A,Groups!F:F)=1,-15,IF(OR(ISNUMBER(SEARCH("Desert",BX65)),ISNUMBER(SEARCH("ExtremeDesert",BX65))),-10,IF(OR(ISNUMBER(SEARCH("Grasslands",BX65)),ISNUMBER(SEARCH("TropicalRainforest",BX65)),ISNUMBER(SEARCH("TropicalSwamp",BX65))),10,0)))))))-IF(CC65="False",MIN(IFERROR(MAX(MROUND(LOG10(_xlfn.XLOOKUP(B65,'Base stats'!B:B,'Base stats'!C:C)^(2/3))*10,5),5),5),30))-_xlfn.XLOOKUP(B65,'Base stats'!B:B,'Base stats'!P:P)+IF(CC65="True",5,0)</f>
        <v>-45</v>
      </c>
      <c r="M65" s="2">
        <f>IF(OR(_xlfn.XLOOKUP(_xlfn.XLOOKUP(B65,'Base stats'!B:B,'Base stats'!E:E),Groups!A:A,Groups!G:G)=2,ISNUMBER(SEARCH("Desert",BX65)),ISNUMBER(SEARCH("ExtremeDesert",BX65)),ISNUMBER(SEARCH("LavaField",BX65))),50,IF(ISNUMBER(SEARCH("Grasslands",BX65)),45,IF(OR(_xlfn.XLOOKUP(_xlfn.XLOOKUP(B65,'Base stats'!B:B,'Base stats'!E:E),Groups!A:A,Groups!G:G)=1,ISNUMBER(SEARCH("TropicalRainforest",BX65)),ISNUMBER(SEARCH("TropicalSwamp",BX65))),40,IF(OR(ISNUMBER(SEARCH("TemperateForest",BX65)),ISNUMBER(SEARCH("TemperateSwamp",BX65))),35,IF(OR(ISNUMBER(SEARCH("Alpine",BX65)),ISNUMBER(SEARCH("BorealForest",BX65)),ISNUMBER(SEARCH("ColdBog",BX65))),30,IF(ISNUMBER(OR(ISNUMBER(SEARCH("GlacialPlain",BX65)),SEARCH("Tundra",BX65))),25,IF(OR(ISNUMBER(SEARCH("SeaIce",BX65)),ISNUMBER(SEARCH("IceSheet",BX65)),ISNUMBER(SEARCH("TropicalSwamp",BX65))),10,35)))))))+_xlfn.XLOOKUP(B65,'Base stats'!B:B,'Base stats'!Q:Q)</f>
        <v>50</v>
      </c>
      <c r="N65" s="8" t="str">
        <f>IF(
_xlfn.XLOOKUP(
_xlfn.XLOOKUP(B65,'Base stats'!B:B,'Base stats'!E:E),
Groups!A:A,
Groups!L:L
)=1,
MIN(
MROUND(
IF(
_xlfn.XLOOKUP(B65,'Animals CE'!B:B,'Animals CE'!Z:Z)&lt;=1.5,
_xlfn.XLOOKUP(B65,'Animals CE'!B:B,'Animals CE'!Z:Z)/2+0.05,
0.8+
(_xlfn.XLOOKUP(B65,'Animals CE'!B:B,'Animals CE'!Z:Z)-1.5)
*0.02
),
0.05
),
200%
),
"No"
)</f>
        <v>No</v>
      </c>
      <c r="O65" s="8" t="str">
        <f>IF(
_xlfn.XLOOKUP(
_xlfn.XLOOKUP(B65,'Base stats'!B:B,'Base stats'!E:E),
Groups!A:A,
Groups!L:L
)=1,
MIN(
MROUND(
IF(
_xlfn.XLOOKUP(B65,'Animals CE'!B:B,'Animals CE'!AA:AA)&lt;=1.5,
_xlfn.XLOOKUP(B65,'Animals CE'!B:B,'Animals CE'!AA:AA)/2+0.05,
0.8+
(_xlfn.XLOOKUP(B65,'Animals CE'!B:B,'Animals CE'!AA:AA)-1.5)
*0.02
),
0.05
),
200%
),
"No"
)</f>
        <v>No</v>
      </c>
      <c r="P65" s="2">
        <f>_xlfn.XLOOKUP(B65,'Base stats'!B:B,'Base stats'!R:R)</f>
        <v>0.8</v>
      </c>
      <c r="Q65" s="13">
        <f>MROUND((LOG10(_xlfn.XLOOKUP(B65,'Base stats'!B:B,'Base stats'!AR:AR))*(AO65^0.5)+(_xlfn.XLOOKUP(B65,'Base stats'!B:B,'Base stats'!AR:AR)/1000)^(2/3)+_xlfn.XLOOKUP(B65,'Base stats'!B:B,'Base stats'!BA:BA)/2)+0.5,0.5)</f>
        <v>1.5</v>
      </c>
      <c r="R65" s="7">
        <f>IF(Q65="No","No",MAX(1,MROUND(_xlfn.XLOOKUP(B65,'Base stats'!B:B,'Base stats'!C:C)^0.165,0.05)))</f>
        <v>1</v>
      </c>
      <c r="S65" s="13">
        <f>IF(_xlfn.XLOOKUP(_xlfn.XLOOKUP(B65,'Base stats'!B:B,'Base stats'!E:E),Groups!A:A,Groups!P:P)=0,"No",MROUND((LOG10(_xlfn.XLOOKUP(B65,'Base stats'!B:B,'Base stats'!AS:AS))*(AO65^0.5)+(_xlfn.XLOOKUP(B65,'Base stats'!B:B,'Base stats'!AS:AS)/1000)^(2/3)+_xlfn.XLOOKUP(B65,'Base stats'!B:B,'Base stats'!BA:BA))+_xlfn.XLOOKUP(B65,'Base stats'!B:B,'Base stats'!AY:AY)+0.5,0.5))</f>
        <v>1.5</v>
      </c>
      <c r="T65" s="7">
        <f>IF(S65="No","No",MAX(_xlfn.XLOOKUP(_xlfn.XLOOKUP(B65,'Base stats'!B:B,'Base stats'!E:E),Groups!A:A,Groups!Q:Q),MROUND(_xlfn.XLOOKUP(_xlfn.XLOOKUP(B65,'Base stats'!B:B,'Base stats'!E:E),Groups!A:A,Groups!Q:Q)*_xlfn.XLOOKUP(B65,'Base stats'!B:B,'Base stats'!C:C)^0.165,0.05)))</f>
        <v>1</v>
      </c>
      <c r="U65" s="7" t="str">
        <f>IF(S65="No","No",_xlfn.XLOOKUP(_xlfn.XLOOKUP(B65,'Base stats'!B:B,'Base stats'!E:E),Groups!A:A,Groups!R:R))</f>
        <v>Feet</v>
      </c>
      <c r="V65" s="7" t="str">
        <f>IF(S65="No","No",_xlfn.XLOOKUP(_xlfn.XLOOKUP(B65,'Base stats'!B:B,'Base stats'!E:E),Groups!A:A,Groups!S:S))</f>
        <v>rear left claw, rear  right claw</v>
      </c>
      <c r="W65" s="7" t="str">
        <f>IF(S65="No","No",_xlfn.XLOOKUP(_xlfn.XLOOKUP(B65,'Base stats'!B:B,'Base stats'!E:E),Groups!A:A,Groups!T:T))</f>
        <v>Scratch</v>
      </c>
      <c r="X65" s="13" t="str">
        <f>IF(_xlfn.XLOOKUP(B65,'Base stats'!B:B,'Base stats'!W:W)="No","No",MROUND((LOG10(_xlfn.XLOOKUP(B65,'Base stats'!B:B,'Base stats'!AU:AU))*(AO65^0.5)+(_xlfn.XLOOKUP(B65,'Base stats'!B:B,'Base stats'!AU:AU)/1000)^(2/3)+_xlfn.XLOOKUP(B65,'Base stats'!B:B,'Base stats'!AZ:AZ))+0.5+IF(_xlfn.XLOOKUP(_xlfn.XLOOKUP(B65,'Base stats'!B:B,'Base stats'!E:E),Groups!A:A,Groups!U:U)&lt;&gt;3,_xlfn.XLOOKUP(B65,'Base stats'!B:B,'Base stats'!BA:BA),0),0.5))</f>
        <v>No</v>
      </c>
      <c r="Y65" s="7" t="str">
        <f>IF(X65="No","No",MAX(_xlfn.XLOOKUP(_xlfn.XLOOKUP(B65,'Base stats'!B:B,'Base stats'!E:E),Groups!A:A,Groups!V:V),MROUND(_xlfn.XLOOKUP(_xlfn.XLOOKUP(B65,'Base stats'!B:B,'Base stats'!E:E),Groups!A:A,Groups!V:V)*_xlfn.XLOOKUP(B65,'Base stats'!B:B,'Base stats'!C:C)^0.165,0.05)))</f>
        <v>No</v>
      </c>
      <c r="Z65" s="7" t="str">
        <f>IF(X65="No","No",_xlfn.XLOOKUP(_xlfn.XLOOKUP(B65,'Base stats'!B:B,'Base stats'!E:E),Groups!A:A,Groups!W:W))</f>
        <v>No</v>
      </c>
      <c r="AA65" s="7" t="str">
        <f>IF(X65="No","No",_xlfn.XLOOKUP(_xlfn.XLOOKUP(B65,'Base stats'!B:B,'Base stats'!E:E),Groups!A:A,Groups!X:X))</f>
        <v>No</v>
      </c>
      <c r="AB65" s="7" t="str">
        <f>IF(X65="No","No",_xlfn.XLOOKUP(_xlfn.XLOOKUP(B65,'Base stats'!B:B,'Base stats'!E:E),Groups!A:A,Groups!Y:Y))</f>
        <v>No</v>
      </c>
      <c r="AC65" s="7" t="str">
        <f>_xlfn.XLOOKUP(Animals!B65,'Base stats'!B:B,'Base stats'!X:X)</f>
        <v>False</v>
      </c>
      <c r="AD65" s="13">
        <f>IF(_xlfn.XLOOKUP(B65,'Base stats'!B:B,'Base stats'!AT:AT)="No","No",MROUND((LOG10(_xlfn.XLOOKUP(B65,'Base stats'!B:B,'Base stats'!AT:AT))*(AO65^0.75)+(_xlfn.XLOOKUP(B65,'Base stats'!B:B,'Base stats'!AT:AT)/1000)^(2/3)+_xlfn.XLOOKUP(B65,'Base stats'!B:B,'Base stats'!AX:AX)+_xlfn.XLOOKUP(B65,'Base stats'!B:B,'Base stats'!BA:BA))+0.5,0.5))</f>
        <v>2</v>
      </c>
      <c r="AE65" s="7">
        <f>IF(AD65="No","No",MAX(_xlfn.XLOOKUP(_xlfn.XLOOKUP(B65,'Base stats'!B:B,'Base stats'!E:E),Groups!A:A,Groups!Z:Z),MROUND(_xlfn.XLOOKUP(_xlfn.XLOOKUP(B65,'Base stats'!B:B,'Base stats'!E:E),Groups!A:A,Groups!Z:Z)*_xlfn.XLOOKUP(B65,'Base stats'!B:B,'Base stats'!C:C)^0.165,0.05)))</f>
        <v>0.8</v>
      </c>
      <c r="AF65" s="7" t="str">
        <f>IF(AD65="No","No",_xlfn.XLOOKUP(_xlfn.XLOOKUP(B65,'Base stats'!B:B,'Base stats'!E:E),Groups!A:A,Groups!AA:AA))</f>
        <v>Beak</v>
      </c>
      <c r="AG65" s="7" t="str">
        <f>IF(AD65="No","No",_xlfn.XLOOKUP(_xlfn.XLOOKUP(B65,'Base stats'!B:B,'Base stats'!E:E),Groups!A:A,Groups!AB:AB))</f>
        <v>beak</v>
      </c>
      <c r="AH65" s="7" t="str">
        <f>IF(AD65="No","No",_xlfn.XLOOKUP(_xlfn.XLOOKUP(B65,'Base stats'!B:B,'Base stats'!E:E),Groups!A:A,Groups!AC:AC))</f>
        <v>Blunt</v>
      </c>
      <c r="AI65" s="13" t="str">
        <f>IF(_xlfn.XLOOKUP(_xlfn.XLOOKUP(B65,'Base stats'!B:B,'Base stats'!E:E),Groups!A:A,Groups!AD:AD)=0,"No",MROUND((LOG10(_xlfn.XLOOKUP(B65,'Base stats'!B:B,'Base stats'!AS:AS))*(AO65^0.75)+(_xlfn.XLOOKUP(B65,'Base stats'!B:B,'Base stats'!AS:AS)/1000)^(2/3)+_xlfn.XLOOKUP(B65,'Base stats'!B:B,'Base stats'!AY:AY)+_xlfn.XLOOKUP(B65,'Base stats'!B:B,'Base stats'!BA:BA))+0.5,0.5))</f>
        <v>No</v>
      </c>
      <c r="AJ65" s="7" t="str">
        <f>IF(AI65="No","No",MAX(_xlfn.XLOOKUP(_xlfn.XLOOKUP(B65,'Base stats'!B:B,'Base stats'!E:E),Groups!A:A,Groups!AE:AE),MROUND(_xlfn.XLOOKUP(_xlfn.XLOOKUP(B65,'Base stats'!B:B,'Base stats'!E:E),Groups!A:A,Groups!AE:AE)*IF(_xlfn.XLOOKUP(_xlfn.XLOOKUP(B65,'Base stats'!B:B,'Base stats'!E:E),Groups!A:A,Groups!AJ:AJ)="Photonozoa",0.6,1)*_xlfn.XLOOKUP(B65,'Base stats'!B:B,'Base stats'!C:C)^0.165,0.05)))</f>
        <v>No</v>
      </c>
      <c r="AK65" s="7" t="str">
        <f>IF(AI65="No","No",_xlfn.XLOOKUP(_xlfn.XLOOKUP(B65,'Base stats'!B:B,'Base stats'!E:E),Groups!A:A,Groups!AF:AF))</f>
        <v>No</v>
      </c>
      <c r="AL65" s="7" t="str">
        <f>IF(AI65="No","No",_xlfn.XLOOKUP(_xlfn.XLOOKUP(B65,'Base stats'!B:B,'Base stats'!E:E),Groups!A:A,Groups!AG:AG))</f>
        <v>No</v>
      </c>
      <c r="AM65" s="7" t="str">
        <f>IF(AI65="No","No",_xlfn.XLOOKUP(_xlfn.XLOOKUP(B65,'Base stats'!B:B,'Base stats'!E:E),Groups!A:A,Groups!AH:AH))</f>
        <v>No</v>
      </c>
      <c r="AN65" s="2" t="str">
        <f t="shared" si="0"/>
        <v>No</v>
      </c>
      <c r="AO65" s="2">
        <f>MROUND(IF(AND(_xlfn.XLOOKUP(B65,'Base stats'!B:B,'Base stats'!C:C)&gt;=0.5,_xlfn.XLOOKUP(B65,'Base stats'!B:B,'Base stats'!C:C)&lt;=0.8),
IF(_xlfn.XLOOKUP(B65,'Base stats'!B:B,'Base stats'!C:C)&lt;0.1,0.05,IF(_xlfn.XLOOKUP(B65,'Base stats'!B:B,'Base stats'!C:C)&lt;=70,(_xlfn.XLOOKUP(B65,'Base stats'!B:B,'Base stats'!C:C)/70)^0.426489913056526,IF(_xlfn.XLOOKUP(B65,'Base stats'!B:B,'Base stats'!C:C)&lt;=400,(_xlfn.XLOOKUP(B65,'Base stats'!B:B,'Base stats'!C:C)/70)^0.572811455315093,IF(_xlfn.XLOOKUP(B65,'Base stats'!B:B,'Base stats'!C:C)&lt;=2000,2.71391647193063*(_xlfn.XLOOKUP(B65,'Base stats'!B:B,'Base stats'!C:C)/400)^0.252459582904293,3.74314280240376*(_xlfn.XLOOKUP(B65,'Base stats'!B:B,'Base stats'!C:C)/2000)^0.357012633876913)))),
IF(_xlfn.XLOOKUP(B65,'Base stats'!B:B,'Base stats'!C:C)&lt;0.1,0.05,IF(_xlfn.XLOOKUP(B65,'Base stats'!B:B,'Base stats'!C:C)&lt;0.4,0.1,IF(_xlfn.XLOOKUP(B65,'Base stats'!B:B,'Base stats'!C:C)&lt;=70,(_xlfn.XLOOKUP(B65,'Base stats'!B:B,'Base stats'!C:C)/70)^0.445823913056526,IF(_xlfn.XLOOKUP(B65,'Base stats'!B:B,'Base stats'!C:C)&lt;=400,(_xlfn.XLOOKUP(B65,'Base stats'!B:B,'Base stats'!C:C)/70)^0.572811455315093,IF(_xlfn.XLOOKUP(B65,'Base stats'!B:B,'Base stats'!C:C)&lt;=2000,2.71391647193063*(_xlfn.XLOOKUP(B65,'Base stats'!B:B,'Base stats'!C:C)/400)^0.252459582904293,3.74314280240376*(_xlfn.XLOOKUP(B65,'Base stats'!B:B,'Base stats'!C:C)/2000)^0.357012633876913)))))),
IF(_xlfn.XLOOKUP(B65,'Base stats'!B:B,'Base stats'!C:C)&lt;0.1,0.05,IF(_xlfn.XLOOKUP(B65,'Base stats'!B:B,'Base stats'!C:C)&lt;=100,0.05,IF(_xlfn.XLOOKUP(B65,'Base stats'!B:B,'Base stats'!C:C)&lt;=250,0.1,IF(_xlfn.XLOOKUP(B65,'Base stats'!B:B,'Base stats'!C:C)&lt;=4000,0.25,0.5)))))</f>
        <v>0.1</v>
      </c>
      <c r="AP65" s="8">
        <f>MROUND(AO65*_xlfn.XLOOKUP(_xlfn.XLOOKUP(B65,'Base stats'!B:B,'Base stats'!E:E),Groups!A:A,Groups!AI:AI)*_xlfn.XLOOKUP(B65,'Base stats'!B:B,'Base stats'!Z:Z),0.05)</f>
        <v>0.1</v>
      </c>
      <c r="AQ65" s="8">
        <f>MAX(0.01,MROUND(IF(CC65="True",0.196*(AO65*100*1000)^0.889,IF(_xlfn.XLOOKUP(_xlfn.XLOOKUP(B65,'Base stats'!B:B,'Base stats'!E:E),Groups!A:A,Groups!AJ:AJ)="Bird",10.5*(AO65*100*1000)^0.681,4.82*(AO65*100*1000)^0.734))/(4.82*(1*100*1000)^0.734)/IF(AO65&lt;3.5,2,IF(AO65=3.5,1.5,1.25))*(1+0.132282374779864/(AO65^0.994035016789033+0.00905238001496948)),0.05))</f>
        <v>0.25</v>
      </c>
      <c r="AR65" s="9">
        <f>IFERROR(MROUND(_xlfn.XLOOKUP(B65,'Base stats'!B:B,'Base stats'!H:H)/IF(_xlfn.XLOOKUP(B65,'Base stats'!B:B,'Base stats'!I:I)&lt;&gt;1,(122.5/70),1.2),IF(_xlfn.XLOOKUP(B65,'Base stats'!B:B,'Base stats'!H:H)&gt;=30,5,IF(_xlfn.XLOOKUP(B65,'Base stats'!B:B,'Base stats'!H:H)&gt;=15,3,IF(_xlfn.XLOOKUP(B65,'Base stats'!B:B,'Base stats'!H:H)&gt;=10,2,1)))),"Immortal")</f>
        <v>12</v>
      </c>
      <c r="AS65" s="35" t="str">
        <f>IFERROR(IF(OR(_xlfn.XLOOKUP(B65,'Base stats'!B:B,'Base stats'!F:F)="Atypical reproduction",_xlfn.XLOOKUP(B65,'Base stats'!B:B,'Base stats'!F:F)="Lay eggs"),"Lay eggs",MIN(20,MAX(5.5,ROUND(((_xlfn.XLOOKUP(B65,'Base stats'!B:B,'Base stats'!F:F)-25)*(14.5/615) + 5.5)*2,0)/2))),"Unknown")</f>
        <v>Lay eggs</v>
      </c>
      <c r="AT65" s="8">
        <f>IF(_xlfn.XLOOKUP(B65,'Base stats'!B:B,'Base stats'!G:G)="Atypical reproduction","No",IFERROR(MAX(IF(_xlfn.XLOOKUP(B65,'Base stats'!B:B,'Base stats'!G:G)&lt;0.5,0.2,0.3),MROUND(_xlfn.XLOOKUP(B65,'Base stats'!B:B,'Base stats'!G:G)/(365/60),0.2)),"Unknown"))</f>
        <v>0.4</v>
      </c>
      <c r="AU65" s="8">
        <f t="shared" si="1"/>
        <v>0.2</v>
      </c>
      <c r="AV65" s="8" t="str">
        <f>IFERROR(IFERROR(MROUND(_xlfn.XLOOKUP(B65,'Base stats'!B:B,'Base stats'!J:J),0.1),"Lay eggs"),"Cannot breed")</f>
        <v>Lay eggs</v>
      </c>
      <c r="AW65" s="2" t="str">
        <f t="shared" si="2"/>
        <v>true</v>
      </c>
      <c r="AX65" s="2" t="str">
        <f>IF(_xlfn.XLOOKUP(_xlfn.XLOOKUP(Animals!B65,'Base stats'!B:B,'Base stats'!E:E),Groups!A:A,Groups!AK:AK)=1,"true","false")</f>
        <v>false</v>
      </c>
      <c r="AY65" s="25" t="str">
        <f>IF(_xlfn.XLOOKUP(B65,'Base stats'!B:B,'Base stats'!Y:Y)="Liquor","Liquor, CarnivoreAnimalStrict",IF(AND(_xlfn.XLOOKUP(B65,'Base stats'!B:B,'Base stats'!Y:Y)="Carnivore",_xlfn.XLOOKUP(_xlfn.XLOOKUP(B65,'Base stats'!B:B,'Base stats'!E:E),Groups!A:A,Groups!AJ:AJ)="Photonozoa"),"CarnivoreAnimalStrict, OvivoreAnimal",IF(_xlfn.XLOOKUP(B65,'Base stats'!B:B,'Base stats'!Y:Y)="Carnivore","CarnivoreAnimal, OvivoreAnimal",IF(_xlfn.XLOOKUP(B65,'Base stats'!B:B,'Base stats'!Y:Y)="Dendrovore","VegetarianRoughAnimal, DendrovoreAnimal",IF(_xlfn.XLOOKUP(B65,'Base stats'!B:B,'Base stats'!Y:Y)="Herbivore","VegetarianRoughAnimal",IF(_xlfn.XLOOKUP(B65,'Base stats'!B:B,'Base stats'!Y:Y)="OmnivoreRough","OmnivoreRoughAnimal, OvivoreAnimal","OmnivoreAnimal, OvivoreAnimal"))))))</f>
        <v>OmnivoreAnimal, OvivoreAnimal</v>
      </c>
      <c r="AZ65" s="2" t="str">
        <f>IF(_xlfn.XLOOKUP(_xlfn.XLOOKUP(B65,'Base stats'!B:B,'Base stats'!E:E),Groups!A:A,Groups!D:D)=1,MROUND((1-J65)*5+1,2)*IF(J65&lt;=0.4,2,1),"No")</f>
        <v>No</v>
      </c>
      <c r="BA65" s="2" t="str">
        <f>IF(AND(_xlfn.XLOOKUP(B65,'Base stats'!B:B,'Base stats'!AH:AH)="&lt;li&gt;Seal&lt;/li&gt;",G65="Odyssey"),"&lt;li&gt;AEXP_Seal&lt;/li&gt;",_xlfn.XLOOKUP(B65,'Base stats'!B:B,'Base stats'!AH:AH))</f>
        <v>&lt;li&gt;Cassowary&lt;/li&gt;</v>
      </c>
      <c r="BB65" s="2" t="str">
        <f>_xlfn.XLOOKUP(B65,'Base stats'!B:B,'Base stats'!AG:AG)</f>
        <v>No</v>
      </c>
      <c r="BC65" s="23" t="str">
        <f>_xlfn.XLOOKUP(_xlfn.XLOOKUP(B65,'Base stats'!B:B,'Base stats'!E:E),Groups!A:A,Groups!AL:AL)</f>
        <v>Bird</v>
      </c>
      <c r="BD65" s="23">
        <f>MIN(1,MROUND(IF(AND(AO65&lt;0.5,_xlfn.XLOOKUP(B65,'Base stats'!B:B,'Base stats'!AA:AA)=0),0,IF(OR(_xlfn.XLOOKUP(Animals!B65,'Base stats'!B:B,'Base stats'!O:O)=2,_xlfn.XLOOKUP(_xlfn.XLOOKUP(B65,'Base stats'!B:B,'Base stats'!E:E),Groups!A:A,Groups!AN:AN)=0),0,_xlfn.XLOOKUP(_xlfn.XLOOKUP(B65,'Base stats'!B:B,'Base stats'!E:E),Groups!A:A,Groups!AN:AN)/IF(_xlfn.XLOOKUP(Animals!B65,'Base stats'!B:B,'Base stats'!O:O)=1,2,1)))+_xlfn.XLOOKUP(B65,'Base stats'!B:B,'Base stats'!AC:AC),0.005))</f>
        <v>0</v>
      </c>
      <c r="BE65" s="23">
        <f>MIN(1,MROUND(IF(AND(AO65&lt;0.5,_xlfn.XLOOKUP(B65,'Base stats'!B:B,'Base stats'!AA:AA)=0),0,IF(_xlfn.XLOOKUP(_xlfn.XLOOKUP(B65,'Base stats'!B:B,'Base stats'!E:E),Groups!A:A,Groups!AO:AO)=0,0,_xlfn.XLOOKUP(_xlfn.XLOOKUP(B65,'Base stats'!B:B,'Base stats'!E:E),Groups!A:A,Groups!AO:AO)/IF(_xlfn.XLOOKUP(Animals!B65,'Base stats'!B:B,'Base stats'!O:O)=2,3,1)))+_xlfn.XLOOKUP(B65,'Base stats'!B:B,'Base stats'!AD:AD),0.005))</f>
        <v>0</v>
      </c>
      <c r="BF65" s="2" t="str">
        <f>IF(J65&gt;0.3,"No",_xlfn.XLOOKUP(_xlfn.XLOOKUP(Animals!B65,'Base stats'!B:B,'Base stats'!E:E),Groups!A:A,Groups!AP:AP))</f>
        <v>No</v>
      </c>
      <c r="BG65" s="2">
        <f>IF(AND(J65&lt;=0.65,_xlfn.XLOOKUP(_xlfn.XLOOKUP(Animals!B65,'Base stats'!B:B,'Base stats'!E:E),Groups!A:A,Groups!AP:AP)&lt;&gt;"No",_xlfn.XLOOKUP(_xlfn.XLOOKUP(B65,'Base stats'!B:B,'Base stats'!E:E),Groups!A:A,Groups!D:D)=0),MROUND((80/3)*IF(_xlfn.XLOOKUP(B65,'Base stats'!B:B,'Base stats'!O:O)=2,0.2,AO65) + 24*(1-IF(BF65="No",0,BF65)) + 16/3, 12),"No")</f>
        <v>36</v>
      </c>
      <c r="BH65" s="2">
        <f>IF(AND(_xlfn.XLOOKUP(_xlfn.XLOOKUP(B65,'Base stats'!B:B,'Base stats'!E:E),Groups!A:A,Groups!AQ:AQ)=1,AO65&lt;=0.35),8,12)</f>
        <v>12</v>
      </c>
      <c r="BI65" s="2" t="str">
        <f>IF(_xlfn.XLOOKUP(_xlfn.XLOOKUP(B65,'Base stats'!B:B,'Base stats'!E:E),Groups!A:A,Groups!D:D)=0,_xlfn.XLOOKUP(_xlfn.XLOOKUP(B65,'Base stats'!B:B,'Base stats'!E:E),Groups!A:A,Groups!AR:AR),"None")</f>
        <v>Advanced</v>
      </c>
      <c r="BJ65" s="2" t="str">
        <f>IF(AND(_xlfn.XLOOKUP(_xlfn.XLOOKUP(B65,'Base stats'!B:B,'Base stats'!E:E),Groups!A:A,Groups!AS:AS)=1,OR(_xlfn.XLOOKUP(B65,'Base stats'!B:B,'Base stats'!Y:Y)="Carnivore",_xlfn.XLOOKUP(B65,'Base stats'!B:B,'Base stats'!Y:Y)="Omnivore")),"true","false")</f>
        <v>false</v>
      </c>
      <c r="BK65" s="2" t="str">
        <f>IF(BJ65="true",MROUND(IF(AND(AO65&gt;0.5,OR(_xlfn.XLOOKUP(_xlfn.XLOOKUP(B65,'Base stats'!B:B,'Base stats'!E:E),Groups!A:A,Groups!AJ:AJ)="Photonozoa",_xlfn.XLOOKUP(_xlfn.XLOOKUP(B65,'Base stats'!B:B,'Base stats'!E:E),Groups!A:A,Groups!AJ:AJ)="Mammal")),Animals!AO65*1.75*IF(AW65="true",1.5,1),IF(AO65&lt;0.5,Animals!AO65*0.5,Animals!AO65)),IF(AO65&gt;2,0.5,IF(AO65&gt;0.5,0.25,0.1))),"No")</f>
        <v>No</v>
      </c>
      <c r="BL65" s="2">
        <f t="shared" si="3"/>
        <v>1</v>
      </c>
      <c r="BM65" s="25" t="str">
        <f>IF(_xlfn.XLOOKUP(B65,'Base stats'!B:B,'Base stats'!AN:AN)="Standard","No",MROUND((_xlfn.XLOOKUP(B65,'Base stats'!B:B,'Base stats'!AN:AN)/3.6)/I65,0.1))</f>
        <v>No</v>
      </c>
      <c r="BN65" s="25" t="str">
        <f t="shared" si="4"/>
        <v>false</v>
      </c>
      <c r="BO65" s="25" t="str">
        <f>IF(AND(OR(_xlfn.XLOOKUP(B65,'Base stats'!B:B,'Base stats'!Y:Y)="Carnivore",_xlfn.XLOOKUP(B65,'Base stats'!B:B,'Base stats'!Y:Y)="Omnivore",_xlfn.XLOOKUP(B65,'Base stats'!B:B,'Base stats'!Y:Y)="OmnivoreRough"),_xlfn.XLOOKUP(_xlfn.XLOOKUP(B65,'Base stats'!B:B,'Base stats'!E:E),Groups!A:A,Groups!AT:AT)=1),"true","false")</f>
        <v>false</v>
      </c>
      <c r="BP65" s="25" t="str" cm="1">
        <f t="array" ref="BP65">IF(
  _xlfn.TEXTJOIN(", ",TRUE,
    IF(AND(BJ65="true",AO65&gt;0.5,BI65&lt;&gt;"None"),"AttackTarget",""),
    IF(AND(_xlfn.XLOOKUP(_xlfn.XLOOKUP(B65,'Base stats'!B:B,'Base stats'!E:E),Groups!A:A,Groups!AJ:AJ="Mammal"),OR(_xlfn.XLOOKUP(B65,'Base stats'!B:B,'Base stats'!Y:Y)="Omnivore",_xlfn.XLOOKUP(B65,'Base stats'!B:B,'Base stats'!Y:Y)="OmnivoreRough")),"Forage",""),
    IF(BG65&lt;=36,"Comfort",""),
    IF(_xlfn.XLOOKUP(B65,'Base stats'!B:B,'Base stats'!AE:AE)&lt;&gt;"No",_xlfn.XLOOKUP(B65,'Base stats'!B:B,'Base stats'!AE:AE),"")
  ) = "",
  "No",
  _xlfn.TEXTJOIN(", ",TRUE,
    IF(AND(BJ65="true",AO65&gt;0.5,BI65&lt;&gt;"None"),"AttackTarget",""),
    IF(AND(_xlfn.XLOOKUP(_xlfn.XLOOKUP(B65,'Base stats'!B:B,'Base stats'!E:E),Groups!A:A,Groups!AJ:AJ="Mammal"),OR(_xlfn.XLOOKUP(B65,'Base stats'!B:B,'Base stats'!Y:Y)="Omnivore",_xlfn.XLOOKUP(B65,'Base stats'!B:B,'Base stats'!Y:Y)="OmnivoreRough")),"Forage",""),
    IF(BG65&lt;=36,"Comfort",""),
    IF(_xlfn.XLOOKUP(B65,'Base stats'!B:B,'Base stats'!AE:AE)&lt;&gt;"No",_xlfn.XLOOKUP(B65,'Base stats'!B:B,'Base stats'!AE:AE),"")
  )
)</f>
        <v>Comfort</v>
      </c>
      <c r="BQ65" s="25" t="str">
        <f>IF(
   AND(
      'Base stats'!AN65="Standard",_xlfn.XLOOKUP(_xlfn.XLOOKUP(B65,'Base stats'!B:B,'Base stats'!E:E),Groups!A:A,Groups!AU:AU)=0,
      OR(
      BO65="True"
      )
   ),
   10,
   IF(
       OR(BM65&lt;&gt;"No",_xlfn.XLOOKUP(_xlfn.XLOOKUP(B65,'Base stats'!B:B,'Base stats'!E:E),Groups!A:A,Groups!AU:AU)=1),
      1,
      "No"
   )
)</f>
        <v>No</v>
      </c>
      <c r="BR65" s="9">
        <f>MROUND((1 + ((0.2*IF(OR(Q65="No",R65="No",R65=0),0,Q65/R65)
+IF(OR(V65="No",S65="No",T65="No"),0,S65/T65*(LEN(V65)-LEN(SUBSTITUTE(V65,",",""))+1))
+IF(OR(X65="No",Y65="No"),0,X65/Y65)
+IF(OR(AD65="No",AE65="No"),0,AD65/AE65)
+IF(OR(AL65="No",AI65="No",AJ65="No"),0,AI65/AJ65*(LEN(AL65)-LEN(SUBSTITUTE(AL65,",",""))+1))
)/(0.2*IF(OR(Q65="No",R65="No",R65=0),0,1)
+IF(OR(V65="No",S65="No",T65="No"),0,LEN(V65)-LEN(SUBSTITUTE(V65,",",""))+1)
+IF(OR(X65="No",Y65="No"),0,1)
+IF(OR(AD65="No",AE65="No"),0,1)
+IF(OR(AL65="No",AI65="No",AJ65="No"),0,LEN(AL65)-LEN(SUBSTITUTE(AL65,",",""))+1))*62%)* 2)*(1 + (AP65 / (IF(_xlfn.XLOOKUP(_xlfn.XLOOKUP(B65,'Base stats'!B:B,'Base stats'!E:E),Groups!A:A,Groups!AJ:AJ)="Photonozoa",0.3,1)) + _xlfn.XLOOKUP(B65,'Base stats'!B:B,'Base stats'!AV:AV) * 1.8) * 2) * 2.5 + 10 + I65 * 2,5)+IF(_xlfn.XLOOKUP(B65,'Base stats'!B:B,'Base stats'!AK:AK)=1,50,0)</f>
        <v>25</v>
      </c>
      <c r="BS65" s="8">
        <f t="shared" si="5"/>
        <v>0.2</v>
      </c>
      <c r="BT65" s="8" t="str">
        <f>_xlfn.XLOOKUP(B65,'Base stats'!B:B,'Base stats'!AF:AF)</f>
        <v>3~8</v>
      </c>
      <c r="BU65" s="2" t="str">
        <f>IF(AND(J65&lt;=0.95,OR(_xlfn.XLOOKUP(B65,'Base stats'!B:B,'Base stats'!AK:AK)=1,_xlfn.XLOOKUP(B65,'Base stats'!B:B,'Base stats'!Y:Y)="Carnivore",_xlfn.XLOOKUP(B65,'Base stats'!B:B,'Base stats'!Y:Y)="Omnivore",BE65&gt;0.1)),"true","false")</f>
        <v>true</v>
      </c>
      <c r="BV65" s="2" t="str">
        <f>IF(_xlfn.XLOOKUP(B65,'Base stats'!B:B,'Base stats'!AI:AI)=1,"true","false")</f>
        <v>false</v>
      </c>
      <c r="BW65" s="25" t="str">
        <f>IF(E65="BaseInsect","AnimalInsect",
IF(J65&gt;0.95,"AnimalExotic",
_xlfn.TEXTJOIN(", ",TRUE,
IF(OR(_xlfn.XLOOKUP(B65,'Base stats'!B:B,'Base stats'!AM:AM)=1,AND(_xlfn.XLOOKUP(B65,'Base stats'!B:B,'Base stats'!O:O)=0,_xlfn.XLOOKUP(_xlfn.XLOOKUP(B65,'Base stats'!B:B,'Base stats'!E:E),Groups!A:A,Groups!B:B)&gt;0)),"AnimalUncommon","AnimalCommon"),
IF(AND(_xlfn.XLOOKUP(B65,'Base stats'!B:B,'Base stats'!O:O)=2,_xlfn.XLOOKUP(_xlfn.XLOOKUP(B65,'Base stats'!B:B,'Base stats'!E:E),Groups!A:A,Groups!D:D)=0),"AnimalPet",IF(AND(_xlfn.XLOOKUP(B65,'Base stats'!B:B,'Base stats'!O:O)&lt;&gt;0,_xlfn.XLOOKUP(_xlfn.XLOOKUP(B65,'Base stats'!B:B,'Base stats'!E:E),Groups!A:A,Groups!D:D)&lt;&gt;0),"AnimalFarm","")),
IF(OR(_xlfn.XLOOKUP(B65,'Base stats'!B:B,'Base stats'!AK:AK)=1,AND(BI65&lt;&gt;"None",BR65&gt;=60),ISNUMBER(SEARCH("Attack target",BP65))),"AnimalFighter","")
)))</f>
        <v>AnimalUncommon</v>
      </c>
      <c r="BX65" s="25" t="str">
        <f>IF(G65="None",TRIM(
SUBSTITUTE(
IF(COUNTIF(Biomes!B$2:B$259,"="&amp;$C65)&gt;0,Biomes!B$1&amp;", ","")&amp;
IF(COUNTIF(Biomes!C$2:C$259,"="&amp;$C65)&gt;0,Biomes!C$1&amp;", ","")&amp;
IF(COUNTIF(Biomes!D$2:D$259,"="&amp;$C65)&gt;0,Biomes!D$1&amp;", ","")&amp;
IF(COUNTIF(Biomes!F$2:F$259,"="&amp;$C65)&gt;0,Biomes!F$1&amp;", ","")&amp;
IF(COUNTIF(Biomes!G$2:G$259,"="&amp;$C65)&gt;0,Biomes!G$1&amp;", ","")&amp;
IF(COUNTIF(Biomes!H$2:H$259,"="&amp;$C65)&gt;0,Biomes!H$1&amp;", ","")&amp;
IF(COUNTIF(Biomes!I$2:I$259,"="&amp;$C65)&gt;0,Biomes!I$1&amp;", ","")&amp;
IF(COUNTIF(Biomes!J$2:J$259,"="&amp;$C65)&gt;0,Biomes!J$1&amp;", ","")&amp;
IF(COUNTIF(Biomes!M$2:M$259,"="&amp;$C65)&gt;0,Biomes!M$1&amp;", ","")&amp;
IF(COUNTIF(Biomes!N$2:N$259,"="&amp;$C65)&gt;0,Biomes!N$1&amp;", ","")&amp;
IF(COUNTIF(Biomes!O$2:O$259,"="&amp;$C65)&gt;0,Biomes!O$1&amp;", ","")&amp;
IF(COUNTIF(Biomes!P$2:P$259,"="&amp;$C65)&gt;0,Biomes!P$1&amp;", ","")&amp;
IF(COUNTIF(Biomes!K$2:K$259,"="&amp;$C65)&gt;0,Biomes!K$1&amp;", ","")&amp;
IF(COUNTIF(Biomes!Q$3:Q$259,"="&amp;$C65)&gt;0,Biomes!Q$1&amp;", ","")&amp;
IF(COUNTIF(Biomes!L$2:L$259,"="&amp;$C65)&gt;0,Biomes!L$1&amp;", ","")&amp;
IF(COUNTIF(Biomes!E$2:E$259,"="&amp;$C65)&gt;0,Biomes!E$1&amp;", ","")&amp;IF(COUNTIF(Biomes!S$2:S$259,"="&amp;$C65)&gt;0,Biomes!S$1&amp;", ","")&amp;
IF(COUNTIF(Biomes!R$2:R$259,"="&amp;$C65)&gt;0,Biomes!R$1&amp;", ",""),", ","")
),_xlfn.XLOOKUP(B65,B:B,BX:BX))</f>
        <v>Tundra BorealForest ColdBog TemperateForest TemperateSwamp AridShrubland Desert TropicalRainforest TropicalSwamp Grasslands Glowforest LavaField GlacialPlain Scarlands</v>
      </c>
      <c r="BY65" s="25" t="str">
        <f>IF(_xlfn.XLOOKUP(B65,'Base stats'!B:B,'Base stats'!AJ:AJ)=1,"true","false")</f>
        <v>false</v>
      </c>
      <c r="BZ65" s="25">
        <f>IF(_xlfn.XLOOKUP(B65,'Base stats'!B:B,'Base stats'!N:N)=1,"No",MAX(0.001,MIN(MROUND(IF(AND(BJ65="True",CC65="False"),POWER(10,3.47*LOG10(_xlfn.XLOOKUP(B65,'Base stats'!B:B,'Base stats'!C:C)*1000)^-0.96),POWER(10,4.15*LOG10(_xlfn.XLOOKUP(B65,'Base stats'!B:B,'Base stats'!C:C)*1000)^-0.73))*IF(_xlfn.XLOOKUP(B65,'Base stats'!B:B,'Base stats'!AK:AK)=1,0.5,1)*IF(_xlfn.XLOOKUP(B65,'Base stats'!B:B,'Base stats'!AM:AM)=1,0.1,1)/100,IF(_xlfn.XLOOKUP(B65,'Base stats'!B:B,'Base stats'!AM:AM)=1,0.001,0.025)),0.5)))</f>
        <v>0.5</v>
      </c>
      <c r="CA65" s="25">
        <f>IF(P65="Standard","No",MAX(0.001,MIN(MROUND(IF(AND(BJ65="True",CC65="False"),POWER(10,3.47*LOG10(_xlfn.XLOOKUP(B65,'Base stats'!B:B,'Base stats'!C:C)*1000)^-0.96),POWER(10,4.15*LOG10(_xlfn.XLOOKUP(B65,'Base stats'!B:B,'Base stats'!C:C)*1000)^-0.73))*IF(_xlfn.XLOOKUP(B65,'Base stats'!B:B,'Base stats'!AM:AM)=1,0.1,1)*_xlfn.XLOOKUP(B65,'Base stats'!B:B,'Base stats'!R:R)/100,IF(_xlfn.XLOOKUP(B65,'Base stats'!B:B,'Base stats'!AM:AM)=1,0.001,0.025)),0.5)))</f>
        <v>0.5</v>
      </c>
      <c r="CB65" s="25" t="str">
        <f>IF(_xlfn.XLOOKUP(_xlfn.XLOOKUP(B65,'Base stats'!B:B,'Base stats'!E:E),Groups!A:A,Groups!AJ:AJ)="Mammal","True","False")</f>
        <v>False</v>
      </c>
      <c r="CC65" s="25" t="str">
        <f>IF(OR(_xlfn.XLOOKUP(_xlfn.XLOOKUP(B65,'Base stats'!B:B,'Base stats'!E:E),Groups!A:A,Groups!AJ:AJ)="Reptile",_xlfn.XLOOKUP(_xlfn.XLOOKUP(B65,'Base stats'!B:B,'Base stats'!E:E),Groups!A:A,Groups!AJ:AJ)="Amphibian",_xlfn.XLOOKUP(_xlfn.XLOOKUP(B65,'Base stats'!B:B,'Base stats'!E:E),Groups!A:A,Groups!AJ:AJ)="Invertebrate"),"True","False")</f>
        <v>False</v>
      </c>
      <c r="CD65" s="25" t="str">
        <f t="shared" si="6"/>
        <v>False</v>
      </c>
      <c r="CE65" s="25" t="str">
        <f>IF(_xlfn.XLOOKUP(_xlfn.XLOOKUP(B65,'Base stats'!B:B,'Base stats'!E:E),Groups!A:A,Groups!AX:AX),"True","False")</f>
        <v>False</v>
      </c>
      <c r="CF65" s="25" t="str">
        <f>IF(_xlfn.XLOOKUP(_xlfn.XLOOKUP(B65,'Base stats'!B:B,'Base stats'!E:E),Groups!A:A,Groups!AY:AY),"True","False")</f>
        <v>False</v>
      </c>
      <c r="CG65" s="25" t="str">
        <f>IF(_xlfn.XLOOKUP(_xlfn.XLOOKUP(B65,'Base stats'!B:B,'Base stats'!E:E),Groups!A:A,Groups!AW:AW),"True","False")</f>
        <v>False</v>
      </c>
      <c r="CH65" s="25" t="str">
        <f>IF(
OR(
_xlfn.XLOOKUP(_xlfn.XLOOKUP(B65,'Base stats'!B:B,'Base stats'!E:E),Groups!A:A,Groups!AZ:AZ)=0,
AND(
_xlfn.XLOOKUP(B65,'Base stats'!B:B,'Base stats'!Y:Y)&lt;&gt;"Carnivore",
_xlfn.XLOOKUP(B65,'Base stats'!B:B,'Base stats'!Y:Y)&lt;&gt;"Omnivore",
_xlfn.XLOOKUP(B65,'Base stats'!B:B,'Base stats'!Y:Y)&lt;&gt;"OmnivoreRough"
)
),
"No",
IF(
_xlfn.XLOOKUP(_xlfn.XLOOKUP(B65,'Base stats'!B:B,'Base stats'!E:E),Groups!A:A,Groups!AZ:AZ)=1,
"Flesh",
IF(
_xlfn.XLOOKUP(_xlfn.XLOOKUP(B65,'Base stats'!B:B,'Base stats'!E:E),Groups!A:A,Groups!AZ:AZ)=2,
"Bone",
""
)
)
)</f>
        <v>Flesh</v>
      </c>
      <c r="CI65" s="25" t="str">
        <f>IF(_xlfn.XLOOKUP(_xlfn.XLOOKUP(B65,'Base stats'!B:B,'Base stats'!E:E),Groups!A:A,Groups!BB:BB),"True","False")</f>
        <v>True</v>
      </c>
      <c r="CJ65" s="25" t="str">
        <f>IF(_xlfn.XLOOKUP(_xlfn.XLOOKUP(B65,'Base stats'!B:B,'Base stats'!E:E),Groups!A:A,Groups!BA:BA),"True","False")</f>
        <v>False</v>
      </c>
    </row>
    <row r="66" spans="1:88" ht="16.5" thickTop="1" thickBot="1" x14ac:dyDescent="0.3">
      <c r="A66" s="26" t="str">
        <f>_xlfn.XLOOKUP(B66,'Base stats'!B:B,'Base stats'!A:A)</f>
        <v>Macaw</v>
      </c>
      <c r="B66" s="6" t="s">
        <v>223</v>
      </c>
      <c r="C66" s="28" t="s">
        <v>746</v>
      </c>
      <c r="D66" s="28" t="s">
        <v>870</v>
      </c>
      <c r="E66" s="28" t="s">
        <v>743</v>
      </c>
      <c r="F66" s="28" t="s">
        <v>673</v>
      </c>
      <c r="G66" s="28" t="s">
        <v>673</v>
      </c>
      <c r="H66" s="2">
        <f>MROUND((
  (IF(AND(_xlfn.XLOOKUP(B66,'Base stats'!B:B,'Base stats'!AL:AL)=0,BI66="None",_xlfn.XLOOKUP(_xlfn.XLOOKUP(B66,'Base stats'!B:B,'Base stats'!E:E),Groups!A:A,Groups!B:B)=0), (18 + BR66 * 2.7) * 0.5,
    IF(AND(_xlfn.XLOOKUP(B66,'Base stats'!B:B,'Base stats'!AL:AL)=0,OR(AO66&lt;0.55,AND(BI66="Intermediate",_xlfn.XLOOKUP(_xlfn.XLOOKUP(B66,'Base stats'!B:B,'Base stats'!E:E),Groups!A:A,Groups!B:B)&lt;2))), (18 + BR66 * 2.7),
      IF(OR(BI66="Advanced",_xlfn.XLOOKUP(B66,'Base stats'!B:B,'Base stats'!AL:AL)=1,_xlfn.XLOOKUP(_xlfn.XLOOKUP(B66,'Base stats'!B:B,'Base stats'!E:E),Groups!A:A,Groups!B:B)=2), (18 + BR66 * 2.7) + 250, (18 + BR66 * 2.7))
    )
  ))
  + AO66 * 80
  + IF(COUNTIF(EggMilk!K$2:K$998, A66) &gt; 0, 125, 0)
  + IF(COUNTIF(EggMilk!P$2:P$998, A66) &gt; 0, 90, 0)
  + IF(COUNTIF(EggMilk!A$2:A$998, A66) &gt; 0, 90, 0)
)
* (0.8 + 0.4 * J66)
* 0.75,25)</f>
        <v>150</v>
      </c>
      <c r="I66" s="2">
        <f>MROUND(ROUNDDOWN(_xlfn.XLOOKUP(B66,'Base stats'!B:B,'Base stats'!L:L)/3.6/(23.3/11),1),0.5)</f>
        <v>2</v>
      </c>
      <c r="J66" s="2">
        <f>IF(OR(_xlfn.XLOOKUP(B66,'Base stats'!B:B,'Base stats'!AB:AB)=1,_xlfn.XLOOKUP(_xlfn.XLOOKUP(B66,'Base stats'!B:B,'Base stats'!E:E),Groups!A:A,Groups!C:C)="Untamable"),1,IF(_xlfn.XLOOKUP(B66,'Base stats'!B:B,'Base stats'!AL:AL)=1,0.99,MIN(MROUND((1-0.6282*EXP(-0.459*AO66))*_xlfn.XLOOKUP(_xlfn.XLOOKUP(B66,'Base stats'!B:B,'Base stats'!E:E),Groups!A:A,Groups!C:C)*IF(_xlfn.XLOOKUP(B66,'Base stats'!B:B,'Base stats'!O:O)=1,0.5,IF(_xlfn.XLOOKUP(B66,'Base stats'!B:B,'Base stats'!O:O)=2,0,1)),0.05),IF(AO66&gt;3.5,0.985,0.95))))</f>
        <v>0.5</v>
      </c>
      <c r="K66" s="2">
        <f>ROUNDUP(AO66*_xlfn.XLOOKUP(_xlfn.XLOOKUP(B66,'Base stats'!B:B,'Base stats'!E:E),Groups!A:A,Groups!E:E),0)</f>
        <v>2</v>
      </c>
      <c r="L66" s="2">
        <f>IF(OR(_xlfn.XLOOKUP(_xlfn.XLOOKUP(B66,'Base stats'!B:B,'Base stats'!E:E),Groups!A:A,Groups!F:F)=2,ISNUMBER(SEARCH("SeaIce",BX66)),ISNUMBER(SEARCH("IceSheet",BX66))),-50,IF(OR(ISNUMBER(SEARCH("GlacialPlain",BX66)),ISNUMBER(SEARCH("Tundra",BX66))),-40,IF(OR(ISNUMBER(SEARCH("Alpine",BX66)),ISNUMBER(SEARCH("BorealForest",BX66)),ISNUMBER(SEARCH("ColdBog",BX66))),-30,IF(OR(ISNUMBER(SEARCH("TemperateForest",BX66)),ISNUMBER(SEARCH("TemperateSwamp",BX66))),-20,IF(_xlfn.XLOOKUP(_xlfn.XLOOKUP(B66,'Base stats'!B:B,'Base stats'!E:E),Groups!A:A,Groups!F:F)=1,-15,IF(OR(ISNUMBER(SEARCH("Desert",BX66)),ISNUMBER(SEARCH("ExtremeDesert",BX66))),-10,IF(OR(ISNUMBER(SEARCH("Grasslands",BX66)),ISNUMBER(SEARCH("TropicalRainforest",BX66)),ISNUMBER(SEARCH("TropicalSwamp",BX66))),10,0)))))))-IF(CC66="False",MIN(IFERROR(MAX(MROUND(LOG10(_xlfn.XLOOKUP(B66,'Base stats'!B:B,'Base stats'!C:C)^(2/3))*10,5),5),5),30))-_xlfn.XLOOKUP(B66,'Base stats'!B:B,'Base stats'!P:P)+IF(CC66="True",5,0)</f>
        <v>5</v>
      </c>
      <c r="M66" s="2">
        <f>IF(OR(_xlfn.XLOOKUP(_xlfn.XLOOKUP(B66,'Base stats'!B:B,'Base stats'!E:E),Groups!A:A,Groups!G:G)=2,ISNUMBER(SEARCH("Desert",BX66)),ISNUMBER(SEARCH("ExtremeDesert",BX66)),ISNUMBER(SEARCH("LavaField",BX66))),50,IF(ISNUMBER(SEARCH("Grasslands",BX66)),45,IF(OR(_xlfn.XLOOKUP(_xlfn.XLOOKUP(B66,'Base stats'!B:B,'Base stats'!E:E),Groups!A:A,Groups!G:G)=1,ISNUMBER(SEARCH("TropicalRainforest",BX66)),ISNUMBER(SEARCH("TropicalSwamp",BX66))),40,IF(OR(ISNUMBER(SEARCH("TemperateForest",BX66)),ISNUMBER(SEARCH("TemperateSwamp",BX66))),35,IF(OR(ISNUMBER(SEARCH("Alpine",BX66)),ISNUMBER(SEARCH("BorealForest",BX66)),ISNUMBER(SEARCH("ColdBog",BX66))),30,IF(ISNUMBER(OR(ISNUMBER(SEARCH("GlacialPlain",BX66)),SEARCH("Tundra",BX66))),25,IF(OR(ISNUMBER(SEARCH("SeaIce",BX66)),ISNUMBER(SEARCH("IceSheet",BX66)),ISNUMBER(SEARCH("TropicalSwamp",BX66))),10,35)))))))+_xlfn.XLOOKUP(B66,'Base stats'!B:B,'Base stats'!Q:Q)</f>
        <v>40</v>
      </c>
      <c r="N66" s="8" t="str">
        <f>IF(
_xlfn.XLOOKUP(
_xlfn.XLOOKUP(B66,'Base stats'!B:B,'Base stats'!E:E),
Groups!A:A,
Groups!L:L
)=1,
MIN(
MROUND(
IF(
_xlfn.XLOOKUP(B66,'Animals CE'!B:B,'Animals CE'!Z:Z)&lt;=1.5,
_xlfn.XLOOKUP(B66,'Animals CE'!B:B,'Animals CE'!Z:Z)/2+0.05,
0.8+
(_xlfn.XLOOKUP(B66,'Animals CE'!B:B,'Animals CE'!Z:Z)-1.5)
*0.02
),
0.05
),
200%
),
"No"
)</f>
        <v>No</v>
      </c>
      <c r="O66" s="8" t="str">
        <f>IF(
_xlfn.XLOOKUP(
_xlfn.XLOOKUP(B66,'Base stats'!B:B,'Base stats'!E:E),
Groups!A:A,
Groups!L:L
)=1,
MIN(
MROUND(
IF(
_xlfn.XLOOKUP(B66,'Animals CE'!B:B,'Animals CE'!AA:AA)&lt;=1.5,
_xlfn.XLOOKUP(B66,'Animals CE'!B:B,'Animals CE'!AA:AA)/2+0.05,
0.8+
(_xlfn.XLOOKUP(B66,'Animals CE'!B:B,'Animals CE'!AA:AA)-1.5)
*0.02
),
0.05
),
200%
),
"No"
)</f>
        <v>No</v>
      </c>
      <c r="P66" s="2" t="str">
        <f>_xlfn.XLOOKUP(B66,'Base stats'!B:B,'Base stats'!R:R)</f>
        <v>Standard</v>
      </c>
      <c r="Q66" s="13">
        <f>MROUND((LOG10(_xlfn.XLOOKUP(B66,'Base stats'!B:B,'Base stats'!AR:AR))*(AO66^0.5)+(_xlfn.XLOOKUP(B66,'Base stats'!B:B,'Base stats'!AR:AR)/1000)^(2/3)+_xlfn.XLOOKUP(B66,'Base stats'!B:B,'Base stats'!BA:BA)/2)+0.5,0.5)</f>
        <v>1.5</v>
      </c>
      <c r="R66" s="7">
        <f>IF(Q66="No","No",MAX(1,MROUND(_xlfn.XLOOKUP(B66,'Base stats'!B:B,'Base stats'!C:C)^0.165,0.05)))</f>
        <v>1</v>
      </c>
      <c r="S66" s="13">
        <f>IF(_xlfn.XLOOKUP(_xlfn.XLOOKUP(B66,'Base stats'!B:B,'Base stats'!E:E),Groups!A:A,Groups!P:P)=0,"No",MROUND((LOG10(_xlfn.XLOOKUP(B66,'Base stats'!B:B,'Base stats'!AS:AS))*(AO66^0.5)+(_xlfn.XLOOKUP(B66,'Base stats'!B:B,'Base stats'!AS:AS)/1000)^(2/3)+_xlfn.XLOOKUP(B66,'Base stats'!B:B,'Base stats'!BA:BA))+_xlfn.XLOOKUP(B66,'Base stats'!B:B,'Base stats'!AY:AY)+0.5,0.5))</f>
        <v>2</v>
      </c>
      <c r="T66" s="7">
        <f>IF(S66="No","No",MAX(_xlfn.XLOOKUP(_xlfn.XLOOKUP(B66,'Base stats'!B:B,'Base stats'!E:E),Groups!A:A,Groups!Q:Q),MROUND(_xlfn.XLOOKUP(_xlfn.XLOOKUP(B66,'Base stats'!B:B,'Base stats'!E:E),Groups!A:A,Groups!Q:Q)*_xlfn.XLOOKUP(B66,'Base stats'!B:B,'Base stats'!C:C)^0.165,0.05)))</f>
        <v>1</v>
      </c>
      <c r="U66" s="7" t="str">
        <f>IF(S66="No","No",_xlfn.XLOOKUP(_xlfn.XLOOKUP(B66,'Base stats'!B:B,'Base stats'!E:E),Groups!A:A,Groups!R:R))</f>
        <v>Feet</v>
      </c>
      <c r="V66" s="7" t="str">
        <f>IF(S66="No","No",_xlfn.XLOOKUP(_xlfn.XLOOKUP(B66,'Base stats'!B:B,'Base stats'!E:E),Groups!A:A,Groups!S:S))</f>
        <v>rear left claw, rear  right claw</v>
      </c>
      <c r="W66" s="7" t="str">
        <f>IF(S66="No","No",_xlfn.XLOOKUP(_xlfn.XLOOKUP(B66,'Base stats'!B:B,'Base stats'!E:E),Groups!A:A,Groups!T:T))</f>
        <v>Scratch</v>
      </c>
      <c r="X66" s="13" t="str">
        <f>IF(_xlfn.XLOOKUP(B66,'Base stats'!B:B,'Base stats'!W:W)="No","No",MROUND((LOG10(_xlfn.XLOOKUP(B66,'Base stats'!B:B,'Base stats'!AU:AU))*(AO66^0.5)+(_xlfn.XLOOKUP(B66,'Base stats'!B:B,'Base stats'!AU:AU)/1000)^(2/3)+_xlfn.XLOOKUP(B66,'Base stats'!B:B,'Base stats'!AZ:AZ))+0.5+IF(_xlfn.XLOOKUP(_xlfn.XLOOKUP(B66,'Base stats'!B:B,'Base stats'!E:E),Groups!A:A,Groups!U:U)&lt;&gt;3,_xlfn.XLOOKUP(B66,'Base stats'!B:B,'Base stats'!BA:BA),0),0.5))</f>
        <v>No</v>
      </c>
      <c r="Y66" s="7" t="str">
        <f>IF(X66="No","No",MAX(_xlfn.XLOOKUP(_xlfn.XLOOKUP(B66,'Base stats'!B:B,'Base stats'!E:E),Groups!A:A,Groups!V:V),MROUND(_xlfn.XLOOKUP(_xlfn.XLOOKUP(B66,'Base stats'!B:B,'Base stats'!E:E),Groups!A:A,Groups!V:V)*_xlfn.XLOOKUP(B66,'Base stats'!B:B,'Base stats'!C:C)^0.165,0.05)))</f>
        <v>No</v>
      </c>
      <c r="Z66" s="7" t="str">
        <f>IF(X66="No","No",_xlfn.XLOOKUP(_xlfn.XLOOKUP(B66,'Base stats'!B:B,'Base stats'!E:E),Groups!A:A,Groups!W:W))</f>
        <v>No</v>
      </c>
      <c r="AA66" s="7" t="str">
        <f>IF(X66="No","No",_xlfn.XLOOKUP(_xlfn.XLOOKUP(B66,'Base stats'!B:B,'Base stats'!E:E),Groups!A:A,Groups!X:X))</f>
        <v>No</v>
      </c>
      <c r="AB66" s="7" t="str">
        <f>IF(X66="No","No",_xlfn.XLOOKUP(_xlfn.XLOOKUP(B66,'Base stats'!B:B,'Base stats'!E:E),Groups!A:A,Groups!Y:Y))</f>
        <v>No</v>
      </c>
      <c r="AC66" s="7" t="str">
        <f>_xlfn.XLOOKUP(Animals!B66,'Base stats'!B:B,'Base stats'!X:X)</f>
        <v>False</v>
      </c>
      <c r="AD66" s="13">
        <f>IF(_xlfn.XLOOKUP(B66,'Base stats'!B:B,'Base stats'!AT:AT)="No","No",MROUND((LOG10(_xlfn.XLOOKUP(B66,'Base stats'!B:B,'Base stats'!AT:AT))*(AO66^0.75)+(_xlfn.XLOOKUP(B66,'Base stats'!B:B,'Base stats'!AT:AT)/1000)^(2/3)+_xlfn.XLOOKUP(B66,'Base stats'!B:B,'Base stats'!AX:AX)+_xlfn.XLOOKUP(B66,'Base stats'!B:B,'Base stats'!BA:BA))+0.5,0.5))</f>
        <v>2.5</v>
      </c>
      <c r="AE66" s="7">
        <f>IF(AD66="No","No",MAX(_xlfn.XLOOKUP(_xlfn.XLOOKUP(B66,'Base stats'!B:B,'Base stats'!E:E),Groups!A:A,Groups!Z:Z),MROUND(_xlfn.XLOOKUP(_xlfn.XLOOKUP(B66,'Base stats'!B:B,'Base stats'!E:E),Groups!A:A,Groups!Z:Z)*_xlfn.XLOOKUP(B66,'Base stats'!B:B,'Base stats'!C:C)^0.165,0.05)))</f>
        <v>0.8</v>
      </c>
      <c r="AF66" s="7" t="str">
        <f>IF(AD66="No","No",_xlfn.XLOOKUP(_xlfn.XLOOKUP(B66,'Base stats'!B:B,'Base stats'!E:E),Groups!A:A,Groups!AA:AA))</f>
        <v>Beak</v>
      </c>
      <c r="AG66" s="7" t="str">
        <f>IF(AD66="No","No",_xlfn.XLOOKUP(_xlfn.XLOOKUP(B66,'Base stats'!B:B,'Base stats'!E:E),Groups!A:A,Groups!AB:AB))</f>
        <v>beak</v>
      </c>
      <c r="AH66" s="7" t="str">
        <f>IF(AD66="No","No",_xlfn.XLOOKUP(_xlfn.XLOOKUP(B66,'Base stats'!B:B,'Base stats'!E:E),Groups!A:A,Groups!AC:AC))</f>
        <v>Blunt</v>
      </c>
      <c r="AI66" s="13" t="str">
        <f>IF(_xlfn.XLOOKUP(_xlfn.XLOOKUP(B66,'Base stats'!B:B,'Base stats'!E:E),Groups!A:A,Groups!AD:AD)=0,"No",MROUND((LOG10(_xlfn.XLOOKUP(B66,'Base stats'!B:B,'Base stats'!AS:AS))*(AO66^0.75)+(_xlfn.XLOOKUP(B66,'Base stats'!B:B,'Base stats'!AS:AS)/1000)^(2/3)+_xlfn.XLOOKUP(B66,'Base stats'!B:B,'Base stats'!AY:AY)+_xlfn.XLOOKUP(B66,'Base stats'!B:B,'Base stats'!BA:BA))+0.5,0.5))</f>
        <v>No</v>
      </c>
      <c r="AJ66" s="7" t="str">
        <f>IF(AI66="No","No",MAX(_xlfn.XLOOKUP(_xlfn.XLOOKUP(B66,'Base stats'!B:B,'Base stats'!E:E),Groups!A:A,Groups!AE:AE),MROUND(_xlfn.XLOOKUP(_xlfn.XLOOKUP(B66,'Base stats'!B:B,'Base stats'!E:E),Groups!A:A,Groups!AE:AE)*IF(_xlfn.XLOOKUP(_xlfn.XLOOKUP(B66,'Base stats'!B:B,'Base stats'!E:E),Groups!A:A,Groups!AJ:AJ)="Photonozoa",0.6,1)*_xlfn.XLOOKUP(B66,'Base stats'!B:B,'Base stats'!C:C)^0.165,0.05)))</f>
        <v>No</v>
      </c>
      <c r="AK66" s="7" t="str">
        <f>IF(AI66="No","No",_xlfn.XLOOKUP(_xlfn.XLOOKUP(B66,'Base stats'!B:B,'Base stats'!E:E),Groups!A:A,Groups!AF:AF))</f>
        <v>No</v>
      </c>
      <c r="AL66" s="7" t="str">
        <f>IF(AI66="No","No",_xlfn.XLOOKUP(_xlfn.XLOOKUP(B66,'Base stats'!B:B,'Base stats'!E:E),Groups!A:A,Groups!AG:AG))</f>
        <v>No</v>
      </c>
      <c r="AM66" s="7" t="str">
        <f>IF(AI66="No","No",_xlfn.XLOOKUP(_xlfn.XLOOKUP(B66,'Base stats'!B:B,'Base stats'!E:E),Groups!A:A,Groups!AH:AH))</f>
        <v>No</v>
      </c>
      <c r="AN66" s="2" t="str">
        <f t="shared" si="0"/>
        <v>No</v>
      </c>
      <c r="AO66" s="2">
        <f>MROUND(IF(AND(_xlfn.XLOOKUP(B66,'Base stats'!B:B,'Base stats'!C:C)&gt;=0.5,_xlfn.XLOOKUP(B66,'Base stats'!B:B,'Base stats'!C:C)&lt;=0.8),
IF(_xlfn.XLOOKUP(B66,'Base stats'!B:B,'Base stats'!C:C)&lt;0.1,0.05,IF(_xlfn.XLOOKUP(B66,'Base stats'!B:B,'Base stats'!C:C)&lt;=70,(_xlfn.XLOOKUP(B66,'Base stats'!B:B,'Base stats'!C:C)/70)^0.426489913056526,IF(_xlfn.XLOOKUP(B66,'Base stats'!B:B,'Base stats'!C:C)&lt;=400,(_xlfn.XLOOKUP(B66,'Base stats'!B:B,'Base stats'!C:C)/70)^0.572811455315093,IF(_xlfn.XLOOKUP(B66,'Base stats'!B:B,'Base stats'!C:C)&lt;=2000,2.71391647193063*(_xlfn.XLOOKUP(B66,'Base stats'!B:B,'Base stats'!C:C)/400)^0.252459582904293,3.74314280240376*(_xlfn.XLOOKUP(B66,'Base stats'!B:B,'Base stats'!C:C)/2000)^0.357012633876913)))),
IF(_xlfn.XLOOKUP(B66,'Base stats'!B:B,'Base stats'!C:C)&lt;0.1,0.05,IF(_xlfn.XLOOKUP(B66,'Base stats'!B:B,'Base stats'!C:C)&lt;0.4,0.1,IF(_xlfn.XLOOKUP(B66,'Base stats'!B:B,'Base stats'!C:C)&lt;=70,(_xlfn.XLOOKUP(B66,'Base stats'!B:B,'Base stats'!C:C)/70)^0.445823913056526,IF(_xlfn.XLOOKUP(B66,'Base stats'!B:B,'Base stats'!C:C)&lt;=400,(_xlfn.XLOOKUP(B66,'Base stats'!B:B,'Base stats'!C:C)/70)^0.572811455315093,IF(_xlfn.XLOOKUP(B66,'Base stats'!B:B,'Base stats'!C:C)&lt;=2000,2.71391647193063*(_xlfn.XLOOKUP(B66,'Base stats'!B:B,'Base stats'!C:C)/400)^0.252459582904293,3.74314280240376*(_xlfn.XLOOKUP(B66,'Base stats'!B:B,'Base stats'!C:C)/2000)^0.357012633876913)))))),
IF(_xlfn.XLOOKUP(B66,'Base stats'!B:B,'Base stats'!C:C)&lt;0.1,0.05,IF(_xlfn.XLOOKUP(B66,'Base stats'!B:B,'Base stats'!C:C)&lt;=100,0.05,IF(_xlfn.XLOOKUP(B66,'Base stats'!B:B,'Base stats'!C:C)&lt;=250,0.1,IF(_xlfn.XLOOKUP(B66,'Base stats'!B:B,'Base stats'!C:C)&lt;=4000,0.25,0.5)))))</f>
        <v>0.15000000000000002</v>
      </c>
      <c r="AP66" s="8">
        <f>MROUND(AO66*_xlfn.XLOOKUP(_xlfn.XLOOKUP(B66,'Base stats'!B:B,'Base stats'!E:E),Groups!A:A,Groups!AI:AI)*_xlfn.XLOOKUP(B66,'Base stats'!B:B,'Base stats'!Z:Z),0.05)</f>
        <v>0.15000000000000002</v>
      </c>
      <c r="AQ66" s="8">
        <f>MAX(0.01,MROUND(IF(CC66="True",0.196*(AO66*100*1000)^0.889,IF(_xlfn.XLOOKUP(_xlfn.XLOOKUP(B66,'Base stats'!B:B,'Base stats'!E:E),Groups!A:A,Groups!AJ:AJ)="Bird",10.5*(AO66*100*1000)^0.681,4.82*(AO66*100*1000)^0.734))/(4.82*(1*100*1000)^0.734)/IF(AO66&lt;3.5,2,IF(AO66=3.5,1.5,1.25))*(1+0.132282374779864/(AO66^0.994035016789033+0.00905238001496948)),0.05))</f>
        <v>0.30000000000000004</v>
      </c>
      <c r="AR66" s="9">
        <f>IFERROR(MROUND(_xlfn.XLOOKUP(B66,'Base stats'!B:B,'Base stats'!H:H)/IF(_xlfn.XLOOKUP(B66,'Base stats'!B:B,'Base stats'!I:I)&lt;&gt;1,(122.5/70),1.2),IF(_xlfn.XLOOKUP(B66,'Base stats'!B:B,'Base stats'!H:H)&gt;=30,5,IF(_xlfn.XLOOKUP(B66,'Base stats'!B:B,'Base stats'!H:H)&gt;=15,3,IF(_xlfn.XLOOKUP(B66,'Base stats'!B:B,'Base stats'!H:H)&gt;=10,2,1)))),"Immortal")</f>
        <v>20</v>
      </c>
      <c r="AS66" s="35" t="str">
        <f>IFERROR(IF(OR(_xlfn.XLOOKUP(B66,'Base stats'!B:B,'Base stats'!F:F)="Atypical reproduction",_xlfn.XLOOKUP(B66,'Base stats'!B:B,'Base stats'!F:F)="Lay eggs"),"Lay eggs",MIN(20,MAX(5.5,ROUND(((_xlfn.XLOOKUP(B66,'Base stats'!B:B,'Base stats'!F:F)-25)*(14.5/615) + 5.5)*2,0)/2))),"Unknown")</f>
        <v>Lay eggs</v>
      </c>
      <c r="AT66" s="8">
        <f>IF(_xlfn.XLOOKUP(B66,'Base stats'!B:B,'Base stats'!G:G)="Atypical reproduction","No",IFERROR(MAX(IF(_xlfn.XLOOKUP(B66,'Base stats'!B:B,'Base stats'!G:G)&lt;0.5,0.2,0.3),MROUND(_xlfn.XLOOKUP(B66,'Base stats'!B:B,'Base stats'!G:G)/(365/60),0.2)),"Unknown"))</f>
        <v>0.4</v>
      </c>
      <c r="AU66" s="8">
        <f t="shared" si="1"/>
        <v>0.2</v>
      </c>
      <c r="AV66" s="8" t="str">
        <f>IFERROR(IFERROR(MROUND(_xlfn.XLOOKUP(B66,'Base stats'!B:B,'Base stats'!J:J),0.1),"Lay eggs"),"Cannot breed")</f>
        <v>Lay eggs</v>
      </c>
      <c r="AW66" s="2" t="str">
        <f t="shared" si="2"/>
        <v>true</v>
      </c>
      <c r="AX66" s="2" t="str">
        <f>IF(_xlfn.XLOOKUP(_xlfn.XLOOKUP(Animals!B66,'Base stats'!B:B,'Base stats'!E:E),Groups!A:A,Groups!AK:AK)=1,"true","false")</f>
        <v>false</v>
      </c>
      <c r="AY66" s="25" t="str">
        <f>IF(_xlfn.XLOOKUP(B66,'Base stats'!B:B,'Base stats'!Y:Y)="Liquor","Liquor, CarnivoreAnimalStrict",IF(AND(_xlfn.XLOOKUP(B66,'Base stats'!B:B,'Base stats'!Y:Y)="Carnivore",_xlfn.XLOOKUP(_xlfn.XLOOKUP(B66,'Base stats'!B:B,'Base stats'!E:E),Groups!A:A,Groups!AJ:AJ)="Photonozoa"),"CarnivoreAnimalStrict, OvivoreAnimal",IF(_xlfn.XLOOKUP(B66,'Base stats'!B:B,'Base stats'!Y:Y)="Carnivore","CarnivoreAnimal, OvivoreAnimal",IF(_xlfn.XLOOKUP(B66,'Base stats'!B:B,'Base stats'!Y:Y)="Dendrovore","VegetarianRoughAnimal, DendrovoreAnimal",IF(_xlfn.XLOOKUP(B66,'Base stats'!B:B,'Base stats'!Y:Y)="Herbivore","VegetarianRoughAnimal",IF(_xlfn.XLOOKUP(B66,'Base stats'!B:B,'Base stats'!Y:Y)="OmnivoreRough","OmnivoreRoughAnimal, OvivoreAnimal","OmnivoreAnimal, OvivoreAnimal"))))))</f>
        <v>VegetarianRoughAnimal</v>
      </c>
      <c r="AZ66" s="2" t="str">
        <f>IF(_xlfn.XLOOKUP(_xlfn.XLOOKUP(B66,'Base stats'!B:B,'Base stats'!E:E),Groups!A:A,Groups!D:D)=1,MROUND((1-J66)*5+1,2)*IF(J66&lt;=0.4,2,1),"No")</f>
        <v>No</v>
      </c>
      <c r="BA66" s="2" t="str">
        <f>IF(AND(_xlfn.XLOOKUP(B66,'Base stats'!B:B,'Base stats'!AH:AH)="&lt;li&gt;Seal&lt;/li&gt;",G66="Odyssey"),"&lt;li&gt;AEXP_Seal&lt;/li&gt;",_xlfn.XLOOKUP(B66,'Base stats'!B:B,'Base stats'!AH:AH))</f>
        <v>&lt;li&gt;Cassowary&lt;/li&gt;</v>
      </c>
      <c r="BB66" s="2" t="str">
        <f>_xlfn.XLOOKUP(B66,'Base stats'!B:B,'Base stats'!AG:AG)</f>
        <v>No</v>
      </c>
      <c r="BC66" s="23" t="str">
        <f>_xlfn.XLOOKUP(_xlfn.XLOOKUP(B66,'Base stats'!B:B,'Base stats'!E:E),Groups!A:A,Groups!AL:AL)</f>
        <v>Bird</v>
      </c>
      <c r="BD66" s="23">
        <f>MIN(1,MROUND(IF(AND(AO66&lt;0.5,_xlfn.XLOOKUP(B66,'Base stats'!B:B,'Base stats'!AA:AA)=0),0,IF(OR(_xlfn.XLOOKUP(Animals!B66,'Base stats'!B:B,'Base stats'!O:O)=2,_xlfn.XLOOKUP(_xlfn.XLOOKUP(B66,'Base stats'!B:B,'Base stats'!E:E),Groups!A:A,Groups!AN:AN)=0),0,_xlfn.XLOOKUP(_xlfn.XLOOKUP(B66,'Base stats'!B:B,'Base stats'!E:E),Groups!A:A,Groups!AN:AN)/IF(_xlfn.XLOOKUP(Animals!B66,'Base stats'!B:B,'Base stats'!O:O)=1,2,1)))+_xlfn.XLOOKUP(B66,'Base stats'!B:B,'Base stats'!AC:AC),0.005))</f>
        <v>0</v>
      </c>
      <c r="BE66" s="23">
        <f>MIN(1,MROUND(IF(AND(AO66&lt;0.5,_xlfn.XLOOKUP(B66,'Base stats'!B:B,'Base stats'!AA:AA)=0),0,IF(_xlfn.XLOOKUP(_xlfn.XLOOKUP(B66,'Base stats'!B:B,'Base stats'!E:E),Groups!A:A,Groups!AO:AO)=0,0,_xlfn.XLOOKUP(_xlfn.XLOOKUP(B66,'Base stats'!B:B,'Base stats'!E:E),Groups!A:A,Groups!AO:AO)/IF(_xlfn.XLOOKUP(Animals!B66,'Base stats'!B:B,'Base stats'!O:O)=2,3,1)))+_xlfn.XLOOKUP(B66,'Base stats'!B:B,'Base stats'!AD:AD),0.005))</f>
        <v>0</v>
      </c>
      <c r="BF66" s="2" t="str">
        <f>IF(J66&gt;0.3,"No",_xlfn.XLOOKUP(_xlfn.XLOOKUP(Animals!B66,'Base stats'!B:B,'Base stats'!E:E),Groups!A:A,Groups!AP:AP))</f>
        <v>No</v>
      </c>
      <c r="BG66" s="2">
        <f>IF(AND(J66&lt;=0.65,_xlfn.XLOOKUP(_xlfn.XLOOKUP(Animals!B66,'Base stats'!B:B,'Base stats'!E:E),Groups!A:A,Groups!AP:AP)&lt;&gt;"No",_xlfn.XLOOKUP(_xlfn.XLOOKUP(B66,'Base stats'!B:B,'Base stats'!E:E),Groups!A:A,Groups!D:D)=0),MROUND((80/3)*IF(_xlfn.XLOOKUP(B66,'Base stats'!B:B,'Base stats'!O:O)=2,0.2,AO66) + 24*(1-IF(BF66="No",0,BF66)) + 16/3, 12),"No")</f>
        <v>36</v>
      </c>
      <c r="BH66" s="2">
        <f>IF(AND(_xlfn.XLOOKUP(_xlfn.XLOOKUP(B66,'Base stats'!B:B,'Base stats'!E:E),Groups!A:A,Groups!AQ:AQ)=1,AO66&lt;=0.35),8,12)</f>
        <v>12</v>
      </c>
      <c r="BI66" s="2" t="str">
        <f>IF(_xlfn.XLOOKUP(_xlfn.XLOOKUP(B66,'Base stats'!B:B,'Base stats'!E:E),Groups!A:A,Groups!D:D)=0,_xlfn.XLOOKUP(_xlfn.XLOOKUP(B66,'Base stats'!B:B,'Base stats'!E:E),Groups!A:A,Groups!AR:AR),"None")</f>
        <v>Advanced</v>
      </c>
      <c r="BJ66" s="2" t="str">
        <f>IF(AND(_xlfn.XLOOKUP(_xlfn.XLOOKUP(B66,'Base stats'!B:B,'Base stats'!E:E),Groups!A:A,Groups!AS:AS)=1,OR(_xlfn.XLOOKUP(B66,'Base stats'!B:B,'Base stats'!Y:Y)="Carnivore",_xlfn.XLOOKUP(B66,'Base stats'!B:B,'Base stats'!Y:Y)="Omnivore")),"true","false")</f>
        <v>false</v>
      </c>
      <c r="BK66" s="2" t="str">
        <f>IF(BJ66="true",MROUND(IF(AND(AO66&gt;0.5,OR(_xlfn.XLOOKUP(_xlfn.XLOOKUP(B66,'Base stats'!B:B,'Base stats'!E:E),Groups!A:A,Groups!AJ:AJ)="Photonozoa",_xlfn.XLOOKUP(_xlfn.XLOOKUP(B66,'Base stats'!B:B,'Base stats'!E:E),Groups!A:A,Groups!AJ:AJ)="Mammal")),Animals!AO66*1.75*IF(AW66="true",1.5,1),IF(AO66&lt;0.5,Animals!AO66*0.5,Animals!AO66)),IF(AO66&gt;2,0.5,IF(AO66&gt;0.5,0.25,0.1))),"No")</f>
        <v>No</v>
      </c>
      <c r="BL66" s="2">
        <f t="shared" si="3"/>
        <v>1</v>
      </c>
      <c r="BM66" s="25" t="str">
        <f>IF(_xlfn.XLOOKUP(B66,'Base stats'!B:B,'Base stats'!AN:AN)="Standard","No",MROUND((_xlfn.XLOOKUP(B66,'Base stats'!B:B,'Base stats'!AN:AN)/3.6)/I66,0.1))</f>
        <v>No</v>
      </c>
      <c r="BN66" s="25" t="str">
        <f t="shared" si="4"/>
        <v>false</v>
      </c>
      <c r="BO66" s="25" t="str">
        <f>IF(AND(OR(_xlfn.XLOOKUP(B66,'Base stats'!B:B,'Base stats'!Y:Y)="Carnivore",_xlfn.XLOOKUP(B66,'Base stats'!B:B,'Base stats'!Y:Y)="Omnivore",_xlfn.XLOOKUP(B66,'Base stats'!B:B,'Base stats'!Y:Y)="OmnivoreRough"),_xlfn.XLOOKUP(_xlfn.XLOOKUP(B66,'Base stats'!B:B,'Base stats'!E:E),Groups!A:A,Groups!AT:AT)=1),"true","false")</f>
        <v>false</v>
      </c>
      <c r="BP66" s="25" t="str" cm="1">
        <f t="array" ref="BP66">IF(
  _xlfn.TEXTJOIN(", ",TRUE,
    IF(AND(BJ66="true",AO66&gt;0.5,BI66&lt;&gt;"None"),"AttackTarget",""),
    IF(AND(_xlfn.XLOOKUP(_xlfn.XLOOKUP(B66,'Base stats'!B:B,'Base stats'!E:E),Groups!A:A,Groups!AJ:AJ="Mammal"),OR(_xlfn.XLOOKUP(B66,'Base stats'!B:B,'Base stats'!Y:Y)="Omnivore",_xlfn.XLOOKUP(B66,'Base stats'!B:B,'Base stats'!Y:Y)="OmnivoreRough")),"Forage",""),
    IF(BG66&lt;=36,"Comfort",""),
    IF(_xlfn.XLOOKUP(B66,'Base stats'!B:B,'Base stats'!AE:AE)&lt;&gt;"No",_xlfn.XLOOKUP(B66,'Base stats'!B:B,'Base stats'!AE:AE),"")
  ) = "",
  "No",
  _xlfn.TEXTJOIN(", ",TRUE,
    IF(AND(BJ66="true",AO66&gt;0.5,BI66&lt;&gt;"None"),"AttackTarget",""),
    IF(AND(_xlfn.XLOOKUP(_xlfn.XLOOKUP(B66,'Base stats'!B:B,'Base stats'!E:E),Groups!A:A,Groups!AJ:AJ="Mammal"),OR(_xlfn.XLOOKUP(B66,'Base stats'!B:B,'Base stats'!Y:Y)="Omnivore",_xlfn.XLOOKUP(B66,'Base stats'!B:B,'Base stats'!Y:Y)="OmnivoreRough")),"Forage",""),
    IF(BG66&lt;=36,"Comfort",""),
    IF(_xlfn.XLOOKUP(B66,'Base stats'!B:B,'Base stats'!AE:AE)&lt;&gt;"No",_xlfn.XLOOKUP(B66,'Base stats'!B:B,'Base stats'!AE:AE),"")
  )
)</f>
        <v>Comfort</v>
      </c>
      <c r="BQ66" s="25" t="str">
        <f>IF(
   AND(
      'Base stats'!AN66="Standard",_xlfn.XLOOKUP(_xlfn.XLOOKUP(B66,'Base stats'!B:B,'Base stats'!E:E),Groups!A:A,Groups!AU:AU)=0,
      OR(
      BO66="True"
      )
   ),
   10,
   IF(
       OR(BM66&lt;&gt;"No",_xlfn.XLOOKUP(_xlfn.XLOOKUP(B66,'Base stats'!B:B,'Base stats'!E:E),Groups!A:A,Groups!AU:AU)=1),
      1,
      "No"
   )
)</f>
        <v>No</v>
      </c>
      <c r="BR66" s="9">
        <f>MROUND((1 + ((0.2*IF(OR(Q66="No",R66="No",R66=0),0,Q66/R66)
+IF(OR(V66="No",S66="No",T66="No"),0,S66/T66*(LEN(V66)-LEN(SUBSTITUTE(V66,",",""))+1))
+IF(OR(X66="No",Y66="No"),0,X66/Y66)
+IF(OR(AD66="No",AE66="No"),0,AD66/AE66)
+IF(OR(AL66="No",AI66="No",AJ66="No"),0,AI66/AJ66*(LEN(AL66)-LEN(SUBSTITUTE(AL66,",",""))+1))
)/(0.2*IF(OR(Q66="No",R66="No",R66=0),0,1)
+IF(OR(V66="No",S66="No",T66="No"),0,LEN(V66)-LEN(SUBSTITUTE(V66,",",""))+1)
+IF(OR(X66="No",Y66="No"),0,1)
+IF(OR(AD66="No",AE66="No"),0,1)
+IF(OR(AL66="No",AI66="No",AJ66="No"),0,LEN(AL66)-LEN(SUBSTITUTE(AL66,",",""))+1))*62%)* 2)*(1 + (AP66 / (IF(_xlfn.XLOOKUP(_xlfn.XLOOKUP(B66,'Base stats'!B:B,'Base stats'!E:E),Groups!A:A,Groups!AJ:AJ)="Photonozoa",0.3,1)) + _xlfn.XLOOKUP(B66,'Base stats'!B:B,'Base stats'!AV:AV) * 1.8) * 2) * 2.5 + 10 + I66 * 2,5)+IF(_xlfn.XLOOKUP(B66,'Base stats'!B:B,'Base stats'!AK:AK)=1,50,0)</f>
        <v>25</v>
      </c>
      <c r="BS66" s="8">
        <f t="shared" si="5"/>
        <v>0.25</v>
      </c>
      <c r="BT66" s="8" t="str">
        <f>_xlfn.XLOOKUP(B66,'Base stats'!B:B,'Base stats'!AF:AF)</f>
        <v>3~8</v>
      </c>
      <c r="BU66" s="2" t="str">
        <f>IF(AND(J66&lt;=0.95,OR(_xlfn.XLOOKUP(B66,'Base stats'!B:B,'Base stats'!AK:AK)=1,_xlfn.XLOOKUP(B66,'Base stats'!B:B,'Base stats'!Y:Y)="Carnivore",_xlfn.XLOOKUP(B66,'Base stats'!B:B,'Base stats'!Y:Y)="Omnivore",BE66&gt;0.1)),"true","false")</f>
        <v>false</v>
      </c>
      <c r="BV66" s="2" t="str">
        <f>IF(_xlfn.XLOOKUP(B66,'Base stats'!B:B,'Base stats'!AI:AI)=1,"true","false")</f>
        <v>false</v>
      </c>
      <c r="BW66" s="25" t="str">
        <f>IF(E66="BaseInsect","AnimalInsect",
IF(J66&gt;0.95,"AnimalExotic",
_xlfn.TEXTJOIN(", ",TRUE,
IF(OR(_xlfn.XLOOKUP(B66,'Base stats'!B:B,'Base stats'!AM:AM)=1,AND(_xlfn.XLOOKUP(B66,'Base stats'!B:B,'Base stats'!O:O)=0,_xlfn.XLOOKUP(_xlfn.XLOOKUP(B66,'Base stats'!B:B,'Base stats'!E:E),Groups!A:A,Groups!B:B)&gt;0)),"AnimalUncommon","AnimalCommon"),
IF(AND(_xlfn.XLOOKUP(B66,'Base stats'!B:B,'Base stats'!O:O)=2,_xlfn.XLOOKUP(_xlfn.XLOOKUP(B66,'Base stats'!B:B,'Base stats'!E:E),Groups!A:A,Groups!D:D)=0),"AnimalPet",IF(AND(_xlfn.XLOOKUP(B66,'Base stats'!B:B,'Base stats'!O:O)&lt;&gt;0,_xlfn.XLOOKUP(_xlfn.XLOOKUP(B66,'Base stats'!B:B,'Base stats'!E:E),Groups!A:A,Groups!D:D)&lt;&gt;0),"AnimalFarm","")),
IF(OR(_xlfn.XLOOKUP(B66,'Base stats'!B:B,'Base stats'!AK:AK)=1,AND(BI66&lt;&gt;"None",BR66&gt;=60),ISNUMBER(SEARCH("Attack target",BP66))),"AnimalFighter","")
)))</f>
        <v>AnimalUncommon</v>
      </c>
      <c r="BX66" s="25" t="str">
        <f>IF(G66="None",TRIM(
SUBSTITUTE(
IF(COUNTIF(Biomes!B$2:B$259,"="&amp;$C66)&gt;0,Biomes!B$1&amp;", ","")&amp;
IF(COUNTIF(Biomes!C$2:C$259,"="&amp;$C66)&gt;0,Biomes!C$1&amp;", ","")&amp;
IF(COUNTIF(Biomes!D$2:D$259,"="&amp;$C66)&gt;0,Biomes!D$1&amp;", ","")&amp;
IF(COUNTIF(Biomes!F$2:F$259,"="&amp;$C66)&gt;0,Biomes!F$1&amp;", ","")&amp;
IF(COUNTIF(Biomes!G$2:G$259,"="&amp;$C66)&gt;0,Biomes!G$1&amp;", ","")&amp;
IF(COUNTIF(Biomes!H$2:H$259,"="&amp;$C66)&gt;0,Biomes!H$1&amp;", ","")&amp;
IF(COUNTIF(Biomes!I$2:I$259,"="&amp;$C66)&gt;0,Biomes!I$1&amp;", ","")&amp;
IF(COUNTIF(Biomes!J$2:J$259,"="&amp;$C66)&gt;0,Biomes!J$1&amp;", ","")&amp;
IF(COUNTIF(Biomes!M$2:M$259,"="&amp;$C66)&gt;0,Biomes!M$1&amp;", ","")&amp;
IF(COUNTIF(Biomes!N$2:N$259,"="&amp;$C66)&gt;0,Biomes!N$1&amp;", ","")&amp;
IF(COUNTIF(Biomes!O$2:O$259,"="&amp;$C66)&gt;0,Biomes!O$1&amp;", ","")&amp;
IF(COUNTIF(Biomes!P$2:P$259,"="&amp;$C66)&gt;0,Biomes!P$1&amp;", ","")&amp;
IF(COUNTIF(Biomes!K$2:K$259,"="&amp;$C66)&gt;0,Biomes!K$1&amp;", ","")&amp;
IF(COUNTIF(Biomes!Q$3:Q$259,"="&amp;$C66)&gt;0,Biomes!Q$1&amp;", ","")&amp;
IF(COUNTIF(Biomes!L$2:L$259,"="&amp;$C66)&gt;0,Biomes!L$1&amp;", ","")&amp;
IF(COUNTIF(Biomes!E$2:E$259,"="&amp;$C66)&gt;0,Biomes!E$1&amp;", ","")&amp;IF(COUNTIF(Biomes!S$2:S$259,"="&amp;$C66)&gt;0,Biomes!S$1&amp;", ","")&amp;
IF(COUNTIF(Biomes!R$2:R$259,"="&amp;$C66)&gt;0,Biomes!R$1&amp;", ",""),", ","")
),_xlfn.XLOOKUP(B66,B:B,BX:BX))</f>
        <v>TropicalRainforest TropicalSwamp</v>
      </c>
      <c r="BY66" s="25" t="str">
        <f>IF(_xlfn.XLOOKUP(B66,'Base stats'!B:B,'Base stats'!AJ:AJ)=1,"true","false")</f>
        <v>false</v>
      </c>
      <c r="BZ66" s="25">
        <f>IF(_xlfn.XLOOKUP(B66,'Base stats'!B:B,'Base stats'!N:N)=1,"No",MAX(0.001,MIN(MROUND(IF(AND(BJ66="True",CC66="False"),POWER(10,3.47*LOG10(_xlfn.XLOOKUP(B66,'Base stats'!B:B,'Base stats'!C:C)*1000)^-0.96),POWER(10,4.15*LOG10(_xlfn.XLOOKUP(B66,'Base stats'!B:B,'Base stats'!C:C)*1000)^-0.73))*IF(_xlfn.XLOOKUP(B66,'Base stats'!B:B,'Base stats'!AK:AK)=1,0.5,1)*IF(_xlfn.XLOOKUP(B66,'Base stats'!B:B,'Base stats'!AM:AM)=1,0.1,1)/100,IF(_xlfn.XLOOKUP(B66,'Base stats'!B:B,'Base stats'!AM:AM)=1,0.001,0.025)),0.5)))</f>
        <v>0.5</v>
      </c>
      <c r="CA66" s="25" t="str">
        <f>IF(P66="Standard","No",MAX(0.001,MIN(MROUND(IF(AND(BJ66="True",CC66="False"),POWER(10,3.47*LOG10(_xlfn.XLOOKUP(B66,'Base stats'!B:B,'Base stats'!C:C)*1000)^-0.96),POWER(10,4.15*LOG10(_xlfn.XLOOKUP(B66,'Base stats'!B:B,'Base stats'!C:C)*1000)^-0.73))*IF(_xlfn.XLOOKUP(B66,'Base stats'!B:B,'Base stats'!AM:AM)=1,0.1,1)*_xlfn.XLOOKUP(B66,'Base stats'!B:B,'Base stats'!R:R)/100,IF(_xlfn.XLOOKUP(B66,'Base stats'!B:B,'Base stats'!AM:AM)=1,0.001,0.025)),0.5)))</f>
        <v>No</v>
      </c>
      <c r="CB66" s="25" t="str">
        <f>IF(_xlfn.XLOOKUP(_xlfn.XLOOKUP(B66,'Base stats'!B:B,'Base stats'!E:E),Groups!A:A,Groups!AJ:AJ)="Mammal","True","False")</f>
        <v>False</v>
      </c>
      <c r="CC66" s="25" t="str">
        <f>IF(OR(_xlfn.XLOOKUP(_xlfn.XLOOKUP(B66,'Base stats'!B:B,'Base stats'!E:E),Groups!A:A,Groups!AJ:AJ)="Reptile",_xlfn.XLOOKUP(_xlfn.XLOOKUP(B66,'Base stats'!B:B,'Base stats'!E:E),Groups!A:A,Groups!AJ:AJ)="Amphibian",_xlfn.XLOOKUP(_xlfn.XLOOKUP(B66,'Base stats'!B:B,'Base stats'!E:E),Groups!A:A,Groups!AJ:AJ)="Invertebrate"),"True","False")</f>
        <v>False</v>
      </c>
      <c r="CD66" s="25" t="str">
        <f t="shared" si="6"/>
        <v>False</v>
      </c>
      <c r="CE66" s="25" t="str">
        <f>IF(_xlfn.XLOOKUP(_xlfn.XLOOKUP(B66,'Base stats'!B:B,'Base stats'!E:E),Groups!A:A,Groups!AX:AX),"True","False")</f>
        <v>False</v>
      </c>
      <c r="CF66" s="25" t="str">
        <f>IF(_xlfn.XLOOKUP(_xlfn.XLOOKUP(B66,'Base stats'!B:B,'Base stats'!E:E),Groups!A:A,Groups!AY:AY),"True","False")</f>
        <v>False</v>
      </c>
      <c r="CG66" s="25" t="str">
        <f>IF(_xlfn.XLOOKUP(_xlfn.XLOOKUP(B66,'Base stats'!B:B,'Base stats'!E:E),Groups!A:A,Groups!AW:AW),"True","False")</f>
        <v>False</v>
      </c>
      <c r="CH66" s="25" t="str">
        <f>IF(
OR(
_xlfn.XLOOKUP(_xlfn.XLOOKUP(B66,'Base stats'!B:B,'Base stats'!E:E),Groups!A:A,Groups!AZ:AZ)=0,
AND(
_xlfn.XLOOKUP(B66,'Base stats'!B:B,'Base stats'!Y:Y)&lt;&gt;"Carnivore",
_xlfn.XLOOKUP(B66,'Base stats'!B:B,'Base stats'!Y:Y)&lt;&gt;"Omnivore",
_xlfn.XLOOKUP(B66,'Base stats'!B:B,'Base stats'!Y:Y)&lt;&gt;"OmnivoreRough"
)
),
"No",
IF(
_xlfn.XLOOKUP(_xlfn.XLOOKUP(B66,'Base stats'!B:B,'Base stats'!E:E),Groups!A:A,Groups!AZ:AZ)=1,
"Flesh",
IF(
_xlfn.XLOOKUP(_xlfn.XLOOKUP(B66,'Base stats'!B:B,'Base stats'!E:E),Groups!A:A,Groups!AZ:AZ)=2,
"Bone",
""
)
)
)</f>
        <v>No</v>
      </c>
      <c r="CI66" s="25" t="str">
        <f>IF(_xlfn.XLOOKUP(_xlfn.XLOOKUP(B66,'Base stats'!B:B,'Base stats'!E:E),Groups!A:A,Groups!BB:BB),"True","False")</f>
        <v>True</v>
      </c>
      <c r="CJ66" s="25" t="str">
        <f>IF(_xlfn.XLOOKUP(_xlfn.XLOOKUP(B66,'Base stats'!B:B,'Base stats'!E:E),Groups!A:A,Groups!BA:BA),"True","False")</f>
        <v>False</v>
      </c>
    </row>
    <row r="67" spans="1:88" ht="16.5" thickTop="1" thickBot="1" x14ac:dyDescent="0.3">
      <c r="A67" s="26" t="str">
        <f>_xlfn.XLOOKUP(B67,'Base stats'!B:B,'Base stats'!A:A)</f>
        <v>Quail</v>
      </c>
      <c r="B67" s="6" t="s">
        <v>216</v>
      </c>
      <c r="C67" s="28" t="s">
        <v>747</v>
      </c>
      <c r="D67" s="28" t="s">
        <v>870</v>
      </c>
      <c r="E67" s="28" t="s">
        <v>743</v>
      </c>
      <c r="F67" s="28" t="s">
        <v>673</v>
      </c>
      <c r="G67" s="28" t="s">
        <v>673</v>
      </c>
      <c r="H67" s="2">
        <f>MROUND((
  (IF(AND(_xlfn.XLOOKUP(B67,'Base stats'!B:B,'Base stats'!AL:AL)=0,BI67="None",_xlfn.XLOOKUP(_xlfn.XLOOKUP(B67,'Base stats'!B:B,'Base stats'!E:E),Groups!A:A,Groups!B:B)=0), (18 + BR67 * 2.7) * 0.5,
    IF(AND(_xlfn.XLOOKUP(B67,'Base stats'!B:B,'Base stats'!AL:AL)=0,OR(AO67&lt;0.55,AND(BI67="Intermediate",_xlfn.XLOOKUP(_xlfn.XLOOKUP(B67,'Base stats'!B:B,'Base stats'!E:E),Groups!A:A,Groups!B:B)&lt;2))), (18 + BR67 * 2.7),
      IF(OR(BI67="Advanced",_xlfn.XLOOKUP(B67,'Base stats'!B:B,'Base stats'!AL:AL)=1,_xlfn.XLOOKUP(_xlfn.XLOOKUP(B67,'Base stats'!B:B,'Base stats'!E:E),Groups!A:A,Groups!B:B)=2), (18 + BR67 * 2.7) + 250, (18 + BR67 * 2.7))
    )
  ))
  + AO67 * 80
  + IF(COUNTIF(EggMilk!K$2:K$998, A67) &gt; 0, 125, 0)
  + IF(COUNTIF(EggMilk!P$2:P$998, A67) &gt; 0, 90, 0)
  + IF(COUNTIF(EggMilk!A$2:A$998, A67) &gt; 0, 90, 0)
)
* (0.8 + 0.4 * J67)
* 0.75,25)</f>
        <v>100</v>
      </c>
      <c r="I67" s="2">
        <f>MROUND(ROUNDDOWN(_xlfn.XLOOKUP(B67,'Base stats'!B:B,'Base stats'!L:L)/3.6/(23.3/11),1),0.5)</f>
        <v>2</v>
      </c>
      <c r="J67" s="2">
        <f>IF(OR(_xlfn.XLOOKUP(B67,'Base stats'!B:B,'Base stats'!AB:AB)=1,_xlfn.XLOOKUP(_xlfn.XLOOKUP(B67,'Base stats'!B:B,'Base stats'!E:E),Groups!A:A,Groups!C:C)="Untamable"),1,IF(_xlfn.XLOOKUP(B67,'Base stats'!B:B,'Base stats'!AL:AL)=1,0.99,MIN(MROUND((1-0.6282*EXP(-0.459*AO67))*_xlfn.XLOOKUP(_xlfn.XLOOKUP(B67,'Base stats'!B:B,'Base stats'!E:E),Groups!A:A,Groups!C:C)*IF(_xlfn.XLOOKUP(B67,'Base stats'!B:B,'Base stats'!O:O)=1,0.5,IF(_xlfn.XLOOKUP(B67,'Base stats'!B:B,'Base stats'!O:O)=2,0,1)),0.05),IF(AO67&gt;3.5,0.985,0.95))))</f>
        <v>0.5</v>
      </c>
      <c r="K67" s="2">
        <f>ROUNDUP(AO67*_xlfn.XLOOKUP(_xlfn.XLOOKUP(B67,'Base stats'!B:B,'Base stats'!E:E),Groups!A:A,Groups!E:E),0)</f>
        <v>2</v>
      </c>
      <c r="L67" s="2">
        <f>IF(OR(_xlfn.XLOOKUP(_xlfn.XLOOKUP(B67,'Base stats'!B:B,'Base stats'!E:E),Groups!A:A,Groups!F:F)=2,ISNUMBER(SEARCH("SeaIce",BX67)),ISNUMBER(SEARCH("IceSheet",BX67))),-50,IF(OR(ISNUMBER(SEARCH("GlacialPlain",BX67)),ISNUMBER(SEARCH("Tundra",BX67))),-40,IF(OR(ISNUMBER(SEARCH("Alpine",BX67)),ISNUMBER(SEARCH("BorealForest",BX67)),ISNUMBER(SEARCH("ColdBog",BX67))),-30,IF(OR(ISNUMBER(SEARCH("TemperateForest",BX67)),ISNUMBER(SEARCH("TemperateSwamp",BX67))),-20,IF(_xlfn.XLOOKUP(_xlfn.XLOOKUP(B67,'Base stats'!B:B,'Base stats'!E:E),Groups!A:A,Groups!F:F)=1,-15,IF(OR(ISNUMBER(SEARCH("Desert",BX67)),ISNUMBER(SEARCH("ExtremeDesert",BX67))),-10,IF(OR(ISNUMBER(SEARCH("Grasslands",BX67)),ISNUMBER(SEARCH("TropicalRainforest",BX67)),ISNUMBER(SEARCH("TropicalSwamp",BX67))),10,0)))))))-IF(CC67="False",MIN(IFERROR(MAX(MROUND(LOG10(_xlfn.XLOOKUP(B67,'Base stats'!B:B,'Base stats'!C:C)^(2/3))*10,5),5),5),30))-_xlfn.XLOOKUP(B67,'Base stats'!B:B,'Base stats'!P:P)+IF(CC67="True",5,0)</f>
        <v>-25</v>
      </c>
      <c r="M67" s="2">
        <f>IF(OR(_xlfn.XLOOKUP(_xlfn.XLOOKUP(B67,'Base stats'!B:B,'Base stats'!E:E),Groups!A:A,Groups!G:G)=2,ISNUMBER(SEARCH("Desert",BX67)),ISNUMBER(SEARCH("ExtremeDesert",BX67)),ISNUMBER(SEARCH("LavaField",BX67))),50,IF(ISNUMBER(SEARCH("Grasslands",BX67)),45,IF(OR(_xlfn.XLOOKUP(_xlfn.XLOOKUP(B67,'Base stats'!B:B,'Base stats'!E:E),Groups!A:A,Groups!G:G)=1,ISNUMBER(SEARCH("TropicalRainforest",BX67)),ISNUMBER(SEARCH("TropicalSwamp",BX67))),40,IF(OR(ISNUMBER(SEARCH("TemperateForest",BX67)),ISNUMBER(SEARCH("TemperateSwamp",BX67))),35,IF(OR(ISNUMBER(SEARCH("Alpine",BX67)),ISNUMBER(SEARCH("BorealForest",BX67)),ISNUMBER(SEARCH("ColdBog",BX67))),30,IF(ISNUMBER(OR(ISNUMBER(SEARCH("GlacialPlain",BX67)),SEARCH("Tundra",BX67))),25,IF(OR(ISNUMBER(SEARCH("SeaIce",BX67)),ISNUMBER(SEARCH("IceSheet",BX67)),ISNUMBER(SEARCH("TropicalSwamp",BX67))),10,35)))))))+_xlfn.XLOOKUP(B67,'Base stats'!B:B,'Base stats'!Q:Q)</f>
        <v>50</v>
      </c>
      <c r="N67" s="8" t="str">
        <f>IF(
_xlfn.XLOOKUP(
_xlfn.XLOOKUP(B67,'Base stats'!B:B,'Base stats'!E:E),
Groups!A:A,
Groups!L:L
)=1,
MIN(
MROUND(
IF(
_xlfn.XLOOKUP(B67,'Animals CE'!B:B,'Animals CE'!Z:Z)&lt;=1.5,
_xlfn.XLOOKUP(B67,'Animals CE'!B:B,'Animals CE'!Z:Z)/2+0.05,
0.8+
(_xlfn.XLOOKUP(B67,'Animals CE'!B:B,'Animals CE'!Z:Z)-1.5)
*0.02
),
0.05
),
200%
),
"No"
)</f>
        <v>No</v>
      </c>
      <c r="O67" s="8" t="str">
        <f>IF(
_xlfn.XLOOKUP(
_xlfn.XLOOKUP(B67,'Base stats'!B:B,'Base stats'!E:E),
Groups!A:A,
Groups!L:L
)=1,
MIN(
MROUND(
IF(
_xlfn.XLOOKUP(B67,'Animals CE'!B:B,'Animals CE'!AA:AA)&lt;=1.5,
_xlfn.XLOOKUP(B67,'Animals CE'!B:B,'Animals CE'!AA:AA)/2+0.05,
0.8+
(_xlfn.XLOOKUP(B67,'Animals CE'!B:B,'Animals CE'!AA:AA)-1.5)
*0.02
),
0.05
),
200%
),
"No"
)</f>
        <v>No</v>
      </c>
      <c r="P67" s="2" t="str">
        <f>_xlfn.XLOOKUP(B67,'Base stats'!B:B,'Base stats'!R:R)</f>
        <v>Standard</v>
      </c>
      <c r="Q67" s="13">
        <f>MROUND((LOG10(_xlfn.XLOOKUP(B67,'Base stats'!B:B,'Base stats'!AR:AR))*(AO67^0.5)+(_xlfn.XLOOKUP(B67,'Base stats'!B:B,'Base stats'!AR:AR)/1000)^(2/3)+_xlfn.XLOOKUP(B67,'Base stats'!B:B,'Base stats'!BA:BA)/2)+0.5,0.5)</f>
        <v>1</v>
      </c>
      <c r="R67" s="7">
        <f>IF(Q67="No","No",MAX(1,MROUND(_xlfn.XLOOKUP(B67,'Base stats'!B:B,'Base stats'!C:C)^0.165,0.05)))</f>
        <v>1</v>
      </c>
      <c r="S67" s="13">
        <f>IF(_xlfn.XLOOKUP(_xlfn.XLOOKUP(B67,'Base stats'!B:B,'Base stats'!E:E),Groups!A:A,Groups!P:P)=0,"No",MROUND((LOG10(_xlfn.XLOOKUP(B67,'Base stats'!B:B,'Base stats'!AS:AS))*(AO67^0.5)+(_xlfn.XLOOKUP(B67,'Base stats'!B:B,'Base stats'!AS:AS)/1000)^(2/3)+_xlfn.XLOOKUP(B67,'Base stats'!B:B,'Base stats'!BA:BA))+_xlfn.XLOOKUP(B67,'Base stats'!B:B,'Base stats'!AY:AY)+0.5,0.5))</f>
        <v>1</v>
      </c>
      <c r="T67" s="7">
        <f>IF(S67="No","No",MAX(_xlfn.XLOOKUP(_xlfn.XLOOKUP(B67,'Base stats'!B:B,'Base stats'!E:E),Groups!A:A,Groups!Q:Q),MROUND(_xlfn.XLOOKUP(_xlfn.XLOOKUP(B67,'Base stats'!B:B,'Base stats'!E:E),Groups!A:A,Groups!Q:Q)*_xlfn.XLOOKUP(B67,'Base stats'!B:B,'Base stats'!C:C)^0.165,0.05)))</f>
        <v>1</v>
      </c>
      <c r="U67" s="7" t="str">
        <f>IF(S67="No","No",_xlfn.XLOOKUP(_xlfn.XLOOKUP(B67,'Base stats'!B:B,'Base stats'!E:E),Groups!A:A,Groups!R:R))</f>
        <v>Feet</v>
      </c>
      <c r="V67" s="7" t="str">
        <f>IF(S67="No","No",_xlfn.XLOOKUP(_xlfn.XLOOKUP(B67,'Base stats'!B:B,'Base stats'!E:E),Groups!A:A,Groups!S:S))</f>
        <v>rear left claw, rear  right claw</v>
      </c>
      <c r="W67" s="7" t="str">
        <f>IF(S67="No","No",_xlfn.XLOOKUP(_xlfn.XLOOKUP(B67,'Base stats'!B:B,'Base stats'!E:E),Groups!A:A,Groups!T:T))</f>
        <v>Scratch</v>
      </c>
      <c r="X67" s="13" t="str">
        <f>IF(_xlfn.XLOOKUP(B67,'Base stats'!B:B,'Base stats'!W:W)="No","No",MROUND((LOG10(_xlfn.XLOOKUP(B67,'Base stats'!B:B,'Base stats'!AU:AU))*(AO67^0.5)+(_xlfn.XLOOKUP(B67,'Base stats'!B:B,'Base stats'!AU:AU)/1000)^(2/3)+_xlfn.XLOOKUP(B67,'Base stats'!B:B,'Base stats'!AZ:AZ))+0.5+IF(_xlfn.XLOOKUP(_xlfn.XLOOKUP(B67,'Base stats'!B:B,'Base stats'!E:E),Groups!A:A,Groups!U:U)&lt;&gt;3,_xlfn.XLOOKUP(B67,'Base stats'!B:B,'Base stats'!BA:BA),0),0.5))</f>
        <v>No</v>
      </c>
      <c r="Y67" s="7" t="str">
        <f>IF(X67="No","No",MAX(_xlfn.XLOOKUP(_xlfn.XLOOKUP(B67,'Base stats'!B:B,'Base stats'!E:E),Groups!A:A,Groups!V:V),MROUND(_xlfn.XLOOKUP(_xlfn.XLOOKUP(B67,'Base stats'!B:B,'Base stats'!E:E),Groups!A:A,Groups!V:V)*_xlfn.XLOOKUP(B67,'Base stats'!B:B,'Base stats'!C:C)^0.165,0.05)))</f>
        <v>No</v>
      </c>
      <c r="Z67" s="7" t="str">
        <f>IF(X67="No","No",_xlfn.XLOOKUP(_xlfn.XLOOKUP(B67,'Base stats'!B:B,'Base stats'!E:E),Groups!A:A,Groups!W:W))</f>
        <v>No</v>
      </c>
      <c r="AA67" s="7" t="str">
        <f>IF(X67="No","No",_xlfn.XLOOKUP(_xlfn.XLOOKUP(B67,'Base stats'!B:B,'Base stats'!E:E),Groups!A:A,Groups!X:X))</f>
        <v>No</v>
      </c>
      <c r="AB67" s="7" t="str">
        <f>IF(X67="No","No",_xlfn.XLOOKUP(_xlfn.XLOOKUP(B67,'Base stats'!B:B,'Base stats'!E:E),Groups!A:A,Groups!Y:Y))</f>
        <v>No</v>
      </c>
      <c r="AC67" s="7" t="str">
        <f>_xlfn.XLOOKUP(Animals!B67,'Base stats'!B:B,'Base stats'!X:X)</f>
        <v>False</v>
      </c>
      <c r="AD67" s="13">
        <f>IF(_xlfn.XLOOKUP(B67,'Base stats'!B:B,'Base stats'!AT:AT)="No","No",MROUND((LOG10(_xlfn.XLOOKUP(B67,'Base stats'!B:B,'Base stats'!AT:AT))*(AO67^0.75)+(_xlfn.XLOOKUP(B67,'Base stats'!B:B,'Base stats'!AT:AT)/1000)^(2/3)+_xlfn.XLOOKUP(B67,'Base stats'!B:B,'Base stats'!AX:AX)+_xlfn.XLOOKUP(B67,'Base stats'!B:B,'Base stats'!BA:BA))+0.5,0.5))</f>
        <v>1</v>
      </c>
      <c r="AE67" s="7">
        <f>IF(AD67="No","No",MAX(_xlfn.XLOOKUP(_xlfn.XLOOKUP(B67,'Base stats'!B:B,'Base stats'!E:E),Groups!A:A,Groups!Z:Z),MROUND(_xlfn.XLOOKUP(_xlfn.XLOOKUP(B67,'Base stats'!B:B,'Base stats'!E:E),Groups!A:A,Groups!Z:Z)*_xlfn.XLOOKUP(B67,'Base stats'!B:B,'Base stats'!C:C)^0.165,0.05)))</f>
        <v>1</v>
      </c>
      <c r="AF67" s="7" t="str">
        <f>IF(AD67="No","No",_xlfn.XLOOKUP(_xlfn.XLOOKUP(B67,'Base stats'!B:B,'Base stats'!E:E),Groups!A:A,Groups!AA:AA))</f>
        <v>Beak</v>
      </c>
      <c r="AG67" s="7" t="str">
        <f>IF(AD67="No","No",_xlfn.XLOOKUP(_xlfn.XLOOKUP(B67,'Base stats'!B:B,'Base stats'!E:E),Groups!A:A,Groups!AB:AB))</f>
        <v>beak</v>
      </c>
      <c r="AH67" s="7" t="str">
        <f>IF(AD67="No","No",_xlfn.XLOOKUP(_xlfn.XLOOKUP(B67,'Base stats'!B:B,'Base stats'!E:E),Groups!A:A,Groups!AC:AC))</f>
        <v>Blunt</v>
      </c>
      <c r="AI67" s="13" t="str">
        <f>IF(_xlfn.XLOOKUP(_xlfn.XLOOKUP(B67,'Base stats'!B:B,'Base stats'!E:E),Groups!A:A,Groups!AD:AD)=0,"No",MROUND((LOG10(_xlfn.XLOOKUP(B67,'Base stats'!B:B,'Base stats'!AS:AS))*(AO67^0.75)+(_xlfn.XLOOKUP(B67,'Base stats'!B:B,'Base stats'!AS:AS)/1000)^(2/3)+_xlfn.XLOOKUP(B67,'Base stats'!B:B,'Base stats'!AY:AY)+_xlfn.XLOOKUP(B67,'Base stats'!B:B,'Base stats'!BA:BA))+0.5,0.5))</f>
        <v>No</v>
      </c>
      <c r="AJ67" s="7" t="str">
        <f>IF(AI67="No","No",MAX(_xlfn.XLOOKUP(_xlfn.XLOOKUP(B67,'Base stats'!B:B,'Base stats'!E:E),Groups!A:A,Groups!AE:AE),MROUND(_xlfn.XLOOKUP(_xlfn.XLOOKUP(B67,'Base stats'!B:B,'Base stats'!E:E),Groups!A:A,Groups!AE:AE)*IF(_xlfn.XLOOKUP(_xlfn.XLOOKUP(B67,'Base stats'!B:B,'Base stats'!E:E),Groups!A:A,Groups!AJ:AJ)="Photonozoa",0.6,1)*_xlfn.XLOOKUP(B67,'Base stats'!B:B,'Base stats'!C:C)^0.165,0.05)))</f>
        <v>No</v>
      </c>
      <c r="AK67" s="7" t="str">
        <f>IF(AI67="No","No",_xlfn.XLOOKUP(_xlfn.XLOOKUP(B67,'Base stats'!B:B,'Base stats'!E:E),Groups!A:A,Groups!AF:AF))</f>
        <v>No</v>
      </c>
      <c r="AL67" s="7" t="str">
        <f>IF(AI67="No","No",_xlfn.XLOOKUP(_xlfn.XLOOKUP(B67,'Base stats'!B:B,'Base stats'!E:E),Groups!A:A,Groups!AG:AG))</f>
        <v>No</v>
      </c>
      <c r="AM67" s="7" t="str">
        <f>IF(AI67="No","No",_xlfn.XLOOKUP(_xlfn.XLOOKUP(B67,'Base stats'!B:B,'Base stats'!E:E),Groups!A:A,Groups!AH:AH))</f>
        <v>No</v>
      </c>
      <c r="AN67" s="2" t="str">
        <f t="shared" ref="AN67:AN130" si="7">IF(BJ67="false","No",MROUND(AO67*5+15*1,5))</f>
        <v>No</v>
      </c>
      <c r="AO67" s="2">
        <f>MROUND(IF(AND(_xlfn.XLOOKUP(B67,'Base stats'!B:B,'Base stats'!C:C)&gt;=0.5,_xlfn.XLOOKUP(B67,'Base stats'!B:B,'Base stats'!C:C)&lt;=0.8),
IF(_xlfn.XLOOKUP(B67,'Base stats'!B:B,'Base stats'!C:C)&lt;0.1,0.05,IF(_xlfn.XLOOKUP(B67,'Base stats'!B:B,'Base stats'!C:C)&lt;=70,(_xlfn.XLOOKUP(B67,'Base stats'!B:B,'Base stats'!C:C)/70)^0.426489913056526,IF(_xlfn.XLOOKUP(B67,'Base stats'!B:B,'Base stats'!C:C)&lt;=400,(_xlfn.XLOOKUP(B67,'Base stats'!B:B,'Base stats'!C:C)/70)^0.572811455315093,IF(_xlfn.XLOOKUP(B67,'Base stats'!B:B,'Base stats'!C:C)&lt;=2000,2.71391647193063*(_xlfn.XLOOKUP(B67,'Base stats'!B:B,'Base stats'!C:C)/400)^0.252459582904293,3.74314280240376*(_xlfn.XLOOKUP(B67,'Base stats'!B:B,'Base stats'!C:C)/2000)^0.357012633876913)))),
IF(_xlfn.XLOOKUP(B67,'Base stats'!B:B,'Base stats'!C:C)&lt;0.1,0.05,IF(_xlfn.XLOOKUP(B67,'Base stats'!B:B,'Base stats'!C:C)&lt;0.4,0.1,IF(_xlfn.XLOOKUP(B67,'Base stats'!B:B,'Base stats'!C:C)&lt;=70,(_xlfn.XLOOKUP(B67,'Base stats'!B:B,'Base stats'!C:C)/70)^0.445823913056526,IF(_xlfn.XLOOKUP(B67,'Base stats'!B:B,'Base stats'!C:C)&lt;=400,(_xlfn.XLOOKUP(B67,'Base stats'!B:B,'Base stats'!C:C)/70)^0.572811455315093,IF(_xlfn.XLOOKUP(B67,'Base stats'!B:B,'Base stats'!C:C)&lt;=2000,2.71391647193063*(_xlfn.XLOOKUP(B67,'Base stats'!B:B,'Base stats'!C:C)/400)^0.252459582904293,3.74314280240376*(_xlfn.XLOOKUP(B67,'Base stats'!B:B,'Base stats'!C:C)/2000)^0.357012633876913)))))),
IF(_xlfn.XLOOKUP(B67,'Base stats'!B:B,'Base stats'!C:C)&lt;0.1,0.05,IF(_xlfn.XLOOKUP(B67,'Base stats'!B:B,'Base stats'!C:C)&lt;=100,0.05,IF(_xlfn.XLOOKUP(B67,'Base stats'!B:B,'Base stats'!C:C)&lt;=250,0.1,IF(_xlfn.XLOOKUP(B67,'Base stats'!B:B,'Base stats'!C:C)&lt;=4000,0.25,0.5)))))</f>
        <v>0.1</v>
      </c>
      <c r="AP67" s="8">
        <f>MROUND(AO67*_xlfn.XLOOKUP(_xlfn.XLOOKUP(B67,'Base stats'!B:B,'Base stats'!E:E),Groups!A:A,Groups!AI:AI)*_xlfn.XLOOKUP(B67,'Base stats'!B:B,'Base stats'!Z:Z),0.05)</f>
        <v>0.1</v>
      </c>
      <c r="AQ67" s="8">
        <f>MAX(0.01,MROUND(IF(CC67="True",0.196*(AO67*100*1000)^0.889,IF(_xlfn.XLOOKUP(_xlfn.XLOOKUP(B67,'Base stats'!B:B,'Base stats'!E:E),Groups!A:A,Groups!AJ:AJ)="Bird",10.5*(AO67*100*1000)^0.681,4.82*(AO67*100*1000)^0.734))/(4.82*(1*100*1000)^0.734)/IF(AO67&lt;3.5,2,IF(AO67=3.5,1.5,1.25))*(1+0.132282374779864/(AO67^0.994035016789033+0.00905238001496948)),0.05))</f>
        <v>0.25</v>
      </c>
      <c r="AR67" s="9">
        <f>IFERROR(MROUND(_xlfn.XLOOKUP(B67,'Base stats'!B:B,'Base stats'!H:H)/IF(_xlfn.XLOOKUP(B67,'Base stats'!B:B,'Base stats'!I:I)&lt;&gt;1,(122.5/70),1.2),IF(_xlfn.XLOOKUP(B67,'Base stats'!B:B,'Base stats'!H:H)&gt;=30,5,IF(_xlfn.XLOOKUP(B67,'Base stats'!B:B,'Base stats'!H:H)&gt;=15,3,IF(_xlfn.XLOOKUP(B67,'Base stats'!B:B,'Base stats'!H:H)&gt;=10,2,1)))),"Immortal")</f>
        <v>8</v>
      </c>
      <c r="AS67" s="35" t="str">
        <f>IFERROR(IF(OR(_xlfn.XLOOKUP(B67,'Base stats'!B:B,'Base stats'!F:F)="Atypical reproduction",_xlfn.XLOOKUP(B67,'Base stats'!B:B,'Base stats'!F:F)="Lay eggs"),"Lay eggs",MIN(20,MAX(5.5,ROUND(((_xlfn.XLOOKUP(B67,'Base stats'!B:B,'Base stats'!F:F)-25)*(14.5/615) + 5.5)*2,0)/2))),"Unknown")</f>
        <v>Lay eggs</v>
      </c>
      <c r="AT67" s="8">
        <f>IF(_xlfn.XLOOKUP(B67,'Base stats'!B:B,'Base stats'!G:G)="Atypical reproduction","No",IFERROR(MAX(IF(_xlfn.XLOOKUP(B67,'Base stats'!B:B,'Base stats'!G:G)&lt;0.5,0.2,0.3),MROUND(_xlfn.XLOOKUP(B67,'Base stats'!B:B,'Base stats'!G:G)/(365/60),0.2)),"Unknown"))</f>
        <v>0.3</v>
      </c>
      <c r="AU67" s="8">
        <f t="shared" ref="AU67:AU130" si="8">IF(AT67="No","No",IFERROR(MROUND(AT67/2,0.05),"Unknown"))</f>
        <v>0.15000000000000002</v>
      </c>
      <c r="AV67" s="8" t="str">
        <f>IFERROR(IFERROR(MROUND(_xlfn.XLOOKUP(B67,'Base stats'!B:B,'Base stats'!J:J),0.1),"Lay eggs"),"Cannot breed")</f>
        <v>Lay eggs</v>
      </c>
      <c r="AW67" s="2" t="str">
        <f t="shared" ref="AW67:AW130" si="9">IF(BT67="No","false","true")</f>
        <v>true</v>
      </c>
      <c r="AX67" s="2" t="str">
        <f>IF(_xlfn.XLOOKUP(_xlfn.XLOOKUP(Animals!B67,'Base stats'!B:B,'Base stats'!E:E),Groups!A:A,Groups!AK:AK)=1,"true","false")</f>
        <v>false</v>
      </c>
      <c r="AY67" s="25" t="str">
        <f>IF(_xlfn.XLOOKUP(B67,'Base stats'!B:B,'Base stats'!Y:Y)="Liquor","Liquor, CarnivoreAnimalStrict",IF(AND(_xlfn.XLOOKUP(B67,'Base stats'!B:B,'Base stats'!Y:Y)="Carnivore",_xlfn.XLOOKUP(_xlfn.XLOOKUP(B67,'Base stats'!B:B,'Base stats'!E:E),Groups!A:A,Groups!AJ:AJ)="Photonozoa"),"CarnivoreAnimalStrict, OvivoreAnimal",IF(_xlfn.XLOOKUP(B67,'Base stats'!B:B,'Base stats'!Y:Y)="Carnivore","CarnivoreAnimal, OvivoreAnimal",IF(_xlfn.XLOOKUP(B67,'Base stats'!B:B,'Base stats'!Y:Y)="Dendrovore","VegetarianRoughAnimal, DendrovoreAnimal",IF(_xlfn.XLOOKUP(B67,'Base stats'!B:B,'Base stats'!Y:Y)="Herbivore","VegetarianRoughAnimal",IF(_xlfn.XLOOKUP(B67,'Base stats'!B:B,'Base stats'!Y:Y)="OmnivoreRough","OmnivoreRoughAnimal, OvivoreAnimal","OmnivoreAnimal, OvivoreAnimal"))))))</f>
        <v>VegetarianRoughAnimal</v>
      </c>
      <c r="AZ67" s="2">
        <f>IF(_xlfn.XLOOKUP(_xlfn.XLOOKUP(B67,'Base stats'!B:B,'Base stats'!E:E),Groups!A:A,Groups!D:D)=1,MROUND((1-J67)*5+1,2)*IF(J67&lt;=0.4,2,1),"No")</f>
        <v>4</v>
      </c>
      <c r="BA67" s="2" t="str">
        <f>IF(AND(_xlfn.XLOOKUP(B67,'Base stats'!B:B,'Base stats'!AH:AH)="&lt;li&gt;Seal&lt;/li&gt;",G67="Odyssey"),"&lt;li&gt;AEXP_Seal&lt;/li&gt;",_xlfn.XLOOKUP(B67,'Base stats'!B:B,'Base stats'!AH:AH))</f>
        <v>No</v>
      </c>
      <c r="BB67" s="2" t="str">
        <f>_xlfn.XLOOKUP(B67,'Base stats'!B:B,'Base stats'!AG:AG)</f>
        <v>No</v>
      </c>
      <c r="BC67" s="23" t="str">
        <f>_xlfn.XLOOKUP(_xlfn.XLOOKUP(B67,'Base stats'!B:B,'Base stats'!E:E),Groups!A:A,Groups!AL:AL)</f>
        <v>Bird</v>
      </c>
      <c r="BD67" s="23">
        <f>MIN(1,MROUND(IF(AND(AO67&lt;0.5,_xlfn.XLOOKUP(B67,'Base stats'!B:B,'Base stats'!AA:AA)=0),0,IF(OR(_xlfn.XLOOKUP(Animals!B67,'Base stats'!B:B,'Base stats'!O:O)=2,_xlfn.XLOOKUP(_xlfn.XLOOKUP(B67,'Base stats'!B:B,'Base stats'!E:E),Groups!A:A,Groups!AN:AN)=0),0,_xlfn.XLOOKUP(_xlfn.XLOOKUP(B67,'Base stats'!B:B,'Base stats'!E:E),Groups!A:A,Groups!AN:AN)/IF(_xlfn.XLOOKUP(Animals!B67,'Base stats'!B:B,'Base stats'!O:O)=1,2,1)))+_xlfn.XLOOKUP(B67,'Base stats'!B:B,'Base stats'!AC:AC),0.005))</f>
        <v>0</v>
      </c>
      <c r="BE67" s="23">
        <f>MIN(1,MROUND(IF(AND(AO67&lt;0.5,_xlfn.XLOOKUP(B67,'Base stats'!B:B,'Base stats'!AA:AA)=0),0,IF(_xlfn.XLOOKUP(_xlfn.XLOOKUP(B67,'Base stats'!B:B,'Base stats'!E:E),Groups!A:A,Groups!AO:AO)=0,0,_xlfn.XLOOKUP(_xlfn.XLOOKUP(B67,'Base stats'!B:B,'Base stats'!E:E),Groups!A:A,Groups!AO:AO)/IF(_xlfn.XLOOKUP(Animals!B67,'Base stats'!B:B,'Base stats'!O:O)=2,3,1)))+_xlfn.XLOOKUP(B67,'Base stats'!B:B,'Base stats'!AD:AD),0.005))</f>
        <v>0</v>
      </c>
      <c r="BF67" s="2" t="str">
        <f>IF(J67&gt;0.3,"No",_xlfn.XLOOKUP(_xlfn.XLOOKUP(Animals!B67,'Base stats'!B:B,'Base stats'!E:E),Groups!A:A,Groups!AP:AP))</f>
        <v>No</v>
      </c>
      <c r="BG67" s="2" t="str">
        <f>IF(AND(J67&lt;=0.65,_xlfn.XLOOKUP(_xlfn.XLOOKUP(Animals!B67,'Base stats'!B:B,'Base stats'!E:E),Groups!A:A,Groups!AP:AP)&lt;&gt;"No",_xlfn.XLOOKUP(_xlfn.XLOOKUP(B67,'Base stats'!B:B,'Base stats'!E:E),Groups!A:A,Groups!D:D)=0),MROUND((80/3)*IF(_xlfn.XLOOKUP(B67,'Base stats'!B:B,'Base stats'!O:O)=2,0.2,AO67) + 24*(1-IF(BF67="No",0,BF67)) + 16/3, 12),"No")</f>
        <v>No</v>
      </c>
      <c r="BH67" s="2">
        <f>IF(AND(_xlfn.XLOOKUP(_xlfn.XLOOKUP(B67,'Base stats'!B:B,'Base stats'!E:E),Groups!A:A,Groups!AQ:AQ)=1,AO67&lt;=0.35),8,12)</f>
        <v>12</v>
      </c>
      <c r="BI67" s="2" t="str">
        <f>IF(_xlfn.XLOOKUP(_xlfn.XLOOKUP(B67,'Base stats'!B:B,'Base stats'!E:E),Groups!A:A,Groups!D:D)=0,_xlfn.XLOOKUP(_xlfn.XLOOKUP(B67,'Base stats'!B:B,'Base stats'!E:E),Groups!A:A,Groups!AR:AR),"None")</f>
        <v>None</v>
      </c>
      <c r="BJ67" s="2" t="str">
        <f>IF(AND(_xlfn.XLOOKUP(_xlfn.XLOOKUP(B67,'Base stats'!B:B,'Base stats'!E:E),Groups!A:A,Groups!AS:AS)=1,OR(_xlfn.XLOOKUP(B67,'Base stats'!B:B,'Base stats'!Y:Y)="Carnivore",_xlfn.XLOOKUP(B67,'Base stats'!B:B,'Base stats'!Y:Y)="Omnivore")),"true","false")</f>
        <v>false</v>
      </c>
      <c r="BK67" s="2" t="str">
        <f>IF(BJ67="true",MROUND(IF(AND(AO67&gt;0.5,OR(_xlfn.XLOOKUP(_xlfn.XLOOKUP(B67,'Base stats'!B:B,'Base stats'!E:E),Groups!A:A,Groups!AJ:AJ)="Photonozoa",_xlfn.XLOOKUP(_xlfn.XLOOKUP(B67,'Base stats'!B:B,'Base stats'!E:E),Groups!A:A,Groups!AJ:AJ)="Mammal")),Animals!AO67*1.75*IF(AW67="true",1.5,1),IF(AO67&lt;0.5,Animals!AO67*0.5,Animals!AO67)),IF(AO67&gt;2,0.5,IF(AO67&gt;0.5,0.25,0.1))),"No")</f>
        <v>No</v>
      </c>
      <c r="BL67" s="2">
        <f t="shared" ref="BL67:BL130" si="10">IF(BI67&lt;&gt;"None",1,0)</f>
        <v>0</v>
      </c>
      <c r="BM67" s="25" t="str">
        <f>IF(_xlfn.XLOOKUP(B67,'Base stats'!B:B,'Base stats'!AN:AN)="Standard","No",MROUND((_xlfn.XLOOKUP(B67,'Base stats'!B:B,'Base stats'!AN:AN)/3.6)/I67,0.1))</f>
        <v>No</v>
      </c>
      <c r="BN67" s="25" t="str">
        <f t="shared" ref="BN67:BN130" si="11">IF(OR(BM67&lt;&gt;"No",BQ67=1),"true","false")</f>
        <v>false</v>
      </c>
      <c r="BO67" s="25" t="str">
        <f>IF(AND(OR(_xlfn.XLOOKUP(B67,'Base stats'!B:B,'Base stats'!Y:Y)="Carnivore",_xlfn.XLOOKUP(B67,'Base stats'!B:B,'Base stats'!Y:Y)="Omnivore",_xlfn.XLOOKUP(B67,'Base stats'!B:B,'Base stats'!Y:Y)="OmnivoreRough"),_xlfn.XLOOKUP(_xlfn.XLOOKUP(B67,'Base stats'!B:B,'Base stats'!E:E),Groups!A:A,Groups!AT:AT)=1),"true","false")</f>
        <v>false</v>
      </c>
      <c r="BP67" s="25" t="str" cm="1">
        <f t="array" ref="BP67">IF(
  _xlfn.TEXTJOIN(", ",TRUE,
    IF(AND(BJ67="true",AO67&gt;0.5,BI67&lt;&gt;"None"),"AttackTarget",""),
    IF(AND(_xlfn.XLOOKUP(_xlfn.XLOOKUP(B67,'Base stats'!B:B,'Base stats'!E:E),Groups!A:A,Groups!AJ:AJ="Mammal"),OR(_xlfn.XLOOKUP(B67,'Base stats'!B:B,'Base stats'!Y:Y)="Omnivore",_xlfn.XLOOKUP(B67,'Base stats'!B:B,'Base stats'!Y:Y)="OmnivoreRough")),"Forage",""),
    IF(BG67&lt;=36,"Comfort",""),
    IF(_xlfn.XLOOKUP(B67,'Base stats'!B:B,'Base stats'!AE:AE)&lt;&gt;"No",_xlfn.XLOOKUP(B67,'Base stats'!B:B,'Base stats'!AE:AE),"")
  ) = "",
  "No",
  _xlfn.TEXTJOIN(", ",TRUE,
    IF(AND(BJ67="true",AO67&gt;0.5,BI67&lt;&gt;"None"),"AttackTarget",""),
    IF(AND(_xlfn.XLOOKUP(_xlfn.XLOOKUP(B67,'Base stats'!B:B,'Base stats'!E:E),Groups!A:A,Groups!AJ:AJ="Mammal"),OR(_xlfn.XLOOKUP(B67,'Base stats'!B:B,'Base stats'!Y:Y)="Omnivore",_xlfn.XLOOKUP(B67,'Base stats'!B:B,'Base stats'!Y:Y)="OmnivoreRough")),"Forage",""),
    IF(BG67&lt;=36,"Comfort",""),
    IF(_xlfn.XLOOKUP(B67,'Base stats'!B:B,'Base stats'!AE:AE)&lt;&gt;"No",_xlfn.XLOOKUP(B67,'Base stats'!B:B,'Base stats'!AE:AE),"")
  )
)</f>
        <v>No</v>
      </c>
      <c r="BQ67" s="25" t="str">
        <f>IF(
   AND(
      'Base stats'!AN67="Standard",_xlfn.XLOOKUP(_xlfn.XLOOKUP(B67,'Base stats'!B:B,'Base stats'!E:E),Groups!A:A,Groups!AU:AU)=0,
      OR(
      BO67="True"
      )
   ),
   10,
   IF(
       OR(BM67&lt;&gt;"No",_xlfn.XLOOKUP(_xlfn.XLOOKUP(B67,'Base stats'!B:B,'Base stats'!E:E),Groups!A:A,Groups!AU:AU)=1),
      1,
      "No"
   )
)</f>
        <v>No</v>
      </c>
      <c r="BR67" s="9">
        <f>MROUND((1 + ((0.2*IF(OR(Q67="No",R67="No",R67=0),0,Q67/R67)
+IF(OR(V67="No",S67="No",T67="No"),0,S67/T67*(LEN(V67)-LEN(SUBSTITUTE(V67,",",""))+1))
+IF(OR(X67="No",Y67="No"),0,X67/Y67)
+IF(OR(AD67="No",AE67="No"),0,AD67/AE67)
+IF(OR(AL67="No",AI67="No",AJ67="No"),0,AI67/AJ67*(LEN(AL67)-LEN(SUBSTITUTE(AL67,",",""))+1))
)/(0.2*IF(OR(Q67="No",R67="No",R67=0),0,1)
+IF(OR(V67="No",S67="No",T67="No"),0,LEN(V67)-LEN(SUBSTITUTE(V67,",",""))+1)
+IF(OR(X67="No",Y67="No"),0,1)
+IF(OR(AD67="No",AE67="No"),0,1)
+IF(OR(AL67="No",AI67="No",AJ67="No"),0,LEN(AL67)-LEN(SUBSTITUTE(AL67,",",""))+1))*62%)* 2)*(1 + (AP67 / (IF(_xlfn.XLOOKUP(_xlfn.XLOOKUP(B67,'Base stats'!B:B,'Base stats'!E:E),Groups!A:A,Groups!AJ:AJ)="Photonozoa",0.3,1)) + _xlfn.XLOOKUP(B67,'Base stats'!B:B,'Base stats'!AV:AV) * 1.8) * 2) * 2.5 + 10 + I67 * 2,5)+IF(_xlfn.XLOOKUP(B67,'Base stats'!B:B,'Base stats'!AK:AK)=1,50,0)</f>
        <v>20</v>
      </c>
      <c r="BS67" s="8">
        <f t="shared" ref="BS67:BS130" si="12">MROUND(AO67 * 0.2 + AQ67 * 0.8,0.05)</f>
        <v>0.2</v>
      </c>
      <c r="BT67" s="8" t="str">
        <f>_xlfn.XLOOKUP(B67,'Base stats'!B:B,'Base stats'!AF:AF)</f>
        <v>3~8</v>
      </c>
      <c r="BU67" s="2" t="str">
        <f>IF(AND(J67&lt;=0.95,OR(_xlfn.XLOOKUP(B67,'Base stats'!B:B,'Base stats'!AK:AK)=1,_xlfn.XLOOKUP(B67,'Base stats'!B:B,'Base stats'!Y:Y)="Carnivore",_xlfn.XLOOKUP(B67,'Base stats'!B:B,'Base stats'!Y:Y)="Omnivore",BE67&gt;0.1)),"true","false")</f>
        <v>false</v>
      </c>
      <c r="BV67" s="2" t="str">
        <f>IF(_xlfn.XLOOKUP(B67,'Base stats'!B:B,'Base stats'!AI:AI)=1,"true","false")</f>
        <v>false</v>
      </c>
      <c r="BW67" s="25" t="str">
        <f>IF(E67="BaseInsect","AnimalInsect",
IF(J67&gt;0.95,"AnimalExotic",
_xlfn.TEXTJOIN(", ",TRUE,
IF(OR(_xlfn.XLOOKUP(B67,'Base stats'!B:B,'Base stats'!AM:AM)=1,AND(_xlfn.XLOOKUP(B67,'Base stats'!B:B,'Base stats'!O:O)=0,_xlfn.XLOOKUP(_xlfn.XLOOKUP(B67,'Base stats'!B:B,'Base stats'!E:E),Groups!A:A,Groups!B:B)&gt;0)),"AnimalUncommon","AnimalCommon"),
IF(AND(_xlfn.XLOOKUP(B67,'Base stats'!B:B,'Base stats'!O:O)=2,_xlfn.XLOOKUP(_xlfn.XLOOKUP(B67,'Base stats'!B:B,'Base stats'!E:E),Groups!A:A,Groups!D:D)=0),"AnimalPet",IF(AND(_xlfn.XLOOKUP(B67,'Base stats'!B:B,'Base stats'!O:O)&lt;&gt;0,_xlfn.XLOOKUP(_xlfn.XLOOKUP(B67,'Base stats'!B:B,'Base stats'!E:E),Groups!A:A,Groups!D:D)&lt;&gt;0),"AnimalFarm","")),
IF(OR(_xlfn.XLOOKUP(B67,'Base stats'!B:B,'Base stats'!AK:AK)=1,AND(BI67&lt;&gt;"None",BR67&gt;=60),ISNUMBER(SEARCH("Attack target",BP67))),"AnimalFighter","")
)))</f>
        <v>AnimalCommon</v>
      </c>
      <c r="BX67" s="25" t="str">
        <f>IF(G67="None",TRIM(
SUBSTITUTE(
IF(COUNTIF(Biomes!B$2:B$259,"="&amp;$C67)&gt;0,Biomes!B$1&amp;", ","")&amp;
IF(COUNTIF(Biomes!C$2:C$259,"="&amp;$C67)&gt;0,Biomes!C$1&amp;", ","")&amp;
IF(COUNTIF(Biomes!D$2:D$259,"="&amp;$C67)&gt;0,Biomes!D$1&amp;", ","")&amp;
IF(COUNTIF(Biomes!F$2:F$259,"="&amp;$C67)&gt;0,Biomes!F$1&amp;", ","")&amp;
IF(COUNTIF(Biomes!G$2:G$259,"="&amp;$C67)&gt;0,Biomes!G$1&amp;", ","")&amp;
IF(COUNTIF(Biomes!H$2:H$259,"="&amp;$C67)&gt;0,Biomes!H$1&amp;", ","")&amp;
IF(COUNTIF(Biomes!I$2:I$259,"="&amp;$C67)&gt;0,Biomes!I$1&amp;", ","")&amp;
IF(COUNTIF(Biomes!J$2:J$259,"="&amp;$C67)&gt;0,Biomes!J$1&amp;", ","")&amp;
IF(COUNTIF(Biomes!M$2:M$259,"="&amp;$C67)&gt;0,Biomes!M$1&amp;", ","")&amp;
IF(COUNTIF(Biomes!N$2:N$259,"="&amp;$C67)&gt;0,Biomes!N$1&amp;", ","")&amp;
IF(COUNTIF(Biomes!O$2:O$259,"="&amp;$C67)&gt;0,Biomes!O$1&amp;", ","")&amp;
IF(COUNTIF(Biomes!P$2:P$259,"="&amp;$C67)&gt;0,Biomes!P$1&amp;", ","")&amp;
IF(COUNTIF(Biomes!K$2:K$259,"="&amp;$C67)&gt;0,Biomes!K$1&amp;", ","")&amp;
IF(COUNTIF(Biomes!Q$3:Q$259,"="&amp;$C67)&gt;0,Biomes!Q$1&amp;", ","")&amp;
IF(COUNTIF(Biomes!L$2:L$259,"="&amp;$C67)&gt;0,Biomes!L$1&amp;", ","")&amp;
IF(COUNTIF(Biomes!E$2:E$259,"="&amp;$C67)&gt;0,Biomes!E$1&amp;", ","")&amp;IF(COUNTIF(Biomes!S$2:S$259,"="&amp;$C67)&gt;0,Biomes!S$1&amp;", ","")&amp;
IF(COUNTIF(Biomes!R$2:R$259,"="&amp;$C67)&gt;0,Biomes!R$1&amp;", ",""),", ","")
),_xlfn.XLOOKUP(B67,B:B,BX:BX))</f>
        <v>TemperateForest TemperateSwamp AridShrubland Grasslands LavaField</v>
      </c>
      <c r="BY67" s="25" t="str">
        <f>IF(_xlfn.XLOOKUP(B67,'Base stats'!B:B,'Base stats'!AJ:AJ)=1,"true","false")</f>
        <v>false</v>
      </c>
      <c r="BZ67" s="25">
        <f>IF(_xlfn.XLOOKUP(B67,'Base stats'!B:B,'Base stats'!N:N)=1,"No",MAX(0.001,MIN(MROUND(IF(AND(BJ67="True",CC67="False"),POWER(10,3.47*LOG10(_xlfn.XLOOKUP(B67,'Base stats'!B:B,'Base stats'!C:C)*1000)^-0.96),POWER(10,4.15*LOG10(_xlfn.XLOOKUP(B67,'Base stats'!B:B,'Base stats'!C:C)*1000)^-0.73))*IF(_xlfn.XLOOKUP(B67,'Base stats'!B:B,'Base stats'!AK:AK)=1,0.5,1)*IF(_xlfn.XLOOKUP(B67,'Base stats'!B:B,'Base stats'!AM:AM)=1,0.1,1)/100,IF(_xlfn.XLOOKUP(B67,'Base stats'!B:B,'Base stats'!AM:AM)=1,0.001,0.025)),0.5)))</f>
        <v>0.5</v>
      </c>
      <c r="CA67" s="25" t="str">
        <f>IF(P67="Standard","No",MAX(0.001,MIN(MROUND(IF(AND(BJ67="True",CC67="False"),POWER(10,3.47*LOG10(_xlfn.XLOOKUP(B67,'Base stats'!B:B,'Base stats'!C:C)*1000)^-0.96),POWER(10,4.15*LOG10(_xlfn.XLOOKUP(B67,'Base stats'!B:B,'Base stats'!C:C)*1000)^-0.73))*IF(_xlfn.XLOOKUP(B67,'Base stats'!B:B,'Base stats'!AM:AM)=1,0.1,1)*_xlfn.XLOOKUP(B67,'Base stats'!B:B,'Base stats'!R:R)/100,IF(_xlfn.XLOOKUP(B67,'Base stats'!B:B,'Base stats'!AM:AM)=1,0.001,0.025)),0.5)))</f>
        <v>No</v>
      </c>
      <c r="CB67" s="25" t="str">
        <f>IF(_xlfn.XLOOKUP(_xlfn.XLOOKUP(B67,'Base stats'!B:B,'Base stats'!E:E),Groups!A:A,Groups!AJ:AJ)="Mammal","True","False")</f>
        <v>False</v>
      </c>
      <c r="CC67" s="25" t="str">
        <f>IF(OR(_xlfn.XLOOKUP(_xlfn.XLOOKUP(B67,'Base stats'!B:B,'Base stats'!E:E),Groups!A:A,Groups!AJ:AJ)="Reptile",_xlfn.XLOOKUP(_xlfn.XLOOKUP(B67,'Base stats'!B:B,'Base stats'!E:E),Groups!A:A,Groups!AJ:AJ)="Amphibian",_xlfn.XLOOKUP(_xlfn.XLOOKUP(B67,'Base stats'!B:B,'Base stats'!E:E),Groups!A:A,Groups!AJ:AJ)="Invertebrate"),"True","False")</f>
        <v>False</v>
      </c>
      <c r="CD67" s="25" t="str">
        <f t="shared" ref="CD67:CD130" si="13">IF(J67&gt;0.95,"True","False")</f>
        <v>False</v>
      </c>
      <c r="CE67" s="25" t="str">
        <f>IF(_xlfn.XLOOKUP(_xlfn.XLOOKUP(B67,'Base stats'!B:B,'Base stats'!E:E),Groups!A:A,Groups!AX:AX),"True","False")</f>
        <v>False</v>
      </c>
      <c r="CF67" s="25" t="str">
        <f>IF(_xlfn.XLOOKUP(_xlfn.XLOOKUP(B67,'Base stats'!B:B,'Base stats'!E:E),Groups!A:A,Groups!AY:AY),"True","False")</f>
        <v>False</v>
      </c>
      <c r="CG67" s="25" t="str">
        <f>IF(_xlfn.XLOOKUP(_xlfn.XLOOKUP(B67,'Base stats'!B:B,'Base stats'!E:E),Groups!A:A,Groups!AW:AW),"True","False")</f>
        <v>False</v>
      </c>
      <c r="CH67" s="25" t="str">
        <f>IF(
OR(
_xlfn.XLOOKUP(_xlfn.XLOOKUP(B67,'Base stats'!B:B,'Base stats'!E:E),Groups!A:A,Groups!AZ:AZ)=0,
AND(
_xlfn.XLOOKUP(B67,'Base stats'!B:B,'Base stats'!Y:Y)&lt;&gt;"Carnivore",
_xlfn.XLOOKUP(B67,'Base stats'!B:B,'Base stats'!Y:Y)&lt;&gt;"Omnivore",
_xlfn.XLOOKUP(B67,'Base stats'!B:B,'Base stats'!Y:Y)&lt;&gt;"OmnivoreRough"
)
),
"No",
IF(
_xlfn.XLOOKUP(_xlfn.XLOOKUP(B67,'Base stats'!B:B,'Base stats'!E:E),Groups!A:A,Groups!AZ:AZ)=1,
"Flesh",
IF(
_xlfn.XLOOKUP(_xlfn.XLOOKUP(B67,'Base stats'!B:B,'Base stats'!E:E),Groups!A:A,Groups!AZ:AZ)=2,
"Bone",
""
)
)
)</f>
        <v>No</v>
      </c>
      <c r="CI67" s="25" t="str">
        <f>IF(_xlfn.XLOOKUP(_xlfn.XLOOKUP(B67,'Base stats'!B:B,'Base stats'!E:E),Groups!A:A,Groups!BB:BB),"True","False")</f>
        <v>True</v>
      </c>
      <c r="CJ67" s="25" t="str">
        <f>IF(_xlfn.XLOOKUP(_xlfn.XLOOKUP(B67,'Base stats'!B:B,'Base stats'!E:E),Groups!A:A,Groups!BA:BA),"True","False")</f>
        <v>False</v>
      </c>
    </row>
    <row r="68" spans="1:88" ht="16.5" thickTop="1" thickBot="1" x14ac:dyDescent="0.3">
      <c r="A68" s="26" t="str">
        <f>_xlfn.XLOOKUP(B68,'Base stats'!B:B,'Base stats'!A:A)</f>
        <v>Swan</v>
      </c>
      <c r="B68" s="6" t="s">
        <v>214</v>
      </c>
      <c r="C68" s="28" t="s">
        <v>748</v>
      </c>
      <c r="D68" s="28" t="s">
        <v>870</v>
      </c>
      <c r="E68" s="28" t="s">
        <v>675</v>
      </c>
      <c r="F68" s="28" t="s">
        <v>676</v>
      </c>
      <c r="G68" s="28" t="s">
        <v>673</v>
      </c>
      <c r="H68" s="2">
        <f>MROUND((
  (IF(AND(_xlfn.XLOOKUP(B68,'Base stats'!B:B,'Base stats'!AL:AL)=0,BI68="None",_xlfn.XLOOKUP(_xlfn.XLOOKUP(B68,'Base stats'!B:B,'Base stats'!E:E),Groups!A:A,Groups!B:B)=0), (18 + BR68 * 2.7) * 0.5,
    IF(AND(_xlfn.XLOOKUP(B68,'Base stats'!B:B,'Base stats'!AL:AL)=0,OR(AO68&lt;0.55,AND(BI68="Intermediate",_xlfn.XLOOKUP(_xlfn.XLOOKUP(B68,'Base stats'!B:B,'Base stats'!E:E),Groups!A:A,Groups!B:B)&lt;2))), (18 + BR68 * 2.7),
      IF(OR(BI68="Advanced",_xlfn.XLOOKUP(B68,'Base stats'!B:B,'Base stats'!AL:AL)=1,_xlfn.XLOOKUP(_xlfn.XLOOKUP(B68,'Base stats'!B:B,'Base stats'!E:E),Groups!A:A,Groups!B:B)=2), (18 + BR68 * 2.7) + 250, (18 + BR68 * 2.7))
    )
  ))
  + AO68 * 80
  + IF(COUNTIF(EggMilk!K$2:K$998, A68) &gt; 0, 125, 0)
  + IF(COUNTIF(EggMilk!P$2:P$998, A68) &gt; 0, 90, 0)
  + IF(COUNTIF(EggMilk!A$2:A$998, A68) &gt; 0, 90, 0)
)
* (0.8 + 0.4 * J68)
* 0.75,25)</f>
        <v>175</v>
      </c>
      <c r="I68" s="2">
        <f>MROUND(ROUNDDOWN(_xlfn.XLOOKUP(B68,'Base stats'!B:B,'Base stats'!L:L)/3.6/(23.3/11),1),0.5)</f>
        <v>1.5</v>
      </c>
      <c r="J68" s="2">
        <f>IF(OR(_xlfn.XLOOKUP(B68,'Base stats'!B:B,'Base stats'!AB:AB)=1,_xlfn.XLOOKUP(_xlfn.XLOOKUP(B68,'Base stats'!B:B,'Base stats'!E:E),Groups!A:A,Groups!C:C)="Untamable"),1,IF(_xlfn.XLOOKUP(B68,'Base stats'!B:B,'Base stats'!AL:AL)=1,0.99,MIN(MROUND((1-0.6282*EXP(-0.459*AO68))*_xlfn.XLOOKUP(_xlfn.XLOOKUP(B68,'Base stats'!B:B,'Base stats'!E:E),Groups!A:A,Groups!C:C)*IF(_xlfn.XLOOKUP(B68,'Base stats'!B:B,'Base stats'!O:O)=1,0.5,IF(_xlfn.XLOOKUP(B68,'Base stats'!B:B,'Base stats'!O:O)=2,0,1)),0.05),IF(AO68&gt;3.5,0.985,0.95))))</f>
        <v>0.60000000000000009</v>
      </c>
      <c r="K68" s="2">
        <f>ROUNDUP(AO68*_xlfn.XLOOKUP(_xlfn.XLOOKUP(B68,'Base stats'!B:B,'Base stats'!E:E),Groups!A:A,Groups!E:E),0)</f>
        <v>5</v>
      </c>
      <c r="L68" s="2">
        <f>IF(OR(_xlfn.XLOOKUP(_xlfn.XLOOKUP(B68,'Base stats'!B:B,'Base stats'!E:E),Groups!A:A,Groups!F:F)=2,ISNUMBER(SEARCH("SeaIce",BX68)),ISNUMBER(SEARCH("IceSheet",BX68))),-50,IF(OR(ISNUMBER(SEARCH("GlacialPlain",BX68)),ISNUMBER(SEARCH("Tundra",BX68))),-40,IF(OR(ISNUMBER(SEARCH("Alpine",BX68)),ISNUMBER(SEARCH("BorealForest",BX68)),ISNUMBER(SEARCH("ColdBog",BX68))),-30,IF(OR(ISNUMBER(SEARCH("TemperateForest",BX68)),ISNUMBER(SEARCH("TemperateSwamp",BX68))),-20,IF(_xlfn.XLOOKUP(_xlfn.XLOOKUP(B68,'Base stats'!B:B,'Base stats'!E:E),Groups!A:A,Groups!F:F)=1,-15,IF(OR(ISNUMBER(SEARCH("Desert",BX68)),ISNUMBER(SEARCH("ExtremeDesert",BX68))),-10,IF(OR(ISNUMBER(SEARCH("Grasslands",BX68)),ISNUMBER(SEARCH("TropicalRainforest",BX68)),ISNUMBER(SEARCH("TropicalSwamp",BX68))),10,0)))))))-IF(CC68="False",MIN(IFERROR(MAX(MROUND(LOG10(_xlfn.XLOOKUP(B68,'Base stats'!B:B,'Base stats'!C:C)^(2/3))*10,5),5),5),30))-_xlfn.XLOOKUP(B68,'Base stats'!B:B,'Base stats'!P:P)+IF(CC68="True",5,0)</f>
        <v>-35</v>
      </c>
      <c r="M68" s="2">
        <f>IF(OR(_xlfn.XLOOKUP(_xlfn.XLOOKUP(B68,'Base stats'!B:B,'Base stats'!E:E),Groups!A:A,Groups!G:G)=2,ISNUMBER(SEARCH("Desert",BX68)),ISNUMBER(SEARCH("ExtremeDesert",BX68)),ISNUMBER(SEARCH("LavaField",BX68))),50,IF(ISNUMBER(SEARCH("Grasslands",BX68)),45,IF(OR(_xlfn.XLOOKUP(_xlfn.XLOOKUP(B68,'Base stats'!B:B,'Base stats'!E:E),Groups!A:A,Groups!G:G)=1,ISNUMBER(SEARCH("TropicalRainforest",BX68)),ISNUMBER(SEARCH("TropicalSwamp",BX68))),40,IF(OR(ISNUMBER(SEARCH("TemperateForest",BX68)),ISNUMBER(SEARCH("TemperateSwamp",BX68))),35,IF(OR(ISNUMBER(SEARCH("Alpine",BX68)),ISNUMBER(SEARCH("BorealForest",BX68)),ISNUMBER(SEARCH("ColdBog",BX68))),30,IF(ISNUMBER(OR(ISNUMBER(SEARCH("GlacialPlain",BX68)),SEARCH("Tundra",BX68))),25,IF(OR(ISNUMBER(SEARCH("SeaIce",BX68)),ISNUMBER(SEARCH("IceSheet",BX68)),ISNUMBER(SEARCH("TropicalSwamp",BX68))),10,35)))))))+_xlfn.XLOOKUP(B68,'Base stats'!B:B,'Base stats'!Q:Q)</f>
        <v>35</v>
      </c>
      <c r="N68" s="8" t="str">
        <f>IF(
_xlfn.XLOOKUP(
_xlfn.XLOOKUP(B68,'Base stats'!B:B,'Base stats'!E:E),
Groups!A:A,
Groups!L:L
)=1,
MIN(
MROUND(
IF(
_xlfn.XLOOKUP(B68,'Animals CE'!B:B,'Animals CE'!Z:Z)&lt;=1.5,
_xlfn.XLOOKUP(B68,'Animals CE'!B:B,'Animals CE'!Z:Z)/2+0.05,
0.8+
(_xlfn.XLOOKUP(B68,'Animals CE'!B:B,'Animals CE'!Z:Z)-1.5)
*0.02
),
0.05
),
200%
),
"No"
)</f>
        <v>No</v>
      </c>
      <c r="O68" s="8" t="str">
        <f>IF(
_xlfn.XLOOKUP(
_xlfn.XLOOKUP(B68,'Base stats'!B:B,'Base stats'!E:E),
Groups!A:A,
Groups!L:L
)=1,
MIN(
MROUND(
IF(
_xlfn.XLOOKUP(B68,'Animals CE'!B:B,'Animals CE'!AA:AA)&lt;=1.5,
_xlfn.XLOOKUP(B68,'Animals CE'!B:B,'Animals CE'!AA:AA)/2+0.05,
0.8+
(_xlfn.XLOOKUP(B68,'Animals CE'!B:B,'Animals CE'!AA:AA)-1.5)
*0.02
),
0.05
),
200%
),
"No"
)</f>
        <v>No</v>
      </c>
      <c r="P68" s="2" t="str">
        <f>_xlfn.XLOOKUP(B68,'Base stats'!B:B,'Base stats'!R:R)</f>
        <v>Standard</v>
      </c>
      <c r="Q68" s="13">
        <f>MROUND((LOG10(_xlfn.XLOOKUP(B68,'Base stats'!B:B,'Base stats'!AR:AR))*(AO68^0.5)+(_xlfn.XLOOKUP(B68,'Base stats'!B:B,'Base stats'!AR:AR)/1000)^(2/3)+_xlfn.XLOOKUP(B68,'Base stats'!B:B,'Base stats'!BA:BA)/2)+0.5,0.5)</f>
        <v>3.5</v>
      </c>
      <c r="R68" s="7">
        <f>IF(Q68="No","No",MAX(1,MROUND(_xlfn.XLOOKUP(B68,'Base stats'!B:B,'Base stats'!C:C)^0.165,0.05)))</f>
        <v>1.4500000000000002</v>
      </c>
      <c r="S68" s="13" t="str">
        <f>IF(_xlfn.XLOOKUP(_xlfn.XLOOKUP(B68,'Base stats'!B:B,'Base stats'!E:E),Groups!A:A,Groups!P:P)=0,"No",MROUND((LOG10(_xlfn.XLOOKUP(B68,'Base stats'!B:B,'Base stats'!AS:AS))*(AO68^0.5)+(_xlfn.XLOOKUP(B68,'Base stats'!B:B,'Base stats'!AS:AS)/1000)^(2/3)+_xlfn.XLOOKUP(B68,'Base stats'!B:B,'Base stats'!BA:BA))+_xlfn.XLOOKUP(B68,'Base stats'!B:B,'Base stats'!AY:AY)+0.5,0.5))</f>
        <v>No</v>
      </c>
      <c r="T68" s="7" t="str">
        <f>IF(S68="No","No",MAX(_xlfn.XLOOKUP(_xlfn.XLOOKUP(B68,'Base stats'!B:B,'Base stats'!E:E),Groups!A:A,Groups!Q:Q),MROUND(_xlfn.XLOOKUP(_xlfn.XLOOKUP(B68,'Base stats'!B:B,'Base stats'!E:E),Groups!A:A,Groups!Q:Q)*_xlfn.XLOOKUP(B68,'Base stats'!B:B,'Base stats'!C:C)^0.165,0.05)))</f>
        <v>No</v>
      </c>
      <c r="U68" s="7" t="str">
        <f>IF(S68="No","No",_xlfn.XLOOKUP(_xlfn.XLOOKUP(B68,'Base stats'!B:B,'Base stats'!E:E),Groups!A:A,Groups!R:R))</f>
        <v>No</v>
      </c>
      <c r="V68" s="7" t="str">
        <f>IF(S68="No","No",_xlfn.XLOOKUP(_xlfn.XLOOKUP(B68,'Base stats'!B:B,'Base stats'!E:E),Groups!A:A,Groups!S:S))</f>
        <v>No</v>
      </c>
      <c r="W68" s="7" t="str">
        <f>IF(S68="No","No",_xlfn.XLOOKUP(_xlfn.XLOOKUP(B68,'Base stats'!B:B,'Base stats'!E:E),Groups!A:A,Groups!T:T))</f>
        <v>No</v>
      </c>
      <c r="X68" s="13" t="str">
        <f>IF(_xlfn.XLOOKUP(B68,'Base stats'!B:B,'Base stats'!W:W)="No","No",MROUND((LOG10(_xlfn.XLOOKUP(B68,'Base stats'!B:B,'Base stats'!AU:AU))*(AO68^0.5)+(_xlfn.XLOOKUP(B68,'Base stats'!B:B,'Base stats'!AU:AU)/1000)^(2/3)+_xlfn.XLOOKUP(B68,'Base stats'!B:B,'Base stats'!AZ:AZ))+0.5+IF(_xlfn.XLOOKUP(_xlfn.XLOOKUP(B68,'Base stats'!B:B,'Base stats'!E:E),Groups!A:A,Groups!U:U)&lt;&gt;3,_xlfn.XLOOKUP(B68,'Base stats'!B:B,'Base stats'!BA:BA),0),0.5))</f>
        <v>No</v>
      </c>
      <c r="Y68" s="7" t="str">
        <f>IF(X68="No","No",MAX(_xlfn.XLOOKUP(_xlfn.XLOOKUP(B68,'Base stats'!B:B,'Base stats'!E:E),Groups!A:A,Groups!V:V),MROUND(_xlfn.XLOOKUP(_xlfn.XLOOKUP(B68,'Base stats'!B:B,'Base stats'!E:E),Groups!A:A,Groups!V:V)*_xlfn.XLOOKUP(B68,'Base stats'!B:B,'Base stats'!C:C)^0.165,0.05)))</f>
        <v>No</v>
      </c>
      <c r="Z68" s="7" t="str">
        <f>IF(X68="No","No",_xlfn.XLOOKUP(_xlfn.XLOOKUP(B68,'Base stats'!B:B,'Base stats'!E:E),Groups!A:A,Groups!W:W))</f>
        <v>No</v>
      </c>
      <c r="AA68" s="7" t="str">
        <f>IF(X68="No","No",_xlfn.XLOOKUP(_xlfn.XLOOKUP(B68,'Base stats'!B:B,'Base stats'!E:E),Groups!A:A,Groups!X:X))</f>
        <v>No</v>
      </c>
      <c r="AB68" s="7" t="str">
        <f>IF(X68="No","No",_xlfn.XLOOKUP(_xlfn.XLOOKUP(B68,'Base stats'!B:B,'Base stats'!E:E),Groups!A:A,Groups!Y:Y))</f>
        <v>No</v>
      </c>
      <c r="AC68" s="7" t="str">
        <f>_xlfn.XLOOKUP(Animals!B68,'Base stats'!B:B,'Base stats'!X:X)</f>
        <v>False</v>
      </c>
      <c r="AD68" s="13">
        <f>IF(_xlfn.XLOOKUP(B68,'Base stats'!B:B,'Base stats'!AT:AT)="No","No",MROUND((LOG10(_xlfn.XLOOKUP(B68,'Base stats'!B:B,'Base stats'!AT:AT))*(AO68^0.75)+(_xlfn.XLOOKUP(B68,'Base stats'!B:B,'Base stats'!AT:AT)/1000)^(2/3)+_xlfn.XLOOKUP(B68,'Base stats'!B:B,'Base stats'!AX:AX)+_xlfn.XLOOKUP(B68,'Base stats'!B:B,'Base stats'!BA:BA))+0.5,0.5))</f>
        <v>3.5</v>
      </c>
      <c r="AE68" s="7">
        <f>IF(AD68="No","No",MAX(_xlfn.XLOOKUP(_xlfn.XLOOKUP(B68,'Base stats'!B:B,'Base stats'!E:E),Groups!A:A,Groups!Z:Z),MROUND(_xlfn.XLOOKUP(_xlfn.XLOOKUP(B68,'Base stats'!B:B,'Base stats'!E:E),Groups!A:A,Groups!Z:Z)*_xlfn.XLOOKUP(B68,'Base stats'!B:B,'Base stats'!C:C)^0.165,0.05)))</f>
        <v>1.1500000000000001</v>
      </c>
      <c r="AF68" s="7" t="str">
        <f>IF(AD68="No","No",_xlfn.XLOOKUP(_xlfn.XLOOKUP(B68,'Base stats'!B:B,'Base stats'!E:E),Groups!A:A,Groups!AA:AA))</f>
        <v>Beak</v>
      </c>
      <c r="AG68" s="7" t="str">
        <f>IF(AD68="No","No",_xlfn.XLOOKUP(_xlfn.XLOOKUP(B68,'Base stats'!B:B,'Base stats'!E:E),Groups!A:A,Groups!AB:AB))</f>
        <v>beak</v>
      </c>
      <c r="AH68" s="7" t="str">
        <f>IF(AD68="No","No",_xlfn.XLOOKUP(_xlfn.XLOOKUP(B68,'Base stats'!B:B,'Base stats'!E:E),Groups!A:A,Groups!AC:AC))</f>
        <v>Blunt</v>
      </c>
      <c r="AI68" s="13" t="str">
        <f>IF(_xlfn.XLOOKUP(_xlfn.XLOOKUP(B68,'Base stats'!B:B,'Base stats'!E:E),Groups!A:A,Groups!AD:AD)=0,"No",MROUND((LOG10(_xlfn.XLOOKUP(B68,'Base stats'!B:B,'Base stats'!AS:AS))*(AO68^0.75)+(_xlfn.XLOOKUP(B68,'Base stats'!B:B,'Base stats'!AS:AS)/1000)^(2/3)+_xlfn.XLOOKUP(B68,'Base stats'!B:B,'Base stats'!AY:AY)+_xlfn.XLOOKUP(B68,'Base stats'!B:B,'Base stats'!BA:BA))+0.5,0.5))</f>
        <v>No</v>
      </c>
      <c r="AJ68" s="7" t="str">
        <f>IF(AI68="No","No",MAX(_xlfn.XLOOKUP(_xlfn.XLOOKUP(B68,'Base stats'!B:B,'Base stats'!E:E),Groups!A:A,Groups!AE:AE),MROUND(_xlfn.XLOOKUP(_xlfn.XLOOKUP(B68,'Base stats'!B:B,'Base stats'!E:E),Groups!A:A,Groups!AE:AE)*IF(_xlfn.XLOOKUP(_xlfn.XLOOKUP(B68,'Base stats'!B:B,'Base stats'!E:E),Groups!A:A,Groups!AJ:AJ)="Photonozoa",0.6,1)*_xlfn.XLOOKUP(B68,'Base stats'!B:B,'Base stats'!C:C)^0.165,0.05)))</f>
        <v>No</v>
      </c>
      <c r="AK68" s="7" t="str">
        <f>IF(AI68="No","No",_xlfn.XLOOKUP(_xlfn.XLOOKUP(B68,'Base stats'!B:B,'Base stats'!E:E),Groups!A:A,Groups!AF:AF))</f>
        <v>No</v>
      </c>
      <c r="AL68" s="7" t="str">
        <f>IF(AI68="No","No",_xlfn.XLOOKUP(_xlfn.XLOOKUP(B68,'Base stats'!B:B,'Base stats'!E:E),Groups!A:A,Groups!AG:AG))</f>
        <v>No</v>
      </c>
      <c r="AM68" s="7" t="str">
        <f>IF(AI68="No","No",_xlfn.XLOOKUP(_xlfn.XLOOKUP(B68,'Base stats'!B:B,'Base stats'!E:E),Groups!A:A,Groups!AH:AH))</f>
        <v>No</v>
      </c>
      <c r="AN68" s="2" t="str">
        <f t="shared" si="7"/>
        <v>No</v>
      </c>
      <c r="AO68" s="2">
        <f>MROUND(IF(AND(_xlfn.XLOOKUP(B68,'Base stats'!B:B,'Base stats'!C:C)&gt;=0.5,_xlfn.XLOOKUP(B68,'Base stats'!B:B,'Base stats'!C:C)&lt;=0.8),
IF(_xlfn.XLOOKUP(B68,'Base stats'!B:B,'Base stats'!C:C)&lt;0.1,0.05,IF(_xlfn.XLOOKUP(B68,'Base stats'!B:B,'Base stats'!C:C)&lt;=70,(_xlfn.XLOOKUP(B68,'Base stats'!B:B,'Base stats'!C:C)/70)^0.426489913056526,IF(_xlfn.XLOOKUP(B68,'Base stats'!B:B,'Base stats'!C:C)&lt;=400,(_xlfn.XLOOKUP(B68,'Base stats'!B:B,'Base stats'!C:C)/70)^0.572811455315093,IF(_xlfn.XLOOKUP(B68,'Base stats'!B:B,'Base stats'!C:C)&lt;=2000,2.71391647193063*(_xlfn.XLOOKUP(B68,'Base stats'!B:B,'Base stats'!C:C)/400)^0.252459582904293,3.74314280240376*(_xlfn.XLOOKUP(B68,'Base stats'!B:B,'Base stats'!C:C)/2000)^0.357012633876913)))),
IF(_xlfn.XLOOKUP(B68,'Base stats'!B:B,'Base stats'!C:C)&lt;0.1,0.05,IF(_xlfn.XLOOKUP(B68,'Base stats'!B:B,'Base stats'!C:C)&lt;0.4,0.1,IF(_xlfn.XLOOKUP(B68,'Base stats'!B:B,'Base stats'!C:C)&lt;=70,(_xlfn.XLOOKUP(B68,'Base stats'!B:B,'Base stats'!C:C)/70)^0.445823913056526,IF(_xlfn.XLOOKUP(B68,'Base stats'!B:B,'Base stats'!C:C)&lt;=400,(_xlfn.XLOOKUP(B68,'Base stats'!B:B,'Base stats'!C:C)/70)^0.572811455315093,IF(_xlfn.XLOOKUP(B68,'Base stats'!B:B,'Base stats'!C:C)&lt;=2000,2.71391647193063*(_xlfn.XLOOKUP(B68,'Base stats'!B:B,'Base stats'!C:C)/400)^0.252459582904293,3.74314280240376*(_xlfn.XLOOKUP(B68,'Base stats'!B:B,'Base stats'!C:C)/2000)^0.357012633876913)))))),
IF(_xlfn.XLOOKUP(B68,'Base stats'!B:B,'Base stats'!C:C)&lt;0.1,0.05,IF(_xlfn.XLOOKUP(B68,'Base stats'!B:B,'Base stats'!C:C)&lt;=100,0.05,IF(_xlfn.XLOOKUP(B68,'Base stats'!B:B,'Base stats'!C:C)&lt;=250,0.1,IF(_xlfn.XLOOKUP(B68,'Base stats'!B:B,'Base stats'!C:C)&lt;=4000,0.25,0.5)))))</f>
        <v>0.4</v>
      </c>
      <c r="AP68" s="8">
        <f>MROUND(AO68*_xlfn.XLOOKUP(_xlfn.XLOOKUP(B68,'Base stats'!B:B,'Base stats'!E:E),Groups!A:A,Groups!AI:AI)*_xlfn.XLOOKUP(B68,'Base stats'!B:B,'Base stats'!Z:Z),0.05)</f>
        <v>0.4</v>
      </c>
      <c r="AQ68" s="8">
        <f>MAX(0.01,MROUND(IF(CC68="True",0.196*(AO68*100*1000)^0.889,IF(_xlfn.XLOOKUP(_xlfn.XLOOKUP(B68,'Base stats'!B:B,'Base stats'!E:E),Groups!A:A,Groups!AJ:AJ)="Bird",10.5*(AO68*100*1000)^0.681,4.82*(AO68*100*1000)^0.734))/(4.82*(1*100*1000)^0.734)/IF(AO68&lt;3.5,2,IF(AO68=3.5,1.5,1.25))*(1+0.132282374779864/(AO68^0.994035016789033+0.00905238001496948)),0.05))</f>
        <v>0.4</v>
      </c>
      <c r="AR68" s="9">
        <f>IFERROR(MROUND(_xlfn.XLOOKUP(B68,'Base stats'!B:B,'Base stats'!H:H)/IF(_xlfn.XLOOKUP(B68,'Base stats'!B:B,'Base stats'!I:I)&lt;&gt;1,(122.5/70),1.2),IF(_xlfn.XLOOKUP(B68,'Base stats'!B:B,'Base stats'!H:H)&gt;=30,5,IF(_xlfn.XLOOKUP(B68,'Base stats'!B:B,'Base stats'!H:H)&gt;=15,3,IF(_xlfn.XLOOKUP(B68,'Base stats'!B:B,'Base stats'!H:H)&gt;=10,2,1)))),"Immortal")</f>
        <v>25</v>
      </c>
      <c r="AS68" s="35" t="str">
        <f>IFERROR(IF(OR(_xlfn.XLOOKUP(B68,'Base stats'!B:B,'Base stats'!F:F)="Atypical reproduction",_xlfn.XLOOKUP(B68,'Base stats'!B:B,'Base stats'!F:F)="Lay eggs"),"Lay eggs",MIN(20,MAX(5.5,ROUND(((_xlfn.XLOOKUP(B68,'Base stats'!B:B,'Base stats'!F:F)-25)*(14.5/615) + 5.5)*2,0)/2))),"Unknown")</f>
        <v>Lay eggs</v>
      </c>
      <c r="AT68" s="8">
        <f>IF(_xlfn.XLOOKUP(B68,'Base stats'!B:B,'Base stats'!G:G)="Atypical reproduction","No",IFERROR(MAX(IF(_xlfn.XLOOKUP(B68,'Base stats'!B:B,'Base stats'!G:G)&lt;0.5,0.2,0.3),MROUND(_xlfn.XLOOKUP(B68,'Base stats'!B:B,'Base stats'!G:G)/(365/60),0.2)),"Unknown"))</f>
        <v>0.4</v>
      </c>
      <c r="AU68" s="8">
        <f t="shared" si="8"/>
        <v>0.2</v>
      </c>
      <c r="AV68" s="8" t="str">
        <f>IFERROR(IFERROR(MROUND(_xlfn.XLOOKUP(B68,'Base stats'!B:B,'Base stats'!J:J),0.1),"Lay eggs"),"Cannot breed")</f>
        <v>Lay eggs</v>
      </c>
      <c r="AW68" s="2" t="str">
        <f t="shared" si="9"/>
        <v>false</v>
      </c>
      <c r="AX68" s="2" t="str">
        <f>IF(_xlfn.XLOOKUP(_xlfn.XLOOKUP(Animals!B68,'Base stats'!B:B,'Base stats'!E:E),Groups!A:A,Groups!AK:AK)=1,"true","false")</f>
        <v>false</v>
      </c>
      <c r="AY68" s="25" t="str">
        <f>IF(_xlfn.XLOOKUP(B68,'Base stats'!B:B,'Base stats'!Y:Y)="Liquor","Liquor, CarnivoreAnimalStrict",IF(AND(_xlfn.XLOOKUP(B68,'Base stats'!B:B,'Base stats'!Y:Y)="Carnivore",_xlfn.XLOOKUP(_xlfn.XLOOKUP(B68,'Base stats'!B:B,'Base stats'!E:E),Groups!A:A,Groups!AJ:AJ)="Photonozoa"),"CarnivoreAnimalStrict, OvivoreAnimal",IF(_xlfn.XLOOKUP(B68,'Base stats'!B:B,'Base stats'!Y:Y)="Carnivore","CarnivoreAnimal, OvivoreAnimal",IF(_xlfn.XLOOKUP(B68,'Base stats'!B:B,'Base stats'!Y:Y)="Dendrovore","VegetarianRoughAnimal, DendrovoreAnimal",IF(_xlfn.XLOOKUP(B68,'Base stats'!B:B,'Base stats'!Y:Y)="Herbivore","VegetarianRoughAnimal",IF(_xlfn.XLOOKUP(B68,'Base stats'!B:B,'Base stats'!Y:Y)="OmnivoreRough","OmnivoreRoughAnimal, OvivoreAnimal","OmnivoreAnimal, OvivoreAnimal"))))))</f>
        <v>VegetarianRoughAnimal</v>
      </c>
      <c r="AZ68" s="2">
        <f>IF(_xlfn.XLOOKUP(_xlfn.XLOOKUP(B68,'Base stats'!B:B,'Base stats'!E:E),Groups!A:A,Groups!D:D)=1,MROUND((1-J68)*5+1,2)*IF(J68&lt;=0.4,2,1),"No")</f>
        <v>4</v>
      </c>
      <c r="BA68" s="2" t="str">
        <f>IF(AND(_xlfn.XLOOKUP(B68,'Base stats'!B:B,'Base stats'!AH:AH)="&lt;li&gt;Seal&lt;/li&gt;",G68="Odyssey"),"&lt;li&gt;AEXP_Seal&lt;/li&gt;",_xlfn.XLOOKUP(B68,'Base stats'!B:B,'Base stats'!AH:AH))</f>
        <v>&lt;li&gt;Cassowary&lt;/li&gt;</v>
      </c>
      <c r="BB68" s="2" t="str">
        <f>_xlfn.XLOOKUP(B68,'Base stats'!B:B,'Base stats'!AG:AG)</f>
        <v>No</v>
      </c>
      <c r="BC68" s="23" t="str">
        <f>_xlfn.XLOOKUP(_xlfn.XLOOKUP(B68,'Base stats'!B:B,'Base stats'!E:E),Groups!A:A,Groups!AL:AL)</f>
        <v>Bird</v>
      </c>
      <c r="BD68" s="23">
        <f>MIN(1,MROUND(IF(AND(AO68&lt;0.5,_xlfn.XLOOKUP(B68,'Base stats'!B:B,'Base stats'!AA:AA)=0),0,IF(OR(_xlfn.XLOOKUP(Animals!B68,'Base stats'!B:B,'Base stats'!O:O)=2,_xlfn.XLOOKUP(_xlfn.XLOOKUP(B68,'Base stats'!B:B,'Base stats'!E:E),Groups!A:A,Groups!AN:AN)=0),0,_xlfn.XLOOKUP(_xlfn.XLOOKUP(B68,'Base stats'!B:B,'Base stats'!E:E),Groups!A:A,Groups!AN:AN)/IF(_xlfn.XLOOKUP(Animals!B68,'Base stats'!B:B,'Base stats'!O:O)=1,2,1)))+_xlfn.XLOOKUP(B68,'Base stats'!B:B,'Base stats'!AC:AC),0.005))</f>
        <v>0</v>
      </c>
      <c r="BE68" s="23">
        <f>MIN(1,MROUND(IF(AND(AO68&lt;0.5,_xlfn.XLOOKUP(B68,'Base stats'!B:B,'Base stats'!AA:AA)=0),0,IF(_xlfn.XLOOKUP(_xlfn.XLOOKUP(B68,'Base stats'!B:B,'Base stats'!E:E),Groups!A:A,Groups!AO:AO)=0,0,_xlfn.XLOOKUP(_xlfn.XLOOKUP(B68,'Base stats'!B:B,'Base stats'!E:E),Groups!A:A,Groups!AO:AO)/IF(_xlfn.XLOOKUP(Animals!B68,'Base stats'!B:B,'Base stats'!O:O)=2,3,1)))+_xlfn.XLOOKUP(B68,'Base stats'!B:B,'Base stats'!AD:AD),0.005))</f>
        <v>0</v>
      </c>
      <c r="BF68" s="2" t="str">
        <f>IF(J68&gt;0.3,"No",_xlfn.XLOOKUP(_xlfn.XLOOKUP(Animals!B68,'Base stats'!B:B,'Base stats'!E:E),Groups!A:A,Groups!AP:AP))</f>
        <v>No</v>
      </c>
      <c r="BG68" s="2" t="str">
        <f>IF(AND(J68&lt;=0.65,_xlfn.XLOOKUP(_xlfn.XLOOKUP(Animals!B68,'Base stats'!B:B,'Base stats'!E:E),Groups!A:A,Groups!AP:AP)&lt;&gt;"No",_xlfn.XLOOKUP(_xlfn.XLOOKUP(B68,'Base stats'!B:B,'Base stats'!E:E),Groups!A:A,Groups!D:D)=0),MROUND((80/3)*IF(_xlfn.XLOOKUP(B68,'Base stats'!B:B,'Base stats'!O:O)=2,0.2,AO68) + 24*(1-IF(BF68="No",0,BF68)) + 16/3, 12),"No")</f>
        <v>No</v>
      </c>
      <c r="BH68" s="2">
        <f>IF(AND(_xlfn.XLOOKUP(_xlfn.XLOOKUP(B68,'Base stats'!B:B,'Base stats'!E:E),Groups!A:A,Groups!AQ:AQ)=1,AO68&lt;=0.35),8,12)</f>
        <v>12</v>
      </c>
      <c r="BI68" s="2" t="str">
        <f>IF(_xlfn.XLOOKUP(_xlfn.XLOOKUP(B68,'Base stats'!B:B,'Base stats'!E:E),Groups!A:A,Groups!D:D)=0,_xlfn.XLOOKUP(_xlfn.XLOOKUP(B68,'Base stats'!B:B,'Base stats'!E:E),Groups!A:A,Groups!AR:AR),"None")</f>
        <v>None</v>
      </c>
      <c r="BJ68" s="2" t="str">
        <f>IF(AND(_xlfn.XLOOKUP(_xlfn.XLOOKUP(B68,'Base stats'!B:B,'Base stats'!E:E),Groups!A:A,Groups!AS:AS)=1,OR(_xlfn.XLOOKUP(B68,'Base stats'!B:B,'Base stats'!Y:Y)="Carnivore",_xlfn.XLOOKUP(B68,'Base stats'!B:B,'Base stats'!Y:Y)="Omnivore")),"true","false")</f>
        <v>false</v>
      </c>
      <c r="BK68" s="2" t="str">
        <f>IF(BJ68="true",MROUND(IF(AND(AO68&gt;0.5,OR(_xlfn.XLOOKUP(_xlfn.XLOOKUP(B68,'Base stats'!B:B,'Base stats'!E:E),Groups!A:A,Groups!AJ:AJ)="Photonozoa",_xlfn.XLOOKUP(_xlfn.XLOOKUP(B68,'Base stats'!B:B,'Base stats'!E:E),Groups!A:A,Groups!AJ:AJ)="Mammal")),Animals!AO68*1.75*IF(AW68="true",1.5,1),IF(AO68&lt;0.5,Animals!AO68*0.5,Animals!AO68)),IF(AO68&gt;2,0.5,IF(AO68&gt;0.5,0.25,0.1))),"No")</f>
        <v>No</v>
      </c>
      <c r="BL68" s="2">
        <f t="shared" si="10"/>
        <v>0</v>
      </c>
      <c r="BM68" s="25" t="str">
        <f>IF(_xlfn.XLOOKUP(B68,'Base stats'!B:B,'Base stats'!AN:AN)="Standard","No",MROUND((_xlfn.XLOOKUP(B68,'Base stats'!B:B,'Base stats'!AN:AN)/3.6)/I68,0.1))</f>
        <v>No</v>
      </c>
      <c r="BN68" s="25" t="str">
        <f t="shared" si="11"/>
        <v>true</v>
      </c>
      <c r="BO68" s="25" t="str">
        <f>IF(AND(OR(_xlfn.XLOOKUP(B68,'Base stats'!B:B,'Base stats'!Y:Y)="Carnivore",_xlfn.XLOOKUP(B68,'Base stats'!B:B,'Base stats'!Y:Y)="Omnivore",_xlfn.XLOOKUP(B68,'Base stats'!B:B,'Base stats'!Y:Y)="OmnivoreRough"),_xlfn.XLOOKUP(_xlfn.XLOOKUP(B68,'Base stats'!B:B,'Base stats'!E:E),Groups!A:A,Groups!AT:AT)=1),"true","false")</f>
        <v>false</v>
      </c>
      <c r="BP68" s="25" t="str" cm="1">
        <f t="array" ref="BP68">IF(
  _xlfn.TEXTJOIN(", ",TRUE,
    IF(AND(BJ68="true",AO68&gt;0.5,BI68&lt;&gt;"None"),"AttackTarget",""),
    IF(AND(_xlfn.XLOOKUP(_xlfn.XLOOKUP(B68,'Base stats'!B:B,'Base stats'!E:E),Groups!A:A,Groups!AJ:AJ="Mammal"),OR(_xlfn.XLOOKUP(B68,'Base stats'!B:B,'Base stats'!Y:Y)="Omnivore",_xlfn.XLOOKUP(B68,'Base stats'!B:B,'Base stats'!Y:Y)="OmnivoreRough")),"Forage",""),
    IF(BG68&lt;=36,"Comfort",""),
    IF(_xlfn.XLOOKUP(B68,'Base stats'!B:B,'Base stats'!AE:AE)&lt;&gt;"No",_xlfn.XLOOKUP(B68,'Base stats'!B:B,'Base stats'!AE:AE),"")
  ) = "",
  "No",
  _xlfn.TEXTJOIN(", ",TRUE,
    IF(AND(BJ68="true",AO68&gt;0.5,BI68&lt;&gt;"None"),"AttackTarget",""),
    IF(AND(_xlfn.XLOOKUP(_xlfn.XLOOKUP(B68,'Base stats'!B:B,'Base stats'!E:E),Groups!A:A,Groups!AJ:AJ="Mammal"),OR(_xlfn.XLOOKUP(B68,'Base stats'!B:B,'Base stats'!Y:Y)="Omnivore",_xlfn.XLOOKUP(B68,'Base stats'!B:B,'Base stats'!Y:Y)="OmnivoreRough")),"Forage",""),
    IF(BG68&lt;=36,"Comfort",""),
    IF(_xlfn.XLOOKUP(B68,'Base stats'!B:B,'Base stats'!AE:AE)&lt;&gt;"No",_xlfn.XLOOKUP(B68,'Base stats'!B:B,'Base stats'!AE:AE),"")
  )
)</f>
        <v>No</v>
      </c>
      <c r="BQ68" s="25">
        <f>IF(
   AND(
      'Base stats'!AN68="Standard",_xlfn.XLOOKUP(_xlfn.XLOOKUP(B68,'Base stats'!B:B,'Base stats'!E:E),Groups!A:A,Groups!AU:AU)=0,
      OR(
      BO68="True"
      )
   ),
   10,
   IF(
       OR(BM68&lt;&gt;"No",_xlfn.XLOOKUP(_xlfn.XLOOKUP(B68,'Base stats'!B:B,'Base stats'!E:E),Groups!A:A,Groups!AU:AU)=1),
      1,
      "No"
   )
)</f>
        <v>1</v>
      </c>
      <c r="BR68" s="9">
        <f>MROUND((1 + ((0.2*IF(OR(Q68="No",R68="No",R68=0),0,Q68/R68)
+IF(OR(V68="No",S68="No",T68="No"),0,S68/T68*(LEN(V68)-LEN(SUBSTITUTE(V68,",",""))+1))
+IF(OR(X68="No",Y68="No"),0,X68/Y68)
+IF(OR(AD68="No",AE68="No"),0,AD68/AE68)
+IF(OR(AL68="No",AI68="No",AJ68="No"),0,AI68/AJ68*(LEN(AL68)-LEN(SUBSTITUTE(AL68,",",""))+1))
)/(0.2*IF(OR(Q68="No",R68="No",R68=0),0,1)
+IF(OR(V68="No",S68="No",T68="No"),0,LEN(V68)-LEN(SUBSTITUTE(V68,",",""))+1)
+IF(OR(X68="No",Y68="No"),0,1)
+IF(OR(AD68="No",AE68="No"),0,1)
+IF(OR(AL68="No",AI68="No",AJ68="No"),0,LEN(AL68)-LEN(SUBSTITUTE(AL68,",",""))+1))*62%)* 2)*(1 + (AP68 / (IF(_xlfn.XLOOKUP(_xlfn.XLOOKUP(B68,'Base stats'!B:B,'Base stats'!E:E),Groups!A:A,Groups!AJ:AJ)="Photonozoa",0.3,1)) + _xlfn.XLOOKUP(B68,'Base stats'!B:B,'Base stats'!AV:AV) * 1.8) * 2) * 2.5 + 10 + I68 * 2,5)+IF(_xlfn.XLOOKUP(B68,'Base stats'!B:B,'Base stats'!AK:AK)=1,50,0)</f>
        <v>35</v>
      </c>
      <c r="BS68" s="8">
        <f t="shared" si="12"/>
        <v>0.4</v>
      </c>
      <c r="BT68" s="8" t="str">
        <f>_xlfn.XLOOKUP(B68,'Base stats'!B:B,'Base stats'!AF:AF)</f>
        <v>No</v>
      </c>
      <c r="BU68" s="2" t="str">
        <f>IF(AND(J68&lt;=0.95,OR(_xlfn.XLOOKUP(B68,'Base stats'!B:B,'Base stats'!AK:AK)=1,_xlfn.XLOOKUP(B68,'Base stats'!B:B,'Base stats'!Y:Y)="Carnivore",_xlfn.XLOOKUP(B68,'Base stats'!B:B,'Base stats'!Y:Y)="Omnivore",BE68&gt;0.1)),"true","false")</f>
        <v>false</v>
      </c>
      <c r="BV68" s="2" t="str">
        <f>IF(_xlfn.XLOOKUP(B68,'Base stats'!B:B,'Base stats'!AI:AI)=1,"true","false")</f>
        <v>false</v>
      </c>
      <c r="BW68" s="25" t="str">
        <f>IF(E68="BaseInsect","AnimalInsect",
IF(J68&gt;0.95,"AnimalExotic",
_xlfn.TEXTJOIN(", ",TRUE,
IF(OR(_xlfn.XLOOKUP(B68,'Base stats'!B:B,'Base stats'!AM:AM)=1,AND(_xlfn.XLOOKUP(B68,'Base stats'!B:B,'Base stats'!O:O)=0,_xlfn.XLOOKUP(_xlfn.XLOOKUP(B68,'Base stats'!B:B,'Base stats'!E:E),Groups!A:A,Groups!B:B)&gt;0)),"AnimalUncommon","AnimalCommon"),
IF(AND(_xlfn.XLOOKUP(B68,'Base stats'!B:B,'Base stats'!O:O)=2,_xlfn.XLOOKUP(_xlfn.XLOOKUP(B68,'Base stats'!B:B,'Base stats'!E:E),Groups!A:A,Groups!D:D)=0),"AnimalPet",IF(AND(_xlfn.XLOOKUP(B68,'Base stats'!B:B,'Base stats'!O:O)&lt;&gt;0,_xlfn.XLOOKUP(_xlfn.XLOOKUP(B68,'Base stats'!B:B,'Base stats'!E:E),Groups!A:A,Groups!D:D)&lt;&gt;0),"AnimalFarm","")),
IF(OR(_xlfn.XLOOKUP(B68,'Base stats'!B:B,'Base stats'!AK:AK)=1,AND(BI68&lt;&gt;"None",BR68&gt;=60),ISNUMBER(SEARCH("Attack target",BP68))),"AnimalFighter","")
)))</f>
        <v>AnimalUncommon</v>
      </c>
      <c r="BX68" s="25" t="str">
        <f>IF(G68="None",TRIM(
SUBSTITUTE(
IF(COUNTIF(Biomes!B$2:B$259,"="&amp;$C68)&gt;0,Biomes!B$1&amp;", ","")&amp;
IF(COUNTIF(Biomes!C$2:C$259,"="&amp;$C68)&gt;0,Biomes!C$1&amp;", ","")&amp;
IF(COUNTIF(Biomes!D$2:D$259,"="&amp;$C68)&gt;0,Biomes!D$1&amp;", ","")&amp;
IF(COUNTIF(Biomes!F$2:F$259,"="&amp;$C68)&gt;0,Biomes!F$1&amp;", ","")&amp;
IF(COUNTIF(Biomes!G$2:G$259,"="&amp;$C68)&gt;0,Biomes!G$1&amp;", ","")&amp;
IF(COUNTIF(Biomes!H$2:H$259,"="&amp;$C68)&gt;0,Biomes!H$1&amp;", ","")&amp;
IF(COUNTIF(Biomes!I$2:I$259,"="&amp;$C68)&gt;0,Biomes!I$1&amp;", ","")&amp;
IF(COUNTIF(Biomes!J$2:J$259,"="&amp;$C68)&gt;0,Biomes!J$1&amp;", ","")&amp;
IF(COUNTIF(Biomes!M$2:M$259,"="&amp;$C68)&gt;0,Biomes!M$1&amp;", ","")&amp;
IF(COUNTIF(Biomes!N$2:N$259,"="&amp;$C68)&gt;0,Biomes!N$1&amp;", ","")&amp;
IF(COUNTIF(Biomes!O$2:O$259,"="&amp;$C68)&gt;0,Biomes!O$1&amp;", ","")&amp;
IF(COUNTIF(Biomes!P$2:P$259,"="&amp;$C68)&gt;0,Biomes!P$1&amp;", ","")&amp;
IF(COUNTIF(Biomes!K$2:K$259,"="&amp;$C68)&gt;0,Biomes!K$1&amp;", ","")&amp;
IF(COUNTIF(Biomes!Q$3:Q$259,"="&amp;$C68)&gt;0,Biomes!Q$1&amp;", ","")&amp;
IF(COUNTIF(Biomes!L$2:L$259,"="&amp;$C68)&gt;0,Biomes!L$1&amp;", ","")&amp;
IF(COUNTIF(Biomes!E$2:E$259,"="&amp;$C68)&gt;0,Biomes!E$1&amp;", ","")&amp;IF(COUNTIF(Biomes!S$2:S$259,"="&amp;$C68)&gt;0,Biomes!S$1&amp;", ","")&amp;
IF(COUNTIF(Biomes!R$2:R$259,"="&amp;$C68)&gt;0,Biomes!R$1&amp;", ",""),", ","")
),_xlfn.XLOOKUP(B68,B:B,BX:BX))</f>
        <v>ColdBog TemperateSwamp</v>
      </c>
      <c r="BY68" s="25" t="str">
        <f>IF(_xlfn.XLOOKUP(B68,'Base stats'!B:B,'Base stats'!AJ:AJ)=1,"true","false")</f>
        <v>false</v>
      </c>
      <c r="BZ68" s="25">
        <f>IF(_xlfn.XLOOKUP(B68,'Base stats'!B:B,'Base stats'!N:N)=1,"No",MAX(0.001,MIN(MROUND(IF(AND(BJ68="True",CC68="False"),POWER(10,3.47*LOG10(_xlfn.XLOOKUP(B68,'Base stats'!B:B,'Base stats'!C:C)*1000)^-0.96),POWER(10,4.15*LOG10(_xlfn.XLOOKUP(B68,'Base stats'!B:B,'Base stats'!C:C)*1000)^-0.73))*IF(_xlfn.XLOOKUP(B68,'Base stats'!B:B,'Base stats'!AK:AK)=1,0.5,1)*IF(_xlfn.XLOOKUP(B68,'Base stats'!B:B,'Base stats'!AM:AM)=1,0.1,1)/100,IF(_xlfn.XLOOKUP(B68,'Base stats'!B:B,'Base stats'!AM:AM)=1,0.001,0.025)),0.5)))</f>
        <v>0.32500000000000001</v>
      </c>
      <c r="CA68" s="25" t="str">
        <f>IF(P68="Standard","No",MAX(0.001,MIN(MROUND(IF(AND(BJ68="True",CC68="False"),POWER(10,3.47*LOG10(_xlfn.XLOOKUP(B68,'Base stats'!B:B,'Base stats'!C:C)*1000)^-0.96),POWER(10,4.15*LOG10(_xlfn.XLOOKUP(B68,'Base stats'!B:B,'Base stats'!C:C)*1000)^-0.73))*IF(_xlfn.XLOOKUP(B68,'Base stats'!B:B,'Base stats'!AM:AM)=1,0.1,1)*_xlfn.XLOOKUP(B68,'Base stats'!B:B,'Base stats'!R:R)/100,IF(_xlfn.XLOOKUP(B68,'Base stats'!B:B,'Base stats'!AM:AM)=1,0.001,0.025)),0.5)))</f>
        <v>No</v>
      </c>
      <c r="CB68" s="25" t="str">
        <f>IF(_xlfn.XLOOKUP(_xlfn.XLOOKUP(B68,'Base stats'!B:B,'Base stats'!E:E),Groups!A:A,Groups!AJ:AJ)="Mammal","True","False")</f>
        <v>False</v>
      </c>
      <c r="CC68" s="25" t="str">
        <f>IF(OR(_xlfn.XLOOKUP(_xlfn.XLOOKUP(B68,'Base stats'!B:B,'Base stats'!E:E),Groups!A:A,Groups!AJ:AJ)="Reptile",_xlfn.XLOOKUP(_xlfn.XLOOKUP(B68,'Base stats'!B:B,'Base stats'!E:E),Groups!A:A,Groups!AJ:AJ)="Amphibian",_xlfn.XLOOKUP(_xlfn.XLOOKUP(B68,'Base stats'!B:B,'Base stats'!E:E),Groups!A:A,Groups!AJ:AJ)="Invertebrate"),"True","False")</f>
        <v>False</v>
      </c>
      <c r="CD68" s="25" t="str">
        <f t="shared" si="13"/>
        <v>False</v>
      </c>
      <c r="CE68" s="25" t="str">
        <f>IF(_xlfn.XLOOKUP(_xlfn.XLOOKUP(B68,'Base stats'!B:B,'Base stats'!E:E),Groups!A:A,Groups!AX:AX),"True","False")</f>
        <v>False</v>
      </c>
      <c r="CF68" s="25" t="str">
        <f>IF(_xlfn.XLOOKUP(_xlfn.XLOOKUP(B68,'Base stats'!B:B,'Base stats'!E:E),Groups!A:A,Groups!AY:AY),"True","False")</f>
        <v>False</v>
      </c>
      <c r="CG68" s="25" t="str">
        <f>IF(_xlfn.XLOOKUP(_xlfn.XLOOKUP(B68,'Base stats'!B:B,'Base stats'!E:E),Groups!A:A,Groups!AW:AW),"True","False")</f>
        <v>False</v>
      </c>
      <c r="CH68" s="25" t="str">
        <f>IF(
OR(
_xlfn.XLOOKUP(_xlfn.XLOOKUP(B68,'Base stats'!B:B,'Base stats'!E:E),Groups!A:A,Groups!AZ:AZ)=0,
AND(
_xlfn.XLOOKUP(B68,'Base stats'!B:B,'Base stats'!Y:Y)&lt;&gt;"Carnivore",
_xlfn.XLOOKUP(B68,'Base stats'!B:B,'Base stats'!Y:Y)&lt;&gt;"Omnivore",
_xlfn.XLOOKUP(B68,'Base stats'!B:B,'Base stats'!Y:Y)&lt;&gt;"OmnivoreRough"
)
),
"No",
IF(
_xlfn.XLOOKUP(_xlfn.XLOOKUP(B68,'Base stats'!B:B,'Base stats'!E:E),Groups!A:A,Groups!AZ:AZ)=1,
"Flesh",
IF(
_xlfn.XLOOKUP(_xlfn.XLOOKUP(B68,'Base stats'!B:B,'Base stats'!E:E),Groups!A:A,Groups!AZ:AZ)=2,
"Bone",
""
)
)
)</f>
        <v>No</v>
      </c>
      <c r="CI68" s="25" t="str">
        <f>IF(_xlfn.XLOOKUP(_xlfn.XLOOKUP(B68,'Base stats'!B:B,'Base stats'!E:E),Groups!A:A,Groups!BB:BB),"True","False")</f>
        <v>True</v>
      </c>
      <c r="CJ68" s="25" t="str">
        <f>IF(_xlfn.XLOOKUP(_xlfn.XLOOKUP(B68,'Base stats'!B:B,'Base stats'!E:E),Groups!A:A,Groups!BA:BA),"True","False")</f>
        <v>False</v>
      </c>
    </row>
    <row r="69" spans="1:88" ht="16.5" thickTop="1" thickBot="1" x14ac:dyDescent="0.3">
      <c r="A69" s="26" t="str">
        <f>_xlfn.XLOOKUP(B69,'Base stats'!B:B,'Base stats'!A:A)</f>
        <v>Heron</v>
      </c>
      <c r="B69" s="6" t="s">
        <v>220</v>
      </c>
      <c r="C69" s="28" t="s">
        <v>749</v>
      </c>
      <c r="D69" s="28" t="s">
        <v>870</v>
      </c>
      <c r="E69" s="28" t="s">
        <v>675</v>
      </c>
      <c r="F69" s="28" t="s">
        <v>676</v>
      </c>
      <c r="G69" s="28" t="s">
        <v>673</v>
      </c>
      <c r="H69" s="2">
        <f>MROUND((
  (IF(AND(_xlfn.XLOOKUP(B69,'Base stats'!B:B,'Base stats'!AL:AL)=0,BI69="None",_xlfn.XLOOKUP(_xlfn.XLOOKUP(B69,'Base stats'!B:B,'Base stats'!E:E),Groups!A:A,Groups!B:B)=0), (18 + BR69 * 2.7) * 0.5,
    IF(AND(_xlfn.XLOOKUP(B69,'Base stats'!B:B,'Base stats'!AL:AL)=0,OR(AO69&lt;0.55,AND(BI69="Intermediate",_xlfn.XLOOKUP(_xlfn.XLOOKUP(B69,'Base stats'!B:B,'Base stats'!E:E),Groups!A:A,Groups!B:B)&lt;2))), (18 + BR69 * 2.7),
      IF(OR(BI69="Advanced",_xlfn.XLOOKUP(B69,'Base stats'!B:B,'Base stats'!AL:AL)=1,_xlfn.XLOOKUP(_xlfn.XLOOKUP(B69,'Base stats'!B:B,'Base stats'!E:E),Groups!A:A,Groups!B:B)=2), (18 + BR69 * 2.7) + 250, (18 + BR69 * 2.7))
    )
  ))
  + AO69 * 80
  + IF(COUNTIF(EggMilk!K$2:K$998, A69) &gt; 0, 125, 0)
  + IF(COUNTIF(EggMilk!P$2:P$998, A69) &gt; 0, 90, 0)
  + IF(COUNTIF(EggMilk!A$2:A$998, A69) &gt; 0, 90, 0)
)
* (0.8 + 0.4 * J69)
* 0.75,25)</f>
        <v>150</v>
      </c>
      <c r="I69" s="2">
        <f>MROUND(ROUNDDOWN(_xlfn.XLOOKUP(B69,'Base stats'!B:B,'Base stats'!L:L)/3.6/(23.3/11),1),0.5)</f>
        <v>1.5</v>
      </c>
      <c r="J69" s="2">
        <f>IF(OR(_xlfn.XLOOKUP(B69,'Base stats'!B:B,'Base stats'!AB:AB)=1,_xlfn.XLOOKUP(_xlfn.XLOOKUP(B69,'Base stats'!B:B,'Base stats'!E:E),Groups!A:A,Groups!C:C)="Untamable"),1,IF(_xlfn.XLOOKUP(B69,'Base stats'!B:B,'Base stats'!AL:AL)=1,0.99,MIN(MROUND((1-0.6282*EXP(-0.459*AO69))*_xlfn.XLOOKUP(_xlfn.XLOOKUP(B69,'Base stats'!B:B,'Base stats'!E:E),Groups!A:A,Groups!C:C)*IF(_xlfn.XLOOKUP(B69,'Base stats'!B:B,'Base stats'!O:O)=1,0.5,IF(_xlfn.XLOOKUP(B69,'Base stats'!B:B,'Base stats'!O:O)=2,0,1)),0.05),IF(AO69&gt;3.5,0.985,0.95))))</f>
        <v>0.55000000000000004</v>
      </c>
      <c r="K69" s="2">
        <f>ROUNDUP(AO69*_xlfn.XLOOKUP(_xlfn.XLOOKUP(B69,'Base stats'!B:B,'Base stats'!E:E),Groups!A:A,Groups!E:E),0)</f>
        <v>3</v>
      </c>
      <c r="L69" s="2">
        <f>IF(OR(_xlfn.XLOOKUP(_xlfn.XLOOKUP(B69,'Base stats'!B:B,'Base stats'!E:E),Groups!A:A,Groups!F:F)=2,ISNUMBER(SEARCH("SeaIce",BX69)),ISNUMBER(SEARCH("IceSheet",BX69))),-50,IF(OR(ISNUMBER(SEARCH("GlacialPlain",BX69)),ISNUMBER(SEARCH("Tundra",BX69))),-40,IF(OR(ISNUMBER(SEARCH("Alpine",BX69)),ISNUMBER(SEARCH("BorealForest",BX69)),ISNUMBER(SEARCH("ColdBog",BX69))),-30,IF(OR(ISNUMBER(SEARCH("TemperateForest",BX69)),ISNUMBER(SEARCH("TemperateSwamp",BX69))),-20,IF(_xlfn.XLOOKUP(_xlfn.XLOOKUP(B69,'Base stats'!B:B,'Base stats'!E:E),Groups!A:A,Groups!F:F)=1,-15,IF(OR(ISNUMBER(SEARCH("Desert",BX69)),ISNUMBER(SEARCH("ExtremeDesert",BX69))),-10,IF(OR(ISNUMBER(SEARCH("Grasslands",BX69)),ISNUMBER(SEARCH("TropicalRainforest",BX69)),ISNUMBER(SEARCH("TropicalSwamp",BX69))),10,0)))))))-IF(CC69="False",MIN(IFERROR(MAX(MROUND(LOG10(_xlfn.XLOOKUP(B69,'Base stats'!B:B,'Base stats'!C:C)^(2/3))*10,5),5),5),30))-_xlfn.XLOOKUP(B69,'Base stats'!B:B,'Base stats'!P:P)+IF(CC69="True",5,0)</f>
        <v>-35</v>
      </c>
      <c r="M69" s="2">
        <f>IF(OR(_xlfn.XLOOKUP(_xlfn.XLOOKUP(B69,'Base stats'!B:B,'Base stats'!E:E),Groups!A:A,Groups!G:G)=2,ISNUMBER(SEARCH("Desert",BX69)),ISNUMBER(SEARCH("ExtremeDesert",BX69)),ISNUMBER(SEARCH("LavaField",BX69))),50,IF(ISNUMBER(SEARCH("Grasslands",BX69)),45,IF(OR(_xlfn.XLOOKUP(_xlfn.XLOOKUP(B69,'Base stats'!B:B,'Base stats'!E:E),Groups!A:A,Groups!G:G)=1,ISNUMBER(SEARCH("TropicalRainforest",BX69)),ISNUMBER(SEARCH("TropicalSwamp",BX69))),40,IF(OR(ISNUMBER(SEARCH("TemperateForest",BX69)),ISNUMBER(SEARCH("TemperateSwamp",BX69))),35,IF(OR(ISNUMBER(SEARCH("Alpine",BX69)),ISNUMBER(SEARCH("BorealForest",BX69)),ISNUMBER(SEARCH("ColdBog",BX69))),30,IF(ISNUMBER(OR(ISNUMBER(SEARCH("GlacialPlain",BX69)),SEARCH("Tundra",BX69))),25,IF(OR(ISNUMBER(SEARCH("SeaIce",BX69)),ISNUMBER(SEARCH("IceSheet",BX69)),ISNUMBER(SEARCH("TropicalSwamp",BX69))),10,35)))))))+_xlfn.XLOOKUP(B69,'Base stats'!B:B,'Base stats'!Q:Q)</f>
        <v>40</v>
      </c>
      <c r="N69" s="8" t="str">
        <f>IF(
_xlfn.XLOOKUP(
_xlfn.XLOOKUP(B69,'Base stats'!B:B,'Base stats'!E:E),
Groups!A:A,
Groups!L:L
)=1,
MIN(
MROUND(
IF(
_xlfn.XLOOKUP(B69,'Animals CE'!B:B,'Animals CE'!Z:Z)&lt;=1.5,
_xlfn.XLOOKUP(B69,'Animals CE'!B:B,'Animals CE'!Z:Z)/2+0.05,
0.8+
(_xlfn.XLOOKUP(B69,'Animals CE'!B:B,'Animals CE'!Z:Z)-1.5)
*0.02
),
0.05
),
200%
),
"No"
)</f>
        <v>No</v>
      </c>
      <c r="O69" s="8" t="str">
        <f>IF(
_xlfn.XLOOKUP(
_xlfn.XLOOKUP(B69,'Base stats'!B:B,'Base stats'!E:E),
Groups!A:A,
Groups!L:L
)=1,
MIN(
MROUND(
IF(
_xlfn.XLOOKUP(B69,'Animals CE'!B:B,'Animals CE'!AA:AA)&lt;=1.5,
_xlfn.XLOOKUP(B69,'Animals CE'!B:B,'Animals CE'!AA:AA)/2+0.05,
0.8+
(_xlfn.XLOOKUP(B69,'Animals CE'!B:B,'Animals CE'!AA:AA)-1.5)
*0.02
),
0.05
),
200%
),
"No"
)</f>
        <v>No</v>
      </c>
      <c r="P69" s="2" t="str">
        <f>_xlfn.XLOOKUP(B69,'Base stats'!B:B,'Base stats'!R:R)</f>
        <v>Standard</v>
      </c>
      <c r="Q69" s="13">
        <f>MROUND((LOG10(_xlfn.XLOOKUP(B69,'Base stats'!B:B,'Base stats'!AR:AR))*(AO69^0.5)+(_xlfn.XLOOKUP(B69,'Base stats'!B:B,'Base stats'!AR:AR)/1000)^(2/3)+_xlfn.XLOOKUP(B69,'Base stats'!B:B,'Base stats'!BA:BA)/2)+0.5,0.5)</f>
        <v>2</v>
      </c>
      <c r="R69" s="7">
        <f>IF(Q69="No","No",MAX(1,MROUND(_xlfn.XLOOKUP(B69,'Base stats'!B:B,'Base stats'!C:C)^0.165,0.05)))</f>
        <v>1.05</v>
      </c>
      <c r="S69" s="13" t="str">
        <f>IF(_xlfn.XLOOKUP(_xlfn.XLOOKUP(B69,'Base stats'!B:B,'Base stats'!E:E),Groups!A:A,Groups!P:P)=0,"No",MROUND((LOG10(_xlfn.XLOOKUP(B69,'Base stats'!B:B,'Base stats'!AS:AS))*(AO69^0.5)+(_xlfn.XLOOKUP(B69,'Base stats'!B:B,'Base stats'!AS:AS)/1000)^(2/3)+_xlfn.XLOOKUP(B69,'Base stats'!B:B,'Base stats'!BA:BA))+_xlfn.XLOOKUP(B69,'Base stats'!B:B,'Base stats'!AY:AY)+0.5,0.5))</f>
        <v>No</v>
      </c>
      <c r="T69" s="7" t="str">
        <f>IF(S69="No","No",MAX(_xlfn.XLOOKUP(_xlfn.XLOOKUP(B69,'Base stats'!B:B,'Base stats'!E:E),Groups!A:A,Groups!Q:Q),MROUND(_xlfn.XLOOKUP(_xlfn.XLOOKUP(B69,'Base stats'!B:B,'Base stats'!E:E),Groups!A:A,Groups!Q:Q)*_xlfn.XLOOKUP(B69,'Base stats'!B:B,'Base stats'!C:C)^0.165,0.05)))</f>
        <v>No</v>
      </c>
      <c r="U69" s="7" t="str">
        <f>IF(S69="No","No",_xlfn.XLOOKUP(_xlfn.XLOOKUP(B69,'Base stats'!B:B,'Base stats'!E:E),Groups!A:A,Groups!R:R))</f>
        <v>No</v>
      </c>
      <c r="V69" s="7" t="str">
        <f>IF(S69="No","No",_xlfn.XLOOKUP(_xlfn.XLOOKUP(B69,'Base stats'!B:B,'Base stats'!E:E),Groups!A:A,Groups!S:S))</f>
        <v>No</v>
      </c>
      <c r="W69" s="7" t="str">
        <f>IF(S69="No","No",_xlfn.XLOOKUP(_xlfn.XLOOKUP(B69,'Base stats'!B:B,'Base stats'!E:E),Groups!A:A,Groups!T:T))</f>
        <v>No</v>
      </c>
      <c r="X69" s="13" t="str">
        <f>IF(_xlfn.XLOOKUP(B69,'Base stats'!B:B,'Base stats'!W:W)="No","No",MROUND((LOG10(_xlfn.XLOOKUP(B69,'Base stats'!B:B,'Base stats'!AU:AU))*(AO69^0.5)+(_xlfn.XLOOKUP(B69,'Base stats'!B:B,'Base stats'!AU:AU)/1000)^(2/3)+_xlfn.XLOOKUP(B69,'Base stats'!B:B,'Base stats'!AZ:AZ))+0.5+IF(_xlfn.XLOOKUP(_xlfn.XLOOKUP(B69,'Base stats'!B:B,'Base stats'!E:E),Groups!A:A,Groups!U:U)&lt;&gt;3,_xlfn.XLOOKUP(B69,'Base stats'!B:B,'Base stats'!BA:BA),0),0.5))</f>
        <v>No</v>
      </c>
      <c r="Y69" s="7" t="str">
        <f>IF(X69="No","No",MAX(_xlfn.XLOOKUP(_xlfn.XLOOKUP(B69,'Base stats'!B:B,'Base stats'!E:E),Groups!A:A,Groups!V:V),MROUND(_xlfn.XLOOKUP(_xlfn.XLOOKUP(B69,'Base stats'!B:B,'Base stats'!E:E),Groups!A:A,Groups!V:V)*_xlfn.XLOOKUP(B69,'Base stats'!B:B,'Base stats'!C:C)^0.165,0.05)))</f>
        <v>No</v>
      </c>
      <c r="Z69" s="7" t="str">
        <f>IF(X69="No","No",_xlfn.XLOOKUP(_xlfn.XLOOKUP(B69,'Base stats'!B:B,'Base stats'!E:E),Groups!A:A,Groups!W:W))</f>
        <v>No</v>
      </c>
      <c r="AA69" s="7" t="str">
        <f>IF(X69="No","No",_xlfn.XLOOKUP(_xlfn.XLOOKUP(B69,'Base stats'!B:B,'Base stats'!E:E),Groups!A:A,Groups!X:X))</f>
        <v>No</v>
      </c>
      <c r="AB69" s="7" t="str">
        <f>IF(X69="No","No",_xlfn.XLOOKUP(_xlfn.XLOOKUP(B69,'Base stats'!B:B,'Base stats'!E:E),Groups!A:A,Groups!Y:Y))</f>
        <v>No</v>
      </c>
      <c r="AC69" s="7" t="str">
        <f>_xlfn.XLOOKUP(Animals!B69,'Base stats'!B:B,'Base stats'!X:X)</f>
        <v>False</v>
      </c>
      <c r="AD69" s="13">
        <f>IF(_xlfn.XLOOKUP(B69,'Base stats'!B:B,'Base stats'!AT:AT)="No","No",MROUND((LOG10(_xlfn.XLOOKUP(B69,'Base stats'!B:B,'Base stats'!AT:AT))*(AO69^0.75)+(_xlfn.XLOOKUP(B69,'Base stats'!B:B,'Base stats'!AT:AT)/1000)^(2/3)+_xlfn.XLOOKUP(B69,'Base stats'!B:B,'Base stats'!AX:AX)+_xlfn.XLOOKUP(B69,'Base stats'!B:B,'Base stats'!BA:BA))+0.5,0.5))</f>
        <v>2</v>
      </c>
      <c r="AE69" s="7">
        <f>IF(AD69="No","No",MAX(_xlfn.XLOOKUP(_xlfn.XLOOKUP(B69,'Base stats'!B:B,'Base stats'!E:E),Groups!A:A,Groups!Z:Z),MROUND(_xlfn.XLOOKUP(_xlfn.XLOOKUP(B69,'Base stats'!B:B,'Base stats'!E:E),Groups!A:A,Groups!Z:Z)*_xlfn.XLOOKUP(B69,'Base stats'!B:B,'Base stats'!C:C)^0.165,0.05)))</f>
        <v>0.85000000000000009</v>
      </c>
      <c r="AF69" s="7" t="str">
        <f>IF(AD69="No","No",_xlfn.XLOOKUP(_xlfn.XLOOKUP(B69,'Base stats'!B:B,'Base stats'!E:E),Groups!A:A,Groups!AA:AA))</f>
        <v>Beak</v>
      </c>
      <c r="AG69" s="7" t="str">
        <f>IF(AD69="No","No",_xlfn.XLOOKUP(_xlfn.XLOOKUP(B69,'Base stats'!B:B,'Base stats'!E:E),Groups!A:A,Groups!AB:AB))</f>
        <v>beak</v>
      </c>
      <c r="AH69" s="7" t="str">
        <f>IF(AD69="No","No",_xlfn.XLOOKUP(_xlfn.XLOOKUP(B69,'Base stats'!B:B,'Base stats'!E:E),Groups!A:A,Groups!AC:AC))</f>
        <v>Blunt</v>
      </c>
      <c r="AI69" s="13" t="str">
        <f>IF(_xlfn.XLOOKUP(_xlfn.XLOOKUP(B69,'Base stats'!B:B,'Base stats'!E:E),Groups!A:A,Groups!AD:AD)=0,"No",MROUND((LOG10(_xlfn.XLOOKUP(B69,'Base stats'!B:B,'Base stats'!AS:AS))*(AO69^0.75)+(_xlfn.XLOOKUP(B69,'Base stats'!B:B,'Base stats'!AS:AS)/1000)^(2/3)+_xlfn.XLOOKUP(B69,'Base stats'!B:B,'Base stats'!AY:AY)+_xlfn.XLOOKUP(B69,'Base stats'!B:B,'Base stats'!BA:BA))+0.5,0.5))</f>
        <v>No</v>
      </c>
      <c r="AJ69" s="7" t="str">
        <f>IF(AI69="No","No",MAX(_xlfn.XLOOKUP(_xlfn.XLOOKUP(B69,'Base stats'!B:B,'Base stats'!E:E),Groups!A:A,Groups!AE:AE),MROUND(_xlfn.XLOOKUP(_xlfn.XLOOKUP(B69,'Base stats'!B:B,'Base stats'!E:E),Groups!A:A,Groups!AE:AE)*IF(_xlfn.XLOOKUP(_xlfn.XLOOKUP(B69,'Base stats'!B:B,'Base stats'!E:E),Groups!A:A,Groups!AJ:AJ)="Photonozoa",0.6,1)*_xlfn.XLOOKUP(B69,'Base stats'!B:B,'Base stats'!C:C)^0.165,0.05)))</f>
        <v>No</v>
      </c>
      <c r="AK69" s="7" t="str">
        <f>IF(AI69="No","No",_xlfn.XLOOKUP(_xlfn.XLOOKUP(B69,'Base stats'!B:B,'Base stats'!E:E),Groups!A:A,Groups!AF:AF))</f>
        <v>No</v>
      </c>
      <c r="AL69" s="7" t="str">
        <f>IF(AI69="No","No",_xlfn.XLOOKUP(_xlfn.XLOOKUP(B69,'Base stats'!B:B,'Base stats'!E:E),Groups!A:A,Groups!AG:AG))</f>
        <v>No</v>
      </c>
      <c r="AM69" s="7" t="str">
        <f>IF(AI69="No","No",_xlfn.XLOOKUP(_xlfn.XLOOKUP(B69,'Base stats'!B:B,'Base stats'!E:E),Groups!A:A,Groups!AH:AH))</f>
        <v>No</v>
      </c>
      <c r="AN69" s="2" t="str">
        <f t="shared" si="7"/>
        <v>No</v>
      </c>
      <c r="AO69" s="2">
        <f>MROUND(IF(AND(_xlfn.XLOOKUP(B69,'Base stats'!B:B,'Base stats'!C:C)&gt;=0.5,_xlfn.XLOOKUP(B69,'Base stats'!B:B,'Base stats'!C:C)&lt;=0.8),
IF(_xlfn.XLOOKUP(B69,'Base stats'!B:B,'Base stats'!C:C)&lt;0.1,0.05,IF(_xlfn.XLOOKUP(B69,'Base stats'!B:B,'Base stats'!C:C)&lt;=70,(_xlfn.XLOOKUP(B69,'Base stats'!B:B,'Base stats'!C:C)/70)^0.426489913056526,IF(_xlfn.XLOOKUP(B69,'Base stats'!B:B,'Base stats'!C:C)&lt;=400,(_xlfn.XLOOKUP(B69,'Base stats'!B:B,'Base stats'!C:C)/70)^0.572811455315093,IF(_xlfn.XLOOKUP(B69,'Base stats'!B:B,'Base stats'!C:C)&lt;=2000,2.71391647193063*(_xlfn.XLOOKUP(B69,'Base stats'!B:B,'Base stats'!C:C)/400)^0.252459582904293,3.74314280240376*(_xlfn.XLOOKUP(B69,'Base stats'!B:B,'Base stats'!C:C)/2000)^0.357012633876913)))),
IF(_xlfn.XLOOKUP(B69,'Base stats'!B:B,'Base stats'!C:C)&lt;0.1,0.05,IF(_xlfn.XLOOKUP(B69,'Base stats'!B:B,'Base stats'!C:C)&lt;0.4,0.1,IF(_xlfn.XLOOKUP(B69,'Base stats'!B:B,'Base stats'!C:C)&lt;=70,(_xlfn.XLOOKUP(B69,'Base stats'!B:B,'Base stats'!C:C)/70)^0.445823913056526,IF(_xlfn.XLOOKUP(B69,'Base stats'!B:B,'Base stats'!C:C)&lt;=400,(_xlfn.XLOOKUP(B69,'Base stats'!B:B,'Base stats'!C:C)/70)^0.572811455315093,IF(_xlfn.XLOOKUP(B69,'Base stats'!B:B,'Base stats'!C:C)&lt;=2000,2.71391647193063*(_xlfn.XLOOKUP(B69,'Base stats'!B:B,'Base stats'!C:C)/400)^0.252459582904293,3.74314280240376*(_xlfn.XLOOKUP(B69,'Base stats'!B:B,'Base stats'!C:C)/2000)^0.357012633876913)))))),
IF(_xlfn.XLOOKUP(B69,'Base stats'!B:B,'Base stats'!C:C)&lt;0.1,0.05,IF(_xlfn.XLOOKUP(B69,'Base stats'!B:B,'Base stats'!C:C)&lt;=100,0.05,IF(_xlfn.XLOOKUP(B69,'Base stats'!B:B,'Base stats'!C:C)&lt;=250,0.1,IF(_xlfn.XLOOKUP(B69,'Base stats'!B:B,'Base stats'!C:C)&lt;=4000,0.25,0.5)))))</f>
        <v>0.2</v>
      </c>
      <c r="AP69" s="8">
        <f>MROUND(AO69*_xlfn.XLOOKUP(_xlfn.XLOOKUP(B69,'Base stats'!B:B,'Base stats'!E:E),Groups!A:A,Groups!AI:AI)*_xlfn.XLOOKUP(B69,'Base stats'!B:B,'Base stats'!Z:Z),0.05)</f>
        <v>0.2</v>
      </c>
      <c r="AQ69" s="8">
        <f>MAX(0.01,MROUND(IF(CC69="True",0.196*(AO69*100*1000)^0.889,IF(_xlfn.XLOOKUP(_xlfn.XLOOKUP(B69,'Base stats'!B:B,'Base stats'!E:E),Groups!A:A,Groups!AJ:AJ)="Bird",10.5*(AO69*100*1000)^0.681,4.82*(AO69*100*1000)^0.734))/(4.82*(1*100*1000)^0.734)/IF(AO69&lt;3.5,2,IF(AO69=3.5,1.5,1.25))*(1+0.132282374779864/(AO69^0.994035016789033+0.00905238001496948)),0.05))</f>
        <v>0.30000000000000004</v>
      </c>
      <c r="AR69" s="9">
        <f>IFERROR(MROUND(_xlfn.XLOOKUP(B69,'Base stats'!B:B,'Base stats'!H:H)/IF(_xlfn.XLOOKUP(B69,'Base stats'!B:B,'Base stats'!I:I)&lt;&gt;1,(122.5/70),1.2),IF(_xlfn.XLOOKUP(B69,'Base stats'!B:B,'Base stats'!H:H)&gt;=30,5,IF(_xlfn.XLOOKUP(B69,'Base stats'!B:B,'Base stats'!H:H)&gt;=15,3,IF(_xlfn.XLOOKUP(B69,'Base stats'!B:B,'Base stats'!H:H)&gt;=10,2,1)))),"Immortal")</f>
        <v>20</v>
      </c>
      <c r="AS69" s="35" t="str">
        <f>IFERROR(IF(OR(_xlfn.XLOOKUP(B69,'Base stats'!B:B,'Base stats'!F:F)="Atypical reproduction",_xlfn.XLOOKUP(B69,'Base stats'!B:B,'Base stats'!F:F)="Lay eggs"),"Lay eggs",MIN(20,MAX(5.5,ROUND(((_xlfn.XLOOKUP(B69,'Base stats'!B:B,'Base stats'!F:F)-25)*(14.5/615) + 5.5)*2,0)/2))),"Unknown")</f>
        <v>Lay eggs</v>
      </c>
      <c r="AT69" s="8">
        <f>IF(_xlfn.XLOOKUP(B69,'Base stats'!B:B,'Base stats'!G:G)="Atypical reproduction","No",IFERROR(MAX(IF(_xlfn.XLOOKUP(B69,'Base stats'!B:B,'Base stats'!G:G)&lt;0.5,0.2,0.3),MROUND(_xlfn.XLOOKUP(B69,'Base stats'!B:B,'Base stats'!G:G)/(365/60),0.2)),"Unknown"))</f>
        <v>0.4</v>
      </c>
      <c r="AU69" s="8">
        <f t="shared" si="8"/>
        <v>0.2</v>
      </c>
      <c r="AV69" s="8" t="str">
        <f>IFERROR(IFERROR(MROUND(_xlfn.XLOOKUP(B69,'Base stats'!B:B,'Base stats'!J:J),0.1),"Lay eggs"),"Cannot breed")</f>
        <v>Lay eggs</v>
      </c>
      <c r="AW69" s="2" t="str">
        <f t="shared" si="9"/>
        <v>false</v>
      </c>
      <c r="AX69" s="2" t="str">
        <f>IF(_xlfn.XLOOKUP(_xlfn.XLOOKUP(Animals!B69,'Base stats'!B:B,'Base stats'!E:E),Groups!A:A,Groups!AK:AK)=1,"true","false")</f>
        <v>false</v>
      </c>
      <c r="AY69" s="25" t="str">
        <f>IF(_xlfn.XLOOKUP(B69,'Base stats'!B:B,'Base stats'!Y:Y)="Liquor","Liquor, CarnivoreAnimalStrict",IF(AND(_xlfn.XLOOKUP(B69,'Base stats'!B:B,'Base stats'!Y:Y)="Carnivore",_xlfn.XLOOKUP(_xlfn.XLOOKUP(B69,'Base stats'!B:B,'Base stats'!E:E),Groups!A:A,Groups!AJ:AJ)="Photonozoa"),"CarnivoreAnimalStrict, OvivoreAnimal",IF(_xlfn.XLOOKUP(B69,'Base stats'!B:B,'Base stats'!Y:Y)="Carnivore","CarnivoreAnimal, OvivoreAnimal",IF(_xlfn.XLOOKUP(B69,'Base stats'!B:B,'Base stats'!Y:Y)="Dendrovore","VegetarianRoughAnimal, DendrovoreAnimal",IF(_xlfn.XLOOKUP(B69,'Base stats'!B:B,'Base stats'!Y:Y)="Herbivore","VegetarianRoughAnimal",IF(_xlfn.XLOOKUP(B69,'Base stats'!B:B,'Base stats'!Y:Y)="OmnivoreRough","OmnivoreRoughAnimal, OvivoreAnimal","OmnivoreAnimal, OvivoreAnimal"))))))</f>
        <v>CarnivoreAnimal, OvivoreAnimal</v>
      </c>
      <c r="AZ69" s="2">
        <f>IF(_xlfn.XLOOKUP(_xlfn.XLOOKUP(B69,'Base stats'!B:B,'Base stats'!E:E),Groups!A:A,Groups!D:D)=1,MROUND((1-J69)*5+1,2)*IF(J69&lt;=0.4,2,1),"No")</f>
        <v>4</v>
      </c>
      <c r="BA69" s="2" t="str">
        <f>IF(AND(_xlfn.XLOOKUP(B69,'Base stats'!B:B,'Base stats'!AH:AH)="&lt;li&gt;Seal&lt;/li&gt;",G69="Odyssey"),"&lt;li&gt;AEXP_Seal&lt;/li&gt;",_xlfn.XLOOKUP(B69,'Base stats'!B:B,'Base stats'!AH:AH))</f>
        <v>&lt;li&gt;Cassowary&lt;/li&gt;</v>
      </c>
      <c r="BB69" s="2" t="str">
        <f>_xlfn.XLOOKUP(B69,'Base stats'!B:B,'Base stats'!AG:AG)</f>
        <v>No</v>
      </c>
      <c r="BC69" s="23" t="str">
        <f>_xlfn.XLOOKUP(_xlfn.XLOOKUP(B69,'Base stats'!B:B,'Base stats'!E:E),Groups!A:A,Groups!AL:AL)</f>
        <v>Bird</v>
      </c>
      <c r="BD69" s="23">
        <f>MIN(1,MROUND(IF(AND(AO69&lt;0.5,_xlfn.XLOOKUP(B69,'Base stats'!B:B,'Base stats'!AA:AA)=0),0,IF(OR(_xlfn.XLOOKUP(Animals!B69,'Base stats'!B:B,'Base stats'!O:O)=2,_xlfn.XLOOKUP(_xlfn.XLOOKUP(B69,'Base stats'!B:B,'Base stats'!E:E),Groups!A:A,Groups!AN:AN)=0),0,_xlfn.XLOOKUP(_xlfn.XLOOKUP(B69,'Base stats'!B:B,'Base stats'!E:E),Groups!A:A,Groups!AN:AN)/IF(_xlfn.XLOOKUP(Animals!B69,'Base stats'!B:B,'Base stats'!O:O)=1,2,1)))+_xlfn.XLOOKUP(B69,'Base stats'!B:B,'Base stats'!AC:AC),0.005))</f>
        <v>0</v>
      </c>
      <c r="BE69" s="23">
        <f>MIN(1,MROUND(IF(AND(AO69&lt;0.5,_xlfn.XLOOKUP(B69,'Base stats'!B:B,'Base stats'!AA:AA)=0),0,IF(_xlfn.XLOOKUP(_xlfn.XLOOKUP(B69,'Base stats'!B:B,'Base stats'!E:E),Groups!A:A,Groups!AO:AO)=0,0,_xlfn.XLOOKUP(_xlfn.XLOOKUP(B69,'Base stats'!B:B,'Base stats'!E:E),Groups!A:A,Groups!AO:AO)/IF(_xlfn.XLOOKUP(Animals!B69,'Base stats'!B:B,'Base stats'!O:O)=2,3,1)))+_xlfn.XLOOKUP(B69,'Base stats'!B:B,'Base stats'!AD:AD),0.005))</f>
        <v>0</v>
      </c>
      <c r="BF69" s="2" t="str">
        <f>IF(J69&gt;0.3,"No",_xlfn.XLOOKUP(_xlfn.XLOOKUP(Animals!B69,'Base stats'!B:B,'Base stats'!E:E),Groups!A:A,Groups!AP:AP))</f>
        <v>No</v>
      </c>
      <c r="BG69" s="2" t="str">
        <f>IF(AND(J69&lt;=0.65,_xlfn.XLOOKUP(_xlfn.XLOOKUP(Animals!B69,'Base stats'!B:B,'Base stats'!E:E),Groups!A:A,Groups!AP:AP)&lt;&gt;"No",_xlfn.XLOOKUP(_xlfn.XLOOKUP(B69,'Base stats'!B:B,'Base stats'!E:E),Groups!A:A,Groups!D:D)=0),MROUND((80/3)*IF(_xlfn.XLOOKUP(B69,'Base stats'!B:B,'Base stats'!O:O)=2,0.2,AO69) + 24*(1-IF(BF69="No",0,BF69)) + 16/3, 12),"No")</f>
        <v>No</v>
      </c>
      <c r="BH69" s="2">
        <f>IF(AND(_xlfn.XLOOKUP(_xlfn.XLOOKUP(B69,'Base stats'!B:B,'Base stats'!E:E),Groups!A:A,Groups!AQ:AQ)=1,AO69&lt;=0.35),8,12)</f>
        <v>12</v>
      </c>
      <c r="BI69" s="2" t="str">
        <f>IF(_xlfn.XLOOKUP(_xlfn.XLOOKUP(B69,'Base stats'!B:B,'Base stats'!E:E),Groups!A:A,Groups!D:D)=0,_xlfn.XLOOKUP(_xlfn.XLOOKUP(B69,'Base stats'!B:B,'Base stats'!E:E),Groups!A:A,Groups!AR:AR),"None")</f>
        <v>None</v>
      </c>
      <c r="BJ69" s="2" t="str">
        <f>IF(AND(_xlfn.XLOOKUP(_xlfn.XLOOKUP(B69,'Base stats'!B:B,'Base stats'!E:E),Groups!A:A,Groups!AS:AS)=1,OR(_xlfn.XLOOKUP(B69,'Base stats'!B:B,'Base stats'!Y:Y)="Carnivore",_xlfn.XLOOKUP(B69,'Base stats'!B:B,'Base stats'!Y:Y)="Omnivore")),"true","false")</f>
        <v>false</v>
      </c>
      <c r="BK69" s="2" t="str">
        <f>IF(BJ69="true",MROUND(IF(AND(AO69&gt;0.5,OR(_xlfn.XLOOKUP(_xlfn.XLOOKUP(B69,'Base stats'!B:B,'Base stats'!E:E),Groups!A:A,Groups!AJ:AJ)="Photonozoa",_xlfn.XLOOKUP(_xlfn.XLOOKUP(B69,'Base stats'!B:B,'Base stats'!E:E),Groups!A:A,Groups!AJ:AJ)="Mammal")),Animals!AO69*1.75*IF(AW69="true",1.5,1),IF(AO69&lt;0.5,Animals!AO69*0.5,Animals!AO69)),IF(AO69&gt;2,0.5,IF(AO69&gt;0.5,0.25,0.1))),"No")</f>
        <v>No</v>
      </c>
      <c r="BL69" s="2">
        <f t="shared" si="10"/>
        <v>0</v>
      </c>
      <c r="BM69" s="25" t="str">
        <f>IF(_xlfn.XLOOKUP(B69,'Base stats'!B:B,'Base stats'!AN:AN)="Standard","No",MROUND((_xlfn.XLOOKUP(B69,'Base stats'!B:B,'Base stats'!AN:AN)/3.6)/I69,0.1))</f>
        <v>No</v>
      </c>
      <c r="BN69" s="25" t="str">
        <f t="shared" si="11"/>
        <v>true</v>
      </c>
      <c r="BO69" s="25" t="str">
        <f>IF(AND(OR(_xlfn.XLOOKUP(B69,'Base stats'!B:B,'Base stats'!Y:Y)="Carnivore",_xlfn.XLOOKUP(B69,'Base stats'!B:B,'Base stats'!Y:Y)="Omnivore",_xlfn.XLOOKUP(B69,'Base stats'!B:B,'Base stats'!Y:Y)="OmnivoreRough"),_xlfn.XLOOKUP(_xlfn.XLOOKUP(B69,'Base stats'!B:B,'Base stats'!E:E),Groups!A:A,Groups!AT:AT)=1),"true","false")</f>
        <v>true</v>
      </c>
      <c r="BP69" s="25" t="str" cm="1">
        <f t="array" ref="BP69">IF(
  _xlfn.TEXTJOIN(", ",TRUE,
    IF(AND(BJ69="true",AO69&gt;0.5,BI69&lt;&gt;"None"),"AttackTarget",""),
    IF(AND(_xlfn.XLOOKUP(_xlfn.XLOOKUP(B69,'Base stats'!B:B,'Base stats'!E:E),Groups!A:A,Groups!AJ:AJ="Mammal"),OR(_xlfn.XLOOKUP(B69,'Base stats'!B:B,'Base stats'!Y:Y)="Omnivore",_xlfn.XLOOKUP(B69,'Base stats'!B:B,'Base stats'!Y:Y)="OmnivoreRough")),"Forage",""),
    IF(BG69&lt;=36,"Comfort",""),
    IF(_xlfn.XLOOKUP(B69,'Base stats'!B:B,'Base stats'!AE:AE)&lt;&gt;"No",_xlfn.XLOOKUP(B69,'Base stats'!B:B,'Base stats'!AE:AE),"")
  ) = "",
  "No",
  _xlfn.TEXTJOIN(", ",TRUE,
    IF(AND(BJ69="true",AO69&gt;0.5,BI69&lt;&gt;"None"),"AttackTarget",""),
    IF(AND(_xlfn.XLOOKUP(_xlfn.XLOOKUP(B69,'Base stats'!B:B,'Base stats'!E:E),Groups!A:A,Groups!AJ:AJ="Mammal"),OR(_xlfn.XLOOKUP(B69,'Base stats'!B:B,'Base stats'!Y:Y)="Omnivore",_xlfn.XLOOKUP(B69,'Base stats'!B:B,'Base stats'!Y:Y)="OmnivoreRough")),"Forage",""),
    IF(BG69&lt;=36,"Comfort",""),
    IF(_xlfn.XLOOKUP(B69,'Base stats'!B:B,'Base stats'!AE:AE)&lt;&gt;"No",_xlfn.XLOOKUP(B69,'Base stats'!B:B,'Base stats'!AE:AE),"")
  )
)</f>
        <v>No</v>
      </c>
      <c r="BQ69" s="25">
        <f>IF(
   AND(
      'Base stats'!AN69="Standard",_xlfn.XLOOKUP(_xlfn.XLOOKUP(B69,'Base stats'!B:B,'Base stats'!E:E),Groups!A:A,Groups!AU:AU)=0,
      OR(
      BO69="True"
      )
   ),
   10,
   IF(
       OR(BM69&lt;&gt;"No",_xlfn.XLOOKUP(_xlfn.XLOOKUP(B69,'Base stats'!B:B,'Base stats'!E:E),Groups!A:A,Groups!AU:AU)=1),
      1,
      "No"
   )
)</f>
        <v>1</v>
      </c>
      <c r="BR69" s="9">
        <f>MROUND((1 + ((0.2*IF(OR(Q69="No",R69="No",R69=0),0,Q69/R69)
+IF(OR(V69="No",S69="No",T69="No"),0,S69/T69*(LEN(V69)-LEN(SUBSTITUTE(V69,",",""))+1))
+IF(OR(X69="No",Y69="No"),0,X69/Y69)
+IF(OR(AD69="No",AE69="No"),0,AD69/AE69)
+IF(OR(AL69="No",AI69="No",AJ69="No"),0,AI69/AJ69*(LEN(AL69)-LEN(SUBSTITUTE(AL69,",",""))+1))
)/(0.2*IF(OR(Q69="No",R69="No",R69=0),0,1)
+IF(OR(V69="No",S69="No",T69="No"),0,LEN(V69)-LEN(SUBSTITUTE(V69,",",""))+1)
+IF(OR(X69="No",Y69="No"),0,1)
+IF(OR(AD69="No",AE69="No"),0,1)
+IF(OR(AL69="No",AI69="No",AJ69="No"),0,LEN(AL69)-LEN(SUBSTITUTE(AL69,",",""))+1))*62%)* 2)*(1 + (AP69 / (IF(_xlfn.XLOOKUP(_xlfn.XLOOKUP(B69,'Base stats'!B:B,'Base stats'!E:E),Groups!A:A,Groups!AJ:AJ)="Photonozoa",0.3,1)) + _xlfn.XLOOKUP(B69,'Base stats'!B:B,'Base stats'!AV:AV) * 1.8) * 2) * 2.5 + 10 + I69 * 2,5)+IF(_xlfn.XLOOKUP(B69,'Base stats'!B:B,'Base stats'!AK:AK)=1,50,0)</f>
        <v>25</v>
      </c>
      <c r="BS69" s="8">
        <f t="shared" si="12"/>
        <v>0.30000000000000004</v>
      </c>
      <c r="BT69" s="8" t="str">
        <f>_xlfn.XLOOKUP(B69,'Base stats'!B:B,'Base stats'!AF:AF)</f>
        <v>No</v>
      </c>
      <c r="BU69" s="2" t="str">
        <f>IF(AND(J69&lt;=0.95,OR(_xlfn.XLOOKUP(B69,'Base stats'!B:B,'Base stats'!AK:AK)=1,_xlfn.XLOOKUP(B69,'Base stats'!B:B,'Base stats'!Y:Y)="Carnivore",_xlfn.XLOOKUP(B69,'Base stats'!B:B,'Base stats'!Y:Y)="Omnivore",BE69&gt;0.1)),"true","false")</f>
        <v>true</v>
      </c>
      <c r="BV69" s="2" t="str">
        <f>IF(_xlfn.XLOOKUP(B69,'Base stats'!B:B,'Base stats'!AI:AI)=1,"true","false")</f>
        <v>false</v>
      </c>
      <c r="BW69" s="25" t="str">
        <f>IF(E69="BaseInsect","AnimalInsect",
IF(J69&gt;0.95,"AnimalExotic",
_xlfn.TEXTJOIN(", ",TRUE,
IF(OR(_xlfn.XLOOKUP(B69,'Base stats'!B:B,'Base stats'!AM:AM)=1,AND(_xlfn.XLOOKUP(B69,'Base stats'!B:B,'Base stats'!O:O)=0,_xlfn.XLOOKUP(_xlfn.XLOOKUP(B69,'Base stats'!B:B,'Base stats'!E:E),Groups!A:A,Groups!B:B)&gt;0)),"AnimalUncommon","AnimalCommon"),
IF(AND(_xlfn.XLOOKUP(B69,'Base stats'!B:B,'Base stats'!O:O)=2,_xlfn.XLOOKUP(_xlfn.XLOOKUP(B69,'Base stats'!B:B,'Base stats'!E:E),Groups!A:A,Groups!D:D)=0),"AnimalPet",IF(AND(_xlfn.XLOOKUP(B69,'Base stats'!B:B,'Base stats'!O:O)&lt;&gt;0,_xlfn.XLOOKUP(_xlfn.XLOOKUP(B69,'Base stats'!B:B,'Base stats'!E:E),Groups!A:A,Groups!D:D)&lt;&gt;0),"AnimalFarm","")),
IF(OR(_xlfn.XLOOKUP(B69,'Base stats'!B:B,'Base stats'!AK:AK)=1,AND(BI69&lt;&gt;"None",BR69&gt;=60),ISNUMBER(SEARCH("Attack target",BP69))),"AnimalFighter","")
)))</f>
        <v>AnimalUncommon</v>
      </c>
      <c r="BX69" s="25" t="str">
        <f>IF(G69="None",TRIM(
SUBSTITUTE(
IF(COUNTIF(Biomes!B$2:B$259,"="&amp;$C69)&gt;0,Biomes!B$1&amp;", ","")&amp;
IF(COUNTIF(Biomes!C$2:C$259,"="&amp;$C69)&gt;0,Biomes!C$1&amp;", ","")&amp;
IF(COUNTIF(Biomes!D$2:D$259,"="&amp;$C69)&gt;0,Biomes!D$1&amp;", ","")&amp;
IF(COUNTIF(Biomes!F$2:F$259,"="&amp;$C69)&gt;0,Biomes!F$1&amp;", ","")&amp;
IF(COUNTIF(Biomes!G$2:G$259,"="&amp;$C69)&gt;0,Biomes!G$1&amp;", ","")&amp;
IF(COUNTIF(Biomes!H$2:H$259,"="&amp;$C69)&gt;0,Biomes!H$1&amp;", ","")&amp;
IF(COUNTIF(Biomes!I$2:I$259,"="&amp;$C69)&gt;0,Biomes!I$1&amp;", ","")&amp;
IF(COUNTIF(Biomes!J$2:J$259,"="&amp;$C69)&gt;0,Biomes!J$1&amp;", ","")&amp;
IF(COUNTIF(Biomes!M$2:M$259,"="&amp;$C69)&gt;0,Biomes!M$1&amp;", ","")&amp;
IF(COUNTIF(Biomes!N$2:N$259,"="&amp;$C69)&gt;0,Biomes!N$1&amp;", ","")&amp;
IF(COUNTIF(Biomes!O$2:O$259,"="&amp;$C69)&gt;0,Biomes!O$1&amp;", ","")&amp;
IF(COUNTIF(Biomes!P$2:P$259,"="&amp;$C69)&gt;0,Biomes!P$1&amp;", ","")&amp;
IF(COUNTIF(Biomes!K$2:K$259,"="&amp;$C69)&gt;0,Biomes!K$1&amp;", ","")&amp;
IF(COUNTIF(Biomes!Q$3:Q$259,"="&amp;$C69)&gt;0,Biomes!Q$1&amp;", ","")&amp;
IF(COUNTIF(Biomes!L$2:L$259,"="&amp;$C69)&gt;0,Biomes!L$1&amp;", ","")&amp;
IF(COUNTIF(Biomes!E$2:E$259,"="&amp;$C69)&gt;0,Biomes!E$1&amp;", ","")&amp;IF(COUNTIF(Biomes!S$2:S$259,"="&amp;$C69)&gt;0,Biomes!S$1&amp;", ","")&amp;
IF(COUNTIF(Biomes!R$2:R$259,"="&amp;$C69)&gt;0,Biomes!R$1&amp;", ",""),", ","")
),_xlfn.XLOOKUP(B69,B:B,BX:BX))</f>
        <v>ColdBog TemperateSwamp TropicalSwamp Glowforest</v>
      </c>
      <c r="BY69" s="25" t="str">
        <f>IF(_xlfn.XLOOKUP(B69,'Base stats'!B:B,'Base stats'!AJ:AJ)=1,"true","false")</f>
        <v>false</v>
      </c>
      <c r="BZ69" s="25">
        <f>IF(_xlfn.XLOOKUP(B69,'Base stats'!B:B,'Base stats'!N:N)=1,"No",MAX(0.001,MIN(MROUND(IF(AND(BJ69="True",CC69="False"),POWER(10,3.47*LOG10(_xlfn.XLOOKUP(B69,'Base stats'!B:B,'Base stats'!C:C)*1000)^-0.96),POWER(10,4.15*LOG10(_xlfn.XLOOKUP(B69,'Base stats'!B:B,'Base stats'!C:C)*1000)^-0.73))*IF(_xlfn.XLOOKUP(B69,'Base stats'!B:B,'Base stats'!AK:AK)=1,0.5,1)*IF(_xlfn.XLOOKUP(B69,'Base stats'!B:B,'Base stats'!AM:AM)=1,0.1,1)/100,IF(_xlfn.XLOOKUP(B69,'Base stats'!B:B,'Base stats'!AM:AM)=1,0.001,0.025)),0.5)))</f>
        <v>0.5</v>
      </c>
      <c r="CA69" s="25" t="str">
        <f>IF(P69="Standard","No",MAX(0.001,MIN(MROUND(IF(AND(BJ69="True",CC69="False"),POWER(10,3.47*LOG10(_xlfn.XLOOKUP(B69,'Base stats'!B:B,'Base stats'!C:C)*1000)^-0.96),POWER(10,4.15*LOG10(_xlfn.XLOOKUP(B69,'Base stats'!B:B,'Base stats'!C:C)*1000)^-0.73))*IF(_xlfn.XLOOKUP(B69,'Base stats'!B:B,'Base stats'!AM:AM)=1,0.1,1)*_xlfn.XLOOKUP(B69,'Base stats'!B:B,'Base stats'!R:R)/100,IF(_xlfn.XLOOKUP(B69,'Base stats'!B:B,'Base stats'!AM:AM)=1,0.001,0.025)),0.5)))</f>
        <v>No</v>
      </c>
      <c r="CB69" s="25" t="str">
        <f>IF(_xlfn.XLOOKUP(_xlfn.XLOOKUP(B69,'Base stats'!B:B,'Base stats'!E:E),Groups!A:A,Groups!AJ:AJ)="Mammal","True","False")</f>
        <v>False</v>
      </c>
      <c r="CC69" s="25" t="str">
        <f>IF(OR(_xlfn.XLOOKUP(_xlfn.XLOOKUP(B69,'Base stats'!B:B,'Base stats'!E:E),Groups!A:A,Groups!AJ:AJ)="Reptile",_xlfn.XLOOKUP(_xlfn.XLOOKUP(B69,'Base stats'!B:B,'Base stats'!E:E),Groups!A:A,Groups!AJ:AJ)="Amphibian",_xlfn.XLOOKUP(_xlfn.XLOOKUP(B69,'Base stats'!B:B,'Base stats'!E:E),Groups!A:A,Groups!AJ:AJ)="Invertebrate"),"True","False")</f>
        <v>False</v>
      </c>
      <c r="CD69" s="25" t="str">
        <f t="shared" si="13"/>
        <v>False</v>
      </c>
      <c r="CE69" s="25" t="str">
        <f>IF(_xlfn.XLOOKUP(_xlfn.XLOOKUP(B69,'Base stats'!B:B,'Base stats'!E:E),Groups!A:A,Groups!AX:AX),"True","False")</f>
        <v>False</v>
      </c>
      <c r="CF69" s="25" t="str">
        <f>IF(_xlfn.XLOOKUP(_xlfn.XLOOKUP(B69,'Base stats'!B:B,'Base stats'!E:E),Groups!A:A,Groups!AY:AY),"True","False")</f>
        <v>False</v>
      </c>
      <c r="CG69" s="25" t="str">
        <f>IF(_xlfn.XLOOKUP(_xlfn.XLOOKUP(B69,'Base stats'!B:B,'Base stats'!E:E),Groups!A:A,Groups!AW:AW),"True","False")</f>
        <v>False</v>
      </c>
      <c r="CH69" s="25" t="str">
        <f>IF(
OR(
_xlfn.XLOOKUP(_xlfn.XLOOKUP(B69,'Base stats'!B:B,'Base stats'!E:E),Groups!A:A,Groups!AZ:AZ)=0,
AND(
_xlfn.XLOOKUP(B69,'Base stats'!B:B,'Base stats'!Y:Y)&lt;&gt;"Carnivore",
_xlfn.XLOOKUP(B69,'Base stats'!B:B,'Base stats'!Y:Y)&lt;&gt;"Omnivore",
_xlfn.XLOOKUP(B69,'Base stats'!B:B,'Base stats'!Y:Y)&lt;&gt;"OmnivoreRough"
)
),
"No",
IF(
_xlfn.XLOOKUP(_xlfn.XLOOKUP(B69,'Base stats'!B:B,'Base stats'!E:E),Groups!A:A,Groups!AZ:AZ)=1,
"Flesh",
IF(
_xlfn.XLOOKUP(_xlfn.XLOOKUP(B69,'Base stats'!B:B,'Base stats'!E:E),Groups!A:A,Groups!AZ:AZ)=2,
"Bone",
""
)
)
)</f>
        <v>No</v>
      </c>
      <c r="CI69" s="25" t="str">
        <f>IF(_xlfn.XLOOKUP(_xlfn.XLOOKUP(B69,'Base stats'!B:B,'Base stats'!E:E),Groups!A:A,Groups!BB:BB),"True","False")</f>
        <v>True</v>
      </c>
      <c r="CJ69" s="25" t="str">
        <f>IF(_xlfn.XLOOKUP(_xlfn.XLOOKUP(B69,'Base stats'!B:B,'Base stats'!E:E),Groups!A:A,Groups!BA:BA),"True","False")</f>
        <v>False</v>
      </c>
    </row>
    <row r="70" spans="1:88" ht="16.5" thickTop="1" thickBot="1" x14ac:dyDescent="0.3">
      <c r="A70" s="26" t="str">
        <f>_xlfn.XLOOKUP(B70,'Base stats'!B:B,'Base stats'!A:A)</f>
        <v>Flamingo</v>
      </c>
      <c r="B70" s="6" t="s">
        <v>237</v>
      </c>
      <c r="C70" s="28" t="s">
        <v>750</v>
      </c>
      <c r="D70" s="28" t="s">
        <v>870</v>
      </c>
      <c r="E70" s="28" t="s">
        <v>675</v>
      </c>
      <c r="F70" s="28" t="s">
        <v>676</v>
      </c>
      <c r="G70" s="28" t="s">
        <v>673</v>
      </c>
      <c r="H70" s="2">
        <f>MROUND((
  (IF(AND(_xlfn.XLOOKUP(B70,'Base stats'!B:B,'Base stats'!AL:AL)=0,BI70="None",_xlfn.XLOOKUP(_xlfn.XLOOKUP(B70,'Base stats'!B:B,'Base stats'!E:E),Groups!A:A,Groups!B:B)=0), (18 + BR70 * 2.7) * 0.5,
    IF(AND(_xlfn.XLOOKUP(B70,'Base stats'!B:B,'Base stats'!AL:AL)=0,OR(AO70&lt;0.55,AND(BI70="Intermediate",_xlfn.XLOOKUP(_xlfn.XLOOKUP(B70,'Base stats'!B:B,'Base stats'!E:E),Groups!A:A,Groups!B:B)&lt;2))), (18 + BR70 * 2.7),
      IF(OR(BI70="Advanced",_xlfn.XLOOKUP(B70,'Base stats'!B:B,'Base stats'!AL:AL)=1,_xlfn.XLOOKUP(_xlfn.XLOOKUP(B70,'Base stats'!B:B,'Base stats'!E:E),Groups!A:A,Groups!B:B)=2), (18 + BR70 * 2.7) + 250, (18 + BR70 * 2.7))
    )
  ))
  + AO70 * 80
  + IF(COUNTIF(EggMilk!K$2:K$998, A70) &gt; 0, 125, 0)
  + IF(COUNTIF(EggMilk!P$2:P$998, A70) &gt; 0, 90, 0)
  + IF(COUNTIF(EggMilk!A$2:A$998, A70) &gt; 0, 90, 0)
)
* (0.8 + 0.4 * J70)
* 0.75,25)</f>
        <v>150</v>
      </c>
      <c r="I70" s="2">
        <f>MROUND(ROUNDDOWN(_xlfn.XLOOKUP(B70,'Base stats'!B:B,'Base stats'!L:L)/3.6/(23.3/11),1),0.5)</f>
        <v>1.5</v>
      </c>
      <c r="J70" s="2">
        <f>IF(OR(_xlfn.XLOOKUP(B70,'Base stats'!B:B,'Base stats'!AB:AB)=1,_xlfn.XLOOKUP(_xlfn.XLOOKUP(B70,'Base stats'!B:B,'Base stats'!E:E),Groups!A:A,Groups!C:C)="Untamable"),1,IF(_xlfn.XLOOKUP(B70,'Base stats'!B:B,'Base stats'!AL:AL)=1,0.99,MIN(MROUND((1-0.6282*EXP(-0.459*AO70))*_xlfn.XLOOKUP(_xlfn.XLOOKUP(B70,'Base stats'!B:B,'Base stats'!E:E),Groups!A:A,Groups!C:C)*IF(_xlfn.XLOOKUP(B70,'Base stats'!B:B,'Base stats'!O:O)=1,0.5,IF(_xlfn.XLOOKUP(B70,'Base stats'!B:B,'Base stats'!O:O)=2,0,1)),0.05),IF(AO70&gt;3.5,0.985,0.95))))</f>
        <v>0.55000000000000004</v>
      </c>
      <c r="K70" s="2">
        <f>ROUNDUP(AO70*_xlfn.XLOOKUP(_xlfn.XLOOKUP(B70,'Base stats'!B:B,'Base stats'!E:E),Groups!A:A,Groups!E:E),0)</f>
        <v>3</v>
      </c>
      <c r="L70" s="2">
        <f>IF(OR(_xlfn.XLOOKUP(_xlfn.XLOOKUP(B70,'Base stats'!B:B,'Base stats'!E:E),Groups!A:A,Groups!F:F)=2,ISNUMBER(SEARCH("SeaIce",BX70)),ISNUMBER(SEARCH("IceSheet",BX70))),-50,IF(OR(ISNUMBER(SEARCH("GlacialPlain",BX70)),ISNUMBER(SEARCH("Tundra",BX70))),-40,IF(OR(ISNUMBER(SEARCH("Alpine",BX70)),ISNUMBER(SEARCH("BorealForest",BX70)),ISNUMBER(SEARCH("ColdBog",BX70))),-30,IF(OR(ISNUMBER(SEARCH("TemperateForest",BX70)),ISNUMBER(SEARCH("TemperateSwamp",BX70))),-20,IF(_xlfn.XLOOKUP(_xlfn.XLOOKUP(B70,'Base stats'!B:B,'Base stats'!E:E),Groups!A:A,Groups!F:F)=1,-15,IF(OR(ISNUMBER(SEARCH("Desert",BX70)),ISNUMBER(SEARCH("ExtremeDesert",BX70))),-10,IF(OR(ISNUMBER(SEARCH("Grasslands",BX70)),ISNUMBER(SEARCH("TropicalRainforest",BX70)),ISNUMBER(SEARCH("TropicalSwamp",BX70))),10,0)))))))-IF(CC70="False",MIN(IFERROR(MAX(MROUND(LOG10(_xlfn.XLOOKUP(B70,'Base stats'!B:B,'Base stats'!C:C)^(2/3))*10,5),5),5),30))-_xlfn.XLOOKUP(B70,'Base stats'!B:B,'Base stats'!P:P)+IF(CC70="True",5,0)</f>
        <v>5</v>
      </c>
      <c r="M70" s="2">
        <f>IF(OR(_xlfn.XLOOKUP(_xlfn.XLOOKUP(B70,'Base stats'!B:B,'Base stats'!E:E),Groups!A:A,Groups!G:G)=2,ISNUMBER(SEARCH("Desert",BX70)),ISNUMBER(SEARCH("ExtremeDesert",BX70)),ISNUMBER(SEARCH("LavaField",BX70))),50,IF(ISNUMBER(SEARCH("Grasslands",BX70)),45,IF(OR(_xlfn.XLOOKUP(_xlfn.XLOOKUP(B70,'Base stats'!B:B,'Base stats'!E:E),Groups!A:A,Groups!G:G)=1,ISNUMBER(SEARCH("TropicalRainforest",BX70)),ISNUMBER(SEARCH("TropicalSwamp",BX70))),40,IF(OR(ISNUMBER(SEARCH("TemperateForest",BX70)),ISNUMBER(SEARCH("TemperateSwamp",BX70))),35,IF(OR(ISNUMBER(SEARCH("Alpine",BX70)),ISNUMBER(SEARCH("BorealForest",BX70)),ISNUMBER(SEARCH("ColdBog",BX70))),30,IF(ISNUMBER(OR(ISNUMBER(SEARCH("GlacialPlain",BX70)),SEARCH("Tundra",BX70))),25,IF(OR(ISNUMBER(SEARCH("SeaIce",BX70)),ISNUMBER(SEARCH("IceSheet",BX70)),ISNUMBER(SEARCH("TropicalSwamp",BX70))),10,35)))))))+_xlfn.XLOOKUP(B70,'Base stats'!B:B,'Base stats'!Q:Q)</f>
        <v>40</v>
      </c>
      <c r="N70" s="8" t="str">
        <f>IF(
_xlfn.XLOOKUP(
_xlfn.XLOOKUP(B70,'Base stats'!B:B,'Base stats'!E:E),
Groups!A:A,
Groups!L:L
)=1,
MIN(
MROUND(
IF(
_xlfn.XLOOKUP(B70,'Animals CE'!B:B,'Animals CE'!Z:Z)&lt;=1.5,
_xlfn.XLOOKUP(B70,'Animals CE'!B:B,'Animals CE'!Z:Z)/2+0.05,
0.8+
(_xlfn.XLOOKUP(B70,'Animals CE'!B:B,'Animals CE'!Z:Z)-1.5)
*0.02
),
0.05
),
200%
),
"No"
)</f>
        <v>No</v>
      </c>
      <c r="O70" s="8" t="str">
        <f>IF(
_xlfn.XLOOKUP(
_xlfn.XLOOKUP(B70,'Base stats'!B:B,'Base stats'!E:E),
Groups!A:A,
Groups!L:L
)=1,
MIN(
MROUND(
IF(
_xlfn.XLOOKUP(B70,'Animals CE'!B:B,'Animals CE'!AA:AA)&lt;=1.5,
_xlfn.XLOOKUP(B70,'Animals CE'!B:B,'Animals CE'!AA:AA)/2+0.05,
0.8+
(_xlfn.XLOOKUP(B70,'Animals CE'!B:B,'Animals CE'!AA:AA)-1.5)
*0.02
),
0.05
),
200%
),
"No"
)</f>
        <v>No</v>
      </c>
      <c r="P70" s="2" t="str">
        <f>_xlfn.XLOOKUP(B70,'Base stats'!B:B,'Base stats'!R:R)</f>
        <v>Standard</v>
      </c>
      <c r="Q70" s="13">
        <f>MROUND((LOG10(_xlfn.XLOOKUP(B70,'Base stats'!B:B,'Base stats'!AR:AR))*(AO70^0.5)+(_xlfn.XLOOKUP(B70,'Base stats'!B:B,'Base stats'!AR:AR)/1000)^(2/3)+_xlfn.XLOOKUP(B70,'Base stats'!B:B,'Base stats'!BA:BA)/2)+0.5,0.5)</f>
        <v>2.5</v>
      </c>
      <c r="R70" s="7">
        <f>IF(Q70="No","No",MAX(1,MROUND(_xlfn.XLOOKUP(B70,'Base stats'!B:B,'Base stats'!C:C)^0.165,0.05)))</f>
        <v>1.2000000000000002</v>
      </c>
      <c r="S70" s="13" t="str">
        <f>IF(_xlfn.XLOOKUP(_xlfn.XLOOKUP(B70,'Base stats'!B:B,'Base stats'!E:E),Groups!A:A,Groups!P:P)=0,"No",MROUND((LOG10(_xlfn.XLOOKUP(B70,'Base stats'!B:B,'Base stats'!AS:AS))*(AO70^0.5)+(_xlfn.XLOOKUP(B70,'Base stats'!B:B,'Base stats'!AS:AS)/1000)^(2/3)+_xlfn.XLOOKUP(B70,'Base stats'!B:B,'Base stats'!BA:BA))+_xlfn.XLOOKUP(B70,'Base stats'!B:B,'Base stats'!AY:AY)+0.5,0.5))</f>
        <v>No</v>
      </c>
      <c r="T70" s="7" t="str">
        <f>IF(S70="No","No",MAX(_xlfn.XLOOKUP(_xlfn.XLOOKUP(B70,'Base stats'!B:B,'Base stats'!E:E),Groups!A:A,Groups!Q:Q),MROUND(_xlfn.XLOOKUP(_xlfn.XLOOKUP(B70,'Base stats'!B:B,'Base stats'!E:E),Groups!A:A,Groups!Q:Q)*_xlfn.XLOOKUP(B70,'Base stats'!B:B,'Base stats'!C:C)^0.165,0.05)))</f>
        <v>No</v>
      </c>
      <c r="U70" s="7" t="str">
        <f>IF(S70="No","No",_xlfn.XLOOKUP(_xlfn.XLOOKUP(B70,'Base stats'!B:B,'Base stats'!E:E),Groups!A:A,Groups!R:R))</f>
        <v>No</v>
      </c>
      <c r="V70" s="7" t="str">
        <f>IF(S70="No","No",_xlfn.XLOOKUP(_xlfn.XLOOKUP(B70,'Base stats'!B:B,'Base stats'!E:E),Groups!A:A,Groups!S:S))</f>
        <v>No</v>
      </c>
      <c r="W70" s="7" t="str">
        <f>IF(S70="No","No",_xlfn.XLOOKUP(_xlfn.XLOOKUP(B70,'Base stats'!B:B,'Base stats'!E:E),Groups!A:A,Groups!T:T))</f>
        <v>No</v>
      </c>
      <c r="X70" s="13" t="str">
        <f>IF(_xlfn.XLOOKUP(B70,'Base stats'!B:B,'Base stats'!W:W)="No","No",MROUND((LOG10(_xlfn.XLOOKUP(B70,'Base stats'!B:B,'Base stats'!AU:AU))*(AO70^0.5)+(_xlfn.XLOOKUP(B70,'Base stats'!B:B,'Base stats'!AU:AU)/1000)^(2/3)+_xlfn.XLOOKUP(B70,'Base stats'!B:B,'Base stats'!AZ:AZ))+0.5+IF(_xlfn.XLOOKUP(_xlfn.XLOOKUP(B70,'Base stats'!B:B,'Base stats'!E:E),Groups!A:A,Groups!U:U)&lt;&gt;3,_xlfn.XLOOKUP(B70,'Base stats'!B:B,'Base stats'!BA:BA),0),0.5))</f>
        <v>No</v>
      </c>
      <c r="Y70" s="7" t="str">
        <f>IF(X70="No","No",MAX(_xlfn.XLOOKUP(_xlfn.XLOOKUP(B70,'Base stats'!B:B,'Base stats'!E:E),Groups!A:A,Groups!V:V),MROUND(_xlfn.XLOOKUP(_xlfn.XLOOKUP(B70,'Base stats'!B:B,'Base stats'!E:E),Groups!A:A,Groups!V:V)*_xlfn.XLOOKUP(B70,'Base stats'!B:B,'Base stats'!C:C)^0.165,0.05)))</f>
        <v>No</v>
      </c>
      <c r="Z70" s="7" t="str">
        <f>IF(X70="No","No",_xlfn.XLOOKUP(_xlfn.XLOOKUP(B70,'Base stats'!B:B,'Base stats'!E:E),Groups!A:A,Groups!W:W))</f>
        <v>No</v>
      </c>
      <c r="AA70" s="7" t="str">
        <f>IF(X70="No","No",_xlfn.XLOOKUP(_xlfn.XLOOKUP(B70,'Base stats'!B:B,'Base stats'!E:E),Groups!A:A,Groups!X:X))</f>
        <v>No</v>
      </c>
      <c r="AB70" s="7" t="str">
        <f>IF(X70="No","No",_xlfn.XLOOKUP(_xlfn.XLOOKUP(B70,'Base stats'!B:B,'Base stats'!E:E),Groups!A:A,Groups!Y:Y))</f>
        <v>No</v>
      </c>
      <c r="AC70" s="7" t="str">
        <f>_xlfn.XLOOKUP(Animals!B70,'Base stats'!B:B,'Base stats'!X:X)</f>
        <v>False</v>
      </c>
      <c r="AD70" s="13">
        <f>IF(_xlfn.XLOOKUP(B70,'Base stats'!B:B,'Base stats'!AT:AT)="No","No",MROUND((LOG10(_xlfn.XLOOKUP(B70,'Base stats'!B:B,'Base stats'!AT:AT))*(AO70^0.75)+(_xlfn.XLOOKUP(B70,'Base stats'!B:B,'Base stats'!AT:AT)/1000)^(2/3)+_xlfn.XLOOKUP(B70,'Base stats'!B:B,'Base stats'!AX:AX)+_xlfn.XLOOKUP(B70,'Base stats'!B:B,'Base stats'!BA:BA))+0.5,0.5))</f>
        <v>2.5</v>
      </c>
      <c r="AE70" s="7">
        <f>IF(AD70="No","No",MAX(_xlfn.XLOOKUP(_xlfn.XLOOKUP(B70,'Base stats'!B:B,'Base stats'!E:E),Groups!A:A,Groups!Z:Z),MROUND(_xlfn.XLOOKUP(_xlfn.XLOOKUP(B70,'Base stats'!B:B,'Base stats'!E:E),Groups!A:A,Groups!Z:Z)*_xlfn.XLOOKUP(B70,'Base stats'!B:B,'Base stats'!C:C)^0.165,0.05)))</f>
        <v>0.95000000000000007</v>
      </c>
      <c r="AF70" s="7" t="str">
        <f>IF(AD70="No","No",_xlfn.XLOOKUP(_xlfn.XLOOKUP(B70,'Base stats'!B:B,'Base stats'!E:E),Groups!A:A,Groups!AA:AA))</f>
        <v>Beak</v>
      </c>
      <c r="AG70" s="7" t="str">
        <f>IF(AD70="No","No",_xlfn.XLOOKUP(_xlfn.XLOOKUP(B70,'Base stats'!B:B,'Base stats'!E:E),Groups!A:A,Groups!AB:AB))</f>
        <v>beak</v>
      </c>
      <c r="AH70" s="7" t="str">
        <f>IF(AD70="No","No",_xlfn.XLOOKUP(_xlfn.XLOOKUP(B70,'Base stats'!B:B,'Base stats'!E:E),Groups!A:A,Groups!AC:AC))</f>
        <v>Blunt</v>
      </c>
      <c r="AI70" s="13" t="str">
        <f>IF(_xlfn.XLOOKUP(_xlfn.XLOOKUP(B70,'Base stats'!B:B,'Base stats'!E:E),Groups!A:A,Groups!AD:AD)=0,"No",MROUND((LOG10(_xlfn.XLOOKUP(B70,'Base stats'!B:B,'Base stats'!AS:AS))*(AO70^0.75)+(_xlfn.XLOOKUP(B70,'Base stats'!B:B,'Base stats'!AS:AS)/1000)^(2/3)+_xlfn.XLOOKUP(B70,'Base stats'!B:B,'Base stats'!AY:AY)+_xlfn.XLOOKUP(B70,'Base stats'!B:B,'Base stats'!BA:BA))+0.5,0.5))</f>
        <v>No</v>
      </c>
      <c r="AJ70" s="7" t="str">
        <f>IF(AI70="No","No",MAX(_xlfn.XLOOKUP(_xlfn.XLOOKUP(B70,'Base stats'!B:B,'Base stats'!E:E),Groups!A:A,Groups!AE:AE),MROUND(_xlfn.XLOOKUP(_xlfn.XLOOKUP(B70,'Base stats'!B:B,'Base stats'!E:E),Groups!A:A,Groups!AE:AE)*IF(_xlfn.XLOOKUP(_xlfn.XLOOKUP(B70,'Base stats'!B:B,'Base stats'!E:E),Groups!A:A,Groups!AJ:AJ)="Photonozoa",0.6,1)*_xlfn.XLOOKUP(B70,'Base stats'!B:B,'Base stats'!C:C)^0.165,0.05)))</f>
        <v>No</v>
      </c>
      <c r="AK70" s="7" t="str">
        <f>IF(AI70="No","No",_xlfn.XLOOKUP(_xlfn.XLOOKUP(B70,'Base stats'!B:B,'Base stats'!E:E),Groups!A:A,Groups!AF:AF))</f>
        <v>No</v>
      </c>
      <c r="AL70" s="7" t="str">
        <f>IF(AI70="No","No",_xlfn.XLOOKUP(_xlfn.XLOOKUP(B70,'Base stats'!B:B,'Base stats'!E:E),Groups!A:A,Groups!AG:AG))</f>
        <v>No</v>
      </c>
      <c r="AM70" s="7" t="str">
        <f>IF(AI70="No","No",_xlfn.XLOOKUP(_xlfn.XLOOKUP(B70,'Base stats'!B:B,'Base stats'!E:E),Groups!A:A,Groups!AH:AH))</f>
        <v>No</v>
      </c>
      <c r="AN70" s="2" t="str">
        <f t="shared" si="7"/>
        <v>No</v>
      </c>
      <c r="AO70" s="2">
        <f>MROUND(IF(AND(_xlfn.XLOOKUP(B70,'Base stats'!B:B,'Base stats'!C:C)&gt;=0.5,_xlfn.XLOOKUP(B70,'Base stats'!B:B,'Base stats'!C:C)&lt;=0.8),
IF(_xlfn.XLOOKUP(B70,'Base stats'!B:B,'Base stats'!C:C)&lt;0.1,0.05,IF(_xlfn.XLOOKUP(B70,'Base stats'!B:B,'Base stats'!C:C)&lt;=70,(_xlfn.XLOOKUP(B70,'Base stats'!B:B,'Base stats'!C:C)/70)^0.426489913056526,IF(_xlfn.XLOOKUP(B70,'Base stats'!B:B,'Base stats'!C:C)&lt;=400,(_xlfn.XLOOKUP(B70,'Base stats'!B:B,'Base stats'!C:C)/70)^0.572811455315093,IF(_xlfn.XLOOKUP(B70,'Base stats'!B:B,'Base stats'!C:C)&lt;=2000,2.71391647193063*(_xlfn.XLOOKUP(B70,'Base stats'!B:B,'Base stats'!C:C)/400)^0.252459582904293,3.74314280240376*(_xlfn.XLOOKUP(B70,'Base stats'!B:B,'Base stats'!C:C)/2000)^0.357012633876913)))),
IF(_xlfn.XLOOKUP(B70,'Base stats'!B:B,'Base stats'!C:C)&lt;0.1,0.05,IF(_xlfn.XLOOKUP(B70,'Base stats'!B:B,'Base stats'!C:C)&lt;0.4,0.1,IF(_xlfn.XLOOKUP(B70,'Base stats'!B:B,'Base stats'!C:C)&lt;=70,(_xlfn.XLOOKUP(B70,'Base stats'!B:B,'Base stats'!C:C)/70)^0.445823913056526,IF(_xlfn.XLOOKUP(B70,'Base stats'!B:B,'Base stats'!C:C)&lt;=400,(_xlfn.XLOOKUP(B70,'Base stats'!B:B,'Base stats'!C:C)/70)^0.572811455315093,IF(_xlfn.XLOOKUP(B70,'Base stats'!B:B,'Base stats'!C:C)&lt;=2000,2.71391647193063*(_xlfn.XLOOKUP(B70,'Base stats'!B:B,'Base stats'!C:C)/400)^0.252459582904293,3.74314280240376*(_xlfn.XLOOKUP(B70,'Base stats'!B:B,'Base stats'!C:C)/2000)^0.357012633876913)))))),
IF(_xlfn.XLOOKUP(B70,'Base stats'!B:B,'Base stats'!C:C)&lt;0.1,0.05,IF(_xlfn.XLOOKUP(B70,'Base stats'!B:B,'Base stats'!C:C)&lt;=100,0.05,IF(_xlfn.XLOOKUP(B70,'Base stats'!B:B,'Base stats'!C:C)&lt;=250,0.1,IF(_xlfn.XLOOKUP(B70,'Base stats'!B:B,'Base stats'!C:C)&lt;=4000,0.25,0.5)))))</f>
        <v>0.25</v>
      </c>
      <c r="AP70" s="8">
        <f>MROUND(AO70*_xlfn.XLOOKUP(_xlfn.XLOOKUP(B70,'Base stats'!B:B,'Base stats'!E:E),Groups!A:A,Groups!AI:AI)*_xlfn.XLOOKUP(B70,'Base stats'!B:B,'Base stats'!Z:Z),0.05)</f>
        <v>0.25</v>
      </c>
      <c r="AQ70" s="8">
        <f>MAX(0.01,MROUND(IF(CC70="True",0.196*(AO70*100*1000)^0.889,IF(_xlfn.XLOOKUP(_xlfn.XLOOKUP(B70,'Base stats'!B:B,'Base stats'!E:E),Groups!A:A,Groups!AJ:AJ)="Bird",10.5*(AO70*100*1000)^0.681,4.82*(AO70*100*1000)^0.734))/(4.82*(1*100*1000)^0.734)/IF(AO70&lt;3.5,2,IF(AO70=3.5,1.5,1.25))*(1+0.132282374779864/(AO70^0.994035016789033+0.00905238001496948)),0.05))</f>
        <v>0.35000000000000003</v>
      </c>
      <c r="AR70" s="9">
        <f>IFERROR(MROUND(_xlfn.XLOOKUP(B70,'Base stats'!B:B,'Base stats'!H:H)/IF(_xlfn.XLOOKUP(B70,'Base stats'!B:B,'Base stats'!I:I)&lt;&gt;1,(122.5/70),1.2),IF(_xlfn.XLOOKUP(B70,'Base stats'!B:B,'Base stats'!H:H)&gt;=30,5,IF(_xlfn.XLOOKUP(B70,'Base stats'!B:B,'Base stats'!H:H)&gt;=15,3,IF(_xlfn.XLOOKUP(B70,'Base stats'!B:B,'Base stats'!H:H)&gt;=10,2,1)))),"Immortal")</f>
        <v>35</v>
      </c>
      <c r="AS70" s="35" t="str">
        <f>IFERROR(IF(OR(_xlfn.XLOOKUP(B70,'Base stats'!B:B,'Base stats'!F:F)="Atypical reproduction",_xlfn.XLOOKUP(B70,'Base stats'!B:B,'Base stats'!F:F)="Lay eggs"),"Lay eggs",MIN(20,MAX(5.5,ROUND(((_xlfn.XLOOKUP(B70,'Base stats'!B:B,'Base stats'!F:F)-25)*(14.5/615) + 5.5)*2,0)/2))),"Unknown")</f>
        <v>Lay eggs</v>
      </c>
      <c r="AT70" s="8">
        <f>IF(_xlfn.XLOOKUP(B70,'Base stats'!B:B,'Base stats'!G:G)="Atypical reproduction","No",IFERROR(MAX(IF(_xlfn.XLOOKUP(B70,'Base stats'!B:B,'Base stats'!G:G)&lt;0.5,0.2,0.3),MROUND(_xlfn.XLOOKUP(B70,'Base stats'!B:B,'Base stats'!G:G)/(365/60),0.2)),"Unknown"))</f>
        <v>0.8</v>
      </c>
      <c r="AU70" s="8">
        <f t="shared" si="8"/>
        <v>0.4</v>
      </c>
      <c r="AV70" s="8" t="str">
        <f>IFERROR(IFERROR(MROUND(_xlfn.XLOOKUP(B70,'Base stats'!B:B,'Base stats'!J:J),0.1),"Lay eggs"),"Cannot breed")</f>
        <v>Lay eggs</v>
      </c>
      <c r="AW70" s="2" t="str">
        <f t="shared" si="9"/>
        <v>true</v>
      </c>
      <c r="AX70" s="2" t="str">
        <f>IF(_xlfn.XLOOKUP(_xlfn.XLOOKUP(Animals!B70,'Base stats'!B:B,'Base stats'!E:E),Groups!A:A,Groups!AK:AK)=1,"true","false")</f>
        <v>false</v>
      </c>
      <c r="AY70" s="25" t="str">
        <f>IF(_xlfn.XLOOKUP(B70,'Base stats'!B:B,'Base stats'!Y:Y)="Liquor","Liquor, CarnivoreAnimalStrict",IF(AND(_xlfn.XLOOKUP(B70,'Base stats'!B:B,'Base stats'!Y:Y)="Carnivore",_xlfn.XLOOKUP(_xlfn.XLOOKUP(B70,'Base stats'!B:B,'Base stats'!E:E),Groups!A:A,Groups!AJ:AJ)="Photonozoa"),"CarnivoreAnimalStrict, OvivoreAnimal",IF(_xlfn.XLOOKUP(B70,'Base stats'!B:B,'Base stats'!Y:Y)="Carnivore","CarnivoreAnimal, OvivoreAnimal",IF(_xlfn.XLOOKUP(B70,'Base stats'!B:B,'Base stats'!Y:Y)="Dendrovore","VegetarianRoughAnimal, DendrovoreAnimal",IF(_xlfn.XLOOKUP(B70,'Base stats'!B:B,'Base stats'!Y:Y)="Herbivore","VegetarianRoughAnimal",IF(_xlfn.XLOOKUP(B70,'Base stats'!B:B,'Base stats'!Y:Y)="OmnivoreRough","OmnivoreRoughAnimal, OvivoreAnimal","OmnivoreAnimal, OvivoreAnimal"))))))</f>
        <v>OmnivoreAnimal, OvivoreAnimal</v>
      </c>
      <c r="AZ70" s="2">
        <f>IF(_xlfn.XLOOKUP(_xlfn.XLOOKUP(B70,'Base stats'!B:B,'Base stats'!E:E),Groups!A:A,Groups!D:D)=1,MROUND((1-J70)*5+1,2)*IF(J70&lt;=0.4,2,1),"No")</f>
        <v>4</v>
      </c>
      <c r="BA70" s="2" t="str">
        <f>IF(AND(_xlfn.XLOOKUP(B70,'Base stats'!B:B,'Base stats'!AH:AH)="&lt;li&gt;Seal&lt;/li&gt;",G70="Odyssey"),"&lt;li&gt;AEXP_Seal&lt;/li&gt;",_xlfn.XLOOKUP(B70,'Base stats'!B:B,'Base stats'!AH:AH))</f>
        <v>&lt;li&gt;Cassowary&lt;/li&gt;</v>
      </c>
      <c r="BB70" s="2" t="str">
        <f>_xlfn.XLOOKUP(B70,'Base stats'!B:B,'Base stats'!AG:AG)</f>
        <v>No</v>
      </c>
      <c r="BC70" s="23" t="str">
        <f>_xlfn.XLOOKUP(_xlfn.XLOOKUP(B70,'Base stats'!B:B,'Base stats'!E:E),Groups!A:A,Groups!AL:AL)</f>
        <v>Bird</v>
      </c>
      <c r="BD70" s="23">
        <f>MIN(1,MROUND(IF(AND(AO70&lt;0.5,_xlfn.XLOOKUP(B70,'Base stats'!B:B,'Base stats'!AA:AA)=0),0,IF(OR(_xlfn.XLOOKUP(Animals!B70,'Base stats'!B:B,'Base stats'!O:O)=2,_xlfn.XLOOKUP(_xlfn.XLOOKUP(B70,'Base stats'!B:B,'Base stats'!E:E),Groups!A:A,Groups!AN:AN)=0),0,_xlfn.XLOOKUP(_xlfn.XLOOKUP(B70,'Base stats'!B:B,'Base stats'!E:E),Groups!A:A,Groups!AN:AN)/IF(_xlfn.XLOOKUP(Animals!B70,'Base stats'!B:B,'Base stats'!O:O)=1,2,1)))+_xlfn.XLOOKUP(B70,'Base stats'!B:B,'Base stats'!AC:AC),0.005))</f>
        <v>0</v>
      </c>
      <c r="BE70" s="23">
        <f>MIN(1,MROUND(IF(AND(AO70&lt;0.5,_xlfn.XLOOKUP(B70,'Base stats'!B:B,'Base stats'!AA:AA)=0),0,IF(_xlfn.XLOOKUP(_xlfn.XLOOKUP(B70,'Base stats'!B:B,'Base stats'!E:E),Groups!A:A,Groups!AO:AO)=0,0,_xlfn.XLOOKUP(_xlfn.XLOOKUP(B70,'Base stats'!B:B,'Base stats'!E:E),Groups!A:A,Groups!AO:AO)/IF(_xlfn.XLOOKUP(Animals!B70,'Base stats'!B:B,'Base stats'!O:O)=2,3,1)))+_xlfn.XLOOKUP(B70,'Base stats'!B:B,'Base stats'!AD:AD),0.005))</f>
        <v>0</v>
      </c>
      <c r="BF70" s="2" t="str">
        <f>IF(J70&gt;0.3,"No",_xlfn.XLOOKUP(_xlfn.XLOOKUP(Animals!B70,'Base stats'!B:B,'Base stats'!E:E),Groups!A:A,Groups!AP:AP))</f>
        <v>No</v>
      </c>
      <c r="BG70" s="2" t="str">
        <f>IF(AND(J70&lt;=0.65,_xlfn.XLOOKUP(_xlfn.XLOOKUP(Animals!B70,'Base stats'!B:B,'Base stats'!E:E),Groups!A:A,Groups!AP:AP)&lt;&gt;"No",_xlfn.XLOOKUP(_xlfn.XLOOKUP(B70,'Base stats'!B:B,'Base stats'!E:E),Groups!A:A,Groups!D:D)=0),MROUND((80/3)*IF(_xlfn.XLOOKUP(B70,'Base stats'!B:B,'Base stats'!O:O)=2,0.2,AO70) + 24*(1-IF(BF70="No",0,BF70)) + 16/3, 12),"No")</f>
        <v>No</v>
      </c>
      <c r="BH70" s="2">
        <f>IF(AND(_xlfn.XLOOKUP(_xlfn.XLOOKUP(B70,'Base stats'!B:B,'Base stats'!E:E),Groups!A:A,Groups!AQ:AQ)=1,AO70&lt;=0.35),8,12)</f>
        <v>12</v>
      </c>
      <c r="BI70" s="2" t="str">
        <f>IF(_xlfn.XLOOKUP(_xlfn.XLOOKUP(B70,'Base stats'!B:B,'Base stats'!E:E),Groups!A:A,Groups!D:D)=0,_xlfn.XLOOKUP(_xlfn.XLOOKUP(B70,'Base stats'!B:B,'Base stats'!E:E),Groups!A:A,Groups!AR:AR),"None")</f>
        <v>None</v>
      </c>
      <c r="BJ70" s="2" t="str">
        <f>IF(AND(_xlfn.XLOOKUP(_xlfn.XLOOKUP(B70,'Base stats'!B:B,'Base stats'!E:E),Groups!A:A,Groups!AS:AS)=1,OR(_xlfn.XLOOKUP(B70,'Base stats'!B:B,'Base stats'!Y:Y)="Carnivore",_xlfn.XLOOKUP(B70,'Base stats'!B:B,'Base stats'!Y:Y)="Omnivore")),"true","false")</f>
        <v>false</v>
      </c>
      <c r="BK70" s="2" t="str">
        <f>IF(BJ70="true",MROUND(IF(AND(AO70&gt;0.5,OR(_xlfn.XLOOKUP(_xlfn.XLOOKUP(B70,'Base stats'!B:B,'Base stats'!E:E),Groups!A:A,Groups!AJ:AJ)="Photonozoa",_xlfn.XLOOKUP(_xlfn.XLOOKUP(B70,'Base stats'!B:B,'Base stats'!E:E),Groups!A:A,Groups!AJ:AJ)="Mammal")),Animals!AO70*1.75*IF(AW70="true",1.5,1),IF(AO70&lt;0.5,Animals!AO70*0.5,Animals!AO70)),IF(AO70&gt;2,0.5,IF(AO70&gt;0.5,0.25,0.1))),"No")</f>
        <v>No</v>
      </c>
      <c r="BL70" s="2">
        <f t="shared" si="10"/>
        <v>0</v>
      </c>
      <c r="BM70" s="25" t="str">
        <f>IF(_xlfn.XLOOKUP(B70,'Base stats'!B:B,'Base stats'!AN:AN)="Standard","No",MROUND((_xlfn.XLOOKUP(B70,'Base stats'!B:B,'Base stats'!AN:AN)/3.6)/I70,0.1))</f>
        <v>No</v>
      </c>
      <c r="BN70" s="25" t="str">
        <f t="shared" si="11"/>
        <v>true</v>
      </c>
      <c r="BO70" s="25" t="str">
        <f>IF(AND(OR(_xlfn.XLOOKUP(B70,'Base stats'!B:B,'Base stats'!Y:Y)="Carnivore",_xlfn.XLOOKUP(B70,'Base stats'!B:B,'Base stats'!Y:Y)="Omnivore",_xlfn.XLOOKUP(B70,'Base stats'!B:B,'Base stats'!Y:Y)="OmnivoreRough"),_xlfn.XLOOKUP(_xlfn.XLOOKUP(B70,'Base stats'!B:B,'Base stats'!E:E),Groups!A:A,Groups!AT:AT)=1),"true","false")</f>
        <v>true</v>
      </c>
      <c r="BP70" s="25" t="str" cm="1">
        <f t="array" ref="BP70">IF(
  _xlfn.TEXTJOIN(", ",TRUE,
    IF(AND(BJ70="true",AO70&gt;0.5,BI70&lt;&gt;"None"),"AttackTarget",""),
    IF(AND(_xlfn.XLOOKUP(_xlfn.XLOOKUP(B70,'Base stats'!B:B,'Base stats'!E:E),Groups!A:A,Groups!AJ:AJ="Mammal"),OR(_xlfn.XLOOKUP(B70,'Base stats'!B:B,'Base stats'!Y:Y)="Omnivore",_xlfn.XLOOKUP(B70,'Base stats'!B:B,'Base stats'!Y:Y)="OmnivoreRough")),"Forage",""),
    IF(BG70&lt;=36,"Comfort",""),
    IF(_xlfn.XLOOKUP(B70,'Base stats'!B:B,'Base stats'!AE:AE)&lt;&gt;"No",_xlfn.XLOOKUP(B70,'Base stats'!B:B,'Base stats'!AE:AE),"")
  ) = "",
  "No",
  _xlfn.TEXTJOIN(", ",TRUE,
    IF(AND(BJ70="true",AO70&gt;0.5,BI70&lt;&gt;"None"),"AttackTarget",""),
    IF(AND(_xlfn.XLOOKUP(_xlfn.XLOOKUP(B70,'Base stats'!B:B,'Base stats'!E:E),Groups!A:A,Groups!AJ:AJ="Mammal"),OR(_xlfn.XLOOKUP(B70,'Base stats'!B:B,'Base stats'!Y:Y)="Omnivore",_xlfn.XLOOKUP(B70,'Base stats'!B:B,'Base stats'!Y:Y)="OmnivoreRough")),"Forage",""),
    IF(BG70&lt;=36,"Comfort",""),
    IF(_xlfn.XLOOKUP(B70,'Base stats'!B:B,'Base stats'!AE:AE)&lt;&gt;"No",_xlfn.XLOOKUP(B70,'Base stats'!B:B,'Base stats'!AE:AE),"")
  )
)</f>
        <v>No</v>
      </c>
      <c r="BQ70" s="25">
        <f>IF(
   AND(
      'Base stats'!AN70="Standard",_xlfn.XLOOKUP(_xlfn.XLOOKUP(B70,'Base stats'!B:B,'Base stats'!E:E),Groups!A:A,Groups!AU:AU)=0,
      OR(
      BO70="True"
      )
   ),
   10,
   IF(
       OR(BM70&lt;&gt;"No",_xlfn.XLOOKUP(_xlfn.XLOOKUP(B70,'Base stats'!B:B,'Base stats'!E:E),Groups!A:A,Groups!AU:AU)=1),
      1,
      "No"
   )
)</f>
        <v>1</v>
      </c>
      <c r="BR70" s="9">
        <f>MROUND((1 + ((0.2*IF(OR(Q70="No",R70="No",R70=0),0,Q70/R70)
+IF(OR(V70="No",S70="No",T70="No"),0,S70/T70*(LEN(V70)-LEN(SUBSTITUTE(V70,",",""))+1))
+IF(OR(X70="No",Y70="No"),0,X70/Y70)
+IF(OR(AD70="No",AE70="No"),0,AD70/AE70)
+IF(OR(AL70="No",AI70="No",AJ70="No"),0,AI70/AJ70*(LEN(AL70)-LEN(SUBSTITUTE(AL70,",",""))+1))
)/(0.2*IF(OR(Q70="No",R70="No",R70=0),0,1)
+IF(OR(V70="No",S70="No",T70="No"),0,LEN(V70)-LEN(SUBSTITUTE(V70,",",""))+1)
+IF(OR(X70="No",Y70="No"),0,1)
+IF(OR(AD70="No",AE70="No"),0,1)
+IF(OR(AL70="No",AI70="No",AJ70="No"),0,LEN(AL70)-LEN(SUBSTITUTE(AL70,",",""))+1))*62%)* 2)*(1 + (AP70 / (IF(_xlfn.XLOOKUP(_xlfn.XLOOKUP(B70,'Base stats'!B:B,'Base stats'!E:E),Groups!A:A,Groups!AJ:AJ)="Photonozoa",0.3,1)) + _xlfn.XLOOKUP(B70,'Base stats'!B:B,'Base stats'!AV:AV) * 1.8) * 2) * 2.5 + 10 + I70 * 2,5)+IF(_xlfn.XLOOKUP(B70,'Base stats'!B:B,'Base stats'!AK:AK)=1,50,0)</f>
        <v>30</v>
      </c>
      <c r="BS70" s="8">
        <f t="shared" si="12"/>
        <v>0.35000000000000003</v>
      </c>
      <c r="BT70" s="8" t="str">
        <f>_xlfn.XLOOKUP(B70,'Base stats'!B:B,'Base stats'!AF:AF)</f>
        <v>5~15</v>
      </c>
      <c r="BU70" s="2" t="str">
        <f>IF(AND(J70&lt;=0.95,OR(_xlfn.XLOOKUP(B70,'Base stats'!B:B,'Base stats'!AK:AK)=1,_xlfn.XLOOKUP(B70,'Base stats'!B:B,'Base stats'!Y:Y)="Carnivore",_xlfn.XLOOKUP(B70,'Base stats'!B:B,'Base stats'!Y:Y)="Omnivore",BE70&gt;0.1)),"true","false")</f>
        <v>true</v>
      </c>
      <c r="BV70" s="2" t="str">
        <f>IF(_xlfn.XLOOKUP(B70,'Base stats'!B:B,'Base stats'!AI:AI)=1,"true","false")</f>
        <v>false</v>
      </c>
      <c r="BW70" s="25" t="str">
        <f>IF(E70="BaseInsect","AnimalInsect",
IF(J70&gt;0.95,"AnimalExotic",
_xlfn.TEXTJOIN(", ",TRUE,
IF(OR(_xlfn.XLOOKUP(B70,'Base stats'!B:B,'Base stats'!AM:AM)=1,AND(_xlfn.XLOOKUP(B70,'Base stats'!B:B,'Base stats'!O:O)=0,_xlfn.XLOOKUP(_xlfn.XLOOKUP(B70,'Base stats'!B:B,'Base stats'!E:E),Groups!A:A,Groups!B:B)&gt;0)),"AnimalUncommon","AnimalCommon"),
IF(AND(_xlfn.XLOOKUP(B70,'Base stats'!B:B,'Base stats'!O:O)=2,_xlfn.XLOOKUP(_xlfn.XLOOKUP(B70,'Base stats'!B:B,'Base stats'!E:E),Groups!A:A,Groups!D:D)=0),"AnimalPet",IF(AND(_xlfn.XLOOKUP(B70,'Base stats'!B:B,'Base stats'!O:O)&lt;&gt;0,_xlfn.XLOOKUP(_xlfn.XLOOKUP(B70,'Base stats'!B:B,'Base stats'!E:E),Groups!A:A,Groups!D:D)&lt;&gt;0),"AnimalFarm","")),
IF(OR(_xlfn.XLOOKUP(B70,'Base stats'!B:B,'Base stats'!AK:AK)=1,AND(BI70&lt;&gt;"None",BR70&gt;=60),ISNUMBER(SEARCH("Attack target",BP70))),"AnimalFighter","")
)))</f>
        <v>AnimalUncommon</v>
      </c>
      <c r="BX70" s="25" t="str">
        <f>IF(G70="None",TRIM(
SUBSTITUTE(
IF(COUNTIF(Biomes!B$2:B$259,"="&amp;$C70)&gt;0,Biomes!B$1&amp;", ","")&amp;
IF(COUNTIF(Biomes!C$2:C$259,"="&amp;$C70)&gt;0,Biomes!C$1&amp;", ","")&amp;
IF(COUNTIF(Biomes!D$2:D$259,"="&amp;$C70)&gt;0,Biomes!D$1&amp;", ","")&amp;
IF(COUNTIF(Biomes!F$2:F$259,"="&amp;$C70)&gt;0,Biomes!F$1&amp;", ","")&amp;
IF(COUNTIF(Biomes!G$2:G$259,"="&amp;$C70)&gt;0,Biomes!G$1&amp;", ","")&amp;
IF(COUNTIF(Biomes!H$2:H$259,"="&amp;$C70)&gt;0,Biomes!H$1&amp;", ","")&amp;
IF(COUNTIF(Biomes!I$2:I$259,"="&amp;$C70)&gt;0,Biomes!I$1&amp;", ","")&amp;
IF(COUNTIF(Biomes!J$2:J$259,"="&amp;$C70)&gt;0,Biomes!J$1&amp;", ","")&amp;
IF(COUNTIF(Biomes!M$2:M$259,"="&amp;$C70)&gt;0,Biomes!M$1&amp;", ","")&amp;
IF(COUNTIF(Biomes!N$2:N$259,"="&amp;$C70)&gt;0,Biomes!N$1&amp;", ","")&amp;
IF(COUNTIF(Biomes!O$2:O$259,"="&amp;$C70)&gt;0,Biomes!O$1&amp;", ","")&amp;
IF(COUNTIF(Biomes!P$2:P$259,"="&amp;$C70)&gt;0,Biomes!P$1&amp;", ","")&amp;
IF(COUNTIF(Biomes!K$2:K$259,"="&amp;$C70)&gt;0,Biomes!K$1&amp;", ","")&amp;
IF(COUNTIF(Biomes!Q$3:Q$259,"="&amp;$C70)&gt;0,Biomes!Q$1&amp;", ","")&amp;
IF(COUNTIF(Biomes!L$2:L$259,"="&amp;$C70)&gt;0,Biomes!L$1&amp;", ","")&amp;
IF(COUNTIF(Biomes!E$2:E$259,"="&amp;$C70)&gt;0,Biomes!E$1&amp;", ","")&amp;IF(COUNTIF(Biomes!S$2:S$259,"="&amp;$C70)&gt;0,Biomes!S$1&amp;", ","")&amp;
IF(COUNTIF(Biomes!R$2:R$259,"="&amp;$C70)&gt;0,Biomes!R$1&amp;", ",""),", ","")
),_xlfn.XLOOKUP(B70,B:B,BX:BX))</f>
        <v>TropicalSwamp</v>
      </c>
      <c r="BY70" s="25" t="str">
        <f>IF(_xlfn.XLOOKUP(B70,'Base stats'!B:B,'Base stats'!AJ:AJ)=1,"true","false")</f>
        <v>false</v>
      </c>
      <c r="BZ70" s="25">
        <f>IF(_xlfn.XLOOKUP(B70,'Base stats'!B:B,'Base stats'!N:N)=1,"No",MAX(0.001,MIN(MROUND(IF(AND(BJ70="True",CC70="False"),POWER(10,3.47*LOG10(_xlfn.XLOOKUP(B70,'Base stats'!B:B,'Base stats'!C:C)*1000)^-0.96),POWER(10,4.15*LOG10(_xlfn.XLOOKUP(B70,'Base stats'!B:B,'Base stats'!C:C)*1000)^-0.73))*IF(_xlfn.XLOOKUP(B70,'Base stats'!B:B,'Base stats'!AK:AK)=1,0.5,1)*IF(_xlfn.XLOOKUP(B70,'Base stats'!B:B,'Base stats'!AM:AM)=1,0.1,1)/100,IF(_xlfn.XLOOKUP(B70,'Base stats'!B:B,'Base stats'!AM:AM)=1,0.001,0.025)),0.5)))</f>
        <v>0.45</v>
      </c>
      <c r="CA70" s="25" t="str">
        <f>IF(P70="Standard","No",MAX(0.001,MIN(MROUND(IF(AND(BJ70="True",CC70="False"),POWER(10,3.47*LOG10(_xlfn.XLOOKUP(B70,'Base stats'!B:B,'Base stats'!C:C)*1000)^-0.96),POWER(10,4.15*LOG10(_xlfn.XLOOKUP(B70,'Base stats'!B:B,'Base stats'!C:C)*1000)^-0.73))*IF(_xlfn.XLOOKUP(B70,'Base stats'!B:B,'Base stats'!AM:AM)=1,0.1,1)*_xlfn.XLOOKUP(B70,'Base stats'!B:B,'Base stats'!R:R)/100,IF(_xlfn.XLOOKUP(B70,'Base stats'!B:B,'Base stats'!AM:AM)=1,0.001,0.025)),0.5)))</f>
        <v>No</v>
      </c>
      <c r="CB70" s="25" t="str">
        <f>IF(_xlfn.XLOOKUP(_xlfn.XLOOKUP(B70,'Base stats'!B:B,'Base stats'!E:E),Groups!A:A,Groups!AJ:AJ)="Mammal","True","False")</f>
        <v>False</v>
      </c>
      <c r="CC70" s="25" t="str">
        <f>IF(OR(_xlfn.XLOOKUP(_xlfn.XLOOKUP(B70,'Base stats'!B:B,'Base stats'!E:E),Groups!A:A,Groups!AJ:AJ)="Reptile",_xlfn.XLOOKUP(_xlfn.XLOOKUP(B70,'Base stats'!B:B,'Base stats'!E:E),Groups!A:A,Groups!AJ:AJ)="Amphibian",_xlfn.XLOOKUP(_xlfn.XLOOKUP(B70,'Base stats'!B:B,'Base stats'!E:E),Groups!A:A,Groups!AJ:AJ)="Invertebrate"),"True","False")</f>
        <v>False</v>
      </c>
      <c r="CD70" s="25" t="str">
        <f t="shared" si="13"/>
        <v>False</v>
      </c>
      <c r="CE70" s="25" t="str">
        <f>IF(_xlfn.XLOOKUP(_xlfn.XLOOKUP(B70,'Base stats'!B:B,'Base stats'!E:E),Groups!A:A,Groups!AX:AX),"True","False")</f>
        <v>False</v>
      </c>
      <c r="CF70" s="25" t="str">
        <f>IF(_xlfn.XLOOKUP(_xlfn.XLOOKUP(B70,'Base stats'!B:B,'Base stats'!E:E),Groups!A:A,Groups!AY:AY),"True","False")</f>
        <v>False</v>
      </c>
      <c r="CG70" s="25" t="str">
        <f>IF(_xlfn.XLOOKUP(_xlfn.XLOOKUP(B70,'Base stats'!B:B,'Base stats'!E:E),Groups!A:A,Groups!AW:AW),"True","False")</f>
        <v>False</v>
      </c>
      <c r="CH70" s="25" t="str">
        <f>IF(
OR(
_xlfn.XLOOKUP(_xlfn.XLOOKUP(B70,'Base stats'!B:B,'Base stats'!E:E),Groups!A:A,Groups!AZ:AZ)=0,
AND(
_xlfn.XLOOKUP(B70,'Base stats'!B:B,'Base stats'!Y:Y)&lt;&gt;"Carnivore",
_xlfn.XLOOKUP(B70,'Base stats'!B:B,'Base stats'!Y:Y)&lt;&gt;"Omnivore",
_xlfn.XLOOKUP(B70,'Base stats'!B:B,'Base stats'!Y:Y)&lt;&gt;"OmnivoreRough"
)
),
"No",
IF(
_xlfn.XLOOKUP(_xlfn.XLOOKUP(B70,'Base stats'!B:B,'Base stats'!E:E),Groups!A:A,Groups!AZ:AZ)=1,
"Flesh",
IF(
_xlfn.XLOOKUP(_xlfn.XLOOKUP(B70,'Base stats'!B:B,'Base stats'!E:E),Groups!A:A,Groups!AZ:AZ)=2,
"Bone",
""
)
)
)</f>
        <v>No</v>
      </c>
      <c r="CI70" s="25" t="str">
        <f>IF(_xlfn.XLOOKUP(_xlfn.XLOOKUP(B70,'Base stats'!B:B,'Base stats'!E:E),Groups!A:A,Groups!BB:BB),"True","False")</f>
        <v>True</v>
      </c>
      <c r="CJ70" s="25" t="str">
        <f>IF(_xlfn.XLOOKUP(_xlfn.XLOOKUP(B70,'Base stats'!B:B,'Base stats'!E:E),Groups!A:A,Groups!BA:BA),"True","False")</f>
        <v>False</v>
      </c>
    </row>
    <row r="71" spans="1:88" ht="16.5" thickTop="1" thickBot="1" x14ac:dyDescent="0.3">
      <c r="A71" s="26" t="str">
        <f>_xlfn.XLOOKUP(B71,'Base stats'!B:B,'Base stats'!A:A)</f>
        <v>Penguin</v>
      </c>
      <c r="B71" s="6" t="s">
        <v>181</v>
      </c>
      <c r="C71" s="28" t="s">
        <v>751</v>
      </c>
      <c r="D71" s="28" t="s">
        <v>870</v>
      </c>
      <c r="E71" s="28" t="s">
        <v>675</v>
      </c>
      <c r="F71" s="28" t="s">
        <v>676</v>
      </c>
      <c r="G71" s="28" t="s">
        <v>673</v>
      </c>
      <c r="H71" s="2">
        <f>MROUND((
  (IF(AND(_xlfn.XLOOKUP(B71,'Base stats'!B:B,'Base stats'!AL:AL)=0,BI71="None",_xlfn.XLOOKUP(_xlfn.XLOOKUP(B71,'Base stats'!B:B,'Base stats'!E:E),Groups!A:A,Groups!B:B)=0), (18 + BR71 * 2.7) * 0.5,
    IF(AND(_xlfn.XLOOKUP(B71,'Base stats'!B:B,'Base stats'!AL:AL)=0,OR(AO71&lt;0.55,AND(BI71="Intermediate",_xlfn.XLOOKUP(_xlfn.XLOOKUP(B71,'Base stats'!B:B,'Base stats'!E:E),Groups!A:A,Groups!B:B)&lt;2))), (18 + BR71 * 2.7),
      IF(OR(BI71="Advanced",_xlfn.XLOOKUP(B71,'Base stats'!B:B,'Base stats'!AL:AL)=1,_xlfn.XLOOKUP(_xlfn.XLOOKUP(B71,'Base stats'!B:B,'Base stats'!E:E),Groups!A:A,Groups!B:B)=2), (18 + BR71 * 2.7) + 250, (18 + BR71 * 2.7))
    )
  ))
  + AO71 * 80
  + IF(COUNTIF(EggMilk!K$2:K$998, A71) &gt; 0, 125, 0)
  + IF(COUNTIF(EggMilk!P$2:P$998, A71) &gt; 0, 90, 0)
  + IF(COUNTIF(EggMilk!A$2:A$998, A71) &gt; 0, 90, 0)
)
* (0.8 + 0.4 * J71)
* 0.75,25)</f>
        <v>225</v>
      </c>
      <c r="I71" s="2">
        <f>MROUND(ROUNDDOWN(_xlfn.XLOOKUP(B71,'Base stats'!B:B,'Base stats'!L:L)/3.6/(23.3/11),1),0.5)</f>
        <v>1.5</v>
      </c>
      <c r="J71" s="2">
        <f>IF(OR(_xlfn.XLOOKUP(B71,'Base stats'!B:B,'Base stats'!AB:AB)=1,_xlfn.XLOOKUP(_xlfn.XLOOKUP(B71,'Base stats'!B:B,'Base stats'!E:E),Groups!A:A,Groups!C:C)="Untamable"),1,IF(_xlfn.XLOOKUP(B71,'Base stats'!B:B,'Base stats'!AL:AL)=1,0.99,MIN(MROUND((1-0.6282*EXP(-0.459*AO71))*_xlfn.XLOOKUP(_xlfn.XLOOKUP(B71,'Base stats'!B:B,'Base stats'!E:E),Groups!A:A,Groups!C:C)*IF(_xlfn.XLOOKUP(B71,'Base stats'!B:B,'Base stats'!O:O)=1,0.5,IF(_xlfn.XLOOKUP(B71,'Base stats'!B:B,'Base stats'!O:O)=2,0,1)),0.05),IF(AO71&gt;3.5,0.985,0.95))))</f>
        <v>0.70000000000000007</v>
      </c>
      <c r="K71" s="2">
        <f>ROUNDUP(AO71*_xlfn.XLOOKUP(_xlfn.XLOOKUP(B71,'Base stats'!B:B,'Base stats'!E:E),Groups!A:A,Groups!E:E),0)</f>
        <v>8</v>
      </c>
      <c r="L71" s="2">
        <f>IF(OR(_xlfn.XLOOKUP(_xlfn.XLOOKUP(B71,'Base stats'!B:B,'Base stats'!E:E),Groups!A:A,Groups!F:F)=2,ISNUMBER(SEARCH("SeaIce",BX71)),ISNUMBER(SEARCH("IceSheet",BX71))),-50,IF(OR(ISNUMBER(SEARCH("GlacialPlain",BX71)),ISNUMBER(SEARCH("Tundra",BX71))),-40,IF(OR(ISNUMBER(SEARCH("Alpine",BX71)),ISNUMBER(SEARCH("BorealForest",BX71)),ISNUMBER(SEARCH("ColdBog",BX71))),-30,IF(OR(ISNUMBER(SEARCH("TemperateForest",BX71)),ISNUMBER(SEARCH("TemperateSwamp",BX71))),-20,IF(_xlfn.XLOOKUP(_xlfn.XLOOKUP(B71,'Base stats'!B:B,'Base stats'!E:E),Groups!A:A,Groups!F:F)=1,-15,IF(OR(ISNUMBER(SEARCH("Desert",BX71)),ISNUMBER(SEARCH("ExtremeDesert",BX71))),-10,IF(OR(ISNUMBER(SEARCH("Grasslands",BX71)),ISNUMBER(SEARCH("TropicalRainforest",BX71)),ISNUMBER(SEARCH("TropicalSwamp",BX71))),10,0)))))))-IF(CC71="False",MIN(IFERROR(MAX(MROUND(LOG10(_xlfn.XLOOKUP(B71,'Base stats'!B:B,'Base stats'!C:C)^(2/3))*10,5),5),5),30))-_xlfn.XLOOKUP(B71,'Base stats'!B:B,'Base stats'!P:P)+IF(CC71="True",5,0)</f>
        <v>-60</v>
      </c>
      <c r="M71" s="2">
        <f>IF(OR(_xlfn.XLOOKUP(_xlfn.XLOOKUP(B71,'Base stats'!B:B,'Base stats'!E:E),Groups!A:A,Groups!G:G)=2,ISNUMBER(SEARCH("Desert",BX71)),ISNUMBER(SEARCH("ExtremeDesert",BX71)),ISNUMBER(SEARCH("LavaField",BX71))),50,IF(ISNUMBER(SEARCH("Grasslands",BX71)),45,IF(OR(_xlfn.XLOOKUP(_xlfn.XLOOKUP(B71,'Base stats'!B:B,'Base stats'!E:E),Groups!A:A,Groups!G:G)=1,ISNUMBER(SEARCH("TropicalRainforest",BX71)),ISNUMBER(SEARCH("TropicalSwamp",BX71))),40,IF(OR(ISNUMBER(SEARCH("TemperateForest",BX71)),ISNUMBER(SEARCH("TemperateSwamp",BX71))),35,IF(OR(ISNUMBER(SEARCH("Alpine",BX71)),ISNUMBER(SEARCH("BorealForest",BX71)),ISNUMBER(SEARCH("ColdBog",BX71))),30,IF(ISNUMBER(OR(ISNUMBER(SEARCH("GlacialPlain",BX71)),SEARCH("Tundra",BX71))),25,IF(OR(ISNUMBER(SEARCH("SeaIce",BX71)),ISNUMBER(SEARCH("IceSheet",BX71)),ISNUMBER(SEARCH("TropicalSwamp",BX71))),10,35)))))))+_xlfn.XLOOKUP(B71,'Base stats'!B:B,'Base stats'!Q:Q)</f>
        <v>10</v>
      </c>
      <c r="N71" s="8" t="str">
        <f>IF(
_xlfn.XLOOKUP(
_xlfn.XLOOKUP(B71,'Base stats'!B:B,'Base stats'!E:E),
Groups!A:A,
Groups!L:L
)=1,
MIN(
MROUND(
IF(
_xlfn.XLOOKUP(B71,'Animals CE'!B:B,'Animals CE'!Z:Z)&lt;=1.5,
_xlfn.XLOOKUP(B71,'Animals CE'!B:B,'Animals CE'!Z:Z)/2+0.05,
0.8+
(_xlfn.XLOOKUP(B71,'Animals CE'!B:B,'Animals CE'!Z:Z)-1.5)
*0.02
),
0.05
),
200%
),
"No"
)</f>
        <v>No</v>
      </c>
      <c r="O71" s="8" t="str">
        <f>IF(
_xlfn.XLOOKUP(
_xlfn.XLOOKUP(B71,'Base stats'!B:B,'Base stats'!E:E),
Groups!A:A,
Groups!L:L
)=1,
MIN(
MROUND(
IF(
_xlfn.XLOOKUP(B71,'Animals CE'!B:B,'Animals CE'!AA:AA)&lt;=1.5,
_xlfn.XLOOKUP(B71,'Animals CE'!B:B,'Animals CE'!AA:AA)/2+0.05,
0.8+
(_xlfn.XLOOKUP(B71,'Animals CE'!B:B,'Animals CE'!AA:AA)-1.5)
*0.02
),
0.05
),
200%
),
"No"
)</f>
        <v>No</v>
      </c>
      <c r="P71" s="2" t="str">
        <f>_xlfn.XLOOKUP(B71,'Base stats'!B:B,'Base stats'!R:R)</f>
        <v>Standard</v>
      </c>
      <c r="Q71" s="13">
        <f>MROUND((LOG10(_xlfn.XLOOKUP(B71,'Base stats'!B:B,'Base stats'!AR:AR))*(AO71^0.5)+(_xlfn.XLOOKUP(B71,'Base stats'!B:B,'Base stats'!AR:AR)/1000)^(2/3)+_xlfn.XLOOKUP(B71,'Base stats'!B:B,'Base stats'!BA:BA)/2)+0.5,0.5)</f>
        <v>5.5</v>
      </c>
      <c r="R71" s="7">
        <f>IF(Q71="No","No",MAX(1,MROUND(_xlfn.XLOOKUP(B71,'Base stats'!B:B,'Base stats'!C:C)^0.165,0.05)))</f>
        <v>1.75</v>
      </c>
      <c r="S71" s="13" t="str">
        <f>IF(_xlfn.XLOOKUP(_xlfn.XLOOKUP(B71,'Base stats'!B:B,'Base stats'!E:E),Groups!A:A,Groups!P:P)=0,"No",MROUND((LOG10(_xlfn.XLOOKUP(B71,'Base stats'!B:B,'Base stats'!AS:AS))*(AO71^0.5)+(_xlfn.XLOOKUP(B71,'Base stats'!B:B,'Base stats'!AS:AS)/1000)^(2/3)+_xlfn.XLOOKUP(B71,'Base stats'!B:B,'Base stats'!BA:BA))+_xlfn.XLOOKUP(B71,'Base stats'!B:B,'Base stats'!AY:AY)+0.5,0.5))</f>
        <v>No</v>
      </c>
      <c r="T71" s="7" t="str">
        <f>IF(S71="No","No",MAX(_xlfn.XLOOKUP(_xlfn.XLOOKUP(B71,'Base stats'!B:B,'Base stats'!E:E),Groups!A:A,Groups!Q:Q),MROUND(_xlfn.XLOOKUP(_xlfn.XLOOKUP(B71,'Base stats'!B:B,'Base stats'!E:E),Groups!A:A,Groups!Q:Q)*_xlfn.XLOOKUP(B71,'Base stats'!B:B,'Base stats'!C:C)^0.165,0.05)))</f>
        <v>No</v>
      </c>
      <c r="U71" s="7" t="str">
        <f>IF(S71="No","No",_xlfn.XLOOKUP(_xlfn.XLOOKUP(B71,'Base stats'!B:B,'Base stats'!E:E),Groups!A:A,Groups!R:R))</f>
        <v>No</v>
      </c>
      <c r="V71" s="7" t="str">
        <f>IF(S71="No","No",_xlfn.XLOOKUP(_xlfn.XLOOKUP(B71,'Base stats'!B:B,'Base stats'!E:E),Groups!A:A,Groups!S:S))</f>
        <v>No</v>
      </c>
      <c r="W71" s="7" t="str">
        <f>IF(S71="No","No",_xlfn.XLOOKUP(_xlfn.XLOOKUP(B71,'Base stats'!B:B,'Base stats'!E:E),Groups!A:A,Groups!T:T))</f>
        <v>No</v>
      </c>
      <c r="X71" s="13" t="str">
        <f>IF(_xlfn.XLOOKUP(B71,'Base stats'!B:B,'Base stats'!W:W)="No","No",MROUND((LOG10(_xlfn.XLOOKUP(B71,'Base stats'!B:B,'Base stats'!AU:AU))*(AO71^0.5)+(_xlfn.XLOOKUP(B71,'Base stats'!B:B,'Base stats'!AU:AU)/1000)^(2/3)+_xlfn.XLOOKUP(B71,'Base stats'!B:B,'Base stats'!AZ:AZ))+0.5+IF(_xlfn.XLOOKUP(_xlfn.XLOOKUP(B71,'Base stats'!B:B,'Base stats'!E:E),Groups!A:A,Groups!U:U)&lt;&gt;3,_xlfn.XLOOKUP(B71,'Base stats'!B:B,'Base stats'!BA:BA),0),0.5))</f>
        <v>No</v>
      </c>
      <c r="Y71" s="7" t="str">
        <f>IF(X71="No","No",MAX(_xlfn.XLOOKUP(_xlfn.XLOOKUP(B71,'Base stats'!B:B,'Base stats'!E:E),Groups!A:A,Groups!V:V),MROUND(_xlfn.XLOOKUP(_xlfn.XLOOKUP(B71,'Base stats'!B:B,'Base stats'!E:E),Groups!A:A,Groups!V:V)*_xlfn.XLOOKUP(B71,'Base stats'!B:B,'Base stats'!C:C)^0.165,0.05)))</f>
        <v>No</v>
      </c>
      <c r="Z71" s="7" t="str">
        <f>IF(X71="No","No",_xlfn.XLOOKUP(_xlfn.XLOOKUP(B71,'Base stats'!B:B,'Base stats'!E:E),Groups!A:A,Groups!W:W))</f>
        <v>No</v>
      </c>
      <c r="AA71" s="7" t="str">
        <f>IF(X71="No","No",_xlfn.XLOOKUP(_xlfn.XLOOKUP(B71,'Base stats'!B:B,'Base stats'!E:E),Groups!A:A,Groups!X:X))</f>
        <v>No</v>
      </c>
      <c r="AB71" s="7" t="str">
        <f>IF(X71="No","No",_xlfn.XLOOKUP(_xlfn.XLOOKUP(B71,'Base stats'!B:B,'Base stats'!E:E),Groups!A:A,Groups!Y:Y))</f>
        <v>No</v>
      </c>
      <c r="AC71" s="7" t="str">
        <f>_xlfn.XLOOKUP(Animals!B71,'Base stats'!B:B,'Base stats'!X:X)</f>
        <v>False</v>
      </c>
      <c r="AD71" s="13">
        <f>IF(_xlfn.XLOOKUP(B71,'Base stats'!B:B,'Base stats'!AT:AT)="No","No",MROUND((LOG10(_xlfn.XLOOKUP(B71,'Base stats'!B:B,'Base stats'!AT:AT))*(AO71^0.75)+(_xlfn.XLOOKUP(B71,'Base stats'!B:B,'Base stats'!AT:AT)/1000)^(2/3)+_xlfn.XLOOKUP(B71,'Base stats'!B:B,'Base stats'!AX:AX)+_xlfn.XLOOKUP(B71,'Base stats'!B:B,'Base stats'!BA:BA))+0.5,0.5))</f>
        <v>5.5</v>
      </c>
      <c r="AE71" s="7">
        <f>IF(AD71="No","No",MAX(_xlfn.XLOOKUP(_xlfn.XLOOKUP(B71,'Base stats'!B:B,'Base stats'!E:E),Groups!A:A,Groups!Z:Z),MROUND(_xlfn.XLOOKUP(_xlfn.XLOOKUP(B71,'Base stats'!B:B,'Base stats'!E:E),Groups!A:A,Groups!Z:Z)*_xlfn.XLOOKUP(B71,'Base stats'!B:B,'Base stats'!C:C)^0.165,0.05)))</f>
        <v>1.4000000000000001</v>
      </c>
      <c r="AF71" s="7" t="str">
        <f>IF(AD71="No","No",_xlfn.XLOOKUP(_xlfn.XLOOKUP(B71,'Base stats'!B:B,'Base stats'!E:E),Groups!A:A,Groups!AA:AA))</f>
        <v>Beak</v>
      </c>
      <c r="AG71" s="7" t="str">
        <f>IF(AD71="No","No",_xlfn.XLOOKUP(_xlfn.XLOOKUP(B71,'Base stats'!B:B,'Base stats'!E:E),Groups!A:A,Groups!AB:AB))</f>
        <v>beak</v>
      </c>
      <c r="AH71" s="7" t="str">
        <f>IF(AD71="No","No",_xlfn.XLOOKUP(_xlfn.XLOOKUP(B71,'Base stats'!B:B,'Base stats'!E:E),Groups!A:A,Groups!AC:AC))</f>
        <v>Blunt</v>
      </c>
      <c r="AI71" s="13" t="str">
        <f>IF(_xlfn.XLOOKUP(_xlfn.XLOOKUP(B71,'Base stats'!B:B,'Base stats'!E:E),Groups!A:A,Groups!AD:AD)=0,"No",MROUND((LOG10(_xlfn.XLOOKUP(B71,'Base stats'!B:B,'Base stats'!AS:AS))*(AO71^0.75)+(_xlfn.XLOOKUP(B71,'Base stats'!B:B,'Base stats'!AS:AS)/1000)^(2/3)+_xlfn.XLOOKUP(B71,'Base stats'!B:B,'Base stats'!AY:AY)+_xlfn.XLOOKUP(B71,'Base stats'!B:B,'Base stats'!BA:BA))+0.5,0.5))</f>
        <v>No</v>
      </c>
      <c r="AJ71" s="7" t="str">
        <f>IF(AI71="No","No",MAX(_xlfn.XLOOKUP(_xlfn.XLOOKUP(B71,'Base stats'!B:B,'Base stats'!E:E),Groups!A:A,Groups!AE:AE),MROUND(_xlfn.XLOOKUP(_xlfn.XLOOKUP(B71,'Base stats'!B:B,'Base stats'!E:E),Groups!A:A,Groups!AE:AE)*IF(_xlfn.XLOOKUP(_xlfn.XLOOKUP(B71,'Base stats'!B:B,'Base stats'!E:E),Groups!A:A,Groups!AJ:AJ)="Photonozoa",0.6,1)*_xlfn.XLOOKUP(B71,'Base stats'!B:B,'Base stats'!C:C)^0.165,0.05)))</f>
        <v>No</v>
      </c>
      <c r="AK71" s="7" t="str">
        <f>IF(AI71="No","No",_xlfn.XLOOKUP(_xlfn.XLOOKUP(B71,'Base stats'!B:B,'Base stats'!E:E),Groups!A:A,Groups!AF:AF))</f>
        <v>No</v>
      </c>
      <c r="AL71" s="7" t="str">
        <f>IF(AI71="No","No",_xlfn.XLOOKUP(_xlfn.XLOOKUP(B71,'Base stats'!B:B,'Base stats'!E:E),Groups!A:A,Groups!AG:AG))</f>
        <v>No</v>
      </c>
      <c r="AM71" s="7" t="str">
        <f>IF(AI71="No","No",_xlfn.XLOOKUP(_xlfn.XLOOKUP(B71,'Base stats'!B:B,'Base stats'!E:E),Groups!A:A,Groups!AH:AH))</f>
        <v>No</v>
      </c>
      <c r="AN71" s="2" t="str">
        <f t="shared" si="7"/>
        <v>No</v>
      </c>
      <c r="AO71" s="2">
        <f>MROUND(IF(AND(_xlfn.XLOOKUP(B71,'Base stats'!B:B,'Base stats'!C:C)&gt;=0.5,_xlfn.XLOOKUP(B71,'Base stats'!B:B,'Base stats'!C:C)&lt;=0.8),
IF(_xlfn.XLOOKUP(B71,'Base stats'!B:B,'Base stats'!C:C)&lt;0.1,0.05,IF(_xlfn.XLOOKUP(B71,'Base stats'!B:B,'Base stats'!C:C)&lt;=70,(_xlfn.XLOOKUP(B71,'Base stats'!B:B,'Base stats'!C:C)/70)^0.426489913056526,IF(_xlfn.XLOOKUP(B71,'Base stats'!B:B,'Base stats'!C:C)&lt;=400,(_xlfn.XLOOKUP(B71,'Base stats'!B:B,'Base stats'!C:C)/70)^0.572811455315093,IF(_xlfn.XLOOKUP(B71,'Base stats'!B:B,'Base stats'!C:C)&lt;=2000,2.71391647193063*(_xlfn.XLOOKUP(B71,'Base stats'!B:B,'Base stats'!C:C)/400)^0.252459582904293,3.74314280240376*(_xlfn.XLOOKUP(B71,'Base stats'!B:B,'Base stats'!C:C)/2000)^0.357012633876913)))),
IF(_xlfn.XLOOKUP(B71,'Base stats'!B:B,'Base stats'!C:C)&lt;0.1,0.05,IF(_xlfn.XLOOKUP(B71,'Base stats'!B:B,'Base stats'!C:C)&lt;0.4,0.1,IF(_xlfn.XLOOKUP(B71,'Base stats'!B:B,'Base stats'!C:C)&lt;=70,(_xlfn.XLOOKUP(B71,'Base stats'!B:B,'Base stats'!C:C)/70)^0.445823913056526,IF(_xlfn.XLOOKUP(B71,'Base stats'!B:B,'Base stats'!C:C)&lt;=400,(_xlfn.XLOOKUP(B71,'Base stats'!B:B,'Base stats'!C:C)/70)^0.572811455315093,IF(_xlfn.XLOOKUP(B71,'Base stats'!B:B,'Base stats'!C:C)&lt;=2000,2.71391647193063*(_xlfn.XLOOKUP(B71,'Base stats'!B:B,'Base stats'!C:C)/400)^0.252459582904293,3.74314280240376*(_xlfn.XLOOKUP(B71,'Base stats'!B:B,'Base stats'!C:C)/2000)^0.357012633876913)))))),
IF(_xlfn.XLOOKUP(B71,'Base stats'!B:B,'Base stats'!C:C)&lt;0.1,0.05,IF(_xlfn.XLOOKUP(B71,'Base stats'!B:B,'Base stats'!C:C)&lt;=100,0.05,IF(_xlfn.XLOOKUP(B71,'Base stats'!B:B,'Base stats'!C:C)&lt;=250,0.1,IF(_xlfn.XLOOKUP(B71,'Base stats'!B:B,'Base stats'!C:C)&lt;=4000,0.25,0.5)))))</f>
        <v>0.70000000000000007</v>
      </c>
      <c r="AP71" s="8">
        <f>MROUND(AO71*_xlfn.XLOOKUP(_xlfn.XLOOKUP(B71,'Base stats'!B:B,'Base stats'!E:E),Groups!A:A,Groups!AI:AI)*_xlfn.XLOOKUP(B71,'Base stats'!B:B,'Base stats'!Z:Z),0.05)</f>
        <v>0.70000000000000007</v>
      </c>
      <c r="AQ71" s="8">
        <f>MAX(0.01,MROUND(IF(CC71="True",0.196*(AO71*100*1000)^0.889,IF(_xlfn.XLOOKUP(_xlfn.XLOOKUP(B71,'Base stats'!B:B,'Base stats'!E:E),Groups!A:A,Groups!AJ:AJ)="Bird",10.5*(AO71*100*1000)^0.681,4.82*(AO71*100*1000)^0.734))/(4.82*(1*100*1000)^0.734)/IF(AO71&lt;3.5,2,IF(AO71=3.5,1.5,1.25))*(1+0.132282374779864/(AO71^0.994035016789033+0.00905238001496948)),0.05))</f>
        <v>0.55000000000000004</v>
      </c>
      <c r="AR71" s="9">
        <f>IFERROR(MROUND(_xlfn.XLOOKUP(B71,'Base stats'!B:B,'Base stats'!H:H)/IF(_xlfn.XLOOKUP(B71,'Base stats'!B:B,'Base stats'!I:I)&lt;&gt;1,(122.5/70),1.2),IF(_xlfn.XLOOKUP(B71,'Base stats'!B:B,'Base stats'!H:H)&gt;=30,5,IF(_xlfn.XLOOKUP(B71,'Base stats'!B:B,'Base stats'!H:H)&gt;=15,3,IF(_xlfn.XLOOKUP(B71,'Base stats'!B:B,'Base stats'!H:H)&gt;=10,2,1)))),"Immortal")</f>
        <v>25</v>
      </c>
      <c r="AS71" s="35" t="str">
        <f>IFERROR(IF(OR(_xlfn.XLOOKUP(B71,'Base stats'!B:B,'Base stats'!F:F)="Atypical reproduction",_xlfn.XLOOKUP(B71,'Base stats'!B:B,'Base stats'!F:F)="Lay eggs"),"Lay eggs",MIN(20,MAX(5.5,ROUND(((_xlfn.XLOOKUP(B71,'Base stats'!B:B,'Base stats'!F:F)-25)*(14.5/615) + 5.5)*2,0)/2))),"Unknown")</f>
        <v>Lay eggs</v>
      </c>
      <c r="AT71" s="8">
        <f>IF(_xlfn.XLOOKUP(B71,'Base stats'!B:B,'Base stats'!G:G)="Atypical reproduction","No",IFERROR(MAX(IF(_xlfn.XLOOKUP(B71,'Base stats'!B:B,'Base stats'!G:G)&lt;0.5,0.2,0.3),MROUND(_xlfn.XLOOKUP(B71,'Base stats'!B:B,'Base stats'!G:G)/(365/60),0.2)),"Unknown"))</f>
        <v>0.8</v>
      </c>
      <c r="AU71" s="8">
        <f t="shared" si="8"/>
        <v>0.4</v>
      </c>
      <c r="AV71" s="8" t="str">
        <f>IFERROR(IFERROR(MROUND(_xlfn.XLOOKUP(B71,'Base stats'!B:B,'Base stats'!J:J),0.1),"Lay eggs"),"Cannot breed")</f>
        <v>Lay eggs</v>
      </c>
      <c r="AW71" s="2" t="str">
        <f t="shared" si="9"/>
        <v>true</v>
      </c>
      <c r="AX71" s="2" t="str">
        <f>IF(_xlfn.XLOOKUP(_xlfn.XLOOKUP(Animals!B71,'Base stats'!B:B,'Base stats'!E:E),Groups!A:A,Groups!AK:AK)=1,"true","false")</f>
        <v>false</v>
      </c>
      <c r="AY71" s="25" t="str">
        <f>IF(_xlfn.XLOOKUP(B71,'Base stats'!B:B,'Base stats'!Y:Y)="Liquor","Liquor, CarnivoreAnimalStrict",IF(AND(_xlfn.XLOOKUP(B71,'Base stats'!B:B,'Base stats'!Y:Y)="Carnivore",_xlfn.XLOOKUP(_xlfn.XLOOKUP(B71,'Base stats'!B:B,'Base stats'!E:E),Groups!A:A,Groups!AJ:AJ)="Photonozoa"),"CarnivoreAnimalStrict, OvivoreAnimal",IF(_xlfn.XLOOKUP(B71,'Base stats'!B:B,'Base stats'!Y:Y)="Carnivore","CarnivoreAnimal, OvivoreAnimal",IF(_xlfn.XLOOKUP(B71,'Base stats'!B:B,'Base stats'!Y:Y)="Dendrovore","VegetarianRoughAnimal, DendrovoreAnimal",IF(_xlfn.XLOOKUP(B71,'Base stats'!B:B,'Base stats'!Y:Y)="Herbivore","VegetarianRoughAnimal",IF(_xlfn.XLOOKUP(B71,'Base stats'!B:B,'Base stats'!Y:Y)="OmnivoreRough","OmnivoreRoughAnimal, OvivoreAnimal","OmnivoreAnimal, OvivoreAnimal"))))))</f>
        <v>CarnivoreAnimal, OvivoreAnimal</v>
      </c>
      <c r="AZ71" s="2">
        <f>IF(_xlfn.XLOOKUP(_xlfn.XLOOKUP(B71,'Base stats'!B:B,'Base stats'!E:E),Groups!A:A,Groups!D:D)=1,MROUND((1-J71)*5+1,2)*IF(J71&lt;=0.4,2,1),"No")</f>
        <v>2</v>
      </c>
      <c r="BA71" s="2" t="str">
        <f>IF(AND(_xlfn.XLOOKUP(B71,'Base stats'!B:B,'Base stats'!AH:AH)="&lt;li&gt;Seal&lt;/li&gt;",G71="Odyssey"),"&lt;li&gt;AEXP_Seal&lt;/li&gt;",_xlfn.XLOOKUP(B71,'Base stats'!B:B,'Base stats'!AH:AH))</f>
        <v>&lt;li&gt;Cassowary&lt;/li&gt;</v>
      </c>
      <c r="BB71" s="2" t="str">
        <f>_xlfn.XLOOKUP(B71,'Base stats'!B:B,'Base stats'!AG:AG)</f>
        <v>Leather_Bird</v>
      </c>
      <c r="BC71" s="23" t="str">
        <f>_xlfn.XLOOKUP(_xlfn.XLOOKUP(B71,'Base stats'!B:B,'Base stats'!E:E),Groups!A:A,Groups!AL:AL)</f>
        <v>Bird</v>
      </c>
      <c r="BD71" s="23">
        <f>MIN(1,MROUND(IF(AND(AO71&lt;0.5,_xlfn.XLOOKUP(B71,'Base stats'!B:B,'Base stats'!AA:AA)=0),0,IF(OR(_xlfn.XLOOKUP(Animals!B71,'Base stats'!B:B,'Base stats'!O:O)=2,_xlfn.XLOOKUP(_xlfn.XLOOKUP(B71,'Base stats'!B:B,'Base stats'!E:E),Groups!A:A,Groups!AN:AN)=0),0,_xlfn.XLOOKUP(_xlfn.XLOOKUP(B71,'Base stats'!B:B,'Base stats'!E:E),Groups!A:A,Groups!AN:AN)/IF(_xlfn.XLOOKUP(Animals!B71,'Base stats'!B:B,'Base stats'!O:O)=1,2,1)))+_xlfn.XLOOKUP(B71,'Base stats'!B:B,'Base stats'!AC:AC),0.005))</f>
        <v>0</v>
      </c>
      <c r="BE71" s="23">
        <f>MIN(1,MROUND(IF(AND(AO71&lt;0.5,_xlfn.XLOOKUP(B71,'Base stats'!B:B,'Base stats'!AA:AA)=0),0,IF(_xlfn.XLOOKUP(_xlfn.XLOOKUP(B71,'Base stats'!B:B,'Base stats'!E:E),Groups!A:A,Groups!AO:AO)=0,0,_xlfn.XLOOKUP(_xlfn.XLOOKUP(B71,'Base stats'!B:B,'Base stats'!E:E),Groups!A:A,Groups!AO:AO)/IF(_xlfn.XLOOKUP(Animals!B71,'Base stats'!B:B,'Base stats'!O:O)=2,3,1)))+_xlfn.XLOOKUP(B71,'Base stats'!B:B,'Base stats'!AD:AD),0.005))</f>
        <v>0</v>
      </c>
      <c r="BF71" s="2" t="str">
        <f>IF(J71&gt;0.3,"No",_xlfn.XLOOKUP(_xlfn.XLOOKUP(Animals!B71,'Base stats'!B:B,'Base stats'!E:E),Groups!A:A,Groups!AP:AP))</f>
        <v>No</v>
      </c>
      <c r="BG71" s="2" t="str">
        <f>IF(AND(J71&lt;=0.65,_xlfn.XLOOKUP(_xlfn.XLOOKUP(Animals!B71,'Base stats'!B:B,'Base stats'!E:E),Groups!A:A,Groups!AP:AP)&lt;&gt;"No",_xlfn.XLOOKUP(_xlfn.XLOOKUP(B71,'Base stats'!B:B,'Base stats'!E:E),Groups!A:A,Groups!D:D)=0),MROUND((80/3)*IF(_xlfn.XLOOKUP(B71,'Base stats'!B:B,'Base stats'!O:O)=2,0.2,AO71) + 24*(1-IF(BF71="No",0,BF71)) + 16/3, 12),"No")</f>
        <v>No</v>
      </c>
      <c r="BH71" s="2">
        <f>IF(AND(_xlfn.XLOOKUP(_xlfn.XLOOKUP(B71,'Base stats'!B:B,'Base stats'!E:E),Groups!A:A,Groups!AQ:AQ)=1,AO71&lt;=0.35),8,12)</f>
        <v>12</v>
      </c>
      <c r="BI71" s="2" t="str">
        <f>IF(_xlfn.XLOOKUP(_xlfn.XLOOKUP(B71,'Base stats'!B:B,'Base stats'!E:E),Groups!A:A,Groups!D:D)=0,_xlfn.XLOOKUP(_xlfn.XLOOKUP(B71,'Base stats'!B:B,'Base stats'!E:E),Groups!A:A,Groups!AR:AR),"None")</f>
        <v>None</v>
      </c>
      <c r="BJ71" s="2" t="str">
        <f>IF(AND(_xlfn.XLOOKUP(_xlfn.XLOOKUP(B71,'Base stats'!B:B,'Base stats'!E:E),Groups!A:A,Groups!AS:AS)=1,OR(_xlfn.XLOOKUP(B71,'Base stats'!B:B,'Base stats'!Y:Y)="Carnivore",_xlfn.XLOOKUP(B71,'Base stats'!B:B,'Base stats'!Y:Y)="Omnivore")),"true","false")</f>
        <v>false</v>
      </c>
      <c r="BK71" s="2" t="str">
        <f>IF(BJ71="true",MROUND(IF(AND(AO71&gt;0.5,OR(_xlfn.XLOOKUP(_xlfn.XLOOKUP(B71,'Base stats'!B:B,'Base stats'!E:E),Groups!A:A,Groups!AJ:AJ)="Photonozoa",_xlfn.XLOOKUP(_xlfn.XLOOKUP(B71,'Base stats'!B:B,'Base stats'!E:E),Groups!A:A,Groups!AJ:AJ)="Mammal")),Animals!AO71*1.75*IF(AW71="true",1.5,1),IF(AO71&lt;0.5,Animals!AO71*0.5,Animals!AO71)),IF(AO71&gt;2,0.5,IF(AO71&gt;0.5,0.25,0.1))),"No")</f>
        <v>No</v>
      </c>
      <c r="BL71" s="2">
        <f t="shared" si="10"/>
        <v>0</v>
      </c>
      <c r="BM71" s="25">
        <f>IF(_xlfn.XLOOKUP(B71,'Base stats'!B:B,'Base stats'!AN:AN)="Standard","No",MROUND((_xlfn.XLOOKUP(B71,'Base stats'!B:B,'Base stats'!AN:AN)/3.6)/I71,0.1))</f>
        <v>2</v>
      </c>
      <c r="BN71" s="25" t="str">
        <f t="shared" si="11"/>
        <v>true</v>
      </c>
      <c r="BO71" s="25" t="str">
        <f>IF(AND(OR(_xlfn.XLOOKUP(B71,'Base stats'!B:B,'Base stats'!Y:Y)="Carnivore",_xlfn.XLOOKUP(B71,'Base stats'!B:B,'Base stats'!Y:Y)="Omnivore",_xlfn.XLOOKUP(B71,'Base stats'!B:B,'Base stats'!Y:Y)="OmnivoreRough"),_xlfn.XLOOKUP(_xlfn.XLOOKUP(B71,'Base stats'!B:B,'Base stats'!E:E),Groups!A:A,Groups!AT:AT)=1),"true","false")</f>
        <v>true</v>
      </c>
      <c r="BP71" s="25" t="str" cm="1">
        <f t="array" ref="BP71">IF(
  _xlfn.TEXTJOIN(", ",TRUE,
    IF(AND(BJ71="true",AO71&gt;0.5,BI71&lt;&gt;"None"),"AttackTarget",""),
    IF(AND(_xlfn.XLOOKUP(_xlfn.XLOOKUP(B71,'Base stats'!B:B,'Base stats'!E:E),Groups!A:A,Groups!AJ:AJ="Mammal"),OR(_xlfn.XLOOKUP(B71,'Base stats'!B:B,'Base stats'!Y:Y)="Omnivore",_xlfn.XLOOKUP(B71,'Base stats'!B:B,'Base stats'!Y:Y)="OmnivoreRough")),"Forage",""),
    IF(BG71&lt;=36,"Comfort",""),
    IF(_xlfn.XLOOKUP(B71,'Base stats'!B:B,'Base stats'!AE:AE)&lt;&gt;"No",_xlfn.XLOOKUP(B71,'Base stats'!B:B,'Base stats'!AE:AE),"")
  ) = "",
  "No",
  _xlfn.TEXTJOIN(", ",TRUE,
    IF(AND(BJ71="true",AO71&gt;0.5,BI71&lt;&gt;"None"),"AttackTarget",""),
    IF(AND(_xlfn.XLOOKUP(_xlfn.XLOOKUP(B71,'Base stats'!B:B,'Base stats'!E:E),Groups!A:A,Groups!AJ:AJ="Mammal"),OR(_xlfn.XLOOKUP(B71,'Base stats'!B:B,'Base stats'!Y:Y)="Omnivore",_xlfn.XLOOKUP(B71,'Base stats'!B:B,'Base stats'!Y:Y)="OmnivoreRough")),"Forage",""),
    IF(BG71&lt;=36,"Comfort",""),
    IF(_xlfn.XLOOKUP(B71,'Base stats'!B:B,'Base stats'!AE:AE)&lt;&gt;"No",_xlfn.XLOOKUP(B71,'Base stats'!B:B,'Base stats'!AE:AE),"")
  )
)</f>
        <v>No</v>
      </c>
      <c r="BQ71" s="25">
        <f>IF(
   AND(
      'Base stats'!AN71="Standard",_xlfn.XLOOKUP(_xlfn.XLOOKUP(B71,'Base stats'!B:B,'Base stats'!E:E),Groups!A:A,Groups!AU:AU)=0,
      OR(
      BO71="True"
      )
   ),
   10,
   IF(
       OR(BM71&lt;&gt;"No",_xlfn.XLOOKUP(_xlfn.XLOOKUP(B71,'Base stats'!B:B,'Base stats'!E:E),Groups!A:A,Groups!AU:AU)=1),
      1,
      "No"
   )
)</f>
        <v>1</v>
      </c>
      <c r="BR71" s="9">
        <f>MROUND((1 + ((0.2*IF(OR(Q71="No",R71="No",R71=0),0,Q71/R71)
+IF(OR(V71="No",S71="No",T71="No"),0,S71/T71*(LEN(V71)-LEN(SUBSTITUTE(V71,",",""))+1))
+IF(OR(X71="No",Y71="No"),0,X71/Y71)
+IF(OR(AD71="No",AE71="No"),0,AD71/AE71)
+IF(OR(AL71="No",AI71="No",AJ71="No"),0,AI71/AJ71*(LEN(AL71)-LEN(SUBSTITUTE(AL71,",",""))+1))
)/(0.2*IF(OR(Q71="No",R71="No",R71=0),0,1)
+IF(OR(V71="No",S71="No",T71="No"),0,LEN(V71)-LEN(SUBSTITUTE(V71,",",""))+1)
+IF(OR(X71="No",Y71="No"),0,1)
+IF(OR(AD71="No",AE71="No"),0,1)
+IF(OR(AL71="No",AI71="No",AJ71="No"),0,LEN(AL71)-LEN(SUBSTITUTE(AL71,",",""))+1))*62%)* 2)*(1 + (AP71 / (IF(_xlfn.XLOOKUP(_xlfn.XLOOKUP(B71,'Base stats'!B:B,'Base stats'!E:E),Groups!A:A,Groups!AJ:AJ)="Photonozoa",0.3,1)) + _xlfn.XLOOKUP(B71,'Base stats'!B:B,'Base stats'!AV:AV) * 1.8) * 2) * 2.5 + 10 + I71 * 2,5)+IF(_xlfn.XLOOKUP(B71,'Base stats'!B:B,'Base stats'!AK:AK)=1,50,0)</f>
        <v>45</v>
      </c>
      <c r="BS71" s="8">
        <f t="shared" si="12"/>
        <v>0.60000000000000009</v>
      </c>
      <c r="BT71" s="8" t="str">
        <f>_xlfn.XLOOKUP(B71,'Base stats'!B:B,'Base stats'!AF:AF)</f>
        <v>5~15</v>
      </c>
      <c r="BU71" s="2" t="str">
        <f>IF(AND(J71&lt;=0.95,OR(_xlfn.XLOOKUP(B71,'Base stats'!B:B,'Base stats'!AK:AK)=1,_xlfn.XLOOKUP(B71,'Base stats'!B:B,'Base stats'!Y:Y)="Carnivore",_xlfn.XLOOKUP(B71,'Base stats'!B:B,'Base stats'!Y:Y)="Omnivore",BE71&gt;0.1)),"true","false")</f>
        <v>true</v>
      </c>
      <c r="BV71" s="2" t="str">
        <f>IF(_xlfn.XLOOKUP(B71,'Base stats'!B:B,'Base stats'!AI:AI)=1,"true","false")</f>
        <v>false</v>
      </c>
      <c r="BW71" s="25" t="str">
        <f>IF(E71="BaseInsect","AnimalInsect",
IF(J71&gt;0.95,"AnimalExotic",
_xlfn.TEXTJOIN(", ",TRUE,
IF(OR(_xlfn.XLOOKUP(B71,'Base stats'!B:B,'Base stats'!AM:AM)=1,AND(_xlfn.XLOOKUP(B71,'Base stats'!B:B,'Base stats'!O:O)=0,_xlfn.XLOOKUP(_xlfn.XLOOKUP(B71,'Base stats'!B:B,'Base stats'!E:E),Groups!A:A,Groups!B:B)&gt;0)),"AnimalUncommon","AnimalCommon"),
IF(AND(_xlfn.XLOOKUP(B71,'Base stats'!B:B,'Base stats'!O:O)=2,_xlfn.XLOOKUP(_xlfn.XLOOKUP(B71,'Base stats'!B:B,'Base stats'!E:E),Groups!A:A,Groups!D:D)=0),"AnimalPet",IF(AND(_xlfn.XLOOKUP(B71,'Base stats'!B:B,'Base stats'!O:O)&lt;&gt;0,_xlfn.XLOOKUP(_xlfn.XLOOKUP(B71,'Base stats'!B:B,'Base stats'!E:E),Groups!A:A,Groups!D:D)&lt;&gt;0),"AnimalFarm","")),
IF(OR(_xlfn.XLOOKUP(B71,'Base stats'!B:B,'Base stats'!AK:AK)=1,AND(BI71&lt;&gt;"None",BR71&gt;=60),ISNUMBER(SEARCH("Attack target",BP71))),"AnimalFighter","")
)))</f>
        <v>AnimalUncommon</v>
      </c>
      <c r="BX71" s="25" t="str">
        <f>IF(G71="None",TRIM(
SUBSTITUTE(
IF(COUNTIF(Biomes!B$2:B$259,"="&amp;$C71)&gt;0,Biomes!B$1&amp;", ","")&amp;
IF(COUNTIF(Biomes!C$2:C$259,"="&amp;$C71)&gt;0,Biomes!C$1&amp;", ","")&amp;
IF(COUNTIF(Biomes!D$2:D$259,"="&amp;$C71)&gt;0,Biomes!D$1&amp;", ","")&amp;
IF(COUNTIF(Biomes!F$2:F$259,"="&amp;$C71)&gt;0,Biomes!F$1&amp;", ","")&amp;
IF(COUNTIF(Biomes!G$2:G$259,"="&amp;$C71)&gt;0,Biomes!G$1&amp;", ","")&amp;
IF(COUNTIF(Biomes!H$2:H$259,"="&amp;$C71)&gt;0,Biomes!H$1&amp;", ","")&amp;
IF(COUNTIF(Biomes!I$2:I$259,"="&amp;$C71)&gt;0,Biomes!I$1&amp;", ","")&amp;
IF(COUNTIF(Biomes!J$2:J$259,"="&amp;$C71)&gt;0,Biomes!J$1&amp;", ","")&amp;
IF(COUNTIF(Biomes!M$2:M$259,"="&amp;$C71)&gt;0,Biomes!M$1&amp;", ","")&amp;
IF(COUNTIF(Biomes!N$2:N$259,"="&amp;$C71)&gt;0,Biomes!N$1&amp;", ","")&amp;
IF(COUNTIF(Biomes!O$2:O$259,"="&amp;$C71)&gt;0,Biomes!O$1&amp;", ","")&amp;
IF(COUNTIF(Biomes!P$2:P$259,"="&amp;$C71)&gt;0,Biomes!P$1&amp;", ","")&amp;
IF(COUNTIF(Biomes!K$2:K$259,"="&amp;$C71)&gt;0,Biomes!K$1&amp;", ","")&amp;
IF(COUNTIF(Biomes!Q$3:Q$259,"="&amp;$C71)&gt;0,Biomes!Q$1&amp;", ","")&amp;
IF(COUNTIF(Biomes!L$2:L$259,"="&amp;$C71)&gt;0,Biomes!L$1&amp;", ","")&amp;
IF(COUNTIF(Biomes!E$2:E$259,"="&amp;$C71)&gt;0,Biomes!E$1&amp;", ","")&amp;IF(COUNTIF(Biomes!S$2:S$259,"="&amp;$C71)&gt;0,Biomes!S$1&amp;", ","")&amp;
IF(COUNTIF(Biomes!R$2:R$259,"="&amp;$C71)&gt;0,Biomes!R$1&amp;", ",""),", ","")
),_xlfn.XLOOKUP(B71,B:B,BX:BX))</f>
        <v>SeaIce IceSheet Tundra</v>
      </c>
      <c r="BY71" s="25" t="str">
        <f>IF(_xlfn.XLOOKUP(B71,'Base stats'!B:B,'Base stats'!AJ:AJ)=1,"true","false")</f>
        <v>true</v>
      </c>
      <c r="BZ71" s="25">
        <f>IF(_xlfn.XLOOKUP(B71,'Base stats'!B:B,'Base stats'!N:N)=1,"No",MAX(0.001,MIN(MROUND(IF(AND(BJ71="True",CC71="False"),POWER(10,3.47*LOG10(_xlfn.XLOOKUP(B71,'Base stats'!B:B,'Base stats'!C:C)*1000)^-0.96),POWER(10,4.15*LOG10(_xlfn.XLOOKUP(B71,'Base stats'!B:B,'Base stats'!C:C)*1000)^-0.73))*IF(_xlfn.XLOOKUP(B71,'Base stats'!B:B,'Base stats'!AK:AK)=1,0.5,1)*IF(_xlfn.XLOOKUP(B71,'Base stats'!B:B,'Base stats'!AM:AM)=1,0.1,1)/100,IF(_xlfn.XLOOKUP(B71,'Base stats'!B:B,'Base stats'!AM:AM)=1,0.001,0.025)),0.5)))</f>
        <v>0.25</v>
      </c>
      <c r="CA71" s="25" t="str">
        <f>IF(P71="Standard","No",MAX(0.001,MIN(MROUND(IF(AND(BJ71="True",CC71="False"),POWER(10,3.47*LOG10(_xlfn.XLOOKUP(B71,'Base stats'!B:B,'Base stats'!C:C)*1000)^-0.96),POWER(10,4.15*LOG10(_xlfn.XLOOKUP(B71,'Base stats'!B:B,'Base stats'!C:C)*1000)^-0.73))*IF(_xlfn.XLOOKUP(B71,'Base stats'!B:B,'Base stats'!AM:AM)=1,0.1,1)*_xlfn.XLOOKUP(B71,'Base stats'!B:B,'Base stats'!R:R)/100,IF(_xlfn.XLOOKUP(B71,'Base stats'!B:B,'Base stats'!AM:AM)=1,0.001,0.025)),0.5)))</f>
        <v>No</v>
      </c>
      <c r="CB71" s="25" t="str">
        <f>IF(_xlfn.XLOOKUP(_xlfn.XLOOKUP(B71,'Base stats'!B:B,'Base stats'!E:E),Groups!A:A,Groups!AJ:AJ)="Mammal","True","False")</f>
        <v>False</v>
      </c>
      <c r="CC71" s="25" t="str">
        <f>IF(OR(_xlfn.XLOOKUP(_xlfn.XLOOKUP(B71,'Base stats'!B:B,'Base stats'!E:E),Groups!A:A,Groups!AJ:AJ)="Reptile",_xlfn.XLOOKUP(_xlfn.XLOOKUP(B71,'Base stats'!B:B,'Base stats'!E:E),Groups!A:A,Groups!AJ:AJ)="Amphibian",_xlfn.XLOOKUP(_xlfn.XLOOKUP(B71,'Base stats'!B:B,'Base stats'!E:E),Groups!A:A,Groups!AJ:AJ)="Invertebrate"),"True","False")</f>
        <v>False</v>
      </c>
      <c r="CD71" s="25" t="str">
        <f t="shared" si="13"/>
        <v>False</v>
      </c>
      <c r="CE71" s="25" t="str">
        <f>IF(_xlfn.XLOOKUP(_xlfn.XLOOKUP(B71,'Base stats'!B:B,'Base stats'!E:E),Groups!A:A,Groups!AX:AX),"True","False")</f>
        <v>False</v>
      </c>
      <c r="CF71" s="25" t="str">
        <f>IF(_xlfn.XLOOKUP(_xlfn.XLOOKUP(B71,'Base stats'!B:B,'Base stats'!E:E),Groups!A:A,Groups!AY:AY),"True","False")</f>
        <v>False</v>
      </c>
      <c r="CG71" s="25" t="str">
        <f>IF(_xlfn.XLOOKUP(_xlfn.XLOOKUP(B71,'Base stats'!B:B,'Base stats'!E:E),Groups!A:A,Groups!AW:AW),"True","False")</f>
        <v>False</v>
      </c>
      <c r="CH71" s="25" t="str">
        <f>IF(
OR(
_xlfn.XLOOKUP(_xlfn.XLOOKUP(B71,'Base stats'!B:B,'Base stats'!E:E),Groups!A:A,Groups!AZ:AZ)=0,
AND(
_xlfn.XLOOKUP(B71,'Base stats'!B:B,'Base stats'!Y:Y)&lt;&gt;"Carnivore",
_xlfn.XLOOKUP(B71,'Base stats'!B:B,'Base stats'!Y:Y)&lt;&gt;"Omnivore",
_xlfn.XLOOKUP(B71,'Base stats'!B:B,'Base stats'!Y:Y)&lt;&gt;"OmnivoreRough"
)
),
"No",
IF(
_xlfn.XLOOKUP(_xlfn.XLOOKUP(B71,'Base stats'!B:B,'Base stats'!E:E),Groups!A:A,Groups!AZ:AZ)=1,
"Flesh",
IF(
_xlfn.XLOOKUP(_xlfn.XLOOKUP(B71,'Base stats'!B:B,'Base stats'!E:E),Groups!A:A,Groups!AZ:AZ)=2,
"Bone",
""
)
)
)</f>
        <v>No</v>
      </c>
      <c r="CI71" s="25" t="str">
        <f>IF(_xlfn.XLOOKUP(_xlfn.XLOOKUP(B71,'Base stats'!B:B,'Base stats'!E:E),Groups!A:A,Groups!BB:BB),"True","False")</f>
        <v>True</v>
      </c>
      <c r="CJ71" s="25" t="str">
        <f>IF(_xlfn.XLOOKUP(_xlfn.XLOOKUP(B71,'Base stats'!B:B,'Base stats'!E:E),Groups!A:A,Groups!BA:BA),"True","False")</f>
        <v>False</v>
      </c>
    </row>
    <row r="72" spans="1:88" ht="16.5" thickTop="1" thickBot="1" x14ac:dyDescent="0.3">
      <c r="A72" s="26" t="str">
        <f>_xlfn.XLOOKUP(B72,'Base stats'!B:B,'Base stats'!A:A)</f>
        <v>Peacock</v>
      </c>
      <c r="B72" s="6" t="s">
        <v>224</v>
      </c>
      <c r="C72" s="28" t="s">
        <v>752</v>
      </c>
      <c r="D72" s="28" t="s">
        <v>870</v>
      </c>
      <c r="E72" s="28" t="s">
        <v>675</v>
      </c>
      <c r="F72" s="28" t="s">
        <v>676</v>
      </c>
      <c r="G72" s="28" t="s">
        <v>673</v>
      </c>
      <c r="H72" s="2">
        <f>MROUND((
  (IF(AND(_xlfn.XLOOKUP(B72,'Base stats'!B:B,'Base stats'!AL:AL)=0,BI72="None",_xlfn.XLOOKUP(_xlfn.XLOOKUP(B72,'Base stats'!B:B,'Base stats'!E:E),Groups!A:A,Groups!B:B)=0), (18 + BR72 * 2.7) * 0.5,
    IF(AND(_xlfn.XLOOKUP(B72,'Base stats'!B:B,'Base stats'!AL:AL)=0,OR(AO72&lt;0.55,AND(BI72="Intermediate",_xlfn.XLOOKUP(_xlfn.XLOOKUP(B72,'Base stats'!B:B,'Base stats'!E:E),Groups!A:A,Groups!B:B)&lt;2))), (18 + BR72 * 2.7),
      IF(OR(BI72="Advanced",_xlfn.XLOOKUP(B72,'Base stats'!B:B,'Base stats'!AL:AL)=1,_xlfn.XLOOKUP(_xlfn.XLOOKUP(B72,'Base stats'!B:B,'Base stats'!E:E),Groups!A:A,Groups!B:B)=2), (18 + BR72 * 2.7) + 250, (18 + BR72 * 2.7))
    )
  ))
  + AO72 * 80
  + IF(COUNTIF(EggMilk!K$2:K$998, A72) &gt; 0, 125, 0)
  + IF(COUNTIF(EggMilk!P$2:P$998, A72) &gt; 0, 90, 0)
  + IF(COUNTIF(EggMilk!A$2:A$998, A72) &gt; 0, 90, 0)
)
* (0.8 + 0.4 * J72)
* 0.75,25)</f>
        <v>125</v>
      </c>
      <c r="I72" s="2">
        <f>MROUND(ROUNDDOWN(_xlfn.XLOOKUP(B72,'Base stats'!B:B,'Base stats'!L:L)/3.6/(23.3/11),1),0.5)</f>
        <v>2</v>
      </c>
      <c r="J72" s="2">
        <f>IF(OR(_xlfn.XLOOKUP(B72,'Base stats'!B:B,'Base stats'!AB:AB)=1,_xlfn.XLOOKUP(_xlfn.XLOOKUP(B72,'Base stats'!B:B,'Base stats'!E:E),Groups!A:A,Groups!C:C)="Untamable"),1,IF(_xlfn.XLOOKUP(B72,'Base stats'!B:B,'Base stats'!AL:AL)=1,0.99,MIN(MROUND((1-0.6282*EXP(-0.459*AO72))*_xlfn.XLOOKUP(_xlfn.XLOOKUP(B72,'Base stats'!B:B,'Base stats'!E:E),Groups!A:A,Groups!C:C)*IF(_xlfn.XLOOKUP(B72,'Base stats'!B:B,'Base stats'!O:O)=1,0.5,IF(_xlfn.XLOOKUP(B72,'Base stats'!B:B,'Base stats'!O:O)=2,0,1)),0.05),IF(AO72&gt;3.5,0.985,0.95))))</f>
        <v>0.55000000000000004</v>
      </c>
      <c r="K72" s="2">
        <f>ROUNDUP(AO72*_xlfn.XLOOKUP(_xlfn.XLOOKUP(B72,'Base stats'!B:B,'Base stats'!E:E),Groups!A:A,Groups!E:E),0)</f>
        <v>4</v>
      </c>
      <c r="L72" s="2">
        <f>IF(OR(_xlfn.XLOOKUP(_xlfn.XLOOKUP(B72,'Base stats'!B:B,'Base stats'!E:E),Groups!A:A,Groups!F:F)=2,ISNUMBER(SEARCH("SeaIce",BX72)),ISNUMBER(SEARCH("IceSheet",BX72))),-50,IF(OR(ISNUMBER(SEARCH("GlacialPlain",BX72)),ISNUMBER(SEARCH("Tundra",BX72))),-40,IF(OR(ISNUMBER(SEARCH("Alpine",BX72)),ISNUMBER(SEARCH("BorealForest",BX72)),ISNUMBER(SEARCH("ColdBog",BX72))),-30,IF(OR(ISNUMBER(SEARCH("TemperateForest",BX72)),ISNUMBER(SEARCH("TemperateSwamp",BX72))),-20,IF(_xlfn.XLOOKUP(_xlfn.XLOOKUP(B72,'Base stats'!B:B,'Base stats'!E:E),Groups!A:A,Groups!F:F)=1,-15,IF(OR(ISNUMBER(SEARCH("Desert",BX72)),ISNUMBER(SEARCH("ExtremeDesert",BX72))),-10,IF(OR(ISNUMBER(SEARCH("Grasslands",BX72)),ISNUMBER(SEARCH("TropicalRainforest",BX72)),ISNUMBER(SEARCH("TropicalSwamp",BX72))),10,0)))))))-IF(CC72="False",MIN(IFERROR(MAX(MROUND(LOG10(_xlfn.XLOOKUP(B72,'Base stats'!B:B,'Base stats'!C:C)^(2/3))*10,5),5),5),30))-_xlfn.XLOOKUP(B72,'Base stats'!B:B,'Base stats'!P:P)+IF(CC72="True",5,0)</f>
        <v>5</v>
      </c>
      <c r="M72" s="2">
        <f>IF(OR(_xlfn.XLOOKUP(_xlfn.XLOOKUP(B72,'Base stats'!B:B,'Base stats'!E:E),Groups!A:A,Groups!G:G)=2,ISNUMBER(SEARCH("Desert",BX72)),ISNUMBER(SEARCH("ExtremeDesert",BX72)),ISNUMBER(SEARCH("LavaField",BX72))),50,IF(ISNUMBER(SEARCH("Grasslands",BX72)),45,IF(OR(_xlfn.XLOOKUP(_xlfn.XLOOKUP(B72,'Base stats'!B:B,'Base stats'!E:E),Groups!A:A,Groups!G:G)=1,ISNUMBER(SEARCH("TropicalRainforest",BX72)),ISNUMBER(SEARCH("TropicalSwamp",BX72))),40,IF(OR(ISNUMBER(SEARCH("TemperateForest",BX72)),ISNUMBER(SEARCH("TemperateSwamp",BX72))),35,IF(OR(ISNUMBER(SEARCH("Alpine",BX72)),ISNUMBER(SEARCH("BorealForest",BX72)),ISNUMBER(SEARCH("ColdBog",BX72))),30,IF(ISNUMBER(OR(ISNUMBER(SEARCH("GlacialPlain",BX72)),SEARCH("Tundra",BX72))),25,IF(OR(ISNUMBER(SEARCH("SeaIce",BX72)),ISNUMBER(SEARCH("IceSheet",BX72)),ISNUMBER(SEARCH("TropicalSwamp",BX72))),10,35)))))))+_xlfn.XLOOKUP(B72,'Base stats'!B:B,'Base stats'!Q:Q)</f>
        <v>40</v>
      </c>
      <c r="N72" s="8" t="str">
        <f>IF(
_xlfn.XLOOKUP(
_xlfn.XLOOKUP(B72,'Base stats'!B:B,'Base stats'!E:E),
Groups!A:A,
Groups!L:L
)=1,
MIN(
MROUND(
IF(
_xlfn.XLOOKUP(B72,'Animals CE'!B:B,'Animals CE'!Z:Z)&lt;=1.5,
_xlfn.XLOOKUP(B72,'Animals CE'!B:B,'Animals CE'!Z:Z)/2+0.05,
0.8+
(_xlfn.XLOOKUP(B72,'Animals CE'!B:B,'Animals CE'!Z:Z)-1.5)
*0.02
),
0.05
),
200%
),
"No"
)</f>
        <v>No</v>
      </c>
      <c r="O72" s="8" t="str">
        <f>IF(
_xlfn.XLOOKUP(
_xlfn.XLOOKUP(B72,'Base stats'!B:B,'Base stats'!E:E),
Groups!A:A,
Groups!L:L
)=1,
MIN(
MROUND(
IF(
_xlfn.XLOOKUP(B72,'Animals CE'!B:B,'Animals CE'!AA:AA)&lt;=1.5,
_xlfn.XLOOKUP(B72,'Animals CE'!B:B,'Animals CE'!AA:AA)/2+0.05,
0.8+
(_xlfn.XLOOKUP(B72,'Animals CE'!B:B,'Animals CE'!AA:AA)-1.5)
*0.02
),
0.05
),
200%
),
"No"
)</f>
        <v>No</v>
      </c>
      <c r="P72" s="2" t="str">
        <f>_xlfn.XLOOKUP(B72,'Base stats'!B:B,'Base stats'!R:R)</f>
        <v>Standard</v>
      </c>
      <c r="Q72" s="13">
        <f>MROUND((LOG10(_xlfn.XLOOKUP(B72,'Base stats'!B:B,'Base stats'!AR:AR))*(AO72^0.5)+(_xlfn.XLOOKUP(B72,'Base stats'!B:B,'Base stats'!AR:AR)/1000)^(2/3)+_xlfn.XLOOKUP(B72,'Base stats'!B:B,'Base stats'!BA:BA)/2)+0.5,0.5)</f>
        <v>2.5</v>
      </c>
      <c r="R72" s="7">
        <f>IF(Q72="No","No",MAX(1,MROUND(_xlfn.XLOOKUP(B72,'Base stats'!B:B,'Base stats'!C:C)^0.165,0.05)))</f>
        <v>1.25</v>
      </c>
      <c r="S72" s="13">
        <f>IF(_xlfn.XLOOKUP(_xlfn.XLOOKUP(B72,'Base stats'!B:B,'Base stats'!E:E),Groups!A:A,Groups!P:P)=0,"No",MROUND((LOG10(_xlfn.XLOOKUP(B72,'Base stats'!B:B,'Base stats'!AS:AS))*(AO72^0.5)+(_xlfn.XLOOKUP(B72,'Base stats'!B:B,'Base stats'!AS:AS)/1000)^(2/3)+_xlfn.XLOOKUP(B72,'Base stats'!B:B,'Base stats'!BA:BA))+_xlfn.XLOOKUP(B72,'Base stats'!B:B,'Base stats'!AY:AY)+0.5,0.5))</f>
        <v>4</v>
      </c>
      <c r="T72" s="7">
        <f>IF(S72="No","No",MAX(_xlfn.XLOOKUP(_xlfn.XLOOKUP(B72,'Base stats'!B:B,'Base stats'!E:E),Groups!A:A,Groups!Q:Q),MROUND(_xlfn.XLOOKUP(_xlfn.XLOOKUP(B72,'Base stats'!B:B,'Base stats'!E:E),Groups!A:A,Groups!Q:Q)*_xlfn.XLOOKUP(B72,'Base stats'!B:B,'Base stats'!C:C)^0.165,0.05)))</f>
        <v>1.25</v>
      </c>
      <c r="U72" s="7" t="str">
        <f>IF(S72="No","No",_xlfn.XLOOKUP(_xlfn.XLOOKUP(B72,'Base stats'!B:B,'Base stats'!E:E),Groups!A:A,Groups!R:R))</f>
        <v>Feet</v>
      </c>
      <c r="V72" s="7" t="str">
        <f>IF(S72="No","No",_xlfn.XLOOKUP(_xlfn.XLOOKUP(B72,'Base stats'!B:B,'Base stats'!E:E),Groups!A:A,Groups!S:S))</f>
        <v>rear left claw, rear  right claw</v>
      </c>
      <c r="W72" s="7" t="str">
        <f>IF(S72="No","No",_xlfn.XLOOKUP(_xlfn.XLOOKUP(B72,'Base stats'!B:B,'Base stats'!E:E),Groups!A:A,Groups!T:T))</f>
        <v>Scratch</v>
      </c>
      <c r="X72" s="13" t="str">
        <f>IF(_xlfn.XLOOKUP(B72,'Base stats'!B:B,'Base stats'!W:W)="No","No",MROUND((LOG10(_xlfn.XLOOKUP(B72,'Base stats'!B:B,'Base stats'!AU:AU))*(AO72^0.5)+(_xlfn.XLOOKUP(B72,'Base stats'!B:B,'Base stats'!AU:AU)/1000)^(2/3)+_xlfn.XLOOKUP(B72,'Base stats'!B:B,'Base stats'!AZ:AZ))+0.5+IF(_xlfn.XLOOKUP(_xlfn.XLOOKUP(B72,'Base stats'!B:B,'Base stats'!E:E),Groups!A:A,Groups!U:U)&lt;&gt;3,_xlfn.XLOOKUP(B72,'Base stats'!B:B,'Base stats'!BA:BA),0),0.5))</f>
        <v>No</v>
      </c>
      <c r="Y72" s="7" t="str">
        <f>IF(X72="No","No",MAX(_xlfn.XLOOKUP(_xlfn.XLOOKUP(B72,'Base stats'!B:B,'Base stats'!E:E),Groups!A:A,Groups!V:V),MROUND(_xlfn.XLOOKUP(_xlfn.XLOOKUP(B72,'Base stats'!B:B,'Base stats'!E:E),Groups!A:A,Groups!V:V)*_xlfn.XLOOKUP(B72,'Base stats'!B:B,'Base stats'!C:C)^0.165,0.05)))</f>
        <v>No</v>
      </c>
      <c r="Z72" s="7" t="str">
        <f>IF(X72="No","No",_xlfn.XLOOKUP(_xlfn.XLOOKUP(B72,'Base stats'!B:B,'Base stats'!E:E),Groups!A:A,Groups!W:W))</f>
        <v>No</v>
      </c>
      <c r="AA72" s="7" t="str">
        <f>IF(X72="No","No",_xlfn.XLOOKUP(_xlfn.XLOOKUP(B72,'Base stats'!B:B,'Base stats'!E:E),Groups!A:A,Groups!X:X))</f>
        <v>No</v>
      </c>
      <c r="AB72" s="7" t="str">
        <f>IF(X72="No","No",_xlfn.XLOOKUP(_xlfn.XLOOKUP(B72,'Base stats'!B:B,'Base stats'!E:E),Groups!A:A,Groups!Y:Y))</f>
        <v>No</v>
      </c>
      <c r="AC72" s="7" t="str">
        <f>_xlfn.XLOOKUP(Animals!B72,'Base stats'!B:B,'Base stats'!X:X)</f>
        <v>False</v>
      </c>
      <c r="AD72" s="13">
        <f>IF(_xlfn.XLOOKUP(B72,'Base stats'!B:B,'Base stats'!AT:AT)="No","No",MROUND((LOG10(_xlfn.XLOOKUP(B72,'Base stats'!B:B,'Base stats'!AT:AT))*(AO72^0.75)+(_xlfn.XLOOKUP(B72,'Base stats'!B:B,'Base stats'!AT:AT)/1000)^(2/3)+_xlfn.XLOOKUP(B72,'Base stats'!B:B,'Base stats'!AX:AX)+_xlfn.XLOOKUP(B72,'Base stats'!B:B,'Base stats'!BA:BA))+0.5,0.5))</f>
        <v>2.5</v>
      </c>
      <c r="AE72" s="7">
        <f>IF(AD72="No","No",MAX(_xlfn.XLOOKUP(_xlfn.XLOOKUP(B72,'Base stats'!B:B,'Base stats'!E:E),Groups!A:A,Groups!Z:Z),MROUND(_xlfn.XLOOKUP(_xlfn.XLOOKUP(B72,'Base stats'!B:B,'Base stats'!E:E),Groups!A:A,Groups!Z:Z)*_xlfn.XLOOKUP(B72,'Base stats'!B:B,'Base stats'!C:C)^0.165,0.05)))</f>
        <v>1.25</v>
      </c>
      <c r="AF72" s="7" t="str">
        <f>IF(AD72="No","No",_xlfn.XLOOKUP(_xlfn.XLOOKUP(B72,'Base stats'!B:B,'Base stats'!E:E),Groups!A:A,Groups!AA:AA))</f>
        <v>Beak</v>
      </c>
      <c r="AG72" s="7" t="str">
        <f>IF(AD72="No","No",_xlfn.XLOOKUP(_xlfn.XLOOKUP(B72,'Base stats'!B:B,'Base stats'!E:E),Groups!A:A,Groups!AB:AB))</f>
        <v>beak</v>
      </c>
      <c r="AH72" s="7" t="str">
        <f>IF(AD72="No","No",_xlfn.XLOOKUP(_xlfn.XLOOKUP(B72,'Base stats'!B:B,'Base stats'!E:E),Groups!A:A,Groups!AC:AC))</f>
        <v>Blunt</v>
      </c>
      <c r="AI72" s="13" t="str">
        <f>IF(_xlfn.XLOOKUP(_xlfn.XLOOKUP(B72,'Base stats'!B:B,'Base stats'!E:E),Groups!A:A,Groups!AD:AD)=0,"No",MROUND((LOG10(_xlfn.XLOOKUP(B72,'Base stats'!B:B,'Base stats'!AS:AS))*(AO72^0.75)+(_xlfn.XLOOKUP(B72,'Base stats'!B:B,'Base stats'!AS:AS)/1000)^(2/3)+_xlfn.XLOOKUP(B72,'Base stats'!B:B,'Base stats'!AY:AY)+_xlfn.XLOOKUP(B72,'Base stats'!B:B,'Base stats'!BA:BA))+0.5,0.5))</f>
        <v>No</v>
      </c>
      <c r="AJ72" s="7" t="str">
        <f>IF(AI72="No","No",MAX(_xlfn.XLOOKUP(_xlfn.XLOOKUP(B72,'Base stats'!B:B,'Base stats'!E:E),Groups!A:A,Groups!AE:AE),MROUND(_xlfn.XLOOKUP(_xlfn.XLOOKUP(B72,'Base stats'!B:B,'Base stats'!E:E),Groups!A:A,Groups!AE:AE)*IF(_xlfn.XLOOKUP(_xlfn.XLOOKUP(B72,'Base stats'!B:B,'Base stats'!E:E),Groups!A:A,Groups!AJ:AJ)="Photonozoa",0.6,1)*_xlfn.XLOOKUP(B72,'Base stats'!B:B,'Base stats'!C:C)^0.165,0.05)))</f>
        <v>No</v>
      </c>
      <c r="AK72" s="7" t="str">
        <f>IF(AI72="No","No",_xlfn.XLOOKUP(_xlfn.XLOOKUP(B72,'Base stats'!B:B,'Base stats'!E:E),Groups!A:A,Groups!AF:AF))</f>
        <v>No</v>
      </c>
      <c r="AL72" s="7" t="str">
        <f>IF(AI72="No","No",_xlfn.XLOOKUP(_xlfn.XLOOKUP(B72,'Base stats'!B:B,'Base stats'!E:E),Groups!A:A,Groups!AG:AG))</f>
        <v>No</v>
      </c>
      <c r="AM72" s="7" t="str">
        <f>IF(AI72="No","No",_xlfn.XLOOKUP(_xlfn.XLOOKUP(B72,'Base stats'!B:B,'Base stats'!E:E),Groups!A:A,Groups!AH:AH))</f>
        <v>No</v>
      </c>
      <c r="AN72" s="2" t="str">
        <f t="shared" si="7"/>
        <v>No</v>
      </c>
      <c r="AO72" s="2">
        <f>MROUND(IF(AND(_xlfn.XLOOKUP(B72,'Base stats'!B:B,'Base stats'!C:C)&gt;=0.5,_xlfn.XLOOKUP(B72,'Base stats'!B:B,'Base stats'!C:C)&lt;=0.8),
IF(_xlfn.XLOOKUP(B72,'Base stats'!B:B,'Base stats'!C:C)&lt;0.1,0.05,IF(_xlfn.XLOOKUP(B72,'Base stats'!B:B,'Base stats'!C:C)&lt;=70,(_xlfn.XLOOKUP(B72,'Base stats'!B:B,'Base stats'!C:C)/70)^0.426489913056526,IF(_xlfn.XLOOKUP(B72,'Base stats'!B:B,'Base stats'!C:C)&lt;=400,(_xlfn.XLOOKUP(B72,'Base stats'!B:B,'Base stats'!C:C)/70)^0.572811455315093,IF(_xlfn.XLOOKUP(B72,'Base stats'!B:B,'Base stats'!C:C)&lt;=2000,2.71391647193063*(_xlfn.XLOOKUP(B72,'Base stats'!B:B,'Base stats'!C:C)/400)^0.252459582904293,3.74314280240376*(_xlfn.XLOOKUP(B72,'Base stats'!B:B,'Base stats'!C:C)/2000)^0.357012633876913)))),
IF(_xlfn.XLOOKUP(B72,'Base stats'!B:B,'Base stats'!C:C)&lt;0.1,0.05,IF(_xlfn.XLOOKUP(B72,'Base stats'!B:B,'Base stats'!C:C)&lt;0.4,0.1,IF(_xlfn.XLOOKUP(B72,'Base stats'!B:B,'Base stats'!C:C)&lt;=70,(_xlfn.XLOOKUP(B72,'Base stats'!B:B,'Base stats'!C:C)/70)^0.445823913056526,IF(_xlfn.XLOOKUP(B72,'Base stats'!B:B,'Base stats'!C:C)&lt;=400,(_xlfn.XLOOKUP(B72,'Base stats'!B:B,'Base stats'!C:C)/70)^0.572811455315093,IF(_xlfn.XLOOKUP(B72,'Base stats'!B:B,'Base stats'!C:C)&lt;=2000,2.71391647193063*(_xlfn.XLOOKUP(B72,'Base stats'!B:B,'Base stats'!C:C)/400)^0.252459582904293,3.74314280240376*(_xlfn.XLOOKUP(B72,'Base stats'!B:B,'Base stats'!C:C)/2000)^0.357012633876913)))))),
IF(_xlfn.XLOOKUP(B72,'Base stats'!B:B,'Base stats'!C:C)&lt;0.1,0.05,IF(_xlfn.XLOOKUP(B72,'Base stats'!B:B,'Base stats'!C:C)&lt;=100,0.05,IF(_xlfn.XLOOKUP(B72,'Base stats'!B:B,'Base stats'!C:C)&lt;=250,0.1,IF(_xlfn.XLOOKUP(B72,'Base stats'!B:B,'Base stats'!C:C)&lt;=4000,0.25,0.5)))))</f>
        <v>0.30000000000000004</v>
      </c>
      <c r="AP72" s="8">
        <f>MROUND(AO72*_xlfn.XLOOKUP(_xlfn.XLOOKUP(B72,'Base stats'!B:B,'Base stats'!E:E),Groups!A:A,Groups!AI:AI)*_xlfn.XLOOKUP(B72,'Base stats'!B:B,'Base stats'!Z:Z),0.05)</f>
        <v>0.30000000000000004</v>
      </c>
      <c r="AQ72" s="8">
        <f>MAX(0.01,MROUND(IF(CC72="True",0.196*(AO72*100*1000)^0.889,IF(_xlfn.XLOOKUP(_xlfn.XLOOKUP(B72,'Base stats'!B:B,'Base stats'!E:E),Groups!A:A,Groups!AJ:AJ)="Bird",10.5*(AO72*100*1000)^0.681,4.82*(AO72*100*1000)^0.734))/(4.82*(1*100*1000)^0.734)/IF(AO72&lt;3.5,2,IF(AO72=3.5,1.5,1.25))*(1+0.132282374779864/(AO72^0.994035016789033+0.00905238001496948)),0.05))</f>
        <v>0.35000000000000003</v>
      </c>
      <c r="AR72" s="9">
        <f>IFERROR(MROUND(_xlfn.XLOOKUP(B72,'Base stats'!B:B,'Base stats'!H:H)/IF(_xlfn.XLOOKUP(B72,'Base stats'!B:B,'Base stats'!I:I)&lt;&gt;1,(122.5/70),1.2),IF(_xlfn.XLOOKUP(B72,'Base stats'!B:B,'Base stats'!H:H)&gt;=30,5,IF(_xlfn.XLOOKUP(B72,'Base stats'!B:B,'Base stats'!H:H)&gt;=15,3,IF(_xlfn.XLOOKUP(B72,'Base stats'!B:B,'Base stats'!H:H)&gt;=10,2,1)))),"Immortal")</f>
        <v>12</v>
      </c>
      <c r="AS72" s="35" t="str">
        <f>IFERROR(IF(OR(_xlfn.XLOOKUP(B72,'Base stats'!B:B,'Base stats'!F:F)="Atypical reproduction",_xlfn.XLOOKUP(B72,'Base stats'!B:B,'Base stats'!F:F)="Lay eggs"),"Lay eggs",MIN(20,MAX(5.5,ROUND(((_xlfn.XLOOKUP(B72,'Base stats'!B:B,'Base stats'!F:F)-25)*(14.5/615) + 5.5)*2,0)/2))),"Unknown")</f>
        <v>Lay eggs</v>
      </c>
      <c r="AT72" s="8">
        <f>IF(_xlfn.XLOOKUP(B72,'Base stats'!B:B,'Base stats'!G:G)="Atypical reproduction","No",IFERROR(MAX(IF(_xlfn.XLOOKUP(B72,'Base stats'!B:B,'Base stats'!G:G)&lt;0.5,0.2,0.3),MROUND(_xlfn.XLOOKUP(B72,'Base stats'!B:B,'Base stats'!G:G)/(365/60),0.2)),"Unknown"))</f>
        <v>0.4</v>
      </c>
      <c r="AU72" s="8">
        <f t="shared" si="8"/>
        <v>0.2</v>
      </c>
      <c r="AV72" s="8" t="str">
        <f>IFERROR(IFERROR(MROUND(_xlfn.XLOOKUP(B72,'Base stats'!B:B,'Base stats'!J:J),0.1),"Lay eggs"),"Cannot breed")</f>
        <v>Lay eggs</v>
      </c>
      <c r="AW72" s="2" t="str">
        <f t="shared" si="9"/>
        <v>true</v>
      </c>
      <c r="AX72" s="2" t="str">
        <f>IF(_xlfn.XLOOKUP(_xlfn.XLOOKUP(Animals!B72,'Base stats'!B:B,'Base stats'!E:E),Groups!A:A,Groups!AK:AK)=1,"true","false")</f>
        <v>false</v>
      </c>
      <c r="AY72" s="25" t="str">
        <f>IF(_xlfn.XLOOKUP(B72,'Base stats'!B:B,'Base stats'!Y:Y)="Liquor","Liquor, CarnivoreAnimalStrict",IF(AND(_xlfn.XLOOKUP(B72,'Base stats'!B:B,'Base stats'!Y:Y)="Carnivore",_xlfn.XLOOKUP(_xlfn.XLOOKUP(B72,'Base stats'!B:B,'Base stats'!E:E),Groups!A:A,Groups!AJ:AJ)="Photonozoa"),"CarnivoreAnimalStrict, OvivoreAnimal",IF(_xlfn.XLOOKUP(B72,'Base stats'!B:B,'Base stats'!Y:Y)="Carnivore","CarnivoreAnimal, OvivoreAnimal",IF(_xlfn.XLOOKUP(B72,'Base stats'!B:B,'Base stats'!Y:Y)="Dendrovore","VegetarianRoughAnimal, DendrovoreAnimal",IF(_xlfn.XLOOKUP(B72,'Base stats'!B:B,'Base stats'!Y:Y)="Herbivore","VegetarianRoughAnimal",IF(_xlfn.XLOOKUP(B72,'Base stats'!B:B,'Base stats'!Y:Y)="OmnivoreRough","OmnivoreRoughAnimal, OvivoreAnimal","OmnivoreAnimal, OvivoreAnimal"))))))</f>
        <v>VegetarianRoughAnimal</v>
      </c>
      <c r="AZ72" s="2">
        <f>IF(_xlfn.XLOOKUP(_xlfn.XLOOKUP(B72,'Base stats'!B:B,'Base stats'!E:E),Groups!A:A,Groups!D:D)=1,MROUND((1-J72)*5+1,2)*IF(J72&lt;=0.4,2,1),"No")</f>
        <v>4</v>
      </c>
      <c r="BA72" s="2" t="str">
        <f>IF(AND(_xlfn.XLOOKUP(B72,'Base stats'!B:B,'Base stats'!AH:AH)="&lt;li&gt;Seal&lt;/li&gt;",G72="Odyssey"),"&lt;li&gt;AEXP_Seal&lt;/li&gt;",_xlfn.XLOOKUP(B72,'Base stats'!B:B,'Base stats'!AH:AH))</f>
        <v>&lt;li&gt;Cassowary&lt;/li&gt;</v>
      </c>
      <c r="BB72" s="2" t="str">
        <f>_xlfn.XLOOKUP(B72,'Base stats'!B:B,'Base stats'!AG:AG)</f>
        <v>No</v>
      </c>
      <c r="BC72" s="23" t="str">
        <f>_xlfn.XLOOKUP(_xlfn.XLOOKUP(B72,'Base stats'!B:B,'Base stats'!E:E),Groups!A:A,Groups!AL:AL)</f>
        <v>Bird</v>
      </c>
      <c r="BD72" s="23">
        <f>MIN(1,MROUND(IF(AND(AO72&lt;0.5,_xlfn.XLOOKUP(B72,'Base stats'!B:B,'Base stats'!AA:AA)=0),0,IF(OR(_xlfn.XLOOKUP(Animals!B72,'Base stats'!B:B,'Base stats'!O:O)=2,_xlfn.XLOOKUP(_xlfn.XLOOKUP(B72,'Base stats'!B:B,'Base stats'!E:E),Groups!A:A,Groups!AN:AN)=0),0,_xlfn.XLOOKUP(_xlfn.XLOOKUP(B72,'Base stats'!B:B,'Base stats'!E:E),Groups!A:A,Groups!AN:AN)/IF(_xlfn.XLOOKUP(Animals!B72,'Base stats'!B:B,'Base stats'!O:O)=1,2,1)))+_xlfn.XLOOKUP(B72,'Base stats'!B:B,'Base stats'!AC:AC),0.005))</f>
        <v>0</v>
      </c>
      <c r="BE72" s="23">
        <f>MIN(1,MROUND(IF(AND(AO72&lt;0.5,_xlfn.XLOOKUP(B72,'Base stats'!B:B,'Base stats'!AA:AA)=0),0,IF(_xlfn.XLOOKUP(_xlfn.XLOOKUP(B72,'Base stats'!B:B,'Base stats'!E:E),Groups!A:A,Groups!AO:AO)=0,0,_xlfn.XLOOKUP(_xlfn.XLOOKUP(B72,'Base stats'!B:B,'Base stats'!E:E),Groups!A:A,Groups!AO:AO)/IF(_xlfn.XLOOKUP(Animals!B72,'Base stats'!B:B,'Base stats'!O:O)=2,3,1)))+_xlfn.XLOOKUP(B72,'Base stats'!B:B,'Base stats'!AD:AD),0.005))</f>
        <v>0</v>
      </c>
      <c r="BF72" s="2" t="str">
        <f>IF(J72&gt;0.3,"No",_xlfn.XLOOKUP(_xlfn.XLOOKUP(Animals!B72,'Base stats'!B:B,'Base stats'!E:E),Groups!A:A,Groups!AP:AP))</f>
        <v>No</v>
      </c>
      <c r="BG72" s="2" t="str">
        <f>IF(AND(J72&lt;=0.65,_xlfn.XLOOKUP(_xlfn.XLOOKUP(Animals!B72,'Base stats'!B:B,'Base stats'!E:E),Groups!A:A,Groups!AP:AP)&lt;&gt;"No",_xlfn.XLOOKUP(_xlfn.XLOOKUP(B72,'Base stats'!B:B,'Base stats'!E:E),Groups!A:A,Groups!D:D)=0),MROUND((80/3)*IF(_xlfn.XLOOKUP(B72,'Base stats'!B:B,'Base stats'!O:O)=2,0.2,AO72) + 24*(1-IF(BF72="No",0,BF72)) + 16/3, 12),"No")</f>
        <v>No</v>
      </c>
      <c r="BH72" s="2">
        <f>IF(AND(_xlfn.XLOOKUP(_xlfn.XLOOKUP(B72,'Base stats'!B:B,'Base stats'!E:E),Groups!A:A,Groups!AQ:AQ)=1,AO72&lt;=0.35),8,12)</f>
        <v>12</v>
      </c>
      <c r="BI72" s="2" t="str">
        <f>IF(_xlfn.XLOOKUP(_xlfn.XLOOKUP(B72,'Base stats'!B:B,'Base stats'!E:E),Groups!A:A,Groups!D:D)=0,_xlfn.XLOOKUP(_xlfn.XLOOKUP(B72,'Base stats'!B:B,'Base stats'!E:E),Groups!A:A,Groups!AR:AR),"None")</f>
        <v>None</v>
      </c>
      <c r="BJ72" s="2" t="str">
        <f>IF(AND(_xlfn.XLOOKUP(_xlfn.XLOOKUP(B72,'Base stats'!B:B,'Base stats'!E:E),Groups!A:A,Groups!AS:AS)=1,OR(_xlfn.XLOOKUP(B72,'Base stats'!B:B,'Base stats'!Y:Y)="Carnivore",_xlfn.XLOOKUP(B72,'Base stats'!B:B,'Base stats'!Y:Y)="Omnivore")),"true","false")</f>
        <v>false</v>
      </c>
      <c r="BK72" s="2" t="str">
        <f>IF(BJ72="true",MROUND(IF(AND(AO72&gt;0.5,OR(_xlfn.XLOOKUP(_xlfn.XLOOKUP(B72,'Base stats'!B:B,'Base stats'!E:E),Groups!A:A,Groups!AJ:AJ)="Photonozoa",_xlfn.XLOOKUP(_xlfn.XLOOKUP(B72,'Base stats'!B:B,'Base stats'!E:E),Groups!A:A,Groups!AJ:AJ)="Mammal")),Animals!AO72*1.75*IF(AW72="true",1.5,1),IF(AO72&lt;0.5,Animals!AO72*0.5,Animals!AO72)),IF(AO72&gt;2,0.5,IF(AO72&gt;0.5,0.25,0.1))),"No")</f>
        <v>No</v>
      </c>
      <c r="BL72" s="2">
        <f t="shared" si="10"/>
        <v>0</v>
      </c>
      <c r="BM72" s="25" t="str">
        <f>IF(_xlfn.XLOOKUP(B72,'Base stats'!B:B,'Base stats'!AN:AN)="Standard","No",MROUND((_xlfn.XLOOKUP(B72,'Base stats'!B:B,'Base stats'!AN:AN)/3.6)/I72,0.1))</f>
        <v>No</v>
      </c>
      <c r="BN72" s="25" t="str">
        <f t="shared" si="11"/>
        <v>false</v>
      </c>
      <c r="BO72" s="25" t="str">
        <f>IF(AND(OR(_xlfn.XLOOKUP(B72,'Base stats'!B:B,'Base stats'!Y:Y)="Carnivore",_xlfn.XLOOKUP(B72,'Base stats'!B:B,'Base stats'!Y:Y)="Omnivore",_xlfn.XLOOKUP(B72,'Base stats'!B:B,'Base stats'!Y:Y)="OmnivoreRough"),_xlfn.XLOOKUP(_xlfn.XLOOKUP(B72,'Base stats'!B:B,'Base stats'!E:E),Groups!A:A,Groups!AT:AT)=1),"true","false")</f>
        <v>false</v>
      </c>
      <c r="BP72" s="25" t="str" cm="1">
        <f t="array" ref="BP72">IF(
  _xlfn.TEXTJOIN(", ",TRUE,
    IF(AND(BJ72="true",AO72&gt;0.5,BI72&lt;&gt;"None"),"AttackTarget",""),
    IF(AND(_xlfn.XLOOKUP(_xlfn.XLOOKUP(B72,'Base stats'!B:B,'Base stats'!E:E),Groups!A:A,Groups!AJ:AJ="Mammal"),OR(_xlfn.XLOOKUP(B72,'Base stats'!B:B,'Base stats'!Y:Y)="Omnivore",_xlfn.XLOOKUP(B72,'Base stats'!B:B,'Base stats'!Y:Y)="OmnivoreRough")),"Forage",""),
    IF(BG72&lt;=36,"Comfort",""),
    IF(_xlfn.XLOOKUP(B72,'Base stats'!B:B,'Base stats'!AE:AE)&lt;&gt;"No",_xlfn.XLOOKUP(B72,'Base stats'!B:B,'Base stats'!AE:AE),"")
  ) = "",
  "No",
  _xlfn.TEXTJOIN(", ",TRUE,
    IF(AND(BJ72="true",AO72&gt;0.5,BI72&lt;&gt;"None"),"AttackTarget",""),
    IF(AND(_xlfn.XLOOKUP(_xlfn.XLOOKUP(B72,'Base stats'!B:B,'Base stats'!E:E),Groups!A:A,Groups!AJ:AJ="Mammal"),OR(_xlfn.XLOOKUP(B72,'Base stats'!B:B,'Base stats'!Y:Y)="Omnivore",_xlfn.XLOOKUP(B72,'Base stats'!B:B,'Base stats'!Y:Y)="OmnivoreRough")),"Forage",""),
    IF(BG72&lt;=36,"Comfort",""),
    IF(_xlfn.XLOOKUP(B72,'Base stats'!B:B,'Base stats'!AE:AE)&lt;&gt;"No",_xlfn.XLOOKUP(B72,'Base stats'!B:B,'Base stats'!AE:AE),"")
  )
)</f>
        <v>No</v>
      </c>
      <c r="BQ72" s="25" t="str">
        <f>IF(
   AND(
      'Base stats'!AN72="Standard",_xlfn.XLOOKUP(_xlfn.XLOOKUP(B72,'Base stats'!B:B,'Base stats'!E:E),Groups!A:A,Groups!AU:AU)=0,
      OR(
      BO72="True"
      )
   ),
   10,
   IF(
       OR(BM72&lt;&gt;"No",_xlfn.XLOOKUP(_xlfn.XLOOKUP(B72,'Base stats'!B:B,'Base stats'!E:E),Groups!A:A,Groups!AU:AU)=1),
      1,
      "No"
   )
)</f>
        <v>No</v>
      </c>
      <c r="BR72" s="9">
        <f>MROUND((1 + ((0.2*IF(OR(Q72="No",R72="No",R72=0),0,Q72/R72)
+IF(OR(V72="No",S72="No",T72="No"),0,S72/T72*(LEN(V72)-LEN(SUBSTITUTE(V72,",",""))+1))
+IF(OR(X72="No",Y72="No"),0,X72/Y72)
+IF(OR(AD72="No",AE72="No"),0,AD72/AE72)
+IF(OR(AL72="No",AI72="No",AJ72="No"),0,AI72/AJ72*(LEN(AL72)-LEN(SUBSTITUTE(AL72,",",""))+1))
)/(0.2*IF(OR(Q72="No",R72="No",R72=0),0,1)
+IF(OR(V72="No",S72="No",T72="No"),0,LEN(V72)-LEN(SUBSTITUTE(V72,",",""))+1)
+IF(OR(X72="No",Y72="No"),0,1)
+IF(OR(AD72="No",AE72="No"),0,1)
+IF(OR(AL72="No",AI72="No",AJ72="No"),0,LEN(AL72)-LEN(SUBSTITUTE(AL72,",",""))+1))*62%)* 2)*(1 + (AP72 / (IF(_xlfn.XLOOKUP(_xlfn.XLOOKUP(B72,'Base stats'!B:B,'Base stats'!E:E),Groups!A:A,Groups!AJ:AJ)="Photonozoa",0.3,1)) + _xlfn.XLOOKUP(B72,'Base stats'!B:B,'Base stats'!AV:AV) * 1.8) * 2) * 2.5 + 10 + I72 * 2,5)+IF(_xlfn.XLOOKUP(B72,'Base stats'!B:B,'Base stats'!AK:AK)=1,50,0)</f>
        <v>30</v>
      </c>
      <c r="BS72" s="8">
        <f t="shared" si="12"/>
        <v>0.35000000000000003</v>
      </c>
      <c r="BT72" s="8" t="str">
        <f>_xlfn.XLOOKUP(B72,'Base stats'!B:B,'Base stats'!AF:AF)</f>
        <v>2~6</v>
      </c>
      <c r="BU72" s="2" t="str">
        <f>IF(AND(J72&lt;=0.95,OR(_xlfn.XLOOKUP(B72,'Base stats'!B:B,'Base stats'!AK:AK)=1,_xlfn.XLOOKUP(B72,'Base stats'!B:B,'Base stats'!Y:Y)="Carnivore",_xlfn.XLOOKUP(B72,'Base stats'!B:B,'Base stats'!Y:Y)="Omnivore",BE72&gt;0.1)),"true","false")</f>
        <v>false</v>
      </c>
      <c r="BV72" s="2" t="str">
        <f>IF(_xlfn.XLOOKUP(B72,'Base stats'!B:B,'Base stats'!AI:AI)=1,"true","false")</f>
        <v>false</v>
      </c>
      <c r="BW72" s="25" t="str">
        <f>IF(E72="BaseInsect","AnimalInsect",
IF(J72&gt;0.95,"AnimalExotic",
_xlfn.TEXTJOIN(", ",TRUE,
IF(OR(_xlfn.XLOOKUP(B72,'Base stats'!B:B,'Base stats'!AM:AM)=1,AND(_xlfn.XLOOKUP(B72,'Base stats'!B:B,'Base stats'!O:O)=0,_xlfn.XLOOKUP(_xlfn.XLOOKUP(B72,'Base stats'!B:B,'Base stats'!E:E),Groups!A:A,Groups!B:B)&gt;0)),"AnimalUncommon","AnimalCommon"),
IF(AND(_xlfn.XLOOKUP(B72,'Base stats'!B:B,'Base stats'!O:O)=2,_xlfn.XLOOKUP(_xlfn.XLOOKUP(B72,'Base stats'!B:B,'Base stats'!E:E),Groups!A:A,Groups!D:D)=0),"AnimalPet",IF(AND(_xlfn.XLOOKUP(B72,'Base stats'!B:B,'Base stats'!O:O)&lt;&gt;0,_xlfn.XLOOKUP(_xlfn.XLOOKUP(B72,'Base stats'!B:B,'Base stats'!E:E),Groups!A:A,Groups!D:D)&lt;&gt;0),"AnimalFarm","")),
IF(OR(_xlfn.XLOOKUP(B72,'Base stats'!B:B,'Base stats'!AK:AK)=1,AND(BI72&lt;&gt;"None",BR72&gt;=60),ISNUMBER(SEARCH("Attack target",BP72))),"AnimalFighter","")
)))</f>
        <v>AnimalCommon</v>
      </c>
      <c r="BX72" s="25" t="str">
        <f>IF(G72="None",TRIM(
SUBSTITUTE(
IF(COUNTIF(Biomes!B$2:B$259,"="&amp;$C72)&gt;0,Biomes!B$1&amp;", ","")&amp;
IF(COUNTIF(Biomes!C$2:C$259,"="&amp;$C72)&gt;0,Biomes!C$1&amp;", ","")&amp;
IF(COUNTIF(Biomes!D$2:D$259,"="&amp;$C72)&gt;0,Biomes!D$1&amp;", ","")&amp;
IF(COUNTIF(Biomes!F$2:F$259,"="&amp;$C72)&gt;0,Biomes!F$1&amp;", ","")&amp;
IF(COUNTIF(Biomes!G$2:G$259,"="&amp;$C72)&gt;0,Biomes!G$1&amp;", ","")&amp;
IF(COUNTIF(Biomes!H$2:H$259,"="&amp;$C72)&gt;0,Biomes!H$1&amp;", ","")&amp;
IF(COUNTIF(Biomes!I$2:I$259,"="&amp;$C72)&gt;0,Biomes!I$1&amp;", ","")&amp;
IF(COUNTIF(Biomes!J$2:J$259,"="&amp;$C72)&gt;0,Biomes!J$1&amp;", ","")&amp;
IF(COUNTIF(Biomes!M$2:M$259,"="&amp;$C72)&gt;0,Biomes!M$1&amp;", ","")&amp;
IF(COUNTIF(Biomes!N$2:N$259,"="&amp;$C72)&gt;0,Biomes!N$1&amp;", ","")&amp;
IF(COUNTIF(Biomes!O$2:O$259,"="&amp;$C72)&gt;0,Biomes!O$1&amp;", ","")&amp;
IF(COUNTIF(Biomes!P$2:P$259,"="&amp;$C72)&gt;0,Biomes!P$1&amp;", ","")&amp;
IF(COUNTIF(Biomes!K$2:K$259,"="&amp;$C72)&gt;0,Biomes!K$1&amp;", ","")&amp;
IF(COUNTIF(Biomes!Q$3:Q$259,"="&amp;$C72)&gt;0,Biomes!Q$1&amp;", ","")&amp;
IF(COUNTIF(Biomes!L$2:L$259,"="&amp;$C72)&gt;0,Biomes!L$1&amp;", ","")&amp;
IF(COUNTIF(Biomes!E$2:E$259,"="&amp;$C72)&gt;0,Biomes!E$1&amp;", ","")&amp;IF(COUNTIF(Biomes!S$2:S$259,"="&amp;$C72)&gt;0,Biomes!S$1&amp;", ","")&amp;
IF(COUNTIF(Biomes!R$2:R$259,"="&amp;$C72)&gt;0,Biomes!R$1&amp;", ",""),", ","")
),_xlfn.XLOOKUP(B72,B:B,BX:BX))</f>
        <v>TropicalRainforest TropicalSwamp Glowforest</v>
      </c>
      <c r="BY72" s="25" t="str">
        <f>IF(_xlfn.XLOOKUP(B72,'Base stats'!B:B,'Base stats'!AJ:AJ)=1,"true","false")</f>
        <v>false</v>
      </c>
      <c r="BZ72" s="25">
        <f>IF(_xlfn.XLOOKUP(B72,'Base stats'!B:B,'Base stats'!N:N)=1,"No",MAX(0.001,MIN(MROUND(IF(AND(BJ72="True",CC72="False"),POWER(10,3.47*LOG10(_xlfn.XLOOKUP(B72,'Base stats'!B:B,'Base stats'!C:C)*1000)^-0.96),POWER(10,4.15*LOG10(_xlfn.XLOOKUP(B72,'Base stats'!B:B,'Base stats'!C:C)*1000)^-0.73))*IF(_xlfn.XLOOKUP(B72,'Base stats'!B:B,'Base stats'!AK:AK)=1,0.5,1)*IF(_xlfn.XLOOKUP(B72,'Base stats'!B:B,'Base stats'!AM:AM)=1,0.1,1)/100,IF(_xlfn.XLOOKUP(B72,'Base stats'!B:B,'Base stats'!AM:AM)=1,0.001,0.025)),0.5)))</f>
        <v>0.42500000000000004</v>
      </c>
      <c r="CA72" s="25" t="str">
        <f>IF(P72="Standard","No",MAX(0.001,MIN(MROUND(IF(AND(BJ72="True",CC72="False"),POWER(10,3.47*LOG10(_xlfn.XLOOKUP(B72,'Base stats'!B:B,'Base stats'!C:C)*1000)^-0.96),POWER(10,4.15*LOG10(_xlfn.XLOOKUP(B72,'Base stats'!B:B,'Base stats'!C:C)*1000)^-0.73))*IF(_xlfn.XLOOKUP(B72,'Base stats'!B:B,'Base stats'!AM:AM)=1,0.1,1)*_xlfn.XLOOKUP(B72,'Base stats'!B:B,'Base stats'!R:R)/100,IF(_xlfn.XLOOKUP(B72,'Base stats'!B:B,'Base stats'!AM:AM)=1,0.001,0.025)),0.5)))</f>
        <v>No</v>
      </c>
      <c r="CB72" s="25" t="str">
        <f>IF(_xlfn.XLOOKUP(_xlfn.XLOOKUP(B72,'Base stats'!B:B,'Base stats'!E:E),Groups!A:A,Groups!AJ:AJ)="Mammal","True","False")</f>
        <v>False</v>
      </c>
      <c r="CC72" s="25" t="str">
        <f>IF(OR(_xlfn.XLOOKUP(_xlfn.XLOOKUP(B72,'Base stats'!B:B,'Base stats'!E:E),Groups!A:A,Groups!AJ:AJ)="Reptile",_xlfn.XLOOKUP(_xlfn.XLOOKUP(B72,'Base stats'!B:B,'Base stats'!E:E),Groups!A:A,Groups!AJ:AJ)="Amphibian",_xlfn.XLOOKUP(_xlfn.XLOOKUP(B72,'Base stats'!B:B,'Base stats'!E:E),Groups!A:A,Groups!AJ:AJ)="Invertebrate"),"True","False")</f>
        <v>False</v>
      </c>
      <c r="CD72" s="25" t="str">
        <f t="shared" si="13"/>
        <v>False</v>
      </c>
      <c r="CE72" s="25" t="str">
        <f>IF(_xlfn.XLOOKUP(_xlfn.XLOOKUP(B72,'Base stats'!B:B,'Base stats'!E:E),Groups!A:A,Groups!AX:AX),"True","False")</f>
        <v>False</v>
      </c>
      <c r="CF72" s="25" t="str">
        <f>IF(_xlfn.XLOOKUP(_xlfn.XLOOKUP(B72,'Base stats'!B:B,'Base stats'!E:E),Groups!A:A,Groups!AY:AY),"True","False")</f>
        <v>False</v>
      </c>
      <c r="CG72" s="25" t="str">
        <f>IF(_xlfn.XLOOKUP(_xlfn.XLOOKUP(B72,'Base stats'!B:B,'Base stats'!E:E),Groups!A:A,Groups!AW:AW),"True","False")</f>
        <v>False</v>
      </c>
      <c r="CH72" s="25" t="str">
        <f>IF(
OR(
_xlfn.XLOOKUP(_xlfn.XLOOKUP(B72,'Base stats'!B:B,'Base stats'!E:E),Groups!A:A,Groups!AZ:AZ)=0,
AND(
_xlfn.XLOOKUP(B72,'Base stats'!B:B,'Base stats'!Y:Y)&lt;&gt;"Carnivore",
_xlfn.XLOOKUP(B72,'Base stats'!B:B,'Base stats'!Y:Y)&lt;&gt;"Omnivore",
_xlfn.XLOOKUP(B72,'Base stats'!B:B,'Base stats'!Y:Y)&lt;&gt;"OmnivoreRough"
)
),
"No",
IF(
_xlfn.XLOOKUP(_xlfn.XLOOKUP(B72,'Base stats'!B:B,'Base stats'!E:E),Groups!A:A,Groups!AZ:AZ)=1,
"Flesh",
IF(
_xlfn.XLOOKUP(_xlfn.XLOOKUP(B72,'Base stats'!B:B,'Base stats'!E:E),Groups!A:A,Groups!AZ:AZ)=2,
"Bone",
""
)
)
)</f>
        <v>No</v>
      </c>
      <c r="CI72" s="25" t="str">
        <f>IF(_xlfn.XLOOKUP(_xlfn.XLOOKUP(B72,'Base stats'!B:B,'Base stats'!E:E),Groups!A:A,Groups!BB:BB),"True","False")</f>
        <v>True</v>
      </c>
      <c r="CJ72" s="25" t="str">
        <f>IF(_xlfn.XLOOKUP(_xlfn.XLOOKUP(B72,'Base stats'!B:B,'Base stats'!E:E),Groups!A:A,Groups!BA:BA),"True","False")</f>
        <v>False</v>
      </c>
    </row>
    <row r="73" spans="1:88" ht="17.25" customHeight="1" thickTop="1" thickBot="1" x14ac:dyDescent="0.3">
      <c r="A73" s="26" t="str">
        <f>_xlfn.XLOOKUP(B73,'Base stats'!B:B,'Base stats'!A:A)</f>
        <v>Vulture</v>
      </c>
      <c r="B73" s="6" t="s">
        <v>226</v>
      </c>
      <c r="C73" s="28" t="s">
        <v>753</v>
      </c>
      <c r="D73" s="28" t="s">
        <v>870</v>
      </c>
      <c r="E73" s="28" t="s">
        <v>675</v>
      </c>
      <c r="F73" s="28" t="s">
        <v>676</v>
      </c>
      <c r="G73" s="28" t="s">
        <v>673</v>
      </c>
      <c r="H73" s="2">
        <f>MROUND((
  (IF(AND(_xlfn.XLOOKUP(B73,'Base stats'!B:B,'Base stats'!AL:AL)=0,BI73="None",_xlfn.XLOOKUP(_xlfn.XLOOKUP(B73,'Base stats'!B:B,'Base stats'!E:E),Groups!A:A,Groups!B:B)=0), (18 + BR73 * 2.7) * 0.5,
    IF(AND(_xlfn.XLOOKUP(B73,'Base stats'!B:B,'Base stats'!AL:AL)=0,OR(AO73&lt;0.55,AND(BI73="Intermediate",_xlfn.XLOOKUP(_xlfn.XLOOKUP(B73,'Base stats'!B:B,'Base stats'!E:E),Groups!A:A,Groups!B:B)&lt;2))), (18 + BR73 * 2.7),
      IF(OR(BI73="Advanced",_xlfn.XLOOKUP(B73,'Base stats'!B:B,'Base stats'!AL:AL)=1,_xlfn.XLOOKUP(_xlfn.XLOOKUP(B73,'Base stats'!B:B,'Base stats'!E:E),Groups!A:A,Groups!B:B)=2), (18 + BR73 * 2.7) + 250, (18 + BR73 * 2.7))
    )
  ))
  + AO73 * 80
  + IF(COUNTIF(EggMilk!K$2:K$998, A73) &gt; 0, 125, 0)
  + IF(COUNTIF(EggMilk!P$2:P$998, A73) &gt; 0, 90, 0)
  + IF(COUNTIF(EggMilk!A$2:A$998, A73) &gt; 0, 90, 0)
)
* (0.8 + 0.4 * J73)
* 0.75,25)</f>
        <v>175</v>
      </c>
      <c r="I73" s="2">
        <f>MROUND(ROUNDDOWN(_xlfn.XLOOKUP(B73,'Base stats'!B:B,'Base stats'!L:L)/3.6/(23.3/11),1),0.5)</f>
        <v>2</v>
      </c>
      <c r="J73" s="2">
        <f>IF(OR(_xlfn.XLOOKUP(B73,'Base stats'!B:B,'Base stats'!AB:AB)=1,_xlfn.XLOOKUP(_xlfn.XLOOKUP(B73,'Base stats'!B:B,'Base stats'!E:E),Groups!A:A,Groups!C:C)="Untamable"),1,IF(_xlfn.XLOOKUP(B73,'Base stats'!B:B,'Base stats'!AL:AL)=1,0.99,MIN(MROUND((1-0.6282*EXP(-0.459*AO73))*_xlfn.XLOOKUP(_xlfn.XLOOKUP(B73,'Base stats'!B:B,'Base stats'!E:E),Groups!A:A,Groups!C:C)*IF(_xlfn.XLOOKUP(B73,'Base stats'!B:B,'Base stats'!O:O)=1,0.5,IF(_xlfn.XLOOKUP(B73,'Base stats'!B:B,'Base stats'!O:O)=2,0,1)),0.05),IF(AO73&gt;3.5,0.985,0.95))))</f>
        <v>0.55000000000000004</v>
      </c>
      <c r="K73" s="2">
        <f>ROUNDUP(AO73*_xlfn.XLOOKUP(_xlfn.XLOOKUP(B73,'Base stats'!B:B,'Base stats'!E:E),Groups!A:A,Groups!E:E),0)</f>
        <v>4</v>
      </c>
      <c r="L73" s="2">
        <f>IF(OR(_xlfn.XLOOKUP(_xlfn.XLOOKUP(B73,'Base stats'!B:B,'Base stats'!E:E),Groups!A:A,Groups!F:F)=2,ISNUMBER(SEARCH("SeaIce",BX73)),ISNUMBER(SEARCH("IceSheet",BX73))),-50,IF(OR(ISNUMBER(SEARCH("GlacialPlain",BX73)),ISNUMBER(SEARCH("Tundra",BX73))),-40,IF(OR(ISNUMBER(SEARCH("Alpine",BX73)),ISNUMBER(SEARCH("BorealForest",BX73)),ISNUMBER(SEARCH("ColdBog",BX73))),-30,IF(OR(ISNUMBER(SEARCH("TemperateForest",BX73)),ISNUMBER(SEARCH("TemperateSwamp",BX73))),-20,IF(_xlfn.XLOOKUP(_xlfn.XLOOKUP(B73,'Base stats'!B:B,'Base stats'!E:E),Groups!A:A,Groups!F:F)=1,-15,IF(OR(ISNUMBER(SEARCH("Desert",BX73)),ISNUMBER(SEARCH("ExtremeDesert",BX73))),-10,IF(OR(ISNUMBER(SEARCH("Grasslands",BX73)),ISNUMBER(SEARCH("TropicalRainforest",BX73)),ISNUMBER(SEARCH("TropicalSwamp",BX73))),10,0)))))))-IF(CC73="False",MIN(IFERROR(MAX(MROUND(LOG10(_xlfn.XLOOKUP(B73,'Base stats'!B:B,'Base stats'!C:C)^(2/3))*10,5),5),5),30))-_xlfn.XLOOKUP(B73,'Base stats'!B:B,'Base stats'!P:P)+IF(CC73="True",5,0)</f>
        <v>-15</v>
      </c>
      <c r="M73" s="2">
        <f>IF(OR(_xlfn.XLOOKUP(_xlfn.XLOOKUP(B73,'Base stats'!B:B,'Base stats'!E:E),Groups!A:A,Groups!G:G)=2,ISNUMBER(SEARCH("Desert",BX73)),ISNUMBER(SEARCH("ExtremeDesert",BX73)),ISNUMBER(SEARCH("LavaField",BX73))),50,IF(ISNUMBER(SEARCH("Grasslands",BX73)),45,IF(OR(_xlfn.XLOOKUP(_xlfn.XLOOKUP(B73,'Base stats'!B:B,'Base stats'!E:E),Groups!A:A,Groups!G:G)=1,ISNUMBER(SEARCH("TropicalRainforest",BX73)),ISNUMBER(SEARCH("TropicalSwamp",BX73))),40,IF(OR(ISNUMBER(SEARCH("TemperateForest",BX73)),ISNUMBER(SEARCH("TemperateSwamp",BX73))),35,IF(OR(ISNUMBER(SEARCH("Alpine",BX73)),ISNUMBER(SEARCH("BorealForest",BX73)),ISNUMBER(SEARCH("ColdBog",BX73))),30,IF(ISNUMBER(OR(ISNUMBER(SEARCH("GlacialPlain",BX73)),SEARCH("Tundra",BX73))),25,IF(OR(ISNUMBER(SEARCH("SeaIce",BX73)),ISNUMBER(SEARCH("IceSheet",BX73)),ISNUMBER(SEARCH("TropicalSwamp",BX73))),10,35)))))))+_xlfn.XLOOKUP(B73,'Base stats'!B:B,'Base stats'!Q:Q)</f>
        <v>50</v>
      </c>
      <c r="N73" s="8" t="str">
        <f>IF(
_xlfn.XLOOKUP(
_xlfn.XLOOKUP(B73,'Base stats'!B:B,'Base stats'!E:E),
Groups!A:A,
Groups!L:L
)=1,
MIN(
MROUND(
IF(
_xlfn.XLOOKUP(B73,'Animals CE'!B:B,'Animals CE'!Z:Z)&lt;=1.5,
_xlfn.XLOOKUP(B73,'Animals CE'!B:B,'Animals CE'!Z:Z)/2+0.05,
0.8+
(_xlfn.XLOOKUP(B73,'Animals CE'!B:B,'Animals CE'!Z:Z)-1.5)
*0.02
),
0.05
),
200%
),
"No"
)</f>
        <v>No</v>
      </c>
      <c r="O73" s="8" t="str">
        <f>IF(
_xlfn.XLOOKUP(
_xlfn.XLOOKUP(B73,'Base stats'!B:B,'Base stats'!E:E),
Groups!A:A,
Groups!L:L
)=1,
MIN(
MROUND(
IF(
_xlfn.XLOOKUP(B73,'Animals CE'!B:B,'Animals CE'!AA:AA)&lt;=1.5,
_xlfn.XLOOKUP(B73,'Animals CE'!B:B,'Animals CE'!AA:AA)/2+0.05,
0.8+
(_xlfn.XLOOKUP(B73,'Animals CE'!B:B,'Animals CE'!AA:AA)-1.5)
*0.02
),
0.05
),
200%
),
"No"
)</f>
        <v>No</v>
      </c>
      <c r="P73" s="2" t="str">
        <f>_xlfn.XLOOKUP(B73,'Base stats'!B:B,'Base stats'!R:R)</f>
        <v>Standard</v>
      </c>
      <c r="Q73" s="13">
        <f>MROUND((LOG10(_xlfn.XLOOKUP(B73,'Base stats'!B:B,'Base stats'!AR:AR))*(AO73^0.5)+(_xlfn.XLOOKUP(B73,'Base stats'!B:B,'Base stats'!AR:AR)/1000)^(2/3)+_xlfn.XLOOKUP(B73,'Base stats'!B:B,'Base stats'!BA:BA)/2)+0.5,0.5)</f>
        <v>2.5</v>
      </c>
      <c r="R73" s="7">
        <f>IF(Q73="No","No",MAX(1,MROUND(_xlfn.XLOOKUP(B73,'Base stats'!B:B,'Base stats'!C:C)^0.165,0.05)))</f>
        <v>1.3</v>
      </c>
      <c r="S73" s="13">
        <f>IF(_xlfn.XLOOKUP(_xlfn.XLOOKUP(B73,'Base stats'!B:B,'Base stats'!E:E),Groups!A:A,Groups!P:P)=0,"No",MROUND((LOG10(_xlfn.XLOOKUP(B73,'Base stats'!B:B,'Base stats'!AS:AS))*(AO73^0.5)+(_xlfn.XLOOKUP(B73,'Base stats'!B:B,'Base stats'!AS:AS)/1000)^(2/3)+_xlfn.XLOOKUP(B73,'Base stats'!B:B,'Base stats'!BA:BA))+_xlfn.XLOOKUP(B73,'Base stats'!B:B,'Base stats'!AY:AY)+0.5,0.5))</f>
        <v>4.5</v>
      </c>
      <c r="T73" s="7">
        <f>IF(S73="No","No",MAX(_xlfn.XLOOKUP(_xlfn.XLOOKUP(B73,'Base stats'!B:B,'Base stats'!E:E),Groups!A:A,Groups!Q:Q),MROUND(_xlfn.XLOOKUP(_xlfn.XLOOKUP(B73,'Base stats'!B:B,'Base stats'!E:E),Groups!A:A,Groups!Q:Q)*_xlfn.XLOOKUP(B73,'Base stats'!B:B,'Base stats'!C:C)^0.165,0.05)))</f>
        <v>1.3</v>
      </c>
      <c r="U73" s="7" t="str">
        <f>IF(S73="No","No",_xlfn.XLOOKUP(_xlfn.XLOOKUP(B73,'Base stats'!B:B,'Base stats'!E:E),Groups!A:A,Groups!R:R))</f>
        <v>Feet</v>
      </c>
      <c r="V73" s="7" t="str">
        <f>IF(S73="No","No",_xlfn.XLOOKUP(_xlfn.XLOOKUP(B73,'Base stats'!B:B,'Base stats'!E:E),Groups!A:A,Groups!S:S))</f>
        <v>rear left claw, rear  right claw</v>
      </c>
      <c r="W73" s="7" t="str">
        <f>IF(S73="No","No",_xlfn.XLOOKUP(_xlfn.XLOOKUP(B73,'Base stats'!B:B,'Base stats'!E:E),Groups!A:A,Groups!T:T))</f>
        <v>Scratch</v>
      </c>
      <c r="X73" s="13" t="str">
        <f>IF(_xlfn.XLOOKUP(B73,'Base stats'!B:B,'Base stats'!W:W)="No","No",MROUND((LOG10(_xlfn.XLOOKUP(B73,'Base stats'!B:B,'Base stats'!AU:AU))*(AO73^0.5)+(_xlfn.XLOOKUP(B73,'Base stats'!B:B,'Base stats'!AU:AU)/1000)^(2/3)+_xlfn.XLOOKUP(B73,'Base stats'!B:B,'Base stats'!AZ:AZ))+0.5+IF(_xlfn.XLOOKUP(_xlfn.XLOOKUP(B73,'Base stats'!B:B,'Base stats'!E:E),Groups!A:A,Groups!U:U)&lt;&gt;3,_xlfn.XLOOKUP(B73,'Base stats'!B:B,'Base stats'!BA:BA),0),0.5))</f>
        <v>No</v>
      </c>
      <c r="Y73" s="7" t="str">
        <f>IF(X73="No","No",MAX(_xlfn.XLOOKUP(_xlfn.XLOOKUP(B73,'Base stats'!B:B,'Base stats'!E:E),Groups!A:A,Groups!V:V),MROUND(_xlfn.XLOOKUP(_xlfn.XLOOKUP(B73,'Base stats'!B:B,'Base stats'!E:E),Groups!A:A,Groups!V:V)*_xlfn.XLOOKUP(B73,'Base stats'!B:B,'Base stats'!C:C)^0.165,0.05)))</f>
        <v>No</v>
      </c>
      <c r="Z73" s="7" t="str">
        <f>IF(X73="No","No",_xlfn.XLOOKUP(_xlfn.XLOOKUP(B73,'Base stats'!B:B,'Base stats'!E:E),Groups!A:A,Groups!W:W))</f>
        <v>No</v>
      </c>
      <c r="AA73" s="7" t="str">
        <f>IF(X73="No","No",_xlfn.XLOOKUP(_xlfn.XLOOKUP(B73,'Base stats'!B:B,'Base stats'!E:E),Groups!A:A,Groups!X:X))</f>
        <v>No</v>
      </c>
      <c r="AB73" s="7" t="str">
        <f>IF(X73="No","No",_xlfn.XLOOKUP(_xlfn.XLOOKUP(B73,'Base stats'!B:B,'Base stats'!E:E),Groups!A:A,Groups!Y:Y))</f>
        <v>No</v>
      </c>
      <c r="AC73" s="7" t="str">
        <f>_xlfn.XLOOKUP(Animals!B73,'Base stats'!B:B,'Base stats'!X:X)</f>
        <v>False</v>
      </c>
      <c r="AD73" s="13">
        <f>IF(_xlfn.XLOOKUP(B73,'Base stats'!B:B,'Base stats'!AT:AT)="No","No",MROUND((LOG10(_xlfn.XLOOKUP(B73,'Base stats'!B:B,'Base stats'!AT:AT))*(AO73^0.75)+(_xlfn.XLOOKUP(B73,'Base stats'!B:B,'Base stats'!AT:AT)/1000)^(2/3)+_xlfn.XLOOKUP(B73,'Base stats'!B:B,'Base stats'!AX:AX)+_xlfn.XLOOKUP(B73,'Base stats'!B:B,'Base stats'!BA:BA))+0.5,0.5))</f>
        <v>2.5</v>
      </c>
      <c r="AE73" s="7">
        <f>IF(AD73="No","No",MAX(_xlfn.XLOOKUP(_xlfn.XLOOKUP(B73,'Base stats'!B:B,'Base stats'!E:E),Groups!A:A,Groups!Z:Z),MROUND(_xlfn.XLOOKUP(_xlfn.XLOOKUP(B73,'Base stats'!B:B,'Base stats'!E:E),Groups!A:A,Groups!Z:Z)*_xlfn.XLOOKUP(B73,'Base stats'!B:B,'Base stats'!C:C)^0.165,0.05)))</f>
        <v>1.3</v>
      </c>
      <c r="AF73" s="7" t="str">
        <f>IF(AD73="No","No",_xlfn.XLOOKUP(_xlfn.XLOOKUP(B73,'Base stats'!B:B,'Base stats'!E:E),Groups!A:A,Groups!AA:AA))</f>
        <v>Beak</v>
      </c>
      <c r="AG73" s="7" t="str">
        <f>IF(AD73="No","No",_xlfn.XLOOKUP(_xlfn.XLOOKUP(B73,'Base stats'!B:B,'Base stats'!E:E),Groups!A:A,Groups!AB:AB))</f>
        <v>beak</v>
      </c>
      <c r="AH73" s="7" t="str">
        <f>IF(AD73="No","No",_xlfn.XLOOKUP(_xlfn.XLOOKUP(B73,'Base stats'!B:B,'Base stats'!E:E),Groups!A:A,Groups!AC:AC))</f>
        <v>Blunt</v>
      </c>
      <c r="AI73" s="13" t="str">
        <f>IF(_xlfn.XLOOKUP(_xlfn.XLOOKUP(B73,'Base stats'!B:B,'Base stats'!E:E),Groups!A:A,Groups!AD:AD)=0,"No",MROUND((LOG10(_xlfn.XLOOKUP(B73,'Base stats'!B:B,'Base stats'!AS:AS))*(AO73^0.75)+(_xlfn.XLOOKUP(B73,'Base stats'!B:B,'Base stats'!AS:AS)/1000)^(2/3)+_xlfn.XLOOKUP(B73,'Base stats'!B:B,'Base stats'!AY:AY)+_xlfn.XLOOKUP(B73,'Base stats'!B:B,'Base stats'!BA:BA))+0.5,0.5))</f>
        <v>No</v>
      </c>
      <c r="AJ73" s="7" t="str">
        <f>IF(AI73="No","No",MAX(_xlfn.XLOOKUP(_xlfn.XLOOKUP(B73,'Base stats'!B:B,'Base stats'!E:E),Groups!A:A,Groups!AE:AE),MROUND(_xlfn.XLOOKUP(_xlfn.XLOOKUP(B73,'Base stats'!B:B,'Base stats'!E:E),Groups!A:A,Groups!AE:AE)*IF(_xlfn.XLOOKUP(_xlfn.XLOOKUP(B73,'Base stats'!B:B,'Base stats'!E:E),Groups!A:A,Groups!AJ:AJ)="Photonozoa",0.6,1)*_xlfn.XLOOKUP(B73,'Base stats'!B:B,'Base stats'!C:C)^0.165,0.05)))</f>
        <v>No</v>
      </c>
      <c r="AK73" s="7" t="str">
        <f>IF(AI73="No","No",_xlfn.XLOOKUP(_xlfn.XLOOKUP(B73,'Base stats'!B:B,'Base stats'!E:E),Groups!A:A,Groups!AF:AF))</f>
        <v>No</v>
      </c>
      <c r="AL73" s="7" t="str">
        <f>IF(AI73="No","No",_xlfn.XLOOKUP(_xlfn.XLOOKUP(B73,'Base stats'!B:B,'Base stats'!E:E),Groups!A:A,Groups!AG:AG))</f>
        <v>No</v>
      </c>
      <c r="AM73" s="7" t="str">
        <f>IF(AI73="No","No",_xlfn.XLOOKUP(_xlfn.XLOOKUP(B73,'Base stats'!B:B,'Base stats'!E:E),Groups!A:A,Groups!AH:AH))</f>
        <v>No</v>
      </c>
      <c r="AN73" s="2" t="str">
        <f t="shared" si="7"/>
        <v>No</v>
      </c>
      <c r="AO73" s="2">
        <f>MROUND(IF(AND(_xlfn.XLOOKUP(B73,'Base stats'!B:B,'Base stats'!C:C)&gt;=0.5,_xlfn.XLOOKUP(B73,'Base stats'!B:B,'Base stats'!C:C)&lt;=0.8),
IF(_xlfn.XLOOKUP(B73,'Base stats'!B:B,'Base stats'!C:C)&lt;0.1,0.05,IF(_xlfn.XLOOKUP(B73,'Base stats'!B:B,'Base stats'!C:C)&lt;=70,(_xlfn.XLOOKUP(B73,'Base stats'!B:B,'Base stats'!C:C)/70)^0.426489913056526,IF(_xlfn.XLOOKUP(B73,'Base stats'!B:B,'Base stats'!C:C)&lt;=400,(_xlfn.XLOOKUP(B73,'Base stats'!B:B,'Base stats'!C:C)/70)^0.572811455315093,IF(_xlfn.XLOOKUP(B73,'Base stats'!B:B,'Base stats'!C:C)&lt;=2000,2.71391647193063*(_xlfn.XLOOKUP(B73,'Base stats'!B:B,'Base stats'!C:C)/400)^0.252459582904293,3.74314280240376*(_xlfn.XLOOKUP(B73,'Base stats'!B:B,'Base stats'!C:C)/2000)^0.357012633876913)))),
IF(_xlfn.XLOOKUP(B73,'Base stats'!B:B,'Base stats'!C:C)&lt;0.1,0.05,IF(_xlfn.XLOOKUP(B73,'Base stats'!B:B,'Base stats'!C:C)&lt;0.4,0.1,IF(_xlfn.XLOOKUP(B73,'Base stats'!B:B,'Base stats'!C:C)&lt;=70,(_xlfn.XLOOKUP(B73,'Base stats'!B:B,'Base stats'!C:C)/70)^0.445823913056526,IF(_xlfn.XLOOKUP(B73,'Base stats'!B:B,'Base stats'!C:C)&lt;=400,(_xlfn.XLOOKUP(B73,'Base stats'!B:B,'Base stats'!C:C)/70)^0.572811455315093,IF(_xlfn.XLOOKUP(B73,'Base stats'!B:B,'Base stats'!C:C)&lt;=2000,2.71391647193063*(_xlfn.XLOOKUP(B73,'Base stats'!B:B,'Base stats'!C:C)/400)^0.252459582904293,3.74314280240376*(_xlfn.XLOOKUP(B73,'Base stats'!B:B,'Base stats'!C:C)/2000)^0.357012633876913)))))),
IF(_xlfn.XLOOKUP(B73,'Base stats'!B:B,'Base stats'!C:C)&lt;0.1,0.05,IF(_xlfn.XLOOKUP(B73,'Base stats'!B:B,'Base stats'!C:C)&lt;=100,0.05,IF(_xlfn.XLOOKUP(B73,'Base stats'!B:B,'Base stats'!C:C)&lt;=250,0.1,IF(_xlfn.XLOOKUP(B73,'Base stats'!B:B,'Base stats'!C:C)&lt;=4000,0.25,0.5)))))</f>
        <v>0.30000000000000004</v>
      </c>
      <c r="AP73" s="8">
        <f>MROUND(AO73*_xlfn.XLOOKUP(_xlfn.XLOOKUP(B73,'Base stats'!B:B,'Base stats'!E:E),Groups!A:A,Groups!AI:AI)*_xlfn.XLOOKUP(B73,'Base stats'!B:B,'Base stats'!Z:Z),0.05)</f>
        <v>0.30000000000000004</v>
      </c>
      <c r="AQ73" s="8">
        <f>MAX(0.01,MROUND(IF(CC73="True",0.196*(AO73*100*1000)^0.889,IF(_xlfn.XLOOKUP(_xlfn.XLOOKUP(B73,'Base stats'!B:B,'Base stats'!E:E),Groups!A:A,Groups!AJ:AJ)="Bird",10.5*(AO73*100*1000)^0.681,4.82*(AO73*100*1000)^0.734))/(4.82*(1*100*1000)^0.734)/IF(AO73&lt;3.5,2,IF(AO73=3.5,1.5,1.25))*(1+0.132282374779864/(AO73^0.994035016789033+0.00905238001496948)),0.05))</f>
        <v>0.35000000000000003</v>
      </c>
      <c r="AR73" s="9">
        <f>IFERROR(MROUND(_xlfn.XLOOKUP(B73,'Base stats'!B:B,'Base stats'!H:H)/IF(_xlfn.XLOOKUP(B73,'Base stats'!B:B,'Base stats'!I:I)&lt;&gt;1,(122.5/70),1.2),IF(_xlfn.XLOOKUP(B73,'Base stats'!B:B,'Base stats'!H:H)&gt;=30,5,IF(_xlfn.XLOOKUP(B73,'Base stats'!B:B,'Base stats'!H:H)&gt;=15,3,IF(_xlfn.XLOOKUP(B73,'Base stats'!B:B,'Base stats'!H:H)&gt;=10,2,1)))),"Immortal")</f>
        <v>12</v>
      </c>
      <c r="AS73" s="35" t="str">
        <f>IFERROR(IF(OR(_xlfn.XLOOKUP(B73,'Base stats'!B:B,'Base stats'!F:F)="Atypical reproduction",_xlfn.XLOOKUP(B73,'Base stats'!B:B,'Base stats'!F:F)="Lay eggs"),"Lay eggs",MIN(20,MAX(5.5,ROUND(((_xlfn.XLOOKUP(B73,'Base stats'!B:B,'Base stats'!F:F)-25)*(14.5/615) + 5.5)*2,0)/2))),"Unknown")</f>
        <v>Lay eggs</v>
      </c>
      <c r="AT73" s="8">
        <f>IF(_xlfn.XLOOKUP(B73,'Base stats'!B:B,'Base stats'!G:G)="Atypical reproduction","No",IFERROR(MAX(IF(_xlfn.XLOOKUP(B73,'Base stats'!B:B,'Base stats'!G:G)&lt;0.5,0.2,0.3),MROUND(_xlfn.XLOOKUP(B73,'Base stats'!B:B,'Base stats'!G:G)/(365/60),0.2)),"Unknown"))</f>
        <v>1</v>
      </c>
      <c r="AU73" s="8">
        <f t="shared" si="8"/>
        <v>0.5</v>
      </c>
      <c r="AV73" s="8" t="str">
        <f>IFERROR(IFERROR(MROUND(_xlfn.XLOOKUP(B73,'Base stats'!B:B,'Base stats'!J:J),0.1),"Lay eggs"),"Cannot breed")</f>
        <v>Lay eggs</v>
      </c>
      <c r="AW73" s="2" t="str">
        <f t="shared" si="9"/>
        <v>false</v>
      </c>
      <c r="AX73" s="2" t="str">
        <f>IF(_xlfn.XLOOKUP(_xlfn.XLOOKUP(Animals!B73,'Base stats'!B:B,'Base stats'!E:E),Groups!A:A,Groups!AK:AK)=1,"true","false")</f>
        <v>false</v>
      </c>
      <c r="AY73" s="25" t="str">
        <f>IF(_xlfn.XLOOKUP(B73,'Base stats'!B:B,'Base stats'!Y:Y)="Liquor","Liquor, CarnivoreAnimalStrict",IF(AND(_xlfn.XLOOKUP(B73,'Base stats'!B:B,'Base stats'!Y:Y)="Carnivore",_xlfn.XLOOKUP(_xlfn.XLOOKUP(B73,'Base stats'!B:B,'Base stats'!E:E),Groups!A:A,Groups!AJ:AJ)="Photonozoa"),"CarnivoreAnimalStrict, OvivoreAnimal",IF(_xlfn.XLOOKUP(B73,'Base stats'!B:B,'Base stats'!Y:Y)="Carnivore","CarnivoreAnimal, OvivoreAnimal",IF(_xlfn.XLOOKUP(B73,'Base stats'!B:B,'Base stats'!Y:Y)="Dendrovore","VegetarianRoughAnimal, DendrovoreAnimal",IF(_xlfn.XLOOKUP(B73,'Base stats'!B:B,'Base stats'!Y:Y)="Herbivore","VegetarianRoughAnimal",IF(_xlfn.XLOOKUP(B73,'Base stats'!B:B,'Base stats'!Y:Y)="OmnivoreRough","OmnivoreRoughAnimal, OvivoreAnimal","OmnivoreAnimal, OvivoreAnimal"))))))</f>
        <v>CarnivoreAnimal, OvivoreAnimal</v>
      </c>
      <c r="AZ73" s="2" t="str">
        <f>IF(_xlfn.XLOOKUP(_xlfn.XLOOKUP(B73,'Base stats'!B:B,'Base stats'!E:E),Groups!A:A,Groups!D:D)=1,MROUND((1-J73)*5+1,2)*IF(J73&lt;=0.4,2,1),"No")</f>
        <v>No</v>
      </c>
      <c r="BA73" s="2" t="str">
        <f>IF(AND(_xlfn.XLOOKUP(B73,'Base stats'!B:B,'Base stats'!AH:AH)="&lt;li&gt;Seal&lt;/li&gt;",G73="Odyssey"),"&lt;li&gt;AEXP_Seal&lt;/li&gt;",_xlfn.XLOOKUP(B73,'Base stats'!B:B,'Base stats'!AH:AH))</f>
        <v>&lt;li&gt;Cassowary&lt;/li&gt;</v>
      </c>
      <c r="BB73" s="2" t="str">
        <f>_xlfn.XLOOKUP(B73,'Base stats'!B:B,'Base stats'!AG:AG)</f>
        <v>No</v>
      </c>
      <c r="BC73" s="23" t="str">
        <f>_xlfn.XLOOKUP(_xlfn.XLOOKUP(B73,'Base stats'!B:B,'Base stats'!E:E),Groups!A:A,Groups!AL:AL)</f>
        <v>Bird</v>
      </c>
      <c r="BD73" s="23">
        <f>MIN(1,MROUND(IF(AND(AO73&lt;0.5,_xlfn.XLOOKUP(B73,'Base stats'!B:B,'Base stats'!AA:AA)=0),0,IF(OR(_xlfn.XLOOKUP(Animals!B73,'Base stats'!B:B,'Base stats'!O:O)=2,_xlfn.XLOOKUP(_xlfn.XLOOKUP(B73,'Base stats'!B:B,'Base stats'!E:E),Groups!A:A,Groups!AN:AN)=0),0,_xlfn.XLOOKUP(_xlfn.XLOOKUP(B73,'Base stats'!B:B,'Base stats'!E:E),Groups!A:A,Groups!AN:AN)/IF(_xlfn.XLOOKUP(Animals!B73,'Base stats'!B:B,'Base stats'!O:O)=1,2,1)))+_xlfn.XLOOKUP(B73,'Base stats'!B:B,'Base stats'!AC:AC),0.005))</f>
        <v>0</v>
      </c>
      <c r="BE73" s="23">
        <f>MIN(1,MROUND(IF(AND(AO73&lt;0.5,_xlfn.XLOOKUP(B73,'Base stats'!B:B,'Base stats'!AA:AA)=0),0,IF(_xlfn.XLOOKUP(_xlfn.XLOOKUP(B73,'Base stats'!B:B,'Base stats'!E:E),Groups!A:A,Groups!AO:AO)=0,0,_xlfn.XLOOKUP(_xlfn.XLOOKUP(B73,'Base stats'!B:B,'Base stats'!E:E),Groups!A:A,Groups!AO:AO)/IF(_xlfn.XLOOKUP(Animals!B73,'Base stats'!B:B,'Base stats'!O:O)=2,3,1)))+_xlfn.XLOOKUP(B73,'Base stats'!B:B,'Base stats'!AD:AD),0.005))</f>
        <v>0</v>
      </c>
      <c r="BF73" s="2" t="str">
        <f>IF(J73&gt;0.3,"No",_xlfn.XLOOKUP(_xlfn.XLOOKUP(Animals!B73,'Base stats'!B:B,'Base stats'!E:E),Groups!A:A,Groups!AP:AP))</f>
        <v>No</v>
      </c>
      <c r="BG73" s="2" t="str">
        <f>IF(AND(J73&lt;=0.65,_xlfn.XLOOKUP(_xlfn.XLOOKUP(Animals!B73,'Base stats'!B:B,'Base stats'!E:E),Groups!A:A,Groups!AP:AP)&lt;&gt;"No",_xlfn.XLOOKUP(_xlfn.XLOOKUP(B73,'Base stats'!B:B,'Base stats'!E:E),Groups!A:A,Groups!D:D)=0),MROUND((80/3)*IF(_xlfn.XLOOKUP(B73,'Base stats'!B:B,'Base stats'!O:O)=2,0.2,AO73) + 24*(1-IF(BF73="No",0,BF73)) + 16/3, 12),"No")</f>
        <v>No</v>
      </c>
      <c r="BH73" s="2">
        <f>IF(AND(_xlfn.XLOOKUP(_xlfn.XLOOKUP(B73,'Base stats'!B:B,'Base stats'!E:E),Groups!A:A,Groups!AQ:AQ)=1,AO73&lt;=0.35),8,12)</f>
        <v>12</v>
      </c>
      <c r="BI73" s="2" t="str">
        <f>IF(_xlfn.XLOOKUP(_xlfn.XLOOKUP(B73,'Base stats'!B:B,'Base stats'!E:E),Groups!A:A,Groups!D:D)=0,_xlfn.XLOOKUP(_xlfn.XLOOKUP(B73,'Base stats'!B:B,'Base stats'!E:E),Groups!A:A,Groups!AR:AR),"None")</f>
        <v>None</v>
      </c>
      <c r="BJ73" s="2" t="str">
        <f>IF(AND(_xlfn.XLOOKUP(_xlfn.XLOOKUP(B73,'Base stats'!B:B,'Base stats'!E:E),Groups!A:A,Groups!AS:AS)=1,OR(_xlfn.XLOOKUP(B73,'Base stats'!B:B,'Base stats'!Y:Y)="Carnivore",_xlfn.XLOOKUP(B73,'Base stats'!B:B,'Base stats'!Y:Y)="Omnivore")),"true","false")</f>
        <v>false</v>
      </c>
      <c r="BK73" s="2" t="str">
        <f>IF(BJ73="true",MROUND(IF(AND(AO73&gt;0.5,OR(_xlfn.XLOOKUP(_xlfn.XLOOKUP(B73,'Base stats'!B:B,'Base stats'!E:E),Groups!A:A,Groups!AJ:AJ)="Photonozoa",_xlfn.XLOOKUP(_xlfn.XLOOKUP(B73,'Base stats'!B:B,'Base stats'!E:E),Groups!A:A,Groups!AJ:AJ)="Mammal")),Animals!AO73*1.75*IF(AW73="true",1.5,1),IF(AO73&lt;0.5,Animals!AO73*0.5,Animals!AO73)),IF(AO73&gt;2,0.5,IF(AO73&gt;0.5,0.25,0.1))),"No")</f>
        <v>No</v>
      </c>
      <c r="BL73" s="2">
        <f t="shared" si="10"/>
        <v>0</v>
      </c>
      <c r="BM73" s="25" t="str">
        <f>IF(_xlfn.XLOOKUP(B73,'Base stats'!B:B,'Base stats'!AN:AN)="Standard","No",MROUND((_xlfn.XLOOKUP(B73,'Base stats'!B:B,'Base stats'!AN:AN)/3.6)/I73,0.1))</f>
        <v>No</v>
      </c>
      <c r="BN73" s="25" t="str">
        <f t="shared" si="11"/>
        <v>false</v>
      </c>
      <c r="BO73" s="25" t="str">
        <f>IF(AND(OR(_xlfn.XLOOKUP(B73,'Base stats'!B:B,'Base stats'!Y:Y)="Carnivore",_xlfn.XLOOKUP(B73,'Base stats'!B:B,'Base stats'!Y:Y)="Omnivore",_xlfn.XLOOKUP(B73,'Base stats'!B:B,'Base stats'!Y:Y)="OmnivoreRough"),_xlfn.XLOOKUP(_xlfn.XLOOKUP(B73,'Base stats'!B:B,'Base stats'!E:E),Groups!A:A,Groups!AT:AT)=1),"true","false")</f>
        <v>false</v>
      </c>
      <c r="BP73" s="25" t="str" cm="1">
        <f t="array" ref="BP73">IF(
  _xlfn.TEXTJOIN(", ",TRUE,
    IF(AND(BJ73="true",AO73&gt;0.5,BI73&lt;&gt;"None"),"AttackTarget",""),
    IF(AND(_xlfn.XLOOKUP(_xlfn.XLOOKUP(B73,'Base stats'!B:B,'Base stats'!E:E),Groups!A:A,Groups!AJ:AJ="Mammal"),OR(_xlfn.XLOOKUP(B73,'Base stats'!B:B,'Base stats'!Y:Y)="Omnivore",_xlfn.XLOOKUP(B73,'Base stats'!B:B,'Base stats'!Y:Y)="OmnivoreRough")),"Forage",""),
    IF(BG73&lt;=36,"Comfort",""),
    IF(_xlfn.XLOOKUP(B73,'Base stats'!B:B,'Base stats'!AE:AE)&lt;&gt;"No",_xlfn.XLOOKUP(B73,'Base stats'!B:B,'Base stats'!AE:AE),"")
  ) = "",
  "No",
  _xlfn.TEXTJOIN(", ",TRUE,
    IF(AND(BJ73="true",AO73&gt;0.5,BI73&lt;&gt;"None"),"AttackTarget",""),
    IF(AND(_xlfn.XLOOKUP(_xlfn.XLOOKUP(B73,'Base stats'!B:B,'Base stats'!E:E),Groups!A:A,Groups!AJ:AJ="Mammal"),OR(_xlfn.XLOOKUP(B73,'Base stats'!B:B,'Base stats'!Y:Y)="Omnivore",_xlfn.XLOOKUP(B73,'Base stats'!B:B,'Base stats'!Y:Y)="OmnivoreRough")),"Forage",""),
    IF(BG73&lt;=36,"Comfort",""),
    IF(_xlfn.XLOOKUP(B73,'Base stats'!B:B,'Base stats'!AE:AE)&lt;&gt;"No",_xlfn.XLOOKUP(B73,'Base stats'!B:B,'Base stats'!AE:AE),"")
  )
)</f>
        <v>No</v>
      </c>
      <c r="BQ73" s="25" t="str">
        <f>IF(
   AND(
      'Base stats'!AN73="Standard",_xlfn.XLOOKUP(_xlfn.XLOOKUP(B73,'Base stats'!B:B,'Base stats'!E:E),Groups!A:A,Groups!AU:AU)=0,
      OR(
      BO73="True"
      )
   ),
   10,
   IF(
       OR(BM73&lt;&gt;"No",_xlfn.XLOOKUP(_xlfn.XLOOKUP(B73,'Base stats'!B:B,'Base stats'!E:E),Groups!A:A,Groups!AU:AU)=1),
      1,
      "No"
   )
)</f>
        <v>No</v>
      </c>
      <c r="BR73" s="9">
        <f>MROUND((1 + ((0.2*IF(OR(Q73="No",R73="No",R73=0),0,Q73/R73)
+IF(OR(V73="No",S73="No",T73="No"),0,S73/T73*(LEN(V73)-LEN(SUBSTITUTE(V73,",",""))+1))
+IF(OR(X73="No",Y73="No"),0,X73/Y73)
+IF(OR(AD73="No",AE73="No"),0,AD73/AE73)
+IF(OR(AL73="No",AI73="No",AJ73="No"),0,AI73/AJ73*(LEN(AL73)-LEN(SUBSTITUTE(AL73,",",""))+1))
)/(0.2*IF(OR(Q73="No",R73="No",R73=0),0,1)
+IF(OR(V73="No",S73="No",T73="No"),0,LEN(V73)-LEN(SUBSTITUTE(V73,",",""))+1)
+IF(OR(X73="No",Y73="No"),0,1)
+IF(OR(AD73="No",AE73="No"),0,1)
+IF(OR(AL73="No",AI73="No",AJ73="No"),0,LEN(AL73)-LEN(SUBSTITUTE(AL73,",",""))+1))*62%)* 2)*(1 + (AP73 / (IF(_xlfn.XLOOKUP(_xlfn.XLOOKUP(B73,'Base stats'!B:B,'Base stats'!E:E),Groups!A:A,Groups!AJ:AJ)="Photonozoa",0.3,1)) + _xlfn.XLOOKUP(B73,'Base stats'!B:B,'Base stats'!AV:AV) * 1.8) * 2) * 2.5 + 10 + I73 * 2,5)+IF(_xlfn.XLOOKUP(B73,'Base stats'!B:B,'Base stats'!AK:AK)=1,50,0)</f>
        <v>30</v>
      </c>
      <c r="BS73" s="8">
        <f t="shared" si="12"/>
        <v>0.35000000000000003</v>
      </c>
      <c r="BT73" s="8" t="str">
        <f>_xlfn.XLOOKUP(B73,'Base stats'!B:B,'Base stats'!AF:AF)</f>
        <v>No</v>
      </c>
      <c r="BU73" s="2" t="str">
        <f>IF(AND(J73&lt;=0.95,OR(_xlfn.XLOOKUP(B73,'Base stats'!B:B,'Base stats'!AK:AK)=1,_xlfn.XLOOKUP(B73,'Base stats'!B:B,'Base stats'!Y:Y)="Carnivore",_xlfn.XLOOKUP(B73,'Base stats'!B:B,'Base stats'!Y:Y)="Omnivore",BE73&gt;0.1)),"true","false")</f>
        <v>true</v>
      </c>
      <c r="BV73" s="2" t="str">
        <f>IF(_xlfn.XLOOKUP(B73,'Base stats'!B:B,'Base stats'!AI:AI)=1,"true","false")</f>
        <v>false</v>
      </c>
      <c r="BW73" s="25" t="str">
        <f>IF(E73="BaseInsect","AnimalInsect",
IF(J73&gt;0.95,"AnimalExotic",
_xlfn.TEXTJOIN(", ",TRUE,
IF(OR(_xlfn.XLOOKUP(B73,'Base stats'!B:B,'Base stats'!AM:AM)=1,AND(_xlfn.XLOOKUP(B73,'Base stats'!B:B,'Base stats'!O:O)=0,_xlfn.XLOOKUP(_xlfn.XLOOKUP(B73,'Base stats'!B:B,'Base stats'!E:E),Groups!A:A,Groups!B:B)&gt;0)),"AnimalUncommon","AnimalCommon"),
IF(AND(_xlfn.XLOOKUP(B73,'Base stats'!B:B,'Base stats'!O:O)=2,_xlfn.XLOOKUP(_xlfn.XLOOKUP(B73,'Base stats'!B:B,'Base stats'!E:E),Groups!A:A,Groups!D:D)=0),"AnimalPet",IF(AND(_xlfn.XLOOKUP(B73,'Base stats'!B:B,'Base stats'!O:O)&lt;&gt;0,_xlfn.XLOOKUP(_xlfn.XLOOKUP(B73,'Base stats'!B:B,'Base stats'!E:E),Groups!A:A,Groups!D:D)&lt;&gt;0),"AnimalFarm","")),
IF(OR(_xlfn.XLOOKUP(B73,'Base stats'!B:B,'Base stats'!AK:AK)=1,AND(BI73&lt;&gt;"None",BR73&gt;=60),ISNUMBER(SEARCH("Attack target",BP73))),"AnimalFighter","")
)))</f>
        <v>AnimalUncommon</v>
      </c>
      <c r="BX73" s="25" t="str">
        <f>IF(G73="None",TRIM(
SUBSTITUTE(
IF(COUNTIF(Biomes!B$2:B$259,"="&amp;$C73)&gt;0,Biomes!B$1&amp;", ","")&amp;
IF(COUNTIF(Biomes!C$2:C$259,"="&amp;$C73)&gt;0,Biomes!C$1&amp;", ","")&amp;
IF(COUNTIF(Biomes!D$2:D$259,"="&amp;$C73)&gt;0,Biomes!D$1&amp;", ","")&amp;
IF(COUNTIF(Biomes!F$2:F$259,"="&amp;$C73)&gt;0,Biomes!F$1&amp;", ","")&amp;
IF(COUNTIF(Biomes!G$2:G$259,"="&amp;$C73)&gt;0,Biomes!G$1&amp;", ","")&amp;
IF(COUNTIF(Biomes!H$2:H$259,"="&amp;$C73)&gt;0,Biomes!H$1&amp;", ","")&amp;
IF(COUNTIF(Biomes!I$2:I$259,"="&amp;$C73)&gt;0,Biomes!I$1&amp;", ","")&amp;
IF(COUNTIF(Biomes!J$2:J$259,"="&amp;$C73)&gt;0,Biomes!J$1&amp;", ","")&amp;
IF(COUNTIF(Biomes!M$2:M$259,"="&amp;$C73)&gt;0,Biomes!M$1&amp;", ","")&amp;
IF(COUNTIF(Biomes!N$2:N$259,"="&amp;$C73)&gt;0,Biomes!N$1&amp;", ","")&amp;
IF(COUNTIF(Biomes!O$2:O$259,"="&amp;$C73)&gt;0,Biomes!O$1&amp;", ","")&amp;
IF(COUNTIF(Biomes!P$2:P$259,"="&amp;$C73)&gt;0,Biomes!P$1&amp;", ","")&amp;
IF(COUNTIF(Biomes!K$2:K$259,"="&amp;$C73)&gt;0,Biomes!K$1&amp;", ","")&amp;
IF(COUNTIF(Biomes!Q$3:Q$259,"="&amp;$C73)&gt;0,Biomes!Q$1&amp;", ","")&amp;
IF(COUNTIF(Biomes!L$2:L$259,"="&amp;$C73)&gt;0,Biomes!L$1&amp;", ","")&amp;
IF(COUNTIF(Biomes!E$2:E$259,"="&amp;$C73)&gt;0,Biomes!E$1&amp;", ","")&amp;IF(COUNTIF(Biomes!S$2:S$259,"="&amp;$C73)&gt;0,Biomes!S$1&amp;", ","")&amp;
IF(COUNTIF(Biomes!R$2:R$259,"="&amp;$C73)&gt;0,Biomes!R$1&amp;", ",""),", ","")
),_xlfn.XLOOKUP(B73,B:B,BX:BX))</f>
        <v>AridShrubland Desert ExtremeDesert Grasslands LavaField</v>
      </c>
      <c r="BY73" s="25" t="str">
        <f>IF(_xlfn.XLOOKUP(B73,'Base stats'!B:B,'Base stats'!AJ:AJ)=1,"true","false")</f>
        <v>false</v>
      </c>
      <c r="BZ73" s="25">
        <f>IF(_xlfn.XLOOKUP(B73,'Base stats'!B:B,'Base stats'!N:N)=1,"No",MAX(0.001,MIN(MROUND(IF(AND(BJ73="True",CC73="False"),POWER(10,3.47*LOG10(_xlfn.XLOOKUP(B73,'Base stats'!B:B,'Base stats'!C:C)*1000)^-0.96),POWER(10,4.15*LOG10(_xlfn.XLOOKUP(B73,'Base stats'!B:B,'Base stats'!C:C)*1000)^-0.73))*IF(_xlfn.XLOOKUP(B73,'Base stats'!B:B,'Base stats'!AK:AK)=1,0.5,1)*IF(_xlfn.XLOOKUP(B73,'Base stats'!B:B,'Base stats'!AM:AM)=1,0.1,1)/100,IF(_xlfn.XLOOKUP(B73,'Base stats'!B:B,'Base stats'!AM:AM)=1,0.001,0.025)),0.5)))</f>
        <v>0.375</v>
      </c>
      <c r="CA73" s="25" t="str">
        <f>IF(P73="Standard","No",MAX(0.001,MIN(MROUND(IF(AND(BJ73="True",CC73="False"),POWER(10,3.47*LOG10(_xlfn.XLOOKUP(B73,'Base stats'!B:B,'Base stats'!C:C)*1000)^-0.96),POWER(10,4.15*LOG10(_xlfn.XLOOKUP(B73,'Base stats'!B:B,'Base stats'!C:C)*1000)^-0.73))*IF(_xlfn.XLOOKUP(B73,'Base stats'!B:B,'Base stats'!AM:AM)=1,0.1,1)*_xlfn.XLOOKUP(B73,'Base stats'!B:B,'Base stats'!R:R)/100,IF(_xlfn.XLOOKUP(B73,'Base stats'!B:B,'Base stats'!AM:AM)=1,0.001,0.025)),0.5)))</f>
        <v>No</v>
      </c>
      <c r="CB73" s="25" t="str">
        <f>IF(_xlfn.XLOOKUP(_xlfn.XLOOKUP(B73,'Base stats'!B:B,'Base stats'!E:E),Groups!A:A,Groups!AJ:AJ)="Mammal","True","False")</f>
        <v>False</v>
      </c>
      <c r="CC73" s="25" t="str">
        <f>IF(OR(_xlfn.XLOOKUP(_xlfn.XLOOKUP(B73,'Base stats'!B:B,'Base stats'!E:E),Groups!A:A,Groups!AJ:AJ)="Reptile",_xlfn.XLOOKUP(_xlfn.XLOOKUP(B73,'Base stats'!B:B,'Base stats'!E:E),Groups!A:A,Groups!AJ:AJ)="Amphibian",_xlfn.XLOOKUP(_xlfn.XLOOKUP(B73,'Base stats'!B:B,'Base stats'!E:E),Groups!A:A,Groups!AJ:AJ)="Invertebrate"),"True","False")</f>
        <v>False</v>
      </c>
      <c r="CD73" s="25" t="str">
        <f t="shared" si="13"/>
        <v>False</v>
      </c>
      <c r="CE73" s="25" t="str">
        <f>IF(_xlfn.XLOOKUP(_xlfn.XLOOKUP(B73,'Base stats'!B:B,'Base stats'!E:E),Groups!A:A,Groups!AX:AX),"True","False")</f>
        <v>False</v>
      </c>
      <c r="CF73" s="25" t="str">
        <f>IF(_xlfn.XLOOKUP(_xlfn.XLOOKUP(B73,'Base stats'!B:B,'Base stats'!E:E),Groups!A:A,Groups!AY:AY),"True","False")</f>
        <v>False</v>
      </c>
      <c r="CG73" s="25" t="str">
        <f>IF(_xlfn.XLOOKUP(_xlfn.XLOOKUP(B73,'Base stats'!B:B,'Base stats'!E:E),Groups!A:A,Groups!AW:AW),"True","False")</f>
        <v>False</v>
      </c>
      <c r="CH73" s="25" t="str">
        <f>IF(
OR(
_xlfn.XLOOKUP(_xlfn.XLOOKUP(B73,'Base stats'!B:B,'Base stats'!E:E),Groups!A:A,Groups!AZ:AZ)=0,
AND(
_xlfn.XLOOKUP(B73,'Base stats'!B:B,'Base stats'!Y:Y)&lt;&gt;"Carnivore",
_xlfn.XLOOKUP(B73,'Base stats'!B:B,'Base stats'!Y:Y)&lt;&gt;"Omnivore",
_xlfn.XLOOKUP(B73,'Base stats'!B:B,'Base stats'!Y:Y)&lt;&gt;"OmnivoreRough"
)
),
"No",
IF(
_xlfn.XLOOKUP(_xlfn.XLOOKUP(B73,'Base stats'!B:B,'Base stats'!E:E),Groups!A:A,Groups!AZ:AZ)=1,
"Flesh",
IF(
_xlfn.XLOOKUP(_xlfn.XLOOKUP(B73,'Base stats'!B:B,'Base stats'!E:E),Groups!A:A,Groups!AZ:AZ)=2,
"Bone",
""
)
)
)</f>
        <v>Flesh</v>
      </c>
      <c r="CI73" s="25" t="str">
        <f>IF(_xlfn.XLOOKUP(_xlfn.XLOOKUP(B73,'Base stats'!B:B,'Base stats'!E:E),Groups!A:A,Groups!BB:BB),"True","False")</f>
        <v>True</v>
      </c>
      <c r="CJ73" s="25" t="str">
        <f>IF(_xlfn.XLOOKUP(_xlfn.XLOOKUP(B73,'Base stats'!B:B,'Base stats'!E:E),Groups!A:A,Groups!BA:BA),"True","False")</f>
        <v>False</v>
      </c>
    </row>
    <row r="74" spans="1:88" ht="16.5" thickTop="1" thickBot="1" x14ac:dyDescent="0.3">
      <c r="A74" s="26" t="str">
        <f>_xlfn.XLOOKUP(B74,'Base stats'!B:B,'Base stats'!A:A)</f>
        <v>Tiger</v>
      </c>
      <c r="B74" s="6" t="s">
        <v>73</v>
      </c>
      <c r="C74" s="28" t="s">
        <v>754</v>
      </c>
      <c r="D74" s="28" t="s">
        <v>870</v>
      </c>
      <c r="E74" s="28" t="s">
        <v>689</v>
      </c>
      <c r="F74" s="28" t="s">
        <v>690</v>
      </c>
      <c r="G74" s="28" t="s">
        <v>673</v>
      </c>
      <c r="H74" s="2">
        <f>MROUND((
  (IF(AND(_xlfn.XLOOKUP(B74,'Base stats'!B:B,'Base stats'!AL:AL)=0,BI74="None",_xlfn.XLOOKUP(_xlfn.XLOOKUP(B74,'Base stats'!B:B,'Base stats'!E:E),Groups!A:A,Groups!B:B)=0), (18 + BR74 * 2.7) * 0.5,
    IF(AND(_xlfn.XLOOKUP(B74,'Base stats'!B:B,'Base stats'!AL:AL)=0,OR(AO74&lt;0.55,AND(BI74="Intermediate",_xlfn.XLOOKUP(_xlfn.XLOOKUP(B74,'Base stats'!B:B,'Base stats'!E:E),Groups!A:A,Groups!B:B)&lt;2))), (18 + BR74 * 2.7),
      IF(OR(BI74="Advanced",_xlfn.XLOOKUP(B74,'Base stats'!B:B,'Base stats'!AL:AL)=1,_xlfn.XLOOKUP(_xlfn.XLOOKUP(B74,'Base stats'!B:B,'Base stats'!E:E),Groups!A:A,Groups!B:B)=2), (18 + BR74 * 2.7) + 250, (18 + BR74 * 2.7))
    )
  ))
  + AO74 * 80
  + IF(COUNTIF(EggMilk!K$2:K$998, A74) &gt; 0, 125, 0)
  + IF(COUNTIF(EggMilk!P$2:P$998, A74) &gt; 0, 90, 0)
  + IF(COUNTIF(EggMilk!A$2:A$998, A74) &gt; 0, 90, 0)
)
* (0.8 + 0.4 * J74)
* 0.75,25)</f>
        <v>850</v>
      </c>
      <c r="I74" s="2">
        <f>MROUND(ROUNDDOWN(_xlfn.XLOOKUP(B74,'Base stats'!B:B,'Base stats'!L:L)/3.6/(23.3/11),1),0.5)</f>
        <v>7.5</v>
      </c>
      <c r="J74" s="2">
        <f>IF(OR(_xlfn.XLOOKUP(B74,'Base stats'!B:B,'Base stats'!AB:AB)=1,_xlfn.XLOOKUP(_xlfn.XLOOKUP(B74,'Base stats'!B:B,'Base stats'!E:E),Groups!A:A,Groups!C:C)="Untamable"),1,IF(_xlfn.XLOOKUP(B74,'Base stats'!B:B,'Base stats'!AL:AL)=1,0.99,MIN(MROUND((1-0.6282*EXP(-0.459*AO74))*_xlfn.XLOOKUP(_xlfn.XLOOKUP(B74,'Base stats'!B:B,'Base stats'!E:E),Groups!A:A,Groups!C:C)*IF(_xlfn.XLOOKUP(B74,'Base stats'!B:B,'Base stats'!O:O)=1,0.5,IF(_xlfn.XLOOKUP(B74,'Base stats'!B:B,'Base stats'!O:O)=2,0,1)),0.05),IF(AO74&gt;3.5,0.985,0.95))))</f>
        <v>0.9</v>
      </c>
      <c r="K74" s="2">
        <f>ROUNDUP(AO74*_xlfn.XLOOKUP(_xlfn.XLOOKUP(B74,'Base stats'!B:B,'Base stats'!E:E),Groups!A:A,Groups!E:E),0)</f>
        <v>2</v>
      </c>
      <c r="L74" s="2">
        <f>IF(OR(_xlfn.XLOOKUP(_xlfn.XLOOKUP(B74,'Base stats'!B:B,'Base stats'!E:E),Groups!A:A,Groups!F:F)=2,ISNUMBER(SEARCH("SeaIce",BX74)),ISNUMBER(SEARCH("IceSheet",BX74))),-50,IF(OR(ISNUMBER(SEARCH("GlacialPlain",BX74)),ISNUMBER(SEARCH("Tundra",BX74))),-40,IF(OR(ISNUMBER(SEARCH("Alpine",BX74)),ISNUMBER(SEARCH("BorealForest",BX74)),ISNUMBER(SEARCH("ColdBog",BX74))),-30,IF(OR(ISNUMBER(SEARCH("TemperateForest",BX74)),ISNUMBER(SEARCH("TemperateSwamp",BX74))),-20,IF(_xlfn.XLOOKUP(_xlfn.XLOOKUP(B74,'Base stats'!B:B,'Base stats'!E:E),Groups!A:A,Groups!F:F)=1,-15,IF(OR(ISNUMBER(SEARCH("Desert",BX74)),ISNUMBER(SEARCH("ExtremeDesert",BX74))),-10,IF(OR(ISNUMBER(SEARCH("Grasslands",BX74)),ISNUMBER(SEARCH("TropicalRainforest",BX74)),ISNUMBER(SEARCH("TropicalSwamp",BX74))),10,0)))))))-IF(CC74="False",MIN(IFERROR(MAX(MROUND(LOG10(_xlfn.XLOOKUP(B74,'Base stats'!B:B,'Base stats'!C:C)^(2/3))*10,5),5),5),30))-_xlfn.XLOOKUP(B74,'Base stats'!B:B,'Base stats'!P:P)+IF(CC74="True",5,0)</f>
        <v>-30</v>
      </c>
      <c r="M74" s="2">
        <f>IF(OR(_xlfn.XLOOKUP(_xlfn.XLOOKUP(B74,'Base stats'!B:B,'Base stats'!E:E),Groups!A:A,Groups!G:G)=2,ISNUMBER(SEARCH("Desert",BX74)),ISNUMBER(SEARCH("ExtremeDesert",BX74)),ISNUMBER(SEARCH("LavaField",BX74))),50,IF(ISNUMBER(SEARCH("Grasslands",BX74)),45,IF(OR(_xlfn.XLOOKUP(_xlfn.XLOOKUP(B74,'Base stats'!B:B,'Base stats'!E:E),Groups!A:A,Groups!G:G)=1,ISNUMBER(SEARCH("TropicalRainforest",BX74)),ISNUMBER(SEARCH("TropicalSwamp",BX74))),40,IF(OR(ISNUMBER(SEARCH("TemperateForest",BX74)),ISNUMBER(SEARCH("TemperateSwamp",BX74))),35,IF(OR(ISNUMBER(SEARCH("Alpine",BX74)),ISNUMBER(SEARCH("BorealForest",BX74)),ISNUMBER(SEARCH("ColdBog",BX74))),30,IF(ISNUMBER(OR(ISNUMBER(SEARCH("GlacialPlain",BX74)),SEARCH("Tundra",BX74))),25,IF(OR(ISNUMBER(SEARCH("SeaIce",BX74)),ISNUMBER(SEARCH("IceSheet",BX74)),ISNUMBER(SEARCH("TropicalSwamp",BX74))),10,35)))))))+_xlfn.XLOOKUP(B74,'Base stats'!B:B,'Base stats'!Q:Q)</f>
        <v>40</v>
      </c>
      <c r="N74" s="8" t="str">
        <f>IF(
_xlfn.XLOOKUP(
_xlfn.XLOOKUP(B74,'Base stats'!B:B,'Base stats'!E:E),
Groups!A:A,
Groups!L:L
)=1,
MIN(
MROUND(
IF(
_xlfn.XLOOKUP(B74,'Animals CE'!B:B,'Animals CE'!Z:Z)&lt;=1.5,
_xlfn.XLOOKUP(B74,'Animals CE'!B:B,'Animals CE'!Z:Z)/2+0.05,
0.8+
(_xlfn.XLOOKUP(B74,'Animals CE'!B:B,'Animals CE'!Z:Z)-1.5)
*0.02
),
0.05
),
200%
),
"No"
)</f>
        <v>No</v>
      </c>
      <c r="O74" s="8" t="str">
        <f>IF(
_xlfn.XLOOKUP(
_xlfn.XLOOKUP(B74,'Base stats'!B:B,'Base stats'!E:E),
Groups!A:A,
Groups!L:L
)=1,
MIN(
MROUND(
IF(
_xlfn.XLOOKUP(B74,'Animals CE'!B:B,'Animals CE'!AA:AA)&lt;=1.5,
_xlfn.XLOOKUP(B74,'Animals CE'!B:B,'Animals CE'!AA:AA)/2+0.05,
0.8+
(_xlfn.XLOOKUP(B74,'Animals CE'!B:B,'Animals CE'!AA:AA)-1.5)
*0.02
),
0.05
),
200%
),
"No"
)</f>
        <v>No</v>
      </c>
      <c r="P74" s="2" t="str">
        <f>_xlfn.XLOOKUP(B74,'Base stats'!B:B,'Base stats'!R:R)</f>
        <v>Standard</v>
      </c>
      <c r="Q74" s="13">
        <f>MROUND((LOG10(_xlfn.XLOOKUP(B74,'Base stats'!B:B,'Base stats'!AR:AR))*(AO74^0.5)+(_xlfn.XLOOKUP(B74,'Base stats'!B:B,'Base stats'!AR:AR)/1000)^(2/3)+_xlfn.XLOOKUP(B74,'Base stats'!B:B,'Base stats'!BA:BA)/2)+0.5,0.5)</f>
        <v>10.5</v>
      </c>
      <c r="R74" s="7">
        <f>IF(Q74="No","No",MAX(1,MROUND(_xlfn.XLOOKUP(B74,'Base stats'!B:B,'Base stats'!C:C)^0.165,0.05)))</f>
        <v>2.35</v>
      </c>
      <c r="S74" s="13" t="str">
        <f>IF(_xlfn.XLOOKUP(_xlfn.XLOOKUP(B74,'Base stats'!B:B,'Base stats'!E:E),Groups!A:A,Groups!P:P)=0,"No",MROUND((LOG10(_xlfn.XLOOKUP(B74,'Base stats'!B:B,'Base stats'!AS:AS))*(AO74^0.5)+(_xlfn.XLOOKUP(B74,'Base stats'!B:B,'Base stats'!AS:AS)/1000)^(2/3)+_xlfn.XLOOKUP(B74,'Base stats'!B:B,'Base stats'!BA:BA))+_xlfn.XLOOKUP(B74,'Base stats'!B:B,'Base stats'!AY:AY)+0.5,0.5))</f>
        <v>No</v>
      </c>
      <c r="T74" s="7" t="str">
        <f>IF(S74="No","No",MAX(_xlfn.XLOOKUP(_xlfn.XLOOKUP(B74,'Base stats'!B:B,'Base stats'!E:E),Groups!A:A,Groups!Q:Q),MROUND(_xlfn.XLOOKUP(_xlfn.XLOOKUP(B74,'Base stats'!B:B,'Base stats'!E:E),Groups!A:A,Groups!Q:Q)*_xlfn.XLOOKUP(B74,'Base stats'!B:B,'Base stats'!C:C)^0.165,0.05)))</f>
        <v>No</v>
      </c>
      <c r="U74" s="7" t="str">
        <f>IF(S74="No","No",_xlfn.XLOOKUP(_xlfn.XLOOKUP(B74,'Base stats'!B:B,'Base stats'!E:E),Groups!A:A,Groups!R:R))</f>
        <v>No</v>
      </c>
      <c r="V74" s="7" t="str">
        <f>IF(S74="No","No",_xlfn.XLOOKUP(_xlfn.XLOOKUP(B74,'Base stats'!B:B,'Base stats'!E:E),Groups!A:A,Groups!S:S))</f>
        <v>No</v>
      </c>
      <c r="W74" s="7" t="str">
        <f>IF(S74="No","No",_xlfn.XLOOKUP(_xlfn.XLOOKUP(B74,'Base stats'!B:B,'Base stats'!E:E),Groups!A:A,Groups!T:T))</f>
        <v>No</v>
      </c>
      <c r="X74" s="13" t="str">
        <f>IF(_xlfn.XLOOKUP(B74,'Base stats'!B:B,'Base stats'!W:W)="No","No",MROUND((LOG10(_xlfn.XLOOKUP(B74,'Base stats'!B:B,'Base stats'!AU:AU))*(AO74^0.5)+(_xlfn.XLOOKUP(B74,'Base stats'!B:B,'Base stats'!AU:AU)/1000)^(2/3)+_xlfn.XLOOKUP(B74,'Base stats'!B:B,'Base stats'!AZ:AZ))+0.5+IF(_xlfn.XLOOKUP(_xlfn.XLOOKUP(B74,'Base stats'!B:B,'Base stats'!E:E),Groups!A:A,Groups!U:U)&lt;&gt;3,_xlfn.XLOOKUP(B74,'Base stats'!B:B,'Base stats'!BA:BA),0),0.5))</f>
        <v>No</v>
      </c>
      <c r="Y74" s="7" t="str">
        <f>IF(X74="No","No",MAX(_xlfn.XLOOKUP(_xlfn.XLOOKUP(B74,'Base stats'!B:B,'Base stats'!E:E),Groups!A:A,Groups!V:V),MROUND(_xlfn.XLOOKUP(_xlfn.XLOOKUP(B74,'Base stats'!B:B,'Base stats'!E:E),Groups!A:A,Groups!V:V)*_xlfn.XLOOKUP(B74,'Base stats'!B:B,'Base stats'!C:C)^0.165,0.05)))</f>
        <v>No</v>
      </c>
      <c r="Z74" s="7" t="str">
        <f>IF(X74="No","No",_xlfn.XLOOKUP(_xlfn.XLOOKUP(B74,'Base stats'!B:B,'Base stats'!E:E),Groups!A:A,Groups!W:W))</f>
        <v>No</v>
      </c>
      <c r="AA74" s="7" t="str">
        <f>IF(X74="No","No",_xlfn.XLOOKUP(_xlfn.XLOOKUP(B74,'Base stats'!B:B,'Base stats'!E:E),Groups!A:A,Groups!X:X))</f>
        <v>No</v>
      </c>
      <c r="AB74" s="7" t="str">
        <f>IF(X74="No","No",_xlfn.XLOOKUP(_xlfn.XLOOKUP(B74,'Base stats'!B:B,'Base stats'!E:E),Groups!A:A,Groups!Y:Y))</f>
        <v>No</v>
      </c>
      <c r="AC74" s="7" t="str">
        <f>_xlfn.XLOOKUP(Animals!B74,'Base stats'!B:B,'Base stats'!X:X)</f>
        <v>False</v>
      </c>
      <c r="AD74" s="13">
        <f>IF(_xlfn.XLOOKUP(B74,'Base stats'!B:B,'Base stats'!AT:AT)="No","No",MROUND((LOG10(_xlfn.XLOOKUP(B74,'Base stats'!B:B,'Base stats'!AT:AT))*(AO74^0.75)+(_xlfn.XLOOKUP(B74,'Base stats'!B:B,'Base stats'!AT:AT)/1000)^(2/3)+_xlfn.XLOOKUP(B74,'Base stats'!B:B,'Base stats'!AX:AX)+_xlfn.XLOOKUP(B74,'Base stats'!B:B,'Base stats'!BA:BA))+0.5,0.5))</f>
        <v>20.5</v>
      </c>
      <c r="AE74" s="7">
        <f>IF(AD74="No","No",MAX(_xlfn.XLOOKUP(_xlfn.XLOOKUP(B74,'Base stats'!B:B,'Base stats'!E:E),Groups!A:A,Groups!Z:Z),MROUND(_xlfn.XLOOKUP(_xlfn.XLOOKUP(B74,'Base stats'!B:B,'Base stats'!E:E),Groups!A:A,Groups!Z:Z)*_xlfn.XLOOKUP(B74,'Base stats'!B:B,'Base stats'!C:C)^0.165,0.05)))</f>
        <v>1.6500000000000001</v>
      </c>
      <c r="AF74" s="7" t="str">
        <f>IF(AD74="No","No",_xlfn.XLOOKUP(_xlfn.XLOOKUP(B74,'Base stats'!B:B,'Base stats'!E:E),Groups!A:A,Groups!AA:AA))</f>
        <v>Teeth</v>
      </c>
      <c r="AG74" s="7" t="str">
        <f>IF(AD74="No","No",_xlfn.XLOOKUP(_xlfn.XLOOKUP(B74,'Base stats'!B:B,'Base stats'!E:E),Groups!A:A,Groups!AB:AB))</f>
        <v>canines</v>
      </c>
      <c r="AH74" s="7" t="str">
        <f>IF(AD74="No","No",_xlfn.XLOOKUP(_xlfn.XLOOKUP(B74,'Base stats'!B:B,'Base stats'!E:E),Groups!A:A,Groups!AC:AC))</f>
        <v>Bite</v>
      </c>
      <c r="AI74" s="13">
        <f>IF(_xlfn.XLOOKUP(_xlfn.XLOOKUP(B74,'Base stats'!B:B,'Base stats'!E:E),Groups!A:A,Groups!AD:AD)=0,"No",MROUND((LOG10(_xlfn.XLOOKUP(B74,'Base stats'!B:B,'Base stats'!AS:AS))*(AO74^0.75)+(_xlfn.XLOOKUP(B74,'Base stats'!B:B,'Base stats'!AS:AS)/1000)^(2/3)+_xlfn.XLOOKUP(B74,'Base stats'!B:B,'Base stats'!AY:AY)+_xlfn.XLOOKUP(B74,'Base stats'!B:B,'Base stats'!BA:BA))+0.5,0.5))</f>
        <v>16.5</v>
      </c>
      <c r="AJ74" s="7">
        <f>IF(AI74="No","No",MAX(_xlfn.XLOOKUP(_xlfn.XLOOKUP(B74,'Base stats'!B:B,'Base stats'!E:E),Groups!A:A,Groups!AE:AE),MROUND(_xlfn.XLOOKUP(_xlfn.XLOOKUP(B74,'Base stats'!B:B,'Base stats'!E:E),Groups!A:A,Groups!AE:AE)*IF(_xlfn.XLOOKUP(_xlfn.XLOOKUP(B74,'Base stats'!B:B,'Base stats'!E:E),Groups!A:A,Groups!AJ:AJ)="Photonozoa",0.6,1)*_xlfn.XLOOKUP(B74,'Base stats'!B:B,'Base stats'!C:C)^0.165,0.05)))</f>
        <v>1.55</v>
      </c>
      <c r="AK74" s="7" t="str">
        <f>IF(AI74="No","No",_xlfn.XLOOKUP(_xlfn.XLOOKUP(B74,'Base stats'!B:B,'Base stats'!E:E),Groups!A:A,Groups!AF:AF))</f>
        <v>FrontLeftPaw, FrontRightPaw</v>
      </c>
      <c r="AL74" s="7" t="str">
        <f>IF(AI74="No","No",_xlfn.XLOOKUP(_xlfn.XLOOKUP(B74,'Base stats'!B:B,'Base stats'!E:E),Groups!A:A,Groups!AG:AG))</f>
        <v>left claw, right claw</v>
      </c>
      <c r="AM74" s="7" t="str">
        <f>IF(AI74="No","No",_xlfn.XLOOKUP(_xlfn.XLOOKUP(B74,'Base stats'!B:B,'Base stats'!E:E),Groups!A:A,Groups!AH:AH))</f>
        <v>Scratch</v>
      </c>
      <c r="AN74" s="2">
        <f t="shared" si="7"/>
        <v>25</v>
      </c>
      <c r="AO74" s="2">
        <f>MROUND(IF(AND(_xlfn.XLOOKUP(B74,'Base stats'!B:B,'Base stats'!C:C)&gt;=0.5,_xlfn.XLOOKUP(B74,'Base stats'!B:B,'Base stats'!C:C)&lt;=0.8),
IF(_xlfn.XLOOKUP(B74,'Base stats'!B:B,'Base stats'!C:C)&lt;0.1,0.05,IF(_xlfn.XLOOKUP(B74,'Base stats'!B:B,'Base stats'!C:C)&lt;=70,(_xlfn.XLOOKUP(B74,'Base stats'!B:B,'Base stats'!C:C)/70)^0.426489913056526,IF(_xlfn.XLOOKUP(B74,'Base stats'!B:B,'Base stats'!C:C)&lt;=400,(_xlfn.XLOOKUP(B74,'Base stats'!B:B,'Base stats'!C:C)/70)^0.572811455315093,IF(_xlfn.XLOOKUP(B74,'Base stats'!B:B,'Base stats'!C:C)&lt;=2000,2.71391647193063*(_xlfn.XLOOKUP(B74,'Base stats'!B:B,'Base stats'!C:C)/400)^0.252459582904293,3.74314280240376*(_xlfn.XLOOKUP(B74,'Base stats'!B:B,'Base stats'!C:C)/2000)^0.357012633876913)))),
IF(_xlfn.XLOOKUP(B74,'Base stats'!B:B,'Base stats'!C:C)&lt;0.1,0.05,IF(_xlfn.XLOOKUP(B74,'Base stats'!B:B,'Base stats'!C:C)&lt;0.4,0.1,IF(_xlfn.XLOOKUP(B74,'Base stats'!B:B,'Base stats'!C:C)&lt;=70,(_xlfn.XLOOKUP(B74,'Base stats'!B:B,'Base stats'!C:C)/70)^0.445823913056526,IF(_xlfn.XLOOKUP(B74,'Base stats'!B:B,'Base stats'!C:C)&lt;=400,(_xlfn.XLOOKUP(B74,'Base stats'!B:B,'Base stats'!C:C)/70)^0.572811455315093,IF(_xlfn.XLOOKUP(B74,'Base stats'!B:B,'Base stats'!C:C)&lt;=2000,2.71391647193063*(_xlfn.XLOOKUP(B74,'Base stats'!B:B,'Base stats'!C:C)/400)^0.252459582904293,3.74314280240376*(_xlfn.XLOOKUP(B74,'Base stats'!B:B,'Base stats'!C:C)/2000)^0.357012633876913)))))),
IF(_xlfn.XLOOKUP(B74,'Base stats'!B:B,'Base stats'!C:C)&lt;0.1,0.05,IF(_xlfn.XLOOKUP(B74,'Base stats'!B:B,'Base stats'!C:C)&lt;=100,0.05,IF(_xlfn.XLOOKUP(B74,'Base stats'!B:B,'Base stats'!C:C)&lt;=250,0.1,IF(_xlfn.XLOOKUP(B74,'Base stats'!B:B,'Base stats'!C:C)&lt;=4000,0.25,0.5)))))</f>
        <v>1.7000000000000002</v>
      </c>
      <c r="AP74" s="8">
        <f>MROUND(AO74*_xlfn.XLOOKUP(_xlfn.XLOOKUP(B74,'Base stats'!B:B,'Base stats'!E:E),Groups!A:A,Groups!AI:AI)*_xlfn.XLOOKUP(B74,'Base stats'!B:B,'Base stats'!Z:Z),0.05)</f>
        <v>2.0500000000000003</v>
      </c>
      <c r="AQ74" s="8">
        <f>MAX(0.01,MROUND(IF(CC74="True",0.196*(AO74*100*1000)^0.889,IF(_xlfn.XLOOKUP(_xlfn.XLOOKUP(B74,'Base stats'!B:B,'Base stats'!E:E),Groups!A:A,Groups!AJ:AJ)="Bird",10.5*(AO74*100*1000)^0.681,4.82*(AO74*100*1000)^0.734))/(4.82*(1*100*1000)^0.734)/IF(AO74&lt;3.5,2,IF(AO74=3.5,1.5,1.25))*(1+0.132282374779864/(AO74^0.994035016789033+0.00905238001496948)),0.05))</f>
        <v>0.8</v>
      </c>
      <c r="AR74" s="9">
        <f>IFERROR(MROUND(_xlfn.XLOOKUP(B74,'Base stats'!B:B,'Base stats'!H:H)/IF(_xlfn.XLOOKUP(B74,'Base stats'!B:B,'Base stats'!I:I)&lt;&gt;1,(122.5/70),1.2),IF(_xlfn.XLOOKUP(B74,'Base stats'!B:B,'Base stats'!H:H)&gt;=30,5,IF(_xlfn.XLOOKUP(B74,'Base stats'!B:B,'Base stats'!H:H)&gt;=15,3,IF(_xlfn.XLOOKUP(B74,'Base stats'!B:B,'Base stats'!H:H)&gt;=10,2,1)))),"Immortal")</f>
        <v>15</v>
      </c>
      <c r="AS74" s="35">
        <f>IFERROR(IF(OR(_xlfn.XLOOKUP(B74,'Base stats'!B:B,'Base stats'!F:F)="Atypical reproduction",_xlfn.XLOOKUP(B74,'Base stats'!B:B,'Base stats'!F:F)="Lay eggs"),"Lay eggs",MIN(20,MAX(5.5,ROUND(((_xlfn.XLOOKUP(B74,'Base stats'!B:B,'Base stats'!F:F)-25)*(14.5/615) + 5.5)*2,0)/2))),"Unknown")</f>
        <v>7.5</v>
      </c>
      <c r="AT74" s="8">
        <f>IF(_xlfn.XLOOKUP(B74,'Base stats'!B:B,'Base stats'!G:G)="Atypical reproduction","No",IFERROR(MAX(IF(_xlfn.XLOOKUP(B74,'Base stats'!B:B,'Base stats'!G:G)&lt;0.5,0.2,0.3),MROUND(_xlfn.XLOOKUP(B74,'Base stats'!B:B,'Base stats'!G:G)/(365/60),0.2)),"Unknown"))</f>
        <v>0.60000000000000009</v>
      </c>
      <c r="AU74" s="8">
        <f t="shared" si="8"/>
        <v>0.30000000000000004</v>
      </c>
      <c r="AV74" s="8">
        <f>IFERROR(IFERROR(MROUND(_xlfn.XLOOKUP(B74,'Base stats'!B:B,'Base stats'!J:J),0.1),"Lay eggs"),"Cannot breed")</f>
        <v>2.5</v>
      </c>
      <c r="AW74" s="2" t="str">
        <f t="shared" si="9"/>
        <v>false</v>
      </c>
      <c r="AX74" s="2" t="str">
        <f>IF(_xlfn.XLOOKUP(_xlfn.XLOOKUP(Animals!B74,'Base stats'!B:B,'Base stats'!E:E),Groups!A:A,Groups!AK:AK)=1,"true","false")</f>
        <v>false</v>
      </c>
      <c r="AY74" s="25" t="str">
        <f>IF(_xlfn.XLOOKUP(B74,'Base stats'!B:B,'Base stats'!Y:Y)="Liquor","Liquor, CarnivoreAnimalStrict",IF(AND(_xlfn.XLOOKUP(B74,'Base stats'!B:B,'Base stats'!Y:Y)="Carnivore",_xlfn.XLOOKUP(_xlfn.XLOOKUP(B74,'Base stats'!B:B,'Base stats'!E:E),Groups!A:A,Groups!AJ:AJ)="Photonozoa"),"CarnivoreAnimalStrict, OvivoreAnimal",IF(_xlfn.XLOOKUP(B74,'Base stats'!B:B,'Base stats'!Y:Y)="Carnivore","CarnivoreAnimal, OvivoreAnimal",IF(_xlfn.XLOOKUP(B74,'Base stats'!B:B,'Base stats'!Y:Y)="Dendrovore","VegetarianRoughAnimal, DendrovoreAnimal",IF(_xlfn.XLOOKUP(B74,'Base stats'!B:B,'Base stats'!Y:Y)="Herbivore","VegetarianRoughAnimal",IF(_xlfn.XLOOKUP(B74,'Base stats'!B:B,'Base stats'!Y:Y)="OmnivoreRough","OmnivoreRoughAnimal, OvivoreAnimal","OmnivoreAnimal, OvivoreAnimal"))))))</f>
        <v>CarnivoreAnimal, OvivoreAnimal</v>
      </c>
      <c r="AZ74" s="2" t="str">
        <f>IF(_xlfn.XLOOKUP(_xlfn.XLOOKUP(B74,'Base stats'!B:B,'Base stats'!E:E),Groups!A:A,Groups!D:D)=1,MROUND((1-J74)*5+1,2)*IF(J74&lt;=0.4,2,1),"No")</f>
        <v>No</v>
      </c>
      <c r="BA74" s="2" t="str">
        <f>IF(AND(_xlfn.XLOOKUP(B74,'Base stats'!B:B,'Base stats'!AH:AH)="&lt;li&gt;Seal&lt;/li&gt;",G74="Odyssey"),"&lt;li&gt;AEXP_Seal&lt;/li&gt;",_xlfn.XLOOKUP(B74,'Base stats'!B:B,'Base stats'!AH:AH))</f>
        <v>No</v>
      </c>
      <c r="BB74" s="2" t="str">
        <f>_xlfn.XLOOKUP(B74,'Base stats'!B:B,'Base stats'!AG:AG)</f>
        <v>Leather_Panthera</v>
      </c>
      <c r="BC74" s="23" t="str">
        <f>_xlfn.XLOOKUP(_xlfn.XLOOKUP(B74,'Base stats'!B:B,'Base stats'!E:E),Groups!A:A,Groups!AL:AL)</f>
        <v>QuadrupedAnimalWithPawsAndTail</v>
      </c>
      <c r="BD74" s="23">
        <f>MIN(1,MROUND(IF(AND(AO74&lt;0.5,_xlfn.XLOOKUP(B74,'Base stats'!B:B,'Base stats'!AA:AA)=0),0,IF(OR(_xlfn.XLOOKUP(Animals!B74,'Base stats'!B:B,'Base stats'!O:O)=2,_xlfn.XLOOKUP(_xlfn.XLOOKUP(B74,'Base stats'!B:B,'Base stats'!E:E),Groups!A:A,Groups!AN:AN)=0),0,_xlfn.XLOOKUP(_xlfn.XLOOKUP(B74,'Base stats'!B:B,'Base stats'!E:E),Groups!A:A,Groups!AN:AN)/IF(_xlfn.XLOOKUP(Animals!B74,'Base stats'!B:B,'Base stats'!O:O)=1,2,1)))+_xlfn.XLOOKUP(B74,'Base stats'!B:B,'Base stats'!AC:AC),0.005))</f>
        <v>0.1</v>
      </c>
      <c r="BE74" s="23">
        <f>MIN(1,MROUND(IF(AND(AO74&lt;0.5,_xlfn.XLOOKUP(B74,'Base stats'!B:B,'Base stats'!AA:AA)=0),0,IF(_xlfn.XLOOKUP(_xlfn.XLOOKUP(B74,'Base stats'!B:B,'Base stats'!E:E),Groups!A:A,Groups!AO:AO)=0,0,_xlfn.XLOOKUP(_xlfn.XLOOKUP(B74,'Base stats'!B:B,'Base stats'!E:E),Groups!A:A,Groups!AO:AO)/IF(_xlfn.XLOOKUP(Animals!B74,'Base stats'!B:B,'Base stats'!O:O)=2,3,1)))+_xlfn.XLOOKUP(B74,'Base stats'!B:B,'Base stats'!AD:AD),0.005))</f>
        <v>0.3</v>
      </c>
      <c r="BF74" s="2" t="str">
        <f>IF(J74&gt;0.3,"No",_xlfn.XLOOKUP(_xlfn.XLOOKUP(Animals!B74,'Base stats'!B:B,'Base stats'!E:E),Groups!A:A,Groups!AP:AP))</f>
        <v>No</v>
      </c>
      <c r="BG74" s="2" t="str">
        <f>IF(AND(J74&lt;=0.65,_xlfn.XLOOKUP(_xlfn.XLOOKUP(Animals!B74,'Base stats'!B:B,'Base stats'!E:E),Groups!A:A,Groups!AP:AP)&lt;&gt;"No",_xlfn.XLOOKUP(_xlfn.XLOOKUP(B74,'Base stats'!B:B,'Base stats'!E:E),Groups!A:A,Groups!D:D)=0),MROUND((80/3)*IF(_xlfn.XLOOKUP(B74,'Base stats'!B:B,'Base stats'!O:O)=2,0.2,AO74) + 24*(1-IF(BF74="No",0,BF74)) + 16/3, 12),"No")</f>
        <v>No</v>
      </c>
      <c r="BH74" s="2">
        <f>IF(AND(_xlfn.XLOOKUP(_xlfn.XLOOKUP(B74,'Base stats'!B:B,'Base stats'!E:E),Groups!A:A,Groups!AQ:AQ)=1,AO74&lt;=0.35),8,12)</f>
        <v>12</v>
      </c>
      <c r="BI74" s="2" t="str">
        <f>IF(_xlfn.XLOOKUP(_xlfn.XLOOKUP(B74,'Base stats'!B:B,'Base stats'!E:E),Groups!A:A,Groups!D:D)=0,_xlfn.XLOOKUP(_xlfn.XLOOKUP(B74,'Base stats'!B:B,'Base stats'!E:E),Groups!A:A,Groups!AR:AR),"None")</f>
        <v>Intermediate</v>
      </c>
      <c r="BJ74" s="2" t="str">
        <f>IF(AND(_xlfn.XLOOKUP(_xlfn.XLOOKUP(B74,'Base stats'!B:B,'Base stats'!E:E),Groups!A:A,Groups!AS:AS)=1,OR(_xlfn.XLOOKUP(B74,'Base stats'!B:B,'Base stats'!Y:Y)="Carnivore",_xlfn.XLOOKUP(B74,'Base stats'!B:B,'Base stats'!Y:Y)="Omnivore")),"true","false")</f>
        <v>true</v>
      </c>
      <c r="BK74" s="2">
        <f>IF(BJ74="true",MROUND(IF(AND(AO74&gt;0.5,OR(_xlfn.XLOOKUP(_xlfn.XLOOKUP(B74,'Base stats'!B:B,'Base stats'!E:E),Groups!A:A,Groups!AJ:AJ)="Photonozoa",_xlfn.XLOOKUP(_xlfn.XLOOKUP(B74,'Base stats'!B:B,'Base stats'!E:E),Groups!A:A,Groups!AJ:AJ)="Mammal")),Animals!AO74*1.75*IF(AW74="true",1.5,1),IF(AO74&lt;0.5,Animals!AO74*0.5,Animals!AO74)),IF(AO74&gt;2,0.5,IF(AO74&gt;0.5,0.25,0.1))),"No")</f>
        <v>3</v>
      </c>
      <c r="BL74" s="2">
        <f t="shared" si="10"/>
        <v>1</v>
      </c>
      <c r="BM74" s="25" t="str">
        <f>IF(_xlfn.XLOOKUP(B74,'Base stats'!B:B,'Base stats'!AN:AN)="Standard","No",MROUND((_xlfn.XLOOKUP(B74,'Base stats'!B:B,'Base stats'!AN:AN)/3.6)/I74,0.1))</f>
        <v>No</v>
      </c>
      <c r="BN74" s="25" t="str">
        <f t="shared" si="11"/>
        <v>false</v>
      </c>
      <c r="BO74" s="25" t="str">
        <f>IF(AND(OR(_xlfn.XLOOKUP(B74,'Base stats'!B:B,'Base stats'!Y:Y)="Carnivore",_xlfn.XLOOKUP(B74,'Base stats'!B:B,'Base stats'!Y:Y)="Omnivore",_xlfn.XLOOKUP(B74,'Base stats'!B:B,'Base stats'!Y:Y)="OmnivoreRough"),_xlfn.XLOOKUP(_xlfn.XLOOKUP(B74,'Base stats'!B:B,'Base stats'!E:E),Groups!A:A,Groups!AT:AT)=1),"true","false")</f>
        <v>true</v>
      </c>
      <c r="BP74" s="25" t="str" cm="1">
        <f t="array" ref="BP74">IF(
  _xlfn.TEXTJOIN(", ",TRUE,
    IF(AND(BJ74="true",AO74&gt;0.5,BI74&lt;&gt;"None"),"AttackTarget",""),
    IF(AND(_xlfn.XLOOKUP(_xlfn.XLOOKUP(B74,'Base stats'!B:B,'Base stats'!E:E),Groups!A:A,Groups!AJ:AJ="Mammal"),OR(_xlfn.XLOOKUP(B74,'Base stats'!B:B,'Base stats'!Y:Y)="Omnivore",_xlfn.XLOOKUP(B74,'Base stats'!B:B,'Base stats'!Y:Y)="OmnivoreRough")),"Forage",""),
    IF(BG74&lt;=36,"Comfort",""),
    IF(_xlfn.XLOOKUP(B74,'Base stats'!B:B,'Base stats'!AE:AE)&lt;&gt;"No",_xlfn.XLOOKUP(B74,'Base stats'!B:B,'Base stats'!AE:AE),"")
  ) = "",
  "No",
  _xlfn.TEXTJOIN(", ",TRUE,
    IF(AND(BJ74="true",AO74&gt;0.5,BI74&lt;&gt;"None"),"AttackTarget",""),
    IF(AND(_xlfn.XLOOKUP(_xlfn.XLOOKUP(B74,'Base stats'!B:B,'Base stats'!E:E),Groups!A:A,Groups!AJ:AJ="Mammal"),OR(_xlfn.XLOOKUP(B74,'Base stats'!B:B,'Base stats'!Y:Y)="Omnivore",_xlfn.XLOOKUP(B74,'Base stats'!B:B,'Base stats'!Y:Y)="OmnivoreRough")),"Forage",""),
    IF(BG74&lt;=36,"Comfort",""),
    IF(_xlfn.XLOOKUP(B74,'Base stats'!B:B,'Base stats'!AE:AE)&lt;&gt;"No",_xlfn.XLOOKUP(B74,'Base stats'!B:B,'Base stats'!AE:AE),"")
  )
)</f>
        <v>AttackTarget</v>
      </c>
      <c r="BQ74" s="25">
        <f>IF(
   AND(
      'Base stats'!AN74="Standard",_xlfn.XLOOKUP(_xlfn.XLOOKUP(B74,'Base stats'!B:B,'Base stats'!E:E),Groups!A:A,Groups!AU:AU)=0,
      OR(
      BO74="True"
      )
   ),
   10,
   IF(
       OR(BM74&lt;&gt;"No",_xlfn.XLOOKUP(_xlfn.XLOOKUP(B74,'Base stats'!B:B,'Base stats'!E:E),Groups!A:A,Groups!AU:AU)=1),
      1,
      "No"
   )
)</f>
        <v>10</v>
      </c>
      <c r="BR74" s="9">
        <f>MROUND((1 + ((0.2*IF(OR(Q74="No",R74="No",R74=0),0,Q74/R74)
+IF(OR(V74="No",S74="No",T74="No"),0,S74/T74*(LEN(V74)-LEN(SUBSTITUTE(V74,",",""))+1))
+IF(OR(X74="No",Y74="No"),0,X74/Y74)
+IF(OR(AD74="No",AE74="No"),0,AD74/AE74)
+IF(OR(AL74="No",AI74="No",AJ74="No"),0,AI74/AJ74*(LEN(AL74)-LEN(SUBSTITUTE(AL74,",",""))+1))
)/(0.2*IF(OR(Q74="No",R74="No",R74=0),0,1)
+IF(OR(V74="No",S74="No",T74="No"),0,LEN(V74)-LEN(SUBSTITUTE(V74,",",""))+1)
+IF(OR(X74="No",Y74="No"),0,1)
+IF(OR(AD74="No",AE74="No"),0,1)
+IF(OR(AL74="No",AI74="No",AJ74="No"),0,LEN(AL74)-LEN(SUBSTITUTE(AL74,",",""))+1))*62%)* 2)*(1 + (AP74 / (IF(_xlfn.XLOOKUP(_xlfn.XLOOKUP(B74,'Base stats'!B:B,'Base stats'!E:E),Groups!A:A,Groups!AJ:AJ)="Photonozoa",0.3,1)) + _xlfn.XLOOKUP(B74,'Base stats'!B:B,'Base stats'!AV:AV) * 1.8) * 2) * 2.5 + 10 + I74 * 2,5)+IF(_xlfn.XLOOKUP(B74,'Base stats'!B:B,'Base stats'!AK:AK)=1,50,0)</f>
        <v>210</v>
      </c>
      <c r="BS74" s="8">
        <f t="shared" si="12"/>
        <v>1</v>
      </c>
      <c r="BT74" s="8" t="str">
        <f>_xlfn.XLOOKUP(B74,'Base stats'!B:B,'Base stats'!AF:AF)</f>
        <v>No</v>
      </c>
      <c r="BU74" s="2" t="str">
        <f>IF(AND(J74&lt;=0.95,OR(_xlfn.XLOOKUP(B74,'Base stats'!B:B,'Base stats'!AK:AK)=1,_xlfn.XLOOKUP(B74,'Base stats'!B:B,'Base stats'!Y:Y)="Carnivore",_xlfn.XLOOKUP(B74,'Base stats'!B:B,'Base stats'!Y:Y)="Omnivore",BE74&gt;0.1)),"true","false")</f>
        <v>true</v>
      </c>
      <c r="BV74" s="2" t="str">
        <f>IF(_xlfn.XLOOKUP(B74,'Base stats'!B:B,'Base stats'!AI:AI)=1,"true","false")</f>
        <v>false</v>
      </c>
      <c r="BW74" s="25" t="str">
        <f>IF(E74="BaseInsect","AnimalInsect",
IF(J74&gt;0.95,"AnimalExotic",
_xlfn.TEXTJOIN(", ",TRUE,
IF(OR(_xlfn.XLOOKUP(B74,'Base stats'!B:B,'Base stats'!AM:AM)=1,AND(_xlfn.XLOOKUP(B74,'Base stats'!B:B,'Base stats'!O:O)=0,_xlfn.XLOOKUP(_xlfn.XLOOKUP(B74,'Base stats'!B:B,'Base stats'!E:E),Groups!A:A,Groups!B:B)&gt;0)),"AnimalUncommon","AnimalCommon"),
IF(AND(_xlfn.XLOOKUP(B74,'Base stats'!B:B,'Base stats'!O:O)=2,_xlfn.XLOOKUP(_xlfn.XLOOKUP(B74,'Base stats'!B:B,'Base stats'!E:E),Groups!A:A,Groups!D:D)=0),"AnimalPet",IF(AND(_xlfn.XLOOKUP(B74,'Base stats'!B:B,'Base stats'!O:O)&lt;&gt;0,_xlfn.XLOOKUP(_xlfn.XLOOKUP(B74,'Base stats'!B:B,'Base stats'!E:E),Groups!A:A,Groups!D:D)&lt;&gt;0),"AnimalFarm","")),
IF(OR(_xlfn.XLOOKUP(B74,'Base stats'!B:B,'Base stats'!AK:AK)=1,AND(BI74&lt;&gt;"None",BR74&gt;=60),ISNUMBER(SEARCH("Attack target",BP74))),"AnimalFighter","")
)))</f>
        <v>AnimalUncommon, AnimalFighter</v>
      </c>
      <c r="BX74" s="25" t="str">
        <f>IF(G74="None",TRIM(
SUBSTITUTE(
IF(COUNTIF(Biomes!B$2:B$259,"="&amp;$C74)&gt;0,Biomes!B$1&amp;", ","")&amp;
IF(COUNTIF(Biomes!C$2:C$259,"="&amp;$C74)&gt;0,Biomes!C$1&amp;", ","")&amp;
IF(COUNTIF(Biomes!D$2:D$259,"="&amp;$C74)&gt;0,Biomes!D$1&amp;", ","")&amp;
IF(COUNTIF(Biomes!F$2:F$259,"="&amp;$C74)&gt;0,Biomes!F$1&amp;", ","")&amp;
IF(COUNTIF(Biomes!G$2:G$259,"="&amp;$C74)&gt;0,Biomes!G$1&amp;", ","")&amp;
IF(COUNTIF(Biomes!H$2:H$259,"="&amp;$C74)&gt;0,Biomes!H$1&amp;", ","")&amp;
IF(COUNTIF(Biomes!I$2:I$259,"="&amp;$C74)&gt;0,Biomes!I$1&amp;", ","")&amp;
IF(COUNTIF(Biomes!J$2:J$259,"="&amp;$C74)&gt;0,Biomes!J$1&amp;", ","")&amp;
IF(COUNTIF(Biomes!M$2:M$259,"="&amp;$C74)&gt;0,Biomes!M$1&amp;", ","")&amp;
IF(COUNTIF(Biomes!N$2:N$259,"="&amp;$C74)&gt;0,Biomes!N$1&amp;", ","")&amp;
IF(COUNTIF(Biomes!O$2:O$259,"="&amp;$C74)&gt;0,Biomes!O$1&amp;", ","")&amp;
IF(COUNTIF(Biomes!P$2:P$259,"="&amp;$C74)&gt;0,Biomes!P$1&amp;", ","")&amp;
IF(COUNTIF(Biomes!K$2:K$259,"="&amp;$C74)&gt;0,Biomes!K$1&amp;", ","")&amp;
IF(COUNTIF(Biomes!Q$3:Q$259,"="&amp;$C74)&gt;0,Biomes!Q$1&amp;", ","")&amp;
IF(COUNTIF(Biomes!L$2:L$259,"="&amp;$C74)&gt;0,Biomes!L$1&amp;", ","")&amp;
IF(COUNTIF(Biomes!E$2:E$259,"="&amp;$C74)&gt;0,Biomes!E$1&amp;", ","")&amp;IF(COUNTIF(Biomes!S$2:S$259,"="&amp;$C74)&gt;0,Biomes!S$1&amp;", ","")&amp;
IF(COUNTIF(Biomes!R$2:R$259,"="&amp;$C74)&gt;0,Biomes!R$1&amp;", ",""),", ","")
),_xlfn.XLOOKUP(B74,B:B,BX:BX))</f>
        <v>TropicalRainforest TropicalSwamp Glowforest</v>
      </c>
      <c r="BY74" s="25" t="str">
        <f>IF(_xlfn.XLOOKUP(B74,'Base stats'!B:B,'Base stats'!AJ:AJ)=1,"true","false")</f>
        <v>false</v>
      </c>
      <c r="BZ74" s="25">
        <f>IF(_xlfn.XLOOKUP(B74,'Base stats'!B:B,'Base stats'!N:N)=1,"No",MAX(0.001,MIN(MROUND(IF(AND(BJ74="True",CC74="False"),POWER(10,3.47*LOG10(_xlfn.XLOOKUP(B74,'Base stats'!B:B,'Base stats'!C:C)*1000)^-0.96),POWER(10,4.15*LOG10(_xlfn.XLOOKUP(B74,'Base stats'!B:B,'Base stats'!C:C)*1000)^-0.73))*IF(_xlfn.XLOOKUP(B74,'Base stats'!B:B,'Base stats'!AK:AK)=1,0.5,1)*IF(_xlfn.XLOOKUP(B74,'Base stats'!B:B,'Base stats'!AM:AM)=1,0.1,1)/100,IF(_xlfn.XLOOKUP(B74,'Base stats'!B:B,'Base stats'!AM:AM)=1,0.001,0.025)),0.5)))</f>
        <v>0.05</v>
      </c>
      <c r="CA74" s="25" t="str">
        <f>IF(P74="Standard","No",MAX(0.001,MIN(MROUND(IF(AND(BJ74="True",CC74="False"),POWER(10,3.47*LOG10(_xlfn.XLOOKUP(B74,'Base stats'!B:B,'Base stats'!C:C)*1000)^-0.96),POWER(10,4.15*LOG10(_xlfn.XLOOKUP(B74,'Base stats'!B:B,'Base stats'!C:C)*1000)^-0.73))*IF(_xlfn.XLOOKUP(B74,'Base stats'!B:B,'Base stats'!AM:AM)=1,0.1,1)*_xlfn.XLOOKUP(B74,'Base stats'!B:B,'Base stats'!R:R)/100,IF(_xlfn.XLOOKUP(B74,'Base stats'!B:B,'Base stats'!AM:AM)=1,0.001,0.025)),0.5)))</f>
        <v>No</v>
      </c>
      <c r="CB74" s="25" t="str">
        <f>IF(_xlfn.XLOOKUP(_xlfn.XLOOKUP(B74,'Base stats'!B:B,'Base stats'!E:E),Groups!A:A,Groups!AJ:AJ)="Mammal","True","False")</f>
        <v>True</v>
      </c>
      <c r="CC74" s="25" t="str">
        <f>IF(OR(_xlfn.XLOOKUP(_xlfn.XLOOKUP(B74,'Base stats'!B:B,'Base stats'!E:E),Groups!A:A,Groups!AJ:AJ)="Reptile",_xlfn.XLOOKUP(_xlfn.XLOOKUP(B74,'Base stats'!B:B,'Base stats'!E:E),Groups!A:A,Groups!AJ:AJ)="Amphibian",_xlfn.XLOOKUP(_xlfn.XLOOKUP(B74,'Base stats'!B:B,'Base stats'!E:E),Groups!A:A,Groups!AJ:AJ)="Invertebrate"),"True","False")</f>
        <v>False</v>
      </c>
      <c r="CD74" s="25" t="str">
        <f t="shared" si="13"/>
        <v>False</v>
      </c>
      <c r="CE74" s="25" t="str">
        <f>IF(_xlfn.XLOOKUP(_xlfn.XLOOKUP(B74,'Base stats'!B:B,'Base stats'!E:E),Groups!A:A,Groups!AX:AX),"True","False")</f>
        <v>False</v>
      </c>
      <c r="CF74" s="25" t="str">
        <f>IF(_xlfn.XLOOKUP(_xlfn.XLOOKUP(B74,'Base stats'!B:B,'Base stats'!E:E),Groups!A:A,Groups!AY:AY),"True","False")</f>
        <v>False</v>
      </c>
      <c r="CG74" s="25" t="str">
        <f>IF(_xlfn.XLOOKUP(_xlfn.XLOOKUP(B74,'Base stats'!B:B,'Base stats'!E:E),Groups!A:A,Groups!AW:AW),"True","False")</f>
        <v>False</v>
      </c>
      <c r="CH74" s="25" t="str">
        <f>IF(
OR(
_xlfn.XLOOKUP(_xlfn.XLOOKUP(B74,'Base stats'!B:B,'Base stats'!E:E),Groups!A:A,Groups!AZ:AZ)=0,
AND(
_xlfn.XLOOKUP(B74,'Base stats'!B:B,'Base stats'!Y:Y)&lt;&gt;"Carnivore",
_xlfn.XLOOKUP(B74,'Base stats'!B:B,'Base stats'!Y:Y)&lt;&gt;"Omnivore",
_xlfn.XLOOKUP(B74,'Base stats'!B:B,'Base stats'!Y:Y)&lt;&gt;"OmnivoreRough"
)
),
"No",
IF(
_xlfn.XLOOKUP(_xlfn.XLOOKUP(B74,'Base stats'!B:B,'Base stats'!E:E),Groups!A:A,Groups!AZ:AZ)=1,
"Flesh",
IF(
_xlfn.XLOOKUP(_xlfn.XLOOKUP(B74,'Base stats'!B:B,'Base stats'!E:E),Groups!A:A,Groups!AZ:AZ)=2,
"Bone",
""
)
)
)</f>
        <v>No</v>
      </c>
      <c r="CI74" s="25" t="str">
        <f>IF(_xlfn.XLOOKUP(_xlfn.XLOOKUP(B74,'Base stats'!B:B,'Base stats'!E:E),Groups!A:A,Groups!BB:BB),"True","False")</f>
        <v>True</v>
      </c>
      <c r="CJ74" s="25" t="str">
        <f>IF(_xlfn.XLOOKUP(_xlfn.XLOOKUP(B74,'Base stats'!B:B,'Base stats'!E:E),Groups!A:A,Groups!BA:BA),"True","False")</f>
        <v>False</v>
      </c>
    </row>
    <row r="75" spans="1:88" ht="16.5" thickTop="1" thickBot="1" x14ac:dyDescent="0.3">
      <c r="A75" s="26" t="str">
        <f>_xlfn.XLOOKUP(B75,'Base stats'!B:B,'Base stats'!A:A)</f>
        <v>Cat_Scimitar</v>
      </c>
      <c r="B75" s="6" t="s">
        <v>272</v>
      </c>
      <c r="C75" s="28" t="s">
        <v>755</v>
      </c>
      <c r="D75" s="28" t="s">
        <v>870</v>
      </c>
      <c r="E75" s="28" t="s">
        <v>689</v>
      </c>
      <c r="F75" s="28" t="s">
        <v>690</v>
      </c>
      <c r="G75" s="28" t="s">
        <v>673</v>
      </c>
      <c r="H75" s="2">
        <f>MROUND((
  (IF(AND(_xlfn.XLOOKUP(B75,'Base stats'!B:B,'Base stats'!AL:AL)=0,BI75="None",_xlfn.XLOOKUP(_xlfn.XLOOKUP(B75,'Base stats'!B:B,'Base stats'!E:E),Groups!A:A,Groups!B:B)=0), (18 + BR75 * 2.7) * 0.5,
    IF(AND(_xlfn.XLOOKUP(B75,'Base stats'!B:B,'Base stats'!AL:AL)=0,OR(AO75&lt;0.55,AND(BI75="Intermediate",_xlfn.XLOOKUP(_xlfn.XLOOKUP(B75,'Base stats'!B:B,'Base stats'!E:E),Groups!A:A,Groups!B:B)&lt;2))), (18 + BR75 * 2.7),
      IF(OR(BI75="Advanced",_xlfn.XLOOKUP(B75,'Base stats'!B:B,'Base stats'!AL:AL)=1,_xlfn.XLOOKUP(_xlfn.XLOOKUP(B75,'Base stats'!B:B,'Base stats'!E:E),Groups!A:A,Groups!B:B)=2), (18 + BR75 * 2.7) + 250, (18 + BR75 * 2.7))
    )
  ))
  + AO75 * 80
  + IF(COUNTIF(EggMilk!K$2:K$998, A75) &gt; 0, 125, 0)
  + IF(COUNTIF(EggMilk!P$2:P$998, A75) &gt; 0, 90, 0)
  + IF(COUNTIF(EggMilk!A$2:A$998, A75) &gt; 0, 90, 0)
)
* (0.8 + 0.4 * J75)
* 0.75,25)</f>
        <v>900</v>
      </c>
      <c r="I75" s="2">
        <f>MROUND(ROUNDDOWN(_xlfn.XLOOKUP(B75,'Base stats'!B:B,'Base stats'!L:L)/3.6/(23.3/11),1),0.5)</f>
        <v>7</v>
      </c>
      <c r="J75" s="2">
        <f>IF(OR(_xlfn.XLOOKUP(B75,'Base stats'!B:B,'Base stats'!AB:AB)=1,_xlfn.XLOOKUP(_xlfn.XLOOKUP(B75,'Base stats'!B:B,'Base stats'!E:E),Groups!A:A,Groups!C:C)="Untamable"),1,IF(_xlfn.XLOOKUP(B75,'Base stats'!B:B,'Base stats'!AL:AL)=1,0.99,MIN(MROUND((1-0.6282*EXP(-0.459*AO75))*_xlfn.XLOOKUP(_xlfn.XLOOKUP(B75,'Base stats'!B:B,'Base stats'!E:E),Groups!A:A,Groups!C:C)*IF(_xlfn.XLOOKUP(B75,'Base stats'!B:B,'Base stats'!O:O)=1,0.5,IF(_xlfn.XLOOKUP(B75,'Base stats'!B:B,'Base stats'!O:O)=2,0,1)),0.05),IF(AO75&gt;3.5,0.985,0.95))))</f>
        <v>0.9</v>
      </c>
      <c r="K75" s="2">
        <f>ROUNDUP(AO75*_xlfn.XLOOKUP(_xlfn.XLOOKUP(B75,'Base stats'!B:B,'Base stats'!E:E),Groups!A:A,Groups!E:E),0)</f>
        <v>2</v>
      </c>
      <c r="L75" s="2">
        <f>IF(OR(_xlfn.XLOOKUP(_xlfn.XLOOKUP(B75,'Base stats'!B:B,'Base stats'!E:E),Groups!A:A,Groups!F:F)=2,ISNUMBER(SEARCH("SeaIce",BX75)),ISNUMBER(SEARCH("IceSheet",BX75))),-50,IF(OR(ISNUMBER(SEARCH("GlacialPlain",BX75)),ISNUMBER(SEARCH("Tundra",BX75))),-40,IF(OR(ISNUMBER(SEARCH("Alpine",BX75)),ISNUMBER(SEARCH("BorealForest",BX75)),ISNUMBER(SEARCH("ColdBog",BX75))),-30,IF(OR(ISNUMBER(SEARCH("TemperateForest",BX75)),ISNUMBER(SEARCH("TemperateSwamp",BX75))),-20,IF(_xlfn.XLOOKUP(_xlfn.XLOOKUP(B75,'Base stats'!B:B,'Base stats'!E:E),Groups!A:A,Groups!F:F)=1,-15,IF(OR(ISNUMBER(SEARCH("Desert",BX75)),ISNUMBER(SEARCH("ExtremeDesert",BX75))),-10,IF(OR(ISNUMBER(SEARCH("Grasslands",BX75)),ISNUMBER(SEARCH("TropicalRainforest",BX75)),ISNUMBER(SEARCH("TropicalSwamp",BX75))),10,0)))))))-IF(CC75="False",MIN(IFERROR(MAX(MROUND(LOG10(_xlfn.XLOOKUP(B75,'Base stats'!B:B,'Base stats'!C:C)^(2/3))*10,5),5),5),30))-_xlfn.XLOOKUP(B75,'Base stats'!B:B,'Base stats'!P:P)+IF(CC75="True",5,0)</f>
        <v>-55</v>
      </c>
      <c r="M75" s="2">
        <f>IF(OR(_xlfn.XLOOKUP(_xlfn.XLOOKUP(B75,'Base stats'!B:B,'Base stats'!E:E),Groups!A:A,Groups!G:G)=2,ISNUMBER(SEARCH("Desert",BX75)),ISNUMBER(SEARCH("ExtremeDesert",BX75)),ISNUMBER(SEARCH("LavaField",BX75))),50,IF(ISNUMBER(SEARCH("Grasslands",BX75)),45,IF(OR(_xlfn.XLOOKUP(_xlfn.XLOOKUP(B75,'Base stats'!B:B,'Base stats'!E:E),Groups!A:A,Groups!G:G)=1,ISNUMBER(SEARCH("TropicalRainforest",BX75)),ISNUMBER(SEARCH("TropicalSwamp",BX75))),40,IF(OR(ISNUMBER(SEARCH("TemperateForest",BX75)),ISNUMBER(SEARCH("TemperateSwamp",BX75))),35,IF(OR(ISNUMBER(SEARCH("Alpine",BX75)),ISNUMBER(SEARCH("BorealForest",BX75)),ISNUMBER(SEARCH("ColdBog",BX75))),30,IF(ISNUMBER(OR(ISNUMBER(SEARCH("GlacialPlain",BX75)),SEARCH("Tundra",BX75))),25,IF(OR(ISNUMBER(SEARCH("SeaIce",BX75)),ISNUMBER(SEARCH("IceSheet",BX75)),ISNUMBER(SEARCH("TropicalSwamp",BX75))),10,35)))))))+_xlfn.XLOOKUP(B75,'Base stats'!B:B,'Base stats'!Q:Q)</f>
        <v>40</v>
      </c>
      <c r="N75" s="8" t="str">
        <f>IF(
_xlfn.XLOOKUP(
_xlfn.XLOOKUP(B75,'Base stats'!B:B,'Base stats'!E:E),
Groups!A:A,
Groups!L:L
)=1,
MIN(
MROUND(
IF(
_xlfn.XLOOKUP(B75,'Animals CE'!B:B,'Animals CE'!Z:Z)&lt;=1.5,
_xlfn.XLOOKUP(B75,'Animals CE'!B:B,'Animals CE'!Z:Z)/2+0.05,
0.8+
(_xlfn.XLOOKUP(B75,'Animals CE'!B:B,'Animals CE'!Z:Z)-1.5)
*0.02
),
0.05
),
200%
),
"No"
)</f>
        <v>No</v>
      </c>
      <c r="O75" s="8" t="str">
        <f>IF(
_xlfn.XLOOKUP(
_xlfn.XLOOKUP(B75,'Base stats'!B:B,'Base stats'!E:E),
Groups!A:A,
Groups!L:L
)=1,
MIN(
MROUND(
IF(
_xlfn.XLOOKUP(B75,'Animals CE'!B:B,'Animals CE'!AA:AA)&lt;=1.5,
_xlfn.XLOOKUP(B75,'Animals CE'!B:B,'Animals CE'!AA:AA)/2+0.05,
0.8+
(_xlfn.XLOOKUP(B75,'Animals CE'!B:B,'Animals CE'!AA:AA)-1.5)
*0.02
),
0.05
),
200%
),
"No"
)</f>
        <v>No</v>
      </c>
      <c r="P75" s="2" t="str">
        <f>_xlfn.XLOOKUP(B75,'Base stats'!B:B,'Base stats'!R:R)</f>
        <v>Standard</v>
      </c>
      <c r="Q75" s="13">
        <f>MROUND((LOG10(_xlfn.XLOOKUP(B75,'Base stats'!B:B,'Base stats'!AR:AR))*(AO75^0.5)+(_xlfn.XLOOKUP(B75,'Base stats'!B:B,'Base stats'!AR:AR)/1000)^(2/3)+_xlfn.XLOOKUP(B75,'Base stats'!B:B,'Base stats'!BA:BA)/2)+0.5,0.5)</f>
        <v>11.5</v>
      </c>
      <c r="R75" s="7">
        <f>IF(Q75="No","No",MAX(1,MROUND(_xlfn.XLOOKUP(B75,'Base stats'!B:B,'Base stats'!C:C)^0.165,0.05)))</f>
        <v>2.4500000000000002</v>
      </c>
      <c r="S75" s="13" t="str">
        <f>IF(_xlfn.XLOOKUP(_xlfn.XLOOKUP(B75,'Base stats'!B:B,'Base stats'!E:E),Groups!A:A,Groups!P:P)=0,"No",MROUND((LOG10(_xlfn.XLOOKUP(B75,'Base stats'!B:B,'Base stats'!AS:AS))*(AO75^0.5)+(_xlfn.XLOOKUP(B75,'Base stats'!B:B,'Base stats'!AS:AS)/1000)^(2/3)+_xlfn.XLOOKUP(B75,'Base stats'!B:B,'Base stats'!BA:BA))+_xlfn.XLOOKUP(B75,'Base stats'!B:B,'Base stats'!AY:AY)+0.5,0.5))</f>
        <v>No</v>
      </c>
      <c r="T75" s="7" t="str">
        <f>IF(S75="No","No",MAX(_xlfn.XLOOKUP(_xlfn.XLOOKUP(B75,'Base stats'!B:B,'Base stats'!E:E),Groups!A:A,Groups!Q:Q),MROUND(_xlfn.XLOOKUP(_xlfn.XLOOKUP(B75,'Base stats'!B:B,'Base stats'!E:E),Groups!A:A,Groups!Q:Q)*_xlfn.XLOOKUP(B75,'Base stats'!B:B,'Base stats'!C:C)^0.165,0.05)))</f>
        <v>No</v>
      </c>
      <c r="U75" s="7" t="str">
        <f>IF(S75="No","No",_xlfn.XLOOKUP(_xlfn.XLOOKUP(B75,'Base stats'!B:B,'Base stats'!E:E),Groups!A:A,Groups!R:R))</f>
        <v>No</v>
      </c>
      <c r="V75" s="7" t="str">
        <f>IF(S75="No","No",_xlfn.XLOOKUP(_xlfn.XLOOKUP(B75,'Base stats'!B:B,'Base stats'!E:E),Groups!A:A,Groups!S:S))</f>
        <v>No</v>
      </c>
      <c r="W75" s="7" t="str">
        <f>IF(S75="No","No",_xlfn.XLOOKUP(_xlfn.XLOOKUP(B75,'Base stats'!B:B,'Base stats'!E:E),Groups!A:A,Groups!T:T))</f>
        <v>No</v>
      </c>
      <c r="X75" s="13" t="str">
        <f>IF(_xlfn.XLOOKUP(B75,'Base stats'!B:B,'Base stats'!W:W)="No","No",MROUND((LOG10(_xlfn.XLOOKUP(B75,'Base stats'!B:B,'Base stats'!AU:AU))*(AO75^0.5)+(_xlfn.XLOOKUP(B75,'Base stats'!B:B,'Base stats'!AU:AU)/1000)^(2/3)+_xlfn.XLOOKUP(B75,'Base stats'!B:B,'Base stats'!AZ:AZ))+0.5+IF(_xlfn.XLOOKUP(_xlfn.XLOOKUP(B75,'Base stats'!B:B,'Base stats'!E:E),Groups!A:A,Groups!U:U)&lt;&gt;3,_xlfn.XLOOKUP(B75,'Base stats'!B:B,'Base stats'!BA:BA),0),0.5))</f>
        <v>No</v>
      </c>
      <c r="Y75" s="7" t="str">
        <f>IF(X75="No","No",MAX(_xlfn.XLOOKUP(_xlfn.XLOOKUP(B75,'Base stats'!B:B,'Base stats'!E:E),Groups!A:A,Groups!V:V),MROUND(_xlfn.XLOOKUP(_xlfn.XLOOKUP(B75,'Base stats'!B:B,'Base stats'!E:E),Groups!A:A,Groups!V:V)*_xlfn.XLOOKUP(B75,'Base stats'!B:B,'Base stats'!C:C)^0.165,0.05)))</f>
        <v>No</v>
      </c>
      <c r="Z75" s="7" t="str">
        <f>IF(X75="No","No",_xlfn.XLOOKUP(_xlfn.XLOOKUP(B75,'Base stats'!B:B,'Base stats'!E:E),Groups!A:A,Groups!W:W))</f>
        <v>No</v>
      </c>
      <c r="AA75" s="7" t="str">
        <f>IF(X75="No","No",_xlfn.XLOOKUP(_xlfn.XLOOKUP(B75,'Base stats'!B:B,'Base stats'!E:E),Groups!A:A,Groups!X:X))</f>
        <v>No</v>
      </c>
      <c r="AB75" s="7" t="str">
        <f>IF(X75="No","No",_xlfn.XLOOKUP(_xlfn.XLOOKUP(B75,'Base stats'!B:B,'Base stats'!E:E),Groups!A:A,Groups!Y:Y))</f>
        <v>No</v>
      </c>
      <c r="AC75" s="7" t="str">
        <f>_xlfn.XLOOKUP(Animals!B75,'Base stats'!B:B,'Base stats'!X:X)</f>
        <v>False</v>
      </c>
      <c r="AD75" s="13">
        <f>IF(_xlfn.XLOOKUP(B75,'Base stats'!B:B,'Base stats'!AT:AT)="No","No",MROUND((LOG10(_xlfn.XLOOKUP(B75,'Base stats'!B:B,'Base stats'!AT:AT))*(AO75^0.75)+(_xlfn.XLOOKUP(B75,'Base stats'!B:B,'Base stats'!AT:AT)/1000)^(2/3)+_xlfn.XLOOKUP(B75,'Base stats'!B:B,'Base stats'!AX:AX)+_xlfn.XLOOKUP(B75,'Base stats'!B:B,'Base stats'!BA:BA))+0.5,0.5))</f>
        <v>22</v>
      </c>
      <c r="AE75" s="7">
        <f>IF(AD75="No","No",MAX(_xlfn.XLOOKUP(_xlfn.XLOOKUP(B75,'Base stats'!B:B,'Base stats'!E:E),Groups!A:A,Groups!Z:Z),MROUND(_xlfn.XLOOKUP(_xlfn.XLOOKUP(B75,'Base stats'!B:B,'Base stats'!E:E),Groups!A:A,Groups!Z:Z)*_xlfn.XLOOKUP(B75,'Base stats'!B:B,'Base stats'!C:C)^0.165,0.05)))</f>
        <v>1.7000000000000002</v>
      </c>
      <c r="AF75" s="7" t="str">
        <f>IF(AD75="No","No",_xlfn.XLOOKUP(_xlfn.XLOOKUP(B75,'Base stats'!B:B,'Base stats'!E:E),Groups!A:A,Groups!AA:AA))</f>
        <v>Teeth</v>
      </c>
      <c r="AG75" s="7" t="str">
        <f>IF(AD75="No","No",_xlfn.XLOOKUP(_xlfn.XLOOKUP(B75,'Base stats'!B:B,'Base stats'!E:E),Groups!A:A,Groups!AB:AB))</f>
        <v>canines</v>
      </c>
      <c r="AH75" s="7" t="str">
        <f>IF(AD75="No","No",_xlfn.XLOOKUP(_xlfn.XLOOKUP(B75,'Base stats'!B:B,'Base stats'!E:E),Groups!A:A,Groups!AC:AC))</f>
        <v>Bite</v>
      </c>
      <c r="AI75" s="13">
        <f>IF(_xlfn.XLOOKUP(_xlfn.XLOOKUP(B75,'Base stats'!B:B,'Base stats'!E:E),Groups!A:A,Groups!AD:AD)=0,"No",MROUND((LOG10(_xlfn.XLOOKUP(B75,'Base stats'!B:B,'Base stats'!AS:AS))*(AO75^0.75)+(_xlfn.XLOOKUP(B75,'Base stats'!B:B,'Base stats'!AS:AS)/1000)^(2/3)+_xlfn.XLOOKUP(B75,'Base stats'!B:B,'Base stats'!AY:AY)+_xlfn.XLOOKUP(B75,'Base stats'!B:B,'Base stats'!BA:BA))+0.5,0.5))</f>
        <v>17.5</v>
      </c>
      <c r="AJ75" s="7">
        <f>IF(AI75="No","No",MAX(_xlfn.XLOOKUP(_xlfn.XLOOKUP(B75,'Base stats'!B:B,'Base stats'!E:E),Groups!A:A,Groups!AE:AE),MROUND(_xlfn.XLOOKUP(_xlfn.XLOOKUP(B75,'Base stats'!B:B,'Base stats'!E:E),Groups!A:A,Groups!AE:AE)*IF(_xlfn.XLOOKUP(_xlfn.XLOOKUP(B75,'Base stats'!B:B,'Base stats'!E:E),Groups!A:A,Groups!AJ:AJ)="Photonozoa",0.6,1)*_xlfn.XLOOKUP(B75,'Base stats'!B:B,'Base stats'!C:C)^0.165,0.05)))</f>
        <v>1.6</v>
      </c>
      <c r="AK75" s="7" t="str">
        <f>IF(AI75="No","No",_xlfn.XLOOKUP(_xlfn.XLOOKUP(B75,'Base stats'!B:B,'Base stats'!E:E),Groups!A:A,Groups!AF:AF))</f>
        <v>FrontLeftPaw, FrontRightPaw</v>
      </c>
      <c r="AL75" s="7" t="str">
        <f>IF(AI75="No","No",_xlfn.XLOOKUP(_xlfn.XLOOKUP(B75,'Base stats'!B:B,'Base stats'!E:E),Groups!A:A,Groups!AG:AG))</f>
        <v>left claw, right claw</v>
      </c>
      <c r="AM75" s="7" t="str">
        <f>IF(AI75="No","No",_xlfn.XLOOKUP(_xlfn.XLOOKUP(B75,'Base stats'!B:B,'Base stats'!E:E),Groups!A:A,Groups!AH:AH))</f>
        <v>Scratch</v>
      </c>
      <c r="AN75" s="2">
        <f t="shared" si="7"/>
        <v>25</v>
      </c>
      <c r="AO75" s="2">
        <f>MROUND(IF(AND(_xlfn.XLOOKUP(B75,'Base stats'!B:B,'Base stats'!C:C)&gt;=0.5,_xlfn.XLOOKUP(B75,'Base stats'!B:B,'Base stats'!C:C)&lt;=0.8),
IF(_xlfn.XLOOKUP(B75,'Base stats'!B:B,'Base stats'!C:C)&lt;0.1,0.05,IF(_xlfn.XLOOKUP(B75,'Base stats'!B:B,'Base stats'!C:C)&lt;=70,(_xlfn.XLOOKUP(B75,'Base stats'!B:B,'Base stats'!C:C)/70)^0.426489913056526,IF(_xlfn.XLOOKUP(B75,'Base stats'!B:B,'Base stats'!C:C)&lt;=400,(_xlfn.XLOOKUP(B75,'Base stats'!B:B,'Base stats'!C:C)/70)^0.572811455315093,IF(_xlfn.XLOOKUP(B75,'Base stats'!B:B,'Base stats'!C:C)&lt;=2000,2.71391647193063*(_xlfn.XLOOKUP(B75,'Base stats'!B:B,'Base stats'!C:C)/400)^0.252459582904293,3.74314280240376*(_xlfn.XLOOKUP(B75,'Base stats'!B:B,'Base stats'!C:C)/2000)^0.357012633876913)))),
IF(_xlfn.XLOOKUP(B75,'Base stats'!B:B,'Base stats'!C:C)&lt;0.1,0.05,IF(_xlfn.XLOOKUP(B75,'Base stats'!B:B,'Base stats'!C:C)&lt;0.4,0.1,IF(_xlfn.XLOOKUP(B75,'Base stats'!B:B,'Base stats'!C:C)&lt;=70,(_xlfn.XLOOKUP(B75,'Base stats'!B:B,'Base stats'!C:C)/70)^0.445823913056526,IF(_xlfn.XLOOKUP(B75,'Base stats'!B:B,'Base stats'!C:C)&lt;=400,(_xlfn.XLOOKUP(B75,'Base stats'!B:B,'Base stats'!C:C)/70)^0.572811455315093,IF(_xlfn.XLOOKUP(B75,'Base stats'!B:B,'Base stats'!C:C)&lt;=2000,2.71391647193063*(_xlfn.XLOOKUP(B75,'Base stats'!B:B,'Base stats'!C:C)/400)^0.252459582904293,3.74314280240376*(_xlfn.XLOOKUP(B75,'Base stats'!B:B,'Base stats'!C:C)/2000)^0.357012633876913)))))),
IF(_xlfn.XLOOKUP(B75,'Base stats'!B:B,'Base stats'!C:C)&lt;0.1,0.05,IF(_xlfn.XLOOKUP(B75,'Base stats'!B:B,'Base stats'!C:C)&lt;=100,0.05,IF(_xlfn.XLOOKUP(B75,'Base stats'!B:B,'Base stats'!C:C)&lt;=250,0.1,IF(_xlfn.XLOOKUP(B75,'Base stats'!B:B,'Base stats'!C:C)&lt;=4000,0.25,0.5)))))</f>
        <v>1.9000000000000001</v>
      </c>
      <c r="AP75" s="8">
        <f>MROUND(AO75*_xlfn.XLOOKUP(_xlfn.XLOOKUP(B75,'Base stats'!B:B,'Base stats'!E:E),Groups!A:A,Groups!AI:AI)*_xlfn.XLOOKUP(B75,'Base stats'!B:B,'Base stats'!Z:Z),0.05)</f>
        <v>2.3000000000000003</v>
      </c>
      <c r="AQ75" s="8">
        <f>MAX(0.01,MROUND(IF(CC75="True",0.196*(AO75*100*1000)^0.889,IF(_xlfn.XLOOKUP(_xlfn.XLOOKUP(B75,'Base stats'!B:B,'Base stats'!E:E),Groups!A:A,Groups!AJ:AJ)="Bird",10.5*(AO75*100*1000)^0.681,4.82*(AO75*100*1000)^0.734))/(4.82*(1*100*1000)^0.734)/IF(AO75&lt;3.5,2,IF(AO75=3.5,1.5,1.25))*(1+0.132282374779864/(AO75^0.994035016789033+0.00905238001496948)),0.05))</f>
        <v>0.85000000000000009</v>
      </c>
      <c r="AR75" s="9">
        <f>IFERROR(MROUND(_xlfn.XLOOKUP(B75,'Base stats'!B:B,'Base stats'!H:H)/IF(_xlfn.XLOOKUP(B75,'Base stats'!B:B,'Base stats'!I:I)&lt;&gt;1,(122.5/70),1.2),IF(_xlfn.XLOOKUP(B75,'Base stats'!B:B,'Base stats'!H:H)&gt;=30,5,IF(_xlfn.XLOOKUP(B75,'Base stats'!B:B,'Base stats'!H:H)&gt;=15,3,IF(_xlfn.XLOOKUP(B75,'Base stats'!B:B,'Base stats'!H:H)&gt;=10,2,1)))),"Immortal")</f>
        <v>15</v>
      </c>
      <c r="AS75" s="35">
        <f>IFERROR(IF(OR(_xlfn.XLOOKUP(B75,'Base stats'!B:B,'Base stats'!F:F)="Atypical reproduction",_xlfn.XLOOKUP(B75,'Base stats'!B:B,'Base stats'!F:F)="Lay eggs"),"Lay eggs",MIN(20,MAX(5.5,ROUND(((_xlfn.XLOOKUP(B75,'Base stats'!B:B,'Base stats'!F:F)-25)*(14.5/615) + 5.5)*2,0)/2))),"Unknown")</f>
        <v>7.5</v>
      </c>
      <c r="AT75" s="8">
        <f>IF(_xlfn.XLOOKUP(B75,'Base stats'!B:B,'Base stats'!G:G)="Atypical reproduction","No",IFERROR(MAX(IF(_xlfn.XLOOKUP(B75,'Base stats'!B:B,'Base stats'!G:G)&lt;0.5,0.2,0.3),MROUND(_xlfn.XLOOKUP(B75,'Base stats'!B:B,'Base stats'!G:G)/(365/60),0.2)),"Unknown"))</f>
        <v>0.60000000000000009</v>
      </c>
      <c r="AU75" s="8">
        <f t="shared" si="8"/>
        <v>0.30000000000000004</v>
      </c>
      <c r="AV75" s="8">
        <f>IFERROR(IFERROR(MROUND(_xlfn.XLOOKUP(B75,'Base stats'!B:B,'Base stats'!J:J),0.1),"Lay eggs"),"Cannot breed")</f>
        <v>2.5</v>
      </c>
      <c r="AW75" s="2" t="str">
        <f t="shared" si="9"/>
        <v>true</v>
      </c>
      <c r="AX75" s="2" t="str">
        <f>IF(_xlfn.XLOOKUP(_xlfn.XLOOKUP(Animals!B75,'Base stats'!B:B,'Base stats'!E:E),Groups!A:A,Groups!AK:AK)=1,"true","false")</f>
        <v>false</v>
      </c>
      <c r="AY75" s="25" t="str">
        <f>IF(_xlfn.XLOOKUP(B75,'Base stats'!B:B,'Base stats'!Y:Y)="Liquor","Liquor, CarnivoreAnimalStrict",IF(AND(_xlfn.XLOOKUP(B75,'Base stats'!B:B,'Base stats'!Y:Y)="Carnivore",_xlfn.XLOOKUP(_xlfn.XLOOKUP(B75,'Base stats'!B:B,'Base stats'!E:E),Groups!A:A,Groups!AJ:AJ)="Photonozoa"),"CarnivoreAnimalStrict, OvivoreAnimal",IF(_xlfn.XLOOKUP(B75,'Base stats'!B:B,'Base stats'!Y:Y)="Carnivore","CarnivoreAnimal, OvivoreAnimal",IF(_xlfn.XLOOKUP(B75,'Base stats'!B:B,'Base stats'!Y:Y)="Dendrovore","VegetarianRoughAnimal, DendrovoreAnimal",IF(_xlfn.XLOOKUP(B75,'Base stats'!B:B,'Base stats'!Y:Y)="Herbivore","VegetarianRoughAnimal",IF(_xlfn.XLOOKUP(B75,'Base stats'!B:B,'Base stats'!Y:Y)="OmnivoreRough","OmnivoreRoughAnimal, OvivoreAnimal","OmnivoreAnimal, OvivoreAnimal"))))))</f>
        <v>CarnivoreAnimal, OvivoreAnimal</v>
      </c>
      <c r="AZ75" s="2" t="str">
        <f>IF(_xlfn.XLOOKUP(_xlfn.XLOOKUP(B75,'Base stats'!B:B,'Base stats'!E:E),Groups!A:A,Groups!D:D)=1,MROUND((1-J75)*5+1,2)*IF(J75&lt;=0.4,2,1),"No")</f>
        <v>No</v>
      </c>
      <c r="BA75" s="2" t="str">
        <f>IF(AND(_xlfn.XLOOKUP(B75,'Base stats'!B:B,'Base stats'!AH:AH)="&lt;li&gt;Seal&lt;/li&gt;",G75="Odyssey"),"&lt;li&gt;AEXP_Seal&lt;/li&gt;",_xlfn.XLOOKUP(B75,'Base stats'!B:B,'Base stats'!AH:AH))</f>
        <v>No</v>
      </c>
      <c r="BB75" s="2" t="str">
        <f>_xlfn.XLOOKUP(B75,'Base stats'!B:B,'Base stats'!AG:AG)</f>
        <v>Leather_Panthera</v>
      </c>
      <c r="BC75" s="23" t="str">
        <f>_xlfn.XLOOKUP(_xlfn.XLOOKUP(B75,'Base stats'!B:B,'Base stats'!E:E),Groups!A:A,Groups!AL:AL)</f>
        <v>QuadrupedAnimalWithPawsAndTail</v>
      </c>
      <c r="BD75" s="23">
        <f>MIN(1,MROUND(IF(AND(AO75&lt;0.5,_xlfn.XLOOKUP(B75,'Base stats'!B:B,'Base stats'!AA:AA)=0),0,IF(OR(_xlfn.XLOOKUP(Animals!B75,'Base stats'!B:B,'Base stats'!O:O)=2,_xlfn.XLOOKUP(_xlfn.XLOOKUP(B75,'Base stats'!B:B,'Base stats'!E:E),Groups!A:A,Groups!AN:AN)=0),0,_xlfn.XLOOKUP(_xlfn.XLOOKUP(B75,'Base stats'!B:B,'Base stats'!E:E),Groups!A:A,Groups!AN:AN)/IF(_xlfn.XLOOKUP(Animals!B75,'Base stats'!B:B,'Base stats'!O:O)=1,2,1)))+_xlfn.XLOOKUP(B75,'Base stats'!B:B,'Base stats'!AC:AC),0.005))</f>
        <v>0.1</v>
      </c>
      <c r="BE75" s="23">
        <f>MIN(1,MROUND(IF(AND(AO75&lt;0.5,_xlfn.XLOOKUP(B75,'Base stats'!B:B,'Base stats'!AA:AA)=0),0,IF(_xlfn.XLOOKUP(_xlfn.XLOOKUP(B75,'Base stats'!B:B,'Base stats'!E:E),Groups!A:A,Groups!AO:AO)=0,0,_xlfn.XLOOKUP(_xlfn.XLOOKUP(B75,'Base stats'!B:B,'Base stats'!E:E),Groups!A:A,Groups!AO:AO)/IF(_xlfn.XLOOKUP(Animals!B75,'Base stats'!B:B,'Base stats'!O:O)=2,3,1)))+_xlfn.XLOOKUP(B75,'Base stats'!B:B,'Base stats'!AD:AD),0.005))</f>
        <v>0.3</v>
      </c>
      <c r="BF75" s="2" t="str">
        <f>IF(J75&gt;0.3,"No",_xlfn.XLOOKUP(_xlfn.XLOOKUP(Animals!B75,'Base stats'!B:B,'Base stats'!E:E),Groups!A:A,Groups!AP:AP))</f>
        <v>No</v>
      </c>
      <c r="BG75" s="2" t="str">
        <f>IF(AND(J75&lt;=0.65,_xlfn.XLOOKUP(_xlfn.XLOOKUP(Animals!B75,'Base stats'!B:B,'Base stats'!E:E),Groups!A:A,Groups!AP:AP)&lt;&gt;"No",_xlfn.XLOOKUP(_xlfn.XLOOKUP(B75,'Base stats'!B:B,'Base stats'!E:E),Groups!A:A,Groups!D:D)=0),MROUND((80/3)*IF(_xlfn.XLOOKUP(B75,'Base stats'!B:B,'Base stats'!O:O)=2,0.2,AO75) + 24*(1-IF(BF75="No",0,BF75)) + 16/3, 12),"No")</f>
        <v>No</v>
      </c>
      <c r="BH75" s="2">
        <f>IF(AND(_xlfn.XLOOKUP(_xlfn.XLOOKUP(B75,'Base stats'!B:B,'Base stats'!E:E),Groups!A:A,Groups!AQ:AQ)=1,AO75&lt;=0.35),8,12)</f>
        <v>12</v>
      </c>
      <c r="BI75" s="2" t="str">
        <f>IF(_xlfn.XLOOKUP(_xlfn.XLOOKUP(B75,'Base stats'!B:B,'Base stats'!E:E),Groups!A:A,Groups!D:D)=0,_xlfn.XLOOKUP(_xlfn.XLOOKUP(B75,'Base stats'!B:B,'Base stats'!E:E),Groups!A:A,Groups!AR:AR),"None")</f>
        <v>Intermediate</v>
      </c>
      <c r="BJ75" s="2" t="str">
        <f>IF(AND(_xlfn.XLOOKUP(_xlfn.XLOOKUP(B75,'Base stats'!B:B,'Base stats'!E:E),Groups!A:A,Groups!AS:AS)=1,OR(_xlfn.XLOOKUP(B75,'Base stats'!B:B,'Base stats'!Y:Y)="Carnivore",_xlfn.XLOOKUP(B75,'Base stats'!B:B,'Base stats'!Y:Y)="Omnivore")),"true","false")</f>
        <v>true</v>
      </c>
      <c r="BK75" s="2">
        <f>IF(BJ75="true",MROUND(IF(AND(AO75&gt;0.5,OR(_xlfn.XLOOKUP(_xlfn.XLOOKUP(B75,'Base stats'!B:B,'Base stats'!E:E),Groups!A:A,Groups!AJ:AJ)="Photonozoa",_xlfn.XLOOKUP(_xlfn.XLOOKUP(B75,'Base stats'!B:B,'Base stats'!E:E),Groups!A:A,Groups!AJ:AJ)="Mammal")),Animals!AO75*1.75*IF(AW75="true",1.5,1),IF(AO75&lt;0.5,Animals!AO75*0.5,Animals!AO75)),IF(AO75&gt;2,0.5,IF(AO75&gt;0.5,0.25,0.1))),"No")</f>
        <v>5</v>
      </c>
      <c r="BL75" s="2">
        <f t="shared" si="10"/>
        <v>1</v>
      </c>
      <c r="BM75" s="25" t="str">
        <f>IF(_xlfn.XLOOKUP(B75,'Base stats'!B:B,'Base stats'!AN:AN)="Standard","No",MROUND((_xlfn.XLOOKUP(B75,'Base stats'!B:B,'Base stats'!AN:AN)/3.6)/I75,0.1))</f>
        <v>No</v>
      </c>
      <c r="BN75" s="25" t="str">
        <f t="shared" si="11"/>
        <v>false</v>
      </c>
      <c r="BO75" s="25" t="str">
        <f>IF(AND(OR(_xlfn.XLOOKUP(B75,'Base stats'!B:B,'Base stats'!Y:Y)="Carnivore",_xlfn.XLOOKUP(B75,'Base stats'!B:B,'Base stats'!Y:Y)="Omnivore",_xlfn.XLOOKUP(B75,'Base stats'!B:B,'Base stats'!Y:Y)="OmnivoreRough"),_xlfn.XLOOKUP(_xlfn.XLOOKUP(B75,'Base stats'!B:B,'Base stats'!E:E),Groups!A:A,Groups!AT:AT)=1),"true","false")</f>
        <v>false</v>
      </c>
      <c r="BP75" s="25" t="str" cm="1">
        <f t="array" ref="BP75">IF(
  _xlfn.TEXTJOIN(", ",TRUE,
    IF(AND(BJ75="true",AO75&gt;0.5,BI75&lt;&gt;"None"),"AttackTarget",""),
    IF(AND(_xlfn.XLOOKUP(_xlfn.XLOOKUP(B75,'Base stats'!B:B,'Base stats'!E:E),Groups!A:A,Groups!AJ:AJ="Mammal"),OR(_xlfn.XLOOKUP(B75,'Base stats'!B:B,'Base stats'!Y:Y)="Omnivore",_xlfn.XLOOKUP(B75,'Base stats'!B:B,'Base stats'!Y:Y)="OmnivoreRough")),"Forage",""),
    IF(BG75&lt;=36,"Comfort",""),
    IF(_xlfn.XLOOKUP(B75,'Base stats'!B:B,'Base stats'!AE:AE)&lt;&gt;"No",_xlfn.XLOOKUP(B75,'Base stats'!B:B,'Base stats'!AE:AE),"")
  ) = "",
  "No",
  _xlfn.TEXTJOIN(", ",TRUE,
    IF(AND(BJ75="true",AO75&gt;0.5,BI75&lt;&gt;"None"),"AttackTarget",""),
    IF(AND(_xlfn.XLOOKUP(_xlfn.XLOOKUP(B75,'Base stats'!B:B,'Base stats'!E:E),Groups!A:A,Groups!AJ:AJ="Mammal"),OR(_xlfn.XLOOKUP(B75,'Base stats'!B:B,'Base stats'!Y:Y)="Omnivore",_xlfn.XLOOKUP(B75,'Base stats'!B:B,'Base stats'!Y:Y)="OmnivoreRough")),"Forage",""),
    IF(BG75&lt;=36,"Comfort",""),
    IF(_xlfn.XLOOKUP(B75,'Base stats'!B:B,'Base stats'!AE:AE)&lt;&gt;"No",_xlfn.XLOOKUP(B75,'Base stats'!B:B,'Base stats'!AE:AE),"")
  )
)</f>
        <v>AttackTarget</v>
      </c>
      <c r="BQ75" s="25" t="str">
        <f>IF(
   AND(
      'Base stats'!AN75="Standard",_xlfn.XLOOKUP(_xlfn.XLOOKUP(B75,'Base stats'!B:B,'Base stats'!E:E),Groups!A:A,Groups!AU:AU)=0,
      OR(
      BO75="True"
      )
   ),
   10,
   IF(
       OR(BM75&lt;&gt;"No",_xlfn.XLOOKUP(_xlfn.XLOOKUP(B75,'Base stats'!B:B,'Base stats'!E:E),Groups!A:A,Groups!AU:AU)=1),
      1,
      "No"
   )
)</f>
        <v>No</v>
      </c>
      <c r="BR75" s="9">
        <f>MROUND((1 + ((0.2*IF(OR(Q75="No",R75="No",R75=0),0,Q75/R75)
+IF(OR(V75="No",S75="No",T75="No"),0,S75/T75*(LEN(V75)-LEN(SUBSTITUTE(V75,",",""))+1))
+IF(OR(X75="No",Y75="No"),0,X75/Y75)
+IF(OR(AD75="No",AE75="No"),0,AD75/AE75)
+IF(OR(AL75="No",AI75="No",AJ75="No"),0,AI75/AJ75*(LEN(AL75)-LEN(SUBSTITUTE(AL75,",",""))+1))
)/(0.2*IF(OR(Q75="No",R75="No",R75=0),0,1)
+IF(OR(V75="No",S75="No",T75="No"),0,LEN(V75)-LEN(SUBSTITUTE(V75,",",""))+1)
+IF(OR(X75="No",Y75="No"),0,1)
+IF(OR(AD75="No",AE75="No"),0,1)
+IF(OR(AL75="No",AI75="No",AJ75="No"),0,LEN(AL75)-LEN(SUBSTITUTE(AL75,",",""))+1))*62%)* 2)*(1 + (AP75 / (IF(_xlfn.XLOOKUP(_xlfn.XLOOKUP(B75,'Base stats'!B:B,'Base stats'!E:E),Groups!A:A,Groups!AJ:AJ)="Photonozoa",0.3,1)) + _xlfn.XLOOKUP(B75,'Base stats'!B:B,'Base stats'!AV:AV) * 1.8) * 2) * 2.5 + 10 + I75 * 2,5)+IF(_xlfn.XLOOKUP(B75,'Base stats'!B:B,'Base stats'!AK:AK)=1,50,0)</f>
        <v>230</v>
      </c>
      <c r="BS75" s="8">
        <f t="shared" si="12"/>
        <v>1.05</v>
      </c>
      <c r="BT75" s="8" t="str">
        <f>_xlfn.XLOOKUP(B75,'Base stats'!B:B,'Base stats'!AF:AF)</f>
        <v>1~3</v>
      </c>
      <c r="BU75" s="2" t="str">
        <f>IF(AND(J75&lt;=0.95,OR(_xlfn.XLOOKUP(B75,'Base stats'!B:B,'Base stats'!AK:AK)=1,_xlfn.XLOOKUP(B75,'Base stats'!B:B,'Base stats'!Y:Y)="Carnivore",_xlfn.XLOOKUP(B75,'Base stats'!B:B,'Base stats'!Y:Y)="Omnivore",BE75&gt;0.1)),"true","false")</f>
        <v>true</v>
      </c>
      <c r="BV75" s="2" t="str">
        <f>IF(_xlfn.XLOOKUP(B75,'Base stats'!B:B,'Base stats'!AI:AI)=1,"true","false")</f>
        <v>false</v>
      </c>
      <c r="BW75" s="25" t="str">
        <f>IF(E75="BaseInsect","AnimalInsect",
IF(J75&gt;0.95,"AnimalExotic",
_xlfn.TEXTJOIN(", ",TRUE,
IF(OR(_xlfn.XLOOKUP(B75,'Base stats'!B:B,'Base stats'!AM:AM)=1,AND(_xlfn.XLOOKUP(B75,'Base stats'!B:B,'Base stats'!O:O)=0,_xlfn.XLOOKUP(_xlfn.XLOOKUP(B75,'Base stats'!B:B,'Base stats'!E:E),Groups!A:A,Groups!B:B)&gt;0)),"AnimalUncommon","AnimalCommon"),
IF(AND(_xlfn.XLOOKUP(B75,'Base stats'!B:B,'Base stats'!O:O)=2,_xlfn.XLOOKUP(_xlfn.XLOOKUP(B75,'Base stats'!B:B,'Base stats'!E:E),Groups!A:A,Groups!D:D)=0),"AnimalPet",IF(AND(_xlfn.XLOOKUP(B75,'Base stats'!B:B,'Base stats'!O:O)&lt;&gt;0,_xlfn.XLOOKUP(_xlfn.XLOOKUP(B75,'Base stats'!B:B,'Base stats'!E:E),Groups!A:A,Groups!D:D)&lt;&gt;0),"AnimalFarm","")),
IF(OR(_xlfn.XLOOKUP(B75,'Base stats'!B:B,'Base stats'!AK:AK)=1,AND(BI75&lt;&gt;"None",BR75&gt;=60),ISNUMBER(SEARCH("Attack target",BP75))),"AnimalFighter","")
)))</f>
        <v>AnimalUncommon, AnimalFighter</v>
      </c>
      <c r="BX75" s="25" t="str">
        <f>IF(G75="None",TRIM(
SUBSTITUTE(
IF(COUNTIF(Biomes!B$2:B$259,"="&amp;$C75)&gt;0,Biomes!B$1&amp;", ","")&amp;
IF(COUNTIF(Biomes!C$2:C$259,"="&amp;$C75)&gt;0,Biomes!C$1&amp;", ","")&amp;
IF(COUNTIF(Biomes!D$2:D$259,"="&amp;$C75)&gt;0,Biomes!D$1&amp;", ","")&amp;
IF(COUNTIF(Biomes!F$2:F$259,"="&amp;$C75)&gt;0,Biomes!F$1&amp;", ","")&amp;
IF(COUNTIF(Biomes!G$2:G$259,"="&amp;$C75)&gt;0,Biomes!G$1&amp;", ","")&amp;
IF(COUNTIF(Biomes!H$2:H$259,"="&amp;$C75)&gt;0,Biomes!H$1&amp;", ","")&amp;
IF(COUNTIF(Biomes!I$2:I$259,"="&amp;$C75)&gt;0,Biomes!I$1&amp;", ","")&amp;
IF(COUNTIF(Biomes!J$2:J$259,"="&amp;$C75)&gt;0,Biomes!J$1&amp;", ","")&amp;
IF(COUNTIF(Biomes!M$2:M$259,"="&amp;$C75)&gt;0,Biomes!M$1&amp;", ","")&amp;
IF(COUNTIF(Biomes!N$2:N$259,"="&amp;$C75)&gt;0,Biomes!N$1&amp;", ","")&amp;
IF(COUNTIF(Biomes!O$2:O$259,"="&amp;$C75)&gt;0,Biomes!O$1&amp;", ","")&amp;
IF(COUNTIF(Biomes!P$2:P$259,"="&amp;$C75)&gt;0,Biomes!P$1&amp;", ","")&amp;
IF(COUNTIF(Biomes!K$2:K$259,"="&amp;$C75)&gt;0,Biomes!K$1&amp;", ","")&amp;
IF(COUNTIF(Biomes!Q$3:Q$259,"="&amp;$C75)&gt;0,Biomes!Q$1&amp;", ","")&amp;
IF(COUNTIF(Biomes!L$2:L$259,"="&amp;$C75)&gt;0,Biomes!L$1&amp;", ","")&amp;
IF(COUNTIF(Biomes!E$2:E$259,"="&amp;$C75)&gt;0,Biomes!E$1&amp;", ","")&amp;IF(COUNTIF(Biomes!S$2:S$259,"="&amp;$C75)&gt;0,Biomes!S$1&amp;", ","")&amp;
IF(COUNTIF(Biomes!R$2:R$259,"="&amp;$C75)&gt;0,Biomes!R$1&amp;", ",""),", ","")
),_xlfn.XLOOKUP(B75,B:B,BX:BX))</f>
        <v>GlacialPlain</v>
      </c>
      <c r="BY75" s="25" t="str">
        <f>IF(_xlfn.XLOOKUP(B75,'Base stats'!B:B,'Base stats'!AJ:AJ)=1,"true","false")</f>
        <v>false</v>
      </c>
      <c r="BZ75" s="25">
        <f>IF(_xlfn.XLOOKUP(B75,'Base stats'!B:B,'Base stats'!N:N)=1,"No",MAX(0.001,MIN(MROUND(IF(AND(BJ75="True",CC75="False"),POWER(10,3.47*LOG10(_xlfn.XLOOKUP(B75,'Base stats'!B:B,'Base stats'!C:C)*1000)^-0.96),POWER(10,4.15*LOG10(_xlfn.XLOOKUP(B75,'Base stats'!B:B,'Base stats'!C:C)*1000)^-0.73))*IF(_xlfn.XLOOKUP(B75,'Base stats'!B:B,'Base stats'!AK:AK)=1,0.5,1)*IF(_xlfn.XLOOKUP(B75,'Base stats'!B:B,'Base stats'!AM:AM)=1,0.1,1)/100,IF(_xlfn.XLOOKUP(B75,'Base stats'!B:B,'Base stats'!AM:AM)=1,0.001,0.025)),0.5)))</f>
        <v>0.05</v>
      </c>
      <c r="CA75" s="25" t="str">
        <f>IF(P75="Standard","No",MAX(0.001,MIN(MROUND(IF(AND(BJ75="True",CC75="False"),POWER(10,3.47*LOG10(_xlfn.XLOOKUP(B75,'Base stats'!B:B,'Base stats'!C:C)*1000)^-0.96),POWER(10,4.15*LOG10(_xlfn.XLOOKUP(B75,'Base stats'!B:B,'Base stats'!C:C)*1000)^-0.73))*IF(_xlfn.XLOOKUP(B75,'Base stats'!B:B,'Base stats'!AM:AM)=1,0.1,1)*_xlfn.XLOOKUP(B75,'Base stats'!B:B,'Base stats'!R:R)/100,IF(_xlfn.XLOOKUP(B75,'Base stats'!B:B,'Base stats'!AM:AM)=1,0.001,0.025)),0.5)))</f>
        <v>No</v>
      </c>
      <c r="CB75" s="25" t="str">
        <f>IF(_xlfn.XLOOKUP(_xlfn.XLOOKUP(B75,'Base stats'!B:B,'Base stats'!E:E),Groups!A:A,Groups!AJ:AJ)="Mammal","True","False")</f>
        <v>True</v>
      </c>
      <c r="CC75" s="25" t="str">
        <f>IF(OR(_xlfn.XLOOKUP(_xlfn.XLOOKUP(B75,'Base stats'!B:B,'Base stats'!E:E),Groups!A:A,Groups!AJ:AJ)="Reptile",_xlfn.XLOOKUP(_xlfn.XLOOKUP(B75,'Base stats'!B:B,'Base stats'!E:E),Groups!A:A,Groups!AJ:AJ)="Amphibian",_xlfn.XLOOKUP(_xlfn.XLOOKUP(B75,'Base stats'!B:B,'Base stats'!E:E),Groups!A:A,Groups!AJ:AJ)="Invertebrate"),"True","False")</f>
        <v>False</v>
      </c>
      <c r="CD75" s="25" t="str">
        <f t="shared" si="13"/>
        <v>False</v>
      </c>
      <c r="CE75" s="25" t="str">
        <f>IF(_xlfn.XLOOKUP(_xlfn.XLOOKUP(B75,'Base stats'!B:B,'Base stats'!E:E),Groups!A:A,Groups!AX:AX),"True","False")</f>
        <v>False</v>
      </c>
      <c r="CF75" s="25" t="str">
        <f>IF(_xlfn.XLOOKUP(_xlfn.XLOOKUP(B75,'Base stats'!B:B,'Base stats'!E:E),Groups!A:A,Groups!AY:AY),"True","False")</f>
        <v>False</v>
      </c>
      <c r="CG75" s="25" t="str">
        <f>IF(_xlfn.XLOOKUP(_xlfn.XLOOKUP(B75,'Base stats'!B:B,'Base stats'!E:E),Groups!A:A,Groups!AW:AW),"True","False")</f>
        <v>False</v>
      </c>
      <c r="CH75" s="25" t="str">
        <f>IF(
OR(
_xlfn.XLOOKUP(_xlfn.XLOOKUP(B75,'Base stats'!B:B,'Base stats'!E:E),Groups!A:A,Groups!AZ:AZ)=0,
AND(
_xlfn.XLOOKUP(B75,'Base stats'!B:B,'Base stats'!Y:Y)&lt;&gt;"Carnivore",
_xlfn.XLOOKUP(B75,'Base stats'!B:B,'Base stats'!Y:Y)&lt;&gt;"Omnivore",
_xlfn.XLOOKUP(B75,'Base stats'!B:B,'Base stats'!Y:Y)&lt;&gt;"OmnivoreRough"
)
),
"No",
IF(
_xlfn.XLOOKUP(_xlfn.XLOOKUP(B75,'Base stats'!B:B,'Base stats'!E:E),Groups!A:A,Groups!AZ:AZ)=1,
"Flesh",
IF(
_xlfn.XLOOKUP(_xlfn.XLOOKUP(B75,'Base stats'!B:B,'Base stats'!E:E),Groups!A:A,Groups!AZ:AZ)=2,
"Bone",
""
)
)
)</f>
        <v>No</v>
      </c>
      <c r="CI75" s="25" t="str">
        <f>IF(_xlfn.XLOOKUP(_xlfn.XLOOKUP(B75,'Base stats'!B:B,'Base stats'!E:E),Groups!A:A,Groups!BB:BB),"True","False")</f>
        <v>True</v>
      </c>
      <c r="CJ75" s="25" t="str">
        <f>IF(_xlfn.XLOOKUP(_xlfn.XLOOKUP(B75,'Base stats'!B:B,'Base stats'!E:E),Groups!A:A,Groups!BA:BA),"True","False")</f>
        <v>False</v>
      </c>
    </row>
    <row r="76" spans="1:88" ht="16.5" thickTop="1" thickBot="1" x14ac:dyDescent="0.3">
      <c r="A76" s="26" t="str">
        <f>_xlfn.XLOOKUP(B76,'Base stats'!B:B,'Base stats'!A:A)</f>
        <v>Bullfrog</v>
      </c>
      <c r="B76" s="6" t="s">
        <v>221</v>
      </c>
      <c r="C76" s="28" t="s">
        <v>756</v>
      </c>
      <c r="D76" s="28" t="s">
        <v>870</v>
      </c>
      <c r="E76" s="28" t="s">
        <v>673</v>
      </c>
      <c r="F76" s="28" t="s">
        <v>673</v>
      </c>
      <c r="G76" s="28" t="s">
        <v>673</v>
      </c>
      <c r="H76" s="2">
        <f>MROUND((
  (IF(AND(_xlfn.XLOOKUP(B76,'Base stats'!B:B,'Base stats'!AL:AL)=0,BI76="None",_xlfn.XLOOKUP(_xlfn.XLOOKUP(B76,'Base stats'!B:B,'Base stats'!E:E),Groups!A:A,Groups!B:B)=0), (18 + BR76 * 2.7) * 0.5,
    IF(AND(_xlfn.XLOOKUP(B76,'Base stats'!B:B,'Base stats'!AL:AL)=0,OR(AO76&lt;0.55,AND(BI76="Intermediate",_xlfn.XLOOKUP(_xlfn.XLOOKUP(B76,'Base stats'!B:B,'Base stats'!E:E),Groups!A:A,Groups!B:B)&lt;2))), (18 + BR76 * 2.7),
      IF(OR(BI76="Advanced",_xlfn.XLOOKUP(B76,'Base stats'!B:B,'Base stats'!AL:AL)=1,_xlfn.XLOOKUP(_xlfn.XLOOKUP(B76,'Base stats'!B:B,'Base stats'!E:E),Groups!A:A,Groups!B:B)=2), (18 + BR76 * 2.7) + 250, (18 + BR76 * 2.7))
    )
  ))
  + AO76 * 80
  + IF(COUNTIF(EggMilk!K$2:K$998, A76) &gt; 0, 125, 0)
  + IF(COUNTIF(EggMilk!P$2:P$998, A76) &gt; 0, 90, 0)
  + IF(COUNTIF(EggMilk!A$2:A$998, A76) &gt; 0, 90, 0)
)
* (0.8 + 0.4 * J76)
* 0.75,25)</f>
        <v>100</v>
      </c>
      <c r="I76" s="2">
        <f>MROUND(ROUNDDOWN(_xlfn.XLOOKUP(B76,'Base stats'!B:B,'Base stats'!L:L)/3.6/(23.3/11),1),0.5)</f>
        <v>1.5</v>
      </c>
      <c r="J76" s="2">
        <f>IF(OR(_xlfn.XLOOKUP(B76,'Base stats'!B:B,'Base stats'!AB:AB)=1,_xlfn.XLOOKUP(_xlfn.XLOOKUP(B76,'Base stats'!B:B,'Base stats'!E:E),Groups!A:A,Groups!C:C)="Untamable"),1,IF(_xlfn.XLOOKUP(B76,'Base stats'!B:B,'Base stats'!AL:AL)=1,0.99,MIN(MROUND((1-0.6282*EXP(-0.459*AO76))*_xlfn.XLOOKUP(_xlfn.XLOOKUP(B76,'Base stats'!B:B,'Base stats'!E:E),Groups!A:A,Groups!C:C)*IF(_xlfn.XLOOKUP(B76,'Base stats'!B:B,'Base stats'!O:O)=1,0.5,IF(_xlfn.XLOOKUP(B76,'Base stats'!B:B,'Base stats'!O:O)=2,0,1)),0.05),IF(AO76&gt;3.5,0.985,0.95))))</f>
        <v>0.4</v>
      </c>
      <c r="K76" s="2">
        <f>ROUNDUP(AO76*_xlfn.XLOOKUP(_xlfn.XLOOKUP(B76,'Base stats'!B:B,'Base stats'!E:E),Groups!A:A,Groups!E:E),0)</f>
        <v>1</v>
      </c>
      <c r="L76" s="2">
        <f>IF(OR(_xlfn.XLOOKUP(_xlfn.XLOOKUP(B76,'Base stats'!B:B,'Base stats'!E:E),Groups!A:A,Groups!F:F)=2,ISNUMBER(SEARCH("SeaIce",BX76)),ISNUMBER(SEARCH("IceSheet",BX76))),-50,IF(OR(ISNUMBER(SEARCH("GlacialPlain",BX76)),ISNUMBER(SEARCH("Tundra",BX76))),-40,IF(OR(ISNUMBER(SEARCH("Alpine",BX76)),ISNUMBER(SEARCH("BorealForest",BX76)),ISNUMBER(SEARCH("ColdBog",BX76))),-30,IF(OR(ISNUMBER(SEARCH("TemperateForest",BX76)),ISNUMBER(SEARCH("TemperateSwamp",BX76))),-20,IF(_xlfn.XLOOKUP(_xlfn.XLOOKUP(B76,'Base stats'!B:B,'Base stats'!E:E),Groups!A:A,Groups!F:F)=1,-15,IF(OR(ISNUMBER(SEARCH("Desert",BX76)),ISNUMBER(SEARCH("ExtremeDesert",BX76))),-10,IF(OR(ISNUMBER(SEARCH("Grasslands",BX76)),ISNUMBER(SEARCH("TropicalRainforest",BX76)),ISNUMBER(SEARCH("TropicalSwamp",BX76))),10,0)))))))-IF(CC76="False",MIN(IFERROR(MAX(MROUND(LOG10(_xlfn.XLOOKUP(B76,'Base stats'!B:B,'Base stats'!C:C)^(2/3))*10,5),5),5),30))-_xlfn.XLOOKUP(B76,'Base stats'!B:B,'Base stats'!P:P)+IF(CC76="True",5,0)</f>
        <v>-5</v>
      </c>
      <c r="M76" s="2">
        <f>IF(OR(_xlfn.XLOOKUP(_xlfn.XLOOKUP(B76,'Base stats'!B:B,'Base stats'!E:E),Groups!A:A,Groups!G:G)=2,ISNUMBER(SEARCH("Desert",BX76)),ISNUMBER(SEARCH("ExtremeDesert",BX76)),ISNUMBER(SEARCH("LavaField",BX76))),50,IF(ISNUMBER(SEARCH("Grasslands",BX76)),45,IF(OR(_xlfn.XLOOKUP(_xlfn.XLOOKUP(B76,'Base stats'!B:B,'Base stats'!E:E),Groups!A:A,Groups!G:G)=1,ISNUMBER(SEARCH("TropicalRainforest",BX76)),ISNUMBER(SEARCH("TropicalSwamp",BX76))),40,IF(OR(ISNUMBER(SEARCH("TemperateForest",BX76)),ISNUMBER(SEARCH("TemperateSwamp",BX76))),35,IF(OR(ISNUMBER(SEARCH("Alpine",BX76)),ISNUMBER(SEARCH("BorealForest",BX76)),ISNUMBER(SEARCH("ColdBog",BX76))),30,IF(ISNUMBER(OR(ISNUMBER(SEARCH("GlacialPlain",BX76)),SEARCH("Tundra",BX76))),25,IF(OR(ISNUMBER(SEARCH("SeaIce",BX76)),ISNUMBER(SEARCH("IceSheet",BX76)),ISNUMBER(SEARCH("TropicalSwamp",BX76))),10,35)))))))+_xlfn.XLOOKUP(B76,'Base stats'!B:B,'Base stats'!Q:Q)</f>
        <v>40</v>
      </c>
      <c r="N76" s="8" t="str">
        <f>IF(
_xlfn.XLOOKUP(
_xlfn.XLOOKUP(B76,'Base stats'!B:B,'Base stats'!E:E),
Groups!A:A,
Groups!L:L
)=1,
MIN(
MROUND(
IF(
_xlfn.XLOOKUP(B76,'Animals CE'!B:B,'Animals CE'!Z:Z)&lt;=1.5,
_xlfn.XLOOKUP(B76,'Animals CE'!B:B,'Animals CE'!Z:Z)/2+0.05,
0.8+
(_xlfn.XLOOKUP(B76,'Animals CE'!B:B,'Animals CE'!Z:Z)-1.5)
*0.02
),
0.05
),
200%
),
"No"
)</f>
        <v>No</v>
      </c>
      <c r="O76" s="8" t="str">
        <f>IF(
_xlfn.XLOOKUP(
_xlfn.XLOOKUP(B76,'Base stats'!B:B,'Base stats'!E:E),
Groups!A:A,
Groups!L:L
)=1,
MIN(
MROUND(
IF(
_xlfn.XLOOKUP(B76,'Animals CE'!B:B,'Animals CE'!AA:AA)&lt;=1.5,
_xlfn.XLOOKUP(B76,'Animals CE'!B:B,'Animals CE'!AA:AA)/2+0.05,
0.8+
(_xlfn.XLOOKUP(B76,'Animals CE'!B:B,'Animals CE'!AA:AA)-1.5)
*0.02
),
0.05
),
200%
),
"No"
)</f>
        <v>No</v>
      </c>
      <c r="P76" s="2" t="str">
        <f>_xlfn.XLOOKUP(B76,'Base stats'!B:B,'Base stats'!R:R)</f>
        <v>Standard</v>
      </c>
      <c r="Q76" s="13">
        <f>MROUND((LOG10(_xlfn.XLOOKUP(B76,'Base stats'!B:B,'Base stats'!AR:AR))*(AO76^0.5)+(_xlfn.XLOOKUP(B76,'Base stats'!B:B,'Base stats'!AR:AR)/1000)^(2/3)+_xlfn.XLOOKUP(B76,'Base stats'!B:B,'Base stats'!BA:BA)/2)+0.5,0.5)</f>
        <v>1.5</v>
      </c>
      <c r="R76" s="7">
        <f>IF(Q76="No","No",MAX(1,MROUND(_xlfn.XLOOKUP(B76,'Base stats'!B:B,'Base stats'!C:C)^0.165,0.05)))</f>
        <v>1</v>
      </c>
      <c r="S76" s="13" t="str">
        <f>IF(_xlfn.XLOOKUP(_xlfn.XLOOKUP(B76,'Base stats'!B:B,'Base stats'!E:E),Groups!A:A,Groups!P:P)=0,"No",MROUND((LOG10(_xlfn.XLOOKUP(B76,'Base stats'!B:B,'Base stats'!AS:AS))*(AO76^0.5)+(_xlfn.XLOOKUP(B76,'Base stats'!B:B,'Base stats'!AS:AS)/1000)^(2/3)+_xlfn.XLOOKUP(B76,'Base stats'!B:B,'Base stats'!BA:BA))+_xlfn.XLOOKUP(B76,'Base stats'!B:B,'Base stats'!AY:AY)+0.5,0.5))</f>
        <v>No</v>
      </c>
      <c r="T76" s="7" t="str">
        <f>IF(S76="No","No",MAX(_xlfn.XLOOKUP(_xlfn.XLOOKUP(B76,'Base stats'!B:B,'Base stats'!E:E),Groups!A:A,Groups!Q:Q),MROUND(_xlfn.XLOOKUP(_xlfn.XLOOKUP(B76,'Base stats'!B:B,'Base stats'!E:E),Groups!A:A,Groups!Q:Q)*_xlfn.XLOOKUP(B76,'Base stats'!B:B,'Base stats'!C:C)^0.165,0.05)))</f>
        <v>No</v>
      </c>
      <c r="U76" s="7" t="str">
        <f>IF(S76="No","No",_xlfn.XLOOKUP(_xlfn.XLOOKUP(B76,'Base stats'!B:B,'Base stats'!E:E),Groups!A:A,Groups!R:R))</f>
        <v>No</v>
      </c>
      <c r="V76" s="7" t="str">
        <f>IF(S76="No","No",_xlfn.XLOOKUP(_xlfn.XLOOKUP(B76,'Base stats'!B:B,'Base stats'!E:E),Groups!A:A,Groups!S:S))</f>
        <v>No</v>
      </c>
      <c r="W76" s="7" t="str">
        <f>IF(S76="No","No",_xlfn.XLOOKUP(_xlfn.XLOOKUP(B76,'Base stats'!B:B,'Base stats'!E:E),Groups!A:A,Groups!T:T))</f>
        <v>No</v>
      </c>
      <c r="X76" s="13" t="str">
        <f>IF(_xlfn.XLOOKUP(B76,'Base stats'!B:B,'Base stats'!W:W)="No","No",MROUND((LOG10(_xlfn.XLOOKUP(B76,'Base stats'!B:B,'Base stats'!AU:AU))*(AO76^0.5)+(_xlfn.XLOOKUP(B76,'Base stats'!B:B,'Base stats'!AU:AU)/1000)^(2/3)+_xlfn.XLOOKUP(B76,'Base stats'!B:B,'Base stats'!AZ:AZ))+0.5+IF(_xlfn.XLOOKUP(_xlfn.XLOOKUP(B76,'Base stats'!B:B,'Base stats'!E:E),Groups!A:A,Groups!U:U)&lt;&gt;3,_xlfn.XLOOKUP(B76,'Base stats'!B:B,'Base stats'!BA:BA),0),0.5))</f>
        <v>No</v>
      </c>
      <c r="Y76" s="7" t="str">
        <f>IF(X76="No","No",MAX(_xlfn.XLOOKUP(_xlfn.XLOOKUP(B76,'Base stats'!B:B,'Base stats'!E:E),Groups!A:A,Groups!V:V),MROUND(_xlfn.XLOOKUP(_xlfn.XLOOKUP(B76,'Base stats'!B:B,'Base stats'!E:E),Groups!A:A,Groups!V:V)*_xlfn.XLOOKUP(B76,'Base stats'!B:B,'Base stats'!C:C)^0.165,0.05)))</f>
        <v>No</v>
      </c>
      <c r="Z76" s="7" t="str">
        <f>IF(X76="No","No",_xlfn.XLOOKUP(_xlfn.XLOOKUP(B76,'Base stats'!B:B,'Base stats'!E:E),Groups!A:A,Groups!W:W))</f>
        <v>No</v>
      </c>
      <c r="AA76" s="7" t="str">
        <f>IF(X76="No","No",_xlfn.XLOOKUP(_xlfn.XLOOKUP(B76,'Base stats'!B:B,'Base stats'!E:E),Groups!A:A,Groups!X:X))</f>
        <v>No</v>
      </c>
      <c r="AB76" s="7" t="str">
        <f>IF(X76="No","No",_xlfn.XLOOKUP(_xlfn.XLOOKUP(B76,'Base stats'!B:B,'Base stats'!E:E),Groups!A:A,Groups!Y:Y))</f>
        <v>No</v>
      </c>
      <c r="AC76" s="7" t="str">
        <f>_xlfn.XLOOKUP(Animals!B76,'Base stats'!B:B,'Base stats'!X:X)</f>
        <v>False</v>
      </c>
      <c r="AD76" s="13">
        <f>IF(_xlfn.XLOOKUP(B76,'Base stats'!B:B,'Base stats'!AT:AT)="No","No",MROUND((LOG10(_xlfn.XLOOKUP(B76,'Base stats'!B:B,'Base stats'!AT:AT))*(AO76^0.75)+(_xlfn.XLOOKUP(B76,'Base stats'!B:B,'Base stats'!AT:AT)/1000)^(2/3)+_xlfn.XLOOKUP(B76,'Base stats'!B:B,'Base stats'!AX:AX)+_xlfn.XLOOKUP(B76,'Base stats'!B:B,'Base stats'!BA:BA))+0.5,0.5))</f>
        <v>1.5</v>
      </c>
      <c r="AE76" s="7">
        <f>IF(AD76="No","No",MAX(_xlfn.XLOOKUP(_xlfn.XLOOKUP(B76,'Base stats'!B:B,'Base stats'!E:E),Groups!A:A,Groups!Z:Z),MROUND(_xlfn.XLOOKUP(_xlfn.XLOOKUP(B76,'Base stats'!B:B,'Base stats'!E:E),Groups!A:A,Groups!Z:Z)*_xlfn.XLOOKUP(B76,'Base stats'!B:B,'Base stats'!C:C)^0.165,0.05)))</f>
        <v>1</v>
      </c>
      <c r="AF76" s="7" t="str">
        <f>IF(AD76="No","No",_xlfn.XLOOKUP(_xlfn.XLOOKUP(B76,'Base stats'!B:B,'Base stats'!E:E),Groups!A:A,Groups!AA:AA))</f>
        <v>Teeth</v>
      </c>
      <c r="AG76" s="7" t="str">
        <f>IF(AD76="No","No",_xlfn.XLOOKUP(_xlfn.XLOOKUP(B76,'Base stats'!B:B,'Base stats'!E:E),Groups!A:A,Groups!AB:AB))</f>
        <v>teeth</v>
      </c>
      <c r="AH76" s="7" t="str">
        <f>IF(AD76="No","No",_xlfn.XLOOKUP(_xlfn.XLOOKUP(B76,'Base stats'!B:B,'Base stats'!E:E),Groups!A:A,Groups!AC:AC))</f>
        <v>Bite</v>
      </c>
      <c r="AI76" s="13" t="str">
        <f>IF(_xlfn.XLOOKUP(_xlfn.XLOOKUP(B76,'Base stats'!B:B,'Base stats'!E:E),Groups!A:A,Groups!AD:AD)=0,"No",MROUND((LOG10(_xlfn.XLOOKUP(B76,'Base stats'!B:B,'Base stats'!AS:AS))*(AO76^0.75)+(_xlfn.XLOOKUP(B76,'Base stats'!B:B,'Base stats'!AS:AS)/1000)^(2/3)+_xlfn.XLOOKUP(B76,'Base stats'!B:B,'Base stats'!AY:AY)+_xlfn.XLOOKUP(B76,'Base stats'!B:B,'Base stats'!BA:BA))+0.5,0.5))</f>
        <v>No</v>
      </c>
      <c r="AJ76" s="7" t="str">
        <f>IF(AI76="No","No",MAX(_xlfn.XLOOKUP(_xlfn.XLOOKUP(B76,'Base stats'!B:B,'Base stats'!E:E),Groups!A:A,Groups!AE:AE),MROUND(_xlfn.XLOOKUP(_xlfn.XLOOKUP(B76,'Base stats'!B:B,'Base stats'!E:E),Groups!A:A,Groups!AE:AE)*IF(_xlfn.XLOOKUP(_xlfn.XLOOKUP(B76,'Base stats'!B:B,'Base stats'!E:E),Groups!A:A,Groups!AJ:AJ)="Photonozoa",0.6,1)*_xlfn.XLOOKUP(B76,'Base stats'!B:B,'Base stats'!C:C)^0.165,0.05)))</f>
        <v>No</v>
      </c>
      <c r="AK76" s="7" t="str">
        <f>IF(AI76="No","No",_xlfn.XLOOKUP(_xlfn.XLOOKUP(B76,'Base stats'!B:B,'Base stats'!E:E),Groups!A:A,Groups!AF:AF))</f>
        <v>No</v>
      </c>
      <c r="AL76" s="7" t="str">
        <f>IF(AI76="No","No",_xlfn.XLOOKUP(_xlfn.XLOOKUP(B76,'Base stats'!B:B,'Base stats'!E:E),Groups!A:A,Groups!AG:AG))</f>
        <v>No</v>
      </c>
      <c r="AM76" s="7" t="str">
        <f>IF(AI76="No","No",_xlfn.XLOOKUP(_xlfn.XLOOKUP(B76,'Base stats'!B:B,'Base stats'!E:E),Groups!A:A,Groups!AH:AH))</f>
        <v>No</v>
      </c>
      <c r="AN76" s="2">
        <f t="shared" si="7"/>
        <v>15</v>
      </c>
      <c r="AO76" s="2">
        <f>MROUND(IF(AND(_xlfn.XLOOKUP(B76,'Base stats'!B:B,'Base stats'!C:C)&gt;=0.5,_xlfn.XLOOKUP(B76,'Base stats'!B:B,'Base stats'!C:C)&lt;=0.8),
IF(_xlfn.XLOOKUP(B76,'Base stats'!B:B,'Base stats'!C:C)&lt;0.1,0.05,IF(_xlfn.XLOOKUP(B76,'Base stats'!B:B,'Base stats'!C:C)&lt;=70,(_xlfn.XLOOKUP(B76,'Base stats'!B:B,'Base stats'!C:C)/70)^0.426489913056526,IF(_xlfn.XLOOKUP(B76,'Base stats'!B:B,'Base stats'!C:C)&lt;=400,(_xlfn.XLOOKUP(B76,'Base stats'!B:B,'Base stats'!C:C)/70)^0.572811455315093,IF(_xlfn.XLOOKUP(B76,'Base stats'!B:B,'Base stats'!C:C)&lt;=2000,2.71391647193063*(_xlfn.XLOOKUP(B76,'Base stats'!B:B,'Base stats'!C:C)/400)^0.252459582904293,3.74314280240376*(_xlfn.XLOOKUP(B76,'Base stats'!B:B,'Base stats'!C:C)/2000)^0.357012633876913)))),
IF(_xlfn.XLOOKUP(B76,'Base stats'!B:B,'Base stats'!C:C)&lt;0.1,0.05,IF(_xlfn.XLOOKUP(B76,'Base stats'!B:B,'Base stats'!C:C)&lt;0.4,0.1,IF(_xlfn.XLOOKUP(B76,'Base stats'!B:B,'Base stats'!C:C)&lt;=70,(_xlfn.XLOOKUP(B76,'Base stats'!B:B,'Base stats'!C:C)/70)^0.445823913056526,IF(_xlfn.XLOOKUP(B76,'Base stats'!B:B,'Base stats'!C:C)&lt;=400,(_xlfn.XLOOKUP(B76,'Base stats'!B:B,'Base stats'!C:C)/70)^0.572811455315093,IF(_xlfn.XLOOKUP(B76,'Base stats'!B:B,'Base stats'!C:C)&lt;=2000,2.71391647193063*(_xlfn.XLOOKUP(B76,'Base stats'!B:B,'Base stats'!C:C)/400)^0.252459582904293,3.74314280240376*(_xlfn.XLOOKUP(B76,'Base stats'!B:B,'Base stats'!C:C)/2000)^0.357012633876913)))))),
IF(_xlfn.XLOOKUP(B76,'Base stats'!B:B,'Base stats'!C:C)&lt;0.1,0.05,IF(_xlfn.XLOOKUP(B76,'Base stats'!B:B,'Base stats'!C:C)&lt;=100,0.05,IF(_xlfn.XLOOKUP(B76,'Base stats'!B:B,'Base stats'!C:C)&lt;=250,0.1,IF(_xlfn.XLOOKUP(B76,'Base stats'!B:B,'Base stats'!C:C)&lt;=4000,0.25,0.5)))))</f>
        <v>0.1</v>
      </c>
      <c r="AP76" s="8">
        <f>MROUND(AO76*_xlfn.XLOOKUP(_xlfn.XLOOKUP(B76,'Base stats'!B:B,'Base stats'!E:E),Groups!A:A,Groups!AI:AI)*_xlfn.XLOOKUP(B76,'Base stats'!B:B,'Base stats'!Z:Z),0.05)</f>
        <v>0.1</v>
      </c>
      <c r="AQ76" s="8">
        <f>MAX(0.01,MROUND(IF(CC76="True",0.196*(AO76*100*1000)^0.889,IF(_xlfn.XLOOKUP(_xlfn.XLOOKUP(B76,'Base stats'!B:B,'Base stats'!E:E),Groups!A:A,Groups!AJ:AJ)="Bird",10.5*(AO76*100*1000)^0.681,4.82*(AO76*100*1000)^0.734))/(4.82*(1*100*1000)^0.734)/IF(AO76&lt;3.5,2,IF(AO76=3.5,1.5,1.25))*(1+0.132282374779864/(AO76^0.994035016789033+0.00905238001496948)),0.05))</f>
        <v>0.05</v>
      </c>
      <c r="AR76" s="9">
        <f>IFERROR(MROUND(_xlfn.XLOOKUP(B76,'Base stats'!B:B,'Base stats'!H:H)/IF(_xlfn.XLOOKUP(B76,'Base stats'!B:B,'Base stats'!I:I)&lt;&gt;1,(122.5/70),1.2),IF(_xlfn.XLOOKUP(B76,'Base stats'!B:B,'Base stats'!H:H)&gt;=30,5,IF(_xlfn.XLOOKUP(B76,'Base stats'!B:B,'Base stats'!H:H)&gt;=15,3,IF(_xlfn.XLOOKUP(B76,'Base stats'!B:B,'Base stats'!H:H)&gt;=10,2,1)))),"Immortal")</f>
        <v>9</v>
      </c>
      <c r="AS76" s="35">
        <f>IFERROR(IF(OR(_xlfn.XLOOKUP(B76,'Base stats'!B:B,'Base stats'!F:F)="Atypical reproduction",_xlfn.XLOOKUP(B76,'Base stats'!B:B,'Base stats'!F:F)="Lay eggs"),"Lay eggs",MIN(20,MAX(5.5,ROUND(((_xlfn.XLOOKUP(B76,'Base stats'!B:B,'Base stats'!F:F)-25)*(14.5/615) + 5.5)*2,0)/2))),"Unknown")</f>
        <v>6</v>
      </c>
      <c r="AT76" s="8">
        <f>IF(_xlfn.XLOOKUP(B76,'Base stats'!B:B,'Base stats'!G:G)="Atypical reproduction","No",IFERROR(MAX(IF(_xlfn.XLOOKUP(B76,'Base stats'!B:B,'Base stats'!G:G)&lt;0.5,0.2,0.3),MROUND(_xlfn.XLOOKUP(B76,'Base stats'!B:B,'Base stats'!G:G)/(365/60),0.2)),"Unknown"))</f>
        <v>0.60000000000000009</v>
      </c>
      <c r="AU76" s="8">
        <f t="shared" si="8"/>
        <v>0.30000000000000004</v>
      </c>
      <c r="AV76" s="8">
        <f>IFERROR(IFERROR(MROUND(_xlfn.XLOOKUP(B76,'Base stats'!B:B,'Base stats'!J:J),0.1),"Lay eggs"),"Cannot breed")</f>
        <v>9</v>
      </c>
      <c r="AW76" s="2" t="str">
        <f t="shared" si="9"/>
        <v>false</v>
      </c>
      <c r="AX76" s="2" t="str">
        <f>IF(_xlfn.XLOOKUP(_xlfn.XLOOKUP(Animals!B76,'Base stats'!B:B,'Base stats'!E:E),Groups!A:A,Groups!AK:AK)=1,"true","false")</f>
        <v>false</v>
      </c>
      <c r="AY76" s="25" t="str">
        <f>IF(_xlfn.XLOOKUP(B76,'Base stats'!B:B,'Base stats'!Y:Y)="Liquor","Liquor, CarnivoreAnimalStrict",IF(AND(_xlfn.XLOOKUP(B76,'Base stats'!B:B,'Base stats'!Y:Y)="Carnivore",_xlfn.XLOOKUP(_xlfn.XLOOKUP(B76,'Base stats'!B:B,'Base stats'!E:E),Groups!A:A,Groups!AJ:AJ)="Photonozoa"),"CarnivoreAnimalStrict, OvivoreAnimal",IF(_xlfn.XLOOKUP(B76,'Base stats'!B:B,'Base stats'!Y:Y)="Carnivore","CarnivoreAnimal, OvivoreAnimal",IF(_xlfn.XLOOKUP(B76,'Base stats'!B:B,'Base stats'!Y:Y)="Dendrovore","VegetarianRoughAnimal, DendrovoreAnimal",IF(_xlfn.XLOOKUP(B76,'Base stats'!B:B,'Base stats'!Y:Y)="Herbivore","VegetarianRoughAnimal",IF(_xlfn.XLOOKUP(B76,'Base stats'!B:B,'Base stats'!Y:Y)="OmnivoreRough","OmnivoreRoughAnimal, OvivoreAnimal","OmnivoreAnimal, OvivoreAnimal"))))))</f>
        <v>CarnivoreAnimal, OvivoreAnimal</v>
      </c>
      <c r="AZ76" s="2">
        <f>IF(_xlfn.XLOOKUP(_xlfn.XLOOKUP(B76,'Base stats'!B:B,'Base stats'!E:E),Groups!A:A,Groups!D:D)=1,MROUND((1-J76)*5+1,2)*IF(J76&lt;=0.4,2,1),"No")</f>
        <v>8</v>
      </c>
      <c r="BA76" s="2" t="str">
        <f>IF(AND(_xlfn.XLOOKUP(B76,'Base stats'!B:B,'Base stats'!AH:AH)="&lt;li&gt;Seal&lt;/li&gt;",G76="Odyssey"),"&lt;li&gt;AEXP_Seal&lt;/li&gt;",_xlfn.XLOOKUP(B76,'Base stats'!B:B,'Base stats'!AH:AH))</f>
        <v>&lt;li&gt;ColossusToad&lt;/li&gt;</v>
      </c>
      <c r="BB76" s="2" t="str">
        <f>_xlfn.XLOOKUP(B76,'Base stats'!B:B,'Base stats'!AG:AG)</f>
        <v>No</v>
      </c>
      <c r="BC76" s="23" t="str">
        <f>_xlfn.XLOOKUP(_xlfn.XLOOKUP(B76,'Base stats'!B:B,'Base stats'!E:E),Groups!A:A,Groups!AL:AL)</f>
        <v>QuadrupedAnimalWithPaws</v>
      </c>
      <c r="BD76" s="23">
        <f>MIN(1,MROUND(IF(AND(AO76&lt;0.5,_xlfn.XLOOKUP(B76,'Base stats'!B:B,'Base stats'!AA:AA)=0),0,IF(OR(_xlfn.XLOOKUP(Animals!B76,'Base stats'!B:B,'Base stats'!O:O)=2,_xlfn.XLOOKUP(_xlfn.XLOOKUP(B76,'Base stats'!B:B,'Base stats'!E:E),Groups!A:A,Groups!AN:AN)=0),0,_xlfn.XLOOKUP(_xlfn.XLOOKUP(B76,'Base stats'!B:B,'Base stats'!E:E),Groups!A:A,Groups!AN:AN)/IF(_xlfn.XLOOKUP(Animals!B76,'Base stats'!B:B,'Base stats'!O:O)=1,2,1)))+_xlfn.XLOOKUP(B76,'Base stats'!B:B,'Base stats'!AC:AC),0.005))</f>
        <v>0</v>
      </c>
      <c r="BE76" s="23">
        <f>MIN(1,MROUND(IF(AND(AO76&lt;0.5,_xlfn.XLOOKUP(B76,'Base stats'!B:B,'Base stats'!AA:AA)=0),0,IF(_xlfn.XLOOKUP(_xlfn.XLOOKUP(B76,'Base stats'!B:B,'Base stats'!E:E),Groups!A:A,Groups!AO:AO)=0,0,_xlfn.XLOOKUP(_xlfn.XLOOKUP(B76,'Base stats'!B:B,'Base stats'!E:E),Groups!A:A,Groups!AO:AO)/IF(_xlfn.XLOOKUP(Animals!B76,'Base stats'!B:B,'Base stats'!O:O)=2,3,1)))+_xlfn.XLOOKUP(B76,'Base stats'!B:B,'Base stats'!AD:AD),0.005))</f>
        <v>0</v>
      </c>
      <c r="BF76" s="2" t="str">
        <f>IF(J76&gt;0.3,"No",_xlfn.XLOOKUP(_xlfn.XLOOKUP(Animals!B76,'Base stats'!B:B,'Base stats'!E:E),Groups!A:A,Groups!AP:AP))</f>
        <v>No</v>
      </c>
      <c r="BG76" s="2" t="str">
        <f>IF(AND(J76&lt;=0.65,_xlfn.XLOOKUP(_xlfn.XLOOKUP(Animals!B76,'Base stats'!B:B,'Base stats'!E:E),Groups!A:A,Groups!AP:AP)&lt;&gt;"No",_xlfn.XLOOKUP(_xlfn.XLOOKUP(B76,'Base stats'!B:B,'Base stats'!E:E),Groups!A:A,Groups!D:D)=0),MROUND((80/3)*IF(_xlfn.XLOOKUP(B76,'Base stats'!B:B,'Base stats'!O:O)=2,0.2,AO76) + 24*(1-IF(BF76="No",0,BF76)) + 16/3, 12),"No")</f>
        <v>No</v>
      </c>
      <c r="BH76" s="2">
        <f>IF(AND(_xlfn.XLOOKUP(_xlfn.XLOOKUP(B76,'Base stats'!B:B,'Base stats'!E:E),Groups!A:A,Groups!AQ:AQ)=1,AO76&lt;=0.35),8,12)</f>
        <v>12</v>
      </c>
      <c r="BI76" s="2" t="str">
        <f>IF(_xlfn.XLOOKUP(_xlfn.XLOOKUP(B76,'Base stats'!B:B,'Base stats'!E:E),Groups!A:A,Groups!D:D)=0,_xlfn.XLOOKUP(_xlfn.XLOOKUP(B76,'Base stats'!B:B,'Base stats'!E:E),Groups!A:A,Groups!AR:AR),"None")</f>
        <v>None</v>
      </c>
      <c r="BJ76" s="2" t="str">
        <f>IF(AND(_xlfn.XLOOKUP(_xlfn.XLOOKUP(B76,'Base stats'!B:B,'Base stats'!E:E),Groups!A:A,Groups!AS:AS)=1,OR(_xlfn.XLOOKUP(B76,'Base stats'!B:B,'Base stats'!Y:Y)="Carnivore",_xlfn.XLOOKUP(B76,'Base stats'!B:B,'Base stats'!Y:Y)="Omnivore")),"true","false")</f>
        <v>true</v>
      </c>
      <c r="BK76" s="2">
        <f>IF(BJ76="true",MROUND(IF(AND(AO76&gt;0.5,OR(_xlfn.XLOOKUP(_xlfn.XLOOKUP(B76,'Base stats'!B:B,'Base stats'!E:E),Groups!A:A,Groups!AJ:AJ)="Photonozoa",_xlfn.XLOOKUP(_xlfn.XLOOKUP(B76,'Base stats'!B:B,'Base stats'!E:E),Groups!A:A,Groups!AJ:AJ)="Mammal")),Animals!AO76*1.75*IF(AW76="true",1.5,1),IF(AO76&lt;0.5,Animals!AO76*0.5,Animals!AO76)),IF(AO76&gt;2,0.5,IF(AO76&gt;0.5,0.25,0.1))),"No")</f>
        <v>0.1</v>
      </c>
      <c r="BL76" s="2">
        <f t="shared" si="10"/>
        <v>0</v>
      </c>
      <c r="BM76" s="25" t="str">
        <f>IF(_xlfn.XLOOKUP(B76,'Base stats'!B:B,'Base stats'!AN:AN)="Standard","No",MROUND((_xlfn.XLOOKUP(B76,'Base stats'!B:B,'Base stats'!AN:AN)/3.6)/I76,0.1))</f>
        <v>No</v>
      </c>
      <c r="BN76" s="25" t="str">
        <f t="shared" si="11"/>
        <v>true</v>
      </c>
      <c r="BO76" s="25" t="str">
        <f>IF(AND(OR(_xlfn.XLOOKUP(B76,'Base stats'!B:B,'Base stats'!Y:Y)="Carnivore",_xlfn.XLOOKUP(B76,'Base stats'!B:B,'Base stats'!Y:Y)="Omnivore",_xlfn.XLOOKUP(B76,'Base stats'!B:B,'Base stats'!Y:Y)="OmnivoreRough"),_xlfn.XLOOKUP(_xlfn.XLOOKUP(B76,'Base stats'!B:B,'Base stats'!E:E),Groups!A:A,Groups!AT:AT)=1),"true","false")</f>
        <v>true</v>
      </c>
      <c r="BP76" s="25" t="str" cm="1">
        <f t="array" ref="BP76">IF(
  _xlfn.TEXTJOIN(", ",TRUE,
    IF(AND(BJ76="true",AO76&gt;0.5,BI76&lt;&gt;"None"),"AttackTarget",""),
    IF(AND(_xlfn.XLOOKUP(_xlfn.XLOOKUP(B76,'Base stats'!B:B,'Base stats'!E:E),Groups!A:A,Groups!AJ:AJ="Mammal"),OR(_xlfn.XLOOKUP(B76,'Base stats'!B:B,'Base stats'!Y:Y)="Omnivore",_xlfn.XLOOKUP(B76,'Base stats'!B:B,'Base stats'!Y:Y)="OmnivoreRough")),"Forage",""),
    IF(BG76&lt;=36,"Comfort",""),
    IF(_xlfn.XLOOKUP(B76,'Base stats'!B:B,'Base stats'!AE:AE)&lt;&gt;"No",_xlfn.XLOOKUP(B76,'Base stats'!B:B,'Base stats'!AE:AE),"")
  ) = "",
  "No",
  _xlfn.TEXTJOIN(", ",TRUE,
    IF(AND(BJ76="true",AO76&gt;0.5,BI76&lt;&gt;"None"),"AttackTarget",""),
    IF(AND(_xlfn.XLOOKUP(_xlfn.XLOOKUP(B76,'Base stats'!B:B,'Base stats'!E:E),Groups!A:A,Groups!AJ:AJ="Mammal"),OR(_xlfn.XLOOKUP(B76,'Base stats'!B:B,'Base stats'!Y:Y)="Omnivore",_xlfn.XLOOKUP(B76,'Base stats'!B:B,'Base stats'!Y:Y)="OmnivoreRough")),"Forage",""),
    IF(BG76&lt;=36,"Comfort",""),
    IF(_xlfn.XLOOKUP(B76,'Base stats'!B:B,'Base stats'!AE:AE)&lt;&gt;"No",_xlfn.XLOOKUP(B76,'Base stats'!B:B,'Base stats'!AE:AE),"")
  )
)</f>
        <v>No</v>
      </c>
      <c r="BQ76" s="25">
        <f>IF(
   AND(
      'Base stats'!AN76="Standard",_xlfn.XLOOKUP(_xlfn.XLOOKUP(B76,'Base stats'!B:B,'Base stats'!E:E),Groups!A:A,Groups!AU:AU)=0,
      OR(
      BO76="True"
      )
   ),
   10,
   IF(
       OR(BM76&lt;&gt;"No",_xlfn.XLOOKUP(_xlfn.XLOOKUP(B76,'Base stats'!B:B,'Base stats'!E:E),Groups!A:A,Groups!AU:AU)=1),
      1,
      "No"
   )
)</f>
        <v>1</v>
      </c>
      <c r="BR76" s="9">
        <f>MROUND((1 + ((0.2*IF(OR(Q76="No",R76="No",R76=0),0,Q76/R76)
+IF(OR(V76="No",S76="No",T76="No"),0,S76/T76*(LEN(V76)-LEN(SUBSTITUTE(V76,",",""))+1))
+IF(OR(X76="No",Y76="No"),0,X76/Y76)
+IF(OR(AD76="No",AE76="No"),0,AD76/AE76)
+IF(OR(AL76="No",AI76="No",AJ76="No"),0,AI76/AJ76*(LEN(AL76)-LEN(SUBSTITUTE(AL76,",",""))+1))
)/(0.2*IF(OR(Q76="No",R76="No",R76=0),0,1)
+IF(OR(V76="No",S76="No",T76="No"),0,LEN(V76)-LEN(SUBSTITUTE(V76,",",""))+1)
+IF(OR(X76="No",Y76="No"),0,1)
+IF(OR(AD76="No",AE76="No"),0,1)
+IF(OR(AL76="No",AI76="No",AJ76="No"),0,LEN(AL76)-LEN(SUBSTITUTE(AL76,",",""))+1))*62%)* 2)*(1 + (AP76 / (IF(_xlfn.XLOOKUP(_xlfn.XLOOKUP(B76,'Base stats'!B:B,'Base stats'!E:E),Groups!A:A,Groups!AJ:AJ)="Photonozoa",0.3,1)) + _xlfn.XLOOKUP(B76,'Base stats'!B:B,'Base stats'!AV:AV) * 1.8) * 2) * 2.5 + 10 + I76 * 2,5)+IF(_xlfn.XLOOKUP(B76,'Base stats'!B:B,'Base stats'!AK:AK)=1,50,0)</f>
        <v>20</v>
      </c>
      <c r="BS76" s="8">
        <f t="shared" si="12"/>
        <v>0.05</v>
      </c>
      <c r="BT76" s="8" t="str">
        <f>_xlfn.XLOOKUP(B76,'Base stats'!B:B,'Base stats'!AF:AF)</f>
        <v>No</v>
      </c>
      <c r="BU76" s="2" t="str">
        <f>IF(AND(J76&lt;=0.95,OR(_xlfn.XLOOKUP(B76,'Base stats'!B:B,'Base stats'!AK:AK)=1,_xlfn.XLOOKUP(B76,'Base stats'!B:B,'Base stats'!Y:Y)="Carnivore",_xlfn.XLOOKUP(B76,'Base stats'!B:B,'Base stats'!Y:Y)="Omnivore",BE76&gt;0.1)),"true","false")</f>
        <v>true</v>
      </c>
      <c r="BV76" s="2" t="str">
        <f>IF(_xlfn.XLOOKUP(B76,'Base stats'!B:B,'Base stats'!AI:AI)=1,"true","false")</f>
        <v>false</v>
      </c>
      <c r="BW76" s="25" t="str">
        <f>IF(E76="BaseInsect","AnimalInsect",
IF(J76&gt;0.95,"AnimalExotic",
_xlfn.TEXTJOIN(", ",TRUE,
IF(OR(_xlfn.XLOOKUP(B76,'Base stats'!B:B,'Base stats'!AM:AM)=1,AND(_xlfn.XLOOKUP(B76,'Base stats'!B:B,'Base stats'!O:O)=0,_xlfn.XLOOKUP(_xlfn.XLOOKUP(B76,'Base stats'!B:B,'Base stats'!E:E),Groups!A:A,Groups!B:B)&gt;0)),"AnimalUncommon","AnimalCommon"),
IF(AND(_xlfn.XLOOKUP(B76,'Base stats'!B:B,'Base stats'!O:O)=2,_xlfn.XLOOKUP(_xlfn.XLOOKUP(B76,'Base stats'!B:B,'Base stats'!E:E),Groups!A:A,Groups!D:D)=0),"AnimalPet",IF(AND(_xlfn.XLOOKUP(B76,'Base stats'!B:B,'Base stats'!O:O)&lt;&gt;0,_xlfn.XLOOKUP(_xlfn.XLOOKUP(B76,'Base stats'!B:B,'Base stats'!E:E),Groups!A:A,Groups!D:D)&lt;&gt;0),"AnimalFarm","")),
IF(OR(_xlfn.XLOOKUP(B76,'Base stats'!B:B,'Base stats'!AK:AK)=1,AND(BI76&lt;&gt;"None",BR76&gt;=60),ISNUMBER(SEARCH("Attack target",BP76))),"AnimalFighter","")
)))</f>
        <v>AnimalCommon</v>
      </c>
      <c r="BX76" s="25" t="str">
        <f>IF(G76="None",TRIM(
SUBSTITUTE(
IF(COUNTIF(Biomes!B$2:B$259,"="&amp;$C76)&gt;0,Biomes!B$1&amp;", ","")&amp;
IF(COUNTIF(Biomes!C$2:C$259,"="&amp;$C76)&gt;0,Biomes!C$1&amp;", ","")&amp;
IF(COUNTIF(Biomes!D$2:D$259,"="&amp;$C76)&gt;0,Biomes!D$1&amp;", ","")&amp;
IF(COUNTIF(Biomes!F$2:F$259,"="&amp;$C76)&gt;0,Biomes!F$1&amp;", ","")&amp;
IF(COUNTIF(Biomes!G$2:G$259,"="&amp;$C76)&gt;0,Biomes!G$1&amp;", ","")&amp;
IF(COUNTIF(Biomes!H$2:H$259,"="&amp;$C76)&gt;0,Biomes!H$1&amp;", ","")&amp;
IF(COUNTIF(Biomes!I$2:I$259,"="&amp;$C76)&gt;0,Biomes!I$1&amp;", ","")&amp;
IF(COUNTIF(Biomes!J$2:J$259,"="&amp;$C76)&gt;0,Biomes!J$1&amp;", ","")&amp;
IF(COUNTIF(Biomes!M$2:M$259,"="&amp;$C76)&gt;0,Biomes!M$1&amp;", ","")&amp;
IF(COUNTIF(Biomes!N$2:N$259,"="&amp;$C76)&gt;0,Biomes!N$1&amp;", ","")&amp;
IF(COUNTIF(Biomes!O$2:O$259,"="&amp;$C76)&gt;0,Biomes!O$1&amp;", ","")&amp;
IF(COUNTIF(Biomes!P$2:P$259,"="&amp;$C76)&gt;0,Biomes!P$1&amp;", ","")&amp;
IF(COUNTIF(Biomes!K$2:K$259,"="&amp;$C76)&gt;0,Biomes!K$1&amp;", ","")&amp;
IF(COUNTIF(Biomes!Q$3:Q$259,"="&amp;$C76)&gt;0,Biomes!Q$1&amp;", ","")&amp;
IF(COUNTIF(Biomes!L$2:L$259,"="&amp;$C76)&gt;0,Biomes!L$1&amp;", ","")&amp;
IF(COUNTIF(Biomes!E$2:E$259,"="&amp;$C76)&gt;0,Biomes!E$1&amp;", ","")&amp;IF(COUNTIF(Biomes!S$2:S$259,"="&amp;$C76)&gt;0,Biomes!S$1&amp;", ","")&amp;
IF(COUNTIF(Biomes!R$2:R$259,"="&amp;$C76)&gt;0,Biomes!R$1&amp;", ",""),", ","")
),_xlfn.XLOOKUP(B76,B:B,BX:BX))</f>
        <v>TemperateSwamp TropicalSwamp Glowforest</v>
      </c>
      <c r="BY76" s="25" t="str">
        <f>IF(_xlfn.XLOOKUP(B76,'Base stats'!B:B,'Base stats'!AJ:AJ)=1,"true","false")</f>
        <v>false</v>
      </c>
      <c r="BZ76" s="25">
        <f>IF(_xlfn.XLOOKUP(B76,'Base stats'!B:B,'Base stats'!N:N)=1,"No",MAX(0.001,MIN(MROUND(IF(AND(BJ76="True",CC76="False"),POWER(10,3.47*LOG10(_xlfn.XLOOKUP(B76,'Base stats'!B:B,'Base stats'!C:C)*1000)^-0.96),POWER(10,4.15*LOG10(_xlfn.XLOOKUP(B76,'Base stats'!B:B,'Base stats'!C:C)*1000)^-0.73))*IF(_xlfn.XLOOKUP(B76,'Base stats'!B:B,'Base stats'!AK:AK)=1,0.5,1)*IF(_xlfn.XLOOKUP(B76,'Base stats'!B:B,'Base stats'!AM:AM)=1,0.1,1)/100,IF(_xlfn.XLOOKUP(B76,'Base stats'!B:B,'Base stats'!AM:AM)=1,0.001,0.025)),0.5)))</f>
        <v>0.5</v>
      </c>
      <c r="CA76" s="25" t="str">
        <f>IF(P76="Standard","No",MAX(0.001,MIN(MROUND(IF(AND(BJ76="True",CC76="False"),POWER(10,3.47*LOG10(_xlfn.XLOOKUP(B76,'Base stats'!B:B,'Base stats'!C:C)*1000)^-0.96),POWER(10,4.15*LOG10(_xlfn.XLOOKUP(B76,'Base stats'!B:B,'Base stats'!C:C)*1000)^-0.73))*IF(_xlfn.XLOOKUP(B76,'Base stats'!B:B,'Base stats'!AM:AM)=1,0.1,1)*_xlfn.XLOOKUP(B76,'Base stats'!B:B,'Base stats'!R:R)/100,IF(_xlfn.XLOOKUP(B76,'Base stats'!B:B,'Base stats'!AM:AM)=1,0.001,0.025)),0.5)))</f>
        <v>No</v>
      </c>
      <c r="CB76" s="25" t="str">
        <f>IF(_xlfn.XLOOKUP(_xlfn.XLOOKUP(B76,'Base stats'!B:B,'Base stats'!E:E),Groups!A:A,Groups!AJ:AJ)="Mammal","True","False")</f>
        <v>False</v>
      </c>
      <c r="CC76" s="25" t="str">
        <f>IF(OR(_xlfn.XLOOKUP(_xlfn.XLOOKUP(B76,'Base stats'!B:B,'Base stats'!E:E),Groups!A:A,Groups!AJ:AJ)="Reptile",_xlfn.XLOOKUP(_xlfn.XLOOKUP(B76,'Base stats'!B:B,'Base stats'!E:E),Groups!A:A,Groups!AJ:AJ)="Amphibian",_xlfn.XLOOKUP(_xlfn.XLOOKUP(B76,'Base stats'!B:B,'Base stats'!E:E),Groups!A:A,Groups!AJ:AJ)="Invertebrate"),"True","False")</f>
        <v>True</v>
      </c>
      <c r="CD76" s="25" t="str">
        <f t="shared" si="13"/>
        <v>False</v>
      </c>
      <c r="CE76" s="25" t="str">
        <f>IF(_xlfn.XLOOKUP(_xlfn.XLOOKUP(B76,'Base stats'!B:B,'Base stats'!E:E),Groups!A:A,Groups!AX:AX),"True","False")</f>
        <v>False</v>
      </c>
      <c r="CF76" s="25" t="str">
        <f>IF(_xlfn.XLOOKUP(_xlfn.XLOOKUP(B76,'Base stats'!B:B,'Base stats'!E:E),Groups!A:A,Groups!AY:AY),"True","False")</f>
        <v>False</v>
      </c>
      <c r="CG76" s="25" t="str">
        <f>IF(_xlfn.XLOOKUP(_xlfn.XLOOKUP(B76,'Base stats'!B:B,'Base stats'!E:E),Groups!A:A,Groups!AW:AW),"True","False")</f>
        <v>False</v>
      </c>
      <c r="CH76" s="25" t="str">
        <f>IF(
OR(
_xlfn.XLOOKUP(_xlfn.XLOOKUP(B76,'Base stats'!B:B,'Base stats'!E:E),Groups!A:A,Groups!AZ:AZ)=0,
AND(
_xlfn.XLOOKUP(B76,'Base stats'!B:B,'Base stats'!Y:Y)&lt;&gt;"Carnivore",
_xlfn.XLOOKUP(B76,'Base stats'!B:B,'Base stats'!Y:Y)&lt;&gt;"Omnivore",
_xlfn.XLOOKUP(B76,'Base stats'!B:B,'Base stats'!Y:Y)&lt;&gt;"OmnivoreRough"
)
),
"No",
IF(
_xlfn.XLOOKUP(_xlfn.XLOOKUP(B76,'Base stats'!B:B,'Base stats'!E:E),Groups!A:A,Groups!AZ:AZ)=1,
"Flesh",
IF(
_xlfn.XLOOKUP(_xlfn.XLOOKUP(B76,'Base stats'!B:B,'Base stats'!E:E),Groups!A:A,Groups!AZ:AZ)=2,
"Bone",
""
)
)
)</f>
        <v>No</v>
      </c>
      <c r="CI76" s="25" t="str">
        <f>IF(_xlfn.XLOOKUP(_xlfn.XLOOKUP(B76,'Base stats'!B:B,'Base stats'!E:E),Groups!A:A,Groups!BB:BB),"True","False")</f>
        <v>False</v>
      </c>
      <c r="CJ76" s="25" t="str">
        <f>IF(_xlfn.XLOOKUP(_xlfn.XLOOKUP(B76,'Base stats'!B:B,'Base stats'!E:E),Groups!A:A,Groups!BA:BA),"True","False")</f>
        <v>True</v>
      </c>
    </row>
    <row r="77" spans="1:88" ht="16.5" thickTop="1" thickBot="1" x14ac:dyDescent="0.3">
      <c r="A77" s="26" t="str">
        <f>_xlfn.XLOOKUP(B77,'Base stats'!B:B,'Base stats'!A:A)</f>
        <v>ColossusToad</v>
      </c>
      <c r="B77" s="6" t="s">
        <v>301</v>
      </c>
      <c r="C77" s="28" t="s">
        <v>757</v>
      </c>
      <c r="D77" s="28" t="s">
        <v>870</v>
      </c>
      <c r="E77" s="28" t="s">
        <v>673</v>
      </c>
      <c r="F77" s="28" t="s">
        <v>673</v>
      </c>
      <c r="G77" s="28" t="s">
        <v>673</v>
      </c>
      <c r="H77" s="2">
        <f>MROUND((
  (IF(AND(_xlfn.XLOOKUP(B77,'Base stats'!B:B,'Base stats'!AL:AL)=0,BI77="None",_xlfn.XLOOKUP(_xlfn.XLOOKUP(B77,'Base stats'!B:B,'Base stats'!E:E),Groups!A:A,Groups!B:B)=0), (18 + BR77 * 2.7) * 0.5,
    IF(AND(_xlfn.XLOOKUP(B77,'Base stats'!B:B,'Base stats'!AL:AL)=0,OR(AO77&lt;0.55,AND(BI77="Intermediate",_xlfn.XLOOKUP(_xlfn.XLOOKUP(B77,'Base stats'!B:B,'Base stats'!E:E),Groups!A:A,Groups!B:B)&lt;2))), (18 + BR77 * 2.7),
      IF(OR(BI77="Advanced",_xlfn.XLOOKUP(B77,'Base stats'!B:B,'Base stats'!AL:AL)=1,_xlfn.XLOOKUP(_xlfn.XLOOKUP(B77,'Base stats'!B:B,'Base stats'!E:E),Groups!A:A,Groups!B:B)=2), (18 + BR77 * 2.7) + 250, (18 + BR77 * 2.7))
    )
  ))
  + AO77 * 80
  + IF(COUNTIF(EggMilk!K$2:K$998, A77) &gt; 0, 125, 0)
  + IF(COUNTIF(EggMilk!P$2:P$998, A77) &gt; 0, 90, 0)
  + IF(COUNTIF(EggMilk!A$2:A$998, A77) &gt; 0, 90, 0)
)
* (0.8 + 0.4 * J77)
* 0.75,25)</f>
        <v>175</v>
      </c>
      <c r="I77" s="2">
        <f>MROUND(ROUNDDOWN(_xlfn.XLOOKUP(B77,'Base stats'!B:B,'Base stats'!L:L)/3.6/(23.3/11),1),0.5)</f>
        <v>2.5</v>
      </c>
      <c r="J77" s="2">
        <f>IF(OR(_xlfn.XLOOKUP(B77,'Base stats'!B:B,'Base stats'!AB:AB)=1,_xlfn.XLOOKUP(_xlfn.XLOOKUP(B77,'Base stats'!B:B,'Base stats'!E:E),Groups!A:A,Groups!C:C)="Untamable"),1,IF(_xlfn.XLOOKUP(B77,'Base stats'!B:B,'Base stats'!AL:AL)=1,0.99,MIN(MROUND((1-0.6282*EXP(-0.459*AO77))*_xlfn.XLOOKUP(_xlfn.XLOOKUP(B77,'Base stats'!B:B,'Base stats'!E:E),Groups!A:A,Groups!C:C)*IF(_xlfn.XLOOKUP(B77,'Base stats'!B:B,'Base stats'!O:O)=1,0.5,IF(_xlfn.XLOOKUP(B77,'Base stats'!B:B,'Base stats'!O:O)=2,0,1)),0.05),IF(AO77&gt;3.5,0.985,0.95))))</f>
        <v>0.30000000000000004</v>
      </c>
      <c r="K77" s="2">
        <f>ROUNDUP(AO77*_xlfn.XLOOKUP(_xlfn.XLOOKUP(B77,'Base stats'!B:B,'Base stats'!E:E),Groups!A:A,Groups!E:E),0)</f>
        <v>1</v>
      </c>
      <c r="L77" s="2">
        <f>IF(OR(_xlfn.XLOOKUP(_xlfn.XLOOKUP(B77,'Base stats'!B:B,'Base stats'!E:E),Groups!A:A,Groups!F:F)=2,ISNUMBER(SEARCH("SeaIce",BX77)),ISNUMBER(SEARCH("IceSheet",BX77))),-50,IF(OR(ISNUMBER(SEARCH("GlacialPlain",BX77)),ISNUMBER(SEARCH("Tundra",BX77))),-40,IF(OR(ISNUMBER(SEARCH("Alpine",BX77)),ISNUMBER(SEARCH("BorealForest",BX77)),ISNUMBER(SEARCH("ColdBog",BX77))),-30,IF(OR(ISNUMBER(SEARCH("TemperateForest",BX77)),ISNUMBER(SEARCH("TemperateSwamp",BX77))),-20,IF(_xlfn.XLOOKUP(_xlfn.XLOOKUP(B77,'Base stats'!B:B,'Base stats'!E:E),Groups!A:A,Groups!F:F)=1,-15,IF(OR(ISNUMBER(SEARCH("Desert",BX77)),ISNUMBER(SEARCH("ExtremeDesert",BX77))),-10,IF(OR(ISNUMBER(SEARCH("Grasslands",BX77)),ISNUMBER(SEARCH("TropicalRainforest",BX77)),ISNUMBER(SEARCH("TropicalSwamp",BX77))),10,0)))))))-IF(CC77="False",MIN(IFERROR(MAX(MROUND(LOG10(_xlfn.XLOOKUP(B77,'Base stats'!B:B,'Base stats'!C:C)^(2/3))*10,5),5),5),30))-_xlfn.XLOOKUP(B77,'Base stats'!B:B,'Base stats'!P:P)+IF(CC77="True",5,0)</f>
        <v>15</v>
      </c>
      <c r="M77" s="2">
        <f>IF(OR(_xlfn.XLOOKUP(_xlfn.XLOOKUP(B77,'Base stats'!B:B,'Base stats'!E:E),Groups!A:A,Groups!G:G)=2,ISNUMBER(SEARCH("Desert",BX77)),ISNUMBER(SEARCH("ExtremeDesert",BX77)),ISNUMBER(SEARCH("LavaField",BX77))),50,IF(ISNUMBER(SEARCH("Grasslands",BX77)),45,IF(OR(_xlfn.XLOOKUP(_xlfn.XLOOKUP(B77,'Base stats'!B:B,'Base stats'!E:E),Groups!A:A,Groups!G:G)=1,ISNUMBER(SEARCH("TropicalRainforest",BX77)),ISNUMBER(SEARCH("TropicalSwamp",BX77))),40,IF(OR(ISNUMBER(SEARCH("TemperateForest",BX77)),ISNUMBER(SEARCH("TemperateSwamp",BX77))),35,IF(OR(ISNUMBER(SEARCH("Alpine",BX77)),ISNUMBER(SEARCH("BorealForest",BX77)),ISNUMBER(SEARCH("ColdBog",BX77))),30,IF(ISNUMBER(OR(ISNUMBER(SEARCH("GlacialPlain",BX77)),SEARCH("Tundra",BX77))),25,IF(OR(ISNUMBER(SEARCH("SeaIce",BX77)),ISNUMBER(SEARCH("IceSheet",BX77)),ISNUMBER(SEARCH("TropicalSwamp",BX77))),10,35)))))))+_xlfn.XLOOKUP(B77,'Base stats'!B:B,'Base stats'!Q:Q)</f>
        <v>40</v>
      </c>
      <c r="N77" s="8" t="str">
        <f>IF(
_xlfn.XLOOKUP(
_xlfn.XLOOKUP(B77,'Base stats'!B:B,'Base stats'!E:E),
Groups!A:A,
Groups!L:L
)=1,
MIN(
MROUND(
IF(
_xlfn.XLOOKUP(B77,'Animals CE'!B:B,'Animals CE'!Z:Z)&lt;=1.5,
_xlfn.XLOOKUP(B77,'Animals CE'!B:B,'Animals CE'!Z:Z)/2+0.05,
0.8+
(_xlfn.XLOOKUP(B77,'Animals CE'!B:B,'Animals CE'!Z:Z)-1.5)
*0.02
),
0.05
),
200%
),
"No"
)</f>
        <v>No</v>
      </c>
      <c r="O77" s="8" t="str">
        <f>IF(
_xlfn.XLOOKUP(
_xlfn.XLOOKUP(B77,'Base stats'!B:B,'Base stats'!E:E),
Groups!A:A,
Groups!L:L
)=1,
MIN(
MROUND(
IF(
_xlfn.XLOOKUP(B77,'Animals CE'!B:B,'Animals CE'!AA:AA)&lt;=1.5,
_xlfn.XLOOKUP(B77,'Animals CE'!B:B,'Animals CE'!AA:AA)/2+0.05,
0.8+
(_xlfn.XLOOKUP(B77,'Animals CE'!B:B,'Animals CE'!AA:AA)-1.5)
*0.02
),
0.05
),
200%
),
"No"
)</f>
        <v>No</v>
      </c>
      <c r="P77" s="2" t="str">
        <f>_xlfn.XLOOKUP(B77,'Base stats'!B:B,'Base stats'!R:R)</f>
        <v>Standard</v>
      </c>
      <c r="Q77" s="13">
        <f>MROUND((LOG10(_xlfn.XLOOKUP(B77,'Base stats'!B:B,'Base stats'!AR:AR))*(AO77^0.5)+(_xlfn.XLOOKUP(B77,'Base stats'!B:B,'Base stats'!AR:AR)/1000)^(2/3)+_xlfn.XLOOKUP(B77,'Base stats'!B:B,'Base stats'!BA:BA)/2)+0.5,0.5)</f>
        <v>6.5</v>
      </c>
      <c r="R77" s="7">
        <f>IF(Q77="No","No",MAX(1,MROUND(_xlfn.XLOOKUP(B77,'Base stats'!B:B,'Base stats'!C:C)^0.165,0.05)))</f>
        <v>1.9500000000000002</v>
      </c>
      <c r="S77" s="13" t="str">
        <f>IF(_xlfn.XLOOKUP(_xlfn.XLOOKUP(B77,'Base stats'!B:B,'Base stats'!E:E),Groups!A:A,Groups!P:P)=0,"No",MROUND((LOG10(_xlfn.XLOOKUP(B77,'Base stats'!B:B,'Base stats'!AS:AS))*(AO77^0.5)+(_xlfn.XLOOKUP(B77,'Base stats'!B:B,'Base stats'!AS:AS)/1000)^(2/3)+_xlfn.XLOOKUP(B77,'Base stats'!B:B,'Base stats'!BA:BA))+_xlfn.XLOOKUP(B77,'Base stats'!B:B,'Base stats'!AY:AY)+0.5,0.5))</f>
        <v>No</v>
      </c>
      <c r="T77" s="7" t="str">
        <f>IF(S77="No","No",MAX(_xlfn.XLOOKUP(_xlfn.XLOOKUP(B77,'Base stats'!B:B,'Base stats'!E:E),Groups!A:A,Groups!Q:Q),MROUND(_xlfn.XLOOKUP(_xlfn.XLOOKUP(B77,'Base stats'!B:B,'Base stats'!E:E),Groups!A:A,Groups!Q:Q)*_xlfn.XLOOKUP(B77,'Base stats'!B:B,'Base stats'!C:C)^0.165,0.05)))</f>
        <v>No</v>
      </c>
      <c r="U77" s="7" t="str">
        <f>IF(S77="No","No",_xlfn.XLOOKUP(_xlfn.XLOOKUP(B77,'Base stats'!B:B,'Base stats'!E:E),Groups!A:A,Groups!R:R))</f>
        <v>No</v>
      </c>
      <c r="V77" s="7" t="str">
        <f>IF(S77="No","No",_xlfn.XLOOKUP(_xlfn.XLOOKUP(B77,'Base stats'!B:B,'Base stats'!E:E),Groups!A:A,Groups!S:S))</f>
        <v>No</v>
      </c>
      <c r="W77" s="7" t="str">
        <f>IF(S77="No","No",_xlfn.XLOOKUP(_xlfn.XLOOKUP(B77,'Base stats'!B:B,'Base stats'!E:E),Groups!A:A,Groups!T:T))</f>
        <v>No</v>
      </c>
      <c r="X77" s="13" t="str">
        <f>IF(_xlfn.XLOOKUP(B77,'Base stats'!B:B,'Base stats'!W:W)="No","No",MROUND((LOG10(_xlfn.XLOOKUP(B77,'Base stats'!B:B,'Base stats'!AU:AU))*(AO77^0.5)+(_xlfn.XLOOKUP(B77,'Base stats'!B:B,'Base stats'!AU:AU)/1000)^(2/3)+_xlfn.XLOOKUP(B77,'Base stats'!B:B,'Base stats'!AZ:AZ))+0.5+IF(_xlfn.XLOOKUP(_xlfn.XLOOKUP(B77,'Base stats'!B:B,'Base stats'!E:E),Groups!A:A,Groups!U:U)&lt;&gt;3,_xlfn.XLOOKUP(B77,'Base stats'!B:B,'Base stats'!BA:BA),0),0.5))</f>
        <v>No</v>
      </c>
      <c r="Y77" s="7" t="str">
        <f>IF(X77="No","No",MAX(_xlfn.XLOOKUP(_xlfn.XLOOKUP(B77,'Base stats'!B:B,'Base stats'!E:E),Groups!A:A,Groups!V:V),MROUND(_xlfn.XLOOKUP(_xlfn.XLOOKUP(B77,'Base stats'!B:B,'Base stats'!E:E),Groups!A:A,Groups!V:V)*_xlfn.XLOOKUP(B77,'Base stats'!B:B,'Base stats'!C:C)^0.165,0.05)))</f>
        <v>No</v>
      </c>
      <c r="Z77" s="7" t="str">
        <f>IF(X77="No","No",_xlfn.XLOOKUP(_xlfn.XLOOKUP(B77,'Base stats'!B:B,'Base stats'!E:E),Groups!A:A,Groups!W:W))</f>
        <v>No</v>
      </c>
      <c r="AA77" s="7" t="str">
        <f>IF(X77="No","No",_xlfn.XLOOKUP(_xlfn.XLOOKUP(B77,'Base stats'!B:B,'Base stats'!E:E),Groups!A:A,Groups!X:X))</f>
        <v>No</v>
      </c>
      <c r="AB77" s="7" t="str">
        <f>IF(X77="No","No",_xlfn.XLOOKUP(_xlfn.XLOOKUP(B77,'Base stats'!B:B,'Base stats'!E:E),Groups!A:A,Groups!Y:Y))</f>
        <v>No</v>
      </c>
      <c r="AC77" s="7" t="str">
        <f>_xlfn.XLOOKUP(Animals!B77,'Base stats'!B:B,'Base stats'!X:X)</f>
        <v>False</v>
      </c>
      <c r="AD77" s="13">
        <f>IF(_xlfn.XLOOKUP(B77,'Base stats'!B:B,'Base stats'!AT:AT)="No","No",MROUND((LOG10(_xlfn.XLOOKUP(B77,'Base stats'!B:B,'Base stats'!AT:AT))*(AO77^0.75)+(_xlfn.XLOOKUP(B77,'Base stats'!B:B,'Base stats'!AT:AT)/1000)^(2/3)+_xlfn.XLOOKUP(B77,'Base stats'!B:B,'Base stats'!AX:AX)+_xlfn.XLOOKUP(B77,'Base stats'!B:B,'Base stats'!BA:BA))+0.5,0.5))</f>
        <v>8</v>
      </c>
      <c r="AE77" s="7">
        <f>IF(AD77="No","No",MAX(_xlfn.XLOOKUP(_xlfn.XLOOKUP(B77,'Base stats'!B:B,'Base stats'!E:E),Groups!A:A,Groups!Z:Z),MROUND(_xlfn.XLOOKUP(_xlfn.XLOOKUP(B77,'Base stats'!B:B,'Base stats'!E:E),Groups!A:A,Groups!Z:Z)*_xlfn.XLOOKUP(B77,'Base stats'!B:B,'Base stats'!C:C)^0.165,0.05)))</f>
        <v>1.9500000000000002</v>
      </c>
      <c r="AF77" s="7" t="str">
        <f>IF(AD77="No","No",_xlfn.XLOOKUP(_xlfn.XLOOKUP(B77,'Base stats'!B:B,'Base stats'!E:E),Groups!A:A,Groups!AA:AA))</f>
        <v>Teeth</v>
      </c>
      <c r="AG77" s="7" t="str">
        <f>IF(AD77="No","No",_xlfn.XLOOKUP(_xlfn.XLOOKUP(B77,'Base stats'!B:B,'Base stats'!E:E),Groups!A:A,Groups!AB:AB))</f>
        <v>teeth</v>
      </c>
      <c r="AH77" s="7" t="str">
        <f>IF(AD77="No","No",_xlfn.XLOOKUP(_xlfn.XLOOKUP(B77,'Base stats'!B:B,'Base stats'!E:E),Groups!A:A,Groups!AC:AC))</f>
        <v>Bite</v>
      </c>
      <c r="AI77" s="13" t="str">
        <f>IF(_xlfn.XLOOKUP(_xlfn.XLOOKUP(B77,'Base stats'!B:B,'Base stats'!E:E),Groups!A:A,Groups!AD:AD)=0,"No",MROUND((LOG10(_xlfn.XLOOKUP(B77,'Base stats'!B:B,'Base stats'!AS:AS))*(AO77^0.75)+(_xlfn.XLOOKUP(B77,'Base stats'!B:B,'Base stats'!AS:AS)/1000)^(2/3)+_xlfn.XLOOKUP(B77,'Base stats'!B:B,'Base stats'!AY:AY)+_xlfn.XLOOKUP(B77,'Base stats'!B:B,'Base stats'!BA:BA))+0.5,0.5))</f>
        <v>No</v>
      </c>
      <c r="AJ77" s="7" t="str">
        <f>IF(AI77="No","No",MAX(_xlfn.XLOOKUP(_xlfn.XLOOKUP(B77,'Base stats'!B:B,'Base stats'!E:E),Groups!A:A,Groups!AE:AE),MROUND(_xlfn.XLOOKUP(_xlfn.XLOOKUP(B77,'Base stats'!B:B,'Base stats'!E:E),Groups!A:A,Groups!AE:AE)*IF(_xlfn.XLOOKUP(_xlfn.XLOOKUP(B77,'Base stats'!B:B,'Base stats'!E:E),Groups!A:A,Groups!AJ:AJ)="Photonozoa",0.6,1)*_xlfn.XLOOKUP(B77,'Base stats'!B:B,'Base stats'!C:C)^0.165,0.05)))</f>
        <v>No</v>
      </c>
      <c r="AK77" s="7" t="str">
        <f>IF(AI77="No","No",_xlfn.XLOOKUP(_xlfn.XLOOKUP(B77,'Base stats'!B:B,'Base stats'!E:E),Groups!A:A,Groups!AF:AF))</f>
        <v>No</v>
      </c>
      <c r="AL77" s="7" t="str">
        <f>IF(AI77="No","No",_xlfn.XLOOKUP(_xlfn.XLOOKUP(B77,'Base stats'!B:B,'Base stats'!E:E),Groups!A:A,Groups!AG:AG))</f>
        <v>No</v>
      </c>
      <c r="AM77" s="7" t="str">
        <f>IF(AI77="No","No",_xlfn.XLOOKUP(_xlfn.XLOOKUP(B77,'Base stats'!B:B,'Base stats'!E:E),Groups!A:A,Groups!AH:AH))</f>
        <v>No</v>
      </c>
      <c r="AN77" s="2">
        <f t="shared" si="7"/>
        <v>20</v>
      </c>
      <c r="AO77" s="2">
        <f>MROUND(IF(AND(_xlfn.XLOOKUP(B77,'Base stats'!B:B,'Base stats'!C:C)&gt;=0.5,_xlfn.XLOOKUP(B77,'Base stats'!B:B,'Base stats'!C:C)&lt;=0.8),
IF(_xlfn.XLOOKUP(B77,'Base stats'!B:B,'Base stats'!C:C)&lt;0.1,0.05,IF(_xlfn.XLOOKUP(B77,'Base stats'!B:B,'Base stats'!C:C)&lt;=70,(_xlfn.XLOOKUP(B77,'Base stats'!B:B,'Base stats'!C:C)/70)^0.426489913056526,IF(_xlfn.XLOOKUP(B77,'Base stats'!B:B,'Base stats'!C:C)&lt;=400,(_xlfn.XLOOKUP(B77,'Base stats'!B:B,'Base stats'!C:C)/70)^0.572811455315093,IF(_xlfn.XLOOKUP(B77,'Base stats'!B:B,'Base stats'!C:C)&lt;=2000,2.71391647193063*(_xlfn.XLOOKUP(B77,'Base stats'!B:B,'Base stats'!C:C)/400)^0.252459582904293,3.74314280240376*(_xlfn.XLOOKUP(B77,'Base stats'!B:B,'Base stats'!C:C)/2000)^0.357012633876913)))),
IF(_xlfn.XLOOKUP(B77,'Base stats'!B:B,'Base stats'!C:C)&lt;0.1,0.05,IF(_xlfn.XLOOKUP(B77,'Base stats'!B:B,'Base stats'!C:C)&lt;0.4,0.1,IF(_xlfn.XLOOKUP(B77,'Base stats'!B:B,'Base stats'!C:C)&lt;=70,(_xlfn.XLOOKUP(B77,'Base stats'!B:B,'Base stats'!C:C)/70)^0.445823913056526,IF(_xlfn.XLOOKUP(B77,'Base stats'!B:B,'Base stats'!C:C)&lt;=400,(_xlfn.XLOOKUP(B77,'Base stats'!B:B,'Base stats'!C:C)/70)^0.572811455315093,IF(_xlfn.XLOOKUP(B77,'Base stats'!B:B,'Base stats'!C:C)&lt;=2000,2.71391647193063*(_xlfn.XLOOKUP(B77,'Base stats'!B:B,'Base stats'!C:C)/400)^0.252459582904293,3.74314280240376*(_xlfn.XLOOKUP(B77,'Base stats'!B:B,'Base stats'!C:C)/2000)^0.357012633876913)))))),
IF(_xlfn.XLOOKUP(B77,'Base stats'!B:B,'Base stats'!C:C)&lt;0.1,0.05,IF(_xlfn.XLOOKUP(B77,'Base stats'!B:B,'Base stats'!C:C)&lt;=100,0.05,IF(_xlfn.XLOOKUP(B77,'Base stats'!B:B,'Base stats'!C:C)&lt;=250,0.1,IF(_xlfn.XLOOKUP(B77,'Base stats'!B:B,'Base stats'!C:C)&lt;=4000,0.25,0.5)))))</f>
        <v>0.9</v>
      </c>
      <c r="AP77" s="8">
        <f>MROUND(AO77*_xlfn.XLOOKUP(_xlfn.XLOOKUP(B77,'Base stats'!B:B,'Base stats'!E:E),Groups!A:A,Groups!AI:AI)*_xlfn.XLOOKUP(B77,'Base stats'!B:B,'Base stats'!Z:Z),0.05)</f>
        <v>0.9</v>
      </c>
      <c r="AQ77" s="8">
        <f>MAX(0.01,MROUND(IF(CC77="True",0.196*(AO77*100*1000)^0.889,IF(_xlfn.XLOOKUP(_xlfn.XLOOKUP(B77,'Base stats'!B:B,'Base stats'!E:E),Groups!A:A,Groups!AJ:AJ)="Bird",10.5*(AO77*100*1000)^0.681,4.82*(AO77*100*1000)^0.734))/(4.82*(1*100*1000)^0.734)/IF(AO77&lt;3.5,2,IF(AO77=3.5,1.5,1.25))*(1+0.132282374779864/(AO77^0.994035016789033+0.00905238001496948)),0.05))</f>
        <v>0.15000000000000002</v>
      </c>
      <c r="AR77" s="9">
        <f>IFERROR(MROUND(_xlfn.XLOOKUP(B77,'Base stats'!B:B,'Base stats'!H:H)/IF(_xlfn.XLOOKUP(B77,'Base stats'!B:B,'Base stats'!I:I)&lt;&gt;1,(122.5/70),1.2),IF(_xlfn.XLOOKUP(B77,'Base stats'!B:B,'Base stats'!H:H)&gt;=30,5,IF(_xlfn.XLOOKUP(B77,'Base stats'!B:B,'Base stats'!H:H)&gt;=15,3,IF(_xlfn.XLOOKUP(B77,'Base stats'!B:B,'Base stats'!H:H)&gt;=10,2,1)))),"Immortal")</f>
        <v>15</v>
      </c>
      <c r="AS77" s="35">
        <f>IFERROR(IF(OR(_xlfn.XLOOKUP(B77,'Base stats'!B:B,'Base stats'!F:F)="Atypical reproduction",_xlfn.XLOOKUP(B77,'Base stats'!B:B,'Base stats'!F:F)="Lay eggs"),"Lay eggs",MIN(20,MAX(5.5,ROUND(((_xlfn.XLOOKUP(B77,'Base stats'!B:B,'Base stats'!F:F)-25)*(14.5/615) + 5.5)*2,0)/2))),"Unknown")</f>
        <v>7.5</v>
      </c>
      <c r="AT77" s="8">
        <f>IF(_xlfn.XLOOKUP(B77,'Base stats'!B:B,'Base stats'!G:G)="Atypical reproduction","No",IFERROR(MAX(IF(_xlfn.XLOOKUP(B77,'Base stats'!B:B,'Base stats'!G:G)&lt;0.5,0.2,0.3),MROUND(_xlfn.XLOOKUP(B77,'Base stats'!B:B,'Base stats'!G:G)/(365/60),0.2)),"Unknown"))</f>
        <v>0.8</v>
      </c>
      <c r="AU77" s="8">
        <f t="shared" si="8"/>
        <v>0.4</v>
      </c>
      <c r="AV77" s="8">
        <f>IFERROR(IFERROR(MROUND(_xlfn.XLOOKUP(B77,'Base stats'!B:B,'Base stats'!J:J),0.1),"Lay eggs"),"Cannot breed")</f>
        <v>10</v>
      </c>
      <c r="AW77" s="2" t="str">
        <f t="shared" si="9"/>
        <v>false</v>
      </c>
      <c r="AX77" s="2" t="str">
        <f>IF(_xlfn.XLOOKUP(_xlfn.XLOOKUP(Animals!B77,'Base stats'!B:B,'Base stats'!E:E),Groups!A:A,Groups!AK:AK)=1,"true","false")</f>
        <v>false</v>
      </c>
      <c r="AY77" s="25" t="str">
        <f>IF(_xlfn.XLOOKUP(B77,'Base stats'!B:B,'Base stats'!Y:Y)="Liquor","Liquor, CarnivoreAnimalStrict",IF(AND(_xlfn.XLOOKUP(B77,'Base stats'!B:B,'Base stats'!Y:Y)="Carnivore",_xlfn.XLOOKUP(_xlfn.XLOOKUP(B77,'Base stats'!B:B,'Base stats'!E:E),Groups!A:A,Groups!AJ:AJ)="Photonozoa"),"CarnivoreAnimalStrict, OvivoreAnimal",IF(_xlfn.XLOOKUP(B77,'Base stats'!B:B,'Base stats'!Y:Y)="Carnivore","CarnivoreAnimal, OvivoreAnimal",IF(_xlfn.XLOOKUP(B77,'Base stats'!B:B,'Base stats'!Y:Y)="Dendrovore","VegetarianRoughAnimal, DendrovoreAnimal",IF(_xlfn.XLOOKUP(B77,'Base stats'!B:B,'Base stats'!Y:Y)="Herbivore","VegetarianRoughAnimal",IF(_xlfn.XLOOKUP(B77,'Base stats'!B:B,'Base stats'!Y:Y)="OmnivoreRough","OmnivoreRoughAnimal, OvivoreAnimal","OmnivoreAnimal, OvivoreAnimal"))))))</f>
        <v>CarnivoreAnimal, OvivoreAnimal</v>
      </c>
      <c r="AZ77" s="2">
        <f>IF(_xlfn.XLOOKUP(_xlfn.XLOOKUP(B77,'Base stats'!B:B,'Base stats'!E:E),Groups!A:A,Groups!D:D)=1,MROUND((1-J77)*5+1,2)*IF(J77&lt;=0.4,2,1),"No")</f>
        <v>8</v>
      </c>
      <c r="BA77" s="2" t="str">
        <f>IF(AND(_xlfn.XLOOKUP(B77,'Base stats'!B:B,'Base stats'!AH:AH)="&lt;li&gt;Seal&lt;/li&gt;",G77="Odyssey"),"&lt;li&gt;AEXP_Seal&lt;/li&gt;",_xlfn.XLOOKUP(B77,'Base stats'!B:B,'Base stats'!AH:AH))</f>
        <v>No</v>
      </c>
      <c r="BB77" s="2" t="str">
        <f>_xlfn.XLOOKUP(B77,'Base stats'!B:B,'Base stats'!AG:AG)</f>
        <v>No</v>
      </c>
      <c r="BC77" s="23" t="str">
        <f>_xlfn.XLOOKUP(_xlfn.XLOOKUP(B77,'Base stats'!B:B,'Base stats'!E:E),Groups!A:A,Groups!AL:AL)</f>
        <v>QuadrupedAnimalWithPaws</v>
      </c>
      <c r="BD77" s="23">
        <f>MIN(1,MROUND(IF(AND(AO77&lt;0.5,_xlfn.XLOOKUP(B77,'Base stats'!B:B,'Base stats'!AA:AA)=0),0,IF(OR(_xlfn.XLOOKUP(Animals!B77,'Base stats'!B:B,'Base stats'!O:O)=2,_xlfn.XLOOKUP(_xlfn.XLOOKUP(B77,'Base stats'!B:B,'Base stats'!E:E),Groups!A:A,Groups!AN:AN)=0),0,_xlfn.XLOOKUP(_xlfn.XLOOKUP(B77,'Base stats'!B:B,'Base stats'!E:E),Groups!A:A,Groups!AN:AN)/IF(_xlfn.XLOOKUP(Animals!B77,'Base stats'!B:B,'Base stats'!O:O)=1,2,1)))+_xlfn.XLOOKUP(B77,'Base stats'!B:B,'Base stats'!AC:AC),0.005))</f>
        <v>0</v>
      </c>
      <c r="BE77" s="23">
        <f>MIN(1,MROUND(IF(AND(AO77&lt;0.5,_xlfn.XLOOKUP(B77,'Base stats'!B:B,'Base stats'!AA:AA)=0),0,IF(_xlfn.XLOOKUP(_xlfn.XLOOKUP(B77,'Base stats'!B:B,'Base stats'!E:E),Groups!A:A,Groups!AO:AO)=0,0,_xlfn.XLOOKUP(_xlfn.XLOOKUP(B77,'Base stats'!B:B,'Base stats'!E:E),Groups!A:A,Groups!AO:AO)/IF(_xlfn.XLOOKUP(Animals!B77,'Base stats'!B:B,'Base stats'!O:O)=2,3,1)))+_xlfn.XLOOKUP(B77,'Base stats'!B:B,'Base stats'!AD:AD),0.005))</f>
        <v>0</v>
      </c>
      <c r="BF77" s="2" t="str">
        <f>IF(J77&gt;0.3,"No",_xlfn.XLOOKUP(_xlfn.XLOOKUP(Animals!B77,'Base stats'!B:B,'Base stats'!E:E),Groups!A:A,Groups!AP:AP))</f>
        <v>No</v>
      </c>
      <c r="BG77" s="2" t="str">
        <f>IF(AND(J77&lt;=0.65,_xlfn.XLOOKUP(_xlfn.XLOOKUP(Animals!B77,'Base stats'!B:B,'Base stats'!E:E),Groups!A:A,Groups!AP:AP)&lt;&gt;"No",_xlfn.XLOOKUP(_xlfn.XLOOKUP(B77,'Base stats'!B:B,'Base stats'!E:E),Groups!A:A,Groups!D:D)=0),MROUND((80/3)*IF(_xlfn.XLOOKUP(B77,'Base stats'!B:B,'Base stats'!O:O)=2,0.2,AO77) + 24*(1-IF(BF77="No",0,BF77)) + 16/3, 12),"No")</f>
        <v>No</v>
      </c>
      <c r="BH77" s="2">
        <f>IF(AND(_xlfn.XLOOKUP(_xlfn.XLOOKUP(B77,'Base stats'!B:B,'Base stats'!E:E),Groups!A:A,Groups!AQ:AQ)=1,AO77&lt;=0.35),8,12)</f>
        <v>12</v>
      </c>
      <c r="BI77" s="2" t="str">
        <f>IF(_xlfn.XLOOKUP(_xlfn.XLOOKUP(B77,'Base stats'!B:B,'Base stats'!E:E),Groups!A:A,Groups!D:D)=0,_xlfn.XLOOKUP(_xlfn.XLOOKUP(B77,'Base stats'!B:B,'Base stats'!E:E),Groups!A:A,Groups!AR:AR),"None")</f>
        <v>None</v>
      </c>
      <c r="BJ77" s="2" t="str">
        <f>IF(AND(_xlfn.XLOOKUP(_xlfn.XLOOKUP(B77,'Base stats'!B:B,'Base stats'!E:E),Groups!A:A,Groups!AS:AS)=1,OR(_xlfn.XLOOKUP(B77,'Base stats'!B:B,'Base stats'!Y:Y)="Carnivore",_xlfn.XLOOKUP(B77,'Base stats'!B:B,'Base stats'!Y:Y)="Omnivore")),"true","false")</f>
        <v>true</v>
      </c>
      <c r="BK77" s="2">
        <f>IF(BJ77="true",MROUND(IF(AND(AO77&gt;0.5,OR(_xlfn.XLOOKUP(_xlfn.XLOOKUP(B77,'Base stats'!B:B,'Base stats'!E:E),Groups!A:A,Groups!AJ:AJ)="Photonozoa",_xlfn.XLOOKUP(_xlfn.XLOOKUP(B77,'Base stats'!B:B,'Base stats'!E:E),Groups!A:A,Groups!AJ:AJ)="Mammal")),Animals!AO77*1.75*IF(AW77="true",1.5,1),IF(AO77&lt;0.5,Animals!AO77*0.5,Animals!AO77)),IF(AO77&gt;2,0.5,IF(AO77&gt;0.5,0.25,0.1))),"No")</f>
        <v>1</v>
      </c>
      <c r="BL77" s="2">
        <f t="shared" si="10"/>
        <v>0</v>
      </c>
      <c r="BM77" s="25" t="str">
        <f>IF(_xlfn.XLOOKUP(B77,'Base stats'!B:B,'Base stats'!AN:AN)="Standard","No",MROUND((_xlfn.XLOOKUP(B77,'Base stats'!B:B,'Base stats'!AN:AN)/3.6)/I77,0.1))</f>
        <v>No</v>
      </c>
      <c r="BN77" s="25" t="str">
        <f t="shared" si="11"/>
        <v>true</v>
      </c>
      <c r="BO77" s="25" t="str">
        <f>IF(AND(OR(_xlfn.XLOOKUP(B77,'Base stats'!B:B,'Base stats'!Y:Y)="Carnivore",_xlfn.XLOOKUP(B77,'Base stats'!B:B,'Base stats'!Y:Y)="Omnivore",_xlfn.XLOOKUP(B77,'Base stats'!B:B,'Base stats'!Y:Y)="OmnivoreRough"),_xlfn.XLOOKUP(_xlfn.XLOOKUP(B77,'Base stats'!B:B,'Base stats'!E:E),Groups!A:A,Groups!AT:AT)=1),"true","false")</f>
        <v>true</v>
      </c>
      <c r="BP77" s="25" t="str" cm="1">
        <f t="array" ref="BP77">IF(
  _xlfn.TEXTJOIN(", ",TRUE,
    IF(AND(BJ77="true",AO77&gt;0.5,BI77&lt;&gt;"None"),"AttackTarget",""),
    IF(AND(_xlfn.XLOOKUP(_xlfn.XLOOKUP(B77,'Base stats'!B:B,'Base stats'!E:E),Groups!A:A,Groups!AJ:AJ="Mammal"),OR(_xlfn.XLOOKUP(B77,'Base stats'!B:B,'Base stats'!Y:Y)="Omnivore",_xlfn.XLOOKUP(B77,'Base stats'!B:B,'Base stats'!Y:Y)="OmnivoreRough")),"Forage",""),
    IF(BG77&lt;=36,"Comfort",""),
    IF(_xlfn.XLOOKUP(B77,'Base stats'!B:B,'Base stats'!AE:AE)&lt;&gt;"No",_xlfn.XLOOKUP(B77,'Base stats'!B:B,'Base stats'!AE:AE),"")
  ) = "",
  "No",
  _xlfn.TEXTJOIN(", ",TRUE,
    IF(AND(BJ77="true",AO77&gt;0.5,BI77&lt;&gt;"None"),"AttackTarget",""),
    IF(AND(_xlfn.XLOOKUP(_xlfn.XLOOKUP(B77,'Base stats'!B:B,'Base stats'!E:E),Groups!A:A,Groups!AJ:AJ="Mammal"),OR(_xlfn.XLOOKUP(B77,'Base stats'!B:B,'Base stats'!Y:Y)="Omnivore",_xlfn.XLOOKUP(B77,'Base stats'!B:B,'Base stats'!Y:Y)="OmnivoreRough")),"Forage",""),
    IF(BG77&lt;=36,"Comfort",""),
    IF(_xlfn.XLOOKUP(B77,'Base stats'!B:B,'Base stats'!AE:AE)&lt;&gt;"No",_xlfn.XLOOKUP(B77,'Base stats'!B:B,'Base stats'!AE:AE),"")
  )
)</f>
        <v>No</v>
      </c>
      <c r="BQ77" s="25">
        <f>IF(
   AND(
      'Base stats'!AN77="Standard",_xlfn.XLOOKUP(_xlfn.XLOOKUP(B77,'Base stats'!B:B,'Base stats'!E:E),Groups!A:A,Groups!AU:AU)=0,
      OR(
      BO77="True"
      )
   ),
   10,
   IF(
       OR(BM77&lt;&gt;"No",_xlfn.XLOOKUP(_xlfn.XLOOKUP(B77,'Base stats'!B:B,'Base stats'!E:E),Groups!A:A,Groups!AU:AU)=1),
      1,
      "No"
   )
)</f>
        <v>1</v>
      </c>
      <c r="BR77" s="9">
        <f>MROUND((1 + ((0.2*IF(OR(Q77="No",R77="No",R77=0),0,Q77/R77)
+IF(OR(V77="No",S77="No",T77="No"),0,S77/T77*(LEN(V77)-LEN(SUBSTITUTE(V77,",",""))+1))
+IF(OR(X77="No",Y77="No"),0,X77/Y77)
+IF(OR(AD77="No",AE77="No"),0,AD77/AE77)
+IF(OR(AL77="No",AI77="No",AJ77="No"),0,AI77/AJ77*(LEN(AL77)-LEN(SUBSTITUTE(AL77,",",""))+1))
)/(0.2*IF(OR(Q77="No",R77="No",R77=0),0,1)
+IF(OR(V77="No",S77="No",T77="No"),0,LEN(V77)-LEN(SUBSTITUTE(V77,",",""))+1)
+IF(OR(X77="No",Y77="No"),0,1)
+IF(OR(AD77="No",AE77="No"),0,1)
+IF(OR(AL77="No",AI77="No",AJ77="No"),0,LEN(AL77)-LEN(SUBSTITUTE(AL77,",",""))+1))*62%)* 2)*(1 + (AP77 / (IF(_xlfn.XLOOKUP(_xlfn.XLOOKUP(B77,'Base stats'!B:B,'Base stats'!E:E),Groups!A:A,Groups!AJ:AJ)="Photonozoa",0.3,1)) + _xlfn.XLOOKUP(B77,'Base stats'!B:B,'Base stats'!AV:AV) * 1.8) * 2) * 2.5 + 10 + I77 * 2,5)+IF(_xlfn.XLOOKUP(B77,'Base stats'!B:B,'Base stats'!AK:AK)=1,50,0)</f>
        <v>55</v>
      </c>
      <c r="BS77" s="8">
        <f t="shared" si="12"/>
        <v>0.30000000000000004</v>
      </c>
      <c r="BT77" s="8" t="str">
        <f>_xlfn.XLOOKUP(B77,'Base stats'!B:B,'Base stats'!AF:AF)</f>
        <v>No</v>
      </c>
      <c r="BU77" s="2" t="str">
        <f>IF(AND(J77&lt;=0.95,OR(_xlfn.XLOOKUP(B77,'Base stats'!B:B,'Base stats'!AK:AK)=1,_xlfn.XLOOKUP(B77,'Base stats'!B:B,'Base stats'!Y:Y)="Carnivore",_xlfn.XLOOKUP(B77,'Base stats'!B:B,'Base stats'!Y:Y)="Omnivore",BE77&gt;0.1)),"true","false")</f>
        <v>true</v>
      </c>
      <c r="BV77" s="2" t="str">
        <f>IF(_xlfn.XLOOKUP(B77,'Base stats'!B:B,'Base stats'!AI:AI)=1,"true","false")</f>
        <v>false</v>
      </c>
      <c r="BW77" s="25" t="str">
        <f>IF(E77="BaseInsect","AnimalInsect",
IF(J77&gt;0.95,"AnimalExotic",
_xlfn.TEXTJOIN(", ",TRUE,
IF(OR(_xlfn.XLOOKUP(B77,'Base stats'!B:B,'Base stats'!AM:AM)=1,AND(_xlfn.XLOOKUP(B77,'Base stats'!B:B,'Base stats'!O:O)=0,_xlfn.XLOOKUP(_xlfn.XLOOKUP(B77,'Base stats'!B:B,'Base stats'!E:E),Groups!A:A,Groups!B:B)&gt;0)),"AnimalUncommon","AnimalCommon"),
IF(AND(_xlfn.XLOOKUP(B77,'Base stats'!B:B,'Base stats'!O:O)=2,_xlfn.XLOOKUP(_xlfn.XLOOKUP(B77,'Base stats'!B:B,'Base stats'!E:E),Groups!A:A,Groups!D:D)=0),"AnimalPet",IF(AND(_xlfn.XLOOKUP(B77,'Base stats'!B:B,'Base stats'!O:O)&lt;&gt;0,_xlfn.XLOOKUP(_xlfn.XLOOKUP(B77,'Base stats'!B:B,'Base stats'!E:E),Groups!A:A,Groups!D:D)&lt;&gt;0),"AnimalFarm","")),
IF(OR(_xlfn.XLOOKUP(B77,'Base stats'!B:B,'Base stats'!AK:AK)=1,AND(BI77&lt;&gt;"None",BR77&gt;=60),ISNUMBER(SEARCH("Attack target",BP77))),"AnimalFighter","")
)))</f>
        <v>AnimalCommon, AnimalFarm</v>
      </c>
      <c r="BX77" s="25" t="str">
        <f>IF(G77="None",TRIM(
SUBSTITUTE(
IF(COUNTIF(Biomes!B$2:B$259,"="&amp;$C77)&gt;0,Biomes!B$1&amp;", ","")&amp;
IF(COUNTIF(Biomes!C$2:C$259,"="&amp;$C77)&gt;0,Biomes!C$1&amp;", ","")&amp;
IF(COUNTIF(Biomes!D$2:D$259,"="&amp;$C77)&gt;0,Biomes!D$1&amp;", ","")&amp;
IF(COUNTIF(Biomes!F$2:F$259,"="&amp;$C77)&gt;0,Biomes!F$1&amp;", ","")&amp;
IF(COUNTIF(Biomes!G$2:G$259,"="&amp;$C77)&gt;0,Biomes!G$1&amp;", ","")&amp;
IF(COUNTIF(Biomes!H$2:H$259,"="&amp;$C77)&gt;0,Biomes!H$1&amp;", ","")&amp;
IF(COUNTIF(Biomes!I$2:I$259,"="&amp;$C77)&gt;0,Biomes!I$1&amp;", ","")&amp;
IF(COUNTIF(Biomes!J$2:J$259,"="&amp;$C77)&gt;0,Biomes!J$1&amp;", ","")&amp;
IF(COUNTIF(Biomes!M$2:M$259,"="&amp;$C77)&gt;0,Biomes!M$1&amp;", ","")&amp;
IF(COUNTIF(Biomes!N$2:N$259,"="&amp;$C77)&gt;0,Biomes!N$1&amp;", ","")&amp;
IF(COUNTIF(Biomes!O$2:O$259,"="&amp;$C77)&gt;0,Biomes!O$1&amp;", ","")&amp;
IF(COUNTIF(Biomes!P$2:P$259,"="&amp;$C77)&gt;0,Biomes!P$1&amp;", ","")&amp;
IF(COUNTIF(Biomes!K$2:K$259,"="&amp;$C77)&gt;0,Biomes!K$1&amp;", ","")&amp;
IF(COUNTIF(Biomes!Q$3:Q$259,"="&amp;$C77)&gt;0,Biomes!Q$1&amp;", ","")&amp;
IF(COUNTIF(Biomes!L$2:L$259,"="&amp;$C77)&gt;0,Biomes!L$1&amp;", ","")&amp;
IF(COUNTIF(Biomes!E$2:E$259,"="&amp;$C77)&gt;0,Biomes!E$1&amp;", ","")&amp;IF(COUNTIF(Biomes!S$2:S$259,"="&amp;$C77)&gt;0,Biomes!S$1&amp;", ","")&amp;
IF(COUNTIF(Biomes!R$2:R$259,"="&amp;$C77)&gt;0,Biomes!R$1&amp;", ",""),", ","")
),_xlfn.XLOOKUP(B77,B:B,BX:BX))</f>
        <v>TropicalSwamp Glowforest</v>
      </c>
      <c r="BY77" s="25" t="str">
        <f>IF(_xlfn.XLOOKUP(B77,'Base stats'!B:B,'Base stats'!AJ:AJ)=1,"true","false")</f>
        <v>false</v>
      </c>
      <c r="BZ77" s="25">
        <f>IF(_xlfn.XLOOKUP(B77,'Base stats'!B:B,'Base stats'!N:N)=1,"No",MAX(0.001,MIN(MROUND(IF(AND(BJ77="True",CC77="False"),POWER(10,3.47*LOG10(_xlfn.XLOOKUP(B77,'Base stats'!B:B,'Base stats'!C:C)*1000)^-0.96),POWER(10,4.15*LOG10(_xlfn.XLOOKUP(B77,'Base stats'!B:B,'Base stats'!C:C)*1000)^-0.73))*IF(_xlfn.XLOOKUP(B77,'Base stats'!B:B,'Base stats'!AK:AK)=1,0.5,1)*IF(_xlfn.XLOOKUP(B77,'Base stats'!B:B,'Base stats'!AM:AM)=1,0.1,1)/100,IF(_xlfn.XLOOKUP(B77,'Base stats'!B:B,'Base stats'!AM:AM)=1,0.001,0.025)),0.5)))</f>
        <v>0.22500000000000001</v>
      </c>
      <c r="CA77" s="25" t="str">
        <f>IF(P77="Standard","No",MAX(0.001,MIN(MROUND(IF(AND(BJ77="True",CC77="False"),POWER(10,3.47*LOG10(_xlfn.XLOOKUP(B77,'Base stats'!B:B,'Base stats'!C:C)*1000)^-0.96),POWER(10,4.15*LOG10(_xlfn.XLOOKUP(B77,'Base stats'!B:B,'Base stats'!C:C)*1000)^-0.73))*IF(_xlfn.XLOOKUP(B77,'Base stats'!B:B,'Base stats'!AM:AM)=1,0.1,1)*_xlfn.XLOOKUP(B77,'Base stats'!B:B,'Base stats'!R:R)/100,IF(_xlfn.XLOOKUP(B77,'Base stats'!B:B,'Base stats'!AM:AM)=1,0.001,0.025)),0.5)))</f>
        <v>No</v>
      </c>
      <c r="CB77" s="25" t="str">
        <f>IF(_xlfn.XLOOKUP(_xlfn.XLOOKUP(B77,'Base stats'!B:B,'Base stats'!E:E),Groups!A:A,Groups!AJ:AJ)="Mammal","True","False")</f>
        <v>False</v>
      </c>
      <c r="CC77" s="25" t="str">
        <f>IF(OR(_xlfn.XLOOKUP(_xlfn.XLOOKUP(B77,'Base stats'!B:B,'Base stats'!E:E),Groups!A:A,Groups!AJ:AJ)="Reptile",_xlfn.XLOOKUP(_xlfn.XLOOKUP(B77,'Base stats'!B:B,'Base stats'!E:E),Groups!A:A,Groups!AJ:AJ)="Amphibian",_xlfn.XLOOKUP(_xlfn.XLOOKUP(B77,'Base stats'!B:B,'Base stats'!E:E),Groups!A:A,Groups!AJ:AJ)="Invertebrate"),"True","False")</f>
        <v>True</v>
      </c>
      <c r="CD77" s="25" t="str">
        <f t="shared" si="13"/>
        <v>False</v>
      </c>
      <c r="CE77" s="25" t="str">
        <f>IF(_xlfn.XLOOKUP(_xlfn.XLOOKUP(B77,'Base stats'!B:B,'Base stats'!E:E),Groups!A:A,Groups!AX:AX),"True","False")</f>
        <v>False</v>
      </c>
      <c r="CF77" s="25" t="str">
        <f>IF(_xlfn.XLOOKUP(_xlfn.XLOOKUP(B77,'Base stats'!B:B,'Base stats'!E:E),Groups!A:A,Groups!AY:AY),"True","False")</f>
        <v>False</v>
      </c>
      <c r="CG77" s="25" t="str">
        <f>IF(_xlfn.XLOOKUP(_xlfn.XLOOKUP(B77,'Base stats'!B:B,'Base stats'!E:E),Groups!A:A,Groups!AW:AW),"True","False")</f>
        <v>False</v>
      </c>
      <c r="CH77" s="25" t="str">
        <f>IF(
OR(
_xlfn.XLOOKUP(_xlfn.XLOOKUP(B77,'Base stats'!B:B,'Base stats'!E:E),Groups!A:A,Groups!AZ:AZ)=0,
AND(
_xlfn.XLOOKUP(B77,'Base stats'!B:B,'Base stats'!Y:Y)&lt;&gt;"Carnivore",
_xlfn.XLOOKUP(B77,'Base stats'!B:B,'Base stats'!Y:Y)&lt;&gt;"Omnivore",
_xlfn.XLOOKUP(B77,'Base stats'!B:B,'Base stats'!Y:Y)&lt;&gt;"OmnivoreRough"
)
),
"No",
IF(
_xlfn.XLOOKUP(_xlfn.XLOOKUP(B77,'Base stats'!B:B,'Base stats'!E:E),Groups!A:A,Groups!AZ:AZ)=1,
"Flesh",
IF(
_xlfn.XLOOKUP(_xlfn.XLOOKUP(B77,'Base stats'!B:B,'Base stats'!E:E),Groups!A:A,Groups!AZ:AZ)=2,
"Bone",
""
)
)
)</f>
        <v>No</v>
      </c>
      <c r="CI77" s="25" t="str">
        <f>IF(_xlfn.XLOOKUP(_xlfn.XLOOKUP(B77,'Base stats'!B:B,'Base stats'!E:E),Groups!A:A,Groups!BB:BB),"True","False")</f>
        <v>False</v>
      </c>
      <c r="CJ77" s="25" t="str">
        <f>IF(_xlfn.XLOOKUP(_xlfn.XLOOKUP(B77,'Base stats'!B:B,'Base stats'!E:E),Groups!A:A,Groups!BA:BA),"True","False")</f>
        <v>True</v>
      </c>
    </row>
    <row r="78" spans="1:88" ht="16.5" thickTop="1" thickBot="1" x14ac:dyDescent="0.3">
      <c r="A78" s="26" t="str">
        <f>_xlfn.XLOOKUP(B78,'Base stats'!B:B,'Base stats'!A:A)</f>
        <v>Hippo</v>
      </c>
      <c r="B78" s="6" t="s">
        <v>179</v>
      </c>
      <c r="C78" s="28" t="s">
        <v>758</v>
      </c>
      <c r="D78" s="28" t="s">
        <v>870</v>
      </c>
      <c r="E78" s="28" t="s">
        <v>673</v>
      </c>
      <c r="F78" s="28" t="s">
        <v>673</v>
      </c>
      <c r="G78" s="28" t="s">
        <v>673</v>
      </c>
      <c r="H78" s="2">
        <f>MROUND((
  (IF(AND(_xlfn.XLOOKUP(B78,'Base stats'!B:B,'Base stats'!AL:AL)=0,BI78="None",_xlfn.XLOOKUP(_xlfn.XLOOKUP(B78,'Base stats'!B:B,'Base stats'!E:E),Groups!A:A,Groups!B:B)=0), (18 + BR78 * 2.7) * 0.5,
    IF(AND(_xlfn.XLOOKUP(B78,'Base stats'!B:B,'Base stats'!AL:AL)=0,OR(AO78&lt;0.55,AND(BI78="Intermediate",_xlfn.XLOOKUP(_xlfn.XLOOKUP(B78,'Base stats'!B:B,'Base stats'!E:E),Groups!A:A,Groups!B:B)&lt;2))), (18 + BR78 * 2.7),
      IF(OR(BI78="Advanced",_xlfn.XLOOKUP(B78,'Base stats'!B:B,'Base stats'!AL:AL)=1,_xlfn.XLOOKUP(_xlfn.XLOOKUP(B78,'Base stats'!B:B,'Base stats'!E:E),Groups!A:A,Groups!B:B)=2), (18 + BR78 * 2.7) + 250, (18 + BR78 * 2.7))
    )
  ))
  + AO78 * 80
  + IF(COUNTIF(EggMilk!K$2:K$998, A78) &gt; 0, 125, 0)
  + IF(COUNTIF(EggMilk!P$2:P$998, A78) &gt; 0, 90, 0)
  + IF(COUNTIF(EggMilk!A$2:A$998, A78) &gt; 0, 90, 0)
)
* (0.8 + 0.4 * J78)
* 0.75,25)</f>
        <v>725</v>
      </c>
      <c r="I78" s="2">
        <f>MROUND(ROUNDDOWN(_xlfn.XLOOKUP(B78,'Base stats'!B:B,'Base stats'!L:L)/3.6/(23.3/11),1),0.5)</f>
        <v>3</v>
      </c>
      <c r="J78" s="2">
        <f>IF(OR(_xlfn.XLOOKUP(B78,'Base stats'!B:B,'Base stats'!AB:AB)=1,_xlfn.XLOOKUP(_xlfn.XLOOKUP(B78,'Base stats'!B:B,'Base stats'!E:E),Groups!A:A,Groups!C:C)="Untamable"),1,IF(_xlfn.XLOOKUP(B78,'Base stats'!B:B,'Base stats'!AL:AL)=1,0.99,MIN(MROUND((1-0.6282*EXP(-0.459*AO78))*_xlfn.XLOOKUP(_xlfn.XLOOKUP(B78,'Base stats'!B:B,'Base stats'!E:E),Groups!A:A,Groups!C:C)*IF(_xlfn.XLOOKUP(B78,'Base stats'!B:B,'Base stats'!O:O)=1,0.5,IF(_xlfn.XLOOKUP(B78,'Base stats'!B:B,'Base stats'!O:O)=2,0,1)),0.05),IF(AO78&gt;3.5,0.985,0.95))))</f>
        <v>0.9</v>
      </c>
      <c r="K78" s="2">
        <f>ROUNDUP(AO78*_xlfn.XLOOKUP(_xlfn.XLOOKUP(B78,'Base stats'!B:B,'Base stats'!E:E),Groups!A:A,Groups!E:E),0)</f>
        <v>19</v>
      </c>
      <c r="L78" s="2">
        <f>IF(OR(_xlfn.XLOOKUP(_xlfn.XLOOKUP(B78,'Base stats'!B:B,'Base stats'!E:E),Groups!A:A,Groups!F:F)=2,ISNUMBER(SEARCH("SeaIce",BX78)),ISNUMBER(SEARCH("IceSheet",BX78))),-50,IF(OR(ISNUMBER(SEARCH("GlacialPlain",BX78)),ISNUMBER(SEARCH("Tundra",BX78))),-40,IF(OR(ISNUMBER(SEARCH("Alpine",BX78)),ISNUMBER(SEARCH("BorealForest",BX78)),ISNUMBER(SEARCH("ColdBog",BX78))),-30,IF(OR(ISNUMBER(SEARCH("TemperateForest",BX78)),ISNUMBER(SEARCH("TemperateSwamp",BX78))),-20,IF(_xlfn.XLOOKUP(_xlfn.XLOOKUP(B78,'Base stats'!B:B,'Base stats'!E:E),Groups!A:A,Groups!F:F)=1,-15,IF(OR(ISNUMBER(SEARCH("Desert",BX78)),ISNUMBER(SEARCH("ExtremeDesert",BX78))),-10,IF(OR(ISNUMBER(SEARCH("Grasslands",BX78)),ISNUMBER(SEARCH("TropicalRainforest",BX78)),ISNUMBER(SEARCH("TropicalSwamp",BX78))),10,0)))))))-IF(CC78="False",MIN(IFERROR(MAX(MROUND(LOG10(_xlfn.XLOOKUP(B78,'Base stats'!B:B,'Base stats'!C:C)^(2/3))*10,5),5),5),30))-_xlfn.XLOOKUP(B78,'Base stats'!B:B,'Base stats'!P:P)+IF(CC78="True",5,0)</f>
        <v>-10</v>
      </c>
      <c r="M78" s="2">
        <f>IF(OR(_xlfn.XLOOKUP(_xlfn.XLOOKUP(B78,'Base stats'!B:B,'Base stats'!E:E),Groups!A:A,Groups!G:G)=2,ISNUMBER(SEARCH("Desert",BX78)),ISNUMBER(SEARCH("ExtremeDesert",BX78)),ISNUMBER(SEARCH("LavaField",BX78))),50,IF(ISNUMBER(SEARCH("Grasslands",BX78)),45,IF(OR(_xlfn.XLOOKUP(_xlfn.XLOOKUP(B78,'Base stats'!B:B,'Base stats'!E:E),Groups!A:A,Groups!G:G)=1,ISNUMBER(SEARCH("TropicalRainforest",BX78)),ISNUMBER(SEARCH("TropicalSwamp",BX78))),40,IF(OR(ISNUMBER(SEARCH("TemperateForest",BX78)),ISNUMBER(SEARCH("TemperateSwamp",BX78))),35,IF(OR(ISNUMBER(SEARCH("Alpine",BX78)),ISNUMBER(SEARCH("BorealForest",BX78)),ISNUMBER(SEARCH("ColdBog",BX78))),30,IF(ISNUMBER(OR(ISNUMBER(SEARCH("GlacialPlain",BX78)),SEARCH("Tundra",BX78))),25,IF(OR(ISNUMBER(SEARCH("SeaIce",BX78)),ISNUMBER(SEARCH("IceSheet",BX78)),ISNUMBER(SEARCH("TropicalSwamp",BX78))),10,35)))))))+_xlfn.XLOOKUP(B78,'Base stats'!B:B,'Base stats'!Q:Q)</f>
        <v>40</v>
      </c>
      <c r="N78" s="8" t="str">
        <f>IF(
_xlfn.XLOOKUP(
_xlfn.XLOOKUP(B78,'Base stats'!B:B,'Base stats'!E:E),
Groups!A:A,
Groups!L:L
)=1,
MIN(
MROUND(
IF(
_xlfn.XLOOKUP(B78,'Animals CE'!B:B,'Animals CE'!Z:Z)&lt;=1.5,
_xlfn.XLOOKUP(B78,'Animals CE'!B:B,'Animals CE'!Z:Z)/2+0.05,
0.8+
(_xlfn.XLOOKUP(B78,'Animals CE'!B:B,'Animals CE'!Z:Z)-1.5)
*0.02
),
0.05
),
200%
),
"No"
)</f>
        <v>No</v>
      </c>
      <c r="O78" s="8" t="str">
        <f>IF(
_xlfn.XLOOKUP(
_xlfn.XLOOKUP(B78,'Base stats'!B:B,'Base stats'!E:E),
Groups!A:A,
Groups!L:L
)=1,
MIN(
MROUND(
IF(
_xlfn.XLOOKUP(B78,'Animals CE'!B:B,'Animals CE'!AA:AA)&lt;=1.5,
_xlfn.XLOOKUP(B78,'Animals CE'!B:B,'Animals CE'!AA:AA)/2+0.05,
0.8+
(_xlfn.XLOOKUP(B78,'Animals CE'!B:B,'Animals CE'!AA:AA)-1.5)
*0.02
),
0.05
),
200%
),
"No"
)</f>
        <v>No</v>
      </c>
      <c r="P78" s="2" t="str">
        <f>_xlfn.XLOOKUP(B78,'Base stats'!B:B,'Base stats'!R:R)</f>
        <v>Standard</v>
      </c>
      <c r="Q78" s="13">
        <f>MROUND((LOG10(_xlfn.XLOOKUP(B78,'Base stats'!B:B,'Base stats'!AR:AR))*(AO78^0.5)+(_xlfn.XLOOKUP(B78,'Base stats'!B:B,'Base stats'!AR:AR)/1000)^(2/3)+_xlfn.XLOOKUP(B78,'Base stats'!B:B,'Base stats'!BA:BA)/2)+0.5,0.5)</f>
        <v>22.5</v>
      </c>
      <c r="R78" s="7">
        <f>IF(Q78="No","No",MAX(1,MROUND(_xlfn.XLOOKUP(B78,'Base stats'!B:B,'Base stats'!C:C)^0.165,0.05)))</f>
        <v>3.3000000000000003</v>
      </c>
      <c r="S78" s="13" t="str">
        <f>IF(_xlfn.XLOOKUP(_xlfn.XLOOKUP(B78,'Base stats'!B:B,'Base stats'!E:E),Groups!A:A,Groups!P:P)=0,"No",MROUND((LOG10(_xlfn.XLOOKUP(B78,'Base stats'!B:B,'Base stats'!AS:AS))*(AO78^0.5)+(_xlfn.XLOOKUP(B78,'Base stats'!B:B,'Base stats'!AS:AS)/1000)^(2/3)+_xlfn.XLOOKUP(B78,'Base stats'!B:B,'Base stats'!BA:BA))+_xlfn.XLOOKUP(B78,'Base stats'!B:B,'Base stats'!AY:AY)+0.5,0.5))</f>
        <v>No</v>
      </c>
      <c r="T78" s="7" t="str">
        <f>IF(S78="No","No",MAX(_xlfn.XLOOKUP(_xlfn.XLOOKUP(B78,'Base stats'!B:B,'Base stats'!E:E),Groups!A:A,Groups!Q:Q),MROUND(_xlfn.XLOOKUP(_xlfn.XLOOKUP(B78,'Base stats'!B:B,'Base stats'!E:E),Groups!A:A,Groups!Q:Q)*_xlfn.XLOOKUP(B78,'Base stats'!B:B,'Base stats'!C:C)^0.165,0.05)))</f>
        <v>No</v>
      </c>
      <c r="U78" s="7" t="str">
        <f>IF(S78="No","No",_xlfn.XLOOKUP(_xlfn.XLOOKUP(B78,'Base stats'!B:B,'Base stats'!E:E),Groups!A:A,Groups!R:R))</f>
        <v>No</v>
      </c>
      <c r="V78" s="7" t="str">
        <f>IF(S78="No","No",_xlfn.XLOOKUP(_xlfn.XLOOKUP(B78,'Base stats'!B:B,'Base stats'!E:E),Groups!A:A,Groups!S:S))</f>
        <v>No</v>
      </c>
      <c r="W78" s="7" t="str">
        <f>IF(S78="No","No",_xlfn.XLOOKUP(_xlfn.XLOOKUP(B78,'Base stats'!B:B,'Base stats'!E:E),Groups!A:A,Groups!T:T))</f>
        <v>No</v>
      </c>
      <c r="X78" s="13" t="str">
        <f>IF(_xlfn.XLOOKUP(B78,'Base stats'!B:B,'Base stats'!W:W)="No","No",MROUND((LOG10(_xlfn.XLOOKUP(B78,'Base stats'!B:B,'Base stats'!AU:AU))*(AO78^0.5)+(_xlfn.XLOOKUP(B78,'Base stats'!B:B,'Base stats'!AU:AU)/1000)^(2/3)+_xlfn.XLOOKUP(B78,'Base stats'!B:B,'Base stats'!AZ:AZ))+0.5+IF(_xlfn.XLOOKUP(_xlfn.XLOOKUP(B78,'Base stats'!B:B,'Base stats'!E:E),Groups!A:A,Groups!U:U)&lt;&gt;3,_xlfn.XLOOKUP(B78,'Base stats'!B:B,'Base stats'!BA:BA),0),0.5))</f>
        <v>No</v>
      </c>
      <c r="Y78" s="7" t="str">
        <f>IF(X78="No","No",MAX(_xlfn.XLOOKUP(_xlfn.XLOOKUP(B78,'Base stats'!B:B,'Base stats'!E:E),Groups!A:A,Groups!V:V),MROUND(_xlfn.XLOOKUP(_xlfn.XLOOKUP(B78,'Base stats'!B:B,'Base stats'!E:E),Groups!A:A,Groups!V:V)*_xlfn.XLOOKUP(B78,'Base stats'!B:B,'Base stats'!C:C)^0.165,0.05)))</f>
        <v>No</v>
      </c>
      <c r="Z78" s="7" t="str">
        <f>IF(X78="No","No",_xlfn.XLOOKUP(_xlfn.XLOOKUP(B78,'Base stats'!B:B,'Base stats'!E:E),Groups!A:A,Groups!W:W))</f>
        <v>No</v>
      </c>
      <c r="AA78" s="7" t="str">
        <f>IF(X78="No","No",_xlfn.XLOOKUP(_xlfn.XLOOKUP(B78,'Base stats'!B:B,'Base stats'!E:E),Groups!A:A,Groups!X:X))</f>
        <v>No</v>
      </c>
      <c r="AB78" s="7" t="str">
        <f>IF(X78="No","No",_xlfn.XLOOKUP(_xlfn.XLOOKUP(B78,'Base stats'!B:B,'Base stats'!E:E),Groups!A:A,Groups!Y:Y))</f>
        <v>No</v>
      </c>
      <c r="AC78" s="7" t="str">
        <f>_xlfn.XLOOKUP(Animals!B78,'Base stats'!B:B,'Base stats'!X:X)</f>
        <v>False</v>
      </c>
      <c r="AD78" s="13">
        <f>IF(_xlfn.XLOOKUP(B78,'Base stats'!B:B,'Base stats'!AT:AT)="No","No",MROUND((LOG10(_xlfn.XLOOKUP(B78,'Base stats'!B:B,'Base stats'!AT:AT))*(AO78^0.75)+(_xlfn.XLOOKUP(B78,'Base stats'!B:B,'Base stats'!AT:AT)/1000)^(2/3)+_xlfn.XLOOKUP(B78,'Base stats'!B:B,'Base stats'!AX:AX)+_xlfn.XLOOKUP(B78,'Base stats'!B:B,'Base stats'!BA:BA))+0.5,0.5))</f>
        <v>34</v>
      </c>
      <c r="AE78" s="7">
        <f>IF(AD78="No","No",MAX(_xlfn.XLOOKUP(_xlfn.XLOOKUP(B78,'Base stats'!B:B,'Base stats'!E:E),Groups!A:A,Groups!Z:Z),MROUND(_xlfn.XLOOKUP(_xlfn.XLOOKUP(B78,'Base stats'!B:B,'Base stats'!E:E),Groups!A:A,Groups!Z:Z)*_xlfn.XLOOKUP(B78,'Base stats'!B:B,'Base stats'!C:C)^0.165,0.05)))</f>
        <v>2.8000000000000003</v>
      </c>
      <c r="AF78" s="7" t="str">
        <f>IF(AD78="No","No",_xlfn.XLOOKUP(_xlfn.XLOOKUP(B78,'Base stats'!B:B,'Base stats'!E:E),Groups!A:A,Groups!AA:AA))</f>
        <v>Teeth</v>
      </c>
      <c r="AG78" s="7" t="str">
        <f>IF(AD78="No","No",_xlfn.XLOOKUP(_xlfn.XLOOKUP(B78,'Base stats'!B:B,'Base stats'!E:E),Groups!A:A,Groups!AB:AB))</f>
        <v>teeth</v>
      </c>
      <c r="AH78" s="7" t="str">
        <f>IF(AD78="No","No",_xlfn.XLOOKUP(_xlfn.XLOOKUP(B78,'Base stats'!B:B,'Base stats'!E:E),Groups!A:A,Groups!AC:AC))</f>
        <v>Bite</v>
      </c>
      <c r="AI78" s="13" t="str">
        <f>IF(_xlfn.XLOOKUP(_xlfn.XLOOKUP(B78,'Base stats'!B:B,'Base stats'!E:E),Groups!A:A,Groups!AD:AD)=0,"No",MROUND((LOG10(_xlfn.XLOOKUP(B78,'Base stats'!B:B,'Base stats'!AS:AS))*(AO78^0.75)+(_xlfn.XLOOKUP(B78,'Base stats'!B:B,'Base stats'!AS:AS)/1000)^(2/3)+_xlfn.XLOOKUP(B78,'Base stats'!B:B,'Base stats'!AY:AY)+_xlfn.XLOOKUP(B78,'Base stats'!B:B,'Base stats'!BA:BA))+0.5,0.5))</f>
        <v>No</v>
      </c>
      <c r="AJ78" s="7" t="str">
        <f>IF(AI78="No","No",MAX(_xlfn.XLOOKUP(_xlfn.XLOOKUP(B78,'Base stats'!B:B,'Base stats'!E:E),Groups!A:A,Groups!AE:AE),MROUND(_xlfn.XLOOKUP(_xlfn.XLOOKUP(B78,'Base stats'!B:B,'Base stats'!E:E),Groups!A:A,Groups!AE:AE)*IF(_xlfn.XLOOKUP(_xlfn.XLOOKUP(B78,'Base stats'!B:B,'Base stats'!E:E),Groups!A:A,Groups!AJ:AJ)="Photonozoa",0.6,1)*_xlfn.XLOOKUP(B78,'Base stats'!B:B,'Base stats'!C:C)^0.165,0.05)))</f>
        <v>No</v>
      </c>
      <c r="AK78" s="7" t="str">
        <f>IF(AI78="No","No",_xlfn.XLOOKUP(_xlfn.XLOOKUP(B78,'Base stats'!B:B,'Base stats'!E:E),Groups!A:A,Groups!AF:AF))</f>
        <v>No</v>
      </c>
      <c r="AL78" s="7" t="str">
        <f>IF(AI78="No","No",_xlfn.XLOOKUP(_xlfn.XLOOKUP(B78,'Base stats'!B:B,'Base stats'!E:E),Groups!A:A,Groups!AG:AG))</f>
        <v>No</v>
      </c>
      <c r="AM78" s="7" t="str">
        <f>IF(AI78="No","No",_xlfn.XLOOKUP(_xlfn.XLOOKUP(B78,'Base stats'!B:B,'Base stats'!E:E),Groups!A:A,Groups!AH:AH))</f>
        <v>No</v>
      </c>
      <c r="AN78" s="2" t="str">
        <f t="shared" si="7"/>
        <v>No</v>
      </c>
      <c r="AO78" s="2">
        <f>MROUND(IF(AND(_xlfn.XLOOKUP(B78,'Base stats'!B:B,'Base stats'!C:C)&gt;=0.5,_xlfn.XLOOKUP(B78,'Base stats'!B:B,'Base stats'!C:C)&lt;=0.8),
IF(_xlfn.XLOOKUP(B78,'Base stats'!B:B,'Base stats'!C:C)&lt;0.1,0.05,IF(_xlfn.XLOOKUP(B78,'Base stats'!B:B,'Base stats'!C:C)&lt;=70,(_xlfn.XLOOKUP(B78,'Base stats'!B:B,'Base stats'!C:C)/70)^0.426489913056526,IF(_xlfn.XLOOKUP(B78,'Base stats'!B:B,'Base stats'!C:C)&lt;=400,(_xlfn.XLOOKUP(B78,'Base stats'!B:B,'Base stats'!C:C)/70)^0.572811455315093,IF(_xlfn.XLOOKUP(B78,'Base stats'!B:B,'Base stats'!C:C)&lt;=2000,2.71391647193063*(_xlfn.XLOOKUP(B78,'Base stats'!B:B,'Base stats'!C:C)/400)^0.252459582904293,3.74314280240376*(_xlfn.XLOOKUP(B78,'Base stats'!B:B,'Base stats'!C:C)/2000)^0.357012633876913)))),
IF(_xlfn.XLOOKUP(B78,'Base stats'!B:B,'Base stats'!C:C)&lt;0.1,0.05,IF(_xlfn.XLOOKUP(B78,'Base stats'!B:B,'Base stats'!C:C)&lt;0.4,0.1,IF(_xlfn.XLOOKUP(B78,'Base stats'!B:B,'Base stats'!C:C)&lt;=70,(_xlfn.XLOOKUP(B78,'Base stats'!B:B,'Base stats'!C:C)/70)^0.445823913056526,IF(_xlfn.XLOOKUP(B78,'Base stats'!B:B,'Base stats'!C:C)&lt;=400,(_xlfn.XLOOKUP(B78,'Base stats'!B:B,'Base stats'!C:C)/70)^0.572811455315093,IF(_xlfn.XLOOKUP(B78,'Base stats'!B:B,'Base stats'!C:C)&lt;=2000,2.71391647193063*(_xlfn.XLOOKUP(B78,'Base stats'!B:B,'Base stats'!C:C)/400)^0.252459582904293,3.74314280240376*(_xlfn.XLOOKUP(B78,'Base stats'!B:B,'Base stats'!C:C)/2000)^0.357012633876913)))))),
IF(_xlfn.XLOOKUP(B78,'Base stats'!B:B,'Base stats'!C:C)&lt;0.1,0.05,IF(_xlfn.XLOOKUP(B78,'Base stats'!B:B,'Base stats'!C:C)&lt;=100,0.05,IF(_xlfn.XLOOKUP(B78,'Base stats'!B:B,'Base stats'!C:C)&lt;=250,0.1,IF(_xlfn.XLOOKUP(B78,'Base stats'!B:B,'Base stats'!C:C)&lt;=4000,0.25,0.5)))))</f>
        <v>3.75</v>
      </c>
      <c r="AP78" s="8">
        <f>MROUND(AO78*_xlfn.XLOOKUP(_xlfn.XLOOKUP(B78,'Base stats'!B:B,'Base stats'!E:E),Groups!A:A,Groups!AI:AI)*_xlfn.XLOOKUP(B78,'Base stats'!B:B,'Base stats'!Z:Z),0.05)</f>
        <v>4.5</v>
      </c>
      <c r="AQ78" s="8">
        <f>MAX(0.01,MROUND(IF(CC78="True",0.196*(AO78*100*1000)^0.889,IF(_xlfn.XLOOKUP(_xlfn.XLOOKUP(B78,'Base stats'!B:B,'Base stats'!E:E),Groups!A:A,Groups!AJ:AJ)="Bird",10.5*(AO78*100*1000)^0.681,4.82*(AO78*100*1000)^0.734))/(4.82*(1*100*1000)^0.734)/IF(AO78&lt;3.5,2,IF(AO78=3.5,1.5,1.25))*(1+0.132282374779864/(AO78^0.994035016789033+0.00905238001496948)),0.05))</f>
        <v>2.2000000000000002</v>
      </c>
      <c r="AR78" s="9">
        <f>IFERROR(MROUND(_xlfn.XLOOKUP(B78,'Base stats'!B:B,'Base stats'!H:H)/IF(_xlfn.XLOOKUP(B78,'Base stats'!B:B,'Base stats'!I:I)&lt;&gt;1,(122.5/70),1.2),IF(_xlfn.XLOOKUP(B78,'Base stats'!B:B,'Base stats'!H:H)&gt;=30,5,IF(_xlfn.XLOOKUP(B78,'Base stats'!B:B,'Base stats'!H:H)&gt;=15,3,IF(_xlfn.XLOOKUP(B78,'Base stats'!B:B,'Base stats'!H:H)&gt;=10,2,1)))),"Immortal")</f>
        <v>35</v>
      </c>
      <c r="AS78" s="35">
        <f>IFERROR(IF(OR(_xlfn.XLOOKUP(B78,'Base stats'!B:B,'Base stats'!F:F)="Atypical reproduction",_xlfn.XLOOKUP(B78,'Base stats'!B:B,'Base stats'!F:F)="Lay eggs"),"Lay eggs",MIN(20,MAX(5.5,ROUND(((_xlfn.XLOOKUP(B78,'Base stats'!B:B,'Base stats'!F:F)-25)*(14.5/615) + 5.5)*2,0)/2))),"Unknown")</f>
        <v>10.5</v>
      </c>
      <c r="AT78" s="8">
        <f>IF(_xlfn.XLOOKUP(B78,'Base stats'!B:B,'Base stats'!G:G)="Atypical reproduction","No",IFERROR(MAX(IF(_xlfn.XLOOKUP(B78,'Base stats'!B:B,'Base stats'!G:G)&lt;0.5,0.2,0.3),MROUND(_xlfn.XLOOKUP(B78,'Base stats'!B:B,'Base stats'!G:G)/(365/60),0.2)),"Unknown"))</f>
        <v>0.60000000000000009</v>
      </c>
      <c r="AU78" s="8">
        <f t="shared" si="8"/>
        <v>0.30000000000000004</v>
      </c>
      <c r="AV78" s="8">
        <f>IFERROR(IFERROR(MROUND(_xlfn.XLOOKUP(B78,'Base stats'!B:B,'Base stats'!J:J),0.1),"Lay eggs"),"Cannot breed")</f>
        <v>1</v>
      </c>
      <c r="AW78" s="2" t="str">
        <f t="shared" si="9"/>
        <v>true</v>
      </c>
      <c r="AX78" s="2" t="str">
        <f>IF(_xlfn.XLOOKUP(_xlfn.XLOOKUP(Animals!B78,'Base stats'!B:B,'Base stats'!E:E),Groups!A:A,Groups!AK:AK)=1,"true","false")</f>
        <v>false</v>
      </c>
      <c r="AY78" s="25" t="str">
        <f>IF(_xlfn.XLOOKUP(B78,'Base stats'!B:B,'Base stats'!Y:Y)="Liquor","Liquor, CarnivoreAnimalStrict",IF(AND(_xlfn.XLOOKUP(B78,'Base stats'!B:B,'Base stats'!Y:Y)="Carnivore",_xlfn.XLOOKUP(_xlfn.XLOOKUP(B78,'Base stats'!B:B,'Base stats'!E:E),Groups!A:A,Groups!AJ:AJ)="Photonozoa"),"CarnivoreAnimalStrict, OvivoreAnimal",IF(_xlfn.XLOOKUP(B78,'Base stats'!B:B,'Base stats'!Y:Y)="Carnivore","CarnivoreAnimal, OvivoreAnimal",IF(_xlfn.XLOOKUP(B78,'Base stats'!B:B,'Base stats'!Y:Y)="Dendrovore","VegetarianRoughAnimal, DendrovoreAnimal",IF(_xlfn.XLOOKUP(B78,'Base stats'!B:B,'Base stats'!Y:Y)="Herbivore","VegetarianRoughAnimal",IF(_xlfn.XLOOKUP(B78,'Base stats'!B:B,'Base stats'!Y:Y)="OmnivoreRough","OmnivoreRoughAnimal, OvivoreAnimal","OmnivoreAnimal, OvivoreAnimal"))))))</f>
        <v>VegetarianRoughAnimal</v>
      </c>
      <c r="AZ78" s="2">
        <f>IF(_xlfn.XLOOKUP(_xlfn.XLOOKUP(B78,'Base stats'!B:B,'Base stats'!E:E),Groups!A:A,Groups!D:D)=1,MROUND((1-J78)*5+1,2)*IF(J78&lt;=0.4,2,1),"No")</f>
        <v>2</v>
      </c>
      <c r="BA78" s="2" t="str">
        <f>IF(AND(_xlfn.XLOOKUP(B78,'Base stats'!B:B,'Base stats'!AH:AH)="&lt;li&gt;Seal&lt;/li&gt;",G78="Odyssey"),"&lt;li&gt;AEXP_Seal&lt;/li&gt;",_xlfn.XLOOKUP(B78,'Base stats'!B:B,'Base stats'!AH:AH))</f>
        <v>No</v>
      </c>
      <c r="BB78" s="2" t="str">
        <f>_xlfn.XLOOKUP(B78,'Base stats'!B:B,'Base stats'!AG:AG)</f>
        <v>Leather_Hippo</v>
      </c>
      <c r="BC78" s="23" t="str">
        <f>_xlfn.XLOOKUP(_xlfn.XLOOKUP(B78,'Base stats'!B:B,'Base stats'!E:E),Groups!A:A,Groups!AL:AL)</f>
        <v>QuadrupedAnimalWithHooves</v>
      </c>
      <c r="BD78" s="23">
        <f>MIN(1,MROUND(IF(AND(AO78&lt;0.5,_xlfn.XLOOKUP(B78,'Base stats'!B:B,'Base stats'!AA:AA)=0),0,IF(OR(_xlfn.XLOOKUP(Animals!B78,'Base stats'!B:B,'Base stats'!O:O)=2,_xlfn.XLOOKUP(_xlfn.XLOOKUP(B78,'Base stats'!B:B,'Base stats'!E:E),Groups!A:A,Groups!AN:AN)=0),0,_xlfn.XLOOKUP(_xlfn.XLOOKUP(B78,'Base stats'!B:B,'Base stats'!E:E),Groups!A:A,Groups!AN:AN)/IF(_xlfn.XLOOKUP(Animals!B78,'Base stats'!B:B,'Base stats'!O:O)=1,2,1)))+_xlfn.XLOOKUP(B78,'Base stats'!B:B,'Base stats'!AC:AC),0.005))</f>
        <v>0.2</v>
      </c>
      <c r="BE78" s="23">
        <f>MIN(1,MROUND(IF(AND(AO78&lt;0.5,_xlfn.XLOOKUP(B78,'Base stats'!B:B,'Base stats'!AA:AA)=0),0,IF(_xlfn.XLOOKUP(_xlfn.XLOOKUP(B78,'Base stats'!B:B,'Base stats'!E:E),Groups!A:A,Groups!AO:AO)=0,0,_xlfn.XLOOKUP(_xlfn.XLOOKUP(B78,'Base stats'!B:B,'Base stats'!E:E),Groups!A:A,Groups!AO:AO)/IF(_xlfn.XLOOKUP(Animals!B78,'Base stats'!B:B,'Base stats'!O:O)=2,3,1)))+_xlfn.XLOOKUP(B78,'Base stats'!B:B,'Base stats'!AD:AD),0.005))</f>
        <v>0.6</v>
      </c>
      <c r="BF78" s="2" t="str">
        <f>IF(J78&gt;0.3,"No",_xlfn.XLOOKUP(_xlfn.XLOOKUP(Animals!B78,'Base stats'!B:B,'Base stats'!E:E),Groups!A:A,Groups!AP:AP))</f>
        <v>No</v>
      </c>
      <c r="BG78" s="2" t="str">
        <f>IF(AND(J78&lt;=0.65,_xlfn.XLOOKUP(_xlfn.XLOOKUP(Animals!B78,'Base stats'!B:B,'Base stats'!E:E),Groups!A:A,Groups!AP:AP)&lt;&gt;"No",_xlfn.XLOOKUP(_xlfn.XLOOKUP(B78,'Base stats'!B:B,'Base stats'!E:E),Groups!A:A,Groups!D:D)=0),MROUND((80/3)*IF(_xlfn.XLOOKUP(B78,'Base stats'!B:B,'Base stats'!O:O)=2,0.2,AO78) + 24*(1-IF(BF78="No",0,BF78)) + 16/3, 12),"No")</f>
        <v>No</v>
      </c>
      <c r="BH78" s="2">
        <f>IF(AND(_xlfn.XLOOKUP(_xlfn.XLOOKUP(B78,'Base stats'!B:B,'Base stats'!E:E),Groups!A:A,Groups!AQ:AQ)=1,AO78&lt;=0.35),8,12)</f>
        <v>12</v>
      </c>
      <c r="BI78" s="2" t="str">
        <f>IF(_xlfn.XLOOKUP(_xlfn.XLOOKUP(B78,'Base stats'!B:B,'Base stats'!E:E),Groups!A:A,Groups!D:D)=0,_xlfn.XLOOKUP(_xlfn.XLOOKUP(B78,'Base stats'!B:B,'Base stats'!E:E),Groups!A:A,Groups!AR:AR),"None")</f>
        <v>None</v>
      </c>
      <c r="BJ78" s="2" t="str">
        <f>IF(AND(_xlfn.XLOOKUP(_xlfn.XLOOKUP(B78,'Base stats'!B:B,'Base stats'!E:E),Groups!A:A,Groups!AS:AS)=1,OR(_xlfn.XLOOKUP(B78,'Base stats'!B:B,'Base stats'!Y:Y)="Carnivore",_xlfn.XLOOKUP(B78,'Base stats'!B:B,'Base stats'!Y:Y)="Omnivore")),"true","false")</f>
        <v>false</v>
      </c>
      <c r="BK78" s="2" t="str">
        <f>IF(BJ78="true",MROUND(IF(AND(AO78&gt;0.5,OR(_xlfn.XLOOKUP(_xlfn.XLOOKUP(B78,'Base stats'!B:B,'Base stats'!E:E),Groups!A:A,Groups!AJ:AJ)="Photonozoa",_xlfn.XLOOKUP(_xlfn.XLOOKUP(B78,'Base stats'!B:B,'Base stats'!E:E),Groups!A:A,Groups!AJ:AJ)="Mammal")),Animals!AO78*1.75*IF(AW78="true",1.5,1),IF(AO78&lt;0.5,Animals!AO78*0.5,Animals!AO78)),IF(AO78&gt;2,0.5,IF(AO78&gt;0.5,0.25,0.1))),"No")</f>
        <v>No</v>
      </c>
      <c r="BL78" s="2">
        <f t="shared" si="10"/>
        <v>0</v>
      </c>
      <c r="BM78" s="25" t="str">
        <f>IF(_xlfn.XLOOKUP(B78,'Base stats'!B:B,'Base stats'!AN:AN)="Standard","No",MROUND((_xlfn.XLOOKUP(B78,'Base stats'!B:B,'Base stats'!AN:AN)/3.6)/I78,0.1))</f>
        <v>No</v>
      </c>
      <c r="BN78" s="25" t="str">
        <f t="shared" si="11"/>
        <v>true</v>
      </c>
      <c r="BO78" s="25" t="str">
        <f>IF(AND(OR(_xlfn.XLOOKUP(B78,'Base stats'!B:B,'Base stats'!Y:Y)="Carnivore",_xlfn.XLOOKUP(B78,'Base stats'!B:B,'Base stats'!Y:Y)="Omnivore",_xlfn.XLOOKUP(B78,'Base stats'!B:B,'Base stats'!Y:Y)="OmnivoreRough"),_xlfn.XLOOKUP(_xlfn.XLOOKUP(B78,'Base stats'!B:B,'Base stats'!E:E),Groups!A:A,Groups!AT:AT)=1),"true","false")</f>
        <v>false</v>
      </c>
      <c r="BP78" s="25" t="str" cm="1">
        <f t="array" ref="BP78">IF(
  _xlfn.TEXTJOIN(", ",TRUE,
    IF(AND(BJ78="true",AO78&gt;0.5,BI78&lt;&gt;"None"),"AttackTarget",""),
    IF(AND(_xlfn.XLOOKUP(_xlfn.XLOOKUP(B78,'Base stats'!B:B,'Base stats'!E:E),Groups!A:A,Groups!AJ:AJ="Mammal"),OR(_xlfn.XLOOKUP(B78,'Base stats'!B:B,'Base stats'!Y:Y)="Omnivore",_xlfn.XLOOKUP(B78,'Base stats'!B:B,'Base stats'!Y:Y)="OmnivoreRough")),"Forage",""),
    IF(BG78&lt;=36,"Comfort",""),
    IF(_xlfn.XLOOKUP(B78,'Base stats'!B:B,'Base stats'!AE:AE)&lt;&gt;"No",_xlfn.XLOOKUP(B78,'Base stats'!B:B,'Base stats'!AE:AE),"")
  ) = "",
  "No",
  _xlfn.TEXTJOIN(", ",TRUE,
    IF(AND(BJ78="true",AO78&gt;0.5,BI78&lt;&gt;"None"),"AttackTarget",""),
    IF(AND(_xlfn.XLOOKUP(_xlfn.XLOOKUP(B78,'Base stats'!B:B,'Base stats'!E:E),Groups!A:A,Groups!AJ:AJ="Mammal"),OR(_xlfn.XLOOKUP(B78,'Base stats'!B:B,'Base stats'!Y:Y)="Omnivore",_xlfn.XLOOKUP(B78,'Base stats'!B:B,'Base stats'!Y:Y)="OmnivoreRough")),"Forage",""),
    IF(BG78&lt;=36,"Comfort",""),
    IF(_xlfn.XLOOKUP(B78,'Base stats'!B:B,'Base stats'!AE:AE)&lt;&gt;"No",_xlfn.XLOOKUP(B78,'Base stats'!B:B,'Base stats'!AE:AE),"")
  )
)</f>
        <v>No</v>
      </c>
      <c r="BQ78" s="25">
        <f>IF(
   AND(
      'Base stats'!AN78="Standard",_xlfn.XLOOKUP(_xlfn.XLOOKUP(B78,'Base stats'!B:B,'Base stats'!E:E),Groups!A:A,Groups!AU:AU)=0,
      OR(
      BO78="True"
      )
   ),
   10,
   IF(
       OR(BM78&lt;&gt;"No",_xlfn.XLOOKUP(_xlfn.XLOOKUP(B78,'Base stats'!B:B,'Base stats'!E:E),Groups!A:A,Groups!AU:AU)=1),
      1,
      "No"
   )
)</f>
        <v>1</v>
      </c>
      <c r="BR78" s="9">
        <f>MROUND((1 + ((0.2*IF(OR(Q78="No",R78="No",R78=0),0,Q78/R78)
+IF(OR(V78="No",S78="No",T78="No"),0,S78/T78*(LEN(V78)-LEN(SUBSTITUTE(V78,",",""))+1))
+IF(OR(X78="No",Y78="No"),0,X78/Y78)
+IF(OR(AD78="No",AE78="No"),0,AD78/AE78)
+IF(OR(AL78="No",AI78="No",AJ78="No"),0,AI78/AJ78*(LEN(AL78)-LEN(SUBSTITUTE(AL78,",",""))+1))
)/(0.2*IF(OR(Q78="No",R78="No",R78=0),0,1)
+IF(OR(V78="No",S78="No",T78="No"),0,LEN(V78)-LEN(SUBSTITUTE(V78,",",""))+1)
+IF(OR(X78="No",Y78="No"),0,1)
+IF(OR(AD78="No",AE78="No"),0,1)
+IF(OR(AL78="No",AI78="No",AJ78="No"),0,LEN(AL78)-LEN(SUBSTITUTE(AL78,",",""))+1))*62%)* 2)*(1 + (AP78 / (IF(_xlfn.XLOOKUP(_xlfn.XLOOKUP(B78,'Base stats'!B:B,'Base stats'!E:E),Groups!A:A,Groups!AJ:AJ)="Photonozoa",0.3,1)) + _xlfn.XLOOKUP(B78,'Base stats'!B:B,'Base stats'!AV:AV) * 1.8) * 2) * 2.5 + 10 + I78 * 2,5)+IF(_xlfn.XLOOKUP(B78,'Base stats'!B:B,'Base stats'!AK:AK)=1,50,0)</f>
        <v>390</v>
      </c>
      <c r="BS78" s="8">
        <f t="shared" si="12"/>
        <v>2.5</v>
      </c>
      <c r="BT78" s="8" t="str">
        <f>_xlfn.XLOOKUP(B78,'Base stats'!B:B,'Base stats'!AF:AF)</f>
        <v>5~15</v>
      </c>
      <c r="BU78" s="2" t="str">
        <f>IF(AND(J78&lt;=0.95,OR(_xlfn.XLOOKUP(B78,'Base stats'!B:B,'Base stats'!AK:AK)=1,_xlfn.XLOOKUP(B78,'Base stats'!B:B,'Base stats'!Y:Y)="Carnivore",_xlfn.XLOOKUP(B78,'Base stats'!B:B,'Base stats'!Y:Y)="Omnivore",BE78&gt;0.1)),"true","false")</f>
        <v>true</v>
      </c>
      <c r="BV78" s="2" t="str">
        <f>IF(_xlfn.XLOOKUP(B78,'Base stats'!B:B,'Base stats'!AI:AI)=1,"true","false")</f>
        <v>false</v>
      </c>
      <c r="BW78" s="25" t="str">
        <f>IF(E78="BaseInsect","AnimalInsect",
IF(J78&gt;0.95,"AnimalExotic",
_xlfn.TEXTJOIN(", ",TRUE,
IF(OR(_xlfn.XLOOKUP(B78,'Base stats'!B:B,'Base stats'!AM:AM)=1,AND(_xlfn.XLOOKUP(B78,'Base stats'!B:B,'Base stats'!O:O)=0,_xlfn.XLOOKUP(_xlfn.XLOOKUP(B78,'Base stats'!B:B,'Base stats'!E:E),Groups!A:A,Groups!B:B)&gt;0)),"AnimalUncommon","AnimalCommon"),
IF(AND(_xlfn.XLOOKUP(B78,'Base stats'!B:B,'Base stats'!O:O)=2,_xlfn.XLOOKUP(_xlfn.XLOOKUP(B78,'Base stats'!B:B,'Base stats'!E:E),Groups!A:A,Groups!D:D)=0),"AnimalPet",IF(AND(_xlfn.XLOOKUP(B78,'Base stats'!B:B,'Base stats'!O:O)&lt;&gt;0,_xlfn.XLOOKUP(_xlfn.XLOOKUP(B78,'Base stats'!B:B,'Base stats'!E:E),Groups!A:A,Groups!D:D)&lt;&gt;0),"AnimalFarm","")),
IF(OR(_xlfn.XLOOKUP(B78,'Base stats'!B:B,'Base stats'!AK:AK)=1,AND(BI78&lt;&gt;"None",BR78&gt;=60),ISNUMBER(SEARCH("Attack target",BP78))),"AnimalFighter","")
)))</f>
        <v>AnimalCommon</v>
      </c>
      <c r="BX78" s="25" t="str">
        <f>IF(G78="None",TRIM(
SUBSTITUTE(
IF(COUNTIF(Biomes!B$2:B$259,"="&amp;$C78)&gt;0,Biomes!B$1&amp;", ","")&amp;
IF(COUNTIF(Biomes!C$2:C$259,"="&amp;$C78)&gt;0,Biomes!C$1&amp;", ","")&amp;
IF(COUNTIF(Biomes!D$2:D$259,"="&amp;$C78)&gt;0,Biomes!D$1&amp;", ","")&amp;
IF(COUNTIF(Biomes!F$2:F$259,"="&amp;$C78)&gt;0,Biomes!F$1&amp;", ","")&amp;
IF(COUNTIF(Biomes!G$2:G$259,"="&amp;$C78)&gt;0,Biomes!G$1&amp;", ","")&amp;
IF(COUNTIF(Biomes!H$2:H$259,"="&amp;$C78)&gt;0,Biomes!H$1&amp;", ","")&amp;
IF(COUNTIF(Biomes!I$2:I$259,"="&amp;$C78)&gt;0,Biomes!I$1&amp;", ","")&amp;
IF(COUNTIF(Biomes!J$2:J$259,"="&amp;$C78)&gt;0,Biomes!J$1&amp;", ","")&amp;
IF(COUNTIF(Biomes!M$2:M$259,"="&amp;$C78)&gt;0,Biomes!M$1&amp;", ","")&amp;
IF(COUNTIF(Biomes!N$2:N$259,"="&amp;$C78)&gt;0,Biomes!N$1&amp;", ","")&amp;
IF(COUNTIF(Biomes!O$2:O$259,"="&amp;$C78)&gt;0,Biomes!O$1&amp;", ","")&amp;
IF(COUNTIF(Biomes!P$2:P$259,"="&amp;$C78)&gt;0,Biomes!P$1&amp;", ","")&amp;
IF(COUNTIF(Biomes!K$2:K$259,"="&amp;$C78)&gt;0,Biomes!K$1&amp;", ","")&amp;
IF(COUNTIF(Biomes!Q$3:Q$259,"="&amp;$C78)&gt;0,Biomes!Q$1&amp;", ","")&amp;
IF(COUNTIF(Biomes!L$2:L$259,"="&amp;$C78)&gt;0,Biomes!L$1&amp;", ","")&amp;
IF(COUNTIF(Biomes!E$2:E$259,"="&amp;$C78)&gt;0,Biomes!E$1&amp;", ","")&amp;IF(COUNTIF(Biomes!S$2:S$259,"="&amp;$C78)&gt;0,Biomes!S$1&amp;", ","")&amp;
IF(COUNTIF(Biomes!R$2:R$259,"="&amp;$C78)&gt;0,Biomes!R$1&amp;", ",""),", ","")
),_xlfn.XLOOKUP(B78,B:B,BX:BX))</f>
        <v>TropicalSwamp Glowforest</v>
      </c>
      <c r="BY78" s="25" t="str">
        <f>IF(_xlfn.XLOOKUP(B78,'Base stats'!B:B,'Base stats'!AJ:AJ)=1,"true","false")</f>
        <v>false</v>
      </c>
      <c r="BZ78" s="25">
        <f>IF(_xlfn.XLOOKUP(B78,'Base stats'!B:B,'Base stats'!N:N)=1,"No",MAX(0.001,MIN(MROUND(IF(AND(BJ78="True",CC78="False"),POWER(10,3.47*LOG10(_xlfn.XLOOKUP(B78,'Base stats'!B:B,'Base stats'!C:C)*1000)^-0.96),POWER(10,4.15*LOG10(_xlfn.XLOOKUP(B78,'Base stats'!B:B,'Base stats'!C:C)*1000)^-0.73))*IF(_xlfn.XLOOKUP(B78,'Base stats'!B:B,'Base stats'!AK:AK)=1,0.5,1)*IF(_xlfn.XLOOKUP(B78,'Base stats'!B:B,'Base stats'!AM:AM)=1,0.1,1)/100,IF(_xlfn.XLOOKUP(B78,'Base stats'!B:B,'Base stats'!AM:AM)=1,0.001,0.025)),0.5)))</f>
        <v>0.125</v>
      </c>
      <c r="CA78" s="25" t="str">
        <f>IF(P78="Standard","No",MAX(0.001,MIN(MROUND(IF(AND(BJ78="True",CC78="False"),POWER(10,3.47*LOG10(_xlfn.XLOOKUP(B78,'Base stats'!B:B,'Base stats'!C:C)*1000)^-0.96),POWER(10,4.15*LOG10(_xlfn.XLOOKUP(B78,'Base stats'!B:B,'Base stats'!C:C)*1000)^-0.73))*IF(_xlfn.XLOOKUP(B78,'Base stats'!B:B,'Base stats'!AM:AM)=1,0.1,1)*_xlfn.XLOOKUP(B78,'Base stats'!B:B,'Base stats'!R:R)/100,IF(_xlfn.XLOOKUP(B78,'Base stats'!B:B,'Base stats'!AM:AM)=1,0.001,0.025)),0.5)))</f>
        <v>No</v>
      </c>
      <c r="CB78" s="25" t="str">
        <f>IF(_xlfn.XLOOKUP(_xlfn.XLOOKUP(B78,'Base stats'!B:B,'Base stats'!E:E),Groups!A:A,Groups!AJ:AJ)="Mammal","True","False")</f>
        <v>True</v>
      </c>
      <c r="CC78" s="25" t="str">
        <f>IF(OR(_xlfn.XLOOKUP(_xlfn.XLOOKUP(B78,'Base stats'!B:B,'Base stats'!E:E),Groups!A:A,Groups!AJ:AJ)="Reptile",_xlfn.XLOOKUP(_xlfn.XLOOKUP(B78,'Base stats'!B:B,'Base stats'!E:E),Groups!A:A,Groups!AJ:AJ)="Amphibian",_xlfn.XLOOKUP(_xlfn.XLOOKUP(B78,'Base stats'!B:B,'Base stats'!E:E),Groups!A:A,Groups!AJ:AJ)="Invertebrate"),"True","False")</f>
        <v>False</v>
      </c>
      <c r="CD78" s="25" t="str">
        <f t="shared" si="13"/>
        <v>False</v>
      </c>
      <c r="CE78" s="25" t="str">
        <f>IF(_xlfn.XLOOKUP(_xlfn.XLOOKUP(B78,'Base stats'!B:B,'Base stats'!E:E),Groups!A:A,Groups!AX:AX),"True","False")</f>
        <v>False</v>
      </c>
      <c r="CF78" s="25" t="str">
        <f>IF(_xlfn.XLOOKUP(_xlfn.XLOOKUP(B78,'Base stats'!B:B,'Base stats'!E:E),Groups!A:A,Groups!AY:AY),"True","False")</f>
        <v>False</v>
      </c>
      <c r="CG78" s="25" t="str">
        <f>IF(_xlfn.XLOOKUP(_xlfn.XLOOKUP(B78,'Base stats'!B:B,'Base stats'!E:E),Groups!A:A,Groups!AW:AW),"True","False")</f>
        <v>False</v>
      </c>
      <c r="CH78" s="25" t="str">
        <f>IF(
OR(
_xlfn.XLOOKUP(_xlfn.XLOOKUP(B78,'Base stats'!B:B,'Base stats'!E:E),Groups!A:A,Groups!AZ:AZ)=0,
AND(
_xlfn.XLOOKUP(B78,'Base stats'!B:B,'Base stats'!Y:Y)&lt;&gt;"Carnivore",
_xlfn.XLOOKUP(B78,'Base stats'!B:B,'Base stats'!Y:Y)&lt;&gt;"Omnivore",
_xlfn.XLOOKUP(B78,'Base stats'!B:B,'Base stats'!Y:Y)&lt;&gt;"OmnivoreRough"
)
),
"No",
IF(
_xlfn.XLOOKUP(_xlfn.XLOOKUP(B78,'Base stats'!B:B,'Base stats'!E:E),Groups!A:A,Groups!AZ:AZ)=1,
"Flesh",
IF(
_xlfn.XLOOKUP(_xlfn.XLOOKUP(B78,'Base stats'!B:B,'Base stats'!E:E),Groups!A:A,Groups!AZ:AZ)=2,
"Bone",
""
)
)
)</f>
        <v>No</v>
      </c>
      <c r="CI78" s="25" t="str">
        <f>IF(_xlfn.XLOOKUP(_xlfn.XLOOKUP(B78,'Base stats'!B:B,'Base stats'!E:E),Groups!A:A,Groups!BB:BB),"True","False")</f>
        <v>True</v>
      </c>
      <c r="CJ78" s="25" t="str">
        <f>IF(_xlfn.XLOOKUP(_xlfn.XLOOKUP(B78,'Base stats'!B:B,'Base stats'!E:E),Groups!A:A,Groups!BA:BA),"True","False")</f>
        <v>False</v>
      </c>
    </row>
    <row r="79" spans="1:88" ht="16.5" thickTop="1" thickBot="1" x14ac:dyDescent="0.3">
      <c r="A79" s="26" t="str">
        <f>_xlfn.XLOOKUP(B79,'Base stats'!B:B,'Base stats'!A:A)</f>
        <v>Mastodon</v>
      </c>
      <c r="B79" s="6" t="s">
        <v>278</v>
      </c>
      <c r="C79" s="28" t="s">
        <v>759</v>
      </c>
      <c r="D79" s="28" t="s">
        <v>870</v>
      </c>
      <c r="E79" s="28" t="s">
        <v>673</v>
      </c>
      <c r="F79" s="28" t="s">
        <v>673</v>
      </c>
      <c r="G79" s="28" t="s">
        <v>673</v>
      </c>
      <c r="H79" s="2">
        <f>MROUND((
  (IF(AND(_xlfn.XLOOKUP(B79,'Base stats'!B:B,'Base stats'!AL:AL)=0,BI79="None",_xlfn.XLOOKUP(_xlfn.XLOOKUP(B79,'Base stats'!B:B,'Base stats'!E:E),Groups!A:A,Groups!B:B)=0), (18 + BR79 * 2.7) * 0.5,
    IF(AND(_xlfn.XLOOKUP(B79,'Base stats'!B:B,'Base stats'!AL:AL)=0,OR(AO79&lt;0.55,AND(BI79="Intermediate",_xlfn.XLOOKUP(_xlfn.XLOOKUP(B79,'Base stats'!B:B,'Base stats'!E:E),Groups!A:A,Groups!B:B)&lt;2))), (18 + BR79 * 2.7),
      IF(OR(BI79="Advanced",_xlfn.XLOOKUP(B79,'Base stats'!B:B,'Base stats'!AL:AL)=1,_xlfn.XLOOKUP(_xlfn.XLOOKUP(B79,'Base stats'!B:B,'Base stats'!E:E),Groups!A:A,Groups!B:B)=2), (18 + BR79 * 2.7) + 250, (18 + BR79 * 2.7))
    )
  ))
  + AO79 * 80
  + IF(COUNTIF(EggMilk!K$2:K$998, A79) &gt; 0, 125, 0)
  + IF(COUNTIF(EggMilk!P$2:P$998, A79) &gt; 0, 90, 0)
  + IF(COUNTIF(EggMilk!A$2:A$998, A79) &gt; 0, 90, 0)
)
* (0.8 + 0.4 * J79)
* 0.75,25)</f>
        <v>1950</v>
      </c>
      <c r="I79" s="2">
        <f>MROUND(ROUNDDOWN(_xlfn.XLOOKUP(B79,'Base stats'!B:B,'Base stats'!L:L)/3.6/(23.3/11),1),0.5)</f>
        <v>3.5</v>
      </c>
      <c r="J79" s="2">
        <f>IF(OR(_xlfn.XLOOKUP(B79,'Base stats'!B:B,'Base stats'!AB:AB)=1,_xlfn.XLOOKUP(_xlfn.XLOOKUP(B79,'Base stats'!B:B,'Base stats'!E:E),Groups!A:A,Groups!C:C)="Untamable"),1,IF(_xlfn.XLOOKUP(B79,'Base stats'!B:B,'Base stats'!AL:AL)=1,0.99,MIN(MROUND((1-0.6282*EXP(-0.459*AO79))*_xlfn.XLOOKUP(_xlfn.XLOOKUP(B79,'Base stats'!B:B,'Base stats'!E:E),Groups!A:A,Groups!C:C)*IF(_xlfn.XLOOKUP(B79,'Base stats'!B:B,'Base stats'!O:O)=1,0.5,IF(_xlfn.XLOOKUP(B79,'Base stats'!B:B,'Base stats'!O:O)=2,0,1)),0.05),IF(AO79&gt;3.5,0.985,0.95))))</f>
        <v>0.95000000000000007</v>
      </c>
      <c r="K79" s="2">
        <f>ROUNDUP(AO79*_xlfn.XLOOKUP(_xlfn.XLOOKUP(B79,'Base stats'!B:B,'Base stats'!E:E),Groups!A:A,Groups!E:E),0)</f>
        <v>28</v>
      </c>
      <c r="L79" s="2">
        <f>IF(OR(_xlfn.XLOOKUP(_xlfn.XLOOKUP(B79,'Base stats'!B:B,'Base stats'!E:E),Groups!A:A,Groups!F:F)=2,ISNUMBER(SEARCH("SeaIce",BX79)),ISNUMBER(SEARCH("IceSheet",BX79))),-50,IF(OR(ISNUMBER(SEARCH("GlacialPlain",BX79)),ISNUMBER(SEARCH("Tundra",BX79))),-40,IF(OR(ISNUMBER(SEARCH("Alpine",BX79)),ISNUMBER(SEARCH("BorealForest",BX79)),ISNUMBER(SEARCH("ColdBog",BX79))),-30,IF(OR(ISNUMBER(SEARCH("TemperateForest",BX79)),ISNUMBER(SEARCH("TemperateSwamp",BX79))),-20,IF(_xlfn.XLOOKUP(_xlfn.XLOOKUP(B79,'Base stats'!B:B,'Base stats'!E:E),Groups!A:A,Groups!F:F)=1,-15,IF(OR(ISNUMBER(SEARCH("Desert",BX79)),ISNUMBER(SEARCH("ExtremeDesert",BX79))),-10,IF(OR(ISNUMBER(SEARCH("Grasslands",BX79)),ISNUMBER(SEARCH("TropicalRainforest",BX79)),ISNUMBER(SEARCH("TropicalSwamp",BX79))),10,0)))))))-IF(CC79="False",MIN(IFERROR(MAX(MROUND(LOG10(_xlfn.XLOOKUP(B79,'Base stats'!B:B,'Base stats'!C:C)^(2/3))*10,5),5),5),30))-_xlfn.XLOOKUP(B79,'Base stats'!B:B,'Base stats'!P:P)+IF(CC79="True",5,0)</f>
        <v>-65</v>
      </c>
      <c r="M79" s="2">
        <f>IF(OR(_xlfn.XLOOKUP(_xlfn.XLOOKUP(B79,'Base stats'!B:B,'Base stats'!E:E),Groups!A:A,Groups!G:G)=2,ISNUMBER(SEARCH("Desert",BX79)),ISNUMBER(SEARCH("ExtremeDesert",BX79)),ISNUMBER(SEARCH("LavaField",BX79))),50,IF(ISNUMBER(SEARCH("Grasslands",BX79)),45,IF(OR(_xlfn.XLOOKUP(_xlfn.XLOOKUP(B79,'Base stats'!B:B,'Base stats'!E:E),Groups!A:A,Groups!G:G)=1,ISNUMBER(SEARCH("TropicalRainforest",BX79)),ISNUMBER(SEARCH("TropicalSwamp",BX79))),40,IF(OR(ISNUMBER(SEARCH("TemperateForest",BX79)),ISNUMBER(SEARCH("TemperateSwamp",BX79))),35,IF(OR(ISNUMBER(SEARCH("Alpine",BX79)),ISNUMBER(SEARCH("BorealForest",BX79)),ISNUMBER(SEARCH("ColdBog",BX79))),30,IF(ISNUMBER(OR(ISNUMBER(SEARCH("GlacialPlain",BX79)),SEARCH("Tundra",BX79))),25,IF(OR(ISNUMBER(SEARCH("SeaIce",BX79)),ISNUMBER(SEARCH("IceSheet",BX79)),ISNUMBER(SEARCH("TropicalSwamp",BX79))),10,35)))))))+_xlfn.XLOOKUP(B79,'Base stats'!B:B,'Base stats'!Q:Q)</f>
        <v>35</v>
      </c>
      <c r="N79" s="8" t="str">
        <f>IF(
_xlfn.XLOOKUP(
_xlfn.XLOOKUP(B79,'Base stats'!B:B,'Base stats'!E:E),
Groups!A:A,
Groups!L:L
)=1,
MIN(
MROUND(
IF(
_xlfn.XLOOKUP(B79,'Animals CE'!B:B,'Animals CE'!Z:Z)&lt;=1.5,
_xlfn.XLOOKUP(B79,'Animals CE'!B:B,'Animals CE'!Z:Z)/2+0.05,
0.8+
(_xlfn.XLOOKUP(B79,'Animals CE'!B:B,'Animals CE'!Z:Z)-1.5)
*0.02
),
0.05
),
200%
),
"No"
)</f>
        <v>No</v>
      </c>
      <c r="O79" s="8" t="str">
        <f>IF(
_xlfn.XLOOKUP(
_xlfn.XLOOKUP(B79,'Base stats'!B:B,'Base stats'!E:E),
Groups!A:A,
Groups!L:L
)=1,
MIN(
MROUND(
IF(
_xlfn.XLOOKUP(B79,'Animals CE'!B:B,'Animals CE'!AA:AA)&lt;=1.5,
_xlfn.XLOOKUP(B79,'Animals CE'!B:B,'Animals CE'!AA:AA)/2+0.05,
0.8+
(_xlfn.XLOOKUP(B79,'Animals CE'!B:B,'Animals CE'!AA:AA)-1.5)
*0.02
),
0.05
),
200%
),
"No"
)</f>
        <v>No</v>
      </c>
      <c r="P79" s="2" t="str">
        <f>_xlfn.XLOOKUP(B79,'Base stats'!B:B,'Base stats'!R:R)</f>
        <v>Standard</v>
      </c>
      <c r="Q79" s="13">
        <f>MROUND((LOG10(_xlfn.XLOOKUP(B79,'Base stats'!B:B,'Base stats'!AR:AR))*(AO79^0.5)+(_xlfn.XLOOKUP(B79,'Base stats'!B:B,'Base stats'!AR:AR)/1000)^(2/3)+_xlfn.XLOOKUP(B79,'Base stats'!B:B,'Base stats'!BA:BA)/2)+0.5,0.5)</f>
        <v>40.5</v>
      </c>
      <c r="R79" s="7">
        <f>IF(Q79="No","No",MAX(1,MROUND(_xlfn.XLOOKUP(B79,'Base stats'!B:B,'Base stats'!C:C)^0.165,0.05)))</f>
        <v>4.2</v>
      </c>
      <c r="S79" s="13">
        <f>IF(_xlfn.XLOOKUP(_xlfn.XLOOKUP(B79,'Base stats'!B:B,'Base stats'!E:E),Groups!A:A,Groups!P:P)=0,"No",MROUND((LOG10(_xlfn.XLOOKUP(B79,'Base stats'!B:B,'Base stats'!AS:AS))*(AO79^0.5)+(_xlfn.XLOOKUP(B79,'Base stats'!B:B,'Base stats'!AS:AS)/1000)^(2/3)+_xlfn.XLOOKUP(B79,'Base stats'!B:B,'Base stats'!BA:BA))+_xlfn.XLOOKUP(B79,'Base stats'!B:B,'Base stats'!AY:AY)+0.5,0.5))</f>
        <v>47</v>
      </c>
      <c r="T79" s="7">
        <f>IF(S79="No","No",MAX(_xlfn.XLOOKUP(_xlfn.XLOOKUP(B79,'Base stats'!B:B,'Base stats'!E:E),Groups!A:A,Groups!Q:Q),MROUND(_xlfn.XLOOKUP(_xlfn.XLOOKUP(B79,'Base stats'!B:B,'Base stats'!E:E),Groups!A:A,Groups!Q:Q)*_xlfn.XLOOKUP(B79,'Base stats'!B:B,'Base stats'!C:C)^0.165,0.05)))</f>
        <v>3.8000000000000003</v>
      </c>
      <c r="U79" s="7" t="str">
        <f>IF(S79="No","No",_xlfn.XLOOKUP(_xlfn.XLOOKUP(B79,'Base stats'!B:B,'Base stats'!E:E),Groups!A:A,Groups!R:R))</f>
        <v>FrontLeftLeg, FrontRightLeg</v>
      </c>
      <c r="V79" s="7" t="str">
        <f>IF(S79="No","No",_xlfn.XLOOKUP(_xlfn.XLOOKUP(B79,'Base stats'!B:B,'Base stats'!E:E),Groups!A:A,Groups!S:S))</f>
        <v>left foot, right foot</v>
      </c>
      <c r="W79" s="7" t="str">
        <f>IF(S79="No","No",_xlfn.XLOOKUP(_xlfn.XLOOKUP(B79,'Base stats'!B:B,'Base stats'!E:E),Groups!A:A,Groups!T:T))</f>
        <v>Blunt</v>
      </c>
      <c r="X79" s="13">
        <f>IF(_xlfn.XLOOKUP(B79,'Base stats'!B:B,'Base stats'!W:W)="No","No",MROUND((LOG10(_xlfn.XLOOKUP(B79,'Base stats'!B:B,'Base stats'!AU:AU))*(AO79^0.5)+(_xlfn.XLOOKUP(B79,'Base stats'!B:B,'Base stats'!AU:AU)/1000)^(2/3)+_xlfn.XLOOKUP(B79,'Base stats'!B:B,'Base stats'!AZ:AZ))+0.5+IF(_xlfn.XLOOKUP(_xlfn.XLOOKUP(B79,'Base stats'!B:B,'Base stats'!E:E),Groups!A:A,Groups!U:U)&lt;&gt;3,_xlfn.XLOOKUP(B79,'Base stats'!B:B,'Base stats'!BA:BA),0),0.5))</f>
        <v>41</v>
      </c>
      <c r="Y79" s="7">
        <f>IF(X79="No","No",MAX(_xlfn.XLOOKUP(_xlfn.XLOOKUP(B79,'Base stats'!B:B,'Base stats'!E:E),Groups!A:A,Groups!V:V),MROUND(_xlfn.XLOOKUP(_xlfn.XLOOKUP(B79,'Base stats'!B:B,'Base stats'!E:E),Groups!A:A,Groups!V:V)*_xlfn.XLOOKUP(B79,'Base stats'!B:B,'Base stats'!C:C)^0.165,0.05)))</f>
        <v>2.95</v>
      </c>
      <c r="Z79" s="7" t="str">
        <f>IF(X79="No","No",_xlfn.XLOOKUP(_xlfn.XLOOKUP(B79,'Base stats'!B:B,'Base stats'!E:E),Groups!A:A,Groups!W:W))</f>
        <v>TuskAttackTool</v>
      </c>
      <c r="AA79" s="7" t="str">
        <f>IF(X79="No","No",_xlfn.XLOOKUP(_xlfn.XLOOKUP(B79,'Base stats'!B:B,'Base stats'!E:E),Groups!A:A,Groups!X:X))</f>
        <v>tusk</v>
      </c>
      <c r="AB79" s="7" t="str">
        <f>IF(X79="No","No",_xlfn.XLOOKUP(_xlfn.XLOOKUP(B79,'Base stats'!B:B,'Base stats'!E:E),Groups!A:A,Groups!Y:Y))</f>
        <v>Scratch</v>
      </c>
      <c r="AC79" s="7" t="str">
        <f>_xlfn.XLOOKUP(Animals!B79,'Base stats'!B:B,'Base stats'!X:X)</f>
        <v>False</v>
      </c>
      <c r="AD79" s="13" t="str">
        <f>IF(_xlfn.XLOOKUP(B79,'Base stats'!B:B,'Base stats'!AT:AT)="No","No",MROUND((LOG10(_xlfn.XLOOKUP(B79,'Base stats'!B:B,'Base stats'!AT:AT))*(AO79^0.75)+(_xlfn.XLOOKUP(B79,'Base stats'!B:B,'Base stats'!AT:AT)/1000)^(2/3)+_xlfn.XLOOKUP(B79,'Base stats'!B:B,'Base stats'!AX:AX)+_xlfn.XLOOKUP(B79,'Base stats'!B:B,'Base stats'!BA:BA))+0.5,0.5))</f>
        <v>No</v>
      </c>
      <c r="AE79" s="7" t="str">
        <f>IF(AD79="No","No",MAX(_xlfn.XLOOKUP(_xlfn.XLOOKUP(B79,'Base stats'!B:B,'Base stats'!E:E),Groups!A:A,Groups!Z:Z),MROUND(_xlfn.XLOOKUP(_xlfn.XLOOKUP(B79,'Base stats'!B:B,'Base stats'!E:E),Groups!A:A,Groups!Z:Z)*_xlfn.XLOOKUP(B79,'Base stats'!B:B,'Base stats'!C:C)^0.165,0.05)))</f>
        <v>No</v>
      </c>
      <c r="AF79" s="7" t="str">
        <f>IF(AD79="No","No",_xlfn.XLOOKUP(_xlfn.XLOOKUP(B79,'Base stats'!B:B,'Base stats'!E:E),Groups!A:A,Groups!AA:AA))</f>
        <v>No</v>
      </c>
      <c r="AG79" s="7" t="str">
        <f>IF(AD79="No","No",_xlfn.XLOOKUP(_xlfn.XLOOKUP(B79,'Base stats'!B:B,'Base stats'!E:E),Groups!A:A,Groups!AB:AB))</f>
        <v>No</v>
      </c>
      <c r="AH79" s="7" t="str">
        <f>IF(AD79="No","No",_xlfn.XLOOKUP(_xlfn.XLOOKUP(B79,'Base stats'!B:B,'Base stats'!E:E),Groups!A:A,Groups!AC:AC))</f>
        <v>No</v>
      </c>
      <c r="AI79" s="13" t="str">
        <f>IF(_xlfn.XLOOKUP(_xlfn.XLOOKUP(B79,'Base stats'!B:B,'Base stats'!E:E),Groups!A:A,Groups!AD:AD)=0,"No",MROUND((LOG10(_xlfn.XLOOKUP(B79,'Base stats'!B:B,'Base stats'!AS:AS))*(AO79^0.75)+(_xlfn.XLOOKUP(B79,'Base stats'!B:B,'Base stats'!AS:AS)/1000)^(2/3)+_xlfn.XLOOKUP(B79,'Base stats'!B:B,'Base stats'!AY:AY)+_xlfn.XLOOKUP(B79,'Base stats'!B:B,'Base stats'!BA:BA))+0.5,0.5))</f>
        <v>No</v>
      </c>
      <c r="AJ79" s="7" t="str">
        <f>IF(AI79="No","No",MAX(_xlfn.XLOOKUP(_xlfn.XLOOKUP(B79,'Base stats'!B:B,'Base stats'!E:E),Groups!A:A,Groups!AE:AE),MROUND(_xlfn.XLOOKUP(_xlfn.XLOOKUP(B79,'Base stats'!B:B,'Base stats'!E:E),Groups!A:A,Groups!AE:AE)*IF(_xlfn.XLOOKUP(_xlfn.XLOOKUP(B79,'Base stats'!B:B,'Base stats'!E:E),Groups!A:A,Groups!AJ:AJ)="Photonozoa",0.6,1)*_xlfn.XLOOKUP(B79,'Base stats'!B:B,'Base stats'!C:C)^0.165,0.05)))</f>
        <v>No</v>
      </c>
      <c r="AK79" s="7" t="str">
        <f>IF(AI79="No","No",_xlfn.XLOOKUP(_xlfn.XLOOKUP(B79,'Base stats'!B:B,'Base stats'!E:E),Groups!A:A,Groups!AF:AF))</f>
        <v>No</v>
      </c>
      <c r="AL79" s="7" t="str">
        <f>IF(AI79="No","No",_xlfn.XLOOKUP(_xlfn.XLOOKUP(B79,'Base stats'!B:B,'Base stats'!E:E),Groups!A:A,Groups!AG:AG))</f>
        <v>No</v>
      </c>
      <c r="AM79" s="7" t="str">
        <f>IF(AI79="No","No",_xlfn.XLOOKUP(_xlfn.XLOOKUP(B79,'Base stats'!B:B,'Base stats'!E:E),Groups!A:A,Groups!AH:AH))</f>
        <v>No</v>
      </c>
      <c r="AN79" s="2" t="str">
        <f t="shared" si="7"/>
        <v>No</v>
      </c>
      <c r="AO79" s="2">
        <f>MROUND(IF(AND(_xlfn.XLOOKUP(B79,'Base stats'!B:B,'Base stats'!C:C)&gt;=0.5,_xlfn.XLOOKUP(B79,'Base stats'!B:B,'Base stats'!C:C)&lt;=0.8),
IF(_xlfn.XLOOKUP(B79,'Base stats'!B:B,'Base stats'!C:C)&lt;0.1,0.05,IF(_xlfn.XLOOKUP(B79,'Base stats'!B:B,'Base stats'!C:C)&lt;=70,(_xlfn.XLOOKUP(B79,'Base stats'!B:B,'Base stats'!C:C)/70)^0.426489913056526,IF(_xlfn.XLOOKUP(B79,'Base stats'!B:B,'Base stats'!C:C)&lt;=400,(_xlfn.XLOOKUP(B79,'Base stats'!B:B,'Base stats'!C:C)/70)^0.572811455315093,IF(_xlfn.XLOOKUP(B79,'Base stats'!B:B,'Base stats'!C:C)&lt;=2000,2.71391647193063*(_xlfn.XLOOKUP(B79,'Base stats'!B:B,'Base stats'!C:C)/400)^0.252459582904293,3.74314280240376*(_xlfn.XLOOKUP(B79,'Base stats'!B:B,'Base stats'!C:C)/2000)^0.357012633876913)))),
IF(_xlfn.XLOOKUP(B79,'Base stats'!B:B,'Base stats'!C:C)&lt;0.1,0.05,IF(_xlfn.XLOOKUP(B79,'Base stats'!B:B,'Base stats'!C:C)&lt;0.4,0.1,IF(_xlfn.XLOOKUP(B79,'Base stats'!B:B,'Base stats'!C:C)&lt;=70,(_xlfn.XLOOKUP(B79,'Base stats'!B:B,'Base stats'!C:C)/70)^0.445823913056526,IF(_xlfn.XLOOKUP(B79,'Base stats'!B:B,'Base stats'!C:C)&lt;=400,(_xlfn.XLOOKUP(B79,'Base stats'!B:B,'Base stats'!C:C)/70)^0.572811455315093,IF(_xlfn.XLOOKUP(B79,'Base stats'!B:B,'Base stats'!C:C)&lt;=2000,2.71391647193063*(_xlfn.XLOOKUP(B79,'Base stats'!B:B,'Base stats'!C:C)/400)^0.252459582904293,3.74314280240376*(_xlfn.XLOOKUP(B79,'Base stats'!B:B,'Base stats'!C:C)/2000)^0.357012633876913)))))),
IF(_xlfn.XLOOKUP(B79,'Base stats'!B:B,'Base stats'!C:C)&lt;0.1,0.05,IF(_xlfn.XLOOKUP(B79,'Base stats'!B:B,'Base stats'!C:C)&lt;=100,0.05,IF(_xlfn.XLOOKUP(B79,'Base stats'!B:B,'Base stats'!C:C)&lt;=250,0.1,IF(_xlfn.XLOOKUP(B79,'Base stats'!B:B,'Base stats'!C:C)&lt;=4000,0.25,0.5)))))</f>
        <v>5.5</v>
      </c>
      <c r="AP79" s="8">
        <f>MROUND(AO79*_xlfn.XLOOKUP(_xlfn.XLOOKUP(B79,'Base stats'!B:B,'Base stats'!E:E),Groups!A:A,Groups!AI:AI)*_xlfn.XLOOKUP(B79,'Base stats'!B:B,'Base stats'!Z:Z),0.05)</f>
        <v>5.5</v>
      </c>
      <c r="AQ79" s="8">
        <f>MAX(0.01,MROUND(IF(CC79="True",0.196*(AO79*100*1000)^0.889,IF(_xlfn.XLOOKUP(_xlfn.XLOOKUP(B79,'Base stats'!B:B,'Base stats'!E:E),Groups!A:A,Groups!AJ:AJ)="Bird",10.5*(AO79*100*1000)^0.681,4.82*(AO79*100*1000)^0.734))/(4.82*(1*100*1000)^0.734)/IF(AO79&lt;3.5,2,IF(AO79=3.5,1.5,1.25))*(1+0.132282374779864/(AO79^0.994035016789033+0.00905238001496948)),0.05))</f>
        <v>2.85</v>
      </c>
      <c r="AR79" s="9">
        <f>IFERROR(MROUND(_xlfn.XLOOKUP(B79,'Base stats'!B:B,'Base stats'!H:H)/IF(_xlfn.XLOOKUP(B79,'Base stats'!B:B,'Base stats'!I:I)&lt;&gt;1,(122.5/70),1.2),IF(_xlfn.XLOOKUP(B79,'Base stats'!B:B,'Base stats'!H:H)&gt;=30,5,IF(_xlfn.XLOOKUP(B79,'Base stats'!B:B,'Base stats'!H:H)&gt;=15,3,IF(_xlfn.XLOOKUP(B79,'Base stats'!B:B,'Base stats'!H:H)&gt;=10,2,1)))),"Immortal")</f>
        <v>55</v>
      </c>
      <c r="AS79" s="35">
        <f>IFERROR(IF(OR(_xlfn.XLOOKUP(B79,'Base stats'!B:B,'Base stats'!F:F)="Atypical reproduction",_xlfn.XLOOKUP(B79,'Base stats'!B:B,'Base stats'!F:F)="Lay eggs"),"Lay eggs",MIN(20,MAX(5.5,ROUND(((_xlfn.XLOOKUP(B79,'Base stats'!B:B,'Base stats'!F:F)-25)*(14.5/615) + 5.5)*2,0)/2))),"Unknown")</f>
        <v>20</v>
      </c>
      <c r="AT79" s="8">
        <f>IF(_xlfn.XLOOKUP(B79,'Base stats'!B:B,'Base stats'!G:G)="Atypical reproduction","No",IFERROR(MAX(IF(_xlfn.XLOOKUP(B79,'Base stats'!B:B,'Base stats'!G:G)&lt;0.5,0.2,0.3),MROUND(_xlfn.XLOOKUP(B79,'Base stats'!B:B,'Base stats'!G:G)/(365/60),0.2)),"Unknown"))</f>
        <v>1.8</v>
      </c>
      <c r="AU79" s="8">
        <f t="shared" si="8"/>
        <v>0.9</v>
      </c>
      <c r="AV79" s="8">
        <f>IFERROR(IFERROR(MROUND(_xlfn.XLOOKUP(B79,'Base stats'!B:B,'Base stats'!J:J),0.1),"Lay eggs"),"Cannot breed")</f>
        <v>1</v>
      </c>
      <c r="AW79" s="2" t="str">
        <f t="shared" si="9"/>
        <v>true</v>
      </c>
      <c r="AX79" s="2" t="str">
        <f>IF(_xlfn.XLOOKUP(_xlfn.XLOOKUP(Animals!B79,'Base stats'!B:B,'Base stats'!E:E),Groups!A:A,Groups!AK:AK)=1,"true","false")</f>
        <v>true</v>
      </c>
      <c r="AY79" s="25" t="str">
        <f>IF(_xlfn.XLOOKUP(B79,'Base stats'!B:B,'Base stats'!Y:Y)="Liquor","Liquor, CarnivoreAnimalStrict",IF(AND(_xlfn.XLOOKUP(B79,'Base stats'!B:B,'Base stats'!Y:Y)="Carnivore",_xlfn.XLOOKUP(_xlfn.XLOOKUP(B79,'Base stats'!B:B,'Base stats'!E:E),Groups!A:A,Groups!AJ:AJ)="Photonozoa"),"CarnivoreAnimalStrict, OvivoreAnimal",IF(_xlfn.XLOOKUP(B79,'Base stats'!B:B,'Base stats'!Y:Y)="Carnivore","CarnivoreAnimal, OvivoreAnimal",IF(_xlfn.XLOOKUP(B79,'Base stats'!B:B,'Base stats'!Y:Y)="Dendrovore","VegetarianRoughAnimal, DendrovoreAnimal",IF(_xlfn.XLOOKUP(B79,'Base stats'!B:B,'Base stats'!Y:Y)="Herbivore","VegetarianRoughAnimal",IF(_xlfn.XLOOKUP(B79,'Base stats'!B:B,'Base stats'!Y:Y)="OmnivoreRough","OmnivoreRoughAnimal, OvivoreAnimal","OmnivoreAnimal, OvivoreAnimal"))))))</f>
        <v>VegetarianRoughAnimal</v>
      </c>
      <c r="AZ79" s="2" t="str">
        <f>IF(_xlfn.XLOOKUP(_xlfn.XLOOKUP(B79,'Base stats'!B:B,'Base stats'!E:E),Groups!A:A,Groups!D:D)=1,MROUND((1-J79)*5+1,2)*IF(J79&lt;=0.4,2,1),"No")</f>
        <v>No</v>
      </c>
      <c r="BA79" s="2" t="str">
        <f>IF(AND(_xlfn.XLOOKUP(B79,'Base stats'!B:B,'Base stats'!AH:AH)="&lt;li&gt;Seal&lt;/li&gt;",G79="Odyssey"),"&lt;li&gt;AEXP_Seal&lt;/li&gt;",_xlfn.XLOOKUP(B79,'Base stats'!B:B,'Base stats'!AH:AH))</f>
        <v>&lt;li&gt;Elephant&lt;/li&gt;</v>
      </c>
      <c r="BB79" s="2" t="str">
        <f>_xlfn.XLOOKUP(B79,'Base stats'!B:B,'Base stats'!AG:AG)</f>
        <v>Leather_Mastodon</v>
      </c>
      <c r="BC79" s="23" t="str">
        <f>_xlfn.XLOOKUP(_xlfn.XLOOKUP(B79,'Base stats'!B:B,'Base stats'!E:E),Groups!A:A,Groups!AL:AL)</f>
        <v>QuadrupedAnimalWithHoovesTusksAndTrunk</v>
      </c>
      <c r="BD79" s="23">
        <f>MIN(1,MROUND(IF(AND(AO79&lt;0.5,_xlfn.XLOOKUP(B79,'Base stats'!B:B,'Base stats'!AA:AA)=0),0,IF(OR(_xlfn.XLOOKUP(Animals!B79,'Base stats'!B:B,'Base stats'!O:O)=2,_xlfn.XLOOKUP(_xlfn.XLOOKUP(B79,'Base stats'!B:B,'Base stats'!E:E),Groups!A:A,Groups!AN:AN)=0),0,_xlfn.XLOOKUP(_xlfn.XLOOKUP(B79,'Base stats'!B:B,'Base stats'!E:E),Groups!A:A,Groups!AN:AN)/IF(_xlfn.XLOOKUP(Animals!B79,'Base stats'!B:B,'Base stats'!O:O)=1,2,1)))+_xlfn.XLOOKUP(B79,'Base stats'!B:B,'Base stats'!AC:AC),0.005))</f>
        <v>2.5000000000000001E-2</v>
      </c>
      <c r="BE79" s="23">
        <f>MIN(1,MROUND(IF(AND(AO79&lt;0.5,_xlfn.XLOOKUP(B79,'Base stats'!B:B,'Base stats'!AA:AA)=0),0,IF(_xlfn.XLOOKUP(_xlfn.XLOOKUP(B79,'Base stats'!B:B,'Base stats'!E:E),Groups!A:A,Groups!AO:AO)=0,0,_xlfn.XLOOKUP(_xlfn.XLOOKUP(B79,'Base stats'!B:B,'Base stats'!E:E),Groups!A:A,Groups!AO:AO)/IF(_xlfn.XLOOKUP(Animals!B79,'Base stats'!B:B,'Base stats'!O:O)=2,3,1)))+_xlfn.XLOOKUP(B79,'Base stats'!B:B,'Base stats'!AD:AD),0.005))</f>
        <v>0.3</v>
      </c>
      <c r="BF79" s="2" t="str">
        <f>IF(J79&gt;0.3,"No",_xlfn.XLOOKUP(_xlfn.XLOOKUP(Animals!B79,'Base stats'!B:B,'Base stats'!E:E),Groups!A:A,Groups!AP:AP))</f>
        <v>No</v>
      </c>
      <c r="BG79" s="2" t="str">
        <f>IF(AND(J79&lt;=0.65,_xlfn.XLOOKUP(_xlfn.XLOOKUP(Animals!B79,'Base stats'!B:B,'Base stats'!E:E),Groups!A:A,Groups!AP:AP)&lt;&gt;"No",_xlfn.XLOOKUP(_xlfn.XLOOKUP(B79,'Base stats'!B:B,'Base stats'!E:E),Groups!A:A,Groups!D:D)=0),MROUND((80/3)*IF(_xlfn.XLOOKUP(B79,'Base stats'!B:B,'Base stats'!O:O)=2,0.2,AO79) + 24*(1-IF(BF79="No",0,BF79)) + 16/3, 12),"No")</f>
        <v>No</v>
      </c>
      <c r="BH79" s="2">
        <f>IF(AND(_xlfn.XLOOKUP(_xlfn.XLOOKUP(B79,'Base stats'!B:B,'Base stats'!E:E),Groups!A:A,Groups!AQ:AQ)=1,AO79&lt;=0.35),8,12)</f>
        <v>12</v>
      </c>
      <c r="BI79" s="2" t="str">
        <f>IF(_xlfn.XLOOKUP(_xlfn.XLOOKUP(B79,'Base stats'!B:B,'Base stats'!E:E),Groups!A:A,Groups!D:D)=0,_xlfn.XLOOKUP(_xlfn.XLOOKUP(B79,'Base stats'!B:B,'Base stats'!E:E),Groups!A:A,Groups!AR:AR),"None")</f>
        <v>Advanced</v>
      </c>
      <c r="BJ79" s="2" t="str">
        <f>IF(AND(_xlfn.XLOOKUP(_xlfn.XLOOKUP(B79,'Base stats'!B:B,'Base stats'!E:E),Groups!A:A,Groups!AS:AS)=1,OR(_xlfn.XLOOKUP(B79,'Base stats'!B:B,'Base stats'!Y:Y)="Carnivore",_xlfn.XLOOKUP(B79,'Base stats'!B:B,'Base stats'!Y:Y)="Omnivore")),"true","false")</f>
        <v>false</v>
      </c>
      <c r="BK79" s="2" t="str">
        <f>IF(BJ79="true",MROUND(IF(AND(AO79&gt;0.5,OR(_xlfn.XLOOKUP(_xlfn.XLOOKUP(B79,'Base stats'!B:B,'Base stats'!E:E),Groups!A:A,Groups!AJ:AJ)="Photonozoa",_xlfn.XLOOKUP(_xlfn.XLOOKUP(B79,'Base stats'!B:B,'Base stats'!E:E),Groups!A:A,Groups!AJ:AJ)="Mammal")),Animals!AO79*1.75*IF(AW79="true",1.5,1),IF(AO79&lt;0.5,Animals!AO79*0.5,Animals!AO79)),IF(AO79&gt;2,0.5,IF(AO79&gt;0.5,0.25,0.1))),"No")</f>
        <v>No</v>
      </c>
      <c r="BL79" s="2">
        <f t="shared" si="10"/>
        <v>1</v>
      </c>
      <c r="BM79" s="25" t="str">
        <f>IF(_xlfn.XLOOKUP(B79,'Base stats'!B:B,'Base stats'!AN:AN)="Standard","No",MROUND((_xlfn.XLOOKUP(B79,'Base stats'!B:B,'Base stats'!AN:AN)/3.6)/I79,0.1))</f>
        <v>No</v>
      </c>
      <c r="BN79" s="25" t="str">
        <f t="shared" si="11"/>
        <v>false</v>
      </c>
      <c r="BO79" s="25" t="str">
        <f>IF(AND(OR(_xlfn.XLOOKUP(B79,'Base stats'!B:B,'Base stats'!Y:Y)="Carnivore",_xlfn.XLOOKUP(B79,'Base stats'!B:B,'Base stats'!Y:Y)="Omnivore",_xlfn.XLOOKUP(B79,'Base stats'!B:B,'Base stats'!Y:Y)="OmnivoreRough"),_xlfn.XLOOKUP(_xlfn.XLOOKUP(B79,'Base stats'!B:B,'Base stats'!E:E),Groups!A:A,Groups!AT:AT)=1),"true","false")</f>
        <v>false</v>
      </c>
      <c r="BP79" s="25" t="str" cm="1">
        <f t="array" ref="BP79">IF(
  _xlfn.TEXTJOIN(", ",TRUE,
    IF(AND(BJ79="true",AO79&gt;0.5,BI79&lt;&gt;"None"),"AttackTarget",""),
    IF(AND(_xlfn.XLOOKUP(_xlfn.XLOOKUP(B79,'Base stats'!B:B,'Base stats'!E:E),Groups!A:A,Groups!AJ:AJ="Mammal"),OR(_xlfn.XLOOKUP(B79,'Base stats'!B:B,'Base stats'!Y:Y)="Omnivore",_xlfn.XLOOKUP(B79,'Base stats'!B:B,'Base stats'!Y:Y)="OmnivoreRough")),"Forage",""),
    IF(BG79&lt;=36,"Comfort",""),
    IF(_xlfn.XLOOKUP(B79,'Base stats'!B:B,'Base stats'!AE:AE)&lt;&gt;"No",_xlfn.XLOOKUP(B79,'Base stats'!B:B,'Base stats'!AE:AE),"")
  ) = "",
  "No",
  _xlfn.TEXTJOIN(", ",TRUE,
    IF(AND(BJ79="true",AO79&gt;0.5,BI79&lt;&gt;"None"),"AttackTarget",""),
    IF(AND(_xlfn.XLOOKUP(_xlfn.XLOOKUP(B79,'Base stats'!B:B,'Base stats'!E:E),Groups!A:A,Groups!AJ:AJ="Mammal"),OR(_xlfn.XLOOKUP(B79,'Base stats'!B:B,'Base stats'!Y:Y)="Omnivore",_xlfn.XLOOKUP(B79,'Base stats'!B:B,'Base stats'!Y:Y)="OmnivoreRough")),"Forage",""),
    IF(BG79&lt;=36,"Comfort",""),
    IF(_xlfn.XLOOKUP(B79,'Base stats'!B:B,'Base stats'!AE:AE)&lt;&gt;"No",_xlfn.XLOOKUP(B79,'Base stats'!B:B,'Base stats'!AE:AE),"")
  )
)</f>
        <v>WarTrumpet</v>
      </c>
      <c r="BQ79" s="25" t="str">
        <f>IF(
   AND(
      'Base stats'!AN79="Standard",_xlfn.XLOOKUP(_xlfn.XLOOKUP(B79,'Base stats'!B:B,'Base stats'!E:E),Groups!A:A,Groups!AU:AU)=0,
      OR(
      BO79="True"
      )
   ),
   10,
   IF(
       OR(BM79&lt;&gt;"No",_xlfn.XLOOKUP(_xlfn.XLOOKUP(B79,'Base stats'!B:B,'Base stats'!E:E),Groups!A:A,Groups!AU:AU)=1),
      1,
      "No"
   )
)</f>
        <v>No</v>
      </c>
      <c r="BR79" s="9">
        <f>MROUND((1 + ((0.2*IF(OR(Q79="No",R79="No",R79=0),0,Q79/R79)
+IF(OR(V79="No",S79="No",T79="No"),0,S79/T79*(LEN(V79)-LEN(SUBSTITUTE(V79,",",""))+1))
+IF(OR(X79="No",Y79="No"),0,X79/Y79)
+IF(OR(AD79="No",AE79="No"),0,AD79/AE79)
+IF(OR(AL79="No",AI79="No",AJ79="No"),0,AI79/AJ79*(LEN(AL79)-LEN(SUBSTITUTE(AL79,",",""))+1))
)/(0.2*IF(OR(Q79="No",R79="No",R79=0),0,1)
+IF(OR(V79="No",S79="No",T79="No"),0,LEN(V79)-LEN(SUBSTITUTE(V79,",",""))+1)
+IF(OR(X79="No",Y79="No"),0,1)
+IF(OR(AD79="No",AE79="No"),0,1)
+IF(OR(AL79="No",AI79="No",AJ79="No"),0,LEN(AL79)-LEN(SUBSTITUTE(AL79,",",""))+1))*62%)* 2)*(1 + (AP79 / (IF(_xlfn.XLOOKUP(_xlfn.XLOOKUP(B79,'Base stats'!B:B,'Base stats'!E:E),Groups!A:A,Groups!AJ:AJ)="Photonozoa",0.3,1)) + _xlfn.XLOOKUP(B79,'Base stats'!B:B,'Base stats'!AV:AV) * 1.8) * 2) * 2.5 + 10 + I79 * 2,5)+IF(_xlfn.XLOOKUP(B79,'Base stats'!B:B,'Base stats'!AK:AK)=1,50,0)</f>
        <v>520</v>
      </c>
      <c r="BS79" s="8">
        <f t="shared" si="12"/>
        <v>3.4000000000000004</v>
      </c>
      <c r="BT79" s="8" t="str">
        <f>_xlfn.XLOOKUP(B79,'Base stats'!B:B,'Base stats'!AF:AF)</f>
        <v>3~10</v>
      </c>
      <c r="BU79" s="2" t="str">
        <f>IF(AND(J79&lt;=0.95,OR(_xlfn.XLOOKUP(B79,'Base stats'!B:B,'Base stats'!AK:AK)=1,_xlfn.XLOOKUP(B79,'Base stats'!B:B,'Base stats'!Y:Y)="Carnivore",_xlfn.XLOOKUP(B79,'Base stats'!B:B,'Base stats'!Y:Y)="Omnivore",BE79&gt;0.1)),"true","false")</f>
        <v>true</v>
      </c>
      <c r="BV79" s="2" t="str">
        <f>IF(_xlfn.XLOOKUP(B79,'Base stats'!B:B,'Base stats'!AI:AI)=1,"true","false")</f>
        <v>true</v>
      </c>
      <c r="BW79" s="25" t="str">
        <f>IF(E79="BaseInsect","AnimalInsect",
IF(J79&gt;0.95,"AnimalExotic",
_xlfn.TEXTJOIN(", ",TRUE,
IF(OR(_xlfn.XLOOKUP(B79,'Base stats'!B:B,'Base stats'!AM:AM)=1,AND(_xlfn.XLOOKUP(B79,'Base stats'!B:B,'Base stats'!O:O)=0,_xlfn.XLOOKUP(_xlfn.XLOOKUP(B79,'Base stats'!B:B,'Base stats'!E:E),Groups!A:A,Groups!B:B)&gt;0)),"AnimalUncommon","AnimalCommon"),
IF(AND(_xlfn.XLOOKUP(B79,'Base stats'!B:B,'Base stats'!O:O)=2,_xlfn.XLOOKUP(_xlfn.XLOOKUP(B79,'Base stats'!B:B,'Base stats'!E:E),Groups!A:A,Groups!D:D)=0),"AnimalPet",IF(AND(_xlfn.XLOOKUP(B79,'Base stats'!B:B,'Base stats'!O:O)&lt;&gt;0,_xlfn.XLOOKUP(_xlfn.XLOOKUP(B79,'Base stats'!B:B,'Base stats'!E:E),Groups!A:A,Groups!D:D)&lt;&gt;0),"AnimalFarm","")),
IF(OR(_xlfn.XLOOKUP(B79,'Base stats'!B:B,'Base stats'!AK:AK)=1,AND(BI79&lt;&gt;"None",BR79&gt;=60),ISNUMBER(SEARCH("Attack target",BP79))),"AnimalFighter","")
)))</f>
        <v>AnimalUncommon, AnimalFighter</v>
      </c>
      <c r="BX79" s="25" t="str">
        <f>IF(G79="None",TRIM(
SUBSTITUTE(
IF(COUNTIF(Biomes!B$2:B$259,"="&amp;$C79)&gt;0,Biomes!B$1&amp;", ","")&amp;
IF(COUNTIF(Biomes!C$2:C$259,"="&amp;$C79)&gt;0,Biomes!C$1&amp;", ","")&amp;
IF(COUNTIF(Biomes!D$2:D$259,"="&amp;$C79)&gt;0,Biomes!D$1&amp;", ","")&amp;
IF(COUNTIF(Biomes!F$2:F$259,"="&amp;$C79)&gt;0,Biomes!F$1&amp;", ","")&amp;
IF(COUNTIF(Biomes!G$2:G$259,"="&amp;$C79)&gt;0,Biomes!G$1&amp;", ","")&amp;
IF(COUNTIF(Biomes!H$2:H$259,"="&amp;$C79)&gt;0,Biomes!H$1&amp;", ","")&amp;
IF(COUNTIF(Biomes!I$2:I$259,"="&amp;$C79)&gt;0,Biomes!I$1&amp;", ","")&amp;
IF(COUNTIF(Biomes!J$2:J$259,"="&amp;$C79)&gt;0,Biomes!J$1&amp;", ","")&amp;
IF(COUNTIF(Biomes!M$2:M$259,"="&amp;$C79)&gt;0,Biomes!M$1&amp;", ","")&amp;
IF(COUNTIF(Biomes!N$2:N$259,"="&amp;$C79)&gt;0,Biomes!N$1&amp;", ","")&amp;
IF(COUNTIF(Biomes!O$2:O$259,"="&amp;$C79)&gt;0,Biomes!O$1&amp;", ","")&amp;
IF(COUNTIF(Biomes!P$2:P$259,"="&amp;$C79)&gt;0,Biomes!P$1&amp;", ","")&amp;
IF(COUNTIF(Biomes!K$2:K$259,"="&amp;$C79)&gt;0,Biomes!K$1&amp;", ","")&amp;
IF(COUNTIF(Biomes!Q$3:Q$259,"="&amp;$C79)&gt;0,Biomes!Q$1&amp;", ","")&amp;
IF(COUNTIF(Biomes!L$2:L$259,"="&amp;$C79)&gt;0,Biomes!L$1&amp;", ","")&amp;
IF(COUNTIF(Biomes!E$2:E$259,"="&amp;$C79)&gt;0,Biomes!E$1&amp;", ","")&amp;IF(COUNTIF(Biomes!S$2:S$259,"="&amp;$C79)&gt;0,Biomes!S$1&amp;", ","")&amp;
IF(COUNTIF(Biomes!R$2:R$259,"="&amp;$C79)&gt;0,Biomes!R$1&amp;", ",""),", ","")
),_xlfn.XLOOKUP(B79,B:B,BX:BX))</f>
        <v>GlacialPlain</v>
      </c>
      <c r="BY79" s="25" t="str">
        <f>IF(_xlfn.XLOOKUP(B79,'Base stats'!B:B,'Base stats'!AJ:AJ)=1,"true","false")</f>
        <v>false</v>
      </c>
      <c r="BZ79" s="25">
        <f>IF(_xlfn.XLOOKUP(B79,'Base stats'!B:B,'Base stats'!N:N)=1,"No",MAX(0.001,MIN(MROUND(IF(AND(BJ79="True",CC79="False"),POWER(10,3.47*LOG10(_xlfn.XLOOKUP(B79,'Base stats'!B:B,'Base stats'!C:C)*1000)^-0.96),POWER(10,4.15*LOG10(_xlfn.XLOOKUP(B79,'Base stats'!B:B,'Base stats'!C:C)*1000)^-0.73))*IF(_xlfn.XLOOKUP(B79,'Base stats'!B:B,'Base stats'!AK:AK)=1,0.5,1)*IF(_xlfn.XLOOKUP(B79,'Base stats'!B:B,'Base stats'!AM:AM)=1,0.1,1)/100,IF(_xlfn.XLOOKUP(B79,'Base stats'!B:B,'Base stats'!AM:AM)=1,0.001,0.025)),0.5)))</f>
        <v>0.1</v>
      </c>
      <c r="CA79" s="25" t="str">
        <f>IF(P79="Standard","No",MAX(0.001,MIN(MROUND(IF(AND(BJ79="True",CC79="False"),POWER(10,3.47*LOG10(_xlfn.XLOOKUP(B79,'Base stats'!B:B,'Base stats'!C:C)*1000)^-0.96),POWER(10,4.15*LOG10(_xlfn.XLOOKUP(B79,'Base stats'!B:B,'Base stats'!C:C)*1000)^-0.73))*IF(_xlfn.XLOOKUP(B79,'Base stats'!B:B,'Base stats'!AM:AM)=1,0.1,1)*_xlfn.XLOOKUP(B79,'Base stats'!B:B,'Base stats'!R:R)/100,IF(_xlfn.XLOOKUP(B79,'Base stats'!B:B,'Base stats'!AM:AM)=1,0.001,0.025)),0.5)))</f>
        <v>No</v>
      </c>
      <c r="CB79" s="25" t="str">
        <f>IF(_xlfn.XLOOKUP(_xlfn.XLOOKUP(B79,'Base stats'!B:B,'Base stats'!E:E),Groups!A:A,Groups!AJ:AJ)="Mammal","True","False")</f>
        <v>True</v>
      </c>
      <c r="CC79" s="25" t="str">
        <f>IF(OR(_xlfn.XLOOKUP(_xlfn.XLOOKUP(B79,'Base stats'!B:B,'Base stats'!E:E),Groups!A:A,Groups!AJ:AJ)="Reptile",_xlfn.XLOOKUP(_xlfn.XLOOKUP(B79,'Base stats'!B:B,'Base stats'!E:E),Groups!A:A,Groups!AJ:AJ)="Amphibian",_xlfn.XLOOKUP(_xlfn.XLOOKUP(B79,'Base stats'!B:B,'Base stats'!E:E),Groups!A:A,Groups!AJ:AJ)="Invertebrate"),"True","False")</f>
        <v>False</v>
      </c>
      <c r="CD79" s="25" t="str">
        <f t="shared" si="13"/>
        <v>False</v>
      </c>
      <c r="CE79" s="25" t="str">
        <f>IF(_xlfn.XLOOKUP(_xlfn.XLOOKUP(B79,'Base stats'!B:B,'Base stats'!E:E),Groups!A:A,Groups!AX:AX),"True","False")</f>
        <v>False</v>
      </c>
      <c r="CF79" s="25" t="str">
        <f>IF(_xlfn.XLOOKUP(_xlfn.XLOOKUP(B79,'Base stats'!B:B,'Base stats'!E:E),Groups!A:A,Groups!AY:AY),"True","False")</f>
        <v>False</v>
      </c>
      <c r="CG79" s="25" t="str">
        <f>IF(_xlfn.XLOOKUP(_xlfn.XLOOKUP(B79,'Base stats'!B:B,'Base stats'!E:E),Groups!A:A,Groups!AW:AW),"True","False")</f>
        <v>False</v>
      </c>
      <c r="CH79" s="25" t="str">
        <f>IF(
OR(
_xlfn.XLOOKUP(_xlfn.XLOOKUP(B79,'Base stats'!B:B,'Base stats'!E:E),Groups!A:A,Groups!AZ:AZ)=0,
AND(
_xlfn.XLOOKUP(B79,'Base stats'!B:B,'Base stats'!Y:Y)&lt;&gt;"Carnivore",
_xlfn.XLOOKUP(B79,'Base stats'!B:B,'Base stats'!Y:Y)&lt;&gt;"Omnivore",
_xlfn.XLOOKUP(B79,'Base stats'!B:B,'Base stats'!Y:Y)&lt;&gt;"OmnivoreRough"
)
),
"No",
IF(
_xlfn.XLOOKUP(_xlfn.XLOOKUP(B79,'Base stats'!B:B,'Base stats'!E:E),Groups!A:A,Groups!AZ:AZ)=1,
"Flesh",
IF(
_xlfn.XLOOKUP(_xlfn.XLOOKUP(B79,'Base stats'!B:B,'Base stats'!E:E),Groups!A:A,Groups!AZ:AZ)=2,
"Bone",
""
)
)
)</f>
        <v>No</v>
      </c>
      <c r="CI79" s="25" t="str">
        <f>IF(_xlfn.XLOOKUP(_xlfn.XLOOKUP(B79,'Base stats'!B:B,'Base stats'!E:E),Groups!A:A,Groups!BB:BB),"True","False")</f>
        <v>True</v>
      </c>
      <c r="CJ79" s="25" t="str">
        <f>IF(_xlfn.XLOOKUP(_xlfn.XLOOKUP(B79,'Base stats'!B:B,'Base stats'!E:E),Groups!A:A,Groups!BA:BA),"True","False")</f>
        <v>False</v>
      </c>
    </row>
    <row r="80" spans="1:88" ht="16.5" thickTop="1" thickBot="1" x14ac:dyDescent="0.3">
      <c r="A80" s="26" t="str">
        <f>_xlfn.XLOOKUP(B80,'Base stats'!B:B,'Base stats'!A:A)</f>
        <v>AlphaThrumbo</v>
      </c>
      <c r="B80" s="6" t="s">
        <v>1095</v>
      </c>
      <c r="C80" s="28" t="s">
        <v>760</v>
      </c>
      <c r="D80" s="28" t="s">
        <v>870</v>
      </c>
      <c r="E80" s="28" t="s">
        <v>673</v>
      </c>
      <c r="F80" s="28" t="s">
        <v>673</v>
      </c>
      <c r="G80" s="28" t="s">
        <v>673</v>
      </c>
      <c r="H80" s="2">
        <f>MROUND((
  (IF(AND(_xlfn.XLOOKUP(B80,'Base stats'!B:B,'Base stats'!AL:AL)=0,BI80="None",_xlfn.XLOOKUP(_xlfn.XLOOKUP(B80,'Base stats'!B:B,'Base stats'!E:E),Groups!A:A,Groups!B:B)=0), (18 + BR80 * 2.7) * 0.5,
    IF(AND(_xlfn.XLOOKUP(B80,'Base stats'!B:B,'Base stats'!AL:AL)=0,OR(AO80&lt;0.55,AND(BI80="Intermediate",_xlfn.XLOOKUP(_xlfn.XLOOKUP(B80,'Base stats'!B:B,'Base stats'!E:E),Groups!A:A,Groups!B:B)&lt;2))), (18 + BR80 * 2.7),
      IF(OR(BI80="Advanced",_xlfn.XLOOKUP(B80,'Base stats'!B:B,'Base stats'!AL:AL)=1,_xlfn.XLOOKUP(_xlfn.XLOOKUP(B80,'Base stats'!B:B,'Base stats'!E:E),Groups!A:A,Groups!B:B)=2), (18 + BR80 * 2.7) + 250, (18 + BR80 * 2.7))
    )
  ))
  + AO80 * 80
  + IF(COUNTIF(EggMilk!K$2:K$998, A80) &gt; 0, 125, 0)
  + IF(COUNTIF(EggMilk!P$2:P$998, A80) &gt; 0, 90, 0)
  + IF(COUNTIF(EggMilk!A$2:A$998, A80) &gt; 0, 90, 0)
)
* (0.8 + 0.4 * J80)
* 0.75,25)</f>
        <v>4350</v>
      </c>
      <c r="I80" s="2">
        <f>MROUND(ROUNDDOWN(_xlfn.XLOOKUP(B80,'Base stats'!B:B,'Base stats'!L:L)/3.6/(23.3/11),1),0.5)</f>
        <v>4.5</v>
      </c>
      <c r="J80" s="2">
        <f>IF(OR(_xlfn.XLOOKUP(B80,'Base stats'!B:B,'Base stats'!AB:AB)=1,_xlfn.XLOOKUP(_xlfn.XLOOKUP(B80,'Base stats'!B:B,'Base stats'!E:E),Groups!A:A,Groups!C:C)="Untamable"),1,IF(_xlfn.XLOOKUP(B80,'Base stats'!B:B,'Base stats'!AL:AL)=1,0.99,MIN(MROUND((1-0.6282*EXP(-0.459*AO80))*_xlfn.XLOOKUP(_xlfn.XLOOKUP(B80,'Base stats'!B:B,'Base stats'!E:E),Groups!A:A,Groups!C:C)*IF(_xlfn.XLOOKUP(B80,'Base stats'!B:B,'Base stats'!O:O)=1,0.5,IF(_xlfn.XLOOKUP(B80,'Base stats'!B:B,'Base stats'!O:O)=2,0,1)),0.05),IF(AO80&gt;3.5,0.985,0.95))))</f>
        <v>0.99</v>
      </c>
      <c r="K80" s="2">
        <f>ROUNDUP(AO80*_xlfn.XLOOKUP(_xlfn.XLOOKUP(B80,'Base stats'!B:B,'Base stats'!E:E),Groups!A:A,Groups!E:E),0)</f>
        <v>30</v>
      </c>
      <c r="L80" s="2">
        <f>IF(OR(_xlfn.XLOOKUP(_xlfn.XLOOKUP(B80,'Base stats'!B:B,'Base stats'!E:E),Groups!A:A,Groups!F:F)=2,ISNUMBER(SEARCH("SeaIce",BX80)),ISNUMBER(SEARCH("IceSheet",BX80))),-50,IF(OR(ISNUMBER(SEARCH("GlacialPlain",BX80)),ISNUMBER(SEARCH("Tundra",BX80))),-40,IF(OR(ISNUMBER(SEARCH("Alpine",BX80)),ISNUMBER(SEARCH("BorealForest",BX80)),ISNUMBER(SEARCH("ColdBog",BX80))),-30,IF(OR(ISNUMBER(SEARCH("TemperateForest",BX80)),ISNUMBER(SEARCH("TemperateSwamp",BX80))),-20,IF(_xlfn.XLOOKUP(_xlfn.XLOOKUP(B80,'Base stats'!B:B,'Base stats'!E:E),Groups!A:A,Groups!F:F)=1,-15,IF(OR(ISNUMBER(SEARCH("Desert",BX80)),ISNUMBER(SEARCH("ExtremeDesert",BX80))),-10,IF(OR(ISNUMBER(SEARCH("Grasslands",BX80)),ISNUMBER(SEARCH("TropicalRainforest",BX80)),ISNUMBER(SEARCH("TropicalSwamp",BX80))),10,0)))))))-IF(CC80="False",MIN(IFERROR(MAX(MROUND(LOG10(_xlfn.XLOOKUP(B80,'Base stats'!B:B,'Base stats'!C:C)^(2/3))*10,5),5),5),30))-_xlfn.XLOOKUP(B80,'Base stats'!B:B,'Base stats'!P:P)+IF(CC80="True",5,0)</f>
        <v>-75</v>
      </c>
      <c r="M80" s="2">
        <f>IF(OR(_xlfn.XLOOKUP(_xlfn.XLOOKUP(B80,'Base stats'!B:B,'Base stats'!E:E),Groups!A:A,Groups!G:G)=2,ISNUMBER(SEARCH("Desert",BX80)),ISNUMBER(SEARCH("ExtremeDesert",BX80)),ISNUMBER(SEARCH("LavaField",BX80))),50,IF(ISNUMBER(SEARCH("Grasslands",BX80)),45,IF(OR(_xlfn.XLOOKUP(_xlfn.XLOOKUP(B80,'Base stats'!B:B,'Base stats'!E:E),Groups!A:A,Groups!G:G)=1,ISNUMBER(SEARCH("TropicalRainforest",BX80)),ISNUMBER(SEARCH("TropicalSwamp",BX80))),40,IF(OR(ISNUMBER(SEARCH("TemperateForest",BX80)),ISNUMBER(SEARCH("TemperateSwamp",BX80))),35,IF(OR(ISNUMBER(SEARCH("Alpine",BX80)),ISNUMBER(SEARCH("BorealForest",BX80)),ISNUMBER(SEARCH("ColdBog",BX80))),30,IF(ISNUMBER(OR(ISNUMBER(SEARCH("GlacialPlain",BX80)),SEARCH("Tundra",BX80))),25,IF(OR(ISNUMBER(SEARCH("SeaIce",BX80)),ISNUMBER(SEARCH("IceSheet",BX80)),ISNUMBER(SEARCH("TropicalSwamp",BX80))),10,35)))))))+_xlfn.XLOOKUP(B80,'Base stats'!B:B,'Base stats'!Q:Q)</f>
        <v>35</v>
      </c>
      <c r="N80" s="8">
        <f>IF(
_xlfn.XLOOKUP(
_xlfn.XLOOKUP(B80,'Base stats'!B:B,'Base stats'!E:E),
Groups!A:A,
Groups!L:L
)=1,
MIN(
MROUND(
IF(
_xlfn.XLOOKUP(B80,'Animals CE'!B:B,'Animals CE'!Z:Z)&lt;=1.5,
_xlfn.XLOOKUP(B80,'Animals CE'!B:B,'Animals CE'!Z:Z)/2+0.05,
0.8+
(_xlfn.XLOOKUP(B80,'Animals CE'!B:B,'Animals CE'!Z:Z)-1.5)
*0.02
),
0.05
),
200%
),
"No"
)</f>
        <v>0.95000000000000007</v>
      </c>
      <c r="O80" s="8">
        <f>IF(
_xlfn.XLOOKUP(
_xlfn.XLOOKUP(B80,'Base stats'!B:B,'Base stats'!E:E),
Groups!A:A,
Groups!L:L
)=1,
MIN(
MROUND(
IF(
_xlfn.XLOOKUP(B80,'Animals CE'!B:B,'Animals CE'!AA:AA)&lt;=1.5,
_xlfn.XLOOKUP(B80,'Animals CE'!B:B,'Animals CE'!AA:AA)/2+0.05,
0.8+
(_xlfn.XLOOKUP(B80,'Animals CE'!B:B,'Animals CE'!AA:AA)-1.5)
*0.02
),
0.05
),
200%
),
"No"
)</f>
        <v>1.05</v>
      </c>
      <c r="P80" s="2">
        <f>_xlfn.XLOOKUP(B80,'Base stats'!B:B,'Base stats'!R:R)</f>
        <v>1</v>
      </c>
      <c r="Q80" s="13">
        <f>MROUND((LOG10(_xlfn.XLOOKUP(B80,'Base stats'!B:B,'Base stats'!AR:AR))*(AO80^0.5)+(_xlfn.XLOOKUP(B80,'Base stats'!B:B,'Base stats'!AR:AR)/1000)^(2/3)+_xlfn.XLOOKUP(B80,'Base stats'!B:B,'Base stats'!BA:BA)/2)+0.5,0.5)</f>
        <v>43.5</v>
      </c>
      <c r="R80" s="7">
        <f>IF(Q80="No","No",MAX(1,MROUND(_xlfn.XLOOKUP(B80,'Base stats'!B:B,'Base stats'!C:C)^0.165,0.05)))</f>
        <v>4.3</v>
      </c>
      <c r="S80" s="13">
        <f>IF(_xlfn.XLOOKUP(_xlfn.XLOOKUP(B80,'Base stats'!B:B,'Base stats'!E:E),Groups!A:A,Groups!P:P)=0,"No",MROUND((LOG10(_xlfn.XLOOKUP(B80,'Base stats'!B:B,'Base stats'!AS:AS))*(AO80^0.5)+(_xlfn.XLOOKUP(B80,'Base stats'!B:B,'Base stats'!AS:AS)/1000)^(2/3)+_xlfn.XLOOKUP(B80,'Base stats'!B:B,'Base stats'!BA:BA))+_xlfn.XLOOKUP(B80,'Base stats'!B:B,'Base stats'!AY:AY)+0.5,0.5))</f>
        <v>50.5</v>
      </c>
      <c r="T80" s="7">
        <f>IF(S80="No","No",MAX(_xlfn.XLOOKUP(_xlfn.XLOOKUP(B80,'Base stats'!B:B,'Base stats'!E:E),Groups!A:A,Groups!Q:Q),MROUND(_xlfn.XLOOKUP(_xlfn.XLOOKUP(B80,'Base stats'!B:B,'Base stats'!E:E),Groups!A:A,Groups!Q:Q)*_xlfn.XLOOKUP(B80,'Base stats'!B:B,'Base stats'!C:C)^0.165,0.05)))</f>
        <v>3.9000000000000004</v>
      </c>
      <c r="U80" s="7" t="str">
        <f>IF(S80="No","No",_xlfn.XLOOKUP(_xlfn.XLOOKUP(B80,'Base stats'!B:B,'Base stats'!E:E),Groups!A:A,Groups!R:R))</f>
        <v>FrontLeftLeg, FrontRightLeg</v>
      </c>
      <c r="V80" s="7" t="str">
        <f>IF(S80="No","No",_xlfn.XLOOKUP(_xlfn.XLOOKUP(B80,'Base stats'!B:B,'Base stats'!E:E),Groups!A:A,Groups!S:S))</f>
        <v>left foot, right foot</v>
      </c>
      <c r="W80" s="7" t="str">
        <f>IF(S80="No","No",_xlfn.XLOOKUP(_xlfn.XLOOKUP(B80,'Base stats'!B:B,'Base stats'!E:E),Groups!A:A,Groups!T:T))</f>
        <v>Blunt</v>
      </c>
      <c r="X80" s="13">
        <f>IF(_xlfn.XLOOKUP(B80,'Base stats'!B:B,'Base stats'!W:W)="No","No",MROUND((LOG10(_xlfn.XLOOKUP(B80,'Base stats'!B:B,'Base stats'!AU:AU))*(AO80^0.5)+(_xlfn.XLOOKUP(B80,'Base stats'!B:B,'Base stats'!AU:AU)/1000)^(2/3)+_xlfn.XLOOKUP(B80,'Base stats'!B:B,'Base stats'!AZ:AZ))+0.5+IF(_xlfn.XLOOKUP(_xlfn.XLOOKUP(B80,'Base stats'!B:B,'Base stats'!E:E),Groups!A:A,Groups!U:U)&lt;&gt;3,_xlfn.XLOOKUP(B80,'Base stats'!B:B,'Base stats'!BA:BA),0),0.5))</f>
        <v>61.5</v>
      </c>
      <c r="Y80" s="7">
        <f>IF(X80="No","No",MAX(_xlfn.XLOOKUP(_xlfn.XLOOKUP(B80,'Base stats'!B:B,'Base stats'!E:E),Groups!A:A,Groups!V:V),MROUND(_xlfn.XLOOKUP(_xlfn.XLOOKUP(B80,'Base stats'!B:B,'Base stats'!E:E),Groups!A:A,Groups!V:V)*_xlfn.XLOOKUP(B80,'Base stats'!B:B,'Base stats'!C:C)^0.165,0.05)))</f>
        <v>2.6</v>
      </c>
      <c r="Z80" s="7" t="str">
        <f>IF(X80="No","No",_xlfn.XLOOKUP(_xlfn.XLOOKUP(B80,'Base stats'!B:B,'Base stats'!E:E),Groups!A:A,Groups!W:W))</f>
        <v>HeadAttackTool</v>
      </c>
      <c r="AA80" s="7" t="str">
        <f>IF(X80="No","No",_xlfn.XLOOKUP(_xlfn.XLOOKUP(B80,'Base stats'!B:B,'Base stats'!E:E),Groups!A:A,Groups!X:X))</f>
        <v>horn</v>
      </c>
      <c r="AB80" s="7" t="str">
        <f>IF(X80="No","No",_xlfn.XLOOKUP(_xlfn.XLOOKUP(B80,'Base stats'!B:B,'Base stats'!E:E),Groups!A:A,Groups!Y:Y))</f>
        <v>Scratch</v>
      </c>
      <c r="AC80" s="7" t="str">
        <f>_xlfn.XLOOKUP(Animals!B80,'Base stats'!B:B,'Base stats'!X:X)</f>
        <v>False</v>
      </c>
      <c r="AD80" s="13" t="str">
        <f>IF(_xlfn.XLOOKUP(B80,'Base stats'!B:B,'Base stats'!AT:AT)="No","No",MROUND((LOG10(_xlfn.XLOOKUP(B80,'Base stats'!B:B,'Base stats'!AT:AT))*(AO80^0.75)+(_xlfn.XLOOKUP(B80,'Base stats'!B:B,'Base stats'!AT:AT)/1000)^(2/3)+_xlfn.XLOOKUP(B80,'Base stats'!B:B,'Base stats'!AX:AX)+_xlfn.XLOOKUP(B80,'Base stats'!B:B,'Base stats'!BA:BA))+0.5,0.5))</f>
        <v>No</v>
      </c>
      <c r="AE80" s="7" t="str">
        <f>IF(AD80="No","No",MAX(_xlfn.XLOOKUP(_xlfn.XLOOKUP(B80,'Base stats'!B:B,'Base stats'!E:E),Groups!A:A,Groups!Z:Z),MROUND(_xlfn.XLOOKUP(_xlfn.XLOOKUP(B80,'Base stats'!B:B,'Base stats'!E:E),Groups!A:A,Groups!Z:Z)*_xlfn.XLOOKUP(B80,'Base stats'!B:B,'Base stats'!C:C)^0.165,0.05)))</f>
        <v>No</v>
      </c>
      <c r="AF80" s="7" t="str">
        <f>IF(AD80="No","No",_xlfn.XLOOKUP(_xlfn.XLOOKUP(B80,'Base stats'!B:B,'Base stats'!E:E),Groups!A:A,Groups!AA:AA))</f>
        <v>No</v>
      </c>
      <c r="AG80" s="7" t="str">
        <f>IF(AD80="No","No",_xlfn.XLOOKUP(_xlfn.XLOOKUP(B80,'Base stats'!B:B,'Base stats'!E:E),Groups!A:A,Groups!AB:AB))</f>
        <v>No</v>
      </c>
      <c r="AH80" s="7" t="str">
        <f>IF(AD80="No","No",_xlfn.XLOOKUP(_xlfn.XLOOKUP(B80,'Base stats'!B:B,'Base stats'!E:E),Groups!A:A,Groups!AC:AC))</f>
        <v>No</v>
      </c>
      <c r="AI80" s="13" t="str">
        <f>IF(_xlfn.XLOOKUP(_xlfn.XLOOKUP(B80,'Base stats'!B:B,'Base stats'!E:E),Groups!A:A,Groups!AD:AD)=0,"No",MROUND((LOG10(_xlfn.XLOOKUP(B80,'Base stats'!B:B,'Base stats'!AS:AS))*(AO80^0.75)+(_xlfn.XLOOKUP(B80,'Base stats'!B:B,'Base stats'!AS:AS)/1000)^(2/3)+_xlfn.XLOOKUP(B80,'Base stats'!B:B,'Base stats'!AY:AY)+_xlfn.XLOOKUP(B80,'Base stats'!B:B,'Base stats'!BA:BA))+0.5,0.5))</f>
        <v>No</v>
      </c>
      <c r="AJ80" s="7" t="str">
        <f>IF(AI80="No","No",MAX(_xlfn.XLOOKUP(_xlfn.XLOOKUP(B80,'Base stats'!B:B,'Base stats'!E:E),Groups!A:A,Groups!AE:AE),MROUND(_xlfn.XLOOKUP(_xlfn.XLOOKUP(B80,'Base stats'!B:B,'Base stats'!E:E),Groups!A:A,Groups!AE:AE)*IF(_xlfn.XLOOKUP(_xlfn.XLOOKUP(B80,'Base stats'!B:B,'Base stats'!E:E),Groups!A:A,Groups!AJ:AJ)="Photonozoa",0.6,1)*_xlfn.XLOOKUP(B80,'Base stats'!B:B,'Base stats'!C:C)^0.165,0.05)))</f>
        <v>No</v>
      </c>
      <c r="AK80" s="7" t="str">
        <f>IF(AI80="No","No",_xlfn.XLOOKUP(_xlfn.XLOOKUP(B80,'Base stats'!B:B,'Base stats'!E:E),Groups!A:A,Groups!AF:AF))</f>
        <v>No</v>
      </c>
      <c r="AL80" s="7" t="str">
        <f>IF(AI80="No","No",_xlfn.XLOOKUP(_xlfn.XLOOKUP(B80,'Base stats'!B:B,'Base stats'!E:E),Groups!A:A,Groups!AG:AG))</f>
        <v>No</v>
      </c>
      <c r="AM80" s="7" t="str">
        <f>IF(AI80="No","No",_xlfn.XLOOKUP(_xlfn.XLOOKUP(B80,'Base stats'!B:B,'Base stats'!E:E),Groups!A:A,Groups!AH:AH))</f>
        <v>No</v>
      </c>
      <c r="AN80" s="2" t="str">
        <f t="shared" si="7"/>
        <v>No</v>
      </c>
      <c r="AO80" s="2">
        <f>MROUND(IF(AND(_xlfn.XLOOKUP(B80,'Base stats'!B:B,'Base stats'!C:C)&gt;=0.5,_xlfn.XLOOKUP(B80,'Base stats'!B:B,'Base stats'!C:C)&lt;=0.8),
IF(_xlfn.XLOOKUP(B80,'Base stats'!B:B,'Base stats'!C:C)&lt;0.1,0.05,IF(_xlfn.XLOOKUP(B80,'Base stats'!B:B,'Base stats'!C:C)&lt;=70,(_xlfn.XLOOKUP(B80,'Base stats'!B:B,'Base stats'!C:C)/70)^0.426489913056526,IF(_xlfn.XLOOKUP(B80,'Base stats'!B:B,'Base stats'!C:C)&lt;=400,(_xlfn.XLOOKUP(B80,'Base stats'!B:B,'Base stats'!C:C)/70)^0.572811455315093,IF(_xlfn.XLOOKUP(B80,'Base stats'!B:B,'Base stats'!C:C)&lt;=2000,2.71391647193063*(_xlfn.XLOOKUP(B80,'Base stats'!B:B,'Base stats'!C:C)/400)^0.252459582904293,3.74314280240376*(_xlfn.XLOOKUP(B80,'Base stats'!B:B,'Base stats'!C:C)/2000)^0.357012633876913)))),
IF(_xlfn.XLOOKUP(B80,'Base stats'!B:B,'Base stats'!C:C)&lt;0.1,0.05,IF(_xlfn.XLOOKUP(B80,'Base stats'!B:B,'Base stats'!C:C)&lt;0.4,0.1,IF(_xlfn.XLOOKUP(B80,'Base stats'!B:B,'Base stats'!C:C)&lt;=70,(_xlfn.XLOOKUP(B80,'Base stats'!B:B,'Base stats'!C:C)/70)^0.445823913056526,IF(_xlfn.XLOOKUP(B80,'Base stats'!B:B,'Base stats'!C:C)&lt;=400,(_xlfn.XLOOKUP(B80,'Base stats'!B:B,'Base stats'!C:C)/70)^0.572811455315093,IF(_xlfn.XLOOKUP(B80,'Base stats'!B:B,'Base stats'!C:C)&lt;=2000,2.71391647193063*(_xlfn.XLOOKUP(B80,'Base stats'!B:B,'Base stats'!C:C)/400)^0.252459582904293,3.74314280240376*(_xlfn.XLOOKUP(B80,'Base stats'!B:B,'Base stats'!C:C)/2000)^0.357012633876913)))))),
IF(_xlfn.XLOOKUP(B80,'Base stats'!B:B,'Base stats'!C:C)&lt;0.1,0.05,IF(_xlfn.XLOOKUP(B80,'Base stats'!B:B,'Base stats'!C:C)&lt;=100,0.05,IF(_xlfn.XLOOKUP(B80,'Base stats'!B:B,'Base stats'!C:C)&lt;=250,0.1,IF(_xlfn.XLOOKUP(B80,'Base stats'!B:B,'Base stats'!C:C)&lt;=4000,0.25,0.5)))))</f>
        <v>6</v>
      </c>
      <c r="AP80" s="8">
        <f>MROUND(AO80*_xlfn.XLOOKUP(_xlfn.XLOOKUP(B80,'Base stats'!B:B,'Base stats'!E:E),Groups!A:A,Groups!AI:AI)*_xlfn.XLOOKUP(B80,'Base stats'!B:B,'Base stats'!Z:Z),0.05)</f>
        <v>12</v>
      </c>
      <c r="AQ80" s="8">
        <f>MAX(0.01,MROUND(IF(CC80="True",0.196*(AO80*100*1000)^0.889,IF(_xlfn.XLOOKUP(_xlfn.XLOOKUP(B80,'Base stats'!B:B,'Base stats'!E:E),Groups!A:A,Groups!AJ:AJ)="Bird",10.5*(AO80*100*1000)^0.681,4.82*(AO80*100*1000)^0.734))/(4.82*(1*100*1000)^0.734)/IF(AO80&lt;3.5,2,IF(AO80=3.5,1.5,1.25))*(1+0.132282374779864/(AO80^0.994035016789033+0.00905238001496948)),0.05))</f>
        <v>3.0500000000000003</v>
      </c>
      <c r="AR80" s="9">
        <f>IFERROR(MROUND(_xlfn.XLOOKUP(B80,'Base stats'!B:B,'Base stats'!H:H)/IF(_xlfn.XLOOKUP(B80,'Base stats'!B:B,'Base stats'!I:I)&lt;&gt;1,(122.5/70),1.2),IF(_xlfn.XLOOKUP(B80,'Base stats'!B:B,'Base stats'!H:H)&gt;=30,5,IF(_xlfn.XLOOKUP(B80,'Base stats'!B:B,'Base stats'!H:H)&gt;=15,3,IF(_xlfn.XLOOKUP(B80,'Base stats'!B:B,'Base stats'!H:H)&gt;=10,2,1)))),"Immortal")</f>
        <v>220</v>
      </c>
      <c r="AS80" s="35">
        <f>IFERROR(IF(OR(_xlfn.XLOOKUP(B80,'Base stats'!B:B,'Base stats'!F:F)="Atypical reproduction",_xlfn.XLOOKUP(B80,'Base stats'!B:B,'Base stats'!F:F)="Lay eggs"),"Lay eggs",MIN(20,MAX(5.5,ROUND(((_xlfn.XLOOKUP(B80,'Base stats'!B:B,'Base stats'!F:F)-25)*(14.5/615) + 5.5)*2,0)/2))),"Unknown")</f>
        <v>20</v>
      </c>
      <c r="AT80" s="8">
        <f>IF(_xlfn.XLOOKUP(B80,'Base stats'!B:B,'Base stats'!G:G)="Atypical reproduction","No",IFERROR(MAX(IF(_xlfn.XLOOKUP(B80,'Base stats'!B:B,'Base stats'!G:G)&lt;0.5,0.2,0.3),MROUND(_xlfn.XLOOKUP(B80,'Base stats'!B:B,'Base stats'!G:G)/(365/60),0.2)),"Unknown"))</f>
        <v>2</v>
      </c>
      <c r="AU80" s="8">
        <f t="shared" si="8"/>
        <v>1</v>
      </c>
      <c r="AV80" s="8">
        <f>IFERROR(IFERROR(MROUND(_xlfn.XLOOKUP(B80,'Base stats'!B:B,'Base stats'!J:J),0.1),"Lay eggs"),"Cannot breed")</f>
        <v>1</v>
      </c>
      <c r="AW80" s="2" t="str">
        <f t="shared" si="9"/>
        <v>true</v>
      </c>
      <c r="AX80" s="2" t="str">
        <f>IF(_xlfn.XLOOKUP(_xlfn.XLOOKUP(Animals!B80,'Base stats'!B:B,'Base stats'!E:E),Groups!A:A,Groups!AK:AK)=1,"true","false")</f>
        <v>false</v>
      </c>
      <c r="AY80" s="25" t="str">
        <f>IF(_xlfn.XLOOKUP(B80,'Base stats'!B:B,'Base stats'!Y:Y)="Liquor","Liquor, CarnivoreAnimalStrict",IF(AND(_xlfn.XLOOKUP(B80,'Base stats'!B:B,'Base stats'!Y:Y)="Carnivore",_xlfn.XLOOKUP(_xlfn.XLOOKUP(B80,'Base stats'!B:B,'Base stats'!E:E),Groups!A:A,Groups!AJ:AJ)="Photonozoa"),"CarnivoreAnimalStrict, OvivoreAnimal",IF(_xlfn.XLOOKUP(B80,'Base stats'!B:B,'Base stats'!Y:Y)="Carnivore","CarnivoreAnimal, OvivoreAnimal",IF(_xlfn.XLOOKUP(B80,'Base stats'!B:B,'Base stats'!Y:Y)="Dendrovore","VegetarianRoughAnimal, DendrovoreAnimal",IF(_xlfn.XLOOKUP(B80,'Base stats'!B:B,'Base stats'!Y:Y)="Herbivore","VegetarianRoughAnimal",IF(_xlfn.XLOOKUP(B80,'Base stats'!B:B,'Base stats'!Y:Y)="OmnivoreRough","OmnivoreRoughAnimal, OvivoreAnimal","OmnivoreAnimal, OvivoreAnimal"))))))</f>
        <v>VegetarianRoughAnimal, DendrovoreAnimal</v>
      </c>
      <c r="AZ80" s="2" t="str">
        <f>IF(_xlfn.XLOOKUP(_xlfn.XLOOKUP(B80,'Base stats'!B:B,'Base stats'!E:E),Groups!A:A,Groups!D:D)=1,MROUND((1-J80)*5+1,2)*IF(J80&lt;=0.4,2,1),"No")</f>
        <v>No</v>
      </c>
      <c r="BA80" s="2" t="str">
        <f>IF(AND(_xlfn.XLOOKUP(B80,'Base stats'!B:B,'Base stats'!AH:AH)="&lt;li&gt;Seal&lt;/li&gt;",G80="Odyssey"),"&lt;li&gt;AEXP_Seal&lt;/li&gt;",_xlfn.XLOOKUP(B80,'Base stats'!B:B,'Base stats'!AH:AH))</f>
        <v>&lt;li&gt;Thrumbo&lt;/li&gt;</v>
      </c>
      <c r="BB80" s="2" t="str">
        <f>_xlfn.XLOOKUP(B80,'Base stats'!B:B,'Base stats'!AG:AG)</f>
        <v>Leather_AlphaThrumbo</v>
      </c>
      <c r="BC80" s="23" t="str">
        <f>_xlfn.XLOOKUP(_xlfn.XLOOKUP(B80,'Base stats'!B:B,'Base stats'!E:E),Groups!A:A,Groups!AL:AL)</f>
        <v>QuadrupedAnimalWithHoovesAndHorn</v>
      </c>
      <c r="BD80" s="23">
        <f>MIN(1,MROUND(IF(AND(AO80&lt;0.5,_xlfn.XLOOKUP(B80,'Base stats'!B:B,'Base stats'!AA:AA)=0),0,IF(OR(_xlfn.XLOOKUP(Animals!B80,'Base stats'!B:B,'Base stats'!O:O)=2,_xlfn.XLOOKUP(_xlfn.XLOOKUP(B80,'Base stats'!B:B,'Base stats'!E:E),Groups!A:A,Groups!AN:AN)=0),0,_xlfn.XLOOKUP(_xlfn.XLOOKUP(B80,'Base stats'!B:B,'Base stats'!E:E),Groups!A:A,Groups!AN:AN)/IF(_xlfn.XLOOKUP(Animals!B80,'Base stats'!B:B,'Base stats'!O:O)=1,2,1)))+_xlfn.XLOOKUP(B80,'Base stats'!B:B,'Base stats'!AC:AC),0.005))</f>
        <v>0</v>
      </c>
      <c r="BE80" s="23">
        <f>MIN(1,MROUND(IF(AND(AO80&lt;0.5,_xlfn.XLOOKUP(B80,'Base stats'!B:B,'Base stats'!AA:AA)=0),0,IF(_xlfn.XLOOKUP(_xlfn.XLOOKUP(B80,'Base stats'!B:B,'Base stats'!E:E),Groups!A:A,Groups!AO:AO)=0,0,_xlfn.XLOOKUP(_xlfn.XLOOKUP(B80,'Base stats'!B:B,'Base stats'!E:E),Groups!A:A,Groups!AO:AO)/IF(_xlfn.XLOOKUP(Animals!B80,'Base stats'!B:B,'Base stats'!O:O)=2,3,1)))+_xlfn.XLOOKUP(B80,'Base stats'!B:B,'Base stats'!AD:AD),0.005))</f>
        <v>1</v>
      </c>
      <c r="BF80" s="2" t="str">
        <f>IF(J80&gt;0.3,"No",_xlfn.XLOOKUP(_xlfn.XLOOKUP(Animals!B80,'Base stats'!B:B,'Base stats'!E:E),Groups!A:A,Groups!AP:AP))</f>
        <v>No</v>
      </c>
      <c r="BG80" s="2" t="str">
        <f>IF(AND(J80&lt;=0.65,_xlfn.XLOOKUP(_xlfn.XLOOKUP(Animals!B80,'Base stats'!B:B,'Base stats'!E:E),Groups!A:A,Groups!AP:AP)&lt;&gt;"No",_xlfn.XLOOKUP(_xlfn.XLOOKUP(B80,'Base stats'!B:B,'Base stats'!E:E),Groups!A:A,Groups!D:D)=0),MROUND((80/3)*IF(_xlfn.XLOOKUP(B80,'Base stats'!B:B,'Base stats'!O:O)=2,0.2,AO80) + 24*(1-IF(BF80="No",0,BF80)) + 16/3, 12),"No")</f>
        <v>No</v>
      </c>
      <c r="BH80" s="2">
        <f>IF(AND(_xlfn.XLOOKUP(_xlfn.XLOOKUP(B80,'Base stats'!B:B,'Base stats'!E:E),Groups!A:A,Groups!AQ:AQ)=1,AO80&lt;=0.35),8,12)</f>
        <v>12</v>
      </c>
      <c r="BI80" s="2" t="str">
        <f>IF(_xlfn.XLOOKUP(_xlfn.XLOOKUP(B80,'Base stats'!B:B,'Base stats'!E:E),Groups!A:A,Groups!D:D)=0,_xlfn.XLOOKUP(_xlfn.XLOOKUP(B80,'Base stats'!B:B,'Base stats'!E:E),Groups!A:A,Groups!AR:AR),"None")</f>
        <v>Advanced</v>
      </c>
      <c r="BJ80" s="2" t="str">
        <f>IF(AND(_xlfn.XLOOKUP(_xlfn.XLOOKUP(B80,'Base stats'!B:B,'Base stats'!E:E),Groups!A:A,Groups!AS:AS)=1,OR(_xlfn.XLOOKUP(B80,'Base stats'!B:B,'Base stats'!Y:Y)="Carnivore",_xlfn.XLOOKUP(B80,'Base stats'!B:B,'Base stats'!Y:Y)="Omnivore")),"true","false")</f>
        <v>false</v>
      </c>
      <c r="BK80" s="2" t="str">
        <f>IF(BJ80="true",MROUND(IF(AND(AO80&gt;0.5,OR(_xlfn.XLOOKUP(_xlfn.XLOOKUP(B80,'Base stats'!B:B,'Base stats'!E:E),Groups!A:A,Groups!AJ:AJ)="Photonozoa",_xlfn.XLOOKUP(_xlfn.XLOOKUP(B80,'Base stats'!B:B,'Base stats'!E:E),Groups!A:A,Groups!AJ:AJ)="Mammal")),Animals!AO80*1.75*IF(AW80="true",1.5,1),IF(AO80&lt;0.5,Animals!AO80*0.5,Animals!AO80)),IF(AO80&gt;2,0.5,IF(AO80&gt;0.5,0.25,0.1))),"No")</f>
        <v>No</v>
      </c>
      <c r="BL80" s="2">
        <f t="shared" si="10"/>
        <v>1</v>
      </c>
      <c r="BM80" s="25" t="str">
        <f>IF(_xlfn.XLOOKUP(B80,'Base stats'!B:B,'Base stats'!AN:AN)="Standard","No",MROUND((_xlfn.XLOOKUP(B80,'Base stats'!B:B,'Base stats'!AN:AN)/3.6)/I80,0.1))</f>
        <v>No</v>
      </c>
      <c r="BN80" s="25" t="str">
        <f t="shared" si="11"/>
        <v>false</v>
      </c>
      <c r="BO80" s="25" t="str">
        <f>IF(AND(OR(_xlfn.XLOOKUP(B80,'Base stats'!B:B,'Base stats'!Y:Y)="Carnivore",_xlfn.XLOOKUP(B80,'Base stats'!B:B,'Base stats'!Y:Y)="Omnivore",_xlfn.XLOOKUP(B80,'Base stats'!B:B,'Base stats'!Y:Y)="OmnivoreRough"),_xlfn.XLOOKUP(_xlfn.XLOOKUP(B80,'Base stats'!B:B,'Base stats'!E:E),Groups!A:A,Groups!AT:AT)=1),"true","false")</f>
        <v>false</v>
      </c>
      <c r="BP80" s="25" t="str" cm="1">
        <f t="array" ref="BP80">IF(
  _xlfn.TEXTJOIN(", ",TRUE,
    IF(AND(BJ80="true",AO80&gt;0.5,BI80&lt;&gt;"None"),"AttackTarget",""),
    IF(AND(_xlfn.XLOOKUP(_xlfn.XLOOKUP(B80,'Base stats'!B:B,'Base stats'!E:E),Groups!A:A,Groups!AJ:AJ="Mammal"),OR(_xlfn.XLOOKUP(B80,'Base stats'!B:B,'Base stats'!Y:Y)="Omnivore",_xlfn.XLOOKUP(B80,'Base stats'!B:B,'Base stats'!Y:Y)="OmnivoreRough")),"Forage",""),
    IF(BG80&lt;=36,"Comfort",""),
    IF(_xlfn.XLOOKUP(B80,'Base stats'!B:B,'Base stats'!AE:AE)&lt;&gt;"No",_xlfn.XLOOKUP(B80,'Base stats'!B:B,'Base stats'!AE:AE),"")
  ) = "",
  "No",
  _xlfn.TEXTJOIN(", ",TRUE,
    IF(AND(BJ80="true",AO80&gt;0.5,BI80&lt;&gt;"None"),"AttackTarget",""),
    IF(AND(_xlfn.XLOOKUP(_xlfn.XLOOKUP(B80,'Base stats'!B:B,'Base stats'!E:E),Groups!A:A,Groups!AJ:AJ="Mammal"),OR(_xlfn.XLOOKUP(B80,'Base stats'!B:B,'Base stats'!Y:Y)="Omnivore",_xlfn.XLOOKUP(B80,'Base stats'!B:B,'Base stats'!Y:Y)="OmnivoreRough")),"Forage",""),
    IF(BG80&lt;=36,"Comfort",""),
    IF(_xlfn.XLOOKUP(B80,'Base stats'!B:B,'Base stats'!AE:AE)&lt;&gt;"No",_xlfn.XLOOKUP(B80,'Base stats'!B:B,'Base stats'!AE:AE),"")
  )
)</f>
        <v>ThrumboRoar</v>
      </c>
      <c r="BQ80" s="25" t="str">
        <f>IF(
   AND(
      'Base stats'!AN80="Standard",_xlfn.XLOOKUP(_xlfn.XLOOKUP(B80,'Base stats'!B:B,'Base stats'!E:E),Groups!A:A,Groups!AU:AU)=0,
      OR(
      BO80="True"
      )
   ),
   10,
   IF(
       OR(BM80&lt;&gt;"No",_xlfn.XLOOKUP(_xlfn.XLOOKUP(B80,'Base stats'!B:B,'Base stats'!E:E),Groups!A:A,Groups!AU:AU)=1),
      1,
      "No"
   )
)</f>
        <v>No</v>
      </c>
      <c r="BR80" s="9">
        <f>MROUND((1 + ((0.2*IF(OR(Q80="No",R80="No",R80=0),0,Q80/R80)
+IF(OR(V80="No",S80="No",T80="No"),0,S80/T80*(LEN(V80)-LEN(SUBSTITUTE(V80,",",""))+1))
+IF(OR(X80="No",Y80="No"),0,X80/Y80)
+IF(OR(AD80="No",AE80="No"),0,AD80/AE80)
+IF(OR(AL80="No",AI80="No",AJ80="No"),0,AI80/AJ80*(LEN(AL80)-LEN(SUBSTITUTE(AL80,",",""))+1))
)/(0.2*IF(OR(Q80="No",R80="No",R80=0),0,1)
+IF(OR(V80="No",S80="No",T80="No"),0,LEN(V80)-LEN(SUBSTITUTE(V80,",",""))+1)
+IF(OR(X80="No",Y80="No"),0,1)
+IF(OR(AD80="No",AE80="No"),0,1)
+IF(OR(AL80="No",AI80="No",AJ80="No"),0,LEN(AL80)-LEN(SUBSTITUTE(AL80,",",""))+1))*62%)* 2)*(1 + (AP80 / (IF(_xlfn.XLOOKUP(_xlfn.XLOOKUP(B80,'Base stats'!B:B,'Base stats'!E:E),Groups!A:A,Groups!AJ:AJ)="Photonozoa",0.3,1)) + _xlfn.XLOOKUP(B80,'Base stats'!B:B,'Base stats'!AV:AV) * 1.8) * 2) * 2.5 + 10 + I80 * 2,5)+IF(_xlfn.XLOOKUP(B80,'Base stats'!B:B,'Base stats'!AK:AK)=1,50,0)</f>
        <v>1520</v>
      </c>
      <c r="BS80" s="8">
        <f t="shared" si="12"/>
        <v>3.6500000000000004</v>
      </c>
      <c r="BT80" s="8" t="str">
        <f>_xlfn.XLOOKUP(B80,'Base stats'!B:B,'Base stats'!AF:AF)</f>
        <v>1~6</v>
      </c>
      <c r="BU80" s="2" t="str">
        <f>IF(AND(J80&lt;=0.95,OR(_xlfn.XLOOKUP(B80,'Base stats'!B:B,'Base stats'!AK:AK)=1,_xlfn.XLOOKUP(B80,'Base stats'!B:B,'Base stats'!Y:Y)="Carnivore",_xlfn.XLOOKUP(B80,'Base stats'!B:B,'Base stats'!Y:Y)="Omnivore",BE80&gt;0.1)),"true","false")</f>
        <v>false</v>
      </c>
      <c r="BV80" s="2" t="str">
        <f>IF(_xlfn.XLOOKUP(B80,'Base stats'!B:B,'Base stats'!AI:AI)=1,"true","false")</f>
        <v>false</v>
      </c>
      <c r="BW80" s="25" t="str">
        <f>IF(E80="BaseInsect","AnimalInsect",
IF(J80&gt;0.95,"AnimalExotic",
_xlfn.TEXTJOIN(", ",TRUE,
IF(OR(_xlfn.XLOOKUP(B80,'Base stats'!B:B,'Base stats'!AM:AM)=1,AND(_xlfn.XLOOKUP(B80,'Base stats'!B:B,'Base stats'!O:O)=0,_xlfn.XLOOKUP(_xlfn.XLOOKUP(B80,'Base stats'!B:B,'Base stats'!E:E),Groups!A:A,Groups!B:B)&gt;0)),"AnimalUncommon","AnimalCommon"),
IF(AND(_xlfn.XLOOKUP(B80,'Base stats'!B:B,'Base stats'!O:O)=2,_xlfn.XLOOKUP(_xlfn.XLOOKUP(B80,'Base stats'!B:B,'Base stats'!E:E),Groups!A:A,Groups!D:D)=0),"AnimalPet",IF(AND(_xlfn.XLOOKUP(B80,'Base stats'!B:B,'Base stats'!O:O)&lt;&gt;0,_xlfn.XLOOKUP(_xlfn.XLOOKUP(B80,'Base stats'!B:B,'Base stats'!E:E),Groups!A:A,Groups!D:D)&lt;&gt;0),"AnimalFarm","")),
IF(OR(_xlfn.XLOOKUP(B80,'Base stats'!B:B,'Base stats'!AK:AK)=1,AND(BI80&lt;&gt;"None",BR80&gt;=60),ISNUMBER(SEARCH("Attack target",BP80))),"AnimalFighter","")
)))</f>
        <v>AnimalExotic</v>
      </c>
      <c r="BX80" s="25" t="str">
        <f>IF(G80="None",TRIM(
SUBSTITUTE(
IF(COUNTIF(Biomes!B$2:B$259,"="&amp;$C80)&gt;0,Biomes!B$1&amp;", ","")&amp;
IF(COUNTIF(Biomes!C$2:C$259,"="&amp;$C80)&gt;0,Biomes!C$1&amp;", ","")&amp;
IF(COUNTIF(Biomes!D$2:D$259,"="&amp;$C80)&gt;0,Biomes!D$1&amp;", ","")&amp;
IF(COUNTIF(Biomes!F$2:F$259,"="&amp;$C80)&gt;0,Biomes!F$1&amp;", ","")&amp;
IF(COUNTIF(Biomes!G$2:G$259,"="&amp;$C80)&gt;0,Biomes!G$1&amp;", ","")&amp;
IF(COUNTIF(Biomes!H$2:H$259,"="&amp;$C80)&gt;0,Biomes!H$1&amp;", ","")&amp;
IF(COUNTIF(Biomes!I$2:I$259,"="&amp;$C80)&gt;0,Biomes!I$1&amp;", ","")&amp;
IF(COUNTIF(Biomes!J$2:J$259,"="&amp;$C80)&gt;0,Biomes!J$1&amp;", ","")&amp;
IF(COUNTIF(Biomes!M$2:M$259,"="&amp;$C80)&gt;0,Biomes!M$1&amp;", ","")&amp;
IF(COUNTIF(Biomes!N$2:N$259,"="&amp;$C80)&gt;0,Biomes!N$1&amp;", ","")&amp;
IF(COUNTIF(Biomes!O$2:O$259,"="&amp;$C80)&gt;0,Biomes!O$1&amp;", ","")&amp;
IF(COUNTIF(Biomes!P$2:P$259,"="&amp;$C80)&gt;0,Biomes!P$1&amp;", ","")&amp;
IF(COUNTIF(Biomes!K$2:K$259,"="&amp;$C80)&gt;0,Biomes!K$1&amp;", ","")&amp;
IF(COUNTIF(Biomes!Q$3:Q$259,"="&amp;$C80)&gt;0,Biomes!Q$1&amp;", ","")&amp;
IF(COUNTIF(Biomes!L$2:L$259,"="&amp;$C80)&gt;0,Biomes!L$1&amp;", ","")&amp;
IF(COUNTIF(Biomes!E$2:E$259,"="&amp;$C80)&gt;0,Biomes!E$1&amp;", ","")&amp;IF(COUNTIF(Biomes!S$2:S$259,"="&amp;$C80)&gt;0,Biomes!S$1&amp;", ","")&amp;
IF(COUNTIF(Biomes!R$2:R$259,"="&amp;$C80)&gt;0,Biomes!R$1&amp;", ",""),", ","")
),_xlfn.XLOOKUP(B80,B:B,BX:BX))</f>
        <v/>
      </c>
      <c r="BY80" s="25" t="str">
        <f>IF(_xlfn.XLOOKUP(B80,'Base stats'!B:B,'Base stats'!AJ:AJ)=1,"true","false")</f>
        <v>false</v>
      </c>
      <c r="BZ80" s="25">
        <f>IF(_xlfn.XLOOKUP(B80,'Base stats'!B:B,'Base stats'!N:N)=1,"No",MAX(0.001,MIN(MROUND(IF(AND(BJ80="True",CC80="False"),POWER(10,3.47*LOG10(_xlfn.XLOOKUP(B80,'Base stats'!B:B,'Base stats'!C:C)*1000)^-0.96),POWER(10,4.15*LOG10(_xlfn.XLOOKUP(B80,'Base stats'!B:B,'Base stats'!C:C)*1000)^-0.73))*IF(_xlfn.XLOOKUP(B80,'Base stats'!B:B,'Base stats'!AK:AK)=1,0.5,1)*IF(_xlfn.XLOOKUP(B80,'Base stats'!B:B,'Base stats'!AM:AM)=1,0.1,1)/100,IF(_xlfn.XLOOKUP(B80,'Base stats'!B:B,'Base stats'!AM:AM)=1,0.001,0.025)),0.5)))</f>
        <v>0.01</v>
      </c>
      <c r="CA80" s="25">
        <f>IF(P80="Standard","No",MAX(0.001,MIN(MROUND(IF(AND(BJ80="True",CC80="False"),POWER(10,3.47*LOG10(_xlfn.XLOOKUP(B80,'Base stats'!B:B,'Base stats'!C:C)*1000)^-0.96),POWER(10,4.15*LOG10(_xlfn.XLOOKUP(B80,'Base stats'!B:B,'Base stats'!C:C)*1000)^-0.73))*IF(_xlfn.XLOOKUP(B80,'Base stats'!B:B,'Base stats'!AM:AM)=1,0.1,1)*_xlfn.XLOOKUP(B80,'Base stats'!B:B,'Base stats'!R:R)/100,IF(_xlfn.XLOOKUP(B80,'Base stats'!B:B,'Base stats'!AM:AM)=1,0.001,0.025)),0.5)))</f>
        <v>0.01</v>
      </c>
      <c r="CB80" s="25" t="str">
        <f>IF(_xlfn.XLOOKUP(_xlfn.XLOOKUP(B80,'Base stats'!B:B,'Base stats'!E:E),Groups!A:A,Groups!AJ:AJ)="Mammal","True","False")</f>
        <v>True</v>
      </c>
      <c r="CC80" s="25" t="str">
        <f>IF(OR(_xlfn.XLOOKUP(_xlfn.XLOOKUP(B80,'Base stats'!B:B,'Base stats'!E:E),Groups!A:A,Groups!AJ:AJ)="Reptile",_xlfn.XLOOKUP(_xlfn.XLOOKUP(B80,'Base stats'!B:B,'Base stats'!E:E),Groups!A:A,Groups!AJ:AJ)="Amphibian",_xlfn.XLOOKUP(_xlfn.XLOOKUP(B80,'Base stats'!B:B,'Base stats'!E:E),Groups!A:A,Groups!AJ:AJ)="Invertebrate"),"True","False")</f>
        <v>False</v>
      </c>
      <c r="CD80" s="25" t="str">
        <f t="shared" si="13"/>
        <v>True</v>
      </c>
      <c r="CE80" s="25" t="str">
        <f>IF(_xlfn.XLOOKUP(_xlfn.XLOOKUP(B80,'Base stats'!B:B,'Base stats'!E:E),Groups!A:A,Groups!AX:AX),"True","False")</f>
        <v>False</v>
      </c>
      <c r="CF80" s="25" t="str">
        <f>IF(_xlfn.XLOOKUP(_xlfn.XLOOKUP(B80,'Base stats'!B:B,'Base stats'!E:E),Groups!A:A,Groups!AY:AY),"True","False")</f>
        <v>False</v>
      </c>
      <c r="CG80" s="25" t="str">
        <f>IF(_xlfn.XLOOKUP(_xlfn.XLOOKUP(B80,'Base stats'!B:B,'Base stats'!E:E),Groups!A:A,Groups!AW:AW),"True","False")</f>
        <v>True</v>
      </c>
      <c r="CH80" s="25" t="str">
        <f>IF(
OR(
_xlfn.XLOOKUP(_xlfn.XLOOKUP(B80,'Base stats'!B:B,'Base stats'!E:E),Groups!A:A,Groups!AZ:AZ)=0,
AND(
_xlfn.XLOOKUP(B80,'Base stats'!B:B,'Base stats'!Y:Y)&lt;&gt;"Carnivore",
_xlfn.XLOOKUP(B80,'Base stats'!B:B,'Base stats'!Y:Y)&lt;&gt;"Omnivore",
_xlfn.XLOOKUP(B80,'Base stats'!B:B,'Base stats'!Y:Y)&lt;&gt;"OmnivoreRough"
)
),
"No",
IF(
_xlfn.XLOOKUP(_xlfn.XLOOKUP(B80,'Base stats'!B:B,'Base stats'!E:E),Groups!A:A,Groups!AZ:AZ)=1,
"Flesh",
IF(
_xlfn.XLOOKUP(_xlfn.XLOOKUP(B80,'Base stats'!B:B,'Base stats'!E:E),Groups!A:A,Groups!AZ:AZ)=2,
"Bone",
""
)
)
)</f>
        <v>No</v>
      </c>
      <c r="CI80" s="25" t="str">
        <f>IF(_xlfn.XLOOKUP(_xlfn.XLOOKUP(B80,'Base stats'!B:B,'Base stats'!E:E),Groups!A:A,Groups!BB:BB),"True","False")</f>
        <v>True</v>
      </c>
      <c r="CJ80" s="25" t="str">
        <f>IF(_xlfn.XLOOKUP(_xlfn.XLOOKUP(B80,'Base stats'!B:B,'Base stats'!E:E),Groups!A:A,Groups!BA:BA),"True","False")</f>
        <v>False</v>
      </c>
    </row>
    <row r="81" spans="1:88" ht="16.5" thickTop="1" thickBot="1" x14ac:dyDescent="0.3">
      <c r="A81" s="26" t="str">
        <f>_xlfn.XLOOKUP(B81,'Base stats'!B:B,'Base stats'!A:A)</f>
        <v>Armadillo</v>
      </c>
      <c r="B81" s="6" t="s">
        <v>1784</v>
      </c>
      <c r="C81" s="28" t="s">
        <v>761</v>
      </c>
      <c r="D81" s="28" t="s">
        <v>870</v>
      </c>
      <c r="E81" s="28" t="s">
        <v>673</v>
      </c>
      <c r="F81" s="28" t="s">
        <v>673</v>
      </c>
      <c r="G81" s="28" t="s">
        <v>673</v>
      </c>
      <c r="H81" s="2">
        <f>MROUND((
  (IF(AND(_xlfn.XLOOKUP(B81,'Base stats'!B:B,'Base stats'!AL:AL)=0,BI81="None",_xlfn.XLOOKUP(_xlfn.XLOOKUP(B81,'Base stats'!B:B,'Base stats'!E:E),Groups!A:A,Groups!B:B)=0), (18 + BR81 * 2.7) * 0.5,
    IF(AND(_xlfn.XLOOKUP(B81,'Base stats'!B:B,'Base stats'!AL:AL)=0,OR(AO81&lt;0.55,AND(BI81="Intermediate",_xlfn.XLOOKUP(_xlfn.XLOOKUP(B81,'Base stats'!B:B,'Base stats'!E:E),Groups!A:A,Groups!B:B)&lt;2))), (18 + BR81 * 2.7),
      IF(OR(BI81="Advanced",_xlfn.XLOOKUP(B81,'Base stats'!B:B,'Base stats'!AL:AL)=1,_xlfn.XLOOKUP(_xlfn.XLOOKUP(B81,'Base stats'!B:B,'Base stats'!E:E),Groups!A:A,Groups!B:B)=2), (18 + BR81 * 2.7) + 250, (18 + BR81 * 2.7))
    )
  ))
  + AO81 * 80
  + IF(COUNTIF(EggMilk!K$2:K$998, A81) &gt; 0, 125, 0)
  + IF(COUNTIF(EggMilk!P$2:P$998, A81) &gt; 0, 90, 0)
  + IF(COUNTIF(EggMilk!A$2:A$998, A81) &gt; 0, 90, 0)
)
* (0.8 + 0.4 * J81)
* 0.75,25)</f>
        <v>125</v>
      </c>
      <c r="I81" s="2">
        <f>MROUND(ROUNDDOWN(_xlfn.XLOOKUP(B81,'Base stats'!B:B,'Base stats'!L:L)/3.6/(23.3/11),1),0.5)</f>
        <v>3</v>
      </c>
      <c r="J81" s="2">
        <f>IF(OR(_xlfn.XLOOKUP(B81,'Base stats'!B:B,'Base stats'!AB:AB)=1,_xlfn.XLOOKUP(_xlfn.XLOOKUP(B81,'Base stats'!B:B,'Base stats'!E:E),Groups!A:A,Groups!C:C)="Untamable"),1,IF(_xlfn.XLOOKUP(B81,'Base stats'!B:B,'Base stats'!AL:AL)=1,0.99,MIN(MROUND((1-0.6282*EXP(-0.459*AO81))*_xlfn.XLOOKUP(_xlfn.XLOOKUP(B81,'Base stats'!B:B,'Base stats'!E:E),Groups!A:A,Groups!C:C)*IF(_xlfn.XLOOKUP(B81,'Base stats'!B:B,'Base stats'!O:O)=1,0.5,IF(_xlfn.XLOOKUP(B81,'Base stats'!B:B,'Base stats'!O:O)=2,0,1)),0.05),IF(AO81&gt;3.5,0.985,0.95))))</f>
        <v>0.55000000000000004</v>
      </c>
      <c r="K81" s="2">
        <f>ROUNDUP(AO81*_xlfn.XLOOKUP(_xlfn.XLOOKUP(B81,'Base stats'!B:B,'Base stats'!E:E),Groups!A:A,Groups!E:E),0)</f>
        <v>1</v>
      </c>
      <c r="L81" s="2">
        <f>IF(OR(_xlfn.XLOOKUP(_xlfn.XLOOKUP(B81,'Base stats'!B:B,'Base stats'!E:E),Groups!A:A,Groups!F:F)=2,ISNUMBER(SEARCH("SeaIce",BX81)),ISNUMBER(SEARCH("IceSheet",BX81))),-50,IF(OR(ISNUMBER(SEARCH("GlacialPlain",BX81)),ISNUMBER(SEARCH("Tundra",BX81))),-40,IF(OR(ISNUMBER(SEARCH("Alpine",BX81)),ISNUMBER(SEARCH("BorealForest",BX81)),ISNUMBER(SEARCH("ColdBog",BX81))),-30,IF(OR(ISNUMBER(SEARCH("TemperateForest",BX81)),ISNUMBER(SEARCH("TemperateSwamp",BX81))),-20,IF(_xlfn.XLOOKUP(_xlfn.XLOOKUP(B81,'Base stats'!B:B,'Base stats'!E:E),Groups!A:A,Groups!F:F)=1,-15,IF(OR(ISNUMBER(SEARCH("Desert",BX81)),ISNUMBER(SEARCH("ExtremeDesert",BX81))),-10,IF(OR(ISNUMBER(SEARCH("Grasslands",BX81)),ISNUMBER(SEARCH("TropicalRainforest",BX81)),ISNUMBER(SEARCH("TropicalSwamp",BX81))),10,0)))))))-IF(CC81="False",MIN(IFERROR(MAX(MROUND(LOG10(_xlfn.XLOOKUP(B81,'Base stats'!B:B,'Base stats'!C:C)^(2/3))*10,5),5),5),30))-_xlfn.XLOOKUP(B81,'Base stats'!B:B,'Base stats'!P:P)+IF(CC81="True",5,0)</f>
        <v>-15</v>
      </c>
      <c r="M81" s="2">
        <f>IF(OR(_xlfn.XLOOKUP(_xlfn.XLOOKUP(B81,'Base stats'!B:B,'Base stats'!E:E),Groups!A:A,Groups!G:G)=2,ISNUMBER(SEARCH("Desert",BX81)),ISNUMBER(SEARCH("ExtremeDesert",BX81)),ISNUMBER(SEARCH("LavaField",BX81))),50,IF(ISNUMBER(SEARCH("Grasslands",BX81)),45,IF(OR(_xlfn.XLOOKUP(_xlfn.XLOOKUP(B81,'Base stats'!B:B,'Base stats'!E:E),Groups!A:A,Groups!G:G)=1,ISNUMBER(SEARCH("TropicalRainforest",BX81)),ISNUMBER(SEARCH("TropicalSwamp",BX81))),40,IF(OR(ISNUMBER(SEARCH("TemperateForest",BX81)),ISNUMBER(SEARCH("TemperateSwamp",BX81))),35,IF(OR(ISNUMBER(SEARCH("Alpine",BX81)),ISNUMBER(SEARCH("BorealForest",BX81)),ISNUMBER(SEARCH("ColdBog",BX81))),30,IF(ISNUMBER(OR(ISNUMBER(SEARCH("GlacialPlain",BX81)),SEARCH("Tundra",BX81))),25,IF(OR(ISNUMBER(SEARCH("SeaIce",BX81)),ISNUMBER(SEARCH("IceSheet",BX81)),ISNUMBER(SEARCH("TropicalSwamp",BX81))),10,35)))))))+_xlfn.XLOOKUP(B81,'Base stats'!B:B,'Base stats'!Q:Q)</f>
        <v>50</v>
      </c>
      <c r="N81" s="8">
        <f>IF(
_xlfn.XLOOKUP(
_xlfn.XLOOKUP(B81,'Base stats'!B:B,'Base stats'!E:E),
Groups!A:A,
Groups!L:L
)=1,
MIN(
MROUND(
IF(
_xlfn.XLOOKUP(B81,'Animals CE'!B:B,'Animals CE'!Z:Z)&lt;=1.5,
_xlfn.XLOOKUP(B81,'Animals CE'!B:B,'Animals CE'!Z:Z)/2+0.05,
0.8+
(_xlfn.XLOOKUP(B81,'Animals CE'!B:B,'Animals CE'!Z:Z)-1.5)
*0.02
),
0.05
),
200%
),
"No"
)</f>
        <v>0.30000000000000004</v>
      </c>
      <c r="O81" s="8">
        <f>IF(
_xlfn.XLOOKUP(
_xlfn.XLOOKUP(B81,'Base stats'!B:B,'Base stats'!E:E),
Groups!A:A,
Groups!L:L
)=1,
MIN(
MROUND(
IF(
_xlfn.XLOOKUP(B81,'Animals CE'!B:B,'Animals CE'!AA:AA)&lt;=1.5,
_xlfn.XLOOKUP(B81,'Animals CE'!B:B,'Animals CE'!AA:AA)/2+0.05,
0.8+
(_xlfn.XLOOKUP(B81,'Animals CE'!B:B,'Animals CE'!AA:AA)-1.5)
*0.02
),
0.05
),
200%
),
"No"
)</f>
        <v>0.25</v>
      </c>
      <c r="P81" s="2" t="str">
        <f>_xlfn.XLOOKUP(B81,'Base stats'!B:B,'Base stats'!R:R)</f>
        <v>Standard</v>
      </c>
      <c r="Q81" s="13">
        <f>MROUND((LOG10(_xlfn.XLOOKUP(B81,'Base stats'!B:B,'Base stats'!AR:AR))*(AO81^0.5)+(_xlfn.XLOOKUP(B81,'Base stats'!B:B,'Base stats'!AR:AR)/1000)^(2/3)+_xlfn.XLOOKUP(B81,'Base stats'!B:B,'Base stats'!BA:BA)/2)+0.5,0.5)</f>
        <v>2.5</v>
      </c>
      <c r="R81" s="7">
        <f>IF(Q81="No","No",MAX(1,MROUND(_xlfn.XLOOKUP(B81,'Base stats'!B:B,'Base stats'!C:C)^0.165,0.05)))</f>
        <v>1.3</v>
      </c>
      <c r="S81" s="13" t="str">
        <f>IF(_xlfn.XLOOKUP(_xlfn.XLOOKUP(B81,'Base stats'!B:B,'Base stats'!E:E),Groups!A:A,Groups!P:P)=0,"No",MROUND((LOG10(_xlfn.XLOOKUP(B81,'Base stats'!B:B,'Base stats'!AS:AS))*(AO81^0.5)+(_xlfn.XLOOKUP(B81,'Base stats'!B:B,'Base stats'!AS:AS)/1000)^(2/3)+_xlfn.XLOOKUP(B81,'Base stats'!B:B,'Base stats'!BA:BA))+_xlfn.XLOOKUP(B81,'Base stats'!B:B,'Base stats'!AY:AY)+0.5,0.5))</f>
        <v>No</v>
      </c>
      <c r="T81" s="7" t="str">
        <f>IF(S81="No","No",MAX(_xlfn.XLOOKUP(_xlfn.XLOOKUP(B81,'Base stats'!B:B,'Base stats'!E:E),Groups!A:A,Groups!Q:Q),MROUND(_xlfn.XLOOKUP(_xlfn.XLOOKUP(B81,'Base stats'!B:B,'Base stats'!E:E),Groups!A:A,Groups!Q:Q)*_xlfn.XLOOKUP(B81,'Base stats'!B:B,'Base stats'!C:C)^0.165,0.05)))</f>
        <v>No</v>
      </c>
      <c r="U81" s="7" t="str">
        <f>IF(S81="No","No",_xlfn.XLOOKUP(_xlfn.XLOOKUP(B81,'Base stats'!B:B,'Base stats'!E:E),Groups!A:A,Groups!R:R))</f>
        <v>No</v>
      </c>
      <c r="V81" s="7" t="str">
        <f>IF(S81="No","No",_xlfn.XLOOKUP(_xlfn.XLOOKUP(B81,'Base stats'!B:B,'Base stats'!E:E),Groups!A:A,Groups!S:S))</f>
        <v>No</v>
      </c>
      <c r="W81" s="7" t="str">
        <f>IF(S81="No","No",_xlfn.XLOOKUP(_xlfn.XLOOKUP(B81,'Base stats'!B:B,'Base stats'!E:E),Groups!A:A,Groups!T:T))</f>
        <v>No</v>
      </c>
      <c r="X81" s="13" t="str">
        <f>IF(_xlfn.XLOOKUP(B81,'Base stats'!B:B,'Base stats'!W:W)="No","No",MROUND((LOG10(_xlfn.XLOOKUP(B81,'Base stats'!B:B,'Base stats'!AU:AU))*(AO81^0.5)+(_xlfn.XLOOKUP(B81,'Base stats'!B:B,'Base stats'!AU:AU)/1000)^(2/3)+_xlfn.XLOOKUP(B81,'Base stats'!B:B,'Base stats'!AZ:AZ))+0.5+IF(_xlfn.XLOOKUP(_xlfn.XLOOKUP(B81,'Base stats'!B:B,'Base stats'!E:E),Groups!A:A,Groups!U:U)&lt;&gt;3,_xlfn.XLOOKUP(B81,'Base stats'!B:B,'Base stats'!BA:BA),0),0.5))</f>
        <v>No</v>
      </c>
      <c r="Y81" s="7" t="str">
        <f>IF(X81="No","No",MAX(_xlfn.XLOOKUP(_xlfn.XLOOKUP(B81,'Base stats'!B:B,'Base stats'!E:E),Groups!A:A,Groups!V:V),MROUND(_xlfn.XLOOKUP(_xlfn.XLOOKUP(B81,'Base stats'!B:B,'Base stats'!E:E),Groups!A:A,Groups!V:V)*_xlfn.XLOOKUP(B81,'Base stats'!B:B,'Base stats'!C:C)^0.165,0.05)))</f>
        <v>No</v>
      </c>
      <c r="Z81" s="7" t="str">
        <f>IF(X81="No","No",_xlfn.XLOOKUP(_xlfn.XLOOKUP(B81,'Base stats'!B:B,'Base stats'!E:E),Groups!A:A,Groups!W:W))</f>
        <v>No</v>
      </c>
      <c r="AA81" s="7" t="str">
        <f>IF(X81="No","No",_xlfn.XLOOKUP(_xlfn.XLOOKUP(B81,'Base stats'!B:B,'Base stats'!E:E),Groups!A:A,Groups!X:X))</f>
        <v>No</v>
      </c>
      <c r="AB81" s="7" t="str">
        <f>IF(X81="No","No",_xlfn.XLOOKUP(_xlfn.XLOOKUP(B81,'Base stats'!B:B,'Base stats'!E:E),Groups!A:A,Groups!Y:Y))</f>
        <v>No</v>
      </c>
      <c r="AC81" s="7" t="str">
        <f>_xlfn.XLOOKUP(Animals!B81,'Base stats'!B:B,'Base stats'!X:X)</f>
        <v>False</v>
      </c>
      <c r="AD81" s="13">
        <f>IF(_xlfn.XLOOKUP(B81,'Base stats'!B:B,'Base stats'!AT:AT)="No","No",MROUND((LOG10(_xlfn.XLOOKUP(B81,'Base stats'!B:B,'Base stats'!AT:AT))*(AO81^0.75)+(_xlfn.XLOOKUP(B81,'Base stats'!B:B,'Base stats'!AT:AT)/1000)^(2/3)+_xlfn.XLOOKUP(B81,'Base stats'!B:B,'Base stats'!AX:AX)+_xlfn.XLOOKUP(B81,'Base stats'!B:B,'Base stats'!BA:BA))+0.5,0.5))</f>
        <v>4.5</v>
      </c>
      <c r="AE81" s="7">
        <f>IF(AD81="No","No",MAX(_xlfn.XLOOKUP(_xlfn.XLOOKUP(B81,'Base stats'!B:B,'Base stats'!E:E),Groups!A:A,Groups!Z:Z),MROUND(_xlfn.XLOOKUP(_xlfn.XLOOKUP(B81,'Base stats'!B:B,'Base stats'!E:E),Groups!A:A,Groups!Z:Z)*_xlfn.XLOOKUP(B81,'Base stats'!B:B,'Base stats'!C:C)^0.165,0.05)))</f>
        <v>1.1000000000000001</v>
      </c>
      <c r="AF81" s="7" t="str">
        <f>IF(AD81="No","No",_xlfn.XLOOKUP(_xlfn.XLOOKUP(B81,'Base stats'!B:B,'Base stats'!E:E),Groups!A:A,Groups!AA:AA))</f>
        <v>Teeth</v>
      </c>
      <c r="AG81" s="7" t="str">
        <f>IF(AD81="No","No",_xlfn.XLOOKUP(_xlfn.XLOOKUP(B81,'Base stats'!B:B,'Base stats'!E:E),Groups!A:A,Groups!AB:AB))</f>
        <v>teeth</v>
      </c>
      <c r="AH81" s="7" t="str">
        <f>IF(AD81="No","No",_xlfn.XLOOKUP(_xlfn.XLOOKUP(B81,'Base stats'!B:B,'Base stats'!E:E),Groups!A:A,Groups!AC:AC))</f>
        <v>Bite</v>
      </c>
      <c r="AI81" s="13" t="str">
        <f>IF(_xlfn.XLOOKUP(_xlfn.XLOOKUP(B81,'Base stats'!B:B,'Base stats'!E:E),Groups!A:A,Groups!AD:AD)=0,"No",MROUND((LOG10(_xlfn.XLOOKUP(B81,'Base stats'!B:B,'Base stats'!AS:AS))*(AO81^0.75)+(_xlfn.XLOOKUP(B81,'Base stats'!B:B,'Base stats'!AS:AS)/1000)^(2/3)+_xlfn.XLOOKUP(B81,'Base stats'!B:B,'Base stats'!AY:AY)+_xlfn.XLOOKUP(B81,'Base stats'!B:B,'Base stats'!BA:BA))+0.5,0.5))</f>
        <v>No</v>
      </c>
      <c r="AJ81" s="7" t="str">
        <f>IF(AI81="No","No",MAX(_xlfn.XLOOKUP(_xlfn.XLOOKUP(B81,'Base stats'!B:B,'Base stats'!E:E),Groups!A:A,Groups!AE:AE),MROUND(_xlfn.XLOOKUP(_xlfn.XLOOKUP(B81,'Base stats'!B:B,'Base stats'!E:E),Groups!A:A,Groups!AE:AE)*IF(_xlfn.XLOOKUP(_xlfn.XLOOKUP(B81,'Base stats'!B:B,'Base stats'!E:E),Groups!A:A,Groups!AJ:AJ)="Photonozoa",0.6,1)*_xlfn.XLOOKUP(B81,'Base stats'!B:B,'Base stats'!C:C)^0.165,0.05)))</f>
        <v>No</v>
      </c>
      <c r="AK81" s="7" t="str">
        <f>IF(AI81="No","No",_xlfn.XLOOKUP(_xlfn.XLOOKUP(B81,'Base stats'!B:B,'Base stats'!E:E),Groups!A:A,Groups!AF:AF))</f>
        <v>No</v>
      </c>
      <c r="AL81" s="7" t="str">
        <f>IF(AI81="No","No",_xlfn.XLOOKUP(_xlfn.XLOOKUP(B81,'Base stats'!B:B,'Base stats'!E:E),Groups!A:A,Groups!AG:AG))</f>
        <v>No</v>
      </c>
      <c r="AM81" s="7" t="str">
        <f>IF(AI81="No","No",_xlfn.XLOOKUP(_xlfn.XLOOKUP(B81,'Base stats'!B:B,'Base stats'!E:E),Groups!A:A,Groups!AH:AH))</f>
        <v>No</v>
      </c>
      <c r="AN81" s="2" t="str">
        <f t="shared" si="7"/>
        <v>No</v>
      </c>
      <c r="AO81" s="2">
        <f>MROUND(IF(AND(_xlfn.XLOOKUP(B81,'Base stats'!B:B,'Base stats'!C:C)&gt;=0.5,_xlfn.XLOOKUP(B81,'Base stats'!B:B,'Base stats'!C:C)&lt;=0.8),
IF(_xlfn.XLOOKUP(B81,'Base stats'!B:B,'Base stats'!C:C)&lt;0.1,0.05,IF(_xlfn.XLOOKUP(B81,'Base stats'!B:B,'Base stats'!C:C)&lt;=70,(_xlfn.XLOOKUP(B81,'Base stats'!B:B,'Base stats'!C:C)/70)^0.426489913056526,IF(_xlfn.XLOOKUP(B81,'Base stats'!B:B,'Base stats'!C:C)&lt;=400,(_xlfn.XLOOKUP(B81,'Base stats'!B:B,'Base stats'!C:C)/70)^0.572811455315093,IF(_xlfn.XLOOKUP(B81,'Base stats'!B:B,'Base stats'!C:C)&lt;=2000,2.71391647193063*(_xlfn.XLOOKUP(B81,'Base stats'!B:B,'Base stats'!C:C)/400)^0.252459582904293,3.74314280240376*(_xlfn.XLOOKUP(B81,'Base stats'!B:B,'Base stats'!C:C)/2000)^0.357012633876913)))),
IF(_xlfn.XLOOKUP(B81,'Base stats'!B:B,'Base stats'!C:C)&lt;0.1,0.05,IF(_xlfn.XLOOKUP(B81,'Base stats'!B:B,'Base stats'!C:C)&lt;0.4,0.1,IF(_xlfn.XLOOKUP(B81,'Base stats'!B:B,'Base stats'!C:C)&lt;=70,(_xlfn.XLOOKUP(B81,'Base stats'!B:B,'Base stats'!C:C)/70)^0.445823913056526,IF(_xlfn.XLOOKUP(B81,'Base stats'!B:B,'Base stats'!C:C)&lt;=400,(_xlfn.XLOOKUP(B81,'Base stats'!B:B,'Base stats'!C:C)/70)^0.572811455315093,IF(_xlfn.XLOOKUP(B81,'Base stats'!B:B,'Base stats'!C:C)&lt;=2000,2.71391647193063*(_xlfn.XLOOKUP(B81,'Base stats'!B:B,'Base stats'!C:C)/400)^0.252459582904293,3.74314280240376*(_xlfn.XLOOKUP(B81,'Base stats'!B:B,'Base stats'!C:C)/2000)^0.357012633876913)))))),
IF(_xlfn.XLOOKUP(B81,'Base stats'!B:B,'Base stats'!C:C)&lt;0.1,0.05,IF(_xlfn.XLOOKUP(B81,'Base stats'!B:B,'Base stats'!C:C)&lt;=100,0.05,IF(_xlfn.XLOOKUP(B81,'Base stats'!B:B,'Base stats'!C:C)&lt;=250,0.1,IF(_xlfn.XLOOKUP(B81,'Base stats'!B:B,'Base stats'!C:C)&lt;=4000,0.25,0.5)))))</f>
        <v>0.30000000000000004</v>
      </c>
      <c r="AP81" s="8">
        <f>MROUND(AO81*_xlfn.XLOOKUP(_xlfn.XLOOKUP(B81,'Base stats'!B:B,'Base stats'!E:E),Groups!A:A,Groups!AI:AI)*_xlfn.XLOOKUP(B81,'Base stats'!B:B,'Base stats'!Z:Z),0.05)</f>
        <v>0.30000000000000004</v>
      </c>
      <c r="AQ81" s="8">
        <f>MAX(0.01,MROUND(IF(CC81="True",0.196*(AO81*100*1000)^0.889,IF(_xlfn.XLOOKUP(_xlfn.XLOOKUP(B81,'Base stats'!B:B,'Base stats'!E:E),Groups!A:A,Groups!AJ:AJ)="Bird",10.5*(AO81*100*1000)^0.681,4.82*(AO81*100*1000)^0.734))/(4.82*(1*100*1000)^0.734)/IF(AO81&lt;3.5,2,IF(AO81=3.5,1.5,1.25))*(1+0.132282374779864/(AO81^0.994035016789033+0.00905238001496948)),0.05))</f>
        <v>0.30000000000000004</v>
      </c>
      <c r="AR81" s="9">
        <f>IFERROR(MROUND(_xlfn.XLOOKUP(B81,'Base stats'!B:B,'Base stats'!H:H)/IF(_xlfn.XLOOKUP(B81,'Base stats'!B:B,'Base stats'!I:I)&lt;&gt;1,(122.5/70),1.2),IF(_xlfn.XLOOKUP(B81,'Base stats'!B:B,'Base stats'!H:H)&gt;=30,5,IF(_xlfn.XLOOKUP(B81,'Base stats'!B:B,'Base stats'!H:H)&gt;=15,3,IF(_xlfn.XLOOKUP(B81,'Base stats'!B:B,'Base stats'!H:H)&gt;=10,2,1)))),"Immortal")</f>
        <v>12</v>
      </c>
      <c r="AS81" s="35">
        <f>IFERROR(IF(OR(_xlfn.XLOOKUP(B81,'Base stats'!B:B,'Base stats'!F:F)="Atypical reproduction",_xlfn.XLOOKUP(B81,'Base stats'!B:B,'Base stats'!F:F)="Lay eggs"),"Lay eggs",MIN(20,MAX(5.5,ROUND(((_xlfn.XLOOKUP(B81,'Base stats'!B:B,'Base stats'!F:F)-25)*(14.5/615) + 5.5)*2,0)/2))),"Unknown")</f>
        <v>6.5</v>
      </c>
      <c r="AT81" s="8">
        <f>IF(_xlfn.XLOOKUP(B81,'Base stats'!B:B,'Base stats'!G:G)="Atypical reproduction","No",IFERROR(MAX(IF(_xlfn.XLOOKUP(B81,'Base stats'!B:B,'Base stats'!G:G)&lt;0.5,0.2,0.3),MROUND(_xlfn.XLOOKUP(B81,'Base stats'!B:B,'Base stats'!G:G)/(365/60),0.2)),"Unknown"))</f>
        <v>0.3</v>
      </c>
      <c r="AU81" s="8">
        <f t="shared" si="8"/>
        <v>0.15000000000000002</v>
      </c>
      <c r="AV81" s="8">
        <f>IFERROR(IFERROR(MROUND(_xlfn.XLOOKUP(B81,'Base stats'!B:B,'Base stats'!J:J),0.1),"Lay eggs"),"Cannot breed")</f>
        <v>2</v>
      </c>
      <c r="AW81" s="2" t="str">
        <f t="shared" si="9"/>
        <v>false</v>
      </c>
      <c r="AX81" s="2" t="str">
        <f>IF(_xlfn.XLOOKUP(_xlfn.XLOOKUP(Animals!B81,'Base stats'!B:B,'Base stats'!E:E),Groups!A:A,Groups!AK:AK)=1,"true","false")</f>
        <v>false</v>
      </c>
      <c r="AY81" s="25" t="str">
        <f>IF(_xlfn.XLOOKUP(B81,'Base stats'!B:B,'Base stats'!Y:Y)="Liquor","Liquor, CarnivoreAnimalStrict",IF(AND(_xlfn.XLOOKUP(B81,'Base stats'!B:B,'Base stats'!Y:Y)="Carnivore",_xlfn.XLOOKUP(_xlfn.XLOOKUP(B81,'Base stats'!B:B,'Base stats'!E:E),Groups!A:A,Groups!AJ:AJ)="Photonozoa"),"CarnivoreAnimalStrict, OvivoreAnimal",IF(_xlfn.XLOOKUP(B81,'Base stats'!B:B,'Base stats'!Y:Y)="Carnivore","CarnivoreAnimal, OvivoreAnimal",IF(_xlfn.XLOOKUP(B81,'Base stats'!B:B,'Base stats'!Y:Y)="Dendrovore","VegetarianRoughAnimal, DendrovoreAnimal",IF(_xlfn.XLOOKUP(B81,'Base stats'!B:B,'Base stats'!Y:Y)="Herbivore","VegetarianRoughAnimal",IF(_xlfn.XLOOKUP(B81,'Base stats'!B:B,'Base stats'!Y:Y)="OmnivoreRough","OmnivoreRoughAnimal, OvivoreAnimal","OmnivoreAnimal, OvivoreAnimal"))))))</f>
        <v>OmnivoreAnimal, OvivoreAnimal</v>
      </c>
      <c r="AZ81" s="2" t="str">
        <f>IF(_xlfn.XLOOKUP(_xlfn.XLOOKUP(B81,'Base stats'!B:B,'Base stats'!E:E),Groups!A:A,Groups!D:D)=1,MROUND((1-J81)*5+1,2)*IF(J81&lt;=0.4,2,1),"No")</f>
        <v>No</v>
      </c>
      <c r="BA81" s="2" t="str">
        <f>IF(AND(_xlfn.XLOOKUP(B81,'Base stats'!B:B,'Base stats'!AH:AH)="&lt;li&gt;Seal&lt;/li&gt;",G81="Odyssey"),"&lt;li&gt;AEXP_Seal&lt;/li&gt;",_xlfn.XLOOKUP(B81,'Base stats'!B:B,'Base stats'!AH:AH))</f>
        <v>No</v>
      </c>
      <c r="BB81" s="2" t="str">
        <f>_xlfn.XLOOKUP(B81,'Base stats'!B:B,'Base stats'!AG:AG)</f>
        <v>Leather_Armadillo</v>
      </c>
      <c r="BC81" s="23" t="str">
        <f>_xlfn.XLOOKUP(_xlfn.XLOOKUP(B81,'Base stats'!B:B,'Base stats'!E:E),Groups!A:A,Groups!AL:AL)</f>
        <v>QuadrupedAnimalWithPawsAndTail</v>
      </c>
      <c r="BD81" s="23">
        <f>MIN(1,MROUND(IF(AND(AO81&lt;0.5,_xlfn.XLOOKUP(B81,'Base stats'!B:B,'Base stats'!AA:AA)=0),0,IF(OR(_xlfn.XLOOKUP(Animals!B81,'Base stats'!B:B,'Base stats'!O:O)=2,_xlfn.XLOOKUP(_xlfn.XLOOKUP(B81,'Base stats'!B:B,'Base stats'!E:E),Groups!A:A,Groups!AN:AN)=0),0,_xlfn.XLOOKUP(_xlfn.XLOOKUP(B81,'Base stats'!B:B,'Base stats'!E:E),Groups!A:A,Groups!AN:AN)/IF(_xlfn.XLOOKUP(Animals!B81,'Base stats'!B:B,'Base stats'!O:O)=1,2,1)))+_xlfn.XLOOKUP(B81,'Base stats'!B:B,'Base stats'!AC:AC),0.005))</f>
        <v>0</v>
      </c>
      <c r="BE81" s="23">
        <f>MIN(1,MROUND(IF(AND(AO81&lt;0.5,_xlfn.XLOOKUP(B81,'Base stats'!B:B,'Base stats'!AA:AA)=0),0,IF(_xlfn.XLOOKUP(_xlfn.XLOOKUP(B81,'Base stats'!B:B,'Base stats'!E:E),Groups!A:A,Groups!AO:AO)=0,0,_xlfn.XLOOKUP(_xlfn.XLOOKUP(B81,'Base stats'!B:B,'Base stats'!E:E),Groups!A:A,Groups!AO:AO)/IF(_xlfn.XLOOKUP(Animals!B81,'Base stats'!B:B,'Base stats'!O:O)=2,3,1)))+_xlfn.XLOOKUP(B81,'Base stats'!B:B,'Base stats'!AD:AD),0.005))</f>
        <v>0</v>
      </c>
      <c r="BF81" s="2" t="str">
        <f>IF(J81&gt;0.3,"No",_xlfn.XLOOKUP(_xlfn.XLOOKUP(Animals!B81,'Base stats'!B:B,'Base stats'!E:E),Groups!A:A,Groups!AP:AP))</f>
        <v>No</v>
      </c>
      <c r="BG81" s="2" t="str">
        <f>IF(AND(J81&lt;=0.65,_xlfn.XLOOKUP(_xlfn.XLOOKUP(Animals!B81,'Base stats'!B:B,'Base stats'!E:E),Groups!A:A,Groups!AP:AP)&lt;&gt;"No",_xlfn.XLOOKUP(_xlfn.XLOOKUP(B81,'Base stats'!B:B,'Base stats'!E:E),Groups!A:A,Groups!D:D)=0),MROUND((80/3)*IF(_xlfn.XLOOKUP(B81,'Base stats'!B:B,'Base stats'!O:O)=2,0.2,AO81) + 24*(1-IF(BF81="No",0,BF81)) + 16/3, 12),"No")</f>
        <v>No</v>
      </c>
      <c r="BH81" s="2">
        <f>IF(AND(_xlfn.XLOOKUP(_xlfn.XLOOKUP(B81,'Base stats'!B:B,'Base stats'!E:E),Groups!A:A,Groups!AQ:AQ)=1,AO81&lt;=0.35),8,12)</f>
        <v>12</v>
      </c>
      <c r="BI81" s="2" t="str">
        <f>IF(_xlfn.XLOOKUP(_xlfn.XLOOKUP(B81,'Base stats'!B:B,'Base stats'!E:E),Groups!A:A,Groups!D:D)=0,_xlfn.XLOOKUP(_xlfn.XLOOKUP(B81,'Base stats'!B:B,'Base stats'!E:E),Groups!A:A,Groups!AR:AR),"None")</f>
        <v>None</v>
      </c>
      <c r="BJ81" s="2" t="str">
        <f>IF(AND(_xlfn.XLOOKUP(_xlfn.XLOOKUP(B81,'Base stats'!B:B,'Base stats'!E:E),Groups!A:A,Groups!AS:AS)=1,OR(_xlfn.XLOOKUP(B81,'Base stats'!B:B,'Base stats'!Y:Y)="Carnivore",_xlfn.XLOOKUP(B81,'Base stats'!B:B,'Base stats'!Y:Y)="Omnivore")),"true","false")</f>
        <v>false</v>
      </c>
      <c r="BK81" s="2" t="str">
        <f>IF(BJ81="true",MROUND(IF(AND(AO81&gt;0.5,OR(_xlfn.XLOOKUP(_xlfn.XLOOKUP(B81,'Base stats'!B:B,'Base stats'!E:E),Groups!A:A,Groups!AJ:AJ)="Photonozoa",_xlfn.XLOOKUP(_xlfn.XLOOKUP(B81,'Base stats'!B:B,'Base stats'!E:E),Groups!A:A,Groups!AJ:AJ)="Mammal")),Animals!AO81*1.75*IF(AW81="true",1.5,1),IF(AO81&lt;0.5,Animals!AO81*0.5,Animals!AO81)),IF(AO81&gt;2,0.5,IF(AO81&gt;0.5,0.25,0.1))),"No")</f>
        <v>No</v>
      </c>
      <c r="BL81" s="2">
        <f t="shared" si="10"/>
        <v>0</v>
      </c>
      <c r="BM81" s="25" t="str">
        <f>IF(_xlfn.XLOOKUP(B81,'Base stats'!B:B,'Base stats'!AN:AN)="Standard","No",MROUND((_xlfn.XLOOKUP(B81,'Base stats'!B:B,'Base stats'!AN:AN)/3.6)/I81,0.1))</f>
        <v>No</v>
      </c>
      <c r="BN81" s="25" t="str">
        <f t="shared" si="11"/>
        <v>false</v>
      </c>
      <c r="BO81" s="25" t="str">
        <f>IF(AND(OR(_xlfn.XLOOKUP(B81,'Base stats'!B:B,'Base stats'!Y:Y)="Carnivore",_xlfn.XLOOKUP(B81,'Base stats'!B:B,'Base stats'!Y:Y)="Omnivore",_xlfn.XLOOKUP(B81,'Base stats'!B:B,'Base stats'!Y:Y)="OmnivoreRough"),_xlfn.XLOOKUP(_xlfn.XLOOKUP(B81,'Base stats'!B:B,'Base stats'!E:E),Groups!A:A,Groups!AT:AT)=1),"true","false")</f>
        <v>false</v>
      </c>
      <c r="BP81" s="25" t="str" cm="1">
        <f t="array" ref="BP81">IF(
  _xlfn.TEXTJOIN(", ",TRUE,
    IF(AND(BJ81="true",AO81&gt;0.5,BI81&lt;&gt;"None"),"AttackTarget",""),
    IF(AND(_xlfn.XLOOKUP(_xlfn.XLOOKUP(B81,'Base stats'!B:B,'Base stats'!E:E),Groups!A:A,Groups!AJ:AJ="Mammal"),OR(_xlfn.XLOOKUP(B81,'Base stats'!B:B,'Base stats'!Y:Y)="Omnivore",_xlfn.XLOOKUP(B81,'Base stats'!B:B,'Base stats'!Y:Y)="OmnivoreRough")),"Forage",""),
    IF(BG81&lt;=36,"Comfort",""),
    IF(_xlfn.XLOOKUP(B81,'Base stats'!B:B,'Base stats'!AE:AE)&lt;&gt;"No",_xlfn.XLOOKUP(B81,'Base stats'!B:B,'Base stats'!AE:AE),"")
  ) = "",
  "No",
  _xlfn.TEXTJOIN(", ",TRUE,
    IF(AND(BJ81="true",AO81&gt;0.5,BI81&lt;&gt;"None"),"AttackTarget",""),
    IF(AND(_xlfn.XLOOKUP(_xlfn.XLOOKUP(B81,'Base stats'!B:B,'Base stats'!E:E),Groups!A:A,Groups!AJ:AJ="Mammal"),OR(_xlfn.XLOOKUP(B81,'Base stats'!B:B,'Base stats'!Y:Y)="Omnivore",_xlfn.XLOOKUP(B81,'Base stats'!B:B,'Base stats'!Y:Y)="OmnivoreRough")),"Forage",""),
    IF(BG81&lt;=36,"Comfort",""),
    IF(_xlfn.XLOOKUP(B81,'Base stats'!B:B,'Base stats'!AE:AE)&lt;&gt;"No",_xlfn.XLOOKUP(B81,'Base stats'!B:B,'Base stats'!AE:AE),"")
  )
)</f>
        <v>Forage</v>
      </c>
      <c r="BQ81" s="25" t="str">
        <f>IF(
   AND(
      'Base stats'!AN81="Standard",_xlfn.XLOOKUP(_xlfn.XLOOKUP(B81,'Base stats'!B:B,'Base stats'!E:E),Groups!A:A,Groups!AU:AU)=0,
      OR(
      BO81="True"
      )
   ),
   10,
   IF(
       OR(BM81&lt;&gt;"No",_xlfn.XLOOKUP(_xlfn.XLOOKUP(B81,'Base stats'!B:B,'Base stats'!E:E),Groups!A:A,Groups!AU:AU)=1),
      1,
      "No"
   )
)</f>
        <v>No</v>
      </c>
      <c r="BR81" s="9">
        <f>MROUND((1 + ((0.2*IF(OR(Q81="No",R81="No",R81=0),0,Q81/R81)
+IF(OR(V81="No",S81="No",T81="No"),0,S81/T81*(LEN(V81)-LEN(SUBSTITUTE(V81,",",""))+1))
+IF(OR(X81="No",Y81="No"),0,X81/Y81)
+IF(OR(AD81="No",AE81="No"),0,AD81/AE81)
+IF(OR(AL81="No",AI81="No",AJ81="No"),0,AI81/AJ81*(LEN(AL81)-LEN(SUBSTITUTE(AL81,",",""))+1))
)/(0.2*IF(OR(Q81="No",R81="No",R81=0),0,1)
+IF(OR(V81="No",S81="No",T81="No"),0,LEN(V81)-LEN(SUBSTITUTE(V81,",",""))+1)
+IF(OR(X81="No",Y81="No"),0,1)
+IF(OR(AD81="No",AE81="No"),0,1)
+IF(OR(AL81="No",AI81="No",AJ81="No"),0,LEN(AL81)-LEN(SUBSTITUTE(AL81,",",""))+1))*62%)* 2)*(1 + (AP81 / (IF(_xlfn.XLOOKUP(_xlfn.XLOOKUP(B81,'Base stats'!B:B,'Base stats'!E:E),Groups!A:A,Groups!AJ:AJ)="Photonozoa",0.3,1)) + _xlfn.XLOOKUP(B81,'Base stats'!B:B,'Base stats'!AV:AV) * 1.8) * 2) * 2.5 + 10 + I81 * 2,5)+IF(_xlfn.XLOOKUP(B81,'Base stats'!B:B,'Base stats'!AK:AK)=1,50,0)</f>
        <v>50</v>
      </c>
      <c r="BS81" s="8">
        <f t="shared" si="12"/>
        <v>0.30000000000000004</v>
      </c>
      <c r="BT81" s="8" t="str">
        <f>_xlfn.XLOOKUP(B81,'Base stats'!B:B,'Base stats'!AF:AF)</f>
        <v>No</v>
      </c>
      <c r="BU81" s="2" t="str">
        <f>IF(AND(J81&lt;=0.95,OR(_xlfn.XLOOKUP(B81,'Base stats'!B:B,'Base stats'!AK:AK)=1,_xlfn.XLOOKUP(B81,'Base stats'!B:B,'Base stats'!Y:Y)="Carnivore",_xlfn.XLOOKUP(B81,'Base stats'!B:B,'Base stats'!Y:Y)="Omnivore",BE81&gt;0.1)),"true","false")</f>
        <v>true</v>
      </c>
      <c r="BV81" s="2" t="str">
        <f>IF(_xlfn.XLOOKUP(B81,'Base stats'!B:B,'Base stats'!AI:AI)=1,"true","false")</f>
        <v>false</v>
      </c>
      <c r="BW81" s="25" t="str">
        <f>IF(E81="BaseInsect","AnimalInsect",
IF(J81&gt;0.95,"AnimalExotic",
_xlfn.TEXTJOIN(", ",TRUE,
IF(OR(_xlfn.XLOOKUP(B81,'Base stats'!B:B,'Base stats'!AM:AM)=1,AND(_xlfn.XLOOKUP(B81,'Base stats'!B:B,'Base stats'!O:O)=0,_xlfn.XLOOKUP(_xlfn.XLOOKUP(B81,'Base stats'!B:B,'Base stats'!E:E),Groups!A:A,Groups!B:B)&gt;0)),"AnimalUncommon","AnimalCommon"),
IF(AND(_xlfn.XLOOKUP(B81,'Base stats'!B:B,'Base stats'!O:O)=2,_xlfn.XLOOKUP(_xlfn.XLOOKUP(B81,'Base stats'!B:B,'Base stats'!E:E),Groups!A:A,Groups!D:D)=0),"AnimalPet",IF(AND(_xlfn.XLOOKUP(B81,'Base stats'!B:B,'Base stats'!O:O)&lt;&gt;0,_xlfn.XLOOKUP(_xlfn.XLOOKUP(B81,'Base stats'!B:B,'Base stats'!E:E),Groups!A:A,Groups!D:D)&lt;&gt;0),"AnimalFarm","")),
IF(OR(_xlfn.XLOOKUP(B81,'Base stats'!B:B,'Base stats'!AK:AK)=1,AND(BI81&lt;&gt;"None",BR81&gt;=60),ISNUMBER(SEARCH("Attack target",BP81))),"AnimalFighter","")
)))</f>
        <v>AnimalUncommon</v>
      </c>
      <c r="BX81" s="25" t="str">
        <f>IF(G81="None",TRIM(
SUBSTITUTE(
IF(COUNTIF(Biomes!B$2:B$259,"="&amp;$C81)&gt;0,Biomes!B$1&amp;", ","")&amp;
IF(COUNTIF(Biomes!C$2:C$259,"="&amp;$C81)&gt;0,Biomes!C$1&amp;", ","")&amp;
IF(COUNTIF(Biomes!D$2:D$259,"="&amp;$C81)&gt;0,Biomes!D$1&amp;", ","")&amp;
IF(COUNTIF(Biomes!F$2:F$259,"="&amp;$C81)&gt;0,Biomes!F$1&amp;", ","")&amp;
IF(COUNTIF(Biomes!G$2:G$259,"="&amp;$C81)&gt;0,Biomes!G$1&amp;", ","")&amp;
IF(COUNTIF(Biomes!H$2:H$259,"="&amp;$C81)&gt;0,Biomes!H$1&amp;", ","")&amp;
IF(COUNTIF(Biomes!I$2:I$259,"="&amp;$C81)&gt;0,Biomes!I$1&amp;", ","")&amp;
IF(COUNTIF(Biomes!J$2:J$259,"="&amp;$C81)&gt;0,Biomes!J$1&amp;", ","")&amp;
IF(COUNTIF(Biomes!M$2:M$259,"="&amp;$C81)&gt;0,Biomes!M$1&amp;", ","")&amp;
IF(COUNTIF(Biomes!N$2:N$259,"="&amp;$C81)&gt;0,Biomes!N$1&amp;", ","")&amp;
IF(COUNTIF(Biomes!O$2:O$259,"="&amp;$C81)&gt;0,Biomes!O$1&amp;", ","")&amp;
IF(COUNTIF(Biomes!P$2:P$259,"="&amp;$C81)&gt;0,Biomes!P$1&amp;", ","")&amp;
IF(COUNTIF(Biomes!K$2:K$259,"="&amp;$C81)&gt;0,Biomes!K$1&amp;", ","")&amp;
IF(COUNTIF(Biomes!Q$3:Q$259,"="&amp;$C81)&gt;0,Biomes!Q$1&amp;", ","")&amp;
IF(COUNTIF(Biomes!L$2:L$259,"="&amp;$C81)&gt;0,Biomes!L$1&amp;", ","")&amp;
IF(COUNTIF(Biomes!E$2:E$259,"="&amp;$C81)&gt;0,Biomes!E$1&amp;", ","")&amp;IF(COUNTIF(Biomes!S$2:S$259,"="&amp;$C81)&gt;0,Biomes!S$1&amp;", ","")&amp;
IF(COUNTIF(Biomes!R$2:R$259,"="&amp;$C81)&gt;0,Biomes!R$1&amp;", ",""),", ","")
),_xlfn.XLOOKUP(B81,B:B,BX:BX))</f>
        <v>AridShrubland Desert ExtremeDesert TropicalRainforest TropicalSwamp Grasslands Glowforest LavaField</v>
      </c>
      <c r="BY81" s="25" t="str">
        <f>IF(_xlfn.XLOOKUP(B81,'Base stats'!B:B,'Base stats'!AJ:AJ)=1,"true","false")</f>
        <v>false</v>
      </c>
      <c r="BZ81" s="25">
        <f>IF(_xlfn.XLOOKUP(B81,'Base stats'!B:B,'Base stats'!N:N)=1,"No",MAX(0.001,MIN(MROUND(IF(AND(BJ81="True",CC81="False"),POWER(10,3.47*LOG10(_xlfn.XLOOKUP(B81,'Base stats'!B:B,'Base stats'!C:C)*1000)^-0.96),POWER(10,4.15*LOG10(_xlfn.XLOOKUP(B81,'Base stats'!B:B,'Base stats'!C:C)*1000)^-0.73))*IF(_xlfn.XLOOKUP(B81,'Base stats'!B:B,'Base stats'!AK:AK)=1,0.5,1)*IF(_xlfn.XLOOKUP(B81,'Base stats'!B:B,'Base stats'!AM:AM)=1,0.1,1)/100,IF(_xlfn.XLOOKUP(B81,'Base stats'!B:B,'Base stats'!AM:AM)=1,0.001,0.025)),0.5)))</f>
        <v>0.4</v>
      </c>
      <c r="CA81" s="25" t="str">
        <f>IF(P81="Standard","No",MAX(0.001,MIN(MROUND(IF(AND(BJ81="True",CC81="False"),POWER(10,3.47*LOG10(_xlfn.XLOOKUP(B81,'Base stats'!B:B,'Base stats'!C:C)*1000)^-0.96),POWER(10,4.15*LOG10(_xlfn.XLOOKUP(B81,'Base stats'!B:B,'Base stats'!C:C)*1000)^-0.73))*IF(_xlfn.XLOOKUP(B81,'Base stats'!B:B,'Base stats'!AM:AM)=1,0.1,1)*_xlfn.XLOOKUP(B81,'Base stats'!B:B,'Base stats'!R:R)/100,IF(_xlfn.XLOOKUP(B81,'Base stats'!B:B,'Base stats'!AM:AM)=1,0.001,0.025)),0.5)))</f>
        <v>No</v>
      </c>
      <c r="CB81" s="25" t="str">
        <f>IF(_xlfn.XLOOKUP(_xlfn.XLOOKUP(B81,'Base stats'!B:B,'Base stats'!E:E),Groups!A:A,Groups!AJ:AJ)="Mammal","True","False")</f>
        <v>True</v>
      </c>
      <c r="CC81" s="25" t="str">
        <f>IF(OR(_xlfn.XLOOKUP(_xlfn.XLOOKUP(B81,'Base stats'!B:B,'Base stats'!E:E),Groups!A:A,Groups!AJ:AJ)="Reptile",_xlfn.XLOOKUP(_xlfn.XLOOKUP(B81,'Base stats'!B:B,'Base stats'!E:E),Groups!A:A,Groups!AJ:AJ)="Amphibian",_xlfn.XLOOKUP(_xlfn.XLOOKUP(B81,'Base stats'!B:B,'Base stats'!E:E),Groups!A:A,Groups!AJ:AJ)="Invertebrate"),"True","False")</f>
        <v>False</v>
      </c>
      <c r="CD81" s="25" t="str">
        <f t="shared" si="13"/>
        <v>False</v>
      </c>
      <c r="CE81" s="25" t="str">
        <f>IF(_xlfn.XLOOKUP(_xlfn.XLOOKUP(B81,'Base stats'!B:B,'Base stats'!E:E),Groups!A:A,Groups!AX:AX),"True","False")</f>
        <v>False</v>
      </c>
      <c r="CF81" s="25" t="str">
        <f>IF(_xlfn.XLOOKUP(_xlfn.XLOOKUP(B81,'Base stats'!B:B,'Base stats'!E:E),Groups!A:A,Groups!AY:AY),"True","False")</f>
        <v>False</v>
      </c>
      <c r="CG81" s="25" t="str">
        <f>IF(_xlfn.XLOOKUP(_xlfn.XLOOKUP(B81,'Base stats'!B:B,'Base stats'!E:E),Groups!A:A,Groups!AW:AW),"True","False")</f>
        <v>False</v>
      </c>
      <c r="CH81" s="25" t="str">
        <f>IF(
OR(
_xlfn.XLOOKUP(_xlfn.XLOOKUP(B81,'Base stats'!B:B,'Base stats'!E:E),Groups!A:A,Groups!AZ:AZ)=0,
AND(
_xlfn.XLOOKUP(B81,'Base stats'!B:B,'Base stats'!Y:Y)&lt;&gt;"Carnivore",
_xlfn.XLOOKUP(B81,'Base stats'!B:B,'Base stats'!Y:Y)&lt;&gt;"Omnivore",
_xlfn.XLOOKUP(B81,'Base stats'!B:B,'Base stats'!Y:Y)&lt;&gt;"OmnivoreRough"
)
),
"No",
IF(
_xlfn.XLOOKUP(_xlfn.XLOOKUP(B81,'Base stats'!B:B,'Base stats'!E:E),Groups!A:A,Groups!AZ:AZ)=1,
"Flesh",
IF(
_xlfn.XLOOKUP(_xlfn.XLOOKUP(B81,'Base stats'!B:B,'Base stats'!E:E),Groups!A:A,Groups!AZ:AZ)=2,
"Bone",
""
)
)
)</f>
        <v>No</v>
      </c>
      <c r="CI81" s="25" t="str">
        <f>IF(_xlfn.XLOOKUP(_xlfn.XLOOKUP(B81,'Base stats'!B:B,'Base stats'!E:E),Groups!A:A,Groups!BB:BB),"True","False")</f>
        <v>True</v>
      </c>
      <c r="CJ81" s="25" t="str">
        <f>IF(_xlfn.XLOOKUP(_xlfn.XLOOKUP(B81,'Base stats'!B:B,'Base stats'!E:E),Groups!A:A,Groups!BA:BA),"True","False")</f>
        <v>False</v>
      </c>
    </row>
    <row r="82" spans="1:88" ht="16.5" thickTop="1" thickBot="1" x14ac:dyDescent="0.3">
      <c r="A82" s="26" t="str">
        <f>_xlfn.XLOOKUP(B82,'Base stats'!B:B,'Base stats'!A:A)</f>
        <v>Wolverine</v>
      </c>
      <c r="B82" s="6" t="s">
        <v>245</v>
      </c>
      <c r="C82" s="28" t="s">
        <v>762</v>
      </c>
      <c r="D82" s="28" t="s">
        <v>870</v>
      </c>
      <c r="E82" s="28" t="s">
        <v>673</v>
      </c>
      <c r="F82" s="28" t="s">
        <v>673</v>
      </c>
      <c r="G82" s="28" t="s">
        <v>673</v>
      </c>
      <c r="H82" s="2">
        <f>MROUND((
  (IF(AND(_xlfn.XLOOKUP(B82,'Base stats'!B:B,'Base stats'!AL:AL)=0,BI82="None",_xlfn.XLOOKUP(_xlfn.XLOOKUP(B82,'Base stats'!B:B,'Base stats'!E:E),Groups!A:A,Groups!B:B)=0), (18 + BR82 * 2.7) * 0.5,
    IF(AND(_xlfn.XLOOKUP(B82,'Base stats'!B:B,'Base stats'!AL:AL)=0,OR(AO82&lt;0.55,AND(BI82="Intermediate",_xlfn.XLOOKUP(_xlfn.XLOOKUP(B82,'Base stats'!B:B,'Base stats'!E:E),Groups!A:A,Groups!B:B)&lt;2))), (18 + BR82 * 2.7),
      IF(OR(BI82="Advanced",_xlfn.XLOOKUP(B82,'Base stats'!B:B,'Base stats'!AL:AL)=1,_xlfn.XLOOKUP(_xlfn.XLOOKUP(B82,'Base stats'!B:B,'Base stats'!E:E),Groups!A:A,Groups!B:B)=2), (18 + BR82 * 2.7) + 250, (18 + BR82 * 2.7))
    )
  ))
  + AO82 * 80
  + IF(COUNTIF(EggMilk!K$2:K$998, A82) &gt; 0, 125, 0)
  + IF(COUNTIF(EggMilk!P$2:P$998, A82) &gt; 0, 90, 0)
  + IF(COUNTIF(EggMilk!A$2:A$998, A82) &gt; 0, 90, 0)
)
* (0.8 + 0.4 * J82)
* 0.75,25)</f>
        <v>200</v>
      </c>
      <c r="I82" s="2">
        <f>MROUND(ROUNDDOWN(_xlfn.XLOOKUP(B82,'Base stats'!B:B,'Base stats'!L:L)/3.6/(23.3/11),1),0.5)</f>
        <v>4</v>
      </c>
      <c r="J82" s="2">
        <f>IF(OR(_xlfn.XLOOKUP(B82,'Base stats'!B:B,'Base stats'!AB:AB)=1,_xlfn.XLOOKUP(_xlfn.XLOOKUP(B82,'Base stats'!B:B,'Base stats'!E:E),Groups!A:A,Groups!C:C)="Untamable"),1,IF(_xlfn.XLOOKUP(B82,'Base stats'!B:B,'Base stats'!AL:AL)=1,0.99,MIN(MROUND((1-0.6282*EXP(-0.459*AO82))*_xlfn.XLOOKUP(_xlfn.XLOOKUP(B82,'Base stats'!B:B,'Base stats'!E:E),Groups!A:A,Groups!C:C)*IF(_xlfn.XLOOKUP(B82,'Base stats'!B:B,'Base stats'!O:O)=1,0.5,IF(_xlfn.XLOOKUP(B82,'Base stats'!B:B,'Base stats'!O:O)=2,0,1)),0.05),IF(AO82&gt;3.5,0.985,0.95))))</f>
        <v>0.75</v>
      </c>
      <c r="K82" s="2">
        <f>ROUNDUP(AO82*_xlfn.XLOOKUP(_xlfn.XLOOKUP(B82,'Base stats'!B:B,'Base stats'!E:E),Groups!A:A,Groups!E:E),0)</f>
        <v>1</v>
      </c>
      <c r="L82" s="2">
        <f>IF(OR(_xlfn.XLOOKUP(_xlfn.XLOOKUP(B82,'Base stats'!B:B,'Base stats'!E:E),Groups!A:A,Groups!F:F)=2,ISNUMBER(SEARCH("SeaIce",BX82)),ISNUMBER(SEARCH("IceSheet",BX82))),-50,IF(OR(ISNUMBER(SEARCH("GlacialPlain",BX82)),ISNUMBER(SEARCH("Tundra",BX82))),-40,IF(OR(ISNUMBER(SEARCH("Alpine",BX82)),ISNUMBER(SEARCH("BorealForest",BX82)),ISNUMBER(SEARCH("ColdBog",BX82))),-30,IF(OR(ISNUMBER(SEARCH("TemperateForest",BX82)),ISNUMBER(SEARCH("TemperateSwamp",BX82))),-20,IF(_xlfn.XLOOKUP(_xlfn.XLOOKUP(B82,'Base stats'!B:B,'Base stats'!E:E),Groups!A:A,Groups!F:F)=1,-15,IF(OR(ISNUMBER(SEARCH("Desert",BX82)),ISNUMBER(SEARCH("ExtremeDesert",BX82))),-10,IF(OR(ISNUMBER(SEARCH("Grasslands",BX82)),ISNUMBER(SEARCH("TropicalRainforest",BX82)),ISNUMBER(SEARCH("TropicalSwamp",BX82))),10,0)))))))-IF(CC82="False",MIN(IFERROR(MAX(MROUND(LOG10(_xlfn.XLOOKUP(B82,'Base stats'!B:B,'Base stats'!C:C)^(2/3))*10,5),5),5),30))-_xlfn.XLOOKUP(B82,'Base stats'!B:B,'Base stats'!P:P)+IF(CC82="True",5,0)</f>
        <v>-50</v>
      </c>
      <c r="M82" s="2">
        <f>IF(OR(_xlfn.XLOOKUP(_xlfn.XLOOKUP(B82,'Base stats'!B:B,'Base stats'!E:E),Groups!A:A,Groups!G:G)=2,ISNUMBER(SEARCH("Desert",BX82)),ISNUMBER(SEARCH("ExtremeDesert",BX82)),ISNUMBER(SEARCH("LavaField",BX82))),50,IF(ISNUMBER(SEARCH("Grasslands",BX82)),45,IF(OR(_xlfn.XLOOKUP(_xlfn.XLOOKUP(B82,'Base stats'!B:B,'Base stats'!E:E),Groups!A:A,Groups!G:G)=1,ISNUMBER(SEARCH("TropicalRainforest",BX82)),ISNUMBER(SEARCH("TropicalSwamp",BX82))),40,IF(OR(ISNUMBER(SEARCH("TemperateForest",BX82)),ISNUMBER(SEARCH("TemperateSwamp",BX82))),35,IF(OR(ISNUMBER(SEARCH("Alpine",BX82)),ISNUMBER(SEARCH("BorealForest",BX82)),ISNUMBER(SEARCH("ColdBog",BX82))),30,IF(ISNUMBER(OR(ISNUMBER(SEARCH("GlacialPlain",BX82)),SEARCH("Tundra",BX82))),25,IF(OR(ISNUMBER(SEARCH("SeaIce",BX82)),ISNUMBER(SEARCH("IceSheet",BX82)),ISNUMBER(SEARCH("TropicalSwamp",BX82))),10,35)))))))+_xlfn.XLOOKUP(B82,'Base stats'!B:B,'Base stats'!Q:Q)</f>
        <v>30</v>
      </c>
      <c r="N82" s="8" t="str">
        <f>IF(
_xlfn.XLOOKUP(
_xlfn.XLOOKUP(B82,'Base stats'!B:B,'Base stats'!E:E),
Groups!A:A,
Groups!L:L
)=1,
MIN(
MROUND(
IF(
_xlfn.XLOOKUP(B82,'Animals CE'!B:B,'Animals CE'!Z:Z)&lt;=1.5,
_xlfn.XLOOKUP(B82,'Animals CE'!B:B,'Animals CE'!Z:Z)/2+0.05,
0.8+
(_xlfn.XLOOKUP(B82,'Animals CE'!B:B,'Animals CE'!Z:Z)-1.5)
*0.02
),
0.05
),
200%
),
"No"
)</f>
        <v>No</v>
      </c>
      <c r="O82" s="8" t="str">
        <f>IF(
_xlfn.XLOOKUP(
_xlfn.XLOOKUP(B82,'Base stats'!B:B,'Base stats'!E:E),
Groups!A:A,
Groups!L:L
)=1,
MIN(
MROUND(
IF(
_xlfn.XLOOKUP(B82,'Animals CE'!B:B,'Animals CE'!AA:AA)&lt;=1.5,
_xlfn.XLOOKUP(B82,'Animals CE'!B:B,'Animals CE'!AA:AA)/2+0.05,
0.8+
(_xlfn.XLOOKUP(B82,'Animals CE'!B:B,'Animals CE'!AA:AA)-1.5)
*0.02
),
0.05
),
200%
),
"No"
)</f>
        <v>No</v>
      </c>
      <c r="P82" s="2" t="str">
        <f>_xlfn.XLOOKUP(B82,'Base stats'!B:B,'Base stats'!R:R)</f>
        <v>Standard</v>
      </c>
      <c r="Q82" s="13">
        <f>MROUND((LOG10(_xlfn.XLOOKUP(B82,'Base stats'!B:B,'Base stats'!AR:AR))*(AO82^0.5)+(_xlfn.XLOOKUP(B82,'Base stats'!B:B,'Base stats'!AR:AR)/1000)^(2/3)+_xlfn.XLOOKUP(B82,'Base stats'!B:B,'Base stats'!BA:BA)/2)+0.5,0.5)</f>
        <v>4.5</v>
      </c>
      <c r="R82" s="7">
        <f>IF(Q82="No","No",MAX(1,MROUND(_xlfn.XLOOKUP(B82,'Base stats'!B:B,'Base stats'!C:C)^0.165,0.05)))</f>
        <v>1.6500000000000001</v>
      </c>
      <c r="S82" s="13" t="str">
        <f>IF(_xlfn.XLOOKUP(_xlfn.XLOOKUP(B82,'Base stats'!B:B,'Base stats'!E:E),Groups!A:A,Groups!P:P)=0,"No",MROUND((LOG10(_xlfn.XLOOKUP(B82,'Base stats'!B:B,'Base stats'!AS:AS))*(AO82^0.5)+(_xlfn.XLOOKUP(B82,'Base stats'!B:B,'Base stats'!AS:AS)/1000)^(2/3)+_xlfn.XLOOKUP(B82,'Base stats'!B:B,'Base stats'!BA:BA))+_xlfn.XLOOKUP(B82,'Base stats'!B:B,'Base stats'!AY:AY)+0.5,0.5))</f>
        <v>No</v>
      </c>
      <c r="T82" s="7" t="str">
        <f>IF(S82="No","No",MAX(_xlfn.XLOOKUP(_xlfn.XLOOKUP(B82,'Base stats'!B:B,'Base stats'!E:E),Groups!A:A,Groups!Q:Q),MROUND(_xlfn.XLOOKUP(_xlfn.XLOOKUP(B82,'Base stats'!B:B,'Base stats'!E:E),Groups!A:A,Groups!Q:Q)*_xlfn.XLOOKUP(B82,'Base stats'!B:B,'Base stats'!C:C)^0.165,0.05)))</f>
        <v>No</v>
      </c>
      <c r="U82" s="7" t="str">
        <f>IF(S82="No","No",_xlfn.XLOOKUP(_xlfn.XLOOKUP(B82,'Base stats'!B:B,'Base stats'!E:E),Groups!A:A,Groups!R:R))</f>
        <v>No</v>
      </c>
      <c r="V82" s="7" t="str">
        <f>IF(S82="No","No",_xlfn.XLOOKUP(_xlfn.XLOOKUP(B82,'Base stats'!B:B,'Base stats'!E:E),Groups!A:A,Groups!S:S))</f>
        <v>No</v>
      </c>
      <c r="W82" s="7" t="str">
        <f>IF(S82="No","No",_xlfn.XLOOKUP(_xlfn.XLOOKUP(B82,'Base stats'!B:B,'Base stats'!E:E),Groups!A:A,Groups!T:T))</f>
        <v>No</v>
      </c>
      <c r="X82" s="13" t="str">
        <f>IF(_xlfn.XLOOKUP(B82,'Base stats'!B:B,'Base stats'!W:W)="No","No",MROUND((LOG10(_xlfn.XLOOKUP(B82,'Base stats'!B:B,'Base stats'!AU:AU))*(AO82^0.5)+(_xlfn.XLOOKUP(B82,'Base stats'!B:B,'Base stats'!AU:AU)/1000)^(2/3)+_xlfn.XLOOKUP(B82,'Base stats'!B:B,'Base stats'!AZ:AZ))+0.5+IF(_xlfn.XLOOKUP(_xlfn.XLOOKUP(B82,'Base stats'!B:B,'Base stats'!E:E),Groups!A:A,Groups!U:U)&lt;&gt;3,_xlfn.XLOOKUP(B82,'Base stats'!B:B,'Base stats'!BA:BA),0),0.5))</f>
        <v>No</v>
      </c>
      <c r="Y82" s="7" t="str">
        <f>IF(X82="No","No",MAX(_xlfn.XLOOKUP(_xlfn.XLOOKUP(B82,'Base stats'!B:B,'Base stats'!E:E),Groups!A:A,Groups!V:V),MROUND(_xlfn.XLOOKUP(_xlfn.XLOOKUP(B82,'Base stats'!B:B,'Base stats'!E:E),Groups!A:A,Groups!V:V)*_xlfn.XLOOKUP(B82,'Base stats'!B:B,'Base stats'!C:C)^0.165,0.05)))</f>
        <v>No</v>
      </c>
      <c r="Z82" s="7" t="str">
        <f>IF(X82="No","No",_xlfn.XLOOKUP(_xlfn.XLOOKUP(B82,'Base stats'!B:B,'Base stats'!E:E),Groups!A:A,Groups!W:W))</f>
        <v>No</v>
      </c>
      <c r="AA82" s="7" t="str">
        <f>IF(X82="No","No",_xlfn.XLOOKUP(_xlfn.XLOOKUP(B82,'Base stats'!B:B,'Base stats'!E:E),Groups!A:A,Groups!X:X))</f>
        <v>No</v>
      </c>
      <c r="AB82" s="7" t="str">
        <f>IF(X82="No","No",_xlfn.XLOOKUP(_xlfn.XLOOKUP(B82,'Base stats'!B:B,'Base stats'!E:E),Groups!A:A,Groups!Y:Y))</f>
        <v>No</v>
      </c>
      <c r="AC82" s="7" t="str">
        <f>_xlfn.XLOOKUP(Animals!B82,'Base stats'!B:B,'Base stats'!X:X)</f>
        <v>False</v>
      </c>
      <c r="AD82" s="13">
        <f>IF(_xlfn.XLOOKUP(B82,'Base stats'!B:B,'Base stats'!AT:AT)="No","No",MROUND((LOG10(_xlfn.XLOOKUP(B82,'Base stats'!B:B,'Base stats'!AT:AT))*(AO82^0.75)+(_xlfn.XLOOKUP(B82,'Base stats'!B:B,'Base stats'!AT:AT)/1000)^(2/3)+_xlfn.XLOOKUP(B82,'Base stats'!B:B,'Base stats'!AX:AX)+_xlfn.XLOOKUP(B82,'Base stats'!B:B,'Base stats'!BA:BA))+0.5,0.5))</f>
        <v>8.5</v>
      </c>
      <c r="AE82" s="7">
        <f>IF(AD82="No","No",MAX(_xlfn.XLOOKUP(_xlfn.XLOOKUP(B82,'Base stats'!B:B,'Base stats'!E:E),Groups!A:A,Groups!Z:Z),MROUND(_xlfn.XLOOKUP(_xlfn.XLOOKUP(B82,'Base stats'!B:B,'Base stats'!E:E),Groups!A:A,Groups!Z:Z)*_xlfn.XLOOKUP(B82,'Base stats'!B:B,'Base stats'!C:C)^0.165,0.05)))</f>
        <v>1.3</v>
      </c>
      <c r="AF82" s="7" t="str">
        <f>IF(AD82="No","No",_xlfn.XLOOKUP(_xlfn.XLOOKUP(B82,'Base stats'!B:B,'Base stats'!E:E),Groups!A:A,Groups!AA:AA))</f>
        <v>Teeth</v>
      </c>
      <c r="AG82" s="7" t="str">
        <f>IF(AD82="No","No",_xlfn.XLOOKUP(_xlfn.XLOOKUP(B82,'Base stats'!B:B,'Base stats'!E:E),Groups!A:A,Groups!AB:AB))</f>
        <v>canines</v>
      </c>
      <c r="AH82" s="7" t="str">
        <f>IF(AD82="No","No",_xlfn.XLOOKUP(_xlfn.XLOOKUP(B82,'Base stats'!B:B,'Base stats'!E:E),Groups!A:A,Groups!AC:AC))</f>
        <v>Bite</v>
      </c>
      <c r="AI82" s="13">
        <f>IF(_xlfn.XLOOKUP(_xlfn.XLOOKUP(B82,'Base stats'!B:B,'Base stats'!E:E),Groups!A:A,Groups!AD:AD)=0,"No",MROUND((LOG10(_xlfn.XLOOKUP(B82,'Base stats'!B:B,'Base stats'!AS:AS))*(AO82^0.75)+(_xlfn.XLOOKUP(B82,'Base stats'!B:B,'Base stats'!AS:AS)/1000)^(2/3)+_xlfn.XLOOKUP(B82,'Base stats'!B:B,'Base stats'!AY:AY)+_xlfn.XLOOKUP(B82,'Base stats'!B:B,'Base stats'!BA:BA))+0.5,0.5))</f>
        <v>7</v>
      </c>
      <c r="AJ82" s="7">
        <f>IF(AI82="No","No",MAX(_xlfn.XLOOKUP(_xlfn.XLOOKUP(B82,'Base stats'!B:B,'Base stats'!E:E),Groups!A:A,Groups!AE:AE),MROUND(_xlfn.XLOOKUP(_xlfn.XLOOKUP(B82,'Base stats'!B:B,'Base stats'!E:E),Groups!A:A,Groups!AE:AE)*IF(_xlfn.XLOOKUP(_xlfn.XLOOKUP(B82,'Base stats'!B:B,'Base stats'!E:E),Groups!A:A,Groups!AJ:AJ)="Photonozoa",0.6,1)*_xlfn.XLOOKUP(B82,'Base stats'!B:B,'Base stats'!C:C)^0.165,0.05)))</f>
        <v>1.05</v>
      </c>
      <c r="AK82" s="7" t="str">
        <f>IF(AI82="No","No",_xlfn.XLOOKUP(_xlfn.XLOOKUP(B82,'Base stats'!B:B,'Base stats'!E:E),Groups!A:A,Groups!AF:AF))</f>
        <v>FrontLeftPaw, FrontRightPaw</v>
      </c>
      <c r="AL82" s="7" t="str">
        <f>IF(AI82="No","No",_xlfn.XLOOKUP(_xlfn.XLOOKUP(B82,'Base stats'!B:B,'Base stats'!E:E),Groups!A:A,Groups!AG:AG))</f>
        <v>left claw, right claw</v>
      </c>
      <c r="AM82" s="7" t="str">
        <f>IF(AI82="No","No",_xlfn.XLOOKUP(_xlfn.XLOOKUP(B82,'Base stats'!B:B,'Base stats'!E:E),Groups!A:A,Groups!AH:AH))</f>
        <v>Scratch</v>
      </c>
      <c r="AN82" s="2">
        <f t="shared" si="7"/>
        <v>20</v>
      </c>
      <c r="AO82" s="2">
        <f>MROUND(IF(AND(_xlfn.XLOOKUP(B82,'Base stats'!B:B,'Base stats'!C:C)&gt;=0.5,_xlfn.XLOOKUP(B82,'Base stats'!B:B,'Base stats'!C:C)&lt;=0.8),
IF(_xlfn.XLOOKUP(B82,'Base stats'!B:B,'Base stats'!C:C)&lt;0.1,0.05,IF(_xlfn.XLOOKUP(B82,'Base stats'!B:B,'Base stats'!C:C)&lt;=70,(_xlfn.XLOOKUP(B82,'Base stats'!B:B,'Base stats'!C:C)/70)^0.426489913056526,IF(_xlfn.XLOOKUP(B82,'Base stats'!B:B,'Base stats'!C:C)&lt;=400,(_xlfn.XLOOKUP(B82,'Base stats'!B:B,'Base stats'!C:C)/70)^0.572811455315093,IF(_xlfn.XLOOKUP(B82,'Base stats'!B:B,'Base stats'!C:C)&lt;=2000,2.71391647193063*(_xlfn.XLOOKUP(B82,'Base stats'!B:B,'Base stats'!C:C)/400)^0.252459582904293,3.74314280240376*(_xlfn.XLOOKUP(B82,'Base stats'!B:B,'Base stats'!C:C)/2000)^0.357012633876913)))),
IF(_xlfn.XLOOKUP(B82,'Base stats'!B:B,'Base stats'!C:C)&lt;0.1,0.05,IF(_xlfn.XLOOKUP(B82,'Base stats'!B:B,'Base stats'!C:C)&lt;0.4,0.1,IF(_xlfn.XLOOKUP(B82,'Base stats'!B:B,'Base stats'!C:C)&lt;=70,(_xlfn.XLOOKUP(B82,'Base stats'!B:B,'Base stats'!C:C)/70)^0.445823913056526,IF(_xlfn.XLOOKUP(B82,'Base stats'!B:B,'Base stats'!C:C)&lt;=400,(_xlfn.XLOOKUP(B82,'Base stats'!B:B,'Base stats'!C:C)/70)^0.572811455315093,IF(_xlfn.XLOOKUP(B82,'Base stats'!B:B,'Base stats'!C:C)&lt;=2000,2.71391647193063*(_xlfn.XLOOKUP(B82,'Base stats'!B:B,'Base stats'!C:C)/400)^0.252459582904293,3.74314280240376*(_xlfn.XLOOKUP(B82,'Base stats'!B:B,'Base stats'!C:C)/2000)^0.357012633876913)))))),
IF(_xlfn.XLOOKUP(B82,'Base stats'!B:B,'Base stats'!C:C)&lt;0.1,0.05,IF(_xlfn.XLOOKUP(B82,'Base stats'!B:B,'Base stats'!C:C)&lt;=100,0.05,IF(_xlfn.XLOOKUP(B82,'Base stats'!B:B,'Base stats'!C:C)&lt;=250,0.1,IF(_xlfn.XLOOKUP(B82,'Base stats'!B:B,'Base stats'!C:C)&lt;=4000,0.25,0.5)))))</f>
        <v>0.55000000000000004</v>
      </c>
      <c r="AP82" s="8">
        <f>MROUND(AO82*_xlfn.XLOOKUP(_xlfn.XLOOKUP(B82,'Base stats'!B:B,'Base stats'!E:E),Groups!A:A,Groups!AI:AI)*_xlfn.XLOOKUP(B82,'Base stats'!B:B,'Base stats'!Z:Z),0.05)</f>
        <v>0.65</v>
      </c>
      <c r="AQ82" s="8">
        <f>MAX(0.01,MROUND(IF(CC82="True",0.196*(AO82*100*1000)^0.889,IF(_xlfn.XLOOKUP(_xlfn.XLOOKUP(B82,'Base stats'!B:B,'Base stats'!E:E),Groups!A:A,Groups!AJ:AJ)="Bird",10.5*(AO82*100*1000)^0.681,4.82*(AO82*100*1000)^0.734))/(4.82*(1*100*1000)^0.734)/IF(AO82&lt;3.5,2,IF(AO82=3.5,1.5,1.25))*(1+0.132282374779864/(AO82^0.994035016789033+0.00905238001496948)),0.05))</f>
        <v>0.4</v>
      </c>
      <c r="AR82" s="9">
        <f>IFERROR(MROUND(_xlfn.XLOOKUP(B82,'Base stats'!B:B,'Base stats'!H:H)/IF(_xlfn.XLOOKUP(B82,'Base stats'!B:B,'Base stats'!I:I)&lt;&gt;1,(122.5/70),1.2),IF(_xlfn.XLOOKUP(B82,'Base stats'!B:B,'Base stats'!H:H)&gt;=30,5,IF(_xlfn.XLOOKUP(B82,'Base stats'!B:B,'Base stats'!H:H)&gt;=15,3,IF(_xlfn.XLOOKUP(B82,'Base stats'!B:B,'Base stats'!H:H)&gt;=10,2,1)))),"Immortal")</f>
        <v>12</v>
      </c>
      <c r="AS82" s="35">
        <f>IFERROR(IF(OR(_xlfn.XLOOKUP(B82,'Base stats'!B:B,'Base stats'!F:F)="Atypical reproduction",_xlfn.XLOOKUP(B82,'Base stats'!B:B,'Base stats'!F:F)="Lay eggs"),"Lay eggs",MIN(20,MAX(5.5,ROUND(((_xlfn.XLOOKUP(B82,'Base stats'!B:B,'Base stats'!F:F)-25)*(14.5/615) + 5.5)*2,0)/2))),"Unknown")</f>
        <v>5.5</v>
      </c>
      <c r="AT82" s="8">
        <f>IF(_xlfn.XLOOKUP(B82,'Base stats'!B:B,'Base stats'!G:G)="Atypical reproduction","No",IFERROR(MAX(IF(_xlfn.XLOOKUP(B82,'Base stats'!B:B,'Base stats'!G:G)&lt;0.5,0.2,0.3),MROUND(_xlfn.XLOOKUP(B82,'Base stats'!B:B,'Base stats'!G:G)/(365/60),0.2)),"Unknown"))</f>
        <v>0.4</v>
      </c>
      <c r="AU82" s="8">
        <f t="shared" si="8"/>
        <v>0.2</v>
      </c>
      <c r="AV82" s="8">
        <f>IFERROR(IFERROR(MROUND(_xlfn.XLOOKUP(B82,'Base stats'!B:B,'Base stats'!J:J),0.1),"Lay eggs"),"Cannot breed")</f>
        <v>3</v>
      </c>
      <c r="AW82" s="2" t="str">
        <f t="shared" si="9"/>
        <v>false</v>
      </c>
      <c r="AX82" s="2" t="str">
        <f>IF(_xlfn.XLOOKUP(_xlfn.XLOOKUP(Animals!B82,'Base stats'!B:B,'Base stats'!E:E),Groups!A:A,Groups!AK:AK)=1,"true","false")</f>
        <v>false</v>
      </c>
      <c r="AY82" s="25" t="str">
        <f>IF(_xlfn.XLOOKUP(B82,'Base stats'!B:B,'Base stats'!Y:Y)="Liquor","Liquor, CarnivoreAnimalStrict",IF(AND(_xlfn.XLOOKUP(B82,'Base stats'!B:B,'Base stats'!Y:Y)="Carnivore",_xlfn.XLOOKUP(_xlfn.XLOOKUP(B82,'Base stats'!B:B,'Base stats'!E:E),Groups!A:A,Groups!AJ:AJ)="Photonozoa"),"CarnivoreAnimalStrict, OvivoreAnimal",IF(_xlfn.XLOOKUP(B82,'Base stats'!B:B,'Base stats'!Y:Y)="Carnivore","CarnivoreAnimal, OvivoreAnimal",IF(_xlfn.XLOOKUP(B82,'Base stats'!B:B,'Base stats'!Y:Y)="Dendrovore","VegetarianRoughAnimal, DendrovoreAnimal",IF(_xlfn.XLOOKUP(B82,'Base stats'!B:B,'Base stats'!Y:Y)="Herbivore","VegetarianRoughAnimal",IF(_xlfn.XLOOKUP(B82,'Base stats'!B:B,'Base stats'!Y:Y)="OmnivoreRough","OmnivoreRoughAnimal, OvivoreAnimal","OmnivoreAnimal, OvivoreAnimal"))))))</f>
        <v>CarnivoreAnimal, OvivoreAnimal</v>
      </c>
      <c r="AZ82" s="2" t="str">
        <f>IF(_xlfn.XLOOKUP(_xlfn.XLOOKUP(B82,'Base stats'!B:B,'Base stats'!E:E),Groups!A:A,Groups!D:D)=1,MROUND((1-J82)*5+1,2)*IF(J82&lt;=0.4,2,1),"No")</f>
        <v>No</v>
      </c>
      <c r="BA82" s="2" t="str">
        <f>IF(AND(_xlfn.XLOOKUP(B82,'Base stats'!B:B,'Base stats'!AH:AH)="&lt;li&gt;Seal&lt;/li&gt;",G82="Odyssey"),"&lt;li&gt;AEXP_Seal&lt;/li&gt;",_xlfn.XLOOKUP(B82,'Base stats'!B:B,'Base stats'!AH:AH))</f>
        <v>No</v>
      </c>
      <c r="BB82" s="2" t="str">
        <f>_xlfn.XLOOKUP(B82,'Base stats'!B:B,'Base stats'!AG:AG)</f>
        <v>Leather_Light</v>
      </c>
      <c r="BC82" s="23" t="str">
        <f>_xlfn.XLOOKUP(_xlfn.XLOOKUP(B82,'Base stats'!B:B,'Base stats'!E:E),Groups!A:A,Groups!AL:AL)</f>
        <v>QuadrupedAnimalWithPawsAndTail</v>
      </c>
      <c r="BD82" s="23">
        <f>MIN(1,MROUND(IF(AND(AO82&lt;0.5,_xlfn.XLOOKUP(B82,'Base stats'!B:B,'Base stats'!AA:AA)=0),0,IF(OR(_xlfn.XLOOKUP(Animals!B82,'Base stats'!B:B,'Base stats'!O:O)=2,_xlfn.XLOOKUP(_xlfn.XLOOKUP(B82,'Base stats'!B:B,'Base stats'!E:E),Groups!A:A,Groups!AN:AN)=0),0,_xlfn.XLOOKUP(_xlfn.XLOOKUP(B82,'Base stats'!B:B,'Base stats'!E:E),Groups!A:A,Groups!AN:AN)/IF(_xlfn.XLOOKUP(Animals!B82,'Base stats'!B:B,'Base stats'!O:O)=1,2,1)))+_xlfn.XLOOKUP(B82,'Base stats'!B:B,'Base stats'!AC:AC),0.005))</f>
        <v>0.1</v>
      </c>
      <c r="BE82" s="23">
        <f>MIN(1,MROUND(IF(AND(AO82&lt;0.5,_xlfn.XLOOKUP(B82,'Base stats'!B:B,'Base stats'!AA:AA)=0),0,IF(_xlfn.XLOOKUP(_xlfn.XLOOKUP(B82,'Base stats'!B:B,'Base stats'!E:E),Groups!A:A,Groups!AO:AO)=0,0,_xlfn.XLOOKUP(_xlfn.XLOOKUP(B82,'Base stats'!B:B,'Base stats'!E:E),Groups!A:A,Groups!AO:AO)/IF(_xlfn.XLOOKUP(Animals!B82,'Base stats'!B:B,'Base stats'!O:O)=2,3,1)))+_xlfn.XLOOKUP(B82,'Base stats'!B:B,'Base stats'!AD:AD),0.005))</f>
        <v>0.3</v>
      </c>
      <c r="BF82" s="2" t="str">
        <f>IF(J82&gt;0.3,"No",_xlfn.XLOOKUP(_xlfn.XLOOKUP(Animals!B82,'Base stats'!B:B,'Base stats'!E:E),Groups!A:A,Groups!AP:AP))</f>
        <v>No</v>
      </c>
      <c r="BG82" s="2" t="str">
        <f>IF(AND(J82&lt;=0.65,_xlfn.XLOOKUP(_xlfn.XLOOKUP(Animals!B82,'Base stats'!B:B,'Base stats'!E:E),Groups!A:A,Groups!AP:AP)&lt;&gt;"No",_xlfn.XLOOKUP(_xlfn.XLOOKUP(B82,'Base stats'!B:B,'Base stats'!E:E),Groups!A:A,Groups!D:D)=0),MROUND((80/3)*IF(_xlfn.XLOOKUP(B82,'Base stats'!B:B,'Base stats'!O:O)=2,0.2,AO82) + 24*(1-IF(BF82="No",0,BF82)) + 16/3, 12),"No")</f>
        <v>No</v>
      </c>
      <c r="BH82" s="2">
        <f>IF(AND(_xlfn.XLOOKUP(_xlfn.XLOOKUP(B82,'Base stats'!B:B,'Base stats'!E:E),Groups!A:A,Groups!AQ:AQ)=1,AO82&lt;=0.35),8,12)</f>
        <v>12</v>
      </c>
      <c r="BI82" s="2" t="str">
        <f>IF(_xlfn.XLOOKUP(_xlfn.XLOOKUP(B82,'Base stats'!B:B,'Base stats'!E:E),Groups!A:A,Groups!D:D)=0,_xlfn.XLOOKUP(_xlfn.XLOOKUP(B82,'Base stats'!B:B,'Base stats'!E:E),Groups!A:A,Groups!AR:AR),"None")</f>
        <v>Intermediate</v>
      </c>
      <c r="BJ82" s="2" t="str">
        <f>IF(AND(_xlfn.XLOOKUP(_xlfn.XLOOKUP(B82,'Base stats'!B:B,'Base stats'!E:E),Groups!A:A,Groups!AS:AS)=1,OR(_xlfn.XLOOKUP(B82,'Base stats'!B:B,'Base stats'!Y:Y)="Carnivore",_xlfn.XLOOKUP(B82,'Base stats'!B:B,'Base stats'!Y:Y)="Omnivore")),"true","false")</f>
        <v>true</v>
      </c>
      <c r="BK82" s="2">
        <f>IF(BJ82="true",MROUND(IF(AND(AO82&gt;0.5,OR(_xlfn.XLOOKUP(_xlfn.XLOOKUP(B82,'Base stats'!B:B,'Base stats'!E:E),Groups!A:A,Groups!AJ:AJ)="Photonozoa",_xlfn.XLOOKUP(_xlfn.XLOOKUP(B82,'Base stats'!B:B,'Base stats'!E:E),Groups!A:A,Groups!AJ:AJ)="Mammal")),Animals!AO82*1.75*IF(AW82="true",1.5,1),IF(AO82&lt;0.5,Animals!AO82*0.5,Animals!AO82)),IF(AO82&gt;2,0.5,IF(AO82&gt;0.5,0.25,0.1))),"No")</f>
        <v>1</v>
      </c>
      <c r="BL82" s="2">
        <f t="shared" si="10"/>
        <v>1</v>
      </c>
      <c r="BM82" s="25" t="str">
        <f>IF(_xlfn.XLOOKUP(B82,'Base stats'!B:B,'Base stats'!AN:AN)="Standard","No",MROUND((_xlfn.XLOOKUP(B82,'Base stats'!B:B,'Base stats'!AN:AN)/3.6)/I82,0.1))</f>
        <v>No</v>
      </c>
      <c r="BN82" s="25" t="str">
        <f t="shared" si="11"/>
        <v>false</v>
      </c>
      <c r="BO82" s="25" t="str">
        <f>IF(AND(OR(_xlfn.XLOOKUP(B82,'Base stats'!B:B,'Base stats'!Y:Y)="Carnivore",_xlfn.XLOOKUP(B82,'Base stats'!B:B,'Base stats'!Y:Y)="Omnivore",_xlfn.XLOOKUP(B82,'Base stats'!B:B,'Base stats'!Y:Y)="OmnivoreRough"),_xlfn.XLOOKUP(_xlfn.XLOOKUP(B82,'Base stats'!B:B,'Base stats'!E:E),Groups!A:A,Groups!AT:AT)=1),"true","false")</f>
        <v>false</v>
      </c>
      <c r="BP82" s="25" t="str" cm="1">
        <f t="array" ref="BP82">IF(
  _xlfn.TEXTJOIN(", ",TRUE,
    IF(AND(BJ82="true",AO82&gt;0.5,BI82&lt;&gt;"None"),"AttackTarget",""),
    IF(AND(_xlfn.XLOOKUP(_xlfn.XLOOKUP(B82,'Base stats'!B:B,'Base stats'!E:E),Groups!A:A,Groups!AJ:AJ="Mammal"),OR(_xlfn.XLOOKUP(B82,'Base stats'!B:B,'Base stats'!Y:Y)="Omnivore",_xlfn.XLOOKUP(B82,'Base stats'!B:B,'Base stats'!Y:Y)="OmnivoreRough")),"Forage",""),
    IF(BG82&lt;=36,"Comfort",""),
    IF(_xlfn.XLOOKUP(B82,'Base stats'!B:B,'Base stats'!AE:AE)&lt;&gt;"No",_xlfn.XLOOKUP(B82,'Base stats'!B:B,'Base stats'!AE:AE),"")
  ) = "",
  "No",
  _xlfn.TEXTJOIN(", ",TRUE,
    IF(AND(BJ82="true",AO82&gt;0.5,BI82&lt;&gt;"None"),"AttackTarget",""),
    IF(AND(_xlfn.XLOOKUP(_xlfn.XLOOKUP(B82,'Base stats'!B:B,'Base stats'!E:E),Groups!A:A,Groups!AJ:AJ="Mammal"),OR(_xlfn.XLOOKUP(B82,'Base stats'!B:B,'Base stats'!Y:Y)="Omnivore",_xlfn.XLOOKUP(B82,'Base stats'!B:B,'Base stats'!Y:Y)="OmnivoreRough")),"Forage",""),
    IF(BG82&lt;=36,"Comfort",""),
    IF(_xlfn.XLOOKUP(B82,'Base stats'!B:B,'Base stats'!AE:AE)&lt;&gt;"No",_xlfn.XLOOKUP(B82,'Base stats'!B:B,'Base stats'!AE:AE),"")
  )
)</f>
        <v>AttackTarget</v>
      </c>
      <c r="BQ82" s="25" t="str">
        <f>IF(
   AND(
      'Base stats'!AN82="Standard",_xlfn.XLOOKUP(_xlfn.XLOOKUP(B82,'Base stats'!B:B,'Base stats'!E:E),Groups!A:A,Groups!AU:AU)=0,
      OR(
      BO82="True"
      )
   ),
   10,
   IF(
       OR(BM82&lt;&gt;"No",_xlfn.XLOOKUP(_xlfn.XLOOKUP(B82,'Base stats'!B:B,'Base stats'!E:E),Groups!A:A,Groups!AU:AU)=1),
      1,
      "No"
   )
)</f>
        <v>No</v>
      </c>
      <c r="BR82" s="9">
        <f>MROUND((1 + ((0.2*IF(OR(Q82="No",R82="No",R82=0),0,Q82/R82)
+IF(OR(V82="No",S82="No",T82="No"),0,S82/T82*(LEN(V82)-LEN(SUBSTITUTE(V82,",",""))+1))
+IF(OR(X82="No",Y82="No"),0,X82/Y82)
+IF(OR(AD82="No",AE82="No"),0,AD82/AE82)
+IF(OR(AL82="No",AI82="No",AJ82="No"),0,AI82/AJ82*(LEN(AL82)-LEN(SUBSTITUTE(AL82,",",""))+1))
)/(0.2*IF(OR(Q82="No",R82="No",R82=0),0,1)
+IF(OR(V82="No",S82="No",T82="No"),0,LEN(V82)-LEN(SUBSTITUTE(V82,",",""))+1)
+IF(OR(X82="No",Y82="No"),0,1)
+IF(OR(AD82="No",AE82="No"),0,1)
+IF(OR(AL82="No",AI82="No",AJ82="No"),0,LEN(AL82)-LEN(SUBSTITUTE(AL82,",",""))+1))*62%)* 2)*(1 + (AP82 / (IF(_xlfn.XLOOKUP(_xlfn.XLOOKUP(B82,'Base stats'!B:B,'Base stats'!E:E),Groups!A:A,Groups!AJ:AJ)="Photonozoa",0.3,1)) + _xlfn.XLOOKUP(B82,'Base stats'!B:B,'Base stats'!AV:AV) * 1.8) * 2) * 2.5 + 10 + I82 * 2,5)+IF(_xlfn.XLOOKUP(B82,'Base stats'!B:B,'Base stats'!AK:AK)=1,50,0)</f>
        <v>70</v>
      </c>
      <c r="BS82" s="8">
        <f t="shared" si="12"/>
        <v>0.45</v>
      </c>
      <c r="BT82" s="8" t="str">
        <f>_xlfn.XLOOKUP(B82,'Base stats'!B:B,'Base stats'!AF:AF)</f>
        <v>No</v>
      </c>
      <c r="BU82" s="2" t="str">
        <f>IF(AND(J82&lt;=0.95,OR(_xlfn.XLOOKUP(B82,'Base stats'!B:B,'Base stats'!AK:AK)=1,_xlfn.XLOOKUP(B82,'Base stats'!B:B,'Base stats'!Y:Y)="Carnivore",_xlfn.XLOOKUP(B82,'Base stats'!B:B,'Base stats'!Y:Y)="Omnivore",BE82&gt;0.1)),"true","false")</f>
        <v>true</v>
      </c>
      <c r="BV82" s="2" t="str">
        <f>IF(_xlfn.XLOOKUP(B82,'Base stats'!B:B,'Base stats'!AI:AI)=1,"true","false")</f>
        <v>false</v>
      </c>
      <c r="BW82" s="25" t="str">
        <f>IF(E82="BaseInsect","AnimalInsect",
IF(J82&gt;0.95,"AnimalExotic",
_xlfn.TEXTJOIN(", ",TRUE,
IF(OR(_xlfn.XLOOKUP(B82,'Base stats'!B:B,'Base stats'!AM:AM)=1,AND(_xlfn.XLOOKUP(B82,'Base stats'!B:B,'Base stats'!O:O)=0,_xlfn.XLOOKUP(_xlfn.XLOOKUP(B82,'Base stats'!B:B,'Base stats'!E:E),Groups!A:A,Groups!B:B)&gt;0)),"AnimalUncommon","AnimalCommon"),
IF(AND(_xlfn.XLOOKUP(B82,'Base stats'!B:B,'Base stats'!O:O)=2,_xlfn.XLOOKUP(_xlfn.XLOOKUP(B82,'Base stats'!B:B,'Base stats'!E:E),Groups!A:A,Groups!D:D)=0),"AnimalPet",IF(AND(_xlfn.XLOOKUP(B82,'Base stats'!B:B,'Base stats'!O:O)&lt;&gt;0,_xlfn.XLOOKUP(_xlfn.XLOOKUP(B82,'Base stats'!B:B,'Base stats'!E:E),Groups!A:A,Groups!D:D)&lt;&gt;0),"AnimalFarm","")),
IF(OR(_xlfn.XLOOKUP(B82,'Base stats'!B:B,'Base stats'!AK:AK)=1,AND(BI82&lt;&gt;"None",BR82&gt;=60),ISNUMBER(SEARCH("Attack target",BP82))),"AnimalFighter","")
)))</f>
        <v>AnimalUncommon, AnimalFighter</v>
      </c>
      <c r="BX82" s="25" t="str">
        <f>IF(G82="None",TRIM(
SUBSTITUTE(
IF(COUNTIF(Biomes!B$2:B$259,"="&amp;$C82)&gt;0,Biomes!B$1&amp;", ","")&amp;
IF(COUNTIF(Biomes!C$2:C$259,"="&amp;$C82)&gt;0,Biomes!C$1&amp;", ","")&amp;
IF(COUNTIF(Biomes!D$2:D$259,"="&amp;$C82)&gt;0,Biomes!D$1&amp;", ","")&amp;
IF(COUNTIF(Biomes!F$2:F$259,"="&amp;$C82)&gt;0,Biomes!F$1&amp;", ","")&amp;
IF(COUNTIF(Biomes!G$2:G$259,"="&amp;$C82)&gt;0,Biomes!G$1&amp;", ","")&amp;
IF(COUNTIF(Biomes!H$2:H$259,"="&amp;$C82)&gt;0,Biomes!H$1&amp;", ","")&amp;
IF(COUNTIF(Biomes!I$2:I$259,"="&amp;$C82)&gt;0,Biomes!I$1&amp;", ","")&amp;
IF(COUNTIF(Biomes!J$2:J$259,"="&amp;$C82)&gt;0,Biomes!J$1&amp;", ","")&amp;
IF(COUNTIF(Biomes!M$2:M$259,"="&amp;$C82)&gt;0,Biomes!M$1&amp;", ","")&amp;
IF(COUNTIF(Biomes!N$2:N$259,"="&amp;$C82)&gt;0,Biomes!N$1&amp;", ","")&amp;
IF(COUNTIF(Biomes!O$2:O$259,"="&amp;$C82)&gt;0,Biomes!O$1&amp;", ","")&amp;
IF(COUNTIF(Biomes!P$2:P$259,"="&amp;$C82)&gt;0,Biomes!P$1&amp;", ","")&amp;
IF(COUNTIF(Biomes!K$2:K$259,"="&amp;$C82)&gt;0,Biomes!K$1&amp;", ","")&amp;
IF(COUNTIF(Biomes!Q$3:Q$259,"="&amp;$C82)&gt;0,Biomes!Q$1&amp;", ","")&amp;
IF(COUNTIF(Biomes!L$2:L$259,"="&amp;$C82)&gt;0,Biomes!L$1&amp;", ","")&amp;
IF(COUNTIF(Biomes!E$2:E$259,"="&amp;$C82)&gt;0,Biomes!E$1&amp;", ","")&amp;IF(COUNTIF(Biomes!S$2:S$259,"="&amp;$C82)&gt;0,Biomes!S$1&amp;", ","")&amp;
IF(COUNTIF(Biomes!R$2:R$259,"="&amp;$C82)&gt;0,Biomes!R$1&amp;", ",""),", ","")
),_xlfn.XLOOKUP(B82,B:B,BX:BX))</f>
        <v>Tundra BorealForest ColdBog GlacialPlain</v>
      </c>
      <c r="BY82" s="25" t="str">
        <f>IF(_xlfn.XLOOKUP(B82,'Base stats'!B:B,'Base stats'!AJ:AJ)=1,"true","false")</f>
        <v>false</v>
      </c>
      <c r="BZ82" s="25">
        <f>IF(_xlfn.XLOOKUP(B82,'Base stats'!B:B,'Base stats'!N:N)=1,"No",MAX(0.001,MIN(MROUND(IF(AND(BJ82="True",CC82="False"),POWER(10,3.47*LOG10(_xlfn.XLOOKUP(B82,'Base stats'!B:B,'Base stats'!C:C)*1000)^-0.96),POWER(10,4.15*LOG10(_xlfn.XLOOKUP(B82,'Base stats'!B:B,'Base stats'!C:C)*1000)^-0.73))*IF(_xlfn.XLOOKUP(B82,'Base stats'!B:B,'Base stats'!AK:AK)=1,0.5,1)*IF(_xlfn.XLOOKUP(B82,'Base stats'!B:B,'Base stats'!AM:AM)=1,0.1,1)/100,IF(_xlfn.XLOOKUP(B82,'Base stats'!B:B,'Base stats'!AM:AM)=1,0.001,0.025)),0.5)))</f>
        <v>7.5000000000000011E-2</v>
      </c>
      <c r="CA82" s="25" t="str">
        <f>IF(P82="Standard","No",MAX(0.001,MIN(MROUND(IF(AND(BJ82="True",CC82="False"),POWER(10,3.47*LOG10(_xlfn.XLOOKUP(B82,'Base stats'!B:B,'Base stats'!C:C)*1000)^-0.96),POWER(10,4.15*LOG10(_xlfn.XLOOKUP(B82,'Base stats'!B:B,'Base stats'!C:C)*1000)^-0.73))*IF(_xlfn.XLOOKUP(B82,'Base stats'!B:B,'Base stats'!AM:AM)=1,0.1,1)*_xlfn.XLOOKUP(B82,'Base stats'!B:B,'Base stats'!R:R)/100,IF(_xlfn.XLOOKUP(B82,'Base stats'!B:B,'Base stats'!AM:AM)=1,0.001,0.025)),0.5)))</f>
        <v>No</v>
      </c>
      <c r="CB82" s="25" t="str">
        <f>IF(_xlfn.XLOOKUP(_xlfn.XLOOKUP(B82,'Base stats'!B:B,'Base stats'!E:E),Groups!A:A,Groups!AJ:AJ)="Mammal","True","False")</f>
        <v>True</v>
      </c>
      <c r="CC82" s="25" t="str">
        <f>IF(OR(_xlfn.XLOOKUP(_xlfn.XLOOKUP(B82,'Base stats'!B:B,'Base stats'!E:E),Groups!A:A,Groups!AJ:AJ)="Reptile",_xlfn.XLOOKUP(_xlfn.XLOOKUP(B82,'Base stats'!B:B,'Base stats'!E:E),Groups!A:A,Groups!AJ:AJ)="Amphibian",_xlfn.XLOOKUP(_xlfn.XLOOKUP(B82,'Base stats'!B:B,'Base stats'!E:E),Groups!A:A,Groups!AJ:AJ)="Invertebrate"),"True","False")</f>
        <v>False</v>
      </c>
      <c r="CD82" s="25" t="str">
        <f t="shared" si="13"/>
        <v>False</v>
      </c>
      <c r="CE82" s="25" t="str">
        <f>IF(_xlfn.XLOOKUP(_xlfn.XLOOKUP(B82,'Base stats'!B:B,'Base stats'!E:E),Groups!A:A,Groups!AX:AX),"True","False")</f>
        <v>False</v>
      </c>
      <c r="CF82" s="25" t="str">
        <f>IF(_xlfn.XLOOKUP(_xlfn.XLOOKUP(B82,'Base stats'!B:B,'Base stats'!E:E),Groups!A:A,Groups!AY:AY),"True","False")</f>
        <v>False</v>
      </c>
      <c r="CG82" s="25" t="str">
        <f>IF(_xlfn.XLOOKUP(_xlfn.XLOOKUP(B82,'Base stats'!B:B,'Base stats'!E:E),Groups!A:A,Groups!AW:AW),"True","False")</f>
        <v>False</v>
      </c>
      <c r="CH82" s="25" t="str">
        <f>IF(
OR(
_xlfn.XLOOKUP(_xlfn.XLOOKUP(B82,'Base stats'!B:B,'Base stats'!E:E),Groups!A:A,Groups!AZ:AZ)=0,
AND(
_xlfn.XLOOKUP(B82,'Base stats'!B:B,'Base stats'!Y:Y)&lt;&gt;"Carnivore",
_xlfn.XLOOKUP(B82,'Base stats'!B:B,'Base stats'!Y:Y)&lt;&gt;"Omnivore",
_xlfn.XLOOKUP(B82,'Base stats'!B:B,'Base stats'!Y:Y)&lt;&gt;"OmnivoreRough"
)
),
"No",
IF(
_xlfn.XLOOKUP(_xlfn.XLOOKUP(B82,'Base stats'!B:B,'Base stats'!E:E),Groups!A:A,Groups!AZ:AZ)=1,
"Flesh",
IF(
_xlfn.XLOOKUP(_xlfn.XLOOKUP(B82,'Base stats'!B:B,'Base stats'!E:E),Groups!A:A,Groups!AZ:AZ)=2,
"Bone",
""
)
)
)</f>
        <v>Bone</v>
      </c>
      <c r="CI82" s="25" t="str">
        <f>IF(_xlfn.XLOOKUP(_xlfn.XLOOKUP(B82,'Base stats'!B:B,'Base stats'!E:E),Groups!A:A,Groups!BB:BB),"True","False")</f>
        <v>True</v>
      </c>
      <c r="CJ82" s="25" t="str">
        <f>IF(_xlfn.XLOOKUP(_xlfn.XLOOKUP(B82,'Base stats'!B:B,'Base stats'!E:E),Groups!A:A,Groups!BA:BA),"True","False")</f>
        <v>False</v>
      </c>
    </row>
    <row r="83" spans="1:88" ht="16.5" thickTop="1" thickBot="1" x14ac:dyDescent="0.3">
      <c r="A83" s="26" t="str">
        <f>_xlfn.XLOOKUP(B83,'Base stats'!B:B,'Base stats'!A:A)</f>
        <v>Mink</v>
      </c>
      <c r="B83" s="6" t="s">
        <v>281</v>
      </c>
      <c r="C83" s="28" t="s">
        <v>763</v>
      </c>
      <c r="D83" s="28" t="s">
        <v>870</v>
      </c>
      <c r="E83" s="28" t="s">
        <v>673</v>
      </c>
      <c r="F83" s="28" t="s">
        <v>673</v>
      </c>
      <c r="G83" s="28" t="s">
        <v>673</v>
      </c>
      <c r="H83" s="2">
        <f>MROUND((
  (IF(AND(_xlfn.XLOOKUP(B83,'Base stats'!B:B,'Base stats'!AL:AL)=0,BI83="None",_xlfn.XLOOKUP(_xlfn.XLOOKUP(B83,'Base stats'!B:B,'Base stats'!E:E),Groups!A:A,Groups!B:B)=0), (18 + BR83 * 2.7) * 0.5,
    IF(AND(_xlfn.XLOOKUP(B83,'Base stats'!B:B,'Base stats'!AL:AL)=0,OR(AO83&lt;0.55,AND(BI83="Intermediate",_xlfn.XLOOKUP(_xlfn.XLOOKUP(B83,'Base stats'!B:B,'Base stats'!E:E),Groups!A:A,Groups!B:B)&lt;2))), (18 + BR83 * 2.7),
      IF(OR(BI83="Advanced",_xlfn.XLOOKUP(B83,'Base stats'!B:B,'Base stats'!AL:AL)=1,_xlfn.XLOOKUP(_xlfn.XLOOKUP(B83,'Base stats'!B:B,'Base stats'!E:E),Groups!A:A,Groups!B:B)=2), (18 + BR83 * 2.7) + 250, (18 + BR83 * 2.7))
    )
  ))
  + AO83 * 80
  + IF(COUNTIF(EggMilk!K$2:K$998, A83) &gt; 0, 125, 0)
  + IF(COUNTIF(EggMilk!P$2:P$998, A83) &gt; 0, 90, 0)
  + IF(COUNTIF(EggMilk!A$2:A$998, A83) &gt; 0, 90, 0)
)
* (0.8 + 0.4 * J83)
* 0.75,25)</f>
        <v>75</v>
      </c>
      <c r="I83" s="2">
        <f>MROUND(ROUNDDOWN(_xlfn.XLOOKUP(B83,'Base stats'!B:B,'Base stats'!L:L)/3.6/(23.3/11),1),0.5)</f>
        <v>2.5</v>
      </c>
      <c r="J83" s="2">
        <f>IF(OR(_xlfn.XLOOKUP(B83,'Base stats'!B:B,'Base stats'!AB:AB)=1,_xlfn.XLOOKUP(_xlfn.XLOOKUP(B83,'Base stats'!B:B,'Base stats'!E:E),Groups!A:A,Groups!C:C)="Untamable"),1,IF(_xlfn.XLOOKUP(B83,'Base stats'!B:B,'Base stats'!AL:AL)=1,0.99,MIN(MROUND((1-0.6282*EXP(-0.459*AO83))*_xlfn.XLOOKUP(_xlfn.XLOOKUP(B83,'Base stats'!B:B,'Base stats'!E:E),Groups!A:A,Groups!C:C)*IF(_xlfn.XLOOKUP(B83,'Base stats'!B:B,'Base stats'!O:O)=1,0.5,IF(_xlfn.XLOOKUP(B83,'Base stats'!B:B,'Base stats'!O:O)=2,0,1)),0.05),IF(AO83&gt;3.5,0.985,0.95))))</f>
        <v>0.60000000000000009</v>
      </c>
      <c r="K83" s="2">
        <f>ROUNDUP(AO83*_xlfn.XLOOKUP(_xlfn.XLOOKUP(B83,'Base stats'!B:B,'Base stats'!E:E),Groups!A:A,Groups!E:E),0)</f>
        <v>1</v>
      </c>
      <c r="L83" s="2">
        <f>IF(OR(_xlfn.XLOOKUP(_xlfn.XLOOKUP(B83,'Base stats'!B:B,'Base stats'!E:E),Groups!A:A,Groups!F:F)=2,ISNUMBER(SEARCH("SeaIce",BX83)),ISNUMBER(SEARCH("IceSheet",BX83))),-50,IF(OR(ISNUMBER(SEARCH("GlacialPlain",BX83)),ISNUMBER(SEARCH("Tundra",BX83))),-40,IF(OR(ISNUMBER(SEARCH("Alpine",BX83)),ISNUMBER(SEARCH("BorealForest",BX83)),ISNUMBER(SEARCH("ColdBog",BX83))),-30,IF(OR(ISNUMBER(SEARCH("TemperateForest",BX83)),ISNUMBER(SEARCH("TemperateSwamp",BX83))),-20,IF(_xlfn.XLOOKUP(_xlfn.XLOOKUP(B83,'Base stats'!B:B,'Base stats'!E:E),Groups!A:A,Groups!F:F)=1,-15,IF(OR(ISNUMBER(SEARCH("Desert",BX83)),ISNUMBER(SEARCH("ExtremeDesert",BX83))),-10,IF(OR(ISNUMBER(SEARCH("Grasslands",BX83)),ISNUMBER(SEARCH("TropicalRainforest",BX83)),ISNUMBER(SEARCH("TropicalSwamp",BX83))),10,0)))))))-IF(CC83="False",MIN(IFERROR(MAX(MROUND(LOG10(_xlfn.XLOOKUP(B83,'Base stats'!B:B,'Base stats'!C:C)^(2/3))*10,5),5),5),30))-_xlfn.XLOOKUP(B83,'Base stats'!B:B,'Base stats'!P:P)+IF(CC83="True",5,0)</f>
        <v>-45</v>
      </c>
      <c r="M83" s="2">
        <f>IF(OR(_xlfn.XLOOKUP(_xlfn.XLOOKUP(B83,'Base stats'!B:B,'Base stats'!E:E),Groups!A:A,Groups!G:G)=2,ISNUMBER(SEARCH("Desert",BX83)),ISNUMBER(SEARCH("ExtremeDesert",BX83)),ISNUMBER(SEARCH("LavaField",BX83))),50,IF(ISNUMBER(SEARCH("Grasslands",BX83)),45,IF(OR(_xlfn.XLOOKUP(_xlfn.XLOOKUP(B83,'Base stats'!B:B,'Base stats'!E:E),Groups!A:A,Groups!G:G)=1,ISNUMBER(SEARCH("TropicalRainforest",BX83)),ISNUMBER(SEARCH("TropicalSwamp",BX83))),40,IF(OR(ISNUMBER(SEARCH("TemperateForest",BX83)),ISNUMBER(SEARCH("TemperateSwamp",BX83))),35,IF(OR(ISNUMBER(SEARCH("Alpine",BX83)),ISNUMBER(SEARCH("BorealForest",BX83)),ISNUMBER(SEARCH("ColdBog",BX83))),30,IF(ISNUMBER(OR(ISNUMBER(SEARCH("GlacialPlain",BX83)),SEARCH("Tundra",BX83))),25,IF(OR(ISNUMBER(SEARCH("SeaIce",BX83)),ISNUMBER(SEARCH("IceSheet",BX83)),ISNUMBER(SEARCH("TropicalSwamp",BX83))),10,35)))))))+_xlfn.XLOOKUP(B83,'Base stats'!B:B,'Base stats'!Q:Q)</f>
        <v>35</v>
      </c>
      <c r="N83" s="8" t="str">
        <f>IF(
_xlfn.XLOOKUP(
_xlfn.XLOOKUP(B83,'Base stats'!B:B,'Base stats'!E:E),
Groups!A:A,
Groups!L:L
)=1,
MIN(
MROUND(
IF(
_xlfn.XLOOKUP(B83,'Animals CE'!B:B,'Animals CE'!Z:Z)&lt;=1.5,
_xlfn.XLOOKUP(B83,'Animals CE'!B:B,'Animals CE'!Z:Z)/2+0.05,
0.8+
(_xlfn.XLOOKUP(B83,'Animals CE'!B:B,'Animals CE'!Z:Z)-1.5)
*0.02
),
0.05
),
200%
),
"No"
)</f>
        <v>No</v>
      </c>
      <c r="O83" s="8" t="str">
        <f>IF(
_xlfn.XLOOKUP(
_xlfn.XLOOKUP(B83,'Base stats'!B:B,'Base stats'!E:E),
Groups!A:A,
Groups!L:L
)=1,
MIN(
MROUND(
IF(
_xlfn.XLOOKUP(B83,'Animals CE'!B:B,'Animals CE'!AA:AA)&lt;=1.5,
_xlfn.XLOOKUP(B83,'Animals CE'!B:B,'Animals CE'!AA:AA)/2+0.05,
0.8+
(_xlfn.XLOOKUP(B83,'Animals CE'!B:B,'Animals CE'!AA:AA)-1.5)
*0.02
),
0.05
),
200%
),
"No"
)</f>
        <v>No</v>
      </c>
      <c r="P83" s="2" t="str">
        <f>_xlfn.XLOOKUP(B83,'Base stats'!B:B,'Base stats'!R:R)</f>
        <v>Standard</v>
      </c>
      <c r="Q83" s="13">
        <f>MROUND((LOG10(_xlfn.XLOOKUP(B83,'Base stats'!B:B,'Base stats'!AR:AR))*(AO83^0.5)+(_xlfn.XLOOKUP(B83,'Base stats'!B:B,'Base stats'!AR:AR)/1000)^(2/3)+_xlfn.XLOOKUP(B83,'Base stats'!B:B,'Base stats'!BA:BA)/2)+0.5,0.5)</f>
        <v>1.5</v>
      </c>
      <c r="R83" s="7">
        <f>IF(Q83="No","No",MAX(1,MROUND(_xlfn.XLOOKUP(B83,'Base stats'!B:B,'Base stats'!C:C)^0.165,0.05)))</f>
        <v>1</v>
      </c>
      <c r="S83" s="13" t="str">
        <f>IF(_xlfn.XLOOKUP(_xlfn.XLOOKUP(B83,'Base stats'!B:B,'Base stats'!E:E),Groups!A:A,Groups!P:P)=0,"No",MROUND((LOG10(_xlfn.XLOOKUP(B83,'Base stats'!B:B,'Base stats'!AS:AS))*(AO83^0.5)+(_xlfn.XLOOKUP(B83,'Base stats'!B:B,'Base stats'!AS:AS)/1000)^(2/3)+_xlfn.XLOOKUP(B83,'Base stats'!B:B,'Base stats'!BA:BA))+_xlfn.XLOOKUP(B83,'Base stats'!B:B,'Base stats'!AY:AY)+0.5,0.5))</f>
        <v>No</v>
      </c>
      <c r="T83" s="7" t="str">
        <f>IF(S83="No","No",MAX(_xlfn.XLOOKUP(_xlfn.XLOOKUP(B83,'Base stats'!B:B,'Base stats'!E:E),Groups!A:A,Groups!Q:Q),MROUND(_xlfn.XLOOKUP(_xlfn.XLOOKUP(B83,'Base stats'!B:B,'Base stats'!E:E),Groups!A:A,Groups!Q:Q)*_xlfn.XLOOKUP(B83,'Base stats'!B:B,'Base stats'!C:C)^0.165,0.05)))</f>
        <v>No</v>
      </c>
      <c r="U83" s="7" t="str">
        <f>IF(S83="No","No",_xlfn.XLOOKUP(_xlfn.XLOOKUP(B83,'Base stats'!B:B,'Base stats'!E:E),Groups!A:A,Groups!R:R))</f>
        <v>No</v>
      </c>
      <c r="V83" s="7" t="str">
        <f>IF(S83="No","No",_xlfn.XLOOKUP(_xlfn.XLOOKUP(B83,'Base stats'!B:B,'Base stats'!E:E),Groups!A:A,Groups!S:S))</f>
        <v>No</v>
      </c>
      <c r="W83" s="7" t="str">
        <f>IF(S83="No","No",_xlfn.XLOOKUP(_xlfn.XLOOKUP(B83,'Base stats'!B:B,'Base stats'!E:E),Groups!A:A,Groups!T:T))</f>
        <v>No</v>
      </c>
      <c r="X83" s="13" t="str">
        <f>IF(_xlfn.XLOOKUP(B83,'Base stats'!B:B,'Base stats'!W:W)="No","No",MROUND((LOG10(_xlfn.XLOOKUP(B83,'Base stats'!B:B,'Base stats'!AU:AU))*(AO83^0.5)+(_xlfn.XLOOKUP(B83,'Base stats'!B:B,'Base stats'!AU:AU)/1000)^(2/3)+_xlfn.XLOOKUP(B83,'Base stats'!B:B,'Base stats'!AZ:AZ))+0.5+IF(_xlfn.XLOOKUP(_xlfn.XLOOKUP(B83,'Base stats'!B:B,'Base stats'!E:E),Groups!A:A,Groups!U:U)&lt;&gt;3,_xlfn.XLOOKUP(B83,'Base stats'!B:B,'Base stats'!BA:BA),0),0.5))</f>
        <v>No</v>
      </c>
      <c r="Y83" s="7" t="str">
        <f>IF(X83="No","No",MAX(_xlfn.XLOOKUP(_xlfn.XLOOKUP(B83,'Base stats'!B:B,'Base stats'!E:E),Groups!A:A,Groups!V:V),MROUND(_xlfn.XLOOKUP(_xlfn.XLOOKUP(B83,'Base stats'!B:B,'Base stats'!E:E),Groups!A:A,Groups!V:V)*_xlfn.XLOOKUP(B83,'Base stats'!B:B,'Base stats'!C:C)^0.165,0.05)))</f>
        <v>No</v>
      </c>
      <c r="Z83" s="7" t="str">
        <f>IF(X83="No","No",_xlfn.XLOOKUP(_xlfn.XLOOKUP(B83,'Base stats'!B:B,'Base stats'!E:E),Groups!A:A,Groups!W:W))</f>
        <v>No</v>
      </c>
      <c r="AA83" s="7" t="str">
        <f>IF(X83="No","No",_xlfn.XLOOKUP(_xlfn.XLOOKUP(B83,'Base stats'!B:B,'Base stats'!E:E),Groups!A:A,Groups!X:X))</f>
        <v>No</v>
      </c>
      <c r="AB83" s="7" t="str">
        <f>IF(X83="No","No",_xlfn.XLOOKUP(_xlfn.XLOOKUP(B83,'Base stats'!B:B,'Base stats'!E:E),Groups!A:A,Groups!Y:Y))</f>
        <v>No</v>
      </c>
      <c r="AC83" s="7" t="str">
        <f>_xlfn.XLOOKUP(Animals!B83,'Base stats'!B:B,'Base stats'!X:X)</f>
        <v>False</v>
      </c>
      <c r="AD83" s="13">
        <f>IF(_xlfn.XLOOKUP(B83,'Base stats'!B:B,'Base stats'!AT:AT)="No","No",MROUND((LOG10(_xlfn.XLOOKUP(B83,'Base stats'!B:B,'Base stats'!AT:AT))*(AO83^0.75)+(_xlfn.XLOOKUP(B83,'Base stats'!B:B,'Base stats'!AT:AT)/1000)^(2/3)+_xlfn.XLOOKUP(B83,'Base stats'!B:B,'Base stats'!AX:AX)+_xlfn.XLOOKUP(B83,'Base stats'!B:B,'Base stats'!BA:BA))+0.5,0.5))</f>
        <v>1.5</v>
      </c>
      <c r="AE83" s="7">
        <f>IF(AD83="No","No",MAX(_xlfn.XLOOKUP(_xlfn.XLOOKUP(B83,'Base stats'!B:B,'Base stats'!E:E),Groups!A:A,Groups!Z:Z),MROUND(_xlfn.XLOOKUP(_xlfn.XLOOKUP(B83,'Base stats'!B:B,'Base stats'!E:E),Groups!A:A,Groups!Z:Z)*_xlfn.XLOOKUP(B83,'Base stats'!B:B,'Base stats'!C:C)^0.165,0.05)))</f>
        <v>0.8</v>
      </c>
      <c r="AF83" s="7" t="str">
        <f>IF(AD83="No","No",_xlfn.XLOOKUP(_xlfn.XLOOKUP(B83,'Base stats'!B:B,'Base stats'!E:E),Groups!A:A,Groups!AA:AA))</f>
        <v>Teeth</v>
      </c>
      <c r="AG83" s="7" t="str">
        <f>IF(AD83="No","No",_xlfn.XLOOKUP(_xlfn.XLOOKUP(B83,'Base stats'!B:B,'Base stats'!E:E),Groups!A:A,Groups!AB:AB))</f>
        <v>canines</v>
      </c>
      <c r="AH83" s="7" t="str">
        <f>IF(AD83="No","No",_xlfn.XLOOKUP(_xlfn.XLOOKUP(B83,'Base stats'!B:B,'Base stats'!E:E),Groups!A:A,Groups!AC:AC))</f>
        <v>Bite</v>
      </c>
      <c r="AI83" s="13">
        <f>IF(_xlfn.XLOOKUP(_xlfn.XLOOKUP(B83,'Base stats'!B:B,'Base stats'!E:E),Groups!A:A,Groups!AD:AD)=0,"No",MROUND((LOG10(_xlfn.XLOOKUP(B83,'Base stats'!B:B,'Base stats'!AS:AS))*(AO83^0.75)+(_xlfn.XLOOKUP(B83,'Base stats'!B:B,'Base stats'!AS:AS)/1000)^(2/3)+_xlfn.XLOOKUP(B83,'Base stats'!B:B,'Base stats'!AY:AY)+_xlfn.XLOOKUP(B83,'Base stats'!B:B,'Base stats'!BA:BA))+0.5,0.5))</f>
        <v>1.5</v>
      </c>
      <c r="AJ83" s="7">
        <f>IF(AI83="No","No",MAX(_xlfn.XLOOKUP(_xlfn.XLOOKUP(B83,'Base stats'!B:B,'Base stats'!E:E),Groups!A:A,Groups!AE:AE),MROUND(_xlfn.XLOOKUP(_xlfn.XLOOKUP(B83,'Base stats'!B:B,'Base stats'!E:E),Groups!A:A,Groups!AE:AE)*IF(_xlfn.XLOOKUP(_xlfn.XLOOKUP(B83,'Base stats'!B:B,'Base stats'!E:E),Groups!A:A,Groups!AJ:AJ)="Photonozoa",0.6,1)*_xlfn.XLOOKUP(B83,'Base stats'!B:B,'Base stats'!C:C)^0.165,0.05)))</f>
        <v>0.65</v>
      </c>
      <c r="AK83" s="7" t="str">
        <f>IF(AI83="No","No",_xlfn.XLOOKUP(_xlfn.XLOOKUP(B83,'Base stats'!B:B,'Base stats'!E:E),Groups!A:A,Groups!AF:AF))</f>
        <v>FrontLeftPaw, FrontRightPaw</v>
      </c>
      <c r="AL83" s="7" t="str">
        <f>IF(AI83="No","No",_xlfn.XLOOKUP(_xlfn.XLOOKUP(B83,'Base stats'!B:B,'Base stats'!E:E),Groups!A:A,Groups!AG:AG))</f>
        <v>left claw, right claw</v>
      </c>
      <c r="AM83" s="7" t="str">
        <f>IF(AI83="No","No",_xlfn.XLOOKUP(_xlfn.XLOOKUP(B83,'Base stats'!B:B,'Base stats'!E:E),Groups!A:A,Groups!AH:AH))</f>
        <v>Scratch</v>
      </c>
      <c r="AN83" s="2">
        <f t="shared" si="7"/>
        <v>15</v>
      </c>
      <c r="AO83" s="2">
        <f>MROUND(IF(AND(_xlfn.XLOOKUP(B83,'Base stats'!B:B,'Base stats'!C:C)&gt;=0.5,_xlfn.XLOOKUP(B83,'Base stats'!B:B,'Base stats'!C:C)&lt;=0.8),
IF(_xlfn.XLOOKUP(B83,'Base stats'!B:B,'Base stats'!C:C)&lt;0.1,0.05,IF(_xlfn.XLOOKUP(B83,'Base stats'!B:B,'Base stats'!C:C)&lt;=70,(_xlfn.XLOOKUP(B83,'Base stats'!B:B,'Base stats'!C:C)/70)^0.426489913056526,IF(_xlfn.XLOOKUP(B83,'Base stats'!B:B,'Base stats'!C:C)&lt;=400,(_xlfn.XLOOKUP(B83,'Base stats'!B:B,'Base stats'!C:C)/70)^0.572811455315093,IF(_xlfn.XLOOKUP(B83,'Base stats'!B:B,'Base stats'!C:C)&lt;=2000,2.71391647193063*(_xlfn.XLOOKUP(B83,'Base stats'!B:B,'Base stats'!C:C)/400)^0.252459582904293,3.74314280240376*(_xlfn.XLOOKUP(B83,'Base stats'!B:B,'Base stats'!C:C)/2000)^0.357012633876913)))),
IF(_xlfn.XLOOKUP(B83,'Base stats'!B:B,'Base stats'!C:C)&lt;0.1,0.05,IF(_xlfn.XLOOKUP(B83,'Base stats'!B:B,'Base stats'!C:C)&lt;0.4,0.1,IF(_xlfn.XLOOKUP(B83,'Base stats'!B:B,'Base stats'!C:C)&lt;=70,(_xlfn.XLOOKUP(B83,'Base stats'!B:B,'Base stats'!C:C)/70)^0.445823913056526,IF(_xlfn.XLOOKUP(B83,'Base stats'!B:B,'Base stats'!C:C)&lt;=400,(_xlfn.XLOOKUP(B83,'Base stats'!B:B,'Base stats'!C:C)/70)^0.572811455315093,IF(_xlfn.XLOOKUP(B83,'Base stats'!B:B,'Base stats'!C:C)&lt;=2000,2.71391647193063*(_xlfn.XLOOKUP(B83,'Base stats'!B:B,'Base stats'!C:C)/400)^0.252459582904293,3.74314280240376*(_xlfn.XLOOKUP(B83,'Base stats'!B:B,'Base stats'!C:C)/2000)^0.357012633876913)))))),
IF(_xlfn.XLOOKUP(B83,'Base stats'!B:B,'Base stats'!C:C)&lt;0.1,0.05,IF(_xlfn.XLOOKUP(B83,'Base stats'!B:B,'Base stats'!C:C)&lt;=100,0.05,IF(_xlfn.XLOOKUP(B83,'Base stats'!B:B,'Base stats'!C:C)&lt;=250,0.1,IF(_xlfn.XLOOKUP(B83,'Base stats'!B:B,'Base stats'!C:C)&lt;=4000,0.25,0.5)))))</f>
        <v>0.15000000000000002</v>
      </c>
      <c r="AP83" s="8">
        <f>MROUND(AO83*_xlfn.XLOOKUP(_xlfn.XLOOKUP(B83,'Base stats'!B:B,'Base stats'!E:E),Groups!A:A,Groups!AI:AI)*_xlfn.XLOOKUP(B83,'Base stats'!B:B,'Base stats'!Z:Z),0.05)</f>
        <v>0.2</v>
      </c>
      <c r="AQ83" s="8">
        <f>MAX(0.01,MROUND(IF(CC83="True",0.196*(AO83*100*1000)^0.889,IF(_xlfn.XLOOKUP(_xlfn.XLOOKUP(B83,'Base stats'!B:B,'Base stats'!E:E),Groups!A:A,Groups!AJ:AJ)="Bird",10.5*(AO83*100*1000)^0.681,4.82*(AO83*100*1000)^0.734))/(4.82*(1*100*1000)^0.734)/IF(AO83&lt;3.5,2,IF(AO83=3.5,1.5,1.25))*(1+0.132282374779864/(AO83^0.994035016789033+0.00905238001496948)),0.05))</f>
        <v>0.25</v>
      </c>
      <c r="AR83" s="9">
        <f>IFERROR(MROUND(_xlfn.XLOOKUP(B83,'Base stats'!B:B,'Base stats'!H:H)/IF(_xlfn.XLOOKUP(B83,'Base stats'!B:B,'Base stats'!I:I)&lt;&gt;1,(122.5/70),1.2),IF(_xlfn.XLOOKUP(B83,'Base stats'!B:B,'Base stats'!H:H)&gt;=30,5,IF(_xlfn.XLOOKUP(B83,'Base stats'!B:B,'Base stats'!H:H)&gt;=15,3,IF(_xlfn.XLOOKUP(B83,'Base stats'!B:B,'Base stats'!H:H)&gt;=10,2,1)))),"Immortal")</f>
        <v>6</v>
      </c>
      <c r="AS83" s="35">
        <f>IFERROR(IF(OR(_xlfn.XLOOKUP(B83,'Base stats'!B:B,'Base stats'!F:F)="Atypical reproduction",_xlfn.XLOOKUP(B83,'Base stats'!B:B,'Base stats'!F:F)="Lay eggs"),"Lay eggs",MIN(20,MAX(5.5,ROUND(((_xlfn.XLOOKUP(B83,'Base stats'!B:B,'Base stats'!F:F)-25)*(14.5/615) + 5.5)*2,0)/2))),"Unknown")</f>
        <v>6</v>
      </c>
      <c r="AT83" s="8">
        <f>IF(_xlfn.XLOOKUP(B83,'Base stats'!B:B,'Base stats'!G:G)="Atypical reproduction","No",IFERROR(MAX(IF(_xlfn.XLOOKUP(B83,'Base stats'!B:B,'Base stats'!G:G)&lt;0.5,0.2,0.3),MROUND(_xlfn.XLOOKUP(B83,'Base stats'!B:B,'Base stats'!G:G)/(365/60),0.2)),"Unknown"))</f>
        <v>0.3</v>
      </c>
      <c r="AU83" s="8">
        <f t="shared" si="8"/>
        <v>0.15000000000000002</v>
      </c>
      <c r="AV83" s="8">
        <f>IFERROR(IFERROR(MROUND(_xlfn.XLOOKUP(B83,'Base stats'!B:B,'Base stats'!J:J),0.1),"Lay eggs"),"Cannot breed")</f>
        <v>4.5</v>
      </c>
      <c r="AW83" s="2" t="str">
        <f t="shared" si="9"/>
        <v>false</v>
      </c>
      <c r="AX83" s="2" t="str">
        <f>IF(_xlfn.XLOOKUP(_xlfn.XLOOKUP(Animals!B83,'Base stats'!B:B,'Base stats'!E:E),Groups!A:A,Groups!AK:AK)=1,"true","false")</f>
        <v>false</v>
      </c>
      <c r="AY83" s="25" t="str">
        <f>IF(_xlfn.XLOOKUP(B83,'Base stats'!B:B,'Base stats'!Y:Y)="Liquor","Liquor, CarnivoreAnimalStrict",IF(AND(_xlfn.XLOOKUP(B83,'Base stats'!B:B,'Base stats'!Y:Y)="Carnivore",_xlfn.XLOOKUP(_xlfn.XLOOKUP(B83,'Base stats'!B:B,'Base stats'!E:E),Groups!A:A,Groups!AJ:AJ)="Photonozoa"),"CarnivoreAnimalStrict, OvivoreAnimal",IF(_xlfn.XLOOKUP(B83,'Base stats'!B:B,'Base stats'!Y:Y)="Carnivore","CarnivoreAnimal, OvivoreAnimal",IF(_xlfn.XLOOKUP(B83,'Base stats'!B:B,'Base stats'!Y:Y)="Dendrovore","VegetarianRoughAnimal, DendrovoreAnimal",IF(_xlfn.XLOOKUP(B83,'Base stats'!B:B,'Base stats'!Y:Y)="Herbivore","VegetarianRoughAnimal",IF(_xlfn.XLOOKUP(B83,'Base stats'!B:B,'Base stats'!Y:Y)="OmnivoreRough","OmnivoreRoughAnimal, OvivoreAnimal","OmnivoreAnimal, OvivoreAnimal"))))))</f>
        <v>CarnivoreAnimal, OvivoreAnimal</v>
      </c>
      <c r="AZ83" s="2" t="str">
        <f>IF(_xlfn.XLOOKUP(_xlfn.XLOOKUP(B83,'Base stats'!B:B,'Base stats'!E:E),Groups!A:A,Groups!D:D)=1,MROUND((1-J83)*5+1,2)*IF(J83&lt;=0.4,2,1),"No")</f>
        <v>No</v>
      </c>
      <c r="BA83" s="2" t="str">
        <f>IF(AND(_xlfn.XLOOKUP(B83,'Base stats'!B:B,'Base stats'!AH:AH)="&lt;li&gt;Seal&lt;/li&gt;",G83="Odyssey"),"&lt;li&gt;AEXP_Seal&lt;/li&gt;",_xlfn.XLOOKUP(B83,'Base stats'!B:B,'Base stats'!AH:AH))</f>
        <v>No</v>
      </c>
      <c r="BB83" s="2" t="str">
        <f>_xlfn.XLOOKUP(B83,'Base stats'!B:B,'Base stats'!AG:AG)</f>
        <v>Leather_Mink</v>
      </c>
      <c r="BC83" s="23" t="str">
        <f>_xlfn.XLOOKUP(_xlfn.XLOOKUP(B83,'Base stats'!B:B,'Base stats'!E:E),Groups!A:A,Groups!AL:AL)</f>
        <v>QuadrupedAnimalWithPawsAndTail</v>
      </c>
      <c r="BD83" s="23">
        <f>MIN(1,MROUND(IF(AND(AO83&lt;0.5,_xlfn.XLOOKUP(B83,'Base stats'!B:B,'Base stats'!AA:AA)=0),0,IF(OR(_xlfn.XLOOKUP(Animals!B83,'Base stats'!B:B,'Base stats'!O:O)=2,_xlfn.XLOOKUP(_xlfn.XLOOKUP(B83,'Base stats'!B:B,'Base stats'!E:E),Groups!A:A,Groups!AN:AN)=0),0,_xlfn.XLOOKUP(_xlfn.XLOOKUP(B83,'Base stats'!B:B,'Base stats'!E:E),Groups!A:A,Groups!AN:AN)/IF(_xlfn.XLOOKUP(Animals!B83,'Base stats'!B:B,'Base stats'!O:O)=1,2,1)))+_xlfn.XLOOKUP(B83,'Base stats'!B:B,'Base stats'!AC:AC),0.005))</f>
        <v>0.1</v>
      </c>
      <c r="BE83" s="23">
        <f>MIN(1,MROUND(IF(AND(AO83&lt;0.5,_xlfn.XLOOKUP(B83,'Base stats'!B:B,'Base stats'!AA:AA)=0),0,IF(_xlfn.XLOOKUP(_xlfn.XLOOKUP(B83,'Base stats'!B:B,'Base stats'!E:E),Groups!A:A,Groups!AO:AO)=0,0,_xlfn.XLOOKUP(_xlfn.XLOOKUP(B83,'Base stats'!B:B,'Base stats'!E:E),Groups!A:A,Groups!AO:AO)/IF(_xlfn.XLOOKUP(Animals!B83,'Base stats'!B:B,'Base stats'!O:O)=2,3,1)))+_xlfn.XLOOKUP(B83,'Base stats'!B:B,'Base stats'!AD:AD),0.005))</f>
        <v>0.3</v>
      </c>
      <c r="BF83" s="2" t="str">
        <f>IF(J83&gt;0.3,"No",_xlfn.XLOOKUP(_xlfn.XLOOKUP(Animals!B83,'Base stats'!B:B,'Base stats'!E:E),Groups!A:A,Groups!AP:AP))</f>
        <v>No</v>
      </c>
      <c r="BG83" s="2">
        <f>IF(AND(J83&lt;=0.65,_xlfn.XLOOKUP(_xlfn.XLOOKUP(Animals!B83,'Base stats'!B:B,'Base stats'!E:E),Groups!A:A,Groups!AP:AP)&lt;&gt;"No",_xlfn.XLOOKUP(_xlfn.XLOOKUP(B83,'Base stats'!B:B,'Base stats'!E:E),Groups!A:A,Groups!D:D)=0),MROUND((80/3)*IF(_xlfn.XLOOKUP(B83,'Base stats'!B:B,'Base stats'!O:O)=2,0.2,AO83) + 24*(1-IF(BF83="No",0,BF83)) + 16/3, 12),"No")</f>
        <v>36</v>
      </c>
      <c r="BH83" s="2">
        <f>IF(AND(_xlfn.XLOOKUP(_xlfn.XLOOKUP(B83,'Base stats'!B:B,'Base stats'!E:E),Groups!A:A,Groups!AQ:AQ)=1,AO83&lt;=0.35),8,12)</f>
        <v>12</v>
      </c>
      <c r="BI83" s="2" t="str">
        <f>IF(_xlfn.XLOOKUP(_xlfn.XLOOKUP(B83,'Base stats'!B:B,'Base stats'!E:E),Groups!A:A,Groups!D:D)=0,_xlfn.XLOOKUP(_xlfn.XLOOKUP(B83,'Base stats'!B:B,'Base stats'!E:E),Groups!A:A,Groups!AR:AR),"None")</f>
        <v>Intermediate</v>
      </c>
      <c r="BJ83" s="2" t="str">
        <f>IF(AND(_xlfn.XLOOKUP(_xlfn.XLOOKUP(B83,'Base stats'!B:B,'Base stats'!E:E),Groups!A:A,Groups!AS:AS)=1,OR(_xlfn.XLOOKUP(B83,'Base stats'!B:B,'Base stats'!Y:Y)="Carnivore",_xlfn.XLOOKUP(B83,'Base stats'!B:B,'Base stats'!Y:Y)="Omnivore")),"true","false")</f>
        <v>true</v>
      </c>
      <c r="BK83" s="2">
        <f>IF(BJ83="true",MROUND(IF(AND(AO83&gt;0.5,OR(_xlfn.XLOOKUP(_xlfn.XLOOKUP(B83,'Base stats'!B:B,'Base stats'!E:E),Groups!A:A,Groups!AJ:AJ)="Photonozoa",_xlfn.XLOOKUP(_xlfn.XLOOKUP(B83,'Base stats'!B:B,'Base stats'!E:E),Groups!A:A,Groups!AJ:AJ)="Mammal")),Animals!AO83*1.75*IF(AW83="true",1.5,1),IF(AO83&lt;0.5,Animals!AO83*0.5,Animals!AO83)),IF(AO83&gt;2,0.5,IF(AO83&gt;0.5,0.25,0.1))),"No")</f>
        <v>0.1</v>
      </c>
      <c r="BL83" s="2">
        <f t="shared" si="10"/>
        <v>1</v>
      </c>
      <c r="BM83" s="25" t="str">
        <f>IF(_xlfn.XLOOKUP(B83,'Base stats'!B:B,'Base stats'!AN:AN)="Standard","No",MROUND((_xlfn.XLOOKUP(B83,'Base stats'!B:B,'Base stats'!AN:AN)/3.6)/I83,0.1))</f>
        <v>No</v>
      </c>
      <c r="BN83" s="25" t="str">
        <f t="shared" si="11"/>
        <v>false</v>
      </c>
      <c r="BO83" s="25" t="str">
        <f>IF(AND(OR(_xlfn.XLOOKUP(B83,'Base stats'!B:B,'Base stats'!Y:Y)="Carnivore",_xlfn.XLOOKUP(B83,'Base stats'!B:B,'Base stats'!Y:Y)="Omnivore",_xlfn.XLOOKUP(B83,'Base stats'!B:B,'Base stats'!Y:Y)="OmnivoreRough"),_xlfn.XLOOKUP(_xlfn.XLOOKUP(B83,'Base stats'!B:B,'Base stats'!E:E),Groups!A:A,Groups!AT:AT)=1),"true","false")</f>
        <v>true</v>
      </c>
      <c r="BP83" s="25" t="str" cm="1">
        <f t="array" ref="BP83">IF(
  _xlfn.TEXTJOIN(", ",TRUE,
    IF(AND(BJ83="true",AO83&gt;0.5,BI83&lt;&gt;"None"),"AttackTarget",""),
    IF(AND(_xlfn.XLOOKUP(_xlfn.XLOOKUP(B83,'Base stats'!B:B,'Base stats'!E:E),Groups!A:A,Groups!AJ:AJ="Mammal"),OR(_xlfn.XLOOKUP(B83,'Base stats'!B:B,'Base stats'!Y:Y)="Omnivore",_xlfn.XLOOKUP(B83,'Base stats'!B:B,'Base stats'!Y:Y)="OmnivoreRough")),"Forage",""),
    IF(BG83&lt;=36,"Comfort",""),
    IF(_xlfn.XLOOKUP(B83,'Base stats'!B:B,'Base stats'!AE:AE)&lt;&gt;"No",_xlfn.XLOOKUP(B83,'Base stats'!B:B,'Base stats'!AE:AE),"")
  ) = "",
  "No",
  _xlfn.TEXTJOIN(", ",TRUE,
    IF(AND(BJ83="true",AO83&gt;0.5,BI83&lt;&gt;"None"),"AttackTarget",""),
    IF(AND(_xlfn.XLOOKUP(_xlfn.XLOOKUP(B83,'Base stats'!B:B,'Base stats'!E:E),Groups!A:A,Groups!AJ:AJ="Mammal"),OR(_xlfn.XLOOKUP(B83,'Base stats'!B:B,'Base stats'!Y:Y)="Omnivore",_xlfn.XLOOKUP(B83,'Base stats'!B:B,'Base stats'!Y:Y)="OmnivoreRough")),"Forage",""),
    IF(BG83&lt;=36,"Comfort",""),
    IF(_xlfn.XLOOKUP(B83,'Base stats'!B:B,'Base stats'!AE:AE)&lt;&gt;"No",_xlfn.XLOOKUP(B83,'Base stats'!B:B,'Base stats'!AE:AE),"")
  )
)</f>
        <v>Comfort</v>
      </c>
      <c r="BQ83" s="25">
        <f>IF(
   AND(
      'Base stats'!AN83="Standard",_xlfn.XLOOKUP(_xlfn.XLOOKUP(B83,'Base stats'!B:B,'Base stats'!E:E),Groups!A:A,Groups!AU:AU)=0,
      OR(
      BO83="True"
      )
   ),
   10,
   IF(
       OR(BM83&lt;&gt;"No",_xlfn.XLOOKUP(_xlfn.XLOOKUP(B83,'Base stats'!B:B,'Base stats'!E:E),Groups!A:A,Groups!AU:AU)=1),
      1,
      "No"
   )
)</f>
        <v>10</v>
      </c>
      <c r="BR83" s="9">
        <f>MROUND((1 + ((0.2*IF(OR(Q83="No",R83="No",R83=0),0,Q83/R83)
+IF(OR(V83="No",S83="No",T83="No"),0,S83/T83*(LEN(V83)-LEN(SUBSTITUTE(V83,",",""))+1))
+IF(OR(X83="No",Y83="No"),0,X83/Y83)
+IF(OR(AD83="No",AE83="No"),0,AD83/AE83)
+IF(OR(AL83="No",AI83="No",AJ83="No"),0,AI83/AJ83*(LEN(AL83)-LEN(SUBSTITUTE(AL83,",",""))+1))
)/(0.2*IF(OR(Q83="No",R83="No",R83=0),0,1)
+IF(OR(V83="No",S83="No",T83="No"),0,LEN(V83)-LEN(SUBSTITUTE(V83,",",""))+1)
+IF(OR(X83="No",Y83="No"),0,1)
+IF(OR(AD83="No",AE83="No"),0,1)
+IF(OR(AL83="No",AI83="No",AJ83="No"),0,LEN(AL83)-LEN(SUBSTITUTE(AL83,",",""))+1))*62%)* 2)*(1 + (AP83 / (IF(_xlfn.XLOOKUP(_xlfn.XLOOKUP(B83,'Base stats'!B:B,'Base stats'!E:E),Groups!A:A,Groups!AJ:AJ)="Photonozoa",0.3,1)) + _xlfn.XLOOKUP(B83,'Base stats'!B:B,'Base stats'!AV:AV) * 1.8) * 2) * 2.5 + 10 + I83 * 2,5)+IF(_xlfn.XLOOKUP(B83,'Base stats'!B:B,'Base stats'!AK:AK)=1,50,0)</f>
        <v>30</v>
      </c>
      <c r="BS83" s="8">
        <f t="shared" si="12"/>
        <v>0.25</v>
      </c>
      <c r="BT83" s="8" t="str">
        <f>_xlfn.XLOOKUP(B83,'Base stats'!B:B,'Base stats'!AF:AF)</f>
        <v>No</v>
      </c>
      <c r="BU83" s="2" t="str">
        <f>IF(AND(J83&lt;=0.95,OR(_xlfn.XLOOKUP(B83,'Base stats'!B:B,'Base stats'!AK:AK)=1,_xlfn.XLOOKUP(B83,'Base stats'!B:B,'Base stats'!Y:Y)="Carnivore",_xlfn.XLOOKUP(B83,'Base stats'!B:B,'Base stats'!Y:Y)="Omnivore",BE83&gt;0.1)),"true","false")</f>
        <v>true</v>
      </c>
      <c r="BV83" s="2" t="str">
        <f>IF(_xlfn.XLOOKUP(B83,'Base stats'!B:B,'Base stats'!AI:AI)=1,"true","false")</f>
        <v>false</v>
      </c>
      <c r="BW83" s="25" t="str">
        <f>IF(E83="BaseInsect","AnimalInsect",
IF(J83&gt;0.95,"AnimalExotic",
_xlfn.TEXTJOIN(", ",TRUE,
IF(OR(_xlfn.XLOOKUP(B83,'Base stats'!B:B,'Base stats'!AM:AM)=1,AND(_xlfn.XLOOKUP(B83,'Base stats'!B:B,'Base stats'!O:O)=0,_xlfn.XLOOKUP(_xlfn.XLOOKUP(B83,'Base stats'!B:B,'Base stats'!E:E),Groups!A:A,Groups!B:B)&gt;0)),"AnimalUncommon","AnimalCommon"),
IF(AND(_xlfn.XLOOKUP(B83,'Base stats'!B:B,'Base stats'!O:O)=2,_xlfn.XLOOKUP(_xlfn.XLOOKUP(B83,'Base stats'!B:B,'Base stats'!E:E),Groups!A:A,Groups!D:D)=0),"AnimalPet",IF(AND(_xlfn.XLOOKUP(B83,'Base stats'!B:B,'Base stats'!O:O)&lt;&gt;0,_xlfn.XLOOKUP(_xlfn.XLOOKUP(B83,'Base stats'!B:B,'Base stats'!E:E),Groups!A:A,Groups!D:D)&lt;&gt;0),"AnimalFarm","")),
IF(OR(_xlfn.XLOOKUP(B83,'Base stats'!B:B,'Base stats'!AK:AK)=1,AND(BI83&lt;&gt;"None",BR83&gt;=60),ISNUMBER(SEARCH("Attack target",BP83))),"AnimalFighter","")
)))</f>
        <v>AnimalUncommon</v>
      </c>
      <c r="BX83" s="25" t="str">
        <f>IF(G83="None",TRIM(
SUBSTITUTE(
IF(COUNTIF(Biomes!B$2:B$259,"="&amp;$C83)&gt;0,Biomes!B$1&amp;", ","")&amp;
IF(COUNTIF(Biomes!C$2:C$259,"="&amp;$C83)&gt;0,Biomes!C$1&amp;", ","")&amp;
IF(COUNTIF(Biomes!D$2:D$259,"="&amp;$C83)&gt;0,Biomes!D$1&amp;", ","")&amp;
IF(COUNTIF(Biomes!F$2:F$259,"="&amp;$C83)&gt;0,Biomes!F$1&amp;", ","")&amp;
IF(COUNTIF(Biomes!G$2:G$259,"="&amp;$C83)&gt;0,Biomes!G$1&amp;", ","")&amp;
IF(COUNTIF(Biomes!H$2:H$259,"="&amp;$C83)&gt;0,Biomes!H$1&amp;", ","")&amp;
IF(COUNTIF(Biomes!I$2:I$259,"="&amp;$C83)&gt;0,Biomes!I$1&amp;", ","")&amp;
IF(COUNTIF(Biomes!J$2:J$259,"="&amp;$C83)&gt;0,Biomes!J$1&amp;", ","")&amp;
IF(COUNTIF(Biomes!M$2:M$259,"="&amp;$C83)&gt;0,Biomes!M$1&amp;", ","")&amp;
IF(COUNTIF(Biomes!N$2:N$259,"="&amp;$C83)&gt;0,Biomes!N$1&amp;", ","")&amp;
IF(COUNTIF(Biomes!O$2:O$259,"="&amp;$C83)&gt;0,Biomes!O$1&amp;", ","")&amp;
IF(COUNTIF(Biomes!P$2:P$259,"="&amp;$C83)&gt;0,Biomes!P$1&amp;", ","")&amp;
IF(COUNTIF(Biomes!K$2:K$259,"="&amp;$C83)&gt;0,Biomes!K$1&amp;", ","")&amp;
IF(COUNTIF(Biomes!Q$3:Q$259,"="&amp;$C83)&gt;0,Biomes!Q$1&amp;", ","")&amp;
IF(COUNTIF(Biomes!L$2:L$259,"="&amp;$C83)&gt;0,Biomes!L$1&amp;", ","")&amp;
IF(COUNTIF(Biomes!E$2:E$259,"="&amp;$C83)&gt;0,Biomes!E$1&amp;", ","")&amp;IF(COUNTIF(Biomes!S$2:S$259,"="&amp;$C83)&gt;0,Biomes!S$1&amp;", ","")&amp;
IF(COUNTIF(Biomes!R$2:R$259,"="&amp;$C83)&gt;0,Biomes!R$1&amp;", ",""),", ","")
),_xlfn.XLOOKUP(B83,B:B,BX:BX))</f>
        <v>BorealForest ColdBog TemperateForest TemperateSwamp GlacialPlain</v>
      </c>
      <c r="BY83" s="25" t="str">
        <f>IF(_xlfn.XLOOKUP(B83,'Base stats'!B:B,'Base stats'!AJ:AJ)=1,"true","false")</f>
        <v>false</v>
      </c>
      <c r="BZ83" s="25">
        <f>IF(_xlfn.XLOOKUP(B83,'Base stats'!B:B,'Base stats'!N:N)=1,"No",MAX(0.001,MIN(MROUND(IF(AND(BJ83="True",CC83="False"),POWER(10,3.47*LOG10(_xlfn.XLOOKUP(B83,'Base stats'!B:B,'Base stats'!C:C)*1000)^-0.96),POWER(10,4.15*LOG10(_xlfn.XLOOKUP(B83,'Base stats'!B:B,'Base stats'!C:C)*1000)^-0.73))*IF(_xlfn.XLOOKUP(B83,'Base stats'!B:B,'Base stats'!AK:AK)=1,0.5,1)*IF(_xlfn.XLOOKUP(B83,'Base stats'!B:B,'Base stats'!AM:AM)=1,0.1,1)/100,IF(_xlfn.XLOOKUP(B83,'Base stats'!B:B,'Base stats'!AM:AM)=1,0.001,0.025)),0.5)))</f>
        <v>0.17500000000000002</v>
      </c>
      <c r="CA83" s="25" t="str">
        <f>IF(P83="Standard","No",MAX(0.001,MIN(MROUND(IF(AND(BJ83="True",CC83="False"),POWER(10,3.47*LOG10(_xlfn.XLOOKUP(B83,'Base stats'!B:B,'Base stats'!C:C)*1000)^-0.96),POWER(10,4.15*LOG10(_xlfn.XLOOKUP(B83,'Base stats'!B:B,'Base stats'!C:C)*1000)^-0.73))*IF(_xlfn.XLOOKUP(B83,'Base stats'!B:B,'Base stats'!AM:AM)=1,0.1,1)*_xlfn.XLOOKUP(B83,'Base stats'!B:B,'Base stats'!R:R)/100,IF(_xlfn.XLOOKUP(B83,'Base stats'!B:B,'Base stats'!AM:AM)=1,0.001,0.025)),0.5)))</f>
        <v>No</v>
      </c>
      <c r="CB83" s="25" t="str">
        <f>IF(_xlfn.XLOOKUP(_xlfn.XLOOKUP(B83,'Base stats'!B:B,'Base stats'!E:E),Groups!A:A,Groups!AJ:AJ)="Mammal","True","False")</f>
        <v>True</v>
      </c>
      <c r="CC83" s="25" t="str">
        <f>IF(OR(_xlfn.XLOOKUP(_xlfn.XLOOKUP(B83,'Base stats'!B:B,'Base stats'!E:E),Groups!A:A,Groups!AJ:AJ)="Reptile",_xlfn.XLOOKUP(_xlfn.XLOOKUP(B83,'Base stats'!B:B,'Base stats'!E:E),Groups!A:A,Groups!AJ:AJ)="Amphibian",_xlfn.XLOOKUP(_xlfn.XLOOKUP(B83,'Base stats'!B:B,'Base stats'!E:E),Groups!A:A,Groups!AJ:AJ)="Invertebrate"),"True","False")</f>
        <v>False</v>
      </c>
      <c r="CD83" s="25" t="str">
        <f t="shared" si="13"/>
        <v>False</v>
      </c>
      <c r="CE83" s="25" t="str">
        <f>IF(_xlfn.XLOOKUP(_xlfn.XLOOKUP(B83,'Base stats'!B:B,'Base stats'!E:E),Groups!A:A,Groups!AX:AX),"True","False")</f>
        <v>False</v>
      </c>
      <c r="CF83" s="25" t="str">
        <f>IF(_xlfn.XLOOKUP(_xlfn.XLOOKUP(B83,'Base stats'!B:B,'Base stats'!E:E),Groups!A:A,Groups!AY:AY),"True","False")</f>
        <v>False</v>
      </c>
      <c r="CG83" s="25" t="str">
        <f>IF(_xlfn.XLOOKUP(_xlfn.XLOOKUP(B83,'Base stats'!B:B,'Base stats'!E:E),Groups!A:A,Groups!AW:AW),"True","False")</f>
        <v>False</v>
      </c>
      <c r="CH83" s="25" t="str">
        <f>IF(
OR(
_xlfn.XLOOKUP(_xlfn.XLOOKUP(B83,'Base stats'!B:B,'Base stats'!E:E),Groups!A:A,Groups!AZ:AZ)=0,
AND(
_xlfn.XLOOKUP(B83,'Base stats'!B:B,'Base stats'!Y:Y)&lt;&gt;"Carnivore",
_xlfn.XLOOKUP(B83,'Base stats'!B:B,'Base stats'!Y:Y)&lt;&gt;"Omnivore",
_xlfn.XLOOKUP(B83,'Base stats'!B:B,'Base stats'!Y:Y)&lt;&gt;"OmnivoreRough"
)
),
"No",
IF(
_xlfn.XLOOKUP(_xlfn.XLOOKUP(B83,'Base stats'!B:B,'Base stats'!E:E),Groups!A:A,Groups!AZ:AZ)=1,
"Flesh",
IF(
_xlfn.XLOOKUP(_xlfn.XLOOKUP(B83,'Base stats'!B:B,'Base stats'!E:E),Groups!A:A,Groups!AZ:AZ)=2,
"Bone",
""
)
)
)</f>
        <v>No</v>
      </c>
      <c r="CI83" s="25" t="str">
        <f>IF(_xlfn.XLOOKUP(_xlfn.XLOOKUP(B83,'Base stats'!B:B,'Base stats'!E:E),Groups!A:A,Groups!BB:BB),"True","False")</f>
        <v>True</v>
      </c>
      <c r="CJ83" s="25" t="str">
        <f>IF(_xlfn.XLOOKUP(_xlfn.XLOOKUP(B83,'Base stats'!B:B,'Base stats'!E:E),Groups!A:A,Groups!BA:BA),"True","False")</f>
        <v>False</v>
      </c>
    </row>
    <row r="84" spans="1:88" ht="16.5" thickTop="1" thickBot="1" x14ac:dyDescent="0.3">
      <c r="A84" s="26" t="str">
        <f>_xlfn.XLOOKUP(B84,'Base stats'!B:B,'Base stats'!A:A)</f>
        <v>Badger</v>
      </c>
      <c r="B84" s="6" t="s">
        <v>104</v>
      </c>
      <c r="C84" s="28" t="s">
        <v>764</v>
      </c>
      <c r="D84" s="28" t="s">
        <v>870</v>
      </c>
      <c r="E84" s="28" t="s">
        <v>673</v>
      </c>
      <c r="F84" s="28" t="s">
        <v>673</v>
      </c>
      <c r="G84" s="28" t="s">
        <v>673</v>
      </c>
      <c r="H84" s="2">
        <f>MROUND((
  (IF(AND(_xlfn.XLOOKUP(B84,'Base stats'!B:B,'Base stats'!AL:AL)=0,BI84="None",_xlfn.XLOOKUP(_xlfn.XLOOKUP(B84,'Base stats'!B:B,'Base stats'!E:E),Groups!A:A,Groups!B:B)=0), (18 + BR84 * 2.7) * 0.5,
    IF(AND(_xlfn.XLOOKUP(B84,'Base stats'!B:B,'Base stats'!AL:AL)=0,OR(AO84&lt;0.55,AND(BI84="Intermediate",_xlfn.XLOOKUP(_xlfn.XLOOKUP(B84,'Base stats'!B:B,'Base stats'!E:E),Groups!A:A,Groups!B:B)&lt;2))), (18 + BR84 * 2.7),
      IF(OR(BI84="Advanced",_xlfn.XLOOKUP(B84,'Base stats'!B:B,'Base stats'!AL:AL)=1,_xlfn.XLOOKUP(_xlfn.XLOOKUP(B84,'Base stats'!B:B,'Base stats'!E:E),Groups!A:A,Groups!B:B)=2), (18 + BR84 * 2.7) + 250, (18 + BR84 * 2.7))
    )
  ))
  + AO84 * 80
  + IF(COUNTIF(EggMilk!K$2:K$998, A84) &gt; 0, 125, 0)
  + IF(COUNTIF(EggMilk!P$2:P$998, A84) &gt; 0, 90, 0)
  + IF(COUNTIF(EggMilk!A$2:A$998, A84) &gt; 0, 90, 0)
)
* (0.8 + 0.4 * J84)
* 0.75,25)</f>
        <v>175</v>
      </c>
      <c r="I84" s="2">
        <f>MROUND(ROUNDDOWN(_xlfn.XLOOKUP(B84,'Base stats'!B:B,'Base stats'!L:L)/3.6/(23.3/11),1),0.5)</f>
        <v>3.5</v>
      </c>
      <c r="J84" s="2">
        <f>IF(OR(_xlfn.XLOOKUP(B84,'Base stats'!B:B,'Base stats'!AB:AB)=1,_xlfn.XLOOKUP(_xlfn.XLOOKUP(B84,'Base stats'!B:B,'Base stats'!E:E),Groups!A:A,Groups!C:C)="Untamable"),1,IF(_xlfn.XLOOKUP(B84,'Base stats'!B:B,'Base stats'!AL:AL)=1,0.99,MIN(MROUND((1-0.6282*EXP(-0.459*AO84))*_xlfn.XLOOKUP(_xlfn.XLOOKUP(B84,'Base stats'!B:B,'Base stats'!E:E),Groups!A:A,Groups!C:C)*IF(_xlfn.XLOOKUP(B84,'Base stats'!B:B,'Base stats'!O:O)=1,0.5,IF(_xlfn.XLOOKUP(B84,'Base stats'!B:B,'Base stats'!O:O)=2,0,1)),0.05),IF(AO84&gt;3.5,0.985,0.95))))</f>
        <v>0.75</v>
      </c>
      <c r="K84" s="2">
        <f>ROUNDUP(AO84*_xlfn.XLOOKUP(_xlfn.XLOOKUP(B84,'Base stats'!B:B,'Base stats'!E:E),Groups!A:A,Groups!E:E),0)</f>
        <v>1</v>
      </c>
      <c r="L84" s="2">
        <f>IF(OR(_xlfn.XLOOKUP(_xlfn.XLOOKUP(B84,'Base stats'!B:B,'Base stats'!E:E),Groups!A:A,Groups!F:F)=2,ISNUMBER(SEARCH("SeaIce",BX84)),ISNUMBER(SEARCH("IceSheet",BX84))),-50,IF(OR(ISNUMBER(SEARCH("GlacialPlain",BX84)),ISNUMBER(SEARCH("Tundra",BX84))),-40,IF(OR(ISNUMBER(SEARCH("Alpine",BX84)),ISNUMBER(SEARCH("BorealForest",BX84)),ISNUMBER(SEARCH("ColdBog",BX84))),-30,IF(OR(ISNUMBER(SEARCH("TemperateForest",BX84)),ISNUMBER(SEARCH("TemperateSwamp",BX84))),-20,IF(_xlfn.XLOOKUP(_xlfn.XLOOKUP(B84,'Base stats'!B:B,'Base stats'!E:E),Groups!A:A,Groups!F:F)=1,-15,IF(OR(ISNUMBER(SEARCH("Desert",BX84)),ISNUMBER(SEARCH("ExtremeDesert",BX84))),-10,IF(OR(ISNUMBER(SEARCH("Grasslands",BX84)),ISNUMBER(SEARCH("TropicalRainforest",BX84)),ISNUMBER(SEARCH("TropicalSwamp",BX84))),10,0)))))))-IF(CC84="False",MIN(IFERROR(MAX(MROUND(LOG10(_xlfn.XLOOKUP(B84,'Base stats'!B:B,'Base stats'!C:C)^(2/3))*10,5),5),5),30))-_xlfn.XLOOKUP(B84,'Base stats'!B:B,'Base stats'!P:P)+IF(CC84="True",5,0)</f>
        <v>-45</v>
      </c>
      <c r="M84" s="2">
        <f>IF(OR(_xlfn.XLOOKUP(_xlfn.XLOOKUP(B84,'Base stats'!B:B,'Base stats'!E:E),Groups!A:A,Groups!G:G)=2,ISNUMBER(SEARCH("Desert",BX84)),ISNUMBER(SEARCH("ExtremeDesert",BX84)),ISNUMBER(SEARCH("LavaField",BX84))),50,IF(ISNUMBER(SEARCH("Grasslands",BX84)),45,IF(OR(_xlfn.XLOOKUP(_xlfn.XLOOKUP(B84,'Base stats'!B:B,'Base stats'!E:E),Groups!A:A,Groups!G:G)=1,ISNUMBER(SEARCH("TropicalRainforest",BX84)),ISNUMBER(SEARCH("TropicalSwamp",BX84))),40,IF(OR(ISNUMBER(SEARCH("TemperateForest",BX84)),ISNUMBER(SEARCH("TemperateSwamp",BX84))),35,IF(OR(ISNUMBER(SEARCH("Alpine",BX84)),ISNUMBER(SEARCH("BorealForest",BX84)),ISNUMBER(SEARCH("ColdBog",BX84))),30,IF(ISNUMBER(OR(ISNUMBER(SEARCH("GlacialPlain",BX84)),SEARCH("Tundra",BX84))),25,IF(OR(ISNUMBER(SEARCH("SeaIce",BX84)),ISNUMBER(SEARCH("IceSheet",BX84)),ISNUMBER(SEARCH("TropicalSwamp",BX84))),10,35)))))))+_xlfn.XLOOKUP(B84,'Base stats'!B:B,'Base stats'!Q:Q)</f>
        <v>35</v>
      </c>
      <c r="N84" s="8" t="str">
        <f>IF(
_xlfn.XLOOKUP(
_xlfn.XLOOKUP(B84,'Base stats'!B:B,'Base stats'!E:E),
Groups!A:A,
Groups!L:L
)=1,
MIN(
MROUND(
IF(
_xlfn.XLOOKUP(B84,'Animals CE'!B:B,'Animals CE'!Z:Z)&lt;=1.5,
_xlfn.XLOOKUP(B84,'Animals CE'!B:B,'Animals CE'!Z:Z)/2+0.05,
0.8+
(_xlfn.XLOOKUP(B84,'Animals CE'!B:B,'Animals CE'!Z:Z)-1.5)
*0.02
),
0.05
),
200%
),
"No"
)</f>
        <v>No</v>
      </c>
      <c r="O84" s="8" t="str">
        <f>IF(
_xlfn.XLOOKUP(
_xlfn.XLOOKUP(B84,'Base stats'!B:B,'Base stats'!E:E),
Groups!A:A,
Groups!L:L
)=1,
MIN(
MROUND(
IF(
_xlfn.XLOOKUP(B84,'Animals CE'!B:B,'Animals CE'!AA:AA)&lt;=1.5,
_xlfn.XLOOKUP(B84,'Animals CE'!B:B,'Animals CE'!AA:AA)/2+0.05,
0.8+
(_xlfn.XLOOKUP(B84,'Animals CE'!B:B,'Animals CE'!AA:AA)-1.5)
*0.02
),
0.05
),
200%
),
"No"
)</f>
        <v>No</v>
      </c>
      <c r="P84" s="2" t="str">
        <f>_xlfn.XLOOKUP(B84,'Base stats'!B:B,'Base stats'!R:R)</f>
        <v>Standard</v>
      </c>
      <c r="Q84" s="13">
        <f>MROUND((LOG10(_xlfn.XLOOKUP(B84,'Base stats'!B:B,'Base stats'!AR:AR))*(AO84^0.5)+(_xlfn.XLOOKUP(B84,'Base stats'!B:B,'Base stats'!AR:AR)/1000)^(2/3)+_xlfn.XLOOKUP(B84,'Base stats'!B:B,'Base stats'!BA:BA)/2)+0.5,0.5)</f>
        <v>4</v>
      </c>
      <c r="R84" s="7">
        <f>IF(Q84="No","No",MAX(1,MROUND(_xlfn.XLOOKUP(B84,'Base stats'!B:B,'Base stats'!C:C)^0.165,0.05)))</f>
        <v>1.55</v>
      </c>
      <c r="S84" s="13" t="str">
        <f>IF(_xlfn.XLOOKUP(_xlfn.XLOOKUP(B84,'Base stats'!B:B,'Base stats'!E:E),Groups!A:A,Groups!P:P)=0,"No",MROUND((LOG10(_xlfn.XLOOKUP(B84,'Base stats'!B:B,'Base stats'!AS:AS))*(AO84^0.5)+(_xlfn.XLOOKUP(B84,'Base stats'!B:B,'Base stats'!AS:AS)/1000)^(2/3)+_xlfn.XLOOKUP(B84,'Base stats'!B:B,'Base stats'!BA:BA))+_xlfn.XLOOKUP(B84,'Base stats'!B:B,'Base stats'!AY:AY)+0.5,0.5))</f>
        <v>No</v>
      </c>
      <c r="T84" s="7" t="str">
        <f>IF(S84="No","No",MAX(_xlfn.XLOOKUP(_xlfn.XLOOKUP(B84,'Base stats'!B:B,'Base stats'!E:E),Groups!A:A,Groups!Q:Q),MROUND(_xlfn.XLOOKUP(_xlfn.XLOOKUP(B84,'Base stats'!B:B,'Base stats'!E:E),Groups!A:A,Groups!Q:Q)*_xlfn.XLOOKUP(B84,'Base stats'!B:B,'Base stats'!C:C)^0.165,0.05)))</f>
        <v>No</v>
      </c>
      <c r="U84" s="7" t="str">
        <f>IF(S84="No","No",_xlfn.XLOOKUP(_xlfn.XLOOKUP(B84,'Base stats'!B:B,'Base stats'!E:E),Groups!A:A,Groups!R:R))</f>
        <v>No</v>
      </c>
      <c r="V84" s="7" t="str">
        <f>IF(S84="No","No",_xlfn.XLOOKUP(_xlfn.XLOOKUP(B84,'Base stats'!B:B,'Base stats'!E:E),Groups!A:A,Groups!S:S))</f>
        <v>No</v>
      </c>
      <c r="W84" s="7" t="str">
        <f>IF(S84="No","No",_xlfn.XLOOKUP(_xlfn.XLOOKUP(B84,'Base stats'!B:B,'Base stats'!E:E),Groups!A:A,Groups!T:T))</f>
        <v>No</v>
      </c>
      <c r="X84" s="13" t="str">
        <f>IF(_xlfn.XLOOKUP(B84,'Base stats'!B:B,'Base stats'!W:W)="No","No",MROUND((LOG10(_xlfn.XLOOKUP(B84,'Base stats'!B:B,'Base stats'!AU:AU))*(AO84^0.5)+(_xlfn.XLOOKUP(B84,'Base stats'!B:B,'Base stats'!AU:AU)/1000)^(2/3)+_xlfn.XLOOKUP(B84,'Base stats'!B:B,'Base stats'!AZ:AZ))+0.5+IF(_xlfn.XLOOKUP(_xlfn.XLOOKUP(B84,'Base stats'!B:B,'Base stats'!E:E),Groups!A:A,Groups!U:U)&lt;&gt;3,_xlfn.XLOOKUP(B84,'Base stats'!B:B,'Base stats'!BA:BA),0),0.5))</f>
        <v>No</v>
      </c>
      <c r="Y84" s="7" t="str">
        <f>IF(X84="No","No",MAX(_xlfn.XLOOKUP(_xlfn.XLOOKUP(B84,'Base stats'!B:B,'Base stats'!E:E),Groups!A:A,Groups!V:V),MROUND(_xlfn.XLOOKUP(_xlfn.XLOOKUP(B84,'Base stats'!B:B,'Base stats'!E:E),Groups!A:A,Groups!V:V)*_xlfn.XLOOKUP(B84,'Base stats'!B:B,'Base stats'!C:C)^0.165,0.05)))</f>
        <v>No</v>
      </c>
      <c r="Z84" s="7" t="str">
        <f>IF(X84="No","No",_xlfn.XLOOKUP(_xlfn.XLOOKUP(B84,'Base stats'!B:B,'Base stats'!E:E),Groups!A:A,Groups!W:W))</f>
        <v>No</v>
      </c>
      <c r="AA84" s="7" t="str">
        <f>IF(X84="No","No",_xlfn.XLOOKUP(_xlfn.XLOOKUP(B84,'Base stats'!B:B,'Base stats'!E:E),Groups!A:A,Groups!X:X))</f>
        <v>No</v>
      </c>
      <c r="AB84" s="7" t="str">
        <f>IF(X84="No","No",_xlfn.XLOOKUP(_xlfn.XLOOKUP(B84,'Base stats'!B:B,'Base stats'!E:E),Groups!A:A,Groups!Y:Y))</f>
        <v>No</v>
      </c>
      <c r="AC84" s="7" t="str">
        <f>_xlfn.XLOOKUP(Animals!B84,'Base stats'!B:B,'Base stats'!X:X)</f>
        <v>False</v>
      </c>
      <c r="AD84" s="13">
        <f>IF(_xlfn.XLOOKUP(B84,'Base stats'!B:B,'Base stats'!AT:AT)="No","No",MROUND((LOG10(_xlfn.XLOOKUP(B84,'Base stats'!B:B,'Base stats'!AT:AT))*(AO84^0.75)+(_xlfn.XLOOKUP(B84,'Base stats'!B:B,'Base stats'!AT:AT)/1000)^(2/3)+_xlfn.XLOOKUP(B84,'Base stats'!B:B,'Base stats'!AX:AX)+_xlfn.XLOOKUP(B84,'Base stats'!B:B,'Base stats'!BA:BA))+0.5,0.5))</f>
        <v>6.5</v>
      </c>
      <c r="AE84" s="7">
        <f>IF(AD84="No","No",MAX(_xlfn.XLOOKUP(_xlfn.XLOOKUP(B84,'Base stats'!B:B,'Base stats'!E:E),Groups!A:A,Groups!Z:Z),MROUND(_xlfn.XLOOKUP(_xlfn.XLOOKUP(B84,'Base stats'!B:B,'Base stats'!E:E),Groups!A:A,Groups!Z:Z)*_xlfn.XLOOKUP(B84,'Base stats'!B:B,'Base stats'!C:C)^0.165,0.05)))</f>
        <v>1.2000000000000002</v>
      </c>
      <c r="AF84" s="7" t="str">
        <f>IF(AD84="No","No",_xlfn.XLOOKUP(_xlfn.XLOOKUP(B84,'Base stats'!B:B,'Base stats'!E:E),Groups!A:A,Groups!AA:AA))</f>
        <v>Teeth</v>
      </c>
      <c r="AG84" s="7" t="str">
        <f>IF(AD84="No","No",_xlfn.XLOOKUP(_xlfn.XLOOKUP(B84,'Base stats'!B:B,'Base stats'!E:E),Groups!A:A,Groups!AB:AB))</f>
        <v>canines</v>
      </c>
      <c r="AH84" s="7" t="str">
        <f>IF(AD84="No","No",_xlfn.XLOOKUP(_xlfn.XLOOKUP(B84,'Base stats'!B:B,'Base stats'!E:E),Groups!A:A,Groups!AC:AC))</f>
        <v>Bite</v>
      </c>
      <c r="AI84" s="13">
        <f>IF(_xlfn.XLOOKUP(_xlfn.XLOOKUP(B84,'Base stats'!B:B,'Base stats'!E:E),Groups!A:A,Groups!AD:AD)=0,"No",MROUND((LOG10(_xlfn.XLOOKUP(B84,'Base stats'!B:B,'Base stats'!AS:AS))*(AO84^0.75)+(_xlfn.XLOOKUP(B84,'Base stats'!B:B,'Base stats'!AS:AS)/1000)^(2/3)+_xlfn.XLOOKUP(B84,'Base stats'!B:B,'Base stats'!AY:AY)+_xlfn.XLOOKUP(B84,'Base stats'!B:B,'Base stats'!BA:BA))+0.5,0.5))</f>
        <v>6</v>
      </c>
      <c r="AJ84" s="7">
        <f>IF(AI84="No","No",MAX(_xlfn.XLOOKUP(_xlfn.XLOOKUP(B84,'Base stats'!B:B,'Base stats'!E:E),Groups!A:A,Groups!AE:AE),MROUND(_xlfn.XLOOKUP(_xlfn.XLOOKUP(B84,'Base stats'!B:B,'Base stats'!E:E),Groups!A:A,Groups!AE:AE)*IF(_xlfn.XLOOKUP(_xlfn.XLOOKUP(B84,'Base stats'!B:B,'Base stats'!E:E),Groups!A:A,Groups!AJ:AJ)="Photonozoa",0.6,1)*_xlfn.XLOOKUP(B84,'Base stats'!B:B,'Base stats'!C:C)^0.165,0.05)))</f>
        <v>1</v>
      </c>
      <c r="AK84" s="7" t="str">
        <f>IF(AI84="No","No",_xlfn.XLOOKUP(_xlfn.XLOOKUP(B84,'Base stats'!B:B,'Base stats'!E:E),Groups!A:A,Groups!AF:AF))</f>
        <v>FrontLeftPaw, FrontRightPaw</v>
      </c>
      <c r="AL84" s="7" t="str">
        <f>IF(AI84="No","No",_xlfn.XLOOKUP(_xlfn.XLOOKUP(B84,'Base stats'!B:B,'Base stats'!E:E),Groups!A:A,Groups!AG:AG))</f>
        <v>left claw, right claw</v>
      </c>
      <c r="AM84" s="7" t="str">
        <f>IF(AI84="No","No",_xlfn.XLOOKUP(_xlfn.XLOOKUP(B84,'Base stats'!B:B,'Base stats'!E:E),Groups!A:A,Groups!AH:AH))</f>
        <v>Scratch</v>
      </c>
      <c r="AN84" s="2" t="str">
        <f t="shared" si="7"/>
        <v>No</v>
      </c>
      <c r="AO84" s="2">
        <f>MROUND(IF(AND(_xlfn.XLOOKUP(B84,'Base stats'!B:B,'Base stats'!C:C)&gt;=0.5,_xlfn.XLOOKUP(B84,'Base stats'!B:B,'Base stats'!C:C)&lt;=0.8),
IF(_xlfn.XLOOKUP(B84,'Base stats'!B:B,'Base stats'!C:C)&lt;0.1,0.05,IF(_xlfn.XLOOKUP(B84,'Base stats'!B:B,'Base stats'!C:C)&lt;=70,(_xlfn.XLOOKUP(B84,'Base stats'!B:B,'Base stats'!C:C)/70)^0.426489913056526,IF(_xlfn.XLOOKUP(B84,'Base stats'!B:B,'Base stats'!C:C)&lt;=400,(_xlfn.XLOOKUP(B84,'Base stats'!B:B,'Base stats'!C:C)/70)^0.572811455315093,IF(_xlfn.XLOOKUP(B84,'Base stats'!B:B,'Base stats'!C:C)&lt;=2000,2.71391647193063*(_xlfn.XLOOKUP(B84,'Base stats'!B:B,'Base stats'!C:C)/400)^0.252459582904293,3.74314280240376*(_xlfn.XLOOKUP(B84,'Base stats'!B:B,'Base stats'!C:C)/2000)^0.357012633876913)))),
IF(_xlfn.XLOOKUP(B84,'Base stats'!B:B,'Base stats'!C:C)&lt;0.1,0.05,IF(_xlfn.XLOOKUP(B84,'Base stats'!B:B,'Base stats'!C:C)&lt;0.4,0.1,IF(_xlfn.XLOOKUP(B84,'Base stats'!B:B,'Base stats'!C:C)&lt;=70,(_xlfn.XLOOKUP(B84,'Base stats'!B:B,'Base stats'!C:C)/70)^0.445823913056526,IF(_xlfn.XLOOKUP(B84,'Base stats'!B:B,'Base stats'!C:C)&lt;=400,(_xlfn.XLOOKUP(B84,'Base stats'!B:B,'Base stats'!C:C)/70)^0.572811455315093,IF(_xlfn.XLOOKUP(B84,'Base stats'!B:B,'Base stats'!C:C)&lt;=2000,2.71391647193063*(_xlfn.XLOOKUP(B84,'Base stats'!B:B,'Base stats'!C:C)/400)^0.252459582904293,3.74314280240376*(_xlfn.XLOOKUP(B84,'Base stats'!B:B,'Base stats'!C:C)/2000)^0.357012633876913)))))),
IF(_xlfn.XLOOKUP(B84,'Base stats'!B:B,'Base stats'!C:C)&lt;0.1,0.05,IF(_xlfn.XLOOKUP(B84,'Base stats'!B:B,'Base stats'!C:C)&lt;=100,0.05,IF(_xlfn.XLOOKUP(B84,'Base stats'!B:B,'Base stats'!C:C)&lt;=250,0.1,IF(_xlfn.XLOOKUP(B84,'Base stats'!B:B,'Base stats'!C:C)&lt;=4000,0.25,0.5)))))</f>
        <v>0.45</v>
      </c>
      <c r="AP84" s="8">
        <f>MROUND(AO84*_xlfn.XLOOKUP(_xlfn.XLOOKUP(B84,'Base stats'!B:B,'Base stats'!E:E),Groups!A:A,Groups!AI:AI)*_xlfn.XLOOKUP(B84,'Base stats'!B:B,'Base stats'!Z:Z),0.05)</f>
        <v>0.55000000000000004</v>
      </c>
      <c r="AQ84" s="8">
        <f>MAX(0.01,MROUND(IF(CC84="True",0.196*(AO84*100*1000)^0.889,IF(_xlfn.XLOOKUP(_xlfn.XLOOKUP(B84,'Base stats'!B:B,'Base stats'!E:E),Groups!A:A,Groups!AJ:AJ)="Bird",10.5*(AO84*100*1000)^0.681,4.82*(AO84*100*1000)^0.734))/(4.82*(1*100*1000)^0.734)/IF(AO84&lt;3.5,2,IF(AO84=3.5,1.5,1.25))*(1+0.132282374779864/(AO84^0.994035016789033+0.00905238001496948)),0.05))</f>
        <v>0.35000000000000003</v>
      </c>
      <c r="AR84" s="9">
        <f>IFERROR(MROUND(_xlfn.XLOOKUP(B84,'Base stats'!B:B,'Base stats'!H:H)/IF(_xlfn.XLOOKUP(B84,'Base stats'!B:B,'Base stats'!I:I)&lt;&gt;1,(122.5/70),1.2),IF(_xlfn.XLOOKUP(B84,'Base stats'!B:B,'Base stats'!H:H)&gt;=30,5,IF(_xlfn.XLOOKUP(B84,'Base stats'!B:B,'Base stats'!H:H)&gt;=15,3,IF(_xlfn.XLOOKUP(B84,'Base stats'!B:B,'Base stats'!H:H)&gt;=10,2,1)))),"Immortal")</f>
        <v>12</v>
      </c>
      <c r="AS84" s="35">
        <f>IFERROR(IF(OR(_xlfn.XLOOKUP(B84,'Base stats'!B:B,'Base stats'!F:F)="Atypical reproduction",_xlfn.XLOOKUP(B84,'Base stats'!B:B,'Base stats'!F:F)="Lay eggs"),"Lay eggs",MIN(20,MAX(5.5,ROUND(((_xlfn.XLOOKUP(B84,'Base stats'!B:B,'Base stats'!F:F)-25)*(14.5/615) + 5.5)*2,0)/2))),"Unknown")</f>
        <v>6</v>
      </c>
      <c r="AT84" s="8">
        <f>IF(_xlfn.XLOOKUP(B84,'Base stats'!B:B,'Base stats'!G:G)="Atypical reproduction","No",IFERROR(MAX(IF(_xlfn.XLOOKUP(B84,'Base stats'!B:B,'Base stats'!G:G)&lt;0.5,0.2,0.3),MROUND(_xlfn.XLOOKUP(B84,'Base stats'!B:B,'Base stats'!G:G)/(365/60),0.2)),"Unknown"))</f>
        <v>0.3</v>
      </c>
      <c r="AU84" s="8">
        <f t="shared" si="8"/>
        <v>0.15000000000000002</v>
      </c>
      <c r="AV84" s="8">
        <f>IFERROR(IFERROR(MROUND(_xlfn.XLOOKUP(B84,'Base stats'!B:B,'Base stats'!J:J),0.1),"Lay eggs"),"Cannot breed")</f>
        <v>3</v>
      </c>
      <c r="AW84" s="2" t="str">
        <f t="shared" si="9"/>
        <v>false</v>
      </c>
      <c r="AX84" s="2" t="str">
        <f>IF(_xlfn.XLOOKUP(_xlfn.XLOOKUP(Animals!B84,'Base stats'!B:B,'Base stats'!E:E),Groups!A:A,Groups!AK:AK)=1,"true","false")</f>
        <v>false</v>
      </c>
      <c r="AY84" s="25" t="str">
        <f>IF(_xlfn.XLOOKUP(B84,'Base stats'!B:B,'Base stats'!Y:Y)="Liquor","Liquor, CarnivoreAnimalStrict",IF(AND(_xlfn.XLOOKUP(B84,'Base stats'!B:B,'Base stats'!Y:Y)="Carnivore",_xlfn.XLOOKUP(_xlfn.XLOOKUP(B84,'Base stats'!B:B,'Base stats'!E:E),Groups!A:A,Groups!AJ:AJ)="Photonozoa"),"CarnivoreAnimalStrict, OvivoreAnimal",IF(_xlfn.XLOOKUP(B84,'Base stats'!B:B,'Base stats'!Y:Y)="Carnivore","CarnivoreAnimal, OvivoreAnimal",IF(_xlfn.XLOOKUP(B84,'Base stats'!B:B,'Base stats'!Y:Y)="Dendrovore","VegetarianRoughAnimal, DendrovoreAnimal",IF(_xlfn.XLOOKUP(B84,'Base stats'!B:B,'Base stats'!Y:Y)="Herbivore","VegetarianRoughAnimal",IF(_xlfn.XLOOKUP(B84,'Base stats'!B:B,'Base stats'!Y:Y)="OmnivoreRough","OmnivoreRoughAnimal, OvivoreAnimal","OmnivoreAnimal, OvivoreAnimal"))))))</f>
        <v>OmnivoreRoughAnimal, OvivoreAnimal</v>
      </c>
      <c r="AZ84" s="2" t="str">
        <f>IF(_xlfn.XLOOKUP(_xlfn.XLOOKUP(B84,'Base stats'!B:B,'Base stats'!E:E),Groups!A:A,Groups!D:D)=1,MROUND((1-J84)*5+1,2)*IF(J84&lt;=0.4,2,1),"No")</f>
        <v>No</v>
      </c>
      <c r="BA84" s="2" t="str">
        <f>IF(AND(_xlfn.XLOOKUP(B84,'Base stats'!B:B,'Base stats'!AH:AH)="&lt;li&gt;Seal&lt;/li&gt;",G84="Odyssey"),"&lt;li&gt;AEXP_Seal&lt;/li&gt;",_xlfn.XLOOKUP(B84,'Base stats'!B:B,'Base stats'!AH:AH))</f>
        <v>No</v>
      </c>
      <c r="BB84" s="2" t="str">
        <f>_xlfn.XLOOKUP(B84,'Base stats'!B:B,'Base stats'!AG:AG)</f>
        <v>Leather_Light</v>
      </c>
      <c r="BC84" s="23" t="str">
        <f>_xlfn.XLOOKUP(_xlfn.XLOOKUP(B84,'Base stats'!B:B,'Base stats'!E:E),Groups!A:A,Groups!AL:AL)</f>
        <v>QuadrupedAnimalWithPawsAndTail</v>
      </c>
      <c r="BD84" s="23">
        <f>MIN(1,MROUND(IF(AND(AO84&lt;0.5,_xlfn.XLOOKUP(B84,'Base stats'!B:B,'Base stats'!AA:AA)=0),0,IF(OR(_xlfn.XLOOKUP(Animals!B84,'Base stats'!B:B,'Base stats'!O:O)=2,_xlfn.XLOOKUP(_xlfn.XLOOKUP(B84,'Base stats'!B:B,'Base stats'!E:E),Groups!A:A,Groups!AN:AN)=0),0,_xlfn.XLOOKUP(_xlfn.XLOOKUP(B84,'Base stats'!B:B,'Base stats'!E:E),Groups!A:A,Groups!AN:AN)/IF(_xlfn.XLOOKUP(Animals!B84,'Base stats'!B:B,'Base stats'!O:O)=1,2,1)))+_xlfn.XLOOKUP(B84,'Base stats'!B:B,'Base stats'!AC:AC),0.005))</f>
        <v>0</v>
      </c>
      <c r="BE84" s="23">
        <f>MIN(1,MROUND(IF(AND(AO84&lt;0.5,_xlfn.XLOOKUP(B84,'Base stats'!B:B,'Base stats'!AA:AA)=0),0,IF(_xlfn.XLOOKUP(_xlfn.XLOOKUP(B84,'Base stats'!B:B,'Base stats'!E:E),Groups!A:A,Groups!AO:AO)=0,0,_xlfn.XLOOKUP(_xlfn.XLOOKUP(B84,'Base stats'!B:B,'Base stats'!E:E),Groups!A:A,Groups!AO:AO)/IF(_xlfn.XLOOKUP(Animals!B84,'Base stats'!B:B,'Base stats'!O:O)=2,3,1)))+_xlfn.XLOOKUP(B84,'Base stats'!B:B,'Base stats'!AD:AD),0.005))</f>
        <v>0</v>
      </c>
      <c r="BF84" s="2" t="str">
        <f>IF(J84&gt;0.3,"No",_xlfn.XLOOKUP(_xlfn.XLOOKUP(Animals!B84,'Base stats'!B:B,'Base stats'!E:E),Groups!A:A,Groups!AP:AP))</f>
        <v>No</v>
      </c>
      <c r="BG84" s="2" t="str">
        <f>IF(AND(J84&lt;=0.65,_xlfn.XLOOKUP(_xlfn.XLOOKUP(Animals!B84,'Base stats'!B:B,'Base stats'!E:E),Groups!A:A,Groups!AP:AP)&lt;&gt;"No",_xlfn.XLOOKUP(_xlfn.XLOOKUP(B84,'Base stats'!B:B,'Base stats'!E:E),Groups!A:A,Groups!D:D)=0),MROUND((80/3)*IF(_xlfn.XLOOKUP(B84,'Base stats'!B:B,'Base stats'!O:O)=2,0.2,AO84) + 24*(1-IF(BF84="No",0,BF84)) + 16/3, 12),"No")</f>
        <v>No</v>
      </c>
      <c r="BH84" s="2">
        <f>IF(AND(_xlfn.XLOOKUP(_xlfn.XLOOKUP(B84,'Base stats'!B:B,'Base stats'!E:E),Groups!A:A,Groups!AQ:AQ)=1,AO84&lt;=0.35),8,12)</f>
        <v>12</v>
      </c>
      <c r="BI84" s="2" t="str">
        <f>IF(_xlfn.XLOOKUP(_xlfn.XLOOKUP(B84,'Base stats'!B:B,'Base stats'!E:E),Groups!A:A,Groups!D:D)=0,_xlfn.XLOOKUP(_xlfn.XLOOKUP(B84,'Base stats'!B:B,'Base stats'!E:E),Groups!A:A,Groups!AR:AR),"None")</f>
        <v>Intermediate</v>
      </c>
      <c r="BJ84" s="2" t="str">
        <f>IF(AND(_xlfn.XLOOKUP(_xlfn.XLOOKUP(B84,'Base stats'!B:B,'Base stats'!E:E),Groups!A:A,Groups!AS:AS)=1,OR(_xlfn.XLOOKUP(B84,'Base stats'!B:B,'Base stats'!Y:Y)="Carnivore",_xlfn.XLOOKUP(B84,'Base stats'!B:B,'Base stats'!Y:Y)="Omnivore")),"true","false")</f>
        <v>false</v>
      </c>
      <c r="BK84" s="2" t="str">
        <f>IF(BJ84="true",MROUND(IF(AND(AO84&gt;0.5,OR(_xlfn.XLOOKUP(_xlfn.XLOOKUP(B84,'Base stats'!B:B,'Base stats'!E:E),Groups!A:A,Groups!AJ:AJ)="Photonozoa",_xlfn.XLOOKUP(_xlfn.XLOOKUP(B84,'Base stats'!B:B,'Base stats'!E:E),Groups!A:A,Groups!AJ:AJ)="Mammal")),Animals!AO84*1.75*IF(AW84="true",1.5,1),IF(AO84&lt;0.5,Animals!AO84*0.5,Animals!AO84)),IF(AO84&gt;2,0.5,IF(AO84&gt;0.5,0.25,0.1))),"No")</f>
        <v>No</v>
      </c>
      <c r="BL84" s="2">
        <f t="shared" si="10"/>
        <v>1</v>
      </c>
      <c r="BM84" s="25" t="str">
        <f>IF(_xlfn.XLOOKUP(B84,'Base stats'!B:B,'Base stats'!AN:AN)="Standard","No",MROUND((_xlfn.XLOOKUP(B84,'Base stats'!B:B,'Base stats'!AN:AN)/3.6)/I84,0.1))</f>
        <v>No</v>
      </c>
      <c r="BN84" s="25" t="str">
        <f t="shared" si="11"/>
        <v>false</v>
      </c>
      <c r="BO84" s="25" t="str">
        <f>IF(AND(OR(_xlfn.XLOOKUP(B84,'Base stats'!B:B,'Base stats'!Y:Y)="Carnivore",_xlfn.XLOOKUP(B84,'Base stats'!B:B,'Base stats'!Y:Y)="Omnivore",_xlfn.XLOOKUP(B84,'Base stats'!B:B,'Base stats'!Y:Y)="OmnivoreRough"),_xlfn.XLOOKUP(_xlfn.XLOOKUP(B84,'Base stats'!B:B,'Base stats'!E:E),Groups!A:A,Groups!AT:AT)=1),"true","false")</f>
        <v>false</v>
      </c>
      <c r="BP84" s="25" t="str" cm="1">
        <f t="array" ref="BP84">IF(
  _xlfn.TEXTJOIN(", ",TRUE,
    IF(AND(BJ84="true",AO84&gt;0.5,BI84&lt;&gt;"None"),"AttackTarget",""),
    IF(AND(_xlfn.XLOOKUP(_xlfn.XLOOKUP(B84,'Base stats'!B:B,'Base stats'!E:E),Groups!A:A,Groups!AJ:AJ="Mammal"),OR(_xlfn.XLOOKUP(B84,'Base stats'!B:B,'Base stats'!Y:Y)="Omnivore",_xlfn.XLOOKUP(B84,'Base stats'!B:B,'Base stats'!Y:Y)="OmnivoreRough")),"Forage",""),
    IF(BG84&lt;=36,"Comfort",""),
    IF(_xlfn.XLOOKUP(B84,'Base stats'!B:B,'Base stats'!AE:AE)&lt;&gt;"No",_xlfn.XLOOKUP(B84,'Base stats'!B:B,'Base stats'!AE:AE),"")
  ) = "",
  "No",
  _xlfn.TEXTJOIN(", ",TRUE,
    IF(AND(BJ84="true",AO84&gt;0.5,BI84&lt;&gt;"None"),"AttackTarget",""),
    IF(AND(_xlfn.XLOOKUP(_xlfn.XLOOKUP(B84,'Base stats'!B:B,'Base stats'!E:E),Groups!A:A,Groups!AJ:AJ="Mammal"),OR(_xlfn.XLOOKUP(B84,'Base stats'!B:B,'Base stats'!Y:Y)="Omnivore",_xlfn.XLOOKUP(B84,'Base stats'!B:B,'Base stats'!Y:Y)="OmnivoreRough")),"Forage",""),
    IF(BG84&lt;=36,"Comfort",""),
    IF(_xlfn.XLOOKUP(B84,'Base stats'!B:B,'Base stats'!AE:AE)&lt;&gt;"No",_xlfn.XLOOKUP(B84,'Base stats'!B:B,'Base stats'!AE:AE),"")
  )
)</f>
        <v>Forage</v>
      </c>
      <c r="BQ84" s="25" t="str">
        <f>IF(
   AND(
      'Base stats'!AN84="Standard",_xlfn.XLOOKUP(_xlfn.XLOOKUP(B84,'Base stats'!B:B,'Base stats'!E:E),Groups!A:A,Groups!AU:AU)=0,
      OR(
      BO84="True"
      )
   ),
   10,
   IF(
       OR(BM84&lt;&gt;"No",_xlfn.XLOOKUP(_xlfn.XLOOKUP(B84,'Base stats'!B:B,'Base stats'!E:E),Groups!A:A,Groups!AU:AU)=1),
      1,
      "No"
   )
)</f>
        <v>No</v>
      </c>
      <c r="BR84" s="9">
        <f>MROUND((1 + ((0.2*IF(OR(Q84="No",R84="No",R84=0),0,Q84/R84)
+IF(OR(V84="No",S84="No",T84="No"),0,S84/T84*(LEN(V84)-LEN(SUBSTITUTE(V84,",",""))+1))
+IF(OR(X84="No",Y84="No"),0,X84/Y84)
+IF(OR(AD84="No",AE84="No"),0,AD84/AE84)
+IF(OR(AL84="No",AI84="No",AJ84="No"),0,AI84/AJ84*(LEN(AL84)-LEN(SUBSTITUTE(AL84,",",""))+1))
)/(0.2*IF(OR(Q84="No",R84="No",R84=0),0,1)
+IF(OR(V84="No",S84="No",T84="No"),0,LEN(V84)-LEN(SUBSTITUTE(V84,",",""))+1)
+IF(OR(X84="No",Y84="No"),0,1)
+IF(OR(AD84="No",AE84="No"),0,1)
+IF(OR(AL84="No",AI84="No",AJ84="No"),0,LEN(AL84)-LEN(SUBSTITUTE(AL84,",",""))+1))*62%)* 2)*(1 + (AP84 / (IF(_xlfn.XLOOKUP(_xlfn.XLOOKUP(B84,'Base stats'!B:B,'Base stats'!E:E),Groups!A:A,Groups!AJ:AJ)="Photonozoa",0.3,1)) + _xlfn.XLOOKUP(B84,'Base stats'!B:B,'Base stats'!AV:AV) * 1.8) * 2) * 2.5 + 10 + I84 * 2,5)+IF(_xlfn.XLOOKUP(B84,'Base stats'!B:B,'Base stats'!AK:AK)=1,50,0)</f>
        <v>60</v>
      </c>
      <c r="BS84" s="8">
        <f t="shared" si="12"/>
        <v>0.35000000000000003</v>
      </c>
      <c r="BT84" s="8" t="str">
        <f>_xlfn.XLOOKUP(B84,'Base stats'!B:B,'Base stats'!AF:AF)</f>
        <v>No</v>
      </c>
      <c r="BU84" s="2" t="str">
        <f>IF(AND(J84&lt;=0.95,OR(_xlfn.XLOOKUP(B84,'Base stats'!B:B,'Base stats'!AK:AK)=1,_xlfn.XLOOKUP(B84,'Base stats'!B:B,'Base stats'!Y:Y)="Carnivore",_xlfn.XLOOKUP(B84,'Base stats'!B:B,'Base stats'!Y:Y)="Omnivore",BE84&gt;0.1)),"true","false")</f>
        <v>false</v>
      </c>
      <c r="BV84" s="2" t="str">
        <f>IF(_xlfn.XLOOKUP(B84,'Base stats'!B:B,'Base stats'!AI:AI)=1,"true","false")</f>
        <v>false</v>
      </c>
      <c r="BW84" s="25" t="str">
        <f>IF(E84="BaseInsect","AnimalInsect",
IF(J84&gt;0.95,"AnimalExotic",
_xlfn.TEXTJOIN(", ",TRUE,
IF(OR(_xlfn.XLOOKUP(B84,'Base stats'!B:B,'Base stats'!AM:AM)=1,AND(_xlfn.XLOOKUP(B84,'Base stats'!B:B,'Base stats'!O:O)=0,_xlfn.XLOOKUP(_xlfn.XLOOKUP(B84,'Base stats'!B:B,'Base stats'!E:E),Groups!A:A,Groups!B:B)&gt;0)),"AnimalUncommon","AnimalCommon"),
IF(AND(_xlfn.XLOOKUP(B84,'Base stats'!B:B,'Base stats'!O:O)=2,_xlfn.XLOOKUP(_xlfn.XLOOKUP(B84,'Base stats'!B:B,'Base stats'!E:E),Groups!A:A,Groups!D:D)=0),"AnimalPet",IF(AND(_xlfn.XLOOKUP(B84,'Base stats'!B:B,'Base stats'!O:O)&lt;&gt;0,_xlfn.XLOOKUP(_xlfn.XLOOKUP(B84,'Base stats'!B:B,'Base stats'!E:E),Groups!A:A,Groups!D:D)&lt;&gt;0),"AnimalFarm","")),
IF(OR(_xlfn.XLOOKUP(B84,'Base stats'!B:B,'Base stats'!AK:AK)=1,AND(BI84&lt;&gt;"None",BR84&gt;=60),ISNUMBER(SEARCH("Attack target",BP84))),"AnimalFighter","")
)))</f>
        <v>AnimalUncommon, AnimalFighter</v>
      </c>
      <c r="BX84" s="25" t="str">
        <f>IF(G84="None",TRIM(
SUBSTITUTE(
IF(COUNTIF(Biomes!B$2:B$259,"="&amp;$C84)&gt;0,Biomes!B$1&amp;", ","")&amp;
IF(COUNTIF(Biomes!C$2:C$259,"="&amp;$C84)&gt;0,Biomes!C$1&amp;", ","")&amp;
IF(COUNTIF(Biomes!D$2:D$259,"="&amp;$C84)&gt;0,Biomes!D$1&amp;", ","")&amp;
IF(COUNTIF(Biomes!F$2:F$259,"="&amp;$C84)&gt;0,Biomes!F$1&amp;", ","")&amp;
IF(COUNTIF(Biomes!G$2:G$259,"="&amp;$C84)&gt;0,Biomes!G$1&amp;", ","")&amp;
IF(COUNTIF(Biomes!H$2:H$259,"="&amp;$C84)&gt;0,Biomes!H$1&amp;", ","")&amp;
IF(COUNTIF(Biomes!I$2:I$259,"="&amp;$C84)&gt;0,Biomes!I$1&amp;", ","")&amp;
IF(COUNTIF(Biomes!J$2:J$259,"="&amp;$C84)&gt;0,Biomes!J$1&amp;", ","")&amp;
IF(COUNTIF(Biomes!M$2:M$259,"="&amp;$C84)&gt;0,Biomes!M$1&amp;", ","")&amp;
IF(COUNTIF(Biomes!N$2:N$259,"="&amp;$C84)&gt;0,Biomes!N$1&amp;", ","")&amp;
IF(COUNTIF(Biomes!O$2:O$259,"="&amp;$C84)&gt;0,Biomes!O$1&amp;", ","")&amp;
IF(COUNTIF(Biomes!P$2:P$259,"="&amp;$C84)&gt;0,Biomes!P$1&amp;", ","")&amp;
IF(COUNTIF(Biomes!K$2:K$259,"="&amp;$C84)&gt;0,Biomes!K$1&amp;", ","")&amp;
IF(COUNTIF(Biomes!Q$3:Q$259,"="&amp;$C84)&gt;0,Biomes!Q$1&amp;", ","")&amp;
IF(COUNTIF(Biomes!L$2:L$259,"="&amp;$C84)&gt;0,Biomes!L$1&amp;", ","")&amp;
IF(COUNTIF(Biomes!E$2:E$259,"="&amp;$C84)&gt;0,Biomes!E$1&amp;", ","")&amp;IF(COUNTIF(Biomes!S$2:S$259,"="&amp;$C84)&gt;0,Biomes!S$1&amp;", ","")&amp;
IF(COUNTIF(Biomes!R$2:R$259,"="&amp;$C84)&gt;0,Biomes!R$1&amp;", ",""),", ","")
),_xlfn.XLOOKUP(B84,B:B,BX:BX))</f>
        <v>BorealForest ColdBog TemperateForest TemperateSwamp GlacialPlain</v>
      </c>
      <c r="BY84" s="25" t="str">
        <f>IF(_xlfn.XLOOKUP(B84,'Base stats'!B:B,'Base stats'!AJ:AJ)=1,"true","false")</f>
        <v>false</v>
      </c>
      <c r="BZ84" s="25">
        <f>IF(_xlfn.XLOOKUP(B84,'Base stats'!B:B,'Base stats'!N:N)=1,"No",MAX(0.001,MIN(MROUND(IF(AND(BJ84="True",CC84="False"),POWER(10,3.47*LOG10(_xlfn.XLOOKUP(B84,'Base stats'!B:B,'Base stats'!C:C)*1000)^-0.96),POWER(10,4.15*LOG10(_xlfn.XLOOKUP(B84,'Base stats'!B:B,'Base stats'!C:C)*1000)^-0.73))*IF(_xlfn.XLOOKUP(B84,'Base stats'!B:B,'Base stats'!AK:AK)=1,0.5,1)*IF(_xlfn.XLOOKUP(B84,'Base stats'!B:B,'Base stats'!AM:AM)=1,0.1,1)/100,IF(_xlfn.XLOOKUP(B84,'Base stats'!B:B,'Base stats'!AM:AM)=1,0.001,0.025)),0.5)))</f>
        <v>0.30000000000000004</v>
      </c>
      <c r="CA84" s="25" t="str">
        <f>IF(P84="Standard","No",MAX(0.001,MIN(MROUND(IF(AND(BJ84="True",CC84="False"),POWER(10,3.47*LOG10(_xlfn.XLOOKUP(B84,'Base stats'!B:B,'Base stats'!C:C)*1000)^-0.96),POWER(10,4.15*LOG10(_xlfn.XLOOKUP(B84,'Base stats'!B:B,'Base stats'!C:C)*1000)^-0.73))*IF(_xlfn.XLOOKUP(B84,'Base stats'!B:B,'Base stats'!AM:AM)=1,0.1,1)*_xlfn.XLOOKUP(B84,'Base stats'!B:B,'Base stats'!R:R)/100,IF(_xlfn.XLOOKUP(B84,'Base stats'!B:B,'Base stats'!AM:AM)=1,0.001,0.025)),0.5)))</f>
        <v>No</v>
      </c>
      <c r="CB84" s="25" t="str">
        <f>IF(_xlfn.XLOOKUP(_xlfn.XLOOKUP(B84,'Base stats'!B:B,'Base stats'!E:E),Groups!A:A,Groups!AJ:AJ)="Mammal","True","False")</f>
        <v>True</v>
      </c>
      <c r="CC84" s="25" t="str">
        <f>IF(OR(_xlfn.XLOOKUP(_xlfn.XLOOKUP(B84,'Base stats'!B:B,'Base stats'!E:E),Groups!A:A,Groups!AJ:AJ)="Reptile",_xlfn.XLOOKUP(_xlfn.XLOOKUP(B84,'Base stats'!B:B,'Base stats'!E:E),Groups!A:A,Groups!AJ:AJ)="Amphibian",_xlfn.XLOOKUP(_xlfn.XLOOKUP(B84,'Base stats'!B:B,'Base stats'!E:E),Groups!A:A,Groups!AJ:AJ)="Invertebrate"),"True","False")</f>
        <v>False</v>
      </c>
      <c r="CD84" s="25" t="str">
        <f t="shared" si="13"/>
        <v>False</v>
      </c>
      <c r="CE84" s="25" t="str">
        <f>IF(_xlfn.XLOOKUP(_xlfn.XLOOKUP(B84,'Base stats'!B:B,'Base stats'!E:E),Groups!A:A,Groups!AX:AX),"True","False")</f>
        <v>False</v>
      </c>
      <c r="CF84" s="25" t="str">
        <f>IF(_xlfn.XLOOKUP(_xlfn.XLOOKUP(B84,'Base stats'!B:B,'Base stats'!E:E),Groups!A:A,Groups!AY:AY),"True","False")</f>
        <v>False</v>
      </c>
      <c r="CG84" s="25" t="str">
        <f>IF(_xlfn.XLOOKUP(_xlfn.XLOOKUP(B84,'Base stats'!B:B,'Base stats'!E:E),Groups!A:A,Groups!AW:AW),"True","False")</f>
        <v>False</v>
      </c>
      <c r="CH84" s="25" t="str">
        <f>IF(
OR(
_xlfn.XLOOKUP(_xlfn.XLOOKUP(B84,'Base stats'!B:B,'Base stats'!E:E),Groups!A:A,Groups!AZ:AZ)=0,
AND(
_xlfn.XLOOKUP(B84,'Base stats'!B:B,'Base stats'!Y:Y)&lt;&gt;"Carnivore",
_xlfn.XLOOKUP(B84,'Base stats'!B:B,'Base stats'!Y:Y)&lt;&gt;"Omnivore",
_xlfn.XLOOKUP(B84,'Base stats'!B:B,'Base stats'!Y:Y)&lt;&gt;"OmnivoreRough"
)
),
"No",
IF(
_xlfn.XLOOKUP(_xlfn.XLOOKUP(B84,'Base stats'!B:B,'Base stats'!E:E),Groups!A:A,Groups!AZ:AZ)=1,
"Flesh",
IF(
_xlfn.XLOOKUP(_xlfn.XLOOKUP(B84,'Base stats'!B:B,'Base stats'!E:E),Groups!A:A,Groups!AZ:AZ)=2,
"Bone",
""
)
)
)</f>
        <v>No</v>
      </c>
      <c r="CI84" s="25" t="str">
        <f>IF(_xlfn.XLOOKUP(_xlfn.XLOOKUP(B84,'Base stats'!B:B,'Base stats'!E:E),Groups!A:A,Groups!BB:BB),"True","False")</f>
        <v>True</v>
      </c>
      <c r="CJ84" s="25" t="str">
        <f>IF(_xlfn.XLOOKUP(_xlfn.XLOOKUP(B84,'Base stats'!B:B,'Base stats'!E:E),Groups!A:A,Groups!BA:BA),"True","False")</f>
        <v>False</v>
      </c>
    </row>
    <row r="85" spans="1:88" ht="16.5" thickTop="1" thickBot="1" x14ac:dyDescent="0.3">
      <c r="A85" s="26" t="str">
        <f>_xlfn.XLOOKUP(B85,'Base stats'!B:B,'Base stats'!A:A)</f>
        <v>Otter</v>
      </c>
      <c r="B85" s="6" t="s">
        <v>219</v>
      </c>
      <c r="C85" s="28" t="s">
        <v>765</v>
      </c>
      <c r="D85" s="28" t="s">
        <v>870</v>
      </c>
      <c r="E85" s="28" t="s">
        <v>673</v>
      </c>
      <c r="F85" s="28" t="s">
        <v>673</v>
      </c>
      <c r="G85" s="28" t="s">
        <v>673</v>
      </c>
      <c r="H85" s="2">
        <f>MROUND((
  (IF(AND(_xlfn.XLOOKUP(B85,'Base stats'!B:B,'Base stats'!AL:AL)=0,BI85="None",_xlfn.XLOOKUP(_xlfn.XLOOKUP(B85,'Base stats'!B:B,'Base stats'!E:E),Groups!A:A,Groups!B:B)=0), (18 + BR85 * 2.7) * 0.5,
    IF(AND(_xlfn.XLOOKUP(B85,'Base stats'!B:B,'Base stats'!AL:AL)=0,OR(AO85&lt;0.55,AND(BI85="Intermediate",_xlfn.XLOOKUP(_xlfn.XLOOKUP(B85,'Base stats'!B:B,'Base stats'!E:E),Groups!A:A,Groups!B:B)&lt;2))), (18 + BR85 * 2.7),
      IF(OR(BI85="Advanced",_xlfn.XLOOKUP(B85,'Base stats'!B:B,'Base stats'!AL:AL)=1,_xlfn.XLOOKUP(_xlfn.XLOOKUP(B85,'Base stats'!B:B,'Base stats'!E:E),Groups!A:A,Groups!B:B)=2), (18 + BR85 * 2.7) + 250, (18 + BR85 * 2.7))
    )
  ))
  + AO85 * 80
  + IF(COUNTIF(EggMilk!K$2:K$998, A85) &gt; 0, 125, 0)
  + IF(COUNTIF(EggMilk!P$2:P$998, A85) &gt; 0, 90, 0)
  + IF(COUNTIF(EggMilk!A$2:A$998, A85) &gt; 0, 90, 0)
)
* (0.8 + 0.4 * J85)
* 0.75,25)</f>
        <v>150</v>
      </c>
      <c r="I85" s="2">
        <f>MROUND(ROUNDDOWN(_xlfn.XLOOKUP(B85,'Base stats'!B:B,'Base stats'!L:L)/3.6/(23.3/11),1),0.5)</f>
        <v>3.5</v>
      </c>
      <c r="J85" s="2">
        <f>IF(OR(_xlfn.XLOOKUP(B85,'Base stats'!B:B,'Base stats'!AB:AB)=1,_xlfn.XLOOKUP(_xlfn.XLOOKUP(B85,'Base stats'!B:B,'Base stats'!E:E),Groups!A:A,Groups!C:C)="Untamable"),1,IF(_xlfn.XLOOKUP(B85,'Base stats'!B:B,'Base stats'!AL:AL)=1,0.99,MIN(MROUND((1-0.6282*EXP(-0.459*AO85))*_xlfn.XLOOKUP(_xlfn.XLOOKUP(B85,'Base stats'!B:B,'Base stats'!E:E),Groups!A:A,Groups!C:C)*IF(_xlfn.XLOOKUP(B85,'Base stats'!B:B,'Base stats'!O:O)=1,0.5,IF(_xlfn.XLOOKUP(B85,'Base stats'!B:B,'Base stats'!O:O)=2,0,1)),0.05),IF(AO85&gt;3.5,0.985,0.95))))</f>
        <v>0.75</v>
      </c>
      <c r="K85" s="2">
        <f>ROUNDUP(AO85*_xlfn.XLOOKUP(_xlfn.XLOOKUP(B85,'Base stats'!B:B,'Base stats'!E:E),Groups!A:A,Groups!E:E),0)</f>
        <v>1</v>
      </c>
      <c r="L85" s="2">
        <f>IF(OR(_xlfn.XLOOKUP(_xlfn.XLOOKUP(B85,'Base stats'!B:B,'Base stats'!E:E),Groups!A:A,Groups!F:F)=2,ISNUMBER(SEARCH("SeaIce",BX85)),ISNUMBER(SEARCH("IceSheet",BX85))),-50,IF(OR(ISNUMBER(SEARCH("GlacialPlain",BX85)),ISNUMBER(SEARCH("Tundra",BX85))),-40,IF(OR(ISNUMBER(SEARCH("Alpine",BX85)),ISNUMBER(SEARCH("BorealForest",BX85)),ISNUMBER(SEARCH("ColdBog",BX85))),-30,IF(OR(ISNUMBER(SEARCH("TemperateForest",BX85)),ISNUMBER(SEARCH("TemperateSwamp",BX85))),-20,IF(_xlfn.XLOOKUP(_xlfn.XLOOKUP(B85,'Base stats'!B:B,'Base stats'!E:E),Groups!A:A,Groups!F:F)=1,-15,IF(OR(ISNUMBER(SEARCH("Desert",BX85)),ISNUMBER(SEARCH("ExtremeDesert",BX85))),-10,IF(OR(ISNUMBER(SEARCH("Grasslands",BX85)),ISNUMBER(SEARCH("TropicalRainforest",BX85)),ISNUMBER(SEARCH("TropicalSwamp",BX85))),10,0)))))))-IF(CC85="False",MIN(IFERROR(MAX(MROUND(LOG10(_xlfn.XLOOKUP(B85,'Base stats'!B:B,'Base stats'!C:C)^(2/3))*10,5),5),5),30))-_xlfn.XLOOKUP(B85,'Base stats'!B:B,'Base stats'!P:P)+IF(CC85="True",5,0)</f>
        <v>-35</v>
      </c>
      <c r="M85" s="2">
        <f>IF(OR(_xlfn.XLOOKUP(_xlfn.XLOOKUP(B85,'Base stats'!B:B,'Base stats'!E:E),Groups!A:A,Groups!G:G)=2,ISNUMBER(SEARCH("Desert",BX85)),ISNUMBER(SEARCH("ExtremeDesert",BX85)),ISNUMBER(SEARCH("LavaField",BX85))),50,IF(ISNUMBER(SEARCH("Grasslands",BX85)),45,IF(OR(_xlfn.XLOOKUP(_xlfn.XLOOKUP(B85,'Base stats'!B:B,'Base stats'!E:E),Groups!A:A,Groups!G:G)=1,ISNUMBER(SEARCH("TropicalRainforest",BX85)),ISNUMBER(SEARCH("TropicalSwamp",BX85))),40,IF(OR(ISNUMBER(SEARCH("TemperateForest",BX85)),ISNUMBER(SEARCH("TemperateSwamp",BX85))),35,IF(OR(ISNUMBER(SEARCH("Alpine",BX85)),ISNUMBER(SEARCH("BorealForest",BX85)),ISNUMBER(SEARCH("ColdBog",BX85))),30,IF(ISNUMBER(OR(ISNUMBER(SEARCH("GlacialPlain",BX85)),SEARCH("Tundra",BX85))),25,IF(OR(ISNUMBER(SEARCH("SeaIce",BX85)),ISNUMBER(SEARCH("IceSheet",BX85)),ISNUMBER(SEARCH("TropicalSwamp",BX85))),10,35)))))))+_xlfn.XLOOKUP(B85,'Base stats'!B:B,'Base stats'!Q:Q)</f>
        <v>35</v>
      </c>
      <c r="N85" s="8" t="str">
        <f>IF(
_xlfn.XLOOKUP(
_xlfn.XLOOKUP(B85,'Base stats'!B:B,'Base stats'!E:E),
Groups!A:A,
Groups!L:L
)=1,
MIN(
MROUND(
IF(
_xlfn.XLOOKUP(B85,'Animals CE'!B:B,'Animals CE'!Z:Z)&lt;=1.5,
_xlfn.XLOOKUP(B85,'Animals CE'!B:B,'Animals CE'!Z:Z)/2+0.05,
0.8+
(_xlfn.XLOOKUP(B85,'Animals CE'!B:B,'Animals CE'!Z:Z)-1.5)
*0.02
),
0.05
),
200%
),
"No"
)</f>
        <v>No</v>
      </c>
      <c r="O85" s="8" t="str">
        <f>IF(
_xlfn.XLOOKUP(
_xlfn.XLOOKUP(B85,'Base stats'!B:B,'Base stats'!E:E),
Groups!A:A,
Groups!L:L
)=1,
MIN(
MROUND(
IF(
_xlfn.XLOOKUP(B85,'Animals CE'!B:B,'Animals CE'!AA:AA)&lt;=1.5,
_xlfn.XLOOKUP(B85,'Animals CE'!B:B,'Animals CE'!AA:AA)/2+0.05,
0.8+
(_xlfn.XLOOKUP(B85,'Animals CE'!B:B,'Animals CE'!AA:AA)-1.5)
*0.02
),
0.05
),
200%
),
"No"
)</f>
        <v>No</v>
      </c>
      <c r="P85" s="2" t="str">
        <f>_xlfn.XLOOKUP(B85,'Base stats'!B:B,'Base stats'!R:R)</f>
        <v>Standard</v>
      </c>
      <c r="Q85" s="13">
        <f>MROUND((LOG10(_xlfn.XLOOKUP(B85,'Base stats'!B:B,'Base stats'!AR:AR))*(AO85^0.5)+(_xlfn.XLOOKUP(B85,'Base stats'!B:B,'Base stats'!AR:AR)/1000)^(2/3)+_xlfn.XLOOKUP(B85,'Base stats'!B:B,'Base stats'!BA:BA)/2)+0.5,0.5)</f>
        <v>3.5</v>
      </c>
      <c r="R85" s="7">
        <f>IF(Q85="No","No",MAX(1,MROUND(_xlfn.XLOOKUP(B85,'Base stats'!B:B,'Base stats'!C:C)^0.165,0.05)))</f>
        <v>1.5</v>
      </c>
      <c r="S85" s="13" t="str">
        <f>IF(_xlfn.XLOOKUP(_xlfn.XLOOKUP(B85,'Base stats'!B:B,'Base stats'!E:E),Groups!A:A,Groups!P:P)=0,"No",MROUND((LOG10(_xlfn.XLOOKUP(B85,'Base stats'!B:B,'Base stats'!AS:AS))*(AO85^0.5)+(_xlfn.XLOOKUP(B85,'Base stats'!B:B,'Base stats'!AS:AS)/1000)^(2/3)+_xlfn.XLOOKUP(B85,'Base stats'!B:B,'Base stats'!BA:BA))+_xlfn.XLOOKUP(B85,'Base stats'!B:B,'Base stats'!AY:AY)+0.5,0.5))</f>
        <v>No</v>
      </c>
      <c r="T85" s="7" t="str">
        <f>IF(S85="No","No",MAX(_xlfn.XLOOKUP(_xlfn.XLOOKUP(B85,'Base stats'!B:B,'Base stats'!E:E),Groups!A:A,Groups!Q:Q),MROUND(_xlfn.XLOOKUP(_xlfn.XLOOKUP(B85,'Base stats'!B:B,'Base stats'!E:E),Groups!A:A,Groups!Q:Q)*_xlfn.XLOOKUP(B85,'Base stats'!B:B,'Base stats'!C:C)^0.165,0.05)))</f>
        <v>No</v>
      </c>
      <c r="U85" s="7" t="str">
        <f>IF(S85="No","No",_xlfn.XLOOKUP(_xlfn.XLOOKUP(B85,'Base stats'!B:B,'Base stats'!E:E),Groups!A:A,Groups!R:R))</f>
        <v>No</v>
      </c>
      <c r="V85" s="7" t="str">
        <f>IF(S85="No","No",_xlfn.XLOOKUP(_xlfn.XLOOKUP(B85,'Base stats'!B:B,'Base stats'!E:E),Groups!A:A,Groups!S:S))</f>
        <v>No</v>
      </c>
      <c r="W85" s="7" t="str">
        <f>IF(S85="No","No",_xlfn.XLOOKUP(_xlfn.XLOOKUP(B85,'Base stats'!B:B,'Base stats'!E:E),Groups!A:A,Groups!T:T))</f>
        <v>No</v>
      </c>
      <c r="X85" s="13" t="str">
        <f>IF(_xlfn.XLOOKUP(B85,'Base stats'!B:B,'Base stats'!W:W)="No","No",MROUND((LOG10(_xlfn.XLOOKUP(B85,'Base stats'!B:B,'Base stats'!AU:AU))*(AO85^0.5)+(_xlfn.XLOOKUP(B85,'Base stats'!B:B,'Base stats'!AU:AU)/1000)^(2/3)+_xlfn.XLOOKUP(B85,'Base stats'!B:B,'Base stats'!AZ:AZ))+0.5+IF(_xlfn.XLOOKUP(_xlfn.XLOOKUP(B85,'Base stats'!B:B,'Base stats'!E:E),Groups!A:A,Groups!U:U)&lt;&gt;3,_xlfn.XLOOKUP(B85,'Base stats'!B:B,'Base stats'!BA:BA),0),0.5))</f>
        <v>No</v>
      </c>
      <c r="Y85" s="7" t="str">
        <f>IF(X85="No","No",MAX(_xlfn.XLOOKUP(_xlfn.XLOOKUP(B85,'Base stats'!B:B,'Base stats'!E:E),Groups!A:A,Groups!V:V),MROUND(_xlfn.XLOOKUP(_xlfn.XLOOKUP(B85,'Base stats'!B:B,'Base stats'!E:E),Groups!A:A,Groups!V:V)*_xlfn.XLOOKUP(B85,'Base stats'!B:B,'Base stats'!C:C)^0.165,0.05)))</f>
        <v>No</v>
      </c>
      <c r="Z85" s="7" t="str">
        <f>IF(X85="No","No",_xlfn.XLOOKUP(_xlfn.XLOOKUP(B85,'Base stats'!B:B,'Base stats'!E:E),Groups!A:A,Groups!W:W))</f>
        <v>No</v>
      </c>
      <c r="AA85" s="7" t="str">
        <f>IF(X85="No","No",_xlfn.XLOOKUP(_xlfn.XLOOKUP(B85,'Base stats'!B:B,'Base stats'!E:E),Groups!A:A,Groups!X:X))</f>
        <v>No</v>
      </c>
      <c r="AB85" s="7" t="str">
        <f>IF(X85="No","No",_xlfn.XLOOKUP(_xlfn.XLOOKUP(B85,'Base stats'!B:B,'Base stats'!E:E),Groups!A:A,Groups!Y:Y))</f>
        <v>No</v>
      </c>
      <c r="AC85" s="7" t="str">
        <f>_xlfn.XLOOKUP(Animals!B85,'Base stats'!B:B,'Base stats'!X:X)</f>
        <v>False</v>
      </c>
      <c r="AD85" s="13">
        <f>IF(_xlfn.XLOOKUP(B85,'Base stats'!B:B,'Base stats'!AT:AT)="No","No",MROUND((LOG10(_xlfn.XLOOKUP(B85,'Base stats'!B:B,'Base stats'!AT:AT))*(AO85^0.75)+(_xlfn.XLOOKUP(B85,'Base stats'!B:B,'Base stats'!AT:AT)/1000)^(2/3)+_xlfn.XLOOKUP(B85,'Base stats'!B:B,'Base stats'!AX:AX)+_xlfn.XLOOKUP(B85,'Base stats'!B:B,'Base stats'!BA:BA))+0.5,0.5))</f>
        <v>5.5</v>
      </c>
      <c r="AE85" s="7">
        <f>IF(AD85="No","No",MAX(_xlfn.XLOOKUP(_xlfn.XLOOKUP(B85,'Base stats'!B:B,'Base stats'!E:E),Groups!A:A,Groups!Z:Z),MROUND(_xlfn.XLOOKUP(_xlfn.XLOOKUP(B85,'Base stats'!B:B,'Base stats'!E:E),Groups!A:A,Groups!Z:Z)*_xlfn.XLOOKUP(B85,'Base stats'!B:B,'Base stats'!C:C)^0.165,0.05)))</f>
        <v>1.2000000000000002</v>
      </c>
      <c r="AF85" s="7" t="str">
        <f>IF(AD85="No","No",_xlfn.XLOOKUP(_xlfn.XLOOKUP(B85,'Base stats'!B:B,'Base stats'!E:E),Groups!A:A,Groups!AA:AA))</f>
        <v>Teeth</v>
      </c>
      <c r="AG85" s="7" t="str">
        <f>IF(AD85="No","No",_xlfn.XLOOKUP(_xlfn.XLOOKUP(B85,'Base stats'!B:B,'Base stats'!E:E),Groups!A:A,Groups!AB:AB))</f>
        <v>canines</v>
      </c>
      <c r="AH85" s="7" t="str">
        <f>IF(AD85="No","No",_xlfn.XLOOKUP(_xlfn.XLOOKUP(B85,'Base stats'!B:B,'Base stats'!E:E),Groups!A:A,Groups!AC:AC))</f>
        <v>Bite</v>
      </c>
      <c r="AI85" s="13">
        <f>IF(_xlfn.XLOOKUP(_xlfn.XLOOKUP(B85,'Base stats'!B:B,'Base stats'!E:E),Groups!A:A,Groups!AD:AD)=0,"No",MROUND((LOG10(_xlfn.XLOOKUP(B85,'Base stats'!B:B,'Base stats'!AS:AS))*(AO85^0.75)+(_xlfn.XLOOKUP(B85,'Base stats'!B:B,'Base stats'!AS:AS)/1000)^(2/3)+_xlfn.XLOOKUP(B85,'Base stats'!B:B,'Base stats'!AY:AY)+_xlfn.XLOOKUP(B85,'Base stats'!B:B,'Base stats'!BA:BA))+0.5,0.5))</f>
        <v>4.5</v>
      </c>
      <c r="AJ85" s="7">
        <f>IF(AI85="No","No",MAX(_xlfn.XLOOKUP(_xlfn.XLOOKUP(B85,'Base stats'!B:B,'Base stats'!E:E),Groups!A:A,Groups!AE:AE),MROUND(_xlfn.XLOOKUP(_xlfn.XLOOKUP(B85,'Base stats'!B:B,'Base stats'!E:E),Groups!A:A,Groups!AE:AE)*IF(_xlfn.XLOOKUP(_xlfn.XLOOKUP(B85,'Base stats'!B:B,'Base stats'!E:E),Groups!A:A,Groups!AJ:AJ)="Photonozoa",0.6,1)*_xlfn.XLOOKUP(B85,'Base stats'!B:B,'Base stats'!C:C)^0.165,0.05)))</f>
        <v>0.95000000000000007</v>
      </c>
      <c r="AK85" s="7" t="str">
        <f>IF(AI85="No","No",_xlfn.XLOOKUP(_xlfn.XLOOKUP(B85,'Base stats'!B:B,'Base stats'!E:E),Groups!A:A,Groups!AF:AF))</f>
        <v>FrontLeftPaw, FrontRightPaw</v>
      </c>
      <c r="AL85" s="7" t="str">
        <f>IF(AI85="No","No",_xlfn.XLOOKUP(_xlfn.XLOOKUP(B85,'Base stats'!B:B,'Base stats'!E:E),Groups!A:A,Groups!AG:AG))</f>
        <v>left claw, right claw</v>
      </c>
      <c r="AM85" s="7" t="str">
        <f>IF(AI85="No","No",_xlfn.XLOOKUP(_xlfn.XLOOKUP(B85,'Base stats'!B:B,'Base stats'!E:E),Groups!A:A,Groups!AH:AH))</f>
        <v>Scratch</v>
      </c>
      <c r="AN85" s="2">
        <f t="shared" si="7"/>
        <v>15</v>
      </c>
      <c r="AO85" s="2">
        <f>MROUND(IF(AND(_xlfn.XLOOKUP(B85,'Base stats'!B:B,'Base stats'!C:C)&gt;=0.5,_xlfn.XLOOKUP(B85,'Base stats'!B:B,'Base stats'!C:C)&lt;=0.8),
IF(_xlfn.XLOOKUP(B85,'Base stats'!B:B,'Base stats'!C:C)&lt;0.1,0.05,IF(_xlfn.XLOOKUP(B85,'Base stats'!B:B,'Base stats'!C:C)&lt;=70,(_xlfn.XLOOKUP(B85,'Base stats'!B:B,'Base stats'!C:C)/70)^0.426489913056526,IF(_xlfn.XLOOKUP(B85,'Base stats'!B:B,'Base stats'!C:C)&lt;=400,(_xlfn.XLOOKUP(B85,'Base stats'!B:B,'Base stats'!C:C)/70)^0.572811455315093,IF(_xlfn.XLOOKUP(B85,'Base stats'!B:B,'Base stats'!C:C)&lt;=2000,2.71391647193063*(_xlfn.XLOOKUP(B85,'Base stats'!B:B,'Base stats'!C:C)/400)^0.252459582904293,3.74314280240376*(_xlfn.XLOOKUP(B85,'Base stats'!B:B,'Base stats'!C:C)/2000)^0.357012633876913)))),
IF(_xlfn.XLOOKUP(B85,'Base stats'!B:B,'Base stats'!C:C)&lt;0.1,0.05,IF(_xlfn.XLOOKUP(B85,'Base stats'!B:B,'Base stats'!C:C)&lt;0.4,0.1,IF(_xlfn.XLOOKUP(B85,'Base stats'!B:B,'Base stats'!C:C)&lt;=70,(_xlfn.XLOOKUP(B85,'Base stats'!B:B,'Base stats'!C:C)/70)^0.445823913056526,IF(_xlfn.XLOOKUP(B85,'Base stats'!B:B,'Base stats'!C:C)&lt;=400,(_xlfn.XLOOKUP(B85,'Base stats'!B:B,'Base stats'!C:C)/70)^0.572811455315093,IF(_xlfn.XLOOKUP(B85,'Base stats'!B:B,'Base stats'!C:C)&lt;=2000,2.71391647193063*(_xlfn.XLOOKUP(B85,'Base stats'!B:B,'Base stats'!C:C)/400)^0.252459582904293,3.74314280240376*(_xlfn.XLOOKUP(B85,'Base stats'!B:B,'Base stats'!C:C)/2000)^0.357012633876913)))))),
IF(_xlfn.XLOOKUP(B85,'Base stats'!B:B,'Base stats'!C:C)&lt;0.1,0.05,IF(_xlfn.XLOOKUP(B85,'Base stats'!B:B,'Base stats'!C:C)&lt;=100,0.05,IF(_xlfn.XLOOKUP(B85,'Base stats'!B:B,'Base stats'!C:C)&lt;=250,0.1,IF(_xlfn.XLOOKUP(B85,'Base stats'!B:B,'Base stats'!C:C)&lt;=4000,0.25,0.5)))))</f>
        <v>0.45</v>
      </c>
      <c r="AP85" s="8">
        <f>MROUND(AO85*_xlfn.XLOOKUP(_xlfn.XLOOKUP(B85,'Base stats'!B:B,'Base stats'!E:E),Groups!A:A,Groups!AI:AI)*_xlfn.XLOOKUP(B85,'Base stats'!B:B,'Base stats'!Z:Z),0.05)</f>
        <v>0.55000000000000004</v>
      </c>
      <c r="AQ85" s="8">
        <f>MAX(0.01,MROUND(IF(CC85="True",0.196*(AO85*100*1000)^0.889,IF(_xlfn.XLOOKUP(_xlfn.XLOOKUP(B85,'Base stats'!B:B,'Base stats'!E:E),Groups!A:A,Groups!AJ:AJ)="Bird",10.5*(AO85*100*1000)^0.681,4.82*(AO85*100*1000)^0.734))/(4.82*(1*100*1000)^0.734)/IF(AO85&lt;3.5,2,IF(AO85=3.5,1.5,1.25))*(1+0.132282374779864/(AO85^0.994035016789033+0.00905238001496948)),0.05))</f>
        <v>0.35000000000000003</v>
      </c>
      <c r="AR85" s="9">
        <f>IFERROR(MROUND(_xlfn.XLOOKUP(B85,'Base stats'!B:B,'Base stats'!H:H)/IF(_xlfn.XLOOKUP(B85,'Base stats'!B:B,'Base stats'!I:I)&lt;&gt;1,(122.5/70),1.2),IF(_xlfn.XLOOKUP(B85,'Base stats'!B:B,'Base stats'!H:H)&gt;=30,5,IF(_xlfn.XLOOKUP(B85,'Base stats'!B:B,'Base stats'!H:H)&gt;=15,3,IF(_xlfn.XLOOKUP(B85,'Base stats'!B:B,'Base stats'!H:H)&gt;=10,2,1)))),"Immortal")</f>
        <v>9</v>
      </c>
      <c r="AS85" s="35">
        <f>IFERROR(IF(OR(_xlfn.XLOOKUP(B85,'Base stats'!B:B,'Base stats'!F:F)="Atypical reproduction",_xlfn.XLOOKUP(B85,'Base stats'!B:B,'Base stats'!F:F)="Lay eggs"),"Lay eggs",MIN(20,MAX(5.5,ROUND(((_xlfn.XLOOKUP(B85,'Base stats'!B:B,'Base stats'!F:F)-25)*(14.5/615) + 5.5)*2,0)/2))),"Unknown")</f>
        <v>6.5</v>
      </c>
      <c r="AT85" s="8">
        <f>IF(_xlfn.XLOOKUP(B85,'Base stats'!B:B,'Base stats'!G:G)="Atypical reproduction","No",IFERROR(MAX(IF(_xlfn.XLOOKUP(B85,'Base stats'!B:B,'Base stats'!G:G)&lt;0.5,0.2,0.3),MROUND(_xlfn.XLOOKUP(B85,'Base stats'!B:B,'Base stats'!G:G)/(365/60),0.2)),"Unknown"))</f>
        <v>0.3</v>
      </c>
      <c r="AU85" s="8">
        <f t="shared" si="8"/>
        <v>0.15000000000000002</v>
      </c>
      <c r="AV85" s="8">
        <f>IFERROR(IFERROR(MROUND(_xlfn.XLOOKUP(B85,'Base stats'!B:B,'Base stats'!J:J),0.1),"Lay eggs"),"Cannot breed")</f>
        <v>2</v>
      </c>
      <c r="AW85" s="2" t="str">
        <f t="shared" si="9"/>
        <v>false</v>
      </c>
      <c r="AX85" s="2" t="str">
        <f>IF(_xlfn.XLOOKUP(_xlfn.XLOOKUP(Animals!B85,'Base stats'!B:B,'Base stats'!E:E),Groups!A:A,Groups!AK:AK)=1,"true","false")</f>
        <v>false</v>
      </c>
      <c r="AY85" s="25" t="str">
        <f>IF(_xlfn.XLOOKUP(B85,'Base stats'!B:B,'Base stats'!Y:Y)="Liquor","Liquor, CarnivoreAnimalStrict",IF(AND(_xlfn.XLOOKUP(B85,'Base stats'!B:B,'Base stats'!Y:Y)="Carnivore",_xlfn.XLOOKUP(_xlfn.XLOOKUP(B85,'Base stats'!B:B,'Base stats'!E:E),Groups!A:A,Groups!AJ:AJ)="Photonozoa"),"CarnivoreAnimalStrict, OvivoreAnimal",IF(_xlfn.XLOOKUP(B85,'Base stats'!B:B,'Base stats'!Y:Y)="Carnivore","CarnivoreAnimal, OvivoreAnimal",IF(_xlfn.XLOOKUP(B85,'Base stats'!B:B,'Base stats'!Y:Y)="Dendrovore","VegetarianRoughAnimal, DendrovoreAnimal",IF(_xlfn.XLOOKUP(B85,'Base stats'!B:B,'Base stats'!Y:Y)="Herbivore","VegetarianRoughAnimal",IF(_xlfn.XLOOKUP(B85,'Base stats'!B:B,'Base stats'!Y:Y)="OmnivoreRough","OmnivoreRoughAnimal, OvivoreAnimal","OmnivoreAnimal, OvivoreAnimal"))))))</f>
        <v>CarnivoreAnimal, OvivoreAnimal</v>
      </c>
      <c r="AZ85" s="2" t="str">
        <f>IF(_xlfn.XLOOKUP(_xlfn.XLOOKUP(B85,'Base stats'!B:B,'Base stats'!E:E),Groups!A:A,Groups!D:D)=1,MROUND((1-J85)*5+1,2)*IF(J85&lt;=0.4,2,1),"No")</f>
        <v>No</v>
      </c>
      <c r="BA85" s="2" t="str">
        <f>IF(AND(_xlfn.XLOOKUP(B85,'Base stats'!B:B,'Base stats'!AH:AH)="&lt;li&gt;Seal&lt;/li&gt;",G85="Odyssey"),"&lt;li&gt;AEXP_Seal&lt;/li&gt;",_xlfn.XLOOKUP(B85,'Base stats'!B:B,'Base stats'!AH:AH))</f>
        <v>No</v>
      </c>
      <c r="BB85" s="2" t="str">
        <f>_xlfn.XLOOKUP(B85,'Base stats'!B:B,'Base stats'!AG:AG)</f>
        <v>Leather_Light</v>
      </c>
      <c r="BC85" s="23" t="str">
        <f>_xlfn.XLOOKUP(_xlfn.XLOOKUP(B85,'Base stats'!B:B,'Base stats'!E:E),Groups!A:A,Groups!AL:AL)</f>
        <v>QuadrupedAnimalWithPawsAndTail</v>
      </c>
      <c r="BD85" s="23">
        <f>MIN(1,MROUND(IF(AND(AO85&lt;0.5,_xlfn.XLOOKUP(B85,'Base stats'!B:B,'Base stats'!AA:AA)=0),0,IF(OR(_xlfn.XLOOKUP(Animals!B85,'Base stats'!B:B,'Base stats'!O:O)=2,_xlfn.XLOOKUP(_xlfn.XLOOKUP(B85,'Base stats'!B:B,'Base stats'!E:E),Groups!A:A,Groups!AN:AN)=0),0,_xlfn.XLOOKUP(_xlfn.XLOOKUP(B85,'Base stats'!B:B,'Base stats'!E:E),Groups!A:A,Groups!AN:AN)/IF(_xlfn.XLOOKUP(Animals!B85,'Base stats'!B:B,'Base stats'!O:O)=1,2,1)))+_xlfn.XLOOKUP(B85,'Base stats'!B:B,'Base stats'!AC:AC),0.005))</f>
        <v>0</v>
      </c>
      <c r="BE85" s="23">
        <f>MIN(1,MROUND(IF(AND(AO85&lt;0.5,_xlfn.XLOOKUP(B85,'Base stats'!B:B,'Base stats'!AA:AA)=0),0,IF(_xlfn.XLOOKUP(_xlfn.XLOOKUP(B85,'Base stats'!B:B,'Base stats'!E:E),Groups!A:A,Groups!AO:AO)=0,0,_xlfn.XLOOKUP(_xlfn.XLOOKUP(B85,'Base stats'!B:B,'Base stats'!E:E),Groups!A:A,Groups!AO:AO)/IF(_xlfn.XLOOKUP(Animals!B85,'Base stats'!B:B,'Base stats'!O:O)=2,3,1)))+_xlfn.XLOOKUP(B85,'Base stats'!B:B,'Base stats'!AD:AD),0.005))</f>
        <v>0</v>
      </c>
      <c r="BF85" s="2" t="str">
        <f>IF(J85&gt;0.3,"No",_xlfn.XLOOKUP(_xlfn.XLOOKUP(Animals!B85,'Base stats'!B:B,'Base stats'!E:E),Groups!A:A,Groups!AP:AP))</f>
        <v>No</v>
      </c>
      <c r="BG85" s="2" t="str">
        <f>IF(AND(J85&lt;=0.65,_xlfn.XLOOKUP(_xlfn.XLOOKUP(Animals!B85,'Base stats'!B:B,'Base stats'!E:E),Groups!A:A,Groups!AP:AP)&lt;&gt;"No",_xlfn.XLOOKUP(_xlfn.XLOOKUP(B85,'Base stats'!B:B,'Base stats'!E:E),Groups!A:A,Groups!D:D)=0),MROUND((80/3)*IF(_xlfn.XLOOKUP(B85,'Base stats'!B:B,'Base stats'!O:O)=2,0.2,AO85) + 24*(1-IF(BF85="No",0,BF85)) + 16/3, 12),"No")</f>
        <v>No</v>
      </c>
      <c r="BH85" s="2">
        <f>IF(AND(_xlfn.XLOOKUP(_xlfn.XLOOKUP(B85,'Base stats'!B:B,'Base stats'!E:E),Groups!A:A,Groups!AQ:AQ)=1,AO85&lt;=0.35),8,12)</f>
        <v>12</v>
      </c>
      <c r="BI85" s="2" t="str">
        <f>IF(_xlfn.XLOOKUP(_xlfn.XLOOKUP(B85,'Base stats'!B:B,'Base stats'!E:E),Groups!A:A,Groups!D:D)=0,_xlfn.XLOOKUP(_xlfn.XLOOKUP(B85,'Base stats'!B:B,'Base stats'!E:E),Groups!A:A,Groups!AR:AR),"None")</f>
        <v>Intermediate</v>
      </c>
      <c r="BJ85" s="2" t="str">
        <f>IF(AND(_xlfn.XLOOKUP(_xlfn.XLOOKUP(B85,'Base stats'!B:B,'Base stats'!E:E),Groups!A:A,Groups!AS:AS)=1,OR(_xlfn.XLOOKUP(B85,'Base stats'!B:B,'Base stats'!Y:Y)="Carnivore",_xlfn.XLOOKUP(B85,'Base stats'!B:B,'Base stats'!Y:Y)="Omnivore")),"true","false")</f>
        <v>true</v>
      </c>
      <c r="BK85" s="2">
        <f>IF(BJ85="true",MROUND(IF(AND(AO85&gt;0.5,OR(_xlfn.XLOOKUP(_xlfn.XLOOKUP(B85,'Base stats'!B:B,'Base stats'!E:E),Groups!A:A,Groups!AJ:AJ)="Photonozoa",_xlfn.XLOOKUP(_xlfn.XLOOKUP(B85,'Base stats'!B:B,'Base stats'!E:E),Groups!A:A,Groups!AJ:AJ)="Mammal")),Animals!AO85*1.75*IF(AW85="true",1.5,1),IF(AO85&lt;0.5,Animals!AO85*0.5,Animals!AO85)),IF(AO85&gt;2,0.5,IF(AO85&gt;0.5,0.25,0.1))),"No")</f>
        <v>0.2</v>
      </c>
      <c r="BL85" s="2">
        <f t="shared" si="10"/>
        <v>1</v>
      </c>
      <c r="BM85" s="25">
        <f>IF(_xlfn.XLOOKUP(B85,'Base stats'!B:B,'Base stats'!AN:AN)="Standard","No",MROUND((_xlfn.XLOOKUP(B85,'Base stats'!B:B,'Base stats'!AN:AN)/3.6)/I85,0.1))</f>
        <v>1</v>
      </c>
      <c r="BN85" s="25" t="str">
        <f t="shared" si="11"/>
        <v>true</v>
      </c>
      <c r="BO85" s="25" t="str">
        <f>IF(AND(OR(_xlfn.XLOOKUP(B85,'Base stats'!B:B,'Base stats'!Y:Y)="Carnivore",_xlfn.XLOOKUP(B85,'Base stats'!B:B,'Base stats'!Y:Y)="Omnivore",_xlfn.XLOOKUP(B85,'Base stats'!B:B,'Base stats'!Y:Y)="OmnivoreRough"),_xlfn.XLOOKUP(_xlfn.XLOOKUP(B85,'Base stats'!B:B,'Base stats'!E:E),Groups!A:A,Groups!AT:AT)=1),"true","false")</f>
        <v>true</v>
      </c>
      <c r="BP85" s="25" t="str" cm="1">
        <f t="array" ref="BP85">IF(
  _xlfn.TEXTJOIN(", ",TRUE,
    IF(AND(BJ85="true",AO85&gt;0.5,BI85&lt;&gt;"None"),"AttackTarget",""),
    IF(AND(_xlfn.XLOOKUP(_xlfn.XLOOKUP(B85,'Base stats'!B:B,'Base stats'!E:E),Groups!A:A,Groups!AJ:AJ="Mammal"),OR(_xlfn.XLOOKUP(B85,'Base stats'!B:B,'Base stats'!Y:Y)="Omnivore",_xlfn.XLOOKUP(B85,'Base stats'!B:B,'Base stats'!Y:Y)="OmnivoreRough")),"Forage",""),
    IF(BG85&lt;=36,"Comfort",""),
    IF(_xlfn.XLOOKUP(B85,'Base stats'!B:B,'Base stats'!AE:AE)&lt;&gt;"No",_xlfn.XLOOKUP(B85,'Base stats'!B:B,'Base stats'!AE:AE),"")
  ) = "",
  "No",
  _xlfn.TEXTJOIN(", ",TRUE,
    IF(AND(BJ85="true",AO85&gt;0.5,BI85&lt;&gt;"None"),"AttackTarget",""),
    IF(AND(_xlfn.XLOOKUP(_xlfn.XLOOKUP(B85,'Base stats'!B:B,'Base stats'!E:E),Groups!A:A,Groups!AJ:AJ="Mammal"),OR(_xlfn.XLOOKUP(B85,'Base stats'!B:B,'Base stats'!Y:Y)="Omnivore",_xlfn.XLOOKUP(B85,'Base stats'!B:B,'Base stats'!Y:Y)="OmnivoreRough")),"Forage",""),
    IF(BG85&lt;=36,"Comfort",""),
    IF(_xlfn.XLOOKUP(B85,'Base stats'!B:B,'Base stats'!AE:AE)&lt;&gt;"No",_xlfn.XLOOKUP(B85,'Base stats'!B:B,'Base stats'!AE:AE),"")
  )
)</f>
        <v>No</v>
      </c>
      <c r="BQ85" s="25">
        <f>IF(
   AND(
      'Base stats'!AN85="Standard",_xlfn.XLOOKUP(_xlfn.XLOOKUP(B85,'Base stats'!B:B,'Base stats'!E:E),Groups!A:A,Groups!AU:AU)=0,
      OR(
      BO85="True"
      )
   ),
   10,
   IF(
       OR(BM85&lt;&gt;"No",_xlfn.XLOOKUP(_xlfn.XLOOKUP(B85,'Base stats'!B:B,'Base stats'!E:E),Groups!A:A,Groups!AU:AU)=1),
      1,
      "No"
   )
)</f>
        <v>1</v>
      </c>
      <c r="BR85" s="9">
        <f>MROUND((1 + ((0.2*IF(OR(Q85="No",R85="No",R85=0),0,Q85/R85)
+IF(OR(V85="No",S85="No",T85="No"),0,S85/T85*(LEN(V85)-LEN(SUBSTITUTE(V85,",",""))+1))
+IF(OR(X85="No",Y85="No"),0,X85/Y85)
+IF(OR(AD85="No",AE85="No"),0,AD85/AE85)
+IF(OR(AL85="No",AI85="No",AJ85="No"),0,AI85/AJ85*(LEN(AL85)-LEN(SUBSTITUTE(AL85,",",""))+1))
)/(0.2*IF(OR(Q85="No",R85="No",R85=0),0,1)
+IF(OR(V85="No",S85="No",T85="No"),0,LEN(V85)-LEN(SUBSTITUTE(V85,",",""))+1)
+IF(OR(X85="No",Y85="No"),0,1)
+IF(OR(AD85="No",AE85="No"),0,1)
+IF(OR(AL85="No",AI85="No",AJ85="No"),0,LEN(AL85)-LEN(SUBSTITUTE(AL85,",",""))+1))*62%)* 2)*(1 + (AP85 / (IF(_xlfn.XLOOKUP(_xlfn.XLOOKUP(B85,'Base stats'!B:B,'Base stats'!E:E),Groups!A:A,Groups!AJ:AJ)="Photonozoa",0.3,1)) + _xlfn.XLOOKUP(B85,'Base stats'!B:B,'Base stats'!AV:AV) * 1.8) * 2) * 2.5 + 10 + I85 * 2,5)+IF(_xlfn.XLOOKUP(B85,'Base stats'!B:B,'Base stats'!AK:AK)=1,50,0)</f>
        <v>50</v>
      </c>
      <c r="BS85" s="8">
        <f t="shared" si="12"/>
        <v>0.35000000000000003</v>
      </c>
      <c r="BT85" s="8" t="str">
        <f>_xlfn.XLOOKUP(B85,'Base stats'!B:B,'Base stats'!AF:AF)</f>
        <v>No</v>
      </c>
      <c r="BU85" s="2" t="str">
        <f>IF(AND(J85&lt;=0.95,OR(_xlfn.XLOOKUP(B85,'Base stats'!B:B,'Base stats'!AK:AK)=1,_xlfn.XLOOKUP(B85,'Base stats'!B:B,'Base stats'!Y:Y)="Carnivore",_xlfn.XLOOKUP(B85,'Base stats'!B:B,'Base stats'!Y:Y)="Omnivore",BE85&gt;0.1)),"true","false")</f>
        <v>true</v>
      </c>
      <c r="BV85" s="2" t="str">
        <f>IF(_xlfn.XLOOKUP(B85,'Base stats'!B:B,'Base stats'!AI:AI)=1,"true","false")</f>
        <v>false</v>
      </c>
      <c r="BW85" s="25" t="str">
        <f>IF(E85="BaseInsect","AnimalInsect",
IF(J85&gt;0.95,"AnimalExotic",
_xlfn.TEXTJOIN(", ",TRUE,
IF(OR(_xlfn.XLOOKUP(B85,'Base stats'!B:B,'Base stats'!AM:AM)=1,AND(_xlfn.XLOOKUP(B85,'Base stats'!B:B,'Base stats'!O:O)=0,_xlfn.XLOOKUP(_xlfn.XLOOKUP(B85,'Base stats'!B:B,'Base stats'!E:E),Groups!A:A,Groups!B:B)&gt;0)),"AnimalUncommon","AnimalCommon"),
IF(AND(_xlfn.XLOOKUP(B85,'Base stats'!B:B,'Base stats'!O:O)=2,_xlfn.XLOOKUP(_xlfn.XLOOKUP(B85,'Base stats'!B:B,'Base stats'!E:E),Groups!A:A,Groups!D:D)=0),"AnimalPet",IF(AND(_xlfn.XLOOKUP(B85,'Base stats'!B:B,'Base stats'!O:O)&lt;&gt;0,_xlfn.XLOOKUP(_xlfn.XLOOKUP(B85,'Base stats'!B:B,'Base stats'!E:E),Groups!A:A,Groups!D:D)&lt;&gt;0),"AnimalFarm","")),
IF(OR(_xlfn.XLOOKUP(B85,'Base stats'!B:B,'Base stats'!AK:AK)=1,AND(BI85&lt;&gt;"None",BR85&gt;=60),ISNUMBER(SEARCH("Attack target",BP85))),"AnimalFighter","")
)))</f>
        <v>AnimalUncommon</v>
      </c>
      <c r="BX85" s="25" t="str">
        <f>IF(G85="None",TRIM(
SUBSTITUTE(
IF(COUNTIF(Biomes!B$2:B$259,"="&amp;$C85)&gt;0,Biomes!B$1&amp;", ","")&amp;
IF(COUNTIF(Biomes!C$2:C$259,"="&amp;$C85)&gt;0,Biomes!C$1&amp;", ","")&amp;
IF(COUNTIF(Biomes!D$2:D$259,"="&amp;$C85)&gt;0,Biomes!D$1&amp;", ","")&amp;
IF(COUNTIF(Biomes!F$2:F$259,"="&amp;$C85)&gt;0,Biomes!F$1&amp;", ","")&amp;
IF(COUNTIF(Biomes!G$2:G$259,"="&amp;$C85)&gt;0,Biomes!G$1&amp;", ","")&amp;
IF(COUNTIF(Biomes!H$2:H$259,"="&amp;$C85)&gt;0,Biomes!H$1&amp;", ","")&amp;
IF(COUNTIF(Biomes!I$2:I$259,"="&amp;$C85)&gt;0,Biomes!I$1&amp;", ","")&amp;
IF(COUNTIF(Biomes!J$2:J$259,"="&amp;$C85)&gt;0,Biomes!J$1&amp;", ","")&amp;
IF(COUNTIF(Biomes!M$2:M$259,"="&amp;$C85)&gt;0,Biomes!M$1&amp;", ","")&amp;
IF(COUNTIF(Biomes!N$2:N$259,"="&amp;$C85)&gt;0,Biomes!N$1&amp;", ","")&amp;
IF(COUNTIF(Biomes!O$2:O$259,"="&amp;$C85)&gt;0,Biomes!O$1&amp;", ","")&amp;
IF(COUNTIF(Biomes!P$2:P$259,"="&amp;$C85)&gt;0,Biomes!P$1&amp;", ","")&amp;
IF(COUNTIF(Biomes!K$2:K$259,"="&amp;$C85)&gt;0,Biomes!K$1&amp;", ","")&amp;
IF(COUNTIF(Biomes!Q$3:Q$259,"="&amp;$C85)&gt;0,Biomes!Q$1&amp;", ","")&amp;
IF(COUNTIF(Biomes!L$2:L$259,"="&amp;$C85)&gt;0,Biomes!L$1&amp;", ","")&amp;
IF(COUNTIF(Biomes!E$2:E$259,"="&amp;$C85)&gt;0,Biomes!E$1&amp;", ","")&amp;IF(COUNTIF(Biomes!S$2:S$259,"="&amp;$C85)&gt;0,Biomes!S$1&amp;", ","")&amp;
IF(COUNTIF(Biomes!R$2:R$259,"="&amp;$C85)&gt;0,Biomes!R$1&amp;", ",""),", ","")
),_xlfn.XLOOKUP(B85,B:B,BX:BX))</f>
        <v>ColdBog TemperateSwamp</v>
      </c>
      <c r="BY85" s="25" t="str">
        <f>IF(_xlfn.XLOOKUP(B85,'Base stats'!B:B,'Base stats'!AJ:AJ)=1,"true","false")</f>
        <v>false</v>
      </c>
      <c r="BZ85" s="25">
        <f>IF(_xlfn.XLOOKUP(B85,'Base stats'!B:B,'Base stats'!N:N)=1,"No",MAX(0.001,MIN(MROUND(IF(AND(BJ85="True",CC85="False"),POWER(10,3.47*LOG10(_xlfn.XLOOKUP(B85,'Base stats'!B:B,'Base stats'!C:C)*1000)^-0.96),POWER(10,4.15*LOG10(_xlfn.XLOOKUP(B85,'Base stats'!B:B,'Base stats'!C:C)*1000)^-0.73))*IF(_xlfn.XLOOKUP(B85,'Base stats'!B:B,'Base stats'!AK:AK)=1,0.5,1)*IF(_xlfn.XLOOKUP(B85,'Base stats'!B:B,'Base stats'!AM:AM)=1,0.1,1)/100,IF(_xlfn.XLOOKUP(B85,'Base stats'!B:B,'Base stats'!AM:AM)=1,0.001,0.025)),0.5)))</f>
        <v>7.5000000000000011E-2</v>
      </c>
      <c r="CA85" s="25" t="str">
        <f>IF(P85="Standard","No",MAX(0.001,MIN(MROUND(IF(AND(BJ85="True",CC85="False"),POWER(10,3.47*LOG10(_xlfn.XLOOKUP(B85,'Base stats'!B:B,'Base stats'!C:C)*1000)^-0.96),POWER(10,4.15*LOG10(_xlfn.XLOOKUP(B85,'Base stats'!B:B,'Base stats'!C:C)*1000)^-0.73))*IF(_xlfn.XLOOKUP(B85,'Base stats'!B:B,'Base stats'!AM:AM)=1,0.1,1)*_xlfn.XLOOKUP(B85,'Base stats'!B:B,'Base stats'!R:R)/100,IF(_xlfn.XLOOKUP(B85,'Base stats'!B:B,'Base stats'!AM:AM)=1,0.001,0.025)),0.5)))</f>
        <v>No</v>
      </c>
      <c r="CB85" s="25" t="str">
        <f>IF(_xlfn.XLOOKUP(_xlfn.XLOOKUP(B85,'Base stats'!B:B,'Base stats'!E:E),Groups!A:A,Groups!AJ:AJ)="Mammal","True","False")</f>
        <v>True</v>
      </c>
      <c r="CC85" s="25" t="str">
        <f>IF(OR(_xlfn.XLOOKUP(_xlfn.XLOOKUP(B85,'Base stats'!B:B,'Base stats'!E:E),Groups!A:A,Groups!AJ:AJ)="Reptile",_xlfn.XLOOKUP(_xlfn.XLOOKUP(B85,'Base stats'!B:B,'Base stats'!E:E),Groups!A:A,Groups!AJ:AJ)="Amphibian",_xlfn.XLOOKUP(_xlfn.XLOOKUP(B85,'Base stats'!B:B,'Base stats'!E:E),Groups!A:A,Groups!AJ:AJ)="Invertebrate"),"True","False")</f>
        <v>False</v>
      </c>
      <c r="CD85" s="25" t="str">
        <f t="shared" si="13"/>
        <v>False</v>
      </c>
      <c r="CE85" s="25" t="str">
        <f>IF(_xlfn.XLOOKUP(_xlfn.XLOOKUP(B85,'Base stats'!B:B,'Base stats'!E:E),Groups!A:A,Groups!AX:AX),"True","False")</f>
        <v>False</v>
      </c>
      <c r="CF85" s="25" t="str">
        <f>IF(_xlfn.XLOOKUP(_xlfn.XLOOKUP(B85,'Base stats'!B:B,'Base stats'!E:E),Groups!A:A,Groups!AY:AY),"True","False")</f>
        <v>False</v>
      </c>
      <c r="CG85" s="25" t="str">
        <f>IF(_xlfn.XLOOKUP(_xlfn.XLOOKUP(B85,'Base stats'!B:B,'Base stats'!E:E),Groups!A:A,Groups!AW:AW),"True","False")</f>
        <v>False</v>
      </c>
      <c r="CH85" s="25" t="str">
        <f>IF(
OR(
_xlfn.XLOOKUP(_xlfn.XLOOKUP(B85,'Base stats'!B:B,'Base stats'!E:E),Groups!A:A,Groups!AZ:AZ)=0,
AND(
_xlfn.XLOOKUP(B85,'Base stats'!B:B,'Base stats'!Y:Y)&lt;&gt;"Carnivore",
_xlfn.XLOOKUP(B85,'Base stats'!B:B,'Base stats'!Y:Y)&lt;&gt;"Omnivore",
_xlfn.XLOOKUP(B85,'Base stats'!B:B,'Base stats'!Y:Y)&lt;&gt;"OmnivoreRough"
)
),
"No",
IF(
_xlfn.XLOOKUP(_xlfn.XLOOKUP(B85,'Base stats'!B:B,'Base stats'!E:E),Groups!A:A,Groups!AZ:AZ)=1,
"Flesh",
IF(
_xlfn.XLOOKUP(_xlfn.XLOOKUP(B85,'Base stats'!B:B,'Base stats'!E:E),Groups!A:A,Groups!AZ:AZ)=2,
"Bone",
""
)
)
)</f>
        <v>No</v>
      </c>
      <c r="CI85" s="25" t="str">
        <f>IF(_xlfn.XLOOKUP(_xlfn.XLOOKUP(B85,'Base stats'!B:B,'Base stats'!E:E),Groups!A:A,Groups!BB:BB),"True","False")</f>
        <v>True</v>
      </c>
      <c r="CJ85" s="25" t="str">
        <f>IF(_xlfn.XLOOKUP(_xlfn.XLOOKUP(B85,'Base stats'!B:B,'Base stats'!E:E),Groups!A:A,Groups!BA:BA),"True","False")</f>
        <v>False</v>
      </c>
    </row>
    <row r="86" spans="1:88" ht="16.5" thickTop="1" thickBot="1" x14ac:dyDescent="0.3">
      <c r="A86" s="26" t="str">
        <f>_xlfn.XLOOKUP(B86,'Base stats'!B:B,'Base stats'!A:A)</f>
        <v>SeaLion</v>
      </c>
      <c r="B86" s="6" t="s">
        <v>217</v>
      </c>
      <c r="C86" s="28" t="s">
        <v>766</v>
      </c>
      <c r="D86" s="28" t="s">
        <v>870</v>
      </c>
      <c r="E86" s="28" t="s">
        <v>673</v>
      </c>
      <c r="F86" s="28" t="s">
        <v>673</v>
      </c>
      <c r="G86" s="28" t="s">
        <v>673</v>
      </c>
      <c r="H86" s="2">
        <f>MROUND((
  (IF(AND(_xlfn.XLOOKUP(B86,'Base stats'!B:B,'Base stats'!AL:AL)=0,BI86="None",_xlfn.XLOOKUP(_xlfn.XLOOKUP(B86,'Base stats'!B:B,'Base stats'!E:E),Groups!A:A,Groups!B:B)=0), (18 + BR86 * 2.7) * 0.5,
    IF(AND(_xlfn.XLOOKUP(B86,'Base stats'!B:B,'Base stats'!AL:AL)=0,OR(AO86&lt;0.55,AND(BI86="Intermediate",_xlfn.XLOOKUP(_xlfn.XLOOKUP(B86,'Base stats'!B:B,'Base stats'!E:E),Groups!A:A,Groups!B:B)&lt;2))), (18 + BR86 * 2.7),
      IF(OR(BI86="Advanced",_xlfn.XLOOKUP(B86,'Base stats'!B:B,'Base stats'!AL:AL)=1,_xlfn.XLOOKUP(_xlfn.XLOOKUP(B86,'Base stats'!B:B,'Base stats'!E:E),Groups!A:A,Groups!B:B)=2), (18 + BR86 * 2.7) + 250, (18 + BR86 * 2.7))
    )
  ))
  + AO86 * 80
  + IF(COUNTIF(EggMilk!K$2:K$998, A86) &gt; 0, 125, 0)
  + IF(COUNTIF(EggMilk!P$2:P$998, A86) &gt; 0, 90, 0)
  + IF(COUNTIF(EggMilk!A$2:A$998, A86) &gt; 0, 90, 0)
)
* (0.8 + 0.4 * J86)
* 0.75,25)</f>
        <v>475</v>
      </c>
      <c r="I86" s="2">
        <f>MROUND(ROUNDDOWN(_xlfn.XLOOKUP(B86,'Base stats'!B:B,'Base stats'!L:L)/3.6/(23.3/11),1),0.5)</f>
        <v>3</v>
      </c>
      <c r="J86" s="2">
        <f>IF(OR(_xlfn.XLOOKUP(B86,'Base stats'!B:B,'Base stats'!AB:AB)=1,_xlfn.XLOOKUP(_xlfn.XLOOKUP(B86,'Base stats'!B:B,'Base stats'!E:E),Groups!A:A,Groups!C:C)="Untamable"),1,IF(_xlfn.XLOOKUP(B86,'Base stats'!B:B,'Base stats'!AL:AL)=1,0.99,MIN(MROUND((1-0.6282*EXP(-0.459*AO86))*_xlfn.XLOOKUP(_xlfn.XLOOKUP(B86,'Base stats'!B:B,'Base stats'!E:E),Groups!A:A,Groups!C:C)*IF(_xlfn.XLOOKUP(B86,'Base stats'!B:B,'Base stats'!O:O)=1,0.5,IF(_xlfn.XLOOKUP(B86,'Base stats'!B:B,'Base stats'!O:O)=2,0,1)),0.05),IF(AO86&gt;3.5,0.985,0.95))))</f>
        <v>0.70000000000000007</v>
      </c>
      <c r="K86" s="2">
        <f>ROUNDUP(AO86*_xlfn.XLOOKUP(_xlfn.XLOOKUP(B86,'Base stats'!B:B,'Base stats'!E:E),Groups!A:A,Groups!E:E),0)</f>
        <v>2</v>
      </c>
      <c r="L86" s="2">
        <f>IF(OR(_xlfn.XLOOKUP(_xlfn.XLOOKUP(B86,'Base stats'!B:B,'Base stats'!E:E),Groups!A:A,Groups!F:F)=2,ISNUMBER(SEARCH("SeaIce",BX86)),ISNUMBER(SEARCH("IceSheet",BX86))),-50,IF(OR(ISNUMBER(SEARCH("GlacialPlain",BX86)),ISNUMBER(SEARCH("Tundra",BX86))),-40,IF(OR(ISNUMBER(SEARCH("Alpine",BX86)),ISNUMBER(SEARCH("BorealForest",BX86)),ISNUMBER(SEARCH("ColdBog",BX86))),-30,IF(OR(ISNUMBER(SEARCH("TemperateForest",BX86)),ISNUMBER(SEARCH("TemperateSwamp",BX86))),-20,IF(_xlfn.XLOOKUP(_xlfn.XLOOKUP(B86,'Base stats'!B:B,'Base stats'!E:E),Groups!A:A,Groups!F:F)=1,-15,IF(OR(ISNUMBER(SEARCH("Desert",BX86)),ISNUMBER(SEARCH("ExtremeDesert",BX86))),-10,IF(OR(ISNUMBER(SEARCH("Grasslands",BX86)),ISNUMBER(SEARCH("TropicalRainforest",BX86)),ISNUMBER(SEARCH("TropicalSwamp",BX86))),10,0)))))))-IF(CC86="False",MIN(IFERROR(MAX(MROUND(LOG10(_xlfn.XLOOKUP(B86,'Base stats'!B:B,'Base stats'!C:C)^(2/3))*10,5),5),5),30))-_xlfn.XLOOKUP(B86,'Base stats'!B:B,'Base stats'!P:P)+IF(CC86="True",5,0)</f>
        <v>-65</v>
      </c>
      <c r="M86" s="2">
        <f>IF(OR(_xlfn.XLOOKUP(_xlfn.XLOOKUP(B86,'Base stats'!B:B,'Base stats'!E:E),Groups!A:A,Groups!G:G)=2,ISNUMBER(SEARCH("Desert",BX86)),ISNUMBER(SEARCH("ExtremeDesert",BX86)),ISNUMBER(SEARCH("LavaField",BX86))),50,IF(ISNUMBER(SEARCH("Grasslands",BX86)),45,IF(OR(_xlfn.XLOOKUP(_xlfn.XLOOKUP(B86,'Base stats'!B:B,'Base stats'!E:E),Groups!A:A,Groups!G:G)=1,ISNUMBER(SEARCH("TropicalRainforest",BX86)),ISNUMBER(SEARCH("TropicalSwamp",BX86))),40,IF(OR(ISNUMBER(SEARCH("TemperateForest",BX86)),ISNUMBER(SEARCH("TemperateSwamp",BX86))),35,IF(OR(ISNUMBER(SEARCH("Alpine",BX86)),ISNUMBER(SEARCH("BorealForest",BX86)),ISNUMBER(SEARCH("ColdBog",BX86))),30,IF(ISNUMBER(OR(ISNUMBER(SEARCH("GlacialPlain",BX86)),SEARCH("Tundra",BX86))),25,IF(OR(ISNUMBER(SEARCH("SeaIce",BX86)),ISNUMBER(SEARCH("IceSheet",BX86)),ISNUMBER(SEARCH("TropicalSwamp",BX86))),10,35)))))))+_xlfn.XLOOKUP(B86,'Base stats'!B:B,'Base stats'!Q:Q)</f>
        <v>35</v>
      </c>
      <c r="N86" s="8" t="str">
        <f>IF(
_xlfn.XLOOKUP(
_xlfn.XLOOKUP(B86,'Base stats'!B:B,'Base stats'!E:E),
Groups!A:A,
Groups!L:L
)=1,
MIN(
MROUND(
IF(
_xlfn.XLOOKUP(B86,'Animals CE'!B:B,'Animals CE'!Z:Z)&lt;=1.5,
_xlfn.XLOOKUP(B86,'Animals CE'!B:B,'Animals CE'!Z:Z)/2+0.05,
0.8+
(_xlfn.XLOOKUP(B86,'Animals CE'!B:B,'Animals CE'!Z:Z)-1.5)
*0.02
),
0.05
),
200%
),
"No"
)</f>
        <v>No</v>
      </c>
      <c r="O86" s="8" t="str">
        <f>IF(
_xlfn.XLOOKUP(
_xlfn.XLOOKUP(B86,'Base stats'!B:B,'Base stats'!E:E),
Groups!A:A,
Groups!L:L
)=1,
MIN(
MROUND(
IF(
_xlfn.XLOOKUP(B86,'Animals CE'!B:B,'Animals CE'!AA:AA)&lt;=1.5,
_xlfn.XLOOKUP(B86,'Animals CE'!B:B,'Animals CE'!AA:AA)/2+0.05,
0.8+
(_xlfn.XLOOKUP(B86,'Animals CE'!B:B,'Animals CE'!AA:AA)-1.5)
*0.02
),
0.05
),
200%
),
"No"
)</f>
        <v>No</v>
      </c>
      <c r="P86" s="2" t="str">
        <f>_xlfn.XLOOKUP(B86,'Base stats'!B:B,'Base stats'!R:R)</f>
        <v>Standard</v>
      </c>
      <c r="Q86" s="13">
        <f>MROUND((LOG10(_xlfn.XLOOKUP(B86,'Base stats'!B:B,'Base stats'!AR:AR))*(AO86^0.5)+(_xlfn.XLOOKUP(B86,'Base stats'!B:B,'Base stats'!AR:AR)/1000)^(2/3)+_xlfn.XLOOKUP(B86,'Base stats'!B:B,'Base stats'!BA:BA)/2)+0.5,0.5)</f>
        <v>10.5</v>
      </c>
      <c r="R86" s="7">
        <f>IF(Q86="No","No",MAX(1,MROUND(_xlfn.XLOOKUP(B86,'Base stats'!B:B,'Base stats'!C:C)^0.165,0.05)))</f>
        <v>2.35</v>
      </c>
      <c r="S86" s="13" t="str">
        <f>IF(_xlfn.XLOOKUP(_xlfn.XLOOKUP(B86,'Base stats'!B:B,'Base stats'!E:E),Groups!A:A,Groups!P:P)=0,"No",MROUND((LOG10(_xlfn.XLOOKUP(B86,'Base stats'!B:B,'Base stats'!AS:AS))*(AO86^0.5)+(_xlfn.XLOOKUP(B86,'Base stats'!B:B,'Base stats'!AS:AS)/1000)^(2/3)+_xlfn.XLOOKUP(B86,'Base stats'!B:B,'Base stats'!BA:BA))+_xlfn.XLOOKUP(B86,'Base stats'!B:B,'Base stats'!AY:AY)+0.5,0.5))</f>
        <v>No</v>
      </c>
      <c r="T86" s="7" t="str">
        <f>IF(S86="No","No",MAX(_xlfn.XLOOKUP(_xlfn.XLOOKUP(B86,'Base stats'!B:B,'Base stats'!E:E),Groups!A:A,Groups!Q:Q),MROUND(_xlfn.XLOOKUP(_xlfn.XLOOKUP(B86,'Base stats'!B:B,'Base stats'!E:E),Groups!A:A,Groups!Q:Q)*_xlfn.XLOOKUP(B86,'Base stats'!B:B,'Base stats'!C:C)^0.165,0.05)))</f>
        <v>No</v>
      </c>
      <c r="U86" s="7" t="str">
        <f>IF(S86="No","No",_xlfn.XLOOKUP(_xlfn.XLOOKUP(B86,'Base stats'!B:B,'Base stats'!E:E),Groups!A:A,Groups!R:R))</f>
        <v>No</v>
      </c>
      <c r="V86" s="7" t="str">
        <f>IF(S86="No","No",_xlfn.XLOOKUP(_xlfn.XLOOKUP(B86,'Base stats'!B:B,'Base stats'!E:E),Groups!A:A,Groups!S:S))</f>
        <v>No</v>
      </c>
      <c r="W86" s="7" t="str">
        <f>IF(S86="No","No",_xlfn.XLOOKUP(_xlfn.XLOOKUP(B86,'Base stats'!B:B,'Base stats'!E:E),Groups!A:A,Groups!T:T))</f>
        <v>No</v>
      </c>
      <c r="X86" s="13" t="str">
        <f>IF(_xlfn.XLOOKUP(B86,'Base stats'!B:B,'Base stats'!W:W)="No","No",MROUND((LOG10(_xlfn.XLOOKUP(B86,'Base stats'!B:B,'Base stats'!AU:AU))*(AO86^0.5)+(_xlfn.XLOOKUP(B86,'Base stats'!B:B,'Base stats'!AU:AU)/1000)^(2/3)+_xlfn.XLOOKUP(B86,'Base stats'!B:B,'Base stats'!AZ:AZ))+0.5+IF(_xlfn.XLOOKUP(_xlfn.XLOOKUP(B86,'Base stats'!B:B,'Base stats'!E:E),Groups!A:A,Groups!U:U)&lt;&gt;3,_xlfn.XLOOKUP(B86,'Base stats'!B:B,'Base stats'!BA:BA),0),0.5))</f>
        <v>No</v>
      </c>
      <c r="Y86" s="7" t="str">
        <f>IF(X86="No","No",MAX(_xlfn.XLOOKUP(_xlfn.XLOOKUP(B86,'Base stats'!B:B,'Base stats'!E:E),Groups!A:A,Groups!V:V),MROUND(_xlfn.XLOOKUP(_xlfn.XLOOKUP(B86,'Base stats'!B:B,'Base stats'!E:E),Groups!A:A,Groups!V:V)*_xlfn.XLOOKUP(B86,'Base stats'!B:B,'Base stats'!C:C)^0.165,0.05)))</f>
        <v>No</v>
      </c>
      <c r="Z86" s="7" t="str">
        <f>IF(X86="No","No",_xlfn.XLOOKUP(_xlfn.XLOOKUP(B86,'Base stats'!B:B,'Base stats'!E:E),Groups!A:A,Groups!W:W))</f>
        <v>No</v>
      </c>
      <c r="AA86" s="7" t="str">
        <f>IF(X86="No","No",_xlfn.XLOOKUP(_xlfn.XLOOKUP(B86,'Base stats'!B:B,'Base stats'!E:E),Groups!A:A,Groups!X:X))</f>
        <v>No</v>
      </c>
      <c r="AB86" s="7" t="str">
        <f>IF(X86="No","No",_xlfn.XLOOKUP(_xlfn.XLOOKUP(B86,'Base stats'!B:B,'Base stats'!E:E),Groups!A:A,Groups!Y:Y))</f>
        <v>No</v>
      </c>
      <c r="AC86" s="7" t="str">
        <f>_xlfn.XLOOKUP(Animals!B86,'Base stats'!B:B,'Base stats'!X:X)</f>
        <v>False</v>
      </c>
      <c r="AD86" s="13">
        <f>IF(_xlfn.XLOOKUP(B86,'Base stats'!B:B,'Base stats'!AT:AT)="No","No",MROUND((LOG10(_xlfn.XLOOKUP(B86,'Base stats'!B:B,'Base stats'!AT:AT))*(AO86^0.75)+(_xlfn.XLOOKUP(B86,'Base stats'!B:B,'Base stats'!AT:AT)/1000)^(2/3)+_xlfn.XLOOKUP(B86,'Base stats'!B:B,'Base stats'!AX:AX)+_xlfn.XLOOKUP(B86,'Base stats'!B:B,'Base stats'!BA:BA))+0.5,0.5))</f>
        <v>17</v>
      </c>
      <c r="AE86" s="7">
        <f>IF(AD86="No","No",MAX(_xlfn.XLOOKUP(_xlfn.XLOOKUP(B86,'Base stats'!B:B,'Base stats'!E:E),Groups!A:A,Groups!Z:Z),MROUND(_xlfn.XLOOKUP(_xlfn.XLOOKUP(B86,'Base stats'!B:B,'Base stats'!E:E),Groups!A:A,Groups!Z:Z)*_xlfn.XLOOKUP(B86,'Base stats'!B:B,'Base stats'!C:C)^0.165,0.05)))</f>
        <v>2</v>
      </c>
      <c r="AF86" s="7" t="str">
        <f>IF(AD86="No","No",_xlfn.XLOOKUP(_xlfn.XLOOKUP(B86,'Base stats'!B:B,'Base stats'!E:E),Groups!A:A,Groups!AA:AA))</f>
        <v>Teeth</v>
      </c>
      <c r="AG86" s="7" t="str">
        <f>IF(AD86="No","No",_xlfn.XLOOKUP(_xlfn.XLOOKUP(B86,'Base stats'!B:B,'Base stats'!E:E),Groups!A:A,Groups!AB:AB))</f>
        <v>canines</v>
      </c>
      <c r="AH86" s="7" t="str">
        <f>IF(AD86="No","No",_xlfn.XLOOKUP(_xlfn.XLOOKUP(B86,'Base stats'!B:B,'Base stats'!E:E),Groups!A:A,Groups!AC:AC))</f>
        <v>Bite</v>
      </c>
      <c r="AI86" s="13" t="str">
        <f>IF(_xlfn.XLOOKUP(_xlfn.XLOOKUP(B86,'Base stats'!B:B,'Base stats'!E:E),Groups!A:A,Groups!AD:AD)=0,"No",MROUND((LOG10(_xlfn.XLOOKUP(B86,'Base stats'!B:B,'Base stats'!AS:AS))*(AO86^0.75)+(_xlfn.XLOOKUP(B86,'Base stats'!B:B,'Base stats'!AS:AS)/1000)^(2/3)+_xlfn.XLOOKUP(B86,'Base stats'!B:B,'Base stats'!AY:AY)+_xlfn.XLOOKUP(B86,'Base stats'!B:B,'Base stats'!BA:BA))+0.5,0.5))</f>
        <v>No</v>
      </c>
      <c r="AJ86" s="7" t="str">
        <f>IF(AI86="No","No",MAX(_xlfn.XLOOKUP(_xlfn.XLOOKUP(B86,'Base stats'!B:B,'Base stats'!E:E),Groups!A:A,Groups!AE:AE),MROUND(_xlfn.XLOOKUP(_xlfn.XLOOKUP(B86,'Base stats'!B:B,'Base stats'!E:E),Groups!A:A,Groups!AE:AE)*IF(_xlfn.XLOOKUP(_xlfn.XLOOKUP(B86,'Base stats'!B:B,'Base stats'!E:E),Groups!A:A,Groups!AJ:AJ)="Photonozoa",0.6,1)*_xlfn.XLOOKUP(B86,'Base stats'!B:B,'Base stats'!C:C)^0.165,0.05)))</f>
        <v>No</v>
      </c>
      <c r="AK86" s="7" t="str">
        <f>IF(AI86="No","No",_xlfn.XLOOKUP(_xlfn.XLOOKUP(B86,'Base stats'!B:B,'Base stats'!E:E),Groups!A:A,Groups!AF:AF))</f>
        <v>No</v>
      </c>
      <c r="AL86" s="7" t="str">
        <f>IF(AI86="No","No",_xlfn.XLOOKUP(_xlfn.XLOOKUP(B86,'Base stats'!B:B,'Base stats'!E:E),Groups!A:A,Groups!AG:AG))</f>
        <v>No</v>
      </c>
      <c r="AM86" s="7" t="str">
        <f>IF(AI86="No","No",_xlfn.XLOOKUP(_xlfn.XLOOKUP(B86,'Base stats'!B:B,'Base stats'!E:E),Groups!A:A,Groups!AH:AH))</f>
        <v>No</v>
      </c>
      <c r="AN86" s="2">
        <f t="shared" si="7"/>
        <v>25</v>
      </c>
      <c r="AO86" s="2">
        <f>MROUND(IF(AND(_xlfn.XLOOKUP(B86,'Base stats'!B:B,'Base stats'!C:C)&gt;=0.5,_xlfn.XLOOKUP(B86,'Base stats'!B:B,'Base stats'!C:C)&lt;=0.8),
IF(_xlfn.XLOOKUP(B86,'Base stats'!B:B,'Base stats'!C:C)&lt;0.1,0.05,IF(_xlfn.XLOOKUP(B86,'Base stats'!B:B,'Base stats'!C:C)&lt;=70,(_xlfn.XLOOKUP(B86,'Base stats'!B:B,'Base stats'!C:C)/70)^0.426489913056526,IF(_xlfn.XLOOKUP(B86,'Base stats'!B:B,'Base stats'!C:C)&lt;=400,(_xlfn.XLOOKUP(B86,'Base stats'!B:B,'Base stats'!C:C)/70)^0.572811455315093,IF(_xlfn.XLOOKUP(B86,'Base stats'!B:B,'Base stats'!C:C)&lt;=2000,2.71391647193063*(_xlfn.XLOOKUP(B86,'Base stats'!B:B,'Base stats'!C:C)/400)^0.252459582904293,3.74314280240376*(_xlfn.XLOOKUP(B86,'Base stats'!B:B,'Base stats'!C:C)/2000)^0.357012633876913)))),
IF(_xlfn.XLOOKUP(B86,'Base stats'!B:B,'Base stats'!C:C)&lt;0.1,0.05,IF(_xlfn.XLOOKUP(B86,'Base stats'!B:B,'Base stats'!C:C)&lt;0.4,0.1,IF(_xlfn.XLOOKUP(B86,'Base stats'!B:B,'Base stats'!C:C)&lt;=70,(_xlfn.XLOOKUP(B86,'Base stats'!B:B,'Base stats'!C:C)/70)^0.445823913056526,IF(_xlfn.XLOOKUP(B86,'Base stats'!B:B,'Base stats'!C:C)&lt;=400,(_xlfn.XLOOKUP(B86,'Base stats'!B:B,'Base stats'!C:C)/70)^0.572811455315093,IF(_xlfn.XLOOKUP(B86,'Base stats'!B:B,'Base stats'!C:C)&lt;=2000,2.71391647193063*(_xlfn.XLOOKUP(B86,'Base stats'!B:B,'Base stats'!C:C)/400)^0.252459582904293,3.74314280240376*(_xlfn.XLOOKUP(B86,'Base stats'!B:B,'Base stats'!C:C)/2000)^0.357012633876913)))))),
IF(_xlfn.XLOOKUP(B86,'Base stats'!B:B,'Base stats'!C:C)&lt;0.1,0.05,IF(_xlfn.XLOOKUP(B86,'Base stats'!B:B,'Base stats'!C:C)&lt;=100,0.05,IF(_xlfn.XLOOKUP(B86,'Base stats'!B:B,'Base stats'!C:C)&lt;=250,0.1,IF(_xlfn.XLOOKUP(B86,'Base stats'!B:B,'Base stats'!C:C)&lt;=4000,0.25,0.5)))))</f>
        <v>1.7000000000000002</v>
      </c>
      <c r="AP86" s="8">
        <f>MROUND(AO86*_xlfn.XLOOKUP(_xlfn.XLOOKUP(B86,'Base stats'!B:B,'Base stats'!E:E),Groups!A:A,Groups!AI:AI)*_xlfn.XLOOKUP(B86,'Base stats'!B:B,'Base stats'!Z:Z),0.05)</f>
        <v>2.0500000000000003</v>
      </c>
      <c r="AQ86" s="8">
        <f>MAX(0.01,MROUND(IF(CC86="True",0.196*(AO86*100*1000)^0.889,IF(_xlfn.XLOOKUP(_xlfn.XLOOKUP(B86,'Base stats'!B:B,'Base stats'!E:E),Groups!A:A,Groups!AJ:AJ)="Bird",10.5*(AO86*100*1000)^0.681,4.82*(AO86*100*1000)^0.734))/(4.82*(1*100*1000)^0.734)/IF(AO86&lt;3.5,2,IF(AO86=3.5,1.5,1.25))*(1+0.132282374779864/(AO86^0.994035016789033+0.00905238001496948)),0.05))</f>
        <v>0.8</v>
      </c>
      <c r="AR86" s="9">
        <f>IFERROR(MROUND(_xlfn.XLOOKUP(B86,'Base stats'!B:B,'Base stats'!H:H)/IF(_xlfn.XLOOKUP(B86,'Base stats'!B:B,'Base stats'!I:I)&lt;&gt;1,(122.5/70),1.2),IF(_xlfn.XLOOKUP(B86,'Base stats'!B:B,'Base stats'!H:H)&gt;=30,5,IF(_xlfn.XLOOKUP(B86,'Base stats'!B:B,'Base stats'!H:H)&gt;=15,3,IF(_xlfn.XLOOKUP(B86,'Base stats'!B:B,'Base stats'!H:H)&gt;=10,2,1)))),"Immortal")</f>
        <v>20</v>
      </c>
      <c r="AS86" s="35">
        <f>IFERROR(IF(OR(_xlfn.XLOOKUP(B86,'Base stats'!B:B,'Base stats'!F:F)="Atypical reproduction",_xlfn.XLOOKUP(B86,'Base stats'!B:B,'Base stats'!F:F)="Lay eggs"),"Lay eggs",MIN(20,MAX(5.5,ROUND(((_xlfn.XLOOKUP(B86,'Base stats'!B:B,'Base stats'!F:F)-25)*(14.5/615) + 5.5)*2,0)/2))),"Unknown")</f>
        <v>11</v>
      </c>
      <c r="AT86" s="8">
        <f>IF(_xlfn.XLOOKUP(B86,'Base stats'!B:B,'Base stats'!G:G)="Atypical reproduction","No",IFERROR(MAX(IF(_xlfn.XLOOKUP(B86,'Base stats'!B:B,'Base stats'!G:G)&lt;0.5,0.2,0.3),MROUND(_xlfn.XLOOKUP(B86,'Base stats'!B:B,'Base stats'!G:G)/(365/60),0.2)),"Unknown"))</f>
        <v>0.4</v>
      </c>
      <c r="AU86" s="8">
        <f t="shared" si="8"/>
        <v>0.2</v>
      </c>
      <c r="AV86" s="8">
        <f>IFERROR(IFERROR(MROUND(_xlfn.XLOOKUP(B86,'Base stats'!B:B,'Base stats'!J:J),0.1),"Lay eggs"),"Cannot breed")</f>
        <v>1.2000000000000002</v>
      </c>
      <c r="AW86" s="2" t="str">
        <f t="shared" si="9"/>
        <v>true</v>
      </c>
      <c r="AX86" s="2" t="str">
        <f>IF(_xlfn.XLOOKUP(_xlfn.XLOOKUP(Animals!B86,'Base stats'!B:B,'Base stats'!E:E),Groups!A:A,Groups!AK:AK)=1,"true","false")</f>
        <v>false</v>
      </c>
      <c r="AY86" s="25" t="str">
        <f>IF(_xlfn.XLOOKUP(B86,'Base stats'!B:B,'Base stats'!Y:Y)="Liquor","Liquor, CarnivoreAnimalStrict",IF(AND(_xlfn.XLOOKUP(B86,'Base stats'!B:B,'Base stats'!Y:Y)="Carnivore",_xlfn.XLOOKUP(_xlfn.XLOOKUP(B86,'Base stats'!B:B,'Base stats'!E:E),Groups!A:A,Groups!AJ:AJ)="Photonozoa"),"CarnivoreAnimalStrict, OvivoreAnimal",IF(_xlfn.XLOOKUP(B86,'Base stats'!B:B,'Base stats'!Y:Y)="Carnivore","CarnivoreAnimal, OvivoreAnimal",IF(_xlfn.XLOOKUP(B86,'Base stats'!B:B,'Base stats'!Y:Y)="Dendrovore","VegetarianRoughAnimal, DendrovoreAnimal",IF(_xlfn.XLOOKUP(B86,'Base stats'!B:B,'Base stats'!Y:Y)="Herbivore","VegetarianRoughAnimal",IF(_xlfn.XLOOKUP(B86,'Base stats'!B:B,'Base stats'!Y:Y)="OmnivoreRough","OmnivoreRoughAnimal, OvivoreAnimal","OmnivoreAnimal, OvivoreAnimal"))))))</f>
        <v>CarnivoreAnimal, OvivoreAnimal</v>
      </c>
      <c r="AZ86" s="2" t="str">
        <f>IF(_xlfn.XLOOKUP(_xlfn.XLOOKUP(B86,'Base stats'!B:B,'Base stats'!E:E),Groups!A:A,Groups!D:D)=1,MROUND((1-J86)*5+1,2)*IF(J86&lt;=0.4,2,1),"No")</f>
        <v>No</v>
      </c>
      <c r="BA86" s="2" t="str">
        <f>IF(AND(_xlfn.XLOOKUP(B86,'Base stats'!B:B,'Base stats'!AH:AH)="&lt;li&gt;Seal&lt;/li&gt;",G86="Odyssey"),"&lt;li&gt;AEXP_Seal&lt;/li&gt;",_xlfn.XLOOKUP(B86,'Base stats'!B:B,'Base stats'!AH:AH))</f>
        <v>&lt;li&gt;Seal&lt;/li&gt;</v>
      </c>
      <c r="BB86" s="2" t="str">
        <f>_xlfn.XLOOKUP(B86,'Base stats'!B:B,'Base stats'!AG:AG)</f>
        <v>Leather_Sealskin</v>
      </c>
      <c r="BC86" s="23" t="str">
        <f>_xlfn.XLOOKUP(_xlfn.XLOOKUP(B86,'Base stats'!B:B,'Base stats'!E:E),Groups!A:A,Groups!AL:AL)</f>
        <v>Pinniped</v>
      </c>
      <c r="BD86" s="23">
        <f>MIN(1,MROUND(IF(AND(AO86&lt;0.5,_xlfn.XLOOKUP(B86,'Base stats'!B:B,'Base stats'!AA:AA)=0),0,IF(OR(_xlfn.XLOOKUP(Animals!B86,'Base stats'!B:B,'Base stats'!O:O)=2,_xlfn.XLOOKUP(_xlfn.XLOOKUP(B86,'Base stats'!B:B,'Base stats'!E:E),Groups!A:A,Groups!AN:AN)=0),0,_xlfn.XLOOKUP(_xlfn.XLOOKUP(B86,'Base stats'!B:B,'Base stats'!E:E),Groups!A:A,Groups!AN:AN)/IF(_xlfn.XLOOKUP(Animals!B86,'Base stats'!B:B,'Base stats'!O:O)=1,2,1)))+_xlfn.XLOOKUP(B86,'Base stats'!B:B,'Base stats'!AC:AC),0.005))</f>
        <v>2.5000000000000001E-2</v>
      </c>
      <c r="BE86" s="23">
        <f>MIN(1,MROUND(IF(AND(AO86&lt;0.5,_xlfn.XLOOKUP(B86,'Base stats'!B:B,'Base stats'!AA:AA)=0),0,IF(_xlfn.XLOOKUP(_xlfn.XLOOKUP(B86,'Base stats'!B:B,'Base stats'!E:E),Groups!A:A,Groups!AO:AO)=0,0,_xlfn.XLOOKUP(_xlfn.XLOOKUP(B86,'Base stats'!B:B,'Base stats'!E:E),Groups!A:A,Groups!AO:AO)/IF(_xlfn.XLOOKUP(Animals!B86,'Base stats'!B:B,'Base stats'!O:O)=2,3,1)))+_xlfn.XLOOKUP(B86,'Base stats'!B:B,'Base stats'!AD:AD),0.005))</f>
        <v>0.1</v>
      </c>
      <c r="BF86" s="2" t="str">
        <f>IF(J86&gt;0.3,"No",_xlfn.XLOOKUP(_xlfn.XLOOKUP(Animals!B86,'Base stats'!B:B,'Base stats'!E:E),Groups!A:A,Groups!AP:AP))</f>
        <v>No</v>
      </c>
      <c r="BG86" s="2" t="str">
        <f>IF(AND(J86&lt;=0.65,_xlfn.XLOOKUP(_xlfn.XLOOKUP(Animals!B86,'Base stats'!B:B,'Base stats'!E:E),Groups!A:A,Groups!AP:AP)&lt;&gt;"No",_xlfn.XLOOKUP(_xlfn.XLOOKUP(B86,'Base stats'!B:B,'Base stats'!E:E),Groups!A:A,Groups!D:D)=0),MROUND((80/3)*IF(_xlfn.XLOOKUP(B86,'Base stats'!B:B,'Base stats'!O:O)=2,0.2,AO86) + 24*(1-IF(BF86="No",0,BF86)) + 16/3, 12),"No")</f>
        <v>No</v>
      </c>
      <c r="BH86" s="2">
        <f>IF(AND(_xlfn.XLOOKUP(_xlfn.XLOOKUP(B86,'Base stats'!B:B,'Base stats'!E:E),Groups!A:A,Groups!AQ:AQ)=1,AO86&lt;=0.35),8,12)</f>
        <v>12</v>
      </c>
      <c r="BI86" s="2" t="str">
        <f>IF(_xlfn.XLOOKUP(_xlfn.XLOOKUP(B86,'Base stats'!B:B,'Base stats'!E:E),Groups!A:A,Groups!D:D)=0,_xlfn.XLOOKUP(_xlfn.XLOOKUP(B86,'Base stats'!B:B,'Base stats'!E:E),Groups!A:A,Groups!AR:AR),"None")</f>
        <v>Intermediate</v>
      </c>
      <c r="BJ86" s="2" t="str">
        <f>IF(AND(_xlfn.XLOOKUP(_xlfn.XLOOKUP(B86,'Base stats'!B:B,'Base stats'!E:E),Groups!A:A,Groups!AS:AS)=1,OR(_xlfn.XLOOKUP(B86,'Base stats'!B:B,'Base stats'!Y:Y)="Carnivore",_xlfn.XLOOKUP(B86,'Base stats'!B:B,'Base stats'!Y:Y)="Omnivore")),"true","false")</f>
        <v>true</v>
      </c>
      <c r="BK86" s="2">
        <f>IF(BJ86="true",MROUND(IF(AND(AO86&gt;0.5,OR(_xlfn.XLOOKUP(_xlfn.XLOOKUP(B86,'Base stats'!B:B,'Base stats'!E:E),Groups!A:A,Groups!AJ:AJ)="Photonozoa",_xlfn.XLOOKUP(_xlfn.XLOOKUP(B86,'Base stats'!B:B,'Base stats'!E:E),Groups!A:A,Groups!AJ:AJ)="Mammal")),Animals!AO86*1.75*IF(AW86="true",1.5,1),IF(AO86&lt;0.5,Animals!AO86*0.5,Animals!AO86)),IF(AO86&gt;2,0.5,IF(AO86&gt;0.5,0.25,0.1))),"No")</f>
        <v>4.5</v>
      </c>
      <c r="BL86" s="2">
        <f t="shared" si="10"/>
        <v>1</v>
      </c>
      <c r="BM86" s="25">
        <f>IF(_xlfn.XLOOKUP(B86,'Base stats'!B:B,'Base stats'!AN:AN)="Standard","No",MROUND((_xlfn.XLOOKUP(B86,'Base stats'!B:B,'Base stats'!AN:AN)/3.6)/I86,0.1))</f>
        <v>1.9000000000000001</v>
      </c>
      <c r="BN86" s="25" t="str">
        <f t="shared" si="11"/>
        <v>true</v>
      </c>
      <c r="BO86" s="25" t="str">
        <f>IF(AND(OR(_xlfn.XLOOKUP(B86,'Base stats'!B:B,'Base stats'!Y:Y)="Carnivore",_xlfn.XLOOKUP(B86,'Base stats'!B:B,'Base stats'!Y:Y)="Omnivore",_xlfn.XLOOKUP(B86,'Base stats'!B:B,'Base stats'!Y:Y)="OmnivoreRough"),_xlfn.XLOOKUP(_xlfn.XLOOKUP(B86,'Base stats'!B:B,'Base stats'!E:E),Groups!A:A,Groups!AT:AT)=1),"true","false")</f>
        <v>true</v>
      </c>
      <c r="BP86" s="25" t="str" cm="1">
        <f t="array" ref="BP86">IF(
  _xlfn.TEXTJOIN(", ",TRUE,
    IF(AND(BJ86="true",AO86&gt;0.5,BI86&lt;&gt;"None"),"AttackTarget",""),
    IF(AND(_xlfn.XLOOKUP(_xlfn.XLOOKUP(B86,'Base stats'!B:B,'Base stats'!E:E),Groups!A:A,Groups!AJ:AJ="Mammal"),OR(_xlfn.XLOOKUP(B86,'Base stats'!B:B,'Base stats'!Y:Y)="Omnivore",_xlfn.XLOOKUP(B86,'Base stats'!B:B,'Base stats'!Y:Y)="OmnivoreRough")),"Forage",""),
    IF(BG86&lt;=36,"Comfort",""),
    IF(_xlfn.XLOOKUP(B86,'Base stats'!B:B,'Base stats'!AE:AE)&lt;&gt;"No",_xlfn.XLOOKUP(B86,'Base stats'!B:B,'Base stats'!AE:AE),"")
  ) = "",
  "No",
  _xlfn.TEXTJOIN(", ",TRUE,
    IF(AND(BJ86="true",AO86&gt;0.5,BI86&lt;&gt;"None"),"AttackTarget",""),
    IF(AND(_xlfn.XLOOKUP(_xlfn.XLOOKUP(B86,'Base stats'!B:B,'Base stats'!E:E),Groups!A:A,Groups!AJ:AJ="Mammal"),OR(_xlfn.XLOOKUP(B86,'Base stats'!B:B,'Base stats'!Y:Y)="Omnivore",_xlfn.XLOOKUP(B86,'Base stats'!B:B,'Base stats'!Y:Y)="OmnivoreRough")),"Forage",""),
    IF(BG86&lt;=36,"Comfort",""),
    IF(_xlfn.XLOOKUP(B86,'Base stats'!B:B,'Base stats'!AE:AE)&lt;&gt;"No",_xlfn.XLOOKUP(B86,'Base stats'!B:B,'Base stats'!AE:AE),"")
  )
)</f>
        <v>AttackTarget</v>
      </c>
      <c r="BQ86" s="25">
        <f>IF(
   AND(
      'Base stats'!AN86="Standard",_xlfn.XLOOKUP(_xlfn.XLOOKUP(B86,'Base stats'!B:B,'Base stats'!E:E),Groups!A:A,Groups!AU:AU)=0,
      OR(
      BO86="True"
      )
   ),
   10,
   IF(
       OR(BM86&lt;&gt;"No",_xlfn.XLOOKUP(_xlfn.XLOOKUP(B86,'Base stats'!B:B,'Base stats'!E:E),Groups!A:A,Groups!AU:AU)=1),
      1,
      "No"
   )
)</f>
        <v>1</v>
      </c>
      <c r="BR86" s="9">
        <f>MROUND((1 + ((0.2*IF(OR(Q86="No",R86="No",R86=0),0,Q86/R86)
+IF(OR(V86="No",S86="No",T86="No"),0,S86/T86*(LEN(V86)-LEN(SUBSTITUTE(V86,",",""))+1))
+IF(OR(X86="No",Y86="No"),0,X86/Y86)
+IF(OR(AD86="No",AE86="No"),0,AD86/AE86)
+IF(OR(AL86="No",AI86="No",AJ86="No"),0,AI86/AJ86*(LEN(AL86)-LEN(SUBSTITUTE(AL86,",",""))+1))
)/(0.2*IF(OR(Q86="No",R86="No",R86=0),0,1)
+IF(OR(V86="No",S86="No",T86="No"),0,LEN(V86)-LEN(SUBSTITUTE(V86,",",""))+1)
+IF(OR(X86="No",Y86="No"),0,1)
+IF(OR(AD86="No",AE86="No"),0,1)
+IF(OR(AL86="No",AI86="No",AJ86="No"),0,LEN(AL86)-LEN(SUBSTITUTE(AL86,",",""))+1))*62%)* 2)*(1 + (AP86 / (IF(_xlfn.XLOOKUP(_xlfn.XLOOKUP(B86,'Base stats'!B:B,'Base stats'!E:E),Groups!A:A,Groups!AJ:AJ)="Photonozoa",0.3,1)) + _xlfn.XLOOKUP(B86,'Base stats'!B:B,'Base stats'!AV:AV) * 1.8) * 2) * 2.5 + 10 + I86 * 2,5)+IF(_xlfn.XLOOKUP(B86,'Base stats'!B:B,'Base stats'!AK:AK)=1,50,0)</f>
        <v>155</v>
      </c>
      <c r="BS86" s="8">
        <f t="shared" si="12"/>
        <v>1</v>
      </c>
      <c r="BT86" s="8" t="str">
        <f>_xlfn.XLOOKUP(B86,'Base stats'!B:B,'Base stats'!AF:AF)</f>
        <v>5~15</v>
      </c>
      <c r="BU86" s="2" t="str">
        <f>IF(AND(J86&lt;=0.95,OR(_xlfn.XLOOKUP(B86,'Base stats'!B:B,'Base stats'!AK:AK)=1,_xlfn.XLOOKUP(B86,'Base stats'!B:B,'Base stats'!Y:Y)="Carnivore",_xlfn.XLOOKUP(B86,'Base stats'!B:B,'Base stats'!Y:Y)="Omnivore",BE86&gt;0.1)),"true","false")</f>
        <v>true</v>
      </c>
      <c r="BV86" s="2" t="str">
        <f>IF(_xlfn.XLOOKUP(B86,'Base stats'!B:B,'Base stats'!AI:AI)=1,"true","false")</f>
        <v>false</v>
      </c>
      <c r="BW86" s="25" t="str">
        <f>IF(E86="BaseInsect","AnimalInsect",
IF(J86&gt;0.95,"AnimalExotic",
_xlfn.TEXTJOIN(", ",TRUE,
IF(OR(_xlfn.XLOOKUP(B86,'Base stats'!B:B,'Base stats'!AM:AM)=1,AND(_xlfn.XLOOKUP(B86,'Base stats'!B:B,'Base stats'!O:O)=0,_xlfn.XLOOKUP(_xlfn.XLOOKUP(B86,'Base stats'!B:B,'Base stats'!E:E),Groups!A:A,Groups!B:B)&gt;0)),"AnimalUncommon","AnimalCommon"),
IF(AND(_xlfn.XLOOKUP(B86,'Base stats'!B:B,'Base stats'!O:O)=2,_xlfn.XLOOKUP(_xlfn.XLOOKUP(B86,'Base stats'!B:B,'Base stats'!E:E),Groups!A:A,Groups!D:D)=0),"AnimalPet",IF(AND(_xlfn.XLOOKUP(B86,'Base stats'!B:B,'Base stats'!O:O)&lt;&gt;0,_xlfn.XLOOKUP(_xlfn.XLOOKUP(B86,'Base stats'!B:B,'Base stats'!E:E),Groups!A:A,Groups!D:D)&lt;&gt;0),"AnimalFarm","")),
IF(OR(_xlfn.XLOOKUP(B86,'Base stats'!B:B,'Base stats'!AK:AK)=1,AND(BI86&lt;&gt;"None",BR86&gt;=60),ISNUMBER(SEARCH("Attack target",BP86))),"AnimalFighter","")
)))</f>
        <v>AnimalCommon, AnimalFighter</v>
      </c>
      <c r="BX86" s="25" t="str">
        <f>IF(G86="None",TRIM(
SUBSTITUTE(
IF(COUNTIF(Biomes!B$2:B$259,"="&amp;$C86)&gt;0,Biomes!B$1&amp;", ","")&amp;
IF(COUNTIF(Biomes!C$2:C$259,"="&amp;$C86)&gt;0,Biomes!C$1&amp;", ","")&amp;
IF(COUNTIF(Biomes!D$2:D$259,"="&amp;$C86)&gt;0,Biomes!D$1&amp;", ","")&amp;
IF(COUNTIF(Biomes!F$2:F$259,"="&amp;$C86)&gt;0,Biomes!F$1&amp;", ","")&amp;
IF(COUNTIF(Biomes!G$2:G$259,"="&amp;$C86)&gt;0,Biomes!G$1&amp;", ","")&amp;
IF(COUNTIF(Biomes!H$2:H$259,"="&amp;$C86)&gt;0,Biomes!H$1&amp;", ","")&amp;
IF(COUNTIF(Biomes!I$2:I$259,"="&amp;$C86)&gt;0,Biomes!I$1&amp;", ","")&amp;
IF(COUNTIF(Biomes!J$2:J$259,"="&amp;$C86)&gt;0,Biomes!J$1&amp;", ","")&amp;
IF(COUNTIF(Biomes!M$2:M$259,"="&amp;$C86)&gt;0,Biomes!M$1&amp;", ","")&amp;
IF(COUNTIF(Biomes!N$2:N$259,"="&amp;$C86)&gt;0,Biomes!N$1&amp;", ","")&amp;
IF(COUNTIF(Biomes!O$2:O$259,"="&amp;$C86)&gt;0,Biomes!O$1&amp;", ","")&amp;
IF(COUNTIF(Biomes!P$2:P$259,"="&amp;$C86)&gt;0,Biomes!P$1&amp;", ","")&amp;
IF(COUNTIF(Biomes!K$2:K$259,"="&amp;$C86)&gt;0,Biomes!K$1&amp;", ","")&amp;
IF(COUNTIF(Biomes!Q$3:Q$259,"="&amp;$C86)&gt;0,Biomes!Q$1&amp;", ","")&amp;
IF(COUNTIF(Biomes!L$2:L$259,"="&amp;$C86)&gt;0,Biomes!L$1&amp;", ","")&amp;
IF(COUNTIF(Biomes!E$2:E$259,"="&amp;$C86)&gt;0,Biomes!E$1&amp;", ","")&amp;IF(COUNTIF(Biomes!S$2:S$259,"="&amp;$C86)&gt;0,Biomes!S$1&amp;", ","")&amp;
IF(COUNTIF(Biomes!R$2:R$259,"="&amp;$C86)&gt;0,Biomes!R$1&amp;", ",""),", ","")
),_xlfn.XLOOKUP(B86,B:B,BX:BX))</f>
        <v>SeaIce IceSheet Tundra BorealForest ColdBog TemperateForest TemperateSwamp GlacialPlain</v>
      </c>
      <c r="BY86" s="25" t="str">
        <f>IF(_xlfn.XLOOKUP(B86,'Base stats'!B:B,'Base stats'!AJ:AJ)=1,"true","false")</f>
        <v>true</v>
      </c>
      <c r="BZ86" s="25">
        <f>IF(_xlfn.XLOOKUP(B86,'Base stats'!B:B,'Base stats'!N:N)=1,"No",MAX(0.001,MIN(MROUND(IF(AND(BJ86="True",CC86="False"),POWER(10,3.47*LOG10(_xlfn.XLOOKUP(B86,'Base stats'!B:B,'Base stats'!C:C)*1000)^-0.96),POWER(10,4.15*LOG10(_xlfn.XLOOKUP(B86,'Base stats'!B:B,'Base stats'!C:C)*1000)^-0.73))*IF(_xlfn.XLOOKUP(B86,'Base stats'!B:B,'Base stats'!AK:AK)=1,0.5,1)*IF(_xlfn.XLOOKUP(B86,'Base stats'!B:B,'Base stats'!AM:AM)=1,0.1,1)/100,IF(_xlfn.XLOOKUP(B86,'Base stats'!B:B,'Base stats'!AM:AM)=1,0.001,0.025)),0.5)))</f>
        <v>0.05</v>
      </c>
      <c r="CA86" s="25" t="str">
        <f>IF(P86="Standard","No",MAX(0.001,MIN(MROUND(IF(AND(BJ86="True",CC86="False"),POWER(10,3.47*LOG10(_xlfn.XLOOKUP(B86,'Base stats'!B:B,'Base stats'!C:C)*1000)^-0.96),POWER(10,4.15*LOG10(_xlfn.XLOOKUP(B86,'Base stats'!B:B,'Base stats'!C:C)*1000)^-0.73))*IF(_xlfn.XLOOKUP(B86,'Base stats'!B:B,'Base stats'!AM:AM)=1,0.1,1)*_xlfn.XLOOKUP(B86,'Base stats'!B:B,'Base stats'!R:R)/100,IF(_xlfn.XLOOKUP(B86,'Base stats'!B:B,'Base stats'!AM:AM)=1,0.001,0.025)),0.5)))</f>
        <v>No</v>
      </c>
      <c r="CB86" s="25" t="str">
        <f>IF(_xlfn.XLOOKUP(_xlfn.XLOOKUP(B86,'Base stats'!B:B,'Base stats'!E:E),Groups!A:A,Groups!AJ:AJ)="Mammal","True","False")</f>
        <v>True</v>
      </c>
      <c r="CC86" s="25" t="str">
        <f>IF(OR(_xlfn.XLOOKUP(_xlfn.XLOOKUP(B86,'Base stats'!B:B,'Base stats'!E:E),Groups!A:A,Groups!AJ:AJ)="Reptile",_xlfn.XLOOKUP(_xlfn.XLOOKUP(B86,'Base stats'!B:B,'Base stats'!E:E),Groups!A:A,Groups!AJ:AJ)="Amphibian",_xlfn.XLOOKUP(_xlfn.XLOOKUP(B86,'Base stats'!B:B,'Base stats'!E:E),Groups!A:A,Groups!AJ:AJ)="Invertebrate"),"True","False")</f>
        <v>False</v>
      </c>
      <c r="CD86" s="25" t="str">
        <f t="shared" si="13"/>
        <v>False</v>
      </c>
      <c r="CE86" s="25" t="str">
        <f>IF(_xlfn.XLOOKUP(_xlfn.XLOOKUP(B86,'Base stats'!B:B,'Base stats'!E:E),Groups!A:A,Groups!AX:AX),"True","False")</f>
        <v>False</v>
      </c>
      <c r="CF86" s="25" t="str">
        <f>IF(_xlfn.XLOOKUP(_xlfn.XLOOKUP(B86,'Base stats'!B:B,'Base stats'!E:E),Groups!A:A,Groups!AY:AY),"True","False")</f>
        <v>False</v>
      </c>
      <c r="CG86" s="25" t="str">
        <f>IF(_xlfn.XLOOKUP(_xlfn.XLOOKUP(B86,'Base stats'!B:B,'Base stats'!E:E),Groups!A:A,Groups!AW:AW),"True","False")</f>
        <v>False</v>
      </c>
      <c r="CH86" s="25" t="str">
        <f>IF(
OR(
_xlfn.XLOOKUP(_xlfn.XLOOKUP(B86,'Base stats'!B:B,'Base stats'!E:E),Groups!A:A,Groups!AZ:AZ)=0,
AND(
_xlfn.XLOOKUP(B86,'Base stats'!B:B,'Base stats'!Y:Y)&lt;&gt;"Carnivore",
_xlfn.XLOOKUP(B86,'Base stats'!B:B,'Base stats'!Y:Y)&lt;&gt;"Omnivore",
_xlfn.XLOOKUP(B86,'Base stats'!B:B,'Base stats'!Y:Y)&lt;&gt;"OmnivoreRough"
)
),
"No",
IF(
_xlfn.XLOOKUP(_xlfn.XLOOKUP(B86,'Base stats'!B:B,'Base stats'!E:E),Groups!A:A,Groups!AZ:AZ)=1,
"Flesh",
IF(
_xlfn.XLOOKUP(_xlfn.XLOOKUP(B86,'Base stats'!B:B,'Base stats'!E:E),Groups!A:A,Groups!AZ:AZ)=2,
"Bone",
""
)
)
)</f>
        <v>No</v>
      </c>
      <c r="CI86" s="25" t="str">
        <f>IF(_xlfn.XLOOKUP(_xlfn.XLOOKUP(B86,'Base stats'!B:B,'Base stats'!E:E),Groups!A:A,Groups!BB:BB),"True","False")</f>
        <v>True</v>
      </c>
      <c r="CJ86" s="25" t="str">
        <f>IF(_xlfn.XLOOKUP(_xlfn.XLOOKUP(B86,'Base stats'!B:B,'Base stats'!E:E),Groups!A:A,Groups!BA:BA),"True","False")</f>
        <v>False</v>
      </c>
    </row>
    <row r="87" spans="1:88" ht="16.5" thickTop="1" thickBot="1" x14ac:dyDescent="0.3">
      <c r="A87" s="26" t="str">
        <f>_xlfn.XLOOKUP(B87,'Base stats'!B:B,'Base stats'!A:A)</f>
        <v>Seal</v>
      </c>
      <c r="B87" s="6" t="s">
        <v>183</v>
      </c>
      <c r="C87" s="28" t="s">
        <v>767</v>
      </c>
      <c r="D87" s="28" t="s">
        <v>870</v>
      </c>
      <c r="E87" s="28" t="s">
        <v>673</v>
      </c>
      <c r="F87" s="28" t="s">
        <v>673</v>
      </c>
      <c r="G87" s="28" t="s">
        <v>673</v>
      </c>
      <c r="H87" s="2">
        <f>MROUND((
  (IF(AND(_xlfn.XLOOKUP(B87,'Base stats'!B:B,'Base stats'!AL:AL)=0,BI87="None",_xlfn.XLOOKUP(_xlfn.XLOOKUP(B87,'Base stats'!B:B,'Base stats'!E:E),Groups!A:A,Groups!B:B)=0), (18 + BR87 * 2.7) * 0.5,
    IF(AND(_xlfn.XLOOKUP(B87,'Base stats'!B:B,'Base stats'!AL:AL)=0,OR(AO87&lt;0.55,AND(BI87="Intermediate",_xlfn.XLOOKUP(_xlfn.XLOOKUP(B87,'Base stats'!B:B,'Base stats'!E:E),Groups!A:A,Groups!B:B)&lt;2))), (18 + BR87 * 2.7),
      IF(OR(BI87="Advanced",_xlfn.XLOOKUP(B87,'Base stats'!B:B,'Base stats'!AL:AL)=1,_xlfn.XLOOKUP(_xlfn.XLOOKUP(B87,'Base stats'!B:B,'Base stats'!E:E),Groups!A:A,Groups!B:B)=2), (18 + BR87 * 2.7) + 250, (18 + BR87 * 2.7))
    )
  ))
  + AO87 * 80
  + IF(COUNTIF(EggMilk!K$2:K$998, A87) &gt; 0, 125, 0)
  + IF(COUNTIF(EggMilk!P$2:P$998, A87) &gt; 0, 90, 0)
  + IF(COUNTIF(EggMilk!A$2:A$998, A87) &gt; 0, 90, 0)
)
* (0.8 + 0.4 * J87)
* 0.75,25)</f>
        <v>350</v>
      </c>
      <c r="I87" s="2">
        <f>MROUND(ROUNDDOWN(_xlfn.XLOOKUP(B87,'Base stats'!B:B,'Base stats'!L:L)/3.6/(23.3/11),1),0.5)</f>
        <v>2.5</v>
      </c>
      <c r="J87" s="2">
        <f>IF(OR(_xlfn.XLOOKUP(B87,'Base stats'!B:B,'Base stats'!AB:AB)=1,_xlfn.XLOOKUP(_xlfn.XLOOKUP(B87,'Base stats'!B:B,'Base stats'!E:E),Groups!A:A,Groups!C:C)="Untamable"),1,IF(_xlfn.XLOOKUP(B87,'Base stats'!B:B,'Base stats'!AL:AL)=1,0.99,MIN(MROUND((1-0.6282*EXP(-0.459*AO87))*_xlfn.XLOOKUP(_xlfn.XLOOKUP(B87,'Base stats'!B:B,'Base stats'!E:E),Groups!A:A,Groups!C:C)*IF(_xlfn.XLOOKUP(B87,'Base stats'!B:B,'Base stats'!O:O)=1,0.5,IF(_xlfn.XLOOKUP(B87,'Base stats'!B:B,'Base stats'!O:O)=2,0,1)),0.05),IF(AO87&gt;3.5,0.985,0.95))))</f>
        <v>0.65</v>
      </c>
      <c r="K87" s="2">
        <f>ROUNDUP(AO87*_xlfn.XLOOKUP(_xlfn.XLOOKUP(B87,'Base stats'!B:B,'Base stats'!E:E),Groups!A:A,Groups!E:E),0)</f>
        <v>2</v>
      </c>
      <c r="L87" s="2">
        <f>IF(OR(_xlfn.XLOOKUP(_xlfn.XLOOKUP(B87,'Base stats'!B:B,'Base stats'!E:E),Groups!A:A,Groups!F:F)=2,ISNUMBER(SEARCH("SeaIce",BX87)),ISNUMBER(SEARCH("IceSheet",BX87))),-50,IF(OR(ISNUMBER(SEARCH("GlacialPlain",BX87)),ISNUMBER(SEARCH("Tundra",BX87))),-40,IF(OR(ISNUMBER(SEARCH("Alpine",BX87)),ISNUMBER(SEARCH("BorealForest",BX87)),ISNUMBER(SEARCH("ColdBog",BX87))),-30,IF(OR(ISNUMBER(SEARCH("TemperateForest",BX87)),ISNUMBER(SEARCH("TemperateSwamp",BX87))),-20,IF(_xlfn.XLOOKUP(_xlfn.XLOOKUP(B87,'Base stats'!B:B,'Base stats'!E:E),Groups!A:A,Groups!F:F)=1,-15,IF(OR(ISNUMBER(SEARCH("Desert",BX87)),ISNUMBER(SEARCH("ExtremeDesert",BX87))),-10,IF(OR(ISNUMBER(SEARCH("Grasslands",BX87)),ISNUMBER(SEARCH("TropicalRainforest",BX87)),ISNUMBER(SEARCH("TropicalSwamp",BX87))),10,0)))))))-IF(CC87="False",MIN(IFERROR(MAX(MROUND(LOG10(_xlfn.XLOOKUP(B87,'Base stats'!B:B,'Base stats'!C:C)^(2/3))*10,5),5),5),30))-_xlfn.XLOOKUP(B87,'Base stats'!B:B,'Base stats'!P:P)+IF(CC87="True",5,0)</f>
        <v>-65</v>
      </c>
      <c r="M87" s="2">
        <f>IF(OR(_xlfn.XLOOKUP(_xlfn.XLOOKUP(B87,'Base stats'!B:B,'Base stats'!E:E),Groups!A:A,Groups!G:G)=2,ISNUMBER(SEARCH("Desert",BX87)),ISNUMBER(SEARCH("ExtremeDesert",BX87)),ISNUMBER(SEARCH("LavaField",BX87))),50,IF(ISNUMBER(SEARCH("Grasslands",BX87)),45,IF(OR(_xlfn.XLOOKUP(_xlfn.XLOOKUP(B87,'Base stats'!B:B,'Base stats'!E:E),Groups!A:A,Groups!G:G)=1,ISNUMBER(SEARCH("TropicalRainforest",BX87)),ISNUMBER(SEARCH("TropicalSwamp",BX87))),40,IF(OR(ISNUMBER(SEARCH("TemperateForest",BX87)),ISNUMBER(SEARCH("TemperateSwamp",BX87))),35,IF(OR(ISNUMBER(SEARCH("Alpine",BX87)),ISNUMBER(SEARCH("BorealForest",BX87)),ISNUMBER(SEARCH("ColdBog",BX87))),30,IF(ISNUMBER(OR(ISNUMBER(SEARCH("GlacialPlain",BX87)),SEARCH("Tundra",BX87))),25,IF(OR(ISNUMBER(SEARCH("SeaIce",BX87)),ISNUMBER(SEARCH("IceSheet",BX87)),ISNUMBER(SEARCH("TropicalSwamp",BX87))),10,35)))))))+_xlfn.XLOOKUP(B87,'Base stats'!B:B,'Base stats'!Q:Q)</f>
        <v>35</v>
      </c>
      <c r="N87" s="8" t="str">
        <f>IF(
_xlfn.XLOOKUP(
_xlfn.XLOOKUP(B87,'Base stats'!B:B,'Base stats'!E:E),
Groups!A:A,
Groups!L:L
)=1,
MIN(
MROUND(
IF(
_xlfn.XLOOKUP(B87,'Animals CE'!B:B,'Animals CE'!Z:Z)&lt;=1.5,
_xlfn.XLOOKUP(B87,'Animals CE'!B:B,'Animals CE'!Z:Z)/2+0.05,
0.8+
(_xlfn.XLOOKUP(B87,'Animals CE'!B:B,'Animals CE'!Z:Z)-1.5)
*0.02
),
0.05
),
200%
),
"No"
)</f>
        <v>No</v>
      </c>
      <c r="O87" s="8" t="str">
        <f>IF(
_xlfn.XLOOKUP(
_xlfn.XLOOKUP(B87,'Base stats'!B:B,'Base stats'!E:E),
Groups!A:A,
Groups!L:L
)=1,
MIN(
MROUND(
IF(
_xlfn.XLOOKUP(B87,'Animals CE'!B:B,'Animals CE'!AA:AA)&lt;=1.5,
_xlfn.XLOOKUP(B87,'Animals CE'!B:B,'Animals CE'!AA:AA)/2+0.05,
0.8+
(_xlfn.XLOOKUP(B87,'Animals CE'!B:B,'Animals CE'!AA:AA)-1.5)
*0.02
),
0.05
),
200%
),
"No"
)</f>
        <v>No</v>
      </c>
      <c r="P87" s="2" t="str">
        <f>_xlfn.XLOOKUP(B87,'Base stats'!B:B,'Base stats'!R:R)</f>
        <v>Standard</v>
      </c>
      <c r="Q87" s="13">
        <f>MROUND((LOG10(_xlfn.XLOOKUP(B87,'Base stats'!B:B,'Base stats'!AR:AR))*(AO87^0.5)+(_xlfn.XLOOKUP(B87,'Base stats'!B:B,'Base stats'!AR:AR)/1000)^(2/3)+_xlfn.XLOOKUP(B87,'Base stats'!B:B,'Base stats'!BA:BA)/2)+0.5,0.5)</f>
        <v>8.5</v>
      </c>
      <c r="R87" s="7">
        <f>IF(Q87="No","No",MAX(1,MROUND(_xlfn.XLOOKUP(B87,'Base stats'!B:B,'Base stats'!C:C)^0.165,0.05)))</f>
        <v>2.2000000000000002</v>
      </c>
      <c r="S87" s="13" t="str">
        <f>IF(_xlfn.XLOOKUP(_xlfn.XLOOKUP(B87,'Base stats'!B:B,'Base stats'!E:E),Groups!A:A,Groups!P:P)=0,"No",MROUND((LOG10(_xlfn.XLOOKUP(B87,'Base stats'!B:B,'Base stats'!AS:AS))*(AO87^0.5)+(_xlfn.XLOOKUP(B87,'Base stats'!B:B,'Base stats'!AS:AS)/1000)^(2/3)+_xlfn.XLOOKUP(B87,'Base stats'!B:B,'Base stats'!BA:BA))+_xlfn.XLOOKUP(B87,'Base stats'!B:B,'Base stats'!AY:AY)+0.5,0.5))</f>
        <v>No</v>
      </c>
      <c r="T87" s="7" t="str">
        <f>IF(S87="No","No",MAX(_xlfn.XLOOKUP(_xlfn.XLOOKUP(B87,'Base stats'!B:B,'Base stats'!E:E),Groups!A:A,Groups!Q:Q),MROUND(_xlfn.XLOOKUP(_xlfn.XLOOKUP(B87,'Base stats'!B:B,'Base stats'!E:E),Groups!A:A,Groups!Q:Q)*_xlfn.XLOOKUP(B87,'Base stats'!B:B,'Base stats'!C:C)^0.165,0.05)))</f>
        <v>No</v>
      </c>
      <c r="U87" s="7" t="str">
        <f>IF(S87="No","No",_xlfn.XLOOKUP(_xlfn.XLOOKUP(B87,'Base stats'!B:B,'Base stats'!E:E),Groups!A:A,Groups!R:R))</f>
        <v>No</v>
      </c>
      <c r="V87" s="7" t="str">
        <f>IF(S87="No","No",_xlfn.XLOOKUP(_xlfn.XLOOKUP(B87,'Base stats'!B:B,'Base stats'!E:E),Groups!A:A,Groups!S:S))</f>
        <v>No</v>
      </c>
      <c r="W87" s="7" t="str">
        <f>IF(S87="No","No",_xlfn.XLOOKUP(_xlfn.XLOOKUP(B87,'Base stats'!B:B,'Base stats'!E:E),Groups!A:A,Groups!T:T))</f>
        <v>No</v>
      </c>
      <c r="X87" s="13" t="str">
        <f>IF(_xlfn.XLOOKUP(B87,'Base stats'!B:B,'Base stats'!W:W)="No","No",MROUND((LOG10(_xlfn.XLOOKUP(B87,'Base stats'!B:B,'Base stats'!AU:AU))*(AO87^0.5)+(_xlfn.XLOOKUP(B87,'Base stats'!B:B,'Base stats'!AU:AU)/1000)^(2/3)+_xlfn.XLOOKUP(B87,'Base stats'!B:B,'Base stats'!AZ:AZ))+0.5+IF(_xlfn.XLOOKUP(_xlfn.XLOOKUP(B87,'Base stats'!B:B,'Base stats'!E:E),Groups!A:A,Groups!U:U)&lt;&gt;3,_xlfn.XLOOKUP(B87,'Base stats'!B:B,'Base stats'!BA:BA),0),0.5))</f>
        <v>No</v>
      </c>
      <c r="Y87" s="7" t="str">
        <f>IF(X87="No","No",MAX(_xlfn.XLOOKUP(_xlfn.XLOOKUP(B87,'Base stats'!B:B,'Base stats'!E:E),Groups!A:A,Groups!V:V),MROUND(_xlfn.XLOOKUP(_xlfn.XLOOKUP(B87,'Base stats'!B:B,'Base stats'!E:E),Groups!A:A,Groups!V:V)*_xlfn.XLOOKUP(B87,'Base stats'!B:B,'Base stats'!C:C)^0.165,0.05)))</f>
        <v>No</v>
      </c>
      <c r="Z87" s="7" t="str">
        <f>IF(X87="No","No",_xlfn.XLOOKUP(_xlfn.XLOOKUP(B87,'Base stats'!B:B,'Base stats'!E:E),Groups!A:A,Groups!W:W))</f>
        <v>No</v>
      </c>
      <c r="AA87" s="7" t="str">
        <f>IF(X87="No","No",_xlfn.XLOOKUP(_xlfn.XLOOKUP(B87,'Base stats'!B:B,'Base stats'!E:E),Groups!A:A,Groups!X:X))</f>
        <v>No</v>
      </c>
      <c r="AB87" s="7" t="str">
        <f>IF(X87="No","No",_xlfn.XLOOKUP(_xlfn.XLOOKUP(B87,'Base stats'!B:B,'Base stats'!E:E),Groups!A:A,Groups!Y:Y))</f>
        <v>No</v>
      </c>
      <c r="AC87" s="7" t="str">
        <f>_xlfn.XLOOKUP(Animals!B87,'Base stats'!B:B,'Base stats'!X:X)</f>
        <v>False</v>
      </c>
      <c r="AD87" s="13">
        <f>IF(_xlfn.XLOOKUP(B87,'Base stats'!B:B,'Base stats'!AT:AT)="No","No",MROUND((LOG10(_xlfn.XLOOKUP(B87,'Base stats'!B:B,'Base stats'!AT:AT))*(AO87^0.75)+(_xlfn.XLOOKUP(B87,'Base stats'!B:B,'Base stats'!AT:AT)/1000)^(2/3)+_xlfn.XLOOKUP(B87,'Base stats'!B:B,'Base stats'!AX:AX)+_xlfn.XLOOKUP(B87,'Base stats'!B:B,'Base stats'!BA:BA))+0.5,0.5))</f>
        <v>14.5</v>
      </c>
      <c r="AE87" s="7">
        <f>IF(AD87="No","No",MAX(_xlfn.XLOOKUP(_xlfn.XLOOKUP(B87,'Base stats'!B:B,'Base stats'!E:E),Groups!A:A,Groups!Z:Z),MROUND(_xlfn.XLOOKUP(_xlfn.XLOOKUP(B87,'Base stats'!B:B,'Base stats'!E:E),Groups!A:A,Groups!Z:Z)*_xlfn.XLOOKUP(B87,'Base stats'!B:B,'Base stats'!C:C)^0.165,0.05)))</f>
        <v>1.85</v>
      </c>
      <c r="AF87" s="7" t="str">
        <f>IF(AD87="No","No",_xlfn.XLOOKUP(_xlfn.XLOOKUP(B87,'Base stats'!B:B,'Base stats'!E:E),Groups!A:A,Groups!AA:AA))</f>
        <v>Teeth</v>
      </c>
      <c r="AG87" s="7" t="str">
        <f>IF(AD87="No","No",_xlfn.XLOOKUP(_xlfn.XLOOKUP(B87,'Base stats'!B:B,'Base stats'!E:E),Groups!A:A,Groups!AB:AB))</f>
        <v>canines</v>
      </c>
      <c r="AH87" s="7" t="str">
        <f>IF(AD87="No","No",_xlfn.XLOOKUP(_xlfn.XLOOKUP(B87,'Base stats'!B:B,'Base stats'!E:E),Groups!A:A,Groups!AC:AC))</f>
        <v>Bite</v>
      </c>
      <c r="AI87" s="13" t="str">
        <f>IF(_xlfn.XLOOKUP(_xlfn.XLOOKUP(B87,'Base stats'!B:B,'Base stats'!E:E),Groups!A:A,Groups!AD:AD)=0,"No",MROUND((LOG10(_xlfn.XLOOKUP(B87,'Base stats'!B:B,'Base stats'!AS:AS))*(AO87^0.75)+(_xlfn.XLOOKUP(B87,'Base stats'!B:B,'Base stats'!AS:AS)/1000)^(2/3)+_xlfn.XLOOKUP(B87,'Base stats'!B:B,'Base stats'!AY:AY)+_xlfn.XLOOKUP(B87,'Base stats'!B:B,'Base stats'!BA:BA))+0.5,0.5))</f>
        <v>No</v>
      </c>
      <c r="AJ87" s="7" t="str">
        <f>IF(AI87="No","No",MAX(_xlfn.XLOOKUP(_xlfn.XLOOKUP(B87,'Base stats'!B:B,'Base stats'!E:E),Groups!A:A,Groups!AE:AE),MROUND(_xlfn.XLOOKUP(_xlfn.XLOOKUP(B87,'Base stats'!B:B,'Base stats'!E:E),Groups!A:A,Groups!AE:AE)*IF(_xlfn.XLOOKUP(_xlfn.XLOOKUP(B87,'Base stats'!B:B,'Base stats'!E:E),Groups!A:A,Groups!AJ:AJ)="Photonozoa",0.6,1)*_xlfn.XLOOKUP(B87,'Base stats'!B:B,'Base stats'!C:C)^0.165,0.05)))</f>
        <v>No</v>
      </c>
      <c r="AK87" s="7" t="str">
        <f>IF(AI87="No","No",_xlfn.XLOOKUP(_xlfn.XLOOKUP(B87,'Base stats'!B:B,'Base stats'!E:E),Groups!A:A,Groups!AF:AF))</f>
        <v>No</v>
      </c>
      <c r="AL87" s="7" t="str">
        <f>IF(AI87="No","No",_xlfn.XLOOKUP(_xlfn.XLOOKUP(B87,'Base stats'!B:B,'Base stats'!E:E),Groups!A:A,Groups!AG:AG))</f>
        <v>No</v>
      </c>
      <c r="AM87" s="7" t="str">
        <f>IF(AI87="No","No",_xlfn.XLOOKUP(_xlfn.XLOOKUP(B87,'Base stats'!B:B,'Base stats'!E:E),Groups!A:A,Groups!AH:AH))</f>
        <v>No</v>
      </c>
      <c r="AN87" s="2">
        <f t="shared" si="7"/>
        <v>20</v>
      </c>
      <c r="AO87" s="2">
        <f>MROUND(IF(AND(_xlfn.XLOOKUP(B87,'Base stats'!B:B,'Base stats'!C:C)&gt;=0.5,_xlfn.XLOOKUP(B87,'Base stats'!B:B,'Base stats'!C:C)&lt;=0.8),
IF(_xlfn.XLOOKUP(B87,'Base stats'!B:B,'Base stats'!C:C)&lt;0.1,0.05,IF(_xlfn.XLOOKUP(B87,'Base stats'!B:B,'Base stats'!C:C)&lt;=70,(_xlfn.XLOOKUP(B87,'Base stats'!B:B,'Base stats'!C:C)/70)^0.426489913056526,IF(_xlfn.XLOOKUP(B87,'Base stats'!B:B,'Base stats'!C:C)&lt;=400,(_xlfn.XLOOKUP(B87,'Base stats'!B:B,'Base stats'!C:C)/70)^0.572811455315093,IF(_xlfn.XLOOKUP(B87,'Base stats'!B:B,'Base stats'!C:C)&lt;=2000,2.71391647193063*(_xlfn.XLOOKUP(B87,'Base stats'!B:B,'Base stats'!C:C)/400)^0.252459582904293,3.74314280240376*(_xlfn.XLOOKUP(B87,'Base stats'!B:B,'Base stats'!C:C)/2000)^0.357012633876913)))),
IF(_xlfn.XLOOKUP(B87,'Base stats'!B:B,'Base stats'!C:C)&lt;0.1,0.05,IF(_xlfn.XLOOKUP(B87,'Base stats'!B:B,'Base stats'!C:C)&lt;0.4,0.1,IF(_xlfn.XLOOKUP(B87,'Base stats'!B:B,'Base stats'!C:C)&lt;=70,(_xlfn.XLOOKUP(B87,'Base stats'!B:B,'Base stats'!C:C)/70)^0.445823913056526,IF(_xlfn.XLOOKUP(B87,'Base stats'!B:B,'Base stats'!C:C)&lt;=400,(_xlfn.XLOOKUP(B87,'Base stats'!B:B,'Base stats'!C:C)/70)^0.572811455315093,IF(_xlfn.XLOOKUP(B87,'Base stats'!B:B,'Base stats'!C:C)&lt;=2000,2.71391647193063*(_xlfn.XLOOKUP(B87,'Base stats'!B:B,'Base stats'!C:C)/400)^0.252459582904293,3.74314280240376*(_xlfn.XLOOKUP(B87,'Base stats'!B:B,'Base stats'!C:C)/2000)^0.357012633876913)))))),
IF(_xlfn.XLOOKUP(B87,'Base stats'!B:B,'Base stats'!C:C)&lt;0.1,0.05,IF(_xlfn.XLOOKUP(B87,'Base stats'!B:B,'Base stats'!C:C)&lt;=100,0.05,IF(_xlfn.XLOOKUP(B87,'Base stats'!B:B,'Base stats'!C:C)&lt;=250,0.1,IF(_xlfn.XLOOKUP(B87,'Base stats'!B:B,'Base stats'!C:C)&lt;=4000,0.25,0.5)))))</f>
        <v>1.3</v>
      </c>
      <c r="AP87" s="8">
        <f>MROUND(AO87*_xlfn.XLOOKUP(_xlfn.XLOOKUP(B87,'Base stats'!B:B,'Base stats'!E:E),Groups!A:A,Groups!AI:AI)*_xlfn.XLOOKUP(B87,'Base stats'!B:B,'Base stats'!Z:Z),0.05)</f>
        <v>1.55</v>
      </c>
      <c r="AQ87" s="8">
        <f>MAX(0.01,MROUND(IF(CC87="True",0.196*(AO87*100*1000)^0.889,IF(_xlfn.XLOOKUP(_xlfn.XLOOKUP(B87,'Base stats'!B:B,'Base stats'!E:E),Groups!A:A,Groups!AJ:AJ)="Bird",10.5*(AO87*100*1000)^0.681,4.82*(AO87*100*1000)^0.734))/(4.82*(1*100*1000)^0.734)/IF(AO87&lt;3.5,2,IF(AO87=3.5,1.5,1.25))*(1+0.132282374779864/(AO87^0.994035016789033+0.00905238001496948)),0.05))</f>
        <v>0.65</v>
      </c>
      <c r="AR87" s="9">
        <f>IFERROR(MROUND(_xlfn.XLOOKUP(B87,'Base stats'!B:B,'Base stats'!H:H)/IF(_xlfn.XLOOKUP(B87,'Base stats'!B:B,'Base stats'!I:I)&lt;&gt;1,(122.5/70),1.2),IF(_xlfn.XLOOKUP(B87,'Base stats'!B:B,'Base stats'!H:H)&gt;=30,5,IF(_xlfn.XLOOKUP(B87,'Base stats'!B:B,'Base stats'!H:H)&gt;=15,3,IF(_xlfn.XLOOKUP(B87,'Base stats'!B:B,'Base stats'!H:H)&gt;=10,2,1)))),"Immortal")</f>
        <v>25</v>
      </c>
      <c r="AS87" s="35">
        <f>IFERROR(IF(OR(_xlfn.XLOOKUP(B87,'Base stats'!B:B,'Base stats'!F:F)="Atypical reproduction",_xlfn.XLOOKUP(B87,'Base stats'!B:B,'Base stats'!F:F)="Lay eggs"),"Lay eggs",MIN(20,MAX(5.5,ROUND(((_xlfn.XLOOKUP(B87,'Base stats'!B:B,'Base stats'!F:F)-25)*(14.5/615) + 5.5)*2,0)/2))),"Unknown")</f>
        <v>11</v>
      </c>
      <c r="AT87" s="8">
        <f>IF(_xlfn.XLOOKUP(B87,'Base stats'!B:B,'Base stats'!G:G)="Atypical reproduction","No",IFERROR(MAX(IF(_xlfn.XLOOKUP(B87,'Base stats'!B:B,'Base stats'!G:G)&lt;0.5,0.2,0.3),MROUND(_xlfn.XLOOKUP(B87,'Base stats'!B:B,'Base stats'!G:G)/(365/60),0.2)),"Unknown"))</f>
        <v>0.4</v>
      </c>
      <c r="AU87" s="8">
        <f t="shared" si="8"/>
        <v>0.2</v>
      </c>
      <c r="AV87" s="8">
        <f>IFERROR(IFERROR(MROUND(_xlfn.XLOOKUP(B87,'Base stats'!B:B,'Base stats'!J:J),0.1),"Lay eggs"),"Cannot breed")</f>
        <v>1</v>
      </c>
      <c r="AW87" s="2" t="str">
        <f t="shared" si="9"/>
        <v>true</v>
      </c>
      <c r="AX87" s="2" t="str">
        <f>IF(_xlfn.XLOOKUP(_xlfn.XLOOKUP(Animals!B87,'Base stats'!B:B,'Base stats'!E:E),Groups!A:A,Groups!AK:AK)=1,"true","false")</f>
        <v>false</v>
      </c>
      <c r="AY87" s="25" t="str">
        <f>IF(_xlfn.XLOOKUP(B87,'Base stats'!B:B,'Base stats'!Y:Y)="Liquor","Liquor, CarnivoreAnimalStrict",IF(AND(_xlfn.XLOOKUP(B87,'Base stats'!B:B,'Base stats'!Y:Y)="Carnivore",_xlfn.XLOOKUP(_xlfn.XLOOKUP(B87,'Base stats'!B:B,'Base stats'!E:E),Groups!A:A,Groups!AJ:AJ)="Photonozoa"),"CarnivoreAnimalStrict, OvivoreAnimal",IF(_xlfn.XLOOKUP(B87,'Base stats'!B:B,'Base stats'!Y:Y)="Carnivore","CarnivoreAnimal, OvivoreAnimal",IF(_xlfn.XLOOKUP(B87,'Base stats'!B:B,'Base stats'!Y:Y)="Dendrovore","VegetarianRoughAnimal, DendrovoreAnimal",IF(_xlfn.XLOOKUP(B87,'Base stats'!B:B,'Base stats'!Y:Y)="Herbivore","VegetarianRoughAnimal",IF(_xlfn.XLOOKUP(B87,'Base stats'!B:B,'Base stats'!Y:Y)="OmnivoreRough","OmnivoreRoughAnimal, OvivoreAnimal","OmnivoreAnimal, OvivoreAnimal"))))))</f>
        <v>CarnivoreAnimal, OvivoreAnimal</v>
      </c>
      <c r="AZ87" s="2" t="str">
        <f>IF(_xlfn.XLOOKUP(_xlfn.XLOOKUP(B87,'Base stats'!B:B,'Base stats'!E:E),Groups!A:A,Groups!D:D)=1,MROUND((1-J87)*5+1,2)*IF(J87&lt;=0.4,2,1),"No")</f>
        <v>No</v>
      </c>
      <c r="BA87" s="2" t="str">
        <f>IF(AND(_xlfn.XLOOKUP(B87,'Base stats'!B:B,'Base stats'!AH:AH)="&lt;li&gt;Seal&lt;/li&gt;",G87="Odyssey"),"&lt;li&gt;AEXP_Seal&lt;/li&gt;",_xlfn.XLOOKUP(B87,'Base stats'!B:B,'Base stats'!AH:AH))</f>
        <v>No</v>
      </c>
      <c r="BB87" s="2" t="str">
        <f>_xlfn.XLOOKUP(B87,'Base stats'!B:B,'Base stats'!AG:AG)</f>
        <v>Leather_Sealskin</v>
      </c>
      <c r="BC87" s="23" t="str">
        <f>_xlfn.XLOOKUP(_xlfn.XLOOKUP(B87,'Base stats'!B:B,'Base stats'!E:E),Groups!A:A,Groups!AL:AL)</f>
        <v>Pinniped</v>
      </c>
      <c r="BD87" s="23">
        <f>MIN(1,MROUND(IF(AND(AO87&lt;0.5,_xlfn.XLOOKUP(B87,'Base stats'!B:B,'Base stats'!AA:AA)=0),0,IF(OR(_xlfn.XLOOKUP(Animals!B87,'Base stats'!B:B,'Base stats'!O:O)=2,_xlfn.XLOOKUP(_xlfn.XLOOKUP(B87,'Base stats'!B:B,'Base stats'!E:E),Groups!A:A,Groups!AN:AN)=0),0,_xlfn.XLOOKUP(_xlfn.XLOOKUP(B87,'Base stats'!B:B,'Base stats'!E:E),Groups!A:A,Groups!AN:AN)/IF(_xlfn.XLOOKUP(Animals!B87,'Base stats'!B:B,'Base stats'!O:O)=1,2,1)))+_xlfn.XLOOKUP(B87,'Base stats'!B:B,'Base stats'!AC:AC),0.005))</f>
        <v>2.5000000000000001E-2</v>
      </c>
      <c r="BE87" s="23">
        <f>MIN(1,MROUND(IF(AND(AO87&lt;0.5,_xlfn.XLOOKUP(B87,'Base stats'!B:B,'Base stats'!AA:AA)=0),0,IF(_xlfn.XLOOKUP(_xlfn.XLOOKUP(B87,'Base stats'!B:B,'Base stats'!E:E),Groups!A:A,Groups!AO:AO)=0,0,_xlfn.XLOOKUP(_xlfn.XLOOKUP(B87,'Base stats'!B:B,'Base stats'!E:E),Groups!A:A,Groups!AO:AO)/IF(_xlfn.XLOOKUP(Animals!B87,'Base stats'!B:B,'Base stats'!O:O)=2,3,1)))+_xlfn.XLOOKUP(B87,'Base stats'!B:B,'Base stats'!AD:AD),0.005))</f>
        <v>0.1</v>
      </c>
      <c r="BF87" s="2" t="str">
        <f>IF(J87&gt;0.3,"No",_xlfn.XLOOKUP(_xlfn.XLOOKUP(Animals!B87,'Base stats'!B:B,'Base stats'!E:E),Groups!A:A,Groups!AP:AP))</f>
        <v>No</v>
      </c>
      <c r="BG87" s="2">
        <f>IF(AND(J87&lt;=0.65,_xlfn.XLOOKUP(_xlfn.XLOOKUP(Animals!B87,'Base stats'!B:B,'Base stats'!E:E),Groups!A:A,Groups!AP:AP)&lt;&gt;"No",_xlfn.XLOOKUP(_xlfn.XLOOKUP(B87,'Base stats'!B:B,'Base stats'!E:E),Groups!A:A,Groups!D:D)=0),MROUND((80/3)*IF(_xlfn.XLOOKUP(B87,'Base stats'!B:B,'Base stats'!O:O)=2,0.2,AO87) + 24*(1-IF(BF87="No",0,BF87)) + 16/3, 12),"No")</f>
        <v>60</v>
      </c>
      <c r="BH87" s="2">
        <f>IF(AND(_xlfn.XLOOKUP(_xlfn.XLOOKUP(B87,'Base stats'!B:B,'Base stats'!E:E),Groups!A:A,Groups!AQ:AQ)=1,AO87&lt;=0.35),8,12)</f>
        <v>12</v>
      </c>
      <c r="BI87" s="2" t="str">
        <f>IF(_xlfn.XLOOKUP(_xlfn.XLOOKUP(B87,'Base stats'!B:B,'Base stats'!E:E),Groups!A:A,Groups!D:D)=0,_xlfn.XLOOKUP(_xlfn.XLOOKUP(B87,'Base stats'!B:B,'Base stats'!E:E),Groups!A:A,Groups!AR:AR),"None")</f>
        <v>Intermediate</v>
      </c>
      <c r="BJ87" s="2" t="str">
        <f>IF(AND(_xlfn.XLOOKUP(_xlfn.XLOOKUP(B87,'Base stats'!B:B,'Base stats'!E:E),Groups!A:A,Groups!AS:AS)=1,OR(_xlfn.XLOOKUP(B87,'Base stats'!B:B,'Base stats'!Y:Y)="Carnivore",_xlfn.XLOOKUP(B87,'Base stats'!B:B,'Base stats'!Y:Y)="Omnivore")),"true","false")</f>
        <v>true</v>
      </c>
      <c r="BK87" s="2">
        <f>IF(BJ87="true",MROUND(IF(AND(AO87&gt;0.5,OR(_xlfn.XLOOKUP(_xlfn.XLOOKUP(B87,'Base stats'!B:B,'Base stats'!E:E),Groups!A:A,Groups!AJ:AJ)="Photonozoa",_xlfn.XLOOKUP(_xlfn.XLOOKUP(B87,'Base stats'!B:B,'Base stats'!E:E),Groups!A:A,Groups!AJ:AJ)="Mammal")),Animals!AO87*1.75*IF(AW87="true",1.5,1),IF(AO87&lt;0.5,Animals!AO87*0.5,Animals!AO87)),IF(AO87&gt;2,0.5,IF(AO87&gt;0.5,0.25,0.1))),"No")</f>
        <v>3.5</v>
      </c>
      <c r="BL87" s="2">
        <f t="shared" si="10"/>
        <v>1</v>
      </c>
      <c r="BM87" s="25">
        <f>IF(_xlfn.XLOOKUP(B87,'Base stats'!B:B,'Base stats'!AN:AN)="Standard","No",MROUND((_xlfn.XLOOKUP(B87,'Base stats'!B:B,'Base stats'!AN:AN)/3.6)/I87,0.1))</f>
        <v>2.2000000000000002</v>
      </c>
      <c r="BN87" s="25" t="str">
        <f t="shared" si="11"/>
        <v>true</v>
      </c>
      <c r="BO87" s="25" t="str">
        <f>IF(AND(OR(_xlfn.XLOOKUP(B87,'Base stats'!B:B,'Base stats'!Y:Y)="Carnivore",_xlfn.XLOOKUP(B87,'Base stats'!B:B,'Base stats'!Y:Y)="Omnivore",_xlfn.XLOOKUP(B87,'Base stats'!B:B,'Base stats'!Y:Y)="OmnivoreRough"),_xlfn.XLOOKUP(_xlfn.XLOOKUP(B87,'Base stats'!B:B,'Base stats'!E:E),Groups!A:A,Groups!AT:AT)=1),"true","false")</f>
        <v>true</v>
      </c>
      <c r="BP87" s="25" t="str" cm="1">
        <f t="array" ref="BP87">IF(
  _xlfn.TEXTJOIN(", ",TRUE,
    IF(AND(BJ87="true",AO87&gt;0.5,BI87&lt;&gt;"None"),"AttackTarget",""),
    IF(AND(_xlfn.XLOOKUP(_xlfn.XLOOKUP(B87,'Base stats'!B:B,'Base stats'!E:E),Groups!A:A,Groups!AJ:AJ="Mammal"),OR(_xlfn.XLOOKUP(B87,'Base stats'!B:B,'Base stats'!Y:Y)="Omnivore",_xlfn.XLOOKUP(B87,'Base stats'!B:B,'Base stats'!Y:Y)="OmnivoreRough")),"Forage",""),
    IF(BG87&lt;=36,"Comfort",""),
    IF(_xlfn.XLOOKUP(B87,'Base stats'!B:B,'Base stats'!AE:AE)&lt;&gt;"No",_xlfn.XLOOKUP(B87,'Base stats'!B:B,'Base stats'!AE:AE),"")
  ) = "",
  "No",
  _xlfn.TEXTJOIN(", ",TRUE,
    IF(AND(BJ87="true",AO87&gt;0.5,BI87&lt;&gt;"None"),"AttackTarget",""),
    IF(AND(_xlfn.XLOOKUP(_xlfn.XLOOKUP(B87,'Base stats'!B:B,'Base stats'!E:E),Groups!A:A,Groups!AJ:AJ="Mammal"),OR(_xlfn.XLOOKUP(B87,'Base stats'!B:B,'Base stats'!Y:Y)="Omnivore",_xlfn.XLOOKUP(B87,'Base stats'!B:B,'Base stats'!Y:Y)="OmnivoreRough")),"Forage",""),
    IF(BG87&lt;=36,"Comfort",""),
    IF(_xlfn.XLOOKUP(B87,'Base stats'!B:B,'Base stats'!AE:AE)&lt;&gt;"No",_xlfn.XLOOKUP(B87,'Base stats'!B:B,'Base stats'!AE:AE),"")
  )
)</f>
        <v>AttackTarget</v>
      </c>
      <c r="BQ87" s="25">
        <f>IF(
   AND(
      'Base stats'!AN87="Standard",_xlfn.XLOOKUP(_xlfn.XLOOKUP(B87,'Base stats'!B:B,'Base stats'!E:E),Groups!A:A,Groups!AU:AU)=0,
      OR(
      BO87="True"
      )
   ),
   10,
   IF(
       OR(BM87&lt;&gt;"No",_xlfn.XLOOKUP(_xlfn.XLOOKUP(B87,'Base stats'!B:B,'Base stats'!E:E),Groups!A:A,Groups!AU:AU)=1),
      1,
      "No"
   )
)</f>
        <v>1</v>
      </c>
      <c r="BR87" s="9">
        <f>MROUND((1 + ((0.2*IF(OR(Q87="No",R87="No",R87=0),0,Q87/R87)
+IF(OR(V87="No",S87="No",T87="No"),0,S87/T87*(LEN(V87)-LEN(SUBSTITUTE(V87,",",""))+1))
+IF(OR(X87="No",Y87="No"),0,X87/Y87)
+IF(OR(AD87="No",AE87="No"),0,AD87/AE87)
+IF(OR(AL87="No",AI87="No",AJ87="No"),0,AI87/AJ87*(LEN(AL87)-LEN(SUBSTITUTE(AL87,",",""))+1))
)/(0.2*IF(OR(Q87="No",R87="No",R87=0),0,1)
+IF(OR(V87="No",S87="No",T87="No"),0,LEN(V87)-LEN(SUBSTITUTE(V87,",",""))+1)
+IF(OR(X87="No",Y87="No"),0,1)
+IF(OR(AD87="No",AE87="No"),0,1)
+IF(OR(AL87="No",AI87="No",AJ87="No"),0,LEN(AL87)-LEN(SUBSTITUTE(AL87,",",""))+1))*62%)* 2)*(1 + (AP87 / (IF(_xlfn.XLOOKUP(_xlfn.XLOOKUP(B87,'Base stats'!B:B,'Base stats'!E:E),Groups!A:A,Groups!AJ:AJ)="Photonozoa",0.3,1)) + _xlfn.XLOOKUP(B87,'Base stats'!B:B,'Base stats'!AV:AV) * 1.8) * 2) * 2.5 + 10 + I87 * 2,5)+IF(_xlfn.XLOOKUP(B87,'Base stats'!B:B,'Base stats'!AK:AK)=1,50,0)</f>
        <v>115</v>
      </c>
      <c r="BS87" s="8">
        <f t="shared" si="12"/>
        <v>0.8</v>
      </c>
      <c r="BT87" s="8" t="str">
        <f>_xlfn.XLOOKUP(B87,'Base stats'!B:B,'Base stats'!AF:AF)</f>
        <v>5~15</v>
      </c>
      <c r="BU87" s="2" t="str">
        <f>IF(AND(J87&lt;=0.95,OR(_xlfn.XLOOKUP(B87,'Base stats'!B:B,'Base stats'!AK:AK)=1,_xlfn.XLOOKUP(B87,'Base stats'!B:B,'Base stats'!Y:Y)="Carnivore",_xlfn.XLOOKUP(B87,'Base stats'!B:B,'Base stats'!Y:Y)="Omnivore",BE87&gt;0.1)),"true","false")</f>
        <v>true</v>
      </c>
      <c r="BV87" s="2" t="str">
        <f>IF(_xlfn.XLOOKUP(B87,'Base stats'!B:B,'Base stats'!AI:AI)=1,"true","false")</f>
        <v>false</v>
      </c>
      <c r="BW87" s="25" t="str">
        <f>IF(E87="BaseInsect","AnimalInsect",
IF(J87&gt;0.95,"AnimalExotic",
_xlfn.TEXTJOIN(", ",TRUE,
IF(OR(_xlfn.XLOOKUP(B87,'Base stats'!B:B,'Base stats'!AM:AM)=1,AND(_xlfn.XLOOKUP(B87,'Base stats'!B:B,'Base stats'!O:O)=0,_xlfn.XLOOKUP(_xlfn.XLOOKUP(B87,'Base stats'!B:B,'Base stats'!E:E),Groups!A:A,Groups!B:B)&gt;0)),"AnimalUncommon","AnimalCommon"),
IF(AND(_xlfn.XLOOKUP(B87,'Base stats'!B:B,'Base stats'!O:O)=2,_xlfn.XLOOKUP(_xlfn.XLOOKUP(B87,'Base stats'!B:B,'Base stats'!E:E),Groups!A:A,Groups!D:D)=0),"AnimalPet",IF(AND(_xlfn.XLOOKUP(B87,'Base stats'!B:B,'Base stats'!O:O)&lt;&gt;0,_xlfn.XLOOKUP(_xlfn.XLOOKUP(B87,'Base stats'!B:B,'Base stats'!E:E),Groups!A:A,Groups!D:D)&lt;&gt;0),"AnimalFarm","")),
IF(OR(_xlfn.XLOOKUP(B87,'Base stats'!B:B,'Base stats'!AK:AK)=1,AND(BI87&lt;&gt;"None",BR87&gt;=60),ISNUMBER(SEARCH("Attack target",BP87))),"AnimalFighter","")
)))</f>
        <v>AnimalCommon, AnimalFighter</v>
      </c>
      <c r="BX87" s="25" t="str">
        <f>IF(G87="None",TRIM(
SUBSTITUTE(
IF(COUNTIF(Biomes!B$2:B$259,"="&amp;$C87)&gt;0,Biomes!B$1&amp;", ","")&amp;
IF(COUNTIF(Biomes!C$2:C$259,"="&amp;$C87)&gt;0,Biomes!C$1&amp;", ","")&amp;
IF(COUNTIF(Biomes!D$2:D$259,"="&amp;$C87)&gt;0,Biomes!D$1&amp;", ","")&amp;
IF(COUNTIF(Biomes!F$2:F$259,"="&amp;$C87)&gt;0,Biomes!F$1&amp;", ","")&amp;
IF(COUNTIF(Biomes!G$2:G$259,"="&amp;$C87)&gt;0,Biomes!G$1&amp;", ","")&amp;
IF(COUNTIF(Biomes!H$2:H$259,"="&amp;$C87)&gt;0,Biomes!H$1&amp;", ","")&amp;
IF(COUNTIF(Biomes!I$2:I$259,"="&amp;$C87)&gt;0,Biomes!I$1&amp;", ","")&amp;
IF(COUNTIF(Biomes!J$2:J$259,"="&amp;$C87)&gt;0,Biomes!J$1&amp;", ","")&amp;
IF(COUNTIF(Biomes!M$2:M$259,"="&amp;$C87)&gt;0,Biomes!M$1&amp;", ","")&amp;
IF(COUNTIF(Biomes!N$2:N$259,"="&amp;$C87)&gt;0,Biomes!N$1&amp;", ","")&amp;
IF(COUNTIF(Biomes!O$2:O$259,"="&amp;$C87)&gt;0,Biomes!O$1&amp;", ","")&amp;
IF(COUNTIF(Biomes!P$2:P$259,"="&amp;$C87)&gt;0,Biomes!P$1&amp;", ","")&amp;
IF(COUNTIF(Biomes!K$2:K$259,"="&amp;$C87)&gt;0,Biomes!K$1&amp;", ","")&amp;
IF(COUNTIF(Biomes!Q$3:Q$259,"="&amp;$C87)&gt;0,Biomes!Q$1&amp;", ","")&amp;
IF(COUNTIF(Biomes!L$2:L$259,"="&amp;$C87)&gt;0,Biomes!L$1&amp;", ","")&amp;
IF(COUNTIF(Biomes!E$2:E$259,"="&amp;$C87)&gt;0,Biomes!E$1&amp;", ","")&amp;IF(COUNTIF(Biomes!S$2:S$259,"="&amp;$C87)&gt;0,Biomes!S$1&amp;", ","")&amp;
IF(COUNTIF(Biomes!R$2:R$259,"="&amp;$C87)&gt;0,Biomes!R$1&amp;", ",""),", ","")
),_xlfn.XLOOKUP(B87,B:B,BX:BX))</f>
        <v>SeaIce IceSheet Tundra BorealForest ColdBog TemperateForest TemperateSwamp GlacialPlain</v>
      </c>
      <c r="BY87" s="25" t="str">
        <f>IF(_xlfn.XLOOKUP(B87,'Base stats'!B:B,'Base stats'!AJ:AJ)=1,"true","false")</f>
        <v>true</v>
      </c>
      <c r="BZ87" s="25">
        <f>IF(_xlfn.XLOOKUP(B87,'Base stats'!B:B,'Base stats'!N:N)=1,"No",MAX(0.001,MIN(MROUND(IF(AND(BJ87="True",CC87="False"),POWER(10,3.47*LOG10(_xlfn.XLOOKUP(B87,'Base stats'!B:B,'Base stats'!C:C)*1000)^-0.96),POWER(10,4.15*LOG10(_xlfn.XLOOKUP(B87,'Base stats'!B:B,'Base stats'!C:C)*1000)^-0.73))*IF(_xlfn.XLOOKUP(B87,'Base stats'!B:B,'Base stats'!AK:AK)=1,0.5,1)*IF(_xlfn.XLOOKUP(B87,'Base stats'!B:B,'Base stats'!AM:AM)=1,0.1,1)/100,IF(_xlfn.XLOOKUP(B87,'Base stats'!B:B,'Base stats'!AM:AM)=1,0.001,0.025)),0.5)))</f>
        <v>0.05</v>
      </c>
      <c r="CA87" s="25" t="str">
        <f>IF(P87="Standard","No",MAX(0.001,MIN(MROUND(IF(AND(BJ87="True",CC87="False"),POWER(10,3.47*LOG10(_xlfn.XLOOKUP(B87,'Base stats'!B:B,'Base stats'!C:C)*1000)^-0.96),POWER(10,4.15*LOG10(_xlfn.XLOOKUP(B87,'Base stats'!B:B,'Base stats'!C:C)*1000)^-0.73))*IF(_xlfn.XLOOKUP(B87,'Base stats'!B:B,'Base stats'!AM:AM)=1,0.1,1)*_xlfn.XLOOKUP(B87,'Base stats'!B:B,'Base stats'!R:R)/100,IF(_xlfn.XLOOKUP(B87,'Base stats'!B:B,'Base stats'!AM:AM)=1,0.001,0.025)),0.5)))</f>
        <v>No</v>
      </c>
      <c r="CB87" s="25" t="str">
        <f>IF(_xlfn.XLOOKUP(_xlfn.XLOOKUP(B87,'Base stats'!B:B,'Base stats'!E:E),Groups!A:A,Groups!AJ:AJ)="Mammal","True","False")</f>
        <v>True</v>
      </c>
      <c r="CC87" s="25" t="str">
        <f>IF(OR(_xlfn.XLOOKUP(_xlfn.XLOOKUP(B87,'Base stats'!B:B,'Base stats'!E:E),Groups!A:A,Groups!AJ:AJ)="Reptile",_xlfn.XLOOKUP(_xlfn.XLOOKUP(B87,'Base stats'!B:B,'Base stats'!E:E),Groups!A:A,Groups!AJ:AJ)="Amphibian",_xlfn.XLOOKUP(_xlfn.XLOOKUP(B87,'Base stats'!B:B,'Base stats'!E:E),Groups!A:A,Groups!AJ:AJ)="Invertebrate"),"True","False")</f>
        <v>False</v>
      </c>
      <c r="CD87" s="25" t="str">
        <f t="shared" si="13"/>
        <v>False</v>
      </c>
      <c r="CE87" s="25" t="str">
        <f>IF(_xlfn.XLOOKUP(_xlfn.XLOOKUP(B87,'Base stats'!B:B,'Base stats'!E:E),Groups!A:A,Groups!AX:AX),"True","False")</f>
        <v>False</v>
      </c>
      <c r="CF87" s="25" t="str">
        <f>IF(_xlfn.XLOOKUP(_xlfn.XLOOKUP(B87,'Base stats'!B:B,'Base stats'!E:E),Groups!A:A,Groups!AY:AY),"True","False")</f>
        <v>False</v>
      </c>
      <c r="CG87" s="25" t="str">
        <f>IF(_xlfn.XLOOKUP(_xlfn.XLOOKUP(B87,'Base stats'!B:B,'Base stats'!E:E),Groups!A:A,Groups!AW:AW),"True","False")</f>
        <v>False</v>
      </c>
      <c r="CH87" s="25" t="str">
        <f>IF(
OR(
_xlfn.XLOOKUP(_xlfn.XLOOKUP(B87,'Base stats'!B:B,'Base stats'!E:E),Groups!A:A,Groups!AZ:AZ)=0,
AND(
_xlfn.XLOOKUP(B87,'Base stats'!B:B,'Base stats'!Y:Y)&lt;&gt;"Carnivore",
_xlfn.XLOOKUP(B87,'Base stats'!B:B,'Base stats'!Y:Y)&lt;&gt;"Omnivore",
_xlfn.XLOOKUP(B87,'Base stats'!B:B,'Base stats'!Y:Y)&lt;&gt;"OmnivoreRough"
)
),
"No",
IF(
_xlfn.XLOOKUP(_xlfn.XLOOKUP(B87,'Base stats'!B:B,'Base stats'!E:E),Groups!A:A,Groups!AZ:AZ)=1,
"Flesh",
IF(
_xlfn.XLOOKUP(_xlfn.XLOOKUP(B87,'Base stats'!B:B,'Base stats'!E:E),Groups!A:A,Groups!AZ:AZ)=2,
"Bone",
""
)
)
)</f>
        <v>No</v>
      </c>
      <c r="CI87" s="25" t="str">
        <f>IF(_xlfn.XLOOKUP(_xlfn.XLOOKUP(B87,'Base stats'!B:B,'Base stats'!E:E),Groups!A:A,Groups!BB:BB),"True","False")</f>
        <v>True</v>
      </c>
      <c r="CJ87" s="25" t="str">
        <f>IF(_xlfn.XLOOKUP(_xlfn.XLOOKUP(B87,'Base stats'!B:B,'Base stats'!E:E),Groups!A:A,Groups!BA:BA),"True","False")</f>
        <v>False</v>
      </c>
    </row>
    <row r="88" spans="1:88" ht="16.5" thickTop="1" thickBot="1" x14ac:dyDescent="0.3">
      <c r="A88" s="26" t="str">
        <f>_xlfn.XLOOKUP(B88,'Base stats'!B:B,'Base stats'!A:A)</f>
        <v>Walrus</v>
      </c>
      <c r="B88" s="6" t="s">
        <v>185</v>
      </c>
      <c r="C88" s="28" t="s">
        <v>768</v>
      </c>
      <c r="D88" s="28" t="s">
        <v>870</v>
      </c>
      <c r="E88" s="28" t="s">
        <v>673</v>
      </c>
      <c r="F88" s="28" t="s">
        <v>673</v>
      </c>
      <c r="G88" s="28" t="s">
        <v>673</v>
      </c>
      <c r="H88" s="2">
        <f>MROUND((
  (IF(AND(_xlfn.XLOOKUP(B88,'Base stats'!B:B,'Base stats'!AL:AL)=0,BI88="None",_xlfn.XLOOKUP(_xlfn.XLOOKUP(B88,'Base stats'!B:B,'Base stats'!E:E),Groups!A:A,Groups!B:B)=0), (18 + BR88 * 2.7) * 0.5,
    IF(AND(_xlfn.XLOOKUP(B88,'Base stats'!B:B,'Base stats'!AL:AL)=0,OR(AO88&lt;0.55,AND(BI88="Intermediate",_xlfn.XLOOKUP(_xlfn.XLOOKUP(B88,'Base stats'!B:B,'Base stats'!E:E),Groups!A:A,Groups!B:B)&lt;2))), (18 + BR88 * 2.7),
      IF(OR(BI88="Advanced",_xlfn.XLOOKUP(B88,'Base stats'!B:B,'Base stats'!AL:AL)=1,_xlfn.XLOOKUP(_xlfn.XLOOKUP(B88,'Base stats'!B:B,'Base stats'!E:E),Groups!A:A,Groups!B:B)=2), (18 + BR88 * 2.7) + 250, (18 + BR88 * 2.7))
    )
  ))
  + AO88 * 80
  + IF(COUNTIF(EggMilk!K$2:K$998, A88) &gt; 0, 125, 0)
  + IF(COUNTIF(EggMilk!P$2:P$998, A88) &gt; 0, 90, 0)
  + IF(COUNTIF(EggMilk!A$2:A$998, A88) &gt; 0, 90, 0)
)
* (0.8 + 0.4 * J88)
* 0.75,25)</f>
        <v>950</v>
      </c>
      <c r="I88" s="2">
        <f>MROUND(ROUNDDOWN(_xlfn.XLOOKUP(B88,'Base stats'!B:B,'Base stats'!L:L)/3.6/(23.3/11),1),0.5)</f>
        <v>1.5</v>
      </c>
      <c r="J88" s="2">
        <f>IF(OR(_xlfn.XLOOKUP(B88,'Base stats'!B:B,'Base stats'!AB:AB)=1,_xlfn.XLOOKUP(_xlfn.XLOOKUP(B88,'Base stats'!B:B,'Base stats'!E:E),Groups!A:A,Groups!C:C)="Untamable"),1,IF(_xlfn.XLOOKUP(B88,'Base stats'!B:B,'Base stats'!AL:AL)=1,0.99,MIN(MROUND((1-0.6282*EXP(-0.459*AO88))*_xlfn.XLOOKUP(_xlfn.XLOOKUP(B88,'Base stats'!B:B,'Base stats'!E:E),Groups!A:A,Groups!C:C)*IF(_xlfn.XLOOKUP(B88,'Base stats'!B:B,'Base stats'!O:O)=1,0.5,IF(_xlfn.XLOOKUP(B88,'Base stats'!B:B,'Base stats'!O:O)=2,0,1)),0.05),IF(AO88&gt;3.5,0.985,0.95))))</f>
        <v>0.85000000000000009</v>
      </c>
      <c r="K88" s="2">
        <f>ROUNDUP(AO88*_xlfn.XLOOKUP(_xlfn.XLOOKUP(B88,'Base stats'!B:B,'Base stats'!E:E),Groups!A:A,Groups!E:E),0)</f>
        <v>4</v>
      </c>
      <c r="L88" s="2">
        <f>IF(OR(_xlfn.XLOOKUP(_xlfn.XLOOKUP(B88,'Base stats'!B:B,'Base stats'!E:E),Groups!A:A,Groups!F:F)=2,ISNUMBER(SEARCH("SeaIce",BX88)),ISNUMBER(SEARCH("IceSheet",BX88))),-50,IF(OR(ISNUMBER(SEARCH("GlacialPlain",BX88)),ISNUMBER(SEARCH("Tundra",BX88))),-40,IF(OR(ISNUMBER(SEARCH("Alpine",BX88)),ISNUMBER(SEARCH("BorealForest",BX88)),ISNUMBER(SEARCH("ColdBog",BX88))),-30,IF(OR(ISNUMBER(SEARCH("TemperateForest",BX88)),ISNUMBER(SEARCH("TemperateSwamp",BX88))),-20,IF(_xlfn.XLOOKUP(_xlfn.XLOOKUP(B88,'Base stats'!B:B,'Base stats'!E:E),Groups!A:A,Groups!F:F)=1,-15,IF(OR(ISNUMBER(SEARCH("Desert",BX88)),ISNUMBER(SEARCH("ExtremeDesert",BX88))),-10,IF(OR(ISNUMBER(SEARCH("Grasslands",BX88)),ISNUMBER(SEARCH("TropicalRainforest",BX88)),ISNUMBER(SEARCH("TropicalSwamp",BX88))),10,0)))))))-IF(CC88="False",MIN(IFERROR(MAX(MROUND(LOG10(_xlfn.XLOOKUP(B88,'Base stats'!B:B,'Base stats'!C:C)^(2/3))*10,5),5),5),30))-_xlfn.XLOOKUP(B88,'Base stats'!B:B,'Base stats'!P:P)+IF(CC88="True",5,0)</f>
        <v>-70</v>
      </c>
      <c r="M88" s="2">
        <f>IF(OR(_xlfn.XLOOKUP(_xlfn.XLOOKUP(B88,'Base stats'!B:B,'Base stats'!E:E),Groups!A:A,Groups!G:G)=2,ISNUMBER(SEARCH("Desert",BX88)),ISNUMBER(SEARCH("ExtremeDesert",BX88)),ISNUMBER(SEARCH("LavaField",BX88))),50,IF(ISNUMBER(SEARCH("Grasslands",BX88)),45,IF(OR(_xlfn.XLOOKUP(_xlfn.XLOOKUP(B88,'Base stats'!B:B,'Base stats'!E:E),Groups!A:A,Groups!G:G)=1,ISNUMBER(SEARCH("TropicalRainforest",BX88)),ISNUMBER(SEARCH("TropicalSwamp",BX88))),40,IF(OR(ISNUMBER(SEARCH("TemperateForest",BX88)),ISNUMBER(SEARCH("TemperateSwamp",BX88))),35,IF(OR(ISNUMBER(SEARCH("Alpine",BX88)),ISNUMBER(SEARCH("BorealForest",BX88)),ISNUMBER(SEARCH("ColdBog",BX88))),30,IF(ISNUMBER(OR(ISNUMBER(SEARCH("GlacialPlain",BX88)),SEARCH("Tundra",BX88))),25,IF(OR(ISNUMBER(SEARCH("SeaIce",BX88)),ISNUMBER(SEARCH("IceSheet",BX88)),ISNUMBER(SEARCH("TropicalSwamp",BX88))),10,35)))))))+_xlfn.XLOOKUP(B88,'Base stats'!B:B,'Base stats'!Q:Q)</f>
        <v>10</v>
      </c>
      <c r="N88" s="8" t="str">
        <f>IF(
_xlfn.XLOOKUP(
_xlfn.XLOOKUP(B88,'Base stats'!B:B,'Base stats'!E:E),
Groups!A:A,
Groups!L:L
)=1,
MIN(
MROUND(
IF(
_xlfn.XLOOKUP(B88,'Animals CE'!B:B,'Animals CE'!Z:Z)&lt;=1.5,
_xlfn.XLOOKUP(B88,'Animals CE'!B:B,'Animals CE'!Z:Z)/2+0.05,
0.8+
(_xlfn.XLOOKUP(B88,'Animals CE'!B:B,'Animals CE'!Z:Z)-1.5)
*0.02
),
0.05
),
200%
),
"No"
)</f>
        <v>No</v>
      </c>
      <c r="O88" s="8" t="str">
        <f>IF(
_xlfn.XLOOKUP(
_xlfn.XLOOKUP(B88,'Base stats'!B:B,'Base stats'!E:E),
Groups!A:A,
Groups!L:L
)=1,
MIN(
MROUND(
IF(
_xlfn.XLOOKUP(B88,'Animals CE'!B:B,'Animals CE'!AA:AA)&lt;=1.5,
_xlfn.XLOOKUP(B88,'Animals CE'!B:B,'Animals CE'!AA:AA)/2+0.05,
0.8+
(_xlfn.XLOOKUP(B88,'Animals CE'!B:B,'Animals CE'!AA:AA)-1.5)
*0.02
),
0.05
),
200%
),
"No"
)</f>
        <v>No</v>
      </c>
      <c r="P88" s="2" t="str">
        <f>_xlfn.XLOOKUP(B88,'Base stats'!B:B,'Base stats'!R:R)</f>
        <v>Standard</v>
      </c>
      <c r="Q88" s="13">
        <f>MROUND((LOG10(_xlfn.XLOOKUP(B88,'Base stats'!B:B,'Base stats'!AR:AR))*(AO88^0.5)+(_xlfn.XLOOKUP(B88,'Base stats'!B:B,'Base stats'!AR:AR)/1000)^(2/3)+_xlfn.XLOOKUP(B88,'Base stats'!B:B,'Base stats'!BA:BA)/2)+0.5,0.5)</f>
        <v>20.5</v>
      </c>
      <c r="R88" s="7">
        <f>IF(Q88="No","No",MAX(1,MROUND(_xlfn.XLOOKUP(B88,'Base stats'!B:B,'Base stats'!C:C)^0.165,0.05)))</f>
        <v>3.1500000000000004</v>
      </c>
      <c r="S88" s="13" t="str">
        <f>IF(_xlfn.XLOOKUP(_xlfn.XLOOKUP(B88,'Base stats'!B:B,'Base stats'!E:E),Groups!A:A,Groups!P:P)=0,"No",MROUND((LOG10(_xlfn.XLOOKUP(B88,'Base stats'!B:B,'Base stats'!AS:AS))*(AO88^0.5)+(_xlfn.XLOOKUP(B88,'Base stats'!B:B,'Base stats'!AS:AS)/1000)^(2/3)+_xlfn.XLOOKUP(B88,'Base stats'!B:B,'Base stats'!BA:BA))+_xlfn.XLOOKUP(B88,'Base stats'!B:B,'Base stats'!AY:AY)+0.5,0.5))</f>
        <v>No</v>
      </c>
      <c r="T88" s="7" t="str">
        <f>IF(S88="No","No",MAX(_xlfn.XLOOKUP(_xlfn.XLOOKUP(B88,'Base stats'!B:B,'Base stats'!E:E),Groups!A:A,Groups!Q:Q),MROUND(_xlfn.XLOOKUP(_xlfn.XLOOKUP(B88,'Base stats'!B:B,'Base stats'!E:E),Groups!A:A,Groups!Q:Q)*_xlfn.XLOOKUP(B88,'Base stats'!B:B,'Base stats'!C:C)^0.165,0.05)))</f>
        <v>No</v>
      </c>
      <c r="U88" s="7" t="str">
        <f>IF(S88="No","No",_xlfn.XLOOKUP(_xlfn.XLOOKUP(B88,'Base stats'!B:B,'Base stats'!E:E),Groups!A:A,Groups!R:R))</f>
        <v>No</v>
      </c>
      <c r="V88" s="7" t="str">
        <f>IF(S88="No","No",_xlfn.XLOOKUP(_xlfn.XLOOKUP(B88,'Base stats'!B:B,'Base stats'!E:E),Groups!A:A,Groups!S:S))</f>
        <v>No</v>
      </c>
      <c r="W88" s="7" t="str">
        <f>IF(S88="No","No",_xlfn.XLOOKUP(_xlfn.XLOOKUP(B88,'Base stats'!B:B,'Base stats'!E:E),Groups!A:A,Groups!T:T))</f>
        <v>No</v>
      </c>
      <c r="X88" s="13">
        <f>IF(_xlfn.XLOOKUP(B88,'Base stats'!B:B,'Base stats'!W:W)="No","No",MROUND((LOG10(_xlfn.XLOOKUP(B88,'Base stats'!B:B,'Base stats'!AU:AU))*(AO88^0.5)+(_xlfn.XLOOKUP(B88,'Base stats'!B:B,'Base stats'!AU:AU)/1000)^(2/3)+_xlfn.XLOOKUP(B88,'Base stats'!B:B,'Base stats'!AZ:AZ))+0.5+IF(_xlfn.XLOOKUP(_xlfn.XLOOKUP(B88,'Base stats'!B:B,'Base stats'!E:E),Groups!A:A,Groups!U:U)&lt;&gt;3,_xlfn.XLOOKUP(B88,'Base stats'!B:B,'Base stats'!BA:BA),0),0.5))</f>
        <v>22.5</v>
      </c>
      <c r="Y88" s="7">
        <f>IF(X88="No","No",MAX(_xlfn.XLOOKUP(_xlfn.XLOOKUP(B88,'Base stats'!B:B,'Base stats'!E:E),Groups!A:A,Groups!V:V),MROUND(_xlfn.XLOOKUP(_xlfn.XLOOKUP(B88,'Base stats'!B:B,'Base stats'!E:E),Groups!A:A,Groups!V:V)*_xlfn.XLOOKUP(B88,'Base stats'!B:B,'Base stats'!C:C)^0.165,0.05)))</f>
        <v>2.35</v>
      </c>
      <c r="Z88" s="7" t="str">
        <f>IF(X88="No","No",_xlfn.XLOOKUP(_xlfn.XLOOKUP(B88,'Base stats'!B:B,'Base stats'!E:E),Groups!A:A,Groups!W:W))</f>
        <v>TuskAttackTool</v>
      </c>
      <c r="AA88" s="7" t="str">
        <f>IF(X88="No","No",_xlfn.XLOOKUP(_xlfn.XLOOKUP(B88,'Base stats'!B:B,'Base stats'!E:E),Groups!A:A,Groups!X:X))</f>
        <v>tusk</v>
      </c>
      <c r="AB88" s="7" t="str">
        <f>IF(X88="No","No",_xlfn.XLOOKUP(_xlfn.XLOOKUP(B88,'Base stats'!B:B,'Base stats'!E:E),Groups!A:A,Groups!Y:Y))</f>
        <v>Scratch</v>
      </c>
      <c r="AC88" s="7" t="str">
        <f>_xlfn.XLOOKUP(Animals!B88,'Base stats'!B:B,'Base stats'!X:X)</f>
        <v>False</v>
      </c>
      <c r="AD88" s="13" t="str">
        <f>IF(_xlfn.XLOOKUP(B88,'Base stats'!B:B,'Base stats'!AT:AT)="No","No",MROUND((LOG10(_xlfn.XLOOKUP(B88,'Base stats'!B:B,'Base stats'!AT:AT))*(AO88^0.75)+(_xlfn.XLOOKUP(B88,'Base stats'!B:B,'Base stats'!AT:AT)/1000)^(2/3)+_xlfn.XLOOKUP(B88,'Base stats'!B:B,'Base stats'!AX:AX)+_xlfn.XLOOKUP(B88,'Base stats'!B:B,'Base stats'!BA:BA))+0.5,0.5))</f>
        <v>No</v>
      </c>
      <c r="AE88" s="7" t="str">
        <f>IF(AD88="No","No",MAX(_xlfn.XLOOKUP(_xlfn.XLOOKUP(B88,'Base stats'!B:B,'Base stats'!E:E),Groups!A:A,Groups!Z:Z),MROUND(_xlfn.XLOOKUP(_xlfn.XLOOKUP(B88,'Base stats'!B:B,'Base stats'!E:E),Groups!A:A,Groups!Z:Z)*_xlfn.XLOOKUP(B88,'Base stats'!B:B,'Base stats'!C:C)^0.165,0.05)))</f>
        <v>No</v>
      </c>
      <c r="AF88" s="7" t="str">
        <f>IF(AD88="No","No",_xlfn.XLOOKUP(_xlfn.XLOOKUP(B88,'Base stats'!B:B,'Base stats'!E:E),Groups!A:A,Groups!AA:AA))</f>
        <v>No</v>
      </c>
      <c r="AG88" s="7" t="str">
        <f>IF(AD88="No","No",_xlfn.XLOOKUP(_xlfn.XLOOKUP(B88,'Base stats'!B:B,'Base stats'!E:E),Groups!A:A,Groups!AB:AB))</f>
        <v>No</v>
      </c>
      <c r="AH88" s="7" t="str">
        <f>IF(AD88="No","No",_xlfn.XLOOKUP(_xlfn.XLOOKUP(B88,'Base stats'!B:B,'Base stats'!E:E),Groups!A:A,Groups!AC:AC))</f>
        <v>No</v>
      </c>
      <c r="AI88" s="13" t="str">
        <f>IF(_xlfn.XLOOKUP(_xlfn.XLOOKUP(B88,'Base stats'!B:B,'Base stats'!E:E),Groups!A:A,Groups!AD:AD)=0,"No",MROUND((LOG10(_xlfn.XLOOKUP(B88,'Base stats'!B:B,'Base stats'!AS:AS))*(AO88^0.75)+(_xlfn.XLOOKUP(B88,'Base stats'!B:B,'Base stats'!AS:AS)/1000)^(2/3)+_xlfn.XLOOKUP(B88,'Base stats'!B:B,'Base stats'!AY:AY)+_xlfn.XLOOKUP(B88,'Base stats'!B:B,'Base stats'!BA:BA))+0.5,0.5))</f>
        <v>No</v>
      </c>
      <c r="AJ88" s="7" t="str">
        <f>IF(AI88="No","No",MAX(_xlfn.XLOOKUP(_xlfn.XLOOKUP(B88,'Base stats'!B:B,'Base stats'!E:E),Groups!A:A,Groups!AE:AE),MROUND(_xlfn.XLOOKUP(_xlfn.XLOOKUP(B88,'Base stats'!B:B,'Base stats'!E:E),Groups!A:A,Groups!AE:AE)*IF(_xlfn.XLOOKUP(_xlfn.XLOOKUP(B88,'Base stats'!B:B,'Base stats'!E:E),Groups!A:A,Groups!AJ:AJ)="Photonozoa",0.6,1)*_xlfn.XLOOKUP(B88,'Base stats'!B:B,'Base stats'!C:C)^0.165,0.05)))</f>
        <v>No</v>
      </c>
      <c r="AK88" s="7" t="str">
        <f>IF(AI88="No","No",_xlfn.XLOOKUP(_xlfn.XLOOKUP(B88,'Base stats'!B:B,'Base stats'!E:E),Groups!A:A,Groups!AF:AF))</f>
        <v>No</v>
      </c>
      <c r="AL88" s="7" t="str">
        <f>IF(AI88="No","No",_xlfn.XLOOKUP(_xlfn.XLOOKUP(B88,'Base stats'!B:B,'Base stats'!E:E),Groups!A:A,Groups!AG:AG))</f>
        <v>No</v>
      </c>
      <c r="AM88" s="7" t="str">
        <f>IF(AI88="No","No",_xlfn.XLOOKUP(_xlfn.XLOOKUP(B88,'Base stats'!B:B,'Base stats'!E:E),Groups!A:A,Groups!AH:AH))</f>
        <v>No</v>
      </c>
      <c r="AN88" s="2" t="str">
        <f t="shared" si="7"/>
        <v>No</v>
      </c>
      <c r="AO88" s="2">
        <f>MROUND(IF(AND(_xlfn.XLOOKUP(B88,'Base stats'!B:B,'Base stats'!C:C)&gt;=0.5,_xlfn.XLOOKUP(B88,'Base stats'!B:B,'Base stats'!C:C)&lt;=0.8),
IF(_xlfn.XLOOKUP(B88,'Base stats'!B:B,'Base stats'!C:C)&lt;0.1,0.05,IF(_xlfn.XLOOKUP(B88,'Base stats'!B:B,'Base stats'!C:C)&lt;=70,(_xlfn.XLOOKUP(B88,'Base stats'!B:B,'Base stats'!C:C)/70)^0.426489913056526,IF(_xlfn.XLOOKUP(B88,'Base stats'!B:B,'Base stats'!C:C)&lt;=400,(_xlfn.XLOOKUP(B88,'Base stats'!B:B,'Base stats'!C:C)/70)^0.572811455315093,IF(_xlfn.XLOOKUP(B88,'Base stats'!B:B,'Base stats'!C:C)&lt;=2000,2.71391647193063*(_xlfn.XLOOKUP(B88,'Base stats'!B:B,'Base stats'!C:C)/400)^0.252459582904293,3.74314280240376*(_xlfn.XLOOKUP(B88,'Base stats'!B:B,'Base stats'!C:C)/2000)^0.357012633876913)))),
IF(_xlfn.XLOOKUP(B88,'Base stats'!B:B,'Base stats'!C:C)&lt;0.1,0.05,IF(_xlfn.XLOOKUP(B88,'Base stats'!B:B,'Base stats'!C:C)&lt;0.4,0.1,IF(_xlfn.XLOOKUP(B88,'Base stats'!B:B,'Base stats'!C:C)&lt;=70,(_xlfn.XLOOKUP(B88,'Base stats'!B:B,'Base stats'!C:C)/70)^0.445823913056526,IF(_xlfn.XLOOKUP(B88,'Base stats'!B:B,'Base stats'!C:C)&lt;=400,(_xlfn.XLOOKUP(B88,'Base stats'!B:B,'Base stats'!C:C)/70)^0.572811455315093,IF(_xlfn.XLOOKUP(B88,'Base stats'!B:B,'Base stats'!C:C)&lt;=2000,2.71391647193063*(_xlfn.XLOOKUP(B88,'Base stats'!B:B,'Base stats'!C:C)/400)^0.252459582904293,3.74314280240376*(_xlfn.XLOOKUP(B88,'Base stats'!B:B,'Base stats'!C:C)/2000)^0.357012633876913)))))),
IF(_xlfn.XLOOKUP(B88,'Base stats'!B:B,'Base stats'!C:C)&lt;0.1,0.05,IF(_xlfn.XLOOKUP(B88,'Base stats'!B:B,'Base stats'!C:C)&lt;=100,0.05,IF(_xlfn.XLOOKUP(B88,'Base stats'!B:B,'Base stats'!C:C)&lt;=250,0.1,IF(_xlfn.XLOOKUP(B88,'Base stats'!B:B,'Base stats'!C:C)&lt;=4000,0.25,0.5)))))</f>
        <v>3.5</v>
      </c>
      <c r="AP88" s="8">
        <f>MROUND(AO88*_xlfn.XLOOKUP(_xlfn.XLOOKUP(B88,'Base stats'!B:B,'Base stats'!E:E),Groups!A:A,Groups!AI:AI)*_xlfn.XLOOKUP(B88,'Base stats'!B:B,'Base stats'!Z:Z),0.05)</f>
        <v>4.2</v>
      </c>
      <c r="AQ88" s="8">
        <f>MAX(0.01,MROUND(IF(CC88="True",0.196*(AO88*100*1000)^0.889,IF(_xlfn.XLOOKUP(_xlfn.XLOOKUP(B88,'Base stats'!B:B,'Base stats'!E:E),Groups!A:A,Groups!AJ:AJ)="Bird",10.5*(AO88*100*1000)^0.681,4.82*(AO88*100*1000)^0.734))/(4.82*(1*100*1000)^0.734)/IF(AO88&lt;3.5,2,IF(AO88=3.5,1.5,1.25))*(1+0.132282374779864/(AO88^0.994035016789033+0.00905238001496948)),0.05))</f>
        <v>1.75</v>
      </c>
      <c r="AR88" s="9">
        <f>IFERROR(MROUND(_xlfn.XLOOKUP(B88,'Base stats'!B:B,'Base stats'!H:H)/IF(_xlfn.XLOOKUP(B88,'Base stats'!B:B,'Base stats'!I:I)&lt;&gt;1,(122.5/70),1.2),IF(_xlfn.XLOOKUP(B88,'Base stats'!B:B,'Base stats'!H:H)&gt;=30,5,IF(_xlfn.XLOOKUP(B88,'Base stats'!B:B,'Base stats'!H:H)&gt;=15,3,IF(_xlfn.XLOOKUP(B88,'Base stats'!B:B,'Base stats'!H:H)&gt;=10,2,1)))),"Immortal")</f>
        <v>25</v>
      </c>
      <c r="AS88" s="35">
        <f>IFERROR(IF(OR(_xlfn.XLOOKUP(B88,'Base stats'!B:B,'Base stats'!F:F)="Atypical reproduction",_xlfn.XLOOKUP(B88,'Base stats'!B:B,'Base stats'!F:F)="Lay eggs"),"Lay eggs",MIN(20,MAX(5.5,ROUND(((_xlfn.XLOOKUP(B88,'Base stats'!B:B,'Base stats'!F:F)-25)*(14.5/615) + 5.5)*2,0)/2))),"Unknown")</f>
        <v>12.5</v>
      </c>
      <c r="AT88" s="8">
        <f>IF(_xlfn.XLOOKUP(B88,'Base stats'!B:B,'Base stats'!G:G)="Atypical reproduction","No",IFERROR(MAX(IF(_xlfn.XLOOKUP(B88,'Base stats'!B:B,'Base stats'!G:G)&lt;0.5,0.2,0.3),MROUND(_xlfn.XLOOKUP(B88,'Base stats'!B:B,'Base stats'!G:G)/(365/60),0.2)),"Unknown"))</f>
        <v>0.8</v>
      </c>
      <c r="AU88" s="8">
        <f t="shared" si="8"/>
        <v>0.4</v>
      </c>
      <c r="AV88" s="8">
        <f>IFERROR(IFERROR(MROUND(_xlfn.XLOOKUP(B88,'Base stats'!B:B,'Base stats'!J:J),0.1),"Lay eggs"),"Cannot breed")</f>
        <v>1</v>
      </c>
      <c r="AW88" s="2" t="str">
        <f t="shared" si="9"/>
        <v>true</v>
      </c>
      <c r="AX88" s="2" t="str">
        <f>IF(_xlfn.XLOOKUP(_xlfn.XLOOKUP(Animals!B88,'Base stats'!B:B,'Base stats'!E:E),Groups!A:A,Groups!AK:AK)=1,"true","false")</f>
        <v>false</v>
      </c>
      <c r="AY88" s="25" t="str">
        <f>IF(_xlfn.XLOOKUP(B88,'Base stats'!B:B,'Base stats'!Y:Y)="Liquor","Liquor, CarnivoreAnimalStrict",IF(AND(_xlfn.XLOOKUP(B88,'Base stats'!B:B,'Base stats'!Y:Y)="Carnivore",_xlfn.XLOOKUP(_xlfn.XLOOKUP(B88,'Base stats'!B:B,'Base stats'!E:E),Groups!A:A,Groups!AJ:AJ)="Photonozoa"),"CarnivoreAnimalStrict, OvivoreAnimal",IF(_xlfn.XLOOKUP(B88,'Base stats'!B:B,'Base stats'!Y:Y)="Carnivore","CarnivoreAnimal, OvivoreAnimal",IF(_xlfn.XLOOKUP(B88,'Base stats'!B:B,'Base stats'!Y:Y)="Dendrovore","VegetarianRoughAnimal, DendrovoreAnimal",IF(_xlfn.XLOOKUP(B88,'Base stats'!B:B,'Base stats'!Y:Y)="Herbivore","VegetarianRoughAnimal",IF(_xlfn.XLOOKUP(B88,'Base stats'!B:B,'Base stats'!Y:Y)="OmnivoreRough","OmnivoreRoughAnimal, OvivoreAnimal","OmnivoreAnimal, OvivoreAnimal"))))))</f>
        <v>CarnivoreAnimal, OvivoreAnimal</v>
      </c>
      <c r="AZ88" s="2" t="str">
        <f>IF(_xlfn.XLOOKUP(_xlfn.XLOOKUP(B88,'Base stats'!B:B,'Base stats'!E:E),Groups!A:A,Groups!D:D)=1,MROUND((1-J88)*5+1,2)*IF(J88&lt;=0.4,2,1),"No")</f>
        <v>No</v>
      </c>
      <c r="BA88" s="2" t="str">
        <f>IF(AND(_xlfn.XLOOKUP(B88,'Base stats'!B:B,'Base stats'!AH:AH)="&lt;li&gt;Seal&lt;/li&gt;",G88="Odyssey"),"&lt;li&gt;AEXP_Seal&lt;/li&gt;",_xlfn.XLOOKUP(B88,'Base stats'!B:B,'Base stats'!AH:AH))</f>
        <v>&lt;li&gt;Seal&lt;/li&gt;</v>
      </c>
      <c r="BB88" s="2" t="str">
        <f>_xlfn.XLOOKUP(B88,'Base stats'!B:B,'Base stats'!AG:AG)</f>
        <v>Leather_Sealskin</v>
      </c>
      <c r="BC88" s="23" t="str">
        <f>_xlfn.XLOOKUP(_xlfn.XLOOKUP(B88,'Base stats'!B:B,'Base stats'!E:E),Groups!A:A,Groups!AL:AL)</f>
        <v>PinnipedWithTusks</v>
      </c>
      <c r="BD88" s="23">
        <f>MIN(1,MROUND(IF(AND(AO88&lt;0.5,_xlfn.XLOOKUP(B88,'Base stats'!B:B,'Base stats'!AA:AA)=0),0,IF(OR(_xlfn.XLOOKUP(Animals!B88,'Base stats'!B:B,'Base stats'!O:O)=2,_xlfn.XLOOKUP(_xlfn.XLOOKUP(B88,'Base stats'!B:B,'Base stats'!E:E),Groups!A:A,Groups!AN:AN)=0),0,_xlfn.XLOOKUP(_xlfn.XLOOKUP(B88,'Base stats'!B:B,'Base stats'!E:E),Groups!A:A,Groups!AN:AN)/IF(_xlfn.XLOOKUP(Animals!B88,'Base stats'!B:B,'Base stats'!O:O)=1,2,1)))+_xlfn.XLOOKUP(B88,'Base stats'!B:B,'Base stats'!AC:AC),0.005))</f>
        <v>2.5000000000000001E-2</v>
      </c>
      <c r="BE88" s="23">
        <f>MIN(1,MROUND(IF(AND(AO88&lt;0.5,_xlfn.XLOOKUP(B88,'Base stats'!B:B,'Base stats'!AA:AA)=0),0,IF(_xlfn.XLOOKUP(_xlfn.XLOOKUP(B88,'Base stats'!B:B,'Base stats'!E:E),Groups!A:A,Groups!AO:AO)=0,0,_xlfn.XLOOKUP(_xlfn.XLOOKUP(B88,'Base stats'!B:B,'Base stats'!E:E),Groups!A:A,Groups!AO:AO)/IF(_xlfn.XLOOKUP(Animals!B88,'Base stats'!B:B,'Base stats'!O:O)=2,3,1)))+_xlfn.XLOOKUP(B88,'Base stats'!B:B,'Base stats'!AD:AD),0.005))</f>
        <v>0.1</v>
      </c>
      <c r="BF88" s="2" t="str">
        <f>IF(J88&gt;0.3,"No",_xlfn.XLOOKUP(_xlfn.XLOOKUP(Animals!B88,'Base stats'!B:B,'Base stats'!E:E),Groups!A:A,Groups!AP:AP))</f>
        <v>No</v>
      </c>
      <c r="BG88" s="2" t="str">
        <f>IF(AND(J88&lt;=0.65,_xlfn.XLOOKUP(_xlfn.XLOOKUP(Animals!B88,'Base stats'!B:B,'Base stats'!E:E),Groups!A:A,Groups!AP:AP)&lt;&gt;"No",_xlfn.XLOOKUP(_xlfn.XLOOKUP(B88,'Base stats'!B:B,'Base stats'!E:E),Groups!A:A,Groups!D:D)=0),MROUND((80/3)*IF(_xlfn.XLOOKUP(B88,'Base stats'!B:B,'Base stats'!O:O)=2,0.2,AO88) + 24*(1-IF(BF88="No",0,BF88)) + 16/3, 12),"No")</f>
        <v>No</v>
      </c>
      <c r="BH88" s="2">
        <f>IF(AND(_xlfn.XLOOKUP(_xlfn.XLOOKUP(B88,'Base stats'!B:B,'Base stats'!E:E),Groups!A:A,Groups!AQ:AQ)=1,AO88&lt;=0.35),8,12)</f>
        <v>12</v>
      </c>
      <c r="BI88" s="2" t="str">
        <f>IF(_xlfn.XLOOKUP(_xlfn.XLOOKUP(B88,'Base stats'!B:B,'Base stats'!E:E),Groups!A:A,Groups!D:D)=0,_xlfn.XLOOKUP(_xlfn.XLOOKUP(B88,'Base stats'!B:B,'Base stats'!E:E),Groups!A:A,Groups!AR:AR),"None")</f>
        <v>Intermediate</v>
      </c>
      <c r="BJ88" s="2" t="str">
        <f>IF(AND(_xlfn.XLOOKUP(_xlfn.XLOOKUP(B88,'Base stats'!B:B,'Base stats'!E:E),Groups!A:A,Groups!AS:AS)=1,OR(_xlfn.XLOOKUP(B88,'Base stats'!B:B,'Base stats'!Y:Y)="Carnivore",_xlfn.XLOOKUP(B88,'Base stats'!B:B,'Base stats'!Y:Y)="Omnivore")),"true","false")</f>
        <v>false</v>
      </c>
      <c r="BK88" s="2" t="str">
        <f>IF(BJ88="true",MROUND(IF(AND(AO88&gt;0.5,OR(_xlfn.XLOOKUP(_xlfn.XLOOKUP(B88,'Base stats'!B:B,'Base stats'!E:E),Groups!A:A,Groups!AJ:AJ)="Photonozoa",_xlfn.XLOOKUP(_xlfn.XLOOKUP(B88,'Base stats'!B:B,'Base stats'!E:E),Groups!A:A,Groups!AJ:AJ)="Mammal")),Animals!AO88*1.75*IF(AW88="true",1.5,1),IF(AO88&lt;0.5,Animals!AO88*0.5,Animals!AO88)),IF(AO88&gt;2,0.5,IF(AO88&gt;0.5,0.25,0.1))),"No")</f>
        <v>No</v>
      </c>
      <c r="BL88" s="2">
        <f t="shared" si="10"/>
        <v>1</v>
      </c>
      <c r="BM88" s="25">
        <f>IF(_xlfn.XLOOKUP(B88,'Base stats'!B:B,'Base stats'!AN:AN)="Standard","No",MROUND((_xlfn.XLOOKUP(B88,'Base stats'!B:B,'Base stats'!AN:AN)/3.6)/I88,0.1))</f>
        <v>2.4000000000000004</v>
      </c>
      <c r="BN88" s="25" t="str">
        <f t="shared" si="11"/>
        <v>true</v>
      </c>
      <c r="BO88" s="25" t="str">
        <f>IF(AND(OR(_xlfn.XLOOKUP(B88,'Base stats'!B:B,'Base stats'!Y:Y)="Carnivore",_xlfn.XLOOKUP(B88,'Base stats'!B:B,'Base stats'!Y:Y)="Omnivore",_xlfn.XLOOKUP(B88,'Base stats'!B:B,'Base stats'!Y:Y)="OmnivoreRough"),_xlfn.XLOOKUP(_xlfn.XLOOKUP(B88,'Base stats'!B:B,'Base stats'!E:E),Groups!A:A,Groups!AT:AT)=1),"true","false")</f>
        <v>true</v>
      </c>
      <c r="BP88" s="25" t="str" cm="1">
        <f t="array" ref="BP88">IF(
  _xlfn.TEXTJOIN(", ",TRUE,
    IF(AND(BJ88="true",AO88&gt;0.5,BI88&lt;&gt;"None"),"AttackTarget",""),
    IF(AND(_xlfn.XLOOKUP(_xlfn.XLOOKUP(B88,'Base stats'!B:B,'Base stats'!E:E),Groups!A:A,Groups!AJ:AJ="Mammal"),OR(_xlfn.XLOOKUP(B88,'Base stats'!B:B,'Base stats'!Y:Y)="Omnivore",_xlfn.XLOOKUP(B88,'Base stats'!B:B,'Base stats'!Y:Y)="OmnivoreRough")),"Forage",""),
    IF(BG88&lt;=36,"Comfort",""),
    IF(_xlfn.XLOOKUP(B88,'Base stats'!B:B,'Base stats'!AE:AE)&lt;&gt;"No",_xlfn.XLOOKUP(B88,'Base stats'!B:B,'Base stats'!AE:AE),"")
  ) = "",
  "No",
  _xlfn.TEXTJOIN(", ",TRUE,
    IF(AND(BJ88="true",AO88&gt;0.5,BI88&lt;&gt;"None"),"AttackTarget",""),
    IF(AND(_xlfn.XLOOKUP(_xlfn.XLOOKUP(B88,'Base stats'!B:B,'Base stats'!E:E),Groups!A:A,Groups!AJ:AJ="Mammal"),OR(_xlfn.XLOOKUP(B88,'Base stats'!B:B,'Base stats'!Y:Y)="Omnivore",_xlfn.XLOOKUP(B88,'Base stats'!B:B,'Base stats'!Y:Y)="OmnivoreRough")),"Forage",""),
    IF(BG88&lt;=36,"Comfort",""),
    IF(_xlfn.XLOOKUP(B88,'Base stats'!B:B,'Base stats'!AE:AE)&lt;&gt;"No",_xlfn.XLOOKUP(B88,'Base stats'!B:B,'Base stats'!AE:AE),"")
  )
)</f>
        <v>No</v>
      </c>
      <c r="BQ88" s="25">
        <f>IF(
   AND(
      'Base stats'!AN88="Standard",_xlfn.XLOOKUP(_xlfn.XLOOKUP(B88,'Base stats'!B:B,'Base stats'!E:E),Groups!A:A,Groups!AU:AU)=0,
      OR(
      BO88="True"
      )
   ),
   10,
   IF(
       OR(BM88&lt;&gt;"No",_xlfn.XLOOKUP(_xlfn.XLOOKUP(B88,'Base stats'!B:B,'Base stats'!E:E),Groups!A:A,Groups!AU:AU)=1),
      1,
      "No"
   )
)</f>
        <v>1</v>
      </c>
      <c r="BR88" s="9">
        <f>MROUND((1 + ((0.2*IF(OR(Q88="No",R88="No",R88=0),0,Q88/R88)
+IF(OR(V88="No",S88="No",T88="No"),0,S88/T88*(LEN(V88)-LEN(SUBSTITUTE(V88,",",""))+1))
+IF(OR(X88="No",Y88="No"),0,X88/Y88)
+IF(OR(AD88="No",AE88="No"),0,AD88/AE88)
+IF(OR(AL88="No",AI88="No",AJ88="No"),0,AI88/AJ88*(LEN(AL88)-LEN(SUBSTITUTE(AL88,",",""))+1))
)/(0.2*IF(OR(Q88="No",R88="No",R88=0),0,1)
+IF(OR(V88="No",S88="No",T88="No"),0,LEN(V88)-LEN(SUBSTITUTE(V88,",",""))+1)
+IF(OR(X88="No",Y88="No"),0,1)
+IF(OR(AD88="No",AE88="No"),0,1)
+IF(OR(AL88="No",AI88="No",AJ88="No"),0,LEN(AL88)-LEN(SUBSTITUTE(AL88,",",""))+1))*62%)* 2)*(1 + (AP88 / (IF(_xlfn.XLOOKUP(_xlfn.XLOOKUP(B88,'Base stats'!B:B,'Base stats'!E:E),Groups!A:A,Groups!AJ:AJ)="Photonozoa",0.3,1)) + _xlfn.XLOOKUP(B88,'Base stats'!B:B,'Base stats'!AV:AV) * 1.8) * 2) * 2.5 + 10 + I88 * 2,5)+IF(_xlfn.XLOOKUP(B88,'Base stats'!B:B,'Base stats'!AK:AK)=1,50,0)</f>
        <v>300</v>
      </c>
      <c r="BS88" s="8">
        <f t="shared" si="12"/>
        <v>2.1</v>
      </c>
      <c r="BT88" s="8" t="str">
        <f>_xlfn.XLOOKUP(B88,'Base stats'!B:B,'Base stats'!AF:AF)</f>
        <v>5~15</v>
      </c>
      <c r="BU88" s="2" t="str">
        <f>IF(AND(J88&lt;=0.95,OR(_xlfn.XLOOKUP(B88,'Base stats'!B:B,'Base stats'!AK:AK)=1,_xlfn.XLOOKUP(B88,'Base stats'!B:B,'Base stats'!Y:Y)="Carnivore",_xlfn.XLOOKUP(B88,'Base stats'!B:B,'Base stats'!Y:Y)="Omnivore",BE88&gt;0.1)),"true","false")</f>
        <v>true</v>
      </c>
      <c r="BV88" s="2" t="str">
        <f>IF(_xlfn.XLOOKUP(B88,'Base stats'!B:B,'Base stats'!AI:AI)=1,"true","false")</f>
        <v>false</v>
      </c>
      <c r="BW88" s="25" t="str">
        <f>IF(E88="BaseInsect","AnimalInsect",
IF(J88&gt;0.95,"AnimalExotic",
_xlfn.TEXTJOIN(", ",TRUE,
IF(OR(_xlfn.XLOOKUP(B88,'Base stats'!B:B,'Base stats'!AM:AM)=1,AND(_xlfn.XLOOKUP(B88,'Base stats'!B:B,'Base stats'!O:O)=0,_xlfn.XLOOKUP(_xlfn.XLOOKUP(B88,'Base stats'!B:B,'Base stats'!E:E),Groups!A:A,Groups!B:B)&gt;0)),"AnimalUncommon","AnimalCommon"),
IF(AND(_xlfn.XLOOKUP(B88,'Base stats'!B:B,'Base stats'!O:O)=2,_xlfn.XLOOKUP(_xlfn.XLOOKUP(B88,'Base stats'!B:B,'Base stats'!E:E),Groups!A:A,Groups!D:D)=0),"AnimalPet",IF(AND(_xlfn.XLOOKUP(B88,'Base stats'!B:B,'Base stats'!O:O)&lt;&gt;0,_xlfn.XLOOKUP(_xlfn.XLOOKUP(B88,'Base stats'!B:B,'Base stats'!E:E),Groups!A:A,Groups!D:D)&lt;&gt;0),"AnimalFarm","")),
IF(OR(_xlfn.XLOOKUP(B88,'Base stats'!B:B,'Base stats'!AK:AK)=1,AND(BI88&lt;&gt;"None",BR88&gt;=60),ISNUMBER(SEARCH("Attack target",BP88))),"AnimalFighter","")
)))</f>
        <v>AnimalCommon, AnimalFighter</v>
      </c>
      <c r="BX88" s="25" t="str">
        <f>IF(G88="None",TRIM(
SUBSTITUTE(
IF(COUNTIF(Biomes!B$2:B$259,"="&amp;$C88)&gt;0,Biomes!B$1&amp;", ","")&amp;
IF(COUNTIF(Biomes!C$2:C$259,"="&amp;$C88)&gt;0,Biomes!C$1&amp;", ","")&amp;
IF(COUNTIF(Biomes!D$2:D$259,"="&amp;$C88)&gt;0,Biomes!D$1&amp;", ","")&amp;
IF(COUNTIF(Biomes!F$2:F$259,"="&amp;$C88)&gt;0,Biomes!F$1&amp;", ","")&amp;
IF(COUNTIF(Biomes!G$2:G$259,"="&amp;$C88)&gt;0,Biomes!G$1&amp;", ","")&amp;
IF(COUNTIF(Biomes!H$2:H$259,"="&amp;$C88)&gt;0,Biomes!H$1&amp;", ","")&amp;
IF(COUNTIF(Biomes!I$2:I$259,"="&amp;$C88)&gt;0,Biomes!I$1&amp;", ","")&amp;
IF(COUNTIF(Biomes!J$2:J$259,"="&amp;$C88)&gt;0,Biomes!J$1&amp;", ","")&amp;
IF(COUNTIF(Biomes!M$2:M$259,"="&amp;$C88)&gt;0,Biomes!M$1&amp;", ","")&amp;
IF(COUNTIF(Biomes!N$2:N$259,"="&amp;$C88)&gt;0,Biomes!N$1&amp;", ","")&amp;
IF(COUNTIF(Biomes!O$2:O$259,"="&amp;$C88)&gt;0,Biomes!O$1&amp;", ","")&amp;
IF(COUNTIF(Biomes!P$2:P$259,"="&amp;$C88)&gt;0,Biomes!P$1&amp;", ","")&amp;
IF(COUNTIF(Biomes!K$2:K$259,"="&amp;$C88)&gt;0,Biomes!K$1&amp;", ","")&amp;
IF(COUNTIF(Biomes!Q$3:Q$259,"="&amp;$C88)&gt;0,Biomes!Q$1&amp;", ","")&amp;
IF(COUNTIF(Biomes!L$2:L$259,"="&amp;$C88)&gt;0,Biomes!L$1&amp;", ","")&amp;
IF(COUNTIF(Biomes!E$2:E$259,"="&amp;$C88)&gt;0,Biomes!E$1&amp;", ","")&amp;IF(COUNTIF(Biomes!S$2:S$259,"="&amp;$C88)&gt;0,Biomes!S$1&amp;", ","")&amp;
IF(COUNTIF(Biomes!R$2:R$259,"="&amp;$C88)&gt;0,Biomes!R$1&amp;", ",""),", ","")
),_xlfn.XLOOKUP(B88,B:B,BX:BX))</f>
        <v>SeaIce IceSheet Tundra</v>
      </c>
      <c r="BY88" s="25" t="str">
        <f>IF(_xlfn.XLOOKUP(B88,'Base stats'!B:B,'Base stats'!AJ:AJ)=1,"true","false")</f>
        <v>true</v>
      </c>
      <c r="BZ88" s="25">
        <f>IF(_xlfn.XLOOKUP(B88,'Base stats'!B:B,'Base stats'!N:N)=1,"No",MAX(0.001,MIN(MROUND(IF(AND(BJ88="True",CC88="False"),POWER(10,3.47*LOG10(_xlfn.XLOOKUP(B88,'Base stats'!B:B,'Base stats'!C:C)*1000)^-0.96),POWER(10,4.15*LOG10(_xlfn.XLOOKUP(B88,'Base stats'!B:B,'Base stats'!C:C)*1000)^-0.73))*IF(_xlfn.XLOOKUP(B88,'Base stats'!B:B,'Base stats'!AK:AK)=1,0.5,1)*IF(_xlfn.XLOOKUP(B88,'Base stats'!B:B,'Base stats'!AM:AM)=1,0.1,1)/100,IF(_xlfn.XLOOKUP(B88,'Base stats'!B:B,'Base stats'!AM:AM)=1,0.001,0.025)),0.5)))</f>
        <v>0.125</v>
      </c>
      <c r="CA88" s="25" t="str">
        <f>IF(P88="Standard","No",MAX(0.001,MIN(MROUND(IF(AND(BJ88="True",CC88="False"),POWER(10,3.47*LOG10(_xlfn.XLOOKUP(B88,'Base stats'!B:B,'Base stats'!C:C)*1000)^-0.96),POWER(10,4.15*LOG10(_xlfn.XLOOKUP(B88,'Base stats'!B:B,'Base stats'!C:C)*1000)^-0.73))*IF(_xlfn.XLOOKUP(B88,'Base stats'!B:B,'Base stats'!AM:AM)=1,0.1,1)*_xlfn.XLOOKUP(B88,'Base stats'!B:B,'Base stats'!R:R)/100,IF(_xlfn.XLOOKUP(B88,'Base stats'!B:B,'Base stats'!AM:AM)=1,0.001,0.025)),0.5)))</f>
        <v>No</v>
      </c>
      <c r="CB88" s="25" t="str">
        <f>IF(_xlfn.XLOOKUP(_xlfn.XLOOKUP(B88,'Base stats'!B:B,'Base stats'!E:E),Groups!A:A,Groups!AJ:AJ)="Mammal","True","False")</f>
        <v>True</v>
      </c>
      <c r="CC88" s="25" t="str">
        <f>IF(OR(_xlfn.XLOOKUP(_xlfn.XLOOKUP(B88,'Base stats'!B:B,'Base stats'!E:E),Groups!A:A,Groups!AJ:AJ)="Reptile",_xlfn.XLOOKUP(_xlfn.XLOOKUP(B88,'Base stats'!B:B,'Base stats'!E:E),Groups!A:A,Groups!AJ:AJ)="Amphibian",_xlfn.XLOOKUP(_xlfn.XLOOKUP(B88,'Base stats'!B:B,'Base stats'!E:E),Groups!A:A,Groups!AJ:AJ)="Invertebrate"),"True","False")</f>
        <v>False</v>
      </c>
      <c r="CD88" s="25" t="str">
        <f t="shared" si="13"/>
        <v>False</v>
      </c>
      <c r="CE88" s="25" t="str">
        <f>IF(_xlfn.XLOOKUP(_xlfn.XLOOKUP(B88,'Base stats'!B:B,'Base stats'!E:E),Groups!A:A,Groups!AX:AX),"True","False")</f>
        <v>False</v>
      </c>
      <c r="CF88" s="25" t="str">
        <f>IF(_xlfn.XLOOKUP(_xlfn.XLOOKUP(B88,'Base stats'!B:B,'Base stats'!E:E),Groups!A:A,Groups!AY:AY),"True","False")</f>
        <v>False</v>
      </c>
      <c r="CG88" s="25" t="str">
        <f>IF(_xlfn.XLOOKUP(_xlfn.XLOOKUP(B88,'Base stats'!B:B,'Base stats'!E:E),Groups!A:A,Groups!AW:AW),"True","False")</f>
        <v>False</v>
      </c>
      <c r="CH88" s="25" t="str">
        <f>IF(
OR(
_xlfn.XLOOKUP(_xlfn.XLOOKUP(B88,'Base stats'!B:B,'Base stats'!E:E),Groups!A:A,Groups!AZ:AZ)=0,
AND(
_xlfn.XLOOKUP(B88,'Base stats'!B:B,'Base stats'!Y:Y)&lt;&gt;"Carnivore",
_xlfn.XLOOKUP(B88,'Base stats'!B:B,'Base stats'!Y:Y)&lt;&gt;"Omnivore",
_xlfn.XLOOKUP(B88,'Base stats'!B:B,'Base stats'!Y:Y)&lt;&gt;"OmnivoreRough"
)
),
"No",
IF(
_xlfn.XLOOKUP(_xlfn.XLOOKUP(B88,'Base stats'!B:B,'Base stats'!E:E),Groups!A:A,Groups!AZ:AZ)=1,
"Flesh",
IF(
_xlfn.XLOOKUP(_xlfn.XLOOKUP(B88,'Base stats'!B:B,'Base stats'!E:E),Groups!A:A,Groups!AZ:AZ)=2,
"Bone",
""
)
)
)</f>
        <v>No</v>
      </c>
      <c r="CI88" s="25" t="str">
        <f>IF(_xlfn.XLOOKUP(_xlfn.XLOOKUP(B88,'Base stats'!B:B,'Base stats'!E:E),Groups!A:A,Groups!BB:BB),"True","False")</f>
        <v>True</v>
      </c>
      <c r="CJ88" s="25" t="str">
        <f>IF(_xlfn.XLOOKUP(_xlfn.XLOOKUP(B88,'Base stats'!B:B,'Base stats'!E:E),Groups!A:A,Groups!BA:BA),"True","False")</f>
        <v>False</v>
      </c>
    </row>
    <row r="89" spans="1:88" ht="16.5" thickTop="1" thickBot="1" x14ac:dyDescent="0.3">
      <c r="A89" s="26" t="str">
        <f>_xlfn.XLOOKUP(B89,'Base stats'!B:B,'Base stats'!A:A)</f>
        <v>Gorilla</v>
      </c>
      <c r="B89" s="6" t="s">
        <v>109</v>
      </c>
      <c r="C89" s="28" t="s">
        <v>769</v>
      </c>
      <c r="D89" s="28" t="s">
        <v>870</v>
      </c>
      <c r="E89" s="28" t="s">
        <v>673</v>
      </c>
      <c r="F89" s="28" t="s">
        <v>673</v>
      </c>
      <c r="G89" s="28" t="s">
        <v>673</v>
      </c>
      <c r="H89" s="2">
        <f>MROUND((
  (IF(AND(_xlfn.XLOOKUP(B89,'Base stats'!B:B,'Base stats'!AL:AL)=0,BI89="None",_xlfn.XLOOKUP(_xlfn.XLOOKUP(B89,'Base stats'!B:B,'Base stats'!E:E),Groups!A:A,Groups!B:B)=0), (18 + BR89 * 2.7) * 0.5,
    IF(AND(_xlfn.XLOOKUP(B89,'Base stats'!B:B,'Base stats'!AL:AL)=0,OR(AO89&lt;0.55,AND(BI89="Intermediate",_xlfn.XLOOKUP(_xlfn.XLOOKUP(B89,'Base stats'!B:B,'Base stats'!E:E),Groups!A:A,Groups!B:B)&lt;2))), (18 + BR89 * 2.7),
      IF(OR(BI89="Advanced",_xlfn.XLOOKUP(B89,'Base stats'!B:B,'Base stats'!AL:AL)=1,_xlfn.XLOOKUP(_xlfn.XLOOKUP(B89,'Base stats'!B:B,'Base stats'!E:E),Groups!A:A,Groups!B:B)=2), (18 + BR89 * 2.7) + 250, (18 + BR89 * 2.7))
    )
  ))
  + AO89 * 80
  + IF(COUNTIF(EggMilk!K$2:K$998, A89) &gt; 0, 125, 0)
  + IF(COUNTIF(EggMilk!P$2:P$998, A89) &gt; 0, 90, 0)
  + IF(COUNTIF(EggMilk!A$2:A$998, A89) &gt; 0, 90, 0)
)
* (0.8 + 0.4 * J89)
* 0.75,25)</f>
        <v>625</v>
      </c>
      <c r="I89" s="2">
        <f>MROUND(ROUNDDOWN(_xlfn.XLOOKUP(B89,'Base stats'!B:B,'Base stats'!L:L)/3.6/(23.3/11),1),0.5)</f>
        <v>4</v>
      </c>
      <c r="J89" s="2">
        <f>IF(OR(_xlfn.XLOOKUP(B89,'Base stats'!B:B,'Base stats'!AB:AB)=1,_xlfn.XLOOKUP(_xlfn.XLOOKUP(B89,'Base stats'!B:B,'Base stats'!E:E),Groups!A:A,Groups!C:C)="Untamable"),1,IF(_xlfn.XLOOKUP(B89,'Base stats'!B:B,'Base stats'!AL:AL)=1,0.99,MIN(MROUND((1-0.6282*EXP(-0.459*AO89))*_xlfn.XLOOKUP(_xlfn.XLOOKUP(B89,'Base stats'!B:B,'Base stats'!E:E),Groups!A:A,Groups!C:C)*IF(_xlfn.XLOOKUP(B89,'Base stats'!B:B,'Base stats'!O:O)=1,0.5,IF(_xlfn.XLOOKUP(B89,'Base stats'!B:B,'Base stats'!O:O)=2,0,1)),0.05),IF(AO89&gt;3.5,0.985,0.95))))</f>
        <v>0.9</v>
      </c>
      <c r="K89" s="2">
        <f>ROUNDUP(AO89*_xlfn.XLOOKUP(_xlfn.XLOOKUP(B89,'Base stats'!B:B,'Base stats'!E:E),Groups!A:A,Groups!E:E),0)</f>
        <v>2</v>
      </c>
      <c r="L89" s="2">
        <f>IF(OR(_xlfn.XLOOKUP(_xlfn.XLOOKUP(B89,'Base stats'!B:B,'Base stats'!E:E),Groups!A:A,Groups!F:F)=2,ISNUMBER(SEARCH("SeaIce",BX89)),ISNUMBER(SEARCH("IceSheet",BX89))),-50,IF(OR(ISNUMBER(SEARCH("GlacialPlain",BX89)),ISNUMBER(SEARCH("Tundra",BX89))),-40,IF(OR(ISNUMBER(SEARCH("Alpine",BX89)),ISNUMBER(SEARCH("BorealForest",BX89)),ISNUMBER(SEARCH("ColdBog",BX89))),-30,IF(OR(ISNUMBER(SEARCH("TemperateForest",BX89)),ISNUMBER(SEARCH("TemperateSwamp",BX89))),-20,IF(_xlfn.XLOOKUP(_xlfn.XLOOKUP(B89,'Base stats'!B:B,'Base stats'!E:E),Groups!A:A,Groups!F:F)=1,-15,IF(OR(ISNUMBER(SEARCH("Desert",BX89)),ISNUMBER(SEARCH("ExtremeDesert",BX89))),-10,IF(OR(ISNUMBER(SEARCH("Grasslands",BX89)),ISNUMBER(SEARCH("TropicalRainforest",BX89)),ISNUMBER(SEARCH("TropicalSwamp",BX89))),10,0)))))))-IF(CC89="False",MIN(IFERROR(MAX(MROUND(LOG10(_xlfn.XLOOKUP(B89,'Base stats'!B:B,'Base stats'!C:C)^(2/3))*10,5),5),5),30))-_xlfn.XLOOKUP(B89,'Base stats'!B:B,'Base stats'!P:P)+IF(CC89="True",5,0)</f>
        <v>-5</v>
      </c>
      <c r="M89" s="2">
        <f>IF(OR(_xlfn.XLOOKUP(_xlfn.XLOOKUP(B89,'Base stats'!B:B,'Base stats'!E:E),Groups!A:A,Groups!G:G)=2,ISNUMBER(SEARCH("Desert",BX89)),ISNUMBER(SEARCH("ExtremeDesert",BX89)),ISNUMBER(SEARCH("LavaField",BX89))),50,IF(ISNUMBER(SEARCH("Grasslands",BX89)),45,IF(OR(_xlfn.XLOOKUP(_xlfn.XLOOKUP(B89,'Base stats'!B:B,'Base stats'!E:E),Groups!A:A,Groups!G:G)=1,ISNUMBER(SEARCH("TropicalRainforest",BX89)),ISNUMBER(SEARCH("TropicalSwamp",BX89))),40,IF(OR(ISNUMBER(SEARCH("TemperateForest",BX89)),ISNUMBER(SEARCH("TemperateSwamp",BX89))),35,IF(OR(ISNUMBER(SEARCH("Alpine",BX89)),ISNUMBER(SEARCH("BorealForest",BX89)),ISNUMBER(SEARCH("ColdBog",BX89))),30,IF(ISNUMBER(OR(ISNUMBER(SEARCH("GlacialPlain",BX89)),SEARCH("Tundra",BX89))),25,IF(OR(ISNUMBER(SEARCH("SeaIce",BX89)),ISNUMBER(SEARCH("IceSheet",BX89)),ISNUMBER(SEARCH("TropicalSwamp",BX89))),10,35)))))))+_xlfn.XLOOKUP(B89,'Base stats'!B:B,'Base stats'!Q:Q)</f>
        <v>40</v>
      </c>
      <c r="N89" s="8" t="str">
        <f>IF(
_xlfn.XLOOKUP(
_xlfn.XLOOKUP(B89,'Base stats'!B:B,'Base stats'!E:E),
Groups!A:A,
Groups!L:L
)=1,
MIN(
MROUND(
IF(
_xlfn.XLOOKUP(B89,'Animals CE'!B:B,'Animals CE'!Z:Z)&lt;=1.5,
_xlfn.XLOOKUP(B89,'Animals CE'!B:B,'Animals CE'!Z:Z)/2+0.05,
0.8+
(_xlfn.XLOOKUP(B89,'Animals CE'!B:B,'Animals CE'!Z:Z)-1.5)
*0.02
),
0.05
),
200%
),
"No"
)</f>
        <v>No</v>
      </c>
      <c r="O89" s="8" t="str">
        <f>IF(
_xlfn.XLOOKUP(
_xlfn.XLOOKUP(B89,'Base stats'!B:B,'Base stats'!E:E),
Groups!A:A,
Groups!L:L
)=1,
MIN(
MROUND(
IF(
_xlfn.XLOOKUP(B89,'Animals CE'!B:B,'Animals CE'!AA:AA)&lt;=1.5,
_xlfn.XLOOKUP(B89,'Animals CE'!B:B,'Animals CE'!AA:AA)/2+0.05,
0.8+
(_xlfn.XLOOKUP(B89,'Animals CE'!B:B,'Animals CE'!AA:AA)-1.5)
*0.02
),
0.05
),
200%
),
"No"
)</f>
        <v>No</v>
      </c>
      <c r="P89" s="2" t="str">
        <f>_xlfn.XLOOKUP(B89,'Base stats'!B:B,'Base stats'!R:R)</f>
        <v>Standard</v>
      </c>
      <c r="Q89" s="13">
        <f>MROUND((LOG10(_xlfn.XLOOKUP(B89,'Base stats'!B:B,'Base stats'!AR:AR))*(AO89^0.5)+(_xlfn.XLOOKUP(B89,'Base stats'!B:B,'Base stats'!AR:AR)/1000)^(2/3)+_xlfn.XLOOKUP(B89,'Base stats'!B:B,'Base stats'!BA:BA)/2)+0.5,0.5)</f>
        <v>9.5</v>
      </c>
      <c r="R89" s="7">
        <f>IF(Q89="No","No",MAX(1,MROUND(_xlfn.XLOOKUP(B89,'Base stats'!B:B,'Base stats'!C:C)^0.165,0.05)))</f>
        <v>2.3000000000000003</v>
      </c>
      <c r="S89" s="13" t="str">
        <f>IF(_xlfn.XLOOKUP(_xlfn.XLOOKUP(B89,'Base stats'!B:B,'Base stats'!E:E),Groups!A:A,Groups!P:P)=0,"No",MROUND((LOG10(_xlfn.XLOOKUP(B89,'Base stats'!B:B,'Base stats'!AS:AS))*(AO89^0.5)+(_xlfn.XLOOKUP(B89,'Base stats'!B:B,'Base stats'!AS:AS)/1000)^(2/3)+_xlfn.XLOOKUP(B89,'Base stats'!B:B,'Base stats'!BA:BA))+_xlfn.XLOOKUP(B89,'Base stats'!B:B,'Base stats'!AY:AY)+0.5,0.5))</f>
        <v>No</v>
      </c>
      <c r="T89" s="7" t="str">
        <f>IF(S89="No","No",MAX(_xlfn.XLOOKUP(_xlfn.XLOOKUP(B89,'Base stats'!B:B,'Base stats'!E:E),Groups!A:A,Groups!Q:Q),MROUND(_xlfn.XLOOKUP(_xlfn.XLOOKUP(B89,'Base stats'!B:B,'Base stats'!E:E),Groups!A:A,Groups!Q:Q)*_xlfn.XLOOKUP(B89,'Base stats'!B:B,'Base stats'!C:C)^0.165,0.05)))</f>
        <v>No</v>
      </c>
      <c r="U89" s="7" t="str">
        <f>IF(S89="No","No",_xlfn.XLOOKUP(_xlfn.XLOOKUP(B89,'Base stats'!B:B,'Base stats'!E:E),Groups!A:A,Groups!R:R))</f>
        <v>No</v>
      </c>
      <c r="V89" s="7" t="str">
        <f>IF(S89="No","No",_xlfn.XLOOKUP(_xlfn.XLOOKUP(B89,'Base stats'!B:B,'Base stats'!E:E),Groups!A:A,Groups!S:S))</f>
        <v>No</v>
      </c>
      <c r="W89" s="7" t="str">
        <f>IF(S89="No","No",_xlfn.XLOOKUP(_xlfn.XLOOKUP(B89,'Base stats'!B:B,'Base stats'!E:E),Groups!A:A,Groups!T:T))</f>
        <v>No</v>
      </c>
      <c r="X89" s="13" t="str">
        <f>IF(_xlfn.XLOOKUP(B89,'Base stats'!B:B,'Base stats'!W:W)="No","No",MROUND((LOG10(_xlfn.XLOOKUP(B89,'Base stats'!B:B,'Base stats'!AU:AU))*(AO89^0.5)+(_xlfn.XLOOKUP(B89,'Base stats'!B:B,'Base stats'!AU:AU)/1000)^(2/3)+_xlfn.XLOOKUP(B89,'Base stats'!B:B,'Base stats'!AZ:AZ))+0.5+IF(_xlfn.XLOOKUP(_xlfn.XLOOKUP(B89,'Base stats'!B:B,'Base stats'!E:E),Groups!A:A,Groups!U:U)&lt;&gt;3,_xlfn.XLOOKUP(B89,'Base stats'!B:B,'Base stats'!BA:BA),0),0.5))</f>
        <v>No</v>
      </c>
      <c r="Y89" s="7" t="str">
        <f>IF(X89="No","No",MAX(_xlfn.XLOOKUP(_xlfn.XLOOKUP(B89,'Base stats'!B:B,'Base stats'!E:E),Groups!A:A,Groups!V:V),MROUND(_xlfn.XLOOKUP(_xlfn.XLOOKUP(B89,'Base stats'!B:B,'Base stats'!E:E),Groups!A:A,Groups!V:V)*_xlfn.XLOOKUP(B89,'Base stats'!B:B,'Base stats'!C:C)^0.165,0.05)))</f>
        <v>No</v>
      </c>
      <c r="Z89" s="7" t="str">
        <f>IF(X89="No","No",_xlfn.XLOOKUP(_xlfn.XLOOKUP(B89,'Base stats'!B:B,'Base stats'!E:E),Groups!A:A,Groups!W:W))</f>
        <v>No</v>
      </c>
      <c r="AA89" s="7" t="str">
        <f>IF(X89="No","No",_xlfn.XLOOKUP(_xlfn.XLOOKUP(B89,'Base stats'!B:B,'Base stats'!E:E),Groups!A:A,Groups!X:X))</f>
        <v>No</v>
      </c>
      <c r="AB89" s="7" t="str">
        <f>IF(X89="No","No",_xlfn.XLOOKUP(_xlfn.XLOOKUP(B89,'Base stats'!B:B,'Base stats'!E:E),Groups!A:A,Groups!Y:Y))</f>
        <v>No</v>
      </c>
      <c r="AC89" s="7" t="str">
        <f>_xlfn.XLOOKUP(Animals!B89,'Base stats'!B:B,'Base stats'!X:X)</f>
        <v>False</v>
      </c>
      <c r="AD89" s="13">
        <f>IF(_xlfn.XLOOKUP(B89,'Base stats'!B:B,'Base stats'!AT:AT)="No","No",MROUND((LOG10(_xlfn.XLOOKUP(B89,'Base stats'!B:B,'Base stats'!AT:AT))*(AO89^0.75)+(_xlfn.XLOOKUP(B89,'Base stats'!B:B,'Base stats'!AT:AT)/1000)^(2/3)+_xlfn.XLOOKUP(B89,'Base stats'!B:B,'Base stats'!AX:AX)+_xlfn.XLOOKUP(B89,'Base stats'!B:B,'Base stats'!BA:BA))+0.5,0.5))</f>
        <v>14.5</v>
      </c>
      <c r="AE89" s="7">
        <f>IF(AD89="No","No",MAX(_xlfn.XLOOKUP(_xlfn.XLOOKUP(B89,'Base stats'!B:B,'Base stats'!E:E),Groups!A:A,Groups!Z:Z),MROUND(_xlfn.XLOOKUP(_xlfn.XLOOKUP(B89,'Base stats'!B:B,'Base stats'!E:E),Groups!A:A,Groups!Z:Z)*_xlfn.XLOOKUP(B89,'Base stats'!B:B,'Base stats'!C:C)^0.165,0.05)))</f>
        <v>1.9500000000000002</v>
      </c>
      <c r="AF89" s="7" t="str">
        <f>IF(AD89="No","No",_xlfn.XLOOKUP(_xlfn.XLOOKUP(B89,'Base stats'!B:B,'Base stats'!E:E),Groups!A:A,Groups!AA:AA))</f>
        <v>Teeth</v>
      </c>
      <c r="AG89" s="7" t="str">
        <f>IF(AD89="No","No",_xlfn.XLOOKUP(_xlfn.XLOOKUP(B89,'Base stats'!B:B,'Base stats'!E:E),Groups!A:A,Groups!AB:AB))</f>
        <v>canines</v>
      </c>
      <c r="AH89" s="7" t="str">
        <f>IF(AD89="No","No",_xlfn.XLOOKUP(_xlfn.XLOOKUP(B89,'Base stats'!B:B,'Base stats'!E:E),Groups!A:A,Groups!AC:AC))</f>
        <v>Bite</v>
      </c>
      <c r="AI89" s="13">
        <f>IF(_xlfn.XLOOKUP(_xlfn.XLOOKUP(B89,'Base stats'!B:B,'Base stats'!E:E),Groups!A:A,Groups!AD:AD)=0,"No",MROUND((LOG10(_xlfn.XLOOKUP(B89,'Base stats'!B:B,'Base stats'!AS:AS))*(AO89^0.75)+(_xlfn.XLOOKUP(B89,'Base stats'!B:B,'Base stats'!AS:AS)/1000)^(2/3)+_xlfn.XLOOKUP(B89,'Base stats'!B:B,'Base stats'!AY:AY)+_xlfn.XLOOKUP(B89,'Base stats'!B:B,'Base stats'!BA:BA))+0.5,0.5))</f>
        <v>12.5</v>
      </c>
      <c r="AJ89" s="7">
        <f>IF(AI89="No","No",MAX(_xlfn.XLOOKUP(_xlfn.XLOOKUP(B89,'Base stats'!B:B,'Base stats'!E:E),Groups!A:A,Groups!AE:AE),MROUND(_xlfn.XLOOKUP(_xlfn.XLOOKUP(B89,'Base stats'!B:B,'Base stats'!E:E),Groups!A:A,Groups!AE:AE)*IF(_xlfn.XLOOKUP(_xlfn.XLOOKUP(B89,'Base stats'!B:B,'Base stats'!E:E),Groups!A:A,Groups!AJ:AJ)="Photonozoa",0.6,1)*_xlfn.XLOOKUP(B89,'Base stats'!B:B,'Base stats'!C:C)^0.165,0.05)))</f>
        <v>1.5</v>
      </c>
      <c r="AK89" s="7" t="str">
        <f>IF(AI89="No","No",_xlfn.XLOOKUP(_xlfn.XLOOKUP(B89,'Base stats'!B:B,'Base stats'!E:E),Groups!A:A,Groups!AF:AF))</f>
        <v>LeftHand, RightHand</v>
      </c>
      <c r="AL89" s="7" t="str">
        <f>IF(AI89="No","No",_xlfn.XLOOKUP(_xlfn.XLOOKUP(B89,'Base stats'!B:B,'Base stats'!E:E),Groups!A:A,Groups!AG:AG))</f>
        <v>left fist, right fist</v>
      </c>
      <c r="AM89" s="7" t="str">
        <f>IF(AI89="No","No",_xlfn.XLOOKUP(_xlfn.XLOOKUP(B89,'Base stats'!B:B,'Base stats'!E:E),Groups!A:A,Groups!AH:AH))</f>
        <v>Blunt</v>
      </c>
      <c r="AN89" s="2" t="str">
        <f t="shared" si="7"/>
        <v>No</v>
      </c>
      <c r="AO89" s="2">
        <f>MROUND(IF(AND(_xlfn.XLOOKUP(B89,'Base stats'!B:B,'Base stats'!C:C)&gt;=0.5,_xlfn.XLOOKUP(B89,'Base stats'!B:B,'Base stats'!C:C)&lt;=0.8),
IF(_xlfn.XLOOKUP(B89,'Base stats'!B:B,'Base stats'!C:C)&lt;0.1,0.05,IF(_xlfn.XLOOKUP(B89,'Base stats'!B:B,'Base stats'!C:C)&lt;=70,(_xlfn.XLOOKUP(B89,'Base stats'!B:B,'Base stats'!C:C)/70)^0.426489913056526,IF(_xlfn.XLOOKUP(B89,'Base stats'!B:B,'Base stats'!C:C)&lt;=400,(_xlfn.XLOOKUP(B89,'Base stats'!B:B,'Base stats'!C:C)/70)^0.572811455315093,IF(_xlfn.XLOOKUP(B89,'Base stats'!B:B,'Base stats'!C:C)&lt;=2000,2.71391647193063*(_xlfn.XLOOKUP(B89,'Base stats'!B:B,'Base stats'!C:C)/400)^0.252459582904293,3.74314280240376*(_xlfn.XLOOKUP(B89,'Base stats'!B:B,'Base stats'!C:C)/2000)^0.357012633876913)))),
IF(_xlfn.XLOOKUP(B89,'Base stats'!B:B,'Base stats'!C:C)&lt;0.1,0.05,IF(_xlfn.XLOOKUP(B89,'Base stats'!B:B,'Base stats'!C:C)&lt;0.4,0.1,IF(_xlfn.XLOOKUP(B89,'Base stats'!B:B,'Base stats'!C:C)&lt;=70,(_xlfn.XLOOKUP(B89,'Base stats'!B:B,'Base stats'!C:C)/70)^0.445823913056526,IF(_xlfn.XLOOKUP(B89,'Base stats'!B:B,'Base stats'!C:C)&lt;=400,(_xlfn.XLOOKUP(B89,'Base stats'!B:B,'Base stats'!C:C)/70)^0.572811455315093,IF(_xlfn.XLOOKUP(B89,'Base stats'!B:B,'Base stats'!C:C)&lt;=2000,2.71391647193063*(_xlfn.XLOOKUP(B89,'Base stats'!B:B,'Base stats'!C:C)/400)^0.252459582904293,3.74314280240376*(_xlfn.XLOOKUP(B89,'Base stats'!B:B,'Base stats'!C:C)/2000)^0.357012633876913)))))),
IF(_xlfn.XLOOKUP(B89,'Base stats'!B:B,'Base stats'!C:C)&lt;0.1,0.05,IF(_xlfn.XLOOKUP(B89,'Base stats'!B:B,'Base stats'!C:C)&lt;=100,0.05,IF(_xlfn.XLOOKUP(B89,'Base stats'!B:B,'Base stats'!C:C)&lt;=250,0.1,IF(_xlfn.XLOOKUP(B89,'Base stats'!B:B,'Base stats'!C:C)&lt;=4000,0.25,0.5)))))</f>
        <v>1.5</v>
      </c>
      <c r="AP89" s="8">
        <f>MROUND(AO89*_xlfn.XLOOKUP(_xlfn.XLOOKUP(B89,'Base stats'!B:B,'Base stats'!E:E),Groups!A:A,Groups!AI:AI)*_xlfn.XLOOKUP(B89,'Base stats'!B:B,'Base stats'!Z:Z),0.05)</f>
        <v>1.5</v>
      </c>
      <c r="AQ89" s="8">
        <f>MAX(0.01,MROUND(IF(CC89="True",0.196*(AO89*100*1000)^0.889,IF(_xlfn.XLOOKUP(_xlfn.XLOOKUP(B89,'Base stats'!B:B,'Base stats'!E:E),Groups!A:A,Groups!AJ:AJ)="Bird",10.5*(AO89*100*1000)^0.681,4.82*(AO89*100*1000)^0.734))/(4.82*(1*100*1000)^0.734)/IF(AO89&lt;3.5,2,IF(AO89=3.5,1.5,1.25))*(1+0.132282374779864/(AO89^0.994035016789033+0.00905238001496948)),0.05))</f>
        <v>0.75</v>
      </c>
      <c r="AR89" s="9">
        <f>IFERROR(MROUND(_xlfn.XLOOKUP(B89,'Base stats'!B:B,'Base stats'!H:H)/IF(_xlfn.XLOOKUP(B89,'Base stats'!B:B,'Base stats'!I:I)&lt;&gt;1,(122.5/70),1.2),IF(_xlfn.XLOOKUP(B89,'Base stats'!B:B,'Base stats'!H:H)&gt;=30,5,IF(_xlfn.XLOOKUP(B89,'Base stats'!B:B,'Base stats'!H:H)&gt;=15,3,IF(_xlfn.XLOOKUP(B89,'Base stats'!B:B,'Base stats'!H:H)&gt;=10,2,1)))),"Immortal")</f>
        <v>50</v>
      </c>
      <c r="AS89" s="35">
        <f>IFERROR(IF(OR(_xlfn.XLOOKUP(B89,'Base stats'!B:B,'Base stats'!F:F)="Atypical reproduction",_xlfn.XLOOKUP(B89,'Base stats'!B:B,'Base stats'!F:F)="Lay eggs"),"Lay eggs",MIN(20,MAX(5.5,ROUND(((_xlfn.XLOOKUP(B89,'Base stats'!B:B,'Base stats'!F:F)-25)*(14.5/615) + 5.5)*2,0)/2))),"Unknown")</f>
        <v>11</v>
      </c>
      <c r="AT89" s="8">
        <f>IF(_xlfn.XLOOKUP(B89,'Base stats'!B:B,'Base stats'!G:G)="Atypical reproduction","No",IFERROR(MAX(IF(_xlfn.XLOOKUP(B89,'Base stats'!B:B,'Base stats'!G:G)&lt;0.5,0.2,0.3),MROUND(_xlfn.XLOOKUP(B89,'Base stats'!B:B,'Base stats'!G:G)/(365/60),0.2)),"Unknown"))</f>
        <v>1.2000000000000002</v>
      </c>
      <c r="AU89" s="8">
        <f t="shared" si="8"/>
        <v>0.60000000000000009</v>
      </c>
      <c r="AV89" s="8">
        <f>IFERROR(IFERROR(MROUND(_xlfn.XLOOKUP(B89,'Base stats'!B:B,'Base stats'!J:J),0.1),"Lay eggs"),"Cannot breed")</f>
        <v>1</v>
      </c>
      <c r="AW89" s="2" t="str">
        <f t="shared" si="9"/>
        <v>true</v>
      </c>
      <c r="AX89" s="2" t="str">
        <f>IF(_xlfn.XLOOKUP(_xlfn.XLOOKUP(Animals!B89,'Base stats'!B:B,'Base stats'!E:E),Groups!A:A,Groups!AK:AK)=1,"true","false")</f>
        <v>false</v>
      </c>
      <c r="AY89" s="25" t="str">
        <f>IF(_xlfn.XLOOKUP(B89,'Base stats'!B:B,'Base stats'!Y:Y)="Liquor","Liquor, CarnivoreAnimalStrict",IF(AND(_xlfn.XLOOKUP(B89,'Base stats'!B:B,'Base stats'!Y:Y)="Carnivore",_xlfn.XLOOKUP(_xlfn.XLOOKUP(B89,'Base stats'!B:B,'Base stats'!E:E),Groups!A:A,Groups!AJ:AJ)="Photonozoa"),"CarnivoreAnimalStrict, OvivoreAnimal",IF(_xlfn.XLOOKUP(B89,'Base stats'!B:B,'Base stats'!Y:Y)="Carnivore","CarnivoreAnimal, OvivoreAnimal",IF(_xlfn.XLOOKUP(B89,'Base stats'!B:B,'Base stats'!Y:Y)="Dendrovore","VegetarianRoughAnimal, DendrovoreAnimal",IF(_xlfn.XLOOKUP(B89,'Base stats'!B:B,'Base stats'!Y:Y)="Herbivore","VegetarianRoughAnimal",IF(_xlfn.XLOOKUP(B89,'Base stats'!B:B,'Base stats'!Y:Y)="OmnivoreRough","OmnivoreRoughAnimal, OvivoreAnimal","OmnivoreAnimal, OvivoreAnimal"))))))</f>
        <v>VegetarianRoughAnimal</v>
      </c>
      <c r="AZ89" s="2" t="str">
        <f>IF(_xlfn.XLOOKUP(_xlfn.XLOOKUP(B89,'Base stats'!B:B,'Base stats'!E:E),Groups!A:A,Groups!D:D)=1,MROUND((1-J89)*5+1,2)*IF(J89&lt;=0.4,2,1),"No")</f>
        <v>No</v>
      </c>
      <c r="BA89" s="2" t="str">
        <f>IF(AND(_xlfn.XLOOKUP(B89,'Base stats'!B:B,'Base stats'!AH:AH)="&lt;li&gt;Seal&lt;/li&gt;",G89="Odyssey"),"&lt;li&gt;AEXP_Seal&lt;/li&gt;",_xlfn.XLOOKUP(B89,'Base stats'!B:B,'Base stats'!AH:AH))</f>
        <v>&lt;li&gt;Monkey&lt;/li&gt;</v>
      </c>
      <c r="BB89" s="2" t="str">
        <f>_xlfn.XLOOKUP(B89,'Base stats'!B:B,'Base stats'!AG:AG)</f>
        <v>Leather_Light</v>
      </c>
      <c r="BC89" s="23" t="str">
        <f>_xlfn.XLOOKUP(_xlfn.XLOOKUP(B89,'Base stats'!B:B,'Base stats'!E:E),Groups!A:A,Groups!AL:AL)</f>
        <v>Ape</v>
      </c>
      <c r="BD89" s="23">
        <f>MIN(1,MROUND(IF(AND(AO89&lt;0.5,_xlfn.XLOOKUP(B89,'Base stats'!B:B,'Base stats'!AA:AA)=0),0,IF(OR(_xlfn.XLOOKUP(Animals!B89,'Base stats'!B:B,'Base stats'!O:O)=2,_xlfn.XLOOKUP(_xlfn.XLOOKUP(B89,'Base stats'!B:B,'Base stats'!E:E),Groups!A:A,Groups!AN:AN)=0),0,_xlfn.XLOOKUP(_xlfn.XLOOKUP(B89,'Base stats'!B:B,'Base stats'!E:E),Groups!A:A,Groups!AN:AN)/IF(_xlfn.XLOOKUP(Animals!B89,'Base stats'!B:B,'Base stats'!O:O)=1,2,1)))+_xlfn.XLOOKUP(B89,'Base stats'!B:B,'Base stats'!AC:AC),0.005))</f>
        <v>2.5000000000000001E-2</v>
      </c>
      <c r="BE89" s="23">
        <f>MIN(1,MROUND(IF(AND(AO89&lt;0.5,_xlfn.XLOOKUP(B89,'Base stats'!B:B,'Base stats'!AA:AA)=0),0,IF(_xlfn.XLOOKUP(_xlfn.XLOOKUP(B89,'Base stats'!B:B,'Base stats'!E:E),Groups!A:A,Groups!AO:AO)=0,0,_xlfn.XLOOKUP(_xlfn.XLOOKUP(B89,'Base stats'!B:B,'Base stats'!E:E),Groups!A:A,Groups!AO:AO)/IF(_xlfn.XLOOKUP(Animals!B89,'Base stats'!B:B,'Base stats'!O:O)=2,3,1)))+_xlfn.XLOOKUP(B89,'Base stats'!B:B,'Base stats'!AD:AD),0.005))</f>
        <v>0.1</v>
      </c>
      <c r="BF89" s="2" t="str">
        <f>IF(J89&gt;0.3,"No",_xlfn.XLOOKUP(_xlfn.XLOOKUP(Animals!B89,'Base stats'!B:B,'Base stats'!E:E),Groups!A:A,Groups!AP:AP))</f>
        <v>No</v>
      </c>
      <c r="BG89" s="2" t="str">
        <f>IF(AND(J89&lt;=0.65,_xlfn.XLOOKUP(_xlfn.XLOOKUP(Animals!B89,'Base stats'!B:B,'Base stats'!E:E),Groups!A:A,Groups!AP:AP)&lt;&gt;"No",_xlfn.XLOOKUP(_xlfn.XLOOKUP(B89,'Base stats'!B:B,'Base stats'!E:E),Groups!A:A,Groups!D:D)=0),MROUND((80/3)*IF(_xlfn.XLOOKUP(B89,'Base stats'!B:B,'Base stats'!O:O)=2,0.2,AO89) + 24*(1-IF(BF89="No",0,BF89)) + 16/3, 12),"No")</f>
        <v>No</v>
      </c>
      <c r="BH89" s="2">
        <f>IF(AND(_xlfn.XLOOKUP(_xlfn.XLOOKUP(B89,'Base stats'!B:B,'Base stats'!E:E),Groups!A:A,Groups!AQ:AQ)=1,AO89&lt;=0.35),8,12)</f>
        <v>12</v>
      </c>
      <c r="BI89" s="2" t="str">
        <f>IF(_xlfn.XLOOKUP(_xlfn.XLOOKUP(B89,'Base stats'!B:B,'Base stats'!E:E),Groups!A:A,Groups!D:D)=0,_xlfn.XLOOKUP(_xlfn.XLOOKUP(B89,'Base stats'!B:B,'Base stats'!E:E),Groups!A:A,Groups!AR:AR),"None")</f>
        <v>Advanced</v>
      </c>
      <c r="BJ89" s="2" t="str">
        <f>IF(AND(_xlfn.XLOOKUP(_xlfn.XLOOKUP(B89,'Base stats'!B:B,'Base stats'!E:E),Groups!A:A,Groups!AS:AS)=1,OR(_xlfn.XLOOKUP(B89,'Base stats'!B:B,'Base stats'!Y:Y)="Carnivore",_xlfn.XLOOKUP(B89,'Base stats'!B:B,'Base stats'!Y:Y)="Omnivore")),"true","false")</f>
        <v>false</v>
      </c>
      <c r="BK89" s="2" t="str">
        <f>IF(BJ89="true",MROUND(IF(AND(AO89&gt;0.5,OR(_xlfn.XLOOKUP(_xlfn.XLOOKUP(B89,'Base stats'!B:B,'Base stats'!E:E),Groups!A:A,Groups!AJ:AJ)="Photonozoa",_xlfn.XLOOKUP(_xlfn.XLOOKUP(B89,'Base stats'!B:B,'Base stats'!E:E),Groups!A:A,Groups!AJ:AJ)="Mammal")),Animals!AO89*1.75*IF(AW89="true",1.5,1),IF(AO89&lt;0.5,Animals!AO89*0.5,Animals!AO89)),IF(AO89&gt;2,0.5,IF(AO89&gt;0.5,0.25,0.1))),"No")</f>
        <v>No</v>
      </c>
      <c r="BL89" s="2">
        <f t="shared" si="10"/>
        <v>1</v>
      </c>
      <c r="BM89" s="25" t="str">
        <f>IF(_xlfn.XLOOKUP(B89,'Base stats'!B:B,'Base stats'!AN:AN)="Standard","No",MROUND((_xlfn.XLOOKUP(B89,'Base stats'!B:B,'Base stats'!AN:AN)/3.6)/I89,0.1))</f>
        <v>No</v>
      </c>
      <c r="BN89" s="25" t="str">
        <f t="shared" si="11"/>
        <v>false</v>
      </c>
      <c r="BO89" s="25" t="str">
        <f>IF(AND(OR(_xlfn.XLOOKUP(B89,'Base stats'!B:B,'Base stats'!Y:Y)="Carnivore",_xlfn.XLOOKUP(B89,'Base stats'!B:B,'Base stats'!Y:Y)="Omnivore",_xlfn.XLOOKUP(B89,'Base stats'!B:B,'Base stats'!Y:Y)="OmnivoreRough"),_xlfn.XLOOKUP(_xlfn.XLOOKUP(B89,'Base stats'!B:B,'Base stats'!E:E),Groups!A:A,Groups!AT:AT)=1),"true","false")</f>
        <v>false</v>
      </c>
      <c r="BP89" s="25" t="str" cm="1">
        <f t="array" ref="BP89">IF(
  _xlfn.TEXTJOIN(", ",TRUE,
    IF(AND(BJ89="true",AO89&gt;0.5,BI89&lt;&gt;"None"),"AttackTarget",""),
    IF(AND(_xlfn.XLOOKUP(_xlfn.XLOOKUP(B89,'Base stats'!B:B,'Base stats'!E:E),Groups!A:A,Groups!AJ:AJ="Mammal"),OR(_xlfn.XLOOKUP(B89,'Base stats'!B:B,'Base stats'!Y:Y)="Omnivore",_xlfn.XLOOKUP(B89,'Base stats'!B:B,'Base stats'!Y:Y)="OmnivoreRough")),"Forage",""),
    IF(BG89&lt;=36,"Comfort",""),
    IF(_xlfn.XLOOKUP(B89,'Base stats'!B:B,'Base stats'!AE:AE)&lt;&gt;"No",_xlfn.XLOOKUP(B89,'Base stats'!B:B,'Base stats'!AE:AE),"")
  ) = "",
  "No",
  _xlfn.TEXTJOIN(", ",TRUE,
    IF(AND(BJ89="true",AO89&gt;0.5,BI89&lt;&gt;"None"),"AttackTarget",""),
    IF(AND(_xlfn.XLOOKUP(_xlfn.XLOOKUP(B89,'Base stats'!B:B,'Base stats'!E:E),Groups!A:A,Groups!AJ:AJ="Mammal"),OR(_xlfn.XLOOKUP(B89,'Base stats'!B:B,'Base stats'!Y:Y)="Omnivore",_xlfn.XLOOKUP(B89,'Base stats'!B:B,'Base stats'!Y:Y)="OmnivoreRough")),"Forage",""),
    IF(BG89&lt;=36,"Comfort",""),
    IF(_xlfn.XLOOKUP(B89,'Base stats'!B:B,'Base stats'!AE:AE)&lt;&gt;"No",_xlfn.XLOOKUP(B89,'Base stats'!B:B,'Base stats'!AE:AE),"")
  )
)</f>
        <v>Forage</v>
      </c>
      <c r="BQ89" s="25" t="str">
        <f>IF(
   AND(
      'Base stats'!AN89="Standard",_xlfn.XLOOKUP(_xlfn.XLOOKUP(B89,'Base stats'!B:B,'Base stats'!E:E),Groups!A:A,Groups!AU:AU)=0,
      OR(
      BO89="True"
      )
   ),
   10,
   IF(
       OR(BM89&lt;&gt;"No",_xlfn.XLOOKUP(_xlfn.XLOOKUP(B89,'Base stats'!B:B,'Base stats'!E:E),Groups!A:A,Groups!AU:AU)=1),
      1,
      "No"
   )
)</f>
        <v>No</v>
      </c>
      <c r="BR89" s="9">
        <f>MROUND((1 + ((0.2*IF(OR(Q89="No",R89="No",R89=0),0,Q89/R89)
+IF(OR(V89="No",S89="No",T89="No"),0,S89/T89*(LEN(V89)-LEN(SUBSTITUTE(V89,",",""))+1))
+IF(OR(X89="No",Y89="No"),0,X89/Y89)
+IF(OR(AD89="No",AE89="No"),0,AD89/AE89)
+IF(OR(AL89="No",AI89="No",AJ89="No"),0,AI89/AJ89*(LEN(AL89)-LEN(SUBSTITUTE(AL89,",",""))+1))
)/(0.2*IF(OR(Q89="No",R89="No",R89=0),0,1)
+IF(OR(V89="No",S89="No",T89="No"),0,LEN(V89)-LEN(SUBSTITUTE(V89,",",""))+1)
+IF(OR(X89="No",Y89="No"),0,1)
+IF(OR(AD89="No",AE89="No"),0,1)
+IF(OR(AL89="No",AI89="No",AJ89="No"),0,LEN(AL89)-LEN(SUBSTITUTE(AL89,",",""))+1))*62%)* 2)*(1 + (AP89 / (IF(_xlfn.XLOOKUP(_xlfn.XLOOKUP(B89,'Base stats'!B:B,'Base stats'!E:E),Groups!A:A,Groups!AJ:AJ)="Photonozoa",0.3,1)) + _xlfn.XLOOKUP(B89,'Base stats'!B:B,'Base stats'!AV:AV) * 1.8) * 2) * 2.5 + 10 + I89 * 2,5)+IF(_xlfn.XLOOKUP(B89,'Base stats'!B:B,'Base stats'!AK:AK)=1,50,0)</f>
        <v>125</v>
      </c>
      <c r="BS89" s="8">
        <f t="shared" si="12"/>
        <v>0.9</v>
      </c>
      <c r="BT89" s="8" t="str">
        <f>_xlfn.XLOOKUP(B89,'Base stats'!B:B,'Base stats'!AF:AF)</f>
        <v>3~10</v>
      </c>
      <c r="BU89" s="2" t="str">
        <f>IF(AND(J89&lt;=0.95,OR(_xlfn.XLOOKUP(B89,'Base stats'!B:B,'Base stats'!AK:AK)=1,_xlfn.XLOOKUP(B89,'Base stats'!B:B,'Base stats'!Y:Y)="Carnivore",_xlfn.XLOOKUP(B89,'Base stats'!B:B,'Base stats'!Y:Y)="Omnivore",BE89&gt;0.1)),"true","false")</f>
        <v>false</v>
      </c>
      <c r="BV89" s="2" t="str">
        <f>IF(_xlfn.XLOOKUP(B89,'Base stats'!B:B,'Base stats'!AI:AI)=1,"true","false")</f>
        <v>false</v>
      </c>
      <c r="BW89" s="25" t="str">
        <f>IF(E89="BaseInsect","AnimalInsect",
IF(J89&gt;0.95,"AnimalExotic",
_xlfn.TEXTJOIN(", ",TRUE,
IF(OR(_xlfn.XLOOKUP(B89,'Base stats'!B:B,'Base stats'!AM:AM)=1,AND(_xlfn.XLOOKUP(B89,'Base stats'!B:B,'Base stats'!O:O)=0,_xlfn.XLOOKUP(_xlfn.XLOOKUP(B89,'Base stats'!B:B,'Base stats'!E:E),Groups!A:A,Groups!B:B)&gt;0)),"AnimalUncommon","AnimalCommon"),
IF(AND(_xlfn.XLOOKUP(B89,'Base stats'!B:B,'Base stats'!O:O)=2,_xlfn.XLOOKUP(_xlfn.XLOOKUP(B89,'Base stats'!B:B,'Base stats'!E:E),Groups!A:A,Groups!D:D)=0),"AnimalPet",IF(AND(_xlfn.XLOOKUP(B89,'Base stats'!B:B,'Base stats'!O:O)&lt;&gt;0,_xlfn.XLOOKUP(_xlfn.XLOOKUP(B89,'Base stats'!B:B,'Base stats'!E:E),Groups!A:A,Groups!D:D)&lt;&gt;0),"AnimalFarm","")),
IF(OR(_xlfn.XLOOKUP(B89,'Base stats'!B:B,'Base stats'!AK:AK)=1,AND(BI89&lt;&gt;"None",BR89&gt;=60),ISNUMBER(SEARCH("Attack target",BP89))),"AnimalFighter","")
)))</f>
        <v>AnimalUncommon, AnimalFighter</v>
      </c>
      <c r="BX89" s="25" t="str">
        <f>IF(G89="None",TRIM(
SUBSTITUTE(
IF(COUNTIF(Biomes!B$2:B$259,"="&amp;$C89)&gt;0,Biomes!B$1&amp;", ","")&amp;
IF(COUNTIF(Biomes!C$2:C$259,"="&amp;$C89)&gt;0,Biomes!C$1&amp;", ","")&amp;
IF(COUNTIF(Biomes!D$2:D$259,"="&amp;$C89)&gt;0,Biomes!D$1&amp;", ","")&amp;
IF(COUNTIF(Biomes!F$2:F$259,"="&amp;$C89)&gt;0,Biomes!F$1&amp;", ","")&amp;
IF(COUNTIF(Biomes!G$2:G$259,"="&amp;$C89)&gt;0,Biomes!G$1&amp;", ","")&amp;
IF(COUNTIF(Biomes!H$2:H$259,"="&amp;$C89)&gt;0,Biomes!H$1&amp;", ","")&amp;
IF(COUNTIF(Biomes!I$2:I$259,"="&amp;$C89)&gt;0,Biomes!I$1&amp;", ","")&amp;
IF(COUNTIF(Biomes!J$2:J$259,"="&amp;$C89)&gt;0,Biomes!J$1&amp;", ","")&amp;
IF(COUNTIF(Biomes!M$2:M$259,"="&amp;$C89)&gt;0,Biomes!M$1&amp;", ","")&amp;
IF(COUNTIF(Biomes!N$2:N$259,"="&amp;$C89)&gt;0,Biomes!N$1&amp;", ","")&amp;
IF(COUNTIF(Biomes!O$2:O$259,"="&amp;$C89)&gt;0,Biomes!O$1&amp;", ","")&amp;
IF(COUNTIF(Biomes!P$2:P$259,"="&amp;$C89)&gt;0,Biomes!P$1&amp;", ","")&amp;
IF(COUNTIF(Biomes!K$2:K$259,"="&amp;$C89)&gt;0,Biomes!K$1&amp;", ","")&amp;
IF(COUNTIF(Biomes!Q$3:Q$259,"="&amp;$C89)&gt;0,Biomes!Q$1&amp;", ","")&amp;
IF(COUNTIF(Biomes!L$2:L$259,"="&amp;$C89)&gt;0,Biomes!L$1&amp;", ","")&amp;
IF(COUNTIF(Biomes!E$2:E$259,"="&amp;$C89)&gt;0,Biomes!E$1&amp;", ","")&amp;IF(COUNTIF(Biomes!S$2:S$259,"="&amp;$C89)&gt;0,Biomes!S$1&amp;", ","")&amp;
IF(COUNTIF(Biomes!R$2:R$259,"="&amp;$C89)&gt;0,Biomes!R$1&amp;", ",""),", ","")
),_xlfn.XLOOKUP(B89,B:B,BX:BX))</f>
        <v>TropicalRainforest TropicalSwamp Glowforest</v>
      </c>
      <c r="BY89" s="25" t="str">
        <f>IF(_xlfn.XLOOKUP(B89,'Base stats'!B:B,'Base stats'!AJ:AJ)=1,"true","false")</f>
        <v>false</v>
      </c>
      <c r="BZ89" s="25">
        <f>IF(_xlfn.XLOOKUP(B89,'Base stats'!B:B,'Base stats'!N:N)=1,"No",MAX(0.001,MIN(MROUND(IF(AND(BJ89="True",CC89="False"),POWER(10,3.47*LOG10(_xlfn.XLOOKUP(B89,'Base stats'!B:B,'Base stats'!C:C)*1000)^-0.96),POWER(10,4.15*LOG10(_xlfn.XLOOKUP(B89,'Base stats'!B:B,'Base stats'!C:C)*1000)^-0.73))*IF(_xlfn.XLOOKUP(B89,'Base stats'!B:B,'Base stats'!AK:AK)=1,0.5,1)*IF(_xlfn.XLOOKUP(B89,'Base stats'!B:B,'Base stats'!AM:AM)=1,0.1,1)/100,IF(_xlfn.XLOOKUP(B89,'Base stats'!B:B,'Base stats'!AM:AM)=1,0.001,0.025)),0.5)))</f>
        <v>0.17500000000000002</v>
      </c>
      <c r="CA89" s="25" t="str">
        <f>IF(P89="Standard","No",MAX(0.001,MIN(MROUND(IF(AND(BJ89="True",CC89="False"),POWER(10,3.47*LOG10(_xlfn.XLOOKUP(B89,'Base stats'!B:B,'Base stats'!C:C)*1000)^-0.96),POWER(10,4.15*LOG10(_xlfn.XLOOKUP(B89,'Base stats'!B:B,'Base stats'!C:C)*1000)^-0.73))*IF(_xlfn.XLOOKUP(B89,'Base stats'!B:B,'Base stats'!AM:AM)=1,0.1,1)*_xlfn.XLOOKUP(B89,'Base stats'!B:B,'Base stats'!R:R)/100,IF(_xlfn.XLOOKUP(B89,'Base stats'!B:B,'Base stats'!AM:AM)=1,0.001,0.025)),0.5)))</f>
        <v>No</v>
      </c>
      <c r="CB89" s="25" t="str">
        <f>IF(_xlfn.XLOOKUP(_xlfn.XLOOKUP(B89,'Base stats'!B:B,'Base stats'!E:E),Groups!A:A,Groups!AJ:AJ)="Mammal","True","False")</f>
        <v>True</v>
      </c>
      <c r="CC89" s="25" t="str">
        <f>IF(OR(_xlfn.XLOOKUP(_xlfn.XLOOKUP(B89,'Base stats'!B:B,'Base stats'!E:E),Groups!A:A,Groups!AJ:AJ)="Reptile",_xlfn.XLOOKUP(_xlfn.XLOOKUP(B89,'Base stats'!B:B,'Base stats'!E:E),Groups!A:A,Groups!AJ:AJ)="Amphibian",_xlfn.XLOOKUP(_xlfn.XLOOKUP(B89,'Base stats'!B:B,'Base stats'!E:E),Groups!A:A,Groups!AJ:AJ)="Invertebrate"),"True","False")</f>
        <v>False</v>
      </c>
      <c r="CD89" s="25" t="str">
        <f t="shared" si="13"/>
        <v>False</v>
      </c>
      <c r="CE89" s="25" t="str">
        <f>IF(_xlfn.XLOOKUP(_xlfn.XLOOKUP(B89,'Base stats'!B:B,'Base stats'!E:E),Groups!A:A,Groups!AX:AX),"True","False")</f>
        <v>False</v>
      </c>
      <c r="CF89" s="25" t="str">
        <f>IF(_xlfn.XLOOKUP(_xlfn.XLOOKUP(B89,'Base stats'!B:B,'Base stats'!E:E),Groups!A:A,Groups!AY:AY),"True","False")</f>
        <v>False</v>
      </c>
      <c r="CG89" s="25" t="str">
        <f>IF(_xlfn.XLOOKUP(_xlfn.XLOOKUP(B89,'Base stats'!B:B,'Base stats'!E:E),Groups!A:A,Groups!AW:AW),"True","False")</f>
        <v>False</v>
      </c>
      <c r="CH89" s="25" t="str">
        <f>IF(
OR(
_xlfn.XLOOKUP(_xlfn.XLOOKUP(B89,'Base stats'!B:B,'Base stats'!E:E),Groups!A:A,Groups!AZ:AZ)=0,
AND(
_xlfn.XLOOKUP(B89,'Base stats'!B:B,'Base stats'!Y:Y)&lt;&gt;"Carnivore",
_xlfn.XLOOKUP(B89,'Base stats'!B:B,'Base stats'!Y:Y)&lt;&gt;"Omnivore",
_xlfn.XLOOKUP(B89,'Base stats'!B:B,'Base stats'!Y:Y)&lt;&gt;"OmnivoreRough"
)
),
"No",
IF(
_xlfn.XLOOKUP(_xlfn.XLOOKUP(B89,'Base stats'!B:B,'Base stats'!E:E),Groups!A:A,Groups!AZ:AZ)=1,
"Flesh",
IF(
_xlfn.XLOOKUP(_xlfn.XLOOKUP(B89,'Base stats'!B:B,'Base stats'!E:E),Groups!A:A,Groups!AZ:AZ)=2,
"Bone",
""
)
)
)</f>
        <v>No</v>
      </c>
      <c r="CI89" s="25" t="str">
        <f>IF(_xlfn.XLOOKUP(_xlfn.XLOOKUP(B89,'Base stats'!B:B,'Base stats'!E:E),Groups!A:A,Groups!BB:BB),"True","False")</f>
        <v>True</v>
      </c>
      <c r="CJ89" s="25" t="str">
        <f>IF(_xlfn.XLOOKUP(_xlfn.XLOOKUP(B89,'Base stats'!B:B,'Base stats'!E:E),Groups!A:A,Groups!BA:BA),"True","False")</f>
        <v>False</v>
      </c>
    </row>
    <row r="90" spans="1:88" ht="16.5" thickTop="1" thickBot="1" x14ac:dyDescent="0.3">
      <c r="A90" s="26" t="str">
        <f>_xlfn.XLOOKUP(B90,'Base stats'!B:B,'Base stats'!A:A)</f>
        <v>MonitorLizard</v>
      </c>
      <c r="B90" s="6" t="s">
        <v>259</v>
      </c>
      <c r="C90" s="28" t="s">
        <v>770</v>
      </c>
      <c r="D90" s="28" t="s">
        <v>870</v>
      </c>
      <c r="E90" s="28" t="s">
        <v>673</v>
      </c>
      <c r="F90" s="28" t="s">
        <v>673</v>
      </c>
      <c r="G90" s="28" t="s">
        <v>673</v>
      </c>
      <c r="H90" s="2">
        <f>MROUND((
  (IF(AND(_xlfn.XLOOKUP(B90,'Base stats'!B:B,'Base stats'!AL:AL)=0,BI90="None",_xlfn.XLOOKUP(_xlfn.XLOOKUP(B90,'Base stats'!B:B,'Base stats'!E:E),Groups!A:A,Groups!B:B)=0), (18 + BR90 * 2.7) * 0.5,
    IF(AND(_xlfn.XLOOKUP(B90,'Base stats'!B:B,'Base stats'!AL:AL)=0,OR(AO90&lt;0.55,AND(BI90="Intermediate",_xlfn.XLOOKUP(_xlfn.XLOOKUP(B90,'Base stats'!B:B,'Base stats'!E:E),Groups!A:A,Groups!B:B)&lt;2))), (18 + BR90 * 2.7),
      IF(OR(BI90="Advanced",_xlfn.XLOOKUP(B90,'Base stats'!B:B,'Base stats'!AL:AL)=1,_xlfn.XLOOKUP(_xlfn.XLOOKUP(B90,'Base stats'!B:B,'Base stats'!E:E),Groups!A:A,Groups!B:B)=2), (18 + BR90 * 2.7) + 250, (18 + BR90 * 2.7))
    )
  ))
  + AO90 * 80
  + IF(COUNTIF(EggMilk!K$2:K$998, A90) &gt; 0, 125, 0)
  + IF(COUNTIF(EggMilk!P$2:P$998, A90) &gt; 0, 90, 0)
  + IF(COUNTIF(EggMilk!A$2:A$998, A90) &gt; 0, 90, 0)
)
* (0.8 + 0.4 * J90)
* 0.75,25)</f>
        <v>425</v>
      </c>
      <c r="I90" s="2">
        <f>MROUND(ROUNDDOWN(_xlfn.XLOOKUP(B90,'Base stats'!B:B,'Base stats'!L:L)/3.6/(23.3/11),1),0.5)</f>
        <v>2.5</v>
      </c>
      <c r="J90" s="2">
        <f>IF(OR(_xlfn.XLOOKUP(B90,'Base stats'!B:B,'Base stats'!AB:AB)=1,_xlfn.XLOOKUP(_xlfn.XLOOKUP(B90,'Base stats'!B:B,'Base stats'!E:E),Groups!A:A,Groups!C:C)="Untamable"),1,IF(_xlfn.XLOOKUP(B90,'Base stats'!B:B,'Base stats'!AL:AL)=1,0.99,MIN(MROUND((1-0.6282*EXP(-0.459*AO90))*_xlfn.XLOOKUP(_xlfn.XLOOKUP(B90,'Base stats'!B:B,'Base stats'!E:E),Groups!A:A,Groups!C:C)*IF(_xlfn.XLOOKUP(B90,'Base stats'!B:B,'Base stats'!O:O)=1,0.5,IF(_xlfn.XLOOKUP(B90,'Base stats'!B:B,'Base stats'!O:O)=2,0,1)),0.05),IF(AO90&gt;3.5,0.985,0.95))))</f>
        <v>0.8</v>
      </c>
      <c r="K90" s="2">
        <f>ROUNDUP(AO90*_xlfn.XLOOKUP(_xlfn.XLOOKUP(B90,'Base stats'!B:B,'Base stats'!E:E),Groups!A:A,Groups!E:E),0)</f>
        <v>2</v>
      </c>
      <c r="L90" s="2">
        <f>IF(OR(_xlfn.XLOOKUP(_xlfn.XLOOKUP(B90,'Base stats'!B:B,'Base stats'!E:E),Groups!A:A,Groups!F:F)=2,ISNUMBER(SEARCH("SeaIce",BX90)),ISNUMBER(SEARCH("IceSheet",BX90))),-50,IF(OR(ISNUMBER(SEARCH("GlacialPlain",BX90)),ISNUMBER(SEARCH("Tundra",BX90))),-40,IF(OR(ISNUMBER(SEARCH("Alpine",BX90)),ISNUMBER(SEARCH("BorealForest",BX90)),ISNUMBER(SEARCH("ColdBog",BX90))),-30,IF(OR(ISNUMBER(SEARCH("TemperateForest",BX90)),ISNUMBER(SEARCH("TemperateSwamp",BX90))),-20,IF(_xlfn.XLOOKUP(_xlfn.XLOOKUP(B90,'Base stats'!B:B,'Base stats'!E:E),Groups!A:A,Groups!F:F)=1,-15,IF(OR(ISNUMBER(SEARCH("Desert",BX90)),ISNUMBER(SEARCH("ExtremeDesert",BX90))),-10,IF(OR(ISNUMBER(SEARCH("Grasslands",BX90)),ISNUMBER(SEARCH("TropicalRainforest",BX90)),ISNUMBER(SEARCH("TropicalSwamp",BX90))),10,0)))))))-IF(CC90="False",MIN(IFERROR(MAX(MROUND(LOG10(_xlfn.XLOOKUP(B90,'Base stats'!B:B,'Base stats'!C:C)^(2/3))*10,5),5),5),30))-_xlfn.XLOOKUP(B90,'Base stats'!B:B,'Base stats'!P:P)+IF(CC90="True",5,0)</f>
        <v>15</v>
      </c>
      <c r="M90" s="2">
        <f>IF(OR(_xlfn.XLOOKUP(_xlfn.XLOOKUP(B90,'Base stats'!B:B,'Base stats'!E:E),Groups!A:A,Groups!G:G)=2,ISNUMBER(SEARCH("Desert",BX90)),ISNUMBER(SEARCH("ExtremeDesert",BX90)),ISNUMBER(SEARCH("LavaField",BX90))),50,IF(ISNUMBER(SEARCH("Grasslands",BX90)),45,IF(OR(_xlfn.XLOOKUP(_xlfn.XLOOKUP(B90,'Base stats'!B:B,'Base stats'!E:E),Groups!A:A,Groups!G:G)=1,ISNUMBER(SEARCH("TropicalRainforest",BX90)),ISNUMBER(SEARCH("TropicalSwamp",BX90))),40,IF(OR(ISNUMBER(SEARCH("TemperateForest",BX90)),ISNUMBER(SEARCH("TemperateSwamp",BX90))),35,IF(OR(ISNUMBER(SEARCH("Alpine",BX90)),ISNUMBER(SEARCH("BorealForest",BX90)),ISNUMBER(SEARCH("ColdBog",BX90))),30,IF(ISNUMBER(OR(ISNUMBER(SEARCH("GlacialPlain",BX90)),SEARCH("Tundra",BX90))),25,IF(OR(ISNUMBER(SEARCH("SeaIce",BX90)),ISNUMBER(SEARCH("IceSheet",BX90)),ISNUMBER(SEARCH("TropicalSwamp",BX90))),10,35)))))))+_xlfn.XLOOKUP(B90,'Base stats'!B:B,'Base stats'!Q:Q)</f>
        <v>50</v>
      </c>
      <c r="N90" s="8" t="str">
        <f>IF(
_xlfn.XLOOKUP(
_xlfn.XLOOKUP(B90,'Base stats'!B:B,'Base stats'!E:E),
Groups!A:A,
Groups!L:L
)=1,
MIN(
MROUND(
IF(
_xlfn.XLOOKUP(B90,'Animals CE'!B:B,'Animals CE'!Z:Z)&lt;=1.5,
_xlfn.XLOOKUP(B90,'Animals CE'!B:B,'Animals CE'!Z:Z)/2+0.05,
0.8+
(_xlfn.XLOOKUP(B90,'Animals CE'!B:B,'Animals CE'!Z:Z)-1.5)
*0.02
),
0.05
),
200%
),
"No"
)</f>
        <v>No</v>
      </c>
      <c r="O90" s="8" t="str">
        <f>IF(
_xlfn.XLOOKUP(
_xlfn.XLOOKUP(B90,'Base stats'!B:B,'Base stats'!E:E),
Groups!A:A,
Groups!L:L
)=1,
MIN(
MROUND(
IF(
_xlfn.XLOOKUP(B90,'Animals CE'!B:B,'Animals CE'!AA:AA)&lt;=1.5,
_xlfn.XLOOKUP(B90,'Animals CE'!B:B,'Animals CE'!AA:AA)/2+0.05,
0.8+
(_xlfn.XLOOKUP(B90,'Animals CE'!B:B,'Animals CE'!AA:AA)-1.5)
*0.02
),
0.05
),
200%
),
"No"
)</f>
        <v>No</v>
      </c>
      <c r="P90" s="2" t="str">
        <f>_xlfn.XLOOKUP(B90,'Base stats'!B:B,'Base stats'!R:R)</f>
        <v>Standard</v>
      </c>
      <c r="Q90" s="13">
        <f>MROUND((LOG10(_xlfn.XLOOKUP(B90,'Base stats'!B:B,'Base stats'!AR:AR))*(AO90^0.5)+(_xlfn.XLOOKUP(B90,'Base stats'!B:B,'Base stats'!AR:AR)/1000)^(2/3)+_xlfn.XLOOKUP(B90,'Base stats'!B:B,'Base stats'!BA:BA)/2)+0.5,0.5)</f>
        <v>8</v>
      </c>
      <c r="R90" s="7">
        <f>IF(Q90="No","No",MAX(1,MROUND(_xlfn.XLOOKUP(B90,'Base stats'!B:B,'Base stats'!C:C)^0.165,0.05)))</f>
        <v>2.1</v>
      </c>
      <c r="S90" s="13" t="str">
        <f>IF(_xlfn.XLOOKUP(_xlfn.XLOOKUP(B90,'Base stats'!B:B,'Base stats'!E:E),Groups!A:A,Groups!P:P)=0,"No",MROUND((LOG10(_xlfn.XLOOKUP(B90,'Base stats'!B:B,'Base stats'!AS:AS))*(AO90^0.5)+(_xlfn.XLOOKUP(B90,'Base stats'!B:B,'Base stats'!AS:AS)/1000)^(2/3)+_xlfn.XLOOKUP(B90,'Base stats'!B:B,'Base stats'!BA:BA))+_xlfn.XLOOKUP(B90,'Base stats'!B:B,'Base stats'!AY:AY)+0.5,0.5))</f>
        <v>No</v>
      </c>
      <c r="T90" s="7" t="str">
        <f>IF(S90="No","No",MAX(_xlfn.XLOOKUP(_xlfn.XLOOKUP(B90,'Base stats'!B:B,'Base stats'!E:E),Groups!A:A,Groups!Q:Q),MROUND(_xlfn.XLOOKUP(_xlfn.XLOOKUP(B90,'Base stats'!B:B,'Base stats'!E:E),Groups!A:A,Groups!Q:Q)*_xlfn.XLOOKUP(B90,'Base stats'!B:B,'Base stats'!C:C)^0.165,0.05)))</f>
        <v>No</v>
      </c>
      <c r="U90" s="7" t="str">
        <f>IF(S90="No","No",_xlfn.XLOOKUP(_xlfn.XLOOKUP(B90,'Base stats'!B:B,'Base stats'!E:E),Groups!A:A,Groups!R:R))</f>
        <v>No</v>
      </c>
      <c r="V90" s="7" t="str">
        <f>IF(S90="No","No",_xlfn.XLOOKUP(_xlfn.XLOOKUP(B90,'Base stats'!B:B,'Base stats'!E:E),Groups!A:A,Groups!S:S))</f>
        <v>No</v>
      </c>
      <c r="W90" s="7" t="str">
        <f>IF(S90="No","No",_xlfn.XLOOKUP(_xlfn.XLOOKUP(B90,'Base stats'!B:B,'Base stats'!E:E),Groups!A:A,Groups!T:T))</f>
        <v>No</v>
      </c>
      <c r="X90" s="13" t="str">
        <f>IF(_xlfn.XLOOKUP(B90,'Base stats'!B:B,'Base stats'!W:W)="No","No",MROUND((LOG10(_xlfn.XLOOKUP(B90,'Base stats'!B:B,'Base stats'!AU:AU))*(AO90^0.5)+(_xlfn.XLOOKUP(B90,'Base stats'!B:B,'Base stats'!AU:AU)/1000)^(2/3)+_xlfn.XLOOKUP(B90,'Base stats'!B:B,'Base stats'!AZ:AZ))+0.5+IF(_xlfn.XLOOKUP(_xlfn.XLOOKUP(B90,'Base stats'!B:B,'Base stats'!E:E),Groups!A:A,Groups!U:U)&lt;&gt;3,_xlfn.XLOOKUP(B90,'Base stats'!B:B,'Base stats'!BA:BA),0),0.5))</f>
        <v>No</v>
      </c>
      <c r="Y90" s="7" t="str">
        <f>IF(X90="No","No",MAX(_xlfn.XLOOKUP(_xlfn.XLOOKUP(B90,'Base stats'!B:B,'Base stats'!E:E),Groups!A:A,Groups!V:V),MROUND(_xlfn.XLOOKUP(_xlfn.XLOOKUP(B90,'Base stats'!B:B,'Base stats'!E:E),Groups!A:A,Groups!V:V)*_xlfn.XLOOKUP(B90,'Base stats'!B:B,'Base stats'!C:C)^0.165,0.05)))</f>
        <v>No</v>
      </c>
      <c r="Z90" s="7" t="str">
        <f>IF(X90="No","No",_xlfn.XLOOKUP(_xlfn.XLOOKUP(B90,'Base stats'!B:B,'Base stats'!E:E),Groups!A:A,Groups!W:W))</f>
        <v>No</v>
      </c>
      <c r="AA90" s="7" t="str">
        <f>IF(X90="No","No",_xlfn.XLOOKUP(_xlfn.XLOOKUP(B90,'Base stats'!B:B,'Base stats'!E:E),Groups!A:A,Groups!X:X))</f>
        <v>No</v>
      </c>
      <c r="AB90" s="7" t="str">
        <f>IF(X90="No","No",_xlfn.XLOOKUP(_xlfn.XLOOKUP(B90,'Base stats'!B:B,'Base stats'!E:E),Groups!A:A,Groups!Y:Y))</f>
        <v>No</v>
      </c>
      <c r="AC90" s="7" t="str">
        <f>_xlfn.XLOOKUP(Animals!B90,'Base stats'!B:B,'Base stats'!X:X)</f>
        <v>False</v>
      </c>
      <c r="AD90" s="13">
        <f>IF(_xlfn.XLOOKUP(B90,'Base stats'!B:B,'Base stats'!AT:AT)="No","No",MROUND((LOG10(_xlfn.XLOOKUP(B90,'Base stats'!B:B,'Base stats'!AT:AT))*(AO90^0.75)+(_xlfn.XLOOKUP(B90,'Base stats'!B:B,'Base stats'!AT:AT)/1000)^(2/3)+_xlfn.XLOOKUP(B90,'Base stats'!B:B,'Base stats'!AX:AX)+_xlfn.XLOOKUP(B90,'Base stats'!B:B,'Base stats'!BA:BA))+0.5,0.5))</f>
        <v>13</v>
      </c>
      <c r="AE90" s="7">
        <f>IF(AD90="No","No",MAX(_xlfn.XLOOKUP(_xlfn.XLOOKUP(B90,'Base stats'!B:B,'Base stats'!E:E),Groups!A:A,Groups!Z:Z),MROUND(_xlfn.XLOOKUP(_xlfn.XLOOKUP(B90,'Base stats'!B:B,'Base stats'!E:E),Groups!A:A,Groups!Z:Z)*_xlfn.XLOOKUP(B90,'Base stats'!B:B,'Base stats'!C:C)^0.165,0.05)))</f>
        <v>1.8</v>
      </c>
      <c r="AF90" s="7" t="str">
        <f>IF(AD90="No","No",_xlfn.XLOOKUP(_xlfn.XLOOKUP(B90,'Base stats'!B:B,'Base stats'!E:E),Groups!A:A,Groups!AA:AA))</f>
        <v>Teeth</v>
      </c>
      <c r="AG90" s="7" t="str">
        <f>IF(AD90="No","No",_xlfn.XLOOKUP(_xlfn.XLOOKUP(B90,'Base stats'!B:B,'Base stats'!E:E),Groups!A:A,Groups!AB:AB))</f>
        <v>teeth</v>
      </c>
      <c r="AH90" s="7" t="str">
        <f>IF(AD90="No","No",_xlfn.XLOOKUP(_xlfn.XLOOKUP(B90,'Base stats'!B:B,'Base stats'!E:E),Groups!A:A,Groups!AC:AC))</f>
        <v>ToxicBite</v>
      </c>
      <c r="AI90" s="13">
        <f>IF(_xlfn.XLOOKUP(_xlfn.XLOOKUP(B90,'Base stats'!B:B,'Base stats'!E:E),Groups!A:A,Groups!AD:AD)=0,"No",MROUND((LOG10(_xlfn.XLOOKUP(B90,'Base stats'!B:B,'Base stats'!AS:AS))*(AO90^0.75)+(_xlfn.XLOOKUP(B90,'Base stats'!B:B,'Base stats'!AS:AS)/1000)^(2/3)+_xlfn.XLOOKUP(B90,'Base stats'!B:B,'Base stats'!AY:AY)+_xlfn.XLOOKUP(B90,'Base stats'!B:B,'Base stats'!BA:BA))+0.5,0.5))</f>
        <v>11</v>
      </c>
      <c r="AJ90" s="7">
        <f>IF(AI90="No","No",MAX(_xlfn.XLOOKUP(_xlfn.XLOOKUP(B90,'Base stats'!B:B,'Base stats'!E:E),Groups!A:A,Groups!AE:AE),MROUND(_xlfn.XLOOKUP(_xlfn.XLOOKUP(B90,'Base stats'!B:B,'Base stats'!E:E),Groups!A:A,Groups!AE:AE)*IF(_xlfn.XLOOKUP(_xlfn.XLOOKUP(B90,'Base stats'!B:B,'Base stats'!E:E),Groups!A:A,Groups!AJ:AJ)="Photonozoa",0.6,1)*_xlfn.XLOOKUP(B90,'Base stats'!B:B,'Base stats'!C:C)^0.165,0.05)))</f>
        <v>1.4500000000000002</v>
      </c>
      <c r="AK90" s="7" t="str">
        <f>IF(AI90="No","No",_xlfn.XLOOKUP(_xlfn.XLOOKUP(B90,'Base stats'!B:B,'Base stats'!E:E),Groups!A:A,Groups!AF:AF))</f>
        <v>FrontLeftClaws, FrontRightClaws</v>
      </c>
      <c r="AL90" s="7" t="str">
        <f>IF(AI90="No","No",_xlfn.XLOOKUP(_xlfn.XLOOKUP(B90,'Base stats'!B:B,'Base stats'!E:E),Groups!A:A,Groups!AG:AG))</f>
        <v>left claw, right claw</v>
      </c>
      <c r="AM90" s="7" t="str">
        <f>IF(AI90="No","No",_xlfn.XLOOKUP(_xlfn.XLOOKUP(B90,'Base stats'!B:B,'Base stats'!E:E),Groups!A:A,Groups!AH:AH))</f>
        <v>Scratch</v>
      </c>
      <c r="AN90" s="2">
        <f t="shared" si="7"/>
        <v>20</v>
      </c>
      <c r="AO90" s="2">
        <f>MROUND(IF(AND(_xlfn.XLOOKUP(B90,'Base stats'!B:B,'Base stats'!C:C)&gt;=0.5,_xlfn.XLOOKUP(B90,'Base stats'!B:B,'Base stats'!C:C)&lt;=0.8),
IF(_xlfn.XLOOKUP(B90,'Base stats'!B:B,'Base stats'!C:C)&lt;0.1,0.05,IF(_xlfn.XLOOKUP(B90,'Base stats'!B:B,'Base stats'!C:C)&lt;=70,(_xlfn.XLOOKUP(B90,'Base stats'!B:B,'Base stats'!C:C)/70)^0.426489913056526,IF(_xlfn.XLOOKUP(B90,'Base stats'!B:B,'Base stats'!C:C)&lt;=400,(_xlfn.XLOOKUP(B90,'Base stats'!B:B,'Base stats'!C:C)/70)^0.572811455315093,IF(_xlfn.XLOOKUP(B90,'Base stats'!B:B,'Base stats'!C:C)&lt;=2000,2.71391647193063*(_xlfn.XLOOKUP(B90,'Base stats'!B:B,'Base stats'!C:C)/400)^0.252459582904293,3.74314280240376*(_xlfn.XLOOKUP(B90,'Base stats'!B:B,'Base stats'!C:C)/2000)^0.357012633876913)))),
IF(_xlfn.XLOOKUP(B90,'Base stats'!B:B,'Base stats'!C:C)&lt;0.1,0.05,IF(_xlfn.XLOOKUP(B90,'Base stats'!B:B,'Base stats'!C:C)&lt;0.4,0.1,IF(_xlfn.XLOOKUP(B90,'Base stats'!B:B,'Base stats'!C:C)&lt;=70,(_xlfn.XLOOKUP(B90,'Base stats'!B:B,'Base stats'!C:C)/70)^0.445823913056526,IF(_xlfn.XLOOKUP(B90,'Base stats'!B:B,'Base stats'!C:C)&lt;=400,(_xlfn.XLOOKUP(B90,'Base stats'!B:B,'Base stats'!C:C)/70)^0.572811455315093,IF(_xlfn.XLOOKUP(B90,'Base stats'!B:B,'Base stats'!C:C)&lt;=2000,2.71391647193063*(_xlfn.XLOOKUP(B90,'Base stats'!B:B,'Base stats'!C:C)/400)^0.252459582904293,3.74314280240376*(_xlfn.XLOOKUP(B90,'Base stats'!B:B,'Base stats'!C:C)/2000)^0.357012633876913)))))),
IF(_xlfn.XLOOKUP(B90,'Base stats'!B:B,'Base stats'!C:C)&lt;0.1,0.05,IF(_xlfn.XLOOKUP(B90,'Base stats'!B:B,'Base stats'!C:C)&lt;=100,0.05,IF(_xlfn.XLOOKUP(B90,'Base stats'!B:B,'Base stats'!C:C)&lt;=250,0.1,IF(_xlfn.XLOOKUP(B90,'Base stats'!B:B,'Base stats'!C:C)&lt;=4000,0.25,0.5)))))</f>
        <v>1.1500000000000001</v>
      </c>
      <c r="AP90" s="8">
        <f>MROUND(AO90*_xlfn.XLOOKUP(_xlfn.XLOOKUP(B90,'Base stats'!B:B,'Base stats'!E:E),Groups!A:A,Groups!AI:AI)*_xlfn.XLOOKUP(B90,'Base stats'!B:B,'Base stats'!Z:Z),0.05)</f>
        <v>1.4000000000000001</v>
      </c>
      <c r="AQ90" s="8">
        <f>MAX(0.01,MROUND(IF(CC90="True",0.196*(AO90*100*1000)^0.889,IF(_xlfn.XLOOKUP(_xlfn.XLOOKUP(B90,'Base stats'!B:B,'Base stats'!E:E),Groups!A:A,Groups!AJ:AJ)="Bird",10.5*(AO90*100*1000)^0.681,4.82*(AO90*100*1000)^0.734))/(4.82*(1*100*1000)^0.734)/IF(AO90&lt;3.5,2,IF(AO90=3.5,1.5,1.25))*(1+0.132282374779864/(AO90^0.994035016789033+0.00905238001496948)),0.05))</f>
        <v>0.15000000000000002</v>
      </c>
      <c r="AR90" s="9">
        <f>IFERROR(MROUND(_xlfn.XLOOKUP(B90,'Base stats'!B:B,'Base stats'!H:H)/IF(_xlfn.XLOOKUP(B90,'Base stats'!B:B,'Base stats'!I:I)&lt;&gt;1,(122.5/70),1.2),IF(_xlfn.XLOOKUP(B90,'Base stats'!B:B,'Base stats'!H:H)&gt;=30,5,IF(_xlfn.XLOOKUP(B90,'Base stats'!B:B,'Base stats'!H:H)&gt;=15,3,IF(_xlfn.XLOOKUP(B90,'Base stats'!B:B,'Base stats'!H:H)&gt;=10,2,1)))),"Immortal")</f>
        <v>35</v>
      </c>
      <c r="AS90" s="35" t="str">
        <f>IFERROR(IF(OR(_xlfn.XLOOKUP(B90,'Base stats'!B:B,'Base stats'!F:F)="Atypical reproduction",_xlfn.XLOOKUP(B90,'Base stats'!B:B,'Base stats'!F:F)="Lay eggs"),"Lay eggs",MIN(20,MAX(5.5,ROUND(((_xlfn.XLOOKUP(B90,'Base stats'!B:B,'Base stats'!F:F)-25)*(14.5/615) + 5.5)*2,0)/2))),"Unknown")</f>
        <v>Lay eggs</v>
      </c>
      <c r="AT90" s="8">
        <f>IF(_xlfn.XLOOKUP(B90,'Base stats'!B:B,'Base stats'!G:G)="Atypical reproduction","No",IFERROR(MAX(IF(_xlfn.XLOOKUP(B90,'Base stats'!B:B,'Base stats'!G:G)&lt;0.5,0.2,0.3),MROUND(_xlfn.XLOOKUP(B90,'Base stats'!B:B,'Base stats'!G:G)/(365/60),0.2)),"Unknown"))</f>
        <v>0.8</v>
      </c>
      <c r="AU90" s="8">
        <f t="shared" si="8"/>
        <v>0.4</v>
      </c>
      <c r="AV90" s="8" t="str">
        <f>IFERROR(IFERROR(MROUND(_xlfn.XLOOKUP(B90,'Base stats'!B:B,'Base stats'!J:J),0.1),"Lay eggs"),"Cannot breed")</f>
        <v>Lay eggs</v>
      </c>
      <c r="AW90" s="2" t="str">
        <f t="shared" si="9"/>
        <v>false</v>
      </c>
      <c r="AX90" s="2" t="str">
        <f>IF(_xlfn.XLOOKUP(_xlfn.XLOOKUP(Animals!B90,'Base stats'!B:B,'Base stats'!E:E),Groups!A:A,Groups!AK:AK)=1,"true","false")</f>
        <v>false</v>
      </c>
      <c r="AY90" s="25" t="str">
        <f>IF(_xlfn.XLOOKUP(B90,'Base stats'!B:B,'Base stats'!Y:Y)="Liquor","Liquor, CarnivoreAnimalStrict",IF(AND(_xlfn.XLOOKUP(B90,'Base stats'!B:B,'Base stats'!Y:Y)="Carnivore",_xlfn.XLOOKUP(_xlfn.XLOOKUP(B90,'Base stats'!B:B,'Base stats'!E:E),Groups!A:A,Groups!AJ:AJ)="Photonozoa"),"CarnivoreAnimalStrict, OvivoreAnimal",IF(_xlfn.XLOOKUP(B90,'Base stats'!B:B,'Base stats'!Y:Y)="Carnivore","CarnivoreAnimal, OvivoreAnimal",IF(_xlfn.XLOOKUP(B90,'Base stats'!B:B,'Base stats'!Y:Y)="Dendrovore","VegetarianRoughAnimal, DendrovoreAnimal",IF(_xlfn.XLOOKUP(B90,'Base stats'!B:B,'Base stats'!Y:Y)="Herbivore","VegetarianRoughAnimal",IF(_xlfn.XLOOKUP(B90,'Base stats'!B:B,'Base stats'!Y:Y)="OmnivoreRough","OmnivoreRoughAnimal, OvivoreAnimal","OmnivoreAnimal, OvivoreAnimal"))))))</f>
        <v>CarnivoreAnimal, OvivoreAnimal</v>
      </c>
      <c r="AZ90" s="2" t="str">
        <f>IF(_xlfn.XLOOKUP(_xlfn.XLOOKUP(B90,'Base stats'!B:B,'Base stats'!E:E),Groups!A:A,Groups!D:D)=1,MROUND((1-J90)*5+1,2)*IF(J90&lt;=0.4,2,1),"No")</f>
        <v>No</v>
      </c>
      <c r="BA90" s="2" t="str">
        <f>IF(AND(_xlfn.XLOOKUP(B90,'Base stats'!B:B,'Base stats'!AH:AH)="&lt;li&gt;Seal&lt;/li&gt;",G90="Odyssey"),"&lt;li&gt;AEXP_Seal&lt;/li&gt;",_xlfn.XLOOKUP(B90,'Base stats'!B:B,'Base stats'!AH:AH))</f>
        <v>&lt;li&gt;Iguana&lt;/li&gt;</v>
      </c>
      <c r="BB90" s="2" t="str">
        <f>_xlfn.XLOOKUP(B90,'Base stats'!B:B,'Base stats'!AG:AG)</f>
        <v>Leather_Lizard</v>
      </c>
      <c r="BC90" s="23" t="str">
        <f>_xlfn.XLOOKUP(_xlfn.XLOOKUP(B90,'Base stats'!B:B,'Base stats'!E:E),Groups!A:A,Groups!AL:AL)</f>
        <v>QuadrupedAnimalWithClawsTailAndJowl</v>
      </c>
      <c r="BD90" s="23">
        <f>MIN(1,MROUND(IF(AND(AO90&lt;0.5,_xlfn.XLOOKUP(B90,'Base stats'!B:B,'Base stats'!AA:AA)=0),0,IF(OR(_xlfn.XLOOKUP(Animals!B90,'Base stats'!B:B,'Base stats'!O:O)=2,_xlfn.XLOOKUP(_xlfn.XLOOKUP(B90,'Base stats'!B:B,'Base stats'!E:E),Groups!A:A,Groups!AN:AN)=0),0,_xlfn.XLOOKUP(_xlfn.XLOOKUP(B90,'Base stats'!B:B,'Base stats'!E:E),Groups!A:A,Groups!AN:AN)/IF(_xlfn.XLOOKUP(Animals!B90,'Base stats'!B:B,'Base stats'!O:O)=1,2,1)))+_xlfn.XLOOKUP(B90,'Base stats'!B:B,'Base stats'!AC:AC),0.005))</f>
        <v>0.1</v>
      </c>
      <c r="BE90" s="23">
        <f>MIN(1,MROUND(IF(AND(AO90&lt;0.5,_xlfn.XLOOKUP(B90,'Base stats'!B:B,'Base stats'!AA:AA)=0),0,IF(_xlfn.XLOOKUP(_xlfn.XLOOKUP(B90,'Base stats'!B:B,'Base stats'!E:E),Groups!A:A,Groups!AO:AO)=0,0,_xlfn.XLOOKUP(_xlfn.XLOOKUP(B90,'Base stats'!B:B,'Base stats'!E:E),Groups!A:A,Groups!AO:AO)/IF(_xlfn.XLOOKUP(Animals!B90,'Base stats'!B:B,'Base stats'!O:O)=2,3,1)))+_xlfn.XLOOKUP(B90,'Base stats'!B:B,'Base stats'!AD:AD),0.005))</f>
        <v>0.3</v>
      </c>
      <c r="BF90" s="2" t="str">
        <f>IF(J90&gt;0.3,"No",_xlfn.XLOOKUP(_xlfn.XLOOKUP(Animals!B90,'Base stats'!B:B,'Base stats'!E:E),Groups!A:A,Groups!AP:AP))</f>
        <v>No</v>
      </c>
      <c r="BG90" s="2" t="str">
        <f>IF(AND(J90&lt;=0.65,_xlfn.XLOOKUP(_xlfn.XLOOKUP(Animals!B90,'Base stats'!B:B,'Base stats'!E:E),Groups!A:A,Groups!AP:AP)&lt;&gt;"No",_xlfn.XLOOKUP(_xlfn.XLOOKUP(B90,'Base stats'!B:B,'Base stats'!E:E),Groups!A:A,Groups!D:D)=0),MROUND((80/3)*IF(_xlfn.XLOOKUP(B90,'Base stats'!B:B,'Base stats'!O:O)=2,0.2,AO90) + 24*(1-IF(BF90="No",0,BF90)) + 16/3, 12),"No")</f>
        <v>No</v>
      </c>
      <c r="BH90" s="2">
        <f>IF(AND(_xlfn.XLOOKUP(_xlfn.XLOOKUP(B90,'Base stats'!B:B,'Base stats'!E:E),Groups!A:A,Groups!AQ:AQ)=1,AO90&lt;=0.35),8,12)</f>
        <v>12</v>
      </c>
      <c r="BI90" s="2" t="str">
        <f>IF(_xlfn.XLOOKUP(_xlfn.XLOOKUP(B90,'Base stats'!B:B,'Base stats'!E:E),Groups!A:A,Groups!D:D)=0,_xlfn.XLOOKUP(_xlfn.XLOOKUP(B90,'Base stats'!B:B,'Base stats'!E:E),Groups!A:A,Groups!AR:AR),"None")</f>
        <v>Intermediate</v>
      </c>
      <c r="BJ90" s="2" t="str">
        <f>IF(AND(_xlfn.XLOOKUP(_xlfn.XLOOKUP(B90,'Base stats'!B:B,'Base stats'!E:E),Groups!A:A,Groups!AS:AS)=1,OR(_xlfn.XLOOKUP(B90,'Base stats'!B:B,'Base stats'!Y:Y)="Carnivore",_xlfn.XLOOKUP(B90,'Base stats'!B:B,'Base stats'!Y:Y)="Omnivore")),"true","false")</f>
        <v>true</v>
      </c>
      <c r="BK90" s="2">
        <f>IF(BJ90="true",MROUND(IF(AND(AO90&gt;0.5,OR(_xlfn.XLOOKUP(_xlfn.XLOOKUP(B90,'Base stats'!B:B,'Base stats'!E:E),Groups!A:A,Groups!AJ:AJ)="Photonozoa",_xlfn.XLOOKUP(_xlfn.XLOOKUP(B90,'Base stats'!B:B,'Base stats'!E:E),Groups!A:A,Groups!AJ:AJ)="Mammal")),Animals!AO90*1.75*IF(AW90="true",1.5,1),IF(AO90&lt;0.5,Animals!AO90*0.5,Animals!AO90)),IF(AO90&gt;2,0.5,IF(AO90&gt;0.5,0.25,0.1))),"No")</f>
        <v>1.25</v>
      </c>
      <c r="BL90" s="2">
        <f t="shared" si="10"/>
        <v>1</v>
      </c>
      <c r="BM90" s="25" t="str">
        <f>IF(_xlfn.XLOOKUP(B90,'Base stats'!B:B,'Base stats'!AN:AN)="Standard","No",MROUND((_xlfn.XLOOKUP(B90,'Base stats'!B:B,'Base stats'!AN:AN)/3.6)/I90,0.1))</f>
        <v>No</v>
      </c>
      <c r="BN90" s="25" t="str">
        <f t="shared" si="11"/>
        <v>false</v>
      </c>
      <c r="BO90" s="25" t="str">
        <f>IF(AND(OR(_xlfn.XLOOKUP(B90,'Base stats'!B:B,'Base stats'!Y:Y)="Carnivore",_xlfn.XLOOKUP(B90,'Base stats'!B:B,'Base stats'!Y:Y)="Omnivore",_xlfn.XLOOKUP(B90,'Base stats'!B:B,'Base stats'!Y:Y)="OmnivoreRough"),_xlfn.XLOOKUP(_xlfn.XLOOKUP(B90,'Base stats'!B:B,'Base stats'!E:E),Groups!A:A,Groups!AT:AT)=1),"true","false")</f>
        <v>false</v>
      </c>
      <c r="BP90" s="25" t="str" cm="1">
        <f t="array" ref="BP90">IF(
  _xlfn.TEXTJOIN(", ",TRUE,
    IF(AND(BJ90="true",AO90&gt;0.5,BI90&lt;&gt;"None"),"AttackTarget",""),
    IF(AND(_xlfn.XLOOKUP(_xlfn.XLOOKUP(B90,'Base stats'!B:B,'Base stats'!E:E),Groups!A:A,Groups!AJ:AJ="Mammal"),OR(_xlfn.XLOOKUP(B90,'Base stats'!B:B,'Base stats'!Y:Y)="Omnivore",_xlfn.XLOOKUP(B90,'Base stats'!B:B,'Base stats'!Y:Y)="OmnivoreRough")),"Forage",""),
    IF(BG90&lt;=36,"Comfort",""),
    IF(_xlfn.XLOOKUP(B90,'Base stats'!B:B,'Base stats'!AE:AE)&lt;&gt;"No",_xlfn.XLOOKUP(B90,'Base stats'!B:B,'Base stats'!AE:AE),"")
  ) = "",
  "No",
  _xlfn.TEXTJOIN(", ",TRUE,
    IF(AND(BJ90="true",AO90&gt;0.5,BI90&lt;&gt;"None"),"AttackTarget",""),
    IF(AND(_xlfn.XLOOKUP(_xlfn.XLOOKUP(B90,'Base stats'!B:B,'Base stats'!E:E),Groups!A:A,Groups!AJ:AJ="Mammal"),OR(_xlfn.XLOOKUP(B90,'Base stats'!B:B,'Base stats'!Y:Y)="Omnivore",_xlfn.XLOOKUP(B90,'Base stats'!B:B,'Base stats'!Y:Y)="OmnivoreRough")),"Forage",""),
    IF(BG90&lt;=36,"Comfort",""),
    IF(_xlfn.XLOOKUP(B90,'Base stats'!B:B,'Base stats'!AE:AE)&lt;&gt;"No",_xlfn.XLOOKUP(B90,'Base stats'!B:B,'Base stats'!AE:AE),"")
  )
)</f>
        <v>AttackTarget</v>
      </c>
      <c r="BQ90" s="25" t="str">
        <f>IF(
   AND(
      'Base stats'!AN90="Standard",_xlfn.XLOOKUP(_xlfn.XLOOKUP(B90,'Base stats'!B:B,'Base stats'!E:E),Groups!A:A,Groups!AU:AU)=0,
      OR(
      BO90="True"
      )
   ),
   10,
   IF(
       OR(BM90&lt;&gt;"No",_xlfn.XLOOKUP(_xlfn.XLOOKUP(B90,'Base stats'!B:B,'Base stats'!E:E),Groups!A:A,Groups!AU:AU)=1),
      1,
      "No"
   )
)</f>
        <v>No</v>
      </c>
      <c r="BR90" s="9">
        <f>MROUND((1 + ((0.2*IF(OR(Q90="No",R90="No",R90=0),0,Q90/R90)
+IF(OR(V90="No",S90="No",T90="No"),0,S90/T90*(LEN(V90)-LEN(SUBSTITUTE(V90,",",""))+1))
+IF(OR(X90="No",Y90="No"),0,X90/Y90)
+IF(OR(AD90="No",AE90="No"),0,AD90/AE90)
+IF(OR(AL90="No",AI90="No",AJ90="No"),0,AI90/AJ90*(LEN(AL90)-LEN(SUBSTITUTE(AL90,",",""))+1))
)/(0.2*IF(OR(Q90="No",R90="No",R90=0),0,1)
+IF(OR(V90="No",S90="No",T90="No"),0,LEN(V90)-LEN(SUBSTITUTE(V90,",",""))+1)
+IF(OR(X90="No",Y90="No"),0,1)
+IF(OR(AD90="No",AE90="No"),0,1)
+IF(OR(AL90="No",AI90="No",AJ90="No"),0,LEN(AL90)-LEN(SUBSTITUTE(AL90,",",""))+1))*62%)* 2)*(1 + (AP90 / (IF(_xlfn.XLOOKUP(_xlfn.XLOOKUP(B90,'Base stats'!B:B,'Base stats'!E:E),Groups!A:A,Groups!AJ:AJ)="Photonozoa",0.3,1)) + _xlfn.XLOOKUP(B90,'Base stats'!B:B,'Base stats'!AV:AV) * 1.8) * 2) * 2.5 + 10 + I90 * 2,5)+IF(_xlfn.XLOOKUP(B90,'Base stats'!B:B,'Base stats'!AK:AK)=1,50,0)</f>
        <v>110</v>
      </c>
      <c r="BS90" s="8">
        <f t="shared" si="12"/>
        <v>0.35000000000000003</v>
      </c>
      <c r="BT90" s="8" t="str">
        <f>_xlfn.XLOOKUP(B90,'Base stats'!B:B,'Base stats'!AF:AF)</f>
        <v>No</v>
      </c>
      <c r="BU90" s="2" t="str">
        <f>IF(AND(J90&lt;=0.95,OR(_xlfn.XLOOKUP(B90,'Base stats'!B:B,'Base stats'!AK:AK)=1,_xlfn.XLOOKUP(B90,'Base stats'!B:B,'Base stats'!Y:Y)="Carnivore",_xlfn.XLOOKUP(B90,'Base stats'!B:B,'Base stats'!Y:Y)="Omnivore",BE90&gt;0.1)),"true","false")</f>
        <v>true</v>
      </c>
      <c r="BV90" s="2" t="str">
        <f>IF(_xlfn.XLOOKUP(B90,'Base stats'!B:B,'Base stats'!AI:AI)=1,"true","false")</f>
        <v>false</v>
      </c>
      <c r="BW90" s="25" t="str">
        <f>IF(E90="BaseInsect","AnimalInsect",
IF(J90&gt;0.95,"AnimalExotic",
_xlfn.TEXTJOIN(", ",TRUE,
IF(OR(_xlfn.XLOOKUP(B90,'Base stats'!B:B,'Base stats'!AM:AM)=1,AND(_xlfn.XLOOKUP(B90,'Base stats'!B:B,'Base stats'!O:O)=0,_xlfn.XLOOKUP(_xlfn.XLOOKUP(B90,'Base stats'!B:B,'Base stats'!E:E),Groups!A:A,Groups!B:B)&gt;0)),"AnimalUncommon","AnimalCommon"),
IF(AND(_xlfn.XLOOKUP(B90,'Base stats'!B:B,'Base stats'!O:O)=2,_xlfn.XLOOKUP(_xlfn.XLOOKUP(B90,'Base stats'!B:B,'Base stats'!E:E),Groups!A:A,Groups!D:D)=0),"AnimalPet",IF(AND(_xlfn.XLOOKUP(B90,'Base stats'!B:B,'Base stats'!O:O)&lt;&gt;0,_xlfn.XLOOKUP(_xlfn.XLOOKUP(B90,'Base stats'!B:B,'Base stats'!E:E),Groups!A:A,Groups!D:D)&lt;&gt;0),"AnimalFarm","")),
IF(OR(_xlfn.XLOOKUP(B90,'Base stats'!B:B,'Base stats'!AK:AK)=1,AND(BI90&lt;&gt;"None",BR90&gt;=60),ISNUMBER(SEARCH("Attack target",BP90))),"AnimalFighter","")
)))</f>
        <v>AnimalUncommon, AnimalFighter</v>
      </c>
      <c r="BX90" s="25" t="str">
        <f>IF(G90="None",TRIM(
SUBSTITUTE(
IF(COUNTIF(Biomes!B$2:B$259,"="&amp;$C90)&gt;0,Biomes!B$1&amp;", ","")&amp;
IF(COUNTIF(Biomes!C$2:C$259,"="&amp;$C90)&gt;0,Biomes!C$1&amp;", ","")&amp;
IF(COUNTIF(Biomes!D$2:D$259,"="&amp;$C90)&gt;0,Biomes!D$1&amp;", ","")&amp;
IF(COUNTIF(Biomes!F$2:F$259,"="&amp;$C90)&gt;0,Biomes!F$1&amp;", ","")&amp;
IF(COUNTIF(Biomes!G$2:G$259,"="&amp;$C90)&gt;0,Biomes!G$1&amp;", ","")&amp;
IF(COUNTIF(Biomes!H$2:H$259,"="&amp;$C90)&gt;0,Biomes!H$1&amp;", ","")&amp;
IF(COUNTIF(Biomes!I$2:I$259,"="&amp;$C90)&gt;0,Biomes!I$1&amp;", ","")&amp;
IF(COUNTIF(Biomes!J$2:J$259,"="&amp;$C90)&gt;0,Biomes!J$1&amp;", ","")&amp;
IF(COUNTIF(Biomes!M$2:M$259,"="&amp;$C90)&gt;0,Biomes!M$1&amp;", ","")&amp;
IF(COUNTIF(Biomes!N$2:N$259,"="&amp;$C90)&gt;0,Biomes!N$1&amp;", ","")&amp;
IF(COUNTIF(Biomes!O$2:O$259,"="&amp;$C90)&gt;0,Biomes!O$1&amp;", ","")&amp;
IF(COUNTIF(Biomes!P$2:P$259,"="&amp;$C90)&gt;0,Biomes!P$1&amp;", ","")&amp;
IF(COUNTIF(Biomes!K$2:K$259,"="&amp;$C90)&gt;0,Biomes!K$1&amp;", ","")&amp;
IF(COUNTIF(Biomes!Q$3:Q$259,"="&amp;$C90)&gt;0,Biomes!Q$1&amp;", ","")&amp;
IF(COUNTIF(Biomes!L$2:L$259,"="&amp;$C90)&gt;0,Biomes!L$1&amp;", ","")&amp;
IF(COUNTIF(Biomes!E$2:E$259,"="&amp;$C90)&gt;0,Biomes!E$1&amp;", ","")&amp;IF(COUNTIF(Biomes!S$2:S$259,"="&amp;$C90)&gt;0,Biomes!S$1&amp;", ","")&amp;
IF(COUNTIF(Biomes!R$2:R$259,"="&amp;$C90)&gt;0,Biomes!R$1&amp;", ",""),", ","")
),_xlfn.XLOOKUP(B90,B:B,BX:BX))</f>
        <v>AridShrubland Grasslands LavaField</v>
      </c>
      <c r="BY90" s="25" t="str">
        <f>IF(_xlfn.XLOOKUP(B90,'Base stats'!B:B,'Base stats'!AJ:AJ)=1,"true","false")</f>
        <v>false</v>
      </c>
      <c r="BZ90" s="25">
        <f>IF(_xlfn.XLOOKUP(B90,'Base stats'!B:B,'Base stats'!N:N)=1,"No",MAX(0.001,MIN(MROUND(IF(AND(BJ90="True",CC90="False"),POWER(10,3.47*LOG10(_xlfn.XLOOKUP(B90,'Base stats'!B:B,'Base stats'!C:C)*1000)^-0.96),POWER(10,4.15*LOG10(_xlfn.XLOOKUP(B90,'Base stats'!B:B,'Base stats'!C:C)*1000)^-0.73))*IF(_xlfn.XLOOKUP(B90,'Base stats'!B:B,'Base stats'!AK:AK)=1,0.5,1)*IF(_xlfn.XLOOKUP(B90,'Base stats'!B:B,'Base stats'!AM:AM)=1,0.1,1)/100,IF(_xlfn.XLOOKUP(B90,'Base stats'!B:B,'Base stats'!AM:AM)=1,0.001,0.025)),0.5)))</f>
        <v>0.2</v>
      </c>
      <c r="CA90" s="25" t="str">
        <f>IF(P90="Standard","No",MAX(0.001,MIN(MROUND(IF(AND(BJ90="True",CC90="False"),POWER(10,3.47*LOG10(_xlfn.XLOOKUP(B90,'Base stats'!B:B,'Base stats'!C:C)*1000)^-0.96),POWER(10,4.15*LOG10(_xlfn.XLOOKUP(B90,'Base stats'!B:B,'Base stats'!C:C)*1000)^-0.73))*IF(_xlfn.XLOOKUP(B90,'Base stats'!B:B,'Base stats'!AM:AM)=1,0.1,1)*_xlfn.XLOOKUP(B90,'Base stats'!B:B,'Base stats'!R:R)/100,IF(_xlfn.XLOOKUP(B90,'Base stats'!B:B,'Base stats'!AM:AM)=1,0.001,0.025)),0.5)))</f>
        <v>No</v>
      </c>
      <c r="CB90" s="25" t="str">
        <f>IF(_xlfn.XLOOKUP(_xlfn.XLOOKUP(B90,'Base stats'!B:B,'Base stats'!E:E),Groups!A:A,Groups!AJ:AJ)="Mammal","True","False")</f>
        <v>False</v>
      </c>
      <c r="CC90" s="25" t="str">
        <f>IF(OR(_xlfn.XLOOKUP(_xlfn.XLOOKUP(B90,'Base stats'!B:B,'Base stats'!E:E),Groups!A:A,Groups!AJ:AJ)="Reptile",_xlfn.XLOOKUP(_xlfn.XLOOKUP(B90,'Base stats'!B:B,'Base stats'!E:E),Groups!A:A,Groups!AJ:AJ)="Amphibian",_xlfn.XLOOKUP(_xlfn.XLOOKUP(B90,'Base stats'!B:B,'Base stats'!E:E),Groups!A:A,Groups!AJ:AJ)="Invertebrate"),"True","False")</f>
        <v>True</v>
      </c>
      <c r="CD90" s="25" t="str">
        <f t="shared" si="13"/>
        <v>False</v>
      </c>
      <c r="CE90" s="25" t="str">
        <f>IF(_xlfn.XLOOKUP(_xlfn.XLOOKUP(B90,'Base stats'!B:B,'Base stats'!E:E),Groups!A:A,Groups!AX:AX),"True","False")</f>
        <v>False</v>
      </c>
      <c r="CF90" s="25" t="str">
        <f>IF(_xlfn.XLOOKUP(_xlfn.XLOOKUP(B90,'Base stats'!B:B,'Base stats'!E:E),Groups!A:A,Groups!AY:AY),"True","False")</f>
        <v>False</v>
      </c>
      <c r="CG90" s="25" t="str">
        <f>IF(_xlfn.XLOOKUP(_xlfn.XLOOKUP(B90,'Base stats'!B:B,'Base stats'!E:E),Groups!A:A,Groups!AW:AW),"True","False")</f>
        <v>False</v>
      </c>
      <c r="CH90" s="25" t="str">
        <f>IF(
OR(
_xlfn.XLOOKUP(_xlfn.XLOOKUP(B90,'Base stats'!B:B,'Base stats'!E:E),Groups!A:A,Groups!AZ:AZ)=0,
AND(
_xlfn.XLOOKUP(B90,'Base stats'!B:B,'Base stats'!Y:Y)&lt;&gt;"Carnivore",
_xlfn.XLOOKUP(B90,'Base stats'!B:B,'Base stats'!Y:Y)&lt;&gt;"Omnivore",
_xlfn.XLOOKUP(B90,'Base stats'!B:B,'Base stats'!Y:Y)&lt;&gt;"OmnivoreRough"
)
),
"No",
IF(
_xlfn.XLOOKUP(_xlfn.XLOOKUP(B90,'Base stats'!B:B,'Base stats'!E:E),Groups!A:A,Groups!AZ:AZ)=1,
"Flesh",
IF(
_xlfn.XLOOKUP(_xlfn.XLOOKUP(B90,'Base stats'!B:B,'Base stats'!E:E),Groups!A:A,Groups!AZ:AZ)=2,
"Bone",
""
)
)
)</f>
        <v>Flesh</v>
      </c>
      <c r="CI90" s="25" t="str">
        <f>IF(_xlfn.XLOOKUP(_xlfn.XLOOKUP(B90,'Base stats'!B:B,'Base stats'!E:E),Groups!A:A,Groups!BB:BB),"True","False")</f>
        <v>False</v>
      </c>
      <c r="CJ90" s="25" t="str">
        <f>IF(_xlfn.XLOOKUP(_xlfn.XLOOKUP(B90,'Base stats'!B:B,'Base stats'!E:E),Groups!A:A,Groups!BA:BA),"True","False")</f>
        <v>False</v>
      </c>
    </row>
    <row r="91" spans="1:88" ht="16.5" thickTop="1" thickBot="1" x14ac:dyDescent="0.3">
      <c r="A91" s="26" t="str">
        <f>_xlfn.XLOOKUP(B91,'Base stats'!B:B,'Base stats'!A:A)</f>
        <v>Alligator</v>
      </c>
      <c r="B91" s="6" t="s">
        <v>187</v>
      </c>
      <c r="C91" s="28" t="s">
        <v>771</v>
      </c>
      <c r="D91" s="28" t="s">
        <v>870</v>
      </c>
      <c r="E91" s="28" t="s">
        <v>673</v>
      </c>
      <c r="F91" s="28" t="s">
        <v>673</v>
      </c>
      <c r="G91" s="28" t="s">
        <v>673</v>
      </c>
      <c r="H91" s="2">
        <f>MROUND((
  (IF(AND(_xlfn.XLOOKUP(B91,'Base stats'!B:B,'Base stats'!AL:AL)=0,BI91="None",_xlfn.XLOOKUP(_xlfn.XLOOKUP(B91,'Base stats'!B:B,'Base stats'!E:E),Groups!A:A,Groups!B:B)=0), (18 + BR91 * 2.7) * 0.5,
    IF(AND(_xlfn.XLOOKUP(B91,'Base stats'!B:B,'Base stats'!AL:AL)=0,OR(AO91&lt;0.55,AND(BI91="Intermediate",_xlfn.XLOOKUP(_xlfn.XLOOKUP(B91,'Base stats'!B:B,'Base stats'!E:E),Groups!A:A,Groups!B:B)&lt;2))), (18 + BR91 * 2.7),
      IF(OR(BI91="Advanced",_xlfn.XLOOKUP(B91,'Base stats'!B:B,'Base stats'!AL:AL)=1,_xlfn.XLOOKUP(_xlfn.XLOOKUP(B91,'Base stats'!B:B,'Base stats'!E:E),Groups!A:A,Groups!B:B)=2), (18 + BR91 * 2.7) + 250, (18 + BR91 * 2.7))
    )
  ))
  + AO91 * 80
  + IF(COUNTIF(EggMilk!K$2:K$998, A91) &gt; 0, 125, 0)
  + IF(COUNTIF(EggMilk!P$2:P$998, A91) &gt; 0, 90, 0)
  + IF(COUNTIF(EggMilk!A$2:A$998, A91) &gt; 0, 90, 0)
)
* (0.8 + 0.4 * J91)
* 0.75,25)</f>
        <v>725</v>
      </c>
      <c r="I91" s="2">
        <f>MROUND(ROUNDDOWN(_xlfn.XLOOKUP(B91,'Base stats'!B:B,'Base stats'!L:L)/3.6/(23.3/11),1),0.5)</f>
        <v>1.5</v>
      </c>
      <c r="J91" s="2">
        <f>IF(OR(_xlfn.XLOOKUP(B91,'Base stats'!B:B,'Base stats'!AB:AB)=1,_xlfn.XLOOKUP(_xlfn.XLOOKUP(B91,'Base stats'!B:B,'Base stats'!E:E),Groups!A:A,Groups!C:C)="Untamable"),1,IF(_xlfn.XLOOKUP(B91,'Base stats'!B:B,'Base stats'!AL:AL)=1,0.99,MIN(MROUND((1-0.6282*EXP(-0.459*AO91))*_xlfn.XLOOKUP(_xlfn.XLOOKUP(B91,'Base stats'!B:B,'Base stats'!E:E),Groups!A:A,Groups!C:C)*IF(_xlfn.XLOOKUP(B91,'Base stats'!B:B,'Base stats'!O:O)=1,0.5,IF(_xlfn.XLOOKUP(B91,'Base stats'!B:B,'Base stats'!O:O)=2,0,1)),0.05),IF(AO91&gt;3.5,0.985,0.95))))</f>
        <v>0.75</v>
      </c>
      <c r="K91" s="2">
        <f>ROUNDUP(AO91*_xlfn.XLOOKUP(_xlfn.XLOOKUP(B91,'Base stats'!B:B,'Base stats'!E:E),Groups!A:A,Groups!E:E),0)</f>
        <v>2</v>
      </c>
      <c r="L91" s="2">
        <f>IF(OR(_xlfn.XLOOKUP(_xlfn.XLOOKUP(B91,'Base stats'!B:B,'Base stats'!E:E),Groups!A:A,Groups!F:F)=2,ISNUMBER(SEARCH("SeaIce",BX91)),ISNUMBER(SEARCH("IceSheet",BX91))),-50,IF(OR(ISNUMBER(SEARCH("GlacialPlain",BX91)),ISNUMBER(SEARCH("Tundra",BX91))),-40,IF(OR(ISNUMBER(SEARCH("Alpine",BX91)),ISNUMBER(SEARCH("BorealForest",BX91)),ISNUMBER(SEARCH("ColdBog",BX91))),-30,IF(OR(ISNUMBER(SEARCH("TemperateForest",BX91)),ISNUMBER(SEARCH("TemperateSwamp",BX91))),-20,IF(_xlfn.XLOOKUP(_xlfn.XLOOKUP(B91,'Base stats'!B:B,'Base stats'!E:E),Groups!A:A,Groups!F:F)=1,-15,IF(OR(ISNUMBER(SEARCH("Desert",BX91)),ISNUMBER(SEARCH("ExtremeDesert",BX91))),-10,IF(OR(ISNUMBER(SEARCH("Grasslands",BX91)),ISNUMBER(SEARCH("TropicalRainforest",BX91)),ISNUMBER(SEARCH("TropicalSwamp",BX91))),10,0)))))))-IF(CC91="False",MIN(IFERROR(MAX(MROUND(LOG10(_xlfn.XLOOKUP(B91,'Base stats'!B:B,'Base stats'!C:C)^(2/3))*10,5),5),5),30))-_xlfn.XLOOKUP(B91,'Base stats'!B:B,'Base stats'!P:P)+IF(CC91="True",5,0)</f>
        <v>-5</v>
      </c>
      <c r="M91" s="2">
        <f>IF(OR(_xlfn.XLOOKUP(_xlfn.XLOOKUP(B91,'Base stats'!B:B,'Base stats'!E:E),Groups!A:A,Groups!G:G)=2,ISNUMBER(SEARCH("Desert",BX91)),ISNUMBER(SEARCH("ExtremeDesert",BX91)),ISNUMBER(SEARCH("LavaField",BX91))),50,IF(ISNUMBER(SEARCH("Grasslands",BX91)),45,IF(OR(_xlfn.XLOOKUP(_xlfn.XLOOKUP(B91,'Base stats'!B:B,'Base stats'!E:E),Groups!A:A,Groups!G:G)=1,ISNUMBER(SEARCH("TropicalRainforest",BX91)),ISNUMBER(SEARCH("TropicalSwamp",BX91))),40,IF(OR(ISNUMBER(SEARCH("TemperateForest",BX91)),ISNUMBER(SEARCH("TemperateSwamp",BX91))),35,IF(OR(ISNUMBER(SEARCH("Alpine",BX91)),ISNUMBER(SEARCH("BorealForest",BX91)),ISNUMBER(SEARCH("ColdBog",BX91))),30,IF(ISNUMBER(OR(ISNUMBER(SEARCH("GlacialPlain",BX91)),SEARCH("Tundra",BX91))),25,IF(OR(ISNUMBER(SEARCH("SeaIce",BX91)),ISNUMBER(SEARCH("IceSheet",BX91)),ISNUMBER(SEARCH("TropicalSwamp",BX91))),10,35)))))))+_xlfn.XLOOKUP(B91,'Base stats'!B:B,'Base stats'!Q:Q)</f>
        <v>40</v>
      </c>
      <c r="N91" s="8">
        <f>IF(
_xlfn.XLOOKUP(
_xlfn.XLOOKUP(B91,'Base stats'!B:B,'Base stats'!E:E),
Groups!A:A,
Groups!L:L
)=1,
MIN(
MROUND(
IF(
_xlfn.XLOOKUP(B91,'Animals CE'!B:B,'Animals CE'!Z:Z)&lt;=1.5,
_xlfn.XLOOKUP(B91,'Animals CE'!B:B,'Animals CE'!Z:Z)/2+0.05,
0.8+
(_xlfn.XLOOKUP(B91,'Animals CE'!B:B,'Animals CE'!Z:Z)-1.5)
*0.02
),
0.05
),
200%
),
"No"
)</f>
        <v>0.2</v>
      </c>
      <c r="O91" s="8">
        <f>IF(
_xlfn.XLOOKUP(
_xlfn.XLOOKUP(B91,'Base stats'!B:B,'Base stats'!E:E),
Groups!A:A,
Groups!L:L
)=1,
MIN(
MROUND(
IF(
_xlfn.XLOOKUP(B91,'Animals CE'!B:B,'Animals CE'!AA:AA)&lt;=1.5,
_xlfn.XLOOKUP(B91,'Animals CE'!B:B,'Animals CE'!AA:AA)/2+0.05,
0.8+
(_xlfn.XLOOKUP(B91,'Animals CE'!B:B,'Animals CE'!AA:AA)-1.5)
*0.02
),
0.05
),
200%
),
"No"
)</f>
        <v>0.25</v>
      </c>
      <c r="P91" s="2" t="str">
        <f>_xlfn.XLOOKUP(B91,'Base stats'!B:B,'Base stats'!R:R)</f>
        <v>Standard</v>
      </c>
      <c r="Q91" s="13">
        <f>MROUND((LOG10(_xlfn.XLOOKUP(B91,'Base stats'!B:B,'Base stats'!AR:AR))*(AO91^0.5)+(_xlfn.XLOOKUP(B91,'Base stats'!B:B,'Base stats'!AR:AR)/1000)^(2/3)+_xlfn.XLOOKUP(B91,'Base stats'!B:B,'Base stats'!BA:BA)/2)+0.5,0.5)</f>
        <v>10</v>
      </c>
      <c r="R91" s="7">
        <f>IF(Q91="No","No",MAX(1,MROUND(_xlfn.XLOOKUP(B91,'Base stats'!B:B,'Base stats'!C:C)^0.165,0.05)))</f>
        <v>2.3000000000000003</v>
      </c>
      <c r="S91" s="13" t="str">
        <f>IF(_xlfn.XLOOKUP(_xlfn.XLOOKUP(B91,'Base stats'!B:B,'Base stats'!E:E),Groups!A:A,Groups!P:P)=0,"No",MROUND((LOG10(_xlfn.XLOOKUP(B91,'Base stats'!B:B,'Base stats'!AS:AS))*(AO91^0.5)+(_xlfn.XLOOKUP(B91,'Base stats'!B:B,'Base stats'!AS:AS)/1000)^(2/3)+_xlfn.XLOOKUP(B91,'Base stats'!B:B,'Base stats'!BA:BA))+_xlfn.XLOOKUP(B91,'Base stats'!B:B,'Base stats'!AY:AY)+0.5,0.5))</f>
        <v>No</v>
      </c>
      <c r="T91" s="7" t="str">
        <f>IF(S91="No","No",MAX(_xlfn.XLOOKUP(_xlfn.XLOOKUP(B91,'Base stats'!B:B,'Base stats'!E:E),Groups!A:A,Groups!Q:Q),MROUND(_xlfn.XLOOKUP(_xlfn.XLOOKUP(B91,'Base stats'!B:B,'Base stats'!E:E),Groups!A:A,Groups!Q:Q)*_xlfn.XLOOKUP(B91,'Base stats'!B:B,'Base stats'!C:C)^0.165,0.05)))</f>
        <v>No</v>
      </c>
      <c r="U91" s="7" t="str">
        <f>IF(S91="No","No",_xlfn.XLOOKUP(_xlfn.XLOOKUP(B91,'Base stats'!B:B,'Base stats'!E:E),Groups!A:A,Groups!R:R))</f>
        <v>No</v>
      </c>
      <c r="V91" s="7" t="str">
        <f>IF(S91="No","No",_xlfn.XLOOKUP(_xlfn.XLOOKUP(B91,'Base stats'!B:B,'Base stats'!E:E),Groups!A:A,Groups!S:S))</f>
        <v>No</v>
      </c>
      <c r="W91" s="7" t="str">
        <f>IF(S91="No","No",_xlfn.XLOOKUP(_xlfn.XLOOKUP(B91,'Base stats'!B:B,'Base stats'!E:E),Groups!A:A,Groups!T:T))</f>
        <v>No</v>
      </c>
      <c r="X91" s="13" t="str">
        <f>IF(_xlfn.XLOOKUP(B91,'Base stats'!B:B,'Base stats'!W:W)="No","No",MROUND((LOG10(_xlfn.XLOOKUP(B91,'Base stats'!B:B,'Base stats'!AU:AU))*(AO91^0.5)+(_xlfn.XLOOKUP(B91,'Base stats'!B:B,'Base stats'!AU:AU)/1000)^(2/3)+_xlfn.XLOOKUP(B91,'Base stats'!B:B,'Base stats'!AZ:AZ))+0.5+IF(_xlfn.XLOOKUP(_xlfn.XLOOKUP(B91,'Base stats'!B:B,'Base stats'!E:E),Groups!A:A,Groups!U:U)&lt;&gt;3,_xlfn.XLOOKUP(B91,'Base stats'!B:B,'Base stats'!BA:BA),0),0.5))</f>
        <v>No</v>
      </c>
      <c r="Y91" s="7" t="str">
        <f>IF(X91="No","No",MAX(_xlfn.XLOOKUP(_xlfn.XLOOKUP(B91,'Base stats'!B:B,'Base stats'!E:E),Groups!A:A,Groups!V:V),MROUND(_xlfn.XLOOKUP(_xlfn.XLOOKUP(B91,'Base stats'!B:B,'Base stats'!E:E),Groups!A:A,Groups!V:V)*_xlfn.XLOOKUP(B91,'Base stats'!B:B,'Base stats'!C:C)^0.165,0.05)))</f>
        <v>No</v>
      </c>
      <c r="Z91" s="7" t="str">
        <f>IF(X91="No","No",_xlfn.XLOOKUP(_xlfn.XLOOKUP(B91,'Base stats'!B:B,'Base stats'!E:E),Groups!A:A,Groups!W:W))</f>
        <v>No</v>
      </c>
      <c r="AA91" s="7" t="str">
        <f>IF(X91="No","No",_xlfn.XLOOKUP(_xlfn.XLOOKUP(B91,'Base stats'!B:B,'Base stats'!E:E),Groups!A:A,Groups!X:X))</f>
        <v>No</v>
      </c>
      <c r="AB91" s="7" t="str">
        <f>IF(X91="No","No",_xlfn.XLOOKUP(_xlfn.XLOOKUP(B91,'Base stats'!B:B,'Base stats'!E:E),Groups!A:A,Groups!Y:Y))</f>
        <v>No</v>
      </c>
      <c r="AC91" s="7" t="str">
        <f>_xlfn.XLOOKUP(Animals!B91,'Base stats'!B:B,'Base stats'!X:X)</f>
        <v>False</v>
      </c>
      <c r="AD91" s="13">
        <f>IF(_xlfn.XLOOKUP(B91,'Base stats'!B:B,'Base stats'!AT:AT)="No","No",MROUND((LOG10(_xlfn.XLOOKUP(B91,'Base stats'!B:B,'Base stats'!AT:AT))*(AO91^0.75)+(_xlfn.XLOOKUP(B91,'Base stats'!B:B,'Base stats'!AT:AT)/1000)^(2/3)+_xlfn.XLOOKUP(B91,'Base stats'!B:B,'Base stats'!AX:AX)+_xlfn.XLOOKUP(B91,'Base stats'!B:B,'Base stats'!BA:BA))+0.5,0.5))</f>
        <v>17</v>
      </c>
      <c r="AE91" s="7">
        <f>IF(AD91="No","No",MAX(_xlfn.XLOOKUP(_xlfn.XLOOKUP(B91,'Base stats'!B:B,'Base stats'!E:E),Groups!A:A,Groups!Z:Z),MROUND(_xlfn.XLOOKUP(_xlfn.XLOOKUP(B91,'Base stats'!B:B,'Base stats'!E:E),Groups!A:A,Groups!Z:Z)*_xlfn.XLOOKUP(B91,'Base stats'!B:B,'Base stats'!C:C)^0.165,0.05)))</f>
        <v>2.2000000000000002</v>
      </c>
      <c r="AF91" s="7" t="str">
        <f>IF(AD91="No","No",_xlfn.XLOOKUP(_xlfn.XLOOKUP(B91,'Base stats'!B:B,'Base stats'!E:E),Groups!A:A,Groups!AA:AA))</f>
        <v>Teeth</v>
      </c>
      <c r="AG91" s="7" t="str">
        <f>IF(AD91="No","No",_xlfn.XLOOKUP(_xlfn.XLOOKUP(B91,'Base stats'!B:B,'Base stats'!E:E),Groups!A:A,Groups!AB:AB))</f>
        <v>teeth</v>
      </c>
      <c r="AH91" s="7" t="str">
        <f>IF(AD91="No","No",_xlfn.XLOOKUP(_xlfn.XLOOKUP(B91,'Base stats'!B:B,'Base stats'!E:E),Groups!A:A,Groups!AC:AC))</f>
        <v>Bite</v>
      </c>
      <c r="AI91" s="13" t="str">
        <f>IF(_xlfn.XLOOKUP(_xlfn.XLOOKUP(B91,'Base stats'!B:B,'Base stats'!E:E),Groups!A:A,Groups!AD:AD)=0,"No",MROUND((LOG10(_xlfn.XLOOKUP(B91,'Base stats'!B:B,'Base stats'!AS:AS))*(AO91^0.75)+(_xlfn.XLOOKUP(B91,'Base stats'!B:B,'Base stats'!AS:AS)/1000)^(2/3)+_xlfn.XLOOKUP(B91,'Base stats'!B:B,'Base stats'!AY:AY)+_xlfn.XLOOKUP(B91,'Base stats'!B:B,'Base stats'!BA:BA))+0.5,0.5))</f>
        <v>No</v>
      </c>
      <c r="AJ91" s="7" t="str">
        <f>IF(AI91="No","No",MAX(_xlfn.XLOOKUP(_xlfn.XLOOKUP(B91,'Base stats'!B:B,'Base stats'!E:E),Groups!A:A,Groups!AE:AE),MROUND(_xlfn.XLOOKUP(_xlfn.XLOOKUP(B91,'Base stats'!B:B,'Base stats'!E:E),Groups!A:A,Groups!AE:AE)*IF(_xlfn.XLOOKUP(_xlfn.XLOOKUP(B91,'Base stats'!B:B,'Base stats'!E:E),Groups!A:A,Groups!AJ:AJ)="Photonozoa",0.6,1)*_xlfn.XLOOKUP(B91,'Base stats'!B:B,'Base stats'!C:C)^0.165,0.05)))</f>
        <v>No</v>
      </c>
      <c r="AK91" s="7" t="str">
        <f>IF(AI91="No","No",_xlfn.XLOOKUP(_xlfn.XLOOKUP(B91,'Base stats'!B:B,'Base stats'!E:E),Groups!A:A,Groups!AF:AF))</f>
        <v>No</v>
      </c>
      <c r="AL91" s="7" t="str">
        <f>IF(AI91="No","No",_xlfn.XLOOKUP(_xlfn.XLOOKUP(B91,'Base stats'!B:B,'Base stats'!E:E),Groups!A:A,Groups!AG:AG))</f>
        <v>No</v>
      </c>
      <c r="AM91" s="7" t="str">
        <f>IF(AI91="No","No",_xlfn.XLOOKUP(_xlfn.XLOOKUP(B91,'Base stats'!B:B,'Base stats'!E:E),Groups!A:A,Groups!AH:AH))</f>
        <v>No</v>
      </c>
      <c r="AN91" s="2">
        <f t="shared" si="7"/>
        <v>25</v>
      </c>
      <c r="AO91" s="2">
        <f>MROUND(IF(AND(_xlfn.XLOOKUP(B91,'Base stats'!B:B,'Base stats'!C:C)&gt;=0.5,_xlfn.XLOOKUP(B91,'Base stats'!B:B,'Base stats'!C:C)&lt;=0.8),
IF(_xlfn.XLOOKUP(B91,'Base stats'!B:B,'Base stats'!C:C)&lt;0.1,0.05,IF(_xlfn.XLOOKUP(B91,'Base stats'!B:B,'Base stats'!C:C)&lt;=70,(_xlfn.XLOOKUP(B91,'Base stats'!B:B,'Base stats'!C:C)/70)^0.426489913056526,IF(_xlfn.XLOOKUP(B91,'Base stats'!B:B,'Base stats'!C:C)&lt;=400,(_xlfn.XLOOKUP(B91,'Base stats'!B:B,'Base stats'!C:C)/70)^0.572811455315093,IF(_xlfn.XLOOKUP(B91,'Base stats'!B:B,'Base stats'!C:C)&lt;=2000,2.71391647193063*(_xlfn.XLOOKUP(B91,'Base stats'!B:B,'Base stats'!C:C)/400)^0.252459582904293,3.74314280240376*(_xlfn.XLOOKUP(B91,'Base stats'!B:B,'Base stats'!C:C)/2000)^0.357012633876913)))),
IF(_xlfn.XLOOKUP(B91,'Base stats'!B:B,'Base stats'!C:C)&lt;0.1,0.05,IF(_xlfn.XLOOKUP(B91,'Base stats'!B:B,'Base stats'!C:C)&lt;0.4,0.1,IF(_xlfn.XLOOKUP(B91,'Base stats'!B:B,'Base stats'!C:C)&lt;=70,(_xlfn.XLOOKUP(B91,'Base stats'!B:B,'Base stats'!C:C)/70)^0.445823913056526,IF(_xlfn.XLOOKUP(B91,'Base stats'!B:B,'Base stats'!C:C)&lt;=400,(_xlfn.XLOOKUP(B91,'Base stats'!B:B,'Base stats'!C:C)/70)^0.572811455315093,IF(_xlfn.XLOOKUP(B91,'Base stats'!B:B,'Base stats'!C:C)&lt;=2000,2.71391647193063*(_xlfn.XLOOKUP(B91,'Base stats'!B:B,'Base stats'!C:C)/400)^0.252459582904293,3.74314280240376*(_xlfn.XLOOKUP(B91,'Base stats'!B:B,'Base stats'!C:C)/2000)^0.357012633876913)))))),
IF(_xlfn.XLOOKUP(B91,'Base stats'!B:B,'Base stats'!C:C)&lt;0.1,0.05,IF(_xlfn.XLOOKUP(B91,'Base stats'!B:B,'Base stats'!C:C)&lt;=100,0.05,IF(_xlfn.XLOOKUP(B91,'Base stats'!B:B,'Base stats'!C:C)&lt;=250,0.1,IF(_xlfn.XLOOKUP(B91,'Base stats'!B:B,'Base stats'!C:C)&lt;=4000,0.25,0.5)))))</f>
        <v>1.6</v>
      </c>
      <c r="AP91" s="8">
        <f>MROUND(AO91*_xlfn.XLOOKUP(_xlfn.XLOOKUP(B91,'Base stats'!B:B,'Base stats'!E:E),Groups!A:A,Groups!AI:AI)*_xlfn.XLOOKUP(B91,'Base stats'!B:B,'Base stats'!Z:Z),0.05)</f>
        <v>1.9000000000000001</v>
      </c>
      <c r="AQ91" s="8">
        <f>MAX(0.01,MROUND(IF(CC91="True",0.196*(AO91*100*1000)^0.889,IF(_xlfn.XLOOKUP(_xlfn.XLOOKUP(B91,'Base stats'!B:B,'Base stats'!E:E),Groups!A:A,Groups!AJ:AJ)="Bird",10.5*(AO91*100*1000)^0.681,4.82*(AO91*100*1000)^0.734))/(4.82*(1*100*1000)^0.734)/IF(AO91&lt;3.5,2,IF(AO91=3.5,1.5,1.25))*(1+0.132282374779864/(AO91^0.994035016789033+0.00905238001496948)),0.05))</f>
        <v>0.2</v>
      </c>
      <c r="AR91" s="9">
        <f>IFERROR(MROUND(_xlfn.XLOOKUP(B91,'Base stats'!B:B,'Base stats'!H:H)/IF(_xlfn.XLOOKUP(B91,'Base stats'!B:B,'Base stats'!I:I)&lt;&gt;1,(122.5/70),1.2),IF(_xlfn.XLOOKUP(B91,'Base stats'!B:B,'Base stats'!H:H)&gt;=30,5,IF(_xlfn.XLOOKUP(B91,'Base stats'!B:B,'Base stats'!H:H)&gt;=15,3,IF(_xlfn.XLOOKUP(B91,'Base stats'!B:B,'Base stats'!H:H)&gt;=10,2,1)))),"Immortal")</f>
        <v>45</v>
      </c>
      <c r="AS91" s="35" t="str">
        <f>IFERROR(IF(OR(_xlfn.XLOOKUP(B91,'Base stats'!B:B,'Base stats'!F:F)="Atypical reproduction",_xlfn.XLOOKUP(B91,'Base stats'!B:B,'Base stats'!F:F)="Lay eggs"),"Lay eggs",MIN(20,MAX(5.5,ROUND(((_xlfn.XLOOKUP(B91,'Base stats'!B:B,'Base stats'!F:F)-25)*(14.5/615) + 5.5)*2,0)/2))),"Unknown")</f>
        <v>Lay eggs</v>
      </c>
      <c r="AT91" s="8">
        <f>IF(_xlfn.XLOOKUP(B91,'Base stats'!B:B,'Base stats'!G:G)="Atypical reproduction","No",IFERROR(MAX(IF(_xlfn.XLOOKUP(B91,'Base stats'!B:B,'Base stats'!G:G)&lt;0.5,0.2,0.3),MROUND(_xlfn.XLOOKUP(B91,'Base stats'!B:B,'Base stats'!G:G)/(365/60),0.2)),"Unknown"))</f>
        <v>2</v>
      </c>
      <c r="AU91" s="8">
        <f t="shared" si="8"/>
        <v>1</v>
      </c>
      <c r="AV91" s="8" t="str">
        <f>IFERROR(IFERROR(MROUND(_xlfn.XLOOKUP(B91,'Base stats'!B:B,'Base stats'!J:J),0.1),"Lay eggs"),"Cannot breed")</f>
        <v>Lay eggs</v>
      </c>
      <c r="AW91" s="2" t="str">
        <f t="shared" si="9"/>
        <v>false</v>
      </c>
      <c r="AX91" s="2" t="str">
        <f>IF(_xlfn.XLOOKUP(_xlfn.XLOOKUP(Animals!B91,'Base stats'!B:B,'Base stats'!E:E),Groups!A:A,Groups!AK:AK)=1,"true","false")</f>
        <v>false</v>
      </c>
      <c r="AY91" s="25" t="str">
        <f>IF(_xlfn.XLOOKUP(B91,'Base stats'!B:B,'Base stats'!Y:Y)="Liquor","Liquor, CarnivoreAnimalStrict",IF(AND(_xlfn.XLOOKUP(B91,'Base stats'!B:B,'Base stats'!Y:Y)="Carnivore",_xlfn.XLOOKUP(_xlfn.XLOOKUP(B91,'Base stats'!B:B,'Base stats'!E:E),Groups!A:A,Groups!AJ:AJ)="Photonozoa"),"CarnivoreAnimalStrict, OvivoreAnimal",IF(_xlfn.XLOOKUP(B91,'Base stats'!B:B,'Base stats'!Y:Y)="Carnivore","CarnivoreAnimal, OvivoreAnimal",IF(_xlfn.XLOOKUP(B91,'Base stats'!B:B,'Base stats'!Y:Y)="Dendrovore","VegetarianRoughAnimal, DendrovoreAnimal",IF(_xlfn.XLOOKUP(B91,'Base stats'!B:B,'Base stats'!Y:Y)="Herbivore","VegetarianRoughAnimal",IF(_xlfn.XLOOKUP(B91,'Base stats'!B:B,'Base stats'!Y:Y)="OmnivoreRough","OmnivoreRoughAnimal, OvivoreAnimal","OmnivoreAnimal, OvivoreAnimal"))))))</f>
        <v>CarnivoreAnimal, OvivoreAnimal</v>
      </c>
      <c r="AZ91" s="2" t="str">
        <f>IF(_xlfn.XLOOKUP(_xlfn.XLOOKUP(B91,'Base stats'!B:B,'Base stats'!E:E),Groups!A:A,Groups!D:D)=1,MROUND((1-J91)*5+1,2)*IF(J91&lt;=0.4,2,1),"No")</f>
        <v>No</v>
      </c>
      <c r="BA91" s="2" t="str">
        <f>IF(AND(_xlfn.XLOOKUP(B91,'Base stats'!B:B,'Base stats'!AH:AH)="&lt;li&gt;Seal&lt;/li&gt;",G91="Odyssey"),"&lt;li&gt;AEXP_Seal&lt;/li&gt;",_xlfn.XLOOKUP(B91,'Base stats'!B:B,'Base stats'!AH:AH))</f>
        <v>No</v>
      </c>
      <c r="BB91" s="2" t="str">
        <f>_xlfn.XLOOKUP(B91,'Base stats'!B:B,'Base stats'!AG:AG)</f>
        <v>Leather_Lizard</v>
      </c>
      <c r="BC91" s="23" t="str">
        <f>_xlfn.XLOOKUP(_xlfn.XLOOKUP(B91,'Base stats'!B:B,'Base stats'!E:E),Groups!A:A,Groups!AL:AL)</f>
        <v>QuadrupedAnimalWithClawsTailAndJowl</v>
      </c>
      <c r="BD91" s="23">
        <f>MIN(1,MROUND(IF(AND(AO91&lt;0.5,_xlfn.XLOOKUP(B91,'Base stats'!B:B,'Base stats'!AA:AA)=0),0,IF(OR(_xlfn.XLOOKUP(Animals!B91,'Base stats'!B:B,'Base stats'!O:O)=2,_xlfn.XLOOKUP(_xlfn.XLOOKUP(B91,'Base stats'!B:B,'Base stats'!E:E),Groups!A:A,Groups!AN:AN)=0),0,_xlfn.XLOOKUP(_xlfn.XLOOKUP(B91,'Base stats'!B:B,'Base stats'!E:E),Groups!A:A,Groups!AN:AN)/IF(_xlfn.XLOOKUP(Animals!B91,'Base stats'!B:B,'Base stats'!O:O)=1,2,1)))+_xlfn.XLOOKUP(B91,'Base stats'!B:B,'Base stats'!AC:AC),0.005))</f>
        <v>0.1</v>
      </c>
      <c r="BE91" s="23">
        <f>MIN(1,MROUND(IF(AND(AO91&lt;0.5,_xlfn.XLOOKUP(B91,'Base stats'!B:B,'Base stats'!AA:AA)=0),0,IF(_xlfn.XLOOKUP(_xlfn.XLOOKUP(B91,'Base stats'!B:B,'Base stats'!E:E),Groups!A:A,Groups!AO:AO)=0,0,_xlfn.XLOOKUP(_xlfn.XLOOKUP(B91,'Base stats'!B:B,'Base stats'!E:E),Groups!A:A,Groups!AO:AO)/IF(_xlfn.XLOOKUP(Animals!B91,'Base stats'!B:B,'Base stats'!O:O)=2,3,1)))+_xlfn.XLOOKUP(B91,'Base stats'!B:B,'Base stats'!AD:AD),0.005))</f>
        <v>0.3</v>
      </c>
      <c r="BF91" s="2" t="str">
        <f>IF(J91&gt;0.3,"No",_xlfn.XLOOKUP(_xlfn.XLOOKUP(Animals!B91,'Base stats'!B:B,'Base stats'!E:E),Groups!A:A,Groups!AP:AP))</f>
        <v>No</v>
      </c>
      <c r="BG91" s="2" t="str">
        <f>IF(AND(J91&lt;=0.65,_xlfn.XLOOKUP(_xlfn.XLOOKUP(Animals!B91,'Base stats'!B:B,'Base stats'!E:E),Groups!A:A,Groups!AP:AP)&lt;&gt;"No",_xlfn.XLOOKUP(_xlfn.XLOOKUP(B91,'Base stats'!B:B,'Base stats'!E:E),Groups!A:A,Groups!D:D)=0),MROUND((80/3)*IF(_xlfn.XLOOKUP(B91,'Base stats'!B:B,'Base stats'!O:O)=2,0.2,AO91) + 24*(1-IF(BF91="No",0,BF91)) + 16/3, 12),"No")</f>
        <v>No</v>
      </c>
      <c r="BH91" s="2">
        <f>IF(AND(_xlfn.XLOOKUP(_xlfn.XLOOKUP(B91,'Base stats'!B:B,'Base stats'!E:E),Groups!A:A,Groups!AQ:AQ)=1,AO91&lt;=0.35),8,12)</f>
        <v>12</v>
      </c>
      <c r="BI91" s="2" t="str">
        <f>IF(_xlfn.XLOOKUP(_xlfn.XLOOKUP(B91,'Base stats'!B:B,'Base stats'!E:E),Groups!A:A,Groups!D:D)=0,_xlfn.XLOOKUP(_xlfn.XLOOKUP(B91,'Base stats'!B:B,'Base stats'!E:E),Groups!A:A,Groups!AR:AR),"None")</f>
        <v>None</v>
      </c>
      <c r="BJ91" s="2" t="str">
        <f>IF(AND(_xlfn.XLOOKUP(_xlfn.XLOOKUP(B91,'Base stats'!B:B,'Base stats'!E:E),Groups!A:A,Groups!AS:AS)=1,OR(_xlfn.XLOOKUP(B91,'Base stats'!B:B,'Base stats'!Y:Y)="Carnivore",_xlfn.XLOOKUP(B91,'Base stats'!B:B,'Base stats'!Y:Y)="Omnivore")),"true","false")</f>
        <v>true</v>
      </c>
      <c r="BK91" s="2">
        <f>IF(BJ91="true",MROUND(IF(AND(AO91&gt;0.5,OR(_xlfn.XLOOKUP(_xlfn.XLOOKUP(B91,'Base stats'!B:B,'Base stats'!E:E),Groups!A:A,Groups!AJ:AJ)="Photonozoa",_xlfn.XLOOKUP(_xlfn.XLOOKUP(B91,'Base stats'!B:B,'Base stats'!E:E),Groups!A:A,Groups!AJ:AJ)="Mammal")),Animals!AO91*1.75*IF(AW91="true",1.5,1),IF(AO91&lt;0.5,Animals!AO91*0.5,Animals!AO91)),IF(AO91&gt;2,0.5,IF(AO91&gt;0.5,0.25,0.1))),"No")</f>
        <v>1.5</v>
      </c>
      <c r="BL91" s="2">
        <f t="shared" si="10"/>
        <v>0</v>
      </c>
      <c r="BM91" s="25">
        <f>IF(_xlfn.XLOOKUP(B91,'Base stats'!B:B,'Base stats'!AN:AN)="Standard","No",MROUND((_xlfn.XLOOKUP(B91,'Base stats'!B:B,'Base stats'!AN:AN)/3.6)/I91,0.1))</f>
        <v>2.8000000000000003</v>
      </c>
      <c r="BN91" s="25" t="str">
        <f t="shared" si="11"/>
        <v>true</v>
      </c>
      <c r="BO91" s="25" t="str">
        <f>IF(AND(OR(_xlfn.XLOOKUP(B91,'Base stats'!B:B,'Base stats'!Y:Y)="Carnivore",_xlfn.XLOOKUP(B91,'Base stats'!B:B,'Base stats'!Y:Y)="Omnivore",_xlfn.XLOOKUP(B91,'Base stats'!B:B,'Base stats'!Y:Y)="OmnivoreRough"),_xlfn.XLOOKUP(_xlfn.XLOOKUP(B91,'Base stats'!B:B,'Base stats'!E:E),Groups!A:A,Groups!AT:AT)=1),"true","false")</f>
        <v>true</v>
      </c>
      <c r="BP91" s="25" t="str" cm="1">
        <f t="array" ref="BP91">IF(
  _xlfn.TEXTJOIN(", ",TRUE,
    IF(AND(BJ91="true",AO91&gt;0.5,BI91&lt;&gt;"None"),"AttackTarget",""),
    IF(AND(_xlfn.XLOOKUP(_xlfn.XLOOKUP(B91,'Base stats'!B:B,'Base stats'!E:E),Groups!A:A,Groups!AJ:AJ="Mammal"),OR(_xlfn.XLOOKUP(B91,'Base stats'!B:B,'Base stats'!Y:Y)="Omnivore",_xlfn.XLOOKUP(B91,'Base stats'!B:B,'Base stats'!Y:Y)="OmnivoreRough")),"Forage",""),
    IF(BG91&lt;=36,"Comfort",""),
    IF(_xlfn.XLOOKUP(B91,'Base stats'!B:B,'Base stats'!AE:AE)&lt;&gt;"No",_xlfn.XLOOKUP(B91,'Base stats'!B:B,'Base stats'!AE:AE),"")
  ) = "",
  "No",
  _xlfn.TEXTJOIN(", ",TRUE,
    IF(AND(BJ91="true",AO91&gt;0.5,BI91&lt;&gt;"None"),"AttackTarget",""),
    IF(AND(_xlfn.XLOOKUP(_xlfn.XLOOKUP(B91,'Base stats'!B:B,'Base stats'!E:E),Groups!A:A,Groups!AJ:AJ="Mammal"),OR(_xlfn.XLOOKUP(B91,'Base stats'!B:B,'Base stats'!Y:Y)="Omnivore",_xlfn.XLOOKUP(B91,'Base stats'!B:B,'Base stats'!Y:Y)="OmnivoreRough")),"Forage",""),
    IF(BG91&lt;=36,"Comfort",""),
    IF(_xlfn.XLOOKUP(B91,'Base stats'!B:B,'Base stats'!AE:AE)&lt;&gt;"No",_xlfn.XLOOKUP(B91,'Base stats'!B:B,'Base stats'!AE:AE),"")
  )
)</f>
        <v>No</v>
      </c>
      <c r="BQ91" s="25">
        <f>IF(
   AND(
      'Base stats'!AN91="Standard",_xlfn.XLOOKUP(_xlfn.XLOOKUP(B91,'Base stats'!B:B,'Base stats'!E:E),Groups!A:A,Groups!AU:AU)=0,
      OR(
      BO91="True"
      )
   ),
   10,
   IF(
       OR(BM91&lt;&gt;"No",_xlfn.XLOOKUP(_xlfn.XLOOKUP(B91,'Base stats'!B:B,'Base stats'!E:E),Groups!A:A,Groups!AU:AU)=1),
      1,
      "No"
   )
)</f>
        <v>1</v>
      </c>
      <c r="BR91" s="9">
        <f>MROUND((1 + ((0.2*IF(OR(Q91="No",R91="No",R91=0),0,Q91/R91)
+IF(OR(V91="No",S91="No",T91="No"),0,S91/T91*(LEN(V91)-LEN(SUBSTITUTE(V91,",",""))+1))
+IF(OR(X91="No",Y91="No"),0,X91/Y91)
+IF(OR(AD91="No",AE91="No"),0,AD91/AE91)
+IF(OR(AL91="No",AI91="No",AJ91="No"),0,AI91/AJ91*(LEN(AL91)-LEN(SUBSTITUTE(AL91,",",""))+1))
)/(0.2*IF(OR(Q91="No",R91="No",R91=0),0,1)
+IF(OR(V91="No",S91="No",T91="No"),0,LEN(V91)-LEN(SUBSTITUTE(V91,",",""))+1)
+IF(OR(X91="No",Y91="No"),0,1)
+IF(OR(AD91="No",AE91="No"),0,1)
+IF(OR(AL91="No",AI91="No",AJ91="No"),0,LEN(AL91)-LEN(SUBSTITUTE(AL91,",",""))+1))*62%)* 2)*(1 + (AP91 / (IF(_xlfn.XLOOKUP(_xlfn.XLOOKUP(B91,'Base stats'!B:B,'Base stats'!E:E),Groups!A:A,Groups!AJ:AJ)="Photonozoa",0.3,1)) + _xlfn.XLOOKUP(B91,'Base stats'!B:B,'Base stats'!AV:AV) * 1.8) * 2) * 2.5 + 10 + I91 * 2,5)+IF(_xlfn.XLOOKUP(B91,'Base stats'!B:B,'Base stats'!AK:AK)=1,50,0)</f>
        <v>150</v>
      </c>
      <c r="BS91" s="8">
        <f t="shared" si="12"/>
        <v>0.5</v>
      </c>
      <c r="BT91" s="8" t="str">
        <f>_xlfn.XLOOKUP(B91,'Base stats'!B:B,'Base stats'!AF:AF)</f>
        <v>No</v>
      </c>
      <c r="BU91" s="2" t="str">
        <f>IF(AND(J91&lt;=0.95,OR(_xlfn.XLOOKUP(B91,'Base stats'!B:B,'Base stats'!AK:AK)=1,_xlfn.XLOOKUP(B91,'Base stats'!B:B,'Base stats'!Y:Y)="Carnivore",_xlfn.XLOOKUP(B91,'Base stats'!B:B,'Base stats'!Y:Y)="Omnivore",BE91&gt;0.1)),"true","false")</f>
        <v>true</v>
      </c>
      <c r="BV91" s="2" t="str">
        <f>IF(_xlfn.XLOOKUP(B91,'Base stats'!B:B,'Base stats'!AI:AI)=1,"true","false")</f>
        <v>false</v>
      </c>
      <c r="BW91" s="25" t="str">
        <f>IF(E91="BaseInsect","AnimalInsect",
IF(J91&gt;0.95,"AnimalExotic",
_xlfn.TEXTJOIN(", ",TRUE,
IF(OR(_xlfn.XLOOKUP(B91,'Base stats'!B:B,'Base stats'!AM:AM)=1,AND(_xlfn.XLOOKUP(B91,'Base stats'!B:B,'Base stats'!O:O)=0,_xlfn.XLOOKUP(_xlfn.XLOOKUP(B91,'Base stats'!B:B,'Base stats'!E:E),Groups!A:A,Groups!B:B)&gt;0)),"AnimalUncommon","AnimalCommon"),
IF(AND(_xlfn.XLOOKUP(B91,'Base stats'!B:B,'Base stats'!O:O)=2,_xlfn.XLOOKUP(_xlfn.XLOOKUP(B91,'Base stats'!B:B,'Base stats'!E:E),Groups!A:A,Groups!D:D)=0),"AnimalPet",IF(AND(_xlfn.XLOOKUP(B91,'Base stats'!B:B,'Base stats'!O:O)&lt;&gt;0,_xlfn.XLOOKUP(_xlfn.XLOOKUP(B91,'Base stats'!B:B,'Base stats'!E:E),Groups!A:A,Groups!D:D)&lt;&gt;0),"AnimalFarm","")),
IF(OR(_xlfn.XLOOKUP(B91,'Base stats'!B:B,'Base stats'!AK:AK)=1,AND(BI91&lt;&gt;"None",BR91&gt;=60),ISNUMBER(SEARCH("Attack target",BP91))),"AnimalFighter","")
)))</f>
        <v>AnimalUncommon</v>
      </c>
      <c r="BX91" s="25" t="str">
        <f>IF(G91="None",TRIM(
SUBSTITUTE(
IF(COUNTIF(Biomes!B$2:B$259,"="&amp;$C91)&gt;0,Biomes!B$1&amp;", ","")&amp;
IF(COUNTIF(Biomes!C$2:C$259,"="&amp;$C91)&gt;0,Biomes!C$1&amp;", ","")&amp;
IF(COUNTIF(Biomes!D$2:D$259,"="&amp;$C91)&gt;0,Biomes!D$1&amp;", ","")&amp;
IF(COUNTIF(Biomes!F$2:F$259,"="&amp;$C91)&gt;0,Biomes!F$1&amp;", ","")&amp;
IF(COUNTIF(Biomes!G$2:G$259,"="&amp;$C91)&gt;0,Biomes!G$1&amp;", ","")&amp;
IF(COUNTIF(Biomes!H$2:H$259,"="&amp;$C91)&gt;0,Biomes!H$1&amp;", ","")&amp;
IF(COUNTIF(Biomes!I$2:I$259,"="&amp;$C91)&gt;0,Biomes!I$1&amp;", ","")&amp;
IF(COUNTIF(Biomes!J$2:J$259,"="&amp;$C91)&gt;0,Biomes!J$1&amp;", ","")&amp;
IF(COUNTIF(Biomes!M$2:M$259,"="&amp;$C91)&gt;0,Biomes!M$1&amp;", ","")&amp;
IF(COUNTIF(Biomes!N$2:N$259,"="&amp;$C91)&gt;0,Biomes!N$1&amp;", ","")&amp;
IF(COUNTIF(Biomes!O$2:O$259,"="&amp;$C91)&gt;0,Biomes!O$1&amp;", ","")&amp;
IF(COUNTIF(Biomes!P$2:P$259,"="&amp;$C91)&gt;0,Biomes!P$1&amp;", ","")&amp;
IF(COUNTIF(Biomes!K$2:K$259,"="&amp;$C91)&gt;0,Biomes!K$1&amp;", ","")&amp;
IF(COUNTIF(Biomes!Q$3:Q$259,"="&amp;$C91)&gt;0,Biomes!Q$1&amp;", ","")&amp;
IF(COUNTIF(Biomes!L$2:L$259,"="&amp;$C91)&gt;0,Biomes!L$1&amp;", ","")&amp;
IF(COUNTIF(Biomes!E$2:E$259,"="&amp;$C91)&gt;0,Biomes!E$1&amp;", ","")&amp;IF(COUNTIF(Biomes!S$2:S$259,"="&amp;$C91)&gt;0,Biomes!S$1&amp;", ","")&amp;
IF(COUNTIF(Biomes!R$2:R$259,"="&amp;$C91)&gt;0,Biomes!R$1&amp;", ",""),", ","")
),_xlfn.XLOOKUP(B91,B:B,BX:BX))</f>
        <v>TemperateSwamp TropicalSwamp Glowforest</v>
      </c>
      <c r="BY91" s="25" t="str">
        <f>IF(_xlfn.XLOOKUP(B91,'Base stats'!B:B,'Base stats'!AJ:AJ)=1,"true","false")</f>
        <v>false</v>
      </c>
      <c r="BZ91" s="25">
        <f>IF(_xlfn.XLOOKUP(B91,'Base stats'!B:B,'Base stats'!N:N)=1,"No",MAX(0.001,MIN(MROUND(IF(AND(BJ91="True",CC91="False"),POWER(10,3.47*LOG10(_xlfn.XLOOKUP(B91,'Base stats'!B:B,'Base stats'!C:C)*1000)^-0.96),POWER(10,4.15*LOG10(_xlfn.XLOOKUP(B91,'Base stats'!B:B,'Base stats'!C:C)*1000)^-0.73))*IF(_xlfn.XLOOKUP(B91,'Base stats'!B:B,'Base stats'!AK:AK)=1,0.5,1)*IF(_xlfn.XLOOKUP(B91,'Base stats'!B:B,'Base stats'!AM:AM)=1,0.1,1)/100,IF(_xlfn.XLOOKUP(B91,'Base stats'!B:B,'Base stats'!AM:AM)=1,0.001,0.025)),0.5)))</f>
        <v>0.17500000000000002</v>
      </c>
      <c r="CA91" s="25" t="str">
        <f>IF(P91="Standard","No",MAX(0.001,MIN(MROUND(IF(AND(BJ91="True",CC91="False"),POWER(10,3.47*LOG10(_xlfn.XLOOKUP(B91,'Base stats'!B:B,'Base stats'!C:C)*1000)^-0.96),POWER(10,4.15*LOG10(_xlfn.XLOOKUP(B91,'Base stats'!B:B,'Base stats'!C:C)*1000)^-0.73))*IF(_xlfn.XLOOKUP(B91,'Base stats'!B:B,'Base stats'!AM:AM)=1,0.1,1)*_xlfn.XLOOKUP(B91,'Base stats'!B:B,'Base stats'!R:R)/100,IF(_xlfn.XLOOKUP(B91,'Base stats'!B:B,'Base stats'!AM:AM)=1,0.001,0.025)),0.5)))</f>
        <v>No</v>
      </c>
      <c r="CB91" s="25" t="str">
        <f>IF(_xlfn.XLOOKUP(_xlfn.XLOOKUP(B91,'Base stats'!B:B,'Base stats'!E:E),Groups!A:A,Groups!AJ:AJ)="Mammal","True","False")</f>
        <v>False</v>
      </c>
      <c r="CC91" s="25" t="str">
        <f>IF(OR(_xlfn.XLOOKUP(_xlfn.XLOOKUP(B91,'Base stats'!B:B,'Base stats'!E:E),Groups!A:A,Groups!AJ:AJ)="Reptile",_xlfn.XLOOKUP(_xlfn.XLOOKUP(B91,'Base stats'!B:B,'Base stats'!E:E),Groups!A:A,Groups!AJ:AJ)="Amphibian",_xlfn.XLOOKUP(_xlfn.XLOOKUP(B91,'Base stats'!B:B,'Base stats'!E:E),Groups!A:A,Groups!AJ:AJ)="Invertebrate"),"True","False")</f>
        <v>True</v>
      </c>
      <c r="CD91" s="25" t="str">
        <f t="shared" si="13"/>
        <v>False</v>
      </c>
      <c r="CE91" s="25" t="str">
        <f>IF(_xlfn.XLOOKUP(_xlfn.XLOOKUP(B91,'Base stats'!B:B,'Base stats'!E:E),Groups!A:A,Groups!AX:AX),"True","False")</f>
        <v>False</v>
      </c>
      <c r="CF91" s="25" t="str">
        <f>IF(_xlfn.XLOOKUP(_xlfn.XLOOKUP(B91,'Base stats'!B:B,'Base stats'!E:E),Groups!A:A,Groups!AY:AY),"True","False")</f>
        <v>False</v>
      </c>
      <c r="CG91" s="25" t="str">
        <f>IF(_xlfn.XLOOKUP(_xlfn.XLOOKUP(B91,'Base stats'!B:B,'Base stats'!E:E),Groups!A:A,Groups!AW:AW),"True","False")</f>
        <v>False</v>
      </c>
      <c r="CH91" s="25" t="str">
        <f>IF(
OR(
_xlfn.XLOOKUP(_xlfn.XLOOKUP(B91,'Base stats'!B:B,'Base stats'!E:E),Groups!A:A,Groups!AZ:AZ)=0,
AND(
_xlfn.XLOOKUP(B91,'Base stats'!B:B,'Base stats'!Y:Y)&lt;&gt;"Carnivore",
_xlfn.XLOOKUP(B91,'Base stats'!B:B,'Base stats'!Y:Y)&lt;&gt;"Omnivore",
_xlfn.XLOOKUP(B91,'Base stats'!B:B,'Base stats'!Y:Y)&lt;&gt;"OmnivoreRough"
)
),
"No",
IF(
_xlfn.XLOOKUP(_xlfn.XLOOKUP(B91,'Base stats'!B:B,'Base stats'!E:E),Groups!A:A,Groups!AZ:AZ)=1,
"Flesh",
IF(
_xlfn.XLOOKUP(_xlfn.XLOOKUP(B91,'Base stats'!B:B,'Base stats'!E:E),Groups!A:A,Groups!AZ:AZ)=2,
"Bone",
""
)
)
)</f>
        <v>Bone</v>
      </c>
      <c r="CI91" s="25" t="str">
        <f>IF(_xlfn.XLOOKUP(_xlfn.XLOOKUP(B91,'Base stats'!B:B,'Base stats'!E:E),Groups!A:A,Groups!BB:BB),"True","False")</f>
        <v>False</v>
      </c>
      <c r="CJ91" s="25" t="str">
        <f>IF(_xlfn.XLOOKUP(_xlfn.XLOOKUP(B91,'Base stats'!B:B,'Base stats'!E:E),Groups!A:A,Groups!BA:BA),"True","False")</f>
        <v>False</v>
      </c>
    </row>
    <row r="92" spans="1:88" ht="16.5" thickTop="1" thickBot="1" x14ac:dyDescent="0.3">
      <c r="A92" s="26" t="str">
        <f>_xlfn.XLOOKUP(B92,'Base stats'!B:B,'Base stats'!A:A)</f>
        <v>SeaTurtle</v>
      </c>
      <c r="B92" s="6" t="s">
        <v>225</v>
      </c>
      <c r="C92" s="28" t="s">
        <v>772</v>
      </c>
      <c r="D92" s="28" t="s">
        <v>870</v>
      </c>
      <c r="E92" s="28" t="s">
        <v>673</v>
      </c>
      <c r="F92" s="28" t="s">
        <v>673</v>
      </c>
      <c r="G92" s="28" t="s">
        <v>673</v>
      </c>
      <c r="H92" s="2">
        <f>MROUND((
  (IF(AND(_xlfn.XLOOKUP(B92,'Base stats'!B:B,'Base stats'!AL:AL)=0,BI92="None",_xlfn.XLOOKUP(_xlfn.XLOOKUP(B92,'Base stats'!B:B,'Base stats'!E:E),Groups!A:A,Groups!B:B)=0), (18 + BR92 * 2.7) * 0.5,
    IF(AND(_xlfn.XLOOKUP(B92,'Base stats'!B:B,'Base stats'!AL:AL)=0,OR(AO92&lt;0.55,AND(BI92="Intermediate",_xlfn.XLOOKUP(_xlfn.XLOOKUP(B92,'Base stats'!B:B,'Base stats'!E:E),Groups!A:A,Groups!B:B)&lt;2))), (18 + BR92 * 2.7),
      IF(OR(BI92="Advanced",_xlfn.XLOOKUP(B92,'Base stats'!B:B,'Base stats'!AL:AL)=1,_xlfn.XLOOKUP(_xlfn.XLOOKUP(B92,'Base stats'!B:B,'Base stats'!E:E),Groups!A:A,Groups!B:B)=2), (18 + BR92 * 2.7) + 250, (18 + BR92 * 2.7))
    )
  ))
  + AO92 * 80
  + IF(COUNTIF(EggMilk!K$2:K$998, A92) &gt; 0, 125, 0)
  + IF(COUNTIF(EggMilk!P$2:P$998, A92) &gt; 0, 90, 0)
  + IF(COUNTIF(EggMilk!A$2:A$998, A92) &gt; 0, 90, 0)
)
* (0.8 + 0.4 * J92)
* 0.75,25)</f>
        <v>550</v>
      </c>
      <c r="I92" s="2">
        <f>MROUND(ROUNDDOWN(_xlfn.XLOOKUP(B92,'Base stats'!B:B,'Base stats'!L:L)/3.6/(23.3/11),1),0.5)</f>
        <v>0.5</v>
      </c>
      <c r="J92" s="2">
        <f>IF(OR(_xlfn.XLOOKUP(B92,'Base stats'!B:B,'Base stats'!AB:AB)=1,_xlfn.XLOOKUP(_xlfn.XLOOKUP(B92,'Base stats'!B:B,'Base stats'!E:E),Groups!A:A,Groups!C:C)="Untamable"),1,IF(_xlfn.XLOOKUP(B92,'Base stats'!B:B,'Base stats'!AL:AL)=1,0.99,MIN(MROUND((1-0.6282*EXP(-0.459*AO92))*_xlfn.XLOOKUP(_xlfn.XLOOKUP(B92,'Base stats'!B:B,'Base stats'!E:E),Groups!A:A,Groups!C:C)*IF(_xlfn.XLOOKUP(B92,'Base stats'!B:B,'Base stats'!O:O)=1,0.5,IF(_xlfn.XLOOKUP(B92,'Base stats'!B:B,'Base stats'!O:O)=2,0,1)),0.05),IF(AO92&gt;3.5,0.985,0.95))))</f>
        <v>0.95</v>
      </c>
      <c r="K92" s="2">
        <f>ROUNDUP(AO92*_xlfn.XLOOKUP(_xlfn.XLOOKUP(B92,'Base stats'!B:B,'Base stats'!E:E),Groups!A:A,Groups!E:E),0)</f>
        <v>2</v>
      </c>
      <c r="L92" s="2">
        <f>IF(OR(_xlfn.XLOOKUP(_xlfn.XLOOKUP(B92,'Base stats'!B:B,'Base stats'!E:E),Groups!A:A,Groups!F:F)=2,ISNUMBER(SEARCH("SeaIce",BX92)),ISNUMBER(SEARCH("IceSheet",BX92))),-50,IF(OR(ISNUMBER(SEARCH("GlacialPlain",BX92)),ISNUMBER(SEARCH("Tundra",BX92))),-40,IF(OR(ISNUMBER(SEARCH("Alpine",BX92)),ISNUMBER(SEARCH("BorealForest",BX92)),ISNUMBER(SEARCH("ColdBog",BX92))),-30,IF(OR(ISNUMBER(SEARCH("TemperateForest",BX92)),ISNUMBER(SEARCH("TemperateSwamp",BX92))),-20,IF(_xlfn.XLOOKUP(_xlfn.XLOOKUP(B92,'Base stats'!B:B,'Base stats'!E:E),Groups!A:A,Groups!F:F)=1,-15,IF(OR(ISNUMBER(SEARCH("Desert",BX92)),ISNUMBER(SEARCH("ExtremeDesert",BX92))),-10,IF(OR(ISNUMBER(SEARCH("Grasslands",BX92)),ISNUMBER(SEARCH("TropicalRainforest",BX92)),ISNUMBER(SEARCH("TropicalSwamp",BX92))),10,0)))))))-IF(CC92="False",MIN(IFERROR(MAX(MROUND(LOG10(_xlfn.XLOOKUP(B92,'Base stats'!B:B,'Base stats'!C:C)^(2/3))*10,5),5),5),30))-_xlfn.XLOOKUP(B92,'Base stats'!B:B,'Base stats'!P:P)+IF(CC92="True",5,0)</f>
        <v>-5</v>
      </c>
      <c r="M92" s="2">
        <f>IF(OR(_xlfn.XLOOKUP(_xlfn.XLOOKUP(B92,'Base stats'!B:B,'Base stats'!E:E),Groups!A:A,Groups!G:G)=2,ISNUMBER(SEARCH("Desert",BX92)),ISNUMBER(SEARCH("ExtremeDesert",BX92)),ISNUMBER(SEARCH("LavaField",BX92))),50,IF(ISNUMBER(SEARCH("Grasslands",BX92)),45,IF(OR(_xlfn.XLOOKUP(_xlfn.XLOOKUP(B92,'Base stats'!B:B,'Base stats'!E:E),Groups!A:A,Groups!G:G)=1,ISNUMBER(SEARCH("TropicalRainforest",BX92)),ISNUMBER(SEARCH("TropicalSwamp",BX92))),40,IF(OR(ISNUMBER(SEARCH("TemperateForest",BX92)),ISNUMBER(SEARCH("TemperateSwamp",BX92))),35,IF(OR(ISNUMBER(SEARCH("Alpine",BX92)),ISNUMBER(SEARCH("BorealForest",BX92)),ISNUMBER(SEARCH("ColdBog",BX92))),30,IF(ISNUMBER(OR(ISNUMBER(SEARCH("GlacialPlain",BX92)),SEARCH("Tundra",BX92))),25,IF(OR(ISNUMBER(SEARCH("SeaIce",BX92)),ISNUMBER(SEARCH("IceSheet",BX92)),ISNUMBER(SEARCH("TropicalSwamp",BX92))),10,35)))))))+_xlfn.XLOOKUP(B92,'Base stats'!B:B,'Base stats'!Q:Q)</f>
        <v>50</v>
      </c>
      <c r="N92" s="8">
        <f>IF(
_xlfn.XLOOKUP(
_xlfn.XLOOKUP(B92,'Base stats'!B:B,'Base stats'!E:E),
Groups!A:A,
Groups!L:L
)=1,
MIN(
MROUND(
IF(
_xlfn.XLOOKUP(B92,'Animals CE'!B:B,'Animals CE'!Z:Z)&lt;=1.5,
_xlfn.XLOOKUP(B92,'Animals CE'!B:B,'Animals CE'!Z:Z)/2+0.05,
0.8+
(_xlfn.XLOOKUP(B92,'Animals CE'!B:B,'Animals CE'!Z:Z)-1.5)
*0.02
),
0.05
),
200%
),
"No"
)</f>
        <v>0.8</v>
      </c>
      <c r="O92" s="8">
        <f>IF(
_xlfn.XLOOKUP(
_xlfn.XLOOKUP(B92,'Base stats'!B:B,'Base stats'!E:E),
Groups!A:A,
Groups!L:L
)=1,
MIN(
MROUND(
IF(
_xlfn.XLOOKUP(B92,'Animals CE'!B:B,'Animals CE'!AA:AA)&lt;=1.5,
_xlfn.XLOOKUP(B92,'Animals CE'!B:B,'Animals CE'!AA:AA)/2+0.05,
0.8+
(_xlfn.XLOOKUP(B92,'Animals CE'!B:B,'Animals CE'!AA:AA)-1.5)
*0.02
),
0.05
),
200%
),
"No"
)</f>
        <v>0.85000000000000009</v>
      </c>
      <c r="P92" s="2" t="str">
        <f>_xlfn.XLOOKUP(B92,'Base stats'!B:B,'Base stats'!R:R)</f>
        <v>Standard</v>
      </c>
      <c r="Q92" s="13">
        <f>MROUND((LOG10(_xlfn.XLOOKUP(B92,'Base stats'!B:B,'Base stats'!AR:AR))*(AO92^0.5)+(_xlfn.XLOOKUP(B92,'Base stats'!B:B,'Base stats'!AR:AR)/1000)^(2/3)+_xlfn.XLOOKUP(B92,'Base stats'!B:B,'Base stats'!BA:BA)/2)+0.5,0.5)</f>
        <v>10.5</v>
      </c>
      <c r="R92" s="7">
        <f>IF(Q92="No","No",MAX(1,MROUND(_xlfn.XLOOKUP(B92,'Base stats'!B:B,'Base stats'!C:C)^0.165,0.05)))</f>
        <v>2.35</v>
      </c>
      <c r="S92" s="13" t="str">
        <f>IF(_xlfn.XLOOKUP(_xlfn.XLOOKUP(B92,'Base stats'!B:B,'Base stats'!E:E),Groups!A:A,Groups!P:P)=0,"No",MROUND((LOG10(_xlfn.XLOOKUP(B92,'Base stats'!B:B,'Base stats'!AS:AS))*(AO92^0.5)+(_xlfn.XLOOKUP(B92,'Base stats'!B:B,'Base stats'!AS:AS)/1000)^(2/3)+_xlfn.XLOOKUP(B92,'Base stats'!B:B,'Base stats'!BA:BA))+_xlfn.XLOOKUP(B92,'Base stats'!B:B,'Base stats'!AY:AY)+0.5,0.5))</f>
        <v>No</v>
      </c>
      <c r="T92" s="7" t="str">
        <f>IF(S92="No","No",MAX(_xlfn.XLOOKUP(_xlfn.XLOOKUP(B92,'Base stats'!B:B,'Base stats'!E:E),Groups!A:A,Groups!Q:Q),MROUND(_xlfn.XLOOKUP(_xlfn.XLOOKUP(B92,'Base stats'!B:B,'Base stats'!E:E),Groups!A:A,Groups!Q:Q)*_xlfn.XLOOKUP(B92,'Base stats'!B:B,'Base stats'!C:C)^0.165,0.05)))</f>
        <v>No</v>
      </c>
      <c r="U92" s="7" t="str">
        <f>IF(S92="No","No",_xlfn.XLOOKUP(_xlfn.XLOOKUP(B92,'Base stats'!B:B,'Base stats'!E:E),Groups!A:A,Groups!R:R))</f>
        <v>No</v>
      </c>
      <c r="V92" s="7" t="str">
        <f>IF(S92="No","No",_xlfn.XLOOKUP(_xlfn.XLOOKUP(B92,'Base stats'!B:B,'Base stats'!E:E),Groups!A:A,Groups!S:S))</f>
        <v>No</v>
      </c>
      <c r="W92" s="7" t="str">
        <f>IF(S92="No","No",_xlfn.XLOOKUP(_xlfn.XLOOKUP(B92,'Base stats'!B:B,'Base stats'!E:E),Groups!A:A,Groups!T:T))</f>
        <v>No</v>
      </c>
      <c r="X92" s="13" t="str">
        <f>IF(_xlfn.XLOOKUP(B92,'Base stats'!B:B,'Base stats'!W:W)="No","No",MROUND((LOG10(_xlfn.XLOOKUP(B92,'Base stats'!B:B,'Base stats'!AU:AU))*(AO92^0.5)+(_xlfn.XLOOKUP(B92,'Base stats'!B:B,'Base stats'!AU:AU)/1000)^(2/3)+_xlfn.XLOOKUP(B92,'Base stats'!B:B,'Base stats'!AZ:AZ))+0.5+IF(_xlfn.XLOOKUP(_xlfn.XLOOKUP(B92,'Base stats'!B:B,'Base stats'!E:E),Groups!A:A,Groups!U:U)&lt;&gt;3,_xlfn.XLOOKUP(B92,'Base stats'!B:B,'Base stats'!BA:BA),0),0.5))</f>
        <v>No</v>
      </c>
      <c r="Y92" s="7" t="str">
        <f>IF(X92="No","No",MAX(_xlfn.XLOOKUP(_xlfn.XLOOKUP(B92,'Base stats'!B:B,'Base stats'!E:E),Groups!A:A,Groups!V:V),MROUND(_xlfn.XLOOKUP(_xlfn.XLOOKUP(B92,'Base stats'!B:B,'Base stats'!E:E),Groups!A:A,Groups!V:V)*_xlfn.XLOOKUP(B92,'Base stats'!B:B,'Base stats'!C:C)^0.165,0.05)))</f>
        <v>No</v>
      </c>
      <c r="Z92" s="7" t="str">
        <f>IF(X92="No","No",_xlfn.XLOOKUP(_xlfn.XLOOKUP(B92,'Base stats'!B:B,'Base stats'!E:E),Groups!A:A,Groups!W:W))</f>
        <v>No</v>
      </c>
      <c r="AA92" s="7" t="str">
        <f>IF(X92="No","No",_xlfn.XLOOKUP(_xlfn.XLOOKUP(B92,'Base stats'!B:B,'Base stats'!E:E),Groups!A:A,Groups!X:X))</f>
        <v>No</v>
      </c>
      <c r="AB92" s="7" t="str">
        <f>IF(X92="No","No",_xlfn.XLOOKUP(_xlfn.XLOOKUP(B92,'Base stats'!B:B,'Base stats'!E:E),Groups!A:A,Groups!Y:Y))</f>
        <v>No</v>
      </c>
      <c r="AC92" s="7" t="str">
        <f>_xlfn.XLOOKUP(Animals!B92,'Base stats'!B:B,'Base stats'!X:X)</f>
        <v>False</v>
      </c>
      <c r="AD92" s="13">
        <f>IF(_xlfn.XLOOKUP(B92,'Base stats'!B:B,'Base stats'!AT:AT)="No","No",MROUND((LOG10(_xlfn.XLOOKUP(B92,'Base stats'!B:B,'Base stats'!AT:AT))*(AO92^0.75)+(_xlfn.XLOOKUP(B92,'Base stats'!B:B,'Base stats'!AT:AT)/1000)^(2/3)+_xlfn.XLOOKUP(B92,'Base stats'!B:B,'Base stats'!AX:AX)+_xlfn.XLOOKUP(B92,'Base stats'!B:B,'Base stats'!BA:BA))+0.5,0.5))</f>
        <v>12</v>
      </c>
      <c r="AE92" s="7">
        <f>IF(AD92="No","No",MAX(_xlfn.XLOOKUP(_xlfn.XLOOKUP(B92,'Base stats'!B:B,'Base stats'!E:E),Groups!A:A,Groups!Z:Z),MROUND(_xlfn.XLOOKUP(_xlfn.XLOOKUP(B92,'Base stats'!B:B,'Base stats'!E:E),Groups!A:A,Groups!Z:Z)*_xlfn.XLOOKUP(B92,'Base stats'!B:B,'Base stats'!C:C)^0.165,0.05)))</f>
        <v>2.35</v>
      </c>
      <c r="AF92" s="7" t="str">
        <f>IF(AD92="No","No",_xlfn.XLOOKUP(_xlfn.XLOOKUP(B92,'Base stats'!B:B,'Base stats'!E:E),Groups!A:A,Groups!AA:AA))</f>
        <v>TurtleBeakAttackTool</v>
      </c>
      <c r="AG92" s="7" t="str">
        <f>IF(AD92="No","No",_xlfn.XLOOKUP(_xlfn.XLOOKUP(B92,'Base stats'!B:B,'Base stats'!E:E),Groups!A:A,Groups!AB:AB))</f>
        <v>beak</v>
      </c>
      <c r="AH92" s="7" t="str">
        <f>IF(AD92="No","No",_xlfn.XLOOKUP(_xlfn.XLOOKUP(B92,'Base stats'!B:B,'Base stats'!E:E),Groups!A:A,Groups!AC:AC))</f>
        <v>Bite</v>
      </c>
      <c r="AI92" s="13" t="str">
        <f>IF(_xlfn.XLOOKUP(_xlfn.XLOOKUP(B92,'Base stats'!B:B,'Base stats'!E:E),Groups!A:A,Groups!AD:AD)=0,"No",MROUND((LOG10(_xlfn.XLOOKUP(B92,'Base stats'!B:B,'Base stats'!AS:AS))*(AO92^0.75)+(_xlfn.XLOOKUP(B92,'Base stats'!B:B,'Base stats'!AS:AS)/1000)^(2/3)+_xlfn.XLOOKUP(B92,'Base stats'!B:B,'Base stats'!AY:AY)+_xlfn.XLOOKUP(B92,'Base stats'!B:B,'Base stats'!BA:BA))+0.5,0.5))</f>
        <v>No</v>
      </c>
      <c r="AJ92" s="7" t="str">
        <f>IF(AI92="No","No",MAX(_xlfn.XLOOKUP(_xlfn.XLOOKUP(B92,'Base stats'!B:B,'Base stats'!E:E),Groups!A:A,Groups!AE:AE),MROUND(_xlfn.XLOOKUP(_xlfn.XLOOKUP(B92,'Base stats'!B:B,'Base stats'!E:E),Groups!A:A,Groups!AE:AE)*IF(_xlfn.XLOOKUP(_xlfn.XLOOKUP(B92,'Base stats'!B:B,'Base stats'!E:E),Groups!A:A,Groups!AJ:AJ)="Photonozoa",0.6,1)*_xlfn.XLOOKUP(B92,'Base stats'!B:B,'Base stats'!C:C)^0.165,0.05)))</f>
        <v>No</v>
      </c>
      <c r="AK92" s="7" t="str">
        <f>IF(AI92="No","No",_xlfn.XLOOKUP(_xlfn.XLOOKUP(B92,'Base stats'!B:B,'Base stats'!E:E),Groups!A:A,Groups!AF:AF))</f>
        <v>No</v>
      </c>
      <c r="AL92" s="7" t="str">
        <f>IF(AI92="No","No",_xlfn.XLOOKUP(_xlfn.XLOOKUP(B92,'Base stats'!B:B,'Base stats'!E:E),Groups!A:A,Groups!AG:AG))</f>
        <v>No</v>
      </c>
      <c r="AM92" s="7" t="str">
        <f>IF(AI92="No","No",_xlfn.XLOOKUP(_xlfn.XLOOKUP(B92,'Base stats'!B:B,'Base stats'!E:E),Groups!A:A,Groups!AH:AH))</f>
        <v>No</v>
      </c>
      <c r="AN92" s="2" t="str">
        <f t="shared" si="7"/>
        <v>No</v>
      </c>
      <c r="AO92" s="2">
        <f>MROUND(IF(AND(_xlfn.XLOOKUP(B92,'Base stats'!B:B,'Base stats'!C:C)&gt;=0.5,_xlfn.XLOOKUP(B92,'Base stats'!B:B,'Base stats'!C:C)&lt;=0.8),
IF(_xlfn.XLOOKUP(B92,'Base stats'!B:B,'Base stats'!C:C)&lt;0.1,0.05,IF(_xlfn.XLOOKUP(B92,'Base stats'!B:B,'Base stats'!C:C)&lt;=70,(_xlfn.XLOOKUP(B92,'Base stats'!B:B,'Base stats'!C:C)/70)^0.426489913056526,IF(_xlfn.XLOOKUP(B92,'Base stats'!B:B,'Base stats'!C:C)&lt;=400,(_xlfn.XLOOKUP(B92,'Base stats'!B:B,'Base stats'!C:C)/70)^0.572811455315093,IF(_xlfn.XLOOKUP(B92,'Base stats'!B:B,'Base stats'!C:C)&lt;=2000,2.71391647193063*(_xlfn.XLOOKUP(B92,'Base stats'!B:B,'Base stats'!C:C)/400)^0.252459582904293,3.74314280240376*(_xlfn.XLOOKUP(B92,'Base stats'!B:B,'Base stats'!C:C)/2000)^0.357012633876913)))),
IF(_xlfn.XLOOKUP(B92,'Base stats'!B:B,'Base stats'!C:C)&lt;0.1,0.05,IF(_xlfn.XLOOKUP(B92,'Base stats'!B:B,'Base stats'!C:C)&lt;0.4,0.1,IF(_xlfn.XLOOKUP(B92,'Base stats'!B:B,'Base stats'!C:C)&lt;=70,(_xlfn.XLOOKUP(B92,'Base stats'!B:B,'Base stats'!C:C)/70)^0.445823913056526,IF(_xlfn.XLOOKUP(B92,'Base stats'!B:B,'Base stats'!C:C)&lt;=400,(_xlfn.XLOOKUP(B92,'Base stats'!B:B,'Base stats'!C:C)/70)^0.572811455315093,IF(_xlfn.XLOOKUP(B92,'Base stats'!B:B,'Base stats'!C:C)&lt;=2000,2.71391647193063*(_xlfn.XLOOKUP(B92,'Base stats'!B:B,'Base stats'!C:C)/400)^0.252459582904293,3.74314280240376*(_xlfn.XLOOKUP(B92,'Base stats'!B:B,'Base stats'!C:C)/2000)^0.357012633876913)))))),
IF(_xlfn.XLOOKUP(B92,'Base stats'!B:B,'Base stats'!C:C)&lt;0.1,0.05,IF(_xlfn.XLOOKUP(B92,'Base stats'!B:B,'Base stats'!C:C)&lt;=100,0.05,IF(_xlfn.XLOOKUP(B92,'Base stats'!B:B,'Base stats'!C:C)&lt;=250,0.1,IF(_xlfn.XLOOKUP(B92,'Base stats'!B:B,'Base stats'!C:C)&lt;=4000,0.25,0.5)))))</f>
        <v>1.7000000000000002</v>
      </c>
      <c r="AP92" s="8">
        <f>MROUND(AO92*_xlfn.XLOOKUP(_xlfn.XLOOKUP(B92,'Base stats'!B:B,'Base stats'!E:E),Groups!A:A,Groups!AI:AI)*_xlfn.XLOOKUP(B92,'Base stats'!B:B,'Base stats'!Z:Z),0.05)</f>
        <v>1.7000000000000002</v>
      </c>
      <c r="AQ92" s="8">
        <f>MAX(0.01,MROUND(IF(CC92="True",0.196*(AO92*100*1000)^0.889,IF(_xlfn.XLOOKUP(_xlfn.XLOOKUP(B92,'Base stats'!B:B,'Base stats'!E:E),Groups!A:A,Groups!AJ:AJ)="Bird",10.5*(AO92*100*1000)^0.681,4.82*(AO92*100*1000)^0.734))/(4.82*(1*100*1000)^0.734)/IF(AO92&lt;3.5,2,IF(AO92=3.5,1.5,1.25))*(1+0.132282374779864/(AO92^0.994035016789033+0.00905238001496948)),0.05))</f>
        <v>0.2</v>
      </c>
      <c r="AR92" s="9">
        <f>IFERROR(MROUND(_xlfn.XLOOKUP(B92,'Base stats'!B:B,'Base stats'!H:H)/IF(_xlfn.XLOOKUP(B92,'Base stats'!B:B,'Base stats'!I:I)&lt;&gt;1,(122.5/70),1.2),IF(_xlfn.XLOOKUP(B92,'Base stats'!B:B,'Base stats'!H:H)&gt;=30,5,IF(_xlfn.XLOOKUP(B92,'Base stats'!B:B,'Base stats'!H:H)&gt;=15,3,IF(_xlfn.XLOOKUP(B92,'Base stats'!B:B,'Base stats'!H:H)&gt;=10,2,1)))),"Immortal")</f>
        <v>45</v>
      </c>
      <c r="AS92" s="35" t="str">
        <f>IFERROR(IF(OR(_xlfn.XLOOKUP(B92,'Base stats'!B:B,'Base stats'!F:F)="Atypical reproduction",_xlfn.XLOOKUP(B92,'Base stats'!B:B,'Base stats'!F:F)="Lay eggs"),"Lay eggs",MIN(20,MAX(5.5,ROUND(((_xlfn.XLOOKUP(B92,'Base stats'!B:B,'Base stats'!F:F)-25)*(14.5/615) + 5.5)*2,0)/2))),"Unknown")</f>
        <v>Lay eggs</v>
      </c>
      <c r="AT92" s="8">
        <f>IF(_xlfn.XLOOKUP(B92,'Base stats'!B:B,'Base stats'!G:G)="Atypical reproduction","No",IFERROR(MAX(IF(_xlfn.XLOOKUP(B92,'Base stats'!B:B,'Base stats'!G:G)&lt;0.5,0.2,0.3),MROUND(_xlfn.XLOOKUP(B92,'Base stats'!B:B,'Base stats'!G:G)/(365/60),0.2)),"Unknown"))</f>
        <v>1.6</v>
      </c>
      <c r="AU92" s="8">
        <f t="shared" si="8"/>
        <v>0.8</v>
      </c>
      <c r="AV92" s="8" t="str">
        <f>IFERROR(IFERROR(MROUND(_xlfn.XLOOKUP(B92,'Base stats'!B:B,'Base stats'!J:J),0.1),"Lay eggs"),"Cannot breed")</f>
        <v>Lay eggs</v>
      </c>
      <c r="AW92" s="2" t="str">
        <f t="shared" si="9"/>
        <v>false</v>
      </c>
      <c r="AX92" s="2" t="str">
        <f>IF(_xlfn.XLOOKUP(_xlfn.XLOOKUP(Animals!B92,'Base stats'!B:B,'Base stats'!E:E),Groups!A:A,Groups!AK:AK)=1,"true","false")</f>
        <v>false</v>
      </c>
      <c r="AY92" s="25" t="str">
        <f>IF(_xlfn.XLOOKUP(B92,'Base stats'!B:B,'Base stats'!Y:Y)="Liquor","Liquor, CarnivoreAnimalStrict",IF(AND(_xlfn.XLOOKUP(B92,'Base stats'!B:B,'Base stats'!Y:Y)="Carnivore",_xlfn.XLOOKUP(_xlfn.XLOOKUP(B92,'Base stats'!B:B,'Base stats'!E:E),Groups!A:A,Groups!AJ:AJ)="Photonozoa"),"CarnivoreAnimalStrict, OvivoreAnimal",IF(_xlfn.XLOOKUP(B92,'Base stats'!B:B,'Base stats'!Y:Y)="Carnivore","CarnivoreAnimal, OvivoreAnimal",IF(_xlfn.XLOOKUP(B92,'Base stats'!B:B,'Base stats'!Y:Y)="Dendrovore","VegetarianRoughAnimal, DendrovoreAnimal",IF(_xlfn.XLOOKUP(B92,'Base stats'!B:B,'Base stats'!Y:Y)="Herbivore","VegetarianRoughAnimal",IF(_xlfn.XLOOKUP(B92,'Base stats'!B:B,'Base stats'!Y:Y)="OmnivoreRough","OmnivoreRoughAnimal, OvivoreAnimal","OmnivoreAnimal, OvivoreAnimal"))))))</f>
        <v>VegetarianRoughAnimal</v>
      </c>
      <c r="AZ92" s="2">
        <f>IF(_xlfn.XLOOKUP(_xlfn.XLOOKUP(B92,'Base stats'!B:B,'Base stats'!E:E),Groups!A:A,Groups!D:D)=1,MROUND((1-J92)*5+1,2)*IF(J92&lt;=0.4,2,1),"No")</f>
        <v>2</v>
      </c>
      <c r="BA92" s="2" t="str">
        <f>IF(AND(_xlfn.XLOOKUP(B92,'Base stats'!B:B,'Base stats'!AH:AH)="&lt;li&gt;Seal&lt;/li&gt;",G92="Odyssey"),"&lt;li&gt;AEXP_Seal&lt;/li&gt;",_xlfn.XLOOKUP(B92,'Base stats'!B:B,'Base stats'!AH:AH))</f>
        <v>&lt;li&gt;Tortoise&lt;/li&gt;</v>
      </c>
      <c r="BB92" s="2" t="str">
        <f>_xlfn.XLOOKUP(B92,'Base stats'!B:B,'Base stats'!AG:AG)</f>
        <v>Leather_Lizard</v>
      </c>
      <c r="BC92" s="23" t="str">
        <f>_xlfn.XLOOKUP(_xlfn.XLOOKUP(B92,'Base stats'!B:B,'Base stats'!E:E),Groups!A:A,Groups!AL:AL)</f>
        <v>TurtleLike</v>
      </c>
      <c r="BD92" s="23">
        <f>MIN(1,MROUND(IF(AND(AO92&lt;0.5,_xlfn.XLOOKUP(B92,'Base stats'!B:B,'Base stats'!AA:AA)=0),0,IF(OR(_xlfn.XLOOKUP(Animals!B92,'Base stats'!B:B,'Base stats'!O:O)=2,_xlfn.XLOOKUP(_xlfn.XLOOKUP(B92,'Base stats'!B:B,'Base stats'!E:E),Groups!A:A,Groups!AN:AN)=0),0,_xlfn.XLOOKUP(_xlfn.XLOOKUP(B92,'Base stats'!B:B,'Base stats'!E:E),Groups!A:A,Groups!AN:AN)/IF(_xlfn.XLOOKUP(Animals!B92,'Base stats'!B:B,'Base stats'!O:O)=1,2,1)))+_xlfn.XLOOKUP(B92,'Base stats'!B:B,'Base stats'!AC:AC),0.005))</f>
        <v>0</v>
      </c>
      <c r="BE92" s="23">
        <f>MIN(1,MROUND(IF(AND(AO92&lt;0.5,_xlfn.XLOOKUP(B92,'Base stats'!B:B,'Base stats'!AA:AA)=0),0,IF(_xlfn.XLOOKUP(_xlfn.XLOOKUP(B92,'Base stats'!B:B,'Base stats'!E:E),Groups!A:A,Groups!AO:AO)=0,0,_xlfn.XLOOKUP(_xlfn.XLOOKUP(B92,'Base stats'!B:B,'Base stats'!E:E),Groups!A:A,Groups!AO:AO)/IF(_xlfn.XLOOKUP(Animals!B92,'Base stats'!B:B,'Base stats'!O:O)=2,3,1)))+_xlfn.XLOOKUP(B92,'Base stats'!B:B,'Base stats'!AD:AD),0.005))</f>
        <v>0</v>
      </c>
      <c r="BF92" s="2" t="str">
        <f>IF(J92&gt;0.3,"No",_xlfn.XLOOKUP(_xlfn.XLOOKUP(Animals!B92,'Base stats'!B:B,'Base stats'!E:E),Groups!A:A,Groups!AP:AP))</f>
        <v>No</v>
      </c>
      <c r="BG92" s="2" t="str">
        <f>IF(AND(J92&lt;=0.65,_xlfn.XLOOKUP(_xlfn.XLOOKUP(Animals!B92,'Base stats'!B:B,'Base stats'!E:E),Groups!A:A,Groups!AP:AP)&lt;&gt;"No",_xlfn.XLOOKUP(_xlfn.XLOOKUP(B92,'Base stats'!B:B,'Base stats'!E:E),Groups!A:A,Groups!D:D)=0),MROUND((80/3)*IF(_xlfn.XLOOKUP(B92,'Base stats'!B:B,'Base stats'!O:O)=2,0.2,AO92) + 24*(1-IF(BF92="No",0,BF92)) + 16/3, 12),"No")</f>
        <v>No</v>
      </c>
      <c r="BH92" s="2">
        <f>IF(AND(_xlfn.XLOOKUP(_xlfn.XLOOKUP(B92,'Base stats'!B:B,'Base stats'!E:E),Groups!A:A,Groups!AQ:AQ)=1,AO92&lt;=0.35),8,12)</f>
        <v>12</v>
      </c>
      <c r="BI92" s="2" t="str">
        <f>IF(_xlfn.XLOOKUP(_xlfn.XLOOKUP(B92,'Base stats'!B:B,'Base stats'!E:E),Groups!A:A,Groups!D:D)=0,_xlfn.XLOOKUP(_xlfn.XLOOKUP(B92,'Base stats'!B:B,'Base stats'!E:E),Groups!A:A,Groups!AR:AR),"None")</f>
        <v>None</v>
      </c>
      <c r="BJ92" s="2" t="str">
        <f>IF(AND(_xlfn.XLOOKUP(_xlfn.XLOOKUP(B92,'Base stats'!B:B,'Base stats'!E:E),Groups!A:A,Groups!AS:AS)=1,OR(_xlfn.XLOOKUP(B92,'Base stats'!B:B,'Base stats'!Y:Y)="Carnivore",_xlfn.XLOOKUP(B92,'Base stats'!B:B,'Base stats'!Y:Y)="Omnivore")),"true","false")</f>
        <v>false</v>
      </c>
      <c r="BK92" s="2" t="str">
        <f>IF(BJ92="true",MROUND(IF(AND(AO92&gt;0.5,OR(_xlfn.XLOOKUP(_xlfn.XLOOKUP(B92,'Base stats'!B:B,'Base stats'!E:E),Groups!A:A,Groups!AJ:AJ)="Photonozoa",_xlfn.XLOOKUP(_xlfn.XLOOKUP(B92,'Base stats'!B:B,'Base stats'!E:E),Groups!A:A,Groups!AJ:AJ)="Mammal")),Animals!AO92*1.75*IF(AW92="true",1.5,1),IF(AO92&lt;0.5,Animals!AO92*0.5,Animals!AO92)),IF(AO92&gt;2,0.5,IF(AO92&gt;0.5,0.25,0.1))),"No")</f>
        <v>No</v>
      </c>
      <c r="BL92" s="2">
        <f t="shared" si="10"/>
        <v>0</v>
      </c>
      <c r="BM92" s="25">
        <f>IF(_xlfn.XLOOKUP(B92,'Base stats'!B:B,'Base stats'!AN:AN)="Standard","No",MROUND((_xlfn.XLOOKUP(B92,'Base stats'!B:B,'Base stats'!AN:AN)/3.6)/I92,0.1))</f>
        <v>5.6000000000000005</v>
      </c>
      <c r="BN92" s="25" t="str">
        <f t="shared" si="11"/>
        <v>true</v>
      </c>
      <c r="BO92" s="25" t="str">
        <f>IF(AND(OR(_xlfn.XLOOKUP(B92,'Base stats'!B:B,'Base stats'!Y:Y)="Carnivore",_xlfn.XLOOKUP(B92,'Base stats'!B:B,'Base stats'!Y:Y)="Omnivore",_xlfn.XLOOKUP(B92,'Base stats'!B:B,'Base stats'!Y:Y)="OmnivoreRough"),_xlfn.XLOOKUP(_xlfn.XLOOKUP(B92,'Base stats'!B:B,'Base stats'!E:E),Groups!A:A,Groups!AT:AT)=1),"true","false")</f>
        <v>false</v>
      </c>
      <c r="BP92" s="25" t="str" cm="1">
        <f t="array" ref="BP92">IF(
  _xlfn.TEXTJOIN(", ",TRUE,
    IF(AND(BJ92="true",AO92&gt;0.5,BI92&lt;&gt;"None"),"AttackTarget",""),
    IF(AND(_xlfn.XLOOKUP(_xlfn.XLOOKUP(B92,'Base stats'!B:B,'Base stats'!E:E),Groups!A:A,Groups!AJ:AJ="Mammal"),OR(_xlfn.XLOOKUP(B92,'Base stats'!B:B,'Base stats'!Y:Y)="Omnivore",_xlfn.XLOOKUP(B92,'Base stats'!B:B,'Base stats'!Y:Y)="OmnivoreRough")),"Forage",""),
    IF(BG92&lt;=36,"Comfort",""),
    IF(_xlfn.XLOOKUP(B92,'Base stats'!B:B,'Base stats'!AE:AE)&lt;&gt;"No",_xlfn.XLOOKUP(B92,'Base stats'!B:B,'Base stats'!AE:AE),"")
  ) = "",
  "No",
  _xlfn.TEXTJOIN(", ",TRUE,
    IF(AND(BJ92="true",AO92&gt;0.5,BI92&lt;&gt;"None"),"AttackTarget",""),
    IF(AND(_xlfn.XLOOKUP(_xlfn.XLOOKUP(B92,'Base stats'!B:B,'Base stats'!E:E),Groups!A:A,Groups!AJ:AJ="Mammal"),OR(_xlfn.XLOOKUP(B92,'Base stats'!B:B,'Base stats'!Y:Y)="Omnivore",_xlfn.XLOOKUP(B92,'Base stats'!B:B,'Base stats'!Y:Y)="OmnivoreRough")),"Forage",""),
    IF(BG92&lt;=36,"Comfort",""),
    IF(_xlfn.XLOOKUP(B92,'Base stats'!B:B,'Base stats'!AE:AE)&lt;&gt;"No",_xlfn.XLOOKUP(B92,'Base stats'!B:B,'Base stats'!AE:AE),"")
  )
)</f>
        <v>No</v>
      </c>
      <c r="BQ92" s="25">
        <f>IF(
   AND(
      'Base stats'!AN92="Standard",_xlfn.XLOOKUP(_xlfn.XLOOKUP(B92,'Base stats'!B:B,'Base stats'!E:E),Groups!A:A,Groups!AU:AU)=0,
      OR(
      BO92="True"
      )
   ),
   10,
   IF(
       OR(BM92&lt;&gt;"No",_xlfn.XLOOKUP(_xlfn.XLOOKUP(B92,'Base stats'!B:B,'Base stats'!E:E),Groups!A:A,Groups!AU:AU)=1),
      1,
      "No"
   )
)</f>
        <v>1</v>
      </c>
      <c r="BR92" s="9">
        <f>MROUND((1 + ((0.2*IF(OR(Q92="No",R92="No",R92=0),0,Q92/R92)
+IF(OR(V92="No",S92="No",T92="No"),0,S92/T92*(LEN(V92)-LEN(SUBSTITUTE(V92,",",""))+1))
+IF(OR(X92="No",Y92="No"),0,X92/Y92)
+IF(OR(AD92="No",AE92="No"),0,AD92/AE92)
+IF(OR(AL92="No",AI92="No",AJ92="No"),0,AI92/AJ92*(LEN(AL92)-LEN(SUBSTITUTE(AL92,",",""))+1))
)/(0.2*IF(OR(Q92="No",R92="No",R92=0),0,1)
+IF(OR(V92="No",S92="No",T92="No"),0,LEN(V92)-LEN(SUBSTITUTE(V92,",",""))+1)
+IF(OR(X92="No",Y92="No"),0,1)
+IF(OR(AD92="No",AE92="No"),0,1)
+IF(OR(AL92="No",AI92="No",AJ92="No"),0,LEN(AL92)-LEN(SUBSTITUTE(AL92,",",""))+1))*62%)* 2)*(1 + (AP92 / (IF(_xlfn.XLOOKUP(_xlfn.XLOOKUP(B92,'Base stats'!B:B,'Base stats'!E:E),Groups!A:A,Groups!AJ:AJ)="Photonozoa",0.3,1)) + _xlfn.XLOOKUP(B92,'Base stats'!B:B,'Base stats'!AV:AV) * 1.8) * 2) * 2.5 + 10 + I92 * 2,5)+IF(_xlfn.XLOOKUP(B92,'Base stats'!B:B,'Base stats'!AK:AK)=1,50,0)</f>
        <v>145</v>
      </c>
      <c r="BS92" s="8">
        <f t="shared" si="12"/>
        <v>0.5</v>
      </c>
      <c r="BT92" s="8" t="str">
        <f>_xlfn.XLOOKUP(B92,'Base stats'!B:B,'Base stats'!AF:AF)</f>
        <v>No</v>
      </c>
      <c r="BU92" s="2" t="str">
        <f>IF(AND(J92&lt;=0.95,OR(_xlfn.XLOOKUP(B92,'Base stats'!B:B,'Base stats'!AK:AK)=1,_xlfn.XLOOKUP(B92,'Base stats'!B:B,'Base stats'!Y:Y)="Carnivore",_xlfn.XLOOKUP(B92,'Base stats'!B:B,'Base stats'!Y:Y)="Omnivore",BE92&gt;0.1)),"true","false")</f>
        <v>false</v>
      </c>
      <c r="BV92" s="2" t="str">
        <f>IF(_xlfn.XLOOKUP(B92,'Base stats'!B:B,'Base stats'!AI:AI)=1,"true","false")</f>
        <v>false</v>
      </c>
      <c r="BW92" s="25" t="str">
        <f>IF(E92="BaseInsect","AnimalInsect",
IF(J92&gt;0.95,"AnimalExotic",
_xlfn.TEXTJOIN(", ",TRUE,
IF(OR(_xlfn.XLOOKUP(B92,'Base stats'!B:B,'Base stats'!AM:AM)=1,AND(_xlfn.XLOOKUP(B92,'Base stats'!B:B,'Base stats'!O:O)=0,_xlfn.XLOOKUP(_xlfn.XLOOKUP(B92,'Base stats'!B:B,'Base stats'!E:E),Groups!A:A,Groups!B:B)&gt;0)),"AnimalUncommon","AnimalCommon"),
IF(AND(_xlfn.XLOOKUP(B92,'Base stats'!B:B,'Base stats'!O:O)=2,_xlfn.XLOOKUP(_xlfn.XLOOKUP(B92,'Base stats'!B:B,'Base stats'!E:E),Groups!A:A,Groups!D:D)=0),"AnimalPet",IF(AND(_xlfn.XLOOKUP(B92,'Base stats'!B:B,'Base stats'!O:O)&lt;&gt;0,_xlfn.XLOOKUP(_xlfn.XLOOKUP(B92,'Base stats'!B:B,'Base stats'!E:E),Groups!A:A,Groups!D:D)&lt;&gt;0),"AnimalFarm","")),
IF(OR(_xlfn.XLOOKUP(B92,'Base stats'!B:B,'Base stats'!AK:AK)=1,AND(BI92&lt;&gt;"None",BR92&gt;=60),ISNUMBER(SEARCH("Attack target",BP92))),"AnimalFighter","")
)))</f>
        <v>AnimalUncommon</v>
      </c>
      <c r="BX92" s="25" t="str">
        <f>IF(G92="None",TRIM(
SUBSTITUTE(
IF(COUNTIF(Biomes!B$2:B$259,"="&amp;$C92)&gt;0,Biomes!B$1&amp;", ","")&amp;
IF(COUNTIF(Biomes!C$2:C$259,"="&amp;$C92)&gt;0,Biomes!C$1&amp;", ","")&amp;
IF(COUNTIF(Biomes!D$2:D$259,"="&amp;$C92)&gt;0,Biomes!D$1&amp;", ","")&amp;
IF(COUNTIF(Biomes!F$2:F$259,"="&amp;$C92)&gt;0,Biomes!F$1&amp;", ","")&amp;
IF(COUNTIF(Biomes!G$2:G$259,"="&amp;$C92)&gt;0,Biomes!G$1&amp;", ","")&amp;
IF(COUNTIF(Biomes!H$2:H$259,"="&amp;$C92)&gt;0,Biomes!H$1&amp;", ","")&amp;
IF(COUNTIF(Biomes!I$2:I$259,"="&amp;$C92)&gt;0,Biomes!I$1&amp;", ","")&amp;
IF(COUNTIF(Biomes!J$2:J$259,"="&amp;$C92)&gt;0,Biomes!J$1&amp;", ","")&amp;
IF(COUNTIF(Biomes!M$2:M$259,"="&amp;$C92)&gt;0,Biomes!M$1&amp;", ","")&amp;
IF(COUNTIF(Biomes!N$2:N$259,"="&amp;$C92)&gt;0,Biomes!N$1&amp;", ","")&amp;
IF(COUNTIF(Biomes!O$2:O$259,"="&amp;$C92)&gt;0,Biomes!O$1&amp;", ","")&amp;
IF(COUNTIF(Biomes!P$2:P$259,"="&amp;$C92)&gt;0,Biomes!P$1&amp;", ","")&amp;
IF(COUNTIF(Biomes!K$2:K$259,"="&amp;$C92)&gt;0,Biomes!K$1&amp;", ","")&amp;
IF(COUNTIF(Biomes!Q$3:Q$259,"="&amp;$C92)&gt;0,Biomes!Q$1&amp;", ","")&amp;
IF(COUNTIF(Biomes!L$2:L$259,"="&amp;$C92)&gt;0,Biomes!L$1&amp;", ","")&amp;
IF(COUNTIF(Biomes!E$2:E$259,"="&amp;$C92)&gt;0,Biomes!E$1&amp;", ","")&amp;IF(COUNTIF(Biomes!S$2:S$259,"="&amp;$C92)&gt;0,Biomes!S$1&amp;", ","")&amp;
IF(COUNTIF(Biomes!R$2:R$259,"="&amp;$C92)&gt;0,Biomes!R$1&amp;", ",""),", ","")
),_xlfn.XLOOKUP(B92,B:B,BX:BX))</f>
        <v>AridShrubland Desert TropicalRainforest TropicalSwamp Grasslands Glowforest LavaField</v>
      </c>
      <c r="BY92" s="25" t="str">
        <f>IF(_xlfn.XLOOKUP(B92,'Base stats'!B:B,'Base stats'!AJ:AJ)=1,"true","false")</f>
        <v>true</v>
      </c>
      <c r="BZ92" s="25">
        <f>IF(_xlfn.XLOOKUP(B92,'Base stats'!B:B,'Base stats'!N:N)=1,"No",MAX(0.001,MIN(MROUND(IF(AND(BJ92="True",CC92="False"),POWER(10,3.47*LOG10(_xlfn.XLOOKUP(B92,'Base stats'!B:B,'Base stats'!C:C)*1000)^-0.96),POWER(10,4.15*LOG10(_xlfn.XLOOKUP(B92,'Base stats'!B:B,'Base stats'!C:C)*1000)^-0.73))*IF(_xlfn.XLOOKUP(B92,'Base stats'!B:B,'Base stats'!AK:AK)=1,0.5,1)*IF(_xlfn.XLOOKUP(B92,'Base stats'!B:B,'Base stats'!AM:AM)=1,0.1,1)/100,IF(_xlfn.XLOOKUP(B92,'Base stats'!B:B,'Base stats'!AM:AM)=1,0.001,0.025)),0.5)))</f>
        <v>0.17500000000000002</v>
      </c>
      <c r="CA92" s="25" t="str">
        <f>IF(P92="Standard","No",MAX(0.001,MIN(MROUND(IF(AND(BJ92="True",CC92="False"),POWER(10,3.47*LOG10(_xlfn.XLOOKUP(B92,'Base stats'!B:B,'Base stats'!C:C)*1000)^-0.96),POWER(10,4.15*LOG10(_xlfn.XLOOKUP(B92,'Base stats'!B:B,'Base stats'!C:C)*1000)^-0.73))*IF(_xlfn.XLOOKUP(B92,'Base stats'!B:B,'Base stats'!AM:AM)=1,0.1,1)*_xlfn.XLOOKUP(B92,'Base stats'!B:B,'Base stats'!R:R)/100,IF(_xlfn.XLOOKUP(B92,'Base stats'!B:B,'Base stats'!AM:AM)=1,0.001,0.025)),0.5)))</f>
        <v>No</v>
      </c>
      <c r="CB92" s="25" t="str">
        <f>IF(_xlfn.XLOOKUP(_xlfn.XLOOKUP(B92,'Base stats'!B:B,'Base stats'!E:E),Groups!A:A,Groups!AJ:AJ)="Mammal","True","False")</f>
        <v>False</v>
      </c>
      <c r="CC92" s="25" t="str">
        <f>IF(OR(_xlfn.XLOOKUP(_xlfn.XLOOKUP(B92,'Base stats'!B:B,'Base stats'!E:E),Groups!A:A,Groups!AJ:AJ)="Reptile",_xlfn.XLOOKUP(_xlfn.XLOOKUP(B92,'Base stats'!B:B,'Base stats'!E:E),Groups!A:A,Groups!AJ:AJ)="Amphibian",_xlfn.XLOOKUP(_xlfn.XLOOKUP(B92,'Base stats'!B:B,'Base stats'!E:E),Groups!A:A,Groups!AJ:AJ)="Invertebrate"),"True","False")</f>
        <v>True</v>
      </c>
      <c r="CD92" s="25" t="str">
        <f t="shared" si="13"/>
        <v>False</v>
      </c>
      <c r="CE92" s="25" t="str">
        <f>IF(_xlfn.XLOOKUP(_xlfn.XLOOKUP(B92,'Base stats'!B:B,'Base stats'!E:E),Groups!A:A,Groups!AX:AX),"True","False")</f>
        <v>False</v>
      </c>
      <c r="CF92" s="25" t="str">
        <f>IF(_xlfn.XLOOKUP(_xlfn.XLOOKUP(B92,'Base stats'!B:B,'Base stats'!E:E),Groups!A:A,Groups!AY:AY),"True","False")</f>
        <v>False</v>
      </c>
      <c r="CG92" s="25" t="str">
        <f>IF(_xlfn.XLOOKUP(_xlfn.XLOOKUP(B92,'Base stats'!B:B,'Base stats'!E:E),Groups!A:A,Groups!AW:AW),"True","False")</f>
        <v>False</v>
      </c>
      <c r="CH92" s="25" t="str">
        <f>IF(
OR(
_xlfn.XLOOKUP(_xlfn.XLOOKUP(B92,'Base stats'!B:B,'Base stats'!E:E),Groups!A:A,Groups!AZ:AZ)=0,
AND(
_xlfn.XLOOKUP(B92,'Base stats'!B:B,'Base stats'!Y:Y)&lt;&gt;"Carnivore",
_xlfn.XLOOKUP(B92,'Base stats'!B:B,'Base stats'!Y:Y)&lt;&gt;"Omnivore",
_xlfn.XLOOKUP(B92,'Base stats'!B:B,'Base stats'!Y:Y)&lt;&gt;"OmnivoreRough"
)
),
"No",
IF(
_xlfn.XLOOKUP(_xlfn.XLOOKUP(B92,'Base stats'!B:B,'Base stats'!E:E),Groups!A:A,Groups!AZ:AZ)=1,
"Flesh",
IF(
_xlfn.XLOOKUP(_xlfn.XLOOKUP(B92,'Base stats'!B:B,'Base stats'!E:E),Groups!A:A,Groups!AZ:AZ)=2,
"Bone",
""
)
)
)</f>
        <v>No</v>
      </c>
      <c r="CI92" s="25" t="str">
        <f>IF(_xlfn.XLOOKUP(_xlfn.XLOOKUP(B92,'Base stats'!B:B,'Base stats'!E:E),Groups!A:A,Groups!BB:BB),"True","False")</f>
        <v>False</v>
      </c>
      <c r="CJ92" s="25" t="str">
        <f>IF(_xlfn.XLOOKUP(_xlfn.XLOOKUP(B92,'Base stats'!B:B,'Base stats'!E:E),Groups!A:A,Groups!BA:BA),"True","False")</f>
        <v>False</v>
      </c>
    </row>
    <row r="93" spans="1:88" ht="16.5" thickTop="1" thickBot="1" x14ac:dyDescent="0.3">
      <c r="A93" s="26" t="str">
        <f>_xlfn.XLOOKUP(B93,'Base stats'!B:B,'Base stats'!A:A)</f>
        <v>PrairieDog</v>
      </c>
      <c r="B93" s="6" t="s">
        <v>270</v>
      </c>
      <c r="C93" s="28" t="s">
        <v>773</v>
      </c>
      <c r="D93" s="28" t="s">
        <v>870</v>
      </c>
      <c r="E93" s="28" t="s">
        <v>673</v>
      </c>
      <c r="F93" s="28" t="s">
        <v>673</v>
      </c>
      <c r="G93" s="28" t="s">
        <v>673</v>
      </c>
      <c r="H93" s="2">
        <f>MROUND((
  (IF(AND(_xlfn.XLOOKUP(B93,'Base stats'!B:B,'Base stats'!AL:AL)=0,BI93="None",_xlfn.XLOOKUP(_xlfn.XLOOKUP(B93,'Base stats'!B:B,'Base stats'!E:E),Groups!A:A,Groups!B:B)=0), (18 + BR93 * 2.7) * 0.5,
    IF(AND(_xlfn.XLOOKUP(B93,'Base stats'!B:B,'Base stats'!AL:AL)=0,OR(AO93&lt;0.55,AND(BI93="Intermediate",_xlfn.XLOOKUP(_xlfn.XLOOKUP(B93,'Base stats'!B:B,'Base stats'!E:E),Groups!A:A,Groups!B:B)&lt;2))), (18 + BR93 * 2.7),
      IF(OR(BI93="Advanced",_xlfn.XLOOKUP(B93,'Base stats'!B:B,'Base stats'!AL:AL)=1,_xlfn.XLOOKUP(_xlfn.XLOOKUP(B93,'Base stats'!B:B,'Base stats'!E:E),Groups!A:A,Groups!B:B)=2), (18 + BR93 * 2.7) + 250, (18 + BR93 * 2.7))
    )
  ))
  + AO93 * 80
  + IF(COUNTIF(EggMilk!K$2:K$998, A93) &gt; 0, 125, 0)
  + IF(COUNTIF(EggMilk!P$2:P$998, A93) &gt; 0, 90, 0)
  + IF(COUNTIF(EggMilk!A$2:A$998, A93) &gt; 0, 90, 0)
)
* (0.8 + 0.4 * J93)
* 0.75,25)</f>
        <v>50</v>
      </c>
      <c r="I93" s="2">
        <f>MROUND(ROUNDDOWN(_xlfn.XLOOKUP(B93,'Base stats'!B:B,'Base stats'!L:L)/3.6/(23.3/11),1),0.5)</f>
        <v>2.5</v>
      </c>
      <c r="J93" s="2">
        <f>IF(OR(_xlfn.XLOOKUP(B93,'Base stats'!B:B,'Base stats'!AB:AB)=1,_xlfn.XLOOKUP(_xlfn.XLOOKUP(B93,'Base stats'!B:B,'Base stats'!E:E),Groups!A:A,Groups!C:C)="Untamable"),1,IF(_xlfn.XLOOKUP(B93,'Base stats'!B:B,'Base stats'!AL:AL)=1,0.99,MIN(MROUND((1-0.6282*EXP(-0.459*AO93))*_xlfn.XLOOKUP(_xlfn.XLOOKUP(B93,'Base stats'!B:B,'Base stats'!E:E),Groups!A:A,Groups!C:C)*IF(_xlfn.XLOOKUP(B93,'Base stats'!B:B,'Base stats'!O:O)=1,0.5,IF(_xlfn.XLOOKUP(B93,'Base stats'!B:B,'Base stats'!O:O)=2,0,1)),0.05),IF(AO93&gt;3.5,0.985,0.95))))</f>
        <v>0.5</v>
      </c>
      <c r="K93" s="2">
        <f>ROUNDUP(AO93*_xlfn.XLOOKUP(_xlfn.XLOOKUP(B93,'Base stats'!B:B,'Base stats'!E:E),Groups!A:A,Groups!E:E),0)</f>
        <v>1</v>
      </c>
      <c r="L93" s="2">
        <f>IF(OR(_xlfn.XLOOKUP(_xlfn.XLOOKUP(B93,'Base stats'!B:B,'Base stats'!E:E),Groups!A:A,Groups!F:F)=2,ISNUMBER(SEARCH("SeaIce",BX93)),ISNUMBER(SEARCH("IceSheet",BX93))),-50,IF(OR(ISNUMBER(SEARCH("GlacialPlain",BX93)),ISNUMBER(SEARCH("Tundra",BX93))),-40,IF(OR(ISNUMBER(SEARCH("Alpine",BX93)),ISNUMBER(SEARCH("BorealForest",BX93)),ISNUMBER(SEARCH("ColdBog",BX93))),-30,IF(OR(ISNUMBER(SEARCH("TemperateForest",BX93)),ISNUMBER(SEARCH("TemperateSwamp",BX93))),-20,IF(_xlfn.XLOOKUP(_xlfn.XLOOKUP(B93,'Base stats'!B:B,'Base stats'!E:E),Groups!A:A,Groups!F:F)=1,-15,IF(OR(ISNUMBER(SEARCH("Desert",BX93)),ISNUMBER(SEARCH("ExtremeDesert",BX93))),-10,IF(OR(ISNUMBER(SEARCH("Grasslands",BX93)),ISNUMBER(SEARCH("TropicalRainforest",BX93)),ISNUMBER(SEARCH("TropicalSwamp",BX93))),10,0)))))))-IF(CC93="False",MIN(IFERROR(MAX(MROUND(LOG10(_xlfn.XLOOKUP(B93,'Base stats'!B:B,'Base stats'!C:C)^(2/3))*10,5),5),5),30))-_xlfn.XLOOKUP(B93,'Base stats'!B:B,'Base stats'!P:P)+IF(CC93="True",5,0)</f>
        <v>5</v>
      </c>
      <c r="M93" s="2">
        <f>IF(OR(_xlfn.XLOOKUP(_xlfn.XLOOKUP(B93,'Base stats'!B:B,'Base stats'!E:E),Groups!A:A,Groups!G:G)=2,ISNUMBER(SEARCH("Desert",BX93)),ISNUMBER(SEARCH("ExtremeDesert",BX93)),ISNUMBER(SEARCH("LavaField",BX93))),50,IF(ISNUMBER(SEARCH("Grasslands",BX93)),45,IF(OR(_xlfn.XLOOKUP(_xlfn.XLOOKUP(B93,'Base stats'!B:B,'Base stats'!E:E),Groups!A:A,Groups!G:G)=1,ISNUMBER(SEARCH("TropicalRainforest",BX93)),ISNUMBER(SEARCH("TropicalSwamp",BX93))),40,IF(OR(ISNUMBER(SEARCH("TemperateForest",BX93)),ISNUMBER(SEARCH("TemperateSwamp",BX93))),35,IF(OR(ISNUMBER(SEARCH("Alpine",BX93)),ISNUMBER(SEARCH("BorealForest",BX93)),ISNUMBER(SEARCH("ColdBog",BX93))),30,IF(ISNUMBER(OR(ISNUMBER(SEARCH("GlacialPlain",BX93)),SEARCH("Tundra",BX93))),25,IF(OR(ISNUMBER(SEARCH("SeaIce",BX93)),ISNUMBER(SEARCH("IceSheet",BX93)),ISNUMBER(SEARCH("TropicalSwamp",BX93))),10,35)))))))+_xlfn.XLOOKUP(B93,'Base stats'!B:B,'Base stats'!Q:Q)</f>
        <v>45</v>
      </c>
      <c r="N93" s="8" t="str">
        <f>IF(
_xlfn.XLOOKUP(
_xlfn.XLOOKUP(B93,'Base stats'!B:B,'Base stats'!E:E),
Groups!A:A,
Groups!L:L
)=1,
MIN(
MROUND(
IF(
_xlfn.XLOOKUP(B93,'Animals CE'!B:B,'Animals CE'!Z:Z)&lt;=1.5,
_xlfn.XLOOKUP(B93,'Animals CE'!B:B,'Animals CE'!Z:Z)/2+0.05,
0.8+
(_xlfn.XLOOKUP(B93,'Animals CE'!B:B,'Animals CE'!Z:Z)-1.5)
*0.02
),
0.05
),
200%
),
"No"
)</f>
        <v>No</v>
      </c>
      <c r="O93" s="8" t="str">
        <f>IF(
_xlfn.XLOOKUP(
_xlfn.XLOOKUP(B93,'Base stats'!B:B,'Base stats'!E:E),
Groups!A:A,
Groups!L:L
)=1,
MIN(
MROUND(
IF(
_xlfn.XLOOKUP(B93,'Animals CE'!B:B,'Animals CE'!AA:AA)&lt;=1.5,
_xlfn.XLOOKUP(B93,'Animals CE'!B:B,'Animals CE'!AA:AA)/2+0.05,
0.8+
(_xlfn.XLOOKUP(B93,'Animals CE'!B:B,'Animals CE'!AA:AA)-1.5)
*0.02
),
0.05
),
200%
),
"No"
)</f>
        <v>No</v>
      </c>
      <c r="P93" s="2" t="str">
        <f>_xlfn.XLOOKUP(B93,'Base stats'!B:B,'Base stats'!R:R)</f>
        <v>Standard</v>
      </c>
      <c r="Q93" s="13">
        <f>MROUND((LOG10(_xlfn.XLOOKUP(B93,'Base stats'!B:B,'Base stats'!AR:AR))*(AO93^0.5)+(_xlfn.XLOOKUP(B93,'Base stats'!B:B,'Base stats'!AR:AR)/1000)^(2/3)+_xlfn.XLOOKUP(B93,'Base stats'!B:B,'Base stats'!BA:BA)/2)+0.5,0.5)</f>
        <v>1.5</v>
      </c>
      <c r="R93" s="7">
        <f>IF(Q93="No","No",MAX(1,MROUND(_xlfn.XLOOKUP(B93,'Base stats'!B:B,'Base stats'!C:C)^0.165,0.05)))</f>
        <v>1</v>
      </c>
      <c r="S93" s="13" t="str">
        <f>IF(_xlfn.XLOOKUP(_xlfn.XLOOKUP(B93,'Base stats'!B:B,'Base stats'!E:E),Groups!A:A,Groups!P:P)=0,"No",MROUND((LOG10(_xlfn.XLOOKUP(B93,'Base stats'!B:B,'Base stats'!AS:AS))*(AO93^0.5)+(_xlfn.XLOOKUP(B93,'Base stats'!B:B,'Base stats'!AS:AS)/1000)^(2/3)+_xlfn.XLOOKUP(B93,'Base stats'!B:B,'Base stats'!BA:BA))+_xlfn.XLOOKUP(B93,'Base stats'!B:B,'Base stats'!AY:AY)+0.5,0.5))</f>
        <v>No</v>
      </c>
      <c r="T93" s="7" t="str">
        <f>IF(S93="No","No",MAX(_xlfn.XLOOKUP(_xlfn.XLOOKUP(B93,'Base stats'!B:B,'Base stats'!E:E),Groups!A:A,Groups!Q:Q),MROUND(_xlfn.XLOOKUP(_xlfn.XLOOKUP(B93,'Base stats'!B:B,'Base stats'!E:E),Groups!A:A,Groups!Q:Q)*_xlfn.XLOOKUP(B93,'Base stats'!B:B,'Base stats'!C:C)^0.165,0.05)))</f>
        <v>No</v>
      </c>
      <c r="U93" s="7" t="str">
        <f>IF(S93="No","No",_xlfn.XLOOKUP(_xlfn.XLOOKUP(B93,'Base stats'!B:B,'Base stats'!E:E),Groups!A:A,Groups!R:R))</f>
        <v>No</v>
      </c>
      <c r="V93" s="7" t="str">
        <f>IF(S93="No","No",_xlfn.XLOOKUP(_xlfn.XLOOKUP(B93,'Base stats'!B:B,'Base stats'!E:E),Groups!A:A,Groups!S:S))</f>
        <v>No</v>
      </c>
      <c r="W93" s="7" t="str">
        <f>IF(S93="No","No",_xlfn.XLOOKUP(_xlfn.XLOOKUP(B93,'Base stats'!B:B,'Base stats'!E:E),Groups!A:A,Groups!T:T))</f>
        <v>No</v>
      </c>
      <c r="X93" s="13" t="str">
        <f>IF(_xlfn.XLOOKUP(B93,'Base stats'!B:B,'Base stats'!W:W)="No","No",MROUND((LOG10(_xlfn.XLOOKUP(B93,'Base stats'!B:B,'Base stats'!AU:AU))*(AO93^0.5)+(_xlfn.XLOOKUP(B93,'Base stats'!B:B,'Base stats'!AU:AU)/1000)^(2/3)+_xlfn.XLOOKUP(B93,'Base stats'!B:B,'Base stats'!AZ:AZ))+0.5+IF(_xlfn.XLOOKUP(_xlfn.XLOOKUP(B93,'Base stats'!B:B,'Base stats'!E:E),Groups!A:A,Groups!U:U)&lt;&gt;3,_xlfn.XLOOKUP(B93,'Base stats'!B:B,'Base stats'!BA:BA),0),0.5))</f>
        <v>No</v>
      </c>
      <c r="Y93" s="7" t="str">
        <f>IF(X93="No","No",MAX(_xlfn.XLOOKUP(_xlfn.XLOOKUP(B93,'Base stats'!B:B,'Base stats'!E:E),Groups!A:A,Groups!V:V),MROUND(_xlfn.XLOOKUP(_xlfn.XLOOKUP(B93,'Base stats'!B:B,'Base stats'!E:E),Groups!A:A,Groups!V:V)*_xlfn.XLOOKUP(B93,'Base stats'!B:B,'Base stats'!C:C)^0.165,0.05)))</f>
        <v>No</v>
      </c>
      <c r="Z93" s="7" t="str">
        <f>IF(X93="No","No",_xlfn.XLOOKUP(_xlfn.XLOOKUP(B93,'Base stats'!B:B,'Base stats'!E:E),Groups!A:A,Groups!W:W))</f>
        <v>No</v>
      </c>
      <c r="AA93" s="7" t="str">
        <f>IF(X93="No","No",_xlfn.XLOOKUP(_xlfn.XLOOKUP(B93,'Base stats'!B:B,'Base stats'!E:E),Groups!A:A,Groups!X:X))</f>
        <v>No</v>
      </c>
      <c r="AB93" s="7" t="str">
        <f>IF(X93="No","No",_xlfn.XLOOKUP(_xlfn.XLOOKUP(B93,'Base stats'!B:B,'Base stats'!E:E),Groups!A:A,Groups!Y:Y))</f>
        <v>No</v>
      </c>
      <c r="AC93" s="7" t="str">
        <f>_xlfn.XLOOKUP(Animals!B93,'Base stats'!B:B,'Base stats'!X:X)</f>
        <v>False</v>
      </c>
      <c r="AD93" s="13">
        <f>IF(_xlfn.XLOOKUP(B93,'Base stats'!B:B,'Base stats'!AT:AT)="No","No",MROUND((LOG10(_xlfn.XLOOKUP(B93,'Base stats'!B:B,'Base stats'!AT:AT))*(AO93^0.75)+(_xlfn.XLOOKUP(B93,'Base stats'!B:B,'Base stats'!AT:AT)/1000)^(2/3)+_xlfn.XLOOKUP(B93,'Base stats'!B:B,'Base stats'!AX:AX)+_xlfn.XLOOKUP(B93,'Base stats'!B:B,'Base stats'!BA:BA))+0.5,0.5))</f>
        <v>1.5</v>
      </c>
      <c r="AE93" s="7">
        <f>IF(AD93="No","No",MAX(_xlfn.XLOOKUP(_xlfn.XLOOKUP(B93,'Base stats'!B:B,'Base stats'!E:E),Groups!A:A,Groups!Z:Z),MROUND(_xlfn.XLOOKUP(_xlfn.XLOOKUP(B93,'Base stats'!B:B,'Base stats'!E:E),Groups!A:A,Groups!Z:Z)*_xlfn.XLOOKUP(B93,'Base stats'!B:B,'Base stats'!C:C)^0.165,0.05)))</f>
        <v>0.95000000000000007</v>
      </c>
      <c r="AF93" s="7" t="str">
        <f>IF(AD93="No","No",_xlfn.XLOOKUP(_xlfn.XLOOKUP(B93,'Base stats'!B:B,'Base stats'!E:E),Groups!A:A,Groups!AA:AA))</f>
        <v>Teeth</v>
      </c>
      <c r="AG93" s="7" t="str">
        <f>IF(AD93="No","No",_xlfn.XLOOKUP(_xlfn.XLOOKUP(B93,'Base stats'!B:B,'Base stats'!E:E),Groups!A:A,Groups!AB:AB))</f>
        <v>Incisors</v>
      </c>
      <c r="AH93" s="7" t="str">
        <f>IF(AD93="No","No",_xlfn.XLOOKUP(_xlfn.XLOOKUP(B93,'Base stats'!B:B,'Base stats'!E:E),Groups!A:A,Groups!AC:AC))</f>
        <v>Bite</v>
      </c>
      <c r="AI93" s="13" t="str">
        <f>IF(_xlfn.XLOOKUP(_xlfn.XLOOKUP(B93,'Base stats'!B:B,'Base stats'!E:E),Groups!A:A,Groups!AD:AD)=0,"No",MROUND((LOG10(_xlfn.XLOOKUP(B93,'Base stats'!B:B,'Base stats'!AS:AS))*(AO93^0.75)+(_xlfn.XLOOKUP(B93,'Base stats'!B:B,'Base stats'!AS:AS)/1000)^(2/3)+_xlfn.XLOOKUP(B93,'Base stats'!B:B,'Base stats'!AY:AY)+_xlfn.XLOOKUP(B93,'Base stats'!B:B,'Base stats'!BA:BA))+0.5,0.5))</f>
        <v>No</v>
      </c>
      <c r="AJ93" s="7" t="str">
        <f>IF(AI93="No","No",MAX(_xlfn.XLOOKUP(_xlfn.XLOOKUP(B93,'Base stats'!B:B,'Base stats'!E:E),Groups!A:A,Groups!AE:AE),MROUND(_xlfn.XLOOKUP(_xlfn.XLOOKUP(B93,'Base stats'!B:B,'Base stats'!E:E),Groups!A:A,Groups!AE:AE)*IF(_xlfn.XLOOKUP(_xlfn.XLOOKUP(B93,'Base stats'!B:B,'Base stats'!E:E),Groups!A:A,Groups!AJ:AJ)="Photonozoa",0.6,1)*_xlfn.XLOOKUP(B93,'Base stats'!B:B,'Base stats'!C:C)^0.165,0.05)))</f>
        <v>No</v>
      </c>
      <c r="AK93" s="7" t="str">
        <f>IF(AI93="No","No",_xlfn.XLOOKUP(_xlfn.XLOOKUP(B93,'Base stats'!B:B,'Base stats'!E:E),Groups!A:A,Groups!AF:AF))</f>
        <v>No</v>
      </c>
      <c r="AL93" s="7" t="str">
        <f>IF(AI93="No","No",_xlfn.XLOOKUP(_xlfn.XLOOKUP(B93,'Base stats'!B:B,'Base stats'!E:E),Groups!A:A,Groups!AG:AG))</f>
        <v>No</v>
      </c>
      <c r="AM93" s="7" t="str">
        <f>IF(AI93="No","No",_xlfn.XLOOKUP(_xlfn.XLOOKUP(B93,'Base stats'!B:B,'Base stats'!E:E),Groups!A:A,Groups!AH:AH))</f>
        <v>No</v>
      </c>
      <c r="AN93" s="2" t="str">
        <f t="shared" si="7"/>
        <v>No</v>
      </c>
      <c r="AO93" s="2">
        <f>MROUND(IF(AND(_xlfn.XLOOKUP(B93,'Base stats'!B:B,'Base stats'!C:C)&gt;=0.5,_xlfn.XLOOKUP(B93,'Base stats'!B:B,'Base stats'!C:C)&lt;=0.8),
IF(_xlfn.XLOOKUP(B93,'Base stats'!B:B,'Base stats'!C:C)&lt;0.1,0.05,IF(_xlfn.XLOOKUP(B93,'Base stats'!B:B,'Base stats'!C:C)&lt;=70,(_xlfn.XLOOKUP(B93,'Base stats'!B:B,'Base stats'!C:C)/70)^0.426489913056526,IF(_xlfn.XLOOKUP(B93,'Base stats'!B:B,'Base stats'!C:C)&lt;=400,(_xlfn.XLOOKUP(B93,'Base stats'!B:B,'Base stats'!C:C)/70)^0.572811455315093,IF(_xlfn.XLOOKUP(B93,'Base stats'!B:B,'Base stats'!C:C)&lt;=2000,2.71391647193063*(_xlfn.XLOOKUP(B93,'Base stats'!B:B,'Base stats'!C:C)/400)^0.252459582904293,3.74314280240376*(_xlfn.XLOOKUP(B93,'Base stats'!B:B,'Base stats'!C:C)/2000)^0.357012633876913)))),
IF(_xlfn.XLOOKUP(B93,'Base stats'!B:B,'Base stats'!C:C)&lt;0.1,0.05,IF(_xlfn.XLOOKUP(B93,'Base stats'!B:B,'Base stats'!C:C)&lt;0.4,0.1,IF(_xlfn.XLOOKUP(B93,'Base stats'!B:B,'Base stats'!C:C)&lt;=70,(_xlfn.XLOOKUP(B93,'Base stats'!B:B,'Base stats'!C:C)/70)^0.445823913056526,IF(_xlfn.XLOOKUP(B93,'Base stats'!B:B,'Base stats'!C:C)&lt;=400,(_xlfn.XLOOKUP(B93,'Base stats'!B:B,'Base stats'!C:C)/70)^0.572811455315093,IF(_xlfn.XLOOKUP(B93,'Base stats'!B:B,'Base stats'!C:C)&lt;=2000,2.71391647193063*(_xlfn.XLOOKUP(B93,'Base stats'!B:B,'Base stats'!C:C)/400)^0.252459582904293,3.74314280240376*(_xlfn.XLOOKUP(B93,'Base stats'!B:B,'Base stats'!C:C)/2000)^0.357012633876913)))))),
IF(_xlfn.XLOOKUP(B93,'Base stats'!B:B,'Base stats'!C:C)&lt;0.1,0.05,IF(_xlfn.XLOOKUP(B93,'Base stats'!B:B,'Base stats'!C:C)&lt;=100,0.05,IF(_xlfn.XLOOKUP(B93,'Base stats'!B:B,'Base stats'!C:C)&lt;=250,0.1,IF(_xlfn.XLOOKUP(B93,'Base stats'!B:B,'Base stats'!C:C)&lt;=4000,0.25,0.5)))))</f>
        <v>0.15000000000000002</v>
      </c>
      <c r="AP93" s="8">
        <f>MROUND(AO93*_xlfn.XLOOKUP(_xlfn.XLOOKUP(B93,'Base stats'!B:B,'Base stats'!E:E),Groups!A:A,Groups!AI:AI)*_xlfn.XLOOKUP(B93,'Base stats'!B:B,'Base stats'!Z:Z),0.05)</f>
        <v>0.15000000000000002</v>
      </c>
      <c r="AQ93" s="8">
        <f>MAX(0.01,MROUND(IF(CC93="True",0.196*(AO93*100*1000)^0.889,IF(_xlfn.XLOOKUP(_xlfn.XLOOKUP(B93,'Base stats'!B:B,'Base stats'!E:E),Groups!A:A,Groups!AJ:AJ)="Bird",10.5*(AO93*100*1000)^0.681,4.82*(AO93*100*1000)^0.734))/(4.82*(1*100*1000)^0.734)/IF(AO93&lt;3.5,2,IF(AO93=3.5,1.5,1.25))*(1+0.132282374779864/(AO93^0.994035016789033+0.00905238001496948)),0.05))</f>
        <v>0.25</v>
      </c>
      <c r="AR93" s="9">
        <f>IFERROR(MROUND(_xlfn.XLOOKUP(B93,'Base stats'!B:B,'Base stats'!H:H)/IF(_xlfn.XLOOKUP(B93,'Base stats'!B:B,'Base stats'!I:I)&lt;&gt;1,(122.5/70),1.2),IF(_xlfn.XLOOKUP(B93,'Base stats'!B:B,'Base stats'!H:H)&gt;=30,5,IF(_xlfn.XLOOKUP(B93,'Base stats'!B:B,'Base stats'!H:H)&gt;=15,3,IF(_xlfn.XLOOKUP(B93,'Base stats'!B:B,'Base stats'!H:H)&gt;=10,2,1)))),"Immortal")</f>
        <v>9</v>
      </c>
      <c r="AS93" s="35">
        <f>IFERROR(IF(OR(_xlfn.XLOOKUP(B93,'Base stats'!B:B,'Base stats'!F:F)="Atypical reproduction",_xlfn.XLOOKUP(B93,'Base stats'!B:B,'Base stats'!F:F)="Lay eggs"),"Lay eggs",MIN(20,MAX(5.5,ROUND(((_xlfn.XLOOKUP(B93,'Base stats'!B:B,'Base stats'!F:F)-25)*(14.5/615) + 5.5)*2,0)/2))),"Unknown")</f>
        <v>5.5</v>
      </c>
      <c r="AT93" s="8">
        <f>IF(_xlfn.XLOOKUP(B93,'Base stats'!B:B,'Base stats'!G:G)="Atypical reproduction","No",IFERROR(MAX(IF(_xlfn.XLOOKUP(B93,'Base stats'!B:B,'Base stats'!G:G)&lt;0.5,0.2,0.3),MROUND(_xlfn.XLOOKUP(B93,'Base stats'!B:B,'Base stats'!G:G)/(365/60),0.2)),"Unknown"))</f>
        <v>0.4</v>
      </c>
      <c r="AU93" s="8">
        <f t="shared" si="8"/>
        <v>0.2</v>
      </c>
      <c r="AV93" s="8">
        <f>IFERROR(IFERROR(MROUND(_xlfn.XLOOKUP(B93,'Base stats'!B:B,'Base stats'!J:J),0.1),"Lay eggs"),"Cannot breed")</f>
        <v>4</v>
      </c>
      <c r="AW93" s="2" t="str">
        <f t="shared" si="9"/>
        <v>true</v>
      </c>
      <c r="AX93" s="2" t="str">
        <f>IF(_xlfn.XLOOKUP(_xlfn.XLOOKUP(Animals!B93,'Base stats'!B:B,'Base stats'!E:E),Groups!A:A,Groups!AK:AK)=1,"true","false")</f>
        <v>false</v>
      </c>
      <c r="AY93" s="25" t="str">
        <f>IF(_xlfn.XLOOKUP(B93,'Base stats'!B:B,'Base stats'!Y:Y)="Liquor","Liquor, CarnivoreAnimalStrict",IF(AND(_xlfn.XLOOKUP(B93,'Base stats'!B:B,'Base stats'!Y:Y)="Carnivore",_xlfn.XLOOKUP(_xlfn.XLOOKUP(B93,'Base stats'!B:B,'Base stats'!E:E),Groups!A:A,Groups!AJ:AJ)="Photonozoa"),"CarnivoreAnimalStrict, OvivoreAnimal",IF(_xlfn.XLOOKUP(B93,'Base stats'!B:B,'Base stats'!Y:Y)="Carnivore","CarnivoreAnimal, OvivoreAnimal",IF(_xlfn.XLOOKUP(B93,'Base stats'!B:B,'Base stats'!Y:Y)="Dendrovore","VegetarianRoughAnimal, DendrovoreAnimal",IF(_xlfn.XLOOKUP(B93,'Base stats'!B:B,'Base stats'!Y:Y)="Herbivore","VegetarianRoughAnimal",IF(_xlfn.XLOOKUP(B93,'Base stats'!B:B,'Base stats'!Y:Y)="OmnivoreRough","OmnivoreRoughAnimal, OvivoreAnimal","OmnivoreAnimal, OvivoreAnimal"))))))</f>
        <v>VegetarianRoughAnimal</v>
      </c>
      <c r="AZ93" s="2" t="str">
        <f>IF(_xlfn.XLOOKUP(_xlfn.XLOOKUP(B93,'Base stats'!B:B,'Base stats'!E:E),Groups!A:A,Groups!D:D)=1,MROUND((1-J93)*5+1,2)*IF(J93&lt;=0.4,2,1),"No")</f>
        <v>No</v>
      </c>
      <c r="BA93" s="2" t="str">
        <f>IF(AND(_xlfn.XLOOKUP(B93,'Base stats'!B:B,'Base stats'!AH:AH)="&lt;li&gt;Seal&lt;/li&gt;",G93="Odyssey"),"&lt;li&gt;AEXP_Seal&lt;/li&gt;",_xlfn.XLOOKUP(B93,'Base stats'!B:B,'Base stats'!AH:AH))</f>
        <v>&lt;li&gt;Rat&lt;/li&gt;</v>
      </c>
      <c r="BB93" s="2" t="str">
        <f>_xlfn.XLOOKUP(B93,'Base stats'!B:B,'Base stats'!AG:AG)</f>
        <v>Leather_Light</v>
      </c>
      <c r="BC93" s="23" t="str">
        <f>_xlfn.XLOOKUP(_xlfn.XLOOKUP(B93,'Base stats'!B:B,'Base stats'!E:E),Groups!A:A,Groups!AL:AL)</f>
        <v>QuadrupedAnimalWithPawsAndTail</v>
      </c>
      <c r="BD93" s="23">
        <f>MIN(1,MROUND(IF(AND(AO93&lt;0.5,_xlfn.XLOOKUP(B93,'Base stats'!B:B,'Base stats'!AA:AA)=0),0,IF(OR(_xlfn.XLOOKUP(Animals!B93,'Base stats'!B:B,'Base stats'!O:O)=2,_xlfn.XLOOKUP(_xlfn.XLOOKUP(B93,'Base stats'!B:B,'Base stats'!E:E),Groups!A:A,Groups!AN:AN)=0),0,_xlfn.XLOOKUP(_xlfn.XLOOKUP(B93,'Base stats'!B:B,'Base stats'!E:E),Groups!A:A,Groups!AN:AN)/IF(_xlfn.XLOOKUP(Animals!B93,'Base stats'!B:B,'Base stats'!O:O)=1,2,1)))+_xlfn.XLOOKUP(B93,'Base stats'!B:B,'Base stats'!AC:AC),0.005))</f>
        <v>0</v>
      </c>
      <c r="BE93" s="23">
        <f>MIN(1,MROUND(IF(AND(AO93&lt;0.5,_xlfn.XLOOKUP(B93,'Base stats'!B:B,'Base stats'!AA:AA)=0),0,IF(_xlfn.XLOOKUP(_xlfn.XLOOKUP(B93,'Base stats'!B:B,'Base stats'!E:E),Groups!A:A,Groups!AO:AO)=0,0,_xlfn.XLOOKUP(_xlfn.XLOOKUP(B93,'Base stats'!B:B,'Base stats'!E:E),Groups!A:A,Groups!AO:AO)/IF(_xlfn.XLOOKUP(Animals!B93,'Base stats'!B:B,'Base stats'!O:O)=2,3,1)))+_xlfn.XLOOKUP(B93,'Base stats'!B:B,'Base stats'!AD:AD),0.005))</f>
        <v>0</v>
      </c>
      <c r="BF93" s="2" t="str">
        <f>IF(J93&gt;0.3,"No",_xlfn.XLOOKUP(_xlfn.XLOOKUP(Animals!B93,'Base stats'!B:B,'Base stats'!E:E),Groups!A:A,Groups!AP:AP))</f>
        <v>No</v>
      </c>
      <c r="BG93" s="2">
        <f>IF(AND(J93&lt;=0.65,_xlfn.XLOOKUP(_xlfn.XLOOKUP(Animals!B93,'Base stats'!B:B,'Base stats'!E:E),Groups!A:A,Groups!AP:AP)&lt;&gt;"No",_xlfn.XLOOKUP(_xlfn.XLOOKUP(B93,'Base stats'!B:B,'Base stats'!E:E),Groups!A:A,Groups!D:D)=0),MROUND((80/3)*IF(_xlfn.XLOOKUP(B93,'Base stats'!B:B,'Base stats'!O:O)=2,0.2,AO93) + 24*(1-IF(BF93="No",0,BF93)) + 16/3, 12),"No")</f>
        <v>36</v>
      </c>
      <c r="BH93" s="2">
        <f>IF(AND(_xlfn.XLOOKUP(_xlfn.XLOOKUP(B93,'Base stats'!B:B,'Base stats'!E:E),Groups!A:A,Groups!AQ:AQ)=1,AO93&lt;=0.35),8,12)</f>
        <v>8</v>
      </c>
      <c r="BI93" s="2" t="str">
        <f>IF(_xlfn.XLOOKUP(_xlfn.XLOOKUP(B93,'Base stats'!B:B,'Base stats'!E:E),Groups!A:A,Groups!D:D)=0,_xlfn.XLOOKUP(_xlfn.XLOOKUP(B93,'Base stats'!B:B,'Base stats'!E:E),Groups!A:A,Groups!AR:AR),"None")</f>
        <v>None</v>
      </c>
      <c r="BJ93" s="2" t="str">
        <f>IF(AND(_xlfn.XLOOKUP(_xlfn.XLOOKUP(B93,'Base stats'!B:B,'Base stats'!E:E),Groups!A:A,Groups!AS:AS)=1,OR(_xlfn.XLOOKUP(B93,'Base stats'!B:B,'Base stats'!Y:Y)="Carnivore",_xlfn.XLOOKUP(B93,'Base stats'!B:B,'Base stats'!Y:Y)="Omnivore")),"true","false")</f>
        <v>false</v>
      </c>
      <c r="BK93" s="2" t="str">
        <f>IF(BJ93="true",MROUND(IF(AND(AO93&gt;0.5,OR(_xlfn.XLOOKUP(_xlfn.XLOOKUP(B93,'Base stats'!B:B,'Base stats'!E:E),Groups!A:A,Groups!AJ:AJ)="Photonozoa",_xlfn.XLOOKUP(_xlfn.XLOOKUP(B93,'Base stats'!B:B,'Base stats'!E:E),Groups!A:A,Groups!AJ:AJ)="Mammal")),Animals!AO93*1.75*IF(AW93="true",1.5,1),IF(AO93&lt;0.5,Animals!AO93*0.5,Animals!AO93)),IF(AO93&gt;2,0.5,IF(AO93&gt;0.5,0.25,0.1))),"No")</f>
        <v>No</v>
      </c>
      <c r="BL93" s="2">
        <f t="shared" si="10"/>
        <v>0</v>
      </c>
      <c r="BM93" s="25" t="str">
        <f>IF(_xlfn.XLOOKUP(B93,'Base stats'!B:B,'Base stats'!AN:AN)="Standard","No",MROUND((_xlfn.XLOOKUP(B93,'Base stats'!B:B,'Base stats'!AN:AN)/3.6)/I93,0.1))</f>
        <v>No</v>
      </c>
      <c r="BN93" s="25" t="str">
        <f t="shared" si="11"/>
        <v>false</v>
      </c>
      <c r="BO93" s="25" t="str">
        <f>IF(AND(OR(_xlfn.XLOOKUP(B93,'Base stats'!B:B,'Base stats'!Y:Y)="Carnivore",_xlfn.XLOOKUP(B93,'Base stats'!B:B,'Base stats'!Y:Y)="Omnivore",_xlfn.XLOOKUP(B93,'Base stats'!B:B,'Base stats'!Y:Y)="OmnivoreRough"),_xlfn.XLOOKUP(_xlfn.XLOOKUP(B93,'Base stats'!B:B,'Base stats'!E:E),Groups!A:A,Groups!AT:AT)=1),"true","false")</f>
        <v>false</v>
      </c>
      <c r="BP93" s="25" t="str" cm="1">
        <f t="array" ref="BP93">IF(
  _xlfn.TEXTJOIN(", ",TRUE,
    IF(AND(BJ93="true",AO93&gt;0.5,BI93&lt;&gt;"None"),"AttackTarget",""),
    IF(AND(_xlfn.XLOOKUP(_xlfn.XLOOKUP(B93,'Base stats'!B:B,'Base stats'!E:E),Groups!A:A,Groups!AJ:AJ="Mammal"),OR(_xlfn.XLOOKUP(B93,'Base stats'!B:B,'Base stats'!Y:Y)="Omnivore",_xlfn.XLOOKUP(B93,'Base stats'!B:B,'Base stats'!Y:Y)="OmnivoreRough")),"Forage",""),
    IF(BG93&lt;=36,"Comfort",""),
    IF(_xlfn.XLOOKUP(B93,'Base stats'!B:B,'Base stats'!AE:AE)&lt;&gt;"No",_xlfn.XLOOKUP(B93,'Base stats'!B:B,'Base stats'!AE:AE),"")
  ) = "",
  "No",
  _xlfn.TEXTJOIN(", ",TRUE,
    IF(AND(BJ93="true",AO93&gt;0.5,BI93&lt;&gt;"None"),"AttackTarget",""),
    IF(AND(_xlfn.XLOOKUP(_xlfn.XLOOKUP(B93,'Base stats'!B:B,'Base stats'!E:E),Groups!A:A,Groups!AJ:AJ="Mammal"),OR(_xlfn.XLOOKUP(B93,'Base stats'!B:B,'Base stats'!Y:Y)="Omnivore",_xlfn.XLOOKUP(B93,'Base stats'!B:B,'Base stats'!Y:Y)="OmnivoreRough")),"Forage",""),
    IF(BG93&lt;=36,"Comfort",""),
    IF(_xlfn.XLOOKUP(B93,'Base stats'!B:B,'Base stats'!AE:AE)&lt;&gt;"No",_xlfn.XLOOKUP(B93,'Base stats'!B:B,'Base stats'!AE:AE),"")
  )
)</f>
        <v>Comfort</v>
      </c>
      <c r="BQ93" s="25" t="str">
        <f>IF(
   AND(
      'Base stats'!AN93="Standard",_xlfn.XLOOKUP(_xlfn.XLOOKUP(B93,'Base stats'!B:B,'Base stats'!E:E),Groups!A:A,Groups!AU:AU)=0,
      OR(
      BO93="True"
      )
   ),
   10,
   IF(
       OR(BM93&lt;&gt;"No",_xlfn.XLOOKUP(_xlfn.XLOOKUP(B93,'Base stats'!B:B,'Base stats'!E:E),Groups!A:A,Groups!AU:AU)=1),
      1,
      "No"
   )
)</f>
        <v>No</v>
      </c>
      <c r="BR93" s="9">
        <f>MROUND((1 + ((0.2*IF(OR(Q93="No",R93="No",R93=0),0,Q93/R93)
+IF(OR(V93="No",S93="No",T93="No"),0,S93/T93*(LEN(V93)-LEN(SUBSTITUTE(V93,",",""))+1))
+IF(OR(X93="No",Y93="No"),0,X93/Y93)
+IF(OR(AD93="No",AE93="No"),0,AD93/AE93)
+IF(OR(AL93="No",AI93="No",AJ93="No"),0,AI93/AJ93*(LEN(AL93)-LEN(SUBSTITUTE(AL93,",",""))+1))
)/(0.2*IF(OR(Q93="No",R93="No",R93=0),0,1)
+IF(OR(V93="No",S93="No",T93="No"),0,LEN(V93)-LEN(SUBSTITUTE(V93,",",""))+1)
+IF(OR(X93="No",Y93="No"),0,1)
+IF(OR(AD93="No",AE93="No"),0,1)
+IF(OR(AL93="No",AI93="No",AJ93="No"),0,LEN(AL93)-LEN(SUBSTITUTE(AL93,",",""))+1))*62%)* 2)*(1 + (AP93 / (IF(_xlfn.XLOOKUP(_xlfn.XLOOKUP(B93,'Base stats'!B:B,'Base stats'!E:E),Groups!A:A,Groups!AJ:AJ)="Photonozoa",0.3,1)) + _xlfn.XLOOKUP(B93,'Base stats'!B:B,'Base stats'!AV:AV) * 1.8) * 2) * 2.5 + 10 + I93 * 2,5)+IF(_xlfn.XLOOKUP(B93,'Base stats'!B:B,'Base stats'!AK:AK)=1,50,0)</f>
        <v>25</v>
      </c>
      <c r="BS93" s="8">
        <f t="shared" si="12"/>
        <v>0.25</v>
      </c>
      <c r="BT93" s="8" t="str">
        <f>_xlfn.XLOOKUP(B93,'Base stats'!B:B,'Base stats'!AF:AF)</f>
        <v>5~15</v>
      </c>
      <c r="BU93" s="2" t="str">
        <f>IF(AND(J93&lt;=0.95,OR(_xlfn.XLOOKUP(B93,'Base stats'!B:B,'Base stats'!AK:AK)=1,_xlfn.XLOOKUP(B93,'Base stats'!B:B,'Base stats'!Y:Y)="Carnivore",_xlfn.XLOOKUP(B93,'Base stats'!B:B,'Base stats'!Y:Y)="Omnivore",BE93&gt;0.1)),"true","false")</f>
        <v>false</v>
      </c>
      <c r="BV93" s="2" t="str">
        <f>IF(_xlfn.XLOOKUP(B93,'Base stats'!B:B,'Base stats'!AI:AI)=1,"true","false")</f>
        <v>false</v>
      </c>
      <c r="BW93" s="25" t="str">
        <f>IF(E93="BaseInsect","AnimalInsect",
IF(J93&gt;0.95,"AnimalExotic",
_xlfn.TEXTJOIN(", ",TRUE,
IF(OR(_xlfn.XLOOKUP(B93,'Base stats'!B:B,'Base stats'!AM:AM)=1,AND(_xlfn.XLOOKUP(B93,'Base stats'!B:B,'Base stats'!O:O)=0,_xlfn.XLOOKUP(_xlfn.XLOOKUP(B93,'Base stats'!B:B,'Base stats'!E:E),Groups!A:A,Groups!B:B)&gt;0)),"AnimalUncommon","AnimalCommon"),
IF(AND(_xlfn.XLOOKUP(B93,'Base stats'!B:B,'Base stats'!O:O)=2,_xlfn.XLOOKUP(_xlfn.XLOOKUP(B93,'Base stats'!B:B,'Base stats'!E:E),Groups!A:A,Groups!D:D)=0),"AnimalPet",IF(AND(_xlfn.XLOOKUP(B93,'Base stats'!B:B,'Base stats'!O:O)&lt;&gt;0,_xlfn.XLOOKUP(_xlfn.XLOOKUP(B93,'Base stats'!B:B,'Base stats'!E:E),Groups!A:A,Groups!D:D)&lt;&gt;0),"AnimalFarm","")),
IF(OR(_xlfn.XLOOKUP(B93,'Base stats'!B:B,'Base stats'!AK:AK)=1,AND(BI93&lt;&gt;"None",BR93&gt;=60),ISNUMBER(SEARCH("Attack target",BP93))),"AnimalFighter","")
)))</f>
        <v>AnimalCommon</v>
      </c>
      <c r="BX93" s="25" t="str">
        <f>IF(G93="None",TRIM(
SUBSTITUTE(
IF(COUNTIF(Biomes!B$2:B$259,"="&amp;$C93)&gt;0,Biomes!B$1&amp;", ","")&amp;
IF(COUNTIF(Biomes!C$2:C$259,"="&amp;$C93)&gt;0,Biomes!C$1&amp;", ","")&amp;
IF(COUNTIF(Biomes!D$2:D$259,"="&amp;$C93)&gt;0,Biomes!D$1&amp;", ","")&amp;
IF(COUNTIF(Biomes!F$2:F$259,"="&amp;$C93)&gt;0,Biomes!F$1&amp;", ","")&amp;
IF(COUNTIF(Biomes!G$2:G$259,"="&amp;$C93)&gt;0,Biomes!G$1&amp;", ","")&amp;
IF(COUNTIF(Biomes!H$2:H$259,"="&amp;$C93)&gt;0,Biomes!H$1&amp;", ","")&amp;
IF(COUNTIF(Biomes!I$2:I$259,"="&amp;$C93)&gt;0,Biomes!I$1&amp;", ","")&amp;
IF(COUNTIF(Biomes!J$2:J$259,"="&amp;$C93)&gt;0,Biomes!J$1&amp;", ","")&amp;
IF(COUNTIF(Biomes!M$2:M$259,"="&amp;$C93)&gt;0,Biomes!M$1&amp;", ","")&amp;
IF(COUNTIF(Biomes!N$2:N$259,"="&amp;$C93)&gt;0,Biomes!N$1&amp;", ","")&amp;
IF(COUNTIF(Biomes!O$2:O$259,"="&amp;$C93)&gt;0,Biomes!O$1&amp;", ","")&amp;
IF(COUNTIF(Biomes!P$2:P$259,"="&amp;$C93)&gt;0,Biomes!P$1&amp;", ","")&amp;
IF(COUNTIF(Biomes!K$2:K$259,"="&amp;$C93)&gt;0,Biomes!K$1&amp;", ","")&amp;
IF(COUNTIF(Biomes!Q$3:Q$259,"="&amp;$C93)&gt;0,Biomes!Q$1&amp;", ","")&amp;
IF(COUNTIF(Biomes!L$2:L$259,"="&amp;$C93)&gt;0,Biomes!L$1&amp;", ","")&amp;
IF(COUNTIF(Biomes!E$2:E$259,"="&amp;$C93)&gt;0,Biomes!E$1&amp;", ","")&amp;IF(COUNTIF(Biomes!S$2:S$259,"="&amp;$C93)&gt;0,Biomes!S$1&amp;", ","")&amp;
IF(COUNTIF(Biomes!R$2:R$259,"="&amp;$C93)&gt;0,Biomes!R$1&amp;", ",""),", ","")
),_xlfn.XLOOKUP(B93,B:B,BX:BX))</f>
        <v>Grasslands</v>
      </c>
      <c r="BY93" s="25" t="str">
        <f>IF(_xlfn.XLOOKUP(B93,'Base stats'!B:B,'Base stats'!AJ:AJ)=1,"true","false")</f>
        <v>false</v>
      </c>
      <c r="BZ93" s="25">
        <f>IF(_xlfn.XLOOKUP(B93,'Base stats'!B:B,'Base stats'!N:N)=1,"No",MAX(0.001,MIN(MROUND(IF(AND(BJ93="True",CC93="False"),POWER(10,3.47*LOG10(_xlfn.XLOOKUP(B93,'Base stats'!B:B,'Base stats'!C:C)*1000)^-0.96),POWER(10,4.15*LOG10(_xlfn.XLOOKUP(B93,'Base stats'!B:B,'Base stats'!C:C)*1000)^-0.73))*IF(_xlfn.XLOOKUP(B93,'Base stats'!B:B,'Base stats'!AK:AK)=1,0.5,1)*IF(_xlfn.XLOOKUP(B93,'Base stats'!B:B,'Base stats'!AM:AM)=1,0.1,1)/100,IF(_xlfn.XLOOKUP(B93,'Base stats'!B:B,'Base stats'!AM:AM)=1,0.001,0.025)),0.5)))</f>
        <v>0.5</v>
      </c>
      <c r="CA93" s="25" t="str">
        <f>IF(P93="Standard","No",MAX(0.001,MIN(MROUND(IF(AND(BJ93="True",CC93="False"),POWER(10,3.47*LOG10(_xlfn.XLOOKUP(B93,'Base stats'!B:B,'Base stats'!C:C)*1000)^-0.96),POWER(10,4.15*LOG10(_xlfn.XLOOKUP(B93,'Base stats'!B:B,'Base stats'!C:C)*1000)^-0.73))*IF(_xlfn.XLOOKUP(B93,'Base stats'!B:B,'Base stats'!AM:AM)=1,0.1,1)*_xlfn.XLOOKUP(B93,'Base stats'!B:B,'Base stats'!R:R)/100,IF(_xlfn.XLOOKUP(B93,'Base stats'!B:B,'Base stats'!AM:AM)=1,0.001,0.025)),0.5)))</f>
        <v>No</v>
      </c>
      <c r="CB93" s="25" t="str">
        <f>IF(_xlfn.XLOOKUP(_xlfn.XLOOKUP(B93,'Base stats'!B:B,'Base stats'!E:E),Groups!A:A,Groups!AJ:AJ)="Mammal","True","False")</f>
        <v>True</v>
      </c>
      <c r="CC93" s="25" t="str">
        <f>IF(OR(_xlfn.XLOOKUP(_xlfn.XLOOKUP(B93,'Base stats'!B:B,'Base stats'!E:E),Groups!A:A,Groups!AJ:AJ)="Reptile",_xlfn.XLOOKUP(_xlfn.XLOOKUP(B93,'Base stats'!B:B,'Base stats'!E:E),Groups!A:A,Groups!AJ:AJ)="Amphibian",_xlfn.XLOOKUP(_xlfn.XLOOKUP(B93,'Base stats'!B:B,'Base stats'!E:E),Groups!A:A,Groups!AJ:AJ)="Invertebrate"),"True","False")</f>
        <v>False</v>
      </c>
      <c r="CD93" s="25" t="str">
        <f t="shared" si="13"/>
        <v>False</v>
      </c>
      <c r="CE93" s="25" t="str">
        <f>IF(_xlfn.XLOOKUP(_xlfn.XLOOKUP(B93,'Base stats'!B:B,'Base stats'!E:E),Groups!A:A,Groups!AX:AX),"True","False")</f>
        <v>False</v>
      </c>
      <c r="CF93" s="25" t="str">
        <f>IF(_xlfn.XLOOKUP(_xlfn.XLOOKUP(B93,'Base stats'!B:B,'Base stats'!E:E),Groups!A:A,Groups!AY:AY),"True","False")</f>
        <v>False</v>
      </c>
      <c r="CG93" s="25" t="str">
        <f>IF(_xlfn.XLOOKUP(_xlfn.XLOOKUP(B93,'Base stats'!B:B,'Base stats'!E:E),Groups!A:A,Groups!AW:AW),"True","False")</f>
        <v>False</v>
      </c>
      <c r="CH93" s="25" t="str">
        <f>IF(
OR(
_xlfn.XLOOKUP(_xlfn.XLOOKUP(B93,'Base stats'!B:B,'Base stats'!E:E),Groups!A:A,Groups!AZ:AZ)=0,
AND(
_xlfn.XLOOKUP(B93,'Base stats'!B:B,'Base stats'!Y:Y)&lt;&gt;"Carnivore",
_xlfn.XLOOKUP(B93,'Base stats'!B:B,'Base stats'!Y:Y)&lt;&gt;"Omnivore",
_xlfn.XLOOKUP(B93,'Base stats'!B:B,'Base stats'!Y:Y)&lt;&gt;"OmnivoreRough"
)
),
"No",
IF(
_xlfn.XLOOKUP(_xlfn.XLOOKUP(B93,'Base stats'!B:B,'Base stats'!E:E),Groups!A:A,Groups!AZ:AZ)=1,
"Flesh",
IF(
_xlfn.XLOOKUP(_xlfn.XLOOKUP(B93,'Base stats'!B:B,'Base stats'!E:E),Groups!A:A,Groups!AZ:AZ)=2,
"Bone",
""
)
)
)</f>
        <v>No</v>
      </c>
      <c r="CI93" s="25" t="str">
        <f>IF(_xlfn.XLOOKUP(_xlfn.XLOOKUP(B93,'Base stats'!B:B,'Base stats'!E:E),Groups!A:A,Groups!BB:BB),"True","False")</f>
        <v>True</v>
      </c>
      <c r="CJ93" s="25" t="str">
        <f>IF(_xlfn.XLOOKUP(_xlfn.XLOOKUP(B93,'Base stats'!B:B,'Base stats'!E:E),Groups!A:A,Groups!BA:BA),"True","False")</f>
        <v>False</v>
      </c>
    </row>
    <row r="94" spans="1:88" ht="16.5" thickTop="1" thickBot="1" x14ac:dyDescent="0.3">
      <c r="A94" s="26" t="str">
        <f>_xlfn.XLOOKUP(B94,'Base stats'!B:B,'Base stats'!A:A)</f>
        <v>Porcupine</v>
      </c>
      <c r="B94" s="6" t="s">
        <v>260</v>
      </c>
      <c r="C94" s="28" t="s">
        <v>774</v>
      </c>
      <c r="D94" s="28" t="s">
        <v>870</v>
      </c>
      <c r="E94" s="28" t="s">
        <v>673</v>
      </c>
      <c r="F94" s="28" t="s">
        <v>673</v>
      </c>
      <c r="G94" s="28" t="s">
        <v>673</v>
      </c>
      <c r="H94" s="2">
        <f>MROUND((
  (IF(AND(_xlfn.XLOOKUP(B94,'Base stats'!B:B,'Base stats'!AL:AL)=0,BI94="None",_xlfn.XLOOKUP(_xlfn.XLOOKUP(B94,'Base stats'!B:B,'Base stats'!E:E),Groups!A:A,Groups!B:B)=0), (18 + BR94 * 2.7) * 0.5,
    IF(AND(_xlfn.XLOOKUP(B94,'Base stats'!B:B,'Base stats'!AL:AL)=0,OR(AO94&lt;0.55,AND(BI94="Intermediate",_xlfn.XLOOKUP(_xlfn.XLOOKUP(B94,'Base stats'!B:B,'Base stats'!E:E),Groups!A:A,Groups!B:B)&lt;2))), (18 + BR94 * 2.7),
      IF(OR(BI94="Advanced",_xlfn.XLOOKUP(B94,'Base stats'!B:B,'Base stats'!AL:AL)=1,_xlfn.XLOOKUP(_xlfn.XLOOKUP(B94,'Base stats'!B:B,'Base stats'!E:E),Groups!A:A,Groups!B:B)=2), (18 + BR94 * 2.7) + 250, (18 + BR94 * 2.7))
    )
  ))
  + AO94 * 80
  + IF(COUNTIF(EggMilk!K$2:K$998, A94) &gt; 0, 125, 0)
  + IF(COUNTIF(EggMilk!P$2:P$998, A94) &gt; 0, 90, 0)
  + IF(COUNTIF(EggMilk!A$2:A$998, A94) &gt; 0, 90, 0)
)
* (0.8 + 0.4 * J94)
* 0.75,25)</f>
        <v>100</v>
      </c>
      <c r="I94" s="2">
        <f>MROUND(ROUNDDOWN(_xlfn.XLOOKUP(B94,'Base stats'!B:B,'Base stats'!L:L)/3.6/(23.3/11),1),0.5)</f>
        <v>2</v>
      </c>
      <c r="J94" s="2">
        <f>IF(OR(_xlfn.XLOOKUP(B94,'Base stats'!B:B,'Base stats'!AB:AB)=1,_xlfn.XLOOKUP(_xlfn.XLOOKUP(B94,'Base stats'!B:B,'Base stats'!E:E),Groups!A:A,Groups!C:C)="Untamable"),1,IF(_xlfn.XLOOKUP(B94,'Base stats'!B:B,'Base stats'!AL:AL)=1,0.99,MIN(MROUND((1-0.6282*EXP(-0.459*AO94))*_xlfn.XLOOKUP(_xlfn.XLOOKUP(B94,'Base stats'!B:B,'Base stats'!E:E),Groups!A:A,Groups!C:C)*IF(_xlfn.XLOOKUP(B94,'Base stats'!B:B,'Base stats'!O:O)=1,0.5,IF(_xlfn.XLOOKUP(B94,'Base stats'!B:B,'Base stats'!O:O)=2,0,1)),0.05),IF(AO94&gt;3.5,0.985,0.95))))</f>
        <v>0.65</v>
      </c>
      <c r="K94" s="2">
        <f>ROUNDUP(AO94*_xlfn.XLOOKUP(_xlfn.XLOOKUP(B94,'Base stats'!B:B,'Base stats'!E:E),Groups!A:A,Groups!E:E),0)</f>
        <v>1</v>
      </c>
      <c r="L94" s="2">
        <f>IF(OR(_xlfn.XLOOKUP(_xlfn.XLOOKUP(B94,'Base stats'!B:B,'Base stats'!E:E),Groups!A:A,Groups!F:F)=2,ISNUMBER(SEARCH("SeaIce",BX94)),ISNUMBER(SEARCH("IceSheet",BX94))),-50,IF(OR(ISNUMBER(SEARCH("GlacialPlain",BX94)),ISNUMBER(SEARCH("Tundra",BX94))),-40,IF(OR(ISNUMBER(SEARCH("Alpine",BX94)),ISNUMBER(SEARCH("BorealForest",BX94)),ISNUMBER(SEARCH("ColdBog",BX94))),-30,IF(OR(ISNUMBER(SEARCH("TemperateForest",BX94)),ISNUMBER(SEARCH("TemperateSwamp",BX94))),-20,IF(_xlfn.XLOOKUP(_xlfn.XLOOKUP(B94,'Base stats'!B:B,'Base stats'!E:E),Groups!A:A,Groups!F:F)=1,-15,IF(OR(ISNUMBER(SEARCH("Desert",BX94)),ISNUMBER(SEARCH("ExtremeDesert",BX94))),-10,IF(OR(ISNUMBER(SEARCH("Grasslands",BX94)),ISNUMBER(SEARCH("TropicalRainforest",BX94)),ISNUMBER(SEARCH("TropicalSwamp",BX94))),10,0)))))))-IF(CC94="False",MIN(IFERROR(MAX(MROUND(LOG10(_xlfn.XLOOKUP(B94,'Base stats'!B:B,'Base stats'!C:C)^(2/3))*10,5),5),5),30))-_xlfn.XLOOKUP(B94,'Base stats'!B:B,'Base stats'!P:P)+IF(CC94="True",5,0)</f>
        <v>-50</v>
      </c>
      <c r="M94" s="2">
        <f>IF(OR(_xlfn.XLOOKUP(_xlfn.XLOOKUP(B94,'Base stats'!B:B,'Base stats'!E:E),Groups!A:A,Groups!G:G)=2,ISNUMBER(SEARCH("Desert",BX94)),ISNUMBER(SEARCH("ExtremeDesert",BX94)),ISNUMBER(SEARCH("LavaField",BX94))),50,IF(ISNUMBER(SEARCH("Grasslands",BX94)),45,IF(OR(_xlfn.XLOOKUP(_xlfn.XLOOKUP(B94,'Base stats'!B:B,'Base stats'!E:E),Groups!A:A,Groups!G:G)=1,ISNUMBER(SEARCH("TropicalRainforest",BX94)),ISNUMBER(SEARCH("TropicalSwamp",BX94))),40,IF(OR(ISNUMBER(SEARCH("TemperateForest",BX94)),ISNUMBER(SEARCH("TemperateSwamp",BX94))),35,IF(OR(ISNUMBER(SEARCH("Alpine",BX94)),ISNUMBER(SEARCH("BorealForest",BX94)),ISNUMBER(SEARCH("ColdBog",BX94))),30,IF(ISNUMBER(OR(ISNUMBER(SEARCH("GlacialPlain",BX94)),SEARCH("Tundra",BX94))),25,IF(OR(ISNUMBER(SEARCH("SeaIce",BX94)),ISNUMBER(SEARCH("IceSheet",BX94)),ISNUMBER(SEARCH("TropicalSwamp",BX94))),10,35)))))))+_xlfn.XLOOKUP(B94,'Base stats'!B:B,'Base stats'!Q:Q)</f>
        <v>35</v>
      </c>
      <c r="N94" s="8" t="str">
        <f>IF(
_xlfn.XLOOKUP(
_xlfn.XLOOKUP(B94,'Base stats'!B:B,'Base stats'!E:E),
Groups!A:A,
Groups!L:L
)=1,
MIN(
MROUND(
IF(
_xlfn.XLOOKUP(B94,'Animals CE'!B:B,'Animals CE'!Z:Z)&lt;=1.5,
_xlfn.XLOOKUP(B94,'Animals CE'!B:B,'Animals CE'!Z:Z)/2+0.05,
0.8+
(_xlfn.XLOOKUP(B94,'Animals CE'!B:B,'Animals CE'!Z:Z)-1.5)
*0.02
),
0.05
),
200%
),
"No"
)</f>
        <v>No</v>
      </c>
      <c r="O94" s="8" t="str">
        <f>IF(
_xlfn.XLOOKUP(
_xlfn.XLOOKUP(B94,'Base stats'!B:B,'Base stats'!E:E),
Groups!A:A,
Groups!L:L
)=1,
MIN(
MROUND(
IF(
_xlfn.XLOOKUP(B94,'Animals CE'!B:B,'Animals CE'!AA:AA)&lt;=1.5,
_xlfn.XLOOKUP(B94,'Animals CE'!B:B,'Animals CE'!AA:AA)/2+0.05,
0.8+
(_xlfn.XLOOKUP(B94,'Animals CE'!B:B,'Animals CE'!AA:AA)-1.5)
*0.02
),
0.05
),
200%
),
"No"
)</f>
        <v>No</v>
      </c>
      <c r="P94" s="2" t="str">
        <f>_xlfn.XLOOKUP(B94,'Base stats'!B:B,'Base stats'!R:R)</f>
        <v>Standard</v>
      </c>
      <c r="Q94" s="13">
        <f>MROUND((LOG10(_xlfn.XLOOKUP(B94,'Base stats'!B:B,'Base stats'!AR:AR))*(AO94^0.5)+(_xlfn.XLOOKUP(B94,'Base stats'!B:B,'Base stats'!AR:AR)/1000)^(2/3)+_xlfn.XLOOKUP(B94,'Base stats'!B:B,'Base stats'!BA:BA)/2)+0.5,0.5)</f>
        <v>4</v>
      </c>
      <c r="R94" s="7">
        <f>IF(Q94="No","No",MAX(1,MROUND(_xlfn.XLOOKUP(B94,'Base stats'!B:B,'Base stats'!C:C)^0.165,0.05)))</f>
        <v>1.55</v>
      </c>
      <c r="S94" s="13" t="str">
        <f>IF(_xlfn.XLOOKUP(_xlfn.XLOOKUP(B94,'Base stats'!B:B,'Base stats'!E:E),Groups!A:A,Groups!P:P)=0,"No",MROUND((LOG10(_xlfn.XLOOKUP(B94,'Base stats'!B:B,'Base stats'!AS:AS))*(AO94^0.5)+(_xlfn.XLOOKUP(B94,'Base stats'!B:B,'Base stats'!AS:AS)/1000)^(2/3)+_xlfn.XLOOKUP(B94,'Base stats'!B:B,'Base stats'!BA:BA))+_xlfn.XLOOKUP(B94,'Base stats'!B:B,'Base stats'!AY:AY)+0.5,0.5))</f>
        <v>No</v>
      </c>
      <c r="T94" s="7" t="str">
        <f>IF(S94="No","No",MAX(_xlfn.XLOOKUP(_xlfn.XLOOKUP(B94,'Base stats'!B:B,'Base stats'!E:E),Groups!A:A,Groups!Q:Q),MROUND(_xlfn.XLOOKUP(_xlfn.XLOOKUP(B94,'Base stats'!B:B,'Base stats'!E:E),Groups!A:A,Groups!Q:Q)*_xlfn.XLOOKUP(B94,'Base stats'!B:B,'Base stats'!C:C)^0.165,0.05)))</f>
        <v>No</v>
      </c>
      <c r="U94" s="7" t="str">
        <f>IF(S94="No","No",_xlfn.XLOOKUP(_xlfn.XLOOKUP(B94,'Base stats'!B:B,'Base stats'!E:E),Groups!A:A,Groups!R:R))</f>
        <v>No</v>
      </c>
      <c r="V94" s="7" t="str">
        <f>IF(S94="No","No",_xlfn.XLOOKUP(_xlfn.XLOOKUP(B94,'Base stats'!B:B,'Base stats'!E:E),Groups!A:A,Groups!S:S))</f>
        <v>No</v>
      </c>
      <c r="W94" s="7" t="str">
        <f>IF(S94="No","No",_xlfn.XLOOKUP(_xlfn.XLOOKUP(B94,'Base stats'!B:B,'Base stats'!E:E),Groups!A:A,Groups!T:T))</f>
        <v>No</v>
      </c>
      <c r="X94" s="13" t="str">
        <f>IF(_xlfn.XLOOKUP(B94,'Base stats'!B:B,'Base stats'!W:W)="No","No",MROUND((LOG10(_xlfn.XLOOKUP(B94,'Base stats'!B:B,'Base stats'!AU:AU))*(AO94^0.5)+(_xlfn.XLOOKUP(B94,'Base stats'!B:B,'Base stats'!AU:AU)/1000)^(2/3)+_xlfn.XLOOKUP(B94,'Base stats'!B:B,'Base stats'!AZ:AZ))+0.5+IF(_xlfn.XLOOKUP(_xlfn.XLOOKUP(B94,'Base stats'!B:B,'Base stats'!E:E),Groups!A:A,Groups!U:U)&lt;&gt;3,_xlfn.XLOOKUP(B94,'Base stats'!B:B,'Base stats'!BA:BA),0),0.5))</f>
        <v>No</v>
      </c>
      <c r="Y94" s="7" t="str">
        <f>IF(X94="No","No",MAX(_xlfn.XLOOKUP(_xlfn.XLOOKUP(B94,'Base stats'!B:B,'Base stats'!E:E),Groups!A:A,Groups!V:V),MROUND(_xlfn.XLOOKUP(_xlfn.XLOOKUP(B94,'Base stats'!B:B,'Base stats'!E:E),Groups!A:A,Groups!V:V)*_xlfn.XLOOKUP(B94,'Base stats'!B:B,'Base stats'!C:C)^0.165,0.05)))</f>
        <v>No</v>
      </c>
      <c r="Z94" s="7" t="str">
        <f>IF(X94="No","No",_xlfn.XLOOKUP(_xlfn.XLOOKUP(B94,'Base stats'!B:B,'Base stats'!E:E),Groups!A:A,Groups!W:W))</f>
        <v>No</v>
      </c>
      <c r="AA94" s="7" t="str">
        <f>IF(X94="No","No",_xlfn.XLOOKUP(_xlfn.XLOOKUP(B94,'Base stats'!B:B,'Base stats'!E:E),Groups!A:A,Groups!X:X))</f>
        <v>No</v>
      </c>
      <c r="AB94" s="7" t="str">
        <f>IF(X94="No","No",_xlfn.XLOOKUP(_xlfn.XLOOKUP(B94,'Base stats'!B:B,'Base stats'!E:E),Groups!A:A,Groups!Y:Y))</f>
        <v>No</v>
      </c>
      <c r="AC94" s="7" t="str">
        <f>_xlfn.XLOOKUP(Animals!B94,'Base stats'!B:B,'Base stats'!X:X)</f>
        <v>False</v>
      </c>
      <c r="AD94" s="13">
        <f>IF(_xlfn.XLOOKUP(B94,'Base stats'!B:B,'Base stats'!AT:AT)="No","No",MROUND((LOG10(_xlfn.XLOOKUP(B94,'Base stats'!B:B,'Base stats'!AT:AT))*(AO94^0.75)+(_xlfn.XLOOKUP(B94,'Base stats'!B:B,'Base stats'!AT:AT)/1000)^(2/3)+_xlfn.XLOOKUP(B94,'Base stats'!B:B,'Base stats'!AX:AX)+_xlfn.XLOOKUP(B94,'Base stats'!B:B,'Base stats'!BA:BA))+0.5,0.5))</f>
        <v>7.5</v>
      </c>
      <c r="AE94" s="7">
        <f>IF(AD94="No","No",MAX(_xlfn.XLOOKUP(_xlfn.XLOOKUP(B94,'Base stats'!B:B,'Base stats'!E:E),Groups!A:A,Groups!Z:Z),MROUND(_xlfn.XLOOKUP(_xlfn.XLOOKUP(B94,'Base stats'!B:B,'Base stats'!E:E),Groups!A:A,Groups!Z:Z)*_xlfn.XLOOKUP(B94,'Base stats'!B:B,'Base stats'!C:C)^0.165,0.05)))</f>
        <v>1.5</v>
      </c>
      <c r="AF94" s="7" t="str">
        <f>IF(AD94="No","No",_xlfn.XLOOKUP(_xlfn.XLOOKUP(B94,'Base stats'!B:B,'Base stats'!E:E),Groups!A:A,Groups!AA:AA))</f>
        <v>Teeth</v>
      </c>
      <c r="AG94" s="7" t="str">
        <f>IF(AD94="No","No",_xlfn.XLOOKUP(_xlfn.XLOOKUP(B94,'Base stats'!B:B,'Base stats'!E:E),Groups!A:A,Groups!AB:AB))</f>
        <v>Incisors</v>
      </c>
      <c r="AH94" s="7" t="str">
        <f>IF(AD94="No","No",_xlfn.XLOOKUP(_xlfn.XLOOKUP(B94,'Base stats'!B:B,'Base stats'!E:E),Groups!A:A,Groups!AC:AC))</f>
        <v>Bite</v>
      </c>
      <c r="AI94" s="13" t="str">
        <f>IF(_xlfn.XLOOKUP(_xlfn.XLOOKUP(B94,'Base stats'!B:B,'Base stats'!E:E),Groups!A:A,Groups!AD:AD)=0,"No",MROUND((LOG10(_xlfn.XLOOKUP(B94,'Base stats'!B:B,'Base stats'!AS:AS))*(AO94^0.75)+(_xlfn.XLOOKUP(B94,'Base stats'!B:B,'Base stats'!AS:AS)/1000)^(2/3)+_xlfn.XLOOKUP(B94,'Base stats'!B:B,'Base stats'!AY:AY)+_xlfn.XLOOKUP(B94,'Base stats'!B:B,'Base stats'!BA:BA))+0.5,0.5))</f>
        <v>No</v>
      </c>
      <c r="AJ94" s="7" t="str">
        <f>IF(AI94="No","No",MAX(_xlfn.XLOOKUP(_xlfn.XLOOKUP(B94,'Base stats'!B:B,'Base stats'!E:E),Groups!A:A,Groups!AE:AE),MROUND(_xlfn.XLOOKUP(_xlfn.XLOOKUP(B94,'Base stats'!B:B,'Base stats'!E:E),Groups!A:A,Groups!AE:AE)*IF(_xlfn.XLOOKUP(_xlfn.XLOOKUP(B94,'Base stats'!B:B,'Base stats'!E:E),Groups!A:A,Groups!AJ:AJ)="Photonozoa",0.6,1)*_xlfn.XLOOKUP(B94,'Base stats'!B:B,'Base stats'!C:C)^0.165,0.05)))</f>
        <v>No</v>
      </c>
      <c r="AK94" s="7" t="str">
        <f>IF(AI94="No","No",_xlfn.XLOOKUP(_xlfn.XLOOKUP(B94,'Base stats'!B:B,'Base stats'!E:E),Groups!A:A,Groups!AF:AF))</f>
        <v>No</v>
      </c>
      <c r="AL94" s="7" t="str">
        <f>IF(AI94="No","No",_xlfn.XLOOKUP(_xlfn.XLOOKUP(B94,'Base stats'!B:B,'Base stats'!E:E),Groups!A:A,Groups!AG:AG))</f>
        <v>No</v>
      </c>
      <c r="AM94" s="7" t="str">
        <f>IF(AI94="No","No",_xlfn.XLOOKUP(_xlfn.XLOOKUP(B94,'Base stats'!B:B,'Base stats'!E:E),Groups!A:A,Groups!AH:AH))</f>
        <v>No</v>
      </c>
      <c r="AN94" s="2" t="str">
        <f t="shared" si="7"/>
        <v>No</v>
      </c>
      <c r="AO94" s="2">
        <f>MROUND(IF(AND(_xlfn.XLOOKUP(B94,'Base stats'!B:B,'Base stats'!C:C)&gt;=0.5,_xlfn.XLOOKUP(B94,'Base stats'!B:B,'Base stats'!C:C)&lt;=0.8),
IF(_xlfn.XLOOKUP(B94,'Base stats'!B:B,'Base stats'!C:C)&lt;0.1,0.05,IF(_xlfn.XLOOKUP(B94,'Base stats'!B:B,'Base stats'!C:C)&lt;=70,(_xlfn.XLOOKUP(B94,'Base stats'!B:B,'Base stats'!C:C)/70)^0.426489913056526,IF(_xlfn.XLOOKUP(B94,'Base stats'!B:B,'Base stats'!C:C)&lt;=400,(_xlfn.XLOOKUP(B94,'Base stats'!B:B,'Base stats'!C:C)/70)^0.572811455315093,IF(_xlfn.XLOOKUP(B94,'Base stats'!B:B,'Base stats'!C:C)&lt;=2000,2.71391647193063*(_xlfn.XLOOKUP(B94,'Base stats'!B:B,'Base stats'!C:C)/400)^0.252459582904293,3.74314280240376*(_xlfn.XLOOKUP(B94,'Base stats'!B:B,'Base stats'!C:C)/2000)^0.357012633876913)))),
IF(_xlfn.XLOOKUP(B94,'Base stats'!B:B,'Base stats'!C:C)&lt;0.1,0.05,IF(_xlfn.XLOOKUP(B94,'Base stats'!B:B,'Base stats'!C:C)&lt;0.4,0.1,IF(_xlfn.XLOOKUP(B94,'Base stats'!B:B,'Base stats'!C:C)&lt;=70,(_xlfn.XLOOKUP(B94,'Base stats'!B:B,'Base stats'!C:C)/70)^0.445823913056526,IF(_xlfn.XLOOKUP(B94,'Base stats'!B:B,'Base stats'!C:C)&lt;=400,(_xlfn.XLOOKUP(B94,'Base stats'!B:B,'Base stats'!C:C)/70)^0.572811455315093,IF(_xlfn.XLOOKUP(B94,'Base stats'!B:B,'Base stats'!C:C)&lt;=2000,2.71391647193063*(_xlfn.XLOOKUP(B94,'Base stats'!B:B,'Base stats'!C:C)/400)^0.252459582904293,3.74314280240376*(_xlfn.XLOOKUP(B94,'Base stats'!B:B,'Base stats'!C:C)/2000)^0.357012633876913)))))),
IF(_xlfn.XLOOKUP(B94,'Base stats'!B:B,'Base stats'!C:C)&lt;0.1,0.05,IF(_xlfn.XLOOKUP(B94,'Base stats'!B:B,'Base stats'!C:C)&lt;=100,0.05,IF(_xlfn.XLOOKUP(B94,'Base stats'!B:B,'Base stats'!C:C)&lt;=250,0.1,IF(_xlfn.XLOOKUP(B94,'Base stats'!B:B,'Base stats'!C:C)&lt;=4000,0.25,0.5)))))</f>
        <v>0.5</v>
      </c>
      <c r="AP94" s="8">
        <f>MROUND(AO94*_xlfn.XLOOKUP(_xlfn.XLOOKUP(B94,'Base stats'!B:B,'Base stats'!E:E),Groups!A:A,Groups!AI:AI)*_xlfn.XLOOKUP(B94,'Base stats'!B:B,'Base stats'!Z:Z),0.05)</f>
        <v>0.5</v>
      </c>
      <c r="AQ94" s="8">
        <f>MAX(0.01,MROUND(IF(CC94="True",0.196*(AO94*100*1000)^0.889,IF(_xlfn.XLOOKUP(_xlfn.XLOOKUP(B94,'Base stats'!B:B,'Base stats'!E:E),Groups!A:A,Groups!AJ:AJ)="Bird",10.5*(AO94*100*1000)^0.681,4.82*(AO94*100*1000)^0.734))/(4.82*(1*100*1000)^0.734)/IF(AO94&lt;3.5,2,IF(AO94=3.5,1.5,1.25))*(1+0.132282374779864/(AO94^0.994035016789033+0.00905238001496948)),0.05))</f>
        <v>0.4</v>
      </c>
      <c r="AR94" s="9">
        <f>IFERROR(MROUND(_xlfn.XLOOKUP(B94,'Base stats'!B:B,'Base stats'!H:H)/IF(_xlfn.XLOOKUP(B94,'Base stats'!B:B,'Base stats'!I:I)&lt;&gt;1,(122.5/70),1.2),IF(_xlfn.XLOOKUP(B94,'Base stats'!B:B,'Base stats'!H:H)&gt;=30,5,IF(_xlfn.XLOOKUP(B94,'Base stats'!B:B,'Base stats'!H:H)&gt;=15,3,IF(_xlfn.XLOOKUP(B94,'Base stats'!B:B,'Base stats'!H:H)&gt;=10,2,1)))),"Immortal")</f>
        <v>12</v>
      </c>
      <c r="AS94" s="35">
        <f>IFERROR(IF(OR(_xlfn.XLOOKUP(B94,'Base stats'!B:B,'Base stats'!F:F)="Atypical reproduction",_xlfn.XLOOKUP(B94,'Base stats'!B:B,'Base stats'!F:F)="Lay eggs"),"Lay eggs",MIN(20,MAX(5.5,ROUND(((_xlfn.XLOOKUP(B94,'Base stats'!B:B,'Base stats'!F:F)-25)*(14.5/615) + 5.5)*2,0)/2))),"Unknown")</f>
        <v>10</v>
      </c>
      <c r="AT94" s="8">
        <f>IF(_xlfn.XLOOKUP(B94,'Base stats'!B:B,'Base stats'!G:G)="Atypical reproduction","No",IFERROR(MAX(IF(_xlfn.XLOOKUP(B94,'Base stats'!B:B,'Base stats'!G:G)&lt;0.5,0.2,0.3),MROUND(_xlfn.XLOOKUP(B94,'Base stats'!B:B,'Base stats'!G:G)/(365/60),0.2)),"Unknown"))</f>
        <v>0.4</v>
      </c>
      <c r="AU94" s="8">
        <f t="shared" si="8"/>
        <v>0.2</v>
      </c>
      <c r="AV94" s="8">
        <f>IFERROR(IFERROR(MROUND(_xlfn.XLOOKUP(B94,'Base stats'!B:B,'Base stats'!J:J),0.1),"Lay eggs"),"Cannot breed")</f>
        <v>1</v>
      </c>
      <c r="AW94" s="2" t="str">
        <f t="shared" si="9"/>
        <v>false</v>
      </c>
      <c r="AX94" s="2" t="str">
        <f>IF(_xlfn.XLOOKUP(_xlfn.XLOOKUP(Animals!B94,'Base stats'!B:B,'Base stats'!E:E),Groups!A:A,Groups!AK:AK)=1,"true","false")</f>
        <v>false</v>
      </c>
      <c r="AY94" s="25" t="str">
        <f>IF(_xlfn.XLOOKUP(B94,'Base stats'!B:B,'Base stats'!Y:Y)="Liquor","Liquor, CarnivoreAnimalStrict",IF(AND(_xlfn.XLOOKUP(B94,'Base stats'!B:B,'Base stats'!Y:Y)="Carnivore",_xlfn.XLOOKUP(_xlfn.XLOOKUP(B94,'Base stats'!B:B,'Base stats'!E:E),Groups!A:A,Groups!AJ:AJ)="Photonozoa"),"CarnivoreAnimalStrict, OvivoreAnimal",IF(_xlfn.XLOOKUP(B94,'Base stats'!B:B,'Base stats'!Y:Y)="Carnivore","CarnivoreAnimal, OvivoreAnimal",IF(_xlfn.XLOOKUP(B94,'Base stats'!B:B,'Base stats'!Y:Y)="Dendrovore","VegetarianRoughAnimal, DendrovoreAnimal",IF(_xlfn.XLOOKUP(B94,'Base stats'!B:B,'Base stats'!Y:Y)="Herbivore","VegetarianRoughAnimal",IF(_xlfn.XLOOKUP(B94,'Base stats'!B:B,'Base stats'!Y:Y)="OmnivoreRough","OmnivoreRoughAnimal, OvivoreAnimal","OmnivoreAnimal, OvivoreAnimal"))))))</f>
        <v>VegetarianRoughAnimal</v>
      </c>
      <c r="AZ94" s="2" t="str">
        <f>IF(_xlfn.XLOOKUP(_xlfn.XLOOKUP(B94,'Base stats'!B:B,'Base stats'!E:E),Groups!A:A,Groups!D:D)=1,MROUND((1-J94)*5+1,2)*IF(J94&lt;=0.4,2,1),"No")</f>
        <v>No</v>
      </c>
      <c r="BA94" s="2" t="str">
        <f>IF(AND(_xlfn.XLOOKUP(B94,'Base stats'!B:B,'Base stats'!AH:AH)="&lt;li&gt;Seal&lt;/li&gt;",G94="Odyssey"),"&lt;li&gt;AEXP_Seal&lt;/li&gt;",_xlfn.XLOOKUP(B94,'Base stats'!B:B,'Base stats'!AH:AH))</f>
        <v>No</v>
      </c>
      <c r="BB94" s="2" t="str">
        <f>_xlfn.XLOOKUP(B94,'Base stats'!B:B,'Base stats'!AG:AG)</f>
        <v>Leather_Light</v>
      </c>
      <c r="BC94" s="23" t="str">
        <f>_xlfn.XLOOKUP(_xlfn.XLOOKUP(B94,'Base stats'!B:B,'Base stats'!E:E),Groups!A:A,Groups!AL:AL)</f>
        <v>QuadrupedAnimalWithPawsAndTail</v>
      </c>
      <c r="BD94" s="23">
        <f>MIN(1,MROUND(IF(AND(AO94&lt;0.5,_xlfn.XLOOKUP(B94,'Base stats'!B:B,'Base stats'!AA:AA)=0),0,IF(OR(_xlfn.XLOOKUP(Animals!B94,'Base stats'!B:B,'Base stats'!O:O)=2,_xlfn.XLOOKUP(_xlfn.XLOOKUP(B94,'Base stats'!B:B,'Base stats'!E:E),Groups!A:A,Groups!AN:AN)=0),0,_xlfn.XLOOKUP(_xlfn.XLOOKUP(B94,'Base stats'!B:B,'Base stats'!E:E),Groups!A:A,Groups!AN:AN)/IF(_xlfn.XLOOKUP(Animals!B94,'Base stats'!B:B,'Base stats'!O:O)=1,2,1)))+_xlfn.XLOOKUP(B94,'Base stats'!B:B,'Base stats'!AC:AC),0.005))</f>
        <v>0.1</v>
      </c>
      <c r="BE94" s="23">
        <f>MIN(1,MROUND(IF(AND(AO94&lt;0.5,_xlfn.XLOOKUP(B94,'Base stats'!B:B,'Base stats'!AA:AA)=0),0,IF(_xlfn.XLOOKUP(_xlfn.XLOOKUP(B94,'Base stats'!B:B,'Base stats'!E:E),Groups!A:A,Groups!AO:AO)=0,0,_xlfn.XLOOKUP(_xlfn.XLOOKUP(B94,'Base stats'!B:B,'Base stats'!E:E),Groups!A:A,Groups!AO:AO)/IF(_xlfn.XLOOKUP(Animals!B94,'Base stats'!B:B,'Base stats'!O:O)=2,3,1)))+_xlfn.XLOOKUP(B94,'Base stats'!B:B,'Base stats'!AD:AD),0.005))</f>
        <v>0.3</v>
      </c>
      <c r="BF94" s="2" t="str">
        <f>IF(J94&gt;0.3,"No",_xlfn.XLOOKUP(_xlfn.XLOOKUP(Animals!B94,'Base stats'!B:B,'Base stats'!E:E),Groups!A:A,Groups!AP:AP))</f>
        <v>No</v>
      </c>
      <c r="BG94" s="2">
        <f>IF(AND(J94&lt;=0.65,_xlfn.XLOOKUP(_xlfn.XLOOKUP(Animals!B94,'Base stats'!B:B,'Base stats'!E:E),Groups!A:A,Groups!AP:AP)&lt;&gt;"No",_xlfn.XLOOKUP(_xlfn.XLOOKUP(B94,'Base stats'!B:B,'Base stats'!E:E),Groups!A:A,Groups!D:D)=0),MROUND((80/3)*IF(_xlfn.XLOOKUP(B94,'Base stats'!B:B,'Base stats'!O:O)=2,0.2,AO94) + 24*(1-IF(BF94="No",0,BF94)) + 16/3, 12),"No")</f>
        <v>48</v>
      </c>
      <c r="BH94" s="2">
        <f>IF(AND(_xlfn.XLOOKUP(_xlfn.XLOOKUP(B94,'Base stats'!B:B,'Base stats'!E:E),Groups!A:A,Groups!AQ:AQ)=1,AO94&lt;=0.35),8,12)</f>
        <v>12</v>
      </c>
      <c r="BI94" s="2" t="str">
        <f>IF(_xlfn.XLOOKUP(_xlfn.XLOOKUP(B94,'Base stats'!B:B,'Base stats'!E:E),Groups!A:A,Groups!D:D)=0,_xlfn.XLOOKUP(_xlfn.XLOOKUP(B94,'Base stats'!B:B,'Base stats'!E:E),Groups!A:A,Groups!AR:AR),"None")</f>
        <v>None</v>
      </c>
      <c r="BJ94" s="2" t="str">
        <f>IF(AND(_xlfn.XLOOKUP(_xlfn.XLOOKUP(B94,'Base stats'!B:B,'Base stats'!E:E),Groups!A:A,Groups!AS:AS)=1,OR(_xlfn.XLOOKUP(B94,'Base stats'!B:B,'Base stats'!Y:Y)="Carnivore",_xlfn.XLOOKUP(B94,'Base stats'!B:B,'Base stats'!Y:Y)="Omnivore")),"true","false")</f>
        <v>false</v>
      </c>
      <c r="BK94" s="2" t="str">
        <f>IF(BJ94="true",MROUND(IF(AND(AO94&gt;0.5,OR(_xlfn.XLOOKUP(_xlfn.XLOOKUP(B94,'Base stats'!B:B,'Base stats'!E:E),Groups!A:A,Groups!AJ:AJ)="Photonozoa",_xlfn.XLOOKUP(_xlfn.XLOOKUP(B94,'Base stats'!B:B,'Base stats'!E:E),Groups!A:A,Groups!AJ:AJ)="Mammal")),Animals!AO94*1.75*IF(AW94="true",1.5,1),IF(AO94&lt;0.5,Animals!AO94*0.5,Animals!AO94)),IF(AO94&gt;2,0.5,IF(AO94&gt;0.5,0.25,0.1))),"No")</f>
        <v>No</v>
      </c>
      <c r="BL94" s="2">
        <f t="shared" si="10"/>
        <v>0</v>
      </c>
      <c r="BM94" s="25" t="str">
        <f>IF(_xlfn.XLOOKUP(B94,'Base stats'!B:B,'Base stats'!AN:AN)="Standard","No",MROUND((_xlfn.XLOOKUP(B94,'Base stats'!B:B,'Base stats'!AN:AN)/3.6)/I94,0.1))</f>
        <v>No</v>
      </c>
      <c r="BN94" s="25" t="str">
        <f t="shared" si="11"/>
        <v>false</v>
      </c>
      <c r="BO94" s="25" t="str">
        <f>IF(AND(OR(_xlfn.XLOOKUP(B94,'Base stats'!B:B,'Base stats'!Y:Y)="Carnivore",_xlfn.XLOOKUP(B94,'Base stats'!B:B,'Base stats'!Y:Y)="Omnivore",_xlfn.XLOOKUP(B94,'Base stats'!B:B,'Base stats'!Y:Y)="OmnivoreRough"),_xlfn.XLOOKUP(_xlfn.XLOOKUP(B94,'Base stats'!B:B,'Base stats'!E:E),Groups!A:A,Groups!AT:AT)=1),"true","false")</f>
        <v>false</v>
      </c>
      <c r="BP94" s="25" t="str" cm="1">
        <f t="array" ref="BP94">IF(
  _xlfn.TEXTJOIN(", ",TRUE,
    IF(AND(BJ94="true",AO94&gt;0.5,BI94&lt;&gt;"None"),"AttackTarget",""),
    IF(AND(_xlfn.XLOOKUP(_xlfn.XLOOKUP(B94,'Base stats'!B:B,'Base stats'!E:E),Groups!A:A,Groups!AJ:AJ="Mammal"),OR(_xlfn.XLOOKUP(B94,'Base stats'!B:B,'Base stats'!Y:Y)="Omnivore",_xlfn.XLOOKUP(B94,'Base stats'!B:B,'Base stats'!Y:Y)="OmnivoreRough")),"Forage",""),
    IF(BG94&lt;=36,"Comfort",""),
    IF(_xlfn.XLOOKUP(B94,'Base stats'!B:B,'Base stats'!AE:AE)&lt;&gt;"No",_xlfn.XLOOKUP(B94,'Base stats'!B:B,'Base stats'!AE:AE),"")
  ) = "",
  "No",
  _xlfn.TEXTJOIN(", ",TRUE,
    IF(AND(BJ94="true",AO94&gt;0.5,BI94&lt;&gt;"None"),"AttackTarget",""),
    IF(AND(_xlfn.XLOOKUP(_xlfn.XLOOKUP(B94,'Base stats'!B:B,'Base stats'!E:E),Groups!A:A,Groups!AJ:AJ="Mammal"),OR(_xlfn.XLOOKUP(B94,'Base stats'!B:B,'Base stats'!Y:Y)="Omnivore",_xlfn.XLOOKUP(B94,'Base stats'!B:B,'Base stats'!Y:Y)="OmnivoreRough")),"Forage",""),
    IF(BG94&lt;=36,"Comfort",""),
    IF(_xlfn.XLOOKUP(B94,'Base stats'!B:B,'Base stats'!AE:AE)&lt;&gt;"No",_xlfn.XLOOKUP(B94,'Base stats'!B:B,'Base stats'!AE:AE),"")
  )
)</f>
        <v>No</v>
      </c>
      <c r="BQ94" s="25" t="str">
        <f>IF(
   AND(
      'Base stats'!AN94="Standard",_xlfn.XLOOKUP(_xlfn.XLOOKUP(B94,'Base stats'!B:B,'Base stats'!E:E),Groups!A:A,Groups!AU:AU)=0,
      OR(
      BO94="True"
      )
   ),
   10,
   IF(
       OR(BM94&lt;&gt;"No",_xlfn.XLOOKUP(_xlfn.XLOOKUP(B94,'Base stats'!B:B,'Base stats'!E:E),Groups!A:A,Groups!AU:AU)=1),
      1,
      "No"
   )
)</f>
        <v>No</v>
      </c>
      <c r="BR94" s="9">
        <f>MROUND((1 + ((0.2*IF(OR(Q94="No",R94="No",R94=0),0,Q94/R94)
+IF(OR(V94="No",S94="No",T94="No"),0,S94/T94*(LEN(V94)-LEN(SUBSTITUTE(V94,",",""))+1))
+IF(OR(X94="No",Y94="No"),0,X94/Y94)
+IF(OR(AD94="No",AE94="No"),0,AD94/AE94)
+IF(OR(AL94="No",AI94="No",AJ94="No"),0,AI94/AJ94*(LEN(AL94)-LEN(SUBSTITUTE(AL94,",",""))+1))
)/(0.2*IF(OR(Q94="No",R94="No",R94=0),0,1)
+IF(OR(V94="No",S94="No",T94="No"),0,LEN(V94)-LEN(SUBSTITUTE(V94,",",""))+1)
+IF(OR(X94="No",Y94="No"),0,1)
+IF(OR(AD94="No",AE94="No"),0,1)
+IF(OR(AL94="No",AI94="No",AJ94="No"),0,LEN(AL94)-LEN(SUBSTITUTE(AL94,",",""))+1))*62%)* 2)*(1 + (AP94 / (IF(_xlfn.XLOOKUP(_xlfn.XLOOKUP(B94,'Base stats'!B:B,'Base stats'!E:E),Groups!A:A,Groups!AJ:AJ)="Photonozoa",0.3,1)) + _xlfn.XLOOKUP(B94,'Base stats'!B:B,'Base stats'!AV:AV) * 1.8) * 2) * 2.5 + 10 + I94 * 2,5)+IF(_xlfn.XLOOKUP(B94,'Base stats'!B:B,'Base stats'!AK:AK)=1,50,0)</f>
        <v>50</v>
      </c>
      <c r="BS94" s="8">
        <f t="shared" si="12"/>
        <v>0.4</v>
      </c>
      <c r="BT94" s="8" t="str">
        <f>_xlfn.XLOOKUP(B94,'Base stats'!B:B,'Base stats'!AF:AF)</f>
        <v>No</v>
      </c>
      <c r="BU94" s="2" t="str">
        <f>IF(AND(J94&lt;=0.95,OR(_xlfn.XLOOKUP(B94,'Base stats'!B:B,'Base stats'!AK:AK)=1,_xlfn.XLOOKUP(B94,'Base stats'!B:B,'Base stats'!Y:Y)="Carnivore",_xlfn.XLOOKUP(B94,'Base stats'!B:B,'Base stats'!Y:Y)="Omnivore",BE94&gt;0.1)),"true","false")</f>
        <v>true</v>
      </c>
      <c r="BV94" s="2" t="str">
        <f>IF(_xlfn.XLOOKUP(B94,'Base stats'!B:B,'Base stats'!AI:AI)=1,"true","false")</f>
        <v>false</v>
      </c>
      <c r="BW94" s="25" t="str">
        <f>IF(E94="BaseInsect","AnimalInsect",
IF(J94&gt;0.95,"AnimalExotic",
_xlfn.TEXTJOIN(", ",TRUE,
IF(OR(_xlfn.XLOOKUP(B94,'Base stats'!B:B,'Base stats'!AM:AM)=1,AND(_xlfn.XLOOKUP(B94,'Base stats'!B:B,'Base stats'!O:O)=0,_xlfn.XLOOKUP(_xlfn.XLOOKUP(B94,'Base stats'!B:B,'Base stats'!E:E),Groups!A:A,Groups!B:B)&gt;0)),"AnimalUncommon","AnimalCommon"),
IF(AND(_xlfn.XLOOKUP(B94,'Base stats'!B:B,'Base stats'!O:O)=2,_xlfn.XLOOKUP(_xlfn.XLOOKUP(B94,'Base stats'!B:B,'Base stats'!E:E),Groups!A:A,Groups!D:D)=0),"AnimalPet",IF(AND(_xlfn.XLOOKUP(B94,'Base stats'!B:B,'Base stats'!O:O)&lt;&gt;0,_xlfn.XLOOKUP(_xlfn.XLOOKUP(B94,'Base stats'!B:B,'Base stats'!E:E),Groups!A:A,Groups!D:D)&lt;&gt;0),"AnimalFarm","")),
IF(OR(_xlfn.XLOOKUP(B94,'Base stats'!B:B,'Base stats'!AK:AK)=1,AND(BI94&lt;&gt;"None",BR94&gt;=60),ISNUMBER(SEARCH("Attack target",BP94))),"AnimalFighter","")
)))</f>
        <v>AnimalCommon</v>
      </c>
      <c r="BX94" s="25" t="str">
        <f>IF(G94="None",TRIM(
SUBSTITUTE(
IF(COUNTIF(Biomes!B$2:B$259,"="&amp;$C94)&gt;0,Biomes!B$1&amp;", ","")&amp;
IF(COUNTIF(Biomes!C$2:C$259,"="&amp;$C94)&gt;0,Biomes!C$1&amp;", ","")&amp;
IF(COUNTIF(Biomes!D$2:D$259,"="&amp;$C94)&gt;0,Biomes!D$1&amp;", ","")&amp;
IF(COUNTIF(Biomes!F$2:F$259,"="&amp;$C94)&gt;0,Biomes!F$1&amp;", ","")&amp;
IF(COUNTIF(Biomes!G$2:G$259,"="&amp;$C94)&gt;0,Biomes!G$1&amp;", ","")&amp;
IF(COUNTIF(Biomes!H$2:H$259,"="&amp;$C94)&gt;0,Biomes!H$1&amp;", ","")&amp;
IF(COUNTIF(Biomes!I$2:I$259,"="&amp;$C94)&gt;0,Biomes!I$1&amp;", ","")&amp;
IF(COUNTIF(Biomes!J$2:J$259,"="&amp;$C94)&gt;0,Biomes!J$1&amp;", ","")&amp;
IF(COUNTIF(Biomes!M$2:M$259,"="&amp;$C94)&gt;0,Biomes!M$1&amp;", ","")&amp;
IF(COUNTIF(Biomes!N$2:N$259,"="&amp;$C94)&gt;0,Biomes!N$1&amp;", ","")&amp;
IF(COUNTIF(Biomes!O$2:O$259,"="&amp;$C94)&gt;0,Biomes!O$1&amp;", ","")&amp;
IF(COUNTIF(Biomes!P$2:P$259,"="&amp;$C94)&gt;0,Biomes!P$1&amp;", ","")&amp;
IF(COUNTIF(Biomes!K$2:K$259,"="&amp;$C94)&gt;0,Biomes!K$1&amp;", ","")&amp;
IF(COUNTIF(Biomes!Q$3:Q$259,"="&amp;$C94)&gt;0,Biomes!Q$1&amp;", ","")&amp;
IF(COUNTIF(Biomes!L$2:L$259,"="&amp;$C94)&gt;0,Biomes!L$1&amp;", ","")&amp;
IF(COUNTIF(Biomes!E$2:E$259,"="&amp;$C94)&gt;0,Biomes!E$1&amp;", ","")&amp;IF(COUNTIF(Biomes!S$2:S$259,"="&amp;$C94)&gt;0,Biomes!S$1&amp;", ","")&amp;
IF(COUNTIF(Biomes!R$2:R$259,"="&amp;$C94)&gt;0,Biomes!R$1&amp;", ",""),", ","")
),_xlfn.XLOOKUP(B94,B:B,BX:BX))</f>
        <v>BorealForest ColdBog TemperateForest TemperateSwamp GlacialPlain</v>
      </c>
      <c r="BY94" s="25" t="str">
        <f>IF(_xlfn.XLOOKUP(B94,'Base stats'!B:B,'Base stats'!AJ:AJ)=1,"true","false")</f>
        <v>false</v>
      </c>
      <c r="BZ94" s="25">
        <f>IF(_xlfn.XLOOKUP(B94,'Base stats'!B:B,'Base stats'!N:N)=1,"No",MAX(0.001,MIN(MROUND(IF(AND(BJ94="True",CC94="False"),POWER(10,3.47*LOG10(_xlfn.XLOOKUP(B94,'Base stats'!B:B,'Base stats'!C:C)*1000)^-0.96),POWER(10,4.15*LOG10(_xlfn.XLOOKUP(B94,'Base stats'!B:B,'Base stats'!C:C)*1000)^-0.73))*IF(_xlfn.XLOOKUP(B94,'Base stats'!B:B,'Base stats'!AK:AK)=1,0.5,1)*IF(_xlfn.XLOOKUP(B94,'Base stats'!B:B,'Base stats'!AM:AM)=1,0.1,1)/100,IF(_xlfn.XLOOKUP(B94,'Base stats'!B:B,'Base stats'!AM:AM)=1,0.001,0.025)),0.5)))</f>
        <v>0.30000000000000004</v>
      </c>
      <c r="CA94" s="25" t="str">
        <f>IF(P94="Standard","No",MAX(0.001,MIN(MROUND(IF(AND(BJ94="True",CC94="False"),POWER(10,3.47*LOG10(_xlfn.XLOOKUP(B94,'Base stats'!B:B,'Base stats'!C:C)*1000)^-0.96),POWER(10,4.15*LOG10(_xlfn.XLOOKUP(B94,'Base stats'!B:B,'Base stats'!C:C)*1000)^-0.73))*IF(_xlfn.XLOOKUP(B94,'Base stats'!B:B,'Base stats'!AM:AM)=1,0.1,1)*_xlfn.XLOOKUP(B94,'Base stats'!B:B,'Base stats'!R:R)/100,IF(_xlfn.XLOOKUP(B94,'Base stats'!B:B,'Base stats'!AM:AM)=1,0.001,0.025)),0.5)))</f>
        <v>No</v>
      </c>
      <c r="CB94" s="25" t="str">
        <f>IF(_xlfn.XLOOKUP(_xlfn.XLOOKUP(B94,'Base stats'!B:B,'Base stats'!E:E),Groups!A:A,Groups!AJ:AJ)="Mammal","True","False")</f>
        <v>True</v>
      </c>
      <c r="CC94" s="25" t="str">
        <f>IF(OR(_xlfn.XLOOKUP(_xlfn.XLOOKUP(B94,'Base stats'!B:B,'Base stats'!E:E),Groups!A:A,Groups!AJ:AJ)="Reptile",_xlfn.XLOOKUP(_xlfn.XLOOKUP(B94,'Base stats'!B:B,'Base stats'!E:E),Groups!A:A,Groups!AJ:AJ)="Amphibian",_xlfn.XLOOKUP(_xlfn.XLOOKUP(B94,'Base stats'!B:B,'Base stats'!E:E),Groups!A:A,Groups!AJ:AJ)="Invertebrate"),"True","False")</f>
        <v>False</v>
      </c>
      <c r="CD94" s="25" t="str">
        <f t="shared" si="13"/>
        <v>False</v>
      </c>
      <c r="CE94" s="25" t="str">
        <f>IF(_xlfn.XLOOKUP(_xlfn.XLOOKUP(B94,'Base stats'!B:B,'Base stats'!E:E),Groups!A:A,Groups!AX:AX),"True","False")</f>
        <v>False</v>
      </c>
      <c r="CF94" s="25" t="str">
        <f>IF(_xlfn.XLOOKUP(_xlfn.XLOOKUP(B94,'Base stats'!B:B,'Base stats'!E:E),Groups!A:A,Groups!AY:AY),"True","False")</f>
        <v>False</v>
      </c>
      <c r="CG94" s="25" t="str">
        <f>IF(_xlfn.XLOOKUP(_xlfn.XLOOKUP(B94,'Base stats'!B:B,'Base stats'!E:E),Groups!A:A,Groups!AW:AW),"True","False")</f>
        <v>False</v>
      </c>
      <c r="CH94" s="25" t="str">
        <f>IF(
OR(
_xlfn.XLOOKUP(_xlfn.XLOOKUP(B94,'Base stats'!B:B,'Base stats'!E:E),Groups!A:A,Groups!AZ:AZ)=0,
AND(
_xlfn.XLOOKUP(B94,'Base stats'!B:B,'Base stats'!Y:Y)&lt;&gt;"Carnivore",
_xlfn.XLOOKUP(B94,'Base stats'!B:B,'Base stats'!Y:Y)&lt;&gt;"Omnivore",
_xlfn.XLOOKUP(B94,'Base stats'!B:B,'Base stats'!Y:Y)&lt;&gt;"OmnivoreRough"
)
),
"No",
IF(
_xlfn.XLOOKUP(_xlfn.XLOOKUP(B94,'Base stats'!B:B,'Base stats'!E:E),Groups!A:A,Groups!AZ:AZ)=1,
"Flesh",
IF(
_xlfn.XLOOKUP(_xlfn.XLOOKUP(B94,'Base stats'!B:B,'Base stats'!E:E),Groups!A:A,Groups!AZ:AZ)=2,
"Bone",
""
)
)
)</f>
        <v>No</v>
      </c>
      <c r="CI94" s="25" t="str">
        <f>IF(_xlfn.XLOOKUP(_xlfn.XLOOKUP(B94,'Base stats'!B:B,'Base stats'!E:E),Groups!A:A,Groups!BB:BB),"True","False")</f>
        <v>True</v>
      </c>
      <c r="CJ94" s="25" t="str">
        <f>IF(_xlfn.XLOOKUP(_xlfn.XLOOKUP(B94,'Base stats'!B:B,'Base stats'!E:E),Groups!A:A,Groups!BA:BA),"True","False")</f>
        <v>False</v>
      </c>
    </row>
    <row r="95" spans="1:88" ht="16.5" thickTop="1" thickBot="1" x14ac:dyDescent="0.3">
      <c r="A95" s="26" t="str">
        <f>_xlfn.XLOOKUP(B95,'Base stats'!B:B,'Base stats'!A:A)</f>
        <v>Megavole</v>
      </c>
      <c r="B95" s="6" t="s">
        <v>274</v>
      </c>
      <c r="C95" s="28" t="s">
        <v>775</v>
      </c>
      <c r="D95" s="28" t="s">
        <v>870</v>
      </c>
      <c r="E95" s="28" t="s">
        <v>673</v>
      </c>
      <c r="F95" s="28" t="s">
        <v>673</v>
      </c>
      <c r="G95" s="28" t="s">
        <v>673</v>
      </c>
      <c r="H95" s="2">
        <f>MROUND((
  (IF(AND(_xlfn.XLOOKUP(B95,'Base stats'!B:B,'Base stats'!AL:AL)=0,BI95="None",_xlfn.XLOOKUP(_xlfn.XLOOKUP(B95,'Base stats'!B:B,'Base stats'!E:E),Groups!A:A,Groups!B:B)=0), (18 + BR95 * 2.7) * 0.5,
    IF(AND(_xlfn.XLOOKUP(B95,'Base stats'!B:B,'Base stats'!AL:AL)=0,OR(AO95&lt;0.55,AND(BI95="Intermediate",_xlfn.XLOOKUP(_xlfn.XLOOKUP(B95,'Base stats'!B:B,'Base stats'!E:E),Groups!A:A,Groups!B:B)&lt;2))), (18 + BR95 * 2.7),
      IF(OR(BI95="Advanced",_xlfn.XLOOKUP(B95,'Base stats'!B:B,'Base stats'!AL:AL)=1,_xlfn.XLOOKUP(_xlfn.XLOOKUP(B95,'Base stats'!B:B,'Base stats'!E:E),Groups!A:A,Groups!B:B)=2), (18 + BR95 * 2.7) + 250, (18 + BR95 * 2.7))
    )
  ))
  + AO95 * 80
  + IF(COUNTIF(EggMilk!K$2:K$998, A95) &gt; 0, 125, 0)
  + IF(COUNTIF(EggMilk!P$2:P$998, A95) &gt; 0, 90, 0)
  + IF(COUNTIF(EggMilk!A$2:A$998, A95) &gt; 0, 90, 0)
)
* (0.8 + 0.4 * J95)
* 0.75,25)</f>
        <v>175</v>
      </c>
      <c r="I95" s="2">
        <f>MROUND(ROUNDDOWN(_xlfn.XLOOKUP(B95,'Base stats'!B:B,'Base stats'!L:L)/3.6/(23.3/11),1),0.5)</f>
        <v>4.5</v>
      </c>
      <c r="J95" s="2">
        <f>IF(OR(_xlfn.XLOOKUP(B95,'Base stats'!B:B,'Base stats'!AB:AB)=1,_xlfn.XLOOKUP(_xlfn.XLOOKUP(B95,'Base stats'!B:B,'Base stats'!E:E),Groups!A:A,Groups!C:C)="Untamable"),1,IF(_xlfn.XLOOKUP(B95,'Base stats'!B:B,'Base stats'!AL:AL)=1,0.99,MIN(MROUND((1-0.6282*EXP(-0.459*AO95))*_xlfn.XLOOKUP(_xlfn.XLOOKUP(B95,'Base stats'!B:B,'Base stats'!E:E),Groups!A:A,Groups!C:C)*IF(_xlfn.XLOOKUP(B95,'Base stats'!B:B,'Base stats'!O:O)=1,0.5,IF(_xlfn.XLOOKUP(B95,'Base stats'!B:B,'Base stats'!O:O)=2,0,1)),0.05),IF(AO95&gt;3.5,0.985,0.95))))</f>
        <v>0.75</v>
      </c>
      <c r="K95" s="2">
        <f>ROUNDUP(AO95*_xlfn.XLOOKUP(_xlfn.XLOOKUP(B95,'Base stats'!B:B,'Base stats'!E:E),Groups!A:A,Groups!E:E),0)</f>
        <v>1</v>
      </c>
      <c r="L95" s="2">
        <f>IF(OR(_xlfn.XLOOKUP(_xlfn.XLOOKUP(B95,'Base stats'!B:B,'Base stats'!E:E),Groups!A:A,Groups!F:F)=2,ISNUMBER(SEARCH("SeaIce",BX95)),ISNUMBER(SEARCH("IceSheet",BX95))),-50,IF(OR(ISNUMBER(SEARCH("GlacialPlain",BX95)),ISNUMBER(SEARCH("Tundra",BX95))),-40,IF(OR(ISNUMBER(SEARCH("Alpine",BX95)),ISNUMBER(SEARCH("BorealForest",BX95)),ISNUMBER(SEARCH("ColdBog",BX95))),-30,IF(OR(ISNUMBER(SEARCH("TemperateForest",BX95)),ISNUMBER(SEARCH("TemperateSwamp",BX95))),-20,IF(_xlfn.XLOOKUP(_xlfn.XLOOKUP(B95,'Base stats'!B:B,'Base stats'!E:E),Groups!A:A,Groups!F:F)=1,-15,IF(OR(ISNUMBER(SEARCH("Desert",BX95)),ISNUMBER(SEARCH("ExtremeDesert",BX95))),-10,IF(OR(ISNUMBER(SEARCH("Grasslands",BX95)),ISNUMBER(SEARCH("TropicalRainforest",BX95)),ISNUMBER(SEARCH("TropicalSwamp",BX95))),10,0)))))))-IF(CC95="False",MIN(IFERROR(MAX(MROUND(LOG10(_xlfn.XLOOKUP(B95,'Base stats'!B:B,'Base stats'!C:C)^(2/3))*10,5),5),5),30))-_xlfn.XLOOKUP(B95,'Base stats'!B:B,'Base stats'!P:P)+IF(CC95="True",5,0)</f>
        <v>-10</v>
      </c>
      <c r="M95" s="2">
        <f>IF(OR(_xlfn.XLOOKUP(_xlfn.XLOOKUP(B95,'Base stats'!B:B,'Base stats'!E:E),Groups!A:A,Groups!G:G)=2,ISNUMBER(SEARCH("Desert",BX95)),ISNUMBER(SEARCH("ExtremeDesert",BX95)),ISNUMBER(SEARCH("LavaField",BX95))),50,IF(ISNUMBER(SEARCH("Grasslands",BX95)),45,IF(OR(_xlfn.XLOOKUP(_xlfn.XLOOKUP(B95,'Base stats'!B:B,'Base stats'!E:E),Groups!A:A,Groups!G:G)=1,ISNUMBER(SEARCH("TropicalRainforest",BX95)),ISNUMBER(SEARCH("TropicalSwamp",BX95))),40,IF(OR(ISNUMBER(SEARCH("TemperateForest",BX95)),ISNUMBER(SEARCH("TemperateSwamp",BX95))),35,IF(OR(ISNUMBER(SEARCH("Alpine",BX95)),ISNUMBER(SEARCH("BorealForest",BX95)),ISNUMBER(SEARCH("ColdBog",BX95))),30,IF(ISNUMBER(OR(ISNUMBER(SEARCH("GlacialPlain",BX95)),SEARCH("Tundra",BX95))),25,IF(OR(ISNUMBER(SEARCH("SeaIce",BX95)),ISNUMBER(SEARCH("IceSheet",BX95)),ISNUMBER(SEARCH("TropicalSwamp",BX95))),10,35)))))))+_xlfn.XLOOKUP(B95,'Base stats'!B:B,'Base stats'!Q:Q)</f>
        <v>35</v>
      </c>
      <c r="N95" s="8" t="str">
        <f>IF(
_xlfn.XLOOKUP(
_xlfn.XLOOKUP(B95,'Base stats'!B:B,'Base stats'!E:E),
Groups!A:A,
Groups!L:L
)=1,
MIN(
MROUND(
IF(
_xlfn.XLOOKUP(B95,'Animals CE'!B:B,'Animals CE'!Z:Z)&lt;=1.5,
_xlfn.XLOOKUP(B95,'Animals CE'!B:B,'Animals CE'!Z:Z)/2+0.05,
0.8+
(_xlfn.XLOOKUP(B95,'Animals CE'!B:B,'Animals CE'!Z:Z)-1.5)
*0.02
),
0.05
),
200%
),
"No"
)</f>
        <v>No</v>
      </c>
      <c r="O95" s="8" t="str">
        <f>IF(
_xlfn.XLOOKUP(
_xlfn.XLOOKUP(B95,'Base stats'!B:B,'Base stats'!E:E),
Groups!A:A,
Groups!L:L
)=1,
MIN(
MROUND(
IF(
_xlfn.XLOOKUP(B95,'Animals CE'!B:B,'Animals CE'!AA:AA)&lt;=1.5,
_xlfn.XLOOKUP(B95,'Animals CE'!B:B,'Animals CE'!AA:AA)/2+0.05,
0.8+
(_xlfn.XLOOKUP(B95,'Animals CE'!B:B,'Animals CE'!AA:AA)-1.5)
*0.02
),
0.05
),
200%
),
"No"
)</f>
        <v>No</v>
      </c>
      <c r="P95" s="2" t="str">
        <f>_xlfn.XLOOKUP(B95,'Base stats'!B:B,'Base stats'!R:R)</f>
        <v>Standard</v>
      </c>
      <c r="Q95" s="13">
        <f>MROUND((LOG10(_xlfn.XLOOKUP(B95,'Base stats'!B:B,'Base stats'!AR:AR))*(AO95^0.5)+(_xlfn.XLOOKUP(B95,'Base stats'!B:B,'Base stats'!AR:AR)/1000)^(2/3)+_xlfn.XLOOKUP(B95,'Base stats'!B:B,'Base stats'!BA:BA)/2)+0.5,0.5)</f>
        <v>7</v>
      </c>
      <c r="R95" s="7">
        <f>IF(Q95="No","No",MAX(1,MROUND(_xlfn.XLOOKUP(B95,'Base stats'!B:B,'Base stats'!C:C)^0.165,0.05)))</f>
        <v>1.9500000000000002</v>
      </c>
      <c r="S95" s="13" t="str">
        <f>IF(_xlfn.XLOOKUP(_xlfn.XLOOKUP(B95,'Base stats'!B:B,'Base stats'!E:E),Groups!A:A,Groups!P:P)=0,"No",MROUND((LOG10(_xlfn.XLOOKUP(B95,'Base stats'!B:B,'Base stats'!AS:AS))*(AO95^0.5)+(_xlfn.XLOOKUP(B95,'Base stats'!B:B,'Base stats'!AS:AS)/1000)^(2/3)+_xlfn.XLOOKUP(B95,'Base stats'!B:B,'Base stats'!BA:BA))+_xlfn.XLOOKUP(B95,'Base stats'!B:B,'Base stats'!AY:AY)+0.5,0.5))</f>
        <v>No</v>
      </c>
      <c r="T95" s="7" t="str">
        <f>IF(S95="No","No",MAX(_xlfn.XLOOKUP(_xlfn.XLOOKUP(B95,'Base stats'!B:B,'Base stats'!E:E),Groups!A:A,Groups!Q:Q),MROUND(_xlfn.XLOOKUP(_xlfn.XLOOKUP(B95,'Base stats'!B:B,'Base stats'!E:E),Groups!A:A,Groups!Q:Q)*_xlfn.XLOOKUP(B95,'Base stats'!B:B,'Base stats'!C:C)^0.165,0.05)))</f>
        <v>No</v>
      </c>
      <c r="U95" s="7" t="str">
        <f>IF(S95="No","No",_xlfn.XLOOKUP(_xlfn.XLOOKUP(B95,'Base stats'!B:B,'Base stats'!E:E),Groups!A:A,Groups!R:R))</f>
        <v>No</v>
      </c>
      <c r="V95" s="7" t="str">
        <f>IF(S95="No","No",_xlfn.XLOOKUP(_xlfn.XLOOKUP(B95,'Base stats'!B:B,'Base stats'!E:E),Groups!A:A,Groups!S:S))</f>
        <v>No</v>
      </c>
      <c r="W95" s="7" t="str">
        <f>IF(S95="No","No",_xlfn.XLOOKUP(_xlfn.XLOOKUP(B95,'Base stats'!B:B,'Base stats'!E:E),Groups!A:A,Groups!T:T))</f>
        <v>No</v>
      </c>
      <c r="X95" s="13" t="str">
        <f>IF(_xlfn.XLOOKUP(B95,'Base stats'!B:B,'Base stats'!W:W)="No","No",MROUND((LOG10(_xlfn.XLOOKUP(B95,'Base stats'!B:B,'Base stats'!AU:AU))*(AO95^0.5)+(_xlfn.XLOOKUP(B95,'Base stats'!B:B,'Base stats'!AU:AU)/1000)^(2/3)+_xlfn.XLOOKUP(B95,'Base stats'!B:B,'Base stats'!AZ:AZ))+0.5+IF(_xlfn.XLOOKUP(_xlfn.XLOOKUP(B95,'Base stats'!B:B,'Base stats'!E:E),Groups!A:A,Groups!U:U)&lt;&gt;3,_xlfn.XLOOKUP(B95,'Base stats'!B:B,'Base stats'!BA:BA),0),0.5))</f>
        <v>No</v>
      </c>
      <c r="Y95" s="7" t="str">
        <f>IF(X95="No","No",MAX(_xlfn.XLOOKUP(_xlfn.XLOOKUP(B95,'Base stats'!B:B,'Base stats'!E:E),Groups!A:A,Groups!V:V),MROUND(_xlfn.XLOOKUP(_xlfn.XLOOKUP(B95,'Base stats'!B:B,'Base stats'!E:E),Groups!A:A,Groups!V:V)*_xlfn.XLOOKUP(B95,'Base stats'!B:B,'Base stats'!C:C)^0.165,0.05)))</f>
        <v>No</v>
      </c>
      <c r="Z95" s="7" t="str">
        <f>IF(X95="No","No",_xlfn.XLOOKUP(_xlfn.XLOOKUP(B95,'Base stats'!B:B,'Base stats'!E:E),Groups!A:A,Groups!W:W))</f>
        <v>No</v>
      </c>
      <c r="AA95" s="7" t="str">
        <f>IF(X95="No","No",_xlfn.XLOOKUP(_xlfn.XLOOKUP(B95,'Base stats'!B:B,'Base stats'!E:E),Groups!A:A,Groups!X:X))</f>
        <v>No</v>
      </c>
      <c r="AB95" s="7" t="str">
        <f>IF(X95="No","No",_xlfn.XLOOKUP(_xlfn.XLOOKUP(B95,'Base stats'!B:B,'Base stats'!E:E),Groups!A:A,Groups!Y:Y))</f>
        <v>No</v>
      </c>
      <c r="AC95" s="7" t="str">
        <f>_xlfn.XLOOKUP(Animals!B95,'Base stats'!B:B,'Base stats'!X:X)</f>
        <v>False</v>
      </c>
      <c r="AD95" s="13">
        <f>IF(_xlfn.XLOOKUP(B95,'Base stats'!B:B,'Base stats'!AT:AT)="No","No",MROUND((LOG10(_xlfn.XLOOKUP(B95,'Base stats'!B:B,'Base stats'!AT:AT))*(AO95^0.75)+(_xlfn.XLOOKUP(B95,'Base stats'!B:B,'Base stats'!AT:AT)/1000)^(2/3)+_xlfn.XLOOKUP(B95,'Base stats'!B:B,'Base stats'!AX:AX)+_xlfn.XLOOKUP(B95,'Base stats'!B:B,'Base stats'!BA:BA))+0.5,0.5))</f>
        <v>13.5</v>
      </c>
      <c r="AE95" s="7">
        <f>IF(AD95="No","No",MAX(_xlfn.XLOOKUP(_xlfn.XLOOKUP(B95,'Base stats'!B:B,'Base stats'!E:E),Groups!A:A,Groups!Z:Z),MROUND(_xlfn.XLOOKUP(_xlfn.XLOOKUP(B95,'Base stats'!B:B,'Base stats'!E:E),Groups!A:A,Groups!Z:Z)*_xlfn.XLOOKUP(B95,'Base stats'!B:B,'Base stats'!C:C)^0.165,0.05)))</f>
        <v>1.85</v>
      </c>
      <c r="AF95" s="7" t="str">
        <f>IF(AD95="No","No",_xlfn.XLOOKUP(_xlfn.XLOOKUP(B95,'Base stats'!B:B,'Base stats'!E:E),Groups!A:A,Groups!AA:AA))</f>
        <v>Teeth</v>
      </c>
      <c r="AG95" s="7" t="str">
        <f>IF(AD95="No","No",_xlfn.XLOOKUP(_xlfn.XLOOKUP(B95,'Base stats'!B:B,'Base stats'!E:E),Groups!A:A,Groups!AB:AB))</f>
        <v>Incisors</v>
      </c>
      <c r="AH95" s="7" t="str">
        <f>IF(AD95="No","No",_xlfn.XLOOKUP(_xlfn.XLOOKUP(B95,'Base stats'!B:B,'Base stats'!E:E),Groups!A:A,Groups!AC:AC))</f>
        <v>Bite</v>
      </c>
      <c r="AI95" s="13" t="str">
        <f>IF(_xlfn.XLOOKUP(_xlfn.XLOOKUP(B95,'Base stats'!B:B,'Base stats'!E:E),Groups!A:A,Groups!AD:AD)=0,"No",MROUND((LOG10(_xlfn.XLOOKUP(B95,'Base stats'!B:B,'Base stats'!AS:AS))*(AO95^0.75)+(_xlfn.XLOOKUP(B95,'Base stats'!B:B,'Base stats'!AS:AS)/1000)^(2/3)+_xlfn.XLOOKUP(B95,'Base stats'!B:B,'Base stats'!AY:AY)+_xlfn.XLOOKUP(B95,'Base stats'!B:B,'Base stats'!BA:BA))+0.5,0.5))</f>
        <v>No</v>
      </c>
      <c r="AJ95" s="7" t="str">
        <f>IF(AI95="No","No",MAX(_xlfn.XLOOKUP(_xlfn.XLOOKUP(B95,'Base stats'!B:B,'Base stats'!E:E),Groups!A:A,Groups!AE:AE),MROUND(_xlfn.XLOOKUP(_xlfn.XLOOKUP(B95,'Base stats'!B:B,'Base stats'!E:E),Groups!A:A,Groups!AE:AE)*IF(_xlfn.XLOOKUP(_xlfn.XLOOKUP(B95,'Base stats'!B:B,'Base stats'!E:E),Groups!A:A,Groups!AJ:AJ)="Photonozoa",0.6,1)*_xlfn.XLOOKUP(B95,'Base stats'!B:B,'Base stats'!C:C)^0.165,0.05)))</f>
        <v>No</v>
      </c>
      <c r="AK95" s="7" t="str">
        <f>IF(AI95="No","No",_xlfn.XLOOKUP(_xlfn.XLOOKUP(B95,'Base stats'!B:B,'Base stats'!E:E),Groups!A:A,Groups!AF:AF))</f>
        <v>No</v>
      </c>
      <c r="AL95" s="7" t="str">
        <f>IF(AI95="No","No",_xlfn.XLOOKUP(_xlfn.XLOOKUP(B95,'Base stats'!B:B,'Base stats'!E:E),Groups!A:A,Groups!AG:AG))</f>
        <v>No</v>
      </c>
      <c r="AM95" s="7" t="str">
        <f>IF(AI95="No","No",_xlfn.XLOOKUP(_xlfn.XLOOKUP(B95,'Base stats'!B:B,'Base stats'!E:E),Groups!A:A,Groups!AH:AH))</f>
        <v>No</v>
      </c>
      <c r="AN95" s="2" t="str">
        <f t="shared" si="7"/>
        <v>No</v>
      </c>
      <c r="AO95" s="2">
        <f>MROUND(IF(AND(_xlfn.XLOOKUP(B95,'Base stats'!B:B,'Base stats'!C:C)&gt;=0.5,_xlfn.XLOOKUP(B95,'Base stats'!B:B,'Base stats'!C:C)&lt;=0.8),
IF(_xlfn.XLOOKUP(B95,'Base stats'!B:B,'Base stats'!C:C)&lt;0.1,0.05,IF(_xlfn.XLOOKUP(B95,'Base stats'!B:B,'Base stats'!C:C)&lt;=70,(_xlfn.XLOOKUP(B95,'Base stats'!B:B,'Base stats'!C:C)/70)^0.426489913056526,IF(_xlfn.XLOOKUP(B95,'Base stats'!B:B,'Base stats'!C:C)&lt;=400,(_xlfn.XLOOKUP(B95,'Base stats'!B:B,'Base stats'!C:C)/70)^0.572811455315093,IF(_xlfn.XLOOKUP(B95,'Base stats'!B:B,'Base stats'!C:C)&lt;=2000,2.71391647193063*(_xlfn.XLOOKUP(B95,'Base stats'!B:B,'Base stats'!C:C)/400)^0.252459582904293,3.74314280240376*(_xlfn.XLOOKUP(B95,'Base stats'!B:B,'Base stats'!C:C)/2000)^0.357012633876913)))),
IF(_xlfn.XLOOKUP(B95,'Base stats'!B:B,'Base stats'!C:C)&lt;0.1,0.05,IF(_xlfn.XLOOKUP(B95,'Base stats'!B:B,'Base stats'!C:C)&lt;0.4,0.1,IF(_xlfn.XLOOKUP(B95,'Base stats'!B:B,'Base stats'!C:C)&lt;=70,(_xlfn.XLOOKUP(B95,'Base stats'!B:B,'Base stats'!C:C)/70)^0.445823913056526,IF(_xlfn.XLOOKUP(B95,'Base stats'!B:B,'Base stats'!C:C)&lt;=400,(_xlfn.XLOOKUP(B95,'Base stats'!B:B,'Base stats'!C:C)/70)^0.572811455315093,IF(_xlfn.XLOOKUP(B95,'Base stats'!B:B,'Base stats'!C:C)&lt;=2000,2.71391647193063*(_xlfn.XLOOKUP(B95,'Base stats'!B:B,'Base stats'!C:C)/400)^0.252459582904293,3.74314280240376*(_xlfn.XLOOKUP(B95,'Base stats'!B:B,'Base stats'!C:C)/2000)^0.357012633876913)))))),
IF(_xlfn.XLOOKUP(B95,'Base stats'!B:B,'Base stats'!C:C)&lt;0.1,0.05,IF(_xlfn.XLOOKUP(B95,'Base stats'!B:B,'Base stats'!C:C)&lt;=100,0.05,IF(_xlfn.XLOOKUP(B95,'Base stats'!B:B,'Base stats'!C:C)&lt;=250,0.1,IF(_xlfn.XLOOKUP(B95,'Base stats'!B:B,'Base stats'!C:C)&lt;=4000,0.25,0.5)))))</f>
        <v>0.95000000000000007</v>
      </c>
      <c r="AP95" s="8">
        <f>MROUND(AO95*_xlfn.XLOOKUP(_xlfn.XLOOKUP(B95,'Base stats'!B:B,'Base stats'!E:E),Groups!A:A,Groups!AI:AI)*_xlfn.XLOOKUP(B95,'Base stats'!B:B,'Base stats'!Z:Z),0.05)</f>
        <v>0.95000000000000007</v>
      </c>
      <c r="AQ95" s="8">
        <f>MAX(0.01,MROUND(IF(CC95="True",0.196*(AO95*100*1000)^0.889,IF(_xlfn.XLOOKUP(_xlfn.XLOOKUP(B95,'Base stats'!B:B,'Base stats'!E:E),Groups!A:A,Groups!AJ:AJ)="Bird",10.5*(AO95*100*1000)^0.681,4.82*(AO95*100*1000)^0.734))/(4.82*(1*100*1000)^0.734)/IF(AO95&lt;3.5,2,IF(AO95=3.5,1.5,1.25))*(1+0.132282374779864/(AO95^0.994035016789033+0.00905238001496948)),0.05))</f>
        <v>0.55000000000000004</v>
      </c>
      <c r="AR95" s="9">
        <f>IFERROR(MROUND(_xlfn.XLOOKUP(B95,'Base stats'!B:B,'Base stats'!H:H)/IF(_xlfn.XLOOKUP(B95,'Base stats'!B:B,'Base stats'!I:I)&lt;&gt;1,(122.5/70),1.2),IF(_xlfn.XLOOKUP(B95,'Base stats'!B:B,'Base stats'!H:H)&gt;=30,5,IF(_xlfn.XLOOKUP(B95,'Base stats'!B:B,'Base stats'!H:H)&gt;=15,3,IF(_xlfn.XLOOKUP(B95,'Base stats'!B:B,'Base stats'!H:H)&gt;=10,2,1)))),"Immortal")</f>
        <v>15</v>
      </c>
      <c r="AS95" s="35">
        <f>IFERROR(IF(OR(_xlfn.XLOOKUP(B95,'Base stats'!B:B,'Base stats'!F:F)="Atypical reproduction",_xlfn.XLOOKUP(B95,'Base stats'!B:B,'Base stats'!F:F)="Lay eggs"),"Lay eggs",MIN(20,MAX(5.5,ROUND(((_xlfn.XLOOKUP(B95,'Base stats'!B:B,'Base stats'!F:F)-25)*(14.5/615) + 5.5)*2,0)/2))),"Unknown")</f>
        <v>8.5</v>
      </c>
      <c r="AT95" s="8">
        <f>IF(_xlfn.XLOOKUP(B95,'Base stats'!B:B,'Base stats'!G:G)="Atypical reproduction","No",IFERROR(MAX(IF(_xlfn.XLOOKUP(B95,'Base stats'!B:B,'Base stats'!G:G)&lt;0.5,0.2,0.3),MROUND(_xlfn.XLOOKUP(B95,'Base stats'!B:B,'Base stats'!G:G)/(365/60),0.2)),"Unknown"))</f>
        <v>0.4</v>
      </c>
      <c r="AU95" s="8">
        <f t="shared" si="8"/>
        <v>0.2</v>
      </c>
      <c r="AV95" s="8">
        <f>IFERROR(IFERROR(MROUND(_xlfn.XLOOKUP(B95,'Base stats'!B:B,'Base stats'!J:J),0.1),"Lay eggs"),"Cannot breed")</f>
        <v>5</v>
      </c>
      <c r="AW95" s="2" t="str">
        <f t="shared" si="9"/>
        <v>false</v>
      </c>
      <c r="AX95" s="2" t="str">
        <f>IF(_xlfn.XLOOKUP(_xlfn.XLOOKUP(Animals!B95,'Base stats'!B:B,'Base stats'!E:E),Groups!A:A,Groups!AK:AK)=1,"true","false")</f>
        <v>false</v>
      </c>
      <c r="AY95" s="25" t="str">
        <f>IF(_xlfn.XLOOKUP(B95,'Base stats'!B:B,'Base stats'!Y:Y)="Liquor","Liquor, CarnivoreAnimalStrict",IF(AND(_xlfn.XLOOKUP(B95,'Base stats'!B:B,'Base stats'!Y:Y)="Carnivore",_xlfn.XLOOKUP(_xlfn.XLOOKUP(B95,'Base stats'!B:B,'Base stats'!E:E),Groups!A:A,Groups!AJ:AJ)="Photonozoa"),"CarnivoreAnimalStrict, OvivoreAnimal",IF(_xlfn.XLOOKUP(B95,'Base stats'!B:B,'Base stats'!Y:Y)="Carnivore","CarnivoreAnimal, OvivoreAnimal",IF(_xlfn.XLOOKUP(B95,'Base stats'!B:B,'Base stats'!Y:Y)="Dendrovore","VegetarianRoughAnimal, DendrovoreAnimal",IF(_xlfn.XLOOKUP(B95,'Base stats'!B:B,'Base stats'!Y:Y)="Herbivore","VegetarianRoughAnimal",IF(_xlfn.XLOOKUP(B95,'Base stats'!B:B,'Base stats'!Y:Y)="OmnivoreRough","OmnivoreRoughAnimal, OvivoreAnimal","OmnivoreAnimal, OvivoreAnimal"))))))</f>
        <v>VegetarianRoughAnimal</v>
      </c>
      <c r="AZ95" s="2" t="str">
        <f>IF(_xlfn.XLOOKUP(_xlfn.XLOOKUP(B95,'Base stats'!B:B,'Base stats'!E:E),Groups!A:A,Groups!D:D)=1,MROUND((1-J95)*5+1,2)*IF(J95&lt;=0.4,2,1),"No")</f>
        <v>No</v>
      </c>
      <c r="BA95" s="2" t="str">
        <f>IF(AND(_xlfn.XLOOKUP(B95,'Base stats'!B:B,'Base stats'!AH:AH)="&lt;li&gt;Seal&lt;/li&gt;",G95="Odyssey"),"&lt;li&gt;AEXP_Seal&lt;/li&gt;",_xlfn.XLOOKUP(B95,'Base stats'!B:B,'Base stats'!AH:AH))</f>
        <v>No</v>
      </c>
      <c r="BB95" s="2" t="str">
        <f>_xlfn.XLOOKUP(B95,'Base stats'!B:B,'Base stats'!AG:AG)</f>
        <v>Leather_Light</v>
      </c>
      <c r="BC95" s="23" t="str">
        <f>_xlfn.XLOOKUP(_xlfn.XLOOKUP(B95,'Base stats'!B:B,'Base stats'!E:E),Groups!A:A,Groups!AL:AL)</f>
        <v>QuadrupedAnimalWithPawsAndTail</v>
      </c>
      <c r="BD95" s="23">
        <f>MIN(1,MROUND(IF(AND(AO95&lt;0.5,_xlfn.XLOOKUP(B95,'Base stats'!B:B,'Base stats'!AA:AA)=0),0,IF(OR(_xlfn.XLOOKUP(Animals!B95,'Base stats'!B:B,'Base stats'!O:O)=2,_xlfn.XLOOKUP(_xlfn.XLOOKUP(B95,'Base stats'!B:B,'Base stats'!E:E),Groups!A:A,Groups!AN:AN)=0),0,_xlfn.XLOOKUP(_xlfn.XLOOKUP(B95,'Base stats'!B:B,'Base stats'!E:E),Groups!A:A,Groups!AN:AN)/IF(_xlfn.XLOOKUP(Animals!B95,'Base stats'!B:B,'Base stats'!O:O)=1,2,1)))+_xlfn.XLOOKUP(B95,'Base stats'!B:B,'Base stats'!AC:AC),0.005))</f>
        <v>0</v>
      </c>
      <c r="BE95" s="23">
        <f>MIN(1,MROUND(IF(AND(AO95&lt;0.5,_xlfn.XLOOKUP(B95,'Base stats'!B:B,'Base stats'!AA:AA)=0),0,IF(_xlfn.XLOOKUP(_xlfn.XLOOKUP(B95,'Base stats'!B:B,'Base stats'!E:E),Groups!A:A,Groups!AO:AO)=0,0,_xlfn.XLOOKUP(_xlfn.XLOOKUP(B95,'Base stats'!B:B,'Base stats'!E:E),Groups!A:A,Groups!AO:AO)/IF(_xlfn.XLOOKUP(Animals!B95,'Base stats'!B:B,'Base stats'!O:O)=2,3,1)))+_xlfn.XLOOKUP(B95,'Base stats'!B:B,'Base stats'!AD:AD),0.005))</f>
        <v>0</v>
      </c>
      <c r="BF95" s="2" t="str">
        <f>IF(J95&gt;0.3,"No",_xlfn.XLOOKUP(_xlfn.XLOOKUP(Animals!B95,'Base stats'!B:B,'Base stats'!E:E),Groups!A:A,Groups!AP:AP))</f>
        <v>No</v>
      </c>
      <c r="BG95" s="2" t="str">
        <f>IF(AND(J95&lt;=0.65,_xlfn.XLOOKUP(_xlfn.XLOOKUP(Animals!B95,'Base stats'!B:B,'Base stats'!E:E),Groups!A:A,Groups!AP:AP)&lt;&gt;"No",_xlfn.XLOOKUP(_xlfn.XLOOKUP(B95,'Base stats'!B:B,'Base stats'!E:E),Groups!A:A,Groups!D:D)=0),MROUND((80/3)*IF(_xlfn.XLOOKUP(B95,'Base stats'!B:B,'Base stats'!O:O)=2,0.2,AO95) + 24*(1-IF(BF95="No",0,BF95)) + 16/3, 12),"No")</f>
        <v>No</v>
      </c>
      <c r="BH95" s="2">
        <f>IF(AND(_xlfn.XLOOKUP(_xlfn.XLOOKUP(B95,'Base stats'!B:B,'Base stats'!E:E),Groups!A:A,Groups!AQ:AQ)=1,AO95&lt;=0.35),8,12)</f>
        <v>12</v>
      </c>
      <c r="BI95" s="2" t="str">
        <f>IF(_xlfn.XLOOKUP(_xlfn.XLOOKUP(B95,'Base stats'!B:B,'Base stats'!E:E),Groups!A:A,Groups!D:D)=0,_xlfn.XLOOKUP(_xlfn.XLOOKUP(B95,'Base stats'!B:B,'Base stats'!E:E),Groups!A:A,Groups!AR:AR),"None")</f>
        <v>None</v>
      </c>
      <c r="BJ95" s="2" t="str">
        <f>IF(AND(_xlfn.XLOOKUP(_xlfn.XLOOKUP(B95,'Base stats'!B:B,'Base stats'!E:E),Groups!A:A,Groups!AS:AS)=1,OR(_xlfn.XLOOKUP(B95,'Base stats'!B:B,'Base stats'!Y:Y)="Carnivore",_xlfn.XLOOKUP(B95,'Base stats'!B:B,'Base stats'!Y:Y)="Omnivore")),"true","false")</f>
        <v>false</v>
      </c>
      <c r="BK95" s="2" t="str">
        <f>IF(BJ95="true",MROUND(IF(AND(AO95&gt;0.5,OR(_xlfn.XLOOKUP(_xlfn.XLOOKUP(B95,'Base stats'!B:B,'Base stats'!E:E),Groups!A:A,Groups!AJ:AJ)="Photonozoa",_xlfn.XLOOKUP(_xlfn.XLOOKUP(B95,'Base stats'!B:B,'Base stats'!E:E),Groups!A:A,Groups!AJ:AJ)="Mammal")),Animals!AO95*1.75*IF(AW95="true",1.5,1),IF(AO95&lt;0.5,Animals!AO95*0.5,Animals!AO95)),IF(AO95&gt;2,0.5,IF(AO95&gt;0.5,0.25,0.1))),"No")</f>
        <v>No</v>
      </c>
      <c r="BL95" s="2">
        <f t="shared" si="10"/>
        <v>0</v>
      </c>
      <c r="BM95" s="25" t="str">
        <f>IF(_xlfn.XLOOKUP(B95,'Base stats'!B:B,'Base stats'!AN:AN)="Standard","No",MROUND((_xlfn.XLOOKUP(B95,'Base stats'!B:B,'Base stats'!AN:AN)/3.6)/I95,0.1))</f>
        <v>No</v>
      </c>
      <c r="BN95" s="25" t="str">
        <f t="shared" si="11"/>
        <v>false</v>
      </c>
      <c r="BO95" s="25" t="str">
        <f>IF(AND(OR(_xlfn.XLOOKUP(B95,'Base stats'!B:B,'Base stats'!Y:Y)="Carnivore",_xlfn.XLOOKUP(B95,'Base stats'!B:B,'Base stats'!Y:Y)="Omnivore",_xlfn.XLOOKUP(B95,'Base stats'!B:B,'Base stats'!Y:Y)="OmnivoreRough"),_xlfn.XLOOKUP(_xlfn.XLOOKUP(B95,'Base stats'!B:B,'Base stats'!E:E),Groups!A:A,Groups!AT:AT)=1),"true","false")</f>
        <v>false</v>
      </c>
      <c r="BP95" s="25" t="str" cm="1">
        <f t="array" ref="BP95">IF(
  _xlfn.TEXTJOIN(", ",TRUE,
    IF(AND(BJ95="true",AO95&gt;0.5,BI95&lt;&gt;"None"),"AttackTarget",""),
    IF(AND(_xlfn.XLOOKUP(_xlfn.XLOOKUP(B95,'Base stats'!B:B,'Base stats'!E:E),Groups!A:A,Groups!AJ:AJ="Mammal"),OR(_xlfn.XLOOKUP(B95,'Base stats'!B:B,'Base stats'!Y:Y)="Omnivore",_xlfn.XLOOKUP(B95,'Base stats'!B:B,'Base stats'!Y:Y)="OmnivoreRough")),"Forage",""),
    IF(BG95&lt;=36,"Comfort",""),
    IF(_xlfn.XLOOKUP(B95,'Base stats'!B:B,'Base stats'!AE:AE)&lt;&gt;"No",_xlfn.XLOOKUP(B95,'Base stats'!B:B,'Base stats'!AE:AE),"")
  ) = "",
  "No",
  _xlfn.TEXTJOIN(", ",TRUE,
    IF(AND(BJ95="true",AO95&gt;0.5,BI95&lt;&gt;"None"),"AttackTarget",""),
    IF(AND(_xlfn.XLOOKUP(_xlfn.XLOOKUP(B95,'Base stats'!B:B,'Base stats'!E:E),Groups!A:A,Groups!AJ:AJ="Mammal"),OR(_xlfn.XLOOKUP(B95,'Base stats'!B:B,'Base stats'!Y:Y)="Omnivore",_xlfn.XLOOKUP(B95,'Base stats'!B:B,'Base stats'!Y:Y)="OmnivoreRough")),"Forage",""),
    IF(BG95&lt;=36,"Comfort",""),
    IF(_xlfn.XLOOKUP(B95,'Base stats'!B:B,'Base stats'!AE:AE)&lt;&gt;"No",_xlfn.XLOOKUP(B95,'Base stats'!B:B,'Base stats'!AE:AE),"")
  )
)</f>
        <v>Dig</v>
      </c>
      <c r="BQ95" s="25" t="str">
        <f>IF(
   AND(
      'Base stats'!AN95="Standard",_xlfn.XLOOKUP(_xlfn.XLOOKUP(B95,'Base stats'!B:B,'Base stats'!E:E),Groups!A:A,Groups!AU:AU)=0,
      OR(
      BO95="True"
      )
   ),
   10,
   IF(
       OR(BM95&lt;&gt;"No",_xlfn.XLOOKUP(_xlfn.XLOOKUP(B95,'Base stats'!B:B,'Base stats'!E:E),Groups!A:A,Groups!AU:AU)=1),
      1,
      "No"
   )
)</f>
        <v>No</v>
      </c>
      <c r="BR95" s="9">
        <f>MROUND((1 + ((0.2*IF(OR(Q95="No",R95="No",R95=0),0,Q95/R95)
+IF(OR(V95="No",S95="No",T95="No"),0,S95/T95*(LEN(V95)-LEN(SUBSTITUTE(V95,",",""))+1))
+IF(OR(X95="No",Y95="No"),0,X95/Y95)
+IF(OR(AD95="No",AE95="No"),0,AD95/AE95)
+IF(OR(AL95="No",AI95="No",AJ95="No"),0,AI95/AJ95*(LEN(AL95)-LEN(SUBSTITUTE(AL95,",",""))+1))
)/(0.2*IF(OR(Q95="No",R95="No",R95=0),0,1)
+IF(OR(V95="No",S95="No",T95="No"),0,LEN(V95)-LEN(SUBSTITUTE(V95,",",""))+1)
+IF(OR(X95="No",Y95="No"),0,1)
+IF(OR(AD95="No",AE95="No"),0,1)
+IF(OR(AL95="No",AI95="No",AJ95="No"),0,LEN(AL95)-LEN(SUBSTITUTE(AL95,",",""))+1))*62%)* 2)*(1 + (AP95 / (IF(_xlfn.XLOOKUP(_xlfn.XLOOKUP(B95,'Base stats'!B:B,'Base stats'!E:E),Groups!A:A,Groups!AJ:AJ)="Photonozoa",0.3,1)) + _xlfn.XLOOKUP(B95,'Base stats'!B:B,'Base stats'!AV:AV) * 1.8) * 2) * 2.5 + 10 + I95 * 2,5)+IF(_xlfn.XLOOKUP(B95,'Base stats'!B:B,'Base stats'!AK:AK)=1,50,0)</f>
        <v>85</v>
      </c>
      <c r="BS95" s="8">
        <f t="shared" si="12"/>
        <v>0.65</v>
      </c>
      <c r="BT95" s="8" t="str">
        <f>_xlfn.XLOOKUP(B95,'Base stats'!B:B,'Base stats'!AF:AF)</f>
        <v>No</v>
      </c>
      <c r="BU95" s="2" t="str">
        <f>IF(AND(J95&lt;=0.95,OR(_xlfn.XLOOKUP(B95,'Base stats'!B:B,'Base stats'!AK:AK)=1,_xlfn.XLOOKUP(B95,'Base stats'!B:B,'Base stats'!Y:Y)="Carnivore",_xlfn.XLOOKUP(B95,'Base stats'!B:B,'Base stats'!Y:Y)="Omnivore",BE95&gt;0.1)),"true","false")</f>
        <v>false</v>
      </c>
      <c r="BV95" s="2" t="str">
        <f>IF(_xlfn.XLOOKUP(B95,'Base stats'!B:B,'Base stats'!AI:AI)=1,"true","false")</f>
        <v>false</v>
      </c>
      <c r="BW95" s="25" t="str">
        <f>IF(E95="BaseInsect","AnimalInsect",
IF(J95&gt;0.95,"AnimalExotic",
_xlfn.TEXTJOIN(", ",TRUE,
IF(OR(_xlfn.XLOOKUP(B95,'Base stats'!B:B,'Base stats'!AM:AM)=1,AND(_xlfn.XLOOKUP(B95,'Base stats'!B:B,'Base stats'!O:O)=0,_xlfn.XLOOKUP(_xlfn.XLOOKUP(B95,'Base stats'!B:B,'Base stats'!E:E),Groups!A:A,Groups!B:B)&gt;0)),"AnimalUncommon","AnimalCommon"),
IF(AND(_xlfn.XLOOKUP(B95,'Base stats'!B:B,'Base stats'!O:O)=2,_xlfn.XLOOKUP(_xlfn.XLOOKUP(B95,'Base stats'!B:B,'Base stats'!E:E),Groups!A:A,Groups!D:D)=0),"AnimalPet",IF(AND(_xlfn.XLOOKUP(B95,'Base stats'!B:B,'Base stats'!O:O)&lt;&gt;0,_xlfn.XLOOKUP(_xlfn.XLOOKUP(B95,'Base stats'!B:B,'Base stats'!E:E),Groups!A:A,Groups!D:D)&lt;&gt;0),"AnimalFarm","")),
IF(OR(_xlfn.XLOOKUP(B95,'Base stats'!B:B,'Base stats'!AK:AK)=1,AND(BI95&lt;&gt;"None",BR95&gt;=60),ISNUMBER(SEARCH("Attack target",BP95))),"AnimalFighter","")
)))</f>
        <v>AnimalCommon</v>
      </c>
      <c r="BX95" s="25" t="str">
        <f>IF(G95="None",TRIM(
SUBSTITUTE(
IF(COUNTIF(Biomes!B$2:B$259,"="&amp;$C95)&gt;0,Biomes!B$1&amp;", ","")&amp;
IF(COUNTIF(Biomes!C$2:C$259,"="&amp;$C95)&gt;0,Biomes!C$1&amp;", ","")&amp;
IF(COUNTIF(Biomes!D$2:D$259,"="&amp;$C95)&gt;0,Biomes!D$1&amp;", ","")&amp;
IF(COUNTIF(Biomes!F$2:F$259,"="&amp;$C95)&gt;0,Biomes!F$1&amp;", ","")&amp;
IF(COUNTIF(Biomes!G$2:G$259,"="&amp;$C95)&gt;0,Biomes!G$1&amp;", ","")&amp;
IF(COUNTIF(Biomes!H$2:H$259,"="&amp;$C95)&gt;0,Biomes!H$1&amp;", ","")&amp;
IF(COUNTIF(Biomes!I$2:I$259,"="&amp;$C95)&gt;0,Biomes!I$1&amp;", ","")&amp;
IF(COUNTIF(Biomes!J$2:J$259,"="&amp;$C95)&gt;0,Biomes!J$1&amp;", ","")&amp;
IF(COUNTIF(Biomes!M$2:M$259,"="&amp;$C95)&gt;0,Biomes!M$1&amp;", ","")&amp;
IF(COUNTIF(Biomes!N$2:N$259,"="&amp;$C95)&gt;0,Biomes!N$1&amp;", ","")&amp;
IF(COUNTIF(Biomes!O$2:O$259,"="&amp;$C95)&gt;0,Biomes!O$1&amp;", ","")&amp;
IF(COUNTIF(Biomes!P$2:P$259,"="&amp;$C95)&gt;0,Biomes!P$1&amp;", ","")&amp;
IF(COUNTIF(Biomes!K$2:K$259,"="&amp;$C95)&gt;0,Biomes!K$1&amp;", ","")&amp;
IF(COUNTIF(Biomes!Q$3:Q$259,"="&amp;$C95)&gt;0,Biomes!Q$1&amp;", ","")&amp;
IF(COUNTIF(Biomes!L$2:L$259,"="&amp;$C95)&gt;0,Biomes!L$1&amp;", ","")&amp;
IF(COUNTIF(Biomes!E$2:E$259,"="&amp;$C95)&gt;0,Biomes!E$1&amp;", ","")&amp;IF(COUNTIF(Biomes!S$2:S$259,"="&amp;$C95)&gt;0,Biomes!S$1&amp;", ","")&amp;
IF(COUNTIF(Biomes!R$2:R$259,"="&amp;$C95)&gt;0,Biomes!R$1&amp;", ",""),", ","")
),_xlfn.XLOOKUP(B95,B:B,BX:BX))</f>
        <v>Glowforest</v>
      </c>
      <c r="BY95" s="25" t="str">
        <f>IF(_xlfn.XLOOKUP(B95,'Base stats'!B:B,'Base stats'!AJ:AJ)=1,"true","false")</f>
        <v>false</v>
      </c>
      <c r="BZ95" s="25">
        <f>IF(_xlfn.XLOOKUP(B95,'Base stats'!B:B,'Base stats'!N:N)=1,"No",MAX(0.001,MIN(MROUND(IF(AND(BJ95="True",CC95="False"),POWER(10,3.47*LOG10(_xlfn.XLOOKUP(B95,'Base stats'!B:B,'Base stats'!C:C)*1000)^-0.96),POWER(10,4.15*LOG10(_xlfn.XLOOKUP(B95,'Base stats'!B:B,'Base stats'!C:C)*1000)^-0.73))*IF(_xlfn.XLOOKUP(B95,'Base stats'!B:B,'Base stats'!AK:AK)=1,0.5,1)*IF(_xlfn.XLOOKUP(B95,'Base stats'!B:B,'Base stats'!AM:AM)=1,0.1,1)/100,IF(_xlfn.XLOOKUP(B95,'Base stats'!B:B,'Base stats'!AM:AM)=1,0.001,0.025)),0.5)))</f>
        <v>0.2</v>
      </c>
      <c r="CA95" s="25" t="str">
        <f>IF(P95="Standard","No",MAX(0.001,MIN(MROUND(IF(AND(BJ95="True",CC95="False"),POWER(10,3.47*LOG10(_xlfn.XLOOKUP(B95,'Base stats'!B:B,'Base stats'!C:C)*1000)^-0.96),POWER(10,4.15*LOG10(_xlfn.XLOOKUP(B95,'Base stats'!B:B,'Base stats'!C:C)*1000)^-0.73))*IF(_xlfn.XLOOKUP(B95,'Base stats'!B:B,'Base stats'!AM:AM)=1,0.1,1)*_xlfn.XLOOKUP(B95,'Base stats'!B:B,'Base stats'!R:R)/100,IF(_xlfn.XLOOKUP(B95,'Base stats'!B:B,'Base stats'!AM:AM)=1,0.001,0.025)),0.5)))</f>
        <v>No</v>
      </c>
      <c r="CB95" s="25" t="str">
        <f>IF(_xlfn.XLOOKUP(_xlfn.XLOOKUP(B95,'Base stats'!B:B,'Base stats'!E:E),Groups!A:A,Groups!AJ:AJ)="Mammal","True","False")</f>
        <v>True</v>
      </c>
      <c r="CC95" s="25" t="str">
        <f>IF(OR(_xlfn.XLOOKUP(_xlfn.XLOOKUP(B95,'Base stats'!B:B,'Base stats'!E:E),Groups!A:A,Groups!AJ:AJ)="Reptile",_xlfn.XLOOKUP(_xlfn.XLOOKUP(B95,'Base stats'!B:B,'Base stats'!E:E),Groups!A:A,Groups!AJ:AJ)="Amphibian",_xlfn.XLOOKUP(_xlfn.XLOOKUP(B95,'Base stats'!B:B,'Base stats'!E:E),Groups!A:A,Groups!AJ:AJ)="Invertebrate"),"True","False")</f>
        <v>False</v>
      </c>
      <c r="CD95" s="25" t="str">
        <f t="shared" si="13"/>
        <v>False</v>
      </c>
      <c r="CE95" s="25" t="str">
        <f>IF(_xlfn.XLOOKUP(_xlfn.XLOOKUP(B95,'Base stats'!B:B,'Base stats'!E:E),Groups!A:A,Groups!AX:AX),"True","False")</f>
        <v>False</v>
      </c>
      <c r="CF95" s="25" t="str">
        <f>IF(_xlfn.XLOOKUP(_xlfn.XLOOKUP(B95,'Base stats'!B:B,'Base stats'!E:E),Groups!A:A,Groups!AY:AY),"True","False")</f>
        <v>False</v>
      </c>
      <c r="CG95" s="25" t="str">
        <f>IF(_xlfn.XLOOKUP(_xlfn.XLOOKUP(B95,'Base stats'!B:B,'Base stats'!E:E),Groups!A:A,Groups!AW:AW),"True","False")</f>
        <v>False</v>
      </c>
      <c r="CH95" s="25" t="str">
        <f>IF(
OR(
_xlfn.XLOOKUP(_xlfn.XLOOKUP(B95,'Base stats'!B:B,'Base stats'!E:E),Groups!A:A,Groups!AZ:AZ)=0,
AND(
_xlfn.XLOOKUP(B95,'Base stats'!B:B,'Base stats'!Y:Y)&lt;&gt;"Carnivore",
_xlfn.XLOOKUP(B95,'Base stats'!B:B,'Base stats'!Y:Y)&lt;&gt;"Omnivore",
_xlfn.XLOOKUP(B95,'Base stats'!B:B,'Base stats'!Y:Y)&lt;&gt;"OmnivoreRough"
)
),
"No",
IF(
_xlfn.XLOOKUP(_xlfn.XLOOKUP(B95,'Base stats'!B:B,'Base stats'!E:E),Groups!A:A,Groups!AZ:AZ)=1,
"Flesh",
IF(
_xlfn.XLOOKUP(_xlfn.XLOOKUP(B95,'Base stats'!B:B,'Base stats'!E:E),Groups!A:A,Groups!AZ:AZ)=2,
"Bone",
""
)
)
)</f>
        <v>No</v>
      </c>
      <c r="CI95" s="25" t="str">
        <f>IF(_xlfn.XLOOKUP(_xlfn.XLOOKUP(B95,'Base stats'!B:B,'Base stats'!E:E),Groups!A:A,Groups!BB:BB),"True","False")</f>
        <v>True</v>
      </c>
      <c r="CJ95" s="25" t="str">
        <f>IF(_xlfn.XLOOKUP(_xlfn.XLOOKUP(B95,'Base stats'!B:B,'Base stats'!E:E),Groups!A:A,Groups!BA:BA),"True","False")</f>
        <v>False</v>
      </c>
    </row>
    <row r="96" spans="1:88" ht="16.5" thickTop="1" thickBot="1" x14ac:dyDescent="0.3">
      <c r="A96" s="26" t="str">
        <f>_xlfn.XLOOKUP(B96,'Base stats'!B:B,'Base stats'!A:A)</f>
        <v>Moose</v>
      </c>
      <c r="B96" s="6" t="s">
        <v>142</v>
      </c>
      <c r="C96" s="28" t="s">
        <v>776</v>
      </c>
      <c r="D96" s="28" t="s">
        <v>870</v>
      </c>
      <c r="E96" s="28" t="s">
        <v>673</v>
      </c>
      <c r="F96" s="28" t="s">
        <v>673</v>
      </c>
      <c r="G96" s="28" t="s">
        <v>673</v>
      </c>
      <c r="H96" s="2">
        <f>MROUND((
  (IF(AND(_xlfn.XLOOKUP(B96,'Base stats'!B:B,'Base stats'!AL:AL)=0,BI96="None",_xlfn.XLOOKUP(_xlfn.XLOOKUP(B96,'Base stats'!B:B,'Base stats'!E:E),Groups!A:A,Groups!B:B)=0), (18 + BR96 * 2.7) * 0.5,
    IF(AND(_xlfn.XLOOKUP(B96,'Base stats'!B:B,'Base stats'!AL:AL)=0,OR(AO96&lt;0.55,AND(BI96="Intermediate",_xlfn.XLOOKUP(_xlfn.XLOOKUP(B96,'Base stats'!B:B,'Base stats'!E:E),Groups!A:A,Groups!B:B)&lt;2))), (18 + BR96 * 2.7),
      IF(OR(BI96="Advanced",_xlfn.XLOOKUP(B96,'Base stats'!B:B,'Base stats'!AL:AL)=1,_xlfn.XLOOKUP(_xlfn.XLOOKUP(B96,'Base stats'!B:B,'Base stats'!E:E),Groups!A:A,Groups!B:B)=2), (18 + BR96 * 2.7) + 250, (18 + BR96 * 2.7))
    )
  ))
  + AO96 * 80
  + IF(COUNTIF(EggMilk!K$2:K$998, A96) &gt; 0, 125, 0)
  + IF(COUNTIF(EggMilk!P$2:P$998, A96) &gt; 0, 90, 0)
  + IF(COUNTIF(EggMilk!A$2:A$998, A96) &gt; 0, 90, 0)
)
* (0.8 + 0.4 * J96)
* 0.75,25)</f>
        <v>400</v>
      </c>
      <c r="I96" s="2">
        <f>MROUND(ROUNDDOWN(_xlfn.XLOOKUP(B96,'Base stats'!B:B,'Base stats'!L:L)/3.6/(23.3/11),1),0.5)</f>
        <v>7.5</v>
      </c>
      <c r="J96" s="2">
        <f>IF(OR(_xlfn.XLOOKUP(B96,'Base stats'!B:B,'Base stats'!AB:AB)=1,_xlfn.XLOOKUP(_xlfn.XLOOKUP(B96,'Base stats'!B:B,'Base stats'!E:E),Groups!A:A,Groups!C:C)="Untamable"),1,IF(_xlfn.XLOOKUP(B96,'Base stats'!B:B,'Base stats'!AL:AL)=1,0.99,MIN(MROUND((1-0.6282*EXP(-0.459*AO96))*_xlfn.XLOOKUP(_xlfn.XLOOKUP(B96,'Base stats'!B:B,'Base stats'!E:E),Groups!A:A,Groups!C:C)*IF(_xlfn.XLOOKUP(B96,'Base stats'!B:B,'Base stats'!O:O)=1,0.5,IF(_xlfn.XLOOKUP(B96,'Base stats'!B:B,'Base stats'!O:O)=2,0,1)),0.05),IF(AO96&gt;3.5,0.985,0.95))))</f>
        <v>0.70000000000000007</v>
      </c>
      <c r="K96" s="2">
        <f>ROUNDUP(AO96*_xlfn.XLOOKUP(_xlfn.XLOOKUP(B96,'Base stats'!B:B,'Base stats'!E:E),Groups!A:A,Groups!E:E),0)</f>
        <v>14</v>
      </c>
      <c r="L96" s="2">
        <f>IF(OR(_xlfn.XLOOKUP(_xlfn.XLOOKUP(B96,'Base stats'!B:B,'Base stats'!E:E),Groups!A:A,Groups!F:F)=2,ISNUMBER(SEARCH("SeaIce",BX96)),ISNUMBER(SEARCH("IceSheet",BX96))),-50,IF(OR(ISNUMBER(SEARCH("GlacialPlain",BX96)),ISNUMBER(SEARCH("Tundra",BX96))),-40,IF(OR(ISNUMBER(SEARCH("Alpine",BX96)),ISNUMBER(SEARCH("BorealForest",BX96)),ISNUMBER(SEARCH("ColdBog",BX96))),-30,IF(OR(ISNUMBER(SEARCH("TemperateForest",BX96)),ISNUMBER(SEARCH("TemperateSwamp",BX96))),-20,IF(_xlfn.XLOOKUP(_xlfn.XLOOKUP(B96,'Base stats'!B:B,'Base stats'!E:E),Groups!A:A,Groups!F:F)=1,-15,IF(OR(ISNUMBER(SEARCH("Desert",BX96)),ISNUMBER(SEARCH("ExtremeDesert",BX96))),-10,IF(OR(ISNUMBER(SEARCH("Grasslands",BX96)),ISNUMBER(SEARCH("TropicalRainforest",BX96)),ISNUMBER(SEARCH("TropicalSwamp",BX96))),10,0)))))))-IF(CC96="False",MIN(IFERROR(MAX(MROUND(LOG10(_xlfn.XLOOKUP(B96,'Base stats'!B:B,'Base stats'!C:C)^(2/3))*10,5),5),5),30))-_xlfn.XLOOKUP(B96,'Base stats'!B:B,'Base stats'!P:P)+IF(CC96="True",5,0)</f>
        <v>-55</v>
      </c>
      <c r="M96" s="2">
        <f>IF(OR(_xlfn.XLOOKUP(_xlfn.XLOOKUP(B96,'Base stats'!B:B,'Base stats'!E:E),Groups!A:A,Groups!G:G)=2,ISNUMBER(SEARCH("Desert",BX96)),ISNUMBER(SEARCH("ExtremeDesert",BX96)),ISNUMBER(SEARCH("LavaField",BX96))),50,IF(ISNUMBER(SEARCH("Grasslands",BX96)),45,IF(OR(_xlfn.XLOOKUP(_xlfn.XLOOKUP(B96,'Base stats'!B:B,'Base stats'!E:E),Groups!A:A,Groups!G:G)=1,ISNUMBER(SEARCH("TropicalRainforest",BX96)),ISNUMBER(SEARCH("TropicalSwamp",BX96))),40,IF(OR(ISNUMBER(SEARCH("TemperateForest",BX96)),ISNUMBER(SEARCH("TemperateSwamp",BX96))),35,IF(OR(ISNUMBER(SEARCH("Alpine",BX96)),ISNUMBER(SEARCH("BorealForest",BX96)),ISNUMBER(SEARCH("ColdBog",BX96))),30,IF(ISNUMBER(OR(ISNUMBER(SEARCH("GlacialPlain",BX96)),SEARCH("Tundra",BX96))),25,IF(OR(ISNUMBER(SEARCH("SeaIce",BX96)),ISNUMBER(SEARCH("IceSheet",BX96)),ISNUMBER(SEARCH("TropicalSwamp",BX96))),10,35)))))))+_xlfn.XLOOKUP(B96,'Base stats'!B:B,'Base stats'!Q:Q)</f>
        <v>35</v>
      </c>
      <c r="N96" s="8" t="str">
        <f>IF(
_xlfn.XLOOKUP(
_xlfn.XLOOKUP(B96,'Base stats'!B:B,'Base stats'!E:E),
Groups!A:A,
Groups!L:L
)=1,
MIN(
MROUND(
IF(
_xlfn.XLOOKUP(B96,'Animals CE'!B:B,'Animals CE'!Z:Z)&lt;=1.5,
_xlfn.XLOOKUP(B96,'Animals CE'!B:B,'Animals CE'!Z:Z)/2+0.05,
0.8+
(_xlfn.XLOOKUP(B96,'Animals CE'!B:B,'Animals CE'!Z:Z)-1.5)
*0.02
),
0.05
),
200%
),
"No"
)</f>
        <v>No</v>
      </c>
      <c r="O96" s="8" t="str">
        <f>IF(
_xlfn.XLOOKUP(
_xlfn.XLOOKUP(B96,'Base stats'!B:B,'Base stats'!E:E),
Groups!A:A,
Groups!L:L
)=1,
MIN(
MROUND(
IF(
_xlfn.XLOOKUP(B96,'Animals CE'!B:B,'Animals CE'!AA:AA)&lt;=1.5,
_xlfn.XLOOKUP(B96,'Animals CE'!B:B,'Animals CE'!AA:AA)/2+0.05,
0.8+
(_xlfn.XLOOKUP(B96,'Animals CE'!B:B,'Animals CE'!AA:AA)-1.5)
*0.02
),
0.05
),
200%
),
"No"
)</f>
        <v>No</v>
      </c>
      <c r="P96" s="2" t="str">
        <f>_xlfn.XLOOKUP(B96,'Base stats'!B:B,'Base stats'!R:R)</f>
        <v>Standard</v>
      </c>
      <c r="Q96" s="13">
        <f>MROUND((LOG10(_xlfn.XLOOKUP(B96,'Base stats'!B:B,'Base stats'!AR:AR))*(AO96^0.5)+(_xlfn.XLOOKUP(B96,'Base stats'!B:B,'Base stats'!AR:AR)/1000)^(2/3)+_xlfn.XLOOKUP(B96,'Base stats'!B:B,'Base stats'!BA:BA)/2)+0.5,0.5)</f>
        <v>14.5</v>
      </c>
      <c r="R96" s="7">
        <f>IF(Q96="No","No",MAX(1,MROUND(_xlfn.XLOOKUP(B96,'Base stats'!B:B,'Base stats'!C:C)^0.165,0.05)))</f>
        <v>2.6500000000000004</v>
      </c>
      <c r="S96" s="13">
        <f>IF(_xlfn.XLOOKUP(_xlfn.XLOOKUP(B96,'Base stats'!B:B,'Base stats'!E:E),Groups!A:A,Groups!P:P)=0,"No",MROUND((LOG10(_xlfn.XLOOKUP(B96,'Base stats'!B:B,'Base stats'!AS:AS))*(AO96^0.5)+(_xlfn.XLOOKUP(B96,'Base stats'!B:B,'Base stats'!AS:AS)/1000)^(2/3)+_xlfn.XLOOKUP(B96,'Base stats'!B:B,'Base stats'!BA:BA))+_xlfn.XLOOKUP(B96,'Base stats'!B:B,'Base stats'!AY:AY)+0.5,0.5))</f>
        <v>18</v>
      </c>
      <c r="T96" s="7">
        <f>IF(S96="No","No",MAX(_xlfn.XLOOKUP(_xlfn.XLOOKUP(B96,'Base stats'!B:B,'Base stats'!E:E),Groups!A:A,Groups!Q:Q),MROUND(_xlfn.XLOOKUP(_xlfn.XLOOKUP(B96,'Base stats'!B:B,'Base stats'!E:E),Groups!A:A,Groups!Q:Q)*_xlfn.XLOOKUP(B96,'Base stats'!B:B,'Base stats'!C:C)^0.165,0.05)))</f>
        <v>2.6500000000000004</v>
      </c>
      <c r="U96" s="7" t="str">
        <f>IF(S96="No","No",_xlfn.XLOOKUP(_xlfn.XLOOKUP(B96,'Base stats'!B:B,'Base stats'!E:E),Groups!A:A,Groups!R:R))</f>
        <v>FrontLeftLeg, FrontRightLeg</v>
      </c>
      <c r="V96" s="7" t="str">
        <f>IF(S96="No","No",_xlfn.XLOOKUP(_xlfn.XLOOKUP(B96,'Base stats'!B:B,'Base stats'!E:E),Groups!A:A,Groups!S:S))</f>
        <v>left hoof, right hoof</v>
      </c>
      <c r="W96" s="7" t="str">
        <f>IF(S96="No","No",_xlfn.XLOOKUP(_xlfn.XLOOKUP(B96,'Base stats'!B:B,'Base stats'!E:E),Groups!A:A,Groups!T:T))</f>
        <v>Blunt</v>
      </c>
      <c r="X96" s="13">
        <f>IF(_xlfn.XLOOKUP(B96,'Base stats'!B:B,'Base stats'!W:W)="No","No",MROUND((LOG10(_xlfn.XLOOKUP(B96,'Base stats'!B:B,'Base stats'!AU:AU))*(AO96^0.5)+(_xlfn.XLOOKUP(B96,'Base stats'!B:B,'Base stats'!AU:AU)/1000)^(2/3)+_xlfn.XLOOKUP(B96,'Base stats'!B:B,'Base stats'!AZ:AZ))+0.5+IF(_xlfn.XLOOKUP(_xlfn.XLOOKUP(B96,'Base stats'!B:B,'Base stats'!E:E),Groups!A:A,Groups!U:U)&lt;&gt;3,_xlfn.XLOOKUP(B96,'Base stats'!B:B,'Base stats'!BA:BA),0),0.5))</f>
        <v>20</v>
      </c>
      <c r="Y96" s="7">
        <f>IF(X96="No","No",MAX(_xlfn.XLOOKUP(_xlfn.XLOOKUP(B96,'Base stats'!B:B,'Base stats'!E:E),Groups!A:A,Groups!V:V),MROUND(_xlfn.XLOOKUP(_xlfn.XLOOKUP(B96,'Base stats'!B:B,'Base stats'!E:E),Groups!A:A,Groups!V:V)*_xlfn.XLOOKUP(B96,'Base stats'!B:B,'Base stats'!C:C)^0.165,0.05)))</f>
        <v>2.25</v>
      </c>
      <c r="Z96" s="7" t="str">
        <f>IF(X96="No","No",_xlfn.XLOOKUP(_xlfn.XLOOKUP(B96,'Base stats'!B:B,'Base stats'!E:E),Groups!A:A,Groups!W:W))</f>
        <v>HeadAttackTool</v>
      </c>
      <c r="AA96" s="7" t="str">
        <f>IF(X96="No","No",_xlfn.XLOOKUP(_xlfn.XLOOKUP(B96,'Base stats'!B:B,'Base stats'!E:E),Groups!A:A,Groups!X:X))</f>
        <v>antler</v>
      </c>
      <c r="AB96" s="7" t="str">
        <f>IF(X96="No","No",_xlfn.XLOOKUP(_xlfn.XLOOKUP(B96,'Base stats'!B:B,'Base stats'!E:E),Groups!A:A,Groups!Y:Y))</f>
        <v>Scratch</v>
      </c>
      <c r="AC96" s="7" t="str">
        <f>_xlfn.XLOOKUP(Animals!B96,'Base stats'!B:B,'Base stats'!X:X)</f>
        <v>False</v>
      </c>
      <c r="AD96" s="13" t="str">
        <f>IF(_xlfn.XLOOKUP(B96,'Base stats'!B:B,'Base stats'!AT:AT)="No","No",MROUND((LOG10(_xlfn.XLOOKUP(B96,'Base stats'!B:B,'Base stats'!AT:AT))*(AO96^0.75)+(_xlfn.XLOOKUP(B96,'Base stats'!B:B,'Base stats'!AT:AT)/1000)^(2/3)+_xlfn.XLOOKUP(B96,'Base stats'!B:B,'Base stats'!AX:AX)+_xlfn.XLOOKUP(B96,'Base stats'!B:B,'Base stats'!BA:BA))+0.5,0.5))</f>
        <v>No</v>
      </c>
      <c r="AE96" s="7" t="str">
        <f>IF(AD96="No","No",MAX(_xlfn.XLOOKUP(_xlfn.XLOOKUP(B96,'Base stats'!B:B,'Base stats'!E:E),Groups!A:A,Groups!Z:Z),MROUND(_xlfn.XLOOKUP(_xlfn.XLOOKUP(B96,'Base stats'!B:B,'Base stats'!E:E),Groups!A:A,Groups!Z:Z)*_xlfn.XLOOKUP(B96,'Base stats'!B:B,'Base stats'!C:C)^0.165,0.05)))</f>
        <v>No</v>
      </c>
      <c r="AF96" s="7" t="str">
        <f>IF(AD96="No","No",_xlfn.XLOOKUP(_xlfn.XLOOKUP(B96,'Base stats'!B:B,'Base stats'!E:E),Groups!A:A,Groups!AA:AA))</f>
        <v>No</v>
      </c>
      <c r="AG96" s="7" t="str">
        <f>IF(AD96="No","No",_xlfn.XLOOKUP(_xlfn.XLOOKUP(B96,'Base stats'!B:B,'Base stats'!E:E),Groups!A:A,Groups!AB:AB))</f>
        <v>No</v>
      </c>
      <c r="AH96" s="7" t="str">
        <f>IF(AD96="No","No",_xlfn.XLOOKUP(_xlfn.XLOOKUP(B96,'Base stats'!B:B,'Base stats'!E:E),Groups!A:A,Groups!AC:AC))</f>
        <v>No</v>
      </c>
      <c r="AI96" s="13" t="str">
        <f>IF(_xlfn.XLOOKUP(_xlfn.XLOOKUP(B96,'Base stats'!B:B,'Base stats'!E:E),Groups!A:A,Groups!AD:AD)=0,"No",MROUND((LOG10(_xlfn.XLOOKUP(B96,'Base stats'!B:B,'Base stats'!AS:AS))*(AO96^0.75)+(_xlfn.XLOOKUP(B96,'Base stats'!B:B,'Base stats'!AS:AS)/1000)^(2/3)+_xlfn.XLOOKUP(B96,'Base stats'!B:B,'Base stats'!AY:AY)+_xlfn.XLOOKUP(B96,'Base stats'!B:B,'Base stats'!BA:BA))+0.5,0.5))</f>
        <v>No</v>
      </c>
      <c r="AJ96" s="7" t="str">
        <f>IF(AI96="No","No",MAX(_xlfn.XLOOKUP(_xlfn.XLOOKUP(B96,'Base stats'!B:B,'Base stats'!E:E),Groups!A:A,Groups!AE:AE),MROUND(_xlfn.XLOOKUP(_xlfn.XLOOKUP(B96,'Base stats'!B:B,'Base stats'!E:E),Groups!A:A,Groups!AE:AE)*IF(_xlfn.XLOOKUP(_xlfn.XLOOKUP(B96,'Base stats'!B:B,'Base stats'!E:E),Groups!A:A,Groups!AJ:AJ)="Photonozoa",0.6,1)*_xlfn.XLOOKUP(B96,'Base stats'!B:B,'Base stats'!C:C)^0.165,0.05)))</f>
        <v>No</v>
      </c>
      <c r="AK96" s="7" t="str">
        <f>IF(AI96="No","No",_xlfn.XLOOKUP(_xlfn.XLOOKUP(B96,'Base stats'!B:B,'Base stats'!E:E),Groups!A:A,Groups!AF:AF))</f>
        <v>No</v>
      </c>
      <c r="AL96" s="7" t="str">
        <f>IF(AI96="No","No",_xlfn.XLOOKUP(_xlfn.XLOOKUP(B96,'Base stats'!B:B,'Base stats'!E:E),Groups!A:A,Groups!AG:AG))</f>
        <v>No</v>
      </c>
      <c r="AM96" s="7" t="str">
        <f>IF(AI96="No","No",_xlfn.XLOOKUP(_xlfn.XLOOKUP(B96,'Base stats'!B:B,'Base stats'!E:E),Groups!A:A,Groups!AH:AH))</f>
        <v>No</v>
      </c>
      <c r="AN96" s="2" t="str">
        <f t="shared" si="7"/>
        <v>No</v>
      </c>
      <c r="AO96" s="2">
        <f>MROUND(IF(AND(_xlfn.XLOOKUP(B96,'Base stats'!B:B,'Base stats'!C:C)&gt;=0.5,_xlfn.XLOOKUP(B96,'Base stats'!B:B,'Base stats'!C:C)&lt;=0.8),
IF(_xlfn.XLOOKUP(B96,'Base stats'!B:B,'Base stats'!C:C)&lt;0.1,0.05,IF(_xlfn.XLOOKUP(B96,'Base stats'!B:B,'Base stats'!C:C)&lt;=70,(_xlfn.XLOOKUP(B96,'Base stats'!B:B,'Base stats'!C:C)/70)^0.426489913056526,IF(_xlfn.XLOOKUP(B96,'Base stats'!B:B,'Base stats'!C:C)&lt;=400,(_xlfn.XLOOKUP(B96,'Base stats'!B:B,'Base stats'!C:C)/70)^0.572811455315093,IF(_xlfn.XLOOKUP(B96,'Base stats'!B:B,'Base stats'!C:C)&lt;=2000,2.71391647193063*(_xlfn.XLOOKUP(B96,'Base stats'!B:B,'Base stats'!C:C)/400)^0.252459582904293,3.74314280240376*(_xlfn.XLOOKUP(B96,'Base stats'!B:B,'Base stats'!C:C)/2000)^0.357012633876913)))),
IF(_xlfn.XLOOKUP(B96,'Base stats'!B:B,'Base stats'!C:C)&lt;0.1,0.05,IF(_xlfn.XLOOKUP(B96,'Base stats'!B:B,'Base stats'!C:C)&lt;0.4,0.1,IF(_xlfn.XLOOKUP(B96,'Base stats'!B:B,'Base stats'!C:C)&lt;=70,(_xlfn.XLOOKUP(B96,'Base stats'!B:B,'Base stats'!C:C)/70)^0.445823913056526,IF(_xlfn.XLOOKUP(B96,'Base stats'!B:B,'Base stats'!C:C)&lt;=400,(_xlfn.XLOOKUP(B96,'Base stats'!B:B,'Base stats'!C:C)/70)^0.572811455315093,IF(_xlfn.XLOOKUP(B96,'Base stats'!B:B,'Base stats'!C:C)&lt;=2000,2.71391647193063*(_xlfn.XLOOKUP(B96,'Base stats'!B:B,'Base stats'!C:C)/400)^0.252459582904293,3.74314280240376*(_xlfn.XLOOKUP(B96,'Base stats'!B:B,'Base stats'!C:C)/2000)^0.357012633876913)))))),
IF(_xlfn.XLOOKUP(B96,'Base stats'!B:B,'Base stats'!C:C)&lt;0.1,0.05,IF(_xlfn.XLOOKUP(B96,'Base stats'!B:B,'Base stats'!C:C)&lt;=100,0.05,IF(_xlfn.XLOOKUP(B96,'Base stats'!B:B,'Base stats'!C:C)&lt;=250,0.1,IF(_xlfn.XLOOKUP(B96,'Base stats'!B:B,'Base stats'!C:C)&lt;=4000,0.25,0.5)))))</f>
        <v>2.75</v>
      </c>
      <c r="AP96" s="8">
        <f>MROUND(AO96*_xlfn.XLOOKUP(_xlfn.XLOOKUP(B96,'Base stats'!B:B,'Base stats'!E:E),Groups!A:A,Groups!AI:AI)*_xlfn.XLOOKUP(B96,'Base stats'!B:B,'Base stats'!Z:Z),0.05)</f>
        <v>2.75</v>
      </c>
      <c r="AQ96" s="8">
        <f>MAX(0.01,MROUND(IF(CC96="True",0.196*(AO96*100*1000)^0.889,IF(_xlfn.XLOOKUP(_xlfn.XLOOKUP(B96,'Base stats'!B:B,'Base stats'!E:E),Groups!A:A,Groups!AJ:AJ)="Bird",10.5*(AO96*100*1000)^0.681,4.82*(AO96*100*1000)^0.734))/(4.82*(1*100*1000)^0.734)/IF(AO96&lt;3.5,2,IF(AO96=3.5,1.5,1.25))*(1+0.132282374779864/(AO96^0.994035016789033+0.00905238001496948)),0.05))</f>
        <v>1.1000000000000001</v>
      </c>
      <c r="AR96" s="9">
        <f>IFERROR(MROUND(_xlfn.XLOOKUP(B96,'Base stats'!B:B,'Base stats'!H:H)/IF(_xlfn.XLOOKUP(B96,'Base stats'!B:B,'Base stats'!I:I)&lt;&gt;1,(122.5/70),1.2),IF(_xlfn.XLOOKUP(B96,'Base stats'!B:B,'Base stats'!H:H)&gt;=30,5,IF(_xlfn.XLOOKUP(B96,'Base stats'!B:B,'Base stats'!H:H)&gt;=15,3,IF(_xlfn.XLOOKUP(B96,'Base stats'!B:B,'Base stats'!H:H)&gt;=10,2,1)))),"Immortal")</f>
        <v>15</v>
      </c>
      <c r="AS96" s="35">
        <f>IFERROR(IF(OR(_xlfn.XLOOKUP(B96,'Base stats'!B:B,'Base stats'!F:F)="Atypical reproduction",_xlfn.XLOOKUP(B96,'Base stats'!B:B,'Base stats'!F:F)="Lay eggs"),"Lay eggs",MIN(20,MAX(5.5,ROUND(((_xlfn.XLOOKUP(B96,'Base stats'!B:B,'Base stats'!F:F)-25)*(14.5/615) + 5.5)*2,0)/2))),"Unknown")</f>
        <v>10.5</v>
      </c>
      <c r="AT96" s="8">
        <f>IF(_xlfn.XLOOKUP(B96,'Base stats'!B:B,'Base stats'!G:G)="Atypical reproduction","No",IFERROR(MAX(IF(_xlfn.XLOOKUP(B96,'Base stats'!B:B,'Base stats'!G:G)&lt;0.5,0.2,0.3),MROUND(_xlfn.XLOOKUP(B96,'Base stats'!B:B,'Base stats'!G:G)/(365/60),0.2)),"Unknown"))</f>
        <v>0.4</v>
      </c>
      <c r="AU96" s="8">
        <f t="shared" si="8"/>
        <v>0.2</v>
      </c>
      <c r="AV96" s="8">
        <f>IFERROR(IFERROR(MROUND(_xlfn.XLOOKUP(B96,'Base stats'!B:B,'Base stats'!J:J),0.1),"Lay eggs"),"Cannot breed")</f>
        <v>1.3</v>
      </c>
      <c r="AW96" s="2" t="str">
        <f t="shared" si="9"/>
        <v>false</v>
      </c>
      <c r="AX96" s="2" t="str">
        <f>IF(_xlfn.XLOOKUP(_xlfn.XLOOKUP(Animals!B96,'Base stats'!B:B,'Base stats'!E:E),Groups!A:A,Groups!AK:AK)=1,"true","false")</f>
        <v>true</v>
      </c>
      <c r="AY96" s="25" t="str">
        <f>IF(_xlfn.XLOOKUP(B96,'Base stats'!B:B,'Base stats'!Y:Y)="Liquor","Liquor, CarnivoreAnimalStrict",IF(AND(_xlfn.XLOOKUP(B96,'Base stats'!B:B,'Base stats'!Y:Y)="Carnivore",_xlfn.XLOOKUP(_xlfn.XLOOKUP(B96,'Base stats'!B:B,'Base stats'!E:E),Groups!A:A,Groups!AJ:AJ)="Photonozoa"),"CarnivoreAnimalStrict, OvivoreAnimal",IF(_xlfn.XLOOKUP(B96,'Base stats'!B:B,'Base stats'!Y:Y)="Carnivore","CarnivoreAnimal, OvivoreAnimal",IF(_xlfn.XLOOKUP(B96,'Base stats'!B:B,'Base stats'!Y:Y)="Dendrovore","VegetarianRoughAnimal, DendrovoreAnimal",IF(_xlfn.XLOOKUP(B96,'Base stats'!B:B,'Base stats'!Y:Y)="Herbivore","VegetarianRoughAnimal",IF(_xlfn.XLOOKUP(B96,'Base stats'!B:B,'Base stats'!Y:Y)="OmnivoreRough","OmnivoreRoughAnimal, OvivoreAnimal","OmnivoreAnimal, OvivoreAnimal"))))))</f>
        <v>VegetarianRoughAnimal</v>
      </c>
      <c r="AZ96" s="2">
        <f>IF(_xlfn.XLOOKUP(_xlfn.XLOOKUP(B96,'Base stats'!B:B,'Base stats'!E:E),Groups!A:A,Groups!D:D)=1,MROUND((1-J96)*5+1,2)*IF(J96&lt;=0.4,2,1),"No")</f>
        <v>2</v>
      </c>
      <c r="BA96" s="2" t="str">
        <f>IF(AND(_xlfn.XLOOKUP(B96,'Base stats'!B:B,'Base stats'!AH:AH)="&lt;li&gt;Seal&lt;/li&gt;",G96="Odyssey"),"&lt;li&gt;AEXP_Seal&lt;/li&gt;",_xlfn.XLOOKUP(B96,'Base stats'!B:B,'Base stats'!AH:AH))</f>
        <v>&lt;li&gt;Deer&lt;/li&gt;</v>
      </c>
      <c r="BB96" s="2" t="str">
        <f>_xlfn.XLOOKUP(B96,'Base stats'!B:B,'Base stats'!AG:AG)</f>
        <v>Leather_Plain</v>
      </c>
      <c r="BC96" s="23" t="str">
        <f>_xlfn.XLOOKUP(_xlfn.XLOOKUP(B96,'Base stats'!B:B,'Base stats'!E:E),Groups!A:A,Groups!AL:AL)</f>
        <v>QuadrupedAnimalWithHooves</v>
      </c>
      <c r="BD96" s="23">
        <f>MIN(1,MROUND(IF(AND(AO96&lt;0.5,_xlfn.XLOOKUP(B96,'Base stats'!B:B,'Base stats'!AA:AA)=0),0,IF(OR(_xlfn.XLOOKUP(Animals!B96,'Base stats'!B:B,'Base stats'!O:O)=2,_xlfn.XLOOKUP(_xlfn.XLOOKUP(B96,'Base stats'!B:B,'Base stats'!E:E),Groups!A:A,Groups!AN:AN)=0),0,_xlfn.XLOOKUP(_xlfn.XLOOKUP(B96,'Base stats'!B:B,'Base stats'!E:E),Groups!A:A,Groups!AN:AN)/IF(_xlfn.XLOOKUP(Animals!B96,'Base stats'!B:B,'Base stats'!O:O)=1,2,1)))+_xlfn.XLOOKUP(B96,'Base stats'!B:B,'Base stats'!AC:AC),0.005))</f>
        <v>2.5000000000000001E-2</v>
      </c>
      <c r="BE96" s="23">
        <f>MIN(1,MROUND(IF(AND(AO96&lt;0.5,_xlfn.XLOOKUP(B96,'Base stats'!B:B,'Base stats'!AA:AA)=0),0,IF(_xlfn.XLOOKUP(_xlfn.XLOOKUP(B96,'Base stats'!B:B,'Base stats'!E:E),Groups!A:A,Groups!AO:AO)=0,0,_xlfn.XLOOKUP(_xlfn.XLOOKUP(B96,'Base stats'!B:B,'Base stats'!E:E),Groups!A:A,Groups!AO:AO)/IF(_xlfn.XLOOKUP(Animals!B96,'Base stats'!B:B,'Base stats'!O:O)=2,3,1)))+_xlfn.XLOOKUP(B96,'Base stats'!B:B,'Base stats'!AD:AD),0.005))</f>
        <v>0.05</v>
      </c>
      <c r="BF96" s="2" t="str">
        <f>IF(J96&gt;0.3,"No",_xlfn.XLOOKUP(_xlfn.XLOOKUP(Animals!B96,'Base stats'!B:B,'Base stats'!E:E),Groups!A:A,Groups!AP:AP))</f>
        <v>No</v>
      </c>
      <c r="BG96" s="2" t="str">
        <f>IF(AND(J96&lt;=0.65,_xlfn.XLOOKUP(_xlfn.XLOOKUP(Animals!B96,'Base stats'!B:B,'Base stats'!E:E),Groups!A:A,Groups!AP:AP)&lt;&gt;"No",_xlfn.XLOOKUP(_xlfn.XLOOKUP(B96,'Base stats'!B:B,'Base stats'!E:E),Groups!A:A,Groups!D:D)=0),MROUND((80/3)*IF(_xlfn.XLOOKUP(B96,'Base stats'!B:B,'Base stats'!O:O)=2,0.2,AO96) + 24*(1-IF(BF96="No",0,BF96)) + 16/3, 12),"No")</f>
        <v>No</v>
      </c>
      <c r="BH96" s="2">
        <f>IF(AND(_xlfn.XLOOKUP(_xlfn.XLOOKUP(B96,'Base stats'!B:B,'Base stats'!E:E),Groups!A:A,Groups!AQ:AQ)=1,AO96&lt;=0.35),8,12)</f>
        <v>12</v>
      </c>
      <c r="BI96" s="2" t="str">
        <f>IF(_xlfn.XLOOKUP(_xlfn.XLOOKUP(B96,'Base stats'!B:B,'Base stats'!E:E),Groups!A:A,Groups!D:D)=0,_xlfn.XLOOKUP(_xlfn.XLOOKUP(B96,'Base stats'!B:B,'Base stats'!E:E),Groups!A:A,Groups!AR:AR),"None")</f>
        <v>None</v>
      </c>
      <c r="BJ96" s="2" t="str">
        <f>IF(AND(_xlfn.XLOOKUP(_xlfn.XLOOKUP(B96,'Base stats'!B:B,'Base stats'!E:E),Groups!A:A,Groups!AS:AS)=1,OR(_xlfn.XLOOKUP(B96,'Base stats'!B:B,'Base stats'!Y:Y)="Carnivore",_xlfn.XLOOKUP(B96,'Base stats'!B:B,'Base stats'!Y:Y)="Omnivore")),"true","false")</f>
        <v>false</v>
      </c>
      <c r="BK96" s="2" t="str">
        <f>IF(BJ96="true",MROUND(IF(AND(AO96&gt;0.5,OR(_xlfn.XLOOKUP(_xlfn.XLOOKUP(B96,'Base stats'!B:B,'Base stats'!E:E),Groups!A:A,Groups!AJ:AJ)="Photonozoa",_xlfn.XLOOKUP(_xlfn.XLOOKUP(B96,'Base stats'!B:B,'Base stats'!E:E),Groups!A:A,Groups!AJ:AJ)="Mammal")),Animals!AO96*1.75*IF(AW96="true",1.5,1),IF(AO96&lt;0.5,Animals!AO96*0.5,Animals!AO96)),IF(AO96&gt;2,0.5,IF(AO96&gt;0.5,0.25,0.1))),"No")</f>
        <v>No</v>
      </c>
      <c r="BL96" s="2">
        <f t="shared" si="10"/>
        <v>0</v>
      </c>
      <c r="BM96" s="25" t="str">
        <f>IF(_xlfn.XLOOKUP(B96,'Base stats'!B:B,'Base stats'!AN:AN)="Standard","No",MROUND((_xlfn.XLOOKUP(B96,'Base stats'!B:B,'Base stats'!AN:AN)/3.6)/I96,0.1))</f>
        <v>No</v>
      </c>
      <c r="BN96" s="25" t="str">
        <f t="shared" si="11"/>
        <v>false</v>
      </c>
      <c r="BO96" s="25" t="str">
        <f>IF(AND(OR(_xlfn.XLOOKUP(B96,'Base stats'!B:B,'Base stats'!Y:Y)="Carnivore",_xlfn.XLOOKUP(B96,'Base stats'!B:B,'Base stats'!Y:Y)="Omnivore",_xlfn.XLOOKUP(B96,'Base stats'!B:B,'Base stats'!Y:Y)="OmnivoreRough"),_xlfn.XLOOKUP(_xlfn.XLOOKUP(B96,'Base stats'!B:B,'Base stats'!E:E),Groups!A:A,Groups!AT:AT)=1),"true","false")</f>
        <v>false</v>
      </c>
      <c r="BP96" s="25" t="str" cm="1">
        <f t="array" ref="BP96">IF(
  _xlfn.TEXTJOIN(", ",TRUE,
    IF(AND(BJ96="true",AO96&gt;0.5,BI96&lt;&gt;"None"),"AttackTarget",""),
    IF(AND(_xlfn.XLOOKUP(_xlfn.XLOOKUP(B96,'Base stats'!B:B,'Base stats'!E:E),Groups!A:A,Groups!AJ:AJ="Mammal"),OR(_xlfn.XLOOKUP(B96,'Base stats'!B:B,'Base stats'!Y:Y)="Omnivore",_xlfn.XLOOKUP(B96,'Base stats'!B:B,'Base stats'!Y:Y)="OmnivoreRough")),"Forage",""),
    IF(BG96&lt;=36,"Comfort",""),
    IF(_xlfn.XLOOKUP(B96,'Base stats'!B:B,'Base stats'!AE:AE)&lt;&gt;"No",_xlfn.XLOOKUP(B96,'Base stats'!B:B,'Base stats'!AE:AE),"")
  ) = "",
  "No",
  _xlfn.TEXTJOIN(", ",TRUE,
    IF(AND(BJ96="true",AO96&gt;0.5,BI96&lt;&gt;"None"),"AttackTarget",""),
    IF(AND(_xlfn.XLOOKUP(_xlfn.XLOOKUP(B96,'Base stats'!B:B,'Base stats'!E:E),Groups!A:A,Groups!AJ:AJ="Mammal"),OR(_xlfn.XLOOKUP(B96,'Base stats'!B:B,'Base stats'!Y:Y)="Omnivore",_xlfn.XLOOKUP(B96,'Base stats'!B:B,'Base stats'!Y:Y)="OmnivoreRough")),"Forage",""),
    IF(BG96&lt;=36,"Comfort",""),
    IF(_xlfn.XLOOKUP(B96,'Base stats'!B:B,'Base stats'!AE:AE)&lt;&gt;"No",_xlfn.XLOOKUP(B96,'Base stats'!B:B,'Base stats'!AE:AE),"")
  )
)</f>
        <v>No</v>
      </c>
      <c r="BQ96" s="25" t="str">
        <f>IF(
   AND(
      'Base stats'!AN96="Standard",_xlfn.XLOOKUP(_xlfn.XLOOKUP(B96,'Base stats'!B:B,'Base stats'!E:E),Groups!A:A,Groups!AU:AU)=0,
      OR(
      BO96="True"
      )
   ),
   10,
   IF(
       OR(BM96&lt;&gt;"No",_xlfn.XLOOKUP(_xlfn.XLOOKUP(B96,'Base stats'!B:B,'Base stats'!E:E),Groups!A:A,Groups!AU:AU)=1),
      1,
      "No"
   )
)</f>
        <v>No</v>
      </c>
      <c r="BR96" s="9">
        <f>MROUND((1 + ((0.2*IF(OR(Q96="No",R96="No",R96=0),0,Q96/R96)
+IF(OR(V96="No",S96="No",T96="No"),0,S96/T96*(LEN(V96)-LEN(SUBSTITUTE(V96,",",""))+1))
+IF(OR(X96="No",Y96="No"),0,X96/Y96)
+IF(OR(AD96="No",AE96="No"),0,AD96/AE96)
+IF(OR(AL96="No",AI96="No",AJ96="No"),0,AI96/AJ96*(LEN(AL96)-LEN(SUBSTITUTE(AL96,",",""))+1))
)/(0.2*IF(OR(Q96="No",R96="No",R96=0),0,1)
+IF(OR(V96="No",S96="No",T96="No"),0,LEN(V96)-LEN(SUBSTITUTE(V96,",",""))+1)
+IF(OR(X96="No",Y96="No"),0,1)
+IF(OR(AD96="No",AE96="No"),0,1)
+IF(OR(AL96="No",AI96="No",AJ96="No"),0,LEN(AL96)-LEN(SUBSTITUTE(AL96,",",""))+1))*62%)* 2)*(1 + (AP96 / (IF(_xlfn.XLOOKUP(_xlfn.XLOOKUP(B96,'Base stats'!B:B,'Base stats'!E:E),Groups!A:A,Groups!AJ:AJ)="Photonozoa",0.3,1)) + _xlfn.XLOOKUP(B96,'Base stats'!B:B,'Base stats'!AV:AV) * 1.8) * 2) * 2.5 + 10 + I96 * 2,5)+IF(_xlfn.XLOOKUP(B96,'Base stats'!B:B,'Base stats'!AK:AK)=1,50,0)</f>
        <v>190</v>
      </c>
      <c r="BS96" s="8">
        <f t="shared" si="12"/>
        <v>1.4500000000000002</v>
      </c>
      <c r="BT96" s="8" t="str">
        <f>_xlfn.XLOOKUP(B96,'Base stats'!B:B,'Base stats'!AF:AF)</f>
        <v>No</v>
      </c>
      <c r="BU96" s="2" t="str">
        <f>IF(AND(J96&lt;=0.95,OR(_xlfn.XLOOKUP(B96,'Base stats'!B:B,'Base stats'!AK:AK)=1,_xlfn.XLOOKUP(B96,'Base stats'!B:B,'Base stats'!Y:Y)="Carnivore",_xlfn.XLOOKUP(B96,'Base stats'!B:B,'Base stats'!Y:Y)="Omnivore",BE96&gt;0.1)),"true","false")</f>
        <v>false</v>
      </c>
      <c r="BV96" s="2" t="str">
        <f>IF(_xlfn.XLOOKUP(B96,'Base stats'!B:B,'Base stats'!AI:AI)=1,"true","false")</f>
        <v>false</v>
      </c>
      <c r="BW96" s="25" t="str">
        <f>IF(E96="BaseInsect","AnimalInsect",
IF(J96&gt;0.95,"AnimalExotic",
_xlfn.TEXTJOIN(", ",TRUE,
IF(OR(_xlfn.XLOOKUP(B96,'Base stats'!B:B,'Base stats'!AM:AM)=1,AND(_xlfn.XLOOKUP(B96,'Base stats'!B:B,'Base stats'!O:O)=0,_xlfn.XLOOKUP(_xlfn.XLOOKUP(B96,'Base stats'!B:B,'Base stats'!E:E),Groups!A:A,Groups!B:B)&gt;0)),"AnimalUncommon","AnimalCommon"),
IF(AND(_xlfn.XLOOKUP(B96,'Base stats'!B:B,'Base stats'!O:O)=2,_xlfn.XLOOKUP(_xlfn.XLOOKUP(B96,'Base stats'!B:B,'Base stats'!E:E),Groups!A:A,Groups!D:D)=0),"AnimalPet",IF(AND(_xlfn.XLOOKUP(B96,'Base stats'!B:B,'Base stats'!O:O)&lt;&gt;0,_xlfn.XLOOKUP(_xlfn.XLOOKUP(B96,'Base stats'!B:B,'Base stats'!E:E),Groups!A:A,Groups!D:D)&lt;&gt;0),"AnimalFarm","")),
IF(OR(_xlfn.XLOOKUP(B96,'Base stats'!B:B,'Base stats'!AK:AK)=1,AND(BI96&lt;&gt;"None",BR96&gt;=60),ISNUMBER(SEARCH("Attack target",BP96))),"AnimalFighter","")
)))</f>
        <v>AnimalCommon</v>
      </c>
      <c r="BX96" s="25" t="str">
        <f>IF(G96="None",TRIM(
SUBSTITUTE(
IF(COUNTIF(Biomes!B$2:B$259,"="&amp;$C96)&gt;0,Biomes!B$1&amp;", ","")&amp;
IF(COUNTIF(Biomes!C$2:C$259,"="&amp;$C96)&gt;0,Biomes!C$1&amp;", ","")&amp;
IF(COUNTIF(Biomes!D$2:D$259,"="&amp;$C96)&gt;0,Biomes!D$1&amp;", ","")&amp;
IF(COUNTIF(Biomes!F$2:F$259,"="&amp;$C96)&gt;0,Biomes!F$1&amp;", ","")&amp;
IF(COUNTIF(Biomes!G$2:G$259,"="&amp;$C96)&gt;0,Biomes!G$1&amp;", ","")&amp;
IF(COUNTIF(Biomes!H$2:H$259,"="&amp;$C96)&gt;0,Biomes!H$1&amp;", ","")&amp;
IF(COUNTIF(Biomes!I$2:I$259,"="&amp;$C96)&gt;0,Biomes!I$1&amp;", ","")&amp;
IF(COUNTIF(Biomes!J$2:J$259,"="&amp;$C96)&gt;0,Biomes!J$1&amp;", ","")&amp;
IF(COUNTIF(Biomes!M$2:M$259,"="&amp;$C96)&gt;0,Biomes!M$1&amp;", ","")&amp;
IF(COUNTIF(Biomes!N$2:N$259,"="&amp;$C96)&gt;0,Biomes!N$1&amp;", ","")&amp;
IF(COUNTIF(Biomes!O$2:O$259,"="&amp;$C96)&gt;0,Biomes!O$1&amp;", ","")&amp;
IF(COUNTIF(Biomes!P$2:P$259,"="&amp;$C96)&gt;0,Biomes!P$1&amp;", ","")&amp;
IF(COUNTIF(Biomes!K$2:K$259,"="&amp;$C96)&gt;0,Biomes!K$1&amp;", ","")&amp;
IF(COUNTIF(Biomes!Q$3:Q$259,"="&amp;$C96)&gt;0,Biomes!Q$1&amp;", ","")&amp;
IF(COUNTIF(Biomes!L$2:L$259,"="&amp;$C96)&gt;0,Biomes!L$1&amp;", ","")&amp;
IF(COUNTIF(Biomes!E$2:E$259,"="&amp;$C96)&gt;0,Biomes!E$1&amp;", ","")&amp;IF(COUNTIF(Biomes!S$2:S$259,"="&amp;$C96)&gt;0,Biomes!S$1&amp;", ","")&amp;
IF(COUNTIF(Biomes!R$2:R$259,"="&amp;$C96)&gt;0,Biomes!R$1&amp;", ",""),", ","")
),_xlfn.XLOOKUP(B96,B:B,BX:BX))</f>
        <v>Tundra BorealForest ColdBog TemperateForest TemperateSwamp GlacialPlain</v>
      </c>
      <c r="BY96" s="25" t="str">
        <f>IF(_xlfn.XLOOKUP(B96,'Base stats'!B:B,'Base stats'!AJ:AJ)=1,"true","false")</f>
        <v>false</v>
      </c>
      <c r="BZ96" s="25">
        <f>IF(_xlfn.XLOOKUP(B96,'Base stats'!B:B,'Base stats'!N:N)=1,"No",MAX(0.001,MIN(MROUND(IF(AND(BJ96="True",CC96="False"),POWER(10,3.47*LOG10(_xlfn.XLOOKUP(B96,'Base stats'!B:B,'Base stats'!C:C)*1000)^-0.96),POWER(10,4.15*LOG10(_xlfn.XLOOKUP(B96,'Base stats'!B:B,'Base stats'!C:C)*1000)^-0.73))*IF(_xlfn.XLOOKUP(B96,'Base stats'!B:B,'Base stats'!AK:AK)=1,0.5,1)*IF(_xlfn.XLOOKUP(B96,'Base stats'!B:B,'Base stats'!AM:AM)=1,0.1,1)/100,IF(_xlfn.XLOOKUP(B96,'Base stats'!B:B,'Base stats'!AM:AM)=1,0.001,0.025)),0.5)))</f>
        <v>0.15000000000000002</v>
      </c>
      <c r="CA96" s="25" t="str">
        <f>IF(P96="Standard","No",MAX(0.001,MIN(MROUND(IF(AND(BJ96="True",CC96="False"),POWER(10,3.47*LOG10(_xlfn.XLOOKUP(B96,'Base stats'!B:B,'Base stats'!C:C)*1000)^-0.96),POWER(10,4.15*LOG10(_xlfn.XLOOKUP(B96,'Base stats'!B:B,'Base stats'!C:C)*1000)^-0.73))*IF(_xlfn.XLOOKUP(B96,'Base stats'!B:B,'Base stats'!AM:AM)=1,0.1,1)*_xlfn.XLOOKUP(B96,'Base stats'!B:B,'Base stats'!R:R)/100,IF(_xlfn.XLOOKUP(B96,'Base stats'!B:B,'Base stats'!AM:AM)=1,0.001,0.025)),0.5)))</f>
        <v>No</v>
      </c>
      <c r="CB96" s="25" t="str">
        <f>IF(_xlfn.XLOOKUP(_xlfn.XLOOKUP(B96,'Base stats'!B:B,'Base stats'!E:E),Groups!A:A,Groups!AJ:AJ)="Mammal","True","False")</f>
        <v>True</v>
      </c>
      <c r="CC96" s="25" t="str">
        <f>IF(OR(_xlfn.XLOOKUP(_xlfn.XLOOKUP(B96,'Base stats'!B:B,'Base stats'!E:E),Groups!A:A,Groups!AJ:AJ)="Reptile",_xlfn.XLOOKUP(_xlfn.XLOOKUP(B96,'Base stats'!B:B,'Base stats'!E:E),Groups!A:A,Groups!AJ:AJ)="Amphibian",_xlfn.XLOOKUP(_xlfn.XLOOKUP(B96,'Base stats'!B:B,'Base stats'!E:E),Groups!A:A,Groups!AJ:AJ)="Invertebrate"),"True","False")</f>
        <v>False</v>
      </c>
      <c r="CD96" s="25" t="str">
        <f t="shared" si="13"/>
        <v>False</v>
      </c>
      <c r="CE96" s="25" t="str">
        <f>IF(_xlfn.XLOOKUP(_xlfn.XLOOKUP(B96,'Base stats'!B:B,'Base stats'!E:E),Groups!A:A,Groups!AX:AX),"True","False")</f>
        <v>False</v>
      </c>
      <c r="CF96" s="25" t="str">
        <f>IF(_xlfn.XLOOKUP(_xlfn.XLOOKUP(B96,'Base stats'!B:B,'Base stats'!E:E),Groups!A:A,Groups!AY:AY),"True","False")</f>
        <v>False</v>
      </c>
      <c r="CG96" s="25" t="str">
        <f>IF(_xlfn.XLOOKUP(_xlfn.XLOOKUP(B96,'Base stats'!B:B,'Base stats'!E:E),Groups!A:A,Groups!AW:AW),"True","False")</f>
        <v>False</v>
      </c>
      <c r="CH96" s="25" t="str">
        <f>IF(
OR(
_xlfn.XLOOKUP(_xlfn.XLOOKUP(B96,'Base stats'!B:B,'Base stats'!E:E),Groups!A:A,Groups!AZ:AZ)=0,
AND(
_xlfn.XLOOKUP(B96,'Base stats'!B:B,'Base stats'!Y:Y)&lt;&gt;"Carnivore",
_xlfn.XLOOKUP(B96,'Base stats'!B:B,'Base stats'!Y:Y)&lt;&gt;"Omnivore",
_xlfn.XLOOKUP(B96,'Base stats'!B:B,'Base stats'!Y:Y)&lt;&gt;"OmnivoreRough"
)
),
"No",
IF(
_xlfn.XLOOKUP(_xlfn.XLOOKUP(B96,'Base stats'!B:B,'Base stats'!E:E),Groups!A:A,Groups!AZ:AZ)=1,
"Flesh",
IF(
_xlfn.XLOOKUP(_xlfn.XLOOKUP(B96,'Base stats'!B:B,'Base stats'!E:E),Groups!A:A,Groups!AZ:AZ)=2,
"Bone",
""
)
)
)</f>
        <v>No</v>
      </c>
      <c r="CI96" s="25" t="str">
        <f>IF(_xlfn.XLOOKUP(_xlfn.XLOOKUP(B96,'Base stats'!B:B,'Base stats'!E:E),Groups!A:A,Groups!BB:BB),"True","False")</f>
        <v>True</v>
      </c>
      <c r="CJ96" s="25" t="str">
        <f>IF(_xlfn.XLOOKUP(_xlfn.XLOOKUP(B96,'Base stats'!B:B,'Base stats'!E:E),Groups!A:A,Groups!BA:BA),"True","False")</f>
        <v>False</v>
      </c>
    </row>
    <row r="97" spans="1:88" ht="16.5" thickTop="1" thickBot="1" x14ac:dyDescent="0.3">
      <c r="A97" s="26" t="str">
        <f>_xlfn.XLOOKUP(B97,'Base stats'!B:B,'Base stats'!A:A)</f>
        <v>Muskox</v>
      </c>
      <c r="B97" s="6" t="s">
        <v>222</v>
      </c>
      <c r="C97" s="28" t="s">
        <v>777</v>
      </c>
      <c r="D97" s="28" t="s">
        <v>870</v>
      </c>
      <c r="E97" s="28" t="s">
        <v>673</v>
      </c>
      <c r="F97" s="28" t="s">
        <v>673</v>
      </c>
      <c r="G97" s="28" t="s">
        <v>673</v>
      </c>
      <c r="H97" s="2">
        <f>MROUND((
  (IF(AND(_xlfn.XLOOKUP(B97,'Base stats'!B:B,'Base stats'!AL:AL)=0,BI97="None",_xlfn.XLOOKUP(_xlfn.XLOOKUP(B97,'Base stats'!B:B,'Base stats'!E:E),Groups!A:A,Groups!B:B)=0), (18 + BR97 * 2.7) * 0.5,
    IF(AND(_xlfn.XLOOKUP(B97,'Base stats'!B:B,'Base stats'!AL:AL)=0,OR(AO97&lt;0.55,AND(BI97="Intermediate",_xlfn.XLOOKUP(_xlfn.XLOOKUP(B97,'Base stats'!B:B,'Base stats'!E:E),Groups!A:A,Groups!B:B)&lt;2))), (18 + BR97 * 2.7),
      IF(OR(BI97="Advanced",_xlfn.XLOOKUP(B97,'Base stats'!B:B,'Base stats'!AL:AL)=1,_xlfn.XLOOKUP(_xlfn.XLOOKUP(B97,'Base stats'!B:B,'Base stats'!E:E),Groups!A:A,Groups!B:B)=2), (18 + BR97 * 2.7) + 250, (18 + BR97 * 2.7))
    )
  ))
  + AO97 * 80
  + IF(COUNTIF(EggMilk!K$2:K$998, A97) &gt; 0, 125, 0)
  + IF(COUNTIF(EggMilk!P$2:P$998, A97) &gt; 0, 90, 0)
  + IF(COUNTIF(EggMilk!A$2:A$998, A97) &gt; 0, 90, 0)
)
* (0.8 + 0.4 * J97)
* 0.75,25)</f>
        <v>375</v>
      </c>
      <c r="I97" s="2">
        <f>MROUND(ROUNDDOWN(_xlfn.XLOOKUP(B97,'Base stats'!B:B,'Base stats'!L:L)/3.6/(23.3/11),1),0.5)</f>
        <v>7</v>
      </c>
      <c r="J97" s="2">
        <f>IF(OR(_xlfn.XLOOKUP(B97,'Base stats'!B:B,'Base stats'!AB:AB)=1,_xlfn.XLOOKUP(_xlfn.XLOOKUP(B97,'Base stats'!B:B,'Base stats'!E:E),Groups!A:A,Groups!C:C)="Untamable"),1,IF(_xlfn.XLOOKUP(B97,'Base stats'!B:B,'Base stats'!AL:AL)=1,0.99,MIN(MROUND((1-0.6282*EXP(-0.459*AO97))*_xlfn.XLOOKUP(_xlfn.XLOOKUP(B97,'Base stats'!B:B,'Base stats'!E:E),Groups!A:A,Groups!C:C)*IF(_xlfn.XLOOKUP(B97,'Base stats'!B:B,'Base stats'!O:O)=1,0.5,IF(_xlfn.XLOOKUP(B97,'Base stats'!B:B,'Base stats'!O:O)=2,0,1)),0.05),IF(AO97&gt;3.5,0.985,0.95))))</f>
        <v>0.65</v>
      </c>
      <c r="K97" s="2">
        <f>ROUNDUP(AO97*_xlfn.XLOOKUP(_xlfn.XLOOKUP(B97,'Base stats'!B:B,'Base stats'!E:E),Groups!A:A,Groups!E:E),0)</f>
        <v>12</v>
      </c>
      <c r="L97" s="2">
        <f>IF(OR(_xlfn.XLOOKUP(_xlfn.XLOOKUP(B97,'Base stats'!B:B,'Base stats'!E:E),Groups!A:A,Groups!F:F)=2,ISNUMBER(SEARCH("SeaIce",BX97)),ISNUMBER(SEARCH("IceSheet",BX97))),-50,IF(OR(ISNUMBER(SEARCH("GlacialPlain",BX97)),ISNUMBER(SEARCH("Tundra",BX97))),-40,IF(OR(ISNUMBER(SEARCH("Alpine",BX97)),ISNUMBER(SEARCH("BorealForest",BX97)),ISNUMBER(SEARCH("ColdBog",BX97))),-30,IF(OR(ISNUMBER(SEARCH("TemperateForest",BX97)),ISNUMBER(SEARCH("TemperateSwamp",BX97))),-20,IF(_xlfn.XLOOKUP(_xlfn.XLOOKUP(B97,'Base stats'!B:B,'Base stats'!E:E),Groups!A:A,Groups!F:F)=1,-15,IF(OR(ISNUMBER(SEARCH("Desert",BX97)),ISNUMBER(SEARCH("ExtremeDesert",BX97))),-10,IF(OR(ISNUMBER(SEARCH("Grasslands",BX97)),ISNUMBER(SEARCH("TropicalRainforest",BX97)),ISNUMBER(SEARCH("TropicalSwamp",BX97))),10,0)))))))-IF(CC97="False",MIN(IFERROR(MAX(MROUND(LOG10(_xlfn.XLOOKUP(B97,'Base stats'!B:B,'Base stats'!C:C)^(2/3))*10,5),5),5),30))-_xlfn.XLOOKUP(B97,'Base stats'!B:B,'Base stats'!P:P)+IF(CC97="True",5,0)</f>
        <v>-55</v>
      </c>
      <c r="M97" s="2">
        <f>IF(OR(_xlfn.XLOOKUP(_xlfn.XLOOKUP(B97,'Base stats'!B:B,'Base stats'!E:E),Groups!A:A,Groups!G:G)=2,ISNUMBER(SEARCH("Desert",BX97)),ISNUMBER(SEARCH("ExtremeDesert",BX97)),ISNUMBER(SEARCH("LavaField",BX97))),50,IF(ISNUMBER(SEARCH("Grasslands",BX97)),45,IF(OR(_xlfn.XLOOKUP(_xlfn.XLOOKUP(B97,'Base stats'!B:B,'Base stats'!E:E),Groups!A:A,Groups!G:G)=1,ISNUMBER(SEARCH("TropicalRainforest",BX97)),ISNUMBER(SEARCH("TropicalSwamp",BX97))),40,IF(OR(ISNUMBER(SEARCH("TemperateForest",BX97)),ISNUMBER(SEARCH("TemperateSwamp",BX97))),35,IF(OR(ISNUMBER(SEARCH("Alpine",BX97)),ISNUMBER(SEARCH("BorealForest",BX97)),ISNUMBER(SEARCH("ColdBog",BX97))),30,IF(ISNUMBER(OR(ISNUMBER(SEARCH("GlacialPlain",BX97)),SEARCH("Tundra",BX97))),25,IF(OR(ISNUMBER(SEARCH("SeaIce",BX97)),ISNUMBER(SEARCH("IceSheet",BX97)),ISNUMBER(SEARCH("TropicalSwamp",BX97))),10,35)))))))+_xlfn.XLOOKUP(B97,'Base stats'!B:B,'Base stats'!Q:Q)</f>
        <v>35</v>
      </c>
      <c r="N97" s="8" t="str">
        <f>IF(
_xlfn.XLOOKUP(
_xlfn.XLOOKUP(B97,'Base stats'!B:B,'Base stats'!E:E),
Groups!A:A,
Groups!L:L
)=1,
MIN(
MROUND(
IF(
_xlfn.XLOOKUP(B97,'Animals CE'!B:B,'Animals CE'!Z:Z)&lt;=1.5,
_xlfn.XLOOKUP(B97,'Animals CE'!B:B,'Animals CE'!Z:Z)/2+0.05,
0.8+
(_xlfn.XLOOKUP(B97,'Animals CE'!B:B,'Animals CE'!Z:Z)-1.5)
*0.02
),
0.05
),
200%
),
"No"
)</f>
        <v>No</v>
      </c>
      <c r="O97" s="8" t="str">
        <f>IF(
_xlfn.XLOOKUP(
_xlfn.XLOOKUP(B97,'Base stats'!B:B,'Base stats'!E:E),
Groups!A:A,
Groups!L:L
)=1,
MIN(
MROUND(
IF(
_xlfn.XLOOKUP(B97,'Animals CE'!B:B,'Animals CE'!AA:AA)&lt;=1.5,
_xlfn.XLOOKUP(B97,'Animals CE'!B:B,'Animals CE'!AA:AA)/2+0.05,
0.8+
(_xlfn.XLOOKUP(B97,'Animals CE'!B:B,'Animals CE'!AA:AA)-1.5)
*0.02
),
0.05
),
200%
),
"No"
)</f>
        <v>No</v>
      </c>
      <c r="P97" s="2" t="str">
        <f>_xlfn.XLOOKUP(B97,'Base stats'!B:B,'Base stats'!R:R)</f>
        <v>Standard</v>
      </c>
      <c r="Q97" s="13">
        <f>MROUND((LOG10(_xlfn.XLOOKUP(B97,'Base stats'!B:B,'Base stats'!AR:AR))*(AO97^0.5)+(_xlfn.XLOOKUP(B97,'Base stats'!B:B,'Base stats'!AR:AR)/1000)^(2/3)+_xlfn.XLOOKUP(B97,'Base stats'!B:B,'Base stats'!BA:BA)/2)+0.5,0.5)</f>
        <v>13</v>
      </c>
      <c r="R97" s="7">
        <f>IF(Q97="No","No",MAX(1,MROUND(_xlfn.XLOOKUP(B97,'Base stats'!B:B,'Base stats'!C:C)^0.165,0.05)))</f>
        <v>2.6</v>
      </c>
      <c r="S97" s="13">
        <f>IF(_xlfn.XLOOKUP(_xlfn.XLOOKUP(B97,'Base stats'!B:B,'Base stats'!E:E),Groups!A:A,Groups!P:P)=0,"No",MROUND((LOG10(_xlfn.XLOOKUP(B97,'Base stats'!B:B,'Base stats'!AS:AS))*(AO97^0.5)+(_xlfn.XLOOKUP(B97,'Base stats'!B:B,'Base stats'!AS:AS)/1000)^(2/3)+_xlfn.XLOOKUP(B97,'Base stats'!B:B,'Base stats'!BA:BA))+_xlfn.XLOOKUP(B97,'Base stats'!B:B,'Base stats'!AY:AY)+0.5,0.5))</f>
        <v>16</v>
      </c>
      <c r="T97" s="7">
        <f>IF(S97="No","No",MAX(_xlfn.XLOOKUP(_xlfn.XLOOKUP(B97,'Base stats'!B:B,'Base stats'!E:E),Groups!A:A,Groups!Q:Q),MROUND(_xlfn.XLOOKUP(_xlfn.XLOOKUP(B97,'Base stats'!B:B,'Base stats'!E:E),Groups!A:A,Groups!Q:Q)*_xlfn.XLOOKUP(B97,'Base stats'!B:B,'Base stats'!C:C)^0.165,0.05)))</f>
        <v>2.6</v>
      </c>
      <c r="U97" s="7" t="str">
        <f>IF(S97="No","No",_xlfn.XLOOKUP(_xlfn.XLOOKUP(B97,'Base stats'!B:B,'Base stats'!E:E),Groups!A:A,Groups!R:R))</f>
        <v>FrontLeftLeg, FrontRightLeg</v>
      </c>
      <c r="V97" s="7" t="str">
        <f>IF(S97="No","No",_xlfn.XLOOKUP(_xlfn.XLOOKUP(B97,'Base stats'!B:B,'Base stats'!E:E),Groups!A:A,Groups!S:S))</f>
        <v>left hoof, right hoof</v>
      </c>
      <c r="W97" s="7" t="str">
        <f>IF(S97="No","No",_xlfn.XLOOKUP(_xlfn.XLOOKUP(B97,'Base stats'!B:B,'Base stats'!E:E),Groups!A:A,Groups!T:T))</f>
        <v>Blunt</v>
      </c>
      <c r="X97" s="13">
        <f>IF(_xlfn.XLOOKUP(B97,'Base stats'!B:B,'Base stats'!W:W)="No","No",MROUND((LOG10(_xlfn.XLOOKUP(B97,'Base stats'!B:B,'Base stats'!AU:AU))*(AO97^0.5)+(_xlfn.XLOOKUP(B97,'Base stats'!B:B,'Base stats'!AU:AU)/1000)^(2/3)+_xlfn.XLOOKUP(B97,'Base stats'!B:B,'Base stats'!AZ:AZ))+0.5+IF(_xlfn.XLOOKUP(_xlfn.XLOOKUP(B97,'Base stats'!B:B,'Base stats'!E:E),Groups!A:A,Groups!U:U)&lt;&gt;3,_xlfn.XLOOKUP(B97,'Base stats'!B:B,'Base stats'!BA:BA),0),0.5))</f>
        <v>17.5</v>
      </c>
      <c r="Y97" s="7">
        <f>IF(X97="No","No",MAX(_xlfn.XLOOKUP(_xlfn.XLOOKUP(B97,'Base stats'!B:B,'Base stats'!E:E),Groups!A:A,Groups!V:V),MROUND(_xlfn.XLOOKUP(_xlfn.XLOOKUP(B97,'Base stats'!B:B,'Base stats'!E:E),Groups!A:A,Groups!V:V)*_xlfn.XLOOKUP(B97,'Base stats'!B:B,'Base stats'!C:C)^0.165,0.05)))</f>
        <v>2.2000000000000002</v>
      </c>
      <c r="Z97" s="7" t="str">
        <f>IF(X97="No","No",_xlfn.XLOOKUP(_xlfn.XLOOKUP(B97,'Base stats'!B:B,'Base stats'!E:E),Groups!A:A,Groups!W:W))</f>
        <v>HeadAttackTool</v>
      </c>
      <c r="AA97" s="7" t="str">
        <f>IF(X97="No","No",_xlfn.XLOOKUP(_xlfn.XLOOKUP(B97,'Base stats'!B:B,'Base stats'!E:E),Groups!A:A,Groups!X:X))</f>
        <v>horn</v>
      </c>
      <c r="AB97" s="7" t="str">
        <f>IF(X97="No","No",_xlfn.XLOOKUP(_xlfn.XLOOKUP(B97,'Base stats'!B:B,'Base stats'!E:E),Groups!A:A,Groups!Y:Y))</f>
        <v>Blunt</v>
      </c>
      <c r="AC97" s="7" t="str">
        <f>_xlfn.XLOOKUP(Animals!B97,'Base stats'!B:B,'Base stats'!X:X)</f>
        <v>False</v>
      </c>
      <c r="AD97" s="13" t="str">
        <f>IF(_xlfn.XLOOKUP(B97,'Base stats'!B:B,'Base stats'!AT:AT)="No","No",MROUND((LOG10(_xlfn.XLOOKUP(B97,'Base stats'!B:B,'Base stats'!AT:AT))*(AO97^0.75)+(_xlfn.XLOOKUP(B97,'Base stats'!B:B,'Base stats'!AT:AT)/1000)^(2/3)+_xlfn.XLOOKUP(B97,'Base stats'!B:B,'Base stats'!AX:AX)+_xlfn.XLOOKUP(B97,'Base stats'!B:B,'Base stats'!BA:BA))+0.5,0.5))</f>
        <v>No</v>
      </c>
      <c r="AE97" s="7" t="str">
        <f>IF(AD97="No","No",MAX(_xlfn.XLOOKUP(_xlfn.XLOOKUP(B97,'Base stats'!B:B,'Base stats'!E:E),Groups!A:A,Groups!Z:Z),MROUND(_xlfn.XLOOKUP(_xlfn.XLOOKUP(B97,'Base stats'!B:B,'Base stats'!E:E),Groups!A:A,Groups!Z:Z)*_xlfn.XLOOKUP(B97,'Base stats'!B:B,'Base stats'!C:C)^0.165,0.05)))</f>
        <v>No</v>
      </c>
      <c r="AF97" s="7" t="str">
        <f>IF(AD97="No","No",_xlfn.XLOOKUP(_xlfn.XLOOKUP(B97,'Base stats'!B:B,'Base stats'!E:E),Groups!A:A,Groups!AA:AA))</f>
        <v>No</v>
      </c>
      <c r="AG97" s="7" t="str">
        <f>IF(AD97="No","No",_xlfn.XLOOKUP(_xlfn.XLOOKUP(B97,'Base stats'!B:B,'Base stats'!E:E),Groups!A:A,Groups!AB:AB))</f>
        <v>No</v>
      </c>
      <c r="AH97" s="7" t="str">
        <f>IF(AD97="No","No",_xlfn.XLOOKUP(_xlfn.XLOOKUP(B97,'Base stats'!B:B,'Base stats'!E:E),Groups!A:A,Groups!AC:AC))</f>
        <v>No</v>
      </c>
      <c r="AI97" s="13" t="str">
        <f>IF(_xlfn.XLOOKUP(_xlfn.XLOOKUP(B97,'Base stats'!B:B,'Base stats'!E:E),Groups!A:A,Groups!AD:AD)=0,"No",MROUND((LOG10(_xlfn.XLOOKUP(B97,'Base stats'!B:B,'Base stats'!AS:AS))*(AO97^0.75)+(_xlfn.XLOOKUP(B97,'Base stats'!B:B,'Base stats'!AS:AS)/1000)^(2/3)+_xlfn.XLOOKUP(B97,'Base stats'!B:B,'Base stats'!AY:AY)+_xlfn.XLOOKUP(B97,'Base stats'!B:B,'Base stats'!BA:BA))+0.5,0.5))</f>
        <v>No</v>
      </c>
      <c r="AJ97" s="7" t="str">
        <f>IF(AI97="No","No",MAX(_xlfn.XLOOKUP(_xlfn.XLOOKUP(B97,'Base stats'!B:B,'Base stats'!E:E),Groups!A:A,Groups!AE:AE),MROUND(_xlfn.XLOOKUP(_xlfn.XLOOKUP(B97,'Base stats'!B:B,'Base stats'!E:E),Groups!A:A,Groups!AE:AE)*IF(_xlfn.XLOOKUP(_xlfn.XLOOKUP(B97,'Base stats'!B:B,'Base stats'!E:E),Groups!A:A,Groups!AJ:AJ)="Photonozoa",0.6,1)*_xlfn.XLOOKUP(B97,'Base stats'!B:B,'Base stats'!C:C)^0.165,0.05)))</f>
        <v>No</v>
      </c>
      <c r="AK97" s="7" t="str">
        <f>IF(AI97="No","No",_xlfn.XLOOKUP(_xlfn.XLOOKUP(B97,'Base stats'!B:B,'Base stats'!E:E),Groups!A:A,Groups!AF:AF))</f>
        <v>No</v>
      </c>
      <c r="AL97" s="7" t="str">
        <f>IF(AI97="No","No",_xlfn.XLOOKUP(_xlfn.XLOOKUP(B97,'Base stats'!B:B,'Base stats'!E:E),Groups!A:A,Groups!AG:AG))</f>
        <v>No</v>
      </c>
      <c r="AM97" s="7" t="str">
        <f>IF(AI97="No","No",_xlfn.XLOOKUP(_xlfn.XLOOKUP(B97,'Base stats'!B:B,'Base stats'!E:E),Groups!A:A,Groups!AH:AH))</f>
        <v>No</v>
      </c>
      <c r="AN97" s="2" t="str">
        <f t="shared" si="7"/>
        <v>No</v>
      </c>
      <c r="AO97" s="2">
        <f>MROUND(IF(AND(_xlfn.XLOOKUP(B97,'Base stats'!B:B,'Base stats'!C:C)&gt;=0.5,_xlfn.XLOOKUP(B97,'Base stats'!B:B,'Base stats'!C:C)&lt;=0.8),
IF(_xlfn.XLOOKUP(B97,'Base stats'!B:B,'Base stats'!C:C)&lt;0.1,0.05,IF(_xlfn.XLOOKUP(B97,'Base stats'!B:B,'Base stats'!C:C)&lt;=70,(_xlfn.XLOOKUP(B97,'Base stats'!B:B,'Base stats'!C:C)/70)^0.426489913056526,IF(_xlfn.XLOOKUP(B97,'Base stats'!B:B,'Base stats'!C:C)&lt;=400,(_xlfn.XLOOKUP(B97,'Base stats'!B:B,'Base stats'!C:C)/70)^0.572811455315093,IF(_xlfn.XLOOKUP(B97,'Base stats'!B:B,'Base stats'!C:C)&lt;=2000,2.71391647193063*(_xlfn.XLOOKUP(B97,'Base stats'!B:B,'Base stats'!C:C)/400)^0.252459582904293,3.74314280240376*(_xlfn.XLOOKUP(B97,'Base stats'!B:B,'Base stats'!C:C)/2000)^0.357012633876913)))),
IF(_xlfn.XLOOKUP(B97,'Base stats'!B:B,'Base stats'!C:C)&lt;0.1,0.05,IF(_xlfn.XLOOKUP(B97,'Base stats'!B:B,'Base stats'!C:C)&lt;0.4,0.1,IF(_xlfn.XLOOKUP(B97,'Base stats'!B:B,'Base stats'!C:C)&lt;=70,(_xlfn.XLOOKUP(B97,'Base stats'!B:B,'Base stats'!C:C)/70)^0.445823913056526,IF(_xlfn.XLOOKUP(B97,'Base stats'!B:B,'Base stats'!C:C)&lt;=400,(_xlfn.XLOOKUP(B97,'Base stats'!B:B,'Base stats'!C:C)/70)^0.572811455315093,IF(_xlfn.XLOOKUP(B97,'Base stats'!B:B,'Base stats'!C:C)&lt;=2000,2.71391647193063*(_xlfn.XLOOKUP(B97,'Base stats'!B:B,'Base stats'!C:C)/400)^0.252459582904293,3.74314280240376*(_xlfn.XLOOKUP(B97,'Base stats'!B:B,'Base stats'!C:C)/2000)^0.357012633876913)))))),
IF(_xlfn.XLOOKUP(B97,'Base stats'!B:B,'Base stats'!C:C)&lt;0.1,0.05,IF(_xlfn.XLOOKUP(B97,'Base stats'!B:B,'Base stats'!C:C)&lt;=100,0.05,IF(_xlfn.XLOOKUP(B97,'Base stats'!B:B,'Base stats'!C:C)&lt;=250,0.1,IF(_xlfn.XLOOKUP(B97,'Base stats'!B:B,'Base stats'!C:C)&lt;=4000,0.25,0.5)))))</f>
        <v>2.25</v>
      </c>
      <c r="AP97" s="8">
        <f>MROUND(AO97*_xlfn.XLOOKUP(_xlfn.XLOOKUP(B97,'Base stats'!B:B,'Base stats'!E:E),Groups!A:A,Groups!AI:AI)*_xlfn.XLOOKUP(B97,'Base stats'!B:B,'Base stats'!Z:Z),0.05)</f>
        <v>2.25</v>
      </c>
      <c r="AQ97" s="8">
        <f>MAX(0.01,MROUND(IF(CC97="True",0.196*(AO97*100*1000)^0.889,IF(_xlfn.XLOOKUP(_xlfn.XLOOKUP(B97,'Base stats'!B:B,'Base stats'!E:E),Groups!A:A,Groups!AJ:AJ)="Bird",10.5*(AO97*100*1000)^0.681,4.82*(AO97*100*1000)^0.734))/(4.82*(1*100*1000)^0.734)/IF(AO97&lt;3.5,2,IF(AO97=3.5,1.5,1.25))*(1+0.132282374779864/(AO97^0.994035016789033+0.00905238001496948)),0.05))</f>
        <v>0.95000000000000007</v>
      </c>
      <c r="AR97" s="9">
        <f>IFERROR(MROUND(_xlfn.XLOOKUP(B97,'Base stats'!B:B,'Base stats'!H:H)/IF(_xlfn.XLOOKUP(B97,'Base stats'!B:B,'Base stats'!I:I)&lt;&gt;1,(122.5/70),1.2),IF(_xlfn.XLOOKUP(B97,'Base stats'!B:B,'Base stats'!H:H)&gt;=30,5,IF(_xlfn.XLOOKUP(B97,'Base stats'!B:B,'Base stats'!H:H)&gt;=15,3,IF(_xlfn.XLOOKUP(B97,'Base stats'!B:B,'Base stats'!H:H)&gt;=10,2,1)))),"Immortal")</f>
        <v>15</v>
      </c>
      <c r="AS97" s="35">
        <f>IFERROR(IF(OR(_xlfn.XLOOKUP(B97,'Base stats'!B:B,'Base stats'!F:F)="Atypical reproduction",_xlfn.XLOOKUP(B97,'Base stats'!B:B,'Base stats'!F:F)="Lay eggs"),"Lay eggs",MIN(20,MAX(5.5,ROUND(((_xlfn.XLOOKUP(B97,'Base stats'!B:B,'Base stats'!F:F)-25)*(14.5/615) + 5.5)*2,0)/2))),"Unknown")</f>
        <v>11</v>
      </c>
      <c r="AT97" s="8">
        <f>IF(_xlfn.XLOOKUP(B97,'Base stats'!B:B,'Base stats'!G:G)="Atypical reproduction","No",IFERROR(MAX(IF(_xlfn.XLOOKUP(B97,'Base stats'!B:B,'Base stats'!G:G)&lt;0.5,0.2,0.3),MROUND(_xlfn.XLOOKUP(B97,'Base stats'!B:B,'Base stats'!G:G)/(365/60),0.2)),"Unknown"))</f>
        <v>0.4</v>
      </c>
      <c r="AU97" s="8">
        <f t="shared" si="8"/>
        <v>0.2</v>
      </c>
      <c r="AV97" s="8">
        <f>IFERROR(IFERROR(MROUND(_xlfn.XLOOKUP(B97,'Base stats'!B:B,'Base stats'!J:J),0.1),"Lay eggs"),"Cannot breed")</f>
        <v>1</v>
      </c>
      <c r="AW97" s="2" t="str">
        <f t="shared" si="9"/>
        <v>true</v>
      </c>
      <c r="AX97" s="2" t="str">
        <f>IF(_xlfn.XLOOKUP(_xlfn.XLOOKUP(Animals!B97,'Base stats'!B:B,'Base stats'!E:E),Groups!A:A,Groups!AK:AK)=1,"true","false")</f>
        <v>true</v>
      </c>
      <c r="AY97" s="25" t="str">
        <f>IF(_xlfn.XLOOKUP(B97,'Base stats'!B:B,'Base stats'!Y:Y)="Liquor","Liquor, CarnivoreAnimalStrict",IF(AND(_xlfn.XLOOKUP(B97,'Base stats'!B:B,'Base stats'!Y:Y)="Carnivore",_xlfn.XLOOKUP(_xlfn.XLOOKUP(B97,'Base stats'!B:B,'Base stats'!E:E),Groups!A:A,Groups!AJ:AJ)="Photonozoa"),"CarnivoreAnimalStrict, OvivoreAnimal",IF(_xlfn.XLOOKUP(B97,'Base stats'!B:B,'Base stats'!Y:Y)="Carnivore","CarnivoreAnimal, OvivoreAnimal",IF(_xlfn.XLOOKUP(B97,'Base stats'!B:B,'Base stats'!Y:Y)="Dendrovore","VegetarianRoughAnimal, DendrovoreAnimal",IF(_xlfn.XLOOKUP(B97,'Base stats'!B:B,'Base stats'!Y:Y)="Herbivore","VegetarianRoughAnimal",IF(_xlfn.XLOOKUP(B97,'Base stats'!B:B,'Base stats'!Y:Y)="OmnivoreRough","OmnivoreRoughAnimal, OvivoreAnimal","OmnivoreAnimal, OvivoreAnimal"))))))</f>
        <v>VegetarianRoughAnimal</v>
      </c>
      <c r="AZ97" s="2">
        <f>IF(_xlfn.XLOOKUP(_xlfn.XLOOKUP(B97,'Base stats'!B:B,'Base stats'!E:E),Groups!A:A,Groups!D:D)=1,MROUND((1-J97)*5+1,2)*IF(J97&lt;=0.4,2,1),"No")</f>
        <v>2</v>
      </c>
      <c r="BA97" s="2" t="str">
        <f>IF(AND(_xlfn.XLOOKUP(B97,'Base stats'!B:B,'Base stats'!AH:AH)="&lt;li&gt;Seal&lt;/li&gt;",G97="Odyssey"),"&lt;li&gt;AEXP_Seal&lt;/li&gt;",_xlfn.XLOOKUP(B97,'Base stats'!B:B,'Base stats'!AH:AH))</f>
        <v>&lt;li&gt;Sheep&lt;/li&gt;</v>
      </c>
      <c r="BB97" s="2" t="str">
        <f>_xlfn.XLOOKUP(B97,'Base stats'!B:B,'Base stats'!AG:AG)</f>
        <v>Leather_Plain</v>
      </c>
      <c r="BC97" s="23" t="str">
        <f>_xlfn.XLOOKUP(_xlfn.XLOOKUP(B97,'Base stats'!B:B,'Base stats'!E:E),Groups!A:A,Groups!AL:AL)</f>
        <v>QuadrupedAnimalWithHooves</v>
      </c>
      <c r="BD97" s="23">
        <f>MIN(1,MROUND(IF(AND(AO97&lt;0.5,_xlfn.XLOOKUP(B97,'Base stats'!B:B,'Base stats'!AA:AA)=0),0,IF(OR(_xlfn.XLOOKUP(Animals!B97,'Base stats'!B:B,'Base stats'!O:O)=2,_xlfn.XLOOKUP(_xlfn.XLOOKUP(B97,'Base stats'!B:B,'Base stats'!E:E),Groups!A:A,Groups!AN:AN)=0),0,_xlfn.XLOOKUP(_xlfn.XLOOKUP(B97,'Base stats'!B:B,'Base stats'!E:E),Groups!A:A,Groups!AN:AN)/IF(_xlfn.XLOOKUP(Animals!B97,'Base stats'!B:B,'Base stats'!O:O)=1,2,1)))+_xlfn.XLOOKUP(B97,'Base stats'!B:B,'Base stats'!AC:AC),0.005))</f>
        <v>2.5000000000000001E-2</v>
      </c>
      <c r="BE97" s="23">
        <f>MIN(1,MROUND(IF(AND(AO97&lt;0.5,_xlfn.XLOOKUP(B97,'Base stats'!B:B,'Base stats'!AA:AA)=0),0,IF(_xlfn.XLOOKUP(_xlfn.XLOOKUP(B97,'Base stats'!B:B,'Base stats'!E:E),Groups!A:A,Groups!AO:AO)=0,0,_xlfn.XLOOKUP(_xlfn.XLOOKUP(B97,'Base stats'!B:B,'Base stats'!E:E),Groups!A:A,Groups!AO:AO)/IF(_xlfn.XLOOKUP(Animals!B97,'Base stats'!B:B,'Base stats'!O:O)=2,3,1)))+_xlfn.XLOOKUP(B97,'Base stats'!B:B,'Base stats'!AD:AD),0.005))</f>
        <v>0.05</v>
      </c>
      <c r="BF97" s="2" t="str">
        <f>IF(J97&gt;0.3,"No",_xlfn.XLOOKUP(_xlfn.XLOOKUP(Animals!B97,'Base stats'!B:B,'Base stats'!E:E),Groups!A:A,Groups!AP:AP))</f>
        <v>No</v>
      </c>
      <c r="BG97" s="2" t="str">
        <f>IF(AND(J97&lt;=0.65,_xlfn.XLOOKUP(_xlfn.XLOOKUP(Animals!B97,'Base stats'!B:B,'Base stats'!E:E),Groups!A:A,Groups!AP:AP)&lt;&gt;"No",_xlfn.XLOOKUP(_xlfn.XLOOKUP(B97,'Base stats'!B:B,'Base stats'!E:E),Groups!A:A,Groups!D:D)=0),MROUND((80/3)*IF(_xlfn.XLOOKUP(B97,'Base stats'!B:B,'Base stats'!O:O)=2,0.2,AO97) + 24*(1-IF(BF97="No",0,BF97)) + 16/3, 12),"No")</f>
        <v>No</v>
      </c>
      <c r="BH97" s="2">
        <f>IF(AND(_xlfn.XLOOKUP(_xlfn.XLOOKUP(B97,'Base stats'!B:B,'Base stats'!E:E),Groups!A:A,Groups!AQ:AQ)=1,AO97&lt;=0.35),8,12)</f>
        <v>12</v>
      </c>
      <c r="BI97" s="2" t="str">
        <f>IF(_xlfn.XLOOKUP(_xlfn.XLOOKUP(B97,'Base stats'!B:B,'Base stats'!E:E),Groups!A:A,Groups!D:D)=0,_xlfn.XLOOKUP(_xlfn.XLOOKUP(B97,'Base stats'!B:B,'Base stats'!E:E),Groups!A:A,Groups!AR:AR),"None")</f>
        <v>None</v>
      </c>
      <c r="BJ97" s="2" t="str">
        <f>IF(AND(_xlfn.XLOOKUP(_xlfn.XLOOKUP(B97,'Base stats'!B:B,'Base stats'!E:E),Groups!A:A,Groups!AS:AS)=1,OR(_xlfn.XLOOKUP(B97,'Base stats'!B:B,'Base stats'!Y:Y)="Carnivore",_xlfn.XLOOKUP(B97,'Base stats'!B:B,'Base stats'!Y:Y)="Omnivore")),"true","false")</f>
        <v>false</v>
      </c>
      <c r="BK97" s="2" t="str">
        <f>IF(BJ97="true",MROUND(IF(AND(AO97&gt;0.5,OR(_xlfn.XLOOKUP(_xlfn.XLOOKUP(B97,'Base stats'!B:B,'Base stats'!E:E),Groups!A:A,Groups!AJ:AJ)="Photonozoa",_xlfn.XLOOKUP(_xlfn.XLOOKUP(B97,'Base stats'!B:B,'Base stats'!E:E),Groups!A:A,Groups!AJ:AJ)="Mammal")),Animals!AO97*1.75*IF(AW97="true",1.5,1),IF(AO97&lt;0.5,Animals!AO97*0.5,Animals!AO97)),IF(AO97&gt;2,0.5,IF(AO97&gt;0.5,0.25,0.1))),"No")</f>
        <v>No</v>
      </c>
      <c r="BL97" s="2">
        <f t="shared" si="10"/>
        <v>0</v>
      </c>
      <c r="BM97" s="25" t="str">
        <f>IF(_xlfn.XLOOKUP(B97,'Base stats'!B:B,'Base stats'!AN:AN)="Standard","No",MROUND((_xlfn.XLOOKUP(B97,'Base stats'!B:B,'Base stats'!AN:AN)/3.6)/I97,0.1))</f>
        <v>No</v>
      </c>
      <c r="BN97" s="25" t="str">
        <f t="shared" si="11"/>
        <v>false</v>
      </c>
      <c r="BO97" s="25" t="str">
        <f>IF(AND(OR(_xlfn.XLOOKUP(B97,'Base stats'!B:B,'Base stats'!Y:Y)="Carnivore",_xlfn.XLOOKUP(B97,'Base stats'!B:B,'Base stats'!Y:Y)="Omnivore",_xlfn.XLOOKUP(B97,'Base stats'!B:B,'Base stats'!Y:Y)="OmnivoreRough"),_xlfn.XLOOKUP(_xlfn.XLOOKUP(B97,'Base stats'!B:B,'Base stats'!E:E),Groups!A:A,Groups!AT:AT)=1),"true","false")</f>
        <v>false</v>
      </c>
      <c r="BP97" s="25" t="str" cm="1">
        <f t="array" ref="BP97">IF(
  _xlfn.TEXTJOIN(", ",TRUE,
    IF(AND(BJ97="true",AO97&gt;0.5,BI97&lt;&gt;"None"),"AttackTarget",""),
    IF(AND(_xlfn.XLOOKUP(_xlfn.XLOOKUP(B97,'Base stats'!B:B,'Base stats'!E:E),Groups!A:A,Groups!AJ:AJ="Mammal"),OR(_xlfn.XLOOKUP(B97,'Base stats'!B:B,'Base stats'!Y:Y)="Omnivore",_xlfn.XLOOKUP(B97,'Base stats'!B:B,'Base stats'!Y:Y)="OmnivoreRough")),"Forage",""),
    IF(BG97&lt;=36,"Comfort",""),
    IF(_xlfn.XLOOKUP(B97,'Base stats'!B:B,'Base stats'!AE:AE)&lt;&gt;"No",_xlfn.XLOOKUP(B97,'Base stats'!B:B,'Base stats'!AE:AE),"")
  ) = "",
  "No",
  _xlfn.TEXTJOIN(", ",TRUE,
    IF(AND(BJ97="true",AO97&gt;0.5,BI97&lt;&gt;"None"),"AttackTarget",""),
    IF(AND(_xlfn.XLOOKUP(_xlfn.XLOOKUP(B97,'Base stats'!B:B,'Base stats'!E:E),Groups!A:A,Groups!AJ:AJ="Mammal"),OR(_xlfn.XLOOKUP(B97,'Base stats'!B:B,'Base stats'!Y:Y)="Omnivore",_xlfn.XLOOKUP(B97,'Base stats'!B:B,'Base stats'!Y:Y)="OmnivoreRough")),"Forage",""),
    IF(BG97&lt;=36,"Comfort",""),
    IF(_xlfn.XLOOKUP(B97,'Base stats'!B:B,'Base stats'!AE:AE)&lt;&gt;"No",_xlfn.XLOOKUP(B97,'Base stats'!B:B,'Base stats'!AE:AE),"")
  )
)</f>
        <v>No</v>
      </c>
      <c r="BQ97" s="25" t="str">
        <f>IF(
   AND(
      'Base stats'!AN97="Standard",_xlfn.XLOOKUP(_xlfn.XLOOKUP(B97,'Base stats'!B:B,'Base stats'!E:E),Groups!A:A,Groups!AU:AU)=0,
      OR(
      BO97="True"
      )
   ),
   10,
   IF(
       OR(BM97&lt;&gt;"No",_xlfn.XLOOKUP(_xlfn.XLOOKUP(B97,'Base stats'!B:B,'Base stats'!E:E),Groups!A:A,Groups!AU:AU)=1),
      1,
      "No"
   )
)</f>
        <v>No</v>
      </c>
      <c r="BR97" s="9">
        <f>MROUND((1 + ((0.2*IF(OR(Q97="No",R97="No",R97=0),0,Q97/R97)
+IF(OR(V97="No",S97="No",T97="No"),0,S97/T97*(LEN(V97)-LEN(SUBSTITUTE(V97,",",""))+1))
+IF(OR(X97="No",Y97="No"),0,X97/Y97)
+IF(OR(AD97="No",AE97="No"),0,AD97/AE97)
+IF(OR(AL97="No",AI97="No",AJ97="No"),0,AI97/AJ97*(LEN(AL97)-LEN(SUBSTITUTE(AL97,",",""))+1))
)/(0.2*IF(OR(Q97="No",R97="No",R97=0),0,1)
+IF(OR(V97="No",S97="No",T97="No"),0,LEN(V97)-LEN(SUBSTITUTE(V97,",",""))+1)
+IF(OR(X97="No",Y97="No"),0,1)
+IF(OR(AD97="No",AE97="No"),0,1)
+IF(OR(AL97="No",AI97="No",AJ97="No"),0,LEN(AL97)-LEN(SUBSTITUTE(AL97,",",""))+1))*62%)* 2)*(1 + (AP97 / (IF(_xlfn.XLOOKUP(_xlfn.XLOOKUP(B97,'Base stats'!B:B,'Base stats'!E:E),Groups!A:A,Groups!AJ:AJ)="Photonozoa",0.3,1)) + _xlfn.XLOOKUP(B97,'Base stats'!B:B,'Base stats'!AV:AV) * 1.8) * 2) * 2.5 + 10 + I97 * 2,5)+IF(_xlfn.XLOOKUP(B97,'Base stats'!B:B,'Base stats'!AK:AK)=1,50,0)</f>
        <v>150</v>
      </c>
      <c r="BS97" s="8">
        <f t="shared" si="12"/>
        <v>1.2000000000000002</v>
      </c>
      <c r="BT97" s="8" t="str">
        <f>_xlfn.XLOOKUP(B97,'Base stats'!B:B,'Base stats'!AF:AF)</f>
        <v>3~10</v>
      </c>
      <c r="BU97" s="2" t="str">
        <f>IF(AND(J97&lt;=0.95,OR(_xlfn.XLOOKUP(B97,'Base stats'!B:B,'Base stats'!AK:AK)=1,_xlfn.XLOOKUP(B97,'Base stats'!B:B,'Base stats'!Y:Y)="Carnivore",_xlfn.XLOOKUP(B97,'Base stats'!B:B,'Base stats'!Y:Y)="Omnivore",BE97&gt;0.1)),"true","false")</f>
        <v>false</v>
      </c>
      <c r="BV97" s="2" t="str">
        <f>IF(_xlfn.XLOOKUP(B97,'Base stats'!B:B,'Base stats'!AI:AI)=1,"true","false")</f>
        <v>false</v>
      </c>
      <c r="BW97" s="25" t="str">
        <f>IF(E97="BaseInsect","AnimalInsect",
IF(J97&gt;0.95,"AnimalExotic",
_xlfn.TEXTJOIN(", ",TRUE,
IF(OR(_xlfn.XLOOKUP(B97,'Base stats'!B:B,'Base stats'!AM:AM)=1,AND(_xlfn.XLOOKUP(B97,'Base stats'!B:B,'Base stats'!O:O)=0,_xlfn.XLOOKUP(_xlfn.XLOOKUP(B97,'Base stats'!B:B,'Base stats'!E:E),Groups!A:A,Groups!B:B)&gt;0)),"AnimalUncommon","AnimalCommon"),
IF(AND(_xlfn.XLOOKUP(B97,'Base stats'!B:B,'Base stats'!O:O)=2,_xlfn.XLOOKUP(_xlfn.XLOOKUP(B97,'Base stats'!B:B,'Base stats'!E:E),Groups!A:A,Groups!D:D)=0),"AnimalPet",IF(AND(_xlfn.XLOOKUP(B97,'Base stats'!B:B,'Base stats'!O:O)&lt;&gt;0,_xlfn.XLOOKUP(_xlfn.XLOOKUP(B97,'Base stats'!B:B,'Base stats'!E:E),Groups!A:A,Groups!D:D)&lt;&gt;0),"AnimalFarm","")),
IF(OR(_xlfn.XLOOKUP(B97,'Base stats'!B:B,'Base stats'!AK:AK)=1,AND(BI97&lt;&gt;"None",BR97&gt;=60),ISNUMBER(SEARCH("Attack target",BP97))),"AnimalFighter","")
)))</f>
        <v>AnimalCommon</v>
      </c>
      <c r="BX97" s="25" t="str">
        <f>IF(G97="None",TRIM(
SUBSTITUTE(
IF(COUNTIF(Biomes!B$2:B$259,"="&amp;$C97)&gt;0,Biomes!B$1&amp;", ","")&amp;
IF(COUNTIF(Biomes!C$2:C$259,"="&amp;$C97)&gt;0,Biomes!C$1&amp;", ","")&amp;
IF(COUNTIF(Biomes!D$2:D$259,"="&amp;$C97)&gt;0,Biomes!D$1&amp;", ","")&amp;
IF(COUNTIF(Biomes!F$2:F$259,"="&amp;$C97)&gt;0,Biomes!F$1&amp;", ","")&amp;
IF(COUNTIF(Biomes!G$2:G$259,"="&amp;$C97)&gt;0,Biomes!G$1&amp;", ","")&amp;
IF(COUNTIF(Biomes!H$2:H$259,"="&amp;$C97)&gt;0,Biomes!H$1&amp;", ","")&amp;
IF(COUNTIF(Biomes!I$2:I$259,"="&amp;$C97)&gt;0,Biomes!I$1&amp;", ","")&amp;
IF(COUNTIF(Biomes!J$2:J$259,"="&amp;$C97)&gt;0,Biomes!J$1&amp;", ","")&amp;
IF(COUNTIF(Biomes!M$2:M$259,"="&amp;$C97)&gt;0,Biomes!M$1&amp;", ","")&amp;
IF(COUNTIF(Biomes!N$2:N$259,"="&amp;$C97)&gt;0,Biomes!N$1&amp;", ","")&amp;
IF(COUNTIF(Biomes!O$2:O$259,"="&amp;$C97)&gt;0,Biomes!O$1&amp;", ","")&amp;
IF(COUNTIF(Biomes!P$2:P$259,"="&amp;$C97)&gt;0,Biomes!P$1&amp;", ","")&amp;
IF(COUNTIF(Biomes!K$2:K$259,"="&amp;$C97)&gt;0,Biomes!K$1&amp;", ","")&amp;
IF(COUNTIF(Biomes!Q$3:Q$259,"="&amp;$C97)&gt;0,Biomes!Q$1&amp;", ","")&amp;
IF(COUNTIF(Biomes!L$2:L$259,"="&amp;$C97)&gt;0,Biomes!L$1&amp;", ","")&amp;
IF(COUNTIF(Biomes!E$2:E$259,"="&amp;$C97)&gt;0,Biomes!E$1&amp;", ","")&amp;IF(COUNTIF(Biomes!S$2:S$259,"="&amp;$C97)&gt;0,Biomes!S$1&amp;", ","")&amp;
IF(COUNTIF(Biomes!R$2:R$259,"="&amp;$C97)&gt;0,Biomes!R$1&amp;", ",""),", ","")
),_xlfn.XLOOKUP(B97,B:B,BX:BX))</f>
        <v>Tundra GlacialPlain</v>
      </c>
      <c r="BY97" s="25" t="str">
        <f>IF(_xlfn.XLOOKUP(B97,'Base stats'!B:B,'Base stats'!AJ:AJ)=1,"true","false")</f>
        <v>false</v>
      </c>
      <c r="BZ97" s="25">
        <f>IF(_xlfn.XLOOKUP(B97,'Base stats'!B:B,'Base stats'!N:N)=1,"No",MAX(0.001,MIN(MROUND(IF(AND(BJ97="True",CC97="False"),POWER(10,3.47*LOG10(_xlfn.XLOOKUP(B97,'Base stats'!B:B,'Base stats'!C:C)*1000)^-0.96),POWER(10,4.15*LOG10(_xlfn.XLOOKUP(B97,'Base stats'!B:B,'Base stats'!C:C)*1000)^-0.73))*IF(_xlfn.XLOOKUP(B97,'Base stats'!B:B,'Base stats'!AK:AK)=1,0.5,1)*IF(_xlfn.XLOOKUP(B97,'Base stats'!B:B,'Base stats'!AM:AM)=1,0.1,1)/100,IF(_xlfn.XLOOKUP(B97,'Base stats'!B:B,'Base stats'!AM:AM)=1,0.001,0.025)),0.5)))</f>
        <v>0.15000000000000002</v>
      </c>
      <c r="CA97" s="25" t="str">
        <f>IF(P97="Standard","No",MAX(0.001,MIN(MROUND(IF(AND(BJ97="True",CC97="False"),POWER(10,3.47*LOG10(_xlfn.XLOOKUP(B97,'Base stats'!B:B,'Base stats'!C:C)*1000)^-0.96),POWER(10,4.15*LOG10(_xlfn.XLOOKUP(B97,'Base stats'!B:B,'Base stats'!C:C)*1000)^-0.73))*IF(_xlfn.XLOOKUP(B97,'Base stats'!B:B,'Base stats'!AM:AM)=1,0.1,1)*_xlfn.XLOOKUP(B97,'Base stats'!B:B,'Base stats'!R:R)/100,IF(_xlfn.XLOOKUP(B97,'Base stats'!B:B,'Base stats'!AM:AM)=1,0.001,0.025)),0.5)))</f>
        <v>No</v>
      </c>
      <c r="CB97" s="25" t="str">
        <f>IF(_xlfn.XLOOKUP(_xlfn.XLOOKUP(B97,'Base stats'!B:B,'Base stats'!E:E),Groups!A:A,Groups!AJ:AJ)="Mammal","True","False")</f>
        <v>True</v>
      </c>
      <c r="CC97" s="25" t="str">
        <f>IF(OR(_xlfn.XLOOKUP(_xlfn.XLOOKUP(B97,'Base stats'!B:B,'Base stats'!E:E),Groups!A:A,Groups!AJ:AJ)="Reptile",_xlfn.XLOOKUP(_xlfn.XLOOKUP(B97,'Base stats'!B:B,'Base stats'!E:E),Groups!A:A,Groups!AJ:AJ)="Amphibian",_xlfn.XLOOKUP(_xlfn.XLOOKUP(B97,'Base stats'!B:B,'Base stats'!E:E),Groups!A:A,Groups!AJ:AJ)="Invertebrate"),"True","False")</f>
        <v>False</v>
      </c>
      <c r="CD97" s="25" t="str">
        <f t="shared" si="13"/>
        <v>False</v>
      </c>
      <c r="CE97" s="25" t="str">
        <f>IF(_xlfn.XLOOKUP(_xlfn.XLOOKUP(B97,'Base stats'!B:B,'Base stats'!E:E),Groups!A:A,Groups!AX:AX),"True","False")</f>
        <v>False</v>
      </c>
      <c r="CF97" s="25" t="str">
        <f>IF(_xlfn.XLOOKUP(_xlfn.XLOOKUP(B97,'Base stats'!B:B,'Base stats'!E:E),Groups!A:A,Groups!AY:AY),"True","False")</f>
        <v>False</v>
      </c>
      <c r="CG97" s="25" t="str">
        <f>IF(_xlfn.XLOOKUP(_xlfn.XLOOKUP(B97,'Base stats'!B:B,'Base stats'!E:E),Groups!A:A,Groups!AW:AW),"True","False")</f>
        <v>False</v>
      </c>
      <c r="CH97" s="25" t="str">
        <f>IF(
OR(
_xlfn.XLOOKUP(_xlfn.XLOOKUP(B97,'Base stats'!B:B,'Base stats'!E:E),Groups!A:A,Groups!AZ:AZ)=0,
AND(
_xlfn.XLOOKUP(B97,'Base stats'!B:B,'Base stats'!Y:Y)&lt;&gt;"Carnivore",
_xlfn.XLOOKUP(B97,'Base stats'!B:B,'Base stats'!Y:Y)&lt;&gt;"Omnivore",
_xlfn.XLOOKUP(B97,'Base stats'!B:B,'Base stats'!Y:Y)&lt;&gt;"OmnivoreRough"
)
),
"No",
IF(
_xlfn.XLOOKUP(_xlfn.XLOOKUP(B97,'Base stats'!B:B,'Base stats'!E:E),Groups!A:A,Groups!AZ:AZ)=1,
"Flesh",
IF(
_xlfn.XLOOKUP(_xlfn.XLOOKUP(B97,'Base stats'!B:B,'Base stats'!E:E),Groups!A:A,Groups!AZ:AZ)=2,
"Bone",
""
)
)
)</f>
        <v>No</v>
      </c>
      <c r="CI97" s="25" t="str">
        <f>IF(_xlfn.XLOOKUP(_xlfn.XLOOKUP(B97,'Base stats'!B:B,'Base stats'!E:E),Groups!A:A,Groups!BB:BB),"True","False")</f>
        <v>True</v>
      </c>
      <c r="CJ97" s="25" t="str">
        <f>IF(_xlfn.XLOOKUP(_xlfn.XLOOKUP(B97,'Base stats'!B:B,'Base stats'!E:E),Groups!A:A,Groups!BA:BA),"True","False")</f>
        <v>False</v>
      </c>
    </row>
    <row r="98" spans="1:88" ht="16.5" thickTop="1" thickBot="1" x14ac:dyDescent="0.3">
      <c r="A98" s="26" t="str">
        <f>_xlfn.XLOOKUP(B98,'Base stats'!B:B,'Base stats'!A:A)</f>
        <v>LavaSnail</v>
      </c>
      <c r="B98" s="6" t="s">
        <v>284</v>
      </c>
      <c r="C98" s="28" t="s">
        <v>778</v>
      </c>
      <c r="D98" s="28" t="s">
        <v>870</v>
      </c>
      <c r="E98" s="28" t="s">
        <v>673</v>
      </c>
      <c r="F98" s="28" t="s">
        <v>673</v>
      </c>
      <c r="G98" s="28" t="s">
        <v>673</v>
      </c>
      <c r="H98" s="2">
        <f>MROUND((
  (IF(AND(_xlfn.XLOOKUP(B98,'Base stats'!B:B,'Base stats'!AL:AL)=0,BI98="None",_xlfn.XLOOKUP(_xlfn.XLOOKUP(B98,'Base stats'!B:B,'Base stats'!E:E),Groups!A:A,Groups!B:B)=0), (18 + BR98 * 2.7) * 0.5,
    IF(AND(_xlfn.XLOOKUP(B98,'Base stats'!B:B,'Base stats'!AL:AL)=0,OR(AO98&lt;0.55,AND(BI98="Intermediate",_xlfn.XLOOKUP(_xlfn.XLOOKUP(B98,'Base stats'!B:B,'Base stats'!E:E),Groups!A:A,Groups!B:B)&lt;2))), (18 + BR98 * 2.7),
      IF(OR(BI98="Advanced",_xlfn.XLOOKUP(B98,'Base stats'!B:B,'Base stats'!AL:AL)=1,_xlfn.XLOOKUP(_xlfn.XLOOKUP(B98,'Base stats'!B:B,'Base stats'!E:E),Groups!A:A,Groups!B:B)=2), (18 + BR98 * 2.7) + 250, (18 + BR98 * 2.7))
    )
  ))
  + AO98 * 80
  + IF(COUNTIF(EggMilk!K$2:K$998, A98) &gt; 0, 125, 0)
  + IF(COUNTIF(EggMilk!P$2:P$998, A98) &gt; 0, 90, 0)
  + IF(COUNTIF(EggMilk!A$2:A$998, A98) &gt; 0, 90, 0)
)
* (0.8 + 0.4 * J98)
* 0.75,25)</f>
        <v>175</v>
      </c>
      <c r="I98" s="2">
        <f>MROUND(ROUNDDOWN(_xlfn.XLOOKUP(B98,'Base stats'!B:B,'Base stats'!L:L)/3.6/(23.3/11),1),0.5)</f>
        <v>0.5</v>
      </c>
      <c r="J98" s="2">
        <f>IF(OR(_xlfn.XLOOKUP(B98,'Base stats'!B:B,'Base stats'!AB:AB)=1,_xlfn.XLOOKUP(_xlfn.XLOOKUP(B98,'Base stats'!B:B,'Base stats'!E:E),Groups!A:A,Groups!C:C)="Untamable"),1,IF(_xlfn.XLOOKUP(B98,'Base stats'!B:B,'Base stats'!AL:AL)=1,0.99,MIN(MROUND((1-0.6282*EXP(-0.459*AO98))*_xlfn.XLOOKUP(_xlfn.XLOOKUP(B98,'Base stats'!B:B,'Base stats'!E:E),Groups!A:A,Groups!C:C)*IF(_xlfn.XLOOKUP(B98,'Base stats'!B:B,'Base stats'!O:O)=1,0.5,IF(_xlfn.XLOOKUP(B98,'Base stats'!B:B,'Base stats'!O:O)=2,0,1)),0.05),IF(AO98&gt;3.5,0.985,0.95))))</f>
        <v>0.30000000000000004</v>
      </c>
      <c r="K98" s="2">
        <f>ROUNDUP(AO98*_xlfn.XLOOKUP(_xlfn.XLOOKUP(B98,'Base stats'!B:B,'Base stats'!E:E),Groups!A:A,Groups!E:E),0)</f>
        <v>10</v>
      </c>
      <c r="L98" s="2">
        <f>IF(OR(_xlfn.XLOOKUP(_xlfn.XLOOKUP(B98,'Base stats'!B:B,'Base stats'!E:E),Groups!A:A,Groups!F:F)=2,ISNUMBER(SEARCH("SeaIce",BX98)),ISNUMBER(SEARCH("IceSheet",BX98))),-50,IF(OR(ISNUMBER(SEARCH("GlacialPlain",BX98)),ISNUMBER(SEARCH("Tundra",BX98))),-40,IF(OR(ISNUMBER(SEARCH("Alpine",BX98)),ISNUMBER(SEARCH("BorealForest",BX98)),ISNUMBER(SEARCH("ColdBog",BX98))),-30,IF(OR(ISNUMBER(SEARCH("TemperateForest",BX98)),ISNUMBER(SEARCH("TemperateSwamp",BX98))),-20,IF(_xlfn.XLOOKUP(_xlfn.XLOOKUP(B98,'Base stats'!B:B,'Base stats'!E:E),Groups!A:A,Groups!F:F)=1,-15,IF(OR(ISNUMBER(SEARCH("Desert",BX98)),ISNUMBER(SEARCH("ExtremeDesert",BX98))),-10,IF(OR(ISNUMBER(SEARCH("Grasslands",BX98)),ISNUMBER(SEARCH("TropicalRainforest",BX98)),ISNUMBER(SEARCH("TropicalSwamp",BX98))),10,0)))))))-IF(CC98="False",MIN(IFERROR(MAX(MROUND(LOG10(_xlfn.XLOOKUP(B98,'Base stats'!B:B,'Base stats'!C:C)^(2/3))*10,5),5),5),30))-_xlfn.XLOOKUP(B98,'Base stats'!B:B,'Base stats'!P:P)+IF(CC98="True",5,0)</f>
        <v>5</v>
      </c>
      <c r="M98" s="2">
        <f>IF(OR(_xlfn.XLOOKUP(_xlfn.XLOOKUP(B98,'Base stats'!B:B,'Base stats'!E:E),Groups!A:A,Groups!G:G)=2,ISNUMBER(SEARCH("Desert",BX98)),ISNUMBER(SEARCH("ExtremeDesert",BX98)),ISNUMBER(SEARCH("LavaField",BX98))),50,IF(ISNUMBER(SEARCH("Grasslands",BX98)),45,IF(OR(_xlfn.XLOOKUP(_xlfn.XLOOKUP(B98,'Base stats'!B:B,'Base stats'!E:E),Groups!A:A,Groups!G:G)=1,ISNUMBER(SEARCH("TropicalRainforest",BX98)),ISNUMBER(SEARCH("TropicalSwamp",BX98))),40,IF(OR(ISNUMBER(SEARCH("TemperateForest",BX98)),ISNUMBER(SEARCH("TemperateSwamp",BX98))),35,IF(OR(ISNUMBER(SEARCH("Alpine",BX98)),ISNUMBER(SEARCH("BorealForest",BX98)),ISNUMBER(SEARCH("ColdBog",BX98))),30,IF(ISNUMBER(OR(ISNUMBER(SEARCH("GlacialPlain",BX98)),SEARCH("Tundra",BX98))),25,IF(OR(ISNUMBER(SEARCH("SeaIce",BX98)),ISNUMBER(SEARCH("IceSheet",BX98)),ISNUMBER(SEARCH("TropicalSwamp",BX98))),10,35)))))))+_xlfn.XLOOKUP(B98,'Base stats'!B:B,'Base stats'!Q:Q)</f>
        <v>35</v>
      </c>
      <c r="N98" s="8">
        <f>IF(
_xlfn.XLOOKUP(
_xlfn.XLOOKUP(B98,'Base stats'!B:B,'Base stats'!E:E),
Groups!A:A,
Groups!L:L
)=1,
MIN(
MROUND(
IF(
_xlfn.XLOOKUP(B98,'Animals CE'!B:B,'Animals CE'!Z:Z)&lt;=1.5,
_xlfn.XLOOKUP(B98,'Animals CE'!B:B,'Animals CE'!Z:Z)/2+0.05,
0.8+
(_xlfn.XLOOKUP(B98,'Animals CE'!B:B,'Animals CE'!Z:Z)-1.5)
*0.02
),
0.05
),
200%
),
"No"
)</f>
        <v>0.60000000000000009</v>
      </c>
      <c r="O98" s="8">
        <f>IF(
_xlfn.XLOOKUP(
_xlfn.XLOOKUP(B98,'Base stats'!B:B,'Base stats'!E:E),
Groups!A:A,
Groups!L:L
)=1,
MIN(
MROUND(
IF(
_xlfn.XLOOKUP(B98,'Animals CE'!B:B,'Animals CE'!AA:AA)&lt;=1.5,
_xlfn.XLOOKUP(B98,'Animals CE'!B:B,'Animals CE'!AA:AA)/2+0.05,
0.8+
(_xlfn.XLOOKUP(B98,'Animals CE'!B:B,'Animals CE'!AA:AA)-1.5)
*0.02
),
0.05
),
200%
),
"No"
)</f>
        <v>0.1</v>
      </c>
      <c r="P98" s="2" t="str">
        <f>_xlfn.XLOOKUP(B98,'Base stats'!B:B,'Base stats'!R:R)</f>
        <v>Standard</v>
      </c>
      <c r="Q98" s="13">
        <f>MROUND((LOG10(_xlfn.XLOOKUP(B98,'Base stats'!B:B,'Base stats'!AR:AR))*(AO98^0.5)+(_xlfn.XLOOKUP(B98,'Base stats'!B:B,'Base stats'!AR:AR)/1000)^(2/3)+_xlfn.XLOOKUP(B98,'Base stats'!B:B,'Base stats'!BA:BA)/2)+0.5,0.5)</f>
        <v>6.5</v>
      </c>
      <c r="R98" s="7">
        <f>IF(Q98="No","No",MAX(1,MROUND(_xlfn.XLOOKUP(B98,'Base stats'!B:B,'Base stats'!C:C)^0.165,0.05)))</f>
        <v>1.9000000000000001</v>
      </c>
      <c r="S98" s="13" t="str">
        <f>IF(_xlfn.XLOOKUP(_xlfn.XLOOKUP(B98,'Base stats'!B:B,'Base stats'!E:E),Groups!A:A,Groups!P:P)=0,"No",MROUND((LOG10(_xlfn.XLOOKUP(B98,'Base stats'!B:B,'Base stats'!AS:AS))*(AO98^0.5)+(_xlfn.XLOOKUP(B98,'Base stats'!B:B,'Base stats'!AS:AS)/1000)^(2/3)+_xlfn.XLOOKUP(B98,'Base stats'!B:B,'Base stats'!BA:BA))+_xlfn.XLOOKUP(B98,'Base stats'!B:B,'Base stats'!AY:AY)+0.5,0.5))</f>
        <v>No</v>
      </c>
      <c r="T98" s="7" t="str">
        <f>IF(S98="No","No",MAX(_xlfn.XLOOKUP(_xlfn.XLOOKUP(B98,'Base stats'!B:B,'Base stats'!E:E),Groups!A:A,Groups!Q:Q),MROUND(_xlfn.XLOOKUP(_xlfn.XLOOKUP(B98,'Base stats'!B:B,'Base stats'!E:E),Groups!A:A,Groups!Q:Q)*_xlfn.XLOOKUP(B98,'Base stats'!B:B,'Base stats'!C:C)^0.165,0.05)))</f>
        <v>No</v>
      </c>
      <c r="U98" s="7" t="str">
        <f>IF(S98="No","No",_xlfn.XLOOKUP(_xlfn.XLOOKUP(B98,'Base stats'!B:B,'Base stats'!E:E),Groups!A:A,Groups!R:R))</f>
        <v>No</v>
      </c>
      <c r="V98" s="7" t="str">
        <f>IF(S98="No","No",_xlfn.XLOOKUP(_xlfn.XLOOKUP(B98,'Base stats'!B:B,'Base stats'!E:E),Groups!A:A,Groups!S:S))</f>
        <v>No</v>
      </c>
      <c r="W98" s="7" t="str">
        <f>IF(S98="No","No",_xlfn.XLOOKUP(_xlfn.XLOOKUP(B98,'Base stats'!B:B,'Base stats'!E:E),Groups!A:A,Groups!T:T))</f>
        <v>No</v>
      </c>
      <c r="X98" s="13" t="str">
        <f>IF(_xlfn.XLOOKUP(B98,'Base stats'!B:B,'Base stats'!W:W)="No","No",MROUND((LOG10(_xlfn.XLOOKUP(B98,'Base stats'!B:B,'Base stats'!AU:AU))*(AO98^0.5)+(_xlfn.XLOOKUP(B98,'Base stats'!B:B,'Base stats'!AU:AU)/1000)^(2/3)+_xlfn.XLOOKUP(B98,'Base stats'!B:B,'Base stats'!AZ:AZ))+0.5+IF(_xlfn.XLOOKUP(_xlfn.XLOOKUP(B98,'Base stats'!B:B,'Base stats'!E:E),Groups!A:A,Groups!U:U)&lt;&gt;3,_xlfn.XLOOKUP(B98,'Base stats'!B:B,'Base stats'!BA:BA),0),0.5))</f>
        <v>No</v>
      </c>
      <c r="Y98" s="7" t="str">
        <f>IF(X98="No","No",MAX(_xlfn.XLOOKUP(_xlfn.XLOOKUP(B98,'Base stats'!B:B,'Base stats'!E:E),Groups!A:A,Groups!V:V),MROUND(_xlfn.XLOOKUP(_xlfn.XLOOKUP(B98,'Base stats'!B:B,'Base stats'!E:E),Groups!A:A,Groups!V:V)*_xlfn.XLOOKUP(B98,'Base stats'!B:B,'Base stats'!C:C)^0.165,0.05)))</f>
        <v>No</v>
      </c>
      <c r="Z98" s="7" t="str">
        <f>IF(X98="No","No",_xlfn.XLOOKUP(_xlfn.XLOOKUP(B98,'Base stats'!B:B,'Base stats'!E:E),Groups!A:A,Groups!W:W))</f>
        <v>No</v>
      </c>
      <c r="AA98" s="7" t="str">
        <f>IF(X98="No","No",_xlfn.XLOOKUP(_xlfn.XLOOKUP(B98,'Base stats'!B:B,'Base stats'!E:E),Groups!A:A,Groups!X:X))</f>
        <v>No</v>
      </c>
      <c r="AB98" s="7" t="str">
        <f>IF(X98="No","No",_xlfn.XLOOKUP(_xlfn.XLOOKUP(B98,'Base stats'!B:B,'Base stats'!E:E),Groups!A:A,Groups!Y:Y))</f>
        <v>No</v>
      </c>
      <c r="AC98" s="7" t="str">
        <f>_xlfn.XLOOKUP(Animals!B98,'Base stats'!B:B,'Base stats'!X:X)</f>
        <v>False</v>
      </c>
      <c r="AD98" s="13">
        <f>IF(_xlfn.XLOOKUP(B98,'Base stats'!B:B,'Base stats'!AT:AT)="No","No",MROUND((LOG10(_xlfn.XLOOKUP(B98,'Base stats'!B:B,'Base stats'!AT:AT))*(AO98^0.75)+(_xlfn.XLOOKUP(B98,'Base stats'!B:B,'Base stats'!AT:AT)/1000)^(2/3)+_xlfn.XLOOKUP(B98,'Base stats'!B:B,'Base stats'!AX:AX)+_xlfn.XLOOKUP(B98,'Base stats'!B:B,'Base stats'!BA:BA))+0.5,0.5))</f>
        <v>7</v>
      </c>
      <c r="AE98" s="7">
        <f>IF(AD98="No","No",MAX(_xlfn.XLOOKUP(_xlfn.XLOOKUP(B98,'Base stats'!B:B,'Base stats'!E:E),Groups!A:A,Groups!Z:Z),MROUND(_xlfn.XLOOKUP(_xlfn.XLOOKUP(B98,'Base stats'!B:B,'Base stats'!E:E),Groups!A:A,Groups!Z:Z)*_xlfn.XLOOKUP(B98,'Base stats'!B:B,'Base stats'!C:C)^0.165,0.05)))</f>
        <v>1.9000000000000001</v>
      </c>
      <c r="AF98" s="7" t="str">
        <f>IF(AD98="No","No",_xlfn.XLOOKUP(_xlfn.XLOOKUP(B98,'Base stats'!B:B,'Base stats'!E:E),Groups!A:A,Groups!AA:AA))</f>
        <v>Mouth</v>
      </c>
      <c r="AG98" s="7" t="str">
        <f>IF(AD98="No","No",_xlfn.XLOOKUP(_xlfn.XLOOKUP(B98,'Base stats'!B:B,'Base stats'!E:E),Groups!A:A,Groups!AB:AB))</f>
        <v>radula</v>
      </c>
      <c r="AH98" s="7" t="str">
        <f>IF(AD98="No","No",_xlfn.XLOOKUP(_xlfn.XLOOKUP(B98,'Base stats'!B:B,'Base stats'!E:E),Groups!A:A,Groups!AC:AC))</f>
        <v>Bite</v>
      </c>
      <c r="AI98" s="13" t="str">
        <f>IF(_xlfn.XLOOKUP(_xlfn.XLOOKUP(B98,'Base stats'!B:B,'Base stats'!E:E),Groups!A:A,Groups!AD:AD)=0,"No",MROUND((LOG10(_xlfn.XLOOKUP(B98,'Base stats'!B:B,'Base stats'!AS:AS))*(AO98^0.75)+(_xlfn.XLOOKUP(B98,'Base stats'!B:B,'Base stats'!AS:AS)/1000)^(2/3)+_xlfn.XLOOKUP(B98,'Base stats'!B:B,'Base stats'!AY:AY)+_xlfn.XLOOKUP(B98,'Base stats'!B:B,'Base stats'!BA:BA))+0.5,0.5))</f>
        <v>No</v>
      </c>
      <c r="AJ98" s="7" t="str">
        <f>IF(AI98="No","No",MAX(_xlfn.XLOOKUP(_xlfn.XLOOKUP(B98,'Base stats'!B:B,'Base stats'!E:E),Groups!A:A,Groups!AE:AE),MROUND(_xlfn.XLOOKUP(_xlfn.XLOOKUP(B98,'Base stats'!B:B,'Base stats'!E:E),Groups!A:A,Groups!AE:AE)*IF(_xlfn.XLOOKUP(_xlfn.XLOOKUP(B98,'Base stats'!B:B,'Base stats'!E:E),Groups!A:A,Groups!AJ:AJ)="Photonozoa",0.6,1)*_xlfn.XLOOKUP(B98,'Base stats'!B:B,'Base stats'!C:C)^0.165,0.05)))</f>
        <v>No</v>
      </c>
      <c r="AK98" s="7" t="str">
        <f>IF(AI98="No","No",_xlfn.XLOOKUP(_xlfn.XLOOKUP(B98,'Base stats'!B:B,'Base stats'!E:E),Groups!A:A,Groups!AF:AF))</f>
        <v>No</v>
      </c>
      <c r="AL98" s="7" t="str">
        <f>IF(AI98="No","No",_xlfn.XLOOKUP(_xlfn.XLOOKUP(B98,'Base stats'!B:B,'Base stats'!E:E),Groups!A:A,Groups!AG:AG))</f>
        <v>No</v>
      </c>
      <c r="AM98" s="7" t="str">
        <f>IF(AI98="No","No",_xlfn.XLOOKUP(_xlfn.XLOOKUP(B98,'Base stats'!B:B,'Base stats'!E:E),Groups!A:A,Groups!AH:AH))</f>
        <v>No</v>
      </c>
      <c r="AN98" s="2" t="str">
        <f t="shared" si="7"/>
        <v>No</v>
      </c>
      <c r="AO98" s="2">
        <f>MROUND(IF(AND(_xlfn.XLOOKUP(B98,'Base stats'!B:B,'Base stats'!C:C)&gt;=0.5,_xlfn.XLOOKUP(B98,'Base stats'!B:B,'Base stats'!C:C)&lt;=0.8),
IF(_xlfn.XLOOKUP(B98,'Base stats'!B:B,'Base stats'!C:C)&lt;0.1,0.05,IF(_xlfn.XLOOKUP(B98,'Base stats'!B:B,'Base stats'!C:C)&lt;=70,(_xlfn.XLOOKUP(B98,'Base stats'!B:B,'Base stats'!C:C)/70)^0.426489913056526,IF(_xlfn.XLOOKUP(B98,'Base stats'!B:B,'Base stats'!C:C)&lt;=400,(_xlfn.XLOOKUP(B98,'Base stats'!B:B,'Base stats'!C:C)/70)^0.572811455315093,IF(_xlfn.XLOOKUP(B98,'Base stats'!B:B,'Base stats'!C:C)&lt;=2000,2.71391647193063*(_xlfn.XLOOKUP(B98,'Base stats'!B:B,'Base stats'!C:C)/400)^0.252459582904293,3.74314280240376*(_xlfn.XLOOKUP(B98,'Base stats'!B:B,'Base stats'!C:C)/2000)^0.357012633876913)))),
IF(_xlfn.XLOOKUP(B98,'Base stats'!B:B,'Base stats'!C:C)&lt;0.1,0.05,IF(_xlfn.XLOOKUP(B98,'Base stats'!B:B,'Base stats'!C:C)&lt;0.4,0.1,IF(_xlfn.XLOOKUP(B98,'Base stats'!B:B,'Base stats'!C:C)&lt;=70,(_xlfn.XLOOKUP(B98,'Base stats'!B:B,'Base stats'!C:C)/70)^0.445823913056526,IF(_xlfn.XLOOKUP(B98,'Base stats'!B:B,'Base stats'!C:C)&lt;=400,(_xlfn.XLOOKUP(B98,'Base stats'!B:B,'Base stats'!C:C)/70)^0.572811455315093,IF(_xlfn.XLOOKUP(B98,'Base stats'!B:B,'Base stats'!C:C)&lt;=2000,2.71391647193063*(_xlfn.XLOOKUP(B98,'Base stats'!B:B,'Base stats'!C:C)/400)^0.252459582904293,3.74314280240376*(_xlfn.XLOOKUP(B98,'Base stats'!B:B,'Base stats'!C:C)/2000)^0.357012633876913)))))),
IF(_xlfn.XLOOKUP(B98,'Base stats'!B:B,'Base stats'!C:C)&lt;0.1,0.05,IF(_xlfn.XLOOKUP(B98,'Base stats'!B:B,'Base stats'!C:C)&lt;=100,0.05,IF(_xlfn.XLOOKUP(B98,'Base stats'!B:B,'Base stats'!C:C)&lt;=250,0.1,IF(_xlfn.XLOOKUP(B98,'Base stats'!B:B,'Base stats'!C:C)&lt;=4000,0.25,0.5)))))</f>
        <v>0.85000000000000009</v>
      </c>
      <c r="AP98" s="8">
        <f>MROUND(AO98*_xlfn.XLOOKUP(_xlfn.XLOOKUP(B98,'Base stats'!B:B,'Base stats'!E:E),Groups!A:A,Groups!AI:AI)*_xlfn.XLOOKUP(B98,'Base stats'!B:B,'Base stats'!Z:Z),0.05)</f>
        <v>0.85000000000000009</v>
      </c>
      <c r="AQ98" s="8">
        <f>MAX(0.01,MROUND(IF(CC98="True",0.196*(AO98*100*1000)^0.889,IF(_xlfn.XLOOKUP(_xlfn.XLOOKUP(B98,'Base stats'!B:B,'Base stats'!E:E),Groups!A:A,Groups!AJ:AJ)="Bird",10.5*(AO98*100*1000)^0.681,4.82*(AO98*100*1000)^0.734))/(4.82*(1*100*1000)^0.734)/IF(AO98&lt;3.5,2,IF(AO98=3.5,1.5,1.25))*(1+0.132282374779864/(AO98^0.994035016789033+0.00905238001496948)),0.05))</f>
        <v>0.1</v>
      </c>
      <c r="AR98" s="9">
        <f>IFERROR(MROUND(_xlfn.XLOOKUP(B98,'Base stats'!B:B,'Base stats'!H:H)/IF(_xlfn.XLOOKUP(B98,'Base stats'!B:B,'Base stats'!I:I)&lt;&gt;1,(122.5/70),1.2),IF(_xlfn.XLOOKUP(B98,'Base stats'!B:B,'Base stats'!H:H)&gt;=30,5,IF(_xlfn.XLOOKUP(B98,'Base stats'!B:B,'Base stats'!H:H)&gt;=15,3,IF(_xlfn.XLOOKUP(B98,'Base stats'!B:B,'Base stats'!H:H)&gt;=10,2,1)))),"Immortal")</f>
        <v>15</v>
      </c>
      <c r="AS98" s="35">
        <f>IFERROR(IF(OR(_xlfn.XLOOKUP(B98,'Base stats'!B:B,'Base stats'!F:F)="Atypical reproduction",_xlfn.XLOOKUP(B98,'Base stats'!B:B,'Base stats'!F:F)="Lay eggs"),"Lay eggs",MIN(20,MAX(5.5,ROUND(((_xlfn.XLOOKUP(B98,'Base stats'!B:B,'Base stats'!F:F)-25)*(14.5/615) + 5.5)*2,0)/2))),"Unknown")</f>
        <v>7.5</v>
      </c>
      <c r="AT98" s="8">
        <f>IF(_xlfn.XLOOKUP(B98,'Base stats'!B:B,'Base stats'!G:G)="Atypical reproduction","No",IFERROR(MAX(IF(_xlfn.XLOOKUP(B98,'Base stats'!B:B,'Base stats'!G:G)&lt;0.5,0.2,0.3),MROUND(_xlfn.XLOOKUP(B98,'Base stats'!B:B,'Base stats'!G:G)/(365/60),0.2)),"Unknown"))</f>
        <v>0.8</v>
      </c>
      <c r="AU98" s="8">
        <f t="shared" si="8"/>
        <v>0.4</v>
      </c>
      <c r="AV98" s="8">
        <f>IFERROR(IFERROR(MROUND(_xlfn.XLOOKUP(B98,'Base stats'!B:B,'Base stats'!J:J),0.1),"Lay eggs"),"Cannot breed")</f>
        <v>10</v>
      </c>
      <c r="AW98" s="2" t="str">
        <f t="shared" si="9"/>
        <v>false</v>
      </c>
      <c r="AX98" s="2" t="str">
        <f>IF(_xlfn.XLOOKUP(_xlfn.XLOOKUP(Animals!B98,'Base stats'!B:B,'Base stats'!E:E),Groups!A:A,Groups!AK:AK)=1,"true","false")</f>
        <v>false</v>
      </c>
      <c r="AY98" s="25" t="str">
        <f>IF(_xlfn.XLOOKUP(B98,'Base stats'!B:B,'Base stats'!Y:Y)="Liquor","Liquor, CarnivoreAnimalStrict",IF(AND(_xlfn.XLOOKUP(B98,'Base stats'!B:B,'Base stats'!Y:Y)="Carnivore",_xlfn.XLOOKUP(_xlfn.XLOOKUP(B98,'Base stats'!B:B,'Base stats'!E:E),Groups!A:A,Groups!AJ:AJ)="Photonozoa"),"CarnivoreAnimalStrict, OvivoreAnimal",IF(_xlfn.XLOOKUP(B98,'Base stats'!B:B,'Base stats'!Y:Y)="Carnivore","CarnivoreAnimal, OvivoreAnimal",IF(_xlfn.XLOOKUP(B98,'Base stats'!B:B,'Base stats'!Y:Y)="Dendrovore","VegetarianRoughAnimal, DendrovoreAnimal",IF(_xlfn.XLOOKUP(B98,'Base stats'!B:B,'Base stats'!Y:Y)="Herbivore","VegetarianRoughAnimal",IF(_xlfn.XLOOKUP(B98,'Base stats'!B:B,'Base stats'!Y:Y)="OmnivoreRough","OmnivoreRoughAnimal, OvivoreAnimal","OmnivoreAnimal, OvivoreAnimal"))))))</f>
        <v>VegetarianRoughAnimal</v>
      </c>
      <c r="AZ98" s="2" t="str">
        <f>IF(_xlfn.XLOOKUP(_xlfn.XLOOKUP(B98,'Base stats'!B:B,'Base stats'!E:E),Groups!A:A,Groups!D:D)=1,MROUND((1-J98)*5+1,2)*IF(J98&lt;=0.4,2,1),"No")</f>
        <v>No</v>
      </c>
      <c r="BA98" s="2" t="str">
        <f>IF(AND(_xlfn.XLOOKUP(B98,'Base stats'!B:B,'Base stats'!AH:AH)="&lt;li&gt;Seal&lt;/li&gt;",G98="Odyssey"),"&lt;li&gt;AEXP_Seal&lt;/li&gt;",_xlfn.XLOOKUP(B98,'Base stats'!B:B,'Base stats'!AH:AH))</f>
        <v>No</v>
      </c>
      <c r="BB98" s="2" t="str">
        <f>_xlfn.XLOOKUP(B98,'Base stats'!B:B,'Base stats'!AG:AG)</f>
        <v>No</v>
      </c>
      <c r="BC98" s="23" t="str">
        <f>_xlfn.XLOOKUP(_xlfn.XLOOKUP(B98,'Base stats'!B:B,'Base stats'!E:E),Groups!A:A,Groups!AL:AL)</f>
        <v>Snail</v>
      </c>
      <c r="BD98" s="23">
        <f>MIN(1,MROUND(IF(AND(AO98&lt;0.5,_xlfn.XLOOKUP(B98,'Base stats'!B:B,'Base stats'!AA:AA)=0),0,IF(OR(_xlfn.XLOOKUP(Animals!B98,'Base stats'!B:B,'Base stats'!O:O)=2,_xlfn.XLOOKUP(_xlfn.XLOOKUP(B98,'Base stats'!B:B,'Base stats'!E:E),Groups!A:A,Groups!AN:AN)=0),0,_xlfn.XLOOKUP(_xlfn.XLOOKUP(B98,'Base stats'!B:B,'Base stats'!E:E),Groups!A:A,Groups!AN:AN)/IF(_xlfn.XLOOKUP(Animals!B98,'Base stats'!B:B,'Base stats'!O:O)=1,2,1)))+_xlfn.XLOOKUP(B98,'Base stats'!B:B,'Base stats'!AC:AC),0.005))</f>
        <v>0</v>
      </c>
      <c r="BE98" s="23">
        <f>MIN(1,MROUND(IF(AND(AO98&lt;0.5,_xlfn.XLOOKUP(B98,'Base stats'!B:B,'Base stats'!AA:AA)=0),0,IF(_xlfn.XLOOKUP(_xlfn.XLOOKUP(B98,'Base stats'!B:B,'Base stats'!E:E),Groups!A:A,Groups!AO:AO)=0,0,_xlfn.XLOOKUP(_xlfn.XLOOKUP(B98,'Base stats'!B:B,'Base stats'!E:E),Groups!A:A,Groups!AO:AO)/IF(_xlfn.XLOOKUP(Animals!B98,'Base stats'!B:B,'Base stats'!O:O)=2,3,1)))+_xlfn.XLOOKUP(B98,'Base stats'!B:B,'Base stats'!AD:AD),0.005))</f>
        <v>0</v>
      </c>
      <c r="BF98" s="2" t="str">
        <f>IF(J98&gt;0.3,"No",_xlfn.XLOOKUP(_xlfn.XLOOKUP(Animals!B98,'Base stats'!B:B,'Base stats'!E:E),Groups!A:A,Groups!AP:AP))</f>
        <v>No</v>
      </c>
      <c r="BG98" s="2" t="str">
        <f>IF(AND(J98&lt;=0.65,_xlfn.XLOOKUP(_xlfn.XLOOKUP(Animals!B98,'Base stats'!B:B,'Base stats'!E:E),Groups!A:A,Groups!AP:AP)&lt;&gt;"No",_xlfn.XLOOKUP(_xlfn.XLOOKUP(B98,'Base stats'!B:B,'Base stats'!E:E),Groups!A:A,Groups!D:D)=0),MROUND((80/3)*IF(_xlfn.XLOOKUP(B98,'Base stats'!B:B,'Base stats'!O:O)=2,0.2,AO98) + 24*(1-IF(BF98="No",0,BF98)) + 16/3, 12),"No")</f>
        <v>No</v>
      </c>
      <c r="BH98" s="2">
        <f>IF(AND(_xlfn.XLOOKUP(_xlfn.XLOOKUP(B98,'Base stats'!B:B,'Base stats'!E:E),Groups!A:A,Groups!AQ:AQ)=1,AO98&lt;=0.35),8,12)</f>
        <v>12</v>
      </c>
      <c r="BI98" s="2" t="str">
        <f>IF(_xlfn.XLOOKUP(_xlfn.XLOOKUP(B98,'Base stats'!B:B,'Base stats'!E:E),Groups!A:A,Groups!D:D)=0,_xlfn.XLOOKUP(_xlfn.XLOOKUP(B98,'Base stats'!B:B,'Base stats'!E:E),Groups!A:A,Groups!AR:AR),"None")</f>
        <v>None</v>
      </c>
      <c r="BJ98" s="2" t="str">
        <f>IF(AND(_xlfn.XLOOKUP(_xlfn.XLOOKUP(B98,'Base stats'!B:B,'Base stats'!E:E),Groups!A:A,Groups!AS:AS)=1,OR(_xlfn.XLOOKUP(B98,'Base stats'!B:B,'Base stats'!Y:Y)="Carnivore",_xlfn.XLOOKUP(B98,'Base stats'!B:B,'Base stats'!Y:Y)="Omnivore")),"true","false")</f>
        <v>false</v>
      </c>
      <c r="BK98" s="2" t="str">
        <f>IF(BJ98="true",MROUND(IF(AND(AO98&gt;0.5,OR(_xlfn.XLOOKUP(_xlfn.XLOOKUP(B98,'Base stats'!B:B,'Base stats'!E:E),Groups!A:A,Groups!AJ:AJ)="Photonozoa",_xlfn.XLOOKUP(_xlfn.XLOOKUP(B98,'Base stats'!B:B,'Base stats'!E:E),Groups!A:A,Groups!AJ:AJ)="Mammal")),Animals!AO98*1.75*IF(AW98="true",1.5,1),IF(AO98&lt;0.5,Animals!AO98*0.5,Animals!AO98)),IF(AO98&gt;2,0.5,IF(AO98&gt;0.5,0.25,0.1))),"No")</f>
        <v>No</v>
      </c>
      <c r="BL98" s="2">
        <f t="shared" si="10"/>
        <v>0</v>
      </c>
      <c r="BM98" s="25" t="str">
        <f>IF(_xlfn.XLOOKUP(B98,'Base stats'!B:B,'Base stats'!AN:AN)="Standard","No",MROUND((_xlfn.XLOOKUP(B98,'Base stats'!B:B,'Base stats'!AN:AN)/3.6)/I98,0.1))</f>
        <v>No</v>
      </c>
      <c r="BN98" s="25" t="str">
        <f t="shared" si="11"/>
        <v>false</v>
      </c>
      <c r="BO98" s="25" t="str">
        <f>IF(AND(OR(_xlfn.XLOOKUP(B98,'Base stats'!B:B,'Base stats'!Y:Y)="Carnivore",_xlfn.XLOOKUP(B98,'Base stats'!B:B,'Base stats'!Y:Y)="Omnivore",_xlfn.XLOOKUP(B98,'Base stats'!B:B,'Base stats'!Y:Y)="OmnivoreRough"),_xlfn.XLOOKUP(_xlfn.XLOOKUP(B98,'Base stats'!B:B,'Base stats'!E:E),Groups!A:A,Groups!AT:AT)=1),"true","false")</f>
        <v>false</v>
      </c>
      <c r="BP98" s="25" t="str" cm="1">
        <f t="array" ref="BP98">IF(
  _xlfn.TEXTJOIN(", ",TRUE,
    IF(AND(BJ98="true",AO98&gt;0.5,BI98&lt;&gt;"None"),"AttackTarget",""),
    IF(AND(_xlfn.XLOOKUP(_xlfn.XLOOKUP(B98,'Base stats'!B:B,'Base stats'!E:E),Groups!A:A,Groups!AJ:AJ="Mammal"),OR(_xlfn.XLOOKUP(B98,'Base stats'!B:B,'Base stats'!Y:Y)="Omnivore",_xlfn.XLOOKUP(B98,'Base stats'!B:B,'Base stats'!Y:Y)="OmnivoreRough")),"Forage",""),
    IF(BG98&lt;=36,"Comfort",""),
    IF(_xlfn.XLOOKUP(B98,'Base stats'!B:B,'Base stats'!AE:AE)&lt;&gt;"No",_xlfn.XLOOKUP(B98,'Base stats'!B:B,'Base stats'!AE:AE),"")
  ) = "",
  "No",
  _xlfn.TEXTJOIN(", ",TRUE,
    IF(AND(BJ98="true",AO98&gt;0.5,BI98&lt;&gt;"None"),"AttackTarget",""),
    IF(AND(_xlfn.XLOOKUP(_xlfn.XLOOKUP(B98,'Base stats'!B:B,'Base stats'!E:E),Groups!A:A,Groups!AJ:AJ="Mammal"),OR(_xlfn.XLOOKUP(B98,'Base stats'!B:B,'Base stats'!Y:Y)="Omnivore",_xlfn.XLOOKUP(B98,'Base stats'!B:B,'Base stats'!Y:Y)="OmnivoreRough")),"Forage",""),
    IF(BG98&lt;=36,"Comfort",""),
    IF(_xlfn.XLOOKUP(B98,'Base stats'!B:B,'Base stats'!AE:AE)&lt;&gt;"No",_xlfn.XLOOKUP(B98,'Base stats'!B:B,'Base stats'!AE:AE),"")
  )
)</f>
        <v>No</v>
      </c>
      <c r="BQ98" s="25" t="str">
        <f>IF(
   AND(
      'Base stats'!AN98="Standard",_xlfn.XLOOKUP(_xlfn.XLOOKUP(B98,'Base stats'!B:B,'Base stats'!E:E),Groups!A:A,Groups!AU:AU)=0,
      OR(
      BO98="True"
      )
   ),
   10,
   IF(
       OR(BM98&lt;&gt;"No",_xlfn.XLOOKUP(_xlfn.XLOOKUP(B98,'Base stats'!B:B,'Base stats'!E:E),Groups!A:A,Groups!AU:AU)=1),
      1,
      "No"
   )
)</f>
        <v>No</v>
      </c>
      <c r="BR98" s="9">
        <f>MROUND((1 + ((0.2*IF(OR(Q98="No",R98="No",R98=0),0,Q98/R98)
+IF(OR(V98="No",S98="No",T98="No"),0,S98/T98*(LEN(V98)-LEN(SUBSTITUTE(V98,",",""))+1))
+IF(OR(X98="No",Y98="No"),0,X98/Y98)
+IF(OR(AD98="No",AE98="No"),0,AD98/AE98)
+IF(OR(AL98="No",AI98="No",AJ98="No"),0,AI98/AJ98*(LEN(AL98)-LEN(SUBSTITUTE(AL98,",",""))+1))
)/(0.2*IF(OR(Q98="No",R98="No",R98=0),0,1)
+IF(OR(V98="No",S98="No",T98="No"),0,LEN(V98)-LEN(SUBSTITUTE(V98,",",""))+1)
+IF(OR(X98="No",Y98="No"),0,1)
+IF(OR(AD98="No",AE98="No"),0,1)
+IF(OR(AL98="No",AI98="No",AJ98="No"),0,LEN(AL98)-LEN(SUBSTITUTE(AL98,",",""))+1))*62%)* 2)*(1 + (AP98 / (IF(_xlfn.XLOOKUP(_xlfn.XLOOKUP(B98,'Base stats'!B:B,'Base stats'!E:E),Groups!A:A,Groups!AJ:AJ)="Photonozoa",0.3,1)) + _xlfn.XLOOKUP(B98,'Base stats'!B:B,'Base stats'!AV:AV) * 1.8) * 2) * 2.5 + 10 + I98 * 2,5)+IF(_xlfn.XLOOKUP(B98,'Base stats'!B:B,'Base stats'!AK:AK)=1,50,0)</f>
        <v>65</v>
      </c>
      <c r="BS98" s="8">
        <f t="shared" si="12"/>
        <v>0.25</v>
      </c>
      <c r="BT98" s="8" t="str">
        <f>_xlfn.XLOOKUP(B98,'Base stats'!B:B,'Base stats'!AF:AF)</f>
        <v>No</v>
      </c>
      <c r="BU98" s="2" t="str">
        <f>IF(AND(J98&lt;=0.95,OR(_xlfn.XLOOKUP(B98,'Base stats'!B:B,'Base stats'!AK:AK)=1,_xlfn.XLOOKUP(B98,'Base stats'!B:B,'Base stats'!Y:Y)="Carnivore",_xlfn.XLOOKUP(B98,'Base stats'!B:B,'Base stats'!Y:Y)="Omnivore",BE98&gt;0.1)),"true","false")</f>
        <v>false</v>
      </c>
      <c r="BV98" s="2" t="str">
        <f>IF(_xlfn.XLOOKUP(B98,'Base stats'!B:B,'Base stats'!AI:AI)=1,"true","false")</f>
        <v>false</v>
      </c>
      <c r="BW98" s="25" t="str">
        <f>IF(E98="BaseInsect","AnimalInsect",
IF(J98&gt;0.95,"AnimalExotic",
_xlfn.TEXTJOIN(", ",TRUE,
IF(OR(_xlfn.XLOOKUP(B98,'Base stats'!B:B,'Base stats'!AM:AM)=1,AND(_xlfn.XLOOKUP(B98,'Base stats'!B:B,'Base stats'!O:O)=0,_xlfn.XLOOKUP(_xlfn.XLOOKUP(B98,'Base stats'!B:B,'Base stats'!E:E),Groups!A:A,Groups!B:B)&gt;0)),"AnimalUncommon","AnimalCommon"),
IF(AND(_xlfn.XLOOKUP(B98,'Base stats'!B:B,'Base stats'!O:O)=2,_xlfn.XLOOKUP(_xlfn.XLOOKUP(B98,'Base stats'!B:B,'Base stats'!E:E),Groups!A:A,Groups!D:D)=0),"AnimalPet",IF(AND(_xlfn.XLOOKUP(B98,'Base stats'!B:B,'Base stats'!O:O)&lt;&gt;0,_xlfn.XLOOKUP(_xlfn.XLOOKUP(B98,'Base stats'!B:B,'Base stats'!E:E),Groups!A:A,Groups!D:D)&lt;&gt;0),"AnimalFarm","")),
IF(OR(_xlfn.XLOOKUP(B98,'Base stats'!B:B,'Base stats'!AK:AK)=1,AND(BI98&lt;&gt;"None",BR98&gt;=60),ISNUMBER(SEARCH("Attack target",BP98))),"AnimalFighter","")
)))</f>
        <v>AnimalCommon</v>
      </c>
      <c r="BX98" s="25" t="str">
        <f>IF(G98="None",TRIM(
SUBSTITUTE(
IF(COUNTIF(Biomes!B$2:B$259,"="&amp;$C98)&gt;0,Biomes!B$1&amp;", ","")&amp;
IF(COUNTIF(Biomes!C$2:C$259,"="&amp;$C98)&gt;0,Biomes!C$1&amp;", ","")&amp;
IF(COUNTIF(Biomes!D$2:D$259,"="&amp;$C98)&gt;0,Biomes!D$1&amp;", ","")&amp;
IF(COUNTIF(Biomes!F$2:F$259,"="&amp;$C98)&gt;0,Biomes!F$1&amp;", ","")&amp;
IF(COUNTIF(Biomes!G$2:G$259,"="&amp;$C98)&gt;0,Biomes!G$1&amp;", ","")&amp;
IF(COUNTIF(Biomes!H$2:H$259,"="&amp;$C98)&gt;0,Biomes!H$1&amp;", ","")&amp;
IF(COUNTIF(Biomes!I$2:I$259,"="&amp;$C98)&gt;0,Biomes!I$1&amp;", ","")&amp;
IF(COUNTIF(Biomes!J$2:J$259,"="&amp;$C98)&gt;0,Biomes!J$1&amp;", ","")&amp;
IF(COUNTIF(Biomes!M$2:M$259,"="&amp;$C98)&gt;0,Biomes!M$1&amp;", ","")&amp;
IF(COUNTIF(Biomes!N$2:N$259,"="&amp;$C98)&gt;0,Biomes!N$1&amp;", ","")&amp;
IF(COUNTIF(Biomes!O$2:O$259,"="&amp;$C98)&gt;0,Biomes!O$1&amp;", ","")&amp;
IF(COUNTIF(Biomes!P$2:P$259,"="&amp;$C98)&gt;0,Biomes!P$1&amp;", ","")&amp;
IF(COUNTIF(Biomes!K$2:K$259,"="&amp;$C98)&gt;0,Biomes!K$1&amp;", ","")&amp;
IF(COUNTIF(Biomes!Q$3:Q$259,"="&amp;$C98)&gt;0,Biomes!Q$1&amp;", ","")&amp;
IF(COUNTIF(Biomes!L$2:L$259,"="&amp;$C98)&gt;0,Biomes!L$1&amp;", ","")&amp;
IF(COUNTIF(Biomes!E$2:E$259,"="&amp;$C98)&gt;0,Biomes!E$1&amp;", ","")&amp;IF(COUNTIF(Biomes!S$2:S$259,"="&amp;$C98)&gt;0,Biomes!S$1&amp;", ","")&amp;
IF(COUNTIF(Biomes!R$2:R$259,"="&amp;$C98)&gt;0,Biomes!R$1&amp;", ",""),", ","")
),_xlfn.XLOOKUP(B98,B:B,BX:BX))</f>
        <v/>
      </c>
      <c r="BY98" s="25" t="str">
        <f>IF(_xlfn.XLOOKUP(B98,'Base stats'!B:B,'Base stats'!AJ:AJ)=1,"true","false")</f>
        <v>false</v>
      </c>
      <c r="BZ98" s="25">
        <f>IF(_xlfn.XLOOKUP(B98,'Base stats'!B:B,'Base stats'!N:N)=1,"No",MAX(0.001,MIN(MROUND(IF(AND(BJ98="True",CC98="False"),POWER(10,3.47*LOG10(_xlfn.XLOOKUP(B98,'Base stats'!B:B,'Base stats'!C:C)*1000)^-0.96),POWER(10,4.15*LOG10(_xlfn.XLOOKUP(B98,'Base stats'!B:B,'Base stats'!C:C)*1000)^-0.73))*IF(_xlfn.XLOOKUP(B98,'Base stats'!B:B,'Base stats'!AK:AK)=1,0.5,1)*IF(_xlfn.XLOOKUP(B98,'Base stats'!B:B,'Base stats'!AM:AM)=1,0.1,1)/100,IF(_xlfn.XLOOKUP(B98,'Base stats'!B:B,'Base stats'!AM:AM)=1,0.001,0.025)),0.5)))</f>
        <v>0.22500000000000001</v>
      </c>
      <c r="CA98" s="25" t="str">
        <f>IF(P98="Standard","No",MAX(0.001,MIN(MROUND(IF(AND(BJ98="True",CC98="False"),POWER(10,3.47*LOG10(_xlfn.XLOOKUP(B98,'Base stats'!B:B,'Base stats'!C:C)*1000)^-0.96),POWER(10,4.15*LOG10(_xlfn.XLOOKUP(B98,'Base stats'!B:B,'Base stats'!C:C)*1000)^-0.73))*IF(_xlfn.XLOOKUP(B98,'Base stats'!B:B,'Base stats'!AM:AM)=1,0.1,1)*_xlfn.XLOOKUP(B98,'Base stats'!B:B,'Base stats'!R:R)/100,IF(_xlfn.XLOOKUP(B98,'Base stats'!B:B,'Base stats'!AM:AM)=1,0.001,0.025)),0.5)))</f>
        <v>No</v>
      </c>
      <c r="CB98" s="25" t="str">
        <f>IF(_xlfn.XLOOKUP(_xlfn.XLOOKUP(B98,'Base stats'!B:B,'Base stats'!E:E),Groups!A:A,Groups!AJ:AJ)="Mammal","True","False")</f>
        <v>False</v>
      </c>
      <c r="CC98" s="25" t="str">
        <f>IF(OR(_xlfn.XLOOKUP(_xlfn.XLOOKUP(B98,'Base stats'!B:B,'Base stats'!E:E),Groups!A:A,Groups!AJ:AJ)="Reptile",_xlfn.XLOOKUP(_xlfn.XLOOKUP(B98,'Base stats'!B:B,'Base stats'!E:E),Groups!A:A,Groups!AJ:AJ)="Amphibian",_xlfn.XLOOKUP(_xlfn.XLOOKUP(B98,'Base stats'!B:B,'Base stats'!E:E),Groups!A:A,Groups!AJ:AJ)="Invertebrate"),"True","False")</f>
        <v>True</v>
      </c>
      <c r="CD98" s="25" t="str">
        <f t="shared" si="13"/>
        <v>False</v>
      </c>
      <c r="CE98" s="25" t="str">
        <f>IF(_xlfn.XLOOKUP(_xlfn.XLOOKUP(B98,'Base stats'!B:B,'Base stats'!E:E),Groups!A:A,Groups!AX:AX),"True","False")</f>
        <v>False</v>
      </c>
      <c r="CF98" s="25" t="str">
        <f>IF(_xlfn.XLOOKUP(_xlfn.XLOOKUP(B98,'Base stats'!B:B,'Base stats'!E:E),Groups!A:A,Groups!AY:AY),"True","False")</f>
        <v>False</v>
      </c>
      <c r="CG98" s="25" t="str">
        <f>IF(_xlfn.XLOOKUP(_xlfn.XLOOKUP(B98,'Base stats'!B:B,'Base stats'!E:E),Groups!A:A,Groups!AW:AW),"True","False")</f>
        <v>False</v>
      </c>
      <c r="CH98" s="25" t="str">
        <f>IF(
OR(
_xlfn.XLOOKUP(_xlfn.XLOOKUP(B98,'Base stats'!B:B,'Base stats'!E:E),Groups!A:A,Groups!AZ:AZ)=0,
AND(
_xlfn.XLOOKUP(B98,'Base stats'!B:B,'Base stats'!Y:Y)&lt;&gt;"Carnivore",
_xlfn.XLOOKUP(B98,'Base stats'!B:B,'Base stats'!Y:Y)&lt;&gt;"Omnivore",
_xlfn.XLOOKUP(B98,'Base stats'!B:B,'Base stats'!Y:Y)&lt;&gt;"OmnivoreRough"
)
),
"No",
IF(
_xlfn.XLOOKUP(_xlfn.XLOOKUP(B98,'Base stats'!B:B,'Base stats'!E:E),Groups!A:A,Groups!AZ:AZ)=1,
"Flesh",
IF(
_xlfn.XLOOKUP(_xlfn.XLOOKUP(B98,'Base stats'!B:B,'Base stats'!E:E),Groups!A:A,Groups!AZ:AZ)=2,
"Bone",
""
)
)
)</f>
        <v>No</v>
      </c>
      <c r="CI98" s="25" t="str">
        <f>IF(_xlfn.XLOOKUP(_xlfn.XLOOKUP(B98,'Base stats'!B:B,'Base stats'!E:E),Groups!A:A,Groups!BB:BB),"True","False")</f>
        <v>False</v>
      </c>
      <c r="CJ98" s="25" t="str">
        <f>IF(_xlfn.XLOOKUP(_xlfn.XLOOKUP(B98,'Base stats'!B:B,'Base stats'!E:E),Groups!A:A,Groups!BA:BA),"True","False")</f>
        <v>False</v>
      </c>
    </row>
    <row r="99" spans="1:88" ht="16.5" thickTop="1" thickBot="1" x14ac:dyDescent="0.3">
      <c r="A99" s="26" t="str">
        <f>_xlfn.XLOOKUP(B99,'Base stats'!B:B,'Base stats'!A:A)</f>
        <v>BogHound</v>
      </c>
      <c r="B99" s="6" t="s">
        <v>276</v>
      </c>
      <c r="C99" s="28" t="s">
        <v>779</v>
      </c>
      <c r="D99" s="28" t="s">
        <v>870</v>
      </c>
      <c r="E99" s="28" t="s">
        <v>673</v>
      </c>
      <c r="F99" s="28" t="s">
        <v>673</v>
      </c>
      <c r="G99" s="28" t="s">
        <v>673</v>
      </c>
      <c r="H99" s="2">
        <f>MROUND((
  (IF(AND(_xlfn.XLOOKUP(B99,'Base stats'!B:B,'Base stats'!AL:AL)=0,BI99="None",_xlfn.XLOOKUP(_xlfn.XLOOKUP(B99,'Base stats'!B:B,'Base stats'!E:E),Groups!A:A,Groups!B:B)=0), (18 + BR99 * 2.7) * 0.5,
    IF(AND(_xlfn.XLOOKUP(B99,'Base stats'!B:B,'Base stats'!AL:AL)=0,OR(AO99&lt;0.55,AND(BI99="Intermediate",_xlfn.XLOOKUP(_xlfn.XLOOKUP(B99,'Base stats'!B:B,'Base stats'!E:E),Groups!A:A,Groups!B:B)&lt;2))), (18 + BR99 * 2.7),
      IF(OR(BI99="Advanced",_xlfn.XLOOKUP(B99,'Base stats'!B:B,'Base stats'!AL:AL)=1,_xlfn.XLOOKUP(_xlfn.XLOOKUP(B99,'Base stats'!B:B,'Base stats'!E:E),Groups!A:A,Groups!B:B)=2), (18 + BR99 * 2.7) + 250, (18 + BR99 * 2.7))
    )
  ))
  + AO99 * 80
  + IF(COUNTIF(EggMilk!K$2:K$998, A99) &gt; 0, 125, 0)
  + IF(COUNTIF(EggMilk!P$2:P$998, A99) &gt; 0, 90, 0)
  + IF(COUNTIF(EggMilk!A$2:A$998, A99) &gt; 0, 90, 0)
)
* (0.8 + 0.4 * J99)
* 0.75,25)</f>
        <v>475</v>
      </c>
      <c r="I99" s="2">
        <f>MROUND(ROUNDDOWN(_xlfn.XLOOKUP(B99,'Base stats'!B:B,'Base stats'!L:L)/3.6/(23.3/11),1),0.5)</f>
        <v>7</v>
      </c>
      <c r="J99" s="2">
        <f>IF(OR(_xlfn.XLOOKUP(B99,'Base stats'!B:B,'Base stats'!AB:AB)=1,_xlfn.XLOOKUP(_xlfn.XLOOKUP(B99,'Base stats'!B:B,'Base stats'!E:E),Groups!A:A,Groups!C:C)="Untamable"),1,IF(_xlfn.XLOOKUP(B99,'Base stats'!B:B,'Base stats'!AL:AL)=1,0.99,MIN(MROUND((1-0.6282*EXP(-0.459*AO99))*_xlfn.XLOOKUP(_xlfn.XLOOKUP(B99,'Base stats'!B:B,'Base stats'!E:E),Groups!A:A,Groups!C:C)*IF(_xlfn.XLOOKUP(B99,'Base stats'!B:B,'Base stats'!O:O)=1,0.5,IF(_xlfn.XLOOKUP(B99,'Base stats'!B:B,'Base stats'!O:O)=2,0,1)),0.05),IF(AO99&gt;3.5,0.985,0.95))))</f>
        <v>0.70000000000000007</v>
      </c>
      <c r="K99" s="2">
        <f>ROUNDUP(AO99*_xlfn.XLOOKUP(_xlfn.XLOOKUP(B99,'Base stats'!B:B,'Base stats'!E:E),Groups!A:A,Groups!E:E),0)</f>
        <v>1</v>
      </c>
      <c r="L99" s="2">
        <f>IF(OR(_xlfn.XLOOKUP(_xlfn.XLOOKUP(B99,'Base stats'!B:B,'Base stats'!E:E),Groups!A:A,Groups!F:F)=2,ISNUMBER(SEARCH("SeaIce",BX99)),ISNUMBER(SEARCH("IceSheet",BX99))),-50,IF(OR(ISNUMBER(SEARCH("GlacialPlain",BX99)),ISNUMBER(SEARCH("Tundra",BX99))),-40,IF(OR(ISNUMBER(SEARCH("Alpine",BX99)),ISNUMBER(SEARCH("BorealForest",BX99)),ISNUMBER(SEARCH("ColdBog",BX99))),-30,IF(OR(ISNUMBER(SEARCH("TemperateForest",BX99)),ISNUMBER(SEARCH("TemperateSwamp",BX99))),-20,IF(_xlfn.XLOOKUP(_xlfn.XLOOKUP(B99,'Base stats'!B:B,'Base stats'!E:E),Groups!A:A,Groups!F:F)=1,-15,IF(OR(ISNUMBER(SEARCH("Desert",BX99)),ISNUMBER(SEARCH("ExtremeDesert",BX99))),-10,IF(OR(ISNUMBER(SEARCH("Grasslands",BX99)),ISNUMBER(SEARCH("TropicalRainforest",BX99)),ISNUMBER(SEARCH("TropicalSwamp",BX99))),10,0)))))))-IF(CC99="False",MIN(IFERROR(MAX(MROUND(LOG10(_xlfn.XLOOKUP(B99,'Base stats'!B:B,'Base stats'!C:C)^(2/3))*10,5),5),5),30))-_xlfn.XLOOKUP(B99,'Base stats'!B:B,'Base stats'!P:P)+IF(CC99="True",5,0)</f>
        <v>-25</v>
      </c>
      <c r="M99" s="2">
        <f>IF(OR(_xlfn.XLOOKUP(_xlfn.XLOOKUP(B99,'Base stats'!B:B,'Base stats'!E:E),Groups!A:A,Groups!G:G)=2,ISNUMBER(SEARCH("Desert",BX99)),ISNUMBER(SEARCH("ExtremeDesert",BX99)),ISNUMBER(SEARCH("LavaField",BX99))),50,IF(ISNUMBER(SEARCH("Grasslands",BX99)),45,IF(OR(_xlfn.XLOOKUP(_xlfn.XLOOKUP(B99,'Base stats'!B:B,'Base stats'!E:E),Groups!A:A,Groups!G:G)=1,ISNUMBER(SEARCH("TropicalRainforest",BX99)),ISNUMBER(SEARCH("TropicalSwamp",BX99))),40,IF(OR(ISNUMBER(SEARCH("TemperateForest",BX99)),ISNUMBER(SEARCH("TemperateSwamp",BX99))),35,IF(OR(ISNUMBER(SEARCH("Alpine",BX99)),ISNUMBER(SEARCH("BorealForest",BX99)),ISNUMBER(SEARCH("ColdBog",BX99))),30,IF(ISNUMBER(OR(ISNUMBER(SEARCH("GlacialPlain",BX99)),SEARCH("Tundra",BX99))),25,IF(OR(ISNUMBER(SEARCH("SeaIce",BX99)),ISNUMBER(SEARCH("IceSheet",BX99)),ISNUMBER(SEARCH("TropicalSwamp",BX99))),10,35)))))))+_xlfn.XLOOKUP(B99,'Base stats'!B:B,'Base stats'!Q:Q)</f>
        <v>35</v>
      </c>
      <c r="N99" s="8" t="str">
        <f>IF(
_xlfn.XLOOKUP(
_xlfn.XLOOKUP(B99,'Base stats'!B:B,'Base stats'!E:E),
Groups!A:A,
Groups!L:L
)=1,
MIN(
MROUND(
IF(
_xlfn.XLOOKUP(B99,'Animals CE'!B:B,'Animals CE'!Z:Z)&lt;=1.5,
_xlfn.XLOOKUP(B99,'Animals CE'!B:B,'Animals CE'!Z:Z)/2+0.05,
0.8+
(_xlfn.XLOOKUP(B99,'Animals CE'!B:B,'Animals CE'!Z:Z)-1.5)
*0.02
),
0.05
),
200%
),
"No"
)</f>
        <v>No</v>
      </c>
      <c r="O99" s="8" t="str">
        <f>IF(
_xlfn.XLOOKUP(
_xlfn.XLOOKUP(B99,'Base stats'!B:B,'Base stats'!E:E),
Groups!A:A,
Groups!L:L
)=1,
MIN(
MROUND(
IF(
_xlfn.XLOOKUP(B99,'Animals CE'!B:B,'Animals CE'!AA:AA)&lt;=1.5,
_xlfn.XLOOKUP(B99,'Animals CE'!B:B,'Animals CE'!AA:AA)/2+0.05,
0.8+
(_xlfn.XLOOKUP(B99,'Animals CE'!B:B,'Animals CE'!AA:AA)-1.5)
*0.02
),
0.05
),
200%
),
"No"
)</f>
        <v>No</v>
      </c>
      <c r="P99" s="2">
        <f>_xlfn.XLOOKUP(B99,'Base stats'!B:B,'Base stats'!R:R)</f>
        <v>1</v>
      </c>
      <c r="Q99" s="13">
        <f>MROUND((LOG10(_xlfn.XLOOKUP(B99,'Base stats'!B:B,'Base stats'!AR:AR))*(AO99^0.5)+(_xlfn.XLOOKUP(B99,'Base stats'!B:B,'Base stats'!AR:AR)/1000)^(2/3)+_xlfn.XLOOKUP(B99,'Base stats'!B:B,'Base stats'!BA:BA)/2)+0.5,0.5)</f>
        <v>6</v>
      </c>
      <c r="R99" s="7">
        <f>IF(Q99="No","No",MAX(1,MROUND(_xlfn.XLOOKUP(B99,'Base stats'!B:B,'Base stats'!C:C)^0.165,0.05)))</f>
        <v>1.85</v>
      </c>
      <c r="S99" s="13" t="str">
        <f>IF(_xlfn.XLOOKUP(_xlfn.XLOOKUP(B99,'Base stats'!B:B,'Base stats'!E:E),Groups!A:A,Groups!P:P)=0,"No",MROUND((LOG10(_xlfn.XLOOKUP(B99,'Base stats'!B:B,'Base stats'!AS:AS))*(AO99^0.5)+(_xlfn.XLOOKUP(B99,'Base stats'!B:B,'Base stats'!AS:AS)/1000)^(2/3)+_xlfn.XLOOKUP(B99,'Base stats'!B:B,'Base stats'!BA:BA))+_xlfn.XLOOKUP(B99,'Base stats'!B:B,'Base stats'!AY:AY)+0.5,0.5))</f>
        <v>No</v>
      </c>
      <c r="T99" s="7" t="str">
        <f>IF(S99="No","No",MAX(_xlfn.XLOOKUP(_xlfn.XLOOKUP(B99,'Base stats'!B:B,'Base stats'!E:E),Groups!A:A,Groups!Q:Q),MROUND(_xlfn.XLOOKUP(_xlfn.XLOOKUP(B99,'Base stats'!B:B,'Base stats'!E:E),Groups!A:A,Groups!Q:Q)*_xlfn.XLOOKUP(B99,'Base stats'!B:B,'Base stats'!C:C)^0.165,0.05)))</f>
        <v>No</v>
      </c>
      <c r="U99" s="7" t="str">
        <f>IF(S99="No","No",_xlfn.XLOOKUP(_xlfn.XLOOKUP(B99,'Base stats'!B:B,'Base stats'!E:E),Groups!A:A,Groups!R:R))</f>
        <v>No</v>
      </c>
      <c r="V99" s="7" t="str">
        <f>IF(S99="No","No",_xlfn.XLOOKUP(_xlfn.XLOOKUP(B99,'Base stats'!B:B,'Base stats'!E:E),Groups!A:A,Groups!S:S))</f>
        <v>No</v>
      </c>
      <c r="W99" s="7" t="str">
        <f>IF(S99="No","No",_xlfn.XLOOKUP(_xlfn.XLOOKUP(B99,'Base stats'!B:B,'Base stats'!E:E),Groups!A:A,Groups!T:T))</f>
        <v>No</v>
      </c>
      <c r="X99" s="13" t="str">
        <f>IF(_xlfn.XLOOKUP(B99,'Base stats'!B:B,'Base stats'!W:W)="No","No",MROUND((LOG10(_xlfn.XLOOKUP(B99,'Base stats'!B:B,'Base stats'!AU:AU))*(AO99^0.5)+(_xlfn.XLOOKUP(B99,'Base stats'!B:B,'Base stats'!AU:AU)/1000)^(2/3)+_xlfn.XLOOKUP(B99,'Base stats'!B:B,'Base stats'!AZ:AZ))+0.5+IF(_xlfn.XLOOKUP(_xlfn.XLOOKUP(B99,'Base stats'!B:B,'Base stats'!E:E),Groups!A:A,Groups!U:U)&lt;&gt;3,_xlfn.XLOOKUP(B99,'Base stats'!B:B,'Base stats'!BA:BA),0),0.5))</f>
        <v>No</v>
      </c>
      <c r="Y99" s="7" t="str">
        <f>IF(X99="No","No",MAX(_xlfn.XLOOKUP(_xlfn.XLOOKUP(B99,'Base stats'!B:B,'Base stats'!E:E),Groups!A:A,Groups!V:V),MROUND(_xlfn.XLOOKUP(_xlfn.XLOOKUP(B99,'Base stats'!B:B,'Base stats'!E:E),Groups!A:A,Groups!V:V)*_xlfn.XLOOKUP(B99,'Base stats'!B:B,'Base stats'!C:C)^0.165,0.05)))</f>
        <v>No</v>
      </c>
      <c r="Z99" s="7" t="str">
        <f>IF(X99="No","No",_xlfn.XLOOKUP(_xlfn.XLOOKUP(B99,'Base stats'!B:B,'Base stats'!E:E),Groups!A:A,Groups!W:W))</f>
        <v>No</v>
      </c>
      <c r="AA99" s="7" t="str">
        <f>IF(X99="No","No",_xlfn.XLOOKUP(_xlfn.XLOOKUP(B99,'Base stats'!B:B,'Base stats'!E:E),Groups!A:A,Groups!X:X))</f>
        <v>No</v>
      </c>
      <c r="AB99" s="7" t="str">
        <f>IF(X99="No","No",_xlfn.XLOOKUP(_xlfn.XLOOKUP(B99,'Base stats'!B:B,'Base stats'!E:E),Groups!A:A,Groups!Y:Y))</f>
        <v>No</v>
      </c>
      <c r="AC99" s="7" t="str">
        <f>_xlfn.XLOOKUP(Animals!B99,'Base stats'!B:B,'Base stats'!X:X)</f>
        <v>False</v>
      </c>
      <c r="AD99" s="13">
        <f>IF(_xlfn.XLOOKUP(B99,'Base stats'!B:B,'Base stats'!AT:AT)="No","No",MROUND((LOG10(_xlfn.XLOOKUP(B99,'Base stats'!B:B,'Base stats'!AT:AT))*(AO99^0.75)+(_xlfn.XLOOKUP(B99,'Base stats'!B:B,'Base stats'!AT:AT)/1000)^(2/3)+_xlfn.XLOOKUP(B99,'Base stats'!B:B,'Base stats'!AX:AX)+_xlfn.XLOOKUP(B99,'Base stats'!B:B,'Base stats'!BA:BA))+0.5,0.5))</f>
        <v>12</v>
      </c>
      <c r="AE99" s="7">
        <f>IF(AD99="No","No",MAX(_xlfn.XLOOKUP(_xlfn.XLOOKUP(B99,'Base stats'!B:B,'Base stats'!E:E),Groups!A:A,Groups!Z:Z),MROUND(_xlfn.XLOOKUP(_xlfn.XLOOKUP(B99,'Base stats'!B:B,'Base stats'!E:E),Groups!A:A,Groups!Z:Z)*_xlfn.XLOOKUP(B99,'Base stats'!B:B,'Base stats'!C:C)^0.165,0.05)))</f>
        <v>1.5</v>
      </c>
      <c r="AF99" s="7" t="str">
        <f>IF(AD99="No","No",_xlfn.XLOOKUP(_xlfn.XLOOKUP(B99,'Base stats'!B:B,'Base stats'!E:E),Groups!A:A,Groups!AA:AA))</f>
        <v>Teeth</v>
      </c>
      <c r="AG99" s="7" t="str">
        <f>IF(AD99="No","No",_xlfn.XLOOKUP(_xlfn.XLOOKUP(B99,'Base stats'!B:B,'Base stats'!E:E),Groups!A:A,Groups!AB:AB))</f>
        <v>canines</v>
      </c>
      <c r="AH99" s="7" t="str">
        <f>IF(AD99="No","No",_xlfn.XLOOKUP(_xlfn.XLOOKUP(B99,'Base stats'!B:B,'Base stats'!E:E),Groups!A:A,Groups!AC:AC))</f>
        <v>Bite</v>
      </c>
      <c r="AI99" s="13" t="str">
        <f>IF(_xlfn.XLOOKUP(_xlfn.XLOOKUP(B99,'Base stats'!B:B,'Base stats'!E:E),Groups!A:A,Groups!AD:AD)=0,"No",MROUND((LOG10(_xlfn.XLOOKUP(B99,'Base stats'!B:B,'Base stats'!AS:AS))*(AO99^0.75)+(_xlfn.XLOOKUP(B99,'Base stats'!B:B,'Base stats'!AS:AS)/1000)^(2/3)+_xlfn.XLOOKUP(B99,'Base stats'!B:B,'Base stats'!AY:AY)+_xlfn.XLOOKUP(B99,'Base stats'!B:B,'Base stats'!BA:BA))+0.5,0.5))</f>
        <v>No</v>
      </c>
      <c r="AJ99" s="7" t="str">
        <f>IF(AI99="No","No",MAX(_xlfn.XLOOKUP(_xlfn.XLOOKUP(B99,'Base stats'!B:B,'Base stats'!E:E),Groups!A:A,Groups!AE:AE),MROUND(_xlfn.XLOOKUP(_xlfn.XLOOKUP(B99,'Base stats'!B:B,'Base stats'!E:E),Groups!A:A,Groups!AE:AE)*IF(_xlfn.XLOOKUP(_xlfn.XLOOKUP(B99,'Base stats'!B:B,'Base stats'!E:E),Groups!A:A,Groups!AJ:AJ)="Photonozoa",0.6,1)*_xlfn.XLOOKUP(B99,'Base stats'!B:B,'Base stats'!C:C)^0.165,0.05)))</f>
        <v>No</v>
      </c>
      <c r="AK99" s="7" t="str">
        <f>IF(AI99="No","No",_xlfn.XLOOKUP(_xlfn.XLOOKUP(B99,'Base stats'!B:B,'Base stats'!E:E),Groups!A:A,Groups!AF:AF))</f>
        <v>No</v>
      </c>
      <c r="AL99" s="7" t="str">
        <f>IF(AI99="No","No",_xlfn.XLOOKUP(_xlfn.XLOOKUP(B99,'Base stats'!B:B,'Base stats'!E:E),Groups!A:A,Groups!AG:AG))</f>
        <v>No</v>
      </c>
      <c r="AM99" s="7" t="str">
        <f>IF(AI99="No","No",_xlfn.XLOOKUP(_xlfn.XLOOKUP(B99,'Base stats'!B:B,'Base stats'!E:E),Groups!A:A,Groups!AH:AH))</f>
        <v>No</v>
      </c>
      <c r="AN99" s="2">
        <f t="shared" si="7"/>
        <v>20</v>
      </c>
      <c r="AO99" s="2">
        <f>MROUND(IF(AND(_xlfn.XLOOKUP(B99,'Base stats'!B:B,'Base stats'!C:C)&gt;=0.5,_xlfn.XLOOKUP(B99,'Base stats'!B:B,'Base stats'!C:C)&lt;=0.8),
IF(_xlfn.XLOOKUP(B99,'Base stats'!B:B,'Base stats'!C:C)&lt;0.1,0.05,IF(_xlfn.XLOOKUP(B99,'Base stats'!B:B,'Base stats'!C:C)&lt;=70,(_xlfn.XLOOKUP(B99,'Base stats'!B:B,'Base stats'!C:C)/70)^0.426489913056526,IF(_xlfn.XLOOKUP(B99,'Base stats'!B:B,'Base stats'!C:C)&lt;=400,(_xlfn.XLOOKUP(B99,'Base stats'!B:B,'Base stats'!C:C)/70)^0.572811455315093,IF(_xlfn.XLOOKUP(B99,'Base stats'!B:B,'Base stats'!C:C)&lt;=2000,2.71391647193063*(_xlfn.XLOOKUP(B99,'Base stats'!B:B,'Base stats'!C:C)/400)^0.252459582904293,3.74314280240376*(_xlfn.XLOOKUP(B99,'Base stats'!B:B,'Base stats'!C:C)/2000)^0.357012633876913)))),
IF(_xlfn.XLOOKUP(B99,'Base stats'!B:B,'Base stats'!C:C)&lt;0.1,0.05,IF(_xlfn.XLOOKUP(B99,'Base stats'!B:B,'Base stats'!C:C)&lt;0.4,0.1,IF(_xlfn.XLOOKUP(B99,'Base stats'!B:B,'Base stats'!C:C)&lt;=70,(_xlfn.XLOOKUP(B99,'Base stats'!B:B,'Base stats'!C:C)/70)^0.445823913056526,IF(_xlfn.XLOOKUP(B99,'Base stats'!B:B,'Base stats'!C:C)&lt;=400,(_xlfn.XLOOKUP(B99,'Base stats'!B:B,'Base stats'!C:C)/70)^0.572811455315093,IF(_xlfn.XLOOKUP(B99,'Base stats'!B:B,'Base stats'!C:C)&lt;=2000,2.71391647193063*(_xlfn.XLOOKUP(B99,'Base stats'!B:B,'Base stats'!C:C)/400)^0.252459582904293,3.74314280240376*(_xlfn.XLOOKUP(B99,'Base stats'!B:B,'Base stats'!C:C)/2000)^0.357012633876913)))))),
IF(_xlfn.XLOOKUP(B99,'Base stats'!B:B,'Base stats'!C:C)&lt;0.1,0.05,IF(_xlfn.XLOOKUP(B99,'Base stats'!B:B,'Base stats'!C:C)&lt;=100,0.05,IF(_xlfn.XLOOKUP(B99,'Base stats'!B:B,'Base stats'!C:C)&lt;=250,0.1,IF(_xlfn.XLOOKUP(B99,'Base stats'!B:B,'Base stats'!C:C)&lt;=4000,0.25,0.5)))))</f>
        <v>0.8</v>
      </c>
      <c r="AP99" s="8">
        <f>MROUND(AO99*_xlfn.XLOOKUP(_xlfn.XLOOKUP(B99,'Base stats'!B:B,'Base stats'!E:E),Groups!A:A,Groups!AI:AI)*_xlfn.XLOOKUP(B99,'Base stats'!B:B,'Base stats'!Z:Z),0.05)</f>
        <v>0.95000000000000007</v>
      </c>
      <c r="AQ99" s="8">
        <f>MAX(0.01,MROUND(IF(CC99="True",0.196*(AO99*100*1000)^0.889,IF(_xlfn.XLOOKUP(_xlfn.XLOOKUP(B99,'Base stats'!B:B,'Base stats'!E:E),Groups!A:A,Groups!AJ:AJ)="Bird",10.5*(AO99*100*1000)^0.681,4.82*(AO99*100*1000)^0.734))/(4.82*(1*100*1000)^0.734)/IF(AO99&lt;3.5,2,IF(AO99=3.5,1.5,1.25))*(1+0.132282374779864/(AO99^0.994035016789033+0.00905238001496948)),0.05))</f>
        <v>0.5</v>
      </c>
      <c r="AR99" s="9">
        <f>IFERROR(MROUND(_xlfn.XLOOKUP(B99,'Base stats'!B:B,'Base stats'!H:H)/IF(_xlfn.XLOOKUP(B99,'Base stats'!B:B,'Base stats'!I:I)&lt;&gt;1,(122.5/70),1.2),IF(_xlfn.XLOOKUP(B99,'Base stats'!B:B,'Base stats'!H:H)&gt;=30,5,IF(_xlfn.XLOOKUP(B99,'Base stats'!B:B,'Base stats'!H:H)&gt;=15,3,IF(_xlfn.XLOOKUP(B99,'Base stats'!B:B,'Base stats'!H:H)&gt;=10,2,1)))),"Immortal")</f>
        <v>15</v>
      </c>
      <c r="AS99" s="35">
        <f>IFERROR(IF(OR(_xlfn.XLOOKUP(B99,'Base stats'!B:B,'Base stats'!F:F)="Atypical reproduction",_xlfn.XLOOKUP(B99,'Base stats'!B:B,'Base stats'!F:F)="Lay eggs"),"Lay eggs",MIN(20,MAX(5.5,ROUND(((_xlfn.XLOOKUP(B99,'Base stats'!B:B,'Base stats'!F:F)-25)*(14.5/615) + 5.5)*2,0)/2))),"Unknown")</f>
        <v>6.5</v>
      </c>
      <c r="AT99" s="8">
        <f>IF(_xlfn.XLOOKUP(B99,'Base stats'!B:B,'Base stats'!G:G)="Atypical reproduction","No",IFERROR(MAX(IF(_xlfn.XLOOKUP(B99,'Base stats'!B:B,'Base stats'!G:G)&lt;0.5,0.2,0.3),MROUND(_xlfn.XLOOKUP(B99,'Base stats'!B:B,'Base stats'!G:G)/(365/60),0.2)),"Unknown"))</f>
        <v>0.3</v>
      </c>
      <c r="AU99" s="8">
        <f t="shared" si="8"/>
        <v>0.15000000000000002</v>
      </c>
      <c r="AV99" s="8">
        <f>IFERROR(IFERROR(MROUND(_xlfn.XLOOKUP(B99,'Base stats'!B:B,'Base stats'!J:J),0.1),"Lay eggs"),"Cannot breed")</f>
        <v>6</v>
      </c>
      <c r="AW99" s="2" t="str">
        <f t="shared" si="9"/>
        <v>true</v>
      </c>
      <c r="AX99" s="2" t="str">
        <f>IF(_xlfn.XLOOKUP(_xlfn.XLOOKUP(Animals!B99,'Base stats'!B:B,'Base stats'!E:E),Groups!A:A,Groups!AK:AK)=1,"true","false")</f>
        <v>false</v>
      </c>
      <c r="AY99" s="25" t="str">
        <f>IF(_xlfn.XLOOKUP(B99,'Base stats'!B:B,'Base stats'!Y:Y)="Liquor","Liquor, CarnivoreAnimalStrict",IF(AND(_xlfn.XLOOKUP(B99,'Base stats'!B:B,'Base stats'!Y:Y)="Carnivore",_xlfn.XLOOKUP(_xlfn.XLOOKUP(B99,'Base stats'!B:B,'Base stats'!E:E),Groups!A:A,Groups!AJ:AJ)="Photonozoa"),"CarnivoreAnimalStrict, OvivoreAnimal",IF(_xlfn.XLOOKUP(B99,'Base stats'!B:B,'Base stats'!Y:Y)="Carnivore","CarnivoreAnimal, OvivoreAnimal",IF(_xlfn.XLOOKUP(B99,'Base stats'!B:B,'Base stats'!Y:Y)="Dendrovore","VegetarianRoughAnimal, DendrovoreAnimal",IF(_xlfn.XLOOKUP(B99,'Base stats'!B:B,'Base stats'!Y:Y)="Herbivore","VegetarianRoughAnimal",IF(_xlfn.XLOOKUP(B99,'Base stats'!B:B,'Base stats'!Y:Y)="OmnivoreRough","OmnivoreRoughAnimal, OvivoreAnimal","OmnivoreAnimal, OvivoreAnimal"))))))</f>
        <v>OmnivoreAnimal, OvivoreAnimal</v>
      </c>
      <c r="AZ99" s="2" t="str">
        <f>IF(_xlfn.XLOOKUP(_xlfn.XLOOKUP(B99,'Base stats'!B:B,'Base stats'!E:E),Groups!A:A,Groups!D:D)=1,MROUND((1-J99)*5+1,2)*IF(J99&lt;=0.4,2,1),"No")</f>
        <v>No</v>
      </c>
      <c r="BA99" s="2" t="str">
        <f>IF(AND(_xlfn.XLOOKUP(B99,'Base stats'!B:B,'Base stats'!AH:AH)="&lt;li&gt;Seal&lt;/li&gt;",G99="Odyssey"),"&lt;li&gt;AEXP_Seal&lt;/li&gt;",_xlfn.XLOOKUP(B99,'Base stats'!B:B,'Base stats'!AH:AH))</f>
        <v>&lt;li&gt;YorkshireTerrier&lt;/li&gt;</v>
      </c>
      <c r="BB99" s="2" t="str">
        <f>_xlfn.XLOOKUP(B99,'Base stats'!B:B,'Base stats'!AG:AG)</f>
        <v>Leather_Dog</v>
      </c>
      <c r="BC99" s="23" t="str">
        <f>_xlfn.XLOOKUP(_xlfn.XLOOKUP(B99,'Base stats'!B:B,'Base stats'!E:E),Groups!A:A,Groups!AL:AL)</f>
        <v>QuadrupedAnimalWithPawsAndTail</v>
      </c>
      <c r="BD99" s="23">
        <f>MIN(1,MROUND(IF(AND(AO99&lt;0.5,_xlfn.XLOOKUP(B99,'Base stats'!B:B,'Base stats'!AA:AA)=0),0,IF(OR(_xlfn.XLOOKUP(Animals!B99,'Base stats'!B:B,'Base stats'!O:O)=2,_xlfn.XLOOKUP(_xlfn.XLOOKUP(B99,'Base stats'!B:B,'Base stats'!E:E),Groups!A:A,Groups!AN:AN)=0),0,_xlfn.XLOOKUP(_xlfn.XLOOKUP(B99,'Base stats'!B:B,'Base stats'!E:E),Groups!A:A,Groups!AN:AN)/IF(_xlfn.XLOOKUP(Animals!B99,'Base stats'!B:B,'Base stats'!O:O)=1,2,1)))+_xlfn.XLOOKUP(B99,'Base stats'!B:B,'Base stats'!AC:AC),0.005))</f>
        <v>0.1</v>
      </c>
      <c r="BE99" s="23">
        <f>MIN(1,MROUND(IF(AND(AO99&lt;0.5,_xlfn.XLOOKUP(B99,'Base stats'!B:B,'Base stats'!AA:AA)=0),0,IF(_xlfn.XLOOKUP(_xlfn.XLOOKUP(B99,'Base stats'!B:B,'Base stats'!E:E),Groups!A:A,Groups!AO:AO)=0,0,_xlfn.XLOOKUP(_xlfn.XLOOKUP(B99,'Base stats'!B:B,'Base stats'!E:E),Groups!A:A,Groups!AO:AO)/IF(_xlfn.XLOOKUP(Animals!B99,'Base stats'!B:B,'Base stats'!O:O)=2,3,1)))+_xlfn.XLOOKUP(B99,'Base stats'!B:B,'Base stats'!AD:AD),0.005))</f>
        <v>0.3</v>
      </c>
      <c r="BF99" s="2" t="str">
        <f>IF(J99&gt;0.3,"No",_xlfn.XLOOKUP(_xlfn.XLOOKUP(Animals!B99,'Base stats'!B:B,'Base stats'!E:E),Groups!A:A,Groups!AP:AP))</f>
        <v>No</v>
      </c>
      <c r="BG99" s="2" t="str">
        <f>IF(AND(J99&lt;=0.65,_xlfn.XLOOKUP(_xlfn.XLOOKUP(Animals!B99,'Base stats'!B:B,'Base stats'!E:E),Groups!A:A,Groups!AP:AP)&lt;&gt;"No",_xlfn.XLOOKUP(_xlfn.XLOOKUP(B99,'Base stats'!B:B,'Base stats'!E:E),Groups!A:A,Groups!D:D)=0),MROUND((80/3)*IF(_xlfn.XLOOKUP(B99,'Base stats'!B:B,'Base stats'!O:O)=2,0.2,AO99) + 24*(1-IF(BF99="No",0,BF99)) + 16/3, 12),"No")</f>
        <v>No</v>
      </c>
      <c r="BH99" s="2">
        <f>IF(AND(_xlfn.XLOOKUP(_xlfn.XLOOKUP(B99,'Base stats'!B:B,'Base stats'!E:E),Groups!A:A,Groups!AQ:AQ)=1,AO99&lt;=0.35),8,12)</f>
        <v>12</v>
      </c>
      <c r="BI99" s="2" t="str">
        <f>IF(_xlfn.XLOOKUP(_xlfn.XLOOKUP(B99,'Base stats'!B:B,'Base stats'!E:E),Groups!A:A,Groups!D:D)=0,_xlfn.XLOOKUP(_xlfn.XLOOKUP(B99,'Base stats'!B:B,'Base stats'!E:E),Groups!A:A,Groups!AR:AR),"None")</f>
        <v>Advanced</v>
      </c>
      <c r="BJ99" s="2" t="str">
        <f>IF(AND(_xlfn.XLOOKUP(_xlfn.XLOOKUP(B99,'Base stats'!B:B,'Base stats'!E:E),Groups!A:A,Groups!AS:AS)=1,OR(_xlfn.XLOOKUP(B99,'Base stats'!B:B,'Base stats'!Y:Y)="Carnivore",_xlfn.XLOOKUP(B99,'Base stats'!B:B,'Base stats'!Y:Y)="Omnivore")),"true","false")</f>
        <v>true</v>
      </c>
      <c r="BK99" s="2">
        <f>IF(BJ99="true",MROUND(IF(AND(AO99&gt;0.5,OR(_xlfn.XLOOKUP(_xlfn.XLOOKUP(B99,'Base stats'!B:B,'Base stats'!E:E),Groups!A:A,Groups!AJ:AJ)="Photonozoa",_xlfn.XLOOKUP(_xlfn.XLOOKUP(B99,'Base stats'!B:B,'Base stats'!E:E),Groups!A:A,Groups!AJ:AJ)="Mammal")),Animals!AO99*1.75*IF(AW99="true",1.5,1),IF(AO99&lt;0.5,Animals!AO99*0.5,Animals!AO99)),IF(AO99&gt;2,0.5,IF(AO99&gt;0.5,0.25,0.1))),"No")</f>
        <v>2</v>
      </c>
      <c r="BL99" s="2">
        <f t="shared" si="10"/>
        <v>1</v>
      </c>
      <c r="BM99" s="25" t="str">
        <f>IF(_xlfn.XLOOKUP(B99,'Base stats'!B:B,'Base stats'!AN:AN)="Standard","No",MROUND((_xlfn.XLOOKUP(B99,'Base stats'!B:B,'Base stats'!AN:AN)/3.6)/I99,0.1))</f>
        <v>No</v>
      </c>
      <c r="BN99" s="25" t="str">
        <f t="shared" si="11"/>
        <v>false</v>
      </c>
      <c r="BO99" s="25" t="str">
        <f>IF(AND(OR(_xlfn.XLOOKUP(B99,'Base stats'!B:B,'Base stats'!Y:Y)="Carnivore",_xlfn.XLOOKUP(B99,'Base stats'!B:B,'Base stats'!Y:Y)="Omnivore",_xlfn.XLOOKUP(B99,'Base stats'!B:B,'Base stats'!Y:Y)="OmnivoreRough"),_xlfn.XLOOKUP(_xlfn.XLOOKUP(B99,'Base stats'!B:B,'Base stats'!E:E),Groups!A:A,Groups!AT:AT)=1),"true","false")</f>
        <v>false</v>
      </c>
      <c r="BP99" s="25" t="str" cm="1">
        <f t="array" ref="BP99">IF(
  _xlfn.TEXTJOIN(", ",TRUE,
    IF(AND(BJ99="true",AO99&gt;0.5,BI99&lt;&gt;"None"),"AttackTarget",""),
    IF(AND(_xlfn.XLOOKUP(_xlfn.XLOOKUP(B99,'Base stats'!B:B,'Base stats'!E:E),Groups!A:A,Groups!AJ:AJ="Mammal"),OR(_xlfn.XLOOKUP(B99,'Base stats'!B:B,'Base stats'!Y:Y)="Omnivore",_xlfn.XLOOKUP(B99,'Base stats'!B:B,'Base stats'!Y:Y)="OmnivoreRough")),"Forage",""),
    IF(BG99&lt;=36,"Comfort",""),
    IF(_xlfn.XLOOKUP(B99,'Base stats'!B:B,'Base stats'!AE:AE)&lt;&gt;"No",_xlfn.XLOOKUP(B99,'Base stats'!B:B,'Base stats'!AE:AE),"")
  ) = "",
  "No",
  _xlfn.TEXTJOIN(", ",TRUE,
    IF(AND(BJ99="true",AO99&gt;0.5,BI99&lt;&gt;"None"),"AttackTarget",""),
    IF(AND(_xlfn.XLOOKUP(_xlfn.XLOOKUP(B99,'Base stats'!B:B,'Base stats'!E:E),Groups!A:A,Groups!AJ:AJ="Mammal"),OR(_xlfn.XLOOKUP(B99,'Base stats'!B:B,'Base stats'!Y:Y)="Omnivore",_xlfn.XLOOKUP(B99,'Base stats'!B:B,'Base stats'!Y:Y)="OmnivoreRough")),"Forage",""),
    IF(BG99&lt;=36,"Comfort",""),
    IF(_xlfn.XLOOKUP(B99,'Base stats'!B:B,'Base stats'!AE:AE)&lt;&gt;"No",_xlfn.XLOOKUP(B99,'Base stats'!B:B,'Base stats'!AE:AE),"")
  )
)</f>
        <v>AttackTarget, Forage</v>
      </c>
      <c r="BQ99" s="25" t="str">
        <f>IF(
   AND(
      'Base stats'!AN99="Standard",_xlfn.XLOOKUP(_xlfn.XLOOKUP(B99,'Base stats'!B:B,'Base stats'!E:E),Groups!A:A,Groups!AU:AU)=0,
      OR(
      BO99="True"
      )
   ),
   10,
   IF(
       OR(BM99&lt;&gt;"No",_xlfn.XLOOKUP(_xlfn.XLOOKUP(B99,'Base stats'!B:B,'Base stats'!E:E),Groups!A:A,Groups!AU:AU)=1),
      1,
      "No"
   )
)</f>
        <v>No</v>
      </c>
      <c r="BR99" s="9">
        <f>MROUND((1 + ((0.2*IF(OR(Q99="No",R99="No",R99=0),0,Q99/R99)
+IF(OR(V99="No",S99="No",T99="No"),0,S99/T99*(LEN(V99)-LEN(SUBSTITUTE(V99,",",""))+1))
+IF(OR(X99="No",Y99="No"),0,X99/Y99)
+IF(OR(AD99="No",AE99="No"),0,AD99/AE99)
+IF(OR(AL99="No",AI99="No",AJ99="No"),0,AI99/AJ99*(LEN(AL99)-LEN(SUBSTITUTE(AL99,",",""))+1))
)/(0.2*IF(OR(Q99="No",R99="No",R99=0),0,1)
+IF(OR(V99="No",S99="No",T99="No"),0,LEN(V99)-LEN(SUBSTITUTE(V99,",",""))+1)
+IF(OR(X99="No",Y99="No"),0,1)
+IF(OR(AD99="No",AE99="No"),0,1)
+IF(OR(AL99="No",AI99="No",AJ99="No"),0,LEN(AL99)-LEN(SUBSTITUTE(AL99,",",""))+1))*62%)* 2)*(1 + (AP99 / (IF(_xlfn.XLOOKUP(_xlfn.XLOOKUP(B99,'Base stats'!B:B,'Base stats'!E:E),Groups!A:A,Groups!AJ:AJ)="Photonozoa",0.3,1)) + _xlfn.XLOOKUP(B99,'Base stats'!B:B,'Base stats'!AV:AV) * 1.8) * 2) * 2.5 + 10 + I99 * 2,5)+IF(_xlfn.XLOOKUP(B99,'Base stats'!B:B,'Base stats'!AK:AK)=1,50,0)</f>
        <v>95</v>
      </c>
      <c r="BS99" s="8">
        <f t="shared" si="12"/>
        <v>0.55000000000000004</v>
      </c>
      <c r="BT99" s="8" t="str">
        <f>_xlfn.XLOOKUP(B99,'Base stats'!B:B,'Base stats'!AF:AF)</f>
        <v>3~8</v>
      </c>
      <c r="BU99" s="2" t="str">
        <f>IF(AND(J99&lt;=0.95,OR(_xlfn.XLOOKUP(B99,'Base stats'!B:B,'Base stats'!AK:AK)=1,_xlfn.XLOOKUP(B99,'Base stats'!B:B,'Base stats'!Y:Y)="Carnivore",_xlfn.XLOOKUP(B99,'Base stats'!B:B,'Base stats'!Y:Y)="Omnivore",BE99&gt;0.1)),"true","false")</f>
        <v>true</v>
      </c>
      <c r="BV99" s="2" t="str">
        <f>IF(_xlfn.XLOOKUP(B99,'Base stats'!B:B,'Base stats'!AI:AI)=1,"true","false")</f>
        <v>false</v>
      </c>
      <c r="BW99" s="25" t="str">
        <f>IF(E99="BaseInsect","AnimalInsect",
IF(J99&gt;0.95,"AnimalExotic",
_xlfn.TEXTJOIN(", ",TRUE,
IF(OR(_xlfn.XLOOKUP(B99,'Base stats'!B:B,'Base stats'!AM:AM)=1,AND(_xlfn.XLOOKUP(B99,'Base stats'!B:B,'Base stats'!O:O)=0,_xlfn.XLOOKUP(_xlfn.XLOOKUP(B99,'Base stats'!B:B,'Base stats'!E:E),Groups!A:A,Groups!B:B)&gt;0)),"AnimalUncommon","AnimalCommon"),
IF(AND(_xlfn.XLOOKUP(B99,'Base stats'!B:B,'Base stats'!O:O)=2,_xlfn.XLOOKUP(_xlfn.XLOOKUP(B99,'Base stats'!B:B,'Base stats'!E:E),Groups!A:A,Groups!D:D)=0),"AnimalPet",IF(AND(_xlfn.XLOOKUP(B99,'Base stats'!B:B,'Base stats'!O:O)&lt;&gt;0,_xlfn.XLOOKUP(_xlfn.XLOOKUP(B99,'Base stats'!B:B,'Base stats'!E:E),Groups!A:A,Groups!D:D)&lt;&gt;0),"AnimalFarm","")),
IF(OR(_xlfn.XLOOKUP(B99,'Base stats'!B:B,'Base stats'!AK:AK)=1,AND(BI99&lt;&gt;"None",BR99&gt;=60),ISNUMBER(SEARCH("Attack target",BP99))),"AnimalFighter","")
)))</f>
        <v>AnimalCommon, AnimalFighter</v>
      </c>
      <c r="BX99" s="25" t="str">
        <f>IF(G99="None",TRIM(
SUBSTITUTE(
IF(COUNTIF(Biomes!B$2:B$259,"="&amp;$C99)&gt;0,Biomes!B$1&amp;", ","")&amp;
IF(COUNTIF(Biomes!C$2:C$259,"="&amp;$C99)&gt;0,Biomes!C$1&amp;", ","")&amp;
IF(COUNTIF(Biomes!D$2:D$259,"="&amp;$C99)&gt;0,Biomes!D$1&amp;", ","")&amp;
IF(COUNTIF(Biomes!F$2:F$259,"="&amp;$C99)&gt;0,Biomes!F$1&amp;", ","")&amp;
IF(COUNTIF(Biomes!G$2:G$259,"="&amp;$C99)&gt;0,Biomes!G$1&amp;", ","")&amp;
IF(COUNTIF(Biomes!H$2:H$259,"="&amp;$C99)&gt;0,Biomes!H$1&amp;", ","")&amp;
IF(COUNTIF(Biomes!I$2:I$259,"="&amp;$C99)&gt;0,Biomes!I$1&amp;", ","")&amp;
IF(COUNTIF(Biomes!J$2:J$259,"="&amp;$C99)&gt;0,Biomes!J$1&amp;", ","")&amp;
IF(COUNTIF(Biomes!M$2:M$259,"="&amp;$C99)&gt;0,Biomes!M$1&amp;", ","")&amp;
IF(COUNTIF(Biomes!N$2:N$259,"="&amp;$C99)&gt;0,Biomes!N$1&amp;", ","")&amp;
IF(COUNTIF(Biomes!O$2:O$259,"="&amp;$C99)&gt;0,Biomes!O$1&amp;", ","")&amp;
IF(COUNTIF(Biomes!P$2:P$259,"="&amp;$C99)&gt;0,Biomes!P$1&amp;", ","")&amp;
IF(COUNTIF(Biomes!K$2:K$259,"="&amp;$C99)&gt;0,Biomes!K$1&amp;", ","")&amp;
IF(COUNTIF(Biomes!Q$3:Q$259,"="&amp;$C99)&gt;0,Biomes!Q$1&amp;", ","")&amp;
IF(COUNTIF(Biomes!L$2:L$259,"="&amp;$C99)&gt;0,Biomes!L$1&amp;", ","")&amp;
IF(COUNTIF(Biomes!E$2:E$259,"="&amp;$C99)&gt;0,Biomes!E$1&amp;", ","")&amp;IF(COUNTIF(Biomes!S$2:S$259,"="&amp;$C99)&gt;0,Biomes!S$1&amp;", ","")&amp;
IF(COUNTIF(Biomes!R$2:R$259,"="&amp;$C99)&gt;0,Biomes!R$1&amp;", ",""),", ","")
),_xlfn.XLOOKUP(B99,B:B,BX:BX))</f>
        <v>Scarlands</v>
      </c>
      <c r="BY99" s="25" t="str">
        <f>IF(_xlfn.XLOOKUP(B99,'Base stats'!B:B,'Base stats'!AJ:AJ)=1,"true","false")</f>
        <v>false</v>
      </c>
      <c r="BZ99" s="25">
        <f>IF(_xlfn.XLOOKUP(B99,'Base stats'!B:B,'Base stats'!N:N)=1,"No",MAX(0.001,MIN(MROUND(IF(AND(BJ99="True",CC99="False"),POWER(10,3.47*LOG10(_xlfn.XLOOKUP(B99,'Base stats'!B:B,'Base stats'!C:C)*1000)^-0.96),POWER(10,4.15*LOG10(_xlfn.XLOOKUP(B99,'Base stats'!B:B,'Base stats'!C:C)*1000)^-0.73))*IF(_xlfn.XLOOKUP(B99,'Base stats'!B:B,'Base stats'!AK:AK)=1,0.5,1)*IF(_xlfn.XLOOKUP(B99,'Base stats'!B:B,'Base stats'!AM:AM)=1,0.1,1)/100,IF(_xlfn.XLOOKUP(B99,'Base stats'!B:B,'Base stats'!AM:AM)=1,0.001,0.025)),0.5)))</f>
        <v>0.05</v>
      </c>
      <c r="CA99" s="25">
        <f>IF(P99="Standard","No",MAX(0.001,MIN(MROUND(IF(AND(BJ99="True",CC99="False"),POWER(10,3.47*LOG10(_xlfn.XLOOKUP(B99,'Base stats'!B:B,'Base stats'!C:C)*1000)^-0.96),POWER(10,4.15*LOG10(_xlfn.XLOOKUP(B99,'Base stats'!B:B,'Base stats'!C:C)*1000)^-0.73))*IF(_xlfn.XLOOKUP(B99,'Base stats'!B:B,'Base stats'!AM:AM)=1,0.1,1)*_xlfn.XLOOKUP(B99,'Base stats'!B:B,'Base stats'!R:R)/100,IF(_xlfn.XLOOKUP(B99,'Base stats'!B:B,'Base stats'!AM:AM)=1,0.001,0.025)),0.5)))</f>
        <v>0.05</v>
      </c>
      <c r="CB99" s="25" t="str">
        <f>IF(_xlfn.XLOOKUP(_xlfn.XLOOKUP(B99,'Base stats'!B:B,'Base stats'!E:E),Groups!A:A,Groups!AJ:AJ)="Mammal","True","False")</f>
        <v>True</v>
      </c>
      <c r="CC99" s="25" t="str">
        <f>IF(OR(_xlfn.XLOOKUP(_xlfn.XLOOKUP(B99,'Base stats'!B:B,'Base stats'!E:E),Groups!A:A,Groups!AJ:AJ)="Reptile",_xlfn.XLOOKUP(_xlfn.XLOOKUP(B99,'Base stats'!B:B,'Base stats'!E:E),Groups!A:A,Groups!AJ:AJ)="Amphibian",_xlfn.XLOOKUP(_xlfn.XLOOKUP(B99,'Base stats'!B:B,'Base stats'!E:E),Groups!A:A,Groups!AJ:AJ)="Invertebrate"),"True","False")</f>
        <v>False</v>
      </c>
      <c r="CD99" s="25" t="str">
        <f t="shared" si="13"/>
        <v>False</v>
      </c>
      <c r="CE99" s="25" t="str">
        <f>IF(_xlfn.XLOOKUP(_xlfn.XLOOKUP(B99,'Base stats'!B:B,'Base stats'!E:E),Groups!A:A,Groups!AX:AX),"True","False")</f>
        <v>False</v>
      </c>
      <c r="CF99" s="25" t="str">
        <f>IF(_xlfn.XLOOKUP(_xlfn.XLOOKUP(B99,'Base stats'!B:B,'Base stats'!E:E),Groups!A:A,Groups!AY:AY),"True","False")</f>
        <v>False</v>
      </c>
      <c r="CG99" s="25" t="str">
        <f>IF(_xlfn.XLOOKUP(_xlfn.XLOOKUP(B99,'Base stats'!B:B,'Base stats'!E:E),Groups!A:A,Groups!AW:AW),"True","False")</f>
        <v>False</v>
      </c>
      <c r="CH99" s="25" t="str">
        <f>IF(
OR(
_xlfn.XLOOKUP(_xlfn.XLOOKUP(B99,'Base stats'!B:B,'Base stats'!E:E),Groups!A:A,Groups!AZ:AZ)=0,
AND(
_xlfn.XLOOKUP(B99,'Base stats'!B:B,'Base stats'!Y:Y)&lt;&gt;"Carnivore",
_xlfn.XLOOKUP(B99,'Base stats'!B:B,'Base stats'!Y:Y)&lt;&gt;"Omnivore",
_xlfn.XLOOKUP(B99,'Base stats'!B:B,'Base stats'!Y:Y)&lt;&gt;"OmnivoreRough"
)
),
"No",
IF(
_xlfn.XLOOKUP(_xlfn.XLOOKUP(B99,'Base stats'!B:B,'Base stats'!E:E),Groups!A:A,Groups!AZ:AZ)=1,
"Flesh",
IF(
_xlfn.XLOOKUP(_xlfn.XLOOKUP(B99,'Base stats'!B:B,'Base stats'!E:E),Groups!A:A,Groups!AZ:AZ)=2,
"Bone",
""
)
)
)</f>
        <v>No</v>
      </c>
      <c r="CI99" s="25" t="str">
        <f>IF(_xlfn.XLOOKUP(_xlfn.XLOOKUP(B99,'Base stats'!B:B,'Base stats'!E:E),Groups!A:A,Groups!BB:BB),"True","False")</f>
        <v>True</v>
      </c>
      <c r="CJ99" s="25" t="str">
        <f>IF(_xlfn.XLOOKUP(_xlfn.XLOOKUP(B99,'Base stats'!B:B,'Base stats'!E:E),Groups!A:A,Groups!BA:BA),"True","False")</f>
        <v>False</v>
      </c>
    </row>
    <row r="100" spans="1:88" ht="16.5" thickTop="1" thickBot="1" x14ac:dyDescent="0.3">
      <c r="A100" s="26" t="str">
        <f>_xlfn.XLOOKUP(B100,'Base stats'!B:B,'Base stats'!A:A)</f>
        <v>Wolf_Great</v>
      </c>
      <c r="B100" s="6" t="s">
        <v>279</v>
      </c>
      <c r="C100" s="28" t="s">
        <v>780</v>
      </c>
      <c r="D100" s="28" t="s">
        <v>870</v>
      </c>
      <c r="E100" s="28" t="s">
        <v>732</v>
      </c>
      <c r="F100" s="28" t="s">
        <v>733</v>
      </c>
      <c r="G100" s="28" t="s">
        <v>673</v>
      </c>
      <c r="H100" s="2">
        <f>MROUND((
  (IF(AND(_xlfn.XLOOKUP(B100,'Base stats'!B:B,'Base stats'!AL:AL)=0,BI100="None",_xlfn.XLOOKUP(_xlfn.XLOOKUP(B100,'Base stats'!B:B,'Base stats'!E:E),Groups!A:A,Groups!B:B)=0), (18 + BR100 * 2.7) * 0.5,
    IF(AND(_xlfn.XLOOKUP(B100,'Base stats'!B:B,'Base stats'!AL:AL)=0,OR(AO100&lt;0.55,AND(BI100="Intermediate",_xlfn.XLOOKUP(_xlfn.XLOOKUP(B100,'Base stats'!B:B,'Base stats'!E:E),Groups!A:A,Groups!B:B)&lt;2))), (18 + BR100 * 2.7),
      IF(OR(BI100="Advanced",_xlfn.XLOOKUP(B100,'Base stats'!B:B,'Base stats'!AL:AL)=1,_xlfn.XLOOKUP(_xlfn.XLOOKUP(B100,'Base stats'!B:B,'Base stats'!E:E),Groups!A:A,Groups!B:B)=2), (18 + BR100 * 2.7) + 250, (18 + BR100 * 2.7))
    )
  ))
  + AO100 * 80
  + IF(COUNTIF(EggMilk!K$2:K$998, A100) &gt; 0, 125, 0)
  + IF(COUNTIF(EggMilk!P$2:P$998, A100) &gt; 0, 90, 0)
  + IF(COUNTIF(EggMilk!A$2:A$998, A100) &gt; 0, 90, 0)
)
* (0.8 + 0.4 * J100)
* 0.75,25)</f>
        <v>550</v>
      </c>
      <c r="I100" s="2">
        <f>MROUND(ROUNDDOWN(_xlfn.XLOOKUP(B100,'Base stats'!B:B,'Base stats'!L:L)/3.6/(23.3/11),1),0.5)</f>
        <v>7</v>
      </c>
      <c r="J100" s="2">
        <f>IF(OR(_xlfn.XLOOKUP(B100,'Base stats'!B:B,'Base stats'!AB:AB)=1,_xlfn.XLOOKUP(_xlfn.XLOOKUP(B100,'Base stats'!B:B,'Base stats'!E:E),Groups!A:A,Groups!C:C)="Untamable"),1,IF(_xlfn.XLOOKUP(B100,'Base stats'!B:B,'Base stats'!AL:AL)=1,0.99,MIN(MROUND((1-0.6282*EXP(-0.459*AO100))*_xlfn.XLOOKUP(_xlfn.XLOOKUP(B100,'Base stats'!B:B,'Base stats'!E:E),Groups!A:A,Groups!C:C)*IF(_xlfn.XLOOKUP(B100,'Base stats'!B:B,'Base stats'!O:O)=1,0.5,IF(_xlfn.XLOOKUP(B100,'Base stats'!B:B,'Base stats'!O:O)=2,0,1)),0.05),IF(AO100&gt;3.5,0.985,0.95))))</f>
        <v>0.75</v>
      </c>
      <c r="K100" s="2">
        <f>ROUNDUP(AO100*_xlfn.XLOOKUP(_xlfn.XLOOKUP(B100,'Base stats'!B:B,'Base stats'!E:E),Groups!A:A,Groups!E:E),0)</f>
        <v>1</v>
      </c>
      <c r="L100" s="2">
        <f>IF(OR(_xlfn.XLOOKUP(_xlfn.XLOOKUP(B100,'Base stats'!B:B,'Base stats'!E:E),Groups!A:A,Groups!F:F)=2,ISNUMBER(SEARCH("SeaIce",BX100)),ISNUMBER(SEARCH("IceSheet",BX100))),-50,IF(OR(ISNUMBER(SEARCH("GlacialPlain",BX100)),ISNUMBER(SEARCH("Tundra",BX100))),-40,IF(OR(ISNUMBER(SEARCH("Alpine",BX100)),ISNUMBER(SEARCH("BorealForest",BX100)),ISNUMBER(SEARCH("ColdBog",BX100))),-30,IF(OR(ISNUMBER(SEARCH("TemperateForest",BX100)),ISNUMBER(SEARCH("TemperateSwamp",BX100))),-20,IF(_xlfn.XLOOKUP(_xlfn.XLOOKUP(B100,'Base stats'!B:B,'Base stats'!E:E),Groups!A:A,Groups!F:F)=1,-15,IF(OR(ISNUMBER(SEARCH("Desert",BX100)),ISNUMBER(SEARCH("ExtremeDesert",BX100))),-10,IF(OR(ISNUMBER(SEARCH("Grasslands",BX100)),ISNUMBER(SEARCH("TropicalRainforest",BX100)),ISNUMBER(SEARCH("TropicalSwamp",BX100))),10,0)))))))-IF(CC100="False",MIN(IFERROR(MAX(MROUND(LOG10(_xlfn.XLOOKUP(B100,'Base stats'!B:B,'Base stats'!C:C)^(2/3))*10,5),5),5),30))-_xlfn.XLOOKUP(B100,'Base stats'!B:B,'Base stats'!P:P)+IF(CC100="True",5,0)</f>
        <v>-50</v>
      </c>
      <c r="M100" s="2">
        <f>IF(OR(_xlfn.XLOOKUP(_xlfn.XLOOKUP(B100,'Base stats'!B:B,'Base stats'!E:E),Groups!A:A,Groups!G:G)=2,ISNUMBER(SEARCH("Desert",BX100)),ISNUMBER(SEARCH("ExtremeDesert",BX100)),ISNUMBER(SEARCH("LavaField",BX100))),50,IF(ISNUMBER(SEARCH("Grasslands",BX100)),45,IF(OR(_xlfn.XLOOKUP(_xlfn.XLOOKUP(B100,'Base stats'!B:B,'Base stats'!E:E),Groups!A:A,Groups!G:G)=1,ISNUMBER(SEARCH("TropicalRainforest",BX100)),ISNUMBER(SEARCH("TropicalSwamp",BX100))),40,IF(OR(ISNUMBER(SEARCH("TemperateForest",BX100)),ISNUMBER(SEARCH("TemperateSwamp",BX100))),35,IF(OR(ISNUMBER(SEARCH("Alpine",BX100)),ISNUMBER(SEARCH("BorealForest",BX100)),ISNUMBER(SEARCH("ColdBog",BX100))),30,IF(ISNUMBER(OR(ISNUMBER(SEARCH("GlacialPlain",BX100)),SEARCH("Tundra",BX100))),25,IF(OR(ISNUMBER(SEARCH("SeaIce",BX100)),ISNUMBER(SEARCH("IceSheet",BX100)),ISNUMBER(SEARCH("TropicalSwamp",BX100))),10,35)))))))+_xlfn.XLOOKUP(B100,'Base stats'!B:B,'Base stats'!Q:Q)</f>
        <v>35</v>
      </c>
      <c r="N100" s="8" t="str">
        <f>IF(
_xlfn.XLOOKUP(
_xlfn.XLOOKUP(B100,'Base stats'!B:B,'Base stats'!E:E),
Groups!A:A,
Groups!L:L
)=1,
MIN(
MROUND(
IF(
_xlfn.XLOOKUP(B100,'Animals CE'!B:B,'Animals CE'!Z:Z)&lt;=1.5,
_xlfn.XLOOKUP(B100,'Animals CE'!B:B,'Animals CE'!Z:Z)/2+0.05,
0.8+
(_xlfn.XLOOKUP(B100,'Animals CE'!B:B,'Animals CE'!Z:Z)-1.5)
*0.02
),
0.05
),
200%
),
"No"
)</f>
        <v>No</v>
      </c>
      <c r="O100" s="8" t="str">
        <f>IF(
_xlfn.XLOOKUP(
_xlfn.XLOOKUP(B100,'Base stats'!B:B,'Base stats'!E:E),
Groups!A:A,
Groups!L:L
)=1,
MIN(
MROUND(
IF(
_xlfn.XLOOKUP(B100,'Animals CE'!B:B,'Animals CE'!AA:AA)&lt;=1.5,
_xlfn.XLOOKUP(B100,'Animals CE'!B:B,'Animals CE'!AA:AA)/2+0.05,
0.8+
(_xlfn.XLOOKUP(B100,'Animals CE'!B:B,'Animals CE'!AA:AA)-1.5)
*0.02
),
0.05
),
200%
),
"No"
)</f>
        <v>No</v>
      </c>
      <c r="P100" s="2" t="str">
        <f>_xlfn.XLOOKUP(B100,'Base stats'!B:B,'Base stats'!R:R)</f>
        <v>Standard</v>
      </c>
      <c r="Q100" s="13">
        <f>MROUND((LOG10(_xlfn.XLOOKUP(B100,'Base stats'!B:B,'Base stats'!AR:AR))*(AO100^0.5)+(_xlfn.XLOOKUP(B100,'Base stats'!B:B,'Base stats'!AR:AR)/1000)^(2/3)+_xlfn.XLOOKUP(B100,'Base stats'!B:B,'Base stats'!BA:BA)/2)+0.5,0.5)</f>
        <v>7</v>
      </c>
      <c r="R100" s="7">
        <f>IF(Q100="No","No",MAX(1,MROUND(_xlfn.XLOOKUP(B100,'Base stats'!B:B,'Base stats'!C:C)^0.165,0.05)))</f>
        <v>2</v>
      </c>
      <c r="S100" s="13" t="str">
        <f>IF(_xlfn.XLOOKUP(_xlfn.XLOOKUP(B100,'Base stats'!B:B,'Base stats'!E:E),Groups!A:A,Groups!P:P)=0,"No",MROUND((LOG10(_xlfn.XLOOKUP(B100,'Base stats'!B:B,'Base stats'!AS:AS))*(AO100^0.5)+(_xlfn.XLOOKUP(B100,'Base stats'!B:B,'Base stats'!AS:AS)/1000)^(2/3)+_xlfn.XLOOKUP(B100,'Base stats'!B:B,'Base stats'!BA:BA))+_xlfn.XLOOKUP(B100,'Base stats'!B:B,'Base stats'!AY:AY)+0.5,0.5))</f>
        <v>No</v>
      </c>
      <c r="T100" s="7" t="str">
        <f>IF(S100="No","No",MAX(_xlfn.XLOOKUP(_xlfn.XLOOKUP(B100,'Base stats'!B:B,'Base stats'!E:E),Groups!A:A,Groups!Q:Q),MROUND(_xlfn.XLOOKUP(_xlfn.XLOOKUP(B100,'Base stats'!B:B,'Base stats'!E:E),Groups!A:A,Groups!Q:Q)*_xlfn.XLOOKUP(B100,'Base stats'!B:B,'Base stats'!C:C)^0.165,0.05)))</f>
        <v>No</v>
      </c>
      <c r="U100" s="7" t="str">
        <f>IF(S100="No","No",_xlfn.XLOOKUP(_xlfn.XLOOKUP(B100,'Base stats'!B:B,'Base stats'!E:E),Groups!A:A,Groups!R:R))</f>
        <v>No</v>
      </c>
      <c r="V100" s="7" t="str">
        <f>IF(S100="No","No",_xlfn.XLOOKUP(_xlfn.XLOOKUP(B100,'Base stats'!B:B,'Base stats'!E:E),Groups!A:A,Groups!S:S))</f>
        <v>No</v>
      </c>
      <c r="W100" s="7" t="str">
        <f>IF(S100="No","No",_xlfn.XLOOKUP(_xlfn.XLOOKUP(B100,'Base stats'!B:B,'Base stats'!E:E),Groups!A:A,Groups!T:T))</f>
        <v>No</v>
      </c>
      <c r="X100" s="13" t="str">
        <f>IF(_xlfn.XLOOKUP(B100,'Base stats'!B:B,'Base stats'!W:W)="No","No",MROUND((LOG10(_xlfn.XLOOKUP(B100,'Base stats'!B:B,'Base stats'!AU:AU))*(AO100^0.5)+(_xlfn.XLOOKUP(B100,'Base stats'!B:B,'Base stats'!AU:AU)/1000)^(2/3)+_xlfn.XLOOKUP(B100,'Base stats'!B:B,'Base stats'!AZ:AZ))+0.5+IF(_xlfn.XLOOKUP(_xlfn.XLOOKUP(B100,'Base stats'!B:B,'Base stats'!E:E),Groups!A:A,Groups!U:U)&lt;&gt;3,_xlfn.XLOOKUP(B100,'Base stats'!B:B,'Base stats'!BA:BA),0),0.5))</f>
        <v>No</v>
      </c>
      <c r="Y100" s="7" t="str">
        <f>IF(X100="No","No",MAX(_xlfn.XLOOKUP(_xlfn.XLOOKUP(B100,'Base stats'!B:B,'Base stats'!E:E),Groups!A:A,Groups!V:V),MROUND(_xlfn.XLOOKUP(_xlfn.XLOOKUP(B100,'Base stats'!B:B,'Base stats'!E:E),Groups!A:A,Groups!V:V)*_xlfn.XLOOKUP(B100,'Base stats'!B:B,'Base stats'!C:C)^0.165,0.05)))</f>
        <v>No</v>
      </c>
      <c r="Z100" s="7" t="str">
        <f>IF(X100="No","No",_xlfn.XLOOKUP(_xlfn.XLOOKUP(B100,'Base stats'!B:B,'Base stats'!E:E),Groups!A:A,Groups!W:W))</f>
        <v>No</v>
      </c>
      <c r="AA100" s="7" t="str">
        <f>IF(X100="No","No",_xlfn.XLOOKUP(_xlfn.XLOOKUP(B100,'Base stats'!B:B,'Base stats'!E:E),Groups!A:A,Groups!X:X))</f>
        <v>No</v>
      </c>
      <c r="AB100" s="7" t="str">
        <f>IF(X100="No","No",_xlfn.XLOOKUP(_xlfn.XLOOKUP(B100,'Base stats'!B:B,'Base stats'!E:E),Groups!A:A,Groups!Y:Y))</f>
        <v>No</v>
      </c>
      <c r="AC100" s="7" t="str">
        <f>_xlfn.XLOOKUP(Animals!B100,'Base stats'!B:B,'Base stats'!X:X)</f>
        <v>False</v>
      </c>
      <c r="AD100" s="13">
        <f>IF(_xlfn.XLOOKUP(B100,'Base stats'!B:B,'Base stats'!AT:AT)="No","No",MROUND((LOG10(_xlfn.XLOOKUP(B100,'Base stats'!B:B,'Base stats'!AT:AT))*(AO100^0.75)+(_xlfn.XLOOKUP(B100,'Base stats'!B:B,'Base stats'!AT:AT)/1000)^(2/3)+_xlfn.XLOOKUP(B100,'Base stats'!B:B,'Base stats'!AX:AX)+_xlfn.XLOOKUP(B100,'Base stats'!B:B,'Base stats'!BA:BA))+0.5,0.5))</f>
        <v>14</v>
      </c>
      <c r="AE100" s="7">
        <f>IF(AD100="No","No",MAX(_xlfn.XLOOKUP(_xlfn.XLOOKUP(B100,'Base stats'!B:B,'Base stats'!E:E),Groups!A:A,Groups!Z:Z),MROUND(_xlfn.XLOOKUP(_xlfn.XLOOKUP(B100,'Base stats'!B:B,'Base stats'!E:E),Groups!A:A,Groups!Z:Z)*_xlfn.XLOOKUP(B100,'Base stats'!B:B,'Base stats'!C:C)^0.165,0.05)))</f>
        <v>1.6</v>
      </c>
      <c r="AF100" s="7" t="str">
        <f>IF(AD100="No","No",_xlfn.XLOOKUP(_xlfn.XLOOKUP(B100,'Base stats'!B:B,'Base stats'!E:E),Groups!A:A,Groups!AA:AA))</f>
        <v>Teeth</v>
      </c>
      <c r="AG100" s="7" t="str">
        <f>IF(AD100="No","No",_xlfn.XLOOKUP(_xlfn.XLOOKUP(B100,'Base stats'!B:B,'Base stats'!E:E),Groups!A:A,Groups!AB:AB))</f>
        <v>canines</v>
      </c>
      <c r="AH100" s="7" t="str">
        <f>IF(AD100="No","No",_xlfn.XLOOKUP(_xlfn.XLOOKUP(B100,'Base stats'!B:B,'Base stats'!E:E),Groups!A:A,Groups!AC:AC))</f>
        <v>Bite</v>
      </c>
      <c r="AI100" s="13" t="str">
        <f>IF(_xlfn.XLOOKUP(_xlfn.XLOOKUP(B100,'Base stats'!B:B,'Base stats'!E:E),Groups!A:A,Groups!AD:AD)=0,"No",MROUND((LOG10(_xlfn.XLOOKUP(B100,'Base stats'!B:B,'Base stats'!AS:AS))*(AO100^0.75)+(_xlfn.XLOOKUP(B100,'Base stats'!B:B,'Base stats'!AS:AS)/1000)^(2/3)+_xlfn.XLOOKUP(B100,'Base stats'!B:B,'Base stats'!AY:AY)+_xlfn.XLOOKUP(B100,'Base stats'!B:B,'Base stats'!BA:BA))+0.5,0.5))</f>
        <v>No</v>
      </c>
      <c r="AJ100" s="7" t="str">
        <f>IF(AI100="No","No",MAX(_xlfn.XLOOKUP(_xlfn.XLOOKUP(B100,'Base stats'!B:B,'Base stats'!E:E),Groups!A:A,Groups!AE:AE),MROUND(_xlfn.XLOOKUP(_xlfn.XLOOKUP(B100,'Base stats'!B:B,'Base stats'!E:E),Groups!A:A,Groups!AE:AE)*IF(_xlfn.XLOOKUP(_xlfn.XLOOKUP(B100,'Base stats'!B:B,'Base stats'!E:E),Groups!A:A,Groups!AJ:AJ)="Photonozoa",0.6,1)*_xlfn.XLOOKUP(B100,'Base stats'!B:B,'Base stats'!C:C)^0.165,0.05)))</f>
        <v>No</v>
      </c>
      <c r="AK100" s="7" t="str">
        <f>IF(AI100="No","No",_xlfn.XLOOKUP(_xlfn.XLOOKUP(B100,'Base stats'!B:B,'Base stats'!E:E),Groups!A:A,Groups!AF:AF))</f>
        <v>No</v>
      </c>
      <c r="AL100" s="7" t="str">
        <f>IF(AI100="No","No",_xlfn.XLOOKUP(_xlfn.XLOOKUP(B100,'Base stats'!B:B,'Base stats'!E:E),Groups!A:A,Groups!AG:AG))</f>
        <v>No</v>
      </c>
      <c r="AM100" s="7" t="str">
        <f>IF(AI100="No","No",_xlfn.XLOOKUP(_xlfn.XLOOKUP(B100,'Base stats'!B:B,'Base stats'!E:E),Groups!A:A,Groups!AH:AH))</f>
        <v>No</v>
      </c>
      <c r="AN100" s="2">
        <f t="shared" si="7"/>
        <v>20</v>
      </c>
      <c r="AO100" s="2">
        <f>MROUND(IF(AND(_xlfn.XLOOKUP(B100,'Base stats'!B:B,'Base stats'!C:C)&gt;=0.5,_xlfn.XLOOKUP(B100,'Base stats'!B:B,'Base stats'!C:C)&lt;=0.8),
IF(_xlfn.XLOOKUP(B100,'Base stats'!B:B,'Base stats'!C:C)&lt;0.1,0.05,IF(_xlfn.XLOOKUP(B100,'Base stats'!B:B,'Base stats'!C:C)&lt;=70,(_xlfn.XLOOKUP(B100,'Base stats'!B:B,'Base stats'!C:C)/70)^0.426489913056526,IF(_xlfn.XLOOKUP(B100,'Base stats'!B:B,'Base stats'!C:C)&lt;=400,(_xlfn.XLOOKUP(B100,'Base stats'!B:B,'Base stats'!C:C)/70)^0.572811455315093,IF(_xlfn.XLOOKUP(B100,'Base stats'!B:B,'Base stats'!C:C)&lt;=2000,2.71391647193063*(_xlfn.XLOOKUP(B100,'Base stats'!B:B,'Base stats'!C:C)/400)^0.252459582904293,3.74314280240376*(_xlfn.XLOOKUP(B100,'Base stats'!B:B,'Base stats'!C:C)/2000)^0.357012633876913)))),
IF(_xlfn.XLOOKUP(B100,'Base stats'!B:B,'Base stats'!C:C)&lt;0.1,0.05,IF(_xlfn.XLOOKUP(B100,'Base stats'!B:B,'Base stats'!C:C)&lt;0.4,0.1,IF(_xlfn.XLOOKUP(B100,'Base stats'!B:B,'Base stats'!C:C)&lt;=70,(_xlfn.XLOOKUP(B100,'Base stats'!B:B,'Base stats'!C:C)/70)^0.445823913056526,IF(_xlfn.XLOOKUP(B100,'Base stats'!B:B,'Base stats'!C:C)&lt;=400,(_xlfn.XLOOKUP(B100,'Base stats'!B:B,'Base stats'!C:C)/70)^0.572811455315093,IF(_xlfn.XLOOKUP(B100,'Base stats'!B:B,'Base stats'!C:C)&lt;=2000,2.71391647193063*(_xlfn.XLOOKUP(B100,'Base stats'!B:B,'Base stats'!C:C)/400)^0.252459582904293,3.74314280240376*(_xlfn.XLOOKUP(B100,'Base stats'!B:B,'Base stats'!C:C)/2000)^0.357012633876913)))))),
IF(_xlfn.XLOOKUP(B100,'Base stats'!B:B,'Base stats'!C:C)&lt;0.1,0.05,IF(_xlfn.XLOOKUP(B100,'Base stats'!B:B,'Base stats'!C:C)&lt;=100,0.05,IF(_xlfn.XLOOKUP(B100,'Base stats'!B:B,'Base stats'!C:C)&lt;=250,0.1,IF(_xlfn.XLOOKUP(B100,'Base stats'!B:B,'Base stats'!C:C)&lt;=4000,0.25,0.5)))))</f>
        <v>1</v>
      </c>
      <c r="AP100" s="8">
        <f>MROUND(AO100*_xlfn.XLOOKUP(_xlfn.XLOOKUP(B100,'Base stats'!B:B,'Base stats'!E:E),Groups!A:A,Groups!AI:AI)*_xlfn.XLOOKUP(B100,'Base stats'!B:B,'Base stats'!Z:Z),0.05)</f>
        <v>1.2000000000000002</v>
      </c>
      <c r="AQ100" s="8">
        <f>MAX(0.01,MROUND(IF(CC100="True",0.196*(AO100*100*1000)^0.889,IF(_xlfn.XLOOKUP(_xlfn.XLOOKUP(B100,'Base stats'!B:B,'Base stats'!E:E),Groups!A:A,Groups!AJ:AJ)="Bird",10.5*(AO100*100*1000)^0.681,4.82*(AO100*100*1000)^0.734))/(4.82*(1*100*1000)^0.734)/IF(AO100&lt;3.5,2,IF(AO100=3.5,1.5,1.25))*(1+0.132282374779864/(AO100^0.994035016789033+0.00905238001496948)),0.05))</f>
        <v>0.55000000000000004</v>
      </c>
      <c r="AR100" s="9">
        <f>IFERROR(MROUND(_xlfn.XLOOKUP(B100,'Base stats'!B:B,'Base stats'!H:H)/IF(_xlfn.XLOOKUP(B100,'Base stats'!B:B,'Base stats'!I:I)&lt;&gt;1,(122.5/70),1.2),IF(_xlfn.XLOOKUP(B100,'Base stats'!B:B,'Base stats'!H:H)&gt;=30,5,IF(_xlfn.XLOOKUP(B100,'Base stats'!B:B,'Base stats'!H:H)&gt;=15,3,IF(_xlfn.XLOOKUP(B100,'Base stats'!B:B,'Base stats'!H:H)&gt;=10,2,1)))),"Immortal")</f>
        <v>15</v>
      </c>
      <c r="AS100" s="35">
        <f>IFERROR(IF(OR(_xlfn.XLOOKUP(B100,'Base stats'!B:B,'Base stats'!F:F)="Atypical reproduction",_xlfn.XLOOKUP(B100,'Base stats'!B:B,'Base stats'!F:F)="Lay eggs"),"Lay eggs",MIN(20,MAX(5.5,ROUND(((_xlfn.XLOOKUP(B100,'Base stats'!B:B,'Base stats'!F:F)-25)*(14.5/615) + 5.5)*2,0)/2))),"Unknown")</f>
        <v>6.5</v>
      </c>
      <c r="AT100" s="8">
        <f>IF(_xlfn.XLOOKUP(B100,'Base stats'!B:B,'Base stats'!G:G)="Atypical reproduction","No",IFERROR(MAX(IF(_xlfn.XLOOKUP(B100,'Base stats'!B:B,'Base stats'!G:G)&lt;0.5,0.2,0.3),MROUND(_xlfn.XLOOKUP(B100,'Base stats'!B:B,'Base stats'!G:G)/(365/60),0.2)),"Unknown"))</f>
        <v>0.4</v>
      </c>
      <c r="AU100" s="8">
        <f t="shared" si="8"/>
        <v>0.2</v>
      </c>
      <c r="AV100" s="8">
        <f>IFERROR(IFERROR(MROUND(_xlfn.XLOOKUP(B100,'Base stats'!B:B,'Base stats'!J:J),0.1),"Lay eggs"),"Cannot breed")</f>
        <v>6</v>
      </c>
      <c r="AW100" s="2" t="str">
        <f t="shared" si="9"/>
        <v>true</v>
      </c>
      <c r="AX100" s="2" t="str">
        <f>IF(_xlfn.XLOOKUP(_xlfn.XLOOKUP(Animals!B100,'Base stats'!B:B,'Base stats'!E:E),Groups!A:A,Groups!AK:AK)=1,"true","false")</f>
        <v>false</v>
      </c>
      <c r="AY100" s="25" t="str">
        <f>IF(_xlfn.XLOOKUP(B100,'Base stats'!B:B,'Base stats'!Y:Y)="Liquor","Liquor, CarnivoreAnimalStrict",IF(AND(_xlfn.XLOOKUP(B100,'Base stats'!B:B,'Base stats'!Y:Y)="Carnivore",_xlfn.XLOOKUP(_xlfn.XLOOKUP(B100,'Base stats'!B:B,'Base stats'!E:E),Groups!A:A,Groups!AJ:AJ)="Photonozoa"),"CarnivoreAnimalStrict, OvivoreAnimal",IF(_xlfn.XLOOKUP(B100,'Base stats'!B:B,'Base stats'!Y:Y)="Carnivore","CarnivoreAnimal, OvivoreAnimal",IF(_xlfn.XLOOKUP(B100,'Base stats'!B:B,'Base stats'!Y:Y)="Dendrovore","VegetarianRoughAnimal, DendrovoreAnimal",IF(_xlfn.XLOOKUP(B100,'Base stats'!B:B,'Base stats'!Y:Y)="Herbivore","VegetarianRoughAnimal",IF(_xlfn.XLOOKUP(B100,'Base stats'!B:B,'Base stats'!Y:Y)="OmnivoreRough","OmnivoreRoughAnimal, OvivoreAnimal","OmnivoreAnimal, OvivoreAnimal"))))))</f>
        <v>CarnivoreAnimal, OvivoreAnimal</v>
      </c>
      <c r="AZ100" s="2" t="str">
        <f>IF(_xlfn.XLOOKUP(_xlfn.XLOOKUP(B100,'Base stats'!B:B,'Base stats'!E:E),Groups!A:A,Groups!D:D)=1,MROUND((1-J100)*5+1,2)*IF(J100&lt;=0.4,2,1),"No")</f>
        <v>No</v>
      </c>
      <c r="BA100" s="2" t="str">
        <f>IF(AND(_xlfn.XLOOKUP(B100,'Base stats'!B:B,'Base stats'!AH:AH)="&lt;li&gt;Seal&lt;/li&gt;",G100="Odyssey"),"&lt;li&gt;AEXP_Seal&lt;/li&gt;",_xlfn.XLOOKUP(B100,'Base stats'!B:B,'Base stats'!AH:AH))</f>
        <v>&lt;li&gt;Wolf_Timber&lt;/li&gt;</v>
      </c>
      <c r="BB100" s="2" t="str">
        <f>_xlfn.XLOOKUP(B100,'Base stats'!B:B,'Base stats'!AG:AG)</f>
        <v>Leather_Wolf</v>
      </c>
      <c r="BC100" s="23" t="str">
        <f>_xlfn.XLOOKUP(_xlfn.XLOOKUP(B100,'Base stats'!B:B,'Base stats'!E:E),Groups!A:A,Groups!AL:AL)</f>
        <v>QuadrupedAnimalWithPawsAndTail</v>
      </c>
      <c r="BD100" s="23">
        <f>MIN(1,MROUND(IF(AND(AO100&lt;0.5,_xlfn.XLOOKUP(B100,'Base stats'!B:B,'Base stats'!AA:AA)=0),0,IF(OR(_xlfn.XLOOKUP(Animals!B100,'Base stats'!B:B,'Base stats'!O:O)=2,_xlfn.XLOOKUP(_xlfn.XLOOKUP(B100,'Base stats'!B:B,'Base stats'!E:E),Groups!A:A,Groups!AN:AN)=0),0,_xlfn.XLOOKUP(_xlfn.XLOOKUP(B100,'Base stats'!B:B,'Base stats'!E:E),Groups!A:A,Groups!AN:AN)/IF(_xlfn.XLOOKUP(Animals!B100,'Base stats'!B:B,'Base stats'!O:O)=1,2,1)))+_xlfn.XLOOKUP(B100,'Base stats'!B:B,'Base stats'!AC:AC),0.005))</f>
        <v>0.1</v>
      </c>
      <c r="BE100" s="23">
        <f>MIN(1,MROUND(IF(AND(AO100&lt;0.5,_xlfn.XLOOKUP(B100,'Base stats'!B:B,'Base stats'!AA:AA)=0),0,IF(_xlfn.XLOOKUP(_xlfn.XLOOKUP(B100,'Base stats'!B:B,'Base stats'!E:E),Groups!A:A,Groups!AO:AO)=0,0,_xlfn.XLOOKUP(_xlfn.XLOOKUP(B100,'Base stats'!B:B,'Base stats'!E:E),Groups!A:A,Groups!AO:AO)/IF(_xlfn.XLOOKUP(Animals!B100,'Base stats'!B:B,'Base stats'!O:O)=2,3,1)))+_xlfn.XLOOKUP(B100,'Base stats'!B:B,'Base stats'!AD:AD),0.005))</f>
        <v>0.3</v>
      </c>
      <c r="BF100" s="2" t="str">
        <f>IF(J100&gt;0.3,"No",_xlfn.XLOOKUP(_xlfn.XLOOKUP(Animals!B100,'Base stats'!B:B,'Base stats'!E:E),Groups!A:A,Groups!AP:AP))</f>
        <v>No</v>
      </c>
      <c r="BG100" s="2" t="str">
        <f>IF(AND(J100&lt;=0.65,_xlfn.XLOOKUP(_xlfn.XLOOKUP(Animals!B100,'Base stats'!B:B,'Base stats'!E:E),Groups!A:A,Groups!AP:AP)&lt;&gt;"No",_xlfn.XLOOKUP(_xlfn.XLOOKUP(B100,'Base stats'!B:B,'Base stats'!E:E),Groups!A:A,Groups!D:D)=0),MROUND((80/3)*IF(_xlfn.XLOOKUP(B100,'Base stats'!B:B,'Base stats'!O:O)=2,0.2,AO100) + 24*(1-IF(BF100="No",0,BF100)) + 16/3, 12),"No")</f>
        <v>No</v>
      </c>
      <c r="BH100" s="2">
        <f>IF(AND(_xlfn.XLOOKUP(_xlfn.XLOOKUP(B100,'Base stats'!B:B,'Base stats'!E:E),Groups!A:A,Groups!AQ:AQ)=1,AO100&lt;=0.35),8,12)</f>
        <v>12</v>
      </c>
      <c r="BI100" s="2" t="str">
        <f>IF(_xlfn.XLOOKUP(_xlfn.XLOOKUP(B100,'Base stats'!B:B,'Base stats'!E:E),Groups!A:A,Groups!D:D)=0,_xlfn.XLOOKUP(_xlfn.XLOOKUP(B100,'Base stats'!B:B,'Base stats'!E:E),Groups!A:A,Groups!AR:AR),"None")</f>
        <v>Advanced</v>
      </c>
      <c r="BJ100" s="2" t="str">
        <f>IF(AND(_xlfn.XLOOKUP(_xlfn.XLOOKUP(B100,'Base stats'!B:B,'Base stats'!E:E),Groups!A:A,Groups!AS:AS)=1,OR(_xlfn.XLOOKUP(B100,'Base stats'!B:B,'Base stats'!Y:Y)="Carnivore",_xlfn.XLOOKUP(B100,'Base stats'!B:B,'Base stats'!Y:Y)="Omnivore")),"true","false")</f>
        <v>true</v>
      </c>
      <c r="BK100" s="2">
        <f>IF(BJ100="true",MROUND(IF(AND(AO100&gt;0.5,OR(_xlfn.XLOOKUP(_xlfn.XLOOKUP(B100,'Base stats'!B:B,'Base stats'!E:E),Groups!A:A,Groups!AJ:AJ)="Photonozoa",_xlfn.XLOOKUP(_xlfn.XLOOKUP(B100,'Base stats'!B:B,'Base stats'!E:E),Groups!A:A,Groups!AJ:AJ)="Mammal")),Animals!AO100*1.75*IF(AW100="true",1.5,1),IF(AO100&lt;0.5,Animals!AO100*0.5,Animals!AO100)),IF(AO100&gt;2,0.5,IF(AO100&gt;0.5,0.25,0.1))),"No")</f>
        <v>2.75</v>
      </c>
      <c r="BL100" s="2">
        <f t="shared" si="10"/>
        <v>1</v>
      </c>
      <c r="BM100" s="25" t="str">
        <f>IF(_xlfn.XLOOKUP(B100,'Base stats'!B:B,'Base stats'!AN:AN)="Standard","No",MROUND((_xlfn.XLOOKUP(B100,'Base stats'!B:B,'Base stats'!AN:AN)/3.6)/I100,0.1))</f>
        <v>No</v>
      </c>
      <c r="BN100" s="25" t="str">
        <f t="shared" si="11"/>
        <v>false</v>
      </c>
      <c r="BO100" s="25" t="str">
        <f>IF(AND(OR(_xlfn.XLOOKUP(B100,'Base stats'!B:B,'Base stats'!Y:Y)="Carnivore",_xlfn.XLOOKUP(B100,'Base stats'!B:B,'Base stats'!Y:Y)="Omnivore",_xlfn.XLOOKUP(B100,'Base stats'!B:B,'Base stats'!Y:Y)="OmnivoreRough"),_xlfn.XLOOKUP(_xlfn.XLOOKUP(B100,'Base stats'!B:B,'Base stats'!E:E),Groups!A:A,Groups!AT:AT)=1),"true","false")</f>
        <v>false</v>
      </c>
      <c r="BP100" s="25" t="str" cm="1">
        <f t="array" ref="BP100">IF(
  _xlfn.TEXTJOIN(", ",TRUE,
    IF(AND(BJ100="true",AO100&gt;0.5,BI100&lt;&gt;"None"),"AttackTarget",""),
    IF(AND(_xlfn.XLOOKUP(_xlfn.XLOOKUP(B100,'Base stats'!B:B,'Base stats'!E:E),Groups!A:A,Groups!AJ:AJ="Mammal"),OR(_xlfn.XLOOKUP(B100,'Base stats'!B:B,'Base stats'!Y:Y)="Omnivore",_xlfn.XLOOKUP(B100,'Base stats'!B:B,'Base stats'!Y:Y)="OmnivoreRough")),"Forage",""),
    IF(BG100&lt;=36,"Comfort",""),
    IF(_xlfn.XLOOKUP(B100,'Base stats'!B:B,'Base stats'!AE:AE)&lt;&gt;"No",_xlfn.XLOOKUP(B100,'Base stats'!B:B,'Base stats'!AE:AE),"")
  ) = "",
  "No",
  _xlfn.TEXTJOIN(", ",TRUE,
    IF(AND(BJ100="true",AO100&gt;0.5,BI100&lt;&gt;"None"),"AttackTarget",""),
    IF(AND(_xlfn.XLOOKUP(_xlfn.XLOOKUP(B100,'Base stats'!B:B,'Base stats'!E:E),Groups!A:A,Groups!AJ:AJ="Mammal"),OR(_xlfn.XLOOKUP(B100,'Base stats'!B:B,'Base stats'!Y:Y)="Omnivore",_xlfn.XLOOKUP(B100,'Base stats'!B:B,'Base stats'!Y:Y)="OmnivoreRough")),"Forage",""),
    IF(BG100&lt;=36,"Comfort",""),
    IF(_xlfn.XLOOKUP(B100,'Base stats'!B:B,'Base stats'!AE:AE)&lt;&gt;"No",_xlfn.XLOOKUP(B100,'Base stats'!B:B,'Base stats'!AE:AE),"")
  )
)</f>
        <v>AttackTarget</v>
      </c>
      <c r="BQ100" s="25" t="str">
        <f>IF(
   AND(
      'Base stats'!AN100="Standard",_xlfn.XLOOKUP(_xlfn.XLOOKUP(B100,'Base stats'!B:B,'Base stats'!E:E),Groups!A:A,Groups!AU:AU)=0,
      OR(
      BO100="True"
      )
   ),
   10,
   IF(
       OR(BM100&lt;&gt;"No",_xlfn.XLOOKUP(_xlfn.XLOOKUP(B100,'Base stats'!B:B,'Base stats'!E:E),Groups!A:A,Groups!AU:AU)=1),
      1,
      "No"
   )
)</f>
        <v>No</v>
      </c>
      <c r="BR100" s="9">
        <f>MROUND((1 + ((0.2*IF(OR(Q100="No",R100="No",R100=0),0,Q100/R100)
+IF(OR(V100="No",S100="No",T100="No"),0,S100/T100*(LEN(V100)-LEN(SUBSTITUTE(V100,",",""))+1))
+IF(OR(X100="No",Y100="No"),0,X100/Y100)
+IF(OR(AD100="No",AE100="No"),0,AD100/AE100)
+IF(OR(AL100="No",AI100="No",AJ100="No"),0,AI100/AJ100*(LEN(AL100)-LEN(SUBSTITUTE(AL100,",",""))+1))
)/(0.2*IF(OR(Q100="No",R100="No",R100=0),0,1)
+IF(OR(V100="No",S100="No",T100="No"),0,LEN(V100)-LEN(SUBSTITUTE(V100,",",""))+1)
+IF(OR(X100="No",Y100="No"),0,1)
+IF(OR(AD100="No",AE100="No"),0,1)
+IF(OR(AL100="No",AI100="No",AJ100="No"),0,LEN(AL100)-LEN(SUBSTITUTE(AL100,",",""))+1))*62%)* 2)*(1 + (AP100 / (IF(_xlfn.XLOOKUP(_xlfn.XLOOKUP(B100,'Base stats'!B:B,'Base stats'!E:E),Groups!A:A,Groups!AJ:AJ)="Photonozoa",0.3,1)) + _xlfn.XLOOKUP(B100,'Base stats'!B:B,'Base stats'!AV:AV) * 1.8) * 2) * 2.5 + 10 + I100 * 2,5)+IF(_xlfn.XLOOKUP(B100,'Base stats'!B:B,'Base stats'!AK:AK)=1,50,0)</f>
        <v>115</v>
      </c>
      <c r="BS100" s="8">
        <f t="shared" si="12"/>
        <v>0.65</v>
      </c>
      <c r="BT100" s="8" t="str">
        <f>_xlfn.XLOOKUP(B100,'Base stats'!B:B,'Base stats'!AF:AF)</f>
        <v>2~6</v>
      </c>
      <c r="BU100" s="2" t="str">
        <f>IF(AND(J100&lt;=0.95,OR(_xlfn.XLOOKUP(B100,'Base stats'!B:B,'Base stats'!AK:AK)=1,_xlfn.XLOOKUP(B100,'Base stats'!B:B,'Base stats'!Y:Y)="Carnivore",_xlfn.XLOOKUP(B100,'Base stats'!B:B,'Base stats'!Y:Y)="Omnivore",BE100&gt;0.1)),"true","false")</f>
        <v>true</v>
      </c>
      <c r="BV100" s="2" t="str">
        <f>IF(_xlfn.XLOOKUP(B100,'Base stats'!B:B,'Base stats'!AI:AI)=1,"true","false")</f>
        <v>false</v>
      </c>
      <c r="BW100" s="25" t="str">
        <f>IF(E100="BaseInsect","AnimalInsect",
IF(J100&gt;0.95,"AnimalExotic",
_xlfn.TEXTJOIN(", ",TRUE,
IF(OR(_xlfn.XLOOKUP(B100,'Base stats'!B:B,'Base stats'!AM:AM)=1,AND(_xlfn.XLOOKUP(B100,'Base stats'!B:B,'Base stats'!O:O)=0,_xlfn.XLOOKUP(_xlfn.XLOOKUP(B100,'Base stats'!B:B,'Base stats'!E:E),Groups!A:A,Groups!B:B)&gt;0)),"AnimalUncommon","AnimalCommon"),
IF(AND(_xlfn.XLOOKUP(B100,'Base stats'!B:B,'Base stats'!O:O)=2,_xlfn.XLOOKUP(_xlfn.XLOOKUP(B100,'Base stats'!B:B,'Base stats'!E:E),Groups!A:A,Groups!D:D)=0),"AnimalPet",IF(AND(_xlfn.XLOOKUP(B100,'Base stats'!B:B,'Base stats'!O:O)&lt;&gt;0,_xlfn.XLOOKUP(_xlfn.XLOOKUP(B100,'Base stats'!B:B,'Base stats'!E:E),Groups!A:A,Groups!D:D)&lt;&gt;0),"AnimalFarm","")),
IF(OR(_xlfn.XLOOKUP(B100,'Base stats'!B:B,'Base stats'!AK:AK)=1,AND(BI100&lt;&gt;"None",BR100&gt;=60),ISNUMBER(SEARCH("Attack target",BP100))),"AnimalFighter","")
)))</f>
        <v>AnimalCommon, AnimalFighter</v>
      </c>
      <c r="BX100" s="25" t="str">
        <f>IF(G100="None",TRIM(
SUBSTITUTE(
IF(COUNTIF(Biomes!B$2:B$259,"="&amp;$C100)&gt;0,Biomes!B$1&amp;", ","")&amp;
IF(COUNTIF(Biomes!C$2:C$259,"="&amp;$C100)&gt;0,Biomes!C$1&amp;", ","")&amp;
IF(COUNTIF(Biomes!D$2:D$259,"="&amp;$C100)&gt;0,Biomes!D$1&amp;", ","")&amp;
IF(COUNTIF(Biomes!F$2:F$259,"="&amp;$C100)&gt;0,Biomes!F$1&amp;", ","")&amp;
IF(COUNTIF(Biomes!G$2:G$259,"="&amp;$C100)&gt;0,Biomes!G$1&amp;", ","")&amp;
IF(COUNTIF(Biomes!H$2:H$259,"="&amp;$C100)&gt;0,Biomes!H$1&amp;", ","")&amp;
IF(COUNTIF(Biomes!I$2:I$259,"="&amp;$C100)&gt;0,Biomes!I$1&amp;", ","")&amp;
IF(COUNTIF(Biomes!J$2:J$259,"="&amp;$C100)&gt;0,Biomes!J$1&amp;", ","")&amp;
IF(COUNTIF(Biomes!M$2:M$259,"="&amp;$C100)&gt;0,Biomes!M$1&amp;", ","")&amp;
IF(COUNTIF(Biomes!N$2:N$259,"="&amp;$C100)&gt;0,Biomes!N$1&amp;", ","")&amp;
IF(COUNTIF(Biomes!O$2:O$259,"="&amp;$C100)&gt;0,Biomes!O$1&amp;", ","")&amp;
IF(COUNTIF(Biomes!P$2:P$259,"="&amp;$C100)&gt;0,Biomes!P$1&amp;", ","")&amp;
IF(COUNTIF(Biomes!K$2:K$259,"="&amp;$C100)&gt;0,Biomes!K$1&amp;", ","")&amp;
IF(COUNTIF(Biomes!Q$3:Q$259,"="&amp;$C100)&gt;0,Biomes!Q$1&amp;", ","")&amp;
IF(COUNTIF(Biomes!L$2:L$259,"="&amp;$C100)&gt;0,Biomes!L$1&amp;", ","")&amp;
IF(COUNTIF(Biomes!E$2:E$259,"="&amp;$C100)&gt;0,Biomes!E$1&amp;", ","")&amp;IF(COUNTIF(Biomes!S$2:S$259,"="&amp;$C100)&gt;0,Biomes!S$1&amp;", ","")&amp;
IF(COUNTIF(Biomes!R$2:R$259,"="&amp;$C100)&gt;0,Biomes!R$1&amp;", ",""),", ","")
),_xlfn.XLOOKUP(B100,B:B,BX:BX))</f>
        <v>GlacialPlain</v>
      </c>
      <c r="BY100" s="25" t="str">
        <f>IF(_xlfn.XLOOKUP(B100,'Base stats'!B:B,'Base stats'!AJ:AJ)=1,"true","false")</f>
        <v>false</v>
      </c>
      <c r="BZ100" s="25">
        <f>IF(_xlfn.XLOOKUP(B100,'Base stats'!B:B,'Base stats'!N:N)=1,"No",MAX(0.001,MIN(MROUND(IF(AND(BJ100="True",CC100="False"),POWER(10,3.47*LOG10(_xlfn.XLOOKUP(B100,'Base stats'!B:B,'Base stats'!C:C)*1000)^-0.96),POWER(10,4.15*LOG10(_xlfn.XLOOKUP(B100,'Base stats'!B:B,'Base stats'!C:C)*1000)^-0.73))*IF(_xlfn.XLOOKUP(B100,'Base stats'!B:B,'Base stats'!AK:AK)=1,0.5,1)*IF(_xlfn.XLOOKUP(B100,'Base stats'!B:B,'Base stats'!AM:AM)=1,0.1,1)/100,IF(_xlfn.XLOOKUP(B100,'Base stats'!B:B,'Base stats'!AM:AM)=1,0.001,0.025)),0.5)))</f>
        <v>0.05</v>
      </c>
      <c r="CA100" s="25" t="str">
        <f>IF(P100="Standard","No",MAX(0.001,MIN(MROUND(IF(AND(BJ100="True",CC100="False"),POWER(10,3.47*LOG10(_xlfn.XLOOKUP(B100,'Base stats'!B:B,'Base stats'!C:C)*1000)^-0.96),POWER(10,4.15*LOG10(_xlfn.XLOOKUP(B100,'Base stats'!B:B,'Base stats'!C:C)*1000)^-0.73))*IF(_xlfn.XLOOKUP(B100,'Base stats'!B:B,'Base stats'!AM:AM)=1,0.1,1)*_xlfn.XLOOKUP(B100,'Base stats'!B:B,'Base stats'!R:R)/100,IF(_xlfn.XLOOKUP(B100,'Base stats'!B:B,'Base stats'!AM:AM)=1,0.001,0.025)),0.5)))</f>
        <v>No</v>
      </c>
      <c r="CB100" s="25" t="str">
        <f>IF(_xlfn.XLOOKUP(_xlfn.XLOOKUP(B100,'Base stats'!B:B,'Base stats'!E:E),Groups!A:A,Groups!AJ:AJ)="Mammal","True","False")</f>
        <v>True</v>
      </c>
      <c r="CC100" s="25" t="str">
        <f>IF(OR(_xlfn.XLOOKUP(_xlfn.XLOOKUP(B100,'Base stats'!B:B,'Base stats'!E:E),Groups!A:A,Groups!AJ:AJ)="Reptile",_xlfn.XLOOKUP(_xlfn.XLOOKUP(B100,'Base stats'!B:B,'Base stats'!E:E),Groups!A:A,Groups!AJ:AJ)="Amphibian",_xlfn.XLOOKUP(_xlfn.XLOOKUP(B100,'Base stats'!B:B,'Base stats'!E:E),Groups!A:A,Groups!AJ:AJ)="Invertebrate"),"True","False")</f>
        <v>False</v>
      </c>
      <c r="CD100" s="25" t="str">
        <f t="shared" si="13"/>
        <v>False</v>
      </c>
      <c r="CE100" s="25" t="str">
        <f>IF(_xlfn.XLOOKUP(_xlfn.XLOOKUP(B100,'Base stats'!B:B,'Base stats'!E:E),Groups!A:A,Groups!AX:AX),"True","False")</f>
        <v>False</v>
      </c>
      <c r="CF100" s="25" t="str">
        <f>IF(_xlfn.XLOOKUP(_xlfn.XLOOKUP(B100,'Base stats'!B:B,'Base stats'!E:E),Groups!A:A,Groups!AY:AY),"True","False")</f>
        <v>False</v>
      </c>
      <c r="CG100" s="25" t="str">
        <f>IF(_xlfn.XLOOKUP(_xlfn.XLOOKUP(B100,'Base stats'!B:B,'Base stats'!E:E),Groups!A:A,Groups!AW:AW),"True","False")</f>
        <v>False</v>
      </c>
      <c r="CH100" s="25" t="str">
        <f>IF(
OR(
_xlfn.XLOOKUP(_xlfn.XLOOKUP(B100,'Base stats'!B:B,'Base stats'!E:E),Groups!A:A,Groups!AZ:AZ)=0,
AND(
_xlfn.XLOOKUP(B100,'Base stats'!B:B,'Base stats'!Y:Y)&lt;&gt;"Carnivore",
_xlfn.XLOOKUP(B100,'Base stats'!B:B,'Base stats'!Y:Y)&lt;&gt;"Omnivore",
_xlfn.XLOOKUP(B100,'Base stats'!B:B,'Base stats'!Y:Y)&lt;&gt;"OmnivoreRough"
)
),
"No",
IF(
_xlfn.XLOOKUP(_xlfn.XLOOKUP(B100,'Base stats'!B:B,'Base stats'!E:E),Groups!A:A,Groups!AZ:AZ)=1,
"Flesh",
IF(
_xlfn.XLOOKUP(_xlfn.XLOOKUP(B100,'Base stats'!B:B,'Base stats'!E:E),Groups!A:A,Groups!AZ:AZ)=2,
"Bone",
""
)
)
)</f>
        <v>No</v>
      </c>
      <c r="CI100" s="25" t="str">
        <f>IF(_xlfn.XLOOKUP(_xlfn.XLOOKUP(B100,'Base stats'!B:B,'Base stats'!E:E),Groups!A:A,Groups!BB:BB),"True","False")</f>
        <v>True</v>
      </c>
      <c r="CJ100" s="25" t="str">
        <f>IF(_xlfn.XLOOKUP(_xlfn.XLOOKUP(B100,'Base stats'!B:B,'Base stats'!E:E),Groups!A:A,Groups!BA:BA),"True","False")</f>
        <v>False</v>
      </c>
    </row>
    <row r="101" spans="1:88" ht="16.5" thickTop="1" thickBot="1" x14ac:dyDescent="0.3">
      <c r="A101" s="26" t="str">
        <f>_xlfn.XLOOKUP(B101,'Base stats'!B:B,'Base stats'!A:A)</f>
        <v>StoneCrab</v>
      </c>
      <c r="B101" s="6" t="s">
        <v>218</v>
      </c>
      <c r="C101" s="28" t="s">
        <v>781</v>
      </c>
      <c r="D101" s="28" t="s">
        <v>870</v>
      </c>
      <c r="E101" s="28" t="s">
        <v>673</v>
      </c>
      <c r="F101" s="28" t="s">
        <v>673</v>
      </c>
      <c r="G101" s="28" t="s">
        <v>673</v>
      </c>
      <c r="H101" s="2">
        <f>MROUND((
  (IF(AND(_xlfn.XLOOKUP(B101,'Base stats'!B:B,'Base stats'!AL:AL)=0,BI101="None",_xlfn.XLOOKUP(_xlfn.XLOOKUP(B101,'Base stats'!B:B,'Base stats'!E:E),Groups!A:A,Groups!B:B)=0), (18 + BR101 * 2.7) * 0.5,
    IF(AND(_xlfn.XLOOKUP(B101,'Base stats'!B:B,'Base stats'!AL:AL)=0,OR(AO101&lt;0.55,AND(BI101="Intermediate",_xlfn.XLOOKUP(_xlfn.XLOOKUP(B101,'Base stats'!B:B,'Base stats'!E:E),Groups!A:A,Groups!B:B)&lt;2))), (18 + BR101 * 2.7),
      IF(OR(BI101="Advanced",_xlfn.XLOOKUP(B101,'Base stats'!B:B,'Base stats'!AL:AL)=1,_xlfn.XLOOKUP(_xlfn.XLOOKUP(B101,'Base stats'!B:B,'Base stats'!E:E),Groups!A:A,Groups!B:B)=2), (18 + BR101 * 2.7) + 250, (18 + BR101 * 2.7))
    )
  ))
  + AO101 * 80
  + IF(COUNTIF(EggMilk!K$2:K$998, A101) &gt; 0, 125, 0)
  + IF(COUNTIF(EggMilk!P$2:P$998, A101) &gt; 0, 90, 0)
  + IF(COUNTIF(EggMilk!A$2:A$998, A101) &gt; 0, 90, 0)
)
* (0.8 + 0.4 * J101)
* 0.75,25)</f>
        <v>50</v>
      </c>
      <c r="I101" s="2">
        <f>MROUND(ROUNDDOWN(_xlfn.XLOOKUP(B101,'Base stats'!B:B,'Base stats'!L:L)/3.6/(23.3/11),1),0.5)</f>
        <v>0.5</v>
      </c>
      <c r="J101" s="2">
        <f>IF(OR(_xlfn.XLOOKUP(B101,'Base stats'!B:B,'Base stats'!AB:AB)=1,_xlfn.XLOOKUP(_xlfn.XLOOKUP(B101,'Base stats'!B:B,'Base stats'!E:E),Groups!A:A,Groups!C:C)="Untamable"),1,IF(_xlfn.XLOOKUP(B101,'Base stats'!B:B,'Base stats'!AL:AL)=1,0.99,MIN(MROUND((1-0.6282*EXP(-0.459*AO101))*_xlfn.XLOOKUP(_xlfn.XLOOKUP(B101,'Base stats'!B:B,'Base stats'!E:E),Groups!A:A,Groups!C:C)*IF(_xlfn.XLOOKUP(B101,'Base stats'!B:B,'Base stats'!O:O)=1,0.5,IF(_xlfn.XLOOKUP(B101,'Base stats'!B:B,'Base stats'!O:O)=2,0,1)),0.05),IF(AO101&gt;3.5,0.985,0.95))))</f>
        <v>0.60000000000000009</v>
      </c>
      <c r="K101" s="2">
        <f>ROUNDUP(AO101*_xlfn.XLOOKUP(_xlfn.XLOOKUP(B101,'Base stats'!B:B,'Base stats'!E:E),Groups!A:A,Groups!E:E),0)</f>
        <v>1</v>
      </c>
      <c r="L101" s="2">
        <f>IF(OR(_xlfn.XLOOKUP(_xlfn.XLOOKUP(B101,'Base stats'!B:B,'Base stats'!E:E),Groups!A:A,Groups!F:F)=2,ISNUMBER(SEARCH("SeaIce",BX101)),ISNUMBER(SEARCH("IceSheet",BX101))),-50,IF(OR(ISNUMBER(SEARCH("GlacialPlain",BX101)),ISNUMBER(SEARCH("Tundra",BX101))),-40,IF(OR(ISNUMBER(SEARCH("Alpine",BX101)),ISNUMBER(SEARCH("BorealForest",BX101)),ISNUMBER(SEARCH("ColdBog",BX101))),-30,IF(OR(ISNUMBER(SEARCH("TemperateForest",BX101)),ISNUMBER(SEARCH("TemperateSwamp",BX101))),-20,IF(_xlfn.XLOOKUP(_xlfn.XLOOKUP(B101,'Base stats'!B:B,'Base stats'!E:E),Groups!A:A,Groups!F:F)=1,-15,IF(OR(ISNUMBER(SEARCH("Desert",BX101)),ISNUMBER(SEARCH("ExtremeDesert",BX101))),-10,IF(OR(ISNUMBER(SEARCH("Grasslands",BX101)),ISNUMBER(SEARCH("TropicalRainforest",BX101)),ISNUMBER(SEARCH("TropicalSwamp",BX101))),10,0)))))))-IF(CC101="False",MIN(IFERROR(MAX(MROUND(LOG10(_xlfn.XLOOKUP(B101,'Base stats'!B:B,'Base stats'!C:C)^(2/3))*10,5),5),5),30))-_xlfn.XLOOKUP(B101,'Base stats'!B:B,'Base stats'!P:P)+IF(CC101="True",5,0)</f>
        <v>-5</v>
      </c>
      <c r="M101" s="2">
        <f>IF(OR(_xlfn.XLOOKUP(_xlfn.XLOOKUP(B101,'Base stats'!B:B,'Base stats'!E:E),Groups!A:A,Groups!G:G)=2,ISNUMBER(SEARCH("Desert",BX101)),ISNUMBER(SEARCH("ExtremeDesert",BX101)),ISNUMBER(SEARCH("LavaField",BX101))),50,IF(ISNUMBER(SEARCH("Grasslands",BX101)),45,IF(OR(_xlfn.XLOOKUP(_xlfn.XLOOKUP(B101,'Base stats'!B:B,'Base stats'!E:E),Groups!A:A,Groups!G:G)=1,ISNUMBER(SEARCH("TropicalRainforest",BX101)),ISNUMBER(SEARCH("TropicalSwamp",BX101))),40,IF(OR(ISNUMBER(SEARCH("TemperateForest",BX101)),ISNUMBER(SEARCH("TemperateSwamp",BX101))),35,IF(OR(ISNUMBER(SEARCH("Alpine",BX101)),ISNUMBER(SEARCH("BorealForest",BX101)),ISNUMBER(SEARCH("ColdBog",BX101))),30,IF(ISNUMBER(OR(ISNUMBER(SEARCH("GlacialPlain",BX101)),SEARCH("Tundra",BX101))),25,IF(OR(ISNUMBER(SEARCH("SeaIce",BX101)),ISNUMBER(SEARCH("IceSheet",BX101)),ISNUMBER(SEARCH("TropicalSwamp",BX101))),10,35)))))))+_xlfn.XLOOKUP(B101,'Base stats'!B:B,'Base stats'!Q:Q)</f>
        <v>50</v>
      </c>
      <c r="N101" s="8">
        <f>IF(
_xlfn.XLOOKUP(
_xlfn.XLOOKUP(B101,'Base stats'!B:B,'Base stats'!E:E),
Groups!A:A,
Groups!L:L
)=1,
MIN(
MROUND(
IF(
_xlfn.XLOOKUP(B101,'Animals CE'!B:B,'Animals CE'!Z:Z)&lt;=1.5,
_xlfn.XLOOKUP(B101,'Animals CE'!B:B,'Animals CE'!Z:Z)/2+0.05,
0.8+
(_xlfn.XLOOKUP(B101,'Animals CE'!B:B,'Animals CE'!Z:Z)-1.5)
*0.02
),
0.05
),
200%
),
"No"
)</f>
        <v>0.05</v>
      </c>
      <c r="O101" s="8">
        <f>IF(
_xlfn.XLOOKUP(
_xlfn.XLOOKUP(B101,'Base stats'!B:B,'Base stats'!E:E),
Groups!A:A,
Groups!L:L
)=1,
MIN(
MROUND(
IF(
_xlfn.XLOOKUP(B101,'Animals CE'!B:B,'Animals CE'!AA:AA)&lt;=1.5,
_xlfn.XLOOKUP(B101,'Animals CE'!B:B,'Animals CE'!AA:AA)/2+0.05,
0.8+
(_xlfn.XLOOKUP(B101,'Animals CE'!B:B,'Animals CE'!AA:AA)-1.5)
*0.02
),
0.05
),
200%
),
"No"
)</f>
        <v>0.05</v>
      </c>
      <c r="P101" s="2" t="str">
        <f>_xlfn.XLOOKUP(B101,'Base stats'!B:B,'Base stats'!R:R)</f>
        <v>Standard</v>
      </c>
      <c r="Q101" s="13">
        <f>MROUND((LOG10(_xlfn.XLOOKUP(B101,'Base stats'!B:B,'Base stats'!AR:AR))*(AO101^0.5)+(_xlfn.XLOOKUP(B101,'Base stats'!B:B,'Base stats'!AR:AR)/1000)^(2/3)+_xlfn.XLOOKUP(B101,'Base stats'!B:B,'Base stats'!BA:BA)/2)+0.5,0.5)</f>
        <v>1</v>
      </c>
      <c r="R101" s="7">
        <f>IF(Q101="No","No",MAX(1,MROUND(_xlfn.XLOOKUP(B101,'Base stats'!B:B,'Base stats'!C:C)^0.165,0.05)))</f>
        <v>1</v>
      </c>
      <c r="S101" s="13" t="str">
        <f>IF(_xlfn.XLOOKUP(_xlfn.XLOOKUP(B101,'Base stats'!B:B,'Base stats'!E:E),Groups!A:A,Groups!P:P)=0,"No",MROUND((LOG10(_xlfn.XLOOKUP(B101,'Base stats'!B:B,'Base stats'!AS:AS))*(AO101^0.5)+(_xlfn.XLOOKUP(B101,'Base stats'!B:B,'Base stats'!AS:AS)/1000)^(2/3)+_xlfn.XLOOKUP(B101,'Base stats'!B:B,'Base stats'!BA:BA))+_xlfn.XLOOKUP(B101,'Base stats'!B:B,'Base stats'!AY:AY)+0.5,0.5))</f>
        <v>No</v>
      </c>
      <c r="T101" s="7" t="str">
        <f>IF(S101="No","No",MAX(_xlfn.XLOOKUP(_xlfn.XLOOKUP(B101,'Base stats'!B:B,'Base stats'!E:E),Groups!A:A,Groups!Q:Q),MROUND(_xlfn.XLOOKUP(_xlfn.XLOOKUP(B101,'Base stats'!B:B,'Base stats'!E:E),Groups!A:A,Groups!Q:Q)*_xlfn.XLOOKUP(B101,'Base stats'!B:B,'Base stats'!C:C)^0.165,0.05)))</f>
        <v>No</v>
      </c>
      <c r="U101" s="7" t="str">
        <f>IF(S101="No","No",_xlfn.XLOOKUP(_xlfn.XLOOKUP(B101,'Base stats'!B:B,'Base stats'!E:E),Groups!A:A,Groups!R:R))</f>
        <v>No</v>
      </c>
      <c r="V101" s="7" t="str">
        <f>IF(S101="No","No",_xlfn.XLOOKUP(_xlfn.XLOOKUP(B101,'Base stats'!B:B,'Base stats'!E:E),Groups!A:A,Groups!S:S))</f>
        <v>No</v>
      </c>
      <c r="W101" s="7" t="str">
        <f>IF(S101="No","No",_xlfn.XLOOKUP(_xlfn.XLOOKUP(B101,'Base stats'!B:B,'Base stats'!E:E),Groups!A:A,Groups!T:T))</f>
        <v>No</v>
      </c>
      <c r="X101" s="13" t="str">
        <f>IF(_xlfn.XLOOKUP(B101,'Base stats'!B:B,'Base stats'!W:W)="No","No",MROUND((LOG10(_xlfn.XLOOKUP(B101,'Base stats'!B:B,'Base stats'!AU:AU))*(AO101^0.5)+(_xlfn.XLOOKUP(B101,'Base stats'!B:B,'Base stats'!AU:AU)/1000)^(2/3)+_xlfn.XLOOKUP(B101,'Base stats'!B:B,'Base stats'!AZ:AZ))+0.5+IF(_xlfn.XLOOKUP(_xlfn.XLOOKUP(B101,'Base stats'!B:B,'Base stats'!E:E),Groups!A:A,Groups!U:U)&lt;&gt;3,_xlfn.XLOOKUP(B101,'Base stats'!B:B,'Base stats'!BA:BA),0),0.5))</f>
        <v>No</v>
      </c>
      <c r="Y101" s="7" t="str">
        <f>IF(X101="No","No",MAX(_xlfn.XLOOKUP(_xlfn.XLOOKUP(B101,'Base stats'!B:B,'Base stats'!E:E),Groups!A:A,Groups!V:V),MROUND(_xlfn.XLOOKUP(_xlfn.XLOOKUP(B101,'Base stats'!B:B,'Base stats'!E:E),Groups!A:A,Groups!V:V)*_xlfn.XLOOKUP(B101,'Base stats'!B:B,'Base stats'!C:C)^0.165,0.05)))</f>
        <v>No</v>
      </c>
      <c r="Z101" s="7" t="str">
        <f>IF(X101="No","No",_xlfn.XLOOKUP(_xlfn.XLOOKUP(B101,'Base stats'!B:B,'Base stats'!E:E),Groups!A:A,Groups!W:W))</f>
        <v>No</v>
      </c>
      <c r="AA101" s="7" t="str">
        <f>IF(X101="No","No",_xlfn.XLOOKUP(_xlfn.XLOOKUP(B101,'Base stats'!B:B,'Base stats'!E:E),Groups!A:A,Groups!X:X))</f>
        <v>No</v>
      </c>
      <c r="AB101" s="7" t="str">
        <f>IF(X101="No","No",_xlfn.XLOOKUP(_xlfn.XLOOKUP(B101,'Base stats'!B:B,'Base stats'!E:E),Groups!A:A,Groups!Y:Y))</f>
        <v>No</v>
      </c>
      <c r="AC101" s="7" t="str">
        <f>_xlfn.XLOOKUP(Animals!B101,'Base stats'!B:B,'Base stats'!X:X)</f>
        <v>False</v>
      </c>
      <c r="AD101" s="13" t="str">
        <f>IF(_xlfn.XLOOKUP(B101,'Base stats'!B:B,'Base stats'!AT:AT)="No","No",MROUND((LOG10(_xlfn.XLOOKUP(B101,'Base stats'!B:B,'Base stats'!AT:AT))*(AO101^0.75)+(_xlfn.XLOOKUP(B101,'Base stats'!B:B,'Base stats'!AT:AT)/1000)^(2/3)+_xlfn.XLOOKUP(B101,'Base stats'!B:B,'Base stats'!AX:AX)+_xlfn.XLOOKUP(B101,'Base stats'!B:B,'Base stats'!BA:BA))+0.5,0.5))</f>
        <v>No</v>
      </c>
      <c r="AE101" s="7" t="str">
        <f>IF(AD101="No","No",MAX(_xlfn.XLOOKUP(_xlfn.XLOOKUP(B101,'Base stats'!B:B,'Base stats'!E:E),Groups!A:A,Groups!Z:Z),MROUND(_xlfn.XLOOKUP(_xlfn.XLOOKUP(B101,'Base stats'!B:B,'Base stats'!E:E),Groups!A:A,Groups!Z:Z)*_xlfn.XLOOKUP(B101,'Base stats'!B:B,'Base stats'!C:C)^0.165,0.05)))</f>
        <v>No</v>
      </c>
      <c r="AF101" s="7" t="str">
        <f>IF(AD101="No","No",_xlfn.XLOOKUP(_xlfn.XLOOKUP(B101,'Base stats'!B:B,'Base stats'!E:E),Groups!A:A,Groups!AA:AA))</f>
        <v>No</v>
      </c>
      <c r="AG101" s="7" t="str">
        <f>IF(AD101="No","No",_xlfn.XLOOKUP(_xlfn.XLOOKUP(B101,'Base stats'!B:B,'Base stats'!E:E),Groups!A:A,Groups!AB:AB))</f>
        <v>No</v>
      </c>
      <c r="AH101" s="7" t="str">
        <f>IF(AD101="No","No",_xlfn.XLOOKUP(_xlfn.XLOOKUP(B101,'Base stats'!B:B,'Base stats'!E:E),Groups!A:A,Groups!AC:AC))</f>
        <v>No</v>
      </c>
      <c r="AI101" s="13">
        <f>IF(_xlfn.XLOOKUP(_xlfn.XLOOKUP(B101,'Base stats'!B:B,'Base stats'!E:E),Groups!A:A,Groups!AD:AD)=0,"No",MROUND((LOG10(_xlfn.XLOOKUP(B101,'Base stats'!B:B,'Base stats'!AS:AS))*(AO101^0.75)+(_xlfn.XLOOKUP(B101,'Base stats'!B:B,'Base stats'!AS:AS)/1000)^(2/3)+_xlfn.XLOOKUP(B101,'Base stats'!B:B,'Base stats'!AY:AY)+_xlfn.XLOOKUP(B101,'Base stats'!B:B,'Base stats'!BA:BA))+0.5,0.5))</f>
        <v>2.5</v>
      </c>
      <c r="AJ101" s="7">
        <f>IF(AI101="No","No",MAX(_xlfn.XLOOKUP(_xlfn.XLOOKUP(B101,'Base stats'!B:B,'Base stats'!E:E),Groups!A:A,Groups!AE:AE),MROUND(_xlfn.XLOOKUP(_xlfn.XLOOKUP(B101,'Base stats'!B:B,'Base stats'!E:E),Groups!A:A,Groups!AE:AE)*IF(_xlfn.XLOOKUP(_xlfn.XLOOKUP(B101,'Base stats'!B:B,'Base stats'!E:E),Groups!A:A,Groups!AJ:AJ)="Photonozoa",0.6,1)*_xlfn.XLOOKUP(B101,'Base stats'!B:B,'Base stats'!C:C)^0.165,0.05)))</f>
        <v>1.2</v>
      </c>
      <c r="AK101" s="7" t="str">
        <f>IF(AI101="No","No",_xlfn.XLOOKUP(_xlfn.XLOOKUP(B101,'Base stats'!B:B,'Base stats'!E:E),Groups!A:A,Groups!AF:AF))</f>
        <v>FrontLeftClaws, FrontRightClaws</v>
      </c>
      <c r="AL101" s="7" t="str">
        <f>IF(AI101="No","No",_xlfn.XLOOKUP(_xlfn.XLOOKUP(B101,'Base stats'!B:B,'Base stats'!E:E),Groups!A:A,Groups!AG:AG))</f>
        <v>left claw, right claw</v>
      </c>
      <c r="AM101" s="7" t="str">
        <f>IF(AI101="No","No",_xlfn.XLOOKUP(_xlfn.XLOOKUP(B101,'Base stats'!B:B,'Base stats'!E:E),Groups!A:A,Groups!AH:AH))</f>
        <v>Scratch</v>
      </c>
      <c r="AN101" s="2" t="str">
        <f t="shared" si="7"/>
        <v>No</v>
      </c>
      <c r="AO101" s="2">
        <f>MROUND(IF(AND(_xlfn.XLOOKUP(B101,'Base stats'!B:B,'Base stats'!C:C)&gt;=0.5,_xlfn.XLOOKUP(B101,'Base stats'!B:B,'Base stats'!C:C)&lt;=0.8),
IF(_xlfn.XLOOKUP(B101,'Base stats'!B:B,'Base stats'!C:C)&lt;0.1,0.05,IF(_xlfn.XLOOKUP(B101,'Base stats'!B:B,'Base stats'!C:C)&lt;=70,(_xlfn.XLOOKUP(B101,'Base stats'!B:B,'Base stats'!C:C)/70)^0.426489913056526,IF(_xlfn.XLOOKUP(B101,'Base stats'!B:B,'Base stats'!C:C)&lt;=400,(_xlfn.XLOOKUP(B101,'Base stats'!B:B,'Base stats'!C:C)/70)^0.572811455315093,IF(_xlfn.XLOOKUP(B101,'Base stats'!B:B,'Base stats'!C:C)&lt;=2000,2.71391647193063*(_xlfn.XLOOKUP(B101,'Base stats'!B:B,'Base stats'!C:C)/400)^0.252459582904293,3.74314280240376*(_xlfn.XLOOKUP(B101,'Base stats'!B:B,'Base stats'!C:C)/2000)^0.357012633876913)))),
IF(_xlfn.XLOOKUP(B101,'Base stats'!B:B,'Base stats'!C:C)&lt;0.1,0.05,IF(_xlfn.XLOOKUP(B101,'Base stats'!B:B,'Base stats'!C:C)&lt;0.4,0.1,IF(_xlfn.XLOOKUP(B101,'Base stats'!B:B,'Base stats'!C:C)&lt;=70,(_xlfn.XLOOKUP(B101,'Base stats'!B:B,'Base stats'!C:C)/70)^0.445823913056526,IF(_xlfn.XLOOKUP(B101,'Base stats'!B:B,'Base stats'!C:C)&lt;=400,(_xlfn.XLOOKUP(B101,'Base stats'!B:B,'Base stats'!C:C)/70)^0.572811455315093,IF(_xlfn.XLOOKUP(B101,'Base stats'!B:B,'Base stats'!C:C)&lt;=2000,2.71391647193063*(_xlfn.XLOOKUP(B101,'Base stats'!B:B,'Base stats'!C:C)/400)^0.252459582904293,3.74314280240376*(_xlfn.XLOOKUP(B101,'Base stats'!B:B,'Base stats'!C:C)/2000)^0.357012633876913)))))),
IF(_xlfn.XLOOKUP(B101,'Base stats'!B:B,'Base stats'!C:C)&lt;0.1,0.05,IF(_xlfn.XLOOKUP(B101,'Base stats'!B:B,'Base stats'!C:C)&lt;=100,0.05,IF(_xlfn.XLOOKUP(B101,'Base stats'!B:B,'Base stats'!C:C)&lt;=250,0.1,IF(_xlfn.XLOOKUP(B101,'Base stats'!B:B,'Base stats'!C:C)&lt;=4000,0.25,0.5)))))</f>
        <v>0.1</v>
      </c>
      <c r="AP101" s="8">
        <f>MROUND(AO101*_xlfn.XLOOKUP(_xlfn.XLOOKUP(B101,'Base stats'!B:B,'Base stats'!E:E),Groups!A:A,Groups!AI:AI)*_xlfn.XLOOKUP(B101,'Base stats'!B:B,'Base stats'!Z:Z),0.05)</f>
        <v>0.1</v>
      </c>
      <c r="AQ101" s="8">
        <f>MAX(0.01,MROUND(IF(CC101="True",0.196*(AO101*100*1000)^0.889,IF(_xlfn.XLOOKUP(_xlfn.XLOOKUP(B101,'Base stats'!B:B,'Base stats'!E:E),Groups!A:A,Groups!AJ:AJ)="Bird",10.5*(AO101*100*1000)^0.681,4.82*(AO101*100*1000)^0.734))/(4.82*(1*100*1000)^0.734)/IF(AO101&lt;3.5,2,IF(AO101=3.5,1.5,1.25))*(1+0.132282374779864/(AO101^0.994035016789033+0.00905238001496948)),0.05))</f>
        <v>0.05</v>
      </c>
      <c r="AR101" s="9">
        <f>IFERROR(MROUND(_xlfn.XLOOKUP(B101,'Base stats'!B:B,'Base stats'!H:H)/IF(_xlfn.XLOOKUP(B101,'Base stats'!B:B,'Base stats'!I:I)&lt;&gt;1,(122.5/70),1.2),IF(_xlfn.XLOOKUP(B101,'Base stats'!B:B,'Base stats'!H:H)&gt;=30,5,IF(_xlfn.XLOOKUP(B101,'Base stats'!B:B,'Base stats'!H:H)&gt;=15,3,IF(_xlfn.XLOOKUP(B101,'Base stats'!B:B,'Base stats'!H:H)&gt;=10,2,1)))),"Immortal")</f>
        <v>4</v>
      </c>
      <c r="AS101" s="35">
        <f>IFERROR(IF(OR(_xlfn.XLOOKUP(B101,'Base stats'!B:B,'Base stats'!F:F)="Atypical reproduction",_xlfn.XLOOKUP(B101,'Base stats'!B:B,'Base stats'!F:F)="Lay eggs"),"Lay eggs",MIN(20,MAX(5.5,ROUND(((_xlfn.XLOOKUP(B101,'Base stats'!B:B,'Base stats'!F:F)-25)*(14.5/615) + 5.5)*2,0)/2))),"Unknown")</f>
        <v>6</v>
      </c>
      <c r="AT101" s="8">
        <f>IF(_xlfn.XLOOKUP(B101,'Base stats'!B:B,'Base stats'!G:G)="Atypical reproduction","No",IFERROR(MAX(IF(_xlfn.XLOOKUP(B101,'Base stats'!B:B,'Base stats'!G:G)&lt;0.5,0.2,0.3),MROUND(_xlfn.XLOOKUP(B101,'Base stats'!B:B,'Base stats'!G:G)/(365/60),0.2)),"Unknown"))</f>
        <v>0.4</v>
      </c>
      <c r="AU101" s="8">
        <f t="shared" si="8"/>
        <v>0.2</v>
      </c>
      <c r="AV101" s="8">
        <f>IFERROR(IFERROR(MROUND(_xlfn.XLOOKUP(B101,'Base stats'!B:B,'Base stats'!J:J),0.1),"Lay eggs"),"Cannot breed")</f>
        <v>9</v>
      </c>
      <c r="AW101" s="2" t="str">
        <f t="shared" si="9"/>
        <v>false</v>
      </c>
      <c r="AX101" s="2" t="str">
        <f>IF(_xlfn.XLOOKUP(_xlfn.XLOOKUP(Animals!B101,'Base stats'!B:B,'Base stats'!E:E),Groups!A:A,Groups!AK:AK)=1,"true","false")</f>
        <v>false</v>
      </c>
      <c r="AY101" s="25" t="str">
        <f>IF(_xlfn.XLOOKUP(B101,'Base stats'!B:B,'Base stats'!Y:Y)="Liquor","Liquor, CarnivoreAnimalStrict",IF(AND(_xlfn.XLOOKUP(B101,'Base stats'!B:B,'Base stats'!Y:Y)="Carnivore",_xlfn.XLOOKUP(_xlfn.XLOOKUP(B101,'Base stats'!B:B,'Base stats'!E:E),Groups!A:A,Groups!AJ:AJ)="Photonozoa"),"CarnivoreAnimalStrict, OvivoreAnimal",IF(_xlfn.XLOOKUP(B101,'Base stats'!B:B,'Base stats'!Y:Y)="Carnivore","CarnivoreAnimal, OvivoreAnimal",IF(_xlfn.XLOOKUP(B101,'Base stats'!B:B,'Base stats'!Y:Y)="Dendrovore","VegetarianRoughAnimal, DendrovoreAnimal",IF(_xlfn.XLOOKUP(B101,'Base stats'!B:B,'Base stats'!Y:Y)="Herbivore","VegetarianRoughAnimal",IF(_xlfn.XLOOKUP(B101,'Base stats'!B:B,'Base stats'!Y:Y)="OmnivoreRough","OmnivoreRoughAnimal, OvivoreAnimal","OmnivoreAnimal, OvivoreAnimal"))))))</f>
        <v>OmnivoreRoughAnimal, OvivoreAnimal</v>
      </c>
      <c r="AZ101" s="2">
        <f>IF(_xlfn.XLOOKUP(_xlfn.XLOOKUP(B101,'Base stats'!B:B,'Base stats'!E:E),Groups!A:A,Groups!D:D)=1,MROUND((1-J101)*5+1,2)*IF(J101&lt;=0.4,2,1),"No")</f>
        <v>4</v>
      </c>
      <c r="BA101" s="2" t="str">
        <f>IF(AND(_xlfn.XLOOKUP(B101,'Base stats'!B:B,'Base stats'!AH:AH)="&lt;li&gt;Seal&lt;/li&gt;",G101="Odyssey"),"&lt;li&gt;AEXP_Seal&lt;/li&gt;",_xlfn.XLOOKUP(B101,'Base stats'!B:B,'Base stats'!AH:AH))</f>
        <v>No</v>
      </c>
      <c r="BB101" s="2" t="str">
        <f>_xlfn.XLOOKUP(B101,'Base stats'!B:B,'Base stats'!AG:AG)</f>
        <v>No</v>
      </c>
      <c r="BC101" s="23" t="str">
        <f>_xlfn.XLOOKUP(_xlfn.XLOOKUP(B101,'Base stats'!B:B,'Base stats'!E:E),Groups!A:A,Groups!AL:AL)</f>
        <v>Crab</v>
      </c>
      <c r="BD101" s="23">
        <f>MIN(1,MROUND(IF(AND(AO101&lt;0.5,_xlfn.XLOOKUP(B101,'Base stats'!B:B,'Base stats'!AA:AA)=0),0,IF(OR(_xlfn.XLOOKUP(Animals!B101,'Base stats'!B:B,'Base stats'!O:O)=2,_xlfn.XLOOKUP(_xlfn.XLOOKUP(B101,'Base stats'!B:B,'Base stats'!E:E),Groups!A:A,Groups!AN:AN)=0),0,_xlfn.XLOOKUP(_xlfn.XLOOKUP(B101,'Base stats'!B:B,'Base stats'!E:E),Groups!A:A,Groups!AN:AN)/IF(_xlfn.XLOOKUP(Animals!B101,'Base stats'!B:B,'Base stats'!O:O)=1,2,1)))+_xlfn.XLOOKUP(B101,'Base stats'!B:B,'Base stats'!AC:AC),0.005))</f>
        <v>0</v>
      </c>
      <c r="BE101" s="23">
        <f>MIN(1,MROUND(IF(AND(AO101&lt;0.5,_xlfn.XLOOKUP(B101,'Base stats'!B:B,'Base stats'!AA:AA)=0),0,IF(_xlfn.XLOOKUP(_xlfn.XLOOKUP(B101,'Base stats'!B:B,'Base stats'!E:E),Groups!A:A,Groups!AO:AO)=0,0,_xlfn.XLOOKUP(_xlfn.XLOOKUP(B101,'Base stats'!B:B,'Base stats'!E:E),Groups!A:A,Groups!AO:AO)/IF(_xlfn.XLOOKUP(Animals!B101,'Base stats'!B:B,'Base stats'!O:O)=2,3,1)))+_xlfn.XLOOKUP(B101,'Base stats'!B:B,'Base stats'!AD:AD),0.005))</f>
        <v>0</v>
      </c>
      <c r="BF101" s="2" t="str">
        <f>IF(J101&gt;0.3,"No",_xlfn.XLOOKUP(_xlfn.XLOOKUP(Animals!B101,'Base stats'!B:B,'Base stats'!E:E),Groups!A:A,Groups!AP:AP))</f>
        <v>No</v>
      </c>
      <c r="BG101" s="2" t="str">
        <f>IF(AND(J101&lt;=0.65,_xlfn.XLOOKUP(_xlfn.XLOOKUP(Animals!B101,'Base stats'!B:B,'Base stats'!E:E),Groups!A:A,Groups!AP:AP)&lt;&gt;"No",_xlfn.XLOOKUP(_xlfn.XLOOKUP(B101,'Base stats'!B:B,'Base stats'!E:E),Groups!A:A,Groups!D:D)=0),MROUND((80/3)*IF(_xlfn.XLOOKUP(B101,'Base stats'!B:B,'Base stats'!O:O)=2,0.2,AO101) + 24*(1-IF(BF101="No",0,BF101)) + 16/3, 12),"No")</f>
        <v>No</v>
      </c>
      <c r="BH101" s="2">
        <f>IF(AND(_xlfn.XLOOKUP(_xlfn.XLOOKUP(B101,'Base stats'!B:B,'Base stats'!E:E),Groups!A:A,Groups!AQ:AQ)=1,AO101&lt;=0.35),8,12)</f>
        <v>12</v>
      </c>
      <c r="BI101" s="2" t="str">
        <f>IF(_xlfn.XLOOKUP(_xlfn.XLOOKUP(B101,'Base stats'!B:B,'Base stats'!E:E),Groups!A:A,Groups!D:D)=0,_xlfn.XLOOKUP(_xlfn.XLOOKUP(B101,'Base stats'!B:B,'Base stats'!E:E),Groups!A:A,Groups!AR:AR),"None")</f>
        <v>None</v>
      </c>
      <c r="BJ101" s="2" t="str">
        <f>IF(AND(_xlfn.XLOOKUP(_xlfn.XLOOKUP(B101,'Base stats'!B:B,'Base stats'!E:E),Groups!A:A,Groups!AS:AS)=1,OR(_xlfn.XLOOKUP(B101,'Base stats'!B:B,'Base stats'!Y:Y)="Carnivore",_xlfn.XLOOKUP(B101,'Base stats'!B:B,'Base stats'!Y:Y)="Omnivore")),"true","false")</f>
        <v>false</v>
      </c>
      <c r="BK101" s="2" t="str">
        <f>IF(BJ101="true",MROUND(IF(AND(AO101&gt;0.5,OR(_xlfn.XLOOKUP(_xlfn.XLOOKUP(B101,'Base stats'!B:B,'Base stats'!E:E),Groups!A:A,Groups!AJ:AJ)="Photonozoa",_xlfn.XLOOKUP(_xlfn.XLOOKUP(B101,'Base stats'!B:B,'Base stats'!E:E),Groups!A:A,Groups!AJ:AJ)="Mammal")),Animals!AO101*1.75*IF(AW101="true",1.5,1),IF(AO101&lt;0.5,Animals!AO101*0.5,Animals!AO101)),IF(AO101&gt;2,0.5,IF(AO101&gt;0.5,0.25,0.1))),"No")</f>
        <v>No</v>
      </c>
      <c r="BL101" s="2">
        <f t="shared" si="10"/>
        <v>0</v>
      </c>
      <c r="BM101" s="25" t="str">
        <f>IF(_xlfn.XLOOKUP(B101,'Base stats'!B:B,'Base stats'!AN:AN)="Standard","No",MROUND((_xlfn.XLOOKUP(B101,'Base stats'!B:B,'Base stats'!AN:AN)/3.6)/I101,0.1))</f>
        <v>No</v>
      </c>
      <c r="BN101" s="25" t="str">
        <f t="shared" si="11"/>
        <v>true</v>
      </c>
      <c r="BO101" s="25" t="str">
        <f>IF(AND(OR(_xlfn.XLOOKUP(B101,'Base stats'!B:B,'Base stats'!Y:Y)="Carnivore",_xlfn.XLOOKUP(B101,'Base stats'!B:B,'Base stats'!Y:Y)="Omnivore",_xlfn.XLOOKUP(B101,'Base stats'!B:B,'Base stats'!Y:Y)="OmnivoreRough"),_xlfn.XLOOKUP(_xlfn.XLOOKUP(B101,'Base stats'!B:B,'Base stats'!E:E),Groups!A:A,Groups!AT:AT)=1),"true","false")</f>
        <v>false</v>
      </c>
      <c r="BP101" s="25" t="str" cm="1">
        <f t="array" ref="BP101">IF(
  _xlfn.TEXTJOIN(", ",TRUE,
    IF(AND(BJ101="true",AO101&gt;0.5,BI101&lt;&gt;"None"),"AttackTarget",""),
    IF(AND(_xlfn.XLOOKUP(_xlfn.XLOOKUP(B101,'Base stats'!B:B,'Base stats'!E:E),Groups!A:A,Groups!AJ:AJ="Mammal"),OR(_xlfn.XLOOKUP(B101,'Base stats'!B:B,'Base stats'!Y:Y)="Omnivore",_xlfn.XLOOKUP(B101,'Base stats'!B:B,'Base stats'!Y:Y)="OmnivoreRough")),"Forage",""),
    IF(BG101&lt;=36,"Comfort",""),
    IF(_xlfn.XLOOKUP(B101,'Base stats'!B:B,'Base stats'!AE:AE)&lt;&gt;"No",_xlfn.XLOOKUP(B101,'Base stats'!B:B,'Base stats'!AE:AE),"")
  ) = "",
  "No",
  _xlfn.TEXTJOIN(", ",TRUE,
    IF(AND(BJ101="true",AO101&gt;0.5,BI101&lt;&gt;"None"),"AttackTarget",""),
    IF(AND(_xlfn.XLOOKUP(_xlfn.XLOOKUP(B101,'Base stats'!B:B,'Base stats'!E:E),Groups!A:A,Groups!AJ:AJ="Mammal"),OR(_xlfn.XLOOKUP(B101,'Base stats'!B:B,'Base stats'!Y:Y)="Omnivore",_xlfn.XLOOKUP(B101,'Base stats'!B:B,'Base stats'!Y:Y)="OmnivoreRough")),"Forage",""),
    IF(BG101&lt;=36,"Comfort",""),
    IF(_xlfn.XLOOKUP(B101,'Base stats'!B:B,'Base stats'!AE:AE)&lt;&gt;"No",_xlfn.XLOOKUP(B101,'Base stats'!B:B,'Base stats'!AE:AE),"")
  )
)</f>
        <v>No</v>
      </c>
      <c r="BQ101" s="25">
        <f>IF(
   AND(
      'Base stats'!AN101="Standard",_xlfn.XLOOKUP(_xlfn.XLOOKUP(B101,'Base stats'!B:B,'Base stats'!E:E),Groups!A:A,Groups!AU:AU)=0,
      OR(
      BO101="True"
      )
   ),
   10,
   IF(
       OR(BM101&lt;&gt;"No",_xlfn.XLOOKUP(_xlfn.XLOOKUP(B101,'Base stats'!B:B,'Base stats'!E:E),Groups!A:A,Groups!AU:AU)=1),
      1,
      "No"
   )
)</f>
        <v>1</v>
      </c>
      <c r="BR101" s="9">
        <f>MROUND((1 + ((0.2*IF(OR(Q101="No",R101="No",R101=0),0,Q101/R101)
+IF(OR(V101="No",S101="No",T101="No"),0,S101/T101*(LEN(V101)-LEN(SUBSTITUTE(V101,",",""))+1))
+IF(OR(X101="No",Y101="No"),0,X101/Y101)
+IF(OR(AD101="No",AE101="No"),0,AD101/AE101)
+IF(OR(AL101="No",AI101="No",AJ101="No"),0,AI101/AJ101*(LEN(AL101)-LEN(SUBSTITUTE(AL101,",",""))+1))
)/(0.2*IF(OR(Q101="No",R101="No",R101=0),0,1)
+IF(OR(V101="No",S101="No",T101="No"),0,LEN(V101)-LEN(SUBSTITUTE(V101,",",""))+1)
+IF(OR(X101="No",Y101="No"),0,1)
+IF(OR(AD101="No",AE101="No"),0,1)
+IF(OR(AL101="No",AI101="No",AJ101="No"),0,LEN(AL101)-LEN(SUBSTITUTE(AL101,",",""))+1))*62%)* 2)*(1 + (AP101 / (IF(_xlfn.XLOOKUP(_xlfn.XLOOKUP(B101,'Base stats'!B:B,'Base stats'!E:E),Groups!A:A,Groups!AJ:AJ)="Photonozoa",0.3,1)) + _xlfn.XLOOKUP(B101,'Base stats'!B:B,'Base stats'!AV:AV) * 1.8) * 2) * 2.5 + 10 + I101 * 2,5)+IF(_xlfn.XLOOKUP(B101,'Base stats'!B:B,'Base stats'!AK:AK)=1,50,0)</f>
        <v>25</v>
      </c>
      <c r="BS101" s="8">
        <f t="shared" si="12"/>
        <v>0.05</v>
      </c>
      <c r="BT101" s="8" t="str">
        <f>_xlfn.XLOOKUP(B101,'Base stats'!B:B,'Base stats'!AF:AF)</f>
        <v>No</v>
      </c>
      <c r="BU101" s="2" t="str">
        <f>IF(AND(J101&lt;=0.95,OR(_xlfn.XLOOKUP(B101,'Base stats'!B:B,'Base stats'!AK:AK)=1,_xlfn.XLOOKUP(B101,'Base stats'!B:B,'Base stats'!Y:Y)="Carnivore",_xlfn.XLOOKUP(B101,'Base stats'!B:B,'Base stats'!Y:Y)="Omnivore",BE101&gt;0.1)),"true","false")</f>
        <v>false</v>
      </c>
      <c r="BV101" s="2" t="str">
        <f>IF(_xlfn.XLOOKUP(B101,'Base stats'!B:B,'Base stats'!AI:AI)=1,"true","false")</f>
        <v>false</v>
      </c>
      <c r="BW101" s="25" t="str">
        <f>IF(E101="BaseInsect","AnimalInsect",
IF(J101&gt;0.95,"AnimalExotic",
_xlfn.TEXTJOIN(", ",TRUE,
IF(OR(_xlfn.XLOOKUP(B101,'Base stats'!B:B,'Base stats'!AM:AM)=1,AND(_xlfn.XLOOKUP(B101,'Base stats'!B:B,'Base stats'!O:O)=0,_xlfn.XLOOKUP(_xlfn.XLOOKUP(B101,'Base stats'!B:B,'Base stats'!E:E),Groups!A:A,Groups!B:B)&gt;0)),"AnimalUncommon","AnimalCommon"),
IF(AND(_xlfn.XLOOKUP(B101,'Base stats'!B:B,'Base stats'!O:O)=2,_xlfn.XLOOKUP(_xlfn.XLOOKUP(B101,'Base stats'!B:B,'Base stats'!E:E),Groups!A:A,Groups!D:D)=0),"AnimalPet",IF(AND(_xlfn.XLOOKUP(B101,'Base stats'!B:B,'Base stats'!O:O)&lt;&gt;0,_xlfn.XLOOKUP(_xlfn.XLOOKUP(B101,'Base stats'!B:B,'Base stats'!E:E),Groups!A:A,Groups!D:D)&lt;&gt;0),"AnimalFarm","")),
IF(OR(_xlfn.XLOOKUP(B101,'Base stats'!B:B,'Base stats'!AK:AK)=1,AND(BI101&lt;&gt;"None",BR101&gt;=60),ISNUMBER(SEARCH("Attack target",BP101))),"AnimalFighter","")
)))</f>
        <v>AnimalCommon</v>
      </c>
      <c r="BX101" s="25" t="str">
        <f>IF(G101="None",TRIM(
SUBSTITUTE(
IF(COUNTIF(Biomes!B$2:B$259,"="&amp;$C101)&gt;0,Biomes!B$1&amp;", ","")&amp;
IF(COUNTIF(Biomes!C$2:C$259,"="&amp;$C101)&gt;0,Biomes!C$1&amp;", ","")&amp;
IF(COUNTIF(Biomes!D$2:D$259,"="&amp;$C101)&gt;0,Biomes!D$1&amp;", ","")&amp;
IF(COUNTIF(Biomes!F$2:F$259,"="&amp;$C101)&gt;0,Biomes!F$1&amp;", ","")&amp;
IF(COUNTIF(Biomes!G$2:G$259,"="&amp;$C101)&gt;0,Biomes!G$1&amp;", ","")&amp;
IF(COUNTIF(Biomes!H$2:H$259,"="&amp;$C101)&gt;0,Biomes!H$1&amp;", ","")&amp;
IF(COUNTIF(Biomes!I$2:I$259,"="&amp;$C101)&gt;0,Biomes!I$1&amp;", ","")&amp;
IF(COUNTIF(Biomes!J$2:J$259,"="&amp;$C101)&gt;0,Biomes!J$1&amp;", ","")&amp;
IF(COUNTIF(Biomes!M$2:M$259,"="&amp;$C101)&gt;0,Biomes!M$1&amp;", ","")&amp;
IF(COUNTIF(Biomes!N$2:N$259,"="&amp;$C101)&gt;0,Biomes!N$1&amp;", ","")&amp;
IF(COUNTIF(Biomes!O$2:O$259,"="&amp;$C101)&gt;0,Biomes!O$1&amp;", ","")&amp;
IF(COUNTIF(Biomes!P$2:P$259,"="&amp;$C101)&gt;0,Biomes!P$1&amp;", ","")&amp;
IF(COUNTIF(Biomes!K$2:K$259,"="&amp;$C101)&gt;0,Biomes!K$1&amp;", ","")&amp;
IF(COUNTIF(Biomes!Q$3:Q$259,"="&amp;$C101)&gt;0,Biomes!Q$1&amp;", ","")&amp;
IF(COUNTIF(Biomes!L$2:L$259,"="&amp;$C101)&gt;0,Biomes!L$1&amp;", ","")&amp;
IF(COUNTIF(Biomes!E$2:E$259,"="&amp;$C101)&gt;0,Biomes!E$1&amp;", ","")&amp;IF(COUNTIF(Biomes!S$2:S$259,"="&amp;$C101)&gt;0,Biomes!S$1&amp;", ","")&amp;
IF(COUNTIF(Biomes!R$2:R$259,"="&amp;$C101)&gt;0,Biomes!R$1&amp;", ",""),", ","")
),_xlfn.XLOOKUP(B101,B:B,BX:BX))</f>
        <v>TemperateForest TemperateSwamp AridShrubland Desert ExtremeDesert TropicalRainforest TropicalSwamp Grasslands Glowforest LavaField Scarlands</v>
      </c>
      <c r="BY101" s="25" t="str">
        <f>IF(_xlfn.XLOOKUP(B101,'Base stats'!B:B,'Base stats'!AJ:AJ)=1,"true","false")</f>
        <v>true</v>
      </c>
      <c r="BZ101" s="25">
        <f>IF(_xlfn.XLOOKUP(B101,'Base stats'!B:B,'Base stats'!N:N)=1,"No",MAX(0.001,MIN(MROUND(IF(AND(BJ101="True",CC101="False"),POWER(10,3.47*LOG10(_xlfn.XLOOKUP(B101,'Base stats'!B:B,'Base stats'!C:C)*1000)^-0.96),POWER(10,4.15*LOG10(_xlfn.XLOOKUP(B101,'Base stats'!B:B,'Base stats'!C:C)*1000)^-0.73))*IF(_xlfn.XLOOKUP(B101,'Base stats'!B:B,'Base stats'!AK:AK)=1,0.5,1)*IF(_xlfn.XLOOKUP(B101,'Base stats'!B:B,'Base stats'!AM:AM)=1,0.1,1)/100,IF(_xlfn.XLOOKUP(B101,'Base stats'!B:B,'Base stats'!AM:AM)=1,0.001,0.025)),0.5)))</f>
        <v>0.5</v>
      </c>
      <c r="CA101" s="25" t="str">
        <f>IF(P101="Standard","No",MAX(0.001,MIN(MROUND(IF(AND(BJ101="True",CC101="False"),POWER(10,3.47*LOG10(_xlfn.XLOOKUP(B101,'Base stats'!B:B,'Base stats'!C:C)*1000)^-0.96),POWER(10,4.15*LOG10(_xlfn.XLOOKUP(B101,'Base stats'!B:B,'Base stats'!C:C)*1000)^-0.73))*IF(_xlfn.XLOOKUP(B101,'Base stats'!B:B,'Base stats'!AM:AM)=1,0.1,1)*_xlfn.XLOOKUP(B101,'Base stats'!B:B,'Base stats'!R:R)/100,IF(_xlfn.XLOOKUP(B101,'Base stats'!B:B,'Base stats'!AM:AM)=1,0.001,0.025)),0.5)))</f>
        <v>No</v>
      </c>
      <c r="CB101" s="25" t="str">
        <f>IF(_xlfn.XLOOKUP(_xlfn.XLOOKUP(B101,'Base stats'!B:B,'Base stats'!E:E),Groups!A:A,Groups!AJ:AJ)="Mammal","True","False")</f>
        <v>False</v>
      </c>
      <c r="CC101" s="25" t="str">
        <f>IF(OR(_xlfn.XLOOKUP(_xlfn.XLOOKUP(B101,'Base stats'!B:B,'Base stats'!E:E),Groups!A:A,Groups!AJ:AJ)="Reptile",_xlfn.XLOOKUP(_xlfn.XLOOKUP(B101,'Base stats'!B:B,'Base stats'!E:E),Groups!A:A,Groups!AJ:AJ)="Amphibian",_xlfn.XLOOKUP(_xlfn.XLOOKUP(B101,'Base stats'!B:B,'Base stats'!E:E),Groups!A:A,Groups!AJ:AJ)="Invertebrate"),"True","False")</f>
        <v>True</v>
      </c>
      <c r="CD101" s="25" t="str">
        <f t="shared" si="13"/>
        <v>False</v>
      </c>
      <c r="CE101" s="25" t="str">
        <f>IF(_xlfn.XLOOKUP(_xlfn.XLOOKUP(B101,'Base stats'!B:B,'Base stats'!E:E),Groups!A:A,Groups!AX:AX),"True","False")</f>
        <v>False</v>
      </c>
      <c r="CF101" s="25" t="str">
        <f>IF(_xlfn.XLOOKUP(_xlfn.XLOOKUP(B101,'Base stats'!B:B,'Base stats'!E:E),Groups!A:A,Groups!AY:AY),"True","False")</f>
        <v>False</v>
      </c>
      <c r="CG101" s="25" t="str">
        <f>IF(_xlfn.XLOOKUP(_xlfn.XLOOKUP(B101,'Base stats'!B:B,'Base stats'!E:E),Groups!A:A,Groups!AW:AW),"True","False")</f>
        <v>False</v>
      </c>
      <c r="CH101" s="25" t="str">
        <f>IF(
OR(
_xlfn.XLOOKUP(_xlfn.XLOOKUP(B101,'Base stats'!B:B,'Base stats'!E:E),Groups!A:A,Groups!AZ:AZ)=0,
AND(
_xlfn.XLOOKUP(B101,'Base stats'!B:B,'Base stats'!Y:Y)&lt;&gt;"Carnivore",
_xlfn.XLOOKUP(B101,'Base stats'!B:B,'Base stats'!Y:Y)&lt;&gt;"Omnivore",
_xlfn.XLOOKUP(B101,'Base stats'!B:B,'Base stats'!Y:Y)&lt;&gt;"OmnivoreRough"
)
),
"No",
IF(
_xlfn.XLOOKUP(_xlfn.XLOOKUP(B101,'Base stats'!B:B,'Base stats'!E:E),Groups!A:A,Groups!AZ:AZ)=1,
"Flesh",
IF(
_xlfn.XLOOKUP(_xlfn.XLOOKUP(B101,'Base stats'!B:B,'Base stats'!E:E),Groups!A:A,Groups!AZ:AZ)=2,
"Bone",
""
)
)
)</f>
        <v>Flesh</v>
      </c>
      <c r="CI101" s="25" t="str">
        <f>IF(_xlfn.XLOOKUP(_xlfn.XLOOKUP(B101,'Base stats'!B:B,'Base stats'!E:E),Groups!A:A,Groups!BB:BB),"True","False")</f>
        <v>False</v>
      </c>
      <c r="CJ101" s="25" t="str">
        <f>IF(_xlfn.XLOOKUP(_xlfn.XLOOKUP(B101,'Base stats'!B:B,'Base stats'!E:E),Groups!A:A,Groups!BA:BA),"True","False")</f>
        <v>False</v>
      </c>
    </row>
    <row r="102" spans="1:88" ht="16.5" thickTop="1" thickBot="1" x14ac:dyDescent="0.3">
      <c r="A102" s="26" t="str">
        <f>_xlfn.XLOOKUP(B102,'Base stats'!B:B,'Base stats'!A:A)</f>
        <v>HermitCrab</v>
      </c>
      <c r="B102" s="6" t="s">
        <v>286</v>
      </c>
      <c r="C102" s="28" t="s">
        <v>782</v>
      </c>
      <c r="D102" s="28" t="s">
        <v>870</v>
      </c>
      <c r="E102" s="28" t="s">
        <v>673</v>
      </c>
      <c r="F102" s="28" t="s">
        <v>673</v>
      </c>
      <c r="G102" s="28" t="s">
        <v>673</v>
      </c>
      <c r="H102" s="2">
        <f>MROUND((
  (IF(AND(_xlfn.XLOOKUP(B102,'Base stats'!B:B,'Base stats'!AL:AL)=0,BI102="None",_xlfn.XLOOKUP(_xlfn.XLOOKUP(B102,'Base stats'!B:B,'Base stats'!E:E),Groups!A:A,Groups!B:B)=0), (18 + BR102 * 2.7) * 0.5,
    IF(AND(_xlfn.XLOOKUP(B102,'Base stats'!B:B,'Base stats'!AL:AL)=0,OR(AO102&lt;0.55,AND(BI102="Intermediate",_xlfn.XLOOKUP(_xlfn.XLOOKUP(B102,'Base stats'!B:B,'Base stats'!E:E),Groups!A:A,Groups!B:B)&lt;2))), (18 + BR102 * 2.7),
      IF(OR(BI102="Advanced",_xlfn.XLOOKUP(B102,'Base stats'!B:B,'Base stats'!AL:AL)=1,_xlfn.XLOOKUP(_xlfn.XLOOKUP(B102,'Base stats'!B:B,'Base stats'!E:E),Groups!A:A,Groups!B:B)=2), (18 + BR102 * 2.7) + 250, (18 + BR102 * 2.7))
    )
  ))
  + AO102 * 80
  + IF(COUNTIF(EggMilk!K$2:K$998, A102) &gt; 0, 125, 0)
  + IF(COUNTIF(EggMilk!P$2:P$998, A102) &gt; 0, 90, 0)
  + IF(COUNTIF(EggMilk!A$2:A$998, A102) &gt; 0, 90, 0)
)
* (0.8 + 0.4 * J102)
* 0.75,25)</f>
        <v>50</v>
      </c>
      <c r="I102" s="2">
        <f>MROUND(ROUNDDOWN(_xlfn.XLOOKUP(B102,'Base stats'!B:B,'Base stats'!L:L)/3.6/(23.3/11),1),0.5)</f>
        <v>0.5</v>
      </c>
      <c r="J102" s="2">
        <f>IF(OR(_xlfn.XLOOKUP(B102,'Base stats'!B:B,'Base stats'!AB:AB)=1,_xlfn.XLOOKUP(_xlfn.XLOOKUP(B102,'Base stats'!B:B,'Base stats'!E:E),Groups!A:A,Groups!C:C)="Untamable"),1,IF(_xlfn.XLOOKUP(B102,'Base stats'!B:B,'Base stats'!AL:AL)=1,0.99,MIN(MROUND((1-0.6282*EXP(-0.459*AO102))*_xlfn.XLOOKUP(_xlfn.XLOOKUP(B102,'Base stats'!B:B,'Base stats'!E:E),Groups!A:A,Groups!C:C)*IF(_xlfn.XLOOKUP(B102,'Base stats'!B:B,'Base stats'!O:O)=1,0.5,IF(_xlfn.XLOOKUP(B102,'Base stats'!B:B,'Base stats'!O:O)=2,0,1)),0.05),IF(AO102&gt;3.5,0.985,0.95))))</f>
        <v>0.60000000000000009</v>
      </c>
      <c r="K102" s="2">
        <f>ROUNDUP(AO102*_xlfn.XLOOKUP(_xlfn.XLOOKUP(B102,'Base stats'!B:B,'Base stats'!E:E),Groups!A:A,Groups!E:E),0)</f>
        <v>1</v>
      </c>
      <c r="L102" s="2">
        <f>IF(OR(_xlfn.XLOOKUP(_xlfn.XLOOKUP(B102,'Base stats'!B:B,'Base stats'!E:E),Groups!A:A,Groups!F:F)=2,ISNUMBER(SEARCH("SeaIce",BX102)),ISNUMBER(SEARCH("IceSheet",BX102))),-50,IF(OR(ISNUMBER(SEARCH("GlacialPlain",BX102)),ISNUMBER(SEARCH("Tundra",BX102))),-40,IF(OR(ISNUMBER(SEARCH("Alpine",BX102)),ISNUMBER(SEARCH("BorealForest",BX102)),ISNUMBER(SEARCH("ColdBog",BX102))),-30,IF(OR(ISNUMBER(SEARCH("TemperateForest",BX102)),ISNUMBER(SEARCH("TemperateSwamp",BX102))),-20,IF(_xlfn.XLOOKUP(_xlfn.XLOOKUP(B102,'Base stats'!B:B,'Base stats'!E:E),Groups!A:A,Groups!F:F)=1,-15,IF(OR(ISNUMBER(SEARCH("Desert",BX102)),ISNUMBER(SEARCH("ExtremeDesert",BX102))),-10,IF(OR(ISNUMBER(SEARCH("Grasslands",BX102)),ISNUMBER(SEARCH("TropicalRainforest",BX102)),ISNUMBER(SEARCH("TropicalSwamp",BX102))),10,0)))))))-IF(CC102="False",MIN(IFERROR(MAX(MROUND(LOG10(_xlfn.XLOOKUP(B102,'Base stats'!B:B,'Base stats'!C:C)^(2/3))*10,5),5),5),30))-_xlfn.XLOOKUP(B102,'Base stats'!B:B,'Base stats'!P:P)+IF(CC102="True",5,0)</f>
        <v>-5</v>
      </c>
      <c r="M102" s="2">
        <f>IF(OR(_xlfn.XLOOKUP(_xlfn.XLOOKUP(B102,'Base stats'!B:B,'Base stats'!E:E),Groups!A:A,Groups!G:G)=2,ISNUMBER(SEARCH("Desert",BX102)),ISNUMBER(SEARCH("ExtremeDesert",BX102)),ISNUMBER(SEARCH("LavaField",BX102))),50,IF(ISNUMBER(SEARCH("Grasslands",BX102)),45,IF(OR(_xlfn.XLOOKUP(_xlfn.XLOOKUP(B102,'Base stats'!B:B,'Base stats'!E:E),Groups!A:A,Groups!G:G)=1,ISNUMBER(SEARCH("TropicalRainforest",BX102)),ISNUMBER(SEARCH("TropicalSwamp",BX102))),40,IF(OR(ISNUMBER(SEARCH("TemperateForest",BX102)),ISNUMBER(SEARCH("TemperateSwamp",BX102))),35,IF(OR(ISNUMBER(SEARCH("Alpine",BX102)),ISNUMBER(SEARCH("BorealForest",BX102)),ISNUMBER(SEARCH("ColdBog",BX102))),30,IF(ISNUMBER(OR(ISNUMBER(SEARCH("GlacialPlain",BX102)),SEARCH("Tundra",BX102))),25,IF(OR(ISNUMBER(SEARCH("SeaIce",BX102)),ISNUMBER(SEARCH("IceSheet",BX102)),ISNUMBER(SEARCH("TropicalSwamp",BX102))),10,35)))))))+_xlfn.XLOOKUP(B102,'Base stats'!B:B,'Base stats'!Q:Q)</f>
        <v>50</v>
      </c>
      <c r="N102" s="8">
        <f>IF(
_xlfn.XLOOKUP(
_xlfn.XLOOKUP(B102,'Base stats'!B:B,'Base stats'!E:E),
Groups!A:A,
Groups!L:L
)=1,
MIN(
MROUND(
IF(
_xlfn.XLOOKUP(B102,'Animals CE'!B:B,'Animals CE'!Z:Z)&lt;=1.5,
_xlfn.XLOOKUP(B102,'Animals CE'!B:B,'Animals CE'!Z:Z)/2+0.05,
0.8+
(_xlfn.XLOOKUP(B102,'Animals CE'!B:B,'Animals CE'!Z:Z)-1.5)
*0.02
),
0.05
),
200%
),
"No"
)</f>
        <v>0.05</v>
      </c>
      <c r="O102" s="8">
        <f>IF(
_xlfn.XLOOKUP(
_xlfn.XLOOKUP(B102,'Base stats'!B:B,'Base stats'!E:E),
Groups!A:A,
Groups!L:L
)=1,
MIN(
MROUND(
IF(
_xlfn.XLOOKUP(B102,'Animals CE'!B:B,'Animals CE'!AA:AA)&lt;=1.5,
_xlfn.XLOOKUP(B102,'Animals CE'!B:B,'Animals CE'!AA:AA)/2+0.05,
0.8+
(_xlfn.XLOOKUP(B102,'Animals CE'!B:B,'Animals CE'!AA:AA)-1.5)
*0.02
),
0.05
),
200%
),
"No"
)</f>
        <v>0.05</v>
      </c>
      <c r="P102" s="2" t="str">
        <f>_xlfn.XLOOKUP(B102,'Base stats'!B:B,'Base stats'!R:R)</f>
        <v>Standard</v>
      </c>
      <c r="Q102" s="13">
        <f>MROUND((LOG10(_xlfn.XLOOKUP(B102,'Base stats'!B:B,'Base stats'!AR:AR))*(AO102^0.5)+(_xlfn.XLOOKUP(B102,'Base stats'!B:B,'Base stats'!AR:AR)/1000)^(2/3)+_xlfn.XLOOKUP(B102,'Base stats'!B:B,'Base stats'!BA:BA)/2)+0.5,0.5)</f>
        <v>1</v>
      </c>
      <c r="R102" s="7">
        <f>IF(Q102="No","No",MAX(1,MROUND(_xlfn.XLOOKUP(B102,'Base stats'!B:B,'Base stats'!C:C)^0.165,0.05)))</f>
        <v>1</v>
      </c>
      <c r="S102" s="13" t="str">
        <f>IF(_xlfn.XLOOKUP(_xlfn.XLOOKUP(B102,'Base stats'!B:B,'Base stats'!E:E),Groups!A:A,Groups!P:P)=0,"No",MROUND((LOG10(_xlfn.XLOOKUP(B102,'Base stats'!B:B,'Base stats'!AS:AS))*(AO102^0.5)+(_xlfn.XLOOKUP(B102,'Base stats'!B:B,'Base stats'!AS:AS)/1000)^(2/3)+_xlfn.XLOOKUP(B102,'Base stats'!B:B,'Base stats'!BA:BA))+_xlfn.XLOOKUP(B102,'Base stats'!B:B,'Base stats'!AY:AY)+0.5,0.5))</f>
        <v>No</v>
      </c>
      <c r="T102" s="7" t="str">
        <f>IF(S102="No","No",MAX(_xlfn.XLOOKUP(_xlfn.XLOOKUP(B102,'Base stats'!B:B,'Base stats'!E:E),Groups!A:A,Groups!Q:Q),MROUND(_xlfn.XLOOKUP(_xlfn.XLOOKUP(B102,'Base stats'!B:B,'Base stats'!E:E),Groups!A:A,Groups!Q:Q)*_xlfn.XLOOKUP(B102,'Base stats'!B:B,'Base stats'!C:C)^0.165,0.05)))</f>
        <v>No</v>
      </c>
      <c r="U102" s="7" t="str">
        <f>IF(S102="No","No",_xlfn.XLOOKUP(_xlfn.XLOOKUP(B102,'Base stats'!B:B,'Base stats'!E:E),Groups!A:A,Groups!R:R))</f>
        <v>No</v>
      </c>
      <c r="V102" s="7" t="str">
        <f>IF(S102="No","No",_xlfn.XLOOKUP(_xlfn.XLOOKUP(B102,'Base stats'!B:B,'Base stats'!E:E),Groups!A:A,Groups!S:S))</f>
        <v>No</v>
      </c>
      <c r="W102" s="7" t="str">
        <f>IF(S102="No","No",_xlfn.XLOOKUP(_xlfn.XLOOKUP(B102,'Base stats'!B:B,'Base stats'!E:E),Groups!A:A,Groups!T:T))</f>
        <v>No</v>
      </c>
      <c r="X102" s="13" t="str">
        <f>IF(_xlfn.XLOOKUP(B102,'Base stats'!B:B,'Base stats'!W:W)="No","No",MROUND((LOG10(_xlfn.XLOOKUP(B102,'Base stats'!B:B,'Base stats'!AU:AU))*(AO102^0.5)+(_xlfn.XLOOKUP(B102,'Base stats'!B:B,'Base stats'!AU:AU)/1000)^(2/3)+_xlfn.XLOOKUP(B102,'Base stats'!B:B,'Base stats'!AZ:AZ))+0.5+IF(_xlfn.XLOOKUP(_xlfn.XLOOKUP(B102,'Base stats'!B:B,'Base stats'!E:E),Groups!A:A,Groups!U:U)&lt;&gt;3,_xlfn.XLOOKUP(B102,'Base stats'!B:B,'Base stats'!BA:BA),0),0.5))</f>
        <v>No</v>
      </c>
      <c r="Y102" s="7" t="str">
        <f>IF(X102="No","No",MAX(_xlfn.XLOOKUP(_xlfn.XLOOKUP(B102,'Base stats'!B:B,'Base stats'!E:E),Groups!A:A,Groups!V:V),MROUND(_xlfn.XLOOKUP(_xlfn.XLOOKUP(B102,'Base stats'!B:B,'Base stats'!E:E),Groups!A:A,Groups!V:V)*_xlfn.XLOOKUP(B102,'Base stats'!B:B,'Base stats'!C:C)^0.165,0.05)))</f>
        <v>No</v>
      </c>
      <c r="Z102" s="7" t="str">
        <f>IF(X102="No","No",_xlfn.XLOOKUP(_xlfn.XLOOKUP(B102,'Base stats'!B:B,'Base stats'!E:E),Groups!A:A,Groups!W:W))</f>
        <v>No</v>
      </c>
      <c r="AA102" s="7" t="str">
        <f>IF(X102="No","No",_xlfn.XLOOKUP(_xlfn.XLOOKUP(B102,'Base stats'!B:B,'Base stats'!E:E),Groups!A:A,Groups!X:X))</f>
        <v>No</v>
      </c>
      <c r="AB102" s="7" t="str">
        <f>IF(X102="No","No",_xlfn.XLOOKUP(_xlfn.XLOOKUP(B102,'Base stats'!B:B,'Base stats'!E:E),Groups!A:A,Groups!Y:Y))</f>
        <v>No</v>
      </c>
      <c r="AC102" s="7" t="str">
        <f>_xlfn.XLOOKUP(Animals!B102,'Base stats'!B:B,'Base stats'!X:X)</f>
        <v>False</v>
      </c>
      <c r="AD102" s="13" t="str">
        <f>IF(_xlfn.XLOOKUP(B102,'Base stats'!B:B,'Base stats'!AT:AT)="No","No",MROUND((LOG10(_xlfn.XLOOKUP(B102,'Base stats'!B:B,'Base stats'!AT:AT))*(AO102^0.75)+(_xlfn.XLOOKUP(B102,'Base stats'!B:B,'Base stats'!AT:AT)/1000)^(2/3)+_xlfn.XLOOKUP(B102,'Base stats'!B:B,'Base stats'!AX:AX)+_xlfn.XLOOKUP(B102,'Base stats'!B:B,'Base stats'!BA:BA))+0.5,0.5))</f>
        <v>No</v>
      </c>
      <c r="AE102" s="7" t="str">
        <f>IF(AD102="No","No",MAX(_xlfn.XLOOKUP(_xlfn.XLOOKUP(B102,'Base stats'!B:B,'Base stats'!E:E),Groups!A:A,Groups!Z:Z),MROUND(_xlfn.XLOOKUP(_xlfn.XLOOKUP(B102,'Base stats'!B:B,'Base stats'!E:E),Groups!A:A,Groups!Z:Z)*_xlfn.XLOOKUP(B102,'Base stats'!B:B,'Base stats'!C:C)^0.165,0.05)))</f>
        <v>No</v>
      </c>
      <c r="AF102" s="7" t="str">
        <f>IF(AD102="No","No",_xlfn.XLOOKUP(_xlfn.XLOOKUP(B102,'Base stats'!B:B,'Base stats'!E:E),Groups!A:A,Groups!AA:AA))</f>
        <v>No</v>
      </c>
      <c r="AG102" s="7" t="str">
        <f>IF(AD102="No","No",_xlfn.XLOOKUP(_xlfn.XLOOKUP(B102,'Base stats'!B:B,'Base stats'!E:E),Groups!A:A,Groups!AB:AB))</f>
        <v>No</v>
      </c>
      <c r="AH102" s="7" t="str">
        <f>IF(AD102="No","No",_xlfn.XLOOKUP(_xlfn.XLOOKUP(B102,'Base stats'!B:B,'Base stats'!E:E),Groups!A:A,Groups!AC:AC))</f>
        <v>No</v>
      </c>
      <c r="AI102" s="13">
        <f>IF(_xlfn.XLOOKUP(_xlfn.XLOOKUP(B102,'Base stats'!B:B,'Base stats'!E:E),Groups!A:A,Groups!AD:AD)=0,"No",MROUND((LOG10(_xlfn.XLOOKUP(B102,'Base stats'!B:B,'Base stats'!AS:AS))*(AO102^0.75)+(_xlfn.XLOOKUP(B102,'Base stats'!B:B,'Base stats'!AS:AS)/1000)^(2/3)+_xlfn.XLOOKUP(B102,'Base stats'!B:B,'Base stats'!AY:AY)+_xlfn.XLOOKUP(B102,'Base stats'!B:B,'Base stats'!BA:BA))+0.5,0.5))</f>
        <v>2.5</v>
      </c>
      <c r="AJ102" s="7">
        <f>IF(AI102="No","No",MAX(_xlfn.XLOOKUP(_xlfn.XLOOKUP(B102,'Base stats'!B:B,'Base stats'!E:E),Groups!A:A,Groups!AE:AE),MROUND(_xlfn.XLOOKUP(_xlfn.XLOOKUP(B102,'Base stats'!B:B,'Base stats'!E:E),Groups!A:A,Groups!AE:AE)*IF(_xlfn.XLOOKUP(_xlfn.XLOOKUP(B102,'Base stats'!B:B,'Base stats'!E:E),Groups!A:A,Groups!AJ:AJ)="Photonozoa",0.6,1)*_xlfn.XLOOKUP(B102,'Base stats'!B:B,'Base stats'!C:C)^0.165,0.05)))</f>
        <v>1.2</v>
      </c>
      <c r="AK102" s="7" t="str">
        <f>IF(AI102="No","No",_xlfn.XLOOKUP(_xlfn.XLOOKUP(B102,'Base stats'!B:B,'Base stats'!E:E),Groups!A:A,Groups!AF:AF))</f>
        <v>FrontLeftClaws, FrontRightClaws</v>
      </c>
      <c r="AL102" s="7" t="str">
        <f>IF(AI102="No","No",_xlfn.XLOOKUP(_xlfn.XLOOKUP(B102,'Base stats'!B:B,'Base stats'!E:E),Groups!A:A,Groups!AG:AG))</f>
        <v>left claw, right claw</v>
      </c>
      <c r="AM102" s="7" t="str">
        <f>IF(AI102="No","No",_xlfn.XLOOKUP(_xlfn.XLOOKUP(B102,'Base stats'!B:B,'Base stats'!E:E),Groups!A:A,Groups!AH:AH))</f>
        <v>Scratch</v>
      </c>
      <c r="AN102" s="2" t="str">
        <f t="shared" si="7"/>
        <v>No</v>
      </c>
      <c r="AO102" s="2">
        <f>MROUND(IF(AND(_xlfn.XLOOKUP(B102,'Base stats'!B:B,'Base stats'!C:C)&gt;=0.5,_xlfn.XLOOKUP(B102,'Base stats'!B:B,'Base stats'!C:C)&lt;=0.8),
IF(_xlfn.XLOOKUP(B102,'Base stats'!B:B,'Base stats'!C:C)&lt;0.1,0.05,IF(_xlfn.XLOOKUP(B102,'Base stats'!B:B,'Base stats'!C:C)&lt;=70,(_xlfn.XLOOKUP(B102,'Base stats'!B:B,'Base stats'!C:C)/70)^0.426489913056526,IF(_xlfn.XLOOKUP(B102,'Base stats'!B:B,'Base stats'!C:C)&lt;=400,(_xlfn.XLOOKUP(B102,'Base stats'!B:B,'Base stats'!C:C)/70)^0.572811455315093,IF(_xlfn.XLOOKUP(B102,'Base stats'!B:B,'Base stats'!C:C)&lt;=2000,2.71391647193063*(_xlfn.XLOOKUP(B102,'Base stats'!B:B,'Base stats'!C:C)/400)^0.252459582904293,3.74314280240376*(_xlfn.XLOOKUP(B102,'Base stats'!B:B,'Base stats'!C:C)/2000)^0.357012633876913)))),
IF(_xlfn.XLOOKUP(B102,'Base stats'!B:B,'Base stats'!C:C)&lt;0.1,0.05,IF(_xlfn.XLOOKUP(B102,'Base stats'!B:B,'Base stats'!C:C)&lt;0.4,0.1,IF(_xlfn.XLOOKUP(B102,'Base stats'!B:B,'Base stats'!C:C)&lt;=70,(_xlfn.XLOOKUP(B102,'Base stats'!B:B,'Base stats'!C:C)/70)^0.445823913056526,IF(_xlfn.XLOOKUP(B102,'Base stats'!B:B,'Base stats'!C:C)&lt;=400,(_xlfn.XLOOKUP(B102,'Base stats'!B:B,'Base stats'!C:C)/70)^0.572811455315093,IF(_xlfn.XLOOKUP(B102,'Base stats'!B:B,'Base stats'!C:C)&lt;=2000,2.71391647193063*(_xlfn.XLOOKUP(B102,'Base stats'!B:B,'Base stats'!C:C)/400)^0.252459582904293,3.74314280240376*(_xlfn.XLOOKUP(B102,'Base stats'!B:B,'Base stats'!C:C)/2000)^0.357012633876913)))))),
IF(_xlfn.XLOOKUP(B102,'Base stats'!B:B,'Base stats'!C:C)&lt;0.1,0.05,IF(_xlfn.XLOOKUP(B102,'Base stats'!B:B,'Base stats'!C:C)&lt;=100,0.05,IF(_xlfn.XLOOKUP(B102,'Base stats'!B:B,'Base stats'!C:C)&lt;=250,0.1,IF(_xlfn.XLOOKUP(B102,'Base stats'!B:B,'Base stats'!C:C)&lt;=4000,0.25,0.5)))))</f>
        <v>0.1</v>
      </c>
      <c r="AP102" s="8">
        <f>MROUND(AO102*_xlfn.XLOOKUP(_xlfn.XLOOKUP(B102,'Base stats'!B:B,'Base stats'!E:E),Groups!A:A,Groups!AI:AI)*_xlfn.XLOOKUP(B102,'Base stats'!B:B,'Base stats'!Z:Z),0.05)</f>
        <v>0.1</v>
      </c>
      <c r="AQ102" s="8">
        <f>MAX(0.01,MROUND(IF(CC102="True",0.196*(AO102*100*1000)^0.889,IF(_xlfn.XLOOKUP(_xlfn.XLOOKUP(B102,'Base stats'!B:B,'Base stats'!E:E),Groups!A:A,Groups!AJ:AJ)="Bird",10.5*(AO102*100*1000)^0.681,4.82*(AO102*100*1000)^0.734))/(4.82*(1*100*1000)^0.734)/IF(AO102&lt;3.5,2,IF(AO102=3.5,1.5,1.25))*(1+0.132282374779864/(AO102^0.994035016789033+0.00905238001496948)),0.05))</f>
        <v>0.05</v>
      </c>
      <c r="AR102" s="9">
        <f>IFERROR(MROUND(_xlfn.XLOOKUP(B102,'Base stats'!B:B,'Base stats'!H:H)/IF(_xlfn.XLOOKUP(B102,'Base stats'!B:B,'Base stats'!I:I)&lt;&gt;1,(122.5/70),1.2),IF(_xlfn.XLOOKUP(B102,'Base stats'!B:B,'Base stats'!H:H)&gt;=30,5,IF(_xlfn.XLOOKUP(B102,'Base stats'!B:B,'Base stats'!H:H)&gt;=15,3,IF(_xlfn.XLOOKUP(B102,'Base stats'!B:B,'Base stats'!H:H)&gt;=10,2,1)))),"Immortal")</f>
        <v>15</v>
      </c>
      <c r="AS102" s="35">
        <f>IFERROR(IF(OR(_xlfn.XLOOKUP(B102,'Base stats'!B:B,'Base stats'!F:F)="Atypical reproduction",_xlfn.XLOOKUP(B102,'Base stats'!B:B,'Base stats'!F:F)="Lay eggs"),"Lay eggs",MIN(20,MAX(5.5,ROUND(((_xlfn.XLOOKUP(B102,'Base stats'!B:B,'Base stats'!F:F)-25)*(14.5/615) + 5.5)*2,0)/2))),"Unknown")</f>
        <v>6</v>
      </c>
      <c r="AT102" s="8">
        <f>IF(_xlfn.XLOOKUP(B102,'Base stats'!B:B,'Base stats'!G:G)="Atypical reproduction","No",IFERROR(MAX(IF(_xlfn.XLOOKUP(B102,'Base stats'!B:B,'Base stats'!G:G)&lt;0.5,0.2,0.3),MROUND(_xlfn.XLOOKUP(B102,'Base stats'!B:B,'Base stats'!G:G)/(365/60),0.2)),"Unknown"))</f>
        <v>0.4</v>
      </c>
      <c r="AU102" s="8">
        <f t="shared" si="8"/>
        <v>0.2</v>
      </c>
      <c r="AV102" s="8">
        <f>IFERROR(IFERROR(MROUND(_xlfn.XLOOKUP(B102,'Base stats'!B:B,'Base stats'!J:J),0.1),"Lay eggs"),"Cannot breed")</f>
        <v>9</v>
      </c>
      <c r="AW102" s="2" t="str">
        <f t="shared" si="9"/>
        <v>false</v>
      </c>
      <c r="AX102" s="2" t="str">
        <f>IF(_xlfn.XLOOKUP(_xlfn.XLOOKUP(Animals!B102,'Base stats'!B:B,'Base stats'!E:E),Groups!A:A,Groups!AK:AK)=1,"true","false")</f>
        <v>false</v>
      </c>
      <c r="AY102" s="25" t="str">
        <f>IF(_xlfn.XLOOKUP(B102,'Base stats'!B:B,'Base stats'!Y:Y)="Liquor","Liquor, CarnivoreAnimalStrict",IF(AND(_xlfn.XLOOKUP(B102,'Base stats'!B:B,'Base stats'!Y:Y)="Carnivore",_xlfn.XLOOKUP(_xlfn.XLOOKUP(B102,'Base stats'!B:B,'Base stats'!E:E),Groups!A:A,Groups!AJ:AJ)="Photonozoa"),"CarnivoreAnimalStrict, OvivoreAnimal",IF(_xlfn.XLOOKUP(B102,'Base stats'!B:B,'Base stats'!Y:Y)="Carnivore","CarnivoreAnimal, OvivoreAnimal",IF(_xlfn.XLOOKUP(B102,'Base stats'!B:B,'Base stats'!Y:Y)="Dendrovore","VegetarianRoughAnimal, DendrovoreAnimal",IF(_xlfn.XLOOKUP(B102,'Base stats'!B:B,'Base stats'!Y:Y)="Herbivore","VegetarianRoughAnimal",IF(_xlfn.XLOOKUP(B102,'Base stats'!B:B,'Base stats'!Y:Y)="OmnivoreRough","OmnivoreRoughAnimal, OvivoreAnimal","OmnivoreAnimal, OvivoreAnimal"))))))</f>
        <v>OmnivoreRoughAnimal, OvivoreAnimal</v>
      </c>
      <c r="AZ102" s="2">
        <f>IF(_xlfn.XLOOKUP(_xlfn.XLOOKUP(B102,'Base stats'!B:B,'Base stats'!E:E),Groups!A:A,Groups!D:D)=1,MROUND((1-J102)*5+1,2)*IF(J102&lt;=0.4,2,1),"No")</f>
        <v>4</v>
      </c>
      <c r="BA102" s="2" t="str">
        <f>IF(AND(_xlfn.XLOOKUP(B102,'Base stats'!B:B,'Base stats'!AH:AH)="&lt;li&gt;Seal&lt;/li&gt;",G102="Odyssey"),"&lt;li&gt;AEXP_Seal&lt;/li&gt;",_xlfn.XLOOKUP(B102,'Base stats'!B:B,'Base stats'!AH:AH))</f>
        <v>&lt;li&gt;StoneCrab&lt;/li&gt;</v>
      </c>
      <c r="BB102" s="2" t="str">
        <f>_xlfn.XLOOKUP(B102,'Base stats'!B:B,'Base stats'!AG:AG)</f>
        <v>No</v>
      </c>
      <c r="BC102" s="23" t="str">
        <f>_xlfn.XLOOKUP(_xlfn.XLOOKUP(B102,'Base stats'!B:B,'Base stats'!E:E),Groups!A:A,Groups!AL:AL)</f>
        <v>Crab</v>
      </c>
      <c r="BD102" s="23">
        <f>MIN(1,MROUND(IF(AND(AO102&lt;0.5,_xlfn.XLOOKUP(B102,'Base stats'!B:B,'Base stats'!AA:AA)=0),0,IF(OR(_xlfn.XLOOKUP(Animals!B102,'Base stats'!B:B,'Base stats'!O:O)=2,_xlfn.XLOOKUP(_xlfn.XLOOKUP(B102,'Base stats'!B:B,'Base stats'!E:E),Groups!A:A,Groups!AN:AN)=0),0,_xlfn.XLOOKUP(_xlfn.XLOOKUP(B102,'Base stats'!B:B,'Base stats'!E:E),Groups!A:A,Groups!AN:AN)/IF(_xlfn.XLOOKUP(Animals!B102,'Base stats'!B:B,'Base stats'!O:O)=1,2,1)))+_xlfn.XLOOKUP(B102,'Base stats'!B:B,'Base stats'!AC:AC),0.005))</f>
        <v>0</v>
      </c>
      <c r="BE102" s="23">
        <f>MIN(1,MROUND(IF(AND(AO102&lt;0.5,_xlfn.XLOOKUP(B102,'Base stats'!B:B,'Base stats'!AA:AA)=0),0,IF(_xlfn.XLOOKUP(_xlfn.XLOOKUP(B102,'Base stats'!B:B,'Base stats'!E:E),Groups!A:A,Groups!AO:AO)=0,0,_xlfn.XLOOKUP(_xlfn.XLOOKUP(B102,'Base stats'!B:B,'Base stats'!E:E),Groups!A:A,Groups!AO:AO)/IF(_xlfn.XLOOKUP(Animals!B102,'Base stats'!B:B,'Base stats'!O:O)=2,3,1)))+_xlfn.XLOOKUP(B102,'Base stats'!B:B,'Base stats'!AD:AD),0.005))</f>
        <v>0</v>
      </c>
      <c r="BF102" s="2" t="str">
        <f>IF(J102&gt;0.3,"No",_xlfn.XLOOKUP(_xlfn.XLOOKUP(Animals!B102,'Base stats'!B:B,'Base stats'!E:E),Groups!A:A,Groups!AP:AP))</f>
        <v>No</v>
      </c>
      <c r="BG102" s="2" t="str">
        <f>IF(AND(J102&lt;=0.65,_xlfn.XLOOKUP(_xlfn.XLOOKUP(Animals!B102,'Base stats'!B:B,'Base stats'!E:E),Groups!A:A,Groups!AP:AP)&lt;&gt;"No",_xlfn.XLOOKUP(_xlfn.XLOOKUP(B102,'Base stats'!B:B,'Base stats'!E:E),Groups!A:A,Groups!D:D)=0),MROUND((80/3)*IF(_xlfn.XLOOKUP(B102,'Base stats'!B:B,'Base stats'!O:O)=2,0.2,AO102) + 24*(1-IF(BF102="No",0,BF102)) + 16/3, 12),"No")</f>
        <v>No</v>
      </c>
      <c r="BH102" s="2">
        <f>IF(AND(_xlfn.XLOOKUP(_xlfn.XLOOKUP(B102,'Base stats'!B:B,'Base stats'!E:E),Groups!A:A,Groups!AQ:AQ)=1,AO102&lt;=0.35),8,12)</f>
        <v>12</v>
      </c>
      <c r="BI102" s="2" t="str">
        <f>IF(_xlfn.XLOOKUP(_xlfn.XLOOKUP(B102,'Base stats'!B:B,'Base stats'!E:E),Groups!A:A,Groups!D:D)=0,_xlfn.XLOOKUP(_xlfn.XLOOKUP(B102,'Base stats'!B:B,'Base stats'!E:E),Groups!A:A,Groups!AR:AR),"None")</f>
        <v>None</v>
      </c>
      <c r="BJ102" s="2" t="str">
        <f>IF(AND(_xlfn.XLOOKUP(_xlfn.XLOOKUP(B102,'Base stats'!B:B,'Base stats'!E:E),Groups!A:A,Groups!AS:AS)=1,OR(_xlfn.XLOOKUP(B102,'Base stats'!B:B,'Base stats'!Y:Y)="Carnivore",_xlfn.XLOOKUP(B102,'Base stats'!B:B,'Base stats'!Y:Y)="Omnivore")),"true","false")</f>
        <v>false</v>
      </c>
      <c r="BK102" s="2" t="str">
        <f>IF(BJ102="true",MROUND(IF(AND(AO102&gt;0.5,OR(_xlfn.XLOOKUP(_xlfn.XLOOKUP(B102,'Base stats'!B:B,'Base stats'!E:E),Groups!A:A,Groups!AJ:AJ)="Photonozoa",_xlfn.XLOOKUP(_xlfn.XLOOKUP(B102,'Base stats'!B:B,'Base stats'!E:E),Groups!A:A,Groups!AJ:AJ)="Mammal")),Animals!AO102*1.75*IF(AW102="true",1.5,1),IF(AO102&lt;0.5,Animals!AO102*0.5,Animals!AO102)),IF(AO102&gt;2,0.5,IF(AO102&gt;0.5,0.25,0.1))),"No")</f>
        <v>No</v>
      </c>
      <c r="BL102" s="2">
        <f t="shared" si="10"/>
        <v>0</v>
      </c>
      <c r="BM102" s="25" t="str">
        <f>IF(_xlfn.XLOOKUP(B102,'Base stats'!B:B,'Base stats'!AN:AN)="Standard","No",MROUND((_xlfn.XLOOKUP(B102,'Base stats'!B:B,'Base stats'!AN:AN)/3.6)/I102,0.1))</f>
        <v>No</v>
      </c>
      <c r="BN102" s="25" t="str">
        <f t="shared" si="11"/>
        <v>true</v>
      </c>
      <c r="BO102" s="25" t="str">
        <f>IF(AND(OR(_xlfn.XLOOKUP(B102,'Base stats'!B:B,'Base stats'!Y:Y)="Carnivore",_xlfn.XLOOKUP(B102,'Base stats'!B:B,'Base stats'!Y:Y)="Omnivore",_xlfn.XLOOKUP(B102,'Base stats'!B:B,'Base stats'!Y:Y)="OmnivoreRough"),_xlfn.XLOOKUP(_xlfn.XLOOKUP(B102,'Base stats'!B:B,'Base stats'!E:E),Groups!A:A,Groups!AT:AT)=1),"true","false")</f>
        <v>false</v>
      </c>
      <c r="BP102" s="25" t="str" cm="1">
        <f t="array" ref="BP102">IF(
  _xlfn.TEXTJOIN(", ",TRUE,
    IF(AND(BJ102="true",AO102&gt;0.5,BI102&lt;&gt;"None"),"AttackTarget",""),
    IF(AND(_xlfn.XLOOKUP(_xlfn.XLOOKUP(B102,'Base stats'!B:B,'Base stats'!E:E),Groups!A:A,Groups!AJ:AJ="Mammal"),OR(_xlfn.XLOOKUP(B102,'Base stats'!B:B,'Base stats'!Y:Y)="Omnivore",_xlfn.XLOOKUP(B102,'Base stats'!B:B,'Base stats'!Y:Y)="OmnivoreRough")),"Forage",""),
    IF(BG102&lt;=36,"Comfort",""),
    IF(_xlfn.XLOOKUP(B102,'Base stats'!B:B,'Base stats'!AE:AE)&lt;&gt;"No",_xlfn.XLOOKUP(B102,'Base stats'!B:B,'Base stats'!AE:AE),"")
  ) = "",
  "No",
  _xlfn.TEXTJOIN(", ",TRUE,
    IF(AND(BJ102="true",AO102&gt;0.5,BI102&lt;&gt;"None"),"AttackTarget",""),
    IF(AND(_xlfn.XLOOKUP(_xlfn.XLOOKUP(B102,'Base stats'!B:B,'Base stats'!E:E),Groups!A:A,Groups!AJ:AJ="Mammal"),OR(_xlfn.XLOOKUP(B102,'Base stats'!B:B,'Base stats'!Y:Y)="Omnivore",_xlfn.XLOOKUP(B102,'Base stats'!B:B,'Base stats'!Y:Y)="OmnivoreRough")),"Forage",""),
    IF(BG102&lt;=36,"Comfort",""),
    IF(_xlfn.XLOOKUP(B102,'Base stats'!B:B,'Base stats'!AE:AE)&lt;&gt;"No",_xlfn.XLOOKUP(B102,'Base stats'!B:B,'Base stats'!AE:AE),"")
  )
)</f>
        <v>No</v>
      </c>
      <c r="BQ102" s="25">
        <f>IF(
   AND(
      'Base stats'!AN102="Standard",_xlfn.XLOOKUP(_xlfn.XLOOKUP(B102,'Base stats'!B:B,'Base stats'!E:E),Groups!A:A,Groups!AU:AU)=0,
      OR(
      BO102="True"
      )
   ),
   10,
   IF(
       OR(BM102&lt;&gt;"No",_xlfn.XLOOKUP(_xlfn.XLOOKUP(B102,'Base stats'!B:B,'Base stats'!E:E),Groups!A:A,Groups!AU:AU)=1),
      1,
      "No"
   )
)</f>
        <v>1</v>
      </c>
      <c r="BR102" s="9">
        <f>MROUND((1 + ((0.2*IF(OR(Q102="No",R102="No",R102=0),0,Q102/R102)
+IF(OR(V102="No",S102="No",T102="No"),0,S102/T102*(LEN(V102)-LEN(SUBSTITUTE(V102,",",""))+1))
+IF(OR(X102="No",Y102="No"),0,X102/Y102)
+IF(OR(AD102="No",AE102="No"),0,AD102/AE102)
+IF(OR(AL102="No",AI102="No",AJ102="No"),0,AI102/AJ102*(LEN(AL102)-LEN(SUBSTITUTE(AL102,",",""))+1))
)/(0.2*IF(OR(Q102="No",R102="No",R102=0),0,1)
+IF(OR(V102="No",S102="No",T102="No"),0,LEN(V102)-LEN(SUBSTITUTE(V102,",",""))+1)
+IF(OR(X102="No",Y102="No"),0,1)
+IF(OR(AD102="No",AE102="No"),0,1)
+IF(OR(AL102="No",AI102="No",AJ102="No"),0,LEN(AL102)-LEN(SUBSTITUTE(AL102,",",""))+1))*62%)* 2)*(1 + (AP102 / (IF(_xlfn.XLOOKUP(_xlfn.XLOOKUP(B102,'Base stats'!B:B,'Base stats'!E:E),Groups!A:A,Groups!AJ:AJ)="Photonozoa",0.3,1)) + _xlfn.XLOOKUP(B102,'Base stats'!B:B,'Base stats'!AV:AV) * 1.8) * 2) * 2.5 + 10 + I102 * 2,5)+IF(_xlfn.XLOOKUP(B102,'Base stats'!B:B,'Base stats'!AK:AK)=1,50,0)</f>
        <v>25</v>
      </c>
      <c r="BS102" s="8">
        <f t="shared" si="12"/>
        <v>0.05</v>
      </c>
      <c r="BT102" s="8" t="str">
        <f>_xlfn.XLOOKUP(B102,'Base stats'!B:B,'Base stats'!AF:AF)</f>
        <v>No</v>
      </c>
      <c r="BU102" s="2" t="str">
        <f>IF(AND(J102&lt;=0.95,OR(_xlfn.XLOOKUP(B102,'Base stats'!B:B,'Base stats'!AK:AK)=1,_xlfn.XLOOKUP(B102,'Base stats'!B:B,'Base stats'!Y:Y)="Carnivore",_xlfn.XLOOKUP(B102,'Base stats'!B:B,'Base stats'!Y:Y)="Omnivore",BE102&gt;0.1)),"true","false")</f>
        <v>false</v>
      </c>
      <c r="BV102" s="2" t="str">
        <f>IF(_xlfn.XLOOKUP(B102,'Base stats'!B:B,'Base stats'!AI:AI)=1,"true","false")</f>
        <v>false</v>
      </c>
      <c r="BW102" s="25" t="str">
        <f>IF(E102="BaseInsect","AnimalInsect",
IF(J102&gt;0.95,"AnimalExotic",
_xlfn.TEXTJOIN(", ",TRUE,
IF(OR(_xlfn.XLOOKUP(B102,'Base stats'!B:B,'Base stats'!AM:AM)=1,AND(_xlfn.XLOOKUP(B102,'Base stats'!B:B,'Base stats'!O:O)=0,_xlfn.XLOOKUP(_xlfn.XLOOKUP(B102,'Base stats'!B:B,'Base stats'!E:E),Groups!A:A,Groups!B:B)&gt;0)),"AnimalUncommon","AnimalCommon"),
IF(AND(_xlfn.XLOOKUP(B102,'Base stats'!B:B,'Base stats'!O:O)=2,_xlfn.XLOOKUP(_xlfn.XLOOKUP(B102,'Base stats'!B:B,'Base stats'!E:E),Groups!A:A,Groups!D:D)=0),"AnimalPet",IF(AND(_xlfn.XLOOKUP(B102,'Base stats'!B:B,'Base stats'!O:O)&lt;&gt;0,_xlfn.XLOOKUP(_xlfn.XLOOKUP(B102,'Base stats'!B:B,'Base stats'!E:E),Groups!A:A,Groups!D:D)&lt;&gt;0),"AnimalFarm","")),
IF(OR(_xlfn.XLOOKUP(B102,'Base stats'!B:B,'Base stats'!AK:AK)=1,AND(BI102&lt;&gt;"None",BR102&gt;=60),ISNUMBER(SEARCH("Attack target",BP102))),"AnimalFighter","")
)))</f>
        <v>AnimalCommon</v>
      </c>
      <c r="BX102" s="25" t="str">
        <f>IF(G102="None",TRIM(
SUBSTITUTE(
IF(COUNTIF(Biomes!B$2:B$259,"="&amp;$C102)&gt;0,Biomes!B$1&amp;", ","")&amp;
IF(COUNTIF(Biomes!C$2:C$259,"="&amp;$C102)&gt;0,Biomes!C$1&amp;", ","")&amp;
IF(COUNTIF(Biomes!D$2:D$259,"="&amp;$C102)&gt;0,Biomes!D$1&amp;", ","")&amp;
IF(COUNTIF(Biomes!F$2:F$259,"="&amp;$C102)&gt;0,Biomes!F$1&amp;", ","")&amp;
IF(COUNTIF(Biomes!G$2:G$259,"="&amp;$C102)&gt;0,Biomes!G$1&amp;", ","")&amp;
IF(COUNTIF(Biomes!H$2:H$259,"="&amp;$C102)&gt;0,Biomes!H$1&amp;", ","")&amp;
IF(COUNTIF(Biomes!I$2:I$259,"="&amp;$C102)&gt;0,Biomes!I$1&amp;", ","")&amp;
IF(COUNTIF(Biomes!J$2:J$259,"="&amp;$C102)&gt;0,Biomes!J$1&amp;", ","")&amp;
IF(COUNTIF(Biomes!M$2:M$259,"="&amp;$C102)&gt;0,Biomes!M$1&amp;", ","")&amp;
IF(COUNTIF(Biomes!N$2:N$259,"="&amp;$C102)&gt;0,Biomes!N$1&amp;", ","")&amp;
IF(COUNTIF(Biomes!O$2:O$259,"="&amp;$C102)&gt;0,Biomes!O$1&amp;", ","")&amp;
IF(COUNTIF(Biomes!P$2:P$259,"="&amp;$C102)&gt;0,Biomes!P$1&amp;", ","")&amp;
IF(COUNTIF(Biomes!K$2:K$259,"="&amp;$C102)&gt;0,Biomes!K$1&amp;", ","")&amp;
IF(COUNTIF(Biomes!Q$3:Q$259,"="&amp;$C102)&gt;0,Biomes!Q$1&amp;", ","")&amp;
IF(COUNTIF(Biomes!L$2:L$259,"="&amp;$C102)&gt;0,Biomes!L$1&amp;", ","")&amp;
IF(COUNTIF(Biomes!E$2:E$259,"="&amp;$C102)&gt;0,Biomes!E$1&amp;", ","")&amp;IF(COUNTIF(Biomes!S$2:S$259,"="&amp;$C102)&gt;0,Biomes!S$1&amp;", ","")&amp;
IF(COUNTIF(Biomes!R$2:R$259,"="&amp;$C102)&gt;0,Biomes!R$1&amp;", ",""),", ","")
),_xlfn.XLOOKUP(B102,B:B,BX:BX))</f>
        <v>AridShrubland Desert ExtremeDesert TropicalRainforest TropicalSwamp Grasslands Glowforest LavaField</v>
      </c>
      <c r="BY102" s="25" t="str">
        <f>IF(_xlfn.XLOOKUP(B102,'Base stats'!B:B,'Base stats'!AJ:AJ)=1,"true","false")</f>
        <v>true</v>
      </c>
      <c r="BZ102" s="25">
        <f>IF(_xlfn.XLOOKUP(B102,'Base stats'!B:B,'Base stats'!N:N)=1,"No",MAX(0.001,MIN(MROUND(IF(AND(BJ102="True",CC102="False"),POWER(10,3.47*LOG10(_xlfn.XLOOKUP(B102,'Base stats'!B:B,'Base stats'!C:C)*1000)^-0.96),POWER(10,4.15*LOG10(_xlfn.XLOOKUP(B102,'Base stats'!B:B,'Base stats'!C:C)*1000)^-0.73))*IF(_xlfn.XLOOKUP(B102,'Base stats'!B:B,'Base stats'!AK:AK)=1,0.5,1)*IF(_xlfn.XLOOKUP(B102,'Base stats'!B:B,'Base stats'!AM:AM)=1,0.1,1)/100,IF(_xlfn.XLOOKUP(B102,'Base stats'!B:B,'Base stats'!AM:AM)=1,0.001,0.025)),0.5)))</f>
        <v>0.5</v>
      </c>
      <c r="CA102" s="25" t="str">
        <f>IF(P102="Standard","No",MAX(0.001,MIN(MROUND(IF(AND(BJ102="True",CC102="False"),POWER(10,3.47*LOG10(_xlfn.XLOOKUP(B102,'Base stats'!B:B,'Base stats'!C:C)*1000)^-0.96),POWER(10,4.15*LOG10(_xlfn.XLOOKUP(B102,'Base stats'!B:B,'Base stats'!C:C)*1000)^-0.73))*IF(_xlfn.XLOOKUP(B102,'Base stats'!B:B,'Base stats'!AM:AM)=1,0.1,1)*_xlfn.XLOOKUP(B102,'Base stats'!B:B,'Base stats'!R:R)/100,IF(_xlfn.XLOOKUP(B102,'Base stats'!B:B,'Base stats'!AM:AM)=1,0.001,0.025)),0.5)))</f>
        <v>No</v>
      </c>
      <c r="CB102" s="25" t="str">
        <f>IF(_xlfn.XLOOKUP(_xlfn.XLOOKUP(B102,'Base stats'!B:B,'Base stats'!E:E),Groups!A:A,Groups!AJ:AJ)="Mammal","True","False")</f>
        <v>False</v>
      </c>
      <c r="CC102" s="25" t="str">
        <f>IF(OR(_xlfn.XLOOKUP(_xlfn.XLOOKUP(B102,'Base stats'!B:B,'Base stats'!E:E),Groups!A:A,Groups!AJ:AJ)="Reptile",_xlfn.XLOOKUP(_xlfn.XLOOKUP(B102,'Base stats'!B:B,'Base stats'!E:E),Groups!A:A,Groups!AJ:AJ)="Amphibian",_xlfn.XLOOKUP(_xlfn.XLOOKUP(B102,'Base stats'!B:B,'Base stats'!E:E),Groups!A:A,Groups!AJ:AJ)="Invertebrate"),"True","False")</f>
        <v>True</v>
      </c>
      <c r="CD102" s="25" t="str">
        <f t="shared" si="13"/>
        <v>False</v>
      </c>
      <c r="CE102" s="25" t="str">
        <f>IF(_xlfn.XLOOKUP(_xlfn.XLOOKUP(B102,'Base stats'!B:B,'Base stats'!E:E),Groups!A:A,Groups!AX:AX),"True","False")</f>
        <v>False</v>
      </c>
      <c r="CF102" s="25" t="str">
        <f>IF(_xlfn.XLOOKUP(_xlfn.XLOOKUP(B102,'Base stats'!B:B,'Base stats'!E:E),Groups!A:A,Groups!AY:AY),"True","False")</f>
        <v>False</v>
      </c>
      <c r="CG102" s="25" t="str">
        <f>IF(_xlfn.XLOOKUP(_xlfn.XLOOKUP(B102,'Base stats'!B:B,'Base stats'!E:E),Groups!A:A,Groups!AW:AW),"True","False")</f>
        <v>False</v>
      </c>
      <c r="CH102" s="25" t="str">
        <f>IF(
OR(
_xlfn.XLOOKUP(_xlfn.XLOOKUP(B102,'Base stats'!B:B,'Base stats'!E:E),Groups!A:A,Groups!AZ:AZ)=0,
AND(
_xlfn.XLOOKUP(B102,'Base stats'!B:B,'Base stats'!Y:Y)&lt;&gt;"Carnivore",
_xlfn.XLOOKUP(B102,'Base stats'!B:B,'Base stats'!Y:Y)&lt;&gt;"Omnivore",
_xlfn.XLOOKUP(B102,'Base stats'!B:B,'Base stats'!Y:Y)&lt;&gt;"OmnivoreRough"
)
),
"No",
IF(
_xlfn.XLOOKUP(_xlfn.XLOOKUP(B102,'Base stats'!B:B,'Base stats'!E:E),Groups!A:A,Groups!AZ:AZ)=1,
"Flesh",
IF(
_xlfn.XLOOKUP(_xlfn.XLOOKUP(B102,'Base stats'!B:B,'Base stats'!E:E),Groups!A:A,Groups!AZ:AZ)=2,
"Bone",
""
)
)
)</f>
        <v>Flesh</v>
      </c>
      <c r="CI102" s="25" t="str">
        <f>IF(_xlfn.XLOOKUP(_xlfn.XLOOKUP(B102,'Base stats'!B:B,'Base stats'!E:E),Groups!A:A,Groups!BB:BB),"True","False")</f>
        <v>False</v>
      </c>
      <c r="CJ102" s="25" t="str">
        <f>IF(_xlfn.XLOOKUP(_xlfn.XLOOKUP(B102,'Base stats'!B:B,'Base stats'!E:E),Groups!A:A,Groups!BA:BA),"True","False")</f>
        <v>False</v>
      </c>
    </row>
    <row r="103" spans="1:88" ht="16.5" thickTop="1" thickBot="1" x14ac:dyDescent="0.3">
      <c r="A103" s="26" t="str">
        <f>_xlfn.XLOOKUP(B103,'Base stats'!B:B,'Base stats'!A:A)</f>
        <v>Megascarab</v>
      </c>
      <c r="B103" s="6" t="s">
        <v>422</v>
      </c>
      <c r="C103" s="28" t="s">
        <v>783</v>
      </c>
      <c r="D103" s="28" t="s">
        <v>45</v>
      </c>
      <c r="E103" s="28" t="s">
        <v>784</v>
      </c>
      <c r="F103" s="28" t="s">
        <v>785</v>
      </c>
      <c r="G103" s="28" t="s">
        <v>673</v>
      </c>
      <c r="H103" s="2">
        <f>MROUND((
  (IF(AND(_xlfn.XLOOKUP(B103,'Base stats'!B:B,'Base stats'!AL:AL)=0,BI103="None",_xlfn.XLOOKUP(_xlfn.XLOOKUP(B103,'Base stats'!B:B,'Base stats'!E:E),Groups!A:A,Groups!B:B)=0), (18 + BR103 * 2.7) * 0.5,
    IF(AND(_xlfn.XLOOKUP(B103,'Base stats'!B:B,'Base stats'!AL:AL)=0,OR(AO103&lt;0.55,AND(BI103="Intermediate",_xlfn.XLOOKUP(_xlfn.XLOOKUP(B103,'Base stats'!B:B,'Base stats'!E:E),Groups!A:A,Groups!B:B)&lt;2))), (18 + BR103 * 2.7),
      IF(OR(BI103="Advanced",_xlfn.XLOOKUP(B103,'Base stats'!B:B,'Base stats'!AL:AL)=1,_xlfn.XLOOKUP(_xlfn.XLOOKUP(B103,'Base stats'!B:B,'Base stats'!E:E),Groups!A:A,Groups!B:B)=2), (18 + BR103 * 2.7) + 250, (18 + BR103 * 2.7))
    )
  ))
  + AO103 * 80
  + IF(COUNTIF(EggMilk!K$2:K$998, A103) &gt; 0, 125, 0)
  + IF(COUNTIF(EggMilk!P$2:P$998, A103) &gt; 0, 90, 0)
  + IF(COUNTIF(EggMilk!A$2:A$998, A103) &gt; 0, 90, 0)
)
* (0.8 + 0.4 * J103)
* 0.75,25)</f>
        <v>175</v>
      </c>
      <c r="I103" s="2">
        <f>MROUND(ROUNDDOWN(_xlfn.XLOOKUP(B103,'Base stats'!B:B,'Base stats'!L:L)/3.6/(23.3/11),1),0.5)</f>
        <v>3</v>
      </c>
      <c r="J103" s="2">
        <f>IF(OR(_xlfn.XLOOKUP(B103,'Base stats'!B:B,'Base stats'!AB:AB)=1,_xlfn.XLOOKUP(_xlfn.XLOOKUP(B103,'Base stats'!B:B,'Base stats'!E:E),Groups!A:A,Groups!C:C)="Untamable"),1,IF(_xlfn.XLOOKUP(B103,'Base stats'!B:B,'Base stats'!AL:AL)=1,0.99,MIN(MROUND((1-0.6282*EXP(-0.459*AO103))*_xlfn.XLOOKUP(_xlfn.XLOOKUP(B103,'Base stats'!B:B,'Base stats'!E:E),Groups!A:A,Groups!C:C)*IF(_xlfn.XLOOKUP(B103,'Base stats'!B:B,'Base stats'!O:O)=1,0.5,IF(_xlfn.XLOOKUP(B103,'Base stats'!B:B,'Base stats'!O:O)=2,0,1)),0.05),IF(AO103&gt;3.5,0.985,0.95))))</f>
        <v>0.5</v>
      </c>
      <c r="K103" s="2">
        <f>ROUNDUP(AO103*_xlfn.XLOOKUP(_xlfn.XLOOKUP(B103,'Base stats'!B:B,'Base stats'!E:E),Groups!A:A,Groups!E:E),0)</f>
        <v>1</v>
      </c>
      <c r="L103" s="2">
        <f>IF(OR(_xlfn.XLOOKUP(_xlfn.XLOOKUP(B103,'Base stats'!B:B,'Base stats'!E:E),Groups!A:A,Groups!F:F)=2,ISNUMBER(SEARCH("SeaIce",BX103)),ISNUMBER(SEARCH("IceSheet",BX103))),-50,IF(OR(ISNUMBER(SEARCH("GlacialPlain",BX103)),ISNUMBER(SEARCH("Tundra",BX103))),-40,IF(OR(ISNUMBER(SEARCH("Alpine",BX103)),ISNUMBER(SEARCH("BorealForest",BX103)),ISNUMBER(SEARCH("ColdBog",BX103))),-30,IF(OR(ISNUMBER(SEARCH("TemperateForest",BX103)),ISNUMBER(SEARCH("TemperateSwamp",BX103))),-20,IF(_xlfn.XLOOKUP(_xlfn.XLOOKUP(B103,'Base stats'!B:B,'Base stats'!E:E),Groups!A:A,Groups!F:F)=1,-15,IF(OR(ISNUMBER(SEARCH("Desert",BX103)),ISNUMBER(SEARCH("ExtremeDesert",BX103))),-10,IF(OR(ISNUMBER(SEARCH("Grasslands",BX103)),ISNUMBER(SEARCH("TropicalRainforest",BX103)),ISNUMBER(SEARCH("TropicalSwamp",BX103))),10,0)))))))-IF(CC103="False",MIN(IFERROR(MAX(MROUND(LOG10(_xlfn.XLOOKUP(B103,'Base stats'!B:B,'Base stats'!C:C)^(2/3))*10,5),5),5),30))-_xlfn.XLOOKUP(B103,'Base stats'!B:B,'Base stats'!P:P)+IF(CC103="True",5,0)</f>
        <v>5</v>
      </c>
      <c r="M103" s="2">
        <f>IF(OR(_xlfn.XLOOKUP(_xlfn.XLOOKUP(B103,'Base stats'!B:B,'Base stats'!E:E),Groups!A:A,Groups!G:G)=2,ISNUMBER(SEARCH("Desert",BX103)),ISNUMBER(SEARCH("ExtremeDesert",BX103)),ISNUMBER(SEARCH("LavaField",BX103))),50,IF(ISNUMBER(SEARCH("Grasslands",BX103)),45,IF(OR(_xlfn.XLOOKUP(_xlfn.XLOOKUP(B103,'Base stats'!B:B,'Base stats'!E:E),Groups!A:A,Groups!G:G)=1,ISNUMBER(SEARCH("TropicalRainforest",BX103)),ISNUMBER(SEARCH("TropicalSwamp",BX103))),40,IF(OR(ISNUMBER(SEARCH("TemperateForest",BX103)),ISNUMBER(SEARCH("TemperateSwamp",BX103))),35,IF(OR(ISNUMBER(SEARCH("Alpine",BX103)),ISNUMBER(SEARCH("BorealForest",BX103)),ISNUMBER(SEARCH("ColdBog",BX103))),30,IF(ISNUMBER(OR(ISNUMBER(SEARCH("GlacialPlain",BX103)),SEARCH("Tundra",BX103))),25,IF(OR(ISNUMBER(SEARCH("SeaIce",BX103)),ISNUMBER(SEARCH("IceSheet",BX103)),ISNUMBER(SEARCH("TropicalSwamp",BX103))),10,35)))))))+_xlfn.XLOOKUP(B103,'Base stats'!B:B,'Base stats'!Q:Q)</f>
        <v>50</v>
      </c>
      <c r="N103" s="8">
        <f>IF(
_xlfn.XLOOKUP(
_xlfn.XLOOKUP(B103,'Base stats'!B:B,'Base stats'!E:E),
Groups!A:A,
Groups!L:L
)=1,
MIN(
MROUND(
IF(
_xlfn.XLOOKUP(B103,'Animals CE'!B:B,'Animals CE'!Z:Z)&lt;=1.5,
_xlfn.XLOOKUP(B103,'Animals CE'!B:B,'Animals CE'!Z:Z)/2+0.05,
0.8+
(_xlfn.XLOOKUP(B103,'Animals CE'!B:B,'Animals CE'!Z:Z)-1.5)
*0.02
),
0.05
),
200%
),
"No"
)</f>
        <v>0.30000000000000004</v>
      </c>
      <c r="O103" s="8">
        <f>IF(
_xlfn.XLOOKUP(
_xlfn.XLOOKUP(B103,'Base stats'!B:B,'Base stats'!E:E),
Groups!A:A,
Groups!L:L
)=1,
MIN(
MROUND(
IF(
_xlfn.XLOOKUP(B103,'Animals CE'!B:B,'Animals CE'!AA:AA)&lt;=1.5,
_xlfn.XLOOKUP(B103,'Animals CE'!B:B,'Animals CE'!AA:AA)/2+0.05,
0.8+
(_xlfn.XLOOKUP(B103,'Animals CE'!B:B,'Animals CE'!AA:AA)-1.5)
*0.02
),
0.05
),
200%
),
"No"
)</f>
        <v>0.1</v>
      </c>
      <c r="P103" s="2">
        <f>_xlfn.XLOOKUP(B103,'Base stats'!B:B,'Base stats'!R:R)</f>
        <v>1</v>
      </c>
      <c r="Q103" s="13">
        <f>MROUND((LOG10(_xlfn.XLOOKUP(B103,'Base stats'!B:B,'Base stats'!AR:AR))*(AO103^0.5)+(_xlfn.XLOOKUP(B103,'Base stats'!B:B,'Base stats'!AR:AR)/1000)^(2/3)+_xlfn.XLOOKUP(B103,'Base stats'!B:B,'Base stats'!BA:BA)/2)+0.5,0.5)</f>
        <v>3.5</v>
      </c>
      <c r="R103" s="7">
        <f>IF(Q103="No","No",MAX(1,MROUND(_xlfn.XLOOKUP(B103,'Base stats'!B:B,'Base stats'!C:C)^0.165,0.05)))</f>
        <v>1.4500000000000002</v>
      </c>
      <c r="S103" s="13" t="str">
        <f>IF(_xlfn.XLOOKUP(_xlfn.XLOOKUP(B103,'Base stats'!B:B,'Base stats'!E:E),Groups!A:A,Groups!P:P)=0,"No",MROUND((LOG10(_xlfn.XLOOKUP(B103,'Base stats'!B:B,'Base stats'!AS:AS))*(AO103^0.5)+(_xlfn.XLOOKUP(B103,'Base stats'!B:B,'Base stats'!AS:AS)/1000)^(2/3)+_xlfn.XLOOKUP(B103,'Base stats'!B:B,'Base stats'!BA:BA))+_xlfn.XLOOKUP(B103,'Base stats'!B:B,'Base stats'!AY:AY)+0.5,0.5))</f>
        <v>No</v>
      </c>
      <c r="T103" s="7" t="str">
        <f>IF(S103="No","No",MAX(_xlfn.XLOOKUP(_xlfn.XLOOKUP(B103,'Base stats'!B:B,'Base stats'!E:E),Groups!A:A,Groups!Q:Q),MROUND(_xlfn.XLOOKUP(_xlfn.XLOOKUP(B103,'Base stats'!B:B,'Base stats'!E:E),Groups!A:A,Groups!Q:Q)*_xlfn.XLOOKUP(B103,'Base stats'!B:B,'Base stats'!C:C)^0.165,0.05)))</f>
        <v>No</v>
      </c>
      <c r="U103" s="7" t="str">
        <f>IF(S103="No","No",_xlfn.XLOOKUP(_xlfn.XLOOKUP(B103,'Base stats'!B:B,'Base stats'!E:E),Groups!A:A,Groups!R:R))</f>
        <v>No</v>
      </c>
      <c r="V103" s="7" t="str">
        <f>IF(S103="No","No",_xlfn.XLOOKUP(_xlfn.XLOOKUP(B103,'Base stats'!B:B,'Base stats'!E:E),Groups!A:A,Groups!S:S))</f>
        <v>No</v>
      </c>
      <c r="W103" s="7" t="str">
        <f>IF(S103="No","No",_xlfn.XLOOKUP(_xlfn.XLOOKUP(B103,'Base stats'!B:B,'Base stats'!E:E),Groups!A:A,Groups!T:T))</f>
        <v>No</v>
      </c>
      <c r="X103" s="13" t="str">
        <f>IF(_xlfn.XLOOKUP(B103,'Base stats'!B:B,'Base stats'!W:W)="No","No",MROUND((LOG10(_xlfn.XLOOKUP(B103,'Base stats'!B:B,'Base stats'!AU:AU))*(AO103^0.5)+(_xlfn.XLOOKUP(B103,'Base stats'!B:B,'Base stats'!AU:AU)/1000)^(2/3)+_xlfn.XLOOKUP(B103,'Base stats'!B:B,'Base stats'!AZ:AZ))+0.5+IF(_xlfn.XLOOKUP(_xlfn.XLOOKUP(B103,'Base stats'!B:B,'Base stats'!E:E),Groups!A:A,Groups!U:U)&lt;&gt;3,_xlfn.XLOOKUP(B103,'Base stats'!B:B,'Base stats'!BA:BA),0),0.5))</f>
        <v>No</v>
      </c>
      <c r="Y103" s="7" t="str">
        <f>IF(X103="No","No",MAX(_xlfn.XLOOKUP(_xlfn.XLOOKUP(B103,'Base stats'!B:B,'Base stats'!E:E),Groups!A:A,Groups!V:V),MROUND(_xlfn.XLOOKUP(_xlfn.XLOOKUP(B103,'Base stats'!B:B,'Base stats'!E:E),Groups!A:A,Groups!V:V)*_xlfn.XLOOKUP(B103,'Base stats'!B:B,'Base stats'!C:C)^0.165,0.05)))</f>
        <v>No</v>
      </c>
      <c r="Z103" s="7" t="str">
        <f>IF(X103="No","No",_xlfn.XLOOKUP(_xlfn.XLOOKUP(B103,'Base stats'!B:B,'Base stats'!E:E),Groups!A:A,Groups!W:W))</f>
        <v>No</v>
      </c>
      <c r="AA103" s="7" t="str">
        <f>IF(X103="No","No",_xlfn.XLOOKUP(_xlfn.XLOOKUP(B103,'Base stats'!B:B,'Base stats'!E:E),Groups!A:A,Groups!X:X))</f>
        <v>No</v>
      </c>
      <c r="AB103" s="7" t="str">
        <f>IF(X103="No","No",_xlfn.XLOOKUP(_xlfn.XLOOKUP(B103,'Base stats'!B:B,'Base stats'!E:E),Groups!A:A,Groups!Y:Y))</f>
        <v>No</v>
      </c>
      <c r="AC103" s="7" t="str">
        <f>_xlfn.XLOOKUP(Animals!B103,'Base stats'!B:B,'Base stats'!X:X)</f>
        <v>False</v>
      </c>
      <c r="AD103" s="13">
        <f>IF(_xlfn.XLOOKUP(B103,'Base stats'!B:B,'Base stats'!AT:AT)="No","No",MROUND((LOG10(_xlfn.XLOOKUP(B103,'Base stats'!B:B,'Base stats'!AT:AT))*(AO103^0.75)+(_xlfn.XLOOKUP(B103,'Base stats'!B:B,'Base stats'!AT:AT)/1000)^(2/3)+_xlfn.XLOOKUP(B103,'Base stats'!B:B,'Base stats'!AX:AX)+_xlfn.XLOOKUP(B103,'Base stats'!B:B,'Base stats'!BA:BA))+0.5,0.5))</f>
        <v>10</v>
      </c>
      <c r="AE103" s="7">
        <f>IF(AD103="No","No",MAX(_xlfn.XLOOKUP(_xlfn.XLOOKUP(B103,'Base stats'!B:B,'Base stats'!E:E),Groups!A:A,Groups!Z:Z),MROUND(_xlfn.XLOOKUP(_xlfn.XLOOKUP(B103,'Base stats'!B:B,'Base stats'!E:E),Groups!A:A,Groups!Z:Z)*_xlfn.XLOOKUP(B103,'Base stats'!B:B,'Base stats'!C:C)^0.165,0.05)))</f>
        <v>1.75</v>
      </c>
      <c r="AF103" s="7" t="str">
        <f>IF(AD103="No","No",_xlfn.XLOOKUP(_xlfn.XLOOKUP(B103,'Base stats'!B:B,'Base stats'!E:E),Groups!A:A,Groups!AA:AA))</f>
        <v>Mouth</v>
      </c>
      <c r="AG103" s="7" t="str">
        <f>IF(AD103="No","No",_xlfn.XLOOKUP(_xlfn.XLOOKUP(B103,'Base stats'!B:B,'Base stats'!E:E),Groups!A:A,Groups!AB:AB))</f>
        <v>mandibles</v>
      </c>
      <c r="AH103" s="7" t="str">
        <f>IF(AD103="No","No",_xlfn.XLOOKUP(_xlfn.XLOOKUP(B103,'Base stats'!B:B,'Base stats'!E:E),Groups!A:A,Groups!AC:AC))</f>
        <v>Bite</v>
      </c>
      <c r="AI103" s="13" t="str">
        <f>IF(_xlfn.XLOOKUP(_xlfn.XLOOKUP(B103,'Base stats'!B:B,'Base stats'!E:E),Groups!A:A,Groups!AD:AD)=0,"No",MROUND((LOG10(_xlfn.XLOOKUP(B103,'Base stats'!B:B,'Base stats'!AS:AS))*(AO103^0.75)+(_xlfn.XLOOKUP(B103,'Base stats'!B:B,'Base stats'!AS:AS)/1000)^(2/3)+_xlfn.XLOOKUP(B103,'Base stats'!B:B,'Base stats'!AY:AY)+_xlfn.XLOOKUP(B103,'Base stats'!B:B,'Base stats'!BA:BA))+0.5,0.5))</f>
        <v>No</v>
      </c>
      <c r="AJ103" s="7" t="str">
        <f>IF(AI103="No","No",MAX(_xlfn.XLOOKUP(_xlfn.XLOOKUP(B103,'Base stats'!B:B,'Base stats'!E:E),Groups!A:A,Groups!AE:AE),MROUND(_xlfn.XLOOKUP(_xlfn.XLOOKUP(B103,'Base stats'!B:B,'Base stats'!E:E),Groups!A:A,Groups!AE:AE)*IF(_xlfn.XLOOKUP(_xlfn.XLOOKUP(B103,'Base stats'!B:B,'Base stats'!E:E),Groups!A:A,Groups!AJ:AJ)="Photonozoa",0.6,1)*_xlfn.XLOOKUP(B103,'Base stats'!B:B,'Base stats'!C:C)^0.165,0.05)))</f>
        <v>No</v>
      </c>
      <c r="AK103" s="7" t="str">
        <f>IF(AI103="No","No",_xlfn.XLOOKUP(_xlfn.XLOOKUP(B103,'Base stats'!B:B,'Base stats'!E:E),Groups!A:A,Groups!AF:AF))</f>
        <v>No</v>
      </c>
      <c r="AL103" s="7" t="str">
        <f>IF(AI103="No","No",_xlfn.XLOOKUP(_xlfn.XLOOKUP(B103,'Base stats'!B:B,'Base stats'!E:E),Groups!A:A,Groups!AG:AG))</f>
        <v>No</v>
      </c>
      <c r="AM103" s="7" t="str">
        <f>IF(AI103="No","No",_xlfn.XLOOKUP(_xlfn.XLOOKUP(B103,'Base stats'!B:B,'Base stats'!E:E),Groups!A:A,Groups!AH:AH))</f>
        <v>No</v>
      </c>
      <c r="AN103" s="2">
        <f t="shared" si="7"/>
        <v>15</v>
      </c>
      <c r="AO103" s="2">
        <f>MROUND(IF(AND(_xlfn.XLOOKUP(B103,'Base stats'!B:B,'Base stats'!C:C)&gt;=0.5,_xlfn.XLOOKUP(B103,'Base stats'!B:B,'Base stats'!C:C)&lt;=0.8),
IF(_xlfn.XLOOKUP(B103,'Base stats'!B:B,'Base stats'!C:C)&lt;0.1,0.05,IF(_xlfn.XLOOKUP(B103,'Base stats'!B:B,'Base stats'!C:C)&lt;=70,(_xlfn.XLOOKUP(B103,'Base stats'!B:B,'Base stats'!C:C)/70)^0.426489913056526,IF(_xlfn.XLOOKUP(B103,'Base stats'!B:B,'Base stats'!C:C)&lt;=400,(_xlfn.XLOOKUP(B103,'Base stats'!B:B,'Base stats'!C:C)/70)^0.572811455315093,IF(_xlfn.XLOOKUP(B103,'Base stats'!B:B,'Base stats'!C:C)&lt;=2000,2.71391647193063*(_xlfn.XLOOKUP(B103,'Base stats'!B:B,'Base stats'!C:C)/400)^0.252459582904293,3.74314280240376*(_xlfn.XLOOKUP(B103,'Base stats'!B:B,'Base stats'!C:C)/2000)^0.357012633876913)))),
IF(_xlfn.XLOOKUP(B103,'Base stats'!B:B,'Base stats'!C:C)&lt;0.1,0.05,IF(_xlfn.XLOOKUP(B103,'Base stats'!B:B,'Base stats'!C:C)&lt;0.4,0.1,IF(_xlfn.XLOOKUP(B103,'Base stats'!B:B,'Base stats'!C:C)&lt;=70,(_xlfn.XLOOKUP(B103,'Base stats'!B:B,'Base stats'!C:C)/70)^0.445823913056526,IF(_xlfn.XLOOKUP(B103,'Base stats'!B:B,'Base stats'!C:C)&lt;=400,(_xlfn.XLOOKUP(B103,'Base stats'!B:B,'Base stats'!C:C)/70)^0.572811455315093,IF(_xlfn.XLOOKUP(B103,'Base stats'!B:B,'Base stats'!C:C)&lt;=2000,2.71391647193063*(_xlfn.XLOOKUP(B103,'Base stats'!B:B,'Base stats'!C:C)/400)^0.252459582904293,3.74314280240376*(_xlfn.XLOOKUP(B103,'Base stats'!B:B,'Base stats'!C:C)/2000)^0.357012633876913)))))),
IF(_xlfn.XLOOKUP(B103,'Base stats'!B:B,'Base stats'!C:C)&lt;0.1,0.05,IF(_xlfn.XLOOKUP(B103,'Base stats'!B:B,'Base stats'!C:C)&lt;=100,0.05,IF(_xlfn.XLOOKUP(B103,'Base stats'!B:B,'Base stats'!C:C)&lt;=250,0.1,IF(_xlfn.XLOOKUP(B103,'Base stats'!B:B,'Base stats'!C:C)&lt;=4000,0.25,0.5)))))</f>
        <v>0.4</v>
      </c>
      <c r="AP103" s="8">
        <f>MROUND(AO103*_xlfn.XLOOKUP(_xlfn.XLOOKUP(B103,'Base stats'!B:B,'Base stats'!E:E),Groups!A:A,Groups!AI:AI)*_xlfn.XLOOKUP(B103,'Base stats'!B:B,'Base stats'!Z:Z),0.05)</f>
        <v>0.4</v>
      </c>
      <c r="AQ103" s="8">
        <f>MAX(0.01,MROUND(IF(CC103="True",0.196*(AO103*100*1000)^0.889,IF(_xlfn.XLOOKUP(_xlfn.XLOOKUP(B103,'Base stats'!B:B,'Base stats'!E:E),Groups!A:A,Groups!AJ:AJ)="Bird",10.5*(AO103*100*1000)^0.681,4.82*(AO103*100*1000)^0.734))/(4.82*(1*100*1000)^0.734)/IF(AO103&lt;3.5,2,IF(AO103=3.5,1.5,1.25))*(1+0.132282374779864/(AO103^0.994035016789033+0.00905238001496948)),0.05))</f>
        <v>0.05</v>
      </c>
      <c r="AR103" s="9">
        <f>IFERROR(MROUND(_xlfn.XLOOKUP(B103,'Base stats'!B:B,'Base stats'!H:H)/IF(_xlfn.XLOOKUP(B103,'Base stats'!B:B,'Base stats'!I:I)&lt;&gt;1,(122.5/70),1.2),IF(_xlfn.XLOOKUP(B103,'Base stats'!B:B,'Base stats'!H:H)&gt;=30,5,IF(_xlfn.XLOOKUP(B103,'Base stats'!B:B,'Base stats'!H:H)&gt;=15,3,IF(_xlfn.XLOOKUP(B103,'Base stats'!B:B,'Base stats'!H:H)&gt;=10,2,1)))),"Immortal")</f>
        <v>6</v>
      </c>
      <c r="AS103" s="35" t="str">
        <f>IFERROR(IF(OR(_xlfn.XLOOKUP(B103,'Base stats'!B:B,'Base stats'!F:F)="Atypical reproduction",_xlfn.XLOOKUP(B103,'Base stats'!B:B,'Base stats'!F:F)="Lay eggs"),"Lay eggs",MIN(20,MAX(5.5,ROUND(((_xlfn.XLOOKUP(B103,'Base stats'!B:B,'Base stats'!F:F)-25)*(14.5/615) + 5.5)*2,0)/2))),"Unknown")</f>
        <v>Lay eggs</v>
      </c>
      <c r="AT103" s="8">
        <f>IF(_xlfn.XLOOKUP(B103,'Base stats'!B:B,'Base stats'!G:G)="Atypical reproduction","No",IFERROR(MAX(IF(_xlfn.XLOOKUP(B103,'Base stats'!B:B,'Base stats'!G:G)&lt;0.5,0.2,0.3),MROUND(_xlfn.XLOOKUP(B103,'Base stats'!B:B,'Base stats'!G:G)/(365/60),0.2)),"Unknown"))</f>
        <v>0.3</v>
      </c>
      <c r="AU103" s="8">
        <f t="shared" si="8"/>
        <v>0.15000000000000002</v>
      </c>
      <c r="AV103" s="8" t="str">
        <f>IFERROR(IFERROR(MROUND(_xlfn.XLOOKUP(B103,'Base stats'!B:B,'Base stats'!J:J),0.1),"Lay eggs"),"Cannot breed")</f>
        <v>Lay eggs</v>
      </c>
      <c r="AW103" s="2" t="str">
        <f t="shared" si="9"/>
        <v>false</v>
      </c>
      <c r="AX103" s="2" t="str">
        <f>IF(_xlfn.XLOOKUP(_xlfn.XLOOKUP(Animals!B103,'Base stats'!B:B,'Base stats'!E:E),Groups!A:A,Groups!AK:AK)=1,"true","false")</f>
        <v>false</v>
      </c>
      <c r="AY103" s="25" t="str">
        <f>IF(_xlfn.XLOOKUP(B103,'Base stats'!B:B,'Base stats'!Y:Y)="Liquor","Liquor, CarnivoreAnimalStrict",IF(AND(_xlfn.XLOOKUP(B103,'Base stats'!B:B,'Base stats'!Y:Y)="Carnivore",_xlfn.XLOOKUP(_xlfn.XLOOKUP(B103,'Base stats'!B:B,'Base stats'!E:E),Groups!A:A,Groups!AJ:AJ)="Photonozoa"),"CarnivoreAnimalStrict, OvivoreAnimal",IF(_xlfn.XLOOKUP(B103,'Base stats'!B:B,'Base stats'!Y:Y)="Carnivore","CarnivoreAnimal, OvivoreAnimal",IF(_xlfn.XLOOKUP(B103,'Base stats'!B:B,'Base stats'!Y:Y)="Dendrovore","VegetarianRoughAnimal, DendrovoreAnimal",IF(_xlfn.XLOOKUP(B103,'Base stats'!B:B,'Base stats'!Y:Y)="Herbivore","VegetarianRoughAnimal",IF(_xlfn.XLOOKUP(B103,'Base stats'!B:B,'Base stats'!Y:Y)="OmnivoreRough","OmnivoreRoughAnimal, OvivoreAnimal","OmnivoreAnimal, OvivoreAnimal"))))))</f>
        <v>OmnivoreAnimal, OvivoreAnimal</v>
      </c>
      <c r="AZ103" s="2" t="str">
        <f>IF(_xlfn.XLOOKUP(_xlfn.XLOOKUP(B103,'Base stats'!B:B,'Base stats'!E:E),Groups!A:A,Groups!D:D)=1,MROUND((1-J103)*5+1,2)*IF(J103&lt;=0.4,2,1),"No")</f>
        <v>No</v>
      </c>
      <c r="BA103" s="2" t="str">
        <f>IF(AND(_xlfn.XLOOKUP(B103,'Base stats'!B:B,'Base stats'!AH:AH)="&lt;li&gt;Seal&lt;/li&gt;",G103="Odyssey"),"&lt;li&gt;AEXP_Seal&lt;/li&gt;",_xlfn.XLOOKUP(B103,'Base stats'!B:B,'Base stats'!AH:AH))</f>
        <v>&lt;li&gt;Megaspider&lt;/li&gt;</v>
      </c>
      <c r="BB103" s="2" t="str">
        <f>_xlfn.XLOOKUP(B103,'Base stats'!B:B,'Base stats'!AG:AG)</f>
        <v>Leather_Chitin</v>
      </c>
      <c r="BC103" s="23" t="str">
        <f>_xlfn.XLOOKUP(_xlfn.XLOOKUP(B103,'Base stats'!B:B,'Base stats'!E:E),Groups!A:A,Groups!AL:AL)</f>
        <v>BeetleLike</v>
      </c>
      <c r="BD103" s="23">
        <f>MIN(1,MROUND(IF(AND(AO103&lt;0.5,_xlfn.XLOOKUP(B103,'Base stats'!B:B,'Base stats'!AA:AA)=0),0,IF(OR(_xlfn.XLOOKUP(Animals!B103,'Base stats'!B:B,'Base stats'!O:O)=2,_xlfn.XLOOKUP(_xlfn.XLOOKUP(B103,'Base stats'!B:B,'Base stats'!E:E),Groups!A:A,Groups!AN:AN)=0),0,_xlfn.XLOOKUP(_xlfn.XLOOKUP(B103,'Base stats'!B:B,'Base stats'!E:E),Groups!A:A,Groups!AN:AN)/IF(_xlfn.XLOOKUP(Animals!B103,'Base stats'!B:B,'Base stats'!O:O)=1,2,1)))+_xlfn.XLOOKUP(B103,'Base stats'!B:B,'Base stats'!AC:AC),0.005))</f>
        <v>0</v>
      </c>
      <c r="BE103" s="23">
        <f>MIN(1,MROUND(IF(AND(AO103&lt;0.5,_xlfn.XLOOKUP(B103,'Base stats'!B:B,'Base stats'!AA:AA)=0),0,IF(_xlfn.XLOOKUP(_xlfn.XLOOKUP(B103,'Base stats'!B:B,'Base stats'!E:E),Groups!A:A,Groups!AO:AO)=0,0,_xlfn.XLOOKUP(_xlfn.XLOOKUP(B103,'Base stats'!B:B,'Base stats'!E:E),Groups!A:A,Groups!AO:AO)/IF(_xlfn.XLOOKUP(Animals!B103,'Base stats'!B:B,'Base stats'!O:O)=2,3,1)))+_xlfn.XLOOKUP(B103,'Base stats'!B:B,'Base stats'!AD:AD),0.005))</f>
        <v>0</v>
      </c>
      <c r="BF103" s="2" t="str">
        <f>IF(J103&gt;0.3,"No",_xlfn.XLOOKUP(_xlfn.XLOOKUP(Animals!B103,'Base stats'!B:B,'Base stats'!E:E),Groups!A:A,Groups!AP:AP))</f>
        <v>No</v>
      </c>
      <c r="BG103" s="2" t="str">
        <f>IF(AND(J103&lt;=0.65,_xlfn.XLOOKUP(_xlfn.XLOOKUP(Animals!B103,'Base stats'!B:B,'Base stats'!E:E),Groups!A:A,Groups!AP:AP)&lt;&gt;"No",_xlfn.XLOOKUP(_xlfn.XLOOKUP(B103,'Base stats'!B:B,'Base stats'!E:E),Groups!A:A,Groups!D:D)=0),MROUND((80/3)*IF(_xlfn.XLOOKUP(B103,'Base stats'!B:B,'Base stats'!O:O)=2,0.2,AO103) + 24*(1-IF(BF103="No",0,BF103)) + 16/3, 12),"No")</f>
        <v>No</v>
      </c>
      <c r="BH103" s="2">
        <f>IF(AND(_xlfn.XLOOKUP(_xlfn.XLOOKUP(B103,'Base stats'!B:B,'Base stats'!E:E),Groups!A:A,Groups!AQ:AQ)=1,AO103&lt;=0.35),8,12)</f>
        <v>12</v>
      </c>
      <c r="BI103" s="2" t="str">
        <f>IF(_xlfn.XLOOKUP(_xlfn.XLOOKUP(B103,'Base stats'!B:B,'Base stats'!E:E),Groups!A:A,Groups!D:D)=0,_xlfn.XLOOKUP(_xlfn.XLOOKUP(B103,'Base stats'!B:B,'Base stats'!E:E),Groups!A:A,Groups!AR:AR),"None")</f>
        <v>Advanced</v>
      </c>
      <c r="BJ103" s="2" t="str">
        <f>IF(AND(_xlfn.XLOOKUP(_xlfn.XLOOKUP(B103,'Base stats'!B:B,'Base stats'!E:E),Groups!A:A,Groups!AS:AS)=1,OR(_xlfn.XLOOKUP(B103,'Base stats'!B:B,'Base stats'!Y:Y)="Carnivore",_xlfn.XLOOKUP(B103,'Base stats'!B:B,'Base stats'!Y:Y)="Omnivore")),"true","false")</f>
        <v>true</v>
      </c>
      <c r="BK103" s="2">
        <f>IF(BJ103="true",MROUND(IF(AND(AO103&gt;0.5,OR(_xlfn.XLOOKUP(_xlfn.XLOOKUP(B103,'Base stats'!B:B,'Base stats'!E:E),Groups!A:A,Groups!AJ:AJ)="Photonozoa",_xlfn.XLOOKUP(_xlfn.XLOOKUP(B103,'Base stats'!B:B,'Base stats'!E:E),Groups!A:A,Groups!AJ:AJ)="Mammal")),Animals!AO103*1.75*IF(AW103="true",1.5,1),IF(AO103&lt;0.5,Animals!AO103*0.5,Animals!AO103)),IF(AO103&gt;2,0.5,IF(AO103&gt;0.5,0.25,0.1))),"No")</f>
        <v>0.2</v>
      </c>
      <c r="BL103" s="2">
        <f t="shared" si="10"/>
        <v>1</v>
      </c>
      <c r="BM103" s="25" t="str">
        <f>IF(_xlfn.XLOOKUP(B103,'Base stats'!B:B,'Base stats'!AN:AN)="Standard","No",MROUND((_xlfn.XLOOKUP(B103,'Base stats'!B:B,'Base stats'!AN:AN)/3.6)/I103,0.1))</f>
        <v>No</v>
      </c>
      <c r="BN103" s="25" t="str">
        <f t="shared" si="11"/>
        <v>false</v>
      </c>
      <c r="BO103" s="25" t="str">
        <f>IF(AND(OR(_xlfn.XLOOKUP(B103,'Base stats'!B:B,'Base stats'!Y:Y)="Carnivore",_xlfn.XLOOKUP(B103,'Base stats'!B:B,'Base stats'!Y:Y)="Omnivore",_xlfn.XLOOKUP(B103,'Base stats'!B:B,'Base stats'!Y:Y)="OmnivoreRough"),_xlfn.XLOOKUP(_xlfn.XLOOKUP(B103,'Base stats'!B:B,'Base stats'!E:E),Groups!A:A,Groups!AT:AT)=1),"true","false")</f>
        <v>false</v>
      </c>
      <c r="BP103" s="25" t="str" cm="1">
        <f t="array" ref="BP103">IF(
  _xlfn.TEXTJOIN(", ",TRUE,
    IF(AND(BJ103="true",AO103&gt;0.5,BI103&lt;&gt;"None"),"AttackTarget",""),
    IF(AND(_xlfn.XLOOKUP(_xlfn.XLOOKUP(B103,'Base stats'!B:B,'Base stats'!E:E),Groups!A:A,Groups!AJ:AJ="Mammal"),OR(_xlfn.XLOOKUP(B103,'Base stats'!B:B,'Base stats'!Y:Y)="Omnivore",_xlfn.XLOOKUP(B103,'Base stats'!B:B,'Base stats'!Y:Y)="OmnivoreRough")),"Forage",""),
    IF(BG103&lt;=36,"Comfort",""),
    IF(_xlfn.XLOOKUP(B103,'Base stats'!B:B,'Base stats'!AE:AE)&lt;&gt;"No",_xlfn.XLOOKUP(B103,'Base stats'!B:B,'Base stats'!AE:AE),"")
  ) = "",
  "No",
  _xlfn.TEXTJOIN(", ",TRUE,
    IF(AND(BJ103="true",AO103&gt;0.5,BI103&lt;&gt;"None"),"AttackTarget",""),
    IF(AND(_xlfn.XLOOKUP(_xlfn.XLOOKUP(B103,'Base stats'!B:B,'Base stats'!E:E),Groups!A:A,Groups!AJ:AJ="Mammal"),OR(_xlfn.XLOOKUP(B103,'Base stats'!B:B,'Base stats'!Y:Y)="Omnivore",_xlfn.XLOOKUP(B103,'Base stats'!B:B,'Base stats'!Y:Y)="OmnivoreRough")),"Forage",""),
    IF(BG103&lt;=36,"Comfort",""),
    IF(_xlfn.XLOOKUP(B103,'Base stats'!B:B,'Base stats'!AE:AE)&lt;&gt;"No",_xlfn.XLOOKUP(B103,'Base stats'!B:B,'Base stats'!AE:AE),"")
  )
)</f>
        <v>Forage</v>
      </c>
      <c r="BQ103" s="25" t="str">
        <f>IF(
   AND(
      'Base stats'!AN103="Standard",_xlfn.XLOOKUP(_xlfn.XLOOKUP(B103,'Base stats'!B:B,'Base stats'!E:E),Groups!A:A,Groups!AU:AU)=0,
      OR(
      BO103="True"
      )
   ),
   10,
   IF(
       OR(BM103&lt;&gt;"No",_xlfn.XLOOKUP(_xlfn.XLOOKUP(B103,'Base stats'!B:B,'Base stats'!E:E),Groups!A:A,Groups!AU:AU)=1),
      1,
      "No"
   )
)</f>
        <v>No</v>
      </c>
      <c r="BR103" s="9">
        <f>MROUND((1 + ((0.2*IF(OR(Q103="No",R103="No",R103=0),0,Q103/R103)
+IF(OR(V103="No",S103="No",T103="No"),0,S103/T103*(LEN(V103)-LEN(SUBSTITUTE(V103,",",""))+1))
+IF(OR(X103="No",Y103="No"),0,X103/Y103)
+IF(OR(AD103="No",AE103="No"),0,AD103/AE103)
+IF(OR(AL103="No",AI103="No",AJ103="No"),0,AI103/AJ103*(LEN(AL103)-LEN(SUBSTITUTE(AL103,",",""))+1))
)/(0.2*IF(OR(Q103="No",R103="No",R103=0),0,1)
+IF(OR(V103="No",S103="No",T103="No"),0,LEN(V103)-LEN(SUBSTITUTE(V103,",",""))+1)
+IF(OR(X103="No",Y103="No"),0,1)
+IF(OR(AD103="No",AE103="No"),0,1)
+IF(OR(AL103="No",AI103="No",AJ103="No"),0,LEN(AL103)-LEN(SUBSTITUTE(AL103,",",""))+1))*62%)* 2)*(1 + (AP103 / (IF(_xlfn.XLOOKUP(_xlfn.XLOOKUP(B103,'Base stats'!B:B,'Base stats'!E:E),Groups!A:A,Groups!AJ:AJ)="Photonozoa",0.3,1)) + _xlfn.XLOOKUP(B103,'Base stats'!B:B,'Base stats'!AV:AV) * 1.8) * 2) * 2.5 + 10 + I103 * 2,5)+IF(_xlfn.XLOOKUP(B103,'Base stats'!B:B,'Base stats'!AK:AK)=1,50,0)</f>
        <v>65</v>
      </c>
      <c r="BS103" s="8">
        <f t="shared" si="12"/>
        <v>0.1</v>
      </c>
      <c r="BT103" s="8" t="str">
        <f>_xlfn.XLOOKUP(B103,'Base stats'!B:B,'Base stats'!AF:AF)</f>
        <v>No</v>
      </c>
      <c r="BU103" s="2" t="str">
        <f>IF(AND(J103&lt;=0.95,OR(_xlfn.XLOOKUP(B103,'Base stats'!B:B,'Base stats'!AK:AK)=1,_xlfn.XLOOKUP(B103,'Base stats'!B:B,'Base stats'!Y:Y)="Carnivore",_xlfn.XLOOKUP(B103,'Base stats'!B:B,'Base stats'!Y:Y)="Omnivore",BE103&gt;0.1)),"true","false")</f>
        <v>true</v>
      </c>
      <c r="BV103" s="2" t="str">
        <f>IF(_xlfn.XLOOKUP(B103,'Base stats'!B:B,'Base stats'!AI:AI)=1,"true","false")</f>
        <v>false</v>
      </c>
      <c r="BW103" s="25" t="str">
        <f>IF(E103="BaseInsect","AnimalInsect",
IF(J103&gt;0.95,"AnimalExotic",
_xlfn.TEXTJOIN(", ",TRUE,
IF(OR(_xlfn.XLOOKUP(B103,'Base stats'!B:B,'Base stats'!AM:AM)=1,AND(_xlfn.XLOOKUP(B103,'Base stats'!B:B,'Base stats'!O:O)=0,_xlfn.XLOOKUP(_xlfn.XLOOKUP(B103,'Base stats'!B:B,'Base stats'!E:E),Groups!A:A,Groups!B:B)&gt;0)),"AnimalUncommon","AnimalCommon"),
IF(AND(_xlfn.XLOOKUP(B103,'Base stats'!B:B,'Base stats'!O:O)=2,_xlfn.XLOOKUP(_xlfn.XLOOKUP(B103,'Base stats'!B:B,'Base stats'!E:E),Groups!A:A,Groups!D:D)=0),"AnimalPet",IF(AND(_xlfn.XLOOKUP(B103,'Base stats'!B:B,'Base stats'!O:O)&lt;&gt;0,_xlfn.XLOOKUP(_xlfn.XLOOKUP(B103,'Base stats'!B:B,'Base stats'!E:E),Groups!A:A,Groups!D:D)&lt;&gt;0),"AnimalFarm","")),
IF(OR(_xlfn.XLOOKUP(B103,'Base stats'!B:B,'Base stats'!AK:AK)=1,AND(BI103&lt;&gt;"None",BR103&gt;=60),ISNUMBER(SEARCH("Attack target",BP103))),"AnimalFighter","")
)))</f>
        <v>AnimalInsect</v>
      </c>
      <c r="BX103" s="25" t="str">
        <f>IF(G103="None",TRIM(
SUBSTITUTE(
IF(COUNTIF(Biomes!B$2:B$259,"="&amp;$C103)&gt;0,Biomes!B$1&amp;", ","")&amp;
IF(COUNTIF(Biomes!C$2:C$259,"="&amp;$C103)&gt;0,Biomes!C$1&amp;", ","")&amp;
IF(COUNTIF(Biomes!D$2:D$259,"="&amp;$C103)&gt;0,Biomes!D$1&amp;", ","")&amp;
IF(COUNTIF(Biomes!F$2:F$259,"="&amp;$C103)&gt;0,Biomes!F$1&amp;", ","")&amp;
IF(COUNTIF(Biomes!G$2:G$259,"="&amp;$C103)&gt;0,Biomes!G$1&amp;", ","")&amp;
IF(COUNTIF(Biomes!H$2:H$259,"="&amp;$C103)&gt;0,Biomes!H$1&amp;", ","")&amp;
IF(COUNTIF(Biomes!I$2:I$259,"="&amp;$C103)&gt;0,Biomes!I$1&amp;", ","")&amp;
IF(COUNTIF(Biomes!J$2:J$259,"="&amp;$C103)&gt;0,Biomes!J$1&amp;", ","")&amp;
IF(COUNTIF(Biomes!M$2:M$259,"="&amp;$C103)&gt;0,Biomes!M$1&amp;", ","")&amp;
IF(COUNTIF(Biomes!N$2:N$259,"="&amp;$C103)&gt;0,Biomes!N$1&amp;", ","")&amp;
IF(COUNTIF(Biomes!O$2:O$259,"="&amp;$C103)&gt;0,Biomes!O$1&amp;", ","")&amp;
IF(COUNTIF(Biomes!P$2:P$259,"="&amp;$C103)&gt;0,Biomes!P$1&amp;", ","")&amp;
IF(COUNTIF(Biomes!K$2:K$259,"="&amp;$C103)&gt;0,Biomes!K$1&amp;", ","")&amp;
IF(COUNTIF(Biomes!Q$3:Q$259,"="&amp;$C103)&gt;0,Biomes!Q$1&amp;", ","")&amp;
IF(COUNTIF(Biomes!L$2:L$259,"="&amp;$C103)&gt;0,Biomes!L$1&amp;", ","")&amp;
IF(COUNTIF(Biomes!E$2:E$259,"="&amp;$C103)&gt;0,Biomes!E$1&amp;", ","")&amp;IF(COUNTIF(Biomes!S$2:S$259,"="&amp;$C103)&gt;0,Biomes!S$1&amp;", ","")&amp;
IF(COUNTIF(Biomes!R$2:R$259,"="&amp;$C103)&gt;0,Biomes!R$1&amp;", ",""),", ","")
),_xlfn.XLOOKUP(B103,B:B,BX:BX))</f>
        <v/>
      </c>
      <c r="BY103" s="25" t="str">
        <f>IF(_xlfn.XLOOKUP(B103,'Base stats'!B:B,'Base stats'!AJ:AJ)=1,"true","false")</f>
        <v>false</v>
      </c>
      <c r="BZ103" s="25">
        <f>IF(_xlfn.XLOOKUP(B103,'Base stats'!B:B,'Base stats'!N:N)=1,"No",MAX(0.001,MIN(MROUND(IF(AND(BJ103="True",CC103="False"),POWER(10,3.47*LOG10(_xlfn.XLOOKUP(B103,'Base stats'!B:B,'Base stats'!C:C)*1000)^-0.96),POWER(10,4.15*LOG10(_xlfn.XLOOKUP(B103,'Base stats'!B:B,'Base stats'!C:C)*1000)^-0.73))*IF(_xlfn.XLOOKUP(B103,'Base stats'!B:B,'Base stats'!AK:AK)=1,0.5,1)*IF(_xlfn.XLOOKUP(B103,'Base stats'!B:B,'Base stats'!AM:AM)=1,0.1,1)/100,IF(_xlfn.XLOOKUP(B103,'Base stats'!B:B,'Base stats'!AM:AM)=1,0.001,0.025)),0.5)))</f>
        <v>0.32500000000000001</v>
      </c>
      <c r="CA103" s="25">
        <f>IF(P103="Standard","No",MAX(0.001,MIN(MROUND(IF(AND(BJ103="True",CC103="False"),POWER(10,3.47*LOG10(_xlfn.XLOOKUP(B103,'Base stats'!B:B,'Base stats'!C:C)*1000)^-0.96),POWER(10,4.15*LOG10(_xlfn.XLOOKUP(B103,'Base stats'!B:B,'Base stats'!C:C)*1000)^-0.73))*IF(_xlfn.XLOOKUP(B103,'Base stats'!B:B,'Base stats'!AM:AM)=1,0.1,1)*_xlfn.XLOOKUP(B103,'Base stats'!B:B,'Base stats'!R:R)/100,IF(_xlfn.XLOOKUP(B103,'Base stats'!B:B,'Base stats'!AM:AM)=1,0.001,0.025)),0.5)))</f>
        <v>0.32500000000000001</v>
      </c>
      <c r="CB103" s="25" t="str">
        <f>IF(_xlfn.XLOOKUP(_xlfn.XLOOKUP(B103,'Base stats'!B:B,'Base stats'!E:E),Groups!A:A,Groups!AJ:AJ)="Mammal","True","False")</f>
        <v>False</v>
      </c>
      <c r="CC103" s="25" t="str">
        <f>IF(OR(_xlfn.XLOOKUP(_xlfn.XLOOKUP(B103,'Base stats'!B:B,'Base stats'!E:E),Groups!A:A,Groups!AJ:AJ)="Reptile",_xlfn.XLOOKUP(_xlfn.XLOOKUP(B103,'Base stats'!B:B,'Base stats'!E:E),Groups!A:A,Groups!AJ:AJ)="Amphibian",_xlfn.XLOOKUP(_xlfn.XLOOKUP(B103,'Base stats'!B:B,'Base stats'!E:E),Groups!A:A,Groups!AJ:AJ)="Invertebrate"),"True","False")</f>
        <v>True</v>
      </c>
      <c r="CD103" s="25" t="str">
        <f t="shared" si="13"/>
        <v>False</v>
      </c>
      <c r="CE103" s="25" t="str">
        <f>IF(_xlfn.XLOOKUP(_xlfn.XLOOKUP(B103,'Base stats'!B:B,'Base stats'!E:E),Groups!A:A,Groups!AX:AX),"True","False")</f>
        <v>False</v>
      </c>
      <c r="CF103" s="25" t="str">
        <f>IF(_xlfn.XLOOKUP(_xlfn.XLOOKUP(B103,'Base stats'!B:B,'Base stats'!E:E),Groups!A:A,Groups!AY:AY),"True","False")</f>
        <v>False</v>
      </c>
      <c r="CG103" s="25" t="str">
        <f>IF(_xlfn.XLOOKUP(_xlfn.XLOOKUP(B103,'Base stats'!B:B,'Base stats'!E:E),Groups!A:A,Groups!AW:AW),"True","False")</f>
        <v>False</v>
      </c>
      <c r="CH103" s="25" t="str">
        <f>IF(
OR(
_xlfn.XLOOKUP(_xlfn.XLOOKUP(B103,'Base stats'!B:B,'Base stats'!E:E),Groups!A:A,Groups!AZ:AZ)=0,
AND(
_xlfn.XLOOKUP(B103,'Base stats'!B:B,'Base stats'!Y:Y)&lt;&gt;"Carnivore",
_xlfn.XLOOKUP(B103,'Base stats'!B:B,'Base stats'!Y:Y)&lt;&gt;"Omnivore",
_xlfn.XLOOKUP(B103,'Base stats'!B:B,'Base stats'!Y:Y)&lt;&gt;"OmnivoreRough"
)
),
"No",
IF(
_xlfn.XLOOKUP(_xlfn.XLOOKUP(B103,'Base stats'!B:B,'Base stats'!E:E),Groups!A:A,Groups!AZ:AZ)=1,
"Flesh",
IF(
_xlfn.XLOOKUP(_xlfn.XLOOKUP(B103,'Base stats'!B:B,'Base stats'!E:E),Groups!A:A,Groups!AZ:AZ)=2,
"Bone",
""
)
)
)</f>
        <v>Bone</v>
      </c>
      <c r="CI103" s="25" t="str">
        <f>IF(_xlfn.XLOOKUP(_xlfn.XLOOKUP(B103,'Base stats'!B:B,'Base stats'!E:E),Groups!A:A,Groups!BB:BB),"True","False")</f>
        <v>False</v>
      </c>
      <c r="CJ103" s="25" t="str">
        <f>IF(_xlfn.XLOOKUP(_xlfn.XLOOKUP(B103,'Base stats'!B:B,'Base stats'!E:E),Groups!A:A,Groups!BA:BA),"True","False")</f>
        <v>False</v>
      </c>
    </row>
    <row r="104" spans="1:88" ht="16.5" thickTop="1" thickBot="1" x14ac:dyDescent="0.3">
      <c r="A104" s="26" t="str">
        <f>_xlfn.XLOOKUP(B104,'Base stats'!B:B,'Base stats'!A:A)</f>
        <v>Spelopede</v>
      </c>
      <c r="B104" s="6" t="s">
        <v>423</v>
      </c>
      <c r="C104" s="28" t="s">
        <v>843</v>
      </c>
      <c r="D104" s="28" t="s">
        <v>45</v>
      </c>
      <c r="E104" s="28" t="s">
        <v>784</v>
      </c>
      <c r="F104" s="28" t="s">
        <v>785</v>
      </c>
      <c r="G104" s="28" t="s">
        <v>673</v>
      </c>
      <c r="H104" s="2">
        <f>MROUND((
  (IF(AND(_xlfn.XLOOKUP(B104,'Base stats'!B:B,'Base stats'!AL:AL)=0,BI104="None",_xlfn.XLOOKUP(_xlfn.XLOOKUP(B104,'Base stats'!B:B,'Base stats'!E:E),Groups!A:A,Groups!B:B)=0), (18 + BR104 * 2.7) * 0.5,
    IF(AND(_xlfn.XLOOKUP(B104,'Base stats'!B:B,'Base stats'!AL:AL)=0,OR(AO104&lt;0.55,AND(BI104="Intermediate",_xlfn.XLOOKUP(_xlfn.XLOOKUP(B104,'Base stats'!B:B,'Base stats'!E:E),Groups!A:A,Groups!B:B)&lt;2))), (18 + BR104 * 2.7),
      IF(OR(BI104="Advanced",_xlfn.XLOOKUP(B104,'Base stats'!B:B,'Base stats'!AL:AL)=1,_xlfn.XLOOKUP(_xlfn.XLOOKUP(B104,'Base stats'!B:B,'Base stats'!E:E),Groups!A:A,Groups!B:B)=2), (18 + BR104 * 2.7) + 250, (18 + BR104 * 2.7))
    )
  ))
  + AO104 * 80
  + IF(COUNTIF(EggMilk!K$2:K$998, A104) &gt; 0, 125, 0)
  + IF(COUNTIF(EggMilk!P$2:P$998, A104) &gt; 0, 90, 0)
  + IF(COUNTIF(EggMilk!A$2:A$998, A104) &gt; 0, 90, 0)
)
* (0.8 + 0.4 * J104)
* 0.75,25)</f>
        <v>750</v>
      </c>
      <c r="I104" s="2">
        <f>MROUND(ROUNDDOWN(_xlfn.XLOOKUP(B104,'Base stats'!B:B,'Base stats'!L:L)/3.6/(23.3/11),1),0.5)</f>
        <v>3.5</v>
      </c>
      <c r="J104" s="2">
        <f>IF(OR(_xlfn.XLOOKUP(B104,'Base stats'!B:B,'Base stats'!AB:AB)=1,_xlfn.XLOOKUP(_xlfn.XLOOKUP(B104,'Base stats'!B:B,'Base stats'!E:E),Groups!A:A,Groups!C:C)="Untamable"),1,IF(_xlfn.XLOOKUP(B104,'Base stats'!B:B,'Base stats'!AL:AL)=1,0.99,MIN(MROUND((1-0.6282*EXP(-0.459*AO104))*_xlfn.XLOOKUP(_xlfn.XLOOKUP(B104,'Base stats'!B:B,'Base stats'!E:E),Groups!A:A,Groups!C:C)*IF(_xlfn.XLOOKUP(B104,'Base stats'!B:B,'Base stats'!O:O)=1,0.5,IF(_xlfn.XLOOKUP(B104,'Base stats'!B:B,'Base stats'!O:O)=2,0,1)),0.05),IF(AO104&gt;3.5,0.985,0.95))))</f>
        <v>0.75</v>
      </c>
      <c r="K104" s="2">
        <f>ROUNDUP(AO104*_xlfn.XLOOKUP(_xlfn.XLOOKUP(B104,'Base stats'!B:B,'Base stats'!E:E),Groups!A:A,Groups!E:E),0)</f>
        <v>2</v>
      </c>
      <c r="L104" s="2">
        <f>IF(OR(_xlfn.XLOOKUP(_xlfn.XLOOKUP(B104,'Base stats'!B:B,'Base stats'!E:E),Groups!A:A,Groups!F:F)=2,ISNUMBER(SEARCH("SeaIce",BX104)),ISNUMBER(SEARCH("IceSheet",BX104))),-50,IF(OR(ISNUMBER(SEARCH("GlacialPlain",BX104)),ISNUMBER(SEARCH("Tundra",BX104))),-40,IF(OR(ISNUMBER(SEARCH("Alpine",BX104)),ISNUMBER(SEARCH("BorealForest",BX104)),ISNUMBER(SEARCH("ColdBog",BX104))),-30,IF(OR(ISNUMBER(SEARCH("TemperateForest",BX104)),ISNUMBER(SEARCH("TemperateSwamp",BX104))),-20,IF(_xlfn.XLOOKUP(_xlfn.XLOOKUP(B104,'Base stats'!B:B,'Base stats'!E:E),Groups!A:A,Groups!F:F)=1,-15,IF(OR(ISNUMBER(SEARCH("Desert",BX104)),ISNUMBER(SEARCH("ExtremeDesert",BX104))),-10,IF(OR(ISNUMBER(SEARCH("Grasslands",BX104)),ISNUMBER(SEARCH("TropicalRainforest",BX104)),ISNUMBER(SEARCH("TropicalSwamp",BX104))),10,0)))))))-IF(CC104="False",MIN(IFERROR(MAX(MROUND(LOG10(_xlfn.XLOOKUP(B104,'Base stats'!B:B,'Base stats'!C:C)^(2/3))*10,5),5),5),30))-_xlfn.XLOOKUP(B104,'Base stats'!B:B,'Base stats'!P:P)+IF(CC104="True",5,0)</f>
        <v>5</v>
      </c>
      <c r="M104" s="2">
        <f>IF(OR(_xlfn.XLOOKUP(_xlfn.XLOOKUP(B104,'Base stats'!B:B,'Base stats'!E:E),Groups!A:A,Groups!G:G)=2,ISNUMBER(SEARCH("Desert",BX104)),ISNUMBER(SEARCH("ExtremeDesert",BX104)),ISNUMBER(SEARCH("LavaField",BX104))),50,IF(ISNUMBER(SEARCH("Grasslands",BX104)),45,IF(OR(_xlfn.XLOOKUP(_xlfn.XLOOKUP(B104,'Base stats'!B:B,'Base stats'!E:E),Groups!A:A,Groups!G:G)=1,ISNUMBER(SEARCH("TropicalRainforest",BX104)),ISNUMBER(SEARCH("TropicalSwamp",BX104))),40,IF(OR(ISNUMBER(SEARCH("TemperateForest",BX104)),ISNUMBER(SEARCH("TemperateSwamp",BX104))),35,IF(OR(ISNUMBER(SEARCH("Alpine",BX104)),ISNUMBER(SEARCH("BorealForest",BX104)),ISNUMBER(SEARCH("ColdBog",BX104))),30,IF(ISNUMBER(OR(ISNUMBER(SEARCH("GlacialPlain",BX104)),SEARCH("Tundra",BX104))),25,IF(OR(ISNUMBER(SEARCH("SeaIce",BX104)),ISNUMBER(SEARCH("IceSheet",BX104)),ISNUMBER(SEARCH("TropicalSwamp",BX104))),10,35)))))))+_xlfn.XLOOKUP(B104,'Base stats'!B:B,'Base stats'!Q:Q)</f>
        <v>50</v>
      </c>
      <c r="N104" s="8">
        <f>IF(
_xlfn.XLOOKUP(
_xlfn.XLOOKUP(B104,'Base stats'!B:B,'Base stats'!E:E),
Groups!A:A,
Groups!L:L
)=1,
MIN(
MROUND(
IF(
_xlfn.XLOOKUP(B104,'Animals CE'!B:B,'Animals CE'!Z:Z)&lt;=1.5,
_xlfn.XLOOKUP(B104,'Animals CE'!B:B,'Animals CE'!Z:Z)/2+0.05,
0.8+
(_xlfn.XLOOKUP(B104,'Animals CE'!B:B,'Animals CE'!Z:Z)-1.5)
*0.02
),
0.05
),
200%
),
"No"
)</f>
        <v>0.70000000000000007</v>
      </c>
      <c r="O104" s="8">
        <f>IF(
_xlfn.XLOOKUP(
_xlfn.XLOOKUP(B104,'Base stats'!B:B,'Base stats'!E:E),
Groups!A:A,
Groups!L:L
)=1,
MIN(
MROUND(
IF(
_xlfn.XLOOKUP(B104,'Animals CE'!B:B,'Animals CE'!AA:AA)&lt;=1.5,
_xlfn.XLOOKUP(B104,'Animals CE'!B:B,'Animals CE'!AA:AA)/2+0.05,
0.8+
(_xlfn.XLOOKUP(B104,'Animals CE'!B:B,'Animals CE'!AA:AA)-1.5)
*0.02
),
0.05
),
200%
),
"No"
)</f>
        <v>0.15000000000000002</v>
      </c>
      <c r="P104" s="2">
        <f>_xlfn.XLOOKUP(B104,'Base stats'!B:B,'Base stats'!R:R)</f>
        <v>1</v>
      </c>
      <c r="Q104" s="13">
        <f>MROUND((LOG10(_xlfn.XLOOKUP(B104,'Base stats'!B:B,'Base stats'!AR:AR))*(AO104^0.5)+(_xlfn.XLOOKUP(B104,'Base stats'!B:B,'Base stats'!AR:AR)/1000)^(2/3)+_xlfn.XLOOKUP(B104,'Base stats'!B:B,'Base stats'!BA:BA)/2)+0.5,0.5)</f>
        <v>9.5</v>
      </c>
      <c r="R104" s="7">
        <f>IF(Q104="No","No",MAX(1,MROUND(_xlfn.XLOOKUP(B104,'Base stats'!B:B,'Base stats'!C:C)^0.165,0.05)))</f>
        <v>2.3000000000000003</v>
      </c>
      <c r="S104" s="13" t="str">
        <f>IF(_xlfn.XLOOKUP(_xlfn.XLOOKUP(B104,'Base stats'!B:B,'Base stats'!E:E),Groups!A:A,Groups!P:P)=0,"No",MROUND((LOG10(_xlfn.XLOOKUP(B104,'Base stats'!B:B,'Base stats'!AS:AS))*(AO104^0.5)+(_xlfn.XLOOKUP(B104,'Base stats'!B:B,'Base stats'!AS:AS)/1000)^(2/3)+_xlfn.XLOOKUP(B104,'Base stats'!B:B,'Base stats'!BA:BA))+_xlfn.XLOOKUP(B104,'Base stats'!B:B,'Base stats'!AY:AY)+0.5,0.5))</f>
        <v>No</v>
      </c>
      <c r="T104" s="7" t="str">
        <f>IF(S104="No","No",MAX(_xlfn.XLOOKUP(_xlfn.XLOOKUP(B104,'Base stats'!B:B,'Base stats'!E:E),Groups!A:A,Groups!Q:Q),MROUND(_xlfn.XLOOKUP(_xlfn.XLOOKUP(B104,'Base stats'!B:B,'Base stats'!E:E),Groups!A:A,Groups!Q:Q)*_xlfn.XLOOKUP(B104,'Base stats'!B:B,'Base stats'!C:C)^0.165,0.05)))</f>
        <v>No</v>
      </c>
      <c r="U104" s="7" t="str">
        <f>IF(S104="No","No",_xlfn.XLOOKUP(_xlfn.XLOOKUP(B104,'Base stats'!B:B,'Base stats'!E:E),Groups!A:A,Groups!R:R))</f>
        <v>No</v>
      </c>
      <c r="V104" s="7" t="str">
        <f>IF(S104="No","No",_xlfn.XLOOKUP(_xlfn.XLOOKUP(B104,'Base stats'!B:B,'Base stats'!E:E),Groups!A:A,Groups!S:S))</f>
        <v>No</v>
      </c>
      <c r="W104" s="7" t="str">
        <f>IF(S104="No","No",_xlfn.XLOOKUP(_xlfn.XLOOKUP(B104,'Base stats'!B:B,'Base stats'!E:E),Groups!A:A,Groups!T:T))</f>
        <v>No</v>
      </c>
      <c r="X104" s="13" t="str">
        <f>IF(_xlfn.XLOOKUP(B104,'Base stats'!B:B,'Base stats'!W:W)="No","No",MROUND((LOG10(_xlfn.XLOOKUP(B104,'Base stats'!B:B,'Base stats'!AU:AU))*(AO104^0.5)+(_xlfn.XLOOKUP(B104,'Base stats'!B:B,'Base stats'!AU:AU)/1000)^(2/3)+_xlfn.XLOOKUP(B104,'Base stats'!B:B,'Base stats'!AZ:AZ))+0.5+IF(_xlfn.XLOOKUP(_xlfn.XLOOKUP(B104,'Base stats'!B:B,'Base stats'!E:E),Groups!A:A,Groups!U:U)&lt;&gt;3,_xlfn.XLOOKUP(B104,'Base stats'!B:B,'Base stats'!BA:BA),0),0.5))</f>
        <v>No</v>
      </c>
      <c r="Y104" s="7" t="str">
        <f>IF(X104="No","No",MAX(_xlfn.XLOOKUP(_xlfn.XLOOKUP(B104,'Base stats'!B:B,'Base stats'!E:E),Groups!A:A,Groups!V:V),MROUND(_xlfn.XLOOKUP(_xlfn.XLOOKUP(B104,'Base stats'!B:B,'Base stats'!E:E),Groups!A:A,Groups!V:V)*_xlfn.XLOOKUP(B104,'Base stats'!B:B,'Base stats'!C:C)^0.165,0.05)))</f>
        <v>No</v>
      </c>
      <c r="Z104" s="7" t="str">
        <f>IF(X104="No","No",_xlfn.XLOOKUP(_xlfn.XLOOKUP(B104,'Base stats'!B:B,'Base stats'!E:E),Groups!A:A,Groups!W:W))</f>
        <v>No</v>
      </c>
      <c r="AA104" s="7" t="str">
        <f>IF(X104="No","No",_xlfn.XLOOKUP(_xlfn.XLOOKUP(B104,'Base stats'!B:B,'Base stats'!E:E),Groups!A:A,Groups!X:X))</f>
        <v>No</v>
      </c>
      <c r="AB104" s="7" t="str">
        <f>IF(X104="No","No",_xlfn.XLOOKUP(_xlfn.XLOOKUP(B104,'Base stats'!B:B,'Base stats'!E:E),Groups!A:A,Groups!Y:Y))</f>
        <v>No</v>
      </c>
      <c r="AC104" s="7" t="str">
        <f>_xlfn.XLOOKUP(Animals!B104,'Base stats'!B:B,'Base stats'!X:X)</f>
        <v>False</v>
      </c>
      <c r="AD104" s="13">
        <f>IF(_xlfn.XLOOKUP(B104,'Base stats'!B:B,'Base stats'!AT:AT)="No","No",MROUND((LOG10(_xlfn.XLOOKUP(B104,'Base stats'!B:B,'Base stats'!AT:AT))*(AO104^0.75)+(_xlfn.XLOOKUP(B104,'Base stats'!B:B,'Base stats'!AT:AT)/1000)^(2/3)+_xlfn.XLOOKUP(B104,'Base stats'!B:B,'Base stats'!AX:AX)+_xlfn.XLOOKUP(B104,'Base stats'!B:B,'Base stats'!BA:BA))+0.5,0.5))</f>
        <v>28</v>
      </c>
      <c r="AE104" s="7">
        <f>IF(AD104="No","No",MAX(_xlfn.XLOOKUP(_xlfn.XLOOKUP(B104,'Base stats'!B:B,'Base stats'!E:E),Groups!A:A,Groups!Z:Z),MROUND(_xlfn.XLOOKUP(_xlfn.XLOOKUP(B104,'Base stats'!B:B,'Base stats'!E:E),Groups!A:A,Groups!Z:Z)*_xlfn.XLOOKUP(B104,'Base stats'!B:B,'Base stats'!C:C)^0.165,0.05)))</f>
        <v>2.75</v>
      </c>
      <c r="AF104" s="7" t="str">
        <f>IF(AD104="No","No",_xlfn.XLOOKUP(_xlfn.XLOOKUP(B104,'Base stats'!B:B,'Base stats'!E:E),Groups!A:A,Groups!AA:AA))</f>
        <v>Mouth</v>
      </c>
      <c r="AG104" s="7" t="str">
        <f>IF(AD104="No","No",_xlfn.XLOOKUP(_xlfn.XLOOKUP(B104,'Base stats'!B:B,'Base stats'!E:E),Groups!A:A,Groups!AB:AB))</f>
        <v>mandibles</v>
      </c>
      <c r="AH104" s="7" t="str">
        <f>IF(AD104="No","No",_xlfn.XLOOKUP(_xlfn.XLOOKUP(B104,'Base stats'!B:B,'Base stats'!E:E),Groups!A:A,Groups!AC:AC))</f>
        <v>Bite</v>
      </c>
      <c r="AI104" s="13">
        <f>IF(_xlfn.XLOOKUP(_xlfn.XLOOKUP(B104,'Base stats'!B:B,'Base stats'!E:E),Groups!A:A,Groups!AD:AD)=0,"No",MROUND((LOG10(_xlfn.XLOOKUP(B104,'Base stats'!B:B,'Base stats'!AS:AS))*(AO104^0.75)+(_xlfn.XLOOKUP(B104,'Base stats'!B:B,'Base stats'!AS:AS)/1000)^(2/3)+_xlfn.XLOOKUP(B104,'Base stats'!B:B,'Base stats'!AY:AY)+_xlfn.XLOOKUP(B104,'Base stats'!B:B,'Base stats'!BA:BA))+0.5,0.5))</f>
        <v>23</v>
      </c>
      <c r="AJ104" s="7">
        <f>IF(AI104="No","No",MAX(_xlfn.XLOOKUP(_xlfn.XLOOKUP(B104,'Base stats'!B:B,'Base stats'!E:E),Groups!A:A,Groups!AE:AE),MROUND(_xlfn.XLOOKUP(_xlfn.XLOOKUP(B104,'Base stats'!B:B,'Base stats'!E:E),Groups!A:A,Groups!AE:AE)*IF(_xlfn.XLOOKUP(_xlfn.XLOOKUP(B104,'Base stats'!B:B,'Base stats'!E:E),Groups!A:A,Groups!AJ:AJ)="Photonozoa",0.6,1)*_xlfn.XLOOKUP(B104,'Base stats'!B:B,'Base stats'!C:C)^0.165,0.05)))</f>
        <v>2.5</v>
      </c>
      <c r="AK104" s="7" t="str">
        <f>IF(AI104="No","No",_xlfn.XLOOKUP(_xlfn.XLOOKUP(B104,'Base stats'!B:B,'Base stats'!E:E),Groups!A:A,Groups!AF:AF))</f>
        <v>HeadClaw</v>
      </c>
      <c r="AL104" s="7" t="str">
        <f>IF(AI104="No","No",_xlfn.XLOOKUP(_xlfn.XLOOKUP(B104,'Base stats'!B:B,'Base stats'!E:E),Groups!A:A,Groups!AG:AG))</f>
        <v>head claw</v>
      </c>
      <c r="AM104" s="7" t="str">
        <f>IF(AI104="No","No",_xlfn.XLOOKUP(_xlfn.XLOOKUP(B104,'Base stats'!B:B,'Base stats'!E:E),Groups!A:A,Groups!AH:AH))</f>
        <v>Scratch</v>
      </c>
      <c r="AN104" s="2">
        <f t="shared" si="7"/>
        <v>25</v>
      </c>
      <c r="AO104" s="2">
        <f>MROUND(IF(AND(_xlfn.XLOOKUP(B104,'Base stats'!B:B,'Base stats'!C:C)&gt;=0.5,_xlfn.XLOOKUP(B104,'Base stats'!B:B,'Base stats'!C:C)&lt;=0.8),
IF(_xlfn.XLOOKUP(B104,'Base stats'!B:B,'Base stats'!C:C)&lt;0.1,0.05,IF(_xlfn.XLOOKUP(B104,'Base stats'!B:B,'Base stats'!C:C)&lt;=70,(_xlfn.XLOOKUP(B104,'Base stats'!B:B,'Base stats'!C:C)/70)^0.426489913056526,IF(_xlfn.XLOOKUP(B104,'Base stats'!B:B,'Base stats'!C:C)&lt;=400,(_xlfn.XLOOKUP(B104,'Base stats'!B:B,'Base stats'!C:C)/70)^0.572811455315093,IF(_xlfn.XLOOKUP(B104,'Base stats'!B:B,'Base stats'!C:C)&lt;=2000,2.71391647193063*(_xlfn.XLOOKUP(B104,'Base stats'!B:B,'Base stats'!C:C)/400)^0.252459582904293,3.74314280240376*(_xlfn.XLOOKUP(B104,'Base stats'!B:B,'Base stats'!C:C)/2000)^0.357012633876913)))),
IF(_xlfn.XLOOKUP(B104,'Base stats'!B:B,'Base stats'!C:C)&lt;0.1,0.05,IF(_xlfn.XLOOKUP(B104,'Base stats'!B:B,'Base stats'!C:C)&lt;0.4,0.1,IF(_xlfn.XLOOKUP(B104,'Base stats'!B:B,'Base stats'!C:C)&lt;=70,(_xlfn.XLOOKUP(B104,'Base stats'!B:B,'Base stats'!C:C)/70)^0.445823913056526,IF(_xlfn.XLOOKUP(B104,'Base stats'!B:B,'Base stats'!C:C)&lt;=400,(_xlfn.XLOOKUP(B104,'Base stats'!B:B,'Base stats'!C:C)/70)^0.572811455315093,IF(_xlfn.XLOOKUP(B104,'Base stats'!B:B,'Base stats'!C:C)&lt;=2000,2.71391647193063*(_xlfn.XLOOKUP(B104,'Base stats'!B:B,'Base stats'!C:C)/400)^0.252459582904293,3.74314280240376*(_xlfn.XLOOKUP(B104,'Base stats'!B:B,'Base stats'!C:C)/2000)^0.357012633876913)))))),
IF(_xlfn.XLOOKUP(B104,'Base stats'!B:B,'Base stats'!C:C)&lt;0.1,0.05,IF(_xlfn.XLOOKUP(B104,'Base stats'!B:B,'Base stats'!C:C)&lt;=100,0.05,IF(_xlfn.XLOOKUP(B104,'Base stats'!B:B,'Base stats'!C:C)&lt;=250,0.1,IF(_xlfn.XLOOKUP(B104,'Base stats'!B:B,'Base stats'!C:C)&lt;=4000,0.25,0.5)))))</f>
        <v>1.5</v>
      </c>
      <c r="AP104" s="8">
        <f>MROUND(AO104*_xlfn.XLOOKUP(_xlfn.XLOOKUP(B104,'Base stats'!B:B,'Base stats'!E:E),Groups!A:A,Groups!AI:AI)*_xlfn.XLOOKUP(B104,'Base stats'!B:B,'Base stats'!Z:Z),0.05)</f>
        <v>1.5</v>
      </c>
      <c r="AQ104" s="8">
        <f>MAX(0.01,MROUND(IF(CC104="True",0.196*(AO104*100*1000)^0.889,IF(_xlfn.XLOOKUP(_xlfn.XLOOKUP(B104,'Base stats'!B:B,'Base stats'!E:E),Groups!A:A,Groups!AJ:AJ)="Bird",10.5*(AO104*100*1000)^0.681,4.82*(AO104*100*1000)^0.734))/(4.82*(1*100*1000)^0.734)/IF(AO104&lt;3.5,2,IF(AO104=3.5,1.5,1.25))*(1+0.132282374779864/(AO104^0.994035016789033+0.00905238001496948)),0.05))</f>
        <v>0.2</v>
      </c>
      <c r="AR104" s="9">
        <f>IFERROR(MROUND(_xlfn.XLOOKUP(B104,'Base stats'!B:B,'Base stats'!H:H)/IF(_xlfn.XLOOKUP(B104,'Base stats'!B:B,'Base stats'!I:I)&lt;&gt;1,(122.5/70),1.2),IF(_xlfn.XLOOKUP(B104,'Base stats'!B:B,'Base stats'!H:H)&gt;=30,5,IF(_xlfn.XLOOKUP(B104,'Base stats'!B:B,'Base stats'!H:H)&gt;=15,3,IF(_xlfn.XLOOKUP(B104,'Base stats'!B:B,'Base stats'!H:H)&gt;=10,2,1)))),"Immortal")</f>
        <v>9</v>
      </c>
      <c r="AS104" s="35" t="str">
        <f>IFERROR(IF(OR(_xlfn.XLOOKUP(B104,'Base stats'!B:B,'Base stats'!F:F)="Atypical reproduction",_xlfn.XLOOKUP(B104,'Base stats'!B:B,'Base stats'!F:F)="Lay eggs"),"Lay eggs",MIN(20,MAX(5.5,ROUND(((_xlfn.XLOOKUP(B104,'Base stats'!B:B,'Base stats'!F:F)-25)*(14.5/615) + 5.5)*2,0)/2))),"Unknown")</f>
        <v>Lay eggs</v>
      </c>
      <c r="AT104" s="8">
        <f>IF(_xlfn.XLOOKUP(B104,'Base stats'!B:B,'Base stats'!G:G)="Atypical reproduction","No",IFERROR(MAX(IF(_xlfn.XLOOKUP(B104,'Base stats'!B:B,'Base stats'!G:G)&lt;0.5,0.2,0.3),MROUND(_xlfn.XLOOKUP(B104,'Base stats'!B:B,'Base stats'!G:G)/(365/60),0.2)),"Unknown"))</f>
        <v>0.3</v>
      </c>
      <c r="AU104" s="8">
        <f t="shared" si="8"/>
        <v>0.15000000000000002</v>
      </c>
      <c r="AV104" s="8" t="str">
        <f>IFERROR(IFERROR(MROUND(_xlfn.XLOOKUP(B104,'Base stats'!B:B,'Base stats'!J:J),0.1),"Lay eggs"),"Cannot breed")</f>
        <v>Lay eggs</v>
      </c>
      <c r="AW104" s="2" t="str">
        <f t="shared" si="9"/>
        <v>false</v>
      </c>
      <c r="AX104" s="2" t="str">
        <f>IF(_xlfn.XLOOKUP(_xlfn.XLOOKUP(Animals!B104,'Base stats'!B:B,'Base stats'!E:E),Groups!A:A,Groups!AK:AK)=1,"true","false")</f>
        <v>false</v>
      </c>
      <c r="AY104" s="25" t="str">
        <f>IF(_xlfn.XLOOKUP(B104,'Base stats'!B:B,'Base stats'!Y:Y)="Liquor","Liquor, CarnivoreAnimalStrict",IF(AND(_xlfn.XLOOKUP(B104,'Base stats'!B:B,'Base stats'!Y:Y)="Carnivore",_xlfn.XLOOKUP(_xlfn.XLOOKUP(B104,'Base stats'!B:B,'Base stats'!E:E),Groups!A:A,Groups!AJ:AJ)="Photonozoa"),"CarnivoreAnimalStrict, OvivoreAnimal",IF(_xlfn.XLOOKUP(B104,'Base stats'!B:B,'Base stats'!Y:Y)="Carnivore","CarnivoreAnimal, OvivoreAnimal",IF(_xlfn.XLOOKUP(B104,'Base stats'!B:B,'Base stats'!Y:Y)="Dendrovore","VegetarianRoughAnimal, DendrovoreAnimal",IF(_xlfn.XLOOKUP(B104,'Base stats'!B:B,'Base stats'!Y:Y)="Herbivore","VegetarianRoughAnimal",IF(_xlfn.XLOOKUP(B104,'Base stats'!B:B,'Base stats'!Y:Y)="OmnivoreRough","OmnivoreRoughAnimal, OvivoreAnimal","OmnivoreAnimal, OvivoreAnimal"))))))</f>
        <v>OmnivoreAnimal, OvivoreAnimal</v>
      </c>
      <c r="AZ104" s="2" t="str">
        <f>IF(_xlfn.XLOOKUP(_xlfn.XLOOKUP(B104,'Base stats'!B:B,'Base stats'!E:E),Groups!A:A,Groups!D:D)=1,MROUND((1-J104)*5+1,2)*IF(J104&lt;=0.4,2,1),"No")</f>
        <v>No</v>
      </c>
      <c r="BA104" s="2" t="str">
        <f>IF(AND(_xlfn.XLOOKUP(B104,'Base stats'!B:B,'Base stats'!AH:AH)="&lt;li&gt;Seal&lt;/li&gt;",G104="Odyssey"),"&lt;li&gt;AEXP_Seal&lt;/li&gt;",_xlfn.XLOOKUP(B104,'Base stats'!B:B,'Base stats'!AH:AH))</f>
        <v>&lt;li&gt;Megaspider&lt;/li&gt;</v>
      </c>
      <c r="BB104" s="2" t="str">
        <f>_xlfn.XLOOKUP(B104,'Base stats'!B:B,'Base stats'!AG:AG)</f>
        <v>Leather_Chitin</v>
      </c>
      <c r="BC104" s="23" t="str">
        <f>_xlfn.XLOOKUP(_xlfn.XLOOKUP(B104,'Base stats'!B:B,'Base stats'!E:E),Groups!A:A,Groups!AL:AL)</f>
        <v>BeetleLikeWithClaw</v>
      </c>
      <c r="BD104" s="23">
        <f>MIN(1,MROUND(IF(AND(AO104&lt;0.5,_xlfn.XLOOKUP(B104,'Base stats'!B:B,'Base stats'!AA:AA)=0),0,IF(OR(_xlfn.XLOOKUP(Animals!B104,'Base stats'!B:B,'Base stats'!O:O)=2,_xlfn.XLOOKUP(_xlfn.XLOOKUP(B104,'Base stats'!B:B,'Base stats'!E:E),Groups!A:A,Groups!AN:AN)=0),0,_xlfn.XLOOKUP(_xlfn.XLOOKUP(B104,'Base stats'!B:B,'Base stats'!E:E),Groups!A:A,Groups!AN:AN)/IF(_xlfn.XLOOKUP(Animals!B104,'Base stats'!B:B,'Base stats'!O:O)=1,2,1)))+_xlfn.XLOOKUP(B104,'Base stats'!B:B,'Base stats'!AC:AC),0.005))</f>
        <v>1</v>
      </c>
      <c r="BE104" s="23">
        <f>MIN(1,MROUND(IF(AND(AO104&lt;0.5,_xlfn.XLOOKUP(B104,'Base stats'!B:B,'Base stats'!AA:AA)=0),0,IF(_xlfn.XLOOKUP(_xlfn.XLOOKUP(B104,'Base stats'!B:B,'Base stats'!E:E),Groups!A:A,Groups!AO:AO)=0,0,_xlfn.XLOOKUP(_xlfn.XLOOKUP(B104,'Base stats'!B:B,'Base stats'!E:E),Groups!A:A,Groups!AO:AO)/IF(_xlfn.XLOOKUP(Animals!B104,'Base stats'!B:B,'Base stats'!O:O)=2,3,1)))+_xlfn.XLOOKUP(B104,'Base stats'!B:B,'Base stats'!AD:AD),0.005))</f>
        <v>1</v>
      </c>
      <c r="BF104" s="2" t="str">
        <f>IF(J104&gt;0.3,"No",_xlfn.XLOOKUP(_xlfn.XLOOKUP(Animals!B104,'Base stats'!B:B,'Base stats'!E:E),Groups!A:A,Groups!AP:AP))</f>
        <v>No</v>
      </c>
      <c r="BG104" s="2" t="str">
        <f>IF(AND(J104&lt;=0.65,_xlfn.XLOOKUP(_xlfn.XLOOKUP(Animals!B104,'Base stats'!B:B,'Base stats'!E:E),Groups!A:A,Groups!AP:AP)&lt;&gt;"No",_xlfn.XLOOKUP(_xlfn.XLOOKUP(B104,'Base stats'!B:B,'Base stats'!E:E),Groups!A:A,Groups!D:D)=0),MROUND((80/3)*IF(_xlfn.XLOOKUP(B104,'Base stats'!B:B,'Base stats'!O:O)=2,0.2,AO104) + 24*(1-IF(BF104="No",0,BF104)) + 16/3, 12),"No")</f>
        <v>No</v>
      </c>
      <c r="BH104" s="2">
        <f>IF(AND(_xlfn.XLOOKUP(_xlfn.XLOOKUP(B104,'Base stats'!B:B,'Base stats'!E:E),Groups!A:A,Groups!AQ:AQ)=1,AO104&lt;=0.35),8,12)</f>
        <v>12</v>
      </c>
      <c r="BI104" s="2" t="str">
        <f>IF(_xlfn.XLOOKUP(_xlfn.XLOOKUP(B104,'Base stats'!B:B,'Base stats'!E:E),Groups!A:A,Groups!D:D)=0,_xlfn.XLOOKUP(_xlfn.XLOOKUP(B104,'Base stats'!B:B,'Base stats'!E:E),Groups!A:A,Groups!AR:AR),"None")</f>
        <v>Advanced</v>
      </c>
      <c r="BJ104" s="2" t="str">
        <f>IF(AND(_xlfn.XLOOKUP(_xlfn.XLOOKUP(B104,'Base stats'!B:B,'Base stats'!E:E),Groups!A:A,Groups!AS:AS)=1,OR(_xlfn.XLOOKUP(B104,'Base stats'!B:B,'Base stats'!Y:Y)="Carnivore",_xlfn.XLOOKUP(B104,'Base stats'!B:B,'Base stats'!Y:Y)="Omnivore")),"true","false")</f>
        <v>true</v>
      </c>
      <c r="BK104" s="2">
        <f>IF(BJ104="true",MROUND(IF(AND(AO104&gt;0.5,OR(_xlfn.XLOOKUP(_xlfn.XLOOKUP(B104,'Base stats'!B:B,'Base stats'!E:E),Groups!A:A,Groups!AJ:AJ)="Photonozoa",_xlfn.XLOOKUP(_xlfn.XLOOKUP(B104,'Base stats'!B:B,'Base stats'!E:E),Groups!A:A,Groups!AJ:AJ)="Mammal")),Animals!AO104*1.75*IF(AW104="true",1.5,1),IF(AO104&lt;0.5,Animals!AO104*0.5,Animals!AO104)),IF(AO104&gt;2,0.5,IF(AO104&gt;0.5,0.25,0.1))),"No")</f>
        <v>1.5</v>
      </c>
      <c r="BL104" s="2">
        <f t="shared" si="10"/>
        <v>1</v>
      </c>
      <c r="BM104" s="25" t="str">
        <f>IF(_xlfn.XLOOKUP(B104,'Base stats'!B:B,'Base stats'!AN:AN)="Standard","No",MROUND((_xlfn.XLOOKUP(B104,'Base stats'!B:B,'Base stats'!AN:AN)/3.6)/I104,0.1))</f>
        <v>No</v>
      </c>
      <c r="BN104" s="25" t="str">
        <f t="shared" si="11"/>
        <v>false</v>
      </c>
      <c r="BO104" s="25" t="str">
        <f>IF(AND(OR(_xlfn.XLOOKUP(B104,'Base stats'!B:B,'Base stats'!Y:Y)="Carnivore",_xlfn.XLOOKUP(B104,'Base stats'!B:B,'Base stats'!Y:Y)="Omnivore",_xlfn.XLOOKUP(B104,'Base stats'!B:B,'Base stats'!Y:Y)="OmnivoreRough"),_xlfn.XLOOKUP(_xlfn.XLOOKUP(B104,'Base stats'!B:B,'Base stats'!E:E),Groups!A:A,Groups!AT:AT)=1),"true","false")</f>
        <v>false</v>
      </c>
      <c r="BP104" s="25" t="str" cm="1">
        <f t="array" ref="BP104">IF(
  _xlfn.TEXTJOIN(", ",TRUE,
    IF(AND(BJ104="true",AO104&gt;0.5,BI104&lt;&gt;"None"),"AttackTarget",""),
    IF(AND(_xlfn.XLOOKUP(_xlfn.XLOOKUP(B104,'Base stats'!B:B,'Base stats'!E:E),Groups!A:A,Groups!AJ:AJ="Mammal"),OR(_xlfn.XLOOKUP(B104,'Base stats'!B:B,'Base stats'!Y:Y)="Omnivore",_xlfn.XLOOKUP(B104,'Base stats'!B:B,'Base stats'!Y:Y)="OmnivoreRough")),"Forage",""),
    IF(BG104&lt;=36,"Comfort",""),
    IF(_xlfn.XLOOKUP(B104,'Base stats'!B:B,'Base stats'!AE:AE)&lt;&gt;"No",_xlfn.XLOOKUP(B104,'Base stats'!B:B,'Base stats'!AE:AE),"")
  ) = "",
  "No",
  _xlfn.TEXTJOIN(", ",TRUE,
    IF(AND(BJ104="true",AO104&gt;0.5,BI104&lt;&gt;"None"),"AttackTarget",""),
    IF(AND(_xlfn.XLOOKUP(_xlfn.XLOOKUP(B104,'Base stats'!B:B,'Base stats'!E:E),Groups!A:A,Groups!AJ:AJ="Mammal"),OR(_xlfn.XLOOKUP(B104,'Base stats'!B:B,'Base stats'!Y:Y)="Omnivore",_xlfn.XLOOKUP(B104,'Base stats'!B:B,'Base stats'!Y:Y)="OmnivoreRough")),"Forage",""),
    IF(BG104&lt;=36,"Comfort",""),
    IF(_xlfn.XLOOKUP(B104,'Base stats'!B:B,'Base stats'!AE:AE)&lt;&gt;"No",_xlfn.XLOOKUP(B104,'Base stats'!B:B,'Base stats'!AE:AE),"")
  )
)</f>
        <v>AttackTarget, Dig</v>
      </c>
      <c r="BQ104" s="25" t="str">
        <f>IF(
   AND(
      'Base stats'!AN104="Standard",_xlfn.XLOOKUP(_xlfn.XLOOKUP(B104,'Base stats'!B:B,'Base stats'!E:E),Groups!A:A,Groups!AU:AU)=0,
      OR(
      BO104="True"
      )
   ),
   10,
   IF(
       OR(BM104&lt;&gt;"No",_xlfn.XLOOKUP(_xlfn.XLOOKUP(B104,'Base stats'!B:B,'Base stats'!E:E),Groups!A:A,Groups!AU:AU)=1),
      1,
      "No"
   )
)</f>
        <v>No</v>
      </c>
      <c r="BR104" s="9">
        <f>MROUND((1 + ((0.2*IF(OR(Q104="No",R104="No",R104=0),0,Q104/R104)
+IF(OR(V104="No",S104="No",T104="No"),0,S104/T104*(LEN(V104)-LEN(SUBSTITUTE(V104,",",""))+1))
+IF(OR(X104="No",Y104="No"),0,X104/Y104)
+IF(OR(AD104="No",AE104="No"),0,AD104/AE104)
+IF(OR(AL104="No",AI104="No",AJ104="No"),0,AI104/AJ104*(LEN(AL104)-LEN(SUBSTITUTE(AL104,",",""))+1))
)/(0.2*IF(OR(Q104="No",R104="No",R104=0),0,1)
+IF(OR(V104="No",S104="No",T104="No"),0,LEN(V104)-LEN(SUBSTITUTE(V104,",",""))+1)
+IF(OR(X104="No",Y104="No"),0,1)
+IF(OR(AD104="No",AE104="No"),0,1)
+IF(OR(AL104="No",AI104="No",AJ104="No"),0,LEN(AL104)-LEN(SUBSTITUTE(AL104,",",""))+1))*62%)* 2)*(1 + (AP104 / (IF(_xlfn.XLOOKUP(_xlfn.XLOOKUP(B104,'Base stats'!B:B,'Base stats'!E:E),Groups!A:A,Groups!AJ:AJ)="Photonozoa",0.3,1)) + _xlfn.XLOOKUP(B104,'Base stats'!B:B,'Base stats'!AV:AV) * 1.8) * 2) * 2.5 + 10 + I104 * 2,5)+IF(_xlfn.XLOOKUP(B104,'Base stats'!B:B,'Base stats'!AK:AK)=1,50,0)</f>
        <v>190</v>
      </c>
      <c r="BS104" s="8">
        <f t="shared" si="12"/>
        <v>0.45</v>
      </c>
      <c r="BT104" s="8" t="str">
        <f>_xlfn.XLOOKUP(B104,'Base stats'!B:B,'Base stats'!AF:AF)</f>
        <v>No</v>
      </c>
      <c r="BU104" s="2" t="str">
        <f>IF(AND(J104&lt;=0.95,OR(_xlfn.XLOOKUP(B104,'Base stats'!B:B,'Base stats'!AK:AK)=1,_xlfn.XLOOKUP(B104,'Base stats'!B:B,'Base stats'!Y:Y)="Carnivore",_xlfn.XLOOKUP(B104,'Base stats'!B:B,'Base stats'!Y:Y)="Omnivore",BE104&gt;0.1)),"true","false")</f>
        <v>true</v>
      </c>
      <c r="BV104" s="2" t="str">
        <f>IF(_xlfn.XLOOKUP(B104,'Base stats'!B:B,'Base stats'!AI:AI)=1,"true","false")</f>
        <v>false</v>
      </c>
      <c r="BW104" s="25" t="str">
        <f>IF(E104="BaseInsect","AnimalInsect",
IF(J104&gt;0.95,"AnimalExotic",
_xlfn.TEXTJOIN(", ",TRUE,
IF(OR(_xlfn.XLOOKUP(B104,'Base stats'!B:B,'Base stats'!AM:AM)=1,AND(_xlfn.XLOOKUP(B104,'Base stats'!B:B,'Base stats'!O:O)=0,_xlfn.XLOOKUP(_xlfn.XLOOKUP(B104,'Base stats'!B:B,'Base stats'!E:E),Groups!A:A,Groups!B:B)&gt;0)),"AnimalUncommon","AnimalCommon"),
IF(AND(_xlfn.XLOOKUP(B104,'Base stats'!B:B,'Base stats'!O:O)=2,_xlfn.XLOOKUP(_xlfn.XLOOKUP(B104,'Base stats'!B:B,'Base stats'!E:E),Groups!A:A,Groups!D:D)=0),"AnimalPet",IF(AND(_xlfn.XLOOKUP(B104,'Base stats'!B:B,'Base stats'!O:O)&lt;&gt;0,_xlfn.XLOOKUP(_xlfn.XLOOKUP(B104,'Base stats'!B:B,'Base stats'!E:E),Groups!A:A,Groups!D:D)&lt;&gt;0),"AnimalFarm","")),
IF(OR(_xlfn.XLOOKUP(B104,'Base stats'!B:B,'Base stats'!AK:AK)=1,AND(BI104&lt;&gt;"None",BR104&gt;=60),ISNUMBER(SEARCH("Attack target",BP104))),"AnimalFighter","")
)))</f>
        <v>AnimalInsect</v>
      </c>
      <c r="BX104" s="25" t="str">
        <f>IF(G104="None",TRIM(
SUBSTITUTE(
IF(COUNTIF(Biomes!B$2:B$259,"="&amp;$C104)&gt;0,Biomes!B$1&amp;", ","")&amp;
IF(COUNTIF(Biomes!C$2:C$259,"="&amp;$C104)&gt;0,Biomes!C$1&amp;", ","")&amp;
IF(COUNTIF(Biomes!D$2:D$259,"="&amp;$C104)&gt;0,Biomes!D$1&amp;", ","")&amp;
IF(COUNTIF(Biomes!F$2:F$259,"="&amp;$C104)&gt;0,Biomes!F$1&amp;", ","")&amp;
IF(COUNTIF(Biomes!G$2:G$259,"="&amp;$C104)&gt;0,Biomes!G$1&amp;", ","")&amp;
IF(COUNTIF(Biomes!H$2:H$259,"="&amp;$C104)&gt;0,Biomes!H$1&amp;", ","")&amp;
IF(COUNTIF(Biomes!I$2:I$259,"="&amp;$C104)&gt;0,Biomes!I$1&amp;", ","")&amp;
IF(COUNTIF(Biomes!J$2:J$259,"="&amp;$C104)&gt;0,Biomes!J$1&amp;", ","")&amp;
IF(COUNTIF(Biomes!M$2:M$259,"="&amp;$C104)&gt;0,Biomes!M$1&amp;", ","")&amp;
IF(COUNTIF(Biomes!N$2:N$259,"="&amp;$C104)&gt;0,Biomes!N$1&amp;", ","")&amp;
IF(COUNTIF(Biomes!O$2:O$259,"="&amp;$C104)&gt;0,Biomes!O$1&amp;", ","")&amp;
IF(COUNTIF(Biomes!P$2:P$259,"="&amp;$C104)&gt;0,Biomes!P$1&amp;", ","")&amp;
IF(COUNTIF(Biomes!K$2:K$259,"="&amp;$C104)&gt;0,Biomes!K$1&amp;", ","")&amp;
IF(COUNTIF(Biomes!Q$3:Q$259,"="&amp;$C104)&gt;0,Biomes!Q$1&amp;", ","")&amp;
IF(COUNTIF(Biomes!L$2:L$259,"="&amp;$C104)&gt;0,Biomes!L$1&amp;", ","")&amp;
IF(COUNTIF(Biomes!E$2:E$259,"="&amp;$C104)&gt;0,Biomes!E$1&amp;", ","")&amp;IF(COUNTIF(Biomes!S$2:S$259,"="&amp;$C104)&gt;0,Biomes!S$1&amp;", ","")&amp;
IF(COUNTIF(Biomes!R$2:R$259,"="&amp;$C104)&gt;0,Biomes!R$1&amp;", ",""),", ","")
),_xlfn.XLOOKUP(B104,B:B,BX:BX))</f>
        <v/>
      </c>
      <c r="BY104" s="25" t="str">
        <f>IF(_xlfn.XLOOKUP(B104,'Base stats'!B:B,'Base stats'!AJ:AJ)=1,"true","false")</f>
        <v>false</v>
      </c>
      <c r="BZ104" s="25">
        <f>IF(_xlfn.XLOOKUP(B104,'Base stats'!B:B,'Base stats'!N:N)=1,"No",MAX(0.001,MIN(MROUND(IF(AND(BJ104="True",CC104="False"),POWER(10,3.47*LOG10(_xlfn.XLOOKUP(B104,'Base stats'!B:B,'Base stats'!C:C)*1000)^-0.96),POWER(10,4.15*LOG10(_xlfn.XLOOKUP(B104,'Base stats'!B:B,'Base stats'!C:C)*1000)^-0.73))*IF(_xlfn.XLOOKUP(B104,'Base stats'!B:B,'Base stats'!AK:AK)=1,0.5,1)*IF(_xlfn.XLOOKUP(B104,'Base stats'!B:B,'Base stats'!AM:AM)=1,0.1,1)/100,IF(_xlfn.XLOOKUP(B104,'Base stats'!B:B,'Base stats'!AM:AM)=1,0.001,0.025)),0.5)))</f>
        <v>0.17500000000000002</v>
      </c>
      <c r="CA104" s="25">
        <f>IF(P104="Standard","No",MAX(0.001,MIN(MROUND(IF(AND(BJ104="True",CC104="False"),POWER(10,3.47*LOG10(_xlfn.XLOOKUP(B104,'Base stats'!B:B,'Base stats'!C:C)*1000)^-0.96),POWER(10,4.15*LOG10(_xlfn.XLOOKUP(B104,'Base stats'!B:B,'Base stats'!C:C)*1000)^-0.73))*IF(_xlfn.XLOOKUP(B104,'Base stats'!B:B,'Base stats'!AM:AM)=1,0.1,1)*_xlfn.XLOOKUP(B104,'Base stats'!B:B,'Base stats'!R:R)/100,IF(_xlfn.XLOOKUP(B104,'Base stats'!B:B,'Base stats'!AM:AM)=1,0.001,0.025)),0.5)))</f>
        <v>0.17500000000000002</v>
      </c>
      <c r="CB104" s="25" t="str">
        <f>IF(_xlfn.XLOOKUP(_xlfn.XLOOKUP(B104,'Base stats'!B:B,'Base stats'!E:E),Groups!A:A,Groups!AJ:AJ)="Mammal","True","False")</f>
        <v>False</v>
      </c>
      <c r="CC104" s="25" t="str">
        <f>IF(OR(_xlfn.XLOOKUP(_xlfn.XLOOKUP(B104,'Base stats'!B:B,'Base stats'!E:E),Groups!A:A,Groups!AJ:AJ)="Reptile",_xlfn.XLOOKUP(_xlfn.XLOOKUP(B104,'Base stats'!B:B,'Base stats'!E:E),Groups!A:A,Groups!AJ:AJ)="Amphibian",_xlfn.XLOOKUP(_xlfn.XLOOKUP(B104,'Base stats'!B:B,'Base stats'!E:E),Groups!A:A,Groups!AJ:AJ)="Invertebrate"),"True","False")</f>
        <v>True</v>
      </c>
      <c r="CD104" s="25" t="str">
        <f t="shared" si="13"/>
        <v>False</v>
      </c>
      <c r="CE104" s="25" t="str">
        <f>IF(_xlfn.XLOOKUP(_xlfn.XLOOKUP(B104,'Base stats'!B:B,'Base stats'!E:E),Groups!A:A,Groups!AX:AX),"True","False")</f>
        <v>False</v>
      </c>
      <c r="CF104" s="25" t="str">
        <f>IF(_xlfn.XLOOKUP(_xlfn.XLOOKUP(B104,'Base stats'!B:B,'Base stats'!E:E),Groups!A:A,Groups!AY:AY),"True","False")</f>
        <v>False</v>
      </c>
      <c r="CG104" s="25" t="str">
        <f>IF(_xlfn.XLOOKUP(_xlfn.XLOOKUP(B104,'Base stats'!B:B,'Base stats'!E:E),Groups!A:A,Groups!AW:AW),"True","False")</f>
        <v>False</v>
      </c>
      <c r="CH104" s="25" t="str">
        <f>IF(
OR(
_xlfn.XLOOKUP(_xlfn.XLOOKUP(B104,'Base stats'!B:B,'Base stats'!E:E),Groups!A:A,Groups!AZ:AZ)=0,
AND(
_xlfn.XLOOKUP(B104,'Base stats'!B:B,'Base stats'!Y:Y)&lt;&gt;"Carnivore",
_xlfn.XLOOKUP(B104,'Base stats'!B:B,'Base stats'!Y:Y)&lt;&gt;"Omnivore",
_xlfn.XLOOKUP(B104,'Base stats'!B:B,'Base stats'!Y:Y)&lt;&gt;"OmnivoreRough"
)
),
"No",
IF(
_xlfn.XLOOKUP(_xlfn.XLOOKUP(B104,'Base stats'!B:B,'Base stats'!E:E),Groups!A:A,Groups!AZ:AZ)=1,
"Flesh",
IF(
_xlfn.XLOOKUP(_xlfn.XLOOKUP(B104,'Base stats'!B:B,'Base stats'!E:E),Groups!A:A,Groups!AZ:AZ)=2,
"Bone",
""
)
)
)</f>
        <v>Bone</v>
      </c>
      <c r="CI104" s="25" t="str">
        <f>IF(_xlfn.XLOOKUP(_xlfn.XLOOKUP(B104,'Base stats'!B:B,'Base stats'!E:E),Groups!A:A,Groups!BB:BB),"True","False")</f>
        <v>False</v>
      </c>
      <c r="CJ104" s="25" t="str">
        <f>IF(_xlfn.XLOOKUP(_xlfn.XLOOKUP(B104,'Base stats'!B:B,'Base stats'!E:E),Groups!A:A,Groups!BA:BA),"True","False")</f>
        <v>False</v>
      </c>
    </row>
    <row r="105" spans="1:88" ht="16.5" thickTop="1" thickBot="1" x14ac:dyDescent="0.3">
      <c r="A105" s="26" t="str">
        <f>_xlfn.XLOOKUP(B105,'Base stats'!B:B,'Base stats'!A:A)</f>
        <v>Megaspider</v>
      </c>
      <c r="B105" s="6" t="s">
        <v>424</v>
      </c>
      <c r="C105" s="28" t="s">
        <v>786</v>
      </c>
      <c r="D105" s="28" t="s">
        <v>45</v>
      </c>
      <c r="E105" s="28" t="s">
        <v>784</v>
      </c>
      <c r="F105" s="28" t="s">
        <v>785</v>
      </c>
      <c r="G105" s="28" t="s">
        <v>673</v>
      </c>
      <c r="H105" s="2">
        <f>MROUND((
  (IF(AND(_xlfn.XLOOKUP(B105,'Base stats'!B:B,'Base stats'!AL:AL)=0,BI105="None",_xlfn.XLOOKUP(_xlfn.XLOOKUP(B105,'Base stats'!B:B,'Base stats'!E:E),Groups!A:A,Groups!B:B)=0), (18 + BR105 * 2.7) * 0.5,
    IF(AND(_xlfn.XLOOKUP(B105,'Base stats'!B:B,'Base stats'!AL:AL)=0,OR(AO105&lt;0.55,AND(BI105="Intermediate",_xlfn.XLOOKUP(_xlfn.XLOOKUP(B105,'Base stats'!B:B,'Base stats'!E:E),Groups!A:A,Groups!B:B)&lt;2))), (18 + BR105 * 2.7),
      IF(OR(BI105="Advanced",_xlfn.XLOOKUP(B105,'Base stats'!B:B,'Base stats'!AL:AL)=1,_xlfn.XLOOKUP(_xlfn.XLOOKUP(B105,'Base stats'!B:B,'Base stats'!E:E),Groups!A:A,Groups!B:B)=2), (18 + BR105 * 2.7) + 250, (18 + BR105 * 2.7))
    )
  ))
  + AO105 * 80
  + IF(COUNTIF(EggMilk!K$2:K$998, A105) &gt; 0, 125, 0)
  + IF(COUNTIF(EggMilk!P$2:P$998, A105) &gt; 0, 90, 0)
  + IF(COUNTIF(EggMilk!A$2:A$998, A105) &gt; 0, 90, 0)
)
* (0.8 + 0.4 * J105)
* 0.75,25)</f>
        <v>1025</v>
      </c>
      <c r="I105" s="2">
        <f>MROUND(ROUNDDOWN(_xlfn.XLOOKUP(B105,'Base stats'!B:B,'Base stats'!L:L)/3.6/(23.3/11),1),0.5)</f>
        <v>2.5</v>
      </c>
      <c r="J105" s="2">
        <f>IF(OR(_xlfn.XLOOKUP(B105,'Base stats'!B:B,'Base stats'!AB:AB)=1,_xlfn.XLOOKUP(_xlfn.XLOOKUP(B105,'Base stats'!B:B,'Base stats'!E:E),Groups!A:A,Groups!C:C)="Untamable"),1,IF(_xlfn.XLOOKUP(B105,'Base stats'!B:B,'Base stats'!AL:AL)=1,0.99,MIN(MROUND((1-0.6282*EXP(-0.459*AO105))*_xlfn.XLOOKUP(_xlfn.XLOOKUP(B105,'Base stats'!B:B,'Base stats'!E:E),Groups!A:A,Groups!C:C)*IF(_xlfn.XLOOKUP(B105,'Base stats'!B:B,'Base stats'!O:O)=1,0.5,IF(_xlfn.XLOOKUP(B105,'Base stats'!B:B,'Base stats'!O:O)=2,0,1)),0.05),IF(AO105&gt;3.5,0.985,0.95))))</f>
        <v>0.85000000000000009</v>
      </c>
      <c r="K105" s="2">
        <f>ROUNDUP(AO105*_xlfn.XLOOKUP(_xlfn.XLOOKUP(B105,'Base stats'!B:B,'Base stats'!E:E),Groups!A:A,Groups!E:E),0)</f>
        <v>3</v>
      </c>
      <c r="L105" s="2">
        <f>IF(OR(_xlfn.XLOOKUP(_xlfn.XLOOKUP(B105,'Base stats'!B:B,'Base stats'!E:E),Groups!A:A,Groups!F:F)=2,ISNUMBER(SEARCH("SeaIce",BX105)),ISNUMBER(SEARCH("IceSheet",BX105))),-50,IF(OR(ISNUMBER(SEARCH("GlacialPlain",BX105)),ISNUMBER(SEARCH("Tundra",BX105))),-40,IF(OR(ISNUMBER(SEARCH("Alpine",BX105)),ISNUMBER(SEARCH("BorealForest",BX105)),ISNUMBER(SEARCH("ColdBog",BX105))),-30,IF(OR(ISNUMBER(SEARCH("TemperateForest",BX105)),ISNUMBER(SEARCH("TemperateSwamp",BX105))),-20,IF(_xlfn.XLOOKUP(_xlfn.XLOOKUP(B105,'Base stats'!B:B,'Base stats'!E:E),Groups!A:A,Groups!F:F)=1,-15,IF(OR(ISNUMBER(SEARCH("Desert",BX105)),ISNUMBER(SEARCH("ExtremeDesert",BX105))),-10,IF(OR(ISNUMBER(SEARCH("Grasslands",BX105)),ISNUMBER(SEARCH("TropicalRainforest",BX105)),ISNUMBER(SEARCH("TropicalSwamp",BX105))),10,0)))))))-IF(CC105="False",MIN(IFERROR(MAX(MROUND(LOG10(_xlfn.XLOOKUP(B105,'Base stats'!B:B,'Base stats'!C:C)^(2/3))*10,5),5),5),30))-_xlfn.XLOOKUP(B105,'Base stats'!B:B,'Base stats'!P:P)+IF(CC105="True",5,0)</f>
        <v>5</v>
      </c>
      <c r="M105" s="2">
        <f>IF(OR(_xlfn.XLOOKUP(_xlfn.XLOOKUP(B105,'Base stats'!B:B,'Base stats'!E:E),Groups!A:A,Groups!G:G)=2,ISNUMBER(SEARCH("Desert",BX105)),ISNUMBER(SEARCH("ExtremeDesert",BX105)),ISNUMBER(SEARCH("LavaField",BX105))),50,IF(ISNUMBER(SEARCH("Grasslands",BX105)),45,IF(OR(_xlfn.XLOOKUP(_xlfn.XLOOKUP(B105,'Base stats'!B:B,'Base stats'!E:E),Groups!A:A,Groups!G:G)=1,ISNUMBER(SEARCH("TropicalRainforest",BX105)),ISNUMBER(SEARCH("TropicalSwamp",BX105))),40,IF(OR(ISNUMBER(SEARCH("TemperateForest",BX105)),ISNUMBER(SEARCH("TemperateSwamp",BX105))),35,IF(OR(ISNUMBER(SEARCH("Alpine",BX105)),ISNUMBER(SEARCH("BorealForest",BX105)),ISNUMBER(SEARCH("ColdBog",BX105))),30,IF(ISNUMBER(OR(ISNUMBER(SEARCH("GlacialPlain",BX105)),SEARCH("Tundra",BX105))),25,IF(OR(ISNUMBER(SEARCH("SeaIce",BX105)),ISNUMBER(SEARCH("IceSheet",BX105)),ISNUMBER(SEARCH("TropicalSwamp",BX105))),10,35)))))))+_xlfn.XLOOKUP(B105,'Base stats'!B:B,'Base stats'!Q:Q)</f>
        <v>50</v>
      </c>
      <c r="N105" s="8">
        <f>IF(
_xlfn.XLOOKUP(
_xlfn.XLOOKUP(B105,'Base stats'!B:B,'Base stats'!E:E),
Groups!A:A,
Groups!L:L
)=1,
MIN(
MROUND(
IF(
_xlfn.XLOOKUP(B105,'Animals CE'!B:B,'Animals CE'!Z:Z)&lt;=1.5,
_xlfn.XLOOKUP(B105,'Animals CE'!B:B,'Animals CE'!Z:Z)/2+0.05,
0.8+
(_xlfn.XLOOKUP(B105,'Animals CE'!B:B,'Animals CE'!Z:Z)-1.5)
*0.02
),
0.05
),
200%
),
"No"
)</f>
        <v>0.8</v>
      </c>
      <c r="O105" s="8">
        <f>IF(
_xlfn.XLOOKUP(
_xlfn.XLOOKUP(B105,'Base stats'!B:B,'Base stats'!E:E),
Groups!A:A,
Groups!L:L
)=1,
MIN(
MROUND(
IF(
_xlfn.XLOOKUP(B105,'Animals CE'!B:B,'Animals CE'!AA:AA)&lt;=1.5,
_xlfn.XLOOKUP(B105,'Animals CE'!B:B,'Animals CE'!AA:AA)/2+0.05,
0.8+
(_xlfn.XLOOKUP(B105,'Animals CE'!B:B,'Animals CE'!AA:AA)-1.5)
*0.02
),
0.05
),
200%
),
"No"
)</f>
        <v>0.15000000000000002</v>
      </c>
      <c r="P105" s="2">
        <f>_xlfn.XLOOKUP(B105,'Base stats'!B:B,'Base stats'!R:R)</f>
        <v>1</v>
      </c>
      <c r="Q105" s="13">
        <f>MROUND((LOG10(_xlfn.XLOOKUP(B105,'Base stats'!B:B,'Base stats'!AR:AR))*(AO105^0.5)+(_xlfn.XLOOKUP(B105,'Base stats'!B:B,'Base stats'!AR:AR)/1000)^(2/3)+_xlfn.XLOOKUP(B105,'Base stats'!B:B,'Base stats'!BA:BA)/2)+0.5,0.5)</f>
        <v>13</v>
      </c>
      <c r="R105" s="7">
        <f>IF(Q105="No","No",MAX(1,MROUND(_xlfn.XLOOKUP(B105,'Base stats'!B:B,'Base stats'!C:C)^0.165,0.05)))</f>
        <v>2.5500000000000003</v>
      </c>
      <c r="S105" s="13" t="str">
        <f>IF(_xlfn.XLOOKUP(_xlfn.XLOOKUP(B105,'Base stats'!B:B,'Base stats'!E:E),Groups!A:A,Groups!P:P)=0,"No",MROUND((LOG10(_xlfn.XLOOKUP(B105,'Base stats'!B:B,'Base stats'!AS:AS))*(AO105^0.5)+(_xlfn.XLOOKUP(B105,'Base stats'!B:B,'Base stats'!AS:AS)/1000)^(2/3)+_xlfn.XLOOKUP(B105,'Base stats'!B:B,'Base stats'!BA:BA))+_xlfn.XLOOKUP(B105,'Base stats'!B:B,'Base stats'!AY:AY)+0.5,0.5))</f>
        <v>No</v>
      </c>
      <c r="T105" s="7" t="str">
        <f>IF(S105="No","No",MAX(_xlfn.XLOOKUP(_xlfn.XLOOKUP(B105,'Base stats'!B:B,'Base stats'!E:E),Groups!A:A,Groups!Q:Q),MROUND(_xlfn.XLOOKUP(_xlfn.XLOOKUP(B105,'Base stats'!B:B,'Base stats'!E:E),Groups!A:A,Groups!Q:Q)*_xlfn.XLOOKUP(B105,'Base stats'!B:B,'Base stats'!C:C)^0.165,0.05)))</f>
        <v>No</v>
      </c>
      <c r="U105" s="7" t="str">
        <f>IF(S105="No","No",_xlfn.XLOOKUP(_xlfn.XLOOKUP(B105,'Base stats'!B:B,'Base stats'!E:E),Groups!A:A,Groups!R:R))</f>
        <v>No</v>
      </c>
      <c r="V105" s="7" t="str">
        <f>IF(S105="No","No",_xlfn.XLOOKUP(_xlfn.XLOOKUP(B105,'Base stats'!B:B,'Base stats'!E:E),Groups!A:A,Groups!S:S))</f>
        <v>No</v>
      </c>
      <c r="W105" s="7" t="str">
        <f>IF(S105="No","No",_xlfn.XLOOKUP(_xlfn.XLOOKUP(B105,'Base stats'!B:B,'Base stats'!E:E),Groups!A:A,Groups!T:T))</f>
        <v>No</v>
      </c>
      <c r="X105" s="13" t="str">
        <f>IF(_xlfn.XLOOKUP(B105,'Base stats'!B:B,'Base stats'!W:W)="No","No",MROUND((LOG10(_xlfn.XLOOKUP(B105,'Base stats'!B:B,'Base stats'!AU:AU))*(AO105^0.5)+(_xlfn.XLOOKUP(B105,'Base stats'!B:B,'Base stats'!AU:AU)/1000)^(2/3)+_xlfn.XLOOKUP(B105,'Base stats'!B:B,'Base stats'!AZ:AZ))+0.5+IF(_xlfn.XLOOKUP(_xlfn.XLOOKUP(B105,'Base stats'!B:B,'Base stats'!E:E),Groups!A:A,Groups!U:U)&lt;&gt;3,_xlfn.XLOOKUP(B105,'Base stats'!B:B,'Base stats'!BA:BA),0),0.5))</f>
        <v>No</v>
      </c>
      <c r="Y105" s="7" t="str">
        <f>IF(X105="No","No",MAX(_xlfn.XLOOKUP(_xlfn.XLOOKUP(B105,'Base stats'!B:B,'Base stats'!E:E),Groups!A:A,Groups!V:V),MROUND(_xlfn.XLOOKUP(_xlfn.XLOOKUP(B105,'Base stats'!B:B,'Base stats'!E:E),Groups!A:A,Groups!V:V)*_xlfn.XLOOKUP(B105,'Base stats'!B:B,'Base stats'!C:C)^0.165,0.05)))</f>
        <v>No</v>
      </c>
      <c r="Z105" s="7" t="str">
        <f>IF(X105="No","No",_xlfn.XLOOKUP(_xlfn.XLOOKUP(B105,'Base stats'!B:B,'Base stats'!E:E),Groups!A:A,Groups!W:W))</f>
        <v>No</v>
      </c>
      <c r="AA105" s="7" t="str">
        <f>IF(X105="No","No",_xlfn.XLOOKUP(_xlfn.XLOOKUP(B105,'Base stats'!B:B,'Base stats'!E:E),Groups!A:A,Groups!X:X))</f>
        <v>No</v>
      </c>
      <c r="AB105" s="7" t="str">
        <f>IF(X105="No","No",_xlfn.XLOOKUP(_xlfn.XLOOKUP(B105,'Base stats'!B:B,'Base stats'!E:E),Groups!A:A,Groups!Y:Y))</f>
        <v>No</v>
      </c>
      <c r="AC105" s="7" t="str">
        <f>_xlfn.XLOOKUP(Animals!B105,'Base stats'!B:B,'Base stats'!X:X)</f>
        <v>False</v>
      </c>
      <c r="AD105" s="13">
        <f>IF(_xlfn.XLOOKUP(B105,'Base stats'!B:B,'Base stats'!AT:AT)="No","No",MROUND((LOG10(_xlfn.XLOOKUP(B105,'Base stats'!B:B,'Base stats'!AT:AT))*(AO105^0.75)+(_xlfn.XLOOKUP(B105,'Base stats'!B:B,'Base stats'!AT:AT)/1000)^(2/3)+_xlfn.XLOOKUP(B105,'Base stats'!B:B,'Base stats'!AX:AX)+_xlfn.XLOOKUP(B105,'Base stats'!B:B,'Base stats'!BA:BA))+0.5,0.5))</f>
        <v>37.5</v>
      </c>
      <c r="AE105" s="7">
        <f>IF(AD105="No","No",MAX(_xlfn.XLOOKUP(_xlfn.XLOOKUP(B105,'Base stats'!B:B,'Base stats'!E:E),Groups!A:A,Groups!Z:Z),MROUND(_xlfn.XLOOKUP(_xlfn.XLOOKUP(B105,'Base stats'!B:B,'Base stats'!E:E),Groups!A:A,Groups!Z:Z)*_xlfn.XLOOKUP(B105,'Base stats'!B:B,'Base stats'!C:C)^0.165,0.05)))</f>
        <v>3.1</v>
      </c>
      <c r="AF105" s="7" t="str">
        <f>IF(AD105="No","No",_xlfn.XLOOKUP(_xlfn.XLOOKUP(B105,'Base stats'!B:B,'Base stats'!E:E),Groups!A:A,Groups!AA:AA))</f>
        <v>Mouth</v>
      </c>
      <c r="AG105" s="7" t="str">
        <f>IF(AD105="No","No",_xlfn.XLOOKUP(_xlfn.XLOOKUP(B105,'Base stats'!B:B,'Base stats'!E:E),Groups!A:A,Groups!AB:AB))</f>
        <v>mandibles</v>
      </c>
      <c r="AH105" s="7" t="str">
        <f>IF(AD105="No","No",_xlfn.XLOOKUP(_xlfn.XLOOKUP(B105,'Base stats'!B:B,'Base stats'!E:E),Groups!A:A,Groups!AC:AC))</f>
        <v>Bite</v>
      </c>
      <c r="AI105" s="13">
        <f>IF(_xlfn.XLOOKUP(_xlfn.XLOOKUP(B105,'Base stats'!B:B,'Base stats'!E:E),Groups!A:A,Groups!AD:AD)=0,"No",MROUND((LOG10(_xlfn.XLOOKUP(B105,'Base stats'!B:B,'Base stats'!AS:AS))*(AO105^0.75)+(_xlfn.XLOOKUP(B105,'Base stats'!B:B,'Base stats'!AS:AS)/1000)^(2/3)+_xlfn.XLOOKUP(B105,'Base stats'!B:B,'Base stats'!AY:AY)+_xlfn.XLOOKUP(B105,'Base stats'!B:B,'Base stats'!BA:BA))+0.5,0.5))</f>
        <v>31.5</v>
      </c>
      <c r="AJ105" s="7">
        <f>IF(AI105="No","No",MAX(_xlfn.XLOOKUP(_xlfn.XLOOKUP(B105,'Base stats'!B:B,'Base stats'!E:E),Groups!A:A,Groups!AE:AE),MROUND(_xlfn.XLOOKUP(_xlfn.XLOOKUP(B105,'Base stats'!B:B,'Base stats'!E:E),Groups!A:A,Groups!AE:AE)*IF(_xlfn.XLOOKUP(_xlfn.XLOOKUP(B105,'Base stats'!B:B,'Base stats'!E:E),Groups!A:A,Groups!AJ:AJ)="Photonozoa",0.6,1)*_xlfn.XLOOKUP(B105,'Base stats'!B:B,'Base stats'!C:C)^0.165,0.05)))</f>
        <v>2.8000000000000003</v>
      </c>
      <c r="AK105" s="7" t="str">
        <f>IF(AI105="No","No",_xlfn.XLOOKUP(_xlfn.XLOOKUP(B105,'Base stats'!B:B,'Base stats'!E:E),Groups!A:A,Groups!AF:AF))</f>
        <v>HeadClaw</v>
      </c>
      <c r="AL105" s="7" t="str">
        <f>IF(AI105="No","No",_xlfn.XLOOKUP(_xlfn.XLOOKUP(B105,'Base stats'!B:B,'Base stats'!E:E),Groups!A:A,Groups!AG:AG))</f>
        <v>head claw</v>
      </c>
      <c r="AM105" s="7" t="str">
        <f>IF(AI105="No","No",_xlfn.XLOOKUP(_xlfn.XLOOKUP(B105,'Base stats'!B:B,'Base stats'!E:E),Groups!A:A,Groups!AH:AH))</f>
        <v>Scratch</v>
      </c>
      <c r="AN105" s="2">
        <f t="shared" si="7"/>
        <v>25</v>
      </c>
      <c r="AO105" s="2">
        <f>MROUND(IF(AND(_xlfn.XLOOKUP(B105,'Base stats'!B:B,'Base stats'!C:C)&gt;=0.5,_xlfn.XLOOKUP(B105,'Base stats'!B:B,'Base stats'!C:C)&lt;=0.8),
IF(_xlfn.XLOOKUP(B105,'Base stats'!B:B,'Base stats'!C:C)&lt;0.1,0.05,IF(_xlfn.XLOOKUP(B105,'Base stats'!B:B,'Base stats'!C:C)&lt;=70,(_xlfn.XLOOKUP(B105,'Base stats'!B:B,'Base stats'!C:C)/70)^0.426489913056526,IF(_xlfn.XLOOKUP(B105,'Base stats'!B:B,'Base stats'!C:C)&lt;=400,(_xlfn.XLOOKUP(B105,'Base stats'!B:B,'Base stats'!C:C)/70)^0.572811455315093,IF(_xlfn.XLOOKUP(B105,'Base stats'!B:B,'Base stats'!C:C)&lt;=2000,2.71391647193063*(_xlfn.XLOOKUP(B105,'Base stats'!B:B,'Base stats'!C:C)/400)^0.252459582904293,3.74314280240376*(_xlfn.XLOOKUP(B105,'Base stats'!B:B,'Base stats'!C:C)/2000)^0.357012633876913)))),
IF(_xlfn.XLOOKUP(B105,'Base stats'!B:B,'Base stats'!C:C)&lt;0.1,0.05,IF(_xlfn.XLOOKUP(B105,'Base stats'!B:B,'Base stats'!C:C)&lt;0.4,0.1,IF(_xlfn.XLOOKUP(B105,'Base stats'!B:B,'Base stats'!C:C)&lt;=70,(_xlfn.XLOOKUP(B105,'Base stats'!B:B,'Base stats'!C:C)/70)^0.445823913056526,IF(_xlfn.XLOOKUP(B105,'Base stats'!B:B,'Base stats'!C:C)&lt;=400,(_xlfn.XLOOKUP(B105,'Base stats'!B:B,'Base stats'!C:C)/70)^0.572811455315093,IF(_xlfn.XLOOKUP(B105,'Base stats'!B:B,'Base stats'!C:C)&lt;=2000,2.71391647193063*(_xlfn.XLOOKUP(B105,'Base stats'!B:B,'Base stats'!C:C)/400)^0.252459582904293,3.74314280240376*(_xlfn.XLOOKUP(B105,'Base stats'!B:B,'Base stats'!C:C)/2000)^0.357012633876913)))))),
IF(_xlfn.XLOOKUP(B105,'Base stats'!B:B,'Base stats'!C:C)&lt;0.1,0.05,IF(_xlfn.XLOOKUP(B105,'Base stats'!B:B,'Base stats'!C:C)&lt;=100,0.05,IF(_xlfn.XLOOKUP(B105,'Base stats'!B:B,'Base stats'!C:C)&lt;=250,0.1,IF(_xlfn.XLOOKUP(B105,'Base stats'!B:B,'Base stats'!C:C)&lt;=4000,0.25,0.5)))))</f>
        <v>2.25</v>
      </c>
      <c r="AP105" s="8">
        <f>MROUND(AO105*_xlfn.XLOOKUP(_xlfn.XLOOKUP(B105,'Base stats'!B:B,'Base stats'!E:E),Groups!A:A,Groups!AI:AI)*_xlfn.XLOOKUP(B105,'Base stats'!B:B,'Base stats'!Z:Z),0.05)</f>
        <v>2.25</v>
      </c>
      <c r="AQ105" s="8">
        <f>MAX(0.01,MROUND(IF(CC105="True",0.196*(AO105*100*1000)^0.889,IF(_xlfn.XLOOKUP(_xlfn.XLOOKUP(B105,'Base stats'!B:B,'Base stats'!E:E),Groups!A:A,Groups!AJ:AJ)="Bird",10.5*(AO105*100*1000)^0.681,4.82*(AO105*100*1000)^0.734))/(4.82*(1*100*1000)^0.734)/IF(AO105&lt;3.5,2,IF(AO105=3.5,1.5,1.25))*(1+0.132282374779864/(AO105^0.994035016789033+0.00905238001496948)),0.05))</f>
        <v>0.25</v>
      </c>
      <c r="AR105" s="9">
        <f>IFERROR(MROUND(_xlfn.XLOOKUP(B105,'Base stats'!B:B,'Base stats'!H:H)/IF(_xlfn.XLOOKUP(B105,'Base stats'!B:B,'Base stats'!I:I)&lt;&gt;1,(122.5/70),1.2),IF(_xlfn.XLOOKUP(B105,'Base stats'!B:B,'Base stats'!H:H)&gt;=30,5,IF(_xlfn.XLOOKUP(B105,'Base stats'!B:B,'Base stats'!H:H)&gt;=15,3,IF(_xlfn.XLOOKUP(B105,'Base stats'!B:B,'Base stats'!H:H)&gt;=10,2,1)))),"Immortal")</f>
        <v>12</v>
      </c>
      <c r="AS105" s="35" t="str">
        <f>IFERROR(IF(OR(_xlfn.XLOOKUP(B105,'Base stats'!B:B,'Base stats'!F:F)="Atypical reproduction",_xlfn.XLOOKUP(B105,'Base stats'!B:B,'Base stats'!F:F)="Lay eggs"),"Lay eggs",MIN(20,MAX(5.5,ROUND(((_xlfn.XLOOKUP(B105,'Base stats'!B:B,'Base stats'!F:F)-25)*(14.5/615) + 5.5)*2,0)/2))),"Unknown")</f>
        <v>Lay eggs</v>
      </c>
      <c r="AT105" s="8">
        <f>IF(_xlfn.XLOOKUP(B105,'Base stats'!B:B,'Base stats'!G:G)="Atypical reproduction","No",IFERROR(MAX(IF(_xlfn.XLOOKUP(B105,'Base stats'!B:B,'Base stats'!G:G)&lt;0.5,0.2,0.3),MROUND(_xlfn.XLOOKUP(B105,'Base stats'!B:B,'Base stats'!G:G)/(365/60),0.2)),"Unknown"))</f>
        <v>0.4</v>
      </c>
      <c r="AU105" s="8">
        <f t="shared" si="8"/>
        <v>0.2</v>
      </c>
      <c r="AV105" s="8" t="str">
        <f>IFERROR(IFERROR(MROUND(_xlfn.XLOOKUP(B105,'Base stats'!B:B,'Base stats'!J:J),0.1),"Lay eggs"),"Cannot breed")</f>
        <v>Lay eggs</v>
      </c>
      <c r="AW105" s="2" t="str">
        <f t="shared" si="9"/>
        <v>false</v>
      </c>
      <c r="AX105" s="2" t="str">
        <f>IF(_xlfn.XLOOKUP(_xlfn.XLOOKUP(Animals!B105,'Base stats'!B:B,'Base stats'!E:E),Groups!A:A,Groups!AK:AK)=1,"true","false")</f>
        <v>false</v>
      </c>
      <c r="AY105" s="25" t="str">
        <f>IF(_xlfn.XLOOKUP(B105,'Base stats'!B:B,'Base stats'!Y:Y)="Liquor","Liquor, CarnivoreAnimalStrict",IF(AND(_xlfn.XLOOKUP(B105,'Base stats'!B:B,'Base stats'!Y:Y)="Carnivore",_xlfn.XLOOKUP(_xlfn.XLOOKUP(B105,'Base stats'!B:B,'Base stats'!E:E),Groups!A:A,Groups!AJ:AJ)="Photonozoa"),"CarnivoreAnimalStrict, OvivoreAnimal",IF(_xlfn.XLOOKUP(B105,'Base stats'!B:B,'Base stats'!Y:Y)="Carnivore","CarnivoreAnimal, OvivoreAnimal",IF(_xlfn.XLOOKUP(B105,'Base stats'!B:B,'Base stats'!Y:Y)="Dendrovore","VegetarianRoughAnimal, DendrovoreAnimal",IF(_xlfn.XLOOKUP(B105,'Base stats'!B:B,'Base stats'!Y:Y)="Herbivore","VegetarianRoughAnimal",IF(_xlfn.XLOOKUP(B105,'Base stats'!B:B,'Base stats'!Y:Y)="OmnivoreRough","OmnivoreRoughAnimal, OvivoreAnimal","OmnivoreAnimal, OvivoreAnimal"))))))</f>
        <v>OmnivoreAnimal, OvivoreAnimal</v>
      </c>
      <c r="AZ105" s="2" t="str">
        <f>IF(_xlfn.XLOOKUP(_xlfn.XLOOKUP(B105,'Base stats'!B:B,'Base stats'!E:E),Groups!A:A,Groups!D:D)=1,MROUND((1-J105)*5+1,2)*IF(J105&lt;=0.4,2,1),"No")</f>
        <v>No</v>
      </c>
      <c r="BA105" s="2" t="str">
        <f>IF(AND(_xlfn.XLOOKUP(B105,'Base stats'!B:B,'Base stats'!AH:AH)="&lt;li&gt;Seal&lt;/li&gt;",G105="Odyssey"),"&lt;li&gt;AEXP_Seal&lt;/li&gt;",_xlfn.XLOOKUP(B105,'Base stats'!B:B,'Base stats'!AH:AH))</f>
        <v>No</v>
      </c>
      <c r="BB105" s="2" t="str">
        <f>_xlfn.XLOOKUP(B105,'Base stats'!B:B,'Base stats'!AG:AG)</f>
        <v>Leather_Chitin</v>
      </c>
      <c r="BC105" s="23" t="str">
        <f>_xlfn.XLOOKUP(_xlfn.XLOOKUP(B105,'Base stats'!B:B,'Base stats'!E:E),Groups!A:A,Groups!AL:AL)</f>
        <v>BeetleLikeWithClaw</v>
      </c>
      <c r="BD105" s="23">
        <f>MIN(1,MROUND(IF(AND(AO105&lt;0.5,_xlfn.XLOOKUP(B105,'Base stats'!B:B,'Base stats'!AA:AA)=0),0,IF(OR(_xlfn.XLOOKUP(Animals!B105,'Base stats'!B:B,'Base stats'!O:O)=2,_xlfn.XLOOKUP(_xlfn.XLOOKUP(B105,'Base stats'!B:B,'Base stats'!E:E),Groups!A:A,Groups!AN:AN)=0),0,_xlfn.XLOOKUP(_xlfn.XLOOKUP(B105,'Base stats'!B:B,'Base stats'!E:E),Groups!A:A,Groups!AN:AN)/IF(_xlfn.XLOOKUP(Animals!B105,'Base stats'!B:B,'Base stats'!O:O)=1,2,1)))+_xlfn.XLOOKUP(B105,'Base stats'!B:B,'Base stats'!AC:AC),0.005))</f>
        <v>1</v>
      </c>
      <c r="BE105" s="23">
        <f>MIN(1,MROUND(IF(AND(AO105&lt;0.5,_xlfn.XLOOKUP(B105,'Base stats'!B:B,'Base stats'!AA:AA)=0),0,IF(_xlfn.XLOOKUP(_xlfn.XLOOKUP(B105,'Base stats'!B:B,'Base stats'!E:E),Groups!A:A,Groups!AO:AO)=0,0,_xlfn.XLOOKUP(_xlfn.XLOOKUP(B105,'Base stats'!B:B,'Base stats'!E:E),Groups!A:A,Groups!AO:AO)/IF(_xlfn.XLOOKUP(Animals!B105,'Base stats'!B:B,'Base stats'!O:O)=2,3,1)))+_xlfn.XLOOKUP(B105,'Base stats'!B:B,'Base stats'!AD:AD),0.005))</f>
        <v>1</v>
      </c>
      <c r="BF105" s="2" t="str">
        <f>IF(J105&gt;0.3,"No",_xlfn.XLOOKUP(_xlfn.XLOOKUP(Animals!B105,'Base stats'!B:B,'Base stats'!E:E),Groups!A:A,Groups!AP:AP))</f>
        <v>No</v>
      </c>
      <c r="BG105" s="2" t="str">
        <f>IF(AND(J105&lt;=0.65,_xlfn.XLOOKUP(_xlfn.XLOOKUP(Animals!B105,'Base stats'!B:B,'Base stats'!E:E),Groups!A:A,Groups!AP:AP)&lt;&gt;"No",_xlfn.XLOOKUP(_xlfn.XLOOKUP(B105,'Base stats'!B:B,'Base stats'!E:E),Groups!A:A,Groups!D:D)=0),MROUND((80/3)*IF(_xlfn.XLOOKUP(B105,'Base stats'!B:B,'Base stats'!O:O)=2,0.2,AO105) + 24*(1-IF(BF105="No",0,BF105)) + 16/3, 12),"No")</f>
        <v>No</v>
      </c>
      <c r="BH105" s="2">
        <f>IF(AND(_xlfn.XLOOKUP(_xlfn.XLOOKUP(B105,'Base stats'!B:B,'Base stats'!E:E),Groups!A:A,Groups!AQ:AQ)=1,AO105&lt;=0.35),8,12)</f>
        <v>12</v>
      </c>
      <c r="BI105" s="2" t="str">
        <f>IF(_xlfn.XLOOKUP(_xlfn.XLOOKUP(B105,'Base stats'!B:B,'Base stats'!E:E),Groups!A:A,Groups!D:D)=0,_xlfn.XLOOKUP(_xlfn.XLOOKUP(B105,'Base stats'!B:B,'Base stats'!E:E),Groups!A:A,Groups!AR:AR),"None")</f>
        <v>Advanced</v>
      </c>
      <c r="BJ105" s="2" t="str">
        <f>IF(AND(_xlfn.XLOOKUP(_xlfn.XLOOKUP(B105,'Base stats'!B:B,'Base stats'!E:E),Groups!A:A,Groups!AS:AS)=1,OR(_xlfn.XLOOKUP(B105,'Base stats'!B:B,'Base stats'!Y:Y)="Carnivore",_xlfn.XLOOKUP(B105,'Base stats'!B:B,'Base stats'!Y:Y)="Omnivore")),"true","false")</f>
        <v>true</v>
      </c>
      <c r="BK105" s="2">
        <f>IF(BJ105="true",MROUND(IF(AND(AO105&gt;0.5,OR(_xlfn.XLOOKUP(_xlfn.XLOOKUP(B105,'Base stats'!B:B,'Base stats'!E:E),Groups!A:A,Groups!AJ:AJ)="Photonozoa",_xlfn.XLOOKUP(_xlfn.XLOOKUP(B105,'Base stats'!B:B,'Base stats'!E:E),Groups!A:A,Groups!AJ:AJ)="Mammal")),Animals!AO105*1.75*IF(AW105="true",1.5,1),IF(AO105&lt;0.5,Animals!AO105*0.5,Animals!AO105)),IF(AO105&gt;2,0.5,IF(AO105&gt;0.5,0.25,0.1))),"No")</f>
        <v>2.5</v>
      </c>
      <c r="BL105" s="2">
        <f t="shared" si="10"/>
        <v>1</v>
      </c>
      <c r="BM105" s="25" t="str">
        <f>IF(_xlfn.XLOOKUP(B105,'Base stats'!B:B,'Base stats'!AN:AN)="Standard","No",MROUND((_xlfn.XLOOKUP(B105,'Base stats'!B:B,'Base stats'!AN:AN)/3.6)/I105,0.1))</f>
        <v>No</v>
      </c>
      <c r="BN105" s="25" t="str">
        <f t="shared" si="11"/>
        <v>false</v>
      </c>
      <c r="BO105" s="25" t="str">
        <f>IF(AND(OR(_xlfn.XLOOKUP(B105,'Base stats'!B:B,'Base stats'!Y:Y)="Carnivore",_xlfn.XLOOKUP(B105,'Base stats'!B:B,'Base stats'!Y:Y)="Omnivore",_xlfn.XLOOKUP(B105,'Base stats'!B:B,'Base stats'!Y:Y)="OmnivoreRough"),_xlfn.XLOOKUP(_xlfn.XLOOKUP(B105,'Base stats'!B:B,'Base stats'!E:E),Groups!A:A,Groups!AT:AT)=1),"true","false")</f>
        <v>false</v>
      </c>
      <c r="BP105" s="25" t="str" cm="1">
        <f t="array" ref="BP105">IF(
  _xlfn.TEXTJOIN(", ",TRUE,
    IF(AND(BJ105="true",AO105&gt;0.5,BI105&lt;&gt;"None"),"AttackTarget",""),
    IF(AND(_xlfn.XLOOKUP(_xlfn.XLOOKUP(B105,'Base stats'!B:B,'Base stats'!E:E),Groups!A:A,Groups!AJ:AJ="Mammal"),OR(_xlfn.XLOOKUP(B105,'Base stats'!B:B,'Base stats'!Y:Y)="Omnivore",_xlfn.XLOOKUP(B105,'Base stats'!B:B,'Base stats'!Y:Y)="OmnivoreRough")),"Forage",""),
    IF(BG105&lt;=36,"Comfort",""),
    IF(_xlfn.XLOOKUP(B105,'Base stats'!B:B,'Base stats'!AE:AE)&lt;&gt;"No",_xlfn.XLOOKUP(B105,'Base stats'!B:B,'Base stats'!AE:AE),"")
  ) = "",
  "No",
  _xlfn.TEXTJOIN(", ",TRUE,
    IF(AND(BJ105="true",AO105&gt;0.5,BI105&lt;&gt;"None"),"AttackTarget",""),
    IF(AND(_xlfn.XLOOKUP(_xlfn.XLOOKUP(B105,'Base stats'!B:B,'Base stats'!E:E),Groups!A:A,Groups!AJ:AJ="Mammal"),OR(_xlfn.XLOOKUP(B105,'Base stats'!B:B,'Base stats'!Y:Y)="Omnivore",_xlfn.XLOOKUP(B105,'Base stats'!B:B,'Base stats'!Y:Y)="OmnivoreRough")),"Forage",""),
    IF(BG105&lt;=36,"Comfort",""),
    IF(_xlfn.XLOOKUP(B105,'Base stats'!B:B,'Base stats'!AE:AE)&lt;&gt;"No",_xlfn.XLOOKUP(B105,'Base stats'!B:B,'Base stats'!AE:AE),"")
  )
)</f>
        <v>AttackTarget</v>
      </c>
      <c r="BQ105" s="25" t="str">
        <f>IF(
   AND(
      'Base stats'!AN105="Standard",_xlfn.XLOOKUP(_xlfn.XLOOKUP(B105,'Base stats'!B:B,'Base stats'!E:E),Groups!A:A,Groups!AU:AU)=0,
      OR(
      BO105="True"
      )
   ),
   10,
   IF(
       OR(BM105&lt;&gt;"No",_xlfn.XLOOKUP(_xlfn.XLOOKUP(B105,'Base stats'!B:B,'Base stats'!E:E),Groups!A:A,Groups!AU:AU)=1),
      1,
      "No"
   )
)</f>
        <v>No</v>
      </c>
      <c r="BR105" s="9">
        <f>MROUND((1 + ((0.2*IF(OR(Q105="No",R105="No",R105=0),0,Q105/R105)
+IF(OR(V105="No",S105="No",T105="No"),0,S105/T105*(LEN(V105)-LEN(SUBSTITUTE(V105,",",""))+1))
+IF(OR(X105="No",Y105="No"),0,X105/Y105)
+IF(OR(AD105="No",AE105="No"),0,AD105/AE105)
+IF(OR(AL105="No",AI105="No",AJ105="No"),0,AI105/AJ105*(LEN(AL105)-LEN(SUBSTITUTE(AL105,",",""))+1))
)/(0.2*IF(OR(Q105="No",R105="No",R105=0),0,1)
+IF(OR(V105="No",S105="No",T105="No"),0,LEN(V105)-LEN(SUBSTITUTE(V105,",",""))+1)
+IF(OR(X105="No",Y105="No"),0,1)
+IF(OR(AD105="No",AE105="No"),0,1)
+IF(OR(AL105="No",AI105="No",AJ105="No"),0,LEN(AL105)-LEN(SUBSTITUTE(AL105,",",""))+1))*62%)* 2)*(1 + (AP105 / (IF(_xlfn.XLOOKUP(_xlfn.XLOOKUP(B105,'Base stats'!B:B,'Base stats'!E:E),Groups!A:A,Groups!AJ:AJ)="Photonozoa",0.3,1)) + _xlfn.XLOOKUP(B105,'Base stats'!B:B,'Base stats'!AV:AV) * 1.8) * 2) * 2.5 + 10 + I105 * 2,5)+IF(_xlfn.XLOOKUP(B105,'Base stats'!B:B,'Base stats'!AK:AK)=1,50,0)</f>
        <v>280</v>
      </c>
      <c r="BS105" s="8">
        <f t="shared" si="12"/>
        <v>0.65</v>
      </c>
      <c r="BT105" s="8" t="str">
        <f>_xlfn.XLOOKUP(B105,'Base stats'!B:B,'Base stats'!AF:AF)</f>
        <v>No</v>
      </c>
      <c r="BU105" s="2" t="str">
        <f>IF(AND(J105&lt;=0.95,OR(_xlfn.XLOOKUP(B105,'Base stats'!B:B,'Base stats'!AK:AK)=1,_xlfn.XLOOKUP(B105,'Base stats'!B:B,'Base stats'!Y:Y)="Carnivore",_xlfn.XLOOKUP(B105,'Base stats'!B:B,'Base stats'!Y:Y)="Omnivore",BE105&gt;0.1)),"true","false")</f>
        <v>true</v>
      </c>
      <c r="BV105" s="2" t="str">
        <f>IF(_xlfn.XLOOKUP(B105,'Base stats'!B:B,'Base stats'!AI:AI)=1,"true","false")</f>
        <v>false</v>
      </c>
      <c r="BW105" s="25" t="str">
        <f>IF(E105="BaseInsect","AnimalInsect",
IF(J105&gt;0.95,"AnimalExotic",
_xlfn.TEXTJOIN(", ",TRUE,
IF(OR(_xlfn.XLOOKUP(B105,'Base stats'!B:B,'Base stats'!AM:AM)=1,AND(_xlfn.XLOOKUP(B105,'Base stats'!B:B,'Base stats'!O:O)=0,_xlfn.XLOOKUP(_xlfn.XLOOKUP(B105,'Base stats'!B:B,'Base stats'!E:E),Groups!A:A,Groups!B:B)&gt;0)),"AnimalUncommon","AnimalCommon"),
IF(AND(_xlfn.XLOOKUP(B105,'Base stats'!B:B,'Base stats'!O:O)=2,_xlfn.XLOOKUP(_xlfn.XLOOKUP(B105,'Base stats'!B:B,'Base stats'!E:E),Groups!A:A,Groups!D:D)=0),"AnimalPet",IF(AND(_xlfn.XLOOKUP(B105,'Base stats'!B:B,'Base stats'!O:O)&lt;&gt;0,_xlfn.XLOOKUP(_xlfn.XLOOKUP(B105,'Base stats'!B:B,'Base stats'!E:E),Groups!A:A,Groups!D:D)&lt;&gt;0),"AnimalFarm","")),
IF(OR(_xlfn.XLOOKUP(B105,'Base stats'!B:B,'Base stats'!AK:AK)=1,AND(BI105&lt;&gt;"None",BR105&gt;=60),ISNUMBER(SEARCH("Attack target",BP105))),"AnimalFighter","")
)))</f>
        <v>AnimalInsect</v>
      </c>
      <c r="BX105" s="25" t="str">
        <f>IF(G105="None",TRIM(
SUBSTITUTE(
IF(COUNTIF(Biomes!B$2:B$259,"="&amp;$C105)&gt;0,Biomes!B$1&amp;", ","")&amp;
IF(COUNTIF(Biomes!C$2:C$259,"="&amp;$C105)&gt;0,Biomes!C$1&amp;", ","")&amp;
IF(COUNTIF(Biomes!D$2:D$259,"="&amp;$C105)&gt;0,Biomes!D$1&amp;", ","")&amp;
IF(COUNTIF(Biomes!F$2:F$259,"="&amp;$C105)&gt;0,Biomes!F$1&amp;", ","")&amp;
IF(COUNTIF(Biomes!G$2:G$259,"="&amp;$C105)&gt;0,Biomes!G$1&amp;", ","")&amp;
IF(COUNTIF(Biomes!H$2:H$259,"="&amp;$C105)&gt;0,Biomes!H$1&amp;", ","")&amp;
IF(COUNTIF(Biomes!I$2:I$259,"="&amp;$C105)&gt;0,Biomes!I$1&amp;", ","")&amp;
IF(COUNTIF(Biomes!J$2:J$259,"="&amp;$C105)&gt;0,Biomes!J$1&amp;", ","")&amp;
IF(COUNTIF(Biomes!M$2:M$259,"="&amp;$C105)&gt;0,Biomes!M$1&amp;", ","")&amp;
IF(COUNTIF(Biomes!N$2:N$259,"="&amp;$C105)&gt;0,Biomes!N$1&amp;", ","")&amp;
IF(COUNTIF(Biomes!O$2:O$259,"="&amp;$C105)&gt;0,Biomes!O$1&amp;", ","")&amp;
IF(COUNTIF(Biomes!P$2:P$259,"="&amp;$C105)&gt;0,Biomes!P$1&amp;", ","")&amp;
IF(COUNTIF(Biomes!K$2:K$259,"="&amp;$C105)&gt;0,Biomes!K$1&amp;", ","")&amp;
IF(COUNTIF(Biomes!Q$3:Q$259,"="&amp;$C105)&gt;0,Biomes!Q$1&amp;", ","")&amp;
IF(COUNTIF(Biomes!L$2:L$259,"="&amp;$C105)&gt;0,Biomes!L$1&amp;", ","")&amp;
IF(COUNTIF(Biomes!E$2:E$259,"="&amp;$C105)&gt;0,Biomes!E$1&amp;", ","")&amp;IF(COUNTIF(Biomes!S$2:S$259,"="&amp;$C105)&gt;0,Biomes!S$1&amp;", ","")&amp;
IF(COUNTIF(Biomes!R$2:R$259,"="&amp;$C105)&gt;0,Biomes!R$1&amp;", ",""),", ","")
),_xlfn.XLOOKUP(B105,B:B,BX:BX))</f>
        <v/>
      </c>
      <c r="BY105" s="25" t="str">
        <f>IF(_xlfn.XLOOKUP(B105,'Base stats'!B:B,'Base stats'!AJ:AJ)=1,"true","false")</f>
        <v>false</v>
      </c>
      <c r="BZ105" s="25">
        <f>IF(_xlfn.XLOOKUP(B105,'Base stats'!B:B,'Base stats'!N:N)=1,"No",MAX(0.001,MIN(MROUND(IF(AND(BJ105="True",CC105="False"),POWER(10,3.47*LOG10(_xlfn.XLOOKUP(B105,'Base stats'!B:B,'Base stats'!C:C)*1000)^-0.96),POWER(10,4.15*LOG10(_xlfn.XLOOKUP(B105,'Base stats'!B:B,'Base stats'!C:C)*1000)^-0.73))*IF(_xlfn.XLOOKUP(B105,'Base stats'!B:B,'Base stats'!AK:AK)=1,0.5,1)*IF(_xlfn.XLOOKUP(B105,'Base stats'!B:B,'Base stats'!AM:AM)=1,0.1,1)/100,IF(_xlfn.XLOOKUP(B105,'Base stats'!B:B,'Base stats'!AM:AM)=1,0.001,0.025)),0.5)))</f>
        <v>0.15000000000000002</v>
      </c>
      <c r="CA105" s="25">
        <f>IF(P105="Standard","No",MAX(0.001,MIN(MROUND(IF(AND(BJ105="True",CC105="False"),POWER(10,3.47*LOG10(_xlfn.XLOOKUP(B105,'Base stats'!B:B,'Base stats'!C:C)*1000)^-0.96),POWER(10,4.15*LOG10(_xlfn.XLOOKUP(B105,'Base stats'!B:B,'Base stats'!C:C)*1000)^-0.73))*IF(_xlfn.XLOOKUP(B105,'Base stats'!B:B,'Base stats'!AM:AM)=1,0.1,1)*_xlfn.XLOOKUP(B105,'Base stats'!B:B,'Base stats'!R:R)/100,IF(_xlfn.XLOOKUP(B105,'Base stats'!B:B,'Base stats'!AM:AM)=1,0.001,0.025)),0.5)))</f>
        <v>0.15000000000000002</v>
      </c>
      <c r="CB105" s="25" t="str">
        <f>IF(_xlfn.XLOOKUP(_xlfn.XLOOKUP(B105,'Base stats'!B:B,'Base stats'!E:E),Groups!A:A,Groups!AJ:AJ)="Mammal","True","False")</f>
        <v>False</v>
      </c>
      <c r="CC105" s="25" t="str">
        <f>IF(OR(_xlfn.XLOOKUP(_xlfn.XLOOKUP(B105,'Base stats'!B:B,'Base stats'!E:E),Groups!A:A,Groups!AJ:AJ)="Reptile",_xlfn.XLOOKUP(_xlfn.XLOOKUP(B105,'Base stats'!B:B,'Base stats'!E:E),Groups!A:A,Groups!AJ:AJ)="Amphibian",_xlfn.XLOOKUP(_xlfn.XLOOKUP(B105,'Base stats'!B:B,'Base stats'!E:E),Groups!A:A,Groups!AJ:AJ)="Invertebrate"),"True","False")</f>
        <v>True</v>
      </c>
      <c r="CD105" s="25" t="str">
        <f t="shared" si="13"/>
        <v>False</v>
      </c>
      <c r="CE105" s="25" t="str">
        <f>IF(_xlfn.XLOOKUP(_xlfn.XLOOKUP(B105,'Base stats'!B:B,'Base stats'!E:E),Groups!A:A,Groups!AX:AX),"True","False")</f>
        <v>False</v>
      </c>
      <c r="CF105" s="25" t="str">
        <f>IF(_xlfn.XLOOKUP(_xlfn.XLOOKUP(B105,'Base stats'!B:B,'Base stats'!E:E),Groups!A:A,Groups!AY:AY),"True","False")</f>
        <v>False</v>
      </c>
      <c r="CG105" s="25" t="str">
        <f>IF(_xlfn.XLOOKUP(_xlfn.XLOOKUP(B105,'Base stats'!B:B,'Base stats'!E:E),Groups!A:A,Groups!AW:AW),"True","False")</f>
        <v>False</v>
      </c>
      <c r="CH105" s="25" t="str">
        <f>IF(
OR(
_xlfn.XLOOKUP(_xlfn.XLOOKUP(B105,'Base stats'!B:B,'Base stats'!E:E),Groups!A:A,Groups!AZ:AZ)=0,
AND(
_xlfn.XLOOKUP(B105,'Base stats'!B:B,'Base stats'!Y:Y)&lt;&gt;"Carnivore",
_xlfn.XLOOKUP(B105,'Base stats'!B:B,'Base stats'!Y:Y)&lt;&gt;"Omnivore",
_xlfn.XLOOKUP(B105,'Base stats'!B:B,'Base stats'!Y:Y)&lt;&gt;"OmnivoreRough"
)
),
"No",
IF(
_xlfn.XLOOKUP(_xlfn.XLOOKUP(B105,'Base stats'!B:B,'Base stats'!E:E),Groups!A:A,Groups!AZ:AZ)=1,
"Flesh",
IF(
_xlfn.XLOOKUP(_xlfn.XLOOKUP(B105,'Base stats'!B:B,'Base stats'!E:E),Groups!A:A,Groups!AZ:AZ)=2,
"Bone",
""
)
)
)</f>
        <v>Bone</v>
      </c>
      <c r="CI105" s="25" t="str">
        <f>IF(_xlfn.XLOOKUP(_xlfn.XLOOKUP(B105,'Base stats'!B:B,'Base stats'!E:E),Groups!A:A,Groups!BB:BB),"True","False")</f>
        <v>False</v>
      </c>
      <c r="CJ105" s="25" t="str">
        <f>IF(_xlfn.XLOOKUP(_xlfn.XLOOKUP(B105,'Base stats'!B:B,'Base stats'!E:E),Groups!A:A,Groups!BA:BA),"True","False")</f>
        <v>False</v>
      </c>
    </row>
    <row r="106" spans="1:88" ht="16.5" thickTop="1" thickBot="1" x14ac:dyDescent="0.3">
      <c r="A106" s="26" t="str">
        <f>_xlfn.XLOOKUP(B106,'Base stats'!B:B,'Base stats'!A:A)</f>
        <v>Queen</v>
      </c>
      <c r="B106" s="6" t="s">
        <v>425</v>
      </c>
      <c r="C106" s="28" t="s">
        <v>787</v>
      </c>
      <c r="D106" s="28" t="s">
        <v>870</v>
      </c>
      <c r="E106" s="28" t="s">
        <v>784</v>
      </c>
      <c r="F106" s="28" t="s">
        <v>785</v>
      </c>
      <c r="G106" s="28" t="s">
        <v>673</v>
      </c>
      <c r="H106" s="2">
        <f>MROUND((
  (IF(AND(_xlfn.XLOOKUP(B106,'Base stats'!B:B,'Base stats'!AL:AL)=0,BI106="None",_xlfn.XLOOKUP(_xlfn.XLOOKUP(B106,'Base stats'!B:B,'Base stats'!E:E),Groups!A:A,Groups!B:B)=0), (18 + BR106 * 2.7) * 0.5,
    IF(AND(_xlfn.XLOOKUP(B106,'Base stats'!B:B,'Base stats'!AL:AL)=0,OR(AO106&lt;0.55,AND(BI106="Intermediate",_xlfn.XLOOKUP(_xlfn.XLOOKUP(B106,'Base stats'!B:B,'Base stats'!E:E),Groups!A:A,Groups!B:B)&lt;2))), (18 + BR106 * 2.7),
      IF(OR(BI106="Advanced",_xlfn.XLOOKUP(B106,'Base stats'!B:B,'Base stats'!AL:AL)=1,_xlfn.XLOOKUP(_xlfn.XLOOKUP(B106,'Base stats'!B:B,'Base stats'!E:E),Groups!A:A,Groups!B:B)=2), (18 + BR106 * 2.7) + 250, (18 + BR106 * 2.7))
    )
  ))
  + AO106 * 80
  + IF(COUNTIF(EggMilk!K$2:K$998, A106) &gt; 0, 125, 0)
  + IF(COUNTIF(EggMilk!P$2:P$998, A106) &gt; 0, 90, 0)
  + IF(COUNTIF(EggMilk!A$2:A$998, A106) &gt; 0, 90, 0)
)
* (0.8 + 0.4 * J106)
* 0.75,25)</f>
        <v>4550</v>
      </c>
      <c r="I106" s="2">
        <f>MROUND(ROUNDDOWN(_xlfn.XLOOKUP(B106,'Base stats'!B:B,'Base stats'!L:L)/3.6/(23.3/11),1),0.5)</f>
        <v>2</v>
      </c>
      <c r="J106" s="2">
        <f>IF(OR(_xlfn.XLOOKUP(B106,'Base stats'!B:B,'Base stats'!AB:AB)=1,_xlfn.XLOOKUP(_xlfn.XLOOKUP(B106,'Base stats'!B:B,'Base stats'!E:E),Groups!A:A,Groups!C:C)="Untamable"),1,IF(_xlfn.XLOOKUP(B106,'Base stats'!B:B,'Base stats'!AL:AL)=1,0.99,MIN(MROUND((1-0.6282*EXP(-0.459*AO106))*_xlfn.XLOOKUP(_xlfn.XLOOKUP(B106,'Base stats'!B:B,'Base stats'!E:E),Groups!A:A,Groups!C:C)*IF(_xlfn.XLOOKUP(B106,'Base stats'!B:B,'Base stats'!O:O)=1,0.5,IF(_xlfn.XLOOKUP(B106,'Base stats'!B:B,'Base stats'!O:O)=2,0,1)),0.05),IF(AO106&gt;3.5,0.985,0.95))))</f>
        <v>0.99</v>
      </c>
      <c r="K106" s="2">
        <f>ROUNDUP(AO106*_xlfn.XLOOKUP(_xlfn.XLOOKUP(B106,'Base stats'!B:B,'Base stats'!E:E),Groups!A:A,Groups!E:E),0)</f>
        <v>6</v>
      </c>
      <c r="L106" s="2">
        <f>IF(OR(_xlfn.XLOOKUP(_xlfn.XLOOKUP(B106,'Base stats'!B:B,'Base stats'!E:E),Groups!A:A,Groups!F:F)=2,ISNUMBER(SEARCH("SeaIce",BX106)),ISNUMBER(SEARCH("IceSheet",BX106))),-50,IF(OR(ISNUMBER(SEARCH("GlacialPlain",BX106)),ISNUMBER(SEARCH("Tundra",BX106))),-40,IF(OR(ISNUMBER(SEARCH("Alpine",BX106)),ISNUMBER(SEARCH("BorealForest",BX106)),ISNUMBER(SEARCH("ColdBog",BX106))),-30,IF(OR(ISNUMBER(SEARCH("TemperateForest",BX106)),ISNUMBER(SEARCH("TemperateSwamp",BX106))),-20,IF(_xlfn.XLOOKUP(_xlfn.XLOOKUP(B106,'Base stats'!B:B,'Base stats'!E:E),Groups!A:A,Groups!F:F)=1,-15,IF(OR(ISNUMBER(SEARCH("Desert",BX106)),ISNUMBER(SEARCH("ExtremeDesert",BX106))),-10,IF(OR(ISNUMBER(SEARCH("Grasslands",BX106)),ISNUMBER(SEARCH("TropicalRainforest",BX106)),ISNUMBER(SEARCH("TropicalSwamp",BX106))),10,0)))))))-IF(CC106="False",MIN(IFERROR(MAX(MROUND(LOG10(_xlfn.XLOOKUP(B106,'Base stats'!B:B,'Base stats'!C:C)^(2/3))*10,5),5),5),30))-_xlfn.XLOOKUP(B106,'Base stats'!B:B,'Base stats'!P:P)+IF(CC106="True",5,0)</f>
        <v>5</v>
      </c>
      <c r="M106" s="2">
        <f>IF(OR(_xlfn.XLOOKUP(_xlfn.XLOOKUP(B106,'Base stats'!B:B,'Base stats'!E:E),Groups!A:A,Groups!G:G)=2,ISNUMBER(SEARCH("Desert",BX106)),ISNUMBER(SEARCH("ExtremeDesert",BX106)),ISNUMBER(SEARCH("LavaField",BX106))),50,IF(ISNUMBER(SEARCH("Grasslands",BX106)),45,IF(OR(_xlfn.XLOOKUP(_xlfn.XLOOKUP(B106,'Base stats'!B:B,'Base stats'!E:E),Groups!A:A,Groups!G:G)=1,ISNUMBER(SEARCH("TropicalRainforest",BX106)),ISNUMBER(SEARCH("TropicalSwamp",BX106))),40,IF(OR(ISNUMBER(SEARCH("TemperateForest",BX106)),ISNUMBER(SEARCH("TemperateSwamp",BX106))),35,IF(OR(ISNUMBER(SEARCH("Alpine",BX106)),ISNUMBER(SEARCH("BorealForest",BX106)),ISNUMBER(SEARCH("ColdBog",BX106))),30,IF(ISNUMBER(OR(ISNUMBER(SEARCH("GlacialPlain",BX106)),SEARCH("Tundra",BX106))),25,IF(OR(ISNUMBER(SEARCH("SeaIce",BX106)),ISNUMBER(SEARCH("IceSheet",BX106)),ISNUMBER(SEARCH("TropicalSwamp",BX106))),10,35)))))))+_xlfn.XLOOKUP(B106,'Base stats'!B:B,'Base stats'!Q:Q)</f>
        <v>50</v>
      </c>
      <c r="N106" s="8">
        <f>IF(
_xlfn.XLOOKUP(
_xlfn.XLOOKUP(B106,'Base stats'!B:B,'Base stats'!E:E),
Groups!A:A,
Groups!L:L
)=1,
MIN(
MROUND(
IF(
_xlfn.XLOOKUP(B106,'Animals CE'!B:B,'Animals CE'!Z:Z)&lt;=1.5,
_xlfn.XLOOKUP(B106,'Animals CE'!B:B,'Animals CE'!Z:Z)/2+0.05,
0.8+
(_xlfn.XLOOKUP(B106,'Animals CE'!B:B,'Animals CE'!Z:Z)-1.5)
*0.02
),
0.05
),
200%
),
"No"
)</f>
        <v>1.1500000000000001</v>
      </c>
      <c r="O106" s="8">
        <f>IF(
_xlfn.XLOOKUP(
_xlfn.XLOOKUP(B106,'Base stats'!B:B,'Base stats'!E:E),
Groups!A:A,
Groups!L:L
)=1,
MIN(
MROUND(
IF(
_xlfn.XLOOKUP(B106,'Animals CE'!B:B,'Animals CE'!AA:AA)&lt;=1.5,
_xlfn.XLOOKUP(B106,'Animals CE'!B:B,'Animals CE'!AA:AA)/2+0.05,
0.8+
(_xlfn.XLOOKUP(B106,'Animals CE'!B:B,'Animals CE'!AA:AA)-1.5)
*0.02
),
0.05
),
200%
),
"No"
)</f>
        <v>1.25</v>
      </c>
      <c r="P106" s="2">
        <f>_xlfn.XLOOKUP(B106,'Base stats'!B:B,'Base stats'!R:R)</f>
        <v>1</v>
      </c>
      <c r="Q106" s="13">
        <f>MROUND((LOG10(_xlfn.XLOOKUP(B106,'Base stats'!B:B,'Base stats'!AR:AR))*(AO106^0.5)+(_xlfn.XLOOKUP(B106,'Base stats'!B:B,'Base stats'!AR:AR)/1000)^(2/3)+_xlfn.XLOOKUP(B106,'Base stats'!B:B,'Base stats'!BA:BA)/2)+0.5,0.5)</f>
        <v>41.5</v>
      </c>
      <c r="R106" s="7">
        <f>IF(Q106="No","No",MAX(1,MROUND(_xlfn.XLOOKUP(B106,'Base stats'!B:B,'Base stats'!C:C)^0.165,0.05)))</f>
        <v>4.25</v>
      </c>
      <c r="S106" s="13" t="str">
        <f>IF(_xlfn.XLOOKUP(_xlfn.XLOOKUP(B106,'Base stats'!B:B,'Base stats'!E:E),Groups!A:A,Groups!P:P)=0,"No",MROUND((LOG10(_xlfn.XLOOKUP(B106,'Base stats'!B:B,'Base stats'!AS:AS))*(AO106^0.5)+(_xlfn.XLOOKUP(B106,'Base stats'!B:B,'Base stats'!AS:AS)/1000)^(2/3)+_xlfn.XLOOKUP(B106,'Base stats'!B:B,'Base stats'!BA:BA))+_xlfn.XLOOKUP(B106,'Base stats'!B:B,'Base stats'!AY:AY)+0.5,0.5))</f>
        <v>No</v>
      </c>
      <c r="T106" s="7" t="str">
        <f>IF(S106="No","No",MAX(_xlfn.XLOOKUP(_xlfn.XLOOKUP(B106,'Base stats'!B:B,'Base stats'!E:E),Groups!A:A,Groups!Q:Q),MROUND(_xlfn.XLOOKUP(_xlfn.XLOOKUP(B106,'Base stats'!B:B,'Base stats'!E:E),Groups!A:A,Groups!Q:Q)*_xlfn.XLOOKUP(B106,'Base stats'!B:B,'Base stats'!C:C)^0.165,0.05)))</f>
        <v>No</v>
      </c>
      <c r="U106" s="7" t="str">
        <f>IF(S106="No","No",_xlfn.XLOOKUP(_xlfn.XLOOKUP(B106,'Base stats'!B:B,'Base stats'!E:E),Groups!A:A,Groups!R:R))</f>
        <v>No</v>
      </c>
      <c r="V106" s="7" t="str">
        <f>IF(S106="No","No",_xlfn.XLOOKUP(_xlfn.XLOOKUP(B106,'Base stats'!B:B,'Base stats'!E:E),Groups!A:A,Groups!S:S))</f>
        <v>No</v>
      </c>
      <c r="W106" s="7" t="str">
        <f>IF(S106="No","No",_xlfn.XLOOKUP(_xlfn.XLOOKUP(B106,'Base stats'!B:B,'Base stats'!E:E),Groups!A:A,Groups!T:T))</f>
        <v>No</v>
      </c>
      <c r="X106" s="13" t="str">
        <f>IF(_xlfn.XLOOKUP(B106,'Base stats'!B:B,'Base stats'!W:W)="No","No",MROUND((LOG10(_xlfn.XLOOKUP(B106,'Base stats'!B:B,'Base stats'!AU:AU))*(AO106^0.5)+(_xlfn.XLOOKUP(B106,'Base stats'!B:B,'Base stats'!AU:AU)/1000)^(2/3)+_xlfn.XLOOKUP(B106,'Base stats'!B:B,'Base stats'!AZ:AZ))+0.5+IF(_xlfn.XLOOKUP(_xlfn.XLOOKUP(B106,'Base stats'!B:B,'Base stats'!E:E),Groups!A:A,Groups!U:U)&lt;&gt;3,_xlfn.XLOOKUP(B106,'Base stats'!B:B,'Base stats'!BA:BA),0),0.5))</f>
        <v>No</v>
      </c>
      <c r="Y106" s="7" t="str">
        <f>IF(X106="No","No",MAX(_xlfn.XLOOKUP(_xlfn.XLOOKUP(B106,'Base stats'!B:B,'Base stats'!E:E),Groups!A:A,Groups!V:V),MROUND(_xlfn.XLOOKUP(_xlfn.XLOOKUP(B106,'Base stats'!B:B,'Base stats'!E:E),Groups!A:A,Groups!V:V)*_xlfn.XLOOKUP(B106,'Base stats'!B:B,'Base stats'!C:C)^0.165,0.05)))</f>
        <v>No</v>
      </c>
      <c r="Z106" s="7" t="str">
        <f>IF(X106="No","No",_xlfn.XLOOKUP(_xlfn.XLOOKUP(B106,'Base stats'!B:B,'Base stats'!E:E),Groups!A:A,Groups!W:W))</f>
        <v>No</v>
      </c>
      <c r="AA106" s="7" t="str">
        <f>IF(X106="No","No",_xlfn.XLOOKUP(_xlfn.XLOOKUP(B106,'Base stats'!B:B,'Base stats'!E:E),Groups!A:A,Groups!X:X))</f>
        <v>No</v>
      </c>
      <c r="AB106" s="7" t="str">
        <f>IF(X106="No","No",_xlfn.XLOOKUP(_xlfn.XLOOKUP(B106,'Base stats'!B:B,'Base stats'!E:E),Groups!A:A,Groups!Y:Y))</f>
        <v>No</v>
      </c>
      <c r="AC106" s="7" t="str">
        <f>_xlfn.XLOOKUP(Animals!B106,'Base stats'!B:B,'Base stats'!X:X)</f>
        <v>False</v>
      </c>
      <c r="AD106" s="13">
        <f>IF(_xlfn.XLOOKUP(B106,'Base stats'!B:B,'Base stats'!AT:AT)="No","No",MROUND((LOG10(_xlfn.XLOOKUP(B106,'Base stats'!B:B,'Base stats'!AT:AT))*(AO106^0.75)+(_xlfn.XLOOKUP(B106,'Base stats'!B:B,'Base stats'!AT:AT)/1000)^(2/3)+_xlfn.XLOOKUP(B106,'Base stats'!B:B,'Base stats'!AX:AX)+_xlfn.XLOOKUP(B106,'Base stats'!B:B,'Base stats'!BA:BA))+0.5,0.5))</f>
        <v>112</v>
      </c>
      <c r="AE106" s="7">
        <f>IF(AD106="No","No",MAX(_xlfn.XLOOKUP(_xlfn.XLOOKUP(B106,'Base stats'!B:B,'Base stats'!E:E),Groups!A:A,Groups!Z:Z),MROUND(_xlfn.XLOOKUP(_xlfn.XLOOKUP(B106,'Base stats'!B:B,'Base stats'!E:E),Groups!A:A,Groups!Z:Z)*_xlfn.XLOOKUP(B106,'Base stats'!B:B,'Base stats'!C:C)^0.165,0.05)))</f>
        <v>5.1000000000000005</v>
      </c>
      <c r="AF106" s="7" t="str">
        <f>IF(AD106="No","No",_xlfn.XLOOKUP(_xlfn.XLOOKUP(B106,'Base stats'!B:B,'Base stats'!E:E),Groups!A:A,Groups!AA:AA))</f>
        <v>Mouth</v>
      </c>
      <c r="AG106" s="7" t="str">
        <f>IF(AD106="No","No",_xlfn.XLOOKUP(_xlfn.XLOOKUP(B106,'Base stats'!B:B,'Base stats'!E:E),Groups!A:A,Groups!AB:AB))</f>
        <v>mandibles</v>
      </c>
      <c r="AH106" s="7" t="str">
        <f>IF(AD106="No","No",_xlfn.XLOOKUP(_xlfn.XLOOKUP(B106,'Base stats'!B:B,'Base stats'!E:E),Groups!A:A,Groups!AC:AC))</f>
        <v>Bite</v>
      </c>
      <c r="AI106" s="13" t="str">
        <f>IF(_xlfn.XLOOKUP(_xlfn.XLOOKUP(B106,'Base stats'!B:B,'Base stats'!E:E),Groups!A:A,Groups!AD:AD)=0,"No",MROUND((LOG10(_xlfn.XLOOKUP(B106,'Base stats'!B:B,'Base stats'!AS:AS))*(AO106^0.75)+(_xlfn.XLOOKUP(B106,'Base stats'!B:B,'Base stats'!AS:AS)/1000)^(2/3)+_xlfn.XLOOKUP(B106,'Base stats'!B:B,'Base stats'!AY:AY)+_xlfn.XLOOKUP(B106,'Base stats'!B:B,'Base stats'!BA:BA))+0.5,0.5))</f>
        <v>No</v>
      </c>
      <c r="AJ106" s="7" t="str">
        <f>IF(AI106="No","No",MAX(_xlfn.XLOOKUP(_xlfn.XLOOKUP(B106,'Base stats'!B:B,'Base stats'!E:E),Groups!A:A,Groups!AE:AE),MROUND(_xlfn.XLOOKUP(_xlfn.XLOOKUP(B106,'Base stats'!B:B,'Base stats'!E:E),Groups!A:A,Groups!AE:AE)*IF(_xlfn.XLOOKUP(_xlfn.XLOOKUP(B106,'Base stats'!B:B,'Base stats'!E:E),Groups!A:A,Groups!AJ:AJ)="Photonozoa",0.6,1)*_xlfn.XLOOKUP(B106,'Base stats'!B:B,'Base stats'!C:C)^0.165,0.05)))</f>
        <v>No</v>
      </c>
      <c r="AK106" s="7" t="str">
        <f>IF(AI106="No","No",_xlfn.XLOOKUP(_xlfn.XLOOKUP(B106,'Base stats'!B:B,'Base stats'!E:E),Groups!A:A,Groups!AF:AF))</f>
        <v>No</v>
      </c>
      <c r="AL106" s="7" t="str">
        <f>IF(AI106="No","No",_xlfn.XLOOKUP(_xlfn.XLOOKUP(B106,'Base stats'!B:B,'Base stats'!E:E),Groups!A:A,Groups!AG:AG))</f>
        <v>No</v>
      </c>
      <c r="AM106" s="7" t="str">
        <f>IF(AI106="No","No",_xlfn.XLOOKUP(_xlfn.XLOOKUP(B106,'Base stats'!B:B,'Base stats'!E:E),Groups!A:A,Groups!AH:AH))</f>
        <v>No</v>
      </c>
      <c r="AN106" s="2">
        <f t="shared" si="7"/>
        <v>45</v>
      </c>
      <c r="AO106" s="2">
        <f>MROUND(IF(AND(_xlfn.XLOOKUP(B106,'Base stats'!B:B,'Base stats'!C:C)&gt;=0.5,_xlfn.XLOOKUP(B106,'Base stats'!B:B,'Base stats'!C:C)&lt;=0.8),
IF(_xlfn.XLOOKUP(B106,'Base stats'!B:B,'Base stats'!C:C)&lt;0.1,0.05,IF(_xlfn.XLOOKUP(B106,'Base stats'!B:B,'Base stats'!C:C)&lt;=70,(_xlfn.XLOOKUP(B106,'Base stats'!B:B,'Base stats'!C:C)/70)^0.426489913056526,IF(_xlfn.XLOOKUP(B106,'Base stats'!B:B,'Base stats'!C:C)&lt;=400,(_xlfn.XLOOKUP(B106,'Base stats'!B:B,'Base stats'!C:C)/70)^0.572811455315093,IF(_xlfn.XLOOKUP(B106,'Base stats'!B:B,'Base stats'!C:C)&lt;=2000,2.71391647193063*(_xlfn.XLOOKUP(B106,'Base stats'!B:B,'Base stats'!C:C)/400)^0.252459582904293,3.74314280240376*(_xlfn.XLOOKUP(B106,'Base stats'!B:B,'Base stats'!C:C)/2000)^0.357012633876913)))),
IF(_xlfn.XLOOKUP(B106,'Base stats'!B:B,'Base stats'!C:C)&lt;0.1,0.05,IF(_xlfn.XLOOKUP(B106,'Base stats'!B:B,'Base stats'!C:C)&lt;0.4,0.1,IF(_xlfn.XLOOKUP(B106,'Base stats'!B:B,'Base stats'!C:C)&lt;=70,(_xlfn.XLOOKUP(B106,'Base stats'!B:B,'Base stats'!C:C)/70)^0.445823913056526,IF(_xlfn.XLOOKUP(B106,'Base stats'!B:B,'Base stats'!C:C)&lt;=400,(_xlfn.XLOOKUP(B106,'Base stats'!B:B,'Base stats'!C:C)/70)^0.572811455315093,IF(_xlfn.XLOOKUP(B106,'Base stats'!B:B,'Base stats'!C:C)&lt;=2000,2.71391647193063*(_xlfn.XLOOKUP(B106,'Base stats'!B:B,'Base stats'!C:C)/400)^0.252459582904293,3.74314280240376*(_xlfn.XLOOKUP(B106,'Base stats'!B:B,'Base stats'!C:C)/2000)^0.357012633876913)))))),
IF(_xlfn.XLOOKUP(B106,'Base stats'!B:B,'Base stats'!C:C)&lt;0.1,0.05,IF(_xlfn.XLOOKUP(B106,'Base stats'!B:B,'Base stats'!C:C)&lt;=100,0.05,IF(_xlfn.XLOOKUP(B106,'Base stats'!B:B,'Base stats'!C:C)&lt;=250,0.1,IF(_xlfn.XLOOKUP(B106,'Base stats'!B:B,'Base stats'!C:C)&lt;=4000,0.25,0.5)))))</f>
        <v>5.5</v>
      </c>
      <c r="AP106" s="8">
        <f>MROUND(AO106*_xlfn.XLOOKUP(_xlfn.XLOOKUP(B106,'Base stats'!B:B,'Base stats'!E:E),Groups!A:A,Groups!AI:AI)*_xlfn.XLOOKUP(B106,'Base stats'!B:B,'Base stats'!Z:Z),0.05)</f>
        <v>9.8000000000000007</v>
      </c>
      <c r="AQ106" s="8">
        <f>MAX(0.01,MROUND(IF(CC106="True",0.196*(AO106*100*1000)^0.889,IF(_xlfn.XLOOKUP(_xlfn.XLOOKUP(B106,'Base stats'!B:B,'Base stats'!E:E),Groups!A:A,Groups!AJ:AJ)="Bird",10.5*(AO106*100*1000)^0.681,4.82*(AO106*100*1000)^0.734))/(4.82*(1*100*1000)^0.734)/IF(AO106&lt;3.5,2,IF(AO106=3.5,1.5,1.25))*(1+0.132282374779864/(AO106^0.994035016789033+0.00905238001496948)),0.05))</f>
        <v>0.9</v>
      </c>
      <c r="AR106" s="9">
        <f>IFERROR(MROUND(_xlfn.XLOOKUP(B106,'Base stats'!B:B,'Base stats'!H:H)/IF(_xlfn.XLOOKUP(B106,'Base stats'!B:B,'Base stats'!I:I)&lt;&gt;1,(122.5/70),1.2),IF(_xlfn.XLOOKUP(B106,'Base stats'!B:B,'Base stats'!H:H)&gt;=30,5,IF(_xlfn.XLOOKUP(B106,'Base stats'!B:B,'Base stats'!H:H)&gt;=15,3,IF(_xlfn.XLOOKUP(B106,'Base stats'!B:B,'Base stats'!H:H)&gt;=10,2,1)))),"Immortal")</f>
        <v>55</v>
      </c>
      <c r="AS106" s="35" t="str">
        <f>IFERROR(IF(OR(_xlfn.XLOOKUP(B106,'Base stats'!B:B,'Base stats'!F:F)="Atypical reproduction",_xlfn.XLOOKUP(B106,'Base stats'!B:B,'Base stats'!F:F)="Lay eggs"),"Lay eggs",MIN(20,MAX(5.5,ROUND(((_xlfn.XLOOKUP(B106,'Base stats'!B:B,'Base stats'!F:F)-25)*(14.5/615) + 5.5)*2,0)/2))),"Unknown")</f>
        <v>Lay eggs</v>
      </c>
      <c r="AT106" s="8" t="str">
        <f>IF(_xlfn.XLOOKUP(B106,'Base stats'!B:B,'Base stats'!G:G)="Atypical reproduction","No",IFERROR(MAX(IF(_xlfn.XLOOKUP(B106,'Base stats'!B:B,'Base stats'!G:G)&lt;0.5,0.2,0.3),MROUND(_xlfn.XLOOKUP(B106,'Base stats'!B:B,'Base stats'!G:G)/(365/60),0.2)),"Unknown"))</f>
        <v>No</v>
      </c>
      <c r="AU106" s="8" t="str">
        <f t="shared" si="8"/>
        <v>No</v>
      </c>
      <c r="AV106" s="8" t="str">
        <f>IFERROR(IFERROR(MROUND(_xlfn.XLOOKUP(B106,'Base stats'!B:B,'Base stats'!J:J),0.1),"Lay eggs"),"Cannot breed")</f>
        <v>Lay eggs</v>
      </c>
      <c r="AW106" s="2" t="str">
        <f t="shared" si="9"/>
        <v>false</v>
      </c>
      <c r="AX106" s="2" t="str">
        <f>IF(_xlfn.XLOOKUP(_xlfn.XLOOKUP(Animals!B106,'Base stats'!B:B,'Base stats'!E:E),Groups!A:A,Groups!AK:AK)=1,"true","false")</f>
        <v>false</v>
      </c>
      <c r="AY106" s="25" t="str">
        <f>IF(_xlfn.XLOOKUP(B106,'Base stats'!B:B,'Base stats'!Y:Y)="Liquor","Liquor, CarnivoreAnimalStrict",IF(AND(_xlfn.XLOOKUP(B106,'Base stats'!B:B,'Base stats'!Y:Y)="Carnivore",_xlfn.XLOOKUP(_xlfn.XLOOKUP(B106,'Base stats'!B:B,'Base stats'!E:E),Groups!A:A,Groups!AJ:AJ)="Photonozoa"),"CarnivoreAnimalStrict, OvivoreAnimal",IF(_xlfn.XLOOKUP(B106,'Base stats'!B:B,'Base stats'!Y:Y)="Carnivore","CarnivoreAnimal, OvivoreAnimal",IF(_xlfn.XLOOKUP(B106,'Base stats'!B:B,'Base stats'!Y:Y)="Dendrovore","VegetarianRoughAnimal, DendrovoreAnimal",IF(_xlfn.XLOOKUP(B106,'Base stats'!B:B,'Base stats'!Y:Y)="Herbivore","VegetarianRoughAnimal",IF(_xlfn.XLOOKUP(B106,'Base stats'!B:B,'Base stats'!Y:Y)="OmnivoreRough","OmnivoreRoughAnimal, OvivoreAnimal","OmnivoreAnimal, OvivoreAnimal"))))))</f>
        <v>OmnivoreAnimal, OvivoreAnimal</v>
      </c>
      <c r="AZ106" s="2" t="str">
        <f>IF(_xlfn.XLOOKUP(_xlfn.XLOOKUP(B106,'Base stats'!B:B,'Base stats'!E:E),Groups!A:A,Groups!D:D)=1,MROUND((1-J106)*5+1,2)*IF(J106&lt;=0.4,2,1),"No")</f>
        <v>No</v>
      </c>
      <c r="BA106" s="2" t="str">
        <f>IF(AND(_xlfn.XLOOKUP(B106,'Base stats'!B:B,'Base stats'!AH:AH)="&lt;li&gt;Seal&lt;/li&gt;",G106="Odyssey"),"&lt;li&gt;AEXP_Seal&lt;/li&gt;",_xlfn.XLOOKUP(B106,'Base stats'!B:B,'Base stats'!AH:AH))</f>
        <v>&lt;li&gt;Megaspider&lt;/li&gt;</v>
      </c>
      <c r="BB106" s="2" t="str">
        <f>_xlfn.XLOOKUP(B106,'Base stats'!B:B,'Base stats'!AG:AG)</f>
        <v>Leather_Chitin</v>
      </c>
      <c r="BC106" s="23" t="str">
        <f>_xlfn.XLOOKUP(_xlfn.XLOOKUP(B106,'Base stats'!B:B,'Base stats'!E:E),Groups!A:A,Groups!AL:AL)</f>
        <v>BeetleLike</v>
      </c>
      <c r="BD106" s="23">
        <f>MIN(1,MROUND(IF(AND(AO106&lt;0.5,_xlfn.XLOOKUP(B106,'Base stats'!B:B,'Base stats'!AA:AA)=0),0,IF(OR(_xlfn.XLOOKUP(Animals!B106,'Base stats'!B:B,'Base stats'!O:O)=2,_xlfn.XLOOKUP(_xlfn.XLOOKUP(B106,'Base stats'!B:B,'Base stats'!E:E),Groups!A:A,Groups!AN:AN)=0),0,_xlfn.XLOOKUP(_xlfn.XLOOKUP(B106,'Base stats'!B:B,'Base stats'!E:E),Groups!A:A,Groups!AN:AN)/IF(_xlfn.XLOOKUP(Animals!B106,'Base stats'!B:B,'Base stats'!O:O)=1,2,1)))+_xlfn.XLOOKUP(B106,'Base stats'!B:B,'Base stats'!AC:AC),0.005))</f>
        <v>1</v>
      </c>
      <c r="BE106" s="23">
        <f>MIN(1,MROUND(IF(AND(AO106&lt;0.5,_xlfn.XLOOKUP(B106,'Base stats'!B:B,'Base stats'!AA:AA)=0),0,IF(_xlfn.XLOOKUP(_xlfn.XLOOKUP(B106,'Base stats'!B:B,'Base stats'!E:E),Groups!A:A,Groups!AO:AO)=0,0,_xlfn.XLOOKUP(_xlfn.XLOOKUP(B106,'Base stats'!B:B,'Base stats'!E:E),Groups!A:A,Groups!AO:AO)/IF(_xlfn.XLOOKUP(Animals!B106,'Base stats'!B:B,'Base stats'!O:O)=2,3,1)))+_xlfn.XLOOKUP(B106,'Base stats'!B:B,'Base stats'!AD:AD),0.005))</f>
        <v>1</v>
      </c>
      <c r="BF106" s="2" t="str">
        <f>IF(J106&gt;0.3,"No",_xlfn.XLOOKUP(_xlfn.XLOOKUP(Animals!B106,'Base stats'!B:B,'Base stats'!E:E),Groups!A:A,Groups!AP:AP))</f>
        <v>No</v>
      </c>
      <c r="BG106" s="2" t="str">
        <f>IF(AND(J106&lt;=0.65,_xlfn.XLOOKUP(_xlfn.XLOOKUP(Animals!B106,'Base stats'!B:B,'Base stats'!E:E),Groups!A:A,Groups!AP:AP)&lt;&gt;"No",_xlfn.XLOOKUP(_xlfn.XLOOKUP(B106,'Base stats'!B:B,'Base stats'!E:E),Groups!A:A,Groups!D:D)=0),MROUND((80/3)*IF(_xlfn.XLOOKUP(B106,'Base stats'!B:B,'Base stats'!O:O)=2,0.2,AO106) + 24*(1-IF(BF106="No",0,BF106)) + 16/3, 12),"No")</f>
        <v>No</v>
      </c>
      <c r="BH106" s="2">
        <f>IF(AND(_xlfn.XLOOKUP(_xlfn.XLOOKUP(B106,'Base stats'!B:B,'Base stats'!E:E),Groups!A:A,Groups!AQ:AQ)=1,AO106&lt;=0.35),8,12)</f>
        <v>12</v>
      </c>
      <c r="BI106" s="2" t="str">
        <f>IF(_xlfn.XLOOKUP(_xlfn.XLOOKUP(B106,'Base stats'!B:B,'Base stats'!E:E),Groups!A:A,Groups!D:D)=0,_xlfn.XLOOKUP(_xlfn.XLOOKUP(B106,'Base stats'!B:B,'Base stats'!E:E),Groups!A:A,Groups!AR:AR),"None")</f>
        <v>Advanced</v>
      </c>
      <c r="BJ106" s="2" t="str">
        <f>IF(AND(_xlfn.XLOOKUP(_xlfn.XLOOKUP(B106,'Base stats'!B:B,'Base stats'!E:E),Groups!A:A,Groups!AS:AS)=1,OR(_xlfn.XLOOKUP(B106,'Base stats'!B:B,'Base stats'!Y:Y)="Carnivore",_xlfn.XLOOKUP(B106,'Base stats'!B:B,'Base stats'!Y:Y)="Omnivore")),"true","false")</f>
        <v>true</v>
      </c>
      <c r="BK106" s="2">
        <f>IF(BJ106="true",MROUND(IF(AND(AO106&gt;0.5,OR(_xlfn.XLOOKUP(_xlfn.XLOOKUP(B106,'Base stats'!B:B,'Base stats'!E:E),Groups!A:A,Groups!AJ:AJ)="Photonozoa",_xlfn.XLOOKUP(_xlfn.XLOOKUP(B106,'Base stats'!B:B,'Base stats'!E:E),Groups!A:A,Groups!AJ:AJ)="Mammal")),Animals!AO106*1.75*IF(AW106="true",1.5,1),IF(AO106&lt;0.5,Animals!AO106*0.5,Animals!AO106)),IF(AO106&gt;2,0.5,IF(AO106&gt;0.5,0.25,0.1))),"No")</f>
        <v>5.5</v>
      </c>
      <c r="BL106" s="2">
        <f t="shared" si="10"/>
        <v>1</v>
      </c>
      <c r="BM106" s="25" t="str">
        <f>IF(_xlfn.XLOOKUP(B106,'Base stats'!B:B,'Base stats'!AN:AN)="Standard","No",MROUND((_xlfn.XLOOKUP(B106,'Base stats'!B:B,'Base stats'!AN:AN)/3.6)/I106,0.1))</f>
        <v>No</v>
      </c>
      <c r="BN106" s="25" t="str">
        <f t="shared" si="11"/>
        <v>false</v>
      </c>
      <c r="BO106" s="25" t="str">
        <f>IF(AND(OR(_xlfn.XLOOKUP(B106,'Base stats'!B:B,'Base stats'!Y:Y)="Carnivore",_xlfn.XLOOKUP(B106,'Base stats'!B:B,'Base stats'!Y:Y)="Omnivore",_xlfn.XLOOKUP(B106,'Base stats'!B:B,'Base stats'!Y:Y)="OmnivoreRough"),_xlfn.XLOOKUP(_xlfn.XLOOKUP(B106,'Base stats'!B:B,'Base stats'!E:E),Groups!A:A,Groups!AT:AT)=1),"true","false")</f>
        <v>false</v>
      </c>
      <c r="BP106" s="25" t="str" cm="1">
        <f t="array" ref="BP106">IF(
  _xlfn.TEXTJOIN(", ",TRUE,
    IF(AND(BJ106="true",AO106&gt;0.5,BI106&lt;&gt;"None"),"AttackTarget",""),
    IF(AND(_xlfn.XLOOKUP(_xlfn.XLOOKUP(B106,'Base stats'!B:B,'Base stats'!E:E),Groups!A:A,Groups!AJ:AJ="Mammal"),OR(_xlfn.XLOOKUP(B106,'Base stats'!B:B,'Base stats'!Y:Y)="Omnivore",_xlfn.XLOOKUP(B106,'Base stats'!B:B,'Base stats'!Y:Y)="OmnivoreRough")),"Forage",""),
    IF(BG106&lt;=36,"Comfort",""),
    IF(_xlfn.XLOOKUP(B106,'Base stats'!B:B,'Base stats'!AE:AE)&lt;&gt;"No",_xlfn.XLOOKUP(B106,'Base stats'!B:B,'Base stats'!AE:AE),"")
  ) = "",
  "No",
  _xlfn.TEXTJOIN(", ",TRUE,
    IF(AND(BJ106="true",AO106&gt;0.5,BI106&lt;&gt;"None"),"AttackTarget",""),
    IF(AND(_xlfn.XLOOKUP(_xlfn.XLOOKUP(B106,'Base stats'!B:B,'Base stats'!E:E),Groups!A:A,Groups!AJ:AJ="Mammal"),OR(_xlfn.XLOOKUP(B106,'Base stats'!B:B,'Base stats'!Y:Y)="Omnivore",_xlfn.XLOOKUP(B106,'Base stats'!B:B,'Base stats'!Y:Y)="OmnivoreRough")),"Forage",""),
    IF(BG106&lt;=36,"Comfort",""),
    IF(_xlfn.XLOOKUP(B106,'Base stats'!B:B,'Base stats'!AE:AE)&lt;&gt;"No",_xlfn.XLOOKUP(B106,'Base stats'!B:B,'Base stats'!AE:AE),"")
  )
)</f>
        <v>AttackTarget, EggSpew</v>
      </c>
      <c r="BQ106" s="25" t="str">
        <f>IF(
   AND(
      'Base stats'!AN106="Standard",_xlfn.XLOOKUP(_xlfn.XLOOKUP(B106,'Base stats'!B:B,'Base stats'!E:E),Groups!A:A,Groups!AU:AU)=0,
      OR(
      BO106="True"
      )
   ),
   10,
   IF(
       OR(BM106&lt;&gt;"No",_xlfn.XLOOKUP(_xlfn.XLOOKUP(B106,'Base stats'!B:B,'Base stats'!E:E),Groups!A:A,Groups!AU:AU)=1),
      1,
      "No"
   )
)</f>
        <v>No</v>
      </c>
      <c r="BR106" s="9">
        <f>MROUND((1 + ((0.2*IF(OR(Q106="No",R106="No",R106=0),0,Q106/R106)
+IF(OR(V106="No",S106="No",T106="No"),0,S106/T106*(LEN(V106)-LEN(SUBSTITUTE(V106,",",""))+1))
+IF(OR(X106="No",Y106="No"),0,X106/Y106)
+IF(OR(AD106="No",AE106="No"),0,AD106/AE106)
+IF(OR(AL106="No",AI106="No",AJ106="No"),0,AI106/AJ106*(LEN(AL106)-LEN(SUBSTITUTE(AL106,",",""))+1))
)/(0.2*IF(OR(Q106="No",R106="No",R106=0),0,1)
+IF(OR(V106="No",S106="No",T106="No"),0,LEN(V106)-LEN(SUBSTITUTE(V106,",",""))+1)
+IF(OR(X106="No",Y106="No"),0,1)
+IF(OR(AD106="No",AE106="No"),0,1)
+IF(OR(AL106="No",AI106="No",AJ106="No"),0,LEN(AL106)-LEN(SUBSTITUTE(AL106,",",""))+1))*62%)* 2)*(1 + (AP106 / (IF(_xlfn.XLOOKUP(_xlfn.XLOOKUP(B106,'Base stats'!B:B,'Base stats'!E:E),Groups!A:A,Groups!AJ:AJ)="Photonozoa",0.3,1)) + _xlfn.XLOOKUP(B106,'Base stats'!B:B,'Base stats'!AV:AV) * 1.8) * 2) * 2.5 + 10 + I106 * 2,5)+IF(_xlfn.XLOOKUP(B106,'Base stats'!B:B,'Base stats'!AK:AK)=1,50,0)</f>
        <v>1615</v>
      </c>
      <c r="BS106" s="8">
        <f t="shared" si="12"/>
        <v>1.8</v>
      </c>
      <c r="BT106" s="8" t="str">
        <f>_xlfn.XLOOKUP(B106,'Base stats'!B:B,'Base stats'!AF:AF)</f>
        <v>No</v>
      </c>
      <c r="BU106" s="2" t="str">
        <f>IF(AND(J106&lt;=0.95,OR(_xlfn.XLOOKUP(B106,'Base stats'!B:B,'Base stats'!AK:AK)=1,_xlfn.XLOOKUP(B106,'Base stats'!B:B,'Base stats'!Y:Y)="Carnivore",_xlfn.XLOOKUP(B106,'Base stats'!B:B,'Base stats'!Y:Y)="Omnivore",BE106&gt;0.1)),"true","false")</f>
        <v>false</v>
      </c>
      <c r="BV106" s="2" t="str">
        <f>IF(_xlfn.XLOOKUP(B106,'Base stats'!B:B,'Base stats'!AI:AI)=1,"true","false")</f>
        <v>false</v>
      </c>
      <c r="BW106" s="25" t="str">
        <f>IF(E106="BaseInsect","AnimalInsect",
IF(J106&gt;0.95,"AnimalExotic",
_xlfn.TEXTJOIN(", ",TRUE,
IF(OR(_xlfn.XLOOKUP(B106,'Base stats'!B:B,'Base stats'!AM:AM)=1,AND(_xlfn.XLOOKUP(B106,'Base stats'!B:B,'Base stats'!O:O)=0,_xlfn.XLOOKUP(_xlfn.XLOOKUP(B106,'Base stats'!B:B,'Base stats'!E:E),Groups!A:A,Groups!B:B)&gt;0)),"AnimalUncommon","AnimalCommon"),
IF(AND(_xlfn.XLOOKUP(B106,'Base stats'!B:B,'Base stats'!O:O)=2,_xlfn.XLOOKUP(_xlfn.XLOOKUP(B106,'Base stats'!B:B,'Base stats'!E:E),Groups!A:A,Groups!D:D)=0),"AnimalPet",IF(AND(_xlfn.XLOOKUP(B106,'Base stats'!B:B,'Base stats'!O:O)&lt;&gt;0,_xlfn.XLOOKUP(_xlfn.XLOOKUP(B106,'Base stats'!B:B,'Base stats'!E:E),Groups!A:A,Groups!D:D)&lt;&gt;0),"AnimalFarm","")),
IF(OR(_xlfn.XLOOKUP(B106,'Base stats'!B:B,'Base stats'!AK:AK)=1,AND(BI106&lt;&gt;"None",BR106&gt;=60),ISNUMBER(SEARCH("Attack target",BP106))),"AnimalFighter","")
)))</f>
        <v>AnimalInsect</v>
      </c>
      <c r="BX106" s="25" t="str">
        <f>IF(G106="None",TRIM(
SUBSTITUTE(
IF(COUNTIF(Biomes!B$2:B$259,"="&amp;$C106)&gt;0,Biomes!B$1&amp;", ","")&amp;
IF(COUNTIF(Biomes!C$2:C$259,"="&amp;$C106)&gt;0,Biomes!C$1&amp;", ","")&amp;
IF(COUNTIF(Biomes!D$2:D$259,"="&amp;$C106)&gt;0,Biomes!D$1&amp;", ","")&amp;
IF(COUNTIF(Biomes!F$2:F$259,"="&amp;$C106)&gt;0,Biomes!F$1&amp;", ","")&amp;
IF(COUNTIF(Biomes!G$2:G$259,"="&amp;$C106)&gt;0,Biomes!G$1&amp;", ","")&amp;
IF(COUNTIF(Biomes!H$2:H$259,"="&amp;$C106)&gt;0,Biomes!H$1&amp;", ","")&amp;
IF(COUNTIF(Biomes!I$2:I$259,"="&amp;$C106)&gt;0,Biomes!I$1&amp;", ","")&amp;
IF(COUNTIF(Biomes!J$2:J$259,"="&amp;$C106)&gt;0,Biomes!J$1&amp;", ","")&amp;
IF(COUNTIF(Biomes!M$2:M$259,"="&amp;$C106)&gt;0,Biomes!M$1&amp;", ","")&amp;
IF(COUNTIF(Biomes!N$2:N$259,"="&amp;$C106)&gt;0,Biomes!N$1&amp;", ","")&amp;
IF(COUNTIF(Biomes!O$2:O$259,"="&amp;$C106)&gt;0,Biomes!O$1&amp;", ","")&amp;
IF(COUNTIF(Biomes!P$2:P$259,"="&amp;$C106)&gt;0,Biomes!P$1&amp;", ","")&amp;
IF(COUNTIF(Biomes!K$2:K$259,"="&amp;$C106)&gt;0,Biomes!K$1&amp;", ","")&amp;
IF(COUNTIF(Biomes!Q$3:Q$259,"="&amp;$C106)&gt;0,Biomes!Q$1&amp;", ","")&amp;
IF(COUNTIF(Biomes!L$2:L$259,"="&amp;$C106)&gt;0,Biomes!L$1&amp;", ","")&amp;
IF(COUNTIF(Biomes!E$2:E$259,"="&amp;$C106)&gt;0,Biomes!E$1&amp;", ","")&amp;IF(COUNTIF(Biomes!S$2:S$259,"="&amp;$C106)&gt;0,Biomes!S$1&amp;", ","")&amp;
IF(COUNTIF(Biomes!R$2:R$259,"="&amp;$C106)&gt;0,Biomes!R$1&amp;", ",""),", ","")
),_xlfn.XLOOKUP(B106,B:B,BX:BX))</f>
        <v/>
      </c>
      <c r="BY106" s="25" t="str">
        <f>IF(_xlfn.XLOOKUP(B106,'Base stats'!B:B,'Base stats'!AJ:AJ)=1,"true","false")</f>
        <v>false</v>
      </c>
      <c r="BZ106" s="25">
        <f>IF(_xlfn.XLOOKUP(B106,'Base stats'!B:B,'Base stats'!N:N)=1,"No",MAX(0.001,MIN(MROUND(IF(AND(BJ106="True",CC106="False"),POWER(10,3.47*LOG10(_xlfn.XLOOKUP(B106,'Base stats'!B:B,'Base stats'!C:C)*1000)^-0.96),POWER(10,4.15*LOG10(_xlfn.XLOOKUP(B106,'Base stats'!B:B,'Base stats'!C:C)*1000)^-0.73))*IF(_xlfn.XLOOKUP(B106,'Base stats'!B:B,'Base stats'!AK:AK)=1,0.5,1)*IF(_xlfn.XLOOKUP(B106,'Base stats'!B:B,'Base stats'!AM:AM)=1,0.1,1)/100,IF(_xlfn.XLOOKUP(B106,'Base stats'!B:B,'Base stats'!AM:AM)=1,0.001,0.025)),0.5)))</f>
        <v>1.0999999999999999E-2</v>
      </c>
      <c r="CA106" s="25">
        <f>IF(P106="Standard","No",MAX(0.001,MIN(MROUND(IF(AND(BJ106="True",CC106="False"),POWER(10,3.47*LOG10(_xlfn.XLOOKUP(B106,'Base stats'!B:B,'Base stats'!C:C)*1000)^-0.96),POWER(10,4.15*LOG10(_xlfn.XLOOKUP(B106,'Base stats'!B:B,'Base stats'!C:C)*1000)^-0.73))*IF(_xlfn.XLOOKUP(B106,'Base stats'!B:B,'Base stats'!AM:AM)=1,0.1,1)*_xlfn.XLOOKUP(B106,'Base stats'!B:B,'Base stats'!R:R)/100,IF(_xlfn.XLOOKUP(B106,'Base stats'!B:B,'Base stats'!AM:AM)=1,0.001,0.025)),0.5)))</f>
        <v>1.0999999999999999E-2</v>
      </c>
      <c r="CB106" s="25" t="str">
        <f>IF(_xlfn.XLOOKUP(_xlfn.XLOOKUP(B106,'Base stats'!B:B,'Base stats'!E:E),Groups!A:A,Groups!AJ:AJ)="Mammal","True","False")</f>
        <v>False</v>
      </c>
      <c r="CC106" s="25" t="str">
        <f>IF(OR(_xlfn.XLOOKUP(_xlfn.XLOOKUP(B106,'Base stats'!B:B,'Base stats'!E:E),Groups!A:A,Groups!AJ:AJ)="Reptile",_xlfn.XLOOKUP(_xlfn.XLOOKUP(B106,'Base stats'!B:B,'Base stats'!E:E),Groups!A:A,Groups!AJ:AJ)="Amphibian",_xlfn.XLOOKUP(_xlfn.XLOOKUP(B106,'Base stats'!B:B,'Base stats'!E:E),Groups!A:A,Groups!AJ:AJ)="Invertebrate"),"True","False")</f>
        <v>True</v>
      </c>
      <c r="CD106" s="25" t="str">
        <f t="shared" si="13"/>
        <v>True</v>
      </c>
      <c r="CE106" s="25" t="str">
        <f>IF(_xlfn.XLOOKUP(_xlfn.XLOOKUP(B106,'Base stats'!B:B,'Base stats'!E:E),Groups!A:A,Groups!AX:AX),"True","False")</f>
        <v>False</v>
      </c>
      <c r="CF106" s="25" t="str">
        <f>IF(_xlfn.XLOOKUP(_xlfn.XLOOKUP(B106,'Base stats'!B:B,'Base stats'!E:E),Groups!A:A,Groups!AY:AY),"True","False")</f>
        <v>False</v>
      </c>
      <c r="CG106" s="25" t="str">
        <f>IF(_xlfn.XLOOKUP(_xlfn.XLOOKUP(B106,'Base stats'!B:B,'Base stats'!E:E),Groups!A:A,Groups!AW:AW),"True","False")</f>
        <v>False</v>
      </c>
      <c r="CH106" s="25" t="str">
        <f>IF(
OR(
_xlfn.XLOOKUP(_xlfn.XLOOKUP(B106,'Base stats'!B:B,'Base stats'!E:E),Groups!A:A,Groups!AZ:AZ)=0,
AND(
_xlfn.XLOOKUP(B106,'Base stats'!B:B,'Base stats'!Y:Y)&lt;&gt;"Carnivore",
_xlfn.XLOOKUP(B106,'Base stats'!B:B,'Base stats'!Y:Y)&lt;&gt;"Omnivore",
_xlfn.XLOOKUP(B106,'Base stats'!B:B,'Base stats'!Y:Y)&lt;&gt;"OmnivoreRough"
)
),
"No",
IF(
_xlfn.XLOOKUP(_xlfn.XLOOKUP(B106,'Base stats'!B:B,'Base stats'!E:E),Groups!A:A,Groups!AZ:AZ)=1,
"Flesh",
IF(
_xlfn.XLOOKUP(_xlfn.XLOOKUP(B106,'Base stats'!B:B,'Base stats'!E:E),Groups!A:A,Groups!AZ:AZ)=2,
"Bone",
""
)
)
)</f>
        <v>Bone</v>
      </c>
      <c r="CI106" s="25" t="str">
        <f>IF(_xlfn.XLOOKUP(_xlfn.XLOOKUP(B106,'Base stats'!B:B,'Base stats'!E:E),Groups!A:A,Groups!BB:BB),"True","False")</f>
        <v>False</v>
      </c>
      <c r="CJ106" s="25" t="str">
        <f>IF(_xlfn.XLOOKUP(_xlfn.XLOOKUP(B106,'Base stats'!B:B,'Base stats'!E:E),Groups!A:A,Groups!BA:BA),"True","False")</f>
        <v>False</v>
      </c>
    </row>
    <row r="107" spans="1:88" ht="16.5" thickTop="1" thickBot="1" x14ac:dyDescent="0.3">
      <c r="A107" s="26" t="str">
        <f>_xlfn.XLOOKUP(B107,'Base stats'!B:B,'Base stats'!A:A)</f>
        <v>Larva</v>
      </c>
      <c r="B107" s="6" t="s">
        <v>426</v>
      </c>
      <c r="C107" s="28" t="s">
        <v>788</v>
      </c>
      <c r="D107" s="28" t="s">
        <v>870</v>
      </c>
      <c r="E107" s="28" t="s">
        <v>784</v>
      </c>
      <c r="F107" s="28" t="s">
        <v>785</v>
      </c>
      <c r="G107" s="28" t="s">
        <v>673</v>
      </c>
      <c r="H107" s="2">
        <f>MROUND((
  (IF(AND(_xlfn.XLOOKUP(B107,'Base stats'!B:B,'Base stats'!AL:AL)=0,BI107="None",_xlfn.XLOOKUP(_xlfn.XLOOKUP(B107,'Base stats'!B:B,'Base stats'!E:E),Groups!A:A,Groups!B:B)=0), (18 + BR107 * 2.7) * 0.5,
    IF(AND(_xlfn.XLOOKUP(B107,'Base stats'!B:B,'Base stats'!AL:AL)=0,OR(AO107&lt;0.55,AND(BI107="Intermediate",_xlfn.XLOOKUP(_xlfn.XLOOKUP(B107,'Base stats'!B:B,'Base stats'!E:E),Groups!A:A,Groups!B:B)&lt;2))), (18 + BR107 * 2.7),
      IF(OR(BI107="Advanced",_xlfn.XLOOKUP(B107,'Base stats'!B:B,'Base stats'!AL:AL)=1,_xlfn.XLOOKUP(_xlfn.XLOOKUP(B107,'Base stats'!B:B,'Base stats'!E:E),Groups!A:A,Groups!B:B)=2), (18 + BR107 * 2.7) + 250, (18 + BR107 * 2.7))
    )
  ))
  + AO107 * 80
  + IF(COUNTIF(EggMilk!K$2:K$998, A107) &gt; 0, 125, 0)
  + IF(COUNTIF(EggMilk!P$2:P$998, A107) &gt; 0, 90, 0)
  + IF(COUNTIF(EggMilk!A$2:A$998, A107) &gt; 0, 90, 0)
)
* (0.8 + 0.4 * J107)
* 0.75,25)</f>
        <v>150</v>
      </c>
      <c r="I107" s="2">
        <f>MROUND(ROUNDDOWN(_xlfn.XLOOKUP(B107,'Base stats'!B:B,'Base stats'!L:L)/3.6/(23.3/11),1),0.5)</f>
        <v>2</v>
      </c>
      <c r="J107" s="2">
        <f>IF(OR(_xlfn.XLOOKUP(B107,'Base stats'!B:B,'Base stats'!AB:AB)=1,_xlfn.XLOOKUP(_xlfn.XLOOKUP(B107,'Base stats'!B:B,'Base stats'!E:E),Groups!A:A,Groups!C:C)="Untamable"),1,IF(_xlfn.XLOOKUP(B107,'Base stats'!B:B,'Base stats'!AL:AL)=1,0.99,MIN(MROUND((1-0.6282*EXP(-0.459*AO107))*_xlfn.XLOOKUP(_xlfn.XLOOKUP(B107,'Base stats'!B:B,'Base stats'!E:E),Groups!A:A,Groups!C:C)*IF(_xlfn.XLOOKUP(B107,'Base stats'!B:B,'Base stats'!O:O)=1,0.5,IF(_xlfn.XLOOKUP(B107,'Base stats'!B:B,'Base stats'!O:O)=2,0,1)),0.05),IF(AO107&gt;3.5,0.985,0.95))))</f>
        <v>0.5</v>
      </c>
      <c r="K107" s="2">
        <f>ROUNDUP(AO107*_xlfn.XLOOKUP(_xlfn.XLOOKUP(B107,'Base stats'!B:B,'Base stats'!E:E),Groups!A:A,Groups!E:E),0)</f>
        <v>1</v>
      </c>
      <c r="L107" s="2">
        <f>IF(OR(_xlfn.XLOOKUP(_xlfn.XLOOKUP(B107,'Base stats'!B:B,'Base stats'!E:E),Groups!A:A,Groups!F:F)=2,ISNUMBER(SEARCH("SeaIce",BX107)),ISNUMBER(SEARCH("IceSheet",BX107))),-50,IF(OR(ISNUMBER(SEARCH("GlacialPlain",BX107)),ISNUMBER(SEARCH("Tundra",BX107))),-40,IF(OR(ISNUMBER(SEARCH("Alpine",BX107)),ISNUMBER(SEARCH("BorealForest",BX107)),ISNUMBER(SEARCH("ColdBog",BX107))),-30,IF(OR(ISNUMBER(SEARCH("TemperateForest",BX107)),ISNUMBER(SEARCH("TemperateSwamp",BX107))),-20,IF(_xlfn.XLOOKUP(_xlfn.XLOOKUP(B107,'Base stats'!B:B,'Base stats'!E:E),Groups!A:A,Groups!F:F)=1,-15,IF(OR(ISNUMBER(SEARCH("Desert",BX107)),ISNUMBER(SEARCH("ExtremeDesert",BX107))),-10,IF(OR(ISNUMBER(SEARCH("Grasslands",BX107)),ISNUMBER(SEARCH("TropicalRainforest",BX107)),ISNUMBER(SEARCH("TropicalSwamp",BX107))),10,0)))))))-IF(CC107="False",MIN(IFERROR(MAX(MROUND(LOG10(_xlfn.XLOOKUP(B107,'Base stats'!B:B,'Base stats'!C:C)^(2/3))*10,5),5),5),30))-_xlfn.XLOOKUP(B107,'Base stats'!B:B,'Base stats'!P:P)+IF(CC107="True",5,0)</f>
        <v>5</v>
      </c>
      <c r="M107" s="2">
        <f>IF(OR(_xlfn.XLOOKUP(_xlfn.XLOOKUP(B107,'Base stats'!B:B,'Base stats'!E:E),Groups!A:A,Groups!G:G)=2,ISNUMBER(SEARCH("Desert",BX107)),ISNUMBER(SEARCH("ExtremeDesert",BX107)),ISNUMBER(SEARCH("LavaField",BX107))),50,IF(ISNUMBER(SEARCH("Grasslands",BX107)),45,IF(OR(_xlfn.XLOOKUP(_xlfn.XLOOKUP(B107,'Base stats'!B:B,'Base stats'!E:E),Groups!A:A,Groups!G:G)=1,ISNUMBER(SEARCH("TropicalRainforest",BX107)),ISNUMBER(SEARCH("TropicalSwamp",BX107))),40,IF(OR(ISNUMBER(SEARCH("TemperateForest",BX107)),ISNUMBER(SEARCH("TemperateSwamp",BX107))),35,IF(OR(ISNUMBER(SEARCH("Alpine",BX107)),ISNUMBER(SEARCH("BorealForest",BX107)),ISNUMBER(SEARCH("ColdBog",BX107))),30,IF(ISNUMBER(OR(ISNUMBER(SEARCH("GlacialPlain",BX107)),SEARCH("Tundra",BX107))),25,IF(OR(ISNUMBER(SEARCH("SeaIce",BX107)),ISNUMBER(SEARCH("IceSheet",BX107)),ISNUMBER(SEARCH("TropicalSwamp",BX107))),10,35)))))))+_xlfn.XLOOKUP(B107,'Base stats'!B:B,'Base stats'!Q:Q)</f>
        <v>50</v>
      </c>
      <c r="N107" s="8">
        <f>IF(
_xlfn.XLOOKUP(
_xlfn.XLOOKUP(B107,'Base stats'!B:B,'Base stats'!E:E),
Groups!A:A,
Groups!L:L
)=1,
MIN(
MROUND(
IF(
_xlfn.XLOOKUP(B107,'Animals CE'!B:B,'Animals CE'!Z:Z)&lt;=1.5,
_xlfn.XLOOKUP(B107,'Animals CE'!B:B,'Animals CE'!Z:Z)/2+0.05,
0.8+
(_xlfn.XLOOKUP(B107,'Animals CE'!B:B,'Animals CE'!Z:Z)-1.5)
*0.02
),
0.05
),
200%
),
"No"
)</f>
        <v>0.30000000000000004</v>
      </c>
      <c r="O107" s="8">
        <f>IF(
_xlfn.XLOOKUP(
_xlfn.XLOOKUP(B107,'Base stats'!B:B,'Base stats'!E:E),
Groups!A:A,
Groups!L:L
)=1,
MIN(
MROUND(
IF(
_xlfn.XLOOKUP(B107,'Animals CE'!B:B,'Animals CE'!AA:AA)&lt;=1.5,
_xlfn.XLOOKUP(B107,'Animals CE'!B:B,'Animals CE'!AA:AA)/2+0.05,
0.8+
(_xlfn.XLOOKUP(B107,'Animals CE'!B:B,'Animals CE'!AA:AA)-1.5)
*0.02
),
0.05
),
200%
),
"No"
)</f>
        <v>0.1</v>
      </c>
      <c r="P107" s="2">
        <f>_xlfn.XLOOKUP(B107,'Base stats'!B:B,'Base stats'!R:R)</f>
        <v>1</v>
      </c>
      <c r="Q107" s="13">
        <f>MROUND((LOG10(_xlfn.XLOOKUP(B107,'Base stats'!B:B,'Base stats'!AR:AR))*(AO107^0.5)+(_xlfn.XLOOKUP(B107,'Base stats'!B:B,'Base stats'!AR:AR)/1000)^(2/3)+_xlfn.XLOOKUP(B107,'Base stats'!B:B,'Base stats'!BA:BA)/2)+0.5,0.5)</f>
        <v>3.5</v>
      </c>
      <c r="R107" s="7">
        <f>IF(Q107="No","No",MAX(1,MROUND(_xlfn.XLOOKUP(B107,'Base stats'!B:B,'Base stats'!C:C)^0.165,0.05)))</f>
        <v>1.4500000000000002</v>
      </c>
      <c r="S107" s="13" t="str">
        <f>IF(_xlfn.XLOOKUP(_xlfn.XLOOKUP(B107,'Base stats'!B:B,'Base stats'!E:E),Groups!A:A,Groups!P:P)=0,"No",MROUND((LOG10(_xlfn.XLOOKUP(B107,'Base stats'!B:B,'Base stats'!AS:AS))*(AO107^0.5)+(_xlfn.XLOOKUP(B107,'Base stats'!B:B,'Base stats'!AS:AS)/1000)^(2/3)+_xlfn.XLOOKUP(B107,'Base stats'!B:B,'Base stats'!BA:BA))+_xlfn.XLOOKUP(B107,'Base stats'!B:B,'Base stats'!AY:AY)+0.5,0.5))</f>
        <v>No</v>
      </c>
      <c r="T107" s="7" t="str">
        <f>IF(S107="No","No",MAX(_xlfn.XLOOKUP(_xlfn.XLOOKUP(B107,'Base stats'!B:B,'Base stats'!E:E),Groups!A:A,Groups!Q:Q),MROUND(_xlfn.XLOOKUP(_xlfn.XLOOKUP(B107,'Base stats'!B:B,'Base stats'!E:E),Groups!A:A,Groups!Q:Q)*_xlfn.XLOOKUP(B107,'Base stats'!B:B,'Base stats'!C:C)^0.165,0.05)))</f>
        <v>No</v>
      </c>
      <c r="U107" s="7" t="str">
        <f>IF(S107="No","No",_xlfn.XLOOKUP(_xlfn.XLOOKUP(B107,'Base stats'!B:B,'Base stats'!E:E),Groups!A:A,Groups!R:R))</f>
        <v>No</v>
      </c>
      <c r="V107" s="7" t="str">
        <f>IF(S107="No","No",_xlfn.XLOOKUP(_xlfn.XLOOKUP(B107,'Base stats'!B:B,'Base stats'!E:E),Groups!A:A,Groups!S:S))</f>
        <v>No</v>
      </c>
      <c r="W107" s="7" t="str">
        <f>IF(S107="No","No",_xlfn.XLOOKUP(_xlfn.XLOOKUP(B107,'Base stats'!B:B,'Base stats'!E:E),Groups!A:A,Groups!T:T))</f>
        <v>No</v>
      </c>
      <c r="X107" s="13" t="str">
        <f>IF(_xlfn.XLOOKUP(B107,'Base stats'!B:B,'Base stats'!W:W)="No","No",MROUND((LOG10(_xlfn.XLOOKUP(B107,'Base stats'!B:B,'Base stats'!AU:AU))*(AO107^0.5)+(_xlfn.XLOOKUP(B107,'Base stats'!B:B,'Base stats'!AU:AU)/1000)^(2/3)+_xlfn.XLOOKUP(B107,'Base stats'!B:B,'Base stats'!AZ:AZ))+0.5+IF(_xlfn.XLOOKUP(_xlfn.XLOOKUP(B107,'Base stats'!B:B,'Base stats'!E:E),Groups!A:A,Groups!U:U)&lt;&gt;3,_xlfn.XLOOKUP(B107,'Base stats'!B:B,'Base stats'!BA:BA),0),0.5))</f>
        <v>No</v>
      </c>
      <c r="Y107" s="7" t="str">
        <f>IF(X107="No","No",MAX(_xlfn.XLOOKUP(_xlfn.XLOOKUP(B107,'Base stats'!B:B,'Base stats'!E:E),Groups!A:A,Groups!V:V),MROUND(_xlfn.XLOOKUP(_xlfn.XLOOKUP(B107,'Base stats'!B:B,'Base stats'!E:E),Groups!A:A,Groups!V:V)*_xlfn.XLOOKUP(B107,'Base stats'!B:B,'Base stats'!C:C)^0.165,0.05)))</f>
        <v>No</v>
      </c>
      <c r="Z107" s="7" t="str">
        <f>IF(X107="No","No",_xlfn.XLOOKUP(_xlfn.XLOOKUP(B107,'Base stats'!B:B,'Base stats'!E:E),Groups!A:A,Groups!W:W))</f>
        <v>No</v>
      </c>
      <c r="AA107" s="7" t="str">
        <f>IF(X107="No","No",_xlfn.XLOOKUP(_xlfn.XLOOKUP(B107,'Base stats'!B:B,'Base stats'!E:E),Groups!A:A,Groups!X:X))</f>
        <v>No</v>
      </c>
      <c r="AB107" s="7" t="str">
        <f>IF(X107="No","No",_xlfn.XLOOKUP(_xlfn.XLOOKUP(B107,'Base stats'!B:B,'Base stats'!E:E),Groups!A:A,Groups!Y:Y))</f>
        <v>No</v>
      </c>
      <c r="AC107" s="7" t="str">
        <f>_xlfn.XLOOKUP(Animals!B107,'Base stats'!B:B,'Base stats'!X:X)</f>
        <v>False</v>
      </c>
      <c r="AD107" s="13">
        <f>IF(_xlfn.XLOOKUP(B107,'Base stats'!B:B,'Base stats'!AT:AT)="No","No",MROUND((LOG10(_xlfn.XLOOKUP(B107,'Base stats'!B:B,'Base stats'!AT:AT))*(AO107^0.75)+(_xlfn.XLOOKUP(B107,'Base stats'!B:B,'Base stats'!AT:AT)/1000)^(2/3)+_xlfn.XLOOKUP(B107,'Base stats'!B:B,'Base stats'!AX:AX)+_xlfn.XLOOKUP(B107,'Base stats'!B:B,'Base stats'!BA:BA))+0.5,0.5))</f>
        <v>9</v>
      </c>
      <c r="AE107" s="7">
        <f>IF(AD107="No","No",MAX(_xlfn.XLOOKUP(_xlfn.XLOOKUP(B107,'Base stats'!B:B,'Base stats'!E:E),Groups!A:A,Groups!Z:Z),MROUND(_xlfn.XLOOKUP(_xlfn.XLOOKUP(B107,'Base stats'!B:B,'Base stats'!E:E),Groups!A:A,Groups!Z:Z)*_xlfn.XLOOKUP(B107,'Base stats'!B:B,'Base stats'!C:C)^0.165,0.05)))</f>
        <v>1.75</v>
      </c>
      <c r="AF107" s="7" t="str">
        <f>IF(AD107="No","No",_xlfn.XLOOKUP(_xlfn.XLOOKUP(B107,'Base stats'!B:B,'Base stats'!E:E),Groups!A:A,Groups!AA:AA))</f>
        <v>Mouth</v>
      </c>
      <c r="AG107" s="7" t="str">
        <f>IF(AD107="No","No",_xlfn.XLOOKUP(_xlfn.XLOOKUP(B107,'Base stats'!B:B,'Base stats'!E:E),Groups!A:A,Groups!AB:AB))</f>
        <v>mandibles</v>
      </c>
      <c r="AH107" s="7" t="str">
        <f>IF(AD107="No","No",_xlfn.XLOOKUP(_xlfn.XLOOKUP(B107,'Base stats'!B:B,'Base stats'!E:E),Groups!A:A,Groups!AC:AC))</f>
        <v>Bite</v>
      </c>
      <c r="AI107" s="13" t="str">
        <f>IF(_xlfn.XLOOKUP(_xlfn.XLOOKUP(B107,'Base stats'!B:B,'Base stats'!E:E),Groups!A:A,Groups!AD:AD)=0,"No",MROUND((LOG10(_xlfn.XLOOKUP(B107,'Base stats'!B:B,'Base stats'!AS:AS))*(AO107^0.75)+(_xlfn.XLOOKUP(B107,'Base stats'!B:B,'Base stats'!AS:AS)/1000)^(2/3)+_xlfn.XLOOKUP(B107,'Base stats'!B:B,'Base stats'!AY:AY)+_xlfn.XLOOKUP(B107,'Base stats'!B:B,'Base stats'!BA:BA))+0.5,0.5))</f>
        <v>No</v>
      </c>
      <c r="AJ107" s="7" t="str">
        <f>IF(AI107="No","No",MAX(_xlfn.XLOOKUP(_xlfn.XLOOKUP(B107,'Base stats'!B:B,'Base stats'!E:E),Groups!A:A,Groups!AE:AE),MROUND(_xlfn.XLOOKUP(_xlfn.XLOOKUP(B107,'Base stats'!B:B,'Base stats'!E:E),Groups!A:A,Groups!AE:AE)*IF(_xlfn.XLOOKUP(_xlfn.XLOOKUP(B107,'Base stats'!B:B,'Base stats'!E:E),Groups!A:A,Groups!AJ:AJ)="Photonozoa",0.6,1)*_xlfn.XLOOKUP(B107,'Base stats'!B:B,'Base stats'!C:C)^0.165,0.05)))</f>
        <v>No</v>
      </c>
      <c r="AK107" s="7" t="str">
        <f>IF(AI107="No","No",_xlfn.XLOOKUP(_xlfn.XLOOKUP(B107,'Base stats'!B:B,'Base stats'!E:E),Groups!A:A,Groups!AF:AF))</f>
        <v>No</v>
      </c>
      <c r="AL107" s="7" t="str">
        <f>IF(AI107="No","No",_xlfn.XLOOKUP(_xlfn.XLOOKUP(B107,'Base stats'!B:B,'Base stats'!E:E),Groups!A:A,Groups!AG:AG))</f>
        <v>No</v>
      </c>
      <c r="AM107" s="7" t="str">
        <f>IF(AI107="No","No",_xlfn.XLOOKUP(_xlfn.XLOOKUP(B107,'Base stats'!B:B,'Base stats'!E:E),Groups!A:A,Groups!AH:AH))</f>
        <v>No</v>
      </c>
      <c r="AN107" s="2">
        <f t="shared" si="7"/>
        <v>15</v>
      </c>
      <c r="AO107" s="2">
        <f>MROUND(IF(AND(_xlfn.XLOOKUP(B107,'Base stats'!B:B,'Base stats'!C:C)&gt;=0.5,_xlfn.XLOOKUP(B107,'Base stats'!B:B,'Base stats'!C:C)&lt;=0.8),
IF(_xlfn.XLOOKUP(B107,'Base stats'!B:B,'Base stats'!C:C)&lt;0.1,0.05,IF(_xlfn.XLOOKUP(B107,'Base stats'!B:B,'Base stats'!C:C)&lt;=70,(_xlfn.XLOOKUP(B107,'Base stats'!B:B,'Base stats'!C:C)/70)^0.426489913056526,IF(_xlfn.XLOOKUP(B107,'Base stats'!B:B,'Base stats'!C:C)&lt;=400,(_xlfn.XLOOKUP(B107,'Base stats'!B:B,'Base stats'!C:C)/70)^0.572811455315093,IF(_xlfn.XLOOKUP(B107,'Base stats'!B:B,'Base stats'!C:C)&lt;=2000,2.71391647193063*(_xlfn.XLOOKUP(B107,'Base stats'!B:B,'Base stats'!C:C)/400)^0.252459582904293,3.74314280240376*(_xlfn.XLOOKUP(B107,'Base stats'!B:B,'Base stats'!C:C)/2000)^0.357012633876913)))),
IF(_xlfn.XLOOKUP(B107,'Base stats'!B:B,'Base stats'!C:C)&lt;0.1,0.05,IF(_xlfn.XLOOKUP(B107,'Base stats'!B:B,'Base stats'!C:C)&lt;0.4,0.1,IF(_xlfn.XLOOKUP(B107,'Base stats'!B:B,'Base stats'!C:C)&lt;=70,(_xlfn.XLOOKUP(B107,'Base stats'!B:B,'Base stats'!C:C)/70)^0.445823913056526,IF(_xlfn.XLOOKUP(B107,'Base stats'!B:B,'Base stats'!C:C)&lt;=400,(_xlfn.XLOOKUP(B107,'Base stats'!B:B,'Base stats'!C:C)/70)^0.572811455315093,IF(_xlfn.XLOOKUP(B107,'Base stats'!B:B,'Base stats'!C:C)&lt;=2000,2.71391647193063*(_xlfn.XLOOKUP(B107,'Base stats'!B:B,'Base stats'!C:C)/400)^0.252459582904293,3.74314280240376*(_xlfn.XLOOKUP(B107,'Base stats'!B:B,'Base stats'!C:C)/2000)^0.357012633876913)))))),
IF(_xlfn.XLOOKUP(B107,'Base stats'!B:B,'Base stats'!C:C)&lt;0.1,0.05,IF(_xlfn.XLOOKUP(B107,'Base stats'!B:B,'Base stats'!C:C)&lt;=100,0.05,IF(_xlfn.XLOOKUP(B107,'Base stats'!B:B,'Base stats'!C:C)&lt;=250,0.1,IF(_xlfn.XLOOKUP(B107,'Base stats'!B:B,'Base stats'!C:C)&lt;=4000,0.25,0.5)))))</f>
        <v>0.4</v>
      </c>
      <c r="AP107" s="8">
        <f>MROUND(AO107*_xlfn.XLOOKUP(_xlfn.XLOOKUP(B107,'Base stats'!B:B,'Base stats'!E:E),Groups!A:A,Groups!AI:AI)*_xlfn.XLOOKUP(B107,'Base stats'!B:B,'Base stats'!Z:Z),0.05)</f>
        <v>0.4</v>
      </c>
      <c r="AQ107" s="8">
        <f>MAX(0.01,MROUND(IF(CC107="True",0.196*(AO107*100*1000)^0.889,IF(_xlfn.XLOOKUP(_xlfn.XLOOKUP(B107,'Base stats'!B:B,'Base stats'!E:E),Groups!A:A,Groups!AJ:AJ)="Bird",10.5*(AO107*100*1000)^0.681,4.82*(AO107*100*1000)^0.734))/(4.82*(1*100*1000)^0.734)/IF(AO107&lt;3.5,2,IF(AO107=3.5,1.5,1.25))*(1+0.132282374779864/(AO107^0.994035016789033+0.00905238001496948)),0.05))</f>
        <v>0.05</v>
      </c>
      <c r="AR107" s="9">
        <f>IFERROR(MROUND(_xlfn.XLOOKUP(B107,'Base stats'!B:B,'Base stats'!H:H)/IF(_xlfn.XLOOKUP(B107,'Base stats'!B:B,'Base stats'!I:I)&lt;&gt;1,(122.5/70),1.2),IF(_xlfn.XLOOKUP(B107,'Base stats'!B:B,'Base stats'!H:H)&gt;=30,5,IF(_xlfn.XLOOKUP(B107,'Base stats'!B:B,'Base stats'!H:H)&gt;=15,3,IF(_xlfn.XLOOKUP(B107,'Base stats'!B:B,'Base stats'!H:H)&gt;=10,2,1)))),"Immortal")</f>
        <v>1</v>
      </c>
      <c r="AS107" s="35" t="str">
        <f>IFERROR(IF(OR(_xlfn.XLOOKUP(B107,'Base stats'!B:B,'Base stats'!F:F)="Atypical reproduction",_xlfn.XLOOKUP(B107,'Base stats'!B:B,'Base stats'!F:F)="Lay eggs"),"Lay eggs",MIN(20,MAX(5.5,ROUND(((_xlfn.XLOOKUP(B107,'Base stats'!B:B,'Base stats'!F:F)-25)*(14.5/615) + 5.5)*2,0)/2))),"Unknown")</f>
        <v>Lay eggs</v>
      </c>
      <c r="AT107" s="8" t="str">
        <f>IF(_xlfn.XLOOKUP(B107,'Base stats'!B:B,'Base stats'!G:G)="Atypical reproduction","No",IFERROR(MAX(IF(_xlfn.XLOOKUP(B107,'Base stats'!B:B,'Base stats'!G:G)&lt;0.5,0.2,0.3),MROUND(_xlfn.XLOOKUP(B107,'Base stats'!B:B,'Base stats'!G:G)/(365/60),0.2)),"Unknown"))</f>
        <v>No</v>
      </c>
      <c r="AU107" s="8" t="str">
        <f t="shared" si="8"/>
        <v>No</v>
      </c>
      <c r="AV107" s="8" t="str">
        <f>IFERROR(IFERROR(MROUND(_xlfn.XLOOKUP(B107,'Base stats'!B:B,'Base stats'!J:J),0.1),"Lay eggs"),"Cannot breed")</f>
        <v>Lay eggs</v>
      </c>
      <c r="AW107" s="2" t="str">
        <f t="shared" si="9"/>
        <v>false</v>
      </c>
      <c r="AX107" s="2" t="str">
        <f>IF(_xlfn.XLOOKUP(_xlfn.XLOOKUP(Animals!B107,'Base stats'!B:B,'Base stats'!E:E),Groups!A:A,Groups!AK:AK)=1,"true","false")</f>
        <v>false</v>
      </c>
      <c r="AY107" s="25" t="str">
        <f>IF(_xlfn.XLOOKUP(B107,'Base stats'!B:B,'Base stats'!Y:Y)="Liquor","Liquor, CarnivoreAnimalStrict",IF(AND(_xlfn.XLOOKUP(B107,'Base stats'!B:B,'Base stats'!Y:Y)="Carnivore",_xlfn.XLOOKUP(_xlfn.XLOOKUP(B107,'Base stats'!B:B,'Base stats'!E:E),Groups!A:A,Groups!AJ:AJ)="Photonozoa"),"CarnivoreAnimalStrict, OvivoreAnimal",IF(_xlfn.XLOOKUP(B107,'Base stats'!B:B,'Base stats'!Y:Y)="Carnivore","CarnivoreAnimal, OvivoreAnimal",IF(_xlfn.XLOOKUP(B107,'Base stats'!B:B,'Base stats'!Y:Y)="Dendrovore","VegetarianRoughAnimal, DendrovoreAnimal",IF(_xlfn.XLOOKUP(B107,'Base stats'!B:B,'Base stats'!Y:Y)="Herbivore","VegetarianRoughAnimal",IF(_xlfn.XLOOKUP(B107,'Base stats'!B:B,'Base stats'!Y:Y)="OmnivoreRough","OmnivoreRoughAnimal, OvivoreAnimal","OmnivoreAnimal, OvivoreAnimal"))))))</f>
        <v>OmnivoreAnimal, OvivoreAnimal</v>
      </c>
      <c r="AZ107" s="2" t="str">
        <f>IF(_xlfn.XLOOKUP(_xlfn.XLOOKUP(B107,'Base stats'!B:B,'Base stats'!E:E),Groups!A:A,Groups!D:D)=1,MROUND((1-J107)*5+1,2)*IF(J107&lt;=0.4,2,1),"No")</f>
        <v>No</v>
      </c>
      <c r="BA107" s="2" t="str">
        <f>IF(AND(_xlfn.XLOOKUP(B107,'Base stats'!B:B,'Base stats'!AH:AH)="&lt;li&gt;Seal&lt;/li&gt;",G107="Odyssey"),"&lt;li&gt;AEXP_Seal&lt;/li&gt;",_xlfn.XLOOKUP(B107,'Base stats'!B:B,'Base stats'!AH:AH))</f>
        <v>&lt;li&gt;Megaspider&lt;/li&gt;</v>
      </c>
      <c r="BB107" s="2" t="str">
        <f>_xlfn.XLOOKUP(B107,'Base stats'!B:B,'Base stats'!AG:AG)</f>
        <v>Leather_Chitin</v>
      </c>
      <c r="BC107" s="23" t="str">
        <f>_xlfn.XLOOKUP(_xlfn.XLOOKUP(B107,'Base stats'!B:B,'Base stats'!E:E),Groups!A:A,Groups!AL:AL)</f>
        <v>Larva</v>
      </c>
      <c r="BD107" s="23">
        <f>MIN(1,MROUND(IF(AND(AO107&lt;0.5,_xlfn.XLOOKUP(B107,'Base stats'!B:B,'Base stats'!AA:AA)=0),0,IF(OR(_xlfn.XLOOKUP(Animals!B107,'Base stats'!B:B,'Base stats'!O:O)=2,_xlfn.XLOOKUP(_xlfn.XLOOKUP(B107,'Base stats'!B:B,'Base stats'!E:E),Groups!A:A,Groups!AN:AN)=0),0,_xlfn.XLOOKUP(_xlfn.XLOOKUP(B107,'Base stats'!B:B,'Base stats'!E:E),Groups!A:A,Groups!AN:AN)/IF(_xlfn.XLOOKUP(Animals!B107,'Base stats'!B:B,'Base stats'!O:O)=1,2,1)))+_xlfn.XLOOKUP(B107,'Base stats'!B:B,'Base stats'!AC:AC),0.005))</f>
        <v>0</v>
      </c>
      <c r="BE107" s="23">
        <f>MIN(1,MROUND(IF(AND(AO107&lt;0.5,_xlfn.XLOOKUP(B107,'Base stats'!B:B,'Base stats'!AA:AA)=0),0,IF(_xlfn.XLOOKUP(_xlfn.XLOOKUP(B107,'Base stats'!B:B,'Base stats'!E:E),Groups!A:A,Groups!AO:AO)=0,0,_xlfn.XLOOKUP(_xlfn.XLOOKUP(B107,'Base stats'!B:B,'Base stats'!E:E),Groups!A:A,Groups!AO:AO)/IF(_xlfn.XLOOKUP(Animals!B107,'Base stats'!B:B,'Base stats'!O:O)=2,3,1)))+_xlfn.XLOOKUP(B107,'Base stats'!B:B,'Base stats'!AD:AD),0.005))</f>
        <v>0</v>
      </c>
      <c r="BF107" s="2" t="str">
        <f>IF(J107&gt;0.3,"No",_xlfn.XLOOKUP(_xlfn.XLOOKUP(Animals!B107,'Base stats'!B:B,'Base stats'!E:E),Groups!A:A,Groups!AP:AP))</f>
        <v>No</v>
      </c>
      <c r="BG107" s="2" t="str">
        <f>IF(AND(J107&lt;=0.65,_xlfn.XLOOKUP(_xlfn.XLOOKUP(Animals!B107,'Base stats'!B:B,'Base stats'!E:E),Groups!A:A,Groups!AP:AP)&lt;&gt;"No",_xlfn.XLOOKUP(_xlfn.XLOOKUP(B107,'Base stats'!B:B,'Base stats'!E:E),Groups!A:A,Groups!D:D)=0),MROUND((80/3)*IF(_xlfn.XLOOKUP(B107,'Base stats'!B:B,'Base stats'!O:O)=2,0.2,AO107) + 24*(1-IF(BF107="No",0,BF107)) + 16/3, 12),"No")</f>
        <v>No</v>
      </c>
      <c r="BH107" s="2">
        <f>IF(AND(_xlfn.XLOOKUP(_xlfn.XLOOKUP(B107,'Base stats'!B:B,'Base stats'!E:E),Groups!A:A,Groups!AQ:AQ)=1,AO107&lt;=0.35),8,12)</f>
        <v>12</v>
      </c>
      <c r="BI107" s="2" t="str">
        <f>IF(_xlfn.XLOOKUP(_xlfn.XLOOKUP(B107,'Base stats'!B:B,'Base stats'!E:E),Groups!A:A,Groups!D:D)=0,_xlfn.XLOOKUP(_xlfn.XLOOKUP(B107,'Base stats'!B:B,'Base stats'!E:E),Groups!A:A,Groups!AR:AR),"None")</f>
        <v>Intermediate</v>
      </c>
      <c r="BJ107" s="2" t="str">
        <f>IF(AND(_xlfn.XLOOKUP(_xlfn.XLOOKUP(B107,'Base stats'!B:B,'Base stats'!E:E),Groups!A:A,Groups!AS:AS)=1,OR(_xlfn.XLOOKUP(B107,'Base stats'!B:B,'Base stats'!Y:Y)="Carnivore",_xlfn.XLOOKUP(B107,'Base stats'!B:B,'Base stats'!Y:Y)="Omnivore")),"true","false")</f>
        <v>true</v>
      </c>
      <c r="BK107" s="2">
        <f>IF(BJ107="true",MROUND(IF(AND(AO107&gt;0.5,OR(_xlfn.XLOOKUP(_xlfn.XLOOKUP(B107,'Base stats'!B:B,'Base stats'!E:E),Groups!A:A,Groups!AJ:AJ)="Photonozoa",_xlfn.XLOOKUP(_xlfn.XLOOKUP(B107,'Base stats'!B:B,'Base stats'!E:E),Groups!A:A,Groups!AJ:AJ)="Mammal")),Animals!AO107*1.75*IF(AW107="true",1.5,1),IF(AO107&lt;0.5,Animals!AO107*0.5,Animals!AO107)),IF(AO107&gt;2,0.5,IF(AO107&gt;0.5,0.25,0.1))),"No")</f>
        <v>0.2</v>
      </c>
      <c r="BL107" s="2">
        <f t="shared" si="10"/>
        <v>1</v>
      </c>
      <c r="BM107" s="25" t="str">
        <f>IF(_xlfn.XLOOKUP(B107,'Base stats'!B:B,'Base stats'!AN:AN)="Standard","No",MROUND((_xlfn.XLOOKUP(B107,'Base stats'!B:B,'Base stats'!AN:AN)/3.6)/I107,0.1))</f>
        <v>No</v>
      </c>
      <c r="BN107" s="25" t="str">
        <f t="shared" si="11"/>
        <v>false</v>
      </c>
      <c r="BO107" s="25" t="str">
        <f>IF(AND(OR(_xlfn.XLOOKUP(B107,'Base stats'!B:B,'Base stats'!Y:Y)="Carnivore",_xlfn.XLOOKUP(B107,'Base stats'!B:B,'Base stats'!Y:Y)="Omnivore",_xlfn.XLOOKUP(B107,'Base stats'!B:B,'Base stats'!Y:Y)="OmnivoreRough"),_xlfn.XLOOKUP(_xlfn.XLOOKUP(B107,'Base stats'!B:B,'Base stats'!E:E),Groups!A:A,Groups!AT:AT)=1),"true","false")</f>
        <v>false</v>
      </c>
      <c r="BP107" s="25" t="str" cm="1">
        <f t="array" ref="BP107">IF(
  _xlfn.TEXTJOIN(", ",TRUE,
    IF(AND(BJ107="true",AO107&gt;0.5,BI107&lt;&gt;"None"),"AttackTarget",""),
    IF(AND(_xlfn.XLOOKUP(_xlfn.XLOOKUP(B107,'Base stats'!B:B,'Base stats'!E:E),Groups!A:A,Groups!AJ:AJ="Mammal"),OR(_xlfn.XLOOKUP(B107,'Base stats'!B:B,'Base stats'!Y:Y)="Omnivore",_xlfn.XLOOKUP(B107,'Base stats'!B:B,'Base stats'!Y:Y)="OmnivoreRough")),"Forage",""),
    IF(BG107&lt;=36,"Comfort",""),
    IF(_xlfn.XLOOKUP(B107,'Base stats'!B:B,'Base stats'!AE:AE)&lt;&gt;"No",_xlfn.XLOOKUP(B107,'Base stats'!B:B,'Base stats'!AE:AE),"")
  ) = "",
  "No",
  _xlfn.TEXTJOIN(", ",TRUE,
    IF(AND(BJ107="true",AO107&gt;0.5,BI107&lt;&gt;"None"),"AttackTarget",""),
    IF(AND(_xlfn.XLOOKUP(_xlfn.XLOOKUP(B107,'Base stats'!B:B,'Base stats'!E:E),Groups!A:A,Groups!AJ:AJ="Mammal"),OR(_xlfn.XLOOKUP(B107,'Base stats'!B:B,'Base stats'!Y:Y)="Omnivore",_xlfn.XLOOKUP(B107,'Base stats'!B:B,'Base stats'!Y:Y)="OmnivoreRough")),"Forage",""),
    IF(BG107&lt;=36,"Comfort",""),
    IF(_xlfn.XLOOKUP(B107,'Base stats'!B:B,'Base stats'!AE:AE)&lt;&gt;"No",_xlfn.XLOOKUP(B107,'Base stats'!B:B,'Base stats'!AE:AE),"")
  )
)</f>
        <v>SludgeSpew</v>
      </c>
      <c r="BQ107" s="25" t="str">
        <f>IF(
   AND(
      'Base stats'!AN107="Standard",_xlfn.XLOOKUP(_xlfn.XLOOKUP(B107,'Base stats'!B:B,'Base stats'!E:E),Groups!A:A,Groups!AU:AU)=0,
      OR(
      BO107="True"
      )
   ),
   10,
   IF(
       OR(BM107&lt;&gt;"No",_xlfn.XLOOKUP(_xlfn.XLOOKUP(B107,'Base stats'!B:B,'Base stats'!E:E),Groups!A:A,Groups!AU:AU)=1),
      1,
      "No"
   )
)</f>
        <v>No</v>
      </c>
      <c r="BR107" s="9">
        <f>MROUND((1 + ((0.2*IF(OR(Q107="No",R107="No",R107=0),0,Q107/R107)
+IF(OR(V107="No",S107="No",T107="No"),0,S107/T107*(LEN(V107)-LEN(SUBSTITUTE(V107,",",""))+1))
+IF(OR(X107="No",Y107="No"),0,X107/Y107)
+IF(OR(AD107="No",AE107="No"),0,AD107/AE107)
+IF(OR(AL107="No",AI107="No",AJ107="No"),0,AI107/AJ107*(LEN(AL107)-LEN(SUBSTITUTE(AL107,",",""))+1))
)/(0.2*IF(OR(Q107="No",R107="No",R107=0),0,1)
+IF(OR(V107="No",S107="No",T107="No"),0,LEN(V107)-LEN(SUBSTITUTE(V107,",",""))+1)
+IF(OR(X107="No",Y107="No"),0,1)
+IF(OR(AD107="No",AE107="No"),0,1)
+IF(OR(AL107="No",AI107="No",AJ107="No"),0,LEN(AL107)-LEN(SUBSTITUTE(AL107,",",""))+1))*62%)* 2)*(1 + (AP107 / (IF(_xlfn.XLOOKUP(_xlfn.XLOOKUP(B107,'Base stats'!B:B,'Base stats'!E:E),Groups!A:A,Groups!AJ:AJ)="Photonozoa",0.3,1)) + _xlfn.XLOOKUP(B107,'Base stats'!B:B,'Base stats'!AV:AV) * 1.8) * 2) * 2.5 + 10 + I107 * 2,5)+IF(_xlfn.XLOOKUP(B107,'Base stats'!B:B,'Base stats'!AK:AK)=1,50,0)</f>
        <v>55</v>
      </c>
      <c r="BS107" s="8">
        <f t="shared" si="12"/>
        <v>0.1</v>
      </c>
      <c r="BT107" s="8" t="str">
        <f>_xlfn.XLOOKUP(B107,'Base stats'!B:B,'Base stats'!AF:AF)</f>
        <v>No</v>
      </c>
      <c r="BU107" s="2" t="str">
        <f>IF(AND(J107&lt;=0.95,OR(_xlfn.XLOOKUP(B107,'Base stats'!B:B,'Base stats'!AK:AK)=1,_xlfn.XLOOKUP(B107,'Base stats'!B:B,'Base stats'!Y:Y)="Carnivore",_xlfn.XLOOKUP(B107,'Base stats'!B:B,'Base stats'!Y:Y)="Omnivore",BE107&gt;0.1)),"true","false")</f>
        <v>true</v>
      </c>
      <c r="BV107" s="2" t="str">
        <f>IF(_xlfn.XLOOKUP(B107,'Base stats'!B:B,'Base stats'!AI:AI)=1,"true","false")</f>
        <v>false</v>
      </c>
      <c r="BW107" s="25" t="str">
        <f>IF(E107="BaseInsect","AnimalInsect",
IF(J107&gt;0.95,"AnimalExotic",
_xlfn.TEXTJOIN(", ",TRUE,
IF(OR(_xlfn.XLOOKUP(B107,'Base stats'!B:B,'Base stats'!AM:AM)=1,AND(_xlfn.XLOOKUP(B107,'Base stats'!B:B,'Base stats'!O:O)=0,_xlfn.XLOOKUP(_xlfn.XLOOKUP(B107,'Base stats'!B:B,'Base stats'!E:E),Groups!A:A,Groups!B:B)&gt;0)),"AnimalUncommon","AnimalCommon"),
IF(AND(_xlfn.XLOOKUP(B107,'Base stats'!B:B,'Base stats'!O:O)=2,_xlfn.XLOOKUP(_xlfn.XLOOKUP(B107,'Base stats'!B:B,'Base stats'!E:E),Groups!A:A,Groups!D:D)=0),"AnimalPet",IF(AND(_xlfn.XLOOKUP(B107,'Base stats'!B:B,'Base stats'!O:O)&lt;&gt;0,_xlfn.XLOOKUP(_xlfn.XLOOKUP(B107,'Base stats'!B:B,'Base stats'!E:E),Groups!A:A,Groups!D:D)&lt;&gt;0),"AnimalFarm","")),
IF(OR(_xlfn.XLOOKUP(B107,'Base stats'!B:B,'Base stats'!AK:AK)=1,AND(BI107&lt;&gt;"None",BR107&gt;=60),ISNUMBER(SEARCH("Attack target",BP107))),"AnimalFighter","")
)))</f>
        <v>AnimalInsect</v>
      </c>
      <c r="BX107" s="25" t="str">
        <f>IF(G107="None",TRIM(
SUBSTITUTE(
IF(COUNTIF(Biomes!B$2:B$259,"="&amp;$C107)&gt;0,Biomes!B$1&amp;", ","")&amp;
IF(COUNTIF(Biomes!C$2:C$259,"="&amp;$C107)&gt;0,Biomes!C$1&amp;", ","")&amp;
IF(COUNTIF(Biomes!D$2:D$259,"="&amp;$C107)&gt;0,Biomes!D$1&amp;", ","")&amp;
IF(COUNTIF(Biomes!F$2:F$259,"="&amp;$C107)&gt;0,Biomes!F$1&amp;", ","")&amp;
IF(COUNTIF(Biomes!G$2:G$259,"="&amp;$C107)&gt;0,Biomes!G$1&amp;", ","")&amp;
IF(COUNTIF(Biomes!H$2:H$259,"="&amp;$C107)&gt;0,Biomes!H$1&amp;", ","")&amp;
IF(COUNTIF(Biomes!I$2:I$259,"="&amp;$C107)&gt;0,Biomes!I$1&amp;", ","")&amp;
IF(COUNTIF(Biomes!J$2:J$259,"="&amp;$C107)&gt;0,Biomes!J$1&amp;", ","")&amp;
IF(COUNTIF(Biomes!M$2:M$259,"="&amp;$C107)&gt;0,Biomes!M$1&amp;", ","")&amp;
IF(COUNTIF(Biomes!N$2:N$259,"="&amp;$C107)&gt;0,Biomes!N$1&amp;", ","")&amp;
IF(COUNTIF(Biomes!O$2:O$259,"="&amp;$C107)&gt;0,Biomes!O$1&amp;", ","")&amp;
IF(COUNTIF(Biomes!P$2:P$259,"="&amp;$C107)&gt;0,Biomes!P$1&amp;", ","")&amp;
IF(COUNTIF(Biomes!K$2:K$259,"="&amp;$C107)&gt;0,Biomes!K$1&amp;", ","")&amp;
IF(COUNTIF(Biomes!Q$3:Q$259,"="&amp;$C107)&gt;0,Biomes!Q$1&amp;", ","")&amp;
IF(COUNTIF(Biomes!L$2:L$259,"="&amp;$C107)&gt;0,Biomes!L$1&amp;", ","")&amp;
IF(COUNTIF(Biomes!E$2:E$259,"="&amp;$C107)&gt;0,Biomes!E$1&amp;", ","")&amp;IF(COUNTIF(Biomes!S$2:S$259,"="&amp;$C107)&gt;0,Biomes!S$1&amp;", ","")&amp;
IF(COUNTIF(Biomes!R$2:R$259,"="&amp;$C107)&gt;0,Biomes!R$1&amp;", ",""),", ","")
),_xlfn.XLOOKUP(B107,B:B,BX:BX))</f>
        <v/>
      </c>
      <c r="BY107" s="25" t="str">
        <f>IF(_xlfn.XLOOKUP(B107,'Base stats'!B:B,'Base stats'!AJ:AJ)=1,"true","false")</f>
        <v>false</v>
      </c>
      <c r="BZ107" s="25">
        <f>IF(_xlfn.XLOOKUP(B107,'Base stats'!B:B,'Base stats'!N:N)=1,"No",MAX(0.001,MIN(MROUND(IF(AND(BJ107="True",CC107="False"),POWER(10,3.47*LOG10(_xlfn.XLOOKUP(B107,'Base stats'!B:B,'Base stats'!C:C)*1000)^-0.96),POWER(10,4.15*LOG10(_xlfn.XLOOKUP(B107,'Base stats'!B:B,'Base stats'!C:C)*1000)^-0.73))*IF(_xlfn.XLOOKUP(B107,'Base stats'!B:B,'Base stats'!AK:AK)=1,0.5,1)*IF(_xlfn.XLOOKUP(B107,'Base stats'!B:B,'Base stats'!AM:AM)=1,0.1,1)/100,IF(_xlfn.XLOOKUP(B107,'Base stats'!B:B,'Base stats'!AM:AM)=1,0.001,0.025)),0.5)))</f>
        <v>0.32500000000000001</v>
      </c>
      <c r="CA107" s="25">
        <f>IF(P107="Standard","No",MAX(0.001,MIN(MROUND(IF(AND(BJ107="True",CC107="False"),POWER(10,3.47*LOG10(_xlfn.XLOOKUP(B107,'Base stats'!B:B,'Base stats'!C:C)*1000)^-0.96),POWER(10,4.15*LOG10(_xlfn.XLOOKUP(B107,'Base stats'!B:B,'Base stats'!C:C)*1000)^-0.73))*IF(_xlfn.XLOOKUP(B107,'Base stats'!B:B,'Base stats'!AM:AM)=1,0.1,1)*_xlfn.XLOOKUP(B107,'Base stats'!B:B,'Base stats'!R:R)/100,IF(_xlfn.XLOOKUP(B107,'Base stats'!B:B,'Base stats'!AM:AM)=1,0.001,0.025)),0.5)))</f>
        <v>0.32500000000000001</v>
      </c>
      <c r="CB107" s="25" t="str">
        <f>IF(_xlfn.XLOOKUP(_xlfn.XLOOKUP(B107,'Base stats'!B:B,'Base stats'!E:E),Groups!A:A,Groups!AJ:AJ)="Mammal","True","False")</f>
        <v>False</v>
      </c>
      <c r="CC107" s="25" t="str">
        <f>IF(OR(_xlfn.XLOOKUP(_xlfn.XLOOKUP(B107,'Base stats'!B:B,'Base stats'!E:E),Groups!A:A,Groups!AJ:AJ)="Reptile",_xlfn.XLOOKUP(_xlfn.XLOOKUP(B107,'Base stats'!B:B,'Base stats'!E:E),Groups!A:A,Groups!AJ:AJ)="Amphibian",_xlfn.XLOOKUP(_xlfn.XLOOKUP(B107,'Base stats'!B:B,'Base stats'!E:E),Groups!A:A,Groups!AJ:AJ)="Invertebrate"),"True","False")</f>
        <v>True</v>
      </c>
      <c r="CD107" s="25" t="str">
        <f t="shared" si="13"/>
        <v>False</v>
      </c>
      <c r="CE107" s="25" t="str">
        <f>IF(_xlfn.XLOOKUP(_xlfn.XLOOKUP(B107,'Base stats'!B:B,'Base stats'!E:E),Groups!A:A,Groups!AX:AX),"True","False")</f>
        <v>False</v>
      </c>
      <c r="CF107" s="25" t="str">
        <f>IF(_xlfn.XLOOKUP(_xlfn.XLOOKUP(B107,'Base stats'!B:B,'Base stats'!E:E),Groups!A:A,Groups!AY:AY),"True","False")</f>
        <v>False</v>
      </c>
      <c r="CG107" s="25" t="str">
        <f>IF(_xlfn.XLOOKUP(_xlfn.XLOOKUP(B107,'Base stats'!B:B,'Base stats'!E:E),Groups!A:A,Groups!AW:AW),"True","False")</f>
        <v>False</v>
      </c>
      <c r="CH107" s="25" t="str">
        <f>IF(
OR(
_xlfn.XLOOKUP(_xlfn.XLOOKUP(B107,'Base stats'!B:B,'Base stats'!E:E),Groups!A:A,Groups!AZ:AZ)=0,
AND(
_xlfn.XLOOKUP(B107,'Base stats'!B:B,'Base stats'!Y:Y)&lt;&gt;"Carnivore",
_xlfn.XLOOKUP(B107,'Base stats'!B:B,'Base stats'!Y:Y)&lt;&gt;"Omnivore",
_xlfn.XLOOKUP(B107,'Base stats'!B:B,'Base stats'!Y:Y)&lt;&gt;"OmnivoreRough"
)
),
"No",
IF(
_xlfn.XLOOKUP(_xlfn.XLOOKUP(B107,'Base stats'!B:B,'Base stats'!E:E),Groups!A:A,Groups!AZ:AZ)=1,
"Flesh",
IF(
_xlfn.XLOOKUP(_xlfn.XLOOKUP(B107,'Base stats'!B:B,'Base stats'!E:E),Groups!A:A,Groups!AZ:AZ)=2,
"Bone",
""
)
)
)</f>
        <v>Bone</v>
      </c>
      <c r="CI107" s="25" t="str">
        <f>IF(_xlfn.XLOOKUP(_xlfn.XLOOKUP(B107,'Base stats'!B:B,'Base stats'!E:E),Groups!A:A,Groups!BB:BB),"True","False")</f>
        <v>False</v>
      </c>
      <c r="CJ107" s="25" t="str">
        <f>IF(_xlfn.XLOOKUP(_xlfn.XLOOKUP(B107,'Base stats'!B:B,'Base stats'!E:E),Groups!A:A,Groups!BA:BA),"True","False")</f>
        <v>False</v>
      </c>
    </row>
    <row r="108" spans="1:88" ht="16.5" thickTop="1" thickBot="1" x14ac:dyDescent="0.3">
      <c r="A108" s="26" t="str">
        <f>_xlfn.XLOOKUP(B108,'Base stats'!B:B,'Base stats'!A:A)</f>
        <v>Locust</v>
      </c>
      <c r="B108" s="6" t="s">
        <v>427</v>
      </c>
      <c r="C108" s="28" t="s">
        <v>789</v>
      </c>
      <c r="D108" s="28" t="s">
        <v>870</v>
      </c>
      <c r="E108" s="28" t="s">
        <v>784</v>
      </c>
      <c r="F108" s="28" t="s">
        <v>785</v>
      </c>
      <c r="G108" s="28" t="s">
        <v>673</v>
      </c>
      <c r="H108" s="2">
        <f>MROUND((
  (IF(AND(_xlfn.XLOOKUP(B108,'Base stats'!B:B,'Base stats'!AL:AL)=0,BI108="None",_xlfn.XLOOKUP(_xlfn.XLOOKUP(B108,'Base stats'!B:B,'Base stats'!E:E),Groups!A:A,Groups!B:B)=0), (18 + BR108 * 2.7) * 0.5,
    IF(AND(_xlfn.XLOOKUP(B108,'Base stats'!B:B,'Base stats'!AL:AL)=0,OR(AO108&lt;0.55,AND(BI108="Intermediate",_xlfn.XLOOKUP(_xlfn.XLOOKUP(B108,'Base stats'!B:B,'Base stats'!E:E),Groups!A:A,Groups!B:B)&lt;2))), (18 + BR108 * 2.7),
      IF(OR(BI108="Advanced",_xlfn.XLOOKUP(B108,'Base stats'!B:B,'Base stats'!AL:AL)=1,_xlfn.XLOOKUP(_xlfn.XLOOKUP(B108,'Base stats'!B:B,'Base stats'!E:E),Groups!A:A,Groups!B:B)=2), (18 + BR108 * 2.7) + 250, (18 + BR108 * 2.7))
    )
  ))
  + AO108 * 80
  + IF(COUNTIF(EggMilk!K$2:K$998, A108) &gt; 0, 125, 0)
  + IF(COUNTIF(EggMilk!P$2:P$998, A108) &gt; 0, 90, 0)
  + IF(COUNTIF(EggMilk!A$2:A$998, A108) &gt; 0, 90, 0)
)
* (0.8 + 0.4 * J108)
* 0.75,25)</f>
        <v>425</v>
      </c>
      <c r="I108" s="2">
        <f>MROUND(ROUNDDOWN(_xlfn.XLOOKUP(B108,'Base stats'!B:B,'Base stats'!L:L)/3.6/(23.3/11),1),0.5)</f>
        <v>4</v>
      </c>
      <c r="J108" s="2">
        <f>IF(OR(_xlfn.XLOOKUP(B108,'Base stats'!B:B,'Base stats'!AB:AB)=1,_xlfn.XLOOKUP(_xlfn.XLOOKUP(B108,'Base stats'!B:B,'Base stats'!E:E),Groups!A:A,Groups!C:C)="Untamable"),1,IF(_xlfn.XLOOKUP(B108,'Base stats'!B:B,'Base stats'!AL:AL)=1,0.99,MIN(MROUND((1-0.6282*EXP(-0.459*AO108))*_xlfn.XLOOKUP(_xlfn.XLOOKUP(B108,'Base stats'!B:B,'Base stats'!E:E),Groups!A:A,Groups!C:C)*IF(_xlfn.XLOOKUP(B108,'Base stats'!B:B,'Base stats'!O:O)=1,0.5,IF(_xlfn.XLOOKUP(B108,'Base stats'!B:B,'Base stats'!O:O)=2,0,1)),0.05),IF(AO108&gt;3.5,0.985,0.95))))</f>
        <v>0.55000000000000004</v>
      </c>
      <c r="K108" s="2">
        <f>ROUNDUP(AO108*_xlfn.XLOOKUP(_xlfn.XLOOKUP(B108,'Base stats'!B:B,'Base stats'!E:E),Groups!A:A,Groups!E:E),0)</f>
        <v>1</v>
      </c>
      <c r="L108" s="2">
        <f>IF(OR(_xlfn.XLOOKUP(_xlfn.XLOOKUP(B108,'Base stats'!B:B,'Base stats'!E:E),Groups!A:A,Groups!F:F)=2,ISNUMBER(SEARCH("SeaIce",BX108)),ISNUMBER(SEARCH("IceSheet",BX108))),-50,IF(OR(ISNUMBER(SEARCH("GlacialPlain",BX108)),ISNUMBER(SEARCH("Tundra",BX108))),-40,IF(OR(ISNUMBER(SEARCH("Alpine",BX108)),ISNUMBER(SEARCH("BorealForest",BX108)),ISNUMBER(SEARCH("ColdBog",BX108))),-30,IF(OR(ISNUMBER(SEARCH("TemperateForest",BX108)),ISNUMBER(SEARCH("TemperateSwamp",BX108))),-20,IF(_xlfn.XLOOKUP(_xlfn.XLOOKUP(B108,'Base stats'!B:B,'Base stats'!E:E),Groups!A:A,Groups!F:F)=1,-15,IF(OR(ISNUMBER(SEARCH("Desert",BX108)),ISNUMBER(SEARCH("ExtremeDesert",BX108))),-10,IF(OR(ISNUMBER(SEARCH("Grasslands",BX108)),ISNUMBER(SEARCH("TropicalRainforest",BX108)),ISNUMBER(SEARCH("TropicalSwamp",BX108))),10,0)))))))-IF(CC108="False",MIN(IFERROR(MAX(MROUND(LOG10(_xlfn.XLOOKUP(B108,'Base stats'!B:B,'Base stats'!C:C)^(2/3))*10,5),5),5),30))-_xlfn.XLOOKUP(B108,'Base stats'!B:B,'Base stats'!P:P)+IF(CC108="True",5,0)</f>
        <v>5</v>
      </c>
      <c r="M108" s="2">
        <f>IF(OR(_xlfn.XLOOKUP(_xlfn.XLOOKUP(B108,'Base stats'!B:B,'Base stats'!E:E),Groups!A:A,Groups!G:G)=2,ISNUMBER(SEARCH("Desert",BX108)),ISNUMBER(SEARCH("ExtremeDesert",BX108)),ISNUMBER(SEARCH("LavaField",BX108))),50,IF(ISNUMBER(SEARCH("Grasslands",BX108)),45,IF(OR(_xlfn.XLOOKUP(_xlfn.XLOOKUP(B108,'Base stats'!B:B,'Base stats'!E:E),Groups!A:A,Groups!G:G)=1,ISNUMBER(SEARCH("TropicalRainforest",BX108)),ISNUMBER(SEARCH("TropicalSwamp",BX108))),40,IF(OR(ISNUMBER(SEARCH("TemperateForest",BX108)),ISNUMBER(SEARCH("TemperateSwamp",BX108))),35,IF(OR(ISNUMBER(SEARCH("Alpine",BX108)),ISNUMBER(SEARCH("BorealForest",BX108)),ISNUMBER(SEARCH("ColdBog",BX108))),30,IF(ISNUMBER(OR(ISNUMBER(SEARCH("GlacialPlain",BX108)),SEARCH("Tundra",BX108))),25,IF(OR(ISNUMBER(SEARCH("SeaIce",BX108)),ISNUMBER(SEARCH("IceSheet",BX108)),ISNUMBER(SEARCH("TropicalSwamp",BX108))),10,35)))))))+_xlfn.XLOOKUP(B108,'Base stats'!B:B,'Base stats'!Q:Q)</f>
        <v>50</v>
      </c>
      <c r="N108" s="8">
        <f>IF(
_xlfn.XLOOKUP(
_xlfn.XLOOKUP(B108,'Base stats'!B:B,'Base stats'!E:E),
Groups!A:A,
Groups!L:L
)=1,
MIN(
MROUND(
IF(
_xlfn.XLOOKUP(B108,'Animals CE'!B:B,'Animals CE'!Z:Z)&lt;=1.5,
_xlfn.XLOOKUP(B108,'Animals CE'!B:B,'Animals CE'!Z:Z)/2+0.05,
0.8+
(_xlfn.XLOOKUP(B108,'Animals CE'!B:B,'Animals CE'!Z:Z)-1.5)
*0.02
),
0.05
),
200%
),
"No"
)</f>
        <v>0.4</v>
      </c>
      <c r="O108" s="8">
        <f>IF(
_xlfn.XLOOKUP(
_xlfn.XLOOKUP(B108,'Base stats'!B:B,'Base stats'!E:E),
Groups!A:A,
Groups!L:L
)=1,
MIN(
MROUND(
IF(
_xlfn.XLOOKUP(B108,'Animals CE'!B:B,'Animals CE'!AA:AA)&lt;=1.5,
_xlfn.XLOOKUP(B108,'Animals CE'!B:B,'Animals CE'!AA:AA)/2+0.05,
0.8+
(_xlfn.XLOOKUP(B108,'Animals CE'!B:B,'Animals CE'!AA:AA)-1.5)
*0.02
),
0.05
),
200%
),
"No"
)</f>
        <v>0.1</v>
      </c>
      <c r="P108" s="2">
        <f>_xlfn.XLOOKUP(B108,'Base stats'!B:B,'Base stats'!R:R)</f>
        <v>1</v>
      </c>
      <c r="Q108" s="13">
        <f>MROUND((LOG10(_xlfn.XLOOKUP(B108,'Base stats'!B:B,'Base stats'!AR:AR))*(AO108^0.5)+(_xlfn.XLOOKUP(B108,'Base stats'!B:B,'Base stats'!AR:AR)/1000)^(2/3)+_xlfn.XLOOKUP(B108,'Base stats'!B:B,'Base stats'!BA:BA)/2)+0.5,0.5)</f>
        <v>4.5</v>
      </c>
      <c r="R108" s="7">
        <f>IF(Q108="No","No",MAX(1,MROUND(_xlfn.XLOOKUP(B108,'Base stats'!B:B,'Base stats'!C:C)^0.165,0.05)))</f>
        <v>1.6500000000000001</v>
      </c>
      <c r="S108" s="13" t="str">
        <f>IF(_xlfn.XLOOKUP(_xlfn.XLOOKUP(B108,'Base stats'!B:B,'Base stats'!E:E),Groups!A:A,Groups!P:P)=0,"No",MROUND((LOG10(_xlfn.XLOOKUP(B108,'Base stats'!B:B,'Base stats'!AS:AS))*(AO108^0.5)+(_xlfn.XLOOKUP(B108,'Base stats'!B:B,'Base stats'!AS:AS)/1000)^(2/3)+_xlfn.XLOOKUP(B108,'Base stats'!B:B,'Base stats'!BA:BA))+_xlfn.XLOOKUP(B108,'Base stats'!B:B,'Base stats'!AY:AY)+0.5,0.5))</f>
        <v>No</v>
      </c>
      <c r="T108" s="7" t="str">
        <f>IF(S108="No","No",MAX(_xlfn.XLOOKUP(_xlfn.XLOOKUP(B108,'Base stats'!B:B,'Base stats'!E:E),Groups!A:A,Groups!Q:Q),MROUND(_xlfn.XLOOKUP(_xlfn.XLOOKUP(B108,'Base stats'!B:B,'Base stats'!E:E),Groups!A:A,Groups!Q:Q)*_xlfn.XLOOKUP(B108,'Base stats'!B:B,'Base stats'!C:C)^0.165,0.05)))</f>
        <v>No</v>
      </c>
      <c r="U108" s="7" t="str">
        <f>IF(S108="No","No",_xlfn.XLOOKUP(_xlfn.XLOOKUP(B108,'Base stats'!B:B,'Base stats'!E:E),Groups!A:A,Groups!R:R))</f>
        <v>No</v>
      </c>
      <c r="V108" s="7" t="str">
        <f>IF(S108="No","No",_xlfn.XLOOKUP(_xlfn.XLOOKUP(B108,'Base stats'!B:B,'Base stats'!E:E),Groups!A:A,Groups!S:S))</f>
        <v>No</v>
      </c>
      <c r="W108" s="7" t="str">
        <f>IF(S108="No","No",_xlfn.XLOOKUP(_xlfn.XLOOKUP(B108,'Base stats'!B:B,'Base stats'!E:E),Groups!A:A,Groups!T:T))</f>
        <v>No</v>
      </c>
      <c r="X108" s="13" t="str">
        <f>IF(_xlfn.XLOOKUP(B108,'Base stats'!B:B,'Base stats'!W:W)="No","No",MROUND((LOG10(_xlfn.XLOOKUP(B108,'Base stats'!B:B,'Base stats'!AU:AU))*(AO108^0.5)+(_xlfn.XLOOKUP(B108,'Base stats'!B:B,'Base stats'!AU:AU)/1000)^(2/3)+_xlfn.XLOOKUP(B108,'Base stats'!B:B,'Base stats'!AZ:AZ))+0.5+IF(_xlfn.XLOOKUP(_xlfn.XLOOKUP(B108,'Base stats'!B:B,'Base stats'!E:E),Groups!A:A,Groups!U:U)&lt;&gt;3,_xlfn.XLOOKUP(B108,'Base stats'!B:B,'Base stats'!BA:BA),0),0.5))</f>
        <v>No</v>
      </c>
      <c r="Y108" s="7" t="str">
        <f>IF(X108="No","No",MAX(_xlfn.XLOOKUP(_xlfn.XLOOKUP(B108,'Base stats'!B:B,'Base stats'!E:E),Groups!A:A,Groups!V:V),MROUND(_xlfn.XLOOKUP(_xlfn.XLOOKUP(B108,'Base stats'!B:B,'Base stats'!E:E),Groups!A:A,Groups!V:V)*_xlfn.XLOOKUP(B108,'Base stats'!B:B,'Base stats'!C:C)^0.165,0.05)))</f>
        <v>No</v>
      </c>
      <c r="Z108" s="7" t="str">
        <f>IF(X108="No","No",_xlfn.XLOOKUP(_xlfn.XLOOKUP(B108,'Base stats'!B:B,'Base stats'!E:E),Groups!A:A,Groups!W:W))</f>
        <v>No</v>
      </c>
      <c r="AA108" s="7" t="str">
        <f>IF(X108="No","No",_xlfn.XLOOKUP(_xlfn.XLOOKUP(B108,'Base stats'!B:B,'Base stats'!E:E),Groups!A:A,Groups!X:X))</f>
        <v>No</v>
      </c>
      <c r="AB108" s="7" t="str">
        <f>IF(X108="No","No",_xlfn.XLOOKUP(_xlfn.XLOOKUP(B108,'Base stats'!B:B,'Base stats'!E:E),Groups!A:A,Groups!Y:Y))</f>
        <v>No</v>
      </c>
      <c r="AC108" s="7" t="str">
        <f>_xlfn.XLOOKUP(Animals!B108,'Base stats'!B:B,'Base stats'!X:X)</f>
        <v>False</v>
      </c>
      <c r="AD108" s="13">
        <f>IF(_xlfn.XLOOKUP(B108,'Base stats'!B:B,'Base stats'!AT:AT)="No","No",MROUND((LOG10(_xlfn.XLOOKUP(B108,'Base stats'!B:B,'Base stats'!AT:AT))*(AO108^0.75)+(_xlfn.XLOOKUP(B108,'Base stats'!B:B,'Base stats'!AT:AT)/1000)^(2/3)+_xlfn.XLOOKUP(B108,'Base stats'!B:B,'Base stats'!AX:AX)+_xlfn.XLOOKUP(B108,'Base stats'!B:B,'Base stats'!BA:BA))+0.5,0.5))</f>
        <v>13.5</v>
      </c>
      <c r="AE108" s="7">
        <f>IF(AD108="No","No",MAX(_xlfn.XLOOKUP(_xlfn.XLOOKUP(B108,'Base stats'!B:B,'Base stats'!E:E),Groups!A:A,Groups!Z:Z),MROUND(_xlfn.XLOOKUP(_xlfn.XLOOKUP(B108,'Base stats'!B:B,'Base stats'!E:E),Groups!A:A,Groups!Z:Z)*_xlfn.XLOOKUP(B108,'Base stats'!B:B,'Base stats'!C:C)^0.165,0.05)))</f>
        <v>1.9500000000000002</v>
      </c>
      <c r="AF108" s="7" t="str">
        <f>IF(AD108="No","No",_xlfn.XLOOKUP(_xlfn.XLOOKUP(B108,'Base stats'!B:B,'Base stats'!E:E),Groups!A:A,Groups!AA:AA))</f>
        <v>Mouth</v>
      </c>
      <c r="AG108" s="7" t="str">
        <f>IF(AD108="No","No",_xlfn.XLOOKUP(_xlfn.XLOOKUP(B108,'Base stats'!B:B,'Base stats'!E:E),Groups!A:A,Groups!AB:AB))</f>
        <v>mandibles</v>
      </c>
      <c r="AH108" s="7" t="str">
        <f>IF(AD108="No","No",_xlfn.XLOOKUP(_xlfn.XLOOKUP(B108,'Base stats'!B:B,'Base stats'!E:E),Groups!A:A,Groups!AC:AC))</f>
        <v>Bite</v>
      </c>
      <c r="AI108" s="13" t="str">
        <f>IF(_xlfn.XLOOKUP(_xlfn.XLOOKUP(B108,'Base stats'!B:B,'Base stats'!E:E),Groups!A:A,Groups!AD:AD)=0,"No",MROUND((LOG10(_xlfn.XLOOKUP(B108,'Base stats'!B:B,'Base stats'!AS:AS))*(AO108^0.75)+(_xlfn.XLOOKUP(B108,'Base stats'!B:B,'Base stats'!AS:AS)/1000)^(2/3)+_xlfn.XLOOKUP(B108,'Base stats'!B:B,'Base stats'!AY:AY)+_xlfn.XLOOKUP(B108,'Base stats'!B:B,'Base stats'!BA:BA))+0.5,0.5))</f>
        <v>No</v>
      </c>
      <c r="AJ108" s="7" t="str">
        <f>IF(AI108="No","No",MAX(_xlfn.XLOOKUP(_xlfn.XLOOKUP(B108,'Base stats'!B:B,'Base stats'!E:E),Groups!A:A,Groups!AE:AE),MROUND(_xlfn.XLOOKUP(_xlfn.XLOOKUP(B108,'Base stats'!B:B,'Base stats'!E:E),Groups!A:A,Groups!AE:AE)*IF(_xlfn.XLOOKUP(_xlfn.XLOOKUP(B108,'Base stats'!B:B,'Base stats'!E:E),Groups!A:A,Groups!AJ:AJ)="Photonozoa",0.6,1)*_xlfn.XLOOKUP(B108,'Base stats'!B:B,'Base stats'!C:C)^0.165,0.05)))</f>
        <v>No</v>
      </c>
      <c r="AK108" s="7" t="str">
        <f>IF(AI108="No","No",_xlfn.XLOOKUP(_xlfn.XLOOKUP(B108,'Base stats'!B:B,'Base stats'!E:E),Groups!A:A,Groups!AF:AF))</f>
        <v>No</v>
      </c>
      <c r="AL108" s="7" t="str">
        <f>IF(AI108="No","No",_xlfn.XLOOKUP(_xlfn.XLOOKUP(B108,'Base stats'!B:B,'Base stats'!E:E),Groups!A:A,Groups!AG:AG))</f>
        <v>No</v>
      </c>
      <c r="AM108" s="7" t="str">
        <f>IF(AI108="No","No",_xlfn.XLOOKUP(_xlfn.XLOOKUP(B108,'Base stats'!B:B,'Base stats'!E:E),Groups!A:A,Groups!AH:AH))</f>
        <v>No</v>
      </c>
      <c r="AN108" s="2">
        <f t="shared" si="7"/>
        <v>20</v>
      </c>
      <c r="AO108" s="2">
        <f>MROUND(IF(AND(_xlfn.XLOOKUP(B108,'Base stats'!B:B,'Base stats'!C:C)&gt;=0.5,_xlfn.XLOOKUP(B108,'Base stats'!B:B,'Base stats'!C:C)&lt;=0.8),
IF(_xlfn.XLOOKUP(B108,'Base stats'!B:B,'Base stats'!C:C)&lt;0.1,0.05,IF(_xlfn.XLOOKUP(B108,'Base stats'!B:B,'Base stats'!C:C)&lt;=70,(_xlfn.XLOOKUP(B108,'Base stats'!B:B,'Base stats'!C:C)/70)^0.426489913056526,IF(_xlfn.XLOOKUP(B108,'Base stats'!B:B,'Base stats'!C:C)&lt;=400,(_xlfn.XLOOKUP(B108,'Base stats'!B:B,'Base stats'!C:C)/70)^0.572811455315093,IF(_xlfn.XLOOKUP(B108,'Base stats'!B:B,'Base stats'!C:C)&lt;=2000,2.71391647193063*(_xlfn.XLOOKUP(B108,'Base stats'!B:B,'Base stats'!C:C)/400)^0.252459582904293,3.74314280240376*(_xlfn.XLOOKUP(B108,'Base stats'!B:B,'Base stats'!C:C)/2000)^0.357012633876913)))),
IF(_xlfn.XLOOKUP(B108,'Base stats'!B:B,'Base stats'!C:C)&lt;0.1,0.05,IF(_xlfn.XLOOKUP(B108,'Base stats'!B:B,'Base stats'!C:C)&lt;0.4,0.1,IF(_xlfn.XLOOKUP(B108,'Base stats'!B:B,'Base stats'!C:C)&lt;=70,(_xlfn.XLOOKUP(B108,'Base stats'!B:B,'Base stats'!C:C)/70)^0.445823913056526,IF(_xlfn.XLOOKUP(B108,'Base stats'!B:B,'Base stats'!C:C)&lt;=400,(_xlfn.XLOOKUP(B108,'Base stats'!B:B,'Base stats'!C:C)/70)^0.572811455315093,IF(_xlfn.XLOOKUP(B108,'Base stats'!B:B,'Base stats'!C:C)&lt;=2000,2.71391647193063*(_xlfn.XLOOKUP(B108,'Base stats'!B:B,'Base stats'!C:C)/400)^0.252459582904293,3.74314280240376*(_xlfn.XLOOKUP(B108,'Base stats'!B:B,'Base stats'!C:C)/2000)^0.357012633876913)))))),
IF(_xlfn.XLOOKUP(B108,'Base stats'!B:B,'Base stats'!C:C)&lt;0.1,0.05,IF(_xlfn.XLOOKUP(B108,'Base stats'!B:B,'Base stats'!C:C)&lt;=100,0.05,IF(_xlfn.XLOOKUP(B108,'Base stats'!B:B,'Base stats'!C:C)&lt;=250,0.1,IF(_xlfn.XLOOKUP(B108,'Base stats'!B:B,'Base stats'!C:C)&lt;=4000,0.25,0.5)))))</f>
        <v>0.55000000000000004</v>
      </c>
      <c r="AP108" s="8">
        <f>MROUND(AO108*_xlfn.XLOOKUP(_xlfn.XLOOKUP(B108,'Base stats'!B:B,'Base stats'!E:E),Groups!A:A,Groups!AI:AI)*_xlfn.XLOOKUP(B108,'Base stats'!B:B,'Base stats'!Z:Z),0.05)</f>
        <v>0.55000000000000004</v>
      </c>
      <c r="AQ108" s="8">
        <f>MAX(0.01,MROUND(IF(CC108="True",0.196*(AO108*100*1000)^0.889,IF(_xlfn.XLOOKUP(_xlfn.XLOOKUP(B108,'Base stats'!B:B,'Base stats'!E:E),Groups!A:A,Groups!AJ:AJ)="Bird",10.5*(AO108*100*1000)^0.681,4.82*(AO108*100*1000)^0.734))/(4.82*(1*100*1000)^0.734)/IF(AO108&lt;3.5,2,IF(AO108=3.5,1.5,1.25))*(1+0.132282374779864/(AO108^0.994035016789033+0.00905238001496948)),0.05))</f>
        <v>0.1</v>
      </c>
      <c r="AR108" s="9">
        <f>IFERROR(MROUND(_xlfn.XLOOKUP(B108,'Base stats'!B:B,'Base stats'!H:H)/IF(_xlfn.XLOOKUP(B108,'Base stats'!B:B,'Base stats'!I:I)&lt;&gt;1,(122.5/70),1.2),IF(_xlfn.XLOOKUP(B108,'Base stats'!B:B,'Base stats'!H:H)&gt;=30,5,IF(_xlfn.XLOOKUP(B108,'Base stats'!B:B,'Base stats'!H:H)&gt;=15,3,IF(_xlfn.XLOOKUP(B108,'Base stats'!B:B,'Base stats'!H:H)&gt;=10,2,1)))),"Immortal")</f>
        <v>8</v>
      </c>
      <c r="AS108" s="35" t="str">
        <f>IFERROR(IF(OR(_xlfn.XLOOKUP(B108,'Base stats'!B:B,'Base stats'!F:F)="Atypical reproduction",_xlfn.XLOOKUP(B108,'Base stats'!B:B,'Base stats'!F:F)="Lay eggs"),"Lay eggs",MIN(20,MAX(5.5,ROUND(((_xlfn.XLOOKUP(B108,'Base stats'!B:B,'Base stats'!F:F)-25)*(14.5/615) + 5.5)*2,0)/2))),"Unknown")</f>
        <v>Lay eggs</v>
      </c>
      <c r="AT108" s="8">
        <f>IF(_xlfn.XLOOKUP(B108,'Base stats'!B:B,'Base stats'!G:G)="Atypical reproduction","No",IFERROR(MAX(IF(_xlfn.XLOOKUP(B108,'Base stats'!B:B,'Base stats'!G:G)&lt;0.5,0.2,0.3),MROUND(_xlfn.XLOOKUP(B108,'Base stats'!B:B,'Base stats'!G:G)/(365/60),0.2)),"Unknown"))</f>
        <v>0.3</v>
      </c>
      <c r="AU108" s="8">
        <f t="shared" si="8"/>
        <v>0.15000000000000002</v>
      </c>
      <c r="AV108" s="8" t="str">
        <f>IFERROR(IFERROR(MROUND(_xlfn.XLOOKUP(B108,'Base stats'!B:B,'Base stats'!J:J),0.1),"Lay eggs"),"Cannot breed")</f>
        <v>Lay eggs</v>
      </c>
      <c r="AW108" s="2" t="str">
        <f t="shared" si="9"/>
        <v>false</v>
      </c>
      <c r="AX108" s="2" t="str">
        <f>IF(_xlfn.XLOOKUP(_xlfn.XLOOKUP(Animals!B108,'Base stats'!B:B,'Base stats'!E:E),Groups!A:A,Groups!AK:AK)=1,"true","false")</f>
        <v>false</v>
      </c>
      <c r="AY108" s="25" t="str">
        <f>IF(_xlfn.XLOOKUP(B108,'Base stats'!B:B,'Base stats'!Y:Y)="Liquor","Liquor, CarnivoreAnimalStrict",IF(AND(_xlfn.XLOOKUP(B108,'Base stats'!B:B,'Base stats'!Y:Y)="Carnivore",_xlfn.XLOOKUP(_xlfn.XLOOKUP(B108,'Base stats'!B:B,'Base stats'!E:E),Groups!A:A,Groups!AJ:AJ)="Photonozoa"),"CarnivoreAnimalStrict, OvivoreAnimal",IF(_xlfn.XLOOKUP(B108,'Base stats'!B:B,'Base stats'!Y:Y)="Carnivore","CarnivoreAnimal, OvivoreAnimal",IF(_xlfn.XLOOKUP(B108,'Base stats'!B:B,'Base stats'!Y:Y)="Dendrovore","VegetarianRoughAnimal, DendrovoreAnimal",IF(_xlfn.XLOOKUP(B108,'Base stats'!B:B,'Base stats'!Y:Y)="Herbivore","VegetarianRoughAnimal",IF(_xlfn.XLOOKUP(B108,'Base stats'!B:B,'Base stats'!Y:Y)="OmnivoreRough","OmnivoreRoughAnimal, OvivoreAnimal","OmnivoreAnimal, OvivoreAnimal"))))))</f>
        <v>OmnivoreAnimal, OvivoreAnimal</v>
      </c>
      <c r="AZ108" s="2" t="str">
        <f>IF(_xlfn.XLOOKUP(_xlfn.XLOOKUP(B108,'Base stats'!B:B,'Base stats'!E:E),Groups!A:A,Groups!D:D)=1,MROUND((1-J108)*5+1,2)*IF(J108&lt;=0.4,2,1),"No")</f>
        <v>No</v>
      </c>
      <c r="BA108" s="2" t="str">
        <f>IF(AND(_xlfn.XLOOKUP(B108,'Base stats'!B:B,'Base stats'!AH:AH)="&lt;li&gt;Seal&lt;/li&gt;",G108="Odyssey"),"&lt;li&gt;AEXP_Seal&lt;/li&gt;",_xlfn.XLOOKUP(B108,'Base stats'!B:B,'Base stats'!AH:AH))</f>
        <v>&lt;li&gt;Megaspider&lt;/li&gt;</v>
      </c>
      <c r="BB108" s="2" t="str">
        <f>_xlfn.XLOOKUP(B108,'Base stats'!B:B,'Base stats'!AG:AG)</f>
        <v>Leather_Chitin</v>
      </c>
      <c r="BC108" s="23" t="str">
        <f>_xlfn.XLOOKUP(_xlfn.XLOOKUP(B108,'Base stats'!B:B,'Base stats'!E:E),Groups!A:A,Groups!AL:AL)</f>
        <v>BeetleLike</v>
      </c>
      <c r="BD108" s="23">
        <f>MIN(1,MROUND(IF(AND(AO108&lt;0.5,_xlfn.XLOOKUP(B108,'Base stats'!B:B,'Base stats'!AA:AA)=0),0,IF(OR(_xlfn.XLOOKUP(Animals!B108,'Base stats'!B:B,'Base stats'!O:O)=2,_xlfn.XLOOKUP(_xlfn.XLOOKUP(B108,'Base stats'!B:B,'Base stats'!E:E),Groups!A:A,Groups!AN:AN)=0),0,_xlfn.XLOOKUP(_xlfn.XLOOKUP(B108,'Base stats'!B:B,'Base stats'!E:E),Groups!A:A,Groups!AN:AN)/IF(_xlfn.XLOOKUP(Animals!B108,'Base stats'!B:B,'Base stats'!O:O)=1,2,1)))+_xlfn.XLOOKUP(B108,'Base stats'!B:B,'Base stats'!AC:AC),0.005))</f>
        <v>1</v>
      </c>
      <c r="BE108" s="23">
        <f>MIN(1,MROUND(IF(AND(AO108&lt;0.5,_xlfn.XLOOKUP(B108,'Base stats'!B:B,'Base stats'!AA:AA)=0),0,IF(_xlfn.XLOOKUP(_xlfn.XLOOKUP(B108,'Base stats'!B:B,'Base stats'!E:E),Groups!A:A,Groups!AO:AO)=0,0,_xlfn.XLOOKUP(_xlfn.XLOOKUP(B108,'Base stats'!B:B,'Base stats'!E:E),Groups!A:A,Groups!AO:AO)/IF(_xlfn.XLOOKUP(Animals!B108,'Base stats'!B:B,'Base stats'!O:O)=2,3,1)))+_xlfn.XLOOKUP(B108,'Base stats'!B:B,'Base stats'!AD:AD),0.005))</f>
        <v>1</v>
      </c>
      <c r="BF108" s="2" t="str">
        <f>IF(J108&gt;0.3,"No",_xlfn.XLOOKUP(_xlfn.XLOOKUP(Animals!B108,'Base stats'!B:B,'Base stats'!E:E),Groups!A:A,Groups!AP:AP))</f>
        <v>No</v>
      </c>
      <c r="BG108" s="2" t="str">
        <f>IF(AND(J108&lt;=0.65,_xlfn.XLOOKUP(_xlfn.XLOOKUP(Animals!B108,'Base stats'!B:B,'Base stats'!E:E),Groups!A:A,Groups!AP:AP)&lt;&gt;"No",_xlfn.XLOOKUP(_xlfn.XLOOKUP(B108,'Base stats'!B:B,'Base stats'!E:E),Groups!A:A,Groups!D:D)=0),MROUND((80/3)*IF(_xlfn.XLOOKUP(B108,'Base stats'!B:B,'Base stats'!O:O)=2,0.2,AO108) + 24*(1-IF(BF108="No",0,BF108)) + 16/3, 12),"No")</f>
        <v>No</v>
      </c>
      <c r="BH108" s="2">
        <f>IF(AND(_xlfn.XLOOKUP(_xlfn.XLOOKUP(B108,'Base stats'!B:B,'Base stats'!E:E),Groups!A:A,Groups!AQ:AQ)=1,AO108&lt;=0.35),8,12)</f>
        <v>12</v>
      </c>
      <c r="BI108" s="2" t="str">
        <f>IF(_xlfn.XLOOKUP(_xlfn.XLOOKUP(B108,'Base stats'!B:B,'Base stats'!E:E),Groups!A:A,Groups!D:D)=0,_xlfn.XLOOKUP(_xlfn.XLOOKUP(B108,'Base stats'!B:B,'Base stats'!E:E),Groups!A:A,Groups!AR:AR),"None")</f>
        <v>Advanced</v>
      </c>
      <c r="BJ108" s="2" t="str">
        <f>IF(AND(_xlfn.XLOOKUP(_xlfn.XLOOKUP(B108,'Base stats'!B:B,'Base stats'!E:E),Groups!A:A,Groups!AS:AS)=1,OR(_xlfn.XLOOKUP(B108,'Base stats'!B:B,'Base stats'!Y:Y)="Carnivore",_xlfn.XLOOKUP(B108,'Base stats'!B:B,'Base stats'!Y:Y)="Omnivore")),"true","false")</f>
        <v>true</v>
      </c>
      <c r="BK108" s="2">
        <f>IF(BJ108="true",MROUND(IF(AND(AO108&gt;0.5,OR(_xlfn.XLOOKUP(_xlfn.XLOOKUP(B108,'Base stats'!B:B,'Base stats'!E:E),Groups!A:A,Groups!AJ:AJ)="Photonozoa",_xlfn.XLOOKUP(_xlfn.XLOOKUP(B108,'Base stats'!B:B,'Base stats'!E:E),Groups!A:A,Groups!AJ:AJ)="Mammal")),Animals!AO108*1.75*IF(AW108="true",1.5,1),IF(AO108&lt;0.5,Animals!AO108*0.5,Animals!AO108)),IF(AO108&gt;2,0.5,IF(AO108&gt;0.5,0.25,0.1))),"No")</f>
        <v>0.5</v>
      </c>
      <c r="BL108" s="2">
        <f t="shared" si="10"/>
        <v>1</v>
      </c>
      <c r="BM108" s="25" t="str">
        <f>IF(_xlfn.XLOOKUP(B108,'Base stats'!B:B,'Base stats'!AN:AN)="Standard","No",MROUND((_xlfn.XLOOKUP(B108,'Base stats'!B:B,'Base stats'!AN:AN)/3.6)/I108,0.1))</f>
        <v>No</v>
      </c>
      <c r="BN108" s="25" t="str">
        <f t="shared" si="11"/>
        <v>false</v>
      </c>
      <c r="BO108" s="25" t="str">
        <f>IF(AND(OR(_xlfn.XLOOKUP(B108,'Base stats'!B:B,'Base stats'!Y:Y)="Carnivore",_xlfn.XLOOKUP(B108,'Base stats'!B:B,'Base stats'!Y:Y)="Omnivore",_xlfn.XLOOKUP(B108,'Base stats'!B:B,'Base stats'!Y:Y)="OmnivoreRough"),_xlfn.XLOOKUP(_xlfn.XLOOKUP(B108,'Base stats'!B:B,'Base stats'!E:E),Groups!A:A,Groups!AT:AT)=1),"true","false")</f>
        <v>false</v>
      </c>
      <c r="BP108" s="25" t="str" cm="1">
        <f t="array" ref="BP108">IF(
  _xlfn.TEXTJOIN(", ",TRUE,
    IF(AND(BJ108="true",AO108&gt;0.5,BI108&lt;&gt;"None"),"AttackTarget",""),
    IF(AND(_xlfn.XLOOKUP(_xlfn.XLOOKUP(B108,'Base stats'!B:B,'Base stats'!E:E),Groups!A:A,Groups!AJ:AJ="Mammal"),OR(_xlfn.XLOOKUP(B108,'Base stats'!B:B,'Base stats'!Y:Y)="Omnivore",_xlfn.XLOOKUP(B108,'Base stats'!B:B,'Base stats'!Y:Y)="OmnivoreRough")),"Forage",""),
    IF(BG108&lt;=36,"Comfort",""),
    IF(_xlfn.XLOOKUP(B108,'Base stats'!B:B,'Base stats'!AE:AE)&lt;&gt;"No",_xlfn.XLOOKUP(B108,'Base stats'!B:B,'Base stats'!AE:AE),"")
  ) = "",
  "No",
  _xlfn.TEXTJOIN(", ",TRUE,
    IF(AND(BJ108="true",AO108&gt;0.5,BI108&lt;&gt;"None"),"AttackTarget",""),
    IF(AND(_xlfn.XLOOKUP(_xlfn.XLOOKUP(B108,'Base stats'!B:B,'Base stats'!E:E),Groups!A:A,Groups!AJ:AJ="Mammal"),OR(_xlfn.XLOOKUP(B108,'Base stats'!B:B,'Base stats'!Y:Y)="Omnivore",_xlfn.XLOOKUP(B108,'Base stats'!B:B,'Base stats'!Y:Y)="OmnivoreRough")),"Forage",""),
    IF(BG108&lt;=36,"Comfort",""),
    IF(_xlfn.XLOOKUP(B108,'Base stats'!B:B,'Base stats'!AE:AE)&lt;&gt;"No",_xlfn.XLOOKUP(B108,'Base stats'!B:B,'Base stats'!AE:AE),"")
  )
)</f>
        <v>AttackTarget, Forage</v>
      </c>
      <c r="BQ108" s="25" t="str">
        <f>IF(
   AND(
      'Base stats'!AN108="Standard",_xlfn.XLOOKUP(_xlfn.XLOOKUP(B108,'Base stats'!B:B,'Base stats'!E:E),Groups!A:A,Groups!AU:AU)=0,
      OR(
      BO108="True"
      )
   ),
   10,
   IF(
       OR(BM108&lt;&gt;"No",_xlfn.XLOOKUP(_xlfn.XLOOKUP(B108,'Base stats'!B:B,'Base stats'!E:E),Groups!A:A,Groups!AU:AU)=1),
      1,
      "No"
   )
)</f>
        <v>No</v>
      </c>
      <c r="BR108" s="9">
        <f>MROUND((1 + ((0.2*IF(OR(Q108="No",R108="No",R108=0),0,Q108/R108)
+IF(OR(V108="No",S108="No",T108="No"),0,S108/T108*(LEN(V108)-LEN(SUBSTITUTE(V108,",",""))+1))
+IF(OR(X108="No",Y108="No"),0,X108/Y108)
+IF(OR(AD108="No",AE108="No"),0,AD108/AE108)
+IF(OR(AL108="No",AI108="No",AJ108="No"),0,AI108/AJ108*(LEN(AL108)-LEN(SUBSTITUTE(AL108,",",""))+1))
)/(0.2*IF(OR(Q108="No",R108="No",R108=0),0,1)
+IF(OR(V108="No",S108="No",T108="No"),0,LEN(V108)-LEN(SUBSTITUTE(V108,",",""))+1)
+IF(OR(X108="No",Y108="No"),0,1)
+IF(OR(AD108="No",AE108="No"),0,1)
+IF(OR(AL108="No",AI108="No",AJ108="No"),0,LEN(AL108)-LEN(SUBSTITUTE(AL108,",",""))+1))*62%)* 2)*(1 + (AP108 / (IF(_xlfn.XLOOKUP(_xlfn.XLOOKUP(B108,'Base stats'!B:B,'Base stats'!E:E),Groups!A:A,Groups!AJ:AJ)="Photonozoa",0.3,1)) + _xlfn.XLOOKUP(B108,'Base stats'!B:B,'Base stats'!AV:AV) * 1.8) * 2) * 2.5 + 10 + I108 * 2,5)+IF(_xlfn.XLOOKUP(B108,'Base stats'!B:B,'Base stats'!AK:AK)=1,50,0)</f>
        <v>85</v>
      </c>
      <c r="BS108" s="8">
        <f t="shared" si="12"/>
        <v>0.2</v>
      </c>
      <c r="BT108" s="8" t="str">
        <f>_xlfn.XLOOKUP(B108,'Base stats'!B:B,'Base stats'!AF:AF)</f>
        <v>No</v>
      </c>
      <c r="BU108" s="2" t="str">
        <f>IF(AND(J108&lt;=0.95,OR(_xlfn.XLOOKUP(B108,'Base stats'!B:B,'Base stats'!AK:AK)=1,_xlfn.XLOOKUP(B108,'Base stats'!B:B,'Base stats'!Y:Y)="Carnivore",_xlfn.XLOOKUP(B108,'Base stats'!B:B,'Base stats'!Y:Y)="Omnivore",BE108&gt;0.1)),"true","false")</f>
        <v>true</v>
      </c>
      <c r="BV108" s="2" t="str">
        <f>IF(_xlfn.XLOOKUP(B108,'Base stats'!B:B,'Base stats'!AI:AI)=1,"true","false")</f>
        <v>false</v>
      </c>
      <c r="BW108" s="25" t="str">
        <f>IF(E108="BaseInsect","AnimalInsect",
IF(J108&gt;0.95,"AnimalExotic",
_xlfn.TEXTJOIN(", ",TRUE,
IF(OR(_xlfn.XLOOKUP(B108,'Base stats'!B:B,'Base stats'!AM:AM)=1,AND(_xlfn.XLOOKUP(B108,'Base stats'!B:B,'Base stats'!O:O)=0,_xlfn.XLOOKUP(_xlfn.XLOOKUP(B108,'Base stats'!B:B,'Base stats'!E:E),Groups!A:A,Groups!B:B)&gt;0)),"AnimalUncommon","AnimalCommon"),
IF(AND(_xlfn.XLOOKUP(B108,'Base stats'!B:B,'Base stats'!O:O)=2,_xlfn.XLOOKUP(_xlfn.XLOOKUP(B108,'Base stats'!B:B,'Base stats'!E:E),Groups!A:A,Groups!D:D)=0),"AnimalPet",IF(AND(_xlfn.XLOOKUP(B108,'Base stats'!B:B,'Base stats'!O:O)&lt;&gt;0,_xlfn.XLOOKUP(_xlfn.XLOOKUP(B108,'Base stats'!B:B,'Base stats'!E:E),Groups!A:A,Groups!D:D)&lt;&gt;0),"AnimalFarm","")),
IF(OR(_xlfn.XLOOKUP(B108,'Base stats'!B:B,'Base stats'!AK:AK)=1,AND(BI108&lt;&gt;"None",BR108&gt;=60),ISNUMBER(SEARCH("Attack target",BP108))),"AnimalFighter","")
)))</f>
        <v>AnimalInsect</v>
      </c>
      <c r="BX108" s="25" t="str">
        <f>IF(G108="None",TRIM(
SUBSTITUTE(
IF(COUNTIF(Biomes!B$2:B$259,"="&amp;$C108)&gt;0,Biomes!B$1&amp;", ","")&amp;
IF(COUNTIF(Biomes!C$2:C$259,"="&amp;$C108)&gt;0,Biomes!C$1&amp;", ","")&amp;
IF(COUNTIF(Biomes!D$2:D$259,"="&amp;$C108)&gt;0,Biomes!D$1&amp;", ","")&amp;
IF(COUNTIF(Biomes!F$2:F$259,"="&amp;$C108)&gt;0,Biomes!F$1&amp;", ","")&amp;
IF(COUNTIF(Biomes!G$2:G$259,"="&amp;$C108)&gt;0,Biomes!G$1&amp;", ","")&amp;
IF(COUNTIF(Biomes!H$2:H$259,"="&amp;$C108)&gt;0,Biomes!H$1&amp;", ","")&amp;
IF(COUNTIF(Biomes!I$2:I$259,"="&amp;$C108)&gt;0,Biomes!I$1&amp;", ","")&amp;
IF(COUNTIF(Biomes!J$2:J$259,"="&amp;$C108)&gt;0,Biomes!J$1&amp;", ","")&amp;
IF(COUNTIF(Biomes!M$2:M$259,"="&amp;$C108)&gt;0,Biomes!M$1&amp;", ","")&amp;
IF(COUNTIF(Biomes!N$2:N$259,"="&amp;$C108)&gt;0,Biomes!N$1&amp;", ","")&amp;
IF(COUNTIF(Biomes!O$2:O$259,"="&amp;$C108)&gt;0,Biomes!O$1&amp;", ","")&amp;
IF(COUNTIF(Biomes!P$2:P$259,"="&amp;$C108)&gt;0,Biomes!P$1&amp;", ","")&amp;
IF(COUNTIF(Biomes!K$2:K$259,"="&amp;$C108)&gt;0,Biomes!K$1&amp;", ","")&amp;
IF(COUNTIF(Biomes!Q$3:Q$259,"="&amp;$C108)&gt;0,Biomes!Q$1&amp;", ","")&amp;
IF(COUNTIF(Biomes!L$2:L$259,"="&amp;$C108)&gt;0,Biomes!L$1&amp;", ","")&amp;
IF(COUNTIF(Biomes!E$2:E$259,"="&amp;$C108)&gt;0,Biomes!E$1&amp;", ","")&amp;IF(COUNTIF(Biomes!S$2:S$259,"="&amp;$C108)&gt;0,Biomes!S$1&amp;", ","")&amp;
IF(COUNTIF(Biomes!R$2:R$259,"="&amp;$C108)&gt;0,Biomes!R$1&amp;", ",""),", ","")
),_xlfn.XLOOKUP(B108,B:B,BX:BX))</f>
        <v/>
      </c>
      <c r="BY108" s="25" t="str">
        <f>IF(_xlfn.XLOOKUP(B108,'Base stats'!B:B,'Base stats'!AJ:AJ)=1,"true","false")</f>
        <v>false</v>
      </c>
      <c r="BZ108" s="25">
        <f>IF(_xlfn.XLOOKUP(B108,'Base stats'!B:B,'Base stats'!N:N)=1,"No",MAX(0.001,MIN(MROUND(IF(AND(BJ108="True",CC108="False"),POWER(10,3.47*LOG10(_xlfn.XLOOKUP(B108,'Base stats'!B:B,'Base stats'!C:C)*1000)^-0.96),POWER(10,4.15*LOG10(_xlfn.XLOOKUP(B108,'Base stats'!B:B,'Base stats'!C:C)*1000)^-0.73))*IF(_xlfn.XLOOKUP(B108,'Base stats'!B:B,'Base stats'!AK:AK)=1,0.5,1)*IF(_xlfn.XLOOKUP(B108,'Base stats'!B:B,'Base stats'!AM:AM)=1,0.1,1)/100,IF(_xlfn.XLOOKUP(B108,'Base stats'!B:B,'Base stats'!AM:AM)=1,0.001,0.025)),0.5)))</f>
        <v>0.27500000000000002</v>
      </c>
      <c r="CA108" s="25">
        <f>IF(P108="Standard","No",MAX(0.001,MIN(MROUND(IF(AND(BJ108="True",CC108="False"),POWER(10,3.47*LOG10(_xlfn.XLOOKUP(B108,'Base stats'!B:B,'Base stats'!C:C)*1000)^-0.96),POWER(10,4.15*LOG10(_xlfn.XLOOKUP(B108,'Base stats'!B:B,'Base stats'!C:C)*1000)^-0.73))*IF(_xlfn.XLOOKUP(B108,'Base stats'!B:B,'Base stats'!AM:AM)=1,0.1,1)*_xlfn.XLOOKUP(B108,'Base stats'!B:B,'Base stats'!R:R)/100,IF(_xlfn.XLOOKUP(B108,'Base stats'!B:B,'Base stats'!AM:AM)=1,0.001,0.025)),0.5)))</f>
        <v>0.27500000000000002</v>
      </c>
      <c r="CB108" s="25" t="str">
        <f>IF(_xlfn.XLOOKUP(_xlfn.XLOOKUP(B108,'Base stats'!B:B,'Base stats'!E:E),Groups!A:A,Groups!AJ:AJ)="Mammal","True","False")</f>
        <v>False</v>
      </c>
      <c r="CC108" s="25" t="str">
        <f>IF(OR(_xlfn.XLOOKUP(_xlfn.XLOOKUP(B108,'Base stats'!B:B,'Base stats'!E:E),Groups!A:A,Groups!AJ:AJ)="Reptile",_xlfn.XLOOKUP(_xlfn.XLOOKUP(B108,'Base stats'!B:B,'Base stats'!E:E),Groups!A:A,Groups!AJ:AJ)="Amphibian",_xlfn.XLOOKUP(_xlfn.XLOOKUP(B108,'Base stats'!B:B,'Base stats'!E:E),Groups!A:A,Groups!AJ:AJ)="Invertebrate"),"True","False")</f>
        <v>True</v>
      </c>
      <c r="CD108" s="25" t="str">
        <f t="shared" si="13"/>
        <v>False</v>
      </c>
      <c r="CE108" s="25" t="str">
        <f>IF(_xlfn.XLOOKUP(_xlfn.XLOOKUP(B108,'Base stats'!B:B,'Base stats'!E:E),Groups!A:A,Groups!AX:AX),"True","False")</f>
        <v>False</v>
      </c>
      <c r="CF108" s="25" t="str">
        <f>IF(_xlfn.XLOOKUP(_xlfn.XLOOKUP(B108,'Base stats'!B:B,'Base stats'!E:E),Groups!A:A,Groups!AY:AY),"True","False")</f>
        <v>False</v>
      </c>
      <c r="CG108" s="25" t="str">
        <f>IF(_xlfn.XLOOKUP(_xlfn.XLOOKUP(B108,'Base stats'!B:B,'Base stats'!E:E),Groups!A:A,Groups!AW:AW),"True","False")</f>
        <v>False</v>
      </c>
      <c r="CH108" s="25" t="str">
        <f>IF(
OR(
_xlfn.XLOOKUP(_xlfn.XLOOKUP(B108,'Base stats'!B:B,'Base stats'!E:E),Groups!A:A,Groups!AZ:AZ)=0,
AND(
_xlfn.XLOOKUP(B108,'Base stats'!B:B,'Base stats'!Y:Y)&lt;&gt;"Carnivore",
_xlfn.XLOOKUP(B108,'Base stats'!B:B,'Base stats'!Y:Y)&lt;&gt;"Omnivore",
_xlfn.XLOOKUP(B108,'Base stats'!B:B,'Base stats'!Y:Y)&lt;&gt;"OmnivoreRough"
)
),
"No",
IF(
_xlfn.XLOOKUP(_xlfn.XLOOKUP(B108,'Base stats'!B:B,'Base stats'!E:E),Groups!A:A,Groups!AZ:AZ)=1,
"Flesh",
IF(
_xlfn.XLOOKUP(_xlfn.XLOOKUP(B108,'Base stats'!B:B,'Base stats'!E:E),Groups!A:A,Groups!AZ:AZ)=2,
"Bone",
""
)
)
)</f>
        <v>Bone</v>
      </c>
      <c r="CI108" s="25" t="str">
        <f>IF(_xlfn.XLOOKUP(_xlfn.XLOOKUP(B108,'Base stats'!B:B,'Base stats'!E:E),Groups!A:A,Groups!BB:BB),"True","False")</f>
        <v>False</v>
      </c>
      <c r="CJ108" s="25" t="str">
        <f>IF(_xlfn.XLOOKUP(_xlfn.XLOOKUP(B108,'Base stats'!B:B,'Base stats'!E:E),Groups!A:A,Groups!BA:BA),"True","False")</f>
        <v>False</v>
      </c>
    </row>
    <row r="109" spans="1:88" ht="16.5" thickTop="1" thickBot="1" x14ac:dyDescent="0.3">
      <c r="A109" s="26" t="str">
        <f>_xlfn.XLOOKUP(B109,'Base stats'!B:B,'Base stats'!A:A)</f>
        <v>Coyote</v>
      </c>
      <c r="B109" s="6" t="s">
        <v>914</v>
      </c>
      <c r="C109" s="28" t="s">
        <v>790</v>
      </c>
      <c r="D109" s="28" t="s">
        <v>872</v>
      </c>
      <c r="E109" s="28" t="s">
        <v>673</v>
      </c>
      <c r="F109" s="28" t="s">
        <v>673</v>
      </c>
      <c r="G109" s="28" t="s">
        <v>673</v>
      </c>
      <c r="H109" s="2">
        <f>MROUND((
  (IF(AND(_xlfn.XLOOKUP(B109,'Base stats'!B:B,'Base stats'!AL:AL)=0,BI109="None",_xlfn.XLOOKUP(_xlfn.XLOOKUP(B109,'Base stats'!B:B,'Base stats'!E:E),Groups!A:A,Groups!B:B)=0), (18 + BR109 * 2.7) * 0.5,
    IF(AND(_xlfn.XLOOKUP(B109,'Base stats'!B:B,'Base stats'!AL:AL)=0,OR(AO109&lt;0.55,AND(BI109="Intermediate",_xlfn.XLOOKUP(_xlfn.XLOOKUP(B109,'Base stats'!B:B,'Base stats'!E:E),Groups!A:A,Groups!B:B)&lt;2))), (18 + BR109 * 2.7),
      IF(OR(BI109="Advanced",_xlfn.XLOOKUP(B109,'Base stats'!B:B,'Base stats'!AL:AL)=1,_xlfn.XLOOKUP(_xlfn.XLOOKUP(B109,'Base stats'!B:B,'Base stats'!E:E),Groups!A:A,Groups!B:B)=2), (18 + BR109 * 2.7) + 250, (18 + BR109 * 2.7))
    )
  ))
  + AO109 * 80
  + IF(COUNTIF(EggMilk!K$2:K$998, A109) &gt; 0, 125, 0)
  + IF(COUNTIF(EggMilk!P$2:P$998, A109) &gt; 0, 90, 0)
  + IF(COUNTIF(EggMilk!A$2:A$998, A109) &gt; 0, 90, 0)
)
* (0.8 + 0.4 * J109)
* 0.75,25)</f>
        <v>200</v>
      </c>
      <c r="I109" s="2">
        <f>MROUND(ROUNDDOWN(_xlfn.XLOOKUP(B109,'Base stats'!B:B,'Base stats'!L:L)/3.6/(23.3/11),1),0.5)</f>
        <v>8.5</v>
      </c>
      <c r="J109" s="2">
        <f>IF(OR(_xlfn.XLOOKUP(B109,'Base stats'!B:B,'Base stats'!AB:AB)=1,_xlfn.XLOOKUP(_xlfn.XLOOKUP(B109,'Base stats'!B:B,'Base stats'!E:E),Groups!A:A,Groups!C:C)="Untamable"),1,IF(_xlfn.XLOOKUP(B109,'Base stats'!B:B,'Base stats'!AL:AL)=1,0.99,MIN(MROUND((1-0.6282*EXP(-0.459*AO109))*_xlfn.XLOOKUP(_xlfn.XLOOKUP(B109,'Base stats'!B:B,'Base stats'!E:E),Groups!A:A,Groups!C:C)*IF(_xlfn.XLOOKUP(B109,'Base stats'!B:B,'Base stats'!O:O)=1,0.5,IF(_xlfn.XLOOKUP(B109,'Base stats'!B:B,'Base stats'!O:O)=2,0,1)),0.05),IF(AO109&gt;3.5,0.985,0.95))))</f>
        <v>0.65</v>
      </c>
      <c r="K109" s="2">
        <f>ROUNDUP(AO109*_xlfn.XLOOKUP(_xlfn.XLOOKUP(B109,'Base stats'!B:B,'Base stats'!E:E),Groups!A:A,Groups!E:E),0)</f>
        <v>1</v>
      </c>
      <c r="L109" s="2">
        <f>IF(OR(_xlfn.XLOOKUP(_xlfn.XLOOKUP(B109,'Base stats'!B:B,'Base stats'!E:E),Groups!A:A,Groups!F:F)=2,ISNUMBER(SEARCH("SeaIce",BX109)),ISNUMBER(SEARCH("IceSheet",BX109))),-50,IF(OR(ISNUMBER(SEARCH("GlacialPlain",BX109)),ISNUMBER(SEARCH("Tundra",BX109))),-40,IF(OR(ISNUMBER(SEARCH("Alpine",BX109)),ISNUMBER(SEARCH("BorealForest",BX109)),ISNUMBER(SEARCH("ColdBog",BX109))),-30,IF(OR(ISNUMBER(SEARCH("TemperateForest",BX109)),ISNUMBER(SEARCH("TemperateSwamp",BX109))),-20,IF(_xlfn.XLOOKUP(_xlfn.XLOOKUP(B109,'Base stats'!B:B,'Base stats'!E:E),Groups!A:A,Groups!F:F)=1,-15,IF(OR(ISNUMBER(SEARCH("Desert",BX109)),ISNUMBER(SEARCH("ExtremeDesert",BX109))),-10,IF(OR(ISNUMBER(SEARCH("Grasslands",BX109)),ISNUMBER(SEARCH("TropicalRainforest",BX109)),ISNUMBER(SEARCH("TropicalSwamp",BX109))),10,0)))))))-IF(CC109="False",MIN(IFERROR(MAX(MROUND(LOG10(_xlfn.XLOOKUP(B109,'Base stats'!B:B,'Base stats'!C:C)^(2/3))*10,5),5),5),30))-_xlfn.XLOOKUP(B109,'Base stats'!B:B,'Base stats'!P:P)+IF(CC109="True",5,0)</f>
        <v>-45</v>
      </c>
      <c r="M109" s="2">
        <f>IF(OR(_xlfn.XLOOKUP(_xlfn.XLOOKUP(B109,'Base stats'!B:B,'Base stats'!E:E),Groups!A:A,Groups!G:G)=2,ISNUMBER(SEARCH("Desert",BX109)),ISNUMBER(SEARCH("ExtremeDesert",BX109)),ISNUMBER(SEARCH("LavaField",BX109))),50,IF(ISNUMBER(SEARCH("Grasslands",BX109)),45,IF(OR(_xlfn.XLOOKUP(_xlfn.XLOOKUP(B109,'Base stats'!B:B,'Base stats'!E:E),Groups!A:A,Groups!G:G)=1,ISNUMBER(SEARCH("TropicalRainforest",BX109)),ISNUMBER(SEARCH("TropicalSwamp",BX109))),40,IF(OR(ISNUMBER(SEARCH("TemperateForest",BX109)),ISNUMBER(SEARCH("TemperateSwamp",BX109))),35,IF(OR(ISNUMBER(SEARCH("Alpine",BX109)),ISNUMBER(SEARCH("BorealForest",BX109)),ISNUMBER(SEARCH("ColdBog",BX109))),30,IF(ISNUMBER(OR(ISNUMBER(SEARCH("GlacialPlain",BX109)),SEARCH("Tundra",BX109))),25,IF(OR(ISNUMBER(SEARCH("SeaIce",BX109)),ISNUMBER(SEARCH("IceSheet",BX109)),ISNUMBER(SEARCH("TropicalSwamp",BX109))),10,35)))))))+_xlfn.XLOOKUP(B109,'Base stats'!B:B,'Base stats'!Q:Q)</f>
        <v>50</v>
      </c>
      <c r="N109" s="8" t="str">
        <f>IF(
_xlfn.XLOOKUP(
_xlfn.XLOOKUP(B109,'Base stats'!B:B,'Base stats'!E:E),
Groups!A:A,
Groups!L:L
)=1,
MIN(
MROUND(
IF(
_xlfn.XLOOKUP(B109,'Animals CE'!B:B,'Animals CE'!Z:Z)&lt;=1.5,
_xlfn.XLOOKUP(B109,'Animals CE'!B:B,'Animals CE'!Z:Z)/2+0.05,
0.8+
(_xlfn.XLOOKUP(B109,'Animals CE'!B:B,'Animals CE'!Z:Z)-1.5)
*0.02
),
0.05
),
200%
),
"No"
)</f>
        <v>No</v>
      </c>
      <c r="O109" s="8" t="str">
        <f>IF(
_xlfn.XLOOKUP(
_xlfn.XLOOKUP(B109,'Base stats'!B:B,'Base stats'!E:E),
Groups!A:A,
Groups!L:L
)=1,
MIN(
MROUND(
IF(
_xlfn.XLOOKUP(B109,'Animals CE'!B:B,'Animals CE'!AA:AA)&lt;=1.5,
_xlfn.XLOOKUP(B109,'Animals CE'!B:B,'Animals CE'!AA:AA)/2+0.05,
0.8+
(_xlfn.XLOOKUP(B109,'Animals CE'!B:B,'Animals CE'!AA:AA)-1.5)
*0.02
),
0.05
),
200%
),
"No"
)</f>
        <v>No</v>
      </c>
      <c r="P109" s="2" t="str">
        <f>_xlfn.XLOOKUP(B109,'Base stats'!B:B,'Base stats'!R:R)</f>
        <v>Standard</v>
      </c>
      <c r="Q109" s="13">
        <f>MROUND((LOG10(_xlfn.XLOOKUP(B109,'Base stats'!B:B,'Base stats'!AR:AR))*(AO109^0.5)+(_xlfn.XLOOKUP(B109,'Base stats'!B:B,'Base stats'!AR:AR)/1000)^(2/3)+_xlfn.XLOOKUP(B109,'Base stats'!B:B,'Base stats'!BA:BA)/2)+0.5,0.5)</f>
        <v>4</v>
      </c>
      <c r="R109" s="7">
        <f>IF(Q109="No","No",MAX(1,MROUND(_xlfn.XLOOKUP(B109,'Base stats'!B:B,'Base stats'!C:C)^0.165,0.05)))</f>
        <v>1.55</v>
      </c>
      <c r="S109" s="13" t="str">
        <f>IF(_xlfn.XLOOKUP(_xlfn.XLOOKUP(B109,'Base stats'!B:B,'Base stats'!E:E),Groups!A:A,Groups!P:P)=0,"No",MROUND((LOG10(_xlfn.XLOOKUP(B109,'Base stats'!B:B,'Base stats'!AS:AS))*(AO109^0.5)+(_xlfn.XLOOKUP(B109,'Base stats'!B:B,'Base stats'!AS:AS)/1000)^(2/3)+_xlfn.XLOOKUP(B109,'Base stats'!B:B,'Base stats'!BA:BA))+_xlfn.XLOOKUP(B109,'Base stats'!B:B,'Base stats'!AY:AY)+0.5,0.5))</f>
        <v>No</v>
      </c>
      <c r="T109" s="7" t="str">
        <f>IF(S109="No","No",MAX(_xlfn.XLOOKUP(_xlfn.XLOOKUP(B109,'Base stats'!B:B,'Base stats'!E:E),Groups!A:A,Groups!Q:Q),MROUND(_xlfn.XLOOKUP(_xlfn.XLOOKUP(B109,'Base stats'!B:B,'Base stats'!E:E),Groups!A:A,Groups!Q:Q)*_xlfn.XLOOKUP(B109,'Base stats'!B:B,'Base stats'!C:C)^0.165,0.05)))</f>
        <v>No</v>
      </c>
      <c r="U109" s="7" t="str">
        <f>IF(S109="No","No",_xlfn.XLOOKUP(_xlfn.XLOOKUP(B109,'Base stats'!B:B,'Base stats'!E:E),Groups!A:A,Groups!R:R))</f>
        <v>No</v>
      </c>
      <c r="V109" s="7" t="str">
        <f>IF(S109="No","No",_xlfn.XLOOKUP(_xlfn.XLOOKUP(B109,'Base stats'!B:B,'Base stats'!E:E),Groups!A:A,Groups!S:S))</f>
        <v>No</v>
      </c>
      <c r="W109" s="7" t="str">
        <f>IF(S109="No","No",_xlfn.XLOOKUP(_xlfn.XLOOKUP(B109,'Base stats'!B:B,'Base stats'!E:E),Groups!A:A,Groups!T:T))</f>
        <v>No</v>
      </c>
      <c r="X109" s="13" t="str">
        <f>IF(_xlfn.XLOOKUP(B109,'Base stats'!B:B,'Base stats'!W:W)="No","No",MROUND((LOG10(_xlfn.XLOOKUP(B109,'Base stats'!B:B,'Base stats'!AU:AU))*(AO109^0.5)+(_xlfn.XLOOKUP(B109,'Base stats'!B:B,'Base stats'!AU:AU)/1000)^(2/3)+_xlfn.XLOOKUP(B109,'Base stats'!B:B,'Base stats'!AZ:AZ))+0.5+IF(_xlfn.XLOOKUP(_xlfn.XLOOKUP(B109,'Base stats'!B:B,'Base stats'!E:E),Groups!A:A,Groups!U:U)&lt;&gt;3,_xlfn.XLOOKUP(B109,'Base stats'!B:B,'Base stats'!BA:BA),0),0.5))</f>
        <v>No</v>
      </c>
      <c r="Y109" s="7" t="str">
        <f>IF(X109="No","No",MAX(_xlfn.XLOOKUP(_xlfn.XLOOKUP(B109,'Base stats'!B:B,'Base stats'!E:E),Groups!A:A,Groups!V:V),MROUND(_xlfn.XLOOKUP(_xlfn.XLOOKUP(B109,'Base stats'!B:B,'Base stats'!E:E),Groups!A:A,Groups!V:V)*_xlfn.XLOOKUP(B109,'Base stats'!B:B,'Base stats'!C:C)^0.165,0.05)))</f>
        <v>No</v>
      </c>
      <c r="Z109" s="7" t="str">
        <f>IF(X109="No","No",_xlfn.XLOOKUP(_xlfn.XLOOKUP(B109,'Base stats'!B:B,'Base stats'!E:E),Groups!A:A,Groups!W:W))</f>
        <v>No</v>
      </c>
      <c r="AA109" s="7" t="str">
        <f>IF(X109="No","No",_xlfn.XLOOKUP(_xlfn.XLOOKUP(B109,'Base stats'!B:B,'Base stats'!E:E),Groups!A:A,Groups!X:X))</f>
        <v>No</v>
      </c>
      <c r="AB109" s="7" t="str">
        <f>IF(X109="No","No",_xlfn.XLOOKUP(_xlfn.XLOOKUP(B109,'Base stats'!B:B,'Base stats'!E:E),Groups!A:A,Groups!Y:Y))</f>
        <v>No</v>
      </c>
      <c r="AC109" s="7" t="str">
        <f>_xlfn.XLOOKUP(Animals!B109,'Base stats'!B:B,'Base stats'!X:X)</f>
        <v>False</v>
      </c>
      <c r="AD109" s="13">
        <f>IF(_xlfn.XLOOKUP(B109,'Base stats'!B:B,'Base stats'!AT:AT)="No","No",MROUND((LOG10(_xlfn.XLOOKUP(B109,'Base stats'!B:B,'Base stats'!AT:AT))*(AO109^0.75)+(_xlfn.XLOOKUP(B109,'Base stats'!B:B,'Base stats'!AT:AT)/1000)^(2/3)+_xlfn.XLOOKUP(B109,'Base stats'!B:B,'Base stats'!AX:AX)+_xlfn.XLOOKUP(B109,'Base stats'!B:B,'Base stats'!BA:BA))+0.5,0.5))</f>
        <v>7.5</v>
      </c>
      <c r="AE109" s="7">
        <f>IF(AD109="No","No",MAX(_xlfn.XLOOKUP(_xlfn.XLOOKUP(B109,'Base stats'!B:B,'Base stats'!E:E),Groups!A:A,Groups!Z:Z),MROUND(_xlfn.XLOOKUP(_xlfn.XLOOKUP(B109,'Base stats'!B:B,'Base stats'!E:E),Groups!A:A,Groups!Z:Z)*_xlfn.XLOOKUP(B109,'Base stats'!B:B,'Base stats'!C:C)^0.165,0.05)))</f>
        <v>1.25</v>
      </c>
      <c r="AF109" s="7" t="str">
        <f>IF(AD109="No","No",_xlfn.XLOOKUP(_xlfn.XLOOKUP(B109,'Base stats'!B:B,'Base stats'!E:E),Groups!A:A,Groups!AA:AA))</f>
        <v>Teeth</v>
      </c>
      <c r="AG109" s="7" t="str">
        <f>IF(AD109="No","No",_xlfn.XLOOKUP(_xlfn.XLOOKUP(B109,'Base stats'!B:B,'Base stats'!E:E),Groups!A:A,Groups!AB:AB))</f>
        <v>canines</v>
      </c>
      <c r="AH109" s="7" t="str">
        <f>IF(AD109="No","No",_xlfn.XLOOKUP(_xlfn.XLOOKUP(B109,'Base stats'!B:B,'Base stats'!E:E),Groups!A:A,Groups!AC:AC))</f>
        <v>Bite</v>
      </c>
      <c r="AI109" s="13" t="str">
        <f>IF(_xlfn.XLOOKUP(_xlfn.XLOOKUP(B109,'Base stats'!B:B,'Base stats'!E:E),Groups!A:A,Groups!AD:AD)=0,"No",MROUND((LOG10(_xlfn.XLOOKUP(B109,'Base stats'!B:B,'Base stats'!AS:AS))*(AO109^0.75)+(_xlfn.XLOOKUP(B109,'Base stats'!B:B,'Base stats'!AS:AS)/1000)^(2/3)+_xlfn.XLOOKUP(B109,'Base stats'!B:B,'Base stats'!AY:AY)+_xlfn.XLOOKUP(B109,'Base stats'!B:B,'Base stats'!BA:BA))+0.5,0.5))</f>
        <v>No</v>
      </c>
      <c r="AJ109" s="7" t="str">
        <f>IF(AI109="No","No",MAX(_xlfn.XLOOKUP(_xlfn.XLOOKUP(B109,'Base stats'!B:B,'Base stats'!E:E),Groups!A:A,Groups!AE:AE),MROUND(_xlfn.XLOOKUP(_xlfn.XLOOKUP(B109,'Base stats'!B:B,'Base stats'!E:E),Groups!A:A,Groups!AE:AE)*IF(_xlfn.XLOOKUP(_xlfn.XLOOKUP(B109,'Base stats'!B:B,'Base stats'!E:E),Groups!A:A,Groups!AJ:AJ)="Photonozoa",0.6,1)*_xlfn.XLOOKUP(B109,'Base stats'!B:B,'Base stats'!C:C)^0.165,0.05)))</f>
        <v>No</v>
      </c>
      <c r="AK109" s="7" t="str">
        <f>IF(AI109="No","No",_xlfn.XLOOKUP(_xlfn.XLOOKUP(B109,'Base stats'!B:B,'Base stats'!E:E),Groups!A:A,Groups!AF:AF))</f>
        <v>No</v>
      </c>
      <c r="AL109" s="7" t="str">
        <f>IF(AI109="No","No",_xlfn.XLOOKUP(_xlfn.XLOOKUP(B109,'Base stats'!B:B,'Base stats'!E:E),Groups!A:A,Groups!AG:AG))</f>
        <v>No</v>
      </c>
      <c r="AM109" s="7" t="str">
        <f>IF(AI109="No","No",_xlfn.XLOOKUP(_xlfn.XLOOKUP(B109,'Base stats'!B:B,'Base stats'!E:E),Groups!A:A,Groups!AH:AH))</f>
        <v>No</v>
      </c>
      <c r="AN109" s="2">
        <f t="shared" si="7"/>
        <v>20</v>
      </c>
      <c r="AO109" s="2">
        <f>MROUND(IF(AND(_xlfn.XLOOKUP(B109,'Base stats'!B:B,'Base stats'!C:C)&gt;=0.5,_xlfn.XLOOKUP(B109,'Base stats'!B:B,'Base stats'!C:C)&lt;=0.8),
IF(_xlfn.XLOOKUP(B109,'Base stats'!B:B,'Base stats'!C:C)&lt;0.1,0.05,IF(_xlfn.XLOOKUP(B109,'Base stats'!B:B,'Base stats'!C:C)&lt;=70,(_xlfn.XLOOKUP(B109,'Base stats'!B:B,'Base stats'!C:C)/70)^0.426489913056526,IF(_xlfn.XLOOKUP(B109,'Base stats'!B:B,'Base stats'!C:C)&lt;=400,(_xlfn.XLOOKUP(B109,'Base stats'!B:B,'Base stats'!C:C)/70)^0.572811455315093,IF(_xlfn.XLOOKUP(B109,'Base stats'!B:B,'Base stats'!C:C)&lt;=2000,2.71391647193063*(_xlfn.XLOOKUP(B109,'Base stats'!B:B,'Base stats'!C:C)/400)^0.252459582904293,3.74314280240376*(_xlfn.XLOOKUP(B109,'Base stats'!B:B,'Base stats'!C:C)/2000)^0.357012633876913)))),
IF(_xlfn.XLOOKUP(B109,'Base stats'!B:B,'Base stats'!C:C)&lt;0.1,0.05,IF(_xlfn.XLOOKUP(B109,'Base stats'!B:B,'Base stats'!C:C)&lt;0.4,0.1,IF(_xlfn.XLOOKUP(B109,'Base stats'!B:B,'Base stats'!C:C)&lt;=70,(_xlfn.XLOOKUP(B109,'Base stats'!B:B,'Base stats'!C:C)/70)^0.445823913056526,IF(_xlfn.XLOOKUP(B109,'Base stats'!B:B,'Base stats'!C:C)&lt;=400,(_xlfn.XLOOKUP(B109,'Base stats'!B:B,'Base stats'!C:C)/70)^0.572811455315093,IF(_xlfn.XLOOKUP(B109,'Base stats'!B:B,'Base stats'!C:C)&lt;=2000,2.71391647193063*(_xlfn.XLOOKUP(B109,'Base stats'!B:B,'Base stats'!C:C)/400)^0.252459582904293,3.74314280240376*(_xlfn.XLOOKUP(B109,'Base stats'!B:B,'Base stats'!C:C)/2000)^0.357012633876913)))))),
IF(_xlfn.XLOOKUP(B109,'Base stats'!B:B,'Base stats'!C:C)&lt;0.1,0.05,IF(_xlfn.XLOOKUP(B109,'Base stats'!B:B,'Base stats'!C:C)&lt;=100,0.05,IF(_xlfn.XLOOKUP(B109,'Base stats'!B:B,'Base stats'!C:C)&lt;=250,0.1,IF(_xlfn.XLOOKUP(B109,'Base stats'!B:B,'Base stats'!C:C)&lt;=4000,0.25,0.5)))))</f>
        <v>0.5</v>
      </c>
      <c r="AP109" s="8">
        <f>MROUND(AO109*_xlfn.XLOOKUP(_xlfn.XLOOKUP(B109,'Base stats'!B:B,'Base stats'!E:E),Groups!A:A,Groups!AI:AI)*_xlfn.XLOOKUP(B109,'Base stats'!B:B,'Base stats'!Z:Z),0.05)</f>
        <v>0.60000000000000009</v>
      </c>
      <c r="AQ109" s="8">
        <f>MAX(0.01,MROUND(IF(CC109="True",0.196*(AO109*100*1000)^0.889,IF(_xlfn.XLOOKUP(_xlfn.XLOOKUP(B109,'Base stats'!B:B,'Base stats'!E:E),Groups!A:A,Groups!AJ:AJ)="Bird",10.5*(AO109*100*1000)^0.681,4.82*(AO109*100*1000)^0.734))/(4.82*(1*100*1000)^0.734)/IF(AO109&lt;3.5,2,IF(AO109=3.5,1.5,1.25))*(1+0.132282374779864/(AO109^0.994035016789033+0.00905238001496948)),0.05))</f>
        <v>0.4</v>
      </c>
      <c r="AR109" s="9">
        <f>IFERROR(MROUND(_xlfn.XLOOKUP(B109,'Base stats'!B:B,'Base stats'!H:H)/IF(_xlfn.XLOOKUP(B109,'Base stats'!B:B,'Base stats'!I:I)&lt;&gt;1,(122.5/70),1.2),IF(_xlfn.XLOOKUP(B109,'Base stats'!B:B,'Base stats'!H:H)&gt;=30,5,IF(_xlfn.XLOOKUP(B109,'Base stats'!B:B,'Base stats'!H:H)&gt;=15,3,IF(_xlfn.XLOOKUP(B109,'Base stats'!B:B,'Base stats'!H:H)&gt;=10,2,1)))),"Immortal")</f>
        <v>12</v>
      </c>
      <c r="AS109" s="35">
        <f>IFERROR(IF(OR(_xlfn.XLOOKUP(B109,'Base stats'!B:B,'Base stats'!F:F)="Atypical reproduction",_xlfn.XLOOKUP(B109,'Base stats'!B:B,'Base stats'!F:F)="Lay eggs"),"Lay eggs",MIN(20,MAX(5.5,ROUND(((_xlfn.XLOOKUP(B109,'Base stats'!B:B,'Base stats'!F:F)-25)*(14.5/615) + 5.5)*2,0)/2))),"Unknown")</f>
        <v>6.5</v>
      </c>
      <c r="AT109" s="8">
        <f>IF(_xlfn.XLOOKUP(B109,'Base stats'!B:B,'Base stats'!G:G)="Atypical reproduction","No",IFERROR(MAX(IF(_xlfn.XLOOKUP(B109,'Base stats'!B:B,'Base stats'!G:G)&lt;0.5,0.2,0.3),MROUND(_xlfn.XLOOKUP(B109,'Base stats'!B:B,'Base stats'!G:G)/(365/60),0.2)),"Unknown"))</f>
        <v>0.3</v>
      </c>
      <c r="AU109" s="8">
        <f t="shared" si="8"/>
        <v>0.15000000000000002</v>
      </c>
      <c r="AV109" s="8">
        <f>IFERROR(IFERROR(MROUND(_xlfn.XLOOKUP(B109,'Base stats'!B:B,'Base stats'!J:J),0.1),"Lay eggs"),"Cannot breed")</f>
        <v>6</v>
      </c>
      <c r="AW109" s="2" t="str">
        <f t="shared" si="9"/>
        <v>true</v>
      </c>
      <c r="AX109" s="2" t="str">
        <f>IF(_xlfn.XLOOKUP(_xlfn.XLOOKUP(Animals!B109,'Base stats'!B:B,'Base stats'!E:E),Groups!A:A,Groups!AK:AK)=1,"true","false")</f>
        <v>false</v>
      </c>
      <c r="AY109" s="25" t="str">
        <f>IF(_xlfn.XLOOKUP(B109,'Base stats'!B:B,'Base stats'!Y:Y)="Liquor","Liquor, CarnivoreAnimalStrict",IF(AND(_xlfn.XLOOKUP(B109,'Base stats'!B:B,'Base stats'!Y:Y)="Carnivore",_xlfn.XLOOKUP(_xlfn.XLOOKUP(B109,'Base stats'!B:B,'Base stats'!E:E),Groups!A:A,Groups!AJ:AJ)="Photonozoa"),"CarnivoreAnimalStrict, OvivoreAnimal",IF(_xlfn.XLOOKUP(B109,'Base stats'!B:B,'Base stats'!Y:Y)="Carnivore","CarnivoreAnimal, OvivoreAnimal",IF(_xlfn.XLOOKUP(B109,'Base stats'!B:B,'Base stats'!Y:Y)="Dendrovore","VegetarianRoughAnimal, DendrovoreAnimal",IF(_xlfn.XLOOKUP(B109,'Base stats'!B:B,'Base stats'!Y:Y)="Herbivore","VegetarianRoughAnimal",IF(_xlfn.XLOOKUP(B109,'Base stats'!B:B,'Base stats'!Y:Y)="OmnivoreRough","OmnivoreRoughAnimal, OvivoreAnimal","OmnivoreAnimal, OvivoreAnimal"))))))</f>
        <v>CarnivoreAnimal, OvivoreAnimal</v>
      </c>
      <c r="AZ109" s="2" t="str">
        <f>IF(_xlfn.XLOOKUP(_xlfn.XLOOKUP(B109,'Base stats'!B:B,'Base stats'!E:E),Groups!A:A,Groups!D:D)=1,MROUND((1-J109)*5+1,2)*IF(J109&lt;=0.4,2,1),"No")</f>
        <v>No</v>
      </c>
      <c r="BA109" s="2" t="str">
        <f>IF(AND(_xlfn.XLOOKUP(B109,'Base stats'!B:B,'Base stats'!AH:AH)="&lt;li&gt;Seal&lt;/li&gt;",G109="Odyssey"),"&lt;li&gt;AEXP_Seal&lt;/li&gt;",_xlfn.XLOOKUP(B109,'Base stats'!B:B,'Base stats'!AH:AH))</f>
        <v>&lt;li&gt;Wolf_Timber&lt;/li&gt;</v>
      </c>
      <c r="BB109" s="2" t="str">
        <f>_xlfn.XLOOKUP(B109,'Base stats'!B:B,'Base stats'!AG:AG)</f>
        <v>Leather_Wolf</v>
      </c>
      <c r="BC109" s="23" t="str">
        <f>_xlfn.XLOOKUP(_xlfn.XLOOKUP(B109,'Base stats'!B:B,'Base stats'!E:E),Groups!A:A,Groups!AL:AL)</f>
        <v>QuadrupedAnimalWithPawsAndTail</v>
      </c>
      <c r="BD109" s="23">
        <f>MIN(1,MROUND(IF(AND(AO109&lt;0.5,_xlfn.XLOOKUP(B109,'Base stats'!B:B,'Base stats'!AA:AA)=0),0,IF(OR(_xlfn.XLOOKUP(Animals!B109,'Base stats'!B:B,'Base stats'!O:O)=2,_xlfn.XLOOKUP(_xlfn.XLOOKUP(B109,'Base stats'!B:B,'Base stats'!E:E),Groups!A:A,Groups!AN:AN)=0),0,_xlfn.XLOOKUP(_xlfn.XLOOKUP(B109,'Base stats'!B:B,'Base stats'!E:E),Groups!A:A,Groups!AN:AN)/IF(_xlfn.XLOOKUP(Animals!B109,'Base stats'!B:B,'Base stats'!O:O)=1,2,1)))+_xlfn.XLOOKUP(B109,'Base stats'!B:B,'Base stats'!AC:AC),0.005))</f>
        <v>0.1</v>
      </c>
      <c r="BE109" s="23">
        <f>MIN(1,MROUND(IF(AND(AO109&lt;0.5,_xlfn.XLOOKUP(B109,'Base stats'!B:B,'Base stats'!AA:AA)=0),0,IF(_xlfn.XLOOKUP(_xlfn.XLOOKUP(B109,'Base stats'!B:B,'Base stats'!E:E),Groups!A:A,Groups!AO:AO)=0,0,_xlfn.XLOOKUP(_xlfn.XLOOKUP(B109,'Base stats'!B:B,'Base stats'!E:E),Groups!A:A,Groups!AO:AO)/IF(_xlfn.XLOOKUP(Animals!B109,'Base stats'!B:B,'Base stats'!O:O)=2,3,1)))+_xlfn.XLOOKUP(B109,'Base stats'!B:B,'Base stats'!AD:AD),0.005))</f>
        <v>0.3</v>
      </c>
      <c r="BF109" s="2" t="str">
        <f>IF(J109&gt;0.3,"No",_xlfn.XLOOKUP(_xlfn.XLOOKUP(Animals!B109,'Base stats'!B:B,'Base stats'!E:E),Groups!A:A,Groups!AP:AP))</f>
        <v>No</v>
      </c>
      <c r="BG109" s="2">
        <f>IF(AND(J109&lt;=0.65,_xlfn.XLOOKUP(_xlfn.XLOOKUP(Animals!B109,'Base stats'!B:B,'Base stats'!E:E),Groups!A:A,Groups!AP:AP)&lt;&gt;"No",_xlfn.XLOOKUP(_xlfn.XLOOKUP(B109,'Base stats'!B:B,'Base stats'!E:E),Groups!A:A,Groups!D:D)=0),MROUND((80/3)*IF(_xlfn.XLOOKUP(B109,'Base stats'!B:B,'Base stats'!O:O)=2,0.2,AO109) + 24*(1-IF(BF109="No",0,BF109)) + 16/3, 12),"No")</f>
        <v>48</v>
      </c>
      <c r="BH109" s="2">
        <f>IF(AND(_xlfn.XLOOKUP(_xlfn.XLOOKUP(B109,'Base stats'!B:B,'Base stats'!E:E),Groups!A:A,Groups!AQ:AQ)=1,AO109&lt;=0.35),8,12)</f>
        <v>12</v>
      </c>
      <c r="BI109" s="2" t="str">
        <f>IF(_xlfn.XLOOKUP(_xlfn.XLOOKUP(B109,'Base stats'!B:B,'Base stats'!E:E),Groups!A:A,Groups!D:D)=0,_xlfn.XLOOKUP(_xlfn.XLOOKUP(B109,'Base stats'!B:B,'Base stats'!E:E),Groups!A:A,Groups!AR:AR),"None")</f>
        <v>Advanced</v>
      </c>
      <c r="BJ109" s="2" t="str">
        <f>IF(AND(_xlfn.XLOOKUP(_xlfn.XLOOKUP(B109,'Base stats'!B:B,'Base stats'!E:E),Groups!A:A,Groups!AS:AS)=1,OR(_xlfn.XLOOKUP(B109,'Base stats'!B:B,'Base stats'!Y:Y)="Carnivore",_xlfn.XLOOKUP(B109,'Base stats'!B:B,'Base stats'!Y:Y)="Omnivore")),"true","false")</f>
        <v>true</v>
      </c>
      <c r="BK109" s="2">
        <f>IF(BJ109="true",MROUND(IF(AND(AO109&gt;0.5,OR(_xlfn.XLOOKUP(_xlfn.XLOOKUP(B109,'Base stats'!B:B,'Base stats'!E:E),Groups!A:A,Groups!AJ:AJ)="Photonozoa",_xlfn.XLOOKUP(_xlfn.XLOOKUP(B109,'Base stats'!B:B,'Base stats'!E:E),Groups!A:A,Groups!AJ:AJ)="Mammal")),Animals!AO109*1.75*IF(AW109="true",1.5,1),IF(AO109&lt;0.5,Animals!AO109*0.5,Animals!AO109)),IF(AO109&gt;2,0.5,IF(AO109&gt;0.5,0.25,0.1))),"No")</f>
        <v>0.5</v>
      </c>
      <c r="BL109" s="2">
        <f t="shared" si="10"/>
        <v>1</v>
      </c>
      <c r="BM109" s="25" t="str">
        <f>IF(_xlfn.XLOOKUP(B109,'Base stats'!B:B,'Base stats'!AN:AN)="Standard","No",MROUND((_xlfn.XLOOKUP(B109,'Base stats'!B:B,'Base stats'!AN:AN)/3.6)/I109,0.1))</f>
        <v>No</v>
      </c>
      <c r="BN109" s="25" t="str">
        <f t="shared" si="11"/>
        <v>false</v>
      </c>
      <c r="BO109" s="25" t="str">
        <f>IF(AND(OR(_xlfn.XLOOKUP(B109,'Base stats'!B:B,'Base stats'!Y:Y)="Carnivore",_xlfn.XLOOKUP(B109,'Base stats'!B:B,'Base stats'!Y:Y)="Omnivore",_xlfn.XLOOKUP(B109,'Base stats'!B:B,'Base stats'!Y:Y)="OmnivoreRough"),_xlfn.XLOOKUP(_xlfn.XLOOKUP(B109,'Base stats'!B:B,'Base stats'!E:E),Groups!A:A,Groups!AT:AT)=1),"true","false")</f>
        <v>false</v>
      </c>
      <c r="BP109" s="25" t="str" cm="1">
        <f t="array" ref="BP109">IF(
  _xlfn.TEXTJOIN(", ",TRUE,
    IF(AND(BJ109="true",AO109&gt;0.5,BI109&lt;&gt;"None"),"AttackTarget",""),
    IF(AND(_xlfn.XLOOKUP(_xlfn.XLOOKUP(B109,'Base stats'!B:B,'Base stats'!E:E),Groups!A:A,Groups!AJ:AJ="Mammal"),OR(_xlfn.XLOOKUP(B109,'Base stats'!B:B,'Base stats'!Y:Y)="Omnivore",_xlfn.XLOOKUP(B109,'Base stats'!B:B,'Base stats'!Y:Y)="OmnivoreRough")),"Forage",""),
    IF(BG109&lt;=36,"Comfort",""),
    IF(_xlfn.XLOOKUP(B109,'Base stats'!B:B,'Base stats'!AE:AE)&lt;&gt;"No",_xlfn.XLOOKUP(B109,'Base stats'!B:B,'Base stats'!AE:AE),"")
  ) = "",
  "No",
  _xlfn.TEXTJOIN(", ",TRUE,
    IF(AND(BJ109="true",AO109&gt;0.5,BI109&lt;&gt;"None"),"AttackTarget",""),
    IF(AND(_xlfn.XLOOKUP(_xlfn.XLOOKUP(B109,'Base stats'!B:B,'Base stats'!E:E),Groups!A:A,Groups!AJ:AJ="Mammal"),OR(_xlfn.XLOOKUP(B109,'Base stats'!B:B,'Base stats'!Y:Y)="Omnivore",_xlfn.XLOOKUP(B109,'Base stats'!B:B,'Base stats'!Y:Y)="OmnivoreRough")),"Forage",""),
    IF(BG109&lt;=36,"Comfort",""),
    IF(_xlfn.XLOOKUP(B109,'Base stats'!B:B,'Base stats'!AE:AE)&lt;&gt;"No",_xlfn.XLOOKUP(B109,'Base stats'!B:B,'Base stats'!AE:AE),"")
  )
)</f>
        <v>No</v>
      </c>
      <c r="BQ109" s="25" t="str">
        <f>IF(
   AND(
      'Base stats'!AN109="Standard",_xlfn.XLOOKUP(_xlfn.XLOOKUP(B109,'Base stats'!B:B,'Base stats'!E:E),Groups!A:A,Groups!AU:AU)=0,
      OR(
      BO109="True"
      )
   ),
   10,
   IF(
       OR(BM109&lt;&gt;"No",_xlfn.XLOOKUP(_xlfn.XLOOKUP(B109,'Base stats'!B:B,'Base stats'!E:E),Groups!A:A,Groups!AU:AU)=1),
      1,
      "No"
   )
)</f>
        <v>No</v>
      </c>
      <c r="BR109" s="9">
        <f>MROUND((1 + ((0.2*IF(OR(Q109="No",R109="No",R109=0),0,Q109/R109)
+IF(OR(V109="No",S109="No",T109="No"),0,S109/T109*(LEN(V109)-LEN(SUBSTITUTE(V109,",",""))+1))
+IF(OR(X109="No",Y109="No"),0,X109/Y109)
+IF(OR(AD109="No",AE109="No"),0,AD109/AE109)
+IF(OR(AL109="No",AI109="No",AJ109="No"),0,AI109/AJ109*(LEN(AL109)-LEN(SUBSTITUTE(AL109,",",""))+1))
)/(0.2*IF(OR(Q109="No",R109="No",R109=0),0,1)
+IF(OR(V109="No",S109="No",T109="No"),0,LEN(V109)-LEN(SUBSTITUTE(V109,",",""))+1)
+IF(OR(X109="No",Y109="No"),0,1)
+IF(OR(AD109="No",AE109="No"),0,1)
+IF(OR(AL109="No",AI109="No",AJ109="No"),0,LEN(AL109)-LEN(SUBSTITUTE(AL109,",",""))+1))*62%)* 2)*(1 + (AP109 / (IF(_xlfn.XLOOKUP(_xlfn.XLOOKUP(B109,'Base stats'!B:B,'Base stats'!E:E),Groups!A:A,Groups!AJ:AJ)="Photonozoa",0.3,1)) + _xlfn.XLOOKUP(B109,'Base stats'!B:B,'Base stats'!AV:AV) * 1.8) * 2) * 2.5 + 10 + I109 * 2,5)+IF(_xlfn.XLOOKUP(B109,'Base stats'!B:B,'Base stats'!AK:AK)=1,50,0)</f>
        <v>70</v>
      </c>
      <c r="BS109" s="8">
        <f t="shared" si="12"/>
        <v>0.4</v>
      </c>
      <c r="BT109" s="8" t="str">
        <f>_xlfn.XLOOKUP(B109,'Base stats'!B:B,'Base stats'!AF:AF)</f>
        <v>2~6</v>
      </c>
      <c r="BU109" s="2" t="str">
        <f>IF(AND(J109&lt;=0.95,OR(_xlfn.XLOOKUP(B109,'Base stats'!B:B,'Base stats'!AK:AK)=1,_xlfn.XLOOKUP(B109,'Base stats'!B:B,'Base stats'!Y:Y)="Carnivore",_xlfn.XLOOKUP(B109,'Base stats'!B:B,'Base stats'!Y:Y)="Omnivore",BE109&gt;0.1)),"true","false")</f>
        <v>true</v>
      </c>
      <c r="BV109" s="2" t="str">
        <f>IF(_xlfn.XLOOKUP(B109,'Base stats'!B:B,'Base stats'!AI:AI)=1,"true","false")</f>
        <v>false</v>
      </c>
      <c r="BW109" s="25" t="str">
        <f>IF(E109="BaseInsect","AnimalInsect",
IF(J109&gt;0.95,"AnimalExotic",
_xlfn.TEXTJOIN(", ",TRUE,
IF(OR(_xlfn.XLOOKUP(B109,'Base stats'!B:B,'Base stats'!AM:AM)=1,AND(_xlfn.XLOOKUP(B109,'Base stats'!B:B,'Base stats'!O:O)=0,_xlfn.XLOOKUP(_xlfn.XLOOKUP(B109,'Base stats'!B:B,'Base stats'!E:E),Groups!A:A,Groups!B:B)&gt;0)),"AnimalUncommon","AnimalCommon"),
IF(AND(_xlfn.XLOOKUP(B109,'Base stats'!B:B,'Base stats'!O:O)=2,_xlfn.XLOOKUP(_xlfn.XLOOKUP(B109,'Base stats'!B:B,'Base stats'!E:E),Groups!A:A,Groups!D:D)=0),"AnimalPet",IF(AND(_xlfn.XLOOKUP(B109,'Base stats'!B:B,'Base stats'!O:O)&lt;&gt;0,_xlfn.XLOOKUP(_xlfn.XLOOKUP(B109,'Base stats'!B:B,'Base stats'!E:E),Groups!A:A,Groups!D:D)&lt;&gt;0),"AnimalFarm","")),
IF(OR(_xlfn.XLOOKUP(B109,'Base stats'!B:B,'Base stats'!AK:AK)=1,AND(BI109&lt;&gt;"None",BR109&gt;=60),ISNUMBER(SEARCH("Attack target",BP109))),"AnimalFighter","")
)))</f>
        <v>AnimalCommon, AnimalFighter</v>
      </c>
      <c r="BX109" s="25" t="str">
        <f>IF(G109="None",TRIM(
SUBSTITUTE(
IF(COUNTIF(Biomes!B$2:B$259,"="&amp;$C109)&gt;0,Biomes!B$1&amp;", ","")&amp;
IF(COUNTIF(Biomes!C$2:C$259,"="&amp;$C109)&gt;0,Biomes!C$1&amp;", ","")&amp;
IF(COUNTIF(Biomes!D$2:D$259,"="&amp;$C109)&gt;0,Biomes!D$1&amp;", ","")&amp;
IF(COUNTIF(Biomes!F$2:F$259,"="&amp;$C109)&gt;0,Biomes!F$1&amp;", ","")&amp;
IF(COUNTIF(Biomes!G$2:G$259,"="&amp;$C109)&gt;0,Biomes!G$1&amp;", ","")&amp;
IF(COUNTIF(Biomes!H$2:H$259,"="&amp;$C109)&gt;0,Biomes!H$1&amp;", ","")&amp;
IF(COUNTIF(Biomes!I$2:I$259,"="&amp;$C109)&gt;0,Biomes!I$1&amp;", ","")&amp;
IF(COUNTIF(Biomes!J$2:J$259,"="&amp;$C109)&gt;0,Biomes!J$1&amp;", ","")&amp;
IF(COUNTIF(Biomes!M$2:M$259,"="&amp;$C109)&gt;0,Biomes!M$1&amp;", ","")&amp;
IF(COUNTIF(Biomes!N$2:N$259,"="&amp;$C109)&gt;0,Biomes!N$1&amp;", ","")&amp;
IF(COUNTIF(Biomes!O$2:O$259,"="&amp;$C109)&gt;0,Biomes!O$1&amp;", ","")&amp;
IF(COUNTIF(Biomes!P$2:P$259,"="&amp;$C109)&gt;0,Biomes!P$1&amp;", ","")&amp;
IF(COUNTIF(Biomes!K$2:K$259,"="&amp;$C109)&gt;0,Biomes!K$1&amp;", ","")&amp;
IF(COUNTIF(Biomes!Q$3:Q$259,"="&amp;$C109)&gt;0,Biomes!Q$1&amp;", ","")&amp;
IF(COUNTIF(Biomes!L$2:L$259,"="&amp;$C109)&gt;0,Biomes!L$1&amp;", ","")&amp;
IF(COUNTIF(Biomes!E$2:E$259,"="&amp;$C109)&gt;0,Biomes!E$1&amp;", ","")&amp;IF(COUNTIF(Biomes!S$2:S$259,"="&amp;$C109)&gt;0,Biomes!S$1&amp;", ","")&amp;
IF(COUNTIF(Biomes!R$2:R$259,"="&amp;$C109)&gt;0,Biomes!R$1&amp;", ",""),", ","")
),_xlfn.XLOOKUP(B109,B:B,BX:BX))</f>
        <v>BorealForest ColdBog TemperateForest TemperateSwamp AridShrubland Desert Grasslands LavaField GlacialPlain</v>
      </c>
      <c r="BY109" s="25" t="str">
        <f>IF(_xlfn.XLOOKUP(B109,'Base stats'!B:B,'Base stats'!AJ:AJ)=1,"true","false")</f>
        <v>false</v>
      </c>
      <c r="BZ109" s="25">
        <f>IF(_xlfn.XLOOKUP(B109,'Base stats'!B:B,'Base stats'!N:N)=1,"No",MAX(0.001,MIN(MROUND(IF(AND(BJ109="True",CC109="False"),POWER(10,3.47*LOG10(_xlfn.XLOOKUP(B109,'Base stats'!B:B,'Base stats'!C:C)*1000)^-0.96),POWER(10,4.15*LOG10(_xlfn.XLOOKUP(B109,'Base stats'!B:B,'Base stats'!C:C)*1000)^-0.73))*IF(_xlfn.XLOOKUP(B109,'Base stats'!B:B,'Base stats'!AK:AK)=1,0.5,1)*IF(_xlfn.XLOOKUP(B109,'Base stats'!B:B,'Base stats'!AM:AM)=1,0.1,1)/100,IF(_xlfn.XLOOKUP(B109,'Base stats'!B:B,'Base stats'!AM:AM)=1,0.001,0.025)),0.5)))</f>
        <v>7.5000000000000011E-2</v>
      </c>
      <c r="CA109" s="25" t="str">
        <f>IF(P109="Standard","No",MAX(0.001,MIN(MROUND(IF(AND(BJ109="True",CC109="False"),POWER(10,3.47*LOG10(_xlfn.XLOOKUP(B109,'Base stats'!B:B,'Base stats'!C:C)*1000)^-0.96),POWER(10,4.15*LOG10(_xlfn.XLOOKUP(B109,'Base stats'!B:B,'Base stats'!C:C)*1000)^-0.73))*IF(_xlfn.XLOOKUP(B109,'Base stats'!B:B,'Base stats'!AM:AM)=1,0.1,1)*_xlfn.XLOOKUP(B109,'Base stats'!B:B,'Base stats'!R:R)/100,IF(_xlfn.XLOOKUP(B109,'Base stats'!B:B,'Base stats'!AM:AM)=1,0.001,0.025)),0.5)))</f>
        <v>No</v>
      </c>
      <c r="CB109" s="25" t="str">
        <f>IF(_xlfn.XLOOKUP(_xlfn.XLOOKUP(B109,'Base stats'!B:B,'Base stats'!E:E),Groups!A:A,Groups!AJ:AJ)="Mammal","True","False")</f>
        <v>True</v>
      </c>
      <c r="CC109" s="25" t="str">
        <f>IF(OR(_xlfn.XLOOKUP(_xlfn.XLOOKUP(B109,'Base stats'!B:B,'Base stats'!E:E),Groups!A:A,Groups!AJ:AJ)="Reptile",_xlfn.XLOOKUP(_xlfn.XLOOKUP(B109,'Base stats'!B:B,'Base stats'!E:E),Groups!A:A,Groups!AJ:AJ)="Amphibian",_xlfn.XLOOKUP(_xlfn.XLOOKUP(B109,'Base stats'!B:B,'Base stats'!E:E),Groups!A:A,Groups!AJ:AJ)="Invertebrate"),"True","False")</f>
        <v>False</v>
      </c>
      <c r="CD109" s="25" t="str">
        <f t="shared" si="13"/>
        <v>False</v>
      </c>
      <c r="CE109" s="25" t="str">
        <f>IF(_xlfn.XLOOKUP(_xlfn.XLOOKUP(B109,'Base stats'!B:B,'Base stats'!E:E),Groups!A:A,Groups!AX:AX),"True","False")</f>
        <v>False</v>
      </c>
      <c r="CF109" s="25" t="str">
        <f>IF(_xlfn.XLOOKUP(_xlfn.XLOOKUP(B109,'Base stats'!B:B,'Base stats'!E:E),Groups!A:A,Groups!AY:AY),"True","False")</f>
        <v>False</v>
      </c>
      <c r="CG109" s="25" t="str">
        <f>IF(_xlfn.XLOOKUP(_xlfn.XLOOKUP(B109,'Base stats'!B:B,'Base stats'!E:E),Groups!A:A,Groups!AW:AW),"True","False")</f>
        <v>False</v>
      </c>
      <c r="CH109" s="25" t="str">
        <f>IF(
OR(
_xlfn.XLOOKUP(_xlfn.XLOOKUP(B109,'Base stats'!B:B,'Base stats'!E:E),Groups!A:A,Groups!AZ:AZ)=0,
AND(
_xlfn.XLOOKUP(B109,'Base stats'!B:B,'Base stats'!Y:Y)&lt;&gt;"Carnivore",
_xlfn.XLOOKUP(B109,'Base stats'!B:B,'Base stats'!Y:Y)&lt;&gt;"Omnivore",
_xlfn.XLOOKUP(B109,'Base stats'!B:B,'Base stats'!Y:Y)&lt;&gt;"OmnivoreRough"
)
),
"No",
IF(
_xlfn.XLOOKUP(_xlfn.XLOOKUP(B109,'Base stats'!B:B,'Base stats'!E:E),Groups!A:A,Groups!AZ:AZ)=1,
"Flesh",
IF(
_xlfn.XLOOKUP(_xlfn.XLOOKUP(B109,'Base stats'!B:B,'Base stats'!E:E),Groups!A:A,Groups!AZ:AZ)=2,
"Bone",
""
)
)
)</f>
        <v>No</v>
      </c>
      <c r="CI109" s="25" t="str">
        <f>IF(_xlfn.XLOOKUP(_xlfn.XLOOKUP(B109,'Base stats'!B:B,'Base stats'!E:E),Groups!A:A,Groups!BB:BB),"True","False")</f>
        <v>True</v>
      </c>
      <c r="CJ109" s="25" t="str">
        <f>IF(_xlfn.XLOOKUP(_xlfn.XLOOKUP(B109,'Base stats'!B:B,'Base stats'!E:E),Groups!A:A,Groups!BA:BA),"True","False")</f>
        <v>False</v>
      </c>
    </row>
    <row r="110" spans="1:88" ht="16.5" thickTop="1" thickBot="1" x14ac:dyDescent="0.3">
      <c r="A110" s="26" t="str">
        <f>_xlfn.XLOOKUP(B110,'Base stats'!B:B,'Base stats'!A:A)</f>
        <v>Giraffe</v>
      </c>
      <c r="B110" s="6" t="s">
        <v>136</v>
      </c>
      <c r="C110" s="28" t="s">
        <v>791</v>
      </c>
      <c r="D110" s="28" t="s">
        <v>872</v>
      </c>
      <c r="E110" s="28" t="s">
        <v>673</v>
      </c>
      <c r="F110" s="28" t="s">
        <v>673</v>
      </c>
      <c r="G110" s="28" t="s">
        <v>673</v>
      </c>
      <c r="H110" s="2">
        <f>MROUND((
  (IF(AND(_xlfn.XLOOKUP(B110,'Base stats'!B:B,'Base stats'!AL:AL)=0,BI110="None",_xlfn.XLOOKUP(_xlfn.XLOOKUP(B110,'Base stats'!B:B,'Base stats'!E:E),Groups!A:A,Groups!B:B)=0), (18 + BR110 * 2.7) * 0.5,
    IF(AND(_xlfn.XLOOKUP(B110,'Base stats'!B:B,'Base stats'!AL:AL)=0,OR(AO110&lt;0.55,AND(BI110="Intermediate",_xlfn.XLOOKUP(_xlfn.XLOOKUP(B110,'Base stats'!B:B,'Base stats'!E:E),Groups!A:A,Groups!B:B)&lt;2))), (18 + BR110 * 2.7),
      IF(OR(BI110="Advanced",_xlfn.XLOOKUP(B110,'Base stats'!B:B,'Base stats'!AL:AL)=1,_xlfn.XLOOKUP(_xlfn.XLOOKUP(B110,'Base stats'!B:B,'Base stats'!E:E),Groups!A:A,Groups!B:B)=2), (18 + BR110 * 2.7) + 250, (18 + BR110 * 2.7))
    )
  ))
  + AO110 * 80
  + IF(COUNTIF(EggMilk!K$2:K$998, A110) &gt; 0, 125, 0)
  + IF(COUNTIF(EggMilk!P$2:P$998, A110) &gt; 0, 90, 0)
  + IF(COUNTIF(EggMilk!A$2:A$998, A110) &gt; 0, 90, 0)
)
* (0.8 + 0.4 * J110)
* 0.75,25)</f>
        <v>775</v>
      </c>
      <c r="I110" s="2">
        <f>MROUND(ROUNDDOWN(_xlfn.XLOOKUP(B110,'Base stats'!B:B,'Base stats'!L:L)/3.6/(23.3/11),1),0.5)</f>
        <v>8</v>
      </c>
      <c r="J110" s="2">
        <f>IF(OR(_xlfn.XLOOKUP(B110,'Base stats'!B:B,'Base stats'!AB:AB)=1,_xlfn.XLOOKUP(_xlfn.XLOOKUP(B110,'Base stats'!B:B,'Base stats'!E:E),Groups!A:A,Groups!C:C)="Untamable"),1,IF(_xlfn.XLOOKUP(B110,'Base stats'!B:B,'Base stats'!AL:AL)=1,0.99,MIN(MROUND((1-0.6282*EXP(-0.459*AO110))*_xlfn.XLOOKUP(_xlfn.XLOOKUP(B110,'Base stats'!B:B,'Base stats'!E:E),Groups!A:A,Groups!C:C)*IF(_xlfn.XLOOKUP(B110,'Base stats'!B:B,'Base stats'!O:O)=1,0.5,IF(_xlfn.XLOOKUP(B110,'Base stats'!B:B,'Base stats'!O:O)=2,0,1)),0.05),IF(AO110&gt;3.5,0.985,0.95))))</f>
        <v>0.75</v>
      </c>
      <c r="K110" s="2">
        <f>ROUNDUP(AO110*_xlfn.XLOOKUP(_xlfn.XLOOKUP(B110,'Base stats'!B:B,'Base stats'!E:E),Groups!A:A,Groups!E:E),0)</f>
        <v>18</v>
      </c>
      <c r="L110" s="2">
        <f>IF(OR(_xlfn.XLOOKUP(_xlfn.XLOOKUP(B110,'Base stats'!B:B,'Base stats'!E:E),Groups!A:A,Groups!F:F)=2,ISNUMBER(SEARCH("SeaIce",BX110)),ISNUMBER(SEARCH("IceSheet",BX110))),-50,IF(OR(ISNUMBER(SEARCH("GlacialPlain",BX110)),ISNUMBER(SEARCH("Tundra",BX110))),-40,IF(OR(ISNUMBER(SEARCH("Alpine",BX110)),ISNUMBER(SEARCH("BorealForest",BX110)),ISNUMBER(SEARCH("ColdBog",BX110))),-30,IF(OR(ISNUMBER(SEARCH("TemperateForest",BX110)),ISNUMBER(SEARCH("TemperateSwamp",BX110))),-20,IF(_xlfn.XLOOKUP(_xlfn.XLOOKUP(B110,'Base stats'!B:B,'Base stats'!E:E),Groups!A:A,Groups!F:F)=1,-15,IF(OR(ISNUMBER(SEARCH("Desert",BX110)),ISNUMBER(SEARCH("ExtremeDesert",BX110))),-10,IF(OR(ISNUMBER(SEARCH("Grasslands",BX110)),ISNUMBER(SEARCH("TropicalRainforest",BX110)),ISNUMBER(SEARCH("TropicalSwamp",BX110))),10,0)))))))-IF(CC110="False",MIN(IFERROR(MAX(MROUND(LOG10(_xlfn.XLOOKUP(B110,'Base stats'!B:B,'Base stats'!C:C)^(2/3))*10,5),5),5),30))-_xlfn.XLOOKUP(B110,'Base stats'!B:B,'Base stats'!P:P)+IF(CC110="True",5,0)</f>
        <v>-35</v>
      </c>
      <c r="M110" s="2">
        <f>IF(OR(_xlfn.XLOOKUP(_xlfn.XLOOKUP(B110,'Base stats'!B:B,'Base stats'!E:E),Groups!A:A,Groups!G:G)=2,ISNUMBER(SEARCH("Desert",BX110)),ISNUMBER(SEARCH("ExtremeDesert",BX110)),ISNUMBER(SEARCH("LavaField",BX110))),50,IF(ISNUMBER(SEARCH("Grasslands",BX110)),45,IF(OR(_xlfn.XLOOKUP(_xlfn.XLOOKUP(B110,'Base stats'!B:B,'Base stats'!E:E),Groups!A:A,Groups!G:G)=1,ISNUMBER(SEARCH("TropicalRainforest",BX110)),ISNUMBER(SEARCH("TropicalSwamp",BX110))),40,IF(OR(ISNUMBER(SEARCH("TemperateForest",BX110)),ISNUMBER(SEARCH("TemperateSwamp",BX110))),35,IF(OR(ISNUMBER(SEARCH("Alpine",BX110)),ISNUMBER(SEARCH("BorealForest",BX110)),ISNUMBER(SEARCH("ColdBog",BX110))),30,IF(ISNUMBER(OR(ISNUMBER(SEARCH("GlacialPlain",BX110)),SEARCH("Tundra",BX110))),25,IF(OR(ISNUMBER(SEARCH("SeaIce",BX110)),ISNUMBER(SEARCH("IceSheet",BX110)),ISNUMBER(SEARCH("TropicalSwamp",BX110))),10,35)))))))+_xlfn.XLOOKUP(B110,'Base stats'!B:B,'Base stats'!Q:Q)</f>
        <v>45</v>
      </c>
      <c r="N110" s="8" t="str">
        <f>IF(
_xlfn.XLOOKUP(
_xlfn.XLOOKUP(B110,'Base stats'!B:B,'Base stats'!E:E),
Groups!A:A,
Groups!L:L
)=1,
MIN(
MROUND(
IF(
_xlfn.XLOOKUP(B110,'Animals CE'!B:B,'Animals CE'!Z:Z)&lt;=1.5,
_xlfn.XLOOKUP(B110,'Animals CE'!B:B,'Animals CE'!Z:Z)/2+0.05,
0.8+
(_xlfn.XLOOKUP(B110,'Animals CE'!B:B,'Animals CE'!Z:Z)-1.5)
*0.02
),
0.05
),
200%
),
"No"
)</f>
        <v>No</v>
      </c>
      <c r="O110" s="8" t="str">
        <f>IF(
_xlfn.XLOOKUP(
_xlfn.XLOOKUP(B110,'Base stats'!B:B,'Base stats'!E:E),
Groups!A:A,
Groups!L:L
)=1,
MIN(
MROUND(
IF(
_xlfn.XLOOKUP(B110,'Animals CE'!B:B,'Animals CE'!AA:AA)&lt;=1.5,
_xlfn.XLOOKUP(B110,'Animals CE'!B:B,'Animals CE'!AA:AA)/2+0.05,
0.8+
(_xlfn.XLOOKUP(B110,'Animals CE'!B:B,'Animals CE'!AA:AA)-1.5)
*0.02
),
0.05
),
200%
),
"No"
)</f>
        <v>No</v>
      </c>
      <c r="P110" s="2" t="str">
        <f>_xlfn.XLOOKUP(B110,'Base stats'!B:B,'Base stats'!R:R)</f>
        <v>Standard</v>
      </c>
      <c r="Q110" s="13">
        <f>MROUND((LOG10(_xlfn.XLOOKUP(B110,'Base stats'!B:B,'Base stats'!AR:AR))*(AO110^0.5)+(_xlfn.XLOOKUP(B110,'Base stats'!B:B,'Base stats'!AR:AR)/1000)^(2/3)+_xlfn.XLOOKUP(B110,'Base stats'!B:B,'Base stats'!BA:BA)/2)+0.5,0.5)</f>
        <v>20.5</v>
      </c>
      <c r="R110" s="7">
        <f>IF(Q110="No","No",MAX(1,MROUND(_xlfn.XLOOKUP(B110,'Base stats'!B:B,'Base stats'!C:C)^0.165,0.05)))</f>
        <v>3.1500000000000004</v>
      </c>
      <c r="S110" s="13">
        <f>IF(_xlfn.XLOOKUP(_xlfn.XLOOKUP(B110,'Base stats'!B:B,'Base stats'!E:E),Groups!A:A,Groups!P:P)=0,"No",MROUND((LOG10(_xlfn.XLOOKUP(B110,'Base stats'!B:B,'Base stats'!AS:AS))*(AO110^0.5)+(_xlfn.XLOOKUP(B110,'Base stats'!B:B,'Base stats'!AS:AS)/1000)^(2/3)+_xlfn.XLOOKUP(B110,'Base stats'!B:B,'Base stats'!BA:BA))+_xlfn.XLOOKUP(B110,'Base stats'!B:B,'Base stats'!AY:AY)+0.5,0.5))</f>
        <v>24.5</v>
      </c>
      <c r="T110" s="7">
        <f>IF(S110="No","No",MAX(_xlfn.XLOOKUP(_xlfn.XLOOKUP(B110,'Base stats'!B:B,'Base stats'!E:E),Groups!A:A,Groups!Q:Q),MROUND(_xlfn.XLOOKUP(_xlfn.XLOOKUP(B110,'Base stats'!B:B,'Base stats'!E:E),Groups!A:A,Groups!Q:Q)*_xlfn.XLOOKUP(B110,'Base stats'!B:B,'Base stats'!C:C)^0.165,0.05)))</f>
        <v>3.1500000000000004</v>
      </c>
      <c r="U110" s="7" t="str">
        <f>IF(S110="No","No",_xlfn.XLOOKUP(_xlfn.XLOOKUP(B110,'Base stats'!B:B,'Base stats'!E:E),Groups!A:A,Groups!R:R))</f>
        <v>FrontLeftLeg, FrontRightLeg</v>
      </c>
      <c r="V110" s="7" t="str">
        <f>IF(S110="No","No",_xlfn.XLOOKUP(_xlfn.XLOOKUP(B110,'Base stats'!B:B,'Base stats'!E:E),Groups!A:A,Groups!S:S))</f>
        <v>left hoof, right hoof</v>
      </c>
      <c r="W110" s="7" t="str">
        <f>IF(S110="No","No",_xlfn.XLOOKUP(_xlfn.XLOOKUP(B110,'Base stats'!B:B,'Base stats'!E:E),Groups!A:A,Groups!T:T))</f>
        <v>Blunt</v>
      </c>
      <c r="X110" s="13" t="str">
        <f>IF(_xlfn.XLOOKUP(B110,'Base stats'!B:B,'Base stats'!W:W)="No","No",MROUND((LOG10(_xlfn.XLOOKUP(B110,'Base stats'!B:B,'Base stats'!AU:AU))*(AO110^0.5)+(_xlfn.XLOOKUP(B110,'Base stats'!B:B,'Base stats'!AU:AU)/1000)^(2/3)+_xlfn.XLOOKUP(B110,'Base stats'!B:B,'Base stats'!AZ:AZ))+0.5+IF(_xlfn.XLOOKUP(_xlfn.XLOOKUP(B110,'Base stats'!B:B,'Base stats'!E:E),Groups!A:A,Groups!U:U)&lt;&gt;3,_xlfn.XLOOKUP(B110,'Base stats'!B:B,'Base stats'!BA:BA),0),0.5))</f>
        <v>No</v>
      </c>
      <c r="Y110" s="7" t="str">
        <f>IF(X110="No","No",MAX(_xlfn.XLOOKUP(_xlfn.XLOOKUP(B110,'Base stats'!B:B,'Base stats'!E:E),Groups!A:A,Groups!V:V),MROUND(_xlfn.XLOOKUP(_xlfn.XLOOKUP(B110,'Base stats'!B:B,'Base stats'!E:E),Groups!A:A,Groups!V:V)*_xlfn.XLOOKUP(B110,'Base stats'!B:B,'Base stats'!C:C)^0.165,0.05)))</f>
        <v>No</v>
      </c>
      <c r="Z110" s="7" t="str">
        <f>IF(X110="No","No",_xlfn.XLOOKUP(_xlfn.XLOOKUP(B110,'Base stats'!B:B,'Base stats'!E:E),Groups!A:A,Groups!W:W))</f>
        <v>No</v>
      </c>
      <c r="AA110" s="7" t="str">
        <f>IF(X110="No","No",_xlfn.XLOOKUP(_xlfn.XLOOKUP(B110,'Base stats'!B:B,'Base stats'!E:E),Groups!A:A,Groups!X:X))</f>
        <v>No</v>
      </c>
      <c r="AB110" s="7" t="str">
        <f>IF(X110="No","No",_xlfn.XLOOKUP(_xlfn.XLOOKUP(B110,'Base stats'!B:B,'Base stats'!E:E),Groups!A:A,Groups!Y:Y))</f>
        <v>No</v>
      </c>
      <c r="AC110" s="7" t="str">
        <f>_xlfn.XLOOKUP(Animals!B110,'Base stats'!B:B,'Base stats'!X:X)</f>
        <v>False</v>
      </c>
      <c r="AD110" s="13" t="str">
        <f>IF(_xlfn.XLOOKUP(B110,'Base stats'!B:B,'Base stats'!AT:AT)="No","No",MROUND((LOG10(_xlfn.XLOOKUP(B110,'Base stats'!B:B,'Base stats'!AT:AT))*(AO110^0.75)+(_xlfn.XLOOKUP(B110,'Base stats'!B:B,'Base stats'!AT:AT)/1000)^(2/3)+_xlfn.XLOOKUP(B110,'Base stats'!B:B,'Base stats'!AX:AX)+_xlfn.XLOOKUP(B110,'Base stats'!B:B,'Base stats'!BA:BA))+0.5,0.5))</f>
        <v>No</v>
      </c>
      <c r="AE110" s="7" t="str">
        <f>IF(AD110="No","No",MAX(_xlfn.XLOOKUP(_xlfn.XLOOKUP(B110,'Base stats'!B:B,'Base stats'!E:E),Groups!A:A,Groups!Z:Z),MROUND(_xlfn.XLOOKUP(_xlfn.XLOOKUP(B110,'Base stats'!B:B,'Base stats'!E:E),Groups!A:A,Groups!Z:Z)*_xlfn.XLOOKUP(B110,'Base stats'!B:B,'Base stats'!C:C)^0.165,0.05)))</f>
        <v>No</v>
      </c>
      <c r="AF110" s="7" t="str">
        <f>IF(AD110="No","No",_xlfn.XLOOKUP(_xlfn.XLOOKUP(B110,'Base stats'!B:B,'Base stats'!E:E),Groups!A:A,Groups!AA:AA))</f>
        <v>No</v>
      </c>
      <c r="AG110" s="7" t="str">
        <f>IF(AD110="No","No",_xlfn.XLOOKUP(_xlfn.XLOOKUP(B110,'Base stats'!B:B,'Base stats'!E:E),Groups!A:A,Groups!AB:AB))</f>
        <v>No</v>
      </c>
      <c r="AH110" s="7" t="str">
        <f>IF(AD110="No","No",_xlfn.XLOOKUP(_xlfn.XLOOKUP(B110,'Base stats'!B:B,'Base stats'!E:E),Groups!A:A,Groups!AC:AC))</f>
        <v>No</v>
      </c>
      <c r="AI110" s="13" t="str">
        <f>IF(_xlfn.XLOOKUP(_xlfn.XLOOKUP(B110,'Base stats'!B:B,'Base stats'!E:E),Groups!A:A,Groups!AD:AD)=0,"No",MROUND((LOG10(_xlfn.XLOOKUP(B110,'Base stats'!B:B,'Base stats'!AS:AS))*(AO110^0.75)+(_xlfn.XLOOKUP(B110,'Base stats'!B:B,'Base stats'!AS:AS)/1000)^(2/3)+_xlfn.XLOOKUP(B110,'Base stats'!B:B,'Base stats'!AY:AY)+_xlfn.XLOOKUP(B110,'Base stats'!B:B,'Base stats'!BA:BA))+0.5,0.5))</f>
        <v>No</v>
      </c>
      <c r="AJ110" s="7" t="str">
        <f>IF(AI110="No","No",MAX(_xlfn.XLOOKUP(_xlfn.XLOOKUP(B110,'Base stats'!B:B,'Base stats'!E:E),Groups!A:A,Groups!AE:AE),MROUND(_xlfn.XLOOKUP(_xlfn.XLOOKUP(B110,'Base stats'!B:B,'Base stats'!E:E),Groups!A:A,Groups!AE:AE)*IF(_xlfn.XLOOKUP(_xlfn.XLOOKUP(B110,'Base stats'!B:B,'Base stats'!E:E),Groups!A:A,Groups!AJ:AJ)="Photonozoa",0.6,1)*_xlfn.XLOOKUP(B110,'Base stats'!B:B,'Base stats'!C:C)^0.165,0.05)))</f>
        <v>No</v>
      </c>
      <c r="AK110" s="7" t="str">
        <f>IF(AI110="No","No",_xlfn.XLOOKUP(_xlfn.XLOOKUP(B110,'Base stats'!B:B,'Base stats'!E:E),Groups!A:A,Groups!AF:AF))</f>
        <v>No</v>
      </c>
      <c r="AL110" s="7" t="str">
        <f>IF(AI110="No","No",_xlfn.XLOOKUP(_xlfn.XLOOKUP(B110,'Base stats'!B:B,'Base stats'!E:E),Groups!A:A,Groups!AG:AG))</f>
        <v>No</v>
      </c>
      <c r="AM110" s="7" t="str">
        <f>IF(AI110="No","No",_xlfn.XLOOKUP(_xlfn.XLOOKUP(B110,'Base stats'!B:B,'Base stats'!E:E),Groups!A:A,Groups!AH:AH))</f>
        <v>No</v>
      </c>
      <c r="AN110" s="2" t="str">
        <f t="shared" si="7"/>
        <v>No</v>
      </c>
      <c r="AO110" s="2">
        <f>MROUND(IF(AND(_xlfn.XLOOKUP(B110,'Base stats'!B:B,'Base stats'!C:C)&gt;=0.5,_xlfn.XLOOKUP(B110,'Base stats'!B:B,'Base stats'!C:C)&lt;=0.8),
IF(_xlfn.XLOOKUP(B110,'Base stats'!B:B,'Base stats'!C:C)&lt;0.1,0.05,IF(_xlfn.XLOOKUP(B110,'Base stats'!B:B,'Base stats'!C:C)&lt;=70,(_xlfn.XLOOKUP(B110,'Base stats'!B:B,'Base stats'!C:C)/70)^0.426489913056526,IF(_xlfn.XLOOKUP(B110,'Base stats'!B:B,'Base stats'!C:C)&lt;=400,(_xlfn.XLOOKUP(B110,'Base stats'!B:B,'Base stats'!C:C)/70)^0.572811455315093,IF(_xlfn.XLOOKUP(B110,'Base stats'!B:B,'Base stats'!C:C)&lt;=2000,2.71391647193063*(_xlfn.XLOOKUP(B110,'Base stats'!B:B,'Base stats'!C:C)/400)^0.252459582904293,3.74314280240376*(_xlfn.XLOOKUP(B110,'Base stats'!B:B,'Base stats'!C:C)/2000)^0.357012633876913)))),
IF(_xlfn.XLOOKUP(B110,'Base stats'!B:B,'Base stats'!C:C)&lt;0.1,0.05,IF(_xlfn.XLOOKUP(B110,'Base stats'!B:B,'Base stats'!C:C)&lt;0.4,0.1,IF(_xlfn.XLOOKUP(B110,'Base stats'!B:B,'Base stats'!C:C)&lt;=70,(_xlfn.XLOOKUP(B110,'Base stats'!B:B,'Base stats'!C:C)/70)^0.445823913056526,IF(_xlfn.XLOOKUP(B110,'Base stats'!B:B,'Base stats'!C:C)&lt;=400,(_xlfn.XLOOKUP(B110,'Base stats'!B:B,'Base stats'!C:C)/70)^0.572811455315093,IF(_xlfn.XLOOKUP(B110,'Base stats'!B:B,'Base stats'!C:C)&lt;=2000,2.71391647193063*(_xlfn.XLOOKUP(B110,'Base stats'!B:B,'Base stats'!C:C)/400)^0.252459582904293,3.74314280240376*(_xlfn.XLOOKUP(B110,'Base stats'!B:B,'Base stats'!C:C)/2000)^0.357012633876913)))))),
IF(_xlfn.XLOOKUP(B110,'Base stats'!B:B,'Base stats'!C:C)&lt;0.1,0.05,IF(_xlfn.XLOOKUP(B110,'Base stats'!B:B,'Base stats'!C:C)&lt;=100,0.05,IF(_xlfn.XLOOKUP(B110,'Base stats'!B:B,'Base stats'!C:C)&lt;=250,0.1,IF(_xlfn.XLOOKUP(B110,'Base stats'!B:B,'Base stats'!C:C)&lt;=4000,0.25,0.5)))))</f>
        <v>3.5</v>
      </c>
      <c r="AP110" s="8">
        <f>MROUND(AO110*_xlfn.XLOOKUP(_xlfn.XLOOKUP(B110,'Base stats'!B:B,'Base stats'!E:E),Groups!A:A,Groups!AI:AI)*_xlfn.XLOOKUP(B110,'Base stats'!B:B,'Base stats'!Z:Z),0.05)</f>
        <v>3.5</v>
      </c>
      <c r="AQ110" s="8">
        <f>MAX(0.01,MROUND(IF(CC110="True",0.196*(AO110*100*1000)^0.889,IF(_xlfn.XLOOKUP(_xlfn.XLOOKUP(B110,'Base stats'!B:B,'Base stats'!E:E),Groups!A:A,Groups!AJ:AJ)="Bird",10.5*(AO110*100*1000)^0.681,4.82*(AO110*100*1000)^0.734))/(4.82*(1*100*1000)^0.734)/IF(AO110&lt;3.5,2,IF(AO110=3.5,1.5,1.25))*(1+0.132282374779864/(AO110^0.994035016789033+0.00905238001496948)),0.05))</f>
        <v>1.75</v>
      </c>
      <c r="AR110" s="9">
        <f>IFERROR(MROUND(_xlfn.XLOOKUP(B110,'Base stats'!B:B,'Base stats'!H:H)/IF(_xlfn.XLOOKUP(B110,'Base stats'!B:B,'Base stats'!I:I)&lt;&gt;1,(122.5/70),1.2),IF(_xlfn.XLOOKUP(B110,'Base stats'!B:B,'Base stats'!H:H)&gt;=30,5,IF(_xlfn.XLOOKUP(B110,'Base stats'!B:B,'Base stats'!H:H)&gt;=15,3,IF(_xlfn.XLOOKUP(B110,'Base stats'!B:B,'Base stats'!H:H)&gt;=10,2,1)))),"Immortal")</f>
        <v>25</v>
      </c>
      <c r="AS110" s="35">
        <f>IFERROR(IF(OR(_xlfn.XLOOKUP(B110,'Base stats'!B:B,'Base stats'!F:F)="Atypical reproduction",_xlfn.XLOOKUP(B110,'Base stats'!B:B,'Base stats'!F:F)="Lay eggs"),"Lay eggs",MIN(20,MAX(5.5,ROUND(((_xlfn.XLOOKUP(B110,'Base stats'!B:B,'Base stats'!F:F)-25)*(14.5/615) + 5.5)*2,0)/2))),"Unknown")</f>
        <v>15.5</v>
      </c>
      <c r="AT110" s="8">
        <f>IF(_xlfn.XLOOKUP(B110,'Base stats'!B:B,'Base stats'!G:G)="Atypical reproduction","No",IFERROR(MAX(IF(_xlfn.XLOOKUP(B110,'Base stats'!B:B,'Base stats'!G:G)&lt;0.5,0.2,0.3),MROUND(_xlfn.XLOOKUP(B110,'Base stats'!B:B,'Base stats'!G:G)/(365/60),0.2)),"Unknown"))</f>
        <v>0.60000000000000009</v>
      </c>
      <c r="AU110" s="8">
        <f t="shared" si="8"/>
        <v>0.30000000000000004</v>
      </c>
      <c r="AV110" s="8">
        <f>IFERROR(IFERROR(MROUND(_xlfn.XLOOKUP(B110,'Base stats'!B:B,'Base stats'!J:J),0.1),"Lay eggs"),"Cannot breed")</f>
        <v>1</v>
      </c>
      <c r="AW110" s="2" t="str">
        <f t="shared" si="9"/>
        <v>true</v>
      </c>
      <c r="AX110" s="2" t="str">
        <f>IF(_xlfn.XLOOKUP(_xlfn.XLOOKUP(Animals!B110,'Base stats'!B:B,'Base stats'!E:E),Groups!A:A,Groups!AK:AK)=1,"true","false")</f>
        <v>true</v>
      </c>
      <c r="AY110" s="25" t="str">
        <f>IF(_xlfn.XLOOKUP(B110,'Base stats'!B:B,'Base stats'!Y:Y)="Liquor","Liquor, CarnivoreAnimalStrict",IF(AND(_xlfn.XLOOKUP(B110,'Base stats'!B:B,'Base stats'!Y:Y)="Carnivore",_xlfn.XLOOKUP(_xlfn.XLOOKUP(B110,'Base stats'!B:B,'Base stats'!E:E),Groups!A:A,Groups!AJ:AJ)="Photonozoa"),"CarnivoreAnimalStrict, OvivoreAnimal",IF(_xlfn.XLOOKUP(B110,'Base stats'!B:B,'Base stats'!Y:Y)="Carnivore","CarnivoreAnimal, OvivoreAnimal",IF(_xlfn.XLOOKUP(B110,'Base stats'!B:B,'Base stats'!Y:Y)="Dendrovore","VegetarianRoughAnimal, DendrovoreAnimal",IF(_xlfn.XLOOKUP(B110,'Base stats'!B:B,'Base stats'!Y:Y)="Herbivore","VegetarianRoughAnimal",IF(_xlfn.XLOOKUP(B110,'Base stats'!B:B,'Base stats'!Y:Y)="OmnivoreRough","OmnivoreRoughAnimal, OvivoreAnimal","OmnivoreAnimal, OvivoreAnimal"))))))</f>
        <v>VegetarianRoughAnimal</v>
      </c>
      <c r="AZ110" s="2">
        <f>IF(_xlfn.XLOOKUP(_xlfn.XLOOKUP(B110,'Base stats'!B:B,'Base stats'!E:E),Groups!A:A,Groups!D:D)=1,MROUND((1-J110)*5+1,2)*IF(J110&lt;=0.4,2,1),"No")</f>
        <v>2</v>
      </c>
      <c r="BA110" s="2" t="str">
        <f>IF(AND(_xlfn.XLOOKUP(B110,'Base stats'!B:B,'Base stats'!AH:AH)="&lt;li&gt;Seal&lt;/li&gt;",G110="Odyssey"),"&lt;li&gt;AEXP_Seal&lt;/li&gt;",_xlfn.XLOOKUP(B110,'Base stats'!B:B,'Base stats'!AH:AH))</f>
        <v>No</v>
      </c>
      <c r="BB110" s="2" t="str">
        <f>_xlfn.XLOOKUP(B110,'Base stats'!B:B,'Base stats'!AG:AG)</f>
        <v>Leather_Plain</v>
      </c>
      <c r="BC110" s="23" t="str">
        <f>_xlfn.XLOOKUP(_xlfn.XLOOKUP(B110,'Base stats'!B:B,'Base stats'!E:E),Groups!A:A,Groups!AL:AL)</f>
        <v>QuadrupedAnimalWithHooves</v>
      </c>
      <c r="BD110" s="23">
        <f>MIN(1,MROUND(IF(AND(AO110&lt;0.5,_xlfn.XLOOKUP(B110,'Base stats'!B:B,'Base stats'!AA:AA)=0),0,IF(OR(_xlfn.XLOOKUP(Animals!B110,'Base stats'!B:B,'Base stats'!O:O)=2,_xlfn.XLOOKUP(_xlfn.XLOOKUP(B110,'Base stats'!B:B,'Base stats'!E:E),Groups!A:A,Groups!AN:AN)=0),0,_xlfn.XLOOKUP(_xlfn.XLOOKUP(B110,'Base stats'!B:B,'Base stats'!E:E),Groups!A:A,Groups!AN:AN)/IF(_xlfn.XLOOKUP(Animals!B110,'Base stats'!B:B,'Base stats'!O:O)=1,2,1)))+_xlfn.XLOOKUP(B110,'Base stats'!B:B,'Base stats'!AC:AC),0.005))</f>
        <v>0</v>
      </c>
      <c r="BE110" s="23">
        <f>MIN(1,MROUND(IF(AND(AO110&lt;0.5,_xlfn.XLOOKUP(B110,'Base stats'!B:B,'Base stats'!AA:AA)=0),0,IF(_xlfn.XLOOKUP(_xlfn.XLOOKUP(B110,'Base stats'!B:B,'Base stats'!E:E),Groups!A:A,Groups!AO:AO)=0,0,_xlfn.XLOOKUP(_xlfn.XLOOKUP(B110,'Base stats'!B:B,'Base stats'!E:E),Groups!A:A,Groups!AO:AO)/IF(_xlfn.XLOOKUP(Animals!B110,'Base stats'!B:B,'Base stats'!O:O)=2,3,1)))+_xlfn.XLOOKUP(B110,'Base stats'!B:B,'Base stats'!AD:AD),0.005))</f>
        <v>0</v>
      </c>
      <c r="BF110" s="2" t="str">
        <f>IF(J110&gt;0.3,"No",_xlfn.XLOOKUP(_xlfn.XLOOKUP(Animals!B110,'Base stats'!B:B,'Base stats'!E:E),Groups!A:A,Groups!AP:AP))</f>
        <v>No</v>
      </c>
      <c r="BG110" s="2" t="str">
        <f>IF(AND(J110&lt;=0.65,_xlfn.XLOOKUP(_xlfn.XLOOKUP(Animals!B110,'Base stats'!B:B,'Base stats'!E:E),Groups!A:A,Groups!AP:AP)&lt;&gt;"No",_xlfn.XLOOKUP(_xlfn.XLOOKUP(B110,'Base stats'!B:B,'Base stats'!E:E),Groups!A:A,Groups!D:D)=0),MROUND((80/3)*IF(_xlfn.XLOOKUP(B110,'Base stats'!B:B,'Base stats'!O:O)=2,0.2,AO110) + 24*(1-IF(BF110="No",0,BF110)) + 16/3, 12),"No")</f>
        <v>No</v>
      </c>
      <c r="BH110" s="2">
        <f>IF(AND(_xlfn.XLOOKUP(_xlfn.XLOOKUP(B110,'Base stats'!B:B,'Base stats'!E:E),Groups!A:A,Groups!AQ:AQ)=1,AO110&lt;=0.35),8,12)</f>
        <v>12</v>
      </c>
      <c r="BI110" s="2" t="str">
        <f>IF(_xlfn.XLOOKUP(_xlfn.XLOOKUP(B110,'Base stats'!B:B,'Base stats'!E:E),Groups!A:A,Groups!D:D)=0,_xlfn.XLOOKUP(_xlfn.XLOOKUP(B110,'Base stats'!B:B,'Base stats'!E:E),Groups!A:A,Groups!AR:AR),"None")</f>
        <v>None</v>
      </c>
      <c r="BJ110" s="2" t="str">
        <f>IF(AND(_xlfn.XLOOKUP(_xlfn.XLOOKUP(B110,'Base stats'!B:B,'Base stats'!E:E),Groups!A:A,Groups!AS:AS)=1,OR(_xlfn.XLOOKUP(B110,'Base stats'!B:B,'Base stats'!Y:Y)="Carnivore",_xlfn.XLOOKUP(B110,'Base stats'!B:B,'Base stats'!Y:Y)="Omnivore")),"true","false")</f>
        <v>false</v>
      </c>
      <c r="BK110" s="2" t="str">
        <f>IF(BJ110="true",MROUND(IF(AND(AO110&gt;0.5,OR(_xlfn.XLOOKUP(_xlfn.XLOOKUP(B110,'Base stats'!B:B,'Base stats'!E:E),Groups!A:A,Groups!AJ:AJ)="Photonozoa",_xlfn.XLOOKUP(_xlfn.XLOOKUP(B110,'Base stats'!B:B,'Base stats'!E:E),Groups!A:A,Groups!AJ:AJ)="Mammal")),Animals!AO110*1.75*IF(AW110="true",1.5,1),IF(AO110&lt;0.5,Animals!AO110*0.5,Animals!AO110)),IF(AO110&gt;2,0.5,IF(AO110&gt;0.5,0.25,0.1))),"No")</f>
        <v>No</v>
      </c>
      <c r="BL110" s="2">
        <f t="shared" si="10"/>
        <v>0</v>
      </c>
      <c r="BM110" s="25" t="str">
        <f>IF(_xlfn.XLOOKUP(B110,'Base stats'!B:B,'Base stats'!AN:AN)="Standard","No",MROUND((_xlfn.XLOOKUP(B110,'Base stats'!B:B,'Base stats'!AN:AN)/3.6)/I110,0.1))</f>
        <v>No</v>
      </c>
      <c r="BN110" s="25" t="str">
        <f t="shared" si="11"/>
        <v>false</v>
      </c>
      <c r="BO110" s="25" t="str">
        <f>IF(AND(OR(_xlfn.XLOOKUP(B110,'Base stats'!B:B,'Base stats'!Y:Y)="Carnivore",_xlfn.XLOOKUP(B110,'Base stats'!B:B,'Base stats'!Y:Y)="Omnivore",_xlfn.XLOOKUP(B110,'Base stats'!B:B,'Base stats'!Y:Y)="OmnivoreRough"),_xlfn.XLOOKUP(_xlfn.XLOOKUP(B110,'Base stats'!B:B,'Base stats'!E:E),Groups!A:A,Groups!AT:AT)=1),"true","false")</f>
        <v>false</v>
      </c>
      <c r="BP110" s="25" t="str" cm="1">
        <f t="array" ref="BP110">IF(
  _xlfn.TEXTJOIN(", ",TRUE,
    IF(AND(BJ110="true",AO110&gt;0.5,BI110&lt;&gt;"None"),"AttackTarget",""),
    IF(AND(_xlfn.XLOOKUP(_xlfn.XLOOKUP(B110,'Base stats'!B:B,'Base stats'!E:E),Groups!A:A,Groups!AJ:AJ="Mammal"),OR(_xlfn.XLOOKUP(B110,'Base stats'!B:B,'Base stats'!Y:Y)="Omnivore",_xlfn.XLOOKUP(B110,'Base stats'!B:B,'Base stats'!Y:Y)="OmnivoreRough")),"Forage",""),
    IF(BG110&lt;=36,"Comfort",""),
    IF(_xlfn.XLOOKUP(B110,'Base stats'!B:B,'Base stats'!AE:AE)&lt;&gt;"No",_xlfn.XLOOKUP(B110,'Base stats'!B:B,'Base stats'!AE:AE),"")
  ) = "",
  "No",
  _xlfn.TEXTJOIN(", ",TRUE,
    IF(AND(BJ110="true",AO110&gt;0.5,BI110&lt;&gt;"None"),"AttackTarget",""),
    IF(AND(_xlfn.XLOOKUP(_xlfn.XLOOKUP(B110,'Base stats'!B:B,'Base stats'!E:E),Groups!A:A,Groups!AJ:AJ="Mammal"),OR(_xlfn.XLOOKUP(B110,'Base stats'!B:B,'Base stats'!Y:Y)="Omnivore",_xlfn.XLOOKUP(B110,'Base stats'!B:B,'Base stats'!Y:Y)="OmnivoreRough")),"Forage",""),
    IF(BG110&lt;=36,"Comfort",""),
    IF(_xlfn.XLOOKUP(B110,'Base stats'!B:B,'Base stats'!AE:AE)&lt;&gt;"No",_xlfn.XLOOKUP(B110,'Base stats'!B:B,'Base stats'!AE:AE),"")
  )
)</f>
        <v>No</v>
      </c>
      <c r="BQ110" s="25" t="str">
        <f>IF(
   AND(
      'Base stats'!AN110="Standard",_xlfn.XLOOKUP(_xlfn.XLOOKUP(B110,'Base stats'!B:B,'Base stats'!E:E),Groups!A:A,Groups!AU:AU)=0,
      OR(
      BO110="True"
      )
   ),
   10,
   IF(
       OR(BM110&lt;&gt;"No",_xlfn.XLOOKUP(_xlfn.XLOOKUP(B110,'Base stats'!B:B,'Base stats'!E:E),Groups!A:A,Groups!AU:AU)=1),
      1,
      "No"
   )
)</f>
        <v>No</v>
      </c>
      <c r="BR110" s="9">
        <f>MROUND((1 + ((0.2*IF(OR(Q110="No",R110="No",R110=0),0,Q110/R110)
+IF(OR(V110="No",S110="No",T110="No"),0,S110/T110*(LEN(V110)-LEN(SUBSTITUTE(V110,",",""))+1))
+IF(OR(X110="No",Y110="No"),0,X110/Y110)
+IF(OR(AD110="No",AE110="No"),0,AD110/AE110)
+IF(OR(AL110="No",AI110="No",AJ110="No"),0,AI110/AJ110*(LEN(AL110)-LEN(SUBSTITUTE(AL110,",",""))+1))
)/(0.2*IF(OR(Q110="No",R110="No",R110=0),0,1)
+IF(OR(V110="No",S110="No",T110="No"),0,LEN(V110)-LEN(SUBSTITUTE(V110,",",""))+1)
+IF(OR(X110="No",Y110="No"),0,1)
+IF(OR(AD110="No",AE110="No"),0,1)
+IF(OR(AL110="No",AI110="No",AJ110="No"),0,LEN(AL110)-LEN(SUBSTITUTE(AL110,",",""))+1))*62%)* 2)*(1 + (AP110 / (IF(_xlfn.XLOOKUP(_xlfn.XLOOKUP(B110,'Base stats'!B:B,'Base stats'!E:E),Groups!A:A,Groups!AJ:AJ)="Photonozoa",0.3,1)) + _xlfn.XLOOKUP(B110,'Base stats'!B:B,'Base stats'!AV:AV) * 1.8) * 2) * 2.5 + 10 + I110 * 2,5)+IF(_xlfn.XLOOKUP(B110,'Base stats'!B:B,'Base stats'!AK:AK)=1,50,0)</f>
        <v>235</v>
      </c>
      <c r="BS110" s="8">
        <f t="shared" si="12"/>
        <v>2.1</v>
      </c>
      <c r="BT110" s="8" t="str">
        <f>_xlfn.XLOOKUP(B110,'Base stats'!B:B,'Base stats'!AF:AF)</f>
        <v>2~6</v>
      </c>
      <c r="BU110" s="2" t="str">
        <f>IF(AND(J110&lt;=0.95,OR(_xlfn.XLOOKUP(B110,'Base stats'!B:B,'Base stats'!AK:AK)=1,_xlfn.XLOOKUP(B110,'Base stats'!B:B,'Base stats'!Y:Y)="Carnivore",_xlfn.XLOOKUP(B110,'Base stats'!B:B,'Base stats'!Y:Y)="Omnivore",BE110&gt;0.1)),"true","false")</f>
        <v>false</v>
      </c>
      <c r="BV110" s="2" t="str">
        <f>IF(_xlfn.XLOOKUP(B110,'Base stats'!B:B,'Base stats'!AI:AI)=1,"true","false")</f>
        <v>false</v>
      </c>
      <c r="BW110" s="25" t="str">
        <f>IF(E110="BaseInsect","AnimalInsect",
IF(J110&gt;0.95,"AnimalExotic",
_xlfn.TEXTJOIN(", ",TRUE,
IF(OR(_xlfn.XLOOKUP(B110,'Base stats'!B:B,'Base stats'!AM:AM)=1,AND(_xlfn.XLOOKUP(B110,'Base stats'!B:B,'Base stats'!O:O)=0,_xlfn.XLOOKUP(_xlfn.XLOOKUP(B110,'Base stats'!B:B,'Base stats'!E:E),Groups!A:A,Groups!B:B)&gt;0)),"AnimalUncommon","AnimalCommon"),
IF(AND(_xlfn.XLOOKUP(B110,'Base stats'!B:B,'Base stats'!O:O)=2,_xlfn.XLOOKUP(_xlfn.XLOOKUP(B110,'Base stats'!B:B,'Base stats'!E:E),Groups!A:A,Groups!D:D)=0),"AnimalPet",IF(AND(_xlfn.XLOOKUP(B110,'Base stats'!B:B,'Base stats'!O:O)&lt;&gt;0,_xlfn.XLOOKUP(_xlfn.XLOOKUP(B110,'Base stats'!B:B,'Base stats'!E:E),Groups!A:A,Groups!D:D)&lt;&gt;0),"AnimalFarm","")),
IF(OR(_xlfn.XLOOKUP(B110,'Base stats'!B:B,'Base stats'!AK:AK)=1,AND(BI110&lt;&gt;"None",BR110&gt;=60),ISNUMBER(SEARCH("Attack target",BP110))),"AnimalFighter","")
)))</f>
        <v>AnimalUncommon</v>
      </c>
      <c r="BX110" s="25" t="str">
        <f>IF(G110="None",TRIM(
SUBSTITUTE(
IF(COUNTIF(Biomes!B$2:B$259,"="&amp;$C110)&gt;0,Biomes!B$1&amp;", ","")&amp;
IF(COUNTIF(Biomes!C$2:C$259,"="&amp;$C110)&gt;0,Biomes!C$1&amp;", ","")&amp;
IF(COUNTIF(Biomes!D$2:D$259,"="&amp;$C110)&gt;0,Biomes!D$1&amp;", ","")&amp;
IF(COUNTIF(Biomes!F$2:F$259,"="&amp;$C110)&gt;0,Biomes!F$1&amp;", ","")&amp;
IF(COUNTIF(Biomes!G$2:G$259,"="&amp;$C110)&gt;0,Biomes!G$1&amp;", ","")&amp;
IF(COUNTIF(Biomes!H$2:H$259,"="&amp;$C110)&gt;0,Biomes!H$1&amp;", ","")&amp;
IF(COUNTIF(Biomes!I$2:I$259,"="&amp;$C110)&gt;0,Biomes!I$1&amp;", ","")&amp;
IF(COUNTIF(Biomes!J$2:J$259,"="&amp;$C110)&gt;0,Biomes!J$1&amp;", ","")&amp;
IF(COUNTIF(Biomes!M$2:M$259,"="&amp;$C110)&gt;0,Biomes!M$1&amp;", ","")&amp;
IF(COUNTIF(Biomes!N$2:N$259,"="&amp;$C110)&gt;0,Biomes!N$1&amp;", ","")&amp;
IF(COUNTIF(Biomes!O$2:O$259,"="&amp;$C110)&gt;0,Biomes!O$1&amp;", ","")&amp;
IF(COUNTIF(Biomes!P$2:P$259,"="&amp;$C110)&gt;0,Biomes!P$1&amp;", ","")&amp;
IF(COUNTIF(Biomes!K$2:K$259,"="&amp;$C110)&gt;0,Biomes!K$1&amp;", ","")&amp;
IF(COUNTIF(Biomes!Q$3:Q$259,"="&amp;$C110)&gt;0,Biomes!Q$1&amp;", ","")&amp;
IF(COUNTIF(Biomes!L$2:L$259,"="&amp;$C110)&gt;0,Biomes!L$1&amp;", ","")&amp;
IF(COUNTIF(Biomes!E$2:E$259,"="&amp;$C110)&gt;0,Biomes!E$1&amp;", ","")&amp;IF(COUNTIF(Biomes!S$2:S$259,"="&amp;$C110)&gt;0,Biomes!S$1&amp;", ","")&amp;
IF(COUNTIF(Biomes!R$2:R$259,"="&amp;$C110)&gt;0,Biomes!R$1&amp;", ",""),", ","")
),_xlfn.XLOOKUP(B110,B:B,BX:BX))</f>
        <v>AridShrubland Grasslands</v>
      </c>
      <c r="BY110" s="25" t="str">
        <f>IF(_xlfn.XLOOKUP(B110,'Base stats'!B:B,'Base stats'!AJ:AJ)=1,"true","false")</f>
        <v>false</v>
      </c>
      <c r="BZ110" s="25">
        <f>IF(_xlfn.XLOOKUP(B110,'Base stats'!B:B,'Base stats'!N:N)=1,"No",MAX(0.001,MIN(MROUND(IF(AND(BJ110="True",CC110="False"),POWER(10,3.47*LOG10(_xlfn.XLOOKUP(B110,'Base stats'!B:B,'Base stats'!C:C)*1000)^-0.96),POWER(10,4.15*LOG10(_xlfn.XLOOKUP(B110,'Base stats'!B:B,'Base stats'!C:C)*1000)^-0.73))*IF(_xlfn.XLOOKUP(B110,'Base stats'!B:B,'Base stats'!AK:AK)=1,0.5,1)*IF(_xlfn.XLOOKUP(B110,'Base stats'!B:B,'Base stats'!AM:AM)=1,0.1,1)/100,IF(_xlfn.XLOOKUP(B110,'Base stats'!B:B,'Base stats'!AM:AM)=1,0.001,0.025)),0.5)))</f>
        <v>0.125</v>
      </c>
      <c r="CA110" s="25" t="str">
        <f>IF(P110="Standard","No",MAX(0.001,MIN(MROUND(IF(AND(BJ110="True",CC110="False"),POWER(10,3.47*LOG10(_xlfn.XLOOKUP(B110,'Base stats'!B:B,'Base stats'!C:C)*1000)^-0.96),POWER(10,4.15*LOG10(_xlfn.XLOOKUP(B110,'Base stats'!B:B,'Base stats'!C:C)*1000)^-0.73))*IF(_xlfn.XLOOKUP(B110,'Base stats'!B:B,'Base stats'!AM:AM)=1,0.1,1)*_xlfn.XLOOKUP(B110,'Base stats'!B:B,'Base stats'!R:R)/100,IF(_xlfn.XLOOKUP(B110,'Base stats'!B:B,'Base stats'!AM:AM)=1,0.001,0.025)),0.5)))</f>
        <v>No</v>
      </c>
      <c r="CB110" s="25" t="str">
        <f>IF(_xlfn.XLOOKUP(_xlfn.XLOOKUP(B110,'Base stats'!B:B,'Base stats'!E:E),Groups!A:A,Groups!AJ:AJ)="Mammal","True","False")</f>
        <v>True</v>
      </c>
      <c r="CC110" s="25" t="str">
        <f>IF(OR(_xlfn.XLOOKUP(_xlfn.XLOOKUP(B110,'Base stats'!B:B,'Base stats'!E:E),Groups!A:A,Groups!AJ:AJ)="Reptile",_xlfn.XLOOKUP(_xlfn.XLOOKUP(B110,'Base stats'!B:B,'Base stats'!E:E),Groups!A:A,Groups!AJ:AJ)="Amphibian",_xlfn.XLOOKUP(_xlfn.XLOOKUP(B110,'Base stats'!B:B,'Base stats'!E:E),Groups!A:A,Groups!AJ:AJ)="Invertebrate"),"True","False")</f>
        <v>False</v>
      </c>
      <c r="CD110" s="25" t="str">
        <f t="shared" si="13"/>
        <v>False</v>
      </c>
      <c r="CE110" s="25" t="str">
        <f>IF(_xlfn.XLOOKUP(_xlfn.XLOOKUP(B110,'Base stats'!B:B,'Base stats'!E:E),Groups!A:A,Groups!AX:AX),"True","False")</f>
        <v>False</v>
      </c>
      <c r="CF110" s="25" t="str">
        <f>IF(_xlfn.XLOOKUP(_xlfn.XLOOKUP(B110,'Base stats'!B:B,'Base stats'!E:E),Groups!A:A,Groups!AY:AY),"True","False")</f>
        <v>False</v>
      </c>
      <c r="CG110" s="25" t="str">
        <f>IF(_xlfn.XLOOKUP(_xlfn.XLOOKUP(B110,'Base stats'!B:B,'Base stats'!E:E),Groups!A:A,Groups!AW:AW),"True","False")</f>
        <v>False</v>
      </c>
      <c r="CH110" s="25" t="str">
        <f>IF(
OR(
_xlfn.XLOOKUP(_xlfn.XLOOKUP(B110,'Base stats'!B:B,'Base stats'!E:E),Groups!A:A,Groups!AZ:AZ)=0,
AND(
_xlfn.XLOOKUP(B110,'Base stats'!B:B,'Base stats'!Y:Y)&lt;&gt;"Carnivore",
_xlfn.XLOOKUP(B110,'Base stats'!B:B,'Base stats'!Y:Y)&lt;&gt;"Omnivore",
_xlfn.XLOOKUP(B110,'Base stats'!B:B,'Base stats'!Y:Y)&lt;&gt;"OmnivoreRough"
)
),
"No",
IF(
_xlfn.XLOOKUP(_xlfn.XLOOKUP(B110,'Base stats'!B:B,'Base stats'!E:E),Groups!A:A,Groups!AZ:AZ)=1,
"Flesh",
IF(
_xlfn.XLOOKUP(_xlfn.XLOOKUP(B110,'Base stats'!B:B,'Base stats'!E:E),Groups!A:A,Groups!AZ:AZ)=2,
"Bone",
""
)
)
)</f>
        <v>No</v>
      </c>
      <c r="CI110" s="25" t="str">
        <f>IF(_xlfn.XLOOKUP(_xlfn.XLOOKUP(B110,'Base stats'!B:B,'Base stats'!E:E),Groups!A:A,Groups!BB:BB),"True","False")</f>
        <v>True</v>
      </c>
      <c r="CJ110" s="25" t="str">
        <f>IF(_xlfn.XLOOKUP(_xlfn.XLOOKUP(B110,'Base stats'!B:B,'Base stats'!E:E),Groups!A:A,Groups!BA:BA),"True","False")</f>
        <v>False</v>
      </c>
    </row>
    <row r="111" spans="1:88" ht="16.5" thickTop="1" thickBot="1" x14ac:dyDescent="0.3">
      <c r="A111" s="26" t="str">
        <f>_xlfn.XLOOKUP(B111,'Base stats'!B:B,'Base stats'!A:A)</f>
        <v>Zebra</v>
      </c>
      <c r="B111" s="6" t="s">
        <v>93</v>
      </c>
      <c r="C111" s="28" t="s">
        <v>792</v>
      </c>
      <c r="D111" s="28" t="s">
        <v>872</v>
      </c>
      <c r="E111" s="28" t="s">
        <v>673</v>
      </c>
      <c r="F111" s="28" t="s">
        <v>673</v>
      </c>
      <c r="G111" s="28" t="s">
        <v>673</v>
      </c>
      <c r="H111" s="2">
        <f>MROUND((
  (IF(AND(_xlfn.XLOOKUP(B111,'Base stats'!B:B,'Base stats'!AL:AL)=0,BI111="None",_xlfn.XLOOKUP(_xlfn.XLOOKUP(B111,'Base stats'!B:B,'Base stats'!E:E),Groups!A:A,Groups!B:B)=0), (18 + BR111 * 2.7) * 0.5,
    IF(AND(_xlfn.XLOOKUP(B111,'Base stats'!B:B,'Base stats'!AL:AL)=0,OR(AO111&lt;0.55,AND(BI111="Intermediate",_xlfn.XLOOKUP(_xlfn.XLOOKUP(B111,'Base stats'!B:B,'Base stats'!E:E),Groups!A:A,Groups!B:B)&lt;2))), (18 + BR111 * 2.7),
      IF(OR(BI111="Advanced",_xlfn.XLOOKUP(B111,'Base stats'!B:B,'Base stats'!AL:AL)=1,_xlfn.XLOOKUP(_xlfn.XLOOKUP(B111,'Base stats'!B:B,'Base stats'!E:E),Groups!A:A,Groups!B:B)=2), (18 + BR111 * 2.7) + 250, (18 + BR111 * 2.7))
    )
  ))
  + AO111 * 80
  + IF(COUNTIF(EggMilk!K$2:K$998, A111) &gt; 0, 125, 0)
  + IF(COUNTIF(EggMilk!P$2:P$998, A111) &gt; 0, 90, 0)
  + IF(COUNTIF(EggMilk!A$2:A$998, A111) &gt; 0, 90, 0)
)
* (0.8 + 0.4 * J111)
* 0.75,25)</f>
        <v>350</v>
      </c>
      <c r="I111" s="2">
        <f>MROUND(ROUNDDOWN(_xlfn.XLOOKUP(B111,'Base stats'!B:B,'Base stats'!L:L)/3.6/(23.3/11),1),0.5)</f>
        <v>9</v>
      </c>
      <c r="J111" s="2">
        <f>IF(OR(_xlfn.XLOOKUP(B111,'Base stats'!B:B,'Base stats'!AB:AB)=1,_xlfn.XLOOKUP(_xlfn.XLOOKUP(B111,'Base stats'!B:B,'Base stats'!E:E),Groups!A:A,Groups!C:C)="Untamable"),1,IF(_xlfn.XLOOKUP(B111,'Base stats'!B:B,'Base stats'!AL:AL)=1,0.99,MIN(MROUND((1-0.6282*EXP(-0.459*AO111))*_xlfn.XLOOKUP(_xlfn.XLOOKUP(B111,'Base stats'!B:B,'Base stats'!E:E),Groups!A:A,Groups!C:C)*IF(_xlfn.XLOOKUP(B111,'Base stats'!B:B,'Base stats'!O:O)=1,0.5,IF(_xlfn.XLOOKUP(B111,'Base stats'!B:B,'Base stats'!O:O)=2,0,1)),0.05),IF(AO111&gt;3.5,0.985,0.95))))</f>
        <v>0.8</v>
      </c>
      <c r="K111" s="2">
        <f>ROUNDUP(AO111*_xlfn.XLOOKUP(_xlfn.XLOOKUP(B111,'Base stats'!B:B,'Base stats'!E:E),Groups!A:A,Groups!E:E),0)</f>
        <v>12</v>
      </c>
      <c r="L111" s="2">
        <f>IF(OR(_xlfn.XLOOKUP(_xlfn.XLOOKUP(B111,'Base stats'!B:B,'Base stats'!E:E),Groups!A:A,Groups!F:F)=2,ISNUMBER(SEARCH("SeaIce",BX111)),ISNUMBER(SEARCH("IceSheet",BX111))),-50,IF(OR(ISNUMBER(SEARCH("GlacialPlain",BX111)),ISNUMBER(SEARCH("Tundra",BX111))),-40,IF(OR(ISNUMBER(SEARCH("Alpine",BX111)),ISNUMBER(SEARCH("BorealForest",BX111)),ISNUMBER(SEARCH("ColdBog",BX111))),-30,IF(OR(ISNUMBER(SEARCH("TemperateForest",BX111)),ISNUMBER(SEARCH("TemperateSwamp",BX111))),-20,IF(_xlfn.XLOOKUP(_xlfn.XLOOKUP(B111,'Base stats'!B:B,'Base stats'!E:E),Groups!A:A,Groups!F:F)=1,-15,IF(OR(ISNUMBER(SEARCH("Desert",BX111)),ISNUMBER(SEARCH("ExtremeDesert",BX111))),-10,IF(OR(ISNUMBER(SEARCH("Grasslands",BX111)),ISNUMBER(SEARCH("TropicalRainforest",BX111)),ISNUMBER(SEARCH("TropicalSwamp",BX111))),10,0)))))))-IF(CC111="False",MIN(IFERROR(MAX(MROUND(LOG10(_xlfn.XLOOKUP(B111,'Base stats'!B:B,'Base stats'!C:C)^(2/3))*10,5),5),5),30))-_xlfn.XLOOKUP(B111,'Base stats'!B:B,'Base stats'!P:P)+IF(CC111="True",5,0)</f>
        <v>-30</v>
      </c>
      <c r="M111" s="2">
        <f>IF(OR(_xlfn.XLOOKUP(_xlfn.XLOOKUP(B111,'Base stats'!B:B,'Base stats'!E:E),Groups!A:A,Groups!G:G)=2,ISNUMBER(SEARCH("Desert",BX111)),ISNUMBER(SEARCH("ExtremeDesert",BX111)),ISNUMBER(SEARCH("LavaField",BX111))),50,IF(ISNUMBER(SEARCH("Grasslands",BX111)),45,IF(OR(_xlfn.XLOOKUP(_xlfn.XLOOKUP(B111,'Base stats'!B:B,'Base stats'!E:E),Groups!A:A,Groups!G:G)=1,ISNUMBER(SEARCH("TropicalRainforest",BX111)),ISNUMBER(SEARCH("TropicalSwamp",BX111))),40,IF(OR(ISNUMBER(SEARCH("TemperateForest",BX111)),ISNUMBER(SEARCH("TemperateSwamp",BX111))),35,IF(OR(ISNUMBER(SEARCH("Alpine",BX111)),ISNUMBER(SEARCH("BorealForest",BX111)),ISNUMBER(SEARCH("ColdBog",BX111))),30,IF(ISNUMBER(OR(ISNUMBER(SEARCH("GlacialPlain",BX111)),SEARCH("Tundra",BX111))),25,IF(OR(ISNUMBER(SEARCH("SeaIce",BX111)),ISNUMBER(SEARCH("IceSheet",BX111)),ISNUMBER(SEARCH("TropicalSwamp",BX111))),10,35)))))))+_xlfn.XLOOKUP(B111,'Base stats'!B:B,'Base stats'!Q:Q)</f>
        <v>50</v>
      </c>
      <c r="N111" s="8" t="str">
        <f>IF(
_xlfn.XLOOKUP(
_xlfn.XLOOKUP(B111,'Base stats'!B:B,'Base stats'!E:E),
Groups!A:A,
Groups!L:L
)=1,
MIN(
MROUND(
IF(
_xlfn.XLOOKUP(B111,'Animals CE'!B:B,'Animals CE'!Z:Z)&lt;=1.5,
_xlfn.XLOOKUP(B111,'Animals CE'!B:B,'Animals CE'!Z:Z)/2+0.05,
0.8+
(_xlfn.XLOOKUP(B111,'Animals CE'!B:B,'Animals CE'!Z:Z)-1.5)
*0.02
),
0.05
),
200%
),
"No"
)</f>
        <v>No</v>
      </c>
      <c r="O111" s="8" t="str">
        <f>IF(
_xlfn.XLOOKUP(
_xlfn.XLOOKUP(B111,'Base stats'!B:B,'Base stats'!E:E),
Groups!A:A,
Groups!L:L
)=1,
MIN(
MROUND(
IF(
_xlfn.XLOOKUP(B111,'Animals CE'!B:B,'Animals CE'!AA:AA)&lt;=1.5,
_xlfn.XLOOKUP(B111,'Animals CE'!B:B,'Animals CE'!AA:AA)/2+0.05,
0.8+
(_xlfn.XLOOKUP(B111,'Animals CE'!B:B,'Animals CE'!AA:AA)-1.5)
*0.02
),
0.05
),
200%
),
"No"
)</f>
        <v>No</v>
      </c>
      <c r="P111" s="2" t="str">
        <f>_xlfn.XLOOKUP(B111,'Base stats'!B:B,'Base stats'!R:R)</f>
        <v>Standard</v>
      </c>
      <c r="Q111" s="13">
        <f>MROUND((LOG10(_xlfn.XLOOKUP(B111,'Base stats'!B:B,'Base stats'!AR:AR))*(AO111^0.5)+(_xlfn.XLOOKUP(B111,'Base stats'!B:B,'Base stats'!AR:AR)/1000)^(2/3)+_xlfn.XLOOKUP(B111,'Base stats'!B:B,'Base stats'!BA:BA)/2)+0.5,0.5)</f>
        <v>13</v>
      </c>
      <c r="R111" s="7">
        <f>IF(Q111="No","No",MAX(1,MROUND(_xlfn.XLOOKUP(B111,'Base stats'!B:B,'Base stats'!C:C)^0.165,0.05)))</f>
        <v>2.5500000000000003</v>
      </c>
      <c r="S111" s="13">
        <f>IF(_xlfn.XLOOKUP(_xlfn.XLOOKUP(B111,'Base stats'!B:B,'Base stats'!E:E),Groups!A:A,Groups!P:P)=0,"No",MROUND((LOG10(_xlfn.XLOOKUP(B111,'Base stats'!B:B,'Base stats'!AS:AS))*(AO111^0.5)+(_xlfn.XLOOKUP(B111,'Base stats'!B:B,'Base stats'!AS:AS)/1000)^(2/3)+_xlfn.XLOOKUP(B111,'Base stats'!B:B,'Base stats'!BA:BA))+_xlfn.XLOOKUP(B111,'Base stats'!B:B,'Base stats'!AY:AY)+0.5,0.5))</f>
        <v>16</v>
      </c>
      <c r="T111" s="7">
        <f>IF(S111="No","No",MAX(_xlfn.XLOOKUP(_xlfn.XLOOKUP(B111,'Base stats'!B:B,'Base stats'!E:E),Groups!A:A,Groups!Q:Q),MROUND(_xlfn.XLOOKUP(_xlfn.XLOOKUP(B111,'Base stats'!B:B,'Base stats'!E:E),Groups!A:A,Groups!Q:Q)*_xlfn.XLOOKUP(B111,'Base stats'!B:B,'Base stats'!C:C)^0.165,0.05)))</f>
        <v>2.2000000000000002</v>
      </c>
      <c r="U111" s="7" t="str">
        <f>IF(S111="No","No",_xlfn.XLOOKUP(_xlfn.XLOOKUP(B111,'Base stats'!B:B,'Base stats'!E:E),Groups!A:A,Groups!R:R))</f>
        <v>FrontLeftLeg, FrontRightLeg</v>
      </c>
      <c r="V111" s="7" t="str">
        <f>IF(S111="No","No",_xlfn.XLOOKUP(_xlfn.XLOOKUP(B111,'Base stats'!B:B,'Base stats'!E:E),Groups!A:A,Groups!S:S))</f>
        <v>left hoof, right hoof</v>
      </c>
      <c r="W111" s="7" t="str">
        <f>IF(S111="No","No",_xlfn.XLOOKUP(_xlfn.XLOOKUP(B111,'Base stats'!B:B,'Base stats'!E:E),Groups!A:A,Groups!T:T))</f>
        <v>Blunt</v>
      </c>
      <c r="X111" s="13" t="str">
        <f>IF(_xlfn.XLOOKUP(B111,'Base stats'!B:B,'Base stats'!W:W)="No","No",MROUND((LOG10(_xlfn.XLOOKUP(B111,'Base stats'!B:B,'Base stats'!AU:AU))*(AO111^0.5)+(_xlfn.XLOOKUP(B111,'Base stats'!B:B,'Base stats'!AU:AU)/1000)^(2/3)+_xlfn.XLOOKUP(B111,'Base stats'!B:B,'Base stats'!AZ:AZ))+0.5+IF(_xlfn.XLOOKUP(_xlfn.XLOOKUP(B111,'Base stats'!B:B,'Base stats'!E:E),Groups!A:A,Groups!U:U)&lt;&gt;3,_xlfn.XLOOKUP(B111,'Base stats'!B:B,'Base stats'!BA:BA),0),0.5))</f>
        <v>No</v>
      </c>
      <c r="Y111" s="7" t="str">
        <f>IF(X111="No","No",MAX(_xlfn.XLOOKUP(_xlfn.XLOOKUP(B111,'Base stats'!B:B,'Base stats'!E:E),Groups!A:A,Groups!V:V),MROUND(_xlfn.XLOOKUP(_xlfn.XLOOKUP(B111,'Base stats'!B:B,'Base stats'!E:E),Groups!A:A,Groups!V:V)*_xlfn.XLOOKUP(B111,'Base stats'!B:B,'Base stats'!C:C)^0.165,0.05)))</f>
        <v>No</v>
      </c>
      <c r="Z111" s="7" t="str">
        <f>IF(X111="No","No",_xlfn.XLOOKUP(_xlfn.XLOOKUP(B111,'Base stats'!B:B,'Base stats'!E:E),Groups!A:A,Groups!W:W))</f>
        <v>No</v>
      </c>
      <c r="AA111" s="7" t="str">
        <f>IF(X111="No","No",_xlfn.XLOOKUP(_xlfn.XLOOKUP(B111,'Base stats'!B:B,'Base stats'!E:E),Groups!A:A,Groups!X:X))</f>
        <v>No</v>
      </c>
      <c r="AB111" s="7" t="str">
        <f>IF(X111="No","No",_xlfn.XLOOKUP(_xlfn.XLOOKUP(B111,'Base stats'!B:B,'Base stats'!E:E),Groups!A:A,Groups!Y:Y))</f>
        <v>No</v>
      </c>
      <c r="AC111" s="7" t="str">
        <f>_xlfn.XLOOKUP(Animals!B111,'Base stats'!B:B,'Base stats'!X:X)</f>
        <v>False</v>
      </c>
      <c r="AD111" s="13">
        <f>IF(_xlfn.XLOOKUP(B111,'Base stats'!B:B,'Base stats'!AT:AT)="No","No",MROUND((LOG10(_xlfn.XLOOKUP(B111,'Base stats'!B:B,'Base stats'!AT:AT))*(AO111^0.75)+(_xlfn.XLOOKUP(B111,'Base stats'!B:B,'Base stats'!AT:AT)/1000)^(2/3)+_xlfn.XLOOKUP(B111,'Base stats'!B:B,'Base stats'!AX:AX)+_xlfn.XLOOKUP(B111,'Base stats'!B:B,'Base stats'!BA:BA))+0.5,0.5))</f>
        <v>16.5</v>
      </c>
      <c r="AE111" s="7">
        <f>IF(AD111="No","No",MAX(_xlfn.XLOOKUP(_xlfn.XLOOKUP(B111,'Base stats'!B:B,'Base stats'!E:E),Groups!A:A,Groups!Z:Z),MROUND(_xlfn.XLOOKUP(_xlfn.XLOOKUP(B111,'Base stats'!B:B,'Base stats'!E:E),Groups!A:A,Groups!Z:Z)*_xlfn.XLOOKUP(B111,'Base stats'!B:B,'Base stats'!C:C)^0.165,0.05)))</f>
        <v>2.5500000000000003</v>
      </c>
      <c r="AF111" s="7" t="str">
        <f>IF(AD111="No","No",_xlfn.XLOOKUP(_xlfn.XLOOKUP(B111,'Base stats'!B:B,'Base stats'!E:E),Groups!A:A,Groups!AA:AA))</f>
        <v>Teeth</v>
      </c>
      <c r="AG111" s="7" t="str">
        <f>IF(AD111="No","No",_xlfn.XLOOKUP(_xlfn.XLOOKUP(B111,'Base stats'!B:B,'Base stats'!E:E),Groups!A:A,Groups!AB:AB))</f>
        <v>teeth</v>
      </c>
      <c r="AH111" s="7" t="str">
        <f>IF(AD111="No","No",_xlfn.XLOOKUP(_xlfn.XLOOKUP(B111,'Base stats'!B:B,'Base stats'!E:E),Groups!A:A,Groups!AC:AC))</f>
        <v>Bite</v>
      </c>
      <c r="AI111" s="13" t="str">
        <f>IF(_xlfn.XLOOKUP(_xlfn.XLOOKUP(B111,'Base stats'!B:B,'Base stats'!E:E),Groups!A:A,Groups!AD:AD)=0,"No",MROUND((LOG10(_xlfn.XLOOKUP(B111,'Base stats'!B:B,'Base stats'!AS:AS))*(AO111^0.75)+(_xlfn.XLOOKUP(B111,'Base stats'!B:B,'Base stats'!AS:AS)/1000)^(2/3)+_xlfn.XLOOKUP(B111,'Base stats'!B:B,'Base stats'!AY:AY)+_xlfn.XLOOKUP(B111,'Base stats'!B:B,'Base stats'!BA:BA))+0.5,0.5))</f>
        <v>No</v>
      </c>
      <c r="AJ111" s="7" t="str">
        <f>IF(AI111="No","No",MAX(_xlfn.XLOOKUP(_xlfn.XLOOKUP(B111,'Base stats'!B:B,'Base stats'!E:E),Groups!A:A,Groups!AE:AE),MROUND(_xlfn.XLOOKUP(_xlfn.XLOOKUP(B111,'Base stats'!B:B,'Base stats'!E:E),Groups!A:A,Groups!AE:AE)*IF(_xlfn.XLOOKUP(_xlfn.XLOOKUP(B111,'Base stats'!B:B,'Base stats'!E:E),Groups!A:A,Groups!AJ:AJ)="Photonozoa",0.6,1)*_xlfn.XLOOKUP(B111,'Base stats'!B:B,'Base stats'!C:C)^0.165,0.05)))</f>
        <v>No</v>
      </c>
      <c r="AK111" s="7" t="str">
        <f>IF(AI111="No","No",_xlfn.XLOOKUP(_xlfn.XLOOKUP(B111,'Base stats'!B:B,'Base stats'!E:E),Groups!A:A,Groups!AF:AF))</f>
        <v>No</v>
      </c>
      <c r="AL111" s="7" t="str">
        <f>IF(AI111="No","No",_xlfn.XLOOKUP(_xlfn.XLOOKUP(B111,'Base stats'!B:B,'Base stats'!E:E),Groups!A:A,Groups!AG:AG))</f>
        <v>No</v>
      </c>
      <c r="AM111" s="7" t="str">
        <f>IF(AI111="No","No",_xlfn.XLOOKUP(_xlfn.XLOOKUP(B111,'Base stats'!B:B,'Base stats'!E:E),Groups!A:A,Groups!AH:AH))</f>
        <v>No</v>
      </c>
      <c r="AN111" s="2" t="str">
        <f t="shared" si="7"/>
        <v>No</v>
      </c>
      <c r="AO111" s="2">
        <f>MROUND(IF(AND(_xlfn.XLOOKUP(B111,'Base stats'!B:B,'Base stats'!C:C)&gt;=0.5,_xlfn.XLOOKUP(B111,'Base stats'!B:B,'Base stats'!C:C)&lt;=0.8),
IF(_xlfn.XLOOKUP(B111,'Base stats'!B:B,'Base stats'!C:C)&lt;0.1,0.05,IF(_xlfn.XLOOKUP(B111,'Base stats'!B:B,'Base stats'!C:C)&lt;=70,(_xlfn.XLOOKUP(B111,'Base stats'!B:B,'Base stats'!C:C)/70)^0.426489913056526,IF(_xlfn.XLOOKUP(B111,'Base stats'!B:B,'Base stats'!C:C)&lt;=400,(_xlfn.XLOOKUP(B111,'Base stats'!B:B,'Base stats'!C:C)/70)^0.572811455315093,IF(_xlfn.XLOOKUP(B111,'Base stats'!B:B,'Base stats'!C:C)&lt;=2000,2.71391647193063*(_xlfn.XLOOKUP(B111,'Base stats'!B:B,'Base stats'!C:C)/400)^0.252459582904293,3.74314280240376*(_xlfn.XLOOKUP(B111,'Base stats'!B:B,'Base stats'!C:C)/2000)^0.357012633876913)))),
IF(_xlfn.XLOOKUP(B111,'Base stats'!B:B,'Base stats'!C:C)&lt;0.1,0.05,IF(_xlfn.XLOOKUP(B111,'Base stats'!B:B,'Base stats'!C:C)&lt;0.4,0.1,IF(_xlfn.XLOOKUP(B111,'Base stats'!B:B,'Base stats'!C:C)&lt;=70,(_xlfn.XLOOKUP(B111,'Base stats'!B:B,'Base stats'!C:C)/70)^0.445823913056526,IF(_xlfn.XLOOKUP(B111,'Base stats'!B:B,'Base stats'!C:C)&lt;=400,(_xlfn.XLOOKUP(B111,'Base stats'!B:B,'Base stats'!C:C)/70)^0.572811455315093,IF(_xlfn.XLOOKUP(B111,'Base stats'!B:B,'Base stats'!C:C)&lt;=2000,2.71391647193063*(_xlfn.XLOOKUP(B111,'Base stats'!B:B,'Base stats'!C:C)/400)^0.252459582904293,3.74314280240376*(_xlfn.XLOOKUP(B111,'Base stats'!B:B,'Base stats'!C:C)/2000)^0.357012633876913)))))),
IF(_xlfn.XLOOKUP(B111,'Base stats'!B:B,'Base stats'!C:C)&lt;0.1,0.05,IF(_xlfn.XLOOKUP(B111,'Base stats'!B:B,'Base stats'!C:C)&lt;=100,0.05,IF(_xlfn.XLOOKUP(B111,'Base stats'!B:B,'Base stats'!C:C)&lt;=250,0.1,IF(_xlfn.XLOOKUP(B111,'Base stats'!B:B,'Base stats'!C:C)&lt;=4000,0.25,0.5)))))</f>
        <v>2.25</v>
      </c>
      <c r="AP111" s="8">
        <f>MROUND(AO111*_xlfn.XLOOKUP(_xlfn.XLOOKUP(B111,'Base stats'!B:B,'Base stats'!E:E),Groups!A:A,Groups!AI:AI)*_xlfn.XLOOKUP(B111,'Base stats'!B:B,'Base stats'!Z:Z),0.05)</f>
        <v>2.25</v>
      </c>
      <c r="AQ111" s="8">
        <f>MAX(0.01,MROUND(IF(CC111="True",0.196*(AO111*100*1000)^0.889,IF(_xlfn.XLOOKUP(_xlfn.XLOOKUP(B111,'Base stats'!B:B,'Base stats'!E:E),Groups!A:A,Groups!AJ:AJ)="Bird",10.5*(AO111*100*1000)^0.681,4.82*(AO111*100*1000)^0.734))/(4.82*(1*100*1000)^0.734)/IF(AO111&lt;3.5,2,IF(AO111=3.5,1.5,1.25))*(1+0.132282374779864/(AO111^0.994035016789033+0.00905238001496948)),0.05))</f>
        <v>0.95000000000000007</v>
      </c>
      <c r="AR111" s="9">
        <f>IFERROR(MROUND(_xlfn.XLOOKUP(B111,'Base stats'!B:B,'Base stats'!H:H)/IF(_xlfn.XLOOKUP(B111,'Base stats'!B:B,'Base stats'!I:I)&lt;&gt;1,(122.5/70),1.2),IF(_xlfn.XLOOKUP(B111,'Base stats'!B:B,'Base stats'!H:H)&gt;=30,5,IF(_xlfn.XLOOKUP(B111,'Base stats'!B:B,'Base stats'!H:H)&gt;=15,3,IF(_xlfn.XLOOKUP(B111,'Base stats'!B:B,'Base stats'!H:H)&gt;=10,2,1)))),"Immortal")</f>
        <v>20</v>
      </c>
      <c r="AS111" s="35">
        <f>IFERROR(IF(OR(_xlfn.XLOOKUP(B111,'Base stats'!B:B,'Base stats'!F:F)="Atypical reproduction",_xlfn.XLOOKUP(B111,'Base stats'!B:B,'Base stats'!F:F)="Lay eggs"),"Lay eggs",MIN(20,MAX(5.5,ROUND(((_xlfn.XLOOKUP(B111,'Base stats'!B:B,'Base stats'!F:F)-25)*(14.5/615) + 5.5)*2,0)/2))),"Unknown")</f>
        <v>13.5</v>
      </c>
      <c r="AT111" s="8">
        <f>IF(_xlfn.XLOOKUP(B111,'Base stats'!B:B,'Base stats'!G:G)="Atypical reproduction","No",IFERROR(MAX(IF(_xlfn.XLOOKUP(B111,'Base stats'!B:B,'Base stats'!G:G)&lt;0.5,0.2,0.3),MROUND(_xlfn.XLOOKUP(B111,'Base stats'!B:B,'Base stats'!G:G)/(365/60),0.2)),"Unknown"))</f>
        <v>0.4</v>
      </c>
      <c r="AU111" s="8">
        <f t="shared" si="8"/>
        <v>0.2</v>
      </c>
      <c r="AV111" s="8">
        <f>IFERROR(IFERROR(MROUND(_xlfn.XLOOKUP(B111,'Base stats'!B:B,'Base stats'!J:J),0.1),"Lay eggs"),"Cannot breed")</f>
        <v>1</v>
      </c>
      <c r="AW111" s="2" t="str">
        <f t="shared" si="9"/>
        <v>true</v>
      </c>
      <c r="AX111" s="2" t="str">
        <f>IF(_xlfn.XLOOKUP(_xlfn.XLOOKUP(Animals!B111,'Base stats'!B:B,'Base stats'!E:E),Groups!A:A,Groups!AK:AK)=1,"true","false")</f>
        <v>true</v>
      </c>
      <c r="AY111" s="25" t="str">
        <f>IF(_xlfn.XLOOKUP(B111,'Base stats'!B:B,'Base stats'!Y:Y)="Liquor","Liquor, CarnivoreAnimalStrict",IF(AND(_xlfn.XLOOKUP(B111,'Base stats'!B:B,'Base stats'!Y:Y)="Carnivore",_xlfn.XLOOKUP(_xlfn.XLOOKUP(B111,'Base stats'!B:B,'Base stats'!E:E),Groups!A:A,Groups!AJ:AJ)="Photonozoa"),"CarnivoreAnimalStrict, OvivoreAnimal",IF(_xlfn.XLOOKUP(B111,'Base stats'!B:B,'Base stats'!Y:Y)="Carnivore","CarnivoreAnimal, OvivoreAnimal",IF(_xlfn.XLOOKUP(B111,'Base stats'!B:B,'Base stats'!Y:Y)="Dendrovore","VegetarianRoughAnimal, DendrovoreAnimal",IF(_xlfn.XLOOKUP(B111,'Base stats'!B:B,'Base stats'!Y:Y)="Herbivore","VegetarianRoughAnimal",IF(_xlfn.XLOOKUP(B111,'Base stats'!B:B,'Base stats'!Y:Y)="OmnivoreRough","OmnivoreRoughAnimal, OvivoreAnimal","OmnivoreAnimal, OvivoreAnimal"))))))</f>
        <v>VegetarianRoughAnimal</v>
      </c>
      <c r="AZ111" s="2">
        <f>IF(_xlfn.XLOOKUP(_xlfn.XLOOKUP(B111,'Base stats'!B:B,'Base stats'!E:E),Groups!A:A,Groups!D:D)=1,MROUND((1-J111)*5+1,2)*IF(J111&lt;=0.4,2,1),"No")</f>
        <v>2</v>
      </c>
      <c r="BA111" s="2" t="str">
        <f>IF(AND(_xlfn.XLOOKUP(B111,'Base stats'!B:B,'Base stats'!AH:AH)="&lt;li&gt;Seal&lt;/li&gt;",G111="Odyssey"),"&lt;li&gt;AEXP_Seal&lt;/li&gt;",_xlfn.XLOOKUP(B111,'Base stats'!B:B,'Base stats'!AH:AH))</f>
        <v>&lt;li&gt;Horse&lt;/li&gt;</v>
      </c>
      <c r="BB111" s="2" t="str">
        <f>_xlfn.XLOOKUP(B111,'Base stats'!B:B,'Base stats'!AG:AG)</f>
        <v>Leather_Plain</v>
      </c>
      <c r="BC111" s="23" t="str">
        <f>_xlfn.XLOOKUP(_xlfn.XLOOKUP(B111,'Base stats'!B:B,'Base stats'!E:E),Groups!A:A,Groups!AL:AL)</f>
        <v>QuadrupedAnimalWithHooves</v>
      </c>
      <c r="BD111" s="23">
        <f>MIN(1,MROUND(IF(AND(AO111&lt;0.5,_xlfn.XLOOKUP(B111,'Base stats'!B:B,'Base stats'!AA:AA)=0),0,IF(OR(_xlfn.XLOOKUP(Animals!B111,'Base stats'!B:B,'Base stats'!O:O)=2,_xlfn.XLOOKUP(_xlfn.XLOOKUP(B111,'Base stats'!B:B,'Base stats'!E:E),Groups!A:A,Groups!AN:AN)=0),0,_xlfn.XLOOKUP(_xlfn.XLOOKUP(B111,'Base stats'!B:B,'Base stats'!E:E),Groups!A:A,Groups!AN:AN)/IF(_xlfn.XLOOKUP(Animals!B111,'Base stats'!B:B,'Base stats'!O:O)=1,2,1)))+_xlfn.XLOOKUP(B111,'Base stats'!B:B,'Base stats'!AC:AC),0.005))</f>
        <v>0</v>
      </c>
      <c r="BE111" s="23">
        <f>MIN(1,MROUND(IF(AND(AO111&lt;0.5,_xlfn.XLOOKUP(B111,'Base stats'!B:B,'Base stats'!AA:AA)=0),0,IF(_xlfn.XLOOKUP(_xlfn.XLOOKUP(B111,'Base stats'!B:B,'Base stats'!E:E),Groups!A:A,Groups!AO:AO)=0,0,_xlfn.XLOOKUP(_xlfn.XLOOKUP(B111,'Base stats'!B:B,'Base stats'!E:E),Groups!A:A,Groups!AO:AO)/IF(_xlfn.XLOOKUP(Animals!B111,'Base stats'!B:B,'Base stats'!O:O)=2,3,1)))+_xlfn.XLOOKUP(B111,'Base stats'!B:B,'Base stats'!AD:AD),0.005))</f>
        <v>0</v>
      </c>
      <c r="BF111" s="2" t="str">
        <f>IF(J111&gt;0.3,"No",_xlfn.XLOOKUP(_xlfn.XLOOKUP(Animals!B111,'Base stats'!B:B,'Base stats'!E:E),Groups!A:A,Groups!AP:AP))</f>
        <v>No</v>
      </c>
      <c r="BG111" s="2" t="str">
        <f>IF(AND(J111&lt;=0.65,_xlfn.XLOOKUP(_xlfn.XLOOKUP(Animals!B111,'Base stats'!B:B,'Base stats'!E:E),Groups!A:A,Groups!AP:AP)&lt;&gt;"No",_xlfn.XLOOKUP(_xlfn.XLOOKUP(B111,'Base stats'!B:B,'Base stats'!E:E),Groups!A:A,Groups!D:D)=0),MROUND((80/3)*IF(_xlfn.XLOOKUP(B111,'Base stats'!B:B,'Base stats'!O:O)=2,0.2,AO111) + 24*(1-IF(BF111="No",0,BF111)) + 16/3, 12),"No")</f>
        <v>No</v>
      </c>
      <c r="BH111" s="2">
        <f>IF(AND(_xlfn.XLOOKUP(_xlfn.XLOOKUP(B111,'Base stats'!B:B,'Base stats'!E:E),Groups!A:A,Groups!AQ:AQ)=1,AO111&lt;=0.35),8,12)</f>
        <v>12</v>
      </c>
      <c r="BI111" s="2" t="str">
        <f>IF(_xlfn.XLOOKUP(_xlfn.XLOOKUP(B111,'Base stats'!B:B,'Base stats'!E:E),Groups!A:A,Groups!D:D)=0,_xlfn.XLOOKUP(_xlfn.XLOOKUP(B111,'Base stats'!B:B,'Base stats'!E:E),Groups!A:A,Groups!AR:AR),"None")</f>
        <v>None</v>
      </c>
      <c r="BJ111" s="2" t="str">
        <f>IF(AND(_xlfn.XLOOKUP(_xlfn.XLOOKUP(B111,'Base stats'!B:B,'Base stats'!E:E),Groups!A:A,Groups!AS:AS)=1,OR(_xlfn.XLOOKUP(B111,'Base stats'!B:B,'Base stats'!Y:Y)="Carnivore",_xlfn.XLOOKUP(B111,'Base stats'!B:B,'Base stats'!Y:Y)="Omnivore")),"true","false")</f>
        <v>false</v>
      </c>
      <c r="BK111" s="2" t="str">
        <f>IF(BJ111="true",MROUND(IF(AND(AO111&gt;0.5,OR(_xlfn.XLOOKUP(_xlfn.XLOOKUP(B111,'Base stats'!B:B,'Base stats'!E:E),Groups!A:A,Groups!AJ:AJ)="Photonozoa",_xlfn.XLOOKUP(_xlfn.XLOOKUP(B111,'Base stats'!B:B,'Base stats'!E:E),Groups!A:A,Groups!AJ:AJ)="Mammal")),Animals!AO111*1.75*IF(AW111="true",1.5,1),IF(AO111&lt;0.5,Animals!AO111*0.5,Animals!AO111)),IF(AO111&gt;2,0.5,IF(AO111&gt;0.5,0.25,0.1))),"No")</f>
        <v>No</v>
      </c>
      <c r="BL111" s="2">
        <f t="shared" si="10"/>
        <v>0</v>
      </c>
      <c r="BM111" s="25" t="str">
        <f>IF(_xlfn.XLOOKUP(B111,'Base stats'!B:B,'Base stats'!AN:AN)="Standard","No",MROUND((_xlfn.XLOOKUP(B111,'Base stats'!B:B,'Base stats'!AN:AN)/3.6)/I111,0.1))</f>
        <v>No</v>
      </c>
      <c r="BN111" s="25" t="str">
        <f t="shared" si="11"/>
        <v>false</v>
      </c>
      <c r="BO111" s="25" t="str">
        <f>IF(AND(OR(_xlfn.XLOOKUP(B111,'Base stats'!B:B,'Base stats'!Y:Y)="Carnivore",_xlfn.XLOOKUP(B111,'Base stats'!B:B,'Base stats'!Y:Y)="Omnivore",_xlfn.XLOOKUP(B111,'Base stats'!B:B,'Base stats'!Y:Y)="OmnivoreRough"),_xlfn.XLOOKUP(_xlfn.XLOOKUP(B111,'Base stats'!B:B,'Base stats'!E:E),Groups!A:A,Groups!AT:AT)=1),"true","false")</f>
        <v>false</v>
      </c>
      <c r="BP111" s="25" t="str" cm="1">
        <f t="array" ref="BP111">IF(
  _xlfn.TEXTJOIN(", ",TRUE,
    IF(AND(BJ111="true",AO111&gt;0.5,BI111&lt;&gt;"None"),"AttackTarget",""),
    IF(AND(_xlfn.XLOOKUP(_xlfn.XLOOKUP(B111,'Base stats'!B:B,'Base stats'!E:E),Groups!A:A,Groups!AJ:AJ="Mammal"),OR(_xlfn.XLOOKUP(B111,'Base stats'!B:B,'Base stats'!Y:Y)="Omnivore",_xlfn.XLOOKUP(B111,'Base stats'!B:B,'Base stats'!Y:Y)="OmnivoreRough")),"Forage",""),
    IF(BG111&lt;=36,"Comfort",""),
    IF(_xlfn.XLOOKUP(B111,'Base stats'!B:B,'Base stats'!AE:AE)&lt;&gt;"No",_xlfn.XLOOKUP(B111,'Base stats'!B:B,'Base stats'!AE:AE),"")
  ) = "",
  "No",
  _xlfn.TEXTJOIN(", ",TRUE,
    IF(AND(BJ111="true",AO111&gt;0.5,BI111&lt;&gt;"None"),"AttackTarget",""),
    IF(AND(_xlfn.XLOOKUP(_xlfn.XLOOKUP(B111,'Base stats'!B:B,'Base stats'!E:E),Groups!A:A,Groups!AJ:AJ="Mammal"),OR(_xlfn.XLOOKUP(B111,'Base stats'!B:B,'Base stats'!Y:Y)="Omnivore",_xlfn.XLOOKUP(B111,'Base stats'!B:B,'Base stats'!Y:Y)="OmnivoreRough")),"Forage",""),
    IF(BG111&lt;=36,"Comfort",""),
    IF(_xlfn.XLOOKUP(B111,'Base stats'!B:B,'Base stats'!AE:AE)&lt;&gt;"No",_xlfn.XLOOKUP(B111,'Base stats'!B:B,'Base stats'!AE:AE),"")
  )
)</f>
        <v>No</v>
      </c>
      <c r="BQ111" s="25" t="str">
        <f>IF(
   AND(
      'Base stats'!AN111="Standard",_xlfn.XLOOKUP(_xlfn.XLOOKUP(B111,'Base stats'!B:B,'Base stats'!E:E),Groups!A:A,Groups!AU:AU)=0,
      OR(
      BO111="True"
      )
   ),
   10,
   IF(
       OR(BM111&lt;&gt;"No",_xlfn.XLOOKUP(_xlfn.XLOOKUP(B111,'Base stats'!B:B,'Base stats'!E:E),Groups!A:A,Groups!AU:AU)=1),
      1,
      "No"
   )
)</f>
        <v>No</v>
      </c>
      <c r="BR111" s="9">
        <f>MROUND((1 + ((0.2*IF(OR(Q111="No",R111="No",R111=0),0,Q111/R111)
+IF(OR(V111="No",S111="No",T111="No"),0,S111/T111*(LEN(V111)-LEN(SUBSTITUTE(V111,",",""))+1))
+IF(OR(X111="No",Y111="No"),0,X111/Y111)
+IF(OR(AD111="No",AE111="No"),0,AD111/AE111)
+IF(OR(AL111="No",AI111="No",AJ111="No"),0,AI111/AJ111*(LEN(AL111)-LEN(SUBSTITUTE(AL111,",",""))+1))
)/(0.2*IF(OR(Q111="No",R111="No",R111=0),0,1)
+IF(OR(V111="No",S111="No",T111="No"),0,LEN(V111)-LEN(SUBSTITUTE(V111,",",""))+1)
+IF(OR(X111="No",Y111="No"),0,1)
+IF(OR(AD111="No",AE111="No"),0,1)
+IF(OR(AL111="No",AI111="No",AJ111="No"),0,LEN(AL111)-LEN(SUBSTITUTE(AL111,",",""))+1))*62%)* 2)*(1 + (AP111 / (IF(_xlfn.XLOOKUP(_xlfn.XLOOKUP(B111,'Base stats'!B:B,'Base stats'!E:E),Groups!A:A,Groups!AJ:AJ)="Photonozoa",0.3,1)) + _xlfn.XLOOKUP(B111,'Base stats'!B:B,'Base stats'!AV:AV) * 1.8) * 2) * 2.5 + 10 + I111 * 2,5)+IF(_xlfn.XLOOKUP(B111,'Base stats'!B:B,'Base stats'!AK:AK)=1,50,0)</f>
        <v>160</v>
      </c>
      <c r="BS111" s="8">
        <f t="shared" si="12"/>
        <v>1.2000000000000002</v>
      </c>
      <c r="BT111" s="8" t="str">
        <f>_xlfn.XLOOKUP(B111,'Base stats'!B:B,'Base stats'!AF:AF)</f>
        <v>5~15</v>
      </c>
      <c r="BU111" s="2" t="str">
        <f>IF(AND(J111&lt;=0.95,OR(_xlfn.XLOOKUP(B111,'Base stats'!B:B,'Base stats'!AK:AK)=1,_xlfn.XLOOKUP(B111,'Base stats'!B:B,'Base stats'!Y:Y)="Carnivore",_xlfn.XLOOKUP(B111,'Base stats'!B:B,'Base stats'!Y:Y)="Omnivore",BE111&gt;0.1)),"true","false")</f>
        <v>false</v>
      </c>
      <c r="BV111" s="2" t="str">
        <f>IF(_xlfn.XLOOKUP(B111,'Base stats'!B:B,'Base stats'!AI:AI)=1,"true","false")</f>
        <v>false</v>
      </c>
      <c r="BW111" s="25" t="str">
        <f>IF(E111="BaseInsect","AnimalInsect",
IF(J111&gt;0.95,"AnimalExotic",
_xlfn.TEXTJOIN(", ",TRUE,
IF(OR(_xlfn.XLOOKUP(B111,'Base stats'!B:B,'Base stats'!AM:AM)=1,AND(_xlfn.XLOOKUP(B111,'Base stats'!B:B,'Base stats'!O:O)=0,_xlfn.XLOOKUP(_xlfn.XLOOKUP(B111,'Base stats'!B:B,'Base stats'!E:E),Groups!A:A,Groups!B:B)&gt;0)),"AnimalUncommon","AnimalCommon"),
IF(AND(_xlfn.XLOOKUP(B111,'Base stats'!B:B,'Base stats'!O:O)=2,_xlfn.XLOOKUP(_xlfn.XLOOKUP(B111,'Base stats'!B:B,'Base stats'!E:E),Groups!A:A,Groups!D:D)=0),"AnimalPet",IF(AND(_xlfn.XLOOKUP(B111,'Base stats'!B:B,'Base stats'!O:O)&lt;&gt;0,_xlfn.XLOOKUP(_xlfn.XLOOKUP(B111,'Base stats'!B:B,'Base stats'!E:E),Groups!A:A,Groups!D:D)&lt;&gt;0),"AnimalFarm","")),
IF(OR(_xlfn.XLOOKUP(B111,'Base stats'!B:B,'Base stats'!AK:AK)=1,AND(BI111&lt;&gt;"None",BR111&gt;=60),ISNUMBER(SEARCH("Attack target",BP111))),"AnimalFighter","")
)))</f>
        <v>AnimalCommon</v>
      </c>
      <c r="BX111" s="25" t="str">
        <f>IF(G111="None",TRIM(
SUBSTITUTE(
IF(COUNTIF(Biomes!B$2:B$259,"="&amp;$C111)&gt;0,Biomes!B$1&amp;", ","")&amp;
IF(COUNTIF(Biomes!C$2:C$259,"="&amp;$C111)&gt;0,Biomes!C$1&amp;", ","")&amp;
IF(COUNTIF(Biomes!D$2:D$259,"="&amp;$C111)&gt;0,Biomes!D$1&amp;", ","")&amp;
IF(COUNTIF(Biomes!F$2:F$259,"="&amp;$C111)&gt;0,Biomes!F$1&amp;", ","")&amp;
IF(COUNTIF(Biomes!G$2:G$259,"="&amp;$C111)&gt;0,Biomes!G$1&amp;", ","")&amp;
IF(COUNTIF(Biomes!H$2:H$259,"="&amp;$C111)&gt;0,Biomes!H$1&amp;", ","")&amp;
IF(COUNTIF(Biomes!I$2:I$259,"="&amp;$C111)&gt;0,Biomes!I$1&amp;", ","")&amp;
IF(COUNTIF(Biomes!J$2:J$259,"="&amp;$C111)&gt;0,Biomes!J$1&amp;", ","")&amp;
IF(COUNTIF(Biomes!M$2:M$259,"="&amp;$C111)&gt;0,Biomes!M$1&amp;", ","")&amp;
IF(COUNTIF(Biomes!N$2:N$259,"="&amp;$C111)&gt;0,Biomes!N$1&amp;", ","")&amp;
IF(COUNTIF(Biomes!O$2:O$259,"="&amp;$C111)&gt;0,Biomes!O$1&amp;", ","")&amp;
IF(COUNTIF(Biomes!P$2:P$259,"="&amp;$C111)&gt;0,Biomes!P$1&amp;", ","")&amp;
IF(COUNTIF(Biomes!K$2:K$259,"="&amp;$C111)&gt;0,Biomes!K$1&amp;", ","")&amp;
IF(COUNTIF(Biomes!Q$3:Q$259,"="&amp;$C111)&gt;0,Biomes!Q$1&amp;", ","")&amp;
IF(COUNTIF(Biomes!L$2:L$259,"="&amp;$C111)&gt;0,Biomes!L$1&amp;", ","")&amp;
IF(COUNTIF(Biomes!E$2:E$259,"="&amp;$C111)&gt;0,Biomes!E$1&amp;", ","")&amp;IF(COUNTIF(Biomes!S$2:S$259,"="&amp;$C111)&gt;0,Biomes!S$1&amp;", ","")&amp;
IF(COUNTIF(Biomes!R$2:R$259,"="&amp;$C111)&gt;0,Biomes!R$1&amp;", ",""),", ","")
),_xlfn.XLOOKUP(B111,B:B,BX:BX))</f>
        <v>AridShrubland Desert Grasslands LavaField</v>
      </c>
      <c r="BY111" s="25" t="str">
        <f>IF(_xlfn.XLOOKUP(B111,'Base stats'!B:B,'Base stats'!AJ:AJ)=1,"true","false")</f>
        <v>false</v>
      </c>
      <c r="BZ111" s="25">
        <f>IF(_xlfn.XLOOKUP(B111,'Base stats'!B:B,'Base stats'!N:N)=1,"No",MAX(0.001,MIN(MROUND(IF(AND(BJ111="True",CC111="False"),POWER(10,3.47*LOG10(_xlfn.XLOOKUP(B111,'Base stats'!B:B,'Base stats'!C:C)*1000)^-0.96),POWER(10,4.15*LOG10(_xlfn.XLOOKUP(B111,'Base stats'!B:B,'Base stats'!C:C)*1000)^-0.73))*IF(_xlfn.XLOOKUP(B111,'Base stats'!B:B,'Base stats'!AK:AK)=1,0.5,1)*IF(_xlfn.XLOOKUP(B111,'Base stats'!B:B,'Base stats'!AM:AM)=1,0.1,1)/100,IF(_xlfn.XLOOKUP(B111,'Base stats'!B:B,'Base stats'!AM:AM)=1,0.001,0.025)),0.5)))</f>
        <v>0.15000000000000002</v>
      </c>
      <c r="CA111" s="25" t="str">
        <f>IF(P111="Standard","No",MAX(0.001,MIN(MROUND(IF(AND(BJ111="True",CC111="False"),POWER(10,3.47*LOG10(_xlfn.XLOOKUP(B111,'Base stats'!B:B,'Base stats'!C:C)*1000)^-0.96),POWER(10,4.15*LOG10(_xlfn.XLOOKUP(B111,'Base stats'!B:B,'Base stats'!C:C)*1000)^-0.73))*IF(_xlfn.XLOOKUP(B111,'Base stats'!B:B,'Base stats'!AM:AM)=1,0.1,1)*_xlfn.XLOOKUP(B111,'Base stats'!B:B,'Base stats'!R:R)/100,IF(_xlfn.XLOOKUP(B111,'Base stats'!B:B,'Base stats'!AM:AM)=1,0.001,0.025)),0.5)))</f>
        <v>No</v>
      </c>
      <c r="CB111" s="25" t="str">
        <f>IF(_xlfn.XLOOKUP(_xlfn.XLOOKUP(B111,'Base stats'!B:B,'Base stats'!E:E),Groups!A:A,Groups!AJ:AJ)="Mammal","True","False")</f>
        <v>True</v>
      </c>
      <c r="CC111" s="25" t="str">
        <f>IF(OR(_xlfn.XLOOKUP(_xlfn.XLOOKUP(B111,'Base stats'!B:B,'Base stats'!E:E),Groups!A:A,Groups!AJ:AJ)="Reptile",_xlfn.XLOOKUP(_xlfn.XLOOKUP(B111,'Base stats'!B:B,'Base stats'!E:E),Groups!A:A,Groups!AJ:AJ)="Amphibian",_xlfn.XLOOKUP(_xlfn.XLOOKUP(B111,'Base stats'!B:B,'Base stats'!E:E),Groups!A:A,Groups!AJ:AJ)="Invertebrate"),"True","False")</f>
        <v>False</v>
      </c>
      <c r="CD111" s="25" t="str">
        <f t="shared" si="13"/>
        <v>False</v>
      </c>
      <c r="CE111" s="25" t="str">
        <f>IF(_xlfn.XLOOKUP(_xlfn.XLOOKUP(B111,'Base stats'!B:B,'Base stats'!E:E),Groups!A:A,Groups!AX:AX),"True","False")</f>
        <v>False</v>
      </c>
      <c r="CF111" s="25" t="str">
        <f>IF(_xlfn.XLOOKUP(_xlfn.XLOOKUP(B111,'Base stats'!B:B,'Base stats'!E:E),Groups!A:A,Groups!AY:AY),"True","False")</f>
        <v>False</v>
      </c>
      <c r="CG111" s="25" t="str">
        <f>IF(_xlfn.XLOOKUP(_xlfn.XLOOKUP(B111,'Base stats'!B:B,'Base stats'!E:E),Groups!A:A,Groups!AW:AW),"True","False")</f>
        <v>False</v>
      </c>
      <c r="CH111" s="25" t="str">
        <f>IF(
OR(
_xlfn.XLOOKUP(_xlfn.XLOOKUP(B111,'Base stats'!B:B,'Base stats'!E:E),Groups!A:A,Groups!AZ:AZ)=0,
AND(
_xlfn.XLOOKUP(B111,'Base stats'!B:B,'Base stats'!Y:Y)&lt;&gt;"Carnivore",
_xlfn.XLOOKUP(B111,'Base stats'!B:B,'Base stats'!Y:Y)&lt;&gt;"Omnivore",
_xlfn.XLOOKUP(B111,'Base stats'!B:B,'Base stats'!Y:Y)&lt;&gt;"OmnivoreRough"
)
),
"No",
IF(
_xlfn.XLOOKUP(_xlfn.XLOOKUP(B111,'Base stats'!B:B,'Base stats'!E:E),Groups!A:A,Groups!AZ:AZ)=1,
"Flesh",
IF(
_xlfn.XLOOKUP(_xlfn.XLOOKUP(B111,'Base stats'!B:B,'Base stats'!E:E),Groups!A:A,Groups!AZ:AZ)=2,
"Bone",
""
)
)
)</f>
        <v>No</v>
      </c>
      <c r="CI111" s="25" t="str">
        <f>IF(_xlfn.XLOOKUP(_xlfn.XLOOKUP(B111,'Base stats'!B:B,'Base stats'!E:E),Groups!A:A,Groups!BB:BB),"True","False")</f>
        <v>True</v>
      </c>
      <c r="CJ111" s="25" t="str">
        <f>IF(_xlfn.XLOOKUP(_xlfn.XLOOKUP(B111,'Base stats'!B:B,'Base stats'!E:E),Groups!A:A,Groups!BA:BA),"True","False")</f>
        <v>False</v>
      </c>
    </row>
    <row r="112" spans="1:88" ht="16.5" thickTop="1" thickBot="1" x14ac:dyDescent="0.3">
      <c r="A112" s="26" t="str">
        <f>_xlfn.XLOOKUP(B112,'Base stats'!B:B,'Base stats'!A:A)</f>
        <v>Wildebeest</v>
      </c>
      <c r="B112" s="6" t="s">
        <v>148</v>
      </c>
      <c r="C112" s="28" t="s">
        <v>793</v>
      </c>
      <c r="D112" s="28" t="s">
        <v>872</v>
      </c>
      <c r="E112" s="28" t="s">
        <v>673</v>
      </c>
      <c r="F112" s="28" t="s">
        <v>673</v>
      </c>
      <c r="G112" s="28" t="s">
        <v>673</v>
      </c>
      <c r="H112" s="2">
        <f>MROUND((
  (IF(AND(_xlfn.XLOOKUP(B112,'Base stats'!B:B,'Base stats'!AL:AL)=0,BI112="None",_xlfn.XLOOKUP(_xlfn.XLOOKUP(B112,'Base stats'!B:B,'Base stats'!E:E),Groups!A:A,Groups!B:B)=0), (18 + BR112 * 2.7) * 0.5,
    IF(AND(_xlfn.XLOOKUP(B112,'Base stats'!B:B,'Base stats'!AL:AL)=0,OR(AO112&lt;0.55,AND(BI112="Intermediate",_xlfn.XLOOKUP(_xlfn.XLOOKUP(B112,'Base stats'!B:B,'Base stats'!E:E),Groups!A:A,Groups!B:B)&lt;2))), (18 + BR112 * 2.7),
      IF(OR(BI112="Advanced",_xlfn.XLOOKUP(B112,'Base stats'!B:B,'Base stats'!AL:AL)=1,_xlfn.XLOOKUP(_xlfn.XLOOKUP(B112,'Base stats'!B:B,'Base stats'!E:E),Groups!A:A,Groups!B:B)=2), (18 + BR112 * 2.7) + 250, (18 + BR112 * 2.7))
    )
  ))
  + AO112 * 80
  + IF(COUNTIF(EggMilk!K$2:K$998, A112) &gt; 0, 125, 0)
  + IF(COUNTIF(EggMilk!P$2:P$998, A112) &gt; 0, 90, 0)
  + IF(COUNTIF(EggMilk!A$2:A$998, A112) &gt; 0, 90, 0)
)
* (0.8 + 0.4 * J112)
* 0.75,25)</f>
        <v>275</v>
      </c>
      <c r="I112" s="2">
        <f>MROUND(ROUNDDOWN(_xlfn.XLOOKUP(B112,'Base stats'!B:B,'Base stats'!L:L)/3.6/(23.3/11),1),0.5)</f>
        <v>10.5</v>
      </c>
      <c r="J112" s="2">
        <f>IF(OR(_xlfn.XLOOKUP(B112,'Base stats'!B:B,'Base stats'!AB:AB)=1,_xlfn.XLOOKUP(_xlfn.XLOOKUP(B112,'Base stats'!B:B,'Base stats'!E:E),Groups!A:A,Groups!C:C)="Untamable"),1,IF(_xlfn.XLOOKUP(B112,'Base stats'!B:B,'Base stats'!AL:AL)=1,0.99,MIN(MROUND((1-0.6282*EXP(-0.459*AO112))*_xlfn.XLOOKUP(_xlfn.XLOOKUP(B112,'Base stats'!B:B,'Base stats'!E:E),Groups!A:A,Groups!C:C)*IF(_xlfn.XLOOKUP(B112,'Base stats'!B:B,'Base stats'!O:O)=1,0.5,IF(_xlfn.XLOOKUP(B112,'Base stats'!B:B,'Base stats'!O:O)=2,0,1)),0.05),IF(AO112&gt;3.5,0.985,0.95))))</f>
        <v>0.65</v>
      </c>
      <c r="K112" s="2">
        <f>ROUNDUP(AO112*_xlfn.XLOOKUP(_xlfn.XLOOKUP(B112,'Base stats'!B:B,'Base stats'!E:E),Groups!A:A,Groups!E:E),0)</f>
        <v>10</v>
      </c>
      <c r="L112" s="2">
        <f>IF(OR(_xlfn.XLOOKUP(_xlfn.XLOOKUP(B112,'Base stats'!B:B,'Base stats'!E:E),Groups!A:A,Groups!F:F)=2,ISNUMBER(SEARCH("SeaIce",BX112)),ISNUMBER(SEARCH("IceSheet",BX112))),-50,IF(OR(ISNUMBER(SEARCH("GlacialPlain",BX112)),ISNUMBER(SEARCH("Tundra",BX112))),-40,IF(OR(ISNUMBER(SEARCH("Alpine",BX112)),ISNUMBER(SEARCH("BorealForest",BX112)),ISNUMBER(SEARCH("ColdBog",BX112))),-30,IF(OR(ISNUMBER(SEARCH("TemperateForest",BX112)),ISNUMBER(SEARCH("TemperateSwamp",BX112))),-20,IF(_xlfn.XLOOKUP(_xlfn.XLOOKUP(B112,'Base stats'!B:B,'Base stats'!E:E),Groups!A:A,Groups!F:F)=1,-15,IF(OR(ISNUMBER(SEARCH("Desert",BX112)),ISNUMBER(SEARCH("ExtremeDesert",BX112))),-10,IF(OR(ISNUMBER(SEARCH("Grasslands",BX112)),ISNUMBER(SEARCH("TropicalRainforest",BX112)),ISNUMBER(SEARCH("TropicalSwamp",BX112))),10,0)))))))-IF(CC112="False",MIN(IFERROR(MAX(MROUND(LOG10(_xlfn.XLOOKUP(B112,'Base stats'!B:B,'Base stats'!C:C)^(2/3))*10,5),5),5),30))-_xlfn.XLOOKUP(B112,'Base stats'!B:B,'Base stats'!P:P)+IF(CC112="True",5,0)</f>
        <v>-30</v>
      </c>
      <c r="M112" s="2">
        <f>IF(OR(_xlfn.XLOOKUP(_xlfn.XLOOKUP(B112,'Base stats'!B:B,'Base stats'!E:E),Groups!A:A,Groups!G:G)=2,ISNUMBER(SEARCH("Desert",BX112)),ISNUMBER(SEARCH("ExtremeDesert",BX112)),ISNUMBER(SEARCH("LavaField",BX112))),50,IF(ISNUMBER(SEARCH("Grasslands",BX112)),45,IF(OR(_xlfn.XLOOKUP(_xlfn.XLOOKUP(B112,'Base stats'!B:B,'Base stats'!E:E),Groups!A:A,Groups!G:G)=1,ISNUMBER(SEARCH("TropicalRainforest",BX112)),ISNUMBER(SEARCH("TropicalSwamp",BX112))),40,IF(OR(ISNUMBER(SEARCH("TemperateForest",BX112)),ISNUMBER(SEARCH("TemperateSwamp",BX112))),35,IF(OR(ISNUMBER(SEARCH("Alpine",BX112)),ISNUMBER(SEARCH("BorealForest",BX112)),ISNUMBER(SEARCH("ColdBog",BX112))),30,IF(ISNUMBER(OR(ISNUMBER(SEARCH("GlacialPlain",BX112)),SEARCH("Tundra",BX112))),25,IF(OR(ISNUMBER(SEARCH("SeaIce",BX112)),ISNUMBER(SEARCH("IceSheet",BX112)),ISNUMBER(SEARCH("TropicalSwamp",BX112))),10,35)))))))+_xlfn.XLOOKUP(B112,'Base stats'!B:B,'Base stats'!Q:Q)</f>
        <v>50</v>
      </c>
      <c r="N112" s="8" t="str">
        <f>IF(
_xlfn.XLOOKUP(
_xlfn.XLOOKUP(B112,'Base stats'!B:B,'Base stats'!E:E),
Groups!A:A,
Groups!L:L
)=1,
MIN(
MROUND(
IF(
_xlfn.XLOOKUP(B112,'Animals CE'!B:B,'Animals CE'!Z:Z)&lt;=1.5,
_xlfn.XLOOKUP(B112,'Animals CE'!B:B,'Animals CE'!Z:Z)/2+0.05,
0.8+
(_xlfn.XLOOKUP(B112,'Animals CE'!B:B,'Animals CE'!Z:Z)-1.5)
*0.02
),
0.05
),
200%
),
"No"
)</f>
        <v>No</v>
      </c>
      <c r="O112" s="8" t="str">
        <f>IF(
_xlfn.XLOOKUP(
_xlfn.XLOOKUP(B112,'Base stats'!B:B,'Base stats'!E:E),
Groups!A:A,
Groups!L:L
)=1,
MIN(
MROUND(
IF(
_xlfn.XLOOKUP(B112,'Animals CE'!B:B,'Animals CE'!AA:AA)&lt;=1.5,
_xlfn.XLOOKUP(B112,'Animals CE'!B:B,'Animals CE'!AA:AA)/2+0.05,
0.8+
(_xlfn.XLOOKUP(B112,'Animals CE'!B:B,'Animals CE'!AA:AA)-1.5)
*0.02
),
0.05
),
200%
),
"No"
)</f>
        <v>No</v>
      </c>
      <c r="P112" s="2" t="str">
        <f>_xlfn.XLOOKUP(B112,'Base stats'!B:B,'Base stats'!R:R)</f>
        <v>Standard</v>
      </c>
      <c r="Q112" s="13">
        <f>MROUND((LOG10(_xlfn.XLOOKUP(B112,'Base stats'!B:B,'Base stats'!AR:AR))*(AO112^0.5)+(_xlfn.XLOOKUP(B112,'Base stats'!B:B,'Base stats'!AR:AR)/1000)^(2/3)+_xlfn.XLOOKUP(B112,'Base stats'!B:B,'Base stats'!BA:BA)/2)+0.5,0.5)</f>
        <v>11.5</v>
      </c>
      <c r="R112" s="7">
        <f>IF(Q112="No","No",MAX(1,MROUND(_xlfn.XLOOKUP(B112,'Base stats'!B:B,'Base stats'!C:C)^0.165,0.05)))</f>
        <v>2.4500000000000002</v>
      </c>
      <c r="S112" s="13">
        <f>IF(_xlfn.XLOOKUP(_xlfn.XLOOKUP(B112,'Base stats'!B:B,'Base stats'!E:E),Groups!A:A,Groups!P:P)=0,"No",MROUND((LOG10(_xlfn.XLOOKUP(B112,'Base stats'!B:B,'Base stats'!AS:AS))*(AO112^0.5)+(_xlfn.XLOOKUP(B112,'Base stats'!B:B,'Base stats'!AS:AS)/1000)^(2/3)+_xlfn.XLOOKUP(B112,'Base stats'!B:B,'Base stats'!BA:BA))+_xlfn.XLOOKUP(B112,'Base stats'!B:B,'Base stats'!AY:AY)+0.5,0.5))</f>
        <v>14.5</v>
      </c>
      <c r="T112" s="7">
        <f>IF(S112="No","No",MAX(_xlfn.XLOOKUP(_xlfn.XLOOKUP(B112,'Base stats'!B:B,'Base stats'!E:E),Groups!A:A,Groups!Q:Q),MROUND(_xlfn.XLOOKUP(_xlfn.XLOOKUP(B112,'Base stats'!B:B,'Base stats'!E:E),Groups!A:A,Groups!Q:Q)*_xlfn.XLOOKUP(B112,'Base stats'!B:B,'Base stats'!C:C)^0.165,0.05)))</f>
        <v>2.4500000000000002</v>
      </c>
      <c r="U112" s="7" t="str">
        <f>IF(S112="No","No",_xlfn.XLOOKUP(_xlfn.XLOOKUP(B112,'Base stats'!B:B,'Base stats'!E:E),Groups!A:A,Groups!R:R))</f>
        <v>FrontLeftLeg, FrontRightLeg</v>
      </c>
      <c r="V112" s="7" t="str">
        <f>IF(S112="No","No",_xlfn.XLOOKUP(_xlfn.XLOOKUP(B112,'Base stats'!B:B,'Base stats'!E:E),Groups!A:A,Groups!S:S))</f>
        <v>left hoof, right hoof</v>
      </c>
      <c r="W112" s="7" t="str">
        <f>IF(S112="No","No",_xlfn.XLOOKUP(_xlfn.XLOOKUP(B112,'Base stats'!B:B,'Base stats'!E:E),Groups!A:A,Groups!T:T))</f>
        <v>Blunt</v>
      </c>
      <c r="X112" s="13">
        <f>IF(_xlfn.XLOOKUP(B112,'Base stats'!B:B,'Base stats'!W:W)="No","No",MROUND((LOG10(_xlfn.XLOOKUP(B112,'Base stats'!B:B,'Base stats'!AU:AU))*(AO112^0.5)+(_xlfn.XLOOKUP(B112,'Base stats'!B:B,'Base stats'!AU:AU)/1000)^(2/3)+_xlfn.XLOOKUP(B112,'Base stats'!B:B,'Base stats'!AZ:AZ))+0.5+IF(_xlfn.XLOOKUP(_xlfn.XLOOKUP(B112,'Base stats'!B:B,'Base stats'!E:E),Groups!A:A,Groups!U:U)&lt;&gt;3,_xlfn.XLOOKUP(B112,'Base stats'!B:B,'Base stats'!BA:BA),0),0.5))</f>
        <v>15.5</v>
      </c>
      <c r="Y112" s="7">
        <f>IF(X112="No","No",MAX(_xlfn.XLOOKUP(_xlfn.XLOOKUP(B112,'Base stats'!B:B,'Base stats'!E:E),Groups!A:A,Groups!V:V),MROUND(_xlfn.XLOOKUP(_xlfn.XLOOKUP(B112,'Base stats'!B:B,'Base stats'!E:E),Groups!A:A,Groups!V:V)*_xlfn.XLOOKUP(B112,'Base stats'!B:B,'Base stats'!C:C)^0.165,0.05)))</f>
        <v>2.1</v>
      </c>
      <c r="Z112" s="7" t="str">
        <f>IF(X112="No","No",_xlfn.XLOOKUP(_xlfn.XLOOKUP(B112,'Base stats'!B:B,'Base stats'!E:E),Groups!A:A,Groups!W:W))</f>
        <v>HeadAttackTool</v>
      </c>
      <c r="AA112" s="7" t="str">
        <f>IF(X112="No","No",_xlfn.XLOOKUP(_xlfn.XLOOKUP(B112,'Base stats'!B:B,'Base stats'!E:E),Groups!A:A,Groups!X:X))</f>
        <v>horn</v>
      </c>
      <c r="AB112" s="7" t="str">
        <f>IF(X112="No","No",_xlfn.XLOOKUP(_xlfn.XLOOKUP(B112,'Base stats'!B:B,'Base stats'!E:E),Groups!A:A,Groups!Y:Y))</f>
        <v>Scratch</v>
      </c>
      <c r="AC112" s="7" t="str">
        <f>_xlfn.XLOOKUP(Animals!B112,'Base stats'!B:B,'Base stats'!X:X)</f>
        <v>False</v>
      </c>
      <c r="AD112" s="13" t="str">
        <f>IF(_xlfn.XLOOKUP(B112,'Base stats'!B:B,'Base stats'!AT:AT)="No","No",MROUND((LOG10(_xlfn.XLOOKUP(B112,'Base stats'!B:B,'Base stats'!AT:AT))*(AO112^0.75)+(_xlfn.XLOOKUP(B112,'Base stats'!B:B,'Base stats'!AT:AT)/1000)^(2/3)+_xlfn.XLOOKUP(B112,'Base stats'!B:B,'Base stats'!AX:AX)+_xlfn.XLOOKUP(B112,'Base stats'!B:B,'Base stats'!BA:BA))+0.5,0.5))</f>
        <v>No</v>
      </c>
      <c r="AE112" s="7" t="str">
        <f>IF(AD112="No","No",MAX(_xlfn.XLOOKUP(_xlfn.XLOOKUP(B112,'Base stats'!B:B,'Base stats'!E:E),Groups!A:A,Groups!Z:Z),MROUND(_xlfn.XLOOKUP(_xlfn.XLOOKUP(B112,'Base stats'!B:B,'Base stats'!E:E),Groups!A:A,Groups!Z:Z)*_xlfn.XLOOKUP(B112,'Base stats'!B:B,'Base stats'!C:C)^0.165,0.05)))</f>
        <v>No</v>
      </c>
      <c r="AF112" s="7" t="str">
        <f>IF(AD112="No","No",_xlfn.XLOOKUP(_xlfn.XLOOKUP(B112,'Base stats'!B:B,'Base stats'!E:E),Groups!A:A,Groups!AA:AA))</f>
        <v>No</v>
      </c>
      <c r="AG112" s="7" t="str">
        <f>IF(AD112="No","No",_xlfn.XLOOKUP(_xlfn.XLOOKUP(B112,'Base stats'!B:B,'Base stats'!E:E),Groups!A:A,Groups!AB:AB))</f>
        <v>No</v>
      </c>
      <c r="AH112" s="7" t="str">
        <f>IF(AD112="No","No",_xlfn.XLOOKUP(_xlfn.XLOOKUP(B112,'Base stats'!B:B,'Base stats'!E:E),Groups!A:A,Groups!AC:AC))</f>
        <v>No</v>
      </c>
      <c r="AI112" s="13" t="str">
        <f>IF(_xlfn.XLOOKUP(_xlfn.XLOOKUP(B112,'Base stats'!B:B,'Base stats'!E:E),Groups!A:A,Groups!AD:AD)=0,"No",MROUND((LOG10(_xlfn.XLOOKUP(B112,'Base stats'!B:B,'Base stats'!AS:AS))*(AO112^0.75)+(_xlfn.XLOOKUP(B112,'Base stats'!B:B,'Base stats'!AS:AS)/1000)^(2/3)+_xlfn.XLOOKUP(B112,'Base stats'!B:B,'Base stats'!AY:AY)+_xlfn.XLOOKUP(B112,'Base stats'!B:B,'Base stats'!BA:BA))+0.5,0.5))</f>
        <v>No</v>
      </c>
      <c r="AJ112" s="7" t="str">
        <f>IF(AI112="No","No",MAX(_xlfn.XLOOKUP(_xlfn.XLOOKUP(B112,'Base stats'!B:B,'Base stats'!E:E),Groups!A:A,Groups!AE:AE),MROUND(_xlfn.XLOOKUP(_xlfn.XLOOKUP(B112,'Base stats'!B:B,'Base stats'!E:E),Groups!A:A,Groups!AE:AE)*IF(_xlfn.XLOOKUP(_xlfn.XLOOKUP(B112,'Base stats'!B:B,'Base stats'!E:E),Groups!A:A,Groups!AJ:AJ)="Photonozoa",0.6,1)*_xlfn.XLOOKUP(B112,'Base stats'!B:B,'Base stats'!C:C)^0.165,0.05)))</f>
        <v>No</v>
      </c>
      <c r="AK112" s="7" t="str">
        <f>IF(AI112="No","No",_xlfn.XLOOKUP(_xlfn.XLOOKUP(B112,'Base stats'!B:B,'Base stats'!E:E),Groups!A:A,Groups!AF:AF))</f>
        <v>No</v>
      </c>
      <c r="AL112" s="7" t="str">
        <f>IF(AI112="No","No",_xlfn.XLOOKUP(_xlfn.XLOOKUP(B112,'Base stats'!B:B,'Base stats'!E:E),Groups!A:A,Groups!AG:AG))</f>
        <v>No</v>
      </c>
      <c r="AM112" s="7" t="str">
        <f>IF(AI112="No","No",_xlfn.XLOOKUP(_xlfn.XLOOKUP(B112,'Base stats'!B:B,'Base stats'!E:E),Groups!A:A,Groups!AH:AH))</f>
        <v>No</v>
      </c>
      <c r="AN112" s="2" t="str">
        <f t="shared" si="7"/>
        <v>No</v>
      </c>
      <c r="AO112" s="2">
        <f>MROUND(IF(AND(_xlfn.XLOOKUP(B112,'Base stats'!B:B,'Base stats'!C:C)&gt;=0.5,_xlfn.XLOOKUP(B112,'Base stats'!B:B,'Base stats'!C:C)&lt;=0.8),
IF(_xlfn.XLOOKUP(B112,'Base stats'!B:B,'Base stats'!C:C)&lt;0.1,0.05,IF(_xlfn.XLOOKUP(B112,'Base stats'!B:B,'Base stats'!C:C)&lt;=70,(_xlfn.XLOOKUP(B112,'Base stats'!B:B,'Base stats'!C:C)/70)^0.426489913056526,IF(_xlfn.XLOOKUP(B112,'Base stats'!B:B,'Base stats'!C:C)&lt;=400,(_xlfn.XLOOKUP(B112,'Base stats'!B:B,'Base stats'!C:C)/70)^0.572811455315093,IF(_xlfn.XLOOKUP(B112,'Base stats'!B:B,'Base stats'!C:C)&lt;=2000,2.71391647193063*(_xlfn.XLOOKUP(B112,'Base stats'!B:B,'Base stats'!C:C)/400)^0.252459582904293,3.74314280240376*(_xlfn.XLOOKUP(B112,'Base stats'!B:B,'Base stats'!C:C)/2000)^0.357012633876913)))),
IF(_xlfn.XLOOKUP(B112,'Base stats'!B:B,'Base stats'!C:C)&lt;0.1,0.05,IF(_xlfn.XLOOKUP(B112,'Base stats'!B:B,'Base stats'!C:C)&lt;0.4,0.1,IF(_xlfn.XLOOKUP(B112,'Base stats'!B:B,'Base stats'!C:C)&lt;=70,(_xlfn.XLOOKUP(B112,'Base stats'!B:B,'Base stats'!C:C)/70)^0.445823913056526,IF(_xlfn.XLOOKUP(B112,'Base stats'!B:B,'Base stats'!C:C)&lt;=400,(_xlfn.XLOOKUP(B112,'Base stats'!B:B,'Base stats'!C:C)/70)^0.572811455315093,IF(_xlfn.XLOOKUP(B112,'Base stats'!B:B,'Base stats'!C:C)&lt;=2000,2.71391647193063*(_xlfn.XLOOKUP(B112,'Base stats'!B:B,'Base stats'!C:C)/400)^0.252459582904293,3.74314280240376*(_xlfn.XLOOKUP(B112,'Base stats'!B:B,'Base stats'!C:C)/2000)^0.357012633876913)))))),
IF(_xlfn.XLOOKUP(B112,'Base stats'!B:B,'Base stats'!C:C)&lt;0.1,0.05,IF(_xlfn.XLOOKUP(B112,'Base stats'!B:B,'Base stats'!C:C)&lt;=100,0.05,IF(_xlfn.XLOOKUP(B112,'Base stats'!B:B,'Base stats'!C:C)&lt;=250,0.1,IF(_xlfn.XLOOKUP(B112,'Base stats'!B:B,'Base stats'!C:C)&lt;=4000,0.25,0.5)))))</f>
        <v>2</v>
      </c>
      <c r="AP112" s="8">
        <f>MROUND(AO112*_xlfn.XLOOKUP(_xlfn.XLOOKUP(B112,'Base stats'!B:B,'Base stats'!E:E),Groups!A:A,Groups!AI:AI)*_xlfn.XLOOKUP(B112,'Base stats'!B:B,'Base stats'!Z:Z),0.05)</f>
        <v>2</v>
      </c>
      <c r="AQ112" s="8">
        <f>MAX(0.01,MROUND(IF(CC112="True",0.196*(AO112*100*1000)^0.889,IF(_xlfn.XLOOKUP(_xlfn.XLOOKUP(B112,'Base stats'!B:B,'Base stats'!E:E),Groups!A:A,Groups!AJ:AJ)="Bird",10.5*(AO112*100*1000)^0.681,4.82*(AO112*100*1000)^0.734))/(4.82*(1*100*1000)^0.734)/IF(AO112&lt;3.5,2,IF(AO112=3.5,1.5,1.25))*(1+0.132282374779864/(AO112^0.994035016789033+0.00905238001496948)),0.05))</f>
        <v>0.9</v>
      </c>
      <c r="AR112" s="9">
        <f>IFERROR(MROUND(_xlfn.XLOOKUP(B112,'Base stats'!B:B,'Base stats'!H:H)/IF(_xlfn.XLOOKUP(B112,'Base stats'!B:B,'Base stats'!I:I)&lt;&gt;1,(122.5/70),1.2),IF(_xlfn.XLOOKUP(B112,'Base stats'!B:B,'Base stats'!H:H)&gt;=30,5,IF(_xlfn.XLOOKUP(B112,'Base stats'!B:B,'Base stats'!H:H)&gt;=15,3,IF(_xlfn.XLOOKUP(B112,'Base stats'!B:B,'Base stats'!H:H)&gt;=10,2,1)))),"Immortal")</f>
        <v>15</v>
      </c>
      <c r="AS112" s="35">
        <f>IFERROR(IF(OR(_xlfn.XLOOKUP(B112,'Base stats'!B:B,'Base stats'!F:F)="Atypical reproduction",_xlfn.XLOOKUP(B112,'Base stats'!B:B,'Base stats'!F:F)="Lay eggs"),"Lay eggs",MIN(20,MAX(5.5,ROUND(((_xlfn.XLOOKUP(B112,'Base stats'!B:B,'Base stats'!F:F)-25)*(14.5/615) + 5.5)*2,0)/2))),"Unknown")</f>
        <v>11</v>
      </c>
      <c r="AT112" s="8">
        <f>IF(_xlfn.XLOOKUP(B112,'Base stats'!B:B,'Base stats'!G:G)="Atypical reproduction","No",IFERROR(MAX(IF(_xlfn.XLOOKUP(B112,'Base stats'!B:B,'Base stats'!G:G)&lt;0.5,0.2,0.3),MROUND(_xlfn.XLOOKUP(B112,'Base stats'!B:B,'Base stats'!G:G)/(365/60),0.2)),"Unknown"))</f>
        <v>0.3</v>
      </c>
      <c r="AU112" s="8">
        <f t="shared" si="8"/>
        <v>0.15000000000000002</v>
      </c>
      <c r="AV112" s="8">
        <f>IFERROR(IFERROR(MROUND(_xlfn.XLOOKUP(B112,'Base stats'!B:B,'Base stats'!J:J),0.1),"Lay eggs"),"Cannot breed")</f>
        <v>1</v>
      </c>
      <c r="AW112" s="2" t="str">
        <f t="shared" si="9"/>
        <v>true</v>
      </c>
      <c r="AX112" s="2" t="str">
        <f>IF(_xlfn.XLOOKUP(_xlfn.XLOOKUP(Animals!B112,'Base stats'!B:B,'Base stats'!E:E),Groups!A:A,Groups!AK:AK)=1,"true","false")</f>
        <v>true</v>
      </c>
      <c r="AY112" s="25" t="str">
        <f>IF(_xlfn.XLOOKUP(B112,'Base stats'!B:B,'Base stats'!Y:Y)="Liquor","Liquor, CarnivoreAnimalStrict",IF(AND(_xlfn.XLOOKUP(B112,'Base stats'!B:B,'Base stats'!Y:Y)="Carnivore",_xlfn.XLOOKUP(_xlfn.XLOOKUP(B112,'Base stats'!B:B,'Base stats'!E:E),Groups!A:A,Groups!AJ:AJ)="Photonozoa"),"CarnivoreAnimalStrict, OvivoreAnimal",IF(_xlfn.XLOOKUP(B112,'Base stats'!B:B,'Base stats'!Y:Y)="Carnivore","CarnivoreAnimal, OvivoreAnimal",IF(_xlfn.XLOOKUP(B112,'Base stats'!B:B,'Base stats'!Y:Y)="Dendrovore","VegetarianRoughAnimal, DendrovoreAnimal",IF(_xlfn.XLOOKUP(B112,'Base stats'!B:B,'Base stats'!Y:Y)="Herbivore","VegetarianRoughAnimal",IF(_xlfn.XLOOKUP(B112,'Base stats'!B:B,'Base stats'!Y:Y)="OmnivoreRough","OmnivoreRoughAnimal, OvivoreAnimal","OmnivoreAnimal, OvivoreAnimal"))))))</f>
        <v>VegetarianRoughAnimal</v>
      </c>
      <c r="AZ112" s="2">
        <f>IF(_xlfn.XLOOKUP(_xlfn.XLOOKUP(B112,'Base stats'!B:B,'Base stats'!E:E),Groups!A:A,Groups!D:D)=1,MROUND((1-J112)*5+1,2)*IF(J112&lt;=0.4,2,1),"No")</f>
        <v>2</v>
      </c>
      <c r="BA112" s="2" t="str">
        <f>IF(AND(_xlfn.XLOOKUP(B112,'Base stats'!B:B,'Base stats'!AH:AH)="&lt;li&gt;Seal&lt;/li&gt;",G112="Odyssey"),"&lt;li&gt;AEXP_Seal&lt;/li&gt;",_xlfn.XLOOKUP(B112,'Base stats'!B:B,'Base stats'!AH:AH))</f>
        <v>&lt;li&gt;Gazelle&lt;/li&gt;</v>
      </c>
      <c r="BB112" s="2" t="str">
        <f>_xlfn.XLOOKUP(B112,'Base stats'!B:B,'Base stats'!AG:AG)</f>
        <v>Leather_Plain</v>
      </c>
      <c r="BC112" s="23" t="str">
        <f>_xlfn.XLOOKUP(_xlfn.XLOOKUP(B112,'Base stats'!B:B,'Base stats'!E:E),Groups!A:A,Groups!AL:AL)</f>
        <v>QuadrupedAnimalWithHooves</v>
      </c>
      <c r="BD112" s="23">
        <f>MIN(1,MROUND(IF(AND(AO112&lt;0.5,_xlfn.XLOOKUP(B112,'Base stats'!B:B,'Base stats'!AA:AA)=0),0,IF(OR(_xlfn.XLOOKUP(Animals!B112,'Base stats'!B:B,'Base stats'!O:O)=2,_xlfn.XLOOKUP(_xlfn.XLOOKUP(B112,'Base stats'!B:B,'Base stats'!E:E),Groups!A:A,Groups!AN:AN)=0),0,_xlfn.XLOOKUP(_xlfn.XLOOKUP(B112,'Base stats'!B:B,'Base stats'!E:E),Groups!A:A,Groups!AN:AN)/IF(_xlfn.XLOOKUP(Animals!B112,'Base stats'!B:B,'Base stats'!O:O)=1,2,1)))+_xlfn.XLOOKUP(B112,'Base stats'!B:B,'Base stats'!AC:AC),0.005))</f>
        <v>0</v>
      </c>
      <c r="BE112" s="23">
        <f>MIN(1,MROUND(IF(AND(AO112&lt;0.5,_xlfn.XLOOKUP(B112,'Base stats'!B:B,'Base stats'!AA:AA)=0),0,IF(_xlfn.XLOOKUP(_xlfn.XLOOKUP(B112,'Base stats'!B:B,'Base stats'!E:E),Groups!A:A,Groups!AO:AO)=0,0,_xlfn.XLOOKUP(_xlfn.XLOOKUP(B112,'Base stats'!B:B,'Base stats'!E:E),Groups!A:A,Groups!AO:AO)/IF(_xlfn.XLOOKUP(Animals!B112,'Base stats'!B:B,'Base stats'!O:O)=2,3,1)))+_xlfn.XLOOKUP(B112,'Base stats'!B:B,'Base stats'!AD:AD),0.005))</f>
        <v>0</v>
      </c>
      <c r="BF112" s="2" t="str">
        <f>IF(J112&gt;0.3,"No",_xlfn.XLOOKUP(_xlfn.XLOOKUP(Animals!B112,'Base stats'!B:B,'Base stats'!E:E),Groups!A:A,Groups!AP:AP))</f>
        <v>No</v>
      </c>
      <c r="BG112" s="2" t="str">
        <f>IF(AND(J112&lt;=0.65,_xlfn.XLOOKUP(_xlfn.XLOOKUP(Animals!B112,'Base stats'!B:B,'Base stats'!E:E),Groups!A:A,Groups!AP:AP)&lt;&gt;"No",_xlfn.XLOOKUP(_xlfn.XLOOKUP(B112,'Base stats'!B:B,'Base stats'!E:E),Groups!A:A,Groups!D:D)=0),MROUND((80/3)*IF(_xlfn.XLOOKUP(B112,'Base stats'!B:B,'Base stats'!O:O)=2,0.2,AO112) + 24*(1-IF(BF112="No",0,BF112)) + 16/3, 12),"No")</f>
        <v>No</v>
      </c>
      <c r="BH112" s="2">
        <f>IF(AND(_xlfn.XLOOKUP(_xlfn.XLOOKUP(B112,'Base stats'!B:B,'Base stats'!E:E),Groups!A:A,Groups!AQ:AQ)=1,AO112&lt;=0.35),8,12)</f>
        <v>12</v>
      </c>
      <c r="BI112" s="2" t="str">
        <f>IF(_xlfn.XLOOKUP(_xlfn.XLOOKUP(B112,'Base stats'!B:B,'Base stats'!E:E),Groups!A:A,Groups!D:D)=0,_xlfn.XLOOKUP(_xlfn.XLOOKUP(B112,'Base stats'!B:B,'Base stats'!E:E),Groups!A:A,Groups!AR:AR),"None")</f>
        <v>None</v>
      </c>
      <c r="BJ112" s="2" t="str">
        <f>IF(AND(_xlfn.XLOOKUP(_xlfn.XLOOKUP(B112,'Base stats'!B:B,'Base stats'!E:E),Groups!A:A,Groups!AS:AS)=1,OR(_xlfn.XLOOKUP(B112,'Base stats'!B:B,'Base stats'!Y:Y)="Carnivore",_xlfn.XLOOKUP(B112,'Base stats'!B:B,'Base stats'!Y:Y)="Omnivore")),"true","false")</f>
        <v>false</v>
      </c>
      <c r="BK112" s="2" t="str">
        <f>IF(BJ112="true",MROUND(IF(AND(AO112&gt;0.5,OR(_xlfn.XLOOKUP(_xlfn.XLOOKUP(B112,'Base stats'!B:B,'Base stats'!E:E),Groups!A:A,Groups!AJ:AJ)="Photonozoa",_xlfn.XLOOKUP(_xlfn.XLOOKUP(B112,'Base stats'!B:B,'Base stats'!E:E),Groups!A:A,Groups!AJ:AJ)="Mammal")),Animals!AO112*1.75*IF(AW112="true",1.5,1),IF(AO112&lt;0.5,Animals!AO112*0.5,Animals!AO112)),IF(AO112&gt;2,0.5,IF(AO112&gt;0.5,0.25,0.1))),"No")</f>
        <v>No</v>
      </c>
      <c r="BL112" s="2">
        <f t="shared" si="10"/>
        <v>0</v>
      </c>
      <c r="BM112" s="25" t="str">
        <f>IF(_xlfn.XLOOKUP(B112,'Base stats'!B:B,'Base stats'!AN:AN)="Standard","No",MROUND((_xlfn.XLOOKUP(B112,'Base stats'!B:B,'Base stats'!AN:AN)/3.6)/I112,0.1))</f>
        <v>No</v>
      </c>
      <c r="BN112" s="25" t="str">
        <f t="shared" si="11"/>
        <v>false</v>
      </c>
      <c r="BO112" s="25" t="str">
        <f>IF(AND(OR(_xlfn.XLOOKUP(B112,'Base stats'!B:B,'Base stats'!Y:Y)="Carnivore",_xlfn.XLOOKUP(B112,'Base stats'!B:B,'Base stats'!Y:Y)="Omnivore",_xlfn.XLOOKUP(B112,'Base stats'!B:B,'Base stats'!Y:Y)="OmnivoreRough"),_xlfn.XLOOKUP(_xlfn.XLOOKUP(B112,'Base stats'!B:B,'Base stats'!E:E),Groups!A:A,Groups!AT:AT)=1),"true","false")</f>
        <v>false</v>
      </c>
      <c r="BP112" s="25" t="str" cm="1">
        <f t="array" ref="BP112">IF(
  _xlfn.TEXTJOIN(", ",TRUE,
    IF(AND(BJ112="true",AO112&gt;0.5,BI112&lt;&gt;"None"),"AttackTarget",""),
    IF(AND(_xlfn.XLOOKUP(_xlfn.XLOOKUP(B112,'Base stats'!B:B,'Base stats'!E:E),Groups!A:A,Groups!AJ:AJ="Mammal"),OR(_xlfn.XLOOKUP(B112,'Base stats'!B:B,'Base stats'!Y:Y)="Omnivore",_xlfn.XLOOKUP(B112,'Base stats'!B:B,'Base stats'!Y:Y)="OmnivoreRough")),"Forage",""),
    IF(BG112&lt;=36,"Comfort",""),
    IF(_xlfn.XLOOKUP(B112,'Base stats'!B:B,'Base stats'!AE:AE)&lt;&gt;"No",_xlfn.XLOOKUP(B112,'Base stats'!B:B,'Base stats'!AE:AE),"")
  ) = "",
  "No",
  _xlfn.TEXTJOIN(", ",TRUE,
    IF(AND(BJ112="true",AO112&gt;0.5,BI112&lt;&gt;"None"),"AttackTarget",""),
    IF(AND(_xlfn.XLOOKUP(_xlfn.XLOOKUP(B112,'Base stats'!B:B,'Base stats'!E:E),Groups!A:A,Groups!AJ:AJ="Mammal"),OR(_xlfn.XLOOKUP(B112,'Base stats'!B:B,'Base stats'!Y:Y)="Omnivore",_xlfn.XLOOKUP(B112,'Base stats'!B:B,'Base stats'!Y:Y)="OmnivoreRough")),"Forage",""),
    IF(BG112&lt;=36,"Comfort",""),
    IF(_xlfn.XLOOKUP(B112,'Base stats'!B:B,'Base stats'!AE:AE)&lt;&gt;"No",_xlfn.XLOOKUP(B112,'Base stats'!B:B,'Base stats'!AE:AE),"")
  )
)</f>
        <v>No</v>
      </c>
      <c r="BQ112" s="25" t="str">
        <f>IF(
   AND(
      'Base stats'!AN112="Standard",_xlfn.XLOOKUP(_xlfn.XLOOKUP(B112,'Base stats'!B:B,'Base stats'!E:E),Groups!A:A,Groups!AU:AU)=0,
      OR(
      BO112="True"
      )
   ),
   10,
   IF(
       OR(BM112&lt;&gt;"No",_xlfn.XLOOKUP(_xlfn.XLOOKUP(B112,'Base stats'!B:B,'Base stats'!E:E),Groups!A:A,Groups!AU:AU)=1),
      1,
      "No"
   )
)</f>
        <v>No</v>
      </c>
      <c r="BR112" s="9">
        <f>MROUND((1 + ((0.2*IF(OR(Q112="No",R112="No",R112=0),0,Q112/R112)
+IF(OR(V112="No",S112="No",T112="No"),0,S112/T112*(LEN(V112)-LEN(SUBSTITUTE(V112,",",""))+1))
+IF(OR(X112="No",Y112="No"),0,X112/Y112)
+IF(OR(AD112="No",AE112="No"),0,AD112/AE112)
+IF(OR(AL112="No",AI112="No",AJ112="No"),0,AI112/AJ112*(LEN(AL112)-LEN(SUBSTITUTE(AL112,",",""))+1))
)/(0.2*IF(OR(Q112="No",R112="No",R112=0),0,1)
+IF(OR(V112="No",S112="No",T112="No"),0,LEN(V112)-LEN(SUBSTITUTE(V112,",",""))+1)
+IF(OR(X112="No",Y112="No"),0,1)
+IF(OR(AD112="No",AE112="No"),0,1)
+IF(OR(AL112="No",AI112="No",AJ112="No"),0,LEN(AL112)-LEN(SUBSTITUTE(AL112,",",""))+1))*62%)* 2)*(1 + (AP112 / (IF(_xlfn.XLOOKUP(_xlfn.XLOOKUP(B112,'Base stats'!B:B,'Base stats'!E:E),Groups!A:A,Groups!AJ:AJ)="Photonozoa",0.3,1)) + _xlfn.XLOOKUP(B112,'Base stats'!B:B,'Base stats'!AV:AV) * 1.8) * 2) * 2.5 + 10 + I112 * 2,5)+IF(_xlfn.XLOOKUP(B112,'Base stats'!B:B,'Base stats'!AK:AK)=1,50,0)</f>
        <v>140</v>
      </c>
      <c r="BS112" s="8">
        <f t="shared" si="12"/>
        <v>1.1000000000000001</v>
      </c>
      <c r="BT112" s="8" t="str">
        <f>_xlfn.XLOOKUP(B112,'Base stats'!B:B,'Base stats'!AF:AF)</f>
        <v>5~15</v>
      </c>
      <c r="BU112" s="2" t="str">
        <f>IF(AND(J112&lt;=0.95,OR(_xlfn.XLOOKUP(B112,'Base stats'!B:B,'Base stats'!AK:AK)=1,_xlfn.XLOOKUP(B112,'Base stats'!B:B,'Base stats'!Y:Y)="Carnivore",_xlfn.XLOOKUP(B112,'Base stats'!B:B,'Base stats'!Y:Y)="Omnivore",BE112&gt;0.1)),"true","false")</f>
        <v>false</v>
      </c>
      <c r="BV112" s="2" t="str">
        <f>IF(_xlfn.XLOOKUP(B112,'Base stats'!B:B,'Base stats'!AI:AI)=1,"true","false")</f>
        <v>false</v>
      </c>
      <c r="BW112" s="25" t="str">
        <f>IF(E112="BaseInsect","AnimalInsect",
IF(J112&gt;0.95,"AnimalExotic",
_xlfn.TEXTJOIN(", ",TRUE,
IF(OR(_xlfn.XLOOKUP(B112,'Base stats'!B:B,'Base stats'!AM:AM)=1,AND(_xlfn.XLOOKUP(B112,'Base stats'!B:B,'Base stats'!O:O)=0,_xlfn.XLOOKUP(_xlfn.XLOOKUP(B112,'Base stats'!B:B,'Base stats'!E:E),Groups!A:A,Groups!B:B)&gt;0)),"AnimalUncommon","AnimalCommon"),
IF(AND(_xlfn.XLOOKUP(B112,'Base stats'!B:B,'Base stats'!O:O)=2,_xlfn.XLOOKUP(_xlfn.XLOOKUP(B112,'Base stats'!B:B,'Base stats'!E:E),Groups!A:A,Groups!D:D)=0),"AnimalPet",IF(AND(_xlfn.XLOOKUP(B112,'Base stats'!B:B,'Base stats'!O:O)&lt;&gt;0,_xlfn.XLOOKUP(_xlfn.XLOOKUP(B112,'Base stats'!B:B,'Base stats'!E:E),Groups!A:A,Groups!D:D)&lt;&gt;0),"AnimalFarm","")),
IF(OR(_xlfn.XLOOKUP(B112,'Base stats'!B:B,'Base stats'!AK:AK)=1,AND(BI112&lt;&gt;"None",BR112&gt;=60),ISNUMBER(SEARCH("Attack target",BP112))),"AnimalFighter","")
)))</f>
        <v>AnimalCommon</v>
      </c>
      <c r="BX112" s="25" t="str">
        <f>IF(G112="None",TRIM(
SUBSTITUTE(
IF(COUNTIF(Biomes!B$2:B$259,"="&amp;$C112)&gt;0,Biomes!B$1&amp;", ","")&amp;
IF(COUNTIF(Biomes!C$2:C$259,"="&amp;$C112)&gt;0,Biomes!C$1&amp;", ","")&amp;
IF(COUNTIF(Biomes!D$2:D$259,"="&amp;$C112)&gt;0,Biomes!D$1&amp;", ","")&amp;
IF(COUNTIF(Biomes!F$2:F$259,"="&amp;$C112)&gt;0,Biomes!F$1&amp;", ","")&amp;
IF(COUNTIF(Biomes!G$2:G$259,"="&amp;$C112)&gt;0,Biomes!G$1&amp;", ","")&amp;
IF(COUNTIF(Biomes!H$2:H$259,"="&amp;$C112)&gt;0,Biomes!H$1&amp;", ","")&amp;
IF(COUNTIF(Biomes!I$2:I$259,"="&amp;$C112)&gt;0,Biomes!I$1&amp;", ","")&amp;
IF(COUNTIF(Biomes!J$2:J$259,"="&amp;$C112)&gt;0,Biomes!J$1&amp;", ","")&amp;
IF(COUNTIF(Biomes!M$2:M$259,"="&amp;$C112)&gt;0,Biomes!M$1&amp;", ","")&amp;
IF(COUNTIF(Biomes!N$2:N$259,"="&amp;$C112)&gt;0,Biomes!N$1&amp;", ","")&amp;
IF(COUNTIF(Biomes!O$2:O$259,"="&amp;$C112)&gt;0,Biomes!O$1&amp;", ","")&amp;
IF(COUNTIF(Biomes!P$2:P$259,"="&amp;$C112)&gt;0,Biomes!P$1&amp;", ","")&amp;
IF(COUNTIF(Biomes!K$2:K$259,"="&amp;$C112)&gt;0,Biomes!K$1&amp;", ","")&amp;
IF(COUNTIF(Biomes!Q$3:Q$259,"="&amp;$C112)&gt;0,Biomes!Q$1&amp;", ","")&amp;
IF(COUNTIF(Biomes!L$2:L$259,"="&amp;$C112)&gt;0,Biomes!L$1&amp;", ","")&amp;
IF(COUNTIF(Biomes!E$2:E$259,"="&amp;$C112)&gt;0,Biomes!E$1&amp;", ","")&amp;IF(COUNTIF(Biomes!S$2:S$259,"="&amp;$C112)&gt;0,Biomes!S$1&amp;", ","")&amp;
IF(COUNTIF(Biomes!R$2:R$259,"="&amp;$C112)&gt;0,Biomes!R$1&amp;", ",""),", ","")
),_xlfn.XLOOKUP(B112,B:B,BX:BX))</f>
        <v>AridShrubland Desert Grasslands LavaField</v>
      </c>
      <c r="BY112" s="25" t="str">
        <f>IF(_xlfn.XLOOKUP(B112,'Base stats'!B:B,'Base stats'!AJ:AJ)=1,"true","false")</f>
        <v>false</v>
      </c>
      <c r="BZ112" s="25">
        <f>IF(_xlfn.XLOOKUP(B112,'Base stats'!B:B,'Base stats'!N:N)=1,"No",MAX(0.001,MIN(MROUND(IF(AND(BJ112="True",CC112="False"),POWER(10,3.47*LOG10(_xlfn.XLOOKUP(B112,'Base stats'!B:B,'Base stats'!C:C)*1000)^-0.96),POWER(10,4.15*LOG10(_xlfn.XLOOKUP(B112,'Base stats'!B:B,'Base stats'!C:C)*1000)^-0.73))*IF(_xlfn.XLOOKUP(B112,'Base stats'!B:B,'Base stats'!AK:AK)=1,0.5,1)*IF(_xlfn.XLOOKUP(B112,'Base stats'!B:B,'Base stats'!AM:AM)=1,0.1,1)/100,IF(_xlfn.XLOOKUP(B112,'Base stats'!B:B,'Base stats'!AM:AM)=1,0.001,0.025)),0.5)))</f>
        <v>0.17500000000000002</v>
      </c>
      <c r="CA112" s="25" t="str">
        <f>IF(P112="Standard","No",MAX(0.001,MIN(MROUND(IF(AND(BJ112="True",CC112="False"),POWER(10,3.47*LOG10(_xlfn.XLOOKUP(B112,'Base stats'!B:B,'Base stats'!C:C)*1000)^-0.96),POWER(10,4.15*LOG10(_xlfn.XLOOKUP(B112,'Base stats'!B:B,'Base stats'!C:C)*1000)^-0.73))*IF(_xlfn.XLOOKUP(B112,'Base stats'!B:B,'Base stats'!AM:AM)=1,0.1,1)*_xlfn.XLOOKUP(B112,'Base stats'!B:B,'Base stats'!R:R)/100,IF(_xlfn.XLOOKUP(B112,'Base stats'!B:B,'Base stats'!AM:AM)=1,0.001,0.025)),0.5)))</f>
        <v>No</v>
      </c>
      <c r="CB112" s="25" t="str">
        <f>IF(_xlfn.XLOOKUP(_xlfn.XLOOKUP(B112,'Base stats'!B:B,'Base stats'!E:E),Groups!A:A,Groups!AJ:AJ)="Mammal","True","False")</f>
        <v>True</v>
      </c>
      <c r="CC112" s="25" t="str">
        <f>IF(OR(_xlfn.XLOOKUP(_xlfn.XLOOKUP(B112,'Base stats'!B:B,'Base stats'!E:E),Groups!A:A,Groups!AJ:AJ)="Reptile",_xlfn.XLOOKUP(_xlfn.XLOOKUP(B112,'Base stats'!B:B,'Base stats'!E:E),Groups!A:A,Groups!AJ:AJ)="Amphibian",_xlfn.XLOOKUP(_xlfn.XLOOKUP(B112,'Base stats'!B:B,'Base stats'!E:E),Groups!A:A,Groups!AJ:AJ)="Invertebrate"),"True","False")</f>
        <v>False</v>
      </c>
      <c r="CD112" s="25" t="str">
        <f t="shared" si="13"/>
        <v>False</v>
      </c>
      <c r="CE112" s="25" t="str">
        <f>IF(_xlfn.XLOOKUP(_xlfn.XLOOKUP(B112,'Base stats'!B:B,'Base stats'!E:E),Groups!A:A,Groups!AX:AX),"True","False")</f>
        <v>False</v>
      </c>
      <c r="CF112" s="25" t="str">
        <f>IF(_xlfn.XLOOKUP(_xlfn.XLOOKUP(B112,'Base stats'!B:B,'Base stats'!E:E),Groups!A:A,Groups!AY:AY),"True","False")</f>
        <v>False</v>
      </c>
      <c r="CG112" s="25" t="str">
        <f>IF(_xlfn.XLOOKUP(_xlfn.XLOOKUP(B112,'Base stats'!B:B,'Base stats'!E:E),Groups!A:A,Groups!AW:AW),"True","False")</f>
        <v>False</v>
      </c>
      <c r="CH112" s="25" t="str">
        <f>IF(
OR(
_xlfn.XLOOKUP(_xlfn.XLOOKUP(B112,'Base stats'!B:B,'Base stats'!E:E),Groups!A:A,Groups!AZ:AZ)=0,
AND(
_xlfn.XLOOKUP(B112,'Base stats'!B:B,'Base stats'!Y:Y)&lt;&gt;"Carnivore",
_xlfn.XLOOKUP(B112,'Base stats'!B:B,'Base stats'!Y:Y)&lt;&gt;"Omnivore",
_xlfn.XLOOKUP(B112,'Base stats'!B:B,'Base stats'!Y:Y)&lt;&gt;"OmnivoreRough"
)
),
"No",
IF(
_xlfn.XLOOKUP(_xlfn.XLOOKUP(B112,'Base stats'!B:B,'Base stats'!E:E),Groups!A:A,Groups!AZ:AZ)=1,
"Flesh",
IF(
_xlfn.XLOOKUP(_xlfn.XLOOKUP(B112,'Base stats'!B:B,'Base stats'!E:E),Groups!A:A,Groups!AZ:AZ)=2,
"Bone",
""
)
)
)</f>
        <v>No</v>
      </c>
      <c r="CI112" s="25" t="str">
        <f>IF(_xlfn.XLOOKUP(_xlfn.XLOOKUP(B112,'Base stats'!B:B,'Base stats'!E:E),Groups!A:A,Groups!BB:BB),"True","False")</f>
        <v>True</v>
      </c>
      <c r="CJ112" s="25" t="str">
        <f>IF(_xlfn.XLOOKUP(_xlfn.XLOOKUP(B112,'Base stats'!B:B,'Base stats'!E:E),Groups!A:A,Groups!BA:BA),"True","False")</f>
        <v>False</v>
      </c>
    </row>
    <row r="113" spans="1:88" ht="16.5" thickTop="1" thickBot="1" x14ac:dyDescent="0.3">
      <c r="A113" s="26" t="str">
        <f>_xlfn.XLOOKUP(B113,'Base stats'!B:B,'Base stats'!A:A)</f>
        <v>Crocodile</v>
      </c>
      <c r="B113" s="6" t="s">
        <v>246</v>
      </c>
      <c r="C113" s="28" t="s">
        <v>794</v>
      </c>
      <c r="D113" s="28" t="s">
        <v>872</v>
      </c>
      <c r="E113" s="28" t="s">
        <v>673</v>
      </c>
      <c r="F113" s="28" t="s">
        <v>673</v>
      </c>
      <c r="G113" s="28" t="s">
        <v>673</v>
      </c>
      <c r="H113" s="2">
        <f>MROUND((
  (IF(AND(_xlfn.XLOOKUP(B113,'Base stats'!B:B,'Base stats'!AL:AL)=0,BI113="None",_xlfn.XLOOKUP(_xlfn.XLOOKUP(B113,'Base stats'!B:B,'Base stats'!E:E),Groups!A:A,Groups!B:B)=0), (18 + BR113 * 2.7) * 0.5,
    IF(AND(_xlfn.XLOOKUP(B113,'Base stats'!B:B,'Base stats'!AL:AL)=0,OR(AO113&lt;0.55,AND(BI113="Intermediate",_xlfn.XLOOKUP(_xlfn.XLOOKUP(B113,'Base stats'!B:B,'Base stats'!E:E),Groups!A:A,Groups!B:B)&lt;2))), (18 + BR113 * 2.7),
      IF(OR(BI113="Advanced",_xlfn.XLOOKUP(B113,'Base stats'!B:B,'Base stats'!AL:AL)=1,_xlfn.XLOOKUP(_xlfn.XLOOKUP(B113,'Base stats'!B:B,'Base stats'!E:E),Groups!A:A,Groups!B:B)=2), (18 + BR113 * 2.7) + 250, (18 + BR113 * 2.7))
    )
  ))
  + AO113 * 80
  + IF(COUNTIF(EggMilk!K$2:K$998, A113) &gt; 0, 125, 0)
  + IF(COUNTIF(EggMilk!P$2:P$998, A113) &gt; 0, 90, 0)
  + IF(COUNTIF(EggMilk!A$2:A$998, A113) &gt; 0, 90, 0)
)
* (0.8 + 0.4 * J113)
* 0.75,25)</f>
        <v>1125</v>
      </c>
      <c r="I113" s="2">
        <f>MROUND(ROUNDDOWN(_xlfn.XLOOKUP(B113,'Base stats'!B:B,'Base stats'!L:L)/3.6/(23.3/11),1),0.5)</f>
        <v>1.5</v>
      </c>
      <c r="J113" s="2">
        <f>IF(OR(_xlfn.XLOOKUP(B113,'Base stats'!B:B,'Base stats'!AB:AB)=1,_xlfn.XLOOKUP(_xlfn.XLOOKUP(B113,'Base stats'!B:B,'Base stats'!E:E),Groups!A:A,Groups!C:C)="Untamable"),1,IF(_xlfn.XLOOKUP(B113,'Base stats'!B:B,'Base stats'!AL:AL)=1,0.99,MIN(MROUND((1-0.6282*EXP(-0.459*AO113))*_xlfn.XLOOKUP(_xlfn.XLOOKUP(B113,'Base stats'!B:B,'Base stats'!E:E),Groups!A:A,Groups!C:C)*IF(_xlfn.XLOOKUP(B113,'Base stats'!B:B,'Base stats'!O:O)=1,0.5,IF(_xlfn.XLOOKUP(B113,'Base stats'!B:B,'Base stats'!O:O)=2,0,1)),0.05),IF(AO113&gt;3.5,0.985,0.95))))</f>
        <v>0.9</v>
      </c>
      <c r="K113" s="2">
        <f>ROUNDUP(AO113*_xlfn.XLOOKUP(_xlfn.XLOOKUP(B113,'Base stats'!B:B,'Base stats'!E:E),Groups!A:A,Groups!E:E),0)</f>
        <v>3</v>
      </c>
      <c r="L113" s="2">
        <f>IF(OR(_xlfn.XLOOKUP(_xlfn.XLOOKUP(B113,'Base stats'!B:B,'Base stats'!E:E),Groups!A:A,Groups!F:F)=2,ISNUMBER(SEARCH("SeaIce",BX113)),ISNUMBER(SEARCH("IceSheet",BX113))),-50,IF(OR(ISNUMBER(SEARCH("GlacialPlain",BX113)),ISNUMBER(SEARCH("Tundra",BX113))),-40,IF(OR(ISNUMBER(SEARCH("Alpine",BX113)),ISNUMBER(SEARCH("BorealForest",BX113)),ISNUMBER(SEARCH("ColdBog",BX113))),-30,IF(OR(ISNUMBER(SEARCH("TemperateForest",BX113)),ISNUMBER(SEARCH("TemperateSwamp",BX113))),-20,IF(_xlfn.XLOOKUP(_xlfn.XLOOKUP(B113,'Base stats'!B:B,'Base stats'!E:E),Groups!A:A,Groups!F:F)=1,-15,IF(OR(ISNUMBER(SEARCH("Desert",BX113)),ISNUMBER(SEARCH("ExtremeDesert",BX113))),-10,IF(OR(ISNUMBER(SEARCH("Grasslands",BX113)),ISNUMBER(SEARCH("TropicalRainforest",BX113)),ISNUMBER(SEARCH("TropicalSwamp",BX113))),10,0)))))))-IF(CC113="False",MIN(IFERROR(MAX(MROUND(LOG10(_xlfn.XLOOKUP(B113,'Base stats'!B:B,'Base stats'!C:C)^(2/3))*10,5),5),5),30))-_xlfn.XLOOKUP(B113,'Base stats'!B:B,'Base stats'!P:P)+IF(CC113="True",5,0)</f>
        <v>15</v>
      </c>
      <c r="M113" s="2">
        <f>IF(OR(_xlfn.XLOOKUP(_xlfn.XLOOKUP(B113,'Base stats'!B:B,'Base stats'!E:E),Groups!A:A,Groups!G:G)=2,ISNUMBER(SEARCH("Desert",BX113)),ISNUMBER(SEARCH("ExtremeDesert",BX113)),ISNUMBER(SEARCH("LavaField",BX113))),50,IF(ISNUMBER(SEARCH("Grasslands",BX113)),45,IF(OR(_xlfn.XLOOKUP(_xlfn.XLOOKUP(B113,'Base stats'!B:B,'Base stats'!E:E),Groups!A:A,Groups!G:G)=1,ISNUMBER(SEARCH("TropicalRainforest",BX113)),ISNUMBER(SEARCH("TropicalSwamp",BX113))),40,IF(OR(ISNUMBER(SEARCH("TemperateForest",BX113)),ISNUMBER(SEARCH("TemperateSwamp",BX113))),35,IF(OR(ISNUMBER(SEARCH("Alpine",BX113)),ISNUMBER(SEARCH("BorealForest",BX113)),ISNUMBER(SEARCH("ColdBog",BX113))),30,IF(ISNUMBER(OR(ISNUMBER(SEARCH("GlacialPlain",BX113)),SEARCH("Tundra",BX113))),25,IF(OR(ISNUMBER(SEARCH("SeaIce",BX113)),ISNUMBER(SEARCH("IceSheet",BX113)),ISNUMBER(SEARCH("TropicalSwamp",BX113))),10,35)))))))+_xlfn.XLOOKUP(B113,'Base stats'!B:B,'Base stats'!Q:Q)</f>
        <v>50</v>
      </c>
      <c r="N113" s="8">
        <f>IF(
_xlfn.XLOOKUP(
_xlfn.XLOOKUP(B113,'Base stats'!B:B,'Base stats'!E:E),
Groups!A:A,
Groups!L:L
)=1,
MIN(
MROUND(
IF(
_xlfn.XLOOKUP(B113,'Animals CE'!B:B,'Animals CE'!Z:Z)&lt;=1.5,
_xlfn.XLOOKUP(B113,'Animals CE'!B:B,'Animals CE'!Z:Z)/2+0.05,
0.8+
(_xlfn.XLOOKUP(B113,'Animals CE'!B:B,'Animals CE'!Z:Z)-1.5)
*0.02
),
0.05
),
200%
),
"No"
)</f>
        <v>0.30000000000000004</v>
      </c>
      <c r="O113" s="8">
        <f>IF(
_xlfn.XLOOKUP(
_xlfn.XLOOKUP(B113,'Base stats'!B:B,'Base stats'!E:E),
Groups!A:A,
Groups!L:L
)=1,
MIN(
MROUND(
IF(
_xlfn.XLOOKUP(B113,'Animals CE'!B:B,'Animals CE'!AA:AA)&lt;=1.5,
_xlfn.XLOOKUP(B113,'Animals CE'!B:B,'Animals CE'!AA:AA)/2+0.05,
0.8+
(_xlfn.XLOOKUP(B113,'Animals CE'!B:B,'Animals CE'!AA:AA)-1.5)
*0.02
),
0.05
),
200%
),
"No"
)</f>
        <v>0.30000000000000004</v>
      </c>
      <c r="P113" s="2" t="str">
        <f>_xlfn.XLOOKUP(B113,'Base stats'!B:B,'Base stats'!R:R)</f>
        <v>Standard</v>
      </c>
      <c r="Q113" s="13">
        <f>MROUND((LOG10(_xlfn.XLOOKUP(B113,'Base stats'!B:B,'Base stats'!AR:AR))*(AO113^0.5)+(_xlfn.XLOOKUP(B113,'Base stats'!B:B,'Base stats'!AR:AR)/1000)^(2/3)+_xlfn.XLOOKUP(B113,'Base stats'!B:B,'Base stats'!BA:BA)/2)+0.5,0.5)</f>
        <v>15</v>
      </c>
      <c r="R113" s="7">
        <f>IF(Q113="No","No",MAX(1,MROUND(_xlfn.XLOOKUP(B113,'Base stats'!B:B,'Base stats'!C:C)^0.165,0.05)))</f>
        <v>2.75</v>
      </c>
      <c r="S113" s="13" t="str">
        <f>IF(_xlfn.XLOOKUP(_xlfn.XLOOKUP(B113,'Base stats'!B:B,'Base stats'!E:E),Groups!A:A,Groups!P:P)=0,"No",MROUND((LOG10(_xlfn.XLOOKUP(B113,'Base stats'!B:B,'Base stats'!AS:AS))*(AO113^0.5)+(_xlfn.XLOOKUP(B113,'Base stats'!B:B,'Base stats'!AS:AS)/1000)^(2/3)+_xlfn.XLOOKUP(B113,'Base stats'!B:B,'Base stats'!BA:BA))+_xlfn.XLOOKUP(B113,'Base stats'!B:B,'Base stats'!AY:AY)+0.5,0.5))</f>
        <v>No</v>
      </c>
      <c r="T113" s="7" t="str">
        <f>IF(S113="No","No",MAX(_xlfn.XLOOKUP(_xlfn.XLOOKUP(B113,'Base stats'!B:B,'Base stats'!E:E),Groups!A:A,Groups!Q:Q),MROUND(_xlfn.XLOOKUP(_xlfn.XLOOKUP(B113,'Base stats'!B:B,'Base stats'!E:E),Groups!A:A,Groups!Q:Q)*_xlfn.XLOOKUP(B113,'Base stats'!B:B,'Base stats'!C:C)^0.165,0.05)))</f>
        <v>No</v>
      </c>
      <c r="U113" s="7" t="str">
        <f>IF(S113="No","No",_xlfn.XLOOKUP(_xlfn.XLOOKUP(B113,'Base stats'!B:B,'Base stats'!E:E),Groups!A:A,Groups!R:R))</f>
        <v>No</v>
      </c>
      <c r="V113" s="7" t="str">
        <f>IF(S113="No","No",_xlfn.XLOOKUP(_xlfn.XLOOKUP(B113,'Base stats'!B:B,'Base stats'!E:E),Groups!A:A,Groups!S:S))</f>
        <v>No</v>
      </c>
      <c r="W113" s="7" t="str">
        <f>IF(S113="No","No",_xlfn.XLOOKUP(_xlfn.XLOOKUP(B113,'Base stats'!B:B,'Base stats'!E:E),Groups!A:A,Groups!T:T))</f>
        <v>No</v>
      </c>
      <c r="X113" s="13" t="str">
        <f>IF(_xlfn.XLOOKUP(B113,'Base stats'!B:B,'Base stats'!W:W)="No","No",MROUND((LOG10(_xlfn.XLOOKUP(B113,'Base stats'!B:B,'Base stats'!AU:AU))*(AO113^0.5)+(_xlfn.XLOOKUP(B113,'Base stats'!B:B,'Base stats'!AU:AU)/1000)^(2/3)+_xlfn.XLOOKUP(B113,'Base stats'!B:B,'Base stats'!AZ:AZ))+0.5+IF(_xlfn.XLOOKUP(_xlfn.XLOOKUP(B113,'Base stats'!B:B,'Base stats'!E:E),Groups!A:A,Groups!U:U)&lt;&gt;3,_xlfn.XLOOKUP(B113,'Base stats'!B:B,'Base stats'!BA:BA),0),0.5))</f>
        <v>No</v>
      </c>
      <c r="Y113" s="7" t="str">
        <f>IF(X113="No","No",MAX(_xlfn.XLOOKUP(_xlfn.XLOOKUP(B113,'Base stats'!B:B,'Base stats'!E:E),Groups!A:A,Groups!V:V),MROUND(_xlfn.XLOOKUP(_xlfn.XLOOKUP(B113,'Base stats'!B:B,'Base stats'!E:E),Groups!A:A,Groups!V:V)*_xlfn.XLOOKUP(B113,'Base stats'!B:B,'Base stats'!C:C)^0.165,0.05)))</f>
        <v>No</v>
      </c>
      <c r="Z113" s="7" t="str">
        <f>IF(X113="No","No",_xlfn.XLOOKUP(_xlfn.XLOOKUP(B113,'Base stats'!B:B,'Base stats'!E:E),Groups!A:A,Groups!W:W))</f>
        <v>No</v>
      </c>
      <c r="AA113" s="7" t="str">
        <f>IF(X113="No","No",_xlfn.XLOOKUP(_xlfn.XLOOKUP(B113,'Base stats'!B:B,'Base stats'!E:E),Groups!A:A,Groups!X:X))</f>
        <v>No</v>
      </c>
      <c r="AB113" s="7" t="str">
        <f>IF(X113="No","No",_xlfn.XLOOKUP(_xlfn.XLOOKUP(B113,'Base stats'!B:B,'Base stats'!E:E),Groups!A:A,Groups!Y:Y))</f>
        <v>No</v>
      </c>
      <c r="AC113" s="7" t="str">
        <f>_xlfn.XLOOKUP(Animals!B113,'Base stats'!B:B,'Base stats'!X:X)</f>
        <v>False</v>
      </c>
      <c r="AD113" s="13">
        <f>IF(_xlfn.XLOOKUP(B113,'Base stats'!B:B,'Base stats'!AT:AT)="No","No",MROUND((LOG10(_xlfn.XLOOKUP(B113,'Base stats'!B:B,'Base stats'!AT:AT))*(AO113^0.75)+(_xlfn.XLOOKUP(B113,'Base stats'!B:B,'Base stats'!AT:AT)/1000)^(2/3)+_xlfn.XLOOKUP(B113,'Base stats'!B:B,'Base stats'!AX:AX)+_xlfn.XLOOKUP(B113,'Base stats'!B:B,'Base stats'!BA:BA))+0.5,0.5))</f>
        <v>24.5</v>
      </c>
      <c r="AE113" s="7">
        <f>IF(AD113="No","No",MAX(_xlfn.XLOOKUP(_xlfn.XLOOKUP(B113,'Base stats'!B:B,'Base stats'!E:E),Groups!A:A,Groups!Z:Z),MROUND(_xlfn.XLOOKUP(_xlfn.XLOOKUP(B113,'Base stats'!B:B,'Base stats'!E:E),Groups!A:A,Groups!Z:Z)*_xlfn.XLOOKUP(B113,'Base stats'!B:B,'Base stats'!C:C)^0.165,0.05)))</f>
        <v>2.6</v>
      </c>
      <c r="AF113" s="7" t="str">
        <f>IF(AD113="No","No",_xlfn.XLOOKUP(_xlfn.XLOOKUP(B113,'Base stats'!B:B,'Base stats'!E:E),Groups!A:A,Groups!AA:AA))</f>
        <v>Teeth</v>
      </c>
      <c r="AG113" s="7" t="str">
        <f>IF(AD113="No","No",_xlfn.XLOOKUP(_xlfn.XLOOKUP(B113,'Base stats'!B:B,'Base stats'!E:E),Groups!A:A,Groups!AB:AB))</f>
        <v>teeth</v>
      </c>
      <c r="AH113" s="7" t="str">
        <f>IF(AD113="No","No",_xlfn.XLOOKUP(_xlfn.XLOOKUP(B113,'Base stats'!B:B,'Base stats'!E:E),Groups!A:A,Groups!AC:AC))</f>
        <v>Bite</v>
      </c>
      <c r="AI113" s="13" t="str">
        <f>IF(_xlfn.XLOOKUP(_xlfn.XLOOKUP(B113,'Base stats'!B:B,'Base stats'!E:E),Groups!A:A,Groups!AD:AD)=0,"No",MROUND((LOG10(_xlfn.XLOOKUP(B113,'Base stats'!B:B,'Base stats'!AS:AS))*(AO113^0.75)+(_xlfn.XLOOKUP(B113,'Base stats'!B:B,'Base stats'!AS:AS)/1000)^(2/3)+_xlfn.XLOOKUP(B113,'Base stats'!B:B,'Base stats'!AY:AY)+_xlfn.XLOOKUP(B113,'Base stats'!B:B,'Base stats'!BA:BA))+0.5,0.5))</f>
        <v>No</v>
      </c>
      <c r="AJ113" s="7" t="str">
        <f>IF(AI113="No","No",MAX(_xlfn.XLOOKUP(_xlfn.XLOOKUP(B113,'Base stats'!B:B,'Base stats'!E:E),Groups!A:A,Groups!AE:AE),MROUND(_xlfn.XLOOKUP(_xlfn.XLOOKUP(B113,'Base stats'!B:B,'Base stats'!E:E),Groups!A:A,Groups!AE:AE)*IF(_xlfn.XLOOKUP(_xlfn.XLOOKUP(B113,'Base stats'!B:B,'Base stats'!E:E),Groups!A:A,Groups!AJ:AJ)="Photonozoa",0.6,1)*_xlfn.XLOOKUP(B113,'Base stats'!B:B,'Base stats'!C:C)^0.165,0.05)))</f>
        <v>No</v>
      </c>
      <c r="AK113" s="7" t="str">
        <f>IF(AI113="No","No",_xlfn.XLOOKUP(_xlfn.XLOOKUP(B113,'Base stats'!B:B,'Base stats'!E:E),Groups!A:A,Groups!AF:AF))</f>
        <v>No</v>
      </c>
      <c r="AL113" s="7" t="str">
        <f>IF(AI113="No","No",_xlfn.XLOOKUP(_xlfn.XLOOKUP(B113,'Base stats'!B:B,'Base stats'!E:E),Groups!A:A,Groups!AG:AG))</f>
        <v>No</v>
      </c>
      <c r="AM113" s="7" t="str">
        <f>IF(AI113="No","No",_xlfn.XLOOKUP(_xlfn.XLOOKUP(B113,'Base stats'!B:B,'Base stats'!E:E),Groups!A:A,Groups!AH:AH))</f>
        <v>No</v>
      </c>
      <c r="AN113" s="2">
        <f t="shared" si="7"/>
        <v>30</v>
      </c>
      <c r="AO113" s="2">
        <f>MROUND(IF(AND(_xlfn.XLOOKUP(B113,'Base stats'!B:B,'Base stats'!C:C)&gt;=0.5,_xlfn.XLOOKUP(B113,'Base stats'!B:B,'Base stats'!C:C)&lt;=0.8),
IF(_xlfn.XLOOKUP(B113,'Base stats'!B:B,'Base stats'!C:C)&lt;0.1,0.05,IF(_xlfn.XLOOKUP(B113,'Base stats'!B:B,'Base stats'!C:C)&lt;=70,(_xlfn.XLOOKUP(B113,'Base stats'!B:B,'Base stats'!C:C)/70)^0.426489913056526,IF(_xlfn.XLOOKUP(B113,'Base stats'!B:B,'Base stats'!C:C)&lt;=400,(_xlfn.XLOOKUP(B113,'Base stats'!B:B,'Base stats'!C:C)/70)^0.572811455315093,IF(_xlfn.XLOOKUP(B113,'Base stats'!B:B,'Base stats'!C:C)&lt;=2000,2.71391647193063*(_xlfn.XLOOKUP(B113,'Base stats'!B:B,'Base stats'!C:C)/400)^0.252459582904293,3.74314280240376*(_xlfn.XLOOKUP(B113,'Base stats'!B:B,'Base stats'!C:C)/2000)^0.357012633876913)))),
IF(_xlfn.XLOOKUP(B113,'Base stats'!B:B,'Base stats'!C:C)&lt;0.1,0.05,IF(_xlfn.XLOOKUP(B113,'Base stats'!B:B,'Base stats'!C:C)&lt;0.4,0.1,IF(_xlfn.XLOOKUP(B113,'Base stats'!B:B,'Base stats'!C:C)&lt;=70,(_xlfn.XLOOKUP(B113,'Base stats'!B:B,'Base stats'!C:C)/70)^0.445823913056526,IF(_xlfn.XLOOKUP(B113,'Base stats'!B:B,'Base stats'!C:C)&lt;=400,(_xlfn.XLOOKUP(B113,'Base stats'!B:B,'Base stats'!C:C)/70)^0.572811455315093,IF(_xlfn.XLOOKUP(B113,'Base stats'!B:B,'Base stats'!C:C)&lt;=2000,2.71391647193063*(_xlfn.XLOOKUP(B113,'Base stats'!B:B,'Base stats'!C:C)/400)^0.252459582904293,3.74314280240376*(_xlfn.XLOOKUP(B113,'Base stats'!B:B,'Base stats'!C:C)/2000)^0.357012633876913)))))),
IF(_xlfn.XLOOKUP(B113,'Base stats'!B:B,'Base stats'!C:C)&lt;0.1,0.05,IF(_xlfn.XLOOKUP(B113,'Base stats'!B:B,'Base stats'!C:C)&lt;=100,0.05,IF(_xlfn.XLOOKUP(B113,'Base stats'!B:B,'Base stats'!C:C)&lt;=250,0.1,IF(_xlfn.XLOOKUP(B113,'Base stats'!B:B,'Base stats'!C:C)&lt;=4000,0.25,0.5)))))</f>
        <v>2.75</v>
      </c>
      <c r="AP113" s="8">
        <f>MROUND(AO113*_xlfn.XLOOKUP(_xlfn.XLOOKUP(B113,'Base stats'!B:B,'Base stats'!E:E),Groups!A:A,Groups!AI:AI)*_xlfn.XLOOKUP(B113,'Base stats'!B:B,'Base stats'!Z:Z),0.05)</f>
        <v>3.3000000000000003</v>
      </c>
      <c r="AQ113" s="8">
        <f>MAX(0.01,MROUND(IF(CC113="True",0.196*(AO113*100*1000)^0.889,IF(_xlfn.XLOOKUP(_xlfn.XLOOKUP(B113,'Base stats'!B:B,'Base stats'!E:E),Groups!A:A,Groups!AJ:AJ)="Bird",10.5*(AO113*100*1000)^0.681,4.82*(AO113*100*1000)^0.734))/(4.82*(1*100*1000)^0.734)/IF(AO113&lt;3.5,2,IF(AO113=3.5,1.5,1.25))*(1+0.132282374779864/(AO113^0.994035016789033+0.00905238001496948)),0.05))</f>
        <v>0.30000000000000004</v>
      </c>
      <c r="AR113" s="9">
        <f>IFERROR(MROUND(_xlfn.XLOOKUP(B113,'Base stats'!B:B,'Base stats'!H:H)/IF(_xlfn.XLOOKUP(B113,'Base stats'!B:B,'Base stats'!I:I)&lt;&gt;1,(122.5/70),1.2),IF(_xlfn.XLOOKUP(B113,'Base stats'!B:B,'Base stats'!H:H)&gt;=30,5,IF(_xlfn.XLOOKUP(B113,'Base stats'!B:B,'Base stats'!H:H)&gt;=15,3,IF(_xlfn.XLOOKUP(B113,'Base stats'!B:B,'Base stats'!H:H)&gt;=10,2,1)))),"Immortal")</f>
        <v>50</v>
      </c>
      <c r="AS113" s="35" t="str">
        <f>IFERROR(IF(OR(_xlfn.XLOOKUP(B113,'Base stats'!B:B,'Base stats'!F:F)="Atypical reproduction",_xlfn.XLOOKUP(B113,'Base stats'!B:B,'Base stats'!F:F)="Lay eggs"),"Lay eggs",MIN(20,MAX(5.5,ROUND(((_xlfn.XLOOKUP(B113,'Base stats'!B:B,'Base stats'!F:F)-25)*(14.5/615) + 5.5)*2,0)/2))),"Unknown")</f>
        <v>Lay eggs</v>
      </c>
      <c r="AT113" s="8">
        <f>IF(_xlfn.XLOOKUP(B113,'Base stats'!B:B,'Base stats'!G:G)="Atypical reproduction","No",IFERROR(MAX(IF(_xlfn.XLOOKUP(B113,'Base stats'!B:B,'Base stats'!G:G)&lt;0.5,0.2,0.3),MROUND(_xlfn.XLOOKUP(B113,'Base stats'!B:B,'Base stats'!G:G)/(365/60),0.2)),"Unknown"))</f>
        <v>1.6</v>
      </c>
      <c r="AU113" s="8">
        <f t="shared" si="8"/>
        <v>0.8</v>
      </c>
      <c r="AV113" s="8" t="str">
        <f>IFERROR(IFERROR(MROUND(_xlfn.XLOOKUP(B113,'Base stats'!B:B,'Base stats'!J:J),0.1),"Lay eggs"),"Cannot breed")</f>
        <v>Lay eggs</v>
      </c>
      <c r="AW113" s="2" t="str">
        <f t="shared" si="9"/>
        <v>false</v>
      </c>
      <c r="AX113" s="2" t="str">
        <f>IF(_xlfn.XLOOKUP(_xlfn.XLOOKUP(Animals!B113,'Base stats'!B:B,'Base stats'!E:E),Groups!A:A,Groups!AK:AK)=1,"true","false")</f>
        <v>false</v>
      </c>
      <c r="AY113" s="25" t="str">
        <f>IF(_xlfn.XLOOKUP(B113,'Base stats'!B:B,'Base stats'!Y:Y)="Liquor","Liquor, CarnivoreAnimalStrict",IF(AND(_xlfn.XLOOKUP(B113,'Base stats'!B:B,'Base stats'!Y:Y)="Carnivore",_xlfn.XLOOKUP(_xlfn.XLOOKUP(B113,'Base stats'!B:B,'Base stats'!E:E),Groups!A:A,Groups!AJ:AJ)="Photonozoa"),"CarnivoreAnimalStrict, OvivoreAnimal",IF(_xlfn.XLOOKUP(B113,'Base stats'!B:B,'Base stats'!Y:Y)="Carnivore","CarnivoreAnimal, OvivoreAnimal",IF(_xlfn.XLOOKUP(B113,'Base stats'!B:B,'Base stats'!Y:Y)="Dendrovore","VegetarianRoughAnimal, DendrovoreAnimal",IF(_xlfn.XLOOKUP(B113,'Base stats'!B:B,'Base stats'!Y:Y)="Herbivore","VegetarianRoughAnimal",IF(_xlfn.XLOOKUP(B113,'Base stats'!B:B,'Base stats'!Y:Y)="OmnivoreRough","OmnivoreRoughAnimal, OvivoreAnimal","OmnivoreAnimal, OvivoreAnimal"))))))</f>
        <v>CarnivoreAnimal, OvivoreAnimal</v>
      </c>
      <c r="AZ113" s="2" t="str">
        <f>IF(_xlfn.XLOOKUP(_xlfn.XLOOKUP(B113,'Base stats'!B:B,'Base stats'!E:E),Groups!A:A,Groups!D:D)=1,MROUND((1-J113)*5+1,2)*IF(J113&lt;=0.4,2,1),"No")</f>
        <v>No</v>
      </c>
      <c r="BA113" s="2" t="str">
        <f>IF(AND(_xlfn.XLOOKUP(B113,'Base stats'!B:B,'Base stats'!AH:AH)="&lt;li&gt;Seal&lt;/li&gt;",G113="Odyssey"),"&lt;li&gt;AEXP_Seal&lt;/li&gt;",_xlfn.XLOOKUP(B113,'Base stats'!B:B,'Base stats'!AH:AH))</f>
        <v>No</v>
      </c>
      <c r="BB113" s="2" t="str">
        <f>_xlfn.XLOOKUP(B113,'Base stats'!B:B,'Base stats'!AG:AG)</f>
        <v>Leather_Lizard</v>
      </c>
      <c r="BC113" s="23" t="str">
        <f>_xlfn.XLOOKUP(_xlfn.XLOOKUP(B113,'Base stats'!B:B,'Base stats'!E:E),Groups!A:A,Groups!AL:AL)</f>
        <v>QuadrupedAnimalWithClawsTailAndJowl</v>
      </c>
      <c r="BD113" s="23">
        <f>MIN(1,MROUND(IF(AND(AO113&lt;0.5,_xlfn.XLOOKUP(B113,'Base stats'!B:B,'Base stats'!AA:AA)=0),0,IF(OR(_xlfn.XLOOKUP(Animals!B113,'Base stats'!B:B,'Base stats'!O:O)=2,_xlfn.XLOOKUP(_xlfn.XLOOKUP(B113,'Base stats'!B:B,'Base stats'!E:E),Groups!A:A,Groups!AN:AN)=0),0,_xlfn.XLOOKUP(_xlfn.XLOOKUP(B113,'Base stats'!B:B,'Base stats'!E:E),Groups!A:A,Groups!AN:AN)/IF(_xlfn.XLOOKUP(Animals!B113,'Base stats'!B:B,'Base stats'!O:O)=1,2,1)))+_xlfn.XLOOKUP(B113,'Base stats'!B:B,'Base stats'!AC:AC),0.005))</f>
        <v>0.1</v>
      </c>
      <c r="BE113" s="23">
        <f>MIN(1,MROUND(IF(AND(AO113&lt;0.5,_xlfn.XLOOKUP(B113,'Base stats'!B:B,'Base stats'!AA:AA)=0),0,IF(_xlfn.XLOOKUP(_xlfn.XLOOKUP(B113,'Base stats'!B:B,'Base stats'!E:E),Groups!A:A,Groups!AO:AO)=0,0,_xlfn.XLOOKUP(_xlfn.XLOOKUP(B113,'Base stats'!B:B,'Base stats'!E:E),Groups!A:A,Groups!AO:AO)/IF(_xlfn.XLOOKUP(Animals!B113,'Base stats'!B:B,'Base stats'!O:O)=2,3,1)))+_xlfn.XLOOKUP(B113,'Base stats'!B:B,'Base stats'!AD:AD),0.005))</f>
        <v>0.3</v>
      </c>
      <c r="BF113" s="2" t="str">
        <f>IF(J113&gt;0.3,"No",_xlfn.XLOOKUP(_xlfn.XLOOKUP(Animals!B113,'Base stats'!B:B,'Base stats'!E:E),Groups!A:A,Groups!AP:AP))</f>
        <v>No</v>
      </c>
      <c r="BG113" s="2" t="str">
        <f>IF(AND(J113&lt;=0.65,_xlfn.XLOOKUP(_xlfn.XLOOKUP(Animals!B113,'Base stats'!B:B,'Base stats'!E:E),Groups!A:A,Groups!AP:AP)&lt;&gt;"No",_xlfn.XLOOKUP(_xlfn.XLOOKUP(B113,'Base stats'!B:B,'Base stats'!E:E),Groups!A:A,Groups!D:D)=0),MROUND((80/3)*IF(_xlfn.XLOOKUP(B113,'Base stats'!B:B,'Base stats'!O:O)=2,0.2,AO113) + 24*(1-IF(BF113="No",0,BF113)) + 16/3, 12),"No")</f>
        <v>No</v>
      </c>
      <c r="BH113" s="2">
        <f>IF(AND(_xlfn.XLOOKUP(_xlfn.XLOOKUP(B113,'Base stats'!B:B,'Base stats'!E:E),Groups!A:A,Groups!AQ:AQ)=1,AO113&lt;=0.35),8,12)</f>
        <v>12</v>
      </c>
      <c r="BI113" s="2" t="str">
        <f>IF(_xlfn.XLOOKUP(_xlfn.XLOOKUP(B113,'Base stats'!B:B,'Base stats'!E:E),Groups!A:A,Groups!D:D)=0,_xlfn.XLOOKUP(_xlfn.XLOOKUP(B113,'Base stats'!B:B,'Base stats'!E:E),Groups!A:A,Groups!AR:AR),"None")</f>
        <v>None</v>
      </c>
      <c r="BJ113" s="2" t="str">
        <f>IF(AND(_xlfn.XLOOKUP(_xlfn.XLOOKUP(B113,'Base stats'!B:B,'Base stats'!E:E),Groups!A:A,Groups!AS:AS)=1,OR(_xlfn.XLOOKUP(B113,'Base stats'!B:B,'Base stats'!Y:Y)="Carnivore",_xlfn.XLOOKUP(B113,'Base stats'!B:B,'Base stats'!Y:Y)="Omnivore")),"true","false")</f>
        <v>true</v>
      </c>
      <c r="BK113" s="2">
        <f>IF(BJ113="true",MROUND(IF(AND(AO113&gt;0.5,OR(_xlfn.XLOOKUP(_xlfn.XLOOKUP(B113,'Base stats'!B:B,'Base stats'!E:E),Groups!A:A,Groups!AJ:AJ)="Photonozoa",_xlfn.XLOOKUP(_xlfn.XLOOKUP(B113,'Base stats'!B:B,'Base stats'!E:E),Groups!A:A,Groups!AJ:AJ)="Mammal")),Animals!AO113*1.75*IF(AW113="true",1.5,1),IF(AO113&lt;0.5,Animals!AO113*0.5,Animals!AO113)),IF(AO113&gt;2,0.5,IF(AO113&gt;0.5,0.25,0.1))),"No")</f>
        <v>3</v>
      </c>
      <c r="BL113" s="2">
        <f t="shared" si="10"/>
        <v>0</v>
      </c>
      <c r="BM113" s="25">
        <f>IF(_xlfn.XLOOKUP(B113,'Base stats'!B:B,'Base stats'!AN:AN)="Standard","No",MROUND((_xlfn.XLOOKUP(B113,'Base stats'!B:B,'Base stats'!AN:AN)/3.6)/I113,0.1))</f>
        <v>2.8000000000000003</v>
      </c>
      <c r="BN113" s="25" t="str">
        <f t="shared" si="11"/>
        <v>true</v>
      </c>
      <c r="BO113" s="25" t="str">
        <f>IF(AND(OR(_xlfn.XLOOKUP(B113,'Base stats'!B:B,'Base stats'!Y:Y)="Carnivore",_xlfn.XLOOKUP(B113,'Base stats'!B:B,'Base stats'!Y:Y)="Omnivore",_xlfn.XLOOKUP(B113,'Base stats'!B:B,'Base stats'!Y:Y)="OmnivoreRough"),_xlfn.XLOOKUP(_xlfn.XLOOKUP(B113,'Base stats'!B:B,'Base stats'!E:E),Groups!A:A,Groups!AT:AT)=1),"true","false")</f>
        <v>true</v>
      </c>
      <c r="BP113" s="25" t="str" cm="1">
        <f t="array" ref="BP113">IF(
  _xlfn.TEXTJOIN(", ",TRUE,
    IF(AND(BJ113="true",AO113&gt;0.5,BI113&lt;&gt;"None"),"AttackTarget",""),
    IF(AND(_xlfn.XLOOKUP(_xlfn.XLOOKUP(B113,'Base stats'!B:B,'Base stats'!E:E),Groups!A:A,Groups!AJ:AJ="Mammal"),OR(_xlfn.XLOOKUP(B113,'Base stats'!B:B,'Base stats'!Y:Y)="Omnivore",_xlfn.XLOOKUP(B113,'Base stats'!B:B,'Base stats'!Y:Y)="OmnivoreRough")),"Forage",""),
    IF(BG113&lt;=36,"Comfort",""),
    IF(_xlfn.XLOOKUP(B113,'Base stats'!B:B,'Base stats'!AE:AE)&lt;&gt;"No",_xlfn.XLOOKUP(B113,'Base stats'!B:B,'Base stats'!AE:AE),"")
  ) = "",
  "No",
  _xlfn.TEXTJOIN(", ",TRUE,
    IF(AND(BJ113="true",AO113&gt;0.5,BI113&lt;&gt;"None"),"AttackTarget",""),
    IF(AND(_xlfn.XLOOKUP(_xlfn.XLOOKUP(B113,'Base stats'!B:B,'Base stats'!E:E),Groups!A:A,Groups!AJ:AJ="Mammal"),OR(_xlfn.XLOOKUP(B113,'Base stats'!B:B,'Base stats'!Y:Y)="Omnivore",_xlfn.XLOOKUP(B113,'Base stats'!B:B,'Base stats'!Y:Y)="OmnivoreRough")),"Forage",""),
    IF(BG113&lt;=36,"Comfort",""),
    IF(_xlfn.XLOOKUP(B113,'Base stats'!B:B,'Base stats'!AE:AE)&lt;&gt;"No",_xlfn.XLOOKUP(B113,'Base stats'!B:B,'Base stats'!AE:AE),"")
  )
)</f>
        <v>No</v>
      </c>
      <c r="BQ113" s="25">
        <f>IF(
   AND(
      'Base stats'!AN113="Standard",_xlfn.XLOOKUP(_xlfn.XLOOKUP(B113,'Base stats'!B:B,'Base stats'!E:E),Groups!A:A,Groups!AU:AU)=0,
      OR(
      BO113="True"
      )
   ),
   10,
   IF(
       OR(BM113&lt;&gt;"No",_xlfn.XLOOKUP(_xlfn.XLOOKUP(B113,'Base stats'!B:B,'Base stats'!E:E),Groups!A:A,Groups!AU:AU)=1),
      1,
      "No"
   )
)</f>
        <v>1</v>
      </c>
      <c r="BR113" s="9">
        <f>MROUND((1 + ((0.2*IF(OR(Q113="No",R113="No",R113=0),0,Q113/R113)
+IF(OR(V113="No",S113="No",T113="No"),0,S113/T113*(LEN(V113)-LEN(SUBSTITUTE(V113,",",""))+1))
+IF(OR(X113="No",Y113="No"),0,X113/Y113)
+IF(OR(AD113="No",AE113="No"),0,AD113/AE113)
+IF(OR(AL113="No",AI113="No",AJ113="No"),0,AI113/AJ113*(LEN(AL113)-LEN(SUBSTITUTE(AL113,",",""))+1))
)/(0.2*IF(OR(Q113="No",R113="No",R113=0),0,1)
+IF(OR(V113="No",S113="No",T113="No"),0,LEN(V113)-LEN(SUBSTITUTE(V113,",",""))+1)
+IF(OR(X113="No",Y113="No"),0,1)
+IF(OR(AD113="No",AE113="No"),0,1)
+IF(OR(AL113="No",AI113="No",AJ113="No"),0,LEN(AL113)-LEN(SUBSTITUTE(AL113,",",""))+1))*62%)* 2)*(1 + (AP113 / (IF(_xlfn.XLOOKUP(_xlfn.XLOOKUP(B113,'Base stats'!B:B,'Base stats'!E:E),Groups!A:A,Groups!AJ:AJ)="Photonozoa",0.3,1)) + _xlfn.XLOOKUP(B113,'Base stats'!B:B,'Base stats'!AV:AV) * 1.8) * 2) * 2.5 + 10 + I113 * 2,5)+IF(_xlfn.XLOOKUP(B113,'Base stats'!B:B,'Base stats'!AK:AK)=1,50,0)</f>
        <v>270</v>
      </c>
      <c r="BS113" s="8">
        <f t="shared" si="12"/>
        <v>0.8</v>
      </c>
      <c r="BT113" s="8" t="str">
        <f>_xlfn.XLOOKUP(B113,'Base stats'!B:B,'Base stats'!AF:AF)</f>
        <v>No</v>
      </c>
      <c r="BU113" s="2" t="str">
        <f>IF(AND(J113&lt;=0.95,OR(_xlfn.XLOOKUP(B113,'Base stats'!B:B,'Base stats'!AK:AK)=1,_xlfn.XLOOKUP(B113,'Base stats'!B:B,'Base stats'!Y:Y)="Carnivore",_xlfn.XLOOKUP(B113,'Base stats'!B:B,'Base stats'!Y:Y)="Omnivore",BE113&gt;0.1)),"true","false")</f>
        <v>true</v>
      </c>
      <c r="BV113" s="2" t="str">
        <f>IF(_xlfn.XLOOKUP(B113,'Base stats'!B:B,'Base stats'!AI:AI)=1,"true","false")</f>
        <v>false</v>
      </c>
      <c r="BW113" s="25" t="str">
        <f>IF(E113="BaseInsect","AnimalInsect",
IF(J113&gt;0.95,"AnimalExotic",
_xlfn.TEXTJOIN(", ",TRUE,
IF(OR(_xlfn.XLOOKUP(B113,'Base stats'!B:B,'Base stats'!AM:AM)=1,AND(_xlfn.XLOOKUP(B113,'Base stats'!B:B,'Base stats'!O:O)=0,_xlfn.XLOOKUP(_xlfn.XLOOKUP(B113,'Base stats'!B:B,'Base stats'!E:E),Groups!A:A,Groups!B:B)&gt;0)),"AnimalUncommon","AnimalCommon"),
IF(AND(_xlfn.XLOOKUP(B113,'Base stats'!B:B,'Base stats'!O:O)=2,_xlfn.XLOOKUP(_xlfn.XLOOKUP(B113,'Base stats'!B:B,'Base stats'!E:E),Groups!A:A,Groups!D:D)=0),"AnimalPet",IF(AND(_xlfn.XLOOKUP(B113,'Base stats'!B:B,'Base stats'!O:O)&lt;&gt;0,_xlfn.XLOOKUP(_xlfn.XLOOKUP(B113,'Base stats'!B:B,'Base stats'!E:E),Groups!A:A,Groups!D:D)&lt;&gt;0),"AnimalFarm","")),
IF(OR(_xlfn.XLOOKUP(B113,'Base stats'!B:B,'Base stats'!AK:AK)=1,AND(BI113&lt;&gt;"None",BR113&gt;=60),ISNUMBER(SEARCH("Attack target",BP113))),"AnimalFighter","")
)))</f>
        <v>AnimalUncommon</v>
      </c>
      <c r="BX113" s="25" t="str">
        <f>IF(G113="None",TRIM(
SUBSTITUTE(
IF(COUNTIF(Biomes!B$2:B$259,"="&amp;$C113)&gt;0,Biomes!B$1&amp;", ","")&amp;
IF(COUNTIF(Biomes!C$2:C$259,"="&amp;$C113)&gt;0,Biomes!C$1&amp;", ","")&amp;
IF(COUNTIF(Biomes!D$2:D$259,"="&amp;$C113)&gt;0,Biomes!D$1&amp;", ","")&amp;
IF(COUNTIF(Biomes!F$2:F$259,"="&amp;$C113)&gt;0,Biomes!F$1&amp;", ","")&amp;
IF(COUNTIF(Biomes!G$2:G$259,"="&amp;$C113)&gt;0,Biomes!G$1&amp;", ","")&amp;
IF(COUNTIF(Biomes!H$2:H$259,"="&amp;$C113)&gt;0,Biomes!H$1&amp;", ","")&amp;
IF(COUNTIF(Biomes!I$2:I$259,"="&amp;$C113)&gt;0,Biomes!I$1&amp;", ","")&amp;
IF(COUNTIF(Biomes!J$2:J$259,"="&amp;$C113)&gt;0,Biomes!J$1&amp;", ","")&amp;
IF(COUNTIF(Biomes!M$2:M$259,"="&amp;$C113)&gt;0,Biomes!M$1&amp;", ","")&amp;
IF(COUNTIF(Biomes!N$2:N$259,"="&amp;$C113)&gt;0,Biomes!N$1&amp;", ","")&amp;
IF(COUNTIF(Biomes!O$2:O$259,"="&amp;$C113)&gt;0,Biomes!O$1&amp;", ","")&amp;
IF(COUNTIF(Biomes!P$2:P$259,"="&amp;$C113)&gt;0,Biomes!P$1&amp;", ","")&amp;
IF(COUNTIF(Biomes!K$2:K$259,"="&amp;$C113)&gt;0,Biomes!K$1&amp;", ","")&amp;
IF(COUNTIF(Biomes!Q$3:Q$259,"="&amp;$C113)&gt;0,Biomes!Q$1&amp;", ","")&amp;
IF(COUNTIF(Biomes!L$2:L$259,"="&amp;$C113)&gt;0,Biomes!L$1&amp;", ","")&amp;
IF(COUNTIF(Biomes!E$2:E$259,"="&amp;$C113)&gt;0,Biomes!E$1&amp;", ","")&amp;IF(COUNTIF(Biomes!S$2:S$259,"="&amp;$C113)&gt;0,Biomes!S$1&amp;", ","")&amp;
IF(COUNTIF(Biomes!R$2:R$259,"="&amp;$C113)&gt;0,Biomes!R$1&amp;", ",""),", ","")
),_xlfn.XLOOKUP(B113,B:B,BX:BX))</f>
        <v>AridShrubland TropicalRainforest TropicalSwamp Grasslands Glowforest LavaField</v>
      </c>
      <c r="BY113" s="25" t="str">
        <f>IF(_xlfn.XLOOKUP(B113,'Base stats'!B:B,'Base stats'!AJ:AJ)=1,"true","false")</f>
        <v>true</v>
      </c>
      <c r="BZ113" s="25">
        <f>IF(_xlfn.XLOOKUP(B113,'Base stats'!B:B,'Base stats'!N:N)=1,"No",MAX(0.001,MIN(MROUND(IF(AND(BJ113="True",CC113="False"),POWER(10,3.47*LOG10(_xlfn.XLOOKUP(B113,'Base stats'!B:B,'Base stats'!C:C)*1000)^-0.96),POWER(10,4.15*LOG10(_xlfn.XLOOKUP(B113,'Base stats'!B:B,'Base stats'!C:C)*1000)^-0.73))*IF(_xlfn.XLOOKUP(B113,'Base stats'!B:B,'Base stats'!AK:AK)=1,0.5,1)*IF(_xlfn.XLOOKUP(B113,'Base stats'!B:B,'Base stats'!AM:AM)=1,0.1,1)/100,IF(_xlfn.XLOOKUP(B113,'Base stats'!B:B,'Base stats'!AM:AM)=1,0.001,0.025)),0.5)))</f>
        <v>0.15000000000000002</v>
      </c>
      <c r="CA113" s="25" t="str">
        <f>IF(P113="Standard","No",MAX(0.001,MIN(MROUND(IF(AND(BJ113="True",CC113="False"),POWER(10,3.47*LOG10(_xlfn.XLOOKUP(B113,'Base stats'!B:B,'Base stats'!C:C)*1000)^-0.96),POWER(10,4.15*LOG10(_xlfn.XLOOKUP(B113,'Base stats'!B:B,'Base stats'!C:C)*1000)^-0.73))*IF(_xlfn.XLOOKUP(B113,'Base stats'!B:B,'Base stats'!AM:AM)=1,0.1,1)*_xlfn.XLOOKUP(B113,'Base stats'!B:B,'Base stats'!R:R)/100,IF(_xlfn.XLOOKUP(B113,'Base stats'!B:B,'Base stats'!AM:AM)=1,0.001,0.025)),0.5)))</f>
        <v>No</v>
      </c>
      <c r="CB113" s="25" t="str">
        <f>IF(_xlfn.XLOOKUP(_xlfn.XLOOKUP(B113,'Base stats'!B:B,'Base stats'!E:E),Groups!A:A,Groups!AJ:AJ)="Mammal","True","False")</f>
        <v>False</v>
      </c>
      <c r="CC113" s="25" t="str">
        <f>IF(OR(_xlfn.XLOOKUP(_xlfn.XLOOKUP(B113,'Base stats'!B:B,'Base stats'!E:E),Groups!A:A,Groups!AJ:AJ)="Reptile",_xlfn.XLOOKUP(_xlfn.XLOOKUP(B113,'Base stats'!B:B,'Base stats'!E:E),Groups!A:A,Groups!AJ:AJ)="Amphibian",_xlfn.XLOOKUP(_xlfn.XLOOKUP(B113,'Base stats'!B:B,'Base stats'!E:E),Groups!A:A,Groups!AJ:AJ)="Invertebrate"),"True","False")</f>
        <v>True</v>
      </c>
      <c r="CD113" s="25" t="str">
        <f t="shared" si="13"/>
        <v>False</v>
      </c>
      <c r="CE113" s="25" t="str">
        <f>IF(_xlfn.XLOOKUP(_xlfn.XLOOKUP(B113,'Base stats'!B:B,'Base stats'!E:E),Groups!A:A,Groups!AX:AX),"True","False")</f>
        <v>False</v>
      </c>
      <c r="CF113" s="25" t="str">
        <f>IF(_xlfn.XLOOKUP(_xlfn.XLOOKUP(B113,'Base stats'!B:B,'Base stats'!E:E),Groups!A:A,Groups!AY:AY),"True","False")</f>
        <v>False</v>
      </c>
      <c r="CG113" s="25" t="str">
        <f>IF(_xlfn.XLOOKUP(_xlfn.XLOOKUP(B113,'Base stats'!B:B,'Base stats'!E:E),Groups!A:A,Groups!AW:AW),"True","False")</f>
        <v>False</v>
      </c>
      <c r="CH113" s="25" t="str">
        <f>IF(
OR(
_xlfn.XLOOKUP(_xlfn.XLOOKUP(B113,'Base stats'!B:B,'Base stats'!E:E),Groups!A:A,Groups!AZ:AZ)=0,
AND(
_xlfn.XLOOKUP(B113,'Base stats'!B:B,'Base stats'!Y:Y)&lt;&gt;"Carnivore",
_xlfn.XLOOKUP(B113,'Base stats'!B:B,'Base stats'!Y:Y)&lt;&gt;"Omnivore",
_xlfn.XLOOKUP(B113,'Base stats'!B:B,'Base stats'!Y:Y)&lt;&gt;"OmnivoreRough"
)
),
"No",
IF(
_xlfn.XLOOKUP(_xlfn.XLOOKUP(B113,'Base stats'!B:B,'Base stats'!E:E),Groups!A:A,Groups!AZ:AZ)=1,
"Flesh",
IF(
_xlfn.XLOOKUP(_xlfn.XLOOKUP(B113,'Base stats'!B:B,'Base stats'!E:E),Groups!A:A,Groups!AZ:AZ)=2,
"Bone",
""
)
)
)</f>
        <v>Bone</v>
      </c>
      <c r="CI113" s="25" t="str">
        <f>IF(_xlfn.XLOOKUP(_xlfn.XLOOKUP(B113,'Base stats'!B:B,'Base stats'!E:E),Groups!A:A,Groups!BB:BB),"True","False")</f>
        <v>False</v>
      </c>
      <c r="CJ113" s="25" t="str">
        <f>IF(_xlfn.XLOOKUP(_xlfn.XLOOKUP(B113,'Base stats'!B:B,'Base stats'!E:E),Groups!A:A,Groups!BA:BA),"True","False")</f>
        <v>False</v>
      </c>
    </row>
    <row r="114" spans="1:88" ht="16.5" thickTop="1" thickBot="1" x14ac:dyDescent="0.3">
      <c r="A114" s="26" t="str">
        <f>_xlfn.XLOOKUP(B114,'Base stats'!B:B,'Base stats'!A:A)</f>
        <v>Cheetah</v>
      </c>
      <c r="B114" s="6" t="s">
        <v>227</v>
      </c>
      <c r="C114" s="28" t="s">
        <v>795</v>
      </c>
      <c r="D114" s="28" t="s">
        <v>872</v>
      </c>
      <c r="E114" s="28" t="s">
        <v>689</v>
      </c>
      <c r="F114" s="28" t="s">
        <v>690</v>
      </c>
      <c r="G114" s="28" t="s">
        <v>673</v>
      </c>
      <c r="H114" s="2">
        <f>MROUND((
  (IF(AND(_xlfn.XLOOKUP(B114,'Base stats'!B:B,'Base stats'!AL:AL)=0,BI114="None",_xlfn.XLOOKUP(_xlfn.XLOOKUP(B114,'Base stats'!B:B,'Base stats'!E:E),Groups!A:A,Groups!B:B)=0), (18 + BR114 * 2.7) * 0.5,
    IF(AND(_xlfn.XLOOKUP(B114,'Base stats'!B:B,'Base stats'!AL:AL)=0,OR(AO114&lt;0.55,AND(BI114="Intermediate",_xlfn.XLOOKUP(_xlfn.XLOOKUP(B114,'Base stats'!B:B,'Base stats'!E:E),Groups!A:A,Groups!B:B)&lt;2))), (18 + BR114 * 2.7),
      IF(OR(BI114="Advanced",_xlfn.XLOOKUP(B114,'Base stats'!B:B,'Base stats'!AL:AL)=1,_xlfn.XLOOKUP(_xlfn.XLOOKUP(B114,'Base stats'!B:B,'Base stats'!E:E),Groups!A:A,Groups!B:B)=2), (18 + BR114 * 2.7) + 250, (18 + BR114 * 2.7))
    )
  ))
  + AO114 * 80
  + IF(COUNTIF(EggMilk!K$2:K$998, A114) &gt; 0, 125, 0)
  + IF(COUNTIF(EggMilk!P$2:P$998, A114) &gt; 0, 90, 0)
  + IF(COUNTIF(EggMilk!A$2:A$998, A114) &gt; 0, 90, 0)
)
* (0.8 + 0.4 * J114)
* 0.75,25)</f>
        <v>550</v>
      </c>
      <c r="I114" s="2">
        <f>MROUND(ROUNDDOWN(_xlfn.XLOOKUP(B114,'Base stats'!B:B,'Base stats'!L:L)/3.6/(23.3/11),1),0.5)</f>
        <v>14.5</v>
      </c>
      <c r="J114" s="2">
        <f>IF(OR(_xlfn.XLOOKUP(B114,'Base stats'!B:B,'Base stats'!AB:AB)=1,_xlfn.XLOOKUP(_xlfn.XLOOKUP(B114,'Base stats'!B:B,'Base stats'!E:E),Groups!A:A,Groups!C:C)="Untamable"),1,IF(_xlfn.XLOOKUP(B114,'Base stats'!B:B,'Base stats'!AL:AL)=1,0.99,MIN(MROUND((1-0.6282*EXP(-0.459*AO114))*_xlfn.XLOOKUP(_xlfn.XLOOKUP(B114,'Base stats'!B:B,'Base stats'!E:E),Groups!A:A,Groups!C:C)*IF(_xlfn.XLOOKUP(B114,'Base stats'!B:B,'Base stats'!O:O)=1,0.5,IF(_xlfn.XLOOKUP(B114,'Base stats'!B:B,'Base stats'!O:O)=2,0,1)),0.05),IF(AO114&gt;3.5,0.985,0.95))))</f>
        <v>0.75</v>
      </c>
      <c r="K114" s="2">
        <f>ROUNDUP(AO114*_xlfn.XLOOKUP(_xlfn.XLOOKUP(B114,'Base stats'!B:B,'Base stats'!E:E),Groups!A:A,Groups!E:E),0)</f>
        <v>1</v>
      </c>
      <c r="L114" s="2">
        <f>IF(OR(_xlfn.XLOOKUP(_xlfn.XLOOKUP(B114,'Base stats'!B:B,'Base stats'!E:E),Groups!A:A,Groups!F:F)=2,ISNUMBER(SEARCH("SeaIce",BX114)),ISNUMBER(SEARCH("IceSheet",BX114))),-50,IF(OR(ISNUMBER(SEARCH("GlacialPlain",BX114)),ISNUMBER(SEARCH("Tundra",BX114))),-40,IF(OR(ISNUMBER(SEARCH("Alpine",BX114)),ISNUMBER(SEARCH("BorealForest",BX114)),ISNUMBER(SEARCH("ColdBog",BX114))),-30,IF(OR(ISNUMBER(SEARCH("TemperateForest",BX114)),ISNUMBER(SEARCH("TemperateSwamp",BX114))),-20,IF(_xlfn.XLOOKUP(_xlfn.XLOOKUP(B114,'Base stats'!B:B,'Base stats'!E:E),Groups!A:A,Groups!F:F)=1,-15,IF(OR(ISNUMBER(SEARCH("Desert",BX114)),ISNUMBER(SEARCH("ExtremeDesert",BX114))),-10,IF(OR(ISNUMBER(SEARCH("Grasslands",BX114)),ISNUMBER(SEARCH("TropicalRainforest",BX114)),ISNUMBER(SEARCH("TropicalSwamp",BX114))),10,0)))))))-IF(CC114="False",MIN(IFERROR(MAX(MROUND(LOG10(_xlfn.XLOOKUP(B114,'Base stats'!B:B,'Base stats'!C:C)^(2/3))*10,5),5),5),30))-_xlfn.XLOOKUP(B114,'Base stats'!B:B,'Base stats'!P:P)+IF(CC114="True",5,0)</f>
        <v>-25</v>
      </c>
      <c r="M114" s="2">
        <f>IF(OR(_xlfn.XLOOKUP(_xlfn.XLOOKUP(B114,'Base stats'!B:B,'Base stats'!E:E),Groups!A:A,Groups!G:G)=2,ISNUMBER(SEARCH("Desert",BX114)),ISNUMBER(SEARCH("ExtremeDesert",BX114)),ISNUMBER(SEARCH("LavaField",BX114))),50,IF(ISNUMBER(SEARCH("Grasslands",BX114)),45,IF(OR(_xlfn.XLOOKUP(_xlfn.XLOOKUP(B114,'Base stats'!B:B,'Base stats'!E:E),Groups!A:A,Groups!G:G)=1,ISNUMBER(SEARCH("TropicalRainforest",BX114)),ISNUMBER(SEARCH("TropicalSwamp",BX114))),40,IF(OR(ISNUMBER(SEARCH("TemperateForest",BX114)),ISNUMBER(SEARCH("TemperateSwamp",BX114))),35,IF(OR(ISNUMBER(SEARCH("Alpine",BX114)),ISNUMBER(SEARCH("BorealForest",BX114)),ISNUMBER(SEARCH("ColdBog",BX114))),30,IF(ISNUMBER(OR(ISNUMBER(SEARCH("GlacialPlain",BX114)),SEARCH("Tundra",BX114))),25,IF(OR(ISNUMBER(SEARCH("SeaIce",BX114)),ISNUMBER(SEARCH("IceSheet",BX114)),ISNUMBER(SEARCH("TropicalSwamp",BX114))),10,35)))))))+_xlfn.XLOOKUP(B114,'Base stats'!B:B,'Base stats'!Q:Q)</f>
        <v>50</v>
      </c>
      <c r="N114" s="8" t="str">
        <f>IF(
_xlfn.XLOOKUP(
_xlfn.XLOOKUP(B114,'Base stats'!B:B,'Base stats'!E:E),
Groups!A:A,
Groups!L:L
)=1,
MIN(
MROUND(
IF(
_xlfn.XLOOKUP(B114,'Animals CE'!B:B,'Animals CE'!Z:Z)&lt;=1.5,
_xlfn.XLOOKUP(B114,'Animals CE'!B:B,'Animals CE'!Z:Z)/2+0.05,
0.8+
(_xlfn.XLOOKUP(B114,'Animals CE'!B:B,'Animals CE'!Z:Z)-1.5)
*0.02
),
0.05
),
200%
),
"No"
)</f>
        <v>No</v>
      </c>
      <c r="O114" s="8" t="str">
        <f>IF(
_xlfn.XLOOKUP(
_xlfn.XLOOKUP(B114,'Base stats'!B:B,'Base stats'!E:E),
Groups!A:A,
Groups!L:L
)=1,
MIN(
MROUND(
IF(
_xlfn.XLOOKUP(B114,'Animals CE'!B:B,'Animals CE'!AA:AA)&lt;=1.5,
_xlfn.XLOOKUP(B114,'Animals CE'!B:B,'Animals CE'!AA:AA)/2+0.05,
0.8+
(_xlfn.XLOOKUP(B114,'Animals CE'!B:B,'Animals CE'!AA:AA)-1.5)
*0.02
),
0.05
),
200%
),
"No"
)</f>
        <v>No</v>
      </c>
      <c r="P114" s="2" t="str">
        <f>_xlfn.XLOOKUP(B114,'Base stats'!B:B,'Base stats'!R:R)</f>
        <v>Standard</v>
      </c>
      <c r="Q114" s="13">
        <f>MROUND((LOG10(_xlfn.XLOOKUP(B114,'Base stats'!B:B,'Base stats'!AR:AR))*(AO114^0.5)+(_xlfn.XLOOKUP(B114,'Base stats'!B:B,'Base stats'!AR:AR)/1000)^(2/3)+_xlfn.XLOOKUP(B114,'Base stats'!B:B,'Base stats'!BA:BA)/2)+0.5,0.5)</f>
        <v>6.5</v>
      </c>
      <c r="R114" s="7">
        <f>IF(Q114="No","No",MAX(1,MROUND(_xlfn.XLOOKUP(B114,'Base stats'!B:B,'Base stats'!C:C)^0.165,0.05)))</f>
        <v>1.9500000000000002</v>
      </c>
      <c r="S114" s="13" t="str">
        <f>IF(_xlfn.XLOOKUP(_xlfn.XLOOKUP(B114,'Base stats'!B:B,'Base stats'!E:E),Groups!A:A,Groups!P:P)=0,"No",MROUND((LOG10(_xlfn.XLOOKUP(B114,'Base stats'!B:B,'Base stats'!AS:AS))*(AO114^0.5)+(_xlfn.XLOOKUP(B114,'Base stats'!B:B,'Base stats'!AS:AS)/1000)^(2/3)+_xlfn.XLOOKUP(B114,'Base stats'!B:B,'Base stats'!BA:BA))+_xlfn.XLOOKUP(B114,'Base stats'!B:B,'Base stats'!AY:AY)+0.5,0.5))</f>
        <v>No</v>
      </c>
      <c r="T114" s="7" t="str">
        <f>IF(S114="No","No",MAX(_xlfn.XLOOKUP(_xlfn.XLOOKUP(B114,'Base stats'!B:B,'Base stats'!E:E),Groups!A:A,Groups!Q:Q),MROUND(_xlfn.XLOOKUP(_xlfn.XLOOKUP(B114,'Base stats'!B:B,'Base stats'!E:E),Groups!A:A,Groups!Q:Q)*_xlfn.XLOOKUP(B114,'Base stats'!B:B,'Base stats'!C:C)^0.165,0.05)))</f>
        <v>No</v>
      </c>
      <c r="U114" s="7" t="str">
        <f>IF(S114="No","No",_xlfn.XLOOKUP(_xlfn.XLOOKUP(B114,'Base stats'!B:B,'Base stats'!E:E),Groups!A:A,Groups!R:R))</f>
        <v>No</v>
      </c>
      <c r="V114" s="7" t="str">
        <f>IF(S114="No","No",_xlfn.XLOOKUP(_xlfn.XLOOKUP(B114,'Base stats'!B:B,'Base stats'!E:E),Groups!A:A,Groups!S:S))</f>
        <v>No</v>
      </c>
      <c r="W114" s="7" t="str">
        <f>IF(S114="No","No",_xlfn.XLOOKUP(_xlfn.XLOOKUP(B114,'Base stats'!B:B,'Base stats'!E:E),Groups!A:A,Groups!T:T))</f>
        <v>No</v>
      </c>
      <c r="X114" s="13" t="str">
        <f>IF(_xlfn.XLOOKUP(B114,'Base stats'!B:B,'Base stats'!W:W)="No","No",MROUND((LOG10(_xlfn.XLOOKUP(B114,'Base stats'!B:B,'Base stats'!AU:AU))*(AO114^0.5)+(_xlfn.XLOOKUP(B114,'Base stats'!B:B,'Base stats'!AU:AU)/1000)^(2/3)+_xlfn.XLOOKUP(B114,'Base stats'!B:B,'Base stats'!AZ:AZ))+0.5+IF(_xlfn.XLOOKUP(_xlfn.XLOOKUP(B114,'Base stats'!B:B,'Base stats'!E:E),Groups!A:A,Groups!U:U)&lt;&gt;3,_xlfn.XLOOKUP(B114,'Base stats'!B:B,'Base stats'!BA:BA),0),0.5))</f>
        <v>No</v>
      </c>
      <c r="Y114" s="7" t="str">
        <f>IF(X114="No","No",MAX(_xlfn.XLOOKUP(_xlfn.XLOOKUP(B114,'Base stats'!B:B,'Base stats'!E:E),Groups!A:A,Groups!V:V),MROUND(_xlfn.XLOOKUP(_xlfn.XLOOKUP(B114,'Base stats'!B:B,'Base stats'!E:E),Groups!A:A,Groups!V:V)*_xlfn.XLOOKUP(B114,'Base stats'!B:B,'Base stats'!C:C)^0.165,0.05)))</f>
        <v>No</v>
      </c>
      <c r="Z114" s="7" t="str">
        <f>IF(X114="No","No",_xlfn.XLOOKUP(_xlfn.XLOOKUP(B114,'Base stats'!B:B,'Base stats'!E:E),Groups!A:A,Groups!W:W))</f>
        <v>No</v>
      </c>
      <c r="AA114" s="7" t="str">
        <f>IF(X114="No","No",_xlfn.XLOOKUP(_xlfn.XLOOKUP(B114,'Base stats'!B:B,'Base stats'!E:E),Groups!A:A,Groups!X:X))</f>
        <v>No</v>
      </c>
      <c r="AB114" s="7" t="str">
        <f>IF(X114="No","No",_xlfn.XLOOKUP(_xlfn.XLOOKUP(B114,'Base stats'!B:B,'Base stats'!E:E),Groups!A:A,Groups!Y:Y))</f>
        <v>No</v>
      </c>
      <c r="AC114" s="7" t="str">
        <f>_xlfn.XLOOKUP(Animals!B114,'Base stats'!B:B,'Base stats'!X:X)</f>
        <v>False</v>
      </c>
      <c r="AD114" s="13">
        <f>IF(_xlfn.XLOOKUP(B114,'Base stats'!B:B,'Base stats'!AT:AT)="No","No",MROUND((LOG10(_xlfn.XLOOKUP(B114,'Base stats'!B:B,'Base stats'!AT:AT))*(AO114^0.75)+(_xlfn.XLOOKUP(B114,'Base stats'!B:B,'Base stats'!AT:AT)/1000)^(2/3)+_xlfn.XLOOKUP(B114,'Base stats'!B:B,'Base stats'!AX:AX)+_xlfn.XLOOKUP(B114,'Base stats'!B:B,'Base stats'!BA:BA))+0.5,0.5))</f>
        <v>11.5</v>
      </c>
      <c r="AE114" s="7">
        <f>IF(AD114="No","No",MAX(_xlfn.XLOOKUP(_xlfn.XLOOKUP(B114,'Base stats'!B:B,'Base stats'!E:E),Groups!A:A,Groups!Z:Z),MROUND(_xlfn.XLOOKUP(_xlfn.XLOOKUP(B114,'Base stats'!B:B,'Base stats'!E:E),Groups!A:A,Groups!Z:Z)*_xlfn.XLOOKUP(B114,'Base stats'!B:B,'Base stats'!C:C)^0.165,0.05)))</f>
        <v>1.35</v>
      </c>
      <c r="AF114" s="7" t="str">
        <f>IF(AD114="No","No",_xlfn.XLOOKUP(_xlfn.XLOOKUP(B114,'Base stats'!B:B,'Base stats'!E:E),Groups!A:A,Groups!AA:AA))</f>
        <v>Teeth</v>
      </c>
      <c r="AG114" s="7" t="str">
        <f>IF(AD114="No","No",_xlfn.XLOOKUP(_xlfn.XLOOKUP(B114,'Base stats'!B:B,'Base stats'!E:E),Groups!A:A,Groups!AB:AB))</f>
        <v>canines</v>
      </c>
      <c r="AH114" s="7" t="str">
        <f>IF(AD114="No","No",_xlfn.XLOOKUP(_xlfn.XLOOKUP(B114,'Base stats'!B:B,'Base stats'!E:E),Groups!A:A,Groups!AC:AC))</f>
        <v>Bite</v>
      </c>
      <c r="AI114" s="13">
        <f>IF(_xlfn.XLOOKUP(_xlfn.XLOOKUP(B114,'Base stats'!B:B,'Base stats'!E:E),Groups!A:A,Groups!AD:AD)=0,"No",MROUND((LOG10(_xlfn.XLOOKUP(B114,'Base stats'!B:B,'Base stats'!AS:AS))*(AO114^0.75)+(_xlfn.XLOOKUP(B114,'Base stats'!B:B,'Base stats'!AS:AS)/1000)^(2/3)+_xlfn.XLOOKUP(B114,'Base stats'!B:B,'Base stats'!AY:AY)+_xlfn.XLOOKUP(B114,'Base stats'!B:B,'Base stats'!BA:BA))+0.5,0.5))</f>
        <v>9.5</v>
      </c>
      <c r="AJ114" s="7">
        <f>IF(AI114="No","No",MAX(_xlfn.XLOOKUP(_xlfn.XLOOKUP(B114,'Base stats'!B:B,'Base stats'!E:E),Groups!A:A,Groups!AE:AE),MROUND(_xlfn.XLOOKUP(_xlfn.XLOOKUP(B114,'Base stats'!B:B,'Base stats'!E:E),Groups!A:A,Groups!AE:AE)*IF(_xlfn.XLOOKUP(_xlfn.XLOOKUP(B114,'Base stats'!B:B,'Base stats'!E:E),Groups!A:A,Groups!AJ:AJ)="Photonozoa",0.6,1)*_xlfn.XLOOKUP(B114,'Base stats'!B:B,'Base stats'!C:C)^0.165,0.05)))</f>
        <v>1.25</v>
      </c>
      <c r="AK114" s="7" t="str">
        <f>IF(AI114="No","No",_xlfn.XLOOKUP(_xlfn.XLOOKUP(B114,'Base stats'!B:B,'Base stats'!E:E),Groups!A:A,Groups!AF:AF))</f>
        <v>FrontLeftPaw, FrontRightPaw</v>
      </c>
      <c r="AL114" s="7" t="str">
        <f>IF(AI114="No","No",_xlfn.XLOOKUP(_xlfn.XLOOKUP(B114,'Base stats'!B:B,'Base stats'!E:E),Groups!A:A,Groups!AG:AG))</f>
        <v>left claw, right claw</v>
      </c>
      <c r="AM114" s="7" t="str">
        <f>IF(AI114="No","No",_xlfn.XLOOKUP(_xlfn.XLOOKUP(B114,'Base stats'!B:B,'Base stats'!E:E),Groups!A:A,Groups!AH:AH))</f>
        <v>Scratch</v>
      </c>
      <c r="AN114" s="2">
        <f t="shared" si="7"/>
        <v>20</v>
      </c>
      <c r="AO114" s="2">
        <f>MROUND(IF(AND(_xlfn.XLOOKUP(B114,'Base stats'!B:B,'Base stats'!C:C)&gt;=0.5,_xlfn.XLOOKUP(B114,'Base stats'!B:B,'Base stats'!C:C)&lt;=0.8),
IF(_xlfn.XLOOKUP(B114,'Base stats'!B:B,'Base stats'!C:C)&lt;0.1,0.05,IF(_xlfn.XLOOKUP(B114,'Base stats'!B:B,'Base stats'!C:C)&lt;=70,(_xlfn.XLOOKUP(B114,'Base stats'!B:B,'Base stats'!C:C)/70)^0.426489913056526,IF(_xlfn.XLOOKUP(B114,'Base stats'!B:B,'Base stats'!C:C)&lt;=400,(_xlfn.XLOOKUP(B114,'Base stats'!B:B,'Base stats'!C:C)/70)^0.572811455315093,IF(_xlfn.XLOOKUP(B114,'Base stats'!B:B,'Base stats'!C:C)&lt;=2000,2.71391647193063*(_xlfn.XLOOKUP(B114,'Base stats'!B:B,'Base stats'!C:C)/400)^0.252459582904293,3.74314280240376*(_xlfn.XLOOKUP(B114,'Base stats'!B:B,'Base stats'!C:C)/2000)^0.357012633876913)))),
IF(_xlfn.XLOOKUP(B114,'Base stats'!B:B,'Base stats'!C:C)&lt;0.1,0.05,IF(_xlfn.XLOOKUP(B114,'Base stats'!B:B,'Base stats'!C:C)&lt;0.4,0.1,IF(_xlfn.XLOOKUP(B114,'Base stats'!B:B,'Base stats'!C:C)&lt;=70,(_xlfn.XLOOKUP(B114,'Base stats'!B:B,'Base stats'!C:C)/70)^0.445823913056526,IF(_xlfn.XLOOKUP(B114,'Base stats'!B:B,'Base stats'!C:C)&lt;=400,(_xlfn.XLOOKUP(B114,'Base stats'!B:B,'Base stats'!C:C)/70)^0.572811455315093,IF(_xlfn.XLOOKUP(B114,'Base stats'!B:B,'Base stats'!C:C)&lt;=2000,2.71391647193063*(_xlfn.XLOOKUP(B114,'Base stats'!B:B,'Base stats'!C:C)/400)^0.252459582904293,3.74314280240376*(_xlfn.XLOOKUP(B114,'Base stats'!B:B,'Base stats'!C:C)/2000)^0.357012633876913)))))),
IF(_xlfn.XLOOKUP(B114,'Base stats'!B:B,'Base stats'!C:C)&lt;0.1,0.05,IF(_xlfn.XLOOKUP(B114,'Base stats'!B:B,'Base stats'!C:C)&lt;=100,0.05,IF(_xlfn.XLOOKUP(B114,'Base stats'!B:B,'Base stats'!C:C)&lt;=250,0.1,IF(_xlfn.XLOOKUP(B114,'Base stats'!B:B,'Base stats'!C:C)&lt;=4000,0.25,0.5)))))</f>
        <v>0.9</v>
      </c>
      <c r="AP114" s="8">
        <f>MROUND(AO114*_xlfn.XLOOKUP(_xlfn.XLOOKUP(B114,'Base stats'!B:B,'Base stats'!E:E),Groups!A:A,Groups!AI:AI)*_xlfn.XLOOKUP(B114,'Base stats'!B:B,'Base stats'!Z:Z),0.05)</f>
        <v>1.1000000000000001</v>
      </c>
      <c r="AQ114" s="8">
        <f>MAX(0.01,MROUND(IF(CC114="True",0.196*(AO114*100*1000)^0.889,IF(_xlfn.XLOOKUP(_xlfn.XLOOKUP(B114,'Base stats'!B:B,'Base stats'!E:E),Groups!A:A,Groups!AJ:AJ)="Bird",10.5*(AO114*100*1000)^0.681,4.82*(AO114*100*1000)^0.734))/(4.82*(1*100*1000)^0.734)/IF(AO114&lt;3.5,2,IF(AO114=3.5,1.5,1.25))*(1+0.132282374779864/(AO114^0.994035016789033+0.00905238001496948)),0.05))</f>
        <v>0.55000000000000004</v>
      </c>
      <c r="AR114" s="9">
        <f>IFERROR(MROUND(_xlfn.XLOOKUP(B114,'Base stats'!B:B,'Base stats'!H:H)/IF(_xlfn.XLOOKUP(B114,'Base stats'!B:B,'Base stats'!I:I)&lt;&gt;1,(122.5/70),1.2),IF(_xlfn.XLOOKUP(B114,'Base stats'!B:B,'Base stats'!H:H)&gt;=30,5,IF(_xlfn.XLOOKUP(B114,'Base stats'!B:B,'Base stats'!H:H)&gt;=15,3,IF(_xlfn.XLOOKUP(B114,'Base stats'!B:B,'Base stats'!H:H)&gt;=10,2,1)))),"Immortal")</f>
        <v>12</v>
      </c>
      <c r="AS114" s="35">
        <f>IFERROR(IF(OR(_xlfn.XLOOKUP(B114,'Base stats'!B:B,'Base stats'!F:F)="Atypical reproduction",_xlfn.XLOOKUP(B114,'Base stats'!B:B,'Base stats'!F:F)="Lay eggs"),"Lay eggs",MIN(20,MAX(5.5,ROUND(((_xlfn.XLOOKUP(B114,'Base stats'!B:B,'Base stats'!F:F)-25)*(14.5/615) + 5.5)*2,0)/2))),"Unknown")</f>
        <v>7</v>
      </c>
      <c r="AT114" s="8">
        <f>IF(_xlfn.XLOOKUP(B114,'Base stats'!B:B,'Base stats'!G:G)="Atypical reproduction","No",IFERROR(MAX(IF(_xlfn.XLOOKUP(B114,'Base stats'!B:B,'Base stats'!G:G)&lt;0.5,0.2,0.3),MROUND(_xlfn.XLOOKUP(B114,'Base stats'!B:B,'Base stats'!G:G)/(365/60),0.2)),"Unknown"))</f>
        <v>0.3</v>
      </c>
      <c r="AU114" s="8">
        <f t="shared" si="8"/>
        <v>0.15000000000000002</v>
      </c>
      <c r="AV114" s="8">
        <f>IFERROR(IFERROR(MROUND(_xlfn.XLOOKUP(B114,'Base stats'!B:B,'Base stats'!J:J),0.1),"Lay eggs"),"Cannot breed")</f>
        <v>3</v>
      </c>
      <c r="AW114" s="2" t="str">
        <f t="shared" si="9"/>
        <v>false</v>
      </c>
      <c r="AX114" s="2" t="str">
        <f>IF(_xlfn.XLOOKUP(_xlfn.XLOOKUP(Animals!B114,'Base stats'!B:B,'Base stats'!E:E),Groups!A:A,Groups!AK:AK)=1,"true","false")</f>
        <v>false</v>
      </c>
      <c r="AY114" s="25" t="str">
        <f>IF(_xlfn.XLOOKUP(B114,'Base stats'!B:B,'Base stats'!Y:Y)="Liquor","Liquor, CarnivoreAnimalStrict",IF(AND(_xlfn.XLOOKUP(B114,'Base stats'!B:B,'Base stats'!Y:Y)="Carnivore",_xlfn.XLOOKUP(_xlfn.XLOOKUP(B114,'Base stats'!B:B,'Base stats'!E:E),Groups!A:A,Groups!AJ:AJ)="Photonozoa"),"CarnivoreAnimalStrict, OvivoreAnimal",IF(_xlfn.XLOOKUP(B114,'Base stats'!B:B,'Base stats'!Y:Y)="Carnivore","CarnivoreAnimal, OvivoreAnimal",IF(_xlfn.XLOOKUP(B114,'Base stats'!B:B,'Base stats'!Y:Y)="Dendrovore","VegetarianRoughAnimal, DendrovoreAnimal",IF(_xlfn.XLOOKUP(B114,'Base stats'!B:B,'Base stats'!Y:Y)="Herbivore","VegetarianRoughAnimal",IF(_xlfn.XLOOKUP(B114,'Base stats'!B:B,'Base stats'!Y:Y)="OmnivoreRough","OmnivoreRoughAnimal, OvivoreAnimal","OmnivoreAnimal, OvivoreAnimal"))))))</f>
        <v>CarnivoreAnimal, OvivoreAnimal</v>
      </c>
      <c r="AZ114" s="2" t="str">
        <f>IF(_xlfn.XLOOKUP(_xlfn.XLOOKUP(B114,'Base stats'!B:B,'Base stats'!E:E),Groups!A:A,Groups!D:D)=1,MROUND((1-J114)*5+1,2)*IF(J114&lt;=0.4,2,1),"No")</f>
        <v>No</v>
      </c>
      <c r="BA114" s="2" t="str">
        <f>IF(AND(_xlfn.XLOOKUP(B114,'Base stats'!B:B,'Base stats'!AH:AH)="&lt;li&gt;Seal&lt;/li&gt;",G114="Odyssey"),"&lt;li&gt;AEXP_Seal&lt;/li&gt;",_xlfn.XLOOKUP(B114,'Base stats'!B:B,'Base stats'!AH:AH))</f>
        <v>No</v>
      </c>
      <c r="BB114" s="2" t="str">
        <f>_xlfn.XLOOKUP(B114,'Base stats'!B:B,'Base stats'!AG:AG)</f>
        <v>Leather_Panthera</v>
      </c>
      <c r="BC114" s="23" t="str">
        <f>_xlfn.XLOOKUP(_xlfn.XLOOKUP(B114,'Base stats'!B:B,'Base stats'!E:E),Groups!A:A,Groups!AL:AL)</f>
        <v>QuadrupedAnimalWithPawsAndTail</v>
      </c>
      <c r="BD114" s="23">
        <f>MIN(1,MROUND(IF(AND(AO114&lt;0.5,_xlfn.XLOOKUP(B114,'Base stats'!B:B,'Base stats'!AA:AA)=0),0,IF(OR(_xlfn.XLOOKUP(Animals!B114,'Base stats'!B:B,'Base stats'!O:O)=2,_xlfn.XLOOKUP(_xlfn.XLOOKUP(B114,'Base stats'!B:B,'Base stats'!E:E),Groups!A:A,Groups!AN:AN)=0),0,_xlfn.XLOOKUP(_xlfn.XLOOKUP(B114,'Base stats'!B:B,'Base stats'!E:E),Groups!A:A,Groups!AN:AN)/IF(_xlfn.XLOOKUP(Animals!B114,'Base stats'!B:B,'Base stats'!O:O)=1,2,1)))+_xlfn.XLOOKUP(B114,'Base stats'!B:B,'Base stats'!AC:AC),0.005))</f>
        <v>0.1</v>
      </c>
      <c r="BE114" s="23">
        <f>MIN(1,MROUND(IF(AND(AO114&lt;0.5,_xlfn.XLOOKUP(B114,'Base stats'!B:B,'Base stats'!AA:AA)=0),0,IF(_xlfn.XLOOKUP(_xlfn.XLOOKUP(B114,'Base stats'!B:B,'Base stats'!E:E),Groups!A:A,Groups!AO:AO)=0,0,_xlfn.XLOOKUP(_xlfn.XLOOKUP(B114,'Base stats'!B:B,'Base stats'!E:E),Groups!A:A,Groups!AO:AO)/IF(_xlfn.XLOOKUP(Animals!B114,'Base stats'!B:B,'Base stats'!O:O)=2,3,1)))+_xlfn.XLOOKUP(B114,'Base stats'!B:B,'Base stats'!AD:AD),0.005))</f>
        <v>0.3</v>
      </c>
      <c r="BF114" s="2" t="str">
        <f>IF(J114&gt;0.3,"No",_xlfn.XLOOKUP(_xlfn.XLOOKUP(Animals!B114,'Base stats'!B:B,'Base stats'!E:E),Groups!A:A,Groups!AP:AP))</f>
        <v>No</v>
      </c>
      <c r="BG114" s="2" t="str">
        <f>IF(AND(J114&lt;=0.65,_xlfn.XLOOKUP(_xlfn.XLOOKUP(Animals!B114,'Base stats'!B:B,'Base stats'!E:E),Groups!A:A,Groups!AP:AP)&lt;&gt;"No",_xlfn.XLOOKUP(_xlfn.XLOOKUP(B114,'Base stats'!B:B,'Base stats'!E:E),Groups!A:A,Groups!D:D)=0),MROUND((80/3)*IF(_xlfn.XLOOKUP(B114,'Base stats'!B:B,'Base stats'!O:O)=2,0.2,AO114) + 24*(1-IF(BF114="No",0,BF114)) + 16/3, 12),"No")</f>
        <v>No</v>
      </c>
      <c r="BH114" s="2">
        <f>IF(AND(_xlfn.XLOOKUP(_xlfn.XLOOKUP(B114,'Base stats'!B:B,'Base stats'!E:E),Groups!A:A,Groups!AQ:AQ)=1,AO114&lt;=0.35),8,12)</f>
        <v>12</v>
      </c>
      <c r="BI114" s="2" t="str">
        <f>IF(_xlfn.XLOOKUP(_xlfn.XLOOKUP(B114,'Base stats'!B:B,'Base stats'!E:E),Groups!A:A,Groups!D:D)=0,_xlfn.XLOOKUP(_xlfn.XLOOKUP(B114,'Base stats'!B:B,'Base stats'!E:E),Groups!A:A,Groups!AR:AR),"None")</f>
        <v>Intermediate</v>
      </c>
      <c r="BJ114" s="2" t="str">
        <f>IF(AND(_xlfn.XLOOKUP(_xlfn.XLOOKUP(B114,'Base stats'!B:B,'Base stats'!E:E),Groups!A:A,Groups!AS:AS)=1,OR(_xlfn.XLOOKUP(B114,'Base stats'!B:B,'Base stats'!Y:Y)="Carnivore",_xlfn.XLOOKUP(B114,'Base stats'!B:B,'Base stats'!Y:Y)="Omnivore")),"true","false")</f>
        <v>true</v>
      </c>
      <c r="BK114" s="2">
        <f>IF(BJ114="true",MROUND(IF(AND(AO114&gt;0.5,OR(_xlfn.XLOOKUP(_xlfn.XLOOKUP(B114,'Base stats'!B:B,'Base stats'!E:E),Groups!A:A,Groups!AJ:AJ)="Photonozoa",_xlfn.XLOOKUP(_xlfn.XLOOKUP(B114,'Base stats'!B:B,'Base stats'!E:E),Groups!A:A,Groups!AJ:AJ)="Mammal")),Animals!AO114*1.75*IF(AW114="true",1.5,1),IF(AO114&lt;0.5,Animals!AO114*0.5,Animals!AO114)),IF(AO114&gt;2,0.5,IF(AO114&gt;0.5,0.25,0.1))),"No")</f>
        <v>1.5</v>
      </c>
      <c r="BL114" s="2">
        <f t="shared" si="10"/>
        <v>1</v>
      </c>
      <c r="BM114" s="25" t="str">
        <f>IF(_xlfn.XLOOKUP(B114,'Base stats'!B:B,'Base stats'!AN:AN)="Standard","No",MROUND((_xlfn.XLOOKUP(B114,'Base stats'!B:B,'Base stats'!AN:AN)/3.6)/I114,0.1))</f>
        <v>No</v>
      </c>
      <c r="BN114" s="25" t="str">
        <f t="shared" si="11"/>
        <v>false</v>
      </c>
      <c r="BO114" s="25" t="str">
        <f>IF(AND(OR(_xlfn.XLOOKUP(B114,'Base stats'!B:B,'Base stats'!Y:Y)="Carnivore",_xlfn.XLOOKUP(B114,'Base stats'!B:B,'Base stats'!Y:Y)="Omnivore",_xlfn.XLOOKUP(B114,'Base stats'!B:B,'Base stats'!Y:Y)="OmnivoreRough"),_xlfn.XLOOKUP(_xlfn.XLOOKUP(B114,'Base stats'!B:B,'Base stats'!E:E),Groups!A:A,Groups!AT:AT)=1),"true","false")</f>
        <v>false</v>
      </c>
      <c r="BP114" s="25" t="str" cm="1">
        <f t="array" ref="BP114">IF(
  _xlfn.TEXTJOIN(", ",TRUE,
    IF(AND(BJ114="true",AO114&gt;0.5,BI114&lt;&gt;"None"),"AttackTarget",""),
    IF(AND(_xlfn.XLOOKUP(_xlfn.XLOOKUP(B114,'Base stats'!B:B,'Base stats'!E:E),Groups!A:A,Groups!AJ:AJ="Mammal"),OR(_xlfn.XLOOKUP(B114,'Base stats'!B:B,'Base stats'!Y:Y)="Omnivore",_xlfn.XLOOKUP(B114,'Base stats'!B:B,'Base stats'!Y:Y)="OmnivoreRough")),"Forage",""),
    IF(BG114&lt;=36,"Comfort",""),
    IF(_xlfn.XLOOKUP(B114,'Base stats'!B:B,'Base stats'!AE:AE)&lt;&gt;"No",_xlfn.XLOOKUP(B114,'Base stats'!B:B,'Base stats'!AE:AE),"")
  ) = "",
  "No",
  _xlfn.TEXTJOIN(", ",TRUE,
    IF(AND(BJ114="true",AO114&gt;0.5,BI114&lt;&gt;"None"),"AttackTarget",""),
    IF(AND(_xlfn.XLOOKUP(_xlfn.XLOOKUP(B114,'Base stats'!B:B,'Base stats'!E:E),Groups!A:A,Groups!AJ:AJ="Mammal"),OR(_xlfn.XLOOKUP(B114,'Base stats'!B:B,'Base stats'!Y:Y)="Omnivore",_xlfn.XLOOKUP(B114,'Base stats'!B:B,'Base stats'!Y:Y)="OmnivoreRough")),"Forage",""),
    IF(BG114&lt;=36,"Comfort",""),
    IF(_xlfn.XLOOKUP(B114,'Base stats'!B:B,'Base stats'!AE:AE)&lt;&gt;"No",_xlfn.XLOOKUP(B114,'Base stats'!B:B,'Base stats'!AE:AE),"")
  )
)</f>
        <v>AttackTarget</v>
      </c>
      <c r="BQ114" s="25" t="str">
        <f>IF(
   AND(
      'Base stats'!AN114="Standard",_xlfn.XLOOKUP(_xlfn.XLOOKUP(B114,'Base stats'!B:B,'Base stats'!E:E),Groups!A:A,Groups!AU:AU)=0,
      OR(
      BO114="True"
      )
   ),
   10,
   IF(
       OR(BM114&lt;&gt;"No",_xlfn.XLOOKUP(_xlfn.XLOOKUP(B114,'Base stats'!B:B,'Base stats'!E:E),Groups!A:A,Groups!AU:AU)=1),
      1,
      "No"
   )
)</f>
        <v>No</v>
      </c>
      <c r="BR114" s="9">
        <f>MROUND((1 + ((0.2*IF(OR(Q114="No",R114="No",R114=0),0,Q114/R114)
+IF(OR(V114="No",S114="No",T114="No"),0,S114/T114*(LEN(V114)-LEN(SUBSTITUTE(V114,",",""))+1))
+IF(OR(X114="No",Y114="No"),0,X114/Y114)
+IF(OR(AD114="No",AE114="No"),0,AD114/AE114)
+IF(OR(AL114="No",AI114="No",AJ114="No"),0,AI114/AJ114*(LEN(AL114)-LEN(SUBSTITUTE(AL114,",",""))+1))
)/(0.2*IF(OR(Q114="No",R114="No",R114=0),0,1)
+IF(OR(V114="No",S114="No",T114="No"),0,LEN(V114)-LEN(SUBSTITUTE(V114,",",""))+1)
+IF(OR(X114="No",Y114="No"),0,1)
+IF(OR(AD114="No",AE114="No"),0,1)
+IF(OR(AL114="No",AI114="No",AJ114="No"),0,LEN(AL114)-LEN(SUBSTITUTE(AL114,",",""))+1))*62%)* 2)*(1 + (AP114 / (IF(_xlfn.XLOOKUP(_xlfn.XLOOKUP(B114,'Base stats'!B:B,'Base stats'!E:E),Groups!A:A,Groups!AJ:AJ)="Photonozoa",0.3,1)) + _xlfn.XLOOKUP(B114,'Base stats'!B:B,'Base stats'!AV:AV) * 1.8) * 2) * 2.5 + 10 + I114 * 2,5)+IF(_xlfn.XLOOKUP(B114,'Base stats'!B:B,'Base stats'!AK:AK)=1,50,0)</f>
        <v>125</v>
      </c>
      <c r="BS114" s="8">
        <f t="shared" si="12"/>
        <v>0.60000000000000009</v>
      </c>
      <c r="BT114" s="8" t="str">
        <f>_xlfn.XLOOKUP(B114,'Base stats'!B:B,'Base stats'!AF:AF)</f>
        <v>No</v>
      </c>
      <c r="BU114" s="2" t="str">
        <f>IF(AND(J114&lt;=0.95,OR(_xlfn.XLOOKUP(B114,'Base stats'!B:B,'Base stats'!AK:AK)=1,_xlfn.XLOOKUP(B114,'Base stats'!B:B,'Base stats'!Y:Y)="Carnivore",_xlfn.XLOOKUP(B114,'Base stats'!B:B,'Base stats'!Y:Y)="Omnivore",BE114&gt;0.1)),"true","false")</f>
        <v>true</v>
      </c>
      <c r="BV114" s="2" t="str">
        <f>IF(_xlfn.XLOOKUP(B114,'Base stats'!B:B,'Base stats'!AI:AI)=1,"true","false")</f>
        <v>false</v>
      </c>
      <c r="BW114" s="25" t="str">
        <f>IF(E114="BaseInsect","AnimalInsect",
IF(J114&gt;0.95,"AnimalExotic",
_xlfn.TEXTJOIN(", ",TRUE,
IF(OR(_xlfn.XLOOKUP(B114,'Base stats'!B:B,'Base stats'!AM:AM)=1,AND(_xlfn.XLOOKUP(B114,'Base stats'!B:B,'Base stats'!O:O)=0,_xlfn.XLOOKUP(_xlfn.XLOOKUP(B114,'Base stats'!B:B,'Base stats'!E:E),Groups!A:A,Groups!B:B)&gt;0)),"AnimalUncommon","AnimalCommon"),
IF(AND(_xlfn.XLOOKUP(B114,'Base stats'!B:B,'Base stats'!O:O)=2,_xlfn.XLOOKUP(_xlfn.XLOOKUP(B114,'Base stats'!B:B,'Base stats'!E:E),Groups!A:A,Groups!D:D)=0),"AnimalPet",IF(AND(_xlfn.XLOOKUP(B114,'Base stats'!B:B,'Base stats'!O:O)&lt;&gt;0,_xlfn.XLOOKUP(_xlfn.XLOOKUP(B114,'Base stats'!B:B,'Base stats'!E:E),Groups!A:A,Groups!D:D)&lt;&gt;0),"AnimalFarm","")),
IF(OR(_xlfn.XLOOKUP(B114,'Base stats'!B:B,'Base stats'!AK:AK)=1,AND(BI114&lt;&gt;"None",BR114&gt;=60),ISNUMBER(SEARCH("Attack target",BP114))),"AnimalFighter","")
)))</f>
        <v>AnimalUncommon, AnimalFighter</v>
      </c>
      <c r="BX114" s="25" t="str">
        <f>IF(G114="None",TRIM(
SUBSTITUTE(
IF(COUNTIF(Biomes!B$2:B$259,"="&amp;$C114)&gt;0,Biomes!B$1&amp;", ","")&amp;
IF(COUNTIF(Biomes!C$2:C$259,"="&amp;$C114)&gt;0,Biomes!C$1&amp;", ","")&amp;
IF(COUNTIF(Biomes!D$2:D$259,"="&amp;$C114)&gt;0,Biomes!D$1&amp;", ","")&amp;
IF(COUNTIF(Biomes!F$2:F$259,"="&amp;$C114)&gt;0,Biomes!F$1&amp;", ","")&amp;
IF(COUNTIF(Biomes!G$2:G$259,"="&amp;$C114)&gt;0,Biomes!G$1&amp;", ","")&amp;
IF(COUNTIF(Biomes!H$2:H$259,"="&amp;$C114)&gt;0,Biomes!H$1&amp;", ","")&amp;
IF(COUNTIF(Biomes!I$2:I$259,"="&amp;$C114)&gt;0,Biomes!I$1&amp;", ","")&amp;
IF(COUNTIF(Biomes!J$2:J$259,"="&amp;$C114)&gt;0,Biomes!J$1&amp;", ","")&amp;
IF(COUNTIF(Biomes!M$2:M$259,"="&amp;$C114)&gt;0,Biomes!M$1&amp;", ","")&amp;
IF(COUNTIF(Biomes!N$2:N$259,"="&amp;$C114)&gt;0,Biomes!N$1&amp;", ","")&amp;
IF(COUNTIF(Biomes!O$2:O$259,"="&amp;$C114)&gt;0,Biomes!O$1&amp;", ","")&amp;
IF(COUNTIF(Biomes!P$2:P$259,"="&amp;$C114)&gt;0,Biomes!P$1&amp;", ","")&amp;
IF(COUNTIF(Biomes!K$2:K$259,"="&amp;$C114)&gt;0,Biomes!K$1&amp;", ","")&amp;
IF(COUNTIF(Biomes!Q$3:Q$259,"="&amp;$C114)&gt;0,Biomes!Q$1&amp;", ","")&amp;
IF(COUNTIF(Biomes!L$2:L$259,"="&amp;$C114)&gt;0,Biomes!L$1&amp;", ","")&amp;
IF(COUNTIF(Biomes!E$2:E$259,"="&amp;$C114)&gt;0,Biomes!E$1&amp;", ","")&amp;IF(COUNTIF(Biomes!S$2:S$259,"="&amp;$C114)&gt;0,Biomes!S$1&amp;", ","")&amp;
IF(COUNTIF(Biomes!R$2:R$259,"="&amp;$C114)&gt;0,Biomes!R$1&amp;", ",""),", ","")
),_xlfn.XLOOKUP(B114,B:B,BX:BX))</f>
        <v>AridShrubland Desert Grasslands LavaField</v>
      </c>
      <c r="BY114" s="25" t="str">
        <f>IF(_xlfn.XLOOKUP(B114,'Base stats'!B:B,'Base stats'!AJ:AJ)=1,"true","false")</f>
        <v>false</v>
      </c>
      <c r="BZ114" s="25">
        <f>IF(_xlfn.XLOOKUP(B114,'Base stats'!B:B,'Base stats'!N:N)=1,"No",MAX(0.001,MIN(MROUND(IF(AND(BJ114="True",CC114="False"),POWER(10,3.47*LOG10(_xlfn.XLOOKUP(B114,'Base stats'!B:B,'Base stats'!C:C)*1000)^-0.96),POWER(10,4.15*LOG10(_xlfn.XLOOKUP(B114,'Base stats'!B:B,'Base stats'!C:C)*1000)^-0.73))*IF(_xlfn.XLOOKUP(B114,'Base stats'!B:B,'Base stats'!AK:AK)=1,0.5,1)*IF(_xlfn.XLOOKUP(B114,'Base stats'!B:B,'Base stats'!AM:AM)=1,0.1,1)/100,IF(_xlfn.XLOOKUP(B114,'Base stats'!B:B,'Base stats'!AM:AM)=1,0.001,0.025)),0.5)))</f>
        <v>0.05</v>
      </c>
      <c r="CA114" s="25" t="str">
        <f>IF(P114="Standard","No",MAX(0.001,MIN(MROUND(IF(AND(BJ114="True",CC114="False"),POWER(10,3.47*LOG10(_xlfn.XLOOKUP(B114,'Base stats'!B:B,'Base stats'!C:C)*1000)^-0.96),POWER(10,4.15*LOG10(_xlfn.XLOOKUP(B114,'Base stats'!B:B,'Base stats'!C:C)*1000)^-0.73))*IF(_xlfn.XLOOKUP(B114,'Base stats'!B:B,'Base stats'!AM:AM)=1,0.1,1)*_xlfn.XLOOKUP(B114,'Base stats'!B:B,'Base stats'!R:R)/100,IF(_xlfn.XLOOKUP(B114,'Base stats'!B:B,'Base stats'!AM:AM)=1,0.001,0.025)),0.5)))</f>
        <v>No</v>
      </c>
      <c r="CB114" s="25" t="str">
        <f>IF(_xlfn.XLOOKUP(_xlfn.XLOOKUP(B114,'Base stats'!B:B,'Base stats'!E:E),Groups!A:A,Groups!AJ:AJ)="Mammal","True","False")</f>
        <v>True</v>
      </c>
      <c r="CC114" s="25" t="str">
        <f>IF(OR(_xlfn.XLOOKUP(_xlfn.XLOOKUP(B114,'Base stats'!B:B,'Base stats'!E:E),Groups!A:A,Groups!AJ:AJ)="Reptile",_xlfn.XLOOKUP(_xlfn.XLOOKUP(B114,'Base stats'!B:B,'Base stats'!E:E),Groups!A:A,Groups!AJ:AJ)="Amphibian",_xlfn.XLOOKUP(_xlfn.XLOOKUP(B114,'Base stats'!B:B,'Base stats'!E:E),Groups!A:A,Groups!AJ:AJ)="Invertebrate"),"True","False")</f>
        <v>False</v>
      </c>
      <c r="CD114" s="25" t="str">
        <f t="shared" si="13"/>
        <v>False</v>
      </c>
      <c r="CE114" s="25" t="str">
        <f>IF(_xlfn.XLOOKUP(_xlfn.XLOOKUP(B114,'Base stats'!B:B,'Base stats'!E:E),Groups!A:A,Groups!AX:AX),"True","False")</f>
        <v>False</v>
      </c>
      <c r="CF114" s="25" t="str">
        <f>IF(_xlfn.XLOOKUP(_xlfn.XLOOKUP(B114,'Base stats'!B:B,'Base stats'!E:E),Groups!A:A,Groups!AY:AY),"True","False")</f>
        <v>False</v>
      </c>
      <c r="CG114" s="25" t="str">
        <f>IF(_xlfn.XLOOKUP(_xlfn.XLOOKUP(B114,'Base stats'!B:B,'Base stats'!E:E),Groups!A:A,Groups!AW:AW),"True","False")</f>
        <v>False</v>
      </c>
      <c r="CH114" s="25" t="str">
        <f>IF(
OR(
_xlfn.XLOOKUP(_xlfn.XLOOKUP(B114,'Base stats'!B:B,'Base stats'!E:E),Groups!A:A,Groups!AZ:AZ)=0,
AND(
_xlfn.XLOOKUP(B114,'Base stats'!B:B,'Base stats'!Y:Y)&lt;&gt;"Carnivore",
_xlfn.XLOOKUP(B114,'Base stats'!B:B,'Base stats'!Y:Y)&lt;&gt;"Omnivore",
_xlfn.XLOOKUP(B114,'Base stats'!B:B,'Base stats'!Y:Y)&lt;&gt;"OmnivoreRough"
)
),
"No",
IF(
_xlfn.XLOOKUP(_xlfn.XLOOKUP(B114,'Base stats'!B:B,'Base stats'!E:E),Groups!A:A,Groups!AZ:AZ)=1,
"Flesh",
IF(
_xlfn.XLOOKUP(_xlfn.XLOOKUP(B114,'Base stats'!B:B,'Base stats'!E:E),Groups!A:A,Groups!AZ:AZ)=2,
"Bone",
""
)
)
)</f>
        <v>No</v>
      </c>
      <c r="CI114" s="25" t="str">
        <f>IF(_xlfn.XLOOKUP(_xlfn.XLOOKUP(B114,'Base stats'!B:B,'Base stats'!E:E),Groups!A:A,Groups!BB:BB),"True","False")</f>
        <v>True</v>
      </c>
      <c r="CJ114" s="25" t="str">
        <f>IF(_xlfn.XLOOKUP(_xlfn.XLOOKUP(B114,'Base stats'!B:B,'Base stats'!E:E),Groups!A:A,Groups!BA:BA),"True","False")</f>
        <v>False</v>
      </c>
    </row>
    <row r="115" spans="1:88" ht="16.5" thickTop="1" thickBot="1" x14ac:dyDescent="0.3">
      <c r="A115" s="26" t="str">
        <f>_xlfn.XLOOKUP(B115,'Base stats'!B:B,'Base stats'!A:A)</f>
        <v>Boombat</v>
      </c>
      <c r="B115" s="6" t="s">
        <v>461</v>
      </c>
      <c r="C115" s="28" t="s">
        <v>796</v>
      </c>
      <c r="D115" s="28" t="s">
        <v>872</v>
      </c>
      <c r="E115" s="28" t="s">
        <v>673</v>
      </c>
      <c r="F115" s="28" t="s">
        <v>673</v>
      </c>
      <c r="G115" s="28" t="s">
        <v>673</v>
      </c>
      <c r="H115" s="2">
        <f>MROUND((
  (IF(AND(_xlfn.XLOOKUP(B115,'Base stats'!B:B,'Base stats'!AL:AL)=0,BI115="None",_xlfn.XLOOKUP(_xlfn.XLOOKUP(B115,'Base stats'!B:B,'Base stats'!E:E),Groups!A:A,Groups!B:B)=0), (18 + BR115 * 2.7) * 0.5,
    IF(AND(_xlfn.XLOOKUP(B115,'Base stats'!B:B,'Base stats'!AL:AL)=0,OR(AO115&lt;0.55,AND(BI115="Intermediate",_xlfn.XLOOKUP(_xlfn.XLOOKUP(B115,'Base stats'!B:B,'Base stats'!E:E),Groups!A:A,Groups!B:B)&lt;2))), (18 + BR115 * 2.7),
      IF(OR(BI115="Advanced",_xlfn.XLOOKUP(B115,'Base stats'!B:B,'Base stats'!AL:AL)=1,_xlfn.XLOOKUP(_xlfn.XLOOKUP(B115,'Base stats'!B:B,'Base stats'!E:E),Groups!A:A,Groups!B:B)=2), (18 + BR115 * 2.7) + 250, (18 + BR115 * 2.7))
    )
  ))
  + AO115 * 80
  + IF(COUNTIF(EggMilk!K$2:K$998, A115) &gt; 0, 125, 0)
  + IF(COUNTIF(EggMilk!P$2:P$998, A115) &gt; 0, 90, 0)
  + IF(COUNTIF(EggMilk!A$2:A$998, A115) &gt; 0, 90, 0)
)
* (0.8 + 0.4 * J115)
* 0.75,25)</f>
        <v>300</v>
      </c>
      <c r="I115" s="2">
        <f>MROUND(ROUNDDOWN(_xlfn.XLOOKUP(B115,'Base stats'!B:B,'Base stats'!L:L)/3.6/(23.3/11),1),0.5)</f>
        <v>2</v>
      </c>
      <c r="J115" s="2">
        <f>IF(OR(_xlfn.XLOOKUP(B115,'Base stats'!B:B,'Base stats'!AB:AB)=1,_xlfn.XLOOKUP(_xlfn.XLOOKUP(B115,'Base stats'!B:B,'Base stats'!E:E),Groups!A:A,Groups!C:C)="Untamable"),1,IF(_xlfn.XLOOKUP(B115,'Base stats'!B:B,'Base stats'!AL:AL)=1,0.99,MIN(MROUND((1-0.6282*EXP(-0.459*AO115))*_xlfn.XLOOKUP(_xlfn.XLOOKUP(B115,'Base stats'!B:B,'Base stats'!E:E),Groups!A:A,Groups!C:C)*IF(_xlfn.XLOOKUP(B115,'Base stats'!B:B,'Base stats'!O:O)=1,0.5,IF(_xlfn.XLOOKUP(B115,'Base stats'!B:B,'Base stats'!O:O)=2,0,1)),0.05),IF(AO115&gt;3.5,0.985,0.95))))</f>
        <v>0.70000000000000007</v>
      </c>
      <c r="K115" s="2">
        <f>ROUNDUP(AO115*_xlfn.XLOOKUP(_xlfn.XLOOKUP(B115,'Base stats'!B:B,'Base stats'!E:E),Groups!A:A,Groups!E:E),0)</f>
        <v>1</v>
      </c>
      <c r="L115" s="2">
        <f>IF(OR(_xlfn.XLOOKUP(_xlfn.XLOOKUP(B115,'Base stats'!B:B,'Base stats'!E:E),Groups!A:A,Groups!F:F)=2,ISNUMBER(SEARCH("SeaIce",BX115)),ISNUMBER(SEARCH("IceSheet",BX115))),-50,IF(OR(ISNUMBER(SEARCH("GlacialPlain",BX115)),ISNUMBER(SEARCH("Tundra",BX115))),-40,IF(OR(ISNUMBER(SEARCH("Alpine",BX115)),ISNUMBER(SEARCH("BorealForest",BX115)),ISNUMBER(SEARCH("ColdBog",BX115))),-30,IF(OR(ISNUMBER(SEARCH("TemperateForest",BX115)),ISNUMBER(SEARCH("TemperateSwamp",BX115))),-20,IF(_xlfn.XLOOKUP(_xlfn.XLOOKUP(B115,'Base stats'!B:B,'Base stats'!E:E),Groups!A:A,Groups!F:F)=1,-15,IF(OR(ISNUMBER(SEARCH("Desert",BX115)),ISNUMBER(SEARCH("ExtremeDesert",BX115))),-10,IF(OR(ISNUMBER(SEARCH("Grasslands",BX115)),ISNUMBER(SEARCH("TropicalRainforest",BX115)),ISNUMBER(SEARCH("TropicalSwamp",BX115))),10,0)))))))-IF(CC115="False",MIN(IFERROR(MAX(MROUND(LOG10(_xlfn.XLOOKUP(B115,'Base stats'!B:B,'Base stats'!C:C)^(2/3))*10,5),5),5),30))-_xlfn.XLOOKUP(B115,'Base stats'!B:B,'Base stats'!P:P)+IF(CC115="True",5,0)</f>
        <v>-20</v>
      </c>
      <c r="M115" s="2">
        <f>IF(OR(_xlfn.XLOOKUP(_xlfn.XLOOKUP(B115,'Base stats'!B:B,'Base stats'!E:E),Groups!A:A,Groups!G:G)=2,ISNUMBER(SEARCH("Desert",BX115)),ISNUMBER(SEARCH("ExtremeDesert",BX115)),ISNUMBER(SEARCH("LavaField",BX115))),50,IF(ISNUMBER(SEARCH("Grasslands",BX115)),45,IF(OR(_xlfn.XLOOKUP(_xlfn.XLOOKUP(B115,'Base stats'!B:B,'Base stats'!E:E),Groups!A:A,Groups!G:G)=1,ISNUMBER(SEARCH("TropicalRainforest",BX115)),ISNUMBER(SEARCH("TropicalSwamp",BX115))),40,IF(OR(ISNUMBER(SEARCH("TemperateForest",BX115)),ISNUMBER(SEARCH("TemperateSwamp",BX115))),35,IF(OR(ISNUMBER(SEARCH("Alpine",BX115)),ISNUMBER(SEARCH("BorealForest",BX115)),ISNUMBER(SEARCH("ColdBog",BX115))),30,IF(ISNUMBER(OR(ISNUMBER(SEARCH("GlacialPlain",BX115)),SEARCH("Tundra",BX115))),25,IF(OR(ISNUMBER(SEARCH("SeaIce",BX115)),ISNUMBER(SEARCH("IceSheet",BX115)),ISNUMBER(SEARCH("TropicalSwamp",BX115))),10,35)))))))+_xlfn.XLOOKUP(B115,'Base stats'!B:B,'Base stats'!Q:Q)</f>
        <v>50</v>
      </c>
      <c r="N115" s="8" t="str">
        <f>IF(
_xlfn.XLOOKUP(
_xlfn.XLOOKUP(B115,'Base stats'!B:B,'Base stats'!E:E),
Groups!A:A,
Groups!L:L
)=1,
MIN(
MROUND(
IF(
_xlfn.XLOOKUP(B115,'Animals CE'!B:B,'Animals CE'!Z:Z)&lt;=1.5,
_xlfn.XLOOKUP(B115,'Animals CE'!B:B,'Animals CE'!Z:Z)/2+0.05,
0.8+
(_xlfn.XLOOKUP(B115,'Animals CE'!B:B,'Animals CE'!Z:Z)-1.5)
*0.02
),
0.05
),
200%
),
"No"
)</f>
        <v>No</v>
      </c>
      <c r="O115" s="8" t="str">
        <f>IF(
_xlfn.XLOOKUP(
_xlfn.XLOOKUP(B115,'Base stats'!B:B,'Base stats'!E:E),
Groups!A:A,
Groups!L:L
)=1,
MIN(
MROUND(
IF(
_xlfn.XLOOKUP(B115,'Animals CE'!B:B,'Animals CE'!AA:AA)&lt;=1.5,
_xlfn.XLOOKUP(B115,'Animals CE'!B:B,'Animals CE'!AA:AA)/2+0.05,
0.8+
(_xlfn.XLOOKUP(B115,'Animals CE'!B:B,'Animals CE'!AA:AA)-1.5)
*0.02
),
0.05
),
200%
),
"No"
)</f>
        <v>No</v>
      </c>
      <c r="P115" s="2">
        <f>_xlfn.XLOOKUP(B115,'Base stats'!B:B,'Base stats'!R:R)</f>
        <v>0.9</v>
      </c>
      <c r="Q115" s="13">
        <f>MROUND((LOG10(_xlfn.XLOOKUP(B115,'Base stats'!B:B,'Base stats'!AR:AR))*(AO115^0.5)+(_xlfn.XLOOKUP(B115,'Base stats'!B:B,'Base stats'!AR:AR)/1000)^(2/3)+_xlfn.XLOOKUP(B115,'Base stats'!B:B,'Base stats'!BA:BA)/2)+0.5,0.5)</f>
        <v>5</v>
      </c>
      <c r="R115" s="7">
        <f>IF(Q115="No","No",MAX(1,MROUND(_xlfn.XLOOKUP(B115,'Base stats'!B:B,'Base stats'!C:C)^0.165,0.05)))</f>
        <v>1.7000000000000002</v>
      </c>
      <c r="S115" s="13" t="str">
        <f>IF(_xlfn.XLOOKUP(_xlfn.XLOOKUP(B115,'Base stats'!B:B,'Base stats'!E:E),Groups!A:A,Groups!P:P)=0,"No",MROUND((LOG10(_xlfn.XLOOKUP(B115,'Base stats'!B:B,'Base stats'!AS:AS))*(AO115^0.5)+(_xlfn.XLOOKUP(B115,'Base stats'!B:B,'Base stats'!AS:AS)/1000)^(2/3)+_xlfn.XLOOKUP(B115,'Base stats'!B:B,'Base stats'!BA:BA))+_xlfn.XLOOKUP(B115,'Base stats'!B:B,'Base stats'!AY:AY)+0.5,0.5))</f>
        <v>No</v>
      </c>
      <c r="T115" s="7" t="str">
        <f>IF(S115="No","No",MAX(_xlfn.XLOOKUP(_xlfn.XLOOKUP(B115,'Base stats'!B:B,'Base stats'!E:E),Groups!A:A,Groups!Q:Q),MROUND(_xlfn.XLOOKUP(_xlfn.XLOOKUP(B115,'Base stats'!B:B,'Base stats'!E:E),Groups!A:A,Groups!Q:Q)*_xlfn.XLOOKUP(B115,'Base stats'!B:B,'Base stats'!C:C)^0.165,0.05)))</f>
        <v>No</v>
      </c>
      <c r="U115" s="7" t="str">
        <f>IF(S115="No","No",_xlfn.XLOOKUP(_xlfn.XLOOKUP(B115,'Base stats'!B:B,'Base stats'!E:E),Groups!A:A,Groups!R:R))</f>
        <v>No</v>
      </c>
      <c r="V115" s="7" t="str">
        <f>IF(S115="No","No",_xlfn.XLOOKUP(_xlfn.XLOOKUP(B115,'Base stats'!B:B,'Base stats'!E:E),Groups!A:A,Groups!S:S))</f>
        <v>No</v>
      </c>
      <c r="W115" s="7" t="str">
        <f>IF(S115="No","No",_xlfn.XLOOKUP(_xlfn.XLOOKUP(B115,'Base stats'!B:B,'Base stats'!E:E),Groups!A:A,Groups!T:T))</f>
        <v>No</v>
      </c>
      <c r="X115" s="13" t="str">
        <f>IF(_xlfn.XLOOKUP(B115,'Base stats'!B:B,'Base stats'!W:W)="No","No",MROUND((LOG10(_xlfn.XLOOKUP(B115,'Base stats'!B:B,'Base stats'!AU:AU))*(AO115^0.5)+(_xlfn.XLOOKUP(B115,'Base stats'!B:B,'Base stats'!AU:AU)/1000)^(2/3)+_xlfn.XLOOKUP(B115,'Base stats'!B:B,'Base stats'!AZ:AZ))+0.5+IF(_xlfn.XLOOKUP(_xlfn.XLOOKUP(B115,'Base stats'!B:B,'Base stats'!E:E),Groups!A:A,Groups!U:U)&lt;&gt;3,_xlfn.XLOOKUP(B115,'Base stats'!B:B,'Base stats'!BA:BA),0),0.5))</f>
        <v>No</v>
      </c>
      <c r="Y115" s="7" t="str">
        <f>IF(X115="No","No",MAX(_xlfn.XLOOKUP(_xlfn.XLOOKUP(B115,'Base stats'!B:B,'Base stats'!E:E),Groups!A:A,Groups!V:V),MROUND(_xlfn.XLOOKUP(_xlfn.XLOOKUP(B115,'Base stats'!B:B,'Base stats'!E:E),Groups!A:A,Groups!V:V)*_xlfn.XLOOKUP(B115,'Base stats'!B:B,'Base stats'!C:C)^0.165,0.05)))</f>
        <v>No</v>
      </c>
      <c r="Z115" s="7" t="str">
        <f>IF(X115="No","No",_xlfn.XLOOKUP(_xlfn.XLOOKUP(B115,'Base stats'!B:B,'Base stats'!E:E),Groups!A:A,Groups!W:W))</f>
        <v>No</v>
      </c>
      <c r="AA115" s="7" t="str">
        <f>IF(X115="No","No",_xlfn.XLOOKUP(_xlfn.XLOOKUP(B115,'Base stats'!B:B,'Base stats'!E:E),Groups!A:A,Groups!X:X))</f>
        <v>No</v>
      </c>
      <c r="AB115" s="7" t="str">
        <f>IF(X115="No","No",_xlfn.XLOOKUP(_xlfn.XLOOKUP(B115,'Base stats'!B:B,'Base stats'!E:E),Groups!A:A,Groups!Y:Y))</f>
        <v>No</v>
      </c>
      <c r="AC115" s="7" t="str">
        <f>_xlfn.XLOOKUP(Animals!B115,'Base stats'!B:B,'Base stats'!X:X)</f>
        <v>False</v>
      </c>
      <c r="AD115" s="13">
        <f>IF(_xlfn.XLOOKUP(B115,'Base stats'!B:B,'Base stats'!AT:AT)="No","No",MROUND((LOG10(_xlfn.XLOOKUP(B115,'Base stats'!B:B,'Base stats'!AT:AT))*(AO115^0.75)+(_xlfn.XLOOKUP(B115,'Base stats'!B:B,'Base stats'!AT:AT)/1000)^(2/3)+_xlfn.XLOOKUP(B115,'Base stats'!B:B,'Base stats'!AX:AX)+_xlfn.XLOOKUP(B115,'Base stats'!B:B,'Base stats'!BA:BA))+0.5,0.5))</f>
        <v>7.5</v>
      </c>
      <c r="AE115" s="7">
        <f>IF(AD115="No","No",MAX(_xlfn.XLOOKUP(_xlfn.XLOOKUP(B115,'Base stats'!B:B,'Base stats'!E:E),Groups!A:A,Groups!Z:Z),MROUND(_xlfn.XLOOKUP(_xlfn.XLOOKUP(B115,'Base stats'!B:B,'Base stats'!E:E),Groups!A:A,Groups!Z:Z)*_xlfn.XLOOKUP(B115,'Base stats'!B:B,'Base stats'!C:C)^0.165,0.05)))</f>
        <v>1.6</v>
      </c>
      <c r="AF115" s="7" t="str">
        <f>IF(AD115="No","No",_xlfn.XLOOKUP(_xlfn.XLOOKUP(B115,'Base stats'!B:B,'Base stats'!E:E),Groups!A:A,Groups!AA:AA))</f>
        <v>Teeth</v>
      </c>
      <c r="AG115" s="7" t="str">
        <f>IF(AD115="No","No",_xlfn.XLOOKUP(_xlfn.XLOOKUP(B115,'Base stats'!B:B,'Base stats'!E:E),Groups!A:A,Groups!AB:AB))</f>
        <v>teeth</v>
      </c>
      <c r="AH115" s="7" t="str">
        <f>IF(AD115="No","No",_xlfn.XLOOKUP(_xlfn.XLOOKUP(B115,'Base stats'!B:B,'Base stats'!E:E),Groups!A:A,Groups!AC:AC))</f>
        <v>Bite</v>
      </c>
      <c r="AI115" s="13">
        <f>IF(_xlfn.XLOOKUP(_xlfn.XLOOKUP(B115,'Base stats'!B:B,'Base stats'!E:E),Groups!A:A,Groups!AD:AD)=0,"No",MROUND((LOG10(_xlfn.XLOOKUP(B115,'Base stats'!B:B,'Base stats'!AS:AS))*(AO115^0.75)+(_xlfn.XLOOKUP(B115,'Base stats'!B:B,'Base stats'!AS:AS)/1000)^(2/3)+_xlfn.XLOOKUP(B115,'Base stats'!B:B,'Base stats'!AY:AY)+_xlfn.XLOOKUP(B115,'Base stats'!B:B,'Base stats'!BA:BA))+0.5,0.5))</f>
        <v>7.5</v>
      </c>
      <c r="AJ115" s="7">
        <f>IF(AI115="No","No",MAX(_xlfn.XLOOKUP(_xlfn.XLOOKUP(B115,'Base stats'!B:B,'Base stats'!E:E),Groups!A:A,Groups!AE:AE),MROUND(_xlfn.XLOOKUP(_xlfn.XLOOKUP(B115,'Base stats'!B:B,'Base stats'!E:E),Groups!A:A,Groups!AE:AE)*IF(_xlfn.XLOOKUP(_xlfn.XLOOKUP(B115,'Base stats'!B:B,'Base stats'!E:E),Groups!A:A,Groups!AJ:AJ)="Photonozoa",0.6,1)*_xlfn.XLOOKUP(B115,'Base stats'!B:B,'Base stats'!C:C)^0.165,0.05)))</f>
        <v>1.2000000000000002</v>
      </c>
      <c r="AK115" s="7" t="str">
        <f>IF(AI115="No","No",_xlfn.XLOOKUP(_xlfn.XLOOKUP(B115,'Base stats'!B:B,'Base stats'!E:E),Groups!A:A,Groups!AF:AF))</f>
        <v>FrontLeftPaw, FrontRightPaw</v>
      </c>
      <c r="AL115" s="7" t="str">
        <f>IF(AI115="No","No",_xlfn.XLOOKUP(_xlfn.XLOOKUP(B115,'Base stats'!B:B,'Base stats'!E:E),Groups!A:A,Groups!AG:AG))</f>
        <v>left claw, right claw</v>
      </c>
      <c r="AM115" s="7" t="str">
        <f>IF(AI115="No","No",_xlfn.XLOOKUP(_xlfn.XLOOKUP(B115,'Base stats'!B:B,'Base stats'!E:E),Groups!A:A,Groups!AH:AH))</f>
        <v>Scratch</v>
      </c>
      <c r="AN115" s="2" t="str">
        <f t="shared" si="7"/>
        <v>No</v>
      </c>
      <c r="AO115" s="2">
        <f>MROUND(IF(AND(_xlfn.XLOOKUP(B115,'Base stats'!B:B,'Base stats'!C:C)&gt;=0.5,_xlfn.XLOOKUP(B115,'Base stats'!B:B,'Base stats'!C:C)&lt;=0.8),
IF(_xlfn.XLOOKUP(B115,'Base stats'!B:B,'Base stats'!C:C)&lt;0.1,0.05,IF(_xlfn.XLOOKUP(B115,'Base stats'!B:B,'Base stats'!C:C)&lt;=70,(_xlfn.XLOOKUP(B115,'Base stats'!B:B,'Base stats'!C:C)/70)^0.426489913056526,IF(_xlfn.XLOOKUP(B115,'Base stats'!B:B,'Base stats'!C:C)&lt;=400,(_xlfn.XLOOKUP(B115,'Base stats'!B:B,'Base stats'!C:C)/70)^0.572811455315093,IF(_xlfn.XLOOKUP(B115,'Base stats'!B:B,'Base stats'!C:C)&lt;=2000,2.71391647193063*(_xlfn.XLOOKUP(B115,'Base stats'!B:B,'Base stats'!C:C)/400)^0.252459582904293,3.74314280240376*(_xlfn.XLOOKUP(B115,'Base stats'!B:B,'Base stats'!C:C)/2000)^0.357012633876913)))),
IF(_xlfn.XLOOKUP(B115,'Base stats'!B:B,'Base stats'!C:C)&lt;0.1,0.05,IF(_xlfn.XLOOKUP(B115,'Base stats'!B:B,'Base stats'!C:C)&lt;0.4,0.1,IF(_xlfn.XLOOKUP(B115,'Base stats'!B:B,'Base stats'!C:C)&lt;=70,(_xlfn.XLOOKUP(B115,'Base stats'!B:B,'Base stats'!C:C)/70)^0.445823913056526,IF(_xlfn.XLOOKUP(B115,'Base stats'!B:B,'Base stats'!C:C)&lt;=400,(_xlfn.XLOOKUP(B115,'Base stats'!B:B,'Base stats'!C:C)/70)^0.572811455315093,IF(_xlfn.XLOOKUP(B115,'Base stats'!B:B,'Base stats'!C:C)&lt;=2000,2.71391647193063*(_xlfn.XLOOKUP(B115,'Base stats'!B:B,'Base stats'!C:C)/400)^0.252459582904293,3.74314280240376*(_xlfn.XLOOKUP(B115,'Base stats'!B:B,'Base stats'!C:C)/2000)^0.357012633876913)))))),
IF(_xlfn.XLOOKUP(B115,'Base stats'!B:B,'Base stats'!C:C)&lt;0.1,0.05,IF(_xlfn.XLOOKUP(B115,'Base stats'!B:B,'Base stats'!C:C)&lt;=100,0.05,IF(_xlfn.XLOOKUP(B115,'Base stats'!B:B,'Base stats'!C:C)&lt;=250,0.1,IF(_xlfn.XLOOKUP(B115,'Base stats'!B:B,'Base stats'!C:C)&lt;=4000,0.25,0.5)))))</f>
        <v>0.65</v>
      </c>
      <c r="AP115" s="8">
        <f>MROUND(AO115*_xlfn.XLOOKUP(_xlfn.XLOOKUP(B115,'Base stats'!B:B,'Base stats'!E:E),Groups!A:A,Groups!AI:AI)*_xlfn.XLOOKUP(B115,'Base stats'!B:B,'Base stats'!Z:Z),0.05)</f>
        <v>0.65</v>
      </c>
      <c r="AQ115" s="8">
        <f>MAX(0.01,MROUND(IF(CC115="True",0.196*(AO115*100*1000)^0.889,IF(_xlfn.XLOOKUP(_xlfn.XLOOKUP(B115,'Base stats'!B:B,'Base stats'!E:E),Groups!A:A,Groups!AJ:AJ)="Bird",10.5*(AO115*100*1000)^0.681,4.82*(AO115*100*1000)^0.734))/(4.82*(1*100*1000)^0.734)/IF(AO115&lt;3.5,2,IF(AO115=3.5,1.5,1.25))*(1+0.132282374779864/(AO115^0.994035016789033+0.00905238001496948)),0.05))</f>
        <v>0.45</v>
      </c>
      <c r="AR115" s="9">
        <f>IFERROR(MROUND(_xlfn.XLOOKUP(B115,'Base stats'!B:B,'Base stats'!H:H)/IF(_xlfn.XLOOKUP(B115,'Base stats'!B:B,'Base stats'!I:I)&lt;&gt;1,(122.5/70),1.2),IF(_xlfn.XLOOKUP(B115,'Base stats'!B:B,'Base stats'!H:H)&gt;=30,5,IF(_xlfn.XLOOKUP(B115,'Base stats'!B:B,'Base stats'!H:H)&gt;=15,3,IF(_xlfn.XLOOKUP(B115,'Base stats'!B:B,'Base stats'!H:H)&gt;=10,2,1)))),"Immortal")</f>
        <v>15</v>
      </c>
      <c r="AS115" s="35">
        <f>IFERROR(IF(OR(_xlfn.XLOOKUP(B115,'Base stats'!B:B,'Base stats'!F:F)="Atypical reproduction",_xlfn.XLOOKUP(B115,'Base stats'!B:B,'Base stats'!F:F)="Lay eggs"),"Lay eggs",MIN(20,MAX(5.5,ROUND(((_xlfn.XLOOKUP(B115,'Base stats'!B:B,'Base stats'!F:F)-25)*(14.5/615) + 5.5)*2,0)/2))),"Unknown")</f>
        <v>5.5</v>
      </c>
      <c r="AT115" s="8">
        <f>IF(_xlfn.XLOOKUP(B115,'Base stats'!B:B,'Base stats'!G:G)="Atypical reproduction","No",IFERROR(MAX(IF(_xlfn.XLOOKUP(B115,'Base stats'!B:B,'Base stats'!G:G)&lt;0.5,0.2,0.3),MROUND(_xlfn.XLOOKUP(B115,'Base stats'!B:B,'Base stats'!G:G)/(365/60),0.2)),"Unknown"))</f>
        <v>0.4</v>
      </c>
      <c r="AU115" s="8">
        <f t="shared" si="8"/>
        <v>0.2</v>
      </c>
      <c r="AV115" s="8">
        <f>IFERROR(IFERROR(MROUND(_xlfn.XLOOKUP(B115,'Base stats'!B:B,'Base stats'!J:J),0.1),"Lay eggs"),"Cannot breed")</f>
        <v>1</v>
      </c>
      <c r="AW115" s="2" t="str">
        <f t="shared" si="9"/>
        <v>false</v>
      </c>
      <c r="AX115" s="2" t="str">
        <f>IF(_xlfn.XLOOKUP(_xlfn.XLOOKUP(Animals!B115,'Base stats'!B:B,'Base stats'!E:E),Groups!A:A,Groups!AK:AK)=1,"true","false")</f>
        <v>false</v>
      </c>
      <c r="AY115" s="25" t="str">
        <f>IF(_xlfn.XLOOKUP(B115,'Base stats'!B:B,'Base stats'!Y:Y)="Liquor","Liquor, CarnivoreAnimalStrict",IF(AND(_xlfn.XLOOKUP(B115,'Base stats'!B:B,'Base stats'!Y:Y)="Carnivore",_xlfn.XLOOKUP(_xlfn.XLOOKUP(B115,'Base stats'!B:B,'Base stats'!E:E),Groups!A:A,Groups!AJ:AJ)="Photonozoa"),"CarnivoreAnimalStrict, OvivoreAnimal",IF(_xlfn.XLOOKUP(B115,'Base stats'!B:B,'Base stats'!Y:Y)="Carnivore","CarnivoreAnimal, OvivoreAnimal",IF(_xlfn.XLOOKUP(B115,'Base stats'!B:B,'Base stats'!Y:Y)="Dendrovore","VegetarianRoughAnimal, DendrovoreAnimal",IF(_xlfn.XLOOKUP(B115,'Base stats'!B:B,'Base stats'!Y:Y)="Herbivore","VegetarianRoughAnimal",IF(_xlfn.XLOOKUP(B115,'Base stats'!B:B,'Base stats'!Y:Y)="OmnivoreRough","OmnivoreRoughAnimal, OvivoreAnimal","OmnivoreAnimal, OvivoreAnimal"))))))</f>
        <v>VegetarianRoughAnimal</v>
      </c>
      <c r="AZ115" s="2" t="str">
        <f>IF(_xlfn.XLOOKUP(_xlfn.XLOOKUP(B115,'Base stats'!B:B,'Base stats'!E:E),Groups!A:A,Groups!D:D)=1,MROUND((1-J115)*5+1,2)*IF(J115&lt;=0.4,2,1),"No")</f>
        <v>No</v>
      </c>
      <c r="BA115" s="2" t="str">
        <f>IF(AND(_xlfn.XLOOKUP(B115,'Base stats'!B:B,'Base stats'!AH:AH)="&lt;li&gt;Seal&lt;/li&gt;",G115="Odyssey"),"&lt;li&gt;AEXP_Seal&lt;/li&gt;",_xlfn.XLOOKUP(B115,'Base stats'!B:B,'Base stats'!AH:AH))</f>
        <v>No</v>
      </c>
      <c r="BB115" s="2" t="str">
        <f>_xlfn.XLOOKUP(B115,'Base stats'!B:B,'Base stats'!AG:AG)</f>
        <v>Leather_Light</v>
      </c>
      <c r="BC115" s="23" t="str">
        <f>_xlfn.XLOOKUP(_xlfn.XLOOKUP(B115,'Base stats'!B:B,'Base stats'!E:E),Groups!A:A,Groups!AL:AL)</f>
        <v>QuadrupedAnimalWithPaws</v>
      </c>
      <c r="BD115" s="23">
        <f>MIN(1,MROUND(IF(AND(AO115&lt;0.5,_xlfn.XLOOKUP(B115,'Base stats'!B:B,'Base stats'!AA:AA)=0),0,IF(OR(_xlfn.XLOOKUP(Animals!B115,'Base stats'!B:B,'Base stats'!O:O)=2,_xlfn.XLOOKUP(_xlfn.XLOOKUP(B115,'Base stats'!B:B,'Base stats'!E:E),Groups!A:A,Groups!AN:AN)=0),0,_xlfn.XLOOKUP(_xlfn.XLOOKUP(B115,'Base stats'!B:B,'Base stats'!E:E),Groups!A:A,Groups!AN:AN)/IF(_xlfn.XLOOKUP(Animals!B115,'Base stats'!B:B,'Base stats'!O:O)=1,2,1)))+_xlfn.XLOOKUP(B115,'Base stats'!B:B,'Base stats'!AC:AC),0.005))</f>
        <v>0</v>
      </c>
      <c r="BE115" s="23">
        <f>MIN(1,MROUND(IF(AND(AO115&lt;0.5,_xlfn.XLOOKUP(B115,'Base stats'!B:B,'Base stats'!AA:AA)=0),0,IF(_xlfn.XLOOKUP(_xlfn.XLOOKUP(B115,'Base stats'!B:B,'Base stats'!E:E),Groups!A:A,Groups!AO:AO)=0,0,_xlfn.XLOOKUP(_xlfn.XLOOKUP(B115,'Base stats'!B:B,'Base stats'!E:E),Groups!A:A,Groups!AO:AO)/IF(_xlfn.XLOOKUP(Animals!B115,'Base stats'!B:B,'Base stats'!O:O)=2,3,1)))+_xlfn.XLOOKUP(B115,'Base stats'!B:B,'Base stats'!AD:AD),0.005))</f>
        <v>0</v>
      </c>
      <c r="BF115" s="2" t="str">
        <f>IF(J115&gt;0.3,"No",_xlfn.XLOOKUP(_xlfn.XLOOKUP(Animals!B115,'Base stats'!B:B,'Base stats'!E:E),Groups!A:A,Groups!AP:AP))</f>
        <v>No</v>
      </c>
      <c r="BG115" s="2" t="str">
        <f>IF(AND(J115&lt;=0.65,_xlfn.XLOOKUP(_xlfn.XLOOKUP(Animals!B115,'Base stats'!B:B,'Base stats'!E:E),Groups!A:A,Groups!AP:AP)&lt;&gt;"No",_xlfn.XLOOKUP(_xlfn.XLOOKUP(B115,'Base stats'!B:B,'Base stats'!E:E),Groups!A:A,Groups!D:D)=0),MROUND((80/3)*IF(_xlfn.XLOOKUP(B115,'Base stats'!B:B,'Base stats'!O:O)=2,0.2,AO115) + 24*(1-IF(BF115="No",0,BF115)) + 16/3, 12),"No")</f>
        <v>No</v>
      </c>
      <c r="BH115" s="2">
        <f>IF(AND(_xlfn.XLOOKUP(_xlfn.XLOOKUP(B115,'Base stats'!B:B,'Base stats'!E:E),Groups!A:A,Groups!AQ:AQ)=1,AO115&lt;=0.35),8,12)</f>
        <v>12</v>
      </c>
      <c r="BI115" s="2" t="str">
        <f>IF(_xlfn.XLOOKUP(_xlfn.XLOOKUP(B115,'Base stats'!B:B,'Base stats'!E:E),Groups!A:A,Groups!D:D)=0,_xlfn.XLOOKUP(_xlfn.XLOOKUP(B115,'Base stats'!B:B,'Base stats'!E:E),Groups!A:A,Groups!AR:AR),"None")</f>
        <v>None</v>
      </c>
      <c r="BJ115" s="2" t="str">
        <f>IF(AND(_xlfn.XLOOKUP(_xlfn.XLOOKUP(B115,'Base stats'!B:B,'Base stats'!E:E),Groups!A:A,Groups!AS:AS)=1,OR(_xlfn.XLOOKUP(B115,'Base stats'!B:B,'Base stats'!Y:Y)="Carnivore",_xlfn.XLOOKUP(B115,'Base stats'!B:B,'Base stats'!Y:Y)="Omnivore")),"true","false")</f>
        <v>false</v>
      </c>
      <c r="BK115" s="2" t="str">
        <f>IF(BJ115="true",MROUND(IF(AND(AO115&gt;0.5,OR(_xlfn.XLOOKUP(_xlfn.XLOOKUP(B115,'Base stats'!B:B,'Base stats'!E:E),Groups!A:A,Groups!AJ:AJ)="Photonozoa",_xlfn.XLOOKUP(_xlfn.XLOOKUP(B115,'Base stats'!B:B,'Base stats'!E:E),Groups!A:A,Groups!AJ:AJ)="Mammal")),Animals!AO115*1.75*IF(AW115="true",1.5,1),IF(AO115&lt;0.5,Animals!AO115*0.5,Animals!AO115)),IF(AO115&gt;2,0.5,IF(AO115&gt;0.5,0.25,0.1))),"No")</f>
        <v>No</v>
      </c>
      <c r="BL115" s="2">
        <f t="shared" si="10"/>
        <v>0</v>
      </c>
      <c r="BM115" s="25" t="str">
        <f>IF(_xlfn.XLOOKUP(B115,'Base stats'!B:B,'Base stats'!AN:AN)="Standard","No",MROUND((_xlfn.XLOOKUP(B115,'Base stats'!B:B,'Base stats'!AN:AN)/3.6)/I115,0.1))</f>
        <v>No</v>
      </c>
      <c r="BN115" s="25" t="str">
        <f t="shared" si="11"/>
        <v>false</v>
      </c>
      <c r="BO115" s="25" t="str">
        <f>IF(AND(OR(_xlfn.XLOOKUP(B115,'Base stats'!B:B,'Base stats'!Y:Y)="Carnivore",_xlfn.XLOOKUP(B115,'Base stats'!B:B,'Base stats'!Y:Y)="Omnivore",_xlfn.XLOOKUP(B115,'Base stats'!B:B,'Base stats'!Y:Y)="OmnivoreRough"),_xlfn.XLOOKUP(_xlfn.XLOOKUP(B115,'Base stats'!B:B,'Base stats'!E:E),Groups!A:A,Groups!AT:AT)=1),"true","false")</f>
        <v>false</v>
      </c>
      <c r="BP115" s="25" t="str" cm="1">
        <f t="array" ref="BP115">IF(
  _xlfn.TEXTJOIN(", ",TRUE,
    IF(AND(BJ115="true",AO115&gt;0.5,BI115&lt;&gt;"None"),"AttackTarget",""),
    IF(AND(_xlfn.XLOOKUP(_xlfn.XLOOKUP(B115,'Base stats'!B:B,'Base stats'!E:E),Groups!A:A,Groups!AJ:AJ="Mammal"),OR(_xlfn.XLOOKUP(B115,'Base stats'!B:B,'Base stats'!Y:Y)="Omnivore",_xlfn.XLOOKUP(B115,'Base stats'!B:B,'Base stats'!Y:Y)="OmnivoreRough")),"Forage",""),
    IF(BG115&lt;=36,"Comfort",""),
    IF(_xlfn.XLOOKUP(B115,'Base stats'!B:B,'Base stats'!AE:AE)&lt;&gt;"No",_xlfn.XLOOKUP(B115,'Base stats'!B:B,'Base stats'!AE:AE),"")
  ) = "",
  "No",
  _xlfn.TEXTJOIN(", ",TRUE,
    IF(AND(BJ115="true",AO115&gt;0.5,BI115&lt;&gt;"None"),"AttackTarget",""),
    IF(AND(_xlfn.XLOOKUP(_xlfn.XLOOKUP(B115,'Base stats'!B:B,'Base stats'!E:E),Groups!A:A,Groups!AJ:AJ="Mammal"),OR(_xlfn.XLOOKUP(B115,'Base stats'!B:B,'Base stats'!Y:Y)="Omnivore",_xlfn.XLOOKUP(B115,'Base stats'!B:B,'Base stats'!Y:Y)="OmnivoreRough")),"Forage",""),
    IF(BG115&lt;=36,"Comfort",""),
    IF(_xlfn.XLOOKUP(B115,'Base stats'!B:B,'Base stats'!AE:AE)&lt;&gt;"No",_xlfn.XLOOKUP(B115,'Base stats'!B:B,'Base stats'!AE:AE),"")
  )
)</f>
        <v>No</v>
      </c>
      <c r="BQ115" s="25" t="str">
        <f>IF(
   AND(
      'Base stats'!AN115="Standard",_xlfn.XLOOKUP(_xlfn.XLOOKUP(B115,'Base stats'!B:B,'Base stats'!E:E),Groups!A:A,Groups!AU:AU)=0,
      OR(
      BO115="True"
      )
   ),
   10,
   IF(
       OR(BM115&lt;&gt;"No",_xlfn.XLOOKUP(_xlfn.XLOOKUP(B115,'Base stats'!B:B,'Base stats'!E:E),Groups!A:A,Groups!AU:AU)=1),
      1,
      "No"
   )
)</f>
        <v>No</v>
      </c>
      <c r="BR115" s="9">
        <f>MROUND((1 + ((0.2*IF(OR(Q115="No",R115="No",R115=0),0,Q115/R115)
+IF(OR(V115="No",S115="No",T115="No"),0,S115/T115*(LEN(V115)-LEN(SUBSTITUTE(V115,",",""))+1))
+IF(OR(X115="No",Y115="No"),0,X115/Y115)
+IF(OR(AD115="No",AE115="No"),0,AD115/AE115)
+IF(OR(AL115="No",AI115="No",AJ115="No"),0,AI115/AJ115*(LEN(AL115)-LEN(SUBSTITUTE(AL115,",",""))+1))
)/(0.2*IF(OR(Q115="No",R115="No",R115=0),0,1)
+IF(OR(V115="No",S115="No",T115="No"),0,LEN(V115)-LEN(SUBSTITUTE(V115,",",""))+1)
+IF(OR(X115="No",Y115="No"),0,1)
+IF(OR(AD115="No",AE115="No"),0,1)
+IF(OR(AL115="No",AI115="No",AJ115="No"),0,LEN(AL115)-LEN(SUBSTITUTE(AL115,",",""))+1))*62%)* 2)*(1 + (AP115 / (IF(_xlfn.XLOOKUP(_xlfn.XLOOKUP(B115,'Base stats'!B:B,'Base stats'!E:E),Groups!A:A,Groups!AJ:AJ)="Photonozoa",0.3,1)) + _xlfn.XLOOKUP(B115,'Base stats'!B:B,'Base stats'!AV:AV) * 1.8) * 2) * 2.5 + 10 + I115 * 2,5)+IF(_xlfn.XLOOKUP(B115,'Base stats'!B:B,'Base stats'!AK:AK)=1,50,0)</f>
        <v>110</v>
      </c>
      <c r="BS115" s="8">
        <f t="shared" si="12"/>
        <v>0.5</v>
      </c>
      <c r="BT115" s="8" t="str">
        <f>_xlfn.XLOOKUP(B115,'Base stats'!B:B,'Base stats'!AF:AF)</f>
        <v>No</v>
      </c>
      <c r="BU115" s="2" t="str">
        <f>IF(AND(J115&lt;=0.95,OR(_xlfn.XLOOKUP(B115,'Base stats'!B:B,'Base stats'!AK:AK)=1,_xlfn.XLOOKUP(B115,'Base stats'!B:B,'Base stats'!Y:Y)="Carnivore",_xlfn.XLOOKUP(B115,'Base stats'!B:B,'Base stats'!Y:Y)="Omnivore",BE115&gt;0.1)),"true","false")</f>
        <v>true</v>
      </c>
      <c r="BV115" s="2" t="str">
        <f>IF(_xlfn.XLOOKUP(B115,'Base stats'!B:B,'Base stats'!AI:AI)=1,"true","false")</f>
        <v>false</v>
      </c>
      <c r="BW115" s="25" t="str">
        <f>IF(E115="BaseInsect","AnimalInsect",
IF(J115&gt;0.95,"AnimalExotic",
_xlfn.TEXTJOIN(", ",TRUE,
IF(OR(_xlfn.XLOOKUP(B115,'Base stats'!B:B,'Base stats'!AM:AM)=1,AND(_xlfn.XLOOKUP(B115,'Base stats'!B:B,'Base stats'!O:O)=0,_xlfn.XLOOKUP(_xlfn.XLOOKUP(B115,'Base stats'!B:B,'Base stats'!E:E),Groups!A:A,Groups!B:B)&gt;0)),"AnimalUncommon","AnimalCommon"),
IF(AND(_xlfn.XLOOKUP(B115,'Base stats'!B:B,'Base stats'!O:O)=2,_xlfn.XLOOKUP(_xlfn.XLOOKUP(B115,'Base stats'!B:B,'Base stats'!E:E),Groups!A:A,Groups!D:D)=0),"AnimalPet",IF(AND(_xlfn.XLOOKUP(B115,'Base stats'!B:B,'Base stats'!O:O)&lt;&gt;0,_xlfn.XLOOKUP(_xlfn.XLOOKUP(B115,'Base stats'!B:B,'Base stats'!E:E),Groups!A:A,Groups!D:D)&lt;&gt;0),"AnimalFarm","")),
IF(OR(_xlfn.XLOOKUP(B115,'Base stats'!B:B,'Base stats'!AK:AK)=1,AND(BI115&lt;&gt;"None",BR115&gt;=60),ISNUMBER(SEARCH("Attack target",BP115))),"AnimalFighter","")
)))</f>
        <v>AnimalUncommon, AnimalFighter</v>
      </c>
      <c r="BX115" s="25" t="str">
        <f>IF(G115="None",TRIM(
SUBSTITUTE(
IF(COUNTIF(Biomes!B$2:B$259,"="&amp;$C115)&gt;0,Biomes!B$1&amp;", ","")&amp;
IF(COUNTIF(Biomes!C$2:C$259,"="&amp;$C115)&gt;0,Biomes!C$1&amp;", ","")&amp;
IF(COUNTIF(Biomes!D$2:D$259,"="&amp;$C115)&gt;0,Biomes!D$1&amp;", ","")&amp;
IF(COUNTIF(Biomes!F$2:F$259,"="&amp;$C115)&gt;0,Biomes!F$1&amp;", ","")&amp;
IF(COUNTIF(Biomes!G$2:G$259,"="&amp;$C115)&gt;0,Biomes!G$1&amp;", ","")&amp;
IF(COUNTIF(Biomes!H$2:H$259,"="&amp;$C115)&gt;0,Biomes!H$1&amp;", ","")&amp;
IF(COUNTIF(Biomes!I$2:I$259,"="&amp;$C115)&gt;0,Biomes!I$1&amp;", ","")&amp;
IF(COUNTIF(Biomes!J$2:J$259,"="&amp;$C115)&gt;0,Biomes!J$1&amp;", ","")&amp;
IF(COUNTIF(Biomes!M$2:M$259,"="&amp;$C115)&gt;0,Biomes!M$1&amp;", ","")&amp;
IF(COUNTIF(Biomes!N$2:N$259,"="&amp;$C115)&gt;0,Biomes!N$1&amp;", ","")&amp;
IF(COUNTIF(Biomes!O$2:O$259,"="&amp;$C115)&gt;0,Biomes!O$1&amp;", ","")&amp;
IF(COUNTIF(Biomes!P$2:P$259,"="&amp;$C115)&gt;0,Biomes!P$1&amp;", ","")&amp;
IF(COUNTIF(Biomes!K$2:K$259,"="&amp;$C115)&gt;0,Biomes!K$1&amp;", ","")&amp;
IF(COUNTIF(Biomes!Q$3:Q$259,"="&amp;$C115)&gt;0,Biomes!Q$1&amp;", ","")&amp;
IF(COUNTIF(Biomes!L$2:L$259,"="&amp;$C115)&gt;0,Biomes!L$1&amp;", ","")&amp;
IF(COUNTIF(Biomes!E$2:E$259,"="&amp;$C115)&gt;0,Biomes!E$1&amp;", ","")&amp;IF(COUNTIF(Biomes!S$2:S$259,"="&amp;$C115)&gt;0,Biomes!S$1&amp;", ","")&amp;
IF(COUNTIF(Biomes!R$2:R$259,"="&amp;$C115)&gt;0,Biomes!R$1&amp;", ",""),", ","")
),_xlfn.XLOOKUP(B115,B:B,BX:BX))</f>
        <v>AridShrubland Desert ExtremeDesert Grasslands LavaField</v>
      </c>
      <c r="BY115" s="25" t="str">
        <f>IF(_xlfn.XLOOKUP(B115,'Base stats'!B:B,'Base stats'!AJ:AJ)=1,"true","false")</f>
        <v>false</v>
      </c>
      <c r="BZ115" s="25">
        <f>IF(_xlfn.XLOOKUP(B115,'Base stats'!B:B,'Base stats'!N:N)=1,"No",MAX(0.001,MIN(MROUND(IF(AND(BJ115="True",CC115="False"),POWER(10,3.47*LOG10(_xlfn.XLOOKUP(B115,'Base stats'!B:B,'Base stats'!C:C)*1000)^-0.96),POWER(10,4.15*LOG10(_xlfn.XLOOKUP(B115,'Base stats'!B:B,'Base stats'!C:C)*1000)^-0.73))*IF(_xlfn.XLOOKUP(B115,'Base stats'!B:B,'Base stats'!AK:AK)=1,0.5,1)*IF(_xlfn.XLOOKUP(B115,'Base stats'!B:B,'Base stats'!AM:AM)=1,0.1,1)/100,IF(_xlfn.XLOOKUP(B115,'Base stats'!B:B,'Base stats'!AM:AM)=1,0.001,0.025)),0.5)))</f>
        <v>0.125</v>
      </c>
      <c r="CA115" s="25">
        <f>IF(P115="Standard","No",MAX(0.001,MIN(MROUND(IF(AND(BJ115="True",CC115="False"),POWER(10,3.47*LOG10(_xlfn.XLOOKUP(B115,'Base stats'!B:B,'Base stats'!C:C)*1000)^-0.96),POWER(10,4.15*LOG10(_xlfn.XLOOKUP(B115,'Base stats'!B:B,'Base stats'!C:C)*1000)^-0.73))*IF(_xlfn.XLOOKUP(B115,'Base stats'!B:B,'Base stats'!AM:AM)=1,0.1,1)*_xlfn.XLOOKUP(B115,'Base stats'!B:B,'Base stats'!R:R)/100,IF(_xlfn.XLOOKUP(B115,'Base stats'!B:B,'Base stats'!AM:AM)=1,0.001,0.025)),0.5)))</f>
        <v>0.22500000000000001</v>
      </c>
      <c r="CB115" s="25" t="str">
        <f>IF(_xlfn.XLOOKUP(_xlfn.XLOOKUP(B115,'Base stats'!B:B,'Base stats'!E:E),Groups!A:A,Groups!AJ:AJ)="Mammal","True","False")</f>
        <v>True</v>
      </c>
      <c r="CC115" s="25" t="str">
        <f>IF(OR(_xlfn.XLOOKUP(_xlfn.XLOOKUP(B115,'Base stats'!B:B,'Base stats'!E:E),Groups!A:A,Groups!AJ:AJ)="Reptile",_xlfn.XLOOKUP(_xlfn.XLOOKUP(B115,'Base stats'!B:B,'Base stats'!E:E),Groups!A:A,Groups!AJ:AJ)="Amphibian",_xlfn.XLOOKUP(_xlfn.XLOOKUP(B115,'Base stats'!B:B,'Base stats'!E:E),Groups!A:A,Groups!AJ:AJ)="Invertebrate"),"True","False")</f>
        <v>False</v>
      </c>
      <c r="CD115" s="25" t="str">
        <f t="shared" si="13"/>
        <v>False</v>
      </c>
      <c r="CE115" s="25" t="str">
        <f>IF(_xlfn.XLOOKUP(_xlfn.XLOOKUP(B115,'Base stats'!B:B,'Base stats'!E:E),Groups!A:A,Groups!AX:AX),"True","False")</f>
        <v>False</v>
      </c>
      <c r="CF115" s="25" t="str">
        <f>IF(_xlfn.XLOOKUP(_xlfn.XLOOKUP(B115,'Base stats'!B:B,'Base stats'!E:E),Groups!A:A,Groups!AY:AY),"True","False")</f>
        <v>False</v>
      </c>
      <c r="CG115" s="25" t="str">
        <f>IF(_xlfn.XLOOKUP(_xlfn.XLOOKUP(B115,'Base stats'!B:B,'Base stats'!E:E),Groups!A:A,Groups!AW:AW),"True","False")</f>
        <v>False</v>
      </c>
      <c r="CH115" s="25" t="str">
        <f>IF(
OR(
_xlfn.XLOOKUP(_xlfn.XLOOKUP(B115,'Base stats'!B:B,'Base stats'!E:E),Groups!A:A,Groups!AZ:AZ)=0,
AND(
_xlfn.XLOOKUP(B115,'Base stats'!B:B,'Base stats'!Y:Y)&lt;&gt;"Carnivore",
_xlfn.XLOOKUP(B115,'Base stats'!B:B,'Base stats'!Y:Y)&lt;&gt;"Omnivore",
_xlfn.XLOOKUP(B115,'Base stats'!B:B,'Base stats'!Y:Y)&lt;&gt;"OmnivoreRough"
)
),
"No",
IF(
_xlfn.XLOOKUP(_xlfn.XLOOKUP(B115,'Base stats'!B:B,'Base stats'!E:E),Groups!A:A,Groups!AZ:AZ)=1,
"Flesh",
IF(
_xlfn.XLOOKUP(_xlfn.XLOOKUP(B115,'Base stats'!B:B,'Base stats'!E:E),Groups!A:A,Groups!AZ:AZ)=2,
"Bone",
""
)
)
)</f>
        <v>No</v>
      </c>
      <c r="CI115" s="25" t="str">
        <f>IF(_xlfn.XLOOKUP(_xlfn.XLOOKUP(B115,'Base stats'!B:B,'Base stats'!E:E),Groups!A:A,Groups!BB:BB),"True","False")</f>
        <v>True</v>
      </c>
      <c r="CJ115" s="25" t="str">
        <f>IF(_xlfn.XLOOKUP(_xlfn.XLOOKUP(B115,'Base stats'!B:B,'Base stats'!E:E),Groups!A:A,Groups!BA:BA),"True","False")</f>
        <v>False</v>
      </c>
    </row>
    <row r="116" spans="1:88" s="16" customFormat="1" ht="16.5" thickTop="1" thickBot="1" x14ac:dyDescent="0.3">
      <c r="A116" s="26" t="str">
        <f>_xlfn.XLOOKUP(B116,'Base stats'!B:B,'Base stats'!A:A)</f>
        <v>Kangaroo</v>
      </c>
      <c r="B116" s="6" t="s">
        <v>600</v>
      </c>
      <c r="C116" s="28" t="s">
        <v>797</v>
      </c>
      <c r="D116" s="28" t="s">
        <v>872</v>
      </c>
      <c r="E116" s="28" t="s">
        <v>673</v>
      </c>
      <c r="F116" s="28" t="s">
        <v>673</v>
      </c>
      <c r="G116" s="28" t="s">
        <v>673</v>
      </c>
      <c r="H116" s="2">
        <f>MROUND((
  (IF(AND(_xlfn.XLOOKUP(B116,'Base stats'!B:B,'Base stats'!AL:AL)=0,BI116="None",_xlfn.XLOOKUP(_xlfn.XLOOKUP(B116,'Base stats'!B:B,'Base stats'!E:E),Groups!A:A,Groups!B:B)=0), (18 + BR116 * 2.7) * 0.5,
    IF(AND(_xlfn.XLOOKUP(B116,'Base stats'!B:B,'Base stats'!AL:AL)=0,OR(AO116&lt;0.55,AND(BI116="Intermediate",_xlfn.XLOOKUP(_xlfn.XLOOKUP(B116,'Base stats'!B:B,'Base stats'!E:E),Groups!A:A,Groups!B:B)&lt;2))), (18 + BR116 * 2.7),
      IF(OR(BI116="Advanced",_xlfn.XLOOKUP(B116,'Base stats'!B:B,'Base stats'!AL:AL)=1,_xlfn.XLOOKUP(_xlfn.XLOOKUP(B116,'Base stats'!B:B,'Base stats'!E:E),Groups!A:A,Groups!B:B)=2), (18 + BR116 * 2.7) + 250, (18 + BR116 * 2.7))
    )
  ))
  + AO116 * 80
  + IF(COUNTIF(EggMilk!K$2:K$998, A116) &gt; 0, 125, 0)
  + IF(COUNTIF(EggMilk!P$2:P$998, A116) &gt; 0, 90, 0)
  + IF(COUNTIF(EggMilk!A$2:A$998, A116) &gt; 0, 90, 0)
)
* (0.8 + 0.4 * J116)
* 0.75,25)</f>
        <v>250</v>
      </c>
      <c r="I116" s="2">
        <f>MROUND(ROUNDDOWN(_xlfn.XLOOKUP(B116,'Base stats'!B:B,'Base stats'!L:L)/3.6/(23.3/11),1),0.5)</f>
        <v>8.5</v>
      </c>
      <c r="J116" s="2">
        <f>IF(OR(_xlfn.XLOOKUP(B116,'Base stats'!B:B,'Base stats'!AB:AB)=1,_xlfn.XLOOKUP(_xlfn.XLOOKUP(B116,'Base stats'!B:B,'Base stats'!E:E),Groups!A:A,Groups!C:C)="Untamable"),1,IF(_xlfn.XLOOKUP(B116,'Base stats'!B:B,'Base stats'!AL:AL)=1,0.99,MIN(MROUND((1-0.6282*EXP(-0.459*AO116))*_xlfn.XLOOKUP(_xlfn.XLOOKUP(B116,'Base stats'!B:B,'Base stats'!E:E),Groups!A:A,Groups!C:C)*IF(_xlfn.XLOOKUP(B116,'Base stats'!B:B,'Base stats'!O:O)=1,0.5,IF(_xlfn.XLOOKUP(B116,'Base stats'!B:B,'Base stats'!O:O)=2,0,1)),0.05),IF(AO116&gt;3.5,0.985,0.95))))</f>
        <v>0.75</v>
      </c>
      <c r="K116" s="2">
        <f>ROUNDUP(AO116*_xlfn.XLOOKUP(_xlfn.XLOOKUP(B116,'Base stats'!B:B,'Base stats'!E:E),Groups!A:A,Groups!E:E),0)</f>
        <v>5</v>
      </c>
      <c r="L116" s="2">
        <f>IF(OR(_xlfn.XLOOKUP(_xlfn.XLOOKUP(B116,'Base stats'!B:B,'Base stats'!E:E),Groups!A:A,Groups!F:F)=2,ISNUMBER(SEARCH("SeaIce",BX116)),ISNUMBER(SEARCH("IceSheet",BX116))),-50,IF(OR(ISNUMBER(SEARCH("GlacialPlain",BX116)),ISNUMBER(SEARCH("Tundra",BX116))),-40,IF(OR(ISNUMBER(SEARCH("Alpine",BX116)),ISNUMBER(SEARCH("BorealForest",BX116)),ISNUMBER(SEARCH("ColdBog",BX116))),-30,IF(OR(ISNUMBER(SEARCH("TemperateForest",BX116)),ISNUMBER(SEARCH("TemperateSwamp",BX116))),-20,IF(_xlfn.XLOOKUP(_xlfn.XLOOKUP(B116,'Base stats'!B:B,'Base stats'!E:E),Groups!A:A,Groups!F:F)=1,-15,IF(OR(ISNUMBER(SEARCH("Desert",BX116)),ISNUMBER(SEARCH("ExtremeDesert",BX116))),-10,IF(OR(ISNUMBER(SEARCH("Grasslands",BX116)),ISNUMBER(SEARCH("TropicalRainforest",BX116)),ISNUMBER(SEARCH("TropicalSwamp",BX116))),10,0)))))))-IF(CC116="False",MIN(IFERROR(MAX(MROUND(LOG10(_xlfn.XLOOKUP(B116,'Base stats'!B:B,'Base stats'!C:C)^(2/3))*10,5),5),5),30))-_xlfn.XLOOKUP(B116,'Base stats'!B:B,'Base stats'!P:P)+IF(CC116="True",5,0)</f>
        <v>-20</v>
      </c>
      <c r="M116" s="2">
        <f>IF(OR(_xlfn.XLOOKUP(_xlfn.XLOOKUP(B116,'Base stats'!B:B,'Base stats'!E:E),Groups!A:A,Groups!G:G)=2,ISNUMBER(SEARCH("Desert",BX116)),ISNUMBER(SEARCH("ExtremeDesert",BX116)),ISNUMBER(SEARCH("LavaField",BX116))),50,IF(ISNUMBER(SEARCH("Grasslands",BX116)),45,IF(OR(_xlfn.XLOOKUP(_xlfn.XLOOKUP(B116,'Base stats'!B:B,'Base stats'!E:E),Groups!A:A,Groups!G:G)=1,ISNUMBER(SEARCH("TropicalRainforest",BX116)),ISNUMBER(SEARCH("TropicalSwamp",BX116))),40,IF(OR(ISNUMBER(SEARCH("TemperateForest",BX116)),ISNUMBER(SEARCH("TemperateSwamp",BX116))),35,IF(OR(ISNUMBER(SEARCH("Alpine",BX116)),ISNUMBER(SEARCH("BorealForest",BX116)),ISNUMBER(SEARCH("ColdBog",BX116))),30,IF(ISNUMBER(OR(ISNUMBER(SEARCH("GlacialPlain",BX116)),SEARCH("Tundra",BX116))),25,IF(OR(ISNUMBER(SEARCH("SeaIce",BX116)),ISNUMBER(SEARCH("IceSheet",BX116)),ISNUMBER(SEARCH("TropicalSwamp",BX116))),10,35)))))))+_xlfn.XLOOKUP(B116,'Base stats'!B:B,'Base stats'!Q:Q)</f>
        <v>50</v>
      </c>
      <c r="N116" s="8" t="str">
        <f>IF(
_xlfn.XLOOKUP(
_xlfn.XLOOKUP(B116,'Base stats'!B:B,'Base stats'!E:E),
Groups!A:A,
Groups!L:L
)=1,
MIN(
MROUND(
IF(
_xlfn.XLOOKUP(B116,'Animals CE'!B:B,'Animals CE'!Z:Z)&lt;=1.5,
_xlfn.XLOOKUP(B116,'Animals CE'!B:B,'Animals CE'!Z:Z)/2+0.05,
0.8+
(_xlfn.XLOOKUP(B116,'Animals CE'!B:B,'Animals CE'!Z:Z)-1.5)
*0.02
),
0.05
),
200%
),
"No"
)</f>
        <v>No</v>
      </c>
      <c r="O116" s="8" t="str">
        <f>IF(
_xlfn.XLOOKUP(
_xlfn.XLOOKUP(B116,'Base stats'!B:B,'Base stats'!E:E),
Groups!A:A,
Groups!L:L
)=1,
MIN(
MROUND(
IF(
_xlfn.XLOOKUP(B116,'Animals CE'!B:B,'Animals CE'!AA:AA)&lt;=1.5,
_xlfn.XLOOKUP(B116,'Animals CE'!B:B,'Animals CE'!AA:AA)/2+0.05,
0.8+
(_xlfn.XLOOKUP(B116,'Animals CE'!B:B,'Animals CE'!AA:AA)-1.5)
*0.02
),
0.05
),
200%
),
"No"
)</f>
        <v>No</v>
      </c>
      <c r="P116" s="2" t="str">
        <f>_xlfn.XLOOKUP(B116,'Base stats'!B:B,'Base stats'!R:R)</f>
        <v>Standard</v>
      </c>
      <c r="Q116" s="13">
        <f>MROUND((LOG10(_xlfn.XLOOKUP(B116,'Base stats'!B:B,'Base stats'!AR:AR))*(AO116^0.5)+(_xlfn.XLOOKUP(B116,'Base stats'!B:B,'Base stats'!AR:AR)/1000)^(2/3)+_xlfn.XLOOKUP(B116,'Base stats'!B:B,'Base stats'!BA:BA)/2)+0.5,0.5)</f>
        <v>6.5</v>
      </c>
      <c r="R116" s="7">
        <f>IF(Q116="No","No",MAX(1,MROUND(_xlfn.XLOOKUP(B116,'Base stats'!B:B,'Base stats'!C:C)^0.165,0.05)))</f>
        <v>1.9500000000000002</v>
      </c>
      <c r="S116" s="13">
        <f>IF(_xlfn.XLOOKUP(_xlfn.XLOOKUP(B116,'Base stats'!B:B,'Base stats'!E:E),Groups!A:A,Groups!P:P)=0,"No",MROUND((LOG10(_xlfn.XLOOKUP(B116,'Base stats'!B:B,'Base stats'!AS:AS))*(AO116^0.5)+(_xlfn.XLOOKUP(B116,'Base stats'!B:B,'Base stats'!AS:AS)/1000)^(2/3)+_xlfn.XLOOKUP(B116,'Base stats'!B:B,'Base stats'!BA:BA))+_xlfn.XLOOKUP(B116,'Base stats'!B:B,'Base stats'!AY:AY)+0.5,0.5))</f>
        <v>10.5</v>
      </c>
      <c r="T116" s="7">
        <f>IF(S116="No","No",MAX(_xlfn.XLOOKUP(_xlfn.XLOOKUP(B116,'Base stats'!B:B,'Base stats'!E:E),Groups!A:A,Groups!Q:Q),MROUND(_xlfn.XLOOKUP(_xlfn.XLOOKUP(B116,'Base stats'!B:B,'Base stats'!E:E),Groups!A:A,Groups!Q:Q)*_xlfn.XLOOKUP(B116,'Base stats'!B:B,'Base stats'!C:C)^0.165,0.05)))</f>
        <v>1.9500000000000002</v>
      </c>
      <c r="U116" s="7" t="str">
        <f>IF(S116="No","No",_xlfn.XLOOKUP(_xlfn.XLOOKUP(B116,'Base stats'!B:B,'Base stats'!E:E),Groups!A:A,Groups!R:R))</f>
        <v xml:space="preserve">RearLeftClaws, RearRightClaws	</v>
      </c>
      <c r="V116" s="7" t="str">
        <f>IF(S116="No","No",_xlfn.XLOOKUP(_xlfn.XLOOKUP(B116,'Base stats'!B:B,'Base stats'!E:E),Groups!A:A,Groups!S:S))</f>
        <v>left claw, rear  right claw</v>
      </c>
      <c r="W116" s="7" t="str">
        <f>IF(S116="No","No",_xlfn.XLOOKUP(_xlfn.XLOOKUP(B116,'Base stats'!B:B,'Base stats'!E:E),Groups!A:A,Groups!T:T))</f>
        <v>Scratch</v>
      </c>
      <c r="X116" s="13" t="str">
        <f>IF(_xlfn.XLOOKUP(B116,'Base stats'!B:B,'Base stats'!W:W)="No","No",MROUND((LOG10(_xlfn.XLOOKUP(B116,'Base stats'!B:B,'Base stats'!AU:AU))*(AO116^0.5)+(_xlfn.XLOOKUP(B116,'Base stats'!B:B,'Base stats'!AU:AU)/1000)^(2/3)+_xlfn.XLOOKUP(B116,'Base stats'!B:B,'Base stats'!AZ:AZ))+0.5+IF(_xlfn.XLOOKUP(_xlfn.XLOOKUP(B116,'Base stats'!B:B,'Base stats'!E:E),Groups!A:A,Groups!U:U)&lt;&gt;3,_xlfn.XLOOKUP(B116,'Base stats'!B:B,'Base stats'!BA:BA),0),0.5))</f>
        <v>No</v>
      </c>
      <c r="Y116" s="7" t="str">
        <f>IF(X116="No","No",MAX(_xlfn.XLOOKUP(_xlfn.XLOOKUP(B116,'Base stats'!B:B,'Base stats'!E:E),Groups!A:A,Groups!V:V),MROUND(_xlfn.XLOOKUP(_xlfn.XLOOKUP(B116,'Base stats'!B:B,'Base stats'!E:E),Groups!A:A,Groups!V:V)*_xlfn.XLOOKUP(B116,'Base stats'!B:B,'Base stats'!C:C)^0.165,0.05)))</f>
        <v>No</v>
      </c>
      <c r="Z116" s="7" t="str">
        <f>IF(X116="No","No",_xlfn.XLOOKUP(_xlfn.XLOOKUP(B116,'Base stats'!B:B,'Base stats'!E:E),Groups!A:A,Groups!W:W))</f>
        <v>No</v>
      </c>
      <c r="AA116" s="7" t="str">
        <f>IF(X116="No","No",_xlfn.XLOOKUP(_xlfn.XLOOKUP(B116,'Base stats'!B:B,'Base stats'!E:E),Groups!A:A,Groups!X:X))</f>
        <v>No</v>
      </c>
      <c r="AB116" s="7" t="str">
        <f>IF(X116="No","No",_xlfn.XLOOKUP(_xlfn.XLOOKUP(B116,'Base stats'!B:B,'Base stats'!E:E),Groups!A:A,Groups!Y:Y))</f>
        <v>No</v>
      </c>
      <c r="AC116" s="7" t="str">
        <f>_xlfn.XLOOKUP(Animals!B116,'Base stats'!B:B,'Base stats'!X:X)</f>
        <v>False</v>
      </c>
      <c r="AD116" s="13" t="str">
        <f>IF(_xlfn.XLOOKUP(B116,'Base stats'!B:B,'Base stats'!AT:AT)="No","No",MROUND((LOG10(_xlfn.XLOOKUP(B116,'Base stats'!B:B,'Base stats'!AT:AT))*(AO116^0.75)+(_xlfn.XLOOKUP(B116,'Base stats'!B:B,'Base stats'!AT:AT)/1000)^(2/3)+_xlfn.XLOOKUP(B116,'Base stats'!B:B,'Base stats'!AX:AX)+_xlfn.XLOOKUP(B116,'Base stats'!B:B,'Base stats'!BA:BA))+0.5,0.5))</f>
        <v>No</v>
      </c>
      <c r="AE116" s="7" t="str">
        <f>IF(AD116="No","No",MAX(_xlfn.XLOOKUP(_xlfn.XLOOKUP(B116,'Base stats'!B:B,'Base stats'!E:E),Groups!A:A,Groups!Z:Z),MROUND(_xlfn.XLOOKUP(_xlfn.XLOOKUP(B116,'Base stats'!B:B,'Base stats'!E:E),Groups!A:A,Groups!Z:Z)*_xlfn.XLOOKUP(B116,'Base stats'!B:B,'Base stats'!C:C)^0.165,0.05)))</f>
        <v>No</v>
      </c>
      <c r="AF116" s="7" t="str">
        <f>IF(AD116="No","No",_xlfn.XLOOKUP(_xlfn.XLOOKUP(B116,'Base stats'!B:B,'Base stats'!E:E),Groups!A:A,Groups!AA:AA))</f>
        <v>No</v>
      </c>
      <c r="AG116" s="7" t="str">
        <f>IF(AD116="No","No",_xlfn.XLOOKUP(_xlfn.XLOOKUP(B116,'Base stats'!B:B,'Base stats'!E:E),Groups!A:A,Groups!AB:AB))</f>
        <v>No</v>
      </c>
      <c r="AH116" s="7" t="str">
        <f>IF(AD116="No","No",_xlfn.XLOOKUP(_xlfn.XLOOKUP(B116,'Base stats'!B:B,'Base stats'!E:E),Groups!A:A,Groups!AC:AC))</f>
        <v>No</v>
      </c>
      <c r="AI116" s="13" t="str">
        <f>IF(_xlfn.XLOOKUP(_xlfn.XLOOKUP(B116,'Base stats'!B:B,'Base stats'!E:E),Groups!A:A,Groups!AD:AD)=0,"No",MROUND((LOG10(_xlfn.XLOOKUP(B116,'Base stats'!B:B,'Base stats'!AS:AS))*(AO116^0.75)+(_xlfn.XLOOKUP(B116,'Base stats'!B:B,'Base stats'!AS:AS)/1000)^(2/3)+_xlfn.XLOOKUP(B116,'Base stats'!B:B,'Base stats'!AY:AY)+_xlfn.XLOOKUP(B116,'Base stats'!B:B,'Base stats'!BA:BA))+0.5,0.5))</f>
        <v>No</v>
      </c>
      <c r="AJ116" s="7" t="str">
        <f>IF(AI116="No","No",MAX(_xlfn.XLOOKUP(_xlfn.XLOOKUP(B116,'Base stats'!B:B,'Base stats'!E:E),Groups!A:A,Groups!AE:AE),MROUND(_xlfn.XLOOKUP(_xlfn.XLOOKUP(B116,'Base stats'!B:B,'Base stats'!E:E),Groups!A:A,Groups!AE:AE)*IF(_xlfn.XLOOKUP(_xlfn.XLOOKUP(B116,'Base stats'!B:B,'Base stats'!E:E),Groups!A:A,Groups!AJ:AJ)="Photonozoa",0.6,1)*_xlfn.XLOOKUP(B116,'Base stats'!B:B,'Base stats'!C:C)^0.165,0.05)))</f>
        <v>No</v>
      </c>
      <c r="AK116" s="7" t="str">
        <f>IF(AI116="No","No",_xlfn.XLOOKUP(_xlfn.XLOOKUP(B116,'Base stats'!B:B,'Base stats'!E:E),Groups!A:A,Groups!AF:AF))</f>
        <v>No</v>
      </c>
      <c r="AL116" s="7" t="str">
        <f>IF(AI116="No","No",_xlfn.XLOOKUP(_xlfn.XLOOKUP(B116,'Base stats'!B:B,'Base stats'!E:E),Groups!A:A,Groups!AG:AG))</f>
        <v>No</v>
      </c>
      <c r="AM116" s="7" t="str">
        <f>IF(AI116="No","No",_xlfn.XLOOKUP(_xlfn.XLOOKUP(B116,'Base stats'!B:B,'Base stats'!E:E),Groups!A:A,Groups!AH:AH))</f>
        <v>No</v>
      </c>
      <c r="AN116" s="2" t="str">
        <f t="shared" si="7"/>
        <v>No</v>
      </c>
      <c r="AO116" s="2">
        <f>MROUND(IF(AND(_xlfn.XLOOKUP(B116,'Base stats'!B:B,'Base stats'!C:C)&gt;=0.5,_xlfn.XLOOKUP(B116,'Base stats'!B:B,'Base stats'!C:C)&lt;=0.8),
IF(_xlfn.XLOOKUP(B116,'Base stats'!B:B,'Base stats'!C:C)&lt;0.1,0.05,IF(_xlfn.XLOOKUP(B116,'Base stats'!B:B,'Base stats'!C:C)&lt;=70,(_xlfn.XLOOKUP(B116,'Base stats'!B:B,'Base stats'!C:C)/70)^0.426489913056526,IF(_xlfn.XLOOKUP(B116,'Base stats'!B:B,'Base stats'!C:C)&lt;=400,(_xlfn.XLOOKUP(B116,'Base stats'!B:B,'Base stats'!C:C)/70)^0.572811455315093,IF(_xlfn.XLOOKUP(B116,'Base stats'!B:B,'Base stats'!C:C)&lt;=2000,2.71391647193063*(_xlfn.XLOOKUP(B116,'Base stats'!B:B,'Base stats'!C:C)/400)^0.252459582904293,3.74314280240376*(_xlfn.XLOOKUP(B116,'Base stats'!B:B,'Base stats'!C:C)/2000)^0.357012633876913)))),
IF(_xlfn.XLOOKUP(B116,'Base stats'!B:B,'Base stats'!C:C)&lt;0.1,0.05,IF(_xlfn.XLOOKUP(B116,'Base stats'!B:B,'Base stats'!C:C)&lt;0.4,0.1,IF(_xlfn.XLOOKUP(B116,'Base stats'!B:B,'Base stats'!C:C)&lt;=70,(_xlfn.XLOOKUP(B116,'Base stats'!B:B,'Base stats'!C:C)/70)^0.445823913056526,IF(_xlfn.XLOOKUP(B116,'Base stats'!B:B,'Base stats'!C:C)&lt;=400,(_xlfn.XLOOKUP(B116,'Base stats'!B:B,'Base stats'!C:C)/70)^0.572811455315093,IF(_xlfn.XLOOKUP(B116,'Base stats'!B:B,'Base stats'!C:C)&lt;=2000,2.71391647193063*(_xlfn.XLOOKUP(B116,'Base stats'!B:B,'Base stats'!C:C)/400)^0.252459582904293,3.74314280240376*(_xlfn.XLOOKUP(B116,'Base stats'!B:B,'Base stats'!C:C)/2000)^0.357012633876913)))))),
IF(_xlfn.XLOOKUP(B116,'Base stats'!B:B,'Base stats'!C:C)&lt;0.1,0.05,IF(_xlfn.XLOOKUP(B116,'Base stats'!B:B,'Base stats'!C:C)&lt;=100,0.05,IF(_xlfn.XLOOKUP(B116,'Base stats'!B:B,'Base stats'!C:C)&lt;=250,0.1,IF(_xlfn.XLOOKUP(B116,'Base stats'!B:B,'Base stats'!C:C)&lt;=4000,0.25,0.5)))))</f>
        <v>0.9</v>
      </c>
      <c r="AP116" s="8">
        <f>MROUND(AO116*_xlfn.XLOOKUP(_xlfn.XLOOKUP(B116,'Base stats'!B:B,'Base stats'!E:E),Groups!A:A,Groups!AI:AI)*_xlfn.XLOOKUP(B116,'Base stats'!B:B,'Base stats'!Z:Z),0.05)</f>
        <v>0.9</v>
      </c>
      <c r="AQ116" s="8">
        <f>MAX(0.01,MROUND(IF(CC116="True",0.196*(AO116*100*1000)^0.889,IF(_xlfn.XLOOKUP(_xlfn.XLOOKUP(B116,'Base stats'!B:B,'Base stats'!E:E),Groups!A:A,Groups!AJ:AJ)="Bird",10.5*(AO116*100*1000)^0.681,4.82*(AO116*100*1000)^0.734))/(4.82*(1*100*1000)^0.734)/IF(AO116&lt;3.5,2,IF(AO116=3.5,1.5,1.25))*(1+0.132282374779864/(AO116^0.994035016789033+0.00905238001496948)),0.05))</f>
        <v>0.55000000000000004</v>
      </c>
      <c r="AR116" s="9">
        <f>IFERROR(MROUND(_xlfn.XLOOKUP(B116,'Base stats'!B:B,'Base stats'!H:H)/IF(_xlfn.XLOOKUP(B116,'Base stats'!B:B,'Base stats'!I:I)&lt;&gt;1,(122.5/70),1.2),IF(_xlfn.XLOOKUP(B116,'Base stats'!B:B,'Base stats'!H:H)&gt;=30,5,IF(_xlfn.XLOOKUP(B116,'Base stats'!B:B,'Base stats'!H:H)&gt;=15,3,IF(_xlfn.XLOOKUP(B116,'Base stats'!B:B,'Base stats'!H:H)&gt;=10,2,1)))),"Immortal")</f>
        <v>15</v>
      </c>
      <c r="AS116" s="35">
        <f>IFERROR(IF(OR(_xlfn.XLOOKUP(B116,'Base stats'!B:B,'Base stats'!F:F)="Atypical reproduction",_xlfn.XLOOKUP(B116,'Base stats'!B:B,'Base stats'!F:F)="Lay eggs"),"Lay eggs",MIN(20,MAX(5.5,ROUND(((_xlfn.XLOOKUP(B116,'Base stats'!B:B,'Base stats'!F:F)-25)*(14.5/615) + 5.5)*2,0)/2))),"Unknown")</f>
        <v>5.5</v>
      </c>
      <c r="AT116" s="8">
        <f>IF(_xlfn.XLOOKUP(B116,'Base stats'!B:B,'Base stats'!G:G)="Atypical reproduction","No",IFERROR(MAX(IF(_xlfn.XLOOKUP(B116,'Base stats'!B:B,'Base stats'!G:G)&lt;0.5,0.2,0.3),MROUND(_xlfn.XLOOKUP(B116,'Base stats'!B:B,'Base stats'!G:G)/(365/60),0.2)),"Unknown"))</f>
        <v>0.3</v>
      </c>
      <c r="AU116" s="8">
        <f t="shared" si="8"/>
        <v>0.15000000000000002</v>
      </c>
      <c r="AV116" s="8">
        <f>IFERROR(IFERROR(MROUND(_xlfn.XLOOKUP(B116,'Base stats'!B:B,'Base stats'!J:J),0.1),"Lay eggs"),"Cannot breed")</f>
        <v>1</v>
      </c>
      <c r="AW116" s="2" t="str">
        <f t="shared" si="9"/>
        <v>true</v>
      </c>
      <c r="AX116" s="2" t="str">
        <f>IF(_xlfn.XLOOKUP(_xlfn.XLOOKUP(Animals!B116,'Base stats'!B:B,'Base stats'!E:E),Groups!A:A,Groups!AK:AK)=1,"true","false")</f>
        <v>true</v>
      </c>
      <c r="AY116" s="25" t="str">
        <f>IF(_xlfn.XLOOKUP(B116,'Base stats'!B:B,'Base stats'!Y:Y)="Liquor","Liquor, CarnivoreAnimalStrict",IF(AND(_xlfn.XLOOKUP(B116,'Base stats'!B:B,'Base stats'!Y:Y)="Carnivore",_xlfn.XLOOKUP(_xlfn.XLOOKUP(B116,'Base stats'!B:B,'Base stats'!E:E),Groups!A:A,Groups!AJ:AJ)="Photonozoa"),"CarnivoreAnimalStrict, OvivoreAnimal",IF(_xlfn.XLOOKUP(B116,'Base stats'!B:B,'Base stats'!Y:Y)="Carnivore","CarnivoreAnimal, OvivoreAnimal",IF(_xlfn.XLOOKUP(B116,'Base stats'!B:B,'Base stats'!Y:Y)="Dendrovore","VegetarianRoughAnimal, DendrovoreAnimal",IF(_xlfn.XLOOKUP(B116,'Base stats'!B:B,'Base stats'!Y:Y)="Herbivore","VegetarianRoughAnimal",IF(_xlfn.XLOOKUP(B116,'Base stats'!B:B,'Base stats'!Y:Y)="OmnivoreRough","OmnivoreRoughAnimal, OvivoreAnimal","OmnivoreAnimal, OvivoreAnimal"))))))</f>
        <v>VegetarianRoughAnimal</v>
      </c>
      <c r="AZ116" s="2">
        <f>IF(_xlfn.XLOOKUP(_xlfn.XLOOKUP(B116,'Base stats'!B:B,'Base stats'!E:E),Groups!A:A,Groups!D:D)=1,MROUND((1-J116)*5+1,2)*IF(J116&lt;=0.4,2,1),"No")</f>
        <v>2</v>
      </c>
      <c r="BA116" s="2" t="str">
        <f>IF(AND(_xlfn.XLOOKUP(B116,'Base stats'!B:B,'Base stats'!AH:AH)="&lt;li&gt;Seal&lt;/li&gt;",G116="Odyssey"),"&lt;li&gt;AEXP_Seal&lt;/li&gt;",_xlfn.XLOOKUP(B116,'Base stats'!B:B,'Base stats'!AH:AH))</f>
        <v>No</v>
      </c>
      <c r="BB116" s="2" t="str">
        <f>_xlfn.XLOOKUP(B116,'Base stats'!B:B,'Base stats'!AG:AG)</f>
        <v>Leather_Plain</v>
      </c>
      <c r="BC116" s="23" t="str">
        <f>_xlfn.XLOOKUP(_xlfn.XLOOKUP(B116,'Base stats'!B:B,'Base stats'!E:E),Groups!A:A,Groups!AL:AL)</f>
        <v>BipedalAnimalWithPawsClawsAndTail</v>
      </c>
      <c r="BD116" s="23">
        <f>MIN(1,MROUND(IF(AND(AO116&lt;0.5,_xlfn.XLOOKUP(B116,'Base stats'!B:B,'Base stats'!AA:AA)=0),0,IF(OR(_xlfn.XLOOKUP(Animals!B116,'Base stats'!B:B,'Base stats'!O:O)=2,_xlfn.XLOOKUP(_xlfn.XLOOKUP(B116,'Base stats'!B:B,'Base stats'!E:E),Groups!A:A,Groups!AN:AN)=0),0,_xlfn.XLOOKUP(_xlfn.XLOOKUP(B116,'Base stats'!B:B,'Base stats'!E:E),Groups!A:A,Groups!AN:AN)/IF(_xlfn.XLOOKUP(Animals!B116,'Base stats'!B:B,'Base stats'!O:O)=1,2,1)))+_xlfn.XLOOKUP(B116,'Base stats'!B:B,'Base stats'!AC:AC),0.005))</f>
        <v>0</v>
      </c>
      <c r="BE116" s="23">
        <f>MIN(1,MROUND(IF(AND(AO116&lt;0.5,_xlfn.XLOOKUP(B116,'Base stats'!B:B,'Base stats'!AA:AA)=0),0,IF(_xlfn.XLOOKUP(_xlfn.XLOOKUP(B116,'Base stats'!B:B,'Base stats'!E:E),Groups!A:A,Groups!AO:AO)=0,0,_xlfn.XLOOKUP(_xlfn.XLOOKUP(B116,'Base stats'!B:B,'Base stats'!E:E),Groups!A:A,Groups!AO:AO)/IF(_xlfn.XLOOKUP(Animals!B116,'Base stats'!B:B,'Base stats'!O:O)=2,3,1)))+_xlfn.XLOOKUP(B116,'Base stats'!B:B,'Base stats'!AD:AD),0.005))</f>
        <v>0</v>
      </c>
      <c r="BF116" s="2" t="str">
        <f>IF(J116&gt;0.3,"No",_xlfn.XLOOKUP(_xlfn.XLOOKUP(Animals!B116,'Base stats'!B:B,'Base stats'!E:E),Groups!A:A,Groups!AP:AP))</f>
        <v>No</v>
      </c>
      <c r="BG116" s="2" t="str">
        <f>IF(AND(J116&lt;=0.65,_xlfn.XLOOKUP(_xlfn.XLOOKUP(Animals!B116,'Base stats'!B:B,'Base stats'!E:E),Groups!A:A,Groups!AP:AP)&lt;&gt;"No",_xlfn.XLOOKUP(_xlfn.XLOOKUP(B116,'Base stats'!B:B,'Base stats'!E:E),Groups!A:A,Groups!D:D)=0),MROUND((80/3)*IF(_xlfn.XLOOKUP(B116,'Base stats'!B:B,'Base stats'!O:O)=2,0.2,AO116) + 24*(1-IF(BF116="No",0,BF116)) + 16/3, 12),"No")</f>
        <v>No</v>
      </c>
      <c r="BH116" s="2">
        <f>IF(AND(_xlfn.XLOOKUP(_xlfn.XLOOKUP(B116,'Base stats'!B:B,'Base stats'!E:E),Groups!A:A,Groups!AQ:AQ)=1,AO116&lt;=0.35),8,12)</f>
        <v>12</v>
      </c>
      <c r="BI116" s="2" t="str">
        <f>IF(_xlfn.XLOOKUP(_xlfn.XLOOKUP(B116,'Base stats'!B:B,'Base stats'!E:E),Groups!A:A,Groups!D:D)=0,_xlfn.XLOOKUP(_xlfn.XLOOKUP(B116,'Base stats'!B:B,'Base stats'!E:E),Groups!A:A,Groups!AR:AR),"None")</f>
        <v>None</v>
      </c>
      <c r="BJ116" s="2" t="str">
        <f>IF(AND(_xlfn.XLOOKUP(_xlfn.XLOOKUP(B116,'Base stats'!B:B,'Base stats'!E:E),Groups!A:A,Groups!AS:AS)=1,OR(_xlfn.XLOOKUP(B116,'Base stats'!B:B,'Base stats'!Y:Y)="Carnivore",_xlfn.XLOOKUP(B116,'Base stats'!B:B,'Base stats'!Y:Y)="Omnivore")),"true","false")</f>
        <v>false</v>
      </c>
      <c r="BK116" s="2" t="str">
        <f>IF(BJ116="true",MROUND(IF(AND(AO116&gt;0.5,OR(_xlfn.XLOOKUP(_xlfn.XLOOKUP(B116,'Base stats'!B:B,'Base stats'!E:E),Groups!A:A,Groups!AJ:AJ)="Photonozoa",_xlfn.XLOOKUP(_xlfn.XLOOKUP(B116,'Base stats'!B:B,'Base stats'!E:E),Groups!A:A,Groups!AJ:AJ)="Mammal")),Animals!AO116*1.75*IF(AW116="true",1.5,1),IF(AO116&lt;0.5,Animals!AO116*0.5,Animals!AO116)),IF(AO116&gt;2,0.5,IF(AO116&gt;0.5,0.25,0.1))),"No")</f>
        <v>No</v>
      </c>
      <c r="BL116" s="2">
        <f t="shared" si="10"/>
        <v>0</v>
      </c>
      <c r="BM116" s="25" t="str">
        <f>IF(_xlfn.XLOOKUP(B116,'Base stats'!B:B,'Base stats'!AN:AN)="Standard","No",MROUND((_xlfn.XLOOKUP(B116,'Base stats'!B:B,'Base stats'!AN:AN)/3.6)/I116,0.1))</f>
        <v>No</v>
      </c>
      <c r="BN116" s="25" t="str">
        <f t="shared" si="11"/>
        <v>false</v>
      </c>
      <c r="BO116" s="25" t="str">
        <f>IF(AND(OR(_xlfn.XLOOKUP(B116,'Base stats'!B:B,'Base stats'!Y:Y)="Carnivore",_xlfn.XLOOKUP(B116,'Base stats'!B:B,'Base stats'!Y:Y)="Omnivore",_xlfn.XLOOKUP(B116,'Base stats'!B:B,'Base stats'!Y:Y)="OmnivoreRough"),_xlfn.XLOOKUP(_xlfn.XLOOKUP(B116,'Base stats'!B:B,'Base stats'!E:E),Groups!A:A,Groups!AT:AT)=1),"true","false")</f>
        <v>false</v>
      </c>
      <c r="BP116" s="25" t="str" cm="1">
        <f t="array" ref="BP116">IF(
  _xlfn.TEXTJOIN(", ",TRUE,
    IF(AND(BJ116="true",AO116&gt;0.5,BI116&lt;&gt;"None"),"AttackTarget",""),
    IF(AND(_xlfn.XLOOKUP(_xlfn.XLOOKUP(B116,'Base stats'!B:B,'Base stats'!E:E),Groups!A:A,Groups!AJ:AJ="Mammal"),OR(_xlfn.XLOOKUP(B116,'Base stats'!B:B,'Base stats'!Y:Y)="Omnivore",_xlfn.XLOOKUP(B116,'Base stats'!B:B,'Base stats'!Y:Y)="OmnivoreRough")),"Forage",""),
    IF(BG116&lt;=36,"Comfort",""),
    IF(_xlfn.XLOOKUP(B116,'Base stats'!B:B,'Base stats'!AE:AE)&lt;&gt;"No",_xlfn.XLOOKUP(B116,'Base stats'!B:B,'Base stats'!AE:AE),"")
  ) = "",
  "No",
  _xlfn.TEXTJOIN(", ",TRUE,
    IF(AND(BJ116="true",AO116&gt;0.5,BI116&lt;&gt;"None"),"AttackTarget",""),
    IF(AND(_xlfn.XLOOKUP(_xlfn.XLOOKUP(B116,'Base stats'!B:B,'Base stats'!E:E),Groups!A:A,Groups!AJ:AJ="Mammal"),OR(_xlfn.XLOOKUP(B116,'Base stats'!B:B,'Base stats'!Y:Y)="Omnivore",_xlfn.XLOOKUP(B116,'Base stats'!B:B,'Base stats'!Y:Y)="OmnivoreRough")),"Forage",""),
    IF(BG116&lt;=36,"Comfort",""),
    IF(_xlfn.XLOOKUP(B116,'Base stats'!B:B,'Base stats'!AE:AE)&lt;&gt;"No",_xlfn.XLOOKUP(B116,'Base stats'!B:B,'Base stats'!AE:AE),"")
  )
)</f>
        <v>No</v>
      </c>
      <c r="BQ116" s="25" t="str">
        <f>IF(
   AND(
      'Base stats'!AN116="Standard",_xlfn.XLOOKUP(_xlfn.XLOOKUP(B116,'Base stats'!B:B,'Base stats'!E:E),Groups!A:A,Groups!AU:AU)=0,
      OR(
      BO116="True"
      )
   ),
   10,
   IF(
       OR(BM116&lt;&gt;"No",_xlfn.XLOOKUP(_xlfn.XLOOKUP(B116,'Base stats'!B:B,'Base stats'!E:E),Groups!A:A,Groups!AU:AU)=1),
      1,
      "No"
   )
)</f>
        <v>No</v>
      </c>
      <c r="BR116" s="9">
        <f>MROUND((1 + ((0.2*IF(OR(Q116="No",R116="No",R116=0),0,Q116/R116)
+IF(OR(V116="No",S116="No",T116="No"),0,S116/T116*(LEN(V116)-LEN(SUBSTITUTE(V116,",",""))+1))
+IF(OR(X116="No",Y116="No"),0,X116/Y116)
+IF(OR(AD116="No",AE116="No"),0,AD116/AE116)
+IF(OR(AL116="No",AI116="No",AJ116="No"),0,AI116/AJ116*(LEN(AL116)-LEN(SUBSTITUTE(AL116,",",""))+1))
)/(0.2*IF(OR(Q116="No",R116="No",R116=0),0,1)
+IF(OR(V116="No",S116="No",T116="No"),0,LEN(V116)-LEN(SUBSTITUTE(V116,",",""))+1)
+IF(OR(X116="No",Y116="No"),0,1)
+IF(OR(AD116="No",AE116="No"),0,1)
+IF(OR(AL116="No",AI116="No",AJ116="No"),0,LEN(AL116)-LEN(SUBSTITUTE(AL116,",",""))+1))*62%)* 2)*(1 + (AP116 / (IF(_xlfn.XLOOKUP(_xlfn.XLOOKUP(B116,'Base stats'!B:B,'Base stats'!E:E),Groups!A:A,Groups!AJ:AJ)="Photonozoa",0.3,1)) + _xlfn.XLOOKUP(B116,'Base stats'!B:B,'Base stats'!AV:AV) * 1.8) * 2) * 2.5 + 10 + I116 * 2,5)+IF(_xlfn.XLOOKUP(B116,'Base stats'!B:B,'Base stats'!AK:AK)=1,50,0)</f>
        <v>80</v>
      </c>
      <c r="BS116" s="8">
        <f t="shared" si="12"/>
        <v>0.60000000000000009</v>
      </c>
      <c r="BT116" s="8" t="str">
        <f>_xlfn.XLOOKUP(B116,'Base stats'!B:B,'Base stats'!AF:AF)</f>
        <v>3~10</v>
      </c>
      <c r="BU116" s="2" t="str">
        <f>IF(AND(J116&lt;=0.95,OR(_xlfn.XLOOKUP(B116,'Base stats'!B:B,'Base stats'!AK:AK)=1,_xlfn.XLOOKUP(B116,'Base stats'!B:B,'Base stats'!Y:Y)="Carnivore",_xlfn.XLOOKUP(B116,'Base stats'!B:B,'Base stats'!Y:Y)="Omnivore",BE116&gt;0.1)),"true","false")</f>
        <v>false</v>
      </c>
      <c r="BV116" s="2" t="str">
        <f>IF(_xlfn.XLOOKUP(B116,'Base stats'!B:B,'Base stats'!AI:AI)=1,"true","false")</f>
        <v>false</v>
      </c>
      <c r="BW116" s="25" t="str">
        <f>IF(E116="BaseInsect","AnimalInsect",
IF(J116&gt;0.95,"AnimalExotic",
_xlfn.TEXTJOIN(", ",TRUE,
IF(OR(_xlfn.XLOOKUP(B116,'Base stats'!B:B,'Base stats'!AM:AM)=1,AND(_xlfn.XLOOKUP(B116,'Base stats'!B:B,'Base stats'!O:O)=0,_xlfn.XLOOKUP(_xlfn.XLOOKUP(B116,'Base stats'!B:B,'Base stats'!E:E),Groups!A:A,Groups!B:B)&gt;0)),"AnimalUncommon","AnimalCommon"),
IF(AND(_xlfn.XLOOKUP(B116,'Base stats'!B:B,'Base stats'!O:O)=2,_xlfn.XLOOKUP(_xlfn.XLOOKUP(B116,'Base stats'!B:B,'Base stats'!E:E),Groups!A:A,Groups!D:D)=0),"AnimalPet",IF(AND(_xlfn.XLOOKUP(B116,'Base stats'!B:B,'Base stats'!O:O)&lt;&gt;0,_xlfn.XLOOKUP(_xlfn.XLOOKUP(B116,'Base stats'!B:B,'Base stats'!E:E),Groups!A:A,Groups!D:D)&lt;&gt;0),"AnimalFarm","")),
IF(OR(_xlfn.XLOOKUP(B116,'Base stats'!B:B,'Base stats'!AK:AK)=1,AND(BI116&lt;&gt;"None",BR116&gt;=60),ISNUMBER(SEARCH("Attack target",BP116))),"AnimalFighter","")
)))</f>
        <v>AnimalUncommon</v>
      </c>
      <c r="BX116" s="25" t="str">
        <f>IF(G116="None",TRIM(
SUBSTITUTE(
IF(COUNTIF(Biomes!B$2:B$259,"="&amp;$C116)&gt;0,Biomes!B$1&amp;", ","")&amp;
IF(COUNTIF(Biomes!C$2:C$259,"="&amp;$C116)&gt;0,Biomes!C$1&amp;", ","")&amp;
IF(COUNTIF(Biomes!D$2:D$259,"="&amp;$C116)&gt;0,Biomes!D$1&amp;", ","")&amp;
IF(COUNTIF(Biomes!F$2:F$259,"="&amp;$C116)&gt;0,Biomes!F$1&amp;", ","")&amp;
IF(COUNTIF(Biomes!G$2:G$259,"="&amp;$C116)&gt;0,Biomes!G$1&amp;", ","")&amp;
IF(COUNTIF(Biomes!H$2:H$259,"="&amp;$C116)&gt;0,Biomes!H$1&amp;", ","")&amp;
IF(COUNTIF(Biomes!I$2:I$259,"="&amp;$C116)&gt;0,Biomes!I$1&amp;", ","")&amp;
IF(COUNTIF(Biomes!J$2:J$259,"="&amp;$C116)&gt;0,Biomes!J$1&amp;", ","")&amp;
IF(COUNTIF(Biomes!M$2:M$259,"="&amp;$C116)&gt;0,Biomes!M$1&amp;", ","")&amp;
IF(COUNTIF(Biomes!N$2:N$259,"="&amp;$C116)&gt;0,Biomes!N$1&amp;", ","")&amp;
IF(COUNTIF(Biomes!O$2:O$259,"="&amp;$C116)&gt;0,Biomes!O$1&amp;", ","")&amp;
IF(COUNTIF(Biomes!P$2:P$259,"="&amp;$C116)&gt;0,Biomes!P$1&amp;", ","")&amp;
IF(COUNTIF(Biomes!K$2:K$259,"="&amp;$C116)&gt;0,Biomes!K$1&amp;", ","")&amp;
IF(COUNTIF(Biomes!Q$3:Q$259,"="&amp;$C116)&gt;0,Biomes!Q$1&amp;", ","")&amp;
IF(COUNTIF(Biomes!L$2:L$259,"="&amp;$C116)&gt;0,Biomes!L$1&amp;", ","")&amp;
IF(COUNTIF(Biomes!E$2:E$259,"="&amp;$C116)&gt;0,Biomes!E$1&amp;", ","")&amp;IF(COUNTIF(Biomes!S$2:S$259,"="&amp;$C116)&gt;0,Biomes!S$1&amp;", ","")&amp;
IF(COUNTIF(Biomes!R$2:R$259,"="&amp;$C116)&gt;0,Biomes!R$1&amp;", ",""),", ","")
),_xlfn.XLOOKUP(B116,B:B,BX:BX))</f>
        <v>AridShrubland Desert ExtremeDesert Grasslands LavaField</v>
      </c>
      <c r="BY116" s="25" t="str">
        <f>IF(_xlfn.XLOOKUP(B116,'Base stats'!B:B,'Base stats'!AJ:AJ)=1,"true","false")</f>
        <v>false</v>
      </c>
      <c r="BZ116" s="25">
        <f>IF(_xlfn.XLOOKUP(B116,'Base stats'!B:B,'Base stats'!N:N)=1,"No",MAX(0.001,MIN(MROUND(IF(AND(BJ116="True",CC116="False"),POWER(10,3.47*LOG10(_xlfn.XLOOKUP(B116,'Base stats'!B:B,'Base stats'!C:C)*1000)^-0.96),POWER(10,4.15*LOG10(_xlfn.XLOOKUP(B116,'Base stats'!B:B,'Base stats'!C:C)*1000)^-0.73))*IF(_xlfn.XLOOKUP(B116,'Base stats'!B:B,'Base stats'!AK:AK)=1,0.5,1)*IF(_xlfn.XLOOKUP(B116,'Base stats'!B:B,'Base stats'!AM:AM)=1,0.1,1)/100,IF(_xlfn.XLOOKUP(B116,'Base stats'!B:B,'Base stats'!AM:AM)=1,0.001,0.025)),0.5)))</f>
        <v>0.22500000000000001</v>
      </c>
      <c r="CA116" s="25" t="str">
        <f>IF(P116="Standard","No",MAX(0.001,MIN(MROUND(IF(AND(BJ116="True",CC116="False"),POWER(10,3.47*LOG10(_xlfn.XLOOKUP(B116,'Base stats'!B:B,'Base stats'!C:C)*1000)^-0.96),POWER(10,4.15*LOG10(_xlfn.XLOOKUP(B116,'Base stats'!B:B,'Base stats'!C:C)*1000)^-0.73))*IF(_xlfn.XLOOKUP(B116,'Base stats'!B:B,'Base stats'!AM:AM)=1,0.1,1)*_xlfn.XLOOKUP(B116,'Base stats'!B:B,'Base stats'!R:R)/100,IF(_xlfn.XLOOKUP(B116,'Base stats'!B:B,'Base stats'!AM:AM)=1,0.001,0.025)),0.5)))</f>
        <v>No</v>
      </c>
      <c r="CB116" s="25" t="str">
        <f>IF(_xlfn.XLOOKUP(_xlfn.XLOOKUP(B116,'Base stats'!B:B,'Base stats'!E:E),Groups!A:A,Groups!AJ:AJ)="Mammal","True","False")</f>
        <v>True</v>
      </c>
      <c r="CC116" s="25" t="str">
        <f>IF(OR(_xlfn.XLOOKUP(_xlfn.XLOOKUP(B116,'Base stats'!B:B,'Base stats'!E:E),Groups!A:A,Groups!AJ:AJ)="Reptile",_xlfn.XLOOKUP(_xlfn.XLOOKUP(B116,'Base stats'!B:B,'Base stats'!E:E),Groups!A:A,Groups!AJ:AJ)="Amphibian",_xlfn.XLOOKUP(_xlfn.XLOOKUP(B116,'Base stats'!B:B,'Base stats'!E:E),Groups!A:A,Groups!AJ:AJ)="Invertebrate"),"True","False")</f>
        <v>False</v>
      </c>
      <c r="CD116" s="25" t="str">
        <f t="shared" si="13"/>
        <v>False</v>
      </c>
      <c r="CE116" s="25" t="str">
        <f>IF(_xlfn.XLOOKUP(_xlfn.XLOOKUP(B116,'Base stats'!B:B,'Base stats'!E:E),Groups!A:A,Groups!AX:AX),"True","False")</f>
        <v>False</v>
      </c>
      <c r="CF116" s="25" t="str">
        <f>IF(_xlfn.XLOOKUP(_xlfn.XLOOKUP(B116,'Base stats'!B:B,'Base stats'!E:E),Groups!A:A,Groups!AY:AY),"True","False")</f>
        <v>False</v>
      </c>
      <c r="CG116" s="25" t="str">
        <f>IF(_xlfn.XLOOKUP(_xlfn.XLOOKUP(B116,'Base stats'!B:B,'Base stats'!E:E),Groups!A:A,Groups!AW:AW),"True","False")</f>
        <v>False</v>
      </c>
      <c r="CH116" s="25" t="str">
        <f>IF(
OR(
_xlfn.XLOOKUP(_xlfn.XLOOKUP(B116,'Base stats'!B:B,'Base stats'!E:E),Groups!A:A,Groups!AZ:AZ)=0,
AND(
_xlfn.XLOOKUP(B116,'Base stats'!B:B,'Base stats'!Y:Y)&lt;&gt;"Carnivore",
_xlfn.XLOOKUP(B116,'Base stats'!B:B,'Base stats'!Y:Y)&lt;&gt;"Omnivore",
_xlfn.XLOOKUP(B116,'Base stats'!B:B,'Base stats'!Y:Y)&lt;&gt;"OmnivoreRough"
)
),
"No",
IF(
_xlfn.XLOOKUP(_xlfn.XLOOKUP(B116,'Base stats'!B:B,'Base stats'!E:E),Groups!A:A,Groups!AZ:AZ)=1,
"Flesh",
IF(
_xlfn.XLOOKUP(_xlfn.XLOOKUP(B116,'Base stats'!B:B,'Base stats'!E:E),Groups!A:A,Groups!AZ:AZ)=2,
"Bone",
""
)
)
)</f>
        <v>No</v>
      </c>
      <c r="CI116" s="25" t="str">
        <f>IF(_xlfn.XLOOKUP(_xlfn.XLOOKUP(B116,'Base stats'!B:B,'Base stats'!E:E),Groups!A:A,Groups!BB:BB),"True","False")</f>
        <v>True</v>
      </c>
      <c r="CJ116" s="25" t="str">
        <f>IF(_xlfn.XLOOKUP(_xlfn.XLOOKUP(B116,'Base stats'!B:B,'Base stats'!E:E),Groups!A:A,Groups!BA:BA),"True","False")</f>
        <v>False</v>
      </c>
    </row>
    <row r="117" spans="1:88" ht="16.5" thickTop="1" thickBot="1" x14ac:dyDescent="0.3">
      <c r="A117" s="26" t="str">
        <f>_xlfn.XLOOKUP(B117,'Base stats'!B:B,'Base stats'!A:A)</f>
        <v>Koala</v>
      </c>
      <c r="B117" s="6" t="s">
        <v>463</v>
      </c>
      <c r="C117" s="28" t="s">
        <v>798</v>
      </c>
      <c r="D117" s="28" t="s">
        <v>872</v>
      </c>
      <c r="E117" s="28" t="s">
        <v>673</v>
      </c>
      <c r="F117" s="28" t="s">
        <v>673</v>
      </c>
      <c r="G117" s="28" t="s">
        <v>673</v>
      </c>
      <c r="H117" s="2">
        <f>MROUND((
  (IF(AND(_xlfn.XLOOKUP(B117,'Base stats'!B:B,'Base stats'!AL:AL)=0,BI117="None",_xlfn.XLOOKUP(_xlfn.XLOOKUP(B117,'Base stats'!B:B,'Base stats'!E:E),Groups!A:A,Groups!B:B)=0), (18 + BR117 * 2.7) * 0.5,
    IF(AND(_xlfn.XLOOKUP(B117,'Base stats'!B:B,'Base stats'!AL:AL)=0,OR(AO117&lt;0.55,AND(BI117="Intermediate",_xlfn.XLOOKUP(_xlfn.XLOOKUP(B117,'Base stats'!B:B,'Base stats'!E:E),Groups!A:A,Groups!B:B)&lt;2))), (18 + BR117 * 2.7),
      IF(OR(BI117="Advanced",_xlfn.XLOOKUP(B117,'Base stats'!B:B,'Base stats'!AL:AL)=1,_xlfn.XLOOKUP(_xlfn.XLOOKUP(B117,'Base stats'!B:B,'Base stats'!E:E),Groups!A:A,Groups!B:B)=2), (18 + BR117 * 2.7) + 250, (18 + BR117 * 2.7))
    )
  ))
  + AO117 * 80
  + IF(COUNTIF(EggMilk!K$2:K$998, A117) &gt; 0, 125, 0)
  + IF(COUNTIF(EggMilk!P$2:P$998, A117) &gt; 0, 90, 0)
  + IF(COUNTIF(EggMilk!A$2:A$998, A117) &gt; 0, 90, 0)
)
* (0.8 + 0.4 * J117)
* 0.75,25)</f>
        <v>125</v>
      </c>
      <c r="I117" s="2">
        <f>MROUND(ROUNDDOWN(_xlfn.XLOOKUP(B117,'Base stats'!B:B,'Base stats'!L:L)/3.6/(23.3/11),1),0.5)</f>
        <v>2</v>
      </c>
      <c r="J117" s="2">
        <f>IF(OR(_xlfn.XLOOKUP(B117,'Base stats'!B:B,'Base stats'!AB:AB)=1,_xlfn.XLOOKUP(_xlfn.XLOOKUP(B117,'Base stats'!B:B,'Base stats'!E:E),Groups!A:A,Groups!C:C)="Untamable"),1,IF(_xlfn.XLOOKUP(B117,'Base stats'!B:B,'Base stats'!AL:AL)=1,0.99,MIN(MROUND((1-0.6282*EXP(-0.459*AO117))*_xlfn.XLOOKUP(_xlfn.XLOOKUP(B117,'Base stats'!B:B,'Base stats'!E:E),Groups!A:A,Groups!C:C)*IF(_xlfn.XLOOKUP(B117,'Base stats'!B:B,'Base stats'!O:O)=1,0.5,IF(_xlfn.XLOOKUP(B117,'Base stats'!B:B,'Base stats'!O:O)=2,0,1)),0.05),IF(AO117&gt;3.5,0.985,0.95))))</f>
        <v>0.60000000000000009</v>
      </c>
      <c r="K117" s="2">
        <f>ROUNDUP(AO117*_xlfn.XLOOKUP(_xlfn.XLOOKUP(B117,'Base stats'!B:B,'Base stats'!E:E),Groups!A:A,Groups!E:E),0)</f>
        <v>1</v>
      </c>
      <c r="L117" s="2">
        <f>IF(OR(_xlfn.XLOOKUP(_xlfn.XLOOKUP(B117,'Base stats'!B:B,'Base stats'!E:E),Groups!A:A,Groups!F:F)=2,ISNUMBER(SEARCH("SeaIce",BX117)),ISNUMBER(SEARCH("IceSheet",BX117))),-50,IF(OR(ISNUMBER(SEARCH("GlacialPlain",BX117)),ISNUMBER(SEARCH("Tundra",BX117))),-40,IF(OR(ISNUMBER(SEARCH("Alpine",BX117)),ISNUMBER(SEARCH("BorealForest",BX117)),ISNUMBER(SEARCH("ColdBog",BX117))),-30,IF(OR(ISNUMBER(SEARCH("TemperateForest",BX117)),ISNUMBER(SEARCH("TemperateSwamp",BX117))),-20,IF(_xlfn.XLOOKUP(_xlfn.XLOOKUP(B117,'Base stats'!B:B,'Base stats'!E:E),Groups!A:A,Groups!F:F)=1,-15,IF(OR(ISNUMBER(SEARCH("Desert",BX117)),ISNUMBER(SEARCH("ExtremeDesert",BX117))),-10,IF(OR(ISNUMBER(SEARCH("Grasslands",BX117)),ISNUMBER(SEARCH("TropicalRainforest",BX117)),ISNUMBER(SEARCH("TropicalSwamp",BX117))),10,0)))))))-IF(CC117="False",MIN(IFERROR(MAX(MROUND(LOG10(_xlfn.XLOOKUP(B117,'Base stats'!B:B,'Base stats'!C:C)^(2/3))*10,5),5),5),30))-_xlfn.XLOOKUP(B117,'Base stats'!B:B,'Base stats'!P:P)+IF(CC117="True",5,0)</f>
        <v>-25</v>
      </c>
      <c r="M117" s="2">
        <f>IF(OR(_xlfn.XLOOKUP(_xlfn.XLOOKUP(B117,'Base stats'!B:B,'Base stats'!E:E),Groups!A:A,Groups!G:G)=2,ISNUMBER(SEARCH("Desert",BX117)),ISNUMBER(SEARCH("ExtremeDesert",BX117)),ISNUMBER(SEARCH("LavaField",BX117))),50,IF(ISNUMBER(SEARCH("Grasslands",BX117)),45,IF(OR(_xlfn.XLOOKUP(_xlfn.XLOOKUP(B117,'Base stats'!B:B,'Base stats'!E:E),Groups!A:A,Groups!G:G)=1,ISNUMBER(SEARCH("TropicalRainforest",BX117)),ISNUMBER(SEARCH("TropicalSwamp",BX117))),40,IF(OR(ISNUMBER(SEARCH("TemperateForest",BX117)),ISNUMBER(SEARCH("TemperateSwamp",BX117))),35,IF(OR(ISNUMBER(SEARCH("Alpine",BX117)),ISNUMBER(SEARCH("BorealForest",BX117)),ISNUMBER(SEARCH("ColdBog",BX117))),30,IF(ISNUMBER(OR(ISNUMBER(SEARCH("GlacialPlain",BX117)),SEARCH("Tundra",BX117))),25,IF(OR(ISNUMBER(SEARCH("SeaIce",BX117)),ISNUMBER(SEARCH("IceSheet",BX117)),ISNUMBER(SEARCH("TropicalSwamp",BX117))),10,35)))))))+_xlfn.XLOOKUP(B117,'Base stats'!B:B,'Base stats'!Q:Q)</f>
        <v>50</v>
      </c>
      <c r="N117" s="8" t="str">
        <f>IF(
_xlfn.XLOOKUP(
_xlfn.XLOOKUP(B117,'Base stats'!B:B,'Base stats'!E:E),
Groups!A:A,
Groups!L:L
)=1,
MIN(
MROUND(
IF(
_xlfn.XLOOKUP(B117,'Animals CE'!B:B,'Animals CE'!Z:Z)&lt;=1.5,
_xlfn.XLOOKUP(B117,'Animals CE'!B:B,'Animals CE'!Z:Z)/2+0.05,
0.8+
(_xlfn.XLOOKUP(B117,'Animals CE'!B:B,'Animals CE'!Z:Z)-1.5)
*0.02
),
0.05
),
200%
),
"No"
)</f>
        <v>No</v>
      </c>
      <c r="O117" s="8" t="str">
        <f>IF(
_xlfn.XLOOKUP(
_xlfn.XLOOKUP(B117,'Base stats'!B:B,'Base stats'!E:E),
Groups!A:A,
Groups!L:L
)=1,
MIN(
MROUND(
IF(
_xlfn.XLOOKUP(B117,'Animals CE'!B:B,'Animals CE'!AA:AA)&lt;=1.5,
_xlfn.XLOOKUP(B117,'Animals CE'!B:B,'Animals CE'!AA:AA)/2+0.05,
0.8+
(_xlfn.XLOOKUP(B117,'Animals CE'!B:B,'Animals CE'!AA:AA)-1.5)
*0.02
),
0.05
),
200%
),
"No"
)</f>
        <v>No</v>
      </c>
      <c r="P117" s="2" t="str">
        <f>_xlfn.XLOOKUP(B117,'Base stats'!B:B,'Base stats'!R:R)</f>
        <v>Standard</v>
      </c>
      <c r="Q117" s="13">
        <f>MROUND((LOG10(_xlfn.XLOOKUP(B117,'Base stats'!B:B,'Base stats'!AR:AR))*(AO117^0.5)+(_xlfn.XLOOKUP(B117,'Base stats'!B:B,'Base stats'!AR:AR)/1000)^(2/3)+_xlfn.XLOOKUP(B117,'Base stats'!B:B,'Base stats'!BA:BA)/2)+0.5,0.5)</f>
        <v>3.5</v>
      </c>
      <c r="R117" s="7">
        <f>IF(Q117="No","No",MAX(1,MROUND(_xlfn.XLOOKUP(B117,'Base stats'!B:B,'Base stats'!C:C)^0.165,0.05)))</f>
        <v>1.4500000000000002</v>
      </c>
      <c r="S117" s="13" t="str">
        <f>IF(_xlfn.XLOOKUP(_xlfn.XLOOKUP(B117,'Base stats'!B:B,'Base stats'!E:E),Groups!A:A,Groups!P:P)=0,"No",MROUND((LOG10(_xlfn.XLOOKUP(B117,'Base stats'!B:B,'Base stats'!AS:AS))*(AO117^0.5)+(_xlfn.XLOOKUP(B117,'Base stats'!B:B,'Base stats'!AS:AS)/1000)^(2/3)+_xlfn.XLOOKUP(B117,'Base stats'!B:B,'Base stats'!BA:BA))+_xlfn.XLOOKUP(B117,'Base stats'!B:B,'Base stats'!AY:AY)+0.5,0.5))</f>
        <v>No</v>
      </c>
      <c r="T117" s="7" t="str">
        <f>IF(S117="No","No",MAX(_xlfn.XLOOKUP(_xlfn.XLOOKUP(B117,'Base stats'!B:B,'Base stats'!E:E),Groups!A:A,Groups!Q:Q),MROUND(_xlfn.XLOOKUP(_xlfn.XLOOKUP(B117,'Base stats'!B:B,'Base stats'!E:E),Groups!A:A,Groups!Q:Q)*_xlfn.XLOOKUP(B117,'Base stats'!B:B,'Base stats'!C:C)^0.165,0.05)))</f>
        <v>No</v>
      </c>
      <c r="U117" s="7" t="str">
        <f>IF(S117="No","No",_xlfn.XLOOKUP(_xlfn.XLOOKUP(B117,'Base stats'!B:B,'Base stats'!E:E),Groups!A:A,Groups!R:R))</f>
        <v>No</v>
      </c>
      <c r="V117" s="7" t="str">
        <f>IF(S117="No","No",_xlfn.XLOOKUP(_xlfn.XLOOKUP(B117,'Base stats'!B:B,'Base stats'!E:E),Groups!A:A,Groups!S:S))</f>
        <v>No</v>
      </c>
      <c r="W117" s="7" t="str">
        <f>IF(S117="No","No",_xlfn.XLOOKUP(_xlfn.XLOOKUP(B117,'Base stats'!B:B,'Base stats'!E:E),Groups!A:A,Groups!T:T))</f>
        <v>No</v>
      </c>
      <c r="X117" s="13" t="str">
        <f>IF(_xlfn.XLOOKUP(B117,'Base stats'!B:B,'Base stats'!W:W)="No","No",MROUND((LOG10(_xlfn.XLOOKUP(B117,'Base stats'!B:B,'Base stats'!AU:AU))*(AO117^0.5)+(_xlfn.XLOOKUP(B117,'Base stats'!B:B,'Base stats'!AU:AU)/1000)^(2/3)+_xlfn.XLOOKUP(B117,'Base stats'!B:B,'Base stats'!AZ:AZ))+0.5+IF(_xlfn.XLOOKUP(_xlfn.XLOOKUP(B117,'Base stats'!B:B,'Base stats'!E:E),Groups!A:A,Groups!U:U)&lt;&gt;3,_xlfn.XLOOKUP(B117,'Base stats'!B:B,'Base stats'!BA:BA),0),0.5))</f>
        <v>No</v>
      </c>
      <c r="Y117" s="7" t="str">
        <f>IF(X117="No","No",MAX(_xlfn.XLOOKUP(_xlfn.XLOOKUP(B117,'Base stats'!B:B,'Base stats'!E:E),Groups!A:A,Groups!V:V),MROUND(_xlfn.XLOOKUP(_xlfn.XLOOKUP(B117,'Base stats'!B:B,'Base stats'!E:E),Groups!A:A,Groups!V:V)*_xlfn.XLOOKUP(B117,'Base stats'!B:B,'Base stats'!C:C)^0.165,0.05)))</f>
        <v>No</v>
      </c>
      <c r="Z117" s="7" t="str">
        <f>IF(X117="No","No",_xlfn.XLOOKUP(_xlfn.XLOOKUP(B117,'Base stats'!B:B,'Base stats'!E:E),Groups!A:A,Groups!W:W))</f>
        <v>No</v>
      </c>
      <c r="AA117" s="7" t="str">
        <f>IF(X117="No","No",_xlfn.XLOOKUP(_xlfn.XLOOKUP(B117,'Base stats'!B:B,'Base stats'!E:E),Groups!A:A,Groups!X:X))</f>
        <v>No</v>
      </c>
      <c r="AB117" s="7" t="str">
        <f>IF(X117="No","No",_xlfn.XLOOKUP(_xlfn.XLOOKUP(B117,'Base stats'!B:B,'Base stats'!E:E),Groups!A:A,Groups!Y:Y))</f>
        <v>No</v>
      </c>
      <c r="AC117" s="7" t="str">
        <f>_xlfn.XLOOKUP(Animals!B117,'Base stats'!B:B,'Base stats'!X:X)</f>
        <v>False</v>
      </c>
      <c r="AD117" s="13">
        <f>IF(_xlfn.XLOOKUP(B117,'Base stats'!B:B,'Base stats'!AT:AT)="No","No",MROUND((LOG10(_xlfn.XLOOKUP(B117,'Base stats'!B:B,'Base stats'!AT:AT))*(AO117^0.75)+(_xlfn.XLOOKUP(B117,'Base stats'!B:B,'Base stats'!AT:AT)/1000)^(2/3)+_xlfn.XLOOKUP(B117,'Base stats'!B:B,'Base stats'!AX:AX)+_xlfn.XLOOKUP(B117,'Base stats'!B:B,'Base stats'!BA:BA))+0.5,0.5))</f>
        <v>3.5</v>
      </c>
      <c r="AE117" s="7">
        <f>IF(AD117="No","No",MAX(_xlfn.XLOOKUP(_xlfn.XLOOKUP(B117,'Base stats'!B:B,'Base stats'!E:E),Groups!A:A,Groups!Z:Z),MROUND(_xlfn.XLOOKUP(_xlfn.XLOOKUP(B117,'Base stats'!B:B,'Base stats'!E:E),Groups!A:A,Groups!Z:Z)*_xlfn.XLOOKUP(B117,'Base stats'!B:B,'Base stats'!C:C)^0.165,0.05)))</f>
        <v>1.35</v>
      </c>
      <c r="AF117" s="7" t="str">
        <f>IF(AD117="No","No",_xlfn.XLOOKUP(_xlfn.XLOOKUP(B117,'Base stats'!B:B,'Base stats'!E:E),Groups!A:A,Groups!AA:AA))</f>
        <v>Teeth</v>
      </c>
      <c r="AG117" s="7" t="str">
        <f>IF(AD117="No","No",_xlfn.XLOOKUP(_xlfn.XLOOKUP(B117,'Base stats'!B:B,'Base stats'!E:E),Groups!A:A,Groups!AB:AB))</f>
        <v>teeth</v>
      </c>
      <c r="AH117" s="7" t="str">
        <f>IF(AD117="No","No",_xlfn.XLOOKUP(_xlfn.XLOOKUP(B117,'Base stats'!B:B,'Base stats'!E:E),Groups!A:A,Groups!AC:AC))</f>
        <v>Bite</v>
      </c>
      <c r="AI117" s="13">
        <f>IF(_xlfn.XLOOKUP(_xlfn.XLOOKUP(B117,'Base stats'!B:B,'Base stats'!E:E),Groups!A:A,Groups!AD:AD)=0,"No",MROUND((LOG10(_xlfn.XLOOKUP(B117,'Base stats'!B:B,'Base stats'!AS:AS))*(AO117^0.75)+(_xlfn.XLOOKUP(B117,'Base stats'!B:B,'Base stats'!AS:AS)/1000)^(2/3)+_xlfn.XLOOKUP(B117,'Base stats'!B:B,'Base stats'!AY:AY)+_xlfn.XLOOKUP(B117,'Base stats'!B:B,'Base stats'!BA:BA))+0.5,0.5))</f>
        <v>5</v>
      </c>
      <c r="AJ117" s="7">
        <f>IF(AI117="No","No",MAX(_xlfn.XLOOKUP(_xlfn.XLOOKUP(B117,'Base stats'!B:B,'Base stats'!E:E),Groups!A:A,Groups!AE:AE),MROUND(_xlfn.XLOOKUP(_xlfn.XLOOKUP(B117,'Base stats'!B:B,'Base stats'!E:E),Groups!A:A,Groups!AE:AE)*IF(_xlfn.XLOOKUP(_xlfn.XLOOKUP(B117,'Base stats'!B:B,'Base stats'!E:E),Groups!A:A,Groups!AJ:AJ)="Photonozoa",0.6,1)*_xlfn.XLOOKUP(B117,'Base stats'!B:B,'Base stats'!C:C)^0.165,0.05)))</f>
        <v>1</v>
      </c>
      <c r="AK117" s="7" t="str">
        <f>IF(AI117="No","No",_xlfn.XLOOKUP(_xlfn.XLOOKUP(B117,'Base stats'!B:B,'Base stats'!E:E),Groups!A:A,Groups!AF:AF))</f>
        <v>FrontLeftPaw, FrontRightPaw</v>
      </c>
      <c r="AL117" s="7" t="str">
        <f>IF(AI117="No","No",_xlfn.XLOOKUP(_xlfn.XLOOKUP(B117,'Base stats'!B:B,'Base stats'!E:E),Groups!A:A,Groups!AG:AG))</f>
        <v>left claw, right claw</v>
      </c>
      <c r="AM117" s="7" t="str">
        <f>IF(AI117="No","No",_xlfn.XLOOKUP(_xlfn.XLOOKUP(B117,'Base stats'!B:B,'Base stats'!E:E),Groups!A:A,Groups!AH:AH))</f>
        <v>Scratch</v>
      </c>
      <c r="AN117" s="2" t="str">
        <f t="shared" si="7"/>
        <v>No</v>
      </c>
      <c r="AO117" s="2">
        <f>MROUND(IF(AND(_xlfn.XLOOKUP(B117,'Base stats'!B:B,'Base stats'!C:C)&gt;=0.5,_xlfn.XLOOKUP(B117,'Base stats'!B:B,'Base stats'!C:C)&lt;=0.8),
IF(_xlfn.XLOOKUP(B117,'Base stats'!B:B,'Base stats'!C:C)&lt;0.1,0.05,IF(_xlfn.XLOOKUP(B117,'Base stats'!B:B,'Base stats'!C:C)&lt;=70,(_xlfn.XLOOKUP(B117,'Base stats'!B:B,'Base stats'!C:C)/70)^0.426489913056526,IF(_xlfn.XLOOKUP(B117,'Base stats'!B:B,'Base stats'!C:C)&lt;=400,(_xlfn.XLOOKUP(B117,'Base stats'!B:B,'Base stats'!C:C)/70)^0.572811455315093,IF(_xlfn.XLOOKUP(B117,'Base stats'!B:B,'Base stats'!C:C)&lt;=2000,2.71391647193063*(_xlfn.XLOOKUP(B117,'Base stats'!B:B,'Base stats'!C:C)/400)^0.252459582904293,3.74314280240376*(_xlfn.XLOOKUP(B117,'Base stats'!B:B,'Base stats'!C:C)/2000)^0.357012633876913)))),
IF(_xlfn.XLOOKUP(B117,'Base stats'!B:B,'Base stats'!C:C)&lt;0.1,0.05,IF(_xlfn.XLOOKUP(B117,'Base stats'!B:B,'Base stats'!C:C)&lt;0.4,0.1,IF(_xlfn.XLOOKUP(B117,'Base stats'!B:B,'Base stats'!C:C)&lt;=70,(_xlfn.XLOOKUP(B117,'Base stats'!B:B,'Base stats'!C:C)/70)^0.445823913056526,IF(_xlfn.XLOOKUP(B117,'Base stats'!B:B,'Base stats'!C:C)&lt;=400,(_xlfn.XLOOKUP(B117,'Base stats'!B:B,'Base stats'!C:C)/70)^0.572811455315093,IF(_xlfn.XLOOKUP(B117,'Base stats'!B:B,'Base stats'!C:C)&lt;=2000,2.71391647193063*(_xlfn.XLOOKUP(B117,'Base stats'!B:B,'Base stats'!C:C)/400)^0.252459582904293,3.74314280240376*(_xlfn.XLOOKUP(B117,'Base stats'!B:B,'Base stats'!C:C)/2000)^0.357012633876913)))))),
IF(_xlfn.XLOOKUP(B117,'Base stats'!B:B,'Base stats'!C:C)&lt;0.1,0.05,IF(_xlfn.XLOOKUP(B117,'Base stats'!B:B,'Base stats'!C:C)&lt;=100,0.05,IF(_xlfn.XLOOKUP(B117,'Base stats'!B:B,'Base stats'!C:C)&lt;=250,0.1,IF(_xlfn.XLOOKUP(B117,'Base stats'!B:B,'Base stats'!C:C)&lt;=4000,0.25,0.5)))))</f>
        <v>0.4</v>
      </c>
      <c r="AP117" s="8">
        <f>MROUND(AO117*_xlfn.XLOOKUP(_xlfn.XLOOKUP(B117,'Base stats'!B:B,'Base stats'!E:E),Groups!A:A,Groups!AI:AI)*_xlfn.XLOOKUP(B117,'Base stats'!B:B,'Base stats'!Z:Z),0.05)</f>
        <v>0.4</v>
      </c>
      <c r="AQ117" s="8">
        <f>MAX(0.01,MROUND(IF(CC117="True",0.196*(AO117*100*1000)^0.889,IF(_xlfn.XLOOKUP(_xlfn.XLOOKUP(B117,'Base stats'!B:B,'Base stats'!E:E),Groups!A:A,Groups!AJ:AJ)="Bird",10.5*(AO117*100*1000)^0.681,4.82*(AO117*100*1000)^0.734))/(4.82*(1*100*1000)^0.734)/IF(AO117&lt;3.5,2,IF(AO117=3.5,1.5,1.25))*(1+0.132282374779864/(AO117^0.994035016789033+0.00905238001496948)),0.05))</f>
        <v>0.35000000000000003</v>
      </c>
      <c r="AR117" s="9">
        <f>IFERROR(MROUND(_xlfn.XLOOKUP(B117,'Base stats'!B:B,'Base stats'!H:H)/IF(_xlfn.XLOOKUP(B117,'Base stats'!B:B,'Base stats'!I:I)&lt;&gt;1,(122.5/70),1.2),IF(_xlfn.XLOOKUP(B117,'Base stats'!B:B,'Base stats'!H:H)&gt;=30,5,IF(_xlfn.XLOOKUP(B117,'Base stats'!B:B,'Base stats'!H:H)&gt;=15,3,IF(_xlfn.XLOOKUP(B117,'Base stats'!B:B,'Base stats'!H:H)&gt;=10,2,1)))),"Immortal")</f>
        <v>12</v>
      </c>
      <c r="AS117" s="35">
        <f>IFERROR(IF(OR(_xlfn.XLOOKUP(B117,'Base stats'!B:B,'Base stats'!F:F)="Atypical reproduction",_xlfn.XLOOKUP(B117,'Base stats'!B:B,'Base stats'!F:F)="Lay eggs"),"Lay eggs",MIN(20,MAX(5.5,ROUND(((_xlfn.XLOOKUP(B117,'Base stats'!B:B,'Base stats'!F:F)-25)*(14.5/615) + 5.5)*2,0)/2))),"Unknown")</f>
        <v>5.5</v>
      </c>
      <c r="AT117" s="8">
        <f>IF(_xlfn.XLOOKUP(B117,'Base stats'!B:B,'Base stats'!G:G)="Atypical reproduction","No",IFERROR(MAX(IF(_xlfn.XLOOKUP(B117,'Base stats'!B:B,'Base stats'!G:G)&lt;0.5,0.2,0.3),MROUND(_xlfn.XLOOKUP(B117,'Base stats'!B:B,'Base stats'!G:G)/(365/60),0.2)),"Unknown"))</f>
        <v>0.3</v>
      </c>
      <c r="AU117" s="8">
        <f t="shared" si="8"/>
        <v>0.15000000000000002</v>
      </c>
      <c r="AV117" s="8">
        <f>IFERROR(IFERROR(MROUND(_xlfn.XLOOKUP(B117,'Base stats'!B:B,'Base stats'!J:J),0.1),"Lay eggs"),"Cannot breed")</f>
        <v>1</v>
      </c>
      <c r="AW117" s="2" t="str">
        <f t="shared" si="9"/>
        <v>false</v>
      </c>
      <c r="AX117" s="2" t="str">
        <f>IF(_xlfn.XLOOKUP(_xlfn.XLOOKUP(Animals!B117,'Base stats'!B:B,'Base stats'!E:E),Groups!A:A,Groups!AK:AK)=1,"true","false")</f>
        <v>false</v>
      </c>
      <c r="AY117" s="25" t="str">
        <f>IF(_xlfn.XLOOKUP(B117,'Base stats'!B:B,'Base stats'!Y:Y)="Liquor","Liquor, CarnivoreAnimalStrict",IF(AND(_xlfn.XLOOKUP(B117,'Base stats'!B:B,'Base stats'!Y:Y)="Carnivore",_xlfn.XLOOKUP(_xlfn.XLOOKUP(B117,'Base stats'!B:B,'Base stats'!E:E),Groups!A:A,Groups!AJ:AJ)="Photonozoa"),"CarnivoreAnimalStrict, OvivoreAnimal",IF(_xlfn.XLOOKUP(B117,'Base stats'!B:B,'Base stats'!Y:Y)="Carnivore","CarnivoreAnimal, OvivoreAnimal",IF(_xlfn.XLOOKUP(B117,'Base stats'!B:B,'Base stats'!Y:Y)="Dendrovore","VegetarianRoughAnimal, DendrovoreAnimal",IF(_xlfn.XLOOKUP(B117,'Base stats'!B:B,'Base stats'!Y:Y)="Herbivore","VegetarianRoughAnimal",IF(_xlfn.XLOOKUP(B117,'Base stats'!B:B,'Base stats'!Y:Y)="OmnivoreRough","OmnivoreRoughAnimal, OvivoreAnimal","OmnivoreAnimal, OvivoreAnimal"))))))</f>
        <v>VegetarianRoughAnimal</v>
      </c>
      <c r="AZ117" s="2" t="str">
        <f>IF(_xlfn.XLOOKUP(_xlfn.XLOOKUP(B117,'Base stats'!B:B,'Base stats'!E:E),Groups!A:A,Groups!D:D)=1,MROUND((1-J117)*5+1,2)*IF(J117&lt;=0.4,2,1),"No")</f>
        <v>No</v>
      </c>
      <c r="BA117" s="2" t="str">
        <f>IF(AND(_xlfn.XLOOKUP(B117,'Base stats'!B:B,'Base stats'!AH:AH)="&lt;li&gt;Seal&lt;/li&gt;",G117="Odyssey"),"&lt;li&gt;AEXP_Seal&lt;/li&gt;",_xlfn.XLOOKUP(B117,'Base stats'!B:B,'Base stats'!AH:AH))</f>
        <v>No</v>
      </c>
      <c r="BB117" s="2" t="str">
        <f>_xlfn.XLOOKUP(B117,'Base stats'!B:B,'Base stats'!AG:AG)</f>
        <v>Leather_Light</v>
      </c>
      <c r="BC117" s="23" t="str">
        <f>_xlfn.XLOOKUP(_xlfn.XLOOKUP(B117,'Base stats'!B:B,'Base stats'!E:E),Groups!A:A,Groups!AL:AL)</f>
        <v>QuadrupedAnimalWithPaws</v>
      </c>
      <c r="BD117" s="23">
        <f>MIN(1,MROUND(IF(AND(AO117&lt;0.5,_xlfn.XLOOKUP(B117,'Base stats'!B:B,'Base stats'!AA:AA)=0),0,IF(OR(_xlfn.XLOOKUP(Animals!B117,'Base stats'!B:B,'Base stats'!O:O)=2,_xlfn.XLOOKUP(_xlfn.XLOOKUP(B117,'Base stats'!B:B,'Base stats'!E:E),Groups!A:A,Groups!AN:AN)=0),0,_xlfn.XLOOKUP(_xlfn.XLOOKUP(B117,'Base stats'!B:B,'Base stats'!E:E),Groups!A:A,Groups!AN:AN)/IF(_xlfn.XLOOKUP(Animals!B117,'Base stats'!B:B,'Base stats'!O:O)=1,2,1)))+_xlfn.XLOOKUP(B117,'Base stats'!B:B,'Base stats'!AC:AC),0.005))</f>
        <v>0</v>
      </c>
      <c r="BE117" s="23">
        <f>MIN(1,MROUND(IF(AND(AO117&lt;0.5,_xlfn.XLOOKUP(B117,'Base stats'!B:B,'Base stats'!AA:AA)=0),0,IF(_xlfn.XLOOKUP(_xlfn.XLOOKUP(B117,'Base stats'!B:B,'Base stats'!E:E),Groups!A:A,Groups!AO:AO)=0,0,_xlfn.XLOOKUP(_xlfn.XLOOKUP(B117,'Base stats'!B:B,'Base stats'!E:E),Groups!A:A,Groups!AO:AO)/IF(_xlfn.XLOOKUP(Animals!B117,'Base stats'!B:B,'Base stats'!O:O)=2,3,1)))+_xlfn.XLOOKUP(B117,'Base stats'!B:B,'Base stats'!AD:AD),0.005))</f>
        <v>0</v>
      </c>
      <c r="BF117" s="2" t="str">
        <f>IF(J117&gt;0.3,"No",_xlfn.XLOOKUP(_xlfn.XLOOKUP(Animals!B117,'Base stats'!B:B,'Base stats'!E:E),Groups!A:A,Groups!AP:AP))</f>
        <v>No</v>
      </c>
      <c r="BG117" s="2" t="str">
        <f>IF(AND(J117&lt;=0.65,_xlfn.XLOOKUP(_xlfn.XLOOKUP(Animals!B117,'Base stats'!B:B,'Base stats'!E:E),Groups!A:A,Groups!AP:AP)&lt;&gt;"No",_xlfn.XLOOKUP(_xlfn.XLOOKUP(B117,'Base stats'!B:B,'Base stats'!E:E),Groups!A:A,Groups!D:D)=0),MROUND((80/3)*IF(_xlfn.XLOOKUP(B117,'Base stats'!B:B,'Base stats'!O:O)=2,0.2,AO117) + 24*(1-IF(BF117="No",0,BF117)) + 16/3, 12),"No")</f>
        <v>No</v>
      </c>
      <c r="BH117" s="2">
        <f>IF(AND(_xlfn.XLOOKUP(_xlfn.XLOOKUP(B117,'Base stats'!B:B,'Base stats'!E:E),Groups!A:A,Groups!AQ:AQ)=1,AO117&lt;=0.35),8,12)</f>
        <v>12</v>
      </c>
      <c r="BI117" s="2" t="str">
        <f>IF(_xlfn.XLOOKUP(_xlfn.XLOOKUP(B117,'Base stats'!B:B,'Base stats'!E:E),Groups!A:A,Groups!D:D)=0,_xlfn.XLOOKUP(_xlfn.XLOOKUP(B117,'Base stats'!B:B,'Base stats'!E:E),Groups!A:A,Groups!AR:AR),"None")</f>
        <v>None</v>
      </c>
      <c r="BJ117" s="2" t="str">
        <f>IF(AND(_xlfn.XLOOKUP(_xlfn.XLOOKUP(B117,'Base stats'!B:B,'Base stats'!E:E),Groups!A:A,Groups!AS:AS)=1,OR(_xlfn.XLOOKUP(B117,'Base stats'!B:B,'Base stats'!Y:Y)="Carnivore",_xlfn.XLOOKUP(B117,'Base stats'!B:B,'Base stats'!Y:Y)="Omnivore")),"true","false")</f>
        <v>false</v>
      </c>
      <c r="BK117" s="2" t="str">
        <f>IF(BJ117="true",MROUND(IF(AND(AO117&gt;0.5,OR(_xlfn.XLOOKUP(_xlfn.XLOOKUP(B117,'Base stats'!B:B,'Base stats'!E:E),Groups!A:A,Groups!AJ:AJ)="Photonozoa",_xlfn.XLOOKUP(_xlfn.XLOOKUP(B117,'Base stats'!B:B,'Base stats'!E:E),Groups!A:A,Groups!AJ:AJ)="Mammal")),Animals!AO117*1.75*IF(AW117="true",1.5,1),IF(AO117&lt;0.5,Animals!AO117*0.5,Animals!AO117)),IF(AO117&gt;2,0.5,IF(AO117&gt;0.5,0.25,0.1))),"No")</f>
        <v>No</v>
      </c>
      <c r="BL117" s="2">
        <f t="shared" si="10"/>
        <v>0</v>
      </c>
      <c r="BM117" s="25" t="str">
        <f>IF(_xlfn.XLOOKUP(B117,'Base stats'!B:B,'Base stats'!AN:AN)="Standard","No",MROUND((_xlfn.XLOOKUP(B117,'Base stats'!B:B,'Base stats'!AN:AN)/3.6)/I117,0.1))</f>
        <v>No</v>
      </c>
      <c r="BN117" s="25" t="str">
        <f t="shared" si="11"/>
        <v>false</v>
      </c>
      <c r="BO117" s="25" t="str">
        <f>IF(AND(OR(_xlfn.XLOOKUP(B117,'Base stats'!B:B,'Base stats'!Y:Y)="Carnivore",_xlfn.XLOOKUP(B117,'Base stats'!B:B,'Base stats'!Y:Y)="Omnivore",_xlfn.XLOOKUP(B117,'Base stats'!B:B,'Base stats'!Y:Y)="OmnivoreRough"),_xlfn.XLOOKUP(_xlfn.XLOOKUP(B117,'Base stats'!B:B,'Base stats'!E:E),Groups!A:A,Groups!AT:AT)=1),"true","false")</f>
        <v>false</v>
      </c>
      <c r="BP117" s="25" t="str" cm="1">
        <f t="array" ref="BP117">IF(
  _xlfn.TEXTJOIN(", ",TRUE,
    IF(AND(BJ117="true",AO117&gt;0.5,BI117&lt;&gt;"None"),"AttackTarget",""),
    IF(AND(_xlfn.XLOOKUP(_xlfn.XLOOKUP(B117,'Base stats'!B:B,'Base stats'!E:E),Groups!A:A,Groups!AJ:AJ="Mammal"),OR(_xlfn.XLOOKUP(B117,'Base stats'!B:B,'Base stats'!Y:Y)="Omnivore",_xlfn.XLOOKUP(B117,'Base stats'!B:B,'Base stats'!Y:Y)="OmnivoreRough")),"Forage",""),
    IF(BG117&lt;=36,"Comfort",""),
    IF(_xlfn.XLOOKUP(B117,'Base stats'!B:B,'Base stats'!AE:AE)&lt;&gt;"No",_xlfn.XLOOKUP(B117,'Base stats'!B:B,'Base stats'!AE:AE),"")
  ) = "",
  "No",
  _xlfn.TEXTJOIN(", ",TRUE,
    IF(AND(BJ117="true",AO117&gt;0.5,BI117&lt;&gt;"None"),"AttackTarget",""),
    IF(AND(_xlfn.XLOOKUP(_xlfn.XLOOKUP(B117,'Base stats'!B:B,'Base stats'!E:E),Groups!A:A,Groups!AJ:AJ="Mammal"),OR(_xlfn.XLOOKUP(B117,'Base stats'!B:B,'Base stats'!Y:Y)="Omnivore",_xlfn.XLOOKUP(B117,'Base stats'!B:B,'Base stats'!Y:Y)="OmnivoreRough")),"Forage",""),
    IF(BG117&lt;=36,"Comfort",""),
    IF(_xlfn.XLOOKUP(B117,'Base stats'!B:B,'Base stats'!AE:AE)&lt;&gt;"No",_xlfn.XLOOKUP(B117,'Base stats'!B:B,'Base stats'!AE:AE),"")
  )
)</f>
        <v>No</v>
      </c>
      <c r="BQ117" s="25" t="str">
        <f>IF(
   AND(
      'Base stats'!AN117="Standard",_xlfn.XLOOKUP(_xlfn.XLOOKUP(B117,'Base stats'!B:B,'Base stats'!E:E),Groups!A:A,Groups!AU:AU)=0,
      OR(
      BO117="True"
      )
   ),
   10,
   IF(
       OR(BM117&lt;&gt;"No",_xlfn.XLOOKUP(_xlfn.XLOOKUP(B117,'Base stats'!B:B,'Base stats'!E:E),Groups!A:A,Groups!AU:AU)=1),
      1,
      "No"
   )
)</f>
        <v>No</v>
      </c>
      <c r="BR117" s="9">
        <f>MROUND((1 + ((0.2*IF(OR(Q117="No",R117="No",R117=0),0,Q117/R117)
+IF(OR(V117="No",S117="No",T117="No"),0,S117/T117*(LEN(V117)-LEN(SUBSTITUTE(V117,",",""))+1))
+IF(OR(X117="No",Y117="No"),0,X117/Y117)
+IF(OR(AD117="No",AE117="No"),0,AD117/AE117)
+IF(OR(AL117="No",AI117="No",AJ117="No"),0,AI117/AJ117*(LEN(AL117)-LEN(SUBSTITUTE(AL117,",",""))+1))
)/(0.2*IF(OR(Q117="No",R117="No",R117=0),0,1)
+IF(OR(V117="No",S117="No",T117="No"),0,LEN(V117)-LEN(SUBSTITUTE(V117,",",""))+1)
+IF(OR(X117="No",Y117="No"),0,1)
+IF(OR(AD117="No",AE117="No"),0,1)
+IF(OR(AL117="No",AI117="No",AJ117="No"),0,LEN(AL117)-LEN(SUBSTITUTE(AL117,",",""))+1))*62%)* 2)*(1 + (AP117 / (IF(_xlfn.XLOOKUP(_xlfn.XLOOKUP(B117,'Base stats'!B:B,'Base stats'!E:E),Groups!A:A,Groups!AJ:AJ)="Photonozoa",0.3,1)) + _xlfn.XLOOKUP(B117,'Base stats'!B:B,'Base stats'!AV:AV) * 1.8) * 2) * 2.5 + 10 + I117 * 2,5)+IF(_xlfn.XLOOKUP(B117,'Base stats'!B:B,'Base stats'!AK:AK)=1,50,0)</f>
        <v>40</v>
      </c>
      <c r="BS117" s="8">
        <f t="shared" si="12"/>
        <v>0.35000000000000003</v>
      </c>
      <c r="BT117" s="8" t="str">
        <f>_xlfn.XLOOKUP(B117,'Base stats'!B:B,'Base stats'!AF:AF)</f>
        <v>No</v>
      </c>
      <c r="BU117" s="2" t="str">
        <f>IF(AND(J117&lt;=0.95,OR(_xlfn.XLOOKUP(B117,'Base stats'!B:B,'Base stats'!AK:AK)=1,_xlfn.XLOOKUP(B117,'Base stats'!B:B,'Base stats'!Y:Y)="Carnivore",_xlfn.XLOOKUP(B117,'Base stats'!B:B,'Base stats'!Y:Y)="Omnivore",BE117&gt;0.1)),"true","false")</f>
        <v>false</v>
      </c>
      <c r="BV117" s="2" t="str">
        <f>IF(_xlfn.XLOOKUP(B117,'Base stats'!B:B,'Base stats'!AI:AI)=1,"true","false")</f>
        <v>false</v>
      </c>
      <c r="BW117" s="25" t="str">
        <f>IF(E117="BaseInsect","AnimalInsect",
IF(J117&gt;0.95,"AnimalExotic",
_xlfn.TEXTJOIN(", ",TRUE,
IF(OR(_xlfn.XLOOKUP(B117,'Base stats'!B:B,'Base stats'!AM:AM)=1,AND(_xlfn.XLOOKUP(B117,'Base stats'!B:B,'Base stats'!O:O)=0,_xlfn.XLOOKUP(_xlfn.XLOOKUP(B117,'Base stats'!B:B,'Base stats'!E:E),Groups!A:A,Groups!B:B)&gt;0)),"AnimalUncommon","AnimalCommon"),
IF(AND(_xlfn.XLOOKUP(B117,'Base stats'!B:B,'Base stats'!O:O)=2,_xlfn.XLOOKUP(_xlfn.XLOOKUP(B117,'Base stats'!B:B,'Base stats'!E:E),Groups!A:A,Groups!D:D)=0),"AnimalPet",IF(AND(_xlfn.XLOOKUP(B117,'Base stats'!B:B,'Base stats'!O:O)&lt;&gt;0,_xlfn.XLOOKUP(_xlfn.XLOOKUP(B117,'Base stats'!B:B,'Base stats'!E:E),Groups!A:A,Groups!D:D)&lt;&gt;0),"AnimalFarm","")),
IF(OR(_xlfn.XLOOKUP(B117,'Base stats'!B:B,'Base stats'!AK:AK)=1,AND(BI117&lt;&gt;"None",BR117&gt;=60),ISNUMBER(SEARCH("Attack target",BP117))),"AnimalFighter","")
)))</f>
        <v>AnimalUncommon</v>
      </c>
      <c r="BX117" s="25" t="str">
        <f>IF(G117="None",TRIM(
SUBSTITUTE(
IF(COUNTIF(Biomes!B$2:B$259,"="&amp;$C117)&gt;0,Biomes!B$1&amp;", ","")&amp;
IF(COUNTIF(Biomes!C$2:C$259,"="&amp;$C117)&gt;0,Biomes!C$1&amp;", ","")&amp;
IF(COUNTIF(Biomes!D$2:D$259,"="&amp;$C117)&gt;0,Biomes!D$1&amp;", ","")&amp;
IF(COUNTIF(Biomes!F$2:F$259,"="&amp;$C117)&gt;0,Biomes!F$1&amp;", ","")&amp;
IF(COUNTIF(Biomes!G$2:G$259,"="&amp;$C117)&gt;0,Biomes!G$1&amp;", ","")&amp;
IF(COUNTIF(Biomes!H$2:H$259,"="&amp;$C117)&gt;0,Biomes!H$1&amp;", ","")&amp;
IF(COUNTIF(Biomes!I$2:I$259,"="&amp;$C117)&gt;0,Biomes!I$1&amp;", ","")&amp;
IF(COUNTIF(Biomes!J$2:J$259,"="&amp;$C117)&gt;0,Biomes!J$1&amp;", ","")&amp;
IF(COUNTIF(Biomes!M$2:M$259,"="&amp;$C117)&gt;0,Biomes!M$1&amp;", ","")&amp;
IF(COUNTIF(Biomes!N$2:N$259,"="&amp;$C117)&gt;0,Biomes!N$1&amp;", ","")&amp;
IF(COUNTIF(Biomes!O$2:O$259,"="&amp;$C117)&gt;0,Biomes!O$1&amp;", ","")&amp;
IF(COUNTIF(Biomes!P$2:P$259,"="&amp;$C117)&gt;0,Biomes!P$1&amp;", ","")&amp;
IF(COUNTIF(Biomes!K$2:K$259,"="&amp;$C117)&gt;0,Biomes!K$1&amp;", ","")&amp;
IF(COUNTIF(Biomes!Q$3:Q$259,"="&amp;$C117)&gt;0,Biomes!Q$1&amp;", ","")&amp;
IF(COUNTIF(Biomes!L$2:L$259,"="&amp;$C117)&gt;0,Biomes!L$1&amp;", ","")&amp;
IF(COUNTIF(Biomes!E$2:E$259,"="&amp;$C117)&gt;0,Biomes!E$1&amp;", ","")&amp;IF(COUNTIF(Biomes!S$2:S$259,"="&amp;$C117)&gt;0,Biomes!S$1&amp;", ","")&amp;
IF(COUNTIF(Biomes!R$2:R$259,"="&amp;$C117)&gt;0,Biomes!R$1&amp;", ",""),", ","")
),_xlfn.XLOOKUP(B117,B:B,BX:BX))</f>
        <v>TemperateForest TemperateSwamp Glowforest LavaField</v>
      </c>
      <c r="BY117" s="25" t="str">
        <f>IF(_xlfn.XLOOKUP(B117,'Base stats'!B:B,'Base stats'!AJ:AJ)=1,"true","false")</f>
        <v>false</v>
      </c>
      <c r="BZ117" s="25">
        <f>IF(_xlfn.XLOOKUP(B117,'Base stats'!B:B,'Base stats'!N:N)=1,"No",MAX(0.001,MIN(MROUND(IF(AND(BJ117="True",CC117="False"),POWER(10,3.47*LOG10(_xlfn.XLOOKUP(B117,'Base stats'!B:B,'Base stats'!C:C)*1000)^-0.96),POWER(10,4.15*LOG10(_xlfn.XLOOKUP(B117,'Base stats'!B:B,'Base stats'!C:C)*1000)^-0.73))*IF(_xlfn.XLOOKUP(B117,'Base stats'!B:B,'Base stats'!AK:AK)=1,0.5,1)*IF(_xlfn.XLOOKUP(B117,'Base stats'!B:B,'Base stats'!AM:AM)=1,0.1,1)/100,IF(_xlfn.XLOOKUP(B117,'Base stats'!B:B,'Base stats'!AM:AM)=1,0.001,0.025)),0.5)))</f>
        <v>3.3000000000000002E-2</v>
      </c>
      <c r="CA117" s="25" t="str">
        <f>IF(P117="Standard","No",MAX(0.001,MIN(MROUND(IF(AND(BJ117="True",CC117="False"),POWER(10,3.47*LOG10(_xlfn.XLOOKUP(B117,'Base stats'!B:B,'Base stats'!C:C)*1000)^-0.96),POWER(10,4.15*LOG10(_xlfn.XLOOKUP(B117,'Base stats'!B:B,'Base stats'!C:C)*1000)^-0.73))*IF(_xlfn.XLOOKUP(B117,'Base stats'!B:B,'Base stats'!AM:AM)=1,0.1,1)*_xlfn.XLOOKUP(B117,'Base stats'!B:B,'Base stats'!R:R)/100,IF(_xlfn.XLOOKUP(B117,'Base stats'!B:B,'Base stats'!AM:AM)=1,0.001,0.025)),0.5)))</f>
        <v>No</v>
      </c>
      <c r="CB117" s="25" t="str">
        <f>IF(_xlfn.XLOOKUP(_xlfn.XLOOKUP(B117,'Base stats'!B:B,'Base stats'!E:E),Groups!A:A,Groups!AJ:AJ)="Mammal","True","False")</f>
        <v>True</v>
      </c>
      <c r="CC117" s="25" t="str">
        <f>IF(OR(_xlfn.XLOOKUP(_xlfn.XLOOKUP(B117,'Base stats'!B:B,'Base stats'!E:E),Groups!A:A,Groups!AJ:AJ)="Reptile",_xlfn.XLOOKUP(_xlfn.XLOOKUP(B117,'Base stats'!B:B,'Base stats'!E:E),Groups!A:A,Groups!AJ:AJ)="Amphibian",_xlfn.XLOOKUP(_xlfn.XLOOKUP(B117,'Base stats'!B:B,'Base stats'!E:E),Groups!A:A,Groups!AJ:AJ)="Invertebrate"),"True","False")</f>
        <v>False</v>
      </c>
      <c r="CD117" s="25" t="str">
        <f t="shared" si="13"/>
        <v>False</v>
      </c>
      <c r="CE117" s="25" t="str">
        <f>IF(_xlfn.XLOOKUP(_xlfn.XLOOKUP(B117,'Base stats'!B:B,'Base stats'!E:E),Groups!A:A,Groups!AX:AX),"True","False")</f>
        <v>False</v>
      </c>
      <c r="CF117" s="25" t="str">
        <f>IF(_xlfn.XLOOKUP(_xlfn.XLOOKUP(B117,'Base stats'!B:B,'Base stats'!E:E),Groups!A:A,Groups!AY:AY),"True","False")</f>
        <v>False</v>
      </c>
      <c r="CG117" s="25" t="str">
        <f>IF(_xlfn.XLOOKUP(_xlfn.XLOOKUP(B117,'Base stats'!B:B,'Base stats'!E:E),Groups!A:A,Groups!AW:AW),"True","False")</f>
        <v>False</v>
      </c>
      <c r="CH117" s="25" t="str">
        <f>IF(
OR(
_xlfn.XLOOKUP(_xlfn.XLOOKUP(B117,'Base stats'!B:B,'Base stats'!E:E),Groups!A:A,Groups!AZ:AZ)=0,
AND(
_xlfn.XLOOKUP(B117,'Base stats'!B:B,'Base stats'!Y:Y)&lt;&gt;"Carnivore",
_xlfn.XLOOKUP(B117,'Base stats'!B:B,'Base stats'!Y:Y)&lt;&gt;"Omnivore",
_xlfn.XLOOKUP(B117,'Base stats'!B:B,'Base stats'!Y:Y)&lt;&gt;"OmnivoreRough"
)
),
"No",
IF(
_xlfn.XLOOKUP(_xlfn.XLOOKUP(B117,'Base stats'!B:B,'Base stats'!E:E),Groups!A:A,Groups!AZ:AZ)=1,
"Flesh",
IF(
_xlfn.XLOOKUP(_xlfn.XLOOKUP(B117,'Base stats'!B:B,'Base stats'!E:E),Groups!A:A,Groups!AZ:AZ)=2,
"Bone",
""
)
)
)</f>
        <v>No</v>
      </c>
      <c r="CI117" s="25" t="str">
        <f>IF(_xlfn.XLOOKUP(_xlfn.XLOOKUP(B117,'Base stats'!B:B,'Base stats'!E:E),Groups!A:A,Groups!BB:BB),"True","False")</f>
        <v>True</v>
      </c>
      <c r="CJ117" s="25" t="str">
        <f>IF(_xlfn.XLOOKUP(_xlfn.XLOOKUP(B117,'Base stats'!B:B,'Base stats'!E:E),Groups!A:A,Groups!BA:BA),"True","False")</f>
        <v>False</v>
      </c>
    </row>
    <row r="118" spans="1:88" ht="16.5" thickTop="1" thickBot="1" x14ac:dyDescent="0.3">
      <c r="A118" s="26" t="str">
        <f>_xlfn.XLOOKUP(B118,'Base stats'!B:B,'Base stats'!A:A)</f>
        <v>Platypus</v>
      </c>
      <c r="B118" s="6" t="s">
        <v>466</v>
      </c>
      <c r="C118" s="28" t="s">
        <v>799</v>
      </c>
      <c r="D118" s="28" t="s">
        <v>872</v>
      </c>
      <c r="E118" s="28" t="s">
        <v>673</v>
      </c>
      <c r="F118" s="28" t="s">
        <v>673</v>
      </c>
      <c r="G118" s="28" t="s">
        <v>673</v>
      </c>
      <c r="H118" s="2">
        <f>MROUND((
  (IF(AND(_xlfn.XLOOKUP(B118,'Base stats'!B:B,'Base stats'!AL:AL)=0,BI118="None",_xlfn.XLOOKUP(_xlfn.XLOOKUP(B118,'Base stats'!B:B,'Base stats'!E:E),Groups!A:A,Groups!B:B)=0), (18 + BR118 * 2.7) * 0.5,
    IF(AND(_xlfn.XLOOKUP(B118,'Base stats'!B:B,'Base stats'!AL:AL)=0,OR(AO118&lt;0.55,AND(BI118="Intermediate",_xlfn.XLOOKUP(_xlfn.XLOOKUP(B118,'Base stats'!B:B,'Base stats'!E:E),Groups!A:A,Groups!B:B)&lt;2))), (18 + BR118 * 2.7),
      IF(OR(BI118="Advanced",_xlfn.XLOOKUP(B118,'Base stats'!B:B,'Base stats'!AL:AL)=1,_xlfn.XLOOKUP(_xlfn.XLOOKUP(B118,'Base stats'!B:B,'Base stats'!E:E),Groups!A:A,Groups!B:B)=2), (18 + BR118 * 2.7) + 250, (18 + BR118 * 2.7))
    )
  ))
  + AO118 * 80
  + IF(COUNTIF(EggMilk!K$2:K$998, A118) &gt; 0, 125, 0)
  + IF(COUNTIF(EggMilk!P$2:P$998, A118) &gt; 0, 90, 0)
  + IF(COUNTIF(EggMilk!A$2:A$998, A118) &gt; 0, 90, 0)
)
* (0.8 + 0.4 * J118)
* 0.75,25)</f>
        <v>150</v>
      </c>
      <c r="I118" s="2">
        <f>MROUND(ROUNDDOWN(_xlfn.XLOOKUP(B118,'Base stats'!B:B,'Base stats'!L:L)/3.6/(23.3/11),1),0.5)</f>
        <v>1.5</v>
      </c>
      <c r="J118" s="2">
        <f>IF(OR(_xlfn.XLOOKUP(B118,'Base stats'!B:B,'Base stats'!AB:AB)=1,_xlfn.XLOOKUP(_xlfn.XLOOKUP(B118,'Base stats'!B:B,'Base stats'!E:E),Groups!A:A,Groups!C:C)="Untamable"),1,IF(_xlfn.XLOOKUP(B118,'Base stats'!B:B,'Base stats'!AL:AL)=1,0.99,MIN(MROUND((1-0.6282*EXP(-0.459*AO118))*_xlfn.XLOOKUP(_xlfn.XLOOKUP(B118,'Base stats'!B:B,'Base stats'!E:E),Groups!A:A,Groups!C:C)*IF(_xlfn.XLOOKUP(B118,'Base stats'!B:B,'Base stats'!O:O)=1,0.5,IF(_xlfn.XLOOKUP(B118,'Base stats'!B:B,'Base stats'!O:O)=2,0,1)),0.05),IF(AO118&gt;3.5,0.985,0.95))))</f>
        <v>0.60000000000000009</v>
      </c>
      <c r="K118" s="2">
        <f>ROUNDUP(AO118*_xlfn.XLOOKUP(_xlfn.XLOOKUP(B118,'Base stats'!B:B,'Base stats'!E:E),Groups!A:A,Groups!E:E),0)</f>
        <v>1</v>
      </c>
      <c r="L118" s="2">
        <f>IF(OR(_xlfn.XLOOKUP(_xlfn.XLOOKUP(B118,'Base stats'!B:B,'Base stats'!E:E),Groups!A:A,Groups!F:F)=2,ISNUMBER(SEARCH("SeaIce",BX118)),ISNUMBER(SEARCH("IceSheet",BX118))),-50,IF(OR(ISNUMBER(SEARCH("GlacialPlain",BX118)),ISNUMBER(SEARCH("Tundra",BX118))),-40,IF(OR(ISNUMBER(SEARCH("Alpine",BX118)),ISNUMBER(SEARCH("BorealForest",BX118)),ISNUMBER(SEARCH("ColdBog",BX118))),-30,IF(OR(ISNUMBER(SEARCH("TemperateForest",BX118)),ISNUMBER(SEARCH("TemperateSwamp",BX118))),-20,IF(_xlfn.XLOOKUP(_xlfn.XLOOKUP(B118,'Base stats'!B:B,'Base stats'!E:E),Groups!A:A,Groups!F:F)=1,-15,IF(OR(ISNUMBER(SEARCH("Desert",BX118)),ISNUMBER(SEARCH("ExtremeDesert",BX118))),-10,IF(OR(ISNUMBER(SEARCH("Grasslands",BX118)),ISNUMBER(SEARCH("TropicalRainforest",BX118)),ISNUMBER(SEARCH("TropicalSwamp",BX118))),10,0)))))))-IF(CC118="False",MIN(IFERROR(MAX(MROUND(LOG10(_xlfn.XLOOKUP(B118,'Base stats'!B:B,'Base stats'!C:C)^(2/3))*10,5),5),5),30))-_xlfn.XLOOKUP(B118,'Base stats'!B:B,'Base stats'!P:P)+IF(CC118="True",5,0)</f>
        <v>-25</v>
      </c>
      <c r="M118" s="2">
        <f>IF(OR(_xlfn.XLOOKUP(_xlfn.XLOOKUP(B118,'Base stats'!B:B,'Base stats'!E:E),Groups!A:A,Groups!G:G)=2,ISNUMBER(SEARCH("Desert",BX118)),ISNUMBER(SEARCH("ExtremeDesert",BX118)),ISNUMBER(SEARCH("LavaField",BX118))),50,IF(ISNUMBER(SEARCH("Grasslands",BX118)),45,IF(OR(_xlfn.XLOOKUP(_xlfn.XLOOKUP(B118,'Base stats'!B:B,'Base stats'!E:E),Groups!A:A,Groups!G:G)=1,ISNUMBER(SEARCH("TropicalRainforest",BX118)),ISNUMBER(SEARCH("TropicalSwamp",BX118))),40,IF(OR(ISNUMBER(SEARCH("TemperateForest",BX118)),ISNUMBER(SEARCH("TemperateSwamp",BX118))),35,IF(OR(ISNUMBER(SEARCH("Alpine",BX118)),ISNUMBER(SEARCH("BorealForest",BX118)),ISNUMBER(SEARCH("ColdBog",BX118))),30,IF(ISNUMBER(OR(ISNUMBER(SEARCH("GlacialPlain",BX118)),SEARCH("Tundra",BX118))),25,IF(OR(ISNUMBER(SEARCH("SeaIce",BX118)),ISNUMBER(SEARCH("IceSheet",BX118)),ISNUMBER(SEARCH("TropicalSwamp",BX118))),10,35)))))))+_xlfn.XLOOKUP(B118,'Base stats'!B:B,'Base stats'!Q:Q)</f>
        <v>35</v>
      </c>
      <c r="N118" s="8" t="str">
        <f>IF(
_xlfn.XLOOKUP(
_xlfn.XLOOKUP(B118,'Base stats'!B:B,'Base stats'!E:E),
Groups!A:A,
Groups!L:L
)=1,
MIN(
MROUND(
IF(
_xlfn.XLOOKUP(B118,'Animals CE'!B:B,'Animals CE'!Z:Z)&lt;=1.5,
_xlfn.XLOOKUP(B118,'Animals CE'!B:B,'Animals CE'!Z:Z)/2+0.05,
0.8+
(_xlfn.XLOOKUP(B118,'Animals CE'!B:B,'Animals CE'!Z:Z)-1.5)
*0.02
),
0.05
),
200%
),
"No"
)</f>
        <v>No</v>
      </c>
      <c r="O118" s="8" t="str">
        <f>IF(
_xlfn.XLOOKUP(
_xlfn.XLOOKUP(B118,'Base stats'!B:B,'Base stats'!E:E),
Groups!A:A,
Groups!L:L
)=1,
MIN(
MROUND(
IF(
_xlfn.XLOOKUP(B118,'Animals CE'!B:B,'Animals CE'!AA:AA)&lt;=1.5,
_xlfn.XLOOKUP(B118,'Animals CE'!B:B,'Animals CE'!AA:AA)/2+0.05,
0.8+
(_xlfn.XLOOKUP(B118,'Animals CE'!B:B,'Animals CE'!AA:AA)-1.5)
*0.02
),
0.05
),
200%
),
"No"
)</f>
        <v>No</v>
      </c>
      <c r="P118" s="2" t="str">
        <f>_xlfn.XLOOKUP(B118,'Base stats'!B:B,'Base stats'!R:R)</f>
        <v>Standard</v>
      </c>
      <c r="Q118" s="13">
        <f>MROUND((LOG10(_xlfn.XLOOKUP(B118,'Base stats'!B:B,'Base stats'!AR:AR))*(AO118^0.5)+(_xlfn.XLOOKUP(B118,'Base stats'!B:B,'Base stats'!AR:AR)/1000)^(2/3)+_xlfn.XLOOKUP(B118,'Base stats'!B:B,'Base stats'!BA:BA)/2)+0.5,0.5)</f>
        <v>1.5</v>
      </c>
      <c r="R118" s="7">
        <f>IF(Q118="No","No",MAX(1,MROUND(_xlfn.XLOOKUP(B118,'Base stats'!B:B,'Base stats'!C:C)^0.165,0.05)))</f>
        <v>1.05</v>
      </c>
      <c r="S118" s="13">
        <f>IF(_xlfn.XLOOKUP(_xlfn.XLOOKUP(B118,'Base stats'!B:B,'Base stats'!E:E),Groups!A:A,Groups!P:P)=0,"No",MROUND((LOG10(_xlfn.XLOOKUP(B118,'Base stats'!B:B,'Base stats'!AS:AS))*(AO118^0.5)+(_xlfn.XLOOKUP(B118,'Base stats'!B:B,'Base stats'!AS:AS)/1000)^(2/3)+_xlfn.XLOOKUP(B118,'Base stats'!B:B,'Base stats'!BA:BA))+_xlfn.XLOOKUP(B118,'Base stats'!B:B,'Base stats'!AY:AY)+0.5,0.5))</f>
        <v>3</v>
      </c>
      <c r="T118" s="7">
        <f>IF(S118="No","No",MAX(_xlfn.XLOOKUP(_xlfn.XLOOKUP(B118,'Base stats'!B:B,'Base stats'!E:E),Groups!A:A,Groups!Q:Q),MROUND(_xlfn.XLOOKUP(_xlfn.XLOOKUP(B118,'Base stats'!B:B,'Base stats'!E:E),Groups!A:A,Groups!Q:Q)*_xlfn.XLOOKUP(B118,'Base stats'!B:B,'Base stats'!C:C)^0.165,0.05)))</f>
        <v>0.95000000000000007</v>
      </c>
      <c r="U118" s="7" t="str">
        <f>IF(S118="No","No",_xlfn.XLOOKUP(_xlfn.XLOOKUP(B118,'Base stats'!B:B,'Base stats'!E:E),Groups!A:A,Groups!R:R))</f>
        <v>RearLeftSpur, RearRightSpur</v>
      </c>
      <c r="V118" s="7" t="str">
        <f>IF(S118="No","No",_xlfn.XLOOKUP(_xlfn.XLOOKUP(B118,'Base stats'!B:B,'Base stats'!E:E),Groups!A:A,Groups!S:S))</f>
        <v>left spur, right spur</v>
      </c>
      <c r="W118" s="7" t="str">
        <f>IF(S118="No","No",_xlfn.XLOOKUP(_xlfn.XLOOKUP(B118,'Base stats'!B:B,'Base stats'!E:E),Groups!A:A,Groups!T:T))</f>
        <v>ScratchToxic</v>
      </c>
      <c r="X118" s="13" t="str">
        <f>IF(_xlfn.XLOOKUP(B118,'Base stats'!B:B,'Base stats'!W:W)="No","No",MROUND((LOG10(_xlfn.XLOOKUP(B118,'Base stats'!B:B,'Base stats'!AU:AU))*(AO118^0.5)+(_xlfn.XLOOKUP(B118,'Base stats'!B:B,'Base stats'!AU:AU)/1000)^(2/3)+_xlfn.XLOOKUP(B118,'Base stats'!B:B,'Base stats'!AZ:AZ))+0.5+IF(_xlfn.XLOOKUP(_xlfn.XLOOKUP(B118,'Base stats'!B:B,'Base stats'!E:E),Groups!A:A,Groups!U:U)&lt;&gt;3,_xlfn.XLOOKUP(B118,'Base stats'!B:B,'Base stats'!BA:BA),0),0.5))</f>
        <v>No</v>
      </c>
      <c r="Y118" s="7" t="str">
        <f>IF(X118="No","No",MAX(_xlfn.XLOOKUP(_xlfn.XLOOKUP(B118,'Base stats'!B:B,'Base stats'!E:E),Groups!A:A,Groups!V:V),MROUND(_xlfn.XLOOKUP(_xlfn.XLOOKUP(B118,'Base stats'!B:B,'Base stats'!E:E),Groups!A:A,Groups!V:V)*_xlfn.XLOOKUP(B118,'Base stats'!B:B,'Base stats'!C:C)^0.165,0.05)))</f>
        <v>No</v>
      </c>
      <c r="Z118" s="7" t="str">
        <f>IF(X118="No","No",_xlfn.XLOOKUP(_xlfn.XLOOKUP(B118,'Base stats'!B:B,'Base stats'!E:E),Groups!A:A,Groups!W:W))</f>
        <v>No</v>
      </c>
      <c r="AA118" s="7" t="str">
        <f>IF(X118="No","No",_xlfn.XLOOKUP(_xlfn.XLOOKUP(B118,'Base stats'!B:B,'Base stats'!E:E),Groups!A:A,Groups!X:X))</f>
        <v>No</v>
      </c>
      <c r="AB118" s="7" t="str">
        <f>IF(X118="No","No",_xlfn.XLOOKUP(_xlfn.XLOOKUP(B118,'Base stats'!B:B,'Base stats'!E:E),Groups!A:A,Groups!Y:Y))</f>
        <v>No</v>
      </c>
      <c r="AC118" s="7" t="str">
        <f>_xlfn.XLOOKUP(Animals!B118,'Base stats'!B:B,'Base stats'!X:X)</f>
        <v>False</v>
      </c>
      <c r="AD118" s="13">
        <f>IF(_xlfn.XLOOKUP(B118,'Base stats'!B:B,'Base stats'!AT:AT)="No","No",MROUND((LOG10(_xlfn.XLOOKUP(B118,'Base stats'!B:B,'Base stats'!AT:AT))*(AO118^0.75)+(_xlfn.XLOOKUP(B118,'Base stats'!B:B,'Base stats'!AT:AT)/1000)^(2/3)+_xlfn.XLOOKUP(B118,'Base stats'!B:B,'Base stats'!AX:AX)+_xlfn.XLOOKUP(B118,'Base stats'!B:B,'Base stats'!BA:BA))+0.5,0.5))</f>
        <v>2</v>
      </c>
      <c r="AE118" s="7">
        <f>IF(AD118="No","No",MAX(_xlfn.XLOOKUP(_xlfn.XLOOKUP(B118,'Base stats'!B:B,'Base stats'!E:E),Groups!A:A,Groups!Z:Z),MROUND(_xlfn.XLOOKUP(_xlfn.XLOOKUP(B118,'Base stats'!B:B,'Base stats'!E:E),Groups!A:A,Groups!Z:Z)*_xlfn.XLOOKUP(B118,'Base stats'!B:B,'Base stats'!C:C)^0.165,0.05)))</f>
        <v>0.95000000000000007</v>
      </c>
      <c r="AF118" s="7" t="str">
        <f>IF(AD118="No","No",_xlfn.XLOOKUP(_xlfn.XLOOKUP(B118,'Base stats'!B:B,'Base stats'!E:E),Groups!A:A,Groups!AA:AA))</f>
        <v>Teeth</v>
      </c>
      <c r="AG118" s="7" t="str">
        <f>IF(AD118="No","No",_xlfn.XLOOKUP(_xlfn.XLOOKUP(B118,'Base stats'!B:B,'Base stats'!E:E),Groups!A:A,Groups!AB:AB))</f>
        <v>beak</v>
      </c>
      <c r="AH118" s="7" t="str">
        <f>IF(AD118="No","No",_xlfn.XLOOKUP(_xlfn.XLOOKUP(B118,'Base stats'!B:B,'Base stats'!E:E),Groups!A:A,Groups!AC:AC))</f>
        <v>Bite</v>
      </c>
      <c r="AI118" s="13" t="str">
        <f>IF(_xlfn.XLOOKUP(_xlfn.XLOOKUP(B118,'Base stats'!B:B,'Base stats'!E:E),Groups!A:A,Groups!AD:AD)=0,"No",MROUND((LOG10(_xlfn.XLOOKUP(B118,'Base stats'!B:B,'Base stats'!AS:AS))*(AO118^0.75)+(_xlfn.XLOOKUP(B118,'Base stats'!B:B,'Base stats'!AS:AS)/1000)^(2/3)+_xlfn.XLOOKUP(B118,'Base stats'!B:B,'Base stats'!AY:AY)+_xlfn.XLOOKUP(B118,'Base stats'!B:B,'Base stats'!BA:BA))+0.5,0.5))</f>
        <v>No</v>
      </c>
      <c r="AJ118" s="7" t="str">
        <f>IF(AI118="No","No",MAX(_xlfn.XLOOKUP(_xlfn.XLOOKUP(B118,'Base stats'!B:B,'Base stats'!E:E),Groups!A:A,Groups!AE:AE),MROUND(_xlfn.XLOOKUP(_xlfn.XLOOKUP(B118,'Base stats'!B:B,'Base stats'!E:E),Groups!A:A,Groups!AE:AE)*IF(_xlfn.XLOOKUP(_xlfn.XLOOKUP(B118,'Base stats'!B:B,'Base stats'!E:E),Groups!A:A,Groups!AJ:AJ)="Photonozoa",0.6,1)*_xlfn.XLOOKUP(B118,'Base stats'!B:B,'Base stats'!C:C)^0.165,0.05)))</f>
        <v>No</v>
      </c>
      <c r="AK118" s="7" t="str">
        <f>IF(AI118="No","No",_xlfn.XLOOKUP(_xlfn.XLOOKUP(B118,'Base stats'!B:B,'Base stats'!E:E),Groups!A:A,Groups!AF:AF))</f>
        <v>No</v>
      </c>
      <c r="AL118" s="7" t="str">
        <f>IF(AI118="No","No",_xlfn.XLOOKUP(_xlfn.XLOOKUP(B118,'Base stats'!B:B,'Base stats'!E:E),Groups!A:A,Groups!AG:AG))</f>
        <v>No</v>
      </c>
      <c r="AM118" s="7" t="str">
        <f>IF(AI118="No","No",_xlfn.XLOOKUP(_xlfn.XLOOKUP(B118,'Base stats'!B:B,'Base stats'!E:E),Groups!A:A,Groups!AH:AH))</f>
        <v>No</v>
      </c>
      <c r="AN118" s="2" t="str">
        <f t="shared" si="7"/>
        <v>No</v>
      </c>
      <c r="AO118" s="2">
        <f>MROUND(IF(AND(_xlfn.XLOOKUP(B118,'Base stats'!B:B,'Base stats'!C:C)&gt;=0.5,_xlfn.XLOOKUP(B118,'Base stats'!B:B,'Base stats'!C:C)&lt;=0.8),
IF(_xlfn.XLOOKUP(B118,'Base stats'!B:B,'Base stats'!C:C)&lt;0.1,0.05,IF(_xlfn.XLOOKUP(B118,'Base stats'!B:B,'Base stats'!C:C)&lt;=70,(_xlfn.XLOOKUP(B118,'Base stats'!B:B,'Base stats'!C:C)/70)^0.426489913056526,IF(_xlfn.XLOOKUP(B118,'Base stats'!B:B,'Base stats'!C:C)&lt;=400,(_xlfn.XLOOKUP(B118,'Base stats'!B:B,'Base stats'!C:C)/70)^0.572811455315093,IF(_xlfn.XLOOKUP(B118,'Base stats'!B:B,'Base stats'!C:C)&lt;=2000,2.71391647193063*(_xlfn.XLOOKUP(B118,'Base stats'!B:B,'Base stats'!C:C)/400)^0.252459582904293,3.74314280240376*(_xlfn.XLOOKUP(B118,'Base stats'!B:B,'Base stats'!C:C)/2000)^0.357012633876913)))),
IF(_xlfn.XLOOKUP(B118,'Base stats'!B:B,'Base stats'!C:C)&lt;0.1,0.05,IF(_xlfn.XLOOKUP(B118,'Base stats'!B:B,'Base stats'!C:C)&lt;0.4,0.1,IF(_xlfn.XLOOKUP(B118,'Base stats'!B:B,'Base stats'!C:C)&lt;=70,(_xlfn.XLOOKUP(B118,'Base stats'!B:B,'Base stats'!C:C)/70)^0.445823913056526,IF(_xlfn.XLOOKUP(B118,'Base stats'!B:B,'Base stats'!C:C)&lt;=400,(_xlfn.XLOOKUP(B118,'Base stats'!B:B,'Base stats'!C:C)/70)^0.572811455315093,IF(_xlfn.XLOOKUP(B118,'Base stats'!B:B,'Base stats'!C:C)&lt;=2000,2.71391647193063*(_xlfn.XLOOKUP(B118,'Base stats'!B:B,'Base stats'!C:C)/400)^0.252459582904293,3.74314280240376*(_xlfn.XLOOKUP(B118,'Base stats'!B:B,'Base stats'!C:C)/2000)^0.357012633876913)))))),
IF(_xlfn.XLOOKUP(B118,'Base stats'!B:B,'Base stats'!C:C)&lt;0.1,0.05,IF(_xlfn.XLOOKUP(B118,'Base stats'!B:B,'Base stats'!C:C)&lt;=100,0.05,IF(_xlfn.XLOOKUP(B118,'Base stats'!B:B,'Base stats'!C:C)&lt;=250,0.1,IF(_xlfn.XLOOKUP(B118,'Base stats'!B:B,'Base stats'!C:C)&lt;=4000,0.25,0.5)))))</f>
        <v>0.15000000000000002</v>
      </c>
      <c r="AP118" s="8">
        <f>MROUND(AO118*_xlfn.XLOOKUP(_xlfn.XLOOKUP(B118,'Base stats'!B:B,'Base stats'!E:E),Groups!A:A,Groups!AI:AI)*_xlfn.XLOOKUP(B118,'Base stats'!B:B,'Base stats'!Z:Z),0.05)</f>
        <v>0.15000000000000002</v>
      </c>
      <c r="AQ118" s="8">
        <f>MAX(0.01,MROUND(IF(CC118="True",0.196*(AO118*100*1000)^0.889,IF(_xlfn.XLOOKUP(_xlfn.XLOOKUP(B118,'Base stats'!B:B,'Base stats'!E:E),Groups!A:A,Groups!AJ:AJ)="Bird",10.5*(AO118*100*1000)^0.681,4.82*(AO118*100*1000)^0.734))/(4.82*(1*100*1000)^0.734)/IF(AO118&lt;3.5,2,IF(AO118=3.5,1.5,1.25))*(1+0.132282374779864/(AO118^0.994035016789033+0.00905238001496948)),0.05))</f>
        <v>0.25</v>
      </c>
      <c r="AR118" s="9">
        <f>IFERROR(MROUND(_xlfn.XLOOKUP(B118,'Base stats'!B:B,'Base stats'!H:H)/IF(_xlfn.XLOOKUP(B118,'Base stats'!B:B,'Base stats'!I:I)&lt;&gt;1,(122.5/70),1.2),IF(_xlfn.XLOOKUP(B118,'Base stats'!B:B,'Base stats'!H:H)&gt;=30,5,IF(_xlfn.XLOOKUP(B118,'Base stats'!B:B,'Base stats'!H:H)&gt;=15,3,IF(_xlfn.XLOOKUP(B118,'Base stats'!B:B,'Base stats'!H:H)&gt;=10,2,1)))),"Immortal")</f>
        <v>12</v>
      </c>
      <c r="AS118" s="35" t="str">
        <f>IFERROR(IF(OR(_xlfn.XLOOKUP(B118,'Base stats'!B:B,'Base stats'!F:F)="Atypical reproduction",_xlfn.XLOOKUP(B118,'Base stats'!B:B,'Base stats'!F:F)="Lay eggs"),"Lay eggs",MIN(20,MAX(5.5,ROUND(((_xlfn.XLOOKUP(B118,'Base stats'!B:B,'Base stats'!F:F)-25)*(14.5/615) + 5.5)*2,0)/2))),"Unknown")</f>
        <v>Lay eggs</v>
      </c>
      <c r="AT118" s="8">
        <f>IF(_xlfn.XLOOKUP(B118,'Base stats'!B:B,'Base stats'!G:G)="Atypical reproduction","No",IFERROR(MAX(IF(_xlfn.XLOOKUP(B118,'Base stats'!B:B,'Base stats'!G:G)&lt;0.5,0.2,0.3),MROUND(_xlfn.XLOOKUP(B118,'Base stats'!B:B,'Base stats'!G:G)/(365/60),0.2)),"Unknown"))</f>
        <v>0.3</v>
      </c>
      <c r="AU118" s="8">
        <f t="shared" si="8"/>
        <v>0.15000000000000002</v>
      </c>
      <c r="AV118" s="8" t="str">
        <f>IFERROR(IFERROR(MROUND(_xlfn.XLOOKUP(B118,'Base stats'!B:B,'Base stats'!J:J),0.1),"Lay eggs"),"Cannot breed")</f>
        <v>Lay eggs</v>
      </c>
      <c r="AW118" s="2" t="str">
        <f t="shared" si="9"/>
        <v>false</v>
      </c>
      <c r="AX118" s="2" t="str">
        <f>IF(_xlfn.XLOOKUP(_xlfn.XLOOKUP(Animals!B118,'Base stats'!B:B,'Base stats'!E:E),Groups!A:A,Groups!AK:AK)=1,"true","false")</f>
        <v>false</v>
      </c>
      <c r="AY118" s="25" t="str">
        <f>IF(_xlfn.XLOOKUP(B118,'Base stats'!B:B,'Base stats'!Y:Y)="Liquor","Liquor, CarnivoreAnimalStrict",IF(AND(_xlfn.XLOOKUP(B118,'Base stats'!B:B,'Base stats'!Y:Y)="Carnivore",_xlfn.XLOOKUP(_xlfn.XLOOKUP(B118,'Base stats'!B:B,'Base stats'!E:E),Groups!A:A,Groups!AJ:AJ)="Photonozoa"),"CarnivoreAnimalStrict, OvivoreAnimal",IF(_xlfn.XLOOKUP(B118,'Base stats'!B:B,'Base stats'!Y:Y)="Carnivore","CarnivoreAnimal, OvivoreAnimal",IF(_xlfn.XLOOKUP(B118,'Base stats'!B:B,'Base stats'!Y:Y)="Dendrovore","VegetarianRoughAnimal, DendrovoreAnimal",IF(_xlfn.XLOOKUP(B118,'Base stats'!B:B,'Base stats'!Y:Y)="Herbivore","VegetarianRoughAnimal",IF(_xlfn.XLOOKUP(B118,'Base stats'!B:B,'Base stats'!Y:Y)="OmnivoreRough","OmnivoreRoughAnimal, OvivoreAnimal","OmnivoreAnimal, OvivoreAnimal"))))))</f>
        <v>CarnivoreAnimal, OvivoreAnimal</v>
      </c>
      <c r="AZ118" s="2" t="str">
        <f>IF(_xlfn.XLOOKUP(_xlfn.XLOOKUP(B118,'Base stats'!B:B,'Base stats'!E:E),Groups!A:A,Groups!D:D)=1,MROUND((1-J118)*5+1,2)*IF(J118&lt;=0.4,2,1),"No")</f>
        <v>No</v>
      </c>
      <c r="BA118" s="2" t="str">
        <f>IF(AND(_xlfn.XLOOKUP(B118,'Base stats'!B:B,'Base stats'!AH:AH)="&lt;li&gt;Seal&lt;/li&gt;",G118="Odyssey"),"&lt;li&gt;AEXP_Seal&lt;/li&gt;",_xlfn.XLOOKUP(B118,'Base stats'!B:B,'Base stats'!AH:AH))</f>
        <v>No</v>
      </c>
      <c r="BB118" s="2" t="str">
        <f>_xlfn.XLOOKUP(B118,'Base stats'!B:B,'Base stats'!AG:AG)</f>
        <v>Leather_Light</v>
      </c>
      <c r="BC118" s="23" t="str">
        <f>_xlfn.XLOOKUP(_xlfn.XLOOKUP(B118,'Base stats'!B:B,'Base stats'!E:E),Groups!A:A,Groups!AL:AL)</f>
        <v>QuadrupedAnimalWithPawsAndTailAndSpur</v>
      </c>
      <c r="BD118" s="23">
        <f>MIN(1,MROUND(IF(AND(AO118&lt;0.5,_xlfn.XLOOKUP(B118,'Base stats'!B:B,'Base stats'!AA:AA)=0),0,IF(OR(_xlfn.XLOOKUP(Animals!B118,'Base stats'!B:B,'Base stats'!O:O)=2,_xlfn.XLOOKUP(_xlfn.XLOOKUP(B118,'Base stats'!B:B,'Base stats'!E:E),Groups!A:A,Groups!AN:AN)=0),0,_xlfn.XLOOKUP(_xlfn.XLOOKUP(B118,'Base stats'!B:B,'Base stats'!E:E),Groups!A:A,Groups!AN:AN)/IF(_xlfn.XLOOKUP(Animals!B118,'Base stats'!B:B,'Base stats'!O:O)=1,2,1)))+_xlfn.XLOOKUP(B118,'Base stats'!B:B,'Base stats'!AC:AC),0.005))</f>
        <v>0</v>
      </c>
      <c r="BE118" s="23">
        <f>MIN(1,MROUND(IF(AND(AO118&lt;0.5,_xlfn.XLOOKUP(B118,'Base stats'!B:B,'Base stats'!AA:AA)=0),0,IF(_xlfn.XLOOKUP(_xlfn.XLOOKUP(B118,'Base stats'!B:B,'Base stats'!E:E),Groups!A:A,Groups!AO:AO)=0,0,_xlfn.XLOOKUP(_xlfn.XLOOKUP(B118,'Base stats'!B:B,'Base stats'!E:E),Groups!A:A,Groups!AO:AO)/IF(_xlfn.XLOOKUP(Animals!B118,'Base stats'!B:B,'Base stats'!O:O)=2,3,1)))+_xlfn.XLOOKUP(B118,'Base stats'!B:B,'Base stats'!AD:AD),0.005))</f>
        <v>0</v>
      </c>
      <c r="BF118" s="2" t="str">
        <f>IF(J118&gt;0.3,"No",_xlfn.XLOOKUP(_xlfn.XLOOKUP(Animals!B118,'Base stats'!B:B,'Base stats'!E:E),Groups!A:A,Groups!AP:AP))</f>
        <v>No</v>
      </c>
      <c r="BG118" s="2" t="str">
        <f>IF(AND(J118&lt;=0.65,_xlfn.XLOOKUP(_xlfn.XLOOKUP(Animals!B118,'Base stats'!B:B,'Base stats'!E:E),Groups!A:A,Groups!AP:AP)&lt;&gt;"No",_xlfn.XLOOKUP(_xlfn.XLOOKUP(B118,'Base stats'!B:B,'Base stats'!E:E),Groups!A:A,Groups!D:D)=0),MROUND((80/3)*IF(_xlfn.XLOOKUP(B118,'Base stats'!B:B,'Base stats'!O:O)=2,0.2,AO118) + 24*(1-IF(BF118="No",0,BF118)) + 16/3, 12),"No")</f>
        <v>No</v>
      </c>
      <c r="BH118" s="2">
        <f>IF(AND(_xlfn.XLOOKUP(_xlfn.XLOOKUP(B118,'Base stats'!B:B,'Base stats'!E:E),Groups!A:A,Groups!AQ:AQ)=1,AO118&lt;=0.35),8,12)</f>
        <v>12</v>
      </c>
      <c r="BI118" s="2" t="str">
        <f>IF(_xlfn.XLOOKUP(_xlfn.XLOOKUP(B118,'Base stats'!B:B,'Base stats'!E:E),Groups!A:A,Groups!D:D)=0,_xlfn.XLOOKUP(_xlfn.XLOOKUP(B118,'Base stats'!B:B,'Base stats'!E:E),Groups!A:A,Groups!AR:AR),"None")</f>
        <v>None</v>
      </c>
      <c r="BJ118" s="2" t="str">
        <f>IF(AND(_xlfn.XLOOKUP(_xlfn.XLOOKUP(B118,'Base stats'!B:B,'Base stats'!E:E),Groups!A:A,Groups!AS:AS)=1,OR(_xlfn.XLOOKUP(B118,'Base stats'!B:B,'Base stats'!Y:Y)="Carnivore",_xlfn.XLOOKUP(B118,'Base stats'!B:B,'Base stats'!Y:Y)="Omnivore")),"true","false")</f>
        <v>false</v>
      </c>
      <c r="BK118" s="2" t="str">
        <f>IF(BJ118="true",MROUND(IF(AND(AO118&gt;0.5,OR(_xlfn.XLOOKUP(_xlfn.XLOOKUP(B118,'Base stats'!B:B,'Base stats'!E:E),Groups!A:A,Groups!AJ:AJ)="Photonozoa",_xlfn.XLOOKUP(_xlfn.XLOOKUP(B118,'Base stats'!B:B,'Base stats'!E:E),Groups!A:A,Groups!AJ:AJ)="Mammal")),Animals!AO118*1.75*IF(AW118="true",1.5,1),IF(AO118&lt;0.5,Animals!AO118*0.5,Animals!AO118)),IF(AO118&gt;2,0.5,IF(AO118&gt;0.5,0.25,0.1))),"No")</f>
        <v>No</v>
      </c>
      <c r="BL118" s="2">
        <f t="shared" si="10"/>
        <v>0</v>
      </c>
      <c r="BM118" s="25">
        <f>IF(_xlfn.XLOOKUP(B118,'Base stats'!B:B,'Base stats'!AN:AN)="Standard","No",MROUND((_xlfn.XLOOKUP(B118,'Base stats'!B:B,'Base stats'!AN:AN)/3.6)/I118,0.1))</f>
        <v>1.4000000000000001</v>
      </c>
      <c r="BN118" s="25" t="str">
        <f t="shared" si="11"/>
        <v>true</v>
      </c>
      <c r="BO118" s="25" t="str">
        <f>IF(AND(OR(_xlfn.XLOOKUP(B118,'Base stats'!B:B,'Base stats'!Y:Y)="Carnivore",_xlfn.XLOOKUP(B118,'Base stats'!B:B,'Base stats'!Y:Y)="Omnivore",_xlfn.XLOOKUP(B118,'Base stats'!B:B,'Base stats'!Y:Y)="OmnivoreRough"),_xlfn.XLOOKUP(_xlfn.XLOOKUP(B118,'Base stats'!B:B,'Base stats'!E:E),Groups!A:A,Groups!AT:AT)=1),"true","false")</f>
        <v>true</v>
      </c>
      <c r="BP118" s="25" t="str" cm="1">
        <f t="array" ref="BP118">IF(
  _xlfn.TEXTJOIN(", ",TRUE,
    IF(AND(BJ118="true",AO118&gt;0.5,BI118&lt;&gt;"None"),"AttackTarget",""),
    IF(AND(_xlfn.XLOOKUP(_xlfn.XLOOKUP(B118,'Base stats'!B:B,'Base stats'!E:E),Groups!A:A,Groups!AJ:AJ="Mammal"),OR(_xlfn.XLOOKUP(B118,'Base stats'!B:B,'Base stats'!Y:Y)="Omnivore",_xlfn.XLOOKUP(B118,'Base stats'!B:B,'Base stats'!Y:Y)="OmnivoreRough")),"Forage",""),
    IF(BG118&lt;=36,"Comfort",""),
    IF(_xlfn.XLOOKUP(B118,'Base stats'!B:B,'Base stats'!AE:AE)&lt;&gt;"No",_xlfn.XLOOKUP(B118,'Base stats'!B:B,'Base stats'!AE:AE),"")
  ) = "",
  "No",
  _xlfn.TEXTJOIN(", ",TRUE,
    IF(AND(BJ118="true",AO118&gt;0.5,BI118&lt;&gt;"None"),"AttackTarget",""),
    IF(AND(_xlfn.XLOOKUP(_xlfn.XLOOKUP(B118,'Base stats'!B:B,'Base stats'!E:E),Groups!A:A,Groups!AJ:AJ="Mammal"),OR(_xlfn.XLOOKUP(B118,'Base stats'!B:B,'Base stats'!Y:Y)="Omnivore",_xlfn.XLOOKUP(B118,'Base stats'!B:B,'Base stats'!Y:Y)="OmnivoreRough")),"Forage",""),
    IF(BG118&lt;=36,"Comfort",""),
    IF(_xlfn.XLOOKUP(B118,'Base stats'!B:B,'Base stats'!AE:AE)&lt;&gt;"No",_xlfn.XLOOKUP(B118,'Base stats'!B:B,'Base stats'!AE:AE),"")
  )
)</f>
        <v>No</v>
      </c>
      <c r="BQ118" s="25">
        <f>IF(
   AND(
      'Base stats'!AN118="Standard",_xlfn.XLOOKUP(_xlfn.XLOOKUP(B118,'Base stats'!B:B,'Base stats'!E:E),Groups!A:A,Groups!AU:AU)=0,
      OR(
      BO118="True"
      )
   ),
   10,
   IF(
       OR(BM118&lt;&gt;"No",_xlfn.XLOOKUP(_xlfn.XLOOKUP(B118,'Base stats'!B:B,'Base stats'!E:E),Groups!A:A,Groups!AU:AU)=1),
      1,
      "No"
   )
)</f>
        <v>1</v>
      </c>
      <c r="BR118" s="9">
        <f>MROUND((1 + ((0.2*IF(OR(Q118="No",R118="No",R118=0),0,Q118/R118)
+IF(OR(V118="No",S118="No",T118="No"),0,S118/T118*(LEN(V118)-LEN(SUBSTITUTE(V118,",",""))+1))
+IF(OR(X118="No",Y118="No"),0,X118/Y118)
+IF(OR(AD118="No",AE118="No"),0,AD118/AE118)
+IF(OR(AL118="No",AI118="No",AJ118="No"),0,AI118/AJ118*(LEN(AL118)-LEN(SUBSTITUTE(AL118,",",""))+1))
)/(0.2*IF(OR(Q118="No",R118="No",R118=0),0,1)
+IF(OR(V118="No",S118="No",T118="No"),0,LEN(V118)-LEN(SUBSTITUTE(V118,",",""))+1)
+IF(OR(X118="No",Y118="No"),0,1)
+IF(OR(AD118="No",AE118="No"),0,1)
+IF(OR(AL118="No",AI118="No",AJ118="No"),0,LEN(AL118)-LEN(SUBSTITUTE(AL118,",",""))+1))*62%)* 2)*(1 + (AP118 / (IF(_xlfn.XLOOKUP(_xlfn.XLOOKUP(B118,'Base stats'!B:B,'Base stats'!E:E),Groups!A:A,Groups!AJ:AJ)="Photonozoa",0.3,1)) + _xlfn.XLOOKUP(B118,'Base stats'!B:B,'Base stats'!AV:AV) * 1.8) * 2) * 2.5 + 10 + I118 * 2,5)+IF(_xlfn.XLOOKUP(B118,'Base stats'!B:B,'Base stats'!AK:AK)=1,50,0)</f>
        <v>25</v>
      </c>
      <c r="BS118" s="8">
        <f t="shared" si="12"/>
        <v>0.25</v>
      </c>
      <c r="BT118" s="8" t="str">
        <f>_xlfn.XLOOKUP(B118,'Base stats'!B:B,'Base stats'!AF:AF)</f>
        <v>No</v>
      </c>
      <c r="BU118" s="2" t="str">
        <f>IF(AND(J118&lt;=0.95,OR(_xlfn.XLOOKUP(B118,'Base stats'!B:B,'Base stats'!AK:AK)=1,_xlfn.XLOOKUP(B118,'Base stats'!B:B,'Base stats'!Y:Y)="Carnivore",_xlfn.XLOOKUP(B118,'Base stats'!B:B,'Base stats'!Y:Y)="Omnivore",BE118&gt;0.1)),"true","false")</f>
        <v>true</v>
      </c>
      <c r="BV118" s="2" t="str">
        <f>IF(_xlfn.XLOOKUP(B118,'Base stats'!B:B,'Base stats'!AI:AI)=1,"true","false")</f>
        <v>false</v>
      </c>
      <c r="BW118" s="25" t="str">
        <f>IF(E118="BaseInsect","AnimalInsect",
IF(J118&gt;0.95,"AnimalExotic",
_xlfn.TEXTJOIN(", ",TRUE,
IF(OR(_xlfn.XLOOKUP(B118,'Base stats'!B:B,'Base stats'!AM:AM)=1,AND(_xlfn.XLOOKUP(B118,'Base stats'!B:B,'Base stats'!O:O)=0,_xlfn.XLOOKUP(_xlfn.XLOOKUP(B118,'Base stats'!B:B,'Base stats'!E:E),Groups!A:A,Groups!B:B)&gt;0)),"AnimalUncommon","AnimalCommon"),
IF(AND(_xlfn.XLOOKUP(B118,'Base stats'!B:B,'Base stats'!O:O)=2,_xlfn.XLOOKUP(_xlfn.XLOOKUP(B118,'Base stats'!B:B,'Base stats'!E:E),Groups!A:A,Groups!D:D)=0),"AnimalPet",IF(AND(_xlfn.XLOOKUP(B118,'Base stats'!B:B,'Base stats'!O:O)&lt;&gt;0,_xlfn.XLOOKUP(_xlfn.XLOOKUP(B118,'Base stats'!B:B,'Base stats'!E:E),Groups!A:A,Groups!D:D)&lt;&gt;0),"AnimalFarm","")),
IF(OR(_xlfn.XLOOKUP(B118,'Base stats'!B:B,'Base stats'!AK:AK)=1,AND(BI118&lt;&gt;"None",BR118&gt;=60),ISNUMBER(SEARCH("Attack target",BP118))),"AnimalFighter","")
)))</f>
        <v>AnimalUncommon</v>
      </c>
      <c r="BX118" s="25" t="str">
        <f>IF(G118="None",TRIM(
SUBSTITUTE(
IF(COUNTIF(Biomes!B$2:B$259,"="&amp;$C118)&gt;0,Biomes!B$1&amp;", ","")&amp;
IF(COUNTIF(Biomes!C$2:C$259,"="&amp;$C118)&gt;0,Biomes!C$1&amp;", ","")&amp;
IF(COUNTIF(Biomes!D$2:D$259,"="&amp;$C118)&gt;0,Biomes!D$1&amp;", ","")&amp;
IF(COUNTIF(Biomes!F$2:F$259,"="&amp;$C118)&gt;0,Biomes!F$1&amp;", ","")&amp;
IF(COUNTIF(Biomes!G$2:G$259,"="&amp;$C118)&gt;0,Biomes!G$1&amp;", ","")&amp;
IF(COUNTIF(Biomes!H$2:H$259,"="&amp;$C118)&gt;0,Biomes!H$1&amp;", ","")&amp;
IF(COUNTIF(Biomes!I$2:I$259,"="&amp;$C118)&gt;0,Biomes!I$1&amp;", ","")&amp;
IF(COUNTIF(Biomes!J$2:J$259,"="&amp;$C118)&gt;0,Biomes!J$1&amp;", ","")&amp;
IF(COUNTIF(Biomes!M$2:M$259,"="&amp;$C118)&gt;0,Biomes!M$1&amp;", ","")&amp;
IF(COUNTIF(Biomes!N$2:N$259,"="&amp;$C118)&gt;0,Biomes!N$1&amp;", ","")&amp;
IF(COUNTIF(Biomes!O$2:O$259,"="&amp;$C118)&gt;0,Biomes!O$1&amp;", ","")&amp;
IF(COUNTIF(Biomes!P$2:P$259,"="&amp;$C118)&gt;0,Biomes!P$1&amp;", ","")&amp;
IF(COUNTIF(Biomes!K$2:K$259,"="&amp;$C118)&gt;0,Biomes!K$1&amp;", ","")&amp;
IF(COUNTIF(Biomes!Q$3:Q$259,"="&amp;$C118)&gt;0,Biomes!Q$1&amp;", ","")&amp;
IF(COUNTIF(Biomes!L$2:L$259,"="&amp;$C118)&gt;0,Biomes!L$1&amp;", ","")&amp;
IF(COUNTIF(Biomes!E$2:E$259,"="&amp;$C118)&gt;0,Biomes!E$1&amp;", ","")&amp;IF(COUNTIF(Biomes!S$2:S$259,"="&amp;$C118)&gt;0,Biomes!S$1&amp;", ","")&amp;
IF(COUNTIF(Biomes!R$2:R$259,"="&amp;$C118)&gt;0,Biomes!R$1&amp;", ",""),", ","")
),_xlfn.XLOOKUP(B118,B:B,BX:BX))</f>
        <v>TemperateSwamp</v>
      </c>
      <c r="BY118" s="25" t="str">
        <f>IF(_xlfn.XLOOKUP(B118,'Base stats'!B:B,'Base stats'!AJ:AJ)=1,"true","false")</f>
        <v>false</v>
      </c>
      <c r="BZ118" s="25">
        <f>IF(_xlfn.XLOOKUP(B118,'Base stats'!B:B,'Base stats'!N:N)=1,"No",MAX(0.001,MIN(MROUND(IF(AND(BJ118="True",CC118="False"),POWER(10,3.47*LOG10(_xlfn.XLOOKUP(B118,'Base stats'!B:B,'Base stats'!C:C)*1000)^-0.96),POWER(10,4.15*LOG10(_xlfn.XLOOKUP(B118,'Base stats'!B:B,'Base stats'!C:C)*1000)^-0.73))*IF(_xlfn.XLOOKUP(B118,'Base stats'!B:B,'Base stats'!AK:AK)=1,0.5,1)*IF(_xlfn.XLOOKUP(B118,'Base stats'!B:B,'Base stats'!AM:AM)=1,0.1,1)/100,IF(_xlfn.XLOOKUP(B118,'Base stats'!B:B,'Base stats'!AM:AM)=1,0.001,0.025)),0.5)))</f>
        <v>6.6000000000000003E-2</v>
      </c>
      <c r="CA118" s="25" t="str">
        <f>IF(P118="Standard","No",MAX(0.001,MIN(MROUND(IF(AND(BJ118="True",CC118="False"),POWER(10,3.47*LOG10(_xlfn.XLOOKUP(B118,'Base stats'!B:B,'Base stats'!C:C)*1000)^-0.96),POWER(10,4.15*LOG10(_xlfn.XLOOKUP(B118,'Base stats'!B:B,'Base stats'!C:C)*1000)^-0.73))*IF(_xlfn.XLOOKUP(B118,'Base stats'!B:B,'Base stats'!AM:AM)=1,0.1,1)*_xlfn.XLOOKUP(B118,'Base stats'!B:B,'Base stats'!R:R)/100,IF(_xlfn.XLOOKUP(B118,'Base stats'!B:B,'Base stats'!AM:AM)=1,0.001,0.025)),0.5)))</f>
        <v>No</v>
      </c>
      <c r="CB118" s="25" t="str">
        <f>IF(_xlfn.XLOOKUP(_xlfn.XLOOKUP(B118,'Base stats'!B:B,'Base stats'!E:E),Groups!A:A,Groups!AJ:AJ)="Mammal","True","False")</f>
        <v>False</v>
      </c>
      <c r="CC118" s="25" t="str">
        <f>IF(OR(_xlfn.XLOOKUP(_xlfn.XLOOKUP(B118,'Base stats'!B:B,'Base stats'!E:E),Groups!A:A,Groups!AJ:AJ)="Reptile",_xlfn.XLOOKUP(_xlfn.XLOOKUP(B118,'Base stats'!B:B,'Base stats'!E:E),Groups!A:A,Groups!AJ:AJ)="Amphibian",_xlfn.XLOOKUP(_xlfn.XLOOKUP(B118,'Base stats'!B:B,'Base stats'!E:E),Groups!A:A,Groups!AJ:AJ)="Invertebrate"),"True","False")</f>
        <v>False</v>
      </c>
      <c r="CD118" s="25" t="str">
        <f t="shared" si="13"/>
        <v>False</v>
      </c>
      <c r="CE118" s="25" t="str">
        <f>IF(_xlfn.XLOOKUP(_xlfn.XLOOKUP(B118,'Base stats'!B:B,'Base stats'!E:E),Groups!A:A,Groups!AX:AX),"True","False")</f>
        <v>False</v>
      </c>
      <c r="CF118" s="25" t="str">
        <f>IF(_xlfn.XLOOKUP(_xlfn.XLOOKUP(B118,'Base stats'!B:B,'Base stats'!E:E),Groups!A:A,Groups!AY:AY),"True","False")</f>
        <v>False</v>
      </c>
      <c r="CG118" s="25" t="str">
        <f>IF(_xlfn.XLOOKUP(_xlfn.XLOOKUP(B118,'Base stats'!B:B,'Base stats'!E:E),Groups!A:A,Groups!AW:AW),"True","False")</f>
        <v>False</v>
      </c>
      <c r="CH118" s="25" t="str">
        <f>IF(
OR(
_xlfn.XLOOKUP(_xlfn.XLOOKUP(B118,'Base stats'!B:B,'Base stats'!E:E),Groups!A:A,Groups!AZ:AZ)=0,
AND(
_xlfn.XLOOKUP(B118,'Base stats'!B:B,'Base stats'!Y:Y)&lt;&gt;"Carnivore",
_xlfn.XLOOKUP(B118,'Base stats'!B:B,'Base stats'!Y:Y)&lt;&gt;"Omnivore",
_xlfn.XLOOKUP(B118,'Base stats'!B:B,'Base stats'!Y:Y)&lt;&gt;"OmnivoreRough"
)
),
"No",
IF(
_xlfn.XLOOKUP(_xlfn.XLOOKUP(B118,'Base stats'!B:B,'Base stats'!E:E),Groups!A:A,Groups!AZ:AZ)=1,
"Flesh",
IF(
_xlfn.XLOOKUP(_xlfn.XLOOKUP(B118,'Base stats'!B:B,'Base stats'!E:E),Groups!A:A,Groups!AZ:AZ)=2,
"Bone",
""
)
)
)</f>
        <v>No</v>
      </c>
      <c r="CI118" s="25" t="str">
        <f>IF(_xlfn.XLOOKUP(_xlfn.XLOOKUP(B118,'Base stats'!B:B,'Base stats'!E:E),Groups!A:A,Groups!BB:BB),"True","False")</f>
        <v>True</v>
      </c>
      <c r="CJ118" s="25" t="str">
        <f>IF(_xlfn.XLOOKUP(_xlfn.XLOOKUP(B118,'Base stats'!B:B,'Base stats'!E:E),Groups!A:A,Groups!BA:BA),"True","False")</f>
        <v>False</v>
      </c>
    </row>
    <row r="119" spans="1:88" ht="16.5" thickTop="1" thickBot="1" x14ac:dyDescent="0.3">
      <c r="A119" s="26" t="str">
        <f>_xlfn.XLOOKUP(B119,'Base stats'!B:B,'Base stats'!A:A)</f>
        <v>Arctic Coyote</v>
      </c>
      <c r="B119" s="6" t="s">
        <v>913</v>
      </c>
      <c r="C119" s="28" t="s">
        <v>800</v>
      </c>
      <c r="D119" s="28" t="s">
        <v>872</v>
      </c>
      <c r="E119" s="28" t="s">
        <v>673</v>
      </c>
      <c r="F119" s="28" t="s">
        <v>673</v>
      </c>
      <c r="G119" s="28" t="s">
        <v>673</v>
      </c>
      <c r="H119" s="2">
        <f>MROUND((
  (IF(AND(_xlfn.XLOOKUP(B119,'Base stats'!B:B,'Base stats'!AL:AL)=0,BI119="None",_xlfn.XLOOKUP(_xlfn.XLOOKUP(B119,'Base stats'!B:B,'Base stats'!E:E),Groups!A:A,Groups!B:B)=0), (18 + BR119 * 2.7) * 0.5,
    IF(AND(_xlfn.XLOOKUP(B119,'Base stats'!B:B,'Base stats'!AL:AL)=0,OR(AO119&lt;0.55,AND(BI119="Intermediate",_xlfn.XLOOKUP(_xlfn.XLOOKUP(B119,'Base stats'!B:B,'Base stats'!E:E),Groups!A:A,Groups!B:B)&lt;2))), (18 + BR119 * 2.7),
      IF(OR(BI119="Advanced",_xlfn.XLOOKUP(B119,'Base stats'!B:B,'Base stats'!AL:AL)=1,_xlfn.XLOOKUP(_xlfn.XLOOKUP(B119,'Base stats'!B:B,'Base stats'!E:E),Groups!A:A,Groups!B:B)=2), (18 + BR119 * 2.7) + 250, (18 + BR119 * 2.7))
    )
  ))
  + AO119 * 80
  + IF(COUNTIF(EggMilk!K$2:K$998, A119) &gt; 0, 125, 0)
  + IF(COUNTIF(EggMilk!P$2:P$998, A119) &gt; 0, 90, 0)
  + IF(COUNTIF(EggMilk!A$2:A$998, A119) &gt; 0, 90, 0)
)
* (0.8 + 0.4 * J119)
* 0.75,25)</f>
        <v>200</v>
      </c>
      <c r="I119" s="2">
        <f>MROUND(ROUNDDOWN(_xlfn.XLOOKUP(B119,'Base stats'!B:B,'Base stats'!L:L)/3.6/(23.3/11),1),0.5)</f>
        <v>8.5</v>
      </c>
      <c r="J119" s="2">
        <f>IF(OR(_xlfn.XLOOKUP(B119,'Base stats'!B:B,'Base stats'!AB:AB)=1,_xlfn.XLOOKUP(_xlfn.XLOOKUP(B119,'Base stats'!B:B,'Base stats'!E:E),Groups!A:A,Groups!C:C)="Untamable"),1,IF(_xlfn.XLOOKUP(B119,'Base stats'!B:B,'Base stats'!AL:AL)=1,0.99,MIN(MROUND((1-0.6282*EXP(-0.459*AO119))*_xlfn.XLOOKUP(_xlfn.XLOOKUP(B119,'Base stats'!B:B,'Base stats'!E:E),Groups!A:A,Groups!C:C)*IF(_xlfn.XLOOKUP(B119,'Base stats'!B:B,'Base stats'!O:O)=1,0.5,IF(_xlfn.XLOOKUP(B119,'Base stats'!B:B,'Base stats'!O:O)=2,0,1)),0.05),IF(AO119&gt;3.5,0.985,0.95))))</f>
        <v>0.65</v>
      </c>
      <c r="K119" s="2">
        <f>ROUNDUP(AO119*_xlfn.XLOOKUP(_xlfn.XLOOKUP(B119,'Base stats'!B:B,'Base stats'!E:E),Groups!A:A,Groups!E:E),0)</f>
        <v>1</v>
      </c>
      <c r="L119" s="2">
        <f>IF(OR(_xlfn.XLOOKUP(_xlfn.XLOOKUP(B119,'Base stats'!B:B,'Base stats'!E:E),Groups!A:A,Groups!F:F)=2,ISNUMBER(SEARCH("SeaIce",BX119)),ISNUMBER(SEARCH("IceSheet",BX119))),-50,IF(OR(ISNUMBER(SEARCH("GlacialPlain",BX119)),ISNUMBER(SEARCH("Tundra",BX119))),-40,IF(OR(ISNUMBER(SEARCH("Alpine",BX119)),ISNUMBER(SEARCH("BorealForest",BX119)),ISNUMBER(SEARCH("ColdBog",BX119))),-30,IF(OR(ISNUMBER(SEARCH("TemperateForest",BX119)),ISNUMBER(SEARCH("TemperateSwamp",BX119))),-20,IF(_xlfn.XLOOKUP(_xlfn.XLOOKUP(B119,'Base stats'!B:B,'Base stats'!E:E),Groups!A:A,Groups!F:F)=1,-15,IF(OR(ISNUMBER(SEARCH("Desert",BX119)),ISNUMBER(SEARCH("ExtremeDesert",BX119))),-10,IF(OR(ISNUMBER(SEARCH("Grasslands",BX119)),ISNUMBER(SEARCH("TropicalRainforest",BX119)),ISNUMBER(SEARCH("TropicalSwamp",BX119))),10,0)))))))-IF(CC119="False",MIN(IFERROR(MAX(MROUND(LOG10(_xlfn.XLOOKUP(B119,'Base stats'!B:B,'Base stats'!C:C)^(2/3))*10,5),5),5),30))-_xlfn.XLOOKUP(B119,'Base stats'!B:B,'Base stats'!P:P)+IF(CC119="True",5,0)</f>
        <v>-45</v>
      </c>
      <c r="M119" s="2">
        <f>IF(OR(_xlfn.XLOOKUP(_xlfn.XLOOKUP(B119,'Base stats'!B:B,'Base stats'!E:E),Groups!A:A,Groups!G:G)=2,ISNUMBER(SEARCH("Desert",BX119)),ISNUMBER(SEARCH("ExtremeDesert",BX119)),ISNUMBER(SEARCH("LavaField",BX119))),50,IF(ISNUMBER(SEARCH("Grasslands",BX119)),45,IF(OR(_xlfn.XLOOKUP(_xlfn.XLOOKUP(B119,'Base stats'!B:B,'Base stats'!E:E),Groups!A:A,Groups!G:G)=1,ISNUMBER(SEARCH("TropicalRainforest",BX119)),ISNUMBER(SEARCH("TropicalSwamp",BX119))),40,IF(OR(ISNUMBER(SEARCH("TemperateForest",BX119)),ISNUMBER(SEARCH("TemperateSwamp",BX119))),35,IF(OR(ISNUMBER(SEARCH("Alpine",BX119)),ISNUMBER(SEARCH("BorealForest",BX119)),ISNUMBER(SEARCH("ColdBog",BX119))),30,IF(ISNUMBER(OR(ISNUMBER(SEARCH("GlacialPlain",BX119)),SEARCH("Tundra",BX119))),25,IF(OR(ISNUMBER(SEARCH("SeaIce",BX119)),ISNUMBER(SEARCH("IceSheet",BX119)),ISNUMBER(SEARCH("TropicalSwamp",BX119))),10,35)))))))+_xlfn.XLOOKUP(B119,'Base stats'!B:B,'Base stats'!Q:Q)</f>
        <v>35</v>
      </c>
      <c r="N119" s="8" t="str">
        <f>IF(
_xlfn.XLOOKUP(
_xlfn.XLOOKUP(B119,'Base stats'!B:B,'Base stats'!E:E),
Groups!A:A,
Groups!L:L
)=1,
MIN(
MROUND(
IF(
_xlfn.XLOOKUP(B119,'Animals CE'!B:B,'Animals CE'!Z:Z)&lt;=1.5,
_xlfn.XLOOKUP(B119,'Animals CE'!B:B,'Animals CE'!Z:Z)/2+0.05,
0.8+
(_xlfn.XLOOKUP(B119,'Animals CE'!B:B,'Animals CE'!Z:Z)-1.5)
*0.02
),
0.05
),
200%
),
"No"
)</f>
        <v>No</v>
      </c>
      <c r="O119" s="8" t="str">
        <f>IF(
_xlfn.XLOOKUP(
_xlfn.XLOOKUP(B119,'Base stats'!B:B,'Base stats'!E:E),
Groups!A:A,
Groups!L:L
)=1,
MIN(
MROUND(
IF(
_xlfn.XLOOKUP(B119,'Animals CE'!B:B,'Animals CE'!AA:AA)&lt;=1.5,
_xlfn.XLOOKUP(B119,'Animals CE'!B:B,'Animals CE'!AA:AA)/2+0.05,
0.8+
(_xlfn.XLOOKUP(B119,'Animals CE'!B:B,'Animals CE'!AA:AA)-1.5)
*0.02
),
0.05
),
200%
),
"No"
)</f>
        <v>No</v>
      </c>
      <c r="P119" s="2" t="str">
        <f>_xlfn.XLOOKUP(B119,'Base stats'!B:B,'Base stats'!R:R)</f>
        <v>Standard</v>
      </c>
      <c r="Q119" s="13">
        <f>MROUND((LOG10(_xlfn.XLOOKUP(B119,'Base stats'!B:B,'Base stats'!AR:AR))*(AO119^0.5)+(_xlfn.XLOOKUP(B119,'Base stats'!B:B,'Base stats'!AR:AR)/1000)^(2/3)+_xlfn.XLOOKUP(B119,'Base stats'!B:B,'Base stats'!BA:BA)/2)+0.5,0.5)</f>
        <v>4</v>
      </c>
      <c r="R119" s="7">
        <f>IF(Q119="No","No",MAX(1,MROUND(_xlfn.XLOOKUP(B119,'Base stats'!B:B,'Base stats'!C:C)^0.165,0.05)))</f>
        <v>1.55</v>
      </c>
      <c r="S119" s="13" t="str">
        <f>IF(_xlfn.XLOOKUP(_xlfn.XLOOKUP(B119,'Base stats'!B:B,'Base stats'!E:E),Groups!A:A,Groups!P:P)=0,"No",MROUND((LOG10(_xlfn.XLOOKUP(B119,'Base stats'!B:B,'Base stats'!AS:AS))*(AO119^0.5)+(_xlfn.XLOOKUP(B119,'Base stats'!B:B,'Base stats'!AS:AS)/1000)^(2/3)+_xlfn.XLOOKUP(B119,'Base stats'!B:B,'Base stats'!BA:BA))+_xlfn.XLOOKUP(B119,'Base stats'!B:B,'Base stats'!AY:AY)+0.5,0.5))</f>
        <v>No</v>
      </c>
      <c r="T119" s="7" t="str">
        <f>IF(S119="No","No",MAX(_xlfn.XLOOKUP(_xlfn.XLOOKUP(B119,'Base stats'!B:B,'Base stats'!E:E),Groups!A:A,Groups!Q:Q),MROUND(_xlfn.XLOOKUP(_xlfn.XLOOKUP(B119,'Base stats'!B:B,'Base stats'!E:E),Groups!A:A,Groups!Q:Q)*_xlfn.XLOOKUP(B119,'Base stats'!B:B,'Base stats'!C:C)^0.165,0.05)))</f>
        <v>No</v>
      </c>
      <c r="U119" s="7" t="str">
        <f>IF(S119="No","No",_xlfn.XLOOKUP(_xlfn.XLOOKUP(B119,'Base stats'!B:B,'Base stats'!E:E),Groups!A:A,Groups!R:R))</f>
        <v>No</v>
      </c>
      <c r="V119" s="7" t="str">
        <f>IF(S119="No","No",_xlfn.XLOOKUP(_xlfn.XLOOKUP(B119,'Base stats'!B:B,'Base stats'!E:E),Groups!A:A,Groups!S:S))</f>
        <v>No</v>
      </c>
      <c r="W119" s="7" t="str">
        <f>IF(S119="No","No",_xlfn.XLOOKUP(_xlfn.XLOOKUP(B119,'Base stats'!B:B,'Base stats'!E:E),Groups!A:A,Groups!T:T))</f>
        <v>No</v>
      </c>
      <c r="X119" s="13" t="str">
        <f>IF(_xlfn.XLOOKUP(B119,'Base stats'!B:B,'Base stats'!W:W)="No","No",MROUND((LOG10(_xlfn.XLOOKUP(B119,'Base stats'!B:B,'Base stats'!AU:AU))*(AO119^0.5)+(_xlfn.XLOOKUP(B119,'Base stats'!B:B,'Base stats'!AU:AU)/1000)^(2/3)+_xlfn.XLOOKUP(B119,'Base stats'!B:B,'Base stats'!AZ:AZ))+0.5+IF(_xlfn.XLOOKUP(_xlfn.XLOOKUP(B119,'Base stats'!B:B,'Base stats'!E:E),Groups!A:A,Groups!U:U)&lt;&gt;3,_xlfn.XLOOKUP(B119,'Base stats'!B:B,'Base stats'!BA:BA),0),0.5))</f>
        <v>No</v>
      </c>
      <c r="Y119" s="7" t="str">
        <f>IF(X119="No","No",MAX(_xlfn.XLOOKUP(_xlfn.XLOOKUP(B119,'Base stats'!B:B,'Base stats'!E:E),Groups!A:A,Groups!V:V),MROUND(_xlfn.XLOOKUP(_xlfn.XLOOKUP(B119,'Base stats'!B:B,'Base stats'!E:E),Groups!A:A,Groups!V:V)*_xlfn.XLOOKUP(B119,'Base stats'!B:B,'Base stats'!C:C)^0.165,0.05)))</f>
        <v>No</v>
      </c>
      <c r="Z119" s="7" t="str">
        <f>IF(X119="No","No",_xlfn.XLOOKUP(_xlfn.XLOOKUP(B119,'Base stats'!B:B,'Base stats'!E:E),Groups!A:A,Groups!W:W))</f>
        <v>No</v>
      </c>
      <c r="AA119" s="7" t="str">
        <f>IF(X119="No","No",_xlfn.XLOOKUP(_xlfn.XLOOKUP(B119,'Base stats'!B:B,'Base stats'!E:E),Groups!A:A,Groups!X:X))</f>
        <v>No</v>
      </c>
      <c r="AB119" s="7" t="str">
        <f>IF(X119="No","No",_xlfn.XLOOKUP(_xlfn.XLOOKUP(B119,'Base stats'!B:B,'Base stats'!E:E),Groups!A:A,Groups!Y:Y))</f>
        <v>No</v>
      </c>
      <c r="AC119" s="7" t="str">
        <f>_xlfn.XLOOKUP(Animals!B119,'Base stats'!B:B,'Base stats'!X:X)</f>
        <v>False</v>
      </c>
      <c r="AD119" s="13">
        <f>IF(_xlfn.XLOOKUP(B119,'Base stats'!B:B,'Base stats'!AT:AT)="No","No",MROUND((LOG10(_xlfn.XLOOKUP(B119,'Base stats'!B:B,'Base stats'!AT:AT))*(AO119^0.75)+(_xlfn.XLOOKUP(B119,'Base stats'!B:B,'Base stats'!AT:AT)/1000)^(2/3)+_xlfn.XLOOKUP(B119,'Base stats'!B:B,'Base stats'!AX:AX)+_xlfn.XLOOKUP(B119,'Base stats'!B:B,'Base stats'!BA:BA))+0.5,0.5))</f>
        <v>7.5</v>
      </c>
      <c r="AE119" s="7">
        <f>IF(AD119="No","No",MAX(_xlfn.XLOOKUP(_xlfn.XLOOKUP(B119,'Base stats'!B:B,'Base stats'!E:E),Groups!A:A,Groups!Z:Z),MROUND(_xlfn.XLOOKUP(_xlfn.XLOOKUP(B119,'Base stats'!B:B,'Base stats'!E:E),Groups!A:A,Groups!Z:Z)*_xlfn.XLOOKUP(B119,'Base stats'!B:B,'Base stats'!C:C)^0.165,0.05)))</f>
        <v>1.25</v>
      </c>
      <c r="AF119" s="7" t="str">
        <f>IF(AD119="No","No",_xlfn.XLOOKUP(_xlfn.XLOOKUP(B119,'Base stats'!B:B,'Base stats'!E:E),Groups!A:A,Groups!AA:AA))</f>
        <v>Teeth</v>
      </c>
      <c r="AG119" s="7" t="str">
        <f>IF(AD119="No","No",_xlfn.XLOOKUP(_xlfn.XLOOKUP(B119,'Base stats'!B:B,'Base stats'!E:E),Groups!A:A,Groups!AB:AB))</f>
        <v>canines</v>
      </c>
      <c r="AH119" s="7" t="str">
        <f>IF(AD119="No","No",_xlfn.XLOOKUP(_xlfn.XLOOKUP(B119,'Base stats'!B:B,'Base stats'!E:E),Groups!A:A,Groups!AC:AC))</f>
        <v>Bite</v>
      </c>
      <c r="AI119" s="13" t="str">
        <f>IF(_xlfn.XLOOKUP(_xlfn.XLOOKUP(B119,'Base stats'!B:B,'Base stats'!E:E),Groups!A:A,Groups!AD:AD)=0,"No",MROUND((LOG10(_xlfn.XLOOKUP(B119,'Base stats'!B:B,'Base stats'!AS:AS))*(AO119^0.75)+(_xlfn.XLOOKUP(B119,'Base stats'!B:B,'Base stats'!AS:AS)/1000)^(2/3)+_xlfn.XLOOKUP(B119,'Base stats'!B:B,'Base stats'!AY:AY)+_xlfn.XLOOKUP(B119,'Base stats'!B:B,'Base stats'!BA:BA))+0.5,0.5))</f>
        <v>No</v>
      </c>
      <c r="AJ119" s="7" t="str">
        <f>IF(AI119="No","No",MAX(_xlfn.XLOOKUP(_xlfn.XLOOKUP(B119,'Base stats'!B:B,'Base stats'!E:E),Groups!A:A,Groups!AE:AE),MROUND(_xlfn.XLOOKUP(_xlfn.XLOOKUP(B119,'Base stats'!B:B,'Base stats'!E:E),Groups!A:A,Groups!AE:AE)*IF(_xlfn.XLOOKUP(_xlfn.XLOOKUP(B119,'Base stats'!B:B,'Base stats'!E:E),Groups!A:A,Groups!AJ:AJ)="Photonozoa",0.6,1)*_xlfn.XLOOKUP(B119,'Base stats'!B:B,'Base stats'!C:C)^0.165,0.05)))</f>
        <v>No</v>
      </c>
      <c r="AK119" s="7" t="str">
        <f>IF(AI119="No","No",_xlfn.XLOOKUP(_xlfn.XLOOKUP(B119,'Base stats'!B:B,'Base stats'!E:E),Groups!A:A,Groups!AF:AF))</f>
        <v>No</v>
      </c>
      <c r="AL119" s="7" t="str">
        <f>IF(AI119="No","No",_xlfn.XLOOKUP(_xlfn.XLOOKUP(B119,'Base stats'!B:B,'Base stats'!E:E),Groups!A:A,Groups!AG:AG))</f>
        <v>No</v>
      </c>
      <c r="AM119" s="7" t="str">
        <f>IF(AI119="No","No",_xlfn.XLOOKUP(_xlfn.XLOOKUP(B119,'Base stats'!B:B,'Base stats'!E:E),Groups!A:A,Groups!AH:AH))</f>
        <v>No</v>
      </c>
      <c r="AN119" s="2">
        <f t="shared" si="7"/>
        <v>20</v>
      </c>
      <c r="AO119" s="2">
        <f>MROUND(IF(AND(_xlfn.XLOOKUP(B119,'Base stats'!B:B,'Base stats'!C:C)&gt;=0.5,_xlfn.XLOOKUP(B119,'Base stats'!B:B,'Base stats'!C:C)&lt;=0.8),
IF(_xlfn.XLOOKUP(B119,'Base stats'!B:B,'Base stats'!C:C)&lt;0.1,0.05,IF(_xlfn.XLOOKUP(B119,'Base stats'!B:B,'Base stats'!C:C)&lt;=70,(_xlfn.XLOOKUP(B119,'Base stats'!B:B,'Base stats'!C:C)/70)^0.426489913056526,IF(_xlfn.XLOOKUP(B119,'Base stats'!B:B,'Base stats'!C:C)&lt;=400,(_xlfn.XLOOKUP(B119,'Base stats'!B:B,'Base stats'!C:C)/70)^0.572811455315093,IF(_xlfn.XLOOKUP(B119,'Base stats'!B:B,'Base stats'!C:C)&lt;=2000,2.71391647193063*(_xlfn.XLOOKUP(B119,'Base stats'!B:B,'Base stats'!C:C)/400)^0.252459582904293,3.74314280240376*(_xlfn.XLOOKUP(B119,'Base stats'!B:B,'Base stats'!C:C)/2000)^0.357012633876913)))),
IF(_xlfn.XLOOKUP(B119,'Base stats'!B:B,'Base stats'!C:C)&lt;0.1,0.05,IF(_xlfn.XLOOKUP(B119,'Base stats'!B:B,'Base stats'!C:C)&lt;0.4,0.1,IF(_xlfn.XLOOKUP(B119,'Base stats'!B:B,'Base stats'!C:C)&lt;=70,(_xlfn.XLOOKUP(B119,'Base stats'!B:B,'Base stats'!C:C)/70)^0.445823913056526,IF(_xlfn.XLOOKUP(B119,'Base stats'!B:B,'Base stats'!C:C)&lt;=400,(_xlfn.XLOOKUP(B119,'Base stats'!B:B,'Base stats'!C:C)/70)^0.572811455315093,IF(_xlfn.XLOOKUP(B119,'Base stats'!B:B,'Base stats'!C:C)&lt;=2000,2.71391647193063*(_xlfn.XLOOKUP(B119,'Base stats'!B:B,'Base stats'!C:C)/400)^0.252459582904293,3.74314280240376*(_xlfn.XLOOKUP(B119,'Base stats'!B:B,'Base stats'!C:C)/2000)^0.357012633876913)))))),
IF(_xlfn.XLOOKUP(B119,'Base stats'!B:B,'Base stats'!C:C)&lt;0.1,0.05,IF(_xlfn.XLOOKUP(B119,'Base stats'!B:B,'Base stats'!C:C)&lt;=100,0.05,IF(_xlfn.XLOOKUP(B119,'Base stats'!B:B,'Base stats'!C:C)&lt;=250,0.1,IF(_xlfn.XLOOKUP(B119,'Base stats'!B:B,'Base stats'!C:C)&lt;=4000,0.25,0.5)))))</f>
        <v>0.5</v>
      </c>
      <c r="AP119" s="8">
        <f>MROUND(AO119*_xlfn.XLOOKUP(_xlfn.XLOOKUP(B119,'Base stats'!B:B,'Base stats'!E:E),Groups!A:A,Groups!AI:AI)*_xlfn.XLOOKUP(B119,'Base stats'!B:B,'Base stats'!Z:Z),0.05)</f>
        <v>0.60000000000000009</v>
      </c>
      <c r="AQ119" s="8">
        <f>MAX(0.01,MROUND(IF(CC119="True",0.196*(AO119*100*1000)^0.889,IF(_xlfn.XLOOKUP(_xlfn.XLOOKUP(B119,'Base stats'!B:B,'Base stats'!E:E),Groups!A:A,Groups!AJ:AJ)="Bird",10.5*(AO119*100*1000)^0.681,4.82*(AO119*100*1000)^0.734))/(4.82*(1*100*1000)^0.734)/IF(AO119&lt;3.5,2,IF(AO119=3.5,1.5,1.25))*(1+0.132282374779864/(AO119^0.994035016789033+0.00905238001496948)),0.05))</f>
        <v>0.4</v>
      </c>
      <c r="AR119" s="9">
        <f>IFERROR(MROUND(_xlfn.XLOOKUP(B119,'Base stats'!B:B,'Base stats'!H:H)/IF(_xlfn.XLOOKUP(B119,'Base stats'!B:B,'Base stats'!I:I)&lt;&gt;1,(122.5/70),1.2),IF(_xlfn.XLOOKUP(B119,'Base stats'!B:B,'Base stats'!H:H)&gt;=30,5,IF(_xlfn.XLOOKUP(B119,'Base stats'!B:B,'Base stats'!H:H)&gt;=15,3,IF(_xlfn.XLOOKUP(B119,'Base stats'!B:B,'Base stats'!H:H)&gt;=10,2,1)))),"Immortal")</f>
        <v>12</v>
      </c>
      <c r="AS119" s="35">
        <f>IFERROR(IF(OR(_xlfn.XLOOKUP(B119,'Base stats'!B:B,'Base stats'!F:F)="Atypical reproduction",_xlfn.XLOOKUP(B119,'Base stats'!B:B,'Base stats'!F:F)="Lay eggs"),"Lay eggs",MIN(20,MAX(5.5,ROUND(((_xlfn.XLOOKUP(B119,'Base stats'!B:B,'Base stats'!F:F)-25)*(14.5/615) + 5.5)*2,0)/2))),"Unknown")</f>
        <v>6.5</v>
      </c>
      <c r="AT119" s="8">
        <f>IF(_xlfn.XLOOKUP(B119,'Base stats'!B:B,'Base stats'!G:G)="Atypical reproduction","No",IFERROR(MAX(IF(_xlfn.XLOOKUP(B119,'Base stats'!B:B,'Base stats'!G:G)&lt;0.5,0.2,0.3),MROUND(_xlfn.XLOOKUP(B119,'Base stats'!B:B,'Base stats'!G:G)/(365/60),0.2)),"Unknown"))</f>
        <v>0.3</v>
      </c>
      <c r="AU119" s="8">
        <f t="shared" si="8"/>
        <v>0.15000000000000002</v>
      </c>
      <c r="AV119" s="8">
        <f>IFERROR(IFERROR(MROUND(_xlfn.XLOOKUP(B119,'Base stats'!B:B,'Base stats'!J:J),0.1),"Lay eggs"),"Cannot breed")</f>
        <v>6</v>
      </c>
      <c r="AW119" s="2" t="str">
        <f t="shared" si="9"/>
        <v>true</v>
      </c>
      <c r="AX119" s="2" t="str">
        <f>IF(_xlfn.XLOOKUP(_xlfn.XLOOKUP(Animals!B119,'Base stats'!B:B,'Base stats'!E:E),Groups!A:A,Groups!AK:AK)=1,"true","false")</f>
        <v>false</v>
      </c>
      <c r="AY119" s="25" t="str">
        <f>IF(_xlfn.XLOOKUP(B119,'Base stats'!B:B,'Base stats'!Y:Y)="Liquor","Liquor, CarnivoreAnimalStrict",IF(AND(_xlfn.XLOOKUP(B119,'Base stats'!B:B,'Base stats'!Y:Y)="Carnivore",_xlfn.XLOOKUP(_xlfn.XLOOKUP(B119,'Base stats'!B:B,'Base stats'!E:E),Groups!A:A,Groups!AJ:AJ)="Photonozoa"),"CarnivoreAnimalStrict, OvivoreAnimal",IF(_xlfn.XLOOKUP(B119,'Base stats'!B:B,'Base stats'!Y:Y)="Carnivore","CarnivoreAnimal, OvivoreAnimal",IF(_xlfn.XLOOKUP(B119,'Base stats'!B:B,'Base stats'!Y:Y)="Dendrovore","VegetarianRoughAnimal, DendrovoreAnimal",IF(_xlfn.XLOOKUP(B119,'Base stats'!B:B,'Base stats'!Y:Y)="Herbivore","VegetarianRoughAnimal",IF(_xlfn.XLOOKUP(B119,'Base stats'!B:B,'Base stats'!Y:Y)="OmnivoreRough","OmnivoreRoughAnimal, OvivoreAnimal","OmnivoreAnimal, OvivoreAnimal"))))))</f>
        <v>CarnivoreAnimal, OvivoreAnimal</v>
      </c>
      <c r="AZ119" s="2" t="str">
        <f>IF(_xlfn.XLOOKUP(_xlfn.XLOOKUP(B119,'Base stats'!B:B,'Base stats'!E:E),Groups!A:A,Groups!D:D)=1,MROUND((1-J119)*5+1,2)*IF(J119&lt;=0.4,2,1),"No")</f>
        <v>No</v>
      </c>
      <c r="BA119" s="2" t="str">
        <f>IF(AND(_xlfn.XLOOKUP(B119,'Base stats'!B:B,'Base stats'!AH:AH)="&lt;li&gt;Seal&lt;/li&gt;",G119="Odyssey"),"&lt;li&gt;AEXP_Seal&lt;/li&gt;",_xlfn.XLOOKUP(B119,'Base stats'!B:B,'Base stats'!AH:AH))</f>
        <v>&lt;li&gt;Wolf_Timber&lt;/li&gt;</v>
      </c>
      <c r="BB119" s="2" t="str">
        <f>_xlfn.XLOOKUP(B119,'Base stats'!B:B,'Base stats'!AG:AG)</f>
        <v>Leather_Wolf</v>
      </c>
      <c r="BC119" s="23" t="str">
        <f>_xlfn.XLOOKUP(_xlfn.XLOOKUP(B119,'Base stats'!B:B,'Base stats'!E:E),Groups!A:A,Groups!AL:AL)</f>
        <v>QuadrupedAnimalWithPawsAndTail</v>
      </c>
      <c r="BD119" s="23">
        <f>MIN(1,MROUND(IF(AND(AO119&lt;0.5,_xlfn.XLOOKUP(B119,'Base stats'!B:B,'Base stats'!AA:AA)=0),0,IF(OR(_xlfn.XLOOKUP(Animals!B119,'Base stats'!B:B,'Base stats'!O:O)=2,_xlfn.XLOOKUP(_xlfn.XLOOKUP(B119,'Base stats'!B:B,'Base stats'!E:E),Groups!A:A,Groups!AN:AN)=0),0,_xlfn.XLOOKUP(_xlfn.XLOOKUP(B119,'Base stats'!B:B,'Base stats'!E:E),Groups!A:A,Groups!AN:AN)/IF(_xlfn.XLOOKUP(Animals!B119,'Base stats'!B:B,'Base stats'!O:O)=1,2,1)))+_xlfn.XLOOKUP(B119,'Base stats'!B:B,'Base stats'!AC:AC),0.005))</f>
        <v>0.1</v>
      </c>
      <c r="BE119" s="23">
        <f>MIN(1,MROUND(IF(AND(AO119&lt;0.5,_xlfn.XLOOKUP(B119,'Base stats'!B:B,'Base stats'!AA:AA)=0),0,IF(_xlfn.XLOOKUP(_xlfn.XLOOKUP(B119,'Base stats'!B:B,'Base stats'!E:E),Groups!A:A,Groups!AO:AO)=0,0,_xlfn.XLOOKUP(_xlfn.XLOOKUP(B119,'Base stats'!B:B,'Base stats'!E:E),Groups!A:A,Groups!AO:AO)/IF(_xlfn.XLOOKUP(Animals!B119,'Base stats'!B:B,'Base stats'!O:O)=2,3,1)))+_xlfn.XLOOKUP(B119,'Base stats'!B:B,'Base stats'!AD:AD),0.005))</f>
        <v>0.3</v>
      </c>
      <c r="BF119" s="2" t="str">
        <f>IF(J119&gt;0.3,"No",_xlfn.XLOOKUP(_xlfn.XLOOKUP(Animals!B119,'Base stats'!B:B,'Base stats'!E:E),Groups!A:A,Groups!AP:AP))</f>
        <v>No</v>
      </c>
      <c r="BG119" s="2">
        <f>IF(AND(J119&lt;=0.65,_xlfn.XLOOKUP(_xlfn.XLOOKUP(Animals!B119,'Base stats'!B:B,'Base stats'!E:E),Groups!A:A,Groups!AP:AP)&lt;&gt;"No",_xlfn.XLOOKUP(_xlfn.XLOOKUP(B119,'Base stats'!B:B,'Base stats'!E:E),Groups!A:A,Groups!D:D)=0),MROUND((80/3)*IF(_xlfn.XLOOKUP(B119,'Base stats'!B:B,'Base stats'!O:O)=2,0.2,AO119) + 24*(1-IF(BF119="No",0,BF119)) + 16/3, 12),"No")</f>
        <v>48</v>
      </c>
      <c r="BH119" s="2">
        <f>IF(AND(_xlfn.XLOOKUP(_xlfn.XLOOKUP(B119,'Base stats'!B:B,'Base stats'!E:E),Groups!A:A,Groups!AQ:AQ)=1,AO119&lt;=0.35),8,12)</f>
        <v>12</v>
      </c>
      <c r="BI119" s="2" t="str">
        <f>IF(_xlfn.XLOOKUP(_xlfn.XLOOKUP(B119,'Base stats'!B:B,'Base stats'!E:E),Groups!A:A,Groups!D:D)=0,_xlfn.XLOOKUP(_xlfn.XLOOKUP(B119,'Base stats'!B:B,'Base stats'!E:E),Groups!A:A,Groups!AR:AR),"None")</f>
        <v>Advanced</v>
      </c>
      <c r="BJ119" s="2" t="str">
        <f>IF(AND(_xlfn.XLOOKUP(_xlfn.XLOOKUP(B119,'Base stats'!B:B,'Base stats'!E:E),Groups!A:A,Groups!AS:AS)=1,OR(_xlfn.XLOOKUP(B119,'Base stats'!B:B,'Base stats'!Y:Y)="Carnivore",_xlfn.XLOOKUP(B119,'Base stats'!B:B,'Base stats'!Y:Y)="Omnivore")),"true","false")</f>
        <v>true</v>
      </c>
      <c r="BK119" s="2">
        <f>IF(BJ119="true",MROUND(IF(AND(AO119&gt;0.5,OR(_xlfn.XLOOKUP(_xlfn.XLOOKUP(B119,'Base stats'!B:B,'Base stats'!E:E),Groups!A:A,Groups!AJ:AJ)="Photonozoa",_xlfn.XLOOKUP(_xlfn.XLOOKUP(B119,'Base stats'!B:B,'Base stats'!E:E),Groups!A:A,Groups!AJ:AJ)="Mammal")),Animals!AO119*1.75*IF(AW119="true",1.5,1),IF(AO119&lt;0.5,Animals!AO119*0.5,Animals!AO119)),IF(AO119&gt;2,0.5,IF(AO119&gt;0.5,0.25,0.1))),"No")</f>
        <v>0.5</v>
      </c>
      <c r="BL119" s="2">
        <f t="shared" si="10"/>
        <v>1</v>
      </c>
      <c r="BM119" s="25" t="str">
        <f>IF(_xlfn.XLOOKUP(B119,'Base stats'!B:B,'Base stats'!AN:AN)="Standard","No",MROUND((_xlfn.XLOOKUP(B119,'Base stats'!B:B,'Base stats'!AN:AN)/3.6)/I119,0.1))</f>
        <v>No</v>
      </c>
      <c r="BN119" s="25" t="str">
        <f t="shared" si="11"/>
        <v>false</v>
      </c>
      <c r="BO119" s="25" t="str">
        <f>IF(AND(OR(_xlfn.XLOOKUP(B119,'Base stats'!B:B,'Base stats'!Y:Y)="Carnivore",_xlfn.XLOOKUP(B119,'Base stats'!B:B,'Base stats'!Y:Y)="Omnivore",_xlfn.XLOOKUP(B119,'Base stats'!B:B,'Base stats'!Y:Y)="OmnivoreRough"),_xlfn.XLOOKUP(_xlfn.XLOOKUP(B119,'Base stats'!B:B,'Base stats'!E:E),Groups!A:A,Groups!AT:AT)=1),"true","false")</f>
        <v>false</v>
      </c>
      <c r="BP119" s="25" t="str" cm="1">
        <f t="array" ref="BP119">IF(
  _xlfn.TEXTJOIN(", ",TRUE,
    IF(AND(BJ119="true",AO119&gt;0.5,BI119&lt;&gt;"None"),"AttackTarget",""),
    IF(AND(_xlfn.XLOOKUP(_xlfn.XLOOKUP(B119,'Base stats'!B:B,'Base stats'!E:E),Groups!A:A,Groups!AJ:AJ="Mammal"),OR(_xlfn.XLOOKUP(B119,'Base stats'!B:B,'Base stats'!Y:Y)="Omnivore",_xlfn.XLOOKUP(B119,'Base stats'!B:B,'Base stats'!Y:Y)="OmnivoreRough")),"Forage",""),
    IF(BG119&lt;=36,"Comfort",""),
    IF(_xlfn.XLOOKUP(B119,'Base stats'!B:B,'Base stats'!AE:AE)&lt;&gt;"No",_xlfn.XLOOKUP(B119,'Base stats'!B:B,'Base stats'!AE:AE),"")
  ) = "",
  "No",
  _xlfn.TEXTJOIN(", ",TRUE,
    IF(AND(BJ119="true",AO119&gt;0.5,BI119&lt;&gt;"None"),"AttackTarget",""),
    IF(AND(_xlfn.XLOOKUP(_xlfn.XLOOKUP(B119,'Base stats'!B:B,'Base stats'!E:E),Groups!A:A,Groups!AJ:AJ="Mammal"),OR(_xlfn.XLOOKUP(B119,'Base stats'!B:B,'Base stats'!Y:Y)="Omnivore",_xlfn.XLOOKUP(B119,'Base stats'!B:B,'Base stats'!Y:Y)="OmnivoreRough")),"Forage",""),
    IF(BG119&lt;=36,"Comfort",""),
    IF(_xlfn.XLOOKUP(B119,'Base stats'!B:B,'Base stats'!AE:AE)&lt;&gt;"No",_xlfn.XLOOKUP(B119,'Base stats'!B:B,'Base stats'!AE:AE),"")
  )
)</f>
        <v>No</v>
      </c>
      <c r="BQ119" s="25" t="str">
        <f>IF(
   AND(
      'Base stats'!AN119="Standard",_xlfn.XLOOKUP(_xlfn.XLOOKUP(B119,'Base stats'!B:B,'Base stats'!E:E),Groups!A:A,Groups!AU:AU)=0,
      OR(
      BO119="True"
      )
   ),
   10,
   IF(
       OR(BM119&lt;&gt;"No",_xlfn.XLOOKUP(_xlfn.XLOOKUP(B119,'Base stats'!B:B,'Base stats'!E:E),Groups!A:A,Groups!AU:AU)=1),
      1,
      "No"
   )
)</f>
        <v>No</v>
      </c>
      <c r="BR119" s="9">
        <f>MROUND((1 + ((0.2*IF(OR(Q119="No",R119="No",R119=0),0,Q119/R119)
+IF(OR(V119="No",S119="No",T119="No"),0,S119/T119*(LEN(V119)-LEN(SUBSTITUTE(V119,",",""))+1))
+IF(OR(X119="No",Y119="No"),0,X119/Y119)
+IF(OR(AD119="No",AE119="No"),0,AD119/AE119)
+IF(OR(AL119="No",AI119="No",AJ119="No"),0,AI119/AJ119*(LEN(AL119)-LEN(SUBSTITUTE(AL119,",",""))+1))
)/(0.2*IF(OR(Q119="No",R119="No",R119=0),0,1)
+IF(OR(V119="No",S119="No",T119="No"),0,LEN(V119)-LEN(SUBSTITUTE(V119,",",""))+1)
+IF(OR(X119="No",Y119="No"),0,1)
+IF(OR(AD119="No",AE119="No"),0,1)
+IF(OR(AL119="No",AI119="No",AJ119="No"),0,LEN(AL119)-LEN(SUBSTITUTE(AL119,",",""))+1))*62%)* 2)*(1 + (AP119 / (IF(_xlfn.XLOOKUP(_xlfn.XLOOKUP(B119,'Base stats'!B:B,'Base stats'!E:E),Groups!A:A,Groups!AJ:AJ)="Photonozoa",0.3,1)) + _xlfn.XLOOKUP(B119,'Base stats'!B:B,'Base stats'!AV:AV) * 1.8) * 2) * 2.5 + 10 + I119 * 2,5)+IF(_xlfn.XLOOKUP(B119,'Base stats'!B:B,'Base stats'!AK:AK)=1,50,0)</f>
        <v>70</v>
      </c>
      <c r="BS119" s="8">
        <f t="shared" si="12"/>
        <v>0.4</v>
      </c>
      <c r="BT119" s="8" t="str">
        <f>_xlfn.XLOOKUP(B119,'Base stats'!B:B,'Base stats'!AF:AF)</f>
        <v>2~6</v>
      </c>
      <c r="BU119" s="2" t="str">
        <f>IF(AND(J119&lt;=0.95,OR(_xlfn.XLOOKUP(B119,'Base stats'!B:B,'Base stats'!AK:AK)=1,_xlfn.XLOOKUP(B119,'Base stats'!B:B,'Base stats'!Y:Y)="Carnivore",_xlfn.XLOOKUP(B119,'Base stats'!B:B,'Base stats'!Y:Y)="Omnivore",BE119&gt;0.1)),"true","false")</f>
        <v>true</v>
      </c>
      <c r="BV119" s="2" t="str">
        <f>IF(_xlfn.XLOOKUP(B119,'Base stats'!B:B,'Base stats'!AI:AI)=1,"true","false")</f>
        <v>false</v>
      </c>
      <c r="BW119" s="25" t="str">
        <f>IF(E119="BaseInsect","AnimalInsect",
IF(J119&gt;0.95,"AnimalExotic",
_xlfn.TEXTJOIN(", ",TRUE,
IF(OR(_xlfn.XLOOKUP(B119,'Base stats'!B:B,'Base stats'!AM:AM)=1,AND(_xlfn.XLOOKUP(B119,'Base stats'!B:B,'Base stats'!O:O)=0,_xlfn.XLOOKUP(_xlfn.XLOOKUP(B119,'Base stats'!B:B,'Base stats'!E:E),Groups!A:A,Groups!B:B)&gt;0)),"AnimalUncommon","AnimalCommon"),
IF(AND(_xlfn.XLOOKUP(B119,'Base stats'!B:B,'Base stats'!O:O)=2,_xlfn.XLOOKUP(_xlfn.XLOOKUP(B119,'Base stats'!B:B,'Base stats'!E:E),Groups!A:A,Groups!D:D)=0),"AnimalPet",IF(AND(_xlfn.XLOOKUP(B119,'Base stats'!B:B,'Base stats'!O:O)&lt;&gt;0,_xlfn.XLOOKUP(_xlfn.XLOOKUP(B119,'Base stats'!B:B,'Base stats'!E:E),Groups!A:A,Groups!D:D)&lt;&gt;0),"AnimalFarm","")),
IF(OR(_xlfn.XLOOKUP(B119,'Base stats'!B:B,'Base stats'!AK:AK)=1,AND(BI119&lt;&gt;"None",BR119&gt;=60),ISNUMBER(SEARCH("Attack target",BP119))),"AnimalFighter","")
)))</f>
        <v>AnimalCommon, AnimalFighter</v>
      </c>
      <c r="BX119" s="25" t="str">
        <f>IF(G119="None",TRIM(
SUBSTITUTE(
IF(COUNTIF(Biomes!B$2:B$259,"="&amp;$C119)&gt;0,Biomes!B$1&amp;", ","")&amp;
IF(COUNTIF(Biomes!C$2:C$259,"="&amp;$C119)&gt;0,Biomes!C$1&amp;", ","")&amp;
IF(COUNTIF(Biomes!D$2:D$259,"="&amp;$C119)&gt;0,Biomes!D$1&amp;", ","")&amp;
IF(COUNTIF(Biomes!F$2:F$259,"="&amp;$C119)&gt;0,Biomes!F$1&amp;", ","")&amp;
IF(COUNTIF(Biomes!G$2:G$259,"="&amp;$C119)&gt;0,Biomes!G$1&amp;", ","")&amp;
IF(COUNTIF(Biomes!H$2:H$259,"="&amp;$C119)&gt;0,Biomes!H$1&amp;", ","")&amp;
IF(COUNTIF(Biomes!I$2:I$259,"="&amp;$C119)&gt;0,Biomes!I$1&amp;", ","")&amp;
IF(COUNTIF(Biomes!J$2:J$259,"="&amp;$C119)&gt;0,Biomes!J$1&amp;", ","")&amp;
IF(COUNTIF(Biomes!M$2:M$259,"="&amp;$C119)&gt;0,Biomes!M$1&amp;", ","")&amp;
IF(COUNTIF(Biomes!N$2:N$259,"="&amp;$C119)&gt;0,Biomes!N$1&amp;", ","")&amp;
IF(COUNTIF(Biomes!O$2:O$259,"="&amp;$C119)&gt;0,Biomes!O$1&amp;", ","")&amp;
IF(COUNTIF(Biomes!P$2:P$259,"="&amp;$C119)&gt;0,Biomes!P$1&amp;", ","")&amp;
IF(COUNTIF(Biomes!K$2:K$259,"="&amp;$C119)&gt;0,Biomes!K$1&amp;", ","")&amp;
IF(COUNTIF(Biomes!Q$3:Q$259,"="&amp;$C119)&gt;0,Biomes!Q$1&amp;", ","")&amp;
IF(COUNTIF(Biomes!L$2:L$259,"="&amp;$C119)&gt;0,Biomes!L$1&amp;", ","")&amp;
IF(COUNTIF(Biomes!E$2:E$259,"="&amp;$C119)&gt;0,Biomes!E$1&amp;", ","")&amp;IF(COUNTIF(Biomes!S$2:S$259,"="&amp;$C119)&gt;0,Biomes!S$1&amp;", ","")&amp;
IF(COUNTIF(Biomes!R$2:R$259,"="&amp;$C119)&gt;0,Biomes!R$1&amp;", ",""),", ","")
),_xlfn.XLOOKUP(B119,B:B,BX:BX))</f>
        <v>Tundra</v>
      </c>
      <c r="BY119" s="25" t="str">
        <f>IF(_xlfn.XLOOKUP(B119,'Base stats'!B:B,'Base stats'!AJ:AJ)=1,"true","false")</f>
        <v>false</v>
      </c>
      <c r="BZ119" s="25">
        <f>IF(_xlfn.XLOOKUP(B119,'Base stats'!B:B,'Base stats'!N:N)=1,"No",MAX(0.001,MIN(MROUND(IF(AND(BJ119="True",CC119="False"),POWER(10,3.47*LOG10(_xlfn.XLOOKUP(B119,'Base stats'!B:B,'Base stats'!C:C)*1000)^-0.96),POWER(10,4.15*LOG10(_xlfn.XLOOKUP(B119,'Base stats'!B:B,'Base stats'!C:C)*1000)^-0.73))*IF(_xlfn.XLOOKUP(B119,'Base stats'!B:B,'Base stats'!AK:AK)=1,0.5,1)*IF(_xlfn.XLOOKUP(B119,'Base stats'!B:B,'Base stats'!AM:AM)=1,0.1,1)/100,IF(_xlfn.XLOOKUP(B119,'Base stats'!B:B,'Base stats'!AM:AM)=1,0.001,0.025)),0.5)))</f>
        <v>7.5000000000000011E-2</v>
      </c>
      <c r="CA119" s="25" t="str">
        <f>IF(P119="Standard","No",MAX(0.001,MIN(MROUND(IF(AND(BJ119="True",CC119="False"),POWER(10,3.47*LOG10(_xlfn.XLOOKUP(B119,'Base stats'!B:B,'Base stats'!C:C)*1000)^-0.96),POWER(10,4.15*LOG10(_xlfn.XLOOKUP(B119,'Base stats'!B:B,'Base stats'!C:C)*1000)^-0.73))*IF(_xlfn.XLOOKUP(B119,'Base stats'!B:B,'Base stats'!AM:AM)=1,0.1,1)*_xlfn.XLOOKUP(B119,'Base stats'!B:B,'Base stats'!R:R)/100,IF(_xlfn.XLOOKUP(B119,'Base stats'!B:B,'Base stats'!AM:AM)=1,0.001,0.025)),0.5)))</f>
        <v>No</v>
      </c>
      <c r="CB119" s="25" t="str">
        <f>IF(_xlfn.XLOOKUP(_xlfn.XLOOKUP(B119,'Base stats'!B:B,'Base stats'!E:E),Groups!A:A,Groups!AJ:AJ)="Mammal","True","False")</f>
        <v>True</v>
      </c>
      <c r="CC119" s="25" t="str">
        <f>IF(OR(_xlfn.XLOOKUP(_xlfn.XLOOKUP(B119,'Base stats'!B:B,'Base stats'!E:E),Groups!A:A,Groups!AJ:AJ)="Reptile",_xlfn.XLOOKUP(_xlfn.XLOOKUP(B119,'Base stats'!B:B,'Base stats'!E:E),Groups!A:A,Groups!AJ:AJ)="Amphibian",_xlfn.XLOOKUP(_xlfn.XLOOKUP(B119,'Base stats'!B:B,'Base stats'!E:E),Groups!A:A,Groups!AJ:AJ)="Invertebrate"),"True","False")</f>
        <v>False</v>
      </c>
      <c r="CD119" s="25" t="str">
        <f t="shared" si="13"/>
        <v>False</v>
      </c>
      <c r="CE119" s="25" t="str">
        <f>IF(_xlfn.XLOOKUP(_xlfn.XLOOKUP(B119,'Base stats'!B:B,'Base stats'!E:E),Groups!A:A,Groups!AX:AX),"True","False")</f>
        <v>False</v>
      </c>
      <c r="CF119" s="25" t="str">
        <f>IF(_xlfn.XLOOKUP(_xlfn.XLOOKUP(B119,'Base stats'!B:B,'Base stats'!E:E),Groups!A:A,Groups!AY:AY),"True","False")</f>
        <v>False</v>
      </c>
      <c r="CG119" s="25" t="str">
        <f>IF(_xlfn.XLOOKUP(_xlfn.XLOOKUP(B119,'Base stats'!B:B,'Base stats'!E:E),Groups!A:A,Groups!AW:AW),"True","False")</f>
        <v>False</v>
      </c>
      <c r="CH119" s="25" t="str">
        <f>IF(
OR(
_xlfn.XLOOKUP(_xlfn.XLOOKUP(B119,'Base stats'!B:B,'Base stats'!E:E),Groups!A:A,Groups!AZ:AZ)=0,
AND(
_xlfn.XLOOKUP(B119,'Base stats'!B:B,'Base stats'!Y:Y)&lt;&gt;"Carnivore",
_xlfn.XLOOKUP(B119,'Base stats'!B:B,'Base stats'!Y:Y)&lt;&gt;"Omnivore",
_xlfn.XLOOKUP(B119,'Base stats'!B:B,'Base stats'!Y:Y)&lt;&gt;"OmnivoreRough"
)
),
"No",
IF(
_xlfn.XLOOKUP(_xlfn.XLOOKUP(B119,'Base stats'!B:B,'Base stats'!E:E),Groups!A:A,Groups!AZ:AZ)=1,
"Flesh",
IF(
_xlfn.XLOOKUP(_xlfn.XLOOKUP(B119,'Base stats'!B:B,'Base stats'!E:E),Groups!A:A,Groups!AZ:AZ)=2,
"Bone",
""
)
)
)</f>
        <v>No</v>
      </c>
      <c r="CI119" s="25" t="str">
        <f>IF(_xlfn.XLOOKUP(_xlfn.XLOOKUP(B119,'Base stats'!B:B,'Base stats'!E:E),Groups!A:A,Groups!BB:BB),"True","False")</f>
        <v>True</v>
      </c>
      <c r="CJ119" s="25" t="str">
        <f>IF(_xlfn.XLOOKUP(_xlfn.XLOOKUP(B119,'Base stats'!B:B,'Base stats'!E:E),Groups!A:A,Groups!BA:BA),"True","False")</f>
        <v>False</v>
      </c>
    </row>
    <row r="120" spans="1:88" s="16" customFormat="1" ht="16.5" thickTop="1" thickBot="1" x14ac:dyDescent="0.3">
      <c r="A120" s="26" t="str">
        <f>_xlfn.XLOOKUP(B120,'Base stats'!B:B,'Base stats'!A:A)</f>
        <v>Black bear</v>
      </c>
      <c r="B120" s="6" t="s">
        <v>228</v>
      </c>
      <c r="C120" s="28" t="s">
        <v>801</v>
      </c>
      <c r="D120" s="28" t="s">
        <v>872</v>
      </c>
      <c r="E120" s="28" t="s">
        <v>418</v>
      </c>
      <c r="F120" s="28" t="s">
        <v>450</v>
      </c>
      <c r="G120" s="28" t="s">
        <v>673</v>
      </c>
      <c r="H120" s="2">
        <f>MROUND((
  (IF(AND(_xlfn.XLOOKUP(B120,'Base stats'!B:B,'Base stats'!AL:AL)=0,BI120="None",_xlfn.XLOOKUP(_xlfn.XLOOKUP(B120,'Base stats'!B:B,'Base stats'!E:E),Groups!A:A,Groups!B:B)=0), (18 + BR120 * 2.7) * 0.5,
    IF(AND(_xlfn.XLOOKUP(B120,'Base stats'!B:B,'Base stats'!AL:AL)=0,OR(AO120&lt;0.55,AND(BI120="Intermediate",_xlfn.XLOOKUP(_xlfn.XLOOKUP(B120,'Base stats'!B:B,'Base stats'!E:E),Groups!A:A,Groups!B:B)&lt;2))), (18 + BR120 * 2.7),
      IF(OR(BI120="Advanced",_xlfn.XLOOKUP(B120,'Base stats'!B:B,'Base stats'!AL:AL)=1,_xlfn.XLOOKUP(_xlfn.XLOOKUP(B120,'Base stats'!B:B,'Base stats'!E:E),Groups!A:A,Groups!B:B)=2), (18 + BR120 * 2.7) + 250, (18 + BR120 * 2.7))
    )
  ))
  + AO120 * 80
  + IF(COUNTIF(EggMilk!K$2:K$998, A120) &gt; 0, 125, 0)
  + IF(COUNTIF(EggMilk!P$2:P$998, A120) &gt; 0, 90, 0)
  + IF(COUNTIF(EggMilk!A$2:A$998, A120) &gt; 0, 90, 0)
)
* (0.8 + 0.4 * J120)
* 0.75,25)</f>
        <v>700</v>
      </c>
      <c r="I120" s="2">
        <f>MROUND(ROUNDDOWN(_xlfn.XLOOKUP(B120,'Base stats'!B:B,'Base stats'!L:L)/3.6/(23.3/11),1),0.5)</f>
        <v>6</v>
      </c>
      <c r="J120" s="2">
        <f>IF(OR(_xlfn.XLOOKUP(B120,'Base stats'!B:B,'Base stats'!AB:AB)=1,_xlfn.XLOOKUP(_xlfn.XLOOKUP(B120,'Base stats'!B:B,'Base stats'!E:E),Groups!A:A,Groups!C:C)="Untamable"),1,IF(_xlfn.XLOOKUP(B120,'Base stats'!B:B,'Base stats'!AL:AL)=1,0.99,MIN(MROUND((1-0.6282*EXP(-0.459*AO120))*_xlfn.XLOOKUP(_xlfn.XLOOKUP(B120,'Base stats'!B:B,'Base stats'!E:E),Groups!A:A,Groups!C:C)*IF(_xlfn.XLOOKUP(B120,'Base stats'!B:B,'Base stats'!O:O)=1,0.5,IF(_xlfn.XLOOKUP(B120,'Base stats'!B:B,'Base stats'!O:O)=2,0,1)),0.05),IF(AO120&gt;3.5,0.985,0.95))))</f>
        <v>0.75</v>
      </c>
      <c r="K120" s="2">
        <f>ROUNDUP(AO120*_xlfn.XLOOKUP(_xlfn.XLOOKUP(B120,'Base stats'!B:B,'Base stats'!E:E),Groups!A:A,Groups!E:E),0)</f>
        <v>2</v>
      </c>
      <c r="L120" s="2">
        <f>IF(OR(_xlfn.XLOOKUP(_xlfn.XLOOKUP(B120,'Base stats'!B:B,'Base stats'!E:E),Groups!A:A,Groups!F:F)=2,ISNUMBER(SEARCH("SeaIce",BX120)),ISNUMBER(SEARCH("IceSheet",BX120))),-50,IF(OR(ISNUMBER(SEARCH("GlacialPlain",BX120)),ISNUMBER(SEARCH("Tundra",BX120))),-40,IF(OR(ISNUMBER(SEARCH("Alpine",BX120)),ISNUMBER(SEARCH("BorealForest",BX120)),ISNUMBER(SEARCH("ColdBog",BX120))),-30,IF(OR(ISNUMBER(SEARCH("TemperateForest",BX120)),ISNUMBER(SEARCH("TemperateSwamp",BX120))),-20,IF(_xlfn.XLOOKUP(_xlfn.XLOOKUP(B120,'Base stats'!B:B,'Base stats'!E:E),Groups!A:A,Groups!F:F)=1,-15,IF(OR(ISNUMBER(SEARCH("Desert",BX120)),ISNUMBER(SEARCH("ExtremeDesert",BX120))),-10,IF(OR(ISNUMBER(SEARCH("Grasslands",BX120)),ISNUMBER(SEARCH("TropicalRainforest",BX120)),ISNUMBER(SEARCH("TropicalSwamp",BX120))),10,0)))))))-IF(CC120="False",MIN(IFERROR(MAX(MROUND(LOG10(_xlfn.XLOOKUP(B120,'Base stats'!B:B,'Base stats'!C:C)^(2/3))*10,5),5),5),30))-_xlfn.XLOOKUP(B120,'Base stats'!B:B,'Base stats'!P:P)+IF(CC120="True",5,0)</f>
        <v>-55</v>
      </c>
      <c r="M120" s="2">
        <f>IF(OR(_xlfn.XLOOKUP(_xlfn.XLOOKUP(B120,'Base stats'!B:B,'Base stats'!E:E),Groups!A:A,Groups!G:G)=2,ISNUMBER(SEARCH("Desert",BX120)),ISNUMBER(SEARCH("ExtremeDesert",BX120)),ISNUMBER(SEARCH("LavaField",BX120))),50,IF(ISNUMBER(SEARCH("Grasslands",BX120)),45,IF(OR(_xlfn.XLOOKUP(_xlfn.XLOOKUP(B120,'Base stats'!B:B,'Base stats'!E:E),Groups!A:A,Groups!G:G)=1,ISNUMBER(SEARCH("TropicalRainforest",BX120)),ISNUMBER(SEARCH("TropicalSwamp",BX120))),40,IF(OR(ISNUMBER(SEARCH("TemperateForest",BX120)),ISNUMBER(SEARCH("TemperateSwamp",BX120))),35,IF(OR(ISNUMBER(SEARCH("Alpine",BX120)),ISNUMBER(SEARCH("BorealForest",BX120)),ISNUMBER(SEARCH("ColdBog",BX120))),30,IF(ISNUMBER(OR(ISNUMBER(SEARCH("GlacialPlain",BX120)),SEARCH("Tundra",BX120))),25,IF(OR(ISNUMBER(SEARCH("SeaIce",BX120)),ISNUMBER(SEARCH("IceSheet",BX120)),ISNUMBER(SEARCH("TropicalSwamp",BX120))),10,35)))))))+_xlfn.XLOOKUP(B120,'Base stats'!B:B,'Base stats'!Q:Q)</f>
        <v>35</v>
      </c>
      <c r="N120" s="8" t="str">
        <f>IF(
_xlfn.XLOOKUP(
_xlfn.XLOOKUP(B120,'Base stats'!B:B,'Base stats'!E:E),
Groups!A:A,
Groups!L:L
)=1,
MIN(
MROUND(
IF(
_xlfn.XLOOKUP(B120,'Animals CE'!B:B,'Animals CE'!Z:Z)&lt;=1.5,
_xlfn.XLOOKUP(B120,'Animals CE'!B:B,'Animals CE'!Z:Z)/2+0.05,
0.8+
(_xlfn.XLOOKUP(B120,'Animals CE'!B:B,'Animals CE'!Z:Z)-1.5)
*0.02
),
0.05
),
200%
),
"No"
)</f>
        <v>No</v>
      </c>
      <c r="O120" s="8" t="str">
        <f>IF(
_xlfn.XLOOKUP(
_xlfn.XLOOKUP(B120,'Base stats'!B:B,'Base stats'!E:E),
Groups!A:A,
Groups!L:L
)=1,
MIN(
MROUND(
IF(
_xlfn.XLOOKUP(B120,'Animals CE'!B:B,'Animals CE'!AA:AA)&lt;=1.5,
_xlfn.XLOOKUP(B120,'Animals CE'!B:B,'Animals CE'!AA:AA)/2+0.05,
0.8+
(_xlfn.XLOOKUP(B120,'Animals CE'!B:B,'Animals CE'!AA:AA)-1.5)
*0.02
),
0.05
),
200%
),
"No"
)</f>
        <v>No</v>
      </c>
      <c r="P120" s="2" t="str">
        <f>_xlfn.XLOOKUP(B120,'Base stats'!B:B,'Base stats'!R:R)</f>
        <v>Standard</v>
      </c>
      <c r="Q120" s="13">
        <f>MROUND((LOG10(_xlfn.XLOOKUP(B120,'Base stats'!B:B,'Base stats'!AR:AR))*(AO120^0.5)+(_xlfn.XLOOKUP(B120,'Base stats'!B:B,'Base stats'!AR:AR)/1000)^(2/3)+_xlfn.XLOOKUP(B120,'Base stats'!B:B,'Base stats'!BA:BA)/2)+0.5,0.5)</f>
        <v>10</v>
      </c>
      <c r="R120" s="7">
        <f>IF(Q120="No","No",MAX(1,MROUND(_xlfn.XLOOKUP(B120,'Base stats'!B:B,'Base stats'!C:C)^0.165,0.05)))</f>
        <v>2.3000000000000003</v>
      </c>
      <c r="S120" s="13" t="str">
        <f>IF(_xlfn.XLOOKUP(_xlfn.XLOOKUP(B120,'Base stats'!B:B,'Base stats'!E:E),Groups!A:A,Groups!P:P)=0,"No",MROUND((LOG10(_xlfn.XLOOKUP(B120,'Base stats'!B:B,'Base stats'!AS:AS))*(AO120^0.5)+(_xlfn.XLOOKUP(B120,'Base stats'!B:B,'Base stats'!AS:AS)/1000)^(2/3)+_xlfn.XLOOKUP(B120,'Base stats'!B:B,'Base stats'!BA:BA))+_xlfn.XLOOKUP(B120,'Base stats'!B:B,'Base stats'!AY:AY)+0.5,0.5))</f>
        <v>No</v>
      </c>
      <c r="T120" s="7" t="str">
        <f>IF(S120="No","No",MAX(_xlfn.XLOOKUP(_xlfn.XLOOKUP(B120,'Base stats'!B:B,'Base stats'!E:E),Groups!A:A,Groups!Q:Q),MROUND(_xlfn.XLOOKUP(_xlfn.XLOOKUP(B120,'Base stats'!B:B,'Base stats'!E:E),Groups!A:A,Groups!Q:Q)*_xlfn.XLOOKUP(B120,'Base stats'!B:B,'Base stats'!C:C)^0.165,0.05)))</f>
        <v>No</v>
      </c>
      <c r="U120" s="7" t="str">
        <f>IF(S120="No","No",_xlfn.XLOOKUP(_xlfn.XLOOKUP(B120,'Base stats'!B:B,'Base stats'!E:E),Groups!A:A,Groups!R:R))</f>
        <v>No</v>
      </c>
      <c r="V120" s="7" t="str">
        <f>IF(S120="No","No",_xlfn.XLOOKUP(_xlfn.XLOOKUP(B120,'Base stats'!B:B,'Base stats'!E:E),Groups!A:A,Groups!S:S))</f>
        <v>No</v>
      </c>
      <c r="W120" s="7" t="str">
        <f>IF(S120="No","No",_xlfn.XLOOKUP(_xlfn.XLOOKUP(B120,'Base stats'!B:B,'Base stats'!E:E),Groups!A:A,Groups!T:T))</f>
        <v>No</v>
      </c>
      <c r="X120" s="13" t="str">
        <f>IF(_xlfn.XLOOKUP(B120,'Base stats'!B:B,'Base stats'!W:W)="No","No",MROUND((LOG10(_xlfn.XLOOKUP(B120,'Base stats'!B:B,'Base stats'!AU:AU))*(AO120^0.5)+(_xlfn.XLOOKUP(B120,'Base stats'!B:B,'Base stats'!AU:AU)/1000)^(2/3)+_xlfn.XLOOKUP(B120,'Base stats'!B:B,'Base stats'!AZ:AZ))+0.5+IF(_xlfn.XLOOKUP(_xlfn.XLOOKUP(B120,'Base stats'!B:B,'Base stats'!E:E),Groups!A:A,Groups!U:U)&lt;&gt;3,_xlfn.XLOOKUP(B120,'Base stats'!B:B,'Base stats'!BA:BA),0),0.5))</f>
        <v>No</v>
      </c>
      <c r="Y120" s="7" t="str">
        <f>IF(X120="No","No",MAX(_xlfn.XLOOKUP(_xlfn.XLOOKUP(B120,'Base stats'!B:B,'Base stats'!E:E),Groups!A:A,Groups!V:V),MROUND(_xlfn.XLOOKUP(_xlfn.XLOOKUP(B120,'Base stats'!B:B,'Base stats'!E:E),Groups!A:A,Groups!V:V)*_xlfn.XLOOKUP(B120,'Base stats'!B:B,'Base stats'!C:C)^0.165,0.05)))</f>
        <v>No</v>
      </c>
      <c r="Z120" s="7" t="str">
        <f>IF(X120="No","No",_xlfn.XLOOKUP(_xlfn.XLOOKUP(B120,'Base stats'!B:B,'Base stats'!E:E),Groups!A:A,Groups!W:W))</f>
        <v>No</v>
      </c>
      <c r="AA120" s="7" t="str">
        <f>IF(X120="No","No",_xlfn.XLOOKUP(_xlfn.XLOOKUP(B120,'Base stats'!B:B,'Base stats'!E:E),Groups!A:A,Groups!X:X))</f>
        <v>No</v>
      </c>
      <c r="AB120" s="7" t="str">
        <f>IF(X120="No","No",_xlfn.XLOOKUP(_xlfn.XLOOKUP(B120,'Base stats'!B:B,'Base stats'!E:E),Groups!A:A,Groups!Y:Y))</f>
        <v>No</v>
      </c>
      <c r="AC120" s="7" t="str">
        <f>_xlfn.XLOOKUP(Animals!B120,'Base stats'!B:B,'Base stats'!X:X)</f>
        <v>False</v>
      </c>
      <c r="AD120" s="13">
        <f>IF(_xlfn.XLOOKUP(B120,'Base stats'!B:B,'Base stats'!AT:AT)="No","No",MROUND((LOG10(_xlfn.XLOOKUP(B120,'Base stats'!B:B,'Base stats'!AT:AT))*(AO120^0.75)+(_xlfn.XLOOKUP(B120,'Base stats'!B:B,'Base stats'!AT:AT)/1000)^(2/3)+_xlfn.XLOOKUP(B120,'Base stats'!B:B,'Base stats'!AX:AX)+_xlfn.XLOOKUP(B120,'Base stats'!B:B,'Base stats'!BA:BA))+0.5,0.5))</f>
        <v>15.5</v>
      </c>
      <c r="AE120" s="7">
        <f>IF(AD120="No","No",MAX(_xlfn.XLOOKUP(_xlfn.XLOOKUP(B120,'Base stats'!B:B,'Base stats'!E:E),Groups!A:A,Groups!Z:Z),MROUND(_xlfn.XLOOKUP(_xlfn.XLOOKUP(B120,'Base stats'!B:B,'Base stats'!E:E),Groups!A:A,Groups!Z:Z)*_xlfn.XLOOKUP(B120,'Base stats'!B:B,'Base stats'!C:C)^0.165,0.05)))</f>
        <v>1.9500000000000002</v>
      </c>
      <c r="AF120" s="7" t="str">
        <f>IF(AD120="No","No",_xlfn.XLOOKUP(_xlfn.XLOOKUP(B120,'Base stats'!B:B,'Base stats'!E:E),Groups!A:A,Groups!AA:AA))</f>
        <v>Teeth</v>
      </c>
      <c r="AG120" s="7" t="str">
        <f>IF(AD120="No","No",_xlfn.XLOOKUP(_xlfn.XLOOKUP(B120,'Base stats'!B:B,'Base stats'!E:E),Groups!A:A,Groups!AB:AB))</f>
        <v>canines</v>
      </c>
      <c r="AH120" s="7" t="str">
        <f>IF(AD120="No","No",_xlfn.XLOOKUP(_xlfn.XLOOKUP(B120,'Base stats'!B:B,'Base stats'!E:E),Groups!A:A,Groups!AC:AC))</f>
        <v>Bite</v>
      </c>
      <c r="AI120" s="13">
        <f>IF(_xlfn.XLOOKUP(_xlfn.XLOOKUP(B120,'Base stats'!B:B,'Base stats'!E:E),Groups!A:A,Groups!AD:AD)=0,"No",MROUND((LOG10(_xlfn.XLOOKUP(B120,'Base stats'!B:B,'Base stats'!AS:AS))*(AO120^0.75)+(_xlfn.XLOOKUP(B120,'Base stats'!B:B,'Base stats'!AS:AS)/1000)^(2/3)+_xlfn.XLOOKUP(B120,'Base stats'!B:B,'Base stats'!AY:AY)+_xlfn.XLOOKUP(B120,'Base stats'!B:B,'Base stats'!BA:BA))+0.5,0.5))</f>
        <v>15</v>
      </c>
      <c r="AJ120" s="7">
        <f>IF(AI120="No","No",MAX(_xlfn.XLOOKUP(_xlfn.XLOOKUP(B120,'Base stats'!B:B,'Base stats'!E:E),Groups!A:A,Groups!AE:AE),MROUND(_xlfn.XLOOKUP(_xlfn.XLOOKUP(B120,'Base stats'!B:B,'Base stats'!E:E),Groups!A:A,Groups!AE:AE)*IF(_xlfn.XLOOKUP(_xlfn.XLOOKUP(B120,'Base stats'!B:B,'Base stats'!E:E),Groups!A:A,Groups!AJ:AJ)="Photonozoa",0.6,1)*_xlfn.XLOOKUP(B120,'Base stats'!B:B,'Base stats'!C:C)^0.165,0.05)))</f>
        <v>1.5</v>
      </c>
      <c r="AK120" s="7" t="str">
        <f>IF(AI120="No","No",_xlfn.XLOOKUP(_xlfn.XLOOKUP(B120,'Base stats'!B:B,'Base stats'!E:E),Groups!A:A,Groups!AF:AF))</f>
        <v>FrontLeftPaw, FrontRightPaw</v>
      </c>
      <c r="AL120" s="7" t="str">
        <f>IF(AI120="No","No",_xlfn.XLOOKUP(_xlfn.XLOOKUP(B120,'Base stats'!B:B,'Base stats'!E:E),Groups!A:A,Groups!AG:AG))</f>
        <v>left claw, right claw</v>
      </c>
      <c r="AM120" s="7" t="str">
        <f>IF(AI120="No","No",_xlfn.XLOOKUP(_xlfn.XLOOKUP(B120,'Base stats'!B:B,'Base stats'!E:E),Groups!A:A,Groups!AH:AH))</f>
        <v>Scratch</v>
      </c>
      <c r="AN120" s="2">
        <f t="shared" si="7"/>
        <v>25</v>
      </c>
      <c r="AO120" s="2">
        <f>MROUND(IF(AND(_xlfn.XLOOKUP(B120,'Base stats'!B:B,'Base stats'!C:C)&gt;=0.5,_xlfn.XLOOKUP(B120,'Base stats'!B:B,'Base stats'!C:C)&lt;=0.8),
IF(_xlfn.XLOOKUP(B120,'Base stats'!B:B,'Base stats'!C:C)&lt;0.1,0.05,IF(_xlfn.XLOOKUP(B120,'Base stats'!B:B,'Base stats'!C:C)&lt;=70,(_xlfn.XLOOKUP(B120,'Base stats'!B:B,'Base stats'!C:C)/70)^0.426489913056526,IF(_xlfn.XLOOKUP(B120,'Base stats'!B:B,'Base stats'!C:C)&lt;=400,(_xlfn.XLOOKUP(B120,'Base stats'!B:B,'Base stats'!C:C)/70)^0.572811455315093,IF(_xlfn.XLOOKUP(B120,'Base stats'!B:B,'Base stats'!C:C)&lt;=2000,2.71391647193063*(_xlfn.XLOOKUP(B120,'Base stats'!B:B,'Base stats'!C:C)/400)^0.252459582904293,3.74314280240376*(_xlfn.XLOOKUP(B120,'Base stats'!B:B,'Base stats'!C:C)/2000)^0.357012633876913)))),
IF(_xlfn.XLOOKUP(B120,'Base stats'!B:B,'Base stats'!C:C)&lt;0.1,0.05,IF(_xlfn.XLOOKUP(B120,'Base stats'!B:B,'Base stats'!C:C)&lt;0.4,0.1,IF(_xlfn.XLOOKUP(B120,'Base stats'!B:B,'Base stats'!C:C)&lt;=70,(_xlfn.XLOOKUP(B120,'Base stats'!B:B,'Base stats'!C:C)/70)^0.445823913056526,IF(_xlfn.XLOOKUP(B120,'Base stats'!B:B,'Base stats'!C:C)&lt;=400,(_xlfn.XLOOKUP(B120,'Base stats'!B:B,'Base stats'!C:C)/70)^0.572811455315093,IF(_xlfn.XLOOKUP(B120,'Base stats'!B:B,'Base stats'!C:C)&lt;=2000,2.71391647193063*(_xlfn.XLOOKUP(B120,'Base stats'!B:B,'Base stats'!C:C)/400)^0.252459582904293,3.74314280240376*(_xlfn.XLOOKUP(B120,'Base stats'!B:B,'Base stats'!C:C)/2000)^0.357012633876913)))))),
IF(_xlfn.XLOOKUP(B120,'Base stats'!B:B,'Base stats'!C:C)&lt;0.1,0.05,IF(_xlfn.XLOOKUP(B120,'Base stats'!B:B,'Base stats'!C:C)&lt;=100,0.05,IF(_xlfn.XLOOKUP(B120,'Base stats'!B:B,'Base stats'!C:C)&lt;=250,0.1,IF(_xlfn.XLOOKUP(B120,'Base stats'!B:B,'Base stats'!C:C)&lt;=4000,0.25,0.5)))))</f>
        <v>1.6</v>
      </c>
      <c r="AP120" s="8">
        <f>MROUND(AO120*_xlfn.XLOOKUP(_xlfn.XLOOKUP(B120,'Base stats'!B:B,'Base stats'!E:E),Groups!A:A,Groups!AI:AI)*_xlfn.XLOOKUP(B120,'Base stats'!B:B,'Base stats'!Z:Z),0.05)</f>
        <v>1.9000000000000001</v>
      </c>
      <c r="AQ120" s="8">
        <f>MAX(0.01,MROUND(IF(CC120="True",0.196*(AO120*100*1000)^0.889,IF(_xlfn.XLOOKUP(_xlfn.XLOOKUP(B120,'Base stats'!B:B,'Base stats'!E:E),Groups!A:A,Groups!AJ:AJ)="Bird",10.5*(AO120*100*1000)^0.681,4.82*(AO120*100*1000)^0.734))/(4.82*(1*100*1000)^0.734)/IF(AO120&lt;3.5,2,IF(AO120=3.5,1.5,1.25))*(1+0.132282374779864/(AO120^0.994035016789033+0.00905238001496948)),0.05))</f>
        <v>0.75</v>
      </c>
      <c r="AR120" s="9">
        <f>IFERROR(MROUND(_xlfn.XLOOKUP(B120,'Base stats'!B:B,'Base stats'!H:H)/IF(_xlfn.XLOOKUP(B120,'Base stats'!B:B,'Base stats'!I:I)&lt;&gt;1,(122.5/70),1.2),IF(_xlfn.XLOOKUP(B120,'Base stats'!B:B,'Base stats'!H:H)&gt;=30,5,IF(_xlfn.XLOOKUP(B120,'Base stats'!B:B,'Base stats'!H:H)&gt;=15,3,IF(_xlfn.XLOOKUP(B120,'Base stats'!B:B,'Base stats'!H:H)&gt;=10,2,1)))),"Immortal")</f>
        <v>20</v>
      </c>
      <c r="AS120" s="35">
        <f>IFERROR(IF(OR(_xlfn.XLOOKUP(B120,'Base stats'!B:B,'Base stats'!F:F)="Atypical reproduction",_xlfn.XLOOKUP(B120,'Base stats'!B:B,'Base stats'!F:F)="Lay eggs"),"Lay eggs",MIN(20,MAX(5.5,ROUND(((_xlfn.XLOOKUP(B120,'Base stats'!B:B,'Base stats'!F:F)-25)*(14.5/615) + 5.5)*2,0)/2))),"Unknown")</f>
        <v>6.5</v>
      </c>
      <c r="AT120" s="8">
        <f>IF(_xlfn.XLOOKUP(B120,'Base stats'!B:B,'Base stats'!G:G)="Atypical reproduction","No",IFERROR(MAX(IF(_xlfn.XLOOKUP(B120,'Base stats'!B:B,'Base stats'!G:G)&lt;0.5,0.2,0.3),MROUND(_xlfn.XLOOKUP(B120,'Base stats'!B:B,'Base stats'!G:G)/(365/60),0.2)),"Unknown"))</f>
        <v>0.60000000000000009</v>
      </c>
      <c r="AU120" s="8">
        <f t="shared" si="8"/>
        <v>0.30000000000000004</v>
      </c>
      <c r="AV120" s="8">
        <f>IFERROR(IFERROR(MROUND(_xlfn.XLOOKUP(B120,'Base stats'!B:B,'Base stats'!J:J),0.1),"Lay eggs"),"Cannot breed")</f>
        <v>2</v>
      </c>
      <c r="AW120" s="2" t="str">
        <f t="shared" si="9"/>
        <v>false</v>
      </c>
      <c r="AX120" s="2" t="str">
        <f>IF(_xlfn.XLOOKUP(_xlfn.XLOOKUP(Animals!B120,'Base stats'!B:B,'Base stats'!E:E),Groups!A:A,Groups!AK:AK)=1,"true","false")</f>
        <v>false</v>
      </c>
      <c r="AY120" s="25" t="str">
        <f>IF(_xlfn.XLOOKUP(B120,'Base stats'!B:B,'Base stats'!Y:Y)="Liquor","Liquor, CarnivoreAnimalStrict",IF(AND(_xlfn.XLOOKUP(B120,'Base stats'!B:B,'Base stats'!Y:Y)="Carnivore",_xlfn.XLOOKUP(_xlfn.XLOOKUP(B120,'Base stats'!B:B,'Base stats'!E:E),Groups!A:A,Groups!AJ:AJ)="Photonozoa"),"CarnivoreAnimalStrict, OvivoreAnimal",IF(_xlfn.XLOOKUP(B120,'Base stats'!B:B,'Base stats'!Y:Y)="Carnivore","CarnivoreAnimal, OvivoreAnimal",IF(_xlfn.XLOOKUP(B120,'Base stats'!B:B,'Base stats'!Y:Y)="Dendrovore","VegetarianRoughAnimal, DendrovoreAnimal",IF(_xlfn.XLOOKUP(B120,'Base stats'!B:B,'Base stats'!Y:Y)="Herbivore","VegetarianRoughAnimal",IF(_xlfn.XLOOKUP(B120,'Base stats'!B:B,'Base stats'!Y:Y)="OmnivoreRough","OmnivoreRoughAnimal, OvivoreAnimal","OmnivoreAnimal, OvivoreAnimal"))))))</f>
        <v>OmnivoreAnimal, OvivoreAnimal</v>
      </c>
      <c r="AZ120" s="2" t="str">
        <f>IF(_xlfn.XLOOKUP(_xlfn.XLOOKUP(B120,'Base stats'!B:B,'Base stats'!E:E),Groups!A:A,Groups!D:D)=1,MROUND((1-J120)*5+1,2)*IF(J120&lt;=0.4,2,1),"No")</f>
        <v>No</v>
      </c>
      <c r="BA120" s="2" t="str">
        <f>IF(AND(_xlfn.XLOOKUP(B120,'Base stats'!B:B,'Base stats'!AH:AH)="&lt;li&gt;Seal&lt;/li&gt;",G120="Odyssey"),"&lt;li&gt;AEXP_Seal&lt;/li&gt;",_xlfn.XLOOKUP(B120,'Base stats'!B:B,'Base stats'!AH:AH))</f>
        <v>&lt;li&gt;Bear_Grizzly&lt;/li&gt;</v>
      </c>
      <c r="BB120" s="2" t="str">
        <f>_xlfn.XLOOKUP(B120,'Base stats'!B:B,'Base stats'!AG:AG)</f>
        <v>Leather_Bear</v>
      </c>
      <c r="BC120" s="23" t="str">
        <f>_xlfn.XLOOKUP(_xlfn.XLOOKUP(B120,'Base stats'!B:B,'Base stats'!E:E),Groups!A:A,Groups!AL:AL)</f>
        <v>QuadrupedAnimalWithPaws</v>
      </c>
      <c r="BD120" s="23">
        <f>MIN(1,MROUND(IF(AND(AO120&lt;0.5,_xlfn.XLOOKUP(B120,'Base stats'!B:B,'Base stats'!AA:AA)=0),0,IF(OR(_xlfn.XLOOKUP(Animals!B120,'Base stats'!B:B,'Base stats'!O:O)=2,_xlfn.XLOOKUP(_xlfn.XLOOKUP(B120,'Base stats'!B:B,'Base stats'!E:E),Groups!A:A,Groups!AN:AN)=0),0,_xlfn.XLOOKUP(_xlfn.XLOOKUP(B120,'Base stats'!B:B,'Base stats'!E:E),Groups!A:A,Groups!AN:AN)/IF(_xlfn.XLOOKUP(Animals!B120,'Base stats'!B:B,'Base stats'!O:O)=1,2,1)))+_xlfn.XLOOKUP(B120,'Base stats'!B:B,'Base stats'!AC:AC),0.005))</f>
        <v>0.1</v>
      </c>
      <c r="BE120" s="23">
        <f>MIN(1,MROUND(IF(AND(AO120&lt;0.5,_xlfn.XLOOKUP(B120,'Base stats'!B:B,'Base stats'!AA:AA)=0),0,IF(_xlfn.XLOOKUP(_xlfn.XLOOKUP(B120,'Base stats'!B:B,'Base stats'!E:E),Groups!A:A,Groups!AO:AO)=0,0,_xlfn.XLOOKUP(_xlfn.XLOOKUP(B120,'Base stats'!B:B,'Base stats'!E:E),Groups!A:A,Groups!AO:AO)/IF(_xlfn.XLOOKUP(Animals!B120,'Base stats'!B:B,'Base stats'!O:O)=2,3,1)))+_xlfn.XLOOKUP(B120,'Base stats'!B:B,'Base stats'!AD:AD),0.005))</f>
        <v>0.3</v>
      </c>
      <c r="BF120" s="2" t="str">
        <f>IF(J120&gt;0.3,"No",_xlfn.XLOOKUP(_xlfn.XLOOKUP(Animals!B120,'Base stats'!B:B,'Base stats'!E:E),Groups!A:A,Groups!AP:AP))</f>
        <v>No</v>
      </c>
      <c r="BG120" s="2" t="str">
        <f>IF(AND(J120&lt;=0.65,_xlfn.XLOOKUP(_xlfn.XLOOKUP(Animals!B120,'Base stats'!B:B,'Base stats'!E:E),Groups!A:A,Groups!AP:AP)&lt;&gt;"No",_xlfn.XLOOKUP(_xlfn.XLOOKUP(B120,'Base stats'!B:B,'Base stats'!E:E),Groups!A:A,Groups!D:D)=0),MROUND((80/3)*IF(_xlfn.XLOOKUP(B120,'Base stats'!B:B,'Base stats'!O:O)=2,0.2,AO120) + 24*(1-IF(BF120="No",0,BF120)) + 16/3, 12),"No")</f>
        <v>No</v>
      </c>
      <c r="BH120" s="2">
        <f>IF(AND(_xlfn.XLOOKUP(_xlfn.XLOOKUP(B120,'Base stats'!B:B,'Base stats'!E:E),Groups!A:A,Groups!AQ:AQ)=1,AO120&lt;=0.35),8,12)</f>
        <v>12</v>
      </c>
      <c r="BI120" s="2" t="str">
        <f>IF(_xlfn.XLOOKUP(_xlfn.XLOOKUP(B120,'Base stats'!B:B,'Base stats'!E:E),Groups!A:A,Groups!D:D)=0,_xlfn.XLOOKUP(_xlfn.XLOOKUP(B120,'Base stats'!B:B,'Base stats'!E:E),Groups!A:A,Groups!AR:AR),"None")</f>
        <v>Advanced</v>
      </c>
      <c r="BJ120" s="2" t="str">
        <f>IF(AND(_xlfn.XLOOKUP(_xlfn.XLOOKUP(B120,'Base stats'!B:B,'Base stats'!E:E),Groups!A:A,Groups!AS:AS)=1,OR(_xlfn.XLOOKUP(B120,'Base stats'!B:B,'Base stats'!Y:Y)="Carnivore",_xlfn.XLOOKUP(B120,'Base stats'!B:B,'Base stats'!Y:Y)="Omnivore")),"true","false")</f>
        <v>true</v>
      </c>
      <c r="BK120" s="2">
        <f>IF(BJ120="true",MROUND(IF(AND(AO120&gt;0.5,OR(_xlfn.XLOOKUP(_xlfn.XLOOKUP(B120,'Base stats'!B:B,'Base stats'!E:E),Groups!A:A,Groups!AJ:AJ)="Photonozoa",_xlfn.XLOOKUP(_xlfn.XLOOKUP(B120,'Base stats'!B:B,'Base stats'!E:E),Groups!A:A,Groups!AJ:AJ)="Mammal")),Animals!AO120*1.75*IF(AW120="true",1.5,1),IF(AO120&lt;0.5,Animals!AO120*0.5,Animals!AO120)),IF(AO120&gt;2,0.5,IF(AO120&gt;0.5,0.25,0.1))),"No")</f>
        <v>2.75</v>
      </c>
      <c r="BL120" s="2">
        <f t="shared" si="10"/>
        <v>1</v>
      </c>
      <c r="BM120" s="25" t="str">
        <f>IF(_xlfn.XLOOKUP(B120,'Base stats'!B:B,'Base stats'!AN:AN)="Standard","No",MROUND((_xlfn.XLOOKUP(B120,'Base stats'!B:B,'Base stats'!AN:AN)/3.6)/I120,0.1))</f>
        <v>No</v>
      </c>
      <c r="BN120" s="25" t="str">
        <f t="shared" si="11"/>
        <v>false</v>
      </c>
      <c r="BO120" s="25" t="str">
        <f>IF(AND(OR(_xlfn.XLOOKUP(B120,'Base stats'!B:B,'Base stats'!Y:Y)="Carnivore",_xlfn.XLOOKUP(B120,'Base stats'!B:B,'Base stats'!Y:Y)="Omnivore",_xlfn.XLOOKUP(B120,'Base stats'!B:B,'Base stats'!Y:Y)="OmnivoreRough"),_xlfn.XLOOKUP(_xlfn.XLOOKUP(B120,'Base stats'!B:B,'Base stats'!E:E),Groups!A:A,Groups!AT:AT)=1),"true","false")</f>
        <v>true</v>
      </c>
      <c r="BP120" s="25" t="str" cm="1">
        <f t="array" ref="BP120">IF(
  _xlfn.TEXTJOIN(", ",TRUE,
    IF(AND(BJ120="true",AO120&gt;0.5,BI120&lt;&gt;"None"),"AttackTarget",""),
    IF(AND(_xlfn.XLOOKUP(_xlfn.XLOOKUP(B120,'Base stats'!B:B,'Base stats'!E:E),Groups!A:A,Groups!AJ:AJ="Mammal"),OR(_xlfn.XLOOKUP(B120,'Base stats'!B:B,'Base stats'!Y:Y)="Omnivore",_xlfn.XLOOKUP(B120,'Base stats'!B:B,'Base stats'!Y:Y)="OmnivoreRough")),"Forage",""),
    IF(BG120&lt;=36,"Comfort",""),
    IF(_xlfn.XLOOKUP(B120,'Base stats'!B:B,'Base stats'!AE:AE)&lt;&gt;"No",_xlfn.XLOOKUP(B120,'Base stats'!B:B,'Base stats'!AE:AE),"")
  ) = "",
  "No",
  _xlfn.TEXTJOIN(", ",TRUE,
    IF(AND(BJ120="true",AO120&gt;0.5,BI120&lt;&gt;"None"),"AttackTarget",""),
    IF(AND(_xlfn.XLOOKUP(_xlfn.XLOOKUP(B120,'Base stats'!B:B,'Base stats'!E:E),Groups!A:A,Groups!AJ:AJ="Mammal"),OR(_xlfn.XLOOKUP(B120,'Base stats'!B:B,'Base stats'!Y:Y)="Omnivore",_xlfn.XLOOKUP(B120,'Base stats'!B:B,'Base stats'!Y:Y)="OmnivoreRough")),"Forage",""),
    IF(BG120&lt;=36,"Comfort",""),
    IF(_xlfn.XLOOKUP(B120,'Base stats'!B:B,'Base stats'!AE:AE)&lt;&gt;"No",_xlfn.XLOOKUP(B120,'Base stats'!B:B,'Base stats'!AE:AE),"")
  )
)</f>
        <v>AttackTarget, Forage</v>
      </c>
      <c r="BQ120" s="25">
        <f>IF(
   AND(
      'Base stats'!AN120="Standard",_xlfn.XLOOKUP(_xlfn.XLOOKUP(B120,'Base stats'!B:B,'Base stats'!E:E),Groups!A:A,Groups!AU:AU)=0,
      OR(
      BO120="True"
      )
   ),
   10,
   IF(
       OR(BM120&lt;&gt;"No",_xlfn.XLOOKUP(_xlfn.XLOOKUP(B120,'Base stats'!B:B,'Base stats'!E:E),Groups!A:A,Groups!AU:AU)=1),
      1,
      "No"
   )
)</f>
        <v>10</v>
      </c>
      <c r="BR120" s="9">
        <f>MROUND((1 + ((0.2*IF(OR(Q120="No",R120="No",R120=0),0,Q120/R120)
+IF(OR(V120="No",S120="No",T120="No"),0,S120/T120*(LEN(V120)-LEN(SUBSTITUTE(V120,",",""))+1))
+IF(OR(X120="No",Y120="No"),0,X120/Y120)
+IF(OR(AD120="No",AE120="No"),0,AD120/AE120)
+IF(OR(AL120="No",AI120="No",AJ120="No"),0,AI120/AJ120*(LEN(AL120)-LEN(SUBSTITUTE(AL120,",",""))+1))
)/(0.2*IF(OR(Q120="No",R120="No",R120=0),0,1)
+IF(OR(V120="No",S120="No",T120="No"),0,LEN(V120)-LEN(SUBSTITUTE(V120,",",""))+1)
+IF(OR(X120="No",Y120="No"),0,1)
+IF(OR(AD120="No",AE120="No"),0,1)
+IF(OR(AL120="No",AI120="No",AJ120="No"),0,LEN(AL120)-LEN(SUBSTITUTE(AL120,",",""))+1))*62%)* 2)*(1 + (AP120 / (IF(_xlfn.XLOOKUP(_xlfn.XLOOKUP(B120,'Base stats'!B:B,'Base stats'!E:E),Groups!A:A,Groups!AJ:AJ)="Photonozoa",0.3,1)) + _xlfn.XLOOKUP(B120,'Base stats'!B:B,'Base stats'!AV:AV) * 1.8) * 2) * 2.5 + 10 + I120 * 2,5)+IF(_xlfn.XLOOKUP(B120,'Base stats'!B:B,'Base stats'!AK:AK)=1,50,0)</f>
        <v>170</v>
      </c>
      <c r="BS120" s="8">
        <f t="shared" si="12"/>
        <v>0.9</v>
      </c>
      <c r="BT120" s="8" t="str">
        <f>_xlfn.XLOOKUP(B120,'Base stats'!B:B,'Base stats'!AF:AF)</f>
        <v>No</v>
      </c>
      <c r="BU120" s="2" t="str">
        <f>IF(AND(J120&lt;=0.95,OR(_xlfn.XLOOKUP(B120,'Base stats'!B:B,'Base stats'!AK:AK)=1,_xlfn.XLOOKUP(B120,'Base stats'!B:B,'Base stats'!Y:Y)="Carnivore",_xlfn.XLOOKUP(B120,'Base stats'!B:B,'Base stats'!Y:Y)="Omnivore",BE120&gt;0.1)),"true","false")</f>
        <v>true</v>
      </c>
      <c r="BV120" s="2" t="str">
        <f>IF(_xlfn.XLOOKUP(B120,'Base stats'!B:B,'Base stats'!AI:AI)=1,"true","false")</f>
        <v>false</v>
      </c>
      <c r="BW120" s="25" t="str">
        <f>IF(E120="BaseInsect","AnimalInsect",
IF(J120&gt;0.95,"AnimalExotic",
_xlfn.TEXTJOIN(", ",TRUE,
IF(OR(_xlfn.XLOOKUP(B120,'Base stats'!B:B,'Base stats'!AM:AM)=1,AND(_xlfn.XLOOKUP(B120,'Base stats'!B:B,'Base stats'!O:O)=0,_xlfn.XLOOKUP(_xlfn.XLOOKUP(B120,'Base stats'!B:B,'Base stats'!E:E),Groups!A:A,Groups!B:B)&gt;0)),"AnimalUncommon","AnimalCommon"),
IF(AND(_xlfn.XLOOKUP(B120,'Base stats'!B:B,'Base stats'!O:O)=2,_xlfn.XLOOKUP(_xlfn.XLOOKUP(B120,'Base stats'!B:B,'Base stats'!E:E),Groups!A:A,Groups!D:D)=0),"AnimalPet",IF(AND(_xlfn.XLOOKUP(B120,'Base stats'!B:B,'Base stats'!O:O)&lt;&gt;0,_xlfn.XLOOKUP(_xlfn.XLOOKUP(B120,'Base stats'!B:B,'Base stats'!E:E),Groups!A:A,Groups!D:D)&lt;&gt;0),"AnimalFarm","")),
IF(OR(_xlfn.XLOOKUP(B120,'Base stats'!B:B,'Base stats'!AK:AK)=1,AND(BI120&lt;&gt;"None",BR120&gt;=60),ISNUMBER(SEARCH("Attack target",BP120))),"AnimalFighter","")
)))</f>
        <v>AnimalUncommon, AnimalFighter</v>
      </c>
      <c r="BX120" s="25" t="str">
        <f>IF(G120="None",TRIM(
SUBSTITUTE(
IF(COUNTIF(Biomes!B$2:B$259,"="&amp;$C120)&gt;0,Biomes!B$1&amp;", ","")&amp;
IF(COUNTIF(Biomes!C$2:C$259,"="&amp;$C120)&gt;0,Biomes!C$1&amp;", ","")&amp;
IF(COUNTIF(Biomes!D$2:D$259,"="&amp;$C120)&gt;0,Biomes!D$1&amp;", ","")&amp;
IF(COUNTIF(Biomes!F$2:F$259,"="&amp;$C120)&gt;0,Biomes!F$1&amp;", ","")&amp;
IF(COUNTIF(Biomes!G$2:G$259,"="&amp;$C120)&gt;0,Biomes!G$1&amp;", ","")&amp;
IF(COUNTIF(Biomes!H$2:H$259,"="&amp;$C120)&gt;0,Biomes!H$1&amp;", ","")&amp;
IF(COUNTIF(Biomes!I$2:I$259,"="&amp;$C120)&gt;0,Biomes!I$1&amp;", ","")&amp;
IF(COUNTIF(Biomes!J$2:J$259,"="&amp;$C120)&gt;0,Biomes!J$1&amp;", ","")&amp;
IF(COUNTIF(Biomes!M$2:M$259,"="&amp;$C120)&gt;0,Biomes!M$1&amp;", ","")&amp;
IF(COUNTIF(Biomes!N$2:N$259,"="&amp;$C120)&gt;0,Biomes!N$1&amp;", ","")&amp;
IF(COUNTIF(Biomes!O$2:O$259,"="&amp;$C120)&gt;0,Biomes!O$1&amp;", ","")&amp;
IF(COUNTIF(Biomes!P$2:P$259,"="&amp;$C120)&gt;0,Biomes!P$1&amp;", ","")&amp;
IF(COUNTIF(Biomes!K$2:K$259,"="&amp;$C120)&gt;0,Biomes!K$1&amp;", ","")&amp;
IF(COUNTIF(Biomes!Q$3:Q$259,"="&amp;$C120)&gt;0,Biomes!Q$1&amp;", ","")&amp;
IF(COUNTIF(Biomes!L$2:L$259,"="&amp;$C120)&gt;0,Biomes!L$1&amp;", ","")&amp;
IF(COUNTIF(Biomes!E$2:E$259,"="&amp;$C120)&gt;0,Biomes!E$1&amp;", ","")&amp;IF(COUNTIF(Biomes!S$2:S$259,"="&amp;$C120)&gt;0,Biomes!S$1&amp;", ","")&amp;
IF(COUNTIF(Biomes!R$2:R$259,"="&amp;$C120)&gt;0,Biomes!R$1&amp;", ",""),", ","")
),_xlfn.XLOOKUP(B120,B:B,BX:BX))</f>
        <v>BorealForest ColdBog TemperateForest TemperateSwamp GlacialPlain</v>
      </c>
      <c r="BY120" s="25" t="str">
        <f>IF(_xlfn.XLOOKUP(B120,'Base stats'!B:B,'Base stats'!AJ:AJ)=1,"true","false")</f>
        <v>false</v>
      </c>
      <c r="BZ120" s="25">
        <f>IF(_xlfn.XLOOKUP(B120,'Base stats'!B:B,'Base stats'!N:N)=1,"No",MAX(0.001,MIN(MROUND(IF(AND(BJ120="True",CC120="False"),POWER(10,3.47*LOG10(_xlfn.XLOOKUP(B120,'Base stats'!B:B,'Base stats'!C:C)*1000)^-0.96),POWER(10,4.15*LOG10(_xlfn.XLOOKUP(B120,'Base stats'!B:B,'Base stats'!C:C)*1000)^-0.73))*IF(_xlfn.XLOOKUP(B120,'Base stats'!B:B,'Base stats'!AK:AK)=1,0.5,1)*IF(_xlfn.XLOOKUP(B120,'Base stats'!B:B,'Base stats'!AM:AM)=1,0.1,1)/100,IF(_xlfn.XLOOKUP(B120,'Base stats'!B:B,'Base stats'!AM:AM)=1,0.001,0.025)),0.5)))</f>
        <v>0.05</v>
      </c>
      <c r="CA120" s="25" t="str">
        <f>IF(P120="Standard","No",MAX(0.001,MIN(MROUND(IF(AND(BJ120="True",CC120="False"),POWER(10,3.47*LOG10(_xlfn.XLOOKUP(B120,'Base stats'!B:B,'Base stats'!C:C)*1000)^-0.96),POWER(10,4.15*LOG10(_xlfn.XLOOKUP(B120,'Base stats'!B:B,'Base stats'!C:C)*1000)^-0.73))*IF(_xlfn.XLOOKUP(B120,'Base stats'!B:B,'Base stats'!AM:AM)=1,0.1,1)*_xlfn.XLOOKUP(B120,'Base stats'!B:B,'Base stats'!R:R)/100,IF(_xlfn.XLOOKUP(B120,'Base stats'!B:B,'Base stats'!AM:AM)=1,0.001,0.025)),0.5)))</f>
        <v>No</v>
      </c>
      <c r="CB120" s="25" t="str">
        <f>IF(_xlfn.XLOOKUP(_xlfn.XLOOKUP(B120,'Base stats'!B:B,'Base stats'!E:E),Groups!A:A,Groups!AJ:AJ)="Mammal","True","False")</f>
        <v>True</v>
      </c>
      <c r="CC120" s="25" t="str">
        <f>IF(OR(_xlfn.XLOOKUP(_xlfn.XLOOKUP(B120,'Base stats'!B:B,'Base stats'!E:E),Groups!A:A,Groups!AJ:AJ)="Reptile",_xlfn.XLOOKUP(_xlfn.XLOOKUP(B120,'Base stats'!B:B,'Base stats'!E:E),Groups!A:A,Groups!AJ:AJ)="Amphibian",_xlfn.XLOOKUP(_xlfn.XLOOKUP(B120,'Base stats'!B:B,'Base stats'!E:E),Groups!A:A,Groups!AJ:AJ)="Invertebrate"),"True","False")</f>
        <v>False</v>
      </c>
      <c r="CD120" s="25" t="str">
        <f t="shared" si="13"/>
        <v>False</v>
      </c>
      <c r="CE120" s="25" t="str">
        <f>IF(_xlfn.XLOOKUP(_xlfn.XLOOKUP(B120,'Base stats'!B:B,'Base stats'!E:E),Groups!A:A,Groups!AX:AX),"True","False")</f>
        <v>False</v>
      </c>
      <c r="CF120" s="25" t="str">
        <f>IF(_xlfn.XLOOKUP(_xlfn.XLOOKUP(B120,'Base stats'!B:B,'Base stats'!E:E),Groups!A:A,Groups!AY:AY),"True","False")</f>
        <v>False</v>
      </c>
      <c r="CG120" s="25" t="str">
        <f>IF(_xlfn.XLOOKUP(_xlfn.XLOOKUP(B120,'Base stats'!B:B,'Base stats'!E:E),Groups!A:A,Groups!AW:AW),"True","False")</f>
        <v>False</v>
      </c>
      <c r="CH120" s="25" t="str">
        <f>IF(
OR(
_xlfn.XLOOKUP(_xlfn.XLOOKUP(B120,'Base stats'!B:B,'Base stats'!E:E),Groups!A:A,Groups!AZ:AZ)=0,
AND(
_xlfn.XLOOKUP(B120,'Base stats'!B:B,'Base stats'!Y:Y)&lt;&gt;"Carnivore",
_xlfn.XLOOKUP(B120,'Base stats'!B:B,'Base stats'!Y:Y)&lt;&gt;"Omnivore",
_xlfn.XLOOKUP(B120,'Base stats'!B:B,'Base stats'!Y:Y)&lt;&gt;"OmnivoreRough"
)
),
"No",
IF(
_xlfn.XLOOKUP(_xlfn.XLOOKUP(B120,'Base stats'!B:B,'Base stats'!E:E),Groups!A:A,Groups!AZ:AZ)=1,
"Flesh",
IF(
_xlfn.XLOOKUP(_xlfn.XLOOKUP(B120,'Base stats'!B:B,'Base stats'!E:E),Groups!A:A,Groups!AZ:AZ)=2,
"Bone",
""
)
)
)</f>
        <v>Bone</v>
      </c>
      <c r="CI120" s="25" t="str">
        <f>IF(_xlfn.XLOOKUP(_xlfn.XLOOKUP(B120,'Base stats'!B:B,'Base stats'!E:E),Groups!A:A,Groups!BB:BB),"True","False")</f>
        <v>True</v>
      </c>
      <c r="CJ120" s="25" t="str">
        <f>IF(_xlfn.XLOOKUP(_xlfn.XLOOKUP(B120,'Base stats'!B:B,'Base stats'!E:E),Groups!A:A,Groups!BA:BA),"True","False")</f>
        <v>False</v>
      </c>
    </row>
    <row r="121" spans="1:88" ht="16.5" thickTop="1" thickBot="1" x14ac:dyDescent="0.3">
      <c r="A121" s="26" t="str">
        <f>_xlfn.XLOOKUP(B121,'Base stats'!B:B,'Base stats'!A:A)</f>
        <v>Spotted Hyena</v>
      </c>
      <c r="B121" s="6" t="s">
        <v>58</v>
      </c>
      <c r="C121" s="28" t="s">
        <v>802</v>
      </c>
      <c r="D121" s="28" t="s">
        <v>872</v>
      </c>
      <c r="E121" s="28" t="s">
        <v>673</v>
      </c>
      <c r="F121" s="28" t="s">
        <v>673</v>
      </c>
      <c r="G121" s="28" t="s">
        <v>673</v>
      </c>
      <c r="H121" s="2">
        <f>MROUND((
  (IF(AND(_xlfn.XLOOKUP(B121,'Base stats'!B:B,'Base stats'!AL:AL)=0,BI121="None",_xlfn.XLOOKUP(_xlfn.XLOOKUP(B121,'Base stats'!B:B,'Base stats'!E:E),Groups!A:A,Groups!B:B)=0), (18 + BR121 * 2.7) * 0.5,
    IF(AND(_xlfn.XLOOKUP(B121,'Base stats'!B:B,'Base stats'!AL:AL)=0,OR(AO121&lt;0.55,AND(BI121="Intermediate",_xlfn.XLOOKUP(_xlfn.XLOOKUP(B121,'Base stats'!B:B,'Base stats'!E:E),Groups!A:A,Groups!B:B)&lt;2))), (18 + BR121 * 2.7),
      IF(OR(BI121="Advanced",_xlfn.XLOOKUP(B121,'Base stats'!B:B,'Base stats'!AL:AL)=1,_xlfn.XLOOKUP(_xlfn.XLOOKUP(B121,'Base stats'!B:B,'Base stats'!E:E),Groups!A:A,Groups!B:B)=2), (18 + BR121 * 2.7) + 250, (18 + BR121 * 2.7))
    )
  ))
  + AO121 * 80
  + IF(COUNTIF(EggMilk!K$2:K$998, A121) &gt; 0, 125, 0)
  + IF(COUNTIF(EggMilk!P$2:P$998, A121) &gt; 0, 90, 0)
  + IF(COUNTIF(EggMilk!A$2:A$998, A121) &gt; 0, 90, 0)
)
* (0.8 + 0.4 * J121)
* 0.75,25)</f>
        <v>550</v>
      </c>
      <c r="I121" s="2">
        <f>MROUND(ROUNDDOWN(_xlfn.XLOOKUP(B121,'Base stats'!B:B,'Base stats'!L:L)/3.6/(23.3/11),1),0.5)</f>
        <v>8.5</v>
      </c>
      <c r="J121" s="2">
        <f>IF(OR(_xlfn.XLOOKUP(B121,'Base stats'!B:B,'Base stats'!AB:AB)=1,_xlfn.XLOOKUP(_xlfn.XLOOKUP(B121,'Base stats'!B:B,'Base stats'!E:E),Groups!A:A,Groups!C:C)="Untamable"),1,IF(_xlfn.XLOOKUP(B121,'Base stats'!B:B,'Base stats'!AL:AL)=1,0.99,MIN(MROUND((1-0.6282*EXP(-0.459*AO121))*_xlfn.XLOOKUP(_xlfn.XLOOKUP(B121,'Base stats'!B:B,'Base stats'!E:E),Groups!A:A,Groups!C:C)*IF(_xlfn.XLOOKUP(B121,'Base stats'!B:B,'Base stats'!O:O)=1,0.5,IF(_xlfn.XLOOKUP(B121,'Base stats'!B:B,'Base stats'!O:O)=2,0,1)),0.05),IF(AO121&gt;3.5,0.985,0.95))))</f>
        <v>0.75</v>
      </c>
      <c r="K121" s="2">
        <f>ROUNDUP(AO121*_xlfn.XLOOKUP(_xlfn.XLOOKUP(B121,'Base stats'!B:B,'Base stats'!E:E),Groups!A:A,Groups!E:E),0)</f>
        <v>1</v>
      </c>
      <c r="L121" s="2">
        <f>IF(OR(_xlfn.XLOOKUP(_xlfn.XLOOKUP(B121,'Base stats'!B:B,'Base stats'!E:E),Groups!A:A,Groups!F:F)=2,ISNUMBER(SEARCH("SeaIce",BX121)),ISNUMBER(SEARCH("IceSheet",BX121))),-50,IF(OR(ISNUMBER(SEARCH("GlacialPlain",BX121)),ISNUMBER(SEARCH("Tundra",BX121))),-40,IF(OR(ISNUMBER(SEARCH("Alpine",BX121)),ISNUMBER(SEARCH("BorealForest",BX121)),ISNUMBER(SEARCH("ColdBog",BX121))),-30,IF(OR(ISNUMBER(SEARCH("TemperateForest",BX121)),ISNUMBER(SEARCH("TemperateSwamp",BX121))),-20,IF(_xlfn.XLOOKUP(_xlfn.XLOOKUP(B121,'Base stats'!B:B,'Base stats'!E:E),Groups!A:A,Groups!F:F)=1,-15,IF(OR(ISNUMBER(SEARCH("Desert",BX121)),ISNUMBER(SEARCH("ExtremeDesert",BX121))),-10,IF(OR(ISNUMBER(SEARCH("Grasslands",BX121)),ISNUMBER(SEARCH("TropicalRainforest",BX121)),ISNUMBER(SEARCH("TropicalSwamp",BX121))),10,0)))))))-IF(CC121="False",MIN(IFERROR(MAX(MROUND(LOG10(_xlfn.XLOOKUP(B121,'Base stats'!B:B,'Base stats'!C:C)^(2/3))*10,5),5),5),30))-_xlfn.XLOOKUP(B121,'Base stats'!B:B,'Base stats'!P:P)+IF(CC121="True",5,0)</f>
        <v>-25</v>
      </c>
      <c r="M121" s="2">
        <f>IF(OR(_xlfn.XLOOKUP(_xlfn.XLOOKUP(B121,'Base stats'!B:B,'Base stats'!E:E),Groups!A:A,Groups!G:G)=2,ISNUMBER(SEARCH("Desert",BX121)),ISNUMBER(SEARCH("ExtremeDesert",BX121)),ISNUMBER(SEARCH("LavaField",BX121))),50,IF(ISNUMBER(SEARCH("Grasslands",BX121)),45,IF(OR(_xlfn.XLOOKUP(_xlfn.XLOOKUP(B121,'Base stats'!B:B,'Base stats'!E:E),Groups!A:A,Groups!G:G)=1,ISNUMBER(SEARCH("TropicalRainforest",BX121)),ISNUMBER(SEARCH("TropicalSwamp",BX121))),40,IF(OR(ISNUMBER(SEARCH("TemperateForest",BX121)),ISNUMBER(SEARCH("TemperateSwamp",BX121))),35,IF(OR(ISNUMBER(SEARCH("Alpine",BX121)),ISNUMBER(SEARCH("BorealForest",BX121)),ISNUMBER(SEARCH("ColdBog",BX121))),30,IF(ISNUMBER(OR(ISNUMBER(SEARCH("GlacialPlain",BX121)),SEARCH("Tundra",BX121))),25,IF(OR(ISNUMBER(SEARCH("SeaIce",BX121)),ISNUMBER(SEARCH("IceSheet",BX121)),ISNUMBER(SEARCH("TropicalSwamp",BX121))),10,35)))))))+_xlfn.XLOOKUP(B121,'Base stats'!B:B,'Base stats'!Q:Q)</f>
        <v>50</v>
      </c>
      <c r="N121" s="8" t="str">
        <f>IF(
_xlfn.XLOOKUP(
_xlfn.XLOOKUP(B121,'Base stats'!B:B,'Base stats'!E:E),
Groups!A:A,
Groups!L:L
)=1,
MIN(
MROUND(
IF(
_xlfn.XLOOKUP(B121,'Animals CE'!B:B,'Animals CE'!Z:Z)&lt;=1.5,
_xlfn.XLOOKUP(B121,'Animals CE'!B:B,'Animals CE'!Z:Z)/2+0.05,
0.8+
(_xlfn.XLOOKUP(B121,'Animals CE'!B:B,'Animals CE'!Z:Z)-1.5)
*0.02
),
0.05
),
200%
),
"No"
)</f>
        <v>No</v>
      </c>
      <c r="O121" s="8" t="str">
        <f>IF(
_xlfn.XLOOKUP(
_xlfn.XLOOKUP(B121,'Base stats'!B:B,'Base stats'!E:E),
Groups!A:A,
Groups!L:L
)=1,
MIN(
MROUND(
IF(
_xlfn.XLOOKUP(B121,'Animals CE'!B:B,'Animals CE'!AA:AA)&lt;=1.5,
_xlfn.XLOOKUP(B121,'Animals CE'!B:B,'Animals CE'!AA:AA)/2+0.05,
0.8+
(_xlfn.XLOOKUP(B121,'Animals CE'!B:B,'Animals CE'!AA:AA)-1.5)
*0.02
),
0.05
),
200%
),
"No"
)</f>
        <v>No</v>
      </c>
      <c r="P121" s="2" t="str">
        <f>_xlfn.XLOOKUP(B121,'Base stats'!B:B,'Base stats'!R:R)</f>
        <v>Standard</v>
      </c>
      <c r="Q121" s="13">
        <f>MROUND((LOG10(_xlfn.XLOOKUP(B121,'Base stats'!B:B,'Base stats'!AR:AR))*(AO121^0.5)+(_xlfn.XLOOKUP(B121,'Base stats'!B:B,'Base stats'!AR:AR)/1000)^(2/3)+_xlfn.XLOOKUP(B121,'Base stats'!B:B,'Base stats'!BA:BA)/2)+0.5,0.5)</f>
        <v>7</v>
      </c>
      <c r="R121" s="7">
        <f>IF(Q121="No","No",MAX(1,MROUND(_xlfn.XLOOKUP(B121,'Base stats'!B:B,'Base stats'!C:C)^0.165,0.05)))</f>
        <v>2</v>
      </c>
      <c r="S121" s="13" t="str">
        <f>IF(_xlfn.XLOOKUP(_xlfn.XLOOKUP(B121,'Base stats'!B:B,'Base stats'!E:E),Groups!A:A,Groups!P:P)=0,"No",MROUND((LOG10(_xlfn.XLOOKUP(B121,'Base stats'!B:B,'Base stats'!AS:AS))*(AO121^0.5)+(_xlfn.XLOOKUP(B121,'Base stats'!B:B,'Base stats'!AS:AS)/1000)^(2/3)+_xlfn.XLOOKUP(B121,'Base stats'!B:B,'Base stats'!BA:BA))+_xlfn.XLOOKUP(B121,'Base stats'!B:B,'Base stats'!AY:AY)+0.5,0.5))</f>
        <v>No</v>
      </c>
      <c r="T121" s="7" t="str">
        <f>IF(S121="No","No",MAX(_xlfn.XLOOKUP(_xlfn.XLOOKUP(B121,'Base stats'!B:B,'Base stats'!E:E),Groups!A:A,Groups!Q:Q),MROUND(_xlfn.XLOOKUP(_xlfn.XLOOKUP(B121,'Base stats'!B:B,'Base stats'!E:E),Groups!A:A,Groups!Q:Q)*_xlfn.XLOOKUP(B121,'Base stats'!B:B,'Base stats'!C:C)^0.165,0.05)))</f>
        <v>No</v>
      </c>
      <c r="U121" s="7" t="str">
        <f>IF(S121="No","No",_xlfn.XLOOKUP(_xlfn.XLOOKUP(B121,'Base stats'!B:B,'Base stats'!E:E),Groups!A:A,Groups!R:R))</f>
        <v>No</v>
      </c>
      <c r="V121" s="7" t="str">
        <f>IF(S121="No","No",_xlfn.XLOOKUP(_xlfn.XLOOKUP(B121,'Base stats'!B:B,'Base stats'!E:E),Groups!A:A,Groups!S:S))</f>
        <v>No</v>
      </c>
      <c r="W121" s="7" t="str">
        <f>IF(S121="No","No",_xlfn.XLOOKUP(_xlfn.XLOOKUP(B121,'Base stats'!B:B,'Base stats'!E:E),Groups!A:A,Groups!T:T))</f>
        <v>No</v>
      </c>
      <c r="X121" s="13" t="str">
        <f>IF(_xlfn.XLOOKUP(B121,'Base stats'!B:B,'Base stats'!W:W)="No","No",MROUND((LOG10(_xlfn.XLOOKUP(B121,'Base stats'!B:B,'Base stats'!AU:AU))*(AO121^0.5)+(_xlfn.XLOOKUP(B121,'Base stats'!B:B,'Base stats'!AU:AU)/1000)^(2/3)+_xlfn.XLOOKUP(B121,'Base stats'!B:B,'Base stats'!AZ:AZ))+0.5+IF(_xlfn.XLOOKUP(_xlfn.XLOOKUP(B121,'Base stats'!B:B,'Base stats'!E:E),Groups!A:A,Groups!U:U)&lt;&gt;3,_xlfn.XLOOKUP(B121,'Base stats'!B:B,'Base stats'!BA:BA),0),0.5))</f>
        <v>No</v>
      </c>
      <c r="Y121" s="7" t="str">
        <f>IF(X121="No","No",MAX(_xlfn.XLOOKUP(_xlfn.XLOOKUP(B121,'Base stats'!B:B,'Base stats'!E:E),Groups!A:A,Groups!V:V),MROUND(_xlfn.XLOOKUP(_xlfn.XLOOKUP(B121,'Base stats'!B:B,'Base stats'!E:E),Groups!A:A,Groups!V:V)*_xlfn.XLOOKUP(B121,'Base stats'!B:B,'Base stats'!C:C)^0.165,0.05)))</f>
        <v>No</v>
      </c>
      <c r="Z121" s="7" t="str">
        <f>IF(X121="No","No",_xlfn.XLOOKUP(_xlfn.XLOOKUP(B121,'Base stats'!B:B,'Base stats'!E:E),Groups!A:A,Groups!W:W))</f>
        <v>No</v>
      </c>
      <c r="AA121" s="7" t="str">
        <f>IF(X121="No","No",_xlfn.XLOOKUP(_xlfn.XLOOKUP(B121,'Base stats'!B:B,'Base stats'!E:E),Groups!A:A,Groups!X:X))</f>
        <v>No</v>
      </c>
      <c r="AB121" s="7" t="str">
        <f>IF(X121="No","No",_xlfn.XLOOKUP(_xlfn.XLOOKUP(B121,'Base stats'!B:B,'Base stats'!E:E),Groups!A:A,Groups!Y:Y))</f>
        <v>No</v>
      </c>
      <c r="AC121" s="7" t="str">
        <f>_xlfn.XLOOKUP(Animals!B121,'Base stats'!B:B,'Base stats'!X:X)</f>
        <v>False</v>
      </c>
      <c r="AD121" s="13">
        <f>IF(_xlfn.XLOOKUP(B121,'Base stats'!B:B,'Base stats'!AT:AT)="No","No",MROUND((LOG10(_xlfn.XLOOKUP(B121,'Base stats'!B:B,'Base stats'!AT:AT))*(AO121^0.75)+(_xlfn.XLOOKUP(B121,'Base stats'!B:B,'Base stats'!AT:AT)/1000)^(2/3)+_xlfn.XLOOKUP(B121,'Base stats'!B:B,'Base stats'!AX:AX)+_xlfn.XLOOKUP(B121,'Base stats'!B:B,'Base stats'!BA:BA))+0.5,0.5))</f>
        <v>13.5</v>
      </c>
      <c r="AE121" s="7">
        <f>IF(AD121="No","No",MAX(_xlfn.XLOOKUP(_xlfn.XLOOKUP(B121,'Base stats'!B:B,'Base stats'!E:E),Groups!A:A,Groups!Z:Z),MROUND(_xlfn.XLOOKUP(_xlfn.XLOOKUP(B121,'Base stats'!B:B,'Base stats'!E:E),Groups!A:A,Groups!Z:Z)*_xlfn.XLOOKUP(B121,'Base stats'!B:B,'Base stats'!C:C)^0.165,0.05)))</f>
        <v>1.6</v>
      </c>
      <c r="AF121" s="7" t="str">
        <f>IF(AD121="No","No",_xlfn.XLOOKUP(_xlfn.XLOOKUP(B121,'Base stats'!B:B,'Base stats'!E:E),Groups!A:A,Groups!AA:AA))</f>
        <v>Teeth</v>
      </c>
      <c r="AG121" s="7" t="str">
        <f>IF(AD121="No","No",_xlfn.XLOOKUP(_xlfn.XLOOKUP(B121,'Base stats'!B:B,'Base stats'!E:E),Groups!A:A,Groups!AB:AB))</f>
        <v>canines</v>
      </c>
      <c r="AH121" s="7" t="str">
        <f>IF(AD121="No","No",_xlfn.XLOOKUP(_xlfn.XLOOKUP(B121,'Base stats'!B:B,'Base stats'!E:E),Groups!A:A,Groups!AC:AC))</f>
        <v>Bite</v>
      </c>
      <c r="AI121" s="13" t="str">
        <f>IF(_xlfn.XLOOKUP(_xlfn.XLOOKUP(B121,'Base stats'!B:B,'Base stats'!E:E),Groups!A:A,Groups!AD:AD)=0,"No",MROUND((LOG10(_xlfn.XLOOKUP(B121,'Base stats'!B:B,'Base stats'!AS:AS))*(AO121^0.75)+(_xlfn.XLOOKUP(B121,'Base stats'!B:B,'Base stats'!AS:AS)/1000)^(2/3)+_xlfn.XLOOKUP(B121,'Base stats'!B:B,'Base stats'!AY:AY)+_xlfn.XLOOKUP(B121,'Base stats'!B:B,'Base stats'!BA:BA))+0.5,0.5))</f>
        <v>No</v>
      </c>
      <c r="AJ121" s="7" t="str">
        <f>IF(AI121="No","No",MAX(_xlfn.XLOOKUP(_xlfn.XLOOKUP(B121,'Base stats'!B:B,'Base stats'!E:E),Groups!A:A,Groups!AE:AE),MROUND(_xlfn.XLOOKUP(_xlfn.XLOOKUP(B121,'Base stats'!B:B,'Base stats'!E:E),Groups!A:A,Groups!AE:AE)*IF(_xlfn.XLOOKUP(_xlfn.XLOOKUP(B121,'Base stats'!B:B,'Base stats'!E:E),Groups!A:A,Groups!AJ:AJ)="Photonozoa",0.6,1)*_xlfn.XLOOKUP(B121,'Base stats'!B:B,'Base stats'!C:C)^0.165,0.05)))</f>
        <v>No</v>
      </c>
      <c r="AK121" s="7" t="str">
        <f>IF(AI121="No","No",_xlfn.XLOOKUP(_xlfn.XLOOKUP(B121,'Base stats'!B:B,'Base stats'!E:E),Groups!A:A,Groups!AF:AF))</f>
        <v>No</v>
      </c>
      <c r="AL121" s="7" t="str">
        <f>IF(AI121="No","No",_xlfn.XLOOKUP(_xlfn.XLOOKUP(B121,'Base stats'!B:B,'Base stats'!E:E),Groups!A:A,Groups!AG:AG))</f>
        <v>No</v>
      </c>
      <c r="AM121" s="7" t="str">
        <f>IF(AI121="No","No",_xlfn.XLOOKUP(_xlfn.XLOOKUP(B121,'Base stats'!B:B,'Base stats'!E:E),Groups!A:A,Groups!AH:AH))</f>
        <v>No</v>
      </c>
      <c r="AN121" s="2">
        <f t="shared" si="7"/>
        <v>20</v>
      </c>
      <c r="AO121" s="2">
        <f>MROUND(IF(AND(_xlfn.XLOOKUP(B121,'Base stats'!B:B,'Base stats'!C:C)&gt;=0.5,_xlfn.XLOOKUP(B121,'Base stats'!B:B,'Base stats'!C:C)&lt;=0.8),
IF(_xlfn.XLOOKUP(B121,'Base stats'!B:B,'Base stats'!C:C)&lt;0.1,0.05,IF(_xlfn.XLOOKUP(B121,'Base stats'!B:B,'Base stats'!C:C)&lt;=70,(_xlfn.XLOOKUP(B121,'Base stats'!B:B,'Base stats'!C:C)/70)^0.426489913056526,IF(_xlfn.XLOOKUP(B121,'Base stats'!B:B,'Base stats'!C:C)&lt;=400,(_xlfn.XLOOKUP(B121,'Base stats'!B:B,'Base stats'!C:C)/70)^0.572811455315093,IF(_xlfn.XLOOKUP(B121,'Base stats'!B:B,'Base stats'!C:C)&lt;=2000,2.71391647193063*(_xlfn.XLOOKUP(B121,'Base stats'!B:B,'Base stats'!C:C)/400)^0.252459582904293,3.74314280240376*(_xlfn.XLOOKUP(B121,'Base stats'!B:B,'Base stats'!C:C)/2000)^0.357012633876913)))),
IF(_xlfn.XLOOKUP(B121,'Base stats'!B:B,'Base stats'!C:C)&lt;0.1,0.05,IF(_xlfn.XLOOKUP(B121,'Base stats'!B:B,'Base stats'!C:C)&lt;0.4,0.1,IF(_xlfn.XLOOKUP(B121,'Base stats'!B:B,'Base stats'!C:C)&lt;=70,(_xlfn.XLOOKUP(B121,'Base stats'!B:B,'Base stats'!C:C)/70)^0.445823913056526,IF(_xlfn.XLOOKUP(B121,'Base stats'!B:B,'Base stats'!C:C)&lt;=400,(_xlfn.XLOOKUP(B121,'Base stats'!B:B,'Base stats'!C:C)/70)^0.572811455315093,IF(_xlfn.XLOOKUP(B121,'Base stats'!B:B,'Base stats'!C:C)&lt;=2000,2.71391647193063*(_xlfn.XLOOKUP(B121,'Base stats'!B:B,'Base stats'!C:C)/400)^0.252459582904293,3.74314280240376*(_xlfn.XLOOKUP(B121,'Base stats'!B:B,'Base stats'!C:C)/2000)^0.357012633876913)))))),
IF(_xlfn.XLOOKUP(B121,'Base stats'!B:B,'Base stats'!C:C)&lt;0.1,0.05,IF(_xlfn.XLOOKUP(B121,'Base stats'!B:B,'Base stats'!C:C)&lt;=100,0.05,IF(_xlfn.XLOOKUP(B121,'Base stats'!B:B,'Base stats'!C:C)&lt;=250,0.1,IF(_xlfn.XLOOKUP(B121,'Base stats'!B:B,'Base stats'!C:C)&lt;=4000,0.25,0.5)))))</f>
        <v>0.95000000000000007</v>
      </c>
      <c r="AP121" s="8">
        <f>MROUND(AO121*_xlfn.XLOOKUP(_xlfn.XLOOKUP(B121,'Base stats'!B:B,'Base stats'!E:E),Groups!A:A,Groups!AI:AI)*_xlfn.XLOOKUP(B121,'Base stats'!B:B,'Base stats'!Z:Z),0.05)</f>
        <v>1.1500000000000001</v>
      </c>
      <c r="AQ121" s="8">
        <f>MAX(0.01,MROUND(IF(CC121="True",0.196*(AO121*100*1000)^0.889,IF(_xlfn.XLOOKUP(_xlfn.XLOOKUP(B121,'Base stats'!B:B,'Base stats'!E:E),Groups!A:A,Groups!AJ:AJ)="Bird",10.5*(AO121*100*1000)^0.681,4.82*(AO121*100*1000)^0.734))/(4.82*(1*100*1000)^0.734)/IF(AO121&lt;3.5,2,IF(AO121=3.5,1.5,1.25))*(1+0.132282374779864/(AO121^0.994035016789033+0.00905238001496948)),0.05))</f>
        <v>0.55000000000000004</v>
      </c>
      <c r="AR121" s="9">
        <f>IFERROR(MROUND(_xlfn.XLOOKUP(B121,'Base stats'!B:B,'Base stats'!H:H)/IF(_xlfn.XLOOKUP(B121,'Base stats'!B:B,'Base stats'!I:I)&lt;&gt;1,(122.5/70),1.2),IF(_xlfn.XLOOKUP(B121,'Base stats'!B:B,'Base stats'!H:H)&gt;=30,5,IF(_xlfn.XLOOKUP(B121,'Base stats'!B:B,'Base stats'!H:H)&gt;=15,3,IF(_xlfn.XLOOKUP(B121,'Base stats'!B:B,'Base stats'!H:H)&gt;=10,2,1)))),"Immortal")</f>
        <v>25</v>
      </c>
      <c r="AS121" s="35">
        <f>IFERROR(IF(OR(_xlfn.XLOOKUP(B121,'Base stats'!B:B,'Base stats'!F:F)="Atypical reproduction",_xlfn.XLOOKUP(B121,'Base stats'!B:B,'Base stats'!F:F)="Lay eggs"),"Lay eggs",MIN(20,MAX(5.5,ROUND(((_xlfn.XLOOKUP(B121,'Base stats'!B:B,'Base stats'!F:F)-25)*(14.5/615) + 5.5)*2,0)/2))),"Unknown")</f>
        <v>7.5</v>
      </c>
      <c r="AT121" s="8">
        <f>IF(_xlfn.XLOOKUP(B121,'Base stats'!B:B,'Base stats'!G:G)="Atypical reproduction","No",IFERROR(MAX(IF(_xlfn.XLOOKUP(B121,'Base stats'!B:B,'Base stats'!G:G)&lt;0.5,0.2,0.3),MROUND(_xlfn.XLOOKUP(B121,'Base stats'!B:B,'Base stats'!G:G)/(365/60),0.2)),"Unknown"))</f>
        <v>0.4</v>
      </c>
      <c r="AU121" s="8">
        <f t="shared" si="8"/>
        <v>0.2</v>
      </c>
      <c r="AV121" s="8">
        <f>IFERROR(IFERROR(MROUND(_xlfn.XLOOKUP(B121,'Base stats'!B:B,'Base stats'!J:J),0.1),"Lay eggs"),"Cannot breed")</f>
        <v>2</v>
      </c>
      <c r="AW121" s="2" t="str">
        <f t="shared" si="9"/>
        <v>true</v>
      </c>
      <c r="AX121" s="2" t="str">
        <f>IF(_xlfn.XLOOKUP(_xlfn.XLOOKUP(Animals!B121,'Base stats'!B:B,'Base stats'!E:E),Groups!A:A,Groups!AK:AK)=1,"true","false")</f>
        <v>false</v>
      </c>
      <c r="AY121" s="25" t="str">
        <f>IF(_xlfn.XLOOKUP(B121,'Base stats'!B:B,'Base stats'!Y:Y)="Liquor","Liquor, CarnivoreAnimalStrict",IF(AND(_xlfn.XLOOKUP(B121,'Base stats'!B:B,'Base stats'!Y:Y)="Carnivore",_xlfn.XLOOKUP(_xlfn.XLOOKUP(B121,'Base stats'!B:B,'Base stats'!E:E),Groups!A:A,Groups!AJ:AJ)="Photonozoa"),"CarnivoreAnimalStrict, OvivoreAnimal",IF(_xlfn.XLOOKUP(B121,'Base stats'!B:B,'Base stats'!Y:Y)="Carnivore","CarnivoreAnimal, OvivoreAnimal",IF(_xlfn.XLOOKUP(B121,'Base stats'!B:B,'Base stats'!Y:Y)="Dendrovore","VegetarianRoughAnimal, DendrovoreAnimal",IF(_xlfn.XLOOKUP(B121,'Base stats'!B:B,'Base stats'!Y:Y)="Herbivore","VegetarianRoughAnimal",IF(_xlfn.XLOOKUP(B121,'Base stats'!B:B,'Base stats'!Y:Y)="OmnivoreRough","OmnivoreRoughAnimal, OvivoreAnimal","OmnivoreAnimal, OvivoreAnimal"))))))</f>
        <v>CarnivoreAnimal, OvivoreAnimal</v>
      </c>
      <c r="AZ121" s="2" t="str">
        <f>IF(_xlfn.XLOOKUP(_xlfn.XLOOKUP(B121,'Base stats'!B:B,'Base stats'!E:E),Groups!A:A,Groups!D:D)=1,MROUND((1-J121)*5+1,2)*IF(J121&lt;=0.4,2,1),"No")</f>
        <v>No</v>
      </c>
      <c r="BA121" s="2" t="str">
        <f>IF(AND(_xlfn.XLOOKUP(B121,'Base stats'!B:B,'Base stats'!AH:AH)="&lt;li&gt;Seal&lt;/li&gt;",G121="Odyssey"),"&lt;li&gt;AEXP_Seal&lt;/li&gt;",_xlfn.XLOOKUP(B121,'Base stats'!B:B,'Base stats'!AH:AH))</f>
        <v>No</v>
      </c>
      <c r="BB121" s="2" t="str">
        <f>_xlfn.XLOOKUP(B121,'Base stats'!B:B,'Base stats'!AG:AG)</f>
        <v>Leather_Dog</v>
      </c>
      <c r="BC121" s="23" t="str">
        <f>_xlfn.XLOOKUP(_xlfn.XLOOKUP(B121,'Base stats'!B:B,'Base stats'!E:E),Groups!A:A,Groups!AL:AL)</f>
        <v>QuadrupedAnimalWithPawsAndTail</v>
      </c>
      <c r="BD121" s="23">
        <f>MIN(1,MROUND(IF(AND(AO121&lt;0.5,_xlfn.XLOOKUP(B121,'Base stats'!B:B,'Base stats'!AA:AA)=0),0,IF(OR(_xlfn.XLOOKUP(Animals!B121,'Base stats'!B:B,'Base stats'!O:O)=2,_xlfn.XLOOKUP(_xlfn.XLOOKUP(B121,'Base stats'!B:B,'Base stats'!E:E),Groups!A:A,Groups!AN:AN)=0),0,_xlfn.XLOOKUP(_xlfn.XLOOKUP(B121,'Base stats'!B:B,'Base stats'!E:E),Groups!A:A,Groups!AN:AN)/IF(_xlfn.XLOOKUP(Animals!B121,'Base stats'!B:B,'Base stats'!O:O)=1,2,1)))+_xlfn.XLOOKUP(B121,'Base stats'!B:B,'Base stats'!AC:AC),0.005))</f>
        <v>0.1</v>
      </c>
      <c r="BE121" s="23">
        <f>MIN(1,MROUND(IF(AND(AO121&lt;0.5,_xlfn.XLOOKUP(B121,'Base stats'!B:B,'Base stats'!AA:AA)=0),0,IF(_xlfn.XLOOKUP(_xlfn.XLOOKUP(B121,'Base stats'!B:B,'Base stats'!E:E),Groups!A:A,Groups!AO:AO)=0,0,_xlfn.XLOOKUP(_xlfn.XLOOKUP(B121,'Base stats'!B:B,'Base stats'!E:E),Groups!A:A,Groups!AO:AO)/IF(_xlfn.XLOOKUP(Animals!B121,'Base stats'!B:B,'Base stats'!O:O)=2,3,1)))+_xlfn.XLOOKUP(B121,'Base stats'!B:B,'Base stats'!AD:AD),0.005))</f>
        <v>0.3</v>
      </c>
      <c r="BF121" s="2" t="str">
        <f>IF(J121&gt;0.3,"No",_xlfn.XLOOKUP(_xlfn.XLOOKUP(Animals!B121,'Base stats'!B:B,'Base stats'!E:E),Groups!A:A,Groups!AP:AP))</f>
        <v>No</v>
      </c>
      <c r="BG121" s="2" t="str">
        <f>IF(AND(J121&lt;=0.65,_xlfn.XLOOKUP(_xlfn.XLOOKUP(Animals!B121,'Base stats'!B:B,'Base stats'!E:E),Groups!A:A,Groups!AP:AP)&lt;&gt;"No",_xlfn.XLOOKUP(_xlfn.XLOOKUP(B121,'Base stats'!B:B,'Base stats'!E:E),Groups!A:A,Groups!D:D)=0),MROUND((80/3)*IF(_xlfn.XLOOKUP(B121,'Base stats'!B:B,'Base stats'!O:O)=2,0.2,AO121) + 24*(1-IF(BF121="No",0,BF121)) + 16/3, 12),"No")</f>
        <v>No</v>
      </c>
      <c r="BH121" s="2">
        <f>IF(AND(_xlfn.XLOOKUP(_xlfn.XLOOKUP(B121,'Base stats'!B:B,'Base stats'!E:E),Groups!A:A,Groups!AQ:AQ)=1,AO121&lt;=0.35),8,12)</f>
        <v>12</v>
      </c>
      <c r="BI121" s="2" t="str">
        <f>IF(_xlfn.XLOOKUP(_xlfn.XLOOKUP(B121,'Base stats'!B:B,'Base stats'!E:E),Groups!A:A,Groups!D:D)=0,_xlfn.XLOOKUP(_xlfn.XLOOKUP(B121,'Base stats'!B:B,'Base stats'!E:E),Groups!A:A,Groups!AR:AR),"None")</f>
        <v>Advanced</v>
      </c>
      <c r="BJ121" s="2" t="str">
        <f>IF(AND(_xlfn.XLOOKUP(_xlfn.XLOOKUP(B121,'Base stats'!B:B,'Base stats'!E:E),Groups!A:A,Groups!AS:AS)=1,OR(_xlfn.XLOOKUP(B121,'Base stats'!B:B,'Base stats'!Y:Y)="Carnivore",_xlfn.XLOOKUP(B121,'Base stats'!B:B,'Base stats'!Y:Y)="Omnivore")),"true","false")</f>
        <v>true</v>
      </c>
      <c r="BK121" s="2">
        <f>IF(BJ121="true",MROUND(IF(AND(AO121&gt;0.5,OR(_xlfn.XLOOKUP(_xlfn.XLOOKUP(B121,'Base stats'!B:B,'Base stats'!E:E),Groups!A:A,Groups!AJ:AJ)="Photonozoa",_xlfn.XLOOKUP(_xlfn.XLOOKUP(B121,'Base stats'!B:B,'Base stats'!E:E),Groups!A:A,Groups!AJ:AJ)="Mammal")),Animals!AO121*1.75*IF(AW121="true",1.5,1),IF(AO121&lt;0.5,Animals!AO121*0.5,Animals!AO121)),IF(AO121&gt;2,0.5,IF(AO121&gt;0.5,0.25,0.1))),"No")</f>
        <v>2.5</v>
      </c>
      <c r="BL121" s="2">
        <f t="shared" si="10"/>
        <v>1</v>
      </c>
      <c r="BM121" s="25" t="str">
        <f>IF(_xlfn.XLOOKUP(B121,'Base stats'!B:B,'Base stats'!AN:AN)="Standard","No",MROUND((_xlfn.XLOOKUP(B121,'Base stats'!B:B,'Base stats'!AN:AN)/3.6)/I121,0.1))</f>
        <v>No</v>
      </c>
      <c r="BN121" s="25" t="str">
        <f t="shared" si="11"/>
        <v>false</v>
      </c>
      <c r="BO121" s="25" t="str">
        <f>IF(AND(OR(_xlfn.XLOOKUP(B121,'Base stats'!B:B,'Base stats'!Y:Y)="Carnivore",_xlfn.XLOOKUP(B121,'Base stats'!B:B,'Base stats'!Y:Y)="Omnivore",_xlfn.XLOOKUP(B121,'Base stats'!B:B,'Base stats'!Y:Y)="OmnivoreRough"),_xlfn.XLOOKUP(_xlfn.XLOOKUP(B121,'Base stats'!B:B,'Base stats'!E:E),Groups!A:A,Groups!AT:AT)=1),"true","false")</f>
        <v>false</v>
      </c>
      <c r="BP121" s="25" t="str" cm="1">
        <f t="array" ref="BP121">IF(
  _xlfn.TEXTJOIN(", ",TRUE,
    IF(AND(BJ121="true",AO121&gt;0.5,BI121&lt;&gt;"None"),"AttackTarget",""),
    IF(AND(_xlfn.XLOOKUP(_xlfn.XLOOKUP(B121,'Base stats'!B:B,'Base stats'!E:E),Groups!A:A,Groups!AJ:AJ="Mammal"),OR(_xlfn.XLOOKUP(B121,'Base stats'!B:B,'Base stats'!Y:Y)="Omnivore",_xlfn.XLOOKUP(B121,'Base stats'!B:B,'Base stats'!Y:Y)="OmnivoreRough")),"Forage",""),
    IF(BG121&lt;=36,"Comfort",""),
    IF(_xlfn.XLOOKUP(B121,'Base stats'!B:B,'Base stats'!AE:AE)&lt;&gt;"No",_xlfn.XLOOKUP(B121,'Base stats'!B:B,'Base stats'!AE:AE),"")
  ) = "",
  "No",
  _xlfn.TEXTJOIN(", ",TRUE,
    IF(AND(BJ121="true",AO121&gt;0.5,BI121&lt;&gt;"None"),"AttackTarget",""),
    IF(AND(_xlfn.XLOOKUP(_xlfn.XLOOKUP(B121,'Base stats'!B:B,'Base stats'!E:E),Groups!A:A,Groups!AJ:AJ="Mammal"),OR(_xlfn.XLOOKUP(B121,'Base stats'!B:B,'Base stats'!Y:Y)="Omnivore",_xlfn.XLOOKUP(B121,'Base stats'!B:B,'Base stats'!Y:Y)="OmnivoreRough")),"Forage",""),
    IF(BG121&lt;=36,"Comfort",""),
    IF(_xlfn.XLOOKUP(B121,'Base stats'!B:B,'Base stats'!AE:AE)&lt;&gt;"No",_xlfn.XLOOKUP(B121,'Base stats'!B:B,'Base stats'!AE:AE),"")
  )
)</f>
        <v>AttackTarget</v>
      </c>
      <c r="BQ121" s="25" t="str">
        <f>IF(
   AND(
      'Base stats'!AN121="Standard",_xlfn.XLOOKUP(_xlfn.XLOOKUP(B121,'Base stats'!B:B,'Base stats'!E:E),Groups!A:A,Groups!AU:AU)=0,
      OR(
      BO121="True"
      )
   ),
   10,
   IF(
       OR(BM121&lt;&gt;"No",_xlfn.XLOOKUP(_xlfn.XLOOKUP(B121,'Base stats'!B:B,'Base stats'!E:E),Groups!A:A,Groups!AU:AU)=1),
      1,
      "No"
   )
)</f>
        <v>No</v>
      </c>
      <c r="BR121" s="9">
        <f>MROUND((1 + ((0.2*IF(OR(Q121="No",R121="No",R121=0),0,Q121/R121)
+IF(OR(V121="No",S121="No",T121="No"),0,S121/T121*(LEN(V121)-LEN(SUBSTITUTE(V121,",",""))+1))
+IF(OR(X121="No",Y121="No"),0,X121/Y121)
+IF(OR(AD121="No",AE121="No"),0,AD121/AE121)
+IF(OR(AL121="No",AI121="No",AJ121="No"),0,AI121/AJ121*(LEN(AL121)-LEN(SUBSTITUTE(AL121,",",""))+1))
)/(0.2*IF(OR(Q121="No",R121="No",R121=0),0,1)
+IF(OR(V121="No",S121="No",T121="No"),0,LEN(V121)-LEN(SUBSTITUTE(V121,",",""))+1)
+IF(OR(X121="No",Y121="No"),0,1)
+IF(OR(AD121="No",AE121="No"),0,1)
+IF(OR(AL121="No",AI121="No",AJ121="No"),0,LEN(AL121)-LEN(SUBSTITUTE(AL121,",",""))+1))*62%)* 2)*(1 + (AP121 / (IF(_xlfn.XLOOKUP(_xlfn.XLOOKUP(B121,'Base stats'!B:B,'Base stats'!E:E),Groups!A:A,Groups!AJ:AJ)="Photonozoa",0.3,1)) + _xlfn.XLOOKUP(B121,'Base stats'!B:B,'Base stats'!AV:AV) * 1.8) * 2) * 2.5 + 10 + I121 * 2,5)+IF(_xlfn.XLOOKUP(B121,'Base stats'!B:B,'Base stats'!AK:AK)=1,50,0)</f>
        <v>115</v>
      </c>
      <c r="BS121" s="8">
        <f t="shared" si="12"/>
        <v>0.65</v>
      </c>
      <c r="BT121" s="8" t="str">
        <f>_xlfn.XLOOKUP(B121,'Base stats'!B:B,'Base stats'!AF:AF)</f>
        <v>2~6</v>
      </c>
      <c r="BU121" s="2" t="str">
        <f>IF(AND(J121&lt;=0.95,OR(_xlfn.XLOOKUP(B121,'Base stats'!B:B,'Base stats'!AK:AK)=1,_xlfn.XLOOKUP(B121,'Base stats'!B:B,'Base stats'!Y:Y)="Carnivore",_xlfn.XLOOKUP(B121,'Base stats'!B:B,'Base stats'!Y:Y)="Omnivore",BE121&gt;0.1)),"true","false")</f>
        <v>true</v>
      </c>
      <c r="BV121" s="2" t="str">
        <f>IF(_xlfn.XLOOKUP(B121,'Base stats'!B:B,'Base stats'!AI:AI)=1,"true","false")</f>
        <v>false</v>
      </c>
      <c r="BW121" s="25" t="str">
        <f>IF(E121="BaseInsect","AnimalInsect",
IF(J121&gt;0.95,"AnimalExotic",
_xlfn.TEXTJOIN(", ",TRUE,
IF(OR(_xlfn.XLOOKUP(B121,'Base stats'!B:B,'Base stats'!AM:AM)=1,AND(_xlfn.XLOOKUP(B121,'Base stats'!B:B,'Base stats'!O:O)=0,_xlfn.XLOOKUP(_xlfn.XLOOKUP(B121,'Base stats'!B:B,'Base stats'!E:E),Groups!A:A,Groups!B:B)&gt;0)),"AnimalUncommon","AnimalCommon"),
IF(AND(_xlfn.XLOOKUP(B121,'Base stats'!B:B,'Base stats'!O:O)=2,_xlfn.XLOOKUP(_xlfn.XLOOKUP(B121,'Base stats'!B:B,'Base stats'!E:E),Groups!A:A,Groups!D:D)=0),"AnimalPet",IF(AND(_xlfn.XLOOKUP(B121,'Base stats'!B:B,'Base stats'!O:O)&lt;&gt;0,_xlfn.XLOOKUP(_xlfn.XLOOKUP(B121,'Base stats'!B:B,'Base stats'!E:E),Groups!A:A,Groups!D:D)&lt;&gt;0),"AnimalFarm","")),
IF(OR(_xlfn.XLOOKUP(B121,'Base stats'!B:B,'Base stats'!AK:AK)=1,AND(BI121&lt;&gt;"None",BR121&gt;=60),ISNUMBER(SEARCH("Attack target",BP121))),"AnimalFighter","")
)))</f>
        <v>AnimalCommon, AnimalFighter</v>
      </c>
      <c r="BX121" s="25" t="str">
        <f>IF(G121="None",TRIM(
SUBSTITUTE(
IF(COUNTIF(Biomes!B$2:B$259,"="&amp;$C121)&gt;0,Biomes!B$1&amp;", ","")&amp;
IF(COUNTIF(Biomes!C$2:C$259,"="&amp;$C121)&gt;0,Biomes!C$1&amp;", ","")&amp;
IF(COUNTIF(Biomes!D$2:D$259,"="&amp;$C121)&gt;0,Biomes!D$1&amp;", ","")&amp;
IF(COUNTIF(Biomes!F$2:F$259,"="&amp;$C121)&gt;0,Biomes!F$1&amp;", ","")&amp;
IF(COUNTIF(Biomes!G$2:G$259,"="&amp;$C121)&gt;0,Biomes!G$1&amp;", ","")&amp;
IF(COUNTIF(Biomes!H$2:H$259,"="&amp;$C121)&gt;0,Biomes!H$1&amp;", ","")&amp;
IF(COUNTIF(Biomes!I$2:I$259,"="&amp;$C121)&gt;0,Biomes!I$1&amp;", ","")&amp;
IF(COUNTIF(Biomes!J$2:J$259,"="&amp;$C121)&gt;0,Biomes!J$1&amp;", ","")&amp;
IF(COUNTIF(Biomes!M$2:M$259,"="&amp;$C121)&gt;0,Biomes!M$1&amp;", ","")&amp;
IF(COUNTIF(Biomes!N$2:N$259,"="&amp;$C121)&gt;0,Biomes!N$1&amp;", ","")&amp;
IF(COUNTIF(Biomes!O$2:O$259,"="&amp;$C121)&gt;0,Biomes!O$1&amp;", ","")&amp;
IF(COUNTIF(Biomes!P$2:P$259,"="&amp;$C121)&gt;0,Biomes!P$1&amp;", ","")&amp;
IF(COUNTIF(Biomes!K$2:K$259,"="&amp;$C121)&gt;0,Biomes!K$1&amp;", ","")&amp;
IF(COUNTIF(Biomes!Q$3:Q$259,"="&amp;$C121)&gt;0,Biomes!Q$1&amp;", ","")&amp;
IF(COUNTIF(Biomes!L$2:L$259,"="&amp;$C121)&gt;0,Biomes!L$1&amp;", ","")&amp;
IF(COUNTIF(Biomes!E$2:E$259,"="&amp;$C121)&gt;0,Biomes!E$1&amp;", ","")&amp;IF(COUNTIF(Biomes!S$2:S$259,"="&amp;$C121)&gt;0,Biomes!S$1&amp;", ","")&amp;
IF(COUNTIF(Biomes!R$2:R$259,"="&amp;$C121)&gt;0,Biomes!R$1&amp;", ",""),", ","")
),_xlfn.XLOOKUP(B121,B:B,BX:BX))</f>
        <v>AridShrubland Desert Grasslands</v>
      </c>
      <c r="BY121" s="25" t="str">
        <f>IF(_xlfn.XLOOKUP(B121,'Base stats'!B:B,'Base stats'!AJ:AJ)=1,"true","false")</f>
        <v>false</v>
      </c>
      <c r="BZ121" s="25">
        <f>IF(_xlfn.XLOOKUP(B121,'Base stats'!B:B,'Base stats'!N:N)=1,"No",MAX(0.001,MIN(MROUND(IF(AND(BJ121="True",CC121="False"),POWER(10,3.47*LOG10(_xlfn.XLOOKUP(B121,'Base stats'!B:B,'Base stats'!C:C)*1000)^-0.96),POWER(10,4.15*LOG10(_xlfn.XLOOKUP(B121,'Base stats'!B:B,'Base stats'!C:C)*1000)^-0.73))*IF(_xlfn.XLOOKUP(B121,'Base stats'!B:B,'Base stats'!AK:AK)=1,0.5,1)*IF(_xlfn.XLOOKUP(B121,'Base stats'!B:B,'Base stats'!AM:AM)=1,0.1,1)/100,IF(_xlfn.XLOOKUP(B121,'Base stats'!B:B,'Base stats'!AM:AM)=1,0.001,0.025)),0.5)))</f>
        <v>0.05</v>
      </c>
      <c r="CA121" s="25" t="str">
        <f>IF(P121="Standard","No",MAX(0.001,MIN(MROUND(IF(AND(BJ121="True",CC121="False"),POWER(10,3.47*LOG10(_xlfn.XLOOKUP(B121,'Base stats'!B:B,'Base stats'!C:C)*1000)^-0.96),POWER(10,4.15*LOG10(_xlfn.XLOOKUP(B121,'Base stats'!B:B,'Base stats'!C:C)*1000)^-0.73))*IF(_xlfn.XLOOKUP(B121,'Base stats'!B:B,'Base stats'!AM:AM)=1,0.1,1)*_xlfn.XLOOKUP(B121,'Base stats'!B:B,'Base stats'!R:R)/100,IF(_xlfn.XLOOKUP(B121,'Base stats'!B:B,'Base stats'!AM:AM)=1,0.001,0.025)),0.5)))</f>
        <v>No</v>
      </c>
      <c r="CB121" s="25" t="str">
        <f>IF(_xlfn.XLOOKUP(_xlfn.XLOOKUP(B121,'Base stats'!B:B,'Base stats'!E:E),Groups!A:A,Groups!AJ:AJ)="Mammal","True","False")</f>
        <v>True</v>
      </c>
      <c r="CC121" s="25" t="str">
        <f>IF(OR(_xlfn.XLOOKUP(_xlfn.XLOOKUP(B121,'Base stats'!B:B,'Base stats'!E:E),Groups!A:A,Groups!AJ:AJ)="Reptile",_xlfn.XLOOKUP(_xlfn.XLOOKUP(B121,'Base stats'!B:B,'Base stats'!E:E),Groups!A:A,Groups!AJ:AJ)="Amphibian",_xlfn.XLOOKUP(_xlfn.XLOOKUP(B121,'Base stats'!B:B,'Base stats'!E:E),Groups!A:A,Groups!AJ:AJ)="Invertebrate"),"True","False")</f>
        <v>False</v>
      </c>
      <c r="CD121" s="25" t="str">
        <f t="shared" si="13"/>
        <v>False</v>
      </c>
      <c r="CE121" s="25" t="str">
        <f>IF(_xlfn.XLOOKUP(_xlfn.XLOOKUP(B121,'Base stats'!B:B,'Base stats'!E:E),Groups!A:A,Groups!AX:AX),"True","False")</f>
        <v>False</v>
      </c>
      <c r="CF121" s="25" t="str">
        <f>IF(_xlfn.XLOOKUP(_xlfn.XLOOKUP(B121,'Base stats'!B:B,'Base stats'!E:E),Groups!A:A,Groups!AY:AY),"True","False")</f>
        <v>False</v>
      </c>
      <c r="CG121" s="25" t="str">
        <f>IF(_xlfn.XLOOKUP(_xlfn.XLOOKUP(B121,'Base stats'!B:B,'Base stats'!E:E),Groups!A:A,Groups!AW:AW),"True","False")</f>
        <v>False</v>
      </c>
      <c r="CH121" s="25" t="str">
        <f>IF(
OR(
_xlfn.XLOOKUP(_xlfn.XLOOKUP(B121,'Base stats'!B:B,'Base stats'!E:E),Groups!A:A,Groups!AZ:AZ)=0,
AND(
_xlfn.XLOOKUP(B121,'Base stats'!B:B,'Base stats'!Y:Y)&lt;&gt;"Carnivore",
_xlfn.XLOOKUP(B121,'Base stats'!B:B,'Base stats'!Y:Y)&lt;&gt;"Omnivore",
_xlfn.XLOOKUP(B121,'Base stats'!B:B,'Base stats'!Y:Y)&lt;&gt;"OmnivoreRough"
)
),
"No",
IF(
_xlfn.XLOOKUP(_xlfn.XLOOKUP(B121,'Base stats'!B:B,'Base stats'!E:E),Groups!A:A,Groups!AZ:AZ)=1,
"Flesh",
IF(
_xlfn.XLOOKUP(_xlfn.XLOOKUP(B121,'Base stats'!B:B,'Base stats'!E:E),Groups!A:A,Groups!AZ:AZ)=2,
"Bone",
""
)
)
)</f>
        <v>Bone</v>
      </c>
      <c r="CI121" s="25" t="str">
        <f>IF(_xlfn.XLOOKUP(_xlfn.XLOOKUP(B121,'Base stats'!B:B,'Base stats'!E:E),Groups!A:A,Groups!BB:BB),"True","False")</f>
        <v>True</v>
      </c>
      <c r="CJ121" s="25" t="str">
        <f>IF(_xlfn.XLOOKUP(_xlfn.XLOOKUP(B121,'Base stats'!B:B,'Base stats'!E:E),Groups!A:A,Groups!BA:BA),"True","False")</f>
        <v>False</v>
      </c>
    </row>
    <row r="122" spans="1:88" s="16" customFormat="1" ht="16.5" thickTop="1" thickBot="1" x14ac:dyDescent="0.3">
      <c r="A122" s="26" t="str">
        <f>_xlfn.XLOOKUP(B122,'Base stats'!B:B,'Base stats'!A:A)</f>
        <v>Desert Tortoise</v>
      </c>
      <c r="B122" s="6" t="s">
        <v>468</v>
      </c>
      <c r="C122" s="28" t="s">
        <v>803</v>
      </c>
      <c r="D122" s="28" t="s">
        <v>872</v>
      </c>
      <c r="E122" s="28" t="s">
        <v>673</v>
      </c>
      <c r="F122" s="28" t="s">
        <v>673</v>
      </c>
      <c r="G122" s="28" t="s">
        <v>673</v>
      </c>
      <c r="H122" s="2">
        <f>MROUND((
  (IF(AND(_xlfn.XLOOKUP(B122,'Base stats'!B:B,'Base stats'!AL:AL)=0,BI122="None",_xlfn.XLOOKUP(_xlfn.XLOOKUP(B122,'Base stats'!B:B,'Base stats'!E:E),Groups!A:A,Groups!B:B)=0), (18 + BR122 * 2.7) * 0.5,
    IF(AND(_xlfn.XLOOKUP(B122,'Base stats'!B:B,'Base stats'!AL:AL)=0,OR(AO122&lt;0.55,AND(BI122="Intermediate",_xlfn.XLOOKUP(_xlfn.XLOOKUP(B122,'Base stats'!B:B,'Base stats'!E:E),Groups!A:A,Groups!B:B)&lt;2))), (18 + BR122 * 2.7),
      IF(OR(BI122="Advanced",_xlfn.XLOOKUP(B122,'Base stats'!B:B,'Base stats'!AL:AL)=1,_xlfn.XLOOKUP(_xlfn.XLOOKUP(B122,'Base stats'!B:B,'Base stats'!E:E),Groups!A:A,Groups!B:B)=2), (18 + BR122 * 2.7) + 250, (18 + BR122 * 2.7))
    )
  ))
  + AO122 * 80
  + IF(COUNTIF(EggMilk!K$2:K$998, A122) &gt; 0, 125, 0)
  + IF(COUNTIF(EggMilk!P$2:P$998, A122) &gt; 0, 90, 0)
  + IF(COUNTIF(EggMilk!A$2:A$998, A122) &gt; 0, 90, 0)
)
* (0.8 + 0.4 * J122)
* 0.75,25)</f>
        <v>325</v>
      </c>
      <c r="I122" s="2">
        <f>MROUND(ROUNDDOWN(_xlfn.XLOOKUP(B122,'Base stats'!B:B,'Base stats'!L:L)/3.6/(23.3/11),1),0.5)</f>
        <v>0.5</v>
      </c>
      <c r="J122" s="2">
        <f>IF(OR(_xlfn.XLOOKUP(B122,'Base stats'!B:B,'Base stats'!AB:AB)=1,_xlfn.XLOOKUP(_xlfn.XLOOKUP(B122,'Base stats'!B:B,'Base stats'!E:E),Groups!A:A,Groups!C:C)="Untamable"),1,IF(_xlfn.XLOOKUP(B122,'Base stats'!B:B,'Base stats'!AL:AL)=1,0.99,MIN(MROUND((1-0.6282*EXP(-0.459*AO122))*_xlfn.XLOOKUP(_xlfn.XLOOKUP(B122,'Base stats'!B:B,'Base stats'!E:E),Groups!A:A,Groups!C:C)*IF(_xlfn.XLOOKUP(B122,'Base stats'!B:B,'Base stats'!O:O)=1,0.5,IF(_xlfn.XLOOKUP(B122,'Base stats'!B:B,'Base stats'!O:O)=2,0,1)),0.05),IF(AO122&gt;3.5,0.985,0.95))))</f>
        <v>0.75</v>
      </c>
      <c r="K122" s="2">
        <f>ROUNDUP(AO122*_xlfn.XLOOKUP(_xlfn.XLOOKUP(B122,'Base stats'!B:B,'Base stats'!E:E),Groups!A:A,Groups!E:E),0)</f>
        <v>1</v>
      </c>
      <c r="L122" s="2">
        <f>IF(OR(_xlfn.XLOOKUP(_xlfn.XLOOKUP(B122,'Base stats'!B:B,'Base stats'!E:E),Groups!A:A,Groups!F:F)=2,ISNUMBER(SEARCH("SeaIce",BX122)),ISNUMBER(SEARCH("IceSheet",BX122))),-50,IF(OR(ISNUMBER(SEARCH("GlacialPlain",BX122)),ISNUMBER(SEARCH("Tundra",BX122))),-40,IF(OR(ISNUMBER(SEARCH("Alpine",BX122)),ISNUMBER(SEARCH("BorealForest",BX122)),ISNUMBER(SEARCH("ColdBog",BX122))),-30,IF(OR(ISNUMBER(SEARCH("TemperateForest",BX122)),ISNUMBER(SEARCH("TemperateSwamp",BX122))),-20,IF(_xlfn.XLOOKUP(_xlfn.XLOOKUP(B122,'Base stats'!B:B,'Base stats'!E:E),Groups!A:A,Groups!F:F)=1,-15,IF(OR(ISNUMBER(SEARCH("Desert",BX122)),ISNUMBER(SEARCH("ExtremeDesert",BX122))),-10,IF(OR(ISNUMBER(SEARCH("Grasslands",BX122)),ISNUMBER(SEARCH("TropicalRainforest",BX122)),ISNUMBER(SEARCH("TropicalSwamp",BX122))),10,0)))))))-IF(CC122="False",MIN(IFERROR(MAX(MROUND(LOG10(_xlfn.XLOOKUP(B122,'Base stats'!B:B,'Base stats'!C:C)^(2/3))*10,5),5),5),30))-_xlfn.XLOOKUP(B122,'Base stats'!B:B,'Base stats'!P:P)+IF(CC122="True",5,0)</f>
        <v>-5</v>
      </c>
      <c r="M122" s="2">
        <f>IF(OR(_xlfn.XLOOKUP(_xlfn.XLOOKUP(B122,'Base stats'!B:B,'Base stats'!E:E),Groups!A:A,Groups!G:G)=2,ISNUMBER(SEARCH("Desert",BX122)),ISNUMBER(SEARCH("ExtremeDesert",BX122)),ISNUMBER(SEARCH("LavaField",BX122))),50,IF(ISNUMBER(SEARCH("Grasslands",BX122)),45,IF(OR(_xlfn.XLOOKUP(_xlfn.XLOOKUP(B122,'Base stats'!B:B,'Base stats'!E:E),Groups!A:A,Groups!G:G)=1,ISNUMBER(SEARCH("TropicalRainforest",BX122)),ISNUMBER(SEARCH("TropicalSwamp",BX122))),40,IF(OR(ISNUMBER(SEARCH("TemperateForest",BX122)),ISNUMBER(SEARCH("TemperateSwamp",BX122))),35,IF(OR(ISNUMBER(SEARCH("Alpine",BX122)),ISNUMBER(SEARCH("BorealForest",BX122)),ISNUMBER(SEARCH("ColdBog",BX122))),30,IF(ISNUMBER(OR(ISNUMBER(SEARCH("GlacialPlain",BX122)),SEARCH("Tundra",BX122))),25,IF(OR(ISNUMBER(SEARCH("SeaIce",BX122)),ISNUMBER(SEARCH("IceSheet",BX122)),ISNUMBER(SEARCH("TropicalSwamp",BX122))),10,35)))))))+_xlfn.XLOOKUP(B122,'Base stats'!B:B,'Base stats'!Q:Q)</f>
        <v>50</v>
      </c>
      <c r="N122" s="8">
        <f>IF(
_xlfn.XLOOKUP(
_xlfn.XLOOKUP(B122,'Base stats'!B:B,'Base stats'!E:E),
Groups!A:A,
Groups!L:L
)=1,
MIN(
MROUND(
IF(
_xlfn.XLOOKUP(B122,'Animals CE'!B:B,'Animals CE'!Z:Z)&lt;=1.5,
_xlfn.XLOOKUP(B122,'Animals CE'!B:B,'Animals CE'!Z:Z)/2+0.05,
0.8+
(_xlfn.XLOOKUP(B122,'Animals CE'!B:B,'Animals CE'!Z:Z)-1.5)
*0.02
),
0.05
),
200%
),
"No"
)</f>
        <v>0.75</v>
      </c>
      <c r="O122" s="8">
        <f>IF(
_xlfn.XLOOKUP(
_xlfn.XLOOKUP(B122,'Base stats'!B:B,'Base stats'!E:E),
Groups!A:A,
Groups!L:L
)=1,
MIN(
MROUND(
IF(
_xlfn.XLOOKUP(B122,'Animals CE'!B:B,'Animals CE'!AA:AA)&lt;=1.5,
_xlfn.XLOOKUP(B122,'Animals CE'!B:B,'Animals CE'!AA:AA)/2+0.05,
0.8+
(_xlfn.XLOOKUP(B122,'Animals CE'!B:B,'Animals CE'!AA:AA)-1.5)
*0.02
),
0.05
),
200%
),
"No"
)</f>
        <v>0.8</v>
      </c>
      <c r="P122" s="2" t="str">
        <f>_xlfn.XLOOKUP(B122,'Base stats'!B:B,'Base stats'!R:R)</f>
        <v>Standard</v>
      </c>
      <c r="Q122" s="13">
        <f>MROUND((LOG10(_xlfn.XLOOKUP(B122,'Base stats'!B:B,'Base stats'!AR:AR))*(AO122^0.5)+(_xlfn.XLOOKUP(B122,'Base stats'!B:B,'Base stats'!AR:AR)/1000)^(2/3)+_xlfn.XLOOKUP(B122,'Base stats'!B:B,'Base stats'!BA:BA)/2)+0.5,0.5)</f>
        <v>6</v>
      </c>
      <c r="R122" s="7">
        <f>IF(Q122="No","No",MAX(1,MROUND(_xlfn.XLOOKUP(B122,'Base stats'!B:B,'Base stats'!C:C)^0.165,0.05)))</f>
        <v>1.85</v>
      </c>
      <c r="S122" s="13" t="str">
        <f>IF(_xlfn.XLOOKUP(_xlfn.XLOOKUP(B122,'Base stats'!B:B,'Base stats'!E:E),Groups!A:A,Groups!P:P)=0,"No",MROUND((LOG10(_xlfn.XLOOKUP(B122,'Base stats'!B:B,'Base stats'!AS:AS))*(AO122^0.5)+(_xlfn.XLOOKUP(B122,'Base stats'!B:B,'Base stats'!AS:AS)/1000)^(2/3)+_xlfn.XLOOKUP(B122,'Base stats'!B:B,'Base stats'!BA:BA))+_xlfn.XLOOKUP(B122,'Base stats'!B:B,'Base stats'!AY:AY)+0.5,0.5))</f>
        <v>No</v>
      </c>
      <c r="T122" s="7" t="str">
        <f>IF(S122="No","No",MAX(_xlfn.XLOOKUP(_xlfn.XLOOKUP(B122,'Base stats'!B:B,'Base stats'!E:E),Groups!A:A,Groups!Q:Q),MROUND(_xlfn.XLOOKUP(_xlfn.XLOOKUP(B122,'Base stats'!B:B,'Base stats'!E:E),Groups!A:A,Groups!Q:Q)*_xlfn.XLOOKUP(B122,'Base stats'!B:B,'Base stats'!C:C)^0.165,0.05)))</f>
        <v>No</v>
      </c>
      <c r="U122" s="7" t="str">
        <f>IF(S122="No","No",_xlfn.XLOOKUP(_xlfn.XLOOKUP(B122,'Base stats'!B:B,'Base stats'!E:E),Groups!A:A,Groups!R:R))</f>
        <v>No</v>
      </c>
      <c r="V122" s="7" t="str">
        <f>IF(S122="No","No",_xlfn.XLOOKUP(_xlfn.XLOOKUP(B122,'Base stats'!B:B,'Base stats'!E:E),Groups!A:A,Groups!S:S))</f>
        <v>No</v>
      </c>
      <c r="W122" s="7" t="str">
        <f>IF(S122="No","No",_xlfn.XLOOKUP(_xlfn.XLOOKUP(B122,'Base stats'!B:B,'Base stats'!E:E),Groups!A:A,Groups!T:T))</f>
        <v>No</v>
      </c>
      <c r="X122" s="13" t="str">
        <f>IF(_xlfn.XLOOKUP(B122,'Base stats'!B:B,'Base stats'!W:W)="No","No",MROUND((LOG10(_xlfn.XLOOKUP(B122,'Base stats'!B:B,'Base stats'!AU:AU))*(AO122^0.5)+(_xlfn.XLOOKUP(B122,'Base stats'!B:B,'Base stats'!AU:AU)/1000)^(2/3)+_xlfn.XLOOKUP(B122,'Base stats'!B:B,'Base stats'!AZ:AZ))+0.5+IF(_xlfn.XLOOKUP(_xlfn.XLOOKUP(B122,'Base stats'!B:B,'Base stats'!E:E),Groups!A:A,Groups!U:U)&lt;&gt;3,_xlfn.XLOOKUP(B122,'Base stats'!B:B,'Base stats'!BA:BA),0),0.5))</f>
        <v>No</v>
      </c>
      <c r="Y122" s="7" t="str">
        <f>IF(X122="No","No",MAX(_xlfn.XLOOKUP(_xlfn.XLOOKUP(B122,'Base stats'!B:B,'Base stats'!E:E),Groups!A:A,Groups!V:V),MROUND(_xlfn.XLOOKUP(_xlfn.XLOOKUP(B122,'Base stats'!B:B,'Base stats'!E:E),Groups!A:A,Groups!V:V)*_xlfn.XLOOKUP(B122,'Base stats'!B:B,'Base stats'!C:C)^0.165,0.05)))</f>
        <v>No</v>
      </c>
      <c r="Z122" s="7" t="str">
        <f>IF(X122="No","No",_xlfn.XLOOKUP(_xlfn.XLOOKUP(B122,'Base stats'!B:B,'Base stats'!E:E),Groups!A:A,Groups!W:W))</f>
        <v>No</v>
      </c>
      <c r="AA122" s="7" t="str">
        <f>IF(X122="No","No",_xlfn.XLOOKUP(_xlfn.XLOOKUP(B122,'Base stats'!B:B,'Base stats'!E:E),Groups!A:A,Groups!X:X))</f>
        <v>No</v>
      </c>
      <c r="AB122" s="7" t="str">
        <f>IF(X122="No","No",_xlfn.XLOOKUP(_xlfn.XLOOKUP(B122,'Base stats'!B:B,'Base stats'!E:E),Groups!A:A,Groups!Y:Y))</f>
        <v>No</v>
      </c>
      <c r="AC122" s="7" t="str">
        <f>_xlfn.XLOOKUP(Animals!B122,'Base stats'!B:B,'Base stats'!X:X)</f>
        <v>False</v>
      </c>
      <c r="AD122" s="13">
        <f>IF(_xlfn.XLOOKUP(B122,'Base stats'!B:B,'Base stats'!AT:AT)="No","No",MROUND((LOG10(_xlfn.XLOOKUP(B122,'Base stats'!B:B,'Base stats'!AT:AT))*(AO122^0.75)+(_xlfn.XLOOKUP(B122,'Base stats'!B:B,'Base stats'!AT:AT)/1000)^(2/3)+_xlfn.XLOOKUP(B122,'Base stats'!B:B,'Base stats'!AX:AX)+_xlfn.XLOOKUP(B122,'Base stats'!B:B,'Base stats'!BA:BA))+0.5,0.5))</f>
        <v>7</v>
      </c>
      <c r="AE122" s="7">
        <f>IF(AD122="No","No",MAX(_xlfn.XLOOKUP(_xlfn.XLOOKUP(B122,'Base stats'!B:B,'Base stats'!E:E),Groups!A:A,Groups!Z:Z),MROUND(_xlfn.XLOOKUP(_xlfn.XLOOKUP(B122,'Base stats'!B:B,'Base stats'!E:E),Groups!A:A,Groups!Z:Z)*_xlfn.XLOOKUP(B122,'Base stats'!B:B,'Base stats'!C:C)^0.165,0.05)))</f>
        <v>1.85</v>
      </c>
      <c r="AF122" s="7" t="str">
        <f>IF(AD122="No","No",_xlfn.XLOOKUP(_xlfn.XLOOKUP(B122,'Base stats'!B:B,'Base stats'!E:E),Groups!A:A,Groups!AA:AA))</f>
        <v>TurtleBeakAttackTool</v>
      </c>
      <c r="AG122" s="7" t="str">
        <f>IF(AD122="No","No",_xlfn.XLOOKUP(_xlfn.XLOOKUP(B122,'Base stats'!B:B,'Base stats'!E:E),Groups!A:A,Groups!AB:AB))</f>
        <v>beak</v>
      </c>
      <c r="AH122" s="7" t="str">
        <f>IF(AD122="No","No",_xlfn.XLOOKUP(_xlfn.XLOOKUP(B122,'Base stats'!B:B,'Base stats'!E:E),Groups!A:A,Groups!AC:AC))</f>
        <v>Bite</v>
      </c>
      <c r="AI122" s="13" t="str">
        <f>IF(_xlfn.XLOOKUP(_xlfn.XLOOKUP(B122,'Base stats'!B:B,'Base stats'!E:E),Groups!A:A,Groups!AD:AD)=0,"No",MROUND((LOG10(_xlfn.XLOOKUP(B122,'Base stats'!B:B,'Base stats'!AS:AS))*(AO122^0.75)+(_xlfn.XLOOKUP(B122,'Base stats'!B:B,'Base stats'!AS:AS)/1000)^(2/3)+_xlfn.XLOOKUP(B122,'Base stats'!B:B,'Base stats'!AY:AY)+_xlfn.XLOOKUP(B122,'Base stats'!B:B,'Base stats'!BA:BA))+0.5,0.5))</f>
        <v>No</v>
      </c>
      <c r="AJ122" s="7" t="str">
        <f>IF(AI122="No","No",MAX(_xlfn.XLOOKUP(_xlfn.XLOOKUP(B122,'Base stats'!B:B,'Base stats'!E:E),Groups!A:A,Groups!AE:AE),MROUND(_xlfn.XLOOKUP(_xlfn.XLOOKUP(B122,'Base stats'!B:B,'Base stats'!E:E),Groups!A:A,Groups!AE:AE)*IF(_xlfn.XLOOKUP(_xlfn.XLOOKUP(B122,'Base stats'!B:B,'Base stats'!E:E),Groups!A:A,Groups!AJ:AJ)="Photonozoa",0.6,1)*_xlfn.XLOOKUP(B122,'Base stats'!B:B,'Base stats'!C:C)^0.165,0.05)))</f>
        <v>No</v>
      </c>
      <c r="AK122" s="7" t="str">
        <f>IF(AI122="No","No",_xlfn.XLOOKUP(_xlfn.XLOOKUP(B122,'Base stats'!B:B,'Base stats'!E:E),Groups!A:A,Groups!AF:AF))</f>
        <v>No</v>
      </c>
      <c r="AL122" s="7" t="str">
        <f>IF(AI122="No","No",_xlfn.XLOOKUP(_xlfn.XLOOKUP(B122,'Base stats'!B:B,'Base stats'!E:E),Groups!A:A,Groups!AG:AG))</f>
        <v>No</v>
      </c>
      <c r="AM122" s="7" t="str">
        <f>IF(AI122="No","No",_xlfn.XLOOKUP(_xlfn.XLOOKUP(B122,'Base stats'!B:B,'Base stats'!E:E),Groups!A:A,Groups!AH:AH))</f>
        <v>No</v>
      </c>
      <c r="AN122" s="2" t="str">
        <f t="shared" si="7"/>
        <v>No</v>
      </c>
      <c r="AO122" s="2">
        <f>MROUND(IF(AND(_xlfn.XLOOKUP(B122,'Base stats'!B:B,'Base stats'!C:C)&gt;=0.5,_xlfn.XLOOKUP(B122,'Base stats'!B:B,'Base stats'!C:C)&lt;=0.8),
IF(_xlfn.XLOOKUP(B122,'Base stats'!B:B,'Base stats'!C:C)&lt;0.1,0.05,IF(_xlfn.XLOOKUP(B122,'Base stats'!B:B,'Base stats'!C:C)&lt;=70,(_xlfn.XLOOKUP(B122,'Base stats'!B:B,'Base stats'!C:C)/70)^0.426489913056526,IF(_xlfn.XLOOKUP(B122,'Base stats'!B:B,'Base stats'!C:C)&lt;=400,(_xlfn.XLOOKUP(B122,'Base stats'!B:B,'Base stats'!C:C)/70)^0.572811455315093,IF(_xlfn.XLOOKUP(B122,'Base stats'!B:B,'Base stats'!C:C)&lt;=2000,2.71391647193063*(_xlfn.XLOOKUP(B122,'Base stats'!B:B,'Base stats'!C:C)/400)^0.252459582904293,3.74314280240376*(_xlfn.XLOOKUP(B122,'Base stats'!B:B,'Base stats'!C:C)/2000)^0.357012633876913)))),
IF(_xlfn.XLOOKUP(B122,'Base stats'!B:B,'Base stats'!C:C)&lt;0.1,0.05,IF(_xlfn.XLOOKUP(B122,'Base stats'!B:B,'Base stats'!C:C)&lt;0.4,0.1,IF(_xlfn.XLOOKUP(B122,'Base stats'!B:B,'Base stats'!C:C)&lt;=70,(_xlfn.XLOOKUP(B122,'Base stats'!B:B,'Base stats'!C:C)/70)^0.445823913056526,IF(_xlfn.XLOOKUP(B122,'Base stats'!B:B,'Base stats'!C:C)&lt;=400,(_xlfn.XLOOKUP(B122,'Base stats'!B:B,'Base stats'!C:C)/70)^0.572811455315093,IF(_xlfn.XLOOKUP(B122,'Base stats'!B:B,'Base stats'!C:C)&lt;=2000,2.71391647193063*(_xlfn.XLOOKUP(B122,'Base stats'!B:B,'Base stats'!C:C)/400)^0.252459582904293,3.74314280240376*(_xlfn.XLOOKUP(B122,'Base stats'!B:B,'Base stats'!C:C)/2000)^0.357012633876913)))))),
IF(_xlfn.XLOOKUP(B122,'Base stats'!B:B,'Base stats'!C:C)&lt;0.1,0.05,IF(_xlfn.XLOOKUP(B122,'Base stats'!B:B,'Base stats'!C:C)&lt;=100,0.05,IF(_xlfn.XLOOKUP(B122,'Base stats'!B:B,'Base stats'!C:C)&lt;=250,0.1,IF(_xlfn.XLOOKUP(B122,'Base stats'!B:B,'Base stats'!C:C)&lt;=4000,0.25,0.5)))))</f>
        <v>0.8</v>
      </c>
      <c r="AP122" s="8">
        <f>MROUND(AO122*_xlfn.XLOOKUP(_xlfn.XLOOKUP(B122,'Base stats'!B:B,'Base stats'!E:E),Groups!A:A,Groups!AI:AI)*_xlfn.XLOOKUP(B122,'Base stats'!B:B,'Base stats'!Z:Z),0.05)</f>
        <v>0.8</v>
      </c>
      <c r="AQ122" s="8">
        <f>MAX(0.01,MROUND(IF(CC122="True",0.196*(AO122*100*1000)^0.889,IF(_xlfn.XLOOKUP(_xlfn.XLOOKUP(B122,'Base stats'!B:B,'Base stats'!E:E),Groups!A:A,Groups!AJ:AJ)="Bird",10.5*(AO122*100*1000)^0.681,4.82*(AO122*100*1000)^0.734))/(4.82*(1*100*1000)^0.734)/IF(AO122&lt;3.5,2,IF(AO122=3.5,1.5,1.25))*(1+0.132282374779864/(AO122^0.994035016789033+0.00905238001496948)),0.05))</f>
        <v>0.1</v>
      </c>
      <c r="AR122" s="9">
        <f>IFERROR(MROUND(_xlfn.XLOOKUP(B122,'Base stats'!B:B,'Base stats'!H:H)/IF(_xlfn.XLOOKUP(B122,'Base stats'!B:B,'Base stats'!I:I)&lt;&gt;1,(122.5/70),1.2),IF(_xlfn.XLOOKUP(B122,'Base stats'!B:B,'Base stats'!H:H)&gt;=30,5,IF(_xlfn.XLOOKUP(B122,'Base stats'!B:B,'Base stats'!H:H)&gt;=15,3,IF(_xlfn.XLOOKUP(B122,'Base stats'!B:B,'Base stats'!H:H)&gt;=10,2,1)))),"Immortal")</f>
        <v>30</v>
      </c>
      <c r="AS122" s="35" t="str">
        <f>IFERROR(IF(OR(_xlfn.XLOOKUP(B122,'Base stats'!B:B,'Base stats'!F:F)="Atypical reproduction",_xlfn.XLOOKUP(B122,'Base stats'!B:B,'Base stats'!F:F)="Lay eggs"),"Lay eggs",MIN(20,MAX(5.5,ROUND(((_xlfn.XLOOKUP(B122,'Base stats'!B:B,'Base stats'!F:F)-25)*(14.5/615) + 5.5)*2,0)/2))),"Unknown")</f>
        <v>Lay eggs</v>
      </c>
      <c r="AT122" s="8">
        <f>IF(_xlfn.XLOOKUP(B122,'Base stats'!B:B,'Base stats'!G:G)="Atypical reproduction","No",IFERROR(MAX(IF(_xlfn.XLOOKUP(B122,'Base stats'!B:B,'Base stats'!G:G)&lt;0.5,0.2,0.3),MROUND(_xlfn.XLOOKUP(B122,'Base stats'!B:B,'Base stats'!G:G)/(365/60),0.2)),"Unknown"))</f>
        <v>2.4000000000000004</v>
      </c>
      <c r="AU122" s="8">
        <f t="shared" si="8"/>
        <v>1.2000000000000002</v>
      </c>
      <c r="AV122" s="8" t="str">
        <f>IFERROR(IFERROR(MROUND(_xlfn.XLOOKUP(B122,'Base stats'!B:B,'Base stats'!J:J),0.1),"Lay eggs"),"Cannot breed")</f>
        <v>Lay eggs</v>
      </c>
      <c r="AW122" s="2" t="str">
        <f t="shared" si="9"/>
        <v>false</v>
      </c>
      <c r="AX122" s="2" t="str">
        <f>IF(_xlfn.XLOOKUP(_xlfn.XLOOKUP(Animals!B122,'Base stats'!B:B,'Base stats'!E:E),Groups!A:A,Groups!AK:AK)=1,"true","false")</f>
        <v>false</v>
      </c>
      <c r="AY122" s="25" t="str">
        <f>IF(_xlfn.XLOOKUP(B122,'Base stats'!B:B,'Base stats'!Y:Y)="Liquor","Liquor, CarnivoreAnimalStrict",IF(AND(_xlfn.XLOOKUP(B122,'Base stats'!B:B,'Base stats'!Y:Y)="Carnivore",_xlfn.XLOOKUP(_xlfn.XLOOKUP(B122,'Base stats'!B:B,'Base stats'!E:E),Groups!A:A,Groups!AJ:AJ)="Photonozoa"),"CarnivoreAnimalStrict, OvivoreAnimal",IF(_xlfn.XLOOKUP(B122,'Base stats'!B:B,'Base stats'!Y:Y)="Carnivore","CarnivoreAnimal, OvivoreAnimal",IF(_xlfn.XLOOKUP(B122,'Base stats'!B:B,'Base stats'!Y:Y)="Dendrovore","VegetarianRoughAnimal, DendrovoreAnimal",IF(_xlfn.XLOOKUP(B122,'Base stats'!B:B,'Base stats'!Y:Y)="Herbivore","VegetarianRoughAnimal",IF(_xlfn.XLOOKUP(B122,'Base stats'!B:B,'Base stats'!Y:Y)="OmnivoreRough","OmnivoreRoughAnimal, OvivoreAnimal","OmnivoreAnimal, OvivoreAnimal"))))))</f>
        <v>VegetarianRoughAnimal</v>
      </c>
      <c r="AZ122" s="2">
        <f>IF(_xlfn.XLOOKUP(_xlfn.XLOOKUP(B122,'Base stats'!B:B,'Base stats'!E:E),Groups!A:A,Groups!D:D)=1,MROUND((1-J122)*5+1,2)*IF(J122&lt;=0.4,2,1),"No")</f>
        <v>2</v>
      </c>
      <c r="BA122" s="2" t="str">
        <f>IF(AND(_xlfn.XLOOKUP(B122,'Base stats'!B:B,'Base stats'!AH:AH)="&lt;li&gt;Seal&lt;/li&gt;",G122="Odyssey"),"&lt;li&gt;AEXP_Seal&lt;/li&gt;",_xlfn.XLOOKUP(B122,'Base stats'!B:B,'Base stats'!AH:AH))</f>
        <v>&lt;li&gt;Tortoise&lt;/li&gt;</v>
      </c>
      <c r="BB122" s="2" t="str">
        <f>_xlfn.XLOOKUP(B122,'Base stats'!B:B,'Base stats'!AG:AG)</f>
        <v>Leather_Lizard</v>
      </c>
      <c r="BC122" s="23" t="str">
        <f>_xlfn.XLOOKUP(_xlfn.XLOOKUP(B122,'Base stats'!B:B,'Base stats'!E:E),Groups!A:A,Groups!AL:AL)</f>
        <v>TurtleLike</v>
      </c>
      <c r="BD122" s="23">
        <f>MIN(1,MROUND(IF(AND(AO122&lt;0.5,_xlfn.XLOOKUP(B122,'Base stats'!B:B,'Base stats'!AA:AA)=0),0,IF(OR(_xlfn.XLOOKUP(Animals!B122,'Base stats'!B:B,'Base stats'!O:O)=2,_xlfn.XLOOKUP(_xlfn.XLOOKUP(B122,'Base stats'!B:B,'Base stats'!E:E),Groups!A:A,Groups!AN:AN)=0),0,_xlfn.XLOOKUP(_xlfn.XLOOKUP(B122,'Base stats'!B:B,'Base stats'!E:E),Groups!A:A,Groups!AN:AN)/IF(_xlfn.XLOOKUP(Animals!B122,'Base stats'!B:B,'Base stats'!O:O)=1,2,1)))+_xlfn.XLOOKUP(B122,'Base stats'!B:B,'Base stats'!AC:AC),0.005))</f>
        <v>0</v>
      </c>
      <c r="BE122" s="23">
        <f>MIN(1,MROUND(IF(AND(AO122&lt;0.5,_xlfn.XLOOKUP(B122,'Base stats'!B:B,'Base stats'!AA:AA)=0),0,IF(_xlfn.XLOOKUP(_xlfn.XLOOKUP(B122,'Base stats'!B:B,'Base stats'!E:E),Groups!A:A,Groups!AO:AO)=0,0,_xlfn.XLOOKUP(_xlfn.XLOOKUP(B122,'Base stats'!B:B,'Base stats'!E:E),Groups!A:A,Groups!AO:AO)/IF(_xlfn.XLOOKUP(Animals!B122,'Base stats'!B:B,'Base stats'!O:O)=2,3,1)))+_xlfn.XLOOKUP(B122,'Base stats'!B:B,'Base stats'!AD:AD),0.005))</f>
        <v>0</v>
      </c>
      <c r="BF122" s="2" t="str">
        <f>IF(J122&gt;0.3,"No",_xlfn.XLOOKUP(_xlfn.XLOOKUP(Animals!B122,'Base stats'!B:B,'Base stats'!E:E),Groups!A:A,Groups!AP:AP))</f>
        <v>No</v>
      </c>
      <c r="BG122" s="2" t="str">
        <f>IF(AND(J122&lt;=0.65,_xlfn.XLOOKUP(_xlfn.XLOOKUP(Animals!B122,'Base stats'!B:B,'Base stats'!E:E),Groups!A:A,Groups!AP:AP)&lt;&gt;"No",_xlfn.XLOOKUP(_xlfn.XLOOKUP(B122,'Base stats'!B:B,'Base stats'!E:E),Groups!A:A,Groups!D:D)=0),MROUND((80/3)*IF(_xlfn.XLOOKUP(B122,'Base stats'!B:B,'Base stats'!O:O)=2,0.2,AO122) + 24*(1-IF(BF122="No",0,BF122)) + 16/3, 12),"No")</f>
        <v>No</v>
      </c>
      <c r="BH122" s="2">
        <f>IF(AND(_xlfn.XLOOKUP(_xlfn.XLOOKUP(B122,'Base stats'!B:B,'Base stats'!E:E),Groups!A:A,Groups!AQ:AQ)=1,AO122&lt;=0.35),8,12)</f>
        <v>12</v>
      </c>
      <c r="BI122" s="2" t="str">
        <f>IF(_xlfn.XLOOKUP(_xlfn.XLOOKUP(B122,'Base stats'!B:B,'Base stats'!E:E),Groups!A:A,Groups!D:D)=0,_xlfn.XLOOKUP(_xlfn.XLOOKUP(B122,'Base stats'!B:B,'Base stats'!E:E),Groups!A:A,Groups!AR:AR),"None")</f>
        <v>None</v>
      </c>
      <c r="BJ122" s="2" t="str">
        <f>IF(AND(_xlfn.XLOOKUP(_xlfn.XLOOKUP(B122,'Base stats'!B:B,'Base stats'!E:E),Groups!A:A,Groups!AS:AS)=1,OR(_xlfn.XLOOKUP(B122,'Base stats'!B:B,'Base stats'!Y:Y)="Carnivore",_xlfn.XLOOKUP(B122,'Base stats'!B:B,'Base stats'!Y:Y)="Omnivore")),"true","false")</f>
        <v>false</v>
      </c>
      <c r="BK122" s="2" t="str">
        <f>IF(BJ122="true",MROUND(IF(AND(AO122&gt;0.5,OR(_xlfn.XLOOKUP(_xlfn.XLOOKUP(B122,'Base stats'!B:B,'Base stats'!E:E),Groups!A:A,Groups!AJ:AJ)="Photonozoa",_xlfn.XLOOKUP(_xlfn.XLOOKUP(B122,'Base stats'!B:B,'Base stats'!E:E),Groups!A:A,Groups!AJ:AJ)="Mammal")),Animals!AO122*1.75*IF(AW122="true",1.5,1),IF(AO122&lt;0.5,Animals!AO122*0.5,Animals!AO122)),IF(AO122&gt;2,0.5,IF(AO122&gt;0.5,0.25,0.1))),"No")</f>
        <v>No</v>
      </c>
      <c r="BL122" s="2">
        <f t="shared" si="10"/>
        <v>0</v>
      </c>
      <c r="BM122" s="25" t="str">
        <f>IF(_xlfn.XLOOKUP(B122,'Base stats'!B:B,'Base stats'!AN:AN)="Standard","No",MROUND((_xlfn.XLOOKUP(B122,'Base stats'!B:B,'Base stats'!AN:AN)/3.6)/I122,0.1))</f>
        <v>No</v>
      </c>
      <c r="BN122" s="25" t="str">
        <f t="shared" si="11"/>
        <v>false</v>
      </c>
      <c r="BO122" s="25" t="str">
        <f>IF(AND(OR(_xlfn.XLOOKUP(B122,'Base stats'!B:B,'Base stats'!Y:Y)="Carnivore",_xlfn.XLOOKUP(B122,'Base stats'!B:B,'Base stats'!Y:Y)="Omnivore",_xlfn.XLOOKUP(B122,'Base stats'!B:B,'Base stats'!Y:Y)="OmnivoreRough"),_xlfn.XLOOKUP(_xlfn.XLOOKUP(B122,'Base stats'!B:B,'Base stats'!E:E),Groups!A:A,Groups!AT:AT)=1),"true","false")</f>
        <v>false</v>
      </c>
      <c r="BP122" s="25" t="str" cm="1">
        <f t="array" ref="BP122">IF(
  _xlfn.TEXTJOIN(", ",TRUE,
    IF(AND(BJ122="true",AO122&gt;0.5,BI122&lt;&gt;"None"),"AttackTarget",""),
    IF(AND(_xlfn.XLOOKUP(_xlfn.XLOOKUP(B122,'Base stats'!B:B,'Base stats'!E:E),Groups!A:A,Groups!AJ:AJ="Mammal"),OR(_xlfn.XLOOKUP(B122,'Base stats'!B:B,'Base stats'!Y:Y)="Omnivore",_xlfn.XLOOKUP(B122,'Base stats'!B:B,'Base stats'!Y:Y)="OmnivoreRough")),"Forage",""),
    IF(BG122&lt;=36,"Comfort",""),
    IF(_xlfn.XLOOKUP(B122,'Base stats'!B:B,'Base stats'!AE:AE)&lt;&gt;"No",_xlfn.XLOOKUP(B122,'Base stats'!B:B,'Base stats'!AE:AE),"")
  ) = "",
  "No",
  _xlfn.TEXTJOIN(", ",TRUE,
    IF(AND(BJ122="true",AO122&gt;0.5,BI122&lt;&gt;"None"),"AttackTarget",""),
    IF(AND(_xlfn.XLOOKUP(_xlfn.XLOOKUP(B122,'Base stats'!B:B,'Base stats'!E:E),Groups!A:A,Groups!AJ:AJ="Mammal"),OR(_xlfn.XLOOKUP(B122,'Base stats'!B:B,'Base stats'!Y:Y)="Omnivore",_xlfn.XLOOKUP(B122,'Base stats'!B:B,'Base stats'!Y:Y)="OmnivoreRough")),"Forage",""),
    IF(BG122&lt;=36,"Comfort",""),
    IF(_xlfn.XLOOKUP(B122,'Base stats'!B:B,'Base stats'!AE:AE)&lt;&gt;"No",_xlfn.XLOOKUP(B122,'Base stats'!B:B,'Base stats'!AE:AE),"")
  )
)</f>
        <v>No</v>
      </c>
      <c r="BQ122" s="25" t="str">
        <f>IF(
   AND(
      'Base stats'!AN122="Standard",_xlfn.XLOOKUP(_xlfn.XLOOKUP(B122,'Base stats'!B:B,'Base stats'!E:E),Groups!A:A,Groups!AU:AU)=0,
      OR(
      BO122="True"
      )
   ),
   10,
   IF(
       OR(BM122&lt;&gt;"No",_xlfn.XLOOKUP(_xlfn.XLOOKUP(B122,'Base stats'!B:B,'Base stats'!E:E),Groups!A:A,Groups!AU:AU)=1),
      1,
      "No"
   )
)</f>
        <v>No</v>
      </c>
      <c r="BR122" s="9">
        <f>MROUND((1 + ((0.2*IF(OR(Q122="No",R122="No",R122=0),0,Q122/R122)
+IF(OR(V122="No",S122="No",T122="No"),0,S122/T122*(LEN(V122)-LEN(SUBSTITUTE(V122,",",""))+1))
+IF(OR(X122="No",Y122="No"),0,X122/Y122)
+IF(OR(AD122="No",AE122="No"),0,AD122/AE122)
+IF(OR(AL122="No",AI122="No",AJ122="No"),0,AI122/AJ122*(LEN(AL122)-LEN(SUBSTITUTE(AL122,",",""))+1))
)/(0.2*IF(OR(Q122="No",R122="No",R122=0),0,1)
+IF(OR(V122="No",S122="No",T122="No"),0,LEN(V122)-LEN(SUBSTITUTE(V122,",",""))+1)
+IF(OR(X122="No",Y122="No"),0,1)
+IF(OR(AD122="No",AE122="No"),0,1)
+IF(OR(AL122="No",AI122="No",AJ122="No"),0,LEN(AL122)-LEN(SUBSTITUTE(AL122,",",""))+1))*62%)* 2)*(1 + (AP122 / (IF(_xlfn.XLOOKUP(_xlfn.XLOOKUP(B122,'Base stats'!B:B,'Base stats'!E:E),Groups!A:A,Groups!AJ:AJ)="Photonozoa",0.3,1)) + _xlfn.XLOOKUP(B122,'Base stats'!B:B,'Base stats'!AV:AV) * 1.8) * 2) * 2.5 + 10 + I122 * 2,5)+IF(_xlfn.XLOOKUP(B122,'Base stats'!B:B,'Base stats'!AK:AK)=1,50,0)</f>
        <v>85</v>
      </c>
      <c r="BS122" s="8">
        <f t="shared" si="12"/>
        <v>0.25</v>
      </c>
      <c r="BT122" s="8" t="str">
        <f>_xlfn.XLOOKUP(B122,'Base stats'!B:B,'Base stats'!AF:AF)</f>
        <v>No</v>
      </c>
      <c r="BU122" s="2" t="str">
        <f>IF(AND(J122&lt;=0.95,OR(_xlfn.XLOOKUP(B122,'Base stats'!B:B,'Base stats'!AK:AK)=1,_xlfn.XLOOKUP(B122,'Base stats'!B:B,'Base stats'!Y:Y)="Carnivore",_xlfn.XLOOKUP(B122,'Base stats'!B:B,'Base stats'!Y:Y)="Omnivore",BE122&gt;0.1)),"true","false")</f>
        <v>false</v>
      </c>
      <c r="BV122" s="2" t="str">
        <f>IF(_xlfn.XLOOKUP(B122,'Base stats'!B:B,'Base stats'!AI:AI)=1,"true","false")</f>
        <v>false</v>
      </c>
      <c r="BW122" s="25" t="str">
        <f>IF(E122="BaseInsect","AnimalInsect",
IF(J122&gt;0.95,"AnimalExotic",
_xlfn.TEXTJOIN(", ",TRUE,
IF(OR(_xlfn.XLOOKUP(B122,'Base stats'!B:B,'Base stats'!AM:AM)=1,AND(_xlfn.XLOOKUP(B122,'Base stats'!B:B,'Base stats'!O:O)=0,_xlfn.XLOOKUP(_xlfn.XLOOKUP(B122,'Base stats'!B:B,'Base stats'!E:E),Groups!A:A,Groups!B:B)&gt;0)),"AnimalUncommon","AnimalCommon"),
IF(AND(_xlfn.XLOOKUP(B122,'Base stats'!B:B,'Base stats'!O:O)=2,_xlfn.XLOOKUP(_xlfn.XLOOKUP(B122,'Base stats'!B:B,'Base stats'!E:E),Groups!A:A,Groups!D:D)=0),"AnimalPet",IF(AND(_xlfn.XLOOKUP(B122,'Base stats'!B:B,'Base stats'!O:O)&lt;&gt;0,_xlfn.XLOOKUP(_xlfn.XLOOKUP(B122,'Base stats'!B:B,'Base stats'!E:E),Groups!A:A,Groups!D:D)&lt;&gt;0),"AnimalFarm","")),
IF(OR(_xlfn.XLOOKUP(B122,'Base stats'!B:B,'Base stats'!AK:AK)=1,AND(BI122&lt;&gt;"None",BR122&gt;=60),ISNUMBER(SEARCH("Attack target",BP122))),"AnimalFighter","")
)))</f>
        <v>AnimalUncommon</v>
      </c>
      <c r="BX122" s="25" t="str">
        <f>IF(G122="None",TRIM(
SUBSTITUTE(
IF(COUNTIF(Biomes!B$2:B$259,"="&amp;$C122)&gt;0,Biomes!B$1&amp;", ","")&amp;
IF(COUNTIF(Biomes!C$2:C$259,"="&amp;$C122)&gt;0,Biomes!C$1&amp;", ","")&amp;
IF(COUNTIF(Biomes!D$2:D$259,"="&amp;$C122)&gt;0,Biomes!D$1&amp;", ","")&amp;
IF(COUNTIF(Biomes!F$2:F$259,"="&amp;$C122)&gt;0,Biomes!F$1&amp;", ","")&amp;
IF(COUNTIF(Biomes!G$2:G$259,"="&amp;$C122)&gt;0,Biomes!G$1&amp;", ","")&amp;
IF(COUNTIF(Biomes!H$2:H$259,"="&amp;$C122)&gt;0,Biomes!H$1&amp;", ","")&amp;
IF(COUNTIF(Biomes!I$2:I$259,"="&amp;$C122)&gt;0,Biomes!I$1&amp;", ","")&amp;
IF(COUNTIF(Biomes!J$2:J$259,"="&amp;$C122)&gt;0,Biomes!J$1&amp;", ","")&amp;
IF(COUNTIF(Biomes!M$2:M$259,"="&amp;$C122)&gt;0,Biomes!M$1&amp;", ","")&amp;
IF(COUNTIF(Biomes!N$2:N$259,"="&amp;$C122)&gt;0,Biomes!N$1&amp;", ","")&amp;
IF(COUNTIF(Biomes!O$2:O$259,"="&amp;$C122)&gt;0,Biomes!O$1&amp;", ","")&amp;
IF(COUNTIF(Biomes!P$2:P$259,"="&amp;$C122)&gt;0,Biomes!P$1&amp;", ","")&amp;
IF(COUNTIF(Biomes!K$2:K$259,"="&amp;$C122)&gt;0,Biomes!K$1&amp;", ","")&amp;
IF(COUNTIF(Biomes!Q$3:Q$259,"="&amp;$C122)&gt;0,Biomes!Q$1&amp;", ","")&amp;
IF(COUNTIF(Biomes!L$2:L$259,"="&amp;$C122)&gt;0,Biomes!L$1&amp;", ","")&amp;
IF(COUNTIF(Biomes!E$2:E$259,"="&amp;$C122)&gt;0,Biomes!E$1&amp;", ","")&amp;IF(COUNTIF(Biomes!S$2:S$259,"="&amp;$C122)&gt;0,Biomes!S$1&amp;", ","")&amp;
IF(COUNTIF(Biomes!R$2:R$259,"="&amp;$C122)&gt;0,Biomes!R$1&amp;", ",""),", ","")
),_xlfn.XLOOKUP(B122,B:B,BX:BX))</f>
        <v>AridShrubland Desert ExtremeDesert Grasslands LavaField</v>
      </c>
      <c r="BY122" s="25" t="str">
        <f>IF(_xlfn.XLOOKUP(B122,'Base stats'!B:B,'Base stats'!AJ:AJ)=1,"true","false")</f>
        <v>false</v>
      </c>
      <c r="BZ122" s="25">
        <f>IF(_xlfn.XLOOKUP(B122,'Base stats'!B:B,'Base stats'!N:N)=1,"No",MAX(0.001,MIN(MROUND(IF(AND(BJ122="True",CC122="False"),POWER(10,3.47*LOG10(_xlfn.XLOOKUP(B122,'Base stats'!B:B,'Base stats'!C:C)*1000)^-0.96),POWER(10,4.15*LOG10(_xlfn.XLOOKUP(B122,'Base stats'!B:B,'Base stats'!C:C)*1000)^-0.73))*IF(_xlfn.XLOOKUP(B122,'Base stats'!B:B,'Base stats'!AK:AK)=1,0.5,1)*IF(_xlfn.XLOOKUP(B122,'Base stats'!B:B,'Base stats'!AM:AM)=1,0.1,1)/100,IF(_xlfn.XLOOKUP(B122,'Base stats'!B:B,'Base stats'!AM:AM)=1,0.001,0.025)),0.5)))</f>
        <v>0.22500000000000001</v>
      </c>
      <c r="CA122" s="25" t="str">
        <f>IF(P122="Standard","No",MAX(0.001,MIN(MROUND(IF(AND(BJ122="True",CC122="False"),POWER(10,3.47*LOG10(_xlfn.XLOOKUP(B122,'Base stats'!B:B,'Base stats'!C:C)*1000)^-0.96),POWER(10,4.15*LOG10(_xlfn.XLOOKUP(B122,'Base stats'!B:B,'Base stats'!C:C)*1000)^-0.73))*IF(_xlfn.XLOOKUP(B122,'Base stats'!B:B,'Base stats'!AM:AM)=1,0.1,1)*_xlfn.XLOOKUP(B122,'Base stats'!B:B,'Base stats'!R:R)/100,IF(_xlfn.XLOOKUP(B122,'Base stats'!B:B,'Base stats'!AM:AM)=1,0.001,0.025)),0.5)))</f>
        <v>No</v>
      </c>
      <c r="CB122" s="25" t="str">
        <f>IF(_xlfn.XLOOKUP(_xlfn.XLOOKUP(B122,'Base stats'!B:B,'Base stats'!E:E),Groups!A:A,Groups!AJ:AJ)="Mammal","True","False")</f>
        <v>False</v>
      </c>
      <c r="CC122" s="25" t="str">
        <f>IF(OR(_xlfn.XLOOKUP(_xlfn.XLOOKUP(B122,'Base stats'!B:B,'Base stats'!E:E),Groups!A:A,Groups!AJ:AJ)="Reptile",_xlfn.XLOOKUP(_xlfn.XLOOKUP(B122,'Base stats'!B:B,'Base stats'!E:E),Groups!A:A,Groups!AJ:AJ)="Amphibian",_xlfn.XLOOKUP(_xlfn.XLOOKUP(B122,'Base stats'!B:B,'Base stats'!E:E),Groups!A:A,Groups!AJ:AJ)="Invertebrate"),"True","False")</f>
        <v>True</v>
      </c>
      <c r="CD122" s="25" t="str">
        <f t="shared" si="13"/>
        <v>False</v>
      </c>
      <c r="CE122" s="25" t="str">
        <f>IF(_xlfn.XLOOKUP(_xlfn.XLOOKUP(B122,'Base stats'!B:B,'Base stats'!E:E),Groups!A:A,Groups!AX:AX),"True","False")</f>
        <v>False</v>
      </c>
      <c r="CF122" s="25" t="str">
        <f>IF(_xlfn.XLOOKUP(_xlfn.XLOOKUP(B122,'Base stats'!B:B,'Base stats'!E:E),Groups!A:A,Groups!AY:AY),"True","False")</f>
        <v>False</v>
      </c>
      <c r="CG122" s="25" t="str">
        <f>IF(_xlfn.XLOOKUP(_xlfn.XLOOKUP(B122,'Base stats'!B:B,'Base stats'!E:E),Groups!A:A,Groups!AW:AW),"True","False")</f>
        <v>False</v>
      </c>
      <c r="CH122" s="25" t="str">
        <f>IF(
OR(
_xlfn.XLOOKUP(_xlfn.XLOOKUP(B122,'Base stats'!B:B,'Base stats'!E:E),Groups!A:A,Groups!AZ:AZ)=0,
AND(
_xlfn.XLOOKUP(B122,'Base stats'!B:B,'Base stats'!Y:Y)&lt;&gt;"Carnivore",
_xlfn.XLOOKUP(B122,'Base stats'!B:B,'Base stats'!Y:Y)&lt;&gt;"Omnivore",
_xlfn.XLOOKUP(B122,'Base stats'!B:B,'Base stats'!Y:Y)&lt;&gt;"OmnivoreRough"
)
),
"No",
IF(
_xlfn.XLOOKUP(_xlfn.XLOOKUP(B122,'Base stats'!B:B,'Base stats'!E:E),Groups!A:A,Groups!AZ:AZ)=1,
"Flesh",
IF(
_xlfn.XLOOKUP(_xlfn.XLOOKUP(B122,'Base stats'!B:B,'Base stats'!E:E),Groups!A:A,Groups!AZ:AZ)=2,
"Bone",
""
)
)
)</f>
        <v>No</v>
      </c>
      <c r="CI122" s="25" t="str">
        <f>IF(_xlfn.XLOOKUP(_xlfn.XLOOKUP(B122,'Base stats'!B:B,'Base stats'!E:E),Groups!A:A,Groups!BB:BB),"True","False")</f>
        <v>False</v>
      </c>
      <c r="CJ122" s="25" t="str">
        <f>IF(_xlfn.XLOOKUP(_xlfn.XLOOKUP(B122,'Base stats'!B:B,'Base stats'!E:E),Groups!A:A,Groups!BA:BA),"True","False")</f>
        <v>False</v>
      </c>
    </row>
    <row r="123" spans="1:88" ht="16.5" thickTop="1" thickBot="1" x14ac:dyDescent="0.3">
      <c r="A123" s="26" t="str">
        <f>_xlfn.XLOOKUP(B123,'Base stats'!B:B,'Base stats'!A:A)</f>
        <v>Lion</v>
      </c>
      <c r="B123" s="6" t="s">
        <v>76</v>
      </c>
      <c r="C123" s="28" t="s">
        <v>804</v>
      </c>
      <c r="D123" s="28" t="s">
        <v>872</v>
      </c>
      <c r="E123" s="28" t="s">
        <v>673</v>
      </c>
      <c r="F123" s="28" t="s">
        <v>673</v>
      </c>
      <c r="G123" s="28" t="s">
        <v>673</v>
      </c>
      <c r="H123" s="2">
        <f>MROUND((
  (IF(AND(_xlfn.XLOOKUP(B123,'Base stats'!B:B,'Base stats'!AL:AL)=0,BI123="None",_xlfn.XLOOKUP(_xlfn.XLOOKUP(B123,'Base stats'!B:B,'Base stats'!E:E),Groups!A:A,Groups!B:B)=0), (18 + BR123 * 2.7) * 0.5,
    IF(AND(_xlfn.XLOOKUP(B123,'Base stats'!B:B,'Base stats'!AL:AL)=0,OR(AO123&lt;0.55,AND(BI123="Intermediate",_xlfn.XLOOKUP(_xlfn.XLOOKUP(B123,'Base stats'!B:B,'Base stats'!E:E),Groups!A:A,Groups!B:B)&lt;2))), (18 + BR123 * 2.7),
      IF(OR(BI123="Advanced",_xlfn.XLOOKUP(B123,'Base stats'!B:B,'Base stats'!AL:AL)=1,_xlfn.XLOOKUP(_xlfn.XLOOKUP(B123,'Base stats'!B:B,'Base stats'!E:E),Groups!A:A,Groups!B:B)=2), (18 + BR123 * 2.7) + 250, (18 + BR123 * 2.7))
    )
  ))
  + AO123 * 80
  + IF(COUNTIF(EggMilk!K$2:K$998, A123) &gt; 0, 125, 0)
  + IF(COUNTIF(EggMilk!P$2:P$998, A123) &gt; 0, 90, 0)
  + IF(COUNTIF(EggMilk!A$2:A$998, A123) &gt; 0, 90, 0)
)
* (0.8 + 0.4 * J123)
* 0.75,25)</f>
        <v>825</v>
      </c>
      <c r="I123" s="2">
        <f>MROUND(ROUNDDOWN(_xlfn.XLOOKUP(B123,'Base stats'!B:B,'Base stats'!L:L)/3.6/(23.3/11),1),0.5)</f>
        <v>7.5</v>
      </c>
      <c r="J123" s="2">
        <f>IF(OR(_xlfn.XLOOKUP(B123,'Base stats'!B:B,'Base stats'!AB:AB)=1,_xlfn.XLOOKUP(_xlfn.XLOOKUP(B123,'Base stats'!B:B,'Base stats'!E:E),Groups!A:A,Groups!C:C)="Untamable"),1,IF(_xlfn.XLOOKUP(B123,'Base stats'!B:B,'Base stats'!AL:AL)=1,0.99,MIN(MROUND((1-0.6282*EXP(-0.459*AO123))*_xlfn.XLOOKUP(_xlfn.XLOOKUP(B123,'Base stats'!B:B,'Base stats'!E:E),Groups!A:A,Groups!C:C)*IF(_xlfn.XLOOKUP(B123,'Base stats'!B:B,'Base stats'!O:O)=1,0.5,IF(_xlfn.XLOOKUP(B123,'Base stats'!B:B,'Base stats'!O:O)=2,0,1)),0.05),IF(AO123&gt;3.5,0.985,0.95))))</f>
        <v>0.9</v>
      </c>
      <c r="K123" s="2">
        <f>ROUNDUP(AO123*_xlfn.XLOOKUP(_xlfn.XLOOKUP(B123,'Base stats'!B:B,'Base stats'!E:E),Groups!A:A,Groups!E:E),0)</f>
        <v>2</v>
      </c>
      <c r="L123" s="2">
        <f>IF(OR(_xlfn.XLOOKUP(_xlfn.XLOOKUP(B123,'Base stats'!B:B,'Base stats'!E:E),Groups!A:A,Groups!F:F)=2,ISNUMBER(SEARCH("SeaIce",BX123)),ISNUMBER(SEARCH("IceSheet",BX123))),-50,IF(OR(ISNUMBER(SEARCH("GlacialPlain",BX123)),ISNUMBER(SEARCH("Tundra",BX123))),-40,IF(OR(ISNUMBER(SEARCH("Alpine",BX123)),ISNUMBER(SEARCH("BorealForest",BX123)),ISNUMBER(SEARCH("ColdBog",BX123))),-30,IF(OR(ISNUMBER(SEARCH("TemperateForest",BX123)),ISNUMBER(SEARCH("TemperateSwamp",BX123))),-20,IF(_xlfn.XLOOKUP(_xlfn.XLOOKUP(B123,'Base stats'!B:B,'Base stats'!E:E),Groups!A:A,Groups!F:F)=1,-15,IF(OR(ISNUMBER(SEARCH("Desert",BX123)),ISNUMBER(SEARCH("ExtremeDesert",BX123))),-10,IF(OR(ISNUMBER(SEARCH("Grasslands",BX123)),ISNUMBER(SEARCH("TropicalRainforest",BX123)),ISNUMBER(SEARCH("TropicalSwamp",BX123))),10,0)))))))-IF(CC123="False",MIN(IFERROR(MAX(MROUND(LOG10(_xlfn.XLOOKUP(B123,'Base stats'!B:B,'Base stats'!C:C)^(2/3))*10,5),5),5),30))-_xlfn.XLOOKUP(B123,'Base stats'!B:B,'Base stats'!P:P)+IF(CC123="True",5,0)</f>
        <v>-30</v>
      </c>
      <c r="M123" s="2">
        <f>IF(OR(_xlfn.XLOOKUP(_xlfn.XLOOKUP(B123,'Base stats'!B:B,'Base stats'!E:E),Groups!A:A,Groups!G:G)=2,ISNUMBER(SEARCH("Desert",BX123)),ISNUMBER(SEARCH("ExtremeDesert",BX123)),ISNUMBER(SEARCH("LavaField",BX123))),50,IF(ISNUMBER(SEARCH("Grasslands",BX123)),45,IF(OR(_xlfn.XLOOKUP(_xlfn.XLOOKUP(B123,'Base stats'!B:B,'Base stats'!E:E),Groups!A:A,Groups!G:G)=1,ISNUMBER(SEARCH("TropicalRainforest",BX123)),ISNUMBER(SEARCH("TropicalSwamp",BX123))),40,IF(OR(ISNUMBER(SEARCH("TemperateForest",BX123)),ISNUMBER(SEARCH("TemperateSwamp",BX123))),35,IF(OR(ISNUMBER(SEARCH("Alpine",BX123)),ISNUMBER(SEARCH("BorealForest",BX123)),ISNUMBER(SEARCH("ColdBog",BX123))),30,IF(ISNUMBER(OR(ISNUMBER(SEARCH("GlacialPlain",BX123)),SEARCH("Tundra",BX123))),25,IF(OR(ISNUMBER(SEARCH("SeaIce",BX123)),ISNUMBER(SEARCH("IceSheet",BX123)),ISNUMBER(SEARCH("TropicalSwamp",BX123))),10,35)))))))+_xlfn.XLOOKUP(B123,'Base stats'!B:B,'Base stats'!Q:Q)</f>
        <v>50</v>
      </c>
      <c r="N123" s="8" t="str">
        <f>IF(
_xlfn.XLOOKUP(
_xlfn.XLOOKUP(B123,'Base stats'!B:B,'Base stats'!E:E),
Groups!A:A,
Groups!L:L
)=1,
MIN(
MROUND(
IF(
_xlfn.XLOOKUP(B123,'Animals CE'!B:B,'Animals CE'!Z:Z)&lt;=1.5,
_xlfn.XLOOKUP(B123,'Animals CE'!B:B,'Animals CE'!Z:Z)/2+0.05,
0.8+
(_xlfn.XLOOKUP(B123,'Animals CE'!B:B,'Animals CE'!Z:Z)-1.5)
*0.02
),
0.05
),
200%
),
"No"
)</f>
        <v>No</v>
      </c>
      <c r="O123" s="8" t="str">
        <f>IF(
_xlfn.XLOOKUP(
_xlfn.XLOOKUP(B123,'Base stats'!B:B,'Base stats'!E:E),
Groups!A:A,
Groups!L:L
)=1,
MIN(
MROUND(
IF(
_xlfn.XLOOKUP(B123,'Animals CE'!B:B,'Animals CE'!AA:AA)&lt;=1.5,
_xlfn.XLOOKUP(B123,'Animals CE'!B:B,'Animals CE'!AA:AA)/2+0.05,
0.8+
(_xlfn.XLOOKUP(B123,'Animals CE'!B:B,'Animals CE'!AA:AA)-1.5)
*0.02
),
0.05
),
200%
),
"No"
)</f>
        <v>No</v>
      </c>
      <c r="P123" s="2" t="str">
        <f>_xlfn.XLOOKUP(B123,'Base stats'!B:B,'Base stats'!R:R)</f>
        <v>Standard</v>
      </c>
      <c r="Q123" s="13">
        <f>MROUND((LOG10(_xlfn.XLOOKUP(B123,'Base stats'!B:B,'Base stats'!AR:AR))*(AO123^0.5)+(_xlfn.XLOOKUP(B123,'Base stats'!B:B,'Base stats'!AR:AR)/1000)^(2/3)+_xlfn.XLOOKUP(B123,'Base stats'!B:B,'Base stats'!BA:BA)/2)+0.5,0.5)</f>
        <v>10.5</v>
      </c>
      <c r="R123" s="7">
        <f>IF(Q123="No","No",MAX(1,MROUND(_xlfn.XLOOKUP(B123,'Base stats'!B:B,'Base stats'!C:C)^0.165,0.05)))</f>
        <v>2.35</v>
      </c>
      <c r="S123" s="13" t="str">
        <f>IF(_xlfn.XLOOKUP(_xlfn.XLOOKUP(B123,'Base stats'!B:B,'Base stats'!E:E),Groups!A:A,Groups!P:P)=0,"No",MROUND((LOG10(_xlfn.XLOOKUP(B123,'Base stats'!B:B,'Base stats'!AS:AS))*(AO123^0.5)+(_xlfn.XLOOKUP(B123,'Base stats'!B:B,'Base stats'!AS:AS)/1000)^(2/3)+_xlfn.XLOOKUP(B123,'Base stats'!B:B,'Base stats'!BA:BA))+_xlfn.XLOOKUP(B123,'Base stats'!B:B,'Base stats'!AY:AY)+0.5,0.5))</f>
        <v>No</v>
      </c>
      <c r="T123" s="7" t="str">
        <f>IF(S123="No","No",MAX(_xlfn.XLOOKUP(_xlfn.XLOOKUP(B123,'Base stats'!B:B,'Base stats'!E:E),Groups!A:A,Groups!Q:Q),MROUND(_xlfn.XLOOKUP(_xlfn.XLOOKUP(B123,'Base stats'!B:B,'Base stats'!E:E),Groups!A:A,Groups!Q:Q)*_xlfn.XLOOKUP(B123,'Base stats'!B:B,'Base stats'!C:C)^0.165,0.05)))</f>
        <v>No</v>
      </c>
      <c r="U123" s="7" t="str">
        <f>IF(S123="No","No",_xlfn.XLOOKUP(_xlfn.XLOOKUP(B123,'Base stats'!B:B,'Base stats'!E:E),Groups!A:A,Groups!R:R))</f>
        <v>No</v>
      </c>
      <c r="V123" s="7" t="str">
        <f>IF(S123="No","No",_xlfn.XLOOKUP(_xlfn.XLOOKUP(B123,'Base stats'!B:B,'Base stats'!E:E),Groups!A:A,Groups!S:S))</f>
        <v>No</v>
      </c>
      <c r="W123" s="7" t="str">
        <f>IF(S123="No","No",_xlfn.XLOOKUP(_xlfn.XLOOKUP(B123,'Base stats'!B:B,'Base stats'!E:E),Groups!A:A,Groups!T:T))</f>
        <v>No</v>
      </c>
      <c r="X123" s="13" t="str">
        <f>IF(_xlfn.XLOOKUP(B123,'Base stats'!B:B,'Base stats'!W:W)="No","No",MROUND((LOG10(_xlfn.XLOOKUP(B123,'Base stats'!B:B,'Base stats'!AU:AU))*(AO123^0.5)+(_xlfn.XLOOKUP(B123,'Base stats'!B:B,'Base stats'!AU:AU)/1000)^(2/3)+_xlfn.XLOOKUP(B123,'Base stats'!B:B,'Base stats'!AZ:AZ))+0.5+IF(_xlfn.XLOOKUP(_xlfn.XLOOKUP(B123,'Base stats'!B:B,'Base stats'!E:E),Groups!A:A,Groups!U:U)&lt;&gt;3,_xlfn.XLOOKUP(B123,'Base stats'!B:B,'Base stats'!BA:BA),0),0.5))</f>
        <v>No</v>
      </c>
      <c r="Y123" s="7" t="str">
        <f>IF(X123="No","No",MAX(_xlfn.XLOOKUP(_xlfn.XLOOKUP(B123,'Base stats'!B:B,'Base stats'!E:E),Groups!A:A,Groups!V:V),MROUND(_xlfn.XLOOKUP(_xlfn.XLOOKUP(B123,'Base stats'!B:B,'Base stats'!E:E),Groups!A:A,Groups!V:V)*_xlfn.XLOOKUP(B123,'Base stats'!B:B,'Base stats'!C:C)^0.165,0.05)))</f>
        <v>No</v>
      </c>
      <c r="Z123" s="7" t="str">
        <f>IF(X123="No","No",_xlfn.XLOOKUP(_xlfn.XLOOKUP(B123,'Base stats'!B:B,'Base stats'!E:E),Groups!A:A,Groups!W:W))</f>
        <v>No</v>
      </c>
      <c r="AA123" s="7" t="str">
        <f>IF(X123="No","No",_xlfn.XLOOKUP(_xlfn.XLOOKUP(B123,'Base stats'!B:B,'Base stats'!E:E),Groups!A:A,Groups!X:X))</f>
        <v>No</v>
      </c>
      <c r="AB123" s="7" t="str">
        <f>IF(X123="No","No",_xlfn.XLOOKUP(_xlfn.XLOOKUP(B123,'Base stats'!B:B,'Base stats'!E:E),Groups!A:A,Groups!Y:Y))</f>
        <v>No</v>
      </c>
      <c r="AC123" s="7" t="str">
        <f>_xlfn.XLOOKUP(Animals!B123,'Base stats'!B:B,'Base stats'!X:X)</f>
        <v>False</v>
      </c>
      <c r="AD123" s="13">
        <f>IF(_xlfn.XLOOKUP(B123,'Base stats'!B:B,'Base stats'!AT:AT)="No","No",MROUND((LOG10(_xlfn.XLOOKUP(B123,'Base stats'!B:B,'Base stats'!AT:AT))*(AO123^0.75)+(_xlfn.XLOOKUP(B123,'Base stats'!B:B,'Base stats'!AT:AT)/1000)^(2/3)+_xlfn.XLOOKUP(B123,'Base stats'!B:B,'Base stats'!AX:AX)+_xlfn.XLOOKUP(B123,'Base stats'!B:B,'Base stats'!BA:BA))+0.5,0.5))</f>
        <v>19</v>
      </c>
      <c r="AE123" s="7">
        <f>IF(AD123="No","No",MAX(_xlfn.XLOOKUP(_xlfn.XLOOKUP(B123,'Base stats'!B:B,'Base stats'!E:E),Groups!A:A,Groups!Z:Z),MROUND(_xlfn.XLOOKUP(_xlfn.XLOOKUP(B123,'Base stats'!B:B,'Base stats'!E:E),Groups!A:A,Groups!Z:Z)*_xlfn.XLOOKUP(B123,'Base stats'!B:B,'Base stats'!C:C)^0.165,0.05)))</f>
        <v>1.6500000000000001</v>
      </c>
      <c r="AF123" s="7" t="str">
        <f>IF(AD123="No","No",_xlfn.XLOOKUP(_xlfn.XLOOKUP(B123,'Base stats'!B:B,'Base stats'!E:E),Groups!A:A,Groups!AA:AA))</f>
        <v>Teeth</v>
      </c>
      <c r="AG123" s="7" t="str">
        <f>IF(AD123="No","No",_xlfn.XLOOKUP(_xlfn.XLOOKUP(B123,'Base stats'!B:B,'Base stats'!E:E),Groups!A:A,Groups!AB:AB))</f>
        <v>canines</v>
      </c>
      <c r="AH123" s="7" t="str">
        <f>IF(AD123="No","No",_xlfn.XLOOKUP(_xlfn.XLOOKUP(B123,'Base stats'!B:B,'Base stats'!E:E),Groups!A:A,Groups!AC:AC))</f>
        <v>Bite</v>
      </c>
      <c r="AI123" s="13">
        <f>IF(_xlfn.XLOOKUP(_xlfn.XLOOKUP(B123,'Base stats'!B:B,'Base stats'!E:E),Groups!A:A,Groups!AD:AD)=0,"No",MROUND((LOG10(_xlfn.XLOOKUP(B123,'Base stats'!B:B,'Base stats'!AS:AS))*(AO123^0.75)+(_xlfn.XLOOKUP(B123,'Base stats'!B:B,'Base stats'!AS:AS)/1000)^(2/3)+_xlfn.XLOOKUP(B123,'Base stats'!B:B,'Base stats'!AY:AY)+_xlfn.XLOOKUP(B123,'Base stats'!B:B,'Base stats'!BA:BA))+0.5,0.5))</f>
        <v>16</v>
      </c>
      <c r="AJ123" s="7">
        <f>IF(AI123="No","No",MAX(_xlfn.XLOOKUP(_xlfn.XLOOKUP(B123,'Base stats'!B:B,'Base stats'!E:E),Groups!A:A,Groups!AE:AE),MROUND(_xlfn.XLOOKUP(_xlfn.XLOOKUP(B123,'Base stats'!B:B,'Base stats'!E:E),Groups!A:A,Groups!AE:AE)*IF(_xlfn.XLOOKUP(_xlfn.XLOOKUP(B123,'Base stats'!B:B,'Base stats'!E:E),Groups!A:A,Groups!AJ:AJ)="Photonozoa",0.6,1)*_xlfn.XLOOKUP(B123,'Base stats'!B:B,'Base stats'!C:C)^0.165,0.05)))</f>
        <v>1.5</v>
      </c>
      <c r="AK123" s="7" t="str">
        <f>IF(AI123="No","No",_xlfn.XLOOKUP(_xlfn.XLOOKUP(B123,'Base stats'!B:B,'Base stats'!E:E),Groups!A:A,Groups!AF:AF))</f>
        <v>FrontLeftPaw, FrontRightPaw</v>
      </c>
      <c r="AL123" s="7" t="str">
        <f>IF(AI123="No","No",_xlfn.XLOOKUP(_xlfn.XLOOKUP(B123,'Base stats'!B:B,'Base stats'!E:E),Groups!A:A,Groups!AG:AG))</f>
        <v>left claw, right claw</v>
      </c>
      <c r="AM123" s="7" t="str">
        <f>IF(AI123="No","No",_xlfn.XLOOKUP(_xlfn.XLOOKUP(B123,'Base stats'!B:B,'Base stats'!E:E),Groups!A:A,Groups!AH:AH))</f>
        <v>Scratch</v>
      </c>
      <c r="AN123" s="2">
        <f t="shared" si="7"/>
        <v>25</v>
      </c>
      <c r="AO123" s="2">
        <f>MROUND(IF(AND(_xlfn.XLOOKUP(B123,'Base stats'!B:B,'Base stats'!C:C)&gt;=0.5,_xlfn.XLOOKUP(B123,'Base stats'!B:B,'Base stats'!C:C)&lt;=0.8),
IF(_xlfn.XLOOKUP(B123,'Base stats'!B:B,'Base stats'!C:C)&lt;0.1,0.05,IF(_xlfn.XLOOKUP(B123,'Base stats'!B:B,'Base stats'!C:C)&lt;=70,(_xlfn.XLOOKUP(B123,'Base stats'!B:B,'Base stats'!C:C)/70)^0.426489913056526,IF(_xlfn.XLOOKUP(B123,'Base stats'!B:B,'Base stats'!C:C)&lt;=400,(_xlfn.XLOOKUP(B123,'Base stats'!B:B,'Base stats'!C:C)/70)^0.572811455315093,IF(_xlfn.XLOOKUP(B123,'Base stats'!B:B,'Base stats'!C:C)&lt;=2000,2.71391647193063*(_xlfn.XLOOKUP(B123,'Base stats'!B:B,'Base stats'!C:C)/400)^0.252459582904293,3.74314280240376*(_xlfn.XLOOKUP(B123,'Base stats'!B:B,'Base stats'!C:C)/2000)^0.357012633876913)))),
IF(_xlfn.XLOOKUP(B123,'Base stats'!B:B,'Base stats'!C:C)&lt;0.1,0.05,IF(_xlfn.XLOOKUP(B123,'Base stats'!B:B,'Base stats'!C:C)&lt;0.4,0.1,IF(_xlfn.XLOOKUP(B123,'Base stats'!B:B,'Base stats'!C:C)&lt;=70,(_xlfn.XLOOKUP(B123,'Base stats'!B:B,'Base stats'!C:C)/70)^0.445823913056526,IF(_xlfn.XLOOKUP(B123,'Base stats'!B:B,'Base stats'!C:C)&lt;=400,(_xlfn.XLOOKUP(B123,'Base stats'!B:B,'Base stats'!C:C)/70)^0.572811455315093,IF(_xlfn.XLOOKUP(B123,'Base stats'!B:B,'Base stats'!C:C)&lt;=2000,2.71391647193063*(_xlfn.XLOOKUP(B123,'Base stats'!B:B,'Base stats'!C:C)/400)^0.252459582904293,3.74314280240376*(_xlfn.XLOOKUP(B123,'Base stats'!B:B,'Base stats'!C:C)/2000)^0.357012633876913)))))),
IF(_xlfn.XLOOKUP(B123,'Base stats'!B:B,'Base stats'!C:C)&lt;0.1,0.05,IF(_xlfn.XLOOKUP(B123,'Base stats'!B:B,'Base stats'!C:C)&lt;=100,0.05,IF(_xlfn.XLOOKUP(B123,'Base stats'!B:B,'Base stats'!C:C)&lt;=250,0.1,IF(_xlfn.XLOOKUP(B123,'Base stats'!B:B,'Base stats'!C:C)&lt;=4000,0.25,0.5)))))</f>
        <v>1.7000000000000002</v>
      </c>
      <c r="AP123" s="8">
        <f>MROUND(AO123*_xlfn.XLOOKUP(_xlfn.XLOOKUP(B123,'Base stats'!B:B,'Base stats'!E:E),Groups!A:A,Groups!AI:AI)*_xlfn.XLOOKUP(B123,'Base stats'!B:B,'Base stats'!Z:Z),0.05)</f>
        <v>2.0500000000000003</v>
      </c>
      <c r="AQ123" s="8">
        <f>MAX(0.01,MROUND(IF(CC123="True",0.196*(AO123*100*1000)^0.889,IF(_xlfn.XLOOKUP(_xlfn.XLOOKUP(B123,'Base stats'!B:B,'Base stats'!E:E),Groups!A:A,Groups!AJ:AJ)="Bird",10.5*(AO123*100*1000)^0.681,4.82*(AO123*100*1000)^0.734))/(4.82*(1*100*1000)^0.734)/IF(AO123&lt;3.5,2,IF(AO123=3.5,1.5,1.25))*(1+0.132282374779864/(AO123^0.994035016789033+0.00905238001496948)),0.05))</f>
        <v>0.8</v>
      </c>
      <c r="AR123" s="9">
        <f>IFERROR(MROUND(_xlfn.XLOOKUP(B123,'Base stats'!B:B,'Base stats'!H:H)/IF(_xlfn.XLOOKUP(B123,'Base stats'!B:B,'Base stats'!I:I)&lt;&gt;1,(122.5/70),1.2),IF(_xlfn.XLOOKUP(B123,'Base stats'!B:B,'Base stats'!H:H)&gt;=30,5,IF(_xlfn.XLOOKUP(B123,'Base stats'!B:B,'Base stats'!H:H)&gt;=15,3,IF(_xlfn.XLOOKUP(B123,'Base stats'!B:B,'Base stats'!H:H)&gt;=10,2,1)))),"Immortal")</f>
        <v>15</v>
      </c>
      <c r="AS123" s="35">
        <f>IFERROR(IF(OR(_xlfn.XLOOKUP(B123,'Base stats'!B:B,'Base stats'!F:F)="Atypical reproduction",_xlfn.XLOOKUP(B123,'Base stats'!B:B,'Base stats'!F:F)="Lay eggs"),"Lay eggs",MIN(20,MAX(5.5,ROUND(((_xlfn.XLOOKUP(B123,'Base stats'!B:B,'Base stats'!F:F)-25)*(14.5/615) + 5.5)*2,0)/2))),"Unknown")</f>
        <v>7.5</v>
      </c>
      <c r="AT123" s="8">
        <f>IF(_xlfn.XLOOKUP(B123,'Base stats'!B:B,'Base stats'!G:G)="Atypical reproduction","No",IFERROR(MAX(IF(_xlfn.XLOOKUP(B123,'Base stats'!B:B,'Base stats'!G:G)&lt;0.5,0.2,0.3),MROUND(_xlfn.XLOOKUP(B123,'Base stats'!B:B,'Base stats'!G:G)/(365/60),0.2)),"Unknown"))</f>
        <v>0.4</v>
      </c>
      <c r="AU123" s="8">
        <f t="shared" si="8"/>
        <v>0.2</v>
      </c>
      <c r="AV123" s="8">
        <f>IFERROR(IFERROR(MROUND(_xlfn.XLOOKUP(B123,'Base stats'!B:B,'Base stats'!J:J),0.1),"Lay eggs"),"Cannot breed")</f>
        <v>3</v>
      </c>
      <c r="AW123" s="2" t="str">
        <f t="shared" si="9"/>
        <v>true</v>
      </c>
      <c r="AX123" s="2" t="str">
        <f>IF(_xlfn.XLOOKUP(_xlfn.XLOOKUP(Animals!B123,'Base stats'!B:B,'Base stats'!E:E),Groups!A:A,Groups!AK:AK)=1,"true","false")</f>
        <v>false</v>
      </c>
      <c r="AY123" s="25" t="str">
        <f>IF(_xlfn.XLOOKUP(B123,'Base stats'!B:B,'Base stats'!Y:Y)="Liquor","Liquor, CarnivoreAnimalStrict",IF(AND(_xlfn.XLOOKUP(B123,'Base stats'!B:B,'Base stats'!Y:Y)="Carnivore",_xlfn.XLOOKUP(_xlfn.XLOOKUP(B123,'Base stats'!B:B,'Base stats'!E:E),Groups!A:A,Groups!AJ:AJ)="Photonozoa"),"CarnivoreAnimalStrict, OvivoreAnimal",IF(_xlfn.XLOOKUP(B123,'Base stats'!B:B,'Base stats'!Y:Y)="Carnivore","CarnivoreAnimal, OvivoreAnimal",IF(_xlfn.XLOOKUP(B123,'Base stats'!B:B,'Base stats'!Y:Y)="Dendrovore","VegetarianRoughAnimal, DendrovoreAnimal",IF(_xlfn.XLOOKUP(B123,'Base stats'!B:B,'Base stats'!Y:Y)="Herbivore","VegetarianRoughAnimal",IF(_xlfn.XLOOKUP(B123,'Base stats'!B:B,'Base stats'!Y:Y)="OmnivoreRough","OmnivoreRoughAnimal, OvivoreAnimal","OmnivoreAnimal, OvivoreAnimal"))))))</f>
        <v>CarnivoreAnimal, OvivoreAnimal</v>
      </c>
      <c r="AZ123" s="2" t="str">
        <f>IF(_xlfn.XLOOKUP(_xlfn.XLOOKUP(B123,'Base stats'!B:B,'Base stats'!E:E),Groups!A:A,Groups!D:D)=1,MROUND((1-J123)*5+1,2)*IF(J123&lt;=0.4,2,1),"No")</f>
        <v>No</v>
      </c>
      <c r="BA123" s="2" t="str">
        <f>IF(AND(_xlfn.XLOOKUP(B123,'Base stats'!B:B,'Base stats'!AH:AH)="&lt;li&gt;Seal&lt;/li&gt;",G123="Odyssey"),"&lt;li&gt;AEXP_Seal&lt;/li&gt;",_xlfn.XLOOKUP(B123,'Base stats'!B:B,'Base stats'!AH:AH))</f>
        <v>No</v>
      </c>
      <c r="BB123" s="2" t="str">
        <f>_xlfn.XLOOKUP(B123,'Base stats'!B:B,'Base stats'!AG:AG)</f>
        <v>Leather_Panthera</v>
      </c>
      <c r="BC123" s="23" t="str">
        <f>_xlfn.XLOOKUP(_xlfn.XLOOKUP(B123,'Base stats'!B:B,'Base stats'!E:E),Groups!A:A,Groups!AL:AL)</f>
        <v>QuadrupedAnimalWithPawsAndTail</v>
      </c>
      <c r="BD123" s="23">
        <f>MIN(1,MROUND(IF(AND(AO123&lt;0.5,_xlfn.XLOOKUP(B123,'Base stats'!B:B,'Base stats'!AA:AA)=0),0,IF(OR(_xlfn.XLOOKUP(Animals!B123,'Base stats'!B:B,'Base stats'!O:O)=2,_xlfn.XLOOKUP(_xlfn.XLOOKUP(B123,'Base stats'!B:B,'Base stats'!E:E),Groups!A:A,Groups!AN:AN)=0),0,_xlfn.XLOOKUP(_xlfn.XLOOKUP(B123,'Base stats'!B:B,'Base stats'!E:E),Groups!A:A,Groups!AN:AN)/IF(_xlfn.XLOOKUP(Animals!B123,'Base stats'!B:B,'Base stats'!O:O)=1,2,1)))+_xlfn.XLOOKUP(B123,'Base stats'!B:B,'Base stats'!AC:AC),0.005))</f>
        <v>0.1</v>
      </c>
      <c r="BE123" s="23">
        <f>MIN(1,MROUND(IF(AND(AO123&lt;0.5,_xlfn.XLOOKUP(B123,'Base stats'!B:B,'Base stats'!AA:AA)=0),0,IF(_xlfn.XLOOKUP(_xlfn.XLOOKUP(B123,'Base stats'!B:B,'Base stats'!E:E),Groups!A:A,Groups!AO:AO)=0,0,_xlfn.XLOOKUP(_xlfn.XLOOKUP(B123,'Base stats'!B:B,'Base stats'!E:E),Groups!A:A,Groups!AO:AO)/IF(_xlfn.XLOOKUP(Animals!B123,'Base stats'!B:B,'Base stats'!O:O)=2,3,1)))+_xlfn.XLOOKUP(B123,'Base stats'!B:B,'Base stats'!AD:AD),0.005))</f>
        <v>0.3</v>
      </c>
      <c r="BF123" s="2" t="str">
        <f>IF(J123&gt;0.3,"No",_xlfn.XLOOKUP(_xlfn.XLOOKUP(Animals!B123,'Base stats'!B:B,'Base stats'!E:E),Groups!A:A,Groups!AP:AP))</f>
        <v>No</v>
      </c>
      <c r="BG123" s="2" t="str">
        <f>IF(AND(J123&lt;=0.65,_xlfn.XLOOKUP(_xlfn.XLOOKUP(Animals!B123,'Base stats'!B:B,'Base stats'!E:E),Groups!A:A,Groups!AP:AP)&lt;&gt;"No",_xlfn.XLOOKUP(_xlfn.XLOOKUP(B123,'Base stats'!B:B,'Base stats'!E:E),Groups!A:A,Groups!D:D)=0),MROUND((80/3)*IF(_xlfn.XLOOKUP(B123,'Base stats'!B:B,'Base stats'!O:O)=2,0.2,AO123) + 24*(1-IF(BF123="No",0,BF123)) + 16/3, 12),"No")</f>
        <v>No</v>
      </c>
      <c r="BH123" s="2">
        <f>IF(AND(_xlfn.XLOOKUP(_xlfn.XLOOKUP(B123,'Base stats'!B:B,'Base stats'!E:E),Groups!A:A,Groups!AQ:AQ)=1,AO123&lt;=0.35),8,12)</f>
        <v>12</v>
      </c>
      <c r="BI123" s="2" t="str">
        <f>IF(_xlfn.XLOOKUP(_xlfn.XLOOKUP(B123,'Base stats'!B:B,'Base stats'!E:E),Groups!A:A,Groups!D:D)=0,_xlfn.XLOOKUP(_xlfn.XLOOKUP(B123,'Base stats'!B:B,'Base stats'!E:E),Groups!A:A,Groups!AR:AR),"None")</f>
        <v>Intermediate</v>
      </c>
      <c r="BJ123" s="2" t="str">
        <f>IF(AND(_xlfn.XLOOKUP(_xlfn.XLOOKUP(B123,'Base stats'!B:B,'Base stats'!E:E),Groups!A:A,Groups!AS:AS)=1,OR(_xlfn.XLOOKUP(B123,'Base stats'!B:B,'Base stats'!Y:Y)="Carnivore",_xlfn.XLOOKUP(B123,'Base stats'!B:B,'Base stats'!Y:Y)="Omnivore")),"true","false")</f>
        <v>true</v>
      </c>
      <c r="BK123" s="2">
        <f>IF(BJ123="true",MROUND(IF(AND(AO123&gt;0.5,OR(_xlfn.XLOOKUP(_xlfn.XLOOKUP(B123,'Base stats'!B:B,'Base stats'!E:E),Groups!A:A,Groups!AJ:AJ)="Photonozoa",_xlfn.XLOOKUP(_xlfn.XLOOKUP(B123,'Base stats'!B:B,'Base stats'!E:E),Groups!A:A,Groups!AJ:AJ)="Mammal")),Animals!AO123*1.75*IF(AW123="true",1.5,1),IF(AO123&lt;0.5,Animals!AO123*0.5,Animals!AO123)),IF(AO123&gt;2,0.5,IF(AO123&gt;0.5,0.25,0.1))),"No")</f>
        <v>4.5</v>
      </c>
      <c r="BL123" s="2">
        <f t="shared" si="10"/>
        <v>1</v>
      </c>
      <c r="BM123" s="25" t="str">
        <f>IF(_xlfn.XLOOKUP(B123,'Base stats'!B:B,'Base stats'!AN:AN)="Standard","No",MROUND((_xlfn.XLOOKUP(B123,'Base stats'!B:B,'Base stats'!AN:AN)/3.6)/I123,0.1))</f>
        <v>No</v>
      </c>
      <c r="BN123" s="25" t="str">
        <f t="shared" si="11"/>
        <v>false</v>
      </c>
      <c r="BO123" s="25" t="str">
        <f>IF(AND(OR(_xlfn.XLOOKUP(B123,'Base stats'!B:B,'Base stats'!Y:Y)="Carnivore",_xlfn.XLOOKUP(B123,'Base stats'!B:B,'Base stats'!Y:Y)="Omnivore",_xlfn.XLOOKUP(B123,'Base stats'!B:B,'Base stats'!Y:Y)="OmnivoreRough"),_xlfn.XLOOKUP(_xlfn.XLOOKUP(B123,'Base stats'!B:B,'Base stats'!E:E),Groups!A:A,Groups!AT:AT)=1),"true","false")</f>
        <v>false</v>
      </c>
      <c r="BP123" s="25" t="str" cm="1">
        <f t="array" ref="BP123">IF(
  _xlfn.TEXTJOIN(", ",TRUE,
    IF(AND(BJ123="true",AO123&gt;0.5,BI123&lt;&gt;"None"),"AttackTarget",""),
    IF(AND(_xlfn.XLOOKUP(_xlfn.XLOOKUP(B123,'Base stats'!B:B,'Base stats'!E:E),Groups!A:A,Groups!AJ:AJ="Mammal"),OR(_xlfn.XLOOKUP(B123,'Base stats'!B:B,'Base stats'!Y:Y)="Omnivore",_xlfn.XLOOKUP(B123,'Base stats'!B:B,'Base stats'!Y:Y)="OmnivoreRough")),"Forage",""),
    IF(BG123&lt;=36,"Comfort",""),
    IF(_xlfn.XLOOKUP(B123,'Base stats'!B:B,'Base stats'!AE:AE)&lt;&gt;"No",_xlfn.XLOOKUP(B123,'Base stats'!B:B,'Base stats'!AE:AE),"")
  ) = "",
  "No",
  _xlfn.TEXTJOIN(", ",TRUE,
    IF(AND(BJ123="true",AO123&gt;0.5,BI123&lt;&gt;"None"),"AttackTarget",""),
    IF(AND(_xlfn.XLOOKUP(_xlfn.XLOOKUP(B123,'Base stats'!B:B,'Base stats'!E:E),Groups!A:A,Groups!AJ:AJ="Mammal"),OR(_xlfn.XLOOKUP(B123,'Base stats'!B:B,'Base stats'!Y:Y)="Omnivore",_xlfn.XLOOKUP(B123,'Base stats'!B:B,'Base stats'!Y:Y)="OmnivoreRough")),"Forage",""),
    IF(BG123&lt;=36,"Comfort",""),
    IF(_xlfn.XLOOKUP(B123,'Base stats'!B:B,'Base stats'!AE:AE)&lt;&gt;"No",_xlfn.XLOOKUP(B123,'Base stats'!B:B,'Base stats'!AE:AE),"")
  )
)</f>
        <v>AttackTarget</v>
      </c>
      <c r="BQ123" s="25" t="str">
        <f>IF(
   AND(
      'Base stats'!AN123="Standard",_xlfn.XLOOKUP(_xlfn.XLOOKUP(B123,'Base stats'!B:B,'Base stats'!E:E),Groups!A:A,Groups!AU:AU)=0,
      OR(
      BO123="True"
      )
   ),
   10,
   IF(
       OR(BM123&lt;&gt;"No",_xlfn.XLOOKUP(_xlfn.XLOOKUP(B123,'Base stats'!B:B,'Base stats'!E:E),Groups!A:A,Groups!AU:AU)=1),
      1,
      "No"
   )
)</f>
        <v>No</v>
      </c>
      <c r="BR123" s="9">
        <f>MROUND((1 + ((0.2*IF(OR(Q123="No",R123="No",R123=0),0,Q123/R123)
+IF(OR(V123="No",S123="No",T123="No"),0,S123/T123*(LEN(V123)-LEN(SUBSTITUTE(V123,",",""))+1))
+IF(OR(X123="No",Y123="No"),0,X123/Y123)
+IF(OR(AD123="No",AE123="No"),0,AD123/AE123)
+IF(OR(AL123="No",AI123="No",AJ123="No"),0,AI123/AJ123*(LEN(AL123)-LEN(SUBSTITUTE(AL123,",",""))+1))
)/(0.2*IF(OR(Q123="No",R123="No",R123=0),0,1)
+IF(OR(V123="No",S123="No",T123="No"),0,LEN(V123)-LEN(SUBSTITUTE(V123,",",""))+1)
+IF(OR(X123="No",Y123="No"),0,1)
+IF(OR(AD123="No",AE123="No"),0,1)
+IF(OR(AL123="No",AI123="No",AJ123="No"),0,LEN(AL123)-LEN(SUBSTITUTE(AL123,",",""))+1))*62%)* 2)*(1 + (AP123 / (IF(_xlfn.XLOOKUP(_xlfn.XLOOKUP(B123,'Base stats'!B:B,'Base stats'!E:E),Groups!A:A,Groups!AJ:AJ)="Photonozoa",0.3,1)) + _xlfn.XLOOKUP(B123,'Base stats'!B:B,'Base stats'!AV:AV) * 1.8) * 2) * 2.5 + 10 + I123 * 2,5)+IF(_xlfn.XLOOKUP(B123,'Base stats'!B:B,'Base stats'!AK:AK)=1,50,0)</f>
        <v>205</v>
      </c>
      <c r="BS123" s="8">
        <f t="shared" si="12"/>
        <v>1</v>
      </c>
      <c r="BT123" s="8" t="str">
        <f>_xlfn.XLOOKUP(B123,'Base stats'!B:B,'Base stats'!AF:AF)</f>
        <v>2~6</v>
      </c>
      <c r="BU123" s="2" t="str">
        <f>IF(AND(J123&lt;=0.95,OR(_xlfn.XLOOKUP(B123,'Base stats'!B:B,'Base stats'!AK:AK)=1,_xlfn.XLOOKUP(B123,'Base stats'!B:B,'Base stats'!Y:Y)="Carnivore",_xlfn.XLOOKUP(B123,'Base stats'!B:B,'Base stats'!Y:Y)="Omnivore",BE123&gt;0.1)),"true","false")</f>
        <v>true</v>
      </c>
      <c r="BV123" s="2" t="str">
        <f>IF(_xlfn.XLOOKUP(B123,'Base stats'!B:B,'Base stats'!AI:AI)=1,"true","false")</f>
        <v>false</v>
      </c>
      <c r="BW123" s="25" t="str">
        <f>IF(E123="BaseInsect","AnimalInsect",
IF(J123&gt;0.95,"AnimalExotic",
_xlfn.TEXTJOIN(", ",TRUE,
IF(OR(_xlfn.XLOOKUP(B123,'Base stats'!B:B,'Base stats'!AM:AM)=1,AND(_xlfn.XLOOKUP(B123,'Base stats'!B:B,'Base stats'!O:O)=0,_xlfn.XLOOKUP(_xlfn.XLOOKUP(B123,'Base stats'!B:B,'Base stats'!E:E),Groups!A:A,Groups!B:B)&gt;0)),"AnimalUncommon","AnimalCommon"),
IF(AND(_xlfn.XLOOKUP(B123,'Base stats'!B:B,'Base stats'!O:O)=2,_xlfn.XLOOKUP(_xlfn.XLOOKUP(B123,'Base stats'!B:B,'Base stats'!E:E),Groups!A:A,Groups!D:D)=0),"AnimalPet",IF(AND(_xlfn.XLOOKUP(B123,'Base stats'!B:B,'Base stats'!O:O)&lt;&gt;0,_xlfn.XLOOKUP(_xlfn.XLOOKUP(B123,'Base stats'!B:B,'Base stats'!E:E),Groups!A:A,Groups!D:D)&lt;&gt;0),"AnimalFarm","")),
IF(OR(_xlfn.XLOOKUP(B123,'Base stats'!B:B,'Base stats'!AK:AK)=1,AND(BI123&lt;&gt;"None",BR123&gt;=60),ISNUMBER(SEARCH("Attack target",BP123))),"AnimalFighter","")
)))</f>
        <v>AnimalUncommon, AnimalFighter</v>
      </c>
      <c r="BX123" s="25" t="str">
        <f>IF(G123="None",TRIM(
SUBSTITUTE(
IF(COUNTIF(Biomes!B$2:B$259,"="&amp;$C123)&gt;0,Biomes!B$1&amp;", ","")&amp;
IF(COUNTIF(Biomes!C$2:C$259,"="&amp;$C123)&gt;0,Biomes!C$1&amp;", ","")&amp;
IF(COUNTIF(Biomes!D$2:D$259,"="&amp;$C123)&gt;0,Biomes!D$1&amp;", ","")&amp;
IF(COUNTIF(Biomes!F$2:F$259,"="&amp;$C123)&gt;0,Biomes!F$1&amp;", ","")&amp;
IF(COUNTIF(Biomes!G$2:G$259,"="&amp;$C123)&gt;0,Biomes!G$1&amp;", ","")&amp;
IF(COUNTIF(Biomes!H$2:H$259,"="&amp;$C123)&gt;0,Biomes!H$1&amp;", ","")&amp;
IF(COUNTIF(Biomes!I$2:I$259,"="&amp;$C123)&gt;0,Biomes!I$1&amp;", ","")&amp;
IF(COUNTIF(Biomes!J$2:J$259,"="&amp;$C123)&gt;0,Biomes!J$1&amp;", ","")&amp;
IF(COUNTIF(Biomes!M$2:M$259,"="&amp;$C123)&gt;0,Biomes!M$1&amp;", ","")&amp;
IF(COUNTIF(Biomes!N$2:N$259,"="&amp;$C123)&gt;0,Biomes!N$1&amp;", ","")&amp;
IF(COUNTIF(Biomes!O$2:O$259,"="&amp;$C123)&gt;0,Biomes!O$1&amp;", ","")&amp;
IF(COUNTIF(Biomes!P$2:P$259,"="&amp;$C123)&gt;0,Biomes!P$1&amp;", ","")&amp;
IF(COUNTIF(Biomes!K$2:K$259,"="&amp;$C123)&gt;0,Biomes!K$1&amp;", ","")&amp;
IF(COUNTIF(Biomes!Q$3:Q$259,"="&amp;$C123)&gt;0,Biomes!Q$1&amp;", ","")&amp;
IF(COUNTIF(Biomes!L$2:L$259,"="&amp;$C123)&gt;0,Biomes!L$1&amp;", ","")&amp;
IF(COUNTIF(Biomes!E$2:E$259,"="&amp;$C123)&gt;0,Biomes!E$1&amp;", ","")&amp;IF(COUNTIF(Biomes!S$2:S$259,"="&amp;$C123)&gt;0,Biomes!S$1&amp;", ","")&amp;
IF(COUNTIF(Biomes!R$2:R$259,"="&amp;$C123)&gt;0,Biomes!R$1&amp;", ",""),", ","")
),_xlfn.XLOOKUP(B123,B:B,BX:BX))</f>
        <v>AridShrubland Desert Grasslands LavaField</v>
      </c>
      <c r="BY123" s="25" t="str">
        <f>IF(_xlfn.XLOOKUP(B123,'Base stats'!B:B,'Base stats'!AJ:AJ)=1,"true","false")</f>
        <v>false</v>
      </c>
      <c r="BZ123" s="25">
        <f>IF(_xlfn.XLOOKUP(B123,'Base stats'!B:B,'Base stats'!N:N)=1,"No",MAX(0.001,MIN(MROUND(IF(AND(BJ123="True",CC123="False"),POWER(10,3.47*LOG10(_xlfn.XLOOKUP(B123,'Base stats'!B:B,'Base stats'!C:C)*1000)^-0.96),POWER(10,4.15*LOG10(_xlfn.XLOOKUP(B123,'Base stats'!B:B,'Base stats'!C:C)*1000)^-0.73))*IF(_xlfn.XLOOKUP(B123,'Base stats'!B:B,'Base stats'!AK:AK)=1,0.5,1)*IF(_xlfn.XLOOKUP(B123,'Base stats'!B:B,'Base stats'!AM:AM)=1,0.1,1)/100,IF(_xlfn.XLOOKUP(B123,'Base stats'!B:B,'Base stats'!AM:AM)=1,0.001,0.025)),0.5)))</f>
        <v>0.05</v>
      </c>
      <c r="CA123" s="25" t="str">
        <f>IF(P123="Standard","No",MAX(0.001,MIN(MROUND(IF(AND(BJ123="True",CC123="False"),POWER(10,3.47*LOG10(_xlfn.XLOOKUP(B123,'Base stats'!B:B,'Base stats'!C:C)*1000)^-0.96),POWER(10,4.15*LOG10(_xlfn.XLOOKUP(B123,'Base stats'!B:B,'Base stats'!C:C)*1000)^-0.73))*IF(_xlfn.XLOOKUP(B123,'Base stats'!B:B,'Base stats'!AM:AM)=1,0.1,1)*_xlfn.XLOOKUP(B123,'Base stats'!B:B,'Base stats'!R:R)/100,IF(_xlfn.XLOOKUP(B123,'Base stats'!B:B,'Base stats'!AM:AM)=1,0.001,0.025)),0.5)))</f>
        <v>No</v>
      </c>
      <c r="CB123" s="25" t="str">
        <f>IF(_xlfn.XLOOKUP(_xlfn.XLOOKUP(B123,'Base stats'!B:B,'Base stats'!E:E),Groups!A:A,Groups!AJ:AJ)="Mammal","True","False")</f>
        <v>True</v>
      </c>
      <c r="CC123" s="25" t="str">
        <f>IF(OR(_xlfn.XLOOKUP(_xlfn.XLOOKUP(B123,'Base stats'!B:B,'Base stats'!E:E),Groups!A:A,Groups!AJ:AJ)="Reptile",_xlfn.XLOOKUP(_xlfn.XLOOKUP(B123,'Base stats'!B:B,'Base stats'!E:E),Groups!A:A,Groups!AJ:AJ)="Amphibian",_xlfn.XLOOKUP(_xlfn.XLOOKUP(B123,'Base stats'!B:B,'Base stats'!E:E),Groups!A:A,Groups!AJ:AJ)="Invertebrate"),"True","False")</f>
        <v>False</v>
      </c>
      <c r="CD123" s="25" t="str">
        <f t="shared" si="13"/>
        <v>False</v>
      </c>
      <c r="CE123" s="25" t="str">
        <f>IF(_xlfn.XLOOKUP(_xlfn.XLOOKUP(B123,'Base stats'!B:B,'Base stats'!E:E),Groups!A:A,Groups!AX:AX),"True","False")</f>
        <v>False</v>
      </c>
      <c r="CF123" s="25" t="str">
        <f>IF(_xlfn.XLOOKUP(_xlfn.XLOOKUP(B123,'Base stats'!B:B,'Base stats'!E:E),Groups!A:A,Groups!AY:AY),"True","False")</f>
        <v>False</v>
      </c>
      <c r="CG123" s="25" t="str">
        <f>IF(_xlfn.XLOOKUP(_xlfn.XLOOKUP(B123,'Base stats'!B:B,'Base stats'!E:E),Groups!A:A,Groups!AW:AW),"True","False")</f>
        <v>False</v>
      </c>
      <c r="CH123" s="25" t="str">
        <f>IF(
OR(
_xlfn.XLOOKUP(_xlfn.XLOOKUP(B123,'Base stats'!B:B,'Base stats'!E:E),Groups!A:A,Groups!AZ:AZ)=0,
AND(
_xlfn.XLOOKUP(B123,'Base stats'!B:B,'Base stats'!Y:Y)&lt;&gt;"Carnivore",
_xlfn.XLOOKUP(B123,'Base stats'!B:B,'Base stats'!Y:Y)&lt;&gt;"Omnivore",
_xlfn.XLOOKUP(B123,'Base stats'!B:B,'Base stats'!Y:Y)&lt;&gt;"OmnivoreRough"
)
),
"No",
IF(
_xlfn.XLOOKUP(_xlfn.XLOOKUP(B123,'Base stats'!B:B,'Base stats'!E:E),Groups!A:A,Groups!AZ:AZ)=1,
"Flesh",
IF(
_xlfn.XLOOKUP(_xlfn.XLOOKUP(B123,'Base stats'!B:B,'Base stats'!E:E),Groups!A:A,Groups!AZ:AZ)=2,
"Bone",
""
)
)
)</f>
        <v>No</v>
      </c>
      <c r="CI123" s="25" t="str">
        <f>IF(_xlfn.XLOOKUP(_xlfn.XLOOKUP(B123,'Base stats'!B:B,'Base stats'!E:E),Groups!A:A,Groups!BB:BB),"True","False")</f>
        <v>True</v>
      </c>
      <c r="CJ123" s="25" t="str">
        <f>IF(_xlfn.XLOOKUP(_xlfn.XLOOKUP(B123,'Base stats'!B:B,'Base stats'!E:E),Groups!A:A,Groups!BA:BA),"True","False")</f>
        <v>False</v>
      </c>
    </row>
    <row r="124" spans="1:88" s="16" customFormat="1" ht="16.5" thickTop="1" thickBot="1" x14ac:dyDescent="0.3">
      <c r="A124" s="26" t="str">
        <f>_xlfn.XLOOKUP(B124,'Base stats'!B:B,'Base stats'!A:A)</f>
        <v>Gila Monster</v>
      </c>
      <c r="B124" s="6" t="s">
        <v>603</v>
      </c>
      <c r="C124" s="28" t="s">
        <v>805</v>
      </c>
      <c r="D124" s="28" t="s">
        <v>872</v>
      </c>
      <c r="E124" s="28" t="s">
        <v>673</v>
      </c>
      <c r="F124" s="28" t="s">
        <v>673</v>
      </c>
      <c r="G124" s="28" t="s">
        <v>673</v>
      </c>
      <c r="H124" s="2">
        <f>MROUND((
  (IF(AND(_xlfn.XLOOKUP(B124,'Base stats'!B:B,'Base stats'!AL:AL)=0,BI124="None",_xlfn.XLOOKUP(_xlfn.XLOOKUP(B124,'Base stats'!B:B,'Base stats'!E:E),Groups!A:A,Groups!B:B)=0), (18 + BR124 * 2.7) * 0.5,
    IF(AND(_xlfn.XLOOKUP(B124,'Base stats'!B:B,'Base stats'!AL:AL)=0,OR(AO124&lt;0.55,AND(BI124="Intermediate",_xlfn.XLOOKUP(_xlfn.XLOOKUP(B124,'Base stats'!B:B,'Base stats'!E:E),Groups!A:A,Groups!B:B)&lt;2))), (18 + BR124 * 2.7),
      IF(OR(BI124="Advanced",_xlfn.XLOOKUP(B124,'Base stats'!B:B,'Base stats'!AL:AL)=1,_xlfn.XLOOKUP(_xlfn.XLOOKUP(B124,'Base stats'!B:B,'Base stats'!E:E),Groups!A:A,Groups!B:B)=2), (18 + BR124 * 2.7) + 250, (18 + BR124 * 2.7))
    )
  ))
  + AO124 * 80
  + IF(COUNTIF(EggMilk!K$2:K$998, A124) &gt; 0, 125, 0)
  + IF(COUNTIF(EggMilk!P$2:P$998, A124) &gt; 0, 90, 0)
  + IF(COUNTIF(EggMilk!A$2:A$998, A124) &gt; 0, 90, 0)
)
* (0.8 + 0.4 * J124)
* 0.75,25)</f>
        <v>150</v>
      </c>
      <c r="I124" s="2">
        <f>MROUND(ROUNDDOWN(_xlfn.XLOOKUP(B124,'Base stats'!B:B,'Base stats'!L:L)/3.6/(23.3/11),1),0.5)</f>
        <v>1.5</v>
      </c>
      <c r="J124" s="2">
        <f>IF(OR(_xlfn.XLOOKUP(B124,'Base stats'!B:B,'Base stats'!AB:AB)=1,_xlfn.XLOOKUP(_xlfn.XLOOKUP(B124,'Base stats'!B:B,'Base stats'!E:E),Groups!A:A,Groups!C:C)="Untamable"),1,IF(_xlfn.XLOOKUP(B124,'Base stats'!B:B,'Base stats'!AL:AL)=1,0.99,MIN(MROUND((1-0.6282*EXP(-0.459*AO124))*_xlfn.XLOOKUP(_xlfn.XLOOKUP(B124,'Base stats'!B:B,'Base stats'!E:E),Groups!A:A,Groups!C:C)*IF(_xlfn.XLOOKUP(B124,'Base stats'!B:B,'Base stats'!O:O)=1,0.5,IF(_xlfn.XLOOKUP(B124,'Base stats'!B:B,'Base stats'!O:O)=2,0,1)),0.05),IF(AO124&gt;3.5,0.985,0.95))))</f>
        <v>0.55000000000000004</v>
      </c>
      <c r="K124" s="2">
        <f>ROUNDUP(AO124*_xlfn.XLOOKUP(_xlfn.XLOOKUP(B124,'Base stats'!B:B,'Base stats'!E:E),Groups!A:A,Groups!E:E),0)</f>
        <v>1</v>
      </c>
      <c r="L124" s="2">
        <f>IF(OR(_xlfn.XLOOKUP(_xlfn.XLOOKUP(B124,'Base stats'!B:B,'Base stats'!E:E),Groups!A:A,Groups!F:F)=2,ISNUMBER(SEARCH("SeaIce",BX124)),ISNUMBER(SEARCH("IceSheet",BX124))),-50,IF(OR(ISNUMBER(SEARCH("GlacialPlain",BX124)),ISNUMBER(SEARCH("Tundra",BX124))),-40,IF(OR(ISNUMBER(SEARCH("Alpine",BX124)),ISNUMBER(SEARCH("BorealForest",BX124)),ISNUMBER(SEARCH("ColdBog",BX124))),-30,IF(OR(ISNUMBER(SEARCH("TemperateForest",BX124)),ISNUMBER(SEARCH("TemperateSwamp",BX124))),-20,IF(_xlfn.XLOOKUP(_xlfn.XLOOKUP(B124,'Base stats'!B:B,'Base stats'!E:E),Groups!A:A,Groups!F:F)=1,-15,IF(OR(ISNUMBER(SEARCH("Desert",BX124)),ISNUMBER(SEARCH("ExtremeDesert",BX124))),-10,IF(OR(ISNUMBER(SEARCH("Grasslands",BX124)),ISNUMBER(SEARCH("TropicalRainforest",BX124)),ISNUMBER(SEARCH("TropicalSwamp",BX124))),10,0)))))))-IF(CC124="False",MIN(IFERROR(MAX(MROUND(LOG10(_xlfn.XLOOKUP(B124,'Base stats'!B:B,'Base stats'!C:C)^(2/3))*10,5),5),5),30))-_xlfn.XLOOKUP(B124,'Base stats'!B:B,'Base stats'!P:P)+IF(CC124="True",5,0)</f>
        <v>-5</v>
      </c>
      <c r="M124" s="2">
        <f>IF(OR(_xlfn.XLOOKUP(_xlfn.XLOOKUP(B124,'Base stats'!B:B,'Base stats'!E:E),Groups!A:A,Groups!G:G)=2,ISNUMBER(SEARCH("Desert",BX124)),ISNUMBER(SEARCH("ExtremeDesert",BX124)),ISNUMBER(SEARCH("LavaField",BX124))),50,IF(ISNUMBER(SEARCH("Grasslands",BX124)),45,IF(OR(_xlfn.XLOOKUP(_xlfn.XLOOKUP(B124,'Base stats'!B:B,'Base stats'!E:E),Groups!A:A,Groups!G:G)=1,ISNUMBER(SEARCH("TropicalRainforest",BX124)),ISNUMBER(SEARCH("TropicalSwamp",BX124))),40,IF(OR(ISNUMBER(SEARCH("TemperateForest",BX124)),ISNUMBER(SEARCH("TemperateSwamp",BX124))),35,IF(OR(ISNUMBER(SEARCH("Alpine",BX124)),ISNUMBER(SEARCH("BorealForest",BX124)),ISNUMBER(SEARCH("ColdBog",BX124))),30,IF(ISNUMBER(OR(ISNUMBER(SEARCH("GlacialPlain",BX124)),SEARCH("Tundra",BX124))),25,IF(OR(ISNUMBER(SEARCH("SeaIce",BX124)),ISNUMBER(SEARCH("IceSheet",BX124)),ISNUMBER(SEARCH("TropicalSwamp",BX124))),10,35)))))))+_xlfn.XLOOKUP(B124,'Base stats'!B:B,'Base stats'!Q:Q)</f>
        <v>50</v>
      </c>
      <c r="N124" s="8" t="str">
        <f>IF(
_xlfn.XLOOKUP(
_xlfn.XLOOKUP(B124,'Base stats'!B:B,'Base stats'!E:E),
Groups!A:A,
Groups!L:L
)=1,
MIN(
MROUND(
IF(
_xlfn.XLOOKUP(B124,'Animals CE'!B:B,'Animals CE'!Z:Z)&lt;=1.5,
_xlfn.XLOOKUP(B124,'Animals CE'!B:B,'Animals CE'!Z:Z)/2+0.05,
0.8+
(_xlfn.XLOOKUP(B124,'Animals CE'!B:B,'Animals CE'!Z:Z)-1.5)
*0.02
),
0.05
),
200%
),
"No"
)</f>
        <v>No</v>
      </c>
      <c r="O124" s="8" t="str">
        <f>IF(
_xlfn.XLOOKUP(
_xlfn.XLOOKUP(B124,'Base stats'!B:B,'Base stats'!E:E),
Groups!A:A,
Groups!L:L
)=1,
MIN(
MROUND(
IF(
_xlfn.XLOOKUP(B124,'Animals CE'!B:B,'Animals CE'!AA:AA)&lt;=1.5,
_xlfn.XLOOKUP(B124,'Animals CE'!B:B,'Animals CE'!AA:AA)/2+0.05,
0.8+
(_xlfn.XLOOKUP(B124,'Animals CE'!B:B,'Animals CE'!AA:AA)-1.5)
*0.02
),
0.05
),
200%
),
"No"
)</f>
        <v>No</v>
      </c>
      <c r="P124" s="2" t="str">
        <f>_xlfn.XLOOKUP(B124,'Base stats'!B:B,'Base stats'!R:R)</f>
        <v>Standard</v>
      </c>
      <c r="Q124" s="13">
        <f>MROUND((LOG10(_xlfn.XLOOKUP(B124,'Base stats'!B:B,'Base stats'!AR:AR))*(AO124^0.5)+(_xlfn.XLOOKUP(B124,'Base stats'!B:B,'Base stats'!AR:AR)/1000)^(2/3)+_xlfn.XLOOKUP(B124,'Base stats'!B:B,'Base stats'!BA:BA)/2)+0.5,0.5)</f>
        <v>1.5</v>
      </c>
      <c r="R124" s="7">
        <f>IF(Q124="No","No",MAX(1,MROUND(_xlfn.XLOOKUP(B124,'Base stats'!B:B,'Base stats'!C:C)^0.165,0.05)))</f>
        <v>1.05</v>
      </c>
      <c r="S124" s="13" t="str">
        <f>IF(_xlfn.XLOOKUP(_xlfn.XLOOKUP(B124,'Base stats'!B:B,'Base stats'!E:E),Groups!A:A,Groups!P:P)=0,"No",MROUND((LOG10(_xlfn.XLOOKUP(B124,'Base stats'!B:B,'Base stats'!AS:AS))*(AO124^0.5)+(_xlfn.XLOOKUP(B124,'Base stats'!B:B,'Base stats'!AS:AS)/1000)^(2/3)+_xlfn.XLOOKUP(B124,'Base stats'!B:B,'Base stats'!BA:BA))+_xlfn.XLOOKUP(B124,'Base stats'!B:B,'Base stats'!AY:AY)+0.5,0.5))</f>
        <v>No</v>
      </c>
      <c r="T124" s="7" t="str">
        <f>IF(S124="No","No",MAX(_xlfn.XLOOKUP(_xlfn.XLOOKUP(B124,'Base stats'!B:B,'Base stats'!E:E),Groups!A:A,Groups!Q:Q),MROUND(_xlfn.XLOOKUP(_xlfn.XLOOKUP(B124,'Base stats'!B:B,'Base stats'!E:E),Groups!A:A,Groups!Q:Q)*_xlfn.XLOOKUP(B124,'Base stats'!B:B,'Base stats'!C:C)^0.165,0.05)))</f>
        <v>No</v>
      </c>
      <c r="U124" s="7" t="str">
        <f>IF(S124="No","No",_xlfn.XLOOKUP(_xlfn.XLOOKUP(B124,'Base stats'!B:B,'Base stats'!E:E),Groups!A:A,Groups!R:R))</f>
        <v>No</v>
      </c>
      <c r="V124" s="7" t="str">
        <f>IF(S124="No","No",_xlfn.XLOOKUP(_xlfn.XLOOKUP(B124,'Base stats'!B:B,'Base stats'!E:E),Groups!A:A,Groups!S:S))</f>
        <v>No</v>
      </c>
      <c r="W124" s="7" t="str">
        <f>IF(S124="No","No",_xlfn.XLOOKUP(_xlfn.XLOOKUP(B124,'Base stats'!B:B,'Base stats'!E:E),Groups!A:A,Groups!T:T))</f>
        <v>No</v>
      </c>
      <c r="X124" s="13" t="str">
        <f>IF(_xlfn.XLOOKUP(B124,'Base stats'!B:B,'Base stats'!W:W)="No","No",MROUND((LOG10(_xlfn.XLOOKUP(B124,'Base stats'!B:B,'Base stats'!AU:AU))*(AO124^0.5)+(_xlfn.XLOOKUP(B124,'Base stats'!B:B,'Base stats'!AU:AU)/1000)^(2/3)+_xlfn.XLOOKUP(B124,'Base stats'!B:B,'Base stats'!AZ:AZ))+0.5+IF(_xlfn.XLOOKUP(_xlfn.XLOOKUP(B124,'Base stats'!B:B,'Base stats'!E:E),Groups!A:A,Groups!U:U)&lt;&gt;3,_xlfn.XLOOKUP(B124,'Base stats'!B:B,'Base stats'!BA:BA),0),0.5))</f>
        <v>No</v>
      </c>
      <c r="Y124" s="7" t="str">
        <f>IF(X124="No","No",MAX(_xlfn.XLOOKUP(_xlfn.XLOOKUP(B124,'Base stats'!B:B,'Base stats'!E:E),Groups!A:A,Groups!V:V),MROUND(_xlfn.XLOOKUP(_xlfn.XLOOKUP(B124,'Base stats'!B:B,'Base stats'!E:E),Groups!A:A,Groups!V:V)*_xlfn.XLOOKUP(B124,'Base stats'!B:B,'Base stats'!C:C)^0.165,0.05)))</f>
        <v>No</v>
      </c>
      <c r="Z124" s="7" t="str">
        <f>IF(X124="No","No",_xlfn.XLOOKUP(_xlfn.XLOOKUP(B124,'Base stats'!B:B,'Base stats'!E:E),Groups!A:A,Groups!W:W))</f>
        <v>No</v>
      </c>
      <c r="AA124" s="7" t="str">
        <f>IF(X124="No","No",_xlfn.XLOOKUP(_xlfn.XLOOKUP(B124,'Base stats'!B:B,'Base stats'!E:E),Groups!A:A,Groups!X:X))</f>
        <v>No</v>
      </c>
      <c r="AB124" s="7" t="str">
        <f>IF(X124="No","No",_xlfn.XLOOKUP(_xlfn.XLOOKUP(B124,'Base stats'!B:B,'Base stats'!E:E),Groups!A:A,Groups!Y:Y))</f>
        <v>No</v>
      </c>
      <c r="AC124" s="7" t="str">
        <f>_xlfn.XLOOKUP(Animals!B124,'Base stats'!B:B,'Base stats'!X:X)</f>
        <v>False</v>
      </c>
      <c r="AD124" s="13">
        <f>IF(_xlfn.XLOOKUP(B124,'Base stats'!B:B,'Base stats'!AT:AT)="No","No",MROUND((LOG10(_xlfn.XLOOKUP(B124,'Base stats'!B:B,'Base stats'!AT:AT))*(AO124^0.75)+(_xlfn.XLOOKUP(B124,'Base stats'!B:B,'Base stats'!AT:AT)/1000)^(2/3)+_xlfn.XLOOKUP(B124,'Base stats'!B:B,'Base stats'!AX:AX)+_xlfn.XLOOKUP(B124,'Base stats'!B:B,'Base stats'!BA:BA))+0.5,0.5))</f>
        <v>2</v>
      </c>
      <c r="AE124" s="7">
        <f>IF(AD124="No","No",MAX(_xlfn.XLOOKUP(_xlfn.XLOOKUP(B124,'Base stats'!B:B,'Base stats'!E:E),Groups!A:A,Groups!Z:Z),MROUND(_xlfn.XLOOKUP(_xlfn.XLOOKUP(B124,'Base stats'!B:B,'Base stats'!E:E),Groups!A:A,Groups!Z:Z)*_xlfn.XLOOKUP(B124,'Base stats'!B:B,'Base stats'!C:C)^0.165,0.05)))</f>
        <v>0.9</v>
      </c>
      <c r="AF124" s="7" t="str">
        <f>IF(AD124="No","No",_xlfn.XLOOKUP(_xlfn.XLOOKUP(B124,'Base stats'!B:B,'Base stats'!E:E),Groups!A:A,Groups!AA:AA))</f>
        <v>Teeth</v>
      </c>
      <c r="AG124" s="7" t="str">
        <f>IF(AD124="No","No",_xlfn.XLOOKUP(_xlfn.XLOOKUP(B124,'Base stats'!B:B,'Base stats'!E:E),Groups!A:A,Groups!AB:AB))</f>
        <v>teeth</v>
      </c>
      <c r="AH124" s="7" t="str">
        <f>IF(AD124="No","No",_xlfn.XLOOKUP(_xlfn.XLOOKUP(B124,'Base stats'!B:B,'Base stats'!E:E),Groups!A:A,Groups!AC:AC))</f>
        <v>ToxicBite</v>
      </c>
      <c r="AI124" s="13">
        <f>IF(_xlfn.XLOOKUP(_xlfn.XLOOKUP(B124,'Base stats'!B:B,'Base stats'!E:E),Groups!A:A,Groups!AD:AD)=0,"No",MROUND((LOG10(_xlfn.XLOOKUP(B124,'Base stats'!B:B,'Base stats'!AS:AS))*(AO124^0.75)+(_xlfn.XLOOKUP(B124,'Base stats'!B:B,'Base stats'!AS:AS)/1000)^(2/3)+_xlfn.XLOOKUP(B124,'Base stats'!B:B,'Base stats'!AY:AY)+_xlfn.XLOOKUP(B124,'Base stats'!B:B,'Base stats'!BA:BA))+0.5,0.5))</f>
        <v>2</v>
      </c>
      <c r="AJ124" s="7">
        <f>IF(AI124="No","No",MAX(_xlfn.XLOOKUP(_xlfn.XLOOKUP(B124,'Base stats'!B:B,'Base stats'!E:E),Groups!A:A,Groups!AE:AE),MROUND(_xlfn.XLOOKUP(_xlfn.XLOOKUP(B124,'Base stats'!B:B,'Base stats'!E:E),Groups!A:A,Groups!AE:AE)*IF(_xlfn.XLOOKUP(_xlfn.XLOOKUP(B124,'Base stats'!B:B,'Base stats'!E:E),Groups!A:A,Groups!AJ:AJ)="Photonozoa",0.6,1)*_xlfn.XLOOKUP(B124,'Base stats'!B:B,'Base stats'!C:C)^0.165,0.05)))</f>
        <v>0.75</v>
      </c>
      <c r="AK124" s="7" t="str">
        <f>IF(AI124="No","No",_xlfn.XLOOKUP(_xlfn.XLOOKUP(B124,'Base stats'!B:B,'Base stats'!E:E),Groups!A:A,Groups!AF:AF))</f>
        <v>FrontLeftClaws, FrontRightClaws</v>
      </c>
      <c r="AL124" s="7" t="str">
        <f>IF(AI124="No","No",_xlfn.XLOOKUP(_xlfn.XLOOKUP(B124,'Base stats'!B:B,'Base stats'!E:E),Groups!A:A,Groups!AG:AG))</f>
        <v>left claw, right claw</v>
      </c>
      <c r="AM124" s="7" t="str">
        <f>IF(AI124="No","No",_xlfn.XLOOKUP(_xlfn.XLOOKUP(B124,'Base stats'!B:B,'Base stats'!E:E),Groups!A:A,Groups!AH:AH))</f>
        <v>Scratch</v>
      </c>
      <c r="AN124" s="2">
        <f t="shared" si="7"/>
        <v>15</v>
      </c>
      <c r="AO124" s="2">
        <f>MROUND(IF(AND(_xlfn.XLOOKUP(B124,'Base stats'!B:B,'Base stats'!C:C)&gt;=0.5,_xlfn.XLOOKUP(B124,'Base stats'!B:B,'Base stats'!C:C)&lt;=0.8),
IF(_xlfn.XLOOKUP(B124,'Base stats'!B:B,'Base stats'!C:C)&lt;0.1,0.05,IF(_xlfn.XLOOKUP(B124,'Base stats'!B:B,'Base stats'!C:C)&lt;=70,(_xlfn.XLOOKUP(B124,'Base stats'!B:B,'Base stats'!C:C)/70)^0.426489913056526,IF(_xlfn.XLOOKUP(B124,'Base stats'!B:B,'Base stats'!C:C)&lt;=400,(_xlfn.XLOOKUP(B124,'Base stats'!B:B,'Base stats'!C:C)/70)^0.572811455315093,IF(_xlfn.XLOOKUP(B124,'Base stats'!B:B,'Base stats'!C:C)&lt;=2000,2.71391647193063*(_xlfn.XLOOKUP(B124,'Base stats'!B:B,'Base stats'!C:C)/400)^0.252459582904293,3.74314280240376*(_xlfn.XLOOKUP(B124,'Base stats'!B:B,'Base stats'!C:C)/2000)^0.357012633876913)))),
IF(_xlfn.XLOOKUP(B124,'Base stats'!B:B,'Base stats'!C:C)&lt;0.1,0.05,IF(_xlfn.XLOOKUP(B124,'Base stats'!B:B,'Base stats'!C:C)&lt;0.4,0.1,IF(_xlfn.XLOOKUP(B124,'Base stats'!B:B,'Base stats'!C:C)&lt;=70,(_xlfn.XLOOKUP(B124,'Base stats'!B:B,'Base stats'!C:C)/70)^0.445823913056526,IF(_xlfn.XLOOKUP(B124,'Base stats'!B:B,'Base stats'!C:C)&lt;=400,(_xlfn.XLOOKUP(B124,'Base stats'!B:B,'Base stats'!C:C)/70)^0.572811455315093,IF(_xlfn.XLOOKUP(B124,'Base stats'!B:B,'Base stats'!C:C)&lt;=2000,2.71391647193063*(_xlfn.XLOOKUP(B124,'Base stats'!B:B,'Base stats'!C:C)/400)^0.252459582904293,3.74314280240376*(_xlfn.XLOOKUP(B124,'Base stats'!B:B,'Base stats'!C:C)/2000)^0.357012633876913)))))),
IF(_xlfn.XLOOKUP(B124,'Base stats'!B:B,'Base stats'!C:C)&lt;0.1,0.05,IF(_xlfn.XLOOKUP(B124,'Base stats'!B:B,'Base stats'!C:C)&lt;=100,0.05,IF(_xlfn.XLOOKUP(B124,'Base stats'!B:B,'Base stats'!C:C)&lt;=250,0.1,IF(_xlfn.XLOOKUP(B124,'Base stats'!B:B,'Base stats'!C:C)&lt;=4000,0.25,0.5)))))</f>
        <v>0.15000000000000002</v>
      </c>
      <c r="AP124" s="8">
        <f>MROUND(AO124*_xlfn.XLOOKUP(_xlfn.XLOOKUP(B124,'Base stats'!B:B,'Base stats'!E:E),Groups!A:A,Groups!AI:AI)*_xlfn.XLOOKUP(B124,'Base stats'!B:B,'Base stats'!Z:Z),0.05)</f>
        <v>0.2</v>
      </c>
      <c r="AQ124" s="8">
        <f>MAX(0.01,MROUND(IF(CC124="True",0.196*(AO124*100*1000)^0.889,IF(_xlfn.XLOOKUP(_xlfn.XLOOKUP(B124,'Base stats'!B:B,'Base stats'!E:E),Groups!A:A,Groups!AJ:AJ)="Bird",10.5*(AO124*100*1000)^0.681,4.82*(AO124*100*1000)^0.734))/(4.82*(1*100*1000)^0.734)/IF(AO124&lt;3.5,2,IF(AO124=3.5,1.5,1.25))*(1+0.132282374779864/(AO124^0.994035016789033+0.00905238001496948)),0.05))</f>
        <v>0.05</v>
      </c>
      <c r="AR124" s="9">
        <f>IFERROR(MROUND(_xlfn.XLOOKUP(B124,'Base stats'!B:B,'Base stats'!H:H)/IF(_xlfn.XLOOKUP(B124,'Base stats'!B:B,'Base stats'!I:I)&lt;&gt;1,(122.5/70),1.2),IF(_xlfn.XLOOKUP(B124,'Base stats'!B:B,'Base stats'!H:H)&gt;=30,5,IF(_xlfn.XLOOKUP(B124,'Base stats'!B:B,'Base stats'!H:H)&gt;=15,3,IF(_xlfn.XLOOKUP(B124,'Base stats'!B:B,'Base stats'!H:H)&gt;=10,2,1)))),"Immortal")</f>
        <v>20</v>
      </c>
      <c r="AS124" s="35" t="str">
        <f>IFERROR(IF(OR(_xlfn.XLOOKUP(B124,'Base stats'!B:B,'Base stats'!F:F)="Atypical reproduction",_xlfn.XLOOKUP(B124,'Base stats'!B:B,'Base stats'!F:F)="Lay eggs"),"Lay eggs",MIN(20,MAX(5.5,ROUND(((_xlfn.XLOOKUP(B124,'Base stats'!B:B,'Base stats'!F:F)-25)*(14.5/615) + 5.5)*2,0)/2))),"Unknown")</f>
        <v>Lay eggs</v>
      </c>
      <c r="AT124" s="8">
        <f>IF(_xlfn.XLOOKUP(B124,'Base stats'!B:B,'Base stats'!G:G)="Atypical reproduction","No",IFERROR(MAX(IF(_xlfn.XLOOKUP(B124,'Base stats'!B:B,'Base stats'!G:G)&lt;0.5,0.2,0.3),MROUND(_xlfn.XLOOKUP(B124,'Base stats'!B:B,'Base stats'!G:G)/(365/60),0.2)),"Unknown"))</f>
        <v>0.4</v>
      </c>
      <c r="AU124" s="8">
        <f t="shared" si="8"/>
        <v>0.2</v>
      </c>
      <c r="AV124" s="8" t="str">
        <f>IFERROR(IFERROR(MROUND(_xlfn.XLOOKUP(B124,'Base stats'!B:B,'Base stats'!J:J),0.1),"Lay eggs"),"Cannot breed")</f>
        <v>Lay eggs</v>
      </c>
      <c r="AW124" s="2" t="str">
        <f t="shared" si="9"/>
        <v>false</v>
      </c>
      <c r="AX124" s="2" t="str">
        <f>IF(_xlfn.XLOOKUP(_xlfn.XLOOKUP(Animals!B124,'Base stats'!B:B,'Base stats'!E:E),Groups!A:A,Groups!AK:AK)=1,"true","false")</f>
        <v>false</v>
      </c>
      <c r="AY124" s="25" t="str">
        <f>IF(_xlfn.XLOOKUP(B124,'Base stats'!B:B,'Base stats'!Y:Y)="Liquor","Liquor, CarnivoreAnimalStrict",IF(AND(_xlfn.XLOOKUP(B124,'Base stats'!B:B,'Base stats'!Y:Y)="Carnivore",_xlfn.XLOOKUP(_xlfn.XLOOKUP(B124,'Base stats'!B:B,'Base stats'!E:E),Groups!A:A,Groups!AJ:AJ)="Photonozoa"),"CarnivoreAnimalStrict, OvivoreAnimal",IF(_xlfn.XLOOKUP(B124,'Base stats'!B:B,'Base stats'!Y:Y)="Carnivore","CarnivoreAnimal, OvivoreAnimal",IF(_xlfn.XLOOKUP(B124,'Base stats'!B:B,'Base stats'!Y:Y)="Dendrovore","VegetarianRoughAnimal, DendrovoreAnimal",IF(_xlfn.XLOOKUP(B124,'Base stats'!B:B,'Base stats'!Y:Y)="Herbivore","VegetarianRoughAnimal",IF(_xlfn.XLOOKUP(B124,'Base stats'!B:B,'Base stats'!Y:Y)="OmnivoreRough","OmnivoreRoughAnimal, OvivoreAnimal","OmnivoreAnimal, OvivoreAnimal"))))))</f>
        <v>CarnivoreAnimal, OvivoreAnimal</v>
      </c>
      <c r="AZ124" s="2" t="str">
        <f>IF(_xlfn.XLOOKUP(_xlfn.XLOOKUP(B124,'Base stats'!B:B,'Base stats'!E:E),Groups!A:A,Groups!D:D)=1,MROUND((1-J124)*5+1,2)*IF(J124&lt;=0.4,2,1),"No")</f>
        <v>No</v>
      </c>
      <c r="BA124" s="2" t="str">
        <f>IF(AND(_xlfn.XLOOKUP(B124,'Base stats'!B:B,'Base stats'!AH:AH)="&lt;li&gt;Seal&lt;/li&gt;",G124="Odyssey"),"&lt;li&gt;AEXP_Seal&lt;/li&gt;",_xlfn.XLOOKUP(B124,'Base stats'!B:B,'Base stats'!AH:AH))</f>
        <v>&lt;li&gt;Iguana&lt;/li&gt;</v>
      </c>
      <c r="BB124" s="2" t="str">
        <f>_xlfn.XLOOKUP(B124,'Base stats'!B:B,'Base stats'!AG:AG)</f>
        <v>Leather_Lizard</v>
      </c>
      <c r="BC124" s="23" t="str">
        <f>_xlfn.XLOOKUP(_xlfn.XLOOKUP(B124,'Base stats'!B:B,'Base stats'!E:E),Groups!A:A,Groups!AL:AL)</f>
        <v>QuadrupedAnimalWithClawsTailAndJowl</v>
      </c>
      <c r="BD124" s="23">
        <f>MIN(1,MROUND(IF(AND(AO124&lt;0.5,_xlfn.XLOOKUP(B124,'Base stats'!B:B,'Base stats'!AA:AA)=0),0,IF(OR(_xlfn.XLOOKUP(Animals!B124,'Base stats'!B:B,'Base stats'!O:O)=2,_xlfn.XLOOKUP(_xlfn.XLOOKUP(B124,'Base stats'!B:B,'Base stats'!E:E),Groups!A:A,Groups!AN:AN)=0),0,_xlfn.XLOOKUP(_xlfn.XLOOKUP(B124,'Base stats'!B:B,'Base stats'!E:E),Groups!A:A,Groups!AN:AN)/IF(_xlfn.XLOOKUP(Animals!B124,'Base stats'!B:B,'Base stats'!O:O)=1,2,1)))+_xlfn.XLOOKUP(B124,'Base stats'!B:B,'Base stats'!AC:AC),0.005))</f>
        <v>0</v>
      </c>
      <c r="BE124" s="23">
        <f>MIN(1,MROUND(IF(AND(AO124&lt;0.5,_xlfn.XLOOKUP(B124,'Base stats'!B:B,'Base stats'!AA:AA)=0),0,IF(_xlfn.XLOOKUP(_xlfn.XLOOKUP(B124,'Base stats'!B:B,'Base stats'!E:E),Groups!A:A,Groups!AO:AO)=0,0,_xlfn.XLOOKUP(_xlfn.XLOOKUP(B124,'Base stats'!B:B,'Base stats'!E:E),Groups!A:A,Groups!AO:AO)/IF(_xlfn.XLOOKUP(Animals!B124,'Base stats'!B:B,'Base stats'!O:O)=2,3,1)))+_xlfn.XLOOKUP(B124,'Base stats'!B:B,'Base stats'!AD:AD),0.005))</f>
        <v>0</v>
      </c>
      <c r="BF124" s="2" t="str">
        <f>IF(J124&gt;0.3,"No",_xlfn.XLOOKUP(_xlfn.XLOOKUP(Animals!B124,'Base stats'!B:B,'Base stats'!E:E),Groups!A:A,Groups!AP:AP))</f>
        <v>No</v>
      </c>
      <c r="BG124" s="2" t="str">
        <f>IF(AND(J124&lt;=0.65,_xlfn.XLOOKUP(_xlfn.XLOOKUP(Animals!B124,'Base stats'!B:B,'Base stats'!E:E),Groups!A:A,Groups!AP:AP)&lt;&gt;"No",_xlfn.XLOOKUP(_xlfn.XLOOKUP(B124,'Base stats'!B:B,'Base stats'!E:E),Groups!A:A,Groups!D:D)=0),MROUND((80/3)*IF(_xlfn.XLOOKUP(B124,'Base stats'!B:B,'Base stats'!O:O)=2,0.2,AO124) + 24*(1-IF(BF124="No",0,BF124)) + 16/3, 12),"No")</f>
        <v>No</v>
      </c>
      <c r="BH124" s="2">
        <f>IF(AND(_xlfn.XLOOKUP(_xlfn.XLOOKUP(B124,'Base stats'!B:B,'Base stats'!E:E),Groups!A:A,Groups!AQ:AQ)=1,AO124&lt;=0.35),8,12)</f>
        <v>12</v>
      </c>
      <c r="BI124" s="2" t="str">
        <f>IF(_xlfn.XLOOKUP(_xlfn.XLOOKUP(B124,'Base stats'!B:B,'Base stats'!E:E),Groups!A:A,Groups!D:D)=0,_xlfn.XLOOKUP(_xlfn.XLOOKUP(B124,'Base stats'!B:B,'Base stats'!E:E),Groups!A:A,Groups!AR:AR),"None")</f>
        <v>Intermediate</v>
      </c>
      <c r="BJ124" s="2" t="str">
        <f>IF(AND(_xlfn.XLOOKUP(_xlfn.XLOOKUP(B124,'Base stats'!B:B,'Base stats'!E:E),Groups!A:A,Groups!AS:AS)=1,OR(_xlfn.XLOOKUP(B124,'Base stats'!B:B,'Base stats'!Y:Y)="Carnivore",_xlfn.XLOOKUP(B124,'Base stats'!B:B,'Base stats'!Y:Y)="Omnivore")),"true","false")</f>
        <v>true</v>
      </c>
      <c r="BK124" s="2">
        <f>IF(BJ124="true",MROUND(IF(AND(AO124&gt;0.5,OR(_xlfn.XLOOKUP(_xlfn.XLOOKUP(B124,'Base stats'!B:B,'Base stats'!E:E),Groups!A:A,Groups!AJ:AJ)="Photonozoa",_xlfn.XLOOKUP(_xlfn.XLOOKUP(B124,'Base stats'!B:B,'Base stats'!E:E),Groups!A:A,Groups!AJ:AJ)="Mammal")),Animals!AO124*1.75*IF(AW124="true",1.5,1),IF(AO124&lt;0.5,Animals!AO124*0.5,Animals!AO124)),IF(AO124&gt;2,0.5,IF(AO124&gt;0.5,0.25,0.1))),"No")</f>
        <v>0.1</v>
      </c>
      <c r="BL124" s="2">
        <f t="shared" si="10"/>
        <v>1</v>
      </c>
      <c r="BM124" s="25" t="str">
        <f>IF(_xlfn.XLOOKUP(B124,'Base stats'!B:B,'Base stats'!AN:AN)="Standard","No",MROUND((_xlfn.XLOOKUP(B124,'Base stats'!B:B,'Base stats'!AN:AN)/3.6)/I124,0.1))</f>
        <v>No</v>
      </c>
      <c r="BN124" s="25" t="str">
        <f t="shared" si="11"/>
        <v>false</v>
      </c>
      <c r="BO124" s="25" t="str">
        <f>IF(AND(OR(_xlfn.XLOOKUP(B124,'Base stats'!B:B,'Base stats'!Y:Y)="Carnivore",_xlfn.XLOOKUP(B124,'Base stats'!B:B,'Base stats'!Y:Y)="Omnivore",_xlfn.XLOOKUP(B124,'Base stats'!B:B,'Base stats'!Y:Y)="OmnivoreRough"),_xlfn.XLOOKUP(_xlfn.XLOOKUP(B124,'Base stats'!B:B,'Base stats'!E:E),Groups!A:A,Groups!AT:AT)=1),"true","false")</f>
        <v>false</v>
      </c>
      <c r="BP124" s="25" t="str" cm="1">
        <f t="array" ref="BP124">IF(
  _xlfn.TEXTJOIN(", ",TRUE,
    IF(AND(BJ124="true",AO124&gt;0.5,BI124&lt;&gt;"None"),"AttackTarget",""),
    IF(AND(_xlfn.XLOOKUP(_xlfn.XLOOKUP(B124,'Base stats'!B:B,'Base stats'!E:E),Groups!A:A,Groups!AJ:AJ="Mammal"),OR(_xlfn.XLOOKUP(B124,'Base stats'!B:B,'Base stats'!Y:Y)="Omnivore",_xlfn.XLOOKUP(B124,'Base stats'!B:B,'Base stats'!Y:Y)="OmnivoreRough")),"Forage",""),
    IF(BG124&lt;=36,"Comfort",""),
    IF(_xlfn.XLOOKUP(B124,'Base stats'!B:B,'Base stats'!AE:AE)&lt;&gt;"No",_xlfn.XLOOKUP(B124,'Base stats'!B:B,'Base stats'!AE:AE),"")
  ) = "",
  "No",
  _xlfn.TEXTJOIN(", ",TRUE,
    IF(AND(BJ124="true",AO124&gt;0.5,BI124&lt;&gt;"None"),"AttackTarget",""),
    IF(AND(_xlfn.XLOOKUP(_xlfn.XLOOKUP(B124,'Base stats'!B:B,'Base stats'!E:E),Groups!A:A,Groups!AJ:AJ="Mammal"),OR(_xlfn.XLOOKUP(B124,'Base stats'!B:B,'Base stats'!Y:Y)="Omnivore",_xlfn.XLOOKUP(B124,'Base stats'!B:B,'Base stats'!Y:Y)="OmnivoreRough")),"Forage",""),
    IF(BG124&lt;=36,"Comfort",""),
    IF(_xlfn.XLOOKUP(B124,'Base stats'!B:B,'Base stats'!AE:AE)&lt;&gt;"No",_xlfn.XLOOKUP(B124,'Base stats'!B:B,'Base stats'!AE:AE),"")
  )
)</f>
        <v>No</v>
      </c>
      <c r="BQ124" s="25" t="str">
        <f>IF(
   AND(
      'Base stats'!AN124="Standard",_xlfn.XLOOKUP(_xlfn.XLOOKUP(B124,'Base stats'!B:B,'Base stats'!E:E),Groups!A:A,Groups!AU:AU)=0,
      OR(
      BO124="True"
      )
   ),
   10,
   IF(
       OR(BM124&lt;&gt;"No",_xlfn.XLOOKUP(_xlfn.XLOOKUP(B124,'Base stats'!B:B,'Base stats'!E:E),Groups!A:A,Groups!AU:AU)=1),
      1,
      "No"
   )
)</f>
        <v>No</v>
      </c>
      <c r="BR124" s="9">
        <f>MROUND((1 + ((0.2*IF(OR(Q124="No",R124="No",R124=0),0,Q124/R124)
+IF(OR(V124="No",S124="No",T124="No"),0,S124/T124*(LEN(V124)-LEN(SUBSTITUTE(V124,",",""))+1))
+IF(OR(X124="No",Y124="No"),0,X124/Y124)
+IF(OR(AD124="No",AE124="No"),0,AD124/AE124)
+IF(OR(AL124="No",AI124="No",AJ124="No"),0,AI124/AJ124*(LEN(AL124)-LEN(SUBSTITUTE(AL124,",",""))+1))
)/(0.2*IF(OR(Q124="No",R124="No",R124=0),0,1)
+IF(OR(V124="No",S124="No",T124="No"),0,LEN(V124)-LEN(SUBSTITUTE(V124,",",""))+1)
+IF(OR(X124="No",Y124="No"),0,1)
+IF(OR(AD124="No",AE124="No"),0,1)
+IF(OR(AL124="No",AI124="No",AJ124="No"),0,LEN(AL124)-LEN(SUBSTITUTE(AL124,",",""))+1))*62%)* 2)*(1 + (AP124 / (IF(_xlfn.XLOOKUP(_xlfn.XLOOKUP(B124,'Base stats'!B:B,'Base stats'!E:E),Groups!A:A,Groups!AJ:AJ)="Photonozoa",0.3,1)) + _xlfn.XLOOKUP(B124,'Base stats'!B:B,'Base stats'!AV:AV) * 1.8) * 2) * 2.5 + 10 + I124 * 2,5)+IF(_xlfn.XLOOKUP(B124,'Base stats'!B:B,'Base stats'!AK:AK)=1,50,0)</f>
        <v>25</v>
      </c>
      <c r="BS124" s="8">
        <f t="shared" si="12"/>
        <v>0.05</v>
      </c>
      <c r="BT124" s="8" t="str">
        <f>_xlfn.XLOOKUP(B124,'Base stats'!B:B,'Base stats'!AF:AF)</f>
        <v>No</v>
      </c>
      <c r="BU124" s="2" t="str">
        <f>IF(AND(J124&lt;=0.95,OR(_xlfn.XLOOKUP(B124,'Base stats'!B:B,'Base stats'!AK:AK)=1,_xlfn.XLOOKUP(B124,'Base stats'!B:B,'Base stats'!Y:Y)="Carnivore",_xlfn.XLOOKUP(B124,'Base stats'!B:B,'Base stats'!Y:Y)="Omnivore",BE124&gt;0.1)),"true","false")</f>
        <v>true</v>
      </c>
      <c r="BV124" s="2" t="str">
        <f>IF(_xlfn.XLOOKUP(B124,'Base stats'!B:B,'Base stats'!AI:AI)=1,"true","false")</f>
        <v>false</v>
      </c>
      <c r="BW124" s="25" t="str">
        <f>IF(E124="BaseInsect","AnimalInsect",
IF(J124&gt;0.95,"AnimalExotic",
_xlfn.TEXTJOIN(", ",TRUE,
IF(OR(_xlfn.XLOOKUP(B124,'Base stats'!B:B,'Base stats'!AM:AM)=1,AND(_xlfn.XLOOKUP(B124,'Base stats'!B:B,'Base stats'!O:O)=0,_xlfn.XLOOKUP(_xlfn.XLOOKUP(B124,'Base stats'!B:B,'Base stats'!E:E),Groups!A:A,Groups!B:B)&gt;0)),"AnimalUncommon","AnimalCommon"),
IF(AND(_xlfn.XLOOKUP(B124,'Base stats'!B:B,'Base stats'!O:O)=2,_xlfn.XLOOKUP(_xlfn.XLOOKUP(B124,'Base stats'!B:B,'Base stats'!E:E),Groups!A:A,Groups!D:D)=0),"AnimalPet",IF(AND(_xlfn.XLOOKUP(B124,'Base stats'!B:B,'Base stats'!O:O)&lt;&gt;0,_xlfn.XLOOKUP(_xlfn.XLOOKUP(B124,'Base stats'!B:B,'Base stats'!E:E),Groups!A:A,Groups!D:D)&lt;&gt;0),"AnimalFarm","")),
IF(OR(_xlfn.XLOOKUP(B124,'Base stats'!B:B,'Base stats'!AK:AK)=1,AND(BI124&lt;&gt;"None",BR124&gt;=60),ISNUMBER(SEARCH("Attack target",BP124))),"AnimalFighter","")
)))</f>
        <v>AnimalUncommon</v>
      </c>
      <c r="BX124" s="25" t="str">
        <f>IF(G124="None",TRIM(
SUBSTITUTE(
IF(COUNTIF(Biomes!B$2:B$259,"="&amp;$C124)&gt;0,Biomes!B$1&amp;", ","")&amp;
IF(COUNTIF(Biomes!C$2:C$259,"="&amp;$C124)&gt;0,Biomes!C$1&amp;", ","")&amp;
IF(COUNTIF(Biomes!D$2:D$259,"="&amp;$C124)&gt;0,Biomes!D$1&amp;", ","")&amp;
IF(COUNTIF(Biomes!F$2:F$259,"="&amp;$C124)&gt;0,Biomes!F$1&amp;", ","")&amp;
IF(COUNTIF(Biomes!G$2:G$259,"="&amp;$C124)&gt;0,Biomes!G$1&amp;", ","")&amp;
IF(COUNTIF(Biomes!H$2:H$259,"="&amp;$C124)&gt;0,Biomes!H$1&amp;", ","")&amp;
IF(COUNTIF(Biomes!I$2:I$259,"="&amp;$C124)&gt;0,Biomes!I$1&amp;", ","")&amp;
IF(COUNTIF(Biomes!J$2:J$259,"="&amp;$C124)&gt;0,Biomes!J$1&amp;", ","")&amp;
IF(COUNTIF(Biomes!M$2:M$259,"="&amp;$C124)&gt;0,Biomes!M$1&amp;", ","")&amp;
IF(COUNTIF(Biomes!N$2:N$259,"="&amp;$C124)&gt;0,Biomes!N$1&amp;", ","")&amp;
IF(COUNTIF(Biomes!O$2:O$259,"="&amp;$C124)&gt;0,Biomes!O$1&amp;", ","")&amp;
IF(COUNTIF(Biomes!P$2:P$259,"="&amp;$C124)&gt;0,Biomes!P$1&amp;", ","")&amp;
IF(COUNTIF(Biomes!K$2:K$259,"="&amp;$C124)&gt;0,Biomes!K$1&amp;", ","")&amp;
IF(COUNTIF(Biomes!Q$3:Q$259,"="&amp;$C124)&gt;0,Biomes!Q$1&amp;", ","")&amp;
IF(COUNTIF(Biomes!L$2:L$259,"="&amp;$C124)&gt;0,Biomes!L$1&amp;", ","")&amp;
IF(COUNTIF(Biomes!E$2:E$259,"="&amp;$C124)&gt;0,Biomes!E$1&amp;", ","")&amp;IF(COUNTIF(Biomes!S$2:S$259,"="&amp;$C124)&gt;0,Biomes!S$1&amp;", ","")&amp;
IF(COUNTIF(Biomes!R$2:R$259,"="&amp;$C124)&gt;0,Biomes!R$1&amp;", ",""),", ","")
),_xlfn.XLOOKUP(B124,B:B,BX:BX))</f>
        <v>AridShrubland Desert ExtremeDesert LavaField</v>
      </c>
      <c r="BY124" s="25" t="str">
        <f>IF(_xlfn.XLOOKUP(B124,'Base stats'!B:B,'Base stats'!AJ:AJ)=1,"true","false")</f>
        <v>false</v>
      </c>
      <c r="BZ124" s="25">
        <f>IF(_xlfn.XLOOKUP(B124,'Base stats'!B:B,'Base stats'!N:N)=1,"No",MAX(0.001,MIN(MROUND(IF(AND(BJ124="True",CC124="False"),POWER(10,3.47*LOG10(_xlfn.XLOOKUP(B124,'Base stats'!B:B,'Base stats'!C:C)*1000)^-0.96),POWER(10,4.15*LOG10(_xlfn.XLOOKUP(B124,'Base stats'!B:B,'Base stats'!C:C)*1000)^-0.73))*IF(_xlfn.XLOOKUP(B124,'Base stats'!B:B,'Base stats'!AK:AK)=1,0.5,1)*IF(_xlfn.XLOOKUP(B124,'Base stats'!B:B,'Base stats'!AM:AM)=1,0.1,1)/100,IF(_xlfn.XLOOKUP(B124,'Base stats'!B:B,'Base stats'!AM:AM)=1,0.001,0.025)),0.5)))</f>
        <v>0.5</v>
      </c>
      <c r="CA124" s="25" t="str">
        <f>IF(P124="Standard","No",MAX(0.001,MIN(MROUND(IF(AND(BJ124="True",CC124="False"),POWER(10,3.47*LOG10(_xlfn.XLOOKUP(B124,'Base stats'!B:B,'Base stats'!C:C)*1000)^-0.96),POWER(10,4.15*LOG10(_xlfn.XLOOKUP(B124,'Base stats'!B:B,'Base stats'!C:C)*1000)^-0.73))*IF(_xlfn.XLOOKUP(B124,'Base stats'!B:B,'Base stats'!AM:AM)=1,0.1,1)*_xlfn.XLOOKUP(B124,'Base stats'!B:B,'Base stats'!R:R)/100,IF(_xlfn.XLOOKUP(B124,'Base stats'!B:B,'Base stats'!AM:AM)=1,0.001,0.025)),0.5)))</f>
        <v>No</v>
      </c>
      <c r="CB124" s="25" t="str">
        <f>IF(_xlfn.XLOOKUP(_xlfn.XLOOKUP(B124,'Base stats'!B:B,'Base stats'!E:E),Groups!A:A,Groups!AJ:AJ)="Mammal","True","False")</f>
        <v>False</v>
      </c>
      <c r="CC124" s="25" t="str">
        <f>IF(OR(_xlfn.XLOOKUP(_xlfn.XLOOKUP(B124,'Base stats'!B:B,'Base stats'!E:E),Groups!A:A,Groups!AJ:AJ)="Reptile",_xlfn.XLOOKUP(_xlfn.XLOOKUP(B124,'Base stats'!B:B,'Base stats'!E:E),Groups!A:A,Groups!AJ:AJ)="Amphibian",_xlfn.XLOOKUP(_xlfn.XLOOKUP(B124,'Base stats'!B:B,'Base stats'!E:E),Groups!A:A,Groups!AJ:AJ)="Invertebrate"),"True","False")</f>
        <v>True</v>
      </c>
      <c r="CD124" s="25" t="str">
        <f t="shared" si="13"/>
        <v>False</v>
      </c>
      <c r="CE124" s="25" t="str">
        <f>IF(_xlfn.XLOOKUP(_xlfn.XLOOKUP(B124,'Base stats'!B:B,'Base stats'!E:E),Groups!A:A,Groups!AX:AX),"True","False")</f>
        <v>False</v>
      </c>
      <c r="CF124" s="25" t="str">
        <f>IF(_xlfn.XLOOKUP(_xlfn.XLOOKUP(B124,'Base stats'!B:B,'Base stats'!E:E),Groups!A:A,Groups!AY:AY),"True","False")</f>
        <v>False</v>
      </c>
      <c r="CG124" s="25" t="str">
        <f>IF(_xlfn.XLOOKUP(_xlfn.XLOOKUP(B124,'Base stats'!B:B,'Base stats'!E:E),Groups!A:A,Groups!AW:AW),"True","False")</f>
        <v>False</v>
      </c>
      <c r="CH124" s="25" t="str">
        <f>IF(
OR(
_xlfn.XLOOKUP(_xlfn.XLOOKUP(B124,'Base stats'!B:B,'Base stats'!E:E),Groups!A:A,Groups!AZ:AZ)=0,
AND(
_xlfn.XLOOKUP(B124,'Base stats'!B:B,'Base stats'!Y:Y)&lt;&gt;"Carnivore",
_xlfn.XLOOKUP(B124,'Base stats'!B:B,'Base stats'!Y:Y)&lt;&gt;"Omnivore",
_xlfn.XLOOKUP(B124,'Base stats'!B:B,'Base stats'!Y:Y)&lt;&gt;"OmnivoreRough"
)
),
"No",
IF(
_xlfn.XLOOKUP(_xlfn.XLOOKUP(B124,'Base stats'!B:B,'Base stats'!E:E),Groups!A:A,Groups!AZ:AZ)=1,
"Flesh",
IF(
_xlfn.XLOOKUP(_xlfn.XLOOKUP(B124,'Base stats'!B:B,'Base stats'!E:E),Groups!A:A,Groups!AZ:AZ)=2,
"Bone",
""
)
)
)</f>
        <v>No</v>
      </c>
      <c r="CI124" s="25" t="str">
        <f>IF(_xlfn.XLOOKUP(_xlfn.XLOOKUP(B124,'Base stats'!B:B,'Base stats'!E:E),Groups!A:A,Groups!BB:BB),"True","False")</f>
        <v>False</v>
      </c>
      <c r="CJ124" s="25" t="str">
        <f>IF(_xlfn.XLOOKUP(_xlfn.XLOOKUP(B124,'Base stats'!B:B,'Base stats'!E:E),Groups!A:A,Groups!BA:BA),"True","False")</f>
        <v>False</v>
      </c>
    </row>
    <row r="125" spans="1:88" ht="16.5" thickTop="1" thickBot="1" x14ac:dyDescent="0.3">
      <c r="A125" s="26" t="str">
        <f>_xlfn.XLOOKUP(B125,'Base stats'!B:B,'Base stats'!A:A)</f>
        <v>Camel</v>
      </c>
      <c r="B125" s="6" t="s">
        <v>87</v>
      </c>
      <c r="C125" s="28" t="s">
        <v>806</v>
      </c>
      <c r="D125" s="28" t="s">
        <v>872</v>
      </c>
      <c r="E125" s="28" t="s">
        <v>673</v>
      </c>
      <c r="F125" s="28" t="s">
        <v>673</v>
      </c>
      <c r="G125" s="28" t="s">
        <v>673</v>
      </c>
      <c r="H125" s="2">
        <f>MROUND((
  (IF(AND(_xlfn.XLOOKUP(B125,'Base stats'!B:B,'Base stats'!AL:AL)=0,BI125="None",_xlfn.XLOOKUP(_xlfn.XLOOKUP(B125,'Base stats'!B:B,'Base stats'!E:E),Groups!A:A,Groups!B:B)=0), (18 + BR125 * 2.7) * 0.5,
    IF(AND(_xlfn.XLOOKUP(B125,'Base stats'!B:B,'Base stats'!AL:AL)=0,OR(AO125&lt;0.55,AND(BI125="Intermediate",_xlfn.XLOOKUP(_xlfn.XLOOKUP(B125,'Base stats'!B:B,'Base stats'!E:E),Groups!A:A,Groups!B:B)&lt;2))), (18 + BR125 * 2.7),
      IF(OR(BI125="Advanced",_xlfn.XLOOKUP(B125,'Base stats'!B:B,'Base stats'!AL:AL)=1,_xlfn.XLOOKUP(_xlfn.XLOOKUP(B125,'Base stats'!B:B,'Base stats'!E:E),Groups!A:A,Groups!B:B)=2), (18 + BR125 * 2.7) + 250, (18 + BR125 * 2.7))
    )
  ))
  + AO125 * 80
  + IF(COUNTIF(EggMilk!K$2:K$998, A125) &gt; 0, 125, 0)
  + IF(COUNTIF(EggMilk!P$2:P$998, A125) &gt; 0, 90, 0)
  + IF(COUNTIF(EggMilk!A$2:A$998, A125) &gt; 0, 90, 0)
)
* (0.8 + 0.4 * J125)
* 0.75,25)</f>
        <v>500</v>
      </c>
      <c r="I125" s="2">
        <f>MROUND(ROUNDDOWN(_xlfn.XLOOKUP(B125,'Base stats'!B:B,'Base stats'!L:L)/3.6/(23.3/11),1),0.5)</f>
        <v>5</v>
      </c>
      <c r="J125" s="2">
        <f>IF(OR(_xlfn.XLOOKUP(B125,'Base stats'!B:B,'Base stats'!AB:AB)=1,_xlfn.XLOOKUP(_xlfn.XLOOKUP(B125,'Base stats'!B:B,'Base stats'!E:E),Groups!A:A,Groups!C:C)="Untamable"),1,IF(_xlfn.XLOOKUP(B125,'Base stats'!B:B,'Base stats'!AL:AL)=1,0.99,MIN(MROUND((1-0.6282*EXP(-0.459*AO125))*_xlfn.XLOOKUP(_xlfn.XLOOKUP(B125,'Base stats'!B:B,'Base stats'!E:E),Groups!A:A,Groups!C:C)*IF(_xlfn.XLOOKUP(B125,'Base stats'!B:B,'Base stats'!O:O)=1,0.5,IF(_xlfn.XLOOKUP(B125,'Base stats'!B:B,'Base stats'!O:O)=2,0,1)),0.05),IF(AO125&gt;3.5,0.985,0.95))))</f>
        <v>0.30000000000000004</v>
      </c>
      <c r="K125" s="2">
        <f>ROUNDUP(AO125*_xlfn.XLOOKUP(_xlfn.XLOOKUP(B125,'Base stats'!B:B,'Base stats'!E:E),Groups!A:A,Groups!E:E),0)</f>
        <v>15</v>
      </c>
      <c r="L125" s="2">
        <f>IF(OR(_xlfn.XLOOKUP(_xlfn.XLOOKUP(B125,'Base stats'!B:B,'Base stats'!E:E),Groups!A:A,Groups!F:F)=2,ISNUMBER(SEARCH("SeaIce",BX125)),ISNUMBER(SEARCH("IceSheet",BX125))),-50,IF(OR(ISNUMBER(SEARCH("GlacialPlain",BX125)),ISNUMBER(SEARCH("Tundra",BX125))),-40,IF(OR(ISNUMBER(SEARCH("Alpine",BX125)),ISNUMBER(SEARCH("BorealForest",BX125)),ISNUMBER(SEARCH("ColdBog",BX125))),-30,IF(OR(ISNUMBER(SEARCH("TemperateForest",BX125)),ISNUMBER(SEARCH("TemperateSwamp",BX125))),-20,IF(_xlfn.XLOOKUP(_xlfn.XLOOKUP(B125,'Base stats'!B:B,'Base stats'!E:E),Groups!A:A,Groups!F:F)=1,-15,IF(OR(ISNUMBER(SEARCH("Desert",BX125)),ISNUMBER(SEARCH("ExtremeDesert",BX125))),-10,IF(OR(ISNUMBER(SEARCH("Grasslands",BX125)),ISNUMBER(SEARCH("TropicalRainforest",BX125)),ISNUMBER(SEARCH("TropicalSwamp",BX125))),10,0)))))))-IF(CC125="False",MIN(IFERROR(MAX(MROUND(LOG10(_xlfn.XLOOKUP(B125,'Base stats'!B:B,'Base stats'!C:C)^(2/3))*10,5),5),5),30))-_xlfn.XLOOKUP(B125,'Base stats'!B:B,'Base stats'!P:P)+IF(CC125="True",5,0)</f>
        <v>-50</v>
      </c>
      <c r="M125" s="2">
        <f>IF(OR(_xlfn.XLOOKUP(_xlfn.XLOOKUP(B125,'Base stats'!B:B,'Base stats'!E:E),Groups!A:A,Groups!G:G)=2,ISNUMBER(SEARCH("Desert",BX125)),ISNUMBER(SEARCH("ExtremeDesert",BX125)),ISNUMBER(SEARCH("LavaField",BX125))),50,IF(ISNUMBER(SEARCH("Grasslands",BX125)),45,IF(OR(_xlfn.XLOOKUP(_xlfn.XLOOKUP(B125,'Base stats'!B:B,'Base stats'!E:E),Groups!A:A,Groups!G:G)=1,ISNUMBER(SEARCH("TropicalRainforest",BX125)),ISNUMBER(SEARCH("TropicalSwamp",BX125))),40,IF(OR(ISNUMBER(SEARCH("TemperateForest",BX125)),ISNUMBER(SEARCH("TemperateSwamp",BX125))),35,IF(OR(ISNUMBER(SEARCH("Alpine",BX125)),ISNUMBER(SEARCH("BorealForest",BX125)),ISNUMBER(SEARCH("ColdBog",BX125))),30,IF(ISNUMBER(OR(ISNUMBER(SEARCH("GlacialPlain",BX125)),SEARCH("Tundra",BX125))),25,IF(OR(ISNUMBER(SEARCH("SeaIce",BX125)),ISNUMBER(SEARCH("IceSheet",BX125)),ISNUMBER(SEARCH("TropicalSwamp",BX125))),10,35)))))))+_xlfn.XLOOKUP(B125,'Base stats'!B:B,'Base stats'!Q:Q)</f>
        <v>45</v>
      </c>
      <c r="N125" s="8" t="str">
        <f>IF(
_xlfn.XLOOKUP(
_xlfn.XLOOKUP(B125,'Base stats'!B:B,'Base stats'!E:E),
Groups!A:A,
Groups!L:L
)=1,
MIN(
MROUND(
IF(
_xlfn.XLOOKUP(B125,'Animals CE'!B:B,'Animals CE'!Z:Z)&lt;=1.5,
_xlfn.XLOOKUP(B125,'Animals CE'!B:B,'Animals CE'!Z:Z)/2+0.05,
0.8+
(_xlfn.XLOOKUP(B125,'Animals CE'!B:B,'Animals CE'!Z:Z)-1.5)
*0.02
),
0.05
),
200%
),
"No"
)</f>
        <v>No</v>
      </c>
      <c r="O125" s="8" t="str">
        <f>IF(
_xlfn.XLOOKUP(
_xlfn.XLOOKUP(B125,'Base stats'!B:B,'Base stats'!E:E),
Groups!A:A,
Groups!L:L
)=1,
MIN(
MROUND(
IF(
_xlfn.XLOOKUP(B125,'Animals CE'!B:B,'Animals CE'!AA:AA)&lt;=1.5,
_xlfn.XLOOKUP(B125,'Animals CE'!B:B,'Animals CE'!AA:AA)/2+0.05,
0.8+
(_xlfn.XLOOKUP(B125,'Animals CE'!B:B,'Animals CE'!AA:AA)-1.5)
*0.02
),
0.05
),
200%
),
"No"
)</f>
        <v>No</v>
      </c>
      <c r="P125" s="2" t="str">
        <f>_xlfn.XLOOKUP(B125,'Base stats'!B:B,'Base stats'!R:R)</f>
        <v>Standard</v>
      </c>
      <c r="Q125" s="13">
        <f>MROUND((LOG10(_xlfn.XLOOKUP(B125,'Base stats'!B:B,'Base stats'!AR:AR))*(AO125^0.5)+(_xlfn.XLOOKUP(B125,'Base stats'!B:B,'Base stats'!AR:AR)/1000)^(2/3)+_xlfn.XLOOKUP(B125,'Base stats'!B:B,'Base stats'!BA:BA)/2)+0.5,0.5)</f>
        <v>17.5</v>
      </c>
      <c r="R125" s="7">
        <f>IF(Q125="No","No",MAX(1,MROUND(_xlfn.XLOOKUP(B125,'Base stats'!B:B,'Base stats'!C:C)^0.165,0.05)))</f>
        <v>2.95</v>
      </c>
      <c r="S125" s="13">
        <f>IF(_xlfn.XLOOKUP(_xlfn.XLOOKUP(B125,'Base stats'!B:B,'Base stats'!E:E),Groups!A:A,Groups!P:P)=0,"No",MROUND((LOG10(_xlfn.XLOOKUP(B125,'Base stats'!B:B,'Base stats'!AS:AS))*(AO125^0.5)+(_xlfn.XLOOKUP(B125,'Base stats'!B:B,'Base stats'!AS:AS)/1000)^(2/3)+_xlfn.XLOOKUP(B125,'Base stats'!B:B,'Base stats'!BA:BA))+_xlfn.XLOOKUP(B125,'Base stats'!B:B,'Base stats'!AY:AY)+0.5,0.5))</f>
        <v>21.5</v>
      </c>
      <c r="T125" s="7">
        <f>IF(S125="No","No",MAX(_xlfn.XLOOKUP(_xlfn.XLOOKUP(B125,'Base stats'!B:B,'Base stats'!E:E),Groups!A:A,Groups!Q:Q),MROUND(_xlfn.XLOOKUP(_xlfn.XLOOKUP(B125,'Base stats'!B:B,'Base stats'!E:E),Groups!A:A,Groups!Q:Q)*_xlfn.XLOOKUP(B125,'Base stats'!B:B,'Base stats'!C:C)^0.165,0.05)))</f>
        <v>2.8000000000000003</v>
      </c>
      <c r="U125" s="7" t="str">
        <f>IF(S125="No","No",_xlfn.XLOOKUP(_xlfn.XLOOKUP(B125,'Base stats'!B:B,'Base stats'!E:E),Groups!A:A,Groups!R:R))</f>
        <v>FrontLeftLeg, FrontRightLeg</v>
      </c>
      <c r="V125" s="7" t="str">
        <f>IF(S125="No","No",_xlfn.XLOOKUP(_xlfn.XLOOKUP(B125,'Base stats'!B:B,'Base stats'!E:E),Groups!A:A,Groups!S:S))</f>
        <v>left hoof, right hoof</v>
      </c>
      <c r="W125" s="7" t="str">
        <f>IF(S125="No","No",_xlfn.XLOOKUP(_xlfn.XLOOKUP(B125,'Base stats'!B:B,'Base stats'!E:E),Groups!A:A,Groups!T:T))</f>
        <v>Blunt</v>
      </c>
      <c r="X125" s="13" t="str">
        <f>IF(_xlfn.XLOOKUP(B125,'Base stats'!B:B,'Base stats'!W:W)="No","No",MROUND((LOG10(_xlfn.XLOOKUP(B125,'Base stats'!B:B,'Base stats'!AU:AU))*(AO125^0.5)+(_xlfn.XLOOKUP(B125,'Base stats'!B:B,'Base stats'!AU:AU)/1000)^(2/3)+_xlfn.XLOOKUP(B125,'Base stats'!B:B,'Base stats'!AZ:AZ))+0.5+IF(_xlfn.XLOOKUP(_xlfn.XLOOKUP(B125,'Base stats'!B:B,'Base stats'!E:E),Groups!A:A,Groups!U:U)&lt;&gt;3,_xlfn.XLOOKUP(B125,'Base stats'!B:B,'Base stats'!BA:BA),0),0.5))</f>
        <v>No</v>
      </c>
      <c r="Y125" s="7" t="str">
        <f>IF(X125="No","No",MAX(_xlfn.XLOOKUP(_xlfn.XLOOKUP(B125,'Base stats'!B:B,'Base stats'!E:E),Groups!A:A,Groups!V:V),MROUND(_xlfn.XLOOKUP(_xlfn.XLOOKUP(B125,'Base stats'!B:B,'Base stats'!E:E),Groups!A:A,Groups!V:V)*_xlfn.XLOOKUP(B125,'Base stats'!B:B,'Base stats'!C:C)^0.165,0.05)))</f>
        <v>No</v>
      </c>
      <c r="Z125" s="7" t="str">
        <f>IF(X125="No","No",_xlfn.XLOOKUP(_xlfn.XLOOKUP(B125,'Base stats'!B:B,'Base stats'!E:E),Groups!A:A,Groups!W:W))</f>
        <v>No</v>
      </c>
      <c r="AA125" s="7" t="str">
        <f>IF(X125="No","No",_xlfn.XLOOKUP(_xlfn.XLOOKUP(B125,'Base stats'!B:B,'Base stats'!E:E),Groups!A:A,Groups!X:X))</f>
        <v>No</v>
      </c>
      <c r="AB125" s="7" t="str">
        <f>IF(X125="No","No",_xlfn.XLOOKUP(_xlfn.XLOOKUP(B125,'Base stats'!B:B,'Base stats'!E:E),Groups!A:A,Groups!Y:Y))</f>
        <v>No</v>
      </c>
      <c r="AC125" s="7" t="str">
        <f>_xlfn.XLOOKUP(Animals!B125,'Base stats'!B:B,'Base stats'!X:X)</f>
        <v>False</v>
      </c>
      <c r="AD125" s="13">
        <f>IF(_xlfn.XLOOKUP(B125,'Base stats'!B:B,'Base stats'!AT:AT)="No","No",MROUND((LOG10(_xlfn.XLOOKUP(B125,'Base stats'!B:B,'Base stats'!AT:AT))*(AO125^0.75)+(_xlfn.XLOOKUP(B125,'Base stats'!B:B,'Base stats'!AT:AT)/1000)^(2/3)+_xlfn.XLOOKUP(B125,'Base stats'!B:B,'Base stats'!AX:AX)+_xlfn.XLOOKUP(B125,'Base stats'!B:B,'Base stats'!BA:BA))+0.5,0.5))</f>
        <v>23</v>
      </c>
      <c r="AE125" s="7">
        <f>IF(AD125="No","No",MAX(_xlfn.XLOOKUP(_xlfn.XLOOKUP(B125,'Base stats'!B:B,'Base stats'!E:E),Groups!A:A,Groups!Z:Z),MROUND(_xlfn.XLOOKUP(_xlfn.XLOOKUP(B125,'Base stats'!B:B,'Base stats'!E:E),Groups!A:A,Groups!Z:Z)*_xlfn.XLOOKUP(B125,'Base stats'!B:B,'Base stats'!C:C)^0.165,0.05)))</f>
        <v>2.95</v>
      </c>
      <c r="AF125" s="7" t="str">
        <f>IF(AD125="No","No",_xlfn.XLOOKUP(_xlfn.XLOOKUP(B125,'Base stats'!B:B,'Base stats'!E:E),Groups!A:A,Groups!AA:AA))</f>
        <v>Teeth</v>
      </c>
      <c r="AG125" s="7" t="str">
        <f>IF(AD125="No","No",_xlfn.XLOOKUP(_xlfn.XLOOKUP(B125,'Base stats'!B:B,'Base stats'!E:E),Groups!A:A,Groups!AB:AB))</f>
        <v>teeth</v>
      </c>
      <c r="AH125" s="7" t="str">
        <f>IF(AD125="No","No",_xlfn.XLOOKUP(_xlfn.XLOOKUP(B125,'Base stats'!B:B,'Base stats'!E:E),Groups!A:A,Groups!AC:AC))</f>
        <v>Bite</v>
      </c>
      <c r="AI125" s="13" t="str">
        <f>IF(_xlfn.XLOOKUP(_xlfn.XLOOKUP(B125,'Base stats'!B:B,'Base stats'!E:E),Groups!A:A,Groups!AD:AD)=0,"No",MROUND((LOG10(_xlfn.XLOOKUP(B125,'Base stats'!B:B,'Base stats'!AS:AS))*(AO125^0.75)+(_xlfn.XLOOKUP(B125,'Base stats'!B:B,'Base stats'!AS:AS)/1000)^(2/3)+_xlfn.XLOOKUP(B125,'Base stats'!B:B,'Base stats'!AY:AY)+_xlfn.XLOOKUP(B125,'Base stats'!B:B,'Base stats'!BA:BA))+0.5,0.5))</f>
        <v>No</v>
      </c>
      <c r="AJ125" s="7" t="str">
        <f>IF(AI125="No","No",MAX(_xlfn.XLOOKUP(_xlfn.XLOOKUP(B125,'Base stats'!B:B,'Base stats'!E:E),Groups!A:A,Groups!AE:AE),MROUND(_xlfn.XLOOKUP(_xlfn.XLOOKUP(B125,'Base stats'!B:B,'Base stats'!E:E),Groups!A:A,Groups!AE:AE)*IF(_xlfn.XLOOKUP(_xlfn.XLOOKUP(B125,'Base stats'!B:B,'Base stats'!E:E),Groups!A:A,Groups!AJ:AJ)="Photonozoa",0.6,1)*_xlfn.XLOOKUP(B125,'Base stats'!B:B,'Base stats'!C:C)^0.165,0.05)))</f>
        <v>No</v>
      </c>
      <c r="AK125" s="7" t="str">
        <f>IF(AI125="No","No",_xlfn.XLOOKUP(_xlfn.XLOOKUP(B125,'Base stats'!B:B,'Base stats'!E:E),Groups!A:A,Groups!AF:AF))</f>
        <v>No</v>
      </c>
      <c r="AL125" s="7" t="str">
        <f>IF(AI125="No","No",_xlfn.XLOOKUP(_xlfn.XLOOKUP(B125,'Base stats'!B:B,'Base stats'!E:E),Groups!A:A,Groups!AG:AG))</f>
        <v>No</v>
      </c>
      <c r="AM125" s="7" t="str">
        <f>IF(AI125="No","No",_xlfn.XLOOKUP(_xlfn.XLOOKUP(B125,'Base stats'!B:B,'Base stats'!E:E),Groups!A:A,Groups!AH:AH))</f>
        <v>No</v>
      </c>
      <c r="AN125" s="2" t="str">
        <f t="shared" si="7"/>
        <v>No</v>
      </c>
      <c r="AO125" s="2">
        <f>MROUND(IF(AND(_xlfn.XLOOKUP(B125,'Base stats'!B:B,'Base stats'!C:C)&gt;=0.5,_xlfn.XLOOKUP(B125,'Base stats'!B:B,'Base stats'!C:C)&lt;=0.8),
IF(_xlfn.XLOOKUP(B125,'Base stats'!B:B,'Base stats'!C:C)&lt;0.1,0.05,IF(_xlfn.XLOOKUP(B125,'Base stats'!B:B,'Base stats'!C:C)&lt;=70,(_xlfn.XLOOKUP(B125,'Base stats'!B:B,'Base stats'!C:C)/70)^0.426489913056526,IF(_xlfn.XLOOKUP(B125,'Base stats'!B:B,'Base stats'!C:C)&lt;=400,(_xlfn.XLOOKUP(B125,'Base stats'!B:B,'Base stats'!C:C)/70)^0.572811455315093,IF(_xlfn.XLOOKUP(B125,'Base stats'!B:B,'Base stats'!C:C)&lt;=2000,2.71391647193063*(_xlfn.XLOOKUP(B125,'Base stats'!B:B,'Base stats'!C:C)/400)^0.252459582904293,3.74314280240376*(_xlfn.XLOOKUP(B125,'Base stats'!B:B,'Base stats'!C:C)/2000)^0.357012633876913)))),
IF(_xlfn.XLOOKUP(B125,'Base stats'!B:B,'Base stats'!C:C)&lt;0.1,0.05,IF(_xlfn.XLOOKUP(B125,'Base stats'!B:B,'Base stats'!C:C)&lt;0.4,0.1,IF(_xlfn.XLOOKUP(B125,'Base stats'!B:B,'Base stats'!C:C)&lt;=70,(_xlfn.XLOOKUP(B125,'Base stats'!B:B,'Base stats'!C:C)/70)^0.445823913056526,IF(_xlfn.XLOOKUP(B125,'Base stats'!B:B,'Base stats'!C:C)&lt;=400,(_xlfn.XLOOKUP(B125,'Base stats'!B:B,'Base stats'!C:C)/70)^0.572811455315093,IF(_xlfn.XLOOKUP(B125,'Base stats'!B:B,'Base stats'!C:C)&lt;=2000,2.71391647193063*(_xlfn.XLOOKUP(B125,'Base stats'!B:B,'Base stats'!C:C)/400)^0.252459582904293,3.74314280240376*(_xlfn.XLOOKUP(B125,'Base stats'!B:B,'Base stats'!C:C)/2000)^0.357012633876913)))))),
IF(_xlfn.XLOOKUP(B125,'Base stats'!B:B,'Base stats'!C:C)&lt;0.1,0.05,IF(_xlfn.XLOOKUP(B125,'Base stats'!B:B,'Base stats'!C:C)&lt;=100,0.05,IF(_xlfn.XLOOKUP(B125,'Base stats'!B:B,'Base stats'!C:C)&lt;=250,0.1,IF(_xlfn.XLOOKUP(B125,'Base stats'!B:B,'Base stats'!C:C)&lt;=4000,0.25,0.5)))))</f>
        <v>3</v>
      </c>
      <c r="AP125" s="8">
        <f>MROUND(AO125*_xlfn.XLOOKUP(_xlfn.XLOOKUP(B125,'Base stats'!B:B,'Base stats'!E:E),Groups!A:A,Groups!AI:AI)*_xlfn.XLOOKUP(B125,'Base stats'!B:B,'Base stats'!Z:Z),0.05)</f>
        <v>3</v>
      </c>
      <c r="AQ125" s="8">
        <f>MAX(0.01,MROUND(IF(CC125="True",0.196*(AO125*100*1000)^0.889,IF(_xlfn.XLOOKUP(_xlfn.XLOOKUP(B125,'Base stats'!B:B,'Base stats'!E:E),Groups!A:A,Groups!AJ:AJ)="Bird",10.5*(AO125*100*1000)^0.681,4.82*(AO125*100*1000)^0.734))/(4.82*(1*100*1000)^0.734)/IF(AO125&lt;3.5,2,IF(AO125=3.5,1.5,1.25))*(1+0.132282374779864/(AO125^0.994035016789033+0.00905238001496948)),0.05))</f>
        <v>1.1500000000000001</v>
      </c>
      <c r="AR125" s="9">
        <f>IFERROR(MROUND(_xlfn.XLOOKUP(B125,'Base stats'!B:B,'Base stats'!H:H)/IF(_xlfn.XLOOKUP(B125,'Base stats'!B:B,'Base stats'!I:I)&lt;&gt;1,(122.5/70),1.2),IF(_xlfn.XLOOKUP(B125,'Base stats'!B:B,'Base stats'!H:H)&gt;=30,5,IF(_xlfn.XLOOKUP(B125,'Base stats'!B:B,'Base stats'!H:H)&gt;=15,3,IF(_xlfn.XLOOKUP(B125,'Base stats'!B:B,'Base stats'!H:H)&gt;=10,2,1)))),"Immortal")</f>
        <v>20</v>
      </c>
      <c r="AS125" s="35">
        <f>IFERROR(IF(OR(_xlfn.XLOOKUP(B125,'Base stats'!B:B,'Base stats'!F:F)="Atypical reproduction",_xlfn.XLOOKUP(B125,'Base stats'!B:B,'Base stats'!F:F)="Lay eggs"),"Lay eggs",MIN(20,MAX(5.5,ROUND(((_xlfn.XLOOKUP(B125,'Base stats'!B:B,'Base stats'!F:F)-25)*(14.5/615) + 5.5)*2,0)/2))),"Unknown")</f>
        <v>14</v>
      </c>
      <c r="AT125" s="8">
        <f>IF(_xlfn.XLOOKUP(B125,'Base stats'!B:B,'Base stats'!G:G)="Atypical reproduction","No",IFERROR(MAX(IF(_xlfn.XLOOKUP(B125,'Base stats'!B:B,'Base stats'!G:G)&lt;0.5,0.2,0.3),MROUND(_xlfn.XLOOKUP(B125,'Base stats'!B:B,'Base stats'!G:G)/(365/60),0.2)),"Unknown"))</f>
        <v>0.60000000000000009</v>
      </c>
      <c r="AU125" s="8">
        <f t="shared" si="8"/>
        <v>0.30000000000000004</v>
      </c>
      <c r="AV125" s="8">
        <f>IFERROR(IFERROR(MROUND(_xlfn.XLOOKUP(B125,'Base stats'!B:B,'Base stats'!J:J),0.1),"Lay eggs"),"Cannot breed")</f>
        <v>1</v>
      </c>
      <c r="AW125" s="2" t="str">
        <f t="shared" si="9"/>
        <v>true</v>
      </c>
      <c r="AX125" s="2" t="str">
        <f>IF(_xlfn.XLOOKUP(_xlfn.XLOOKUP(Animals!B125,'Base stats'!B:B,'Base stats'!E:E),Groups!A:A,Groups!AK:AK)=1,"true","false")</f>
        <v>true</v>
      </c>
      <c r="AY125" s="25" t="str">
        <f>IF(_xlfn.XLOOKUP(B125,'Base stats'!B:B,'Base stats'!Y:Y)="Liquor","Liquor, CarnivoreAnimalStrict",IF(AND(_xlfn.XLOOKUP(B125,'Base stats'!B:B,'Base stats'!Y:Y)="Carnivore",_xlfn.XLOOKUP(_xlfn.XLOOKUP(B125,'Base stats'!B:B,'Base stats'!E:E),Groups!A:A,Groups!AJ:AJ)="Photonozoa"),"CarnivoreAnimalStrict, OvivoreAnimal",IF(_xlfn.XLOOKUP(B125,'Base stats'!B:B,'Base stats'!Y:Y)="Carnivore","CarnivoreAnimal, OvivoreAnimal",IF(_xlfn.XLOOKUP(B125,'Base stats'!B:B,'Base stats'!Y:Y)="Dendrovore","VegetarianRoughAnimal, DendrovoreAnimal",IF(_xlfn.XLOOKUP(B125,'Base stats'!B:B,'Base stats'!Y:Y)="Herbivore","VegetarianRoughAnimal",IF(_xlfn.XLOOKUP(B125,'Base stats'!B:B,'Base stats'!Y:Y)="OmnivoreRough","OmnivoreRoughAnimal, OvivoreAnimal","OmnivoreAnimal, OvivoreAnimal"))))))</f>
        <v>VegetarianRoughAnimal</v>
      </c>
      <c r="AZ125" s="2">
        <f>IF(_xlfn.XLOOKUP(_xlfn.XLOOKUP(B125,'Base stats'!B:B,'Base stats'!E:E),Groups!A:A,Groups!D:D)=1,MROUND((1-J125)*5+1,2)*IF(J125&lt;=0.4,2,1),"No")</f>
        <v>8</v>
      </c>
      <c r="BA125" s="2" t="str">
        <f>IF(AND(_xlfn.XLOOKUP(B125,'Base stats'!B:B,'Base stats'!AH:AH)="&lt;li&gt;Seal&lt;/li&gt;",G125="Odyssey"),"&lt;li&gt;AEXP_Seal&lt;/li&gt;",_xlfn.XLOOKUP(B125,'Base stats'!B:B,'Base stats'!AH:AH))</f>
        <v>&lt;li&gt;Dromedary&lt;/li&gt;</v>
      </c>
      <c r="BB125" s="2" t="str">
        <f>_xlfn.XLOOKUP(B125,'Base stats'!B:B,'Base stats'!AG:AG)</f>
        <v>Leather_Camel</v>
      </c>
      <c r="BC125" s="23" t="str">
        <f>_xlfn.XLOOKUP(_xlfn.XLOOKUP(B125,'Base stats'!B:B,'Base stats'!E:E),Groups!A:A,Groups!AL:AL)</f>
        <v>QuadrupedAnimalWithHoovesAndHump</v>
      </c>
      <c r="BD125" s="23">
        <f>MIN(1,MROUND(IF(AND(AO125&lt;0.5,_xlfn.XLOOKUP(B125,'Base stats'!B:B,'Base stats'!AA:AA)=0),0,IF(OR(_xlfn.XLOOKUP(Animals!B125,'Base stats'!B:B,'Base stats'!O:O)=2,_xlfn.XLOOKUP(_xlfn.XLOOKUP(B125,'Base stats'!B:B,'Base stats'!E:E),Groups!A:A,Groups!AN:AN)=0),0,_xlfn.XLOOKUP(_xlfn.XLOOKUP(B125,'Base stats'!B:B,'Base stats'!E:E),Groups!A:A,Groups!AN:AN)/IF(_xlfn.XLOOKUP(Animals!B125,'Base stats'!B:B,'Base stats'!O:O)=1,2,1)))+_xlfn.XLOOKUP(B125,'Base stats'!B:B,'Base stats'!AC:AC),0.005))</f>
        <v>0</v>
      </c>
      <c r="BE125" s="23">
        <f>MIN(1,MROUND(IF(AND(AO125&lt;0.5,_xlfn.XLOOKUP(B125,'Base stats'!B:B,'Base stats'!AA:AA)=0),0,IF(_xlfn.XLOOKUP(_xlfn.XLOOKUP(B125,'Base stats'!B:B,'Base stats'!E:E),Groups!A:A,Groups!AO:AO)=0,0,_xlfn.XLOOKUP(_xlfn.XLOOKUP(B125,'Base stats'!B:B,'Base stats'!E:E),Groups!A:A,Groups!AO:AO)/IF(_xlfn.XLOOKUP(Animals!B125,'Base stats'!B:B,'Base stats'!O:O)=2,3,1)))+_xlfn.XLOOKUP(B125,'Base stats'!B:B,'Base stats'!AD:AD),0.005))</f>
        <v>0</v>
      </c>
      <c r="BF125" s="2" t="str">
        <f>IF(J125&gt;0.3,"No",_xlfn.XLOOKUP(_xlfn.XLOOKUP(Animals!B125,'Base stats'!B:B,'Base stats'!E:E),Groups!A:A,Groups!AP:AP))</f>
        <v>No</v>
      </c>
      <c r="BG125" s="2" t="str">
        <f>IF(AND(J125&lt;=0.65,_xlfn.XLOOKUP(_xlfn.XLOOKUP(Animals!B125,'Base stats'!B:B,'Base stats'!E:E),Groups!A:A,Groups!AP:AP)&lt;&gt;"No",_xlfn.XLOOKUP(_xlfn.XLOOKUP(B125,'Base stats'!B:B,'Base stats'!E:E),Groups!A:A,Groups!D:D)=0),MROUND((80/3)*IF(_xlfn.XLOOKUP(B125,'Base stats'!B:B,'Base stats'!O:O)=2,0.2,AO125) + 24*(1-IF(BF125="No",0,BF125)) + 16/3, 12),"No")</f>
        <v>No</v>
      </c>
      <c r="BH125" s="2">
        <f>IF(AND(_xlfn.XLOOKUP(_xlfn.XLOOKUP(B125,'Base stats'!B:B,'Base stats'!E:E),Groups!A:A,Groups!AQ:AQ)=1,AO125&lt;=0.35),8,12)</f>
        <v>12</v>
      </c>
      <c r="BI125" s="2" t="str">
        <f>IF(_xlfn.XLOOKUP(_xlfn.XLOOKUP(B125,'Base stats'!B:B,'Base stats'!E:E),Groups!A:A,Groups!D:D)=0,_xlfn.XLOOKUP(_xlfn.XLOOKUP(B125,'Base stats'!B:B,'Base stats'!E:E),Groups!A:A,Groups!AR:AR),"None")</f>
        <v>None</v>
      </c>
      <c r="BJ125" s="2" t="str">
        <f>IF(AND(_xlfn.XLOOKUP(_xlfn.XLOOKUP(B125,'Base stats'!B:B,'Base stats'!E:E),Groups!A:A,Groups!AS:AS)=1,OR(_xlfn.XLOOKUP(B125,'Base stats'!B:B,'Base stats'!Y:Y)="Carnivore",_xlfn.XLOOKUP(B125,'Base stats'!B:B,'Base stats'!Y:Y)="Omnivore")),"true","false")</f>
        <v>false</v>
      </c>
      <c r="BK125" s="2" t="str">
        <f>IF(BJ125="true",MROUND(IF(AND(AO125&gt;0.5,OR(_xlfn.XLOOKUP(_xlfn.XLOOKUP(B125,'Base stats'!B:B,'Base stats'!E:E),Groups!A:A,Groups!AJ:AJ)="Photonozoa",_xlfn.XLOOKUP(_xlfn.XLOOKUP(B125,'Base stats'!B:B,'Base stats'!E:E),Groups!A:A,Groups!AJ:AJ)="Mammal")),Animals!AO125*1.75*IF(AW125="true",1.5,1),IF(AO125&lt;0.5,Animals!AO125*0.5,Animals!AO125)),IF(AO125&gt;2,0.5,IF(AO125&gt;0.5,0.25,0.1))),"No")</f>
        <v>No</v>
      </c>
      <c r="BL125" s="2">
        <f t="shared" si="10"/>
        <v>0</v>
      </c>
      <c r="BM125" s="25" t="str">
        <f>IF(_xlfn.XLOOKUP(B125,'Base stats'!B:B,'Base stats'!AN:AN)="Standard","No",MROUND((_xlfn.XLOOKUP(B125,'Base stats'!B:B,'Base stats'!AN:AN)/3.6)/I125,0.1))</f>
        <v>No</v>
      </c>
      <c r="BN125" s="25" t="str">
        <f t="shared" si="11"/>
        <v>false</v>
      </c>
      <c r="BO125" s="25" t="str">
        <f>IF(AND(OR(_xlfn.XLOOKUP(B125,'Base stats'!B:B,'Base stats'!Y:Y)="Carnivore",_xlfn.XLOOKUP(B125,'Base stats'!B:B,'Base stats'!Y:Y)="Omnivore",_xlfn.XLOOKUP(B125,'Base stats'!B:B,'Base stats'!Y:Y)="OmnivoreRough"),_xlfn.XLOOKUP(_xlfn.XLOOKUP(B125,'Base stats'!B:B,'Base stats'!E:E),Groups!A:A,Groups!AT:AT)=1),"true","false")</f>
        <v>false</v>
      </c>
      <c r="BP125" s="25" t="str" cm="1">
        <f t="array" ref="BP125">IF(
  _xlfn.TEXTJOIN(", ",TRUE,
    IF(AND(BJ125="true",AO125&gt;0.5,BI125&lt;&gt;"None"),"AttackTarget",""),
    IF(AND(_xlfn.XLOOKUP(_xlfn.XLOOKUP(B125,'Base stats'!B:B,'Base stats'!E:E),Groups!A:A,Groups!AJ:AJ="Mammal"),OR(_xlfn.XLOOKUP(B125,'Base stats'!B:B,'Base stats'!Y:Y)="Omnivore",_xlfn.XLOOKUP(B125,'Base stats'!B:B,'Base stats'!Y:Y)="OmnivoreRough")),"Forage",""),
    IF(BG125&lt;=36,"Comfort",""),
    IF(_xlfn.XLOOKUP(B125,'Base stats'!B:B,'Base stats'!AE:AE)&lt;&gt;"No",_xlfn.XLOOKUP(B125,'Base stats'!B:B,'Base stats'!AE:AE),"")
  ) = "",
  "No",
  _xlfn.TEXTJOIN(", ",TRUE,
    IF(AND(BJ125="true",AO125&gt;0.5,BI125&lt;&gt;"None"),"AttackTarget",""),
    IF(AND(_xlfn.XLOOKUP(_xlfn.XLOOKUP(B125,'Base stats'!B:B,'Base stats'!E:E),Groups!A:A,Groups!AJ:AJ="Mammal"),OR(_xlfn.XLOOKUP(B125,'Base stats'!B:B,'Base stats'!Y:Y)="Omnivore",_xlfn.XLOOKUP(B125,'Base stats'!B:B,'Base stats'!Y:Y)="OmnivoreRough")),"Forage",""),
    IF(BG125&lt;=36,"Comfort",""),
    IF(_xlfn.XLOOKUP(B125,'Base stats'!B:B,'Base stats'!AE:AE)&lt;&gt;"No",_xlfn.XLOOKUP(B125,'Base stats'!B:B,'Base stats'!AE:AE),"")
  )
)</f>
        <v>No</v>
      </c>
      <c r="BQ125" s="25" t="str">
        <f>IF(
   AND(
      'Base stats'!AN125="Standard",_xlfn.XLOOKUP(_xlfn.XLOOKUP(B125,'Base stats'!B:B,'Base stats'!E:E),Groups!A:A,Groups!AU:AU)=0,
      OR(
      BO125="True"
      )
   ),
   10,
   IF(
       OR(BM125&lt;&gt;"No",_xlfn.XLOOKUP(_xlfn.XLOOKUP(B125,'Base stats'!B:B,'Base stats'!E:E),Groups!A:A,Groups!AU:AU)=1),
      1,
      "No"
   )
)</f>
        <v>No</v>
      </c>
      <c r="BR125" s="9">
        <f>MROUND((1 + ((0.2*IF(OR(Q125="No",R125="No",R125=0),0,Q125/R125)
+IF(OR(V125="No",S125="No",T125="No"),0,S125/T125*(LEN(V125)-LEN(SUBSTITUTE(V125,",",""))+1))
+IF(OR(X125="No",Y125="No"),0,X125/Y125)
+IF(OR(AD125="No",AE125="No"),0,AD125/AE125)
+IF(OR(AL125="No",AI125="No",AJ125="No"),0,AI125/AJ125*(LEN(AL125)-LEN(SUBSTITUTE(AL125,",",""))+1))
)/(0.2*IF(OR(Q125="No",R125="No",R125=0),0,1)
+IF(OR(V125="No",S125="No",T125="No"),0,LEN(V125)-LEN(SUBSTITUTE(V125,",",""))+1)
+IF(OR(X125="No",Y125="No"),0,1)
+IF(OR(AD125="No",AE125="No"),0,1)
+IF(OR(AL125="No",AI125="No",AJ125="No"),0,LEN(AL125)-LEN(SUBSTITUTE(AL125,",",""))+1))*62%)* 2)*(1 + (AP125 / (IF(_xlfn.XLOOKUP(_xlfn.XLOOKUP(B125,'Base stats'!B:B,'Base stats'!E:E),Groups!A:A,Groups!AJ:AJ)="Photonozoa",0.3,1)) + _xlfn.XLOOKUP(B125,'Base stats'!B:B,'Base stats'!AV:AV) * 1.8) * 2) * 2.5 + 10 + I125 * 2,5)+IF(_xlfn.XLOOKUP(B125,'Base stats'!B:B,'Base stats'!AK:AK)=1,50,0)</f>
        <v>205</v>
      </c>
      <c r="BS125" s="8">
        <f t="shared" si="12"/>
        <v>1.5</v>
      </c>
      <c r="BT125" s="8" t="str">
        <f>_xlfn.XLOOKUP(B125,'Base stats'!B:B,'Base stats'!AF:AF)</f>
        <v>3~10</v>
      </c>
      <c r="BU125" s="2" t="str">
        <f>IF(AND(J125&lt;=0.95,OR(_xlfn.XLOOKUP(B125,'Base stats'!B:B,'Base stats'!AK:AK)=1,_xlfn.XLOOKUP(B125,'Base stats'!B:B,'Base stats'!Y:Y)="Carnivore",_xlfn.XLOOKUP(B125,'Base stats'!B:B,'Base stats'!Y:Y)="Omnivore",BE125&gt;0.1)),"true","false")</f>
        <v>false</v>
      </c>
      <c r="BV125" s="2" t="str">
        <f>IF(_xlfn.XLOOKUP(B125,'Base stats'!B:B,'Base stats'!AI:AI)=1,"true","false")</f>
        <v>true</v>
      </c>
      <c r="BW125" s="25" t="str">
        <f>IF(E125="BaseInsect","AnimalInsect",
IF(J125&gt;0.95,"AnimalExotic",
_xlfn.TEXTJOIN(", ",TRUE,
IF(OR(_xlfn.XLOOKUP(B125,'Base stats'!B:B,'Base stats'!AM:AM)=1,AND(_xlfn.XLOOKUP(B125,'Base stats'!B:B,'Base stats'!O:O)=0,_xlfn.XLOOKUP(_xlfn.XLOOKUP(B125,'Base stats'!B:B,'Base stats'!E:E),Groups!A:A,Groups!B:B)&gt;0)),"AnimalUncommon","AnimalCommon"),
IF(AND(_xlfn.XLOOKUP(B125,'Base stats'!B:B,'Base stats'!O:O)=2,_xlfn.XLOOKUP(_xlfn.XLOOKUP(B125,'Base stats'!B:B,'Base stats'!E:E),Groups!A:A,Groups!D:D)=0),"AnimalPet",IF(AND(_xlfn.XLOOKUP(B125,'Base stats'!B:B,'Base stats'!O:O)&lt;&gt;0,_xlfn.XLOOKUP(_xlfn.XLOOKUP(B125,'Base stats'!B:B,'Base stats'!E:E),Groups!A:A,Groups!D:D)&lt;&gt;0),"AnimalFarm","")),
IF(OR(_xlfn.XLOOKUP(B125,'Base stats'!B:B,'Base stats'!AK:AK)=1,AND(BI125&lt;&gt;"None",BR125&gt;=60),ISNUMBER(SEARCH("Attack target",BP125))),"AnimalFighter","")
)))</f>
        <v>AnimalCommon, AnimalFarm</v>
      </c>
      <c r="BX125" s="25" t="str">
        <f>IF(G125="None",TRIM(
SUBSTITUTE(
IF(COUNTIF(Biomes!B$2:B$259,"="&amp;$C125)&gt;0,Biomes!B$1&amp;", ","")&amp;
IF(COUNTIF(Biomes!C$2:C$259,"="&amp;$C125)&gt;0,Biomes!C$1&amp;", ","")&amp;
IF(COUNTIF(Biomes!D$2:D$259,"="&amp;$C125)&gt;0,Biomes!D$1&amp;", ","")&amp;
IF(COUNTIF(Biomes!F$2:F$259,"="&amp;$C125)&gt;0,Biomes!F$1&amp;", ","")&amp;
IF(COUNTIF(Biomes!G$2:G$259,"="&amp;$C125)&gt;0,Biomes!G$1&amp;", ","")&amp;
IF(COUNTIF(Biomes!H$2:H$259,"="&amp;$C125)&gt;0,Biomes!H$1&amp;", ","")&amp;
IF(COUNTIF(Biomes!I$2:I$259,"="&amp;$C125)&gt;0,Biomes!I$1&amp;", ","")&amp;
IF(COUNTIF(Biomes!J$2:J$259,"="&amp;$C125)&gt;0,Biomes!J$1&amp;", ","")&amp;
IF(COUNTIF(Biomes!M$2:M$259,"="&amp;$C125)&gt;0,Biomes!M$1&amp;", ","")&amp;
IF(COUNTIF(Biomes!N$2:N$259,"="&amp;$C125)&gt;0,Biomes!N$1&amp;", ","")&amp;
IF(COUNTIF(Biomes!O$2:O$259,"="&amp;$C125)&gt;0,Biomes!O$1&amp;", ","")&amp;
IF(COUNTIF(Biomes!P$2:P$259,"="&amp;$C125)&gt;0,Biomes!P$1&amp;", ","")&amp;
IF(COUNTIF(Biomes!K$2:K$259,"="&amp;$C125)&gt;0,Biomes!K$1&amp;", ","")&amp;
IF(COUNTIF(Biomes!Q$3:Q$259,"="&amp;$C125)&gt;0,Biomes!Q$1&amp;", ","")&amp;
IF(COUNTIF(Biomes!L$2:L$259,"="&amp;$C125)&gt;0,Biomes!L$1&amp;", ","")&amp;
IF(COUNTIF(Biomes!E$2:E$259,"="&amp;$C125)&gt;0,Biomes!E$1&amp;", ","")&amp;IF(COUNTIF(Biomes!S$2:S$259,"="&amp;$C125)&gt;0,Biomes!S$1&amp;", ","")&amp;
IF(COUNTIF(Biomes!R$2:R$259,"="&amp;$C125)&gt;0,Biomes!R$1&amp;", ",""),", ","")
),_xlfn.XLOOKUP(B125,B:B,BX:BX))</f>
        <v>Alpine</v>
      </c>
      <c r="BY125" s="25" t="str">
        <f>IF(_xlfn.XLOOKUP(B125,'Base stats'!B:B,'Base stats'!AJ:AJ)=1,"true","false")</f>
        <v>false</v>
      </c>
      <c r="BZ125" s="25">
        <f>IF(_xlfn.XLOOKUP(B125,'Base stats'!B:B,'Base stats'!N:N)=1,"No",MAX(0.001,MIN(MROUND(IF(AND(BJ125="True",CC125="False"),POWER(10,3.47*LOG10(_xlfn.XLOOKUP(B125,'Base stats'!B:B,'Base stats'!C:C)*1000)^-0.96),POWER(10,4.15*LOG10(_xlfn.XLOOKUP(B125,'Base stats'!B:B,'Base stats'!C:C)*1000)^-0.73))*IF(_xlfn.XLOOKUP(B125,'Base stats'!B:B,'Base stats'!AK:AK)=1,0.5,1)*IF(_xlfn.XLOOKUP(B125,'Base stats'!B:B,'Base stats'!AM:AM)=1,0.1,1)/100,IF(_xlfn.XLOOKUP(B125,'Base stats'!B:B,'Base stats'!AM:AM)=1,0.001,0.025)),0.5)))</f>
        <v>0.15000000000000002</v>
      </c>
      <c r="CA125" s="25" t="str">
        <f>IF(P125="Standard","No",MAX(0.001,MIN(MROUND(IF(AND(BJ125="True",CC125="False"),POWER(10,3.47*LOG10(_xlfn.XLOOKUP(B125,'Base stats'!B:B,'Base stats'!C:C)*1000)^-0.96),POWER(10,4.15*LOG10(_xlfn.XLOOKUP(B125,'Base stats'!B:B,'Base stats'!C:C)*1000)^-0.73))*IF(_xlfn.XLOOKUP(B125,'Base stats'!B:B,'Base stats'!AM:AM)=1,0.1,1)*_xlfn.XLOOKUP(B125,'Base stats'!B:B,'Base stats'!R:R)/100,IF(_xlfn.XLOOKUP(B125,'Base stats'!B:B,'Base stats'!AM:AM)=1,0.001,0.025)),0.5)))</f>
        <v>No</v>
      </c>
      <c r="CB125" s="25" t="str">
        <f>IF(_xlfn.XLOOKUP(_xlfn.XLOOKUP(B125,'Base stats'!B:B,'Base stats'!E:E),Groups!A:A,Groups!AJ:AJ)="Mammal","True","False")</f>
        <v>True</v>
      </c>
      <c r="CC125" s="25" t="str">
        <f>IF(OR(_xlfn.XLOOKUP(_xlfn.XLOOKUP(B125,'Base stats'!B:B,'Base stats'!E:E),Groups!A:A,Groups!AJ:AJ)="Reptile",_xlfn.XLOOKUP(_xlfn.XLOOKUP(B125,'Base stats'!B:B,'Base stats'!E:E),Groups!A:A,Groups!AJ:AJ)="Amphibian",_xlfn.XLOOKUP(_xlfn.XLOOKUP(B125,'Base stats'!B:B,'Base stats'!E:E),Groups!A:A,Groups!AJ:AJ)="Invertebrate"),"True","False")</f>
        <v>False</v>
      </c>
      <c r="CD125" s="25" t="str">
        <f t="shared" si="13"/>
        <v>False</v>
      </c>
      <c r="CE125" s="25" t="str">
        <f>IF(_xlfn.XLOOKUP(_xlfn.XLOOKUP(B125,'Base stats'!B:B,'Base stats'!E:E),Groups!A:A,Groups!AX:AX),"True","False")</f>
        <v>False</v>
      </c>
      <c r="CF125" s="25" t="str">
        <f>IF(_xlfn.XLOOKUP(_xlfn.XLOOKUP(B125,'Base stats'!B:B,'Base stats'!E:E),Groups!A:A,Groups!AY:AY),"True","False")</f>
        <v>False</v>
      </c>
      <c r="CG125" s="25" t="str">
        <f>IF(_xlfn.XLOOKUP(_xlfn.XLOOKUP(B125,'Base stats'!B:B,'Base stats'!E:E),Groups!A:A,Groups!AW:AW),"True","False")</f>
        <v>False</v>
      </c>
      <c r="CH125" s="25" t="str">
        <f>IF(
OR(
_xlfn.XLOOKUP(_xlfn.XLOOKUP(B125,'Base stats'!B:B,'Base stats'!E:E),Groups!A:A,Groups!AZ:AZ)=0,
AND(
_xlfn.XLOOKUP(B125,'Base stats'!B:B,'Base stats'!Y:Y)&lt;&gt;"Carnivore",
_xlfn.XLOOKUP(B125,'Base stats'!B:B,'Base stats'!Y:Y)&lt;&gt;"Omnivore",
_xlfn.XLOOKUP(B125,'Base stats'!B:B,'Base stats'!Y:Y)&lt;&gt;"OmnivoreRough"
)
),
"No",
IF(
_xlfn.XLOOKUP(_xlfn.XLOOKUP(B125,'Base stats'!B:B,'Base stats'!E:E),Groups!A:A,Groups!AZ:AZ)=1,
"Flesh",
IF(
_xlfn.XLOOKUP(_xlfn.XLOOKUP(B125,'Base stats'!B:B,'Base stats'!E:E),Groups!A:A,Groups!AZ:AZ)=2,
"Bone",
""
)
)
)</f>
        <v>No</v>
      </c>
      <c r="CI125" s="25" t="str">
        <f>IF(_xlfn.XLOOKUP(_xlfn.XLOOKUP(B125,'Base stats'!B:B,'Base stats'!E:E),Groups!A:A,Groups!BB:BB),"True","False")</f>
        <v>True</v>
      </c>
      <c r="CJ125" s="25" t="str">
        <f>IF(_xlfn.XLOOKUP(_xlfn.XLOOKUP(B125,'Base stats'!B:B,'Base stats'!E:E),Groups!A:A,Groups!BA:BA),"True","False")</f>
        <v>False</v>
      </c>
    </row>
    <row r="126" spans="1:88" s="16" customFormat="1" ht="16.5" thickTop="1" thickBot="1" x14ac:dyDescent="0.3">
      <c r="A126" s="26" t="str">
        <f>_xlfn.XLOOKUP(B126,'Base stats'!B:B,'Base stats'!A:A)</f>
        <v>Rattlesnake</v>
      </c>
      <c r="B126" s="6" t="s">
        <v>472</v>
      </c>
      <c r="C126" s="28" t="s">
        <v>807</v>
      </c>
      <c r="D126" s="28" t="s">
        <v>872</v>
      </c>
      <c r="E126" s="28" t="s">
        <v>673</v>
      </c>
      <c r="F126" s="28" t="s">
        <v>673</v>
      </c>
      <c r="G126" s="28" t="s">
        <v>673</v>
      </c>
      <c r="H126" s="2">
        <f>MROUND((
  (IF(AND(_xlfn.XLOOKUP(B126,'Base stats'!B:B,'Base stats'!AL:AL)=0,BI126="None",_xlfn.XLOOKUP(_xlfn.XLOOKUP(B126,'Base stats'!B:B,'Base stats'!E:E),Groups!A:A,Groups!B:B)=0), (18 + BR126 * 2.7) * 0.5,
    IF(AND(_xlfn.XLOOKUP(B126,'Base stats'!B:B,'Base stats'!AL:AL)=0,OR(AO126&lt;0.55,AND(BI126="Intermediate",_xlfn.XLOOKUP(_xlfn.XLOOKUP(B126,'Base stats'!B:B,'Base stats'!E:E),Groups!A:A,Groups!B:B)&lt;2))), (18 + BR126 * 2.7),
      IF(OR(BI126="Advanced",_xlfn.XLOOKUP(B126,'Base stats'!B:B,'Base stats'!AL:AL)=1,_xlfn.XLOOKUP(_xlfn.XLOOKUP(B126,'Base stats'!B:B,'Base stats'!E:E),Groups!A:A,Groups!B:B)=2), (18 + BR126 * 2.7) + 250, (18 + BR126 * 2.7))
    )
  ))
  + AO126 * 80
  + IF(COUNTIF(EggMilk!K$2:K$998, A126) &gt; 0, 125, 0)
  + IF(COUNTIF(EggMilk!P$2:P$998, A126) &gt; 0, 90, 0)
  + IF(COUNTIF(EggMilk!A$2:A$998, A126) &gt; 0, 90, 0)
)
* (0.8 + 0.4 * J126)
* 0.75,25)</f>
        <v>125</v>
      </c>
      <c r="I126" s="2">
        <f>MROUND(ROUNDDOWN(_xlfn.XLOOKUP(B126,'Base stats'!B:B,'Base stats'!L:L)/3.6/(23.3/11),1),0.5)</f>
        <v>2</v>
      </c>
      <c r="J126" s="2">
        <f>IF(OR(_xlfn.XLOOKUP(B126,'Base stats'!B:B,'Base stats'!AB:AB)=1,_xlfn.XLOOKUP(_xlfn.XLOOKUP(B126,'Base stats'!B:B,'Base stats'!E:E),Groups!A:A,Groups!C:C)="Untamable"),1,IF(_xlfn.XLOOKUP(B126,'Base stats'!B:B,'Base stats'!AL:AL)=1,0.99,MIN(MROUND((1-0.6282*EXP(-0.459*AO126))*_xlfn.XLOOKUP(_xlfn.XLOOKUP(B126,'Base stats'!B:B,'Base stats'!E:E),Groups!A:A,Groups!C:C)*IF(_xlfn.XLOOKUP(B126,'Base stats'!B:B,'Base stats'!O:O)=1,0.5,IF(_xlfn.XLOOKUP(B126,'Base stats'!B:B,'Base stats'!O:O)=2,0,1)),0.05),IF(AO126&gt;3.5,0.985,0.95))))</f>
        <v>0.70000000000000007</v>
      </c>
      <c r="K126" s="2">
        <f>ROUNDUP(AO126*_xlfn.XLOOKUP(_xlfn.XLOOKUP(B126,'Base stats'!B:B,'Base stats'!E:E),Groups!A:A,Groups!E:E),0)</f>
        <v>1</v>
      </c>
      <c r="L126" s="2">
        <f>IF(OR(_xlfn.XLOOKUP(_xlfn.XLOOKUP(B126,'Base stats'!B:B,'Base stats'!E:E),Groups!A:A,Groups!F:F)=2,ISNUMBER(SEARCH("SeaIce",BX126)),ISNUMBER(SEARCH("IceSheet",BX126))),-50,IF(OR(ISNUMBER(SEARCH("GlacialPlain",BX126)),ISNUMBER(SEARCH("Tundra",BX126))),-40,IF(OR(ISNUMBER(SEARCH("Alpine",BX126)),ISNUMBER(SEARCH("BorealForest",BX126)),ISNUMBER(SEARCH("ColdBog",BX126))),-30,IF(OR(ISNUMBER(SEARCH("TemperateForest",BX126)),ISNUMBER(SEARCH("TemperateSwamp",BX126))),-20,IF(_xlfn.XLOOKUP(_xlfn.XLOOKUP(B126,'Base stats'!B:B,'Base stats'!E:E),Groups!A:A,Groups!F:F)=1,-15,IF(OR(ISNUMBER(SEARCH("Desert",BX126)),ISNUMBER(SEARCH("ExtremeDesert",BX126))),-10,IF(OR(ISNUMBER(SEARCH("Grasslands",BX126)),ISNUMBER(SEARCH("TropicalRainforest",BX126)),ISNUMBER(SEARCH("TropicalSwamp",BX126))),10,0)))))))-IF(CC126="False",MIN(IFERROR(MAX(MROUND(LOG10(_xlfn.XLOOKUP(B126,'Base stats'!B:B,'Base stats'!C:C)^(2/3))*10,5),5),5),30))-_xlfn.XLOOKUP(B126,'Base stats'!B:B,'Base stats'!P:P)+IF(CC126="True",5,0)</f>
        <v>-5</v>
      </c>
      <c r="M126" s="2">
        <f>IF(OR(_xlfn.XLOOKUP(_xlfn.XLOOKUP(B126,'Base stats'!B:B,'Base stats'!E:E),Groups!A:A,Groups!G:G)=2,ISNUMBER(SEARCH("Desert",BX126)),ISNUMBER(SEARCH("ExtremeDesert",BX126)),ISNUMBER(SEARCH("LavaField",BX126))),50,IF(ISNUMBER(SEARCH("Grasslands",BX126)),45,IF(OR(_xlfn.XLOOKUP(_xlfn.XLOOKUP(B126,'Base stats'!B:B,'Base stats'!E:E),Groups!A:A,Groups!G:G)=1,ISNUMBER(SEARCH("TropicalRainforest",BX126)),ISNUMBER(SEARCH("TropicalSwamp",BX126))),40,IF(OR(ISNUMBER(SEARCH("TemperateForest",BX126)),ISNUMBER(SEARCH("TemperateSwamp",BX126))),35,IF(OR(ISNUMBER(SEARCH("Alpine",BX126)),ISNUMBER(SEARCH("BorealForest",BX126)),ISNUMBER(SEARCH("ColdBog",BX126))),30,IF(ISNUMBER(OR(ISNUMBER(SEARCH("GlacialPlain",BX126)),SEARCH("Tundra",BX126))),25,IF(OR(ISNUMBER(SEARCH("SeaIce",BX126)),ISNUMBER(SEARCH("IceSheet",BX126)),ISNUMBER(SEARCH("TropicalSwamp",BX126))),10,35)))))))+_xlfn.XLOOKUP(B126,'Base stats'!B:B,'Base stats'!Q:Q)</f>
        <v>50</v>
      </c>
      <c r="N126" s="8" t="str">
        <f>IF(
_xlfn.XLOOKUP(
_xlfn.XLOOKUP(B126,'Base stats'!B:B,'Base stats'!E:E),
Groups!A:A,
Groups!L:L
)=1,
MIN(
MROUND(
IF(
_xlfn.XLOOKUP(B126,'Animals CE'!B:B,'Animals CE'!Z:Z)&lt;=1.5,
_xlfn.XLOOKUP(B126,'Animals CE'!B:B,'Animals CE'!Z:Z)/2+0.05,
0.8+
(_xlfn.XLOOKUP(B126,'Animals CE'!B:B,'Animals CE'!Z:Z)-1.5)
*0.02
),
0.05
),
200%
),
"No"
)</f>
        <v>No</v>
      </c>
      <c r="O126" s="8" t="str">
        <f>IF(
_xlfn.XLOOKUP(
_xlfn.XLOOKUP(B126,'Base stats'!B:B,'Base stats'!E:E),
Groups!A:A,
Groups!L:L
)=1,
MIN(
MROUND(
IF(
_xlfn.XLOOKUP(B126,'Animals CE'!B:B,'Animals CE'!AA:AA)&lt;=1.5,
_xlfn.XLOOKUP(B126,'Animals CE'!B:B,'Animals CE'!AA:AA)/2+0.05,
0.8+
(_xlfn.XLOOKUP(B126,'Animals CE'!B:B,'Animals CE'!AA:AA)-1.5)
*0.02
),
0.05
),
200%
),
"No"
)</f>
        <v>No</v>
      </c>
      <c r="P126" s="2" t="str">
        <f>_xlfn.XLOOKUP(B126,'Base stats'!B:B,'Base stats'!R:R)</f>
        <v>Standard</v>
      </c>
      <c r="Q126" s="13">
        <f>MROUND((LOG10(_xlfn.XLOOKUP(B126,'Base stats'!B:B,'Base stats'!AR:AR))*(AO126^0.5)+(_xlfn.XLOOKUP(B126,'Base stats'!B:B,'Base stats'!AR:AR)/1000)^(2/3)+_xlfn.XLOOKUP(B126,'Base stats'!B:B,'Base stats'!BA:BA)/2)+0.5,0.5)</f>
        <v>3</v>
      </c>
      <c r="R126" s="7">
        <f>IF(Q126="No","No",MAX(1,MROUND(_xlfn.XLOOKUP(B126,'Base stats'!B:B,'Base stats'!C:C)^0.165,0.05)))</f>
        <v>1.35</v>
      </c>
      <c r="S126" s="13" t="str">
        <f>IF(_xlfn.XLOOKUP(_xlfn.XLOOKUP(B126,'Base stats'!B:B,'Base stats'!E:E),Groups!A:A,Groups!P:P)=0,"No",MROUND((LOG10(_xlfn.XLOOKUP(B126,'Base stats'!B:B,'Base stats'!AS:AS))*(AO126^0.5)+(_xlfn.XLOOKUP(B126,'Base stats'!B:B,'Base stats'!AS:AS)/1000)^(2/3)+_xlfn.XLOOKUP(B126,'Base stats'!B:B,'Base stats'!BA:BA))+_xlfn.XLOOKUP(B126,'Base stats'!B:B,'Base stats'!AY:AY)+0.5,0.5))</f>
        <v>No</v>
      </c>
      <c r="T126" s="7" t="str">
        <f>IF(S126="No","No",MAX(_xlfn.XLOOKUP(_xlfn.XLOOKUP(B126,'Base stats'!B:B,'Base stats'!E:E),Groups!A:A,Groups!Q:Q),MROUND(_xlfn.XLOOKUP(_xlfn.XLOOKUP(B126,'Base stats'!B:B,'Base stats'!E:E),Groups!A:A,Groups!Q:Q)*_xlfn.XLOOKUP(B126,'Base stats'!B:B,'Base stats'!C:C)^0.165,0.05)))</f>
        <v>No</v>
      </c>
      <c r="U126" s="7" t="str">
        <f>IF(S126="No","No",_xlfn.XLOOKUP(_xlfn.XLOOKUP(B126,'Base stats'!B:B,'Base stats'!E:E),Groups!A:A,Groups!R:R))</f>
        <v>No</v>
      </c>
      <c r="V126" s="7" t="str">
        <f>IF(S126="No","No",_xlfn.XLOOKUP(_xlfn.XLOOKUP(B126,'Base stats'!B:B,'Base stats'!E:E),Groups!A:A,Groups!S:S))</f>
        <v>No</v>
      </c>
      <c r="W126" s="7" t="str">
        <f>IF(S126="No","No",_xlfn.XLOOKUP(_xlfn.XLOOKUP(B126,'Base stats'!B:B,'Base stats'!E:E),Groups!A:A,Groups!T:T))</f>
        <v>No</v>
      </c>
      <c r="X126" s="13" t="str">
        <f>IF(_xlfn.XLOOKUP(B126,'Base stats'!B:B,'Base stats'!W:W)="No","No",MROUND((LOG10(_xlfn.XLOOKUP(B126,'Base stats'!B:B,'Base stats'!AU:AU))*(AO126^0.5)+(_xlfn.XLOOKUP(B126,'Base stats'!B:B,'Base stats'!AU:AU)/1000)^(2/3)+_xlfn.XLOOKUP(B126,'Base stats'!B:B,'Base stats'!AZ:AZ))+0.5+IF(_xlfn.XLOOKUP(_xlfn.XLOOKUP(B126,'Base stats'!B:B,'Base stats'!E:E),Groups!A:A,Groups!U:U)&lt;&gt;3,_xlfn.XLOOKUP(B126,'Base stats'!B:B,'Base stats'!BA:BA),0),0.5))</f>
        <v>No</v>
      </c>
      <c r="Y126" s="7" t="str">
        <f>IF(X126="No","No",MAX(_xlfn.XLOOKUP(_xlfn.XLOOKUP(B126,'Base stats'!B:B,'Base stats'!E:E),Groups!A:A,Groups!V:V),MROUND(_xlfn.XLOOKUP(_xlfn.XLOOKUP(B126,'Base stats'!B:B,'Base stats'!E:E),Groups!A:A,Groups!V:V)*_xlfn.XLOOKUP(B126,'Base stats'!B:B,'Base stats'!C:C)^0.165,0.05)))</f>
        <v>No</v>
      </c>
      <c r="Z126" s="7" t="str">
        <f>IF(X126="No","No",_xlfn.XLOOKUP(_xlfn.XLOOKUP(B126,'Base stats'!B:B,'Base stats'!E:E),Groups!A:A,Groups!W:W))</f>
        <v>No</v>
      </c>
      <c r="AA126" s="7" t="str">
        <f>IF(X126="No","No",_xlfn.XLOOKUP(_xlfn.XLOOKUP(B126,'Base stats'!B:B,'Base stats'!E:E),Groups!A:A,Groups!X:X))</f>
        <v>No</v>
      </c>
      <c r="AB126" s="7" t="str">
        <f>IF(X126="No","No",_xlfn.XLOOKUP(_xlfn.XLOOKUP(B126,'Base stats'!B:B,'Base stats'!E:E),Groups!A:A,Groups!Y:Y))</f>
        <v>No</v>
      </c>
      <c r="AC126" s="7" t="str">
        <f>_xlfn.XLOOKUP(Animals!B126,'Base stats'!B:B,'Base stats'!X:X)</f>
        <v>False</v>
      </c>
      <c r="AD126" s="13">
        <f>IF(_xlfn.XLOOKUP(B126,'Base stats'!B:B,'Base stats'!AT:AT)="No","No",MROUND((LOG10(_xlfn.XLOOKUP(B126,'Base stats'!B:B,'Base stats'!AT:AT))*(AO126^0.75)+(_xlfn.XLOOKUP(B126,'Base stats'!B:B,'Base stats'!AT:AT)/1000)^(2/3)+_xlfn.XLOOKUP(B126,'Base stats'!B:B,'Base stats'!AX:AX)+_xlfn.XLOOKUP(B126,'Base stats'!B:B,'Base stats'!BA:BA))+0.5,0.5))</f>
        <v>5.5</v>
      </c>
      <c r="AE126" s="7">
        <f>IF(AD126="No","No",MAX(_xlfn.XLOOKUP(_xlfn.XLOOKUP(B126,'Base stats'!B:B,'Base stats'!E:E),Groups!A:A,Groups!Z:Z),MROUND(_xlfn.XLOOKUP(_xlfn.XLOOKUP(B126,'Base stats'!B:B,'Base stats'!E:E),Groups!A:A,Groups!Z:Z)*_xlfn.XLOOKUP(B126,'Base stats'!B:B,'Base stats'!C:C)^0.165,0.05)))</f>
        <v>1.05</v>
      </c>
      <c r="AF126" s="7" t="str">
        <f>IF(AD126="No","No",_xlfn.XLOOKUP(_xlfn.XLOOKUP(B126,'Base stats'!B:B,'Base stats'!E:E),Groups!A:A,Groups!AA:AA))</f>
        <v>Mouth</v>
      </c>
      <c r="AG126" s="7" t="str">
        <f>IF(AD126="No","No",_xlfn.XLOOKUP(_xlfn.XLOOKUP(B126,'Base stats'!B:B,'Base stats'!E:E),Groups!A:A,Groups!AB:AB))</f>
        <v>fangs</v>
      </c>
      <c r="AH126" s="7" t="str">
        <f>IF(AD126="No","No",_xlfn.XLOOKUP(_xlfn.XLOOKUP(B126,'Base stats'!B:B,'Base stats'!E:E),Groups!A:A,Groups!AC:AC))</f>
        <v>ToxicBite</v>
      </c>
      <c r="AI126" s="13" t="str">
        <f>IF(_xlfn.XLOOKUP(_xlfn.XLOOKUP(B126,'Base stats'!B:B,'Base stats'!E:E),Groups!A:A,Groups!AD:AD)=0,"No",MROUND((LOG10(_xlfn.XLOOKUP(B126,'Base stats'!B:B,'Base stats'!AS:AS))*(AO126^0.75)+(_xlfn.XLOOKUP(B126,'Base stats'!B:B,'Base stats'!AS:AS)/1000)^(2/3)+_xlfn.XLOOKUP(B126,'Base stats'!B:B,'Base stats'!AY:AY)+_xlfn.XLOOKUP(B126,'Base stats'!B:B,'Base stats'!BA:BA))+0.5,0.5))</f>
        <v>No</v>
      </c>
      <c r="AJ126" s="7" t="str">
        <f>IF(AI126="No","No",MAX(_xlfn.XLOOKUP(_xlfn.XLOOKUP(B126,'Base stats'!B:B,'Base stats'!E:E),Groups!A:A,Groups!AE:AE),MROUND(_xlfn.XLOOKUP(_xlfn.XLOOKUP(B126,'Base stats'!B:B,'Base stats'!E:E),Groups!A:A,Groups!AE:AE)*IF(_xlfn.XLOOKUP(_xlfn.XLOOKUP(B126,'Base stats'!B:B,'Base stats'!E:E),Groups!A:A,Groups!AJ:AJ)="Photonozoa",0.6,1)*_xlfn.XLOOKUP(B126,'Base stats'!B:B,'Base stats'!C:C)^0.165,0.05)))</f>
        <v>No</v>
      </c>
      <c r="AK126" s="7" t="str">
        <f>IF(AI126="No","No",_xlfn.XLOOKUP(_xlfn.XLOOKUP(B126,'Base stats'!B:B,'Base stats'!E:E),Groups!A:A,Groups!AF:AF))</f>
        <v>No</v>
      </c>
      <c r="AL126" s="7" t="str">
        <f>IF(AI126="No","No",_xlfn.XLOOKUP(_xlfn.XLOOKUP(B126,'Base stats'!B:B,'Base stats'!E:E),Groups!A:A,Groups!AG:AG))</f>
        <v>No</v>
      </c>
      <c r="AM126" s="7" t="str">
        <f>IF(AI126="No","No",_xlfn.XLOOKUP(_xlfn.XLOOKUP(B126,'Base stats'!B:B,'Base stats'!E:E),Groups!A:A,Groups!AH:AH))</f>
        <v>No</v>
      </c>
      <c r="AN126" s="2">
        <f t="shared" si="7"/>
        <v>15</v>
      </c>
      <c r="AO126" s="2">
        <f>MROUND(IF(AND(_xlfn.XLOOKUP(B126,'Base stats'!B:B,'Base stats'!C:C)&gt;=0.5,_xlfn.XLOOKUP(B126,'Base stats'!B:B,'Base stats'!C:C)&lt;=0.8),
IF(_xlfn.XLOOKUP(B126,'Base stats'!B:B,'Base stats'!C:C)&lt;0.1,0.05,IF(_xlfn.XLOOKUP(B126,'Base stats'!B:B,'Base stats'!C:C)&lt;=70,(_xlfn.XLOOKUP(B126,'Base stats'!B:B,'Base stats'!C:C)/70)^0.426489913056526,IF(_xlfn.XLOOKUP(B126,'Base stats'!B:B,'Base stats'!C:C)&lt;=400,(_xlfn.XLOOKUP(B126,'Base stats'!B:B,'Base stats'!C:C)/70)^0.572811455315093,IF(_xlfn.XLOOKUP(B126,'Base stats'!B:B,'Base stats'!C:C)&lt;=2000,2.71391647193063*(_xlfn.XLOOKUP(B126,'Base stats'!B:B,'Base stats'!C:C)/400)^0.252459582904293,3.74314280240376*(_xlfn.XLOOKUP(B126,'Base stats'!B:B,'Base stats'!C:C)/2000)^0.357012633876913)))),
IF(_xlfn.XLOOKUP(B126,'Base stats'!B:B,'Base stats'!C:C)&lt;0.1,0.05,IF(_xlfn.XLOOKUP(B126,'Base stats'!B:B,'Base stats'!C:C)&lt;0.4,0.1,IF(_xlfn.XLOOKUP(B126,'Base stats'!B:B,'Base stats'!C:C)&lt;=70,(_xlfn.XLOOKUP(B126,'Base stats'!B:B,'Base stats'!C:C)/70)^0.445823913056526,IF(_xlfn.XLOOKUP(B126,'Base stats'!B:B,'Base stats'!C:C)&lt;=400,(_xlfn.XLOOKUP(B126,'Base stats'!B:B,'Base stats'!C:C)/70)^0.572811455315093,IF(_xlfn.XLOOKUP(B126,'Base stats'!B:B,'Base stats'!C:C)&lt;=2000,2.71391647193063*(_xlfn.XLOOKUP(B126,'Base stats'!B:B,'Base stats'!C:C)/400)^0.252459582904293,3.74314280240376*(_xlfn.XLOOKUP(B126,'Base stats'!B:B,'Base stats'!C:C)/2000)^0.357012633876913)))))),
IF(_xlfn.XLOOKUP(B126,'Base stats'!B:B,'Base stats'!C:C)&lt;0.1,0.05,IF(_xlfn.XLOOKUP(B126,'Base stats'!B:B,'Base stats'!C:C)&lt;=100,0.05,IF(_xlfn.XLOOKUP(B126,'Base stats'!B:B,'Base stats'!C:C)&lt;=250,0.1,IF(_xlfn.XLOOKUP(B126,'Base stats'!B:B,'Base stats'!C:C)&lt;=4000,0.25,0.5)))))</f>
        <v>0.35000000000000003</v>
      </c>
      <c r="AP126" s="8">
        <f>MROUND(AO126*_xlfn.XLOOKUP(_xlfn.XLOOKUP(B126,'Base stats'!B:B,'Base stats'!E:E),Groups!A:A,Groups!AI:AI)*_xlfn.XLOOKUP(B126,'Base stats'!B:B,'Base stats'!Z:Z),0.05)</f>
        <v>0.35000000000000003</v>
      </c>
      <c r="AQ126" s="8">
        <f>MAX(0.01,MROUND(IF(CC126="True",0.196*(AO126*100*1000)^0.889,IF(_xlfn.XLOOKUP(_xlfn.XLOOKUP(B126,'Base stats'!B:B,'Base stats'!E:E),Groups!A:A,Groups!AJ:AJ)="Bird",10.5*(AO126*100*1000)^0.681,4.82*(AO126*100*1000)^0.734))/(4.82*(1*100*1000)^0.734)/IF(AO126&lt;3.5,2,IF(AO126=3.5,1.5,1.25))*(1+0.132282374779864/(AO126^0.994035016789033+0.00905238001496948)),0.05))</f>
        <v>0.05</v>
      </c>
      <c r="AR126" s="9">
        <f>IFERROR(MROUND(_xlfn.XLOOKUP(B126,'Base stats'!B:B,'Base stats'!H:H)/IF(_xlfn.XLOOKUP(B126,'Base stats'!B:B,'Base stats'!I:I)&lt;&gt;1,(122.5/70),1.2),IF(_xlfn.XLOOKUP(B126,'Base stats'!B:B,'Base stats'!H:H)&gt;=30,5,IF(_xlfn.XLOOKUP(B126,'Base stats'!B:B,'Base stats'!H:H)&gt;=15,3,IF(_xlfn.XLOOKUP(B126,'Base stats'!B:B,'Base stats'!H:H)&gt;=10,2,1)))),"Immortal")</f>
        <v>12</v>
      </c>
      <c r="AS126" s="35">
        <f>IFERROR(IF(OR(_xlfn.XLOOKUP(B126,'Base stats'!B:B,'Base stats'!F:F)="Atypical reproduction",_xlfn.XLOOKUP(B126,'Base stats'!B:B,'Base stats'!F:F)="Lay eggs"),"Lay eggs",MIN(20,MAX(5.5,ROUND(((_xlfn.XLOOKUP(B126,'Base stats'!B:B,'Base stats'!F:F)-25)*(14.5/615) + 5.5)*2,0)/2))),"Unknown")</f>
        <v>8.5</v>
      </c>
      <c r="AT126" s="8">
        <f>IF(_xlfn.XLOOKUP(B126,'Base stats'!B:B,'Base stats'!G:G)="Atypical reproduction","No",IFERROR(MAX(IF(_xlfn.XLOOKUP(B126,'Base stats'!B:B,'Base stats'!G:G)&lt;0.5,0.2,0.3),MROUND(_xlfn.XLOOKUP(B126,'Base stats'!B:B,'Base stats'!G:G)/(365/60),0.2)),"Unknown"))</f>
        <v>0.4</v>
      </c>
      <c r="AU126" s="8">
        <f t="shared" si="8"/>
        <v>0.2</v>
      </c>
      <c r="AV126" s="8">
        <f>IFERROR(IFERROR(MROUND(_xlfn.XLOOKUP(B126,'Base stats'!B:B,'Base stats'!J:J),0.1),"Lay eggs"),"Cannot breed")</f>
        <v>18</v>
      </c>
      <c r="AW126" s="2" t="str">
        <f t="shared" si="9"/>
        <v>false</v>
      </c>
      <c r="AX126" s="2" t="str">
        <f>IF(_xlfn.XLOOKUP(_xlfn.XLOOKUP(Animals!B126,'Base stats'!B:B,'Base stats'!E:E),Groups!A:A,Groups!AK:AK)=1,"true","false")</f>
        <v>false</v>
      </c>
      <c r="AY126" s="25" t="str">
        <f>IF(_xlfn.XLOOKUP(B126,'Base stats'!B:B,'Base stats'!Y:Y)="Liquor","Liquor, CarnivoreAnimalStrict",IF(AND(_xlfn.XLOOKUP(B126,'Base stats'!B:B,'Base stats'!Y:Y)="Carnivore",_xlfn.XLOOKUP(_xlfn.XLOOKUP(B126,'Base stats'!B:B,'Base stats'!E:E),Groups!A:A,Groups!AJ:AJ)="Photonozoa"),"CarnivoreAnimalStrict, OvivoreAnimal",IF(_xlfn.XLOOKUP(B126,'Base stats'!B:B,'Base stats'!Y:Y)="Carnivore","CarnivoreAnimal, OvivoreAnimal",IF(_xlfn.XLOOKUP(B126,'Base stats'!B:B,'Base stats'!Y:Y)="Dendrovore","VegetarianRoughAnimal, DendrovoreAnimal",IF(_xlfn.XLOOKUP(B126,'Base stats'!B:B,'Base stats'!Y:Y)="Herbivore","VegetarianRoughAnimal",IF(_xlfn.XLOOKUP(B126,'Base stats'!B:B,'Base stats'!Y:Y)="OmnivoreRough","OmnivoreRoughAnimal, OvivoreAnimal","OmnivoreAnimal, OvivoreAnimal"))))))</f>
        <v>CarnivoreAnimal, OvivoreAnimal</v>
      </c>
      <c r="AZ126" s="2" t="str">
        <f>IF(_xlfn.XLOOKUP(_xlfn.XLOOKUP(B126,'Base stats'!B:B,'Base stats'!E:E),Groups!A:A,Groups!D:D)=1,MROUND((1-J126)*5+1,2)*IF(J126&lt;=0.4,2,1),"No")</f>
        <v>No</v>
      </c>
      <c r="BA126" s="2" t="str">
        <f>IF(AND(_xlfn.XLOOKUP(B126,'Base stats'!B:B,'Base stats'!AH:AH)="&lt;li&gt;Seal&lt;/li&gt;",G126="Odyssey"),"&lt;li&gt;AEXP_Seal&lt;/li&gt;",_xlfn.XLOOKUP(B126,'Base stats'!B:B,'Base stats'!AH:AH))</f>
        <v>&lt;li&gt;Cobra&lt;/li&gt;</v>
      </c>
      <c r="BB126" s="2" t="str">
        <f>_xlfn.XLOOKUP(B126,'Base stats'!B:B,'Base stats'!AG:AG)</f>
        <v>Leather_Lizard</v>
      </c>
      <c r="BC126" s="23" t="str">
        <f>_xlfn.XLOOKUP(_xlfn.XLOOKUP(B126,'Base stats'!B:B,'Base stats'!E:E),Groups!A:A,Groups!AL:AL)</f>
        <v>Snake</v>
      </c>
      <c r="BD126" s="23">
        <f>MIN(1,MROUND(IF(AND(AO126&lt;0.5,_xlfn.XLOOKUP(B126,'Base stats'!B:B,'Base stats'!AA:AA)=0),0,IF(OR(_xlfn.XLOOKUP(Animals!B126,'Base stats'!B:B,'Base stats'!O:O)=2,_xlfn.XLOOKUP(_xlfn.XLOOKUP(B126,'Base stats'!B:B,'Base stats'!E:E),Groups!A:A,Groups!AN:AN)=0),0,_xlfn.XLOOKUP(_xlfn.XLOOKUP(B126,'Base stats'!B:B,'Base stats'!E:E),Groups!A:A,Groups!AN:AN)/IF(_xlfn.XLOOKUP(Animals!B126,'Base stats'!B:B,'Base stats'!O:O)=1,2,1)))+_xlfn.XLOOKUP(B126,'Base stats'!B:B,'Base stats'!AC:AC),0.005))</f>
        <v>0</v>
      </c>
      <c r="BE126" s="23">
        <f>MIN(1,MROUND(IF(AND(AO126&lt;0.5,_xlfn.XLOOKUP(B126,'Base stats'!B:B,'Base stats'!AA:AA)=0),0,IF(_xlfn.XLOOKUP(_xlfn.XLOOKUP(B126,'Base stats'!B:B,'Base stats'!E:E),Groups!A:A,Groups!AO:AO)=0,0,_xlfn.XLOOKUP(_xlfn.XLOOKUP(B126,'Base stats'!B:B,'Base stats'!E:E),Groups!A:A,Groups!AO:AO)/IF(_xlfn.XLOOKUP(Animals!B126,'Base stats'!B:B,'Base stats'!O:O)=2,3,1)))+_xlfn.XLOOKUP(B126,'Base stats'!B:B,'Base stats'!AD:AD),0.005))</f>
        <v>0</v>
      </c>
      <c r="BF126" s="2" t="str">
        <f>IF(J126&gt;0.3,"No",_xlfn.XLOOKUP(_xlfn.XLOOKUP(Animals!B126,'Base stats'!B:B,'Base stats'!E:E),Groups!A:A,Groups!AP:AP))</f>
        <v>No</v>
      </c>
      <c r="BG126" s="2" t="str">
        <f>IF(AND(J126&lt;=0.65,_xlfn.XLOOKUP(_xlfn.XLOOKUP(Animals!B126,'Base stats'!B:B,'Base stats'!E:E),Groups!A:A,Groups!AP:AP)&lt;&gt;"No",_xlfn.XLOOKUP(_xlfn.XLOOKUP(B126,'Base stats'!B:B,'Base stats'!E:E),Groups!A:A,Groups!D:D)=0),MROUND((80/3)*IF(_xlfn.XLOOKUP(B126,'Base stats'!B:B,'Base stats'!O:O)=2,0.2,AO126) + 24*(1-IF(BF126="No",0,BF126)) + 16/3, 12),"No")</f>
        <v>No</v>
      </c>
      <c r="BH126" s="2">
        <f>IF(AND(_xlfn.XLOOKUP(_xlfn.XLOOKUP(B126,'Base stats'!B:B,'Base stats'!E:E),Groups!A:A,Groups!AQ:AQ)=1,AO126&lt;=0.35),8,12)</f>
        <v>12</v>
      </c>
      <c r="BI126" s="2" t="str">
        <f>IF(_xlfn.XLOOKUP(_xlfn.XLOOKUP(B126,'Base stats'!B:B,'Base stats'!E:E),Groups!A:A,Groups!D:D)=0,_xlfn.XLOOKUP(_xlfn.XLOOKUP(B126,'Base stats'!B:B,'Base stats'!E:E),Groups!A:A,Groups!AR:AR),"None")</f>
        <v>None</v>
      </c>
      <c r="BJ126" s="2" t="str">
        <f>IF(AND(_xlfn.XLOOKUP(_xlfn.XLOOKUP(B126,'Base stats'!B:B,'Base stats'!E:E),Groups!A:A,Groups!AS:AS)=1,OR(_xlfn.XLOOKUP(B126,'Base stats'!B:B,'Base stats'!Y:Y)="Carnivore",_xlfn.XLOOKUP(B126,'Base stats'!B:B,'Base stats'!Y:Y)="Omnivore")),"true","false")</f>
        <v>true</v>
      </c>
      <c r="BK126" s="2">
        <f>IF(BJ126="true",MROUND(IF(AND(AO126&gt;0.5,OR(_xlfn.XLOOKUP(_xlfn.XLOOKUP(B126,'Base stats'!B:B,'Base stats'!E:E),Groups!A:A,Groups!AJ:AJ)="Photonozoa",_xlfn.XLOOKUP(_xlfn.XLOOKUP(B126,'Base stats'!B:B,'Base stats'!E:E),Groups!A:A,Groups!AJ:AJ)="Mammal")),Animals!AO126*1.75*IF(AW126="true",1.5,1),IF(AO126&lt;0.5,Animals!AO126*0.5,Animals!AO126)),IF(AO126&gt;2,0.5,IF(AO126&gt;0.5,0.25,0.1))),"No")</f>
        <v>0.2</v>
      </c>
      <c r="BL126" s="2">
        <f t="shared" si="10"/>
        <v>0</v>
      </c>
      <c r="BM126" s="25" t="str">
        <f>IF(_xlfn.XLOOKUP(B126,'Base stats'!B:B,'Base stats'!AN:AN)="Standard","No",MROUND((_xlfn.XLOOKUP(B126,'Base stats'!B:B,'Base stats'!AN:AN)/3.6)/I126,0.1))</f>
        <v>No</v>
      </c>
      <c r="BN126" s="25" t="str">
        <f t="shared" si="11"/>
        <v>false</v>
      </c>
      <c r="BO126" s="25" t="str">
        <f>IF(AND(OR(_xlfn.XLOOKUP(B126,'Base stats'!B:B,'Base stats'!Y:Y)="Carnivore",_xlfn.XLOOKUP(B126,'Base stats'!B:B,'Base stats'!Y:Y)="Omnivore",_xlfn.XLOOKUP(B126,'Base stats'!B:B,'Base stats'!Y:Y)="OmnivoreRough"),_xlfn.XLOOKUP(_xlfn.XLOOKUP(B126,'Base stats'!B:B,'Base stats'!E:E),Groups!A:A,Groups!AT:AT)=1),"true","false")</f>
        <v>false</v>
      </c>
      <c r="BP126" s="25" t="str" cm="1">
        <f t="array" ref="BP126">IF(
  _xlfn.TEXTJOIN(", ",TRUE,
    IF(AND(BJ126="true",AO126&gt;0.5,BI126&lt;&gt;"None"),"AttackTarget",""),
    IF(AND(_xlfn.XLOOKUP(_xlfn.XLOOKUP(B126,'Base stats'!B:B,'Base stats'!E:E),Groups!A:A,Groups!AJ:AJ="Mammal"),OR(_xlfn.XLOOKUP(B126,'Base stats'!B:B,'Base stats'!Y:Y)="Omnivore",_xlfn.XLOOKUP(B126,'Base stats'!B:B,'Base stats'!Y:Y)="OmnivoreRough")),"Forage",""),
    IF(BG126&lt;=36,"Comfort",""),
    IF(_xlfn.XLOOKUP(B126,'Base stats'!B:B,'Base stats'!AE:AE)&lt;&gt;"No",_xlfn.XLOOKUP(B126,'Base stats'!B:B,'Base stats'!AE:AE),"")
  ) = "",
  "No",
  _xlfn.TEXTJOIN(", ",TRUE,
    IF(AND(BJ126="true",AO126&gt;0.5,BI126&lt;&gt;"None"),"AttackTarget",""),
    IF(AND(_xlfn.XLOOKUP(_xlfn.XLOOKUP(B126,'Base stats'!B:B,'Base stats'!E:E),Groups!A:A,Groups!AJ:AJ="Mammal"),OR(_xlfn.XLOOKUP(B126,'Base stats'!B:B,'Base stats'!Y:Y)="Omnivore",_xlfn.XLOOKUP(B126,'Base stats'!B:B,'Base stats'!Y:Y)="OmnivoreRough")),"Forage",""),
    IF(BG126&lt;=36,"Comfort",""),
    IF(_xlfn.XLOOKUP(B126,'Base stats'!B:B,'Base stats'!AE:AE)&lt;&gt;"No",_xlfn.XLOOKUP(B126,'Base stats'!B:B,'Base stats'!AE:AE),"")
  )
)</f>
        <v>No</v>
      </c>
      <c r="BQ126" s="25" t="str">
        <f>IF(
   AND(
      'Base stats'!AN126="Standard",_xlfn.XLOOKUP(_xlfn.XLOOKUP(B126,'Base stats'!B:B,'Base stats'!E:E),Groups!A:A,Groups!AU:AU)=0,
      OR(
      BO126="True"
      )
   ),
   10,
   IF(
       OR(BM126&lt;&gt;"No",_xlfn.XLOOKUP(_xlfn.XLOOKUP(B126,'Base stats'!B:B,'Base stats'!E:E),Groups!A:A,Groups!AU:AU)=1),
      1,
      "No"
   )
)</f>
        <v>No</v>
      </c>
      <c r="BR126" s="9">
        <f>MROUND((1 + ((0.2*IF(OR(Q126="No",R126="No",R126=0),0,Q126/R126)
+IF(OR(V126="No",S126="No",T126="No"),0,S126/T126*(LEN(V126)-LEN(SUBSTITUTE(V126,",",""))+1))
+IF(OR(X126="No",Y126="No"),0,X126/Y126)
+IF(OR(AD126="No",AE126="No"),0,AD126/AE126)
+IF(OR(AL126="No",AI126="No",AJ126="No"),0,AI126/AJ126*(LEN(AL126)-LEN(SUBSTITUTE(AL126,",",""))+1))
)/(0.2*IF(OR(Q126="No",R126="No",R126=0),0,1)
+IF(OR(V126="No",S126="No",T126="No"),0,LEN(V126)-LEN(SUBSTITUTE(V126,",",""))+1)
+IF(OR(X126="No",Y126="No"),0,1)
+IF(OR(AD126="No",AE126="No"),0,1)
+IF(OR(AL126="No",AI126="No",AJ126="No"),0,LEN(AL126)-LEN(SUBSTITUTE(AL126,",",""))+1))*62%)* 2)*(1 + (AP126 / (IF(_xlfn.XLOOKUP(_xlfn.XLOOKUP(B126,'Base stats'!B:B,'Base stats'!E:E),Groups!A:A,Groups!AJ:AJ)="Photonozoa",0.3,1)) + _xlfn.XLOOKUP(B126,'Base stats'!B:B,'Base stats'!AV:AV) * 1.8) * 2) * 2.5 + 10 + I126 * 2,5)+IF(_xlfn.XLOOKUP(B126,'Base stats'!B:B,'Base stats'!AK:AK)=1,50,0)</f>
        <v>45</v>
      </c>
      <c r="BS126" s="8">
        <f t="shared" si="12"/>
        <v>0.1</v>
      </c>
      <c r="BT126" s="8" t="str">
        <f>_xlfn.XLOOKUP(B126,'Base stats'!B:B,'Base stats'!AF:AF)</f>
        <v>No</v>
      </c>
      <c r="BU126" s="2" t="str">
        <f>IF(AND(J126&lt;=0.95,OR(_xlfn.XLOOKUP(B126,'Base stats'!B:B,'Base stats'!AK:AK)=1,_xlfn.XLOOKUP(B126,'Base stats'!B:B,'Base stats'!Y:Y)="Carnivore",_xlfn.XLOOKUP(B126,'Base stats'!B:B,'Base stats'!Y:Y)="Omnivore",BE126&gt;0.1)),"true","false")</f>
        <v>true</v>
      </c>
      <c r="BV126" s="2" t="str">
        <f>IF(_xlfn.XLOOKUP(B126,'Base stats'!B:B,'Base stats'!AI:AI)=1,"true","false")</f>
        <v>false</v>
      </c>
      <c r="BW126" s="25" t="str">
        <f>IF(E126="BaseInsect","AnimalInsect",
IF(J126&gt;0.95,"AnimalExotic",
_xlfn.TEXTJOIN(", ",TRUE,
IF(OR(_xlfn.XLOOKUP(B126,'Base stats'!B:B,'Base stats'!AM:AM)=1,AND(_xlfn.XLOOKUP(B126,'Base stats'!B:B,'Base stats'!O:O)=0,_xlfn.XLOOKUP(_xlfn.XLOOKUP(B126,'Base stats'!B:B,'Base stats'!E:E),Groups!A:A,Groups!B:B)&gt;0)),"AnimalUncommon","AnimalCommon"),
IF(AND(_xlfn.XLOOKUP(B126,'Base stats'!B:B,'Base stats'!O:O)=2,_xlfn.XLOOKUP(_xlfn.XLOOKUP(B126,'Base stats'!B:B,'Base stats'!E:E),Groups!A:A,Groups!D:D)=0),"AnimalPet",IF(AND(_xlfn.XLOOKUP(B126,'Base stats'!B:B,'Base stats'!O:O)&lt;&gt;0,_xlfn.XLOOKUP(_xlfn.XLOOKUP(B126,'Base stats'!B:B,'Base stats'!E:E),Groups!A:A,Groups!D:D)&lt;&gt;0),"AnimalFarm","")),
IF(OR(_xlfn.XLOOKUP(B126,'Base stats'!B:B,'Base stats'!AK:AK)=1,AND(BI126&lt;&gt;"None",BR126&gt;=60),ISNUMBER(SEARCH("Attack target",BP126))),"AnimalFighter","")
)))</f>
        <v>AnimalUncommon</v>
      </c>
      <c r="BX126" s="25" t="str">
        <f>IF(G126="None",TRIM(
SUBSTITUTE(
IF(COUNTIF(Biomes!B$2:B$259,"="&amp;$C126)&gt;0,Biomes!B$1&amp;", ","")&amp;
IF(COUNTIF(Biomes!C$2:C$259,"="&amp;$C126)&gt;0,Biomes!C$1&amp;", ","")&amp;
IF(COUNTIF(Biomes!D$2:D$259,"="&amp;$C126)&gt;0,Biomes!D$1&amp;", ","")&amp;
IF(COUNTIF(Biomes!F$2:F$259,"="&amp;$C126)&gt;0,Biomes!F$1&amp;", ","")&amp;
IF(COUNTIF(Biomes!G$2:G$259,"="&amp;$C126)&gt;0,Biomes!G$1&amp;", ","")&amp;
IF(COUNTIF(Biomes!H$2:H$259,"="&amp;$C126)&gt;0,Biomes!H$1&amp;", ","")&amp;
IF(COUNTIF(Biomes!I$2:I$259,"="&amp;$C126)&gt;0,Biomes!I$1&amp;", ","")&amp;
IF(COUNTIF(Biomes!J$2:J$259,"="&amp;$C126)&gt;0,Biomes!J$1&amp;", ","")&amp;
IF(COUNTIF(Biomes!M$2:M$259,"="&amp;$C126)&gt;0,Biomes!M$1&amp;", ","")&amp;
IF(COUNTIF(Biomes!N$2:N$259,"="&amp;$C126)&gt;0,Biomes!N$1&amp;", ","")&amp;
IF(COUNTIF(Biomes!O$2:O$259,"="&amp;$C126)&gt;0,Biomes!O$1&amp;", ","")&amp;
IF(COUNTIF(Biomes!P$2:P$259,"="&amp;$C126)&gt;0,Biomes!P$1&amp;", ","")&amp;
IF(COUNTIF(Biomes!K$2:K$259,"="&amp;$C126)&gt;0,Biomes!K$1&amp;", ","")&amp;
IF(COUNTIF(Biomes!Q$3:Q$259,"="&amp;$C126)&gt;0,Biomes!Q$1&amp;", ","")&amp;
IF(COUNTIF(Biomes!L$2:L$259,"="&amp;$C126)&gt;0,Biomes!L$1&amp;", ","")&amp;
IF(COUNTIF(Biomes!E$2:E$259,"="&amp;$C126)&gt;0,Biomes!E$1&amp;", ","")&amp;IF(COUNTIF(Biomes!S$2:S$259,"="&amp;$C126)&gt;0,Biomes!S$1&amp;", ","")&amp;
IF(COUNTIF(Biomes!R$2:R$259,"="&amp;$C126)&gt;0,Biomes!R$1&amp;", ",""),", ","")
),_xlfn.XLOOKUP(B126,B:B,BX:BX))</f>
        <v>AridShrubland Desert ExtremeDesert LavaField</v>
      </c>
      <c r="BY126" s="25" t="str">
        <f>IF(_xlfn.XLOOKUP(B126,'Base stats'!B:B,'Base stats'!AJ:AJ)=1,"true","false")</f>
        <v>false</v>
      </c>
      <c r="BZ126" s="25">
        <f>IF(_xlfn.XLOOKUP(B126,'Base stats'!B:B,'Base stats'!N:N)=1,"No",MAX(0.001,MIN(MROUND(IF(AND(BJ126="True",CC126="False"),POWER(10,3.47*LOG10(_xlfn.XLOOKUP(B126,'Base stats'!B:B,'Base stats'!C:C)*1000)^-0.96),POWER(10,4.15*LOG10(_xlfn.XLOOKUP(B126,'Base stats'!B:B,'Base stats'!C:C)*1000)^-0.73))*IF(_xlfn.XLOOKUP(B126,'Base stats'!B:B,'Base stats'!AK:AK)=1,0.5,1)*IF(_xlfn.XLOOKUP(B126,'Base stats'!B:B,'Base stats'!AM:AM)=1,0.1,1)/100,IF(_xlfn.XLOOKUP(B126,'Base stats'!B:B,'Base stats'!AM:AM)=1,0.001,0.025)),0.5)))</f>
        <v>0.375</v>
      </c>
      <c r="CA126" s="25" t="str">
        <f>IF(P126="Standard","No",MAX(0.001,MIN(MROUND(IF(AND(BJ126="True",CC126="False"),POWER(10,3.47*LOG10(_xlfn.XLOOKUP(B126,'Base stats'!B:B,'Base stats'!C:C)*1000)^-0.96),POWER(10,4.15*LOG10(_xlfn.XLOOKUP(B126,'Base stats'!B:B,'Base stats'!C:C)*1000)^-0.73))*IF(_xlfn.XLOOKUP(B126,'Base stats'!B:B,'Base stats'!AM:AM)=1,0.1,1)*_xlfn.XLOOKUP(B126,'Base stats'!B:B,'Base stats'!R:R)/100,IF(_xlfn.XLOOKUP(B126,'Base stats'!B:B,'Base stats'!AM:AM)=1,0.001,0.025)),0.5)))</f>
        <v>No</v>
      </c>
      <c r="CB126" s="25" t="str">
        <f>IF(_xlfn.XLOOKUP(_xlfn.XLOOKUP(B126,'Base stats'!B:B,'Base stats'!E:E),Groups!A:A,Groups!AJ:AJ)="Mammal","True","False")</f>
        <v>False</v>
      </c>
      <c r="CC126" s="25" t="str">
        <f>IF(OR(_xlfn.XLOOKUP(_xlfn.XLOOKUP(B126,'Base stats'!B:B,'Base stats'!E:E),Groups!A:A,Groups!AJ:AJ)="Reptile",_xlfn.XLOOKUP(_xlfn.XLOOKUP(B126,'Base stats'!B:B,'Base stats'!E:E),Groups!A:A,Groups!AJ:AJ)="Amphibian",_xlfn.XLOOKUP(_xlfn.XLOOKUP(B126,'Base stats'!B:B,'Base stats'!E:E),Groups!A:A,Groups!AJ:AJ)="Invertebrate"),"True","False")</f>
        <v>True</v>
      </c>
      <c r="CD126" s="25" t="str">
        <f t="shared" si="13"/>
        <v>False</v>
      </c>
      <c r="CE126" s="25" t="str">
        <f>IF(_xlfn.XLOOKUP(_xlfn.XLOOKUP(B126,'Base stats'!B:B,'Base stats'!E:E),Groups!A:A,Groups!AX:AX),"True","False")</f>
        <v>False</v>
      </c>
      <c r="CF126" s="25" t="str">
        <f>IF(_xlfn.XLOOKUP(_xlfn.XLOOKUP(B126,'Base stats'!B:B,'Base stats'!E:E),Groups!A:A,Groups!AY:AY),"True","False")</f>
        <v>False</v>
      </c>
      <c r="CG126" s="25" t="str">
        <f>IF(_xlfn.XLOOKUP(_xlfn.XLOOKUP(B126,'Base stats'!B:B,'Base stats'!E:E),Groups!A:A,Groups!AW:AW),"True","False")</f>
        <v>False</v>
      </c>
      <c r="CH126" s="25" t="str">
        <f>IF(
OR(
_xlfn.XLOOKUP(_xlfn.XLOOKUP(B126,'Base stats'!B:B,'Base stats'!E:E),Groups!A:A,Groups!AZ:AZ)=0,
AND(
_xlfn.XLOOKUP(B126,'Base stats'!B:B,'Base stats'!Y:Y)&lt;&gt;"Carnivore",
_xlfn.XLOOKUP(B126,'Base stats'!B:B,'Base stats'!Y:Y)&lt;&gt;"Omnivore",
_xlfn.XLOOKUP(B126,'Base stats'!B:B,'Base stats'!Y:Y)&lt;&gt;"OmnivoreRough"
)
),
"No",
IF(
_xlfn.XLOOKUP(_xlfn.XLOOKUP(B126,'Base stats'!B:B,'Base stats'!E:E),Groups!A:A,Groups!AZ:AZ)=1,
"Flesh",
IF(
_xlfn.XLOOKUP(_xlfn.XLOOKUP(B126,'Base stats'!B:B,'Base stats'!E:E),Groups!A:A,Groups!AZ:AZ)=2,
"Bone",
""
)
)
)</f>
        <v>No</v>
      </c>
      <c r="CI126" s="25" t="str">
        <f>IF(_xlfn.XLOOKUP(_xlfn.XLOOKUP(B126,'Base stats'!B:B,'Base stats'!E:E),Groups!A:A,Groups!BB:BB),"True","False")</f>
        <v>False</v>
      </c>
      <c r="CJ126" s="25" t="str">
        <f>IF(_xlfn.XLOOKUP(_xlfn.XLOOKUP(B126,'Base stats'!B:B,'Base stats'!E:E),Groups!A:A,Groups!BA:BA),"True","False")</f>
        <v>True</v>
      </c>
    </row>
    <row r="127" spans="1:88" s="16" customFormat="1" ht="16.5" thickTop="1" thickBot="1" x14ac:dyDescent="0.3">
      <c r="A127" s="26" t="str">
        <f>_xlfn.XLOOKUP(B127,'Base stats'!B:B,'Base stats'!A:A)</f>
        <v>Megascorpion</v>
      </c>
      <c r="B127" s="6" t="s">
        <v>485</v>
      </c>
      <c r="C127" s="28" t="s">
        <v>808</v>
      </c>
      <c r="D127" s="28" t="s">
        <v>872</v>
      </c>
      <c r="E127" s="28" t="s">
        <v>784</v>
      </c>
      <c r="F127" s="28" t="s">
        <v>785</v>
      </c>
      <c r="G127" s="28" t="s">
        <v>673</v>
      </c>
      <c r="H127" s="2">
        <f>MROUND((
  (IF(AND(_xlfn.XLOOKUP(B127,'Base stats'!B:B,'Base stats'!AL:AL)=0,BI127="None",_xlfn.XLOOKUP(_xlfn.XLOOKUP(B127,'Base stats'!B:B,'Base stats'!E:E),Groups!A:A,Groups!B:B)=0), (18 + BR127 * 2.7) * 0.5,
    IF(AND(_xlfn.XLOOKUP(B127,'Base stats'!B:B,'Base stats'!AL:AL)=0,OR(AO127&lt;0.55,AND(BI127="Intermediate",_xlfn.XLOOKUP(_xlfn.XLOOKUP(B127,'Base stats'!B:B,'Base stats'!E:E),Groups!A:A,Groups!B:B)&lt;2))), (18 + BR127 * 2.7),
      IF(OR(BI127="Advanced",_xlfn.XLOOKUP(B127,'Base stats'!B:B,'Base stats'!AL:AL)=1,_xlfn.XLOOKUP(_xlfn.XLOOKUP(B127,'Base stats'!B:B,'Base stats'!E:E),Groups!A:A,Groups!B:B)=2), (18 + BR127 * 2.7) + 250, (18 + BR127 * 2.7))
    )
  ))
  + AO127 * 80
  + IF(COUNTIF(EggMilk!K$2:K$998, A127) &gt; 0, 125, 0)
  + IF(COUNTIF(EggMilk!P$2:P$998, A127) &gt; 0, 90, 0)
  + IF(COUNTIF(EggMilk!A$2:A$998, A127) &gt; 0, 90, 0)
)
* (0.8 + 0.4 * J127)
* 0.75,25)</f>
        <v>150</v>
      </c>
      <c r="I127" s="2">
        <f>MROUND(ROUNDDOWN(_xlfn.XLOOKUP(B127,'Base stats'!B:B,'Base stats'!L:L)/3.6/(23.3/11),1),0.5)</f>
        <v>3</v>
      </c>
      <c r="J127" s="2">
        <f>IF(OR(_xlfn.XLOOKUP(B127,'Base stats'!B:B,'Base stats'!AB:AB)=1,_xlfn.XLOOKUP(_xlfn.XLOOKUP(B127,'Base stats'!B:B,'Base stats'!E:E),Groups!A:A,Groups!C:C)="Untamable"),1,IF(_xlfn.XLOOKUP(B127,'Base stats'!B:B,'Base stats'!AL:AL)=1,0.99,MIN(MROUND((1-0.6282*EXP(-0.459*AO127))*_xlfn.XLOOKUP(_xlfn.XLOOKUP(B127,'Base stats'!B:B,'Base stats'!E:E),Groups!A:A,Groups!C:C)*IF(_xlfn.XLOOKUP(B127,'Base stats'!B:B,'Base stats'!O:O)=1,0.5,IF(_xlfn.XLOOKUP(B127,'Base stats'!B:B,'Base stats'!O:O)=2,0,1)),0.05),IF(AO127&gt;3.5,0.985,0.95))))</f>
        <v>0.5</v>
      </c>
      <c r="K127" s="2">
        <f>ROUNDUP(AO127*_xlfn.XLOOKUP(_xlfn.XLOOKUP(B127,'Base stats'!B:B,'Base stats'!E:E),Groups!A:A,Groups!E:E),0)</f>
        <v>1</v>
      </c>
      <c r="L127" s="2">
        <f>IF(OR(_xlfn.XLOOKUP(_xlfn.XLOOKUP(B127,'Base stats'!B:B,'Base stats'!E:E),Groups!A:A,Groups!F:F)=2,ISNUMBER(SEARCH("SeaIce",BX127)),ISNUMBER(SEARCH("IceSheet",BX127))),-50,IF(OR(ISNUMBER(SEARCH("GlacialPlain",BX127)),ISNUMBER(SEARCH("Tundra",BX127))),-40,IF(OR(ISNUMBER(SEARCH("Alpine",BX127)),ISNUMBER(SEARCH("BorealForest",BX127)),ISNUMBER(SEARCH("ColdBog",BX127))),-30,IF(OR(ISNUMBER(SEARCH("TemperateForest",BX127)),ISNUMBER(SEARCH("TemperateSwamp",BX127))),-20,IF(_xlfn.XLOOKUP(_xlfn.XLOOKUP(B127,'Base stats'!B:B,'Base stats'!E:E),Groups!A:A,Groups!F:F)=1,-15,IF(OR(ISNUMBER(SEARCH("Desert",BX127)),ISNUMBER(SEARCH("ExtremeDesert",BX127))),-10,IF(OR(ISNUMBER(SEARCH("Grasslands",BX127)),ISNUMBER(SEARCH("TropicalRainforest",BX127)),ISNUMBER(SEARCH("TropicalSwamp",BX127))),10,0)))))))-IF(CC127="False",MIN(IFERROR(MAX(MROUND(LOG10(_xlfn.XLOOKUP(B127,'Base stats'!B:B,'Base stats'!C:C)^(2/3))*10,5),5),5),30))-_xlfn.XLOOKUP(B127,'Base stats'!B:B,'Base stats'!P:P)+IF(CC127="True",5,0)</f>
        <v>5</v>
      </c>
      <c r="M127" s="2">
        <f>IF(OR(_xlfn.XLOOKUP(_xlfn.XLOOKUP(B127,'Base stats'!B:B,'Base stats'!E:E),Groups!A:A,Groups!G:G)=2,ISNUMBER(SEARCH("Desert",BX127)),ISNUMBER(SEARCH("ExtremeDesert",BX127)),ISNUMBER(SEARCH("LavaField",BX127))),50,IF(ISNUMBER(SEARCH("Grasslands",BX127)),45,IF(OR(_xlfn.XLOOKUP(_xlfn.XLOOKUP(B127,'Base stats'!B:B,'Base stats'!E:E),Groups!A:A,Groups!G:G)=1,ISNUMBER(SEARCH("TropicalRainforest",BX127)),ISNUMBER(SEARCH("TropicalSwamp",BX127))),40,IF(OR(ISNUMBER(SEARCH("TemperateForest",BX127)),ISNUMBER(SEARCH("TemperateSwamp",BX127))),35,IF(OR(ISNUMBER(SEARCH("Alpine",BX127)),ISNUMBER(SEARCH("BorealForest",BX127)),ISNUMBER(SEARCH("ColdBog",BX127))),30,IF(ISNUMBER(OR(ISNUMBER(SEARCH("GlacialPlain",BX127)),SEARCH("Tundra",BX127))),25,IF(OR(ISNUMBER(SEARCH("SeaIce",BX127)),ISNUMBER(SEARCH("IceSheet",BX127)),ISNUMBER(SEARCH("TropicalSwamp",BX127))),10,35)))))))+_xlfn.XLOOKUP(B127,'Base stats'!B:B,'Base stats'!Q:Q)</f>
        <v>50</v>
      </c>
      <c r="N127" s="8">
        <f>IF(
_xlfn.XLOOKUP(
_xlfn.XLOOKUP(B127,'Base stats'!B:B,'Base stats'!E:E),
Groups!A:A,
Groups!L:L
)=1,
MIN(
MROUND(
IF(
_xlfn.XLOOKUP(B127,'Animals CE'!B:B,'Animals CE'!Z:Z)&lt;=1.5,
_xlfn.XLOOKUP(B127,'Animals CE'!B:B,'Animals CE'!Z:Z)/2+0.05,
0.8+
(_xlfn.XLOOKUP(B127,'Animals CE'!B:B,'Animals CE'!Z:Z)-1.5)
*0.02
),
0.05
),
200%
),
"No"
)</f>
        <v>0.30000000000000004</v>
      </c>
      <c r="O127" s="8">
        <f>IF(
_xlfn.XLOOKUP(
_xlfn.XLOOKUP(B127,'Base stats'!B:B,'Base stats'!E:E),
Groups!A:A,
Groups!L:L
)=1,
MIN(
MROUND(
IF(
_xlfn.XLOOKUP(B127,'Animals CE'!B:B,'Animals CE'!AA:AA)&lt;=1.5,
_xlfn.XLOOKUP(B127,'Animals CE'!B:B,'Animals CE'!AA:AA)/2+0.05,
0.8+
(_xlfn.XLOOKUP(B127,'Animals CE'!B:B,'Animals CE'!AA:AA)-1.5)
*0.02
),
0.05
),
200%
),
"No"
)</f>
        <v>0.1</v>
      </c>
      <c r="P127" s="2">
        <f>_xlfn.XLOOKUP(B127,'Base stats'!B:B,'Base stats'!R:R)</f>
        <v>1</v>
      </c>
      <c r="Q127" s="13">
        <f>MROUND((LOG10(_xlfn.XLOOKUP(B127,'Base stats'!B:B,'Base stats'!AR:AR))*(AO127^0.5)+(_xlfn.XLOOKUP(B127,'Base stats'!B:B,'Base stats'!AR:AR)/1000)^(2/3)+_xlfn.XLOOKUP(B127,'Base stats'!B:B,'Base stats'!BA:BA)/2)+0.5,0.5)</f>
        <v>3.5</v>
      </c>
      <c r="R127" s="7">
        <f>IF(Q127="No","No",MAX(1,MROUND(_xlfn.XLOOKUP(B127,'Base stats'!B:B,'Base stats'!C:C)^0.165,0.05)))</f>
        <v>1.4500000000000002</v>
      </c>
      <c r="S127" s="13" t="str">
        <f>IF(_xlfn.XLOOKUP(_xlfn.XLOOKUP(B127,'Base stats'!B:B,'Base stats'!E:E),Groups!A:A,Groups!P:P)=0,"No",MROUND((LOG10(_xlfn.XLOOKUP(B127,'Base stats'!B:B,'Base stats'!AS:AS))*(AO127^0.5)+(_xlfn.XLOOKUP(B127,'Base stats'!B:B,'Base stats'!AS:AS)/1000)^(2/3)+_xlfn.XLOOKUP(B127,'Base stats'!B:B,'Base stats'!BA:BA))+_xlfn.XLOOKUP(B127,'Base stats'!B:B,'Base stats'!AY:AY)+0.5,0.5))</f>
        <v>No</v>
      </c>
      <c r="T127" s="7" t="str">
        <f>IF(S127="No","No",MAX(_xlfn.XLOOKUP(_xlfn.XLOOKUP(B127,'Base stats'!B:B,'Base stats'!E:E),Groups!A:A,Groups!Q:Q),MROUND(_xlfn.XLOOKUP(_xlfn.XLOOKUP(B127,'Base stats'!B:B,'Base stats'!E:E),Groups!A:A,Groups!Q:Q)*_xlfn.XLOOKUP(B127,'Base stats'!B:B,'Base stats'!C:C)^0.165,0.05)))</f>
        <v>No</v>
      </c>
      <c r="U127" s="7" t="str">
        <f>IF(S127="No","No",_xlfn.XLOOKUP(_xlfn.XLOOKUP(B127,'Base stats'!B:B,'Base stats'!E:E),Groups!A:A,Groups!R:R))</f>
        <v>No</v>
      </c>
      <c r="V127" s="7" t="str">
        <f>IF(S127="No","No",_xlfn.XLOOKUP(_xlfn.XLOOKUP(B127,'Base stats'!B:B,'Base stats'!E:E),Groups!A:A,Groups!S:S))</f>
        <v>No</v>
      </c>
      <c r="W127" s="7" t="str">
        <f>IF(S127="No","No",_xlfn.XLOOKUP(_xlfn.XLOOKUP(B127,'Base stats'!B:B,'Base stats'!E:E),Groups!A:A,Groups!T:T))</f>
        <v>No</v>
      </c>
      <c r="X127" s="13">
        <f>IF(_xlfn.XLOOKUP(B127,'Base stats'!B:B,'Base stats'!W:W)="No","No",MROUND((LOG10(_xlfn.XLOOKUP(B127,'Base stats'!B:B,'Base stats'!AU:AU))*(AO127^0.5)+(_xlfn.XLOOKUP(B127,'Base stats'!B:B,'Base stats'!AU:AU)/1000)^(2/3)+_xlfn.XLOOKUP(B127,'Base stats'!B:B,'Base stats'!AZ:AZ))+0.5+IF(_xlfn.XLOOKUP(_xlfn.XLOOKUP(B127,'Base stats'!B:B,'Base stats'!E:E),Groups!A:A,Groups!U:U)&lt;&gt;3,_xlfn.XLOOKUP(B127,'Base stats'!B:B,'Base stats'!BA:BA),0),0.5))</f>
        <v>7</v>
      </c>
      <c r="Y127" s="7">
        <f>IF(X127="No","No",MAX(_xlfn.XLOOKUP(_xlfn.XLOOKUP(B127,'Base stats'!B:B,'Base stats'!E:E),Groups!A:A,Groups!V:V),MROUND(_xlfn.XLOOKUP(_xlfn.XLOOKUP(B127,'Base stats'!B:B,'Base stats'!E:E),Groups!A:A,Groups!V:V)*_xlfn.XLOOKUP(B127,'Base stats'!B:B,'Base stats'!C:C)^0.165,0.05)))</f>
        <v>1.9000000000000001</v>
      </c>
      <c r="Z127" s="7" t="str">
        <f>IF(X127="No","No",_xlfn.XLOOKUP(_xlfn.XLOOKUP(B127,'Base stats'!B:B,'Base stats'!E:E),Groups!A:A,Groups!W:W))</f>
        <v>Sting</v>
      </c>
      <c r="AA127" s="7" t="str">
        <f>IF(X127="No","No",_xlfn.XLOOKUP(_xlfn.XLOOKUP(B127,'Base stats'!B:B,'Base stats'!E:E),Groups!A:A,Groups!X:X))</f>
        <v>stinger</v>
      </c>
      <c r="AB127" s="7" t="str">
        <f>IF(X127="No","No",_xlfn.XLOOKUP(_xlfn.XLOOKUP(B127,'Base stats'!B:B,'Base stats'!E:E),Groups!A:A,Groups!Y:Y))</f>
        <v>Sting</v>
      </c>
      <c r="AC127" s="7" t="str">
        <f>_xlfn.XLOOKUP(Animals!B127,'Base stats'!B:B,'Base stats'!X:X)</f>
        <v>False</v>
      </c>
      <c r="AD127" s="13">
        <f>IF(_xlfn.XLOOKUP(B127,'Base stats'!B:B,'Base stats'!AT:AT)="No","No",MROUND((LOG10(_xlfn.XLOOKUP(B127,'Base stats'!B:B,'Base stats'!AT:AT))*(AO127^0.75)+(_xlfn.XLOOKUP(B127,'Base stats'!B:B,'Base stats'!AT:AT)/1000)^(2/3)+_xlfn.XLOOKUP(B127,'Base stats'!B:B,'Base stats'!AX:AX)+_xlfn.XLOOKUP(B127,'Base stats'!B:B,'Base stats'!BA:BA))+0.5,0.5))</f>
        <v>6.5</v>
      </c>
      <c r="AE127" s="7">
        <f>IF(AD127="No","No",MAX(_xlfn.XLOOKUP(_xlfn.XLOOKUP(B127,'Base stats'!B:B,'Base stats'!E:E),Groups!A:A,Groups!Z:Z),MROUND(_xlfn.XLOOKUP(_xlfn.XLOOKUP(B127,'Base stats'!B:B,'Base stats'!E:E),Groups!A:A,Groups!Z:Z)*_xlfn.XLOOKUP(B127,'Base stats'!B:B,'Base stats'!C:C)^0.165,0.05)))</f>
        <v>1.75</v>
      </c>
      <c r="AF127" s="7" t="str">
        <f>IF(AD127="No","No",_xlfn.XLOOKUP(_xlfn.XLOOKUP(B127,'Base stats'!B:B,'Base stats'!E:E),Groups!A:A,Groups!AA:AA))</f>
        <v>Mouth</v>
      </c>
      <c r="AG127" s="7" t="str">
        <f>IF(AD127="No","No",_xlfn.XLOOKUP(_xlfn.XLOOKUP(B127,'Base stats'!B:B,'Base stats'!E:E),Groups!A:A,Groups!AB:AB))</f>
        <v>chelicerae</v>
      </c>
      <c r="AH127" s="7" t="str">
        <f>IF(AD127="No","No",_xlfn.XLOOKUP(_xlfn.XLOOKUP(B127,'Base stats'!B:B,'Base stats'!E:E),Groups!A:A,Groups!AC:AC))</f>
        <v>Bite</v>
      </c>
      <c r="AI127" s="13">
        <f>IF(_xlfn.XLOOKUP(_xlfn.XLOOKUP(B127,'Base stats'!B:B,'Base stats'!E:E),Groups!A:A,Groups!AD:AD)=0,"No",MROUND((LOG10(_xlfn.XLOOKUP(B127,'Base stats'!B:B,'Base stats'!AS:AS))*(AO127^0.75)+(_xlfn.XLOOKUP(B127,'Base stats'!B:B,'Base stats'!AS:AS)/1000)^(2/3)+_xlfn.XLOOKUP(B127,'Base stats'!B:B,'Base stats'!AY:AY)+_xlfn.XLOOKUP(B127,'Base stats'!B:B,'Base stats'!BA:BA))+0.5,0.5))</f>
        <v>8</v>
      </c>
      <c r="AJ127" s="7">
        <f>IF(AI127="No","No",MAX(_xlfn.XLOOKUP(_xlfn.XLOOKUP(B127,'Base stats'!B:B,'Base stats'!E:E),Groups!A:A,Groups!AE:AE),MROUND(_xlfn.XLOOKUP(_xlfn.XLOOKUP(B127,'Base stats'!B:B,'Base stats'!E:E),Groups!A:A,Groups!AE:AE)*IF(_xlfn.XLOOKUP(_xlfn.XLOOKUP(B127,'Base stats'!B:B,'Base stats'!E:E),Groups!A:A,Groups!AJ:AJ)="Photonozoa",0.6,1)*_xlfn.XLOOKUP(B127,'Base stats'!B:B,'Base stats'!C:C)^0.165,0.05)))</f>
        <v>1.6</v>
      </c>
      <c r="AK127" s="7" t="str">
        <f>IF(AI127="No","No",_xlfn.XLOOKUP(_xlfn.XLOOKUP(B127,'Base stats'!B:B,'Base stats'!E:E),Groups!A:A,Groups!AF:AF))</f>
        <v>LeftPincer, RightPincer</v>
      </c>
      <c r="AL127" s="7" t="str">
        <f>IF(AI127="No","No",_xlfn.XLOOKUP(_xlfn.XLOOKUP(B127,'Base stats'!B:B,'Base stats'!E:E),Groups!A:A,Groups!AG:AG))</f>
        <v>left pincer, right pincer</v>
      </c>
      <c r="AM127" s="7" t="str">
        <f>IF(AI127="No","No",_xlfn.XLOOKUP(_xlfn.XLOOKUP(B127,'Base stats'!B:B,'Base stats'!E:E),Groups!A:A,Groups!AH:AH))</f>
        <v>Scratch</v>
      </c>
      <c r="AN127" s="2">
        <f t="shared" si="7"/>
        <v>15</v>
      </c>
      <c r="AO127" s="2">
        <f>MROUND(IF(AND(_xlfn.XLOOKUP(B127,'Base stats'!B:B,'Base stats'!C:C)&gt;=0.5,_xlfn.XLOOKUP(B127,'Base stats'!B:B,'Base stats'!C:C)&lt;=0.8),
IF(_xlfn.XLOOKUP(B127,'Base stats'!B:B,'Base stats'!C:C)&lt;0.1,0.05,IF(_xlfn.XLOOKUP(B127,'Base stats'!B:B,'Base stats'!C:C)&lt;=70,(_xlfn.XLOOKUP(B127,'Base stats'!B:B,'Base stats'!C:C)/70)^0.426489913056526,IF(_xlfn.XLOOKUP(B127,'Base stats'!B:B,'Base stats'!C:C)&lt;=400,(_xlfn.XLOOKUP(B127,'Base stats'!B:B,'Base stats'!C:C)/70)^0.572811455315093,IF(_xlfn.XLOOKUP(B127,'Base stats'!B:B,'Base stats'!C:C)&lt;=2000,2.71391647193063*(_xlfn.XLOOKUP(B127,'Base stats'!B:B,'Base stats'!C:C)/400)^0.252459582904293,3.74314280240376*(_xlfn.XLOOKUP(B127,'Base stats'!B:B,'Base stats'!C:C)/2000)^0.357012633876913)))),
IF(_xlfn.XLOOKUP(B127,'Base stats'!B:B,'Base stats'!C:C)&lt;0.1,0.05,IF(_xlfn.XLOOKUP(B127,'Base stats'!B:B,'Base stats'!C:C)&lt;0.4,0.1,IF(_xlfn.XLOOKUP(B127,'Base stats'!B:B,'Base stats'!C:C)&lt;=70,(_xlfn.XLOOKUP(B127,'Base stats'!B:B,'Base stats'!C:C)/70)^0.445823913056526,IF(_xlfn.XLOOKUP(B127,'Base stats'!B:B,'Base stats'!C:C)&lt;=400,(_xlfn.XLOOKUP(B127,'Base stats'!B:B,'Base stats'!C:C)/70)^0.572811455315093,IF(_xlfn.XLOOKUP(B127,'Base stats'!B:B,'Base stats'!C:C)&lt;=2000,2.71391647193063*(_xlfn.XLOOKUP(B127,'Base stats'!B:B,'Base stats'!C:C)/400)^0.252459582904293,3.74314280240376*(_xlfn.XLOOKUP(B127,'Base stats'!B:B,'Base stats'!C:C)/2000)^0.357012633876913)))))),
IF(_xlfn.XLOOKUP(B127,'Base stats'!B:B,'Base stats'!C:C)&lt;0.1,0.05,IF(_xlfn.XLOOKUP(B127,'Base stats'!B:B,'Base stats'!C:C)&lt;=100,0.05,IF(_xlfn.XLOOKUP(B127,'Base stats'!B:B,'Base stats'!C:C)&lt;=250,0.1,IF(_xlfn.XLOOKUP(B127,'Base stats'!B:B,'Base stats'!C:C)&lt;=4000,0.25,0.5)))))</f>
        <v>0.4</v>
      </c>
      <c r="AP127" s="8">
        <f>MROUND(AO127*_xlfn.XLOOKUP(_xlfn.XLOOKUP(B127,'Base stats'!B:B,'Base stats'!E:E),Groups!A:A,Groups!AI:AI)*_xlfn.XLOOKUP(B127,'Base stats'!B:B,'Base stats'!Z:Z),0.05)</f>
        <v>0.4</v>
      </c>
      <c r="AQ127" s="8">
        <f>MAX(0.01,MROUND(IF(CC127="True",0.196*(AO127*100*1000)^0.889,IF(_xlfn.XLOOKUP(_xlfn.XLOOKUP(B127,'Base stats'!B:B,'Base stats'!E:E),Groups!A:A,Groups!AJ:AJ)="Bird",10.5*(AO127*100*1000)^0.681,4.82*(AO127*100*1000)^0.734))/(4.82*(1*100*1000)^0.734)/IF(AO127&lt;3.5,2,IF(AO127=3.5,1.5,1.25))*(1+0.132282374779864/(AO127^0.994035016789033+0.00905238001496948)),0.05))</f>
        <v>0.05</v>
      </c>
      <c r="AR127" s="9">
        <f>IFERROR(MROUND(_xlfn.XLOOKUP(B127,'Base stats'!B:B,'Base stats'!H:H)/IF(_xlfn.XLOOKUP(B127,'Base stats'!B:B,'Base stats'!I:I)&lt;&gt;1,(122.5/70),1.2),IF(_xlfn.XLOOKUP(B127,'Base stats'!B:B,'Base stats'!H:H)&gt;=30,5,IF(_xlfn.XLOOKUP(B127,'Base stats'!B:B,'Base stats'!H:H)&gt;=15,3,IF(_xlfn.XLOOKUP(B127,'Base stats'!B:B,'Base stats'!H:H)&gt;=10,2,1)))),"Immortal")</f>
        <v>6</v>
      </c>
      <c r="AS127" s="35" t="str">
        <f>IFERROR(IF(OR(_xlfn.XLOOKUP(B127,'Base stats'!B:B,'Base stats'!F:F)="Atypical reproduction",_xlfn.XLOOKUP(B127,'Base stats'!B:B,'Base stats'!F:F)="Lay eggs"),"Lay eggs",MIN(20,MAX(5.5,ROUND(((_xlfn.XLOOKUP(B127,'Base stats'!B:B,'Base stats'!F:F)-25)*(14.5/615) + 5.5)*2,0)/2))),"Unknown")</f>
        <v>Lay eggs</v>
      </c>
      <c r="AT127" s="8">
        <f>IF(_xlfn.XLOOKUP(B127,'Base stats'!B:B,'Base stats'!G:G)="Atypical reproduction","No",IFERROR(MAX(IF(_xlfn.XLOOKUP(B127,'Base stats'!B:B,'Base stats'!G:G)&lt;0.5,0.2,0.3),MROUND(_xlfn.XLOOKUP(B127,'Base stats'!B:B,'Base stats'!G:G)/(365/60),0.2)),"Unknown"))</f>
        <v>0.3</v>
      </c>
      <c r="AU127" s="8">
        <f t="shared" si="8"/>
        <v>0.15000000000000002</v>
      </c>
      <c r="AV127" s="8" t="str">
        <f>IFERROR(IFERROR(MROUND(_xlfn.XLOOKUP(B127,'Base stats'!B:B,'Base stats'!J:J),0.1),"Lay eggs"),"Cannot breed")</f>
        <v>Lay eggs</v>
      </c>
      <c r="AW127" s="2" t="str">
        <f t="shared" si="9"/>
        <v>false</v>
      </c>
      <c r="AX127" s="2" t="str">
        <f>IF(_xlfn.XLOOKUP(_xlfn.XLOOKUP(Animals!B127,'Base stats'!B:B,'Base stats'!E:E),Groups!A:A,Groups!AK:AK)=1,"true","false")</f>
        <v>false</v>
      </c>
      <c r="AY127" s="25" t="str">
        <f>IF(_xlfn.XLOOKUP(B127,'Base stats'!B:B,'Base stats'!Y:Y)="Liquor","Liquor, CarnivoreAnimalStrict",IF(AND(_xlfn.XLOOKUP(B127,'Base stats'!B:B,'Base stats'!Y:Y)="Carnivore",_xlfn.XLOOKUP(_xlfn.XLOOKUP(B127,'Base stats'!B:B,'Base stats'!E:E),Groups!A:A,Groups!AJ:AJ)="Photonozoa"),"CarnivoreAnimalStrict, OvivoreAnimal",IF(_xlfn.XLOOKUP(B127,'Base stats'!B:B,'Base stats'!Y:Y)="Carnivore","CarnivoreAnimal, OvivoreAnimal",IF(_xlfn.XLOOKUP(B127,'Base stats'!B:B,'Base stats'!Y:Y)="Dendrovore","VegetarianRoughAnimal, DendrovoreAnimal",IF(_xlfn.XLOOKUP(B127,'Base stats'!B:B,'Base stats'!Y:Y)="Herbivore","VegetarianRoughAnimal",IF(_xlfn.XLOOKUP(B127,'Base stats'!B:B,'Base stats'!Y:Y)="OmnivoreRough","OmnivoreRoughAnimal, OvivoreAnimal","OmnivoreAnimal, OvivoreAnimal"))))))</f>
        <v>CarnivoreAnimal, OvivoreAnimal</v>
      </c>
      <c r="AZ127" s="2" t="str">
        <f>IF(_xlfn.XLOOKUP(_xlfn.XLOOKUP(B127,'Base stats'!B:B,'Base stats'!E:E),Groups!A:A,Groups!D:D)=1,MROUND((1-J127)*5+1,2)*IF(J127&lt;=0.4,2,1),"No")</f>
        <v>No</v>
      </c>
      <c r="BA127" s="2" t="str">
        <f>IF(AND(_xlfn.XLOOKUP(B127,'Base stats'!B:B,'Base stats'!AH:AH)="&lt;li&gt;Seal&lt;/li&gt;",G127="Odyssey"),"&lt;li&gt;AEXP_Seal&lt;/li&gt;",_xlfn.XLOOKUP(B127,'Base stats'!B:B,'Base stats'!AH:AH))</f>
        <v>&lt;li&gt;Megaspider&lt;/li&gt;</v>
      </c>
      <c r="BB127" s="2" t="str">
        <f>_xlfn.XLOOKUP(B127,'Base stats'!B:B,'Base stats'!AG:AG)</f>
        <v>Leather_Chitin</v>
      </c>
      <c r="BC127" s="23" t="str">
        <f>_xlfn.XLOOKUP(_xlfn.XLOOKUP(B127,'Base stats'!B:B,'Base stats'!E:E),Groups!A:A,Groups!AL:AL)</f>
        <v>ScorpionLike</v>
      </c>
      <c r="BD127" s="23">
        <f>MIN(1,MROUND(IF(AND(AO127&lt;0.5,_xlfn.XLOOKUP(B127,'Base stats'!B:B,'Base stats'!AA:AA)=0),0,IF(OR(_xlfn.XLOOKUP(Animals!B127,'Base stats'!B:B,'Base stats'!O:O)=2,_xlfn.XLOOKUP(_xlfn.XLOOKUP(B127,'Base stats'!B:B,'Base stats'!E:E),Groups!A:A,Groups!AN:AN)=0),0,_xlfn.XLOOKUP(_xlfn.XLOOKUP(B127,'Base stats'!B:B,'Base stats'!E:E),Groups!A:A,Groups!AN:AN)/IF(_xlfn.XLOOKUP(Animals!B127,'Base stats'!B:B,'Base stats'!O:O)=1,2,1)))+_xlfn.XLOOKUP(B127,'Base stats'!B:B,'Base stats'!AC:AC),0.005))</f>
        <v>0</v>
      </c>
      <c r="BE127" s="23">
        <f>MIN(1,MROUND(IF(AND(AO127&lt;0.5,_xlfn.XLOOKUP(B127,'Base stats'!B:B,'Base stats'!AA:AA)=0),0,IF(_xlfn.XLOOKUP(_xlfn.XLOOKUP(B127,'Base stats'!B:B,'Base stats'!E:E),Groups!A:A,Groups!AO:AO)=0,0,_xlfn.XLOOKUP(_xlfn.XLOOKUP(B127,'Base stats'!B:B,'Base stats'!E:E),Groups!A:A,Groups!AO:AO)/IF(_xlfn.XLOOKUP(Animals!B127,'Base stats'!B:B,'Base stats'!O:O)=2,3,1)))+_xlfn.XLOOKUP(B127,'Base stats'!B:B,'Base stats'!AD:AD),0.005))</f>
        <v>0</v>
      </c>
      <c r="BF127" s="2" t="str">
        <f>IF(J127&gt;0.3,"No",_xlfn.XLOOKUP(_xlfn.XLOOKUP(Animals!B127,'Base stats'!B:B,'Base stats'!E:E),Groups!A:A,Groups!AP:AP))</f>
        <v>No</v>
      </c>
      <c r="BG127" s="2" t="str">
        <f>IF(AND(J127&lt;=0.65,_xlfn.XLOOKUP(_xlfn.XLOOKUP(Animals!B127,'Base stats'!B:B,'Base stats'!E:E),Groups!A:A,Groups!AP:AP)&lt;&gt;"No",_xlfn.XLOOKUP(_xlfn.XLOOKUP(B127,'Base stats'!B:B,'Base stats'!E:E),Groups!A:A,Groups!D:D)=0),MROUND((80/3)*IF(_xlfn.XLOOKUP(B127,'Base stats'!B:B,'Base stats'!O:O)=2,0.2,AO127) + 24*(1-IF(BF127="No",0,BF127)) + 16/3, 12),"No")</f>
        <v>No</v>
      </c>
      <c r="BH127" s="2">
        <f>IF(AND(_xlfn.XLOOKUP(_xlfn.XLOOKUP(B127,'Base stats'!B:B,'Base stats'!E:E),Groups!A:A,Groups!AQ:AQ)=1,AO127&lt;=0.35),8,12)</f>
        <v>12</v>
      </c>
      <c r="BI127" s="2" t="str">
        <f>IF(_xlfn.XLOOKUP(_xlfn.XLOOKUP(B127,'Base stats'!B:B,'Base stats'!E:E),Groups!A:A,Groups!D:D)=0,_xlfn.XLOOKUP(_xlfn.XLOOKUP(B127,'Base stats'!B:B,'Base stats'!E:E),Groups!A:A,Groups!AR:AR),"None")</f>
        <v>Intermediate</v>
      </c>
      <c r="BJ127" s="2" t="str">
        <f>IF(AND(_xlfn.XLOOKUP(_xlfn.XLOOKUP(B127,'Base stats'!B:B,'Base stats'!E:E),Groups!A:A,Groups!AS:AS)=1,OR(_xlfn.XLOOKUP(B127,'Base stats'!B:B,'Base stats'!Y:Y)="Carnivore",_xlfn.XLOOKUP(B127,'Base stats'!B:B,'Base stats'!Y:Y)="Omnivore")),"true","false")</f>
        <v>true</v>
      </c>
      <c r="BK127" s="2">
        <f>IF(BJ127="true",MROUND(IF(AND(AO127&gt;0.5,OR(_xlfn.XLOOKUP(_xlfn.XLOOKUP(B127,'Base stats'!B:B,'Base stats'!E:E),Groups!A:A,Groups!AJ:AJ)="Photonozoa",_xlfn.XLOOKUP(_xlfn.XLOOKUP(B127,'Base stats'!B:B,'Base stats'!E:E),Groups!A:A,Groups!AJ:AJ)="Mammal")),Animals!AO127*1.75*IF(AW127="true",1.5,1),IF(AO127&lt;0.5,Animals!AO127*0.5,Animals!AO127)),IF(AO127&gt;2,0.5,IF(AO127&gt;0.5,0.25,0.1))),"No")</f>
        <v>0.2</v>
      </c>
      <c r="BL127" s="2">
        <f t="shared" si="10"/>
        <v>1</v>
      </c>
      <c r="BM127" s="25" t="str">
        <f>IF(_xlfn.XLOOKUP(B127,'Base stats'!B:B,'Base stats'!AN:AN)="Standard","No",MROUND((_xlfn.XLOOKUP(B127,'Base stats'!B:B,'Base stats'!AN:AN)/3.6)/I127,0.1))</f>
        <v>No</v>
      </c>
      <c r="BN127" s="25" t="str">
        <f t="shared" si="11"/>
        <v>false</v>
      </c>
      <c r="BO127" s="25" t="str">
        <f>IF(AND(OR(_xlfn.XLOOKUP(B127,'Base stats'!B:B,'Base stats'!Y:Y)="Carnivore",_xlfn.XLOOKUP(B127,'Base stats'!B:B,'Base stats'!Y:Y)="Omnivore",_xlfn.XLOOKUP(B127,'Base stats'!B:B,'Base stats'!Y:Y)="OmnivoreRough"),_xlfn.XLOOKUP(_xlfn.XLOOKUP(B127,'Base stats'!B:B,'Base stats'!E:E),Groups!A:A,Groups!AT:AT)=1),"true","false")</f>
        <v>false</v>
      </c>
      <c r="BP127" s="25" t="str" cm="1">
        <f t="array" ref="BP127">IF(
  _xlfn.TEXTJOIN(", ",TRUE,
    IF(AND(BJ127="true",AO127&gt;0.5,BI127&lt;&gt;"None"),"AttackTarget",""),
    IF(AND(_xlfn.XLOOKUP(_xlfn.XLOOKUP(B127,'Base stats'!B:B,'Base stats'!E:E),Groups!A:A,Groups!AJ:AJ="Mammal"),OR(_xlfn.XLOOKUP(B127,'Base stats'!B:B,'Base stats'!Y:Y)="Omnivore",_xlfn.XLOOKUP(B127,'Base stats'!B:B,'Base stats'!Y:Y)="OmnivoreRough")),"Forage",""),
    IF(BG127&lt;=36,"Comfort",""),
    IF(_xlfn.XLOOKUP(B127,'Base stats'!B:B,'Base stats'!AE:AE)&lt;&gt;"No",_xlfn.XLOOKUP(B127,'Base stats'!B:B,'Base stats'!AE:AE),"")
  ) = "",
  "No",
  _xlfn.TEXTJOIN(", ",TRUE,
    IF(AND(BJ127="true",AO127&gt;0.5,BI127&lt;&gt;"None"),"AttackTarget",""),
    IF(AND(_xlfn.XLOOKUP(_xlfn.XLOOKUP(B127,'Base stats'!B:B,'Base stats'!E:E),Groups!A:A,Groups!AJ:AJ="Mammal"),OR(_xlfn.XLOOKUP(B127,'Base stats'!B:B,'Base stats'!Y:Y)="Omnivore",_xlfn.XLOOKUP(B127,'Base stats'!B:B,'Base stats'!Y:Y)="OmnivoreRough")),"Forage",""),
    IF(BG127&lt;=36,"Comfort",""),
    IF(_xlfn.XLOOKUP(B127,'Base stats'!B:B,'Base stats'!AE:AE)&lt;&gt;"No",_xlfn.XLOOKUP(B127,'Base stats'!B:B,'Base stats'!AE:AE),"")
  )
)</f>
        <v>No</v>
      </c>
      <c r="BQ127" s="25" t="str">
        <f>IF(
   AND(
      'Base stats'!AN127="Standard",_xlfn.XLOOKUP(_xlfn.XLOOKUP(B127,'Base stats'!B:B,'Base stats'!E:E),Groups!A:A,Groups!AU:AU)=0,
      OR(
      BO127="True"
      )
   ),
   10,
   IF(
       OR(BM127&lt;&gt;"No",_xlfn.XLOOKUP(_xlfn.XLOOKUP(B127,'Base stats'!B:B,'Base stats'!E:E),Groups!A:A,Groups!AU:AU)=1),
      1,
      "No"
   )
)</f>
        <v>No</v>
      </c>
      <c r="BR127" s="9">
        <f>MROUND((1 + ((0.2*IF(OR(Q127="No",R127="No",R127=0),0,Q127/R127)
+IF(OR(V127="No",S127="No",T127="No"),0,S127/T127*(LEN(V127)-LEN(SUBSTITUTE(V127,",",""))+1))
+IF(OR(X127="No",Y127="No"),0,X127/Y127)
+IF(OR(AD127="No",AE127="No"),0,AD127/AE127)
+IF(OR(AL127="No",AI127="No",AJ127="No"),0,AI127/AJ127*(LEN(AL127)-LEN(SUBSTITUTE(AL127,",",""))+1))
)/(0.2*IF(OR(Q127="No",R127="No",R127=0),0,1)
+IF(OR(V127="No",S127="No",T127="No"),0,LEN(V127)-LEN(SUBSTITUTE(V127,",",""))+1)
+IF(OR(X127="No",Y127="No"),0,1)
+IF(OR(AD127="No",AE127="No"),0,1)
+IF(OR(AL127="No",AI127="No",AJ127="No"),0,LEN(AL127)-LEN(SUBSTITUTE(AL127,",",""))+1))*62%)* 2)*(1 + (AP127 / (IF(_xlfn.XLOOKUP(_xlfn.XLOOKUP(B127,'Base stats'!B:B,'Base stats'!E:E),Groups!A:A,Groups!AJ:AJ)="Photonozoa",0.3,1)) + _xlfn.XLOOKUP(B127,'Base stats'!B:B,'Base stats'!AV:AV) * 1.8) * 2) * 2.5 + 10 + I127 * 2,5)+IF(_xlfn.XLOOKUP(B127,'Base stats'!B:B,'Base stats'!AK:AK)=1,50,0)</f>
        <v>55</v>
      </c>
      <c r="BS127" s="8">
        <f t="shared" si="12"/>
        <v>0.1</v>
      </c>
      <c r="BT127" s="8" t="str">
        <f>_xlfn.XLOOKUP(B127,'Base stats'!B:B,'Base stats'!AF:AF)</f>
        <v>No</v>
      </c>
      <c r="BU127" s="2" t="str">
        <f>IF(AND(J127&lt;=0.95,OR(_xlfn.XLOOKUP(B127,'Base stats'!B:B,'Base stats'!AK:AK)=1,_xlfn.XLOOKUP(B127,'Base stats'!B:B,'Base stats'!Y:Y)="Carnivore",_xlfn.XLOOKUP(B127,'Base stats'!B:B,'Base stats'!Y:Y)="Omnivore",BE127&gt;0.1)),"true","false")</f>
        <v>true</v>
      </c>
      <c r="BV127" s="2" t="str">
        <f>IF(_xlfn.XLOOKUP(B127,'Base stats'!B:B,'Base stats'!AI:AI)=1,"true","false")</f>
        <v>false</v>
      </c>
      <c r="BW127" s="25" t="str">
        <f>IF(E127="BaseInsect","AnimalInsect",
IF(J127&gt;0.95,"AnimalExotic",
_xlfn.TEXTJOIN(", ",TRUE,
IF(OR(_xlfn.XLOOKUP(B127,'Base stats'!B:B,'Base stats'!AM:AM)=1,AND(_xlfn.XLOOKUP(B127,'Base stats'!B:B,'Base stats'!O:O)=0,_xlfn.XLOOKUP(_xlfn.XLOOKUP(B127,'Base stats'!B:B,'Base stats'!E:E),Groups!A:A,Groups!B:B)&gt;0)),"AnimalUncommon","AnimalCommon"),
IF(AND(_xlfn.XLOOKUP(B127,'Base stats'!B:B,'Base stats'!O:O)=2,_xlfn.XLOOKUP(_xlfn.XLOOKUP(B127,'Base stats'!B:B,'Base stats'!E:E),Groups!A:A,Groups!D:D)=0),"AnimalPet",IF(AND(_xlfn.XLOOKUP(B127,'Base stats'!B:B,'Base stats'!O:O)&lt;&gt;0,_xlfn.XLOOKUP(_xlfn.XLOOKUP(B127,'Base stats'!B:B,'Base stats'!E:E),Groups!A:A,Groups!D:D)&lt;&gt;0),"AnimalFarm","")),
IF(OR(_xlfn.XLOOKUP(B127,'Base stats'!B:B,'Base stats'!AK:AK)=1,AND(BI127&lt;&gt;"None",BR127&gt;=60),ISNUMBER(SEARCH("Attack target",BP127))),"AnimalFighter","")
)))</f>
        <v>AnimalInsect</v>
      </c>
      <c r="BX127" s="25" t="str">
        <f>IF(G127="None",TRIM(
SUBSTITUTE(
IF(COUNTIF(Biomes!B$2:B$259,"="&amp;$C127)&gt;0,Biomes!B$1&amp;", ","")&amp;
IF(COUNTIF(Biomes!C$2:C$259,"="&amp;$C127)&gt;0,Biomes!C$1&amp;", ","")&amp;
IF(COUNTIF(Biomes!D$2:D$259,"="&amp;$C127)&gt;0,Biomes!D$1&amp;", ","")&amp;
IF(COUNTIF(Biomes!F$2:F$259,"="&amp;$C127)&gt;0,Biomes!F$1&amp;", ","")&amp;
IF(COUNTIF(Biomes!G$2:G$259,"="&amp;$C127)&gt;0,Biomes!G$1&amp;", ","")&amp;
IF(COUNTIF(Biomes!H$2:H$259,"="&amp;$C127)&gt;0,Biomes!H$1&amp;", ","")&amp;
IF(COUNTIF(Biomes!I$2:I$259,"="&amp;$C127)&gt;0,Biomes!I$1&amp;", ","")&amp;
IF(COUNTIF(Biomes!J$2:J$259,"="&amp;$C127)&gt;0,Biomes!J$1&amp;", ","")&amp;
IF(COUNTIF(Biomes!M$2:M$259,"="&amp;$C127)&gt;0,Biomes!M$1&amp;", ","")&amp;
IF(COUNTIF(Biomes!N$2:N$259,"="&amp;$C127)&gt;0,Biomes!N$1&amp;", ","")&amp;
IF(COUNTIF(Biomes!O$2:O$259,"="&amp;$C127)&gt;0,Biomes!O$1&amp;", ","")&amp;
IF(COUNTIF(Biomes!P$2:P$259,"="&amp;$C127)&gt;0,Biomes!P$1&amp;", ","")&amp;
IF(COUNTIF(Biomes!K$2:K$259,"="&amp;$C127)&gt;0,Biomes!K$1&amp;", ","")&amp;
IF(COUNTIF(Biomes!Q$3:Q$259,"="&amp;$C127)&gt;0,Biomes!Q$1&amp;", ","")&amp;
IF(COUNTIF(Biomes!L$2:L$259,"="&amp;$C127)&gt;0,Biomes!L$1&amp;", ","")&amp;
IF(COUNTIF(Biomes!E$2:E$259,"="&amp;$C127)&gt;0,Biomes!E$1&amp;", ","")&amp;IF(COUNTIF(Biomes!S$2:S$259,"="&amp;$C127)&gt;0,Biomes!S$1&amp;", ","")&amp;
IF(COUNTIF(Biomes!R$2:R$259,"="&amp;$C127)&gt;0,Biomes!R$1&amp;", ",""),", ","")
),_xlfn.XLOOKUP(B127,B:B,BX:BX))</f>
        <v/>
      </c>
      <c r="BY127" s="25" t="str">
        <f>IF(_xlfn.XLOOKUP(B127,'Base stats'!B:B,'Base stats'!AJ:AJ)=1,"true","false")</f>
        <v>false</v>
      </c>
      <c r="BZ127" s="25">
        <f>IF(_xlfn.XLOOKUP(B127,'Base stats'!B:B,'Base stats'!N:N)=1,"No",MAX(0.001,MIN(MROUND(IF(AND(BJ127="True",CC127="False"),POWER(10,3.47*LOG10(_xlfn.XLOOKUP(B127,'Base stats'!B:B,'Base stats'!C:C)*1000)^-0.96),POWER(10,4.15*LOG10(_xlfn.XLOOKUP(B127,'Base stats'!B:B,'Base stats'!C:C)*1000)^-0.73))*IF(_xlfn.XLOOKUP(B127,'Base stats'!B:B,'Base stats'!AK:AK)=1,0.5,1)*IF(_xlfn.XLOOKUP(B127,'Base stats'!B:B,'Base stats'!AM:AM)=1,0.1,1)/100,IF(_xlfn.XLOOKUP(B127,'Base stats'!B:B,'Base stats'!AM:AM)=1,0.001,0.025)),0.5)))</f>
        <v>0.32500000000000001</v>
      </c>
      <c r="CA127" s="25">
        <f>IF(P127="Standard","No",MAX(0.001,MIN(MROUND(IF(AND(BJ127="True",CC127="False"),POWER(10,3.47*LOG10(_xlfn.XLOOKUP(B127,'Base stats'!B:B,'Base stats'!C:C)*1000)^-0.96),POWER(10,4.15*LOG10(_xlfn.XLOOKUP(B127,'Base stats'!B:B,'Base stats'!C:C)*1000)^-0.73))*IF(_xlfn.XLOOKUP(B127,'Base stats'!B:B,'Base stats'!AM:AM)=1,0.1,1)*_xlfn.XLOOKUP(B127,'Base stats'!B:B,'Base stats'!R:R)/100,IF(_xlfn.XLOOKUP(B127,'Base stats'!B:B,'Base stats'!AM:AM)=1,0.001,0.025)),0.5)))</f>
        <v>0.32500000000000001</v>
      </c>
      <c r="CB127" s="25" t="str">
        <f>IF(_xlfn.XLOOKUP(_xlfn.XLOOKUP(B127,'Base stats'!B:B,'Base stats'!E:E),Groups!A:A,Groups!AJ:AJ)="Mammal","True","False")</f>
        <v>False</v>
      </c>
      <c r="CC127" s="25" t="str">
        <f>IF(OR(_xlfn.XLOOKUP(_xlfn.XLOOKUP(B127,'Base stats'!B:B,'Base stats'!E:E),Groups!A:A,Groups!AJ:AJ)="Reptile",_xlfn.XLOOKUP(_xlfn.XLOOKUP(B127,'Base stats'!B:B,'Base stats'!E:E),Groups!A:A,Groups!AJ:AJ)="Amphibian",_xlfn.XLOOKUP(_xlfn.XLOOKUP(B127,'Base stats'!B:B,'Base stats'!E:E),Groups!A:A,Groups!AJ:AJ)="Invertebrate"),"True","False")</f>
        <v>True</v>
      </c>
      <c r="CD127" s="25" t="str">
        <f t="shared" si="13"/>
        <v>False</v>
      </c>
      <c r="CE127" s="25" t="str">
        <f>IF(_xlfn.XLOOKUP(_xlfn.XLOOKUP(B127,'Base stats'!B:B,'Base stats'!E:E),Groups!A:A,Groups!AX:AX),"True","False")</f>
        <v>False</v>
      </c>
      <c r="CF127" s="25" t="str">
        <f>IF(_xlfn.XLOOKUP(_xlfn.XLOOKUP(B127,'Base stats'!B:B,'Base stats'!E:E),Groups!A:A,Groups!AY:AY),"True","False")</f>
        <v>False</v>
      </c>
      <c r="CG127" s="25" t="str">
        <f>IF(_xlfn.XLOOKUP(_xlfn.XLOOKUP(B127,'Base stats'!B:B,'Base stats'!E:E),Groups!A:A,Groups!AW:AW),"True","False")</f>
        <v>False</v>
      </c>
      <c r="CH127" s="25" t="str">
        <f>IF(
OR(
_xlfn.XLOOKUP(_xlfn.XLOOKUP(B127,'Base stats'!B:B,'Base stats'!E:E),Groups!A:A,Groups!AZ:AZ)=0,
AND(
_xlfn.XLOOKUP(B127,'Base stats'!B:B,'Base stats'!Y:Y)&lt;&gt;"Carnivore",
_xlfn.XLOOKUP(B127,'Base stats'!B:B,'Base stats'!Y:Y)&lt;&gt;"Omnivore",
_xlfn.XLOOKUP(B127,'Base stats'!B:B,'Base stats'!Y:Y)&lt;&gt;"OmnivoreRough"
)
),
"No",
IF(
_xlfn.XLOOKUP(_xlfn.XLOOKUP(B127,'Base stats'!B:B,'Base stats'!E:E),Groups!A:A,Groups!AZ:AZ)=1,
"Flesh",
IF(
_xlfn.XLOOKUP(_xlfn.XLOOKUP(B127,'Base stats'!B:B,'Base stats'!E:E),Groups!A:A,Groups!AZ:AZ)=2,
"Bone",
""
)
)
)</f>
        <v>No</v>
      </c>
      <c r="CI127" s="25" t="str">
        <f>IF(_xlfn.XLOOKUP(_xlfn.XLOOKUP(B127,'Base stats'!B:B,'Base stats'!E:E),Groups!A:A,Groups!BB:BB),"True","False")</f>
        <v>False</v>
      </c>
      <c r="CJ127" s="25" t="str">
        <f>IF(_xlfn.XLOOKUP(_xlfn.XLOOKUP(B127,'Base stats'!B:B,'Base stats'!E:E),Groups!A:A,Groups!BA:BA),"True","False")</f>
        <v>False</v>
      </c>
    </row>
    <row r="128" spans="1:88" ht="16.5" thickTop="1" thickBot="1" x14ac:dyDescent="0.3">
      <c r="A128" s="26" t="str">
        <f>_xlfn.XLOOKUP(B128,'Base stats'!B:B,'Base stats'!A:A)</f>
        <v>Red Panda</v>
      </c>
      <c r="B128" s="6" t="s">
        <v>244</v>
      </c>
      <c r="C128" s="28" t="s">
        <v>809</v>
      </c>
      <c r="D128" s="28" t="s">
        <v>872</v>
      </c>
      <c r="E128" s="28" t="s">
        <v>673</v>
      </c>
      <c r="F128" s="28" t="s">
        <v>673</v>
      </c>
      <c r="G128" s="28" t="s">
        <v>673</v>
      </c>
      <c r="H128" s="2">
        <f>MROUND((
  (IF(AND(_xlfn.XLOOKUP(B128,'Base stats'!B:B,'Base stats'!AL:AL)=0,BI128="None",_xlfn.XLOOKUP(_xlfn.XLOOKUP(B128,'Base stats'!B:B,'Base stats'!E:E),Groups!A:A,Groups!B:B)=0), (18 + BR128 * 2.7) * 0.5,
    IF(AND(_xlfn.XLOOKUP(B128,'Base stats'!B:B,'Base stats'!AL:AL)=0,OR(AO128&lt;0.55,AND(BI128="Intermediate",_xlfn.XLOOKUP(_xlfn.XLOOKUP(B128,'Base stats'!B:B,'Base stats'!E:E),Groups!A:A,Groups!B:B)&lt;2))), (18 + BR128 * 2.7),
      IF(OR(BI128="Advanced",_xlfn.XLOOKUP(B128,'Base stats'!B:B,'Base stats'!AL:AL)=1,_xlfn.XLOOKUP(_xlfn.XLOOKUP(B128,'Base stats'!B:B,'Base stats'!E:E),Groups!A:A,Groups!B:B)=2), (18 + BR128 * 2.7) + 250, (18 + BR128 * 2.7))
    )
  ))
  + AO128 * 80
  + IF(COUNTIF(EggMilk!K$2:K$998, A128) &gt; 0, 125, 0)
  + IF(COUNTIF(EggMilk!P$2:P$998, A128) &gt; 0, 90, 0)
  + IF(COUNTIF(EggMilk!A$2:A$998, A128) &gt; 0, 90, 0)
)
* (0.8 + 0.4 * J128)
* 0.75,25)</f>
        <v>125</v>
      </c>
      <c r="I128" s="2">
        <f>MROUND(ROUNDDOWN(_xlfn.XLOOKUP(B128,'Base stats'!B:B,'Base stats'!L:L)/3.6/(23.3/11),1),0.5)</f>
        <v>3</v>
      </c>
      <c r="J128" s="2">
        <f>IF(OR(_xlfn.XLOOKUP(B128,'Base stats'!B:B,'Base stats'!AB:AB)=1,_xlfn.XLOOKUP(_xlfn.XLOOKUP(B128,'Base stats'!B:B,'Base stats'!E:E),Groups!A:A,Groups!C:C)="Untamable"),1,IF(_xlfn.XLOOKUP(B128,'Base stats'!B:B,'Base stats'!AL:AL)=1,0.99,MIN(MROUND((1-0.6282*EXP(-0.459*AO128))*_xlfn.XLOOKUP(_xlfn.XLOOKUP(B128,'Base stats'!B:B,'Base stats'!E:E),Groups!A:A,Groups!C:C)*IF(_xlfn.XLOOKUP(B128,'Base stats'!B:B,'Base stats'!O:O)=1,0.5,IF(_xlfn.XLOOKUP(B128,'Base stats'!B:B,'Base stats'!O:O)=2,0,1)),0.05),IF(AO128&gt;3.5,0.985,0.95))))</f>
        <v>0.70000000000000007</v>
      </c>
      <c r="K128" s="2">
        <f>ROUNDUP(AO128*_xlfn.XLOOKUP(_xlfn.XLOOKUP(B128,'Base stats'!B:B,'Base stats'!E:E),Groups!A:A,Groups!E:E),0)</f>
        <v>1</v>
      </c>
      <c r="L128" s="2">
        <f>IF(OR(_xlfn.XLOOKUP(_xlfn.XLOOKUP(B128,'Base stats'!B:B,'Base stats'!E:E),Groups!A:A,Groups!F:F)=2,ISNUMBER(SEARCH("SeaIce",BX128)),ISNUMBER(SEARCH("IceSheet",BX128))),-50,IF(OR(ISNUMBER(SEARCH("GlacialPlain",BX128)),ISNUMBER(SEARCH("Tundra",BX128))),-40,IF(OR(ISNUMBER(SEARCH("Alpine",BX128)),ISNUMBER(SEARCH("BorealForest",BX128)),ISNUMBER(SEARCH("ColdBog",BX128))),-30,IF(OR(ISNUMBER(SEARCH("TemperateForest",BX128)),ISNUMBER(SEARCH("TemperateSwamp",BX128))),-20,IF(_xlfn.XLOOKUP(_xlfn.XLOOKUP(B128,'Base stats'!B:B,'Base stats'!E:E),Groups!A:A,Groups!F:F)=1,-15,IF(OR(ISNUMBER(SEARCH("Desert",BX128)),ISNUMBER(SEARCH("ExtremeDesert",BX128))),-10,IF(OR(ISNUMBER(SEARCH("Grasslands",BX128)),ISNUMBER(SEARCH("TropicalRainforest",BX128)),ISNUMBER(SEARCH("TropicalSwamp",BX128))),10,0)))))))-IF(CC128="False",MIN(IFERROR(MAX(MROUND(LOG10(_xlfn.XLOOKUP(B128,'Base stats'!B:B,'Base stats'!C:C)^(2/3))*10,5),5),5),30))-_xlfn.XLOOKUP(B128,'Base stats'!B:B,'Base stats'!P:P)+IF(CC128="True",5,0)</f>
        <v>-25</v>
      </c>
      <c r="M128" s="2">
        <f>IF(OR(_xlfn.XLOOKUP(_xlfn.XLOOKUP(B128,'Base stats'!B:B,'Base stats'!E:E),Groups!A:A,Groups!G:G)=2,ISNUMBER(SEARCH("Desert",BX128)),ISNUMBER(SEARCH("ExtremeDesert",BX128)),ISNUMBER(SEARCH("LavaField",BX128))),50,IF(ISNUMBER(SEARCH("Grasslands",BX128)),45,IF(OR(_xlfn.XLOOKUP(_xlfn.XLOOKUP(B128,'Base stats'!B:B,'Base stats'!E:E),Groups!A:A,Groups!G:G)=1,ISNUMBER(SEARCH("TropicalRainforest",BX128)),ISNUMBER(SEARCH("TropicalSwamp",BX128))),40,IF(OR(ISNUMBER(SEARCH("TemperateForest",BX128)),ISNUMBER(SEARCH("TemperateSwamp",BX128))),35,IF(OR(ISNUMBER(SEARCH("Alpine",BX128)),ISNUMBER(SEARCH("BorealForest",BX128)),ISNUMBER(SEARCH("ColdBog",BX128))),30,IF(ISNUMBER(OR(ISNUMBER(SEARCH("GlacialPlain",BX128)),SEARCH("Tundra",BX128))),25,IF(OR(ISNUMBER(SEARCH("SeaIce",BX128)),ISNUMBER(SEARCH("IceSheet",BX128)),ISNUMBER(SEARCH("TropicalSwamp",BX128))),10,35)))))))+_xlfn.XLOOKUP(B128,'Base stats'!B:B,'Base stats'!Q:Q)</f>
        <v>35</v>
      </c>
      <c r="N128" s="8" t="str">
        <f>IF(
_xlfn.XLOOKUP(
_xlfn.XLOOKUP(B128,'Base stats'!B:B,'Base stats'!E:E),
Groups!A:A,
Groups!L:L
)=1,
MIN(
MROUND(
IF(
_xlfn.XLOOKUP(B128,'Animals CE'!B:B,'Animals CE'!Z:Z)&lt;=1.5,
_xlfn.XLOOKUP(B128,'Animals CE'!B:B,'Animals CE'!Z:Z)/2+0.05,
0.8+
(_xlfn.XLOOKUP(B128,'Animals CE'!B:B,'Animals CE'!Z:Z)-1.5)
*0.02
),
0.05
),
200%
),
"No"
)</f>
        <v>No</v>
      </c>
      <c r="O128" s="8" t="str">
        <f>IF(
_xlfn.XLOOKUP(
_xlfn.XLOOKUP(B128,'Base stats'!B:B,'Base stats'!E:E),
Groups!A:A,
Groups!L:L
)=1,
MIN(
MROUND(
IF(
_xlfn.XLOOKUP(B128,'Animals CE'!B:B,'Animals CE'!AA:AA)&lt;=1.5,
_xlfn.XLOOKUP(B128,'Animals CE'!B:B,'Animals CE'!AA:AA)/2+0.05,
0.8+
(_xlfn.XLOOKUP(B128,'Animals CE'!B:B,'Animals CE'!AA:AA)-1.5)
*0.02
),
0.05
),
200%
),
"No"
)</f>
        <v>No</v>
      </c>
      <c r="P128" s="2" t="str">
        <f>_xlfn.XLOOKUP(B128,'Base stats'!B:B,'Base stats'!R:R)</f>
        <v>Standard</v>
      </c>
      <c r="Q128" s="13">
        <f>MROUND((LOG10(_xlfn.XLOOKUP(B128,'Base stats'!B:B,'Base stats'!AR:AR))*(AO128^0.5)+(_xlfn.XLOOKUP(B128,'Base stats'!B:B,'Base stats'!AR:AR)/1000)^(2/3)+_xlfn.XLOOKUP(B128,'Base stats'!B:B,'Base stats'!BA:BA)/2)+0.5,0.5)</f>
        <v>2.5</v>
      </c>
      <c r="R128" s="7">
        <f>IF(Q128="No","No",MAX(1,MROUND(_xlfn.XLOOKUP(B128,'Base stats'!B:B,'Base stats'!C:C)^0.165,0.05)))</f>
        <v>1.25</v>
      </c>
      <c r="S128" s="13" t="str">
        <f>IF(_xlfn.XLOOKUP(_xlfn.XLOOKUP(B128,'Base stats'!B:B,'Base stats'!E:E),Groups!A:A,Groups!P:P)=0,"No",MROUND((LOG10(_xlfn.XLOOKUP(B128,'Base stats'!B:B,'Base stats'!AS:AS))*(AO128^0.5)+(_xlfn.XLOOKUP(B128,'Base stats'!B:B,'Base stats'!AS:AS)/1000)^(2/3)+_xlfn.XLOOKUP(B128,'Base stats'!B:B,'Base stats'!BA:BA))+_xlfn.XLOOKUP(B128,'Base stats'!B:B,'Base stats'!AY:AY)+0.5,0.5))</f>
        <v>No</v>
      </c>
      <c r="T128" s="7" t="str">
        <f>IF(S128="No","No",MAX(_xlfn.XLOOKUP(_xlfn.XLOOKUP(B128,'Base stats'!B:B,'Base stats'!E:E),Groups!A:A,Groups!Q:Q),MROUND(_xlfn.XLOOKUP(_xlfn.XLOOKUP(B128,'Base stats'!B:B,'Base stats'!E:E),Groups!A:A,Groups!Q:Q)*_xlfn.XLOOKUP(B128,'Base stats'!B:B,'Base stats'!C:C)^0.165,0.05)))</f>
        <v>No</v>
      </c>
      <c r="U128" s="7" t="str">
        <f>IF(S128="No","No",_xlfn.XLOOKUP(_xlfn.XLOOKUP(B128,'Base stats'!B:B,'Base stats'!E:E),Groups!A:A,Groups!R:R))</f>
        <v>No</v>
      </c>
      <c r="V128" s="7" t="str">
        <f>IF(S128="No","No",_xlfn.XLOOKUP(_xlfn.XLOOKUP(B128,'Base stats'!B:B,'Base stats'!E:E),Groups!A:A,Groups!S:S))</f>
        <v>No</v>
      </c>
      <c r="W128" s="7" t="str">
        <f>IF(S128="No","No",_xlfn.XLOOKUP(_xlfn.XLOOKUP(B128,'Base stats'!B:B,'Base stats'!E:E),Groups!A:A,Groups!T:T))</f>
        <v>No</v>
      </c>
      <c r="X128" s="13" t="str">
        <f>IF(_xlfn.XLOOKUP(B128,'Base stats'!B:B,'Base stats'!W:W)="No","No",MROUND((LOG10(_xlfn.XLOOKUP(B128,'Base stats'!B:B,'Base stats'!AU:AU))*(AO128^0.5)+(_xlfn.XLOOKUP(B128,'Base stats'!B:B,'Base stats'!AU:AU)/1000)^(2/3)+_xlfn.XLOOKUP(B128,'Base stats'!B:B,'Base stats'!AZ:AZ))+0.5+IF(_xlfn.XLOOKUP(_xlfn.XLOOKUP(B128,'Base stats'!B:B,'Base stats'!E:E),Groups!A:A,Groups!U:U)&lt;&gt;3,_xlfn.XLOOKUP(B128,'Base stats'!B:B,'Base stats'!BA:BA),0),0.5))</f>
        <v>No</v>
      </c>
      <c r="Y128" s="7" t="str">
        <f>IF(X128="No","No",MAX(_xlfn.XLOOKUP(_xlfn.XLOOKUP(B128,'Base stats'!B:B,'Base stats'!E:E),Groups!A:A,Groups!V:V),MROUND(_xlfn.XLOOKUP(_xlfn.XLOOKUP(B128,'Base stats'!B:B,'Base stats'!E:E),Groups!A:A,Groups!V:V)*_xlfn.XLOOKUP(B128,'Base stats'!B:B,'Base stats'!C:C)^0.165,0.05)))</f>
        <v>No</v>
      </c>
      <c r="Z128" s="7" t="str">
        <f>IF(X128="No","No",_xlfn.XLOOKUP(_xlfn.XLOOKUP(B128,'Base stats'!B:B,'Base stats'!E:E),Groups!A:A,Groups!W:W))</f>
        <v>No</v>
      </c>
      <c r="AA128" s="7" t="str">
        <f>IF(X128="No","No",_xlfn.XLOOKUP(_xlfn.XLOOKUP(B128,'Base stats'!B:B,'Base stats'!E:E),Groups!A:A,Groups!X:X))</f>
        <v>No</v>
      </c>
      <c r="AB128" s="7" t="str">
        <f>IF(X128="No","No",_xlfn.XLOOKUP(_xlfn.XLOOKUP(B128,'Base stats'!B:B,'Base stats'!E:E),Groups!A:A,Groups!Y:Y))</f>
        <v>No</v>
      </c>
      <c r="AC128" s="7" t="str">
        <f>_xlfn.XLOOKUP(Animals!B128,'Base stats'!B:B,'Base stats'!X:X)</f>
        <v>False</v>
      </c>
      <c r="AD128" s="13">
        <f>IF(_xlfn.XLOOKUP(B128,'Base stats'!B:B,'Base stats'!AT:AT)="No","No",MROUND((LOG10(_xlfn.XLOOKUP(B128,'Base stats'!B:B,'Base stats'!AT:AT))*(AO128^0.75)+(_xlfn.XLOOKUP(B128,'Base stats'!B:B,'Base stats'!AT:AT)/1000)^(2/3)+_xlfn.XLOOKUP(B128,'Base stats'!B:B,'Base stats'!AX:AX)+_xlfn.XLOOKUP(B128,'Base stats'!B:B,'Base stats'!BA:BA))+0.5,0.5))</f>
        <v>3.5</v>
      </c>
      <c r="AE128" s="7">
        <f>IF(AD128="No","No",MAX(_xlfn.XLOOKUP(_xlfn.XLOOKUP(B128,'Base stats'!B:B,'Base stats'!E:E),Groups!A:A,Groups!Z:Z),MROUND(_xlfn.XLOOKUP(_xlfn.XLOOKUP(B128,'Base stats'!B:B,'Base stats'!E:E),Groups!A:A,Groups!Z:Z)*_xlfn.XLOOKUP(B128,'Base stats'!B:B,'Base stats'!C:C)^0.165,0.05)))</f>
        <v>1</v>
      </c>
      <c r="AF128" s="7" t="str">
        <f>IF(AD128="No","No",_xlfn.XLOOKUP(_xlfn.XLOOKUP(B128,'Base stats'!B:B,'Base stats'!E:E),Groups!A:A,Groups!AA:AA))</f>
        <v>Teeth</v>
      </c>
      <c r="AG128" s="7" t="str">
        <f>IF(AD128="No","No",_xlfn.XLOOKUP(_xlfn.XLOOKUP(B128,'Base stats'!B:B,'Base stats'!E:E),Groups!A:A,Groups!AB:AB))</f>
        <v>canines</v>
      </c>
      <c r="AH128" s="7" t="str">
        <f>IF(AD128="No","No",_xlfn.XLOOKUP(_xlfn.XLOOKUP(B128,'Base stats'!B:B,'Base stats'!E:E),Groups!A:A,Groups!AC:AC))</f>
        <v>Bite</v>
      </c>
      <c r="AI128" s="13">
        <f>IF(_xlfn.XLOOKUP(_xlfn.XLOOKUP(B128,'Base stats'!B:B,'Base stats'!E:E),Groups!A:A,Groups!AD:AD)=0,"No",MROUND((LOG10(_xlfn.XLOOKUP(B128,'Base stats'!B:B,'Base stats'!AS:AS))*(AO128^0.75)+(_xlfn.XLOOKUP(B128,'Base stats'!B:B,'Base stats'!AS:AS)/1000)^(2/3)+_xlfn.XLOOKUP(B128,'Base stats'!B:B,'Base stats'!AY:AY)+_xlfn.XLOOKUP(B128,'Base stats'!B:B,'Base stats'!BA:BA))+0.5,0.5))</f>
        <v>3</v>
      </c>
      <c r="AJ128" s="7">
        <f>IF(AI128="No","No",MAX(_xlfn.XLOOKUP(_xlfn.XLOOKUP(B128,'Base stats'!B:B,'Base stats'!E:E),Groups!A:A,Groups!AE:AE),MROUND(_xlfn.XLOOKUP(_xlfn.XLOOKUP(B128,'Base stats'!B:B,'Base stats'!E:E),Groups!A:A,Groups!AE:AE)*IF(_xlfn.XLOOKUP(_xlfn.XLOOKUP(B128,'Base stats'!B:B,'Base stats'!E:E),Groups!A:A,Groups!AJ:AJ)="Photonozoa",0.6,1)*_xlfn.XLOOKUP(B128,'Base stats'!B:B,'Base stats'!C:C)^0.165,0.05)))</f>
        <v>0.85000000000000009</v>
      </c>
      <c r="AK128" s="7" t="str">
        <f>IF(AI128="No","No",_xlfn.XLOOKUP(_xlfn.XLOOKUP(B128,'Base stats'!B:B,'Base stats'!E:E),Groups!A:A,Groups!AF:AF))</f>
        <v>FrontLeftPaw, FrontRightPaw</v>
      </c>
      <c r="AL128" s="7" t="str">
        <f>IF(AI128="No","No",_xlfn.XLOOKUP(_xlfn.XLOOKUP(B128,'Base stats'!B:B,'Base stats'!E:E),Groups!A:A,Groups!AG:AG))</f>
        <v>left claw, right claw</v>
      </c>
      <c r="AM128" s="7" t="str">
        <f>IF(AI128="No","No",_xlfn.XLOOKUP(_xlfn.XLOOKUP(B128,'Base stats'!B:B,'Base stats'!E:E),Groups!A:A,Groups!AH:AH))</f>
        <v>Scratch</v>
      </c>
      <c r="AN128" s="2" t="str">
        <f t="shared" si="7"/>
        <v>No</v>
      </c>
      <c r="AO128" s="2">
        <f>MROUND(IF(AND(_xlfn.XLOOKUP(B128,'Base stats'!B:B,'Base stats'!C:C)&gt;=0.5,_xlfn.XLOOKUP(B128,'Base stats'!B:B,'Base stats'!C:C)&lt;=0.8),
IF(_xlfn.XLOOKUP(B128,'Base stats'!B:B,'Base stats'!C:C)&lt;0.1,0.05,IF(_xlfn.XLOOKUP(B128,'Base stats'!B:B,'Base stats'!C:C)&lt;=70,(_xlfn.XLOOKUP(B128,'Base stats'!B:B,'Base stats'!C:C)/70)^0.426489913056526,IF(_xlfn.XLOOKUP(B128,'Base stats'!B:B,'Base stats'!C:C)&lt;=400,(_xlfn.XLOOKUP(B128,'Base stats'!B:B,'Base stats'!C:C)/70)^0.572811455315093,IF(_xlfn.XLOOKUP(B128,'Base stats'!B:B,'Base stats'!C:C)&lt;=2000,2.71391647193063*(_xlfn.XLOOKUP(B128,'Base stats'!B:B,'Base stats'!C:C)/400)^0.252459582904293,3.74314280240376*(_xlfn.XLOOKUP(B128,'Base stats'!B:B,'Base stats'!C:C)/2000)^0.357012633876913)))),
IF(_xlfn.XLOOKUP(B128,'Base stats'!B:B,'Base stats'!C:C)&lt;0.1,0.05,IF(_xlfn.XLOOKUP(B128,'Base stats'!B:B,'Base stats'!C:C)&lt;0.4,0.1,IF(_xlfn.XLOOKUP(B128,'Base stats'!B:B,'Base stats'!C:C)&lt;=70,(_xlfn.XLOOKUP(B128,'Base stats'!B:B,'Base stats'!C:C)/70)^0.445823913056526,IF(_xlfn.XLOOKUP(B128,'Base stats'!B:B,'Base stats'!C:C)&lt;=400,(_xlfn.XLOOKUP(B128,'Base stats'!B:B,'Base stats'!C:C)/70)^0.572811455315093,IF(_xlfn.XLOOKUP(B128,'Base stats'!B:B,'Base stats'!C:C)&lt;=2000,2.71391647193063*(_xlfn.XLOOKUP(B128,'Base stats'!B:B,'Base stats'!C:C)/400)^0.252459582904293,3.74314280240376*(_xlfn.XLOOKUP(B128,'Base stats'!B:B,'Base stats'!C:C)/2000)^0.357012633876913)))))),
IF(_xlfn.XLOOKUP(B128,'Base stats'!B:B,'Base stats'!C:C)&lt;0.1,0.05,IF(_xlfn.XLOOKUP(B128,'Base stats'!B:B,'Base stats'!C:C)&lt;=100,0.05,IF(_xlfn.XLOOKUP(B128,'Base stats'!B:B,'Base stats'!C:C)&lt;=250,0.1,IF(_xlfn.XLOOKUP(B128,'Base stats'!B:B,'Base stats'!C:C)&lt;=4000,0.25,0.5)))))</f>
        <v>0.30000000000000004</v>
      </c>
      <c r="AP128" s="8">
        <f>MROUND(AO128*_xlfn.XLOOKUP(_xlfn.XLOOKUP(B128,'Base stats'!B:B,'Base stats'!E:E),Groups!A:A,Groups!AI:AI)*_xlfn.XLOOKUP(B128,'Base stats'!B:B,'Base stats'!Z:Z),0.05)</f>
        <v>0.35000000000000003</v>
      </c>
      <c r="AQ128" s="8">
        <f>MAX(0.01,MROUND(IF(CC128="True",0.196*(AO128*100*1000)^0.889,IF(_xlfn.XLOOKUP(_xlfn.XLOOKUP(B128,'Base stats'!B:B,'Base stats'!E:E),Groups!A:A,Groups!AJ:AJ)="Bird",10.5*(AO128*100*1000)^0.681,4.82*(AO128*100*1000)^0.734))/(4.82*(1*100*1000)^0.734)/IF(AO128&lt;3.5,2,IF(AO128=3.5,1.5,1.25))*(1+0.132282374779864/(AO128^0.994035016789033+0.00905238001496948)),0.05))</f>
        <v>0.30000000000000004</v>
      </c>
      <c r="AR128" s="9">
        <f>IFERROR(MROUND(_xlfn.XLOOKUP(B128,'Base stats'!B:B,'Base stats'!H:H)/IF(_xlfn.XLOOKUP(B128,'Base stats'!B:B,'Base stats'!I:I)&lt;&gt;1,(122.5/70),1.2),IF(_xlfn.XLOOKUP(B128,'Base stats'!B:B,'Base stats'!H:H)&gt;=30,5,IF(_xlfn.XLOOKUP(B128,'Base stats'!B:B,'Base stats'!H:H)&gt;=15,3,IF(_xlfn.XLOOKUP(B128,'Base stats'!B:B,'Base stats'!H:H)&gt;=10,2,1)))),"Immortal")</f>
        <v>12</v>
      </c>
      <c r="AS128" s="35">
        <f>IFERROR(IF(OR(_xlfn.XLOOKUP(B128,'Base stats'!B:B,'Base stats'!F:F)="Atypical reproduction",_xlfn.XLOOKUP(B128,'Base stats'!B:B,'Base stats'!F:F)="Lay eggs"),"Lay eggs",MIN(20,MAX(5.5,ROUND(((_xlfn.XLOOKUP(B128,'Base stats'!B:B,'Base stats'!F:F)-25)*(14.5/615) + 5.5)*2,0)/2))),"Unknown")</f>
        <v>7.5</v>
      </c>
      <c r="AT128" s="8">
        <f>IF(_xlfn.XLOOKUP(B128,'Base stats'!B:B,'Base stats'!G:G)="Atypical reproduction","No",IFERROR(MAX(IF(_xlfn.XLOOKUP(B128,'Base stats'!B:B,'Base stats'!G:G)&lt;0.5,0.2,0.3),MROUND(_xlfn.XLOOKUP(B128,'Base stats'!B:B,'Base stats'!G:G)/(365/60),0.2)),"Unknown"))</f>
        <v>0.3</v>
      </c>
      <c r="AU128" s="8">
        <f t="shared" si="8"/>
        <v>0.15000000000000002</v>
      </c>
      <c r="AV128" s="8">
        <f>IFERROR(IFERROR(MROUND(_xlfn.XLOOKUP(B128,'Base stats'!B:B,'Base stats'!J:J),0.1),"Lay eggs"),"Cannot breed")</f>
        <v>2</v>
      </c>
      <c r="AW128" s="2" t="str">
        <f t="shared" si="9"/>
        <v>false</v>
      </c>
      <c r="AX128" s="2" t="str">
        <f>IF(_xlfn.XLOOKUP(_xlfn.XLOOKUP(Animals!B128,'Base stats'!B:B,'Base stats'!E:E),Groups!A:A,Groups!AK:AK)=1,"true","false")</f>
        <v>false</v>
      </c>
      <c r="AY128" s="25" t="str">
        <f>IF(_xlfn.XLOOKUP(B128,'Base stats'!B:B,'Base stats'!Y:Y)="Liquor","Liquor, CarnivoreAnimalStrict",IF(AND(_xlfn.XLOOKUP(B128,'Base stats'!B:B,'Base stats'!Y:Y)="Carnivore",_xlfn.XLOOKUP(_xlfn.XLOOKUP(B128,'Base stats'!B:B,'Base stats'!E:E),Groups!A:A,Groups!AJ:AJ)="Photonozoa"),"CarnivoreAnimalStrict, OvivoreAnimal",IF(_xlfn.XLOOKUP(B128,'Base stats'!B:B,'Base stats'!Y:Y)="Carnivore","CarnivoreAnimal, OvivoreAnimal",IF(_xlfn.XLOOKUP(B128,'Base stats'!B:B,'Base stats'!Y:Y)="Dendrovore","VegetarianRoughAnimal, DendrovoreAnimal",IF(_xlfn.XLOOKUP(B128,'Base stats'!B:B,'Base stats'!Y:Y)="Herbivore","VegetarianRoughAnimal",IF(_xlfn.XLOOKUP(B128,'Base stats'!B:B,'Base stats'!Y:Y)="OmnivoreRough","OmnivoreRoughAnimal, OvivoreAnimal","OmnivoreAnimal, OvivoreAnimal"))))))</f>
        <v>VegetarianRoughAnimal</v>
      </c>
      <c r="AZ128" s="2" t="str">
        <f>IF(_xlfn.XLOOKUP(_xlfn.XLOOKUP(B128,'Base stats'!B:B,'Base stats'!E:E),Groups!A:A,Groups!D:D)=1,MROUND((1-J128)*5+1,2)*IF(J128&lt;=0.4,2,1),"No")</f>
        <v>No</v>
      </c>
      <c r="BA128" s="2" t="str">
        <f>IF(AND(_xlfn.XLOOKUP(B128,'Base stats'!B:B,'Base stats'!AH:AH)="&lt;li&gt;Seal&lt;/li&gt;",G128="Odyssey"),"&lt;li&gt;AEXP_Seal&lt;/li&gt;",_xlfn.XLOOKUP(B128,'Base stats'!B:B,'Base stats'!AH:AH))</f>
        <v>No</v>
      </c>
      <c r="BB128" s="2" t="str">
        <f>_xlfn.XLOOKUP(B128,'Base stats'!B:B,'Base stats'!AG:AG)</f>
        <v>Leather_Light</v>
      </c>
      <c r="BC128" s="23" t="str">
        <f>_xlfn.XLOOKUP(_xlfn.XLOOKUP(B128,'Base stats'!B:B,'Base stats'!E:E),Groups!A:A,Groups!AL:AL)</f>
        <v>QuadrupedAnimalWithPawsAndTail</v>
      </c>
      <c r="BD128" s="23">
        <f>MIN(1,MROUND(IF(AND(AO128&lt;0.5,_xlfn.XLOOKUP(B128,'Base stats'!B:B,'Base stats'!AA:AA)=0),0,IF(OR(_xlfn.XLOOKUP(Animals!B128,'Base stats'!B:B,'Base stats'!O:O)=2,_xlfn.XLOOKUP(_xlfn.XLOOKUP(B128,'Base stats'!B:B,'Base stats'!E:E),Groups!A:A,Groups!AN:AN)=0),0,_xlfn.XLOOKUP(_xlfn.XLOOKUP(B128,'Base stats'!B:B,'Base stats'!E:E),Groups!A:A,Groups!AN:AN)/IF(_xlfn.XLOOKUP(Animals!B128,'Base stats'!B:B,'Base stats'!O:O)=1,2,1)))+_xlfn.XLOOKUP(B128,'Base stats'!B:B,'Base stats'!AC:AC),0.005))</f>
        <v>0</v>
      </c>
      <c r="BE128" s="23">
        <f>MIN(1,MROUND(IF(AND(AO128&lt;0.5,_xlfn.XLOOKUP(B128,'Base stats'!B:B,'Base stats'!AA:AA)=0),0,IF(_xlfn.XLOOKUP(_xlfn.XLOOKUP(B128,'Base stats'!B:B,'Base stats'!E:E),Groups!A:A,Groups!AO:AO)=0,0,_xlfn.XLOOKUP(_xlfn.XLOOKUP(B128,'Base stats'!B:B,'Base stats'!E:E),Groups!A:A,Groups!AO:AO)/IF(_xlfn.XLOOKUP(Animals!B128,'Base stats'!B:B,'Base stats'!O:O)=2,3,1)))+_xlfn.XLOOKUP(B128,'Base stats'!B:B,'Base stats'!AD:AD),0.005))</f>
        <v>0</v>
      </c>
      <c r="BF128" s="2" t="str">
        <f>IF(J128&gt;0.3,"No",_xlfn.XLOOKUP(_xlfn.XLOOKUP(Animals!B128,'Base stats'!B:B,'Base stats'!E:E),Groups!A:A,Groups!AP:AP))</f>
        <v>No</v>
      </c>
      <c r="BG128" s="2" t="str">
        <f>IF(AND(J128&lt;=0.65,_xlfn.XLOOKUP(_xlfn.XLOOKUP(Animals!B128,'Base stats'!B:B,'Base stats'!E:E),Groups!A:A,Groups!AP:AP)&lt;&gt;"No",_xlfn.XLOOKUP(_xlfn.XLOOKUP(B128,'Base stats'!B:B,'Base stats'!E:E),Groups!A:A,Groups!D:D)=0),MROUND((80/3)*IF(_xlfn.XLOOKUP(B128,'Base stats'!B:B,'Base stats'!O:O)=2,0.2,AO128) + 24*(1-IF(BF128="No",0,BF128)) + 16/3, 12),"No")</f>
        <v>No</v>
      </c>
      <c r="BH128" s="2">
        <f>IF(AND(_xlfn.XLOOKUP(_xlfn.XLOOKUP(B128,'Base stats'!B:B,'Base stats'!E:E),Groups!A:A,Groups!AQ:AQ)=1,AO128&lt;=0.35),8,12)</f>
        <v>12</v>
      </c>
      <c r="BI128" s="2" t="str">
        <f>IF(_xlfn.XLOOKUP(_xlfn.XLOOKUP(B128,'Base stats'!B:B,'Base stats'!E:E),Groups!A:A,Groups!D:D)=0,_xlfn.XLOOKUP(_xlfn.XLOOKUP(B128,'Base stats'!B:B,'Base stats'!E:E),Groups!A:A,Groups!AR:AR),"None")</f>
        <v>Intermediate</v>
      </c>
      <c r="BJ128" s="2" t="str">
        <f>IF(AND(_xlfn.XLOOKUP(_xlfn.XLOOKUP(B128,'Base stats'!B:B,'Base stats'!E:E),Groups!A:A,Groups!AS:AS)=1,OR(_xlfn.XLOOKUP(B128,'Base stats'!B:B,'Base stats'!Y:Y)="Carnivore",_xlfn.XLOOKUP(B128,'Base stats'!B:B,'Base stats'!Y:Y)="Omnivore")),"true","false")</f>
        <v>false</v>
      </c>
      <c r="BK128" s="2" t="str">
        <f>IF(BJ128="true",MROUND(IF(AND(AO128&gt;0.5,OR(_xlfn.XLOOKUP(_xlfn.XLOOKUP(B128,'Base stats'!B:B,'Base stats'!E:E),Groups!A:A,Groups!AJ:AJ)="Photonozoa",_xlfn.XLOOKUP(_xlfn.XLOOKUP(B128,'Base stats'!B:B,'Base stats'!E:E),Groups!A:A,Groups!AJ:AJ)="Mammal")),Animals!AO128*1.75*IF(AW128="true",1.5,1),IF(AO128&lt;0.5,Animals!AO128*0.5,Animals!AO128)),IF(AO128&gt;2,0.5,IF(AO128&gt;0.5,0.25,0.1))),"No")</f>
        <v>No</v>
      </c>
      <c r="BL128" s="2">
        <f t="shared" si="10"/>
        <v>1</v>
      </c>
      <c r="BM128" s="25" t="str">
        <f>IF(_xlfn.XLOOKUP(B128,'Base stats'!B:B,'Base stats'!AN:AN)="Standard","No",MROUND((_xlfn.XLOOKUP(B128,'Base stats'!B:B,'Base stats'!AN:AN)/3.6)/I128,0.1))</f>
        <v>No</v>
      </c>
      <c r="BN128" s="25" t="str">
        <f t="shared" si="11"/>
        <v>false</v>
      </c>
      <c r="BO128" s="25" t="str">
        <f>IF(AND(OR(_xlfn.XLOOKUP(B128,'Base stats'!B:B,'Base stats'!Y:Y)="Carnivore",_xlfn.XLOOKUP(B128,'Base stats'!B:B,'Base stats'!Y:Y)="Omnivore",_xlfn.XLOOKUP(B128,'Base stats'!B:B,'Base stats'!Y:Y)="OmnivoreRough"),_xlfn.XLOOKUP(_xlfn.XLOOKUP(B128,'Base stats'!B:B,'Base stats'!E:E),Groups!A:A,Groups!AT:AT)=1),"true","false")</f>
        <v>false</v>
      </c>
      <c r="BP128" s="25" t="str" cm="1">
        <f t="array" ref="BP128">IF(
  _xlfn.TEXTJOIN(", ",TRUE,
    IF(AND(BJ128="true",AO128&gt;0.5,BI128&lt;&gt;"None"),"AttackTarget",""),
    IF(AND(_xlfn.XLOOKUP(_xlfn.XLOOKUP(B128,'Base stats'!B:B,'Base stats'!E:E),Groups!A:A,Groups!AJ:AJ="Mammal"),OR(_xlfn.XLOOKUP(B128,'Base stats'!B:B,'Base stats'!Y:Y)="Omnivore",_xlfn.XLOOKUP(B128,'Base stats'!B:B,'Base stats'!Y:Y)="OmnivoreRough")),"Forage",""),
    IF(BG128&lt;=36,"Comfort",""),
    IF(_xlfn.XLOOKUP(B128,'Base stats'!B:B,'Base stats'!AE:AE)&lt;&gt;"No",_xlfn.XLOOKUP(B128,'Base stats'!B:B,'Base stats'!AE:AE),"")
  ) = "",
  "No",
  _xlfn.TEXTJOIN(", ",TRUE,
    IF(AND(BJ128="true",AO128&gt;0.5,BI128&lt;&gt;"None"),"AttackTarget",""),
    IF(AND(_xlfn.XLOOKUP(_xlfn.XLOOKUP(B128,'Base stats'!B:B,'Base stats'!E:E),Groups!A:A,Groups!AJ:AJ="Mammal"),OR(_xlfn.XLOOKUP(B128,'Base stats'!B:B,'Base stats'!Y:Y)="Omnivore",_xlfn.XLOOKUP(B128,'Base stats'!B:B,'Base stats'!Y:Y)="OmnivoreRough")),"Forage",""),
    IF(BG128&lt;=36,"Comfort",""),
    IF(_xlfn.XLOOKUP(B128,'Base stats'!B:B,'Base stats'!AE:AE)&lt;&gt;"No",_xlfn.XLOOKUP(B128,'Base stats'!B:B,'Base stats'!AE:AE),"")
  )
)</f>
        <v>No</v>
      </c>
      <c r="BQ128" s="25" t="str">
        <f>IF(
   AND(
      'Base stats'!AN128="Standard",_xlfn.XLOOKUP(_xlfn.XLOOKUP(B128,'Base stats'!B:B,'Base stats'!E:E),Groups!A:A,Groups!AU:AU)=0,
      OR(
      BO128="True"
      )
   ),
   10,
   IF(
       OR(BM128&lt;&gt;"No",_xlfn.XLOOKUP(_xlfn.XLOOKUP(B128,'Base stats'!B:B,'Base stats'!E:E),Groups!A:A,Groups!AU:AU)=1),
      1,
      "No"
   )
)</f>
        <v>No</v>
      </c>
      <c r="BR128" s="9">
        <f>MROUND((1 + ((0.2*IF(OR(Q128="No",R128="No",R128=0),0,Q128/R128)
+IF(OR(V128="No",S128="No",T128="No"),0,S128/T128*(LEN(V128)-LEN(SUBSTITUTE(V128,",",""))+1))
+IF(OR(X128="No",Y128="No"),0,X128/Y128)
+IF(OR(AD128="No",AE128="No"),0,AD128/AE128)
+IF(OR(AL128="No",AI128="No",AJ128="No"),0,AI128/AJ128*(LEN(AL128)-LEN(SUBSTITUTE(AL128,",",""))+1))
)/(0.2*IF(OR(Q128="No",R128="No",R128=0),0,1)
+IF(OR(V128="No",S128="No",T128="No"),0,LEN(V128)-LEN(SUBSTITUTE(V128,",",""))+1)
+IF(OR(X128="No",Y128="No"),0,1)
+IF(OR(AD128="No",AE128="No"),0,1)
+IF(OR(AL128="No",AI128="No",AJ128="No"),0,LEN(AL128)-LEN(SUBSTITUTE(AL128,",",""))+1))*62%)* 2)*(1 + (AP128 / (IF(_xlfn.XLOOKUP(_xlfn.XLOOKUP(B128,'Base stats'!B:B,'Base stats'!E:E),Groups!A:A,Groups!AJ:AJ)="Photonozoa",0.3,1)) + _xlfn.XLOOKUP(B128,'Base stats'!B:B,'Base stats'!AV:AV) * 1.8) * 2) * 2.5 + 10 + I128 * 2,5)+IF(_xlfn.XLOOKUP(B128,'Base stats'!B:B,'Base stats'!AK:AK)=1,50,0)</f>
        <v>40</v>
      </c>
      <c r="BS128" s="8">
        <f t="shared" si="12"/>
        <v>0.30000000000000004</v>
      </c>
      <c r="BT128" s="8" t="str">
        <f>_xlfn.XLOOKUP(B128,'Base stats'!B:B,'Base stats'!AF:AF)</f>
        <v>No</v>
      </c>
      <c r="BU128" s="2" t="str">
        <f>IF(AND(J128&lt;=0.95,OR(_xlfn.XLOOKUP(B128,'Base stats'!B:B,'Base stats'!AK:AK)=1,_xlfn.XLOOKUP(B128,'Base stats'!B:B,'Base stats'!Y:Y)="Carnivore",_xlfn.XLOOKUP(B128,'Base stats'!B:B,'Base stats'!Y:Y)="Omnivore",BE128&gt;0.1)),"true","false")</f>
        <v>false</v>
      </c>
      <c r="BV128" s="2" t="str">
        <f>IF(_xlfn.XLOOKUP(B128,'Base stats'!B:B,'Base stats'!AI:AI)=1,"true","false")</f>
        <v>false</v>
      </c>
      <c r="BW128" s="25" t="str">
        <f>IF(E128="BaseInsect","AnimalInsect",
IF(J128&gt;0.95,"AnimalExotic",
_xlfn.TEXTJOIN(", ",TRUE,
IF(OR(_xlfn.XLOOKUP(B128,'Base stats'!B:B,'Base stats'!AM:AM)=1,AND(_xlfn.XLOOKUP(B128,'Base stats'!B:B,'Base stats'!O:O)=0,_xlfn.XLOOKUP(_xlfn.XLOOKUP(B128,'Base stats'!B:B,'Base stats'!E:E),Groups!A:A,Groups!B:B)&gt;0)),"AnimalUncommon","AnimalCommon"),
IF(AND(_xlfn.XLOOKUP(B128,'Base stats'!B:B,'Base stats'!O:O)=2,_xlfn.XLOOKUP(_xlfn.XLOOKUP(B128,'Base stats'!B:B,'Base stats'!E:E),Groups!A:A,Groups!D:D)=0),"AnimalPet",IF(AND(_xlfn.XLOOKUP(B128,'Base stats'!B:B,'Base stats'!O:O)&lt;&gt;0,_xlfn.XLOOKUP(_xlfn.XLOOKUP(B128,'Base stats'!B:B,'Base stats'!E:E),Groups!A:A,Groups!D:D)&lt;&gt;0),"AnimalFarm","")),
IF(OR(_xlfn.XLOOKUP(B128,'Base stats'!B:B,'Base stats'!AK:AK)=1,AND(BI128&lt;&gt;"None",BR128&gt;=60),ISNUMBER(SEARCH("Attack target",BP128))),"AnimalFighter","")
)))</f>
        <v>AnimalUncommon</v>
      </c>
      <c r="BX128" s="25" t="str">
        <f>IF(G128="None",TRIM(
SUBSTITUTE(
IF(COUNTIF(Biomes!B$2:B$259,"="&amp;$C128)&gt;0,Biomes!B$1&amp;", ","")&amp;
IF(COUNTIF(Biomes!C$2:C$259,"="&amp;$C128)&gt;0,Biomes!C$1&amp;", ","")&amp;
IF(COUNTIF(Biomes!D$2:D$259,"="&amp;$C128)&gt;0,Biomes!D$1&amp;", ","")&amp;
IF(COUNTIF(Biomes!F$2:F$259,"="&amp;$C128)&gt;0,Biomes!F$1&amp;", ","")&amp;
IF(COUNTIF(Biomes!G$2:G$259,"="&amp;$C128)&gt;0,Biomes!G$1&amp;", ","")&amp;
IF(COUNTIF(Biomes!H$2:H$259,"="&amp;$C128)&gt;0,Biomes!H$1&amp;", ","")&amp;
IF(COUNTIF(Biomes!I$2:I$259,"="&amp;$C128)&gt;0,Biomes!I$1&amp;", ","")&amp;
IF(COUNTIF(Biomes!J$2:J$259,"="&amp;$C128)&gt;0,Biomes!J$1&amp;", ","")&amp;
IF(COUNTIF(Biomes!M$2:M$259,"="&amp;$C128)&gt;0,Biomes!M$1&amp;", ","")&amp;
IF(COUNTIF(Biomes!N$2:N$259,"="&amp;$C128)&gt;0,Biomes!N$1&amp;", ","")&amp;
IF(COUNTIF(Biomes!O$2:O$259,"="&amp;$C128)&gt;0,Biomes!O$1&amp;", ","")&amp;
IF(COUNTIF(Biomes!P$2:P$259,"="&amp;$C128)&gt;0,Biomes!P$1&amp;", ","")&amp;
IF(COUNTIF(Biomes!K$2:K$259,"="&amp;$C128)&gt;0,Biomes!K$1&amp;", ","")&amp;
IF(COUNTIF(Biomes!Q$3:Q$259,"="&amp;$C128)&gt;0,Biomes!Q$1&amp;", ","")&amp;
IF(COUNTIF(Biomes!L$2:L$259,"="&amp;$C128)&gt;0,Biomes!L$1&amp;", ","")&amp;
IF(COUNTIF(Biomes!E$2:E$259,"="&amp;$C128)&gt;0,Biomes!E$1&amp;", ","")&amp;IF(COUNTIF(Biomes!S$2:S$259,"="&amp;$C128)&gt;0,Biomes!S$1&amp;", ","")&amp;
IF(COUNTIF(Biomes!R$2:R$259,"="&amp;$C128)&gt;0,Biomes!R$1&amp;", ",""),", ","")
),_xlfn.XLOOKUP(B128,B:B,BX:BX))</f>
        <v>TemperateForest TemperateSwamp</v>
      </c>
      <c r="BY128" s="25" t="str">
        <f>IF(_xlfn.XLOOKUP(B128,'Base stats'!B:B,'Base stats'!AJ:AJ)=1,"true","false")</f>
        <v>false</v>
      </c>
      <c r="BZ128" s="25">
        <f>IF(_xlfn.XLOOKUP(B128,'Base stats'!B:B,'Base stats'!N:N)=1,"No",MAX(0.001,MIN(MROUND(IF(AND(BJ128="True",CC128="False"),POWER(10,3.47*LOG10(_xlfn.XLOOKUP(B128,'Base stats'!B:B,'Base stats'!C:C)*1000)^-0.96),POWER(10,4.15*LOG10(_xlfn.XLOOKUP(B128,'Base stats'!B:B,'Base stats'!C:C)*1000)^-0.73))*IF(_xlfn.XLOOKUP(B128,'Base stats'!B:B,'Base stats'!AK:AK)=1,0.5,1)*IF(_xlfn.XLOOKUP(B128,'Base stats'!B:B,'Base stats'!AM:AM)=1,0.1,1)/100,IF(_xlfn.XLOOKUP(B128,'Base stats'!B:B,'Base stats'!AM:AM)=1,0.001,0.025)),0.5)))</f>
        <v>4.1000000000000002E-2</v>
      </c>
      <c r="CA128" s="25" t="str">
        <f>IF(P128="Standard","No",MAX(0.001,MIN(MROUND(IF(AND(BJ128="True",CC128="False"),POWER(10,3.47*LOG10(_xlfn.XLOOKUP(B128,'Base stats'!B:B,'Base stats'!C:C)*1000)^-0.96),POWER(10,4.15*LOG10(_xlfn.XLOOKUP(B128,'Base stats'!B:B,'Base stats'!C:C)*1000)^-0.73))*IF(_xlfn.XLOOKUP(B128,'Base stats'!B:B,'Base stats'!AM:AM)=1,0.1,1)*_xlfn.XLOOKUP(B128,'Base stats'!B:B,'Base stats'!R:R)/100,IF(_xlfn.XLOOKUP(B128,'Base stats'!B:B,'Base stats'!AM:AM)=1,0.001,0.025)),0.5)))</f>
        <v>No</v>
      </c>
      <c r="CB128" s="25" t="str">
        <f>IF(_xlfn.XLOOKUP(_xlfn.XLOOKUP(B128,'Base stats'!B:B,'Base stats'!E:E),Groups!A:A,Groups!AJ:AJ)="Mammal","True","False")</f>
        <v>True</v>
      </c>
      <c r="CC128" s="25" t="str">
        <f>IF(OR(_xlfn.XLOOKUP(_xlfn.XLOOKUP(B128,'Base stats'!B:B,'Base stats'!E:E),Groups!A:A,Groups!AJ:AJ)="Reptile",_xlfn.XLOOKUP(_xlfn.XLOOKUP(B128,'Base stats'!B:B,'Base stats'!E:E),Groups!A:A,Groups!AJ:AJ)="Amphibian",_xlfn.XLOOKUP(_xlfn.XLOOKUP(B128,'Base stats'!B:B,'Base stats'!E:E),Groups!A:A,Groups!AJ:AJ)="Invertebrate"),"True","False")</f>
        <v>False</v>
      </c>
      <c r="CD128" s="25" t="str">
        <f t="shared" si="13"/>
        <v>False</v>
      </c>
      <c r="CE128" s="25" t="str">
        <f>IF(_xlfn.XLOOKUP(_xlfn.XLOOKUP(B128,'Base stats'!B:B,'Base stats'!E:E),Groups!A:A,Groups!AX:AX),"True","False")</f>
        <v>False</v>
      </c>
      <c r="CF128" s="25" t="str">
        <f>IF(_xlfn.XLOOKUP(_xlfn.XLOOKUP(B128,'Base stats'!B:B,'Base stats'!E:E),Groups!A:A,Groups!AY:AY),"True","False")</f>
        <v>False</v>
      </c>
      <c r="CG128" s="25" t="str">
        <f>IF(_xlfn.XLOOKUP(_xlfn.XLOOKUP(B128,'Base stats'!B:B,'Base stats'!E:E),Groups!A:A,Groups!AW:AW),"True","False")</f>
        <v>False</v>
      </c>
      <c r="CH128" s="25" t="str">
        <f>IF(
OR(
_xlfn.XLOOKUP(_xlfn.XLOOKUP(B128,'Base stats'!B:B,'Base stats'!E:E),Groups!A:A,Groups!AZ:AZ)=0,
AND(
_xlfn.XLOOKUP(B128,'Base stats'!B:B,'Base stats'!Y:Y)&lt;&gt;"Carnivore",
_xlfn.XLOOKUP(B128,'Base stats'!B:B,'Base stats'!Y:Y)&lt;&gt;"Omnivore",
_xlfn.XLOOKUP(B128,'Base stats'!B:B,'Base stats'!Y:Y)&lt;&gt;"OmnivoreRough"
)
),
"No",
IF(
_xlfn.XLOOKUP(_xlfn.XLOOKUP(B128,'Base stats'!B:B,'Base stats'!E:E),Groups!A:A,Groups!AZ:AZ)=1,
"Flesh",
IF(
_xlfn.XLOOKUP(_xlfn.XLOOKUP(B128,'Base stats'!B:B,'Base stats'!E:E),Groups!A:A,Groups!AZ:AZ)=2,
"Bone",
""
)
)
)</f>
        <v>No</v>
      </c>
      <c r="CI128" s="25" t="str">
        <f>IF(_xlfn.XLOOKUP(_xlfn.XLOOKUP(B128,'Base stats'!B:B,'Base stats'!E:E),Groups!A:A,Groups!BB:BB),"True","False")</f>
        <v>True</v>
      </c>
      <c r="CJ128" s="25" t="str">
        <f>IF(_xlfn.XLOOKUP(_xlfn.XLOOKUP(B128,'Base stats'!B:B,'Base stats'!E:E),Groups!A:A,Groups!BA:BA),"True","False")</f>
        <v>False</v>
      </c>
    </row>
    <row r="129" spans="1:88" ht="16.5" thickTop="1" thickBot="1" x14ac:dyDescent="0.3">
      <c r="A129" s="26" t="str">
        <f>_xlfn.XLOOKUP(B129,'Base stats'!B:B,'Base stats'!A:A)</f>
        <v>WildGoose</v>
      </c>
      <c r="B129" s="6" t="s">
        <v>480</v>
      </c>
      <c r="C129" s="28" t="s">
        <v>810</v>
      </c>
      <c r="D129" s="28" t="s">
        <v>872</v>
      </c>
      <c r="E129" s="28" t="s">
        <v>673</v>
      </c>
      <c r="F129" s="28" t="s">
        <v>673</v>
      </c>
      <c r="G129" s="28" t="s">
        <v>673</v>
      </c>
      <c r="H129" s="2">
        <f>MROUND((
  (IF(AND(_xlfn.XLOOKUP(B129,'Base stats'!B:B,'Base stats'!AL:AL)=0,BI129="None",_xlfn.XLOOKUP(_xlfn.XLOOKUP(B129,'Base stats'!B:B,'Base stats'!E:E),Groups!A:A,Groups!B:B)=0), (18 + BR129 * 2.7) * 0.5,
    IF(AND(_xlfn.XLOOKUP(B129,'Base stats'!B:B,'Base stats'!AL:AL)=0,OR(AO129&lt;0.55,AND(BI129="Intermediate",_xlfn.XLOOKUP(_xlfn.XLOOKUP(B129,'Base stats'!B:B,'Base stats'!E:E),Groups!A:A,Groups!B:B)&lt;2))), (18 + BR129 * 2.7),
      IF(OR(BI129="Advanced",_xlfn.XLOOKUP(B129,'Base stats'!B:B,'Base stats'!AL:AL)=1,_xlfn.XLOOKUP(_xlfn.XLOOKUP(B129,'Base stats'!B:B,'Base stats'!E:E),Groups!A:A,Groups!B:B)=2), (18 + BR129 * 2.7) + 250, (18 + BR129 * 2.7))
    )
  ))
  + AO129 * 80
  + IF(COUNTIF(EggMilk!K$2:K$998, A129) &gt; 0, 125, 0)
  + IF(COUNTIF(EggMilk!P$2:P$998, A129) &gt; 0, 90, 0)
  + IF(COUNTIF(EggMilk!A$2:A$998, A129) &gt; 0, 90, 0)
)
* (0.8 + 0.4 * J129)
* 0.75,25)</f>
        <v>150</v>
      </c>
      <c r="I129" s="2">
        <f>MROUND(ROUNDDOWN(_xlfn.XLOOKUP(B129,'Base stats'!B:B,'Base stats'!L:L)/3.6/(23.3/11),1),0.5)</f>
        <v>1.5</v>
      </c>
      <c r="J129" s="2">
        <f>IF(OR(_xlfn.XLOOKUP(B129,'Base stats'!B:B,'Base stats'!AB:AB)=1,_xlfn.XLOOKUP(_xlfn.XLOOKUP(B129,'Base stats'!B:B,'Base stats'!E:E),Groups!A:A,Groups!C:C)="Untamable"),1,IF(_xlfn.XLOOKUP(B129,'Base stats'!B:B,'Base stats'!AL:AL)=1,0.99,MIN(MROUND((1-0.6282*EXP(-0.459*AO129))*_xlfn.XLOOKUP(_xlfn.XLOOKUP(B129,'Base stats'!B:B,'Base stats'!E:E),Groups!A:A,Groups!C:C)*IF(_xlfn.XLOOKUP(B129,'Base stats'!B:B,'Base stats'!O:O)=1,0.5,IF(_xlfn.XLOOKUP(B129,'Base stats'!B:B,'Base stats'!O:O)=2,0,1)),0.05),IF(AO129&gt;3.5,0.985,0.95))))</f>
        <v>0.55000000000000004</v>
      </c>
      <c r="K129" s="2">
        <f>ROUNDUP(AO129*_xlfn.XLOOKUP(_xlfn.XLOOKUP(B129,'Base stats'!B:B,'Base stats'!E:E),Groups!A:A,Groups!E:E),0)</f>
        <v>3</v>
      </c>
      <c r="L129" s="2">
        <f>IF(OR(_xlfn.XLOOKUP(_xlfn.XLOOKUP(B129,'Base stats'!B:B,'Base stats'!E:E),Groups!A:A,Groups!F:F)=2,ISNUMBER(SEARCH("SeaIce",BX129)),ISNUMBER(SEARCH("IceSheet",BX129))),-50,IF(OR(ISNUMBER(SEARCH("GlacialPlain",BX129)),ISNUMBER(SEARCH("Tundra",BX129))),-40,IF(OR(ISNUMBER(SEARCH("Alpine",BX129)),ISNUMBER(SEARCH("BorealForest",BX129)),ISNUMBER(SEARCH("ColdBog",BX129))),-30,IF(OR(ISNUMBER(SEARCH("TemperateForest",BX129)),ISNUMBER(SEARCH("TemperateSwamp",BX129))),-20,IF(_xlfn.XLOOKUP(_xlfn.XLOOKUP(B129,'Base stats'!B:B,'Base stats'!E:E),Groups!A:A,Groups!F:F)=1,-15,IF(OR(ISNUMBER(SEARCH("Desert",BX129)),ISNUMBER(SEARCH("ExtremeDesert",BX129))),-10,IF(OR(ISNUMBER(SEARCH("Grasslands",BX129)),ISNUMBER(SEARCH("TropicalRainforest",BX129)),ISNUMBER(SEARCH("TropicalSwamp",BX129))),10,0)))))))-IF(CC129="False",MIN(IFERROR(MAX(MROUND(LOG10(_xlfn.XLOOKUP(B129,'Base stats'!B:B,'Base stats'!C:C)^(2/3))*10,5),5),5),30))-_xlfn.XLOOKUP(B129,'Base stats'!B:B,'Base stats'!P:P)+IF(CC129="True",5,0)</f>
        <v>-35</v>
      </c>
      <c r="M129" s="2">
        <f>IF(OR(_xlfn.XLOOKUP(_xlfn.XLOOKUP(B129,'Base stats'!B:B,'Base stats'!E:E),Groups!A:A,Groups!G:G)=2,ISNUMBER(SEARCH("Desert",BX129)),ISNUMBER(SEARCH("ExtremeDesert",BX129)),ISNUMBER(SEARCH("LavaField",BX129))),50,IF(ISNUMBER(SEARCH("Grasslands",BX129)),45,IF(OR(_xlfn.XLOOKUP(_xlfn.XLOOKUP(B129,'Base stats'!B:B,'Base stats'!E:E),Groups!A:A,Groups!G:G)=1,ISNUMBER(SEARCH("TropicalRainforest",BX129)),ISNUMBER(SEARCH("TropicalSwamp",BX129))),40,IF(OR(ISNUMBER(SEARCH("TemperateForest",BX129)),ISNUMBER(SEARCH("TemperateSwamp",BX129))),35,IF(OR(ISNUMBER(SEARCH("Alpine",BX129)),ISNUMBER(SEARCH("BorealForest",BX129)),ISNUMBER(SEARCH("ColdBog",BX129))),30,IF(ISNUMBER(OR(ISNUMBER(SEARCH("GlacialPlain",BX129)),SEARCH("Tundra",BX129))),25,IF(OR(ISNUMBER(SEARCH("SeaIce",BX129)),ISNUMBER(SEARCH("IceSheet",BX129)),ISNUMBER(SEARCH("TropicalSwamp",BX129))),10,35)))))))+_xlfn.XLOOKUP(B129,'Base stats'!B:B,'Base stats'!Q:Q)</f>
        <v>35</v>
      </c>
      <c r="N129" s="8" t="str">
        <f>IF(
_xlfn.XLOOKUP(
_xlfn.XLOOKUP(B129,'Base stats'!B:B,'Base stats'!E:E),
Groups!A:A,
Groups!L:L
)=1,
MIN(
MROUND(
IF(
_xlfn.XLOOKUP(B129,'Animals CE'!B:B,'Animals CE'!Z:Z)&lt;=1.5,
_xlfn.XLOOKUP(B129,'Animals CE'!B:B,'Animals CE'!Z:Z)/2+0.05,
0.8+
(_xlfn.XLOOKUP(B129,'Animals CE'!B:B,'Animals CE'!Z:Z)-1.5)
*0.02
),
0.05
),
200%
),
"No"
)</f>
        <v>No</v>
      </c>
      <c r="O129" s="8" t="str">
        <f>IF(
_xlfn.XLOOKUP(
_xlfn.XLOOKUP(B129,'Base stats'!B:B,'Base stats'!E:E),
Groups!A:A,
Groups!L:L
)=1,
MIN(
MROUND(
IF(
_xlfn.XLOOKUP(B129,'Animals CE'!B:B,'Animals CE'!AA:AA)&lt;=1.5,
_xlfn.XLOOKUP(B129,'Animals CE'!B:B,'Animals CE'!AA:AA)/2+0.05,
0.8+
(_xlfn.XLOOKUP(B129,'Animals CE'!B:B,'Animals CE'!AA:AA)-1.5)
*0.02
),
0.05
),
200%
),
"No"
)</f>
        <v>No</v>
      </c>
      <c r="P129" s="2" t="str">
        <f>_xlfn.XLOOKUP(B129,'Base stats'!B:B,'Base stats'!R:R)</f>
        <v>Standard</v>
      </c>
      <c r="Q129" s="13">
        <f>MROUND((LOG10(_xlfn.XLOOKUP(B129,'Base stats'!B:B,'Base stats'!AR:AR))*(AO129^0.5)+(_xlfn.XLOOKUP(B129,'Base stats'!B:B,'Base stats'!AR:AR)/1000)^(2/3)+_xlfn.XLOOKUP(B129,'Base stats'!B:B,'Base stats'!BA:BA)/2)+0.5,0.5)</f>
        <v>2.5</v>
      </c>
      <c r="R129" s="7">
        <f>IF(Q129="No","No",MAX(1,MROUND(_xlfn.XLOOKUP(B129,'Base stats'!B:B,'Base stats'!C:C)^0.165,0.05)))</f>
        <v>1.2000000000000002</v>
      </c>
      <c r="S129" s="13" t="str">
        <f>IF(_xlfn.XLOOKUP(_xlfn.XLOOKUP(B129,'Base stats'!B:B,'Base stats'!E:E),Groups!A:A,Groups!P:P)=0,"No",MROUND((LOG10(_xlfn.XLOOKUP(B129,'Base stats'!B:B,'Base stats'!AS:AS))*(AO129^0.5)+(_xlfn.XLOOKUP(B129,'Base stats'!B:B,'Base stats'!AS:AS)/1000)^(2/3)+_xlfn.XLOOKUP(B129,'Base stats'!B:B,'Base stats'!BA:BA))+_xlfn.XLOOKUP(B129,'Base stats'!B:B,'Base stats'!AY:AY)+0.5,0.5))</f>
        <v>No</v>
      </c>
      <c r="T129" s="7" t="str">
        <f>IF(S129="No","No",MAX(_xlfn.XLOOKUP(_xlfn.XLOOKUP(B129,'Base stats'!B:B,'Base stats'!E:E),Groups!A:A,Groups!Q:Q),MROUND(_xlfn.XLOOKUP(_xlfn.XLOOKUP(B129,'Base stats'!B:B,'Base stats'!E:E),Groups!A:A,Groups!Q:Q)*_xlfn.XLOOKUP(B129,'Base stats'!B:B,'Base stats'!C:C)^0.165,0.05)))</f>
        <v>No</v>
      </c>
      <c r="U129" s="7" t="str">
        <f>IF(S129="No","No",_xlfn.XLOOKUP(_xlfn.XLOOKUP(B129,'Base stats'!B:B,'Base stats'!E:E),Groups!A:A,Groups!R:R))</f>
        <v>No</v>
      </c>
      <c r="V129" s="7" t="str">
        <f>IF(S129="No","No",_xlfn.XLOOKUP(_xlfn.XLOOKUP(B129,'Base stats'!B:B,'Base stats'!E:E),Groups!A:A,Groups!S:S))</f>
        <v>No</v>
      </c>
      <c r="W129" s="7" t="str">
        <f>IF(S129="No","No",_xlfn.XLOOKUP(_xlfn.XLOOKUP(B129,'Base stats'!B:B,'Base stats'!E:E),Groups!A:A,Groups!T:T))</f>
        <v>No</v>
      </c>
      <c r="X129" s="13" t="str">
        <f>IF(_xlfn.XLOOKUP(B129,'Base stats'!B:B,'Base stats'!W:W)="No","No",MROUND((LOG10(_xlfn.XLOOKUP(B129,'Base stats'!B:B,'Base stats'!AU:AU))*(AO129^0.5)+(_xlfn.XLOOKUP(B129,'Base stats'!B:B,'Base stats'!AU:AU)/1000)^(2/3)+_xlfn.XLOOKUP(B129,'Base stats'!B:B,'Base stats'!AZ:AZ))+0.5+IF(_xlfn.XLOOKUP(_xlfn.XLOOKUP(B129,'Base stats'!B:B,'Base stats'!E:E),Groups!A:A,Groups!U:U)&lt;&gt;3,_xlfn.XLOOKUP(B129,'Base stats'!B:B,'Base stats'!BA:BA),0),0.5))</f>
        <v>No</v>
      </c>
      <c r="Y129" s="7" t="str">
        <f>IF(X129="No","No",MAX(_xlfn.XLOOKUP(_xlfn.XLOOKUP(B129,'Base stats'!B:B,'Base stats'!E:E),Groups!A:A,Groups!V:V),MROUND(_xlfn.XLOOKUP(_xlfn.XLOOKUP(B129,'Base stats'!B:B,'Base stats'!E:E),Groups!A:A,Groups!V:V)*_xlfn.XLOOKUP(B129,'Base stats'!B:B,'Base stats'!C:C)^0.165,0.05)))</f>
        <v>No</v>
      </c>
      <c r="Z129" s="7" t="str">
        <f>IF(X129="No","No",_xlfn.XLOOKUP(_xlfn.XLOOKUP(B129,'Base stats'!B:B,'Base stats'!E:E),Groups!A:A,Groups!W:W))</f>
        <v>No</v>
      </c>
      <c r="AA129" s="7" t="str">
        <f>IF(X129="No","No",_xlfn.XLOOKUP(_xlfn.XLOOKUP(B129,'Base stats'!B:B,'Base stats'!E:E),Groups!A:A,Groups!X:X))</f>
        <v>No</v>
      </c>
      <c r="AB129" s="7" t="str">
        <f>IF(X129="No","No",_xlfn.XLOOKUP(_xlfn.XLOOKUP(B129,'Base stats'!B:B,'Base stats'!E:E),Groups!A:A,Groups!Y:Y))</f>
        <v>No</v>
      </c>
      <c r="AC129" s="7" t="str">
        <f>_xlfn.XLOOKUP(Animals!B129,'Base stats'!B:B,'Base stats'!X:X)</f>
        <v>False</v>
      </c>
      <c r="AD129" s="13">
        <f>IF(_xlfn.XLOOKUP(B129,'Base stats'!B:B,'Base stats'!AT:AT)="No","No",MROUND((LOG10(_xlfn.XLOOKUP(B129,'Base stats'!B:B,'Base stats'!AT:AT))*(AO129^0.75)+(_xlfn.XLOOKUP(B129,'Base stats'!B:B,'Base stats'!AT:AT)/1000)^(2/3)+_xlfn.XLOOKUP(B129,'Base stats'!B:B,'Base stats'!AX:AX)+_xlfn.XLOOKUP(B129,'Base stats'!B:B,'Base stats'!BA:BA))+0.5,0.5))</f>
        <v>2</v>
      </c>
      <c r="AE129" s="7">
        <f>IF(AD129="No","No",MAX(_xlfn.XLOOKUP(_xlfn.XLOOKUP(B129,'Base stats'!B:B,'Base stats'!E:E),Groups!A:A,Groups!Z:Z),MROUND(_xlfn.XLOOKUP(_xlfn.XLOOKUP(B129,'Base stats'!B:B,'Base stats'!E:E),Groups!A:A,Groups!Z:Z)*_xlfn.XLOOKUP(B129,'Base stats'!B:B,'Base stats'!C:C)^0.165,0.05)))</f>
        <v>0.95000000000000007</v>
      </c>
      <c r="AF129" s="7" t="str">
        <f>IF(AD129="No","No",_xlfn.XLOOKUP(_xlfn.XLOOKUP(B129,'Base stats'!B:B,'Base stats'!E:E),Groups!A:A,Groups!AA:AA))</f>
        <v>Beak</v>
      </c>
      <c r="AG129" s="7" t="str">
        <f>IF(AD129="No","No",_xlfn.XLOOKUP(_xlfn.XLOOKUP(B129,'Base stats'!B:B,'Base stats'!E:E),Groups!A:A,Groups!AB:AB))</f>
        <v>beak</v>
      </c>
      <c r="AH129" s="7" t="str">
        <f>IF(AD129="No","No",_xlfn.XLOOKUP(_xlfn.XLOOKUP(B129,'Base stats'!B:B,'Base stats'!E:E),Groups!A:A,Groups!AC:AC))</f>
        <v>Blunt</v>
      </c>
      <c r="AI129" s="13" t="str">
        <f>IF(_xlfn.XLOOKUP(_xlfn.XLOOKUP(B129,'Base stats'!B:B,'Base stats'!E:E),Groups!A:A,Groups!AD:AD)=0,"No",MROUND((LOG10(_xlfn.XLOOKUP(B129,'Base stats'!B:B,'Base stats'!AS:AS))*(AO129^0.75)+(_xlfn.XLOOKUP(B129,'Base stats'!B:B,'Base stats'!AS:AS)/1000)^(2/3)+_xlfn.XLOOKUP(B129,'Base stats'!B:B,'Base stats'!AY:AY)+_xlfn.XLOOKUP(B129,'Base stats'!B:B,'Base stats'!BA:BA))+0.5,0.5))</f>
        <v>No</v>
      </c>
      <c r="AJ129" s="7" t="str">
        <f>IF(AI129="No","No",MAX(_xlfn.XLOOKUP(_xlfn.XLOOKUP(B129,'Base stats'!B:B,'Base stats'!E:E),Groups!A:A,Groups!AE:AE),MROUND(_xlfn.XLOOKUP(_xlfn.XLOOKUP(B129,'Base stats'!B:B,'Base stats'!E:E),Groups!A:A,Groups!AE:AE)*IF(_xlfn.XLOOKUP(_xlfn.XLOOKUP(B129,'Base stats'!B:B,'Base stats'!E:E),Groups!A:A,Groups!AJ:AJ)="Photonozoa",0.6,1)*_xlfn.XLOOKUP(B129,'Base stats'!B:B,'Base stats'!C:C)^0.165,0.05)))</f>
        <v>No</v>
      </c>
      <c r="AK129" s="7" t="str">
        <f>IF(AI129="No","No",_xlfn.XLOOKUP(_xlfn.XLOOKUP(B129,'Base stats'!B:B,'Base stats'!E:E),Groups!A:A,Groups!AF:AF))</f>
        <v>No</v>
      </c>
      <c r="AL129" s="7" t="str">
        <f>IF(AI129="No","No",_xlfn.XLOOKUP(_xlfn.XLOOKUP(B129,'Base stats'!B:B,'Base stats'!E:E),Groups!A:A,Groups!AG:AG))</f>
        <v>No</v>
      </c>
      <c r="AM129" s="7" t="str">
        <f>IF(AI129="No","No",_xlfn.XLOOKUP(_xlfn.XLOOKUP(B129,'Base stats'!B:B,'Base stats'!E:E),Groups!A:A,Groups!AH:AH))</f>
        <v>No</v>
      </c>
      <c r="AN129" s="2" t="str">
        <f t="shared" si="7"/>
        <v>No</v>
      </c>
      <c r="AO129" s="2">
        <f>MROUND(IF(AND(_xlfn.XLOOKUP(B129,'Base stats'!B:B,'Base stats'!C:C)&gt;=0.5,_xlfn.XLOOKUP(B129,'Base stats'!B:B,'Base stats'!C:C)&lt;=0.8),
IF(_xlfn.XLOOKUP(B129,'Base stats'!B:B,'Base stats'!C:C)&lt;0.1,0.05,IF(_xlfn.XLOOKUP(B129,'Base stats'!B:B,'Base stats'!C:C)&lt;=70,(_xlfn.XLOOKUP(B129,'Base stats'!B:B,'Base stats'!C:C)/70)^0.426489913056526,IF(_xlfn.XLOOKUP(B129,'Base stats'!B:B,'Base stats'!C:C)&lt;=400,(_xlfn.XLOOKUP(B129,'Base stats'!B:B,'Base stats'!C:C)/70)^0.572811455315093,IF(_xlfn.XLOOKUP(B129,'Base stats'!B:B,'Base stats'!C:C)&lt;=2000,2.71391647193063*(_xlfn.XLOOKUP(B129,'Base stats'!B:B,'Base stats'!C:C)/400)^0.252459582904293,3.74314280240376*(_xlfn.XLOOKUP(B129,'Base stats'!B:B,'Base stats'!C:C)/2000)^0.357012633876913)))),
IF(_xlfn.XLOOKUP(B129,'Base stats'!B:B,'Base stats'!C:C)&lt;0.1,0.05,IF(_xlfn.XLOOKUP(B129,'Base stats'!B:B,'Base stats'!C:C)&lt;0.4,0.1,IF(_xlfn.XLOOKUP(B129,'Base stats'!B:B,'Base stats'!C:C)&lt;=70,(_xlfn.XLOOKUP(B129,'Base stats'!B:B,'Base stats'!C:C)/70)^0.445823913056526,IF(_xlfn.XLOOKUP(B129,'Base stats'!B:B,'Base stats'!C:C)&lt;=400,(_xlfn.XLOOKUP(B129,'Base stats'!B:B,'Base stats'!C:C)/70)^0.572811455315093,IF(_xlfn.XLOOKUP(B129,'Base stats'!B:B,'Base stats'!C:C)&lt;=2000,2.71391647193063*(_xlfn.XLOOKUP(B129,'Base stats'!B:B,'Base stats'!C:C)/400)^0.252459582904293,3.74314280240376*(_xlfn.XLOOKUP(B129,'Base stats'!B:B,'Base stats'!C:C)/2000)^0.357012633876913)))))),
IF(_xlfn.XLOOKUP(B129,'Base stats'!B:B,'Base stats'!C:C)&lt;0.1,0.05,IF(_xlfn.XLOOKUP(B129,'Base stats'!B:B,'Base stats'!C:C)&lt;=100,0.05,IF(_xlfn.XLOOKUP(B129,'Base stats'!B:B,'Base stats'!C:C)&lt;=250,0.1,IF(_xlfn.XLOOKUP(B129,'Base stats'!B:B,'Base stats'!C:C)&lt;=4000,0.25,0.5)))))</f>
        <v>0.25</v>
      </c>
      <c r="AP129" s="8">
        <f>MROUND(AO129*_xlfn.XLOOKUP(_xlfn.XLOOKUP(B129,'Base stats'!B:B,'Base stats'!E:E),Groups!A:A,Groups!AI:AI)*_xlfn.XLOOKUP(B129,'Base stats'!B:B,'Base stats'!Z:Z),0.05)</f>
        <v>0.25</v>
      </c>
      <c r="AQ129" s="8">
        <f>MAX(0.01,MROUND(IF(CC129="True",0.196*(AO129*100*1000)^0.889,IF(_xlfn.XLOOKUP(_xlfn.XLOOKUP(B129,'Base stats'!B:B,'Base stats'!E:E),Groups!A:A,Groups!AJ:AJ)="Bird",10.5*(AO129*100*1000)^0.681,4.82*(AO129*100*1000)^0.734))/(4.82*(1*100*1000)^0.734)/IF(AO129&lt;3.5,2,IF(AO129=3.5,1.5,1.25))*(1+0.132282374779864/(AO129^0.994035016789033+0.00905238001496948)),0.05))</f>
        <v>0.35000000000000003</v>
      </c>
      <c r="AR129" s="9">
        <f>IFERROR(MROUND(_xlfn.XLOOKUP(B129,'Base stats'!B:B,'Base stats'!H:H)/IF(_xlfn.XLOOKUP(B129,'Base stats'!B:B,'Base stats'!I:I)&lt;&gt;1,(122.5/70),1.2),IF(_xlfn.XLOOKUP(B129,'Base stats'!B:B,'Base stats'!H:H)&gt;=30,5,IF(_xlfn.XLOOKUP(B129,'Base stats'!B:B,'Base stats'!H:H)&gt;=15,3,IF(_xlfn.XLOOKUP(B129,'Base stats'!B:B,'Base stats'!H:H)&gt;=10,2,1)))),"Immortal")</f>
        <v>20</v>
      </c>
      <c r="AS129" s="35" t="str">
        <f>IFERROR(IF(OR(_xlfn.XLOOKUP(B129,'Base stats'!B:B,'Base stats'!F:F)="Atypical reproduction",_xlfn.XLOOKUP(B129,'Base stats'!B:B,'Base stats'!F:F)="Lay eggs"),"Lay eggs",MIN(20,MAX(5.5,ROUND(((_xlfn.XLOOKUP(B129,'Base stats'!B:B,'Base stats'!F:F)-25)*(14.5/615) + 5.5)*2,0)/2))),"Unknown")</f>
        <v>Lay eggs</v>
      </c>
      <c r="AT129" s="8">
        <f>IF(_xlfn.XLOOKUP(B129,'Base stats'!B:B,'Base stats'!G:G)="Atypical reproduction","No",IFERROR(MAX(IF(_xlfn.XLOOKUP(B129,'Base stats'!B:B,'Base stats'!G:G)&lt;0.5,0.2,0.3),MROUND(_xlfn.XLOOKUP(B129,'Base stats'!B:B,'Base stats'!G:G)/(365/60),0.2)),"Unknown"))</f>
        <v>0.4</v>
      </c>
      <c r="AU129" s="8">
        <f t="shared" si="8"/>
        <v>0.2</v>
      </c>
      <c r="AV129" s="8" t="str">
        <f>IFERROR(IFERROR(MROUND(_xlfn.XLOOKUP(B129,'Base stats'!B:B,'Base stats'!J:J),0.1),"Lay eggs"),"Cannot breed")</f>
        <v>Lay eggs</v>
      </c>
      <c r="AW129" s="2" t="str">
        <f t="shared" si="9"/>
        <v>true</v>
      </c>
      <c r="AX129" s="2" t="str">
        <f>IF(_xlfn.XLOOKUP(_xlfn.XLOOKUP(Animals!B129,'Base stats'!B:B,'Base stats'!E:E),Groups!A:A,Groups!AK:AK)=1,"true","false")</f>
        <v>false</v>
      </c>
      <c r="AY129" s="25" t="str">
        <f>IF(_xlfn.XLOOKUP(B129,'Base stats'!B:B,'Base stats'!Y:Y)="Liquor","Liquor, CarnivoreAnimalStrict",IF(AND(_xlfn.XLOOKUP(B129,'Base stats'!B:B,'Base stats'!Y:Y)="Carnivore",_xlfn.XLOOKUP(_xlfn.XLOOKUP(B129,'Base stats'!B:B,'Base stats'!E:E),Groups!A:A,Groups!AJ:AJ)="Photonozoa"),"CarnivoreAnimalStrict, OvivoreAnimal",IF(_xlfn.XLOOKUP(B129,'Base stats'!B:B,'Base stats'!Y:Y)="Carnivore","CarnivoreAnimal, OvivoreAnimal",IF(_xlfn.XLOOKUP(B129,'Base stats'!B:B,'Base stats'!Y:Y)="Dendrovore","VegetarianRoughAnimal, DendrovoreAnimal",IF(_xlfn.XLOOKUP(B129,'Base stats'!B:B,'Base stats'!Y:Y)="Herbivore","VegetarianRoughAnimal",IF(_xlfn.XLOOKUP(B129,'Base stats'!B:B,'Base stats'!Y:Y)="OmnivoreRough","OmnivoreRoughAnimal, OvivoreAnimal","OmnivoreAnimal, OvivoreAnimal"))))))</f>
        <v>VegetarianRoughAnimal</v>
      </c>
      <c r="AZ129" s="2">
        <f>IF(_xlfn.XLOOKUP(_xlfn.XLOOKUP(B129,'Base stats'!B:B,'Base stats'!E:E),Groups!A:A,Groups!D:D)=1,MROUND((1-J129)*5+1,2)*IF(J129&lt;=0.4,2,1),"No")</f>
        <v>4</v>
      </c>
      <c r="BA129" s="2" t="str">
        <f>IF(AND(_xlfn.XLOOKUP(B129,'Base stats'!B:B,'Base stats'!AH:AH)="&lt;li&gt;Seal&lt;/li&gt;",G129="Odyssey"),"&lt;li&gt;AEXP_Seal&lt;/li&gt;",_xlfn.XLOOKUP(B129,'Base stats'!B:B,'Base stats'!AH:AH))</f>
        <v>&lt;li&gt;Goose&lt;/li&gt;</v>
      </c>
      <c r="BB129" s="2" t="str">
        <f>_xlfn.XLOOKUP(B129,'Base stats'!B:B,'Base stats'!AG:AG)</f>
        <v>No</v>
      </c>
      <c r="BC129" s="23" t="str">
        <f>_xlfn.XLOOKUP(_xlfn.XLOOKUP(B129,'Base stats'!B:B,'Base stats'!E:E),Groups!A:A,Groups!AL:AL)</f>
        <v>Bird</v>
      </c>
      <c r="BD129" s="23">
        <f>MIN(1,MROUND(IF(AND(AO129&lt;0.5,_xlfn.XLOOKUP(B129,'Base stats'!B:B,'Base stats'!AA:AA)=0),0,IF(OR(_xlfn.XLOOKUP(Animals!B129,'Base stats'!B:B,'Base stats'!O:O)=2,_xlfn.XLOOKUP(_xlfn.XLOOKUP(B129,'Base stats'!B:B,'Base stats'!E:E),Groups!A:A,Groups!AN:AN)=0),0,_xlfn.XLOOKUP(_xlfn.XLOOKUP(B129,'Base stats'!B:B,'Base stats'!E:E),Groups!A:A,Groups!AN:AN)/IF(_xlfn.XLOOKUP(Animals!B129,'Base stats'!B:B,'Base stats'!O:O)=1,2,1)))+_xlfn.XLOOKUP(B129,'Base stats'!B:B,'Base stats'!AC:AC),0.005))</f>
        <v>0</v>
      </c>
      <c r="BE129" s="23">
        <f>MIN(1,MROUND(IF(AND(AO129&lt;0.5,_xlfn.XLOOKUP(B129,'Base stats'!B:B,'Base stats'!AA:AA)=0),0,IF(_xlfn.XLOOKUP(_xlfn.XLOOKUP(B129,'Base stats'!B:B,'Base stats'!E:E),Groups!A:A,Groups!AO:AO)=0,0,_xlfn.XLOOKUP(_xlfn.XLOOKUP(B129,'Base stats'!B:B,'Base stats'!E:E),Groups!A:A,Groups!AO:AO)/IF(_xlfn.XLOOKUP(Animals!B129,'Base stats'!B:B,'Base stats'!O:O)=2,3,1)))+_xlfn.XLOOKUP(B129,'Base stats'!B:B,'Base stats'!AD:AD),0.005))</f>
        <v>0</v>
      </c>
      <c r="BF129" s="2" t="str">
        <f>IF(J129&gt;0.3,"No",_xlfn.XLOOKUP(_xlfn.XLOOKUP(Animals!B129,'Base stats'!B:B,'Base stats'!E:E),Groups!A:A,Groups!AP:AP))</f>
        <v>No</v>
      </c>
      <c r="BG129" s="2" t="str">
        <f>IF(AND(J129&lt;=0.65,_xlfn.XLOOKUP(_xlfn.XLOOKUP(Animals!B129,'Base stats'!B:B,'Base stats'!E:E),Groups!A:A,Groups!AP:AP)&lt;&gt;"No",_xlfn.XLOOKUP(_xlfn.XLOOKUP(B129,'Base stats'!B:B,'Base stats'!E:E),Groups!A:A,Groups!D:D)=0),MROUND((80/3)*IF(_xlfn.XLOOKUP(B129,'Base stats'!B:B,'Base stats'!O:O)=2,0.2,AO129) + 24*(1-IF(BF129="No",0,BF129)) + 16/3, 12),"No")</f>
        <v>No</v>
      </c>
      <c r="BH129" s="2">
        <f>IF(AND(_xlfn.XLOOKUP(_xlfn.XLOOKUP(B129,'Base stats'!B:B,'Base stats'!E:E),Groups!A:A,Groups!AQ:AQ)=1,AO129&lt;=0.35),8,12)</f>
        <v>12</v>
      </c>
      <c r="BI129" s="2" t="str">
        <f>IF(_xlfn.XLOOKUP(_xlfn.XLOOKUP(B129,'Base stats'!B:B,'Base stats'!E:E),Groups!A:A,Groups!D:D)=0,_xlfn.XLOOKUP(_xlfn.XLOOKUP(B129,'Base stats'!B:B,'Base stats'!E:E),Groups!A:A,Groups!AR:AR),"None")</f>
        <v>None</v>
      </c>
      <c r="BJ129" s="2" t="str">
        <f>IF(AND(_xlfn.XLOOKUP(_xlfn.XLOOKUP(B129,'Base stats'!B:B,'Base stats'!E:E),Groups!A:A,Groups!AS:AS)=1,OR(_xlfn.XLOOKUP(B129,'Base stats'!B:B,'Base stats'!Y:Y)="Carnivore",_xlfn.XLOOKUP(B129,'Base stats'!B:B,'Base stats'!Y:Y)="Omnivore")),"true","false")</f>
        <v>false</v>
      </c>
      <c r="BK129" s="2" t="str">
        <f>IF(BJ129="true",MROUND(IF(AND(AO129&gt;0.5,OR(_xlfn.XLOOKUP(_xlfn.XLOOKUP(B129,'Base stats'!B:B,'Base stats'!E:E),Groups!A:A,Groups!AJ:AJ)="Photonozoa",_xlfn.XLOOKUP(_xlfn.XLOOKUP(B129,'Base stats'!B:B,'Base stats'!E:E),Groups!A:A,Groups!AJ:AJ)="Mammal")),Animals!AO129*1.75*IF(AW129="true",1.5,1),IF(AO129&lt;0.5,Animals!AO129*0.5,Animals!AO129)),IF(AO129&gt;2,0.5,IF(AO129&gt;0.5,0.25,0.1))),"No")</f>
        <v>No</v>
      </c>
      <c r="BL129" s="2">
        <f t="shared" si="10"/>
        <v>0</v>
      </c>
      <c r="BM129" s="25" t="str">
        <f>IF(_xlfn.XLOOKUP(B129,'Base stats'!B:B,'Base stats'!AN:AN)="Standard","No",MROUND((_xlfn.XLOOKUP(B129,'Base stats'!B:B,'Base stats'!AN:AN)/3.6)/I129,0.1))</f>
        <v>No</v>
      </c>
      <c r="BN129" s="25" t="str">
        <f t="shared" si="11"/>
        <v>true</v>
      </c>
      <c r="BO129" s="25" t="str">
        <f>IF(AND(OR(_xlfn.XLOOKUP(B129,'Base stats'!B:B,'Base stats'!Y:Y)="Carnivore",_xlfn.XLOOKUP(B129,'Base stats'!B:B,'Base stats'!Y:Y)="Omnivore",_xlfn.XLOOKUP(B129,'Base stats'!B:B,'Base stats'!Y:Y)="OmnivoreRough"),_xlfn.XLOOKUP(_xlfn.XLOOKUP(B129,'Base stats'!B:B,'Base stats'!E:E),Groups!A:A,Groups!AT:AT)=1),"true","false")</f>
        <v>false</v>
      </c>
      <c r="BP129" s="25" t="str" cm="1">
        <f t="array" ref="BP129">IF(
  _xlfn.TEXTJOIN(", ",TRUE,
    IF(AND(BJ129="true",AO129&gt;0.5,BI129&lt;&gt;"None"),"AttackTarget",""),
    IF(AND(_xlfn.XLOOKUP(_xlfn.XLOOKUP(B129,'Base stats'!B:B,'Base stats'!E:E),Groups!A:A,Groups!AJ:AJ="Mammal"),OR(_xlfn.XLOOKUP(B129,'Base stats'!B:B,'Base stats'!Y:Y)="Omnivore",_xlfn.XLOOKUP(B129,'Base stats'!B:B,'Base stats'!Y:Y)="OmnivoreRough")),"Forage",""),
    IF(BG129&lt;=36,"Comfort",""),
    IF(_xlfn.XLOOKUP(B129,'Base stats'!B:B,'Base stats'!AE:AE)&lt;&gt;"No",_xlfn.XLOOKUP(B129,'Base stats'!B:B,'Base stats'!AE:AE),"")
  ) = "",
  "No",
  _xlfn.TEXTJOIN(", ",TRUE,
    IF(AND(BJ129="true",AO129&gt;0.5,BI129&lt;&gt;"None"),"AttackTarget",""),
    IF(AND(_xlfn.XLOOKUP(_xlfn.XLOOKUP(B129,'Base stats'!B:B,'Base stats'!E:E),Groups!A:A,Groups!AJ:AJ="Mammal"),OR(_xlfn.XLOOKUP(B129,'Base stats'!B:B,'Base stats'!Y:Y)="Omnivore",_xlfn.XLOOKUP(B129,'Base stats'!B:B,'Base stats'!Y:Y)="OmnivoreRough")),"Forage",""),
    IF(BG129&lt;=36,"Comfort",""),
    IF(_xlfn.XLOOKUP(B129,'Base stats'!B:B,'Base stats'!AE:AE)&lt;&gt;"No",_xlfn.XLOOKUP(B129,'Base stats'!B:B,'Base stats'!AE:AE),"")
  )
)</f>
        <v>No</v>
      </c>
      <c r="BQ129" s="25">
        <f>IF(
   AND(
      'Base stats'!AN129="Standard",_xlfn.XLOOKUP(_xlfn.XLOOKUP(B129,'Base stats'!B:B,'Base stats'!E:E),Groups!A:A,Groups!AU:AU)=0,
      OR(
      BO129="True"
      )
   ),
   10,
   IF(
       OR(BM129&lt;&gt;"No",_xlfn.XLOOKUP(_xlfn.XLOOKUP(B129,'Base stats'!B:B,'Base stats'!E:E),Groups!A:A,Groups!AU:AU)=1),
      1,
      "No"
   )
)</f>
        <v>1</v>
      </c>
      <c r="BR129" s="9">
        <f>MROUND((1 + ((0.2*IF(OR(Q129="No",R129="No",R129=0),0,Q129/R129)
+IF(OR(V129="No",S129="No",T129="No"),0,S129/T129*(LEN(V129)-LEN(SUBSTITUTE(V129,",",""))+1))
+IF(OR(X129="No",Y129="No"),0,X129/Y129)
+IF(OR(AD129="No",AE129="No"),0,AD129/AE129)
+IF(OR(AL129="No",AI129="No",AJ129="No"),0,AI129/AJ129*(LEN(AL129)-LEN(SUBSTITUTE(AL129,",",""))+1))
)/(0.2*IF(OR(Q129="No",R129="No",R129=0),0,1)
+IF(OR(V129="No",S129="No",T129="No"),0,LEN(V129)-LEN(SUBSTITUTE(V129,",",""))+1)
+IF(OR(X129="No",Y129="No"),0,1)
+IF(OR(AD129="No",AE129="No"),0,1)
+IF(OR(AL129="No",AI129="No",AJ129="No"),0,LEN(AL129)-LEN(SUBSTITUTE(AL129,",",""))+1))*62%)* 2)*(1 + (AP129 / (IF(_xlfn.XLOOKUP(_xlfn.XLOOKUP(B129,'Base stats'!B:B,'Base stats'!E:E),Groups!A:A,Groups!AJ:AJ)="Photonozoa",0.3,1)) + _xlfn.XLOOKUP(B129,'Base stats'!B:B,'Base stats'!AV:AV) * 1.8) * 2) * 2.5 + 10 + I129 * 2,5)+IF(_xlfn.XLOOKUP(B129,'Base stats'!B:B,'Base stats'!AK:AK)=1,50,0)</f>
        <v>25</v>
      </c>
      <c r="BS129" s="8">
        <f t="shared" si="12"/>
        <v>0.35000000000000003</v>
      </c>
      <c r="BT129" s="8" t="str">
        <f>_xlfn.XLOOKUP(B129,'Base stats'!B:B,'Base stats'!AF:AF)</f>
        <v>3~8</v>
      </c>
      <c r="BU129" s="2" t="str">
        <f>IF(AND(J129&lt;=0.95,OR(_xlfn.XLOOKUP(B129,'Base stats'!B:B,'Base stats'!AK:AK)=1,_xlfn.XLOOKUP(B129,'Base stats'!B:B,'Base stats'!Y:Y)="Carnivore",_xlfn.XLOOKUP(B129,'Base stats'!B:B,'Base stats'!Y:Y)="Omnivore",BE129&gt;0.1)),"true","false")</f>
        <v>false</v>
      </c>
      <c r="BV129" s="2" t="str">
        <f>IF(_xlfn.XLOOKUP(B129,'Base stats'!B:B,'Base stats'!AI:AI)=1,"true","false")</f>
        <v>false</v>
      </c>
      <c r="BW129" s="25" t="str">
        <f>IF(E129="BaseInsect","AnimalInsect",
IF(J129&gt;0.95,"AnimalExotic",
_xlfn.TEXTJOIN(", ",TRUE,
IF(OR(_xlfn.XLOOKUP(B129,'Base stats'!B:B,'Base stats'!AM:AM)=1,AND(_xlfn.XLOOKUP(B129,'Base stats'!B:B,'Base stats'!O:O)=0,_xlfn.XLOOKUP(_xlfn.XLOOKUP(B129,'Base stats'!B:B,'Base stats'!E:E),Groups!A:A,Groups!B:B)&gt;0)),"AnimalUncommon","AnimalCommon"),
IF(AND(_xlfn.XLOOKUP(B129,'Base stats'!B:B,'Base stats'!O:O)=2,_xlfn.XLOOKUP(_xlfn.XLOOKUP(B129,'Base stats'!B:B,'Base stats'!E:E),Groups!A:A,Groups!D:D)=0),"AnimalPet",IF(AND(_xlfn.XLOOKUP(B129,'Base stats'!B:B,'Base stats'!O:O)&lt;&gt;0,_xlfn.XLOOKUP(_xlfn.XLOOKUP(B129,'Base stats'!B:B,'Base stats'!E:E),Groups!A:A,Groups!D:D)&lt;&gt;0),"AnimalFarm","")),
IF(OR(_xlfn.XLOOKUP(B129,'Base stats'!B:B,'Base stats'!AK:AK)=1,AND(BI129&lt;&gt;"None",BR129&gt;=60),ISNUMBER(SEARCH("Attack target",BP129))),"AnimalFighter","")
)))</f>
        <v>AnimalUncommon</v>
      </c>
      <c r="BX129" s="25" t="str">
        <f>IF(G129="None",TRIM(
SUBSTITUTE(
IF(COUNTIF(Biomes!B$2:B$259,"="&amp;$C129)&gt;0,Biomes!B$1&amp;", ","")&amp;
IF(COUNTIF(Biomes!C$2:C$259,"="&amp;$C129)&gt;0,Biomes!C$1&amp;", ","")&amp;
IF(COUNTIF(Biomes!D$2:D$259,"="&amp;$C129)&gt;0,Biomes!D$1&amp;", ","")&amp;
IF(COUNTIF(Biomes!F$2:F$259,"="&amp;$C129)&gt;0,Biomes!F$1&amp;", ","")&amp;
IF(COUNTIF(Biomes!G$2:G$259,"="&amp;$C129)&gt;0,Biomes!G$1&amp;", ","")&amp;
IF(COUNTIF(Biomes!H$2:H$259,"="&amp;$C129)&gt;0,Biomes!H$1&amp;", ","")&amp;
IF(COUNTIF(Biomes!I$2:I$259,"="&amp;$C129)&gt;0,Biomes!I$1&amp;", ","")&amp;
IF(COUNTIF(Biomes!J$2:J$259,"="&amp;$C129)&gt;0,Biomes!J$1&amp;", ","")&amp;
IF(COUNTIF(Biomes!M$2:M$259,"="&amp;$C129)&gt;0,Biomes!M$1&amp;", ","")&amp;
IF(COUNTIF(Biomes!N$2:N$259,"="&amp;$C129)&gt;0,Biomes!N$1&amp;", ","")&amp;
IF(COUNTIF(Biomes!O$2:O$259,"="&amp;$C129)&gt;0,Biomes!O$1&amp;", ","")&amp;
IF(COUNTIF(Biomes!P$2:P$259,"="&amp;$C129)&gt;0,Biomes!P$1&amp;", ","")&amp;
IF(COUNTIF(Biomes!K$2:K$259,"="&amp;$C129)&gt;0,Biomes!K$1&amp;", ","")&amp;
IF(COUNTIF(Biomes!Q$3:Q$259,"="&amp;$C129)&gt;0,Biomes!Q$1&amp;", ","")&amp;
IF(COUNTIF(Biomes!L$2:L$259,"="&amp;$C129)&gt;0,Biomes!L$1&amp;", ","")&amp;
IF(COUNTIF(Biomes!E$2:E$259,"="&amp;$C129)&gt;0,Biomes!E$1&amp;", ","")&amp;IF(COUNTIF(Biomes!S$2:S$259,"="&amp;$C129)&gt;0,Biomes!S$1&amp;", ","")&amp;
IF(COUNTIF(Biomes!R$2:R$259,"="&amp;$C129)&gt;0,Biomes!R$1&amp;", ",""),", ","")
),_xlfn.XLOOKUP(B129,B:B,BX:BX))</f>
        <v>ColdBog TemperateSwamp</v>
      </c>
      <c r="BY129" s="25" t="str">
        <f>IF(_xlfn.XLOOKUP(B129,'Base stats'!B:B,'Base stats'!AJ:AJ)=1,"true","false")</f>
        <v>false</v>
      </c>
      <c r="BZ129" s="25">
        <f>IF(_xlfn.XLOOKUP(B129,'Base stats'!B:B,'Base stats'!N:N)=1,"No",MAX(0.001,MIN(MROUND(IF(AND(BJ129="True",CC129="False"),POWER(10,3.47*LOG10(_xlfn.XLOOKUP(B129,'Base stats'!B:B,'Base stats'!C:C)*1000)^-0.96),POWER(10,4.15*LOG10(_xlfn.XLOOKUP(B129,'Base stats'!B:B,'Base stats'!C:C)*1000)^-0.73))*IF(_xlfn.XLOOKUP(B129,'Base stats'!B:B,'Base stats'!AK:AK)=1,0.5,1)*IF(_xlfn.XLOOKUP(B129,'Base stats'!B:B,'Base stats'!AM:AM)=1,0.1,1)/100,IF(_xlfn.XLOOKUP(B129,'Base stats'!B:B,'Base stats'!AM:AM)=1,0.001,0.025)),0.5)))</f>
        <v>0.45</v>
      </c>
      <c r="CA129" s="25" t="str">
        <f>IF(P129="Standard","No",MAX(0.001,MIN(MROUND(IF(AND(BJ129="True",CC129="False"),POWER(10,3.47*LOG10(_xlfn.XLOOKUP(B129,'Base stats'!B:B,'Base stats'!C:C)*1000)^-0.96),POWER(10,4.15*LOG10(_xlfn.XLOOKUP(B129,'Base stats'!B:B,'Base stats'!C:C)*1000)^-0.73))*IF(_xlfn.XLOOKUP(B129,'Base stats'!B:B,'Base stats'!AM:AM)=1,0.1,1)*_xlfn.XLOOKUP(B129,'Base stats'!B:B,'Base stats'!R:R)/100,IF(_xlfn.XLOOKUP(B129,'Base stats'!B:B,'Base stats'!AM:AM)=1,0.001,0.025)),0.5)))</f>
        <v>No</v>
      </c>
      <c r="CB129" s="25" t="str">
        <f>IF(_xlfn.XLOOKUP(_xlfn.XLOOKUP(B129,'Base stats'!B:B,'Base stats'!E:E),Groups!A:A,Groups!AJ:AJ)="Mammal","True","False")</f>
        <v>False</v>
      </c>
      <c r="CC129" s="25" t="str">
        <f>IF(OR(_xlfn.XLOOKUP(_xlfn.XLOOKUP(B129,'Base stats'!B:B,'Base stats'!E:E),Groups!A:A,Groups!AJ:AJ)="Reptile",_xlfn.XLOOKUP(_xlfn.XLOOKUP(B129,'Base stats'!B:B,'Base stats'!E:E),Groups!A:A,Groups!AJ:AJ)="Amphibian",_xlfn.XLOOKUP(_xlfn.XLOOKUP(B129,'Base stats'!B:B,'Base stats'!E:E),Groups!A:A,Groups!AJ:AJ)="Invertebrate"),"True","False")</f>
        <v>False</v>
      </c>
      <c r="CD129" s="25" t="str">
        <f t="shared" si="13"/>
        <v>False</v>
      </c>
      <c r="CE129" s="25" t="str">
        <f>IF(_xlfn.XLOOKUP(_xlfn.XLOOKUP(B129,'Base stats'!B:B,'Base stats'!E:E),Groups!A:A,Groups!AX:AX),"True","False")</f>
        <v>False</v>
      </c>
      <c r="CF129" s="25" t="str">
        <f>IF(_xlfn.XLOOKUP(_xlfn.XLOOKUP(B129,'Base stats'!B:B,'Base stats'!E:E),Groups!A:A,Groups!AY:AY),"True","False")</f>
        <v>False</v>
      </c>
      <c r="CG129" s="25" t="str">
        <f>IF(_xlfn.XLOOKUP(_xlfn.XLOOKUP(B129,'Base stats'!B:B,'Base stats'!E:E),Groups!A:A,Groups!AW:AW),"True","False")</f>
        <v>False</v>
      </c>
      <c r="CH129" s="25" t="str">
        <f>IF(
OR(
_xlfn.XLOOKUP(_xlfn.XLOOKUP(B129,'Base stats'!B:B,'Base stats'!E:E),Groups!A:A,Groups!AZ:AZ)=0,
AND(
_xlfn.XLOOKUP(B129,'Base stats'!B:B,'Base stats'!Y:Y)&lt;&gt;"Carnivore",
_xlfn.XLOOKUP(B129,'Base stats'!B:B,'Base stats'!Y:Y)&lt;&gt;"Omnivore",
_xlfn.XLOOKUP(B129,'Base stats'!B:B,'Base stats'!Y:Y)&lt;&gt;"OmnivoreRough"
)
),
"No",
IF(
_xlfn.XLOOKUP(_xlfn.XLOOKUP(B129,'Base stats'!B:B,'Base stats'!E:E),Groups!A:A,Groups!AZ:AZ)=1,
"Flesh",
IF(
_xlfn.XLOOKUP(_xlfn.XLOOKUP(B129,'Base stats'!B:B,'Base stats'!E:E),Groups!A:A,Groups!AZ:AZ)=2,
"Bone",
""
)
)
)</f>
        <v>No</v>
      </c>
      <c r="CI129" s="25" t="str">
        <f>IF(_xlfn.XLOOKUP(_xlfn.XLOOKUP(B129,'Base stats'!B:B,'Base stats'!E:E),Groups!A:A,Groups!BB:BB),"True","False")</f>
        <v>True</v>
      </c>
      <c r="CJ129" s="25" t="str">
        <f>IF(_xlfn.XLOOKUP(_xlfn.XLOOKUP(B129,'Base stats'!B:B,'Base stats'!E:E),Groups!A:A,Groups!BA:BA),"True","False")</f>
        <v>False</v>
      </c>
    </row>
    <row r="130" spans="1:88" ht="16.5" thickTop="1" thickBot="1" x14ac:dyDescent="0.3">
      <c r="A130" s="26" t="str">
        <f>_xlfn.XLOOKUP(B130,'Base stats'!B:B,'Base stats'!A:A)</f>
        <v>Beaver</v>
      </c>
      <c r="B130" s="6" t="s">
        <v>481</v>
      </c>
      <c r="C130" s="28" t="s">
        <v>811</v>
      </c>
      <c r="D130" s="28" t="s">
        <v>872</v>
      </c>
      <c r="E130" s="28" t="s">
        <v>673</v>
      </c>
      <c r="F130" s="28" t="s">
        <v>673</v>
      </c>
      <c r="G130" s="28" t="s">
        <v>673</v>
      </c>
      <c r="H130" s="2">
        <f>MROUND((
  (IF(AND(_xlfn.XLOOKUP(B130,'Base stats'!B:B,'Base stats'!AL:AL)=0,BI130="None",_xlfn.XLOOKUP(_xlfn.XLOOKUP(B130,'Base stats'!B:B,'Base stats'!E:E),Groups!A:A,Groups!B:B)=0), (18 + BR130 * 2.7) * 0.5,
    IF(AND(_xlfn.XLOOKUP(B130,'Base stats'!B:B,'Base stats'!AL:AL)=0,OR(AO130&lt;0.55,AND(BI130="Intermediate",_xlfn.XLOOKUP(_xlfn.XLOOKUP(B130,'Base stats'!B:B,'Base stats'!E:E),Groups!A:A,Groups!B:B)&lt;2))), (18 + BR130 * 2.7),
      IF(OR(BI130="Advanced",_xlfn.XLOOKUP(B130,'Base stats'!B:B,'Base stats'!AL:AL)=1,_xlfn.XLOOKUP(_xlfn.XLOOKUP(B130,'Base stats'!B:B,'Base stats'!E:E),Groups!A:A,Groups!B:B)=2), (18 + BR130 * 2.7) + 250, (18 + BR130 * 2.7))
    )
  ))
  + AO130 * 80
  + IF(COUNTIF(EggMilk!K$2:K$998, A130) &gt; 0, 125, 0)
  + IF(COUNTIF(EggMilk!P$2:P$998, A130) &gt; 0, 90, 0)
  + IF(COUNTIF(EggMilk!A$2:A$998, A130) &gt; 0, 90, 0)
)
* (0.8 + 0.4 * J130)
* 0.75,25)</f>
        <v>100</v>
      </c>
      <c r="I130" s="2">
        <f>MROUND(ROUNDDOWN(_xlfn.XLOOKUP(B130,'Base stats'!B:B,'Base stats'!L:L)/3.6/(23.3/11),1),0.5)</f>
        <v>2</v>
      </c>
      <c r="J130" s="2">
        <f>IF(OR(_xlfn.XLOOKUP(B130,'Base stats'!B:B,'Base stats'!AB:AB)=1,_xlfn.XLOOKUP(_xlfn.XLOOKUP(B130,'Base stats'!B:B,'Base stats'!E:E),Groups!A:A,Groups!C:C)="Untamable"),1,IF(_xlfn.XLOOKUP(B130,'Base stats'!B:B,'Base stats'!AL:AL)=1,0.99,MIN(MROUND((1-0.6282*EXP(-0.459*AO130))*_xlfn.XLOOKUP(_xlfn.XLOOKUP(B130,'Base stats'!B:B,'Base stats'!E:E),Groups!A:A,Groups!C:C)*IF(_xlfn.XLOOKUP(B130,'Base stats'!B:B,'Base stats'!O:O)=1,0.5,IF(_xlfn.XLOOKUP(B130,'Base stats'!B:B,'Base stats'!O:O)=2,0,1)),0.05),IF(AO130&gt;3.5,0.985,0.95))))</f>
        <v>0.65</v>
      </c>
      <c r="K130" s="2">
        <f>ROUNDUP(AO130*_xlfn.XLOOKUP(_xlfn.XLOOKUP(B130,'Base stats'!B:B,'Base stats'!E:E),Groups!A:A,Groups!E:E),0)</f>
        <v>1</v>
      </c>
      <c r="L130" s="2">
        <f>IF(OR(_xlfn.XLOOKUP(_xlfn.XLOOKUP(B130,'Base stats'!B:B,'Base stats'!E:E),Groups!A:A,Groups!F:F)=2,ISNUMBER(SEARCH("SeaIce",BX130)),ISNUMBER(SEARCH("IceSheet",BX130))),-50,IF(OR(ISNUMBER(SEARCH("GlacialPlain",BX130)),ISNUMBER(SEARCH("Tundra",BX130))),-40,IF(OR(ISNUMBER(SEARCH("Alpine",BX130)),ISNUMBER(SEARCH("BorealForest",BX130)),ISNUMBER(SEARCH("ColdBog",BX130))),-30,IF(OR(ISNUMBER(SEARCH("TemperateForest",BX130)),ISNUMBER(SEARCH("TemperateSwamp",BX130))),-20,IF(_xlfn.XLOOKUP(_xlfn.XLOOKUP(B130,'Base stats'!B:B,'Base stats'!E:E),Groups!A:A,Groups!F:F)=1,-15,IF(OR(ISNUMBER(SEARCH("Desert",BX130)),ISNUMBER(SEARCH("ExtremeDesert",BX130))),-10,IF(OR(ISNUMBER(SEARCH("Grasslands",BX130)),ISNUMBER(SEARCH("TropicalRainforest",BX130)),ISNUMBER(SEARCH("TropicalSwamp",BX130))),10,0)))))))-IF(CC130="False",MIN(IFERROR(MAX(MROUND(LOG10(_xlfn.XLOOKUP(B130,'Base stats'!B:B,'Base stats'!C:C)^(2/3))*10,5),5),5),30))-_xlfn.XLOOKUP(B130,'Base stats'!B:B,'Base stats'!P:P)+IF(CC130="True",5,0)</f>
        <v>-40</v>
      </c>
      <c r="M130" s="2">
        <f>IF(OR(_xlfn.XLOOKUP(_xlfn.XLOOKUP(B130,'Base stats'!B:B,'Base stats'!E:E),Groups!A:A,Groups!G:G)=2,ISNUMBER(SEARCH("Desert",BX130)),ISNUMBER(SEARCH("ExtremeDesert",BX130)),ISNUMBER(SEARCH("LavaField",BX130))),50,IF(ISNUMBER(SEARCH("Grasslands",BX130)),45,IF(OR(_xlfn.XLOOKUP(_xlfn.XLOOKUP(B130,'Base stats'!B:B,'Base stats'!E:E),Groups!A:A,Groups!G:G)=1,ISNUMBER(SEARCH("TropicalRainforest",BX130)),ISNUMBER(SEARCH("TropicalSwamp",BX130))),40,IF(OR(ISNUMBER(SEARCH("TemperateForest",BX130)),ISNUMBER(SEARCH("TemperateSwamp",BX130))),35,IF(OR(ISNUMBER(SEARCH("Alpine",BX130)),ISNUMBER(SEARCH("BorealForest",BX130)),ISNUMBER(SEARCH("ColdBog",BX130))),30,IF(ISNUMBER(OR(ISNUMBER(SEARCH("GlacialPlain",BX130)),SEARCH("Tundra",BX130))),25,IF(OR(ISNUMBER(SEARCH("SeaIce",BX130)),ISNUMBER(SEARCH("IceSheet",BX130)),ISNUMBER(SEARCH("TropicalSwamp",BX130))),10,35)))))))+_xlfn.XLOOKUP(B130,'Base stats'!B:B,'Base stats'!Q:Q)</f>
        <v>35</v>
      </c>
      <c r="N130" s="8" t="str">
        <f>IF(
_xlfn.XLOOKUP(
_xlfn.XLOOKUP(B130,'Base stats'!B:B,'Base stats'!E:E),
Groups!A:A,
Groups!L:L
)=1,
MIN(
MROUND(
IF(
_xlfn.XLOOKUP(B130,'Animals CE'!B:B,'Animals CE'!Z:Z)&lt;=1.5,
_xlfn.XLOOKUP(B130,'Animals CE'!B:B,'Animals CE'!Z:Z)/2+0.05,
0.8+
(_xlfn.XLOOKUP(B130,'Animals CE'!B:B,'Animals CE'!Z:Z)-1.5)
*0.02
),
0.05
),
200%
),
"No"
)</f>
        <v>No</v>
      </c>
      <c r="O130" s="8" t="str">
        <f>IF(
_xlfn.XLOOKUP(
_xlfn.XLOOKUP(B130,'Base stats'!B:B,'Base stats'!E:E),
Groups!A:A,
Groups!L:L
)=1,
MIN(
MROUND(
IF(
_xlfn.XLOOKUP(B130,'Animals CE'!B:B,'Animals CE'!AA:AA)&lt;=1.5,
_xlfn.XLOOKUP(B130,'Animals CE'!B:B,'Animals CE'!AA:AA)/2+0.05,
0.8+
(_xlfn.XLOOKUP(B130,'Animals CE'!B:B,'Animals CE'!AA:AA)-1.5)
*0.02
),
0.05
),
200%
),
"No"
)</f>
        <v>No</v>
      </c>
      <c r="P130" s="2" t="str">
        <f>_xlfn.XLOOKUP(B130,'Base stats'!B:B,'Base stats'!R:R)</f>
        <v>Standard</v>
      </c>
      <c r="Q130" s="13">
        <f>MROUND((LOG10(_xlfn.XLOOKUP(B130,'Base stats'!B:B,'Base stats'!AR:AR))*(AO130^0.5)+(_xlfn.XLOOKUP(B130,'Base stats'!B:B,'Base stats'!AR:AR)/1000)^(2/3)+_xlfn.XLOOKUP(B130,'Base stats'!B:B,'Base stats'!BA:BA)/2)+0.5,0.5)</f>
        <v>5</v>
      </c>
      <c r="R130" s="7">
        <f>IF(Q130="No","No",MAX(1,MROUND(_xlfn.XLOOKUP(B130,'Base stats'!B:B,'Base stats'!C:C)^0.165,0.05)))</f>
        <v>1.7000000000000002</v>
      </c>
      <c r="S130" s="13" t="str">
        <f>IF(_xlfn.XLOOKUP(_xlfn.XLOOKUP(B130,'Base stats'!B:B,'Base stats'!E:E),Groups!A:A,Groups!P:P)=0,"No",MROUND((LOG10(_xlfn.XLOOKUP(B130,'Base stats'!B:B,'Base stats'!AS:AS))*(AO130^0.5)+(_xlfn.XLOOKUP(B130,'Base stats'!B:B,'Base stats'!AS:AS)/1000)^(2/3)+_xlfn.XLOOKUP(B130,'Base stats'!B:B,'Base stats'!BA:BA))+_xlfn.XLOOKUP(B130,'Base stats'!B:B,'Base stats'!AY:AY)+0.5,0.5))</f>
        <v>No</v>
      </c>
      <c r="T130" s="7" t="str">
        <f>IF(S130="No","No",MAX(_xlfn.XLOOKUP(_xlfn.XLOOKUP(B130,'Base stats'!B:B,'Base stats'!E:E),Groups!A:A,Groups!Q:Q),MROUND(_xlfn.XLOOKUP(_xlfn.XLOOKUP(B130,'Base stats'!B:B,'Base stats'!E:E),Groups!A:A,Groups!Q:Q)*_xlfn.XLOOKUP(B130,'Base stats'!B:B,'Base stats'!C:C)^0.165,0.05)))</f>
        <v>No</v>
      </c>
      <c r="U130" s="7" t="str">
        <f>IF(S130="No","No",_xlfn.XLOOKUP(_xlfn.XLOOKUP(B130,'Base stats'!B:B,'Base stats'!E:E),Groups!A:A,Groups!R:R))</f>
        <v>No</v>
      </c>
      <c r="V130" s="7" t="str">
        <f>IF(S130="No","No",_xlfn.XLOOKUP(_xlfn.XLOOKUP(B130,'Base stats'!B:B,'Base stats'!E:E),Groups!A:A,Groups!S:S))</f>
        <v>No</v>
      </c>
      <c r="W130" s="7" t="str">
        <f>IF(S130="No","No",_xlfn.XLOOKUP(_xlfn.XLOOKUP(B130,'Base stats'!B:B,'Base stats'!E:E),Groups!A:A,Groups!T:T))</f>
        <v>No</v>
      </c>
      <c r="X130" s="13" t="str">
        <f>IF(_xlfn.XLOOKUP(B130,'Base stats'!B:B,'Base stats'!W:W)="No","No",MROUND((LOG10(_xlfn.XLOOKUP(B130,'Base stats'!B:B,'Base stats'!AU:AU))*(AO130^0.5)+(_xlfn.XLOOKUP(B130,'Base stats'!B:B,'Base stats'!AU:AU)/1000)^(2/3)+_xlfn.XLOOKUP(B130,'Base stats'!B:B,'Base stats'!AZ:AZ))+0.5+IF(_xlfn.XLOOKUP(_xlfn.XLOOKUP(B130,'Base stats'!B:B,'Base stats'!E:E),Groups!A:A,Groups!U:U)&lt;&gt;3,_xlfn.XLOOKUP(B130,'Base stats'!B:B,'Base stats'!BA:BA),0),0.5))</f>
        <v>No</v>
      </c>
      <c r="Y130" s="7" t="str">
        <f>IF(X130="No","No",MAX(_xlfn.XLOOKUP(_xlfn.XLOOKUP(B130,'Base stats'!B:B,'Base stats'!E:E),Groups!A:A,Groups!V:V),MROUND(_xlfn.XLOOKUP(_xlfn.XLOOKUP(B130,'Base stats'!B:B,'Base stats'!E:E),Groups!A:A,Groups!V:V)*_xlfn.XLOOKUP(B130,'Base stats'!B:B,'Base stats'!C:C)^0.165,0.05)))</f>
        <v>No</v>
      </c>
      <c r="Z130" s="7" t="str">
        <f>IF(X130="No","No",_xlfn.XLOOKUP(_xlfn.XLOOKUP(B130,'Base stats'!B:B,'Base stats'!E:E),Groups!A:A,Groups!W:W))</f>
        <v>No</v>
      </c>
      <c r="AA130" s="7" t="str">
        <f>IF(X130="No","No",_xlfn.XLOOKUP(_xlfn.XLOOKUP(B130,'Base stats'!B:B,'Base stats'!E:E),Groups!A:A,Groups!X:X))</f>
        <v>No</v>
      </c>
      <c r="AB130" s="7" t="str">
        <f>IF(X130="No","No",_xlfn.XLOOKUP(_xlfn.XLOOKUP(B130,'Base stats'!B:B,'Base stats'!E:E),Groups!A:A,Groups!Y:Y))</f>
        <v>No</v>
      </c>
      <c r="AC130" s="7" t="str">
        <f>_xlfn.XLOOKUP(Animals!B130,'Base stats'!B:B,'Base stats'!X:X)</f>
        <v>False</v>
      </c>
      <c r="AD130" s="13">
        <f>IF(_xlfn.XLOOKUP(B130,'Base stats'!B:B,'Base stats'!AT:AT)="No","No",MROUND((LOG10(_xlfn.XLOOKUP(B130,'Base stats'!B:B,'Base stats'!AT:AT))*(AO130^0.75)+(_xlfn.XLOOKUP(B130,'Base stats'!B:B,'Base stats'!AT:AT)/1000)^(2/3)+_xlfn.XLOOKUP(B130,'Base stats'!B:B,'Base stats'!AX:AX)+_xlfn.XLOOKUP(B130,'Base stats'!B:B,'Base stats'!BA:BA))+0.5,0.5))</f>
        <v>8</v>
      </c>
      <c r="AE130" s="7">
        <f>IF(AD130="No","No",MAX(_xlfn.XLOOKUP(_xlfn.XLOOKUP(B130,'Base stats'!B:B,'Base stats'!E:E),Groups!A:A,Groups!Z:Z),MROUND(_xlfn.XLOOKUP(_xlfn.XLOOKUP(B130,'Base stats'!B:B,'Base stats'!E:E),Groups!A:A,Groups!Z:Z)*_xlfn.XLOOKUP(B130,'Base stats'!B:B,'Base stats'!C:C)^0.165,0.05)))</f>
        <v>1.6</v>
      </c>
      <c r="AF130" s="7" t="str">
        <f>IF(AD130="No","No",_xlfn.XLOOKUP(_xlfn.XLOOKUP(B130,'Base stats'!B:B,'Base stats'!E:E),Groups!A:A,Groups!AA:AA))</f>
        <v>Teeth</v>
      </c>
      <c r="AG130" s="7" t="str">
        <f>IF(AD130="No","No",_xlfn.XLOOKUP(_xlfn.XLOOKUP(B130,'Base stats'!B:B,'Base stats'!E:E),Groups!A:A,Groups!AB:AB))</f>
        <v>Incisors</v>
      </c>
      <c r="AH130" s="7" t="str">
        <f>IF(AD130="No","No",_xlfn.XLOOKUP(_xlfn.XLOOKUP(B130,'Base stats'!B:B,'Base stats'!E:E),Groups!A:A,Groups!AC:AC))</f>
        <v>Bite</v>
      </c>
      <c r="AI130" s="13" t="str">
        <f>IF(_xlfn.XLOOKUP(_xlfn.XLOOKUP(B130,'Base stats'!B:B,'Base stats'!E:E),Groups!A:A,Groups!AD:AD)=0,"No",MROUND((LOG10(_xlfn.XLOOKUP(B130,'Base stats'!B:B,'Base stats'!AS:AS))*(AO130^0.75)+(_xlfn.XLOOKUP(B130,'Base stats'!B:B,'Base stats'!AS:AS)/1000)^(2/3)+_xlfn.XLOOKUP(B130,'Base stats'!B:B,'Base stats'!AY:AY)+_xlfn.XLOOKUP(B130,'Base stats'!B:B,'Base stats'!BA:BA))+0.5,0.5))</f>
        <v>No</v>
      </c>
      <c r="AJ130" s="7" t="str">
        <f>IF(AI130="No","No",MAX(_xlfn.XLOOKUP(_xlfn.XLOOKUP(B130,'Base stats'!B:B,'Base stats'!E:E),Groups!A:A,Groups!AE:AE),MROUND(_xlfn.XLOOKUP(_xlfn.XLOOKUP(B130,'Base stats'!B:B,'Base stats'!E:E),Groups!A:A,Groups!AE:AE)*IF(_xlfn.XLOOKUP(_xlfn.XLOOKUP(B130,'Base stats'!B:B,'Base stats'!E:E),Groups!A:A,Groups!AJ:AJ)="Photonozoa",0.6,1)*_xlfn.XLOOKUP(B130,'Base stats'!B:B,'Base stats'!C:C)^0.165,0.05)))</f>
        <v>No</v>
      </c>
      <c r="AK130" s="7" t="str">
        <f>IF(AI130="No","No",_xlfn.XLOOKUP(_xlfn.XLOOKUP(B130,'Base stats'!B:B,'Base stats'!E:E),Groups!A:A,Groups!AF:AF))</f>
        <v>No</v>
      </c>
      <c r="AL130" s="7" t="str">
        <f>IF(AI130="No","No",_xlfn.XLOOKUP(_xlfn.XLOOKUP(B130,'Base stats'!B:B,'Base stats'!E:E),Groups!A:A,Groups!AG:AG))</f>
        <v>No</v>
      </c>
      <c r="AM130" s="7" t="str">
        <f>IF(AI130="No","No",_xlfn.XLOOKUP(_xlfn.XLOOKUP(B130,'Base stats'!B:B,'Base stats'!E:E),Groups!A:A,Groups!AH:AH))</f>
        <v>No</v>
      </c>
      <c r="AN130" s="2" t="str">
        <f t="shared" si="7"/>
        <v>No</v>
      </c>
      <c r="AO130" s="2">
        <f>MROUND(IF(AND(_xlfn.XLOOKUP(B130,'Base stats'!B:B,'Base stats'!C:C)&gt;=0.5,_xlfn.XLOOKUP(B130,'Base stats'!B:B,'Base stats'!C:C)&lt;=0.8),
IF(_xlfn.XLOOKUP(B130,'Base stats'!B:B,'Base stats'!C:C)&lt;0.1,0.05,IF(_xlfn.XLOOKUP(B130,'Base stats'!B:B,'Base stats'!C:C)&lt;=70,(_xlfn.XLOOKUP(B130,'Base stats'!B:B,'Base stats'!C:C)/70)^0.426489913056526,IF(_xlfn.XLOOKUP(B130,'Base stats'!B:B,'Base stats'!C:C)&lt;=400,(_xlfn.XLOOKUP(B130,'Base stats'!B:B,'Base stats'!C:C)/70)^0.572811455315093,IF(_xlfn.XLOOKUP(B130,'Base stats'!B:B,'Base stats'!C:C)&lt;=2000,2.71391647193063*(_xlfn.XLOOKUP(B130,'Base stats'!B:B,'Base stats'!C:C)/400)^0.252459582904293,3.74314280240376*(_xlfn.XLOOKUP(B130,'Base stats'!B:B,'Base stats'!C:C)/2000)^0.357012633876913)))),
IF(_xlfn.XLOOKUP(B130,'Base stats'!B:B,'Base stats'!C:C)&lt;0.1,0.05,IF(_xlfn.XLOOKUP(B130,'Base stats'!B:B,'Base stats'!C:C)&lt;0.4,0.1,IF(_xlfn.XLOOKUP(B130,'Base stats'!B:B,'Base stats'!C:C)&lt;=70,(_xlfn.XLOOKUP(B130,'Base stats'!B:B,'Base stats'!C:C)/70)^0.445823913056526,IF(_xlfn.XLOOKUP(B130,'Base stats'!B:B,'Base stats'!C:C)&lt;=400,(_xlfn.XLOOKUP(B130,'Base stats'!B:B,'Base stats'!C:C)/70)^0.572811455315093,IF(_xlfn.XLOOKUP(B130,'Base stats'!B:B,'Base stats'!C:C)&lt;=2000,2.71391647193063*(_xlfn.XLOOKUP(B130,'Base stats'!B:B,'Base stats'!C:C)/400)^0.252459582904293,3.74314280240376*(_xlfn.XLOOKUP(B130,'Base stats'!B:B,'Base stats'!C:C)/2000)^0.357012633876913)))))),
IF(_xlfn.XLOOKUP(B130,'Base stats'!B:B,'Base stats'!C:C)&lt;0.1,0.05,IF(_xlfn.XLOOKUP(B130,'Base stats'!B:B,'Base stats'!C:C)&lt;=100,0.05,IF(_xlfn.XLOOKUP(B130,'Base stats'!B:B,'Base stats'!C:C)&lt;=250,0.1,IF(_xlfn.XLOOKUP(B130,'Base stats'!B:B,'Base stats'!C:C)&lt;=4000,0.25,0.5)))))</f>
        <v>0.65</v>
      </c>
      <c r="AP130" s="8">
        <f>MROUND(AO130*_xlfn.XLOOKUP(_xlfn.XLOOKUP(B130,'Base stats'!B:B,'Base stats'!E:E),Groups!A:A,Groups!AI:AI)*_xlfn.XLOOKUP(B130,'Base stats'!B:B,'Base stats'!Z:Z),0.05)</f>
        <v>0.65</v>
      </c>
      <c r="AQ130" s="8">
        <f>MAX(0.01,MROUND(IF(CC130="True",0.196*(AO130*100*1000)^0.889,IF(_xlfn.XLOOKUP(_xlfn.XLOOKUP(B130,'Base stats'!B:B,'Base stats'!E:E),Groups!A:A,Groups!AJ:AJ)="Bird",10.5*(AO130*100*1000)^0.681,4.82*(AO130*100*1000)^0.734))/(4.82*(1*100*1000)^0.734)/IF(AO130&lt;3.5,2,IF(AO130=3.5,1.5,1.25))*(1+0.132282374779864/(AO130^0.994035016789033+0.00905238001496948)),0.05))</f>
        <v>0.45</v>
      </c>
      <c r="AR130" s="9">
        <f>IFERROR(MROUND(_xlfn.XLOOKUP(B130,'Base stats'!B:B,'Base stats'!H:H)/IF(_xlfn.XLOOKUP(B130,'Base stats'!B:B,'Base stats'!I:I)&lt;&gt;1,(122.5/70),1.2),IF(_xlfn.XLOOKUP(B130,'Base stats'!B:B,'Base stats'!H:H)&gt;=30,5,IF(_xlfn.XLOOKUP(B130,'Base stats'!B:B,'Base stats'!H:H)&gt;=15,3,IF(_xlfn.XLOOKUP(B130,'Base stats'!B:B,'Base stats'!H:H)&gt;=10,2,1)))),"Immortal")</f>
        <v>12</v>
      </c>
      <c r="AS130" s="35">
        <f>IFERROR(IF(OR(_xlfn.XLOOKUP(B130,'Base stats'!B:B,'Base stats'!F:F)="Atypical reproduction",_xlfn.XLOOKUP(B130,'Base stats'!B:B,'Base stats'!F:F)="Lay eggs"),"Lay eggs",MIN(20,MAX(5.5,ROUND(((_xlfn.XLOOKUP(B130,'Base stats'!B:B,'Base stats'!F:F)-25)*(14.5/615) + 5.5)*2,0)/2))),"Unknown")</f>
        <v>7.5</v>
      </c>
      <c r="AT130" s="8">
        <f>IF(_xlfn.XLOOKUP(B130,'Base stats'!B:B,'Base stats'!G:G)="Atypical reproduction","No",IFERROR(MAX(IF(_xlfn.XLOOKUP(B130,'Base stats'!B:B,'Base stats'!G:G)&lt;0.5,0.2,0.3),MROUND(_xlfn.XLOOKUP(B130,'Base stats'!B:B,'Base stats'!G:G)/(365/60),0.2)),"Unknown"))</f>
        <v>0.3</v>
      </c>
      <c r="AU130" s="8">
        <f t="shared" si="8"/>
        <v>0.15000000000000002</v>
      </c>
      <c r="AV130" s="8">
        <f>IFERROR(IFERROR(MROUND(_xlfn.XLOOKUP(B130,'Base stats'!B:B,'Base stats'!J:J),0.1),"Lay eggs"),"Cannot breed")</f>
        <v>3</v>
      </c>
      <c r="AW130" s="2" t="str">
        <f t="shared" si="9"/>
        <v>true</v>
      </c>
      <c r="AX130" s="2" t="str">
        <f>IF(_xlfn.XLOOKUP(_xlfn.XLOOKUP(Animals!B130,'Base stats'!B:B,'Base stats'!E:E),Groups!A:A,Groups!AK:AK)=1,"true","false")</f>
        <v>false</v>
      </c>
      <c r="AY130" s="25" t="str">
        <f>IF(_xlfn.XLOOKUP(B130,'Base stats'!B:B,'Base stats'!Y:Y)="Liquor","Liquor, CarnivoreAnimalStrict",IF(AND(_xlfn.XLOOKUP(B130,'Base stats'!B:B,'Base stats'!Y:Y)="Carnivore",_xlfn.XLOOKUP(_xlfn.XLOOKUP(B130,'Base stats'!B:B,'Base stats'!E:E),Groups!A:A,Groups!AJ:AJ)="Photonozoa"),"CarnivoreAnimalStrict, OvivoreAnimal",IF(_xlfn.XLOOKUP(B130,'Base stats'!B:B,'Base stats'!Y:Y)="Carnivore","CarnivoreAnimal, OvivoreAnimal",IF(_xlfn.XLOOKUP(B130,'Base stats'!B:B,'Base stats'!Y:Y)="Dendrovore","VegetarianRoughAnimal, DendrovoreAnimal",IF(_xlfn.XLOOKUP(B130,'Base stats'!B:B,'Base stats'!Y:Y)="Herbivore","VegetarianRoughAnimal",IF(_xlfn.XLOOKUP(B130,'Base stats'!B:B,'Base stats'!Y:Y)="OmnivoreRough","OmnivoreRoughAnimal, OvivoreAnimal","OmnivoreAnimal, OvivoreAnimal"))))))</f>
        <v>VegetarianRoughAnimal</v>
      </c>
      <c r="AZ130" s="2" t="str">
        <f>IF(_xlfn.XLOOKUP(_xlfn.XLOOKUP(B130,'Base stats'!B:B,'Base stats'!E:E),Groups!A:A,Groups!D:D)=1,MROUND((1-J130)*5+1,2)*IF(J130&lt;=0.4,2,1),"No")</f>
        <v>No</v>
      </c>
      <c r="BA130" s="2" t="str">
        <f>IF(AND(_xlfn.XLOOKUP(B130,'Base stats'!B:B,'Base stats'!AH:AH)="&lt;li&gt;Seal&lt;/li&gt;",G130="Odyssey"),"&lt;li&gt;AEXP_Seal&lt;/li&gt;",_xlfn.XLOOKUP(B130,'Base stats'!B:B,'Base stats'!AH:AH))</f>
        <v>&lt;li&gt;Alphabeaver&lt;/li&gt;</v>
      </c>
      <c r="BB130" s="2" t="str">
        <f>_xlfn.XLOOKUP(B130,'Base stats'!B:B,'Base stats'!AG:AG)</f>
        <v>Leather_Light</v>
      </c>
      <c r="BC130" s="23" t="str">
        <f>_xlfn.XLOOKUP(_xlfn.XLOOKUP(B130,'Base stats'!B:B,'Base stats'!E:E),Groups!A:A,Groups!AL:AL)</f>
        <v>QuadrupedAnimalWithPawsAndTail</v>
      </c>
      <c r="BD130" s="23">
        <f>MIN(1,MROUND(IF(AND(AO130&lt;0.5,_xlfn.XLOOKUP(B130,'Base stats'!B:B,'Base stats'!AA:AA)=0),0,IF(OR(_xlfn.XLOOKUP(Animals!B130,'Base stats'!B:B,'Base stats'!O:O)=2,_xlfn.XLOOKUP(_xlfn.XLOOKUP(B130,'Base stats'!B:B,'Base stats'!E:E),Groups!A:A,Groups!AN:AN)=0),0,_xlfn.XLOOKUP(_xlfn.XLOOKUP(B130,'Base stats'!B:B,'Base stats'!E:E),Groups!A:A,Groups!AN:AN)/IF(_xlfn.XLOOKUP(Animals!B130,'Base stats'!B:B,'Base stats'!O:O)=1,2,1)))+_xlfn.XLOOKUP(B130,'Base stats'!B:B,'Base stats'!AC:AC),0.005))</f>
        <v>0</v>
      </c>
      <c r="BE130" s="23">
        <f>MIN(1,MROUND(IF(AND(AO130&lt;0.5,_xlfn.XLOOKUP(B130,'Base stats'!B:B,'Base stats'!AA:AA)=0),0,IF(_xlfn.XLOOKUP(_xlfn.XLOOKUP(B130,'Base stats'!B:B,'Base stats'!E:E),Groups!A:A,Groups!AO:AO)=0,0,_xlfn.XLOOKUP(_xlfn.XLOOKUP(B130,'Base stats'!B:B,'Base stats'!E:E),Groups!A:A,Groups!AO:AO)/IF(_xlfn.XLOOKUP(Animals!B130,'Base stats'!B:B,'Base stats'!O:O)=2,3,1)))+_xlfn.XLOOKUP(B130,'Base stats'!B:B,'Base stats'!AD:AD),0.005))</f>
        <v>0</v>
      </c>
      <c r="BF130" s="2" t="str">
        <f>IF(J130&gt;0.3,"No",_xlfn.XLOOKUP(_xlfn.XLOOKUP(Animals!B130,'Base stats'!B:B,'Base stats'!E:E),Groups!A:A,Groups!AP:AP))</f>
        <v>No</v>
      </c>
      <c r="BG130" s="2">
        <f>IF(AND(J130&lt;=0.65,_xlfn.XLOOKUP(_xlfn.XLOOKUP(Animals!B130,'Base stats'!B:B,'Base stats'!E:E),Groups!A:A,Groups!AP:AP)&lt;&gt;"No",_xlfn.XLOOKUP(_xlfn.XLOOKUP(B130,'Base stats'!B:B,'Base stats'!E:E),Groups!A:A,Groups!D:D)=0),MROUND((80/3)*IF(_xlfn.XLOOKUP(B130,'Base stats'!B:B,'Base stats'!O:O)=2,0.2,AO130) + 24*(1-IF(BF130="No",0,BF130)) + 16/3, 12),"No")</f>
        <v>48</v>
      </c>
      <c r="BH130" s="2">
        <f>IF(AND(_xlfn.XLOOKUP(_xlfn.XLOOKUP(B130,'Base stats'!B:B,'Base stats'!E:E),Groups!A:A,Groups!AQ:AQ)=1,AO130&lt;=0.35),8,12)</f>
        <v>12</v>
      </c>
      <c r="BI130" s="2" t="str">
        <f>IF(_xlfn.XLOOKUP(_xlfn.XLOOKUP(B130,'Base stats'!B:B,'Base stats'!E:E),Groups!A:A,Groups!D:D)=0,_xlfn.XLOOKUP(_xlfn.XLOOKUP(B130,'Base stats'!B:B,'Base stats'!E:E),Groups!A:A,Groups!AR:AR),"None")</f>
        <v>None</v>
      </c>
      <c r="BJ130" s="2" t="str">
        <f>IF(AND(_xlfn.XLOOKUP(_xlfn.XLOOKUP(B130,'Base stats'!B:B,'Base stats'!E:E),Groups!A:A,Groups!AS:AS)=1,OR(_xlfn.XLOOKUP(B130,'Base stats'!B:B,'Base stats'!Y:Y)="Carnivore",_xlfn.XLOOKUP(B130,'Base stats'!B:B,'Base stats'!Y:Y)="Omnivore")),"true","false")</f>
        <v>false</v>
      </c>
      <c r="BK130" s="2" t="str">
        <f>IF(BJ130="true",MROUND(IF(AND(AO130&gt;0.5,OR(_xlfn.XLOOKUP(_xlfn.XLOOKUP(B130,'Base stats'!B:B,'Base stats'!E:E),Groups!A:A,Groups!AJ:AJ)="Photonozoa",_xlfn.XLOOKUP(_xlfn.XLOOKUP(B130,'Base stats'!B:B,'Base stats'!E:E),Groups!A:A,Groups!AJ:AJ)="Mammal")),Animals!AO130*1.75*IF(AW130="true",1.5,1),IF(AO130&lt;0.5,Animals!AO130*0.5,Animals!AO130)),IF(AO130&gt;2,0.5,IF(AO130&gt;0.5,0.25,0.1))),"No")</f>
        <v>No</v>
      </c>
      <c r="BL130" s="2">
        <f t="shared" si="10"/>
        <v>0</v>
      </c>
      <c r="BM130" s="25">
        <f>IF(_xlfn.XLOOKUP(B130,'Base stats'!B:B,'Base stats'!AN:AN)="Standard","No",MROUND((_xlfn.XLOOKUP(B130,'Base stats'!B:B,'Base stats'!AN:AN)/3.6)/I130,0.1))</f>
        <v>1.4000000000000001</v>
      </c>
      <c r="BN130" s="25" t="str">
        <f t="shared" si="11"/>
        <v>true</v>
      </c>
      <c r="BO130" s="25" t="str">
        <f>IF(AND(OR(_xlfn.XLOOKUP(B130,'Base stats'!B:B,'Base stats'!Y:Y)="Carnivore",_xlfn.XLOOKUP(B130,'Base stats'!B:B,'Base stats'!Y:Y)="Omnivore",_xlfn.XLOOKUP(B130,'Base stats'!B:B,'Base stats'!Y:Y)="OmnivoreRough"),_xlfn.XLOOKUP(_xlfn.XLOOKUP(B130,'Base stats'!B:B,'Base stats'!E:E),Groups!A:A,Groups!AT:AT)=1),"true","false")</f>
        <v>false</v>
      </c>
      <c r="BP130" s="25" t="str" cm="1">
        <f t="array" ref="BP130">IF(
  _xlfn.TEXTJOIN(", ",TRUE,
    IF(AND(BJ130="true",AO130&gt;0.5,BI130&lt;&gt;"None"),"AttackTarget",""),
    IF(AND(_xlfn.XLOOKUP(_xlfn.XLOOKUP(B130,'Base stats'!B:B,'Base stats'!E:E),Groups!A:A,Groups!AJ:AJ="Mammal"),OR(_xlfn.XLOOKUP(B130,'Base stats'!B:B,'Base stats'!Y:Y)="Omnivore",_xlfn.XLOOKUP(B130,'Base stats'!B:B,'Base stats'!Y:Y)="OmnivoreRough")),"Forage",""),
    IF(BG130&lt;=36,"Comfort",""),
    IF(_xlfn.XLOOKUP(B130,'Base stats'!B:B,'Base stats'!AE:AE)&lt;&gt;"No",_xlfn.XLOOKUP(B130,'Base stats'!B:B,'Base stats'!AE:AE),"")
  ) = "",
  "No",
  _xlfn.TEXTJOIN(", ",TRUE,
    IF(AND(BJ130="true",AO130&gt;0.5,BI130&lt;&gt;"None"),"AttackTarget",""),
    IF(AND(_xlfn.XLOOKUP(_xlfn.XLOOKUP(B130,'Base stats'!B:B,'Base stats'!E:E),Groups!A:A,Groups!AJ:AJ="Mammal"),OR(_xlfn.XLOOKUP(B130,'Base stats'!B:B,'Base stats'!Y:Y)="Omnivore",_xlfn.XLOOKUP(B130,'Base stats'!B:B,'Base stats'!Y:Y)="OmnivoreRough")),"Forage",""),
    IF(BG130&lt;=36,"Comfort",""),
    IF(_xlfn.XLOOKUP(B130,'Base stats'!B:B,'Base stats'!AE:AE)&lt;&gt;"No",_xlfn.XLOOKUP(B130,'Base stats'!B:B,'Base stats'!AE:AE),"")
  )
)</f>
        <v>No</v>
      </c>
      <c r="BQ130" s="25">
        <f>IF(
   AND(
      'Base stats'!AN130="Standard",_xlfn.XLOOKUP(_xlfn.XLOOKUP(B130,'Base stats'!B:B,'Base stats'!E:E),Groups!A:A,Groups!AU:AU)=0,
      OR(
      BO130="True"
      )
   ),
   10,
   IF(
       OR(BM130&lt;&gt;"No",_xlfn.XLOOKUP(_xlfn.XLOOKUP(B130,'Base stats'!B:B,'Base stats'!E:E),Groups!A:A,Groups!AU:AU)=1),
      1,
      "No"
   )
)</f>
        <v>1</v>
      </c>
      <c r="BR130" s="9">
        <f>MROUND((1 + ((0.2*IF(OR(Q130="No",R130="No",R130=0),0,Q130/R130)
+IF(OR(V130="No",S130="No",T130="No"),0,S130/T130*(LEN(V130)-LEN(SUBSTITUTE(V130,",",""))+1))
+IF(OR(X130="No",Y130="No"),0,X130/Y130)
+IF(OR(AD130="No",AE130="No"),0,AD130/AE130)
+IF(OR(AL130="No",AI130="No",AJ130="No"),0,AI130/AJ130*(LEN(AL130)-LEN(SUBSTITUTE(AL130,",",""))+1))
)/(0.2*IF(OR(Q130="No",R130="No",R130=0),0,1)
+IF(OR(V130="No",S130="No",T130="No"),0,LEN(V130)-LEN(SUBSTITUTE(V130,",",""))+1)
+IF(OR(X130="No",Y130="No"),0,1)
+IF(OR(AD130="No",AE130="No"),0,1)
+IF(OR(AL130="No",AI130="No",AJ130="No"),0,LEN(AL130)-LEN(SUBSTITUTE(AL130,",",""))+1))*62%)* 2)*(1 + (AP130 / (IF(_xlfn.XLOOKUP(_xlfn.XLOOKUP(B130,'Base stats'!B:B,'Base stats'!E:E),Groups!A:A,Groups!AJ:AJ)="Photonozoa",0.3,1)) + _xlfn.XLOOKUP(B130,'Base stats'!B:B,'Base stats'!AV:AV) * 1.8) * 2) * 2.5 + 10 + I130 * 2,5)+IF(_xlfn.XLOOKUP(B130,'Base stats'!B:B,'Base stats'!AK:AK)=1,50,0)</f>
        <v>55</v>
      </c>
      <c r="BS130" s="8">
        <f t="shared" si="12"/>
        <v>0.5</v>
      </c>
      <c r="BT130" s="8" t="str">
        <f>_xlfn.XLOOKUP(B130,'Base stats'!B:B,'Base stats'!AF:AF)</f>
        <v>3~8</v>
      </c>
      <c r="BU130" s="2" t="str">
        <f>IF(AND(J130&lt;=0.95,OR(_xlfn.XLOOKUP(B130,'Base stats'!B:B,'Base stats'!AK:AK)=1,_xlfn.XLOOKUP(B130,'Base stats'!B:B,'Base stats'!Y:Y)="Carnivore",_xlfn.XLOOKUP(B130,'Base stats'!B:B,'Base stats'!Y:Y)="Omnivore",BE130&gt;0.1)),"true","false")</f>
        <v>false</v>
      </c>
      <c r="BV130" s="2" t="str">
        <f>IF(_xlfn.XLOOKUP(B130,'Base stats'!B:B,'Base stats'!AI:AI)=1,"true","false")</f>
        <v>false</v>
      </c>
      <c r="BW130" s="25" t="str">
        <f>IF(E130="BaseInsect","AnimalInsect",
IF(J130&gt;0.95,"AnimalExotic",
_xlfn.TEXTJOIN(", ",TRUE,
IF(OR(_xlfn.XLOOKUP(B130,'Base stats'!B:B,'Base stats'!AM:AM)=1,AND(_xlfn.XLOOKUP(B130,'Base stats'!B:B,'Base stats'!O:O)=0,_xlfn.XLOOKUP(_xlfn.XLOOKUP(B130,'Base stats'!B:B,'Base stats'!E:E),Groups!A:A,Groups!B:B)&gt;0)),"AnimalUncommon","AnimalCommon"),
IF(AND(_xlfn.XLOOKUP(B130,'Base stats'!B:B,'Base stats'!O:O)=2,_xlfn.XLOOKUP(_xlfn.XLOOKUP(B130,'Base stats'!B:B,'Base stats'!E:E),Groups!A:A,Groups!D:D)=0),"AnimalPet",IF(AND(_xlfn.XLOOKUP(B130,'Base stats'!B:B,'Base stats'!O:O)&lt;&gt;0,_xlfn.XLOOKUP(_xlfn.XLOOKUP(B130,'Base stats'!B:B,'Base stats'!E:E),Groups!A:A,Groups!D:D)&lt;&gt;0),"AnimalFarm","")),
IF(OR(_xlfn.XLOOKUP(B130,'Base stats'!B:B,'Base stats'!AK:AK)=1,AND(BI130&lt;&gt;"None",BR130&gt;=60),ISNUMBER(SEARCH("Attack target",BP130))),"AnimalFighter","")
)))</f>
        <v>AnimalCommon</v>
      </c>
      <c r="BX130" s="25" t="str">
        <f>IF(G130="None",TRIM(
SUBSTITUTE(
IF(COUNTIF(Biomes!B$2:B$259,"="&amp;$C130)&gt;0,Biomes!B$1&amp;", ","")&amp;
IF(COUNTIF(Biomes!C$2:C$259,"="&amp;$C130)&gt;0,Biomes!C$1&amp;", ","")&amp;
IF(COUNTIF(Biomes!D$2:D$259,"="&amp;$C130)&gt;0,Biomes!D$1&amp;", ","")&amp;
IF(COUNTIF(Biomes!F$2:F$259,"="&amp;$C130)&gt;0,Biomes!F$1&amp;", ","")&amp;
IF(COUNTIF(Biomes!G$2:G$259,"="&amp;$C130)&gt;0,Biomes!G$1&amp;", ","")&amp;
IF(COUNTIF(Biomes!H$2:H$259,"="&amp;$C130)&gt;0,Biomes!H$1&amp;", ","")&amp;
IF(COUNTIF(Biomes!I$2:I$259,"="&amp;$C130)&gt;0,Biomes!I$1&amp;", ","")&amp;
IF(COUNTIF(Biomes!J$2:J$259,"="&amp;$C130)&gt;0,Biomes!J$1&amp;", ","")&amp;
IF(COUNTIF(Biomes!M$2:M$259,"="&amp;$C130)&gt;0,Biomes!M$1&amp;", ","")&amp;
IF(COUNTIF(Biomes!N$2:N$259,"="&amp;$C130)&gt;0,Biomes!N$1&amp;", ","")&amp;
IF(COUNTIF(Biomes!O$2:O$259,"="&amp;$C130)&gt;0,Biomes!O$1&amp;", ","")&amp;
IF(COUNTIF(Biomes!P$2:P$259,"="&amp;$C130)&gt;0,Biomes!P$1&amp;", ","")&amp;
IF(COUNTIF(Biomes!K$2:K$259,"="&amp;$C130)&gt;0,Biomes!K$1&amp;", ","")&amp;
IF(COUNTIF(Biomes!Q$3:Q$259,"="&amp;$C130)&gt;0,Biomes!Q$1&amp;", ","")&amp;
IF(COUNTIF(Biomes!L$2:L$259,"="&amp;$C130)&gt;0,Biomes!L$1&amp;", ","")&amp;
IF(COUNTIF(Biomes!E$2:E$259,"="&amp;$C130)&gt;0,Biomes!E$1&amp;", ","")&amp;IF(COUNTIF(Biomes!S$2:S$259,"="&amp;$C130)&gt;0,Biomes!S$1&amp;", ","")&amp;
IF(COUNTIF(Biomes!R$2:R$259,"="&amp;$C130)&gt;0,Biomes!R$1&amp;", ",""),", ","")
),_xlfn.XLOOKUP(B130,B:B,BX:BX))</f>
        <v>ColdBog TemperateSwamp</v>
      </c>
      <c r="BY130" s="25" t="str">
        <f>IF(_xlfn.XLOOKUP(B130,'Base stats'!B:B,'Base stats'!AJ:AJ)=1,"true","false")</f>
        <v>false</v>
      </c>
      <c r="BZ130" s="25">
        <f>IF(_xlfn.XLOOKUP(B130,'Base stats'!B:B,'Base stats'!N:N)=1,"No",MAX(0.001,MIN(MROUND(IF(AND(BJ130="True",CC130="False"),POWER(10,3.47*LOG10(_xlfn.XLOOKUP(B130,'Base stats'!B:B,'Base stats'!C:C)*1000)^-0.96),POWER(10,4.15*LOG10(_xlfn.XLOOKUP(B130,'Base stats'!B:B,'Base stats'!C:C)*1000)^-0.73))*IF(_xlfn.XLOOKUP(B130,'Base stats'!B:B,'Base stats'!AK:AK)=1,0.5,1)*IF(_xlfn.XLOOKUP(B130,'Base stats'!B:B,'Base stats'!AM:AM)=1,0.1,1)/100,IF(_xlfn.XLOOKUP(B130,'Base stats'!B:B,'Base stats'!AM:AM)=1,0.001,0.025)),0.5)))</f>
        <v>0.25</v>
      </c>
      <c r="CA130" s="25" t="str">
        <f>IF(P130="Standard","No",MAX(0.001,MIN(MROUND(IF(AND(BJ130="True",CC130="False"),POWER(10,3.47*LOG10(_xlfn.XLOOKUP(B130,'Base stats'!B:B,'Base stats'!C:C)*1000)^-0.96),POWER(10,4.15*LOG10(_xlfn.XLOOKUP(B130,'Base stats'!B:B,'Base stats'!C:C)*1000)^-0.73))*IF(_xlfn.XLOOKUP(B130,'Base stats'!B:B,'Base stats'!AM:AM)=1,0.1,1)*_xlfn.XLOOKUP(B130,'Base stats'!B:B,'Base stats'!R:R)/100,IF(_xlfn.XLOOKUP(B130,'Base stats'!B:B,'Base stats'!AM:AM)=1,0.001,0.025)),0.5)))</f>
        <v>No</v>
      </c>
      <c r="CB130" s="25" t="str">
        <f>IF(_xlfn.XLOOKUP(_xlfn.XLOOKUP(B130,'Base stats'!B:B,'Base stats'!E:E),Groups!A:A,Groups!AJ:AJ)="Mammal","True","False")</f>
        <v>True</v>
      </c>
      <c r="CC130" s="25" t="str">
        <f>IF(OR(_xlfn.XLOOKUP(_xlfn.XLOOKUP(B130,'Base stats'!B:B,'Base stats'!E:E),Groups!A:A,Groups!AJ:AJ)="Reptile",_xlfn.XLOOKUP(_xlfn.XLOOKUP(B130,'Base stats'!B:B,'Base stats'!E:E),Groups!A:A,Groups!AJ:AJ)="Amphibian",_xlfn.XLOOKUP(_xlfn.XLOOKUP(B130,'Base stats'!B:B,'Base stats'!E:E),Groups!A:A,Groups!AJ:AJ)="Invertebrate"),"True","False")</f>
        <v>False</v>
      </c>
      <c r="CD130" s="25" t="str">
        <f t="shared" si="13"/>
        <v>False</v>
      </c>
      <c r="CE130" s="25" t="str">
        <f>IF(_xlfn.XLOOKUP(_xlfn.XLOOKUP(B130,'Base stats'!B:B,'Base stats'!E:E),Groups!A:A,Groups!AX:AX),"True","False")</f>
        <v>False</v>
      </c>
      <c r="CF130" s="25" t="str">
        <f>IF(_xlfn.XLOOKUP(_xlfn.XLOOKUP(B130,'Base stats'!B:B,'Base stats'!E:E),Groups!A:A,Groups!AY:AY),"True","False")</f>
        <v>False</v>
      </c>
      <c r="CG130" s="25" t="str">
        <f>IF(_xlfn.XLOOKUP(_xlfn.XLOOKUP(B130,'Base stats'!B:B,'Base stats'!E:E),Groups!A:A,Groups!AW:AW),"True","False")</f>
        <v>False</v>
      </c>
      <c r="CH130" s="25" t="str">
        <f>IF(
OR(
_xlfn.XLOOKUP(_xlfn.XLOOKUP(B130,'Base stats'!B:B,'Base stats'!E:E),Groups!A:A,Groups!AZ:AZ)=0,
AND(
_xlfn.XLOOKUP(B130,'Base stats'!B:B,'Base stats'!Y:Y)&lt;&gt;"Carnivore",
_xlfn.XLOOKUP(B130,'Base stats'!B:B,'Base stats'!Y:Y)&lt;&gt;"Omnivore",
_xlfn.XLOOKUP(B130,'Base stats'!B:B,'Base stats'!Y:Y)&lt;&gt;"OmnivoreRough"
)
),
"No",
IF(
_xlfn.XLOOKUP(_xlfn.XLOOKUP(B130,'Base stats'!B:B,'Base stats'!E:E),Groups!A:A,Groups!AZ:AZ)=1,
"Flesh",
IF(
_xlfn.XLOOKUP(_xlfn.XLOOKUP(B130,'Base stats'!B:B,'Base stats'!E:E),Groups!A:A,Groups!AZ:AZ)=2,
"Bone",
""
)
)
)</f>
        <v>No</v>
      </c>
      <c r="CI130" s="25" t="str">
        <f>IF(_xlfn.XLOOKUP(_xlfn.XLOOKUP(B130,'Base stats'!B:B,'Base stats'!E:E),Groups!A:A,Groups!BB:BB),"True","False")</f>
        <v>True</v>
      </c>
      <c r="CJ130" s="25" t="str">
        <f>IF(_xlfn.XLOOKUP(_xlfn.XLOOKUP(B130,'Base stats'!B:B,'Base stats'!E:E),Groups!A:A,Groups!BA:BA),"True","False")</f>
        <v>False</v>
      </c>
    </row>
    <row r="131" spans="1:88" ht="16.5" thickTop="1" thickBot="1" x14ac:dyDescent="0.3">
      <c r="A131" s="26" t="str">
        <f>_xlfn.XLOOKUP(B131,'Base stats'!B:B,'Base stats'!A:A)</f>
        <v>Hedgehog</v>
      </c>
      <c r="B131" s="6" t="s">
        <v>482</v>
      </c>
      <c r="C131" s="28" t="s">
        <v>812</v>
      </c>
      <c r="D131" s="28" t="s">
        <v>872</v>
      </c>
      <c r="E131" s="28" t="s">
        <v>673</v>
      </c>
      <c r="F131" s="28" t="s">
        <v>673</v>
      </c>
      <c r="G131" s="28" t="s">
        <v>673</v>
      </c>
      <c r="H131" s="2">
        <f>MROUND((
  (IF(AND(_xlfn.XLOOKUP(B131,'Base stats'!B:B,'Base stats'!AL:AL)=0,BI131="None",_xlfn.XLOOKUP(_xlfn.XLOOKUP(B131,'Base stats'!B:B,'Base stats'!E:E),Groups!A:A,Groups!B:B)=0), (18 + BR131 * 2.7) * 0.5,
    IF(AND(_xlfn.XLOOKUP(B131,'Base stats'!B:B,'Base stats'!AL:AL)=0,OR(AO131&lt;0.55,AND(BI131="Intermediate",_xlfn.XLOOKUP(_xlfn.XLOOKUP(B131,'Base stats'!B:B,'Base stats'!E:E),Groups!A:A,Groups!B:B)&lt;2))), (18 + BR131 * 2.7),
      IF(OR(BI131="Advanced",_xlfn.XLOOKUP(B131,'Base stats'!B:B,'Base stats'!AL:AL)=1,_xlfn.XLOOKUP(_xlfn.XLOOKUP(B131,'Base stats'!B:B,'Base stats'!E:E),Groups!A:A,Groups!B:B)=2), (18 + BR131 * 2.7) + 250, (18 + BR131 * 2.7))
    )
  ))
  + AO131 * 80
  + IF(COUNTIF(EggMilk!K$2:K$998, A131) &gt; 0, 125, 0)
  + IF(COUNTIF(EggMilk!P$2:P$998, A131) &gt; 0, 90, 0)
  + IF(COUNTIF(EggMilk!A$2:A$998, A131) &gt; 0, 90, 0)
)
* (0.8 + 0.4 * J131)
* 0.75,25)</f>
        <v>50</v>
      </c>
      <c r="I131" s="2">
        <f>MROUND(ROUNDDOWN(_xlfn.XLOOKUP(B131,'Base stats'!B:B,'Base stats'!L:L)/3.6/(23.3/11),1),0.5)</f>
        <v>1.5</v>
      </c>
      <c r="J131" s="2">
        <f>IF(OR(_xlfn.XLOOKUP(B131,'Base stats'!B:B,'Base stats'!AB:AB)=1,_xlfn.XLOOKUP(_xlfn.XLOOKUP(B131,'Base stats'!B:B,'Base stats'!E:E),Groups!A:A,Groups!C:C)="Untamable"),1,IF(_xlfn.XLOOKUP(B131,'Base stats'!B:B,'Base stats'!AL:AL)=1,0.99,MIN(MROUND((1-0.6282*EXP(-0.459*AO131))*_xlfn.XLOOKUP(_xlfn.XLOOKUP(B131,'Base stats'!B:B,'Base stats'!E:E),Groups!A:A,Groups!C:C)*IF(_xlfn.XLOOKUP(B131,'Base stats'!B:B,'Base stats'!O:O)=1,0.5,IF(_xlfn.XLOOKUP(B131,'Base stats'!B:B,'Base stats'!O:O)=2,0,1)),0.05),IF(AO131&gt;3.5,0.985,0.95))))</f>
        <v>0.5</v>
      </c>
      <c r="K131" s="2">
        <f>ROUNDUP(AO131*_xlfn.XLOOKUP(_xlfn.XLOOKUP(B131,'Base stats'!B:B,'Base stats'!E:E),Groups!A:A,Groups!E:E),0)</f>
        <v>1</v>
      </c>
      <c r="L131" s="2">
        <f>IF(OR(_xlfn.XLOOKUP(_xlfn.XLOOKUP(B131,'Base stats'!B:B,'Base stats'!E:E),Groups!A:A,Groups!F:F)=2,ISNUMBER(SEARCH("SeaIce",BX131)),ISNUMBER(SEARCH("IceSheet",BX131))),-50,IF(OR(ISNUMBER(SEARCH("GlacialPlain",BX131)),ISNUMBER(SEARCH("Tundra",BX131))),-40,IF(OR(ISNUMBER(SEARCH("Alpine",BX131)),ISNUMBER(SEARCH("BorealForest",BX131)),ISNUMBER(SEARCH("ColdBog",BX131))),-30,IF(OR(ISNUMBER(SEARCH("TemperateForest",BX131)),ISNUMBER(SEARCH("TemperateSwamp",BX131))),-20,IF(_xlfn.XLOOKUP(_xlfn.XLOOKUP(B131,'Base stats'!B:B,'Base stats'!E:E),Groups!A:A,Groups!F:F)=1,-15,IF(OR(ISNUMBER(SEARCH("Desert",BX131)),ISNUMBER(SEARCH("ExtremeDesert",BX131))),-10,IF(OR(ISNUMBER(SEARCH("Grasslands",BX131)),ISNUMBER(SEARCH("TropicalRainforest",BX131)),ISNUMBER(SEARCH("TropicalSwamp",BX131))),10,0)))))))-IF(CC131="False",MIN(IFERROR(MAX(MROUND(LOG10(_xlfn.XLOOKUP(B131,'Base stats'!B:B,'Base stats'!C:C)^(2/3))*10,5),5),5),30))-_xlfn.XLOOKUP(B131,'Base stats'!B:B,'Base stats'!P:P)+IF(CC131="True",5,0)</f>
        <v>-25</v>
      </c>
      <c r="M131" s="2">
        <f>IF(OR(_xlfn.XLOOKUP(_xlfn.XLOOKUP(B131,'Base stats'!B:B,'Base stats'!E:E),Groups!A:A,Groups!G:G)=2,ISNUMBER(SEARCH("Desert",BX131)),ISNUMBER(SEARCH("ExtremeDesert",BX131)),ISNUMBER(SEARCH("LavaField",BX131))),50,IF(ISNUMBER(SEARCH("Grasslands",BX131)),45,IF(OR(_xlfn.XLOOKUP(_xlfn.XLOOKUP(B131,'Base stats'!B:B,'Base stats'!E:E),Groups!A:A,Groups!G:G)=1,ISNUMBER(SEARCH("TropicalRainforest",BX131)),ISNUMBER(SEARCH("TropicalSwamp",BX131))),40,IF(OR(ISNUMBER(SEARCH("TemperateForest",BX131)),ISNUMBER(SEARCH("TemperateSwamp",BX131))),35,IF(OR(ISNUMBER(SEARCH("Alpine",BX131)),ISNUMBER(SEARCH("BorealForest",BX131)),ISNUMBER(SEARCH("ColdBog",BX131))),30,IF(ISNUMBER(OR(ISNUMBER(SEARCH("GlacialPlain",BX131)),SEARCH("Tundra",BX131))),25,IF(OR(ISNUMBER(SEARCH("SeaIce",BX131)),ISNUMBER(SEARCH("IceSheet",BX131)),ISNUMBER(SEARCH("TropicalSwamp",BX131))),10,35)))))))+_xlfn.XLOOKUP(B131,'Base stats'!B:B,'Base stats'!Q:Q)</f>
        <v>35</v>
      </c>
      <c r="N131" s="8" t="str">
        <f>IF(
_xlfn.XLOOKUP(
_xlfn.XLOOKUP(B131,'Base stats'!B:B,'Base stats'!E:E),
Groups!A:A,
Groups!L:L
)=1,
MIN(
MROUND(
IF(
_xlfn.XLOOKUP(B131,'Animals CE'!B:B,'Animals CE'!Z:Z)&lt;=1.5,
_xlfn.XLOOKUP(B131,'Animals CE'!B:B,'Animals CE'!Z:Z)/2+0.05,
0.8+
(_xlfn.XLOOKUP(B131,'Animals CE'!B:B,'Animals CE'!Z:Z)-1.5)
*0.02
),
0.05
),
200%
),
"No"
)</f>
        <v>No</v>
      </c>
      <c r="O131" s="8" t="str">
        <f>IF(
_xlfn.XLOOKUP(
_xlfn.XLOOKUP(B131,'Base stats'!B:B,'Base stats'!E:E),
Groups!A:A,
Groups!L:L
)=1,
MIN(
MROUND(
IF(
_xlfn.XLOOKUP(B131,'Animals CE'!B:B,'Animals CE'!AA:AA)&lt;=1.5,
_xlfn.XLOOKUP(B131,'Animals CE'!B:B,'Animals CE'!AA:AA)/2+0.05,
0.8+
(_xlfn.XLOOKUP(B131,'Animals CE'!B:B,'Animals CE'!AA:AA)-1.5)
*0.02
),
0.05
),
200%
),
"No"
)</f>
        <v>No</v>
      </c>
      <c r="P131" s="2" t="str">
        <f>_xlfn.XLOOKUP(B131,'Base stats'!B:B,'Base stats'!R:R)</f>
        <v>Standard</v>
      </c>
      <c r="Q131" s="13">
        <f>MROUND((LOG10(_xlfn.XLOOKUP(B131,'Base stats'!B:B,'Base stats'!AR:AR))*(AO131^0.5)+(_xlfn.XLOOKUP(B131,'Base stats'!B:B,'Base stats'!AR:AR)/1000)^(2/3)+_xlfn.XLOOKUP(B131,'Base stats'!B:B,'Base stats'!BA:BA)/2)+0.5,0.5)</f>
        <v>1.5</v>
      </c>
      <c r="R131" s="7">
        <f>IF(Q131="No","No",MAX(1,MROUND(_xlfn.XLOOKUP(B131,'Base stats'!B:B,'Base stats'!C:C)^0.165,0.05)))</f>
        <v>1.05</v>
      </c>
      <c r="S131" s="13" t="str">
        <f>IF(_xlfn.XLOOKUP(_xlfn.XLOOKUP(B131,'Base stats'!B:B,'Base stats'!E:E),Groups!A:A,Groups!P:P)=0,"No",MROUND((LOG10(_xlfn.XLOOKUP(B131,'Base stats'!B:B,'Base stats'!AS:AS))*(AO131^0.5)+(_xlfn.XLOOKUP(B131,'Base stats'!B:B,'Base stats'!AS:AS)/1000)^(2/3)+_xlfn.XLOOKUP(B131,'Base stats'!B:B,'Base stats'!BA:BA))+_xlfn.XLOOKUP(B131,'Base stats'!B:B,'Base stats'!AY:AY)+0.5,0.5))</f>
        <v>No</v>
      </c>
      <c r="T131" s="7" t="str">
        <f>IF(S131="No","No",MAX(_xlfn.XLOOKUP(_xlfn.XLOOKUP(B131,'Base stats'!B:B,'Base stats'!E:E),Groups!A:A,Groups!Q:Q),MROUND(_xlfn.XLOOKUP(_xlfn.XLOOKUP(B131,'Base stats'!B:B,'Base stats'!E:E),Groups!A:A,Groups!Q:Q)*_xlfn.XLOOKUP(B131,'Base stats'!B:B,'Base stats'!C:C)^0.165,0.05)))</f>
        <v>No</v>
      </c>
      <c r="U131" s="7" t="str">
        <f>IF(S131="No","No",_xlfn.XLOOKUP(_xlfn.XLOOKUP(B131,'Base stats'!B:B,'Base stats'!E:E),Groups!A:A,Groups!R:R))</f>
        <v>No</v>
      </c>
      <c r="V131" s="7" t="str">
        <f>IF(S131="No","No",_xlfn.XLOOKUP(_xlfn.XLOOKUP(B131,'Base stats'!B:B,'Base stats'!E:E),Groups!A:A,Groups!S:S))</f>
        <v>No</v>
      </c>
      <c r="W131" s="7" t="str">
        <f>IF(S131="No","No",_xlfn.XLOOKUP(_xlfn.XLOOKUP(B131,'Base stats'!B:B,'Base stats'!E:E),Groups!A:A,Groups!T:T))</f>
        <v>No</v>
      </c>
      <c r="X131" s="13" t="str">
        <f>IF(_xlfn.XLOOKUP(B131,'Base stats'!B:B,'Base stats'!W:W)="No","No",MROUND((LOG10(_xlfn.XLOOKUP(B131,'Base stats'!B:B,'Base stats'!AU:AU))*(AO131^0.5)+(_xlfn.XLOOKUP(B131,'Base stats'!B:B,'Base stats'!AU:AU)/1000)^(2/3)+_xlfn.XLOOKUP(B131,'Base stats'!B:B,'Base stats'!AZ:AZ))+0.5+IF(_xlfn.XLOOKUP(_xlfn.XLOOKUP(B131,'Base stats'!B:B,'Base stats'!E:E),Groups!A:A,Groups!U:U)&lt;&gt;3,_xlfn.XLOOKUP(B131,'Base stats'!B:B,'Base stats'!BA:BA),0),0.5))</f>
        <v>No</v>
      </c>
      <c r="Y131" s="7" t="str">
        <f>IF(X131="No","No",MAX(_xlfn.XLOOKUP(_xlfn.XLOOKUP(B131,'Base stats'!B:B,'Base stats'!E:E),Groups!A:A,Groups!V:V),MROUND(_xlfn.XLOOKUP(_xlfn.XLOOKUP(B131,'Base stats'!B:B,'Base stats'!E:E),Groups!A:A,Groups!V:V)*_xlfn.XLOOKUP(B131,'Base stats'!B:B,'Base stats'!C:C)^0.165,0.05)))</f>
        <v>No</v>
      </c>
      <c r="Z131" s="7" t="str">
        <f>IF(X131="No","No",_xlfn.XLOOKUP(_xlfn.XLOOKUP(B131,'Base stats'!B:B,'Base stats'!E:E),Groups!A:A,Groups!W:W))</f>
        <v>No</v>
      </c>
      <c r="AA131" s="7" t="str">
        <f>IF(X131="No","No",_xlfn.XLOOKUP(_xlfn.XLOOKUP(B131,'Base stats'!B:B,'Base stats'!E:E),Groups!A:A,Groups!X:X))</f>
        <v>No</v>
      </c>
      <c r="AB131" s="7" t="str">
        <f>IF(X131="No","No",_xlfn.XLOOKUP(_xlfn.XLOOKUP(B131,'Base stats'!B:B,'Base stats'!E:E),Groups!A:A,Groups!Y:Y))</f>
        <v>No</v>
      </c>
      <c r="AC131" s="7" t="str">
        <f>_xlfn.XLOOKUP(Animals!B131,'Base stats'!B:B,'Base stats'!X:X)</f>
        <v>False</v>
      </c>
      <c r="AD131" s="13">
        <f>IF(_xlfn.XLOOKUP(B131,'Base stats'!B:B,'Base stats'!AT:AT)="No","No",MROUND((LOG10(_xlfn.XLOOKUP(B131,'Base stats'!B:B,'Base stats'!AT:AT))*(AO131^0.75)+(_xlfn.XLOOKUP(B131,'Base stats'!B:B,'Base stats'!AT:AT)/1000)^(2/3)+_xlfn.XLOOKUP(B131,'Base stats'!B:B,'Base stats'!AX:AX)+_xlfn.XLOOKUP(B131,'Base stats'!B:B,'Base stats'!BA:BA))+0.5,0.5))</f>
        <v>1.5</v>
      </c>
      <c r="AE131" s="7">
        <f>IF(AD131="No","No",MAX(_xlfn.XLOOKUP(_xlfn.XLOOKUP(B131,'Base stats'!B:B,'Base stats'!E:E),Groups!A:A,Groups!Z:Z),MROUND(_xlfn.XLOOKUP(_xlfn.XLOOKUP(B131,'Base stats'!B:B,'Base stats'!E:E),Groups!A:A,Groups!Z:Z)*_xlfn.XLOOKUP(B131,'Base stats'!B:B,'Base stats'!C:C)^0.165,0.05)))</f>
        <v>0.9</v>
      </c>
      <c r="AF131" s="7" t="str">
        <f>IF(AD131="No","No",_xlfn.XLOOKUP(_xlfn.XLOOKUP(B131,'Base stats'!B:B,'Base stats'!E:E),Groups!A:A,Groups!AA:AA))</f>
        <v>Teeth</v>
      </c>
      <c r="AG131" s="7" t="str">
        <f>IF(AD131="No","No",_xlfn.XLOOKUP(_xlfn.XLOOKUP(B131,'Base stats'!B:B,'Base stats'!E:E),Groups!A:A,Groups!AB:AB))</f>
        <v>teeth</v>
      </c>
      <c r="AH131" s="7" t="str">
        <f>IF(AD131="No","No",_xlfn.XLOOKUP(_xlfn.XLOOKUP(B131,'Base stats'!B:B,'Base stats'!E:E),Groups!A:A,Groups!AC:AC))</f>
        <v>Bite</v>
      </c>
      <c r="AI131" s="13" t="str">
        <f>IF(_xlfn.XLOOKUP(_xlfn.XLOOKUP(B131,'Base stats'!B:B,'Base stats'!E:E),Groups!A:A,Groups!AD:AD)=0,"No",MROUND((LOG10(_xlfn.XLOOKUP(B131,'Base stats'!B:B,'Base stats'!AS:AS))*(AO131^0.75)+(_xlfn.XLOOKUP(B131,'Base stats'!B:B,'Base stats'!AS:AS)/1000)^(2/3)+_xlfn.XLOOKUP(B131,'Base stats'!B:B,'Base stats'!AY:AY)+_xlfn.XLOOKUP(B131,'Base stats'!B:B,'Base stats'!BA:BA))+0.5,0.5))</f>
        <v>No</v>
      </c>
      <c r="AJ131" s="7" t="str">
        <f>IF(AI131="No","No",MAX(_xlfn.XLOOKUP(_xlfn.XLOOKUP(B131,'Base stats'!B:B,'Base stats'!E:E),Groups!A:A,Groups!AE:AE),MROUND(_xlfn.XLOOKUP(_xlfn.XLOOKUP(B131,'Base stats'!B:B,'Base stats'!E:E),Groups!A:A,Groups!AE:AE)*IF(_xlfn.XLOOKUP(_xlfn.XLOOKUP(B131,'Base stats'!B:B,'Base stats'!E:E),Groups!A:A,Groups!AJ:AJ)="Photonozoa",0.6,1)*_xlfn.XLOOKUP(B131,'Base stats'!B:B,'Base stats'!C:C)^0.165,0.05)))</f>
        <v>No</v>
      </c>
      <c r="AK131" s="7" t="str">
        <f>IF(AI131="No","No",_xlfn.XLOOKUP(_xlfn.XLOOKUP(B131,'Base stats'!B:B,'Base stats'!E:E),Groups!A:A,Groups!AF:AF))</f>
        <v>No</v>
      </c>
      <c r="AL131" s="7" t="str">
        <f>IF(AI131="No","No",_xlfn.XLOOKUP(_xlfn.XLOOKUP(B131,'Base stats'!B:B,'Base stats'!E:E),Groups!A:A,Groups!AG:AG))</f>
        <v>No</v>
      </c>
      <c r="AM131" s="7" t="str">
        <f>IF(AI131="No","No",_xlfn.XLOOKUP(_xlfn.XLOOKUP(B131,'Base stats'!B:B,'Base stats'!E:E),Groups!A:A,Groups!AH:AH))</f>
        <v>No</v>
      </c>
      <c r="AN131" s="2" t="str">
        <f t="shared" ref="AN131:AN194" si="14">IF(BJ131="false","No",MROUND(AO131*5+15*1,5))</f>
        <v>No</v>
      </c>
      <c r="AO131" s="2">
        <f>MROUND(IF(AND(_xlfn.XLOOKUP(B131,'Base stats'!B:B,'Base stats'!C:C)&gt;=0.5,_xlfn.XLOOKUP(B131,'Base stats'!B:B,'Base stats'!C:C)&lt;=0.8),
IF(_xlfn.XLOOKUP(B131,'Base stats'!B:B,'Base stats'!C:C)&lt;0.1,0.05,IF(_xlfn.XLOOKUP(B131,'Base stats'!B:B,'Base stats'!C:C)&lt;=70,(_xlfn.XLOOKUP(B131,'Base stats'!B:B,'Base stats'!C:C)/70)^0.426489913056526,IF(_xlfn.XLOOKUP(B131,'Base stats'!B:B,'Base stats'!C:C)&lt;=400,(_xlfn.XLOOKUP(B131,'Base stats'!B:B,'Base stats'!C:C)/70)^0.572811455315093,IF(_xlfn.XLOOKUP(B131,'Base stats'!B:B,'Base stats'!C:C)&lt;=2000,2.71391647193063*(_xlfn.XLOOKUP(B131,'Base stats'!B:B,'Base stats'!C:C)/400)^0.252459582904293,3.74314280240376*(_xlfn.XLOOKUP(B131,'Base stats'!B:B,'Base stats'!C:C)/2000)^0.357012633876913)))),
IF(_xlfn.XLOOKUP(B131,'Base stats'!B:B,'Base stats'!C:C)&lt;0.1,0.05,IF(_xlfn.XLOOKUP(B131,'Base stats'!B:B,'Base stats'!C:C)&lt;0.4,0.1,IF(_xlfn.XLOOKUP(B131,'Base stats'!B:B,'Base stats'!C:C)&lt;=70,(_xlfn.XLOOKUP(B131,'Base stats'!B:B,'Base stats'!C:C)/70)^0.445823913056526,IF(_xlfn.XLOOKUP(B131,'Base stats'!B:B,'Base stats'!C:C)&lt;=400,(_xlfn.XLOOKUP(B131,'Base stats'!B:B,'Base stats'!C:C)/70)^0.572811455315093,IF(_xlfn.XLOOKUP(B131,'Base stats'!B:B,'Base stats'!C:C)&lt;=2000,2.71391647193063*(_xlfn.XLOOKUP(B131,'Base stats'!B:B,'Base stats'!C:C)/400)^0.252459582904293,3.74314280240376*(_xlfn.XLOOKUP(B131,'Base stats'!B:B,'Base stats'!C:C)/2000)^0.357012633876913)))))),
IF(_xlfn.XLOOKUP(B131,'Base stats'!B:B,'Base stats'!C:C)&lt;0.1,0.05,IF(_xlfn.XLOOKUP(B131,'Base stats'!B:B,'Base stats'!C:C)&lt;=100,0.05,IF(_xlfn.XLOOKUP(B131,'Base stats'!B:B,'Base stats'!C:C)&lt;=250,0.1,IF(_xlfn.XLOOKUP(B131,'Base stats'!B:B,'Base stats'!C:C)&lt;=4000,0.25,0.5)))))</f>
        <v>0.15000000000000002</v>
      </c>
      <c r="AP131" s="8">
        <f>MROUND(AO131*_xlfn.XLOOKUP(_xlfn.XLOOKUP(B131,'Base stats'!B:B,'Base stats'!E:E),Groups!A:A,Groups!AI:AI)*_xlfn.XLOOKUP(B131,'Base stats'!B:B,'Base stats'!Z:Z),0.05)</f>
        <v>0.15000000000000002</v>
      </c>
      <c r="AQ131" s="8">
        <f>MAX(0.01,MROUND(IF(CC131="True",0.196*(AO131*100*1000)^0.889,IF(_xlfn.XLOOKUP(_xlfn.XLOOKUP(B131,'Base stats'!B:B,'Base stats'!E:E),Groups!A:A,Groups!AJ:AJ)="Bird",10.5*(AO131*100*1000)^0.681,4.82*(AO131*100*1000)^0.734))/(4.82*(1*100*1000)^0.734)/IF(AO131&lt;3.5,2,IF(AO131=3.5,1.5,1.25))*(1+0.132282374779864/(AO131^0.994035016789033+0.00905238001496948)),0.05))</f>
        <v>0.25</v>
      </c>
      <c r="AR131" s="9">
        <f>IFERROR(MROUND(_xlfn.XLOOKUP(B131,'Base stats'!B:B,'Base stats'!H:H)/IF(_xlfn.XLOOKUP(B131,'Base stats'!B:B,'Base stats'!I:I)&lt;&gt;1,(122.5/70),1.2),IF(_xlfn.XLOOKUP(B131,'Base stats'!B:B,'Base stats'!H:H)&gt;=30,5,IF(_xlfn.XLOOKUP(B131,'Base stats'!B:B,'Base stats'!H:H)&gt;=15,3,IF(_xlfn.XLOOKUP(B131,'Base stats'!B:B,'Base stats'!H:H)&gt;=10,2,1)))),"Immortal")</f>
        <v>6</v>
      </c>
      <c r="AS131" s="35">
        <f>IFERROR(IF(OR(_xlfn.XLOOKUP(B131,'Base stats'!B:B,'Base stats'!F:F)="Atypical reproduction",_xlfn.XLOOKUP(B131,'Base stats'!B:B,'Base stats'!F:F)="Lay eggs"),"Lay eggs",MIN(20,MAX(5.5,ROUND(((_xlfn.XLOOKUP(B131,'Base stats'!B:B,'Base stats'!F:F)-25)*(14.5/615) + 5.5)*2,0)/2))),"Unknown")</f>
        <v>5.5</v>
      </c>
      <c r="AT131" s="8">
        <f>IF(_xlfn.XLOOKUP(B131,'Base stats'!B:B,'Base stats'!G:G)="Atypical reproduction","No",IFERROR(MAX(IF(_xlfn.XLOOKUP(B131,'Base stats'!B:B,'Base stats'!G:G)&lt;0.5,0.2,0.3),MROUND(_xlfn.XLOOKUP(B131,'Base stats'!B:B,'Base stats'!G:G)/(365/60),0.2)),"Unknown"))</f>
        <v>0.3</v>
      </c>
      <c r="AU131" s="8">
        <f t="shared" ref="AU131:AU194" si="15">IF(AT131="No","No",IFERROR(MROUND(AT131/2,0.05),"Unknown"))</f>
        <v>0.15000000000000002</v>
      </c>
      <c r="AV131" s="8">
        <f>IFERROR(IFERROR(MROUND(_xlfn.XLOOKUP(B131,'Base stats'!B:B,'Base stats'!J:J),0.1),"Lay eggs"),"Cannot breed")</f>
        <v>1.5</v>
      </c>
      <c r="AW131" s="2" t="str">
        <f t="shared" ref="AW131:AW194" si="16">IF(BT131="No","false","true")</f>
        <v>false</v>
      </c>
      <c r="AX131" s="2" t="str">
        <f>IF(_xlfn.XLOOKUP(_xlfn.XLOOKUP(Animals!B131,'Base stats'!B:B,'Base stats'!E:E),Groups!A:A,Groups!AK:AK)=1,"true","false")</f>
        <v>false</v>
      </c>
      <c r="AY131" s="25" t="str">
        <f>IF(_xlfn.XLOOKUP(B131,'Base stats'!B:B,'Base stats'!Y:Y)="Liquor","Liquor, CarnivoreAnimalStrict",IF(AND(_xlfn.XLOOKUP(B131,'Base stats'!B:B,'Base stats'!Y:Y)="Carnivore",_xlfn.XLOOKUP(_xlfn.XLOOKUP(B131,'Base stats'!B:B,'Base stats'!E:E),Groups!A:A,Groups!AJ:AJ)="Photonozoa"),"CarnivoreAnimalStrict, OvivoreAnimal",IF(_xlfn.XLOOKUP(B131,'Base stats'!B:B,'Base stats'!Y:Y)="Carnivore","CarnivoreAnimal, OvivoreAnimal",IF(_xlfn.XLOOKUP(B131,'Base stats'!B:B,'Base stats'!Y:Y)="Dendrovore","VegetarianRoughAnimal, DendrovoreAnimal",IF(_xlfn.XLOOKUP(B131,'Base stats'!B:B,'Base stats'!Y:Y)="Herbivore","VegetarianRoughAnimal",IF(_xlfn.XLOOKUP(B131,'Base stats'!B:B,'Base stats'!Y:Y)="OmnivoreRough","OmnivoreRoughAnimal, OvivoreAnimal","OmnivoreAnimal, OvivoreAnimal"))))))</f>
        <v>CarnivoreAnimal, OvivoreAnimal</v>
      </c>
      <c r="AZ131" s="2" t="str">
        <f>IF(_xlfn.XLOOKUP(_xlfn.XLOOKUP(B131,'Base stats'!B:B,'Base stats'!E:E),Groups!A:A,Groups!D:D)=1,MROUND((1-J131)*5+1,2)*IF(J131&lt;=0.4,2,1),"No")</f>
        <v>No</v>
      </c>
      <c r="BA131" s="2" t="str">
        <f>IF(AND(_xlfn.XLOOKUP(B131,'Base stats'!B:B,'Base stats'!AH:AH)="&lt;li&gt;Seal&lt;/li&gt;",G131="Odyssey"),"&lt;li&gt;AEXP_Seal&lt;/li&gt;",_xlfn.XLOOKUP(B131,'Base stats'!B:B,'Base stats'!AH:AH))</f>
        <v>No</v>
      </c>
      <c r="BB131" s="2" t="str">
        <f>_xlfn.XLOOKUP(B131,'Base stats'!B:B,'Base stats'!AG:AG)</f>
        <v>Leather_Light</v>
      </c>
      <c r="BC131" s="23" t="str">
        <f>_xlfn.XLOOKUP(_xlfn.XLOOKUP(B131,'Base stats'!B:B,'Base stats'!E:E),Groups!A:A,Groups!AL:AL)</f>
        <v>QuadrupedAnimalWithPaws</v>
      </c>
      <c r="BD131" s="23">
        <f>MIN(1,MROUND(IF(AND(AO131&lt;0.5,_xlfn.XLOOKUP(B131,'Base stats'!B:B,'Base stats'!AA:AA)=0),0,IF(OR(_xlfn.XLOOKUP(Animals!B131,'Base stats'!B:B,'Base stats'!O:O)=2,_xlfn.XLOOKUP(_xlfn.XLOOKUP(B131,'Base stats'!B:B,'Base stats'!E:E),Groups!A:A,Groups!AN:AN)=0),0,_xlfn.XLOOKUP(_xlfn.XLOOKUP(B131,'Base stats'!B:B,'Base stats'!E:E),Groups!A:A,Groups!AN:AN)/IF(_xlfn.XLOOKUP(Animals!B131,'Base stats'!B:B,'Base stats'!O:O)=1,2,1)))+_xlfn.XLOOKUP(B131,'Base stats'!B:B,'Base stats'!AC:AC),0.005))</f>
        <v>0</v>
      </c>
      <c r="BE131" s="23">
        <f>MIN(1,MROUND(IF(AND(AO131&lt;0.5,_xlfn.XLOOKUP(B131,'Base stats'!B:B,'Base stats'!AA:AA)=0),0,IF(_xlfn.XLOOKUP(_xlfn.XLOOKUP(B131,'Base stats'!B:B,'Base stats'!E:E),Groups!A:A,Groups!AO:AO)=0,0,_xlfn.XLOOKUP(_xlfn.XLOOKUP(B131,'Base stats'!B:B,'Base stats'!E:E),Groups!A:A,Groups!AO:AO)/IF(_xlfn.XLOOKUP(Animals!B131,'Base stats'!B:B,'Base stats'!O:O)=2,3,1)))+_xlfn.XLOOKUP(B131,'Base stats'!B:B,'Base stats'!AD:AD),0.005))</f>
        <v>0</v>
      </c>
      <c r="BF131" s="2" t="str">
        <f>IF(J131&gt;0.3,"No",_xlfn.XLOOKUP(_xlfn.XLOOKUP(Animals!B131,'Base stats'!B:B,'Base stats'!E:E),Groups!A:A,Groups!AP:AP))</f>
        <v>No</v>
      </c>
      <c r="BG131" s="2" t="str">
        <f>IF(AND(J131&lt;=0.65,_xlfn.XLOOKUP(_xlfn.XLOOKUP(Animals!B131,'Base stats'!B:B,'Base stats'!E:E),Groups!A:A,Groups!AP:AP)&lt;&gt;"No",_xlfn.XLOOKUP(_xlfn.XLOOKUP(B131,'Base stats'!B:B,'Base stats'!E:E),Groups!A:A,Groups!D:D)=0),MROUND((80/3)*IF(_xlfn.XLOOKUP(B131,'Base stats'!B:B,'Base stats'!O:O)=2,0.2,AO131) + 24*(1-IF(BF131="No",0,BF131)) + 16/3, 12),"No")</f>
        <v>No</v>
      </c>
      <c r="BH131" s="2">
        <f>IF(AND(_xlfn.XLOOKUP(_xlfn.XLOOKUP(B131,'Base stats'!B:B,'Base stats'!E:E),Groups!A:A,Groups!AQ:AQ)=1,AO131&lt;=0.35),8,12)</f>
        <v>12</v>
      </c>
      <c r="BI131" s="2" t="str">
        <f>IF(_xlfn.XLOOKUP(_xlfn.XLOOKUP(B131,'Base stats'!B:B,'Base stats'!E:E),Groups!A:A,Groups!D:D)=0,_xlfn.XLOOKUP(_xlfn.XLOOKUP(B131,'Base stats'!B:B,'Base stats'!E:E),Groups!A:A,Groups!AR:AR),"None")</f>
        <v>None</v>
      </c>
      <c r="BJ131" s="2" t="str">
        <f>IF(AND(_xlfn.XLOOKUP(_xlfn.XLOOKUP(B131,'Base stats'!B:B,'Base stats'!E:E),Groups!A:A,Groups!AS:AS)=1,OR(_xlfn.XLOOKUP(B131,'Base stats'!B:B,'Base stats'!Y:Y)="Carnivore",_xlfn.XLOOKUP(B131,'Base stats'!B:B,'Base stats'!Y:Y)="Omnivore")),"true","false")</f>
        <v>false</v>
      </c>
      <c r="BK131" s="2" t="str">
        <f>IF(BJ131="true",MROUND(IF(AND(AO131&gt;0.5,OR(_xlfn.XLOOKUP(_xlfn.XLOOKUP(B131,'Base stats'!B:B,'Base stats'!E:E),Groups!A:A,Groups!AJ:AJ)="Photonozoa",_xlfn.XLOOKUP(_xlfn.XLOOKUP(B131,'Base stats'!B:B,'Base stats'!E:E),Groups!A:A,Groups!AJ:AJ)="Mammal")),Animals!AO131*1.75*IF(AW131="true",1.5,1),IF(AO131&lt;0.5,Animals!AO131*0.5,Animals!AO131)),IF(AO131&gt;2,0.5,IF(AO131&gt;0.5,0.25,0.1))),"No")</f>
        <v>No</v>
      </c>
      <c r="BL131" s="2">
        <f t="shared" ref="BL131:BL194" si="17">IF(BI131&lt;&gt;"None",1,0)</f>
        <v>0</v>
      </c>
      <c r="BM131" s="25" t="str">
        <f>IF(_xlfn.XLOOKUP(B131,'Base stats'!B:B,'Base stats'!AN:AN)="Standard","No",MROUND((_xlfn.XLOOKUP(B131,'Base stats'!B:B,'Base stats'!AN:AN)/3.6)/I131,0.1))</f>
        <v>No</v>
      </c>
      <c r="BN131" s="25" t="str">
        <f t="shared" ref="BN131:BN194" si="18">IF(OR(BM131&lt;&gt;"No",BQ131=1),"true","false")</f>
        <v>false</v>
      </c>
      <c r="BO131" s="25" t="str">
        <f>IF(AND(OR(_xlfn.XLOOKUP(B131,'Base stats'!B:B,'Base stats'!Y:Y)="Carnivore",_xlfn.XLOOKUP(B131,'Base stats'!B:B,'Base stats'!Y:Y)="Omnivore",_xlfn.XLOOKUP(B131,'Base stats'!B:B,'Base stats'!Y:Y)="OmnivoreRough"),_xlfn.XLOOKUP(_xlfn.XLOOKUP(B131,'Base stats'!B:B,'Base stats'!E:E),Groups!A:A,Groups!AT:AT)=1),"true","false")</f>
        <v>false</v>
      </c>
      <c r="BP131" s="25" t="str" cm="1">
        <f t="array" ref="BP131">IF(
  _xlfn.TEXTJOIN(", ",TRUE,
    IF(AND(BJ131="true",AO131&gt;0.5,BI131&lt;&gt;"None"),"AttackTarget",""),
    IF(AND(_xlfn.XLOOKUP(_xlfn.XLOOKUP(B131,'Base stats'!B:B,'Base stats'!E:E),Groups!A:A,Groups!AJ:AJ="Mammal"),OR(_xlfn.XLOOKUP(B131,'Base stats'!B:B,'Base stats'!Y:Y)="Omnivore",_xlfn.XLOOKUP(B131,'Base stats'!B:B,'Base stats'!Y:Y)="OmnivoreRough")),"Forage",""),
    IF(BG131&lt;=36,"Comfort",""),
    IF(_xlfn.XLOOKUP(B131,'Base stats'!B:B,'Base stats'!AE:AE)&lt;&gt;"No",_xlfn.XLOOKUP(B131,'Base stats'!B:B,'Base stats'!AE:AE),"")
  ) = "",
  "No",
  _xlfn.TEXTJOIN(", ",TRUE,
    IF(AND(BJ131="true",AO131&gt;0.5,BI131&lt;&gt;"None"),"AttackTarget",""),
    IF(AND(_xlfn.XLOOKUP(_xlfn.XLOOKUP(B131,'Base stats'!B:B,'Base stats'!E:E),Groups!A:A,Groups!AJ:AJ="Mammal"),OR(_xlfn.XLOOKUP(B131,'Base stats'!B:B,'Base stats'!Y:Y)="Omnivore",_xlfn.XLOOKUP(B131,'Base stats'!B:B,'Base stats'!Y:Y)="OmnivoreRough")),"Forage",""),
    IF(BG131&lt;=36,"Comfort",""),
    IF(_xlfn.XLOOKUP(B131,'Base stats'!B:B,'Base stats'!AE:AE)&lt;&gt;"No",_xlfn.XLOOKUP(B131,'Base stats'!B:B,'Base stats'!AE:AE),"")
  )
)</f>
        <v>No</v>
      </c>
      <c r="BQ131" s="25" t="str">
        <f>IF(
   AND(
      'Base stats'!AN131="Standard",_xlfn.XLOOKUP(_xlfn.XLOOKUP(B131,'Base stats'!B:B,'Base stats'!E:E),Groups!A:A,Groups!AU:AU)=0,
      OR(
      BO131="True"
      )
   ),
   10,
   IF(
       OR(BM131&lt;&gt;"No",_xlfn.XLOOKUP(_xlfn.XLOOKUP(B131,'Base stats'!B:B,'Base stats'!E:E),Groups!A:A,Groups!AU:AU)=1),
      1,
      "No"
   )
)</f>
        <v>No</v>
      </c>
      <c r="BR131" s="9">
        <f>MROUND((1 + ((0.2*IF(OR(Q131="No",R131="No",R131=0),0,Q131/R131)
+IF(OR(V131="No",S131="No",T131="No"),0,S131/T131*(LEN(V131)-LEN(SUBSTITUTE(V131,",",""))+1))
+IF(OR(X131="No",Y131="No"),0,X131/Y131)
+IF(OR(AD131="No",AE131="No"),0,AD131/AE131)
+IF(OR(AL131="No",AI131="No",AJ131="No"),0,AI131/AJ131*(LEN(AL131)-LEN(SUBSTITUTE(AL131,",",""))+1))
)/(0.2*IF(OR(Q131="No",R131="No",R131=0),0,1)
+IF(OR(V131="No",S131="No",T131="No"),0,LEN(V131)-LEN(SUBSTITUTE(V131,",",""))+1)
+IF(OR(X131="No",Y131="No"),0,1)
+IF(OR(AD131="No",AE131="No"),0,1)
+IF(OR(AL131="No",AI131="No",AJ131="No"),0,LEN(AL131)-LEN(SUBSTITUTE(AL131,",",""))+1))*62%)* 2)*(1 + (AP131 / (IF(_xlfn.XLOOKUP(_xlfn.XLOOKUP(B131,'Base stats'!B:B,'Base stats'!E:E),Groups!A:A,Groups!AJ:AJ)="Photonozoa",0.3,1)) + _xlfn.XLOOKUP(B131,'Base stats'!B:B,'Base stats'!AV:AV) * 1.8) * 2) * 2.5 + 10 + I131 * 2,5)+IF(_xlfn.XLOOKUP(B131,'Base stats'!B:B,'Base stats'!AK:AK)=1,50,0)</f>
        <v>25</v>
      </c>
      <c r="BS131" s="8">
        <f t="shared" ref="BS131:BS194" si="19">MROUND(AO131 * 0.2 + AQ131 * 0.8,0.05)</f>
        <v>0.25</v>
      </c>
      <c r="BT131" s="8" t="str">
        <f>_xlfn.XLOOKUP(B131,'Base stats'!B:B,'Base stats'!AF:AF)</f>
        <v>No</v>
      </c>
      <c r="BU131" s="2" t="str">
        <f>IF(AND(J131&lt;=0.95,OR(_xlfn.XLOOKUP(B131,'Base stats'!B:B,'Base stats'!AK:AK)=1,_xlfn.XLOOKUP(B131,'Base stats'!B:B,'Base stats'!Y:Y)="Carnivore",_xlfn.XLOOKUP(B131,'Base stats'!B:B,'Base stats'!Y:Y)="Omnivore",BE131&gt;0.1)),"true","false")</f>
        <v>true</v>
      </c>
      <c r="BV131" s="2" t="str">
        <f>IF(_xlfn.XLOOKUP(B131,'Base stats'!B:B,'Base stats'!AI:AI)=1,"true","false")</f>
        <v>false</v>
      </c>
      <c r="BW131" s="25" t="str">
        <f>IF(E131="BaseInsect","AnimalInsect",
IF(J131&gt;0.95,"AnimalExotic",
_xlfn.TEXTJOIN(", ",TRUE,
IF(OR(_xlfn.XLOOKUP(B131,'Base stats'!B:B,'Base stats'!AM:AM)=1,AND(_xlfn.XLOOKUP(B131,'Base stats'!B:B,'Base stats'!O:O)=0,_xlfn.XLOOKUP(_xlfn.XLOOKUP(B131,'Base stats'!B:B,'Base stats'!E:E),Groups!A:A,Groups!B:B)&gt;0)),"AnimalUncommon","AnimalCommon"),
IF(AND(_xlfn.XLOOKUP(B131,'Base stats'!B:B,'Base stats'!O:O)=2,_xlfn.XLOOKUP(_xlfn.XLOOKUP(B131,'Base stats'!B:B,'Base stats'!E:E),Groups!A:A,Groups!D:D)=0),"AnimalPet",IF(AND(_xlfn.XLOOKUP(B131,'Base stats'!B:B,'Base stats'!O:O)&lt;&gt;0,_xlfn.XLOOKUP(_xlfn.XLOOKUP(B131,'Base stats'!B:B,'Base stats'!E:E),Groups!A:A,Groups!D:D)&lt;&gt;0),"AnimalFarm","")),
IF(OR(_xlfn.XLOOKUP(B131,'Base stats'!B:B,'Base stats'!AK:AK)=1,AND(BI131&lt;&gt;"None",BR131&gt;=60),ISNUMBER(SEARCH("Attack target",BP131))),"AnimalFighter","")
)))</f>
        <v>AnimalCommon</v>
      </c>
      <c r="BX131" s="25" t="str">
        <f>IF(G131="None",TRIM(
SUBSTITUTE(
IF(COUNTIF(Biomes!B$2:B$259,"="&amp;$C131)&gt;0,Biomes!B$1&amp;", ","")&amp;
IF(COUNTIF(Biomes!C$2:C$259,"="&amp;$C131)&gt;0,Biomes!C$1&amp;", ","")&amp;
IF(COUNTIF(Biomes!D$2:D$259,"="&amp;$C131)&gt;0,Biomes!D$1&amp;", ","")&amp;
IF(COUNTIF(Biomes!F$2:F$259,"="&amp;$C131)&gt;0,Biomes!F$1&amp;", ","")&amp;
IF(COUNTIF(Biomes!G$2:G$259,"="&amp;$C131)&gt;0,Biomes!G$1&amp;", ","")&amp;
IF(COUNTIF(Biomes!H$2:H$259,"="&amp;$C131)&gt;0,Biomes!H$1&amp;", ","")&amp;
IF(COUNTIF(Biomes!I$2:I$259,"="&amp;$C131)&gt;0,Biomes!I$1&amp;", ","")&amp;
IF(COUNTIF(Biomes!J$2:J$259,"="&amp;$C131)&gt;0,Biomes!J$1&amp;", ","")&amp;
IF(COUNTIF(Biomes!M$2:M$259,"="&amp;$C131)&gt;0,Biomes!M$1&amp;", ","")&amp;
IF(COUNTIF(Biomes!N$2:N$259,"="&amp;$C131)&gt;0,Biomes!N$1&amp;", ","")&amp;
IF(COUNTIF(Biomes!O$2:O$259,"="&amp;$C131)&gt;0,Biomes!O$1&amp;", ","")&amp;
IF(COUNTIF(Biomes!P$2:P$259,"="&amp;$C131)&gt;0,Biomes!P$1&amp;", ","")&amp;
IF(COUNTIF(Biomes!K$2:K$259,"="&amp;$C131)&gt;0,Biomes!K$1&amp;", ","")&amp;
IF(COUNTIF(Biomes!Q$3:Q$259,"="&amp;$C131)&gt;0,Biomes!Q$1&amp;", ","")&amp;
IF(COUNTIF(Biomes!L$2:L$259,"="&amp;$C131)&gt;0,Biomes!L$1&amp;", ","")&amp;
IF(COUNTIF(Biomes!E$2:E$259,"="&amp;$C131)&gt;0,Biomes!E$1&amp;", ","")&amp;IF(COUNTIF(Biomes!S$2:S$259,"="&amp;$C131)&gt;0,Biomes!S$1&amp;", ","")&amp;
IF(COUNTIF(Biomes!R$2:R$259,"="&amp;$C131)&gt;0,Biomes!R$1&amp;", ",""),", ","")
),_xlfn.XLOOKUP(B131,B:B,BX:BX))</f>
        <v>TemperateForest TemperateSwamp</v>
      </c>
      <c r="BY131" s="25" t="str">
        <f>IF(_xlfn.XLOOKUP(B131,'Base stats'!B:B,'Base stats'!AJ:AJ)=1,"true","false")</f>
        <v>false</v>
      </c>
      <c r="BZ131" s="25">
        <f>IF(_xlfn.XLOOKUP(B131,'Base stats'!B:B,'Base stats'!N:N)=1,"No",MAX(0.001,MIN(MROUND(IF(AND(BJ131="True",CC131="False"),POWER(10,3.47*LOG10(_xlfn.XLOOKUP(B131,'Base stats'!B:B,'Base stats'!C:C)*1000)^-0.96),POWER(10,4.15*LOG10(_xlfn.XLOOKUP(B131,'Base stats'!B:B,'Base stats'!C:C)*1000)^-0.73))*IF(_xlfn.XLOOKUP(B131,'Base stats'!B:B,'Base stats'!AK:AK)=1,0.5,1)*IF(_xlfn.XLOOKUP(B131,'Base stats'!B:B,'Base stats'!AM:AM)=1,0.1,1)/100,IF(_xlfn.XLOOKUP(B131,'Base stats'!B:B,'Base stats'!AM:AM)=1,0.001,0.025)),0.5)))</f>
        <v>0.5</v>
      </c>
      <c r="CA131" s="25" t="str">
        <f>IF(P131="Standard","No",MAX(0.001,MIN(MROUND(IF(AND(BJ131="True",CC131="False"),POWER(10,3.47*LOG10(_xlfn.XLOOKUP(B131,'Base stats'!B:B,'Base stats'!C:C)*1000)^-0.96),POWER(10,4.15*LOG10(_xlfn.XLOOKUP(B131,'Base stats'!B:B,'Base stats'!C:C)*1000)^-0.73))*IF(_xlfn.XLOOKUP(B131,'Base stats'!B:B,'Base stats'!AM:AM)=1,0.1,1)*_xlfn.XLOOKUP(B131,'Base stats'!B:B,'Base stats'!R:R)/100,IF(_xlfn.XLOOKUP(B131,'Base stats'!B:B,'Base stats'!AM:AM)=1,0.001,0.025)),0.5)))</f>
        <v>No</v>
      </c>
      <c r="CB131" s="25" t="str">
        <f>IF(_xlfn.XLOOKUP(_xlfn.XLOOKUP(B131,'Base stats'!B:B,'Base stats'!E:E),Groups!A:A,Groups!AJ:AJ)="Mammal","True","False")</f>
        <v>True</v>
      </c>
      <c r="CC131" s="25" t="str">
        <f>IF(OR(_xlfn.XLOOKUP(_xlfn.XLOOKUP(B131,'Base stats'!B:B,'Base stats'!E:E),Groups!A:A,Groups!AJ:AJ)="Reptile",_xlfn.XLOOKUP(_xlfn.XLOOKUP(B131,'Base stats'!B:B,'Base stats'!E:E),Groups!A:A,Groups!AJ:AJ)="Amphibian",_xlfn.XLOOKUP(_xlfn.XLOOKUP(B131,'Base stats'!B:B,'Base stats'!E:E),Groups!A:A,Groups!AJ:AJ)="Invertebrate"),"True","False")</f>
        <v>False</v>
      </c>
      <c r="CD131" s="25" t="str">
        <f t="shared" ref="CD131:CD194" si="20">IF(J131&gt;0.95,"True","False")</f>
        <v>False</v>
      </c>
      <c r="CE131" s="25" t="str">
        <f>IF(_xlfn.XLOOKUP(_xlfn.XLOOKUP(B131,'Base stats'!B:B,'Base stats'!E:E),Groups!A:A,Groups!AX:AX),"True","False")</f>
        <v>False</v>
      </c>
      <c r="CF131" s="25" t="str">
        <f>IF(_xlfn.XLOOKUP(_xlfn.XLOOKUP(B131,'Base stats'!B:B,'Base stats'!E:E),Groups!A:A,Groups!AY:AY),"True","False")</f>
        <v>False</v>
      </c>
      <c r="CG131" s="25" t="str">
        <f>IF(_xlfn.XLOOKUP(_xlfn.XLOOKUP(B131,'Base stats'!B:B,'Base stats'!E:E),Groups!A:A,Groups!AW:AW),"True","False")</f>
        <v>False</v>
      </c>
      <c r="CH131" s="25" t="str">
        <f>IF(
OR(
_xlfn.XLOOKUP(_xlfn.XLOOKUP(B131,'Base stats'!B:B,'Base stats'!E:E),Groups!A:A,Groups!AZ:AZ)=0,
AND(
_xlfn.XLOOKUP(B131,'Base stats'!B:B,'Base stats'!Y:Y)&lt;&gt;"Carnivore",
_xlfn.XLOOKUP(B131,'Base stats'!B:B,'Base stats'!Y:Y)&lt;&gt;"Omnivore",
_xlfn.XLOOKUP(B131,'Base stats'!B:B,'Base stats'!Y:Y)&lt;&gt;"OmnivoreRough"
)
),
"No",
IF(
_xlfn.XLOOKUP(_xlfn.XLOOKUP(B131,'Base stats'!B:B,'Base stats'!E:E),Groups!A:A,Groups!AZ:AZ)=1,
"Flesh",
IF(
_xlfn.XLOOKUP(_xlfn.XLOOKUP(B131,'Base stats'!B:B,'Base stats'!E:E),Groups!A:A,Groups!AZ:AZ)=2,
"Bone",
""
)
)
)</f>
        <v>No</v>
      </c>
      <c r="CI131" s="25" t="str">
        <f>IF(_xlfn.XLOOKUP(_xlfn.XLOOKUP(B131,'Base stats'!B:B,'Base stats'!E:E),Groups!A:A,Groups!BB:BB),"True","False")</f>
        <v>True</v>
      </c>
      <c r="CJ131" s="25" t="str">
        <f>IF(_xlfn.XLOOKUP(_xlfn.XLOOKUP(B131,'Base stats'!B:B,'Base stats'!E:E),Groups!A:A,Groups!BA:BA),"True","False")</f>
        <v>False</v>
      </c>
    </row>
    <row r="132" spans="1:88" s="16" customFormat="1" ht="16.5" thickTop="1" thickBot="1" x14ac:dyDescent="0.3">
      <c r="A132" s="26" t="str">
        <f>_xlfn.XLOOKUP(B132,'Base stats'!B:B,'Base stats'!A:A)</f>
        <v>Jaguar</v>
      </c>
      <c r="B132" s="6" t="s">
        <v>78</v>
      </c>
      <c r="C132" s="28" t="s">
        <v>813</v>
      </c>
      <c r="D132" s="28" t="s">
        <v>872</v>
      </c>
      <c r="E132" s="28" t="s">
        <v>689</v>
      </c>
      <c r="F132" s="28" t="s">
        <v>690</v>
      </c>
      <c r="G132" s="28" t="s">
        <v>673</v>
      </c>
      <c r="H132" s="2">
        <f>MROUND((
  (IF(AND(_xlfn.XLOOKUP(B132,'Base stats'!B:B,'Base stats'!AL:AL)=0,BI132="None",_xlfn.XLOOKUP(_xlfn.XLOOKUP(B132,'Base stats'!B:B,'Base stats'!E:E),Groups!A:A,Groups!B:B)=0), (18 + BR132 * 2.7) * 0.5,
    IF(AND(_xlfn.XLOOKUP(B132,'Base stats'!B:B,'Base stats'!AL:AL)=0,OR(AO132&lt;0.55,AND(BI132="Intermediate",_xlfn.XLOOKUP(_xlfn.XLOOKUP(B132,'Base stats'!B:B,'Base stats'!E:E),Groups!A:A,Groups!B:B)&lt;2))), (18 + BR132 * 2.7),
      IF(OR(BI132="Advanced",_xlfn.XLOOKUP(B132,'Base stats'!B:B,'Base stats'!AL:AL)=1,_xlfn.XLOOKUP(_xlfn.XLOOKUP(B132,'Base stats'!B:B,'Base stats'!E:E),Groups!A:A,Groups!B:B)=2), (18 + BR132 * 2.7) + 250, (18 + BR132 * 2.7))
    )
  ))
  + AO132 * 80
  + IF(COUNTIF(EggMilk!K$2:K$998, A132) &gt; 0, 125, 0)
  + IF(COUNTIF(EggMilk!P$2:P$998, A132) &gt; 0, 90, 0)
  + IF(COUNTIF(EggMilk!A$2:A$998, A132) &gt; 0, 90, 0)
)
* (0.8 + 0.4 * J132)
* 0.75,25)</f>
        <v>625</v>
      </c>
      <c r="I132" s="2">
        <f>MROUND(ROUNDDOWN(_xlfn.XLOOKUP(B132,'Base stats'!B:B,'Base stats'!L:L)/3.6/(23.3/11),1),0.5)</f>
        <v>7.5</v>
      </c>
      <c r="J132" s="2">
        <f>IF(OR(_xlfn.XLOOKUP(B132,'Base stats'!B:B,'Base stats'!AB:AB)=1,_xlfn.XLOOKUP(_xlfn.XLOOKUP(B132,'Base stats'!B:B,'Base stats'!E:E),Groups!A:A,Groups!C:C)="Untamable"),1,IF(_xlfn.XLOOKUP(B132,'Base stats'!B:B,'Base stats'!AL:AL)=1,0.99,MIN(MROUND((1-0.6282*EXP(-0.459*AO132))*_xlfn.XLOOKUP(_xlfn.XLOOKUP(B132,'Base stats'!B:B,'Base stats'!E:E),Groups!A:A,Groups!C:C)*IF(_xlfn.XLOOKUP(B132,'Base stats'!B:B,'Base stats'!O:O)=1,0.5,IF(_xlfn.XLOOKUP(B132,'Base stats'!B:B,'Base stats'!O:O)=2,0,1)),0.05),IF(AO132&gt;3.5,0.985,0.95))))</f>
        <v>0.8</v>
      </c>
      <c r="K132" s="2">
        <f>ROUNDUP(AO132*_xlfn.XLOOKUP(_xlfn.XLOOKUP(B132,'Base stats'!B:B,'Base stats'!E:E),Groups!A:A,Groups!E:E),0)</f>
        <v>2</v>
      </c>
      <c r="L132" s="2">
        <f>IF(OR(_xlfn.XLOOKUP(_xlfn.XLOOKUP(B132,'Base stats'!B:B,'Base stats'!E:E),Groups!A:A,Groups!F:F)=2,ISNUMBER(SEARCH("SeaIce",BX132)),ISNUMBER(SEARCH("IceSheet",BX132))),-50,IF(OR(ISNUMBER(SEARCH("GlacialPlain",BX132)),ISNUMBER(SEARCH("Tundra",BX132))),-40,IF(OR(ISNUMBER(SEARCH("Alpine",BX132)),ISNUMBER(SEARCH("BorealForest",BX132)),ISNUMBER(SEARCH("ColdBog",BX132))),-30,IF(OR(ISNUMBER(SEARCH("TemperateForest",BX132)),ISNUMBER(SEARCH("TemperateSwamp",BX132))),-20,IF(_xlfn.XLOOKUP(_xlfn.XLOOKUP(B132,'Base stats'!B:B,'Base stats'!E:E),Groups!A:A,Groups!F:F)=1,-15,IF(OR(ISNUMBER(SEARCH("Desert",BX132)),ISNUMBER(SEARCH("ExtremeDesert",BX132))),-10,IF(OR(ISNUMBER(SEARCH("Grasslands",BX132)),ISNUMBER(SEARCH("TropicalRainforest",BX132)),ISNUMBER(SEARCH("TropicalSwamp",BX132))),10,0)))))))-IF(CC132="False",MIN(IFERROR(MAX(MROUND(LOG10(_xlfn.XLOOKUP(B132,'Base stats'!B:B,'Base stats'!C:C)^(2/3))*10,5),5),5),30))-_xlfn.XLOOKUP(B132,'Base stats'!B:B,'Base stats'!P:P)+IF(CC132="True",5,0)</f>
        <v>-30</v>
      </c>
      <c r="M132" s="2">
        <f>IF(OR(_xlfn.XLOOKUP(_xlfn.XLOOKUP(B132,'Base stats'!B:B,'Base stats'!E:E),Groups!A:A,Groups!G:G)=2,ISNUMBER(SEARCH("Desert",BX132)),ISNUMBER(SEARCH("ExtremeDesert",BX132)),ISNUMBER(SEARCH("LavaField",BX132))),50,IF(ISNUMBER(SEARCH("Grasslands",BX132)),45,IF(OR(_xlfn.XLOOKUP(_xlfn.XLOOKUP(B132,'Base stats'!B:B,'Base stats'!E:E),Groups!A:A,Groups!G:G)=1,ISNUMBER(SEARCH("TropicalRainforest",BX132)),ISNUMBER(SEARCH("TropicalSwamp",BX132))),40,IF(OR(ISNUMBER(SEARCH("TemperateForest",BX132)),ISNUMBER(SEARCH("TemperateSwamp",BX132))),35,IF(OR(ISNUMBER(SEARCH("Alpine",BX132)),ISNUMBER(SEARCH("BorealForest",BX132)),ISNUMBER(SEARCH("ColdBog",BX132))),30,IF(ISNUMBER(OR(ISNUMBER(SEARCH("GlacialPlain",BX132)),SEARCH("Tundra",BX132))),25,IF(OR(ISNUMBER(SEARCH("SeaIce",BX132)),ISNUMBER(SEARCH("IceSheet",BX132)),ISNUMBER(SEARCH("TropicalSwamp",BX132))),10,35)))))))+_xlfn.XLOOKUP(B132,'Base stats'!B:B,'Base stats'!Q:Q)</f>
        <v>40</v>
      </c>
      <c r="N132" s="8" t="str">
        <f>IF(
_xlfn.XLOOKUP(
_xlfn.XLOOKUP(B132,'Base stats'!B:B,'Base stats'!E:E),
Groups!A:A,
Groups!L:L
)=1,
MIN(
MROUND(
IF(
_xlfn.XLOOKUP(B132,'Animals CE'!B:B,'Animals CE'!Z:Z)&lt;=1.5,
_xlfn.XLOOKUP(B132,'Animals CE'!B:B,'Animals CE'!Z:Z)/2+0.05,
0.8+
(_xlfn.XLOOKUP(B132,'Animals CE'!B:B,'Animals CE'!Z:Z)-1.5)
*0.02
),
0.05
),
200%
),
"No"
)</f>
        <v>No</v>
      </c>
      <c r="O132" s="8" t="str">
        <f>IF(
_xlfn.XLOOKUP(
_xlfn.XLOOKUP(B132,'Base stats'!B:B,'Base stats'!E:E),
Groups!A:A,
Groups!L:L
)=1,
MIN(
MROUND(
IF(
_xlfn.XLOOKUP(B132,'Animals CE'!B:B,'Animals CE'!AA:AA)&lt;=1.5,
_xlfn.XLOOKUP(B132,'Animals CE'!B:B,'Animals CE'!AA:AA)/2+0.05,
0.8+
(_xlfn.XLOOKUP(B132,'Animals CE'!B:B,'Animals CE'!AA:AA)-1.5)
*0.02
),
0.05
),
200%
),
"No"
)</f>
        <v>No</v>
      </c>
      <c r="P132" s="2" t="str">
        <f>_xlfn.XLOOKUP(B132,'Base stats'!B:B,'Base stats'!R:R)</f>
        <v>Standard</v>
      </c>
      <c r="Q132" s="13">
        <f>MROUND((LOG10(_xlfn.XLOOKUP(B132,'Base stats'!B:B,'Base stats'!AR:AR))*(AO132^0.5)+(_xlfn.XLOOKUP(B132,'Base stats'!B:B,'Base stats'!AR:AR)/1000)^(2/3)+_xlfn.XLOOKUP(B132,'Base stats'!B:B,'Base stats'!BA:BA)/2)+0.5,0.5)</f>
        <v>8</v>
      </c>
      <c r="R132" s="7">
        <f>IF(Q132="No","No",MAX(1,MROUND(_xlfn.XLOOKUP(B132,'Base stats'!B:B,'Base stats'!C:C)^0.165,0.05)))</f>
        <v>2.1</v>
      </c>
      <c r="S132" s="13" t="str">
        <f>IF(_xlfn.XLOOKUP(_xlfn.XLOOKUP(B132,'Base stats'!B:B,'Base stats'!E:E),Groups!A:A,Groups!P:P)=0,"No",MROUND((LOG10(_xlfn.XLOOKUP(B132,'Base stats'!B:B,'Base stats'!AS:AS))*(AO132^0.5)+(_xlfn.XLOOKUP(B132,'Base stats'!B:B,'Base stats'!AS:AS)/1000)^(2/3)+_xlfn.XLOOKUP(B132,'Base stats'!B:B,'Base stats'!BA:BA))+_xlfn.XLOOKUP(B132,'Base stats'!B:B,'Base stats'!AY:AY)+0.5,0.5))</f>
        <v>No</v>
      </c>
      <c r="T132" s="7" t="str">
        <f>IF(S132="No","No",MAX(_xlfn.XLOOKUP(_xlfn.XLOOKUP(B132,'Base stats'!B:B,'Base stats'!E:E),Groups!A:A,Groups!Q:Q),MROUND(_xlfn.XLOOKUP(_xlfn.XLOOKUP(B132,'Base stats'!B:B,'Base stats'!E:E),Groups!A:A,Groups!Q:Q)*_xlfn.XLOOKUP(B132,'Base stats'!B:B,'Base stats'!C:C)^0.165,0.05)))</f>
        <v>No</v>
      </c>
      <c r="U132" s="7" t="str">
        <f>IF(S132="No","No",_xlfn.XLOOKUP(_xlfn.XLOOKUP(B132,'Base stats'!B:B,'Base stats'!E:E),Groups!A:A,Groups!R:R))</f>
        <v>No</v>
      </c>
      <c r="V132" s="7" t="str">
        <f>IF(S132="No","No",_xlfn.XLOOKUP(_xlfn.XLOOKUP(B132,'Base stats'!B:B,'Base stats'!E:E),Groups!A:A,Groups!S:S))</f>
        <v>No</v>
      </c>
      <c r="W132" s="7" t="str">
        <f>IF(S132="No","No",_xlfn.XLOOKUP(_xlfn.XLOOKUP(B132,'Base stats'!B:B,'Base stats'!E:E),Groups!A:A,Groups!T:T))</f>
        <v>No</v>
      </c>
      <c r="X132" s="13" t="str">
        <f>IF(_xlfn.XLOOKUP(B132,'Base stats'!B:B,'Base stats'!W:W)="No","No",MROUND((LOG10(_xlfn.XLOOKUP(B132,'Base stats'!B:B,'Base stats'!AU:AU))*(AO132^0.5)+(_xlfn.XLOOKUP(B132,'Base stats'!B:B,'Base stats'!AU:AU)/1000)^(2/3)+_xlfn.XLOOKUP(B132,'Base stats'!B:B,'Base stats'!AZ:AZ))+0.5+IF(_xlfn.XLOOKUP(_xlfn.XLOOKUP(B132,'Base stats'!B:B,'Base stats'!E:E),Groups!A:A,Groups!U:U)&lt;&gt;3,_xlfn.XLOOKUP(B132,'Base stats'!B:B,'Base stats'!BA:BA),0),0.5))</f>
        <v>No</v>
      </c>
      <c r="Y132" s="7" t="str">
        <f>IF(X132="No","No",MAX(_xlfn.XLOOKUP(_xlfn.XLOOKUP(B132,'Base stats'!B:B,'Base stats'!E:E),Groups!A:A,Groups!V:V),MROUND(_xlfn.XLOOKUP(_xlfn.XLOOKUP(B132,'Base stats'!B:B,'Base stats'!E:E),Groups!A:A,Groups!V:V)*_xlfn.XLOOKUP(B132,'Base stats'!B:B,'Base stats'!C:C)^0.165,0.05)))</f>
        <v>No</v>
      </c>
      <c r="Z132" s="7" t="str">
        <f>IF(X132="No","No",_xlfn.XLOOKUP(_xlfn.XLOOKUP(B132,'Base stats'!B:B,'Base stats'!E:E),Groups!A:A,Groups!W:W))</f>
        <v>No</v>
      </c>
      <c r="AA132" s="7" t="str">
        <f>IF(X132="No","No",_xlfn.XLOOKUP(_xlfn.XLOOKUP(B132,'Base stats'!B:B,'Base stats'!E:E),Groups!A:A,Groups!X:X))</f>
        <v>No</v>
      </c>
      <c r="AB132" s="7" t="str">
        <f>IF(X132="No","No",_xlfn.XLOOKUP(_xlfn.XLOOKUP(B132,'Base stats'!B:B,'Base stats'!E:E),Groups!A:A,Groups!Y:Y))</f>
        <v>No</v>
      </c>
      <c r="AC132" s="7" t="str">
        <f>_xlfn.XLOOKUP(Animals!B132,'Base stats'!B:B,'Base stats'!X:X)</f>
        <v>False</v>
      </c>
      <c r="AD132" s="13">
        <f>IF(_xlfn.XLOOKUP(B132,'Base stats'!B:B,'Base stats'!AT:AT)="No","No",MROUND((LOG10(_xlfn.XLOOKUP(B132,'Base stats'!B:B,'Base stats'!AT:AT))*(AO132^0.75)+(_xlfn.XLOOKUP(B132,'Base stats'!B:B,'Base stats'!AT:AT)/1000)^(2/3)+_xlfn.XLOOKUP(B132,'Base stats'!B:B,'Base stats'!AX:AX)+_xlfn.XLOOKUP(B132,'Base stats'!B:B,'Base stats'!BA:BA))+0.5,0.5))</f>
        <v>16</v>
      </c>
      <c r="AE132" s="7">
        <f>IF(AD132="No","No",MAX(_xlfn.XLOOKUP(_xlfn.XLOOKUP(B132,'Base stats'!B:B,'Base stats'!E:E),Groups!A:A,Groups!Z:Z),MROUND(_xlfn.XLOOKUP(_xlfn.XLOOKUP(B132,'Base stats'!B:B,'Base stats'!E:E),Groups!A:A,Groups!Z:Z)*_xlfn.XLOOKUP(B132,'Base stats'!B:B,'Base stats'!C:C)^0.165,0.05)))</f>
        <v>1.4500000000000002</v>
      </c>
      <c r="AF132" s="7" t="str">
        <f>IF(AD132="No","No",_xlfn.XLOOKUP(_xlfn.XLOOKUP(B132,'Base stats'!B:B,'Base stats'!E:E),Groups!A:A,Groups!AA:AA))</f>
        <v>Teeth</v>
      </c>
      <c r="AG132" s="7" t="str">
        <f>IF(AD132="No","No",_xlfn.XLOOKUP(_xlfn.XLOOKUP(B132,'Base stats'!B:B,'Base stats'!E:E),Groups!A:A,Groups!AB:AB))</f>
        <v>canines</v>
      </c>
      <c r="AH132" s="7" t="str">
        <f>IF(AD132="No","No",_xlfn.XLOOKUP(_xlfn.XLOOKUP(B132,'Base stats'!B:B,'Base stats'!E:E),Groups!A:A,Groups!AC:AC))</f>
        <v>Bite</v>
      </c>
      <c r="AI132" s="13">
        <f>IF(_xlfn.XLOOKUP(_xlfn.XLOOKUP(B132,'Base stats'!B:B,'Base stats'!E:E),Groups!A:A,Groups!AD:AD)=0,"No",MROUND((LOG10(_xlfn.XLOOKUP(B132,'Base stats'!B:B,'Base stats'!AS:AS))*(AO132^0.75)+(_xlfn.XLOOKUP(B132,'Base stats'!B:B,'Base stats'!AS:AS)/1000)^(2/3)+_xlfn.XLOOKUP(B132,'Base stats'!B:B,'Base stats'!AY:AY)+_xlfn.XLOOKUP(B132,'Base stats'!B:B,'Base stats'!BA:BA))+0.5,0.5))</f>
        <v>12.5</v>
      </c>
      <c r="AJ132" s="7">
        <f>IF(AI132="No","No",MAX(_xlfn.XLOOKUP(_xlfn.XLOOKUP(B132,'Base stats'!B:B,'Base stats'!E:E),Groups!A:A,Groups!AE:AE),MROUND(_xlfn.XLOOKUP(_xlfn.XLOOKUP(B132,'Base stats'!B:B,'Base stats'!E:E),Groups!A:A,Groups!AE:AE)*IF(_xlfn.XLOOKUP(_xlfn.XLOOKUP(B132,'Base stats'!B:B,'Base stats'!E:E),Groups!A:A,Groups!AJ:AJ)="Photonozoa",0.6,1)*_xlfn.XLOOKUP(B132,'Base stats'!B:B,'Base stats'!C:C)^0.165,0.05)))</f>
        <v>1.35</v>
      </c>
      <c r="AK132" s="7" t="str">
        <f>IF(AI132="No","No",_xlfn.XLOOKUP(_xlfn.XLOOKUP(B132,'Base stats'!B:B,'Base stats'!E:E),Groups!A:A,Groups!AF:AF))</f>
        <v>FrontLeftPaw, FrontRightPaw</v>
      </c>
      <c r="AL132" s="7" t="str">
        <f>IF(AI132="No","No",_xlfn.XLOOKUP(_xlfn.XLOOKUP(B132,'Base stats'!B:B,'Base stats'!E:E),Groups!A:A,Groups!AG:AG))</f>
        <v>left claw, right claw</v>
      </c>
      <c r="AM132" s="7" t="str">
        <f>IF(AI132="No","No",_xlfn.XLOOKUP(_xlfn.XLOOKUP(B132,'Base stats'!B:B,'Base stats'!E:E),Groups!A:A,Groups!AH:AH))</f>
        <v>Scratch</v>
      </c>
      <c r="AN132" s="2">
        <f t="shared" si="14"/>
        <v>20</v>
      </c>
      <c r="AO132" s="2">
        <f>MROUND(IF(AND(_xlfn.XLOOKUP(B132,'Base stats'!B:B,'Base stats'!C:C)&gt;=0.5,_xlfn.XLOOKUP(B132,'Base stats'!B:B,'Base stats'!C:C)&lt;=0.8),
IF(_xlfn.XLOOKUP(B132,'Base stats'!B:B,'Base stats'!C:C)&lt;0.1,0.05,IF(_xlfn.XLOOKUP(B132,'Base stats'!B:B,'Base stats'!C:C)&lt;=70,(_xlfn.XLOOKUP(B132,'Base stats'!B:B,'Base stats'!C:C)/70)^0.426489913056526,IF(_xlfn.XLOOKUP(B132,'Base stats'!B:B,'Base stats'!C:C)&lt;=400,(_xlfn.XLOOKUP(B132,'Base stats'!B:B,'Base stats'!C:C)/70)^0.572811455315093,IF(_xlfn.XLOOKUP(B132,'Base stats'!B:B,'Base stats'!C:C)&lt;=2000,2.71391647193063*(_xlfn.XLOOKUP(B132,'Base stats'!B:B,'Base stats'!C:C)/400)^0.252459582904293,3.74314280240376*(_xlfn.XLOOKUP(B132,'Base stats'!B:B,'Base stats'!C:C)/2000)^0.357012633876913)))),
IF(_xlfn.XLOOKUP(B132,'Base stats'!B:B,'Base stats'!C:C)&lt;0.1,0.05,IF(_xlfn.XLOOKUP(B132,'Base stats'!B:B,'Base stats'!C:C)&lt;0.4,0.1,IF(_xlfn.XLOOKUP(B132,'Base stats'!B:B,'Base stats'!C:C)&lt;=70,(_xlfn.XLOOKUP(B132,'Base stats'!B:B,'Base stats'!C:C)/70)^0.445823913056526,IF(_xlfn.XLOOKUP(B132,'Base stats'!B:B,'Base stats'!C:C)&lt;=400,(_xlfn.XLOOKUP(B132,'Base stats'!B:B,'Base stats'!C:C)/70)^0.572811455315093,IF(_xlfn.XLOOKUP(B132,'Base stats'!B:B,'Base stats'!C:C)&lt;=2000,2.71391647193063*(_xlfn.XLOOKUP(B132,'Base stats'!B:B,'Base stats'!C:C)/400)^0.252459582904293,3.74314280240376*(_xlfn.XLOOKUP(B132,'Base stats'!B:B,'Base stats'!C:C)/2000)^0.357012633876913)))))),
IF(_xlfn.XLOOKUP(B132,'Base stats'!B:B,'Base stats'!C:C)&lt;0.1,0.05,IF(_xlfn.XLOOKUP(B132,'Base stats'!B:B,'Base stats'!C:C)&lt;=100,0.05,IF(_xlfn.XLOOKUP(B132,'Base stats'!B:B,'Base stats'!C:C)&lt;=250,0.1,IF(_xlfn.XLOOKUP(B132,'Base stats'!B:B,'Base stats'!C:C)&lt;=4000,0.25,0.5)))))</f>
        <v>1.1500000000000001</v>
      </c>
      <c r="AP132" s="8">
        <f>MROUND(AO132*_xlfn.XLOOKUP(_xlfn.XLOOKUP(B132,'Base stats'!B:B,'Base stats'!E:E),Groups!A:A,Groups!AI:AI)*_xlfn.XLOOKUP(B132,'Base stats'!B:B,'Base stats'!Z:Z),0.05)</f>
        <v>1.4000000000000001</v>
      </c>
      <c r="AQ132" s="8">
        <f>MAX(0.01,MROUND(IF(CC132="True",0.196*(AO132*100*1000)^0.889,IF(_xlfn.XLOOKUP(_xlfn.XLOOKUP(B132,'Base stats'!B:B,'Base stats'!E:E),Groups!A:A,Groups!AJ:AJ)="Bird",10.5*(AO132*100*1000)^0.681,4.82*(AO132*100*1000)^0.734))/(4.82*(1*100*1000)^0.734)/IF(AO132&lt;3.5,2,IF(AO132=3.5,1.5,1.25))*(1+0.132282374779864/(AO132^0.994035016789033+0.00905238001496948)),0.05))</f>
        <v>0.60000000000000009</v>
      </c>
      <c r="AR132" s="9">
        <f>IFERROR(MROUND(_xlfn.XLOOKUP(B132,'Base stats'!B:B,'Base stats'!H:H)/IF(_xlfn.XLOOKUP(B132,'Base stats'!B:B,'Base stats'!I:I)&lt;&gt;1,(122.5/70),1.2),IF(_xlfn.XLOOKUP(B132,'Base stats'!B:B,'Base stats'!H:H)&gt;=30,5,IF(_xlfn.XLOOKUP(B132,'Base stats'!B:B,'Base stats'!H:H)&gt;=15,3,IF(_xlfn.XLOOKUP(B132,'Base stats'!B:B,'Base stats'!H:H)&gt;=10,2,1)))),"Immortal")</f>
        <v>15</v>
      </c>
      <c r="AS132" s="35">
        <f>IFERROR(IF(OR(_xlfn.XLOOKUP(B132,'Base stats'!B:B,'Base stats'!F:F)="Atypical reproduction",_xlfn.XLOOKUP(B132,'Base stats'!B:B,'Base stats'!F:F)="Lay eggs"),"Lay eggs",MIN(20,MAX(5.5,ROUND(((_xlfn.XLOOKUP(B132,'Base stats'!B:B,'Base stats'!F:F)-25)*(14.5/615) + 5.5)*2,0)/2))),"Unknown")</f>
        <v>7</v>
      </c>
      <c r="AT132" s="8">
        <f>IF(_xlfn.XLOOKUP(B132,'Base stats'!B:B,'Base stats'!G:G)="Atypical reproduction","No",IFERROR(MAX(IF(_xlfn.XLOOKUP(B132,'Base stats'!B:B,'Base stats'!G:G)&lt;0.5,0.2,0.3),MROUND(_xlfn.XLOOKUP(B132,'Base stats'!B:B,'Base stats'!G:G)/(365/60),0.2)),"Unknown"))</f>
        <v>0.4</v>
      </c>
      <c r="AU132" s="8">
        <f t="shared" si="15"/>
        <v>0.2</v>
      </c>
      <c r="AV132" s="8">
        <f>IFERROR(IFERROR(MROUND(_xlfn.XLOOKUP(B132,'Base stats'!B:B,'Base stats'!J:J),0.1),"Lay eggs"),"Cannot breed")</f>
        <v>2</v>
      </c>
      <c r="AW132" s="2" t="str">
        <f t="shared" si="16"/>
        <v>false</v>
      </c>
      <c r="AX132" s="2" t="str">
        <f>IF(_xlfn.XLOOKUP(_xlfn.XLOOKUP(Animals!B132,'Base stats'!B:B,'Base stats'!E:E),Groups!A:A,Groups!AK:AK)=1,"true","false")</f>
        <v>false</v>
      </c>
      <c r="AY132" s="25" t="str">
        <f>IF(_xlfn.XLOOKUP(B132,'Base stats'!B:B,'Base stats'!Y:Y)="Liquor","Liquor, CarnivoreAnimalStrict",IF(AND(_xlfn.XLOOKUP(B132,'Base stats'!B:B,'Base stats'!Y:Y)="Carnivore",_xlfn.XLOOKUP(_xlfn.XLOOKUP(B132,'Base stats'!B:B,'Base stats'!E:E),Groups!A:A,Groups!AJ:AJ)="Photonozoa"),"CarnivoreAnimalStrict, OvivoreAnimal",IF(_xlfn.XLOOKUP(B132,'Base stats'!B:B,'Base stats'!Y:Y)="Carnivore","CarnivoreAnimal, OvivoreAnimal",IF(_xlfn.XLOOKUP(B132,'Base stats'!B:B,'Base stats'!Y:Y)="Dendrovore","VegetarianRoughAnimal, DendrovoreAnimal",IF(_xlfn.XLOOKUP(B132,'Base stats'!B:B,'Base stats'!Y:Y)="Herbivore","VegetarianRoughAnimal",IF(_xlfn.XLOOKUP(B132,'Base stats'!B:B,'Base stats'!Y:Y)="OmnivoreRough","OmnivoreRoughAnimal, OvivoreAnimal","OmnivoreAnimal, OvivoreAnimal"))))))</f>
        <v>CarnivoreAnimal, OvivoreAnimal</v>
      </c>
      <c r="AZ132" s="2" t="str">
        <f>IF(_xlfn.XLOOKUP(_xlfn.XLOOKUP(B132,'Base stats'!B:B,'Base stats'!E:E),Groups!A:A,Groups!D:D)=1,MROUND((1-J132)*5+1,2)*IF(J132&lt;=0.4,2,1),"No")</f>
        <v>No</v>
      </c>
      <c r="BA132" s="2" t="str">
        <f>IF(AND(_xlfn.XLOOKUP(B132,'Base stats'!B:B,'Base stats'!AH:AH)="&lt;li&gt;Seal&lt;/li&gt;",G132="Odyssey"),"&lt;li&gt;AEXP_Seal&lt;/li&gt;",_xlfn.XLOOKUP(B132,'Base stats'!B:B,'Base stats'!AH:AH))</f>
        <v>No</v>
      </c>
      <c r="BB132" s="2" t="str">
        <f>_xlfn.XLOOKUP(B132,'Base stats'!B:B,'Base stats'!AG:AG)</f>
        <v>Leather_Panthera</v>
      </c>
      <c r="BC132" s="23" t="str">
        <f>_xlfn.XLOOKUP(_xlfn.XLOOKUP(B132,'Base stats'!B:B,'Base stats'!E:E),Groups!A:A,Groups!AL:AL)</f>
        <v>QuadrupedAnimalWithPawsAndTail</v>
      </c>
      <c r="BD132" s="23">
        <f>MIN(1,MROUND(IF(AND(AO132&lt;0.5,_xlfn.XLOOKUP(B132,'Base stats'!B:B,'Base stats'!AA:AA)=0),0,IF(OR(_xlfn.XLOOKUP(Animals!B132,'Base stats'!B:B,'Base stats'!O:O)=2,_xlfn.XLOOKUP(_xlfn.XLOOKUP(B132,'Base stats'!B:B,'Base stats'!E:E),Groups!A:A,Groups!AN:AN)=0),0,_xlfn.XLOOKUP(_xlfn.XLOOKUP(B132,'Base stats'!B:B,'Base stats'!E:E),Groups!A:A,Groups!AN:AN)/IF(_xlfn.XLOOKUP(Animals!B132,'Base stats'!B:B,'Base stats'!O:O)=1,2,1)))+_xlfn.XLOOKUP(B132,'Base stats'!B:B,'Base stats'!AC:AC),0.005))</f>
        <v>0.1</v>
      </c>
      <c r="BE132" s="23">
        <f>MIN(1,MROUND(IF(AND(AO132&lt;0.5,_xlfn.XLOOKUP(B132,'Base stats'!B:B,'Base stats'!AA:AA)=0),0,IF(_xlfn.XLOOKUP(_xlfn.XLOOKUP(B132,'Base stats'!B:B,'Base stats'!E:E),Groups!A:A,Groups!AO:AO)=0,0,_xlfn.XLOOKUP(_xlfn.XLOOKUP(B132,'Base stats'!B:B,'Base stats'!E:E),Groups!A:A,Groups!AO:AO)/IF(_xlfn.XLOOKUP(Animals!B132,'Base stats'!B:B,'Base stats'!O:O)=2,3,1)))+_xlfn.XLOOKUP(B132,'Base stats'!B:B,'Base stats'!AD:AD),0.005))</f>
        <v>0.3</v>
      </c>
      <c r="BF132" s="2" t="str">
        <f>IF(J132&gt;0.3,"No",_xlfn.XLOOKUP(_xlfn.XLOOKUP(Animals!B132,'Base stats'!B:B,'Base stats'!E:E),Groups!A:A,Groups!AP:AP))</f>
        <v>No</v>
      </c>
      <c r="BG132" s="2" t="str">
        <f>IF(AND(J132&lt;=0.65,_xlfn.XLOOKUP(_xlfn.XLOOKUP(Animals!B132,'Base stats'!B:B,'Base stats'!E:E),Groups!A:A,Groups!AP:AP)&lt;&gt;"No",_xlfn.XLOOKUP(_xlfn.XLOOKUP(B132,'Base stats'!B:B,'Base stats'!E:E),Groups!A:A,Groups!D:D)=0),MROUND((80/3)*IF(_xlfn.XLOOKUP(B132,'Base stats'!B:B,'Base stats'!O:O)=2,0.2,AO132) + 24*(1-IF(BF132="No",0,BF132)) + 16/3, 12),"No")</f>
        <v>No</v>
      </c>
      <c r="BH132" s="2">
        <f>IF(AND(_xlfn.XLOOKUP(_xlfn.XLOOKUP(B132,'Base stats'!B:B,'Base stats'!E:E),Groups!A:A,Groups!AQ:AQ)=1,AO132&lt;=0.35),8,12)</f>
        <v>12</v>
      </c>
      <c r="BI132" s="2" t="str">
        <f>IF(_xlfn.XLOOKUP(_xlfn.XLOOKUP(B132,'Base stats'!B:B,'Base stats'!E:E),Groups!A:A,Groups!D:D)=0,_xlfn.XLOOKUP(_xlfn.XLOOKUP(B132,'Base stats'!B:B,'Base stats'!E:E),Groups!A:A,Groups!AR:AR),"None")</f>
        <v>Intermediate</v>
      </c>
      <c r="BJ132" s="2" t="str">
        <f>IF(AND(_xlfn.XLOOKUP(_xlfn.XLOOKUP(B132,'Base stats'!B:B,'Base stats'!E:E),Groups!A:A,Groups!AS:AS)=1,OR(_xlfn.XLOOKUP(B132,'Base stats'!B:B,'Base stats'!Y:Y)="Carnivore",_xlfn.XLOOKUP(B132,'Base stats'!B:B,'Base stats'!Y:Y)="Omnivore")),"true","false")</f>
        <v>true</v>
      </c>
      <c r="BK132" s="2">
        <f>IF(BJ132="true",MROUND(IF(AND(AO132&gt;0.5,OR(_xlfn.XLOOKUP(_xlfn.XLOOKUP(B132,'Base stats'!B:B,'Base stats'!E:E),Groups!A:A,Groups!AJ:AJ)="Photonozoa",_xlfn.XLOOKUP(_xlfn.XLOOKUP(B132,'Base stats'!B:B,'Base stats'!E:E),Groups!A:A,Groups!AJ:AJ)="Mammal")),Animals!AO132*1.75*IF(AW132="true",1.5,1),IF(AO132&lt;0.5,Animals!AO132*0.5,Animals!AO132)),IF(AO132&gt;2,0.5,IF(AO132&gt;0.5,0.25,0.1))),"No")</f>
        <v>2</v>
      </c>
      <c r="BL132" s="2">
        <f t="shared" si="17"/>
        <v>1</v>
      </c>
      <c r="BM132" s="25" t="str">
        <f>IF(_xlfn.XLOOKUP(B132,'Base stats'!B:B,'Base stats'!AN:AN)="Standard","No",MROUND((_xlfn.XLOOKUP(B132,'Base stats'!B:B,'Base stats'!AN:AN)/3.6)/I132,0.1))</f>
        <v>No</v>
      </c>
      <c r="BN132" s="25" t="str">
        <f t="shared" si="18"/>
        <v>false</v>
      </c>
      <c r="BO132" s="25" t="str">
        <f>IF(AND(OR(_xlfn.XLOOKUP(B132,'Base stats'!B:B,'Base stats'!Y:Y)="Carnivore",_xlfn.XLOOKUP(B132,'Base stats'!B:B,'Base stats'!Y:Y)="Omnivore",_xlfn.XLOOKUP(B132,'Base stats'!B:B,'Base stats'!Y:Y)="OmnivoreRough"),_xlfn.XLOOKUP(_xlfn.XLOOKUP(B132,'Base stats'!B:B,'Base stats'!E:E),Groups!A:A,Groups!AT:AT)=1),"true","false")</f>
        <v>true</v>
      </c>
      <c r="BP132" s="25" t="str" cm="1">
        <f t="array" ref="BP132">IF(
  _xlfn.TEXTJOIN(", ",TRUE,
    IF(AND(BJ132="true",AO132&gt;0.5,BI132&lt;&gt;"None"),"AttackTarget",""),
    IF(AND(_xlfn.XLOOKUP(_xlfn.XLOOKUP(B132,'Base stats'!B:B,'Base stats'!E:E),Groups!A:A,Groups!AJ:AJ="Mammal"),OR(_xlfn.XLOOKUP(B132,'Base stats'!B:B,'Base stats'!Y:Y)="Omnivore",_xlfn.XLOOKUP(B132,'Base stats'!B:B,'Base stats'!Y:Y)="OmnivoreRough")),"Forage",""),
    IF(BG132&lt;=36,"Comfort",""),
    IF(_xlfn.XLOOKUP(B132,'Base stats'!B:B,'Base stats'!AE:AE)&lt;&gt;"No",_xlfn.XLOOKUP(B132,'Base stats'!B:B,'Base stats'!AE:AE),"")
  ) = "",
  "No",
  _xlfn.TEXTJOIN(", ",TRUE,
    IF(AND(BJ132="true",AO132&gt;0.5,BI132&lt;&gt;"None"),"AttackTarget",""),
    IF(AND(_xlfn.XLOOKUP(_xlfn.XLOOKUP(B132,'Base stats'!B:B,'Base stats'!E:E),Groups!A:A,Groups!AJ:AJ="Mammal"),OR(_xlfn.XLOOKUP(B132,'Base stats'!B:B,'Base stats'!Y:Y)="Omnivore",_xlfn.XLOOKUP(B132,'Base stats'!B:B,'Base stats'!Y:Y)="OmnivoreRough")),"Forage",""),
    IF(BG132&lt;=36,"Comfort",""),
    IF(_xlfn.XLOOKUP(B132,'Base stats'!B:B,'Base stats'!AE:AE)&lt;&gt;"No",_xlfn.XLOOKUP(B132,'Base stats'!B:B,'Base stats'!AE:AE),"")
  )
)</f>
        <v>AttackTarget</v>
      </c>
      <c r="BQ132" s="25">
        <f>IF(
   AND(
      'Base stats'!AN132="Standard",_xlfn.XLOOKUP(_xlfn.XLOOKUP(B132,'Base stats'!B:B,'Base stats'!E:E),Groups!A:A,Groups!AU:AU)=0,
      OR(
      BO132="True"
      )
   ),
   10,
   IF(
       OR(BM132&lt;&gt;"No",_xlfn.XLOOKUP(_xlfn.XLOOKUP(B132,'Base stats'!B:B,'Base stats'!E:E),Groups!A:A,Groups!AU:AU)=1),
      1,
      "No"
   )
)</f>
        <v>10</v>
      </c>
      <c r="BR132" s="9">
        <f>MROUND((1 + ((0.2*IF(OR(Q132="No",R132="No",R132=0),0,Q132/R132)
+IF(OR(V132="No",S132="No",T132="No"),0,S132/T132*(LEN(V132)-LEN(SUBSTITUTE(V132,",",""))+1))
+IF(OR(X132="No",Y132="No"),0,X132/Y132)
+IF(OR(AD132="No",AE132="No"),0,AD132/AE132)
+IF(OR(AL132="No",AI132="No",AJ132="No"),0,AI132/AJ132*(LEN(AL132)-LEN(SUBSTITUTE(AL132,",",""))+1))
)/(0.2*IF(OR(Q132="No",R132="No",R132=0),0,1)
+IF(OR(V132="No",S132="No",T132="No"),0,LEN(V132)-LEN(SUBSTITUTE(V132,",",""))+1)
+IF(OR(X132="No",Y132="No"),0,1)
+IF(OR(AD132="No",AE132="No"),0,1)
+IF(OR(AL132="No",AI132="No",AJ132="No"),0,LEN(AL132)-LEN(SUBSTITUTE(AL132,",",""))+1))*62%)* 2)*(1 + (AP132 / (IF(_xlfn.XLOOKUP(_xlfn.XLOOKUP(B132,'Base stats'!B:B,'Base stats'!E:E),Groups!A:A,Groups!AJ:AJ)="Photonozoa",0.3,1)) + _xlfn.XLOOKUP(B132,'Base stats'!B:B,'Base stats'!AV:AV) * 1.8) * 2) * 2.5 + 10 + I132 * 2,5)+IF(_xlfn.XLOOKUP(B132,'Base stats'!B:B,'Base stats'!AK:AK)=1,50,0)</f>
        <v>145</v>
      </c>
      <c r="BS132" s="8">
        <f t="shared" si="19"/>
        <v>0.70000000000000007</v>
      </c>
      <c r="BT132" s="8" t="str">
        <f>_xlfn.XLOOKUP(B132,'Base stats'!B:B,'Base stats'!AF:AF)</f>
        <v>No</v>
      </c>
      <c r="BU132" s="2" t="str">
        <f>IF(AND(J132&lt;=0.95,OR(_xlfn.XLOOKUP(B132,'Base stats'!B:B,'Base stats'!AK:AK)=1,_xlfn.XLOOKUP(B132,'Base stats'!B:B,'Base stats'!Y:Y)="Carnivore",_xlfn.XLOOKUP(B132,'Base stats'!B:B,'Base stats'!Y:Y)="Omnivore",BE132&gt;0.1)),"true","false")</f>
        <v>true</v>
      </c>
      <c r="BV132" s="2" t="str">
        <f>IF(_xlfn.XLOOKUP(B132,'Base stats'!B:B,'Base stats'!AI:AI)=1,"true","false")</f>
        <v>false</v>
      </c>
      <c r="BW132" s="25" t="str">
        <f>IF(E132="BaseInsect","AnimalInsect",
IF(J132&gt;0.95,"AnimalExotic",
_xlfn.TEXTJOIN(", ",TRUE,
IF(OR(_xlfn.XLOOKUP(B132,'Base stats'!B:B,'Base stats'!AM:AM)=1,AND(_xlfn.XLOOKUP(B132,'Base stats'!B:B,'Base stats'!O:O)=0,_xlfn.XLOOKUP(_xlfn.XLOOKUP(B132,'Base stats'!B:B,'Base stats'!E:E),Groups!A:A,Groups!B:B)&gt;0)),"AnimalUncommon","AnimalCommon"),
IF(AND(_xlfn.XLOOKUP(B132,'Base stats'!B:B,'Base stats'!O:O)=2,_xlfn.XLOOKUP(_xlfn.XLOOKUP(B132,'Base stats'!B:B,'Base stats'!E:E),Groups!A:A,Groups!D:D)=0),"AnimalPet",IF(AND(_xlfn.XLOOKUP(B132,'Base stats'!B:B,'Base stats'!O:O)&lt;&gt;0,_xlfn.XLOOKUP(_xlfn.XLOOKUP(B132,'Base stats'!B:B,'Base stats'!E:E),Groups!A:A,Groups!D:D)&lt;&gt;0),"AnimalFarm","")),
IF(OR(_xlfn.XLOOKUP(B132,'Base stats'!B:B,'Base stats'!AK:AK)=1,AND(BI132&lt;&gt;"None",BR132&gt;=60),ISNUMBER(SEARCH("Attack target",BP132))),"AnimalFighter","")
)))</f>
        <v>AnimalUncommon, AnimalFighter</v>
      </c>
      <c r="BX132" s="25" t="str">
        <f>IF(G132="None",TRIM(
SUBSTITUTE(
IF(COUNTIF(Biomes!B$2:B$259,"="&amp;$C132)&gt;0,Biomes!B$1&amp;", ","")&amp;
IF(COUNTIF(Biomes!C$2:C$259,"="&amp;$C132)&gt;0,Biomes!C$1&amp;", ","")&amp;
IF(COUNTIF(Biomes!D$2:D$259,"="&amp;$C132)&gt;0,Biomes!D$1&amp;", ","")&amp;
IF(COUNTIF(Biomes!F$2:F$259,"="&amp;$C132)&gt;0,Biomes!F$1&amp;", ","")&amp;
IF(COUNTIF(Biomes!G$2:G$259,"="&amp;$C132)&gt;0,Biomes!G$1&amp;", ","")&amp;
IF(COUNTIF(Biomes!H$2:H$259,"="&amp;$C132)&gt;0,Biomes!H$1&amp;", ","")&amp;
IF(COUNTIF(Biomes!I$2:I$259,"="&amp;$C132)&gt;0,Biomes!I$1&amp;", ","")&amp;
IF(COUNTIF(Biomes!J$2:J$259,"="&amp;$C132)&gt;0,Biomes!J$1&amp;", ","")&amp;
IF(COUNTIF(Biomes!M$2:M$259,"="&amp;$C132)&gt;0,Biomes!M$1&amp;", ","")&amp;
IF(COUNTIF(Biomes!N$2:N$259,"="&amp;$C132)&gt;0,Biomes!N$1&amp;", ","")&amp;
IF(COUNTIF(Biomes!O$2:O$259,"="&amp;$C132)&gt;0,Biomes!O$1&amp;", ","")&amp;
IF(COUNTIF(Biomes!P$2:P$259,"="&amp;$C132)&gt;0,Biomes!P$1&amp;", ","")&amp;
IF(COUNTIF(Biomes!K$2:K$259,"="&amp;$C132)&gt;0,Biomes!K$1&amp;", ","")&amp;
IF(COUNTIF(Biomes!Q$3:Q$259,"="&amp;$C132)&gt;0,Biomes!Q$1&amp;", ","")&amp;
IF(COUNTIF(Biomes!L$2:L$259,"="&amp;$C132)&gt;0,Biomes!L$1&amp;", ","")&amp;
IF(COUNTIF(Biomes!E$2:E$259,"="&amp;$C132)&gt;0,Biomes!E$1&amp;", ","")&amp;IF(COUNTIF(Biomes!S$2:S$259,"="&amp;$C132)&gt;0,Biomes!S$1&amp;", ","")&amp;
IF(COUNTIF(Biomes!R$2:R$259,"="&amp;$C132)&gt;0,Biomes!R$1&amp;", ",""),", ","")
),_xlfn.XLOOKUP(B132,B:B,BX:BX))</f>
        <v>TropicalRainforest TropicalSwamp Glowforest</v>
      </c>
      <c r="BY132" s="25" t="str">
        <f>IF(_xlfn.XLOOKUP(B132,'Base stats'!B:B,'Base stats'!AJ:AJ)=1,"true","false")</f>
        <v>false</v>
      </c>
      <c r="BZ132" s="25">
        <f>IF(_xlfn.XLOOKUP(B132,'Base stats'!B:B,'Base stats'!N:N)=1,"No",MAX(0.001,MIN(MROUND(IF(AND(BJ132="True",CC132="False"),POWER(10,3.47*LOG10(_xlfn.XLOOKUP(B132,'Base stats'!B:B,'Base stats'!C:C)*1000)^-0.96),POWER(10,4.15*LOG10(_xlfn.XLOOKUP(B132,'Base stats'!B:B,'Base stats'!C:C)*1000)^-0.73))*IF(_xlfn.XLOOKUP(B132,'Base stats'!B:B,'Base stats'!AK:AK)=1,0.5,1)*IF(_xlfn.XLOOKUP(B132,'Base stats'!B:B,'Base stats'!AM:AM)=1,0.1,1)/100,IF(_xlfn.XLOOKUP(B132,'Base stats'!B:B,'Base stats'!AM:AM)=1,0.001,0.025)),0.5)))</f>
        <v>0.05</v>
      </c>
      <c r="CA132" s="25" t="str">
        <f>IF(P132="Standard","No",MAX(0.001,MIN(MROUND(IF(AND(BJ132="True",CC132="False"),POWER(10,3.47*LOG10(_xlfn.XLOOKUP(B132,'Base stats'!B:B,'Base stats'!C:C)*1000)^-0.96),POWER(10,4.15*LOG10(_xlfn.XLOOKUP(B132,'Base stats'!B:B,'Base stats'!C:C)*1000)^-0.73))*IF(_xlfn.XLOOKUP(B132,'Base stats'!B:B,'Base stats'!AM:AM)=1,0.1,1)*_xlfn.XLOOKUP(B132,'Base stats'!B:B,'Base stats'!R:R)/100,IF(_xlfn.XLOOKUP(B132,'Base stats'!B:B,'Base stats'!AM:AM)=1,0.001,0.025)),0.5)))</f>
        <v>No</v>
      </c>
      <c r="CB132" s="25" t="str">
        <f>IF(_xlfn.XLOOKUP(_xlfn.XLOOKUP(B132,'Base stats'!B:B,'Base stats'!E:E),Groups!A:A,Groups!AJ:AJ)="Mammal","True","False")</f>
        <v>True</v>
      </c>
      <c r="CC132" s="25" t="str">
        <f>IF(OR(_xlfn.XLOOKUP(_xlfn.XLOOKUP(B132,'Base stats'!B:B,'Base stats'!E:E),Groups!A:A,Groups!AJ:AJ)="Reptile",_xlfn.XLOOKUP(_xlfn.XLOOKUP(B132,'Base stats'!B:B,'Base stats'!E:E),Groups!A:A,Groups!AJ:AJ)="Amphibian",_xlfn.XLOOKUP(_xlfn.XLOOKUP(B132,'Base stats'!B:B,'Base stats'!E:E),Groups!A:A,Groups!AJ:AJ)="Invertebrate"),"True","False")</f>
        <v>False</v>
      </c>
      <c r="CD132" s="25" t="str">
        <f t="shared" si="20"/>
        <v>False</v>
      </c>
      <c r="CE132" s="25" t="str">
        <f>IF(_xlfn.XLOOKUP(_xlfn.XLOOKUP(B132,'Base stats'!B:B,'Base stats'!E:E),Groups!A:A,Groups!AX:AX),"True","False")</f>
        <v>False</v>
      </c>
      <c r="CF132" s="25" t="str">
        <f>IF(_xlfn.XLOOKUP(_xlfn.XLOOKUP(B132,'Base stats'!B:B,'Base stats'!E:E),Groups!A:A,Groups!AY:AY),"True","False")</f>
        <v>False</v>
      </c>
      <c r="CG132" s="25" t="str">
        <f>IF(_xlfn.XLOOKUP(_xlfn.XLOOKUP(B132,'Base stats'!B:B,'Base stats'!E:E),Groups!A:A,Groups!AW:AW),"True","False")</f>
        <v>False</v>
      </c>
      <c r="CH132" s="25" t="str">
        <f>IF(
OR(
_xlfn.XLOOKUP(_xlfn.XLOOKUP(B132,'Base stats'!B:B,'Base stats'!E:E),Groups!A:A,Groups!AZ:AZ)=0,
AND(
_xlfn.XLOOKUP(B132,'Base stats'!B:B,'Base stats'!Y:Y)&lt;&gt;"Carnivore",
_xlfn.XLOOKUP(B132,'Base stats'!B:B,'Base stats'!Y:Y)&lt;&gt;"Omnivore",
_xlfn.XLOOKUP(B132,'Base stats'!B:B,'Base stats'!Y:Y)&lt;&gt;"OmnivoreRough"
)
),
"No",
IF(
_xlfn.XLOOKUP(_xlfn.XLOOKUP(B132,'Base stats'!B:B,'Base stats'!E:E),Groups!A:A,Groups!AZ:AZ)=1,
"Flesh",
IF(
_xlfn.XLOOKUP(_xlfn.XLOOKUP(B132,'Base stats'!B:B,'Base stats'!E:E),Groups!A:A,Groups!AZ:AZ)=2,
"Bone",
""
)
)
)</f>
        <v>No</v>
      </c>
      <c r="CI132" s="25" t="str">
        <f>IF(_xlfn.XLOOKUP(_xlfn.XLOOKUP(B132,'Base stats'!B:B,'Base stats'!E:E),Groups!A:A,Groups!BB:BB),"True","False")</f>
        <v>True</v>
      </c>
      <c r="CJ132" s="25" t="str">
        <f>IF(_xlfn.XLOOKUP(_xlfn.XLOOKUP(B132,'Base stats'!B:B,'Base stats'!E:E),Groups!A:A,Groups!BA:BA),"True","False")</f>
        <v>False</v>
      </c>
    </row>
    <row r="133" spans="1:88" ht="16.5" thickTop="1" thickBot="1" x14ac:dyDescent="0.3">
      <c r="A133" s="26" t="str">
        <f>_xlfn.XLOOKUP(B133,'Base stats'!B:B,'Base stats'!A:A)</f>
        <v>Lemur</v>
      </c>
      <c r="B133" s="6" t="s">
        <v>247</v>
      </c>
      <c r="C133" s="28" t="s">
        <v>814</v>
      </c>
      <c r="D133" s="28" t="s">
        <v>872</v>
      </c>
      <c r="E133" s="28" t="s">
        <v>673</v>
      </c>
      <c r="F133" s="28" t="s">
        <v>673</v>
      </c>
      <c r="G133" s="28" t="s">
        <v>673</v>
      </c>
      <c r="H133" s="2">
        <f>MROUND((
  (IF(AND(_xlfn.XLOOKUP(B133,'Base stats'!B:B,'Base stats'!AL:AL)=0,BI133="None",_xlfn.XLOOKUP(_xlfn.XLOOKUP(B133,'Base stats'!B:B,'Base stats'!E:E),Groups!A:A,Groups!B:B)=0), (18 + BR133 * 2.7) * 0.5,
    IF(AND(_xlfn.XLOOKUP(B133,'Base stats'!B:B,'Base stats'!AL:AL)=0,OR(AO133&lt;0.55,AND(BI133="Intermediate",_xlfn.XLOOKUP(_xlfn.XLOOKUP(B133,'Base stats'!B:B,'Base stats'!E:E),Groups!A:A,Groups!B:B)&lt;2))), (18 + BR133 * 2.7),
      IF(OR(BI133="Advanced",_xlfn.XLOOKUP(B133,'Base stats'!B:B,'Base stats'!AL:AL)=1,_xlfn.XLOOKUP(_xlfn.XLOOKUP(B133,'Base stats'!B:B,'Base stats'!E:E),Groups!A:A,Groups!B:B)=2), (18 + BR133 * 2.7) + 250, (18 + BR133 * 2.7))
    )
  ))
  + AO133 * 80
  + IF(COUNTIF(EggMilk!K$2:K$998, A133) &gt; 0, 125, 0)
  + IF(COUNTIF(EggMilk!P$2:P$998, A133) &gt; 0, 90, 0)
  + IF(COUNTIF(EggMilk!A$2:A$998, A133) &gt; 0, 90, 0)
)
* (0.8 + 0.4 * J133)
* 0.75,25)</f>
        <v>100</v>
      </c>
      <c r="I133" s="2">
        <f>MROUND(ROUNDDOWN(_xlfn.XLOOKUP(B133,'Base stats'!B:B,'Base stats'!L:L)/3.6/(23.3/11),1),0.5)</f>
        <v>3.5</v>
      </c>
      <c r="J133" s="2">
        <f>IF(OR(_xlfn.XLOOKUP(B133,'Base stats'!B:B,'Base stats'!AB:AB)=1,_xlfn.XLOOKUP(_xlfn.XLOOKUP(B133,'Base stats'!B:B,'Base stats'!E:E),Groups!A:A,Groups!C:C)="Untamable"),1,IF(_xlfn.XLOOKUP(B133,'Base stats'!B:B,'Base stats'!AL:AL)=1,0.99,MIN(MROUND((1-0.6282*EXP(-0.459*AO133))*_xlfn.XLOOKUP(_xlfn.XLOOKUP(B133,'Base stats'!B:B,'Base stats'!E:E),Groups!A:A,Groups!C:C)*IF(_xlfn.XLOOKUP(B133,'Base stats'!B:B,'Base stats'!O:O)=1,0.5,IF(_xlfn.XLOOKUP(B133,'Base stats'!B:B,'Base stats'!O:O)=2,0,1)),0.05),IF(AO133&gt;3.5,0.985,0.95))))</f>
        <v>0.55000000000000004</v>
      </c>
      <c r="K133" s="2">
        <f>ROUNDUP(AO133*_xlfn.XLOOKUP(_xlfn.XLOOKUP(B133,'Base stats'!B:B,'Base stats'!E:E),Groups!A:A,Groups!E:E),0)</f>
        <v>1</v>
      </c>
      <c r="L133" s="2">
        <f>IF(OR(_xlfn.XLOOKUP(_xlfn.XLOOKUP(B133,'Base stats'!B:B,'Base stats'!E:E),Groups!A:A,Groups!F:F)=2,ISNUMBER(SEARCH("SeaIce",BX133)),ISNUMBER(SEARCH("IceSheet",BX133))),-50,IF(OR(ISNUMBER(SEARCH("GlacialPlain",BX133)),ISNUMBER(SEARCH("Tundra",BX133))),-40,IF(OR(ISNUMBER(SEARCH("Alpine",BX133)),ISNUMBER(SEARCH("BorealForest",BX133)),ISNUMBER(SEARCH("ColdBog",BX133))),-30,IF(OR(ISNUMBER(SEARCH("TemperateForest",BX133)),ISNUMBER(SEARCH("TemperateSwamp",BX133))),-20,IF(_xlfn.XLOOKUP(_xlfn.XLOOKUP(B133,'Base stats'!B:B,'Base stats'!E:E),Groups!A:A,Groups!F:F)=1,-15,IF(OR(ISNUMBER(SEARCH("Desert",BX133)),ISNUMBER(SEARCH("ExtremeDesert",BX133))),-10,IF(OR(ISNUMBER(SEARCH("Grasslands",BX133)),ISNUMBER(SEARCH("TropicalRainforest",BX133)),ISNUMBER(SEARCH("TropicalSwamp",BX133))),10,0)))))))-IF(CC133="False",MIN(IFERROR(MAX(MROUND(LOG10(_xlfn.XLOOKUP(B133,'Base stats'!B:B,'Base stats'!C:C)^(2/3))*10,5),5),5),30))-_xlfn.XLOOKUP(B133,'Base stats'!B:B,'Base stats'!P:P)+IF(CC133="True",5,0)</f>
        <v>5</v>
      </c>
      <c r="M133" s="2">
        <f>IF(OR(_xlfn.XLOOKUP(_xlfn.XLOOKUP(B133,'Base stats'!B:B,'Base stats'!E:E),Groups!A:A,Groups!G:G)=2,ISNUMBER(SEARCH("Desert",BX133)),ISNUMBER(SEARCH("ExtremeDesert",BX133)),ISNUMBER(SEARCH("LavaField",BX133))),50,IF(ISNUMBER(SEARCH("Grasslands",BX133)),45,IF(OR(_xlfn.XLOOKUP(_xlfn.XLOOKUP(B133,'Base stats'!B:B,'Base stats'!E:E),Groups!A:A,Groups!G:G)=1,ISNUMBER(SEARCH("TropicalRainforest",BX133)),ISNUMBER(SEARCH("TropicalSwamp",BX133))),40,IF(OR(ISNUMBER(SEARCH("TemperateForest",BX133)),ISNUMBER(SEARCH("TemperateSwamp",BX133))),35,IF(OR(ISNUMBER(SEARCH("Alpine",BX133)),ISNUMBER(SEARCH("BorealForest",BX133)),ISNUMBER(SEARCH("ColdBog",BX133))),30,IF(ISNUMBER(OR(ISNUMBER(SEARCH("GlacialPlain",BX133)),SEARCH("Tundra",BX133))),25,IF(OR(ISNUMBER(SEARCH("SeaIce",BX133)),ISNUMBER(SEARCH("IceSheet",BX133)),ISNUMBER(SEARCH("TropicalSwamp",BX133))),10,35)))))))+_xlfn.XLOOKUP(B133,'Base stats'!B:B,'Base stats'!Q:Q)</f>
        <v>40</v>
      </c>
      <c r="N133" s="8" t="str">
        <f>IF(
_xlfn.XLOOKUP(
_xlfn.XLOOKUP(B133,'Base stats'!B:B,'Base stats'!E:E),
Groups!A:A,
Groups!L:L
)=1,
MIN(
MROUND(
IF(
_xlfn.XLOOKUP(B133,'Animals CE'!B:B,'Animals CE'!Z:Z)&lt;=1.5,
_xlfn.XLOOKUP(B133,'Animals CE'!B:B,'Animals CE'!Z:Z)/2+0.05,
0.8+
(_xlfn.XLOOKUP(B133,'Animals CE'!B:B,'Animals CE'!Z:Z)-1.5)
*0.02
),
0.05
),
200%
),
"No"
)</f>
        <v>No</v>
      </c>
      <c r="O133" s="8" t="str">
        <f>IF(
_xlfn.XLOOKUP(
_xlfn.XLOOKUP(B133,'Base stats'!B:B,'Base stats'!E:E),
Groups!A:A,
Groups!L:L
)=1,
MIN(
MROUND(
IF(
_xlfn.XLOOKUP(B133,'Animals CE'!B:B,'Animals CE'!AA:AA)&lt;=1.5,
_xlfn.XLOOKUP(B133,'Animals CE'!B:B,'Animals CE'!AA:AA)/2+0.05,
0.8+
(_xlfn.XLOOKUP(B133,'Animals CE'!B:B,'Animals CE'!AA:AA)-1.5)
*0.02
),
0.05
),
200%
),
"No"
)</f>
        <v>No</v>
      </c>
      <c r="P133" s="2" t="str">
        <f>_xlfn.XLOOKUP(B133,'Base stats'!B:B,'Base stats'!R:R)</f>
        <v>Standard</v>
      </c>
      <c r="Q133" s="13">
        <f>MROUND((LOG10(_xlfn.XLOOKUP(B133,'Base stats'!B:B,'Base stats'!AR:AR))*(AO133^0.5)+(_xlfn.XLOOKUP(B133,'Base stats'!B:B,'Base stats'!AR:AR)/1000)^(2/3)+_xlfn.XLOOKUP(B133,'Base stats'!B:B,'Base stats'!BA:BA)/2)+0.5,0.5)</f>
        <v>2</v>
      </c>
      <c r="R133" s="7">
        <f>IF(Q133="No","No",MAX(1,MROUND(_xlfn.XLOOKUP(B133,'Base stats'!B:B,'Base stats'!C:C)^0.165,0.05)))</f>
        <v>1.1500000000000001</v>
      </c>
      <c r="S133" s="13" t="str">
        <f>IF(_xlfn.XLOOKUP(_xlfn.XLOOKUP(B133,'Base stats'!B:B,'Base stats'!E:E),Groups!A:A,Groups!P:P)=0,"No",MROUND((LOG10(_xlfn.XLOOKUP(B133,'Base stats'!B:B,'Base stats'!AS:AS))*(AO133^0.5)+(_xlfn.XLOOKUP(B133,'Base stats'!B:B,'Base stats'!AS:AS)/1000)^(2/3)+_xlfn.XLOOKUP(B133,'Base stats'!B:B,'Base stats'!BA:BA))+_xlfn.XLOOKUP(B133,'Base stats'!B:B,'Base stats'!AY:AY)+0.5,0.5))</f>
        <v>No</v>
      </c>
      <c r="T133" s="7" t="str">
        <f>IF(S133="No","No",MAX(_xlfn.XLOOKUP(_xlfn.XLOOKUP(B133,'Base stats'!B:B,'Base stats'!E:E),Groups!A:A,Groups!Q:Q),MROUND(_xlfn.XLOOKUP(_xlfn.XLOOKUP(B133,'Base stats'!B:B,'Base stats'!E:E),Groups!A:A,Groups!Q:Q)*_xlfn.XLOOKUP(B133,'Base stats'!B:B,'Base stats'!C:C)^0.165,0.05)))</f>
        <v>No</v>
      </c>
      <c r="U133" s="7" t="str">
        <f>IF(S133="No","No",_xlfn.XLOOKUP(_xlfn.XLOOKUP(B133,'Base stats'!B:B,'Base stats'!E:E),Groups!A:A,Groups!R:R))</f>
        <v>No</v>
      </c>
      <c r="V133" s="7" t="str">
        <f>IF(S133="No","No",_xlfn.XLOOKUP(_xlfn.XLOOKUP(B133,'Base stats'!B:B,'Base stats'!E:E),Groups!A:A,Groups!S:S))</f>
        <v>No</v>
      </c>
      <c r="W133" s="7" t="str">
        <f>IF(S133="No","No",_xlfn.XLOOKUP(_xlfn.XLOOKUP(B133,'Base stats'!B:B,'Base stats'!E:E),Groups!A:A,Groups!T:T))</f>
        <v>No</v>
      </c>
      <c r="X133" s="13" t="str">
        <f>IF(_xlfn.XLOOKUP(B133,'Base stats'!B:B,'Base stats'!W:W)="No","No",MROUND((LOG10(_xlfn.XLOOKUP(B133,'Base stats'!B:B,'Base stats'!AU:AU))*(AO133^0.5)+(_xlfn.XLOOKUP(B133,'Base stats'!B:B,'Base stats'!AU:AU)/1000)^(2/3)+_xlfn.XLOOKUP(B133,'Base stats'!B:B,'Base stats'!AZ:AZ))+0.5+IF(_xlfn.XLOOKUP(_xlfn.XLOOKUP(B133,'Base stats'!B:B,'Base stats'!E:E),Groups!A:A,Groups!U:U)&lt;&gt;3,_xlfn.XLOOKUP(B133,'Base stats'!B:B,'Base stats'!BA:BA),0),0.5))</f>
        <v>No</v>
      </c>
      <c r="Y133" s="7" t="str">
        <f>IF(X133="No","No",MAX(_xlfn.XLOOKUP(_xlfn.XLOOKUP(B133,'Base stats'!B:B,'Base stats'!E:E),Groups!A:A,Groups!V:V),MROUND(_xlfn.XLOOKUP(_xlfn.XLOOKUP(B133,'Base stats'!B:B,'Base stats'!E:E),Groups!A:A,Groups!V:V)*_xlfn.XLOOKUP(B133,'Base stats'!B:B,'Base stats'!C:C)^0.165,0.05)))</f>
        <v>No</v>
      </c>
      <c r="Z133" s="7" t="str">
        <f>IF(X133="No","No",_xlfn.XLOOKUP(_xlfn.XLOOKUP(B133,'Base stats'!B:B,'Base stats'!E:E),Groups!A:A,Groups!W:W))</f>
        <v>No</v>
      </c>
      <c r="AA133" s="7" t="str">
        <f>IF(X133="No","No",_xlfn.XLOOKUP(_xlfn.XLOOKUP(B133,'Base stats'!B:B,'Base stats'!E:E),Groups!A:A,Groups!X:X))</f>
        <v>No</v>
      </c>
      <c r="AB133" s="7" t="str">
        <f>IF(X133="No","No",_xlfn.XLOOKUP(_xlfn.XLOOKUP(B133,'Base stats'!B:B,'Base stats'!E:E),Groups!A:A,Groups!Y:Y))</f>
        <v>No</v>
      </c>
      <c r="AC133" s="7" t="str">
        <f>_xlfn.XLOOKUP(Animals!B133,'Base stats'!B:B,'Base stats'!X:X)</f>
        <v>False</v>
      </c>
      <c r="AD133" s="13">
        <f>IF(_xlfn.XLOOKUP(B133,'Base stats'!B:B,'Base stats'!AT:AT)="No","No",MROUND((LOG10(_xlfn.XLOOKUP(B133,'Base stats'!B:B,'Base stats'!AT:AT))*(AO133^0.75)+(_xlfn.XLOOKUP(B133,'Base stats'!B:B,'Base stats'!AT:AT)/1000)^(2/3)+_xlfn.XLOOKUP(B133,'Base stats'!B:B,'Base stats'!AX:AX)+_xlfn.XLOOKUP(B133,'Base stats'!B:B,'Base stats'!BA:BA))+0.5,0.5))</f>
        <v>2.5</v>
      </c>
      <c r="AE133" s="7">
        <f>IF(AD133="No","No",MAX(_xlfn.XLOOKUP(_xlfn.XLOOKUP(B133,'Base stats'!B:B,'Base stats'!E:E),Groups!A:A,Groups!Z:Z),MROUND(_xlfn.XLOOKUP(_xlfn.XLOOKUP(B133,'Base stats'!B:B,'Base stats'!E:E),Groups!A:A,Groups!Z:Z)*_xlfn.XLOOKUP(B133,'Base stats'!B:B,'Base stats'!C:C)^0.165,0.05)))</f>
        <v>1</v>
      </c>
      <c r="AF133" s="7" t="str">
        <f>IF(AD133="No","No",_xlfn.XLOOKUP(_xlfn.XLOOKUP(B133,'Base stats'!B:B,'Base stats'!E:E),Groups!A:A,Groups!AA:AA))</f>
        <v>Teeth</v>
      </c>
      <c r="AG133" s="7" t="str">
        <f>IF(AD133="No","No",_xlfn.XLOOKUP(_xlfn.XLOOKUP(B133,'Base stats'!B:B,'Base stats'!E:E),Groups!A:A,Groups!AB:AB))</f>
        <v>canines</v>
      </c>
      <c r="AH133" s="7" t="str">
        <f>IF(AD133="No","No",_xlfn.XLOOKUP(_xlfn.XLOOKUP(B133,'Base stats'!B:B,'Base stats'!E:E),Groups!A:A,Groups!AC:AC))</f>
        <v>Bite</v>
      </c>
      <c r="AI133" s="13">
        <f>IF(_xlfn.XLOOKUP(_xlfn.XLOOKUP(B133,'Base stats'!B:B,'Base stats'!E:E),Groups!A:A,Groups!AD:AD)=0,"No",MROUND((LOG10(_xlfn.XLOOKUP(B133,'Base stats'!B:B,'Base stats'!AS:AS))*(AO133^0.75)+(_xlfn.XLOOKUP(B133,'Base stats'!B:B,'Base stats'!AS:AS)/1000)^(2/3)+_xlfn.XLOOKUP(B133,'Base stats'!B:B,'Base stats'!AY:AY)+_xlfn.XLOOKUP(B133,'Base stats'!B:B,'Base stats'!BA:BA))+0.5,0.5))</f>
        <v>2.5</v>
      </c>
      <c r="AJ133" s="7">
        <f>IF(AI133="No","No",MAX(_xlfn.XLOOKUP(_xlfn.XLOOKUP(B133,'Base stats'!B:B,'Base stats'!E:E),Groups!A:A,Groups!AE:AE),MROUND(_xlfn.XLOOKUP(_xlfn.XLOOKUP(B133,'Base stats'!B:B,'Base stats'!E:E),Groups!A:A,Groups!AE:AE)*IF(_xlfn.XLOOKUP(_xlfn.XLOOKUP(B133,'Base stats'!B:B,'Base stats'!E:E),Groups!A:A,Groups!AJ:AJ)="Photonozoa",0.6,1)*_xlfn.XLOOKUP(B133,'Base stats'!B:B,'Base stats'!C:C)^0.165,0.05)))</f>
        <v>0.75</v>
      </c>
      <c r="AK133" s="7" t="str">
        <f>IF(AI133="No","No",_xlfn.XLOOKUP(_xlfn.XLOOKUP(B133,'Base stats'!B:B,'Base stats'!E:E),Groups!A:A,Groups!AF:AF))</f>
        <v>LeftHand, RightHand</v>
      </c>
      <c r="AL133" s="7" t="str">
        <f>IF(AI133="No","No",_xlfn.XLOOKUP(_xlfn.XLOOKUP(B133,'Base stats'!B:B,'Base stats'!E:E),Groups!A:A,Groups!AG:AG))</f>
        <v>left fist, right fist</v>
      </c>
      <c r="AM133" s="7" t="str">
        <f>IF(AI133="No","No",_xlfn.XLOOKUP(_xlfn.XLOOKUP(B133,'Base stats'!B:B,'Base stats'!E:E),Groups!A:A,Groups!AH:AH))</f>
        <v>Blunt</v>
      </c>
      <c r="AN133" s="2" t="str">
        <f t="shared" si="14"/>
        <v>No</v>
      </c>
      <c r="AO133" s="2">
        <f>MROUND(IF(AND(_xlfn.XLOOKUP(B133,'Base stats'!B:B,'Base stats'!C:C)&gt;=0.5,_xlfn.XLOOKUP(B133,'Base stats'!B:B,'Base stats'!C:C)&lt;=0.8),
IF(_xlfn.XLOOKUP(B133,'Base stats'!B:B,'Base stats'!C:C)&lt;0.1,0.05,IF(_xlfn.XLOOKUP(B133,'Base stats'!B:B,'Base stats'!C:C)&lt;=70,(_xlfn.XLOOKUP(B133,'Base stats'!B:B,'Base stats'!C:C)/70)^0.426489913056526,IF(_xlfn.XLOOKUP(B133,'Base stats'!B:B,'Base stats'!C:C)&lt;=400,(_xlfn.XLOOKUP(B133,'Base stats'!B:B,'Base stats'!C:C)/70)^0.572811455315093,IF(_xlfn.XLOOKUP(B133,'Base stats'!B:B,'Base stats'!C:C)&lt;=2000,2.71391647193063*(_xlfn.XLOOKUP(B133,'Base stats'!B:B,'Base stats'!C:C)/400)^0.252459582904293,3.74314280240376*(_xlfn.XLOOKUP(B133,'Base stats'!B:B,'Base stats'!C:C)/2000)^0.357012633876913)))),
IF(_xlfn.XLOOKUP(B133,'Base stats'!B:B,'Base stats'!C:C)&lt;0.1,0.05,IF(_xlfn.XLOOKUP(B133,'Base stats'!B:B,'Base stats'!C:C)&lt;0.4,0.1,IF(_xlfn.XLOOKUP(B133,'Base stats'!B:B,'Base stats'!C:C)&lt;=70,(_xlfn.XLOOKUP(B133,'Base stats'!B:B,'Base stats'!C:C)/70)^0.445823913056526,IF(_xlfn.XLOOKUP(B133,'Base stats'!B:B,'Base stats'!C:C)&lt;=400,(_xlfn.XLOOKUP(B133,'Base stats'!B:B,'Base stats'!C:C)/70)^0.572811455315093,IF(_xlfn.XLOOKUP(B133,'Base stats'!B:B,'Base stats'!C:C)&lt;=2000,2.71391647193063*(_xlfn.XLOOKUP(B133,'Base stats'!B:B,'Base stats'!C:C)/400)^0.252459582904293,3.74314280240376*(_xlfn.XLOOKUP(B133,'Base stats'!B:B,'Base stats'!C:C)/2000)^0.357012633876913)))))),
IF(_xlfn.XLOOKUP(B133,'Base stats'!B:B,'Base stats'!C:C)&lt;0.1,0.05,IF(_xlfn.XLOOKUP(B133,'Base stats'!B:B,'Base stats'!C:C)&lt;=100,0.05,IF(_xlfn.XLOOKUP(B133,'Base stats'!B:B,'Base stats'!C:C)&lt;=250,0.1,IF(_xlfn.XLOOKUP(B133,'Base stats'!B:B,'Base stats'!C:C)&lt;=4000,0.25,0.5)))))</f>
        <v>0.25</v>
      </c>
      <c r="AP133" s="8">
        <f>MROUND(AO133*_xlfn.XLOOKUP(_xlfn.XLOOKUP(B133,'Base stats'!B:B,'Base stats'!E:E),Groups!A:A,Groups!AI:AI)*_xlfn.XLOOKUP(B133,'Base stats'!B:B,'Base stats'!Z:Z),0.05)</f>
        <v>0.25</v>
      </c>
      <c r="AQ133" s="8">
        <f>MAX(0.01,MROUND(IF(CC133="True",0.196*(AO133*100*1000)^0.889,IF(_xlfn.XLOOKUP(_xlfn.XLOOKUP(B133,'Base stats'!B:B,'Base stats'!E:E),Groups!A:A,Groups!AJ:AJ)="Bird",10.5*(AO133*100*1000)^0.681,4.82*(AO133*100*1000)^0.734))/(4.82*(1*100*1000)^0.734)/IF(AO133&lt;3.5,2,IF(AO133=3.5,1.5,1.25))*(1+0.132282374779864/(AO133^0.994035016789033+0.00905238001496948)),0.05))</f>
        <v>0.25</v>
      </c>
      <c r="AR133" s="9">
        <f>IFERROR(MROUND(_xlfn.XLOOKUP(B133,'Base stats'!B:B,'Base stats'!H:H)/IF(_xlfn.XLOOKUP(B133,'Base stats'!B:B,'Base stats'!I:I)&lt;&gt;1,(122.5/70),1.2),IF(_xlfn.XLOOKUP(B133,'Base stats'!B:B,'Base stats'!H:H)&gt;=30,5,IF(_xlfn.XLOOKUP(B133,'Base stats'!B:B,'Base stats'!H:H)&gt;=15,3,IF(_xlfn.XLOOKUP(B133,'Base stats'!B:B,'Base stats'!H:H)&gt;=10,2,1)))),"Immortal")</f>
        <v>20</v>
      </c>
      <c r="AS133" s="35">
        <f>IFERROR(IF(OR(_xlfn.XLOOKUP(B133,'Base stats'!B:B,'Base stats'!F:F)="Atypical reproduction",_xlfn.XLOOKUP(B133,'Base stats'!B:B,'Base stats'!F:F)="Lay eggs"),"Lay eggs",MIN(20,MAX(5.5,ROUND(((_xlfn.XLOOKUP(B133,'Base stats'!B:B,'Base stats'!F:F)-25)*(14.5/615) + 5.5)*2,0)/2))),"Unknown")</f>
        <v>8</v>
      </c>
      <c r="AT133" s="8">
        <f>IF(_xlfn.XLOOKUP(B133,'Base stats'!B:B,'Base stats'!G:G)="Atypical reproduction","No",IFERROR(MAX(IF(_xlfn.XLOOKUP(B133,'Base stats'!B:B,'Base stats'!G:G)&lt;0.5,0.2,0.3),MROUND(_xlfn.XLOOKUP(B133,'Base stats'!B:B,'Base stats'!G:G)/(365/60),0.2)),"Unknown"))</f>
        <v>0.3</v>
      </c>
      <c r="AU133" s="8">
        <f t="shared" si="15"/>
        <v>0.15000000000000002</v>
      </c>
      <c r="AV133" s="8">
        <f>IFERROR(IFERROR(MROUND(_xlfn.XLOOKUP(B133,'Base stats'!B:B,'Base stats'!J:J),0.1),"Lay eggs"),"Cannot breed")</f>
        <v>1.1000000000000001</v>
      </c>
      <c r="AW133" s="2" t="str">
        <f t="shared" si="16"/>
        <v>true</v>
      </c>
      <c r="AX133" s="2" t="str">
        <f>IF(_xlfn.XLOOKUP(_xlfn.XLOOKUP(Animals!B133,'Base stats'!B:B,'Base stats'!E:E),Groups!A:A,Groups!AK:AK)=1,"true","false")</f>
        <v>false</v>
      </c>
      <c r="AY133" s="25" t="str">
        <f>IF(_xlfn.XLOOKUP(B133,'Base stats'!B:B,'Base stats'!Y:Y)="Liquor","Liquor, CarnivoreAnimalStrict",IF(AND(_xlfn.XLOOKUP(B133,'Base stats'!B:B,'Base stats'!Y:Y)="Carnivore",_xlfn.XLOOKUP(_xlfn.XLOOKUP(B133,'Base stats'!B:B,'Base stats'!E:E),Groups!A:A,Groups!AJ:AJ)="Photonozoa"),"CarnivoreAnimalStrict, OvivoreAnimal",IF(_xlfn.XLOOKUP(B133,'Base stats'!B:B,'Base stats'!Y:Y)="Carnivore","CarnivoreAnimal, OvivoreAnimal",IF(_xlfn.XLOOKUP(B133,'Base stats'!B:B,'Base stats'!Y:Y)="Dendrovore","VegetarianRoughAnimal, DendrovoreAnimal",IF(_xlfn.XLOOKUP(B133,'Base stats'!B:B,'Base stats'!Y:Y)="Herbivore","VegetarianRoughAnimal",IF(_xlfn.XLOOKUP(B133,'Base stats'!B:B,'Base stats'!Y:Y)="OmnivoreRough","OmnivoreRoughAnimal, OvivoreAnimal","OmnivoreAnimal, OvivoreAnimal"))))))</f>
        <v>OmnivoreRoughAnimal, OvivoreAnimal</v>
      </c>
      <c r="AZ133" s="2" t="str">
        <f>IF(_xlfn.XLOOKUP(_xlfn.XLOOKUP(B133,'Base stats'!B:B,'Base stats'!E:E),Groups!A:A,Groups!D:D)=1,MROUND((1-J133)*5+1,2)*IF(J133&lt;=0.4,2,1),"No")</f>
        <v>No</v>
      </c>
      <c r="BA133" s="2" t="str">
        <f>IF(AND(_xlfn.XLOOKUP(B133,'Base stats'!B:B,'Base stats'!AH:AH)="&lt;li&gt;Seal&lt;/li&gt;",G133="Odyssey"),"&lt;li&gt;AEXP_Seal&lt;/li&gt;",_xlfn.XLOOKUP(B133,'Base stats'!B:B,'Base stats'!AH:AH))</f>
        <v>&lt;li&gt;Monkey&lt;/li&gt;</v>
      </c>
      <c r="BB133" s="2" t="str">
        <f>_xlfn.XLOOKUP(B133,'Base stats'!B:B,'Base stats'!AG:AG)</f>
        <v>Leather_Light</v>
      </c>
      <c r="BC133" s="23" t="str">
        <f>_xlfn.XLOOKUP(_xlfn.XLOOKUP(B133,'Base stats'!B:B,'Base stats'!E:E),Groups!A:A,Groups!AL:AL)</f>
        <v>Monkey</v>
      </c>
      <c r="BD133" s="23">
        <f>MIN(1,MROUND(IF(AND(AO133&lt;0.5,_xlfn.XLOOKUP(B133,'Base stats'!B:B,'Base stats'!AA:AA)=0),0,IF(OR(_xlfn.XLOOKUP(Animals!B133,'Base stats'!B:B,'Base stats'!O:O)=2,_xlfn.XLOOKUP(_xlfn.XLOOKUP(B133,'Base stats'!B:B,'Base stats'!E:E),Groups!A:A,Groups!AN:AN)=0),0,_xlfn.XLOOKUP(_xlfn.XLOOKUP(B133,'Base stats'!B:B,'Base stats'!E:E),Groups!A:A,Groups!AN:AN)/IF(_xlfn.XLOOKUP(Animals!B133,'Base stats'!B:B,'Base stats'!O:O)=1,2,1)))+_xlfn.XLOOKUP(B133,'Base stats'!B:B,'Base stats'!AC:AC),0.005))</f>
        <v>0</v>
      </c>
      <c r="BE133" s="23">
        <f>MIN(1,MROUND(IF(AND(AO133&lt;0.5,_xlfn.XLOOKUP(B133,'Base stats'!B:B,'Base stats'!AA:AA)=0),0,IF(_xlfn.XLOOKUP(_xlfn.XLOOKUP(B133,'Base stats'!B:B,'Base stats'!E:E),Groups!A:A,Groups!AO:AO)=0,0,_xlfn.XLOOKUP(_xlfn.XLOOKUP(B133,'Base stats'!B:B,'Base stats'!E:E),Groups!A:A,Groups!AO:AO)/IF(_xlfn.XLOOKUP(Animals!B133,'Base stats'!B:B,'Base stats'!O:O)=2,3,1)))+_xlfn.XLOOKUP(B133,'Base stats'!B:B,'Base stats'!AD:AD),0.005))</f>
        <v>0</v>
      </c>
      <c r="BF133" s="2" t="str">
        <f>IF(J133&gt;0.3,"No",_xlfn.XLOOKUP(_xlfn.XLOOKUP(Animals!B133,'Base stats'!B:B,'Base stats'!E:E),Groups!A:A,Groups!AP:AP))</f>
        <v>No</v>
      </c>
      <c r="BG133" s="2">
        <f>IF(AND(J133&lt;=0.65,_xlfn.XLOOKUP(_xlfn.XLOOKUP(Animals!B133,'Base stats'!B:B,'Base stats'!E:E),Groups!A:A,Groups!AP:AP)&lt;&gt;"No",_xlfn.XLOOKUP(_xlfn.XLOOKUP(B133,'Base stats'!B:B,'Base stats'!E:E),Groups!A:A,Groups!D:D)=0),MROUND((80/3)*IF(_xlfn.XLOOKUP(B133,'Base stats'!B:B,'Base stats'!O:O)=2,0.2,AO133) + 24*(1-IF(BF133="No",0,BF133)) + 16/3, 12),"No")</f>
        <v>36</v>
      </c>
      <c r="BH133" s="2">
        <f>IF(AND(_xlfn.XLOOKUP(_xlfn.XLOOKUP(B133,'Base stats'!B:B,'Base stats'!E:E),Groups!A:A,Groups!AQ:AQ)=1,AO133&lt;=0.35),8,12)</f>
        <v>12</v>
      </c>
      <c r="BI133" s="2" t="str">
        <f>IF(_xlfn.XLOOKUP(_xlfn.XLOOKUP(B133,'Base stats'!B:B,'Base stats'!E:E),Groups!A:A,Groups!D:D)=0,_xlfn.XLOOKUP(_xlfn.XLOOKUP(B133,'Base stats'!B:B,'Base stats'!E:E),Groups!A:A,Groups!AR:AR),"None")</f>
        <v>Advanced</v>
      </c>
      <c r="BJ133" s="2" t="str">
        <f>IF(AND(_xlfn.XLOOKUP(_xlfn.XLOOKUP(B133,'Base stats'!B:B,'Base stats'!E:E),Groups!A:A,Groups!AS:AS)=1,OR(_xlfn.XLOOKUP(B133,'Base stats'!B:B,'Base stats'!Y:Y)="Carnivore",_xlfn.XLOOKUP(B133,'Base stats'!B:B,'Base stats'!Y:Y)="Omnivore")),"true","false")</f>
        <v>false</v>
      </c>
      <c r="BK133" s="2" t="str">
        <f>IF(BJ133="true",MROUND(IF(AND(AO133&gt;0.5,OR(_xlfn.XLOOKUP(_xlfn.XLOOKUP(B133,'Base stats'!B:B,'Base stats'!E:E),Groups!A:A,Groups!AJ:AJ)="Photonozoa",_xlfn.XLOOKUP(_xlfn.XLOOKUP(B133,'Base stats'!B:B,'Base stats'!E:E),Groups!A:A,Groups!AJ:AJ)="Mammal")),Animals!AO133*1.75*IF(AW133="true",1.5,1),IF(AO133&lt;0.5,Animals!AO133*0.5,Animals!AO133)),IF(AO133&gt;2,0.5,IF(AO133&gt;0.5,0.25,0.1))),"No")</f>
        <v>No</v>
      </c>
      <c r="BL133" s="2">
        <f t="shared" si="17"/>
        <v>1</v>
      </c>
      <c r="BM133" s="25" t="str">
        <f>IF(_xlfn.XLOOKUP(B133,'Base stats'!B:B,'Base stats'!AN:AN)="Standard","No",MROUND((_xlfn.XLOOKUP(B133,'Base stats'!B:B,'Base stats'!AN:AN)/3.6)/I133,0.1))</f>
        <v>No</v>
      </c>
      <c r="BN133" s="25" t="str">
        <f t="shared" si="18"/>
        <v>false</v>
      </c>
      <c r="BO133" s="25" t="str">
        <f>IF(AND(OR(_xlfn.XLOOKUP(B133,'Base stats'!B:B,'Base stats'!Y:Y)="Carnivore",_xlfn.XLOOKUP(B133,'Base stats'!B:B,'Base stats'!Y:Y)="Omnivore",_xlfn.XLOOKUP(B133,'Base stats'!B:B,'Base stats'!Y:Y)="OmnivoreRough"),_xlfn.XLOOKUP(_xlfn.XLOOKUP(B133,'Base stats'!B:B,'Base stats'!E:E),Groups!A:A,Groups!AT:AT)=1),"true","false")</f>
        <v>false</v>
      </c>
      <c r="BP133" s="25" t="str" cm="1">
        <f t="array" ref="BP133">IF(
  _xlfn.TEXTJOIN(", ",TRUE,
    IF(AND(BJ133="true",AO133&gt;0.5,BI133&lt;&gt;"None"),"AttackTarget",""),
    IF(AND(_xlfn.XLOOKUP(_xlfn.XLOOKUP(B133,'Base stats'!B:B,'Base stats'!E:E),Groups!A:A,Groups!AJ:AJ="Mammal"),OR(_xlfn.XLOOKUP(B133,'Base stats'!B:B,'Base stats'!Y:Y)="Omnivore",_xlfn.XLOOKUP(B133,'Base stats'!B:B,'Base stats'!Y:Y)="OmnivoreRough")),"Forage",""),
    IF(BG133&lt;=36,"Comfort",""),
    IF(_xlfn.XLOOKUP(B133,'Base stats'!B:B,'Base stats'!AE:AE)&lt;&gt;"No",_xlfn.XLOOKUP(B133,'Base stats'!B:B,'Base stats'!AE:AE),"")
  ) = "",
  "No",
  _xlfn.TEXTJOIN(", ",TRUE,
    IF(AND(BJ133="true",AO133&gt;0.5,BI133&lt;&gt;"None"),"AttackTarget",""),
    IF(AND(_xlfn.XLOOKUP(_xlfn.XLOOKUP(B133,'Base stats'!B:B,'Base stats'!E:E),Groups!A:A,Groups!AJ:AJ="Mammal"),OR(_xlfn.XLOOKUP(B133,'Base stats'!B:B,'Base stats'!Y:Y)="Omnivore",_xlfn.XLOOKUP(B133,'Base stats'!B:B,'Base stats'!Y:Y)="OmnivoreRough")),"Forage",""),
    IF(BG133&lt;=36,"Comfort",""),
    IF(_xlfn.XLOOKUP(B133,'Base stats'!B:B,'Base stats'!AE:AE)&lt;&gt;"No",_xlfn.XLOOKUP(B133,'Base stats'!B:B,'Base stats'!AE:AE),"")
  )
)</f>
        <v>Forage, Comfort</v>
      </c>
      <c r="BQ133" s="25" t="str">
        <f>IF(
   AND(
      'Base stats'!AN133="Standard",_xlfn.XLOOKUP(_xlfn.XLOOKUP(B133,'Base stats'!B:B,'Base stats'!E:E),Groups!A:A,Groups!AU:AU)=0,
      OR(
      BO133="True"
      )
   ),
   10,
   IF(
       OR(BM133&lt;&gt;"No",_xlfn.XLOOKUP(_xlfn.XLOOKUP(B133,'Base stats'!B:B,'Base stats'!E:E),Groups!A:A,Groups!AU:AU)=1),
      1,
      "No"
   )
)</f>
        <v>No</v>
      </c>
      <c r="BR133" s="9">
        <f>MROUND((1 + ((0.2*IF(OR(Q133="No",R133="No",R133=0),0,Q133/R133)
+IF(OR(V133="No",S133="No",T133="No"),0,S133/T133*(LEN(V133)-LEN(SUBSTITUTE(V133,",",""))+1))
+IF(OR(X133="No",Y133="No"),0,X133/Y133)
+IF(OR(AD133="No",AE133="No"),0,AD133/AE133)
+IF(OR(AL133="No",AI133="No",AJ133="No"),0,AI133/AJ133*(LEN(AL133)-LEN(SUBSTITUTE(AL133,",",""))+1))
)/(0.2*IF(OR(Q133="No",R133="No",R133=0),0,1)
+IF(OR(V133="No",S133="No",T133="No"),0,LEN(V133)-LEN(SUBSTITUTE(V133,",",""))+1)
+IF(OR(X133="No",Y133="No"),0,1)
+IF(OR(AD133="No",AE133="No"),0,1)
+IF(OR(AL133="No",AI133="No",AJ133="No"),0,LEN(AL133)-LEN(SUBSTITUTE(AL133,",",""))+1))*62%)* 2)*(1 + (AP133 / (IF(_xlfn.XLOOKUP(_xlfn.XLOOKUP(B133,'Base stats'!B:B,'Base stats'!E:E),Groups!A:A,Groups!AJ:AJ)="Photonozoa",0.3,1)) + _xlfn.XLOOKUP(B133,'Base stats'!B:B,'Base stats'!AV:AV) * 1.8) * 2) * 2.5 + 10 + I133 * 2,5)+IF(_xlfn.XLOOKUP(B133,'Base stats'!B:B,'Base stats'!AK:AK)=1,50,0)</f>
        <v>35</v>
      </c>
      <c r="BS133" s="8">
        <f t="shared" si="19"/>
        <v>0.25</v>
      </c>
      <c r="BT133" s="8" t="str">
        <f>_xlfn.XLOOKUP(B133,'Base stats'!B:B,'Base stats'!AF:AF)</f>
        <v>3~10</v>
      </c>
      <c r="BU133" s="2" t="str">
        <f>IF(AND(J133&lt;=0.95,OR(_xlfn.XLOOKUP(B133,'Base stats'!B:B,'Base stats'!AK:AK)=1,_xlfn.XLOOKUP(B133,'Base stats'!B:B,'Base stats'!Y:Y)="Carnivore",_xlfn.XLOOKUP(B133,'Base stats'!B:B,'Base stats'!Y:Y)="Omnivore",BE133&gt;0.1)),"true","false")</f>
        <v>false</v>
      </c>
      <c r="BV133" s="2" t="str">
        <f>IF(_xlfn.XLOOKUP(B133,'Base stats'!B:B,'Base stats'!AI:AI)=1,"true","false")</f>
        <v>false</v>
      </c>
      <c r="BW133" s="25" t="str">
        <f>IF(E133="BaseInsect","AnimalInsect",
IF(J133&gt;0.95,"AnimalExotic",
_xlfn.TEXTJOIN(", ",TRUE,
IF(OR(_xlfn.XLOOKUP(B133,'Base stats'!B:B,'Base stats'!AM:AM)=1,AND(_xlfn.XLOOKUP(B133,'Base stats'!B:B,'Base stats'!O:O)=0,_xlfn.XLOOKUP(_xlfn.XLOOKUP(B133,'Base stats'!B:B,'Base stats'!E:E),Groups!A:A,Groups!B:B)&gt;0)),"AnimalUncommon","AnimalCommon"),
IF(AND(_xlfn.XLOOKUP(B133,'Base stats'!B:B,'Base stats'!O:O)=2,_xlfn.XLOOKUP(_xlfn.XLOOKUP(B133,'Base stats'!B:B,'Base stats'!E:E),Groups!A:A,Groups!D:D)=0),"AnimalPet",IF(AND(_xlfn.XLOOKUP(B133,'Base stats'!B:B,'Base stats'!O:O)&lt;&gt;0,_xlfn.XLOOKUP(_xlfn.XLOOKUP(B133,'Base stats'!B:B,'Base stats'!E:E),Groups!A:A,Groups!D:D)&lt;&gt;0),"AnimalFarm","")),
IF(OR(_xlfn.XLOOKUP(B133,'Base stats'!B:B,'Base stats'!AK:AK)=1,AND(BI133&lt;&gt;"None",BR133&gt;=60),ISNUMBER(SEARCH("Attack target",BP133))),"AnimalFighter","")
)))</f>
        <v>AnimalUncommon</v>
      </c>
      <c r="BX133" s="25" t="str">
        <f>IF(G133="None",TRIM(
SUBSTITUTE(
IF(COUNTIF(Biomes!B$2:B$259,"="&amp;$C133)&gt;0,Biomes!B$1&amp;", ","")&amp;
IF(COUNTIF(Biomes!C$2:C$259,"="&amp;$C133)&gt;0,Biomes!C$1&amp;", ","")&amp;
IF(COUNTIF(Biomes!D$2:D$259,"="&amp;$C133)&gt;0,Biomes!D$1&amp;", ","")&amp;
IF(COUNTIF(Biomes!F$2:F$259,"="&amp;$C133)&gt;0,Biomes!F$1&amp;", ","")&amp;
IF(COUNTIF(Biomes!G$2:G$259,"="&amp;$C133)&gt;0,Biomes!G$1&amp;", ","")&amp;
IF(COUNTIF(Biomes!H$2:H$259,"="&amp;$C133)&gt;0,Biomes!H$1&amp;", ","")&amp;
IF(COUNTIF(Biomes!I$2:I$259,"="&amp;$C133)&gt;0,Biomes!I$1&amp;", ","")&amp;
IF(COUNTIF(Biomes!J$2:J$259,"="&amp;$C133)&gt;0,Biomes!J$1&amp;", ","")&amp;
IF(COUNTIF(Biomes!M$2:M$259,"="&amp;$C133)&gt;0,Biomes!M$1&amp;", ","")&amp;
IF(COUNTIF(Biomes!N$2:N$259,"="&amp;$C133)&gt;0,Biomes!N$1&amp;", ","")&amp;
IF(COUNTIF(Biomes!O$2:O$259,"="&amp;$C133)&gt;0,Biomes!O$1&amp;", ","")&amp;
IF(COUNTIF(Biomes!P$2:P$259,"="&amp;$C133)&gt;0,Biomes!P$1&amp;", ","")&amp;
IF(COUNTIF(Biomes!K$2:K$259,"="&amp;$C133)&gt;0,Biomes!K$1&amp;", ","")&amp;
IF(COUNTIF(Biomes!Q$3:Q$259,"="&amp;$C133)&gt;0,Biomes!Q$1&amp;", ","")&amp;
IF(COUNTIF(Biomes!L$2:L$259,"="&amp;$C133)&gt;0,Biomes!L$1&amp;", ","")&amp;
IF(COUNTIF(Biomes!E$2:E$259,"="&amp;$C133)&gt;0,Biomes!E$1&amp;", ","")&amp;IF(COUNTIF(Biomes!S$2:S$259,"="&amp;$C133)&gt;0,Biomes!S$1&amp;", ","")&amp;
IF(COUNTIF(Biomes!R$2:R$259,"="&amp;$C133)&gt;0,Biomes!R$1&amp;", ",""),", ","")
),_xlfn.XLOOKUP(B133,B:B,BX:BX))</f>
        <v>TropicalRainforest TropicalSwamp Glowforest</v>
      </c>
      <c r="BY133" s="25" t="str">
        <f>IF(_xlfn.XLOOKUP(B133,'Base stats'!B:B,'Base stats'!AJ:AJ)=1,"true","false")</f>
        <v>false</v>
      </c>
      <c r="BZ133" s="25">
        <f>IF(_xlfn.XLOOKUP(B133,'Base stats'!B:B,'Base stats'!N:N)=1,"No",MAX(0.001,MIN(MROUND(IF(AND(BJ133="True",CC133="False"),POWER(10,3.47*LOG10(_xlfn.XLOOKUP(B133,'Base stats'!B:B,'Base stats'!C:C)*1000)^-0.96),POWER(10,4.15*LOG10(_xlfn.XLOOKUP(B133,'Base stats'!B:B,'Base stats'!C:C)*1000)^-0.73))*IF(_xlfn.XLOOKUP(B133,'Base stats'!B:B,'Base stats'!AK:AK)=1,0.5,1)*IF(_xlfn.XLOOKUP(B133,'Base stats'!B:B,'Base stats'!AM:AM)=1,0.1,1)/100,IF(_xlfn.XLOOKUP(B133,'Base stats'!B:B,'Base stats'!AM:AM)=1,0.001,0.025)),0.5)))</f>
        <v>0.5</v>
      </c>
      <c r="CA133" s="25" t="str">
        <f>IF(P133="Standard","No",MAX(0.001,MIN(MROUND(IF(AND(BJ133="True",CC133="False"),POWER(10,3.47*LOG10(_xlfn.XLOOKUP(B133,'Base stats'!B:B,'Base stats'!C:C)*1000)^-0.96),POWER(10,4.15*LOG10(_xlfn.XLOOKUP(B133,'Base stats'!B:B,'Base stats'!C:C)*1000)^-0.73))*IF(_xlfn.XLOOKUP(B133,'Base stats'!B:B,'Base stats'!AM:AM)=1,0.1,1)*_xlfn.XLOOKUP(B133,'Base stats'!B:B,'Base stats'!R:R)/100,IF(_xlfn.XLOOKUP(B133,'Base stats'!B:B,'Base stats'!AM:AM)=1,0.001,0.025)),0.5)))</f>
        <v>No</v>
      </c>
      <c r="CB133" s="25" t="str">
        <f>IF(_xlfn.XLOOKUP(_xlfn.XLOOKUP(B133,'Base stats'!B:B,'Base stats'!E:E),Groups!A:A,Groups!AJ:AJ)="Mammal","True","False")</f>
        <v>True</v>
      </c>
      <c r="CC133" s="25" t="str">
        <f>IF(OR(_xlfn.XLOOKUP(_xlfn.XLOOKUP(B133,'Base stats'!B:B,'Base stats'!E:E),Groups!A:A,Groups!AJ:AJ)="Reptile",_xlfn.XLOOKUP(_xlfn.XLOOKUP(B133,'Base stats'!B:B,'Base stats'!E:E),Groups!A:A,Groups!AJ:AJ)="Amphibian",_xlfn.XLOOKUP(_xlfn.XLOOKUP(B133,'Base stats'!B:B,'Base stats'!E:E),Groups!A:A,Groups!AJ:AJ)="Invertebrate"),"True","False")</f>
        <v>False</v>
      </c>
      <c r="CD133" s="25" t="str">
        <f t="shared" si="20"/>
        <v>False</v>
      </c>
      <c r="CE133" s="25" t="str">
        <f>IF(_xlfn.XLOOKUP(_xlfn.XLOOKUP(B133,'Base stats'!B:B,'Base stats'!E:E),Groups!A:A,Groups!AX:AX),"True","False")</f>
        <v>False</v>
      </c>
      <c r="CF133" s="25" t="str">
        <f>IF(_xlfn.XLOOKUP(_xlfn.XLOOKUP(B133,'Base stats'!B:B,'Base stats'!E:E),Groups!A:A,Groups!AY:AY),"True","False")</f>
        <v>False</v>
      </c>
      <c r="CG133" s="25" t="str">
        <f>IF(_xlfn.XLOOKUP(_xlfn.XLOOKUP(B133,'Base stats'!B:B,'Base stats'!E:E),Groups!A:A,Groups!AW:AW),"True","False")</f>
        <v>False</v>
      </c>
      <c r="CH133" s="25" t="str">
        <f>IF(
OR(
_xlfn.XLOOKUP(_xlfn.XLOOKUP(B133,'Base stats'!B:B,'Base stats'!E:E),Groups!A:A,Groups!AZ:AZ)=0,
AND(
_xlfn.XLOOKUP(B133,'Base stats'!B:B,'Base stats'!Y:Y)&lt;&gt;"Carnivore",
_xlfn.XLOOKUP(B133,'Base stats'!B:B,'Base stats'!Y:Y)&lt;&gt;"Omnivore",
_xlfn.XLOOKUP(B133,'Base stats'!B:B,'Base stats'!Y:Y)&lt;&gt;"OmnivoreRough"
)
),
"No",
IF(
_xlfn.XLOOKUP(_xlfn.XLOOKUP(B133,'Base stats'!B:B,'Base stats'!E:E),Groups!A:A,Groups!AZ:AZ)=1,
"Flesh",
IF(
_xlfn.XLOOKUP(_xlfn.XLOOKUP(B133,'Base stats'!B:B,'Base stats'!E:E),Groups!A:A,Groups!AZ:AZ)=2,
"Bone",
""
)
)
)</f>
        <v>No</v>
      </c>
      <c r="CI133" s="25" t="str">
        <f>IF(_xlfn.XLOOKUP(_xlfn.XLOOKUP(B133,'Base stats'!B:B,'Base stats'!E:E),Groups!A:A,Groups!BB:BB),"True","False")</f>
        <v>True</v>
      </c>
      <c r="CJ133" s="25" t="str">
        <f>IF(_xlfn.XLOOKUP(_xlfn.XLOOKUP(B133,'Base stats'!B:B,'Base stats'!E:E),Groups!A:A,Groups!BA:BA),"True","False")</f>
        <v>False</v>
      </c>
    </row>
    <row r="134" spans="1:88" ht="16.5" thickTop="1" thickBot="1" x14ac:dyDescent="0.3">
      <c r="A134" s="26" t="str">
        <f>_xlfn.XLOOKUP(B134,'Base stats'!B:B,'Base stats'!A:A)</f>
        <v>Mandrill</v>
      </c>
      <c r="B134" s="6" t="s">
        <v>112</v>
      </c>
      <c r="C134" s="28" t="s">
        <v>815</v>
      </c>
      <c r="D134" s="28" t="s">
        <v>872</v>
      </c>
      <c r="E134" s="28" t="s">
        <v>673</v>
      </c>
      <c r="F134" s="28" t="s">
        <v>673</v>
      </c>
      <c r="G134" s="28" t="s">
        <v>673</v>
      </c>
      <c r="H134" s="2">
        <f>MROUND((
  (IF(AND(_xlfn.XLOOKUP(B134,'Base stats'!B:B,'Base stats'!AL:AL)=0,BI134="None",_xlfn.XLOOKUP(_xlfn.XLOOKUP(B134,'Base stats'!B:B,'Base stats'!E:E),Groups!A:A,Groups!B:B)=0), (18 + BR134 * 2.7) * 0.5,
    IF(AND(_xlfn.XLOOKUP(B134,'Base stats'!B:B,'Base stats'!AL:AL)=0,OR(AO134&lt;0.55,AND(BI134="Intermediate",_xlfn.XLOOKUP(_xlfn.XLOOKUP(B134,'Base stats'!B:B,'Base stats'!E:E),Groups!A:A,Groups!B:B)&lt;2))), (18 + BR134 * 2.7),
      IF(OR(BI134="Advanced",_xlfn.XLOOKUP(B134,'Base stats'!B:B,'Base stats'!AL:AL)=1,_xlfn.XLOOKUP(_xlfn.XLOOKUP(B134,'Base stats'!B:B,'Base stats'!E:E),Groups!A:A,Groups!B:B)=2), (18 + BR134 * 2.7) + 250, (18 + BR134 * 2.7))
    )
  ))
  + AO134 * 80
  + IF(COUNTIF(EggMilk!K$2:K$998, A134) &gt; 0, 125, 0)
  + IF(COUNTIF(EggMilk!P$2:P$998, A134) &gt; 0, 90, 0)
  + IF(COUNTIF(EggMilk!A$2:A$998, A134) &gt; 0, 90, 0)
)
* (0.8 + 0.4 * J134)
* 0.75,25)</f>
        <v>375</v>
      </c>
      <c r="I134" s="2">
        <f>MROUND(ROUNDDOWN(_xlfn.XLOOKUP(B134,'Base stats'!B:B,'Base stats'!L:L)/3.6/(23.3/11),1),0.5)</f>
        <v>5</v>
      </c>
      <c r="J134" s="2">
        <f>IF(OR(_xlfn.XLOOKUP(B134,'Base stats'!B:B,'Base stats'!AB:AB)=1,_xlfn.XLOOKUP(_xlfn.XLOOKUP(B134,'Base stats'!B:B,'Base stats'!E:E),Groups!A:A,Groups!C:C)="Untamable"),1,IF(_xlfn.XLOOKUP(B134,'Base stats'!B:B,'Base stats'!AL:AL)=1,0.99,MIN(MROUND((1-0.6282*EXP(-0.459*AO134))*_xlfn.XLOOKUP(_xlfn.XLOOKUP(B134,'Base stats'!B:B,'Base stats'!E:E),Groups!A:A,Groups!C:C)*IF(_xlfn.XLOOKUP(B134,'Base stats'!B:B,'Base stats'!O:O)=1,0.5,IF(_xlfn.XLOOKUP(B134,'Base stats'!B:B,'Base stats'!O:O)=2,0,1)),0.05),IF(AO134&gt;3.5,0.985,0.95))))</f>
        <v>0.65</v>
      </c>
      <c r="K134" s="2">
        <f>ROUNDUP(AO134*_xlfn.XLOOKUP(_xlfn.XLOOKUP(B134,'Base stats'!B:B,'Base stats'!E:E),Groups!A:A,Groups!E:E),0)</f>
        <v>1</v>
      </c>
      <c r="L134" s="2">
        <f>IF(OR(_xlfn.XLOOKUP(_xlfn.XLOOKUP(B134,'Base stats'!B:B,'Base stats'!E:E),Groups!A:A,Groups!F:F)=2,ISNUMBER(SEARCH("SeaIce",BX134)),ISNUMBER(SEARCH("IceSheet",BX134))),-50,IF(OR(ISNUMBER(SEARCH("GlacialPlain",BX134)),ISNUMBER(SEARCH("Tundra",BX134))),-40,IF(OR(ISNUMBER(SEARCH("Alpine",BX134)),ISNUMBER(SEARCH("BorealForest",BX134)),ISNUMBER(SEARCH("ColdBog",BX134))),-30,IF(OR(ISNUMBER(SEARCH("TemperateForest",BX134)),ISNUMBER(SEARCH("TemperateSwamp",BX134))),-20,IF(_xlfn.XLOOKUP(_xlfn.XLOOKUP(B134,'Base stats'!B:B,'Base stats'!E:E),Groups!A:A,Groups!F:F)=1,-15,IF(OR(ISNUMBER(SEARCH("Desert",BX134)),ISNUMBER(SEARCH("ExtremeDesert",BX134))),-10,IF(OR(ISNUMBER(SEARCH("Grasslands",BX134)),ISNUMBER(SEARCH("TropicalRainforest",BX134)),ISNUMBER(SEARCH("TropicalSwamp",BX134))),10,0)))))))-IF(CC134="False",MIN(IFERROR(MAX(MROUND(LOG10(_xlfn.XLOOKUP(B134,'Base stats'!B:B,'Base stats'!C:C)^(2/3))*10,5),5),5),30))-_xlfn.XLOOKUP(B134,'Base stats'!B:B,'Base stats'!P:P)+IF(CC134="True",5,0)</f>
        <v>0</v>
      </c>
      <c r="M134" s="2">
        <f>IF(OR(_xlfn.XLOOKUP(_xlfn.XLOOKUP(B134,'Base stats'!B:B,'Base stats'!E:E),Groups!A:A,Groups!G:G)=2,ISNUMBER(SEARCH("Desert",BX134)),ISNUMBER(SEARCH("ExtremeDesert",BX134)),ISNUMBER(SEARCH("LavaField",BX134))),50,IF(ISNUMBER(SEARCH("Grasslands",BX134)),45,IF(OR(_xlfn.XLOOKUP(_xlfn.XLOOKUP(B134,'Base stats'!B:B,'Base stats'!E:E),Groups!A:A,Groups!G:G)=1,ISNUMBER(SEARCH("TropicalRainforest",BX134)),ISNUMBER(SEARCH("TropicalSwamp",BX134))),40,IF(OR(ISNUMBER(SEARCH("TemperateForest",BX134)),ISNUMBER(SEARCH("TemperateSwamp",BX134))),35,IF(OR(ISNUMBER(SEARCH("Alpine",BX134)),ISNUMBER(SEARCH("BorealForest",BX134)),ISNUMBER(SEARCH("ColdBog",BX134))),30,IF(ISNUMBER(OR(ISNUMBER(SEARCH("GlacialPlain",BX134)),SEARCH("Tundra",BX134))),25,IF(OR(ISNUMBER(SEARCH("SeaIce",BX134)),ISNUMBER(SEARCH("IceSheet",BX134)),ISNUMBER(SEARCH("TropicalSwamp",BX134))),10,35)))))))+_xlfn.XLOOKUP(B134,'Base stats'!B:B,'Base stats'!Q:Q)</f>
        <v>40</v>
      </c>
      <c r="N134" s="8" t="str">
        <f>IF(
_xlfn.XLOOKUP(
_xlfn.XLOOKUP(B134,'Base stats'!B:B,'Base stats'!E:E),
Groups!A:A,
Groups!L:L
)=1,
MIN(
MROUND(
IF(
_xlfn.XLOOKUP(B134,'Animals CE'!B:B,'Animals CE'!Z:Z)&lt;=1.5,
_xlfn.XLOOKUP(B134,'Animals CE'!B:B,'Animals CE'!Z:Z)/2+0.05,
0.8+
(_xlfn.XLOOKUP(B134,'Animals CE'!B:B,'Animals CE'!Z:Z)-1.5)
*0.02
),
0.05
),
200%
),
"No"
)</f>
        <v>No</v>
      </c>
      <c r="O134" s="8" t="str">
        <f>IF(
_xlfn.XLOOKUP(
_xlfn.XLOOKUP(B134,'Base stats'!B:B,'Base stats'!E:E),
Groups!A:A,
Groups!L:L
)=1,
MIN(
MROUND(
IF(
_xlfn.XLOOKUP(B134,'Animals CE'!B:B,'Animals CE'!AA:AA)&lt;=1.5,
_xlfn.XLOOKUP(B134,'Animals CE'!B:B,'Animals CE'!AA:AA)/2+0.05,
0.8+
(_xlfn.XLOOKUP(B134,'Animals CE'!B:B,'Animals CE'!AA:AA)-1.5)
*0.02
),
0.05
),
200%
),
"No"
)</f>
        <v>No</v>
      </c>
      <c r="P134" s="2" t="str">
        <f>_xlfn.XLOOKUP(B134,'Base stats'!B:B,'Base stats'!R:R)</f>
        <v>Standard</v>
      </c>
      <c r="Q134" s="13">
        <f>MROUND((LOG10(_xlfn.XLOOKUP(B134,'Base stats'!B:B,'Base stats'!AR:AR))*(AO134^0.5)+(_xlfn.XLOOKUP(B134,'Base stats'!B:B,'Base stats'!AR:AR)/1000)^(2/3)+_xlfn.XLOOKUP(B134,'Base stats'!B:B,'Base stats'!BA:BA)/2)+0.5,0.5)</f>
        <v>4.5</v>
      </c>
      <c r="R134" s="7">
        <f>IF(Q134="No","No",MAX(1,MROUND(_xlfn.XLOOKUP(B134,'Base stats'!B:B,'Base stats'!C:C)^0.165,0.05)))</f>
        <v>1.6</v>
      </c>
      <c r="S134" s="13" t="str">
        <f>IF(_xlfn.XLOOKUP(_xlfn.XLOOKUP(B134,'Base stats'!B:B,'Base stats'!E:E),Groups!A:A,Groups!P:P)=0,"No",MROUND((LOG10(_xlfn.XLOOKUP(B134,'Base stats'!B:B,'Base stats'!AS:AS))*(AO134^0.5)+(_xlfn.XLOOKUP(B134,'Base stats'!B:B,'Base stats'!AS:AS)/1000)^(2/3)+_xlfn.XLOOKUP(B134,'Base stats'!B:B,'Base stats'!BA:BA))+_xlfn.XLOOKUP(B134,'Base stats'!B:B,'Base stats'!AY:AY)+0.5,0.5))</f>
        <v>No</v>
      </c>
      <c r="T134" s="7" t="str">
        <f>IF(S134="No","No",MAX(_xlfn.XLOOKUP(_xlfn.XLOOKUP(B134,'Base stats'!B:B,'Base stats'!E:E),Groups!A:A,Groups!Q:Q),MROUND(_xlfn.XLOOKUP(_xlfn.XLOOKUP(B134,'Base stats'!B:B,'Base stats'!E:E),Groups!A:A,Groups!Q:Q)*_xlfn.XLOOKUP(B134,'Base stats'!B:B,'Base stats'!C:C)^0.165,0.05)))</f>
        <v>No</v>
      </c>
      <c r="U134" s="7" t="str">
        <f>IF(S134="No","No",_xlfn.XLOOKUP(_xlfn.XLOOKUP(B134,'Base stats'!B:B,'Base stats'!E:E),Groups!A:A,Groups!R:R))</f>
        <v>No</v>
      </c>
      <c r="V134" s="7" t="str">
        <f>IF(S134="No","No",_xlfn.XLOOKUP(_xlfn.XLOOKUP(B134,'Base stats'!B:B,'Base stats'!E:E),Groups!A:A,Groups!S:S))</f>
        <v>No</v>
      </c>
      <c r="W134" s="7" t="str">
        <f>IF(S134="No","No",_xlfn.XLOOKUP(_xlfn.XLOOKUP(B134,'Base stats'!B:B,'Base stats'!E:E),Groups!A:A,Groups!T:T))</f>
        <v>No</v>
      </c>
      <c r="X134" s="13" t="str">
        <f>IF(_xlfn.XLOOKUP(B134,'Base stats'!B:B,'Base stats'!W:W)="No","No",MROUND((LOG10(_xlfn.XLOOKUP(B134,'Base stats'!B:B,'Base stats'!AU:AU))*(AO134^0.5)+(_xlfn.XLOOKUP(B134,'Base stats'!B:B,'Base stats'!AU:AU)/1000)^(2/3)+_xlfn.XLOOKUP(B134,'Base stats'!B:B,'Base stats'!AZ:AZ))+0.5+IF(_xlfn.XLOOKUP(_xlfn.XLOOKUP(B134,'Base stats'!B:B,'Base stats'!E:E),Groups!A:A,Groups!U:U)&lt;&gt;3,_xlfn.XLOOKUP(B134,'Base stats'!B:B,'Base stats'!BA:BA),0),0.5))</f>
        <v>No</v>
      </c>
      <c r="Y134" s="7" t="str">
        <f>IF(X134="No","No",MAX(_xlfn.XLOOKUP(_xlfn.XLOOKUP(B134,'Base stats'!B:B,'Base stats'!E:E),Groups!A:A,Groups!V:V),MROUND(_xlfn.XLOOKUP(_xlfn.XLOOKUP(B134,'Base stats'!B:B,'Base stats'!E:E),Groups!A:A,Groups!V:V)*_xlfn.XLOOKUP(B134,'Base stats'!B:B,'Base stats'!C:C)^0.165,0.05)))</f>
        <v>No</v>
      </c>
      <c r="Z134" s="7" t="str">
        <f>IF(X134="No","No",_xlfn.XLOOKUP(_xlfn.XLOOKUP(B134,'Base stats'!B:B,'Base stats'!E:E),Groups!A:A,Groups!W:W))</f>
        <v>No</v>
      </c>
      <c r="AA134" s="7" t="str">
        <f>IF(X134="No","No",_xlfn.XLOOKUP(_xlfn.XLOOKUP(B134,'Base stats'!B:B,'Base stats'!E:E),Groups!A:A,Groups!X:X))</f>
        <v>No</v>
      </c>
      <c r="AB134" s="7" t="str">
        <f>IF(X134="No","No",_xlfn.XLOOKUP(_xlfn.XLOOKUP(B134,'Base stats'!B:B,'Base stats'!E:E),Groups!A:A,Groups!Y:Y))</f>
        <v>No</v>
      </c>
      <c r="AC134" s="7" t="str">
        <f>_xlfn.XLOOKUP(Animals!B134,'Base stats'!B:B,'Base stats'!X:X)</f>
        <v>False</v>
      </c>
      <c r="AD134" s="13">
        <f>IF(_xlfn.XLOOKUP(B134,'Base stats'!B:B,'Base stats'!AT:AT)="No","No",MROUND((LOG10(_xlfn.XLOOKUP(B134,'Base stats'!B:B,'Base stats'!AT:AT))*(AO134^0.75)+(_xlfn.XLOOKUP(B134,'Base stats'!B:B,'Base stats'!AT:AT)/1000)^(2/3)+_xlfn.XLOOKUP(B134,'Base stats'!B:B,'Base stats'!AX:AX)+_xlfn.XLOOKUP(B134,'Base stats'!B:B,'Base stats'!BA:BA))+0.5,0.5))</f>
        <v>8.5</v>
      </c>
      <c r="AE134" s="7">
        <f>IF(AD134="No","No",MAX(_xlfn.XLOOKUP(_xlfn.XLOOKUP(B134,'Base stats'!B:B,'Base stats'!E:E),Groups!A:A,Groups!Z:Z),MROUND(_xlfn.XLOOKUP(_xlfn.XLOOKUP(B134,'Base stats'!B:B,'Base stats'!E:E),Groups!A:A,Groups!Z:Z)*_xlfn.XLOOKUP(B134,'Base stats'!B:B,'Base stats'!C:C)^0.165,0.05)))</f>
        <v>1.35</v>
      </c>
      <c r="AF134" s="7" t="str">
        <f>IF(AD134="No","No",_xlfn.XLOOKUP(_xlfn.XLOOKUP(B134,'Base stats'!B:B,'Base stats'!E:E),Groups!A:A,Groups!AA:AA))</f>
        <v>Teeth</v>
      </c>
      <c r="AG134" s="7" t="str">
        <f>IF(AD134="No","No",_xlfn.XLOOKUP(_xlfn.XLOOKUP(B134,'Base stats'!B:B,'Base stats'!E:E),Groups!A:A,Groups!AB:AB))</f>
        <v>canines</v>
      </c>
      <c r="AH134" s="7" t="str">
        <f>IF(AD134="No","No",_xlfn.XLOOKUP(_xlfn.XLOOKUP(B134,'Base stats'!B:B,'Base stats'!E:E),Groups!A:A,Groups!AC:AC))</f>
        <v>Bite</v>
      </c>
      <c r="AI134" s="13">
        <f>IF(_xlfn.XLOOKUP(_xlfn.XLOOKUP(B134,'Base stats'!B:B,'Base stats'!E:E),Groups!A:A,Groups!AD:AD)=0,"No",MROUND((LOG10(_xlfn.XLOOKUP(B134,'Base stats'!B:B,'Base stats'!AS:AS))*(AO134^0.75)+(_xlfn.XLOOKUP(B134,'Base stats'!B:B,'Base stats'!AS:AS)/1000)^(2/3)+_xlfn.XLOOKUP(B134,'Base stats'!B:B,'Base stats'!AY:AY)+_xlfn.XLOOKUP(B134,'Base stats'!B:B,'Base stats'!BA:BA))+0.5,0.5))</f>
        <v>5.5</v>
      </c>
      <c r="AJ134" s="7">
        <f>IF(AI134="No","No",MAX(_xlfn.XLOOKUP(_xlfn.XLOOKUP(B134,'Base stats'!B:B,'Base stats'!E:E),Groups!A:A,Groups!AE:AE),MROUND(_xlfn.XLOOKUP(_xlfn.XLOOKUP(B134,'Base stats'!B:B,'Base stats'!E:E),Groups!A:A,Groups!AE:AE)*IF(_xlfn.XLOOKUP(_xlfn.XLOOKUP(B134,'Base stats'!B:B,'Base stats'!E:E),Groups!A:A,Groups!AJ:AJ)="Photonozoa",0.6,1)*_xlfn.XLOOKUP(B134,'Base stats'!B:B,'Base stats'!C:C)^0.165,0.05)))</f>
        <v>1.05</v>
      </c>
      <c r="AK134" s="7" t="str">
        <f>IF(AI134="No","No",_xlfn.XLOOKUP(_xlfn.XLOOKUP(B134,'Base stats'!B:B,'Base stats'!E:E),Groups!A:A,Groups!AF:AF))</f>
        <v>LeftHand, RightHand</v>
      </c>
      <c r="AL134" s="7" t="str">
        <f>IF(AI134="No","No",_xlfn.XLOOKUP(_xlfn.XLOOKUP(B134,'Base stats'!B:B,'Base stats'!E:E),Groups!A:A,Groups!AG:AG))</f>
        <v>left fist, right fist</v>
      </c>
      <c r="AM134" s="7" t="str">
        <f>IF(AI134="No","No",_xlfn.XLOOKUP(_xlfn.XLOOKUP(B134,'Base stats'!B:B,'Base stats'!E:E),Groups!A:A,Groups!AH:AH))</f>
        <v>Blunt</v>
      </c>
      <c r="AN134" s="2" t="str">
        <f t="shared" si="14"/>
        <v>No</v>
      </c>
      <c r="AO134" s="2">
        <f>MROUND(IF(AND(_xlfn.XLOOKUP(B134,'Base stats'!B:B,'Base stats'!C:C)&gt;=0.5,_xlfn.XLOOKUP(B134,'Base stats'!B:B,'Base stats'!C:C)&lt;=0.8),
IF(_xlfn.XLOOKUP(B134,'Base stats'!B:B,'Base stats'!C:C)&lt;0.1,0.05,IF(_xlfn.XLOOKUP(B134,'Base stats'!B:B,'Base stats'!C:C)&lt;=70,(_xlfn.XLOOKUP(B134,'Base stats'!B:B,'Base stats'!C:C)/70)^0.426489913056526,IF(_xlfn.XLOOKUP(B134,'Base stats'!B:B,'Base stats'!C:C)&lt;=400,(_xlfn.XLOOKUP(B134,'Base stats'!B:B,'Base stats'!C:C)/70)^0.572811455315093,IF(_xlfn.XLOOKUP(B134,'Base stats'!B:B,'Base stats'!C:C)&lt;=2000,2.71391647193063*(_xlfn.XLOOKUP(B134,'Base stats'!B:B,'Base stats'!C:C)/400)^0.252459582904293,3.74314280240376*(_xlfn.XLOOKUP(B134,'Base stats'!B:B,'Base stats'!C:C)/2000)^0.357012633876913)))),
IF(_xlfn.XLOOKUP(B134,'Base stats'!B:B,'Base stats'!C:C)&lt;0.1,0.05,IF(_xlfn.XLOOKUP(B134,'Base stats'!B:B,'Base stats'!C:C)&lt;0.4,0.1,IF(_xlfn.XLOOKUP(B134,'Base stats'!B:B,'Base stats'!C:C)&lt;=70,(_xlfn.XLOOKUP(B134,'Base stats'!B:B,'Base stats'!C:C)/70)^0.445823913056526,IF(_xlfn.XLOOKUP(B134,'Base stats'!B:B,'Base stats'!C:C)&lt;=400,(_xlfn.XLOOKUP(B134,'Base stats'!B:B,'Base stats'!C:C)/70)^0.572811455315093,IF(_xlfn.XLOOKUP(B134,'Base stats'!B:B,'Base stats'!C:C)&lt;=2000,2.71391647193063*(_xlfn.XLOOKUP(B134,'Base stats'!B:B,'Base stats'!C:C)/400)^0.252459582904293,3.74314280240376*(_xlfn.XLOOKUP(B134,'Base stats'!B:B,'Base stats'!C:C)/2000)^0.357012633876913)))))),
IF(_xlfn.XLOOKUP(B134,'Base stats'!B:B,'Base stats'!C:C)&lt;0.1,0.05,IF(_xlfn.XLOOKUP(B134,'Base stats'!B:B,'Base stats'!C:C)&lt;=100,0.05,IF(_xlfn.XLOOKUP(B134,'Base stats'!B:B,'Base stats'!C:C)&lt;=250,0.1,IF(_xlfn.XLOOKUP(B134,'Base stats'!B:B,'Base stats'!C:C)&lt;=4000,0.25,0.5)))))</f>
        <v>0.55000000000000004</v>
      </c>
      <c r="AP134" s="8">
        <f>MROUND(AO134*_xlfn.XLOOKUP(_xlfn.XLOOKUP(B134,'Base stats'!B:B,'Base stats'!E:E),Groups!A:A,Groups!AI:AI)*_xlfn.XLOOKUP(B134,'Base stats'!B:B,'Base stats'!Z:Z),0.05)</f>
        <v>0.55000000000000004</v>
      </c>
      <c r="AQ134" s="8">
        <f>MAX(0.01,MROUND(IF(CC134="True",0.196*(AO134*100*1000)^0.889,IF(_xlfn.XLOOKUP(_xlfn.XLOOKUP(B134,'Base stats'!B:B,'Base stats'!E:E),Groups!A:A,Groups!AJ:AJ)="Bird",10.5*(AO134*100*1000)^0.681,4.82*(AO134*100*1000)^0.734))/(4.82*(1*100*1000)^0.734)/IF(AO134&lt;3.5,2,IF(AO134=3.5,1.5,1.25))*(1+0.132282374779864/(AO134^0.994035016789033+0.00905238001496948)),0.05))</f>
        <v>0.4</v>
      </c>
      <c r="AR134" s="9">
        <f>IFERROR(MROUND(_xlfn.XLOOKUP(B134,'Base stats'!B:B,'Base stats'!H:H)/IF(_xlfn.XLOOKUP(B134,'Base stats'!B:B,'Base stats'!I:I)&lt;&gt;1,(122.5/70),1.2),IF(_xlfn.XLOOKUP(B134,'Base stats'!B:B,'Base stats'!H:H)&gt;=30,5,IF(_xlfn.XLOOKUP(B134,'Base stats'!B:B,'Base stats'!H:H)&gt;=15,3,IF(_xlfn.XLOOKUP(B134,'Base stats'!B:B,'Base stats'!H:H)&gt;=10,2,1)))),"Immortal")</f>
        <v>25</v>
      </c>
      <c r="AS134" s="35">
        <f>IFERROR(IF(OR(_xlfn.XLOOKUP(B134,'Base stats'!B:B,'Base stats'!F:F)="Atypical reproduction",_xlfn.XLOOKUP(B134,'Base stats'!B:B,'Base stats'!F:F)="Lay eggs"),"Lay eggs",MIN(20,MAX(5.5,ROUND(((_xlfn.XLOOKUP(B134,'Base stats'!B:B,'Base stats'!F:F)-25)*(14.5/615) + 5.5)*2,0)/2))),"Unknown")</f>
        <v>9</v>
      </c>
      <c r="AT134" s="8">
        <f>IF(_xlfn.XLOOKUP(B134,'Base stats'!B:B,'Base stats'!G:G)="Atypical reproduction","No",IFERROR(MAX(IF(_xlfn.XLOOKUP(B134,'Base stats'!B:B,'Base stats'!G:G)&lt;0.5,0.2,0.3),MROUND(_xlfn.XLOOKUP(B134,'Base stats'!B:B,'Base stats'!G:G)/(365/60),0.2)),"Unknown"))</f>
        <v>0.60000000000000009</v>
      </c>
      <c r="AU134" s="8">
        <f t="shared" si="15"/>
        <v>0.30000000000000004</v>
      </c>
      <c r="AV134" s="8">
        <f>IFERROR(IFERROR(MROUND(_xlfn.XLOOKUP(B134,'Base stats'!B:B,'Base stats'!J:J),0.1),"Lay eggs"),"Cannot breed")</f>
        <v>1</v>
      </c>
      <c r="AW134" s="2" t="str">
        <f t="shared" si="16"/>
        <v>true</v>
      </c>
      <c r="AX134" s="2" t="str">
        <f>IF(_xlfn.XLOOKUP(_xlfn.XLOOKUP(Animals!B134,'Base stats'!B:B,'Base stats'!E:E),Groups!A:A,Groups!AK:AK)=1,"true","false")</f>
        <v>false</v>
      </c>
      <c r="AY134" s="25" t="str">
        <f>IF(_xlfn.XLOOKUP(B134,'Base stats'!B:B,'Base stats'!Y:Y)="Liquor","Liquor, CarnivoreAnimalStrict",IF(AND(_xlfn.XLOOKUP(B134,'Base stats'!B:B,'Base stats'!Y:Y)="Carnivore",_xlfn.XLOOKUP(_xlfn.XLOOKUP(B134,'Base stats'!B:B,'Base stats'!E:E),Groups!A:A,Groups!AJ:AJ)="Photonozoa"),"CarnivoreAnimalStrict, OvivoreAnimal",IF(_xlfn.XLOOKUP(B134,'Base stats'!B:B,'Base stats'!Y:Y)="Carnivore","CarnivoreAnimal, OvivoreAnimal",IF(_xlfn.XLOOKUP(B134,'Base stats'!B:B,'Base stats'!Y:Y)="Dendrovore","VegetarianRoughAnimal, DendrovoreAnimal",IF(_xlfn.XLOOKUP(B134,'Base stats'!B:B,'Base stats'!Y:Y)="Herbivore","VegetarianRoughAnimal",IF(_xlfn.XLOOKUP(B134,'Base stats'!B:B,'Base stats'!Y:Y)="OmnivoreRough","OmnivoreRoughAnimal, OvivoreAnimal","OmnivoreAnimal, OvivoreAnimal"))))))</f>
        <v>OmnivoreRoughAnimal, OvivoreAnimal</v>
      </c>
      <c r="AZ134" s="2" t="str">
        <f>IF(_xlfn.XLOOKUP(_xlfn.XLOOKUP(B134,'Base stats'!B:B,'Base stats'!E:E),Groups!A:A,Groups!D:D)=1,MROUND((1-J134)*5+1,2)*IF(J134&lt;=0.4,2,1),"No")</f>
        <v>No</v>
      </c>
      <c r="BA134" s="2" t="str">
        <f>IF(AND(_xlfn.XLOOKUP(B134,'Base stats'!B:B,'Base stats'!AH:AH)="&lt;li&gt;Seal&lt;/li&gt;",G134="Odyssey"),"&lt;li&gt;AEXP_Seal&lt;/li&gt;",_xlfn.XLOOKUP(B134,'Base stats'!B:B,'Base stats'!AH:AH))</f>
        <v>&lt;li&gt;Monkey&lt;/li&gt;</v>
      </c>
      <c r="BB134" s="2" t="str">
        <f>_xlfn.XLOOKUP(B134,'Base stats'!B:B,'Base stats'!AG:AG)</f>
        <v>Leather_Light</v>
      </c>
      <c r="BC134" s="23" t="str">
        <f>_xlfn.XLOOKUP(_xlfn.XLOOKUP(B134,'Base stats'!B:B,'Base stats'!E:E),Groups!A:A,Groups!AL:AL)</f>
        <v>Monkey</v>
      </c>
      <c r="BD134" s="23">
        <f>MIN(1,MROUND(IF(AND(AO134&lt;0.5,_xlfn.XLOOKUP(B134,'Base stats'!B:B,'Base stats'!AA:AA)=0),0,IF(OR(_xlfn.XLOOKUP(Animals!B134,'Base stats'!B:B,'Base stats'!O:O)=2,_xlfn.XLOOKUP(_xlfn.XLOOKUP(B134,'Base stats'!B:B,'Base stats'!E:E),Groups!A:A,Groups!AN:AN)=0),0,_xlfn.XLOOKUP(_xlfn.XLOOKUP(B134,'Base stats'!B:B,'Base stats'!E:E),Groups!A:A,Groups!AN:AN)/IF(_xlfn.XLOOKUP(Animals!B134,'Base stats'!B:B,'Base stats'!O:O)=1,2,1)))+_xlfn.XLOOKUP(B134,'Base stats'!B:B,'Base stats'!AC:AC),0.005))</f>
        <v>2.5000000000000001E-2</v>
      </c>
      <c r="BE134" s="23">
        <f>MIN(1,MROUND(IF(AND(AO134&lt;0.5,_xlfn.XLOOKUP(B134,'Base stats'!B:B,'Base stats'!AA:AA)=0),0,IF(_xlfn.XLOOKUP(_xlfn.XLOOKUP(B134,'Base stats'!B:B,'Base stats'!E:E),Groups!A:A,Groups!AO:AO)=0,0,_xlfn.XLOOKUP(_xlfn.XLOOKUP(B134,'Base stats'!B:B,'Base stats'!E:E),Groups!A:A,Groups!AO:AO)/IF(_xlfn.XLOOKUP(Animals!B134,'Base stats'!B:B,'Base stats'!O:O)=2,3,1)))+_xlfn.XLOOKUP(B134,'Base stats'!B:B,'Base stats'!AD:AD),0.005))</f>
        <v>0.1</v>
      </c>
      <c r="BF134" s="2" t="str">
        <f>IF(J134&gt;0.3,"No",_xlfn.XLOOKUP(_xlfn.XLOOKUP(Animals!B134,'Base stats'!B:B,'Base stats'!E:E),Groups!A:A,Groups!AP:AP))</f>
        <v>No</v>
      </c>
      <c r="BG134" s="2">
        <f>IF(AND(J134&lt;=0.65,_xlfn.XLOOKUP(_xlfn.XLOOKUP(Animals!B134,'Base stats'!B:B,'Base stats'!E:E),Groups!A:A,Groups!AP:AP)&lt;&gt;"No",_xlfn.XLOOKUP(_xlfn.XLOOKUP(B134,'Base stats'!B:B,'Base stats'!E:E),Groups!A:A,Groups!D:D)=0),MROUND((80/3)*IF(_xlfn.XLOOKUP(B134,'Base stats'!B:B,'Base stats'!O:O)=2,0.2,AO134) + 24*(1-IF(BF134="No",0,BF134)) + 16/3, 12),"No")</f>
        <v>48</v>
      </c>
      <c r="BH134" s="2">
        <f>IF(AND(_xlfn.XLOOKUP(_xlfn.XLOOKUP(B134,'Base stats'!B:B,'Base stats'!E:E),Groups!A:A,Groups!AQ:AQ)=1,AO134&lt;=0.35),8,12)</f>
        <v>12</v>
      </c>
      <c r="BI134" s="2" t="str">
        <f>IF(_xlfn.XLOOKUP(_xlfn.XLOOKUP(B134,'Base stats'!B:B,'Base stats'!E:E),Groups!A:A,Groups!D:D)=0,_xlfn.XLOOKUP(_xlfn.XLOOKUP(B134,'Base stats'!B:B,'Base stats'!E:E),Groups!A:A,Groups!AR:AR),"None")</f>
        <v>Advanced</v>
      </c>
      <c r="BJ134" s="2" t="str">
        <f>IF(AND(_xlfn.XLOOKUP(_xlfn.XLOOKUP(B134,'Base stats'!B:B,'Base stats'!E:E),Groups!A:A,Groups!AS:AS)=1,OR(_xlfn.XLOOKUP(B134,'Base stats'!B:B,'Base stats'!Y:Y)="Carnivore",_xlfn.XLOOKUP(B134,'Base stats'!B:B,'Base stats'!Y:Y)="Omnivore")),"true","false")</f>
        <v>false</v>
      </c>
      <c r="BK134" s="2" t="str">
        <f>IF(BJ134="true",MROUND(IF(AND(AO134&gt;0.5,OR(_xlfn.XLOOKUP(_xlfn.XLOOKUP(B134,'Base stats'!B:B,'Base stats'!E:E),Groups!A:A,Groups!AJ:AJ)="Photonozoa",_xlfn.XLOOKUP(_xlfn.XLOOKUP(B134,'Base stats'!B:B,'Base stats'!E:E),Groups!A:A,Groups!AJ:AJ)="Mammal")),Animals!AO134*1.75*IF(AW134="true",1.5,1),IF(AO134&lt;0.5,Animals!AO134*0.5,Animals!AO134)),IF(AO134&gt;2,0.5,IF(AO134&gt;0.5,0.25,0.1))),"No")</f>
        <v>No</v>
      </c>
      <c r="BL134" s="2">
        <f t="shared" si="17"/>
        <v>1</v>
      </c>
      <c r="BM134" s="25" t="str">
        <f>IF(_xlfn.XLOOKUP(B134,'Base stats'!B:B,'Base stats'!AN:AN)="Standard","No",MROUND((_xlfn.XLOOKUP(B134,'Base stats'!B:B,'Base stats'!AN:AN)/3.6)/I134,0.1))</f>
        <v>No</v>
      </c>
      <c r="BN134" s="25" t="str">
        <f t="shared" si="18"/>
        <v>false</v>
      </c>
      <c r="BO134" s="25" t="str">
        <f>IF(AND(OR(_xlfn.XLOOKUP(B134,'Base stats'!B:B,'Base stats'!Y:Y)="Carnivore",_xlfn.XLOOKUP(B134,'Base stats'!B:B,'Base stats'!Y:Y)="Omnivore",_xlfn.XLOOKUP(B134,'Base stats'!B:B,'Base stats'!Y:Y)="OmnivoreRough"),_xlfn.XLOOKUP(_xlfn.XLOOKUP(B134,'Base stats'!B:B,'Base stats'!E:E),Groups!A:A,Groups!AT:AT)=1),"true","false")</f>
        <v>false</v>
      </c>
      <c r="BP134" s="25" t="str" cm="1">
        <f t="array" ref="BP134">IF(
  _xlfn.TEXTJOIN(", ",TRUE,
    IF(AND(BJ134="true",AO134&gt;0.5,BI134&lt;&gt;"None"),"AttackTarget",""),
    IF(AND(_xlfn.XLOOKUP(_xlfn.XLOOKUP(B134,'Base stats'!B:B,'Base stats'!E:E),Groups!A:A,Groups!AJ:AJ="Mammal"),OR(_xlfn.XLOOKUP(B134,'Base stats'!B:B,'Base stats'!Y:Y)="Omnivore",_xlfn.XLOOKUP(B134,'Base stats'!B:B,'Base stats'!Y:Y)="OmnivoreRough")),"Forage",""),
    IF(BG134&lt;=36,"Comfort",""),
    IF(_xlfn.XLOOKUP(B134,'Base stats'!B:B,'Base stats'!AE:AE)&lt;&gt;"No",_xlfn.XLOOKUP(B134,'Base stats'!B:B,'Base stats'!AE:AE),"")
  ) = "",
  "No",
  _xlfn.TEXTJOIN(", ",TRUE,
    IF(AND(BJ134="true",AO134&gt;0.5,BI134&lt;&gt;"None"),"AttackTarget",""),
    IF(AND(_xlfn.XLOOKUP(_xlfn.XLOOKUP(B134,'Base stats'!B:B,'Base stats'!E:E),Groups!A:A,Groups!AJ:AJ="Mammal"),OR(_xlfn.XLOOKUP(B134,'Base stats'!B:B,'Base stats'!Y:Y)="Omnivore",_xlfn.XLOOKUP(B134,'Base stats'!B:B,'Base stats'!Y:Y)="OmnivoreRough")),"Forage",""),
    IF(BG134&lt;=36,"Comfort",""),
    IF(_xlfn.XLOOKUP(B134,'Base stats'!B:B,'Base stats'!AE:AE)&lt;&gt;"No",_xlfn.XLOOKUP(B134,'Base stats'!B:B,'Base stats'!AE:AE),"")
  )
)</f>
        <v>Forage, AttackTarget</v>
      </c>
      <c r="BQ134" s="25" t="str">
        <f>IF(
   AND(
      'Base stats'!AN134="Standard",_xlfn.XLOOKUP(_xlfn.XLOOKUP(B134,'Base stats'!B:B,'Base stats'!E:E),Groups!A:A,Groups!AU:AU)=0,
      OR(
      BO134="True"
      )
   ),
   10,
   IF(
       OR(BM134&lt;&gt;"No",_xlfn.XLOOKUP(_xlfn.XLOOKUP(B134,'Base stats'!B:B,'Base stats'!E:E),Groups!A:A,Groups!AU:AU)=1),
      1,
      "No"
   )
)</f>
        <v>No</v>
      </c>
      <c r="BR134" s="9">
        <f>MROUND((1 + ((0.2*IF(OR(Q134="No",R134="No",R134=0),0,Q134/R134)
+IF(OR(V134="No",S134="No",T134="No"),0,S134/T134*(LEN(V134)-LEN(SUBSTITUTE(V134,",",""))+1))
+IF(OR(X134="No",Y134="No"),0,X134/Y134)
+IF(OR(AD134="No",AE134="No"),0,AD134/AE134)
+IF(OR(AL134="No",AI134="No",AJ134="No"),0,AI134/AJ134*(LEN(AL134)-LEN(SUBSTITUTE(AL134,",",""))+1))
)/(0.2*IF(OR(Q134="No",R134="No",R134=0),0,1)
+IF(OR(V134="No",S134="No",T134="No"),0,LEN(V134)-LEN(SUBSTITUTE(V134,",",""))+1)
+IF(OR(X134="No",Y134="No"),0,1)
+IF(OR(AD134="No",AE134="No"),0,1)
+IF(OR(AL134="No",AI134="No",AJ134="No"),0,LEN(AL134)-LEN(SUBSTITUTE(AL134,",",""))+1))*62%)* 2)*(1 + (AP134 / (IF(_xlfn.XLOOKUP(_xlfn.XLOOKUP(B134,'Base stats'!B:B,'Base stats'!E:E),Groups!A:A,Groups!AJ:AJ)="Photonozoa",0.3,1)) + _xlfn.XLOOKUP(B134,'Base stats'!B:B,'Base stats'!AV:AV) * 1.8) * 2) * 2.5 + 10 + I134 * 2,5)+IF(_xlfn.XLOOKUP(B134,'Base stats'!B:B,'Base stats'!AK:AK)=1,50,0)</f>
        <v>60</v>
      </c>
      <c r="BS134" s="8">
        <f t="shared" si="19"/>
        <v>0.45</v>
      </c>
      <c r="BT134" s="8" t="str">
        <f>_xlfn.XLOOKUP(B134,'Base stats'!B:B,'Base stats'!AF:AF)</f>
        <v>3~10</v>
      </c>
      <c r="BU134" s="2" t="str">
        <f>IF(AND(J134&lt;=0.95,OR(_xlfn.XLOOKUP(B134,'Base stats'!B:B,'Base stats'!AK:AK)=1,_xlfn.XLOOKUP(B134,'Base stats'!B:B,'Base stats'!Y:Y)="Carnivore",_xlfn.XLOOKUP(B134,'Base stats'!B:B,'Base stats'!Y:Y)="Omnivore",BE134&gt;0.1)),"true","false")</f>
        <v>false</v>
      </c>
      <c r="BV134" s="2" t="str">
        <f>IF(_xlfn.XLOOKUP(B134,'Base stats'!B:B,'Base stats'!AI:AI)=1,"true","false")</f>
        <v>false</v>
      </c>
      <c r="BW134" s="25" t="str">
        <f>IF(E134="BaseInsect","AnimalInsect",
IF(J134&gt;0.95,"AnimalExotic",
_xlfn.TEXTJOIN(", ",TRUE,
IF(OR(_xlfn.XLOOKUP(B134,'Base stats'!B:B,'Base stats'!AM:AM)=1,AND(_xlfn.XLOOKUP(B134,'Base stats'!B:B,'Base stats'!O:O)=0,_xlfn.XLOOKUP(_xlfn.XLOOKUP(B134,'Base stats'!B:B,'Base stats'!E:E),Groups!A:A,Groups!B:B)&gt;0)),"AnimalUncommon","AnimalCommon"),
IF(AND(_xlfn.XLOOKUP(B134,'Base stats'!B:B,'Base stats'!O:O)=2,_xlfn.XLOOKUP(_xlfn.XLOOKUP(B134,'Base stats'!B:B,'Base stats'!E:E),Groups!A:A,Groups!D:D)=0),"AnimalPet",IF(AND(_xlfn.XLOOKUP(B134,'Base stats'!B:B,'Base stats'!O:O)&lt;&gt;0,_xlfn.XLOOKUP(_xlfn.XLOOKUP(B134,'Base stats'!B:B,'Base stats'!E:E),Groups!A:A,Groups!D:D)&lt;&gt;0),"AnimalFarm","")),
IF(OR(_xlfn.XLOOKUP(B134,'Base stats'!B:B,'Base stats'!AK:AK)=1,AND(BI134&lt;&gt;"None",BR134&gt;=60),ISNUMBER(SEARCH("Attack target",BP134))),"AnimalFighter","")
)))</f>
        <v>AnimalUncommon, AnimalFighter</v>
      </c>
      <c r="BX134" s="25" t="str">
        <f>IF(G134="None",TRIM(
SUBSTITUTE(
IF(COUNTIF(Biomes!B$2:B$259,"="&amp;$C134)&gt;0,Biomes!B$1&amp;", ","")&amp;
IF(COUNTIF(Biomes!C$2:C$259,"="&amp;$C134)&gt;0,Biomes!C$1&amp;", ","")&amp;
IF(COUNTIF(Biomes!D$2:D$259,"="&amp;$C134)&gt;0,Biomes!D$1&amp;", ","")&amp;
IF(COUNTIF(Biomes!F$2:F$259,"="&amp;$C134)&gt;0,Biomes!F$1&amp;", ","")&amp;
IF(COUNTIF(Biomes!G$2:G$259,"="&amp;$C134)&gt;0,Biomes!G$1&amp;", ","")&amp;
IF(COUNTIF(Biomes!H$2:H$259,"="&amp;$C134)&gt;0,Biomes!H$1&amp;", ","")&amp;
IF(COUNTIF(Biomes!I$2:I$259,"="&amp;$C134)&gt;0,Biomes!I$1&amp;", ","")&amp;
IF(COUNTIF(Biomes!J$2:J$259,"="&amp;$C134)&gt;0,Biomes!J$1&amp;", ","")&amp;
IF(COUNTIF(Biomes!M$2:M$259,"="&amp;$C134)&gt;0,Biomes!M$1&amp;", ","")&amp;
IF(COUNTIF(Biomes!N$2:N$259,"="&amp;$C134)&gt;0,Biomes!N$1&amp;", ","")&amp;
IF(COUNTIF(Biomes!O$2:O$259,"="&amp;$C134)&gt;0,Biomes!O$1&amp;", ","")&amp;
IF(COUNTIF(Biomes!P$2:P$259,"="&amp;$C134)&gt;0,Biomes!P$1&amp;", ","")&amp;
IF(COUNTIF(Biomes!K$2:K$259,"="&amp;$C134)&gt;0,Biomes!K$1&amp;", ","")&amp;
IF(COUNTIF(Biomes!Q$3:Q$259,"="&amp;$C134)&gt;0,Biomes!Q$1&amp;", ","")&amp;
IF(COUNTIF(Biomes!L$2:L$259,"="&amp;$C134)&gt;0,Biomes!L$1&amp;", ","")&amp;
IF(COUNTIF(Biomes!E$2:E$259,"="&amp;$C134)&gt;0,Biomes!E$1&amp;", ","")&amp;IF(COUNTIF(Biomes!S$2:S$259,"="&amp;$C134)&gt;0,Biomes!S$1&amp;", ","")&amp;
IF(COUNTIF(Biomes!R$2:R$259,"="&amp;$C134)&gt;0,Biomes!R$1&amp;", ",""),", ","")
),_xlfn.XLOOKUP(B134,B:B,BX:BX))</f>
        <v>TropicalRainforest TropicalSwamp Glowforest</v>
      </c>
      <c r="BY134" s="25" t="str">
        <f>IF(_xlfn.XLOOKUP(B134,'Base stats'!B:B,'Base stats'!AJ:AJ)=1,"true","false")</f>
        <v>false</v>
      </c>
      <c r="BZ134" s="25">
        <f>IF(_xlfn.XLOOKUP(B134,'Base stats'!B:B,'Base stats'!N:N)=1,"No",MAX(0.001,MIN(MROUND(IF(AND(BJ134="True",CC134="False"),POWER(10,3.47*LOG10(_xlfn.XLOOKUP(B134,'Base stats'!B:B,'Base stats'!C:C)*1000)^-0.96),POWER(10,4.15*LOG10(_xlfn.XLOOKUP(B134,'Base stats'!B:B,'Base stats'!C:C)*1000)^-0.73))*IF(_xlfn.XLOOKUP(B134,'Base stats'!B:B,'Base stats'!AK:AK)=1,0.5,1)*IF(_xlfn.XLOOKUP(B134,'Base stats'!B:B,'Base stats'!AM:AM)=1,0.1,1)/100,IF(_xlfn.XLOOKUP(B134,'Base stats'!B:B,'Base stats'!AM:AM)=1,0.001,0.025)),0.5)))</f>
        <v>0.27500000000000002</v>
      </c>
      <c r="CA134" s="25" t="str">
        <f>IF(P134="Standard","No",MAX(0.001,MIN(MROUND(IF(AND(BJ134="True",CC134="False"),POWER(10,3.47*LOG10(_xlfn.XLOOKUP(B134,'Base stats'!B:B,'Base stats'!C:C)*1000)^-0.96),POWER(10,4.15*LOG10(_xlfn.XLOOKUP(B134,'Base stats'!B:B,'Base stats'!C:C)*1000)^-0.73))*IF(_xlfn.XLOOKUP(B134,'Base stats'!B:B,'Base stats'!AM:AM)=1,0.1,1)*_xlfn.XLOOKUP(B134,'Base stats'!B:B,'Base stats'!R:R)/100,IF(_xlfn.XLOOKUP(B134,'Base stats'!B:B,'Base stats'!AM:AM)=1,0.001,0.025)),0.5)))</f>
        <v>No</v>
      </c>
      <c r="CB134" s="25" t="str">
        <f>IF(_xlfn.XLOOKUP(_xlfn.XLOOKUP(B134,'Base stats'!B:B,'Base stats'!E:E),Groups!A:A,Groups!AJ:AJ)="Mammal","True","False")</f>
        <v>True</v>
      </c>
      <c r="CC134" s="25" t="str">
        <f>IF(OR(_xlfn.XLOOKUP(_xlfn.XLOOKUP(B134,'Base stats'!B:B,'Base stats'!E:E),Groups!A:A,Groups!AJ:AJ)="Reptile",_xlfn.XLOOKUP(_xlfn.XLOOKUP(B134,'Base stats'!B:B,'Base stats'!E:E),Groups!A:A,Groups!AJ:AJ)="Amphibian",_xlfn.XLOOKUP(_xlfn.XLOOKUP(B134,'Base stats'!B:B,'Base stats'!E:E),Groups!A:A,Groups!AJ:AJ)="Invertebrate"),"True","False")</f>
        <v>False</v>
      </c>
      <c r="CD134" s="25" t="str">
        <f t="shared" si="20"/>
        <v>False</v>
      </c>
      <c r="CE134" s="25" t="str">
        <f>IF(_xlfn.XLOOKUP(_xlfn.XLOOKUP(B134,'Base stats'!B:B,'Base stats'!E:E),Groups!A:A,Groups!AX:AX),"True","False")</f>
        <v>False</v>
      </c>
      <c r="CF134" s="25" t="str">
        <f>IF(_xlfn.XLOOKUP(_xlfn.XLOOKUP(B134,'Base stats'!B:B,'Base stats'!E:E),Groups!A:A,Groups!AY:AY),"True","False")</f>
        <v>False</v>
      </c>
      <c r="CG134" s="25" t="str">
        <f>IF(_xlfn.XLOOKUP(_xlfn.XLOOKUP(B134,'Base stats'!B:B,'Base stats'!E:E),Groups!A:A,Groups!AW:AW),"True","False")</f>
        <v>False</v>
      </c>
      <c r="CH134" s="25" t="str">
        <f>IF(
OR(
_xlfn.XLOOKUP(_xlfn.XLOOKUP(B134,'Base stats'!B:B,'Base stats'!E:E),Groups!A:A,Groups!AZ:AZ)=0,
AND(
_xlfn.XLOOKUP(B134,'Base stats'!B:B,'Base stats'!Y:Y)&lt;&gt;"Carnivore",
_xlfn.XLOOKUP(B134,'Base stats'!B:B,'Base stats'!Y:Y)&lt;&gt;"Omnivore",
_xlfn.XLOOKUP(B134,'Base stats'!B:B,'Base stats'!Y:Y)&lt;&gt;"OmnivoreRough"
)
),
"No",
IF(
_xlfn.XLOOKUP(_xlfn.XLOOKUP(B134,'Base stats'!B:B,'Base stats'!E:E),Groups!A:A,Groups!AZ:AZ)=1,
"Flesh",
IF(
_xlfn.XLOOKUP(_xlfn.XLOOKUP(B134,'Base stats'!B:B,'Base stats'!E:E),Groups!A:A,Groups!AZ:AZ)=2,
"Bone",
""
)
)
)</f>
        <v>No</v>
      </c>
      <c r="CI134" s="25" t="str">
        <f>IF(_xlfn.XLOOKUP(_xlfn.XLOOKUP(B134,'Base stats'!B:B,'Base stats'!E:E),Groups!A:A,Groups!BB:BB),"True","False")</f>
        <v>True</v>
      </c>
      <c r="CJ134" s="25" t="str">
        <f>IF(_xlfn.XLOOKUP(_xlfn.XLOOKUP(B134,'Base stats'!B:B,'Base stats'!E:E),Groups!A:A,Groups!BA:BA),"True","False")</f>
        <v>False</v>
      </c>
    </row>
    <row r="135" spans="1:88" ht="16.5" thickTop="1" thickBot="1" x14ac:dyDescent="0.3">
      <c r="A135" s="26" t="str">
        <f>_xlfn.XLOOKUP(B135,'Base stats'!B:B,'Base stats'!A:A)</f>
        <v>Tapir</v>
      </c>
      <c r="B135" s="6" t="s">
        <v>95</v>
      </c>
      <c r="C135" s="28" t="s">
        <v>816</v>
      </c>
      <c r="D135" s="28" t="s">
        <v>872</v>
      </c>
      <c r="E135" s="28" t="s">
        <v>673</v>
      </c>
      <c r="F135" s="28" t="s">
        <v>673</v>
      </c>
      <c r="G135" s="28" t="s">
        <v>673</v>
      </c>
      <c r="H135" s="2">
        <f>MROUND((
  (IF(AND(_xlfn.XLOOKUP(B135,'Base stats'!B:B,'Base stats'!AL:AL)=0,BI135="None",_xlfn.XLOOKUP(_xlfn.XLOOKUP(B135,'Base stats'!B:B,'Base stats'!E:E),Groups!A:A,Groups!B:B)=0), (18 + BR135 * 2.7) * 0.5,
    IF(AND(_xlfn.XLOOKUP(B135,'Base stats'!B:B,'Base stats'!AL:AL)=0,OR(AO135&lt;0.55,AND(BI135="Intermediate",_xlfn.XLOOKUP(_xlfn.XLOOKUP(B135,'Base stats'!B:B,'Base stats'!E:E),Groups!A:A,Groups!B:B)&lt;2))), (18 + BR135 * 2.7),
      IF(OR(BI135="Advanced",_xlfn.XLOOKUP(B135,'Base stats'!B:B,'Base stats'!AL:AL)=1,_xlfn.XLOOKUP(_xlfn.XLOOKUP(B135,'Base stats'!B:B,'Base stats'!E:E),Groups!A:A,Groups!B:B)=2), (18 + BR135 * 2.7) + 250, (18 + BR135 * 2.7))
    )
  ))
  + AO135 * 80
  + IF(COUNTIF(EggMilk!K$2:K$998, A135) &gt; 0, 125, 0)
  + IF(COUNTIF(EggMilk!P$2:P$998, A135) &gt; 0, 90, 0)
  + IF(COUNTIF(EggMilk!A$2:A$998, A135) &gt; 0, 90, 0)
)
* (0.8 + 0.4 * J135)
* 0.75,25)</f>
        <v>325</v>
      </c>
      <c r="I135" s="2">
        <f>MROUND(ROUNDDOWN(_xlfn.XLOOKUP(B135,'Base stats'!B:B,'Base stats'!L:L)/3.6/(23.3/11),1),0.5)</f>
        <v>5</v>
      </c>
      <c r="J135" s="2">
        <f>IF(OR(_xlfn.XLOOKUP(B135,'Base stats'!B:B,'Base stats'!AB:AB)=1,_xlfn.XLOOKUP(_xlfn.XLOOKUP(B135,'Base stats'!B:B,'Base stats'!E:E),Groups!A:A,Groups!C:C)="Untamable"),1,IF(_xlfn.XLOOKUP(B135,'Base stats'!B:B,'Base stats'!AL:AL)=1,0.99,MIN(MROUND((1-0.6282*EXP(-0.459*AO135))*_xlfn.XLOOKUP(_xlfn.XLOOKUP(B135,'Base stats'!B:B,'Base stats'!E:E),Groups!A:A,Groups!C:C)*IF(_xlfn.XLOOKUP(B135,'Base stats'!B:B,'Base stats'!O:O)=1,0.5,IF(_xlfn.XLOOKUP(B135,'Base stats'!B:B,'Base stats'!O:O)=2,0,1)),0.05),IF(AO135&gt;3.5,0.985,0.95))))</f>
        <v>0.8</v>
      </c>
      <c r="K135" s="2">
        <f>ROUNDUP(AO135*_xlfn.XLOOKUP(_xlfn.XLOOKUP(B135,'Base stats'!B:B,'Base stats'!E:E),Groups!A:A,Groups!E:E),0)</f>
        <v>12</v>
      </c>
      <c r="L135" s="2">
        <f>IF(OR(_xlfn.XLOOKUP(_xlfn.XLOOKUP(B135,'Base stats'!B:B,'Base stats'!E:E),Groups!A:A,Groups!F:F)=2,ISNUMBER(SEARCH("SeaIce",BX135)),ISNUMBER(SEARCH("IceSheet",BX135))),-50,IF(OR(ISNUMBER(SEARCH("GlacialPlain",BX135)),ISNUMBER(SEARCH("Tundra",BX135))),-40,IF(OR(ISNUMBER(SEARCH("Alpine",BX135)),ISNUMBER(SEARCH("BorealForest",BX135)),ISNUMBER(SEARCH("ColdBog",BX135))),-30,IF(OR(ISNUMBER(SEARCH("TemperateForest",BX135)),ISNUMBER(SEARCH("TemperateSwamp",BX135))),-20,IF(_xlfn.XLOOKUP(_xlfn.XLOOKUP(B135,'Base stats'!B:B,'Base stats'!E:E),Groups!A:A,Groups!F:F)=1,-15,IF(OR(ISNUMBER(SEARCH("Desert",BX135)),ISNUMBER(SEARCH("ExtremeDesert",BX135))),-10,IF(OR(ISNUMBER(SEARCH("Grasslands",BX135)),ISNUMBER(SEARCH("TropicalRainforest",BX135)),ISNUMBER(SEARCH("TropicalSwamp",BX135))),10,0)))))))-IF(CC135="False",MIN(IFERROR(MAX(MROUND(LOG10(_xlfn.XLOOKUP(B135,'Base stats'!B:B,'Base stats'!C:C)^(2/3))*10,5),5),5),30))-_xlfn.XLOOKUP(B135,'Base stats'!B:B,'Base stats'!P:P)+IF(CC135="True",5,0)</f>
        <v>-30</v>
      </c>
      <c r="M135" s="2">
        <f>IF(OR(_xlfn.XLOOKUP(_xlfn.XLOOKUP(B135,'Base stats'!B:B,'Base stats'!E:E),Groups!A:A,Groups!G:G)=2,ISNUMBER(SEARCH("Desert",BX135)),ISNUMBER(SEARCH("ExtremeDesert",BX135)),ISNUMBER(SEARCH("LavaField",BX135))),50,IF(ISNUMBER(SEARCH("Grasslands",BX135)),45,IF(OR(_xlfn.XLOOKUP(_xlfn.XLOOKUP(B135,'Base stats'!B:B,'Base stats'!E:E),Groups!A:A,Groups!G:G)=1,ISNUMBER(SEARCH("TropicalRainforest",BX135)),ISNUMBER(SEARCH("TropicalSwamp",BX135))),40,IF(OR(ISNUMBER(SEARCH("TemperateForest",BX135)),ISNUMBER(SEARCH("TemperateSwamp",BX135))),35,IF(OR(ISNUMBER(SEARCH("Alpine",BX135)),ISNUMBER(SEARCH("BorealForest",BX135)),ISNUMBER(SEARCH("ColdBog",BX135))),30,IF(ISNUMBER(OR(ISNUMBER(SEARCH("GlacialPlain",BX135)),SEARCH("Tundra",BX135))),25,IF(OR(ISNUMBER(SEARCH("SeaIce",BX135)),ISNUMBER(SEARCH("IceSheet",BX135)),ISNUMBER(SEARCH("TropicalSwamp",BX135))),10,35)))))))+_xlfn.XLOOKUP(B135,'Base stats'!B:B,'Base stats'!Q:Q)</f>
        <v>40</v>
      </c>
      <c r="N135" s="8" t="str">
        <f>IF(
_xlfn.XLOOKUP(
_xlfn.XLOOKUP(B135,'Base stats'!B:B,'Base stats'!E:E),
Groups!A:A,
Groups!L:L
)=1,
MIN(
MROUND(
IF(
_xlfn.XLOOKUP(B135,'Animals CE'!B:B,'Animals CE'!Z:Z)&lt;=1.5,
_xlfn.XLOOKUP(B135,'Animals CE'!B:B,'Animals CE'!Z:Z)/2+0.05,
0.8+
(_xlfn.XLOOKUP(B135,'Animals CE'!B:B,'Animals CE'!Z:Z)-1.5)
*0.02
),
0.05
),
200%
),
"No"
)</f>
        <v>No</v>
      </c>
      <c r="O135" s="8" t="str">
        <f>IF(
_xlfn.XLOOKUP(
_xlfn.XLOOKUP(B135,'Base stats'!B:B,'Base stats'!E:E),
Groups!A:A,
Groups!L:L
)=1,
MIN(
MROUND(
IF(
_xlfn.XLOOKUP(B135,'Animals CE'!B:B,'Animals CE'!AA:AA)&lt;=1.5,
_xlfn.XLOOKUP(B135,'Animals CE'!B:B,'Animals CE'!AA:AA)/2+0.05,
0.8+
(_xlfn.XLOOKUP(B135,'Animals CE'!B:B,'Animals CE'!AA:AA)-1.5)
*0.02
),
0.05
),
200%
),
"No"
)</f>
        <v>No</v>
      </c>
      <c r="P135" s="2" t="str">
        <f>_xlfn.XLOOKUP(B135,'Base stats'!B:B,'Base stats'!R:R)</f>
        <v>Standard</v>
      </c>
      <c r="Q135" s="13">
        <f>MROUND((LOG10(_xlfn.XLOOKUP(B135,'Base stats'!B:B,'Base stats'!AR:AR))*(AO135^0.5)+(_xlfn.XLOOKUP(B135,'Base stats'!B:B,'Base stats'!AR:AR)/1000)^(2/3)+_xlfn.XLOOKUP(B135,'Base stats'!B:B,'Base stats'!BA:BA)/2)+0.5,0.5)</f>
        <v>13</v>
      </c>
      <c r="R135" s="7">
        <f>IF(Q135="No","No",MAX(1,MROUND(_xlfn.XLOOKUP(B135,'Base stats'!B:B,'Base stats'!C:C)^0.165,0.05)))</f>
        <v>2.5500000000000003</v>
      </c>
      <c r="S135" s="13">
        <f>IF(_xlfn.XLOOKUP(_xlfn.XLOOKUP(B135,'Base stats'!B:B,'Base stats'!E:E),Groups!A:A,Groups!P:P)=0,"No",MROUND((LOG10(_xlfn.XLOOKUP(B135,'Base stats'!B:B,'Base stats'!AS:AS))*(AO135^0.5)+(_xlfn.XLOOKUP(B135,'Base stats'!B:B,'Base stats'!AS:AS)/1000)^(2/3)+_xlfn.XLOOKUP(B135,'Base stats'!B:B,'Base stats'!BA:BA))+_xlfn.XLOOKUP(B135,'Base stats'!B:B,'Base stats'!AY:AY)+0.5,0.5))</f>
        <v>16</v>
      </c>
      <c r="T135" s="7">
        <f>IF(S135="No","No",MAX(_xlfn.XLOOKUP(_xlfn.XLOOKUP(B135,'Base stats'!B:B,'Base stats'!E:E),Groups!A:A,Groups!Q:Q),MROUND(_xlfn.XLOOKUP(_xlfn.XLOOKUP(B135,'Base stats'!B:B,'Base stats'!E:E),Groups!A:A,Groups!Q:Q)*_xlfn.XLOOKUP(B135,'Base stats'!B:B,'Base stats'!C:C)^0.165,0.05)))</f>
        <v>2.2000000000000002</v>
      </c>
      <c r="U135" s="7" t="str">
        <f>IF(S135="No","No",_xlfn.XLOOKUP(_xlfn.XLOOKUP(B135,'Base stats'!B:B,'Base stats'!E:E),Groups!A:A,Groups!R:R))</f>
        <v>FrontLeftLeg, FrontRightLeg</v>
      </c>
      <c r="V135" s="7" t="str">
        <f>IF(S135="No","No",_xlfn.XLOOKUP(_xlfn.XLOOKUP(B135,'Base stats'!B:B,'Base stats'!E:E),Groups!A:A,Groups!S:S))</f>
        <v>left hoof, right hoof</v>
      </c>
      <c r="W135" s="7" t="str">
        <f>IF(S135="No","No",_xlfn.XLOOKUP(_xlfn.XLOOKUP(B135,'Base stats'!B:B,'Base stats'!E:E),Groups!A:A,Groups!T:T))</f>
        <v>Blunt</v>
      </c>
      <c r="X135" s="13" t="str">
        <f>IF(_xlfn.XLOOKUP(B135,'Base stats'!B:B,'Base stats'!W:W)="No","No",MROUND((LOG10(_xlfn.XLOOKUP(B135,'Base stats'!B:B,'Base stats'!AU:AU))*(AO135^0.5)+(_xlfn.XLOOKUP(B135,'Base stats'!B:B,'Base stats'!AU:AU)/1000)^(2/3)+_xlfn.XLOOKUP(B135,'Base stats'!B:B,'Base stats'!AZ:AZ))+0.5+IF(_xlfn.XLOOKUP(_xlfn.XLOOKUP(B135,'Base stats'!B:B,'Base stats'!E:E),Groups!A:A,Groups!U:U)&lt;&gt;3,_xlfn.XLOOKUP(B135,'Base stats'!B:B,'Base stats'!BA:BA),0),0.5))</f>
        <v>No</v>
      </c>
      <c r="Y135" s="7" t="str">
        <f>IF(X135="No","No",MAX(_xlfn.XLOOKUP(_xlfn.XLOOKUP(B135,'Base stats'!B:B,'Base stats'!E:E),Groups!A:A,Groups!V:V),MROUND(_xlfn.XLOOKUP(_xlfn.XLOOKUP(B135,'Base stats'!B:B,'Base stats'!E:E),Groups!A:A,Groups!V:V)*_xlfn.XLOOKUP(B135,'Base stats'!B:B,'Base stats'!C:C)^0.165,0.05)))</f>
        <v>No</v>
      </c>
      <c r="Z135" s="7" t="str">
        <f>IF(X135="No","No",_xlfn.XLOOKUP(_xlfn.XLOOKUP(B135,'Base stats'!B:B,'Base stats'!E:E),Groups!A:A,Groups!W:W))</f>
        <v>No</v>
      </c>
      <c r="AA135" s="7" t="str">
        <f>IF(X135="No","No",_xlfn.XLOOKUP(_xlfn.XLOOKUP(B135,'Base stats'!B:B,'Base stats'!E:E),Groups!A:A,Groups!X:X))</f>
        <v>No</v>
      </c>
      <c r="AB135" s="7" t="str">
        <f>IF(X135="No","No",_xlfn.XLOOKUP(_xlfn.XLOOKUP(B135,'Base stats'!B:B,'Base stats'!E:E),Groups!A:A,Groups!Y:Y))</f>
        <v>No</v>
      </c>
      <c r="AC135" s="7" t="str">
        <f>_xlfn.XLOOKUP(Animals!B135,'Base stats'!B:B,'Base stats'!X:X)</f>
        <v>False</v>
      </c>
      <c r="AD135" s="13">
        <f>IF(_xlfn.XLOOKUP(B135,'Base stats'!B:B,'Base stats'!AT:AT)="No","No",MROUND((LOG10(_xlfn.XLOOKUP(B135,'Base stats'!B:B,'Base stats'!AT:AT))*(AO135^0.75)+(_xlfn.XLOOKUP(B135,'Base stats'!B:B,'Base stats'!AT:AT)/1000)^(2/3)+_xlfn.XLOOKUP(B135,'Base stats'!B:B,'Base stats'!AX:AX)+_xlfn.XLOOKUP(B135,'Base stats'!B:B,'Base stats'!BA:BA))+0.5,0.5))</f>
        <v>16.5</v>
      </c>
      <c r="AE135" s="7">
        <f>IF(AD135="No","No",MAX(_xlfn.XLOOKUP(_xlfn.XLOOKUP(B135,'Base stats'!B:B,'Base stats'!E:E),Groups!A:A,Groups!Z:Z),MROUND(_xlfn.XLOOKUP(_xlfn.XLOOKUP(B135,'Base stats'!B:B,'Base stats'!E:E),Groups!A:A,Groups!Z:Z)*_xlfn.XLOOKUP(B135,'Base stats'!B:B,'Base stats'!C:C)^0.165,0.05)))</f>
        <v>2.5500000000000003</v>
      </c>
      <c r="AF135" s="7" t="str">
        <f>IF(AD135="No","No",_xlfn.XLOOKUP(_xlfn.XLOOKUP(B135,'Base stats'!B:B,'Base stats'!E:E),Groups!A:A,Groups!AA:AA))</f>
        <v>Teeth</v>
      </c>
      <c r="AG135" s="7" t="str">
        <f>IF(AD135="No","No",_xlfn.XLOOKUP(_xlfn.XLOOKUP(B135,'Base stats'!B:B,'Base stats'!E:E),Groups!A:A,Groups!AB:AB))</f>
        <v>teeth</v>
      </c>
      <c r="AH135" s="7" t="str">
        <f>IF(AD135="No","No",_xlfn.XLOOKUP(_xlfn.XLOOKUP(B135,'Base stats'!B:B,'Base stats'!E:E),Groups!A:A,Groups!AC:AC))</f>
        <v>Bite</v>
      </c>
      <c r="AI135" s="13" t="str">
        <f>IF(_xlfn.XLOOKUP(_xlfn.XLOOKUP(B135,'Base stats'!B:B,'Base stats'!E:E),Groups!A:A,Groups!AD:AD)=0,"No",MROUND((LOG10(_xlfn.XLOOKUP(B135,'Base stats'!B:B,'Base stats'!AS:AS))*(AO135^0.75)+(_xlfn.XLOOKUP(B135,'Base stats'!B:B,'Base stats'!AS:AS)/1000)^(2/3)+_xlfn.XLOOKUP(B135,'Base stats'!B:B,'Base stats'!AY:AY)+_xlfn.XLOOKUP(B135,'Base stats'!B:B,'Base stats'!BA:BA))+0.5,0.5))</f>
        <v>No</v>
      </c>
      <c r="AJ135" s="7" t="str">
        <f>IF(AI135="No","No",MAX(_xlfn.XLOOKUP(_xlfn.XLOOKUP(B135,'Base stats'!B:B,'Base stats'!E:E),Groups!A:A,Groups!AE:AE),MROUND(_xlfn.XLOOKUP(_xlfn.XLOOKUP(B135,'Base stats'!B:B,'Base stats'!E:E),Groups!A:A,Groups!AE:AE)*IF(_xlfn.XLOOKUP(_xlfn.XLOOKUP(B135,'Base stats'!B:B,'Base stats'!E:E),Groups!A:A,Groups!AJ:AJ)="Photonozoa",0.6,1)*_xlfn.XLOOKUP(B135,'Base stats'!B:B,'Base stats'!C:C)^0.165,0.05)))</f>
        <v>No</v>
      </c>
      <c r="AK135" s="7" t="str">
        <f>IF(AI135="No","No",_xlfn.XLOOKUP(_xlfn.XLOOKUP(B135,'Base stats'!B:B,'Base stats'!E:E),Groups!A:A,Groups!AF:AF))</f>
        <v>No</v>
      </c>
      <c r="AL135" s="7" t="str">
        <f>IF(AI135="No","No",_xlfn.XLOOKUP(_xlfn.XLOOKUP(B135,'Base stats'!B:B,'Base stats'!E:E),Groups!A:A,Groups!AG:AG))</f>
        <v>No</v>
      </c>
      <c r="AM135" s="7" t="str">
        <f>IF(AI135="No","No",_xlfn.XLOOKUP(_xlfn.XLOOKUP(B135,'Base stats'!B:B,'Base stats'!E:E),Groups!A:A,Groups!AH:AH))</f>
        <v>No</v>
      </c>
      <c r="AN135" s="2" t="str">
        <f t="shared" si="14"/>
        <v>No</v>
      </c>
      <c r="AO135" s="2">
        <f>MROUND(IF(AND(_xlfn.XLOOKUP(B135,'Base stats'!B:B,'Base stats'!C:C)&gt;=0.5,_xlfn.XLOOKUP(B135,'Base stats'!B:B,'Base stats'!C:C)&lt;=0.8),
IF(_xlfn.XLOOKUP(B135,'Base stats'!B:B,'Base stats'!C:C)&lt;0.1,0.05,IF(_xlfn.XLOOKUP(B135,'Base stats'!B:B,'Base stats'!C:C)&lt;=70,(_xlfn.XLOOKUP(B135,'Base stats'!B:B,'Base stats'!C:C)/70)^0.426489913056526,IF(_xlfn.XLOOKUP(B135,'Base stats'!B:B,'Base stats'!C:C)&lt;=400,(_xlfn.XLOOKUP(B135,'Base stats'!B:B,'Base stats'!C:C)/70)^0.572811455315093,IF(_xlfn.XLOOKUP(B135,'Base stats'!B:B,'Base stats'!C:C)&lt;=2000,2.71391647193063*(_xlfn.XLOOKUP(B135,'Base stats'!B:B,'Base stats'!C:C)/400)^0.252459582904293,3.74314280240376*(_xlfn.XLOOKUP(B135,'Base stats'!B:B,'Base stats'!C:C)/2000)^0.357012633876913)))),
IF(_xlfn.XLOOKUP(B135,'Base stats'!B:B,'Base stats'!C:C)&lt;0.1,0.05,IF(_xlfn.XLOOKUP(B135,'Base stats'!B:B,'Base stats'!C:C)&lt;0.4,0.1,IF(_xlfn.XLOOKUP(B135,'Base stats'!B:B,'Base stats'!C:C)&lt;=70,(_xlfn.XLOOKUP(B135,'Base stats'!B:B,'Base stats'!C:C)/70)^0.445823913056526,IF(_xlfn.XLOOKUP(B135,'Base stats'!B:B,'Base stats'!C:C)&lt;=400,(_xlfn.XLOOKUP(B135,'Base stats'!B:B,'Base stats'!C:C)/70)^0.572811455315093,IF(_xlfn.XLOOKUP(B135,'Base stats'!B:B,'Base stats'!C:C)&lt;=2000,2.71391647193063*(_xlfn.XLOOKUP(B135,'Base stats'!B:B,'Base stats'!C:C)/400)^0.252459582904293,3.74314280240376*(_xlfn.XLOOKUP(B135,'Base stats'!B:B,'Base stats'!C:C)/2000)^0.357012633876913)))))),
IF(_xlfn.XLOOKUP(B135,'Base stats'!B:B,'Base stats'!C:C)&lt;0.1,0.05,IF(_xlfn.XLOOKUP(B135,'Base stats'!B:B,'Base stats'!C:C)&lt;=100,0.05,IF(_xlfn.XLOOKUP(B135,'Base stats'!B:B,'Base stats'!C:C)&lt;=250,0.1,IF(_xlfn.XLOOKUP(B135,'Base stats'!B:B,'Base stats'!C:C)&lt;=4000,0.25,0.5)))))</f>
        <v>2.25</v>
      </c>
      <c r="AP135" s="8">
        <f>MROUND(AO135*_xlfn.XLOOKUP(_xlfn.XLOOKUP(B135,'Base stats'!B:B,'Base stats'!E:E),Groups!A:A,Groups!AI:AI)*_xlfn.XLOOKUP(B135,'Base stats'!B:B,'Base stats'!Z:Z),0.05)</f>
        <v>2.25</v>
      </c>
      <c r="AQ135" s="8">
        <f>MAX(0.01,MROUND(IF(CC135="True",0.196*(AO135*100*1000)^0.889,IF(_xlfn.XLOOKUP(_xlfn.XLOOKUP(B135,'Base stats'!B:B,'Base stats'!E:E),Groups!A:A,Groups!AJ:AJ)="Bird",10.5*(AO135*100*1000)^0.681,4.82*(AO135*100*1000)^0.734))/(4.82*(1*100*1000)^0.734)/IF(AO135&lt;3.5,2,IF(AO135=3.5,1.5,1.25))*(1+0.132282374779864/(AO135^0.994035016789033+0.00905238001496948)),0.05))</f>
        <v>0.95000000000000007</v>
      </c>
      <c r="AR135" s="9">
        <f>IFERROR(MROUND(_xlfn.XLOOKUP(B135,'Base stats'!B:B,'Base stats'!H:H)/IF(_xlfn.XLOOKUP(B135,'Base stats'!B:B,'Base stats'!I:I)&lt;&gt;1,(122.5/70),1.2),IF(_xlfn.XLOOKUP(B135,'Base stats'!B:B,'Base stats'!H:H)&gt;=30,5,IF(_xlfn.XLOOKUP(B135,'Base stats'!B:B,'Base stats'!H:H)&gt;=15,3,IF(_xlfn.XLOOKUP(B135,'Base stats'!B:B,'Base stats'!H:H)&gt;=10,2,1)))),"Immortal")</f>
        <v>24</v>
      </c>
      <c r="AS135" s="35">
        <f>IFERROR(IF(OR(_xlfn.XLOOKUP(B135,'Base stats'!B:B,'Base stats'!F:F)="Atypical reproduction",_xlfn.XLOOKUP(B135,'Base stats'!B:B,'Base stats'!F:F)="Lay eggs"),"Lay eggs",MIN(20,MAX(5.5,ROUND(((_xlfn.XLOOKUP(B135,'Base stats'!B:B,'Base stats'!F:F)-25)*(14.5/615) + 5.5)*2,0)/2))),"Unknown")</f>
        <v>14.5</v>
      </c>
      <c r="AT135" s="8">
        <f>IF(_xlfn.XLOOKUP(B135,'Base stats'!B:B,'Base stats'!G:G)="Atypical reproduction","No",IFERROR(MAX(IF(_xlfn.XLOOKUP(B135,'Base stats'!B:B,'Base stats'!G:G)&lt;0.5,0.2,0.3),MROUND(_xlfn.XLOOKUP(B135,'Base stats'!B:B,'Base stats'!G:G)/(365/60),0.2)),"Unknown"))</f>
        <v>0.4</v>
      </c>
      <c r="AU135" s="8">
        <f t="shared" si="15"/>
        <v>0.2</v>
      </c>
      <c r="AV135" s="8">
        <f>IFERROR(IFERROR(MROUND(_xlfn.XLOOKUP(B135,'Base stats'!B:B,'Base stats'!J:J),0.1),"Lay eggs"),"Cannot breed")</f>
        <v>1</v>
      </c>
      <c r="AW135" s="2" t="str">
        <f t="shared" si="16"/>
        <v>false</v>
      </c>
      <c r="AX135" s="2" t="str">
        <f>IF(_xlfn.XLOOKUP(_xlfn.XLOOKUP(Animals!B135,'Base stats'!B:B,'Base stats'!E:E),Groups!A:A,Groups!AK:AK)=1,"true","false")</f>
        <v>true</v>
      </c>
      <c r="AY135" s="25" t="str">
        <f>IF(_xlfn.XLOOKUP(B135,'Base stats'!B:B,'Base stats'!Y:Y)="Liquor","Liquor, CarnivoreAnimalStrict",IF(AND(_xlfn.XLOOKUP(B135,'Base stats'!B:B,'Base stats'!Y:Y)="Carnivore",_xlfn.XLOOKUP(_xlfn.XLOOKUP(B135,'Base stats'!B:B,'Base stats'!E:E),Groups!A:A,Groups!AJ:AJ)="Photonozoa"),"CarnivoreAnimalStrict, OvivoreAnimal",IF(_xlfn.XLOOKUP(B135,'Base stats'!B:B,'Base stats'!Y:Y)="Carnivore","CarnivoreAnimal, OvivoreAnimal",IF(_xlfn.XLOOKUP(B135,'Base stats'!B:B,'Base stats'!Y:Y)="Dendrovore","VegetarianRoughAnimal, DendrovoreAnimal",IF(_xlfn.XLOOKUP(B135,'Base stats'!B:B,'Base stats'!Y:Y)="Herbivore","VegetarianRoughAnimal",IF(_xlfn.XLOOKUP(B135,'Base stats'!B:B,'Base stats'!Y:Y)="OmnivoreRough","OmnivoreRoughAnimal, OvivoreAnimal","OmnivoreAnimal, OvivoreAnimal"))))))</f>
        <v>VegetarianRoughAnimal</v>
      </c>
      <c r="AZ135" s="2">
        <f>IF(_xlfn.XLOOKUP(_xlfn.XLOOKUP(B135,'Base stats'!B:B,'Base stats'!E:E),Groups!A:A,Groups!D:D)=1,MROUND((1-J135)*5+1,2)*IF(J135&lt;=0.4,2,1),"No")</f>
        <v>2</v>
      </c>
      <c r="BA135" s="2" t="str">
        <f>IF(AND(_xlfn.XLOOKUP(B135,'Base stats'!B:B,'Base stats'!AH:AH)="&lt;li&gt;Seal&lt;/li&gt;",G135="Odyssey"),"&lt;li&gt;AEXP_Seal&lt;/li&gt;",_xlfn.XLOOKUP(B135,'Base stats'!B:B,'Base stats'!AH:AH))</f>
        <v>&lt;li&gt;Pig&lt;/li&gt;</v>
      </c>
      <c r="BB135" s="2" t="str">
        <f>_xlfn.XLOOKUP(B135,'Base stats'!B:B,'Base stats'!AG:AG)</f>
        <v>Leather_Plain</v>
      </c>
      <c r="BC135" s="23" t="str">
        <f>_xlfn.XLOOKUP(_xlfn.XLOOKUP(B135,'Base stats'!B:B,'Base stats'!E:E),Groups!A:A,Groups!AL:AL)</f>
        <v>QuadrupedAnimalWithHooves</v>
      </c>
      <c r="BD135" s="23">
        <f>MIN(1,MROUND(IF(AND(AO135&lt;0.5,_xlfn.XLOOKUP(B135,'Base stats'!B:B,'Base stats'!AA:AA)=0),0,IF(OR(_xlfn.XLOOKUP(Animals!B135,'Base stats'!B:B,'Base stats'!O:O)=2,_xlfn.XLOOKUP(_xlfn.XLOOKUP(B135,'Base stats'!B:B,'Base stats'!E:E),Groups!A:A,Groups!AN:AN)=0),0,_xlfn.XLOOKUP(_xlfn.XLOOKUP(B135,'Base stats'!B:B,'Base stats'!E:E),Groups!A:A,Groups!AN:AN)/IF(_xlfn.XLOOKUP(Animals!B135,'Base stats'!B:B,'Base stats'!O:O)=1,2,1)))+_xlfn.XLOOKUP(B135,'Base stats'!B:B,'Base stats'!AC:AC),0.005))</f>
        <v>0</v>
      </c>
      <c r="BE135" s="23">
        <f>MIN(1,MROUND(IF(AND(AO135&lt;0.5,_xlfn.XLOOKUP(B135,'Base stats'!B:B,'Base stats'!AA:AA)=0),0,IF(_xlfn.XLOOKUP(_xlfn.XLOOKUP(B135,'Base stats'!B:B,'Base stats'!E:E),Groups!A:A,Groups!AO:AO)=0,0,_xlfn.XLOOKUP(_xlfn.XLOOKUP(B135,'Base stats'!B:B,'Base stats'!E:E),Groups!A:A,Groups!AO:AO)/IF(_xlfn.XLOOKUP(Animals!B135,'Base stats'!B:B,'Base stats'!O:O)=2,3,1)))+_xlfn.XLOOKUP(B135,'Base stats'!B:B,'Base stats'!AD:AD),0.005))</f>
        <v>0</v>
      </c>
      <c r="BF135" s="2" t="str">
        <f>IF(J135&gt;0.3,"No",_xlfn.XLOOKUP(_xlfn.XLOOKUP(Animals!B135,'Base stats'!B:B,'Base stats'!E:E),Groups!A:A,Groups!AP:AP))</f>
        <v>No</v>
      </c>
      <c r="BG135" s="2" t="str">
        <f>IF(AND(J135&lt;=0.65,_xlfn.XLOOKUP(_xlfn.XLOOKUP(Animals!B135,'Base stats'!B:B,'Base stats'!E:E),Groups!A:A,Groups!AP:AP)&lt;&gt;"No",_xlfn.XLOOKUP(_xlfn.XLOOKUP(B135,'Base stats'!B:B,'Base stats'!E:E),Groups!A:A,Groups!D:D)=0),MROUND((80/3)*IF(_xlfn.XLOOKUP(B135,'Base stats'!B:B,'Base stats'!O:O)=2,0.2,AO135) + 24*(1-IF(BF135="No",0,BF135)) + 16/3, 12),"No")</f>
        <v>No</v>
      </c>
      <c r="BH135" s="2">
        <f>IF(AND(_xlfn.XLOOKUP(_xlfn.XLOOKUP(B135,'Base stats'!B:B,'Base stats'!E:E),Groups!A:A,Groups!AQ:AQ)=1,AO135&lt;=0.35),8,12)</f>
        <v>12</v>
      </c>
      <c r="BI135" s="2" t="str">
        <f>IF(_xlfn.XLOOKUP(_xlfn.XLOOKUP(B135,'Base stats'!B:B,'Base stats'!E:E),Groups!A:A,Groups!D:D)=0,_xlfn.XLOOKUP(_xlfn.XLOOKUP(B135,'Base stats'!B:B,'Base stats'!E:E),Groups!A:A,Groups!AR:AR),"None")</f>
        <v>None</v>
      </c>
      <c r="BJ135" s="2" t="str">
        <f>IF(AND(_xlfn.XLOOKUP(_xlfn.XLOOKUP(B135,'Base stats'!B:B,'Base stats'!E:E),Groups!A:A,Groups!AS:AS)=1,OR(_xlfn.XLOOKUP(B135,'Base stats'!B:B,'Base stats'!Y:Y)="Carnivore",_xlfn.XLOOKUP(B135,'Base stats'!B:B,'Base stats'!Y:Y)="Omnivore")),"true","false")</f>
        <v>false</v>
      </c>
      <c r="BK135" s="2" t="str">
        <f>IF(BJ135="true",MROUND(IF(AND(AO135&gt;0.5,OR(_xlfn.XLOOKUP(_xlfn.XLOOKUP(B135,'Base stats'!B:B,'Base stats'!E:E),Groups!A:A,Groups!AJ:AJ)="Photonozoa",_xlfn.XLOOKUP(_xlfn.XLOOKUP(B135,'Base stats'!B:B,'Base stats'!E:E),Groups!A:A,Groups!AJ:AJ)="Mammal")),Animals!AO135*1.75*IF(AW135="true",1.5,1),IF(AO135&lt;0.5,Animals!AO135*0.5,Animals!AO135)),IF(AO135&gt;2,0.5,IF(AO135&gt;0.5,0.25,0.1))),"No")</f>
        <v>No</v>
      </c>
      <c r="BL135" s="2">
        <f t="shared" si="17"/>
        <v>0</v>
      </c>
      <c r="BM135" s="25" t="str">
        <f>IF(_xlfn.XLOOKUP(B135,'Base stats'!B:B,'Base stats'!AN:AN)="Standard","No",MROUND((_xlfn.XLOOKUP(B135,'Base stats'!B:B,'Base stats'!AN:AN)/3.6)/I135,0.1))</f>
        <v>No</v>
      </c>
      <c r="BN135" s="25" t="str">
        <f t="shared" si="18"/>
        <v>false</v>
      </c>
      <c r="BO135" s="25" t="str">
        <f>IF(AND(OR(_xlfn.XLOOKUP(B135,'Base stats'!B:B,'Base stats'!Y:Y)="Carnivore",_xlfn.XLOOKUP(B135,'Base stats'!B:B,'Base stats'!Y:Y)="Omnivore",_xlfn.XLOOKUP(B135,'Base stats'!B:B,'Base stats'!Y:Y)="OmnivoreRough"),_xlfn.XLOOKUP(_xlfn.XLOOKUP(B135,'Base stats'!B:B,'Base stats'!E:E),Groups!A:A,Groups!AT:AT)=1),"true","false")</f>
        <v>false</v>
      </c>
      <c r="BP135" s="25" t="str" cm="1">
        <f t="array" ref="BP135">IF(
  _xlfn.TEXTJOIN(", ",TRUE,
    IF(AND(BJ135="true",AO135&gt;0.5,BI135&lt;&gt;"None"),"AttackTarget",""),
    IF(AND(_xlfn.XLOOKUP(_xlfn.XLOOKUP(B135,'Base stats'!B:B,'Base stats'!E:E),Groups!A:A,Groups!AJ:AJ="Mammal"),OR(_xlfn.XLOOKUP(B135,'Base stats'!B:B,'Base stats'!Y:Y)="Omnivore",_xlfn.XLOOKUP(B135,'Base stats'!B:B,'Base stats'!Y:Y)="OmnivoreRough")),"Forage",""),
    IF(BG135&lt;=36,"Comfort",""),
    IF(_xlfn.XLOOKUP(B135,'Base stats'!B:B,'Base stats'!AE:AE)&lt;&gt;"No",_xlfn.XLOOKUP(B135,'Base stats'!B:B,'Base stats'!AE:AE),"")
  ) = "",
  "No",
  _xlfn.TEXTJOIN(", ",TRUE,
    IF(AND(BJ135="true",AO135&gt;0.5,BI135&lt;&gt;"None"),"AttackTarget",""),
    IF(AND(_xlfn.XLOOKUP(_xlfn.XLOOKUP(B135,'Base stats'!B:B,'Base stats'!E:E),Groups!A:A,Groups!AJ:AJ="Mammal"),OR(_xlfn.XLOOKUP(B135,'Base stats'!B:B,'Base stats'!Y:Y)="Omnivore",_xlfn.XLOOKUP(B135,'Base stats'!B:B,'Base stats'!Y:Y)="OmnivoreRough")),"Forage",""),
    IF(BG135&lt;=36,"Comfort",""),
    IF(_xlfn.XLOOKUP(B135,'Base stats'!B:B,'Base stats'!AE:AE)&lt;&gt;"No",_xlfn.XLOOKUP(B135,'Base stats'!B:B,'Base stats'!AE:AE),"")
  )
)</f>
        <v>No</v>
      </c>
      <c r="BQ135" s="25" t="str">
        <f>IF(
   AND(
      'Base stats'!AN135="Standard",_xlfn.XLOOKUP(_xlfn.XLOOKUP(B135,'Base stats'!B:B,'Base stats'!E:E),Groups!A:A,Groups!AU:AU)=0,
      OR(
      BO135="True"
      )
   ),
   10,
   IF(
       OR(BM135&lt;&gt;"No",_xlfn.XLOOKUP(_xlfn.XLOOKUP(B135,'Base stats'!B:B,'Base stats'!E:E),Groups!A:A,Groups!AU:AU)=1),
      1,
      "No"
   )
)</f>
        <v>No</v>
      </c>
      <c r="BR135" s="9">
        <f>MROUND((1 + ((0.2*IF(OR(Q135="No",R135="No",R135=0),0,Q135/R135)
+IF(OR(V135="No",S135="No",T135="No"),0,S135/T135*(LEN(V135)-LEN(SUBSTITUTE(V135,",",""))+1))
+IF(OR(X135="No",Y135="No"),0,X135/Y135)
+IF(OR(AD135="No",AE135="No"),0,AD135/AE135)
+IF(OR(AL135="No",AI135="No",AJ135="No"),0,AI135/AJ135*(LEN(AL135)-LEN(SUBSTITUTE(AL135,",",""))+1))
)/(0.2*IF(OR(Q135="No",R135="No",R135=0),0,1)
+IF(OR(V135="No",S135="No",T135="No"),0,LEN(V135)-LEN(SUBSTITUTE(V135,",",""))+1)
+IF(OR(X135="No",Y135="No"),0,1)
+IF(OR(AD135="No",AE135="No"),0,1)
+IF(OR(AL135="No",AI135="No",AJ135="No"),0,LEN(AL135)-LEN(SUBSTITUTE(AL135,",",""))+1))*62%)* 2)*(1 + (AP135 / (IF(_xlfn.XLOOKUP(_xlfn.XLOOKUP(B135,'Base stats'!B:B,'Base stats'!E:E),Groups!A:A,Groups!AJ:AJ)="Photonozoa",0.3,1)) + _xlfn.XLOOKUP(B135,'Base stats'!B:B,'Base stats'!AV:AV) * 1.8) * 2) * 2.5 + 10 + I135 * 2,5)+IF(_xlfn.XLOOKUP(B135,'Base stats'!B:B,'Base stats'!AK:AK)=1,50,0)</f>
        <v>150</v>
      </c>
      <c r="BS135" s="8">
        <f t="shared" si="19"/>
        <v>1.2000000000000002</v>
      </c>
      <c r="BT135" s="8" t="str">
        <f>_xlfn.XLOOKUP(B135,'Base stats'!B:B,'Base stats'!AF:AF)</f>
        <v>No</v>
      </c>
      <c r="BU135" s="2" t="str">
        <f>IF(AND(J135&lt;=0.95,OR(_xlfn.XLOOKUP(B135,'Base stats'!B:B,'Base stats'!AK:AK)=1,_xlfn.XLOOKUP(B135,'Base stats'!B:B,'Base stats'!Y:Y)="Carnivore",_xlfn.XLOOKUP(B135,'Base stats'!B:B,'Base stats'!Y:Y)="Omnivore",BE135&gt;0.1)),"true","false")</f>
        <v>false</v>
      </c>
      <c r="BV135" s="2" t="str">
        <f>IF(_xlfn.XLOOKUP(B135,'Base stats'!B:B,'Base stats'!AI:AI)=1,"true","false")</f>
        <v>false</v>
      </c>
      <c r="BW135" s="25" t="str">
        <f>IF(E135="BaseInsect","AnimalInsect",
IF(J135&gt;0.95,"AnimalExotic",
_xlfn.TEXTJOIN(", ",TRUE,
IF(OR(_xlfn.XLOOKUP(B135,'Base stats'!B:B,'Base stats'!AM:AM)=1,AND(_xlfn.XLOOKUP(B135,'Base stats'!B:B,'Base stats'!O:O)=0,_xlfn.XLOOKUP(_xlfn.XLOOKUP(B135,'Base stats'!B:B,'Base stats'!E:E),Groups!A:A,Groups!B:B)&gt;0)),"AnimalUncommon","AnimalCommon"),
IF(AND(_xlfn.XLOOKUP(B135,'Base stats'!B:B,'Base stats'!O:O)=2,_xlfn.XLOOKUP(_xlfn.XLOOKUP(B135,'Base stats'!B:B,'Base stats'!E:E),Groups!A:A,Groups!D:D)=0),"AnimalPet",IF(AND(_xlfn.XLOOKUP(B135,'Base stats'!B:B,'Base stats'!O:O)&lt;&gt;0,_xlfn.XLOOKUP(_xlfn.XLOOKUP(B135,'Base stats'!B:B,'Base stats'!E:E),Groups!A:A,Groups!D:D)&lt;&gt;0),"AnimalFarm","")),
IF(OR(_xlfn.XLOOKUP(B135,'Base stats'!B:B,'Base stats'!AK:AK)=1,AND(BI135&lt;&gt;"None",BR135&gt;=60),ISNUMBER(SEARCH("Attack target",BP135))),"AnimalFighter","")
)))</f>
        <v>AnimalCommon</v>
      </c>
      <c r="BX135" s="25" t="str">
        <f>IF(G135="None",TRIM(
SUBSTITUTE(
IF(COUNTIF(Biomes!B$2:B$259,"="&amp;$C135)&gt;0,Biomes!B$1&amp;", ","")&amp;
IF(COUNTIF(Biomes!C$2:C$259,"="&amp;$C135)&gt;0,Biomes!C$1&amp;", ","")&amp;
IF(COUNTIF(Biomes!D$2:D$259,"="&amp;$C135)&gt;0,Biomes!D$1&amp;", ","")&amp;
IF(COUNTIF(Biomes!F$2:F$259,"="&amp;$C135)&gt;0,Biomes!F$1&amp;", ","")&amp;
IF(COUNTIF(Biomes!G$2:G$259,"="&amp;$C135)&gt;0,Biomes!G$1&amp;", ","")&amp;
IF(COUNTIF(Biomes!H$2:H$259,"="&amp;$C135)&gt;0,Biomes!H$1&amp;", ","")&amp;
IF(COUNTIF(Biomes!I$2:I$259,"="&amp;$C135)&gt;0,Biomes!I$1&amp;", ","")&amp;
IF(COUNTIF(Biomes!J$2:J$259,"="&amp;$C135)&gt;0,Biomes!J$1&amp;", ","")&amp;
IF(COUNTIF(Biomes!M$2:M$259,"="&amp;$C135)&gt;0,Biomes!M$1&amp;", ","")&amp;
IF(COUNTIF(Biomes!N$2:N$259,"="&amp;$C135)&gt;0,Biomes!N$1&amp;", ","")&amp;
IF(COUNTIF(Biomes!O$2:O$259,"="&amp;$C135)&gt;0,Biomes!O$1&amp;", ","")&amp;
IF(COUNTIF(Biomes!P$2:P$259,"="&amp;$C135)&gt;0,Biomes!P$1&amp;", ","")&amp;
IF(COUNTIF(Biomes!K$2:K$259,"="&amp;$C135)&gt;0,Biomes!K$1&amp;", ","")&amp;
IF(COUNTIF(Biomes!Q$3:Q$259,"="&amp;$C135)&gt;0,Biomes!Q$1&amp;", ","")&amp;
IF(COUNTIF(Biomes!L$2:L$259,"="&amp;$C135)&gt;0,Biomes!L$1&amp;", ","")&amp;
IF(COUNTIF(Biomes!E$2:E$259,"="&amp;$C135)&gt;0,Biomes!E$1&amp;", ","")&amp;IF(COUNTIF(Biomes!S$2:S$259,"="&amp;$C135)&gt;0,Biomes!S$1&amp;", ","")&amp;
IF(COUNTIF(Biomes!R$2:R$259,"="&amp;$C135)&gt;0,Biomes!R$1&amp;", ",""),", ","")
),_xlfn.XLOOKUP(B135,B:B,BX:BX))</f>
        <v>TropicalRainforest TropicalSwamp Glowforest</v>
      </c>
      <c r="BY135" s="25" t="str">
        <f>IF(_xlfn.XLOOKUP(B135,'Base stats'!B:B,'Base stats'!AJ:AJ)=1,"true","false")</f>
        <v>false</v>
      </c>
      <c r="BZ135" s="25">
        <f>IF(_xlfn.XLOOKUP(B135,'Base stats'!B:B,'Base stats'!N:N)=1,"No",MAX(0.001,MIN(MROUND(IF(AND(BJ135="True",CC135="False"),POWER(10,3.47*LOG10(_xlfn.XLOOKUP(B135,'Base stats'!B:B,'Base stats'!C:C)*1000)^-0.96),POWER(10,4.15*LOG10(_xlfn.XLOOKUP(B135,'Base stats'!B:B,'Base stats'!C:C)*1000)^-0.73))*IF(_xlfn.XLOOKUP(B135,'Base stats'!B:B,'Base stats'!AK:AK)=1,0.5,1)*IF(_xlfn.XLOOKUP(B135,'Base stats'!B:B,'Base stats'!AM:AM)=1,0.1,1)/100,IF(_xlfn.XLOOKUP(B135,'Base stats'!B:B,'Base stats'!AM:AM)=1,0.001,0.025)),0.5)))</f>
        <v>0.15000000000000002</v>
      </c>
      <c r="CA135" s="25" t="str">
        <f>IF(P135="Standard","No",MAX(0.001,MIN(MROUND(IF(AND(BJ135="True",CC135="False"),POWER(10,3.47*LOG10(_xlfn.XLOOKUP(B135,'Base stats'!B:B,'Base stats'!C:C)*1000)^-0.96),POWER(10,4.15*LOG10(_xlfn.XLOOKUP(B135,'Base stats'!B:B,'Base stats'!C:C)*1000)^-0.73))*IF(_xlfn.XLOOKUP(B135,'Base stats'!B:B,'Base stats'!AM:AM)=1,0.1,1)*_xlfn.XLOOKUP(B135,'Base stats'!B:B,'Base stats'!R:R)/100,IF(_xlfn.XLOOKUP(B135,'Base stats'!B:B,'Base stats'!AM:AM)=1,0.001,0.025)),0.5)))</f>
        <v>No</v>
      </c>
      <c r="CB135" s="25" t="str">
        <f>IF(_xlfn.XLOOKUP(_xlfn.XLOOKUP(B135,'Base stats'!B:B,'Base stats'!E:E),Groups!A:A,Groups!AJ:AJ)="Mammal","True","False")</f>
        <v>True</v>
      </c>
      <c r="CC135" s="25" t="str">
        <f>IF(OR(_xlfn.XLOOKUP(_xlfn.XLOOKUP(B135,'Base stats'!B:B,'Base stats'!E:E),Groups!A:A,Groups!AJ:AJ)="Reptile",_xlfn.XLOOKUP(_xlfn.XLOOKUP(B135,'Base stats'!B:B,'Base stats'!E:E),Groups!A:A,Groups!AJ:AJ)="Amphibian",_xlfn.XLOOKUP(_xlfn.XLOOKUP(B135,'Base stats'!B:B,'Base stats'!E:E),Groups!A:A,Groups!AJ:AJ)="Invertebrate"),"True","False")</f>
        <v>False</v>
      </c>
      <c r="CD135" s="25" t="str">
        <f t="shared" si="20"/>
        <v>False</v>
      </c>
      <c r="CE135" s="25" t="str">
        <f>IF(_xlfn.XLOOKUP(_xlfn.XLOOKUP(B135,'Base stats'!B:B,'Base stats'!E:E),Groups!A:A,Groups!AX:AX),"True","False")</f>
        <v>False</v>
      </c>
      <c r="CF135" s="25" t="str">
        <f>IF(_xlfn.XLOOKUP(_xlfn.XLOOKUP(B135,'Base stats'!B:B,'Base stats'!E:E),Groups!A:A,Groups!AY:AY),"True","False")</f>
        <v>False</v>
      </c>
      <c r="CG135" s="25" t="str">
        <f>IF(_xlfn.XLOOKUP(_xlfn.XLOOKUP(B135,'Base stats'!B:B,'Base stats'!E:E),Groups!A:A,Groups!AW:AW),"True","False")</f>
        <v>False</v>
      </c>
      <c r="CH135" s="25" t="str">
        <f>IF(
OR(
_xlfn.XLOOKUP(_xlfn.XLOOKUP(B135,'Base stats'!B:B,'Base stats'!E:E),Groups!A:A,Groups!AZ:AZ)=0,
AND(
_xlfn.XLOOKUP(B135,'Base stats'!B:B,'Base stats'!Y:Y)&lt;&gt;"Carnivore",
_xlfn.XLOOKUP(B135,'Base stats'!B:B,'Base stats'!Y:Y)&lt;&gt;"Omnivore",
_xlfn.XLOOKUP(B135,'Base stats'!B:B,'Base stats'!Y:Y)&lt;&gt;"OmnivoreRough"
)
),
"No",
IF(
_xlfn.XLOOKUP(_xlfn.XLOOKUP(B135,'Base stats'!B:B,'Base stats'!E:E),Groups!A:A,Groups!AZ:AZ)=1,
"Flesh",
IF(
_xlfn.XLOOKUP(_xlfn.XLOOKUP(B135,'Base stats'!B:B,'Base stats'!E:E),Groups!A:A,Groups!AZ:AZ)=2,
"Bone",
""
)
)
)</f>
        <v>No</v>
      </c>
      <c r="CI135" s="25" t="str">
        <f>IF(_xlfn.XLOOKUP(_xlfn.XLOOKUP(B135,'Base stats'!B:B,'Base stats'!E:E),Groups!A:A,Groups!BB:BB),"True","False")</f>
        <v>True</v>
      </c>
      <c r="CJ135" s="25" t="str">
        <f>IF(_xlfn.XLOOKUP(_xlfn.XLOOKUP(B135,'Base stats'!B:B,'Base stats'!E:E),Groups!A:A,Groups!BA:BA),"True","False")</f>
        <v>False</v>
      </c>
    </row>
    <row r="136" spans="1:88" ht="16.5" thickTop="1" thickBot="1" x14ac:dyDescent="0.3">
      <c r="A136" s="26" t="str">
        <f>_xlfn.XLOOKUP(B136,'Base stats'!B:B,'Base stats'!A:A)</f>
        <v>Anaconda</v>
      </c>
      <c r="B136" s="6" t="s">
        <v>483</v>
      </c>
      <c r="C136" s="28" t="s">
        <v>817</v>
      </c>
      <c r="D136" s="28" t="s">
        <v>872</v>
      </c>
      <c r="E136" s="28" t="s">
        <v>673</v>
      </c>
      <c r="F136" s="28" t="s">
        <v>673</v>
      </c>
      <c r="G136" s="28" t="s">
        <v>673</v>
      </c>
      <c r="H136" s="2">
        <f>MROUND((
  (IF(AND(_xlfn.XLOOKUP(B136,'Base stats'!B:B,'Base stats'!AL:AL)=0,BI136="None",_xlfn.XLOOKUP(_xlfn.XLOOKUP(B136,'Base stats'!B:B,'Base stats'!E:E),Groups!A:A,Groups!B:B)=0), (18 + BR136 * 2.7) * 0.5,
    IF(AND(_xlfn.XLOOKUP(B136,'Base stats'!B:B,'Base stats'!AL:AL)=0,OR(AO136&lt;0.55,AND(BI136="Intermediate",_xlfn.XLOOKUP(_xlfn.XLOOKUP(B136,'Base stats'!B:B,'Base stats'!E:E),Groups!A:A,Groups!B:B)&lt;2))), (18 + BR136 * 2.7),
      IF(OR(BI136="Advanced",_xlfn.XLOOKUP(B136,'Base stats'!B:B,'Base stats'!AL:AL)=1,_xlfn.XLOOKUP(_xlfn.XLOOKUP(B136,'Base stats'!B:B,'Base stats'!E:E),Groups!A:A,Groups!B:B)=2), (18 + BR136 * 2.7) + 250, (18 + BR136 * 2.7))
    )
  ))
  + AO136 * 80
  + IF(COUNTIF(EggMilk!K$2:K$998, A136) &gt; 0, 125, 0)
  + IF(COUNTIF(EggMilk!P$2:P$998, A136) &gt; 0, 90, 0)
  + IF(COUNTIF(EggMilk!A$2:A$998, A136) &gt; 0, 90, 0)
)
* (0.8 + 0.4 * J136)
* 0.75,25)</f>
        <v>525</v>
      </c>
      <c r="I136" s="2">
        <f>MROUND(ROUNDDOWN(_xlfn.XLOOKUP(B136,'Base stats'!B:B,'Base stats'!L:L)/3.6/(23.3/11),1),0.5)</f>
        <v>1.5</v>
      </c>
      <c r="J136" s="2">
        <f>IF(OR(_xlfn.XLOOKUP(B136,'Base stats'!B:B,'Base stats'!AB:AB)=1,_xlfn.XLOOKUP(_xlfn.XLOOKUP(B136,'Base stats'!B:B,'Base stats'!E:E),Groups!A:A,Groups!C:C)="Untamable"),1,IF(_xlfn.XLOOKUP(B136,'Base stats'!B:B,'Base stats'!AL:AL)=1,0.99,MIN(MROUND((1-0.6282*EXP(-0.459*AO136))*_xlfn.XLOOKUP(_xlfn.XLOOKUP(B136,'Base stats'!B:B,'Base stats'!E:E),Groups!A:A,Groups!C:C)*IF(_xlfn.XLOOKUP(B136,'Base stats'!B:B,'Base stats'!O:O)=1,0.5,IF(_xlfn.XLOOKUP(B136,'Base stats'!B:B,'Base stats'!O:O)=2,0,1)),0.05),IF(AO136&gt;3.5,0.985,0.95))))</f>
        <v>0.95</v>
      </c>
      <c r="K136" s="2">
        <f>ROUNDUP(AO136*_xlfn.XLOOKUP(_xlfn.XLOOKUP(B136,'Base stats'!B:B,'Base stats'!E:E),Groups!A:A,Groups!E:E),0)</f>
        <v>2</v>
      </c>
      <c r="L136" s="2">
        <f>IF(OR(_xlfn.XLOOKUP(_xlfn.XLOOKUP(B136,'Base stats'!B:B,'Base stats'!E:E),Groups!A:A,Groups!F:F)=2,ISNUMBER(SEARCH("SeaIce",BX136)),ISNUMBER(SEARCH("IceSheet",BX136))),-50,IF(OR(ISNUMBER(SEARCH("GlacialPlain",BX136)),ISNUMBER(SEARCH("Tundra",BX136))),-40,IF(OR(ISNUMBER(SEARCH("Alpine",BX136)),ISNUMBER(SEARCH("BorealForest",BX136)),ISNUMBER(SEARCH("ColdBog",BX136))),-30,IF(OR(ISNUMBER(SEARCH("TemperateForest",BX136)),ISNUMBER(SEARCH("TemperateSwamp",BX136))),-20,IF(_xlfn.XLOOKUP(_xlfn.XLOOKUP(B136,'Base stats'!B:B,'Base stats'!E:E),Groups!A:A,Groups!F:F)=1,-15,IF(OR(ISNUMBER(SEARCH("Desert",BX136)),ISNUMBER(SEARCH("ExtremeDesert",BX136))),-10,IF(OR(ISNUMBER(SEARCH("Grasslands",BX136)),ISNUMBER(SEARCH("TropicalRainforest",BX136)),ISNUMBER(SEARCH("TropicalSwamp",BX136))),10,0)))))))-IF(CC136="False",MIN(IFERROR(MAX(MROUND(LOG10(_xlfn.XLOOKUP(B136,'Base stats'!B:B,'Base stats'!C:C)^(2/3))*10,5),5),5),30))-_xlfn.XLOOKUP(B136,'Base stats'!B:B,'Base stats'!P:P)+IF(CC136="True",5,0)</f>
        <v>15</v>
      </c>
      <c r="M136" s="2">
        <f>IF(OR(_xlfn.XLOOKUP(_xlfn.XLOOKUP(B136,'Base stats'!B:B,'Base stats'!E:E),Groups!A:A,Groups!G:G)=2,ISNUMBER(SEARCH("Desert",BX136)),ISNUMBER(SEARCH("ExtremeDesert",BX136)),ISNUMBER(SEARCH("LavaField",BX136))),50,IF(ISNUMBER(SEARCH("Grasslands",BX136)),45,IF(OR(_xlfn.XLOOKUP(_xlfn.XLOOKUP(B136,'Base stats'!B:B,'Base stats'!E:E),Groups!A:A,Groups!G:G)=1,ISNUMBER(SEARCH("TropicalRainforest",BX136)),ISNUMBER(SEARCH("TropicalSwamp",BX136))),40,IF(OR(ISNUMBER(SEARCH("TemperateForest",BX136)),ISNUMBER(SEARCH("TemperateSwamp",BX136))),35,IF(OR(ISNUMBER(SEARCH("Alpine",BX136)),ISNUMBER(SEARCH("BorealForest",BX136)),ISNUMBER(SEARCH("ColdBog",BX136))),30,IF(ISNUMBER(OR(ISNUMBER(SEARCH("GlacialPlain",BX136)),SEARCH("Tundra",BX136))),25,IF(OR(ISNUMBER(SEARCH("SeaIce",BX136)),ISNUMBER(SEARCH("IceSheet",BX136)),ISNUMBER(SEARCH("TropicalSwamp",BX136))),10,35)))))))+_xlfn.XLOOKUP(B136,'Base stats'!B:B,'Base stats'!Q:Q)</f>
        <v>40</v>
      </c>
      <c r="N136" s="8" t="str">
        <f>IF(
_xlfn.XLOOKUP(
_xlfn.XLOOKUP(B136,'Base stats'!B:B,'Base stats'!E:E),
Groups!A:A,
Groups!L:L
)=1,
MIN(
MROUND(
IF(
_xlfn.XLOOKUP(B136,'Animals CE'!B:B,'Animals CE'!Z:Z)&lt;=1.5,
_xlfn.XLOOKUP(B136,'Animals CE'!B:B,'Animals CE'!Z:Z)/2+0.05,
0.8+
(_xlfn.XLOOKUP(B136,'Animals CE'!B:B,'Animals CE'!Z:Z)-1.5)
*0.02
),
0.05
),
200%
),
"No"
)</f>
        <v>No</v>
      </c>
      <c r="O136" s="8" t="str">
        <f>IF(
_xlfn.XLOOKUP(
_xlfn.XLOOKUP(B136,'Base stats'!B:B,'Base stats'!E:E),
Groups!A:A,
Groups!L:L
)=1,
MIN(
MROUND(
IF(
_xlfn.XLOOKUP(B136,'Animals CE'!B:B,'Animals CE'!AA:AA)&lt;=1.5,
_xlfn.XLOOKUP(B136,'Animals CE'!B:B,'Animals CE'!AA:AA)/2+0.05,
0.8+
(_xlfn.XLOOKUP(B136,'Animals CE'!B:B,'Animals CE'!AA:AA)-1.5)
*0.02
),
0.05
),
200%
),
"No"
)</f>
        <v>No</v>
      </c>
      <c r="P136" s="2" t="str">
        <f>_xlfn.XLOOKUP(B136,'Base stats'!B:B,'Base stats'!R:R)</f>
        <v>Standard</v>
      </c>
      <c r="Q136" s="13">
        <f>MROUND((LOG10(_xlfn.XLOOKUP(B136,'Base stats'!B:B,'Base stats'!AR:AR))*(AO136^0.5)+(_xlfn.XLOOKUP(B136,'Base stats'!B:B,'Base stats'!AR:AR)/1000)^(2/3)+_xlfn.XLOOKUP(B136,'Base stats'!B:B,'Base stats'!BA:BA)/2)+0.5,0.5)</f>
        <v>8</v>
      </c>
      <c r="R136" s="7">
        <f>IF(Q136="No","No",MAX(1,MROUND(_xlfn.XLOOKUP(B136,'Base stats'!B:B,'Base stats'!C:C)^0.165,0.05)))</f>
        <v>2.15</v>
      </c>
      <c r="S136" s="13" t="str">
        <f>IF(_xlfn.XLOOKUP(_xlfn.XLOOKUP(B136,'Base stats'!B:B,'Base stats'!E:E),Groups!A:A,Groups!P:P)=0,"No",MROUND((LOG10(_xlfn.XLOOKUP(B136,'Base stats'!B:B,'Base stats'!AS:AS))*(AO136^0.5)+(_xlfn.XLOOKUP(B136,'Base stats'!B:B,'Base stats'!AS:AS)/1000)^(2/3)+_xlfn.XLOOKUP(B136,'Base stats'!B:B,'Base stats'!BA:BA))+_xlfn.XLOOKUP(B136,'Base stats'!B:B,'Base stats'!AY:AY)+0.5,0.5))</f>
        <v>No</v>
      </c>
      <c r="T136" s="7" t="str">
        <f>IF(S136="No","No",MAX(_xlfn.XLOOKUP(_xlfn.XLOOKUP(B136,'Base stats'!B:B,'Base stats'!E:E),Groups!A:A,Groups!Q:Q),MROUND(_xlfn.XLOOKUP(_xlfn.XLOOKUP(B136,'Base stats'!B:B,'Base stats'!E:E),Groups!A:A,Groups!Q:Q)*_xlfn.XLOOKUP(B136,'Base stats'!B:B,'Base stats'!C:C)^0.165,0.05)))</f>
        <v>No</v>
      </c>
      <c r="U136" s="7" t="str">
        <f>IF(S136="No","No",_xlfn.XLOOKUP(_xlfn.XLOOKUP(B136,'Base stats'!B:B,'Base stats'!E:E),Groups!A:A,Groups!R:R))</f>
        <v>No</v>
      </c>
      <c r="V136" s="7" t="str">
        <f>IF(S136="No","No",_xlfn.XLOOKUP(_xlfn.XLOOKUP(B136,'Base stats'!B:B,'Base stats'!E:E),Groups!A:A,Groups!S:S))</f>
        <v>No</v>
      </c>
      <c r="W136" s="7" t="str">
        <f>IF(S136="No","No",_xlfn.XLOOKUP(_xlfn.XLOOKUP(B136,'Base stats'!B:B,'Base stats'!E:E),Groups!A:A,Groups!T:T))</f>
        <v>No</v>
      </c>
      <c r="X136" s="13" t="str">
        <f>IF(_xlfn.XLOOKUP(B136,'Base stats'!B:B,'Base stats'!W:W)="No","No",MROUND((LOG10(_xlfn.XLOOKUP(B136,'Base stats'!B:B,'Base stats'!AU:AU))*(AO136^0.5)+(_xlfn.XLOOKUP(B136,'Base stats'!B:B,'Base stats'!AU:AU)/1000)^(2/3)+_xlfn.XLOOKUP(B136,'Base stats'!B:B,'Base stats'!AZ:AZ))+0.5+IF(_xlfn.XLOOKUP(_xlfn.XLOOKUP(B136,'Base stats'!B:B,'Base stats'!E:E),Groups!A:A,Groups!U:U)&lt;&gt;3,_xlfn.XLOOKUP(B136,'Base stats'!B:B,'Base stats'!BA:BA),0),0.5))</f>
        <v>No</v>
      </c>
      <c r="Y136" s="7" t="str">
        <f>IF(X136="No","No",MAX(_xlfn.XLOOKUP(_xlfn.XLOOKUP(B136,'Base stats'!B:B,'Base stats'!E:E),Groups!A:A,Groups!V:V),MROUND(_xlfn.XLOOKUP(_xlfn.XLOOKUP(B136,'Base stats'!B:B,'Base stats'!E:E),Groups!A:A,Groups!V:V)*_xlfn.XLOOKUP(B136,'Base stats'!B:B,'Base stats'!C:C)^0.165,0.05)))</f>
        <v>No</v>
      </c>
      <c r="Z136" s="7" t="str">
        <f>IF(X136="No","No",_xlfn.XLOOKUP(_xlfn.XLOOKUP(B136,'Base stats'!B:B,'Base stats'!E:E),Groups!A:A,Groups!W:W))</f>
        <v>No</v>
      </c>
      <c r="AA136" s="7" t="str">
        <f>IF(X136="No","No",_xlfn.XLOOKUP(_xlfn.XLOOKUP(B136,'Base stats'!B:B,'Base stats'!E:E),Groups!A:A,Groups!X:X))</f>
        <v>No</v>
      </c>
      <c r="AB136" s="7" t="str">
        <f>IF(X136="No","No",_xlfn.XLOOKUP(_xlfn.XLOOKUP(B136,'Base stats'!B:B,'Base stats'!E:E),Groups!A:A,Groups!Y:Y))</f>
        <v>No</v>
      </c>
      <c r="AC136" s="7" t="str">
        <f>_xlfn.XLOOKUP(Animals!B136,'Base stats'!B:B,'Base stats'!X:X)</f>
        <v>False</v>
      </c>
      <c r="AD136" s="13">
        <f>IF(_xlfn.XLOOKUP(B136,'Base stats'!B:B,'Base stats'!AT:AT)="No","No",MROUND((LOG10(_xlfn.XLOOKUP(B136,'Base stats'!B:B,'Base stats'!AT:AT))*(AO136^0.75)+(_xlfn.XLOOKUP(B136,'Base stats'!B:B,'Base stats'!AT:AT)/1000)^(2/3)+_xlfn.XLOOKUP(B136,'Base stats'!B:B,'Base stats'!AX:AX)+_xlfn.XLOOKUP(B136,'Base stats'!B:B,'Base stats'!BA:BA))+0.5,0.5))</f>
        <v>11.5</v>
      </c>
      <c r="AE136" s="7">
        <f>IF(AD136="No","No",MAX(_xlfn.XLOOKUP(_xlfn.XLOOKUP(B136,'Base stats'!B:B,'Base stats'!E:E),Groups!A:A,Groups!Z:Z),MROUND(_xlfn.XLOOKUP(_xlfn.XLOOKUP(B136,'Base stats'!B:B,'Base stats'!E:E),Groups!A:A,Groups!Z:Z)*_xlfn.XLOOKUP(B136,'Base stats'!B:B,'Base stats'!C:C)^0.165,0.05)))</f>
        <v>1.7000000000000002</v>
      </c>
      <c r="AF136" s="7" t="str">
        <f>IF(AD136="No","No",_xlfn.XLOOKUP(_xlfn.XLOOKUP(B136,'Base stats'!B:B,'Base stats'!E:E),Groups!A:A,Groups!AA:AA))</f>
        <v>Mouth</v>
      </c>
      <c r="AG136" s="7" t="str">
        <f>IF(AD136="No","No",_xlfn.XLOOKUP(_xlfn.XLOOKUP(B136,'Base stats'!B:B,'Base stats'!E:E),Groups!A:A,Groups!AB:AB))</f>
        <v>fangs</v>
      </c>
      <c r="AH136" s="7" t="str">
        <f>IF(AD136="No","No",_xlfn.XLOOKUP(_xlfn.XLOOKUP(B136,'Base stats'!B:B,'Base stats'!E:E),Groups!A:A,Groups!AC:AC))</f>
        <v>Bite</v>
      </c>
      <c r="AI136" s="13" t="str">
        <f>IF(_xlfn.XLOOKUP(_xlfn.XLOOKUP(B136,'Base stats'!B:B,'Base stats'!E:E),Groups!A:A,Groups!AD:AD)=0,"No",MROUND((LOG10(_xlfn.XLOOKUP(B136,'Base stats'!B:B,'Base stats'!AS:AS))*(AO136^0.75)+(_xlfn.XLOOKUP(B136,'Base stats'!B:B,'Base stats'!AS:AS)/1000)^(2/3)+_xlfn.XLOOKUP(B136,'Base stats'!B:B,'Base stats'!AY:AY)+_xlfn.XLOOKUP(B136,'Base stats'!B:B,'Base stats'!BA:BA))+0.5,0.5))</f>
        <v>No</v>
      </c>
      <c r="AJ136" s="7" t="str">
        <f>IF(AI136="No","No",MAX(_xlfn.XLOOKUP(_xlfn.XLOOKUP(B136,'Base stats'!B:B,'Base stats'!E:E),Groups!A:A,Groups!AE:AE),MROUND(_xlfn.XLOOKUP(_xlfn.XLOOKUP(B136,'Base stats'!B:B,'Base stats'!E:E),Groups!A:A,Groups!AE:AE)*IF(_xlfn.XLOOKUP(_xlfn.XLOOKUP(B136,'Base stats'!B:B,'Base stats'!E:E),Groups!A:A,Groups!AJ:AJ)="Photonozoa",0.6,1)*_xlfn.XLOOKUP(B136,'Base stats'!B:B,'Base stats'!C:C)^0.165,0.05)))</f>
        <v>No</v>
      </c>
      <c r="AK136" s="7" t="str">
        <f>IF(AI136="No","No",_xlfn.XLOOKUP(_xlfn.XLOOKUP(B136,'Base stats'!B:B,'Base stats'!E:E),Groups!A:A,Groups!AF:AF))</f>
        <v>No</v>
      </c>
      <c r="AL136" s="7" t="str">
        <f>IF(AI136="No","No",_xlfn.XLOOKUP(_xlfn.XLOOKUP(B136,'Base stats'!B:B,'Base stats'!E:E),Groups!A:A,Groups!AG:AG))</f>
        <v>No</v>
      </c>
      <c r="AM136" s="7" t="str">
        <f>IF(AI136="No","No",_xlfn.XLOOKUP(_xlfn.XLOOKUP(B136,'Base stats'!B:B,'Base stats'!E:E),Groups!A:A,Groups!AH:AH))</f>
        <v>No</v>
      </c>
      <c r="AN136" s="2">
        <f t="shared" si="14"/>
        <v>20</v>
      </c>
      <c r="AO136" s="2">
        <f>MROUND(IF(AND(_xlfn.XLOOKUP(B136,'Base stats'!B:B,'Base stats'!C:C)&gt;=0.5,_xlfn.XLOOKUP(B136,'Base stats'!B:B,'Base stats'!C:C)&lt;=0.8),
IF(_xlfn.XLOOKUP(B136,'Base stats'!B:B,'Base stats'!C:C)&lt;0.1,0.05,IF(_xlfn.XLOOKUP(B136,'Base stats'!B:B,'Base stats'!C:C)&lt;=70,(_xlfn.XLOOKUP(B136,'Base stats'!B:B,'Base stats'!C:C)/70)^0.426489913056526,IF(_xlfn.XLOOKUP(B136,'Base stats'!B:B,'Base stats'!C:C)&lt;=400,(_xlfn.XLOOKUP(B136,'Base stats'!B:B,'Base stats'!C:C)/70)^0.572811455315093,IF(_xlfn.XLOOKUP(B136,'Base stats'!B:B,'Base stats'!C:C)&lt;=2000,2.71391647193063*(_xlfn.XLOOKUP(B136,'Base stats'!B:B,'Base stats'!C:C)/400)^0.252459582904293,3.74314280240376*(_xlfn.XLOOKUP(B136,'Base stats'!B:B,'Base stats'!C:C)/2000)^0.357012633876913)))),
IF(_xlfn.XLOOKUP(B136,'Base stats'!B:B,'Base stats'!C:C)&lt;0.1,0.05,IF(_xlfn.XLOOKUP(B136,'Base stats'!B:B,'Base stats'!C:C)&lt;0.4,0.1,IF(_xlfn.XLOOKUP(B136,'Base stats'!B:B,'Base stats'!C:C)&lt;=70,(_xlfn.XLOOKUP(B136,'Base stats'!B:B,'Base stats'!C:C)/70)^0.445823913056526,IF(_xlfn.XLOOKUP(B136,'Base stats'!B:B,'Base stats'!C:C)&lt;=400,(_xlfn.XLOOKUP(B136,'Base stats'!B:B,'Base stats'!C:C)/70)^0.572811455315093,IF(_xlfn.XLOOKUP(B136,'Base stats'!B:B,'Base stats'!C:C)&lt;=2000,2.71391647193063*(_xlfn.XLOOKUP(B136,'Base stats'!B:B,'Base stats'!C:C)/400)^0.252459582904293,3.74314280240376*(_xlfn.XLOOKUP(B136,'Base stats'!B:B,'Base stats'!C:C)/2000)^0.357012633876913)))))),
IF(_xlfn.XLOOKUP(B136,'Base stats'!B:B,'Base stats'!C:C)&lt;0.1,0.05,IF(_xlfn.XLOOKUP(B136,'Base stats'!B:B,'Base stats'!C:C)&lt;=100,0.05,IF(_xlfn.XLOOKUP(B136,'Base stats'!B:B,'Base stats'!C:C)&lt;=250,0.1,IF(_xlfn.XLOOKUP(B136,'Base stats'!B:B,'Base stats'!C:C)&lt;=4000,0.25,0.5)))))</f>
        <v>1.2000000000000002</v>
      </c>
      <c r="AP136" s="8">
        <f>MROUND(AO136*_xlfn.XLOOKUP(_xlfn.XLOOKUP(B136,'Base stats'!B:B,'Base stats'!E:E),Groups!A:A,Groups!AI:AI)*_xlfn.XLOOKUP(B136,'Base stats'!B:B,'Base stats'!Z:Z),0.05)</f>
        <v>1.2000000000000002</v>
      </c>
      <c r="AQ136" s="8">
        <f>MAX(0.01,MROUND(IF(CC136="True",0.196*(AO136*100*1000)^0.889,IF(_xlfn.XLOOKUP(_xlfn.XLOOKUP(B136,'Base stats'!B:B,'Base stats'!E:E),Groups!A:A,Groups!AJ:AJ)="Bird",10.5*(AO136*100*1000)^0.681,4.82*(AO136*100*1000)^0.734))/(4.82*(1*100*1000)^0.734)/IF(AO136&lt;3.5,2,IF(AO136=3.5,1.5,1.25))*(1+0.132282374779864/(AO136^0.994035016789033+0.00905238001496948)),0.05))</f>
        <v>0.15000000000000002</v>
      </c>
      <c r="AR136" s="9">
        <f>IFERROR(MROUND(_xlfn.XLOOKUP(B136,'Base stats'!B:B,'Base stats'!H:H)/IF(_xlfn.XLOOKUP(B136,'Base stats'!B:B,'Base stats'!I:I)&lt;&gt;1,(122.5/70),1.2),IF(_xlfn.XLOOKUP(B136,'Base stats'!B:B,'Base stats'!H:H)&gt;=30,5,IF(_xlfn.XLOOKUP(B136,'Base stats'!B:B,'Base stats'!H:H)&gt;=15,3,IF(_xlfn.XLOOKUP(B136,'Base stats'!B:B,'Base stats'!H:H)&gt;=10,2,1)))),"Immortal")</f>
        <v>20</v>
      </c>
      <c r="AS136" s="35">
        <f>IFERROR(IF(OR(_xlfn.XLOOKUP(B136,'Base stats'!B:B,'Base stats'!F:F)="Atypical reproduction",_xlfn.XLOOKUP(B136,'Base stats'!B:B,'Base stats'!F:F)="Lay eggs"),"Lay eggs",MIN(20,MAX(5.5,ROUND(((_xlfn.XLOOKUP(B136,'Base stats'!B:B,'Base stats'!F:F)-25)*(14.5/615) + 5.5)*2,0)/2))),"Unknown")</f>
        <v>10</v>
      </c>
      <c r="AT136" s="8">
        <f>IF(_xlfn.XLOOKUP(B136,'Base stats'!B:B,'Base stats'!G:G)="Atypical reproduction","No",IFERROR(MAX(IF(_xlfn.XLOOKUP(B136,'Base stats'!B:B,'Base stats'!G:G)&lt;0.5,0.2,0.3),MROUND(_xlfn.XLOOKUP(B136,'Base stats'!B:B,'Base stats'!G:G)/(365/60),0.2)),"Unknown"))</f>
        <v>0.4</v>
      </c>
      <c r="AU136" s="8">
        <f t="shared" si="15"/>
        <v>0.2</v>
      </c>
      <c r="AV136" s="8">
        <f>IFERROR(IFERROR(MROUND(_xlfn.XLOOKUP(B136,'Base stats'!B:B,'Base stats'!J:J),0.1),"Lay eggs"),"Cannot breed")</f>
        <v>29</v>
      </c>
      <c r="AW136" s="2" t="str">
        <f t="shared" si="16"/>
        <v>false</v>
      </c>
      <c r="AX136" s="2" t="str">
        <f>IF(_xlfn.XLOOKUP(_xlfn.XLOOKUP(Animals!B136,'Base stats'!B:B,'Base stats'!E:E),Groups!A:A,Groups!AK:AK)=1,"true","false")</f>
        <v>false</v>
      </c>
      <c r="AY136" s="25" t="str">
        <f>IF(_xlfn.XLOOKUP(B136,'Base stats'!B:B,'Base stats'!Y:Y)="Liquor","Liquor, CarnivoreAnimalStrict",IF(AND(_xlfn.XLOOKUP(B136,'Base stats'!B:B,'Base stats'!Y:Y)="Carnivore",_xlfn.XLOOKUP(_xlfn.XLOOKUP(B136,'Base stats'!B:B,'Base stats'!E:E),Groups!A:A,Groups!AJ:AJ)="Photonozoa"),"CarnivoreAnimalStrict, OvivoreAnimal",IF(_xlfn.XLOOKUP(B136,'Base stats'!B:B,'Base stats'!Y:Y)="Carnivore","CarnivoreAnimal, OvivoreAnimal",IF(_xlfn.XLOOKUP(B136,'Base stats'!B:B,'Base stats'!Y:Y)="Dendrovore","VegetarianRoughAnimal, DendrovoreAnimal",IF(_xlfn.XLOOKUP(B136,'Base stats'!B:B,'Base stats'!Y:Y)="Herbivore","VegetarianRoughAnimal",IF(_xlfn.XLOOKUP(B136,'Base stats'!B:B,'Base stats'!Y:Y)="OmnivoreRough","OmnivoreRoughAnimal, OvivoreAnimal","OmnivoreAnimal, OvivoreAnimal"))))))</f>
        <v>CarnivoreAnimal, OvivoreAnimal</v>
      </c>
      <c r="AZ136" s="2" t="str">
        <f>IF(_xlfn.XLOOKUP(_xlfn.XLOOKUP(B136,'Base stats'!B:B,'Base stats'!E:E),Groups!A:A,Groups!D:D)=1,MROUND((1-J136)*5+1,2)*IF(J136&lt;=0.4,2,1),"No")</f>
        <v>No</v>
      </c>
      <c r="BA136" s="2" t="str">
        <f>IF(AND(_xlfn.XLOOKUP(B136,'Base stats'!B:B,'Base stats'!AH:AH)="&lt;li&gt;Seal&lt;/li&gt;",G136="Odyssey"),"&lt;li&gt;AEXP_Seal&lt;/li&gt;",_xlfn.XLOOKUP(B136,'Base stats'!B:B,'Base stats'!AH:AH))</f>
        <v>&lt;li&gt;Cobra&lt;/li&gt;</v>
      </c>
      <c r="BB136" s="2" t="str">
        <f>_xlfn.XLOOKUP(B136,'Base stats'!B:B,'Base stats'!AG:AG)</f>
        <v>Leather_Lizard</v>
      </c>
      <c r="BC136" s="23" t="str">
        <f>_xlfn.XLOOKUP(_xlfn.XLOOKUP(B136,'Base stats'!B:B,'Base stats'!E:E),Groups!A:A,Groups!AL:AL)</f>
        <v>Snake</v>
      </c>
      <c r="BD136" s="23">
        <f>MIN(1,MROUND(IF(AND(AO136&lt;0.5,_xlfn.XLOOKUP(B136,'Base stats'!B:B,'Base stats'!AA:AA)=0),0,IF(OR(_xlfn.XLOOKUP(Animals!B136,'Base stats'!B:B,'Base stats'!O:O)=2,_xlfn.XLOOKUP(_xlfn.XLOOKUP(B136,'Base stats'!B:B,'Base stats'!E:E),Groups!A:A,Groups!AN:AN)=0),0,_xlfn.XLOOKUP(_xlfn.XLOOKUP(B136,'Base stats'!B:B,'Base stats'!E:E),Groups!A:A,Groups!AN:AN)/IF(_xlfn.XLOOKUP(Animals!B136,'Base stats'!B:B,'Base stats'!O:O)=1,2,1)))+_xlfn.XLOOKUP(B136,'Base stats'!B:B,'Base stats'!AC:AC),0.005))</f>
        <v>0.1</v>
      </c>
      <c r="BE136" s="23">
        <f>MIN(1,MROUND(IF(AND(AO136&lt;0.5,_xlfn.XLOOKUP(B136,'Base stats'!B:B,'Base stats'!AA:AA)=0),0,IF(_xlfn.XLOOKUP(_xlfn.XLOOKUP(B136,'Base stats'!B:B,'Base stats'!E:E),Groups!A:A,Groups!AO:AO)=0,0,_xlfn.XLOOKUP(_xlfn.XLOOKUP(B136,'Base stats'!B:B,'Base stats'!E:E),Groups!A:A,Groups!AO:AO)/IF(_xlfn.XLOOKUP(Animals!B136,'Base stats'!B:B,'Base stats'!O:O)=2,3,1)))+_xlfn.XLOOKUP(B136,'Base stats'!B:B,'Base stats'!AD:AD),0.005))</f>
        <v>0.3</v>
      </c>
      <c r="BF136" s="2" t="str">
        <f>IF(J136&gt;0.3,"No",_xlfn.XLOOKUP(_xlfn.XLOOKUP(Animals!B136,'Base stats'!B:B,'Base stats'!E:E),Groups!A:A,Groups!AP:AP))</f>
        <v>No</v>
      </c>
      <c r="BG136" s="2" t="str">
        <f>IF(AND(J136&lt;=0.65,_xlfn.XLOOKUP(_xlfn.XLOOKUP(Animals!B136,'Base stats'!B:B,'Base stats'!E:E),Groups!A:A,Groups!AP:AP)&lt;&gt;"No",_xlfn.XLOOKUP(_xlfn.XLOOKUP(B136,'Base stats'!B:B,'Base stats'!E:E),Groups!A:A,Groups!D:D)=0),MROUND((80/3)*IF(_xlfn.XLOOKUP(B136,'Base stats'!B:B,'Base stats'!O:O)=2,0.2,AO136) + 24*(1-IF(BF136="No",0,BF136)) + 16/3, 12),"No")</f>
        <v>No</v>
      </c>
      <c r="BH136" s="2">
        <f>IF(AND(_xlfn.XLOOKUP(_xlfn.XLOOKUP(B136,'Base stats'!B:B,'Base stats'!E:E),Groups!A:A,Groups!AQ:AQ)=1,AO136&lt;=0.35),8,12)</f>
        <v>12</v>
      </c>
      <c r="BI136" s="2" t="str">
        <f>IF(_xlfn.XLOOKUP(_xlfn.XLOOKUP(B136,'Base stats'!B:B,'Base stats'!E:E),Groups!A:A,Groups!D:D)=0,_xlfn.XLOOKUP(_xlfn.XLOOKUP(B136,'Base stats'!B:B,'Base stats'!E:E),Groups!A:A,Groups!AR:AR),"None")</f>
        <v>None</v>
      </c>
      <c r="BJ136" s="2" t="str">
        <f>IF(AND(_xlfn.XLOOKUP(_xlfn.XLOOKUP(B136,'Base stats'!B:B,'Base stats'!E:E),Groups!A:A,Groups!AS:AS)=1,OR(_xlfn.XLOOKUP(B136,'Base stats'!B:B,'Base stats'!Y:Y)="Carnivore",_xlfn.XLOOKUP(B136,'Base stats'!B:B,'Base stats'!Y:Y)="Omnivore")),"true","false")</f>
        <v>true</v>
      </c>
      <c r="BK136" s="2">
        <f>IF(BJ136="true",MROUND(IF(AND(AO136&gt;0.5,OR(_xlfn.XLOOKUP(_xlfn.XLOOKUP(B136,'Base stats'!B:B,'Base stats'!E:E),Groups!A:A,Groups!AJ:AJ)="Photonozoa",_xlfn.XLOOKUP(_xlfn.XLOOKUP(B136,'Base stats'!B:B,'Base stats'!E:E),Groups!A:A,Groups!AJ:AJ)="Mammal")),Animals!AO136*1.75*IF(AW136="true",1.5,1),IF(AO136&lt;0.5,Animals!AO136*0.5,Animals!AO136)),IF(AO136&gt;2,0.5,IF(AO136&gt;0.5,0.25,0.1))),"No")</f>
        <v>1.25</v>
      </c>
      <c r="BL136" s="2">
        <f t="shared" si="17"/>
        <v>0</v>
      </c>
      <c r="BM136" s="25">
        <f>IF(_xlfn.XLOOKUP(B136,'Base stats'!B:B,'Base stats'!AN:AN)="Standard","No",MROUND((_xlfn.XLOOKUP(B136,'Base stats'!B:B,'Base stats'!AN:AN)/3.6)/I136,0.1))</f>
        <v>2.8000000000000003</v>
      </c>
      <c r="BN136" s="25" t="str">
        <f t="shared" si="18"/>
        <v>true</v>
      </c>
      <c r="BO136" s="25" t="str">
        <f>IF(AND(OR(_xlfn.XLOOKUP(B136,'Base stats'!B:B,'Base stats'!Y:Y)="Carnivore",_xlfn.XLOOKUP(B136,'Base stats'!B:B,'Base stats'!Y:Y)="Omnivore",_xlfn.XLOOKUP(B136,'Base stats'!B:B,'Base stats'!Y:Y)="OmnivoreRough"),_xlfn.XLOOKUP(_xlfn.XLOOKUP(B136,'Base stats'!B:B,'Base stats'!E:E),Groups!A:A,Groups!AT:AT)=1),"true","false")</f>
        <v>false</v>
      </c>
      <c r="BP136" s="25" t="str" cm="1">
        <f t="array" ref="BP136">IF(
  _xlfn.TEXTJOIN(", ",TRUE,
    IF(AND(BJ136="true",AO136&gt;0.5,BI136&lt;&gt;"None"),"AttackTarget",""),
    IF(AND(_xlfn.XLOOKUP(_xlfn.XLOOKUP(B136,'Base stats'!B:B,'Base stats'!E:E),Groups!A:A,Groups!AJ:AJ="Mammal"),OR(_xlfn.XLOOKUP(B136,'Base stats'!B:B,'Base stats'!Y:Y)="Omnivore",_xlfn.XLOOKUP(B136,'Base stats'!B:B,'Base stats'!Y:Y)="OmnivoreRough")),"Forage",""),
    IF(BG136&lt;=36,"Comfort",""),
    IF(_xlfn.XLOOKUP(B136,'Base stats'!B:B,'Base stats'!AE:AE)&lt;&gt;"No",_xlfn.XLOOKUP(B136,'Base stats'!B:B,'Base stats'!AE:AE),"")
  ) = "",
  "No",
  _xlfn.TEXTJOIN(", ",TRUE,
    IF(AND(BJ136="true",AO136&gt;0.5,BI136&lt;&gt;"None"),"AttackTarget",""),
    IF(AND(_xlfn.XLOOKUP(_xlfn.XLOOKUP(B136,'Base stats'!B:B,'Base stats'!E:E),Groups!A:A,Groups!AJ:AJ="Mammal"),OR(_xlfn.XLOOKUP(B136,'Base stats'!B:B,'Base stats'!Y:Y)="Omnivore",_xlfn.XLOOKUP(B136,'Base stats'!B:B,'Base stats'!Y:Y)="OmnivoreRough")),"Forage",""),
    IF(BG136&lt;=36,"Comfort",""),
    IF(_xlfn.XLOOKUP(B136,'Base stats'!B:B,'Base stats'!AE:AE)&lt;&gt;"No",_xlfn.XLOOKUP(B136,'Base stats'!B:B,'Base stats'!AE:AE),"")
  )
)</f>
        <v>No</v>
      </c>
      <c r="BQ136" s="25">
        <f>IF(
   AND(
      'Base stats'!AN136="Standard",_xlfn.XLOOKUP(_xlfn.XLOOKUP(B136,'Base stats'!B:B,'Base stats'!E:E),Groups!A:A,Groups!AU:AU)=0,
      OR(
      BO136="True"
      )
   ),
   10,
   IF(
       OR(BM136&lt;&gt;"No",_xlfn.XLOOKUP(_xlfn.XLOOKUP(B136,'Base stats'!B:B,'Base stats'!E:E),Groups!A:A,Groups!AU:AU)=1),
      1,
      "No"
   )
)</f>
        <v>1</v>
      </c>
      <c r="BR136" s="9">
        <f>MROUND((1 + ((0.2*IF(OR(Q136="No",R136="No",R136=0),0,Q136/R136)
+IF(OR(V136="No",S136="No",T136="No"),0,S136/T136*(LEN(V136)-LEN(SUBSTITUTE(V136,",",""))+1))
+IF(OR(X136="No",Y136="No"),0,X136/Y136)
+IF(OR(AD136="No",AE136="No"),0,AD136/AE136)
+IF(OR(AL136="No",AI136="No",AJ136="No"),0,AI136/AJ136*(LEN(AL136)-LEN(SUBSTITUTE(AL136,",",""))+1))
)/(0.2*IF(OR(Q136="No",R136="No",R136=0),0,1)
+IF(OR(V136="No",S136="No",T136="No"),0,LEN(V136)-LEN(SUBSTITUTE(V136,",",""))+1)
+IF(OR(X136="No",Y136="No"),0,1)
+IF(OR(AD136="No",AE136="No"),0,1)
+IF(OR(AL136="No",AI136="No",AJ136="No"),0,LEN(AL136)-LEN(SUBSTITUTE(AL136,",",""))+1))*62%)* 2)*(1 + (AP136 / (IF(_xlfn.XLOOKUP(_xlfn.XLOOKUP(B136,'Base stats'!B:B,'Base stats'!E:E),Groups!A:A,Groups!AJ:AJ)="Photonozoa",0.3,1)) + _xlfn.XLOOKUP(B136,'Base stats'!B:B,'Base stats'!AV:AV) * 1.8) * 2) * 2.5 + 10 + I136 * 2,5)+IF(_xlfn.XLOOKUP(B136,'Base stats'!B:B,'Base stats'!AK:AK)=1,50,0)</f>
        <v>85</v>
      </c>
      <c r="BS136" s="8">
        <f t="shared" si="19"/>
        <v>0.35000000000000003</v>
      </c>
      <c r="BT136" s="8" t="str">
        <f>_xlfn.XLOOKUP(B136,'Base stats'!B:B,'Base stats'!AF:AF)</f>
        <v>No</v>
      </c>
      <c r="BU136" s="2" t="str">
        <f>IF(AND(J136&lt;=0.95,OR(_xlfn.XLOOKUP(B136,'Base stats'!B:B,'Base stats'!AK:AK)=1,_xlfn.XLOOKUP(B136,'Base stats'!B:B,'Base stats'!Y:Y)="Carnivore",_xlfn.XLOOKUP(B136,'Base stats'!B:B,'Base stats'!Y:Y)="Omnivore",BE136&gt;0.1)),"true","false")</f>
        <v>true</v>
      </c>
      <c r="BV136" s="2" t="str">
        <f>IF(_xlfn.XLOOKUP(B136,'Base stats'!B:B,'Base stats'!AI:AI)=1,"true","false")</f>
        <v>false</v>
      </c>
      <c r="BW136" s="25" t="str">
        <f>IF(E136="BaseInsect","AnimalInsect",
IF(J136&gt;0.95,"AnimalExotic",
_xlfn.TEXTJOIN(", ",TRUE,
IF(OR(_xlfn.XLOOKUP(B136,'Base stats'!B:B,'Base stats'!AM:AM)=1,AND(_xlfn.XLOOKUP(B136,'Base stats'!B:B,'Base stats'!O:O)=0,_xlfn.XLOOKUP(_xlfn.XLOOKUP(B136,'Base stats'!B:B,'Base stats'!E:E),Groups!A:A,Groups!B:B)&gt;0)),"AnimalUncommon","AnimalCommon"),
IF(AND(_xlfn.XLOOKUP(B136,'Base stats'!B:B,'Base stats'!O:O)=2,_xlfn.XLOOKUP(_xlfn.XLOOKUP(B136,'Base stats'!B:B,'Base stats'!E:E),Groups!A:A,Groups!D:D)=0),"AnimalPet",IF(AND(_xlfn.XLOOKUP(B136,'Base stats'!B:B,'Base stats'!O:O)&lt;&gt;0,_xlfn.XLOOKUP(_xlfn.XLOOKUP(B136,'Base stats'!B:B,'Base stats'!E:E),Groups!A:A,Groups!D:D)&lt;&gt;0),"AnimalFarm","")),
IF(OR(_xlfn.XLOOKUP(B136,'Base stats'!B:B,'Base stats'!AK:AK)=1,AND(BI136&lt;&gt;"None",BR136&gt;=60),ISNUMBER(SEARCH("Attack target",BP136))),"AnimalFighter","")
)))</f>
        <v>AnimalUncommon</v>
      </c>
      <c r="BX136" s="25" t="str">
        <f>IF(G136="None",TRIM(
SUBSTITUTE(
IF(COUNTIF(Biomes!B$2:B$259,"="&amp;$C136)&gt;0,Biomes!B$1&amp;", ","")&amp;
IF(COUNTIF(Biomes!C$2:C$259,"="&amp;$C136)&gt;0,Biomes!C$1&amp;", ","")&amp;
IF(COUNTIF(Biomes!D$2:D$259,"="&amp;$C136)&gt;0,Biomes!D$1&amp;", ","")&amp;
IF(COUNTIF(Biomes!F$2:F$259,"="&amp;$C136)&gt;0,Biomes!F$1&amp;", ","")&amp;
IF(COUNTIF(Biomes!G$2:G$259,"="&amp;$C136)&gt;0,Biomes!G$1&amp;", ","")&amp;
IF(COUNTIF(Biomes!H$2:H$259,"="&amp;$C136)&gt;0,Biomes!H$1&amp;", ","")&amp;
IF(COUNTIF(Biomes!I$2:I$259,"="&amp;$C136)&gt;0,Biomes!I$1&amp;", ","")&amp;
IF(COUNTIF(Biomes!J$2:J$259,"="&amp;$C136)&gt;0,Biomes!J$1&amp;", ","")&amp;
IF(COUNTIF(Biomes!M$2:M$259,"="&amp;$C136)&gt;0,Biomes!M$1&amp;", ","")&amp;
IF(COUNTIF(Biomes!N$2:N$259,"="&amp;$C136)&gt;0,Biomes!N$1&amp;", ","")&amp;
IF(COUNTIF(Biomes!O$2:O$259,"="&amp;$C136)&gt;0,Biomes!O$1&amp;", ","")&amp;
IF(COUNTIF(Biomes!P$2:P$259,"="&amp;$C136)&gt;0,Biomes!P$1&amp;", ","")&amp;
IF(COUNTIF(Biomes!K$2:K$259,"="&amp;$C136)&gt;0,Biomes!K$1&amp;", ","")&amp;
IF(COUNTIF(Biomes!Q$3:Q$259,"="&amp;$C136)&gt;0,Biomes!Q$1&amp;", ","")&amp;
IF(COUNTIF(Biomes!L$2:L$259,"="&amp;$C136)&gt;0,Biomes!L$1&amp;", ","")&amp;
IF(COUNTIF(Biomes!E$2:E$259,"="&amp;$C136)&gt;0,Biomes!E$1&amp;", ","")&amp;IF(COUNTIF(Biomes!S$2:S$259,"="&amp;$C136)&gt;0,Biomes!S$1&amp;", ","")&amp;
IF(COUNTIF(Biomes!R$2:R$259,"="&amp;$C136)&gt;0,Biomes!R$1&amp;", ",""),", ","")
),_xlfn.XLOOKUP(B136,B:B,BX:BX))</f>
        <v>TropicalSwamp Glowforest</v>
      </c>
      <c r="BY136" s="25" t="str">
        <f>IF(_xlfn.XLOOKUP(B136,'Base stats'!B:B,'Base stats'!AJ:AJ)=1,"true","false")</f>
        <v>false</v>
      </c>
      <c r="BZ136" s="25">
        <f>IF(_xlfn.XLOOKUP(B136,'Base stats'!B:B,'Base stats'!N:N)=1,"No",MAX(0.001,MIN(MROUND(IF(AND(BJ136="True",CC136="False"),POWER(10,3.47*LOG10(_xlfn.XLOOKUP(B136,'Base stats'!B:B,'Base stats'!C:C)*1000)^-0.96),POWER(10,4.15*LOG10(_xlfn.XLOOKUP(B136,'Base stats'!B:B,'Base stats'!C:C)*1000)^-0.73))*IF(_xlfn.XLOOKUP(B136,'Base stats'!B:B,'Base stats'!AK:AK)=1,0.5,1)*IF(_xlfn.XLOOKUP(B136,'Base stats'!B:B,'Base stats'!AM:AM)=1,0.1,1)/100,IF(_xlfn.XLOOKUP(B136,'Base stats'!B:B,'Base stats'!AM:AM)=1,0.001,0.025)),0.5)))</f>
        <v>0.2</v>
      </c>
      <c r="CA136" s="25" t="str">
        <f>IF(P136="Standard","No",MAX(0.001,MIN(MROUND(IF(AND(BJ136="True",CC136="False"),POWER(10,3.47*LOG10(_xlfn.XLOOKUP(B136,'Base stats'!B:B,'Base stats'!C:C)*1000)^-0.96),POWER(10,4.15*LOG10(_xlfn.XLOOKUP(B136,'Base stats'!B:B,'Base stats'!C:C)*1000)^-0.73))*IF(_xlfn.XLOOKUP(B136,'Base stats'!B:B,'Base stats'!AM:AM)=1,0.1,1)*_xlfn.XLOOKUP(B136,'Base stats'!B:B,'Base stats'!R:R)/100,IF(_xlfn.XLOOKUP(B136,'Base stats'!B:B,'Base stats'!AM:AM)=1,0.001,0.025)),0.5)))</f>
        <v>No</v>
      </c>
      <c r="CB136" s="25" t="str">
        <f>IF(_xlfn.XLOOKUP(_xlfn.XLOOKUP(B136,'Base stats'!B:B,'Base stats'!E:E),Groups!A:A,Groups!AJ:AJ)="Mammal","True","False")</f>
        <v>False</v>
      </c>
      <c r="CC136" s="25" t="str">
        <f>IF(OR(_xlfn.XLOOKUP(_xlfn.XLOOKUP(B136,'Base stats'!B:B,'Base stats'!E:E),Groups!A:A,Groups!AJ:AJ)="Reptile",_xlfn.XLOOKUP(_xlfn.XLOOKUP(B136,'Base stats'!B:B,'Base stats'!E:E),Groups!A:A,Groups!AJ:AJ)="Amphibian",_xlfn.XLOOKUP(_xlfn.XLOOKUP(B136,'Base stats'!B:B,'Base stats'!E:E),Groups!A:A,Groups!AJ:AJ)="Invertebrate"),"True","False")</f>
        <v>True</v>
      </c>
      <c r="CD136" s="25" t="str">
        <f t="shared" si="20"/>
        <v>False</v>
      </c>
      <c r="CE136" s="25" t="str">
        <f>IF(_xlfn.XLOOKUP(_xlfn.XLOOKUP(B136,'Base stats'!B:B,'Base stats'!E:E),Groups!A:A,Groups!AX:AX),"True","False")</f>
        <v>False</v>
      </c>
      <c r="CF136" s="25" t="str">
        <f>IF(_xlfn.XLOOKUP(_xlfn.XLOOKUP(B136,'Base stats'!B:B,'Base stats'!E:E),Groups!A:A,Groups!AY:AY),"True","False")</f>
        <v>False</v>
      </c>
      <c r="CG136" s="25" t="str">
        <f>IF(_xlfn.XLOOKUP(_xlfn.XLOOKUP(B136,'Base stats'!B:B,'Base stats'!E:E),Groups!A:A,Groups!AW:AW),"True","False")</f>
        <v>False</v>
      </c>
      <c r="CH136" s="25" t="str">
        <f>IF(
OR(
_xlfn.XLOOKUP(_xlfn.XLOOKUP(B136,'Base stats'!B:B,'Base stats'!E:E),Groups!A:A,Groups!AZ:AZ)=0,
AND(
_xlfn.XLOOKUP(B136,'Base stats'!B:B,'Base stats'!Y:Y)&lt;&gt;"Carnivore",
_xlfn.XLOOKUP(B136,'Base stats'!B:B,'Base stats'!Y:Y)&lt;&gt;"Omnivore",
_xlfn.XLOOKUP(B136,'Base stats'!B:B,'Base stats'!Y:Y)&lt;&gt;"OmnivoreRough"
)
),
"No",
IF(
_xlfn.XLOOKUP(_xlfn.XLOOKUP(B136,'Base stats'!B:B,'Base stats'!E:E),Groups!A:A,Groups!AZ:AZ)=1,
"Flesh",
IF(
_xlfn.XLOOKUP(_xlfn.XLOOKUP(B136,'Base stats'!B:B,'Base stats'!E:E),Groups!A:A,Groups!AZ:AZ)=2,
"Bone",
""
)
)
)</f>
        <v>No</v>
      </c>
      <c r="CI136" s="25" t="str">
        <f>IF(_xlfn.XLOOKUP(_xlfn.XLOOKUP(B136,'Base stats'!B:B,'Base stats'!E:E),Groups!A:A,Groups!BB:BB),"True","False")</f>
        <v>False</v>
      </c>
      <c r="CJ136" s="25" t="str">
        <f>IF(_xlfn.XLOOKUP(_xlfn.XLOOKUP(B136,'Base stats'!B:B,'Base stats'!E:E),Groups!A:A,Groups!BA:BA),"True","False")</f>
        <v>True</v>
      </c>
    </row>
    <row r="137" spans="1:88" s="16" customFormat="1" ht="16.5" thickTop="1" thickBot="1" x14ac:dyDescent="0.3">
      <c r="A137" s="26" t="str">
        <f>_xlfn.XLOOKUP(B137,'Base stats'!B:B,'Base stats'!A:A)</f>
        <v>IndianElephant</v>
      </c>
      <c r="B137" s="6" t="s">
        <v>230</v>
      </c>
      <c r="C137" s="28" t="s">
        <v>818</v>
      </c>
      <c r="D137" s="28" t="s">
        <v>872</v>
      </c>
      <c r="E137" s="28" t="s">
        <v>673</v>
      </c>
      <c r="F137" s="28" t="s">
        <v>673</v>
      </c>
      <c r="G137" s="28" t="s">
        <v>673</v>
      </c>
      <c r="H137" s="2">
        <f>MROUND((
  (IF(AND(_xlfn.XLOOKUP(B137,'Base stats'!B:B,'Base stats'!AL:AL)=0,BI137="None",_xlfn.XLOOKUP(_xlfn.XLOOKUP(B137,'Base stats'!B:B,'Base stats'!E:E),Groups!A:A,Groups!B:B)=0), (18 + BR137 * 2.7) * 0.5,
    IF(AND(_xlfn.XLOOKUP(B137,'Base stats'!B:B,'Base stats'!AL:AL)=0,OR(AO137&lt;0.55,AND(BI137="Intermediate",_xlfn.XLOOKUP(_xlfn.XLOOKUP(B137,'Base stats'!B:B,'Base stats'!E:E),Groups!A:A,Groups!B:B)&lt;2))), (18 + BR137 * 2.7),
      IF(OR(BI137="Advanced",_xlfn.XLOOKUP(B137,'Base stats'!B:B,'Base stats'!AL:AL)=1,_xlfn.XLOOKUP(_xlfn.XLOOKUP(B137,'Base stats'!B:B,'Base stats'!E:E),Groups!A:A,Groups!B:B)=2), (18 + BR137 * 2.7) + 250, (18 + BR137 * 2.7))
    )
  ))
  + AO137 * 80
  + IF(COUNTIF(EggMilk!K$2:K$998, A137) &gt; 0, 125, 0)
  + IF(COUNTIF(EggMilk!P$2:P$998, A137) &gt; 0, 90, 0)
  + IF(COUNTIF(EggMilk!A$2:A$998, A137) &gt; 0, 90, 0)
)
* (0.8 + 0.4 * J137)
* 0.75,25)</f>
        <v>1475</v>
      </c>
      <c r="I137" s="2">
        <f>MROUND(ROUNDDOWN(_xlfn.XLOOKUP(B137,'Base stats'!B:B,'Base stats'!L:L)/3.6/(23.3/11),1),0.5)</f>
        <v>3.5</v>
      </c>
      <c r="J137" s="2">
        <f>IF(OR(_xlfn.XLOOKUP(B137,'Base stats'!B:B,'Base stats'!AB:AB)=1,_xlfn.XLOOKUP(_xlfn.XLOOKUP(B137,'Base stats'!B:B,'Base stats'!E:E),Groups!A:A,Groups!C:C)="Untamable"),1,IF(_xlfn.XLOOKUP(B137,'Base stats'!B:B,'Base stats'!AL:AL)=1,0.99,MIN(MROUND((1-0.6282*EXP(-0.459*AO137))*_xlfn.XLOOKUP(_xlfn.XLOOKUP(B137,'Base stats'!B:B,'Base stats'!E:E),Groups!A:A,Groups!C:C)*IF(_xlfn.XLOOKUP(B137,'Base stats'!B:B,'Base stats'!O:O)=1,0.5,IF(_xlfn.XLOOKUP(B137,'Base stats'!B:B,'Base stats'!O:O)=2,0,1)),0.05),IF(AO137&gt;3.5,0.985,0.95))))</f>
        <v>0.9</v>
      </c>
      <c r="K137" s="2">
        <f>ROUNDUP(AO137*_xlfn.XLOOKUP(_xlfn.XLOOKUP(B137,'Base stats'!B:B,'Base stats'!E:E),Groups!A:A,Groups!E:E),0)</f>
        <v>23</v>
      </c>
      <c r="L137" s="2">
        <f>IF(OR(_xlfn.XLOOKUP(_xlfn.XLOOKUP(B137,'Base stats'!B:B,'Base stats'!E:E),Groups!A:A,Groups!F:F)=2,ISNUMBER(SEARCH("SeaIce",BX137)),ISNUMBER(SEARCH("IceSheet",BX137))),-50,IF(OR(ISNUMBER(SEARCH("GlacialPlain",BX137)),ISNUMBER(SEARCH("Tundra",BX137))),-40,IF(OR(ISNUMBER(SEARCH("Alpine",BX137)),ISNUMBER(SEARCH("BorealForest",BX137)),ISNUMBER(SEARCH("ColdBog",BX137))),-30,IF(OR(ISNUMBER(SEARCH("TemperateForest",BX137)),ISNUMBER(SEARCH("TemperateSwamp",BX137))),-20,IF(_xlfn.XLOOKUP(_xlfn.XLOOKUP(B137,'Base stats'!B:B,'Base stats'!E:E),Groups!A:A,Groups!F:F)=1,-15,IF(OR(ISNUMBER(SEARCH("Desert",BX137)),ISNUMBER(SEARCH("ExtremeDesert",BX137))),-10,IF(OR(ISNUMBER(SEARCH("Grasslands",BX137)),ISNUMBER(SEARCH("TropicalRainforest",BX137)),ISNUMBER(SEARCH("TropicalSwamp",BX137))),10,0)))))))-IF(CC137="False",MIN(IFERROR(MAX(MROUND(LOG10(_xlfn.XLOOKUP(B137,'Base stats'!B:B,'Base stats'!C:C)^(2/3))*10,5),5),5),30))-_xlfn.XLOOKUP(B137,'Base stats'!B:B,'Base stats'!P:P)+IF(CC137="True",5,0)</f>
        <v>-15</v>
      </c>
      <c r="M137" s="2">
        <f>IF(OR(_xlfn.XLOOKUP(_xlfn.XLOOKUP(B137,'Base stats'!B:B,'Base stats'!E:E),Groups!A:A,Groups!G:G)=2,ISNUMBER(SEARCH("Desert",BX137)),ISNUMBER(SEARCH("ExtremeDesert",BX137)),ISNUMBER(SEARCH("LavaField",BX137))),50,IF(ISNUMBER(SEARCH("Grasslands",BX137)),45,IF(OR(_xlfn.XLOOKUP(_xlfn.XLOOKUP(B137,'Base stats'!B:B,'Base stats'!E:E),Groups!A:A,Groups!G:G)=1,ISNUMBER(SEARCH("TropicalRainforest",BX137)),ISNUMBER(SEARCH("TropicalSwamp",BX137))),40,IF(OR(ISNUMBER(SEARCH("TemperateForest",BX137)),ISNUMBER(SEARCH("TemperateSwamp",BX137))),35,IF(OR(ISNUMBER(SEARCH("Alpine",BX137)),ISNUMBER(SEARCH("BorealForest",BX137)),ISNUMBER(SEARCH("ColdBog",BX137))),30,IF(ISNUMBER(OR(ISNUMBER(SEARCH("GlacialPlain",BX137)),SEARCH("Tundra",BX137))),25,IF(OR(ISNUMBER(SEARCH("SeaIce",BX137)),ISNUMBER(SEARCH("IceSheet",BX137)),ISNUMBER(SEARCH("TropicalSwamp",BX137))),10,35)))))))+_xlfn.XLOOKUP(B137,'Base stats'!B:B,'Base stats'!Q:Q)</f>
        <v>40</v>
      </c>
      <c r="N137" s="8" t="str">
        <f>IF(
_xlfn.XLOOKUP(
_xlfn.XLOOKUP(B137,'Base stats'!B:B,'Base stats'!E:E),
Groups!A:A,
Groups!L:L
)=1,
MIN(
MROUND(
IF(
_xlfn.XLOOKUP(B137,'Animals CE'!B:B,'Animals CE'!Z:Z)&lt;=1.5,
_xlfn.XLOOKUP(B137,'Animals CE'!B:B,'Animals CE'!Z:Z)/2+0.05,
0.8+
(_xlfn.XLOOKUP(B137,'Animals CE'!B:B,'Animals CE'!Z:Z)-1.5)
*0.02
),
0.05
),
200%
),
"No"
)</f>
        <v>No</v>
      </c>
      <c r="O137" s="8" t="str">
        <f>IF(
_xlfn.XLOOKUP(
_xlfn.XLOOKUP(B137,'Base stats'!B:B,'Base stats'!E:E),
Groups!A:A,
Groups!L:L
)=1,
MIN(
MROUND(
IF(
_xlfn.XLOOKUP(B137,'Animals CE'!B:B,'Animals CE'!AA:AA)&lt;=1.5,
_xlfn.XLOOKUP(B137,'Animals CE'!B:B,'Animals CE'!AA:AA)/2+0.05,
0.8+
(_xlfn.XLOOKUP(B137,'Animals CE'!B:B,'Animals CE'!AA:AA)-1.5)
*0.02
),
0.05
),
200%
),
"No"
)</f>
        <v>No</v>
      </c>
      <c r="P137" s="2" t="str">
        <f>_xlfn.XLOOKUP(B137,'Base stats'!B:B,'Base stats'!R:R)</f>
        <v>Standard</v>
      </c>
      <c r="Q137" s="13">
        <f>MROUND((LOG10(_xlfn.XLOOKUP(B137,'Base stats'!B:B,'Base stats'!AR:AR))*(AO137^0.5)+(_xlfn.XLOOKUP(B137,'Base stats'!B:B,'Base stats'!AR:AR)/1000)^(2/3)+_xlfn.XLOOKUP(B137,'Base stats'!B:B,'Base stats'!BA:BA)/2)+0.5,0.5)</f>
        <v>31.5</v>
      </c>
      <c r="R137" s="7">
        <f>IF(Q137="No","No",MAX(1,MROUND(_xlfn.XLOOKUP(B137,'Base stats'!B:B,'Base stats'!C:C)^0.165,0.05)))</f>
        <v>3.8000000000000003</v>
      </c>
      <c r="S137" s="13">
        <f>IF(_xlfn.XLOOKUP(_xlfn.XLOOKUP(B137,'Base stats'!B:B,'Base stats'!E:E),Groups!A:A,Groups!P:P)=0,"No",MROUND((LOG10(_xlfn.XLOOKUP(B137,'Base stats'!B:B,'Base stats'!AS:AS))*(AO137^0.5)+(_xlfn.XLOOKUP(B137,'Base stats'!B:B,'Base stats'!AS:AS)/1000)^(2/3)+_xlfn.XLOOKUP(B137,'Base stats'!B:B,'Base stats'!BA:BA))+_xlfn.XLOOKUP(B137,'Base stats'!B:B,'Base stats'!AY:AY)+0.5,0.5))</f>
        <v>37.5</v>
      </c>
      <c r="T137" s="7">
        <f>IF(S137="No","No",MAX(_xlfn.XLOOKUP(_xlfn.XLOOKUP(B137,'Base stats'!B:B,'Base stats'!E:E),Groups!A:A,Groups!Q:Q),MROUND(_xlfn.XLOOKUP(_xlfn.XLOOKUP(B137,'Base stats'!B:B,'Base stats'!E:E),Groups!A:A,Groups!Q:Q)*_xlfn.XLOOKUP(B137,'Base stats'!B:B,'Base stats'!C:C)^0.165,0.05)))</f>
        <v>3.45</v>
      </c>
      <c r="U137" s="7" t="str">
        <f>IF(S137="No","No",_xlfn.XLOOKUP(_xlfn.XLOOKUP(B137,'Base stats'!B:B,'Base stats'!E:E),Groups!A:A,Groups!R:R))</f>
        <v>FrontLeftLeg, FrontRightLeg</v>
      </c>
      <c r="V137" s="7" t="str">
        <f>IF(S137="No","No",_xlfn.XLOOKUP(_xlfn.XLOOKUP(B137,'Base stats'!B:B,'Base stats'!E:E),Groups!A:A,Groups!S:S))</f>
        <v>left foot, right foot</v>
      </c>
      <c r="W137" s="7" t="str">
        <f>IF(S137="No","No",_xlfn.XLOOKUP(_xlfn.XLOOKUP(B137,'Base stats'!B:B,'Base stats'!E:E),Groups!A:A,Groups!T:T))</f>
        <v>Blunt</v>
      </c>
      <c r="X137" s="13">
        <f>IF(_xlfn.XLOOKUP(B137,'Base stats'!B:B,'Base stats'!W:W)="No","No",MROUND((LOG10(_xlfn.XLOOKUP(B137,'Base stats'!B:B,'Base stats'!AU:AU))*(AO137^0.5)+(_xlfn.XLOOKUP(B137,'Base stats'!B:B,'Base stats'!AU:AU)/1000)^(2/3)+_xlfn.XLOOKUP(B137,'Base stats'!B:B,'Base stats'!AZ:AZ))+0.5+IF(_xlfn.XLOOKUP(_xlfn.XLOOKUP(B137,'Base stats'!B:B,'Base stats'!E:E),Groups!A:A,Groups!U:U)&lt;&gt;3,_xlfn.XLOOKUP(B137,'Base stats'!B:B,'Base stats'!BA:BA),0),0.5))</f>
        <v>34.5</v>
      </c>
      <c r="Y137" s="7">
        <f>IF(X137="No","No",MAX(_xlfn.XLOOKUP(_xlfn.XLOOKUP(B137,'Base stats'!B:B,'Base stats'!E:E),Groups!A:A,Groups!V:V),MROUND(_xlfn.XLOOKUP(_xlfn.XLOOKUP(B137,'Base stats'!B:B,'Base stats'!E:E),Groups!A:A,Groups!V:V)*_xlfn.XLOOKUP(B137,'Base stats'!B:B,'Base stats'!C:C)^0.165,0.05)))</f>
        <v>2.6500000000000004</v>
      </c>
      <c r="Z137" s="7" t="str">
        <f>IF(X137="No","No",_xlfn.XLOOKUP(_xlfn.XLOOKUP(B137,'Base stats'!B:B,'Base stats'!E:E),Groups!A:A,Groups!W:W))</f>
        <v>TuskAttackTool</v>
      </c>
      <c r="AA137" s="7" t="str">
        <f>IF(X137="No","No",_xlfn.XLOOKUP(_xlfn.XLOOKUP(B137,'Base stats'!B:B,'Base stats'!E:E),Groups!A:A,Groups!X:X))</f>
        <v>tusk</v>
      </c>
      <c r="AB137" s="7" t="str">
        <f>IF(X137="No","No",_xlfn.XLOOKUP(_xlfn.XLOOKUP(B137,'Base stats'!B:B,'Base stats'!E:E),Groups!A:A,Groups!Y:Y))</f>
        <v>Scratch</v>
      </c>
      <c r="AC137" s="7" t="str">
        <f>_xlfn.XLOOKUP(Animals!B137,'Base stats'!B:B,'Base stats'!X:X)</f>
        <v>True</v>
      </c>
      <c r="AD137" s="13" t="str">
        <f>IF(_xlfn.XLOOKUP(B137,'Base stats'!B:B,'Base stats'!AT:AT)="No","No",MROUND((LOG10(_xlfn.XLOOKUP(B137,'Base stats'!B:B,'Base stats'!AT:AT))*(AO137^0.75)+(_xlfn.XLOOKUP(B137,'Base stats'!B:B,'Base stats'!AT:AT)/1000)^(2/3)+_xlfn.XLOOKUP(B137,'Base stats'!B:B,'Base stats'!AX:AX)+_xlfn.XLOOKUP(B137,'Base stats'!B:B,'Base stats'!BA:BA))+0.5,0.5))</f>
        <v>No</v>
      </c>
      <c r="AE137" s="7" t="str">
        <f>IF(AD137="No","No",MAX(_xlfn.XLOOKUP(_xlfn.XLOOKUP(B137,'Base stats'!B:B,'Base stats'!E:E),Groups!A:A,Groups!Z:Z),MROUND(_xlfn.XLOOKUP(_xlfn.XLOOKUP(B137,'Base stats'!B:B,'Base stats'!E:E),Groups!A:A,Groups!Z:Z)*_xlfn.XLOOKUP(B137,'Base stats'!B:B,'Base stats'!C:C)^0.165,0.05)))</f>
        <v>No</v>
      </c>
      <c r="AF137" s="7" t="str">
        <f>IF(AD137="No","No",_xlfn.XLOOKUP(_xlfn.XLOOKUP(B137,'Base stats'!B:B,'Base stats'!E:E),Groups!A:A,Groups!AA:AA))</f>
        <v>No</v>
      </c>
      <c r="AG137" s="7" t="str">
        <f>IF(AD137="No","No",_xlfn.XLOOKUP(_xlfn.XLOOKUP(B137,'Base stats'!B:B,'Base stats'!E:E),Groups!A:A,Groups!AB:AB))</f>
        <v>No</v>
      </c>
      <c r="AH137" s="7" t="str">
        <f>IF(AD137="No","No",_xlfn.XLOOKUP(_xlfn.XLOOKUP(B137,'Base stats'!B:B,'Base stats'!E:E),Groups!A:A,Groups!AC:AC))</f>
        <v>No</v>
      </c>
      <c r="AI137" s="13" t="str">
        <f>IF(_xlfn.XLOOKUP(_xlfn.XLOOKUP(B137,'Base stats'!B:B,'Base stats'!E:E),Groups!A:A,Groups!AD:AD)=0,"No",MROUND((LOG10(_xlfn.XLOOKUP(B137,'Base stats'!B:B,'Base stats'!AS:AS))*(AO137^0.75)+(_xlfn.XLOOKUP(B137,'Base stats'!B:B,'Base stats'!AS:AS)/1000)^(2/3)+_xlfn.XLOOKUP(B137,'Base stats'!B:B,'Base stats'!AY:AY)+_xlfn.XLOOKUP(B137,'Base stats'!B:B,'Base stats'!BA:BA))+0.5,0.5))</f>
        <v>No</v>
      </c>
      <c r="AJ137" s="7" t="str">
        <f>IF(AI137="No","No",MAX(_xlfn.XLOOKUP(_xlfn.XLOOKUP(B137,'Base stats'!B:B,'Base stats'!E:E),Groups!A:A,Groups!AE:AE),MROUND(_xlfn.XLOOKUP(_xlfn.XLOOKUP(B137,'Base stats'!B:B,'Base stats'!E:E),Groups!A:A,Groups!AE:AE)*IF(_xlfn.XLOOKUP(_xlfn.XLOOKUP(B137,'Base stats'!B:B,'Base stats'!E:E),Groups!A:A,Groups!AJ:AJ)="Photonozoa",0.6,1)*_xlfn.XLOOKUP(B137,'Base stats'!B:B,'Base stats'!C:C)^0.165,0.05)))</f>
        <v>No</v>
      </c>
      <c r="AK137" s="7" t="str">
        <f>IF(AI137="No","No",_xlfn.XLOOKUP(_xlfn.XLOOKUP(B137,'Base stats'!B:B,'Base stats'!E:E),Groups!A:A,Groups!AF:AF))</f>
        <v>No</v>
      </c>
      <c r="AL137" s="7" t="str">
        <f>IF(AI137="No","No",_xlfn.XLOOKUP(_xlfn.XLOOKUP(B137,'Base stats'!B:B,'Base stats'!E:E),Groups!A:A,Groups!AG:AG))</f>
        <v>No</v>
      </c>
      <c r="AM137" s="7" t="str">
        <f>IF(AI137="No","No",_xlfn.XLOOKUP(_xlfn.XLOOKUP(B137,'Base stats'!B:B,'Base stats'!E:E),Groups!A:A,Groups!AH:AH))</f>
        <v>No</v>
      </c>
      <c r="AN137" s="2" t="str">
        <f t="shared" si="14"/>
        <v>No</v>
      </c>
      <c r="AO137" s="2">
        <f>MROUND(IF(AND(_xlfn.XLOOKUP(B137,'Base stats'!B:B,'Base stats'!C:C)&gt;=0.5,_xlfn.XLOOKUP(B137,'Base stats'!B:B,'Base stats'!C:C)&lt;=0.8),
IF(_xlfn.XLOOKUP(B137,'Base stats'!B:B,'Base stats'!C:C)&lt;0.1,0.05,IF(_xlfn.XLOOKUP(B137,'Base stats'!B:B,'Base stats'!C:C)&lt;=70,(_xlfn.XLOOKUP(B137,'Base stats'!B:B,'Base stats'!C:C)/70)^0.426489913056526,IF(_xlfn.XLOOKUP(B137,'Base stats'!B:B,'Base stats'!C:C)&lt;=400,(_xlfn.XLOOKUP(B137,'Base stats'!B:B,'Base stats'!C:C)/70)^0.572811455315093,IF(_xlfn.XLOOKUP(B137,'Base stats'!B:B,'Base stats'!C:C)&lt;=2000,2.71391647193063*(_xlfn.XLOOKUP(B137,'Base stats'!B:B,'Base stats'!C:C)/400)^0.252459582904293,3.74314280240376*(_xlfn.XLOOKUP(B137,'Base stats'!B:B,'Base stats'!C:C)/2000)^0.357012633876913)))),
IF(_xlfn.XLOOKUP(B137,'Base stats'!B:B,'Base stats'!C:C)&lt;0.1,0.05,IF(_xlfn.XLOOKUP(B137,'Base stats'!B:B,'Base stats'!C:C)&lt;0.4,0.1,IF(_xlfn.XLOOKUP(B137,'Base stats'!B:B,'Base stats'!C:C)&lt;=70,(_xlfn.XLOOKUP(B137,'Base stats'!B:B,'Base stats'!C:C)/70)^0.445823913056526,IF(_xlfn.XLOOKUP(B137,'Base stats'!B:B,'Base stats'!C:C)&lt;=400,(_xlfn.XLOOKUP(B137,'Base stats'!B:B,'Base stats'!C:C)/70)^0.572811455315093,IF(_xlfn.XLOOKUP(B137,'Base stats'!B:B,'Base stats'!C:C)&lt;=2000,2.71391647193063*(_xlfn.XLOOKUP(B137,'Base stats'!B:B,'Base stats'!C:C)/400)^0.252459582904293,3.74314280240376*(_xlfn.XLOOKUP(B137,'Base stats'!B:B,'Base stats'!C:C)/2000)^0.357012633876913)))))),
IF(_xlfn.XLOOKUP(B137,'Base stats'!B:B,'Base stats'!C:C)&lt;0.1,0.05,IF(_xlfn.XLOOKUP(B137,'Base stats'!B:B,'Base stats'!C:C)&lt;=100,0.05,IF(_xlfn.XLOOKUP(B137,'Base stats'!B:B,'Base stats'!C:C)&lt;=250,0.1,IF(_xlfn.XLOOKUP(B137,'Base stats'!B:B,'Base stats'!C:C)&lt;=4000,0.25,0.5)))))</f>
        <v>4.5</v>
      </c>
      <c r="AP137" s="8">
        <f>MROUND(AO137*_xlfn.XLOOKUP(_xlfn.XLOOKUP(B137,'Base stats'!B:B,'Base stats'!E:E),Groups!A:A,Groups!AI:AI)*_xlfn.XLOOKUP(B137,'Base stats'!B:B,'Base stats'!Z:Z),0.05)</f>
        <v>4.5</v>
      </c>
      <c r="AQ137" s="8">
        <f>MAX(0.01,MROUND(IF(CC137="True",0.196*(AO137*100*1000)^0.889,IF(_xlfn.XLOOKUP(_xlfn.XLOOKUP(B137,'Base stats'!B:B,'Base stats'!E:E),Groups!A:A,Groups!AJ:AJ)="Bird",10.5*(AO137*100*1000)^0.681,4.82*(AO137*100*1000)^0.734))/(4.82*(1*100*1000)^0.734)/IF(AO137&lt;3.5,2,IF(AO137=3.5,1.5,1.25))*(1+0.132282374779864/(AO137^0.994035016789033+0.00905238001496948)),0.05))</f>
        <v>2.5</v>
      </c>
      <c r="AR137" s="9">
        <f>IFERROR(MROUND(_xlfn.XLOOKUP(B137,'Base stats'!B:B,'Base stats'!H:H)/IF(_xlfn.XLOOKUP(B137,'Base stats'!B:B,'Base stats'!I:I)&lt;&gt;1,(122.5/70),1.2),IF(_xlfn.XLOOKUP(B137,'Base stats'!B:B,'Base stats'!H:H)&gt;=30,5,IF(_xlfn.XLOOKUP(B137,'Base stats'!B:B,'Base stats'!H:H)&gt;=15,3,IF(_xlfn.XLOOKUP(B137,'Base stats'!B:B,'Base stats'!H:H)&gt;=10,2,1)))),"Immortal")</f>
        <v>65</v>
      </c>
      <c r="AS137" s="35">
        <f>IFERROR(IF(OR(_xlfn.XLOOKUP(B137,'Base stats'!B:B,'Base stats'!F:F)="Atypical reproduction",_xlfn.XLOOKUP(B137,'Base stats'!B:B,'Base stats'!F:F)="Lay eggs"),"Lay eggs",MIN(20,MAX(5.5,ROUND(((_xlfn.XLOOKUP(B137,'Base stats'!B:B,'Base stats'!F:F)-25)*(14.5/615) + 5.5)*2,0)/2))),"Unknown")</f>
        <v>20</v>
      </c>
      <c r="AT137" s="8">
        <f>IF(_xlfn.XLOOKUP(B137,'Base stats'!B:B,'Base stats'!G:G)="Atypical reproduction","No",IFERROR(MAX(IF(_xlfn.XLOOKUP(B137,'Base stats'!B:B,'Base stats'!G:G)&lt;0.5,0.2,0.3),MROUND(_xlfn.XLOOKUP(B137,'Base stats'!B:B,'Base stats'!G:G)/(365/60),0.2)),"Unknown"))</f>
        <v>1.4000000000000001</v>
      </c>
      <c r="AU137" s="8">
        <f t="shared" si="15"/>
        <v>0.70000000000000007</v>
      </c>
      <c r="AV137" s="8">
        <f>IFERROR(IFERROR(MROUND(_xlfn.XLOOKUP(B137,'Base stats'!B:B,'Base stats'!J:J),0.1),"Lay eggs"),"Cannot breed")</f>
        <v>1</v>
      </c>
      <c r="AW137" s="2" t="str">
        <f t="shared" si="16"/>
        <v>true</v>
      </c>
      <c r="AX137" s="2" t="str">
        <f>IF(_xlfn.XLOOKUP(_xlfn.XLOOKUP(Animals!B137,'Base stats'!B:B,'Base stats'!E:E),Groups!A:A,Groups!AK:AK)=1,"true","false")</f>
        <v>true</v>
      </c>
      <c r="AY137" s="25" t="str">
        <f>IF(_xlfn.XLOOKUP(B137,'Base stats'!B:B,'Base stats'!Y:Y)="Liquor","Liquor, CarnivoreAnimalStrict",IF(AND(_xlfn.XLOOKUP(B137,'Base stats'!B:B,'Base stats'!Y:Y)="Carnivore",_xlfn.XLOOKUP(_xlfn.XLOOKUP(B137,'Base stats'!B:B,'Base stats'!E:E),Groups!A:A,Groups!AJ:AJ)="Photonozoa"),"CarnivoreAnimalStrict, OvivoreAnimal",IF(_xlfn.XLOOKUP(B137,'Base stats'!B:B,'Base stats'!Y:Y)="Carnivore","CarnivoreAnimal, OvivoreAnimal",IF(_xlfn.XLOOKUP(B137,'Base stats'!B:B,'Base stats'!Y:Y)="Dendrovore","VegetarianRoughAnimal, DendrovoreAnimal",IF(_xlfn.XLOOKUP(B137,'Base stats'!B:B,'Base stats'!Y:Y)="Herbivore","VegetarianRoughAnimal",IF(_xlfn.XLOOKUP(B137,'Base stats'!B:B,'Base stats'!Y:Y)="OmnivoreRough","OmnivoreRoughAnimal, OvivoreAnimal","OmnivoreAnimal, OvivoreAnimal"))))))</f>
        <v>VegetarianRoughAnimal</v>
      </c>
      <c r="AZ137" s="2" t="str">
        <f>IF(_xlfn.XLOOKUP(_xlfn.XLOOKUP(B137,'Base stats'!B:B,'Base stats'!E:E),Groups!A:A,Groups!D:D)=1,MROUND((1-J137)*5+1,2)*IF(J137&lt;=0.4,2,1),"No")</f>
        <v>No</v>
      </c>
      <c r="BA137" s="2" t="str">
        <f>IF(AND(_xlfn.XLOOKUP(B137,'Base stats'!B:B,'Base stats'!AH:AH)="&lt;li&gt;Seal&lt;/li&gt;",G137="Odyssey"),"&lt;li&gt;AEXP_Seal&lt;/li&gt;",_xlfn.XLOOKUP(B137,'Base stats'!B:B,'Base stats'!AH:AH))</f>
        <v>&lt;li&gt;Elephant&lt;/li&gt;</v>
      </c>
      <c r="BB137" s="2" t="str">
        <f>_xlfn.XLOOKUP(B137,'Base stats'!B:B,'Base stats'!AG:AG)</f>
        <v>Leather_Elephant</v>
      </c>
      <c r="BC137" s="23" t="str">
        <f>_xlfn.XLOOKUP(_xlfn.XLOOKUP(B137,'Base stats'!B:B,'Base stats'!E:E),Groups!A:A,Groups!AL:AL)</f>
        <v>QuadrupedAnimalWithHoovesTusksAndTrunk</v>
      </c>
      <c r="BD137" s="23">
        <f>MIN(1,MROUND(IF(AND(AO137&lt;0.5,_xlfn.XLOOKUP(B137,'Base stats'!B:B,'Base stats'!AA:AA)=0),0,IF(OR(_xlfn.XLOOKUP(Animals!B137,'Base stats'!B:B,'Base stats'!O:O)=2,_xlfn.XLOOKUP(_xlfn.XLOOKUP(B137,'Base stats'!B:B,'Base stats'!E:E),Groups!A:A,Groups!AN:AN)=0),0,_xlfn.XLOOKUP(_xlfn.XLOOKUP(B137,'Base stats'!B:B,'Base stats'!E:E),Groups!A:A,Groups!AN:AN)/IF(_xlfn.XLOOKUP(Animals!B137,'Base stats'!B:B,'Base stats'!O:O)=1,2,1)))+_xlfn.XLOOKUP(B137,'Base stats'!B:B,'Base stats'!AC:AC),0.005))</f>
        <v>2.5000000000000001E-2</v>
      </c>
      <c r="BE137" s="23">
        <f>MIN(1,MROUND(IF(AND(AO137&lt;0.5,_xlfn.XLOOKUP(B137,'Base stats'!B:B,'Base stats'!AA:AA)=0),0,IF(_xlfn.XLOOKUP(_xlfn.XLOOKUP(B137,'Base stats'!B:B,'Base stats'!E:E),Groups!A:A,Groups!AO:AO)=0,0,_xlfn.XLOOKUP(_xlfn.XLOOKUP(B137,'Base stats'!B:B,'Base stats'!E:E),Groups!A:A,Groups!AO:AO)/IF(_xlfn.XLOOKUP(Animals!B137,'Base stats'!B:B,'Base stats'!O:O)=2,3,1)))+_xlfn.XLOOKUP(B137,'Base stats'!B:B,'Base stats'!AD:AD),0.005))</f>
        <v>0.3</v>
      </c>
      <c r="BF137" s="2" t="str">
        <f>IF(J137&gt;0.3,"No",_xlfn.XLOOKUP(_xlfn.XLOOKUP(Animals!B137,'Base stats'!B:B,'Base stats'!E:E),Groups!A:A,Groups!AP:AP))</f>
        <v>No</v>
      </c>
      <c r="BG137" s="2" t="str">
        <f>IF(AND(J137&lt;=0.65,_xlfn.XLOOKUP(_xlfn.XLOOKUP(Animals!B137,'Base stats'!B:B,'Base stats'!E:E),Groups!A:A,Groups!AP:AP)&lt;&gt;"No",_xlfn.XLOOKUP(_xlfn.XLOOKUP(B137,'Base stats'!B:B,'Base stats'!E:E),Groups!A:A,Groups!D:D)=0),MROUND((80/3)*IF(_xlfn.XLOOKUP(B137,'Base stats'!B:B,'Base stats'!O:O)=2,0.2,AO137) + 24*(1-IF(BF137="No",0,BF137)) + 16/3, 12),"No")</f>
        <v>No</v>
      </c>
      <c r="BH137" s="2">
        <f>IF(AND(_xlfn.XLOOKUP(_xlfn.XLOOKUP(B137,'Base stats'!B:B,'Base stats'!E:E),Groups!A:A,Groups!AQ:AQ)=1,AO137&lt;=0.35),8,12)</f>
        <v>12</v>
      </c>
      <c r="BI137" s="2" t="str">
        <f>IF(_xlfn.XLOOKUP(_xlfn.XLOOKUP(B137,'Base stats'!B:B,'Base stats'!E:E),Groups!A:A,Groups!D:D)=0,_xlfn.XLOOKUP(_xlfn.XLOOKUP(B137,'Base stats'!B:B,'Base stats'!E:E),Groups!A:A,Groups!AR:AR),"None")</f>
        <v>Advanced</v>
      </c>
      <c r="BJ137" s="2" t="str">
        <f>IF(AND(_xlfn.XLOOKUP(_xlfn.XLOOKUP(B137,'Base stats'!B:B,'Base stats'!E:E),Groups!A:A,Groups!AS:AS)=1,OR(_xlfn.XLOOKUP(B137,'Base stats'!B:B,'Base stats'!Y:Y)="Carnivore",_xlfn.XLOOKUP(B137,'Base stats'!B:B,'Base stats'!Y:Y)="Omnivore")),"true","false")</f>
        <v>false</v>
      </c>
      <c r="BK137" s="2" t="str">
        <f>IF(BJ137="true",MROUND(IF(AND(AO137&gt;0.5,OR(_xlfn.XLOOKUP(_xlfn.XLOOKUP(B137,'Base stats'!B:B,'Base stats'!E:E),Groups!A:A,Groups!AJ:AJ)="Photonozoa",_xlfn.XLOOKUP(_xlfn.XLOOKUP(B137,'Base stats'!B:B,'Base stats'!E:E),Groups!A:A,Groups!AJ:AJ)="Mammal")),Animals!AO137*1.75*IF(AW137="true",1.5,1),IF(AO137&lt;0.5,Animals!AO137*0.5,Animals!AO137)),IF(AO137&gt;2,0.5,IF(AO137&gt;0.5,0.25,0.1))),"No")</f>
        <v>No</v>
      </c>
      <c r="BL137" s="2">
        <f t="shared" si="17"/>
        <v>1</v>
      </c>
      <c r="BM137" s="25" t="str">
        <f>IF(_xlfn.XLOOKUP(B137,'Base stats'!B:B,'Base stats'!AN:AN)="Standard","No",MROUND((_xlfn.XLOOKUP(B137,'Base stats'!B:B,'Base stats'!AN:AN)/3.6)/I137,0.1))</f>
        <v>No</v>
      </c>
      <c r="BN137" s="25" t="str">
        <f t="shared" si="18"/>
        <v>false</v>
      </c>
      <c r="BO137" s="25" t="str">
        <f>IF(AND(OR(_xlfn.XLOOKUP(B137,'Base stats'!B:B,'Base stats'!Y:Y)="Carnivore",_xlfn.XLOOKUP(B137,'Base stats'!B:B,'Base stats'!Y:Y)="Omnivore",_xlfn.XLOOKUP(B137,'Base stats'!B:B,'Base stats'!Y:Y)="OmnivoreRough"),_xlfn.XLOOKUP(_xlfn.XLOOKUP(B137,'Base stats'!B:B,'Base stats'!E:E),Groups!A:A,Groups!AT:AT)=1),"true","false")</f>
        <v>false</v>
      </c>
      <c r="BP137" s="25" t="str" cm="1">
        <f t="array" ref="BP137">IF(
  _xlfn.TEXTJOIN(", ",TRUE,
    IF(AND(BJ137="true",AO137&gt;0.5,BI137&lt;&gt;"None"),"AttackTarget",""),
    IF(AND(_xlfn.XLOOKUP(_xlfn.XLOOKUP(B137,'Base stats'!B:B,'Base stats'!E:E),Groups!A:A,Groups!AJ:AJ="Mammal"),OR(_xlfn.XLOOKUP(B137,'Base stats'!B:B,'Base stats'!Y:Y)="Omnivore",_xlfn.XLOOKUP(B137,'Base stats'!B:B,'Base stats'!Y:Y)="OmnivoreRough")),"Forage",""),
    IF(BG137&lt;=36,"Comfort",""),
    IF(_xlfn.XLOOKUP(B137,'Base stats'!B:B,'Base stats'!AE:AE)&lt;&gt;"No",_xlfn.XLOOKUP(B137,'Base stats'!B:B,'Base stats'!AE:AE),"")
  ) = "",
  "No",
  _xlfn.TEXTJOIN(", ",TRUE,
    IF(AND(BJ137="true",AO137&gt;0.5,BI137&lt;&gt;"None"),"AttackTarget",""),
    IF(AND(_xlfn.XLOOKUP(_xlfn.XLOOKUP(B137,'Base stats'!B:B,'Base stats'!E:E),Groups!A:A,Groups!AJ:AJ="Mammal"),OR(_xlfn.XLOOKUP(B137,'Base stats'!B:B,'Base stats'!Y:Y)="Omnivore",_xlfn.XLOOKUP(B137,'Base stats'!B:B,'Base stats'!Y:Y)="OmnivoreRough")),"Forage",""),
    IF(BG137&lt;=36,"Comfort",""),
    IF(_xlfn.XLOOKUP(B137,'Base stats'!B:B,'Base stats'!AE:AE)&lt;&gt;"No",_xlfn.XLOOKUP(B137,'Base stats'!B:B,'Base stats'!AE:AE),"")
  )
)</f>
        <v>No</v>
      </c>
      <c r="BQ137" s="25" t="str">
        <f>IF(
   AND(
      'Base stats'!AN137="Standard",_xlfn.XLOOKUP(_xlfn.XLOOKUP(B137,'Base stats'!B:B,'Base stats'!E:E),Groups!A:A,Groups!AU:AU)=0,
      OR(
      BO137="True"
      )
   ),
   10,
   IF(
       OR(BM137&lt;&gt;"No",_xlfn.XLOOKUP(_xlfn.XLOOKUP(B137,'Base stats'!B:B,'Base stats'!E:E),Groups!A:A,Groups!AU:AU)=1),
      1,
      "No"
   )
)</f>
        <v>No</v>
      </c>
      <c r="BR137" s="9">
        <f>MROUND((1 + ((0.2*IF(OR(Q137="No",R137="No",R137=0),0,Q137/R137)
+IF(OR(V137="No",S137="No",T137="No"),0,S137/T137*(LEN(V137)-LEN(SUBSTITUTE(V137,",",""))+1))
+IF(OR(X137="No",Y137="No"),0,X137/Y137)
+IF(OR(AD137="No",AE137="No"),0,AD137/AE137)
+IF(OR(AL137="No",AI137="No",AJ137="No"),0,AI137/AJ137*(LEN(AL137)-LEN(SUBSTITUTE(AL137,",",""))+1))
)/(0.2*IF(OR(Q137="No",R137="No",R137=0),0,1)
+IF(OR(V137="No",S137="No",T137="No"),0,LEN(V137)-LEN(SUBSTITUTE(V137,",",""))+1)
+IF(OR(X137="No",Y137="No"),0,1)
+IF(OR(AD137="No",AE137="No"),0,1)
+IF(OR(AL137="No",AI137="No",AJ137="No"),0,LEN(AL137)-LEN(SUBSTITUTE(AL137,",",""))+1))*62%)* 2)*(1 + (AP137 / (IF(_xlfn.XLOOKUP(_xlfn.XLOOKUP(B137,'Base stats'!B:B,'Base stats'!E:E),Groups!A:A,Groups!AJ:AJ)="Photonozoa",0.3,1)) + _xlfn.XLOOKUP(B137,'Base stats'!B:B,'Base stats'!AV:AV) * 1.8) * 2) * 2.5 + 10 + I137 * 2,5)+IF(_xlfn.XLOOKUP(B137,'Base stats'!B:B,'Base stats'!AK:AK)=1,50,0)</f>
        <v>395</v>
      </c>
      <c r="BS137" s="8">
        <f t="shared" si="19"/>
        <v>2.9000000000000004</v>
      </c>
      <c r="BT137" s="8" t="str">
        <f>_xlfn.XLOOKUP(B137,'Base stats'!B:B,'Base stats'!AF:AF)</f>
        <v>3~6</v>
      </c>
      <c r="BU137" s="2" t="str">
        <f>IF(AND(J137&lt;=0.95,OR(_xlfn.XLOOKUP(B137,'Base stats'!B:B,'Base stats'!AK:AK)=1,_xlfn.XLOOKUP(B137,'Base stats'!B:B,'Base stats'!Y:Y)="Carnivore",_xlfn.XLOOKUP(B137,'Base stats'!B:B,'Base stats'!Y:Y)="Omnivore",BE137&gt;0.1)),"true","false")</f>
        <v>true</v>
      </c>
      <c r="BV137" s="2" t="str">
        <f>IF(_xlfn.XLOOKUP(B137,'Base stats'!B:B,'Base stats'!AI:AI)=1,"true","false")</f>
        <v>true</v>
      </c>
      <c r="BW137" s="25" t="str">
        <f>IF(E137="BaseInsect","AnimalInsect",
IF(J137&gt;0.95,"AnimalExotic",
_xlfn.TEXTJOIN(", ",TRUE,
IF(OR(_xlfn.XLOOKUP(B137,'Base stats'!B:B,'Base stats'!AM:AM)=1,AND(_xlfn.XLOOKUP(B137,'Base stats'!B:B,'Base stats'!O:O)=0,_xlfn.XLOOKUP(_xlfn.XLOOKUP(B137,'Base stats'!B:B,'Base stats'!E:E),Groups!A:A,Groups!B:B)&gt;0)),"AnimalUncommon","AnimalCommon"),
IF(AND(_xlfn.XLOOKUP(B137,'Base stats'!B:B,'Base stats'!O:O)=2,_xlfn.XLOOKUP(_xlfn.XLOOKUP(B137,'Base stats'!B:B,'Base stats'!E:E),Groups!A:A,Groups!D:D)=0),"AnimalPet",IF(AND(_xlfn.XLOOKUP(B137,'Base stats'!B:B,'Base stats'!O:O)&lt;&gt;0,_xlfn.XLOOKUP(_xlfn.XLOOKUP(B137,'Base stats'!B:B,'Base stats'!E:E),Groups!A:A,Groups!D:D)&lt;&gt;0),"AnimalFarm","")),
IF(OR(_xlfn.XLOOKUP(B137,'Base stats'!B:B,'Base stats'!AK:AK)=1,AND(BI137&lt;&gt;"None",BR137&gt;=60),ISNUMBER(SEARCH("Attack target",BP137))),"AnimalFighter","")
)))</f>
        <v>AnimalUncommon, AnimalFighter</v>
      </c>
      <c r="BX137" s="25" t="str">
        <f>IF(G137="None",TRIM(
SUBSTITUTE(
IF(COUNTIF(Biomes!B$2:B$259,"="&amp;$C137)&gt;0,Biomes!B$1&amp;", ","")&amp;
IF(COUNTIF(Biomes!C$2:C$259,"="&amp;$C137)&gt;0,Biomes!C$1&amp;", ","")&amp;
IF(COUNTIF(Biomes!D$2:D$259,"="&amp;$C137)&gt;0,Biomes!D$1&amp;", ","")&amp;
IF(COUNTIF(Biomes!F$2:F$259,"="&amp;$C137)&gt;0,Biomes!F$1&amp;", ","")&amp;
IF(COUNTIF(Biomes!G$2:G$259,"="&amp;$C137)&gt;0,Biomes!G$1&amp;", ","")&amp;
IF(COUNTIF(Biomes!H$2:H$259,"="&amp;$C137)&gt;0,Biomes!H$1&amp;", ","")&amp;
IF(COUNTIF(Biomes!I$2:I$259,"="&amp;$C137)&gt;0,Biomes!I$1&amp;", ","")&amp;
IF(COUNTIF(Biomes!J$2:J$259,"="&amp;$C137)&gt;0,Biomes!J$1&amp;", ","")&amp;
IF(COUNTIF(Biomes!M$2:M$259,"="&amp;$C137)&gt;0,Biomes!M$1&amp;", ","")&amp;
IF(COUNTIF(Biomes!N$2:N$259,"="&amp;$C137)&gt;0,Biomes!N$1&amp;", ","")&amp;
IF(COUNTIF(Biomes!O$2:O$259,"="&amp;$C137)&gt;0,Biomes!O$1&amp;", ","")&amp;
IF(COUNTIF(Biomes!P$2:P$259,"="&amp;$C137)&gt;0,Biomes!P$1&amp;", ","")&amp;
IF(COUNTIF(Biomes!K$2:K$259,"="&amp;$C137)&gt;0,Biomes!K$1&amp;", ","")&amp;
IF(COUNTIF(Biomes!Q$3:Q$259,"="&amp;$C137)&gt;0,Biomes!Q$1&amp;", ","")&amp;
IF(COUNTIF(Biomes!L$2:L$259,"="&amp;$C137)&gt;0,Biomes!L$1&amp;", ","")&amp;
IF(COUNTIF(Biomes!E$2:E$259,"="&amp;$C137)&gt;0,Biomes!E$1&amp;", ","")&amp;IF(COUNTIF(Biomes!S$2:S$259,"="&amp;$C137)&gt;0,Biomes!S$1&amp;", ","")&amp;
IF(COUNTIF(Biomes!R$2:R$259,"="&amp;$C137)&gt;0,Biomes!R$1&amp;", ",""),", ","")
),_xlfn.XLOOKUP(B137,B:B,BX:BX))</f>
        <v>TropicalRainforest TropicalSwamp Glowforest</v>
      </c>
      <c r="BY137" s="25" t="str">
        <f>IF(_xlfn.XLOOKUP(B137,'Base stats'!B:B,'Base stats'!AJ:AJ)=1,"true","false")</f>
        <v>false</v>
      </c>
      <c r="BZ137" s="25">
        <f>IF(_xlfn.XLOOKUP(B137,'Base stats'!B:B,'Base stats'!N:N)=1,"No",MAX(0.001,MIN(MROUND(IF(AND(BJ137="True",CC137="False"),POWER(10,3.47*LOG10(_xlfn.XLOOKUP(B137,'Base stats'!B:B,'Base stats'!C:C)*1000)^-0.96),POWER(10,4.15*LOG10(_xlfn.XLOOKUP(B137,'Base stats'!B:B,'Base stats'!C:C)*1000)^-0.73))*IF(_xlfn.XLOOKUP(B137,'Base stats'!B:B,'Base stats'!AK:AK)=1,0.5,1)*IF(_xlfn.XLOOKUP(B137,'Base stats'!B:B,'Base stats'!AM:AM)=1,0.1,1)/100,IF(_xlfn.XLOOKUP(B137,'Base stats'!B:B,'Base stats'!AM:AM)=1,0.001,0.025)),0.5)))</f>
        <v>0.125</v>
      </c>
      <c r="CA137" s="25" t="str">
        <f>IF(P137="Standard","No",MAX(0.001,MIN(MROUND(IF(AND(BJ137="True",CC137="False"),POWER(10,3.47*LOG10(_xlfn.XLOOKUP(B137,'Base stats'!B:B,'Base stats'!C:C)*1000)^-0.96),POWER(10,4.15*LOG10(_xlfn.XLOOKUP(B137,'Base stats'!B:B,'Base stats'!C:C)*1000)^-0.73))*IF(_xlfn.XLOOKUP(B137,'Base stats'!B:B,'Base stats'!AM:AM)=1,0.1,1)*_xlfn.XLOOKUP(B137,'Base stats'!B:B,'Base stats'!R:R)/100,IF(_xlfn.XLOOKUP(B137,'Base stats'!B:B,'Base stats'!AM:AM)=1,0.001,0.025)),0.5)))</f>
        <v>No</v>
      </c>
      <c r="CB137" s="25" t="str">
        <f>IF(_xlfn.XLOOKUP(_xlfn.XLOOKUP(B137,'Base stats'!B:B,'Base stats'!E:E),Groups!A:A,Groups!AJ:AJ)="Mammal","True","False")</f>
        <v>True</v>
      </c>
      <c r="CC137" s="25" t="str">
        <f>IF(OR(_xlfn.XLOOKUP(_xlfn.XLOOKUP(B137,'Base stats'!B:B,'Base stats'!E:E),Groups!A:A,Groups!AJ:AJ)="Reptile",_xlfn.XLOOKUP(_xlfn.XLOOKUP(B137,'Base stats'!B:B,'Base stats'!E:E),Groups!A:A,Groups!AJ:AJ)="Amphibian",_xlfn.XLOOKUP(_xlfn.XLOOKUP(B137,'Base stats'!B:B,'Base stats'!E:E),Groups!A:A,Groups!AJ:AJ)="Invertebrate"),"True","False")</f>
        <v>False</v>
      </c>
      <c r="CD137" s="25" t="str">
        <f t="shared" si="20"/>
        <v>False</v>
      </c>
      <c r="CE137" s="25" t="str">
        <f>IF(_xlfn.XLOOKUP(_xlfn.XLOOKUP(B137,'Base stats'!B:B,'Base stats'!E:E),Groups!A:A,Groups!AX:AX),"True","False")</f>
        <v>False</v>
      </c>
      <c r="CF137" s="25" t="str">
        <f>IF(_xlfn.XLOOKUP(_xlfn.XLOOKUP(B137,'Base stats'!B:B,'Base stats'!E:E),Groups!A:A,Groups!AY:AY),"True","False")</f>
        <v>False</v>
      </c>
      <c r="CG137" s="25" t="str">
        <f>IF(_xlfn.XLOOKUP(_xlfn.XLOOKUP(B137,'Base stats'!B:B,'Base stats'!E:E),Groups!A:A,Groups!AW:AW),"True","False")</f>
        <v>False</v>
      </c>
      <c r="CH137" s="25" t="str">
        <f>IF(
OR(
_xlfn.XLOOKUP(_xlfn.XLOOKUP(B137,'Base stats'!B:B,'Base stats'!E:E),Groups!A:A,Groups!AZ:AZ)=0,
AND(
_xlfn.XLOOKUP(B137,'Base stats'!B:B,'Base stats'!Y:Y)&lt;&gt;"Carnivore",
_xlfn.XLOOKUP(B137,'Base stats'!B:B,'Base stats'!Y:Y)&lt;&gt;"Omnivore",
_xlfn.XLOOKUP(B137,'Base stats'!B:B,'Base stats'!Y:Y)&lt;&gt;"OmnivoreRough"
)
),
"No",
IF(
_xlfn.XLOOKUP(_xlfn.XLOOKUP(B137,'Base stats'!B:B,'Base stats'!E:E),Groups!A:A,Groups!AZ:AZ)=1,
"Flesh",
IF(
_xlfn.XLOOKUP(_xlfn.XLOOKUP(B137,'Base stats'!B:B,'Base stats'!E:E),Groups!A:A,Groups!AZ:AZ)=2,
"Bone",
""
)
)
)</f>
        <v>No</v>
      </c>
      <c r="CI137" s="25" t="str">
        <f>IF(_xlfn.XLOOKUP(_xlfn.XLOOKUP(B137,'Base stats'!B:B,'Base stats'!E:E),Groups!A:A,Groups!BB:BB),"True","False")</f>
        <v>True</v>
      </c>
      <c r="CJ137" s="25" t="str">
        <f>IF(_xlfn.XLOOKUP(_xlfn.XLOOKUP(B137,'Base stats'!B:B,'Base stats'!E:E),Groups!A:A,Groups!BA:BA),"True","False")</f>
        <v>False</v>
      </c>
    </row>
    <row r="138" spans="1:88" ht="16.5" thickTop="1" thickBot="1" x14ac:dyDescent="0.3">
      <c r="A138" s="26" t="str">
        <f>_xlfn.XLOOKUP(B138,'Base stats'!B:B,'Base stats'!A:A)</f>
        <v>MegaWolverine</v>
      </c>
      <c r="B138" s="6" t="s">
        <v>484</v>
      </c>
      <c r="C138" s="28" t="s">
        <v>819</v>
      </c>
      <c r="D138" s="28" t="s">
        <v>872</v>
      </c>
      <c r="E138" s="28" t="s">
        <v>673</v>
      </c>
      <c r="F138" s="28" t="s">
        <v>673</v>
      </c>
      <c r="G138" s="28" t="s">
        <v>673</v>
      </c>
      <c r="H138" s="2">
        <f>MROUND((
  (IF(AND(_xlfn.XLOOKUP(B138,'Base stats'!B:B,'Base stats'!AL:AL)=0,BI138="None",_xlfn.XLOOKUP(_xlfn.XLOOKUP(B138,'Base stats'!B:B,'Base stats'!E:E),Groups!A:A,Groups!B:B)=0), (18 + BR138 * 2.7) * 0.5,
    IF(AND(_xlfn.XLOOKUP(B138,'Base stats'!B:B,'Base stats'!AL:AL)=0,OR(AO138&lt;0.55,AND(BI138="Intermediate",_xlfn.XLOOKUP(_xlfn.XLOOKUP(B138,'Base stats'!B:B,'Base stats'!E:E),Groups!A:A,Groups!B:B)&lt;2))), (18 + BR138 * 2.7),
      IF(OR(BI138="Advanced",_xlfn.XLOOKUP(B138,'Base stats'!B:B,'Base stats'!AL:AL)=1,_xlfn.XLOOKUP(_xlfn.XLOOKUP(B138,'Base stats'!B:B,'Base stats'!E:E),Groups!A:A,Groups!B:B)=2), (18 + BR138 * 2.7) + 250, (18 + BR138 * 2.7))
    )
  ))
  + AO138 * 80
  + IF(COUNTIF(EggMilk!K$2:K$998, A138) &gt; 0, 125, 0)
  + IF(COUNTIF(EggMilk!P$2:P$998, A138) &gt; 0, 90, 0)
  + IF(COUNTIF(EggMilk!A$2:A$998, A138) &gt; 0, 90, 0)
)
* (0.8 + 0.4 * J138)
* 0.75,25)</f>
        <v>2225</v>
      </c>
      <c r="I138" s="2">
        <f>MROUND(ROUNDDOWN(_xlfn.XLOOKUP(B138,'Base stats'!B:B,'Base stats'!L:L)/3.6/(23.3/11),1),0.5)</f>
        <v>4</v>
      </c>
      <c r="J138" s="2">
        <f>IF(OR(_xlfn.XLOOKUP(B138,'Base stats'!B:B,'Base stats'!AB:AB)=1,_xlfn.XLOOKUP(_xlfn.XLOOKUP(B138,'Base stats'!B:B,'Base stats'!E:E),Groups!A:A,Groups!C:C)="Untamable"),1,IF(_xlfn.XLOOKUP(B138,'Base stats'!B:B,'Base stats'!AL:AL)=1,0.99,MIN(MROUND((1-0.6282*EXP(-0.459*AO138))*_xlfn.XLOOKUP(_xlfn.XLOOKUP(B138,'Base stats'!B:B,'Base stats'!E:E),Groups!A:A,Groups!C:C)*IF(_xlfn.XLOOKUP(B138,'Base stats'!B:B,'Base stats'!O:O)=1,0.5,IF(_xlfn.XLOOKUP(B138,'Base stats'!B:B,'Base stats'!O:O)=2,0,1)),0.05),IF(AO138&gt;3.5,0.985,0.95))))</f>
        <v>0.99</v>
      </c>
      <c r="K138" s="2">
        <f>ROUNDUP(AO138*_xlfn.XLOOKUP(_xlfn.XLOOKUP(B138,'Base stats'!B:B,'Base stats'!E:E),Groups!A:A,Groups!E:E),0)</f>
        <v>5</v>
      </c>
      <c r="L138" s="2">
        <f>IF(OR(_xlfn.XLOOKUP(_xlfn.XLOOKUP(B138,'Base stats'!B:B,'Base stats'!E:E),Groups!A:A,Groups!F:F)=2,ISNUMBER(SEARCH("SeaIce",BX138)),ISNUMBER(SEARCH("IceSheet",BX138))),-50,IF(OR(ISNUMBER(SEARCH("GlacialPlain",BX138)),ISNUMBER(SEARCH("Tundra",BX138))),-40,IF(OR(ISNUMBER(SEARCH("Alpine",BX138)),ISNUMBER(SEARCH("BorealForest",BX138)),ISNUMBER(SEARCH("ColdBog",BX138))),-30,IF(OR(ISNUMBER(SEARCH("TemperateForest",BX138)),ISNUMBER(SEARCH("TemperateSwamp",BX138))),-20,IF(_xlfn.XLOOKUP(_xlfn.XLOOKUP(B138,'Base stats'!B:B,'Base stats'!E:E),Groups!A:A,Groups!F:F)=1,-15,IF(OR(ISNUMBER(SEARCH("Desert",BX138)),ISNUMBER(SEARCH("ExtremeDesert",BX138))),-10,IF(OR(ISNUMBER(SEARCH("Grasslands",BX138)),ISNUMBER(SEARCH("TropicalRainforest",BX138)),ISNUMBER(SEARCH("TropicalSwamp",BX138))),10,0)))))))-IF(CC138="False",MIN(IFERROR(MAX(MROUND(LOG10(_xlfn.XLOOKUP(B138,'Base stats'!B:B,'Base stats'!C:C)^(2/3))*10,5),5),5),30))-_xlfn.XLOOKUP(B138,'Base stats'!B:B,'Base stats'!P:P)+IF(CC138="True",5,0)</f>
        <v>-40</v>
      </c>
      <c r="M138" s="2">
        <f>IF(OR(_xlfn.XLOOKUP(_xlfn.XLOOKUP(B138,'Base stats'!B:B,'Base stats'!E:E),Groups!A:A,Groups!G:G)=2,ISNUMBER(SEARCH("Desert",BX138)),ISNUMBER(SEARCH("ExtremeDesert",BX138)),ISNUMBER(SEARCH("LavaField",BX138))),50,IF(ISNUMBER(SEARCH("Grasslands",BX138)),45,IF(OR(_xlfn.XLOOKUP(_xlfn.XLOOKUP(B138,'Base stats'!B:B,'Base stats'!E:E),Groups!A:A,Groups!G:G)=1,ISNUMBER(SEARCH("TropicalRainforest",BX138)),ISNUMBER(SEARCH("TropicalSwamp",BX138))),40,IF(OR(ISNUMBER(SEARCH("TemperateForest",BX138)),ISNUMBER(SEARCH("TemperateSwamp",BX138))),35,IF(OR(ISNUMBER(SEARCH("Alpine",BX138)),ISNUMBER(SEARCH("BorealForest",BX138)),ISNUMBER(SEARCH("ColdBog",BX138))),30,IF(ISNUMBER(OR(ISNUMBER(SEARCH("GlacialPlain",BX138)),SEARCH("Tundra",BX138))),25,IF(OR(ISNUMBER(SEARCH("SeaIce",BX138)),ISNUMBER(SEARCH("IceSheet",BX138)),ISNUMBER(SEARCH("TropicalSwamp",BX138))),10,35)))))))+_xlfn.XLOOKUP(B138,'Base stats'!B:B,'Base stats'!Q:Q)</f>
        <v>35</v>
      </c>
      <c r="N138" s="8" t="str">
        <f>IF(
_xlfn.XLOOKUP(
_xlfn.XLOOKUP(B138,'Base stats'!B:B,'Base stats'!E:E),
Groups!A:A,
Groups!L:L
)=1,
MIN(
MROUND(
IF(
_xlfn.XLOOKUP(B138,'Animals CE'!B:B,'Animals CE'!Z:Z)&lt;=1.5,
_xlfn.XLOOKUP(B138,'Animals CE'!B:B,'Animals CE'!Z:Z)/2+0.05,
0.8+
(_xlfn.XLOOKUP(B138,'Animals CE'!B:B,'Animals CE'!Z:Z)-1.5)
*0.02
),
0.05
),
200%
),
"No"
)</f>
        <v>No</v>
      </c>
      <c r="O138" s="8" t="str">
        <f>IF(
_xlfn.XLOOKUP(
_xlfn.XLOOKUP(B138,'Base stats'!B:B,'Base stats'!E:E),
Groups!A:A,
Groups!L:L
)=1,
MIN(
MROUND(
IF(
_xlfn.XLOOKUP(B138,'Animals CE'!B:B,'Animals CE'!AA:AA)&lt;=1.5,
_xlfn.XLOOKUP(B138,'Animals CE'!B:B,'Animals CE'!AA:AA)/2+0.05,
0.8+
(_xlfn.XLOOKUP(B138,'Animals CE'!B:B,'Animals CE'!AA:AA)-1.5)
*0.02
),
0.05
),
200%
),
"No"
)</f>
        <v>No</v>
      </c>
      <c r="P138" s="2" t="str">
        <f>_xlfn.XLOOKUP(B138,'Base stats'!B:B,'Base stats'!R:R)</f>
        <v>Standard</v>
      </c>
      <c r="Q138" s="13">
        <f>MROUND((LOG10(_xlfn.XLOOKUP(B138,'Base stats'!B:B,'Base stats'!AR:AR))*(AO138^0.5)+(_xlfn.XLOOKUP(B138,'Base stats'!B:B,'Base stats'!AR:AR)/1000)^(2/3)+_xlfn.XLOOKUP(B138,'Base stats'!B:B,'Base stats'!BA:BA)/2)+0.5,0.5)</f>
        <v>32</v>
      </c>
      <c r="R138" s="7">
        <f>IF(Q138="No","No",MAX(1,MROUND(_xlfn.XLOOKUP(B138,'Base stats'!B:B,'Base stats'!C:C)^0.165,0.05)))</f>
        <v>3.85</v>
      </c>
      <c r="S138" s="13" t="str">
        <f>IF(_xlfn.XLOOKUP(_xlfn.XLOOKUP(B138,'Base stats'!B:B,'Base stats'!E:E),Groups!A:A,Groups!P:P)=0,"No",MROUND((LOG10(_xlfn.XLOOKUP(B138,'Base stats'!B:B,'Base stats'!AS:AS))*(AO138^0.5)+(_xlfn.XLOOKUP(B138,'Base stats'!B:B,'Base stats'!AS:AS)/1000)^(2/3)+_xlfn.XLOOKUP(B138,'Base stats'!B:B,'Base stats'!BA:BA))+_xlfn.XLOOKUP(B138,'Base stats'!B:B,'Base stats'!AY:AY)+0.5,0.5))</f>
        <v>No</v>
      </c>
      <c r="T138" s="7" t="str">
        <f>IF(S138="No","No",MAX(_xlfn.XLOOKUP(_xlfn.XLOOKUP(B138,'Base stats'!B:B,'Base stats'!E:E),Groups!A:A,Groups!Q:Q),MROUND(_xlfn.XLOOKUP(_xlfn.XLOOKUP(B138,'Base stats'!B:B,'Base stats'!E:E),Groups!A:A,Groups!Q:Q)*_xlfn.XLOOKUP(B138,'Base stats'!B:B,'Base stats'!C:C)^0.165,0.05)))</f>
        <v>No</v>
      </c>
      <c r="U138" s="7" t="str">
        <f>IF(S138="No","No",_xlfn.XLOOKUP(_xlfn.XLOOKUP(B138,'Base stats'!B:B,'Base stats'!E:E),Groups!A:A,Groups!R:R))</f>
        <v>No</v>
      </c>
      <c r="V138" s="7" t="str">
        <f>IF(S138="No","No",_xlfn.XLOOKUP(_xlfn.XLOOKUP(B138,'Base stats'!B:B,'Base stats'!E:E),Groups!A:A,Groups!S:S))</f>
        <v>No</v>
      </c>
      <c r="W138" s="7" t="str">
        <f>IF(S138="No","No",_xlfn.XLOOKUP(_xlfn.XLOOKUP(B138,'Base stats'!B:B,'Base stats'!E:E),Groups!A:A,Groups!T:T))</f>
        <v>No</v>
      </c>
      <c r="X138" s="13" t="str">
        <f>IF(_xlfn.XLOOKUP(B138,'Base stats'!B:B,'Base stats'!W:W)="No","No",MROUND((LOG10(_xlfn.XLOOKUP(B138,'Base stats'!B:B,'Base stats'!AU:AU))*(AO138^0.5)+(_xlfn.XLOOKUP(B138,'Base stats'!B:B,'Base stats'!AU:AU)/1000)^(2/3)+_xlfn.XLOOKUP(B138,'Base stats'!B:B,'Base stats'!AZ:AZ))+0.5+IF(_xlfn.XLOOKUP(_xlfn.XLOOKUP(B138,'Base stats'!B:B,'Base stats'!E:E),Groups!A:A,Groups!U:U)&lt;&gt;3,_xlfn.XLOOKUP(B138,'Base stats'!B:B,'Base stats'!BA:BA),0),0.5))</f>
        <v>No</v>
      </c>
      <c r="Y138" s="7" t="str">
        <f>IF(X138="No","No",MAX(_xlfn.XLOOKUP(_xlfn.XLOOKUP(B138,'Base stats'!B:B,'Base stats'!E:E),Groups!A:A,Groups!V:V),MROUND(_xlfn.XLOOKUP(_xlfn.XLOOKUP(B138,'Base stats'!B:B,'Base stats'!E:E),Groups!A:A,Groups!V:V)*_xlfn.XLOOKUP(B138,'Base stats'!B:B,'Base stats'!C:C)^0.165,0.05)))</f>
        <v>No</v>
      </c>
      <c r="Z138" s="7" t="str">
        <f>IF(X138="No","No",_xlfn.XLOOKUP(_xlfn.XLOOKUP(B138,'Base stats'!B:B,'Base stats'!E:E),Groups!A:A,Groups!W:W))</f>
        <v>No</v>
      </c>
      <c r="AA138" s="7" t="str">
        <f>IF(X138="No","No",_xlfn.XLOOKUP(_xlfn.XLOOKUP(B138,'Base stats'!B:B,'Base stats'!E:E),Groups!A:A,Groups!X:X))</f>
        <v>No</v>
      </c>
      <c r="AB138" s="7" t="str">
        <f>IF(X138="No","No",_xlfn.XLOOKUP(_xlfn.XLOOKUP(B138,'Base stats'!B:B,'Base stats'!E:E),Groups!A:A,Groups!Y:Y))</f>
        <v>No</v>
      </c>
      <c r="AC138" s="7" t="str">
        <f>_xlfn.XLOOKUP(Animals!B138,'Base stats'!B:B,'Base stats'!X:X)</f>
        <v>False</v>
      </c>
      <c r="AD138" s="13">
        <f>IF(_xlfn.XLOOKUP(B138,'Base stats'!B:B,'Base stats'!AT:AT)="No","No",MROUND((LOG10(_xlfn.XLOOKUP(B138,'Base stats'!B:B,'Base stats'!AT:AT))*(AO138^0.75)+(_xlfn.XLOOKUP(B138,'Base stats'!B:B,'Base stats'!AT:AT)/1000)^(2/3)+_xlfn.XLOOKUP(B138,'Base stats'!B:B,'Base stats'!AX:AX)+_xlfn.XLOOKUP(B138,'Base stats'!B:B,'Base stats'!BA:BA))+0.5,0.5))</f>
        <v>55</v>
      </c>
      <c r="AE138" s="7">
        <f>IF(AD138="No","No",MAX(_xlfn.XLOOKUP(_xlfn.XLOOKUP(B138,'Base stats'!B:B,'Base stats'!E:E),Groups!A:A,Groups!Z:Z),MROUND(_xlfn.XLOOKUP(_xlfn.XLOOKUP(B138,'Base stats'!B:B,'Base stats'!E:E),Groups!A:A,Groups!Z:Z)*_xlfn.XLOOKUP(B138,'Base stats'!B:B,'Base stats'!C:C)^0.165,0.05)))</f>
        <v>3.1</v>
      </c>
      <c r="AF138" s="7" t="str">
        <f>IF(AD138="No","No",_xlfn.XLOOKUP(_xlfn.XLOOKUP(B138,'Base stats'!B:B,'Base stats'!E:E),Groups!A:A,Groups!AA:AA))</f>
        <v>Teeth</v>
      </c>
      <c r="AG138" s="7" t="str">
        <f>IF(AD138="No","No",_xlfn.XLOOKUP(_xlfn.XLOOKUP(B138,'Base stats'!B:B,'Base stats'!E:E),Groups!A:A,Groups!AB:AB))</f>
        <v>canines</v>
      </c>
      <c r="AH138" s="7" t="str">
        <f>IF(AD138="No","No",_xlfn.XLOOKUP(_xlfn.XLOOKUP(B138,'Base stats'!B:B,'Base stats'!E:E),Groups!A:A,Groups!AC:AC))</f>
        <v>Bite</v>
      </c>
      <c r="AI138" s="13">
        <f>IF(_xlfn.XLOOKUP(_xlfn.XLOOKUP(B138,'Base stats'!B:B,'Base stats'!E:E),Groups!A:A,Groups!AD:AD)=0,"No",MROUND((LOG10(_xlfn.XLOOKUP(B138,'Base stats'!B:B,'Base stats'!AS:AS))*(AO138^0.75)+(_xlfn.XLOOKUP(B138,'Base stats'!B:B,'Base stats'!AS:AS)/1000)^(2/3)+_xlfn.XLOOKUP(B138,'Base stats'!B:B,'Base stats'!AY:AY)+_xlfn.XLOOKUP(B138,'Base stats'!B:B,'Base stats'!BA:BA))+0.5,0.5))</f>
        <v>46</v>
      </c>
      <c r="AJ138" s="7">
        <f>IF(AI138="No","No",MAX(_xlfn.XLOOKUP(_xlfn.XLOOKUP(B138,'Base stats'!B:B,'Base stats'!E:E),Groups!A:A,Groups!AE:AE),MROUND(_xlfn.XLOOKUP(_xlfn.XLOOKUP(B138,'Base stats'!B:B,'Base stats'!E:E),Groups!A:A,Groups!AE:AE)*IF(_xlfn.XLOOKUP(_xlfn.XLOOKUP(B138,'Base stats'!B:B,'Base stats'!E:E),Groups!A:A,Groups!AJ:AJ)="Photonozoa",0.6,1)*_xlfn.XLOOKUP(B138,'Base stats'!B:B,'Base stats'!C:C)^0.165,0.05)))</f>
        <v>2.5</v>
      </c>
      <c r="AK138" s="7" t="str">
        <f>IF(AI138="No","No",_xlfn.XLOOKUP(_xlfn.XLOOKUP(B138,'Base stats'!B:B,'Base stats'!E:E),Groups!A:A,Groups!AF:AF))</f>
        <v>FrontLeftPaw, FrontRightPaw</v>
      </c>
      <c r="AL138" s="7" t="str">
        <f>IF(AI138="No","No",_xlfn.XLOOKUP(_xlfn.XLOOKUP(B138,'Base stats'!B:B,'Base stats'!E:E),Groups!A:A,Groups!AG:AG))</f>
        <v>left claw, right claw</v>
      </c>
      <c r="AM138" s="7" t="str">
        <f>IF(AI138="No","No",_xlfn.XLOOKUP(_xlfn.XLOOKUP(B138,'Base stats'!B:B,'Base stats'!E:E),Groups!A:A,Groups!AH:AH))</f>
        <v>Scratch</v>
      </c>
      <c r="AN138" s="2">
        <f t="shared" si="14"/>
        <v>40</v>
      </c>
      <c r="AO138" s="2">
        <f>MROUND(IF(AND(_xlfn.XLOOKUP(B138,'Base stats'!B:B,'Base stats'!C:C)&gt;=0.5,_xlfn.XLOOKUP(B138,'Base stats'!B:B,'Base stats'!C:C)&lt;=0.8),
IF(_xlfn.XLOOKUP(B138,'Base stats'!B:B,'Base stats'!C:C)&lt;0.1,0.05,IF(_xlfn.XLOOKUP(B138,'Base stats'!B:B,'Base stats'!C:C)&lt;=70,(_xlfn.XLOOKUP(B138,'Base stats'!B:B,'Base stats'!C:C)/70)^0.426489913056526,IF(_xlfn.XLOOKUP(B138,'Base stats'!B:B,'Base stats'!C:C)&lt;=400,(_xlfn.XLOOKUP(B138,'Base stats'!B:B,'Base stats'!C:C)/70)^0.572811455315093,IF(_xlfn.XLOOKUP(B138,'Base stats'!B:B,'Base stats'!C:C)&lt;=2000,2.71391647193063*(_xlfn.XLOOKUP(B138,'Base stats'!B:B,'Base stats'!C:C)/400)^0.252459582904293,3.74314280240376*(_xlfn.XLOOKUP(B138,'Base stats'!B:B,'Base stats'!C:C)/2000)^0.357012633876913)))),
IF(_xlfn.XLOOKUP(B138,'Base stats'!B:B,'Base stats'!C:C)&lt;0.1,0.05,IF(_xlfn.XLOOKUP(B138,'Base stats'!B:B,'Base stats'!C:C)&lt;0.4,0.1,IF(_xlfn.XLOOKUP(B138,'Base stats'!B:B,'Base stats'!C:C)&lt;=70,(_xlfn.XLOOKUP(B138,'Base stats'!B:B,'Base stats'!C:C)/70)^0.445823913056526,IF(_xlfn.XLOOKUP(B138,'Base stats'!B:B,'Base stats'!C:C)&lt;=400,(_xlfn.XLOOKUP(B138,'Base stats'!B:B,'Base stats'!C:C)/70)^0.572811455315093,IF(_xlfn.XLOOKUP(B138,'Base stats'!B:B,'Base stats'!C:C)&lt;=2000,2.71391647193063*(_xlfn.XLOOKUP(B138,'Base stats'!B:B,'Base stats'!C:C)/400)^0.252459582904293,3.74314280240376*(_xlfn.XLOOKUP(B138,'Base stats'!B:B,'Base stats'!C:C)/2000)^0.357012633876913)))))),
IF(_xlfn.XLOOKUP(B138,'Base stats'!B:B,'Base stats'!C:C)&lt;0.1,0.05,IF(_xlfn.XLOOKUP(B138,'Base stats'!B:B,'Base stats'!C:C)&lt;=100,0.05,IF(_xlfn.XLOOKUP(B138,'Base stats'!B:B,'Base stats'!C:C)&lt;=250,0.1,IF(_xlfn.XLOOKUP(B138,'Base stats'!B:B,'Base stats'!C:C)&lt;=4000,0.25,0.5)))))</f>
        <v>4.5</v>
      </c>
      <c r="AP138" s="8">
        <f>MROUND(AO138*_xlfn.XLOOKUP(_xlfn.XLOOKUP(B138,'Base stats'!B:B,'Base stats'!E:E),Groups!A:A,Groups!AI:AI)*_xlfn.XLOOKUP(B138,'Base stats'!B:B,'Base stats'!Z:Z),0.05)</f>
        <v>5.4</v>
      </c>
      <c r="AQ138" s="8">
        <f>MAX(0.01,MROUND(IF(CC138="True",0.196*(AO138*100*1000)^0.889,IF(_xlfn.XLOOKUP(_xlfn.XLOOKUP(B138,'Base stats'!B:B,'Base stats'!E:E),Groups!A:A,Groups!AJ:AJ)="Bird",10.5*(AO138*100*1000)^0.681,4.82*(AO138*100*1000)^0.734))/(4.82*(1*100*1000)^0.734)/IF(AO138&lt;3.5,2,IF(AO138=3.5,1.5,1.25))*(1+0.132282374779864/(AO138^0.994035016789033+0.00905238001496948)),0.05))</f>
        <v>2.5</v>
      </c>
      <c r="AR138" s="9">
        <f>IFERROR(MROUND(_xlfn.XLOOKUP(B138,'Base stats'!B:B,'Base stats'!H:H)/IF(_xlfn.XLOOKUP(B138,'Base stats'!B:B,'Base stats'!I:I)&lt;&gt;1,(122.5/70),1.2),IF(_xlfn.XLOOKUP(B138,'Base stats'!B:B,'Base stats'!H:H)&gt;=30,5,IF(_xlfn.XLOOKUP(B138,'Base stats'!B:B,'Base stats'!H:H)&gt;=15,3,IF(_xlfn.XLOOKUP(B138,'Base stats'!B:B,'Base stats'!H:H)&gt;=10,2,1)))),"Immortal")</f>
        <v>40</v>
      </c>
      <c r="AS138" s="35">
        <f>IFERROR(IF(OR(_xlfn.XLOOKUP(B138,'Base stats'!B:B,'Base stats'!F:F)="Atypical reproduction",_xlfn.XLOOKUP(B138,'Base stats'!B:B,'Base stats'!F:F)="Lay eggs"),"Lay eggs",MIN(20,MAX(5.5,ROUND(((_xlfn.XLOOKUP(B138,'Base stats'!B:B,'Base stats'!F:F)-25)*(14.5/615) + 5.5)*2,0)/2))),"Unknown")</f>
        <v>15</v>
      </c>
      <c r="AT138" s="8">
        <f>IF(_xlfn.XLOOKUP(B138,'Base stats'!B:B,'Base stats'!G:G)="Atypical reproduction","No",IFERROR(MAX(IF(_xlfn.XLOOKUP(B138,'Base stats'!B:B,'Base stats'!G:G)&lt;0.5,0.2,0.3),MROUND(_xlfn.XLOOKUP(B138,'Base stats'!B:B,'Base stats'!G:G)/(365/60),0.2)),"Unknown"))</f>
        <v>2</v>
      </c>
      <c r="AU138" s="8">
        <f t="shared" si="15"/>
        <v>1</v>
      </c>
      <c r="AV138" s="8">
        <f>IFERROR(IFERROR(MROUND(_xlfn.XLOOKUP(B138,'Base stats'!B:B,'Base stats'!J:J),0.1),"Lay eggs"),"Cannot breed")</f>
        <v>2</v>
      </c>
      <c r="AW138" s="2" t="str">
        <f t="shared" si="16"/>
        <v>false</v>
      </c>
      <c r="AX138" s="2" t="str">
        <f>IF(_xlfn.XLOOKUP(_xlfn.XLOOKUP(Animals!B138,'Base stats'!B:B,'Base stats'!E:E),Groups!A:A,Groups!AK:AK)=1,"true","false")</f>
        <v>false</v>
      </c>
      <c r="AY138" s="25" t="str">
        <f>IF(_xlfn.XLOOKUP(B138,'Base stats'!B:B,'Base stats'!Y:Y)="Liquor","Liquor, CarnivoreAnimalStrict",IF(AND(_xlfn.XLOOKUP(B138,'Base stats'!B:B,'Base stats'!Y:Y)="Carnivore",_xlfn.XLOOKUP(_xlfn.XLOOKUP(B138,'Base stats'!B:B,'Base stats'!E:E),Groups!A:A,Groups!AJ:AJ)="Photonozoa"),"CarnivoreAnimalStrict, OvivoreAnimal",IF(_xlfn.XLOOKUP(B138,'Base stats'!B:B,'Base stats'!Y:Y)="Carnivore","CarnivoreAnimal, OvivoreAnimal",IF(_xlfn.XLOOKUP(B138,'Base stats'!B:B,'Base stats'!Y:Y)="Dendrovore","VegetarianRoughAnimal, DendrovoreAnimal",IF(_xlfn.XLOOKUP(B138,'Base stats'!B:B,'Base stats'!Y:Y)="Herbivore","VegetarianRoughAnimal",IF(_xlfn.XLOOKUP(B138,'Base stats'!B:B,'Base stats'!Y:Y)="OmnivoreRough","OmnivoreRoughAnimal, OvivoreAnimal","OmnivoreAnimal, OvivoreAnimal"))))))</f>
        <v>CarnivoreAnimal, OvivoreAnimal</v>
      </c>
      <c r="AZ138" s="2" t="str">
        <f>IF(_xlfn.XLOOKUP(_xlfn.XLOOKUP(B138,'Base stats'!B:B,'Base stats'!E:E),Groups!A:A,Groups!D:D)=1,MROUND((1-J138)*5+1,2)*IF(J138&lt;=0.4,2,1),"No")</f>
        <v>No</v>
      </c>
      <c r="BA138" s="2" t="str">
        <f>IF(AND(_xlfn.XLOOKUP(B138,'Base stats'!B:B,'Base stats'!AH:AH)="&lt;li&gt;Seal&lt;/li&gt;",G138="Odyssey"),"&lt;li&gt;AEXP_Seal&lt;/li&gt;",_xlfn.XLOOKUP(B138,'Base stats'!B:B,'Base stats'!AH:AH))</f>
        <v>No</v>
      </c>
      <c r="BB138" s="2" t="str">
        <f>_xlfn.XLOOKUP(B138,'Base stats'!B:B,'Base stats'!AG:AG)</f>
        <v>Leather_Heavy</v>
      </c>
      <c r="BC138" s="23" t="str">
        <f>_xlfn.XLOOKUP(_xlfn.XLOOKUP(B138,'Base stats'!B:B,'Base stats'!E:E),Groups!A:A,Groups!AL:AL)</f>
        <v>QuadrupedAnimalWithPawsAndTail</v>
      </c>
      <c r="BD138" s="23">
        <f>MIN(1,MROUND(IF(AND(AO138&lt;0.5,_xlfn.XLOOKUP(B138,'Base stats'!B:B,'Base stats'!AA:AA)=0),0,IF(OR(_xlfn.XLOOKUP(Animals!B138,'Base stats'!B:B,'Base stats'!O:O)=2,_xlfn.XLOOKUP(_xlfn.XLOOKUP(B138,'Base stats'!B:B,'Base stats'!E:E),Groups!A:A,Groups!AN:AN)=0),0,_xlfn.XLOOKUP(_xlfn.XLOOKUP(B138,'Base stats'!B:B,'Base stats'!E:E),Groups!A:A,Groups!AN:AN)/IF(_xlfn.XLOOKUP(Animals!B138,'Base stats'!B:B,'Base stats'!O:O)=1,2,1)))+_xlfn.XLOOKUP(B138,'Base stats'!B:B,'Base stats'!AC:AC),0.005))</f>
        <v>0.05</v>
      </c>
      <c r="BE138" s="23">
        <f>MIN(1,MROUND(IF(AND(AO138&lt;0.5,_xlfn.XLOOKUP(B138,'Base stats'!B:B,'Base stats'!AA:AA)=0),0,IF(_xlfn.XLOOKUP(_xlfn.XLOOKUP(B138,'Base stats'!B:B,'Base stats'!E:E),Groups!A:A,Groups!AO:AO)=0,0,_xlfn.XLOOKUP(_xlfn.XLOOKUP(B138,'Base stats'!B:B,'Base stats'!E:E),Groups!A:A,Groups!AO:AO)/IF(_xlfn.XLOOKUP(Animals!B138,'Base stats'!B:B,'Base stats'!O:O)=2,3,1)))+_xlfn.XLOOKUP(B138,'Base stats'!B:B,'Base stats'!AD:AD),0.005))</f>
        <v>0.3</v>
      </c>
      <c r="BF138" s="2" t="str">
        <f>IF(J138&gt;0.3,"No",_xlfn.XLOOKUP(_xlfn.XLOOKUP(Animals!B138,'Base stats'!B:B,'Base stats'!E:E),Groups!A:A,Groups!AP:AP))</f>
        <v>No</v>
      </c>
      <c r="BG138" s="2" t="str">
        <f>IF(AND(J138&lt;=0.65,_xlfn.XLOOKUP(_xlfn.XLOOKUP(Animals!B138,'Base stats'!B:B,'Base stats'!E:E),Groups!A:A,Groups!AP:AP)&lt;&gt;"No",_xlfn.XLOOKUP(_xlfn.XLOOKUP(B138,'Base stats'!B:B,'Base stats'!E:E),Groups!A:A,Groups!D:D)=0),MROUND((80/3)*IF(_xlfn.XLOOKUP(B138,'Base stats'!B:B,'Base stats'!O:O)=2,0.2,AO138) + 24*(1-IF(BF138="No",0,BF138)) + 16/3, 12),"No")</f>
        <v>No</v>
      </c>
      <c r="BH138" s="2">
        <f>IF(AND(_xlfn.XLOOKUP(_xlfn.XLOOKUP(B138,'Base stats'!B:B,'Base stats'!E:E),Groups!A:A,Groups!AQ:AQ)=1,AO138&lt;=0.35),8,12)</f>
        <v>12</v>
      </c>
      <c r="BI138" s="2" t="str">
        <f>IF(_xlfn.XLOOKUP(_xlfn.XLOOKUP(B138,'Base stats'!B:B,'Base stats'!E:E),Groups!A:A,Groups!D:D)=0,_xlfn.XLOOKUP(_xlfn.XLOOKUP(B138,'Base stats'!B:B,'Base stats'!E:E),Groups!A:A,Groups!AR:AR),"None")</f>
        <v>Intermediate</v>
      </c>
      <c r="BJ138" s="2" t="str">
        <f>IF(AND(_xlfn.XLOOKUP(_xlfn.XLOOKUP(B138,'Base stats'!B:B,'Base stats'!E:E),Groups!A:A,Groups!AS:AS)=1,OR(_xlfn.XLOOKUP(B138,'Base stats'!B:B,'Base stats'!Y:Y)="Carnivore",_xlfn.XLOOKUP(B138,'Base stats'!B:B,'Base stats'!Y:Y)="Omnivore")),"true","false")</f>
        <v>true</v>
      </c>
      <c r="BK138" s="2">
        <f>IF(BJ138="true",MROUND(IF(AND(AO138&gt;0.5,OR(_xlfn.XLOOKUP(_xlfn.XLOOKUP(B138,'Base stats'!B:B,'Base stats'!E:E),Groups!A:A,Groups!AJ:AJ)="Photonozoa",_xlfn.XLOOKUP(_xlfn.XLOOKUP(B138,'Base stats'!B:B,'Base stats'!E:E),Groups!A:A,Groups!AJ:AJ)="Mammal")),Animals!AO138*1.75*IF(AW138="true",1.5,1),IF(AO138&lt;0.5,Animals!AO138*0.5,Animals!AO138)),IF(AO138&gt;2,0.5,IF(AO138&gt;0.5,0.25,0.1))),"No")</f>
        <v>8</v>
      </c>
      <c r="BL138" s="2">
        <f t="shared" si="17"/>
        <v>1</v>
      </c>
      <c r="BM138" s="25" t="str">
        <f>IF(_xlfn.XLOOKUP(B138,'Base stats'!B:B,'Base stats'!AN:AN)="Standard","No",MROUND((_xlfn.XLOOKUP(B138,'Base stats'!B:B,'Base stats'!AN:AN)/3.6)/I138,0.1))</f>
        <v>No</v>
      </c>
      <c r="BN138" s="25" t="str">
        <f t="shared" si="18"/>
        <v>false</v>
      </c>
      <c r="BO138" s="25" t="str">
        <f>IF(AND(OR(_xlfn.XLOOKUP(B138,'Base stats'!B:B,'Base stats'!Y:Y)="Carnivore",_xlfn.XLOOKUP(B138,'Base stats'!B:B,'Base stats'!Y:Y)="Omnivore",_xlfn.XLOOKUP(B138,'Base stats'!B:B,'Base stats'!Y:Y)="OmnivoreRough"),_xlfn.XLOOKUP(_xlfn.XLOOKUP(B138,'Base stats'!B:B,'Base stats'!E:E),Groups!A:A,Groups!AT:AT)=1),"true","false")</f>
        <v>false</v>
      </c>
      <c r="BP138" s="25" t="str" cm="1">
        <f t="array" ref="BP138">IF(
  _xlfn.TEXTJOIN(", ",TRUE,
    IF(AND(BJ138="true",AO138&gt;0.5,BI138&lt;&gt;"None"),"AttackTarget",""),
    IF(AND(_xlfn.XLOOKUP(_xlfn.XLOOKUP(B138,'Base stats'!B:B,'Base stats'!E:E),Groups!A:A,Groups!AJ:AJ="Mammal"),OR(_xlfn.XLOOKUP(B138,'Base stats'!B:B,'Base stats'!Y:Y)="Omnivore",_xlfn.XLOOKUP(B138,'Base stats'!B:B,'Base stats'!Y:Y)="OmnivoreRough")),"Forage",""),
    IF(BG138&lt;=36,"Comfort",""),
    IF(_xlfn.XLOOKUP(B138,'Base stats'!B:B,'Base stats'!AE:AE)&lt;&gt;"No",_xlfn.XLOOKUP(B138,'Base stats'!B:B,'Base stats'!AE:AE),"")
  ) = "",
  "No",
  _xlfn.TEXTJOIN(", ",TRUE,
    IF(AND(BJ138="true",AO138&gt;0.5,BI138&lt;&gt;"None"),"AttackTarget",""),
    IF(AND(_xlfn.XLOOKUP(_xlfn.XLOOKUP(B138,'Base stats'!B:B,'Base stats'!E:E),Groups!A:A,Groups!AJ:AJ="Mammal"),OR(_xlfn.XLOOKUP(B138,'Base stats'!B:B,'Base stats'!Y:Y)="Omnivore",_xlfn.XLOOKUP(B138,'Base stats'!B:B,'Base stats'!Y:Y)="OmnivoreRough")),"Forage",""),
    IF(BG138&lt;=36,"Comfort",""),
    IF(_xlfn.XLOOKUP(B138,'Base stats'!B:B,'Base stats'!AE:AE)&lt;&gt;"No",_xlfn.XLOOKUP(B138,'Base stats'!B:B,'Base stats'!AE:AE),"")
  )
)</f>
        <v>AttackTarget</v>
      </c>
      <c r="BQ138" s="25" t="str">
        <f>IF(
   AND(
      'Base stats'!AN138="Standard",_xlfn.XLOOKUP(_xlfn.XLOOKUP(B138,'Base stats'!B:B,'Base stats'!E:E),Groups!A:A,Groups!AU:AU)=0,
      OR(
      BO138="True"
      )
   ),
   10,
   IF(
       OR(BM138&lt;&gt;"No",_xlfn.XLOOKUP(_xlfn.XLOOKUP(B138,'Base stats'!B:B,'Base stats'!E:E),Groups!A:A,Groups!AU:AU)=1),
      1,
      "No"
   )
)</f>
        <v>No</v>
      </c>
      <c r="BR138" s="9">
        <f>MROUND((1 + ((0.2*IF(OR(Q138="No",R138="No",R138=0),0,Q138/R138)
+IF(OR(V138="No",S138="No",T138="No"),0,S138/T138*(LEN(V138)-LEN(SUBSTITUTE(V138,",",""))+1))
+IF(OR(X138="No",Y138="No"),0,X138/Y138)
+IF(OR(AD138="No",AE138="No"),0,AD138/AE138)
+IF(OR(AL138="No",AI138="No",AJ138="No"),0,AI138/AJ138*(LEN(AL138)-LEN(SUBSTITUTE(AL138,",",""))+1))
)/(0.2*IF(OR(Q138="No",R138="No",R138=0),0,1)
+IF(OR(V138="No",S138="No",T138="No"),0,LEN(V138)-LEN(SUBSTITUTE(V138,",",""))+1)
+IF(OR(X138="No",Y138="No"),0,1)
+IF(OR(AD138="No",AE138="No"),0,1)
+IF(OR(AL138="No",AI138="No",AJ138="No"),0,LEN(AL138)-LEN(SUBSTITUTE(AL138,",",""))+1))*62%)* 2)*(1 + (AP138 / (IF(_xlfn.XLOOKUP(_xlfn.XLOOKUP(B138,'Base stats'!B:B,'Base stats'!E:E),Groups!A:A,Groups!AJ:AJ)="Photonozoa",0.3,1)) + _xlfn.XLOOKUP(B138,'Base stats'!B:B,'Base stats'!AV:AV) * 1.8) * 2) * 2.5 + 10 + I138 * 2,5)+IF(_xlfn.XLOOKUP(B138,'Base stats'!B:B,'Base stats'!AK:AK)=1,50,0)</f>
        <v>690</v>
      </c>
      <c r="BS138" s="8">
        <f t="shared" si="19"/>
        <v>2.9000000000000004</v>
      </c>
      <c r="BT138" s="8" t="str">
        <f>_xlfn.XLOOKUP(B138,'Base stats'!B:B,'Base stats'!AF:AF)</f>
        <v>No</v>
      </c>
      <c r="BU138" s="2" t="str">
        <f>IF(AND(J138&lt;=0.95,OR(_xlfn.XLOOKUP(B138,'Base stats'!B:B,'Base stats'!AK:AK)=1,_xlfn.XLOOKUP(B138,'Base stats'!B:B,'Base stats'!Y:Y)="Carnivore",_xlfn.XLOOKUP(B138,'Base stats'!B:B,'Base stats'!Y:Y)="Omnivore",BE138&gt;0.1)),"true","false")</f>
        <v>false</v>
      </c>
      <c r="BV138" s="2" t="str">
        <f>IF(_xlfn.XLOOKUP(B138,'Base stats'!B:B,'Base stats'!AI:AI)=1,"true","false")</f>
        <v>false</v>
      </c>
      <c r="BW138" s="25" t="str">
        <f>IF(E138="BaseInsect","AnimalInsect",
IF(J138&gt;0.95,"AnimalExotic",
_xlfn.TEXTJOIN(", ",TRUE,
IF(OR(_xlfn.XLOOKUP(B138,'Base stats'!B:B,'Base stats'!AM:AM)=1,AND(_xlfn.XLOOKUP(B138,'Base stats'!B:B,'Base stats'!O:O)=0,_xlfn.XLOOKUP(_xlfn.XLOOKUP(B138,'Base stats'!B:B,'Base stats'!E:E),Groups!A:A,Groups!B:B)&gt;0)),"AnimalUncommon","AnimalCommon"),
IF(AND(_xlfn.XLOOKUP(B138,'Base stats'!B:B,'Base stats'!O:O)=2,_xlfn.XLOOKUP(_xlfn.XLOOKUP(B138,'Base stats'!B:B,'Base stats'!E:E),Groups!A:A,Groups!D:D)=0),"AnimalPet",IF(AND(_xlfn.XLOOKUP(B138,'Base stats'!B:B,'Base stats'!O:O)&lt;&gt;0,_xlfn.XLOOKUP(_xlfn.XLOOKUP(B138,'Base stats'!B:B,'Base stats'!E:E),Groups!A:A,Groups!D:D)&lt;&gt;0),"AnimalFarm","")),
IF(OR(_xlfn.XLOOKUP(B138,'Base stats'!B:B,'Base stats'!AK:AK)=1,AND(BI138&lt;&gt;"None",BR138&gt;=60),ISNUMBER(SEARCH("Attack target",BP138))),"AnimalFighter","")
)))</f>
        <v>AnimalExotic</v>
      </c>
      <c r="BX138" s="25" t="str">
        <f>IF(G138="None",TRIM(
SUBSTITUTE(
IF(COUNTIF(Biomes!B$2:B$259,"="&amp;$C138)&gt;0,Biomes!B$1&amp;", ","")&amp;
IF(COUNTIF(Biomes!C$2:C$259,"="&amp;$C138)&gt;0,Biomes!C$1&amp;", ","")&amp;
IF(COUNTIF(Biomes!D$2:D$259,"="&amp;$C138)&gt;0,Biomes!D$1&amp;", ","")&amp;
IF(COUNTIF(Biomes!F$2:F$259,"="&amp;$C138)&gt;0,Biomes!F$1&amp;", ","")&amp;
IF(COUNTIF(Biomes!G$2:G$259,"="&amp;$C138)&gt;0,Biomes!G$1&amp;", ","")&amp;
IF(COUNTIF(Biomes!H$2:H$259,"="&amp;$C138)&gt;0,Biomes!H$1&amp;", ","")&amp;
IF(COUNTIF(Biomes!I$2:I$259,"="&amp;$C138)&gt;0,Biomes!I$1&amp;", ","")&amp;
IF(COUNTIF(Biomes!J$2:J$259,"="&amp;$C138)&gt;0,Biomes!J$1&amp;", ","")&amp;
IF(COUNTIF(Biomes!M$2:M$259,"="&amp;$C138)&gt;0,Biomes!M$1&amp;", ","")&amp;
IF(COUNTIF(Biomes!N$2:N$259,"="&amp;$C138)&gt;0,Biomes!N$1&amp;", ","")&amp;
IF(COUNTIF(Biomes!O$2:O$259,"="&amp;$C138)&gt;0,Biomes!O$1&amp;", ","")&amp;
IF(COUNTIF(Biomes!P$2:P$259,"="&amp;$C138)&gt;0,Biomes!P$1&amp;", ","")&amp;
IF(COUNTIF(Biomes!K$2:K$259,"="&amp;$C138)&gt;0,Biomes!K$1&amp;", ","")&amp;
IF(COUNTIF(Biomes!Q$3:Q$259,"="&amp;$C138)&gt;0,Biomes!Q$1&amp;", ","")&amp;
IF(COUNTIF(Biomes!L$2:L$259,"="&amp;$C138)&gt;0,Biomes!L$1&amp;", ","")&amp;
IF(COUNTIF(Biomes!E$2:E$259,"="&amp;$C138)&gt;0,Biomes!E$1&amp;", ","")&amp;IF(COUNTIF(Biomes!S$2:S$259,"="&amp;$C138)&gt;0,Biomes!S$1&amp;", ","")&amp;
IF(COUNTIF(Biomes!R$2:R$259,"="&amp;$C138)&gt;0,Biomes!R$1&amp;", ",""),", ","")
),_xlfn.XLOOKUP(B138,B:B,BX:BX))</f>
        <v/>
      </c>
      <c r="BY138" s="25" t="str">
        <f>IF(_xlfn.XLOOKUP(B138,'Base stats'!B:B,'Base stats'!AJ:AJ)=1,"true","false")</f>
        <v>false</v>
      </c>
      <c r="BZ138" s="25">
        <f>IF(_xlfn.XLOOKUP(B138,'Base stats'!B:B,'Base stats'!N:N)=1,"No",MAX(0.001,MIN(MROUND(IF(AND(BJ138="True",CC138="False"),POWER(10,3.47*LOG10(_xlfn.XLOOKUP(B138,'Base stats'!B:B,'Base stats'!C:C)*1000)^-0.96),POWER(10,4.15*LOG10(_xlfn.XLOOKUP(B138,'Base stats'!B:B,'Base stats'!C:C)*1000)^-0.73))*IF(_xlfn.XLOOKUP(B138,'Base stats'!B:B,'Base stats'!AK:AK)=1,0.5,1)*IF(_xlfn.XLOOKUP(B138,'Base stats'!B:B,'Base stats'!AM:AM)=1,0.1,1)/100,IF(_xlfn.XLOOKUP(B138,'Base stats'!B:B,'Base stats'!AM:AM)=1,0.001,0.025)),0.5)))</f>
        <v>4.0000000000000001E-3</v>
      </c>
      <c r="CA138" s="25" t="str">
        <f>IF(P138="Standard","No",MAX(0.001,MIN(MROUND(IF(AND(BJ138="True",CC138="False"),POWER(10,3.47*LOG10(_xlfn.XLOOKUP(B138,'Base stats'!B:B,'Base stats'!C:C)*1000)^-0.96),POWER(10,4.15*LOG10(_xlfn.XLOOKUP(B138,'Base stats'!B:B,'Base stats'!C:C)*1000)^-0.73))*IF(_xlfn.XLOOKUP(B138,'Base stats'!B:B,'Base stats'!AM:AM)=1,0.1,1)*_xlfn.XLOOKUP(B138,'Base stats'!B:B,'Base stats'!R:R)/100,IF(_xlfn.XLOOKUP(B138,'Base stats'!B:B,'Base stats'!AM:AM)=1,0.001,0.025)),0.5)))</f>
        <v>No</v>
      </c>
      <c r="CB138" s="25" t="str">
        <f>IF(_xlfn.XLOOKUP(_xlfn.XLOOKUP(B138,'Base stats'!B:B,'Base stats'!E:E),Groups!A:A,Groups!AJ:AJ)="Mammal","True","False")</f>
        <v>True</v>
      </c>
      <c r="CC138" s="25" t="str">
        <f>IF(OR(_xlfn.XLOOKUP(_xlfn.XLOOKUP(B138,'Base stats'!B:B,'Base stats'!E:E),Groups!A:A,Groups!AJ:AJ)="Reptile",_xlfn.XLOOKUP(_xlfn.XLOOKUP(B138,'Base stats'!B:B,'Base stats'!E:E),Groups!A:A,Groups!AJ:AJ)="Amphibian",_xlfn.XLOOKUP(_xlfn.XLOOKUP(B138,'Base stats'!B:B,'Base stats'!E:E),Groups!A:A,Groups!AJ:AJ)="Invertebrate"),"True","False")</f>
        <v>False</v>
      </c>
      <c r="CD138" s="25" t="str">
        <f t="shared" si="20"/>
        <v>True</v>
      </c>
      <c r="CE138" s="25" t="str">
        <f>IF(_xlfn.XLOOKUP(_xlfn.XLOOKUP(B138,'Base stats'!B:B,'Base stats'!E:E),Groups!A:A,Groups!AX:AX),"True","False")</f>
        <v>False</v>
      </c>
      <c r="CF138" s="25" t="str">
        <f>IF(_xlfn.XLOOKUP(_xlfn.XLOOKUP(B138,'Base stats'!B:B,'Base stats'!E:E),Groups!A:A,Groups!AY:AY),"True","False")</f>
        <v>False</v>
      </c>
      <c r="CG138" s="25" t="str">
        <f>IF(_xlfn.XLOOKUP(_xlfn.XLOOKUP(B138,'Base stats'!B:B,'Base stats'!E:E),Groups!A:A,Groups!AW:AW),"True","False")</f>
        <v>False</v>
      </c>
      <c r="CH138" s="25" t="str">
        <f>IF(
OR(
_xlfn.XLOOKUP(_xlfn.XLOOKUP(B138,'Base stats'!B:B,'Base stats'!E:E),Groups!A:A,Groups!AZ:AZ)=0,
AND(
_xlfn.XLOOKUP(B138,'Base stats'!B:B,'Base stats'!Y:Y)&lt;&gt;"Carnivore",
_xlfn.XLOOKUP(B138,'Base stats'!B:B,'Base stats'!Y:Y)&lt;&gt;"Omnivore",
_xlfn.XLOOKUP(B138,'Base stats'!B:B,'Base stats'!Y:Y)&lt;&gt;"OmnivoreRough"
)
),
"No",
IF(
_xlfn.XLOOKUP(_xlfn.XLOOKUP(B138,'Base stats'!B:B,'Base stats'!E:E),Groups!A:A,Groups!AZ:AZ)=1,
"Flesh",
IF(
_xlfn.XLOOKUP(_xlfn.XLOOKUP(B138,'Base stats'!B:B,'Base stats'!E:E),Groups!A:A,Groups!AZ:AZ)=2,
"Bone",
""
)
)
)</f>
        <v>Bone</v>
      </c>
      <c r="CI138" s="25" t="str">
        <f>IF(_xlfn.XLOOKUP(_xlfn.XLOOKUP(B138,'Base stats'!B:B,'Base stats'!E:E),Groups!A:A,Groups!BB:BB),"True","False")</f>
        <v>True</v>
      </c>
      <c r="CJ138" s="25" t="str">
        <f>IF(_xlfn.XLOOKUP(_xlfn.XLOOKUP(B138,'Base stats'!B:B,'Base stats'!E:E),Groups!A:A,Groups!BA:BA),"True","False")</f>
        <v>False</v>
      </c>
    </row>
    <row r="139" spans="1:88" ht="16.5" thickTop="1" thickBot="1" x14ac:dyDescent="0.3">
      <c r="A139" s="26" t="str">
        <f>_xlfn.XLOOKUP(B139,'Base stats'!B:B,'Base stats'!A:A)</f>
        <v>Beagle</v>
      </c>
      <c r="B139" s="6" t="s">
        <v>892</v>
      </c>
      <c r="C139" s="28" t="s">
        <v>820</v>
      </c>
      <c r="D139" s="28" t="s">
        <v>872</v>
      </c>
      <c r="E139" s="28" t="s">
        <v>673</v>
      </c>
      <c r="F139" s="28" t="s">
        <v>673</v>
      </c>
      <c r="G139" s="28" t="s">
        <v>673</v>
      </c>
      <c r="H139" s="2">
        <f>MROUND((
  (IF(AND(_xlfn.XLOOKUP(B139,'Base stats'!B:B,'Base stats'!AL:AL)=0,BI139="None",_xlfn.XLOOKUP(_xlfn.XLOOKUP(B139,'Base stats'!B:B,'Base stats'!E:E),Groups!A:A,Groups!B:B)=0), (18 + BR139 * 2.7) * 0.5,
    IF(AND(_xlfn.XLOOKUP(B139,'Base stats'!B:B,'Base stats'!AL:AL)=0,OR(AO139&lt;0.55,AND(BI139="Intermediate",_xlfn.XLOOKUP(_xlfn.XLOOKUP(B139,'Base stats'!B:B,'Base stats'!E:E),Groups!A:A,Groups!B:B)&lt;2))), (18 + BR139 * 2.7),
      IF(OR(BI139="Advanced",_xlfn.XLOOKUP(B139,'Base stats'!B:B,'Base stats'!AL:AL)=1,_xlfn.XLOOKUP(_xlfn.XLOOKUP(B139,'Base stats'!B:B,'Base stats'!E:E),Groups!A:A,Groups!B:B)=2), (18 + BR139 * 2.7) + 250, (18 + BR139 * 2.7))
    )
  ))
  + AO139 * 80
  + IF(COUNTIF(EggMilk!K$2:K$998, A139) &gt; 0, 125, 0)
  + IF(COUNTIF(EggMilk!P$2:P$998, A139) &gt; 0, 90, 0)
  + IF(COUNTIF(EggMilk!A$2:A$998, A139) &gt; 0, 90, 0)
)
* (0.8 + 0.4 * J139)
* 0.75,25)</f>
        <v>125</v>
      </c>
      <c r="I139" s="2">
        <f>MROUND(ROUNDDOWN(_xlfn.XLOOKUP(B139,'Base stats'!B:B,'Base stats'!L:L)/3.6/(23.3/11),1),0.5)</f>
        <v>6</v>
      </c>
      <c r="J139" s="2">
        <f>IF(OR(_xlfn.XLOOKUP(B139,'Base stats'!B:B,'Base stats'!AB:AB)=1,_xlfn.XLOOKUP(_xlfn.XLOOKUP(B139,'Base stats'!B:B,'Base stats'!E:E),Groups!A:A,Groups!C:C)="Untamable"),1,IF(_xlfn.XLOOKUP(B139,'Base stats'!B:B,'Base stats'!AL:AL)=1,0.99,MIN(MROUND((1-0.6282*EXP(-0.459*AO139))*_xlfn.XLOOKUP(_xlfn.XLOOKUP(B139,'Base stats'!B:B,'Base stats'!E:E),Groups!A:A,Groups!C:C)*IF(_xlfn.XLOOKUP(B139,'Base stats'!B:B,'Base stats'!O:O)=1,0.5,IF(_xlfn.XLOOKUP(B139,'Base stats'!B:B,'Base stats'!O:O)=2,0,1)),0.05),IF(AO139&gt;3.5,0.985,0.95))))</f>
        <v>0</v>
      </c>
      <c r="K139" s="2">
        <f>ROUNDUP(AO139*_xlfn.XLOOKUP(_xlfn.XLOOKUP(B139,'Base stats'!B:B,'Base stats'!E:E),Groups!A:A,Groups!E:E),0)</f>
        <v>1</v>
      </c>
      <c r="L139" s="2">
        <f>IF(OR(_xlfn.XLOOKUP(_xlfn.XLOOKUP(B139,'Base stats'!B:B,'Base stats'!E:E),Groups!A:A,Groups!F:F)=2,ISNUMBER(SEARCH("SeaIce",BX139)),ISNUMBER(SEARCH("IceSheet",BX139))),-50,IF(OR(ISNUMBER(SEARCH("GlacialPlain",BX139)),ISNUMBER(SEARCH("Tundra",BX139))),-40,IF(OR(ISNUMBER(SEARCH("Alpine",BX139)),ISNUMBER(SEARCH("BorealForest",BX139)),ISNUMBER(SEARCH("ColdBog",BX139))),-30,IF(OR(ISNUMBER(SEARCH("TemperateForest",BX139)),ISNUMBER(SEARCH("TemperateSwamp",BX139))),-20,IF(_xlfn.XLOOKUP(_xlfn.XLOOKUP(B139,'Base stats'!B:B,'Base stats'!E:E),Groups!A:A,Groups!F:F)=1,-15,IF(OR(ISNUMBER(SEARCH("Desert",BX139)),ISNUMBER(SEARCH("ExtremeDesert",BX139))),-10,IF(OR(ISNUMBER(SEARCH("Grasslands",BX139)),ISNUMBER(SEARCH("TropicalRainforest",BX139)),ISNUMBER(SEARCH("TropicalSwamp",BX139))),10,0)))))))-IF(CC139="False",MIN(IFERROR(MAX(MROUND(LOG10(_xlfn.XLOOKUP(B139,'Base stats'!B:B,'Base stats'!C:C)^(2/3))*10,5),5),5),30))-_xlfn.XLOOKUP(B139,'Base stats'!B:B,'Base stats'!P:P)+IF(CC139="True",5,0)</f>
        <v>-20</v>
      </c>
      <c r="M139" s="2">
        <f>IF(OR(_xlfn.XLOOKUP(_xlfn.XLOOKUP(B139,'Base stats'!B:B,'Base stats'!E:E),Groups!A:A,Groups!G:G)=2,ISNUMBER(SEARCH("Desert",BX139)),ISNUMBER(SEARCH("ExtremeDesert",BX139)),ISNUMBER(SEARCH("LavaField",BX139))),50,IF(ISNUMBER(SEARCH("Grasslands",BX139)),45,IF(OR(_xlfn.XLOOKUP(_xlfn.XLOOKUP(B139,'Base stats'!B:B,'Base stats'!E:E),Groups!A:A,Groups!G:G)=1,ISNUMBER(SEARCH("TropicalRainforest",BX139)),ISNUMBER(SEARCH("TropicalSwamp",BX139))),40,IF(OR(ISNUMBER(SEARCH("TemperateForest",BX139)),ISNUMBER(SEARCH("TemperateSwamp",BX139))),35,IF(OR(ISNUMBER(SEARCH("Alpine",BX139)),ISNUMBER(SEARCH("BorealForest",BX139)),ISNUMBER(SEARCH("ColdBog",BX139))),30,IF(ISNUMBER(OR(ISNUMBER(SEARCH("GlacialPlain",BX139)),SEARCH("Tundra",BX139))),25,IF(OR(ISNUMBER(SEARCH("SeaIce",BX139)),ISNUMBER(SEARCH("IceSheet",BX139)),ISNUMBER(SEARCH("TropicalSwamp",BX139))),10,35)))))))+_xlfn.XLOOKUP(B139,'Base stats'!B:B,'Base stats'!Q:Q)</f>
        <v>35</v>
      </c>
      <c r="N139" s="8" t="str">
        <f>IF(
_xlfn.XLOOKUP(
_xlfn.XLOOKUP(B139,'Base stats'!B:B,'Base stats'!E:E),
Groups!A:A,
Groups!L:L
)=1,
MIN(
MROUND(
IF(
_xlfn.XLOOKUP(B139,'Animals CE'!B:B,'Animals CE'!Z:Z)&lt;=1.5,
_xlfn.XLOOKUP(B139,'Animals CE'!B:B,'Animals CE'!Z:Z)/2+0.05,
0.8+
(_xlfn.XLOOKUP(B139,'Animals CE'!B:B,'Animals CE'!Z:Z)-1.5)
*0.02
),
0.05
),
200%
),
"No"
)</f>
        <v>No</v>
      </c>
      <c r="O139" s="8" t="str">
        <f>IF(
_xlfn.XLOOKUP(
_xlfn.XLOOKUP(B139,'Base stats'!B:B,'Base stats'!E:E),
Groups!A:A,
Groups!L:L
)=1,
MIN(
MROUND(
IF(
_xlfn.XLOOKUP(B139,'Animals CE'!B:B,'Animals CE'!AA:AA)&lt;=1.5,
_xlfn.XLOOKUP(B139,'Animals CE'!B:B,'Animals CE'!AA:AA)/2+0.05,
0.8+
(_xlfn.XLOOKUP(B139,'Animals CE'!B:B,'Animals CE'!AA:AA)-1.5)
*0.02
),
0.05
),
200%
),
"No"
)</f>
        <v>No</v>
      </c>
      <c r="P139" s="2" t="str">
        <f>_xlfn.XLOOKUP(B139,'Base stats'!B:B,'Base stats'!R:R)</f>
        <v>Standard</v>
      </c>
      <c r="Q139" s="13">
        <f>MROUND((LOG10(_xlfn.XLOOKUP(B139,'Base stats'!B:B,'Base stats'!AR:AR))*(AO139^0.5)+(_xlfn.XLOOKUP(B139,'Base stats'!B:B,'Base stats'!AR:AR)/1000)^(2/3)+_xlfn.XLOOKUP(B139,'Base stats'!B:B,'Base stats'!BA:BA)/2)+0.5,0.5)</f>
        <v>3.5</v>
      </c>
      <c r="R139" s="7">
        <f>IF(Q139="No","No",MAX(1,MROUND(_xlfn.XLOOKUP(B139,'Base stats'!B:B,'Base stats'!C:C)^0.165,0.05)))</f>
        <v>1.4500000000000002</v>
      </c>
      <c r="S139" s="13" t="str">
        <f>IF(_xlfn.XLOOKUP(_xlfn.XLOOKUP(B139,'Base stats'!B:B,'Base stats'!E:E),Groups!A:A,Groups!P:P)=0,"No",MROUND((LOG10(_xlfn.XLOOKUP(B139,'Base stats'!B:B,'Base stats'!AS:AS))*(AO139^0.5)+(_xlfn.XLOOKUP(B139,'Base stats'!B:B,'Base stats'!AS:AS)/1000)^(2/3)+_xlfn.XLOOKUP(B139,'Base stats'!B:B,'Base stats'!BA:BA))+_xlfn.XLOOKUP(B139,'Base stats'!B:B,'Base stats'!AY:AY)+0.5,0.5))</f>
        <v>No</v>
      </c>
      <c r="T139" s="7" t="str">
        <f>IF(S139="No","No",MAX(_xlfn.XLOOKUP(_xlfn.XLOOKUP(B139,'Base stats'!B:B,'Base stats'!E:E),Groups!A:A,Groups!Q:Q),MROUND(_xlfn.XLOOKUP(_xlfn.XLOOKUP(B139,'Base stats'!B:B,'Base stats'!E:E),Groups!A:A,Groups!Q:Q)*_xlfn.XLOOKUP(B139,'Base stats'!B:B,'Base stats'!C:C)^0.165,0.05)))</f>
        <v>No</v>
      </c>
      <c r="U139" s="7" t="str">
        <f>IF(S139="No","No",_xlfn.XLOOKUP(_xlfn.XLOOKUP(B139,'Base stats'!B:B,'Base stats'!E:E),Groups!A:A,Groups!R:R))</f>
        <v>No</v>
      </c>
      <c r="V139" s="7" t="str">
        <f>IF(S139="No","No",_xlfn.XLOOKUP(_xlfn.XLOOKUP(B139,'Base stats'!B:B,'Base stats'!E:E),Groups!A:A,Groups!S:S))</f>
        <v>No</v>
      </c>
      <c r="W139" s="7" t="str">
        <f>IF(S139="No","No",_xlfn.XLOOKUP(_xlfn.XLOOKUP(B139,'Base stats'!B:B,'Base stats'!E:E),Groups!A:A,Groups!T:T))</f>
        <v>No</v>
      </c>
      <c r="X139" s="13" t="str">
        <f>IF(_xlfn.XLOOKUP(B139,'Base stats'!B:B,'Base stats'!W:W)="No","No",MROUND((LOG10(_xlfn.XLOOKUP(B139,'Base stats'!B:B,'Base stats'!AU:AU))*(AO139^0.5)+(_xlfn.XLOOKUP(B139,'Base stats'!B:B,'Base stats'!AU:AU)/1000)^(2/3)+_xlfn.XLOOKUP(B139,'Base stats'!B:B,'Base stats'!AZ:AZ))+0.5+IF(_xlfn.XLOOKUP(_xlfn.XLOOKUP(B139,'Base stats'!B:B,'Base stats'!E:E),Groups!A:A,Groups!U:U)&lt;&gt;3,_xlfn.XLOOKUP(B139,'Base stats'!B:B,'Base stats'!BA:BA),0),0.5))</f>
        <v>No</v>
      </c>
      <c r="Y139" s="7" t="str">
        <f>IF(X139="No","No",MAX(_xlfn.XLOOKUP(_xlfn.XLOOKUP(B139,'Base stats'!B:B,'Base stats'!E:E),Groups!A:A,Groups!V:V),MROUND(_xlfn.XLOOKUP(_xlfn.XLOOKUP(B139,'Base stats'!B:B,'Base stats'!E:E),Groups!A:A,Groups!V:V)*_xlfn.XLOOKUP(B139,'Base stats'!B:B,'Base stats'!C:C)^0.165,0.05)))</f>
        <v>No</v>
      </c>
      <c r="Z139" s="7" t="str">
        <f>IF(X139="No","No",_xlfn.XLOOKUP(_xlfn.XLOOKUP(B139,'Base stats'!B:B,'Base stats'!E:E),Groups!A:A,Groups!W:W))</f>
        <v>No</v>
      </c>
      <c r="AA139" s="7" t="str">
        <f>IF(X139="No","No",_xlfn.XLOOKUP(_xlfn.XLOOKUP(B139,'Base stats'!B:B,'Base stats'!E:E),Groups!A:A,Groups!X:X))</f>
        <v>No</v>
      </c>
      <c r="AB139" s="7" t="str">
        <f>IF(X139="No","No",_xlfn.XLOOKUP(_xlfn.XLOOKUP(B139,'Base stats'!B:B,'Base stats'!E:E),Groups!A:A,Groups!Y:Y))</f>
        <v>No</v>
      </c>
      <c r="AC139" s="7" t="str">
        <f>_xlfn.XLOOKUP(Animals!B139,'Base stats'!B:B,'Base stats'!X:X)</f>
        <v>False</v>
      </c>
      <c r="AD139" s="13">
        <f>IF(_xlfn.XLOOKUP(B139,'Base stats'!B:B,'Base stats'!AT:AT)="No","No",MROUND((LOG10(_xlfn.XLOOKUP(B139,'Base stats'!B:B,'Base stats'!AT:AT))*(AO139^0.75)+(_xlfn.XLOOKUP(B139,'Base stats'!B:B,'Base stats'!AT:AT)/1000)^(2/3)+_xlfn.XLOOKUP(B139,'Base stats'!B:B,'Base stats'!AX:AX)+_xlfn.XLOOKUP(B139,'Base stats'!B:B,'Base stats'!BA:BA))+0.5,0.5))</f>
        <v>6</v>
      </c>
      <c r="AE139" s="7">
        <f>IF(AD139="No","No",MAX(_xlfn.XLOOKUP(_xlfn.XLOOKUP(B139,'Base stats'!B:B,'Base stats'!E:E),Groups!A:A,Groups!Z:Z),MROUND(_xlfn.XLOOKUP(_xlfn.XLOOKUP(B139,'Base stats'!B:B,'Base stats'!E:E),Groups!A:A,Groups!Z:Z)*_xlfn.XLOOKUP(B139,'Base stats'!B:B,'Base stats'!C:C)^0.165,0.05)))</f>
        <v>1.1500000000000001</v>
      </c>
      <c r="AF139" s="7" t="str">
        <f>IF(AD139="No","No",_xlfn.XLOOKUP(_xlfn.XLOOKUP(B139,'Base stats'!B:B,'Base stats'!E:E),Groups!A:A,Groups!AA:AA))</f>
        <v>Teeth</v>
      </c>
      <c r="AG139" s="7" t="str">
        <f>IF(AD139="No","No",_xlfn.XLOOKUP(_xlfn.XLOOKUP(B139,'Base stats'!B:B,'Base stats'!E:E),Groups!A:A,Groups!AB:AB))</f>
        <v>canines</v>
      </c>
      <c r="AH139" s="7" t="str">
        <f>IF(AD139="No","No",_xlfn.XLOOKUP(_xlfn.XLOOKUP(B139,'Base stats'!B:B,'Base stats'!E:E),Groups!A:A,Groups!AC:AC))</f>
        <v>Bite</v>
      </c>
      <c r="AI139" s="13" t="str">
        <f>IF(_xlfn.XLOOKUP(_xlfn.XLOOKUP(B139,'Base stats'!B:B,'Base stats'!E:E),Groups!A:A,Groups!AD:AD)=0,"No",MROUND((LOG10(_xlfn.XLOOKUP(B139,'Base stats'!B:B,'Base stats'!AS:AS))*(AO139^0.75)+(_xlfn.XLOOKUP(B139,'Base stats'!B:B,'Base stats'!AS:AS)/1000)^(2/3)+_xlfn.XLOOKUP(B139,'Base stats'!B:B,'Base stats'!AY:AY)+_xlfn.XLOOKUP(B139,'Base stats'!B:B,'Base stats'!BA:BA))+0.5,0.5))</f>
        <v>No</v>
      </c>
      <c r="AJ139" s="7" t="str">
        <f>IF(AI139="No","No",MAX(_xlfn.XLOOKUP(_xlfn.XLOOKUP(B139,'Base stats'!B:B,'Base stats'!E:E),Groups!A:A,Groups!AE:AE),MROUND(_xlfn.XLOOKUP(_xlfn.XLOOKUP(B139,'Base stats'!B:B,'Base stats'!E:E),Groups!A:A,Groups!AE:AE)*IF(_xlfn.XLOOKUP(_xlfn.XLOOKUP(B139,'Base stats'!B:B,'Base stats'!E:E),Groups!A:A,Groups!AJ:AJ)="Photonozoa",0.6,1)*_xlfn.XLOOKUP(B139,'Base stats'!B:B,'Base stats'!C:C)^0.165,0.05)))</f>
        <v>No</v>
      </c>
      <c r="AK139" s="7" t="str">
        <f>IF(AI139="No","No",_xlfn.XLOOKUP(_xlfn.XLOOKUP(B139,'Base stats'!B:B,'Base stats'!E:E),Groups!A:A,Groups!AF:AF))</f>
        <v>No</v>
      </c>
      <c r="AL139" s="7" t="str">
        <f>IF(AI139="No","No",_xlfn.XLOOKUP(_xlfn.XLOOKUP(B139,'Base stats'!B:B,'Base stats'!E:E),Groups!A:A,Groups!AG:AG))</f>
        <v>No</v>
      </c>
      <c r="AM139" s="7" t="str">
        <f>IF(AI139="No","No",_xlfn.XLOOKUP(_xlfn.XLOOKUP(B139,'Base stats'!B:B,'Base stats'!E:E),Groups!A:A,Groups!AH:AH))</f>
        <v>No</v>
      </c>
      <c r="AN139" s="2">
        <f t="shared" si="14"/>
        <v>15</v>
      </c>
      <c r="AO139" s="2">
        <f>MROUND(IF(AND(_xlfn.XLOOKUP(B139,'Base stats'!B:B,'Base stats'!C:C)&gt;=0.5,_xlfn.XLOOKUP(B139,'Base stats'!B:B,'Base stats'!C:C)&lt;=0.8),
IF(_xlfn.XLOOKUP(B139,'Base stats'!B:B,'Base stats'!C:C)&lt;0.1,0.05,IF(_xlfn.XLOOKUP(B139,'Base stats'!B:B,'Base stats'!C:C)&lt;=70,(_xlfn.XLOOKUP(B139,'Base stats'!B:B,'Base stats'!C:C)/70)^0.426489913056526,IF(_xlfn.XLOOKUP(B139,'Base stats'!B:B,'Base stats'!C:C)&lt;=400,(_xlfn.XLOOKUP(B139,'Base stats'!B:B,'Base stats'!C:C)/70)^0.572811455315093,IF(_xlfn.XLOOKUP(B139,'Base stats'!B:B,'Base stats'!C:C)&lt;=2000,2.71391647193063*(_xlfn.XLOOKUP(B139,'Base stats'!B:B,'Base stats'!C:C)/400)^0.252459582904293,3.74314280240376*(_xlfn.XLOOKUP(B139,'Base stats'!B:B,'Base stats'!C:C)/2000)^0.357012633876913)))),
IF(_xlfn.XLOOKUP(B139,'Base stats'!B:B,'Base stats'!C:C)&lt;0.1,0.05,IF(_xlfn.XLOOKUP(B139,'Base stats'!B:B,'Base stats'!C:C)&lt;0.4,0.1,IF(_xlfn.XLOOKUP(B139,'Base stats'!B:B,'Base stats'!C:C)&lt;=70,(_xlfn.XLOOKUP(B139,'Base stats'!B:B,'Base stats'!C:C)/70)^0.445823913056526,IF(_xlfn.XLOOKUP(B139,'Base stats'!B:B,'Base stats'!C:C)&lt;=400,(_xlfn.XLOOKUP(B139,'Base stats'!B:B,'Base stats'!C:C)/70)^0.572811455315093,IF(_xlfn.XLOOKUP(B139,'Base stats'!B:B,'Base stats'!C:C)&lt;=2000,2.71391647193063*(_xlfn.XLOOKUP(B139,'Base stats'!B:B,'Base stats'!C:C)/400)^0.252459582904293,3.74314280240376*(_xlfn.XLOOKUP(B139,'Base stats'!B:B,'Base stats'!C:C)/2000)^0.357012633876913)))))),
IF(_xlfn.XLOOKUP(B139,'Base stats'!B:B,'Base stats'!C:C)&lt;0.1,0.05,IF(_xlfn.XLOOKUP(B139,'Base stats'!B:B,'Base stats'!C:C)&lt;=100,0.05,IF(_xlfn.XLOOKUP(B139,'Base stats'!B:B,'Base stats'!C:C)&lt;=250,0.1,IF(_xlfn.XLOOKUP(B139,'Base stats'!B:B,'Base stats'!C:C)&lt;=4000,0.25,0.5)))))</f>
        <v>0.4</v>
      </c>
      <c r="AP139" s="8">
        <f>MROUND(AO139*_xlfn.XLOOKUP(_xlfn.XLOOKUP(B139,'Base stats'!B:B,'Base stats'!E:E),Groups!A:A,Groups!AI:AI)*_xlfn.XLOOKUP(B139,'Base stats'!B:B,'Base stats'!Z:Z),0.05)</f>
        <v>0.5</v>
      </c>
      <c r="AQ139" s="8">
        <f>MAX(0.01,MROUND(IF(CC139="True",0.196*(AO139*100*1000)^0.889,IF(_xlfn.XLOOKUP(_xlfn.XLOOKUP(B139,'Base stats'!B:B,'Base stats'!E:E),Groups!A:A,Groups!AJ:AJ)="Bird",10.5*(AO139*100*1000)^0.681,4.82*(AO139*100*1000)^0.734))/(4.82*(1*100*1000)^0.734)/IF(AO139&lt;3.5,2,IF(AO139=3.5,1.5,1.25))*(1+0.132282374779864/(AO139^0.994035016789033+0.00905238001496948)),0.05))</f>
        <v>0.35000000000000003</v>
      </c>
      <c r="AR139" s="9">
        <f>IFERROR(MROUND(_xlfn.XLOOKUP(B139,'Base stats'!B:B,'Base stats'!H:H)/IF(_xlfn.XLOOKUP(B139,'Base stats'!B:B,'Base stats'!I:I)&lt;&gt;1,(122.5/70),1.2),IF(_xlfn.XLOOKUP(B139,'Base stats'!B:B,'Base stats'!H:H)&gt;=30,5,IF(_xlfn.XLOOKUP(B139,'Base stats'!B:B,'Base stats'!H:H)&gt;=15,3,IF(_xlfn.XLOOKUP(B139,'Base stats'!B:B,'Base stats'!H:H)&gt;=10,2,1)))),"Immortal")</f>
        <v>15</v>
      </c>
      <c r="AS139" s="35">
        <f>IFERROR(IF(OR(_xlfn.XLOOKUP(B139,'Base stats'!B:B,'Base stats'!F:F)="Atypical reproduction",_xlfn.XLOOKUP(B139,'Base stats'!B:B,'Base stats'!F:F)="Lay eggs"),"Lay eggs",MIN(20,MAX(5.5,ROUND(((_xlfn.XLOOKUP(B139,'Base stats'!B:B,'Base stats'!F:F)-25)*(14.5/615) + 5.5)*2,0)/2))),"Unknown")</f>
        <v>6.5</v>
      </c>
      <c r="AT139" s="8">
        <f>IF(_xlfn.XLOOKUP(B139,'Base stats'!B:B,'Base stats'!G:G)="Atypical reproduction","No",IFERROR(MAX(IF(_xlfn.XLOOKUP(B139,'Base stats'!B:B,'Base stats'!G:G)&lt;0.5,0.2,0.3),MROUND(_xlfn.XLOOKUP(B139,'Base stats'!B:B,'Base stats'!G:G)/(365/60),0.2)),"Unknown"))</f>
        <v>0.3</v>
      </c>
      <c r="AU139" s="8">
        <f t="shared" si="15"/>
        <v>0.15000000000000002</v>
      </c>
      <c r="AV139" s="8">
        <f>IFERROR(IFERROR(MROUND(_xlfn.XLOOKUP(B139,'Base stats'!B:B,'Base stats'!J:J),0.1),"Lay eggs"),"Cannot breed")</f>
        <v>6</v>
      </c>
      <c r="AW139" s="2" t="str">
        <f t="shared" si="16"/>
        <v>true</v>
      </c>
      <c r="AX139" s="2" t="str">
        <f>IF(_xlfn.XLOOKUP(_xlfn.XLOOKUP(Animals!B139,'Base stats'!B:B,'Base stats'!E:E),Groups!A:A,Groups!AK:AK)=1,"true","false")</f>
        <v>false</v>
      </c>
      <c r="AY139" s="25" t="str">
        <f>IF(_xlfn.XLOOKUP(B139,'Base stats'!B:B,'Base stats'!Y:Y)="Liquor","Liquor, CarnivoreAnimalStrict",IF(AND(_xlfn.XLOOKUP(B139,'Base stats'!B:B,'Base stats'!Y:Y)="Carnivore",_xlfn.XLOOKUP(_xlfn.XLOOKUP(B139,'Base stats'!B:B,'Base stats'!E:E),Groups!A:A,Groups!AJ:AJ)="Photonozoa"),"CarnivoreAnimalStrict, OvivoreAnimal",IF(_xlfn.XLOOKUP(B139,'Base stats'!B:B,'Base stats'!Y:Y)="Carnivore","CarnivoreAnimal, OvivoreAnimal",IF(_xlfn.XLOOKUP(B139,'Base stats'!B:B,'Base stats'!Y:Y)="Dendrovore","VegetarianRoughAnimal, DendrovoreAnimal",IF(_xlfn.XLOOKUP(B139,'Base stats'!B:B,'Base stats'!Y:Y)="Herbivore","VegetarianRoughAnimal",IF(_xlfn.XLOOKUP(B139,'Base stats'!B:B,'Base stats'!Y:Y)="OmnivoreRough","OmnivoreRoughAnimal, OvivoreAnimal","OmnivoreAnimal, OvivoreAnimal"))))))</f>
        <v>OmnivoreAnimal, OvivoreAnimal</v>
      </c>
      <c r="AZ139" s="2" t="str">
        <f>IF(_xlfn.XLOOKUP(_xlfn.XLOOKUP(B139,'Base stats'!B:B,'Base stats'!E:E),Groups!A:A,Groups!D:D)=1,MROUND((1-J139)*5+1,2)*IF(J139&lt;=0.4,2,1),"No")</f>
        <v>No</v>
      </c>
      <c r="BA139" s="2" t="str">
        <f>IF(AND(_xlfn.XLOOKUP(B139,'Base stats'!B:B,'Base stats'!AH:AH)="&lt;li&gt;Seal&lt;/li&gt;",G139="Odyssey"),"&lt;li&gt;AEXP_Seal&lt;/li&gt;",_xlfn.XLOOKUP(B139,'Base stats'!B:B,'Base stats'!AH:AH))</f>
        <v>&lt;li&gt;YorkshireTerrier&lt;/li&gt;</v>
      </c>
      <c r="BB139" s="2" t="str">
        <f>_xlfn.XLOOKUP(B139,'Base stats'!B:B,'Base stats'!AG:AG)</f>
        <v>Leather_Dog</v>
      </c>
      <c r="BC139" s="23" t="str">
        <f>_xlfn.XLOOKUP(_xlfn.XLOOKUP(B139,'Base stats'!B:B,'Base stats'!E:E),Groups!A:A,Groups!AL:AL)</f>
        <v>QuadrupedAnimalWithPawsAndTail</v>
      </c>
      <c r="BD139" s="23">
        <f>MIN(1,MROUND(IF(AND(AO139&lt;0.5,_xlfn.XLOOKUP(B139,'Base stats'!B:B,'Base stats'!AA:AA)=0),0,IF(OR(_xlfn.XLOOKUP(Animals!B139,'Base stats'!B:B,'Base stats'!O:O)=2,_xlfn.XLOOKUP(_xlfn.XLOOKUP(B139,'Base stats'!B:B,'Base stats'!E:E),Groups!A:A,Groups!AN:AN)=0),0,_xlfn.XLOOKUP(_xlfn.XLOOKUP(B139,'Base stats'!B:B,'Base stats'!E:E),Groups!A:A,Groups!AN:AN)/IF(_xlfn.XLOOKUP(Animals!B139,'Base stats'!B:B,'Base stats'!O:O)=1,2,1)))+_xlfn.XLOOKUP(B139,'Base stats'!B:B,'Base stats'!AC:AC),0.005))</f>
        <v>0</v>
      </c>
      <c r="BE139" s="23">
        <f>MIN(1,MROUND(IF(AND(AO139&lt;0.5,_xlfn.XLOOKUP(B139,'Base stats'!B:B,'Base stats'!AA:AA)=0),0,IF(_xlfn.XLOOKUP(_xlfn.XLOOKUP(B139,'Base stats'!B:B,'Base stats'!E:E),Groups!A:A,Groups!AO:AO)=0,0,_xlfn.XLOOKUP(_xlfn.XLOOKUP(B139,'Base stats'!B:B,'Base stats'!E:E),Groups!A:A,Groups!AO:AO)/IF(_xlfn.XLOOKUP(Animals!B139,'Base stats'!B:B,'Base stats'!O:O)=2,3,1)))+_xlfn.XLOOKUP(B139,'Base stats'!B:B,'Base stats'!AD:AD),0.005))</f>
        <v>0</v>
      </c>
      <c r="BF139" s="2">
        <f>IF(J139&gt;0.3,"No",_xlfn.XLOOKUP(_xlfn.XLOOKUP(Animals!B139,'Base stats'!B:B,'Base stats'!E:E),Groups!A:A,Groups!AP:AP))</f>
        <v>1</v>
      </c>
      <c r="BG139" s="2">
        <f>IF(AND(J139&lt;=0.65,_xlfn.XLOOKUP(_xlfn.XLOOKUP(Animals!B139,'Base stats'!B:B,'Base stats'!E:E),Groups!A:A,Groups!AP:AP)&lt;&gt;"No",_xlfn.XLOOKUP(_xlfn.XLOOKUP(B139,'Base stats'!B:B,'Base stats'!E:E),Groups!A:A,Groups!D:D)=0),MROUND((80/3)*IF(_xlfn.XLOOKUP(B139,'Base stats'!B:B,'Base stats'!O:O)=2,0.2,AO139) + 24*(1-IF(BF139="No",0,BF139)) + 16/3, 12),"No")</f>
        <v>12</v>
      </c>
      <c r="BH139" s="2">
        <f>IF(AND(_xlfn.XLOOKUP(_xlfn.XLOOKUP(B139,'Base stats'!B:B,'Base stats'!E:E),Groups!A:A,Groups!AQ:AQ)=1,AO139&lt;=0.35),8,12)</f>
        <v>12</v>
      </c>
      <c r="BI139" s="2" t="str">
        <f>IF(_xlfn.XLOOKUP(_xlfn.XLOOKUP(B139,'Base stats'!B:B,'Base stats'!E:E),Groups!A:A,Groups!D:D)=0,_xlfn.XLOOKUP(_xlfn.XLOOKUP(B139,'Base stats'!B:B,'Base stats'!E:E),Groups!A:A,Groups!AR:AR),"None")</f>
        <v>Advanced</v>
      </c>
      <c r="BJ139" s="2" t="str">
        <f>IF(AND(_xlfn.XLOOKUP(_xlfn.XLOOKUP(B139,'Base stats'!B:B,'Base stats'!E:E),Groups!A:A,Groups!AS:AS)=1,OR(_xlfn.XLOOKUP(B139,'Base stats'!B:B,'Base stats'!Y:Y)="Carnivore",_xlfn.XLOOKUP(B139,'Base stats'!B:B,'Base stats'!Y:Y)="Omnivore")),"true","false")</f>
        <v>true</v>
      </c>
      <c r="BK139" s="2">
        <f>IF(BJ139="true",MROUND(IF(AND(AO139&gt;0.5,OR(_xlfn.XLOOKUP(_xlfn.XLOOKUP(B139,'Base stats'!B:B,'Base stats'!E:E),Groups!A:A,Groups!AJ:AJ)="Photonozoa",_xlfn.XLOOKUP(_xlfn.XLOOKUP(B139,'Base stats'!B:B,'Base stats'!E:E),Groups!A:A,Groups!AJ:AJ)="Mammal")),Animals!AO139*1.75*IF(AW139="true",1.5,1),IF(AO139&lt;0.5,Animals!AO139*0.5,Animals!AO139)),IF(AO139&gt;2,0.5,IF(AO139&gt;0.5,0.25,0.1))),"No")</f>
        <v>0.2</v>
      </c>
      <c r="BL139" s="2">
        <f t="shared" si="17"/>
        <v>1</v>
      </c>
      <c r="BM139" s="25" t="str">
        <f>IF(_xlfn.XLOOKUP(B139,'Base stats'!B:B,'Base stats'!AN:AN)="Standard","No",MROUND((_xlfn.XLOOKUP(B139,'Base stats'!B:B,'Base stats'!AN:AN)/3.6)/I139,0.1))</f>
        <v>No</v>
      </c>
      <c r="BN139" s="25" t="str">
        <f t="shared" si="18"/>
        <v>false</v>
      </c>
      <c r="BO139" s="25" t="str">
        <f>IF(AND(OR(_xlfn.XLOOKUP(B139,'Base stats'!B:B,'Base stats'!Y:Y)="Carnivore",_xlfn.XLOOKUP(B139,'Base stats'!B:B,'Base stats'!Y:Y)="Omnivore",_xlfn.XLOOKUP(B139,'Base stats'!B:B,'Base stats'!Y:Y)="OmnivoreRough"),_xlfn.XLOOKUP(_xlfn.XLOOKUP(B139,'Base stats'!B:B,'Base stats'!E:E),Groups!A:A,Groups!AT:AT)=1),"true","false")</f>
        <v>false</v>
      </c>
      <c r="BP139" s="25" t="str" cm="1">
        <f t="array" ref="BP139">IF(
  _xlfn.TEXTJOIN(", ",TRUE,
    IF(AND(BJ139="true",AO139&gt;0.5,BI139&lt;&gt;"None"),"AttackTarget",""),
    IF(AND(_xlfn.XLOOKUP(_xlfn.XLOOKUP(B139,'Base stats'!B:B,'Base stats'!E:E),Groups!A:A,Groups!AJ:AJ="Mammal"),OR(_xlfn.XLOOKUP(B139,'Base stats'!B:B,'Base stats'!Y:Y)="Omnivore",_xlfn.XLOOKUP(B139,'Base stats'!B:B,'Base stats'!Y:Y)="OmnivoreRough")),"Forage",""),
    IF(BG139&lt;=36,"Comfort",""),
    IF(_xlfn.XLOOKUP(B139,'Base stats'!B:B,'Base stats'!AE:AE)&lt;&gt;"No",_xlfn.XLOOKUP(B139,'Base stats'!B:B,'Base stats'!AE:AE),"")
  ) = "",
  "No",
  _xlfn.TEXTJOIN(", ",TRUE,
    IF(AND(BJ139="true",AO139&gt;0.5,BI139&lt;&gt;"None"),"AttackTarget",""),
    IF(AND(_xlfn.XLOOKUP(_xlfn.XLOOKUP(B139,'Base stats'!B:B,'Base stats'!E:E),Groups!A:A,Groups!AJ:AJ="Mammal"),OR(_xlfn.XLOOKUP(B139,'Base stats'!B:B,'Base stats'!Y:Y)="Omnivore",_xlfn.XLOOKUP(B139,'Base stats'!B:B,'Base stats'!Y:Y)="OmnivoreRough")),"Forage",""),
    IF(BG139&lt;=36,"Comfort",""),
    IF(_xlfn.XLOOKUP(B139,'Base stats'!B:B,'Base stats'!AE:AE)&lt;&gt;"No",_xlfn.XLOOKUP(B139,'Base stats'!B:B,'Base stats'!AE:AE),"")
  )
)</f>
        <v>Forage, Comfort</v>
      </c>
      <c r="BQ139" s="25" t="str">
        <f>IF(
   AND(
      'Base stats'!AN139="Standard",_xlfn.XLOOKUP(_xlfn.XLOOKUP(B139,'Base stats'!B:B,'Base stats'!E:E),Groups!A:A,Groups!AU:AU)=0,
      OR(
      BO139="True"
      )
   ),
   10,
   IF(
       OR(BM139&lt;&gt;"No",_xlfn.XLOOKUP(_xlfn.XLOOKUP(B139,'Base stats'!B:B,'Base stats'!E:E),Groups!A:A,Groups!AU:AU)=1),
      1,
      "No"
   )
)</f>
        <v>No</v>
      </c>
      <c r="BR139" s="9">
        <f>MROUND((1 + ((0.2*IF(OR(Q139="No",R139="No",R139=0),0,Q139/R139)
+IF(OR(V139="No",S139="No",T139="No"),0,S139/T139*(LEN(V139)-LEN(SUBSTITUTE(V139,",",""))+1))
+IF(OR(X139="No",Y139="No"),0,X139/Y139)
+IF(OR(AD139="No",AE139="No"),0,AD139/AE139)
+IF(OR(AL139="No",AI139="No",AJ139="No"),0,AI139/AJ139*(LEN(AL139)-LEN(SUBSTITUTE(AL139,",",""))+1))
)/(0.2*IF(OR(Q139="No",R139="No",R139=0),0,1)
+IF(OR(V139="No",S139="No",T139="No"),0,LEN(V139)-LEN(SUBSTITUTE(V139,",",""))+1)
+IF(OR(X139="No",Y139="No"),0,1)
+IF(OR(AD139="No",AE139="No"),0,1)
+IF(OR(AL139="No",AI139="No",AJ139="No"),0,LEN(AL139)-LEN(SUBSTITUTE(AL139,",",""))+1))*62%)* 2)*(1 + (AP139 / (IF(_xlfn.XLOOKUP(_xlfn.XLOOKUP(B139,'Base stats'!B:B,'Base stats'!E:E),Groups!A:A,Groups!AJ:AJ)="Photonozoa",0.3,1)) + _xlfn.XLOOKUP(B139,'Base stats'!B:B,'Base stats'!AV:AV) * 1.8) * 2) * 2.5 + 10 + I139 * 2,5)+IF(_xlfn.XLOOKUP(B139,'Base stats'!B:B,'Base stats'!AK:AK)=1,50,0)</f>
        <v>55</v>
      </c>
      <c r="BS139" s="8">
        <f t="shared" si="19"/>
        <v>0.35000000000000003</v>
      </c>
      <c r="BT139" s="8" t="str">
        <f>_xlfn.XLOOKUP(B139,'Base stats'!B:B,'Base stats'!AF:AF)</f>
        <v>2~4</v>
      </c>
      <c r="BU139" s="2" t="str">
        <f>IF(AND(J139&lt;=0.95,OR(_xlfn.XLOOKUP(B139,'Base stats'!B:B,'Base stats'!AK:AK)=1,_xlfn.XLOOKUP(B139,'Base stats'!B:B,'Base stats'!Y:Y)="Carnivore",_xlfn.XLOOKUP(B139,'Base stats'!B:B,'Base stats'!Y:Y)="Omnivore",BE139&gt;0.1)),"true","false")</f>
        <v>true</v>
      </c>
      <c r="BV139" s="2" t="str">
        <f>IF(_xlfn.XLOOKUP(B139,'Base stats'!B:B,'Base stats'!AI:AI)=1,"true","false")</f>
        <v>false</v>
      </c>
      <c r="BW139" s="25" t="str">
        <f>IF(E139="BaseInsect","AnimalInsect",
IF(J139&gt;0.95,"AnimalExotic",
_xlfn.TEXTJOIN(", ",TRUE,
IF(OR(_xlfn.XLOOKUP(B139,'Base stats'!B:B,'Base stats'!AM:AM)=1,AND(_xlfn.XLOOKUP(B139,'Base stats'!B:B,'Base stats'!O:O)=0,_xlfn.XLOOKUP(_xlfn.XLOOKUP(B139,'Base stats'!B:B,'Base stats'!E:E),Groups!A:A,Groups!B:B)&gt;0)),"AnimalUncommon","AnimalCommon"),
IF(AND(_xlfn.XLOOKUP(B139,'Base stats'!B:B,'Base stats'!O:O)=2,_xlfn.XLOOKUP(_xlfn.XLOOKUP(B139,'Base stats'!B:B,'Base stats'!E:E),Groups!A:A,Groups!D:D)=0),"AnimalPet",IF(AND(_xlfn.XLOOKUP(B139,'Base stats'!B:B,'Base stats'!O:O)&lt;&gt;0,_xlfn.XLOOKUP(_xlfn.XLOOKUP(B139,'Base stats'!B:B,'Base stats'!E:E),Groups!A:A,Groups!D:D)&lt;&gt;0),"AnimalFarm","")),
IF(OR(_xlfn.XLOOKUP(B139,'Base stats'!B:B,'Base stats'!AK:AK)=1,AND(BI139&lt;&gt;"None",BR139&gt;=60),ISNUMBER(SEARCH("Attack target",BP139))),"AnimalFighter","")
)))</f>
        <v>AnimalCommon, AnimalPet</v>
      </c>
      <c r="BX139" s="25" t="str">
        <f>IF(G139="None",TRIM(
SUBSTITUTE(
IF(COUNTIF(Biomes!B$2:B$259,"="&amp;$C139)&gt;0,Biomes!B$1&amp;", ","")&amp;
IF(COUNTIF(Biomes!C$2:C$259,"="&amp;$C139)&gt;0,Biomes!C$1&amp;", ","")&amp;
IF(COUNTIF(Biomes!D$2:D$259,"="&amp;$C139)&gt;0,Biomes!D$1&amp;", ","")&amp;
IF(COUNTIF(Biomes!F$2:F$259,"="&amp;$C139)&gt;0,Biomes!F$1&amp;", ","")&amp;
IF(COUNTIF(Biomes!G$2:G$259,"="&amp;$C139)&gt;0,Biomes!G$1&amp;", ","")&amp;
IF(COUNTIF(Biomes!H$2:H$259,"="&amp;$C139)&gt;0,Biomes!H$1&amp;", ","")&amp;
IF(COUNTIF(Biomes!I$2:I$259,"="&amp;$C139)&gt;0,Biomes!I$1&amp;", ","")&amp;
IF(COUNTIF(Biomes!J$2:J$259,"="&amp;$C139)&gt;0,Biomes!J$1&amp;", ","")&amp;
IF(COUNTIF(Biomes!M$2:M$259,"="&amp;$C139)&gt;0,Biomes!M$1&amp;", ","")&amp;
IF(COUNTIF(Biomes!N$2:N$259,"="&amp;$C139)&gt;0,Biomes!N$1&amp;", ","")&amp;
IF(COUNTIF(Biomes!O$2:O$259,"="&amp;$C139)&gt;0,Biomes!O$1&amp;", ","")&amp;
IF(COUNTIF(Biomes!P$2:P$259,"="&amp;$C139)&gt;0,Biomes!P$1&amp;", ","")&amp;
IF(COUNTIF(Biomes!K$2:K$259,"="&amp;$C139)&gt;0,Biomes!K$1&amp;", ","")&amp;
IF(COUNTIF(Biomes!Q$3:Q$259,"="&amp;$C139)&gt;0,Biomes!Q$1&amp;", ","")&amp;
IF(COUNTIF(Biomes!L$2:L$259,"="&amp;$C139)&gt;0,Biomes!L$1&amp;", ","")&amp;
IF(COUNTIF(Biomes!E$2:E$259,"="&amp;$C139)&gt;0,Biomes!E$1&amp;", ","")&amp;IF(COUNTIF(Biomes!S$2:S$259,"="&amp;$C139)&gt;0,Biomes!S$1&amp;", ","")&amp;
IF(COUNTIF(Biomes!R$2:R$259,"="&amp;$C139)&gt;0,Biomes!R$1&amp;", ",""),", ","")
),_xlfn.XLOOKUP(B139,B:B,BX:BX))</f>
        <v/>
      </c>
      <c r="BY139" s="25" t="str">
        <f>IF(_xlfn.XLOOKUP(B139,'Base stats'!B:B,'Base stats'!AJ:AJ)=1,"true","false")</f>
        <v>false</v>
      </c>
      <c r="BZ139" s="25">
        <f>IF(_xlfn.XLOOKUP(B139,'Base stats'!B:B,'Base stats'!N:N)=1,"No",MAX(0.001,MIN(MROUND(IF(AND(BJ139="True",CC139="False"),POWER(10,3.47*LOG10(_xlfn.XLOOKUP(B139,'Base stats'!B:B,'Base stats'!C:C)*1000)^-0.96),POWER(10,4.15*LOG10(_xlfn.XLOOKUP(B139,'Base stats'!B:B,'Base stats'!C:C)*1000)^-0.73))*IF(_xlfn.XLOOKUP(B139,'Base stats'!B:B,'Base stats'!AK:AK)=1,0.5,1)*IF(_xlfn.XLOOKUP(B139,'Base stats'!B:B,'Base stats'!AM:AM)=1,0.1,1)/100,IF(_xlfn.XLOOKUP(B139,'Base stats'!B:B,'Base stats'!AM:AM)=1,0.001,0.025)),0.5)))</f>
        <v>7.5000000000000011E-2</v>
      </c>
      <c r="CA139" s="25" t="str">
        <f>IF(P139="Standard","No",MAX(0.001,MIN(MROUND(IF(AND(BJ139="True",CC139="False"),POWER(10,3.47*LOG10(_xlfn.XLOOKUP(B139,'Base stats'!B:B,'Base stats'!C:C)*1000)^-0.96),POWER(10,4.15*LOG10(_xlfn.XLOOKUP(B139,'Base stats'!B:B,'Base stats'!C:C)*1000)^-0.73))*IF(_xlfn.XLOOKUP(B139,'Base stats'!B:B,'Base stats'!AM:AM)=1,0.1,1)*_xlfn.XLOOKUP(B139,'Base stats'!B:B,'Base stats'!R:R)/100,IF(_xlfn.XLOOKUP(B139,'Base stats'!B:B,'Base stats'!AM:AM)=1,0.001,0.025)),0.5)))</f>
        <v>No</v>
      </c>
      <c r="CB139" s="25" t="str">
        <f>IF(_xlfn.XLOOKUP(_xlfn.XLOOKUP(B139,'Base stats'!B:B,'Base stats'!E:E),Groups!A:A,Groups!AJ:AJ)="Mammal","True","False")</f>
        <v>True</v>
      </c>
      <c r="CC139" s="25" t="str">
        <f>IF(OR(_xlfn.XLOOKUP(_xlfn.XLOOKUP(B139,'Base stats'!B:B,'Base stats'!E:E),Groups!A:A,Groups!AJ:AJ)="Reptile",_xlfn.XLOOKUP(_xlfn.XLOOKUP(B139,'Base stats'!B:B,'Base stats'!E:E),Groups!A:A,Groups!AJ:AJ)="Amphibian",_xlfn.XLOOKUP(_xlfn.XLOOKUP(B139,'Base stats'!B:B,'Base stats'!E:E),Groups!A:A,Groups!AJ:AJ)="Invertebrate"),"True","False")</f>
        <v>False</v>
      </c>
      <c r="CD139" s="25" t="str">
        <f t="shared" si="20"/>
        <v>False</v>
      </c>
      <c r="CE139" s="25" t="str">
        <f>IF(_xlfn.XLOOKUP(_xlfn.XLOOKUP(B139,'Base stats'!B:B,'Base stats'!E:E),Groups!A:A,Groups!AX:AX),"True","False")</f>
        <v>False</v>
      </c>
      <c r="CF139" s="25" t="str">
        <f>IF(_xlfn.XLOOKUP(_xlfn.XLOOKUP(B139,'Base stats'!B:B,'Base stats'!E:E),Groups!A:A,Groups!AY:AY),"True","False")</f>
        <v>False</v>
      </c>
      <c r="CG139" s="25" t="str">
        <f>IF(_xlfn.XLOOKUP(_xlfn.XLOOKUP(B139,'Base stats'!B:B,'Base stats'!E:E),Groups!A:A,Groups!AW:AW),"True","False")</f>
        <v>False</v>
      </c>
      <c r="CH139" s="25" t="str">
        <f>IF(
OR(
_xlfn.XLOOKUP(_xlfn.XLOOKUP(B139,'Base stats'!B:B,'Base stats'!E:E),Groups!A:A,Groups!AZ:AZ)=0,
AND(
_xlfn.XLOOKUP(B139,'Base stats'!B:B,'Base stats'!Y:Y)&lt;&gt;"Carnivore",
_xlfn.XLOOKUP(B139,'Base stats'!B:B,'Base stats'!Y:Y)&lt;&gt;"Omnivore",
_xlfn.XLOOKUP(B139,'Base stats'!B:B,'Base stats'!Y:Y)&lt;&gt;"OmnivoreRough"
)
),
"No",
IF(
_xlfn.XLOOKUP(_xlfn.XLOOKUP(B139,'Base stats'!B:B,'Base stats'!E:E),Groups!A:A,Groups!AZ:AZ)=1,
"Flesh",
IF(
_xlfn.XLOOKUP(_xlfn.XLOOKUP(B139,'Base stats'!B:B,'Base stats'!E:E),Groups!A:A,Groups!AZ:AZ)=2,
"Bone",
""
)
)
)</f>
        <v>No</v>
      </c>
      <c r="CI139" s="25" t="str">
        <f>IF(_xlfn.XLOOKUP(_xlfn.XLOOKUP(B139,'Base stats'!B:B,'Base stats'!E:E),Groups!A:A,Groups!BB:BB),"True","False")</f>
        <v>True</v>
      </c>
      <c r="CJ139" s="25" t="str">
        <f>IF(_xlfn.XLOOKUP(_xlfn.XLOOKUP(B139,'Base stats'!B:B,'Base stats'!E:E),Groups!A:A,Groups!BA:BA),"True","False")</f>
        <v>False</v>
      </c>
    </row>
    <row r="140" spans="1:88" ht="16.5" thickTop="1" thickBot="1" x14ac:dyDescent="0.3">
      <c r="A140" s="26" t="str">
        <f>_xlfn.XLOOKUP(B140,'Base stats'!B:B,'Base stats'!A:A)</f>
        <v>Chihuahua</v>
      </c>
      <c r="B140" s="6" t="s">
        <v>893</v>
      </c>
      <c r="C140" s="28" t="s">
        <v>821</v>
      </c>
      <c r="D140" s="28" t="s">
        <v>872</v>
      </c>
      <c r="E140" s="28" t="s">
        <v>673</v>
      </c>
      <c r="F140" s="28" t="s">
        <v>673</v>
      </c>
      <c r="G140" s="28" t="s">
        <v>673</v>
      </c>
      <c r="H140" s="2">
        <f>MROUND((
  (IF(AND(_xlfn.XLOOKUP(B140,'Base stats'!B:B,'Base stats'!AL:AL)=0,BI140="None",_xlfn.XLOOKUP(_xlfn.XLOOKUP(B140,'Base stats'!B:B,'Base stats'!E:E),Groups!A:A,Groups!B:B)=0), (18 + BR140 * 2.7) * 0.5,
    IF(AND(_xlfn.XLOOKUP(B140,'Base stats'!B:B,'Base stats'!AL:AL)=0,OR(AO140&lt;0.55,AND(BI140="Intermediate",_xlfn.XLOOKUP(_xlfn.XLOOKUP(B140,'Base stats'!B:B,'Base stats'!E:E),Groups!A:A,Groups!B:B)&lt;2))), (18 + BR140 * 2.7),
      IF(OR(BI140="Advanced",_xlfn.XLOOKUP(B140,'Base stats'!B:B,'Base stats'!AL:AL)=1,_xlfn.XLOOKUP(_xlfn.XLOOKUP(B140,'Base stats'!B:B,'Base stats'!E:E),Groups!A:A,Groups!B:B)=2), (18 + BR140 * 2.7) + 250, (18 + BR140 * 2.7))
    )
  ))
  + AO140 * 80
  + IF(COUNTIF(EggMilk!K$2:K$998, A140) &gt; 0, 125, 0)
  + IF(COUNTIF(EggMilk!P$2:P$998, A140) &gt; 0, 90, 0)
  + IF(COUNTIF(EggMilk!A$2:A$998, A140) &gt; 0, 90, 0)
)
* (0.8 + 0.4 * J140)
* 0.75,25)</f>
        <v>75</v>
      </c>
      <c r="I140" s="2">
        <f>MROUND(ROUNDDOWN(_xlfn.XLOOKUP(B140,'Base stats'!B:B,'Base stats'!L:L)/3.6/(23.3/11),1),0.5)</f>
        <v>5</v>
      </c>
      <c r="J140" s="2">
        <f>IF(OR(_xlfn.XLOOKUP(B140,'Base stats'!B:B,'Base stats'!AB:AB)=1,_xlfn.XLOOKUP(_xlfn.XLOOKUP(B140,'Base stats'!B:B,'Base stats'!E:E),Groups!A:A,Groups!C:C)="Untamable"),1,IF(_xlfn.XLOOKUP(B140,'Base stats'!B:B,'Base stats'!AL:AL)=1,0.99,MIN(MROUND((1-0.6282*EXP(-0.459*AO140))*_xlfn.XLOOKUP(_xlfn.XLOOKUP(B140,'Base stats'!B:B,'Base stats'!E:E),Groups!A:A,Groups!C:C)*IF(_xlfn.XLOOKUP(B140,'Base stats'!B:B,'Base stats'!O:O)=1,0.5,IF(_xlfn.XLOOKUP(B140,'Base stats'!B:B,'Base stats'!O:O)=2,0,1)),0.05),IF(AO140&gt;3.5,0.985,0.95))))</f>
        <v>0</v>
      </c>
      <c r="K140" s="2">
        <f>ROUNDUP(AO140*_xlfn.XLOOKUP(_xlfn.XLOOKUP(B140,'Base stats'!B:B,'Base stats'!E:E),Groups!A:A,Groups!E:E),0)</f>
        <v>1</v>
      </c>
      <c r="L140" s="2">
        <f>IF(OR(_xlfn.XLOOKUP(_xlfn.XLOOKUP(B140,'Base stats'!B:B,'Base stats'!E:E),Groups!A:A,Groups!F:F)=2,ISNUMBER(SEARCH("SeaIce",BX140)),ISNUMBER(SEARCH("IceSheet",BX140))),-50,IF(OR(ISNUMBER(SEARCH("GlacialPlain",BX140)),ISNUMBER(SEARCH("Tundra",BX140))),-40,IF(OR(ISNUMBER(SEARCH("Alpine",BX140)),ISNUMBER(SEARCH("BorealForest",BX140)),ISNUMBER(SEARCH("ColdBog",BX140))),-30,IF(OR(ISNUMBER(SEARCH("TemperateForest",BX140)),ISNUMBER(SEARCH("TemperateSwamp",BX140))),-20,IF(_xlfn.XLOOKUP(_xlfn.XLOOKUP(B140,'Base stats'!B:B,'Base stats'!E:E),Groups!A:A,Groups!F:F)=1,-15,IF(OR(ISNUMBER(SEARCH("Desert",BX140)),ISNUMBER(SEARCH("ExtremeDesert",BX140))),-10,IF(OR(ISNUMBER(SEARCH("Grasslands",BX140)),ISNUMBER(SEARCH("TropicalRainforest",BX140)),ISNUMBER(SEARCH("TropicalSwamp",BX140))),10,0)))))))-IF(CC140="False",MIN(IFERROR(MAX(MROUND(LOG10(_xlfn.XLOOKUP(B140,'Base stats'!B:B,'Base stats'!C:C)^(2/3))*10,5),5),5),30))-_xlfn.XLOOKUP(B140,'Base stats'!B:B,'Base stats'!P:P)+IF(CC140="True",5,0)</f>
        <v>-20</v>
      </c>
      <c r="M140" s="2">
        <f>IF(OR(_xlfn.XLOOKUP(_xlfn.XLOOKUP(B140,'Base stats'!B:B,'Base stats'!E:E),Groups!A:A,Groups!G:G)=2,ISNUMBER(SEARCH("Desert",BX140)),ISNUMBER(SEARCH("ExtremeDesert",BX140)),ISNUMBER(SEARCH("LavaField",BX140))),50,IF(ISNUMBER(SEARCH("Grasslands",BX140)),45,IF(OR(_xlfn.XLOOKUP(_xlfn.XLOOKUP(B140,'Base stats'!B:B,'Base stats'!E:E),Groups!A:A,Groups!G:G)=1,ISNUMBER(SEARCH("TropicalRainforest",BX140)),ISNUMBER(SEARCH("TropicalSwamp",BX140))),40,IF(OR(ISNUMBER(SEARCH("TemperateForest",BX140)),ISNUMBER(SEARCH("TemperateSwamp",BX140))),35,IF(OR(ISNUMBER(SEARCH("Alpine",BX140)),ISNUMBER(SEARCH("BorealForest",BX140)),ISNUMBER(SEARCH("ColdBog",BX140))),30,IF(ISNUMBER(OR(ISNUMBER(SEARCH("GlacialPlain",BX140)),SEARCH("Tundra",BX140))),25,IF(OR(ISNUMBER(SEARCH("SeaIce",BX140)),ISNUMBER(SEARCH("IceSheet",BX140)),ISNUMBER(SEARCH("TropicalSwamp",BX140))),10,35)))))))+_xlfn.XLOOKUP(B140,'Base stats'!B:B,'Base stats'!Q:Q)</f>
        <v>35</v>
      </c>
      <c r="N140" s="8" t="str">
        <f>IF(
_xlfn.XLOOKUP(
_xlfn.XLOOKUP(B140,'Base stats'!B:B,'Base stats'!E:E),
Groups!A:A,
Groups!L:L
)=1,
MIN(
MROUND(
IF(
_xlfn.XLOOKUP(B140,'Animals CE'!B:B,'Animals CE'!Z:Z)&lt;=1.5,
_xlfn.XLOOKUP(B140,'Animals CE'!B:B,'Animals CE'!Z:Z)/2+0.05,
0.8+
(_xlfn.XLOOKUP(B140,'Animals CE'!B:B,'Animals CE'!Z:Z)-1.5)
*0.02
),
0.05
),
200%
),
"No"
)</f>
        <v>No</v>
      </c>
      <c r="O140" s="8" t="str">
        <f>IF(
_xlfn.XLOOKUP(
_xlfn.XLOOKUP(B140,'Base stats'!B:B,'Base stats'!E:E),
Groups!A:A,
Groups!L:L
)=1,
MIN(
MROUND(
IF(
_xlfn.XLOOKUP(B140,'Animals CE'!B:B,'Animals CE'!AA:AA)&lt;=1.5,
_xlfn.XLOOKUP(B140,'Animals CE'!B:B,'Animals CE'!AA:AA)/2+0.05,
0.8+
(_xlfn.XLOOKUP(B140,'Animals CE'!B:B,'Animals CE'!AA:AA)-1.5)
*0.02
),
0.05
),
200%
),
"No"
)</f>
        <v>No</v>
      </c>
      <c r="P140" s="2" t="str">
        <f>_xlfn.XLOOKUP(B140,'Base stats'!B:B,'Base stats'!R:R)</f>
        <v>Standard</v>
      </c>
      <c r="Q140" s="13">
        <f>MROUND((LOG10(_xlfn.XLOOKUP(B140,'Base stats'!B:B,'Base stats'!AR:AR))*(AO140^0.5)+(_xlfn.XLOOKUP(B140,'Base stats'!B:B,'Base stats'!AR:AR)/1000)^(2/3)+_xlfn.XLOOKUP(B140,'Base stats'!B:B,'Base stats'!BA:BA)/2)+0.5,0.5)</f>
        <v>2</v>
      </c>
      <c r="R140" s="7">
        <f>IF(Q140="No","No",MAX(1,MROUND(_xlfn.XLOOKUP(B140,'Base stats'!B:B,'Base stats'!C:C)^0.165,0.05)))</f>
        <v>1.1000000000000001</v>
      </c>
      <c r="S140" s="13" t="str">
        <f>IF(_xlfn.XLOOKUP(_xlfn.XLOOKUP(B140,'Base stats'!B:B,'Base stats'!E:E),Groups!A:A,Groups!P:P)=0,"No",MROUND((LOG10(_xlfn.XLOOKUP(B140,'Base stats'!B:B,'Base stats'!AS:AS))*(AO140^0.5)+(_xlfn.XLOOKUP(B140,'Base stats'!B:B,'Base stats'!AS:AS)/1000)^(2/3)+_xlfn.XLOOKUP(B140,'Base stats'!B:B,'Base stats'!BA:BA))+_xlfn.XLOOKUP(B140,'Base stats'!B:B,'Base stats'!AY:AY)+0.5,0.5))</f>
        <v>No</v>
      </c>
      <c r="T140" s="7" t="str">
        <f>IF(S140="No","No",MAX(_xlfn.XLOOKUP(_xlfn.XLOOKUP(B140,'Base stats'!B:B,'Base stats'!E:E),Groups!A:A,Groups!Q:Q),MROUND(_xlfn.XLOOKUP(_xlfn.XLOOKUP(B140,'Base stats'!B:B,'Base stats'!E:E),Groups!A:A,Groups!Q:Q)*_xlfn.XLOOKUP(B140,'Base stats'!B:B,'Base stats'!C:C)^0.165,0.05)))</f>
        <v>No</v>
      </c>
      <c r="U140" s="7" t="str">
        <f>IF(S140="No","No",_xlfn.XLOOKUP(_xlfn.XLOOKUP(B140,'Base stats'!B:B,'Base stats'!E:E),Groups!A:A,Groups!R:R))</f>
        <v>No</v>
      </c>
      <c r="V140" s="7" t="str">
        <f>IF(S140="No","No",_xlfn.XLOOKUP(_xlfn.XLOOKUP(B140,'Base stats'!B:B,'Base stats'!E:E),Groups!A:A,Groups!S:S))</f>
        <v>No</v>
      </c>
      <c r="W140" s="7" t="str">
        <f>IF(S140="No","No",_xlfn.XLOOKUP(_xlfn.XLOOKUP(B140,'Base stats'!B:B,'Base stats'!E:E),Groups!A:A,Groups!T:T))</f>
        <v>No</v>
      </c>
      <c r="X140" s="13" t="str">
        <f>IF(_xlfn.XLOOKUP(B140,'Base stats'!B:B,'Base stats'!W:W)="No","No",MROUND((LOG10(_xlfn.XLOOKUP(B140,'Base stats'!B:B,'Base stats'!AU:AU))*(AO140^0.5)+(_xlfn.XLOOKUP(B140,'Base stats'!B:B,'Base stats'!AU:AU)/1000)^(2/3)+_xlfn.XLOOKUP(B140,'Base stats'!B:B,'Base stats'!AZ:AZ))+0.5+IF(_xlfn.XLOOKUP(_xlfn.XLOOKUP(B140,'Base stats'!B:B,'Base stats'!E:E),Groups!A:A,Groups!U:U)&lt;&gt;3,_xlfn.XLOOKUP(B140,'Base stats'!B:B,'Base stats'!BA:BA),0),0.5))</f>
        <v>No</v>
      </c>
      <c r="Y140" s="7" t="str">
        <f>IF(X140="No","No",MAX(_xlfn.XLOOKUP(_xlfn.XLOOKUP(B140,'Base stats'!B:B,'Base stats'!E:E),Groups!A:A,Groups!V:V),MROUND(_xlfn.XLOOKUP(_xlfn.XLOOKUP(B140,'Base stats'!B:B,'Base stats'!E:E),Groups!A:A,Groups!V:V)*_xlfn.XLOOKUP(B140,'Base stats'!B:B,'Base stats'!C:C)^0.165,0.05)))</f>
        <v>No</v>
      </c>
      <c r="Z140" s="7" t="str">
        <f>IF(X140="No","No",_xlfn.XLOOKUP(_xlfn.XLOOKUP(B140,'Base stats'!B:B,'Base stats'!E:E),Groups!A:A,Groups!W:W))</f>
        <v>No</v>
      </c>
      <c r="AA140" s="7" t="str">
        <f>IF(X140="No","No",_xlfn.XLOOKUP(_xlfn.XLOOKUP(B140,'Base stats'!B:B,'Base stats'!E:E),Groups!A:A,Groups!X:X))</f>
        <v>No</v>
      </c>
      <c r="AB140" s="7" t="str">
        <f>IF(X140="No","No",_xlfn.XLOOKUP(_xlfn.XLOOKUP(B140,'Base stats'!B:B,'Base stats'!E:E),Groups!A:A,Groups!Y:Y))</f>
        <v>No</v>
      </c>
      <c r="AC140" s="7" t="str">
        <f>_xlfn.XLOOKUP(Animals!B140,'Base stats'!B:B,'Base stats'!X:X)</f>
        <v>False</v>
      </c>
      <c r="AD140" s="13">
        <f>IF(_xlfn.XLOOKUP(B140,'Base stats'!B:B,'Base stats'!AT:AT)="No","No",MROUND((LOG10(_xlfn.XLOOKUP(B140,'Base stats'!B:B,'Base stats'!AT:AT))*(AO140^0.75)+(_xlfn.XLOOKUP(B140,'Base stats'!B:B,'Base stats'!AT:AT)/1000)^(2/3)+_xlfn.XLOOKUP(B140,'Base stats'!B:B,'Base stats'!AX:AX)+_xlfn.XLOOKUP(B140,'Base stats'!B:B,'Base stats'!BA:BA))+0.5,0.5))</f>
        <v>2.5</v>
      </c>
      <c r="AE140" s="7">
        <f>IF(AD140="No","No",MAX(_xlfn.XLOOKUP(_xlfn.XLOOKUP(B140,'Base stats'!B:B,'Base stats'!E:E),Groups!A:A,Groups!Z:Z),MROUND(_xlfn.XLOOKUP(_xlfn.XLOOKUP(B140,'Base stats'!B:B,'Base stats'!E:E),Groups!A:A,Groups!Z:Z)*_xlfn.XLOOKUP(B140,'Base stats'!B:B,'Base stats'!C:C)^0.165,0.05)))</f>
        <v>0.9</v>
      </c>
      <c r="AF140" s="7" t="str">
        <f>IF(AD140="No","No",_xlfn.XLOOKUP(_xlfn.XLOOKUP(B140,'Base stats'!B:B,'Base stats'!E:E),Groups!A:A,Groups!AA:AA))</f>
        <v>Teeth</v>
      </c>
      <c r="AG140" s="7" t="str">
        <f>IF(AD140="No","No",_xlfn.XLOOKUP(_xlfn.XLOOKUP(B140,'Base stats'!B:B,'Base stats'!E:E),Groups!A:A,Groups!AB:AB))</f>
        <v>canines</v>
      </c>
      <c r="AH140" s="7" t="str">
        <f>IF(AD140="No","No",_xlfn.XLOOKUP(_xlfn.XLOOKUP(B140,'Base stats'!B:B,'Base stats'!E:E),Groups!A:A,Groups!AC:AC))</f>
        <v>Bite</v>
      </c>
      <c r="AI140" s="13" t="str">
        <f>IF(_xlfn.XLOOKUP(_xlfn.XLOOKUP(B140,'Base stats'!B:B,'Base stats'!E:E),Groups!A:A,Groups!AD:AD)=0,"No",MROUND((LOG10(_xlfn.XLOOKUP(B140,'Base stats'!B:B,'Base stats'!AS:AS))*(AO140^0.75)+(_xlfn.XLOOKUP(B140,'Base stats'!B:B,'Base stats'!AS:AS)/1000)^(2/3)+_xlfn.XLOOKUP(B140,'Base stats'!B:B,'Base stats'!AY:AY)+_xlfn.XLOOKUP(B140,'Base stats'!B:B,'Base stats'!BA:BA))+0.5,0.5))</f>
        <v>No</v>
      </c>
      <c r="AJ140" s="7" t="str">
        <f>IF(AI140="No","No",MAX(_xlfn.XLOOKUP(_xlfn.XLOOKUP(B140,'Base stats'!B:B,'Base stats'!E:E),Groups!A:A,Groups!AE:AE),MROUND(_xlfn.XLOOKUP(_xlfn.XLOOKUP(B140,'Base stats'!B:B,'Base stats'!E:E),Groups!A:A,Groups!AE:AE)*IF(_xlfn.XLOOKUP(_xlfn.XLOOKUP(B140,'Base stats'!B:B,'Base stats'!E:E),Groups!A:A,Groups!AJ:AJ)="Photonozoa",0.6,1)*_xlfn.XLOOKUP(B140,'Base stats'!B:B,'Base stats'!C:C)^0.165,0.05)))</f>
        <v>No</v>
      </c>
      <c r="AK140" s="7" t="str">
        <f>IF(AI140="No","No",_xlfn.XLOOKUP(_xlfn.XLOOKUP(B140,'Base stats'!B:B,'Base stats'!E:E),Groups!A:A,Groups!AF:AF))</f>
        <v>No</v>
      </c>
      <c r="AL140" s="7" t="str">
        <f>IF(AI140="No","No",_xlfn.XLOOKUP(_xlfn.XLOOKUP(B140,'Base stats'!B:B,'Base stats'!E:E),Groups!A:A,Groups!AG:AG))</f>
        <v>No</v>
      </c>
      <c r="AM140" s="7" t="str">
        <f>IF(AI140="No","No",_xlfn.XLOOKUP(_xlfn.XLOOKUP(B140,'Base stats'!B:B,'Base stats'!E:E),Groups!A:A,Groups!AH:AH))</f>
        <v>No</v>
      </c>
      <c r="AN140" s="2">
        <f t="shared" si="14"/>
        <v>15</v>
      </c>
      <c r="AO140" s="2">
        <f>MROUND(IF(AND(_xlfn.XLOOKUP(B140,'Base stats'!B:B,'Base stats'!C:C)&gt;=0.5,_xlfn.XLOOKUP(B140,'Base stats'!B:B,'Base stats'!C:C)&lt;=0.8),
IF(_xlfn.XLOOKUP(B140,'Base stats'!B:B,'Base stats'!C:C)&lt;0.1,0.05,IF(_xlfn.XLOOKUP(B140,'Base stats'!B:B,'Base stats'!C:C)&lt;=70,(_xlfn.XLOOKUP(B140,'Base stats'!B:B,'Base stats'!C:C)/70)^0.426489913056526,IF(_xlfn.XLOOKUP(B140,'Base stats'!B:B,'Base stats'!C:C)&lt;=400,(_xlfn.XLOOKUP(B140,'Base stats'!B:B,'Base stats'!C:C)/70)^0.572811455315093,IF(_xlfn.XLOOKUP(B140,'Base stats'!B:B,'Base stats'!C:C)&lt;=2000,2.71391647193063*(_xlfn.XLOOKUP(B140,'Base stats'!B:B,'Base stats'!C:C)/400)^0.252459582904293,3.74314280240376*(_xlfn.XLOOKUP(B140,'Base stats'!B:B,'Base stats'!C:C)/2000)^0.357012633876913)))),
IF(_xlfn.XLOOKUP(B140,'Base stats'!B:B,'Base stats'!C:C)&lt;0.1,0.05,IF(_xlfn.XLOOKUP(B140,'Base stats'!B:B,'Base stats'!C:C)&lt;0.4,0.1,IF(_xlfn.XLOOKUP(B140,'Base stats'!B:B,'Base stats'!C:C)&lt;=70,(_xlfn.XLOOKUP(B140,'Base stats'!B:B,'Base stats'!C:C)/70)^0.445823913056526,IF(_xlfn.XLOOKUP(B140,'Base stats'!B:B,'Base stats'!C:C)&lt;=400,(_xlfn.XLOOKUP(B140,'Base stats'!B:B,'Base stats'!C:C)/70)^0.572811455315093,IF(_xlfn.XLOOKUP(B140,'Base stats'!B:B,'Base stats'!C:C)&lt;=2000,2.71391647193063*(_xlfn.XLOOKUP(B140,'Base stats'!B:B,'Base stats'!C:C)/400)^0.252459582904293,3.74314280240376*(_xlfn.XLOOKUP(B140,'Base stats'!B:B,'Base stats'!C:C)/2000)^0.357012633876913)))))),
IF(_xlfn.XLOOKUP(B140,'Base stats'!B:B,'Base stats'!C:C)&lt;0.1,0.05,IF(_xlfn.XLOOKUP(B140,'Base stats'!B:B,'Base stats'!C:C)&lt;=100,0.05,IF(_xlfn.XLOOKUP(B140,'Base stats'!B:B,'Base stats'!C:C)&lt;=250,0.1,IF(_xlfn.XLOOKUP(B140,'Base stats'!B:B,'Base stats'!C:C)&lt;=4000,0.25,0.5)))))</f>
        <v>0.2</v>
      </c>
      <c r="AP140" s="8">
        <f>MROUND(AO140*_xlfn.XLOOKUP(_xlfn.XLOOKUP(B140,'Base stats'!B:B,'Base stats'!E:E),Groups!A:A,Groups!AI:AI)*_xlfn.XLOOKUP(B140,'Base stats'!B:B,'Base stats'!Z:Z),0.05)</f>
        <v>0.25</v>
      </c>
      <c r="AQ140" s="8">
        <f>MAX(0.01,MROUND(IF(CC140="True",0.196*(AO140*100*1000)^0.889,IF(_xlfn.XLOOKUP(_xlfn.XLOOKUP(B140,'Base stats'!B:B,'Base stats'!E:E),Groups!A:A,Groups!AJ:AJ)="Bird",10.5*(AO140*100*1000)^0.681,4.82*(AO140*100*1000)^0.734))/(4.82*(1*100*1000)^0.734)/IF(AO140&lt;3.5,2,IF(AO140=3.5,1.5,1.25))*(1+0.132282374779864/(AO140^0.994035016789033+0.00905238001496948)),0.05))</f>
        <v>0.25</v>
      </c>
      <c r="AR140" s="9">
        <f>IFERROR(MROUND(_xlfn.XLOOKUP(B140,'Base stats'!B:B,'Base stats'!H:H)/IF(_xlfn.XLOOKUP(B140,'Base stats'!B:B,'Base stats'!I:I)&lt;&gt;1,(122.5/70),1.2),IF(_xlfn.XLOOKUP(B140,'Base stats'!B:B,'Base stats'!H:H)&gt;=30,5,IF(_xlfn.XLOOKUP(B140,'Base stats'!B:B,'Base stats'!H:H)&gt;=15,3,IF(_xlfn.XLOOKUP(B140,'Base stats'!B:B,'Base stats'!H:H)&gt;=10,2,1)))),"Immortal")</f>
        <v>15</v>
      </c>
      <c r="AS140" s="35">
        <f>IFERROR(IF(OR(_xlfn.XLOOKUP(B140,'Base stats'!B:B,'Base stats'!F:F)="Atypical reproduction",_xlfn.XLOOKUP(B140,'Base stats'!B:B,'Base stats'!F:F)="Lay eggs"),"Lay eggs",MIN(20,MAX(5.5,ROUND(((_xlfn.XLOOKUP(B140,'Base stats'!B:B,'Base stats'!F:F)-25)*(14.5/615) + 5.5)*2,0)/2))),"Unknown")</f>
        <v>6.5</v>
      </c>
      <c r="AT140" s="8">
        <f>IF(_xlfn.XLOOKUP(B140,'Base stats'!B:B,'Base stats'!G:G)="Atypical reproduction","No",IFERROR(MAX(IF(_xlfn.XLOOKUP(B140,'Base stats'!B:B,'Base stats'!G:G)&lt;0.5,0.2,0.3),MROUND(_xlfn.XLOOKUP(B140,'Base stats'!B:B,'Base stats'!G:G)/(365/60),0.2)),"Unknown"))</f>
        <v>0.3</v>
      </c>
      <c r="AU140" s="8">
        <f t="shared" si="15"/>
        <v>0.15000000000000002</v>
      </c>
      <c r="AV140" s="8">
        <f>IFERROR(IFERROR(MROUND(_xlfn.XLOOKUP(B140,'Base stats'!B:B,'Base stats'!J:J),0.1),"Lay eggs"),"Cannot breed")</f>
        <v>6</v>
      </c>
      <c r="AW140" s="2" t="str">
        <f t="shared" si="16"/>
        <v>true</v>
      </c>
      <c r="AX140" s="2" t="str">
        <f>IF(_xlfn.XLOOKUP(_xlfn.XLOOKUP(Animals!B140,'Base stats'!B:B,'Base stats'!E:E),Groups!A:A,Groups!AK:AK)=1,"true","false")</f>
        <v>false</v>
      </c>
      <c r="AY140" s="25" t="str">
        <f>IF(_xlfn.XLOOKUP(B140,'Base stats'!B:B,'Base stats'!Y:Y)="Liquor","Liquor, CarnivoreAnimalStrict",IF(AND(_xlfn.XLOOKUP(B140,'Base stats'!B:B,'Base stats'!Y:Y)="Carnivore",_xlfn.XLOOKUP(_xlfn.XLOOKUP(B140,'Base stats'!B:B,'Base stats'!E:E),Groups!A:A,Groups!AJ:AJ)="Photonozoa"),"CarnivoreAnimalStrict, OvivoreAnimal",IF(_xlfn.XLOOKUP(B140,'Base stats'!B:B,'Base stats'!Y:Y)="Carnivore","CarnivoreAnimal, OvivoreAnimal",IF(_xlfn.XLOOKUP(B140,'Base stats'!B:B,'Base stats'!Y:Y)="Dendrovore","VegetarianRoughAnimal, DendrovoreAnimal",IF(_xlfn.XLOOKUP(B140,'Base stats'!B:B,'Base stats'!Y:Y)="Herbivore","VegetarianRoughAnimal",IF(_xlfn.XLOOKUP(B140,'Base stats'!B:B,'Base stats'!Y:Y)="OmnivoreRough","OmnivoreRoughAnimal, OvivoreAnimal","OmnivoreAnimal, OvivoreAnimal"))))))</f>
        <v>OmnivoreAnimal, OvivoreAnimal</v>
      </c>
      <c r="AZ140" s="2" t="str">
        <f>IF(_xlfn.XLOOKUP(_xlfn.XLOOKUP(B140,'Base stats'!B:B,'Base stats'!E:E),Groups!A:A,Groups!D:D)=1,MROUND((1-J140)*5+1,2)*IF(J140&lt;=0.4,2,1),"No")</f>
        <v>No</v>
      </c>
      <c r="BA140" s="2" t="str">
        <f>IF(AND(_xlfn.XLOOKUP(B140,'Base stats'!B:B,'Base stats'!AH:AH)="&lt;li&gt;Seal&lt;/li&gt;",G140="Odyssey"),"&lt;li&gt;AEXP_Seal&lt;/li&gt;",_xlfn.XLOOKUP(B140,'Base stats'!B:B,'Base stats'!AH:AH))</f>
        <v>&lt;li&gt;YorkshireTerrier&lt;/li&gt;</v>
      </c>
      <c r="BB140" s="2" t="str">
        <f>_xlfn.XLOOKUP(B140,'Base stats'!B:B,'Base stats'!AG:AG)</f>
        <v>Leather_Dog</v>
      </c>
      <c r="BC140" s="23" t="str">
        <f>_xlfn.XLOOKUP(_xlfn.XLOOKUP(B140,'Base stats'!B:B,'Base stats'!E:E),Groups!A:A,Groups!AL:AL)</f>
        <v>QuadrupedAnimalWithPawsAndTail</v>
      </c>
      <c r="BD140" s="23">
        <f>MIN(1,MROUND(IF(AND(AO140&lt;0.5,_xlfn.XLOOKUP(B140,'Base stats'!B:B,'Base stats'!AA:AA)=0),0,IF(OR(_xlfn.XLOOKUP(Animals!B140,'Base stats'!B:B,'Base stats'!O:O)=2,_xlfn.XLOOKUP(_xlfn.XLOOKUP(B140,'Base stats'!B:B,'Base stats'!E:E),Groups!A:A,Groups!AN:AN)=0),0,_xlfn.XLOOKUP(_xlfn.XLOOKUP(B140,'Base stats'!B:B,'Base stats'!E:E),Groups!A:A,Groups!AN:AN)/IF(_xlfn.XLOOKUP(Animals!B140,'Base stats'!B:B,'Base stats'!O:O)=1,2,1)))+_xlfn.XLOOKUP(B140,'Base stats'!B:B,'Base stats'!AC:AC),0.005))</f>
        <v>0</v>
      </c>
      <c r="BE140" s="23">
        <f>MIN(1,MROUND(IF(AND(AO140&lt;0.5,_xlfn.XLOOKUP(B140,'Base stats'!B:B,'Base stats'!AA:AA)=0),0,IF(_xlfn.XLOOKUP(_xlfn.XLOOKUP(B140,'Base stats'!B:B,'Base stats'!E:E),Groups!A:A,Groups!AO:AO)=0,0,_xlfn.XLOOKUP(_xlfn.XLOOKUP(B140,'Base stats'!B:B,'Base stats'!E:E),Groups!A:A,Groups!AO:AO)/IF(_xlfn.XLOOKUP(Animals!B140,'Base stats'!B:B,'Base stats'!O:O)=2,3,1)))+_xlfn.XLOOKUP(B140,'Base stats'!B:B,'Base stats'!AD:AD),0.005))</f>
        <v>0</v>
      </c>
      <c r="BF140" s="2">
        <f>IF(J140&gt;0.3,"No",_xlfn.XLOOKUP(_xlfn.XLOOKUP(Animals!B140,'Base stats'!B:B,'Base stats'!E:E),Groups!A:A,Groups!AP:AP))</f>
        <v>1</v>
      </c>
      <c r="BG140" s="2">
        <f>IF(AND(J140&lt;=0.65,_xlfn.XLOOKUP(_xlfn.XLOOKUP(Animals!B140,'Base stats'!B:B,'Base stats'!E:E),Groups!A:A,Groups!AP:AP)&lt;&gt;"No",_xlfn.XLOOKUP(_xlfn.XLOOKUP(B140,'Base stats'!B:B,'Base stats'!E:E),Groups!A:A,Groups!D:D)=0),MROUND((80/3)*IF(_xlfn.XLOOKUP(B140,'Base stats'!B:B,'Base stats'!O:O)=2,0.2,AO140) + 24*(1-IF(BF140="No",0,BF140)) + 16/3, 12),"No")</f>
        <v>12</v>
      </c>
      <c r="BH140" s="2">
        <f>IF(AND(_xlfn.XLOOKUP(_xlfn.XLOOKUP(B140,'Base stats'!B:B,'Base stats'!E:E),Groups!A:A,Groups!AQ:AQ)=1,AO140&lt;=0.35),8,12)</f>
        <v>12</v>
      </c>
      <c r="BI140" s="2" t="str">
        <f>IF(_xlfn.XLOOKUP(_xlfn.XLOOKUP(B140,'Base stats'!B:B,'Base stats'!E:E),Groups!A:A,Groups!D:D)=0,_xlfn.XLOOKUP(_xlfn.XLOOKUP(B140,'Base stats'!B:B,'Base stats'!E:E),Groups!A:A,Groups!AR:AR),"None")</f>
        <v>Advanced</v>
      </c>
      <c r="BJ140" s="2" t="str">
        <f>IF(AND(_xlfn.XLOOKUP(_xlfn.XLOOKUP(B140,'Base stats'!B:B,'Base stats'!E:E),Groups!A:A,Groups!AS:AS)=1,OR(_xlfn.XLOOKUP(B140,'Base stats'!B:B,'Base stats'!Y:Y)="Carnivore",_xlfn.XLOOKUP(B140,'Base stats'!B:B,'Base stats'!Y:Y)="Omnivore")),"true","false")</f>
        <v>true</v>
      </c>
      <c r="BK140" s="2">
        <f>IF(BJ140="true",MROUND(IF(AND(AO140&gt;0.5,OR(_xlfn.XLOOKUP(_xlfn.XLOOKUP(B140,'Base stats'!B:B,'Base stats'!E:E),Groups!A:A,Groups!AJ:AJ)="Photonozoa",_xlfn.XLOOKUP(_xlfn.XLOOKUP(B140,'Base stats'!B:B,'Base stats'!E:E),Groups!A:A,Groups!AJ:AJ)="Mammal")),Animals!AO140*1.75*IF(AW140="true",1.5,1),IF(AO140&lt;0.5,Animals!AO140*0.5,Animals!AO140)),IF(AO140&gt;2,0.5,IF(AO140&gt;0.5,0.25,0.1))),"No")</f>
        <v>0.1</v>
      </c>
      <c r="BL140" s="2">
        <f t="shared" si="17"/>
        <v>1</v>
      </c>
      <c r="BM140" s="25" t="str">
        <f>IF(_xlfn.XLOOKUP(B140,'Base stats'!B:B,'Base stats'!AN:AN)="Standard","No",MROUND((_xlfn.XLOOKUP(B140,'Base stats'!B:B,'Base stats'!AN:AN)/3.6)/I140,0.1))</f>
        <v>No</v>
      </c>
      <c r="BN140" s="25" t="str">
        <f t="shared" si="18"/>
        <v>false</v>
      </c>
      <c r="BO140" s="25" t="str">
        <f>IF(AND(OR(_xlfn.XLOOKUP(B140,'Base stats'!B:B,'Base stats'!Y:Y)="Carnivore",_xlfn.XLOOKUP(B140,'Base stats'!B:B,'Base stats'!Y:Y)="Omnivore",_xlfn.XLOOKUP(B140,'Base stats'!B:B,'Base stats'!Y:Y)="OmnivoreRough"),_xlfn.XLOOKUP(_xlfn.XLOOKUP(B140,'Base stats'!B:B,'Base stats'!E:E),Groups!A:A,Groups!AT:AT)=1),"true","false")</f>
        <v>false</v>
      </c>
      <c r="BP140" s="25" t="str" cm="1">
        <f t="array" ref="BP140">IF(
  _xlfn.TEXTJOIN(", ",TRUE,
    IF(AND(BJ140="true",AO140&gt;0.5,BI140&lt;&gt;"None"),"AttackTarget",""),
    IF(AND(_xlfn.XLOOKUP(_xlfn.XLOOKUP(B140,'Base stats'!B:B,'Base stats'!E:E),Groups!A:A,Groups!AJ:AJ="Mammal"),OR(_xlfn.XLOOKUP(B140,'Base stats'!B:B,'Base stats'!Y:Y)="Omnivore",_xlfn.XLOOKUP(B140,'Base stats'!B:B,'Base stats'!Y:Y)="OmnivoreRough")),"Forage",""),
    IF(BG140&lt;=36,"Comfort",""),
    IF(_xlfn.XLOOKUP(B140,'Base stats'!B:B,'Base stats'!AE:AE)&lt;&gt;"No",_xlfn.XLOOKUP(B140,'Base stats'!B:B,'Base stats'!AE:AE),"")
  ) = "",
  "No",
  _xlfn.TEXTJOIN(", ",TRUE,
    IF(AND(BJ140="true",AO140&gt;0.5,BI140&lt;&gt;"None"),"AttackTarget",""),
    IF(AND(_xlfn.XLOOKUP(_xlfn.XLOOKUP(B140,'Base stats'!B:B,'Base stats'!E:E),Groups!A:A,Groups!AJ:AJ="Mammal"),OR(_xlfn.XLOOKUP(B140,'Base stats'!B:B,'Base stats'!Y:Y)="Omnivore",_xlfn.XLOOKUP(B140,'Base stats'!B:B,'Base stats'!Y:Y)="OmnivoreRough")),"Forage",""),
    IF(BG140&lt;=36,"Comfort",""),
    IF(_xlfn.XLOOKUP(B140,'Base stats'!B:B,'Base stats'!AE:AE)&lt;&gt;"No",_xlfn.XLOOKUP(B140,'Base stats'!B:B,'Base stats'!AE:AE),"")
  )
)</f>
        <v>Forage, Comfort</v>
      </c>
      <c r="BQ140" s="25" t="str">
        <f>IF(
   AND(
      'Base stats'!AN140="Standard",_xlfn.XLOOKUP(_xlfn.XLOOKUP(B140,'Base stats'!B:B,'Base stats'!E:E),Groups!A:A,Groups!AU:AU)=0,
      OR(
      BO140="True"
      )
   ),
   10,
   IF(
       OR(BM140&lt;&gt;"No",_xlfn.XLOOKUP(_xlfn.XLOOKUP(B140,'Base stats'!B:B,'Base stats'!E:E),Groups!A:A,Groups!AU:AU)=1),
      1,
      "No"
   )
)</f>
        <v>No</v>
      </c>
      <c r="BR140" s="9">
        <f>MROUND((1 + ((0.2*IF(OR(Q140="No",R140="No",R140=0),0,Q140/R140)
+IF(OR(V140="No",S140="No",T140="No"),0,S140/T140*(LEN(V140)-LEN(SUBSTITUTE(V140,",",""))+1))
+IF(OR(X140="No",Y140="No"),0,X140/Y140)
+IF(OR(AD140="No",AE140="No"),0,AD140/AE140)
+IF(OR(AL140="No",AI140="No",AJ140="No"),0,AI140/AJ140*(LEN(AL140)-LEN(SUBSTITUTE(AL140,",",""))+1))
)/(0.2*IF(OR(Q140="No",R140="No",R140=0),0,1)
+IF(OR(V140="No",S140="No",T140="No"),0,LEN(V140)-LEN(SUBSTITUTE(V140,",",""))+1)
+IF(OR(X140="No",Y140="No"),0,1)
+IF(OR(AD140="No",AE140="No"),0,1)
+IF(OR(AL140="No",AI140="No",AJ140="No"),0,LEN(AL140)-LEN(SUBSTITUTE(AL140,",",""))+1))*62%)* 2)*(1 + (AP140 / (IF(_xlfn.XLOOKUP(_xlfn.XLOOKUP(B140,'Base stats'!B:B,'Base stats'!E:E),Groups!A:A,Groups!AJ:AJ)="Photonozoa",0.3,1)) + _xlfn.XLOOKUP(B140,'Base stats'!B:B,'Base stats'!AV:AV) * 1.8) * 2) * 2.5 + 10 + I140 * 2,5)+IF(_xlfn.XLOOKUP(B140,'Base stats'!B:B,'Base stats'!AK:AK)=1,50,0)</f>
        <v>35</v>
      </c>
      <c r="BS140" s="8">
        <f t="shared" si="19"/>
        <v>0.25</v>
      </c>
      <c r="BT140" s="8" t="str">
        <f>_xlfn.XLOOKUP(B140,'Base stats'!B:B,'Base stats'!AF:AF)</f>
        <v>2~4</v>
      </c>
      <c r="BU140" s="2" t="str">
        <f>IF(AND(J140&lt;=0.95,OR(_xlfn.XLOOKUP(B140,'Base stats'!B:B,'Base stats'!AK:AK)=1,_xlfn.XLOOKUP(B140,'Base stats'!B:B,'Base stats'!Y:Y)="Carnivore",_xlfn.XLOOKUP(B140,'Base stats'!B:B,'Base stats'!Y:Y)="Omnivore",BE140&gt;0.1)),"true","false")</f>
        <v>true</v>
      </c>
      <c r="BV140" s="2" t="str">
        <f>IF(_xlfn.XLOOKUP(B140,'Base stats'!B:B,'Base stats'!AI:AI)=1,"true","false")</f>
        <v>false</v>
      </c>
      <c r="BW140" s="25" t="str">
        <f>IF(E140="BaseInsect","AnimalInsect",
IF(J140&gt;0.95,"AnimalExotic",
_xlfn.TEXTJOIN(", ",TRUE,
IF(OR(_xlfn.XLOOKUP(B140,'Base stats'!B:B,'Base stats'!AM:AM)=1,AND(_xlfn.XLOOKUP(B140,'Base stats'!B:B,'Base stats'!O:O)=0,_xlfn.XLOOKUP(_xlfn.XLOOKUP(B140,'Base stats'!B:B,'Base stats'!E:E),Groups!A:A,Groups!B:B)&gt;0)),"AnimalUncommon","AnimalCommon"),
IF(AND(_xlfn.XLOOKUP(B140,'Base stats'!B:B,'Base stats'!O:O)=2,_xlfn.XLOOKUP(_xlfn.XLOOKUP(B140,'Base stats'!B:B,'Base stats'!E:E),Groups!A:A,Groups!D:D)=0),"AnimalPet",IF(AND(_xlfn.XLOOKUP(B140,'Base stats'!B:B,'Base stats'!O:O)&lt;&gt;0,_xlfn.XLOOKUP(_xlfn.XLOOKUP(B140,'Base stats'!B:B,'Base stats'!E:E),Groups!A:A,Groups!D:D)&lt;&gt;0),"AnimalFarm","")),
IF(OR(_xlfn.XLOOKUP(B140,'Base stats'!B:B,'Base stats'!AK:AK)=1,AND(BI140&lt;&gt;"None",BR140&gt;=60),ISNUMBER(SEARCH("Attack target",BP140))),"AnimalFighter","")
)))</f>
        <v>AnimalCommon, AnimalPet</v>
      </c>
      <c r="BX140" s="25" t="str">
        <f>IF(G140="None",TRIM(
SUBSTITUTE(
IF(COUNTIF(Biomes!B$2:B$259,"="&amp;$C140)&gt;0,Biomes!B$1&amp;", ","")&amp;
IF(COUNTIF(Biomes!C$2:C$259,"="&amp;$C140)&gt;0,Biomes!C$1&amp;", ","")&amp;
IF(COUNTIF(Biomes!D$2:D$259,"="&amp;$C140)&gt;0,Biomes!D$1&amp;", ","")&amp;
IF(COUNTIF(Biomes!F$2:F$259,"="&amp;$C140)&gt;0,Biomes!F$1&amp;", ","")&amp;
IF(COUNTIF(Biomes!G$2:G$259,"="&amp;$C140)&gt;0,Biomes!G$1&amp;", ","")&amp;
IF(COUNTIF(Biomes!H$2:H$259,"="&amp;$C140)&gt;0,Biomes!H$1&amp;", ","")&amp;
IF(COUNTIF(Biomes!I$2:I$259,"="&amp;$C140)&gt;0,Biomes!I$1&amp;", ","")&amp;
IF(COUNTIF(Biomes!J$2:J$259,"="&amp;$C140)&gt;0,Biomes!J$1&amp;", ","")&amp;
IF(COUNTIF(Biomes!M$2:M$259,"="&amp;$C140)&gt;0,Biomes!M$1&amp;", ","")&amp;
IF(COUNTIF(Biomes!N$2:N$259,"="&amp;$C140)&gt;0,Biomes!N$1&amp;", ","")&amp;
IF(COUNTIF(Biomes!O$2:O$259,"="&amp;$C140)&gt;0,Biomes!O$1&amp;", ","")&amp;
IF(COUNTIF(Biomes!P$2:P$259,"="&amp;$C140)&gt;0,Biomes!P$1&amp;", ","")&amp;
IF(COUNTIF(Biomes!K$2:K$259,"="&amp;$C140)&gt;0,Biomes!K$1&amp;", ","")&amp;
IF(COUNTIF(Biomes!Q$3:Q$259,"="&amp;$C140)&gt;0,Biomes!Q$1&amp;", ","")&amp;
IF(COUNTIF(Biomes!L$2:L$259,"="&amp;$C140)&gt;0,Biomes!L$1&amp;", ","")&amp;
IF(COUNTIF(Biomes!E$2:E$259,"="&amp;$C140)&gt;0,Biomes!E$1&amp;", ","")&amp;IF(COUNTIF(Biomes!S$2:S$259,"="&amp;$C140)&gt;0,Biomes!S$1&amp;", ","")&amp;
IF(COUNTIF(Biomes!R$2:R$259,"="&amp;$C140)&gt;0,Biomes!R$1&amp;", ",""),", ","")
),_xlfn.XLOOKUP(B140,B:B,BX:BX))</f>
        <v/>
      </c>
      <c r="BY140" s="25" t="str">
        <f>IF(_xlfn.XLOOKUP(B140,'Base stats'!B:B,'Base stats'!AJ:AJ)=1,"true","false")</f>
        <v>false</v>
      </c>
      <c r="BZ140" s="25">
        <f>IF(_xlfn.XLOOKUP(B140,'Base stats'!B:B,'Base stats'!N:N)=1,"No",MAX(0.001,MIN(MROUND(IF(AND(BJ140="True",CC140="False"),POWER(10,3.47*LOG10(_xlfn.XLOOKUP(B140,'Base stats'!B:B,'Base stats'!C:C)*1000)^-0.96),POWER(10,4.15*LOG10(_xlfn.XLOOKUP(B140,'Base stats'!B:B,'Base stats'!C:C)*1000)^-0.73))*IF(_xlfn.XLOOKUP(B140,'Base stats'!B:B,'Base stats'!AK:AK)=1,0.5,1)*IF(_xlfn.XLOOKUP(B140,'Base stats'!B:B,'Base stats'!AM:AM)=1,0.1,1)/100,IF(_xlfn.XLOOKUP(B140,'Base stats'!B:B,'Base stats'!AM:AM)=1,0.001,0.025)),0.5)))</f>
        <v>0.125</v>
      </c>
      <c r="CA140" s="25" t="str">
        <f>IF(P140="Standard","No",MAX(0.001,MIN(MROUND(IF(AND(BJ140="True",CC140="False"),POWER(10,3.47*LOG10(_xlfn.XLOOKUP(B140,'Base stats'!B:B,'Base stats'!C:C)*1000)^-0.96),POWER(10,4.15*LOG10(_xlfn.XLOOKUP(B140,'Base stats'!B:B,'Base stats'!C:C)*1000)^-0.73))*IF(_xlfn.XLOOKUP(B140,'Base stats'!B:B,'Base stats'!AM:AM)=1,0.1,1)*_xlfn.XLOOKUP(B140,'Base stats'!B:B,'Base stats'!R:R)/100,IF(_xlfn.XLOOKUP(B140,'Base stats'!B:B,'Base stats'!AM:AM)=1,0.001,0.025)),0.5)))</f>
        <v>No</v>
      </c>
      <c r="CB140" s="25" t="str">
        <f>IF(_xlfn.XLOOKUP(_xlfn.XLOOKUP(B140,'Base stats'!B:B,'Base stats'!E:E),Groups!A:A,Groups!AJ:AJ)="Mammal","True","False")</f>
        <v>True</v>
      </c>
      <c r="CC140" s="25" t="str">
        <f>IF(OR(_xlfn.XLOOKUP(_xlfn.XLOOKUP(B140,'Base stats'!B:B,'Base stats'!E:E),Groups!A:A,Groups!AJ:AJ)="Reptile",_xlfn.XLOOKUP(_xlfn.XLOOKUP(B140,'Base stats'!B:B,'Base stats'!E:E),Groups!A:A,Groups!AJ:AJ)="Amphibian",_xlfn.XLOOKUP(_xlfn.XLOOKUP(B140,'Base stats'!B:B,'Base stats'!E:E),Groups!A:A,Groups!AJ:AJ)="Invertebrate"),"True","False")</f>
        <v>False</v>
      </c>
      <c r="CD140" s="25" t="str">
        <f t="shared" si="20"/>
        <v>False</v>
      </c>
      <c r="CE140" s="25" t="str">
        <f>IF(_xlfn.XLOOKUP(_xlfn.XLOOKUP(B140,'Base stats'!B:B,'Base stats'!E:E),Groups!A:A,Groups!AX:AX),"True","False")</f>
        <v>False</v>
      </c>
      <c r="CF140" s="25" t="str">
        <f>IF(_xlfn.XLOOKUP(_xlfn.XLOOKUP(B140,'Base stats'!B:B,'Base stats'!E:E),Groups!A:A,Groups!AY:AY),"True","False")</f>
        <v>False</v>
      </c>
      <c r="CG140" s="25" t="str">
        <f>IF(_xlfn.XLOOKUP(_xlfn.XLOOKUP(B140,'Base stats'!B:B,'Base stats'!E:E),Groups!A:A,Groups!AW:AW),"True","False")</f>
        <v>False</v>
      </c>
      <c r="CH140" s="25" t="str">
        <f>IF(
OR(
_xlfn.XLOOKUP(_xlfn.XLOOKUP(B140,'Base stats'!B:B,'Base stats'!E:E),Groups!A:A,Groups!AZ:AZ)=0,
AND(
_xlfn.XLOOKUP(B140,'Base stats'!B:B,'Base stats'!Y:Y)&lt;&gt;"Carnivore",
_xlfn.XLOOKUP(B140,'Base stats'!B:B,'Base stats'!Y:Y)&lt;&gt;"Omnivore",
_xlfn.XLOOKUP(B140,'Base stats'!B:B,'Base stats'!Y:Y)&lt;&gt;"OmnivoreRough"
)
),
"No",
IF(
_xlfn.XLOOKUP(_xlfn.XLOOKUP(B140,'Base stats'!B:B,'Base stats'!E:E),Groups!A:A,Groups!AZ:AZ)=1,
"Flesh",
IF(
_xlfn.XLOOKUP(_xlfn.XLOOKUP(B140,'Base stats'!B:B,'Base stats'!E:E),Groups!A:A,Groups!AZ:AZ)=2,
"Bone",
""
)
)
)</f>
        <v>No</v>
      </c>
      <c r="CI140" s="25" t="str">
        <f>IF(_xlfn.XLOOKUP(_xlfn.XLOOKUP(B140,'Base stats'!B:B,'Base stats'!E:E),Groups!A:A,Groups!BB:BB),"True","False")</f>
        <v>True</v>
      </c>
      <c r="CJ140" s="25" t="str">
        <f>IF(_xlfn.XLOOKUP(_xlfn.XLOOKUP(B140,'Base stats'!B:B,'Base stats'!E:E),Groups!A:A,Groups!BA:BA),"True","False")</f>
        <v>False</v>
      </c>
    </row>
    <row r="141" spans="1:88" ht="16.5" thickTop="1" thickBot="1" x14ac:dyDescent="0.3">
      <c r="A141" s="26" t="str">
        <f>_xlfn.XLOOKUP(B141,'Base stats'!B:B,'Base stats'!A:A)</f>
        <v>Corgi</v>
      </c>
      <c r="B141" s="6" t="s">
        <v>894</v>
      </c>
      <c r="C141" s="28" t="s">
        <v>822</v>
      </c>
      <c r="D141" s="28" t="s">
        <v>872</v>
      </c>
      <c r="E141" s="28" t="s">
        <v>673</v>
      </c>
      <c r="F141" s="28" t="s">
        <v>673</v>
      </c>
      <c r="G141" s="28" t="s">
        <v>673</v>
      </c>
      <c r="H141" s="2">
        <f>MROUND((
  (IF(AND(_xlfn.XLOOKUP(B141,'Base stats'!B:B,'Base stats'!AL:AL)=0,BI141="None",_xlfn.XLOOKUP(_xlfn.XLOOKUP(B141,'Base stats'!B:B,'Base stats'!E:E),Groups!A:A,Groups!B:B)=0), (18 + BR141 * 2.7) * 0.5,
    IF(AND(_xlfn.XLOOKUP(B141,'Base stats'!B:B,'Base stats'!AL:AL)=0,OR(AO141&lt;0.55,AND(BI141="Intermediate",_xlfn.XLOOKUP(_xlfn.XLOOKUP(B141,'Base stats'!B:B,'Base stats'!E:E),Groups!A:A,Groups!B:B)&lt;2))), (18 + BR141 * 2.7),
      IF(OR(BI141="Advanced",_xlfn.XLOOKUP(B141,'Base stats'!B:B,'Base stats'!AL:AL)=1,_xlfn.XLOOKUP(_xlfn.XLOOKUP(B141,'Base stats'!B:B,'Base stats'!E:E),Groups!A:A,Groups!B:B)=2), (18 + BR141 * 2.7) + 250, (18 + BR141 * 2.7))
    )
  ))
  + AO141 * 80
  + IF(COUNTIF(EggMilk!K$2:K$998, A141) &gt; 0, 125, 0)
  + IF(COUNTIF(EggMilk!P$2:P$998, A141) &gt; 0, 90, 0)
  + IF(COUNTIF(EggMilk!A$2:A$998, A141) &gt; 0, 90, 0)
)
* (0.8 + 0.4 * J141)
* 0.75,25)</f>
        <v>150</v>
      </c>
      <c r="I141" s="2">
        <f>MROUND(ROUNDDOWN(_xlfn.XLOOKUP(B141,'Base stats'!B:B,'Base stats'!L:L)/3.6/(23.3/11),1),0.5)</f>
        <v>6</v>
      </c>
      <c r="J141" s="2">
        <f>IF(OR(_xlfn.XLOOKUP(B141,'Base stats'!B:B,'Base stats'!AB:AB)=1,_xlfn.XLOOKUP(_xlfn.XLOOKUP(B141,'Base stats'!B:B,'Base stats'!E:E),Groups!A:A,Groups!C:C)="Untamable"),1,IF(_xlfn.XLOOKUP(B141,'Base stats'!B:B,'Base stats'!AL:AL)=1,0.99,MIN(MROUND((1-0.6282*EXP(-0.459*AO141))*_xlfn.XLOOKUP(_xlfn.XLOOKUP(B141,'Base stats'!B:B,'Base stats'!E:E),Groups!A:A,Groups!C:C)*IF(_xlfn.XLOOKUP(B141,'Base stats'!B:B,'Base stats'!O:O)=1,0.5,IF(_xlfn.XLOOKUP(B141,'Base stats'!B:B,'Base stats'!O:O)=2,0,1)),0.05),IF(AO141&gt;3.5,0.985,0.95))))</f>
        <v>0</v>
      </c>
      <c r="K141" s="2">
        <f>ROUNDUP(AO141*_xlfn.XLOOKUP(_xlfn.XLOOKUP(B141,'Base stats'!B:B,'Base stats'!E:E),Groups!A:A,Groups!E:E),0)</f>
        <v>1</v>
      </c>
      <c r="L141" s="2">
        <f>IF(OR(_xlfn.XLOOKUP(_xlfn.XLOOKUP(B141,'Base stats'!B:B,'Base stats'!E:E),Groups!A:A,Groups!F:F)=2,ISNUMBER(SEARCH("SeaIce",BX141)),ISNUMBER(SEARCH("IceSheet",BX141))),-50,IF(OR(ISNUMBER(SEARCH("GlacialPlain",BX141)),ISNUMBER(SEARCH("Tundra",BX141))),-40,IF(OR(ISNUMBER(SEARCH("Alpine",BX141)),ISNUMBER(SEARCH("BorealForest",BX141)),ISNUMBER(SEARCH("ColdBog",BX141))),-30,IF(OR(ISNUMBER(SEARCH("TemperateForest",BX141)),ISNUMBER(SEARCH("TemperateSwamp",BX141))),-20,IF(_xlfn.XLOOKUP(_xlfn.XLOOKUP(B141,'Base stats'!B:B,'Base stats'!E:E),Groups!A:A,Groups!F:F)=1,-15,IF(OR(ISNUMBER(SEARCH("Desert",BX141)),ISNUMBER(SEARCH("ExtremeDesert",BX141))),-10,IF(OR(ISNUMBER(SEARCH("Grasslands",BX141)),ISNUMBER(SEARCH("TropicalRainforest",BX141)),ISNUMBER(SEARCH("TropicalSwamp",BX141))),10,0)))))))-IF(CC141="False",MIN(IFERROR(MAX(MROUND(LOG10(_xlfn.XLOOKUP(B141,'Base stats'!B:B,'Base stats'!C:C)^(2/3))*10,5),5),5),30))-_xlfn.XLOOKUP(B141,'Base stats'!B:B,'Base stats'!P:P)+IF(CC141="True",5,0)</f>
        <v>-25</v>
      </c>
      <c r="M141" s="2">
        <f>IF(OR(_xlfn.XLOOKUP(_xlfn.XLOOKUP(B141,'Base stats'!B:B,'Base stats'!E:E),Groups!A:A,Groups!G:G)=2,ISNUMBER(SEARCH("Desert",BX141)),ISNUMBER(SEARCH("ExtremeDesert",BX141)),ISNUMBER(SEARCH("LavaField",BX141))),50,IF(ISNUMBER(SEARCH("Grasslands",BX141)),45,IF(OR(_xlfn.XLOOKUP(_xlfn.XLOOKUP(B141,'Base stats'!B:B,'Base stats'!E:E),Groups!A:A,Groups!G:G)=1,ISNUMBER(SEARCH("TropicalRainforest",BX141)),ISNUMBER(SEARCH("TropicalSwamp",BX141))),40,IF(OR(ISNUMBER(SEARCH("TemperateForest",BX141)),ISNUMBER(SEARCH("TemperateSwamp",BX141))),35,IF(OR(ISNUMBER(SEARCH("Alpine",BX141)),ISNUMBER(SEARCH("BorealForest",BX141)),ISNUMBER(SEARCH("ColdBog",BX141))),30,IF(ISNUMBER(OR(ISNUMBER(SEARCH("GlacialPlain",BX141)),SEARCH("Tundra",BX141))),25,IF(OR(ISNUMBER(SEARCH("SeaIce",BX141)),ISNUMBER(SEARCH("IceSheet",BX141)),ISNUMBER(SEARCH("TropicalSwamp",BX141))),10,35)))))))+_xlfn.XLOOKUP(B141,'Base stats'!B:B,'Base stats'!Q:Q)</f>
        <v>35</v>
      </c>
      <c r="N141" s="8" t="str">
        <f>IF(
_xlfn.XLOOKUP(
_xlfn.XLOOKUP(B141,'Base stats'!B:B,'Base stats'!E:E),
Groups!A:A,
Groups!L:L
)=1,
MIN(
MROUND(
IF(
_xlfn.XLOOKUP(B141,'Animals CE'!B:B,'Animals CE'!Z:Z)&lt;=1.5,
_xlfn.XLOOKUP(B141,'Animals CE'!B:B,'Animals CE'!Z:Z)/2+0.05,
0.8+
(_xlfn.XLOOKUP(B141,'Animals CE'!B:B,'Animals CE'!Z:Z)-1.5)
*0.02
),
0.05
),
200%
),
"No"
)</f>
        <v>No</v>
      </c>
      <c r="O141" s="8" t="str">
        <f>IF(
_xlfn.XLOOKUP(
_xlfn.XLOOKUP(B141,'Base stats'!B:B,'Base stats'!E:E),
Groups!A:A,
Groups!L:L
)=1,
MIN(
MROUND(
IF(
_xlfn.XLOOKUP(B141,'Animals CE'!B:B,'Animals CE'!AA:AA)&lt;=1.5,
_xlfn.XLOOKUP(B141,'Animals CE'!B:B,'Animals CE'!AA:AA)/2+0.05,
0.8+
(_xlfn.XLOOKUP(B141,'Animals CE'!B:B,'Animals CE'!AA:AA)-1.5)
*0.02
),
0.05
),
200%
),
"No"
)</f>
        <v>No</v>
      </c>
      <c r="P141" s="2" t="str">
        <f>_xlfn.XLOOKUP(B141,'Base stats'!B:B,'Base stats'!R:R)</f>
        <v>Standard</v>
      </c>
      <c r="Q141" s="13">
        <f>MROUND((LOG10(_xlfn.XLOOKUP(B141,'Base stats'!B:B,'Base stats'!AR:AR))*(AO141^0.5)+(_xlfn.XLOOKUP(B141,'Base stats'!B:B,'Base stats'!AR:AR)/1000)^(2/3)+_xlfn.XLOOKUP(B141,'Base stats'!B:B,'Base stats'!BA:BA)/2)+0.5,0.5)</f>
        <v>4</v>
      </c>
      <c r="R141" s="7">
        <f>IF(Q141="No","No",MAX(1,MROUND(_xlfn.XLOOKUP(B141,'Base stats'!B:B,'Base stats'!C:C)^0.165,0.05)))</f>
        <v>1.55</v>
      </c>
      <c r="S141" s="13" t="str">
        <f>IF(_xlfn.XLOOKUP(_xlfn.XLOOKUP(B141,'Base stats'!B:B,'Base stats'!E:E),Groups!A:A,Groups!P:P)=0,"No",MROUND((LOG10(_xlfn.XLOOKUP(B141,'Base stats'!B:B,'Base stats'!AS:AS))*(AO141^0.5)+(_xlfn.XLOOKUP(B141,'Base stats'!B:B,'Base stats'!AS:AS)/1000)^(2/3)+_xlfn.XLOOKUP(B141,'Base stats'!B:B,'Base stats'!BA:BA))+_xlfn.XLOOKUP(B141,'Base stats'!B:B,'Base stats'!AY:AY)+0.5,0.5))</f>
        <v>No</v>
      </c>
      <c r="T141" s="7" t="str">
        <f>IF(S141="No","No",MAX(_xlfn.XLOOKUP(_xlfn.XLOOKUP(B141,'Base stats'!B:B,'Base stats'!E:E),Groups!A:A,Groups!Q:Q),MROUND(_xlfn.XLOOKUP(_xlfn.XLOOKUP(B141,'Base stats'!B:B,'Base stats'!E:E),Groups!A:A,Groups!Q:Q)*_xlfn.XLOOKUP(B141,'Base stats'!B:B,'Base stats'!C:C)^0.165,0.05)))</f>
        <v>No</v>
      </c>
      <c r="U141" s="7" t="str">
        <f>IF(S141="No","No",_xlfn.XLOOKUP(_xlfn.XLOOKUP(B141,'Base stats'!B:B,'Base stats'!E:E),Groups!A:A,Groups!R:R))</f>
        <v>No</v>
      </c>
      <c r="V141" s="7" t="str">
        <f>IF(S141="No","No",_xlfn.XLOOKUP(_xlfn.XLOOKUP(B141,'Base stats'!B:B,'Base stats'!E:E),Groups!A:A,Groups!S:S))</f>
        <v>No</v>
      </c>
      <c r="W141" s="7" t="str">
        <f>IF(S141="No","No",_xlfn.XLOOKUP(_xlfn.XLOOKUP(B141,'Base stats'!B:B,'Base stats'!E:E),Groups!A:A,Groups!T:T))</f>
        <v>No</v>
      </c>
      <c r="X141" s="13" t="str">
        <f>IF(_xlfn.XLOOKUP(B141,'Base stats'!B:B,'Base stats'!W:W)="No","No",MROUND((LOG10(_xlfn.XLOOKUP(B141,'Base stats'!B:B,'Base stats'!AU:AU))*(AO141^0.5)+(_xlfn.XLOOKUP(B141,'Base stats'!B:B,'Base stats'!AU:AU)/1000)^(2/3)+_xlfn.XLOOKUP(B141,'Base stats'!B:B,'Base stats'!AZ:AZ))+0.5+IF(_xlfn.XLOOKUP(_xlfn.XLOOKUP(B141,'Base stats'!B:B,'Base stats'!E:E),Groups!A:A,Groups!U:U)&lt;&gt;3,_xlfn.XLOOKUP(B141,'Base stats'!B:B,'Base stats'!BA:BA),0),0.5))</f>
        <v>No</v>
      </c>
      <c r="Y141" s="7" t="str">
        <f>IF(X141="No","No",MAX(_xlfn.XLOOKUP(_xlfn.XLOOKUP(B141,'Base stats'!B:B,'Base stats'!E:E),Groups!A:A,Groups!V:V),MROUND(_xlfn.XLOOKUP(_xlfn.XLOOKUP(B141,'Base stats'!B:B,'Base stats'!E:E),Groups!A:A,Groups!V:V)*_xlfn.XLOOKUP(B141,'Base stats'!B:B,'Base stats'!C:C)^0.165,0.05)))</f>
        <v>No</v>
      </c>
      <c r="Z141" s="7" t="str">
        <f>IF(X141="No","No",_xlfn.XLOOKUP(_xlfn.XLOOKUP(B141,'Base stats'!B:B,'Base stats'!E:E),Groups!A:A,Groups!W:W))</f>
        <v>No</v>
      </c>
      <c r="AA141" s="7" t="str">
        <f>IF(X141="No","No",_xlfn.XLOOKUP(_xlfn.XLOOKUP(B141,'Base stats'!B:B,'Base stats'!E:E),Groups!A:A,Groups!X:X))</f>
        <v>No</v>
      </c>
      <c r="AB141" s="7" t="str">
        <f>IF(X141="No","No",_xlfn.XLOOKUP(_xlfn.XLOOKUP(B141,'Base stats'!B:B,'Base stats'!E:E),Groups!A:A,Groups!Y:Y))</f>
        <v>No</v>
      </c>
      <c r="AC141" s="7" t="str">
        <f>_xlfn.XLOOKUP(Animals!B141,'Base stats'!B:B,'Base stats'!X:X)</f>
        <v>False</v>
      </c>
      <c r="AD141" s="13">
        <f>IF(_xlfn.XLOOKUP(B141,'Base stats'!B:B,'Base stats'!AT:AT)="No","No",MROUND((LOG10(_xlfn.XLOOKUP(B141,'Base stats'!B:B,'Base stats'!AT:AT))*(AO141^0.75)+(_xlfn.XLOOKUP(B141,'Base stats'!B:B,'Base stats'!AT:AT)/1000)^(2/3)+_xlfn.XLOOKUP(B141,'Base stats'!B:B,'Base stats'!AX:AX)+_xlfn.XLOOKUP(B141,'Base stats'!B:B,'Base stats'!BA:BA))+0.5,0.5))</f>
        <v>7.5</v>
      </c>
      <c r="AE141" s="7">
        <f>IF(AD141="No","No",MAX(_xlfn.XLOOKUP(_xlfn.XLOOKUP(B141,'Base stats'!B:B,'Base stats'!E:E),Groups!A:A,Groups!Z:Z),MROUND(_xlfn.XLOOKUP(_xlfn.XLOOKUP(B141,'Base stats'!B:B,'Base stats'!E:E),Groups!A:A,Groups!Z:Z)*_xlfn.XLOOKUP(B141,'Base stats'!B:B,'Base stats'!C:C)^0.165,0.05)))</f>
        <v>1.25</v>
      </c>
      <c r="AF141" s="7" t="str">
        <f>IF(AD141="No","No",_xlfn.XLOOKUP(_xlfn.XLOOKUP(B141,'Base stats'!B:B,'Base stats'!E:E),Groups!A:A,Groups!AA:AA))</f>
        <v>Teeth</v>
      </c>
      <c r="AG141" s="7" t="str">
        <f>IF(AD141="No","No",_xlfn.XLOOKUP(_xlfn.XLOOKUP(B141,'Base stats'!B:B,'Base stats'!E:E),Groups!A:A,Groups!AB:AB))</f>
        <v>canines</v>
      </c>
      <c r="AH141" s="7" t="str">
        <f>IF(AD141="No","No",_xlfn.XLOOKUP(_xlfn.XLOOKUP(B141,'Base stats'!B:B,'Base stats'!E:E),Groups!A:A,Groups!AC:AC))</f>
        <v>Bite</v>
      </c>
      <c r="AI141" s="13" t="str">
        <f>IF(_xlfn.XLOOKUP(_xlfn.XLOOKUP(B141,'Base stats'!B:B,'Base stats'!E:E),Groups!A:A,Groups!AD:AD)=0,"No",MROUND((LOG10(_xlfn.XLOOKUP(B141,'Base stats'!B:B,'Base stats'!AS:AS))*(AO141^0.75)+(_xlfn.XLOOKUP(B141,'Base stats'!B:B,'Base stats'!AS:AS)/1000)^(2/3)+_xlfn.XLOOKUP(B141,'Base stats'!B:B,'Base stats'!AY:AY)+_xlfn.XLOOKUP(B141,'Base stats'!B:B,'Base stats'!BA:BA))+0.5,0.5))</f>
        <v>No</v>
      </c>
      <c r="AJ141" s="7" t="str">
        <f>IF(AI141="No","No",MAX(_xlfn.XLOOKUP(_xlfn.XLOOKUP(B141,'Base stats'!B:B,'Base stats'!E:E),Groups!A:A,Groups!AE:AE),MROUND(_xlfn.XLOOKUP(_xlfn.XLOOKUP(B141,'Base stats'!B:B,'Base stats'!E:E),Groups!A:A,Groups!AE:AE)*IF(_xlfn.XLOOKUP(_xlfn.XLOOKUP(B141,'Base stats'!B:B,'Base stats'!E:E),Groups!A:A,Groups!AJ:AJ)="Photonozoa",0.6,1)*_xlfn.XLOOKUP(B141,'Base stats'!B:B,'Base stats'!C:C)^0.165,0.05)))</f>
        <v>No</v>
      </c>
      <c r="AK141" s="7" t="str">
        <f>IF(AI141="No","No",_xlfn.XLOOKUP(_xlfn.XLOOKUP(B141,'Base stats'!B:B,'Base stats'!E:E),Groups!A:A,Groups!AF:AF))</f>
        <v>No</v>
      </c>
      <c r="AL141" s="7" t="str">
        <f>IF(AI141="No","No",_xlfn.XLOOKUP(_xlfn.XLOOKUP(B141,'Base stats'!B:B,'Base stats'!E:E),Groups!A:A,Groups!AG:AG))</f>
        <v>No</v>
      </c>
      <c r="AM141" s="7" t="str">
        <f>IF(AI141="No","No",_xlfn.XLOOKUP(_xlfn.XLOOKUP(B141,'Base stats'!B:B,'Base stats'!E:E),Groups!A:A,Groups!AH:AH))</f>
        <v>No</v>
      </c>
      <c r="AN141" s="2">
        <f t="shared" si="14"/>
        <v>20</v>
      </c>
      <c r="AO141" s="2">
        <f>MROUND(IF(AND(_xlfn.XLOOKUP(B141,'Base stats'!B:B,'Base stats'!C:C)&gt;=0.5,_xlfn.XLOOKUP(B141,'Base stats'!B:B,'Base stats'!C:C)&lt;=0.8),
IF(_xlfn.XLOOKUP(B141,'Base stats'!B:B,'Base stats'!C:C)&lt;0.1,0.05,IF(_xlfn.XLOOKUP(B141,'Base stats'!B:B,'Base stats'!C:C)&lt;=70,(_xlfn.XLOOKUP(B141,'Base stats'!B:B,'Base stats'!C:C)/70)^0.426489913056526,IF(_xlfn.XLOOKUP(B141,'Base stats'!B:B,'Base stats'!C:C)&lt;=400,(_xlfn.XLOOKUP(B141,'Base stats'!B:B,'Base stats'!C:C)/70)^0.572811455315093,IF(_xlfn.XLOOKUP(B141,'Base stats'!B:B,'Base stats'!C:C)&lt;=2000,2.71391647193063*(_xlfn.XLOOKUP(B141,'Base stats'!B:B,'Base stats'!C:C)/400)^0.252459582904293,3.74314280240376*(_xlfn.XLOOKUP(B141,'Base stats'!B:B,'Base stats'!C:C)/2000)^0.357012633876913)))),
IF(_xlfn.XLOOKUP(B141,'Base stats'!B:B,'Base stats'!C:C)&lt;0.1,0.05,IF(_xlfn.XLOOKUP(B141,'Base stats'!B:B,'Base stats'!C:C)&lt;0.4,0.1,IF(_xlfn.XLOOKUP(B141,'Base stats'!B:B,'Base stats'!C:C)&lt;=70,(_xlfn.XLOOKUP(B141,'Base stats'!B:B,'Base stats'!C:C)/70)^0.445823913056526,IF(_xlfn.XLOOKUP(B141,'Base stats'!B:B,'Base stats'!C:C)&lt;=400,(_xlfn.XLOOKUP(B141,'Base stats'!B:B,'Base stats'!C:C)/70)^0.572811455315093,IF(_xlfn.XLOOKUP(B141,'Base stats'!B:B,'Base stats'!C:C)&lt;=2000,2.71391647193063*(_xlfn.XLOOKUP(B141,'Base stats'!B:B,'Base stats'!C:C)/400)^0.252459582904293,3.74314280240376*(_xlfn.XLOOKUP(B141,'Base stats'!B:B,'Base stats'!C:C)/2000)^0.357012633876913)))))),
IF(_xlfn.XLOOKUP(B141,'Base stats'!B:B,'Base stats'!C:C)&lt;0.1,0.05,IF(_xlfn.XLOOKUP(B141,'Base stats'!B:B,'Base stats'!C:C)&lt;=100,0.05,IF(_xlfn.XLOOKUP(B141,'Base stats'!B:B,'Base stats'!C:C)&lt;=250,0.1,IF(_xlfn.XLOOKUP(B141,'Base stats'!B:B,'Base stats'!C:C)&lt;=4000,0.25,0.5)))))</f>
        <v>0.5</v>
      </c>
      <c r="AP141" s="8">
        <f>MROUND(AO141*_xlfn.XLOOKUP(_xlfn.XLOOKUP(B141,'Base stats'!B:B,'Base stats'!E:E),Groups!A:A,Groups!AI:AI)*_xlfn.XLOOKUP(B141,'Base stats'!B:B,'Base stats'!Z:Z),0.05)</f>
        <v>0.60000000000000009</v>
      </c>
      <c r="AQ141" s="8">
        <f>MAX(0.01,MROUND(IF(CC141="True",0.196*(AO141*100*1000)^0.889,IF(_xlfn.XLOOKUP(_xlfn.XLOOKUP(B141,'Base stats'!B:B,'Base stats'!E:E),Groups!A:A,Groups!AJ:AJ)="Bird",10.5*(AO141*100*1000)^0.681,4.82*(AO141*100*1000)^0.734))/(4.82*(1*100*1000)^0.734)/IF(AO141&lt;3.5,2,IF(AO141=3.5,1.5,1.25))*(1+0.132282374779864/(AO141^0.994035016789033+0.00905238001496948)),0.05))</f>
        <v>0.4</v>
      </c>
      <c r="AR141" s="9">
        <f>IFERROR(MROUND(_xlfn.XLOOKUP(B141,'Base stats'!B:B,'Base stats'!H:H)/IF(_xlfn.XLOOKUP(B141,'Base stats'!B:B,'Base stats'!I:I)&lt;&gt;1,(122.5/70),1.2),IF(_xlfn.XLOOKUP(B141,'Base stats'!B:B,'Base stats'!H:H)&gt;=30,5,IF(_xlfn.XLOOKUP(B141,'Base stats'!B:B,'Base stats'!H:H)&gt;=15,3,IF(_xlfn.XLOOKUP(B141,'Base stats'!B:B,'Base stats'!H:H)&gt;=10,2,1)))),"Immortal")</f>
        <v>15</v>
      </c>
      <c r="AS141" s="35">
        <f>IFERROR(IF(OR(_xlfn.XLOOKUP(B141,'Base stats'!B:B,'Base stats'!F:F)="Atypical reproduction",_xlfn.XLOOKUP(B141,'Base stats'!B:B,'Base stats'!F:F)="Lay eggs"),"Lay eggs",MIN(20,MAX(5.5,ROUND(((_xlfn.XLOOKUP(B141,'Base stats'!B:B,'Base stats'!F:F)-25)*(14.5/615) + 5.5)*2,0)/2))),"Unknown")</f>
        <v>6.5</v>
      </c>
      <c r="AT141" s="8">
        <f>IF(_xlfn.XLOOKUP(B141,'Base stats'!B:B,'Base stats'!G:G)="Atypical reproduction","No",IFERROR(MAX(IF(_xlfn.XLOOKUP(B141,'Base stats'!B:B,'Base stats'!G:G)&lt;0.5,0.2,0.3),MROUND(_xlfn.XLOOKUP(B141,'Base stats'!B:B,'Base stats'!G:G)/(365/60),0.2)),"Unknown"))</f>
        <v>0.3</v>
      </c>
      <c r="AU141" s="8">
        <f t="shared" si="15"/>
        <v>0.15000000000000002</v>
      </c>
      <c r="AV141" s="8">
        <f>IFERROR(IFERROR(MROUND(_xlfn.XLOOKUP(B141,'Base stats'!B:B,'Base stats'!J:J),0.1),"Lay eggs"),"Cannot breed")</f>
        <v>6</v>
      </c>
      <c r="AW141" s="2" t="str">
        <f t="shared" si="16"/>
        <v>true</v>
      </c>
      <c r="AX141" s="2" t="str">
        <f>IF(_xlfn.XLOOKUP(_xlfn.XLOOKUP(Animals!B141,'Base stats'!B:B,'Base stats'!E:E),Groups!A:A,Groups!AK:AK)=1,"true","false")</f>
        <v>false</v>
      </c>
      <c r="AY141" s="25" t="str">
        <f>IF(_xlfn.XLOOKUP(B141,'Base stats'!B:B,'Base stats'!Y:Y)="Liquor","Liquor, CarnivoreAnimalStrict",IF(AND(_xlfn.XLOOKUP(B141,'Base stats'!B:B,'Base stats'!Y:Y)="Carnivore",_xlfn.XLOOKUP(_xlfn.XLOOKUP(B141,'Base stats'!B:B,'Base stats'!E:E),Groups!A:A,Groups!AJ:AJ)="Photonozoa"),"CarnivoreAnimalStrict, OvivoreAnimal",IF(_xlfn.XLOOKUP(B141,'Base stats'!B:B,'Base stats'!Y:Y)="Carnivore","CarnivoreAnimal, OvivoreAnimal",IF(_xlfn.XLOOKUP(B141,'Base stats'!B:B,'Base stats'!Y:Y)="Dendrovore","VegetarianRoughAnimal, DendrovoreAnimal",IF(_xlfn.XLOOKUP(B141,'Base stats'!B:B,'Base stats'!Y:Y)="Herbivore","VegetarianRoughAnimal",IF(_xlfn.XLOOKUP(B141,'Base stats'!B:B,'Base stats'!Y:Y)="OmnivoreRough","OmnivoreRoughAnimal, OvivoreAnimal","OmnivoreAnimal, OvivoreAnimal"))))))</f>
        <v>OmnivoreAnimal, OvivoreAnimal</v>
      </c>
      <c r="AZ141" s="2" t="str">
        <f>IF(_xlfn.XLOOKUP(_xlfn.XLOOKUP(B141,'Base stats'!B:B,'Base stats'!E:E),Groups!A:A,Groups!D:D)=1,MROUND((1-J141)*5+1,2)*IF(J141&lt;=0.4,2,1),"No")</f>
        <v>No</v>
      </c>
      <c r="BA141" s="2" t="str">
        <f>IF(AND(_xlfn.XLOOKUP(B141,'Base stats'!B:B,'Base stats'!AH:AH)="&lt;li&gt;Seal&lt;/li&gt;",G141="Odyssey"),"&lt;li&gt;AEXP_Seal&lt;/li&gt;",_xlfn.XLOOKUP(B141,'Base stats'!B:B,'Base stats'!AH:AH))</f>
        <v>&lt;li&gt;YorkshireTerrier&lt;/li&gt;</v>
      </c>
      <c r="BB141" s="2" t="str">
        <f>_xlfn.XLOOKUP(B141,'Base stats'!B:B,'Base stats'!AG:AG)</f>
        <v>Leather_Dog</v>
      </c>
      <c r="BC141" s="23" t="str">
        <f>_xlfn.XLOOKUP(_xlfn.XLOOKUP(B141,'Base stats'!B:B,'Base stats'!E:E),Groups!A:A,Groups!AL:AL)</f>
        <v>QuadrupedAnimalWithPawsAndTail</v>
      </c>
      <c r="BD141" s="23">
        <f>MIN(1,MROUND(IF(AND(AO141&lt;0.5,_xlfn.XLOOKUP(B141,'Base stats'!B:B,'Base stats'!AA:AA)=0),0,IF(OR(_xlfn.XLOOKUP(Animals!B141,'Base stats'!B:B,'Base stats'!O:O)=2,_xlfn.XLOOKUP(_xlfn.XLOOKUP(B141,'Base stats'!B:B,'Base stats'!E:E),Groups!A:A,Groups!AN:AN)=0),0,_xlfn.XLOOKUP(_xlfn.XLOOKUP(B141,'Base stats'!B:B,'Base stats'!E:E),Groups!A:A,Groups!AN:AN)/IF(_xlfn.XLOOKUP(Animals!B141,'Base stats'!B:B,'Base stats'!O:O)=1,2,1)))+_xlfn.XLOOKUP(B141,'Base stats'!B:B,'Base stats'!AC:AC),0.005))</f>
        <v>0</v>
      </c>
      <c r="BE141" s="23">
        <f>MIN(1,MROUND(IF(AND(AO141&lt;0.5,_xlfn.XLOOKUP(B141,'Base stats'!B:B,'Base stats'!AA:AA)=0),0,IF(_xlfn.XLOOKUP(_xlfn.XLOOKUP(B141,'Base stats'!B:B,'Base stats'!E:E),Groups!A:A,Groups!AO:AO)=0,0,_xlfn.XLOOKUP(_xlfn.XLOOKUP(B141,'Base stats'!B:B,'Base stats'!E:E),Groups!A:A,Groups!AO:AO)/IF(_xlfn.XLOOKUP(Animals!B141,'Base stats'!B:B,'Base stats'!O:O)=2,3,1)))+_xlfn.XLOOKUP(B141,'Base stats'!B:B,'Base stats'!AD:AD),0.005))</f>
        <v>0.1</v>
      </c>
      <c r="BF141" s="2">
        <f>IF(J141&gt;0.3,"No",_xlfn.XLOOKUP(_xlfn.XLOOKUP(Animals!B141,'Base stats'!B:B,'Base stats'!E:E),Groups!A:A,Groups!AP:AP))</f>
        <v>1</v>
      </c>
      <c r="BG141" s="2">
        <f>IF(AND(J141&lt;=0.65,_xlfn.XLOOKUP(_xlfn.XLOOKUP(Animals!B141,'Base stats'!B:B,'Base stats'!E:E),Groups!A:A,Groups!AP:AP)&lt;&gt;"No",_xlfn.XLOOKUP(_xlfn.XLOOKUP(B141,'Base stats'!B:B,'Base stats'!E:E),Groups!A:A,Groups!D:D)=0),MROUND((80/3)*IF(_xlfn.XLOOKUP(B141,'Base stats'!B:B,'Base stats'!O:O)=2,0.2,AO141) + 24*(1-IF(BF141="No",0,BF141)) + 16/3, 12),"No")</f>
        <v>12</v>
      </c>
      <c r="BH141" s="2">
        <f>IF(AND(_xlfn.XLOOKUP(_xlfn.XLOOKUP(B141,'Base stats'!B:B,'Base stats'!E:E),Groups!A:A,Groups!AQ:AQ)=1,AO141&lt;=0.35),8,12)</f>
        <v>12</v>
      </c>
      <c r="BI141" s="2" t="str">
        <f>IF(_xlfn.XLOOKUP(_xlfn.XLOOKUP(B141,'Base stats'!B:B,'Base stats'!E:E),Groups!A:A,Groups!D:D)=0,_xlfn.XLOOKUP(_xlfn.XLOOKUP(B141,'Base stats'!B:B,'Base stats'!E:E),Groups!A:A,Groups!AR:AR),"None")</f>
        <v>Advanced</v>
      </c>
      <c r="BJ141" s="2" t="str">
        <f>IF(AND(_xlfn.XLOOKUP(_xlfn.XLOOKUP(B141,'Base stats'!B:B,'Base stats'!E:E),Groups!A:A,Groups!AS:AS)=1,OR(_xlfn.XLOOKUP(B141,'Base stats'!B:B,'Base stats'!Y:Y)="Carnivore",_xlfn.XLOOKUP(B141,'Base stats'!B:B,'Base stats'!Y:Y)="Omnivore")),"true","false")</f>
        <v>true</v>
      </c>
      <c r="BK141" s="2">
        <f>IF(BJ141="true",MROUND(IF(AND(AO141&gt;0.5,OR(_xlfn.XLOOKUP(_xlfn.XLOOKUP(B141,'Base stats'!B:B,'Base stats'!E:E),Groups!A:A,Groups!AJ:AJ)="Photonozoa",_xlfn.XLOOKUP(_xlfn.XLOOKUP(B141,'Base stats'!B:B,'Base stats'!E:E),Groups!A:A,Groups!AJ:AJ)="Mammal")),Animals!AO141*1.75*IF(AW141="true",1.5,1),IF(AO141&lt;0.5,Animals!AO141*0.5,Animals!AO141)),IF(AO141&gt;2,0.5,IF(AO141&gt;0.5,0.25,0.1))),"No")</f>
        <v>0.5</v>
      </c>
      <c r="BL141" s="2">
        <f t="shared" si="17"/>
        <v>1</v>
      </c>
      <c r="BM141" s="25" t="str">
        <f>IF(_xlfn.XLOOKUP(B141,'Base stats'!B:B,'Base stats'!AN:AN)="Standard","No",MROUND((_xlfn.XLOOKUP(B141,'Base stats'!B:B,'Base stats'!AN:AN)/3.6)/I141,0.1))</f>
        <v>No</v>
      </c>
      <c r="BN141" s="25" t="str">
        <f t="shared" si="18"/>
        <v>false</v>
      </c>
      <c r="BO141" s="25" t="str">
        <f>IF(AND(OR(_xlfn.XLOOKUP(B141,'Base stats'!B:B,'Base stats'!Y:Y)="Carnivore",_xlfn.XLOOKUP(B141,'Base stats'!B:B,'Base stats'!Y:Y)="Omnivore",_xlfn.XLOOKUP(B141,'Base stats'!B:B,'Base stats'!Y:Y)="OmnivoreRough"),_xlfn.XLOOKUP(_xlfn.XLOOKUP(B141,'Base stats'!B:B,'Base stats'!E:E),Groups!A:A,Groups!AT:AT)=1),"true","false")</f>
        <v>false</v>
      </c>
      <c r="BP141" s="25" t="str" cm="1">
        <f t="array" ref="BP141">IF(
  _xlfn.TEXTJOIN(", ",TRUE,
    IF(AND(BJ141="true",AO141&gt;0.5,BI141&lt;&gt;"None"),"AttackTarget",""),
    IF(AND(_xlfn.XLOOKUP(_xlfn.XLOOKUP(B141,'Base stats'!B:B,'Base stats'!E:E),Groups!A:A,Groups!AJ:AJ="Mammal"),OR(_xlfn.XLOOKUP(B141,'Base stats'!B:B,'Base stats'!Y:Y)="Omnivore",_xlfn.XLOOKUP(B141,'Base stats'!B:B,'Base stats'!Y:Y)="OmnivoreRough")),"Forage",""),
    IF(BG141&lt;=36,"Comfort",""),
    IF(_xlfn.XLOOKUP(B141,'Base stats'!B:B,'Base stats'!AE:AE)&lt;&gt;"No",_xlfn.XLOOKUP(B141,'Base stats'!B:B,'Base stats'!AE:AE),"")
  ) = "",
  "No",
  _xlfn.TEXTJOIN(", ",TRUE,
    IF(AND(BJ141="true",AO141&gt;0.5,BI141&lt;&gt;"None"),"AttackTarget",""),
    IF(AND(_xlfn.XLOOKUP(_xlfn.XLOOKUP(B141,'Base stats'!B:B,'Base stats'!E:E),Groups!A:A,Groups!AJ:AJ="Mammal"),OR(_xlfn.XLOOKUP(B141,'Base stats'!B:B,'Base stats'!Y:Y)="Omnivore",_xlfn.XLOOKUP(B141,'Base stats'!B:B,'Base stats'!Y:Y)="OmnivoreRough")),"Forage",""),
    IF(BG141&lt;=36,"Comfort",""),
    IF(_xlfn.XLOOKUP(B141,'Base stats'!B:B,'Base stats'!AE:AE)&lt;&gt;"No",_xlfn.XLOOKUP(B141,'Base stats'!B:B,'Base stats'!AE:AE),"")
  )
)</f>
        <v>Forage, Comfort</v>
      </c>
      <c r="BQ141" s="25" t="str">
        <f>IF(
   AND(
      'Base stats'!AN141="Standard",_xlfn.XLOOKUP(_xlfn.XLOOKUP(B141,'Base stats'!B:B,'Base stats'!E:E),Groups!A:A,Groups!AU:AU)=0,
      OR(
      BO141="True"
      )
   ),
   10,
   IF(
       OR(BM141&lt;&gt;"No",_xlfn.XLOOKUP(_xlfn.XLOOKUP(B141,'Base stats'!B:B,'Base stats'!E:E),Groups!A:A,Groups!AU:AU)=1),
      1,
      "No"
   )
)</f>
        <v>No</v>
      </c>
      <c r="BR141" s="9">
        <f>MROUND((1 + ((0.2*IF(OR(Q141="No",R141="No",R141=0),0,Q141/R141)
+IF(OR(V141="No",S141="No",T141="No"),0,S141/T141*(LEN(V141)-LEN(SUBSTITUTE(V141,",",""))+1))
+IF(OR(X141="No",Y141="No"),0,X141/Y141)
+IF(OR(AD141="No",AE141="No"),0,AD141/AE141)
+IF(OR(AL141="No",AI141="No",AJ141="No"),0,AI141/AJ141*(LEN(AL141)-LEN(SUBSTITUTE(AL141,",",""))+1))
)/(0.2*IF(OR(Q141="No",R141="No",R141=0),0,1)
+IF(OR(V141="No",S141="No",T141="No"),0,LEN(V141)-LEN(SUBSTITUTE(V141,",",""))+1)
+IF(OR(X141="No",Y141="No"),0,1)
+IF(OR(AD141="No",AE141="No"),0,1)
+IF(OR(AL141="No",AI141="No",AJ141="No"),0,LEN(AL141)-LEN(SUBSTITUTE(AL141,",",""))+1))*62%)* 2)*(1 + (AP141 / (IF(_xlfn.XLOOKUP(_xlfn.XLOOKUP(B141,'Base stats'!B:B,'Base stats'!E:E),Groups!A:A,Groups!AJ:AJ)="Photonozoa",0.3,1)) + _xlfn.XLOOKUP(B141,'Base stats'!B:B,'Base stats'!AV:AV) * 1.8) * 2) * 2.5 + 10 + I141 * 2,5)+IF(_xlfn.XLOOKUP(B141,'Base stats'!B:B,'Base stats'!AK:AK)=1,50,0)</f>
        <v>65</v>
      </c>
      <c r="BS141" s="8">
        <f t="shared" si="19"/>
        <v>0.4</v>
      </c>
      <c r="BT141" s="8" t="str">
        <f>_xlfn.XLOOKUP(B141,'Base stats'!B:B,'Base stats'!AF:AF)</f>
        <v>2~4</v>
      </c>
      <c r="BU141" s="2" t="str">
        <f>IF(AND(J141&lt;=0.95,OR(_xlfn.XLOOKUP(B141,'Base stats'!B:B,'Base stats'!AK:AK)=1,_xlfn.XLOOKUP(B141,'Base stats'!B:B,'Base stats'!Y:Y)="Carnivore",_xlfn.XLOOKUP(B141,'Base stats'!B:B,'Base stats'!Y:Y)="Omnivore",BE141&gt;0.1)),"true","false")</f>
        <v>true</v>
      </c>
      <c r="BV141" s="2" t="str">
        <f>IF(_xlfn.XLOOKUP(B141,'Base stats'!B:B,'Base stats'!AI:AI)=1,"true","false")</f>
        <v>false</v>
      </c>
      <c r="BW141" s="25" t="str">
        <f>IF(E141="BaseInsect","AnimalInsect",
IF(J141&gt;0.95,"AnimalExotic",
_xlfn.TEXTJOIN(", ",TRUE,
IF(OR(_xlfn.XLOOKUP(B141,'Base stats'!B:B,'Base stats'!AM:AM)=1,AND(_xlfn.XLOOKUP(B141,'Base stats'!B:B,'Base stats'!O:O)=0,_xlfn.XLOOKUP(_xlfn.XLOOKUP(B141,'Base stats'!B:B,'Base stats'!E:E),Groups!A:A,Groups!B:B)&gt;0)),"AnimalUncommon","AnimalCommon"),
IF(AND(_xlfn.XLOOKUP(B141,'Base stats'!B:B,'Base stats'!O:O)=2,_xlfn.XLOOKUP(_xlfn.XLOOKUP(B141,'Base stats'!B:B,'Base stats'!E:E),Groups!A:A,Groups!D:D)=0),"AnimalPet",IF(AND(_xlfn.XLOOKUP(B141,'Base stats'!B:B,'Base stats'!O:O)&lt;&gt;0,_xlfn.XLOOKUP(_xlfn.XLOOKUP(B141,'Base stats'!B:B,'Base stats'!E:E),Groups!A:A,Groups!D:D)&lt;&gt;0),"AnimalFarm","")),
IF(OR(_xlfn.XLOOKUP(B141,'Base stats'!B:B,'Base stats'!AK:AK)=1,AND(BI141&lt;&gt;"None",BR141&gt;=60),ISNUMBER(SEARCH("Attack target",BP141))),"AnimalFighter","")
)))</f>
        <v>AnimalCommon, AnimalPet, AnimalFighter</v>
      </c>
      <c r="BX141" s="25" t="str">
        <f>IF(G141="None",TRIM(
SUBSTITUTE(
IF(COUNTIF(Biomes!B$2:B$259,"="&amp;$C141)&gt;0,Biomes!B$1&amp;", ","")&amp;
IF(COUNTIF(Biomes!C$2:C$259,"="&amp;$C141)&gt;0,Biomes!C$1&amp;", ","")&amp;
IF(COUNTIF(Biomes!D$2:D$259,"="&amp;$C141)&gt;0,Biomes!D$1&amp;", ","")&amp;
IF(COUNTIF(Biomes!F$2:F$259,"="&amp;$C141)&gt;0,Biomes!F$1&amp;", ","")&amp;
IF(COUNTIF(Biomes!G$2:G$259,"="&amp;$C141)&gt;0,Biomes!G$1&amp;", ","")&amp;
IF(COUNTIF(Biomes!H$2:H$259,"="&amp;$C141)&gt;0,Biomes!H$1&amp;", ","")&amp;
IF(COUNTIF(Biomes!I$2:I$259,"="&amp;$C141)&gt;0,Biomes!I$1&amp;", ","")&amp;
IF(COUNTIF(Biomes!J$2:J$259,"="&amp;$C141)&gt;0,Biomes!J$1&amp;", ","")&amp;
IF(COUNTIF(Biomes!M$2:M$259,"="&amp;$C141)&gt;0,Biomes!M$1&amp;", ","")&amp;
IF(COUNTIF(Biomes!N$2:N$259,"="&amp;$C141)&gt;0,Biomes!N$1&amp;", ","")&amp;
IF(COUNTIF(Biomes!O$2:O$259,"="&amp;$C141)&gt;0,Biomes!O$1&amp;", ","")&amp;
IF(COUNTIF(Biomes!P$2:P$259,"="&amp;$C141)&gt;0,Biomes!P$1&amp;", ","")&amp;
IF(COUNTIF(Biomes!K$2:K$259,"="&amp;$C141)&gt;0,Biomes!K$1&amp;", ","")&amp;
IF(COUNTIF(Biomes!Q$3:Q$259,"="&amp;$C141)&gt;0,Biomes!Q$1&amp;", ","")&amp;
IF(COUNTIF(Biomes!L$2:L$259,"="&amp;$C141)&gt;0,Biomes!L$1&amp;", ","")&amp;
IF(COUNTIF(Biomes!E$2:E$259,"="&amp;$C141)&gt;0,Biomes!E$1&amp;", ","")&amp;IF(COUNTIF(Biomes!S$2:S$259,"="&amp;$C141)&gt;0,Biomes!S$1&amp;", ","")&amp;
IF(COUNTIF(Biomes!R$2:R$259,"="&amp;$C141)&gt;0,Biomes!R$1&amp;", ",""),", ","")
),_xlfn.XLOOKUP(B141,B:B,BX:BX))</f>
        <v/>
      </c>
      <c r="BY141" s="25" t="str">
        <f>IF(_xlfn.XLOOKUP(B141,'Base stats'!B:B,'Base stats'!AJ:AJ)=1,"true","false")</f>
        <v>false</v>
      </c>
      <c r="BZ141" s="25">
        <f>IF(_xlfn.XLOOKUP(B141,'Base stats'!B:B,'Base stats'!N:N)=1,"No",MAX(0.001,MIN(MROUND(IF(AND(BJ141="True",CC141="False"),POWER(10,3.47*LOG10(_xlfn.XLOOKUP(B141,'Base stats'!B:B,'Base stats'!C:C)*1000)^-0.96),POWER(10,4.15*LOG10(_xlfn.XLOOKUP(B141,'Base stats'!B:B,'Base stats'!C:C)*1000)^-0.73))*IF(_xlfn.XLOOKUP(B141,'Base stats'!B:B,'Base stats'!AK:AK)=1,0.5,1)*IF(_xlfn.XLOOKUP(B141,'Base stats'!B:B,'Base stats'!AM:AM)=1,0.1,1)/100,IF(_xlfn.XLOOKUP(B141,'Base stats'!B:B,'Base stats'!AM:AM)=1,0.001,0.025)),0.5)))</f>
        <v>7.5000000000000011E-2</v>
      </c>
      <c r="CA141" s="25" t="str">
        <f>IF(P141="Standard","No",MAX(0.001,MIN(MROUND(IF(AND(BJ141="True",CC141="False"),POWER(10,3.47*LOG10(_xlfn.XLOOKUP(B141,'Base stats'!B:B,'Base stats'!C:C)*1000)^-0.96),POWER(10,4.15*LOG10(_xlfn.XLOOKUP(B141,'Base stats'!B:B,'Base stats'!C:C)*1000)^-0.73))*IF(_xlfn.XLOOKUP(B141,'Base stats'!B:B,'Base stats'!AM:AM)=1,0.1,1)*_xlfn.XLOOKUP(B141,'Base stats'!B:B,'Base stats'!R:R)/100,IF(_xlfn.XLOOKUP(B141,'Base stats'!B:B,'Base stats'!AM:AM)=1,0.001,0.025)),0.5)))</f>
        <v>No</v>
      </c>
      <c r="CB141" s="25" t="str">
        <f>IF(_xlfn.XLOOKUP(_xlfn.XLOOKUP(B141,'Base stats'!B:B,'Base stats'!E:E),Groups!A:A,Groups!AJ:AJ)="Mammal","True","False")</f>
        <v>True</v>
      </c>
      <c r="CC141" s="25" t="str">
        <f>IF(OR(_xlfn.XLOOKUP(_xlfn.XLOOKUP(B141,'Base stats'!B:B,'Base stats'!E:E),Groups!A:A,Groups!AJ:AJ)="Reptile",_xlfn.XLOOKUP(_xlfn.XLOOKUP(B141,'Base stats'!B:B,'Base stats'!E:E),Groups!A:A,Groups!AJ:AJ)="Amphibian",_xlfn.XLOOKUP(_xlfn.XLOOKUP(B141,'Base stats'!B:B,'Base stats'!E:E),Groups!A:A,Groups!AJ:AJ)="Invertebrate"),"True","False")</f>
        <v>False</v>
      </c>
      <c r="CD141" s="25" t="str">
        <f t="shared" si="20"/>
        <v>False</v>
      </c>
      <c r="CE141" s="25" t="str">
        <f>IF(_xlfn.XLOOKUP(_xlfn.XLOOKUP(B141,'Base stats'!B:B,'Base stats'!E:E),Groups!A:A,Groups!AX:AX),"True","False")</f>
        <v>False</v>
      </c>
      <c r="CF141" s="25" t="str">
        <f>IF(_xlfn.XLOOKUP(_xlfn.XLOOKUP(B141,'Base stats'!B:B,'Base stats'!E:E),Groups!A:A,Groups!AY:AY),"True","False")</f>
        <v>False</v>
      </c>
      <c r="CG141" s="25" t="str">
        <f>IF(_xlfn.XLOOKUP(_xlfn.XLOOKUP(B141,'Base stats'!B:B,'Base stats'!E:E),Groups!A:A,Groups!AW:AW),"True","False")</f>
        <v>False</v>
      </c>
      <c r="CH141" s="25" t="str">
        <f>IF(
OR(
_xlfn.XLOOKUP(_xlfn.XLOOKUP(B141,'Base stats'!B:B,'Base stats'!E:E),Groups!A:A,Groups!AZ:AZ)=0,
AND(
_xlfn.XLOOKUP(B141,'Base stats'!B:B,'Base stats'!Y:Y)&lt;&gt;"Carnivore",
_xlfn.XLOOKUP(B141,'Base stats'!B:B,'Base stats'!Y:Y)&lt;&gt;"Omnivore",
_xlfn.XLOOKUP(B141,'Base stats'!B:B,'Base stats'!Y:Y)&lt;&gt;"OmnivoreRough"
)
),
"No",
IF(
_xlfn.XLOOKUP(_xlfn.XLOOKUP(B141,'Base stats'!B:B,'Base stats'!E:E),Groups!A:A,Groups!AZ:AZ)=1,
"Flesh",
IF(
_xlfn.XLOOKUP(_xlfn.XLOOKUP(B141,'Base stats'!B:B,'Base stats'!E:E),Groups!A:A,Groups!AZ:AZ)=2,
"Bone",
""
)
)
)</f>
        <v>No</v>
      </c>
      <c r="CI141" s="25" t="str">
        <f>IF(_xlfn.XLOOKUP(_xlfn.XLOOKUP(B141,'Base stats'!B:B,'Base stats'!E:E),Groups!A:A,Groups!BB:BB),"True","False")</f>
        <v>True</v>
      </c>
      <c r="CJ141" s="25" t="str">
        <f>IF(_xlfn.XLOOKUP(_xlfn.XLOOKUP(B141,'Base stats'!B:B,'Base stats'!E:E),Groups!A:A,Groups!BA:BA),"True","False")</f>
        <v>False</v>
      </c>
    </row>
    <row r="142" spans="1:88" ht="16.5" thickTop="1" thickBot="1" x14ac:dyDescent="0.3">
      <c r="A142" s="26" t="str">
        <f>_xlfn.XLOOKUP(B142,'Base stats'!B:B,'Base stats'!A:A)</f>
        <v>French bulldog</v>
      </c>
      <c r="B142" s="6" t="s">
        <v>895</v>
      </c>
      <c r="C142" s="28" t="s">
        <v>823</v>
      </c>
      <c r="D142" s="28" t="s">
        <v>872</v>
      </c>
      <c r="E142" s="28" t="s">
        <v>673</v>
      </c>
      <c r="F142" s="28" t="s">
        <v>673</v>
      </c>
      <c r="G142" s="28" t="s">
        <v>673</v>
      </c>
      <c r="H142" s="2">
        <f>MROUND((
  (IF(AND(_xlfn.XLOOKUP(B142,'Base stats'!B:B,'Base stats'!AL:AL)=0,BI142="None",_xlfn.XLOOKUP(_xlfn.XLOOKUP(B142,'Base stats'!B:B,'Base stats'!E:E),Groups!A:A,Groups!B:B)=0), (18 + BR142 * 2.7) * 0.5,
    IF(AND(_xlfn.XLOOKUP(B142,'Base stats'!B:B,'Base stats'!AL:AL)=0,OR(AO142&lt;0.55,AND(BI142="Intermediate",_xlfn.XLOOKUP(_xlfn.XLOOKUP(B142,'Base stats'!B:B,'Base stats'!E:E),Groups!A:A,Groups!B:B)&lt;2))), (18 + BR142 * 2.7),
      IF(OR(BI142="Advanced",_xlfn.XLOOKUP(B142,'Base stats'!B:B,'Base stats'!AL:AL)=1,_xlfn.XLOOKUP(_xlfn.XLOOKUP(B142,'Base stats'!B:B,'Base stats'!E:E),Groups!A:A,Groups!B:B)=2), (18 + BR142 * 2.7) + 250, (18 + BR142 * 2.7))
    )
  ))
  + AO142 * 80
  + IF(COUNTIF(EggMilk!K$2:K$998, A142) &gt; 0, 125, 0)
  + IF(COUNTIF(EggMilk!P$2:P$998, A142) &gt; 0, 90, 0)
  + IF(COUNTIF(EggMilk!A$2:A$998, A142) &gt; 0, 90, 0)
)
* (0.8 + 0.4 * J142)
* 0.75,25)</f>
        <v>125</v>
      </c>
      <c r="I142" s="2">
        <f>MROUND(ROUNDDOWN(_xlfn.XLOOKUP(B142,'Base stats'!B:B,'Base stats'!L:L)/3.6/(23.3/11),1),0.5)</f>
        <v>6</v>
      </c>
      <c r="J142" s="2">
        <f>IF(OR(_xlfn.XLOOKUP(B142,'Base stats'!B:B,'Base stats'!AB:AB)=1,_xlfn.XLOOKUP(_xlfn.XLOOKUP(B142,'Base stats'!B:B,'Base stats'!E:E),Groups!A:A,Groups!C:C)="Untamable"),1,IF(_xlfn.XLOOKUP(B142,'Base stats'!B:B,'Base stats'!AL:AL)=1,0.99,MIN(MROUND((1-0.6282*EXP(-0.459*AO142))*_xlfn.XLOOKUP(_xlfn.XLOOKUP(B142,'Base stats'!B:B,'Base stats'!E:E),Groups!A:A,Groups!C:C)*IF(_xlfn.XLOOKUP(B142,'Base stats'!B:B,'Base stats'!O:O)=1,0.5,IF(_xlfn.XLOOKUP(B142,'Base stats'!B:B,'Base stats'!O:O)=2,0,1)),0.05),IF(AO142&gt;3.5,0.985,0.95))))</f>
        <v>0</v>
      </c>
      <c r="K142" s="2">
        <f>ROUNDUP(AO142*_xlfn.XLOOKUP(_xlfn.XLOOKUP(B142,'Base stats'!B:B,'Base stats'!E:E),Groups!A:A,Groups!E:E),0)</f>
        <v>1</v>
      </c>
      <c r="L142" s="2">
        <f>IF(OR(_xlfn.XLOOKUP(_xlfn.XLOOKUP(B142,'Base stats'!B:B,'Base stats'!E:E),Groups!A:A,Groups!F:F)=2,ISNUMBER(SEARCH("SeaIce",BX142)),ISNUMBER(SEARCH("IceSheet",BX142))),-50,IF(OR(ISNUMBER(SEARCH("GlacialPlain",BX142)),ISNUMBER(SEARCH("Tundra",BX142))),-40,IF(OR(ISNUMBER(SEARCH("Alpine",BX142)),ISNUMBER(SEARCH("BorealForest",BX142)),ISNUMBER(SEARCH("ColdBog",BX142))),-30,IF(OR(ISNUMBER(SEARCH("TemperateForest",BX142)),ISNUMBER(SEARCH("TemperateSwamp",BX142))),-20,IF(_xlfn.XLOOKUP(_xlfn.XLOOKUP(B142,'Base stats'!B:B,'Base stats'!E:E),Groups!A:A,Groups!F:F)=1,-15,IF(OR(ISNUMBER(SEARCH("Desert",BX142)),ISNUMBER(SEARCH("ExtremeDesert",BX142))),-10,IF(OR(ISNUMBER(SEARCH("Grasslands",BX142)),ISNUMBER(SEARCH("TropicalRainforest",BX142)),ISNUMBER(SEARCH("TropicalSwamp",BX142))),10,0)))))))-IF(CC142="False",MIN(IFERROR(MAX(MROUND(LOG10(_xlfn.XLOOKUP(B142,'Base stats'!B:B,'Base stats'!C:C)^(2/3))*10,5),5),5),30))-_xlfn.XLOOKUP(B142,'Base stats'!B:B,'Base stats'!P:P)+IF(CC142="True",5,0)</f>
        <v>-20</v>
      </c>
      <c r="M142" s="2">
        <f>IF(OR(_xlfn.XLOOKUP(_xlfn.XLOOKUP(B142,'Base stats'!B:B,'Base stats'!E:E),Groups!A:A,Groups!G:G)=2,ISNUMBER(SEARCH("Desert",BX142)),ISNUMBER(SEARCH("ExtremeDesert",BX142)),ISNUMBER(SEARCH("LavaField",BX142))),50,IF(ISNUMBER(SEARCH("Grasslands",BX142)),45,IF(OR(_xlfn.XLOOKUP(_xlfn.XLOOKUP(B142,'Base stats'!B:B,'Base stats'!E:E),Groups!A:A,Groups!G:G)=1,ISNUMBER(SEARCH("TropicalRainforest",BX142)),ISNUMBER(SEARCH("TropicalSwamp",BX142))),40,IF(OR(ISNUMBER(SEARCH("TemperateForest",BX142)),ISNUMBER(SEARCH("TemperateSwamp",BX142))),35,IF(OR(ISNUMBER(SEARCH("Alpine",BX142)),ISNUMBER(SEARCH("BorealForest",BX142)),ISNUMBER(SEARCH("ColdBog",BX142))),30,IF(ISNUMBER(OR(ISNUMBER(SEARCH("GlacialPlain",BX142)),SEARCH("Tundra",BX142))),25,IF(OR(ISNUMBER(SEARCH("SeaIce",BX142)),ISNUMBER(SEARCH("IceSheet",BX142)),ISNUMBER(SEARCH("TropicalSwamp",BX142))),10,35)))))))+_xlfn.XLOOKUP(B142,'Base stats'!B:B,'Base stats'!Q:Q)</f>
        <v>35</v>
      </c>
      <c r="N142" s="8" t="str">
        <f>IF(
_xlfn.XLOOKUP(
_xlfn.XLOOKUP(B142,'Base stats'!B:B,'Base stats'!E:E),
Groups!A:A,
Groups!L:L
)=1,
MIN(
MROUND(
IF(
_xlfn.XLOOKUP(B142,'Animals CE'!B:B,'Animals CE'!Z:Z)&lt;=1.5,
_xlfn.XLOOKUP(B142,'Animals CE'!B:B,'Animals CE'!Z:Z)/2+0.05,
0.8+
(_xlfn.XLOOKUP(B142,'Animals CE'!B:B,'Animals CE'!Z:Z)-1.5)
*0.02
),
0.05
),
200%
),
"No"
)</f>
        <v>No</v>
      </c>
      <c r="O142" s="8" t="str">
        <f>IF(
_xlfn.XLOOKUP(
_xlfn.XLOOKUP(B142,'Base stats'!B:B,'Base stats'!E:E),
Groups!A:A,
Groups!L:L
)=1,
MIN(
MROUND(
IF(
_xlfn.XLOOKUP(B142,'Animals CE'!B:B,'Animals CE'!AA:AA)&lt;=1.5,
_xlfn.XLOOKUP(B142,'Animals CE'!B:B,'Animals CE'!AA:AA)/2+0.05,
0.8+
(_xlfn.XLOOKUP(B142,'Animals CE'!B:B,'Animals CE'!AA:AA)-1.5)
*0.02
),
0.05
),
200%
),
"No"
)</f>
        <v>No</v>
      </c>
      <c r="P142" s="2" t="str">
        <f>_xlfn.XLOOKUP(B142,'Base stats'!B:B,'Base stats'!R:R)</f>
        <v>Standard</v>
      </c>
      <c r="Q142" s="13">
        <f>MROUND((LOG10(_xlfn.XLOOKUP(B142,'Base stats'!B:B,'Base stats'!AR:AR))*(AO142^0.5)+(_xlfn.XLOOKUP(B142,'Base stats'!B:B,'Base stats'!AR:AR)/1000)^(2/3)+_xlfn.XLOOKUP(B142,'Base stats'!B:B,'Base stats'!BA:BA)/2)+0.5,0.5)</f>
        <v>3.5</v>
      </c>
      <c r="R142" s="7">
        <f>IF(Q142="No","No",MAX(1,MROUND(_xlfn.XLOOKUP(B142,'Base stats'!B:B,'Base stats'!C:C)^0.165,0.05)))</f>
        <v>1.5</v>
      </c>
      <c r="S142" s="13" t="str">
        <f>IF(_xlfn.XLOOKUP(_xlfn.XLOOKUP(B142,'Base stats'!B:B,'Base stats'!E:E),Groups!A:A,Groups!P:P)=0,"No",MROUND((LOG10(_xlfn.XLOOKUP(B142,'Base stats'!B:B,'Base stats'!AS:AS))*(AO142^0.5)+(_xlfn.XLOOKUP(B142,'Base stats'!B:B,'Base stats'!AS:AS)/1000)^(2/3)+_xlfn.XLOOKUP(B142,'Base stats'!B:B,'Base stats'!BA:BA))+_xlfn.XLOOKUP(B142,'Base stats'!B:B,'Base stats'!AY:AY)+0.5,0.5))</f>
        <v>No</v>
      </c>
      <c r="T142" s="7" t="str">
        <f>IF(S142="No","No",MAX(_xlfn.XLOOKUP(_xlfn.XLOOKUP(B142,'Base stats'!B:B,'Base stats'!E:E),Groups!A:A,Groups!Q:Q),MROUND(_xlfn.XLOOKUP(_xlfn.XLOOKUP(B142,'Base stats'!B:B,'Base stats'!E:E),Groups!A:A,Groups!Q:Q)*_xlfn.XLOOKUP(B142,'Base stats'!B:B,'Base stats'!C:C)^0.165,0.05)))</f>
        <v>No</v>
      </c>
      <c r="U142" s="7" t="str">
        <f>IF(S142="No","No",_xlfn.XLOOKUP(_xlfn.XLOOKUP(B142,'Base stats'!B:B,'Base stats'!E:E),Groups!A:A,Groups!R:R))</f>
        <v>No</v>
      </c>
      <c r="V142" s="7" t="str">
        <f>IF(S142="No","No",_xlfn.XLOOKUP(_xlfn.XLOOKUP(B142,'Base stats'!B:B,'Base stats'!E:E),Groups!A:A,Groups!S:S))</f>
        <v>No</v>
      </c>
      <c r="W142" s="7" t="str">
        <f>IF(S142="No","No",_xlfn.XLOOKUP(_xlfn.XLOOKUP(B142,'Base stats'!B:B,'Base stats'!E:E),Groups!A:A,Groups!T:T))</f>
        <v>No</v>
      </c>
      <c r="X142" s="13" t="str">
        <f>IF(_xlfn.XLOOKUP(B142,'Base stats'!B:B,'Base stats'!W:W)="No","No",MROUND((LOG10(_xlfn.XLOOKUP(B142,'Base stats'!B:B,'Base stats'!AU:AU))*(AO142^0.5)+(_xlfn.XLOOKUP(B142,'Base stats'!B:B,'Base stats'!AU:AU)/1000)^(2/3)+_xlfn.XLOOKUP(B142,'Base stats'!B:B,'Base stats'!AZ:AZ))+0.5+IF(_xlfn.XLOOKUP(_xlfn.XLOOKUP(B142,'Base stats'!B:B,'Base stats'!E:E),Groups!A:A,Groups!U:U)&lt;&gt;3,_xlfn.XLOOKUP(B142,'Base stats'!B:B,'Base stats'!BA:BA),0),0.5))</f>
        <v>No</v>
      </c>
      <c r="Y142" s="7" t="str">
        <f>IF(X142="No","No",MAX(_xlfn.XLOOKUP(_xlfn.XLOOKUP(B142,'Base stats'!B:B,'Base stats'!E:E),Groups!A:A,Groups!V:V),MROUND(_xlfn.XLOOKUP(_xlfn.XLOOKUP(B142,'Base stats'!B:B,'Base stats'!E:E),Groups!A:A,Groups!V:V)*_xlfn.XLOOKUP(B142,'Base stats'!B:B,'Base stats'!C:C)^0.165,0.05)))</f>
        <v>No</v>
      </c>
      <c r="Z142" s="7" t="str">
        <f>IF(X142="No","No",_xlfn.XLOOKUP(_xlfn.XLOOKUP(B142,'Base stats'!B:B,'Base stats'!E:E),Groups!A:A,Groups!W:W))</f>
        <v>No</v>
      </c>
      <c r="AA142" s="7" t="str">
        <f>IF(X142="No","No",_xlfn.XLOOKUP(_xlfn.XLOOKUP(B142,'Base stats'!B:B,'Base stats'!E:E),Groups!A:A,Groups!X:X))</f>
        <v>No</v>
      </c>
      <c r="AB142" s="7" t="str">
        <f>IF(X142="No","No",_xlfn.XLOOKUP(_xlfn.XLOOKUP(B142,'Base stats'!B:B,'Base stats'!E:E),Groups!A:A,Groups!Y:Y))</f>
        <v>No</v>
      </c>
      <c r="AC142" s="7" t="str">
        <f>_xlfn.XLOOKUP(Animals!B142,'Base stats'!B:B,'Base stats'!X:X)</f>
        <v>False</v>
      </c>
      <c r="AD142" s="13">
        <f>IF(_xlfn.XLOOKUP(B142,'Base stats'!B:B,'Base stats'!AT:AT)="No","No",MROUND((LOG10(_xlfn.XLOOKUP(B142,'Base stats'!B:B,'Base stats'!AT:AT))*(AO142^0.75)+(_xlfn.XLOOKUP(B142,'Base stats'!B:B,'Base stats'!AT:AT)/1000)^(2/3)+_xlfn.XLOOKUP(B142,'Base stats'!B:B,'Base stats'!AX:AX)+_xlfn.XLOOKUP(B142,'Base stats'!B:B,'Base stats'!BA:BA))+0.5,0.5))</f>
        <v>6.5</v>
      </c>
      <c r="AE142" s="7">
        <f>IF(AD142="No","No",MAX(_xlfn.XLOOKUP(_xlfn.XLOOKUP(B142,'Base stats'!B:B,'Base stats'!E:E),Groups!A:A,Groups!Z:Z),MROUND(_xlfn.XLOOKUP(_xlfn.XLOOKUP(B142,'Base stats'!B:B,'Base stats'!E:E),Groups!A:A,Groups!Z:Z)*_xlfn.XLOOKUP(B142,'Base stats'!B:B,'Base stats'!C:C)^0.165,0.05)))</f>
        <v>1.2000000000000002</v>
      </c>
      <c r="AF142" s="7" t="str">
        <f>IF(AD142="No","No",_xlfn.XLOOKUP(_xlfn.XLOOKUP(B142,'Base stats'!B:B,'Base stats'!E:E),Groups!A:A,Groups!AA:AA))</f>
        <v>Teeth</v>
      </c>
      <c r="AG142" s="7" t="str">
        <f>IF(AD142="No","No",_xlfn.XLOOKUP(_xlfn.XLOOKUP(B142,'Base stats'!B:B,'Base stats'!E:E),Groups!A:A,Groups!AB:AB))</f>
        <v>canines</v>
      </c>
      <c r="AH142" s="7" t="str">
        <f>IF(AD142="No","No",_xlfn.XLOOKUP(_xlfn.XLOOKUP(B142,'Base stats'!B:B,'Base stats'!E:E),Groups!A:A,Groups!AC:AC))</f>
        <v>Bite</v>
      </c>
      <c r="AI142" s="13" t="str">
        <f>IF(_xlfn.XLOOKUP(_xlfn.XLOOKUP(B142,'Base stats'!B:B,'Base stats'!E:E),Groups!A:A,Groups!AD:AD)=0,"No",MROUND((LOG10(_xlfn.XLOOKUP(B142,'Base stats'!B:B,'Base stats'!AS:AS))*(AO142^0.75)+(_xlfn.XLOOKUP(B142,'Base stats'!B:B,'Base stats'!AS:AS)/1000)^(2/3)+_xlfn.XLOOKUP(B142,'Base stats'!B:B,'Base stats'!AY:AY)+_xlfn.XLOOKUP(B142,'Base stats'!B:B,'Base stats'!BA:BA))+0.5,0.5))</f>
        <v>No</v>
      </c>
      <c r="AJ142" s="7" t="str">
        <f>IF(AI142="No","No",MAX(_xlfn.XLOOKUP(_xlfn.XLOOKUP(B142,'Base stats'!B:B,'Base stats'!E:E),Groups!A:A,Groups!AE:AE),MROUND(_xlfn.XLOOKUP(_xlfn.XLOOKUP(B142,'Base stats'!B:B,'Base stats'!E:E),Groups!A:A,Groups!AE:AE)*IF(_xlfn.XLOOKUP(_xlfn.XLOOKUP(B142,'Base stats'!B:B,'Base stats'!E:E),Groups!A:A,Groups!AJ:AJ)="Photonozoa",0.6,1)*_xlfn.XLOOKUP(B142,'Base stats'!B:B,'Base stats'!C:C)^0.165,0.05)))</f>
        <v>No</v>
      </c>
      <c r="AK142" s="7" t="str">
        <f>IF(AI142="No","No",_xlfn.XLOOKUP(_xlfn.XLOOKUP(B142,'Base stats'!B:B,'Base stats'!E:E),Groups!A:A,Groups!AF:AF))</f>
        <v>No</v>
      </c>
      <c r="AL142" s="7" t="str">
        <f>IF(AI142="No","No",_xlfn.XLOOKUP(_xlfn.XLOOKUP(B142,'Base stats'!B:B,'Base stats'!E:E),Groups!A:A,Groups!AG:AG))</f>
        <v>No</v>
      </c>
      <c r="AM142" s="7" t="str">
        <f>IF(AI142="No","No",_xlfn.XLOOKUP(_xlfn.XLOOKUP(B142,'Base stats'!B:B,'Base stats'!E:E),Groups!A:A,Groups!AH:AH))</f>
        <v>No</v>
      </c>
      <c r="AN142" s="2">
        <f t="shared" si="14"/>
        <v>15</v>
      </c>
      <c r="AO142" s="2">
        <f>MROUND(IF(AND(_xlfn.XLOOKUP(B142,'Base stats'!B:B,'Base stats'!C:C)&gt;=0.5,_xlfn.XLOOKUP(B142,'Base stats'!B:B,'Base stats'!C:C)&lt;=0.8),
IF(_xlfn.XLOOKUP(B142,'Base stats'!B:B,'Base stats'!C:C)&lt;0.1,0.05,IF(_xlfn.XLOOKUP(B142,'Base stats'!B:B,'Base stats'!C:C)&lt;=70,(_xlfn.XLOOKUP(B142,'Base stats'!B:B,'Base stats'!C:C)/70)^0.426489913056526,IF(_xlfn.XLOOKUP(B142,'Base stats'!B:B,'Base stats'!C:C)&lt;=400,(_xlfn.XLOOKUP(B142,'Base stats'!B:B,'Base stats'!C:C)/70)^0.572811455315093,IF(_xlfn.XLOOKUP(B142,'Base stats'!B:B,'Base stats'!C:C)&lt;=2000,2.71391647193063*(_xlfn.XLOOKUP(B142,'Base stats'!B:B,'Base stats'!C:C)/400)^0.252459582904293,3.74314280240376*(_xlfn.XLOOKUP(B142,'Base stats'!B:B,'Base stats'!C:C)/2000)^0.357012633876913)))),
IF(_xlfn.XLOOKUP(B142,'Base stats'!B:B,'Base stats'!C:C)&lt;0.1,0.05,IF(_xlfn.XLOOKUP(B142,'Base stats'!B:B,'Base stats'!C:C)&lt;0.4,0.1,IF(_xlfn.XLOOKUP(B142,'Base stats'!B:B,'Base stats'!C:C)&lt;=70,(_xlfn.XLOOKUP(B142,'Base stats'!B:B,'Base stats'!C:C)/70)^0.445823913056526,IF(_xlfn.XLOOKUP(B142,'Base stats'!B:B,'Base stats'!C:C)&lt;=400,(_xlfn.XLOOKUP(B142,'Base stats'!B:B,'Base stats'!C:C)/70)^0.572811455315093,IF(_xlfn.XLOOKUP(B142,'Base stats'!B:B,'Base stats'!C:C)&lt;=2000,2.71391647193063*(_xlfn.XLOOKUP(B142,'Base stats'!B:B,'Base stats'!C:C)/400)^0.252459582904293,3.74314280240376*(_xlfn.XLOOKUP(B142,'Base stats'!B:B,'Base stats'!C:C)/2000)^0.357012633876913)))))),
IF(_xlfn.XLOOKUP(B142,'Base stats'!B:B,'Base stats'!C:C)&lt;0.1,0.05,IF(_xlfn.XLOOKUP(B142,'Base stats'!B:B,'Base stats'!C:C)&lt;=100,0.05,IF(_xlfn.XLOOKUP(B142,'Base stats'!B:B,'Base stats'!C:C)&lt;=250,0.1,IF(_xlfn.XLOOKUP(B142,'Base stats'!B:B,'Base stats'!C:C)&lt;=4000,0.25,0.5)))))</f>
        <v>0.45</v>
      </c>
      <c r="AP142" s="8">
        <f>MROUND(AO142*_xlfn.XLOOKUP(_xlfn.XLOOKUP(B142,'Base stats'!B:B,'Base stats'!E:E),Groups!A:A,Groups!AI:AI)*_xlfn.XLOOKUP(B142,'Base stats'!B:B,'Base stats'!Z:Z),0.05)</f>
        <v>0.55000000000000004</v>
      </c>
      <c r="AQ142" s="8">
        <f>MAX(0.01,MROUND(IF(CC142="True",0.196*(AO142*100*1000)^0.889,IF(_xlfn.XLOOKUP(_xlfn.XLOOKUP(B142,'Base stats'!B:B,'Base stats'!E:E),Groups!A:A,Groups!AJ:AJ)="Bird",10.5*(AO142*100*1000)^0.681,4.82*(AO142*100*1000)^0.734))/(4.82*(1*100*1000)^0.734)/IF(AO142&lt;3.5,2,IF(AO142=3.5,1.5,1.25))*(1+0.132282374779864/(AO142^0.994035016789033+0.00905238001496948)),0.05))</f>
        <v>0.35000000000000003</v>
      </c>
      <c r="AR142" s="9">
        <f>IFERROR(MROUND(_xlfn.XLOOKUP(B142,'Base stats'!B:B,'Base stats'!H:H)/IF(_xlfn.XLOOKUP(B142,'Base stats'!B:B,'Base stats'!I:I)&lt;&gt;1,(122.5/70),1.2),IF(_xlfn.XLOOKUP(B142,'Base stats'!B:B,'Base stats'!H:H)&gt;=30,5,IF(_xlfn.XLOOKUP(B142,'Base stats'!B:B,'Base stats'!H:H)&gt;=15,3,IF(_xlfn.XLOOKUP(B142,'Base stats'!B:B,'Base stats'!H:H)&gt;=10,2,1)))),"Immortal")</f>
        <v>15</v>
      </c>
      <c r="AS142" s="35">
        <f>IFERROR(IF(OR(_xlfn.XLOOKUP(B142,'Base stats'!B:B,'Base stats'!F:F)="Atypical reproduction",_xlfn.XLOOKUP(B142,'Base stats'!B:B,'Base stats'!F:F)="Lay eggs"),"Lay eggs",MIN(20,MAX(5.5,ROUND(((_xlfn.XLOOKUP(B142,'Base stats'!B:B,'Base stats'!F:F)-25)*(14.5/615) + 5.5)*2,0)/2))),"Unknown")</f>
        <v>6.5</v>
      </c>
      <c r="AT142" s="8">
        <f>IF(_xlfn.XLOOKUP(B142,'Base stats'!B:B,'Base stats'!G:G)="Atypical reproduction","No",IFERROR(MAX(IF(_xlfn.XLOOKUP(B142,'Base stats'!B:B,'Base stats'!G:G)&lt;0.5,0.2,0.3),MROUND(_xlfn.XLOOKUP(B142,'Base stats'!B:B,'Base stats'!G:G)/(365/60),0.2)),"Unknown"))</f>
        <v>0.3</v>
      </c>
      <c r="AU142" s="8">
        <f t="shared" si="15"/>
        <v>0.15000000000000002</v>
      </c>
      <c r="AV142" s="8">
        <f>IFERROR(IFERROR(MROUND(_xlfn.XLOOKUP(B142,'Base stats'!B:B,'Base stats'!J:J),0.1),"Lay eggs"),"Cannot breed")</f>
        <v>6</v>
      </c>
      <c r="AW142" s="2" t="str">
        <f t="shared" si="16"/>
        <v>true</v>
      </c>
      <c r="AX142" s="2" t="str">
        <f>IF(_xlfn.XLOOKUP(_xlfn.XLOOKUP(Animals!B142,'Base stats'!B:B,'Base stats'!E:E),Groups!A:A,Groups!AK:AK)=1,"true","false")</f>
        <v>false</v>
      </c>
      <c r="AY142" s="25" t="str">
        <f>IF(_xlfn.XLOOKUP(B142,'Base stats'!B:B,'Base stats'!Y:Y)="Liquor","Liquor, CarnivoreAnimalStrict",IF(AND(_xlfn.XLOOKUP(B142,'Base stats'!B:B,'Base stats'!Y:Y)="Carnivore",_xlfn.XLOOKUP(_xlfn.XLOOKUP(B142,'Base stats'!B:B,'Base stats'!E:E),Groups!A:A,Groups!AJ:AJ)="Photonozoa"),"CarnivoreAnimalStrict, OvivoreAnimal",IF(_xlfn.XLOOKUP(B142,'Base stats'!B:B,'Base stats'!Y:Y)="Carnivore","CarnivoreAnimal, OvivoreAnimal",IF(_xlfn.XLOOKUP(B142,'Base stats'!B:B,'Base stats'!Y:Y)="Dendrovore","VegetarianRoughAnimal, DendrovoreAnimal",IF(_xlfn.XLOOKUP(B142,'Base stats'!B:B,'Base stats'!Y:Y)="Herbivore","VegetarianRoughAnimal",IF(_xlfn.XLOOKUP(B142,'Base stats'!B:B,'Base stats'!Y:Y)="OmnivoreRough","OmnivoreRoughAnimal, OvivoreAnimal","OmnivoreAnimal, OvivoreAnimal"))))))</f>
        <v>OmnivoreAnimal, OvivoreAnimal</v>
      </c>
      <c r="AZ142" s="2" t="str">
        <f>IF(_xlfn.XLOOKUP(_xlfn.XLOOKUP(B142,'Base stats'!B:B,'Base stats'!E:E),Groups!A:A,Groups!D:D)=1,MROUND((1-J142)*5+1,2)*IF(J142&lt;=0.4,2,1),"No")</f>
        <v>No</v>
      </c>
      <c r="BA142" s="2" t="str">
        <f>IF(AND(_xlfn.XLOOKUP(B142,'Base stats'!B:B,'Base stats'!AH:AH)="&lt;li&gt;Seal&lt;/li&gt;",G142="Odyssey"),"&lt;li&gt;AEXP_Seal&lt;/li&gt;",_xlfn.XLOOKUP(B142,'Base stats'!B:B,'Base stats'!AH:AH))</f>
        <v>&lt;li&gt;YorkshireTerrier&lt;/li&gt;</v>
      </c>
      <c r="BB142" s="2" t="str">
        <f>_xlfn.XLOOKUP(B142,'Base stats'!B:B,'Base stats'!AG:AG)</f>
        <v>Leather_Dog</v>
      </c>
      <c r="BC142" s="23" t="str">
        <f>_xlfn.XLOOKUP(_xlfn.XLOOKUP(B142,'Base stats'!B:B,'Base stats'!E:E),Groups!A:A,Groups!AL:AL)</f>
        <v>QuadrupedAnimalWithPawsAndTail</v>
      </c>
      <c r="BD142" s="23">
        <f>MIN(1,MROUND(IF(AND(AO142&lt;0.5,_xlfn.XLOOKUP(B142,'Base stats'!B:B,'Base stats'!AA:AA)=0),0,IF(OR(_xlfn.XLOOKUP(Animals!B142,'Base stats'!B:B,'Base stats'!O:O)=2,_xlfn.XLOOKUP(_xlfn.XLOOKUP(B142,'Base stats'!B:B,'Base stats'!E:E),Groups!A:A,Groups!AN:AN)=0),0,_xlfn.XLOOKUP(_xlfn.XLOOKUP(B142,'Base stats'!B:B,'Base stats'!E:E),Groups!A:A,Groups!AN:AN)/IF(_xlfn.XLOOKUP(Animals!B142,'Base stats'!B:B,'Base stats'!O:O)=1,2,1)))+_xlfn.XLOOKUP(B142,'Base stats'!B:B,'Base stats'!AC:AC),0.005))</f>
        <v>0</v>
      </c>
      <c r="BE142" s="23">
        <f>MIN(1,MROUND(IF(AND(AO142&lt;0.5,_xlfn.XLOOKUP(B142,'Base stats'!B:B,'Base stats'!AA:AA)=0),0,IF(_xlfn.XLOOKUP(_xlfn.XLOOKUP(B142,'Base stats'!B:B,'Base stats'!E:E),Groups!A:A,Groups!AO:AO)=0,0,_xlfn.XLOOKUP(_xlfn.XLOOKUP(B142,'Base stats'!B:B,'Base stats'!E:E),Groups!A:A,Groups!AO:AO)/IF(_xlfn.XLOOKUP(Animals!B142,'Base stats'!B:B,'Base stats'!O:O)=2,3,1)))+_xlfn.XLOOKUP(B142,'Base stats'!B:B,'Base stats'!AD:AD),0.005))</f>
        <v>0</v>
      </c>
      <c r="BF142" s="2">
        <f>IF(J142&gt;0.3,"No",_xlfn.XLOOKUP(_xlfn.XLOOKUP(Animals!B142,'Base stats'!B:B,'Base stats'!E:E),Groups!A:A,Groups!AP:AP))</f>
        <v>1</v>
      </c>
      <c r="BG142" s="2">
        <f>IF(AND(J142&lt;=0.65,_xlfn.XLOOKUP(_xlfn.XLOOKUP(Animals!B142,'Base stats'!B:B,'Base stats'!E:E),Groups!A:A,Groups!AP:AP)&lt;&gt;"No",_xlfn.XLOOKUP(_xlfn.XLOOKUP(B142,'Base stats'!B:B,'Base stats'!E:E),Groups!A:A,Groups!D:D)=0),MROUND((80/3)*IF(_xlfn.XLOOKUP(B142,'Base stats'!B:B,'Base stats'!O:O)=2,0.2,AO142) + 24*(1-IF(BF142="No",0,BF142)) + 16/3, 12),"No")</f>
        <v>12</v>
      </c>
      <c r="BH142" s="2">
        <f>IF(AND(_xlfn.XLOOKUP(_xlfn.XLOOKUP(B142,'Base stats'!B:B,'Base stats'!E:E),Groups!A:A,Groups!AQ:AQ)=1,AO142&lt;=0.35),8,12)</f>
        <v>12</v>
      </c>
      <c r="BI142" s="2" t="str">
        <f>IF(_xlfn.XLOOKUP(_xlfn.XLOOKUP(B142,'Base stats'!B:B,'Base stats'!E:E),Groups!A:A,Groups!D:D)=0,_xlfn.XLOOKUP(_xlfn.XLOOKUP(B142,'Base stats'!B:B,'Base stats'!E:E),Groups!A:A,Groups!AR:AR),"None")</f>
        <v>Advanced</v>
      </c>
      <c r="BJ142" s="2" t="str">
        <f>IF(AND(_xlfn.XLOOKUP(_xlfn.XLOOKUP(B142,'Base stats'!B:B,'Base stats'!E:E),Groups!A:A,Groups!AS:AS)=1,OR(_xlfn.XLOOKUP(B142,'Base stats'!B:B,'Base stats'!Y:Y)="Carnivore",_xlfn.XLOOKUP(B142,'Base stats'!B:B,'Base stats'!Y:Y)="Omnivore")),"true","false")</f>
        <v>true</v>
      </c>
      <c r="BK142" s="2">
        <f>IF(BJ142="true",MROUND(IF(AND(AO142&gt;0.5,OR(_xlfn.XLOOKUP(_xlfn.XLOOKUP(B142,'Base stats'!B:B,'Base stats'!E:E),Groups!A:A,Groups!AJ:AJ)="Photonozoa",_xlfn.XLOOKUP(_xlfn.XLOOKUP(B142,'Base stats'!B:B,'Base stats'!E:E),Groups!A:A,Groups!AJ:AJ)="Mammal")),Animals!AO142*1.75*IF(AW142="true",1.5,1),IF(AO142&lt;0.5,Animals!AO142*0.5,Animals!AO142)),IF(AO142&gt;2,0.5,IF(AO142&gt;0.5,0.25,0.1))),"No")</f>
        <v>0.2</v>
      </c>
      <c r="BL142" s="2">
        <f t="shared" si="17"/>
        <v>1</v>
      </c>
      <c r="BM142" s="25" t="str">
        <f>IF(_xlfn.XLOOKUP(B142,'Base stats'!B:B,'Base stats'!AN:AN)="Standard","No",MROUND((_xlfn.XLOOKUP(B142,'Base stats'!B:B,'Base stats'!AN:AN)/3.6)/I142,0.1))</f>
        <v>No</v>
      </c>
      <c r="BN142" s="25" t="str">
        <f t="shared" si="18"/>
        <v>false</v>
      </c>
      <c r="BO142" s="25" t="str">
        <f>IF(AND(OR(_xlfn.XLOOKUP(B142,'Base stats'!B:B,'Base stats'!Y:Y)="Carnivore",_xlfn.XLOOKUP(B142,'Base stats'!B:B,'Base stats'!Y:Y)="Omnivore",_xlfn.XLOOKUP(B142,'Base stats'!B:B,'Base stats'!Y:Y)="OmnivoreRough"),_xlfn.XLOOKUP(_xlfn.XLOOKUP(B142,'Base stats'!B:B,'Base stats'!E:E),Groups!A:A,Groups!AT:AT)=1),"true","false")</f>
        <v>false</v>
      </c>
      <c r="BP142" s="25" t="str" cm="1">
        <f t="array" ref="BP142">IF(
  _xlfn.TEXTJOIN(", ",TRUE,
    IF(AND(BJ142="true",AO142&gt;0.5,BI142&lt;&gt;"None"),"AttackTarget",""),
    IF(AND(_xlfn.XLOOKUP(_xlfn.XLOOKUP(B142,'Base stats'!B:B,'Base stats'!E:E),Groups!A:A,Groups!AJ:AJ="Mammal"),OR(_xlfn.XLOOKUP(B142,'Base stats'!B:B,'Base stats'!Y:Y)="Omnivore",_xlfn.XLOOKUP(B142,'Base stats'!B:B,'Base stats'!Y:Y)="OmnivoreRough")),"Forage",""),
    IF(BG142&lt;=36,"Comfort",""),
    IF(_xlfn.XLOOKUP(B142,'Base stats'!B:B,'Base stats'!AE:AE)&lt;&gt;"No",_xlfn.XLOOKUP(B142,'Base stats'!B:B,'Base stats'!AE:AE),"")
  ) = "",
  "No",
  _xlfn.TEXTJOIN(", ",TRUE,
    IF(AND(BJ142="true",AO142&gt;0.5,BI142&lt;&gt;"None"),"AttackTarget",""),
    IF(AND(_xlfn.XLOOKUP(_xlfn.XLOOKUP(B142,'Base stats'!B:B,'Base stats'!E:E),Groups!A:A,Groups!AJ:AJ="Mammal"),OR(_xlfn.XLOOKUP(B142,'Base stats'!B:B,'Base stats'!Y:Y)="Omnivore",_xlfn.XLOOKUP(B142,'Base stats'!B:B,'Base stats'!Y:Y)="OmnivoreRough")),"Forage",""),
    IF(BG142&lt;=36,"Comfort",""),
    IF(_xlfn.XLOOKUP(B142,'Base stats'!B:B,'Base stats'!AE:AE)&lt;&gt;"No",_xlfn.XLOOKUP(B142,'Base stats'!B:B,'Base stats'!AE:AE),"")
  )
)</f>
        <v>Forage, Comfort</v>
      </c>
      <c r="BQ142" s="25" t="str">
        <f>IF(
   AND(
      'Base stats'!AN142="Standard",_xlfn.XLOOKUP(_xlfn.XLOOKUP(B142,'Base stats'!B:B,'Base stats'!E:E),Groups!A:A,Groups!AU:AU)=0,
      OR(
      BO142="True"
      )
   ),
   10,
   IF(
       OR(BM142&lt;&gt;"No",_xlfn.XLOOKUP(_xlfn.XLOOKUP(B142,'Base stats'!B:B,'Base stats'!E:E),Groups!A:A,Groups!AU:AU)=1),
      1,
      "No"
   )
)</f>
        <v>No</v>
      </c>
      <c r="BR142" s="9">
        <f>MROUND((1 + ((0.2*IF(OR(Q142="No",R142="No",R142=0),0,Q142/R142)
+IF(OR(V142="No",S142="No",T142="No"),0,S142/T142*(LEN(V142)-LEN(SUBSTITUTE(V142,",",""))+1))
+IF(OR(X142="No",Y142="No"),0,X142/Y142)
+IF(OR(AD142="No",AE142="No"),0,AD142/AE142)
+IF(OR(AL142="No",AI142="No",AJ142="No"),0,AI142/AJ142*(LEN(AL142)-LEN(SUBSTITUTE(AL142,",",""))+1))
)/(0.2*IF(OR(Q142="No",R142="No",R142=0),0,1)
+IF(OR(V142="No",S142="No",T142="No"),0,LEN(V142)-LEN(SUBSTITUTE(V142,",",""))+1)
+IF(OR(X142="No",Y142="No"),0,1)
+IF(OR(AD142="No",AE142="No"),0,1)
+IF(OR(AL142="No",AI142="No",AJ142="No"),0,LEN(AL142)-LEN(SUBSTITUTE(AL142,",",""))+1))*62%)* 2)*(1 + (AP142 / (IF(_xlfn.XLOOKUP(_xlfn.XLOOKUP(B142,'Base stats'!B:B,'Base stats'!E:E),Groups!A:A,Groups!AJ:AJ)="Photonozoa",0.3,1)) + _xlfn.XLOOKUP(B142,'Base stats'!B:B,'Base stats'!AV:AV) * 1.8) * 2) * 2.5 + 10 + I142 * 2,5)+IF(_xlfn.XLOOKUP(B142,'Base stats'!B:B,'Base stats'!AK:AK)=1,50,0)</f>
        <v>60</v>
      </c>
      <c r="BS142" s="8">
        <f t="shared" si="19"/>
        <v>0.35000000000000003</v>
      </c>
      <c r="BT142" s="8" t="str">
        <f>_xlfn.XLOOKUP(B142,'Base stats'!B:B,'Base stats'!AF:AF)</f>
        <v>2~4</v>
      </c>
      <c r="BU142" s="2" t="str">
        <f>IF(AND(J142&lt;=0.95,OR(_xlfn.XLOOKUP(B142,'Base stats'!B:B,'Base stats'!AK:AK)=1,_xlfn.XLOOKUP(B142,'Base stats'!B:B,'Base stats'!Y:Y)="Carnivore",_xlfn.XLOOKUP(B142,'Base stats'!B:B,'Base stats'!Y:Y)="Omnivore",BE142&gt;0.1)),"true","false")</f>
        <v>true</v>
      </c>
      <c r="BV142" s="2" t="str">
        <f>IF(_xlfn.XLOOKUP(B142,'Base stats'!B:B,'Base stats'!AI:AI)=1,"true","false")</f>
        <v>false</v>
      </c>
      <c r="BW142" s="25" t="str">
        <f>IF(E142="BaseInsect","AnimalInsect",
IF(J142&gt;0.95,"AnimalExotic",
_xlfn.TEXTJOIN(", ",TRUE,
IF(OR(_xlfn.XLOOKUP(B142,'Base stats'!B:B,'Base stats'!AM:AM)=1,AND(_xlfn.XLOOKUP(B142,'Base stats'!B:B,'Base stats'!O:O)=0,_xlfn.XLOOKUP(_xlfn.XLOOKUP(B142,'Base stats'!B:B,'Base stats'!E:E),Groups!A:A,Groups!B:B)&gt;0)),"AnimalUncommon","AnimalCommon"),
IF(AND(_xlfn.XLOOKUP(B142,'Base stats'!B:B,'Base stats'!O:O)=2,_xlfn.XLOOKUP(_xlfn.XLOOKUP(B142,'Base stats'!B:B,'Base stats'!E:E),Groups!A:A,Groups!D:D)=0),"AnimalPet",IF(AND(_xlfn.XLOOKUP(B142,'Base stats'!B:B,'Base stats'!O:O)&lt;&gt;0,_xlfn.XLOOKUP(_xlfn.XLOOKUP(B142,'Base stats'!B:B,'Base stats'!E:E),Groups!A:A,Groups!D:D)&lt;&gt;0),"AnimalFarm","")),
IF(OR(_xlfn.XLOOKUP(B142,'Base stats'!B:B,'Base stats'!AK:AK)=1,AND(BI142&lt;&gt;"None",BR142&gt;=60),ISNUMBER(SEARCH("Attack target",BP142))),"AnimalFighter","")
)))</f>
        <v>AnimalCommon, AnimalPet, AnimalFighter</v>
      </c>
      <c r="BX142" s="25" t="str">
        <f>IF(G142="None",TRIM(
SUBSTITUTE(
IF(COUNTIF(Biomes!B$2:B$259,"="&amp;$C142)&gt;0,Biomes!B$1&amp;", ","")&amp;
IF(COUNTIF(Biomes!C$2:C$259,"="&amp;$C142)&gt;0,Biomes!C$1&amp;", ","")&amp;
IF(COUNTIF(Biomes!D$2:D$259,"="&amp;$C142)&gt;0,Biomes!D$1&amp;", ","")&amp;
IF(COUNTIF(Biomes!F$2:F$259,"="&amp;$C142)&gt;0,Biomes!F$1&amp;", ","")&amp;
IF(COUNTIF(Biomes!G$2:G$259,"="&amp;$C142)&gt;0,Biomes!G$1&amp;", ","")&amp;
IF(COUNTIF(Biomes!H$2:H$259,"="&amp;$C142)&gt;0,Biomes!H$1&amp;", ","")&amp;
IF(COUNTIF(Biomes!I$2:I$259,"="&amp;$C142)&gt;0,Biomes!I$1&amp;", ","")&amp;
IF(COUNTIF(Biomes!J$2:J$259,"="&amp;$C142)&gt;0,Biomes!J$1&amp;", ","")&amp;
IF(COUNTIF(Biomes!M$2:M$259,"="&amp;$C142)&gt;0,Biomes!M$1&amp;", ","")&amp;
IF(COUNTIF(Biomes!N$2:N$259,"="&amp;$C142)&gt;0,Biomes!N$1&amp;", ","")&amp;
IF(COUNTIF(Biomes!O$2:O$259,"="&amp;$C142)&gt;0,Biomes!O$1&amp;", ","")&amp;
IF(COUNTIF(Biomes!P$2:P$259,"="&amp;$C142)&gt;0,Biomes!P$1&amp;", ","")&amp;
IF(COUNTIF(Biomes!K$2:K$259,"="&amp;$C142)&gt;0,Biomes!K$1&amp;", ","")&amp;
IF(COUNTIF(Biomes!Q$3:Q$259,"="&amp;$C142)&gt;0,Biomes!Q$1&amp;", ","")&amp;
IF(COUNTIF(Biomes!L$2:L$259,"="&amp;$C142)&gt;0,Biomes!L$1&amp;", ","")&amp;
IF(COUNTIF(Biomes!E$2:E$259,"="&amp;$C142)&gt;0,Biomes!E$1&amp;", ","")&amp;IF(COUNTIF(Biomes!S$2:S$259,"="&amp;$C142)&gt;0,Biomes!S$1&amp;", ","")&amp;
IF(COUNTIF(Biomes!R$2:R$259,"="&amp;$C142)&gt;0,Biomes!R$1&amp;", ",""),", ","")
),_xlfn.XLOOKUP(B142,B:B,BX:BX))</f>
        <v/>
      </c>
      <c r="BY142" s="25" t="str">
        <f>IF(_xlfn.XLOOKUP(B142,'Base stats'!B:B,'Base stats'!AJ:AJ)=1,"true","false")</f>
        <v>false</v>
      </c>
      <c r="BZ142" s="25">
        <f>IF(_xlfn.XLOOKUP(B142,'Base stats'!B:B,'Base stats'!N:N)=1,"No",MAX(0.001,MIN(MROUND(IF(AND(BJ142="True",CC142="False"),POWER(10,3.47*LOG10(_xlfn.XLOOKUP(B142,'Base stats'!B:B,'Base stats'!C:C)*1000)^-0.96),POWER(10,4.15*LOG10(_xlfn.XLOOKUP(B142,'Base stats'!B:B,'Base stats'!C:C)*1000)^-0.73))*IF(_xlfn.XLOOKUP(B142,'Base stats'!B:B,'Base stats'!AK:AK)=1,0.5,1)*IF(_xlfn.XLOOKUP(B142,'Base stats'!B:B,'Base stats'!AM:AM)=1,0.1,1)/100,IF(_xlfn.XLOOKUP(B142,'Base stats'!B:B,'Base stats'!AM:AM)=1,0.001,0.025)),0.5)))</f>
        <v>7.5000000000000011E-2</v>
      </c>
      <c r="CA142" s="25" t="str">
        <f>IF(P142="Standard","No",MAX(0.001,MIN(MROUND(IF(AND(BJ142="True",CC142="False"),POWER(10,3.47*LOG10(_xlfn.XLOOKUP(B142,'Base stats'!B:B,'Base stats'!C:C)*1000)^-0.96),POWER(10,4.15*LOG10(_xlfn.XLOOKUP(B142,'Base stats'!B:B,'Base stats'!C:C)*1000)^-0.73))*IF(_xlfn.XLOOKUP(B142,'Base stats'!B:B,'Base stats'!AM:AM)=1,0.1,1)*_xlfn.XLOOKUP(B142,'Base stats'!B:B,'Base stats'!R:R)/100,IF(_xlfn.XLOOKUP(B142,'Base stats'!B:B,'Base stats'!AM:AM)=1,0.001,0.025)),0.5)))</f>
        <v>No</v>
      </c>
      <c r="CB142" s="25" t="str">
        <f>IF(_xlfn.XLOOKUP(_xlfn.XLOOKUP(B142,'Base stats'!B:B,'Base stats'!E:E),Groups!A:A,Groups!AJ:AJ)="Mammal","True","False")</f>
        <v>True</v>
      </c>
      <c r="CC142" s="25" t="str">
        <f>IF(OR(_xlfn.XLOOKUP(_xlfn.XLOOKUP(B142,'Base stats'!B:B,'Base stats'!E:E),Groups!A:A,Groups!AJ:AJ)="Reptile",_xlfn.XLOOKUP(_xlfn.XLOOKUP(B142,'Base stats'!B:B,'Base stats'!E:E),Groups!A:A,Groups!AJ:AJ)="Amphibian",_xlfn.XLOOKUP(_xlfn.XLOOKUP(B142,'Base stats'!B:B,'Base stats'!E:E),Groups!A:A,Groups!AJ:AJ)="Invertebrate"),"True","False")</f>
        <v>False</v>
      </c>
      <c r="CD142" s="25" t="str">
        <f t="shared" si="20"/>
        <v>False</v>
      </c>
      <c r="CE142" s="25" t="str">
        <f>IF(_xlfn.XLOOKUP(_xlfn.XLOOKUP(B142,'Base stats'!B:B,'Base stats'!E:E),Groups!A:A,Groups!AX:AX),"True","False")</f>
        <v>False</v>
      </c>
      <c r="CF142" s="25" t="str">
        <f>IF(_xlfn.XLOOKUP(_xlfn.XLOOKUP(B142,'Base stats'!B:B,'Base stats'!E:E),Groups!A:A,Groups!AY:AY),"True","False")</f>
        <v>False</v>
      </c>
      <c r="CG142" s="25" t="str">
        <f>IF(_xlfn.XLOOKUP(_xlfn.XLOOKUP(B142,'Base stats'!B:B,'Base stats'!E:E),Groups!A:A,Groups!AW:AW),"True","False")</f>
        <v>False</v>
      </c>
      <c r="CH142" s="25" t="str">
        <f>IF(
OR(
_xlfn.XLOOKUP(_xlfn.XLOOKUP(B142,'Base stats'!B:B,'Base stats'!E:E),Groups!A:A,Groups!AZ:AZ)=0,
AND(
_xlfn.XLOOKUP(B142,'Base stats'!B:B,'Base stats'!Y:Y)&lt;&gt;"Carnivore",
_xlfn.XLOOKUP(B142,'Base stats'!B:B,'Base stats'!Y:Y)&lt;&gt;"Omnivore",
_xlfn.XLOOKUP(B142,'Base stats'!B:B,'Base stats'!Y:Y)&lt;&gt;"OmnivoreRough"
)
),
"No",
IF(
_xlfn.XLOOKUP(_xlfn.XLOOKUP(B142,'Base stats'!B:B,'Base stats'!E:E),Groups!A:A,Groups!AZ:AZ)=1,
"Flesh",
IF(
_xlfn.XLOOKUP(_xlfn.XLOOKUP(B142,'Base stats'!B:B,'Base stats'!E:E),Groups!A:A,Groups!AZ:AZ)=2,
"Bone",
""
)
)
)</f>
        <v>No</v>
      </c>
      <c r="CI142" s="25" t="str">
        <f>IF(_xlfn.XLOOKUP(_xlfn.XLOOKUP(B142,'Base stats'!B:B,'Base stats'!E:E),Groups!A:A,Groups!BB:BB),"True","False")</f>
        <v>True</v>
      </c>
      <c r="CJ142" s="25" t="str">
        <f>IF(_xlfn.XLOOKUP(_xlfn.XLOOKUP(B142,'Base stats'!B:B,'Base stats'!E:E),Groups!A:A,Groups!BA:BA),"True","False")</f>
        <v>False</v>
      </c>
    </row>
    <row r="143" spans="1:88" s="16" customFormat="1" ht="16.5" thickTop="1" thickBot="1" x14ac:dyDescent="0.3">
      <c r="A143" s="26" t="str">
        <f>_xlfn.XLOOKUP(B143,'Base stats'!B:B,'Base stats'!A:A)</f>
        <v>German shepherd</v>
      </c>
      <c r="B143" s="6" t="s">
        <v>896</v>
      </c>
      <c r="C143" s="28" t="s">
        <v>824</v>
      </c>
      <c r="D143" s="28" t="s">
        <v>872</v>
      </c>
      <c r="E143" s="28" t="s">
        <v>673</v>
      </c>
      <c r="F143" s="28" t="s">
        <v>673</v>
      </c>
      <c r="G143" s="28" t="s">
        <v>673</v>
      </c>
      <c r="H143" s="2">
        <f>MROUND((
  (IF(AND(_xlfn.XLOOKUP(B143,'Base stats'!B:B,'Base stats'!AL:AL)=0,BI143="None",_xlfn.XLOOKUP(_xlfn.XLOOKUP(B143,'Base stats'!B:B,'Base stats'!E:E),Groups!A:A,Groups!B:B)=0), (18 + BR143 * 2.7) * 0.5,
    IF(AND(_xlfn.XLOOKUP(B143,'Base stats'!B:B,'Base stats'!AL:AL)=0,OR(AO143&lt;0.55,AND(BI143="Intermediate",_xlfn.XLOOKUP(_xlfn.XLOOKUP(B143,'Base stats'!B:B,'Base stats'!E:E),Groups!A:A,Groups!B:B)&lt;2))), (18 + BR143 * 2.7),
      IF(OR(BI143="Advanced",_xlfn.XLOOKUP(B143,'Base stats'!B:B,'Base stats'!AL:AL)=1,_xlfn.XLOOKUP(_xlfn.XLOOKUP(B143,'Base stats'!B:B,'Base stats'!E:E),Groups!A:A,Groups!B:B)=2), (18 + BR143 * 2.7) + 250, (18 + BR143 * 2.7))
    )
  ))
  + AO143 * 80
  + IF(COUNTIF(EggMilk!K$2:K$998, A143) &gt; 0, 125, 0)
  + IF(COUNTIF(EggMilk!P$2:P$998, A143) &gt; 0, 90, 0)
  + IF(COUNTIF(EggMilk!A$2:A$998, A143) &gt; 0, 90, 0)
)
* (0.8 + 0.4 * J143)
* 0.75,25)</f>
        <v>325</v>
      </c>
      <c r="I143" s="2">
        <f>MROUND(ROUNDDOWN(_xlfn.XLOOKUP(B143,'Base stats'!B:B,'Base stats'!L:L)/3.6/(23.3/11),1),0.5)</f>
        <v>6.5</v>
      </c>
      <c r="J143" s="2">
        <f>IF(OR(_xlfn.XLOOKUP(B143,'Base stats'!B:B,'Base stats'!AB:AB)=1,_xlfn.XLOOKUP(_xlfn.XLOOKUP(B143,'Base stats'!B:B,'Base stats'!E:E),Groups!A:A,Groups!C:C)="Untamable"),1,IF(_xlfn.XLOOKUP(B143,'Base stats'!B:B,'Base stats'!AL:AL)=1,0.99,MIN(MROUND((1-0.6282*EXP(-0.459*AO143))*_xlfn.XLOOKUP(_xlfn.XLOOKUP(B143,'Base stats'!B:B,'Base stats'!E:E),Groups!A:A,Groups!C:C)*IF(_xlfn.XLOOKUP(B143,'Base stats'!B:B,'Base stats'!O:O)=1,0.5,IF(_xlfn.XLOOKUP(B143,'Base stats'!B:B,'Base stats'!O:O)=2,0,1)),0.05),IF(AO143&gt;3.5,0.985,0.95))))</f>
        <v>0</v>
      </c>
      <c r="K143" s="2">
        <f>ROUNDUP(AO143*_xlfn.XLOOKUP(_xlfn.XLOOKUP(B143,'Base stats'!B:B,'Base stats'!E:E),Groups!A:A,Groups!E:E),0)</f>
        <v>1</v>
      </c>
      <c r="L143" s="2">
        <f>IF(OR(_xlfn.XLOOKUP(_xlfn.XLOOKUP(B143,'Base stats'!B:B,'Base stats'!E:E),Groups!A:A,Groups!F:F)=2,ISNUMBER(SEARCH("SeaIce",BX143)),ISNUMBER(SEARCH("IceSheet",BX143))),-50,IF(OR(ISNUMBER(SEARCH("GlacialPlain",BX143)),ISNUMBER(SEARCH("Tundra",BX143))),-40,IF(OR(ISNUMBER(SEARCH("Alpine",BX143)),ISNUMBER(SEARCH("BorealForest",BX143)),ISNUMBER(SEARCH("ColdBog",BX143))),-30,IF(OR(ISNUMBER(SEARCH("TemperateForest",BX143)),ISNUMBER(SEARCH("TemperateSwamp",BX143))),-20,IF(_xlfn.XLOOKUP(_xlfn.XLOOKUP(B143,'Base stats'!B:B,'Base stats'!E:E),Groups!A:A,Groups!F:F)=1,-15,IF(OR(ISNUMBER(SEARCH("Desert",BX143)),ISNUMBER(SEARCH("ExtremeDesert",BX143))),-10,IF(OR(ISNUMBER(SEARCH("Grasslands",BX143)),ISNUMBER(SEARCH("TropicalRainforest",BX143)),ISNUMBER(SEARCH("TropicalSwamp",BX143))),10,0)))))))-IF(CC143="False",MIN(IFERROR(MAX(MROUND(LOG10(_xlfn.XLOOKUP(B143,'Base stats'!B:B,'Base stats'!C:C)^(2/3))*10,5),5),5),30))-_xlfn.XLOOKUP(B143,'Base stats'!B:B,'Base stats'!P:P)+IF(CC143="True",5,0)</f>
        <v>-35</v>
      </c>
      <c r="M143" s="2">
        <f>IF(OR(_xlfn.XLOOKUP(_xlfn.XLOOKUP(B143,'Base stats'!B:B,'Base stats'!E:E),Groups!A:A,Groups!G:G)=2,ISNUMBER(SEARCH("Desert",BX143)),ISNUMBER(SEARCH("ExtremeDesert",BX143)),ISNUMBER(SEARCH("LavaField",BX143))),50,IF(ISNUMBER(SEARCH("Grasslands",BX143)),45,IF(OR(_xlfn.XLOOKUP(_xlfn.XLOOKUP(B143,'Base stats'!B:B,'Base stats'!E:E),Groups!A:A,Groups!G:G)=1,ISNUMBER(SEARCH("TropicalRainforest",BX143)),ISNUMBER(SEARCH("TropicalSwamp",BX143))),40,IF(OR(ISNUMBER(SEARCH("TemperateForest",BX143)),ISNUMBER(SEARCH("TemperateSwamp",BX143))),35,IF(OR(ISNUMBER(SEARCH("Alpine",BX143)),ISNUMBER(SEARCH("BorealForest",BX143)),ISNUMBER(SEARCH("ColdBog",BX143))),30,IF(ISNUMBER(OR(ISNUMBER(SEARCH("GlacialPlain",BX143)),SEARCH("Tundra",BX143))),25,IF(OR(ISNUMBER(SEARCH("SeaIce",BX143)),ISNUMBER(SEARCH("IceSheet",BX143)),ISNUMBER(SEARCH("TropicalSwamp",BX143))),10,35)))))))+_xlfn.XLOOKUP(B143,'Base stats'!B:B,'Base stats'!Q:Q)</f>
        <v>35</v>
      </c>
      <c r="N143" s="8" t="str">
        <f>IF(
_xlfn.XLOOKUP(
_xlfn.XLOOKUP(B143,'Base stats'!B:B,'Base stats'!E:E),
Groups!A:A,
Groups!L:L
)=1,
MIN(
MROUND(
IF(
_xlfn.XLOOKUP(B143,'Animals CE'!B:B,'Animals CE'!Z:Z)&lt;=1.5,
_xlfn.XLOOKUP(B143,'Animals CE'!B:B,'Animals CE'!Z:Z)/2+0.05,
0.8+
(_xlfn.XLOOKUP(B143,'Animals CE'!B:B,'Animals CE'!Z:Z)-1.5)
*0.02
),
0.05
),
200%
),
"No"
)</f>
        <v>No</v>
      </c>
      <c r="O143" s="8" t="str">
        <f>IF(
_xlfn.XLOOKUP(
_xlfn.XLOOKUP(B143,'Base stats'!B:B,'Base stats'!E:E),
Groups!A:A,
Groups!L:L
)=1,
MIN(
MROUND(
IF(
_xlfn.XLOOKUP(B143,'Animals CE'!B:B,'Animals CE'!AA:AA)&lt;=1.5,
_xlfn.XLOOKUP(B143,'Animals CE'!B:B,'Animals CE'!AA:AA)/2+0.05,
0.8+
(_xlfn.XLOOKUP(B143,'Animals CE'!B:B,'Animals CE'!AA:AA)-1.5)
*0.02
),
0.05
),
200%
),
"No"
)</f>
        <v>No</v>
      </c>
      <c r="P143" s="2" t="str">
        <f>_xlfn.XLOOKUP(B143,'Base stats'!B:B,'Base stats'!R:R)</f>
        <v>Standard</v>
      </c>
      <c r="Q143" s="13">
        <f>MROUND((LOG10(_xlfn.XLOOKUP(B143,'Base stats'!B:B,'Base stats'!AR:AR))*(AO143^0.5)+(_xlfn.XLOOKUP(B143,'Base stats'!B:B,'Base stats'!AR:AR)/1000)^(2/3)+_xlfn.XLOOKUP(B143,'Base stats'!B:B,'Base stats'!BA:BA)/2)+0.5,0.5)</f>
        <v>5.5</v>
      </c>
      <c r="R143" s="7">
        <f>IF(Q143="No","No",MAX(1,MROUND(_xlfn.XLOOKUP(B143,'Base stats'!B:B,'Base stats'!C:C)^0.165,0.05)))</f>
        <v>1.8</v>
      </c>
      <c r="S143" s="13" t="str">
        <f>IF(_xlfn.XLOOKUP(_xlfn.XLOOKUP(B143,'Base stats'!B:B,'Base stats'!E:E),Groups!A:A,Groups!P:P)=0,"No",MROUND((LOG10(_xlfn.XLOOKUP(B143,'Base stats'!B:B,'Base stats'!AS:AS))*(AO143^0.5)+(_xlfn.XLOOKUP(B143,'Base stats'!B:B,'Base stats'!AS:AS)/1000)^(2/3)+_xlfn.XLOOKUP(B143,'Base stats'!B:B,'Base stats'!BA:BA))+_xlfn.XLOOKUP(B143,'Base stats'!B:B,'Base stats'!AY:AY)+0.5,0.5))</f>
        <v>No</v>
      </c>
      <c r="T143" s="7" t="str">
        <f>IF(S143="No","No",MAX(_xlfn.XLOOKUP(_xlfn.XLOOKUP(B143,'Base stats'!B:B,'Base stats'!E:E),Groups!A:A,Groups!Q:Q),MROUND(_xlfn.XLOOKUP(_xlfn.XLOOKUP(B143,'Base stats'!B:B,'Base stats'!E:E),Groups!A:A,Groups!Q:Q)*_xlfn.XLOOKUP(B143,'Base stats'!B:B,'Base stats'!C:C)^0.165,0.05)))</f>
        <v>No</v>
      </c>
      <c r="U143" s="7" t="str">
        <f>IF(S143="No","No",_xlfn.XLOOKUP(_xlfn.XLOOKUP(B143,'Base stats'!B:B,'Base stats'!E:E),Groups!A:A,Groups!R:R))</f>
        <v>No</v>
      </c>
      <c r="V143" s="7" t="str">
        <f>IF(S143="No","No",_xlfn.XLOOKUP(_xlfn.XLOOKUP(B143,'Base stats'!B:B,'Base stats'!E:E),Groups!A:A,Groups!S:S))</f>
        <v>No</v>
      </c>
      <c r="W143" s="7" t="str">
        <f>IF(S143="No","No",_xlfn.XLOOKUP(_xlfn.XLOOKUP(B143,'Base stats'!B:B,'Base stats'!E:E),Groups!A:A,Groups!T:T))</f>
        <v>No</v>
      </c>
      <c r="X143" s="13" t="str">
        <f>IF(_xlfn.XLOOKUP(B143,'Base stats'!B:B,'Base stats'!W:W)="No","No",MROUND((LOG10(_xlfn.XLOOKUP(B143,'Base stats'!B:B,'Base stats'!AU:AU))*(AO143^0.5)+(_xlfn.XLOOKUP(B143,'Base stats'!B:B,'Base stats'!AU:AU)/1000)^(2/3)+_xlfn.XLOOKUP(B143,'Base stats'!B:B,'Base stats'!AZ:AZ))+0.5+IF(_xlfn.XLOOKUP(_xlfn.XLOOKUP(B143,'Base stats'!B:B,'Base stats'!E:E),Groups!A:A,Groups!U:U)&lt;&gt;3,_xlfn.XLOOKUP(B143,'Base stats'!B:B,'Base stats'!BA:BA),0),0.5))</f>
        <v>No</v>
      </c>
      <c r="Y143" s="7" t="str">
        <f>IF(X143="No","No",MAX(_xlfn.XLOOKUP(_xlfn.XLOOKUP(B143,'Base stats'!B:B,'Base stats'!E:E),Groups!A:A,Groups!V:V),MROUND(_xlfn.XLOOKUP(_xlfn.XLOOKUP(B143,'Base stats'!B:B,'Base stats'!E:E),Groups!A:A,Groups!V:V)*_xlfn.XLOOKUP(B143,'Base stats'!B:B,'Base stats'!C:C)^0.165,0.05)))</f>
        <v>No</v>
      </c>
      <c r="Z143" s="7" t="str">
        <f>IF(X143="No","No",_xlfn.XLOOKUP(_xlfn.XLOOKUP(B143,'Base stats'!B:B,'Base stats'!E:E),Groups!A:A,Groups!W:W))</f>
        <v>No</v>
      </c>
      <c r="AA143" s="7" t="str">
        <f>IF(X143="No","No",_xlfn.XLOOKUP(_xlfn.XLOOKUP(B143,'Base stats'!B:B,'Base stats'!E:E),Groups!A:A,Groups!X:X))</f>
        <v>No</v>
      </c>
      <c r="AB143" s="7" t="str">
        <f>IF(X143="No","No",_xlfn.XLOOKUP(_xlfn.XLOOKUP(B143,'Base stats'!B:B,'Base stats'!E:E),Groups!A:A,Groups!Y:Y))</f>
        <v>No</v>
      </c>
      <c r="AC143" s="7" t="str">
        <f>_xlfn.XLOOKUP(Animals!B143,'Base stats'!B:B,'Base stats'!X:X)</f>
        <v>False</v>
      </c>
      <c r="AD143" s="13">
        <f>IF(_xlfn.XLOOKUP(B143,'Base stats'!B:B,'Base stats'!AT:AT)="No","No",MROUND((LOG10(_xlfn.XLOOKUP(B143,'Base stats'!B:B,'Base stats'!AT:AT))*(AO143^0.75)+(_xlfn.XLOOKUP(B143,'Base stats'!B:B,'Base stats'!AT:AT)/1000)^(2/3)+_xlfn.XLOOKUP(B143,'Base stats'!B:B,'Base stats'!AX:AX)+_xlfn.XLOOKUP(B143,'Base stats'!B:B,'Base stats'!BA:BA))+0.5,0.5))</f>
        <v>10.5</v>
      </c>
      <c r="AE143" s="7">
        <f>IF(AD143="No","No",MAX(_xlfn.XLOOKUP(_xlfn.XLOOKUP(B143,'Base stats'!B:B,'Base stats'!E:E),Groups!A:A,Groups!Z:Z),MROUND(_xlfn.XLOOKUP(_xlfn.XLOOKUP(B143,'Base stats'!B:B,'Base stats'!E:E),Groups!A:A,Groups!Z:Z)*_xlfn.XLOOKUP(B143,'Base stats'!B:B,'Base stats'!C:C)^0.165,0.05)))</f>
        <v>1.4500000000000002</v>
      </c>
      <c r="AF143" s="7" t="str">
        <f>IF(AD143="No","No",_xlfn.XLOOKUP(_xlfn.XLOOKUP(B143,'Base stats'!B:B,'Base stats'!E:E),Groups!A:A,Groups!AA:AA))</f>
        <v>Teeth</v>
      </c>
      <c r="AG143" s="7" t="str">
        <f>IF(AD143="No","No",_xlfn.XLOOKUP(_xlfn.XLOOKUP(B143,'Base stats'!B:B,'Base stats'!E:E),Groups!A:A,Groups!AB:AB))</f>
        <v>canines</v>
      </c>
      <c r="AH143" s="7" t="str">
        <f>IF(AD143="No","No",_xlfn.XLOOKUP(_xlfn.XLOOKUP(B143,'Base stats'!B:B,'Base stats'!E:E),Groups!A:A,Groups!AC:AC))</f>
        <v>Bite</v>
      </c>
      <c r="AI143" s="13" t="str">
        <f>IF(_xlfn.XLOOKUP(_xlfn.XLOOKUP(B143,'Base stats'!B:B,'Base stats'!E:E),Groups!A:A,Groups!AD:AD)=0,"No",MROUND((LOG10(_xlfn.XLOOKUP(B143,'Base stats'!B:B,'Base stats'!AS:AS))*(AO143^0.75)+(_xlfn.XLOOKUP(B143,'Base stats'!B:B,'Base stats'!AS:AS)/1000)^(2/3)+_xlfn.XLOOKUP(B143,'Base stats'!B:B,'Base stats'!AY:AY)+_xlfn.XLOOKUP(B143,'Base stats'!B:B,'Base stats'!BA:BA))+0.5,0.5))</f>
        <v>No</v>
      </c>
      <c r="AJ143" s="7" t="str">
        <f>IF(AI143="No","No",MAX(_xlfn.XLOOKUP(_xlfn.XLOOKUP(B143,'Base stats'!B:B,'Base stats'!E:E),Groups!A:A,Groups!AE:AE),MROUND(_xlfn.XLOOKUP(_xlfn.XLOOKUP(B143,'Base stats'!B:B,'Base stats'!E:E),Groups!A:A,Groups!AE:AE)*IF(_xlfn.XLOOKUP(_xlfn.XLOOKUP(B143,'Base stats'!B:B,'Base stats'!E:E),Groups!A:A,Groups!AJ:AJ)="Photonozoa",0.6,1)*_xlfn.XLOOKUP(B143,'Base stats'!B:B,'Base stats'!C:C)^0.165,0.05)))</f>
        <v>No</v>
      </c>
      <c r="AK143" s="7" t="str">
        <f>IF(AI143="No","No",_xlfn.XLOOKUP(_xlfn.XLOOKUP(B143,'Base stats'!B:B,'Base stats'!E:E),Groups!A:A,Groups!AF:AF))</f>
        <v>No</v>
      </c>
      <c r="AL143" s="7" t="str">
        <f>IF(AI143="No","No",_xlfn.XLOOKUP(_xlfn.XLOOKUP(B143,'Base stats'!B:B,'Base stats'!E:E),Groups!A:A,Groups!AG:AG))</f>
        <v>No</v>
      </c>
      <c r="AM143" s="7" t="str">
        <f>IF(AI143="No","No",_xlfn.XLOOKUP(_xlfn.XLOOKUP(B143,'Base stats'!B:B,'Base stats'!E:E),Groups!A:A,Groups!AH:AH))</f>
        <v>No</v>
      </c>
      <c r="AN143" s="2">
        <f t="shared" si="14"/>
        <v>20</v>
      </c>
      <c r="AO143" s="2">
        <f>MROUND(IF(AND(_xlfn.XLOOKUP(B143,'Base stats'!B:B,'Base stats'!C:C)&gt;=0.5,_xlfn.XLOOKUP(B143,'Base stats'!B:B,'Base stats'!C:C)&lt;=0.8),
IF(_xlfn.XLOOKUP(B143,'Base stats'!B:B,'Base stats'!C:C)&lt;0.1,0.05,IF(_xlfn.XLOOKUP(B143,'Base stats'!B:B,'Base stats'!C:C)&lt;=70,(_xlfn.XLOOKUP(B143,'Base stats'!B:B,'Base stats'!C:C)/70)^0.426489913056526,IF(_xlfn.XLOOKUP(B143,'Base stats'!B:B,'Base stats'!C:C)&lt;=400,(_xlfn.XLOOKUP(B143,'Base stats'!B:B,'Base stats'!C:C)/70)^0.572811455315093,IF(_xlfn.XLOOKUP(B143,'Base stats'!B:B,'Base stats'!C:C)&lt;=2000,2.71391647193063*(_xlfn.XLOOKUP(B143,'Base stats'!B:B,'Base stats'!C:C)/400)^0.252459582904293,3.74314280240376*(_xlfn.XLOOKUP(B143,'Base stats'!B:B,'Base stats'!C:C)/2000)^0.357012633876913)))),
IF(_xlfn.XLOOKUP(B143,'Base stats'!B:B,'Base stats'!C:C)&lt;0.1,0.05,IF(_xlfn.XLOOKUP(B143,'Base stats'!B:B,'Base stats'!C:C)&lt;0.4,0.1,IF(_xlfn.XLOOKUP(B143,'Base stats'!B:B,'Base stats'!C:C)&lt;=70,(_xlfn.XLOOKUP(B143,'Base stats'!B:B,'Base stats'!C:C)/70)^0.445823913056526,IF(_xlfn.XLOOKUP(B143,'Base stats'!B:B,'Base stats'!C:C)&lt;=400,(_xlfn.XLOOKUP(B143,'Base stats'!B:B,'Base stats'!C:C)/70)^0.572811455315093,IF(_xlfn.XLOOKUP(B143,'Base stats'!B:B,'Base stats'!C:C)&lt;=2000,2.71391647193063*(_xlfn.XLOOKUP(B143,'Base stats'!B:B,'Base stats'!C:C)/400)^0.252459582904293,3.74314280240376*(_xlfn.XLOOKUP(B143,'Base stats'!B:B,'Base stats'!C:C)/2000)^0.357012633876913)))))),
IF(_xlfn.XLOOKUP(B143,'Base stats'!B:B,'Base stats'!C:C)&lt;0.1,0.05,IF(_xlfn.XLOOKUP(B143,'Base stats'!B:B,'Base stats'!C:C)&lt;=100,0.05,IF(_xlfn.XLOOKUP(B143,'Base stats'!B:B,'Base stats'!C:C)&lt;=250,0.1,IF(_xlfn.XLOOKUP(B143,'Base stats'!B:B,'Base stats'!C:C)&lt;=4000,0.25,0.5)))))</f>
        <v>0.75</v>
      </c>
      <c r="AP143" s="8">
        <f>MROUND(AO143*_xlfn.XLOOKUP(_xlfn.XLOOKUP(B143,'Base stats'!B:B,'Base stats'!E:E),Groups!A:A,Groups!AI:AI)*_xlfn.XLOOKUP(B143,'Base stats'!B:B,'Base stats'!Z:Z),0.05)</f>
        <v>0.9</v>
      </c>
      <c r="AQ143" s="8">
        <f>MAX(0.01,MROUND(IF(CC143="True",0.196*(AO143*100*1000)^0.889,IF(_xlfn.XLOOKUP(_xlfn.XLOOKUP(B143,'Base stats'!B:B,'Base stats'!E:E),Groups!A:A,Groups!AJ:AJ)="Bird",10.5*(AO143*100*1000)^0.681,4.82*(AO143*100*1000)^0.734))/(4.82*(1*100*1000)^0.734)/IF(AO143&lt;3.5,2,IF(AO143=3.5,1.5,1.25))*(1+0.132282374779864/(AO143^0.994035016789033+0.00905238001496948)),0.05))</f>
        <v>0.5</v>
      </c>
      <c r="AR143" s="9">
        <f>IFERROR(MROUND(_xlfn.XLOOKUP(B143,'Base stats'!B:B,'Base stats'!H:H)/IF(_xlfn.XLOOKUP(B143,'Base stats'!B:B,'Base stats'!I:I)&lt;&gt;1,(122.5/70),1.2),IF(_xlfn.XLOOKUP(B143,'Base stats'!B:B,'Base stats'!H:H)&gt;=30,5,IF(_xlfn.XLOOKUP(B143,'Base stats'!B:B,'Base stats'!H:H)&gt;=15,3,IF(_xlfn.XLOOKUP(B143,'Base stats'!B:B,'Base stats'!H:H)&gt;=10,2,1)))),"Immortal")</f>
        <v>15</v>
      </c>
      <c r="AS143" s="35">
        <f>IFERROR(IF(OR(_xlfn.XLOOKUP(B143,'Base stats'!B:B,'Base stats'!F:F)="Atypical reproduction",_xlfn.XLOOKUP(B143,'Base stats'!B:B,'Base stats'!F:F)="Lay eggs"),"Lay eggs",MIN(20,MAX(5.5,ROUND(((_xlfn.XLOOKUP(B143,'Base stats'!B:B,'Base stats'!F:F)-25)*(14.5/615) + 5.5)*2,0)/2))),"Unknown")</f>
        <v>6.5</v>
      </c>
      <c r="AT143" s="8">
        <f>IF(_xlfn.XLOOKUP(B143,'Base stats'!B:B,'Base stats'!G:G)="Atypical reproduction","No",IFERROR(MAX(IF(_xlfn.XLOOKUP(B143,'Base stats'!B:B,'Base stats'!G:G)&lt;0.5,0.2,0.3),MROUND(_xlfn.XLOOKUP(B143,'Base stats'!B:B,'Base stats'!G:G)/(365/60),0.2)),"Unknown"))</f>
        <v>0.3</v>
      </c>
      <c r="AU143" s="8">
        <f t="shared" si="15"/>
        <v>0.15000000000000002</v>
      </c>
      <c r="AV143" s="8">
        <f>IFERROR(IFERROR(MROUND(_xlfn.XLOOKUP(B143,'Base stats'!B:B,'Base stats'!J:J),0.1),"Lay eggs"),"Cannot breed")</f>
        <v>6</v>
      </c>
      <c r="AW143" s="2" t="str">
        <f t="shared" si="16"/>
        <v>true</v>
      </c>
      <c r="AX143" s="2" t="str">
        <f>IF(_xlfn.XLOOKUP(_xlfn.XLOOKUP(Animals!B143,'Base stats'!B:B,'Base stats'!E:E),Groups!A:A,Groups!AK:AK)=1,"true","false")</f>
        <v>false</v>
      </c>
      <c r="AY143" s="25" t="str">
        <f>IF(_xlfn.XLOOKUP(B143,'Base stats'!B:B,'Base stats'!Y:Y)="Liquor","Liquor, CarnivoreAnimalStrict",IF(AND(_xlfn.XLOOKUP(B143,'Base stats'!B:B,'Base stats'!Y:Y)="Carnivore",_xlfn.XLOOKUP(_xlfn.XLOOKUP(B143,'Base stats'!B:B,'Base stats'!E:E),Groups!A:A,Groups!AJ:AJ)="Photonozoa"),"CarnivoreAnimalStrict, OvivoreAnimal",IF(_xlfn.XLOOKUP(B143,'Base stats'!B:B,'Base stats'!Y:Y)="Carnivore","CarnivoreAnimal, OvivoreAnimal",IF(_xlfn.XLOOKUP(B143,'Base stats'!B:B,'Base stats'!Y:Y)="Dendrovore","VegetarianRoughAnimal, DendrovoreAnimal",IF(_xlfn.XLOOKUP(B143,'Base stats'!B:B,'Base stats'!Y:Y)="Herbivore","VegetarianRoughAnimal",IF(_xlfn.XLOOKUP(B143,'Base stats'!B:B,'Base stats'!Y:Y)="OmnivoreRough","OmnivoreRoughAnimal, OvivoreAnimal","OmnivoreAnimal, OvivoreAnimal"))))))</f>
        <v>OmnivoreAnimal, OvivoreAnimal</v>
      </c>
      <c r="AZ143" s="2" t="str">
        <f>IF(_xlfn.XLOOKUP(_xlfn.XLOOKUP(B143,'Base stats'!B:B,'Base stats'!E:E),Groups!A:A,Groups!D:D)=1,MROUND((1-J143)*5+1,2)*IF(J143&lt;=0.4,2,1),"No")</f>
        <v>No</v>
      </c>
      <c r="BA143" s="2" t="str">
        <f>IF(AND(_xlfn.XLOOKUP(B143,'Base stats'!B:B,'Base stats'!AH:AH)="&lt;li&gt;Seal&lt;/li&gt;",G143="Odyssey"),"&lt;li&gt;AEXP_Seal&lt;/li&gt;",_xlfn.XLOOKUP(B143,'Base stats'!B:B,'Base stats'!AH:AH))</f>
        <v>&lt;li&gt;YorkshireTerrier&lt;/li&gt;</v>
      </c>
      <c r="BB143" s="2" t="str">
        <f>_xlfn.XLOOKUP(B143,'Base stats'!B:B,'Base stats'!AG:AG)</f>
        <v>Leather_Dog</v>
      </c>
      <c r="BC143" s="23" t="str">
        <f>_xlfn.XLOOKUP(_xlfn.XLOOKUP(B143,'Base stats'!B:B,'Base stats'!E:E),Groups!A:A,Groups!AL:AL)</f>
        <v>QuadrupedAnimalWithPawsAndTail</v>
      </c>
      <c r="BD143" s="23">
        <f>MIN(1,MROUND(IF(AND(AO143&lt;0.5,_xlfn.XLOOKUP(B143,'Base stats'!B:B,'Base stats'!AA:AA)=0),0,IF(OR(_xlfn.XLOOKUP(Animals!B143,'Base stats'!B:B,'Base stats'!O:O)=2,_xlfn.XLOOKUP(_xlfn.XLOOKUP(B143,'Base stats'!B:B,'Base stats'!E:E),Groups!A:A,Groups!AN:AN)=0),0,_xlfn.XLOOKUP(_xlfn.XLOOKUP(B143,'Base stats'!B:B,'Base stats'!E:E),Groups!A:A,Groups!AN:AN)/IF(_xlfn.XLOOKUP(Animals!B143,'Base stats'!B:B,'Base stats'!O:O)=1,2,1)))+_xlfn.XLOOKUP(B143,'Base stats'!B:B,'Base stats'!AC:AC),0.005))</f>
        <v>0</v>
      </c>
      <c r="BE143" s="23">
        <f>MIN(1,MROUND(IF(AND(AO143&lt;0.5,_xlfn.XLOOKUP(B143,'Base stats'!B:B,'Base stats'!AA:AA)=0),0,IF(_xlfn.XLOOKUP(_xlfn.XLOOKUP(B143,'Base stats'!B:B,'Base stats'!E:E),Groups!A:A,Groups!AO:AO)=0,0,_xlfn.XLOOKUP(_xlfn.XLOOKUP(B143,'Base stats'!B:B,'Base stats'!E:E),Groups!A:A,Groups!AO:AO)/IF(_xlfn.XLOOKUP(Animals!B143,'Base stats'!B:B,'Base stats'!O:O)=2,3,1)))+_xlfn.XLOOKUP(B143,'Base stats'!B:B,'Base stats'!AD:AD),0.005))</f>
        <v>0.1</v>
      </c>
      <c r="BF143" s="2">
        <f>IF(J143&gt;0.3,"No",_xlfn.XLOOKUP(_xlfn.XLOOKUP(Animals!B143,'Base stats'!B:B,'Base stats'!E:E),Groups!A:A,Groups!AP:AP))</f>
        <v>1</v>
      </c>
      <c r="BG143" s="2">
        <f>IF(AND(J143&lt;=0.65,_xlfn.XLOOKUP(_xlfn.XLOOKUP(Animals!B143,'Base stats'!B:B,'Base stats'!E:E),Groups!A:A,Groups!AP:AP)&lt;&gt;"No",_xlfn.XLOOKUP(_xlfn.XLOOKUP(B143,'Base stats'!B:B,'Base stats'!E:E),Groups!A:A,Groups!D:D)=0),MROUND((80/3)*IF(_xlfn.XLOOKUP(B143,'Base stats'!B:B,'Base stats'!O:O)=2,0.2,AO143) + 24*(1-IF(BF143="No",0,BF143)) + 16/3, 12),"No")</f>
        <v>12</v>
      </c>
      <c r="BH143" s="2">
        <f>IF(AND(_xlfn.XLOOKUP(_xlfn.XLOOKUP(B143,'Base stats'!B:B,'Base stats'!E:E),Groups!A:A,Groups!AQ:AQ)=1,AO143&lt;=0.35),8,12)</f>
        <v>12</v>
      </c>
      <c r="BI143" s="2" t="str">
        <f>IF(_xlfn.XLOOKUP(_xlfn.XLOOKUP(B143,'Base stats'!B:B,'Base stats'!E:E),Groups!A:A,Groups!D:D)=0,_xlfn.XLOOKUP(_xlfn.XLOOKUP(B143,'Base stats'!B:B,'Base stats'!E:E),Groups!A:A,Groups!AR:AR),"None")</f>
        <v>Advanced</v>
      </c>
      <c r="BJ143" s="2" t="str">
        <f>IF(AND(_xlfn.XLOOKUP(_xlfn.XLOOKUP(B143,'Base stats'!B:B,'Base stats'!E:E),Groups!A:A,Groups!AS:AS)=1,OR(_xlfn.XLOOKUP(B143,'Base stats'!B:B,'Base stats'!Y:Y)="Carnivore",_xlfn.XLOOKUP(B143,'Base stats'!B:B,'Base stats'!Y:Y)="Omnivore")),"true","false")</f>
        <v>true</v>
      </c>
      <c r="BK143" s="2">
        <f>IF(BJ143="true",MROUND(IF(AND(AO143&gt;0.5,OR(_xlfn.XLOOKUP(_xlfn.XLOOKUP(B143,'Base stats'!B:B,'Base stats'!E:E),Groups!A:A,Groups!AJ:AJ)="Photonozoa",_xlfn.XLOOKUP(_xlfn.XLOOKUP(B143,'Base stats'!B:B,'Base stats'!E:E),Groups!A:A,Groups!AJ:AJ)="Mammal")),Animals!AO143*1.75*IF(AW143="true",1.5,1),IF(AO143&lt;0.5,Animals!AO143*0.5,Animals!AO143)),IF(AO143&gt;2,0.5,IF(AO143&gt;0.5,0.25,0.1))),"No")</f>
        <v>2</v>
      </c>
      <c r="BL143" s="2">
        <f t="shared" si="17"/>
        <v>1</v>
      </c>
      <c r="BM143" s="25" t="str">
        <f>IF(_xlfn.XLOOKUP(B143,'Base stats'!B:B,'Base stats'!AN:AN)="Standard","No",MROUND((_xlfn.XLOOKUP(B143,'Base stats'!B:B,'Base stats'!AN:AN)/3.6)/I143,0.1))</f>
        <v>No</v>
      </c>
      <c r="BN143" s="25" t="str">
        <f t="shared" si="18"/>
        <v>false</v>
      </c>
      <c r="BO143" s="25" t="str">
        <f>IF(AND(OR(_xlfn.XLOOKUP(B143,'Base stats'!B:B,'Base stats'!Y:Y)="Carnivore",_xlfn.XLOOKUP(B143,'Base stats'!B:B,'Base stats'!Y:Y)="Omnivore",_xlfn.XLOOKUP(B143,'Base stats'!B:B,'Base stats'!Y:Y)="OmnivoreRough"),_xlfn.XLOOKUP(_xlfn.XLOOKUP(B143,'Base stats'!B:B,'Base stats'!E:E),Groups!A:A,Groups!AT:AT)=1),"true","false")</f>
        <v>false</v>
      </c>
      <c r="BP143" s="25" t="str" cm="1">
        <f t="array" ref="BP143">IF(
  _xlfn.TEXTJOIN(", ",TRUE,
    IF(AND(BJ143="true",AO143&gt;0.5,BI143&lt;&gt;"None"),"AttackTarget",""),
    IF(AND(_xlfn.XLOOKUP(_xlfn.XLOOKUP(B143,'Base stats'!B:B,'Base stats'!E:E),Groups!A:A,Groups!AJ:AJ="Mammal"),OR(_xlfn.XLOOKUP(B143,'Base stats'!B:B,'Base stats'!Y:Y)="Omnivore",_xlfn.XLOOKUP(B143,'Base stats'!B:B,'Base stats'!Y:Y)="OmnivoreRough")),"Forage",""),
    IF(BG143&lt;=36,"Comfort",""),
    IF(_xlfn.XLOOKUP(B143,'Base stats'!B:B,'Base stats'!AE:AE)&lt;&gt;"No",_xlfn.XLOOKUP(B143,'Base stats'!B:B,'Base stats'!AE:AE),"")
  ) = "",
  "No",
  _xlfn.TEXTJOIN(", ",TRUE,
    IF(AND(BJ143="true",AO143&gt;0.5,BI143&lt;&gt;"None"),"AttackTarget",""),
    IF(AND(_xlfn.XLOOKUP(_xlfn.XLOOKUP(B143,'Base stats'!B:B,'Base stats'!E:E),Groups!A:A,Groups!AJ:AJ="Mammal"),OR(_xlfn.XLOOKUP(B143,'Base stats'!B:B,'Base stats'!Y:Y)="Omnivore",_xlfn.XLOOKUP(B143,'Base stats'!B:B,'Base stats'!Y:Y)="OmnivoreRough")),"Forage",""),
    IF(BG143&lt;=36,"Comfort",""),
    IF(_xlfn.XLOOKUP(B143,'Base stats'!B:B,'Base stats'!AE:AE)&lt;&gt;"No",_xlfn.XLOOKUP(B143,'Base stats'!B:B,'Base stats'!AE:AE),"")
  )
)</f>
        <v>AttackTarget, Forage, Comfort</v>
      </c>
      <c r="BQ143" s="25" t="str">
        <f>IF(
   AND(
      'Base stats'!AN143="Standard",_xlfn.XLOOKUP(_xlfn.XLOOKUP(B143,'Base stats'!B:B,'Base stats'!E:E),Groups!A:A,Groups!AU:AU)=0,
      OR(
      BO143="True"
      )
   ),
   10,
   IF(
       OR(BM143&lt;&gt;"No",_xlfn.XLOOKUP(_xlfn.XLOOKUP(B143,'Base stats'!B:B,'Base stats'!E:E),Groups!A:A,Groups!AU:AU)=1),
      1,
      "No"
   )
)</f>
        <v>No</v>
      </c>
      <c r="BR143" s="9">
        <f>MROUND((1 + ((0.2*IF(OR(Q143="No",R143="No",R143=0),0,Q143/R143)
+IF(OR(V143="No",S143="No",T143="No"),0,S143/T143*(LEN(V143)-LEN(SUBSTITUTE(V143,",",""))+1))
+IF(OR(X143="No",Y143="No"),0,X143/Y143)
+IF(OR(AD143="No",AE143="No"),0,AD143/AE143)
+IF(OR(AL143="No",AI143="No",AJ143="No"),0,AI143/AJ143*(LEN(AL143)-LEN(SUBSTITUTE(AL143,",",""))+1))
)/(0.2*IF(OR(Q143="No",R143="No",R143=0),0,1)
+IF(OR(V143="No",S143="No",T143="No"),0,LEN(V143)-LEN(SUBSTITUTE(V143,",",""))+1)
+IF(OR(X143="No",Y143="No"),0,1)
+IF(OR(AD143="No",AE143="No"),0,1)
+IF(OR(AL143="No",AI143="No",AJ143="No"),0,LEN(AL143)-LEN(SUBSTITUTE(AL143,",",""))+1))*62%)* 2)*(1 + (AP143 / (IF(_xlfn.XLOOKUP(_xlfn.XLOOKUP(B143,'Base stats'!B:B,'Base stats'!E:E),Groups!A:A,Groups!AJ:AJ)="Photonozoa",0.3,1)) + _xlfn.XLOOKUP(B143,'Base stats'!B:B,'Base stats'!AV:AV) * 1.8) * 2) * 2.5 + 10 + I143 * 2,5)+IF(_xlfn.XLOOKUP(B143,'Base stats'!B:B,'Base stats'!AK:AK)=1,50,0)</f>
        <v>85</v>
      </c>
      <c r="BS143" s="8">
        <f t="shared" si="19"/>
        <v>0.55000000000000004</v>
      </c>
      <c r="BT143" s="8" t="str">
        <f>_xlfn.XLOOKUP(B143,'Base stats'!B:B,'Base stats'!AF:AF)</f>
        <v>2~4</v>
      </c>
      <c r="BU143" s="2" t="str">
        <f>IF(AND(J143&lt;=0.95,OR(_xlfn.XLOOKUP(B143,'Base stats'!B:B,'Base stats'!AK:AK)=1,_xlfn.XLOOKUP(B143,'Base stats'!B:B,'Base stats'!Y:Y)="Carnivore",_xlfn.XLOOKUP(B143,'Base stats'!B:B,'Base stats'!Y:Y)="Omnivore",BE143&gt;0.1)),"true","false")</f>
        <v>true</v>
      </c>
      <c r="BV143" s="2" t="str">
        <f>IF(_xlfn.XLOOKUP(B143,'Base stats'!B:B,'Base stats'!AI:AI)=1,"true","false")</f>
        <v>false</v>
      </c>
      <c r="BW143" s="25" t="str">
        <f>IF(E143="BaseInsect","AnimalInsect",
IF(J143&gt;0.95,"AnimalExotic",
_xlfn.TEXTJOIN(", ",TRUE,
IF(OR(_xlfn.XLOOKUP(B143,'Base stats'!B:B,'Base stats'!AM:AM)=1,AND(_xlfn.XLOOKUP(B143,'Base stats'!B:B,'Base stats'!O:O)=0,_xlfn.XLOOKUP(_xlfn.XLOOKUP(B143,'Base stats'!B:B,'Base stats'!E:E),Groups!A:A,Groups!B:B)&gt;0)),"AnimalUncommon","AnimalCommon"),
IF(AND(_xlfn.XLOOKUP(B143,'Base stats'!B:B,'Base stats'!O:O)=2,_xlfn.XLOOKUP(_xlfn.XLOOKUP(B143,'Base stats'!B:B,'Base stats'!E:E),Groups!A:A,Groups!D:D)=0),"AnimalPet",IF(AND(_xlfn.XLOOKUP(B143,'Base stats'!B:B,'Base stats'!O:O)&lt;&gt;0,_xlfn.XLOOKUP(_xlfn.XLOOKUP(B143,'Base stats'!B:B,'Base stats'!E:E),Groups!A:A,Groups!D:D)&lt;&gt;0),"AnimalFarm","")),
IF(OR(_xlfn.XLOOKUP(B143,'Base stats'!B:B,'Base stats'!AK:AK)=1,AND(BI143&lt;&gt;"None",BR143&gt;=60),ISNUMBER(SEARCH("Attack target",BP143))),"AnimalFighter","")
)))</f>
        <v>AnimalCommon, AnimalPet, AnimalFighter</v>
      </c>
      <c r="BX143" s="25" t="str">
        <f>IF(G143="None",TRIM(
SUBSTITUTE(
IF(COUNTIF(Biomes!B$2:B$259,"="&amp;$C143)&gt;0,Biomes!B$1&amp;", ","")&amp;
IF(COUNTIF(Biomes!C$2:C$259,"="&amp;$C143)&gt;0,Biomes!C$1&amp;", ","")&amp;
IF(COUNTIF(Biomes!D$2:D$259,"="&amp;$C143)&gt;0,Biomes!D$1&amp;", ","")&amp;
IF(COUNTIF(Biomes!F$2:F$259,"="&amp;$C143)&gt;0,Biomes!F$1&amp;", ","")&amp;
IF(COUNTIF(Biomes!G$2:G$259,"="&amp;$C143)&gt;0,Biomes!G$1&amp;", ","")&amp;
IF(COUNTIF(Biomes!H$2:H$259,"="&amp;$C143)&gt;0,Biomes!H$1&amp;", ","")&amp;
IF(COUNTIF(Biomes!I$2:I$259,"="&amp;$C143)&gt;0,Biomes!I$1&amp;", ","")&amp;
IF(COUNTIF(Biomes!J$2:J$259,"="&amp;$C143)&gt;0,Biomes!J$1&amp;", ","")&amp;
IF(COUNTIF(Biomes!M$2:M$259,"="&amp;$C143)&gt;0,Biomes!M$1&amp;", ","")&amp;
IF(COUNTIF(Biomes!N$2:N$259,"="&amp;$C143)&gt;0,Biomes!N$1&amp;", ","")&amp;
IF(COUNTIF(Biomes!O$2:O$259,"="&amp;$C143)&gt;0,Biomes!O$1&amp;", ","")&amp;
IF(COUNTIF(Biomes!P$2:P$259,"="&amp;$C143)&gt;0,Biomes!P$1&amp;", ","")&amp;
IF(COUNTIF(Biomes!K$2:K$259,"="&amp;$C143)&gt;0,Biomes!K$1&amp;", ","")&amp;
IF(COUNTIF(Biomes!Q$3:Q$259,"="&amp;$C143)&gt;0,Biomes!Q$1&amp;", ","")&amp;
IF(COUNTIF(Biomes!L$2:L$259,"="&amp;$C143)&gt;0,Biomes!L$1&amp;", ","")&amp;
IF(COUNTIF(Biomes!E$2:E$259,"="&amp;$C143)&gt;0,Biomes!E$1&amp;", ","")&amp;IF(COUNTIF(Biomes!S$2:S$259,"="&amp;$C143)&gt;0,Biomes!S$1&amp;", ","")&amp;
IF(COUNTIF(Biomes!R$2:R$259,"="&amp;$C143)&gt;0,Biomes!R$1&amp;", ",""),", ","")
),_xlfn.XLOOKUP(B143,B:B,BX:BX))</f>
        <v/>
      </c>
      <c r="BY143" s="25" t="str">
        <f>IF(_xlfn.XLOOKUP(B143,'Base stats'!B:B,'Base stats'!AJ:AJ)=1,"true","false")</f>
        <v>false</v>
      </c>
      <c r="BZ143" s="25">
        <f>IF(_xlfn.XLOOKUP(B143,'Base stats'!B:B,'Base stats'!N:N)=1,"No",MAX(0.001,MIN(MROUND(IF(AND(BJ143="True",CC143="False"),POWER(10,3.47*LOG10(_xlfn.XLOOKUP(B143,'Base stats'!B:B,'Base stats'!C:C)*1000)^-0.96),POWER(10,4.15*LOG10(_xlfn.XLOOKUP(B143,'Base stats'!B:B,'Base stats'!C:C)*1000)^-0.73))*IF(_xlfn.XLOOKUP(B143,'Base stats'!B:B,'Base stats'!AK:AK)=1,0.5,1)*IF(_xlfn.XLOOKUP(B143,'Base stats'!B:B,'Base stats'!AM:AM)=1,0.1,1)/100,IF(_xlfn.XLOOKUP(B143,'Base stats'!B:B,'Base stats'!AM:AM)=1,0.001,0.025)),0.5)))</f>
        <v>7.5000000000000011E-2</v>
      </c>
      <c r="CA143" s="25" t="str">
        <f>IF(P143="Standard","No",MAX(0.001,MIN(MROUND(IF(AND(BJ143="True",CC143="False"),POWER(10,3.47*LOG10(_xlfn.XLOOKUP(B143,'Base stats'!B:B,'Base stats'!C:C)*1000)^-0.96),POWER(10,4.15*LOG10(_xlfn.XLOOKUP(B143,'Base stats'!B:B,'Base stats'!C:C)*1000)^-0.73))*IF(_xlfn.XLOOKUP(B143,'Base stats'!B:B,'Base stats'!AM:AM)=1,0.1,1)*_xlfn.XLOOKUP(B143,'Base stats'!B:B,'Base stats'!R:R)/100,IF(_xlfn.XLOOKUP(B143,'Base stats'!B:B,'Base stats'!AM:AM)=1,0.001,0.025)),0.5)))</f>
        <v>No</v>
      </c>
      <c r="CB143" s="25" t="str">
        <f>IF(_xlfn.XLOOKUP(_xlfn.XLOOKUP(B143,'Base stats'!B:B,'Base stats'!E:E),Groups!A:A,Groups!AJ:AJ)="Mammal","True","False")</f>
        <v>True</v>
      </c>
      <c r="CC143" s="25" t="str">
        <f>IF(OR(_xlfn.XLOOKUP(_xlfn.XLOOKUP(B143,'Base stats'!B:B,'Base stats'!E:E),Groups!A:A,Groups!AJ:AJ)="Reptile",_xlfn.XLOOKUP(_xlfn.XLOOKUP(B143,'Base stats'!B:B,'Base stats'!E:E),Groups!A:A,Groups!AJ:AJ)="Amphibian",_xlfn.XLOOKUP(_xlfn.XLOOKUP(B143,'Base stats'!B:B,'Base stats'!E:E),Groups!A:A,Groups!AJ:AJ)="Invertebrate"),"True","False")</f>
        <v>False</v>
      </c>
      <c r="CD143" s="25" t="str">
        <f t="shared" si="20"/>
        <v>False</v>
      </c>
      <c r="CE143" s="25" t="str">
        <f>IF(_xlfn.XLOOKUP(_xlfn.XLOOKUP(B143,'Base stats'!B:B,'Base stats'!E:E),Groups!A:A,Groups!AX:AX),"True","False")</f>
        <v>False</v>
      </c>
      <c r="CF143" s="25" t="str">
        <f>IF(_xlfn.XLOOKUP(_xlfn.XLOOKUP(B143,'Base stats'!B:B,'Base stats'!E:E),Groups!A:A,Groups!AY:AY),"True","False")</f>
        <v>False</v>
      </c>
      <c r="CG143" s="25" t="str">
        <f>IF(_xlfn.XLOOKUP(_xlfn.XLOOKUP(B143,'Base stats'!B:B,'Base stats'!E:E),Groups!A:A,Groups!AW:AW),"True","False")</f>
        <v>False</v>
      </c>
      <c r="CH143" s="25" t="str">
        <f>IF(
OR(
_xlfn.XLOOKUP(_xlfn.XLOOKUP(B143,'Base stats'!B:B,'Base stats'!E:E),Groups!A:A,Groups!AZ:AZ)=0,
AND(
_xlfn.XLOOKUP(B143,'Base stats'!B:B,'Base stats'!Y:Y)&lt;&gt;"Carnivore",
_xlfn.XLOOKUP(B143,'Base stats'!B:B,'Base stats'!Y:Y)&lt;&gt;"Omnivore",
_xlfn.XLOOKUP(B143,'Base stats'!B:B,'Base stats'!Y:Y)&lt;&gt;"OmnivoreRough"
)
),
"No",
IF(
_xlfn.XLOOKUP(_xlfn.XLOOKUP(B143,'Base stats'!B:B,'Base stats'!E:E),Groups!A:A,Groups!AZ:AZ)=1,
"Flesh",
IF(
_xlfn.XLOOKUP(_xlfn.XLOOKUP(B143,'Base stats'!B:B,'Base stats'!E:E),Groups!A:A,Groups!AZ:AZ)=2,
"Bone",
""
)
)
)</f>
        <v>No</v>
      </c>
      <c r="CI143" s="25" t="str">
        <f>IF(_xlfn.XLOOKUP(_xlfn.XLOOKUP(B143,'Base stats'!B:B,'Base stats'!E:E),Groups!A:A,Groups!BB:BB),"True","False")</f>
        <v>True</v>
      </c>
      <c r="CJ143" s="25" t="str">
        <f>IF(_xlfn.XLOOKUP(_xlfn.XLOOKUP(B143,'Base stats'!B:B,'Base stats'!E:E),Groups!A:A,Groups!BA:BA),"True","False")</f>
        <v>False</v>
      </c>
    </row>
    <row r="144" spans="1:88" ht="16.5" thickTop="1" thickBot="1" x14ac:dyDescent="0.3">
      <c r="A144" s="26" t="str">
        <f>_xlfn.XLOOKUP(B144,'Base stats'!B:B,'Base stats'!A:A)</f>
        <v>Great dane</v>
      </c>
      <c r="B144" s="6" t="s">
        <v>897</v>
      </c>
      <c r="C144" s="28" t="s">
        <v>825</v>
      </c>
      <c r="D144" s="28" t="s">
        <v>872</v>
      </c>
      <c r="E144" s="28" t="s">
        <v>673</v>
      </c>
      <c r="F144" s="28" t="s">
        <v>673</v>
      </c>
      <c r="G144" s="28" t="s">
        <v>673</v>
      </c>
      <c r="H144" s="2">
        <f>MROUND((
  (IF(AND(_xlfn.XLOOKUP(B144,'Base stats'!B:B,'Base stats'!AL:AL)=0,BI144="None",_xlfn.XLOOKUP(_xlfn.XLOOKUP(B144,'Base stats'!B:B,'Base stats'!E:E),Groups!A:A,Groups!B:B)=0), (18 + BR144 * 2.7) * 0.5,
    IF(AND(_xlfn.XLOOKUP(B144,'Base stats'!B:B,'Base stats'!AL:AL)=0,OR(AO144&lt;0.55,AND(BI144="Intermediate",_xlfn.XLOOKUP(_xlfn.XLOOKUP(B144,'Base stats'!B:B,'Base stats'!E:E),Groups!A:A,Groups!B:B)&lt;2))), (18 + BR144 * 2.7),
      IF(OR(BI144="Advanced",_xlfn.XLOOKUP(B144,'Base stats'!B:B,'Base stats'!AL:AL)=1,_xlfn.XLOOKUP(_xlfn.XLOOKUP(B144,'Base stats'!B:B,'Base stats'!E:E),Groups!A:A,Groups!B:B)=2), (18 + BR144 * 2.7) + 250, (18 + BR144 * 2.7))
    )
  ))
  + AO144 * 80
  + IF(COUNTIF(EggMilk!K$2:K$998, A144) &gt; 0, 125, 0)
  + IF(COUNTIF(EggMilk!P$2:P$998, A144) &gt; 0, 90, 0)
  + IF(COUNTIF(EggMilk!A$2:A$998, A144) &gt; 0, 90, 0)
)
* (0.8 + 0.4 * J144)
* 0.75,25)</f>
        <v>375</v>
      </c>
      <c r="I144" s="2">
        <f>MROUND(ROUNDDOWN(_xlfn.XLOOKUP(B144,'Base stats'!B:B,'Base stats'!L:L)/3.6/(23.3/11),1),0.5)</f>
        <v>7</v>
      </c>
      <c r="J144" s="2">
        <f>IF(OR(_xlfn.XLOOKUP(B144,'Base stats'!B:B,'Base stats'!AB:AB)=1,_xlfn.XLOOKUP(_xlfn.XLOOKUP(B144,'Base stats'!B:B,'Base stats'!E:E),Groups!A:A,Groups!C:C)="Untamable"),1,IF(_xlfn.XLOOKUP(B144,'Base stats'!B:B,'Base stats'!AL:AL)=1,0.99,MIN(MROUND((1-0.6282*EXP(-0.459*AO144))*_xlfn.XLOOKUP(_xlfn.XLOOKUP(B144,'Base stats'!B:B,'Base stats'!E:E),Groups!A:A,Groups!C:C)*IF(_xlfn.XLOOKUP(B144,'Base stats'!B:B,'Base stats'!O:O)=1,0.5,IF(_xlfn.XLOOKUP(B144,'Base stats'!B:B,'Base stats'!O:O)=2,0,1)),0.05),IF(AO144&gt;3.5,0.985,0.95))))</f>
        <v>0</v>
      </c>
      <c r="K144" s="2">
        <f>ROUNDUP(AO144*_xlfn.XLOOKUP(_xlfn.XLOOKUP(B144,'Base stats'!B:B,'Base stats'!E:E),Groups!A:A,Groups!E:E),0)</f>
        <v>1</v>
      </c>
      <c r="L144" s="2">
        <f>IF(OR(_xlfn.XLOOKUP(_xlfn.XLOOKUP(B144,'Base stats'!B:B,'Base stats'!E:E),Groups!A:A,Groups!F:F)=2,ISNUMBER(SEARCH("SeaIce",BX144)),ISNUMBER(SEARCH("IceSheet",BX144))),-50,IF(OR(ISNUMBER(SEARCH("GlacialPlain",BX144)),ISNUMBER(SEARCH("Tundra",BX144))),-40,IF(OR(ISNUMBER(SEARCH("Alpine",BX144)),ISNUMBER(SEARCH("BorealForest",BX144)),ISNUMBER(SEARCH("ColdBog",BX144))),-30,IF(OR(ISNUMBER(SEARCH("TemperateForest",BX144)),ISNUMBER(SEARCH("TemperateSwamp",BX144))),-20,IF(_xlfn.XLOOKUP(_xlfn.XLOOKUP(B144,'Base stats'!B:B,'Base stats'!E:E),Groups!A:A,Groups!F:F)=1,-15,IF(OR(ISNUMBER(SEARCH("Desert",BX144)),ISNUMBER(SEARCH("ExtremeDesert",BX144))),-10,IF(OR(ISNUMBER(SEARCH("Grasslands",BX144)),ISNUMBER(SEARCH("TropicalRainforest",BX144)),ISNUMBER(SEARCH("TropicalSwamp",BX144))),10,0)))))))-IF(CC144="False",MIN(IFERROR(MAX(MROUND(LOG10(_xlfn.XLOOKUP(B144,'Base stats'!B:B,'Base stats'!C:C)^(2/3))*10,5),5),5),30))-_xlfn.XLOOKUP(B144,'Base stats'!B:B,'Base stats'!P:P)+IF(CC144="True",5,0)</f>
        <v>-25</v>
      </c>
      <c r="M144" s="2">
        <f>IF(OR(_xlfn.XLOOKUP(_xlfn.XLOOKUP(B144,'Base stats'!B:B,'Base stats'!E:E),Groups!A:A,Groups!G:G)=2,ISNUMBER(SEARCH("Desert",BX144)),ISNUMBER(SEARCH("ExtremeDesert",BX144)),ISNUMBER(SEARCH("LavaField",BX144))),50,IF(ISNUMBER(SEARCH("Grasslands",BX144)),45,IF(OR(_xlfn.XLOOKUP(_xlfn.XLOOKUP(B144,'Base stats'!B:B,'Base stats'!E:E),Groups!A:A,Groups!G:G)=1,ISNUMBER(SEARCH("TropicalRainforest",BX144)),ISNUMBER(SEARCH("TropicalSwamp",BX144))),40,IF(OR(ISNUMBER(SEARCH("TemperateForest",BX144)),ISNUMBER(SEARCH("TemperateSwamp",BX144))),35,IF(OR(ISNUMBER(SEARCH("Alpine",BX144)),ISNUMBER(SEARCH("BorealForest",BX144)),ISNUMBER(SEARCH("ColdBog",BX144))),30,IF(ISNUMBER(OR(ISNUMBER(SEARCH("GlacialPlain",BX144)),SEARCH("Tundra",BX144))),25,IF(OR(ISNUMBER(SEARCH("SeaIce",BX144)),ISNUMBER(SEARCH("IceSheet",BX144)),ISNUMBER(SEARCH("TropicalSwamp",BX144))),10,35)))))))+_xlfn.XLOOKUP(B144,'Base stats'!B:B,'Base stats'!Q:Q)</f>
        <v>35</v>
      </c>
      <c r="N144" s="8" t="str">
        <f>IF(
_xlfn.XLOOKUP(
_xlfn.XLOOKUP(B144,'Base stats'!B:B,'Base stats'!E:E),
Groups!A:A,
Groups!L:L
)=1,
MIN(
MROUND(
IF(
_xlfn.XLOOKUP(B144,'Animals CE'!B:B,'Animals CE'!Z:Z)&lt;=1.5,
_xlfn.XLOOKUP(B144,'Animals CE'!B:B,'Animals CE'!Z:Z)/2+0.05,
0.8+
(_xlfn.XLOOKUP(B144,'Animals CE'!B:B,'Animals CE'!Z:Z)-1.5)
*0.02
),
0.05
),
200%
),
"No"
)</f>
        <v>No</v>
      </c>
      <c r="O144" s="8" t="str">
        <f>IF(
_xlfn.XLOOKUP(
_xlfn.XLOOKUP(B144,'Base stats'!B:B,'Base stats'!E:E),
Groups!A:A,
Groups!L:L
)=1,
MIN(
MROUND(
IF(
_xlfn.XLOOKUP(B144,'Animals CE'!B:B,'Animals CE'!AA:AA)&lt;=1.5,
_xlfn.XLOOKUP(B144,'Animals CE'!B:B,'Animals CE'!AA:AA)/2+0.05,
0.8+
(_xlfn.XLOOKUP(B144,'Animals CE'!B:B,'Animals CE'!AA:AA)-1.5)
*0.02
),
0.05
),
200%
),
"No"
)</f>
        <v>No</v>
      </c>
      <c r="P144" s="2" t="str">
        <f>_xlfn.XLOOKUP(B144,'Base stats'!B:B,'Base stats'!R:R)</f>
        <v>Standard</v>
      </c>
      <c r="Q144" s="13">
        <f>MROUND((LOG10(_xlfn.XLOOKUP(B144,'Base stats'!B:B,'Base stats'!AR:AR))*(AO144^0.5)+(_xlfn.XLOOKUP(B144,'Base stats'!B:B,'Base stats'!AR:AR)/1000)^(2/3)+_xlfn.XLOOKUP(B144,'Base stats'!B:B,'Base stats'!BA:BA)/2)+0.5,0.5)</f>
        <v>7</v>
      </c>
      <c r="R144" s="7">
        <f>IF(Q144="No","No",MAX(1,MROUND(_xlfn.XLOOKUP(B144,'Base stats'!B:B,'Base stats'!C:C)^0.165,0.05)))</f>
        <v>2</v>
      </c>
      <c r="S144" s="13" t="str">
        <f>IF(_xlfn.XLOOKUP(_xlfn.XLOOKUP(B144,'Base stats'!B:B,'Base stats'!E:E),Groups!A:A,Groups!P:P)=0,"No",MROUND((LOG10(_xlfn.XLOOKUP(B144,'Base stats'!B:B,'Base stats'!AS:AS))*(AO144^0.5)+(_xlfn.XLOOKUP(B144,'Base stats'!B:B,'Base stats'!AS:AS)/1000)^(2/3)+_xlfn.XLOOKUP(B144,'Base stats'!B:B,'Base stats'!BA:BA))+_xlfn.XLOOKUP(B144,'Base stats'!B:B,'Base stats'!AY:AY)+0.5,0.5))</f>
        <v>No</v>
      </c>
      <c r="T144" s="7" t="str">
        <f>IF(S144="No","No",MAX(_xlfn.XLOOKUP(_xlfn.XLOOKUP(B144,'Base stats'!B:B,'Base stats'!E:E),Groups!A:A,Groups!Q:Q),MROUND(_xlfn.XLOOKUP(_xlfn.XLOOKUP(B144,'Base stats'!B:B,'Base stats'!E:E),Groups!A:A,Groups!Q:Q)*_xlfn.XLOOKUP(B144,'Base stats'!B:B,'Base stats'!C:C)^0.165,0.05)))</f>
        <v>No</v>
      </c>
      <c r="U144" s="7" t="str">
        <f>IF(S144="No","No",_xlfn.XLOOKUP(_xlfn.XLOOKUP(B144,'Base stats'!B:B,'Base stats'!E:E),Groups!A:A,Groups!R:R))</f>
        <v>No</v>
      </c>
      <c r="V144" s="7" t="str">
        <f>IF(S144="No","No",_xlfn.XLOOKUP(_xlfn.XLOOKUP(B144,'Base stats'!B:B,'Base stats'!E:E),Groups!A:A,Groups!S:S))</f>
        <v>No</v>
      </c>
      <c r="W144" s="7" t="str">
        <f>IF(S144="No","No",_xlfn.XLOOKUP(_xlfn.XLOOKUP(B144,'Base stats'!B:B,'Base stats'!E:E),Groups!A:A,Groups!T:T))</f>
        <v>No</v>
      </c>
      <c r="X144" s="13" t="str">
        <f>IF(_xlfn.XLOOKUP(B144,'Base stats'!B:B,'Base stats'!W:W)="No","No",MROUND((LOG10(_xlfn.XLOOKUP(B144,'Base stats'!B:B,'Base stats'!AU:AU))*(AO144^0.5)+(_xlfn.XLOOKUP(B144,'Base stats'!B:B,'Base stats'!AU:AU)/1000)^(2/3)+_xlfn.XLOOKUP(B144,'Base stats'!B:B,'Base stats'!AZ:AZ))+0.5+IF(_xlfn.XLOOKUP(_xlfn.XLOOKUP(B144,'Base stats'!B:B,'Base stats'!E:E),Groups!A:A,Groups!U:U)&lt;&gt;3,_xlfn.XLOOKUP(B144,'Base stats'!B:B,'Base stats'!BA:BA),0),0.5))</f>
        <v>No</v>
      </c>
      <c r="Y144" s="7" t="str">
        <f>IF(X144="No","No",MAX(_xlfn.XLOOKUP(_xlfn.XLOOKUP(B144,'Base stats'!B:B,'Base stats'!E:E),Groups!A:A,Groups!V:V),MROUND(_xlfn.XLOOKUP(_xlfn.XLOOKUP(B144,'Base stats'!B:B,'Base stats'!E:E),Groups!A:A,Groups!V:V)*_xlfn.XLOOKUP(B144,'Base stats'!B:B,'Base stats'!C:C)^0.165,0.05)))</f>
        <v>No</v>
      </c>
      <c r="Z144" s="7" t="str">
        <f>IF(X144="No","No",_xlfn.XLOOKUP(_xlfn.XLOOKUP(B144,'Base stats'!B:B,'Base stats'!E:E),Groups!A:A,Groups!W:W))</f>
        <v>No</v>
      </c>
      <c r="AA144" s="7" t="str">
        <f>IF(X144="No","No",_xlfn.XLOOKUP(_xlfn.XLOOKUP(B144,'Base stats'!B:B,'Base stats'!E:E),Groups!A:A,Groups!X:X))</f>
        <v>No</v>
      </c>
      <c r="AB144" s="7" t="str">
        <f>IF(X144="No","No",_xlfn.XLOOKUP(_xlfn.XLOOKUP(B144,'Base stats'!B:B,'Base stats'!E:E),Groups!A:A,Groups!Y:Y))</f>
        <v>No</v>
      </c>
      <c r="AC144" s="7" t="str">
        <f>_xlfn.XLOOKUP(Animals!B144,'Base stats'!B:B,'Base stats'!X:X)</f>
        <v>False</v>
      </c>
      <c r="AD144" s="13">
        <f>IF(_xlfn.XLOOKUP(B144,'Base stats'!B:B,'Base stats'!AT:AT)="No","No",MROUND((LOG10(_xlfn.XLOOKUP(B144,'Base stats'!B:B,'Base stats'!AT:AT))*(AO144^0.75)+(_xlfn.XLOOKUP(B144,'Base stats'!B:B,'Base stats'!AT:AT)/1000)^(2/3)+_xlfn.XLOOKUP(B144,'Base stats'!B:B,'Base stats'!AX:AX)+_xlfn.XLOOKUP(B144,'Base stats'!B:B,'Base stats'!BA:BA))+0.5,0.5))</f>
        <v>12.5</v>
      </c>
      <c r="AE144" s="7">
        <f>IF(AD144="No","No",MAX(_xlfn.XLOOKUP(_xlfn.XLOOKUP(B144,'Base stats'!B:B,'Base stats'!E:E),Groups!A:A,Groups!Z:Z),MROUND(_xlfn.XLOOKUP(_xlfn.XLOOKUP(B144,'Base stats'!B:B,'Base stats'!E:E),Groups!A:A,Groups!Z:Z)*_xlfn.XLOOKUP(B144,'Base stats'!B:B,'Base stats'!C:C)^0.165,0.05)))</f>
        <v>1.6</v>
      </c>
      <c r="AF144" s="7" t="str">
        <f>IF(AD144="No","No",_xlfn.XLOOKUP(_xlfn.XLOOKUP(B144,'Base stats'!B:B,'Base stats'!E:E),Groups!A:A,Groups!AA:AA))</f>
        <v>Teeth</v>
      </c>
      <c r="AG144" s="7" t="str">
        <f>IF(AD144="No","No",_xlfn.XLOOKUP(_xlfn.XLOOKUP(B144,'Base stats'!B:B,'Base stats'!E:E),Groups!A:A,Groups!AB:AB))</f>
        <v>canines</v>
      </c>
      <c r="AH144" s="7" t="str">
        <f>IF(AD144="No","No",_xlfn.XLOOKUP(_xlfn.XLOOKUP(B144,'Base stats'!B:B,'Base stats'!E:E),Groups!A:A,Groups!AC:AC))</f>
        <v>Bite</v>
      </c>
      <c r="AI144" s="13" t="str">
        <f>IF(_xlfn.XLOOKUP(_xlfn.XLOOKUP(B144,'Base stats'!B:B,'Base stats'!E:E),Groups!A:A,Groups!AD:AD)=0,"No",MROUND((LOG10(_xlfn.XLOOKUP(B144,'Base stats'!B:B,'Base stats'!AS:AS))*(AO144^0.75)+(_xlfn.XLOOKUP(B144,'Base stats'!B:B,'Base stats'!AS:AS)/1000)^(2/3)+_xlfn.XLOOKUP(B144,'Base stats'!B:B,'Base stats'!AY:AY)+_xlfn.XLOOKUP(B144,'Base stats'!B:B,'Base stats'!BA:BA))+0.5,0.5))</f>
        <v>No</v>
      </c>
      <c r="AJ144" s="7" t="str">
        <f>IF(AI144="No","No",MAX(_xlfn.XLOOKUP(_xlfn.XLOOKUP(B144,'Base stats'!B:B,'Base stats'!E:E),Groups!A:A,Groups!AE:AE),MROUND(_xlfn.XLOOKUP(_xlfn.XLOOKUP(B144,'Base stats'!B:B,'Base stats'!E:E),Groups!A:A,Groups!AE:AE)*IF(_xlfn.XLOOKUP(_xlfn.XLOOKUP(B144,'Base stats'!B:B,'Base stats'!E:E),Groups!A:A,Groups!AJ:AJ)="Photonozoa",0.6,1)*_xlfn.XLOOKUP(B144,'Base stats'!B:B,'Base stats'!C:C)^0.165,0.05)))</f>
        <v>No</v>
      </c>
      <c r="AK144" s="7" t="str">
        <f>IF(AI144="No","No",_xlfn.XLOOKUP(_xlfn.XLOOKUP(B144,'Base stats'!B:B,'Base stats'!E:E),Groups!A:A,Groups!AF:AF))</f>
        <v>No</v>
      </c>
      <c r="AL144" s="7" t="str">
        <f>IF(AI144="No","No",_xlfn.XLOOKUP(_xlfn.XLOOKUP(B144,'Base stats'!B:B,'Base stats'!E:E),Groups!A:A,Groups!AG:AG))</f>
        <v>No</v>
      </c>
      <c r="AM144" s="7" t="str">
        <f>IF(AI144="No","No",_xlfn.XLOOKUP(_xlfn.XLOOKUP(B144,'Base stats'!B:B,'Base stats'!E:E),Groups!A:A,Groups!AH:AH))</f>
        <v>No</v>
      </c>
      <c r="AN144" s="2">
        <f t="shared" si="14"/>
        <v>20</v>
      </c>
      <c r="AO144" s="2">
        <f>MROUND(IF(AND(_xlfn.XLOOKUP(B144,'Base stats'!B:B,'Base stats'!C:C)&gt;=0.5,_xlfn.XLOOKUP(B144,'Base stats'!B:B,'Base stats'!C:C)&lt;=0.8),
IF(_xlfn.XLOOKUP(B144,'Base stats'!B:B,'Base stats'!C:C)&lt;0.1,0.05,IF(_xlfn.XLOOKUP(B144,'Base stats'!B:B,'Base stats'!C:C)&lt;=70,(_xlfn.XLOOKUP(B144,'Base stats'!B:B,'Base stats'!C:C)/70)^0.426489913056526,IF(_xlfn.XLOOKUP(B144,'Base stats'!B:B,'Base stats'!C:C)&lt;=400,(_xlfn.XLOOKUP(B144,'Base stats'!B:B,'Base stats'!C:C)/70)^0.572811455315093,IF(_xlfn.XLOOKUP(B144,'Base stats'!B:B,'Base stats'!C:C)&lt;=2000,2.71391647193063*(_xlfn.XLOOKUP(B144,'Base stats'!B:B,'Base stats'!C:C)/400)^0.252459582904293,3.74314280240376*(_xlfn.XLOOKUP(B144,'Base stats'!B:B,'Base stats'!C:C)/2000)^0.357012633876913)))),
IF(_xlfn.XLOOKUP(B144,'Base stats'!B:B,'Base stats'!C:C)&lt;0.1,0.05,IF(_xlfn.XLOOKUP(B144,'Base stats'!B:B,'Base stats'!C:C)&lt;0.4,0.1,IF(_xlfn.XLOOKUP(B144,'Base stats'!B:B,'Base stats'!C:C)&lt;=70,(_xlfn.XLOOKUP(B144,'Base stats'!B:B,'Base stats'!C:C)/70)^0.445823913056526,IF(_xlfn.XLOOKUP(B144,'Base stats'!B:B,'Base stats'!C:C)&lt;=400,(_xlfn.XLOOKUP(B144,'Base stats'!B:B,'Base stats'!C:C)/70)^0.572811455315093,IF(_xlfn.XLOOKUP(B144,'Base stats'!B:B,'Base stats'!C:C)&lt;=2000,2.71391647193063*(_xlfn.XLOOKUP(B144,'Base stats'!B:B,'Base stats'!C:C)/400)^0.252459582904293,3.74314280240376*(_xlfn.XLOOKUP(B144,'Base stats'!B:B,'Base stats'!C:C)/2000)^0.357012633876913)))))),
IF(_xlfn.XLOOKUP(B144,'Base stats'!B:B,'Base stats'!C:C)&lt;0.1,0.05,IF(_xlfn.XLOOKUP(B144,'Base stats'!B:B,'Base stats'!C:C)&lt;=100,0.05,IF(_xlfn.XLOOKUP(B144,'Base stats'!B:B,'Base stats'!C:C)&lt;=250,0.1,IF(_xlfn.XLOOKUP(B144,'Base stats'!B:B,'Base stats'!C:C)&lt;=4000,0.25,0.5)))))</f>
        <v>0.95000000000000007</v>
      </c>
      <c r="AP144" s="8">
        <f>MROUND(AO144*_xlfn.XLOOKUP(_xlfn.XLOOKUP(B144,'Base stats'!B:B,'Base stats'!E:E),Groups!A:A,Groups!AI:AI)*_xlfn.XLOOKUP(B144,'Base stats'!B:B,'Base stats'!Z:Z),0.05)</f>
        <v>1.1500000000000001</v>
      </c>
      <c r="AQ144" s="8">
        <f>MAX(0.01,MROUND(IF(CC144="True",0.196*(AO144*100*1000)^0.889,IF(_xlfn.XLOOKUP(_xlfn.XLOOKUP(B144,'Base stats'!B:B,'Base stats'!E:E),Groups!A:A,Groups!AJ:AJ)="Bird",10.5*(AO144*100*1000)^0.681,4.82*(AO144*100*1000)^0.734))/(4.82*(1*100*1000)^0.734)/IF(AO144&lt;3.5,2,IF(AO144=3.5,1.5,1.25))*(1+0.132282374779864/(AO144^0.994035016789033+0.00905238001496948)),0.05))</f>
        <v>0.55000000000000004</v>
      </c>
      <c r="AR144" s="9">
        <f>IFERROR(MROUND(_xlfn.XLOOKUP(B144,'Base stats'!B:B,'Base stats'!H:H)/IF(_xlfn.XLOOKUP(B144,'Base stats'!B:B,'Base stats'!I:I)&lt;&gt;1,(122.5/70),1.2),IF(_xlfn.XLOOKUP(B144,'Base stats'!B:B,'Base stats'!H:H)&gt;=30,5,IF(_xlfn.XLOOKUP(B144,'Base stats'!B:B,'Base stats'!H:H)&gt;=15,3,IF(_xlfn.XLOOKUP(B144,'Base stats'!B:B,'Base stats'!H:H)&gt;=10,2,1)))),"Immortal")</f>
        <v>15</v>
      </c>
      <c r="AS144" s="35">
        <f>IFERROR(IF(OR(_xlfn.XLOOKUP(B144,'Base stats'!B:B,'Base stats'!F:F)="Atypical reproduction",_xlfn.XLOOKUP(B144,'Base stats'!B:B,'Base stats'!F:F)="Lay eggs"),"Lay eggs",MIN(20,MAX(5.5,ROUND(((_xlfn.XLOOKUP(B144,'Base stats'!B:B,'Base stats'!F:F)-25)*(14.5/615) + 5.5)*2,0)/2))),"Unknown")</f>
        <v>6.5</v>
      </c>
      <c r="AT144" s="8">
        <f>IF(_xlfn.XLOOKUP(B144,'Base stats'!B:B,'Base stats'!G:G)="Atypical reproduction","No",IFERROR(MAX(IF(_xlfn.XLOOKUP(B144,'Base stats'!B:B,'Base stats'!G:G)&lt;0.5,0.2,0.3),MROUND(_xlfn.XLOOKUP(B144,'Base stats'!B:B,'Base stats'!G:G)/(365/60),0.2)),"Unknown"))</f>
        <v>0.3</v>
      </c>
      <c r="AU144" s="8">
        <f t="shared" si="15"/>
        <v>0.15000000000000002</v>
      </c>
      <c r="AV144" s="8">
        <f>IFERROR(IFERROR(MROUND(_xlfn.XLOOKUP(B144,'Base stats'!B:B,'Base stats'!J:J),0.1),"Lay eggs"),"Cannot breed")</f>
        <v>6</v>
      </c>
      <c r="AW144" s="2" t="str">
        <f t="shared" si="16"/>
        <v>true</v>
      </c>
      <c r="AX144" s="2" t="str">
        <f>IF(_xlfn.XLOOKUP(_xlfn.XLOOKUP(Animals!B144,'Base stats'!B:B,'Base stats'!E:E),Groups!A:A,Groups!AK:AK)=1,"true","false")</f>
        <v>false</v>
      </c>
      <c r="AY144" s="25" t="str">
        <f>IF(_xlfn.XLOOKUP(B144,'Base stats'!B:B,'Base stats'!Y:Y)="Liquor","Liquor, CarnivoreAnimalStrict",IF(AND(_xlfn.XLOOKUP(B144,'Base stats'!B:B,'Base stats'!Y:Y)="Carnivore",_xlfn.XLOOKUP(_xlfn.XLOOKUP(B144,'Base stats'!B:B,'Base stats'!E:E),Groups!A:A,Groups!AJ:AJ)="Photonozoa"),"CarnivoreAnimalStrict, OvivoreAnimal",IF(_xlfn.XLOOKUP(B144,'Base stats'!B:B,'Base stats'!Y:Y)="Carnivore","CarnivoreAnimal, OvivoreAnimal",IF(_xlfn.XLOOKUP(B144,'Base stats'!B:B,'Base stats'!Y:Y)="Dendrovore","VegetarianRoughAnimal, DendrovoreAnimal",IF(_xlfn.XLOOKUP(B144,'Base stats'!B:B,'Base stats'!Y:Y)="Herbivore","VegetarianRoughAnimal",IF(_xlfn.XLOOKUP(B144,'Base stats'!B:B,'Base stats'!Y:Y)="OmnivoreRough","OmnivoreRoughAnimal, OvivoreAnimal","OmnivoreAnimal, OvivoreAnimal"))))))</f>
        <v>OmnivoreAnimal, OvivoreAnimal</v>
      </c>
      <c r="AZ144" s="2" t="str">
        <f>IF(_xlfn.XLOOKUP(_xlfn.XLOOKUP(B144,'Base stats'!B:B,'Base stats'!E:E),Groups!A:A,Groups!D:D)=1,MROUND((1-J144)*5+1,2)*IF(J144&lt;=0.4,2,1),"No")</f>
        <v>No</v>
      </c>
      <c r="BA144" s="2" t="str">
        <f>IF(AND(_xlfn.XLOOKUP(B144,'Base stats'!B:B,'Base stats'!AH:AH)="&lt;li&gt;Seal&lt;/li&gt;",G144="Odyssey"),"&lt;li&gt;AEXP_Seal&lt;/li&gt;",_xlfn.XLOOKUP(B144,'Base stats'!B:B,'Base stats'!AH:AH))</f>
        <v>&lt;li&gt;YorkshireTerrier&lt;/li&gt;</v>
      </c>
      <c r="BB144" s="2" t="str">
        <f>_xlfn.XLOOKUP(B144,'Base stats'!B:B,'Base stats'!AG:AG)</f>
        <v>Leather_Dog</v>
      </c>
      <c r="BC144" s="23" t="str">
        <f>_xlfn.XLOOKUP(_xlfn.XLOOKUP(B144,'Base stats'!B:B,'Base stats'!E:E),Groups!A:A,Groups!AL:AL)</f>
        <v>QuadrupedAnimalWithPawsAndTail</v>
      </c>
      <c r="BD144" s="23">
        <f>MIN(1,MROUND(IF(AND(AO144&lt;0.5,_xlfn.XLOOKUP(B144,'Base stats'!B:B,'Base stats'!AA:AA)=0),0,IF(OR(_xlfn.XLOOKUP(Animals!B144,'Base stats'!B:B,'Base stats'!O:O)=2,_xlfn.XLOOKUP(_xlfn.XLOOKUP(B144,'Base stats'!B:B,'Base stats'!E:E),Groups!A:A,Groups!AN:AN)=0),0,_xlfn.XLOOKUP(_xlfn.XLOOKUP(B144,'Base stats'!B:B,'Base stats'!E:E),Groups!A:A,Groups!AN:AN)/IF(_xlfn.XLOOKUP(Animals!B144,'Base stats'!B:B,'Base stats'!O:O)=1,2,1)))+_xlfn.XLOOKUP(B144,'Base stats'!B:B,'Base stats'!AC:AC),0.005))</f>
        <v>0</v>
      </c>
      <c r="BE144" s="23">
        <f>MIN(1,MROUND(IF(AND(AO144&lt;0.5,_xlfn.XLOOKUP(B144,'Base stats'!B:B,'Base stats'!AA:AA)=0),0,IF(_xlfn.XLOOKUP(_xlfn.XLOOKUP(B144,'Base stats'!B:B,'Base stats'!E:E),Groups!A:A,Groups!AO:AO)=0,0,_xlfn.XLOOKUP(_xlfn.XLOOKUP(B144,'Base stats'!B:B,'Base stats'!E:E),Groups!A:A,Groups!AO:AO)/IF(_xlfn.XLOOKUP(Animals!B144,'Base stats'!B:B,'Base stats'!O:O)=2,3,1)))+_xlfn.XLOOKUP(B144,'Base stats'!B:B,'Base stats'!AD:AD),0.005))</f>
        <v>0.1</v>
      </c>
      <c r="BF144" s="2">
        <f>IF(J144&gt;0.3,"No",_xlfn.XLOOKUP(_xlfn.XLOOKUP(Animals!B144,'Base stats'!B:B,'Base stats'!E:E),Groups!A:A,Groups!AP:AP))</f>
        <v>1</v>
      </c>
      <c r="BG144" s="2">
        <f>IF(AND(J144&lt;=0.65,_xlfn.XLOOKUP(_xlfn.XLOOKUP(Animals!B144,'Base stats'!B:B,'Base stats'!E:E),Groups!A:A,Groups!AP:AP)&lt;&gt;"No",_xlfn.XLOOKUP(_xlfn.XLOOKUP(B144,'Base stats'!B:B,'Base stats'!E:E),Groups!A:A,Groups!D:D)=0),MROUND((80/3)*IF(_xlfn.XLOOKUP(B144,'Base stats'!B:B,'Base stats'!O:O)=2,0.2,AO144) + 24*(1-IF(BF144="No",0,BF144)) + 16/3, 12),"No")</f>
        <v>12</v>
      </c>
      <c r="BH144" s="2">
        <f>IF(AND(_xlfn.XLOOKUP(_xlfn.XLOOKUP(B144,'Base stats'!B:B,'Base stats'!E:E),Groups!A:A,Groups!AQ:AQ)=1,AO144&lt;=0.35),8,12)</f>
        <v>12</v>
      </c>
      <c r="BI144" s="2" t="str">
        <f>IF(_xlfn.XLOOKUP(_xlfn.XLOOKUP(B144,'Base stats'!B:B,'Base stats'!E:E),Groups!A:A,Groups!D:D)=0,_xlfn.XLOOKUP(_xlfn.XLOOKUP(B144,'Base stats'!B:B,'Base stats'!E:E),Groups!A:A,Groups!AR:AR),"None")</f>
        <v>Advanced</v>
      </c>
      <c r="BJ144" s="2" t="str">
        <f>IF(AND(_xlfn.XLOOKUP(_xlfn.XLOOKUP(B144,'Base stats'!B:B,'Base stats'!E:E),Groups!A:A,Groups!AS:AS)=1,OR(_xlfn.XLOOKUP(B144,'Base stats'!B:B,'Base stats'!Y:Y)="Carnivore",_xlfn.XLOOKUP(B144,'Base stats'!B:B,'Base stats'!Y:Y)="Omnivore")),"true","false")</f>
        <v>true</v>
      </c>
      <c r="BK144" s="2">
        <f>IF(BJ144="true",MROUND(IF(AND(AO144&gt;0.5,OR(_xlfn.XLOOKUP(_xlfn.XLOOKUP(B144,'Base stats'!B:B,'Base stats'!E:E),Groups!A:A,Groups!AJ:AJ)="Photonozoa",_xlfn.XLOOKUP(_xlfn.XLOOKUP(B144,'Base stats'!B:B,'Base stats'!E:E),Groups!A:A,Groups!AJ:AJ)="Mammal")),Animals!AO144*1.75*IF(AW144="true",1.5,1),IF(AO144&lt;0.5,Animals!AO144*0.5,Animals!AO144)),IF(AO144&gt;2,0.5,IF(AO144&gt;0.5,0.25,0.1))),"No")</f>
        <v>2.5</v>
      </c>
      <c r="BL144" s="2">
        <f t="shared" si="17"/>
        <v>1</v>
      </c>
      <c r="BM144" s="25" t="str">
        <f>IF(_xlfn.XLOOKUP(B144,'Base stats'!B:B,'Base stats'!AN:AN)="Standard","No",MROUND((_xlfn.XLOOKUP(B144,'Base stats'!B:B,'Base stats'!AN:AN)/3.6)/I144,0.1))</f>
        <v>No</v>
      </c>
      <c r="BN144" s="25" t="str">
        <f t="shared" si="18"/>
        <v>false</v>
      </c>
      <c r="BO144" s="25" t="str">
        <f>IF(AND(OR(_xlfn.XLOOKUP(B144,'Base stats'!B:B,'Base stats'!Y:Y)="Carnivore",_xlfn.XLOOKUP(B144,'Base stats'!B:B,'Base stats'!Y:Y)="Omnivore",_xlfn.XLOOKUP(B144,'Base stats'!B:B,'Base stats'!Y:Y)="OmnivoreRough"),_xlfn.XLOOKUP(_xlfn.XLOOKUP(B144,'Base stats'!B:B,'Base stats'!E:E),Groups!A:A,Groups!AT:AT)=1),"true","false")</f>
        <v>false</v>
      </c>
      <c r="BP144" s="25" t="str" cm="1">
        <f t="array" ref="BP144">IF(
  _xlfn.TEXTJOIN(", ",TRUE,
    IF(AND(BJ144="true",AO144&gt;0.5,BI144&lt;&gt;"None"),"AttackTarget",""),
    IF(AND(_xlfn.XLOOKUP(_xlfn.XLOOKUP(B144,'Base stats'!B:B,'Base stats'!E:E),Groups!A:A,Groups!AJ:AJ="Mammal"),OR(_xlfn.XLOOKUP(B144,'Base stats'!B:B,'Base stats'!Y:Y)="Omnivore",_xlfn.XLOOKUP(B144,'Base stats'!B:B,'Base stats'!Y:Y)="OmnivoreRough")),"Forage",""),
    IF(BG144&lt;=36,"Comfort",""),
    IF(_xlfn.XLOOKUP(B144,'Base stats'!B:B,'Base stats'!AE:AE)&lt;&gt;"No",_xlfn.XLOOKUP(B144,'Base stats'!B:B,'Base stats'!AE:AE),"")
  ) = "",
  "No",
  _xlfn.TEXTJOIN(", ",TRUE,
    IF(AND(BJ144="true",AO144&gt;0.5,BI144&lt;&gt;"None"),"AttackTarget",""),
    IF(AND(_xlfn.XLOOKUP(_xlfn.XLOOKUP(B144,'Base stats'!B:B,'Base stats'!E:E),Groups!A:A,Groups!AJ:AJ="Mammal"),OR(_xlfn.XLOOKUP(B144,'Base stats'!B:B,'Base stats'!Y:Y)="Omnivore",_xlfn.XLOOKUP(B144,'Base stats'!B:B,'Base stats'!Y:Y)="OmnivoreRough")),"Forage",""),
    IF(BG144&lt;=36,"Comfort",""),
    IF(_xlfn.XLOOKUP(B144,'Base stats'!B:B,'Base stats'!AE:AE)&lt;&gt;"No",_xlfn.XLOOKUP(B144,'Base stats'!B:B,'Base stats'!AE:AE),"")
  )
)</f>
        <v>AttackTarget, Forage, Comfort</v>
      </c>
      <c r="BQ144" s="25" t="str">
        <f>IF(
   AND(
      'Base stats'!AN144="Standard",_xlfn.XLOOKUP(_xlfn.XLOOKUP(B144,'Base stats'!B:B,'Base stats'!E:E),Groups!A:A,Groups!AU:AU)=0,
      OR(
      BO144="True"
      )
   ),
   10,
   IF(
       OR(BM144&lt;&gt;"No",_xlfn.XLOOKUP(_xlfn.XLOOKUP(B144,'Base stats'!B:B,'Base stats'!E:E),Groups!A:A,Groups!AU:AU)=1),
      1,
      "No"
   )
)</f>
        <v>No</v>
      </c>
      <c r="BR144" s="9">
        <f>MROUND((1 + ((0.2*IF(OR(Q144="No",R144="No",R144=0),0,Q144/R144)
+IF(OR(V144="No",S144="No",T144="No"),0,S144/T144*(LEN(V144)-LEN(SUBSTITUTE(V144,",",""))+1))
+IF(OR(X144="No",Y144="No"),0,X144/Y144)
+IF(OR(AD144="No",AE144="No"),0,AD144/AE144)
+IF(OR(AL144="No",AI144="No",AJ144="No"),0,AI144/AJ144*(LEN(AL144)-LEN(SUBSTITUTE(AL144,",",""))+1))
)/(0.2*IF(OR(Q144="No",R144="No",R144=0),0,1)
+IF(OR(V144="No",S144="No",T144="No"),0,LEN(V144)-LEN(SUBSTITUTE(V144,",",""))+1)
+IF(OR(X144="No",Y144="No"),0,1)
+IF(OR(AD144="No",AE144="No"),0,1)
+IF(OR(AL144="No",AI144="No",AJ144="No"),0,LEN(AL144)-LEN(SUBSTITUTE(AL144,",",""))+1))*62%)* 2)*(1 + (AP144 / (IF(_xlfn.XLOOKUP(_xlfn.XLOOKUP(B144,'Base stats'!B:B,'Base stats'!E:E),Groups!A:A,Groups!AJ:AJ)="Photonozoa",0.3,1)) + _xlfn.XLOOKUP(B144,'Base stats'!B:B,'Base stats'!AV:AV) * 1.8) * 2) * 2.5 + 10 + I144 * 2,5)+IF(_xlfn.XLOOKUP(B144,'Base stats'!B:B,'Base stats'!AK:AK)=1,50,0)</f>
        <v>105</v>
      </c>
      <c r="BS144" s="8">
        <f t="shared" si="19"/>
        <v>0.65</v>
      </c>
      <c r="BT144" s="8" t="str">
        <f>_xlfn.XLOOKUP(B144,'Base stats'!B:B,'Base stats'!AF:AF)</f>
        <v>2~4</v>
      </c>
      <c r="BU144" s="2" t="str">
        <f>IF(AND(J144&lt;=0.95,OR(_xlfn.XLOOKUP(B144,'Base stats'!B:B,'Base stats'!AK:AK)=1,_xlfn.XLOOKUP(B144,'Base stats'!B:B,'Base stats'!Y:Y)="Carnivore",_xlfn.XLOOKUP(B144,'Base stats'!B:B,'Base stats'!Y:Y)="Omnivore",BE144&gt;0.1)),"true","false")</f>
        <v>true</v>
      </c>
      <c r="BV144" s="2" t="str">
        <f>IF(_xlfn.XLOOKUP(B144,'Base stats'!B:B,'Base stats'!AI:AI)=1,"true","false")</f>
        <v>false</v>
      </c>
      <c r="BW144" s="25" t="str">
        <f>IF(E144="BaseInsect","AnimalInsect",
IF(J144&gt;0.95,"AnimalExotic",
_xlfn.TEXTJOIN(", ",TRUE,
IF(OR(_xlfn.XLOOKUP(B144,'Base stats'!B:B,'Base stats'!AM:AM)=1,AND(_xlfn.XLOOKUP(B144,'Base stats'!B:B,'Base stats'!O:O)=0,_xlfn.XLOOKUP(_xlfn.XLOOKUP(B144,'Base stats'!B:B,'Base stats'!E:E),Groups!A:A,Groups!B:B)&gt;0)),"AnimalUncommon","AnimalCommon"),
IF(AND(_xlfn.XLOOKUP(B144,'Base stats'!B:B,'Base stats'!O:O)=2,_xlfn.XLOOKUP(_xlfn.XLOOKUP(B144,'Base stats'!B:B,'Base stats'!E:E),Groups!A:A,Groups!D:D)=0),"AnimalPet",IF(AND(_xlfn.XLOOKUP(B144,'Base stats'!B:B,'Base stats'!O:O)&lt;&gt;0,_xlfn.XLOOKUP(_xlfn.XLOOKUP(B144,'Base stats'!B:B,'Base stats'!E:E),Groups!A:A,Groups!D:D)&lt;&gt;0),"AnimalFarm","")),
IF(OR(_xlfn.XLOOKUP(B144,'Base stats'!B:B,'Base stats'!AK:AK)=1,AND(BI144&lt;&gt;"None",BR144&gt;=60),ISNUMBER(SEARCH("Attack target",BP144))),"AnimalFighter","")
)))</f>
        <v>AnimalCommon, AnimalPet, AnimalFighter</v>
      </c>
      <c r="BX144" s="25" t="str">
        <f>IF(G144="None",TRIM(
SUBSTITUTE(
IF(COUNTIF(Biomes!B$2:B$259,"="&amp;$C144)&gt;0,Biomes!B$1&amp;", ","")&amp;
IF(COUNTIF(Biomes!C$2:C$259,"="&amp;$C144)&gt;0,Biomes!C$1&amp;", ","")&amp;
IF(COUNTIF(Biomes!D$2:D$259,"="&amp;$C144)&gt;0,Biomes!D$1&amp;", ","")&amp;
IF(COUNTIF(Biomes!F$2:F$259,"="&amp;$C144)&gt;0,Biomes!F$1&amp;", ","")&amp;
IF(COUNTIF(Biomes!G$2:G$259,"="&amp;$C144)&gt;0,Biomes!G$1&amp;", ","")&amp;
IF(COUNTIF(Biomes!H$2:H$259,"="&amp;$C144)&gt;0,Biomes!H$1&amp;", ","")&amp;
IF(COUNTIF(Biomes!I$2:I$259,"="&amp;$C144)&gt;0,Biomes!I$1&amp;", ","")&amp;
IF(COUNTIF(Biomes!J$2:J$259,"="&amp;$C144)&gt;0,Biomes!J$1&amp;", ","")&amp;
IF(COUNTIF(Biomes!M$2:M$259,"="&amp;$C144)&gt;0,Biomes!M$1&amp;", ","")&amp;
IF(COUNTIF(Biomes!N$2:N$259,"="&amp;$C144)&gt;0,Biomes!N$1&amp;", ","")&amp;
IF(COUNTIF(Biomes!O$2:O$259,"="&amp;$C144)&gt;0,Biomes!O$1&amp;", ","")&amp;
IF(COUNTIF(Biomes!P$2:P$259,"="&amp;$C144)&gt;0,Biomes!P$1&amp;", ","")&amp;
IF(COUNTIF(Biomes!K$2:K$259,"="&amp;$C144)&gt;0,Biomes!K$1&amp;", ","")&amp;
IF(COUNTIF(Biomes!Q$3:Q$259,"="&amp;$C144)&gt;0,Biomes!Q$1&amp;", ","")&amp;
IF(COUNTIF(Biomes!L$2:L$259,"="&amp;$C144)&gt;0,Biomes!L$1&amp;", ","")&amp;
IF(COUNTIF(Biomes!E$2:E$259,"="&amp;$C144)&gt;0,Biomes!E$1&amp;", ","")&amp;IF(COUNTIF(Biomes!S$2:S$259,"="&amp;$C144)&gt;0,Biomes!S$1&amp;", ","")&amp;
IF(COUNTIF(Biomes!R$2:R$259,"="&amp;$C144)&gt;0,Biomes!R$1&amp;", ",""),", ","")
),_xlfn.XLOOKUP(B144,B:B,BX:BX))</f>
        <v/>
      </c>
      <c r="BY144" s="25" t="str">
        <f>IF(_xlfn.XLOOKUP(B144,'Base stats'!B:B,'Base stats'!AJ:AJ)=1,"true","false")</f>
        <v>false</v>
      </c>
      <c r="BZ144" s="25">
        <f>IF(_xlfn.XLOOKUP(B144,'Base stats'!B:B,'Base stats'!N:N)=1,"No",MAX(0.001,MIN(MROUND(IF(AND(BJ144="True",CC144="False"),POWER(10,3.47*LOG10(_xlfn.XLOOKUP(B144,'Base stats'!B:B,'Base stats'!C:C)*1000)^-0.96),POWER(10,4.15*LOG10(_xlfn.XLOOKUP(B144,'Base stats'!B:B,'Base stats'!C:C)*1000)^-0.73))*IF(_xlfn.XLOOKUP(B144,'Base stats'!B:B,'Base stats'!AK:AK)=1,0.5,1)*IF(_xlfn.XLOOKUP(B144,'Base stats'!B:B,'Base stats'!AM:AM)=1,0.1,1)/100,IF(_xlfn.XLOOKUP(B144,'Base stats'!B:B,'Base stats'!AM:AM)=1,0.001,0.025)),0.5)))</f>
        <v>0.05</v>
      </c>
      <c r="CA144" s="25" t="str">
        <f>IF(P144="Standard","No",MAX(0.001,MIN(MROUND(IF(AND(BJ144="True",CC144="False"),POWER(10,3.47*LOG10(_xlfn.XLOOKUP(B144,'Base stats'!B:B,'Base stats'!C:C)*1000)^-0.96),POWER(10,4.15*LOG10(_xlfn.XLOOKUP(B144,'Base stats'!B:B,'Base stats'!C:C)*1000)^-0.73))*IF(_xlfn.XLOOKUP(B144,'Base stats'!B:B,'Base stats'!AM:AM)=1,0.1,1)*_xlfn.XLOOKUP(B144,'Base stats'!B:B,'Base stats'!R:R)/100,IF(_xlfn.XLOOKUP(B144,'Base stats'!B:B,'Base stats'!AM:AM)=1,0.001,0.025)),0.5)))</f>
        <v>No</v>
      </c>
      <c r="CB144" s="25" t="str">
        <f>IF(_xlfn.XLOOKUP(_xlfn.XLOOKUP(B144,'Base stats'!B:B,'Base stats'!E:E),Groups!A:A,Groups!AJ:AJ)="Mammal","True","False")</f>
        <v>True</v>
      </c>
      <c r="CC144" s="25" t="str">
        <f>IF(OR(_xlfn.XLOOKUP(_xlfn.XLOOKUP(B144,'Base stats'!B:B,'Base stats'!E:E),Groups!A:A,Groups!AJ:AJ)="Reptile",_xlfn.XLOOKUP(_xlfn.XLOOKUP(B144,'Base stats'!B:B,'Base stats'!E:E),Groups!A:A,Groups!AJ:AJ)="Amphibian",_xlfn.XLOOKUP(_xlfn.XLOOKUP(B144,'Base stats'!B:B,'Base stats'!E:E),Groups!A:A,Groups!AJ:AJ)="Invertebrate"),"True","False")</f>
        <v>False</v>
      </c>
      <c r="CD144" s="25" t="str">
        <f t="shared" si="20"/>
        <v>False</v>
      </c>
      <c r="CE144" s="25" t="str">
        <f>IF(_xlfn.XLOOKUP(_xlfn.XLOOKUP(B144,'Base stats'!B:B,'Base stats'!E:E),Groups!A:A,Groups!AX:AX),"True","False")</f>
        <v>False</v>
      </c>
      <c r="CF144" s="25" t="str">
        <f>IF(_xlfn.XLOOKUP(_xlfn.XLOOKUP(B144,'Base stats'!B:B,'Base stats'!E:E),Groups!A:A,Groups!AY:AY),"True","False")</f>
        <v>False</v>
      </c>
      <c r="CG144" s="25" t="str">
        <f>IF(_xlfn.XLOOKUP(_xlfn.XLOOKUP(B144,'Base stats'!B:B,'Base stats'!E:E),Groups!A:A,Groups!AW:AW),"True","False")</f>
        <v>False</v>
      </c>
      <c r="CH144" s="25" t="str">
        <f>IF(
OR(
_xlfn.XLOOKUP(_xlfn.XLOOKUP(B144,'Base stats'!B:B,'Base stats'!E:E),Groups!A:A,Groups!AZ:AZ)=0,
AND(
_xlfn.XLOOKUP(B144,'Base stats'!B:B,'Base stats'!Y:Y)&lt;&gt;"Carnivore",
_xlfn.XLOOKUP(B144,'Base stats'!B:B,'Base stats'!Y:Y)&lt;&gt;"Omnivore",
_xlfn.XLOOKUP(B144,'Base stats'!B:B,'Base stats'!Y:Y)&lt;&gt;"OmnivoreRough"
)
),
"No",
IF(
_xlfn.XLOOKUP(_xlfn.XLOOKUP(B144,'Base stats'!B:B,'Base stats'!E:E),Groups!A:A,Groups!AZ:AZ)=1,
"Flesh",
IF(
_xlfn.XLOOKUP(_xlfn.XLOOKUP(B144,'Base stats'!B:B,'Base stats'!E:E),Groups!A:A,Groups!AZ:AZ)=2,
"Bone",
""
)
)
)</f>
        <v>No</v>
      </c>
      <c r="CI144" s="25" t="str">
        <f>IF(_xlfn.XLOOKUP(_xlfn.XLOOKUP(B144,'Base stats'!B:B,'Base stats'!E:E),Groups!A:A,Groups!BB:BB),"True","False")</f>
        <v>True</v>
      </c>
      <c r="CJ144" s="25" t="str">
        <f>IF(_xlfn.XLOOKUP(_xlfn.XLOOKUP(B144,'Base stats'!B:B,'Base stats'!E:E),Groups!A:A,Groups!BA:BA),"True","False")</f>
        <v>False</v>
      </c>
    </row>
    <row r="145" spans="1:88" ht="16.5" thickTop="1" thickBot="1" x14ac:dyDescent="0.3">
      <c r="A145" s="26" t="str">
        <f>_xlfn.XLOOKUP(B145,'Base stats'!B:B,'Base stats'!A:A)</f>
        <v>Poodle</v>
      </c>
      <c r="B145" s="6" t="s">
        <v>898</v>
      </c>
      <c r="C145" s="28" t="s">
        <v>826</v>
      </c>
      <c r="D145" s="28" t="s">
        <v>872</v>
      </c>
      <c r="E145" s="28" t="s">
        <v>673</v>
      </c>
      <c r="F145" s="28" t="s">
        <v>673</v>
      </c>
      <c r="G145" s="28" t="s">
        <v>673</v>
      </c>
      <c r="H145" s="2">
        <f>MROUND((
  (IF(AND(_xlfn.XLOOKUP(B145,'Base stats'!B:B,'Base stats'!AL:AL)=0,BI145="None",_xlfn.XLOOKUP(_xlfn.XLOOKUP(B145,'Base stats'!B:B,'Base stats'!E:E),Groups!A:A,Groups!B:B)=0), (18 + BR145 * 2.7) * 0.5,
    IF(AND(_xlfn.XLOOKUP(B145,'Base stats'!B:B,'Base stats'!AL:AL)=0,OR(AO145&lt;0.55,AND(BI145="Intermediate",_xlfn.XLOOKUP(_xlfn.XLOOKUP(B145,'Base stats'!B:B,'Base stats'!E:E),Groups!A:A,Groups!B:B)&lt;2))), (18 + BR145 * 2.7),
      IF(OR(BI145="Advanced",_xlfn.XLOOKUP(B145,'Base stats'!B:B,'Base stats'!AL:AL)=1,_xlfn.XLOOKUP(_xlfn.XLOOKUP(B145,'Base stats'!B:B,'Base stats'!E:E),Groups!A:A,Groups!B:B)=2), (18 + BR145 * 2.7) + 250, (18 + BR145 * 2.7))
    )
  ))
  + AO145 * 80
  + IF(COUNTIF(EggMilk!K$2:K$998, A145) &gt; 0, 125, 0)
  + IF(COUNTIF(EggMilk!P$2:P$998, A145) &gt; 0, 90, 0)
  + IF(COUNTIF(EggMilk!A$2:A$998, A145) &gt; 0, 90, 0)
)
* (0.8 + 0.4 * J145)
* 0.75,25)</f>
        <v>325</v>
      </c>
      <c r="I145" s="2">
        <f>MROUND(ROUNDDOWN(_xlfn.XLOOKUP(B145,'Base stats'!B:B,'Base stats'!L:L)/3.6/(23.3/11),1),0.5)</f>
        <v>6.5</v>
      </c>
      <c r="J145" s="2">
        <f>IF(OR(_xlfn.XLOOKUP(B145,'Base stats'!B:B,'Base stats'!AB:AB)=1,_xlfn.XLOOKUP(_xlfn.XLOOKUP(B145,'Base stats'!B:B,'Base stats'!E:E),Groups!A:A,Groups!C:C)="Untamable"),1,IF(_xlfn.XLOOKUP(B145,'Base stats'!B:B,'Base stats'!AL:AL)=1,0.99,MIN(MROUND((1-0.6282*EXP(-0.459*AO145))*_xlfn.XLOOKUP(_xlfn.XLOOKUP(B145,'Base stats'!B:B,'Base stats'!E:E),Groups!A:A,Groups!C:C)*IF(_xlfn.XLOOKUP(B145,'Base stats'!B:B,'Base stats'!O:O)=1,0.5,IF(_xlfn.XLOOKUP(B145,'Base stats'!B:B,'Base stats'!O:O)=2,0,1)),0.05),IF(AO145&gt;3.5,0.985,0.95))))</f>
        <v>0</v>
      </c>
      <c r="K145" s="2">
        <f>ROUNDUP(AO145*_xlfn.XLOOKUP(_xlfn.XLOOKUP(B145,'Base stats'!B:B,'Base stats'!E:E),Groups!A:A,Groups!E:E),0)</f>
        <v>1</v>
      </c>
      <c r="L145" s="2">
        <f>IF(OR(_xlfn.XLOOKUP(_xlfn.XLOOKUP(B145,'Base stats'!B:B,'Base stats'!E:E),Groups!A:A,Groups!F:F)=2,ISNUMBER(SEARCH("SeaIce",BX145)),ISNUMBER(SEARCH("IceSheet",BX145))),-50,IF(OR(ISNUMBER(SEARCH("GlacialPlain",BX145)),ISNUMBER(SEARCH("Tundra",BX145))),-40,IF(OR(ISNUMBER(SEARCH("Alpine",BX145)),ISNUMBER(SEARCH("BorealForest",BX145)),ISNUMBER(SEARCH("ColdBog",BX145))),-30,IF(OR(ISNUMBER(SEARCH("TemperateForest",BX145)),ISNUMBER(SEARCH("TemperateSwamp",BX145))),-20,IF(_xlfn.XLOOKUP(_xlfn.XLOOKUP(B145,'Base stats'!B:B,'Base stats'!E:E),Groups!A:A,Groups!F:F)=1,-15,IF(OR(ISNUMBER(SEARCH("Desert",BX145)),ISNUMBER(SEARCH("ExtremeDesert",BX145))),-10,IF(OR(ISNUMBER(SEARCH("Grasslands",BX145)),ISNUMBER(SEARCH("TropicalRainforest",BX145)),ISNUMBER(SEARCH("TropicalSwamp",BX145))),10,0)))))))-IF(CC145="False",MIN(IFERROR(MAX(MROUND(LOG10(_xlfn.XLOOKUP(B145,'Base stats'!B:B,'Base stats'!C:C)^(2/3))*10,5),5),5),30))-_xlfn.XLOOKUP(B145,'Base stats'!B:B,'Base stats'!P:P)+IF(CC145="True",5,0)</f>
        <v>-25</v>
      </c>
      <c r="M145" s="2">
        <f>IF(OR(_xlfn.XLOOKUP(_xlfn.XLOOKUP(B145,'Base stats'!B:B,'Base stats'!E:E),Groups!A:A,Groups!G:G)=2,ISNUMBER(SEARCH("Desert",BX145)),ISNUMBER(SEARCH("ExtremeDesert",BX145)),ISNUMBER(SEARCH("LavaField",BX145))),50,IF(ISNUMBER(SEARCH("Grasslands",BX145)),45,IF(OR(_xlfn.XLOOKUP(_xlfn.XLOOKUP(B145,'Base stats'!B:B,'Base stats'!E:E),Groups!A:A,Groups!G:G)=1,ISNUMBER(SEARCH("TropicalRainforest",BX145)),ISNUMBER(SEARCH("TropicalSwamp",BX145))),40,IF(OR(ISNUMBER(SEARCH("TemperateForest",BX145)),ISNUMBER(SEARCH("TemperateSwamp",BX145))),35,IF(OR(ISNUMBER(SEARCH("Alpine",BX145)),ISNUMBER(SEARCH("BorealForest",BX145)),ISNUMBER(SEARCH("ColdBog",BX145))),30,IF(ISNUMBER(OR(ISNUMBER(SEARCH("GlacialPlain",BX145)),SEARCH("Tundra",BX145))),25,IF(OR(ISNUMBER(SEARCH("SeaIce",BX145)),ISNUMBER(SEARCH("IceSheet",BX145)),ISNUMBER(SEARCH("TropicalSwamp",BX145))),10,35)))))))+_xlfn.XLOOKUP(B145,'Base stats'!B:B,'Base stats'!Q:Q)</f>
        <v>35</v>
      </c>
      <c r="N145" s="8" t="str">
        <f>IF(
_xlfn.XLOOKUP(
_xlfn.XLOOKUP(B145,'Base stats'!B:B,'Base stats'!E:E),
Groups!A:A,
Groups!L:L
)=1,
MIN(
MROUND(
IF(
_xlfn.XLOOKUP(B145,'Animals CE'!B:B,'Animals CE'!Z:Z)&lt;=1.5,
_xlfn.XLOOKUP(B145,'Animals CE'!B:B,'Animals CE'!Z:Z)/2+0.05,
0.8+
(_xlfn.XLOOKUP(B145,'Animals CE'!B:B,'Animals CE'!Z:Z)-1.5)
*0.02
),
0.05
),
200%
),
"No"
)</f>
        <v>No</v>
      </c>
      <c r="O145" s="8" t="str">
        <f>IF(
_xlfn.XLOOKUP(
_xlfn.XLOOKUP(B145,'Base stats'!B:B,'Base stats'!E:E),
Groups!A:A,
Groups!L:L
)=1,
MIN(
MROUND(
IF(
_xlfn.XLOOKUP(B145,'Animals CE'!B:B,'Animals CE'!AA:AA)&lt;=1.5,
_xlfn.XLOOKUP(B145,'Animals CE'!B:B,'Animals CE'!AA:AA)/2+0.05,
0.8+
(_xlfn.XLOOKUP(B145,'Animals CE'!B:B,'Animals CE'!AA:AA)-1.5)
*0.02
),
0.05
),
200%
),
"No"
)</f>
        <v>No</v>
      </c>
      <c r="P145" s="2" t="str">
        <f>_xlfn.XLOOKUP(B145,'Base stats'!B:B,'Base stats'!R:R)</f>
        <v>Standard</v>
      </c>
      <c r="Q145" s="13">
        <f>MROUND((LOG10(_xlfn.XLOOKUP(B145,'Base stats'!B:B,'Base stats'!AR:AR))*(AO145^0.5)+(_xlfn.XLOOKUP(B145,'Base stats'!B:B,'Base stats'!AR:AR)/1000)^(2/3)+_xlfn.XLOOKUP(B145,'Base stats'!B:B,'Base stats'!BA:BA)/2)+0.5,0.5)</f>
        <v>5</v>
      </c>
      <c r="R145" s="7">
        <f>IF(Q145="No","No",MAX(1,MROUND(_xlfn.XLOOKUP(B145,'Base stats'!B:B,'Base stats'!C:C)^0.165,0.05)))</f>
        <v>1.7000000000000002</v>
      </c>
      <c r="S145" s="13" t="str">
        <f>IF(_xlfn.XLOOKUP(_xlfn.XLOOKUP(B145,'Base stats'!B:B,'Base stats'!E:E),Groups!A:A,Groups!P:P)=0,"No",MROUND((LOG10(_xlfn.XLOOKUP(B145,'Base stats'!B:B,'Base stats'!AS:AS))*(AO145^0.5)+(_xlfn.XLOOKUP(B145,'Base stats'!B:B,'Base stats'!AS:AS)/1000)^(2/3)+_xlfn.XLOOKUP(B145,'Base stats'!B:B,'Base stats'!BA:BA))+_xlfn.XLOOKUP(B145,'Base stats'!B:B,'Base stats'!AY:AY)+0.5,0.5))</f>
        <v>No</v>
      </c>
      <c r="T145" s="7" t="str">
        <f>IF(S145="No","No",MAX(_xlfn.XLOOKUP(_xlfn.XLOOKUP(B145,'Base stats'!B:B,'Base stats'!E:E),Groups!A:A,Groups!Q:Q),MROUND(_xlfn.XLOOKUP(_xlfn.XLOOKUP(B145,'Base stats'!B:B,'Base stats'!E:E),Groups!A:A,Groups!Q:Q)*_xlfn.XLOOKUP(B145,'Base stats'!B:B,'Base stats'!C:C)^0.165,0.05)))</f>
        <v>No</v>
      </c>
      <c r="U145" s="7" t="str">
        <f>IF(S145="No","No",_xlfn.XLOOKUP(_xlfn.XLOOKUP(B145,'Base stats'!B:B,'Base stats'!E:E),Groups!A:A,Groups!R:R))</f>
        <v>No</v>
      </c>
      <c r="V145" s="7" t="str">
        <f>IF(S145="No","No",_xlfn.XLOOKUP(_xlfn.XLOOKUP(B145,'Base stats'!B:B,'Base stats'!E:E),Groups!A:A,Groups!S:S))</f>
        <v>No</v>
      </c>
      <c r="W145" s="7" t="str">
        <f>IF(S145="No","No",_xlfn.XLOOKUP(_xlfn.XLOOKUP(B145,'Base stats'!B:B,'Base stats'!E:E),Groups!A:A,Groups!T:T))</f>
        <v>No</v>
      </c>
      <c r="X145" s="13" t="str">
        <f>IF(_xlfn.XLOOKUP(B145,'Base stats'!B:B,'Base stats'!W:W)="No","No",MROUND((LOG10(_xlfn.XLOOKUP(B145,'Base stats'!B:B,'Base stats'!AU:AU))*(AO145^0.5)+(_xlfn.XLOOKUP(B145,'Base stats'!B:B,'Base stats'!AU:AU)/1000)^(2/3)+_xlfn.XLOOKUP(B145,'Base stats'!B:B,'Base stats'!AZ:AZ))+0.5+IF(_xlfn.XLOOKUP(_xlfn.XLOOKUP(B145,'Base stats'!B:B,'Base stats'!E:E),Groups!A:A,Groups!U:U)&lt;&gt;3,_xlfn.XLOOKUP(B145,'Base stats'!B:B,'Base stats'!BA:BA),0),0.5))</f>
        <v>No</v>
      </c>
      <c r="Y145" s="7" t="str">
        <f>IF(X145="No","No",MAX(_xlfn.XLOOKUP(_xlfn.XLOOKUP(B145,'Base stats'!B:B,'Base stats'!E:E),Groups!A:A,Groups!V:V),MROUND(_xlfn.XLOOKUP(_xlfn.XLOOKUP(B145,'Base stats'!B:B,'Base stats'!E:E),Groups!A:A,Groups!V:V)*_xlfn.XLOOKUP(B145,'Base stats'!B:B,'Base stats'!C:C)^0.165,0.05)))</f>
        <v>No</v>
      </c>
      <c r="Z145" s="7" t="str">
        <f>IF(X145="No","No",_xlfn.XLOOKUP(_xlfn.XLOOKUP(B145,'Base stats'!B:B,'Base stats'!E:E),Groups!A:A,Groups!W:W))</f>
        <v>No</v>
      </c>
      <c r="AA145" s="7" t="str">
        <f>IF(X145="No","No",_xlfn.XLOOKUP(_xlfn.XLOOKUP(B145,'Base stats'!B:B,'Base stats'!E:E),Groups!A:A,Groups!X:X))</f>
        <v>No</v>
      </c>
      <c r="AB145" s="7" t="str">
        <f>IF(X145="No","No",_xlfn.XLOOKUP(_xlfn.XLOOKUP(B145,'Base stats'!B:B,'Base stats'!E:E),Groups!A:A,Groups!Y:Y))</f>
        <v>No</v>
      </c>
      <c r="AC145" s="7" t="str">
        <f>_xlfn.XLOOKUP(Animals!B145,'Base stats'!B:B,'Base stats'!X:X)</f>
        <v>False</v>
      </c>
      <c r="AD145" s="13">
        <f>IF(_xlfn.XLOOKUP(B145,'Base stats'!B:B,'Base stats'!AT:AT)="No","No",MROUND((LOG10(_xlfn.XLOOKUP(B145,'Base stats'!B:B,'Base stats'!AT:AT))*(AO145^0.75)+(_xlfn.XLOOKUP(B145,'Base stats'!B:B,'Base stats'!AT:AT)/1000)^(2/3)+_xlfn.XLOOKUP(B145,'Base stats'!B:B,'Base stats'!AX:AX)+_xlfn.XLOOKUP(B145,'Base stats'!B:B,'Base stats'!BA:BA))+0.5,0.5))</f>
        <v>9</v>
      </c>
      <c r="AE145" s="7">
        <f>IF(AD145="No","No",MAX(_xlfn.XLOOKUP(_xlfn.XLOOKUP(B145,'Base stats'!B:B,'Base stats'!E:E),Groups!A:A,Groups!Z:Z),MROUND(_xlfn.XLOOKUP(_xlfn.XLOOKUP(B145,'Base stats'!B:B,'Base stats'!E:E),Groups!A:A,Groups!Z:Z)*_xlfn.XLOOKUP(B145,'Base stats'!B:B,'Base stats'!C:C)^0.165,0.05)))</f>
        <v>1.35</v>
      </c>
      <c r="AF145" s="7" t="str">
        <f>IF(AD145="No","No",_xlfn.XLOOKUP(_xlfn.XLOOKUP(B145,'Base stats'!B:B,'Base stats'!E:E),Groups!A:A,Groups!AA:AA))</f>
        <v>Teeth</v>
      </c>
      <c r="AG145" s="7" t="str">
        <f>IF(AD145="No","No",_xlfn.XLOOKUP(_xlfn.XLOOKUP(B145,'Base stats'!B:B,'Base stats'!E:E),Groups!A:A,Groups!AB:AB))</f>
        <v>canines</v>
      </c>
      <c r="AH145" s="7" t="str">
        <f>IF(AD145="No","No",_xlfn.XLOOKUP(_xlfn.XLOOKUP(B145,'Base stats'!B:B,'Base stats'!E:E),Groups!A:A,Groups!AC:AC))</f>
        <v>Bite</v>
      </c>
      <c r="AI145" s="13" t="str">
        <f>IF(_xlfn.XLOOKUP(_xlfn.XLOOKUP(B145,'Base stats'!B:B,'Base stats'!E:E),Groups!A:A,Groups!AD:AD)=0,"No",MROUND((LOG10(_xlfn.XLOOKUP(B145,'Base stats'!B:B,'Base stats'!AS:AS))*(AO145^0.75)+(_xlfn.XLOOKUP(B145,'Base stats'!B:B,'Base stats'!AS:AS)/1000)^(2/3)+_xlfn.XLOOKUP(B145,'Base stats'!B:B,'Base stats'!AY:AY)+_xlfn.XLOOKUP(B145,'Base stats'!B:B,'Base stats'!BA:BA))+0.5,0.5))</f>
        <v>No</v>
      </c>
      <c r="AJ145" s="7" t="str">
        <f>IF(AI145="No","No",MAX(_xlfn.XLOOKUP(_xlfn.XLOOKUP(B145,'Base stats'!B:B,'Base stats'!E:E),Groups!A:A,Groups!AE:AE),MROUND(_xlfn.XLOOKUP(_xlfn.XLOOKUP(B145,'Base stats'!B:B,'Base stats'!E:E),Groups!A:A,Groups!AE:AE)*IF(_xlfn.XLOOKUP(_xlfn.XLOOKUP(B145,'Base stats'!B:B,'Base stats'!E:E),Groups!A:A,Groups!AJ:AJ)="Photonozoa",0.6,1)*_xlfn.XLOOKUP(B145,'Base stats'!B:B,'Base stats'!C:C)^0.165,0.05)))</f>
        <v>No</v>
      </c>
      <c r="AK145" s="7" t="str">
        <f>IF(AI145="No","No",_xlfn.XLOOKUP(_xlfn.XLOOKUP(B145,'Base stats'!B:B,'Base stats'!E:E),Groups!A:A,Groups!AF:AF))</f>
        <v>No</v>
      </c>
      <c r="AL145" s="7" t="str">
        <f>IF(AI145="No","No",_xlfn.XLOOKUP(_xlfn.XLOOKUP(B145,'Base stats'!B:B,'Base stats'!E:E),Groups!A:A,Groups!AG:AG))</f>
        <v>No</v>
      </c>
      <c r="AM145" s="7" t="str">
        <f>IF(AI145="No","No",_xlfn.XLOOKUP(_xlfn.XLOOKUP(B145,'Base stats'!B:B,'Base stats'!E:E),Groups!A:A,Groups!AH:AH))</f>
        <v>No</v>
      </c>
      <c r="AN145" s="2">
        <f t="shared" si="14"/>
        <v>20</v>
      </c>
      <c r="AO145" s="2">
        <f>MROUND(IF(AND(_xlfn.XLOOKUP(B145,'Base stats'!B:B,'Base stats'!C:C)&gt;=0.5,_xlfn.XLOOKUP(B145,'Base stats'!B:B,'Base stats'!C:C)&lt;=0.8),
IF(_xlfn.XLOOKUP(B145,'Base stats'!B:B,'Base stats'!C:C)&lt;0.1,0.05,IF(_xlfn.XLOOKUP(B145,'Base stats'!B:B,'Base stats'!C:C)&lt;=70,(_xlfn.XLOOKUP(B145,'Base stats'!B:B,'Base stats'!C:C)/70)^0.426489913056526,IF(_xlfn.XLOOKUP(B145,'Base stats'!B:B,'Base stats'!C:C)&lt;=400,(_xlfn.XLOOKUP(B145,'Base stats'!B:B,'Base stats'!C:C)/70)^0.572811455315093,IF(_xlfn.XLOOKUP(B145,'Base stats'!B:B,'Base stats'!C:C)&lt;=2000,2.71391647193063*(_xlfn.XLOOKUP(B145,'Base stats'!B:B,'Base stats'!C:C)/400)^0.252459582904293,3.74314280240376*(_xlfn.XLOOKUP(B145,'Base stats'!B:B,'Base stats'!C:C)/2000)^0.357012633876913)))),
IF(_xlfn.XLOOKUP(B145,'Base stats'!B:B,'Base stats'!C:C)&lt;0.1,0.05,IF(_xlfn.XLOOKUP(B145,'Base stats'!B:B,'Base stats'!C:C)&lt;0.4,0.1,IF(_xlfn.XLOOKUP(B145,'Base stats'!B:B,'Base stats'!C:C)&lt;=70,(_xlfn.XLOOKUP(B145,'Base stats'!B:B,'Base stats'!C:C)/70)^0.445823913056526,IF(_xlfn.XLOOKUP(B145,'Base stats'!B:B,'Base stats'!C:C)&lt;=400,(_xlfn.XLOOKUP(B145,'Base stats'!B:B,'Base stats'!C:C)/70)^0.572811455315093,IF(_xlfn.XLOOKUP(B145,'Base stats'!B:B,'Base stats'!C:C)&lt;=2000,2.71391647193063*(_xlfn.XLOOKUP(B145,'Base stats'!B:B,'Base stats'!C:C)/400)^0.252459582904293,3.74314280240376*(_xlfn.XLOOKUP(B145,'Base stats'!B:B,'Base stats'!C:C)/2000)^0.357012633876913)))))),
IF(_xlfn.XLOOKUP(B145,'Base stats'!B:B,'Base stats'!C:C)&lt;0.1,0.05,IF(_xlfn.XLOOKUP(B145,'Base stats'!B:B,'Base stats'!C:C)&lt;=100,0.05,IF(_xlfn.XLOOKUP(B145,'Base stats'!B:B,'Base stats'!C:C)&lt;=250,0.1,IF(_xlfn.XLOOKUP(B145,'Base stats'!B:B,'Base stats'!C:C)&lt;=4000,0.25,0.5)))))</f>
        <v>0.65</v>
      </c>
      <c r="AP145" s="8">
        <f>MROUND(AO145*_xlfn.XLOOKUP(_xlfn.XLOOKUP(B145,'Base stats'!B:B,'Base stats'!E:E),Groups!A:A,Groups!AI:AI)*_xlfn.XLOOKUP(B145,'Base stats'!B:B,'Base stats'!Z:Z),0.05)</f>
        <v>0.8</v>
      </c>
      <c r="AQ145" s="8">
        <f>MAX(0.01,MROUND(IF(CC145="True",0.196*(AO145*100*1000)^0.889,IF(_xlfn.XLOOKUP(_xlfn.XLOOKUP(B145,'Base stats'!B:B,'Base stats'!E:E),Groups!A:A,Groups!AJ:AJ)="Bird",10.5*(AO145*100*1000)^0.681,4.82*(AO145*100*1000)^0.734))/(4.82*(1*100*1000)^0.734)/IF(AO145&lt;3.5,2,IF(AO145=3.5,1.5,1.25))*(1+0.132282374779864/(AO145^0.994035016789033+0.00905238001496948)),0.05))</f>
        <v>0.45</v>
      </c>
      <c r="AR145" s="9">
        <f>IFERROR(MROUND(_xlfn.XLOOKUP(B145,'Base stats'!B:B,'Base stats'!H:H)/IF(_xlfn.XLOOKUP(B145,'Base stats'!B:B,'Base stats'!I:I)&lt;&gt;1,(122.5/70),1.2),IF(_xlfn.XLOOKUP(B145,'Base stats'!B:B,'Base stats'!H:H)&gt;=30,5,IF(_xlfn.XLOOKUP(B145,'Base stats'!B:B,'Base stats'!H:H)&gt;=15,3,IF(_xlfn.XLOOKUP(B145,'Base stats'!B:B,'Base stats'!H:H)&gt;=10,2,1)))),"Immortal")</f>
        <v>15</v>
      </c>
      <c r="AS145" s="35">
        <f>IFERROR(IF(OR(_xlfn.XLOOKUP(B145,'Base stats'!B:B,'Base stats'!F:F)="Atypical reproduction",_xlfn.XLOOKUP(B145,'Base stats'!B:B,'Base stats'!F:F)="Lay eggs"),"Lay eggs",MIN(20,MAX(5.5,ROUND(((_xlfn.XLOOKUP(B145,'Base stats'!B:B,'Base stats'!F:F)-25)*(14.5/615) + 5.5)*2,0)/2))),"Unknown")</f>
        <v>6.5</v>
      </c>
      <c r="AT145" s="8">
        <f>IF(_xlfn.XLOOKUP(B145,'Base stats'!B:B,'Base stats'!G:G)="Atypical reproduction","No",IFERROR(MAX(IF(_xlfn.XLOOKUP(B145,'Base stats'!B:B,'Base stats'!G:G)&lt;0.5,0.2,0.3),MROUND(_xlfn.XLOOKUP(B145,'Base stats'!B:B,'Base stats'!G:G)/(365/60),0.2)),"Unknown"))</f>
        <v>0.3</v>
      </c>
      <c r="AU145" s="8">
        <f t="shared" si="15"/>
        <v>0.15000000000000002</v>
      </c>
      <c r="AV145" s="8">
        <f>IFERROR(IFERROR(MROUND(_xlfn.XLOOKUP(B145,'Base stats'!B:B,'Base stats'!J:J),0.1),"Lay eggs"),"Cannot breed")</f>
        <v>6</v>
      </c>
      <c r="AW145" s="2" t="str">
        <f t="shared" si="16"/>
        <v>true</v>
      </c>
      <c r="AX145" s="2" t="str">
        <f>IF(_xlfn.XLOOKUP(_xlfn.XLOOKUP(Animals!B145,'Base stats'!B:B,'Base stats'!E:E),Groups!A:A,Groups!AK:AK)=1,"true","false")</f>
        <v>false</v>
      </c>
      <c r="AY145" s="25" t="str">
        <f>IF(_xlfn.XLOOKUP(B145,'Base stats'!B:B,'Base stats'!Y:Y)="Liquor","Liquor, CarnivoreAnimalStrict",IF(AND(_xlfn.XLOOKUP(B145,'Base stats'!B:B,'Base stats'!Y:Y)="Carnivore",_xlfn.XLOOKUP(_xlfn.XLOOKUP(B145,'Base stats'!B:B,'Base stats'!E:E),Groups!A:A,Groups!AJ:AJ)="Photonozoa"),"CarnivoreAnimalStrict, OvivoreAnimal",IF(_xlfn.XLOOKUP(B145,'Base stats'!B:B,'Base stats'!Y:Y)="Carnivore","CarnivoreAnimal, OvivoreAnimal",IF(_xlfn.XLOOKUP(B145,'Base stats'!B:B,'Base stats'!Y:Y)="Dendrovore","VegetarianRoughAnimal, DendrovoreAnimal",IF(_xlfn.XLOOKUP(B145,'Base stats'!B:B,'Base stats'!Y:Y)="Herbivore","VegetarianRoughAnimal",IF(_xlfn.XLOOKUP(B145,'Base stats'!B:B,'Base stats'!Y:Y)="OmnivoreRough","OmnivoreRoughAnimal, OvivoreAnimal","OmnivoreAnimal, OvivoreAnimal"))))))</f>
        <v>OmnivoreAnimal, OvivoreAnimal</v>
      </c>
      <c r="AZ145" s="2" t="str">
        <f>IF(_xlfn.XLOOKUP(_xlfn.XLOOKUP(B145,'Base stats'!B:B,'Base stats'!E:E),Groups!A:A,Groups!D:D)=1,MROUND((1-J145)*5+1,2)*IF(J145&lt;=0.4,2,1),"No")</f>
        <v>No</v>
      </c>
      <c r="BA145" s="2" t="str">
        <f>IF(AND(_xlfn.XLOOKUP(B145,'Base stats'!B:B,'Base stats'!AH:AH)="&lt;li&gt;Seal&lt;/li&gt;",G145="Odyssey"),"&lt;li&gt;AEXP_Seal&lt;/li&gt;",_xlfn.XLOOKUP(B145,'Base stats'!B:B,'Base stats'!AH:AH))</f>
        <v>&lt;li&gt;YorkshireTerrier&lt;/li&gt;</v>
      </c>
      <c r="BB145" s="2" t="str">
        <f>_xlfn.XLOOKUP(B145,'Base stats'!B:B,'Base stats'!AG:AG)</f>
        <v>Leather_Dog</v>
      </c>
      <c r="BC145" s="23" t="str">
        <f>_xlfn.XLOOKUP(_xlfn.XLOOKUP(B145,'Base stats'!B:B,'Base stats'!E:E),Groups!A:A,Groups!AL:AL)</f>
        <v>QuadrupedAnimalWithPawsAndTail</v>
      </c>
      <c r="BD145" s="23">
        <f>MIN(1,MROUND(IF(AND(AO145&lt;0.5,_xlfn.XLOOKUP(B145,'Base stats'!B:B,'Base stats'!AA:AA)=0),0,IF(OR(_xlfn.XLOOKUP(Animals!B145,'Base stats'!B:B,'Base stats'!O:O)=2,_xlfn.XLOOKUP(_xlfn.XLOOKUP(B145,'Base stats'!B:B,'Base stats'!E:E),Groups!A:A,Groups!AN:AN)=0),0,_xlfn.XLOOKUP(_xlfn.XLOOKUP(B145,'Base stats'!B:B,'Base stats'!E:E),Groups!A:A,Groups!AN:AN)/IF(_xlfn.XLOOKUP(Animals!B145,'Base stats'!B:B,'Base stats'!O:O)=1,2,1)))+_xlfn.XLOOKUP(B145,'Base stats'!B:B,'Base stats'!AC:AC),0.005))</f>
        <v>0</v>
      </c>
      <c r="BE145" s="23">
        <f>MIN(1,MROUND(IF(AND(AO145&lt;0.5,_xlfn.XLOOKUP(B145,'Base stats'!B:B,'Base stats'!AA:AA)=0),0,IF(_xlfn.XLOOKUP(_xlfn.XLOOKUP(B145,'Base stats'!B:B,'Base stats'!E:E),Groups!A:A,Groups!AO:AO)=0,0,_xlfn.XLOOKUP(_xlfn.XLOOKUP(B145,'Base stats'!B:B,'Base stats'!E:E),Groups!A:A,Groups!AO:AO)/IF(_xlfn.XLOOKUP(Animals!B145,'Base stats'!B:B,'Base stats'!O:O)=2,3,1)))+_xlfn.XLOOKUP(B145,'Base stats'!B:B,'Base stats'!AD:AD),0.005))</f>
        <v>0.1</v>
      </c>
      <c r="BF145" s="2">
        <f>IF(J145&gt;0.3,"No",_xlfn.XLOOKUP(_xlfn.XLOOKUP(Animals!B145,'Base stats'!B:B,'Base stats'!E:E),Groups!A:A,Groups!AP:AP))</f>
        <v>1</v>
      </c>
      <c r="BG145" s="2">
        <f>IF(AND(J145&lt;=0.65,_xlfn.XLOOKUP(_xlfn.XLOOKUP(Animals!B145,'Base stats'!B:B,'Base stats'!E:E),Groups!A:A,Groups!AP:AP)&lt;&gt;"No",_xlfn.XLOOKUP(_xlfn.XLOOKUP(B145,'Base stats'!B:B,'Base stats'!E:E),Groups!A:A,Groups!D:D)=0),MROUND((80/3)*IF(_xlfn.XLOOKUP(B145,'Base stats'!B:B,'Base stats'!O:O)=2,0.2,AO145) + 24*(1-IF(BF145="No",0,BF145)) + 16/3, 12),"No")</f>
        <v>12</v>
      </c>
      <c r="BH145" s="2">
        <f>IF(AND(_xlfn.XLOOKUP(_xlfn.XLOOKUP(B145,'Base stats'!B:B,'Base stats'!E:E),Groups!A:A,Groups!AQ:AQ)=1,AO145&lt;=0.35),8,12)</f>
        <v>12</v>
      </c>
      <c r="BI145" s="2" t="str">
        <f>IF(_xlfn.XLOOKUP(_xlfn.XLOOKUP(B145,'Base stats'!B:B,'Base stats'!E:E),Groups!A:A,Groups!D:D)=0,_xlfn.XLOOKUP(_xlfn.XLOOKUP(B145,'Base stats'!B:B,'Base stats'!E:E),Groups!A:A,Groups!AR:AR),"None")</f>
        <v>Advanced</v>
      </c>
      <c r="BJ145" s="2" t="str">
        <f>IF(AND(_xlfn.XLOOKUP(_xlfn.XLOOKUP(B145,'Base stats'!B:B,'Base stats'!E:E),Groups!A:A,Groups!AS:AS)=1,OR(_xlfn.XLOOKUP(B145,'Base stats'!B:B,'Base stats'!Y:Y)="Carnivore",_xlfn.XLOOKUP(B145,'Base stats'!B:B,'Base stats'!Y:Y)="Omnivore")),"true","false")</f>
        <v>true</v>
      </c>
      <c r="BK145" s="2">
        <f>IF(BJ145="true",MROUND(IF(AND(AO145&gt;0.5,OR(_xlfn.XLOOKUP(_xlfn.XLOOKUP(B145,'Base stats'!B:B,'Base stats'!E:E),Groups!A:A,Groups!AJ:AJ)="Photonozoa",_xlfn.XLOOKUP(_xlfn.XLOOKUP(B145,'Base stats'!B:B,'Base stats'!E:E),Groups!A:A,Groups!AJ:AJ)="Mammal")),Animals!AO145*1.75*IF(AW145="true",1.5,1),IF(AO145&lt;0.5,Animals!AO145*0.5,Animals!AO145)),IF(AO145&gt;2,0.5,IF(AO145&gt;0.5,0.25,0.1))),"No")</f>
        <v>1.75</v>
      </c>
      <c r="BL145" s="2">
        <f t="shared" si="17"/>
        <v>1</v>
      </c>
      <c r="BM145" s="25" t="str">
        <f>IF(_xlfn.XLOOKUP(B145,'Base stats'!B:B,'Base stats'!AN:AN)="Standard","No",MROUND((_xlfn.XLOOKUP(B145,'Base stats'!B:B,'Base stats'!AN:AN)/3.6)/I145,0.1))</f>
        <v>No</v>
      </c>
      <c r="BN145" s="25" t="str">
        <f t="shared" si="18"/>
        <v>false</v>
      </c>
      <c r="BO145" s="25" t="str">
        <f>IF(AND(OR(_xlfn.XLOOKUP(B145,'Base stats'!B:B,'Base stats'!Y:Y)="Carnivore",_xlfn.XLOOKUP(B145,'Base stats'!B:B,'Base stats'!Y:Y)="Omnivore",_xlfn.XLOOKUP(B145,'Base stats'!B:B,'Base stats'!Y:Y)="OmnivoreRough"),_xlfn.XLOOKUP(_xlfn.XLOOKUP(B145,'Base stats'!B:B,'Base stats'!E:E),Groups!A:A,Groups!AT:AT)=1),"true","false")</f>
        <v>false</v>
      </c>
      <c r="BP145" s="25" t="str" cm="1">
        <f t="array" ref="BP145">IF(
  _xlfn.TEXTJOIN(", ",TRUE,
    IF(AND(BJ145="true",AO145&gt;0.5,BI145&lt;&gt;"None"),"AttackTarget",""),
    IF(AND(_xlfn.XLOOKUP(_xlfn.XLOOKUP(B145,'Base stats'!B:B,'Base stats'!E:E),Groups!A:A,Groups!AJ:AJ="Mammal"),OR(_xlfn.XLOOKUP(B145,'Base stats'!B:B,'Base stats'!Y:Y)="Omnivore",_xlfn.XLOOKUP(B145,'Base stats'!B:B,'Base stats'!Y:Y)="OmnivoreRough")),"Forage",""),
    IF(BG145&lt;=36,"Comfort",""),
    IF(_xlfn.XLOOKUP(B145,'Base stats'!B:B,'Base stats'!AE:AE)&lt;&gt;"No",_xlfn.XLOOKUP(B145,'Base stats'!B:B,'Base stats'!AE:AE),"")
  ) = "",
  "No",
  _xlfn.TEXTJOIN(", ",TRUE,
    IF(AND(BJ145="true",AO145&gt;0.5,BI145&lt;&gt;"None"),"AttackTarget",""),
    IF(AND(_xlfn.XLOOKUP(_xlfn.XLOOKUP(B145,'Base stats'!B:B,'Base stats'!E:E),Groups!A:A,Groups!AJ:AJ="Mammal"),OR(_xlfn.XLOOKUP(B145,'Base stats'!B:B,'Base stats'!Y:Y)="Omnivore",_xlfn.XLOOKUP(B145,'Base stats'!B:B,'Base stats'!Y:Y)="OmnivoreRough")),"Forage",""),
    IF(BG145&lt;=36,"Comfort",""),
    IF(_xlfn.XLOOKUP(B145,'Base stats'!B:B,'Base stats'!AE:AE)&lt;&gt;"No",_xlfn.XLOOKUP(B145,'Base stats'!B:B,'Base stats'!AE:AE),"")
  )
)</f>
        <v>AttackTarget, Forage, Comfort</v>
      </c>
      <c r="BQ145" s="25" t="str">
        <f>IF(
   AND(
      'Base stats'!AN145="Standard",_xlfn.XLOOKUP(_xlfn.XLOOKUP(B145,'Base stats'!B:B,'Base stats'!E:E),Groups!A:A,Groups!AU:AU)=0,
      OR(
      BO145="True"
      )
   ),
   10,
   IF(
       OR(BM145&lt;&gt;"No",_xlfn.XLOOKUP(_xlfn.XLOOKUP(B145,'Base stats'!B:B,'Base stats'!E:E),Groups!A:A,Groups!AU:AU)=1),
      1,
      "No"
   )
)</f>
        <v>No</v>
      </c>
      <c r="BR145" s="9">
        <f>MROUND((1 + ((0.2*IF(OR(Q145="No",R145="No",R145=0),0,Q145/R145)
+IF(OR(V145="No",S145="No",T145="No"),0,S145/T145*(LEN(V145)-LEN(SUBSTITUTE(V145,",",""))+1))
+IF(OR(X145="No",Y145="No"),0,X145/Y145)
+IF(OR(AD145="No",AE145="No"),0,AD145/AE145)
+IF(OR(AL145="No",AI145="No",AJ145="No"),0,AI145/AJ145*(LEN(AL145)-LEN(SUBSTITUTE(AL145,",",""))+1))
)/(0.2*IF(OR(Q145="No",R145="No",R145=0),0,1)
+IF(OR(V145="No",S145="No",T145="No"),0,LEN(V145)-LEN(SUBSTITUTE(V145,",",""))+1)
+IF(OR(X145="No",Y145="No"),0,1)
+IF(OR(AD145="No",AE145="No"),0,1)
+IF(OR(AL145="No",AI145="No",AJ145="No"),0,LEN(AL145)-LEN(SUBSTITUTE(AL145,",",""))+1))*62%)* 2)*(1 + (AP145 / (IF(_xlfn.XLOOKUP(_xlfn.XLOOKUP(B145,'Base stats'!B:B,'Base stats'!E:E),Groups!A:A,Groups!AJ:AJ)="Photonozoa",0.3,1)) + _xlfn.XLOOKUP(B145,'Base stats'!B:B,'Base stats'!AV:AV) * 1.8) * 2) * 2.5 + 10 + I145 * 2,5)+IF(_xlfn.XLOOKUP(B145,'Base stats'!B:B,'Base stats'!AK:AK)=1,50,0)</f>
        <v>80</v>
      </c>
      <c r="BS145" s="8">
        <f t="shared" si="19"/>
        <v>0.5</v>
      </c>
      <c r="BT145" s="8" t="str">
        <f>_xlfn.XLOOKUP(B145,'Base stats'!B:B,'Base stats'!AF:AF)</f>
        <v>2~4</v>
      </c>
      <c r="BU145" s="2" t="str">
        <f>IF(AND(J145&lt;=0.95,OR(_xlfn.XLOOKUP(B145,'Base stats'!B:B,'Base stats'!AK:AK)=1,_xlfn.XLOOKUP(B145,'Base stats'!B:B,'Base stats'!Y:Y)="Carnivore",_xlfn.XLOOKUP(B145,'Base stats'!B:B,'Base stats'!Y:Y)="Omnivore",BE145&gt;0.1)),"true","false")</f>
        <v>true</v>
      </c>
      <c r="BV145" s="2" t="str">
        <f>IF(_xlfn.XLOOKUP(B145,'Base stats'!B:B,'Base stats'!AI:AI)=1,"true","false")</f>
        <v>false</v>
      </c>
      <c r="BW145" s="25" t="str">
        <f>IF(E145="BaseInsect","AnimalInsect",
IF(J145&gt;0.95,"AnimalExotic",
_xlfn.TEXTJOIN(", ",TRUE,
IF(OR(_xlfn.XLOOKUP(B145,'Base stats'!B:B,'Base stats'!AM:AM)=1,AND(_xlfn.XLOOKUP(B145,'Base stats'!B:B,'Base stats'!O:O)=0,_xlfn.XLOOKUP(_xlfn.XLOOKUP(B145,'Base stats'!B:B,'Base stats'!E:E),Groups!A:A,Groups!B:B)&gt;0)),"AnimalUncommon","AnimalCommon"),
IF(AND(_xlfn.XLOOKUP(B145,'Base stats'!B:B,'Base stats'!O:O)=2,_xlfn.XLOOKUP(_xlfn.XLOOKUP(B145,'Base stats'!B:B,'Base stats'!E:E),Groups!A:A,Groups!D:D)=0),"AnimalPet",IF(AND(_xlfn.XLOOKUP(B145,'Base stats'!B:B,'Base stats'!O:O)&lt;&gt;0,_xlfn.XLOOKUP(_xlfn.XLOOKUP(B145,'Base stats'!B:B,'Base stats'!E:E),Groups!A:A,Groups!D:D)&lt;&gt;0),"AnimalFarm","")),
IF(OR(_xlfn.XLOOKUP(B145,'Base stats'!B:B,'Base stats'!AK:AK)=1,AND(BI145&lt;&gt;"None",BR145&gt;=60),ISNUMBER(SEARCH("Attack target",BP145))),"AnimalFighter","")
)))</f>
        <v>AnimalCommon, AnimalPet, AnimalFighter</v>
      </c>
      <c r="BX145" s="25" t="str">
        <f>IF(G145="None",TRIM(
SUBSTITUTE(
IF(COUNTIF(Biomes!B$2:B$259,"="&amp;$C145)&gt;0,Biomes!B$1&amp;", ","")&amp;
IF(COUNTIF(Biomes!C$2:C$259,"="&amp;$C145)&gt;0,Biomes!C$1&amp;", ","")&amp;
IF(COUNTIF(Biomes!D$2:D$259,"="&amp;$C145)&gt;0,Biomes!D$1&amp;", ","")&amp;
IF(COUNTIF(Biomes!F$2:F$259,"="&amp;$C145)&gt;0,Biomes!F$1&amp;", ","")&amp;
IF(COUNTIF(Biomes!G$2:G$259,"="&amp;$C145)&gt;0,Biomes!G$1&amp;", ","")&amp;
IF(COUNTIF(Biomes!H$2:H$259,"="&amp;$C145)&gt;0,Biomes!H$1&amp;", ","")&amp;
IF(COUNTIF(Biomes!I$2:I$259,"="&amp;$C145)&gt;0,Biomes!I$1&amp;", ","")&amp;
IF(COUNTIF(Biomes!J$2:J$259,"="&amp;$C145)&gt;0,Biomes!J$1&amp;", ","")&amp;
IF(COUNTIF(Biomes!M$2:M$259,"="&amp;$C145)&gt;0,Biomes!M$1&amp;", ","")&amp;
IF(COUNTIF(Biomes!N$2:N$259,"="&amp;$C145)&gt;0,Biomes!N$1&amp;", ","")&amp;
IF(COUNTIF(Biomes!O$2:O$259,"="&amp;$C145)&gt;0,Biomes!O$1&amp;", ","")&amp;
IF(COUNTIF(Biomes!P$2:P$259,"="&amp;$C145)&gt;0,Biomes!P$1&amp;", ","")&amp;
IF(COUNTIF(Biomes!K$2:K$259,"="&amp;$C145)&gt;0,Biomes!K$1&amp;", ","")&amp;
IF(COUNTIF(Biomes!Q$3:Q$259,"="&amp;$C145)&gt;0,Biomes!Q$1&amp;", ","")&amp;
IF(COUNTIF(Biomes!L$2:L$259,"="&amp;$C145)&gt;0,Biomes!L$1&amp;", ","")&amp;
IF(COUNTIF(Biomes!E$2:E$259,"="&amp;$C145)&gt;0,Biomes!E$1&amp;", ","")&amp;IF(COUNTIF(Biomes!S$2:S$259,"="&amp;$C145)&gt;0,Biomes!S$1&amp;", ","")&amp;
IF(COUNTIF(Biomes!R$2:R$259,"="&amp;$C145)&gt;0,Biomes!R$1&amp;", ",""),", ","")
),_xlfn.XLOOKUP(B145,B:B,BX:BX))</f>
        <v/>
      </c>
      <c r="BY145" s="25" t="str">
        <f>IF(_xlfn.XLOOKUP(B145,'Base stats'!B:B,'Base stats'!AJ:AJ)=1,"true","false")</f>
        <v>false</v>
      </c>
      <c r="BZ145" s="25">
        <f>IF(_xlfn.XLOOKUP(B145,'Base stats'!B:B,'Base stats'!N:N)=1,"No",MAX(0.001,MIN(MROUND(IF(AND(BJ145="True",CC145="False"),POWER(10,3.47*LOG10(_xlfn.XLOOKUP(B145,'Base stats'!B:B,'Base stats'!C:C)*1000)^-0.96),POWER(10,4.15*LOG10(_xlfn.XLOOKUP(B145,'Base stats'!B:B,'Base stats'!C:C)*1000)^-0.73))*IF(_xlfn.XLOOKUP(B145,'Base stats'!B:B,'Base stats'!AK:AK)=1,0.5,1)*IF(_xlfn.XLOOKUP(B145,'Base stats'!B:B,'Base stats'!AM:AM)=1,0.1,1)/100,IF(_xlfn.XLOOKUP(B145,'Base stats'!B:B,'Base stats'!AM:AM)=1,0.001,0.025)),0.5)))</f>
        <v>7.5000000000000011E-2</v>
      </c>
      <c r="CA145" s="25" t="str">
        <f>IF(P145="Standard","No",MAX(0.001,MIN(MROUND(IF(AND(BJ145="True",CC145="False"),POWER(10,3.47*LOG10(_xlfn.XLOOKUP(B145,'Base stats'!B:B,'Base stats'!C:C)*1000)^-0.96),POWER(10,4.15*LOG10(_xlfn.XLOOKUP(B145,'Base stats'!B:B,'Base stats'!C:C)*1000)^-0.73))*IF(_xlfn.XLOOKUP(B145,'Base stats'!B:B,'Base stats'!AM:AM)=1,0.1,1)*_xlfn.XLOOKUP(B145,'Base stats'!B:B,'Base stats'!R:R)/100,IF(_xlfn.XLOOKUP(B145,'Base stats'!B:B,'Base stats'!AM:AM)=1,0.001,0.025)),0.5)))</f>
        <v>No</v>
      </c>
      <c r="CB145" s="25" t="str">
        <f>IF(_xlfn.XLOOKUP(_xlfn.XLOOKUP(B145,'Base stats'!B:B,'Base stats'!E:E),Groups!A:A,Groups!AJ:AJ)="Mammal","True","False")</f>
        <v>True</v>
      </c>
      <c r="CC145" s="25" t="str">
        <f>IF(OR(_xlfn.XLOOKUP(_xlfn.XLOOKUP(B145,'Base stats'!B:B,'Base stats'!E:E),Groups!A:A,Groups!AJ:AJ)="Reptile",_xlfn.XLOOKUP(_xlfn.XLOOKUP(B145,'Base stats'!B:B,'Base stats'!E:E),Groups!A:A,Groups!AJ:AJ)="Amphibian",_xlfn.XLOOKUP(_xlfn.XLOOKUP(B145,'Base stats'!B:B,'Base stats'!E:E),Groups!A:A,Groups!AJ:AJ)="Invertebrate"),"True","False")</f>
        <v>False</v>
      </c>
      <c r="CD145" s="25" t="str">
        <f t="shared" si="20"/>
        <v>False</v>
      </c>
      <c r="CE145" s="25" t="str">
        <f>IF(_xlfn.XLOOKUP(_xlfn.XLOOKUP(B145,'Base stats'!B:B,'Base stats'!E:E),Groups!A:A,Groups!AX:AX),"True","False")</f>
        <v>False</v>
      </c>
      <c r="CF145" s="25" t="str">
        <f>IF(_xlfn.XLOOKUP(_xlfn.XLOOKUP(B145,'Base stats'!B:B,'Base stats'!E:E),Groups!A:A,Groups!AY:AY),"True","False")</f>
        <v>False</v>
      </c>
      <c r="CG145" s="25" t="str">
        <f>IF(_xlfn.XLOOKUP(_xlfn.XLOOKUP(B145,'Base stats'!B:B,'Base stats'!E:E),Groups!A:A,Groups!AW:AW),"True","False")</f>
        <v>False</v>
      </c>
      <c r="CH145" s="25" t="str">
        <f>IF(
OR(
_xlfn.XLOOKUP(_xlfn.XLOOKUP(B145,'Base stats'!B:B,'Base stats'!E:E),Groups!A:A,Groups!AZ:AZ)=0,
AND(
_xlfn.XLOOKUP(B145,'Base stats'!B:B,'Base stats'!Y:Y)&lt;&gt;"Carnivore",
_xlfn.XLOOKUP(B145,'Base stats'!B:B,'Base stats'!Y:Y)&lt;&gt;"Omnivore",
_xlfn.XLOOKUP(B145,'Base stats'!B:B,'Base stats'!Y:Y)&lt;&gt;"OmnivoreRough"
)
),
"No",
IF(
_xlfn.XLOOKUP(_xlfn.XLOOKUP(B145,'Base stats'!B:B,'Base stats'!E:E),Groups!A:A,Groups!AZ:AZ)=1,
"Flesh",
IF(
_xlfn.XLOOKUP(_xlfn.XLOOKUP(B145,'Base stats'!B:B,'Base stats'!E:E),Groups!A:A,Groups!AZ:AZ)=2,
"Bone",
""
)
)
)</f>
        <v>No</v>
      </c>
      <c r="CI145" s="25" t="str">
        <f>IF(_xlfn.XLOOKUP(_xlfn.XLOOKUP(B145,'Base stats'!B:B,'Base stats'!E:E),Groups!A:A,Groups!BB:BB),"True","False")</f>
        <v>True</v>
      </c>
      <c r="CJ145" s="25" t="str">
        <f>IF(_xlfn.XLOOKUP(_xlfn.XLOOKUP(B145,'Base stats'!B:B,'Base stats'!E:E),Groups!A:A,Groups!BA:BA),"True","False")</f>
        <v>False</v>
      </c>
    </row>
    <row r="146" spans="1:88" ht="16.5" thickTop="1" thickBot="1" x14ac:dyDescent="0.3">
      <c r="A146" s="26" t="str">
        <f>_xlfn.XLOOKUP(B146,'Base stats'!B:B,'Base stats'!A:A)</f>
        <v>Pug</v>
      </c>
      <c r="B146" s="6" t="s">
        <v>899</v>
      </c>
      <c r="C146" s="28" t="s">
        <v>827</v>
      </c>
      <c r="D146" s="28" t="s">
        <v>872</v>
      </c>
      <c r="E146" s="28" t="s">
        <v>673</v>
      </c>
      <c r="F146" s="28" t="s">
        <v>673</v>
      </c>
      <c r="G146" s="28" t="s">
        <v>673</v>
      </c>
      <c r="H146" s="2">
        <f>MROUND((
  (IF(AND(_xlfn.XLOOKUP(B146,'Base stats'!B:B,'Base stats'!AL:AL)=0,BI146="None",_xlfn.XLOOKUP(_xlfn.XLOOKUP(B146,'Base stats'!B:B,'Base stats'!E:E),Groups!A:A,Groups!B:B)=0), (18 + BR146 * 2.7) * 0.5,
    IF(AND(_xlfn.XLOOKUP(B146,'Base stats'!B:B,'Base stats'!AL:AL)=0,OR(AO146&lt;0.55,AND(BI146="Intermediate",_xlfn.XLOOKUP(_xlfn.XLOOKUP(B146,'Base stats'!B:B,'Base stats'!E:E),Groups!A:A,Groups!B:B)&lt;2))), (18 + BR146 * 2.7),
      IF(OR(BI146="Advanced",_xlfn.XLOOKUP(B146,'Base stats'!B:B,'Base stats'!AL:AL)=1,_xlfn.XLOOKUP(_xlfn.XLOOKUP(B146,'Base stats'!B:B,'Base stats'!E:E),Groups!A:A,Groups!B:B)=2), (18 + BR146 * 2.7) + 250, (18 + BR146 * 2.7))
    )
  ))
  + AO146 * 80
  + IF(COUNTIF(EggMilk!K$2:K$998, A146) &gt; 0, 125, 0)
  + IF(COUNTIF(EggMilk!P$2:P$998, A146) &gt; 0, 90, 0)
  + IF(COUNTIF(EggMilk!A$2:A$998, A146) &gt; 0, 90, 0)
)
* (0.8 + 0.4 * J146)
* 0.75,25)</f>
        <v>100</v>
      </c>
      <c r="I146" s="2">
        <f>MROUND(ROUNDDOWN(_xlfn.XLOOKUP(B146,'Base stats'!B:B,'Base stats'!L:L)/3.6/(23.3/11),1),0.5)</f>
        <v>6</v>
      </c>
      <c r="J146" s="2">
        <f>IF(OR(_xlfn.XLOOKUP(B146,'Base stats'!B:B,'Base stats'!AB:AB)=1,_xlfn.XLOOKUP(_xlfn.XLOOKUP(B146,'Base stats'!B:B,'Base stats'!E:E),Groups!A:A,Groups!C:C)="Untamable"),1,IF(_xlfn.XLOOKUP(B146,'Base stats'!B:B,'Base stats'!AL:AL)=1,0.99,MIN(MROUND((1-0.6282*EXP(-0.459*AO146))*_xlfn.XLOOKUP(_xlfn.XLOOKUP(B146,'Base stats'!B:B,'Base stats'!E:E),Groups!A:A,Groups!C:C)*IF(_xlfn.XLOOKUP(B146,'Base stats'!B:B,'Base stats'!O:O)=1,0.5,IF(_xlfn.XLOOKUP(B146,'Base stats'!B:B,'Base stats'!O:O)=2,0,1)),0.05),IF(AO146&gt;3.5,0.985,0.95))))</f>
        <v>0</v>
      </c>
      <c r="K146" s="2">
        <f>ROUNDUP(AO146*_xlfn.XLOOKUP(_xlfn.XLOOKUP(B146,'Base stats'!B:B,'Base stats'!E:E),Groups!A:A,Groups!E:E),0)</f>
        <v>1</v>
      </c>
      <c r="L146" s="2">
        <f>IF(OR(_xlfn.XLOOKUP(_xlfn.XLOOKUP(B146,'Base stats'!B:B,'Base stats'!E:E),Groups!A:A,Groups!F:F)=2,ISNUMBER(SEARCH("SeaIce",BX146)),ISNUMBER(SEARCH("IceSheet",BX146))),-50,IF(OR(ISNUMBER(SEARCH("GlacialPlain",BX146)),ISNUMBER(SEARCH("Tundra",BX146))),-40,IF(OR(ISNUMBER(SEARCH("Alpine",BX146)),ISNUMBER(SEARCH("BorealForest",BX146)),ISNUMBER(SEARCH("ColdBog",BX146))),-30,IF(OR(ISNUMBER(SEARCH("TemperateForest",BX146)),ISNUMBER(SEARCH("TemperateSwamp",BX146))),-20,IF(_xlfn.XLOOKUP(_xlfn.XLOOKUP(B146,'Base stats'!B:B,'Base stats'!E:E),Groups!A:A,Groups!F:F)=1,-15,IF(OR(ISNUMBER(SEARCH("Desert",BX146)),ISNUMBER(SEARCH("ExtremeDesert",BX146))),-10,IF(OR(ISNUMBER(SEARCH("Grasslands",BX146)),ISNUMBER(SEARCH("TropicalRainforest",BX146)),ISNUMBER(SEARCH("TropicalSwamp",BX146))),10,0)))))))-IF(CC146="False",MIN(IFERROR(MAX(MROUND(LOG10(_xlfn.XLOOKUP(B146,'Base stats'!B:B,'Base stats'!C:C)^(2/3))*10,5),5),5),30))-_xlfn.XLOOKUP(B146,'Base stats'!B:B,'Base stats'!P:P)+IF(CC146="True",5,0)</f>
        <v>-20</v>
      </c>
      <c r="M146" s="2">
        <f>IF(OR(_xlfn.XLOOKUP(_xlfn.XLOOKUP(B146,'Base stats'!B:B,'Base stats'!E:E),Groups!A:A,Groups!G:G)=2,ISNUMBER(SEARCH("Desert",BX146)),ISNUMBER(SEARCH("ExtremeDesert",BX146)),ISNUMBER(SEARCH("LavaField",BX146))),50,IF(ISNUMBER(SEARCH("Grasslands",BX146)),45,IF(OR(_xlfn.XLOOKUP(_xlfn.XLOOKUP(B146,'Base stats'!B:B,'Base stats'!E:E),Groups!A:A,Groups!G:G)=1,ISNUMBER(SEARCH("TropicalRainforest",BX146)),ISNUMBER(SEARCH("TropicalSwamp",BX146))),40,IF(OR(ISNUMBER(SEARCH("TemperateForest",BX146)),ISNUMBER(SEARCH("TemperateSwamp",BX146))),35,IF(OR(ISNUMBER(SEARCH("Alpine",BX146)),ISNUMBER(SEARCH("BorealForest",BX146)),ISNUMBER(SEARCH("ColdBog",BX146))),30,IF(ISNUMBER(OR(ISNUMBER(SEARCH("GlacialPlain",BX146)),SEARCH("Tundra",BX146))),25,IF(OR(ISNUMBER(SEARCH("SeaIce",BX146)),ISNUMBER(SEARCH("IceSheet",BX146)),ISNUMBER(SEARCH("TropicalSwamp",BX146))),10,35)))))))+_xlfn.XLOOKUP(B146,'Base stats'!B:B,'Base stats'!Q:Q)</f>
        <v>35</v>
      </c>
      <c r="N146" s="8" t="str">
        <f>IF(
_xlfn.XLOOKUP(
_xlfn.XLOOKUP(B146,'Base stats'!B:B,'Base stats'!E:E),
Groups!A:A,
Groups!L:L
)=1,
MIN(
MROUND(
IF(
_xlfn.XLOOKUP(B146,'Animals CE'!B:B,'Animals CE'!Z:Z)&lt;=1.5,
_xlfn.XLOOKUP(B146,'Animals CE'!B:B,'Animals CE'!Z:Z)/2+0.05,
0.8+
(_xlfn.XLOOKUP(B146,'Animals CE'!B:B,'Animals CE'!Z:Z)-1.5)
*0.02
),
0.05
),
200%
),
"No"
)</f>
        <v>No</v>
      </c>
      <c r="O146" s="8" t="str">
        <f>IF(
_xlfn.XLOOKUP(
_xlfn.XLOOKUP(B146,'Base stats'!B:B,'Base stats'!E:E),
Groups!A:A,
Groups!L:L
)=1,
MIN(
MROUND(
IF(
_xlfn.XLOOKUP(B146,'Animals CE'!B:B,'Animals CE'!AA:AA)&lt;=1.5,
_xlfn.XLOOKUP(B146,'Animals CE'!B:B,'Animals CE'!AA:AA)/2+0.05,
0.8+
(_xlfn.XLOOKUP(B146,'Animals CE'!B:B,'Animals CE'!AA:AA)-1.5)
*0.02
),
0.05
),
200%
),
"No"
)</f>
        <v>No</v>
      </c>
      <c r="P146" s="2" t="str">
        <f>_xlfn.XLOOKUP(B146,'Base stats'!B:B,'Base stats'!R:R)</f>
        <v>Standard</v>
      </c>
      <c r="Q146" s="13">
        <f>MROUND((LOG10(_xlfn.XLOOKUP(B146,'Base stats'!B:B,'Base stats'!AR:AR))*(AO146^0.5)+(_xlfn.XLOOKUP(B146,'Base stats'!B:B,'Base stats'!AR:AR)/1000)^(2/3)+_xlfn.XLOOKUP(B146,'Base stats'!B:B,'Base stats'!BA:BA)/2)+0.5,0.5)</f>
        <v>3</v>
      </c>
      <c r="R146" s="7">
        <f>IF(Q146="No","No",MAX(1,MROUND(_xlfn.XLOOKUP(B146,'Base stats'!B:B,'Base stats'!C:C)^0.165,0.05)))</f>
        <v>1.4000000000000001</v>
      </c>
      <c r="S146" s="13" t="str">
        <f>IF(_xlfn.XLOOKUP(_xlfn.XLOOKUP(B146,'Base stats'!B:B,'Base stats'!E:E),Groups!A:A,Groups!P:P)=0,"No",MROUND((LOG10(_xlfn.XLOOKUP(B146,'Base stats'!B:B,'Base stats'!AS:AS))*(AO146^0.5)+(_xlfn.XLOOKUP(B146,'Base stats'!B:B,'Base stats'!AS:AS)/1000)^(2/3)+_xlfn.XLOOKUP(B146,'Base stats'!B:B,'Base stats'!BA:BA))+_xlfn.XLOOKUP(B146,'Base stats'!B:B,'Base stats'!AY:AY)+0.5,0.5))</f>
        <v>No</v>
      </c>
      <c r="T146" s="7" t="str">
        <f>IF(S146="No","No",MAX(_xlfn.XLOOKUP(_xlfn.XLOOKUP(B146,'Base stats'!B:B,'Base stats'!E:E),Groups!A:A,Groups!Q:Q),MROUND(_xlfn.XLOOKUP(_xlfn.XLOOKUP(B146,'Base stats'!B:B,'Base stats'!E:E),Groups!A:A,Groups!Q:Q)*_xlfn.XLOOKUP(B146,'Base stats'!B:B,'Base stats'!C:C)^0.165,0.05)))</f>
        <v>No</v>
      </c>
      <c r="U146" s="7" t="str">
        <f>IF(S146="No","No",_xlfn.XLOOKUP(_xlfn.XLOOKUP(B146,'Base stats'!B:B,'Base stats'!E:E),Groups!A:A,Groups!R:R))</f>
        <v>No</v>
      </c>
      <c r="V146" s="7" t="str">
        <f>IF(S146="No","No",_xlfn.XLOOKUP(_xlfn.XLOOKUP(B146,'Base stats'!B:B,'Base stats'!E:E),Groups!A:A,Groups!S:S))</f>
        <v>No</v>
      </c>
      <c r="W146" s="7" t="str">
        <f>IF(S146="No","No",_xlfn.XLOOKUP(_xlfn.XLOOKUP(B146,'Base stats'!B:B,'Base stats'!E:E),Groups!A:A,Groups!T:T))</f>
        <v>No</v>
      </c>
      <c r="X146" s="13" t="str">
        <f>IF(_xlfn.XLOOKUP(B146,'Base stats'!B:B,'Base stats'!W:W)="No","No",MROUND((LOG10(_xlfn.XLOOKUP(B146,'Base stats'!B:B,'Base stats'!AU:AU))*(AO146^0.5)+(_xlfn.XLOOKUP(B146,'Base stats'!B:B,'Base stats'!AU:AU)/1000)^(2/3)+_xlfn.XLOOKUP(B146,'Base stats'!B:B,'Base stats'!AZ:AZ))+0.5+IF(_xlfn.XLOOKUP(_xlfn.XLOOKUP(B146,'Base stats'!B:B,'Base stats'!E:E),Groups!A:A,Groups!U:U)&lt;&gt;3,_xlfn.XLOOKUP(B146,'Base stats'!B:B,'Base stats'!BA:BA),0),0.5))</f>
        <v>No</v>
      </c>
      <c r="Y146" s="7" t="str">
        <f>IF(X146="No","No",MAX(_xlfn.XLOOKUP(_xlfn.XLOOKUP(B146,'Base stats'!B:B,'Base stats'!E:E),Groups!A:A,Groups!V:V),MROUND(_xlfn.XLOOKUP(_xlfn.XLOOKUP(B146,'Base stats'!B:B,'Base stats'!E:E),Groups!A:A,Groups!V:V)*_xlfn.XLOOKUP(B146,'Base stats'!B:B,'Base stats'!C:C)^0.165,0.05)))</f>
        <v>No</v>
      </c>
      <c r="Z146" s="7" t="str">
        <f>IF(X146="No","No",_xlfn.XLOOKUP(_xlfn.XLOOKUP(B146,'Base stats'!B:B,'Base stats'!E:E),Groups!A:A,Groups!W:W))</f>
        <v>No</v>
      </c>
      <c r="AA146" s="7" t="str">
        <f>IF(X146="No","No",_xlfn.XLOOKUP(_xlfn.XLOOKUP(B146,'Base stats'!B:B,'Base stats'!E:E),Groups!A:A,Groups!X:X))</f>
        <v>No</v>
      </c>
      <c r="AB146" s="7" t="str">
        <f>IF(X146="No","No",_xlfn.XLOOKUP(_xlfn.XLOOKUP(B146,'Base stats'!B:B,'Base stats'!E:E),Groups!A:A,Groups!Y:Y))</f>
        <v>No</v>
      </c>
      <c r="AC146" s="7" t="str">
        <f>_xlfn.XLOOKUP(Animals!B146,'Base stats'!B:B,'Base stats'!X:X)</f>
        <v>False</v>
      </c>
      <c r="AD146" s="13">
        <f>IF(_xlfn.XLOOKUP(B146,'Base stats'!B:B,'Base stats'!AT:AT)="No","No",MROUND((LOG10(_xlfn.XLOOKUP(B146,'Base stats'!B:B,'Base stats'!AT:AT))*(AO146^0.75)+(_xlfn.XLOOKUP(B146,'Base stats'!B:B,'Base stats'!AT:AT)/1000)^(2/3)+_xlfn.XLOOKUP(B146,'Base stats'!B:B,'Base stats'!AX:AX)+_xlfn.XLOOKUP(B146,'Base stats'!B:B,'Base stats'!BA:BA))+0.5,0.5))</f>
        <v>5</v>
      </c>
      <c r="AE146" s="7">
        <f>IF(AD146="No","No",MAX(_xlfn.XLOOKUP(_xlfn.XLOOKUP(B146,'Base stats'!B:B,'Base stats'!E:E),Groups!A:A,Groups!Z:Z),MROUND(_xlfn.XLOOKUP(_xlfn.XLOOKUP(B146,'Base stats'!B:B,'Base stats'!E:E),Groups!A:A,Groups!Z:Z)*_xlfn.XLOOKUP(B146,'Base stats'!B:B,'Base stats'!C:C)^0.165,0.05)))</f>
        <v>1.1000000000000001</v>
      </c>
      <c r="AF146" s="7" t="str">
        <f>IF(AD146="No","No",_xlfn.XLOOKUP(_xlfn.XLOOKUP(B146,'Base stats'!B:B,'Base stats'!E:E),Groups!A:A,Groups!AA:AA))</f>
        <v>Teeth</v>
      </c>
      <c r="AG146" s="7" t="str">
        <f>IF(AD146="No","No",_xlfn.XLOOKUP(_xlfn.XLOOKUP(B146,'Base stats'!B:B,'Base stats'!E:E),Groups!A:A,Groups!AB:AB))</f>
        <v>canines</v>
      </c>
      <c r="AH146" s="7" t="str">
        <f>IF(AD146="No","No",_xlfn.XLOOKUP(_xlfn.XLOOKUP(B146,'Base stats'!B:B,'Base stats'!E:E),Groups!A:A,Groups!AC:AC))</f>
        <v>Bite</v>
      </c>
      <c r="AI146" s="13" t="str">
        <f>IF(_xlfn.XLOOKUP(_xlfn.XLOOKUP(B146,'Base stats'!B:B,'Base stats'!E:E),Groups!A:A,Groups!AD:AD)=0,"No",MROUND((LOG10(_xlfn.XLOOKUP(B146,'Base stats'!B:B,'Base stats'!AS:AS))*(AO146^0.75)+(_xlfn.XLOOKUP(B146,'Base stats'!B:B,'Base stats'!AS:AS)/1000)^(2/3)+_xlfn.XLOOKUP(B146,'Base stats'!B:B,'Base stats'!AY:AY)+_xlfn.XLOOKUP(B146,'Base stats'!B:B,'Base stats'!BA:BA))+0.5,0.5))</f>
        <v>No</v>
      </c>
      <c r="AJ146" s="7" t="str">
        <f>IF(AI146="No","No",MAX(_xlfn.XLOOKUP(_xlfn.XLOOKUP(B146,'Base stats'!B:B,'Base stats'!E:E),Groups!A:A,Groups!AE:AE),MROUND(_xlfn.XLOOKUP(_xlfn.XLOOKUP(B146,'Base stats'!B:B,'Base stats'!E:E),Groups!A:A,Groups!AE:AE)*IF(_xlfn.XLOOKUP(_xlfn.XLOOKUP(B146,'Base stats'!B:B,'Base stats'!E:E),Groups!A:A,Groups!AJ:AJ)="Photonozoa",0.6,1)*_xlfn.XLOOKUP(B146,'Base stats'!B:B,'Base stats'!C:C)^0.165,0.05)))</f>
        <v>No</v>
      </c>
      <c r="AK146" s="7" t="str">
        <f>IF(AI146="No","No",_xlfn.XLOOKUP(_xlfn.XLOOKUP(B146,'Base stats'!B:B,'Base stats'!E:E),Groups!A:A,Groups!AF:AF))</f>
        <v>No</v>
      </c>
      <c r="AL146" s="7" t="str">
        <f>IF(AI146="No","No",_xlfn.XLOOKUP(_xlfn.XLOOKUP(B146,'Base stats'!B:B,'Base stats'!E:E),Groups!A:A,Groups!AG:AG))</f>
        <v>No</v>
      </c>
      <c r="AM146" s="7" t="str">
        <f>IF(AI146="No","No",_xlfn.XLOOKUP(_xlfn.XLOOKUP(B146,'Base stats'!B:B,'Base stats'!E:E),Groups!A:A,Groups!AH:AH))</f>
        <v>No</v>
      </c>
      <c r="AN146" s="2">
        <f t="shared" si="14"/>
        <v>15</v>
      </c>
      <c r="AO146" s="2">
        <f>MROUND(IF(AND(_xlfn.XLOOKUP(B146,'Base stats'!B:B,'Base stats'!C:C)&gt;=0.5,_xlfn.XLOOKUP(B146,'Base stats'!B:B,'Base stats'!C:C)&lt;=0.8),
IF(_xlfn.XLOOKUP(B146,'Base stats'!B:B,'Base stats'!C:C)&lt;0.1,0.05,IF(_xlfn.XLOOKUP(B146,'Base stats'!B:B,'Base stats'!C:C)&lt;=70,(_xlfn.XLOOKUP(B146,'Base stats'!B:B,'Base stats'!C:C)/70)^0.426489913056526,IF(_xlfn.XLOOKUP(B146,'Base stats'!B:B,'Base stats'!C:C)&lt;=400,(_xlfn.XLOOKUP(B146,'Base stats'!B:B,'Base stats'!C:C)/70)^0.572811455315093,IF(_xlfn.XLOOKUP(B146,'Base stats'!B:B,'Base stats'!C:C)&lt;=2000,2.71391647193063*(_xlfn.XLOOKUP(B146,'Base stats'!B:B,'Base stats'!C:C)/400)^0.252459582904293,3.74314280240376*(_xlfn.XLOOKUP(B146,'Base stats'!B:B,'Base stats'!C:C)/2000)^0.357012633876913)))),
IF(_xlfn.XLOOKUP(B146,'Base stats'!B:B,'Base stats'!C:C)&lt;0.1,0.05,IF(_xlfn.XLOOKUP(B146,'Base stats'!B:B,'Base stats'!C:C)&lt;0.4,0.1,IF(_xlfn.XLOOKUP(B146,'Base stats'!B:B,'Base stats'!C:C)&lt;=70,(_xlfn.XLOOKUP(B146,'Base stats'!B:B,'Base stats'!C:C)/70)^0.445823913056526,IF(_xlfn.XLOOKUP(B146,'Base stats'!B:B,'Base stats'!C:C)&lt;=400,(_xlfn.XLOOKUP(B146,'Base stats'!B:B,'Base stats'!C:C)/70)^0.572811455315093,IF(_xlfn.XLOOKUP(B146,'Base stats'!B:B,'Base stats'!C:C)&lt;=2000,2.71391647193063*(_xlfn.XLOOKUP(B146,'Base stats'!B:B,'Base stats'!C:C)/400)^0.252459582904293,3.74314280240376*(_xlfn.XLOOKUP(B146,'Base stats'!B:B,'Base stats'!C:C)/2000)^0.357012633876913)))))),
IF(_xlfn.XLOOKUP(B146,'Base stats'!B:B,'Base stats'!C:C)&lt;0.1,0.05,IF(_xlfn.XLOOKUP(B146,'Base stats'!B:B,'Base stats'!C:C)&lt;=100,0.05,IF(_xlfn.XLOOKUP(B146,'Base stats'!B:B,'Base stats'!C:C)&lt;=250,0.1,IF(_xlfn.XLOOKUP(B146,'Base stats'!B:B,'Base stats'!C:C)&lt;=4000,0.25,0.5)))))</f>
        <v>0.35000000000000003</v>
      </c>
      <c r="AP146" s="8">
        <f>MROUND(AO146*_xlfn.XLOOKUP(_xlfn.XLOOKUP(B146,'Base stats'!B:B,'Base stats'!E:E),Groups!A:A,Groups!AI:AI)*_xlfn.XLOOKUP(B146,'Base stats'!B:B,'Base stats'!Z:Z),0.05)</f>
        <v>0.4</v>
      </c>
      <c r="AQ146" s="8">
        <f>MAX(0.01,MROUND(IF(CC146="True",0.196*(AO146*100*1000)^0.889,IF(_xlfn.XLOOKUP(_xlfn.XLOOKUP(B146,'Base stats'!B:B,'Base stats'!E:E),Groups!A:A,Groups!AJ:AJ)="Bird",10.5*(AO146*100*1000)^0.681,4.82*(AO146*100*1000)^0.734))/(4.82*(1*100*1000)^0.734)/IF(AO146&lt;3.5,2,IF(AO146=3.5,1.5,1.25))*(1+0.132282374779864/(AO146^0.994035016789033+0.00905238001496948)),0.05))</f>
        <v>0.30000000000000004</v>
      </c>
      <c r="AR146" s="9">
        <f>IFERROR(MROUND(_xlfn.XLOOKUP(B146,'Base stats'!B:B,'Base stats'!H:H)/IF(_xlfn.XLOOKUP(B146,'Base stats'!B:B,'Base stats'!I:I)&lt;&gt;1,(122.5/70),1.2),IF(_xlfn.XLOOKUP(B146,'Base stats'!B:B,'Base stats'!H:H)&gt;=30,5,IF(_xlfn.XLOOKUP(B146,'Base stats'!B:B,'Base stats'!H:H)&gt;=15,3,IF(_xlfn.XLOOKUP(B146,'Base stats'!B:B,'Base stats'!H:H)&gt;=10,2,1)))),"Immortal")</f>
        <v>15</v>
      </c>
      <c r="AS146" s="35">
        <f>IFERROR(IF(OR(_xlfn.XLOOKUP(B146,'Base stats'!B:B,'Base stats'!F:F)="Atypical reproduction",_xlfn.XLOOKUP(B146,'Base stats'!B:B,'Base stats'!F:F)="Lay eggs"),"Lay eggs",MIN(20,MAX(5.5,ROUND(((_xlfn.XLOOKUP(B146,'Base stats'!B:B,'Base stats'!F:F)-25)*(14.5/615) + 5.5)*2,0)/2))),"Unknown")</f>
        <v>6.5</v>
      </c>
      <c r="AT146" s="8">
        <f>IF(_xlfn.XLOOKUP(B146,'Base stats'!B:B,'Base stats'!G:G)="Atypical reproduction","No",IFERROR(MAX(IF(_xlfn.XLOOKUP(B146,'Base stats'!B:B,'Base stats'!G:G)&lt;0.5,0.2,0.3),MROUND(_xlfn.XLOOKUP(B146,'Base stats'!B:B,'Base stats'!G:G)/(365/60),0.2)),"Unknown"))</f>
        <v>0.3</v>
      </c>
      <c r="AU146" s="8">
        <f t="shared" si="15"/>
        <v>0.15000000000000002</v>
      </c>
      <c r="AV146" s="8">
        <f>IFERROR(IFERROR(MROUND(_xlfn.XLOOKUP(B146,'Base stats'!B:B,'Base stats'!J:J),0.1),"Lay eggs"),"Cannot breed")</f>
        <v>6</v>
      </c>
      <c r="AW146" s="2" t="str">
        <f t="shared" si="16"/>
        <v>true</v>
      </c>
      <c r="AX146" s="2" t="str">
        <f>IF(_xlfn.XLOOKUP(_xlfn.XLOOKUP(Animals!B146,'Base stats'!B:B,'Base stats'!E:E),Groups!A:A,Groups!AK:AK)=1,"true","false")</f>
        <v>false</v>
      </c>
      <c r="AY146" s="25" t="str">
        <f>IF(_xlfn.XLOOKUP(B146,'Base stats'!B:B,'Base stats'!Y:Y)="Liquor","Liquor, CarnivoreAnimalStrict",IF(AND(_xlfn.XLOOKUP(B146,'Base stats'!B:B,'Base stats'!Y:Y)="Carnivore",_xlfn.XLOOKUP(_xlfn.XLOOKUP(B146,'Base stats'!B:B,'Base stats'!E:E),Groups!A:A,Groups!AJ:AJ)="Photonozoa"),"CarnivoreAnimalStrict, OvivoreAnimal",IF(_xlfn.XLOOKUP(B146,'Base stats'!B:B,'Base stats'!Y:Y)="Carnivore","CarnivoreAnimal, OvivoreAnimal",IF(_xlfn.XLOOKUP(B146,'Base stats'!B:B,'Base stats'!Y:Y)="Dendrovore","VegetarianRoughAnimal, DendrovoreAnimal",IF(_xlfn.XLOOKUP(B146,'Base stats'!B:B,'Base stats'!Y:Y)="Herbivore","VegetarianRoughAnimal",IF(_xlfn.XLOOKUP(B146,'Base stats'!B:B,'Base stats'!Y:Y)="OmnivoreRough","OmnivoreRoughAnimal, OvivoreAnimal","OmnivoreAnimal, OvivoreAnimal"))))))</f>
        <v>OmnivoreAnimal, OvivoreAnimal</v>
      </c>
      <c r="AZ146" s="2" t="str">
        <f>IF(_xlfn.XLOOKUP(_xlfn.XLOOKUP(B146,'Base stats'!B:B,'Base stats'!E:E),Groups!A:A,Groups!D:D)=1,MROUND((1-J146)*5+1,2)*IF(J146&lt;=0.4,2,1),"No")</f>
        <v>No</v>
      </c>
      <c r="BA146" s="2" t="str">
        <f>IF(AND(_xlfn.XLOOKUP(B146,'Base stats'!B:B,'Base stats'!AH:AH)="&lt;li&gt;Seal&lt;/li&gt;",G146="Odyssey"),"&lt;li&gt;AEXP_Seal&lt;/li&gt;",_xlfn.XLOOKUP(B146,'Base stats'!B:B,'Base stats'!AH:AH))</f>
        <v>&lt;li&gt;YorkshireTerrier&lt;/li&gt;</v>
      </c>
      <c r="BB146" s="2" t="str">
        <f>_xlfn.XLOOKUP(B146,'Base stats'!B:B,'Base stats'!AG:AG)</f>
        <v>Leather_Dog</v>
      </c>
      <c r="BC146" s="23" t="str">
        <f>_xlfn.XLOOKUP(_xlfn.XLOOKUP(B146,'Base stats'!B:B,'Base stats'!E:E),Groups!A:A,Groups!AL:AL)</f>
        <v>QuadrupedAnimalWithPawsAndTail</v>
      </c>
      <c r="BD146" s="23">
        <f>MIN(1,MROUND(IF(AND(AO146&lt;0.5,_xlfn.XLOOKUP(B146,'Base stats'!B:B,'Base stats'!AA:AA)=0),0,IF(OR(_xlfn.XLOOKUP(Animals!B146,'Base stats'!B:B,'Base stats'!O:O)=2,_xlfn.XLOOKUP(_xlfn.XLOOKUP(B146,'Base stats'!B:B,'Base stats'!E:E),Groups!A:A,Groups!AN:AN)=0),0,_xlfn.XLOOKUP(_xlfn.XLOOKUP(B146,'Base stats'!B:B,'Base stats'!E:E),Groups!A:A,Groups!AN:AN)/IF(_xlfn.XLOOKUP(Animals!B146,'Base stats'!B:B,'Base stats'!O:O)=1,2,1)))+_xlfn.XLOOKUP(B146,'Base stats'!B:B,'Base stats'!AC:AC),0.005))</f>
        <v>0</v>
      </c>
      <c r="BE146" s="23">
        <f>MIN(1,MROUND(IF(AND(AO146&lt;0.5,_xlfn.XLOOKUP(B146,'Base stats'!B:B,'Base stats'!AA:AA)=0),0,IF(_xlfn.XLOOKUP(_xlfn.XLOOKUP(B146,'Base stats'!B:B,'Base stats'!E:E),Groups!A:A,Groups!AO:AO)=0,0,_xlfn.XLOOKUP(_xlfn.XLOOKUP(B146,'Base stats'!B:B,'Base stats'!E:E),Groups!A:A,Groups!AO:AO)/IF(_xlfn.XLOOKUP(Animals!B146,'Base stats'!B:B,'Base stats'!O:O)=2,3,1)))+_xlfn.XLOOKUP(B146,'Base stats'!B:B,'Base stats'!AD:AD),0.005))</f>
        <v>0</v>
      </c>
      <c r="BF146" s="2">
        <f>IF(J146&gt;0.3,"No",_xlfn.XLOOKUP(_xlfn.XLOOKUP(Animals!B146,'Base stats'!B:B,'Base stats'!E:E),Groups!A:A,Groups!AP:AP))</f>
        <v>1</v>
      </c>
      <c r="BG146" s="2">
        <f>IF(AND(J146&lt;=0.65,_xlfn.XLOOKUP(_xlfn.XLOOKUP(Animals!B146,'Base stats'!B:B,'Base stats'!E:E),Groups!A:A,Groups!AP:AP)&lt;&gt;"No",_xlfn.XLOOKUP(_xlfn.XLOOKUP(B146,'Base stats'!B:B,'Base stats'!E:E),Groups!A:A,Groups!D:D)=0),MROUND((80/3)*IF(_xlfn.XLOOKUP(B146,'Base stats'!B:B,'Base stats'!O:O)=2,0.2,AO146) + 24*(1-IF(BF146="No",0,BF146)) + 16/3, 12),"No")</f>
        <v>12</v>
      </c>
      <c r="BH146" s="2">
        <f>IF(AND(_xlfn.XLOOKUP(_xlfn.XLOOKUP(B146,'Base stats'!B:B,'Base stats'!E:E),Groups!A:A,Groups!AQ:AQ)=1,AO146&lt;=0.35),8,12)</f>
        <v>12</v>
      </c>
      <c r="BI146" s="2" t="str">
        <f>IF(_xlfn.XLOOKUP(_xlfn.XLOOKUP(B146,'Base stats'!B:B,'Base stats'!E:E),Groups!A:A,Groups!D:D)=0,_xlfn.XLOOKUP(_xlfn.XLOOKUP(B146,'Base stats'!B:B,'Base stats'!E:E),Groups!A:A,Groups!AR:AR),"None")</f>
        <v>Advanced</v>
      </c>
      <c r="BJ146" s="2" t="str">
        <f>IF(AND(_xlfn.XLOOKUP(_xlfn.XLOOKUP(B146,'Base stats'!B:B,'Base stats'!E:E),Groups!A:A,Groups!AS:AS)=1,OR(_xlfn.XLOOKUP(B146,'Base stats'!B:B,'Base stats'!Y:Y)="Carnivore",_xlfn.XLOOKUP(B146,'Base stats'!B:B,'Base stats'!Y:Y)="Omnivore")),"true","false")</f>
        <v>true</v>
      </c>
      <c r="BK146" s="2">
        <f>IF(BJ146="true",MROUND(IF(AND(AO146&gt;0.5,OR(_xlfn.XLOOKUP(_xlfn.XLOOKUP(B146,'Base stats'!B:B,'Base stats'!E:E),Groups!A:A,Groups!AJ:AJ)="Photonozoa",_xlfn.XLOOKUP(_xlfn.XLOOKUP(B146,'Base stats'!B:B,'Base stats'!E:E),Groups!A:A,Groups!AJ:AJ)="Mammal")),Animals!AO146*1.75*IF(AW146="true",1.5,1),IF(AO146&lt;0.5,Animals!AO146*0.5,Animals!AO146)),IF(AO146&gt;2,0.5,IF(AO146&gt;0.5,0.25,0.1))),"No")</f>
        <v>0.2</v>
      </c>
      <c r="BL146" s="2">
        <f t="shared" si="17"/>
        <v>1</v>
      </c>
      <c r="BM146" s="25" t="str">
        <f>IF(_xlfn.XLOOKUP(B146,'Base stats'!B:B,'Base stats'!AN:AN)="Standard","No",MROUND((_xlfn.XLOOKUP(B146,'Base stats'!B:B,'Base stats'!AN:AN)/3.6)/I146,0.1))</f>
        <v>No</v>
      </c>
      <c r="BN146" s="25" t="str">
        <f t="shared" si="18"/>
        <v>false</v>
      </c>
      <c r="BO146" s="25" t="str">
        <f>IF(AND(OR(_xlfn.XLOOKUP(B146,'Base stats'!B:B,'Base stats'!Y:Y)="Carnivore",_xlfn.XLOOKUP(B146,'Base stats'!B:B,'Base stats'!Y:Y)="Omnivore",_xlfn.XLOOKUP(B146,'Base stats'!B:B,'Base stats'!Y:Y)="OmnivoreRough"),_xlfn.XLOOKUP(_xlfn.XLOOKUP(B146,'Base stats'!B:B,'Base stats'!E:E),Groups!A:A,Groups!AT:AT)=1),"true","false")</f>
        <v>false</v>
      </c>
      <c r="BP146" s="25" t="str" cm="1">
        <f t="array" ref="BP146">IF(
  _xlfn.TEXTJOIN(", ",TRUE,
    IF(AND(BJ146="true",AO146&gt;0.5,BI146&lt;&gt;"None"),"AttackTarget",""),
    IF(AND(_xlfn.XLOOKUP(_xlfn.XLOOKUP(B146,'Base stats'!B:B,'Base stats'!E:E),Groups!A:A,Groups!AJ:AJ="Mammal"),OR(_xlfn.XLOOKUP(B146,'Base stats'!B:B,'Base stats'!Y:Y)="Omnivore",_xlfn.XLOOKUP(B146,'Base stats'!B:B,'Base stats'!Y:Y)="OmnivoreRough")),"Forage",""),
    IF(BG146&lt;=36,"Comfort",""),
    IF(_xlfn.XLOOKUP(B146,'Base stats'!B:B,'Base stats'!AE:AE)&lt;&gt;"No",_xlfn.XLOOKUP(B146,'Base stats'!B:B,'Base stats'!AE:AE),"")
  ) = "",
  "No",
  _xlfn.TEXTJOIN(", ",TRUE,
    IF(AND(BJ146="true",AO146&gt;0.5,BI146&lt;&gt;"None"),"AttackTarget",""),
    IF(AND(_xlfn.XLOOKUP(_xlfn.XLOOKUP(B146,'Base stats'!B:B,'Base stats'!E:E),Groups!A:A,Groups!AJ:AJ="Mammal"),OR(_xlfn.XLOOKUP(B146,'Base stats'!B:B,'Base stats'!Y:Y)="Omnivore",_xlfn.XLOOKUP(B146,'Base stats'!B:B,'Base stats'!Y:Y)="OmnivoreRough")),"Forage",""),
    IF(BG146&lt;=36,"Comfort",""),
    IF(_xlfn.XLOOKUP(B146,'Base stats'!B:B,'Base stats'!AE:AE)&lt;&gt;"No",_xlfn.XLOOKUP(B146,'Base stats'!B:B,'Base stats'!AE:AE),"")
  )
)</f>
        <v>Forage, Comfort</v>
      </c>
      <c r="BQ146" s="25" t="str">
        <f>IF(
   AND(
      'Base stats'!AN146="Standard",_xlfn.XLOOKUP(_xlfn.XLOOKUP(B146,'Base stats'!B:B,'Base stats'!E:E),Groups!A:A,Groups!AU:AU)=0,
      OR(
      BO146="True"
      )
   ),
   10,
   IF(
       OR(BM146&lt;&gt;"No",_xlfn.XLOOKUP(_xlfn.XLOOKUP(B146,'Base stats'!B:B,'Base stats'!E:E),Groups!A:A,Groups!AU:AU)=1),
      1,
      "No"
   )
)</f>
        <v>No</v>
      </c>
      <c r="BR146" s="9">
        <f>MROUND((1 + ((0.2*IF(OR(Q146="No",R146="No",R146=0),0,Q146/R146)
+IF(OR(V146="No",S146="No",T146="No"),0,S146/T146*(LEN(V146)-LEN(SUBSTITUTE(V146,",",""))+1))
+IF(OR(X146="No",Y146="No"),0,X146/Y146)
+IF(OR(AD146="No",AE146="No"),0,AD146/AE146)
+IF(OR(AL146="No",AI146="No",AJ146="No"),0,AI146/AJ146*(LEN(AL146)-LEN(SUBSTITUTE(AL146,",",""))+1))
)/(0.2*IF(OR(Q146="No",R146="No",R146=0),0,1)
+IF(OR(V146="No",S146="No",T146="No"),0,LEN(V146)-LEN(SUBSTITUTE(V146,",",""))+1)
+IF(OR(X146="No",Y146="No"),0,1)
+IF(OR(AD146="No",AE146="No"),0,1)
+IF(OR(AL146="No",AI146="No",AJ146="No"),0,LEN(AL146)-LEN(SUBSTITUTE(AL146,",",""))+1))*62%)* 2)*(1 + (AP146 / (IF(_xlfn.XLOOKUP(_xlfn.XLOOKUP(B146,'Base stats'!B:B,'Base stats'!E:E),Groups!A:A,Groups!AJ:AJ)="Photonozoa",0.3,1)) + _xlfn.XLOOKUP(B146,'Base stats'!B:B,'Base stats'!AV:AV) * 1.8) * 2) * 2.5 + 10 + I146 * 2,5)+IF(_xlfn.XLOOKUP(B146,'Base stats'!B:B,'Base stats'!AK:AK)=1,50,0)</f>
        <v>50</v>
      </c>
      <c r="BS146" s="8">
        <f t="shared" si="19"/>
        <v>0.30000000000000004</v>
      </c>
      <c r="BT146" s="8" t="str">
        <f>_xlfn.XLOOKUP(B146,'Base stats'!B:B,'Base stats'!AF:AF)</f>
        <v>2~4</v>
      </c>
      <c r="BU146" s="2" t="str">
        <f>IF(AND(J146&lt;=0.95,OR(_xlfn.XLOOKUP(B146,'Base stats'!B:B,'Base stats'!AK:AK)=1,_xlfn.XLOOKUP(B146,'Base stats'!B:B,'Base stats'!Y:Y)="Carnivore",_xlfn.XLOOKUP(B146,'Base stats'!B:B,'Base stats'!Y:Y)="Omnivore",BE146&gt;0.1)),"true","false")</f>
        <v>true</v>
      </c>
      <c r="BV146" s="2" t="str">
        <f>IF(_xlfn.XLOOKUP(B146,'Base stats'!B:B,'Base stats'!AI:AI)=1,"true","false")</f>
        <v>false</v>
      </c>
      <c r="BW146" s="25" t="str">
        <f>IF(E146="BaseInsect","AnimalInsect",
IF(J146&gt;0.95,"AnimalExotic",
_xlfn.TEXTJOIN(", ",TRUE,
IF(OR(_xlfn.XLOOKUP(B146,'Base stats'!B:B,'Base stats'!AM:AM)=1,AND(_xlfn.XLOOKUP(B146,'Base stats'!B:B,'Base stats'!O:O)=0,_xlfn.XLOOKUP(_xlfn.XLOOKUP(B146,'Base stats'!B:B,'Base stats'!E:E),Groups!A:A,Groups!B:B)&gt;0)),"AnimalUncommon","AnimalCommon"),
IF(AND(_xlfn.XLOOKUP(B146,'Base stats'!B:B,'Base stats'!O:O)=2,_xlfn.XLOOKUP(_xlfn.XLOOKUP(B146,'Base stats'!B:B,'Base stats'!E:E),Groups!A:A,Groups!D:D)=0),"AnimalPet",IF(AND(_xlfn.XLOOKUP(B146,'Base stats'!B:B,'Base stats'!O:O)&lt;&gt;0,_xlfn.XLOOKUP(_xlfn.XLOOKUP(B146,'Base stats'!B:B,'Base stats'!E:E),Groups!A:A,Groups!D:D)&lt;&gt;0),"AnimalFarm","")),
IF(OR(_xlfn.XLOOKUP(B146,'Base stats'!B:B,'Base stats'!AK:AK)=1,AND(BI146&lt;&gt;"None",BR146&gt;=60),ISNUMBER(SEARCH("Attack target",BP146))),"AnimalFighter","")
)))</f>
        <v>AnimalCommon, AnimalPet</v>
      </c>
      <c r="BX146" s="25" t="str">
        <f>IF(G146="None",TRIM(
SUBSTITUTE(
IF(COUNTIF(Biomes!B$2:B$259,"="&amp;$C146)&gt;0,Biomes!B$1&amp;", ","")&amp;
IF(COUNTIF(Biomes!C$2:C$259,"="&amp;$C146)&gt;0,Biomes!C$1&amp;", ","")&amp;
IF(COUNTIF(Biomes!D$2:D$259,"="&amp;$C146)&gt;0,Biomes!D$1&amp;", ","")&amp;
IF(COUNTIF(Biomes!F$2:F$259,"="&amp;$C146)&gt;0,Biomes!F$1&amp;", ","")&amp;
IF(COUNTIF(Biomes!G$2:G$259,"="&amp;$C146)&gt;0,Biomes!G$1&amp;", ","")&amp;
IF(COUNTIF(Biomes!H$2:H$259,"="&amp;$C146)&gt;0,Biomes!H$1&amp;", ","")&amp;
IF(COUNTIF(Biomes!I$2:I$259,"="&amp;$C146)&gt;0,Biomes!I$1&amp;", ","")&amp;
IF(COUNTIF(Biomes!J$2:J$259,"="&amp;$C146)&gt;0,Biomes!J$1&amp;", ","")&amp;
IF(COUNTIF(Biomes!M$2:M$259,"="&amp;$C146)&gt;0,Biomes!M$1&amp;", ","")&amp;
IF(COUNTIF(Biomes!N$2:N$259,"="&amp;$C146)&gt;0,Biomes!N$1&amp;", ","")&amp;
IF(COUNTIF(Biomes!O$2:O$259,"="&amp;$C146)&gt;0,Biomes!O$1&amp;", ","")&amp;
IF(COUNTIF(Biomes!P$2:P$259,"="&amp;$C146)&gt;0,Biomes!P$1&amp;", ","")&amp;
IF(COUNTIF(Biomes!K$2:K$259,"="&amp;$C146)&gt;0,Biomes!K$1&amp;", ","")&amp;
IF(COUNTIF(Biomes!Q$3:Q$259,"="&amp;$C146)&gt;0,Biomes!Q$1&amp;", ","")&amp;
IF(COUNTIF(Biomes!L$2:L$259,"="&amp;$C146)&gt;0,Biomes!L$1&amp;", ","")&amp;
IF(COUNTIF(Biomes!E$2:E$259,"="&amp;$C146)&gt;0,Biomes!E$1&amp;", ","")&amp;IF(COUNTIF(Biomes!S$2:S$259,"="&amp;$C146)&gt;0,Biomes!S$1&amp;", ","")&amp;
IF(COUNTIF(Biomes!R$2:R$259,"="&amp;$C146)&gt;0,Biomes!R$1&amp;", ",""),", ","")
),_xlfn.XLOOKUP(B146,B:B,BX:BX))</f>
        <v/>
      </c>
      <c r="BY146" s="25" t="str">
        <f>IF(_xlfn.XLOOKUP(B146,'Base stats'!B:B,'Base stats'!AJ:AJ)=1,"true","false")</f>
        <v>false</v>
      </c>
      <c r="BZ146" s="25">
        <f>IF(_xlfn.XLOOKUP(B146,'Base stats'!B:B,'Base stats'!N:N)=1,"No",MAX(0.001,MIN(MROUND(IF(AND(BJ146="True",CC146="False"),POWER(10,3.47*LOG10(_xlfn.XLOOKUP(B146,'Base stats'!B:B,'Base stats'!C:C)*1000)^-0.96),POWER(10,4.15*LOG10(_xlfn.XLOOKUP(B146,'Base stats'!B:B,'Base stats'!C:C)*1000)^-0.73))*IF(_xlfn.XLOOKUP(B146,'Base stats'!B:B,'Base stats'!AK:AK)=1,0.5,1)*IF(_xlfn.XLOOKUP(B146,'Base stats'!B:B,'Base stats'!AM:AM)=1,0.1,1)/100,IF(_xlfn.XLOOKUP(B146,'Base stats'!B:B,'Base stats'!AM:AM)=1,0.001,0.025)),0.5)))</f>
        <v>0.1</v>
      </c>
      <c r="CA146" s="25" t="str">
        <f>IF(P146="Standard","No",MAX(0.001,MIN(MROUND(IF(AND(BJ146="True",CC146="False"),POWER(10,3.47*LOG10(_xlfn.XLOOKUP(B146,'Base stats'!B:B,'Base stats'!C:C)*1000)^-0.96),POWER(10,4.15*LOG10(_xlfn.XLOOKUP(B146,'Base stats'!B:B,'Base stats'!C:C)*1000)^-0.73))*IF(_xlfn.XLOOKUP(B146,'Base stats'!B:B,'Base stats'!AM:AM)=1,0.1,1)*_xlfn.XLOOKUP(B146,'Base stats'!B:B,'Base stats'!R:R)/100,IF(_xlfn.XLOOKUP(B146,'Base stats'!B:B,'Base stats'!AM:AM)=1,0.001,0.025)),0.5)))</f>
        <v>No</v>
      </c>
      <c r="CB146" s="25" t="str">
        <f>IF(_xlfn.XLOOKUP(_xlfn.XLOOKUP(B146,'Base stats'!B:B,'Base stats'!E:E),Groups!A:A,Groups!AJ:AJ)="Mammal","True","False")</f>
        <v>True</v>
      </c>
      <c r="CC146" s="25" t="str">
        <f>IF(OR(_xlfn.XLOOKUP(_xlfn.XLOOKUP(B146,'Base stats'!B:B,'Base stats'!E:E),Groups!A:A,Groups!AJ:AJ)="Reptile",_xlfn.XLOOKUP(_xlfn.XLOOKUP(B146,'Base stats'!B:B,'Base stats'!E:E),Groups!A:A,Groups!AJ:AJ)="Amphibian",_xlfn.XLOOKUP(_xlfn.XLOOKUP(B146,'Base stats'!B:B,'Base stats'!E:E),Groups!A:A,Groups!AJ:AJ)="Invertebrate"),"True","False")</f>
        <v>False</v>
      </c>
      <c r="CD146" s="25" t="str">
        <f t="shared" si="20"/>
        <v>False</v>
      </c>
      <c r="CE146" s="25" t="str">
        <f>IF(_xlfn.XLOOKUP(_xlfn.XLOOKUP(B146,'Base stats'!B:B,'Base stats'!E:E),Groups!A:A,Groups!AX:AX),"True","False")</f>
        <v>False</v>
      </c>
      <c r="CF146" s="25" t="str">
        <f>IF(_xlfn.XLOOKUP(_xlfn.XLOOKUP(B146,'Base stats'!B:B,'Base stats'!E:E),Groups!A:A,Groups!AY:AY),"True","False")</f>
        <v>False</v>
      </c>
      <c r="CG146" s="25" t="str">
        <f>IF(_xlfn.XLOOKUP(_xlfn.XLOOKUP(B146,'Base stats'!B:B,'Base stats'!E:E),Groups!A:A,Groups!AW:AW),"True","False")</f>
        <v>False</v>
      </c>
      <c r="CH146" s="25" t="str">
        <f>IF(
OR(
_xlfn.XLOOKUP(_xlfn.XLOOKUP(B146,'Base stats'!B:B,'Base stats'!E:E),Groups!A:A,Groups!AZ:AZ)=0,
AND(
_xlfn.XLOOKUP(B146,'Base stats'!B:B,'Base stats'!Y:Y)&lt;&gt;"Carnivore",
_xlfn.XLOOKUP(B146,'Base stats'!B:B,'Base stats'!Y:Y)&lt;&gt;"Omnivore",
_xlfn.XLOOKUP(B146,'Base stats'!B:B,'Base stats'!Y:Y)&lt;&gt;"OmnivoreRough"
)
),
"No",
IF(
_xlfn.XLOOKUP(_xlfn.XLOOKUP(B146,'Base stats'!B:B,'Base stats'!E:E),Groups!A:A,Groups!AZ:AZ)=1,
"Flesh",
IF(
_xlfn.XLOOKUP(_xlfn.XLOOKUP(B146,'Base stats'!B:B,'Base stats'!E:E),Groups!A:A,Groups!AZ:AZ)=2,
"Bone",
""
)
)
)</f>
        <v>No</v>
      </c>
      <c r="CI146" s="25" t="str">
        <f>IF(_xlfn.XLOOKUP(_xlfn.XLOOKUP(B146,'Base stats'!B:B,'Base stats'!E:E),Groups!A:A,Groups!BB:BB),"True","False")</f>
        <v>True</v>
      </c>
      <c r="CJ146" s="25" t="str">
        <f>IF(_xlfn.XLOOKUP(_xlfn.XLOOKUP(B146,'Base stats'!B:B,'Base stats'!E:E),Groups!A:A,Groups!BA:BA),"True","False")</f>
        <v>False</v>
      </c>
    </row>
    <row r="147" spans="1:88" s="16" customFormat="1" ht="16.5" thickTop="1" thickBot="1" x14ac:dyDescent="0.3">
      <c r="A147" s="26" t="str">
        <f>_xlfn.XLOOKUP(B147,'Base stats'!B:B,'Base stats'!A:A)</f>
        <v>Rottweiler</v>
      </c>
      <c r="B147" s="6" t="s">
        <v>900</v>
      </c>
      <c r="C147" s="28" t="s">
        <v>828</v>
      </c>
      <c r="D147" s="28" t="s">
        <v>872</v>
      </c>
      <c r="E147" s="28" t="s">
        <v>673</v>
      </c>
      <c r="F147" s="28" t="s">
        <v>673</v>
      </c>
      <c r="G147" s="28" t="s">
        <v>673</v>
      </c>
      <c r="H147" s="2">
        <f>MROUND((
  (IF(AND(_xlfn.XLOOKUP(B147,'Base stats'!B:B,'Base stats'!AL:AL)=0,BI147="None",_xlfn.XLOOKUP(_xlfn.XLOOKUP(B147,'Base stats'!B:B,'Base stats'!E:E),Groups!A:A,Groups!B:B)=0), (18 + BR147 * 2.7) * 0.5,
    IF(AND(_xlfn.XLOOKUP(B147,'Base stats'!B:B,'Base stats'!AL:AL)=0,OR(AO147&lt;0.55,AND(BI147="Intermediate",_xlfn.XLOOKUP(_xlfn.XLOOKUP(B147,'Base stats'!B:B,'Base stats'!E:E),Groups!A:A,Groups!B:B)&lt;2))), (18 + BR147 * 2.7),
      IF(OR(BI147="Advanced",_xlfn.XLOOKUP(B147,'Base stats'!B:B,'Base stats'!AL:AL)=1,_xlfn.XLOOKUP(_xlfn.XLOOKUP(B147,'Base stats'!B:B,'Base stats'!E:E),Groups!A:A,Groups!B:B)=2), (18 + BR147 * 2.7) + 250, (18 + BR147 * 2.7))
    )
  ))
  + AO147 * 80
  + IF(COUNTIF(EggMilk!K$2:K$998, A147) &gt; 0, 125, 0)
  + IF(COUNTIF(EggMilk!P$2:P$998, A147) &gt; 0, 90, 0)
  + IF(COUNTIF(EggMilk!A$2:A$998, A147) &gt; 0, 90, 0)
)
* (0.8 + 0.4 * J147)
* 0.75,25)</f>
        <v>350</v>
      </c>
      <c r="I147" s="2">
        <f>MROUND(ROUNDDOWN(_xlfn.XLOOKUP(B147,'Base stats'!B:B,'Base stats'!L:L)/3.6/(23.3/11),1),0.5)</f>
        <v>7</v>
      </c>
      <c r="J147" s="2">
        <f>IF(OR(_xlfn.XLOOKUP(B147,'Base stats'!B:B,'Base stats'!AB:AB)=1,_xlfn.XLOOKUP(_xlfn.XLOOKUP(B147,'Base stats'!B:B,'Base stats'!E:E),Groups!A:A,Groups!C:C)="Untamable"),1,IF(_xlfn.XLOOKUP(B147,'Base stats'!B:B,'Base stats'!AL:AL)=1,0.99,MIN(MROUND((1-0.6282*EXP(-0.459*AO147))*_xlfn.XLOOKUP(_xlfn.XLOOKUP(B147,'Base stats'!B:B,'Base stats'!E:E),Groups!A:A,Groups!C:C)*IF(_xlfn.XLOOKUP(B147,'Base stats'!B:B,'Base stats'!O:O)=1,0.5,IF(_xlfn.XLOOKUP(B147,'Base stats'!B:B,'Base stats'!O:O)=2,0,1)),0.05),IF(AO147&gt;3.5,0.985,0.95))))</f>
        <v>0</v>
      </c>
      <c r="K147" s="2">
        <f>ROUNDUP(AO147*_xlfn.XLOOKUP(_xlfn.XLOOKUP(B147,'Base stats'!B:B,'Base stats'!E:E),Groups!A:A,Groups!E:E),0)</f>
        <v>1</v>
      </c>
      <c r="L147" s="2">
        <f>IF(OR(_xlfn.XLOOKUP(_xlfn.XLOOKUP(B147,'Base stats'!B:B,'Base stats'!E:E),Groups!A:A,Groups!F:F)=2,ISNUMBER(SEARCH("SeaIce",BX147)),ISNUMBER(SEARCH("IceSheet",BX147))),-50,IF(OR(ISNUMBER(SEARCH("GlacialPlain",BX147)),ISNUMBER(SEARCH("Tundra",BX147))),-40,IF(OR(ISNUMBER(SEARCH("Alpine",BX147)),ISNUMBER(SEARCH("BorealForest",BX147)),ISNUMBER(SEARCH("ColdBog",BX147))),-30,IF(OR(ISNUMBER(SEARCH("TemperateForest",BX147)),ISNUMBER(SEARCH("TemperateSwamp",BX147))),-20,IF(_xlfn.XLOOKUP(_xlfn.XLOOKUP(B147,'Base stats'!B:B,'Base stats'!E:E),Groups!A:A,Groups!F:F)=1,-15,IF(OR(ISNUMBER(SEARCH("Desert",BX147)),ISNUMBER(SEARCH("ExtremeDesert",BX147))),-10,IF(OR(ISNUMBER(SEARCH("Grasslands",BX147)),ISNUMBER(SEARCH("TropicalRainforest",BX147)),ISNUMBER(SEARCH("TropicalSwamp",BX147))),10,0)))))))-IF(CC147="False",MIN(IFERROR(MAX(MROUND(LOG10(_xlfn.XLOOKUP(B147,'Base stats'!B:B,'Base stats'!C:C)^(2/3))*10,5),5),5),30))-_xlfn.XLOOKUP(B147,'Base stats'!B:B,'Base stats'!P:P)+IF(CC147="True",5,0)</f>
        <v>-25</v>
      </c>
      <c r="M147" s="2">
        <f>IF(OR(_xlfn.XLOOKUP(_xlfn.XLOOKUP(B147,'Base stats'!B:B,'Base stats'!E:E),Groups!A:A,Groups!G:G)=2,ISNUMBER(SEARCH("Desert",BX147)),ISNUMBER(SEARCH("ExtremeDesert",BX147)),ISNUMBER(SEARCH("LavaField",BX147))),50,IF(ISNUMBER(SEARCH("Grasslands",BX147)),45,IF(OR(_xlfn.XLOOKUP(_xlfn.XLOOKUP(B147,'Base stats'!B:B,'Base stats'!E:E),Groups!A:A,Groups!G:G)=1,ISNUMBER(SEARCH("TropicalRainforest",BX147)),ISNUMBER(SEARCH("TropicalSwamp",BX147))),40,IF(OR(ISNUMBER(SEARCH("TemperateForest",BX147)),ISNUMBER(SEARCH("TemperateSwamp",BX147))),35,IF(OR(ISNUMBER(SEARCH("Alpine",BX147)),ISNUMBER(SEARCH("BorealForest",BX147)),ISNUMBER(SEARCH("ColdBog",BX147))),30,IF(ISNUMBER(OR(ISNUMBER(SEARCH("GlacialPlain",BX147)),SEARCH("Tundra",BX147))),25,IF(OR(ISNUMBER(SEARCH("SeaIce",BX147)),ISNUMBER(SEARCH("IceSheet",BX147)),ISNUMBER(SEARCH("TropicalSwamp",BX147))),10,35)))))))+_xlfn.XLOOKUP(B147,'Base stats'!B:B,'Base stats'!Q:Q)</f>
        <v>35</v>
      </c>
      <c r="N147" s="8" t="str">
        <f>IF(
_xlfn.XLOOKUP(
_xlfn.XLOOKUP(B147,'Base stats'!B:B,'Base stats'!E:E),
Groups!A:A,
Groups!L:L
)=1,
MIN(
MROUND(
IF(
_xlfn.XLOOKUP(B147,'Animals CE'!B:B,'Animals CE'!Z:Z)&lt;=1.5,
_xlfn.XLOOKUP(B147,'Animals CE'!B:B,'Animals CE'!Z:Z)/2+0.05,
0.8+
(_xlfn.XLOOKUP(B147,'Animals CE'!B:B,'Animals CE'!Z:Z)-1.5)
*0.02
),
0.05
),
200%
),
"No"
)</f>
        <v>No</v>
      </c>
      <c r="O147" s="8" t="str">
        <f>IF(
_xlfn.XLOOKUP(
_xlfn.XLOOKUP(B147,'Base stats'!B:B,'Base stats'!E:E),
Groups!A:A,
Groups!L:L
)=1,
MIN(
MROUND(
IF(
_xlfn.XLOOKUP(B147,'Animals CE'!B:B,'Animals CE'!AA:AA)&lt;=1.5,
_xlfn.XLOOKUP(B147,'Animals CE'!B:B,'Animals CE'!AA:AA)/2+0.05,
0.8+
(_xlfn.XLOOKUP(B147,'Animals CE'!B:B,'Animals CE'!AA:AA)-1.5)
*0.02
),
0.05
),
200%
),
"No"
)</f>
        <v>No</v>
      </c>
      <c r="P147" s="2" t="str">
        <f>_xlfn.XLOOKUP(B147,'Base stats'!B:B,'Base stats'!R:R)</f>
        <v>Standard</v>
      </c>
      <c r="Q147" s="13">
        <f>MROUND((LOG10(_xlfn.XLOOKUP(B147,'Base stats'!B:B,'Base stats'!AR:AR))*(AO147^0.5)+(_xlfn.XLOOKUP(B147,'Base stats'!B:B,'Base stats'!AR:AR)/1000)^(2/3)+_xlfn.XLOOKUP(B147,'Base stats'!B:B,'Base stats'!BA:BA)/2)+0.5,0.5)</f>
        <v>6.5</v>
      </c>
      <c r="R147" s="7">
        <f>IF(Q147="No","No",MAX(1,MROUND(_xlfn.XLOOKUP(B147,'Base stats'!B:B,'Base stats'!C:C)^0.165,0.05)))</f>
        <v>1.9000000000000001</v>
      </c>
      <c r="S147" s="13" t="str">
        <f>IF(_xlfn.XLOOKUP(_xlfn.XLOOKUP(B147,'Base stats'!B:B,'Base stats'!E:E),Groups!A:A,Groups!P:P)=0,"No",MROUND((LOG10(_xlfn.XLOOKUP(B147,'Base stats'!B:B,'Base stats'!AS:AS))*(AO147^0.5)+(_xlfn.XLOOKUP(B147,'Base stats'!B:B,'Base stats'!AS:AS)/1000)^(2/3)+_xlfn.XLOOKUP(B147,'Base stats'!B:B,'Base stats'!BA:BA))+_xlfn.XLOOKUP(B147,'Base stats'!B:B,'Base stats'!AY:AY)+0.5,0.5))</f>
        <v>No</v>
      </c>
      <c r="T147" s="7" t="str">
        <f>IF(S147="No","No",MAX(_xlfn.XLOOKUP(_xlfn.XLOOKUP(B147,'Base stats'!B:B,'Base stats'!E:E),Groups!A:A,Groups!Q:Q),MROUND(_xlfn.XLOOKUP(_xlfn.XLOOKUP(B147,'Base stats'!B:B,'Base stats'!E:E),Groups!A:A,Groups!Q:Q)*_xlfn.XLOOKUP(B147,'Base stats'!B:B,'Base stats'!C:C)^0.165,0.05)))</f>
        <v>No</v>
      </c>
      <c r="U147" s="7" t="str">
        <f>IF(S147="No","No",_xlfn.XLOOKUP(_xlfn.XLOOKUP(B147,'Base stats'!B:B,'Base stats'!E:E),Groups!A:A,Groups!R:R))</f>
        <v>No</v>
      </c>
      <c r="V147" s="7" t="str">
        <f>IF(S147="No","No",_xlfn.XLOOKUP(_xlfn.XLOOKUP(B147,'Base stats'!B:B,'Base stats'!E:E),Groups!A:A,Groups!S:S))</f>
        <v>No</v>
      </c>
      <c r="W147" s="7" t="str">
        <f>IF(S147="No","No",_xlfn.XLOOKUP(_xlfn.XLOOKUP(B147,'Base stats'!B:B,'Base stats'!E:E),Groups!A:A,Groups!T:T))</f>
        <v>No</v>
      </c>
      <c r="X147" s="13" t="str">
        <f>IF(_xlfn.XLOOKUP(B147,'Base stats'!B:B,'Base stats'!W:W)="No","No",MROUND((LOG10(_xlfn.XLOOKUP(B147,'Base stats'!B:B,'Base stats'!AU:AU))*(AO147^0.5)+(_xlfn.XLOOKUP(B147,'Base stats'!B:B,'Base stats'!AU:AU)/1000)^(2/3)+_xlfn.XLOOKUP(B147,'Base stats'!B:B,'Base stats'!AZ:AZ))+0.5+IF(_xlfn.XLOOKUP(_xlfn.XLOOKUP(B147,'Base stats'!B:B,'Base stats'!E:E),Groups!A:A,Groups!U:U)&lt;&gt;3,_xlfn.XLOOKUP(B147,'Base stats'!B:B,'Base stats'!BA:BA),0),0.5))</f>
        <v>No</v>
      </c>
      <c r="Y147" s="7" t="str">
        <f>IF(X147="No","No",MAX(_xlfn.XLOOKUP(_xlfn.XLOOKUP(B147,'Base stats'!B:B,'Base stats'!E:E),Groups!A:A,Groups!V:V),MROUND(_xlfn.XLOOKUP(_xlfn.XLOOKUP(B147,'Base stats'!B:B,'Base stats'!E:E),Groups!A:A,Groups!V:V)*_xlfn.XLOOKUP(B147,'Base stats'!B:B,'Base stats'!C:C)^0.165,0.05)))</f>
        <v>No</v>
      </c>
      <c r="Z147" s="7" t="str">
        <f>IF(X147="No","No",_xlfn.XLOOKUP(_xlfn.XLOOKUP(B147,'Base stats'!B:B,'Base stats'!E:E),Groups!A:A,Groups!W:W))</f>
        <v>No</v>
      </c>
      <c r="AA147" s="7" t="str">
        <f>IF(X147="No","No",_xlfn.XLOOKUP(_xlfn.XLOOKUP(B147,'Base stats'!B:B,'Base stats'!E:E),Groups!A:A,Groups!X:X))</f>
        <v>No</v>
      </c>
      <c r="AB147" s="7" t="str">
        <f>IF(X147="No","No",_xlfn.XLOOKUP(_xlfn.XLOOKUP(B147,'Base stats'!B:B,'Base stats'!E:E),Groups!A:A,Groups!Y:Y))</f>
        <v>No</v>
      </c>
      <c r="AC147" s="7" t="str">
        <f>_xlfn.XLOOKUP(Animals!B147,'Base stats'!B:B,'Base stats'!X:X)</f>
        <v>False</v>
      </c>
      <c r="AD147" s="13">
        <f>IF(_xlfn.XLOOKUP(B147,'Base stats'!B:B,'Base stats'!AT:AT)="No","No",MROUND((LOG10(_xlfn.XLOOKUP(B147,'Base stats'!B:B,'Base stats'!AT:AT))*(AO147^0.75)+(_xlfn.XLOOKUP(B147,'Base stats'!B:B,'Base stats'!AT:AT)/1000)^(2/3)+_xlfn.XLOOKUP(B147,'Base stats'!B:B,'Base stats'!AX:AX)+_xlfn.XLOOKUP(B147,'Base stats'!B:B,'Base stats'!BA:BA))+0.5,0.5))</f>
        <v>11.5</v>
      </c>
      <c r="AE147" s="7">
        <f>IF(AD147="No","No",MAX(_xlfn.XLOOKUP(_xlfn.XLOOKUP(B147,'Base stats'!B:B,'Base stats'!E:E),Groups!A:A,Groups!Z:Z),MROUND(_xlfn.XLOOKUP(_xlfn.XLOOKUP(B147,'Base stats'!B:B,'Base stats'!E:E),Groups!A:A,Groups!Z:Z)*_xlfn.XLOOKUP(B147,'Base stats'!B:B,'Base stats'!C:C)^0.165,0.05)))</f>
        <v>1.5</v>
      </c>
      <c r="AF147" s="7" t="str">
        <f>IF(AD147="No","No",_xlfn.XLOOKUP(_xlfn.XLOOKUP(B147,'Base stats'!B:B,'Base stats'!E:E),Groups!A:A,Groups!AA:AA))</f>
        <v>Teeth</v>
      </c>
      <c r="AG147" s="7" t="str">
        <f>IF(AD147="No","No",_xlfn.XLOOKUP(_xlfn.XLOOKUP(B147,'Base stats'!B:B,'Base stats'!E:E),Groups!A:A,Groups!AB:AB))</f>
        <v>canines</v>
      </c>
      <c r="AH147" s="7" t="str">
        <f>IF(AD147="No","No",_xlfn.XLOOKUP(_xlfn.XLOOKUP(B147,'Base stats'!B:B,'Base stats'!E:E),Groups!A:A,Groups!AC:AC))</f>
        <v>Bite</v>
      </c>
      <c r="AI147" s="13" t="str">
        <f>IF(_xlfn.XLOOKUP(_xlfn.XLOOKUP(B147,'Base stats'!B:B,'Base stats'!E:E),Groups!A:A,Groups!AD:AD)=0,"No",MROUND((LOG10(_xlfn.XLOOKUP(B147,'Base stats'!B:B,'Base stats'!AS:AS))*(AO147^0.75)+(_xlfn.XLOOKUP(B147,'Base stats'!B:B,'Base stats'!AS:AS)/1000)^(2/3)+_xlfn.XLOOKUP(B147,'Base stats'!B:B,'Base stats'!AY:AY)+_xlfn.XLOOKUP(B147,'Base stats'!B:B,'Base stats'!BA:BA))+0.5,0.5))</f>
        <v>No</v>
      </c>
      <c r="AJ147" s="7" t="str">
        <f>IF(AI147="No","No",MAX(_xlfn.XLOOKUP(_xlfn.XLOOKUP(B147,'Base stats'!B:B,'Base stats'!E:E),Groups!A:A,Groups!AE:AE),MROUND(_xlfn.XLOOKUP(_xlfn.XLOOKUP(B147,'Base stats'!B:B,'Base stats'!E:E),Groups!A:A,Groups!AE:AE)*IF(_xlfn.XLOOKUP(_xlfn.XLOOKUP(B147,'Base stats'!B:B,'Base stats'!E:E),Groups!A:A,Groups!AJ:AJ)="Photonozoa",0.6,1)*_xlfn.XLOOKUP(B147,'Base stats'!B:B,'Base stats'!C:C)^0.165,0.05)))</f>
        <v>No</v>
      </c>
      <c r="AK147" s="7" t="str">
        <f>IF(AI147="No","No",_xlfn.XLOOKUP(_xlfn.XLOOKUP(B147,'Base stats'!B:B,'Base stats'!E:E),Groups!A:A,Groups!AF:AF))</f>
        <v>No</v>
      </c>
      <c r="AL147" s="7" t="str">
        <f>IF(AI147="No","No",_xlfn.XLOOKUP(_xlfn.XLOOKUP(B147,'Base stats'!B:B,'Base stats'!E:E),Groups!A:A,Groups!AG:AG))</f>
        <v>No</v>
      </c>
      <c r="AM147" s="7" t="str">
        <f>IF(AI147="No","No",_xlfn.XLOOKUP(_xlfn.XLOOKUP(B147,'Base stats'!B:B,'Base stats'!E:E),Groups!A:A,Groups!AH:AH))</f>
        <v>No</v>
      </c>
      <c r="AN147" s="2">
        <f t="shared" si="14"/>
        <v>20</v>
      </c>
      <c r="AO147" s="2">
        <f>MROUND(IF(AND(_xlfn.XLOOKUP(B147,'Base stats'!B:B,'Base stats'!C:C)&gt;=0.5,_xlfn.XLOOKUP(B147,'Base stats'!B:B,'Base stats'!C:C)&lt;=0.8),
IF(_xlfn.XLOOKUP(B147,'Base stats'!B:B,'Base stats'!C:C)&lt;0.1,0.05,IF(_xlfn.XLOOKUP(B147,'Base stats'!B:B,'Base stats'!C:C)&lt;=70,(_xlfn.XLOOKUP(B147,'Base stats'!B:B,'Base stats'!C:C)/70)^0.426489913056526,IF(_xlfn.XLOOKUP(B147,'Base stats'!B:B,'Base stats'!C:C)&lt;=400,(_xlfn.XLOOKUP(B147,'Base stats'!B:B,'Base stats'!C:C)/70)^0.572811455315093,IF(_xlfn.XLOOKUP(B147,'Base stats'!B:B,'Base stats'!C:C)&lt;=2000,2.71391647193063*(_xlfn.XLOOKUP(B147,'Base stats'!B:B,'Base stats'!C:C)/400)^0.252459582904293,3.74314280240376*(_xlfn.XLOOKUP(B147,'Base stats'!B:B,'Base stats'!C:C)/2000)^0.357012633876913)))),
IF(_xlfn.XLOOKUP(B147,'Base stats'!B:B,'Base stats'!C:C)&lt;0.1,0.05,IF(_xlfn.XLOOKUP(B147,'Base stats'!B:B,'Base stats'!C:C)&lt;0.4,0.1,IF(_xlfn.XLOOKUP(B147,'Base stats'!B:B,'Base stats'!C:C)&lt;=70,(_xlfn.XLOOKUP(B147,'Base stats'!B:B,'Base stats'!C:C)/70)^0.445823913056526,IF(_xlfn.XLOOKUP(B147,'Base stats'!B:B,'Base stats'!C:C)&lt;=400,(_xlfn.XLOOKUP(B147,'Base stats'!B:B,'Base stats'!C:C)/70)^0.572811455315093,IF(_xlfn.XLOOKUP(B147,'Base stats'!B:B,'Base stats'!C:C)&lt;=2000,2.71391647193063*(_xlfn.XLOOKUP(B147,'Base stats'!B:B,'Base stats'!C:C)/400)^0.252459582904293,3.74314280240376*(_xlfn.XLOOKUP(B147,'Base stats'!B:B,'Base stats'!C:C)/2000)^0.357012633876913)))))),
IF(_xlfn.XLOOKUP(B147,'Base stats'!B:B,'Base stats'!C:C)&lt;0.1,0.05,IF(_xlfn.XLOOKUP(B147,'Base stats'!B:B,'Base stats'!C:C)&lt;=100,0.05,IF(_xlfn.XLOOKUP(B147,'Base stats'!B:B,'Base stats'!C:C)&lt;=250,0.1,IF(_xlfn.XLOOKUP(B147,'Base stats'!B:B,'Base stats'!C:C)&lt;=4000,0.25,0.5)))))</f>
        <v>0.85000000000000009</v>
      </c>
      <c r="AP147" s="8">
        <f>MROUND(AO147*_xlfn.XLOOKUP(_xlfn.XLOOKUP(B147,'Base stats'!B:B,'Base stats'!E:E),Groups!A:A,Groups!AI:AI)*_xlfn.XLOOKUP(B147,'Base stats'!B:B,'Base stats'!Z:Z),0.05)</f>
        <v>1</v>
      </c>
      <c r="AQ147" s="8">
        <f>MAX(0.01,MROUND(IF(CC147="True",0.196*(AO147*100*1000)^0.889,IF(_xlfn.XLOOKUP(_xlfn.XLOOKUP(B147,'Base stats'!B:B,'Base stats'!E:E),Groups!A:A,Groups!AJ:AJ)="Bird",10.5*(AO147*100*1000)^0.681,4.82*(AO147*100*1000)^0.734))/(4.82*(1*100*1000)^0.734)/IF(AO147&lt;3.5,2,IF(AO147=3.5,1.5,1.25))*(1+0.132282374779864/(AO147^0.994035016789033+0.00905238001496948)),0.05))</f>
        <v>0.5</v>
      </c>
      <c r="AR147" s="9">
        <f>IFERROR(MROUND(_xlfn.XLOOKUP(B147,'Base stats'!B:B,'Base stats'!H:H)/IF(_xlfn.XLOOKUP(B147,'Base stats'!B:B,'Base stats'!I:I)&lt;&gt;1,(122.5/70),1.2),IF(_xlfn.XLOOKUP(B147,'Base stats'!B:B,'Base stats'!H:H)&gt;=30,5,IF(_xlfn.XLOOKUP(B147,'Base stats'!B:B,'Base stats'!H:H)&gt;=15,3,IF(_xlfn.XLOOKUP(B147,'Base stats'!B:B,'Base stats'!H:H)&gt;=10,2,1)))),"Immortal")</f>
        <v>15</v>
      </c>
      <c r="AS147" s="35">
        <f>IFERROR(IF(OR(_xlfn.XLOOKUP(B147,'Base stats'!B:B,'Base stats'!F:F)="Atypical reproduction",_xlfn.XLOOKUP(B147,'Base stats'!B:B,'Base stats'!F:F)="Lay eggs"),"Lay eggs",MIN(20,MAX(5.5,ROUND(((_xlfn.XLOOKUP(B147,'Base stats'!B:B,'Base stats'!F:F)-25)*(14.5/615) + 5.5)*2,0)/2))),"Unknown")</f>
        <v>6.5</v>
      </c>
      <c r="AT147" s="8">
        <f>IF(_xlfn.XLOOKUP(B147,'Base stats'!B:B,'Base stats'!G:G)="Atypical reproduction","No",IFERROR(MAX(IF(_xlfn.XLOOKUP(B147,'Base stats'!B:B,'Base stats'!G:G)&lt;0.5,0.2,0.3),MROUND(_xlfn.XLOOKUP(B147,'Base stats'!B:B,'Base stats'!G:G)/(365/60),0.2)),"Unknown"))</f>
        <v>0.3</v>
      </c>
      <c r="AU147" s="8">
        <f t="shared" si="15"/>
        <v>0.15000000000000002</v>
      </c>
      <c r="AV147" s="8">
        <f>IFERROR(IFERROR(MROUND(_xlfn.XLOOKUP(B147,'Base stats'!B:B,'Base stats'!J:J),0.1),"Lay eggs"),"Cannot breed")</f>
        <v>6</v>
      </c>
      <c r="AW147" s="2" t="str">
        <f t="shared" si="16"/>
        <v>true</v>
      </c>
      <c r="AX147" s="2" t="str">
        <f>IF(_xlfn.XLOOKUP(_xlfn.XLOOKUP(Animals!B147,'Base stats'!B:B,'Base stats'!E:E),Groups!A:A,Groups!AK:AK)=1,"true","false")</f>
        <v>false</v>
      </c>
      <c r="AY147" s="25" t="str">
        <f>IF(_xlfn.XLOOKUP(B147,'Base stats'!B:B,'Base stats'!Y:Y)="Liquor","Liquor, CarnivoreAnimalStrict",IF(AND(_xlfn.XLOOKUP(B147,'Base stats'!B:B,'Base stats'!Y:Y)="Carnivore",_xlfn.XLOOKUP(_xlfn.XLOOKUP(B147,'Base stats'!B:B,'Base stats'!E:E),Groups!A:A,Groups!AJ:AJ)="Photonozoa"),"CarnivoreAnimalStrict, OvivoreAnimal",IF(_xlfn.XLOOKUP(B147,'Base stats'!B:B,'Base stats'!Y:Y)="Carnivore","CarnivoreAnimal, OvivoreAnimal",IF(_xlfn.XLOOKUP(B147,'Base stats'!B:B,'Base stats'!Y:Y)="Dendrovore","VegetarianRoughAnimal, DendrovoreAnimal",IF(_xlfn.XLOOKUP(B147,'Base stats'!B:B,'Base stats'!Y:Y)="Herbivore","VegetarianRoughAnimal",IF(_xlfn.XLOOKUP(B147,'Base stats'!B:B,'Base stats'!Y:Y)="OmnivoreRough","OmnivoreRoughAnimal, OvivoreAnimal","OmnivoreAnimal, OvivoreAnimal"))))))</f>
        <v>OmnivoreAnimal, OvivoreAnimal</v>
      </c>
      <c r="AZ147" s="2" t="str">
        <f>IF(_xlfn.XLOOKUP(_xlfn.XLOOKUP(B147,'Base stats'!B:B,'Base stats'!E:E),Groups!A:A,Groups!D:D)=1,MROUND((1-J147)*5+1,2)*IF(J147&lt;=0.4,2,1),"No")</f>
        <v>No</v>
      </c>
      <c r="BA147" s="2" t="str">
        <f>IF(AND(_xlfn.XLOOKUP(B147,'Base stats'!B:B,'Base stats'!AH:AH)="&lt;li&gt;Seal&lt;/li&gt;",G147="Odyssey"),"&lt;li&gt;AEXP_Seal&lt;/li&gt;",_xlfn.XLOOKUP(B147,'Base stats'!B:B,'Base stats'!AH:AH))</f>
        <v>&lt;li&gt;YorkshireTerrier&lt;/li&gt;</v>
      </c>
      <c r="BB147" s="2" t="str">
        <f>_xlfn.XLOOKUP(B147,'Base stats'!B:B,'Base stats'!AG:AG)</f>
        <v>Leather_Dog</v>
      </c>
      <c r="BC147" s="23" t="str">
        <f>_xlfn.XLOOKUP(_xlfn.XLOOKUP(B147,'Base stats'!B:B,'Base stats'!E:E),Groups!A:A,Groups!AL:AL)</f>
        <v>QuadrupedAnimalWithPawsAndTail</v>
      </c>
      <c r="BD147" s="23">
        <f>MIN(1,MROUND(IF(AND(AO147&lt;0.5,_xlfn.XLOOKUP(B147,'Base stats'!B:B,'Base stats'!AA:AA)=0),0,IF(OR(_xlfn.XLOOKUP(Animals!B147,'Base stats'!B:B,'Base stats'!O:O)=2,_xlfn.XLOOKUP(_xlfn.XLOOKUP(B147,'Base stats'!B:B,'Base stats'!E:E),Groups!A:A,Groups!AN:AN)=0),0,_xlfn.XLOOKUP(_xlfn.XLOOKUP(B147,'Base stats'!B:B,'Base stats'!E:E),Groups!A:A,Groups!AN:AN)/IF(_xlfn.XLOOKUP(Animals!B147,'Base stats'!B:B,'Base stats'!O:O)=1,2,1)))+_xlfn.XLOOKUP(B147,'Base stats'!B:B,'Base stats'!AC:AC),0.005))</f>
        <v>0</v>
      </c>
      <c r="BE147" s="23">
        <f>MIN(1,MROUND(IF(AND(AO147&lt;0.5,_xlfn.XLOOKUP(B147,'Base stats'!B:B,'Base stats'!AA:AA)=0),0,IF(_xlfn.XLOOKUP(_xlfn.XLOOKUP(B147,'Base stats'!B:B,'Base stats'!E:E),Groups!A:A,Groups!AO:AO)=0,0,_xlfn.XLOOKUP(_xlfn.XLOOKUP(B147,'Base stats'!B:B,'Base stats'!E:E),Groups!A:A,Groups!AO:AO)/IF(_xlfn.XLOOKUP(Animals!B147,'Base stats'!B:B,'Base stats'!O:O)=2,3,1)))+_xlfn.XLOOKUP(B147,'Base stats'!B:B,'Base stats'!AD:AD),0.005))</f>
        <v>0.1</v>
      </c>
      <c r="BF147" s="2">
        <f>IF(J147&gt;0.3,"No",_xlfn.XLOOKUP(_xlfn.XLOOKUP(Animals!B147,'Base stats'!B:B,'Base stats'!E:E),Groups!A:A,Groups!AP:AP))</f>
        <v>1</v>
      </c>
      <c r="BG147" s="2">
        <f>IF(AND(J147&lt;=0.65,_xlfn.XLOOKUP(_xlfn.XLOOKUP(Animals!B147,'Base stats'!B:B,'Base stats'!E:E),Groups!A:A,Groups!AP:AP)&lt;&gt;"No",_xlfn.XLOOKUP(_xlfn.XLOOKUP(B147,'Base stats'!B:B,'Base stats'!E:E),Groups!A:A,Groups!D:D)=0),MROUND((80/3)*IF(_xlfn.XLOOKUP(B147,'Base stats'!B:B,'Base stats'!O:O)=2,0.2,AO147) + 24*(1-IF(BF147="No",0,BF147)) + 16/3, 12),"No")</f>
        <v>12</v>
      </c>
      <c r="BH147" s="2">
        <f>IF(AND(_xlfn.XLOOKUP(_xlfn.XLOOKUP(B147,'Base stats'!B:B,'Base stats'!E:E),Groups!A:A,Groups!AQ:AQ)=1,AO147&lt;=0.35),8,12)</f>
        <v>12</v>
      </c>
      <c r="BI147" s="2" t="str">
        <f>IF(_xlfn.XLOOKUP(_xlfn.XLOOKUP(B147,'Base stats'!B:B,'Base stats'!E:E),Groups!A:A,Groups!D:D)=0,_xlfn.XLOOKUP(_xlfn.XLOOKUP(B147,'Base stats'!B:B,'Base stats'!E:E),Groups!A:A,Groups!AR:AR),"None")</f>
        <v>Advanced</v>
      </c>
      <c r="BJ147" s="2" t="str">
        <f>IF(AND(_xlfn.XLOOKUP(_xlfn.XLOOKUP(B147,'Base stats'!B:B,'Base stats'!E:E),Groups!A:A,Groups!AS:AS)=1,OR(_xlfn.XLOOKUP(B147,'Base stats'!B:B,'Base stats'!Y:Y)="Carnivore",_xlfn.XLOOKUP(B147,'Base stats'!B:B,'Base stats'!Y:Y)="Omnivore")),"true","false")</f>
        <v>true</v>
      </c>
      <c r="BK147" s="2">
        <f>IF(BJ147="true",MROUND(IF(AND(AO147&gt;0.5,OR(_xlfn.XLOOKUP(_xlfn.XLOOKUP(B147,'Base stats'!B:B,'Base stats'!E:E),Groups!A:A,Groups!AJ:AJ)="Photonozoa",_xlfn.XLOOKUP(_xlfn.XLOOKUP(B147,'Base stats'!B:B,'Base stats'!E:E),Groups!A:A,Groups!AJ:AJ)="Mammal")),Animals!AO147*1.75*IF(AW147="true",1.5,1),IF(AO147&lt;0.5,Animals!AO147*0.5,Animals!AO147)),IF(AO147&gt;2,0.5,IF(AO147&gt;0.5,0.25,0.1))),"No")</f>
        <v>2.25</v>
      </c>
      <c r="BL147" s="2">
        <f t="shared" si="17"/>
        <v>1</v>
      </c>
      <c r="BM147" s="25" t="str">
        <f>IF(_xlfn.XLOOKUP(B147,'Base stats'!B:B,'Base stats'!AN:AN)="Standard","No",MROUND((_xlfn.XLOOKUP(B147,'Base stats'!B:B,'Base stats'!AN:AN)/3.6)/I147,0.1))</f>
        <v>No</v>
      </c>
      <c r="BN147" s="25" t="str">
        <f t="shared" si="18"/>
        <v>false</v>
      </c>
      <c r="BO147" s="25" t="str">
        <f>IF(AND(OR(_xlfn.XLOOKUP(B147,'Base stats'!B:B,'Base stats'!Y:Y)="Carnivore",_xlfn.XLOOKUP(B147,'Base stats'!B:B,'Base stats'!Y:Y)="Omnivore",_xlfn.XLOOKUP(B147,'Base stats'!B:B,'Base stats'!Y:Y)="OmnivoreRough"),_xlfn.XLOOKUP(_xlfn.XLOOKUP(B147,'Base stats'!B:B,'Base stats'!E:E),Groups!A:A,Groups!AT:AT)=1),"true","false")</f>
        <v>false</v>
      </c>
      <c r="BP147" s="25" t="str" cm="1">
        <f t="array" ref="BP147">IF(
  _xlfn.TEXTJOIN(", ",TRUE,
    IF(AND(BJ147="true",AO147&gt;0.5,BI147&lt;&gt;"None"),"AttackTarget",""),
    IF(AND(_xlfn.XLOOKUP(_xlfn.XLOOKUP(B147,'Base stats'!B:B,'Base stats'!E:E),Groups!A:A,Groups!AJ:AJ="Mammal"),OR(_xlfn.XLOOKUP(B147,'Base stats'!B:B,'Base stats'!Y:Y)="Omnivore",_xlfn.XLOOKUP(B147,'Base stats'!B:B,'Base stats'!Y:Y)="OmnivoreRough")),"Forage",""),
    IF(BG147&lt;=36,"Comfort",""),
    IF(_xlfn.XLOOKUP(B147,'Base stats'!B:B,'Base stats'!AE:AE)&lt;&gt;"No",_xlfn.XLOOKUP(B147,'Base stats'!B:B,'Base stats'!AE:AE),"")
  ) = "",
  "No",
  _xlfn.TEXTJOIN(", ",TRUE,
    IF(AND(BJ147="true",AO147&gt;0.5,BI147&lt;&gt;"None"),"AttackTarget",""),
    IF(AND(_xlfn.XLOOKUP(_xlfn.XLOOKUP(B147,'Base stats'!B:B,'Base stats'!E:E),Groups!A:A,Groups!AJ:AJ="Mammal"),OR(_xlfn.XLOOKUP(B147,'Base stats'!B:B,'Base stats'!Y:Y)="Omnivore",_xlfn.XLOOKUP(B147,'Base stats'!B:B,'Base stats'!Y:Y)="OmnivoreRough")),"Forage",""),
    IF(BG147&lt;=36,"Comfort",""),
    IF(_xlfn.XLOOKUP(B147,'Base stats'!B:B,'Base stats'!AE:AE)&lt;&gt;"No",_xlfn.XLOOKUP(B147,'Base stats'!B:B,'Base stats'!AE:AE),"")
  )
)</f>
        <v>AttackTarget, Forage, Comfort</v>
      </c>
      <c r="BQ147" s="25" t="str">
        <f>IF(
   AND(
      'Base stats'!AN147="Standard",_xlfn.XLOOKUP(_xlfn.XLOOKUP(B147,'Base stats'!B:B,'Base stats'!E:E),Groups!A:A,Groups!AU:AU)=0,
      OR(
      BO147="True"
      )
   ),
   10,
   IF(
       OR(BM147&lt;&gt;"No",_xlfn.XLOOKUP(_xlfn.XLOOKUP(B147,'Base stats'!B:B,'Base stats'!E:E),Groups!A:A,Groups!AU:AU)=1),
      1,
      "No"
   )
)</f>
        <v>No</v>
      </c>
      <c r="BR147" s="9">
        <f>MROUND((1 + ((0.2*IF(OR(Q147="No",R147="No",R147=0),0,Q147/R147)
+IF(OR(V147="No",S147="No",T147="No"),0,S147/T147*(LEN(V147)-LEN(SUBSTITUTE(V147,",",""))+1))
+IF(OR(X147="No",Y147="No"),0,X147/Y147)
+IF(OR(AD147="No",AE147="No"),0,AD147/AE147)
+IF(OR(AL147="No",AI147="No",AJ147="No"),0,AI147/AJ147*(LEN(AL147)-LEN(SUBSTITUTE(AL147,",",""))+1))
)/(0.2*IF(OR(Q147="No",R147="No",R147=0),0,1)
+IF(OR(V147="No",S147="No",T147="No"),0,LEN(V147)-LEN(SUBSTITUTE(V147,",",""))+1)
+IF(OR(X147="No",Y147="No"),0,1)
+IF(OR(AD147="No",AE147="No"),0,1)
+IF(OR(AL147="No",AI147="No",AJ147="No"),0,LEN(AL147)-LEN(SUBSTITUTE(AL147,",",""))+1))*62%)* 2)*(1 + (AP147 / (IF(_xlfn.XLOOKUP(_xlfn.XLOOKUP(B147,'Base stats'!B:B,'Base stats'!E:E),Groups!A:A,Groups!AJ:AJ)="Photonozoa",0.3,1)) + _xlfn.XLOOKUP(B147,'Base stats'!B:B,'Base stats'!AV:AV) * 1.8) * 2) * 2.5 + 10 + I147 * 2,5)+IF(_xlfn.XLOOKUP(B147,'Base stats'!B:B,'Base stats'!AK:AK)=1,50,0)</f>
        <v>95</v>
      </c>
      <c r="BS147" s="8">
        <f t="shared" si="19"/>
        <v>0.55000000000000004</v>
      </c>
      <c r="BT147" s="8" t="str">
        <f>_xlfn.XLOOKUP(B147,'Base stats'!B:B,'Base stats'!AF:AF)</f>
        <v>2~4</v>
      </c>
      <c r="BU147" s="2" t="str">
        <f>IF(AND(J147&lt;=0.95,OR(_xlfn.XLOOKUP(B147,'Base stats'!B:B,'Base stats'!AK:AK)=1,_xlfn.XLOOKUP(B147,'Base stats'!B:B,'Base stats'!Y:Y)="Carnivore",_xlfn.XLOOKUP(B147,'Base stats'!B:B,'Base stats'!Y:Y)="Omnivore",BE147&gt;0.1)),"true","false")</f>
        <v>true</v>
      </c>
      <c r="BV147" s="2" t="str">
        <f>IF(_xlfn.XLOOKUP(B147,'Base stats'!B:B,'Base stats'!AI:AI)=1,"true","false")</f>
        <v>false</v>
      </c>
      <c r="BW147" s="25" t="str">
        <f>IF(E147="BaseInsect","AnimalInsect",
IF(J147&gt;0.95,"AnimalExotic",
_xlfn.TEXTJOIN(", ",TRUE,
IF(OR(_xlfn.XLOOKUP(B147,'Base stats'!B:B,'Base stats'!AM:AM)=1,AND(_xlfn.XLOOKUP(B147,'Base stats'!B:B,'Base stats'!O:O)=0,_xlfn.XLOOKUP(_xlfn.XLOOKUP(B147,'Base stats'!B:B,'Base stats'!E:E),Groups!A:A,Groups!B:B)&gt;0)),"AnimalUncommon","AnimalCommon"),
IF(AND(_xlfn.XLOOKUP(B147,'Base stats'!B:B,'Base stats'!O:O)=2,_xlfn.XLOOKUP(_xlfn.XLOOKUP(B147,'Base stats'!B:B,'Base stats'!E:E),Groups!A:A,Groups!D:D)=0),"AnimalPet",IF(AND(_xlfn.XLOOKUP(B147,'Base stats'!B:B,'Base stats'!O:O)&lt;&gt;0,_xlfn.XLOOKUP(_xlfn.XLOOKUP(B147,'Base stats'!B:B,'Base stats'!E:E),Groups!A:A,Groups!D:D)&lt;&gt;0),"AnimalFarm","")),
IF(OR(_xlfn.XLOOKUP(B147,'Base stats'!B:B,'Base stats'!AK:AK)=1,AND(BI147&lt;&gt;"None",BR147&gt;=60),ISNUMBER(SEARCH("Attack target",BP147))),"AnimalFighter","")
)))</f>
        <v>AnimalCommon, AnimalPet, AnimalFighter</v>
      </c>
      <c r="BX147" s="25" t="str">
        <f>IF(G147="None",TRIM(
SUBSTITUTE(
IF(COUNTIF(Biomes!B$2:B$259,"="&amp;$C147)&gt;0,Biomes!B$1&amp;", ","")&amp;
IF(COUNTIF(Biomes!C$2:C$259,"="&amp;$C147)&gt;0,Biomes!C$1&amp;", ","")&amp;
IF(COUNTIF(Biomes!D$2:D$259,"="&amp;$C147)&gt;0,Biomes!D$1&amp;", ","")&amp;
IF(COUNTIF(Biomes!F$2:F$259,"="&amp;$C147)&gt;0,Biomes!F$1&amp;", ","")&amp;
IF(COUNTIF(Biomes!G$2:G$259,"="&amp;$C147)&gt;0,Biomes!G$1&amp;", ","")&amp;
IF(COUNTIF(Biomes!H$2:H$259,"="&amp;$C147)&gt;0,Biomes!H$1&amp;", ","")&amp;
IF(COUNTIF(Biomes!I$2:I$259,"="&amp;$C147)&gt;0,Biomes!I$1&amp;", ","")&amp;
IF(COUNTIF(Biomes!J$2:J$259,"="&amp;$C147)&gt;0,Biomes!J$1&amp;", ","")&amp;
IF(COUNTIF(Biomes!M$2:M$259,"="&amp;$C147)&gt;0,Biomes!M$1&amp;", ","")&amp;
IF(COUNTIF(Biomes!N$2:N$259,"="&amp;$C147)&gt;0,Biomes!N$1&amp;", ","")&amp;
IF(COUNTIF(Biomes!O$2:O$259,"="&amp;$C147)&gt;0,Biomes!O$1&amp;", ","")&amp;
IF(COUNTIF(Biomes!P$2:P$259,"="&amp;$C147)&gt;0,Biomes!P$1&amp;", ","")&amp;
IF(COUNTIF(Biomes!K$2:K$259,"="&amp;$C147)&gt;0,Biomes!K$1&amp;", ","")&amp;
IF(COUNTIF(Biomes!Q$3:Q$259,"="&amp;$C147)&gt;0,Biomes!Q$1&amp;", ","")&amp;
IF(COUNTIF(Biomes!L$2:L$259,"="&amp;$C147)&gt;0,Biomes!L$1&amp;", ","")&amp;
IF(COUNTIF(Biomes!E$2:E$259,"="&amp;$C147)&gt;0,Biomes!E$1&amp;", ","")&amp;IF(COUNTIF(Biomes!S$2:S$259,"="&amp;$C147)&gt;0,Biomes!S$1&amp;", ","")&amp;
IF(COUNTIF(Biomes!R$2:R$259,"="&amp;$C147)&gt;0,Biomes!R$1&amp;", ",""),", ","")
),_xlfn.XLOOKUP(B147,B:B,BX:BX))</f>
        <v/>
      </c>
      <c r="BY147" s="25" t="str">
        <f>IF(_xlfn.XLOOKUP(B147,'Base stats'!B:B,'Base stats'!AJ:AJ)=1,"true","false")</f>
        <v>false</v>
      </c>
      <c r="BZ147" s="25">
        <f>IF(_xlfn.XLOOKUP(B147,'Base stats'!B:B,'Base stats'!N:N)=1,"No",MAX(0.001,MIN(MROUND(IF(AND(BJ147="True",CC147="False"),POWER(10,3.47*LOG10(_xlfn.XLOOKUP(B147,'Base stats'!B:B,'Base stats'!C:C)*1000)^-0.96),POWER(10,4.15*LOG10(_xlfn.XLOOKUP(B147,'Base stats'!B:B,'Base stats'!C:C)*1000)^-0.73))*IF(_xlfn.XLOOKUP(B147,'Base stats'!B:B,'Base stats'!AK:AK)=1,0.5,1)*IF(_xlfn.XLOOKUP(B147,'Base stats'!B:B,'Base stats'!AM:AM)=1,0.1,1)/100,IF(_xlfn.XLOOKUP(B147,'Base stats'!B:B,'Base stats'!AM:AM)=1,0.001,0.025)),0.5)))</f>
        <v>0.05</v>
      </c>
      <c r="CA147" s="25" t="str">
        <f>IF(P147="Standard","No",MAX(0.001,MIN(MROUND(IF(AND(BJ147="True",CC147="False"),POWER(10,3.47*LOG10(_xlfn.XLOOKUP(B147,'Base stats'!B:B,'Base stats'!C:C)*1000)^-0.96),POWER(10,4.15*LOG10(_xlfn.XLOOKUP(B147,'Base stats'!B:B,'Base stats'!C:C)*1000)^-0.73))*IF(_xlfn.XLOOKUP(B147,'Base stats'!B:B,'Base stats'!AM:AM)=1,0.1,1)*_xlfn.XLOOKUP(B147,'Base stats'!B:B,'Base stats'!R:R)/100,IF(_xlfn.XLOOKUP(B147,'Base stats'!B:B,'Base stats'!AM:AM)=1,0.001,0.025)),0.5)))</f>
        <v>No</v>
      </c>
      <c r="CB147" s="25" t="str">
        <f>IF(_xlfn.XLOOKUP(_xlfn.XLOOKUP(B147,'Base stats'!B:B,'Base stats'!E:E),Groups!A:A,Groups!AJ:AJ)="Mammal","True","False")</f>
        <v>True</v>
      </c>
      <c r="CC147" s="25" t="str">
        <f>IF(OR(_xlfn.XLOOKUP(_xlfn.XLOOKUP(B147,'Base stats'!B:B,'Base stats'!E:E),Groups!A:A,Groups!AJ:AJ)="Reptile",_xlfn.XLOOKUP(_xlfn.XLOOKUP(B147,'Base stats'!B:B,'Base stats'!E:E),Groups!A:A,Groups!AJ:AJ)="Amphibian",_xlfn.XLOOKUP(_xlfn.XLOOKUP(B147,'Base stats'!B:B,'Base stats'!E:E),Groups!A:A,Groups!AJ:AJ)="Invertebrate"),"True","False")</f>
        <v>False</v>
      </c>
      <c r="CD147" s="25" t="str">
        <f t="shared" si="20"/>
        <v>False</v>
      </c>
      <c r="CE147" s="25" t="str">
        <f>IF(_xlfn.XLOOKUP(_xlfn.XLOOKUP(B147,'Base stats'!B:B,'Base stats'!E:E),Groups!A:A,Groups!AX:AX),"True","False")</f>
        <v>False</v>
      </c>
      <c r="CF147" s="25" t="str">
        <f>IF(_xlfn.XLOOKUP(_xlfn.XLOOKUP(B147,'Base stats'!B:B,'Base stats'!E:E),Groups!A:A,Groups!AY:AY),"True","False")</f>
        <v>False</v>
      </c>
      <c r="CG147" s="25" t="str">
        <f>IF(_xlfn.XLOOKUP(_xlfn.XLOOKUP(B147,'Base stats'!B:B,'Base stats'!E:E),Groups!A:A,Groups!AW:AW),"True","False")</f>
        <v>False</v>
      </c>
      <c r="CH147" s="25" t="str">
        <f>IF(
OR(
_xlfn.XLOOKUP(_xlfn.XLOOKUP(B147,'Base stats'!B:B,'Base stats'!E:E),Groups!A:A,Groups!AZ:AZ)=0,
AND(
_xlfn.XLOOKUP(B147,'Base stats'!B:B,'Base stats'!Y:Y)&lt;&gt;"Carnivore",
_xlfn.XLOOKUP(B147,'Base stats'!B:B,'Base stats'!Y:Y)&lt;&gt;"Omnivore",
_xlfn.XLOOKUP(B147,'Base stats'!B:B,'Base stats'!Y:Y)&lt;&gt;"OmnivoreRough"
)
),
"No",
IF(
_xlfn.XLOOKUP(_xlfn.XLOOKUP(B147,'Base stats'!B:B,'Base stats'!E:E),Groups!A:A,Groups!AZ:AZ)=1,
"Flesh",
IF(
_xlfn.XLOOKUP(_xlfn.XLOOKUP(B147,'Base stats'!B:B,'Base stats'!E:E),Groups!A:A,Groups!AZ:AZ)=2,
"Bone",
""
)
)
)</f>
        <v>No</v>
      </c>
      <c r="CI147" s="25" t="str">
        <f>IF(_xlfn.XLOOKUP(_xlfn.XLOOKUP(B147,'Base stats'!B:B,'Base stats'!E:E),Groups!A:A,Groups!BB:BB),"True","False")</f>
        <v>True</v>
      </c>
      <c r="CJ147" s="25" t="str">
        <f>IF(_xlfn.XLOOKUP(_xlfn.XLOOKUP(B147,'Base stats'!B:B,'Base stats'!E:E),Groups!A:A,Groups!BA:BA),"True","False")</f>
        <v>False</v>
      </c>
    </row>
    <row r="148" spans="1:88" ht="16.5" thickTop="1" thickBot="1" x14ac:dyDescent="0.3">
      <c r="A148" s="26" t="str">
        <f>_xlfn.XLOOKUP(B148,'Base stats'!B:B,'Base stats'!A:A)</f>
        <v>Shih-Tzu</v>
      </c>
      <c r="B148" s="6" t="s">
        <v>901</v>
      </c>
      <c r="C148" s="28" t="s">
        <v>829</v>
      </c>
      <c r="D148" s="28" t="s">
        <v>872</v>
      </c>
      <c r="E148" s="28" t="s">
        <v>673</v>
      </c>
      <c r="F148" s="28" t="s">
        <v>673</v>
      </c>
      <c r="G148" s="28" t="s">
        <v>673</v>
      </c>
      <c r="H148" s="2">
        <f>MROUND((
  (IF(AND(_xlfn.XLOOKUP(B148,'Base stats'!B:B,'Base stats'!AL:AL)=0,BI148="None",_xlfn.XLOOKUP(_xlfn.XLOOKUP(B148,'Base stats'!B:B,'Base stats'!E:E),Groups!A:A,Groups!B:B)=0), (18 + BR148 * 2.7) * 0.5,
    IF(AND(_xlfn.XLOOKUP(B148,'Base stats'!B:B,'Base stats'!AL:AL)=0,OR(AO148&lt;0.55,AND(BI148="Intermediate",_xlfn.XLOOKUP(_xlfn.XLOOKUP(B148,'Base stats'!B:B,'Base stats'!E:E),Groups!A:A,Groups!B:B)&lt;2))), (18 + BR148 * 2.7),
      IF(OR(BI148="Advanced",_xlfn.XLOOKUP(B148,'Base stats'!B:B,'Base stats'!AL:AL)=1,_xlfn.XLOOKUP(_xlfn.XLOOKUP(B148,'Base stats'!B:B,'Base stats'!E:E),Groups!A:A,Groups!B:B)=2), (18 + BR148 * 2.7) + 250, (18 + BR148 * 2.7))
    )
  ))
  + AO148 * 80
  + IF(COUNTIF(EggMilk!K$2:K$998, A148) &gt; 0, 125, 0)
  + IF(COUNTIF(EggMilk!P$2:P$998, A148) &gt; 0, 90, 0)
  + IF(COUNTIF(EggMilk!A$2:A$998, A148) &gt; 0, 90, 0)
)
* (0.8 + 0.4 * J148)
* 0.75,25)</f>
        <v>100</v>
      </c>
      <c r="I148" s="2">
        <f>MROUND(ROUNDDOWN(_xlfn.XLOOKUP(B148,'Base stats'!B:B,'Base stats'!L:L)/3.6/(23.3/11),1),0.5)</f>
        <v>5.5</v>
      </c>
      <c r="J148" s="2">
        <f>IF(OR(_xlfn.XLOOKUP(B148,'Base stats'!B:B,'Base stats'!AB:AB)=1,_xlfn.XLOOKUP(_xlfn.XLOOKUP(B148,'Base stats'!B:B,'Base stats'!E:E),Groups!A:A,Groups!C:C)="Untamable"),1,IF(_xlfn.XLOOKUP(B148,'Base stats'!B:B,'Base stats'!AL:AL)=1,0.99,MIN(MROUND((1-0.6282*EXP(-0.459*AO148))*_xlfn.XLOOKUP(_xlfn.XLOOKUP(B148,'Base stats'!B:B,'Base stats'!E:E),Groups!A:A,Groups!C:C)*IF(_xlfn.XLOOKUP(B148,'Base stats'!B:B,'Base stats'!O:O)=1,0.5,IF(_xlfn.XLOOKUP(B148,'Base stats'!B:B,'Base stats'!O:O)=2,0,1)),0.05),IF(AO148&gt;3.5,0.985,0.95))))</f>
        <v>0</v>
      </c>
      <c r="K148" s="2">
        <f>ROUNDUP(AO148*_xlfn.XLOOKUP(_xlfn.XLOOKUP(B148,'Base stats'!B:B,'Base stats'!E:E),Groups!A:A,Groups!E:E),0)</f>
        <v>1</v>
      </c>
      <c r="L148" s="2">
        <f>IF(OR(_xlfn.XLOOKUP(_xlfn.XLOOKUP(B148,'Base stats'!B:B,'Base stats'!E:E),Groups!A:A,Groups!F:F)=2,ISNUMBER(SEARCH("SeaIce",BX148)),ISNUMBER(SEARCH("IceSheet",BX148))),-50,IF(OR(ISNUMBER(SEARCH("GlacialPlain",BX148)),ISNUMBER(SEARCH("Tundra",BX148))),-40,IF(OR(ISNUMBER(SEARCH("Alpine",BX148)),ISNUMBER(SEARCH("BorealForest",BX148)),ISNUMBER(SEARCH("ColdBog",BX148))),-30,IF(OR(ISNUMBER(SEARCH("TemperateForest",BX148)),ISNUMBER(SEARCH("TemperateSwamp",BX148))),-20,IF(_xlfn.XLOOKUP(_xlfn.XLOOKUP(B148,'Base stats'!B:B,'Base stats'!E:E),Groups!A:A,Groups!F:F)=1,-15,IF(OR(ISNUMBER(SEARCH("Desert",BX148)),ISNUMBER(SEARCH("ExtremeDesert",BX148))),-10,IF(OR(ISNUMBER(SEARCH("Grasslands",BX148)),ISNUMBER(SEARCH("TropicalRainforest",BX148)),ISNUMBER(SEARCH("TropicalSwamp",BX148))),10,0)))))))-IF(CC148="False",MIN(IFERROR(MAX(MROUND(LOG10(_xlfn.XLOOKUP(B148,'Base stats'!B:B,'Base stats'!C:C)^(2/3))*10,5),5),5),30))-_xlfn.XLOOKUP(B148,'Base stats'!B:B,'Base stats'!P:P)+IF(CC148="True",5,0)</f>
        <v>-20</v>
      </c>
      <c r="M148" s="2">
        <f>IF(OR(_xlfn.XLOOKUP(_xlfn.XLOOKUP(B148,'Base stats'!B:B,'Base stats'!E:E),Groups!A:A,Groups!G:G)=2,ISNUMBER(SEARCH("Desert",BX148)),ISNUMBER(SEARCH("ExtremeDesert",BX148)),ISNUMBER(SEARCH("LavaField",BX148))),50,IF(ISNUMBER(SEARCH("Grasslands",BX148)),45,IF(OR(_xlfn.XLOOKUP(_xlfn.XLOOKUP(B148,'Base stats'!B:B,'Base stats'!E:E),Groups!A:A,Groups!G:G)=1,ISNUMBER(SEARCH("TropicalRainforest",BX148)),ISNUMBER(SEARCH("TropicalSwamp",BX148))),40,IF(OR(ISNUMBER(SEARCH("TemperateForest",BX148)),ISNUMBER(SEARCH("TemperateSwamp",BX148))),35,IF(OR(ISNUMBER(SEARCH("Alpine",BX148)),ISNUMBER(SEARCH("BorealForest",BX148)),ISNUMBER(SEARCH("ColdBog",BX148))),30,IF(ISNUMBER(OR(ISNUMBER(SEARCH("GlacialPlain",BX148)),SEARCH("Tundra",BX148))),25,IF(OR(ISNUMBER(SEARCH("SeaIce",BX148)),ISNUMBER(SEARCH("IceSheet",BX148)),ISNUMBER(SEARCH("TropicalSwamp",BX148))),10,35)))))))+_xlfn.XLOOKUP(B148,'Base stats'!B:B,'Base stats'!Q:Q)</f>
        <v>35</v>
      </c>
      <c r="N148" s="8" t="str">
        <f>IF(
_xlfn.XLOOKUP(
_xlfn.XLOOKUP(B148,'Base stats'!B:B,'Base stats'!E:E),
Groups!A:A,
Groups!L:L
)=1,
MIN(
MROUND(
IF(
_xlfn.XLOOKUP(B148,'Animals CE'!B:B,'Animals CE'!Z:Z)&lt;=1.5,
_xlfn.XLOOKUP(B148,'Animals CE'!B:B,'Animals CE'!Z:Z)/2+0.05,
0.8+
(_xlfn.XLOOKUP(B148,'Animals CE'!B:B,'Animals CE'!Z:Z)-1.5)
*0.02
),
0.05
),
200%
),
"No"
)</f>
        <v>No</v>
      </c>
      <c r="O148" s="8" t="str">
        <f>IF(
_xlfn.XLOOKUP(
_xlfn.XLOOKUP(B148,'Base stats'!B:B,'Base stats'!E:E),
Groups!A:A,
Groups!L:L
)=1,
MIN(
MROUND(
IF(
_xlfn.XLOOKUP(B148,'Animals CE'!B:B,'Animals CE'!AA:AA)&lt;=1.5,
_xlfn.XLOOKUP(B148,'Animals CE'!B:B,'Animals CE'!AA:AA)/2+0.05,
0.8+
(_xlfn.XLOOKUP(B148,'Animals CE'!B:B,'Animals CE'!AA:AA)-1.5)
*0.02
),
0.05
),
200%
),
"No"
)</f>
        <v>No</v>
      </c>
      <c r="P148" s="2" t="str">
        <f>_xlfn.XLOOKUP(B148,'Base stats'!B:B,'Base stats'!R:R)</f>
        <v>Standard</v>
      </c>
      <c r="Q148" s="13">
        <f>MROUND((LOG10(_xlfn.XLOOKUP(B148,'Base stats'!B:B,'Base stats'!AR:AR))*(AO148^0.5)+(_xlfn.XLOOKUP(B148,'Base stats'!B:B,'Base stats'!AR:AR)/1000)^(2/3)+_xlfn.XLOOKUP(B148,'Base stats'!B:B,'Base stats'!BA:BA)/2)+0.5,0.5)</f>
        <v>3</v>
      </c>
      <c r="R148" s="7">
        <f>IF(Q148="No","No",MAX(1,MROUND(_xlfn.XLOOKUP(B148,'Base stats'!B:B,'Base stats'!C:C)^0.165,0.05)))</f>
        <v>1.35</v>
      </c>
      <c r="S148" s="13" t="str">
        <f>IF(_xlfn.XLOOKUP(_xlfn.XLOOKUP(B148,'Base stats'!B:B,'Base stats'!E:E),Groups!A:A,Groups!P:P)=0,"No",MROUND((LOG10(_xlfn.XLOOKUP(B148,'Base stats'!B:B,'Base stats'!AS:AS))*(AO148^0.5)+(_xlfn.XLOOKUP(B148,'Base stats'!B:B,'Base stats'!AS:AS)/1000)^(2/3)+_xlfn.XLOOKUP(B148,'Base stats'!B:B,'Base stats'!BA:BA))+_xlfn.XLOOKUP(B148,'Base stats'!B:B,'Base stats'!AY:AY)+0.5,0.5))</f>
        <v>No</v>
      </c>
      <c r="T148" s="7" t="str">
        <f>IF(S148="No","No",MAX(_xlfn.XLOOKUP(_xlfn.XLOOKUP(B148,'Base stats'!B:B,'Base stats'!E:E),Groups!A:A,Groups!Q:Q),MROUND(_xlfn.XLOOKUP(_xlfn.XLOOKUP(B148,'Base stats'!B:B,'Base stats'!E:E),Groups!A:A,Groups!Q:Q)*_xlfn.XLOOKUP(B148,'Base stats'!B:B,'Base stats'!C:C)^0.165,0.05)))</f>
        <v>No</v>
      </c>
      <c r="U148" s="7" t="str">
        <f>IF(S148="No","No",_xlfn.XLOOKUP(_xlfn.XLOOKUP(B148,'Base stats'!B:B,'Base stats'!E:E),Groups!A:A,Groups!R:R))</f>
        <v>No</v>
      </c>
      <c r="V148" s="7" t="str">
        <f>IF(S148="No","No",_xlfn.XLOOKUP(_xlfn.XLOOKUP(B148,'Base stats'!B:B,'Base stats'!E:E),Groups!A:A,Groups!S:S))</f>
        <v>No</v>
      </c>
      <c r="W148" s="7" t="str">
        <f>IF(S148="No","No",_xlfn.XLOOKUP(_xlfn.XLOOKUP(B148,'Base stats'!B:B,'Base stats'!E:E),Groups!A:A,Groups!T:T))</f>
        <v>No</v>
      </c>
      <c r="X148" s="13" t="str">
        <f>IF(_xlfn.XLOOKUP(B148,'Base stats'!B:B,'Base stats'!W:W)="No","No",MROUND((LOG10(_xlfn.XLOOKUP(B148,'Base stats'!B:B,'Base stats'!AU:AU))*(AO148^0.5)+(_xlfn.XLOOKUP(B148,'Base stats'!B:B,'Base stats'!AU:AU)/1000)^(2/3)+_xlfn.XLOOKUP(B148,'Base stats'!B:B,'Base stats'!AZ:AZ))+0.5+IF(_xlfn.XLOOKUP(_xlfn.XLOOKUP(B148,'Base stats'!B:B,'Base stats'!E:E),Groups!A:A,Groups!U:U)&lt;&gt;3,_xlfn.XLOOKUP(B148,'Base stats'!B:B,'Base stats'!BA:BA),0),0.5))</f>
        <v>No</v>
      </c>
      <c r="Y148" s="7" t="str">
        <f>IF(X148="No","No",MAX(_xlfn.XLOOKUP(_xlfn.XLOOKUP(B148,'Base stats'!B:B,'Base stats'!E:E),Groups!A:A,Groups!V:V),MROUND(_xlfn.XLOOKUP(_xlfn.XLOOKUP(B148,'Base stats'!B:B,'Base stats'!E:E),Groups!A:A,Groups!V:V)*_xlfn.XLOOKUP(B148,'Base stats'!B:B,'Base stats'!C:C)^0.165,0.05)))</f>
        <v>No</v>
      </c>
      <c r="Z148" s="7" t="str">
        <f>IF(X148="No","No",_xlfn.XLOOKUP(_xlfn.XLOOKUP(B148,'Base stats'!B:B,'Base stats'!E:E),Groups!A:A,Groups!W:W))</f>
        <v>No</v>
      </c>
      <c r="AA148" s="7" t="str">
        <f>IF(X148="No","No",_xlfn.XLOOKUP(_xlfn.XLOOKUP(B148,'Base stats'!B:B,'Base stats'!E:E),Groups!A:A,Groups!X:X))</f>
        <v>No</v>
      </c>
      <c r="AB148" s="7" t="str">
        <f>IF(X148="No","No",_xlfn.XLOOKUP(_xlfn.XLOOKUP(B148,'Base stats'!B:B,'Base stats'!E:E),Groups!A:A,Groups!Y:Y))</f>
        <v>No</v>
      </c>
      <c r="AC148" s="7" t="str">
        <f>_xlfn.XLOOKUP(Animals!B148,'Base stats'!B:B,'Base stats'!X:X)</f>
        <v>False</v>
      </c>
      <c r="AD148" s="13">
        <f>IF(_xlfn.XLOOKUP(B148,'Base stats'!B:B,'Base stats'!AT:AT)="No","No",MROUND((LOG10(_xlfn.XLOOKUP(B148,'Base stats'!B:B,'Base stats'!AT:AT))*(AO148^0.75)+(_xlfn.XLOOKUP(B148,'Base stats'!B:B,'Base stats'!AT:AT)/1000)^(2/3)+_xlfn.XLOOKUP(B148,'Base stats'!B:B,'Base stats'!AX:AX)+_xlfn.XLOOKUP(B148,'Base stats'!B:B,'Base stats'!BA:BA))+0.5,0.5))</f>
        <v>4.5</v>
      </c>
      <c r="AE148" s="7">
        <f>IF(AD148="No","No",MAX(_xlfn.XLOOKUP(_xlfn.XLOOKUP(B148,'Base stats'!B:B,'Base stats'!E:E),Groups!A:A,Groups!Z:Z),MROUND(_xlfn.XLOOKUP(_xlfn.XLOOKUP(B148,'Base stats'!B:B,'Base stats'!E:E),Groups!A:A,Groups!Z:Z)*_xlfn.XLOOKUP(B148,'Base stats'!B:B,'Base stats'!C:C)^0.165,0.05)))</f>
        <v>1.05</v>
      </c>
      <c r="AF148" s="7" t="str">
        <f>IF(AD148="No","No",_xlfn.XLOOKUP(_xlfn.XLOOKUP(B148,'Base stats'!B:B,'Base stats'!E:E),Groups!A:A,Groups!AA:AA))</f>
        <v>Teeth</v>
      </c>
      <c r="AG148" s="7" t="str">
        <f>IF(AD148="No","No",_xlfn.XLOOKUP(_xlfn.XLOOKUP(B148,'Base stats'!B:B,'Base stats'!E:E),Groups!A:A,Groups!AB:AB))</f>
        <v>canines</v>
      </c>
      <c r="AH148" s="7" t="str">
        <f>IF(AD148="No","No",_xlfn.XLOOKUP(_xlfn.XLOOKUP(B148,'Base stats'!B:B,'Base stats'!E:E),Groups!A:A,Groups!AC:AC))</f>
        <v>Bite</v>
      </c>
      <c r="AI148" s="13" t="str">
        <f>IF(_xlfn.XLOOKUP(_xlfn.XLOOKUP(B148,'Base stats'!B:B,'Base stats'!E:E),Groups!A:A,Groups!AD:AD)=0,"No",MROUND((LOG10(_xlfn.XLOOKUP(B148,'Base stats'!B:B,'Base stats'!AS:AS))*(AO148^0.75)+(_xlfn.XLOOKUP(B148,'Base stats'!B:B,'Base stats'!AS:AS)/1000)^(2/3)+_xlfn.XLOOKUP(B148,'Base stats'!B:B,'Base stats'!AY:AY)+_xlfn.XLOOKUP(B148,'Base stats'!B:B,'Base stats'!BA:BA))+0.5,0.5))</f>
        <v>No</v>
      </c>
      <c r="AJ148" s="7" t="str">
        <f>IF(AI148="No","No",MAX(_xlfn.XLOOKUP(_xlfn.XLOOKUP(B148,'Base stats'!B:B,'Base stats'!E:E),Groups!A:A,Groups!AE:AE),MROUND(_xlfn.XLOOKUP(_xlfn.XLOOKUP(B148,'Base stats'!B:B,'Base stats'!E:E),Groups!A:A,Groups!AE:AE)*IF(_xlfn.XLOOKUP(_xlfn.XLOOKUP(B148,'Base stats'!B:B,'Base stats'!E:E),Groups!A:A,Groups!AJ:AJ)="Photonozoa",0.6,1)*_xlfn.XLOOKUP(B148,'Base stats'!B:B,'Base stats'!C:C)^0.165,0.05)))</f>
        <v>No</v>
      </c>
      <c r="AK148" s="7" t="str">
        <f>IF(AI148="No","No",_xlfn.XLOOKUP(_xlfn.XLOOKUP(B148,'Base stats'!B:B,'Base stats'!E:E),Groups!A:A,Groups!AF:AF))</f>
        <v>No</v>
      </c>
      <c r="AL148" s="7" t="str">
        <f>IF(AI148="No","No",_xlfn.XLOOKUP(_xlfn.XLOOKUP(B148,'Base stats'!B:B,'Base stats'!E:E),Groups!A:A,Groups!AG:AG))</f>
        <v>No</v>
      </c>
      <c r="AM148" s="7" t="str">
        <f>IF(AI148="No","No",_xlfn.XLOOKUP(_xlfn.XLOOKUP(B148,'Base stats'!B:B,'Base stats'!E:E),Groups!A:A,Groups!AH:AH))</f>
        <v>No</v>
      </c>
      <c r="AN148" s="2">
        <f t="shared" si="14"/>
        <v>15</v>
      </c>
      <c r="AO148" s="2">
        <f>MROUND(IF(AND(_xlfn.XLOOKUP(B148,'Base stats'!B:B,'Base stats'!C:C)&gt;=0.5,_xlfn.XLOOKUP(B148,'Base stats'!B:B,'Base stats'!C:C)&lt;=0.8),
IF(_xlfn.XLOOKUP(B148,'Base stats'!B:B,'Base stats'!C:C)&lt;0.1,0.05,IF(_xlfn.XLOOKUP(B148,'Base stats'!B:B,'Base stats'!C:C)&lt;=70,(_xlfn.XLOOKUP(B148,'Base stats'!B:B,'Base stats'!C:C)/70)^0.426489913056526,IF(_xlfn.XLOOKUP(B148,'Base stats'!B:B,'Base stats'!C:C)&lt;=400,(_xlfn.XLOOKUP(B148,'Base stats'!B:B,'Base stats'!C:C)/70)^0.572811455315093,IF(_xlfn.XLOOKUP(B148,'Base stats'!B:B,'Base stats'!C:C)&lt;=2000,2.71391647193063*(_xlfn.XLOOKUP(B148,'Base stats'!B:B,'Base stats'!C:C)/400)^0.252459582904293,3.74314280240376*(_xlfn.XLOOKUP(B148,'Base stats'!B:B,'Base stats'!C:C)/2000)^0.357012633876913)))),
IF(_xlfn.XLOOKUP(B148,'Base stats'!B:B,'Base stats'!C:C)&lt;0.1,0.05,IF(_xlfn.XLOOKUP(B148,'Base stats'!B:B,'Base stats'!C:C)&lt;0.4,0.1,IF(_xlfn.XLOOKUP(B148,'Base stats'!B:B,'Base stats'!C:C)&lt;=70,(_xlfn.XLOOKUP(B148,'Base stats'!B:B,'Base stats'!C:C)/70)^0.445823913056526,IF(_xlfn.XLOOKUP(B148,'Base stats'!B:B,'Base stats'!C:C)&lt;=400,(_xlfn.XLOOKUP(B148,'Base stats'!B:B,'Base stats'!C:C)/70)^0.572811455315093,IF(_xlfn.XLOOKUP(B148,'Base stats'!B:B,'Base stats'!C:C)&lt;=2000,2.71391647193063*(_xlfn.XLOOKUP(B148,'Base stats'!B:B,'Base stats'!C:C)/400)^0.252459582904293,3.74314280240376*(_xlfn.XLOOKUP(B148,'Base stats'!B:B,'Base stats'!C:C)/2000)^0.357012633876913)))))),
IF(_xlfn.XLOOKUP(B148,'Base stats'!B:B,'Base stats'!C:C)&lt;0.1,0.05,IF(_xlfn.XLOOKUP(B148,'Base stats'!B:B,'Base stats'!C:C)&lt;=100,0.05,IF(_xlfn.XLOOKUP(B148,'Base stats'!B:B,'Base stats'!C:C)&lt;=250,0.1,IF(_xlfn.XLOOKUP(B148,'Base stats'!B:B,'Base stats'!C:C)&lt;=4000,0.25,0.5)))))</f>
        <v>0.35000000000000003</v>
      </c>
      <c r="AP148" s="8">
        <f>MROUND(AO148*_xlfn.XLOOKUP(_xlfn.XLOOKUP(B148,'Base stats'!B:B,'Base stats'!E:E),Groups!A:A,Groups!AI:AI)*_xlfn.XLOOKUP(B148,'Base stats'!B:B,'Base stats'!Z:Z),0.05)</f>
        <v>0.4</v>
      </c>
      <c r="AQ148" s="8">
        <f>MAX(0.01,MROUND(IF(CC148="True",0.196*(AO148*100*1000)^0.889,IF(_xlfn.XLOOKUP(_xlfn.XLOOKUP(B148,'Base stats'!B:B,'Base stats'!E:E),Groups!A:A,Groups!AJ:AJ)="Bird",10.5*(AO148*100*1000)^0.681,4.82*(AO148*100*1000)^0.734))/(4.82*(1*100*1000)^0.734)/IF(AO148&lt;3.5,2,IF(AO148=3.5,1.5,1.25))*(1+0.132282374779864/(AO148^0.994035016789033+0.00905238001496948)),0.05))</f>
        <v>0.30000000000000004</v>
      </c>
      <c r="AR148" s="9">
        <f>IFERROR(MROUND(_xlfn.XLOOKUP(B148,'Base stats'!B:B,'Base stats'!H:H)/IF(_xlfn.XLOOKUP(B148,'Base stats'!B:B,'Base stats'!I:I)&lt;&gt;1,(122.5/70),1.2),IF(_xlfn.XLOOKUP(B148,'Base stats'!B:B,'Base stats'!H:H)&gt;=30,5,IF(_xlfn.XLOOKUP(B148,'Base stats'!B:B,'Base stats'!H:H)&gt;=15,3,IF(_xlfn.XLOOKUP(B148,'Base stats'!B:B,'Base stats'!H:H)&gt;=10,2,1)))),"Immortal")</f>
        <v>15</v>
      </c>
      <c r="AS148" s="35">
        <f>IFERROR(IF(OR(_xlfn.XLOOKUP(B148,'Base stats'!B:B,'Base stats'!F:F)="Atypical reproduction",_xlfn.XLOOKUP(B148,'Base stats'!B:B,'Base stats'!F:F)="Lay eggs"),"Lay eggs",MIN(20,MAX(5.5,ROUND(((_xlfn.XLOOKUP(B148,'Base stats'!B:B,'Base stats'!F:F)-25)*(14.5/615) + 5.5)*2,0)/2))),"Unknown")</f>
        <v>6.5</v>
      </c>
      <c r="AT148" s="8">
        <f>IF(_xlfn.XLOOKUP(B148,'Base stats'!B:B,'Base stats'!G:G)="Atypical reproduction","No",IFERROR(MAX(IF(_xlfn.XLOOKUP(B148,'Base stats'!B:B,'Base stats'!G:G)&lt;0.5,0.2,0.3),MROUND(_xlfn.XLOOKUP(B148,'Base stats'!B:B,'Base stats'!G:G)/(365/60),0.2)),"Unknown"))</f>
        <v>0.3</v>
      </c>
      <c r="AU148" s="8">
        <f t="shared" si="15"/>
        <v>0.15000000000000002</v>
      </c>
      <c r="AV148" s="8">
        <f>IFERROR(IFERROR(MROUND(_xlfn.XLOOKUP(B148,'Base stats'!B:B,'Base stats'!J:J),0.1),"Lay eggs"),"Cannot breed")</f>
        <v>6</v>
      </c>
      <c r="AW148" s="2" t="str">
        <f t="shared" si="16"/>
        <v>true</v>
      </c>
      <c r="AX148" s="2" t="str">
        <f>IF(_xlfn.XLOOKUP(_xlfn.XLOOKUP(Animals!B148,'Base stats'!B:B,'Base stats'!E:E),Groups!A:A,Groups!AK:AK)=1,"true","false")</f>
        <v>false</v>
      </c>
      <c r="AY148" s="25" t="str">
        <f>IF(_xlfn.XLOOKUP(B148,'Base stats'!B:B,'Base stats'!Y:Y)="Liquor","Liquor, CarnivoreAnimalStrict",IF(AND(_xlfn.XLOOKUP(B148,'Base stats'!B:B,'Base stats'!Y:Y)="Carnivore",_xlfn.XLOOKUP(_xlfn.XLOOKUP(B148,'Base stats'!B:B,'Base stats'!E:E),Groups!A:A,Groups!AJ:AJ)="Photonozoa"),"CarnivoreAnimalStrict, OvivoreAnimal",IF(_xlfn.XLOOKUP(B148,'Base stats'!B:B,'Base stats'!Y:Y)="Carnivore","CarnivoreAnimal, OvivoreAnimal",IF(_xlfn.XLOOKUP(B148,'Base stats'!B:B,'Base stats'!Y:Y)="Dendrovore","VegetarianRoughAnimal, DendrovoreAnimal",IF(_xlfn.XLOOKUP(B148,'Base stats'!B:B,'Base stats'!Y:Y)="Herbivore","VegetarianRoughAnimal",IF(_xlfn.XLOOKUP(B148,'Base stats'!B:B,'Base stats'!Y:Y)="OmnivoreRough","OmnivoreRoughAnimal, OvivoreAnimal","OmnivoreAnimal, OvivoreAnimal"))))))</f>
        <v>OmnivoreAnimal, OvivoreAnimal</v>
      </c>
      <c r="AZ148" s="2" t="str">
        <f>IF(_xlfn.XLOOKUP(_xlfn.XLOOKUP(B148,'Base stats'!B:B,'Base stats'!E:E),Groups!A:A,Groups!D:D)=1,MROUND((1-J148)*5+1,2)*IF(J148&lt;=0.4,2,1),"No")</f>
        <v>No</v>
      </c>
      <c r="BA148" s="2" t="str">
        <f>IF(AND(_xlfn.XLOOKUP(B148,'Base stats'!B:B,'Base stats'!AH:AH)="&lt;li&gt;Seal&lt;/li&gt;",G148="Odyssey"),"&lt;li&gt;AEXP_Seal&lt;/li&gt;",_xlfn.XLOOKUP(B148,'Base stats'!B:B,'Base stats'!AH:AH))</f>
        <v>&lt;li&gt;YorkshireTerrier&lt;/li&gt;</v>
      </c>
      <c r="BB148" s="2" t="str">
        <f>_xlfn.XLOOKUP(B148,'Base stats'!B:B,'Base stats'!AG:AG)</f>
        <v>Leather_Dog</v>
      </c>
      <c r="BC148" s="23" t="str">
        <f>_xlfn.XLOOKUP(_xlfn.XLOOKUP(B148,'Base stats'!B:B,'Base stats'!E:E),Groups!A:A,Groups!AL:AL)</f>
        <v>QuadrupedAnimalWithPawsAndTail</v>
      </c>
      <c r="BD148" s="23">
        <f>MIN(1,MROUND(IF(AND(AO148&lt;0.5,_xlfn.XLOOKUP(B148,'Base stats'!B:B,'Base stats'!AA:AA)=0),0,IF(OR(_xlfn.XLOOKUP(Animals!B148,'Base stats'!B:B,'Base stats'!O:O)=2,_xlfn.XLOOKUP(_xlfn.XLOOKUP(B148,'Base stats'!B:B,'Base stats'!E:E),Groups!A:A,Groups!AN:AN)=0),0,_xlfn.XLOOKUP(_xlfn.XLOOKUP(B148,'Base stats'!B:B,'Base stats'!E:E),Groups!A:A,Groups!AN:AN)/IF(_xlfn.XLOOKUP(Animals!B148,'Base stats'!B:B,'Base stats'!O:O)=1,2,1)))+_xlfn.XLOOKUP(B148,'Base stats'!B:B,'Base stats'!AC:AC),0.005))</f>
        <v>0</v>
      </c>
      <c r="BE148" s="23">
        <f>MIN(1,MROUND(IF(AND(AO148&lt;0.5,_xlfn.XLOOKUP(B148,'Base stats'!B:B,'Base stats'!AA:AA)=0),0,IF(_xlfn.XLOOKUP(_xlfn.XLOOKUP(B148,'Base stats'!B:B,'Base stats'!E:E),Groups!A:A,Groups!AO:AO)=0,0,_xlfn.XLOOKUP(_xlfn.XLOOKUP(B148,'Base stats'!B:B,'Base stats'!E:E),Groups!A:A,Groups!AO:AO)/IF(_xlfn.XLOOKUP(Animals!B148,'Base stats'!B:B,'Base stats'!O:O)=2,3,1)))+_xlfn.XLOOKUP(B148,'Base stats'!B:B,'Base stats'!AD:AD),0.005))</f>
        <v>0</v>
      </c>
      <c r="BF148" s="2">
        <f>IF(J148&gt;0.3,"No",_xlfn.XLOOKUP(_xlfn.XLOOKUP(Animals!B148,'Base stats'!B:B,'Base stats'!E:E),Groups!A:A,Groups!AP:AP))</f>
        <v>1</v>
      </c>
      <c r="BG148" s="2">
        <f>IF(AND(J148&lt;=0.65,_xlfn.XLOOKUP(_xlfn.XLOOKUP(Animals!B148,'Base stats'!B:B,'Base stats'!E:E),Groups!A:A,Groups!AP:AP)&lt;&gt;"No",_xlfn.XLOOKUP(_xlfn.XLOOKUP(B148,'Base stats'!B:B,'Base stats'!E:E),Groups!A:A,Groups!D:D)=0),MROUND((80/3)*IF(_xlfn.XLOOKUP(B148,'Base stats'!B:B,'Base stats'!O:O)=2,0.2,AO148) + 24*(1-IF(BF148="No",0,BF148)) + 16/3, 12),"No")</f>
        <v>12</v>
      </c>
      <c r="BH148" s="2">
        <f>IF(AND(_xlfn.XLOOKUP(_xlfn.XLOOKUP(B148,'Base stats'!B:B,'Base stats'!E:E),Groups!A:A,Groups!AQ:AQ)=1,AO148&lt;=0.35),8,12)</f>
        <v>12</v>
      </c>
      <c r="BI148" s="2" t="str">
        <f>IF(_xlfn.XLOOKUP(_xlfn.XLOOKUP(B148,'Base stats'!B:B,'Base stats'!E:E),Groups!A:A,Groups!D:D)=0,_xlfn.XLOOKUP(_xlfn.XLOOKUP(B148,'Base stats'!B:B,'Base stats'!E:E),Groups!A:A,Groups!AR:AR),"None")</f>
        <v>Advanced</v>
      </c>
      <c r="BJ148" s="2" t="str">
        <f>IF(AND(_xlfn.XLOOKUP(_xlfn.XLOOKUP(B148,'Base stats'!B:B,'Base stats'!E:E),Groups!A:A,Groups!AS:AS)=1,OR(_xlfn.XLOOKUP(B148,'Base stats'!B:B,'Base stats'!Y:Y)="Carnivore",_xlfn.XLOOKUP(B148,'Base stats'!B:B,'Base stats'!Y:Y)="Omnivore")),"true","false")</f>
        <v>true</v>
      </c>
      <c r="BK148" s="2">
        <f>IF(BJ148="true",MROUND(IF(AND(AO148&gt;0.5,OR(_xlfn.XLOOKUP(_xlfn.XLOOKUP(B148,'Base stats'!B:B,'Base stats'!E:E),Groups!A:A,Groups!AJ:AJ)="Photonozoa",_xlfn.XLOOKUP(_xlfn.XLOOKUP(B148,'Base stats'!B:B,'Base stats'!E:E),Groups!A:A,Groups!AJ:AJ)="Mammal")),Animals!AO148*1.75*IF(AW148="true",1.5,1),IF(AO148&lt;0.5,Animals!AO148*0.5,Animals!AO148)),IF(AO148&gt;2,0.5,IF(AO148&gt;0.5,0.25,0.1))),"No")</f>
        <v>0.2</v>
      </c>
      <c r="BL148" s="2">
        <f t="shared" si="17"/>
        <v>1</v>
      </c>
      <c r="BM148" s="25" t="str">
        <f>IF(_xlfn.XLOOKUP(B148,'Base stats'!B:B,'Base stats'!AN:AN)="Standard","No",MROUND((_xlfn.XLOOKUP(B148,'Base stats'!B:B,'Base stats'!AN:AN)/3.6)/I148,0.1))</f>
        <v>No</v>
      </c>
      <c r="BN148" s="25" t="str">
        <f t="shared" si="18"/>
        <v>false</v>
      </c>
      <c r="BO148" s="25" t="str">
        <f>IF(AND(OR(_xlfn.XLOOKUP(B148,'Base stats'!B:B,'Base stats'!Y:Y)="Carnivore",_xlfn.XLOOKUP(B148,'Base stats'!B:B,'Base stats'!Y:Y)="Omnivore",_xlfn.XLOOKUP(B148,'Base stats'!B:B,'Base stats'!Y:Y)="OmnivoreRough"),_xlfn.XLOOKUP(_xlfn.XLOOKUP(B148,'Base stats'!B:B,'Base stats'!E:E),Groups!A:A,Groups!AT:AT)=1),"true","false")</f>
        <v>false</v>
      </c>
      <c r="BP148" s="25" t="str" cm="1">
        <f t="array" ref="BP148">IF(
  _xlfn.TEXTJOIN(", ",TRUE,
    IF(AND(BJ148="true",AO148&gt;0.5,BI148&lt;&gt;"None"),"AttackTarget",""),
    IF(AND(_xlfn.XLOOKUP(_xlfn.XLOOKUP(B148,'Base stats'!B:B,'Base stats'!E:E),Groups!A:A,Groups!AJ:AJ="Mammal"),OR(_xlfn.XLOOKUP(B148,'Base stats'!B:B,'Base stats'!Y:Y)="Omnivore",_xlfn.XLOOKUP(B148,'Base stats'!B:B,'Base stats'!Y:Y)="OmnivoreRough")),"Forage",""),
    IF(BG148&lt;=36,"Comfort",""),
    IF(_xlfn.XLOOKUP(B148,'Base stats'!B:B,'Base stats'!AE:AE)&lt;&gt;"No",_xlfn.XLOOKUP(B148,'Base stats'!B:B,'Base stats'!AE:AE),"")
  ) = "",
  "No",
  _xlfn.TEXTJOIN(", ",TRUE,
    IF(AND(BJ148="true",AO148&gt;0.5,BI148&lt;&gt;"None"),"AttackTarget",""),
    IF(AND(_xlfn.XLOOKUP(_xlfn.XLOOKUP(B148,'Base stats'!B:B,'Base stats'!E:E),Groups!A:A,Groups!AJ:AJ="Mammal"),OR(_xlfn.XLOOKUP(B148,'Base stats'!B:B,'Base stats'!Y:Y)="Omnivore",_xlfn.XLOOKUP(B148,'Base stats'!B:B,'Base stats'!Y:Y)="OmnivoreRough")),"Forage",""),
    IF(BG148&lt;=36,"Comfort",""),
    IF(_xlfn.XLOOKUP(B148,'Base stats'!B:B,'Base stats'!AE:AE)&lt;&gt;"No",_xlfn.XLOOKUP(B148,'Base stats'!B:B,'Base stats'!AE:AE),"")
  )
)</f>
        <v>Forage, Comfort</v>
      </c>
      <c r="BQ148" s="25" t="str">
        <f>IF(
   AND(
      'Base stats'!AN148="Standard",_xlfn.XLOOKUP(_xlfn.XLOOKUP(B148,'Base stats'!B:B,'Base stats'!E:E),Groups!A:A,Groups!AU:AU)=0,
      OR(
      BO148="True"
      )
   ),
   10,
   IF(
       OR(BM148&lt;&gt;"No",_xlfn.XLOOKUP(_xlfn.XLOOKUP(B148,'Base stats'!B:B,'Base stats'!E:E),Groups!A:A,Groups!AU:AU)=1),
      1,
      "No"
   )
)</f>
        <v>No</v>
      </c>
      <c r="BR148" s="9">
        <f>MROUND((1 + ((0.2*IF(OR(Q148="No",R148="No",R148=0),0,Q148/R148)
+IF(OR(V148="No",S148="No",T148="No"),0,S148/T148*(LEN(V148)-LEN(SUBSTITUTE(V148,",",""))+1))
+IF(OR(X148="No",Y148="No"),0,X148/Y148)
+IF(OR(AD148="No",AE148="No"),0,AD148/AE148)
+IF(OR(AL148="No",AI148="No",AJ148="No"),0,AI148/AJ148*(LEN(AL148)-LEN(SUBSTITUTE(AL148,",",""))+1))
)/(0.2*IF(OR(Q148="No",R148="No",R148=0),0,1)
+IF(OR(V148="No",S148="No",T148="No"),0,LEN(V148)-LEN(SUBSTITUTE(V148,",",""))+1)
+IF(OR(X148="No",Y148="No"),0,1)
+IF(OR(AD148="No",AE148="No"),0,1)
+IF(OR(AL148="No",AI148="No",AJ148="No"),0,LEN(AL148)-LEN(SUBSTITUTE(AL148,",",""))+1))*62%)* 2)*(1 + (AP148 / (IF(_xlfn.XLOOKUP(_xlfn.XLOOKUP(B148,'Base stats'!B:B,'Base stats'!E:E),Groups!A:A,Groups!AJ:AJ)="Photonozoa",0.3,1)) + _xlfn.XLOOKUP(B148,'Base stats'!B:B,'Base stats'!AV:AV) * 1.8) * 2) * 2.5 + 10 + I148 * 2,5)+IF(_xlfn.XLOOKUP(B148,'Base stats'!B:B,'Base stats'!AK:AK)=1,50,0)</f>
        <v>45</v>
      </c>
      <c r="BS148" s="8">
        <f t="shared" si="19"/>
        <v>0.30000000000000004</v>
      </c>
      <c r="BT148" s="8" t="str">
        <f>_xlfn.XLOOKUP(B148,'Base stats'!B:B,'Base stats'!AF:AF)</f>
        <v>2~4</v>
      </c>
      <c r="BU148" s="2" t="str">
        <f>IF(AND(J148&lt;=0.95,OR(_xlfn.XLOOKUP(B148,'Base stats'!B:B,'Base stats'!AK:AK)=1,_xlfn.XLOOKUP(B148,'Base stats'!B:B,'Base stats'!Y:Y)="Carnivore",_xlfn.XLOOKUP(B148,'Base stats'!B:B,'Base stats'!Y:Y)="Omnivore",BE148&gt;0.1)),"true","false")</f>
        <v>true</v>
      </c>
      <c r="BV148" s="2" t="str">
        <f>IF(_xlfn.XLOOKUP(B148,'Base stats'!B:B,'Base stats'!AI:AI)=1,"true","false")</f>
        <v>false</v>
      </c>
      <c r="BW148" s="25" t="str">
        <f>IF(E148="BaseInsect","AnimalInsect",
IF(J148&gt;0.95,"AnimalExotic",
_xlfn.TEXTJOIN(", ",TRUE,
IF(OR(_xlfn.XLOOKUP(B148,'Base stats'!B:B,'Base stats'!AM:AM)=1,AND(_xlfn.XLOOKUP(B148,'Base stats'!B:B,'Base stats'!O:O)=0,_xlfn.XLOOKUP(_xlfn.XLOOKUP(B148,'Base stats'!B:B,'Base stats'!E:E),Groups!A:A,Groups!B:B)&gt;0)),"AnimalUncommon","AnimalCommon"),
IF(AND(_xlfn.XLOOKUP(B148,'Base stats'!B:B,'Base stats'!O:O)=2,_xlfn.XLOOKUP(_xlfn.XLOOKUP(B148,'Base stats'!B:B,'Base stats'!E:E),Groups!A:A,Groups!D:D)=0),"AnimalPet",IF(AND(_xlfn.XLOOKUP(B148,'Base stats'!B:B,'Base stats'!O:O)&lt;&gt;0,_xlfn.XLOOKUP(_xlfn.XLOOKUP(B148,'Base stats'!B:B,'Base stats'!E:E),Groups!A:A,Groups!D:D)&lt;&gt;0),"AnimalFarm","")),
IF(OR(_xlfn.XLOOKUP(B148,'Base stats'!B:B,'Base stats'!AK:AK)=1,AND(BI148&lt;&gt;"None",BR148&gt;=60),ISNUMBER(SEARCH("Attack target",BP148))),"AnimalFighter","")
)))</f>
        <v>AnimalCommon, AnimalPet</v>
      </c>
      <c r="BX148" s="25" t="str">
        <f>IF(G148="None",TRIM(
SUBSTITUTE(
IF(COUNTIF(Biomes!B$2:B$259,"="&amp;$C148)&gt;0,Biomes!B$1&amp;", ","")&amp;
IF(COUNTIF(Biomes!C$2:C$259,"="&amp;$C148)&gt;0,Biomes!C$1&amp;", ","")&amp;
IF(COUNTIF(Biomes!D$2:D$259,"="&amp;$C148)&gt;0,Biomes!D$1&amp;", ","")&amp;
IF(COUNTIF(Biomes!F$2:F$259,"="&amp;$C148)&gt;0,Biomes!F$1&amp;", ","")&amp;
IF(COUNTIF(Biomes!G$2:G$259,"="&amp;$C148)&gt;0,Biomes!G$1&amp;", ","")&amp;
IF(COUNTIF(Biomes!H$2:H$259,"="&amp;$C148)&gt;0,Biomes!H$1&amp;", ","")&amp;
IF(COUNTIF(Biomes!I$2:I$259,"="&amp;$C148)&gt;0,Biomes!I$1&amp;", ","")&amp;
IF(COUNTIF(Biomes!J$2:J$259,"="&amp;$C148)&gt;0,Biomes!J$1&amp;", ","")&amp;
IF(COUNTIF(Biomes!M$2:M$259,"="&amp;$C148)&gt;0,Biomes!M$1&amp;", ","")&amp;
IF(COUNTIF(Biomes!N$2:N$259,"="&amp;$C148)&gt;0,Biomes!N$1&amp;", ","")&amp;
IF(COUNTIF(Biomes!O$2:O$259,"="&amp;$C148)&gt;0,Biomes!O$1&amp;", ","")&amp;
IF(COUNTIF(Biomes!P$2:P$259,"="&amp;$C148)&gt;0,Biomes!P$1&amp;", ","")&amp;
IF(COUNTIF(Biomes!K$2:K$259,"="&amp;$C148)&gt;0,Biomes!K$1&amp;", ","")&amp;
IF(COUNTIF(Biomes!Q$3:Q$259,"="&amp;$C148)&gt;0,Biomes!Q$1&amp;", ","")&amp;
IF(COUNTIF(Biomes!L$2:L$259,"="&amp;$C148)&gt;0,Biomes!L$1&amp;", ","")&amp;
IF(COUNTIF(Biomes!E$2:E$259,"="&amp;$C148)&gt;0,Biomes!E$1&amp;", ","")&amp;IF(COUNTIF(Biomes!S$2:S$259,"="&amp;$C148)&gt;0,Biomes!S$1&amp;", ","")&amp;
IF(COUNTIF(Biomes!R$2:R$259,"="&amp;$C148)&gt;0,Biomes!R$1&amp;", ",""),", ","")
),_xlfn.XLOOKUP(B148,B:B,BX:BX))</f>
        <v/>
      </c>
      <c r="BY148" s="25" t="str">
        <f>IF(_xlfn.XLOOKUP(B148,'Base stats'!B:B,'Base stats'!AJ:AJ)=1,"true","false")</f>
        <v>false</v>
      </c>
      <c r="BZ148" s="25">
        <f>IF(_xlfn.XLOOKUP(B148,'Base stats'!B:B,'Base stats'!N:N)=1,"No",MAX(0.001,MIN(MROUND(IF(AND(BJ148="True",CC148="False"),POWER(10,3.47*LOG10(_xlfn.XLOOKUP(B148,'Base stats'!B:B,'Base stats'!C:C)*1000)^-0.96),POWER(10,4.15*LOG10(_xlfn.XLOOKUP(B148,'Base stats'!B:B,'Base stats'!C:C)*1000)^-0.73))*IF(_xlfn.XLOOKUP(B148,'Base stats'!B:B,'Base stats'!AK:AK)=1,0.5,1)*IF(_xlfn.XLOOKUP(B148,'Base stats'!B:B,'Base stats'!AM:AM)=1,0.1,1)/100,IF(_xlfn.XLOOKUP(B148,'Base stats'!B:B,'Base stats'!AM:AM)=1,0.001,0.025)),0.5)))</f>
        <v>0.1</v>
      </c>
      <c r="CA148" s="25" t="str">
        <f>IF(P148="Standard","No",MAX(0.001,MIN(MROUND(IF(AND(BJ148="True",CC148="False"),POWER(10,3.47*LOG10(_xlfn.XLOOKUP(B148,'Base stats'!B:B,'Base stats'!C:C)*1000)^-0.96),POWER(10,4.15*LOG10(_xlfn.XLOOKUP(B148,'Base stats'!B:B,'Base stats'!C:C)*1000)^-0.73))*IF(_xlfn.XLOOKUP(B148,'Base stats'!B:B,'Base stats'!AM:AM)=1,0.1,1)*_xlfn.XLOOKUP(B148,'Base stats'!B:B,'Base stats'!R:R)/100,IF(_xlfn.XLOOKUP(B148,'Base stats'!B:B,'Base stats'!AM:AM)=1,0.001,0.025)),0.5)))</f>
        <v>No</v>
      </c>
      <c r="CB148" s="25" t="str">
        <f>IF(_xlfn.XLOOKUP(_xlfn.XLOOKUP(B148,'Base stats'!B:B,'Base stats'!E:E),Groups!A:A,Groups!AJ:AJ)="Mammal","True","False")</f>
        <v>True</v>
      </c>
      <c r="CC148" s="25" t="str">
        <f>IF(OR(_xlfn.XLOOKUP(_xlfn.XLOOKUP(B148,'Base stats'!B:B,'Base stats'!E:E),Groups!A:A,Groups!AJ:AJ)="Reptile",_xlfn.XLOOKUP(_xlfn.XLOOKUP(B148,'Base stats'!B:B,'Base stats'!E:E),Groups!A:A,Groups!AJ:AJ)="Amphibian",_xlfn.XLOOKUP(_xlfn.XLOOKUP(B148,'Base stats'!B:B,'Base stats'!E:E),Groups!A:A,Groups!AJ:AJ)="Invertebrate"),"True","False")</f>
        <v>False</v>
      </c>
      <c r="CD148" s="25" t="str">
        <f t="shared" si="20"/>
        <v>False</v>
      </c>
      <c r="CE148" s="25" t="str">
        <f>IF(_xlfn.XLOOKUP(_xlfn.XLOOKUP(B148,'Base stats'!B:B,'Base stats'!E:E),Groups!A:A,Groups!AX:AX),"True","False")</f>
        <v>False</v>
      </c>
      <c r="CF148" s="25" t="str">
        <f>IF(_xlfn.XLOOKUP(_xlfn.XLOOKUP(B148,'Base stats'!B:B,'Base stats'!E:E),Groups!A:A,Groups!AY:AY),"True","False")</f>
        <v>False</v>
      </c>
      <c r="CG148" s="25" t="str">
        <f>IF(_xlfn.XLOOKUP(_xlfn.XLOOKUP(B148,'Base stats'!B:B,'Base stats'!E:E),Groups!A:A,Groups!AW:AW),"True","False")</f>
        <v>False</v>
      </c>
      <c r="CH148" s="25" t="str">
        <f>IF(
OR(
_xlfn.XLOOKUP(_xlfn.XLOOKUP(B148,'Base stats'!B:B,'Base stats'!E:E),Groups!A:A,Groups!AZ:AZ)=0,
AND(
_xlfn.XLOOKUP(B148,'Base stats'!B:B,'Base stats'!Y:Y)&lt;&gt;"Carnivore",
_xlfn.XLOOKUP(B148,'Base stats'!B:B,'Base stats'!Y:Y)&lt;&gt;"Omnivore",
_xlfn.XLOOKUP(B148,'Base stats'!B:B,'Base stats'!Y:Y)&lt;&gt;"OmnivoreRough"
)
),
"No",
IF(
_xlfn.XLOOKUP(_xlfn.XLOOKUP(B148,'Base stats'!B:B,'Base stats'!E:E),Groups!A:A,Groups!AZ:AZ)=1,
"Flesh",
IF(
_xlfn.XLOOKUP(_xlfn.XLOOKUP(B148,'Base stats'!B:B,'Base stats'!E:E),Groups!A:A,Groups!AZ:AZ)=2,
"Bone",
""
)
)
)</f>
        <v>No</v>
      </c>
      <c r="CI148" s="25" t="str">
        <f>IF(_xlfn.XLOOKUP(_xlfn.XLOOKUP(B148,'Base stats'!B:B,'Base stats'!E:E),Groups!A:A,Groups!BB:BB),"True","False")</f>
        <v>True</v>
      </c>
      <c r="CJ148" s="25" t="str">
        <f>IF(_xlfn.XLOOKUP(_xlfn.XLOOKUP(B148,'Base stats'!B:B,'Base stats'!E:E),Groups!A:A,Groups!BA:BA),"True","False")</f>
        <v>False</v>
      </c>
    </row>
    <row r="149" spans="1:88" ht="16.5" thickTop="1" thickBot="1" x14ac:dyDescent="0.3">
      <c r="A149" s="26" t="str">
        <f>_xlfn.XLOOKUP(B149,'Base stats'!B:B,'Base stats'!A:A)</f>
        <v>AiredaleTerrier</v>
      </c>
      <c r="B149" s="6" t="s">
        <v>902</v>
      </c>
      <c r="C149" s="28" t="s">
        <v>830</v>
      </c>
      <c r="D149" s="28" t="s">
        <v>872</v>
      </c>
      <c r="E149" s="28" t="s">
        <v>673</v>
      </c>
      <c r="F149" s="28" t="s">
        <v>673</v>
      </c>
      <c r="G149" s="28" t="s">
        <v>673</v>
      </c>
      <c r="H149" s="2">
        <f>MROUND((
  (IF(AND(_xlfn.XLOOKUP(B149,'Base stats'!B:B,'Base stats'!AL:AL)=0,BI149="None",_xlfn.XLOOKUP(_xlfn.XLOOKUP(B149,'Base stats'!B:B,'Base stats'!E:E),Groups!A:A,Groups!B:B)=0), (18 + BR149 * 2.7) * 0.5,
    IF(AND(_xlfn.XLOOKUP(B149,'Base stats'!B:B,'Base stats'!AL:AL)=0,OR(AO149&lt;0.55,AND(BI149="Intermediate",_xlfn.XLOOKUP(_xlfn.XLOOKUP(B149,'Base stats'!B:B,'Base stats'!E:E),Groups!A:A,Groups!B:B)&lt;2))), (18 + BR149 * 2.7),
      IF(OR(BI149="Advanced",_xlfn.XLOOKUP(B149,'Base stats'!B:B,'Base stats'!AL:AL)=1,_xlfn.XLOOKUP(_xlfn.XLOOKUP(B149,'Base stats'!B:B,'Base stats'!E:E),Groups!A:A,Groups!B:B)=2), (18 + BR149 * 2.7) + 250, (18 + BR149 * 2.7))
    )
  ))
  + AO149 * 80
  + IF(COUNTIF(EggMilk!K$2:K$998, A149) &gt; 0, 125, 0)
  + IF(COUNTIF(EggMilk!P$2:P$998, A149) &gt; 0, 90, 0)
  + IF(COUNTIF(EggMilk!A$2:A$998, A149) &gt; 0, 90, 0)
)
* (0.8 + 0.4 * J149)
* 0.75,25)</f>
        <v>300</v>
      </c>
      <c r="I149" s="2">
        <f>MROUND(ROUNDDOWN(_xlfn.XLOOKUP(B149,'Base stats'!B:B,'Base stats'!L:L)/3.6/(23.3/11),1),0.5)</f>
        <v>6.5</v>
      </c>
      <c r="J149" s="2">
        <f>IF(OR(_xlfn.XLOOKUP(B149,'Base stats'!B:B,'Base stats'!AB:AB)=1,_xlfn.XLOOKUP(_xlfn.XLOOKUP(B149,'Base stats'!B:B,'Base stats'!E:E),Groups!A:A,Groups!C:C)="Untamable"),1,IF(_xlfn.XLOOKUP(B149,'Base stats'!B:B,'Base stats'!AL:AL)=1,0.99,MIN(MROUND((1-0.6282*EXP(-0.459*AO149))*_xlfn.XLOOKUP(_xlfn.XLOOKUP(B149,'Base stats'!B:B,'Base stats'!E:E),Groups!A:A,Groups!C:C)*IF(_xlfn.XLOOKUP(B149,'Base stats'!B:B,'Base stats'!O:O)=1,0.5,IF(_xlfn.XLOOKUP(B149,'Base stats'!B:B,'Base stats'!O:O)=2,0,1)),0.05),IF(AO149&gt;3.5,0.985,0.95))))</f>
        <v>0</v>
      </c>
      <c r="K149" s="2">
        <f>ROUNDUP(AO149*_xlfn.XLOOKUP(_xlfn.XLOOKUP(B149,'Base stats'!B:B,'Base stats'!E:E),Groups!A:A,Groups!E:E),0)</f>
        <v>1</v>
      </c>
      <c r="L149" s="2">
        <f>IF(OR(_xlfn.XLOOKUP(_xlfn.XLOOKUP(B149,'Base stats'!B:B,'Base stats'!E:E),Groups!A:A,Groups!F:F)=2,ISNUMBER(SEARCH("SeaIce",BX149)),ISNUMBER(SEARCH("IceSheet",BX149))),-50,IF(OR(ISNUMBER(SEARCH("GlacialPlain",BX149)),ISNUMBER(SEARCH("Tundra",BX149))),-40,IF(OR(ISNUMBER(SEARCH("Alpine",BX149)),ISNUMBER(SEARCH("BorealForest",BX149)),ISNUMBER(SEARCH("ColdBog",BX149))),-30,IF(OR(ISNUMBER(SEARCH("TemperateForest",BX149)),ISNUMBER(SEARCH("TemperateSwamp",BX149))),-20,IF(_xlfn.XLOOKUP(_xlfn.XLOOKUP(B149,'Base stats'!B:B,'Base stats'!E:E),Groups!A:A,Groups!F:F)=1,-15,IF(OR(ISNUMBER(SEARCH("Desert",BX149)),ISNUMBER(SEARCH("ExtremeDesert",BX149))),-10,IF(OR(ISNUMBER(SEARCH("Grasslands",BX149)),ISNUMBER(SEARCH("TropicalRainforest",BX149)),ISNUMBER(SEARCH("TropicalSwamp",BX149))),10,0)))))))-IF(CC149="False",MIN(IFERROR(MAX(MROUND(LOG10(_xlfn.XLOOKUP(B149,'Base stats'!B:B,'Base stats'!C:C)^(2/3))*10,5),5),5),30))-_xlfn.XLOOKUP(B149,'Base stats'!B:B,'Base stats'!P:P)+IF(CC149="True",5,0)</f>
        <v>-25</v>
      </c>
      <c r="M149" s="2">
        <f>IF(OR(_xlfn.XLOOKUP(_xlfn.XLOOKUP(B149,'Base stats'!B:B,'Base stats'!E:E),Groups!A:A,Groups!G:G)=2,ISNUMBER(SEARCH("Desert",BX149)),ISNUMBER(SEARCH("ExtremeDesert",BX149)),ISNUMBER(SEARCH("LavaField",BX149))),50,IF(ISNUMBER(SEARCH("Grasslands",BX149)),45,IF(OR(_xlfn.XLOOKUP(_xlfn.XLOOKUP(B149,'Base stats'!B:B,'Base stats'!E:E),Groups!A:A,Groups!G:G)=1,ISNUMBER(SEARCH("TropicalRainforest",BX149)),ISNUMBER(SEARCH("TropicalSwamp",BX149))),40,IF(OR(ISNUMBER(SEARCH("TemperateForest",BX149)),ISNUMBER(SEARCH("TemperateSwamp",BX149))),35,IF(OR(ISNUMBER(SEARCH("Alpine",BX149)),ISNUMBER(SEARCH("BorealForest",BX149)),ISNUMBER(SEARCH("ColdBog",BX149))),30,IF(ISNUMBER(OR(ISNUMBER(SEARCH("GlacialPlain",BX149)),SEARCH("Tundra",BX149))),25,IF(OR(ISNUMBER(SEARCH("SeaIce",BX149)),ISNUMBER(SEARCH("IceSheet",BX149)),ISNUMBER(SEARCH("TropicalSwamp",BX149))),10,35)))))))+_xlfn.XLOOKUP(B149,'Base stats'!B:B,'Base stats'!Q:Q)</f>
        <v>35</v>
      </c>
      <c r="N149" s="8" t="str">
        <f>IF(
_xlfn.XLOOKUP(
_xlfn.XLOOKUP(B149,'Base stats'!B:B,'Base stats'!E:E),
Groups!A:A,
Groups!L:L
)=1,
MIN(
MROUND(
IF(
_xlfn.XLOOKUP(B149,'Animals CE'!B:B,'Animals CE'!Z:Z)&lt;=1.5,
_xlfn.XLOOKUP(B149,'Animals CE'!B:B,'Animals CE'!Z:Z)/2+0.05,
0.8+
(_xlfn.XLOOKUP(B149,'Animals CE'!B:B,'Animals CE'!Z:Z)-1.5)
*0.02
),
0.05
),
200%
),
"No"
)</f>
        <v>No</v>
      </c>
      <c r="O149" s="8" t="str">
        <f>IF(
_xlfn.XLOOKUP(
_xlfn.XLOOKUP(B149,'Base stats'!B:B,'Base stats'!E:E),
Groups!A:A,
Groups!L:L
)=1,
MIN(
MROUND(
IF(
_xlfn.XLOOKUP(B149,'Animals CE'!B:B,'Animals CE'!AA:AA)&lt;=1.5,
_xlfn.XLOOKUP(B149,'Animals CE'!B:B,'Animals CE'!AA:AA)/2+0.05,
0.8+
(_xlfn.XLOOKUP(B149,'Animals CE'!B:B,'Animals CE'!AA:AA)-1.5)
*0.02
),
0.05
),
200%
),
"No"
)</f>
        <v>No</v>
      </c>
      <c r="P149" s="2" t="str">
        <f>_xlfn.XLOOKUP(B149,'Base stats'!B:B,'Base stats'!R:R)</f>
        <v>Standard</v>
      </c>
      <c r="Q149" s="13">
        <f>MROUND((LOG10(_xlfn.XLOOKUP(B149,'Base stats'!B:B,'Base stats'!AR:AR))*(AO149^0.5)+(_xlfn.XLOOKUP(B149,'Base stats'!B:B,'Base stats'!AR:AR)/1000)^(2/3)+_xlfn.XLOOKUP(B149,'Base stats'!B:B,'Base stats'!BA:BA)/2)+0.5,0.5)</f>
        <v>5</v>
      </c>
      <c r="R149" s="7">
        <f>IF(Q149="No","No",MAX(1,MROUND(_xlfn.XLOOKUP(B149,'Base stats'!B:B,'Base stats'!C:C)^0.165,0.05)))</f>
        <v>1.6500000000000001</v>
      </c>
      <c r="S149" s="13" t="str">
        <f>IF(_xlfn.XLOOKUP(_xlfn.XLOOKUP(B149,'Base stats'!B:B,'Base stats'!E:E),Groups!A:A,Groups!P:P)=0,"No",MROUND((LOG10(_xlfn.XLOOKUP(B149,'Base stats'!B:B,'Base stats'!AS:AS))*(AO149^0.5)+(_xlfn.XLOOKUP(B149,'Base stats'!B:B,'Base stats'!AS:AS)/1000)^(2/3)+_xlfn.XLOOKUP(B149,'Base stats'!B:B,'Base stats'!BA:BA))+_xlfn.XLOOKUP(B149,'Base stats'!B:B,'Base stats'!AY:AY)+0.5,0.5))</f>
        <v>No</v>
      </c>
      <c r="T149" s="7" t="str">
        <f>IF(S149="No","No",MAX(_xlfn.XLOOKUP(_xlfn.XLOOKUP(B149,'Base stats'!B:B,'Base stats'!E:E),Groups!A:A,Groups!Q:Q),MROUND(_xlfn.XLOOKUP(_xlfn.XLOOKUP(B149,'Base stats'!B:B,'Base stats'!E:E),Groups!A:A,Groups!Q:Q)*_xlfn.XLOOKUP(B149,'Base stats'!B:B,'Base stats'!C:C)^0.165,0.05)))</f>
        <v>No</v>
      </c>
      <c r="U149" s="7" t="str">
        <f>IF(S149="No","No",_xlfn.XLOOKUP(_xlfn.XLOOKUP(B149,'Base stats'!B:B,'Base stats'!E:E),Groups!A:A,Groups!R:R))</f>
        <v>No</v>
      </c>
      <c r="V149" s="7" t="str">
        <f>IF(S149="No","No",_xlfn.XLOOKUP(_xlfn.XLOOKUP(B149,'Base stats'!B:B,'Base stats'!E:E),Groups!A:A,Groups!S:S))</f>
        <v>No</v>
      </c>
      <c r="W149" s="7" t="str">
        <f>IF(S149="No","No",_xlfn.XLOOKUP(_xlfn.XLOOKUP(B149,'Base stats'!B:B,'Base stats'!E:E),Groups!A:A,Groups!T:T))</f>
        <v>No</v>
      </c>
      <c r="X149" s="13" t="str">
        <f>IF(_xlfn.XLOOKUP(B149,'Base stats'!B:B,'Base stats'!W:W)="No","No",MROUND((LOG10(_xlfn.XLOOKUP(B149,'Base stats'!B:B,'Base stats'!AU:AU))*(AO149^0.5)+(_xlfn.XLOOKUP(B149,'Base stats'!B:B,'Base stats'!AU:AU)/1000)^(2/3)+_xlfn.XLOOKUP(B149,'Base stats'!B:B,'Base stats'!AZ:AZ))+0.5+IF(_xlfn.XLOOKUP(_xlfn.XLOOKUP(B149,'Base stats'!B:B,'Base stats'!E:E),Groups!A:A,Groups!U:U)&lt;&gt;3,_xlfn.XLOOKUP(B149,'Base stats'!B:B,'Base stats'!BA:BA),0),0.5))</f>
        <v>No</v>
      </c>
      <c r="Y149" s="7" t="str">
        <f>IF(X149="No","No",MAX(_xlfn.XLOOKUP(_xlfn.XLOOKUP(B149,'Base stats'!B:B,'Base stats'!E:E),Groups!A:A,Groups!V:V),MROUND(_xlfn.XLOOKUP(_xlfn.XLOOKUP(B149,'Base stats'!B:B,'Base stats'!E:E),Groups!A:A,Groups!V:V)*_xlfn.XLOOKUP(B149,'Base stats'!B:B,'Base stats'!C:C)^0.165,0.05)))</f>
        <v>No</v>
      </c>
      <c r="Z149" s="7" t="str">
        <f>IF(X149="No","No",_xlfn.XLOOKUP(_xlfn.XLOOKUP(B149,'Base stats'!B:B,'Base stats'!E:E),Groups!A:A,Groups!W:W))</f>
        <v>No</v>
      </c>
      <c r="AA149" s="7" t="str">
        <f>IF(X149="No","No",_xlfn.XLOOKUP(_xlfn.XLOOKUP(B149,'Base stats'!B:B,'Base stats'!E:E),Groups!A:A,Groups!X:X))</f>
        <v>No</v>
      </c>
      <c r="AB149" s="7" t="str">
        <f>IF(X149="No","No",_xlfn.XLOOKUP(_xlfn.XLOOKUP(B149,'Base stats'!B:B,'Base stats'!E:E),Groups!A:A,Groups!Y:Y))</f>
        <v>No</v>
      </c>
      <c r="AC149" s="7" t="str">
        <f>_xlfn.XLOOKUP(Animals!B149,'Base stats'!B:B,'Base stats'!X:X)</f>
        <v>False</v>
      </c>
      <c r="AD149" s="13">
        <f>IF(_xlfn.XLOOKUP(B149,'Base stats'!B:B,'Base stats'!AT:AT)="No","No",MROUND((LOG10(_xlfn.XLOOKUP(B149,'Base stats'!B:B,'Base stats'!AT:AT))*(AO149^0.75)+(_xlfn.XLOOKUP(B149,'Base stats'!B:B,'Base stats'!AT:AT)/1000)^(2/3)+_xlfn.XLOOKUP(B149,'Base stats'!B:B,'Base stats'!AX:AX)+_xlfn.XLOOKUP(B149,'Base stats'!B:B,'Base stats'!BA:BA))+0.5,0.5))</f>
        <v>8.5</v>
      </c>
      <c r="AE149" s="7">
        <f>IF(AD149="No","No",MAX(_xlfn.XLOOKUP(_xlfn.XLOOKUP(B149,'Base stats'!B:B,'Base stats'!E:E),Groups!A:A,Groups!Z:Z),MROUND(_xlfn.XLOOKUP(_xlfn.XLOOKUP(B149,'Base stats'!B:B,'Base stats'!E:E),Groups!A:A,Groups!Z:Z)*_xlfn.XLOOKUP(B149,'Base stats'!B:B,'Base stats'!C:C)^0.165,0.05)))</f>
        <v>1.35</v>
      </c>
      <c r="AF149" s="7" t="str">
        <f>IF(AD149="No","No",_xlfn.XLOOKUP(_xlfn.XLOOKUP(B149,'Base stats'!B:B,'Base stats'!E:E),Groups!A:A,Groups!AA:AA))</f>
        <v>Teeth</v>
      </c>
      <c r="AG149" s="7" t="str">
        <f>IF(AD149="No","No",_xlfn.XLOOKUP(_xlfn.XLOOKUP(B149,'Base stats'!B:B,'Base stats'!E:E),Groups!A:A,Groups!AB:AB))</f>
        <v>canines</v>
      </c>
      <c r="AH149" s="7" t="str">
        <f>IF(AD149="No","No",_xlfn.XLOOKUP(_xlfn.XLOOKUP(B149,'Base stats'!B:B,'Base stats'!E:E),Groups!A:A,Groups!AC:AC))</f>
        <v>Bite</v>
      </c>
      <c r="AI149" s="13" t="str">
        <f>IF(_xlfn.XLOOKUP(_xlfn.XLOOKUP(B149,'Base stats'!B:B,'Base stats'!E:E),Groups!A:A,Groups!AD:AD)=0,"No",MROUND((LOG10(_xlfn.XLOOKUP(B149,'Base stats'!B:B,'Base stats'!AS:AS))*(AO149^0.75)+(_xlfn.XLOOKUP(B149,'Base stats'!B:B,'Base stats'!AS:AS)/1000)^(2/3)+_xlfn.XLOOKUP(B149,'Base stats'!B:B,'Base stats'!AY:AY)+_xlfn.XLOOKUP(B149,'Base stats'!B:B,'Base stats'!BA:BA))+0.5,0.5))</f>
        <v>No</v>
      </c>
      <c r="AJ149" s="7" t="str">
        <f>IF(AI149="No","No",MAX(_xlfn.XLOOKUP(_xlfn.XLOOKUP(B149,'Base stats'!B:B,'Base stats'!E:E),Groups!A:A,Groups!AE:AE),MROUND(_xlfn.XLOOKUP(_xlfn.XLOOKUP(B149,'Base stats'!B:B,'Base stats'!E:E),Groups!A:A,Groups!AE:AE)*IF(_xlfn.XLOOKUP(_xlfn.XLOOKUP(B149,'Base stats'!B:B,'Base stats'!E:E),Groups!A:A,Groups!AJ:AJ)="Photonozoa",0.6,1)*_xlfn.XLOOKUP(B149,'Base stats'!B:B,'Base stats'!C:C)^0.165,0.05)))</f>
        <v>No</v>
      </c>
      <c r="AK149" s="7" t="str">
        <f>IF(AI149="No","No",_xlfn.XLOOKUP(_xlfn.XLOOKUP(B149,'Base stats'!B:B,'Base stats'!E:E),Groups!A:A,Groups!AF:AF))</f>
        <v>No</v>
      </c>
      <c r="AL149" s="7" t="str">
        <f>IF(AI149="No","No",_xlfn.XLOOKUP(_xlfn.XLOOKUP(B149,'Base stats'!B:B,'Base stats'!E:E),Groups!A:A,Groups!AG:AG))</f>
        <v>No</v>
      </c>
      <c r="AM149" s="7" t="str">
        <f>IF(AI149="No","No",_xlfn.XLOOKUP(_xlfn.XLOOKUP(B149,'Base stats'!B:B,'Base stats'!E:E),Groups!A:A,Groups!AH:AH))</f>
        <v>No</v>
      </c>
      <c r="AN149" s="2">
        <f t="shared" si="14"/>
        <v>20</v>
      </c>
      <c r="AO149" s="2">
        <f>MROUND(IF(AND(_xlfn.XLOOKUP(B149,'Base stats'!B:B,'Base stats'!C:C)&gt;=0.5,_xlfn.XLOOKUP(B149,'Base stats'!B:B,'Base stats'!C:C)&lt;=0.8),
IF(_xlfn.XLOOKUP(B149,'Base stats'!B:B,'Base stats'!C:C)&lt;0.1,0.05,IF(_xlfn.XLOOKUP(B149,'Base stats'!B:B,'Base stats'!C:C)&lt;=70,(_xlfn.XLOOKUP(B149,'Base stats'!B:B,'Base stats'!C:C)/70)^0.426489913056526,IF(_xlfn.XLOOKUP(B149,'Base stats'!B:B,'Base stats'!C:C)&lt;=400,(_xlfn.XLOOKUP(B149,'Base stats'!B:B,'Base stats'!C:C)/70)^0.572811455315093,IF(_xlfn.XLOOKUP(B149,'Base stats'!B:B,'Base stats'!C:C)&lt;=2000,2.71391647193063*(_xlfn.XLOOKUP(B149,'Base stats'!B:B,'Base stats'!C:C)/400)^0.252459582904293,3.74314280240376*(_xlfn.XLOOKUP(B149,'Base stats'!B:B,'Base stats'!C:C)/2000)^0.357012633876913)))),
IF(_xlfn.XLOOKUP(B149,'Base stats'!B:B,'Base stats'!C:C)&lt;0.1,0.05,IF(_xlfn.XLOOKUP(B149,'Base stats'!B:B,'Base stats'!C:C)&lt;0.4,0.1,IF(_xlfn.XLOOKUP(B149,'Base stats'!B:B,'Base stats'!C:C)&lt;=70,(_xlfn.XLOOKUP(B149,'Base stats'!B:B,'Base stats'!C:C)/70)^0.445823913056526,IF(_xlfn.XLOOKUP(B149,'Base stats'!B:B,'Base stats'!C:C)&lt;=400,(_xlfn.XLOOKUP(B149,'Base stats'!B:B,'Base stats'!C:C)/70)^0.572811455315093,IF(_xlfn.XLOOKUP(B149,'Base stats'!B:B,'Base stats'!C:C)&lt;=2000,2.71391647193063*(_xlfn.XLOOKUP(B149,'Base stats'!B:B,'Base stats'!C:C)/400)^0.252459582904293,3.74314280240376*(_xlfn.XLOOKUP(B149,'Base stats'!B:B,'Base stats'!C:C)/2000)^0.357012633876913)))))),
IF(_xlfn.XLOOKUP(B149,'Base stats'!B:B,'Base stats'!C:C)&lt;0.1,0.05,IF(_xlfn.XLOOKUP(B149,'Base stats'!B:B,'Base stats'!C:C)&lt;=100,0.05,IF(_xlfn.XLOOKUP(B149,'Base stats'!B:B,'Base stats'!C:C)&lt;=250,0.1,IF(_xlfn.XLOOKUP(B149,'Base stats'!B:B,'Base stats'!C:C)&lt;=4000,0.25,0.5)))))</f>
        <v>0.60000000000000009</v>
      </c>
      <c r="AP149" s="8">
        <f>MROUND(AO149*_xlfn.XLOOKUP(_xlfn.XLOOKUP(B149,'Base stats'!B:B,'Base stats'!E:E),Groups!A:A,Groups!AI:AI)*_xlfn.XLOOKUP(B149,'Base stats'!B:B,'Base stats'!Z:Z),0.05)</f>
        <v>0.70000000000000007</v>
      </c>
      <c r="AQ149" s="8">
        <f>MAX(0.01,MROUND(IF(CC149="True",0.196*(AO149*100*1000)^0.889,IF(_xlfn.XLOOKUP(_xlfn.XLOOKUP(B149,'Base stats'!B:B,'Base stats'!E:E),Groups!A:A,Groups!AJ:AJ)="Bird",10.5*(AO149*100*1000)^0.681,4.82*(AO149*100*1000)^0.734))/(4.82*(1*100*1000)^0.734)/IF(AO149&lt;3.5,2,IF(AO149=3.5,1.5,1.25))*(1+0.132282374779864/(AO149^0.994035016789033+0.00905238001496948)),0.05))</f>
        <v>0.4</v>
      </c>
      <c r="AR149" s="9">
        <f>IFERROR(MROUND(_xlfn.XLOOKUP(B149,'Base stats'!B:B,'Base stats'!H:H)/IF(_xlfn.XLOOKUP(B149,'Base stats'!B:B,'Base stats'!I:I)&lt;&gt;1,(122.5/70),1.2),IF(_xlfn.XLOOKUP(B149,'Base stats'!B:B,'Base stats'!H:H)&gt;=30,5,IF(_xlfn.XLOOKUP(B149,'Base stats'!B:B,'Base stats'!H:H)&gt;=15,3,IF(_xlfn.XLOOKUP(B149,'Base stats'!B:B,'Base stats'!H:H)&gt;=10,2,1)))),"Immortal")</f>
        <v>15</v>
      </c>
      <c r="AS149" s="35">
        <f>IFERROR(IF(OR(_xlfn.XLOOKUP(B149,'Base stats'!B:B,'Base stats'!F:F)="Atypical reproduction",_xlfn.XLOOKUP(B149,'Base stats'!B:B,'Base stats'!F:F)="Lay eggs"),"Lay eggs",MIN(20,MAX(5.5,ROUND(((_xlfn.XLOOKUP(B149,'Base stats'!B:B,'Base stats'!F:F)-25)*(14.5/615) + 5.5)*2,0)/2))),"Unknown")</f>
        <v>6.5</v>
      </c>
      <c r="AT149" s="8">
        <f>IF(_xlfn.XLOOKUP(B149,'Base stats'!B:B,'Base stats'!G:G)="Atypical reproduction","No",IFERROR(MAX(IF(_xlfn.XLOOKUP(B149,'Base stats'!B:B,'Base stats'!G:G)&lt;0.5,0.2,0.3),MROUND(_xlfn.XLOOKUP(B149,'Base stats'!B:B,'Base stats'!G:G)/(365/60),0.2)),"Unknown"))</f>
        <v>0.3</v>
      </c>
      <c r="AU149" s="8">
        <f t="shared" si="15"/>
        <v>0.15000000000000002</v>
      </c>
      <c r="AV149" s="8">
        <f>IFERROR(IFERROR(MROUND(_xlfn.XLOOKUP(B149,'Base stats'!B:B,'Base stats'!J:J),0.1),"Lay eggs"),"Cannot breed")</f>
        <v>6</v>
      </c>
      <c r="AW149" s="2" t="str">
        <f t="shared" si="16"/>
        <v>true</v>
      </c>
      <c r="AX149" s="2" t="str">
        <f>IF(_xlfn.XLOOKUP(_xlfn.XLOOKUP(Animals!B149,'Base stats'!B:B,'Base stats'!E:E),Groups!A:A,Groups!AK:AK)=1,"true","false")</f>
        <v>false</v>
      </c>
      <c r="AY149" s="25" t="str">
        <f>IF(_xlfn.XLOOKUP(B149,'Base stats'!B:B,'Base stats'!Y:Y)="Liquor","Liquor, CarnivoreAnimalStrict",IF(AND(_xlfn.XLOOKUP(B149,'Base stats'!B:B,'Base stats'!Y:Y)="Carnivore",_xlfn.XLOOKUP(_xlfn.XLOOKUP(B149,'Base stats'!B:B,'Base stats'!E:E),Groups!A:A,Groups!AJ:AJ)="Photonozoa"),"CarnivoreAnimalStrict, OvivoreAnimal",IF(_xlfn.XLOOKUP(B149,'Base stats'!B:B,'Base stats'!Y:Y)="Carnivore","CarnivoreAnimal, OvivoreAnimal",IF(_xlfn.XLOOKUP(B149,'Base stats'!B:B,'Base stats'!Y:Y)="Dendrovore","VegetarianRoughAnimal, DendrovoreAnimal",IF(_xlfn.XLOOKUP(B149,'Base stats'!B:B,'Base stats'!Y:Y)="Herbivore","VegetarianRoughAnimal",IF(_xlfn.XLOOKUP(B149,'Base stats'!B:B,'Base stats'!Y:Y)="OmnivoreRough","OmnivoreRoughAnimal, OvivoreAnimal","OmnivoreAnimal, OvivoreAnimal"))))))</f>
        <v>OmnivoreAnimal, OvivoreAnimal</v>
      </c>
      <c r="AZ149" s="2" t="str">
        <f>IF(_xlfn.XLOOKUP(_xlfn.XLOOKUP(B149,'Base stats'!B:B,'Base stats'!E:E),Groups!A:A,Groups!D:D)=1,MROUND((1-J149)*5+1,2)*IF(J149&lt;=0.4,2,1),"No")</f>
        <v>No</v>
      </c>
      <c r="BA149" s="2" t="str">
        <f>IF(AND(_xlfn.XLOOKUP(B149,'Base stats'!B:B,'Base stats'!AH:AH)="&lt;li&gt;Seal&lt;/li&gt;",G149="Odyssey"),"&lt;li&gt;AEXP_Seal&lt;/li&gt;",_xlfn.XLOOKUP(B149,'Base stats'!B:B,'Base stats'!AH:AH))</f>
        <v>&lt;li&gt;YorkshireTerrier&lt;/li&gt;</v>
      </c>
      <c r="BB149" s="2" t="str">
        <f>_xlfn.XLOOKUP(B149,'Base stats'!B:B,'Base stats'!AG:AG)</f>
        <v>Leather_Dog</v>
      </c>
      <c r="BC149" s="23" t="str">
        <f>_xlfn.XLOOKUP(_xlfn.XLOOKUP(B149,'Base stats'!B:B,'Base stats'!E:E),Groups!A:A,Groups!AL:AL)</f>
        <v>QuadrupedAnimalWithPawsAndTail</v>
      </c>
      <c r="BD149" s="23">
        <f>MIN(1,MROUND(IF(AND(AO149&lt;0.5,_xlfn.XLOOKUP(B149,'Base stats'!B:B,'Base stats'!AA:AA)=0),0,IF(OR(_xlfn.XLOOKUP(Animals!B149,'Base stats'!B:B,'Base stats'!O:O)=2,_xlfn.XLOOKUP(_xlfn.XLOOKUP(B149,'Base stats'!B:B,'Base stats'!E:E),Groups!A:A,Groups!AN:AN)=0),0,_xlfn.XLOOKUP(_xlfn.XLOOKUP(B149,'Base stats'!B:B,'Base stats'!E:E),Groups!A:A,Groups!AN:AN)/IF(_xlfn.XLOOKUP(Animals!B149,'Base stats'!B:B,'Base stats'!O:O)=1,2,1)))+_xlfn.XLOOKUP(B149,'Base stats'!B:B,'Base stats'!AC:AC),0.005))</f>
        <v>0</v>
      </c>
      <c r="BE149" s="23">
        <f>MIN(1,MROUND(IF(AND(AO149&lt;0.5,_xlfn.XLOOKUP(B149,'Base stats'!B:B,'Base stats'!AA:AA)=0),0,IF(_xlfn.XLOOKUP(_xlfn.XLOOKUP(B149,'Base stats'!B:B,'Base stats'!E:E),Groups!A:A,Groups!AO:AO)=0,0,_xlfn.XLOOKUP(_xlfn.XLOOKUP(B149,'Base stats'!B:B,'Base stats'!E:E),Groups!A:A,Groups!AO:AO)/IF(_xlfn.XLOOKUP(Animals!B149,'Base stats'!B:B,'Base stats'!O:O)=2,3,1)))+_xlfn.XLOOKUP(B149,'Base stats'!B:B,'Base stats'!AD:AD),0.005))</f>
        <v>0.1</v>
      </c>
      <c r="BF149" s="2">
        <f>IF(J149&gt;0.3,"No",_xlfn.XLOOKUP(_xlfn.XLOOKUP(Animals!B149,'Base stats'!B:B,'Base stats'!E:E),Groups!A:A,Groups!AP:AP))</f>
        <v>1</v>
      </c>
      <c r="BG149" s="2">
        <f>IF(AND(J149&lt;=0.65,_xlfn.XLOOKUP(_xlfn.XLOOKUP(Animals!B149,'Base stats'!B:B,'Base stats'!E:E),Groups!A:A,Groups!AP:AP)&lt;&gt;"No",_xlfn.XLOOKUP(_xlfn.XLOOKUP(B149,'Base stats'!B:B,'Base stats'!E:E),Groups!A:A,Groups!D:D)=0),MROUND((80/3)*IF(_xlfn.XLOOKUP(B149,'Base stats'!B:B,'Base stats'!O:O)=2,0.2,AO149) + 24*(1-IF(BF149="No",0,BF149)) + 16/3, 12),"No")</f>
        <v>12</v>
      </c>
      <c r="BH149" s="2">
        <f>IF(AND(_xlfn.XLOOKUP(_xlfn.XLOOKUP(B149,'Base stats'!B:B,'Base stats'!E:E),Groups!A:A,Groups!AQ:AQ)=1,AO149&lt;=0.35),8,12)</f>
        <v>12</v>
      </c>
      <c r="BI149" s="2" t="str">
        <f>IF(_xlfn.XLOOKUP(_xlfn.XLOOKUP(B149,'Base stats'!B:B,'Base stats'!E:E),Groups!A:A,Groups!D:D)=0,_xlfn.XLOOKUP(_xlfn.XLOOKUP(B149,'Base stats'!B:B,'Base stats'!E:E),Groups!A:A,Groups!AR:AR),"None")</f>
        <v>Advanced</v>
      </c>
      <c r="BJ149" s="2" t="str">
        <f>IF(AND(_xlfn.XLOOKUP(_xlfn.XLOOKUP(B149,'Base stats'!B:B,'Base stats'!E:E),Groups!A:A,Groups!AS:AS)=1,OR(_xlfn.XLOOKUP(B149,'Base stats'!B:B,'Base stats'!Y:Y)="Carnivore",_xlfn.XLOOKUP(B149,'Base stats'!B:B,'Base stats'!Y:Y)="Omnivore")),"true","false")</f>
        <v>true</v>
      </c>
      <c r="BK149" s="2">
        <f>IF(BJ149="true",MROUND(IF(AND(AO149&gt;0.5,OR(_xlfn.XLOOKUP(_xlfn.XLOOKUP(B149,'Base stats'!B:B,'Base stats'!E:E),Groups!A:A,Groups!AJ:AJ)="Photonozoa",_xlfn.XLOOKUP(_xlfn.XLOOKUP(B149,'Base stats'!B:B,'Base stats'!E:E),Groups!A:A,Groups!AJ:AJ)="Mammal")),Animals!AO149*1.75*IF(AW149="true",1.5,1),IF(AO149&lt;0.5,Animals!AO149*0.5,Animals!AO149)),IF(AO149&gt;2,0.5,IF(AO149&gt;0.5,0.25,0.1))),"No")</f>
        <v>1.5</v>
      </c>
      <c r="BL149" s="2">
        <f t="shared" si="17"/>
        <v>1</v>
      </c>
      <c r="BM149" s="25" t="str">
        <f>IF(_xlfn.XLOOKUP(B149,'Base stats'!B:B,'Base stats'!AN:AN)="Standard","No",MROUND((_xlfn.XLOOKUP(B149,'Base stats'!B:B,'Base stats'!AN:AN)/3.6)/I149,0.1))</f>
        <v>No</v>
      </c>
      <c r="BN149" s="25" t="str">
        <f t="shared" si="18"/>
        <v>false</v>
      </c>
      <c r="BO149" s="25" t="str">
        <f>IF(AND(OR(_xlfn.XLOOKUP(B149,'Base stats'!B:B,'Base stats'!Y:Y)="Carnivore",_xlfn.XLOOKUP(B149,'Base stats'!B:B,'Base stats'!Y:Y)="Omnivore",_xlfn.XLOOKUP(B149,'Base stats'!B:B,'Base stats'!Y:Y)="OmnivoreRough"),_xlfn.XLOOKUP(_xlfn.XLOOKUP(B149,'Base stats'!B:B,'Base stats'!E:E),Groups!A:A,Groups!AT:AT)=1),"true","false")</f>
        <v>false</v>
      </c>
      <c r="BP149" s="25" t="str" cm="1">
        <f t="array" ref="BP149">IF(
  _xlfn.TEXTJOIN(", ",TRUE,
    IF(AND(BJ149="true",AO149&gt;0.5,BI149&lt;&gt;"None"),"AttackTarget",""),
    IF(AND(_xlfn.XLOOKUP(_xlfn.XLOOKUP(B149,'Base stats'!B:B,'Base stats'!E:E),Groups!A:A,Groups!AJ:AJ="Mammal"),OR(_xlfn.XLOOKUP(B149,'Base stats'!B:B,'Base stats'!Y:Y)="Omnivore",_xlfn.XLOOKUP(B149,'Base stats'!B:B,'Base stats'!Y:Y)="OmnivoreRough")),"Forage",""),
    IF(BG149&lt;=36,"Comfort",""),
    IF(_xlfn.XLOOKUP(B149,'Base stats'!B:B,'Base stats'!AE:AE)&lt;&gt;"No",_xlfn.XLOOKUP(B149,'Base stats'!B:B,'Base stats'!AE:AE),"")
  ) = "",
  "No",
  _xlfn.TEXTJOIN(", ",TRUE,
    IF(AND(BJ149="true",AO149&gt;0.5,BI149&lt;&gt;"None"),"AttackTarget",""),
    IF(AND(_xlfn.XLOOKUP(_xlfn.XLOOKUP(B149,'Base stats'!B:B,'Base stats'!E:E),Groups!A:A,Groups!AJ:AJ="Mammal"),OR(_xlfn.XLOOKUP(B149,'Base stats'!B:B,'Base stats'!Y:Y)="Omnivore",_xlfn.XLOOKUP(B149,'Base stats'!B:B,'Base stats'!Y:Y)="OmnivoreRough")),"Forage",""),
    IF(BG149&lt;=36,"Comfort",""),
    IF(_xlfn.XLOOKUP(B149,'Base stats'!B:B,'Base stats'!AE:AE)&lt;&gt;"No",_xlfn.XLOOKUP(B149,'Base stats'!B:B,'Base stats'!AE:AE),"")
  )
)</f>
        <v>AttackTarget, Forage, Comfort</v>
      </c>
      <c r="BQ149" s="25" t="str">
        <f>IF(
   AND(
      'Base stats'!AN149="Standard",_xlfn.XLOOKUP(_xlfn.XLOOKUP(B149,'Base stats'!B:B,'Base stats'!E:E),Groups!A:A,Groups!AU:AU)=0,
      OR(
      BO149="True"
      )
   ),
   10,
   IF(
       OR(BM149&lt;&gt;"No",_xlfn.XLOOKUP(_xlfn.XLOOKUP(B149,'Base stats'!B:B,'Base stats'!E:E),Groups!A:A,Groups!AU:AU)=1),
      1,
      "No"
   )
)</f>
        <v>No</v>
      </c>
      <c r="BR149" s="9">
        <f>MROUND((1 + ((0.2*IF(OR(Q149="No",R149="No",R149=0),0,Q149/R149)
+IF(OR(V149="No",S149="No",T149="No"),0,S149/T149*(LEN(V149)-LEN(SUBSTITUTE(V149,",",""))+1))
+IF(OR(X149="No",Y149="No"),0,X149/Y149)
+IF(OR(AD149="No",AE149="No"),0,AD149/AE149)
+IF(OR(AL149="No",AI149="No",AJ149="No"),0,AI149/AJ149*(LEN(AL149)-LEN(SUBSTITUTE(AL149,",",""))+1))
)/(0.2*IF(OR(Q149="No",R149="No",R149=0),0,1)
+IF(OR(V149="No",S149="No",T149="No"),0,LEN(V149)-LEN(SUBSTITUTE(V149,",",""))+1)
+IF(OR(X149="No",Y149="No"),0,1)
+IF(OR(AD149="No",AE149="No"),0,1)
+IF(OR(AL149="No",AI149="No",AJ149="No"),0,LEN(AL149)-LEN(SUBSTITUTE(AL149,",",""))+1))*62%)* 2)*(1 + (AP149 / (IF(_xlfn.XLOOKUP(_xlfn.XLOOKUP(B149,'Base stats'!B:B,'Base stats'!E:E),Groups!A:A,Groups!AJ:AJ)="Photonozoa",0.3,1)) + _xlfn.XLOOKUP(B149,'Base stats'!B:B,'Base stats'!AV:AV) * 1.8) * 2) * 2.5 + 10 + I149 * 2,5)+IF(_xlfn.XLOOKUP(B149,'Base stats'!B:B,'Base stats'!AK:AK)=1,50,0)</f>
        <v>70</v>
      </c>
      <c r="BS149" s="8">
        <f t="shared" si="19"/>
        <v>0.45</v>
      </c>
      <c r="BT149" s="8" t="str">
        <f>_xlfn.XLOOKUP(B149,'Base stats'!B:B,'Base stats'!AF:AF)</f>
        <v>2~4</v>
      </c>
      <c r="BU149" s="2" t="str">
        <f>IF(AND(J149&lt;=0.95,OR(_xlfn.XLOOKUP(B149,'Base stats'!B:B,'Base stats'!AK:AK)=1,_xlfn.XLOOKUP(B149,'Base stats'!B:B,'Base stats'!Y:Y)="Carnivore",_xlfn.XLOOKUP(B149,'Base stats'!B:B,'Base stats'!Y:Y)="Omnivore",BE149&gt;0.1)),"true","false")</f>
        <v>true</v>
      </c>
      <c r="BV149" s="2" t="str">
        <f>IF(_xlfn.XLOOKUP(B149,'Base stats'!B:B,'Base stats'!AI:AI)=1,"true","false")</f>
        <v>false</v>
      </c>
      <c r="BW149" s="25" t="str">
        <f>IF(E149="BaseInsect","AnimalInsect",
IF(J149&gt;0.95,"AnimalExotic",
_xlfn.TEXTJOIN(", ",TRUE,
IF(OR(_xlfn.XLOOKUP(B149,'Base stats'!B:B,'Base stats'!AM:AM)=1,AND(_xlfn.XLOOKUP(B149,'Base stats'!B:B,'Base stats'!O:O)=0,_xlfn.XLOOKUP(_xlfn.XLOOKUP(B149,'Base stats'!B:B,'Base stats'!E:E),Groups!A:A,Groups!B:B)&gt;0)),"AnimalUncommon","AnimalCommon"),
IF(AND(_xlfn.XLOOKUP(B149,'Base stats'!B:B,'Base stats'!O:O)=2,_xlfn.XLOOKUP(_xlfn.XLOOKUP(B149,'Base stats'!B:B,'Base stats'!E:E),Groups!A:A,Groups!D:D)=0),"AnimalPet",IF(AND(_xlfn.XLOOKUP(B149,'Base stats'!B:B,'Base stats'!O:O)&lt;&gt;0,_xlfn.XLOOKUP(_xlfn.XLOOKUP(B149,'Base stats'!B:B,'Base stats'!E:E),Groups!A:A,Groups!D:D)&lt;&gt;0),"AnimalFarm","")),
IF(OR(_xlfn.XLOOKUP(B149,'Base stats'!B:B,'Base stats'!AK:AK)=1,AND(BI149&lt;&gt;"None",BR149&gt;=60),ISNUMBER(SEARCH("Attack target",BP149))),"AnimalFighter","")
)))</f>
        <v>AnimalCommon, AnimalPet, AnimalFighter</v>
      </c>
      <c r="BX149" s="25" t="str">
        <f>IF(G149="None",TRIM(
SUBSTITUTE(
IF(COUNTIF(Biomes!B$2:B$259,"="&amp;$C149)&gt;0,Biomes!B$1&amp;", ","")&amp;
IF(COUNTIF(Biomes!C$2:C$259,"="&amp;$C149)&gt;0,Biomes!C$1&amp;", ","")&amp;
IF(COUNTIF(Biomes!D$2:D$259,"="&amp;$C149)&gt;0,Biomes!D$1&amp;", ","")&amp;
IF(COUNTIF(Biomes!F$2:F$259,"="&amp;$C149)&gt;0,Biomes!F$1&amp;", ","")&amp;
IF(COUNTIF(Biomes!G$2:G$259,"="&amp;$C149)&gt;0,Biomes!G$1&amp;", ","")&amp;
IF(COUNTIF(Biomes!H$2:H$259,"="&amp;$C149)&gt;0,Biomes!H$1&amp;", ","")&amp;
IF(COUNTIF(Biomes!I$2:I$259,"="&amp;$C149)&gt;0,Biomes!I$1&amp;", ","")&amp;
IF(COUNTIF(Biomes!J$2:J$259,"="&amp;$C149)&gt;0,Biomes!J$1&amp;", ","")&amp;
IF(COUNTIF(Biomes!M$2:M$259,"="&amp;$C149)&gt;0,Biomes!M$1&amp;", ","")&amp;
IF(COUNTIF(Biomes!N$2:N$259,"="&amp;$C149)&gt;0,Biomes!N$1&amp;", ","")&amp;
IF(COUNTIF(Biomes!O$2:O$259,"="&amp;$C149)&gt;0,Biomes!O$1&amp;", ","")&amp;
IF(COUNTIF(Biomes!P$2:P$259,"="&amp;$C149)&gt;0,Biomes!P$1&amp;", ","")&amp;
IF(COUNTIF(Biomes!K$2:K$259,"="&amp;$C149)&gt;0,Biomes!K$1&amp;", ","")&amp;
IF(COUNTIF(Biomes!Q$3:Q$259,"="&amp;$C149)&gt;0,Biomes!Q$1&amp;", ","")&amp;
IF(COUNTIF(Biomes!L$2:L$259,"="&amp;$C149)&gt;0,Biomes!L$1&amp;", ","")&amp;
IF(COUNTIF(Biomes!E$2:E$259,"="&amp;$C149)&gt;0,Biomes!E$1&amp;", ","")&amp;IF(COUNTIF(Biomes!S$2:S$259,"="&amp;$C149)&gt;0,Biomes!S$1&amp;", ","")&amp;
IF(COUNTIF(Biomes!R$2:R$259,"="&amp;$C149)&gt;0,Biomes!R$1&amp;", ",""),", ","")
),_xlfn.XLOOKUP(B149,B:B,BX:BX))</f>
        <v/>
      </c>
      <c r="BY149" s="25" t="str">
        <f>IF(_xlfn.XLOOKUP(B149,'Base stats'!B:B,'Base stats'!AJ:AJ)=1,"true","false")</f>
        <v>false</v>
      </c>
      <c r="BZ149" s="25">
        <f>IF(_xlfn.XLOOKUP(B149,'Base stats'!B:B,'Base stats'!N:N)=1,"No",MAX(0.001,MIN(MROUND(IF(AND(BJ149="True",CC149="False"),POWER(10,3.47*LOG10(_xlfn.XLOOKUP(B149,'Base stats'!B:B,'Base stats'!C:C)*1000)^-0.96),POWER(10,4.15*LOG10(_xlfn.XLOOKUP(B149,'Base stats'!B:B,'Base stats'!C:C)*1000)^-0.73))*IF(_xlfn.XLOOKUP(B149,'Base stats'!B:B,'Base stats'!AK:AK)=1,0.5,1)*IF(_xlfn.XLOOKUP(B149,'Base stats'!B:B,'Base stats'!AM:AM)=1,0.1,1)/100,IF(_xlfn.XLOOKUP(B149,'Base stats'!B:B,'Base stats'!AM:AM)=1,0.001,0.025)),0.5)))</f>
        <v>7.5000000000000011E-2</v>
      </c>
      <c r="CA149" s="25" t="str">
        <f>IF(P149="Standard","No",MAX(0.001,MIN(MROUND(IF(AND(BJ149="True",CC149="False"),POWER(10,3.47*LOG10(_xlfn.XLOOKUP(B149,'Base stats'!B:B,'Base stats'!C:C)*1000)^-0.96),POWER(10,4.15*LOG10(_xlfn.XLOOKUP(B149,'Base stats'!B:B,'Base stats'!C:C)*1000)^-0.73))*IF(_xlfn.XLOOKUP(B149,'Base stats'!B:B,'Base stats'!AM:AM)=1,0.1,1)*_xlfn.XLOOKUP(B149,'Base stats'!B:B,'Base stats'!R:R)/100,IF(_xlfn.XLOOKUP(B149,'Base stats'!B:B,'Base stats'!AM:AM)=1,0.001,0.025)),0.5)))</f>
        <v>No</v>
      </c>
      <c r="CB149" s="25" t="str">
        <f>IF(_xlfn.XLOOKUP(_xlfn.XLOOKUP(B149,'Base stats'!B:B,'Base stats'!E:E),Groups!A:A,Groups!AJ:AJ)="Mammal","True","False")</f>
        <v>True</v>
      </c>
      <c r="CC149" s="25" t="str">
        <f>IF(OR(_xlfn.XLOOKUP(_xlfn.XLOOKUP(B149,'Base stats'!B:B,'Base stats'!E:E),Groups!A:A,Groups!AJ:AJ)="Reptile",_xlfn.XLOOKUP(_xlfn.XLOOKUP(B149,'Base stats'!B:B,'Base stats'!E:E),Groups!A:A,Groups!AJ:AJ)="Amphibian",_xlfn.XLOOKUP(_xlfn.XLOOKUP(B149,'Base stats'!B:B,'Base stats'!E:E),Groups!A:A,Groups!AJ:AJ)="Invertebrate"),"True","False")</f>
        <v>False</v>
      </c>
      <c r="CD149" s="25" t="str">
        <f t="shared" si="20"/>
        <v>False</v>
      </c>
      <c r="CE149" s="25" t="str">
        <f>IF(_xlfn.XLOOKUP(_xlfn.XLOOKUP(B149,'Base stats'!B:B,'Base stats'!E:E),Groups!A:A,Groups!AX:AX),"True","False")</f>
        <v>False</v>
      </c>
      <c r="CF149" s="25" t="str">
        <f>IF(_xlfn.XLOOKUP(_xlfn.XLOOKUP(B149,'Base stats'!B:B,'Base stats'!E:E),Groups!A:A,Groups!AY:AY),"True","False")</f>
        <v>False</v>
      </c>
      <c r="CG149" s="25" t="str">
        <f>IF(_xlfn.XLOOKUP(_xlfn.XLOOKUP(B149,'Base stats'!B:B,'Base stats'!E:E),Groups!A:A,Groups!AW:AW),"True","False")</f>
        <v>False</v>
      </c>
      <c r="CH149" s="25" t="str">
        <f>IF(
OR(
_xlfn.XLOOKUP(_xlfn.XLOOKUP(B149,'Base stats'!B:B,'Base stats'!E:E),Groups!A:A,Groups!AZ:AZ)=0,
AND(
_xlfn.XLOOKUP(B149,'Base stats'!B:B,'Base stats'!Y:Y)&lt;&gt;"Carnivore",
_xlfn.XLOOKUP(B149,'Base stats'!B:B,'Base stats'!Y:Y)&lt;&gt;"Omnivore",
_xlfn.XLOOKUP(B149,'Base stats'!B:B,'Base stats'!Y:Y)&lt;&gt;"OmnivoreRough"
)
),
"No",
IF(
_xlfn.XLOOKUP(_xlfn.XLOOKUP(B149,'Base stats'!B:B,'Base stats'!E:E),Groups!A:A,Groups!AZ:AZ)=1,
"Flesh",
IF(
_xlfn.XLOOKUP(_xlfn.XLOOKUP(B149,'Base stats'!B:B,'Base stats'!E:E),Groups!A:A,Groups!AZ:AZ)=2,
"Bone",
""
)
)
)</f>
        <v>No</v>
      </c>
      <c r="CI149" s="25" t="str">
        <f>IF(_xlfn.XLOOKUP(_xlfn.XLOOKUP(B149,'Base stats'!B:B,'Base stats'!E:E),Groups!A:A,Groups!BB:BB),"True","False")</f>
        <v>True</v>
      </c>
      <c r="CJ149" s="25" t="str">
        <f>IF(_xlfn.XLOOKUP(_xlfn.XLOOKUP(B149,'Base stats'!B:B,'Base stats'!E:E),Groups!A:A,Groups!BA:BA),"True","False")</f>
        <v>False</v>
      </c>
    </row>
    <row r="150" spans="1:88" s="16" customFormat="1" ht="16.5" thickTop="1" thickBot="1" x14ac:dyDescent="0.3">
      <c r="A150" s="26" t="str">
        <f>_xlfn.XLOOKUP(B150,'Base stats'!B:B,'Base stats'!A:A)</f>
        <v>Abyssinian cat</v>
      </c>
      <c r="B150" s="6" t="s">
        <v>903</v>
      </c>
      <c r="C150" s="28" t="s">
        <v>831</v>
      </c>
      <c r="D150" s="28" t="s">
        <v>872</v>
      </c>
      <c r="E150" s="28" t="s">
        <v>673</v>
      </c>
      <c r="F150" s="28" t="s">
        <v>673</v>
      </c>
      <c r="G150" s="28" t="s">
        <v>673</v>
      </c>
      <c r="H150" s="2">
        <f>MROUND((
  (IF(AND(_xlfn.XLOOKUP(B150,'Base stats'!B:B,'Base stats'!AL:AL)=0,BI150="None",_xlfn.XLOOKUP(_xlfn.XLOOKUP(B150,'Base stats'!B:B,'Base stats'!E:E),Groups!A:A,Groups!B:B)=0), (18 + BR150 * 2.7) * 0.5,
    IF(AND(_xlfn.XLOOKUP(B150,'Base stats'!B:B,'Base stats'!AL:AL)=0,OR(AO150&lt;0.55,AND(BI150="Intermediate",_xlfn.XLOOKUP(_xlfn.XLOOKUP(B150,'Base stats'!B:B,'Base stats'!E:E),Groups!A:A,Groups!B:B)&lt;2))), (18 + BR150 * 2.7),
      IF(OR(BI150="Advanced",_xlfn.XLOOKUP(B150,'Base stats'!B:B,'Base stats'!AL:AL)=1,_xlfn.XLOOKUP(_xlfn.XLOOKUP(B150,'Base stats'!B:B,'Base stats'!E:E),Groups!A:A,Groups!B:B)=2), (18 + BR150 * 2.7) + 250, (18 + BR150 * 2.7))
    )
  ))
  + AO150 * 80
  + IF(COUNTIF(EggMilk!K$2:K$998, A150) &gt; 0, 125, 0)
  + IF(COUNTIF(EggMilk!P$2:P$998, A150) &gt; 0, 90, 0)
  + IF(COUNTIF(EggMilk!A$2:A$998, A150) &gt; 0, 90, 0)
)
* (0.8 + 0.4 * J150)
* 0.75,25)</f>
        <v>100</v>
      </c>
      <c r="I150" s="2">
        <f>MROUND(ROUNDDOWN(_xlfn.XLOOKUP(B150,'Base stats'!B:B,'Base stats'!L:L)/3.6/(23.3/11),1),0.5)</f>
        <v>5.5</v>
      </c>
      <c r="J150" s="2">
        <f>IF(OR(_xlfn.XLOOKUP(B150,'Base stats'!B:B,'Base stats'!AB:AB)=1,_xlfn.XLOOKUP(_xlfn.XLOOKUP(B150,'Base stats'!B:B,'Base stats'!E:E),Groups!A:A,Groups!C:C)="Untamable"),1,IF(_xlfn.XLOOKUP(B150,'Base stats'!B:B,'Base stats'!AL:AL)=1,0.99,MIN(MROUND((1-0.6282*EXP(-0.459*AO150))*_xlfn.XLOOKUP(_xlfn.XLOOKUP(B150,'Base stats'!B:B,'Base stats'!E:E),Groups!A:A,Groups!C:C)*IF(_xlfn.XLOOKUP(B150,'Base stats'!B:B,'Base stats'!O:O)=1,0.5,IF(_xlfn.XLOOKUP(B150,'Base stats'!B:B,'Base stats'!O:O)=2,0,1)),0.05),IF(AO150&gt;3.5,0.985,0.95))))</f>
        <v>0</v>
      </c>
      <c r="K150" s="2">
        <f>ROUNDUP(AO150*_xlfn.XLOOKUP(_xlfn.XLOOKUP(B150,'Base stats'!B:B,'Base stats'!E:E),Groups!A:A,Groups!E:E),0)</f>
        <v>1</v>
      </c>
      <c r="L150" s="2">
        <f>IF(OR(_xlfn.XLOOKUP(_xlfn.XLOOKUP(B150,'Base stats'!B:B,'Base stats'!E:E),Groups!A:A,Groups!F:F)=2,ISNUMBER(SEARCH("SeaIce",BX150)),ISNUMBER(SEARCH("IceSheet",BX150))),-50,IF(OR(ISNUMBER(SEARCH("GlacialPlain",BX150)),ISNUMBER(SEARCH("Tundra",BX150))),-40,IF(OR(ISNUMBER(SEARCH("Alpine",BX150)),ISNUMBER(SEARCH("BorealForest",BX150)),ISNUMBER(SEARCH("ColdBog",BX150))),-30,IF(OR(ISNUMBER(SEARCH("TemperateForest",BX150)),ISNUMBER(SEARCH("TemperateSwamp",BX150))),-20,IF(_xlfn.XLOOKUP(_xlfn.XLOOKUP(B150,'Base stats'!B:B,'Base stats'!E:E),Groups!A:A,Groups!F:F)=1,-15,IF(OR(ISNUMBER(SEARCH("Desert",BX150)),ISNUMBER(SEARCH("ExtremeDesert",BX150))),-10,IF(OR(ISNUMBER(SEARCH("Grasslands",BX150)),ISNUMBER(SEARCH("TropicalRainforest",BX150)),ISNUMBER(SEARCH("TropicalSwamp",BX150))),10,0)))))))-IF(CC150="False",MIN(IFERROR(MAX(MROUND(LOG10(_xlfn.XLOOKUP(B150,'Base stats'!B:B,'Base stats'!C:C)^(2/3))*10,5),5),5),30))-_xlfn.XLOOKUP(B150,'Base stats'!B:B,'Base stats'!P:P)+IF(CC150="True",5,0)</f>
        <v>-15</v>
      </c>
      <c r="M150" s="2">
        <f>IF(OR(_xlfn.XLOOKUP(_xlfn.XLOOKUP(B150,'Base stats'!B:B,'Base stats'!E:E),Groups!A:A,Groups!G:G)=2,ISNUMBER(SEARCH("Desert",BX150)),ISNUMBER(SEARCH("ExtremeDesert",BX150)),ISNUMBER(SEARCH("LavaField",BX150))),50,IF(ISNUMBER(SEARCH("Grasslands",BX150)),45,IF(OR(_xlfn.XLOOKUP(_xlfn.XLOOKUP(B150,'Base stats'!B:B,'Base stats'!E:E),Groups!A:A,Groups!G:G)=1,ISNUMBER(SEARCH("TropicalRainforest",BX150)),ISNUMBER(SEARCH("TropicalSwamp",BX150))),40,IF(OR(ISNUMBER(SEARCH("TemperateForest",BX150)),ISNUMBER(SEARCH("TemperateSwamp",BX150))),35,IF(OR(ISNUMBER(SEARCH("Alpine",BX150)),ISNUMBER(SEARCH("BorealForest",BX150)),ISNUMBER(SEARCH("ColdBog",BX150))),30,IF(ISNUMBER(OR(ISNUMBER(SEARCH("GlacialPlain",BX150)),SEARCH("Tundra",BX150))),25,IF(OR(ISNUMBER(SEARCH("SeaIce",BX150)),ISNUMBER(SEARCH("IceSheet",BX150)),ISNUMBER(SEARCH("TropicalSwamp",BX150))),10,35)))))))+_xlfn.XLOOKUP(B150,'Base stats'!B:B,'Base stats'!Q:Q)</f>
        <v>40</v>
      </c>
      <c r="N150" s="8" t="str">
        <f>IF(
_xlfn.XLOOKUP(
_xlfn.XLOOKUP(B150,'Base stats'!B:B,'Base stats'!E:E),
Groups!A:A,
Groups!L:L
)=1,
MIN(
MROUND(
IF(
_xlfn.XLOOKUP(B150,'Animals CE'!B:B,'Animals CE'!Z:Z)&lt;=1.5,
_xlfn.XLOOKUP(B150,'Animals CE'!B:B,'Animals CE'!Z:Z)/2+0.05,
0.8+
(_xlfn.XLOOKUP(B150,'Animals CE'!B:B,'Animals CE'!Z:Z)-1.5)
*0.02
),
0.05
),
200%
),
"No"
)</f>
        <v>No</v>
      </c>
      <c r="O150" s="8" t="str">
        <f>IF(
_xlfn.XLOOKUP(
_xlfn.XLOOKUP(B150,'Base stats'!B:B,'Base stats'!E:E),
Groups!A:A,
Groups!L:L
)=1,
MIN(
MROUND(
IF(
_xlfn.XLOOKUP(B150,'Animals CE'!B:B,'Animals CE'!AA:AA)&lt;=1.5,
_xlfn.XLOOKUP(B150,'Animals CE'!B:B,'Animals CE'!AA:AA)/2+0.05,
0.8+
(_xlfn.XLOOKUP(B150,'Animals CE'!B:B,'Animals CE'!AA:AA)-1.5)
*0.02
),
0.05
),
200%
),
"No"
)</f>
        <v>No</v>
      </c>
      <c r="P150" s="2" t="str">
        <f>_xlfn.XLOOKUP(B150,'Base stats'!B:B,'Base stats'!R:R)</f>
        <v>Standard</v>
      </c>
      <c r="Q150" s="13">
        <f>MROUND((LOG10(_xlfn.XLOOKUP(B150,'Base stats'!B:B,'Base stats'!AR:AR))*(AO150^0.5)+(_xlfn.XLOOKUP(B150,'Base stats'!B:B,'Base stats'!AR:AR)/1000)^(2/3)+_xlfn.XLOOKUP(B150,'Base stats'!B:B,'Base stats'!BA:BA)/2)+0.5,0.5)</f>
        <v>2.5</v>
      </c>
      <c r="R150" s="7">
        <f>IF(Q150="No","No",MAX(1,MROUND(_xlfn.XLOOKUP(B150,'Base stats'!B:B,'Base stats'!C:C)^0.165,0.05)))</f>
        <v>1.3</v>
      </c>
      <c r="S150" s="13" t="str">
        <f>IF(_xlfn.XLOOKUP(_xlfn.XLOOKUP(B150,'Base stats'!B:B,'Base stats'!E:E),Groups!A:A,Groups!P:P)=0,"No",MROUND((LOG10(_xlfn.XLOOKUP(B150,'Base stats'!B:B,'Base stats'!AS:AS))*(AO150^0.5)+(_xlfn.XLOOKUP(B150,'Base stats'!B:B,'Base stats'!AS:AS)/1000)^(2/3)+_xlfn.XLOOKUP(B150,'Base stats'!B:B,'Base stats'!BA:BA))+_xlfn.XLOOKUP(B150,'Base stats'!B:B,'Base stats'!AY:AY)+0.5,0.5))</f>
        <v>No</v>
      </c>
      <c r="T150" s="7" t="str">
        <f>IF(S150="No","No",MAX(_xlfn.XLOOKUP(_xlfn.XLOOKUP(B150,'Base stats'!B:B,'Base stats'!E:E),Groups!A:A,Groups!Q:Q),MROUND(_xlfn.XLOOKUP(_xlfn.XLOOKUP(B150,'Base stats'!B:B,'Base stats'!E:E),Groups!A:A,Groups!Q:Q)*_xlfn.XLOOKUP(B150,'Base stats'!B:B,'Base stats'!C:C)^0.165,0.05)))</f>
        <v>No</v>
      </c>
      <c r="U150" s="7" t="str">
        <f>IF(S150="No","No",_xlfn.XLOOKUP(_xlfn.XLOOKUP(B150,'Base stats'!B:B,'Base stats'!E:E),Groups!A:A,Groups!R:R))</f>
        <v>No</v>
      </c>
      <c r="V150" s="7" t="str">
        <f>IF(S150="No","No",_xlfn.XLOOKUP(_xlfn.XLOOKUP(B150,'Base stats'!B:B,'Base stats'!E:E),Groups!A:A,Groups!S:S))</f>
        <v>No</v>
      </c>
      <c r="W150" s="7" t="str">
        <f>IF(S150="No","No",_xlfn.XLOOKUP(_xlfn.XLOOKUP(B150,'Base stats'!B:B,'Base stats'!E:E),Groups!A:A,Groups!T:T))</f>
        <v>No</v>
      </c>
      <c r="X150" s="13" t="str">
        <f>IF(_xlfn.XLOOKUP(B150,'Base stats'!B:B,'Base stats'!W:W)="No","No",MROUND((LOG10(_xlfn.XLOOKUP(B150,'Base stats'!B:B,'Base stats'!AU:AU))*(AO150^0.5)+(_xlfn.XLOOKUP(B150,'Base stats'!B:B,'Base stats'!AU:AU)/1000)^(2/3)+_xlfn.XLOOKUP(B150,'Base stats'!B:B,'Base stats'!AZ:AZ))+0.5+IF(_xlfn.XLOOKUP(_xlfn.XLOOKUP(B150,'Base stats'!B:B,'Base stats'!E:E),Groups!A:A,Groups!U:U)&lt;&gt;3,_xlfn.XLOOKUP(B150,'Base stats'!B:B,'Base stats'!BA:BA),0),0.5))</f>
        <v>No</v>
      </c>
      <c r="Y150" s="7" t="str">
        <f>IF(X150="No","No",MAX(_xlfn.XLOOKUP(_xlfn.XLOOKUP(B150,'Base stats'!B:B,'Base stats'!E:E),Groups!A:A,Groups!V:V),MROUND(_xlfn.XLOOKUP(_xlfn.XLOOKUP(B150,'Base stats'!B:B,'Base stats'!E:E),Groups!A:A,Groups!V:V)*_xlfn.XLOOKUP(B150,'Base stats'!B:B,'Base stats'!C:C)^0.165,0.05)))</f>
        <v>No</v>
      </c>
      <c r="Z150" s="7" t="str">
        <f>IF(X150="No","No",_xlfn.XLOOKUP(_xlfn.XLOOKUP(B150,'Base stats'!B:B,'Base stats'!E:E),Groups!A:A,Groups!W:W))</f>
        <v>No</v>
      </c>
      <c r="AA150" s="7" t="str">
        <f>IF(X150="No","No",_xlfn.XLOOKUP(_xlfn.XLOOKUP(B150,'Base stats'!B:B,'Base stats'!E:E),Groups!A:A,Groups!X:X))</f>
        <v>No</v>
      </c>
      <c r="AB150" s="7" t="str">
        <f>IF(X150="No","No",_xlfn.XLOOKUP(_xlfn.XLOOKUP(B150,'Base stats'!B:B,'Base stats'!E:E),Groups!A:A,Groups!Y:Y))</f>
        <v>No</v>
      </c>
      <c r="AC150" s="7" t="str">
        <f>_xlfn.XLOOKUP(Animals!B150,'Base stats'!B:B,'Base stats'!X:X)</f>
        <v>False</v>
      </c>
      <c r="AD150" s="13">
        <f>IF(_xlfn.XLOOKUP(B150,'Base stats'!B:B,'Base stats'!AT:AT)="No","No",MROUND((LOG10(_xlfn.XLOOKUP(B150,'Base stats'!B:B,'Base stats'!AT:AT))*(AO150^0.75)+(_xlfn.XLOOKUP(B150,'Base stats'!B:B,'Base stats'!AT:AT)/1000)^(2/3)+_xlfn.XLOOKUP(B150,'Base stats'!B:B,'Base stats'!AX:AX)+_xlfn.XLOOKUP(B150,'Base stats'!B:B,'Base stats'!BA:BA))+0.5,0.5))</f>
        <v>4</v>
      </c>
      <c r="AE150" s="7">
        <f>IF(AD150="No","No",MAX(_xlfn.XLOOKUP(_xlfn.XLOOKUP(B150,'Base stats'!B:B,'Base stats'!E:E),Groups!A:A,Groups!Z:Z),MROUND(_xlfn.XLOOKUP(_xlfn.XLOOKUP(B150,'Base stats'!B:B,'Base stats'!E:E),Groups!A:A,Groups!Z:Z)*_xlfn.XLOOKUP(B150,'Base stats'!B:B,'Base stats'!C:C)^0.165,0.05)))</f>
        <v>0.9</v>
      </c>
      <c r="AF150" s="7" t="str">
        <f>IF(AD150="No","No",_xlfn.XLOOKUP(_xlfn.XLOOKUP(B150,'Base stats'!B:B,'Base stats'!E:E),Groups!A:A,Groups!AA:AA))</f>
        <v>Teeth</v>
      </c>
      <c r="AG150" s="7" t="str">
        <f>IF(AD150="No","No",_xlfn.XLOOKUP(_xlfn.XLOOKUP(B150,'Base stats'!B:B,'Base stats'!E:E),Groups!A:A,Groups!AB:AB))</f>
        <v>canines</v>
      </c>
      <c r="AH150" s="7" t="str">
        <f>IF(AD150="No","No",_xlfn.XLOOKUP(_xlfn.XLOOKUP(B150,'Base stats'!B:B,'Base stats'!E:E),Groups!A:A,Groups!AC:AC))</f>
        <v>Bite</v>
      </c>
      <c r="AI150" s="13">
        <f>IF(_xlfn.XLOOKUP(_xlfn.XLOOKUP(B150,'Base stats'!B:B,'Base stats'!E:E),Groups!A:A,Groups!AD:AD)=0,"No",MROUND((LOG10(_xlfn.XLOOKUP(B150,'Base stats'!B:B,'Base stats'!AS:AS))*(AO150^0.75)+(_xlfn.XLOOKUP(B150,'Base stats'!B:B,'Base stats'!AS:AS)/1000)^(2/3)+_xlfn.XLOOKUP(B150,'Base stats'!B:B,'Base stats'!AY:AY)+_xlfn.XLOOKUP(B150,'Base stats'!B:B,'Base stats'!BA:BA))+0.5,0.5))</f>
        <v>3</v>
      </c>
      <c r="AJ150" s="7">
        <f>IF(AI150="No","No",MAX(_xlfn.XLOOKUP(_xlfn.XLOOKUP(B150,'Base stats'!B:B,'Base stats'!E:E),Groups!A:A,Groups!AE:AE),MROUND(_xlfn.XLOOKUP(_xlfn.XLOOKUP(B150,'Base stats'!B:B,'Base stats'!E:E),Groups!A:A,Groups!AE:AE)*IF(_xlfn.XLOOKUP(_xlfn.XLOOKUP(B150,'Base stats'!B:B,'Base stats'!E:E),Groups!A:A,Groups!AJ:AJ)="Photonozoa",0.6,1)*_xlfn.XLOOKUP(B150,'Base stats'!B:B,'Base stats'!C:C)^0.165,0.05)))</f>
        <v>0.85000000000000009</v>
      </c>
      <c r="AK150" s="7" t="str">
        <f>IF(AI150="No","No",_xlfn.XLOOKUP(_xlfn.XLOOKUP(B150,'Base stats'!B:B,'Base stats'!E:E),Groups!A:A,Groups!AF:AF))</f>
        <v>FrontLeftPaw, FrontRightPaw</v>
      </c>
      <c r="AL150" s="7" t="str">
        <f>IF(AI150="No","No",_xlfn.XLOOKUP(_xlfn.XLOOKUP(B150,'Base stats'!B:B,'Base stats'!E:E),Groups!A:A,Groups!AG:AG))</f>
        <v>left claw, right claw</v>
      </c>
      <c r="AM150" s="7" t="str">
        <f>IF(AI150="No","No",_xlfn.XLOOKUP(_xlfn.XLOOKUP(B150,'Base stats'!B:B,'Base stats'!E:E),Groups!A:A,Groups!AH:AH))</f>
        <v>Scratch</v>
      </c>
      <c r="AN150" s="2">
        <f t="shared" si="14"/>
        <v>15</v>
      </c>
      <c r="AO150" s="2">
        <f>MROUND(IF(AND(_xlfn.XLOOKUP(B150,'Base stats'!B:B,'Base stats'!C:C)&gt;=0.5,_xlfn.XLOOKUP(B150,'Base stats'!B:B,'Base stats'!C:C)&lt;=0.8),
IF(_xlfn.XLOOKUP(B150,'Base stats'!B:B,'Base stats'!C:C)&lt;0.1,0.05,IF(_xlfn.XLOOKUP(B150,'Base stats'!B:B,'Base stats'!C:C)&lt;=70,(_xlfn.XLOOKUP(B150,'Base stats'!B:B,'Base stats'!C:C)/70)^0.426489913056526,IF(_xlfn.XLOOKUP(B150,'Base stats'!B:B,'Base stats'!C:C)&lt;=400,(_xlfn.XLOOKUP(B150,'Base stats'!B:B,'Base stats'!C:C)/70)^0.572811455315093,IF(_xlfn.XLOOKUP(B150,'Base stats'!B:B,'Base stats'!C:C)&lt;=2000,2.71391647193063*(_xlfn.XLOOKUP(B150,'Base stats'!B:B,'Base stats'!C:C)/400)^0.252459582904293,3.74314280240376*(_xlfn.XLOOKUP(B150,'Base stats'!B:B,'Base stats'!C:C)/2000)^0.357012633876913)))),
IF(_xlfn.XLOOKUP(B150,'Base stats'!B:B,'Base stats'!C:C)&lt;0.1,0.05,IF(_xlfn.XLOOKUP(B150,'Base stats'!B:B,'Base stats'!C:C)&lt;0.4,0.1,IF(_xlfn.XLOOKUP(B150,'Base stats'!B:B,'Base stats'!C:C)&lt;=70,(_xlfn.XLOOKUP(B150,'Base stats'!B:B,'Base stats'!C:C)/70)^0.445823913056526,IF(_xlfn.XLOOKUP(B150,'Base stats'!B:B,'Base stats'!C:C)&lt;=400,(_xlfn.XLOOKUP(B150,'Base stats'!B:B,'Base stats'!C:C)/70)^0.572811455315093,IF(_xlfn.XLOOKUP(B150,'Base stats'!B:B,'Base stats'!C:C)&lt;=2000,2.71391647193063*(_xlfn.XLOOKUP(B150,'Base stats'!B:B,'Base stats'!C:C)/400)^0.252459582904293,3.74314280240376*(_xlfn.XLOOKUP(B150,'Base stats'!B:B,'Base stats'!C:C)/2000)^0.357012633876913)))))),
IF(_xlfn.XLOOKUP(B150,'Base stats'!B:B,'Base stats'!C:C)&lt;0.1,0.05,IF(_xlfn.XLOOKUP(B150,'Base stats'!B:B,'Base stats'!C:C)&lt;=100,0.05,IF(_xlfn.XLOOKUP(B150,'Base stats'!B:B,'Base stats'!C:C)&lt;=250,0.1,IF(_xlfn.XLOOKUP(B150,'Base stats'!B:B,'Base stats'!C:C)&lt;=4000,0.25,0.5)))))</f>
        <v>0.30000000000000004</v>
      </c>
      <c r="AP150" s="8">
        <f>MROUND(AO150*_xlfn.XLOOKUP(_xlfn.XLOOKUP(B150,'Base stats'!B:B,'Base stats'!E:E),Groups!A:A,Groups!AI:AI)*_xlfn.XLOOKUP(B150,'Base stats'!B:B,'Base stats'!Z:Z),0.05)</f>
        <v>0.35000000000000003</v>
      </c>
      <c r="AQ150" s="8">
        <f>MAX(0.01,MROUND(IF(CC150="True",0.196*(AO150*100*1000)^0.889,IF(_xlfn.XLOOKUP(_xlfn.XLOOKUP(B150,'Base stats'!B:B,'Base stats'!E:E),Groups!A:A,Groups!AJ:AJ)="Bird",10.5*(AO150*100*1000)^0.681,4.82*(AO150*100*1000)^0.734))/(4.82*(1*100*1000)^0.734)/IF(AO150&lt;3.5,2,IF(AO150=3.5,1.5,1.25))*(1+0.132282374779864/(AO150^0.994035016789033+0.00905238001496948)),0.05))</f>
        <v>0.30000000000000004</v>
      </c>
      <c r="AR150" s="9">
        <f>IFERROR(MROUND(_xlfn.XLOOKUP(B150,'Base stats'!B:B,'Base stats'!H:H)/IF(_xlfn.XLOOKUP(B150,'Base stats'!B:B,'Base stats'!I:I)&lt;&gt;1,(122.5/70),1.2),IF(_xlfn.XLOOKUP(B150,'Base stats'!B:B,'Base stats'!H:H)&gt;=30,5,IF(_xlfn.XLOOKUP(B150,'Base stats'!B:B,'Base stats'!H:H)&gt;=15,3,IF(_xlfn.XLOOKUP(B150,'Base stats'!B:B,'Base stats'!H:H)&gt;=10,2,1)))),"Immortal")</f>
        <v>15</v>
      </c>
      <c r="AS150" s="35">
        <f>IFERROR(IF(OR(_xlfn.XLOOKUP(B150,'Base stats'!B:B,'Base stats'!F:F)="Atypical reproduction",_xlfn.XLOOKUP(B150,'Base stats'!B:B,'Base stats'!F:F)="Lay eggs"),"Lay eggs",MIN(20,MAX(5.5,ROUND(((_xlfn.XLOOKUP(B150,'Base stats'!B:B,'Base stats'!F:F)-25)*(14.5/615) + 5.5)*2,0)/2))),"Unknown")</f>
        <v>6.5</v>
      </c>
      <c r="AT150" s="8">
        <f>IF(_xlfn.XLOOKUP(B150,'Base stats'!B:B,'Base stats'!G:G)="Atypical reproduction","No",IFERROR(MAX(IF(_xlfn.XLOOKUP(B150,'Base stats'!B:B,'Base stats'!G:G)&lt;0.5,0.2,0.3),MROUND(_xlfn.XLOOKUP(B150,'Base stats'!B:B,'Base stats'!G:G)/(365/60),0.2)),"Unknown"))</f>
        <v>0.3</v>
      </c>
      <c r="AU150" s="8">
        <f t="shared" si="15"/>
        <v>0.15000000000000002</v>
      </c>
      <c r="AV150" s="8">
        <f>IFERROR(IFERROR(MROUND(_xlfn.XLOOKUP(B150,'Base stats'!B:B,'Base stats'!J:J),0.1),"Lay eggs"),"Cannot breed")</f>
        <v>4</v>
      </c>
      <c r="AW150" s="2" t="str">
        <f t="shared" si="16"/>
        <v>false</v>
      </c>
      <c r="AX150" s="2" t="str">
        <f>IF(_xlfn.XLOOKUP(_xlfn.XLOOKUP(Animals!B150,'Base stats'!B:B,'Base stats'!E:E),Groups!A:A,Groups!AK:AK)=1,"true","false")</f>
        <v>false</v>
      </c>
      <c r="AY150" s="25" t="str">
        <f>IF(_xlfn.XLOOKUP(B150,'Base stats'!B:B,'Base stats'!Y:Y)="Liquor","Liquor, CarnivoreAnimalStrict",IF(AND(_xlfn.XLOOKUP(B150,'Base stats'!B:B,'Base stats'!Y:Y)="Carnivore",_xlfn.XLOOKUP(_xlfn.XLOOKUP(B150,'Base stats'!B:B,'Base stats'!E:E),Groups!A:A,Groups!AJ:AJ)="Photonozoa"),"CarnivoreAnimalStrict, OvivoreAnimal",IF(_xlfn.XLOOKUP(B150,'Base stats'!B:B,'Base stats'!Y:Y)="Carnivore","CarnivoreAnimal, OvivoreAnimal",IF(_xlfn.XLOOKUP(B150,'Base stats'!B:B,'Base stats'!Y:Y)="Dendrovore","VegetarianRoughAnimal, DendrovoreAnimal",IF(_xlfn.XLOOKUP(B150,'Base stats'!B:B,'Base stats'!Y:Y)="Herbivore","VegetarianRoughAnimal",IF(_xlfn.XLOOKUP(B150,'Base stats'!B:B,'Base stats'!Y:Y)="OmnivoreRough","OmnivoreRoughAnimal, OvivoreAnimal","OmnivoreAnimal, OvivoreAnimal"))))))</f>
        <v>CarnivoreAnimal, OvivoreAnimal</v>
      </c>
      <c r="AZ150" s="2" t="str">
        <f>IF(_xlfn.XLOOKUP(_xlfn.XLOOKUP(B150,'Base stats'!B:B,'Base stats'!E:E),Groups!A:A,Groups!D:D)=1,MROUND((1-J150)*5+1,2)*IF(J150&lt;=0.4,2,1),"No")</f>
        <v>No</v>
      </c>
      <c r="BA150" s="2" t="str">
        <f>IF(AND(_xlfn.XLOOKUP(B150,'Base stats'!B:B,'Base stats'!AH:AH)="&lt;li&gt;Seal&lt;/li&gt;",G150="Odyssey"),"&lt;li&gt;AEXP_Seal&lt;/li&gt;",_xlfn.XLOOKUP(B150,'Base stats'!B:B,'Base stats'!AH:AH))</f>
        <v>&lt;li&gt;Cat&lt;/li&gt;</v>
      </c>
      <c r="BB150" s="2" t="str">
        <f>_xlfn.XLOOKUP(B150,'Base stats'!B:B,'Base stats'!AG:AG)</f>
        <v>Leather_Light</v>
      </c>
      <c r="BC150" s="23" t="str">
        <f>_xlfn.XLOOKUP(_xlfn.XLOOKUP(B150,'Base stats'!B:B,'Base stats'!E:E),Groups!A:A,Groups!AL:AL)</f>
        <v>QuadrupedAnimalWithPawsAndTail</v>
      </c>
      <c r="BD150" s="23">
        <f>MIN(1,MROUND(IF(AND(AO150&lt;0.5,_xlfn.XLOOKUP(B150,'Base stats'!B:B,'Base stats'!AA:AA)=0),0,IF(OR(_xlfn.XLOOKUP(Animals!B150,'Base stats'!B:B,'Base stats'!O:O)=2,_xlfn.XLOOKUP(_xlfn.XLOOKUP(B150,'Base stats'!B:B,'Base stats'!E:E),Groups!A:A,Groups!AN:AN)=0),0,_xlfn.XLOOKUP(_xlfn.XLOOKUP(B150,'Base stats'!B:B,'Base stats'!E:E),Groups!A:A,Groups!AN:AN)/IF(_xlfn.XLOOKUP(Animals!B150,'Base stats'!B:B,'Base stats'!O:O)=1,2,1)))+_xlfn.XLOOKUP(B150,'Base stats'!B:B,'Base stats'!AC:AC),0.005))</f>
        <v>0</v>
      </c>
      <c r="BE150" s="23">
        <f>MIN(1,MROUND(IF(AND(AO150&lt;0.5,_xlfn.XLOOKUP(B150,'Base stats'!B:B,'Base stats'!AA:AA)=0),0,IF(_xlfn.XLOOKUP(_xlfn.XLOOKUP(B150,'Base stats'!B:B,'Base stats'!E:E),Groups!A:A,Groups!AO:AO)=0,0,_xlfn.XLOOKUP(_xlfn.XLOOKUP(B150,'Base stats'!B:B,'Base stats'!E:E),Groups!A:A,Groups!AO:AO)/IF(_xlfn.XLOOKUP(Animals!B150,'Base stats'!B:B,'Base stats'!O:O)=2,3,1)))+_xlfn.XLOOKUP(B150,'Base stats'!B:B,'Base stats'!AD:AD),0.005))</f>
        <v>0</v>
      </c>
      <c r="BF150" s="2">
        <f>IF(J150&gt;0.3,"No",_xlfn.XLOOKUP(_xlfn.XLOOKUP(Animals!B150,'Base stats'!B:B,'Base stats'!E:E),Groups!A:A,Groups!AP:AP))</f>
        <v>1</v>
      </c>
      <c r="BG150" s="2">
        <f>IF(AND(J150&lt;=0.65,_xlfn.XLOOKUP(_xlfn.XLOOKUP(Animals!B150,'Base stats'!B:B,'Base stats'!E:E),Groups!A:A,Groups!AP:AP)&lt;&gt;"No",_xlfn.XLOOKUP(_xlfn.XLOOKUP(B150,'Base stats'!B:B,'Base stats'!E:E),Groups!A:A,Groups!D:D)=0),MROUND((80/3)*IF(_xlfn.XLOOKUP(B150,'Base stats'!B:B,'Base stats'!O:O)=2,0.2,AO150) + 24*(1-IF(BF150="No",0,BF150)) + 16/3, 12),"No")</f>
        <v>12</v>
      </c>
      <c r="BH150" s="2">
        <f>IF(AND(_xlfn.XLOOKUP(_xlfn.XLOOKUP(B150,'Base stats'!B:B,'Base stats'!E:E),Groups!A:A,Groups!AQ:AQ)=1,AO150&lt;=0.35),8,12)</f>
        <v>12</v>
      </c>
      <c r="BI150" s="2" t="str">
        <f>IF(_xlfn.XLOOKUP(_xlfn.XLOOKUP(B150,'Base stats'!B:B,'Base stats'!E:E),Groups!A:A,Groups!D:D)=0,_xlfn.XLOOKUP(_xlfn.XLOOKUP(B150,'Base stats'!B:B,'Base stats'!E:E),Groups!A:A,Groups!AR:AR),"None")</f>
        <v>Intermediate</v>
      </c>
      <c r="BJ150" s="2" t="str">
        <f>IF(AND(_xlfn.XLOOKUP(_xlfn.XLOOKUP(B150,'Base stats'!B:B,'Base stats'!E:E),Groups!A:A,Groups!AS:AS)=1,OR(_xlfn.XLOOKUP(B150,'Base stats'!B:B,'Base stats'!Y:Y)="Carnivore",_xlfn.XLOOKUP(B150,'Base stats'!B:B,'Base stats'!Y:Y)="Omnivore")),"true","false")</f>
        <v>true</v>
      </c>
      <c r="BK150" s="2">
        <f>IF(BJ150="true",MROUND(IF(AND(AO150&gt;0.5,OR(_xlfn.XLOOKUP(_xlfn.XLOOKUP(B150,'Base stats'!B:B,'Base stats'!E:E),Groups!A:A,Groups!AJ:AJ)="Photonozoa",_xlfn.XLOOKUP(_xlfn.XLOOKUP(B150,'Base stats'!B:B,'Base stats'!E:E),Groups!A:A,Groups!AJ:AJ)="Mammal")),Animals!AO150*1.75*IF(AW150="true",1.5,1),IF(AO150&lt;0.5,Animals!AO150*0.5,Animals!AO150)),IF(AO150&gt;2,0.5,IF(AO150&gt;0.5,0.25,0.1))),"No")</f>
        <v>0.2</v>
      </c>
      <c r="BL150" s="2">
        <f t="shared" si="17"/>
        <v>1</v>
      </c>
      <c r="BM150" s="25" t="str">
        <f>IF(_xlfn.XLOOKUP(B150,'Base stats'!B:B,'Base stats'!AN:AN)="Standard","No",MROUND((_xlfn.XLOOKUP(B150,'Base stats'!B:B,'Base stats'!AN:AN)/3.6)/I150,0.1))</f>
        <v>No</v>
      </c>
      <c r="BN150" s="25" t="str">
        <f t="shared" si="18"/>
        <v>false</v>
      </c>
      <c r="BO150" s="25" t="str">
        <f>IF(AND(OR(_xlfn.XLOOKUP(B150,'Base stats'!B:B,'Base stats'!Y:Y)="Carnivore",_xlfn.XLOOKUP(B150,'Base stats'!B:B,'Base stats'!Y:Y)="Omnivore",_xlfn.XLOOKUP(B150,'Base stats'!B:B,'Base stats'!Y:Y)="OmnivoreRough"),_xlfn.XLOOKUP(_xlfn.XLOOKUP(B150,'Base stats'!B:B,'Base stats'!E:E),Groups!A:A,Groups!AT:AT)=1),"true","false")</f>
        <v>false</v>
      </c>
      <c r="BP150" s="25" t="str" cm="1">
        <f t="array" ref="BP150">IF(
  _xlfn.TEXTJOIN(", ",TRUE,
    IF(AND(BJ150="true",AO150&gt;0.5,BI150&lt;&gt;"None"),"AttackTarget",""),
    IF(AND(_xlfn.XLOOKUP(_xlfn.XLOOKUP(B150,'Base stats'!B:B,'Base stats'!E:E),Groups!A:A,Groups!AJ:AJ="Mammal"),OR(_xlfn.XLOOKUP(B150,'Base stats'!B:B,'Base stats'!Y:Y)="Omnivore",_xlfn.XLOOKUP(B150,'Base stats'!B:B,'Base stats'!Y:Y)="OmnivoreRough")),"Forage",""),
    IF(BG150&lt;=36,"Comfort",""),
    IF(_xlfn.XLOOKUP(B150,'Base stats'!B:B,'Base stats'!AE:AE)&lt;&gt;"No",_xlfn.XLOOKUP(B150,'Base stats'!B:B,'Base stats'!AE:AE),"")
  ) = "",
  "No",
  _xlfn.TEXTJOIN(", ",TRUE,
    IF(AND(BJ150="true",AO150&gt;0.5,BI150&lt;&gt;"None"),"AttackTarget",""),
    IF(AND(_xlfn.XLOOKUP(_xlfn.XLOOKUP(B150,'Base stats'!B:B,'Base stats'!E:E),Groups!A:A,Groups!AJ:AJ="Mammal"),OR(_xlfn.XLOOKUP(B150,'Base stats'!B:B,'Base stats'!Y:Y)="Omnivore",_xlfn.XLOOKUP(B150,'Base stats'!B:B,'Base stats'!Y:Y)="OmnivoreRough")),"Forage",""),
    IF(BG150&lt;=36,"Comfort",""),
    IF(_xlfn.XLOOKUP(B150,'Base stats'!B:B,'Base stats'!AE:AE)&lt;&gt;"No",_xlfn.XLOOKUP(B150,'Base stats'!B:B,'Base stats'!AE:AE),"")
  )
)</f>
        <v>Comfort</v>
      </c>
      <c r="BQ150" s="25" t="str">
        <f>IF(
   AND(
      'Base stats'!AN150="Standard",_xlfn.XLOOKUP(_xlfn.XLOOKUP(B150,'Base stats'!B:B,'Base stats'!E:E),Groups!A:A,Groups!AU:AU)=0,
      OR(
      BO150="True"
      )
   ),
   10,
   IF(
       OR(BM150&lt;&gt;"No",_xlfn.XLOOKUP(_xlfn.XLOOKUP(B150,'Base stats'!B:B,'Base stats'!E:E),Groups!A:A,Groups!AU:AU)=1),
      1,
      "No"
   )
)</f>
        <v>No</v>
      </c>
      <c r="BR150" s="9">
        <f>MROUND((1 + ((0.2*IF(OR(Q150="No",R150="No",R150=0),0,Q150/R150)
+IF(OR(V150="No",S150="No",T150="No"),0,S150/T150*(LEN(V150)-LEN(SUBSTITUTE(V150,",",""))+1))
+IF(OR(X150="No",Y150="No"),0,X150/Y150)
+IF(OR(AD150="No",AE150="No"),0,AD150/AE150)
+IF(OR(AL150="No",AI150="No",AJ150="No"),0,AI150/AJ150*(LEN(AL150)-LEN(SUBSTITUTE(AL150,",",""))+1))
)/(0.2*IF(OR(Q150="No",R150="No",R150=0),0,1)
+IF(OR(V150="No",S150="No",T150="No"),0,LEN(V150)-LEN(SUBSTITUTE(V150,",",""))+1)
+IF(OR(X150="No",Y150="No"),0,1)
+IF(OR(AD150="No",AE150="No"),0,1)
+IF(OR(AL150="No",AI150="No",AJ150="No"),0,LEN(AL150)-LEN(SUBSTITUTE(AL150,",",""))+1))*62%)* 2)*(1 + (AP150 / (IF(_xlfn.XLOOKUP(_xlfn.XLOOKUP(B150,'Base stats'!B:B,'Base stats'!E:E),Groups!A:A,Groups!AJ:AJ)="Photonozoa",0.3,1)) + _xlfn.XLOOKUP(B150,'Base stats'!B:B,'Base stats'!AV:AV) * 1.8) * 2) * 2.5 + 10 + I150 * 2,5)+IF(_xlfn.XLOOKUP(B150,'Base stats'!B:B,'Base stats'!AK:AK)=1,50,0)</f>
        <v>45</v>
      </c>
      <c r="BS150" s="8">
        <f t="shared" si="19"/>
        <v>0.30000000000000004</v>
      </c>
      <c r="BT150" s="8" t="str">
        <f>_xlfn.XLOOKUP(B150,'Base stats'!B:B,'Base stats'!AF:AF)</f>
        <v>No</v>
      </c>
      <c r="BU150" s="2" t="str">
        <f>IF(AND(J150&lt;=0.95,OR(_xlfn.XLOOKUP(B150,'Base stats'!B:B,'Base stats'!AK:AK)=1,_xlfn.XLOOKUP(B150,'Base stats'!B:B,'Base stats'!Y:Y)="Carnivore",_xlfn.XLOOKUP(B150,'Base stats'!B:B,'Base stats'!Y:Y)="Omnivore",BE150&gt;0.1)),"true","false")</f>
        <v>true</v>
      </c>
      <c r="BV150" s="2" t="str">
        <f>IF(_xlfn.XLOOKUP(B150,'Base stats'!B:B,'Base stats'!AI:AI)=1,"true","false")</f>
        <v>false</v>
      </c>
      <c r="BW150" s="25" t="str">
        <f>IF(E150="BaseInsect","AnimalInsect",
IF(J150&gt;0.95,"AnimalExotic",
_xlfn.TEXTJOIN(", ",TRUE,
IF(OR(_xlfn.XLOOKUP(B150,'Base stats'!B:B,'Base stats'!AM:AM)=1,AND(_xlfn.XLOOKUP(B150,'Base stats'!B:B,'Base stats'!O:O)=0,_xlfn.XLOOKUP(_xlfn.XLOOKUP(B150,'Base stats'!B:B,'Base stats'!E:E),Groups!A:A,Groups!B:B)&gt;0)),"AnimalUncommon","AnimalCommon"),
IF(AND(_xlfn.XLOOKUP(B150,'Base stats'!B:B,'Base stats'!O:O)=2,_xlfn.XLOOKUP(_xlfn.XLOOKUP(B150,'Base stats'!B:B,'Base stats'!E:E),Groups!A:A,Groups!D:D)=0),"AnimalPet",IF(AND(_xlfn.XLOOKUP(B150,'Base stats'!B:B,'Base stats'!O:O)&lt;&gt;0,_xlfn.XLOOKUP(_xlfn.XLOOKUP(B150,'Base stats'!B:B,'Base stats'!E:E),Groups!A:A,Groups!D:D)&lt;&gt;0),"AnimalFarm","")),
IF(OR(_xlfn.XLOOKUP(B150,'Base stats'!B:B,'Base stats'!AK:AK)=1,AND(BI150&lt;&gt;"None",BR150&gt;=60),ISNUMBER(SEARCH("Attack target",BP150))),"AnimalFighter","")
)))</f>
        <v>AnimalCommon, AnimalPet</v>
      </c>
      <c r="BX150" s="25" t="str">
        <f>IF(G150="None",TRIM(
SUBSTITUTE(
IF(COUNTIF(Biomes!B$2:B$259,"="&amp;$C150)&gt;0,Biomes!B$1&amp;", ","")&amp;
IF(COUNTIF(Biomes!C$2:C$259,"="&amp;$C150)&gt;0,Biomes!C$1&amp;", ","")&amp;
IF(COUNTIF(Biomes!D$2:D$259,"="&amp;$C150)&gt;0,Biomes!D$1&amp;", ","")&amp;
IF(COUNTIF(Biomes!F$2:F$259,"="&amp;$C150)&gt;0,Biomes!F$1&amp;", ","")&amp;
IF(COUNTIF(Biomes!G$2:G$259,"="&amp;$C150)&gt;0,Biomes!G$1&amp;", ","")&amp;
IF(COUNTIF(Biomes!H$2:H$259,"="&amp;$C150)&gt;0,Biomes!H$1&amp;", ","")&amp;
IF(COUNTIF(Biomes!I$2:I$259,"="&amp;$C150)&gt;0,Biomes!I$1&amp;", ","")&amp;
IF(COUNTIF(Biomes!J$2:J$259,"="&amp;$C150)&gt;0,Biomes!J$1&amp;", ","")&amp;
IF(COUNTIF(Biomes!M$2:M$259,"="&amp;$C150)&gt;0,Biomes!M$1&amp;", ","")&amp;
IF(COUNTIF(Biomes!N$2:N$259,"="&amp;$C150)&gt;0,Biomes!N$1&amp;", ","")&amp;
IF(COUNTIF(Biomes!O$2:O$259,"="&amp;$C150)&gt;0,Biomes!O$1&amp;", ","")&amp;
IF(COUNTIF(Biomes!P$2:P$259,"="&amp;$C150)&gt;0,Biomes!P$1&amp;", ","")&amp;
IF(COUNTIF(Biomes!K$2:K$259,"="&amp;$C150)&gt;0,Biomes!K$1&amp;", ","")&amp;
IF(COUNTIF(Biomes!Q$3:Q$259,"="&amp;$C150)&gt;0,Biomes!Q$1&amp;", ","")&amp;
IF(COUNTIF(Biomes!L$2:L$259,"="&amp;$C150)&gt;0,Biomes!L$1&amp;", ","")&amp;
IF(COUNTIF(Biomes!E$2:E$259,"="&amp;$C150)&gt;0,Biomes!E$1&amp;", ","")&amp;IF(COUNTIF(Biomes!S$2:S$259,"="&amp;$C150)&gt;0,Biomes!S$1&amp;", ","")&amp;
IF(COUNTIF(Biomes!R$2:R$259,"="&amp;$C150)&gt;0,Biomes!R$1&amp;", ",""),", ","")
),_xlfn.XLOOKUP(B150,B:B,BX:BX))</f>
        <v/>
      </c>
      <c r="BY150" s="25" t="str">
        <f>IF(_xlfn.XLOOKUP(B150,'Base stats'!B:B,'Base stats'!AJ:AJ)=1,"true","false")</f>
        <v>false</v>
      </c>
      <c r="BZ150" s="25">
        <f>IF(_xlfn.XLOOKUP(B150,'Base stats'!B:B,'Base stats'!N:N)=1,"No",MAX(0.001,MIN(MROUND(IF(AND(BJ150="True",CC150="False"),POWER(10,3.47*LOG10(_xlfn.XLOOKUP(B150,'Base stats'!B:B,'Base stats'!C:C)*1000)^-0.96),POWER(10,4.15*LOG10(_xlfn.XLOOKUP(B150,'Base stats'!B:B,'Base stats'!C:C)*1000)^-0.73))*IF(_xlfn.XLOOKUP(B150,'Base stats'!B:B,'Base stats'!AK:AK)=1,0.5,1)*IF(_xlfn.XLOOKUP(B150,'Base stats'!B:B,'Base stats'!AM:AM)=1,0.1,1)/100,IF(_xlfn.XLOOKUP(B150,'Base stats'!B:B,'Base stats'!AM:AM)=1,0.001,0.025)),0.5)))</f>
        <v>0.1</v>
      </c>
      <c r="CA150" s="25" t="str">
        <f>IF(P150="Standard","No",MAX(0.001,MIN(MROUND(IF(AND(BJ150="True",CC150="False"),POWER(10,3.47*LOG10(_xlfn.XLOOKUP(B150,'Base stats'!B:B,'Base stats'!C:C)*1000)^-0.96),POWER(10,4.15*LOG10(_xlfn.XLOOKUP(B150,'Base stats'!B:B,'Base stats'!C:C)*1000)^-0.73))*IF(_xlfn.XLOOKUP(B150,'Base stats'!B:B,'Base stats'!AM:AM)=1,0.1,1)*_xlfn.XLOOKUP(B150,'Base stats'!B:B,'Base stats'!R:R)/100,IF(_xlfn.XLOOKUP(B150,'Base stats'!B:B,'Base stats'!AM:AM)=1,0.001,0.025)),0.5)))</f>
        <v>No</v>
      </c>
      <c r="CB150" s="25" t="str">
        <f>IF(_xlfn.XLOOKUP(_xlfn.XLOOKUP(B150,'Base stats'!B:B,'Base stats'!E:E),Groups!A:A,Groups!AJ:AJ)="Mammal","True","False")</f>
        <v>True</v>
      </c>
      <c r="CC150" s="25" t="str">
        <f>IF(OR(_xlfn.XLOOKUP(_xlfn.XLOOKUP(B150,'Base stats'!B:B,'Base stats'!E:E),Groups!A:A,Groups!AJ:AJ)="Reptile",_xlfn.XLOOKUP(_xlfn.XLOOKUP(B150,'Base stats'!B:B,'Base stats'!E:E),Groups!A:A,Groups!AJ:AJ)="Amphibian",_xlfn.XLOOKUP(_xlfn.XLOOKUP(B150,'Base stats'!B:B,'Base stats'!E:E),Groups!A:A,Groups!AJ:AJ)="Invertebrate"),"True","False")</f>
        <v>False</v>
      </c>
      <c r="CD150" s="25" t="str">
        <f t="shared" si="20"/>
        <v>False</v>
      </c>
      <c r="CE150" s="25" t="str">
        <f>IF(_xlfn.XLOOKUP(_xlfn.XLOOKUP(B150,'Base stats'!B:B,'Base stats'!E:E),Groups!A:A,Groups!AX:AX),"True","False")</f>
        <v>False</v>
      </c>
      <c r="CF150" s="25" t="str">
        <f>IF(_xlfn.XLOOKUP(_xlfn.XLOOKUP(B150,'Base stats'!B:B,'Base stats'!E:E),Groups!A:A,Groups!AY:AY),"True","False")</f>
        <v>False</v>
      </c>
      <c r="CG150" s="25" t="str">
        <f>IF(_xlfn.XLOOKUP(_xlfn.XLOOKUP(B150,'Base stats'!B:B,'Base stats'!E:E),Groups!A:A,Groups!AW:AW),"True","False")</f>
        <v>False</v>
      </c>
      <c r="CH150" s="25" t="str">
        <f>IF(
OR(
_xlfn.XLOOKUP(_xlfn.XLOOKUP(B150,'Base stats'!B:B,'Base stats'!E:E),Groups!A:A,Groups!AZ:AZ)=0,
AND(
_xlfn.XLOOKUP(B150,'Base stats'!B:B,'Base stats'!Y:Y)&lt;&gt;"Carnivore",
_xlfn.XLOOKUP(B150,'Base stats'!B:B,'Base stats'!Y:Y)&lt;&gt;"Omnivore",
_xlfn.XLOOKUP(B150,'Base stats'!B:B,'Base stats'!Y:Y)&lt;&gt;"OmnivoreRough"
)
),
"No",
IF(
_xlfn.XLOOKUP(_xlfn.XLOOKUP(B150,'Base stats'!B:B,'Base stats'!E:E),Groups!A:A,Groups!AZ:AZ)=1,
"Flesh",
IF(
_xlfn.XLOOKUP(_xlfn.XLOOKUP(B150,'Base stats'!B:B,'Base stats'!E:E),Groups!A:A,Groups!AZ:AZ)=2,
"Bone",
""
)
)
)</f>
        <v>No</v>
      </c>
      <c r="CI150" s="25" t="str">
        <f>IF(_xlfn.XLOOKUP(_xlfn.XLOOKUP(B150,'Base stats'!B:B,'Base stats'!E:E),Groups!A:A,Groups!BB:BB),"True","False")</f>
        <v>True</v>
      </c>
      <c r="CJ150" s="25" t="str">
        <f>IF(_xlfn.XLOOKUP(_xlfn.XLOOKUP(B150,'Base stats'!B:B,'Base stats'!E:E),Groups!A:A,Groups!BA:BA),"True","False")</f>
        <v>False</v>
      </c>
    </row>
    <row r="151" spans="1:88" ht="16.5" thickTop="1" thickBot="1" x14ac:dyDescent="0.3">
      <c r="A151" s="26" t="str">
        <f>_xlfn.XLOOKUP(B151,'Base stats'!B:B,'Base stats'!A:A)</f>
        <v>Bengal cat</v>
      </c>
      <c r="B151" s="6" t="s">
        <v>904</v>
      </c>
      <c r="C151" s="28" t="s">
        <v>832</v>
      </c>
      <c r="D151" s="28" t="s">
        <v>872</v>
      </c>
      <c r="E151" s="28" t="s">
        <v>673</v>
      </c>
      <c r="F151" s="28" t="s">
        <v>673</v>
      </c>
      <c r="G151" s="28" t="s">
        <v>673</v>
      </c>
      <c r="H151" s="2">
        <f>MROUND((
  (IF(AND(_xlfn.XLOOKUP(B151,'Base stats'!B:B,'Base stats'!AL:AL)=0,BI151="None",_xlfn.XLOOKUP(_xlfn.XLOOKUP(B151,'Base stats'!B:B,'Base stats'!E:E),Groups!A:A,Groups!B:B)=0), (18 + BR151 * 2.7) * 0.5,
    IF(AND(_xlfn.XLOOKUP(B151,'Base stats'!B:B,'Base stats'!AL:AL)=0,OR(AO151&lt;0.55,AND(BI151="Intermediate",_xlfn.XLOOKUP(_xlfn.XLOOKUP(B151,'Base stats'!B:B,'Base stats'!E:E),Groups!A:A,Groups!B:B)&lt;2))), (18 + BR151 * 2.7),
      IF(OR(BI151="Advanced",_xlfn.XLOOKUP(B151,'Base stats'!B:B,'Base stats'!AL:AL)=1,_xlfn.XLOOKUP(_xlfn.XLOOKUP(B151,'Base stats'!B:B,'Base stats'!E:E),Groups!A:A,Groups!B:B)=2), (18 + BR151 * 2.7) + 250, (18 + BR151 * 2.7))
    )
  ))
  + AO151 * 80
  + IF(COUNTIF(EggMilk!K$2:K$998, A151) &gt; 0, 125, 0)
  + IF(COUNTIF(EggMilk!P$2:P$998, A151) &gt; 0, 90, 0)
  + IF(COUNTIF(EggMilk!A$2:A$998, A151) &gt; 0, 90, 0)
)
* (0.8 + 0.4 * J151)
* 0.75,25)</f>
        <v>100</v>
      </c>
      <c r="I151" s="2">
        <f>MROUND(ROUNDDOWN(_xlfn.XLOOKUP(B151,'Base stats'!B:B,'Base stats'!L:L)/3.6/(23.3/11),1),0.5)</f>
        <v>5.5</v>
      </c>
      <c r="J151" s="2">
        <f>IF(OR(_xlfn.XLOOKUP(B151,'Base stats'!B:B,'Base stats'!AB:AB)=1,_xlfn.XLOOKUP(_xlfn.XLOOKUP(B151,'Base stats'!B:B,'Base stats'!E:E),Groups!A:A,Groups!C:C)="Untamable"),1,IF(_xlfn.XLOOKUP(B151,'Base stats'!B:B,'Base stats'!AL:AL)=1,0.99,MIN(MROUND((1-0.6282*EXP(-0.459*AO151))*_xlfn.XLOOKUP(_xlfn.XLOOKUP(B151,'Base stats'!B:B,'Base stats'!E:E),Groups!A:A,Groups!C:C)*IF(_xlfn.XLOOKUP(B151,'Base stats'!B:B,'Base stats'!O:O)=1,0.5,IF(_xlfn.XLOOKUP(B151,'Base stats'!B:B,'Base stats'!O:O)=2,0,1)),0.05),IF(AO151&gt;3.5,0.985,0.95))))</f>
        <v>0</v>
      </c>
      <c r="K151" s="2">
        <f>ROUNDUP(AO151*_xlfn.XLOOKUP(_xlfn.XLOOKUP(B151,'Base stats'!B:B,'Base stats'!E:E),Groups!A:A,Groups!E:E),0)</f>
        <v>1</v>
      </c>
      <c r="L151" s="2">
        <f>IF(OR(_xlfn.XLOOKUP(_xlfn.XLOOKUP(B151,'Base stats'!B:B,'Base stats'!E:E),Groups!A:A,Groups!F:F)=2,ISNUMBER(SEARCH("SeaIce",BX151)),ISNUMBER(SEARCH("IceSheet",BX151))),-50,IF(OR(ISNUMBER(SEARCH("GlacialPlain",BX151)),ISNUMBER(SEARCH("Tundra",BX151))),-40,IF(OR(ISNUMBER(SEARCH("Alpine",BX151)),ISNUMBER(SEARCH("BorealForest",BX151)),ISNUMBER(SEARCH("ColdBog",BX151))),-30,IF(OR(ISNUMBER(SEARCH("TemperateForest",BX151)),ISNUMBER(SEARCH("TemperateSwamp",BX151))),-20,IF(_xlfn.XLOOKUP(_xlfn.XLOOKUP(B151,'Base stats'!B:B,'Base stats'!E:E),Groups!A:A,Groups!F:F)=1,-15,IF(OR(ISNUMBER(SEARCH("Desert",BX151)),ISNUMBER(SEARCH("ExtremeDesert",BX151))),-10,IF(OR(ISNUMBER(SEARCH("Grasslands",BX151)),ISNUMBER(SEARCH("TropicalRainforest",BX151)),ISNUMBER(SEARCH("TropicalSwamp",BX151))),10,0)))))))-IF(CC151="False",MIN(IFERROR(MAX(MROUND(LOG10(_xlfn.XLOOKUP(B151,'Base stats'!B:B,'Base stats'!C:C)^(2/3))*10,5),5),5),30))-_xlfn.XLOOKUP(B151,'Base stats'!B:B,'Base stats'!P:P)+IF(CC151="True",5,0)</f>
        <v>-15</v>
      </c>
      <c r="M151" s="2">
        <f>IF(OR(_xlfn.XLOOKUP(_xlfn.XLOOKUP(B151,'Base stats'!B:B,'Base stats'!E:E),Groups!A:A,Groups!G:G)=2,ISNUMBER(SEARCH("Desert",BX151)),ISNUMBER(SEARCH("ExtremeDesert",BX151)),ISNUMBER(SEARCH("LavaField",BX151))),50,IF(ISNUMBER(SEARCH("Grasslands",BX151)),45,IF(OR(_xlfn.XLOOKUP(_xlfn.XLOOKUP(B151,'Base stats'!B:B,'Base stats'!E:E),Groups!A:A,Groups!G:G)=1,ISNUMBER(SEARCH("TropicalRainforest",BX151)),ISNUMBER(SEARCH("TropicalSwamp",BX151))),40,IF(OR(ISNUMBER(SEARCH("TemperateForest",BX151)),ISNUMBER(SEARCH("TemperateSwamp",BX151))),35,IF(OR(ISNUMBER(SEARCH("Alpine",BX151)),ISNUMBER(SEARCH("BorealForest",BX151)),ISNUMBER(SEARCH("ColdBog",BX151))),30,IF(ISNUMBER(OR(ISNUMBER(SEARCH("GlacialPlain",BX151)),SEARCH("Tundra",BX151))),25,IF(OR(ISNUMBER(SEARCH("SeaIce",BX151)),ISNUMBER(SEARCH("IceSheet",BX151)),ISNUMBER(SEARCH("TropicalSwamp",BX151))),10,35)))))))+_xlfn.XLOOKUP(B151,'Base stats'!B:B,'Base stats'!Q:Q)</f>
        <v>40</v>
      </c>
      <c r="N151" s="8" t="str">
        <f>IF(
_xlfn.XLOOKUP(
_xlfn.XLOOKUP(B151,'Base stats'!B:B,'Base stats'!E:E),
Groups!A:A,
Groups!L:L
)=1,
MIN(
MROUND(
IF(
_xlfn.XLOOKUP(B151,'Animals CE'!B:B,'Animals CE'!Z:Z)&lt;=1.5,
_xlfn.XLOOKUP(B151,'Animals CE'!B:B,'Animals CE'!Z:Z)/2+0.05,
0.8+
(_xlfn.XLOOKUP(B151,'Animals CE'!B:B,'Animals CE'!Z:Z)-1.5)
*0.02
),
0.05
),
200%
),
"No"
)</f>
        <v>No</v>
      </c>
      <c r="O151" s="8" t="str">
        <f>IF(
_xlfn.XLOOKUP(
_xlfn.XLOOKUP(B151,'Base stats'!B:B,'Base stats'!E:E),
Groups!A:A,
Groups!L:L
)=1,
MIN(
MROUND(
IF(
_xlfn.XLOOKUP(B151,'Animals CE'!B:B,'Animals CE'!AA:AA)&lt;=1.5,
_xlfn.XLOOKUP(B151,'Animals CE'!B:B,'Animals CE'!AA:AA)/2+0.05,
0.8+
(_xlfn.XLOOKUP(B151,'Animals CE'!B:B,'Animals CE'!AA:AA)-1.5)
*0.02
),
0.05
),
200%
),
"No"
)</f>
        <v>No</v>
      </c>
      <c r="P151" s="2" t="str">
        <f>_xlfn.XLOOKUP(B151,'Base stats'!B:B,'Base stats'!R:R)</f>
        <v>Standard</v>
      </c>
      <c r="Q151" s="13">
        <f>MROUND((LOG10(_xlfn.XLOOKUP(B151,'Base stats'!B:B,'Base stats'!AR:AR))*(AO151^0.5)+(_xlfn.XLOOKUP(B151,'Base stats'!B:B,'Base stats'!AR:AR)/1000)^(2/3)+_xlfn.XLOOKUP(B151,'Base stats'!B:B,'Base stats'!BA:BA)/2)+0.5,0.5)</f>
        <v>2.5</v>
      </c>
      <c r="R151" s="7">
        <f>IF(Q151="No","No",MAX(1,MROUND(_xlfn.XLOOKUP(B151,'Base stats'!B:B,'Base stats'!C:C)^0.165,0.05)))</f>
        <v>1.3</v>
      </c>
      <c r="S151" s="13" t="str">
        <f>IF(_xlfn.XLOOKUP(_xlfn.XLOOKUP(B151,'Base stats'!B:B,'Base stats'!E:E),Groups!A:A,Groups!P:P)=0,"No",MROUND((LOG10(_xlfn.XLOOKUP(B151,'Base stats'!B:B,'Base stats'!AS:AS))*(AO151^0.5)+(_xlfn.XLOOKUP(B151,'Base stats'!B:B,'Base stats'!AS:AS)/1000)^(2/3)+_xlfn.XLOOKUP(B151,'Base stats'!B:B,'Base stats'!BA:BA))+_xlfn.XLOOKUP(B151,'Base stats'!B:B,'Base stats'!AY:AY)+0.5,0.5))</f>
        <v>No</v>
      </c>
      <c r="T151" s="7" t="str">
        <f>IF(S151="No","No",MAX(_xlfn.XLOOKUP(_xlfn.XLOOKUP(B151,'Base stats'!B:B,'Base stats'!E:E),Groups!A:A,Groups!Q:Q),MROUND(_xlfn.XLOOKUP(_xlfn.XLOOKUP(B151,'Base stats'!B:B,'Base stats'!E:E),Groups!A:A,Groups!Q:Q)*_xlfn.XLOOKUP(B151,'Base stats'!B:B,'Base stats'!C:C)^0.165,0.05)))</f>
        <v>No</v>
      </c>
      <c r="U151" s="7" t="str">
        <f>IF(S151="No","No",_xlfn.XLOOKUP(_xlfn.XLOOKUP(B151,'Base stats'!B:B,'Base stats'!E:E),Groups!A:A,Groups!R:R))</f>
        <v>No</v>
      </c>
      <c r="V151" s="7" t="str">
        <f>IF(S151="No","No",_xlfn.XLOOKUP(_xlfn.XLOOKUP(B151,'Base stats'!B:B,'Base stats'!E:E),Groups!A:A,Groups!S:S))</f>
        <v>No</v>
      </c>
      <c r="W151" s="7" t="str">
        <f>IF(S151="No","No",_xlfn.XLOOKUP(_xlfn.XLOOKUP(B151,'Base stats'!B:B,'Base stats'!E:E),Groups!A:A,Groups!T:T))</f>
        <v>No</v>
      </c>
      <c r="X151" s="13" t="str">
        <f>IF(_xlfn.XLOOKUP(B151,'Base stats'!B:B,'Base stats'!W:W)="No","No",MROUND((LOG10(_xlfn.XLOOKUP(B151,'Base stats'!B:B,'Base stats'!AU:AU))*(AO151^0.5)+(_xlfn.XLOOKUP(B151,'Base stats'!B:B,'Base stats'!AU:AU)/1000)^(2/3)+_xlfn.XLOOKUP(B151,'Base stats'!B:B,'Base stats'!AZ:AZ))+0.5+IF(_xlfn.XLOOKUP(_xlfn.XLOOKUP(B151,'Base stats'!B:B,'Base stats'!E:E),Groups!A:A,Groups!U:U)&lt;&gt;3,_xlfn.XLOOKUP(B151,'Base stats'!B:B,'Base stats'!BA:BA),0),0.5))</f>
        <v>No</v>
      </c>
      <c r="Y151" s="7" t="str">
        <f>IF(X151="No","No",MAX(_xlfn.XLOOKUP(_xlfn.XLOOKUP(B151,'Base stats'!B:B,'Base stats'!E:E),Groups!A:A,Groups!V:V),MROUND(_xlfn.XLOOKUP(_xlfn.XLOOKUP(B151,'Base stats'!B:B,'Base stats'!E:E),Groups!A:A,Groups!V:V)*_xlfn.XLOOKUP(B151,'Base stats'!B:B,'Base stats'!C:C)^0.165,0.05)))</f>
        <v>No</v>
      </c>
      <c r="Z151" s="7" t="str">
        <f>IF(X151="No","No",_xlfn.XLOOKUP(_xlfn.XLOOKUP(B151,'Base stats'!B:B,'Base stats'!E:E),Groups!A:A,Groups!W:W))</f>
        <v>No</v>
      </c>
      <c r="AA151" s="7" t="str">
        <f>IF(X151="No","No",_xlfn.XLOOKUP(_xlfn.XLOOKUP(B151,'Base stats'!B:B,'Base stats'!E:E),Groups!A:A,Groups!X:X))</f>
        <v>No</v>
      </c>
      <c r="AB151" s="7" t="str">
        <f>IF(X151="No","No",_xlfn.XLOOKUP(_xlfn.XLOOKUP(B151,'Base stats'!B:B,'Base stats'!E:E),Groups!A:A,Groups!Y:Y))</f>
        <v>No</v>
      </c>
      <c r="AC151" s="7" t="str">
        <f>_xlfn.XLOOKUP(Animals!B151,'Base stats'!B:B,'Base stats'!X:X)</f>
        <v>False</v>
      </c>
      <c r="AD151" s="13">
        <f>IF(_xlfn.XLOOKUP(B151,'Base stats'!B:B,'Base stats'!AT:AT)="No","No",MROUND((LOG10(_xlfn.XLOOKUP(B151,'Base stats'!B:B,'Base stats'!AT:AT))*(AO151^0.75)+(_xlfn.XLOOKUP(B151,'Base stats'!B:B,'Base stats'!AT:AT)/1000)^(2/3)+_xlfn.XLOOKUP(B151,'Base stats'!B:B,'Base stats'!AX:AX)+_xlfn.XLOOKUP(B151,'Base stats'!B:B,'Base stats'!BA:BA))+0.5,0.5))</f>
        <v>4.5</v>
      </c>
      <c r="AE151" s="7">
        <f>IF(AD151="No","No",MAX(_xlfn.XLOOKUP(_xlfn.XLOOKUP(B151,'Base stats'!B:B,'Base stats'!E:E),Groups!A:A,Groups!Z:Z),MROUND(_xlfn.XLOOKUP(_xlfn.XLOOKUP(B151,'Base stats'!B:B,'Base stats'!E:E),Groups!A:A,Groups!Z:Z)*_xlfn.XLOOKUP(B151,'Base stats'!B:B,'Base stats'!C:C)^0.165,0.05)))</f>
        <v>0.95000000000000007</v>
      </c>
      <c r="AF151" s="7" t="str">
        <f>IF(AD151="No","No",_xlfn.XLOOKUP(_xlfn.XLOOKUP(B151,'Base stats'!B:B,'Base stats'!E:E),Groups!A:A,Groups!AA:AA))</f>
        <v>Teeth</v>
      </c>
      <c r="AG151" s="7" t="str">
        <f>IF(AD151="No","No",_xlfn.XLOOKUP(_xlfn.XLOOKUP(B151,'Base stats'!B:B,'Base stats'!E:E),Groups!A:A,Groups!AB:AB))</f>
        <v>canines</v>
      </c>
      <c r="AH151" s="7" t="str">
        <f>IF(AD151="No","No",_xlfn.XLOOKUP(_xlfn.XLOOKUP(B151,'Base stats'!B:B,'Base stats'!E:E),Groups!A:A,Groups!AC:AC))</f>
        <v>Bite</v>
      </c>
      <c r="AI151" s="13">
        <f>IF(_xlfn.XLOOKUP(_xlfn.XLOOKUP(B151,'Base stats'!B:B,'Base stats'!E:E),Groups!A:A,Groups!AD:AD)=0,"No",MROUND((LOG10(_xlfn.XLOOKUP(B151,'Base stats'!B:B,'Base stats'!AS:AS))*(AO151^0.75)+(_xlfn.XLOOKUP(B151,'Base stats'!B:B,'Base stats'!AS:AS)/1000)^(2/3)+_xlfn.XLOOKUP(B151,'Base stats'!B:B,'Base stats'!AY:AY)+_xlfn.XLOOKUP(B151,'Base stats'!B:B,'Base stats'!BA:BA))+0.5,0.5))</f>
        <v>3.5</v>
      </c>
      <c r="AJ151" s="7">
        <f>IF(AI151="No","No",MAX(_xlfn.XLOOKUP(_xlfn.XLOOKUP(B151,'Base stats'!B:B,'Base stats'!E:E),Groups!A:A,Groups!AE:AE),MROUND(_xlfn.XLOOKUP(_xlfn.XLOOKUP(B151,'Base stats'!B:B,'Base stats'!E:E),Groups!A:A,Groups!AE:AE)*IF(_xlfn.XLOOKUP(_xlfn.XLOOKUP(B151,'Base stats'!B:B,'Base stats'!E:E),Groups!A:A,Groups!AJ:AJ)="Photonozoa",0.6,1)*_xlfn.XLOOKUP(B151,'Base stats'!B:B,'Base stats'!C:C)^0.165,0.05)))</f>
        <v>0.85000000000000009</v>
      </c>
      <c r="AK151" s="7" t="str">
        <f>IF(AI151="No","No",_xlfn.XLOOKUP(_xlfn.XLOOKUP(B151,'Base stats'!B:B,'Base stats'!E:E),Groups!A:A,Groups!AF:AF))</f>
        <v>FrontLeftPaw, FrontRightPaw</v>
      </c>
      <c r="AL151" s="7" t="str">
        <f>IF(AI151="No","No",_xlfn.XLOOKUP(_xlfn.XLOOKUP(B151,'Base stats'!B:B,'Base stats'!E:E),Groups!A:A,Groups!AG:AG))</f>
        <v>left claw, right claw</v>
      </c>
      <c r="AM151" s="7" t="str">
        <f>IF(AI151="No","No",_xlfn.XLOOKUP(_xlfn.XLOOKUP(B151,'Base stats'!B:B,'Base stats'!E:E),Groups!A:A,Groups!AH:AH))</f>
        <v>Scratch</v>
      </c>
      <c r="AN151" s="2">
        <f t="shared" si="14"/>
        <v>15</v>
      </c>
      <c r="AO151" s="2">
        <f>MROUND(IF(AND(_xlfn.XLOOKUP(B151,'Base stats'!B:B,'Base stats'!C:C)&gt;=0.5,_xlfn.XLOOKUP(B151,'Base stats'!B:B,'Base stats'!C:C)&lt;=0.8),
IF(_xlfn.XLOOKUP(B151,'Base stats'!B:B,'Base stats'!C:C)&lt;0.1,0.05,IF(_xlfn.XLOOKUP(B151,'Base stats'!B:B,'Base stats'!C:C)&lt;=70,(_xlfn.XLOOKUP(B151,'Base stats'!B:B,'Base stats'!C:C)/70)^0.426489913056526,IF(_xlfn.XLOOKUP(B151,'Base stats'!B:B,'Base stats'!C:C)&lt;=400,(_xlfn.XLOOKUP(B151,'Base stats'!B:B,'Base stats'!C:C)/70)^0.572811455315093,IF(_xlfn.XLOOKUP(B151,'Base stats'!B:B,'Base stats'!C:C)&lt;=2000,2.71391647193063*(_xlfn.XLOOKUP(B151,'Base stats'!B:B,'Base stats'!C:C)/400)^0.252459582904293,3.74314280240376*(_xlfn.XLOOKUP(B151,'Base stats'!B:B,'Base stats'!C:C)/2000)^0.357012633876913)))),
IF(_xlfn.XLOOKUP(B151,'Base stats'!B:B,'Base stats'!C:C)&lt;0.1,0.05,IF(_xlfn.XLOOKUP(B151,'Base stats'!B:B,'Base stats'!C:C)&lt;0.4,0.1,IF(_xlfn.XLOOKUP(B151,'Base stats'!B:B,'Base stats'!C:C)&lt;=70,(_xlfn.XLOOKUP(B151,'Base stats'!B:B,'Base stats'!C:C)/70)^0.445823913056526,IF(_xlfn.XLOOKUP(B151,'Base stats'!B:B,'Base stats'!C:C)&lt;=400,(_xlfn.XLOOKUP(B151,'Base stats'!B:B,'Base stats'!C:C)/70)^0.572811455315093,IF(_xlfn.XLOOKUP(B151,'Base stats'!B:B,'Base stats'!C:C)&lt;=2000,2.71391647193063*(_xlfn.XLOOKUP(B151,'Base stats'!B:B,'Base stats'!C:C)/400)^0.252459582904293,3.74314280240376*(_xlfn.XLOOKUP(B151,'Base stats'!B:B,'Base stats'!C:C)/2000)^0.357012633876913)))))),
IF(_xlfn.XLOOKUP(B151,'Base stats'!B:B,'Base stats'!C:C)&lt;0.1,0.05,IF(_xlfn.XLOOKUP(B151,'Base stats'!B:B,'Base stats'!C:C)&lt;=100,0.05,IF(_xlfn.XLOOKUP(B151,'Base stats'!B:B,'Base stats'!C:C)&lt;=250,0.1,IF(_xlfn.XLOOKUP(B151,'Base stats'!B:B,'Base stats'!C:C)&lt;=4000,0.25,0.5)))))</f>
        <v>0.30000000000000004</v>
      </c>
      <c r="AP151" s="8">
        <f>MROUND(AO151*_xlfn.XLOOKUP(_xlfn.XLOOKUP(B151,'Base stats'!B:B,'Base stats'!E:E),Groups!A:A,Groups!AI:AI)*_xlfn.XLOOKUP(B151,'Base stats'!B:B,'Base stats'!Z:Z),0.05)</f>
        <v>0.35000000000000003</v>
      </c>
      <c r="AQ151" s="8">
        <f>MAX(0.01,MROUND(IF(CC151="True",0.196*(AO151*100*1000)^0.889,IF(_xlfn.XLOOKUP(_xlfn.XLOOKUP(B151,'Base stats'!B:B,'Base stats'!E:E),Groups!A:A,Groups!AJ:AJ)="Bird",10.5*(AO151*100*1000)^0.681,4.82*(AO151*100*1000)^0.734))/(4.82*(1*100*1000)^0.734)/IF(AO151&lt;3.5,2,IF(AO151=3.5,1.5,1.25))*(1+0.132282374779864/(AO151^0.994035016789033+0.00905238001496948)),0.05))</f>
        <v>0.30000000000000004</v>
      </c>
      <c r="AR151" s="9">
        <f>IFERROR(MROUND(_xlfn.XLOOKUP(B151,'Base stats'!B:B,'Base stats'!H:H)/IF(_xlfn.XLOOKUP(B151,'Base stats'!B:B,'Base stats'!I:I)&lt;&gt;1,(122.5/70),1.2),IF(_xlfn.XLOOKUP(B151,'Base stats'!B:B,'Base stats'!H:H)&gt;=30,5,IF(_xlfn.XLOOKUP(B151,'Base stats'!B:B,'Base stats'!H:H)&gt;=15,3,IF(_xlfn.XLOOKUP(B151,'Base stats'!B:B,'Base stats'!H:H)&gt;=10,2,1)))),"Immortal")</f>
        <v>15</v>
      </c>
      <c r="AS151" s="35">
        <f>IFERROR(IF(OR(_xlfn.XLOOKUP(B151,'Base stats'!B:B,'Base stats'!F:F)="Atypical reproduction",_xlfn.XLOOKUP(B151,'Base stats'!B:B,'Base stats'!F:F)="Lay eggs"),"Lay eggs",MIN(20,MAX(5.5,ROUND(((_xlfn.XLOOKUP(B151,'Base stats'!B:B,'Base stats'!F:F)-25)*(14.5/615) + 5.5)*2,0)/2))),"Unknown")</f>
        <v>6.5</v>
      </c>
      <c r="AT151" s="8">
        <f>IF(_xlfn.XLOOKUP(B151,'Base stats'!B:B,'Base stats'!G:G)="Atypical reproduction","No",IFERROR(MAX(IF(_xlfn.XLOOKUP(B151,'Base stats'!B:B,'Base stats'!G:G)&lt;0.5,0.2,0.3),MROUND(_xlfn.XLOOKUP(B151,'Base stats'!B:B,'Base stats'!G:G)/(365/60),0.2)),"Unknown"))</f>
        <v>0.3</v>
      </c>
      <c r="AU151" s="8">
        <f t="shared" si="15"/>
        <v>0.15000000000000002</v>
      </c>
      <c r="AV151" s="8">
        <f>IFERROR(IFERROR(MROUND(_xlfn.XLOOKUP(B151,'Base stats'!B:B,'Base stats'!J:J),0.1),"Lay eggs"),"Cannot breed")</f>
        <v>4</v>
      </c>
      <c r="AW151" s="2" t="str">
        <f t="shared" si="16"/>
        <v>false</v>
      </c>
      <c r="AX151" s="2" t="str">
        <f>IF(_xlfn.XLOOKUP(_xlfn.XLOOKUP(Animals!B151,'Base stats'!B:B,'Base stats'!E:E),Groups!A:A,Groups!AK:AK)=1,"true","false")</f>
        <v>false</v>
      </c>
      <c r="AY151" s="25" t="str">
        <f>IF(_xlfn.XLOOKUP(B151,'Base stats'!B:B,'Base stats'!Y:Y)="Liquor","Liquor, CarnivoreAnimalStrict",IF(AND(_xlfn.XLOOKUP(B151,'Base stats'!B:B,'Base stats'!Y:Y)="Carnivore",_xlfn.XLOOKUP(_xlfn.XLOOKUP(B151,'Base stats'!B:B,'Base stats'!E:E),Groups!A:A,Groups!AJ:AJ)="Photonozoa"),"CarnivoreAnimalStrict, OvivoreAnimal",IF(_xlfn.XLOOKUP(B151,'Base stats'!B:B,'Base stats'!Y:Y)="Carnivore","CarnivoreAnimal, OvivoreAnimal",IF(_xlfn.XLOOKUP(B151,'Base stats'!B:B,'Base stats'!Y:Y)="Dendrovore","VegetarianRoughAnimal, DendrovoreAnimal",IF(_xlfn.XLOOKUP(B151,'Base stats'!B:B,'Base stats'!Y:Y)="Herbivore","VegetarianRoughAnimal",IF(_xlfn.XLOOKUP(B151,'Base stats'!B:B,'Base stats'!Y:Y)="OmnivoreRough","OmnivoreRoughAnimal, OvivoreAnimal","OmnivoreAnimal, OvivoreAnimal"))))))</f>
        <v>CarnivoreAnimal, OvivoreAnimal</v>
      </c>
      <c r="AZ151" s="2" t="str">
        <f>IF(_xlfn.XLOOKUP(_xlfn.XLOOKUP(B151,'Base stats'!B:B,'Base stats'!E:E),Groups!A:A,Groups!D:D)=1,MROUND((1-J151)*5+1,2)*IF(J151&lt;=0.4,2,1),"No")</f>
        <v>No</v>
      </c>
      <c r="BA151" s="2" t="str">
        <f>IF(AND(_xlfn.XLOOKUP(B151,'Base stats'!B:B,'Base stats'!AH:AH)="&lt;li&gt;Seal&lt;/li&gt;",G151="Odyssey"),"&lt;li&gt;AEXP_Seal&lt;/li&gt;",_xlfn.XLOOKUP(B151,'Base stats'!B:B,'Base stats'!AH:AH))</f>
        <v>&lt;li&gt;Cat&lt;/li&gt;</v>
      </c>
      <c r="BB151" s="2" t="str">
        <f>_xlfn.XLOOKUP(B151,'Base stats'!B:B,'Base stats'!AG:AG)</f>
        <v>Leather_Light</v>
      </c>
      <c r="BC151" s="23" t="str">
        <f>_xlfn.XLOOKUP(_xlfn.XLOOKUP(B151,'Base stats'!B:B,'Base stats'!E:E),Groups!A:A,Groups!AL:AL)</f>
        <v>QuadrupedAnimalWithPawsAndTail</v>
      </c>
      <c r="BD151" s="23">
        <f>MIN(1,MROUND(IF(AND(AO151&lt;0.5,_xlfn.XLOOKUP(B151,'Base stats'!B:B,'Base stats'!AA:AA)=0),0,IF(OR(_xlfn.XLOOKUP(Animals!B151,'Base stats'!B:B,'Base stats'!O:O)=2,_xlfn.XLOOKUP(_xlfn.XLOOKUP(B151,'Base stats'!B:B,'Base stats'!E:E),Groups!A:A,Groups!AN:AN)=0),0,_xlfn.XLOOKUP(_xlfn.XLOOKUP(B151,'Base stats'!B:B,'Base stats'!E:E),Groups!A:A,Groups!AN:AN)/IF(_xlfn.XLOOKUP(Animals!B151,'Base stats'!B:B,'Base stats'!O:O)=1,2,1)))+_xlfn.XLOOKUP(B151,'Base stats'!B:B,'Base stats'!AC:AC),0.005))</f>
        <v>0</v>
      </c>
      <c r="BE151" s="23">
        <f>MIN(1,MROUND(IF(AND(AO151&lt;0.5,_xlfn.XLOOKUP(B151,'Base stats'!B:B,'Base stats'!AA:AA)=0),0,IF(_xlfn.XLOOKUP(_xlfn.XLOOKUP(B151,'Base stats'!B:B,'Base stats'!E:E),Groups!A:A,Groups!AO:AO)=0,0,_xlfn.XLOOKUP(_xlfn.XLOOKUP(B151,'Base stats'!B:B,'Base stats'!E:E),Groups!A:A,Groups!AO:AO)/IF(_xlfn.XLOOKUP(Animals!B151,'Base stats'!B:B,'Base stats'!O:O)=2,3,1)))+_xlfn.XLOOKUP(B151,'Base stats'!B:B,'Base stats'!AD:AD),0.005))</f>
        <v>0</v>
      </c>
      <c r="BF151" s="2">
        <f>IF(J151&gt;0.3,"No",_xlfn.XLOOKUP(_xlfn.XLOOKUP(Animals!B151,'Base stats'!B:B,'Base stats'!E:E),Groups!A:A,Groups!AP:AP))</f>
        <v>1</v>
      </c>
      <c r="BG151" s="2">
        <f>IF(AND(J151&lt;=0.65,_xlfn.XLOOKUP(_xlfn.XLOOKUP(Animals!B151,'Base stats'!B:B,'Base stats'!E:E),Groups!A:A,Groups!AP:AP)&lt;&gt;"No",_xlfn.XLOOKUP(_xlfn.XLOOKUP(B151,'Base stats'!B:B,'Base stats'!E:E),Groups!A:A,Groups!D:D)=0),MROUND((80/3)*IF(_xlfn.XLOOKUP(B151,'Base stats'!B:B,'Base stats'!O:O)=2,0.2,AO151) + 24*(1-IF(BF151="No",0,BF151)) + 16/3, 12),"No")</f>
        <v>12</v>
      </c>
      <c r="BH151" s="2">
        <f>IF(AND(_xlfn.XLOOKUP(_xlfn.XLOOKUP(B151,'Base stats'!B:B,'Base stats'!E:E),Groups!A:A,Groups!AQ:AQ)=1,AO151&lt;=0.35),8,12)</f>
        <v>12</v>
      </c>
      <c r="BI151" s="2" t="str">
        <f>IF(_xlfn.XLOOKUP(_xlfn.XLOOKUP(B151,'Base stats'!B:B,'Base stats'!E:E),Groups!A:A,Groups!D:D)=0,_xlfn.XLOOKUP(_xlfn.XLOOKUP(B151,'Base stats'!B:B,'Base stats'!E:E),Groups!A:A,Groups!AR:AR),"None")</f>
        <v>Intermediate</v>
      </c>
      <c r="BJ151" s="2" t="str">
        <f>IF(AND(_xlfn.XLOOKUP(_xlfn.XLOOKUP(B151,'Base stats'!B:B,'Base stats'!E:E),Groups!A:A,Groups!AS:AS)=1,OR(_xlfn.XLOOKUP(B151,'Base stats'!B:B,'Base stats'!Y:Y)="Carnivore",_xlfn.XLOOKUP(B151,'Base stats'!B:B,'Base stats'!Y:Y)="Omnivore")),"true","false")</f>
        <v>true</v>
      </c>
      <c r="BK151" s="2">
        <f>IF(BJ151="true",MROUND(IF(AND(AO151&gt;0.5,OR(_xlfn.XLOOKUP(_xlfn.XLOOKUP(B151,'Base stats'!B:B,'Base stats'!E:E),Groups!A:A,Groups!AJ:AJ)="Photonozoa",_xlfn.XLOOKUP(_xlfn.XLOOKUP(B151,'Base stats'!B:B,'Base stats'!E:E),Groups!A:A,Groups!AJ:AJ)="Mammal")),Animals!AO151*1.75*IF(AW151="true",1.5,1),IF(AO151&lt;0.5,Animals!AO151*0.5,Animals!AO151)),IF(AO151&gt;2,0.5,IF(AO151&gt;0.5,0.25,0.1))),"No")</f>
        <v>0.2</v>
      </c>
      <c r="BL151" s="2">
        <f t="shared" si="17"/>
        <v>1</v>
      </c>
      <c r="BM151" s="25" t="str">
        <f>IF(_xlfn.XLOOKUP(B151,'Base stats'!B:B,'Base stats'!AN:AN)="Standard","No",MROUND((_xlfn.XLOOKUP(B151,'Base stats'!B:B,'Base stats'!AN:AN)/3.6)/I151,0.1))</f>
        <v>No</v>
      </c>
      <c r="BN151" s="25" t="str">
        <f t="shared" si="18"/>
        <v>false</v>
      </c>
      <c r="BO151" s="25" t="str">
        <f>IF(AND(OR(_xlfn.XLOOKUP(B151,'Base stats'!B:B,'Base stats'!Y:Y)="Carnivore",_xlfn.XLOOKUP(B151,'Base stats'!B:B,'Base stats'!Y:Y)="Omnivore",_xlfn.XLOOKUP(B151,'Base stats'!B:B,'Base stats'!Y:Y)="OmnivoreRough"),_xlfn.XLOOKUP(_xlfn.XLOOKUP(B151,'Base stats'!B:B,'Base stats'!E:E),Groups!A:A,Groups!AT:AT)=1),"true","false")</f>
        <v>false</v>
      </c>
      <c r="BP151" s="25" t="str" cm="1">
        <f t="array" ref="BP151">IF(
  _xlfn.TEXTJOIN(", ",TRUE,
    IF(AND(BJ151="true",AO151&gt;0.5,BI151&lt;&gt;"None"),"AttackTarget",""),
    IF(AND(_xlfn.XLOOKUP(_xlfn.XLOOKUP(B151,'Base stats'!B:B,'Base stats'!E:E),Groups!A:A,Groups!AJ:AJ="Mammal"),OR(_xlfn.XLOOKUP(B151,'Base stats'!B:B,'Base stats'!Y:Y)="Omnivore",_xlfn.XLOOKUP(B151,'Base stats'!B:B,'Base stats'!Y:Y)="OmnivoreRough")),"Forage",""),
    IF(BG151&lt;=36,"Comfort",""),
    IF(_xlfn.XLOOKUP(B151,'Base stats'!B:B,'Base stats'!AE:AE)&lt;&gt;"No",_xlfn.XLOOKUP(B151,'Base stats'!B:B,'Base stats'!AE:AE),"")
  ) = "",
  "No",
  _xlfn.TEXTJOIN(", ",TRUE,
    IF(AND(BJ151="true",AO151&gt;0.5,BI151&lt;&gt;"None"),"AttackTarget",""),
    IF(AND(_xlfn.XLOOKUP(_xlfn.XLOOKUP(B151,'Base stats'!B:B,'Base stats'!E:E),Groups!A:A,Groups!AJ:AJ="Mammal"),OR(_xlfn.XLOOKUP(B151,'Base stats'!B:B,'Base stats'!Y:Y)="Omnivore",_xlfn.XLOOKUP(B151,'Base stats'!B:B,'Base stats'!Y:Y)="OmnivoreRough")),"Forage",""),
    IF(BG151&lt;=36,"Comfort",""),
    IF(_xlfn.XLOOKUP(B151,'Base stats'!B:B,'Base stats'!AE:AE)&lt;&gt;"No",_xlfn.XLOOKUP(B151,'Base stats'!B:B,'Base stats'!AE:AE),"")
  )
)</f>
        <v>Comfort</v>
      </c>
      <c r="BQ151" s="25" t="str">
        <f>IF(
   AND(
      'Base stats'!AN151="Standard",_xlfn.XLOOKUP(_xlfn.XLOOKUP(B151,'Base stats'!B:B,'Base stats'!E:E),Groups!A:A,Groups!AU:AU)=0,
      OR(
      BO151="True"
      )
   ),
   10,
   IF(
       OR(BM151&lt;&gt;"No",_xlfn.XLOOKUP(_xlfn.XLOOKUP(B151,'Base stats'!B:B,'Base stats'!E:E),Groups!A:A,Groups!AU:AU)=1),
      1,
      "No"
   )
)</f>
        <v>No</v>
      </c>
      <c r="BR151" s="9">
        <f>MROUND((1 + ((0.2*IF(OR(Q151="No",R151="No",R151=0),0,Q151/R151)
+IF(OR(V151="No",S151="No",T151="No"),0,S151/T151*(LEN(V151)-LEN(SUBSTITUTE(V151,",",""))+1))
+IF(OR(X151="No",Y151="No"),0,X151/Y151)
+IF(OR(AD151="No",AE151="No"),0,AD151/AE151)
+IF(OR(AL151="No",AI151="No",AJ151="No"),0,AI151/AJ151*(LEN(AL151)-LEN(SUBSTITUTE(AL151,",",""))+1))
)/(0.2*IF(OR(Q151="No",R151="No",R151=0),0,1)
+IF(OR(V151="No",S151="No",T151="No"),0,LEN(V151)-LEN(SUBSTITUTE(V151,",",""))+1)
+IF(OR(X151="No",Y151="No"),0,1)
+IF(OR(AD151="No",AE151="No"),0,1)
+IF(OR(AL151="No",AI151="No",AJ151="No"),0,LEN(AL151)-LEN(SUBSTITUTE(AL151,",",""))+1))*62%)* 2)*(1 + (AP151 / (IF(_xlfn.XLOOKUP(_xlfn.XLOOKUP(B151,'Base stats'!B:B,'Base stats'!E:E),Groups!A:A,Groups!AJ:AJ)="Photonozoa",0.3,1)) + _xlfn.XLOOKUP(B151,'Base stats'!B:B,'Base stats'!AV:AV) * 1.8) * 2) * 2.5 + 10 + I151 * 2,5)+IF(_xlfn.XLOOKUP(B151,'Base stats'!B:B,'Base stats'!AK:AK)=1,50,0)</f>
        <v>45</v>
      </c>
      <c r="BS151" s="8">
        <f t="shared" si="19"/>
        <v>0.30000000000000004</v>
      </c>
      <c r="BT151" s="8" t="str">
        <f>_xlfn.XLOOKUP(B151,'Base stats'!B:B,'Base stats'!AF:AF)</f>
        <v>No</v>
      </c>
      <c r="BU151" s="2" t="str">
        <f>IF(AND(J151&lt;=0.95,OR(_xlfn.XLOOKUP(B151,'Base stats'!B:B,'Base stats'!AK:AK)=1,_xlfn.XLOOKUP(B151,'Base stats'!B:B,'Base stats'!Y:Y)="Carnivore",_xlfn.XLOOKUP(B151,'Base stats'!B:B,'Base stats'!Y:Y)="Omnivore",BE151&gt;0.1)),"true","false")</f>
        <v>true</v>
      </c>
      <c r="BV151" s="2" t="str">
        <f>IF(_xlfn.XLOOKUP(B151,'Base stats'!B:B,'Base stats'!AI:AI)=1,"true","false")</f>
        <v>false</v>
      </c>
      <c r="BW151" s="25" t="str">
        <f>IF(E151="BaseInsect","AnimalInsect",
IF(J151&gt;0.95,"AnimalExotic",
_xlfn.TEXTJOIN(", ",TRUE,
IF(OR(_xlfn.XLOOKUP(B151,'Base stats'!B:B,'Base stats'!AM:AM)=1,AND(_xlfn.XLOOKUP(B151,'Base stats'!B:B,'Base stats'!O:O)=0,_xlfn.XLOOKUP(_xlfn.XLOOKUP(B151,'Base stats'!B:B,'Base stats'!E:E),Groups!A:A,Groups!B:B)&gt;0)),"AnimalUncommon","AnimalCommon"),
IF(AND(_xlfn.XLOOKUP(B151,'Base stats'!B:B,'Base stats'!O:O)=2,_xlfn.XLOOKUP(_xlfn.XLOOKUP(B151,'Base stats'!B:B,'Base stats'!E:E),Groups!A:A,Groups!D:D)=0),"AnimalPet",IF(AND(_xlfn.XLOOKUP(B151,'Base stats'!B:B,'Base stats'!O:O)&lt;&gt;0,_xlfn.XLOOKUP(_xlfn.XLOOKUP(B151,'Base stats'!B:B,'Base stats'!E:E),Groups!A:A,Groups!D:D)&lt;&gt;0),"AnimalFarm","")),
IF(OR(_xlfn.XLOOKUP(B151,'Base stats'!B:B,'Base stats'!AK:AK)=1,AND(BI151&lt;&gt;"None",BR151&gt;=60),ISNUMBER(SEARCH("Attack target",BP151))),"AnimalFighter","")
)))</f>
        <v>AnimalCommon, AnimalPet</v>
      </c>
      <c r="BX151" s="25" t="str">
        <f>IF(G151="None",TRIM(
SUBSTITUTE(
IF(COUNTIF(Biomes!B$2:B$259,"="&amp;$C151)&gt;0,Biomes!B$1&amp;", ","")&amp;
IF(COUNTIF(Biomes!C$2:C$259,"="&amp;$C151)&gt;0,Biomes!C$1&amp;", ","")&amp;
IF(COUNTIF(Biomes!D$2:D$259,"="&amp;$C151)&gt;0,Biomes!D$1&amp;", ","")&amp;
IF(COUNTIF(Biomes!F$2:F$259,"="&amp;$C151)&gt;0,Biomes!F$1&amp;", ","")&amp;
IF(COUNTIF(Biomes!G$2:G$259,"="&amp;$C151)&gt;0,Biomes!G$1&amp;", ","")&amp;
IF(COUNTIF(Biomes!H$2:H$259,"="&amp;$C151)&gt;0,Biomes!H$1&amp;", ","")&amp;
IF(COUNTIF(Biomes!I$2:I$259,"="&amp;$C151)&gt;0,Biomes!I$1&amp;", ","")&amp;
IF(COUNTIF(Biomes!J$2:J$259,"="&amp;$C151)&gt;0,Biomes!J$1&amp;", ","")&amp;
IF(COUNTIF(Biomes!M$2:M$259,"="&amp;$C151)&gt;0,Biomes!M$1&amp;", ","")&amp;
IF(COUNTIF(Biomes!N$2:N$259,"="&amp;$C151)&gt;0,Biomes!N$1&amp;", ","")&amp;
IF(COUNTIF(Biomes!O$2:O$259,"="&amp;$C151)&gt;0,Biomes!O$1&amp;", ","")&amp;
IF(COUNTIF(Biomes!P$2:P$259,"="&amp;$C151)&gt;0,Biomes!P$1&amp;", ","")&amp;
IF(COUNTIF(Biomes!K$2:K$259,"="&amp;$C151)&gt;0,Biomes!K$1&amp;", ","")&amp;
IF(COUNTIF(Biomes!Q$3:Q$259,"="&amp;$C151)&gt;0,Biomes!Q$1&amp;", ","")&amp;
IF(COUNTIF(Biomes!L$2:L$259,"="&amp;$C151)&gt;0,Biomes!L$1&amp;", ","")&amp;
IF(COUNTIF(Biomes!E$2:E$259,"="&amp;$C151)&gt;0,Biomes!E$1&amp;", ","")&amp;IF(COUNTIF(Biomes!S$2:S$259,"="&amp;$C151)&gt;0,Biomes!S$1&amp;", ","")&amp;
IF(COUNTIF(Biomes!R$2:R$259,"="&amp;$C151)&gt;0,Biomes!R$1&amp;", ",""),", ","")
),_xlfn.XLOOKUP(B151,B:B,BX:BX))</f>
        <v/>
      </c>
      <c r="BY151" s="25" t="str">
        <f>IF(_xlfn.XLOOKUP(B151,'Base stats'!B:B,'Base stats'!AJ:AJ)=1,"true","false")</f>
        <v>false</v>
      </c>
      <c r="BZ151" s="25">
        <f>IF(_xlfn.XLOOKUP(B151,'Base stats'!B:B,'Base stats'!N:N)=1,"No",MAX(0.001,MIN(MROUND(IF(AND(BJ151="True",CC151="False"),POWER(10,3.47*LOG10(_xlfn.XLOOKUP(B151,'Base stats'!B:B,'Base stats'!C:C)*1000)^-0.96),POWER(10,4.15*LOG10(_xlfn.XLOOKUP(B151,'Base stats'!B:B,'Base stats'!C:C)*1000)^-0.73))*IF(_xlfn.XLOOKUP(B151,'Base stats'!B:B,'Base stats'!AK:AK)=1,0.5,1)*IF(_xlfn.XLOOKUP(B151,'Base stats'!B:B,'Base stats'!AM:AM)=1,0.1,1)/100,IF(_xlfn.XLOOKUP(B151,'Base stats'!B:B,'Base stats'!AM:AM)=1,0.001,0.025)),0.5)))</f>
        <v>0.1</v>
      </c>
      <c r="CA151" s="25" t="str">
        <f>IF(P151="Standard","No",MAX(0.001,MIN(MROUND(IF(AND(BJ151="True",CC151="False"),POWER(10,3.47*LOG10(_xlfn.XLOOKUP(B151,'Base stats'!B:B,'Base stats'!C:C)*1000)^-0.96),POWER(10,4.15*LOG10(_xlfn.XLOOKUP(B151,'Base stats'!B:B,'Base stats'!C:C)*1000)^-0.73))*IF(_xlfn.XLOOKUP(B151,'Base stats'!B:B,'Base stats'!AM:AM)=1,0.1,1)*_xlfn.XLOOKUP(B151,'Base stats'!B:B,'Base stats'!R:R)/100,IF(_xlfn.XLOOKUP(B151,'Base stats'!B:B,'Base stats'!AM:AM)=1,0.001,0.025)),0.5)))</f>
        <v>No</v>
      </c>
      <c r="CB151" s="25" t="str">
        <f>IF(_xlfn.XLOOKUP(_xlfn.XLOOKUP(B151,'Base stats'!B:B,'Base stats'!E:E),Groups!A:A,Groups!AJ:AJ)="Mammal","True","False")</f>
        <v>True</v>
      </c>
      <c r="CC151" s="25" t="str">
        <f>IF(OR(_xlfn.XLOOKUP(_xlfn.XLOOKUP(B151,'Base stats'!B:B,'Base stats'!E:E),Groups!A:A,Groups!AJ:AJ)="Reptile",_xlfn.XLOOKUP(_xlfn.XLOOKUP(B151,'Base stats'!B:B,'Base stats'!E:E),Groups!A:A,Groups!AJ:AJ)="Amphibian",_xlfn.XLOOKUP(_xlfn.XLOOKUP(B151,'Base stats'!B:B,'Base stats'!E:E),Groups!A:A,Groups!AJ:AJ)="Invertebrate"),"True","False")</f>
        <v>False</v>
      </c>
      <c r="CD151" s="25" t="str">
        <f t="shared" si="20"/>
        <v>False</v>
      </c>
      <c r="CE151" s="25" t="str">
        <f>IF(_xlfn.XLOOKUP(_xlfn.XLOOKUP(B151,'Base stats'!B:B,'Base stats'!E:E),Groups!A:A,Groups!AX:AX),"True","False")</f>
        <v>False</v>
      </c>
      <c r="CF151" s="25" t="str">
        <f>IF(_xlfn.XLOOKUP(_xlfn.XLOOKUP(B151,'Base stats'!B:B,'Base stats'!E:E),Groups!A:A,Groups!AY:AY),"True","False")</f>
        <v>False</v>
      </c>
      <c r="CG151" s="25" t="str">
        <f>IF(_xlfn.XLOOKUP(_xlfn.XLOOKUP(B151,'Base stats'!B:B,'Base stats'!E:E),Groups!A:A,Groups!AW:AW),"True","False")</f>
        <v>False</v>
      </c>
      <c r="CH151" s="25" t="str">
        <f>IF(
OR(
_xlfn.XLOOKUP(_xlfn.XLOOKUP(B151,'Base stats'!B:B,'Base stats'!E:E),Groups!A:A,Groups!AZ:AZ)=0,
AND(
_xlfn.XLOOKUP(B151,'Base stats'!B:B,'Base stats'!Y:Y)&lt;&gt;"Carnivore",
_xlfn.XLOOKUP(B151,'Base stats'!B:B,'Base stats'!Y:Y)&lt;&gt;"Omnivore",
_xlfn.XLOOKUP(B151,'Base stats'!B:B,'Base stats'!Y:Y)&lt;&gt;"OmnivoreRough"
)
),
"No",
IF(
_xlfn.XLOOKUP(_xlfn.XLOOKUP(B151,'Base stats'!B:B,'Base stats'!E:E),Groups!A:A,Groups!AZ:AZ)=1,
"Flesh",
IF(
_xlfn.XLOOKUP(_xlfn.XLOOKUP(B151,'Base stats'!B:B,'Base stats'!E:E),Groups!A:A,Groups!AZ:AZ)=2,
"Bone",
""
)
)
)</f>
        <v>No</v>
      </c>
      <c r="CI151" s="25" t="str">
        <f>IF(_xlfn.XLOOKUP(_xlfn.XLOOKUP(B151,'Base stats'!B:B,'Base stats'!E:E),Groups!A:A,Groups!BB:BB),"True","False")</f>
        <v>True</v>
      </c>
      <c r="CJ151" s="25" t="str">
        <f>IF(_xlfn.XLOOKUP(_xlfn.XLOOKUP(B151,'Base stats'!B:B,'Base stats'!E:E),Groups!A:A,Groups!BA:BA),"True","False")</f>
        <v>False</v>
      </c>
    </row>
    <row r="152" spans="1:88" ht="16.5" thickTop="1" thickBot="1" x14ac:dyDescent="0.3">
      <c r="A152" s="26" t="str">
        <f>_xlfn.XLOOKUP(B152,'Base stats'!B:B,'Base stats'!A:A)</f>
        <v>British Shorthair cat</v>
      </c>
      <c r="B152" s="6" t="s">
        <v>905</v>
      </c>
      <c r="C152" s="28" t="s">
        <v>833</v>
      </c>
      <c r="D152" s="28" t="s">
        <v>872</v>
      </c>
      <c r="E152" s="28" t="s">
        <v>673</v>
      </c>
      <c r="F152" s="28" t="s">
        <v>673</v>
      </c>
      <c r="G152" s="28" t="s">
        <v>673</v>
      </c>
      <c r="H152" s="2">
        <f>MROUND((
  (IF(AND(_xlfn.XLOOKUP(B152,'Base stats'!B:B,'Base stats'!AL:AL)=0,BI152="None",_xlfn.XLOOKUP(_xlfn.XLOOKUP(B152,'Base stats'!B:B,'Base stats'!E:E),Groups!A:A,Groups!B:B)=0), (18 + BR152 * 2.7) * 0.5,
    IF(AND(_xlfn.XLOOKUP(B152,'Base stats'!B:B,'Base stats'!AL:AL)=0,OR(AO152&lt;0.55,AND(BI152="Intermediate",_xlfn.XLOOKUP(_xlfn.XLOOKUP(B152,'Base stats'!B:B,'Base stats'!E:E),Groups!A:A,Groups!B:B)&lt;2))), (18 + BR152 * 2.7),
      IF(OR(BI152="Advanced",_xlfn.XLOOKUP(B152,'Base stats'!B:B,'Base stats'!AL:AL)=1,_xlfn.XLOOKUP(_xlfn.XLOOKUP(B152,'Base stats'!B:B,'Base stats'!E:E),Groups!A:A,Groups!B:B)=2), (18 + BR152 * 2.7) + 250, (18 + BR152 * 2.7))
    )
  ))
  + AO152 * 80
  + IF(COUNTIF(EggMilk!K$2:K$998, A152) &gt; 0, 125, 0)
  + IF(COUNTIF(EggMilk!P$2:P$998, A152) &gt; 0, 90, 0)
  + IF(COUNTIF(EggMilk!A$2:A$998, A152) &gt; 0, 90, 0)
)
* (0.8 + 0.4 * J152)
* 0.75,25)</f>
        <v>100</v>
      </c>
      <c r="I152" s="2">
        <f>MROUND(ROUNDDOWN(_xlfn.XLOOKUP(B152,'Base stats'!B:B,'Base stats'!L:L)/3.6/(23.3/11),1),0.5)</f>
        <v>5.5</v>
      </c>
      <c r="J152" s="2">
        <f>IF(OR(_xlfn.XLOOKUP(B152,'Base stats'!B:B,'Base stats'!AB:AB)=1,_xlfn.XLOOKUP(_xlfn.XLOOKUP(B152,'Base stats'!B:B,'Base stats'!E:E),Groups!A:A,Groups!C:C)="Untamable"),1,IF(_xlfn.XLOOKUP(B152,'Base stats'!B:B,'Base stats'!AL:AL)=1,0.99,MIN(MROUND((1-0.6282*EXP(-0.459*AO152))*_xlfn.XLOOKUP(_xlfn.XLOOKUP(B152,'Base stats'!B:B,'Base stats'!E:E),Groups!A:A,Groups!C:C)*IF(_xlfn.XLOOKUP(B152,'Base stats'!B:B,'Base stats'!O:O)=1,0.5,IF(_xlfn.XLOOKUP(B152,'Base stats'!B:B,'Base stats'!O:O)=2,0,1)),0.05),IF(AO152&gt;3.5,0.985,0.95))))</f>
        <v>0</v>
      </c>
      <c r="K152" s="2">
        <f>ROUNDUP(AO152*_xlfn.XLOOKUP(_xlfn.XLOOKUP(B152,'Base stats'!B:B,'Base stats'!E:E),Groups!A:A,Groups!E:E),0)</f>
        <v>1</v>
      </c>
      <c r="L152" s="2">
        <f>IF(OR(_xlfn.XLOOKUP(_xlfn.XLOOKUP(B152,'Base stats'!B:B,'Base stats'!E:E),Groups!A:A,Groups!F:F)=2,ISNUMBER(SEARCH("SeaIce",BX152)),ISNUMBER(SEARCH("IceSheet",BX152))),-50,IF(OR(ISNUMBER(SEARCH("GlacialPlain",BX152)),ISNUMBER(SEARCH("Tundra",BX152))),-40,IF(OR(ISNUMBER(SEARCH("Alpine",BX152)),ISNUMBER(SEARCH("BorealForest",BX152)),ISNUMBER(SEARCH("ColdBog",BX152))),-30,IF(OR(ISNUMBER(SEARCH("TemperateForest",BX152)),ISNUMBER(SEARCH("TemperateSwamp",BX152))),-20,IF(_xlfn.XLOOKUP(_xlfn.XLOOKUP(B152,'Base stats'!B:B,'Base stats'!E:E),Groups!A:A,Groups!F:F)=1,-15,IF(OR(ISNUMBER(SEARCH("Desert",BX152)),ISNUMBER(SEARCH("ExtremeDesert",BX152))),-10,IF(OR(ISNUMBER(SEARCH("Grasslands",BX152)),ISNUMBER(SEARCH("TropicalRainforest",BX152)),ISNUMBER(SEARCH("TropicalSwamp",BX152))),10,0)))))))-IF(CC152="False",MIN(IFERROR(MAX(MROUND(LOG10(_xlfn.XLOOKUP(B152,'Base stats'!B:B,'Base stats'!C:C)^(2/3))*10,5),5),5),30))-_xlfn.XLOOKUP(B152,'Base stats'!B:B,'Base stats'!P:P)+IF(CC152="True",5,0)</f>
        <v>-20</v>
      </c>
      <c r="M152" s="2">
        <f>IF(OR(_xlfn.XLOOKUP(_xlfn.XLOOKUP(B152,'Base stats'!B:B,'Base stats'!E:E),Groups!A:A,Groups!G:G)=2,ISNUMBER(SEARCH("Desert",BX152)),ISNUMBER(SEARCH("ExtremeDesert",BX152)),ISNUMBER(SEARCH("LavaField",BX152))),50,IF(ISNUMBER(SEARCH("Grasslands",BX152)),45,IF(OR(_xlfn.XLOOKUP(_xlfn.XLOOKUP(B152,'Base stats'!B:B,'Base stats'!E:E),Groups!A:A,Groups!G:G)=1,ISNUMBER(SEARCH("TropicalRainforest",BX152)),ISNUMBER(SEARCH("TropicalSwamp",BX152))),40,IF(OR(ISNUMBER(SEARCH("TemperateForest",BX152)),ISNUMBER(SEARCH("TemperateSwamp",BX152))),35,IF(OR(ISNUMBER(SEARCH("Alpine",BX152)),ISNUMBER(SEARCH("BorealForest",BX152)),ISNUMBER(SEARCH("ColdBog",BX152))),30,IF(ISNUMBER(OR(ISNUMBER(SEARCH("GlacialPlain",BX152)),SEARCH("Tundra",BX152))),25,IF(OR(ISNUMBER(SEARCH("SeaIce",BX152)),ISNUMBER(SEARCH("IceSheet",BX152)),ISNUMBER(SEARCH("TropicalSwamp",BX152))),10,35)))))))+_xlfn.XLOOKUP(B152,'Base stats'!B:B,'Base stats'!Q:Q)</f>
        <v>40</v>
      </c>
      <c r="N152" s="8" t="str">
        <f>IF(
_xlfn.XLOOKUP(
_xlfn.XLOOKUP(B152,'Base stats'!B:B,'Base stats'!E:E),
Groups!A:A,
Groups!L:L
)=1,
MIN(
MROUND(
IF(
_xlfn.XLOOKUP(B152,'Animals CE'!B:B,'Animals CE'!Z:Z)&lt;=1.5,
_xlfn.XLOOKUP(B152,'Animals CE'!B:B,'Animals CE'!Z:Z)/2+0.05,
0.8+
(_xlfn.XLOOKUP(B152,'Animals CE'!B:B,'Animals CE'!Z:Z)-1.5)
*0.02
),
0.05
),
200%
),
"No"
)</f>
        <v>No</v>
      </c>
      <c r="O152" s="8" t="str">
        <f>IF(
_xlfn.XLOOKUP(
_xlfn.XLOOKUP(B152,'Base stats'!B:B,'Base stats'!E:E),
Groups!A:A,
Groups!L:L
)=1,
MIN(
MROUND(
IF(
_xlfn.XLOOKUP(B152,'Animals CE'!B:B,'Animals CE'!AA:AA)&lt;=1.5,
_xlfn.XLOOKUP(B152,'Animals CE'!B:B,'Animals CE'!AA:AA)/2+0.05,
0.8+
(_xlfn.XLOOKUP(B152,'Animals CE'!B:B,'Animals CE'!AA:AA)-1.5)
*0.02
),
0.05
),
200%
),
"No"
)</f>
        <v>No</v>
      </c>
      <c r="P152" s="2" t="str">
        <f>_xlfn.XLOOKUP(B152,'Base stats'!B:B,'Base stats'!R:R)</f>
        <v>Standard</v>
      </c>
      <c r="Q152" s="13">
        <f>MROUND((LOG10(_xlfn.XLOOKUP(B152,'Base stats'!B:B,'Base stats'!AR:AR))*(AO152^0.5)+(_xlfn.XLOOKUP(B152,'Base stats'!B:B,'Base stats'!AR:AR)/1000)^(2/3)+_xlfn.XLOOKUP(B152,'Base stats'!B:B,'Base stats'!BA:BA)/2)+0.5,0.5)</f>
        <v>2.5</v>
      </c>
      <c r="R152" s="7">
        <f>IF(Q152="No","No",MAX(1,MROUND(_xlfn.XLOOKUP(B152,'Base stats'!B:B,'Base stats'!C:C)^0.165,0.05)))</f>
        <v>1.3</v>
      </c>
      <c r="S152" s="13" t="str">
        <f>IF(_xlfn.XLOOKUP(_xlfn.XLOOKUP(B152,'Base stats'!B:B,'Base stats'!E:E),Groups!A:A,Groups!P:P)=0,"No",MROUND((LOG10(_xlfn.XLOOKUP(B152,'Base stats'!B:B,'Base stats'!AS:AS))*(AO152^0.5)+(_xlfn.XLOOKUP(B152,'Base stats'!B:B,'Base stats'!AS:AS)/1000)^(2/3)+_xlfn.XLOOKUP(B152,'Base stats'!B:B,'Base stats'!BA:BA))+_xlfn.XLOOKUP(B152,'Base stats'!B:B,'Base stats'!AY:AY)+0.5,0.5))</f>
        <v>No</v>
      </c>
      <c r="T152" s="7" t="str">
        <f>IF(S152="No","No",MAX(_xlfn.XLOOKUP(_xlfn.XLOOKUP(B152,'Base stats'!B:B,'Base stats'!E:E),Groups!A:A,Groups!Q:Q),MROUND(_xlfn.XLOOKUP(_xlfn.XLOOKUP(B152,'Base stats'!B:B,'Base stats'!E:E),Groups!A:A,Groups!Q:Q)*_xlfn.XLOOKUP(B152,'Base stats'!B:B,'Base stats'!C:C)^0.165,0.05)))</f>
        <v>No</v>
      </c>
      <c r="U152" s="7" t="str">
        <f>IF(S152="No","No",_xlfn.XLOOKUP(_xlfn.XLOOKUP(B152,'Base stats'!B:B,'Base stats'!E:E),Groups!A:A,Groups!R:R))</f>
        <v>No</v>
      </c>
      <c r="V152" s="7" t="str">
        <f>IF(S152="No","No",_xlfn.XLOOKUP(_xlfn.XLOOKUP(B152,'Base stats'!B:B,'Base stats'!E:E),Groups!A:A,Groups!S:S))</f>
        <v>No</v>
      </c>
      <c r="W152" s="7" t="str">
        <f>IF(S152="No","No",_xlfn.XLOOKUP(_xlfn.XLOOKUP(B152,'Base stats'!B:B,'Base stats'!E:E),Groups!A:A,Groups!T:T))</f>
        <v>No</v>
      </c>
      <c r="X152" s="13" t="str">
        <f>IF(_xlfn.XLOOKUP(B152,'Base stats'!B:B,'Base stats'!W:W)="No","No",MROUND((LOG10(_xlfn.XLOOKUP(B152,'Base stats'!B:B,'Base stats'!AU:AU))*(AO152^0.5)+(_xlfn.XLOOKUP(B152,'Base stats'!B:B,'Base stats'!AU:AU)/1000)^(2/3)+_xlfn.XLOOKUP(B152,'Base stats'!B:B,'Base stats'!AZ:AZ))+0.5+IF(_xlfn.XLOOKUP(_xlfn.XLOOKUP(B152,'Base stats'!B:B,'Base stats'!E:E),Groups!A:A,Groups!U:U)&lt;&gt;3,_xlfn.XLOOKUP(B152,'Base stats'!B:B,'Base stats'!BA:BA),0),0.5))</f>
        <v>No</v>
      </c>
      <c r="Y152" s="7" t="str">
        <f>IF(X152="No","No",MAX(_xlfn.XLOOKUP(_xlfn.XLOOKUP(B152,'Base stats'!B:B,'Base stats'!E:E),Groups!A:A,Groups!V:V),MROUND(_xlfn.XLOOKUP(_xlfn.XLOOKUP(B152,'Base stats'!B:B,'Base stats'!E:E),Groups!A:A,Groups!V:V)*_xlfn.XLOOKUP(B152,'Base stats'!B:B,'Base stats'!C:C)^0.165,0.05)))</f>
        <v>No</v>
      </c>
      <c r="Z152" s="7" t="str">
        <f>IF(X152="No","No",_xlfn.XLOOKUP(_xlfn.XLOOKUP(B152,'Base stats'!B:B,'Base stats'!E:E),Groups!A:A,Groups!W:W))</f>
        <v>No</v>
      </c>
      <c r="AA152" s="7" t="str">
        <f>IF(X152="No","No",_xlfn.XLOOKUP(_xlfn.XLOOKUP(B152,'Base stats'!B:B,'Base stats'!E:E),Groups!A:A,Groups!X:X))</f>
        <v>No</v>
      </c>
      <c r="AB152" s="7" t="str">
        <f>IF(X152="No","No",_xlfn.XLOOKUP(_xlfn.XLOOKUP(B152,'Base stats'!B:B,'Base stats'!E:E),Groups!A:A,Groups!Y:Y))</f>
        <v>No</v>
      </c>
      <c r="AC152" s="7" t="str">
        <f>_xlfn.XLOOKUP(Animals!B152,'Base stats'!B:B,'Base stats'!X:X)</f>
        <v>False</v>
      </c>
      <c r="AD152" s="13">
        <f>IF(_xlfn.XLOOKUP(B152,'Base stats'!B:B,'Base stats'!AT:AT)="No","No",MROUND((LOG10(_xlfn.XLOOKUP(B152,'Base stats'!B:B,'Base stats'!AT:AT))*(AO152^0.75)+(_xlfn.XLOOKUP(B152,'Base stats'!B:B,'Base stats'!AT:AT)/1000)^(2/3)+_xlfn.XLOOKUP(B152,'Base stats'!B:B,'Base stats'!AX:AX)+_xlfn.XLOOKUP(B152,'Base stats'!B:B,'Base stats'!BA:BA))+0.5,0.5))</f>
        <v>4</v>
      </c>
      <c r="AE152" s="7">
        <f>IF(AD152="No","No",MAX(_xlfn.XLOOKUP(_xlfn.XLOOKUP(B152,'Base stats'!B:B,'Base stats'!E:E),Groups!A:A,Groups!Z:Z),MROUND(_xlfn.XLOOKUP(_xlfn.XLOOKUP(B152,'Base stats'!B:B,'Base stats'!E:E),Groups!A:A,Groups!Z:Z)*_xlfn.XLOOKUP(B152,'Base stats'!B:B,'Base stats'!C:C)^0.165,0.05)))</f>
        <v>0.9</v>
      </c>
      <c r="AF152" s="7" t="str">
        <f>IF(AD152="No","No",_xlfn.XLOOKUP(_xlfn.XLOOKUP(B152,'Base stats'!B:B,'Base stats'!E:E),Groups!A:A,Groups!AA:AA))</f>
        <v>Teeth</v>
      </c>
      <c r="AG152" s="7" t="str">
        <f>IF(AD152="No","No",_xlfn.XLOOKUP(_xlfn.XLOOKUP(B152,'Base stats'!B:B,'Base stats'!E:E),Groups!A:A,Groups!AB:AB))</f>
        <v>canines</v>
      </c>
      <c r="AH152" s="7" t="str">
        <f>IF(AD152="No","No",_xlfn.XLOOKUP(_xlfn.XLOOKUP(B152,'Base stats'!B:B,'Base stats'!E:E),Groups!A:A,Groups!AC:AC))</f>
        <v>Bite</v>
      </c>
      <c r="AI152" s="13">
        <f>IF(_xlfn.XLOOKUP(_xlfn.XLOOKUP(B152,'Base stats'!B:B,'Base stats'!E:E),Groups!A:A,Groups!AD:AD)=0,"No",MROUND((LOG10(_xlfn.XLOOKUP(B152,'Base stats'!B:B,'Base stats'!AS:AS))*(AO152^0.75)+(_xlfn.XLOOKUP(B152,'Base stats'!B:B,'Base stats'!AS:AS)/1000)^(2/3)+_xlfn.XLOOKUP(B152,'Base stats'!B:B,'Base stats'!AY:AY)+_xlfn.XLOOKUP(B152,'Base stats'!B:B,'Base stats'!BA:BA))+0.5,0.5))</f>
        <v>3.5</v>
      </c>
      <c r="AJ152" s="7">
        <f>IF(AI152="No","No",MAX(_xlfn.XLOOKUP(_xlfn.XLOOKUP(B152,'Base stats'!B:B,'Base stats'!E:E),Groups!A:A,Groups!AE:AE),MROUND(_xlfn.XLOOKUP(_xlfn.XLOOKUP(B152,'Base stats'!B:B,'Base stats'!E:E),Groups!A:A,Groups!AE:AE)*IF(_xlfn.XLOOKUP(_xlfn.XLOOKUP(B152,'Base stats'!B:B,'Base stats'!E:E),Groups!A:A,Groups!AJ:AJ)="Photonozoa",0.6,1)*_xlfn.XLOOKUP(B152,'Base stats'!B:B,'Base stats'!C:C)^0.165,0.05)))</f>
        <v>0.85000000000000009</v>
      </c>
      <c r="AK152" s="7" t="str">
        <f>IF(AI152="No","No",_xlfn.XLOOKUP(_xlfn.XLOOKUP(B152,'Base stats'!B:B,'Base stats'!E:E),Groups!A:A,Groups!AF:AF))</f>
        <v>FrontLeftPaw, FrontRightPaw</v>
      </c>
      <c r="AL152" s="7" t="str">
        <f>IF(AI152="No","No",_xlfn.XLOOKUP(_xlfn.XLOOKUP(B152,'Base stats'!B:B,'Base stats'!E:E),Groups!A:A,Groups!AG:AG))</f>
        <v>left claw, right claw</v>
      </c>
      <c r="AM152" s="7" t="str">
        <f>IF(AI152="No","No",_xlfn.XLOOKUP(_xlfn.XLOOKUP(B152,'Base stats'!B:B,'Base stats'!E:E),Groups!A:A,Groups!AH:AH))</f>
        <v>Scratch</v>
      </c>
      <c r="AN152" s="2">
        <f t="shared" si="14"/>
        <v>15</v>
      </c>
      <c r="AO152" s="2">
        <f>MROUND(IF(AND(_xlfn.XLOOKUP(B152,'Base stats'!B:B,'Base stats'!C:C)&gt;=0.5,_xlfn.XLOOKUP(B152,'Base stats'!B:B,'Base stats'!C:C)&lt;=0.8),
IF(_xlfn.XLOOKUP(B152,'Base stats'!B:B,'Base stats'!C:C)&lt;0.1,0.05,IF(_xlfn.XLOOKUP(B152,'Base stats'!B:B,'Base stats'!C:C)&lt;=70,(_xlfn.XLOOKUP(B152,'Base stats'!B:B,'Base stats'!C:C)/70)^0.426489913056526,IF(_xlfn.XLOOKUP(B152,'Base stats'!B:B,'Base stats'!C:C)&lt;=400,(_xlfn.XLOOKUP(B152,'Base stats'!B:B,'Base stats'!C:C)/70)^0.572811455315093,IF(_xlfn.XLOOKUP(B152,'Base stats'!B:B,'Base stats'!C:C)&lt;=2000,2.71391647193063*(_xlfn.XLOOKUP(B152,'Base stats'!B:B,'Base stats'!C:C)/400)^0.252459582904293,3.74314280240376*(_xlfn.XLOOKUP(B152,'Base stats'!B:B,'Base stats'!C:C)/2000)^0.357012633876913)))),
IF(_xlfn.XLOOKUP(B152,'Base stats'!B:B,'Base stats'!C:C)&lt;0.1,0.05,IF(_xlfn.XLOOKUP(B152,'Base stats'!B:B,'Base stats'!C:C)&lt;0.4,0.1,IF(_xlfn.XLOOKUP(B152,'Base stats'!B:B,'Base stats'!C:C)&lt;=70,(_xlfn.XLOOKUP(B152,'Base stats'!B:B,'Base stats'!C:C)/70)^0.445823913056526,IF(_xlfn.XLOOKUP(B152,'Base stats'!B:B,'Base stats'!C:C)&lt;=400,(_xlfn.XLOOKUP(B152,'Base stats'!B:B,'Base stats'!C:C)/70)^0.572811455315093,IF(_xlfn.XLOOKUP(B152,'Base stats'!B:B,'Base stats'!C:C)&lt;=2000,2.71391647193063*(_xlfn.XLOOKUP(B152,'Base stats'!B:B,'Base stats'!C:C)/400)^0.252459582904293,3.74314280240376*(_xlfn.XLOOKUP(B152,'Base stats'!B:B,'Base stats'!C:C)/2000)^0.357012633876913)))))),
IF(_xlfn.XLOOKUP(B152,'Base stats'!B:B,'Base stats'!C:C)&lt;0.1,0.05,IF(_xlfn.XLOOKUP(B152,'Base stats'!B:B,'Base stats'!C:C)&lt;=100,0.05,IF(_xlfn.XLOOKUP(B152,'Base stats'!B:B,'Base stats'!C:C)&lt;=250,0.1,IF(_xlfn.XLOOKUP(B152,'Base stats'!B:B,'Base stats'!C:C)&lt;=4000,0.25,0.5)))))</f>
        <v>0.30000000000000004</v>
      </c>
      <c r="AP152" s="8">
        <f>MROUND(AO152*_xlfn.XLOOKUP(_xlfn.XLOOKUP(B152,'Base stats'!B:B,'Base stats'!E:E),Groups!A:A,Groups!AI:AI)*_xlfn.XLOOKUP(B152,'Base stats'!B:B,'Base stats'!Z:Z),0.05)</f>
        <v>0.35000000000000003</v>
      </c>
      <c r="AQ152" s="8">
        <f>MAX(0.01,MROUND(IF(CC152="True",0.196*(AO152*100*1000)^0.889,IF(_xlfn.XLOOKUP(_xlfn.XLOOKUP(B152,'Base stats'!B:B,'Base stats'!E:E),Groups!A:A,Groups!AJ:AJ)="Bird",10.5*(AO152*100*1000)^0.681,4.82*(AO152*100*1000)^0.734))/(4.82*(1*100*1000)^0.734)/IF(AO152&lt;3.5,2,IF(AO152=3.5,1.5,1.25))*(1+0.132282374779864/(AO152^0.994035016789033+0.00905238001496948)),0.05))</f>
        <v>0.30000000000000004</v>
      </c>
      <c r="AR152" s="9">
        <f>IFERROR(MROUND(_xlfn.XLOOKUP(B152,'Base stats'!B:B,'Base stats'!H:H)/IF(_xlfn.XLOOKUP(B152,'Base stats'!B:B,'Base stats'!I:I)&lt;&gt;1,(122.5/70),1.2),IF(_xlfn.XLOOKUP(B152,'Base stats'!B:B,'Base stats'!H:H)&gt;=30,5,IF(_xlfn.XLOOKUP(B152,'Base stats'!B:B,'Base stats'!H:H)&gt;=15,3,IF(_xlfn.XLOOKUP(B152,'Base stats'!B:B,'Base stats'!H:H)&gt;=10,2,1)))),"Immortal")</f>
        <v>15</v>
      </c>
      <c r="AS152" s="35">
        <f>IFERROR(IF(OR(_xlfn.XLOOKUP(B152,'Base stats'!B:B,'Base stats'!F:F)="Atypical reproduction",_xlfn.XLOOKUP(B152,'Base stats'!B:B,'Base stats'!F:F)="Lay eggs"),"Lay eggs",MIN(20,MAX(5.5,ROUND(((_xlfn.XLOOKUP(B152,'Base stats'!B:B,'Base stats'!F:F)-25)*(14.5/615) + 5.5)*2,0)/2))),"Unknown")</f>
        <v>6.5</v>
      </c>
      <c r="AT152" s="8">
        <f>IF(_xlfn.XLOOKUP(B152,'Base stats'!B:B,'Base stats'!G:G)="Atypical reproduction","No",IFERROR(MAX(IF(_xlfn.XLOOKUP(B152,'Base stats'!B:B,'Base stats'!G:G)&lt;0.5,0.2,0.3),MROUND(_xlfn.XLOOKUP(B152,'Base stats'!B:B,'Base stats'!G:G)/(365/60),0.2)),"Unknown"))</f>
        <v>0.3</v>
      </c>
      <c r="AU152" s="8">
        <f t="shared" si="15"/>
        <v>0.15000000000000002</v>
      </c>
      <c r="AV152" s="8">
        <f>IFERROR(IFERROR(MROUND(_xlfn.XLOOKUP(B152,'Base stats'!B:B,'Base stats'!J:J),0.1),"Lay eggs"),"Cannot breed")</f>
        <v>4</v>
      </c>
      <c r="AW152" s="2" t="str">
        <f t="shared" si="16"/>
        <v>false</v>
      </c>
      <c r="AX152" s="2" t="str">
        <f>IF(_xlfn.XLOOKUP(_xlfn.XLOOKUP(Animals!B152,'Base stats'!B:B,'Base stats'!E:E),Groups!A:A,Groups!AK:AK)=1,"true","false")</f>
        <v>false</v>
      </c>
      <c r="AY152" s="25" t="str">
        <f>IF(_xlfn.XLOOKUP(B152,'Base stats'!B:B,'Base stats'!Y:Y)="Liquor","Liquor, CarnivoreAnimalStrict",IF(AND(_xlfn.XLOOKUP(B152,'Base stats'!B:B,'Base stats'!Y:Y)="Carnivore",_xlfn.XLOOKUP(_xlfn.XLOOKUP(B152,'Base stats'!B:B,'Base stats'!E:E),Groups!A:A,Groups!AJ:AJ)="Photonozoa"),"CarnivoreAnimalStrict, OvivoreAnimal",IF(_xlfn.XLOOKUP(B152,'Base stats'!B:B,'Base stats'!Y:Y)="Carnivore","CarnivoreAnimal, OvivoreAnimal",IF(_xlfn.XLOOKUP(B152,'Base stats'!B:B,'Base stats'!Y:Y)="Dendrovore","VegetarianRoughAnimal, DendrovoreAnimal",IF(_xlfn.XLOOKUP(B152,'Base stats'!B:B,'Base stats'!Y:Y)="Herbivore","VegetarianRoughAnimal",IF(_xlfn.XLOOKUP(B152,'Base stats'!B:B,'Base stats'!Y:Y)="OmnivoreRough","OmnivoreRoughAnimal, OvivoreAnimal","OmnivoreAnimal, OvivoreAnimal"))))))</f>
        <v>CarnivoreAnimal, OvivoreAnimal</v>
      </c>
      <c r="AZ152" s="2" t="str">
        <f>IF(_xlfn.XLOOKUP(_xlfn.XLOOKUP(B152,'Base stats'!B:B,'Base stats'!E:E),Groups!A:A,Groups!D:D)=1,MROUND((1-J152)*5+1,2)*IF(J152&lt;=0.4,2,1),"No")</f>
        <v>No</v>
      </c>
      <c r="BA152" s="2" t="str">
        <f>IF(AND(_xlfn.XLOOKUP(B152,'Base stats'!B:B,'Base stats'!AH:AH)="&lt;li&gt;Seal&lt;/li&gt;",G152="Odyssey"),"&lt;li&gt;AEXP_Seal&lt;/li&gt;",_xlfn.XLOOKUP(B152,'Base stats'!B:B,'Base stats'!AH:AH))</f>
        <v>&lt;li&gt;Cat&lt;/li&gt;</v>
      </c>
      <c r="BB152" s="2" t="str">
        <f>_xlfn.XLOOKUP(B152,'Base stats'!B:B,'Base stats'!AG:AG)</f>
        <v>Leather_Light</v>
      </c>
      <c r="BC152" s="23" t="str">
        <f>_xlfn.XLOOKUP(_xlfn.XLOOKUP(B152,'Base stats'!B:B,'Base stats'!E:E),Groups!A:A,Groups!AL:AL)</f>
        <v>QuadrupedAnimalWithPawsAndTail</v>
      </c>
      <c r="BD152" s="23">
        <f>MIN(1,MROUND(IF(AND(AO152&lt;0.5,_xlfn.XLOOKUP(B152,'Base stats'!B:B,'Base stats'!AA:AA)=0),0,IF(OR(_xlfn.XLOOKUP(Animals!B152,'Base stats'!B:B,'Base stats'!O:O)=2,_xlfn.XLOOKUP(_xlfn.XLOOKUP(B152,'Base stats'!B:B,'Base stats'!E:E),Groups!A:A,Groups!AN:AN)=0),0,_xlfn.XLOOKUP(_xlfn.XLOOKUP(B152,'Base stats'!B:B,'Base stats'!E:E),Groups!A:A,Groups!AN:AN)/IF(_xlfn.XLOOKUP(Animals!B152,'Base stats'!B:B,'Base stats'!O:O)=1,2,1)))+_xlfn.XLOOKUP(B152,'Base stats'!B:B,'Base stats'!AC:AC),0.005))</f>
        <v>0</v>
      </c>
      <c r="BE152" s="23">
        <f>MIN(1,MROUND(IF(AND(AO152&lt;0.5,_xlfn.XLOOKUP(B152,'Base stats'!B:B,'Base stats'!AA:AA)=0),0,IF(_xlfn.XLOOKUP(_xlfn.XLOOKUP(B152,'Base stats'!B:B,'Base stats'!E:E),Groups!A:A,Groups!AO:AO)=0,0,_xlfn.XLOOKUP(_xlfn.XLOOKUP(B152,'Base stats'!B:B,'Base stats'!E:E),Groups!A:A,Groups!AO:AO)/IF(_xlfn.XLOOKUP(Animals!B152,'Base stats'!B:B,'Base stats'!O:O)=2,3,1)))+_xlfn.XLOOKUP(B152,'Base stats'!B:B,'Base stats'!AD:AD),0.005))</f>
        <v>0</v>
      </c>
      <c r="BF152" s="2">
        <f>IF(J152&gt;0.3,"No",_xlfn.XLOOKUP(_xlfn.XLOOKUP(Animals!B152,'Base stats'!B:B,'Base stats'!E:E),Groups!A:A,Groups!AP:AP))</f>
        <v>1</v>
      </c>
      <c r="BG152" s="2">
        <f>IF(AND(J152&lt;=0.65,_xlfn.XLOOKUP(_xlfn.XLOOKUP(Animals!B152,'Base stats'!B:B,'Base stats'!E:E),Groups!A:A,Groups!AP:AP)&lt;&gt;"No",_xlfn.XLOOKUP(_xlfn.XLOOKUP(B152,'Base stats'!B:B,'Base stats'!E:E),Groups!A:A,Groups!D:D)=0),MROUND((80/3)*IF(_xlfn.XLOOKUP(B152,'Base stats'!B:B,'Base stats'!O:O)=2,0.2,AO152) + 24*(1-IF(BF152="No",0,BF152)) + 16/3, 12),"No")</f>
        <v>12</v>
      </c>
      <c r="BH152" s="2">
        <f>IF(AND(_xlfn.XLOOKUP(_xlfn.XLOOKUP(B152,'Base stats'!B:B,'Base stats'!E:E),Groups!A:A,Groups!AQ:AQ)=1,AO152&lt;=0.35),8,12)</f>
        <v>12</v>
      </c>
      <c r="BI152" s="2" t="str">
        <f>IF(_xlfn.XLOOKUP(_xlfn.XLOOKUP(B152,'Base stats'!B:B,'Base stats'!E:E),Groups!A:A,Groups!D:D)=0,_xlfn.XLOOKUP(_xlfn.XLOOKUP(B152,'Base stats'!B:B,'Base stats'!E:E),Groups!A:A,Groups!AR:AR),"None")</f>
        <v>Intermediate</v>
      </c>
      <c r="BJ152" s="2" t="str">
        <f>IF(AND(_xlfn.XLOOKUP(_xlfn.XLOOKUP(B152,'Base stats'!B:B,'Base stats'!E:E),Groups!A:A,Groups!AS:AS)=1,OR(_xlfn.XLOOKUP(B152,'Base stats'!B:B,'Base stats'!Y:Y)="Carnivore",_xlfn.XLOOKUP(B152,'Base stats'!B:B,'Base stats'!Y:Y)="Omnivore")),"true","false")</f>
        <v>true</v>
      </c>
      <c r="BK152" s="2">
        <f>IF(BJ152="true",MROUND(IF(AND(AO152&gt;0.5,OR(_xlfn.XLOOKUP(_xlfn.XLOOKUP(B152,'Base stats'!B:B,'Base stats'!E:E),Groups!A:A,Groups!AJ:AJ)="Photonozoa",_xlfn.XLOOKUP(_xlfn.XLOOKUP(B152,'Base stats'!B:B,'Base stats'!E:E),Groups!A:A,Groups!AJ:AJ)="Mammal")),Animals!AO152*1.75*IF(AW152="true",1.5,1),IF(AO152&lt;0.5,Animals!AO152*0.5,Animals!AO152)),IF(AO152&gt;2,0.5,IF(AO152&gt;0.5,0.25,0.1))),"No")</f>
        <v>0.2</v>
      </c>
      <c r="BL152" s="2">
        <f t="shared" si="17"/>
        <v>1</v>
      </c>
      <c r="BM152" s="25" t="str">
        <f>IF(_xlfn.XLOOKUP(B152,'Base stats'!B:B,'Base stats'!AN:AN)="Standard","No",MROUND((_xlfn.XLOOKUP(B152,'Base stats'!B:B,'Base stats'!AN:AN)/3.6)/I152,0.1))</f>
        <v>No</v>
      </c>
      <c r="BN152" s="25" t="str">
        <f t="shared" si="18"/>
        <v>false</v>
      </c>
      <c r="BO152" s="25" t="str">
        <f>IF(AND(OR(_xlfn.XLOOKUP(B152,'Base stats'!B:B,'Base stats'!Y:Y)="Carnivore",_xlfn.XLOOKUP(B152,'Base stats'!B:B,'Base stats'!Y:Y)="Omnivore",_xlfn.XLOOKUP(B152,'Base stats'!B:B,'Base stats'!Y:Y)="OmnivoreRough"),_xlfn.XLOOKUP(_xlfn.XLOOKUP(B152,'Base stats'!B:B,'Base stats'!E:E),Groups!A:A,Groups!AT:AT)=1),"true","false")</f>
        <v>false</v>
      </c>
      <c r="BP152" s="25" t="str" cm="1">
        <f t="array" ref="BP152">IF(
  _xlfn.TEXTJOIN(", ",TRUE,
    IF(AND(BJ152="true",AO152&gt;0.5,BI152&lt;&gt;"None"),"AttackTarget",""),
    IF(AND(_xlfn.XLOOKUP(_xlfn.XLOOKUP(B152,'Base stats'!B:B,'Base stats'!E:E),Groups!A:A,Groups!AJ:AJ="Mammal"),OR(_xlfn.XLOOKUP(B152,'Base stats'!B:B,'Base stats'!Y:Y)="Omnivore",_xlfn.XLOOKUP(B152,'Base stats'!B:B,'Base stats'!Y:Y)="OmnivoreRough")),"Forage",""),
    IF(BG152&lt;=36,"Comfort",""),
    IF(_xlfn.XLOOKUP(B152,'Base stats'!B:B,'Base stats'!AE:AE)&lt;&gt;"No",_xlfn.XLOOKUP(B152,'Base stats'!B:B,'Base stats'!AE:AE),"")
  ) = "",
  "No",
  _xlfn.TEXTJOIN(", ",TRUE,
    IF(AND(BJ152="true",AO152&gt;0.5,BI152&lt;&gt;"None"),"AttackTarget",""),
    IF(AND(_xlfn.XLOOKUP(_xlfn.XLOOKUP(B152,'Base stats'!B:B,'Base stats'!E:E),Groups!A:A,Groups!AJ:AJ="Mammal"),OR(_xlfn.XLOOKUP(B152,'Base stats'!B:B,'Base stats'!Y:Y)="Omnivore",_xlfn.XLOOKUP(B152,'Base stats'!B:B,'Base stats'!Y:Y)="OmnivoreRough")),"Forage",""),
    IF(BG152&lt;=36,"Comfort",""),
    IF(_xlfn.XLOOKUP(B152,'Base stats'!B:B,'Base stats'!AE:AE)&lt;&gt;"No",_xlfn.XLOOKUP(B152,'Base stats'!B:B,'Base stats'!AE:AE),"")
  )
)</f>
        <v>Comfort</v>
      </c>
      <c r="BQ152" s="25" t="str">
        <f>IF(
   AND(
      'Base stats'!AN152="Standard",_xlfn.XLOOKUP(_xlfn.XLOOKUP(B152,'Base stats'!B:B,'Base stats'!E:E),Groups!A:A,Groups!AU:AU)=0,
      OR(
      BO152="True"
      )
   ),
   10,
   IF(
       OR(BM152&lt;&gt;"No",_xlfn.XLOOKUP(_xlfn.XLOOKUP(B152,'Base stats'!B:B,'Base stats'!E:E),Groups!A:A,Groups!AU:AU)=1),
      1,
      "No"
   )
)</f>
        <v>No</v>
      </c>
      <c r="BR152" s="9">
        <f>MROUND((1 + ((0.2*IF(OR(Q152="No",R152="No",R152=0),0,Q152/R152)
+IF(OR(V152="No",S152="No",T152="No"),0,S152/T152*(LEN(V152)-LEN(SUBSTITUTE(V152,",",""))+1))
+IF(OR(X152="No",Y152="No"),0,X152/Y152)
+IF(OR(AD152="No",AE152="No"),0,AD152/AE152)
+IF(OR(AL152="No",AI152="No",AJ152="No"),0,AI152/AJ152*(LEN(AL152)-LEN(SUBSTITUTE(AL152,",",""))+1))
)/(0.2*IF(OR(Q152="No",R152="No",R152=0),0,1)
+IF(OR(V152="No",S152="No",T152="No"),0,LEN(V152)-LEN(SUBSTITUTE(V152,",",""))+1)
+IF(OR(X152="No",Y152="No"),0,1)
+IF(OR(AD152="No",AE152="No"),0,1)
+IF(OR(AL152="No",AI152="No",AJ152="No"),0,LEN(AL152)-LEN(SUBSTITUTE(AL152,",",""))+1))*62%)* 2)*(1 + (AP152 / (IF(_xlfn.XLOOKUP(_xlfn.XLOOKUP(B152,'Base stats'!B:B,'Base stats'!E:E),Groups!A:A,Groups!AJ:AJ)="Photonozoa",0.3,1)) + _xlfn.XLOOKUP(B152,'Base stats'!B:B,'Base stats'!AV:AV) * 1.8) * 2) * 2.5 + 10 + I152 * 2,5)+IF(_xlfn.XLOOKUP(B152,'Base stats'!B:B,'Base stats'!AK:AK)=1,50,0)</f>
        <v>45</v>
      </c>
      <c r="BS152" s="8">
        <f t="shared" si="19"/>
        <v>0.30000000000000004</v>
      </c>
      <c r="BT152" s="8" t="str">
        <f>_xlfn.XLOOKUP(B152,'Base stats'!B:B,'Base stats'!AF:AF)</f>
        <v>No</v>
      </c>
      <c r="BU152" s="2" t="str">
        <f>IF(AND(J152&lt;=0.95,OR(_xlfn.XLOOKUP(B152,'Base stats'!B:B,'Base stats'!AK:AK)=1,_xlfn.XLOOKUP(B152,'Base stats'!B:B,'Base stats'!Y:Y)="Carnivore",_xlfn.XLOOKUP(B152,'Base stats'!B:B,'Base stats'!Y:Y)="Omnivore",BE152&gt;0.1)),"true","false")</f>
        <v>true</v>
      </c>
      <c r="BV152" s="2" t="str">
        <f>IF(_xlfn.XLOOKUP(B152,'Base stats'!B:B,'Base stats'!AI:AI)=1,"true","false")</f>
        <v>false</v>
      </c>
      <c r="BW152" s="25" t="str">
        <f>IF(E152="BaseInsect","AnimalInsect",
IF(J152&gt;0.95,"AnimalExotic",
_xlfn.TEXTJOIN(", ",TRUE,
IF(OR(_xlfn.XLOOKUP(B152,'Base stats'!B:B,'Base stats'!AM:AM)=1,AND(_xlfn.XLOOKUP(B152,'Base stats'!B:B,'Base stats'!O:O)=0,_xlfn.XLOOKUP(_xlfn.XLOOKUP(B152,'Base stats'!B:B,'Base stats'!E:E),Groups!A:A,Groups!B:B)&gt;0)),"AnimalUncommon","AnimalCommon"),
IF(AND(_xlfn.XLOOKUP(B152,'Base stats'!B:B,'Base stats'!O:O)=2,_xlfn.XLOOKUP(_xlfn.XLOOKUP(B152,'Base stats'!B:B,'Base stats'!E:E),Groups!A:A,Groups!D:D)=0),"AnimalPet",IF(AND(_xlfn.XLOOKUP(B152,'Base stats'!B:B,'Base stats'!O:O)&lt;&gt;0,_xlfn.XLOOKUP(_xlfn.XLOOKUP(B152,'Base stats'!B:B,'Base stats'!E:E),Groups!A:A,Groups!D:D)&lt;&gt;0),"AnimalFarm","")),
IF(OR(_xlfn.XLOOKUP(B152,'Base stats'!B:B,'Base stats'!AK:AK)=1,AND(BI152&lt;&gt;"None",BR152&gt;=60),ISNUMBER(SEARCH("Attack target",BP152))),"AnimalFighter","")
)))</f>
        <v>AnimalCommon, AnimalPet</v>
      </c>
      <c r="BX152" s="25" t="str">
        <f>IF(G152="None",TRIM(
SUBSTITUTE(
IF(COUNTIF(Biomes!B$2:B$259,"="&amp;$C152)&gt;0,Biomes!B$1&amp;", ","")&amp;
IF(COUNTIF(Biomes!C$2:C$259,"="&amp;$C152)&gt;0,Biomes!C$1&amp;", ","")&amp;
IF(COUNTIF(Biomes!D$2:D$259,"="&amp;$C152)&gt;0,Biomes!D$1&amp;", ","")&amp;
IF(COUNTIF(Biomes!F$2:F$259,"="&amp;$C152)&gt;0,Biomes!F$1&amp;", ","")&amp;
IF(COUNTIF(Biomes!G$2:G$259,"="&amp;$C152)&gt;0,Biomes!G$1&amp;", ","")&amp;
IF(COUNTIF(Biomes!H$2:H$259,"="&amp;$C152)&gt;0,Biomes!H$1&amp;", ","")&amp;
IF(COUNTIF(Biomes!I$2:I$259,"="&amp;$C152)&gt;0,Biomes!I$1&amp;", ","")&amp;
IF(COUNTIF(Biomes!J$2:J$259,"="&amp;$C152)&gt;0,Biomes!J$1&amp;", ","")&amp;
IF(COUNTIF(Biomes!M$2:M$259,"="&amp;$C152)&gt;0,Biomes!M$1&amp;", ","")&amp;
IF(COUNTIF(Biomes!N$2:N$259,"="&amp;$C152)&gt;0,Biomes!N$1&amp;", ","")&amp;
IF(COUNTIF(Biomes!O$2:O$259,"="&amp;$C152)&gt;0,Biomes!O$1&amp;", ","")&amp;
IF(COUNTIF(Biomes!P$2:P$259,"="&amp;$C152)&gt;0,Biomes!P$1&amp;", ","")&amp;
IF(COUNTIF(Biomes!K$2:K$259,"="&amp;$C152)&gt;0,Biomes!K$1&amp;", ","")&amp;
IF(COUNTIF(Biomes!Q$3:Q$259,"="&amp;$C152)&gt;0,Biomes!Q$1&amp;", ","")&amp;
IF(COUNTIF(Biomes!L$2:L$259,"="&amp;$C152)&gt;0,Biomes!L$1&amp;", ","")&amp;
IF(COUNTIF(Biomes!E$2:E$259,"="&amp;$C152)&gt;0,Biomes!E$1&amp;", ","")&amp;IF(COUNTIF(Biomes!S$2:S$259,"="&amp;$C152)&gt;0,Biomes!S$1&amp;", ","")&amp;
IF(COUNTIF(Biomes!R$2:R$259,"="&amp;$C152)&gt;0,Biomes!R$1&amp;", ",""),", ","")
),_xlfn.XLOOKUP(B152,B:B,BX:BX))</f>
        <v/>
      </c>
      <c r="BY152" s="25" t="str">
        <f>IF(_xlfn.XLOOKUP(B152,'Base stats'!B:B,'Base stats'!AJ:AJ)=1,"true","false")</f>
        <v>false</v>
      </c>
      <c r="BZ152" s="25">
        <f>IF(_xlfn.XLOOKUP(B152,'Base stats'!B:B,'Base stats'!N:N)=1,"No",MAX(0.001,MIN(MROUND(IF(AND(BJ152="True",CC152="False"),POWER(10,3.47*LOG10(_xlfn.XLOOKUP(B152,'Base stats'!B:B,'Base stats'!C:C)*1000)^-0.96),POWER(10,4.15*LOG10(_xlfn.XLOOKUP(B152,'Base stats'!B:B,'Base stats'!C:C)*1000)^-0.73))*IF(_xlfn.XLOOKUP(B152,'Base stats'!B:B,'Base stats'!AK:AK)=1,0.5,1)*IF(_xlfn.XLOOKUP(B152,'Base stats'!B:B,'Base stats'!AM:AM)=1,0.1,1)/100,IF(_xlfn.XLOOKUP(B152,'Base stats'!B:B,'Base stats'!AM:AM)=1,0.001,0.025)),0.5)))</f>
        <v>0.1</v>
      </c>
      <c r="CA152" s="25" t="str">
        <f>IF(P152="Standard","No",MAX(0.001,MIN(MROUND(IF(AND(BJ152="True",CC152="False"),POWER(10,3.47*LOG10(_xlfn.XLOOKUP(B152,'Base stats'!B:B,'Base stats'!C:C)*1000)^-0.96),POWER(10,4.15*LOG10(_xlfn.XLOOKUP(B152,'Base stats'!B:B,'Base stats'!C:C)*1000)^-0.73))*IF(_xlfn.XLOOKUP(B152,'Base stats'!B:B,'Base stats'!AM:AM)=1,0.1,1)*_xlfn.XLOOKUP(B152,'Base stats'!B:B,'Base stats'!R:R)/100,IF(_xlfn.XLOOKUP(B152,'Base stats'!B:B,'Base stats'!AM:AM)=1,0.001,0.025)),0.5)))</f>
        <v>No</v>
      </c>
      <c r="CB152" s="25" t="str">
        <f>IF(_xlfn.XLOOKUP(_xlfn.XLOOKUP(B152,'Base stats'!B:B,'Base stats'!E:E),Groups!A:A,Groups!AJ:AJ)="Mammal","True","False")</f>
        <v>True</v>
      </c>
      <c r="CC152" s="25" t="str">
        <f>IF(OR(_xlfn.XLOOKUP(_xlfn.XLOOKUP(B152,'Base stats'!B:B,'Base stats'!E:E),Groups!A:A,Groups!AJ:AJ)="Reptile",_xlfn.XLOOKUP(_xlfn.XLOOKUP(B152,'Base stats'!B:B,'Base stats'!E:E),Groups!A:A,Groups!AJ:AJ)="Amphibian",_xlfn.XLOOKUP(_xlfn.XLOOKUP(B152,'Base stats'!B:B,'Base stats'!E:E),Groups!A:A,Groups!AJ:AJ)="Invertebrate"),"True","False")</f>
        <v>False</v>
      </c>
      <c r="CD152" s="25" t="str">
        <f t="shared" si="20"/>
        <v>False</v>
      </c>
      <c r="CE152" s="25" t="str">
        <f>IF(_xlfn.XLOOKUP(_xlfn.XLOOKUP(B152,'Base stats'!B:B,'Base stats'!E:E),Groups!A:A,Groups!AX:AX),"True","False")</f>
        <v>False</v>
      </c>
      <c r="CF152" s="25" t="str">
        <f>IF(_xlfn.XLOOKUP(_xlfn.XLOOKUP(B152,'Base stats'!B:B,'Base stats'!E:E),Groups!A:A,Groups!AY:AY),"True","False")</f>
        <v>False</v>
      </c>
      <c r="CG152" s="25" t="str">
        <f>IF(_xlfn.XLOOKUP(_xlfn.XLOOKUP(B152,'Base stats'!B:B,'Base stats'!E:E),Groups!A:A,Groups!AW:AW),"True","False")</f>
        <v>False</v>
      </c>
      <c r="CH152" s="25" t="str">
        <f>IF(
OR(
_xlfn.XLOOKUP(_xlfn.XLOOKUP(B152,'Base stats'!B:B,'Base stats'!E:E),Groups!A:A,Groups!AZ:AZ)=0,
AND(
_xlfn.XLOOKUP(B152,'Base stats'!B:B,'Base stats'!Y:Y)&lt;&gt;"Carnivore",
_xlfn.XLOOKUP(B152,'Base stats'!B:B,'Base stats'!Y:Y)&lt;&gt;"Omnivore",
_xlfn.XLOOKUP(B152,'Base stats'!B:B,'Base stats'!Y:Y)&lt;&gt;"OmnivoreRough"
)
),
"No",
IF(
_xlfn.XLOOKUP(_xlfn.XLOOKUP(B152,'Base stats'!B:B,'Base stats'!E:E),Groups!A:A,Groups!AZ:AZ)=1,
"Flesh",
IF(
_xlfn.XLOOKUP(_xlfn.XLOOKUP(B152,'Base stats'!B:B,'Base stats'!E:E),Groups!A:A,Groups!AZ:AZ)=2,
"Bone",
""
)
)
)</f>
        <v>No</v>
      </c>
      <c r="CI152" s="25" t="str">
        <f>IF(_xlfn.XLOOKUP(_xlfn.XLOOKUP(B152,'Base stats'!B:B,'Base stats'!E:E),Groups!A:A,Groups!BB:BB),"True","False")</f>
        <v>True</v>
      </c>
      <c r="CJ152" s="25" t="str">
        <f>IF(_xlfn.XLOOKUP(_xlfn.XLOOKUP(B152,'Base stats'!B:B,'Base stats'!E:E),Groups!A:A,Groups!BA:BA),"True","False")</f>
        <v>False</v>
      </c>
    </row>
    <row r="153" spans="1:88" ht="16.5" thickTop="1" thickBot="1" x14ac:dyDescent="0.3">
      <c r="A153" s="26" t="str">
        <f>_xlfn.XLOOKUP(B153,'Base stats'!B:B,'Base stats'!A:A)</f>
        <v>Maine Coon cat</v>
      </c>
      <c r="B153" s="6" t="s">
        <v>906</v>
      </c>
      <c r="C153" s="28" t="s">
        <v>834</v>
      </c>
      <c r="D153" s="28" t="s">
        <v>872</v>
      </c>
      <c r="E153" s="28" t="s">
        <v>673</v>
      </c>
      <c r="F153" s="28" t="s">
        <v>673</v>
      </c>
      <c r="G153" s="28" t="s">
        <v>673</v>
      </c>
      <c r="H153" s="2">
        <f>MROUND((
  (IF(AND(_xlfn.XLOOKUP(B153,'Base stats'!B:B,'Base stats'!AL:AL)=0,BI153="None",_xlfn.XLOOKUP(_xlfn.XLOOKUP(B153,'Base stats'!B:B,'Base stats'!E:E),Groups!A:A,Groups!B:B)=0), (18 + BR153 * 2.7) * 0.5,
    IF(AND(_xlfn.XLOOKUP(B153,'Base stats'!B:B,'Base stats'!AL:AL)=0,OR(AO153&lt;0.55,AND(BI153="Intermediate",_xlfn.XLOOKUP(_xlfn.XLOOKUP(B153,'Base stats'!B:B,'Base stats'!E:E),Groups!A:A,Groups!B:B)&lt;2))), (18 + BR153 * 2.7),
      IF(OR(BI153="Advanced",_xlfn.XLOOKUP(B153,'Base stats'!B:B,'Base stats'!AL:AL)=1,_xlfn.XLOOKUP(_xlfn.XLOOKUP(B153,'Base stats'!B:B,'Base stats'!E:E),Groups!A:A,Groups!B:B)=2), (18 + BR153 * 2.7) + 250, (18 + BR153 * 2.7))
    )
  ))
  + AO153 * 80
  + IF(COUNTIF(EggMilk!K$2:K$998, A153) &gt; 0, 125, 0)
  + IF(COUNTIF(EggMilk!P$2:P$998, A153) &gt; 0, 90, 0)
  + IF(COUNTIF(EggMilk!A$2:A$998, A153) &gt; 0, 90, 0)
)
* (0.8 + 0.4 * J153)
* 0.75,25)</f>
        <v>100</v>
      </c>
      <c r="I153" s="2">
        <f>MROUND(ROUNDDOWN(_xlfn.XLOOKUP(B153,'Base stats'!B:B,'Base stats'!L:L)/3.6/(23.3/11),1),0.5)</f>
        <v>6</v>
      </c>
      <c r="J153" s="2">
        <f>IF(OR(_xlfn.XLOOKUP(B153,'Base stats'!B:B,'Base stats'!AB:AB)=1,_xlfn.XLOOKUP(_xlfn.XLOOKUP(B153,'Base stats'!B:B,'Base stats'!E:E),Groups!A:A,Groups!C:C)="Untamable"),1,IF(_xlfn.XLOOKUP(B153,'Base stats'!B:B,'Base stats'!AL:AL)=1,0.99,MIN(MROUND((1-0.6282*EXP(-0.459*AO153))*_xlfn.XLOOKUP(_xlfn.XLOOKUP(B153,'Base stats'!B:B,'Base stats'!E:E),Groups!A:A,Groups!C:C)*IF(_xlfn.XLOOKUP(B153,'Base stats'!B:B,'Base stats'!O:O)=1,0.5,IF(_xlfn.XLOOKUP(B153,'Base stats'!B:B,'Base stats'!O:O)=2,0,1)),0.05),IF(AO153&gt;3.5,0.985,0.95))))</f>
        <v>0</v>
      </c>
      <c r="K153" s="2">
        <f>ROUNDUP(AO153*_xlfn.XLOOKUP(_xlfn.XLOOKUP(B153,'Base stats'!B:B,'Base stats'!E:E),Groups!A:A,Groups!E:E),0)</f>
        <v>1</v>
      </c>
      <c r="L153" s="2">
        <f>IF(OR(_xlfn.XLOOKUP(_xlfn.XLOOKUP(B153,'Base stats'!B:B,'Base stats'!E:E),Groups!A:A,Groups!F:F)=2,ISNUMBER(SEARCH("SeaIce",BX153)),ISNUMBER(SEARCH("IceSheet",BX153))),-50,IF(OR(ISNUMBER(SEARCH("GlacialPlain",BX153)),ISNUMBER(SEARCH("Tundra",BX153))),-40,IF(OR(ISNUMBER(SEARCH("Alpine",BX153)),ISNUMBER(SEARCH("BorealForest",BX153)),ISNUMBER(SEARCH("ColdBog",BX153))),-30,IF(OR(ISNUMBER(SEARCH("TemperateForest",BX153)),ISNUMBER(SEARCH("TemperateSwamp",BX153))),-20,IF(_xlfn.XLOOKUP(_xlfn.XLOOKUP(B153,'Base stats'!B:B,'Base stats'!E:E),Groups!A:A,Groups!F:F)=1,-15,IF(OR(ISNUMBER(SEARCH("Desert",BX153)),ISNUMBER(SEARCH("ExtremeDesert",BX153))),-10,IF(OR(ISNUMBER(SEARCH("Grasslands",BX153)),ISNUMBER(SEARCH("TropicalRainforest",BX153)),ISNUMBER(SEARCH("TropicalSwamp",BX153))),10,0)))))))-IF(CC153="False",MIN(IFERROR(MAX(MROUND(LOG10(_xlfn.XLOOKUP(B153,'Base stats'!B:B,'Base stats'!C:C)^(2/3))*10,5),5),5),30))-_xlfn.XLOOKUP(B153,'Base stats'!B:B,'Base stats'!P:P)+IF(CC153="True",5,0)</f>
        <v>-30</v>
      </c>
      <c r="M153" s="2">
        <f>IF(OR(_xlfn.XLOOKUP(_xlfn.XLOOKUP(B153,'Base stats'!B:B,'Base stats'!E:E),Groups!A:A,Groups!G:G)=2,ISNUMBER(SEARCH("Desert",BX153)),ISNUMBER(SEARCH("ExtremeDesert",BX153)),ISNUMBER(SEARCH("LavaField",BX153))),50,IF(ISNUMBER(SEARCH("Grasslands",BX153)),45,IF(OR(_xlfn.XLOOKUP(_xlfn.XLOOKUP(B153,'Base stats'!B:B,'Base stats'!E:E),Groups!A:A,Groups!G:G)=1,ISNUMBER(SEARCH("TropicalRainforest",BX153)),ISNUMBER(SEARCH("TropicalSwamp",BX153))),40,IF(OR(ISNUMBER(SEARCH("TemperateForest",BX153)),ISNUMBER(SEARCH("TemperateSwamp",BX153))),35,IF(OR(ISNUMBER(SEARCH("Alpine",BX153)),ISNUMBER(SEARCH("BorealForest",BX153)),ISNUMBER(SEARCH("ColdBog",BX153))),30,IF(ISNUMBER(OR(ISNUMBER(SEARCH("GlacialPlain",BX153)),SEARCH("Tundra",BX153))),25,IF(OR(ISNUMBER(SEARCH("SeaIce",BX153)),ISNUMBER(SEARCH("IceSheet",BX153)),ISNUMBER(SEARCH("TropicalSwamp",BX153))),10,35)))))))+_xlfn.XLOOKUP(B153,'Base stats'!B:B,'Base stats'!Q:Q)</f>
        <v>40</v>
      </c>
      <c r="N153" s="8" t="str">
        <f>IF(
_xlfn.XLOOKUP(
_xlfn.XLOOKUP(B153,'Base stats'!B:B,'Base stats'!E:E),
Groups!A:A,
Groups!L:L
)=1,
MIN(
MROUND(
IF(
_xlfn.XLOOKUP(B153,'Animals CE'!B:B,'Animals CE'!Z:Z)&lt;=1.5,
_xlfn.XLOOKUP(B153,'Animals CE'!B:B,'Animals CE'!Z:Z)/2+0.05,
0.8+
(_xlfn.XLOOKUP(B153,'Animals CE'!B:B,'Animals CE'!Z:Z)-1.5)
*0.02
),
0.05
),
200%
),
"No"
)</f>
        <v>No</v>
      </c>
      <c r="O153" s="8" t="str">
        <f>IF(
_xlfn.XLOOKUP(
_xlfn.XLOOKUP(B153,'Base stats'!B:B,'Base stats'!E:E),
Groups!A:A,
Groups!L:L
)=1,
MIN(
MROUND(
IF(
_xlfn.XLOOKUP(B153,'Animals CE'!B:B,'Animals CE'!AA:AA)&lt;=1.5,
_xlfn.XLOOKUP(B153,'Animals CE'!B:B,'Animals CE'!AA:AA)/2+0.05,
0.8+
(_xlfn.XLOOKUP(B153,'Animals CE'!B:B,'Animals CE'!AA:AA)-1.5)
*0.02
),
0.05
),
200%
),
"No"
)</f>
        <v>No</v>
      </c>
      <c r="P153" s="2" t="str">
        <f>_xlfn.XLOOKUP(B153,'Base stats'!B:B,'Base stats'!R:R)</f>
        <v>Standard</v>
      </c>
      <c r="Q153" s="13">
        <f>MROUND((LOG10(_xlfn.XLOOKUP(B153,'Base stats'!B:B,'Base stats'!AR:AR))*(AO153^0.5)+(_xlfn.XLOOKUP(B153,'Base stats'!B:B,'Base stats'!AR:AR)/1000)^(2/3)+_xlfn.XLOOKUP(B153,'Base stats'!B:B,'Base stats'!BA:BA)/2)+0.5,0.5)</f>
        <v>3</v>
      </c>
      <c r="R153" s="7">
        <f>IF(Q153="No","No",MAX(1,MROUND(_xlfn.XLOOKUP(B153,'Base stats'!B:B,'Base stats'!C:C)^0.165,0.05)))</f>
        <v>1.4000000000000001</v>
      </c>
      <c r="S153" s="13" t="str">
        <f>IF(_xlfn.XLOOKUP(_xlfn.XLOOKUP(B153,'Base stats'!B:B,'Base stats'!E:E),Groups!A:A,Groups!P:P)=0,"No",MROUND((LOG10(_xlfn.XLOOKUP(B153,'Base stats'!B:B,'Base stats'!AS:AS))*(AO153^0.5)+(_xlfn.XLOOKUP(B153,'Base stats'!B:B,'Base stats'!AS:AS)/1000)^(2/3)+_xlfn.XLOOKUP(B153,'Base stats'!B:B,'Base stats'!BA:BA))+_xlfn.XLOOKUP(B153,'Base stats'!B:B,'Base stats'!AY:AY)+0.5,0.5))</f>
        <v>No</v>
      </c>
      <c r="T153" s="7" t="str">
        <f>IF(S153="No","No",MAX(_xlfn.XLOOKUP(_xlfn.XLOOKUP(B153,'Base stats'!B:B,'Base stats'!E:E),Groups!A:A,Groups!Q:Q),MROUND(_xlfn.XLOOKUP(_xlfn.XLOOKUP(B153,'Base stats'!B:B,'Base stats'!E:E),Groups!A:A,Groups!Q:Q)*_xlfn.XLOOKUP(B153,'Base stats'!B:B,'Base stats'!C:C)^0.165,0.05)))</f>
        <v>No</v>
      </c>
      <c r="U153" s="7" t="str">
        <f>IF(S153="No","No",_xlfn.XLOOKUP(_xlfn.XLOOKUP(B153,'Base stats'!B:B,'Base stats'!E:E),Groups!A:A,Groups!R:R))</f>
        <v>No</v>
      </c>
      <c r="V153" s="7" t="str">
        <f>IF(S153="No","No",_xlfn.XLOOKUP(_xlfn.XLOOKUP(B153,'Base stats'!B:B,'Base stats'!E:E),Groups!A:A,Groups!S:S))</f>
        <v>No</v>
      </c>
      <c r="W153" s="7" t="str">
        <f>IF(S153="No","No",_xlfn.XLOOKUP(_xlfn.XLOOKUP(B153,'Base stats'!B:B,'Base stats'!E:E),Groups!A:A,Groups!T:T))</f>
        <v>No</v>
      </c>
      <c r="X153" s="13" t="str">
        <f>IF(_xlfn.XLOOKUP(B153,'Base stats'!B:B,'Base stats'!W:W)="No","No",MROUND((LOG10(_xlfn.XLOOKUP(B153,'Base stats'!B:B,'Base stats'!AU:AU))*(AO153^0.5)+(_xlfn.XLOOKUP(B153,'Base stats'!B:B,'Base stats'!AU:AU)/1000)^(2/3)+_xlfn.XLOOKUP(B153,'Base stats'!B:B,'Base stats'!AZ:AZ))+0.5+IF(_xlfn.XLOOKUP(_xlfn.XLOOKUP(B153,'Base stats'!B:B,'Base stats'!E:E),Groups!A:A,Groups!U:U)&lt;&gt;3,_xlfn.XLOOKUP(B153,'Base stats'!B:B,'Base stats'!BA:BA),0),0.5))</f>
        <v>No</v>
      </c>
      <c r="Y153" s="7" t="str">
        <f>IF(X153="No","No",MAX(_xlfn.XLOOKUP(_xlfn.XLOOKUP(B153,'Base stats'!B:B,'Base stats'!E:E),Groups!A:A,Groups!V:V),MROUND(_xlfn.XLOOKUP(_xlfn.XLOOKUP(B153,'Base stats'!B:B,'Base stats'!E:E),Groups!A:A,Groups!V:V)*_xlfn.XLOOKUP(B153,'Base stats'!B:B,'Base stats'!C:C)^0.165,0.05)))</f>
        <v>No</v>
      </c>
      <c r="Z153" s="7" t="str">
        <f>IF(X153="No","No",_xlfn.XLOOKUP(_xlfn.XLOOKUP(B153,'Base stats'!B:B,'Base stats'!E:E),Groups!A:A,Groups!W:W))</f>
        <v>No</v>
      </c>
      <c r="AA153" s="7" t="str">
        <f>IF(X153="No","No",_xlfn.XLOOKUP(_xlfn.XLOOKUP(B153,'Base stats'!B:B,'Base stats'!E:E),Groups!A:A,Groups!X:X))</f>
        <v>No</v>
      </c>
      <c r="AB153" s="7" t="str">
        <f>IF(X153="No","No",_xlfn.XLOOKUP(_xlfn.XLOOKUP(B153,'Base stats'!B:B,'Base stats'!E:E),Groups!A:A,Groups!Y:Y))</f>
        <v>No</v>
      </c>
      <c r="AC153" s="7" t="str">
        <f>_xlfn.XLOOKUP(Animals!B153,'Base stats'!B:B,'Base stats'!X:X)</f>
        <v>False</v>
      </c>
      <c r="AD153" s="13">
        <f>IF(_xlfn.XLOOKUP(B153,'Base stats'!B:B,'Base stats'!AT:AT)="No","No",MROUND((LOG10(_xlfn.XLOOKUP(B153,'Base stats'!B:B,'Base stats'!AT:AT))*(AO153^0.75)+(_xlfn.XLOOKUP(B153,'Base stats'!B:B,'Base stats'!AT:AT)/1000)^(2/3)+_xlfn.XLOOKUP(B153,'Base stats'!B:B,'Base stats'!AX:AX)+_xlfn.XLOOKUP(B153,'Base stats'!B:B,'Base stats'!BA:BA))+0.5,0.5))</f>
        <v>5</v>
      </c>
      <c r="AE153" s="7">
        <f>IF(AD153="No","No",MAX(_xlfn.XLOOKUP(_xlfn.XLOOKUP(B153,'Base stats'!B:B,'Base stats'!E:E),Groups!A:A,Groups!Z:Z),MROUND(_xlfn.XLOOKUP(_xlfn.XLOOKUP(B153,'Base stats'!B:B,'Base stats'!E:E),Groups!A:A,Groups!Z:Z)*_xlfn.XLOOKUP(B153,'Base stats'!B:B,'Base stats'!C:C)^0.165,0.05)))</f>
        <v>1</v>
      </c>
      <c r="AF153" s="7" t="str">
        <f>IF(AD153="No","No",_xlfn.XLOOKUP(_xlfn.XLOOKUP(B153,'Base stats'!B:B,'Base stats'!E:E),Groups!A:A,Groups!AA:AA))</f>
        <v>Teeth</v>
      </c>
      <c r="AG153" s="7" t="str">
        <f>IF(AD153="No","No",_xlfn.XLOOKUP(_xlfn.XLOOKUP(B153,'Base stats'!B:B,'Base stats'!E:E),Groups!A:A,Groups!AB:AB))</f>
        <v>canines</v>
      </c>
      <c r="AH153" s="7" t="str">
        <f>IF(AD153="No","No",_xlfn.XLOOKUP(_xlfn.XLOOKUP(B153,'Base stats'!B:B,'Base stats'!E:E),Groups!A:A,Groups!AC:AC))</f>
        <v>Bite</v>
      </c>
      <c r="AI153" s="13">
        <f>IF(_xlfn.XLOOKUP(_xlfn.XLOOKUP(B153,'Base stats'!B:B,'Base stats'!E:E),Groups!A:A,Groups!AD:AD)=0,"No",MROUND((LOG10(_xlfn.XLOOKUP(B153,'Base stats'!B:B,'Base stats'!AS:AS))*(AO153^0.75)+(_xlfn.XLOOKUP(B153,'Base stats'!B:B,'Base stats'!AS:AS)/1000)^(2/3)+_xlfn.XLOOKUP(B153,'Base stats'!B:B,'Base stats'!AY:AY)+_xlfn.XLOOKUP(B153,'Base stats'!B:B,'Base stats'!BA:BA))+0.5,0.5))</f>
        <v>4</v>
      </c>
      <c r="AJ153" s="7">
        <f>IF(AI153="No","No",MAX(_xlfn.XLOOKUP(_xlfn.XLOOKUP(B153,'Base stats'!B:B,'Base stats'!E:E),Groups!A:A,Groups!AE:AE),MROUND(_xlfn.XLOOKUP(_xlfn.XLOOKUP(B153,'Base stats'!B:B,'Base stats'!E:E),Groups!A:A,Groups!AE:AE)*IF(_xlfn.XLOOKUP(_xlfn.XLOOKUP(B153,'Base stats'!B:B,'Base stats'!E:E),Groups!A:A,Groups!AJ:AJ)="Photonozoa",0.6,1)*_xlfn.XLOOKUP(B153,'Base stats'!B:B,'Base stats'!C:C)^0.165,0.05)))</f>
        <v>0.9</v>
      </c>
      <c r="AK153" s="7" t="str">
        <f>IF(AI153="No","No",_xlfn.XLOOKUP(_xlfn.XLOOKUP(B153,'Base stats'!B:B,'Base stats'!E:E),Groups!A:A,Groups!AF:AF))</f>
        <v>FrontLeftPaw, FrontRightPaw</v>
      </c>
      <c r="AL153" s="7" t="str">
        <f>IF(AI153="No","No",_xlfn.XLOOKUP(_xlfn.XLOOKUP(B153,'Base stats'!B:B,'Base stats'!E:E),Groups!A:A,Groups!AG:AG))</f>
        <v>left claw, right claw</v>
      </c>
      <c r="AM153" s="7" t="str">
        <f>IF(AI153="No","No",_xlfn.XLOOKUP(_xlfn.XLOOKUP(B153,'Base stats'!B:B,'Base stats'!E:E),Groups!A:A,Groups!AH:AH))</f>
        <v>Scratch</v>
      </c>
      <c r="AN153" s="2">
        <f t="shared" si="14"/>
        <v>15</v>
      </c>
      <c r="AO153" s="2">
        <f>MROUND(IF(AND(_xlfn.XLOOKUP(B153,'Base stats'!B:B,'Base stats'!C:C)&gt;=0.5,_xlfn.XLOOKUP(B153,'Base stats'!B:B,'Base stats'!C:C)&lt;=0.8),
IF(_xlfn.XLOOKUP(B153,'Base stats'!B:B,'Base stats'!C:C)&lt;0.1,0.05,IF(_xlfn.XLOOKUP(B153,'Base stats'!B:B,'Base stats'!C:C)&lt;=70,(_xlfn.XLOOKUP(B153,'Base stats'!B:B,'Base stats'!C:C)/70)^0.426489913056526,IF(_xlfn.XLOOKUP(B153,'Base stats'!B:B,'Base stats'!C:C)&lt;=400,(_xlfn.XLOOKUP(B153,'Base stats'!B:B,'Base stats'!C:C)/70)^0.572811455315093,IF(_xlfn.XLOOKUP(B153,'Base stats'!B:B,'Base stats'!C:C)&lt;=2000,2.71391647193063*(_xlfn.XLOOKUP(B153,'Base stats'!B:B,'Base stats'!C:C)/400)^0.252459582904293,3.74314280240376*(_xlfn.XLOOKUP(B153,'Base stats'!B:B,'Base stats'!C:C)/2000)^0.357012633876913)))),
IF(_xlfn.XLOOKUP(B153,'Base stats'!B:B,'Base stats'!C:C)&lt;0.1,0.05,IF(_xlfn.XLOOKUP(B153,'Base stats'!B:B,'Base stats'!C:C)&lt;0.4,0.1,IF(_xlfn.XLOOKUP(B153,'Base stats'!B:B,'Base stats'!C:C)&lt;=70,(_xlfn.XLOOKUP(B153,'Base stats'!B:B,'Base stats'!C:C)/70)^0.445823913056526,IF(_xlfn.XLOOKUP(B153,'Base stats'!B:B,'Base stats'!C:C)&lt;=400,(_xlfn.XLOOKUP(B153,'Base stats'!B:B,'Base stats'!C:C)/70)^0.572811455315093,IF(_xlfn.XLOOKUP(B153,'Base stats'!B:B,'Base stats'!C:C)&lt;=2000,2.71391647193063*(_xlfn.XLOOKUP(B153,'Base stats'!B:B,'Base stats'!C:C)/400)^0.252459582904293,3.74314280240376*(_xlfn.XLOOKUP(B153,'Base stats'!B:B,'Base stats'!C:C)/2000)^0.357012633876913)))))),
IF(_xlfn.XLOOKUP(B153,'Base stats'!B:B,'Base stats'!C:C)&lt;0.1,0.05,IF(_xlfn.XLOOKUP(B153,'Base stats'!B:B,'Base stats'!C:C)&lt;=100,0.05,IF(_xlfn.XLOOKUP(B153,'Base stats'!B:B,'Base stats'!C:C)&lt;=250,0.1,IF(_xlfn.XLOOKUP(B153,'Base stats'!B:B,'Base stats'!C:C)&lt;=4000,0.25,0.5)))))</f>
        <v>0.35000000000000003</v>
      </c>
      <c r="AP153" s="8">
        <f>MROUND(AO153*_xlfn.XLOOKUP(_xlfn.XLOOKUP(B153,'Base stats'!B:B,'Base stats'!E:E),Groups!A:A,Groups!AI:AI)*_xlfn.XLOOKUP(B153,'Base stats'!B:B,'Base stats'!Z:Z),0.05)</f>
        <v>0.4</v>
      </c>
      <c r="AQ153" s="8">
        <f>MAX(0.01,MROUND(IF(CC153="True",0.196*(AO153*100*1000)^0.889,IF(_xlfn.XLOOKUP(_xlfn.XLOOKUP(B153,'Base stats'!B:B,'Base stats'!E:E),Groups!A:A,Groups!AJ:AJ)="Bird",10.5*(AO153*100*1000)^0.681,4.82*(AO153*100*1000)^0.734))/(4.82*(1*100*1000)^0.734)/IF(AO153&lt;3.5,2,IF(AO153=3.5,1.5,1.25))*(1+0.132282374779864/(AO153^0.994035016789033+0.00905238001496948)),0.05))</f>
        <v>0.30000000000000004</v>
      </c>
      <c r="AR153" s="9">
        <f>IFERROR(MROUND(_xlfn.XLOOKUP(B153,'Base stats'!B:B,'Base stats'!H:H)/IF(_xlfn.XLOOKUP(B153,'Base stats'!B:B,'Base stats'!I:I)&lt;&gt;1,(122.5/70),1.2),IF(_xlfn.XLOOKUP(B153,'Base stats'!B:B,'Base stats'!H:H)&gt;=30,5,IF(_xlfn.XLOOKUP(B153,'Base stats'!B:B,'Base stats'!H:H)&gt;=15,3,IF(_xlfn.XLOOKUP(B153,'Base stats'!B:B,'Base stats'!H:H)&gt;=10,2,1)))),"Immortal")</f>
        <v>15</v>
      </c>
      <c r="AS153" s="35">
        <f>IFERROR(IF(OR(_xlfn.XLOOKUP(B153,'Base stats'!B:B,'Base stats'!F:F)="Atypical reproduction",_xlfn.XLOOKUP(B153,'Base stats'!B:B,'Base stats'!F:F)="Lay eggs"),"Lay eggs",MIN(20,MAX(5.5,ROUND(((_xlfn.XLOOKUP(B153,'Base stats'!B:B,'Base stats'!F:F)-25)*(14.5/615) + 5.5)*2,0)/2))),"Unknown")</f>
        <v>6.5</v>
      </c>
      <c r="AT153" s="8">
        <f>IF(_xlfn.XLOOKUP(B153,'Base stats'!B:B,'Base stats'!G:G)="Atypical reproduction","No",IFERROR(MAX(IF(_xlfn.XLOOKUP(B153,'Base stats'!B:B,'Base stats'!G:G)&lt;0.5,0.2,0.3),MROUND(_xlfn.XLOOKUP(B153,'Base stats'!B:B,'Base stats'!G:G)/(365/60),0.2)),"Unknown"))</f>
        <v>0.3</v>
      </c>
      <c r="AU153" s="8">
        <f t="shared" si="15"/>
        <v>0.15000000000000002</v>
      </c>
      <c r="AV153" s="8">
        <f>IFERROR(IFERROR(MROUND(_xlfn.XLOOKUP(B153,'Base stats'!B:B,'Base stats'!J:J),0.1),"Lay eggs"),"Cannot breed")</f>
        <v>4</v>
      </c>
      <c r="AW153" s="2" t="str">
        <f t="shared" si="16"/>
        <v>false</v>
      </c>
      <c r="AX153" s="2" t="str">
        <f>IF(_xlfn.XLOOKUP(_xlfn.XLOOKUP(Animals!B153,'Base stats'!B:B,'Base stats'!E:E),Groups!A:A,Groups!AK:AK)=1,"true","false")</f>
        <v>false</v>
      </c>
      <c r="AY153" s="25" t="str">
        <f>IF(_xlfn.XLOOKUP(B153,'Base stats'!B:B,'Base stats'!Y:Y)="Liquor","Liquor, CarnivoreAnimalStrict",IF(AND(_xlfn.XLOOKUP(B153,'Base stats'!B:B,'Base stats'!Y:Y)="Carnivore",_xlfn.XLOOKUP(_xlfn.XLOOKUP(B153,'Base stats'!B:B,'Base stats'!E:E),Groups!A:A,Groups!AJ:AJ)="Photonozoa"),"CarnivoreAnimalStrict, OvivoreAnimal",IF(_xlfn.XLOOKUP(B153,'Base stats'!B:B,'Base stats'!Y:Y)="Carnivore","CarnivoreAnimal, OvivoreAnimal",IF(_xlfn.XLOOKUP(B153,'Base stats'!B:B,'Base stats'!Y:Y)="Dendrovore","VegetarianRoughAnimal, DendrovoreAnimal",IF(_xlfn.XLOOKUP(B153,'Base stats'!B:B,'Base stats'!Y:Y)="Herbivore","VegetarianRoughAnimal",IF(_xlfn.XLOOKUP(B153,'Base stats'!B:B,'Base stats'!Y:Y)="OmnivoreRough","OmnivoreRoughAnimal, OvivoreAnimal","OmnivoreAnimal, OvivoreAnimal"))))))</f>
        <v>CarnivoreAnimal, OvivoreAnimal</v>
      </c>
      <c r="AZ153" s="2" t="str">
        <f>IF(_xlfn.XLOOKUP(_xlfn.XLOOKUP(B153,'Base stats'!B:B,'Base stats'!E:E),Groups!A:A,Groups!D:D)=1,MROUND((1-J153)*5+1,2)*IF(J153&lt;=0.4,2,1),"No")</f>
        <v>No</v>
      </c>
      <c r="BA153" s="2" t="str">
        <f>IF(AND(_xlfn.XLOOKUP(B153,'Base stats'!B:B,'Base stats'!AH:AH)="&lt;li&gt;Seal&lt;/li&gt;",G153="Odyssey"),"&lt;li&gt;AEXP_Seal&lt;/li&gt;",_xlfn.XLOOKUP(B153,'Base stats'!B:B,'Base stats'!AH:AH))</f>
        <v>&lt;li&gt;Cat&lt;/li&gt;</v>
      </c>
      <c r="BB153" s="2" t="str">
        <f>_xlfn.XLOOKUP(B153,'Base stats'!B:B,'Base stats'!AG:AG)</f>
        <v>Leather_Light</v>
      </c>
      <c r="BC153" s="23" t="str">
        <f>_xlfn.XLOOKUP(_xlfn.XLOOKUP(B153,'Base stats'!B:B,'Base stats'!E:E),Groups!A:A,Groups!AL:AL)</f>
        <v>QuadrupedAnimalWithPawsAndTail</v>
      </c>
      <c r="BD153" s="23">
        <f>MIN(1,MROUND(IF(AND(AO153&lt;0.5,_xlfn.XLOOKUP(B153,'Base stats'!B:B,'Base stats'!AA:AA)=0),0,IF(OR(_xlfn.XLOOKUP(Animals!B153,'Base stats'!B:B,'Base stats'!O:O)=2,_xlfn.XLOOKUP(_xlfn.XLOOKUP(B153,'Base stats'!B:B,'Base stats'!E:E),Groups!A:A,Groups!AN:AN)=0),0,_xlfn.XLOOKUP(_xlfn.XLOOKUP(B153,'Base stats'!B:B,'Base stats'!E:E),Groups!A:A,Groups!AN:AN)/IF(_xlfn.XLOOKUP(Animals!B153,'Base stats'!B:B,'Base stats'!O:O)=1,2,1)))+_xlfn.XLOOKUP(B153,'Base stats'!B:B,'Base stats'!AC:AC),0.005))</f>
        <v>0</v>
      </c>
      <c r="BE153" s="23">
        <f>MIN(1,MROUND(IF(AND(AO153&lt;0.5,_xlfn.XLOOKUP(B153,'Base stats'!B:B,'Base stats'!AA:AA)=0),0,IF(_xlfn.XLOOKUP(_xlfn.XLOOKUP(B153,'Base stats'!B:B,'Base stats'!E:E),Groups!A:A,Groups!AO:AO)=0,0,_xlfn.XLOOKUP(_xlfn.XLOOKUP(B153,'Base stats'!B:B,'Base stats'!E:E),Groups!A:A,Groups!AO:AO)/IF(_xlfn.XLOOKUP(Animals!B153,'Base stats'!B:B,'Base stats'!O:O)=2,3,1)))+_xlfn.XLOOKUP(B153,'Base stats'!B:B,'Base stats'!AD:AD),0.005))</f>
        <v>0</v>
      </c>
      <c r="BF153" s="2">
        <f>IF(J153&gt;0.3,"No",_xlfn.XLOOKUP(_xlfn.XLOOKUP(Animals!B153,'Base stats'!B:B,'Base stats'!E:E),Groups!A:A,Groups!AP:AP))</f>
        <v>1</v>
      </c>
      <c r="BG153" s="2">
        <f>IF(AND(J153&lt;=0.65,_xlfn.XLOOKUP(_xlfn.XLOOKUP(Animals!B153,'Base stats'!B:B,'Base stats'!E:E),Groups!A:A,Groups!AP:AP)&lt;&gt;"No",_xlfn.XLOOKUP(_xlfn.XLOOKUP(B153,'Base stats'!B:B,'Base stats'!E:E),Groups!A:A,Groups!D:D)=0),MROUND((80/3)*IF(_xlfn.XLOOKUP(B153,'Base stats'!B:B,'Base stats'!O:O)=2,0.2,AO153) + 24*(1-IF(BF153="No",0,BF153)) + 16/3, 12),"No")</f>
        <v>12</v>
      </c>
      <c r="BH153" s="2">
        <f>IF(AND(_xlfn.XLOOKUP(_xlfn.XLOOKUP(B153,'Base stats'!B:B,'Base stats'!E:E),Groups!A:A,Groups!AQ:AQ)=1,AO153&lt;=0.35),8,12)</f>
        <v>12</v>
      </c>
      <c r="BI153" s="2" t="str">
        <f>IF(_xlfn.XLOOKUP(_xlfn.XLOOKUP(B153,'Base stats'!B:B,'Base stats'!E:E),Groups!A:A,Groups!D:D)=0,_xlfn.XLOOKUP(_xlfn.XLOOKUP(B153,'Base stats'!B:B,'Base stats'!E:E),Groups!A:A,Groups!AR:AR),"None")</f>
        <v>Intermediate</v>
      </c>
      <c r="BJ153" s="2" t="str">
        <f>IF(AND(_xlfn.XLOOKUP(_xlfn.XLOOKUP(B153,'Base stats'!B:B,'Base stats'!E:E),Groups!A:A,Groups!AS:AS)=1,OR(_xlfn.XLOOKUP(B153,'Base stats'!B:B,'Base stats'!Y:Y)="Carnivore",_xlfn.XLOOKUP(B153,'Base stats'!B:B,'Base stats'!Y:Y)="Omnivore")),"true","false")</f>
        <v>true</v>
      </c>
      <c r="BK153" s="2">
        <f>IF(BJ153="true",MROUND(IF(AND(AO153&gt;0.5,OR(_xlfn.XLOOKUP(_xlfn.XLOOKUP(B153,'Base stats'!B:B,'Base stats'!E:E),Groups!A:A,Groups!AJ:AJ)="Photonozoa",_xlfn.XLOOKUP(_xlfn.XLOOKUP(B153,'Base stats'!B:B,'Base stats'!E:E),Groups!A:A,Groups!AJ:AJ)="Mammal")),Animals!AO153*1.75*IF(AW153="true",1.5,1),IF(AO153&lt;0.5,Animals!AO153*0.5,Animals!AO153)),IF(AO153&gt;2,0.5,IF(AO153&gt;0.5,0.25,0.1))),"No")</f>
        <v>0.2</v>
      </c>
      <c r="BL153" s="2">
        <f t="shared" si="17"/>
        <v>1</v>
      </c>
      <c r="BM153" s="25" t="str">
        <f>IF(_xlfn.XLOOKUP(B153,'Base stats'!B:B,'Base stats'!AN:AN)="Standard","No",MROUND((_xlfn.XLOOKUP(B153,'Base stats'!B:B,'Base stats'!AN:AN)/3.6)/I153,0.1))</f>
        <v>No</v>
      </c>
      <c r="BN153" s="25" t="str">
        <f t="shared" si="18"/>
        <v>false</v>
      </c>
      <c r="BO153" s="25" t="str">
        <f>IF(AND(OR(_xlfn.XLOOKUP(B153,'Base stats'!B:B,'Base stats'!Y:Y)="Carnivore",_xlfn.XLOOKUP(B153,'Base stats'!B:B,'Base stats'!Y:Y)="Omnivore",_xlfn.XLOOKUP(B153,'Base stats'!B:B,'Base stats'!Y:Y)="OmnivoreRough"),_xlfn.XLOOKUP(_xlfn.XLOOKUP(B153,'Base stats'!B:B,'Base stats'!E:E),Groups!A:A,Groups!AT:AT)=1),"true","false")</f>
        <v>false</v>
      </c>
      <c r="BP153" s="25" t="str" cm="1">
        <f t="array" ref="BP153">IF(
  _xlfn.TEXTJOIN(", ",TRUE,
    IF(AND(BJ153="true",AO153&gt;0.5,BI153&lt;&gt;"None"),"AttackTarget",""),
    IF(AND(_xlfn.XLOOKUP(_xlfn.XLOOKUP(B153,'Base stats'!B:B,'Base stats'!E:E),Groups!A:A,Groups!AJ:AJ="Mammal"),OR(_xlfn.XLOOKUP(B153,'Base stats'!B:B,'Base stats'!Y:Y)="Omnivore",_xlfn.XLOOKUP(B153,'Base stats'!B:B,'Base stats'!Y:Y)="OmnivoreRough")),"Forage",""),
    IF(BG153&lt;=36,"Comfort",""),
    IF(_xlfn.XLOOKUP(B153,'Base stats'!B:B,'Base stats'!AE:AE)&lt;&gt;"No",_xlfn.XLOOKUP(B153,'Base stats'!B:B,'Base stats'!AE:AE),"")
  ) = "",
  "No",
  _xlfn.TEXTJOIN(", ",TRUE,
    IF(AND(BJ153="true",AO153&gt;0.5,BI153&lt;&gt;"None"),"AttackTarget",""),
    IF(AND(_xlfn.XLOOKUP(_xlfn.XLOOKUP(B153,'Base stats'!B:B,'Base stats'!E:E),Groups!A:A,Groups!AJ:AJ="Mammal"),OR(_xlfn.XLOOKUP(B153,'Base stats'!B:B,'Base stats'!Y:Y)="Omnivore",_xlfn.XLOOKUP(B153,'Base stats'!B:B,'Base stats'!Y:Y)="OmnivoreRough")),"Forage",""),
    IF(BG153&lt;=36,"Comfort",""),
    IF(_xlfn.XLOOKUP(B153,'Base stats'!B:B,'Base stats'!AE:AE)&lt;&gt;"No",_xlfn.XLOOKUP(B153,'Base stats'!B:B,'Base stats'!AE:AE),"")
  )
)</f>
        <v>Comfort</v>
      </c>
      <c r="BQ153" s="25" t="str">
        <f>IF(
   AND(
      'Base stats'!AN153="Standard",_xlfn.XLOOKUP(_xlfn.XLOOKUP(B153,'Base stats'!B:B,'Base stats'!E:E),Groups!A:A,Groups!AU:AU)=0,
      OR(
      BO153="True"
      )
   ),
   10,
   IF(
       OR(BM153&lt;&gt;"No",_xlfn.XLOOKUP(_xlfn.XLOOKUP(B153,'Base stats'!B:B,'Base stats'!E:E),Groups!A:A,Groups!AU:AU)=1),
      1,
      "No"
   )
)</f>
        <v>No</v>
      </c>
      <c r="BR153" s="9">
        <f>MROUND((1 + ((0.2*IF(OR(Q153="No",R153="No",R153=0),0,Q153/R153)
+IF(OR(V153="No",S153="No",T153="No"),0,S153/T153*(LEN(V153)-LEN(SUBSTITUTE(V153,",",""))+1))
+IF(OR(X153="No",Y153="No"),0,X153/Y153)
+IF(OR(AD153="No",AE153="No"),0,AD153/AE153)
+IF(OR(AL153="No",AI153="No",AJ153="No"),0,AI153/AJ153*(LEN(AL153)-LEN(SUBSTITUTE(AL153,",",""))+1))
)/(0.2*IF(OR(Q153="No",R153="No",R153=0),0,1)
+IF(OR(V153="No",S153="No",T153="No"),0,LEN(V153)-LEN(SUBSTITUTE(V153,",",""))+1)
+IF(OR(X153="No",Y153="No"),0,1)
+IF(OR(AD153="No",AE153="No"),0,1)
+IF(OR(AL153="No",AI153="No",AJ153="No"),0,LEN(AL153)-LEN(SUBSTITUTE(AL153,",",""))+1))*62%)* 2)*(1 + (AP153 / (IF(_xlfn.XLOOKUP(_xlfn.XLOOKUP(B153,'Base stats'!B:B,'Base stats'!E:E),Groups!A:A,Groups!AJ:AJ)="Photonozoa",0.3,1)) + _xlfn.XLOOKUP(B153,'Base stats'!B:B,'Base stats'!AV:AV) * 1.8) * 2) * 2.5 + 10 + I153 * 2,5)+IF(_xlfn.XLOOKUP(B153,'Base stats'!B:B,'Base stats'!AK:AK)=1,50,0)</f>
        <v>50</v>
      </c>
      <c r="BS153" s="8">
        <f t="shared" si="19"/>
        <v>0.30000000000000004</v>
      </c>
      <c r="BT153" s="8" t="str">
        <f>_xlfn.XLOOKUP(B153,'Base stats'!B:B,'Base stats'!AF:AF)</f>
        <v>No</v>
      </c>
      <c r="BU153" s="2" t="str">
        <f>IF(AND(J153&lt;=0.95,OR(_xlfn.XLOOKUP(B153,'Base stats'!B:B,'Base stats'!AK:AK)=1,_xlfn.XLOOKUP(B153,'Base stats'!B:B,'Base stats'!Y:Y)="Carnivore",_xlfn.XLOOKUP(B153,'Base stats'!B:B,'Base stats'!Y:Y)="Omnivore",BE153&gt;0.1)),"true","false")</f>
        <v>true</v>
      </c>
      <c r="BV153" s="2" t="str">
        <f>IF(_xlfn.XLOOKUP(B153,'Base stats'!B:B,'Base stats'!AI:AI)=1,"true","false")</f>
        <v>false</v>
      </c>
      <c r="BW153" s="25" t="str">
        <f>IF(E153="BaseInsect","AnimalInsect",
IF(J153&gt;0.95,"AnimalExotic",
_xlfn.TEXTJOIN(", ",TRUE,
IF(OR(_xlfn.XLOOKUP(B153,'Base stats'!B:B,'Base stats'!AM:AM)=1,AND(_xlfn.XLOOKUP(B153,'Base stats'!B:B,'Base stats'!O:O)=0,_xlfn.XLOOKUP(_xlfn.XLOOKUP(B153,'Base stats'!B:B,'Base stats'!E:E),Groups!A:A,Groups!B:B)&gt;0)),"AnimalUncommon","AnimalCommon"),
IF(AND(_xlfn.XLOOKUP(B153,'Base stats'!B:B,'Base stats'!O:O)=2,_xlfn.XLOOKUP(_xlfn.XLOOKUP(B153,'Base stats'!B:B,'Base stats'!E:E),Groups!A:A,Groups!D:D)=0),"AnimalPet",IF(AND(_xlfn.XLOOKUP(B153,'Base stats'!B:B,'Base stats'!O:O)&lt;&gt;0,_xlfn.XLOOKUP(_xlfn.XLOOKUP(B153,'Base stats'!B:B,'Base stats'!E:E),Groups!A:A,Groups!D:D)&lt;&gt;0),"AnimalFarm","")),
IF(OR(_xlfn.XLOOKUP(B153,'Base stats'!B:B,'Base stats'!AK:AK)=1,AND(BI153&lt;&gt;"None",BR153&gt;=60),ISNUMBER(SEARCH("Attack target",BP153))),"AnimalFighter","")
)))</f>
        <v>AnimalCommon, AnimalPet</v>
      </c>
      <c r="BX153" s="25" t="str">
        <f>IF(G153="None",TRIM(
SUBSTITUTE(
IF(COUNTIF(Biomes!B$2:B$259,"="&amp;$C153)&gt;0,Biomes!B$1&amp;", ","")&amp;
IF(COUNTIF(Biomes!C$2:C$259,"="&amp;$C153)&gt;0,Biomes!C$1&amp;", ","")&amp;
IF(COUNTIF(Biomes!D$2:D$259,"="&amp;$C153)&gt;0,Biomes!D$1&amp;", ","")&amp;
IF(COUNTIF(Biomes!F$2:F$259,"="&amp;$C153)&gt;0,Biomes!F$1&amp;", ","")&amp;
IF(COUNTIF(Biomes!G$2:G$259,"="&amp;$C153)&gt;0,Biomes!G$1&amp;", ","")&amp;
IF(COUNTIF(Biomes!H$2:H$259,"="&amp;$C153)&gt;0,Biomes!H$1&amp;", ","")&amp;
IF(COUNTIF(Biomes!I$2:I$259,"="&amp;$C153)&gt;0,Biomes!I$1&amp;", ","")&amp;
IF(COUNTIF(Biomes!J$2:J$259,"="&amp;$C153)&gt;0,Biomes!J$1&amp;", ","")&amp;
IF(COUNTIF(Biomes!M$2:M$259,"="&amp;$C153)&gt;0,Biomes!M$1&amp;", ","")&amp;
IF(COUNTIF(Biomes!N$2:N$259,"="&amp;$C153)&gt;0,Biomes!N$1&amp;", ","")&amp;
IF(COUNTIF(Biomes!O$2:O$259,"="&amp;$C153)&gt;0,Biomes!O$1&amp;", ","")&amp;
IF(COUNTIF(Biomes!P$2:P$259,"="&amp;$C153)&gt;0,Biomes!P$1&amp;", ","")&amp;
IF(COUNTIF(Biomes!K$2:K$259,"="&amp;$C153)&gt;0,Biomes!K$1&amp;", ","")&amp;
IF(COUNTIF(Biomes!Q$3:Q$259,"="&amp;$C153)&gt;0,Biomes!Q$1&amp;", ","")&amp;
IF(COUNTIF(Biomes!L$2:L$259,"="&amp;$C153)&gt;0,Biomes!L$1&amp;", ","")&amp;
IF(COUNTIF(Biomes!E$2:E$259,"="&amp;$C153)&gt;0,Biomes!E$1&amp;", ","")&amp;IF(COUNTIF(Biomes!S$2:S$259,"="&amp;$C153)&gt;0,Biomes!S$1&amp;", ","")&amp;
IF(COUNTIF(Biomes!R$2:R$259,"="&amp;$C153)&gt;0,Biomes!R$1&amp;", ",""),", ","")
),_xlfn.XLOOKUP(B153,B:B,BX:BX))</f>
        <v/>
      </c>
      <c r="BY153" s="25" t="str">
        <f>IF(_xlfn.XLOOKUP(B153,'Base stats'!B:B,'Base stats'!AJ:AJ)=1,"true","false")</f>
        <v>false</v>
      </c>
      <c r="BZ153" s="25">
        <f>IF(_xlfn.XLOOKUP(B153,'Base stats'!B:B,'Base stats'!N:N)=1,"No",MAX(0.001,MIN(MROUND(IF(AND(BJ153="True",CC153="False"),POWER(10,3.47*LOG10(_xlfn.XLOOKUP(B153,'Base stats'!B:B,'Base stats'!C:C)*1000)^-0.96),POWER(10,4.15*LOG10(_xlfn.XLOOKUP(B153,'Base stats'!B:B,'Base stats'!C:C)*1000)^-0.73))*IF(_xlfn.XLOOKUP(B153,'Base stats'!B:B,'Base stats'!AK:AK)=1,0.5,1)*IF(_xlfn.XLOOKUP(B153,'Base stats'!B:B,'Base stats'!AM:AM)=1,0.1,1)/100,IF(_xlfn.XLOOKUP(B153,'Base stats'!B:B,'Base stats'!AM:AM)=1,0.001,0.025)),0.5)))</f>
        <v>0.1</v>
      </c>
      <c r="CA153" s="25" t="str">
        <f>IF(P153="Standard","No",MAX(0.001,MIN(MROUND(IF(AND(BJ153="True",CC153="False"),POWER(10,3.47*LOG10(_xlfn.XLOOKUP(B153,'Base stats'!B:B,'Base stats'!C:C)*1000)^-0.96),POWER(10,4.15*LOG10(_xlfn.XLOOKUP(B153,'Base stats'!B:B,'Base stats'!C:C)*1000)^-0.73))*IF(_xlfn.XLOOKUP(B153,'Base stats'!B:B,'Base stats'!AM:AM)=1,0.1,1)*_xlfn.XLOOKUP(B153,'Base stats'!B:B,'Base stats'!R:R)/100,IF(_xlfn.XLOOKUP(B153,'Base stats'!B:B,'Base stats'!AM:AM)=1,0.001,0.025)),0.5)))</f>
        <v>No</v>
      </c>
      <c r="CB153" s="25" t="str">
        <f>IF(_xlfn.XLOOKUP(_xlfn.XLOOKUP(B153,'Base stats'!B:B,'Base stats'!E:E),Groups!A:A,Groups!AJ:AJ)="Mammal","True","False")</f>
        <v>True</v>
      </c>
      <c r="CC153" s="25" t="str">
        <f>IF(OR(_xlfn.XLOOKUP(_xlfn.XLOOKUP(B153,'Base stats'!B:B,'Base stats'!E:E),Groups!A:A,Groups!AJ:AJ)="Reptile",_xlfn.XLOOKUP(_xlfn.XLOOKUP(B153,'Base stats'!B:B,'Base stats'!E:E),Groups!A:A,Groups!AJ:AJ)="Amphibian",_xlfn.XLOOKUP(_xlfn.XLOOKUP(B153,'Base stats'!B:B,'Base stats'!E:E),Groups!A:A,Groups!AJ:AJ)="Invertebrate"),"True","False")</f>
        <v>False</v>
      </c>
      <c r="CD153" s="25" t="str">
        <f t="shared" si="20"/>
        <v>False</v>
      </c>
      <c r="CE153" s="25" t="str">
        <f>IF(_xlfn.XLOOKUP(_xlfn.XLOOKUP(B153,'Base stats'!B:B,'Base stats'!E:E),Groups!A:A,Groups!AX:AX),"True","False")</f>
        <v>False</v>
      </c>
      <c r="CF153" s="25" t="str">
        <f>IF(_xlfn.XLOOKUP(_xlfn.XLOOKUP(B153,'Base stats'!B:B,'Base stats'!E:E),Groups!A:A,Groups!AY:AY),"True","False")</f>
        <v>False</v>
      </c>
      <c r="CG153" s="25" t="str">
        <f>IF(_xlfn.XLOOKUP(_xlfn.XLOOKUP(B153,'Base stats'!B:B,'Base stats'!E:E),Groups!A:A,Groups!AW:AW),"True","False")</f>
        <v>False</v>
      </c>
      <c r="CH153" s="25" t="str">
        <f>IF(
OR(
_xlfn.XLOOKUP(_xlfn.XLOOKUP(B153,'Base stats'!B:B,'Base stats'!E:E),Groups!A:A,Groups!AZ:AZ)=0,
AND(
_xlfn.XLOOKUP(B153,'Base stats'!B:B,'Base stats'!Y:Y)&lt;&gt;"Carnivore",
_xlfn.XLOOKUP(B153,'Base stats'!B:B,'Base stats'!Y:Y)&lt;&gt;"Omnivore",
_xlfn.XLOOKUP(B153,'Base stats'!B:B,'Base stats'!Y:Y)&lt;&gt;"OmnivoreRough"
)
),
"No",
IF(
_xlfn.XLOOKUP(_xlfn.XLOOKUP(B153,'Base stats'!B:B,'Base stats'!E:E),Groups!A:A,Groups!AZ:AZ)=1,
"Flesh",
IF(
_xlfn.XLOOKUP(_xlfn.XLOOKUP(B153,'Base stats'!B:B,'Base stats'!E:E),Groups!A:A,Groups!AZ:AZ)=2,
"Bone",
""
)
)
)</f>
        <v>No</v>
      </c>
      <c r="CI153" s="25" t="str">
        <f>IF(_xlfn.XLOOKUP(_xlfn.XLOOKUP(B153,'Base stats'!B:B,'Base stats'!E:E),Groups!A:A,Groups!BB:BB),"True","False")</f>
        <v>True</v>
      </c>
      <c r="CJ153" s="25" t="str">
        <f>IF(_xlfn.XLOOKUP(_xlfn.XLOOKUP(B153,'Base stats'!B:B,'Base stats'!E:E),Groups!A:A,Groups!BA:BA),"True","False")</f>
        <v>False</v>
      </c>
    </row>
    <row r="154" spans="1:88" ht="16.5" thickTop="1" thickBot="1" x14ac:dyDescent="0.3">
      <c r="A154" s="26" t="str">
        <f>_xlfn.XLOOKUP(B154,'Base stats'!B:B,'Base stats'!A:A)</f>
        <v>Munchkin cat</v>
      </c>
      <c r="B154" s="6" t="s">
        <v>907</v>
      </c>
      <c r="C154" s="28" t="s">
        <v>835</v>
      </c>
      <c r="D154" s="28" t="s">
        <v>872</v>
      </c>
      <c r="E154" s="28" t="s">
        <v>673</v>
      </c>
      <c r="F154" s="28" t="s">
        <v>673</v>
      </c>
      <c r="G154" s="28" t="s">
        <v>673</v>
      </c>
      <c r="H154" s="2">
        <f>MROUND((
  (IF(AND(_xlfn.XLOOKUP(B154,'Base stats'!B:B,'Base stats'!AL:AL)=0,BI154="None",_xlfn.XLOOKUP(_xlfn.XLOOKUP(B154,'Base stats'!B:B,'Base stats'!E:E),Groups!A:A,Groups!B:B)=0), (18 + BR154 * 2.7) * 0.5,
    IF(AND(_xlfn.XLOOKUP(B154,'Base stats'!B:B,'Base stats'!AL:AL)=0,OR(AO154&lt;0.55,AND(BI154="Intermediate",_xlfn.XLOOKUP(_xlfn.XLOOKUP(B154,'Base stats'!B:B,'Base stats'!E:E),Groups!A:A,Groups!B:B)&lt;2))), (18 + BR154 * 2.7),
      IF(OR(BI154="Advanced",_xlfn.XLOOKUP(B154,'Base stats'!B:B,'Base stats'!AL:AL)=1,_xlfn.XLOOKUP(_xlfn.XLOOKUP(B154,'Base stats'!B:B,'Base stats'!E:E),Groups!A:A,Groups!B:B)=2), (18 + BR154 * 2.7) + 250, (18 + BR154 * 2.7))
    )
  ))
  + AO154 * 80
  + IF(COUNTIF(EggMilk!K$2:K$998, A154) &gt; 0, 125, 0)
  + IF(COUNTIF(EggMilk!P$2:P$998, A154) &gt; 0, 90, 0)
  + IF(COUNTIF(EggMilk!A$2:A$998, A154) &gt; 0, 90, 0)
)
* (0.8 + 0.4 * J154)
* 0.75,25)</f>
        <v>100</v>
      </c>
      <c r="I154" s="2">
        <f>MROUND(ROUNDDOWN(_xlfn.XLOOKUP(B154,'Base stats'!B:B,'Base stats'!L:L)/3.6/(23.3/11),1),0.5)</f>
        <v>5.5</v>
      </c>
      <c r="J154" s="2">
        <f>IF(OR(_xlfn.XLOOKUP(B154,'Base stats'!B:B,'Base stats'!AB:AB)=1,_xlfn.XLOOKUP(_xlfn.XLOOKUP(B154,'Base stats'!B:B,'Base stats'!E:E),Groups!A:A,Groups!C:C)="Untamable"),1,IF(_xlfn.XLOOKUP(B154,'Base stats'!B:B,'Base stats'!AL:AL)=1,0.99,MIN(MROUND((1-0.6282*EXP(-0.459*AO154))*_xlfn.XLOOKUP(_xlfn.XLOOKUP(B154,'Base stats'!B:B,'Base stats'!E:E),Groups!A:A,Groups!C:C)*IF(_xlfn.XLOOKUP(B154,'Base stats'!B:B,'Base stats'!O:O)=1,0.5,IF(_xlfn.XLOOKUP(B154,'Base stats'!B:B,'Base stats'!O:O)=2,0,1)),0.05),IF(AO154&gt;3.5,0.985,0.95))))</f>
        <v>0</v>
      </c>
      <c r="K154" s="2">
        <f>ROUNDUP(AO154*_xlfn.XLOOKUP(_xlfn.XLOOKUP(B154,'Base stats'!B:B,'Base stats'!E:E),Groups!A:A,Groups!E:E),0)</f>
        <v>1</v>
      </c>
      <c r="L154" s="2">
        <f>IF(OR(_xlfn.XLOOKUP(_xlfn.XLOOKUP(B154,'Base stats'!B:B,'Base stats'!E:E),Groups!A:A,Groups!F:F)=2,ISNUMBER(SEARCH("SeaIce",BX154)),ISNUMBER(SEARCH("IceSheet",BX154))),-50,IF(OR(ISNUMBER(SEARCH("GlacialPlain",BX154)),ISNUMBER(SEARCH("Tundra",BX154))),-40,IF(OR(ISNUMBER(SEARCH("Alpine",BX154)),ISNUMBER(SEARCH("BorealForest",BX154)),ISNUMBER(SEARCH("ColdBog",BX154))),-30,IF(OR(ISNUMBER(SEARCH("TemperateForest",BX154)),ISNUMBER(SEARCH("TemperateSwamp",BX154))),-20,IF(_xlfn.XLOOKUP(_xlfn.XLOOKUP(B154,'Base stats'!B:B,'Base stats'!E:E),Groups!A:A,Groups!F:F)=1,-15,IF(OR(ISNUMBER(SEARCH("Desert",BX154)),ISNUMBER(SEARCH("ExtremeDesert",BX154))),-10,IF(OR(ISNUMBER(SEARCH("Grasslands",BX154)),ISNUMBER(SEARCH("TropicalRainforest",BX154)),ISNUMBER(SEARCH("TropicalSwamp",BX154))),10,0)))))))-IF(CC154="False",MIN(IFERROR(MAX(MROUND(LOG10(_xlfn.XLOOKUP(B154,'Base stats'!B:B,'Base stats'!C:C)^(2/3))*10,5),5),5),30))-_xlfn.XLOOKUP(B154,'Base stats'!B:B,'Base stats'!P:P)+IF(CC154="True",5,0)</f>
        <v>-20</v>
      </c>
      <c r="M154" s="2">
        <f>IF(OR(_xlfn.XLOOKUP(_xlfn.XLOOKUP(B154,'Base stats'!B:B,'Base stats'!E:E),Groups!A:A,Groups!G:G)=2,ISNUMBER(SEARCH("Desert",BX154)),ISNUMBER(SEARCH("ExtremeDesert",BX154)),ISNUMBER(SEARCH("LavaField",BX154))),50,IF(ISNUMBER(SEARCH("Grasslands",BX154)),45,IF(OR(_xlfn.XLOOKUP(_xlfn.XLOOKUP(B154,'Base stats'!B:B,'Base stats'!E:E),Groups!A:A,Groups!G:G)=1,ISNUMBER(SEARCH("TropicalRainforest",BX154)),ISNUMBER(SEARCH("TropicalSwamp",BX154))),40,IF(OR(ISNUMBER(SEARCH("TemperateForest",BX154)),ISNUMBER(SEARCH("TemperateSwamp",BX154))),35,IF(OR(ISNUMBER(SEARCH("Alpine",BX154)),ISNUMBER(SEARCH("BorealForest",BX154)),ISNUMBER(SEARCH("ColdBog",BX154))),30,IF(ISNUMBER(OR(ISNUMBER(SEARCH("GlacialPlain",BX154)),SEARCH("Tundra",BX154))),25,IF(OR(ISNUMBER(SEARCH("SeaIce",BX154)),ISNUMBER(SEARCH("IceSheet",BX154)),ISNUMBER(SEARCH("TropicalSwamp",BX154))),10,35)))))))+_xlfn.XLOOKUP(B154,'Base stats'!B:B,'Base stats'!Q:Q)</f>
        <v>40</v>
      </c>
      <c r="N154" s="8" t="str">
        <f>IF(
_xlfn.XLOOKUP(
_xlfn.XLOOKUP(B154,'Base stats'!B:B,'Base stats'!E:E),
Groups!A:A,
Groups!L:L
)=1,
MIN(
MROUND(
IF(
_xlfn.XLOOKUP(B154,'Animals CE'!B:B,'Animals CE'!Z:Z)&lt;=1.5,
_xlfn.XLOOKUP(B154,'Animals CE'!B:B,'Animals CE'!Z:Z)/2+0.05,
0.8+
(_xlfn.XLOOKUP(B154,'Animals CE'!B:B,'Animals CE'!Z:Z)-1.5)
*0.02
),
0.05
),
200%
),
"No"
)</f>
        <v>No</v>
      </c>
      <c r="O154" s="8" t="str">
        <f>IF(
_xlfn.XLOOKUP(
_xlfn.XLOOKUP(B154,'Base stats'!B:B,'Base stats'!E:E),
Groups!A:A,
Groups!L:L
)=1,
MIN(
MROUND(
IF(
_xlfn.XLOOKUP(B154,'Animals CE'!B:B,'Animals CE'!AA:AA)&lt;=1.5,
_xlfn.XLOOKUP(B154,'Animals CE'!B:B,'Animals CE'!AA:AA)/2+0.05,
0.8+
(_xlfn.XLOOKUP(B154,'Animals CE'!B:B,'Animals CE'!AA:AA)-1.5)
*0.02
),
0.05
),
200%
),
"No"
)</f>
        <v>No</v>
      </c>
      <c r="P154" s="2" t="str">
        <f>_xlfn.XLOOKUP(B154,'Base stats'!B:B,'Base stats'!R:R)</f>
        <v>Standard</v>
      </c>
      <c r="Q154" s="13">
        <f>MROUND((LOG10(_xlfn.XLOOKUP(B154,'Base stats'!B:B,'Base stats'!AR:AR))*(AO154^0.5)+(_xlfn.XLOOKUP(B154,'Base stats'!B:B,'Base stats'!AR:AR)/1000)^(2/3)+_xlfn.XLOOKUP(B154,'Base stats'!B:B,'Base stats'!BA:BA)/2)+0.5,0.5)</f>
        <v>2.5</v>
      </c>
      <c r="R154" s="7">
        <f>IF(Q154="No","No",MAX(1,MROUND(_xlfn.XLOOKUP(B154,'Base stats'!B:B,'Base stats'!C:C)^0.165,0.05)))</f>
        <v>1.2000000000000002</v>
      </c>
      <c r="S154" s="13" t="str">
        <f>IF(_xlfn.XLOOKUP(_xlfn.XLOOKUP(B154,'Base stats'!B:B,'Base stats'!E:E),Groups!A:A,Groups!P:P)=0,"No",MROUND((LOG10(_xlfn.XLOOKUP(B154,'Base stats'!B:B,'Base stats'!AS:AS))*(AO154^0.5)+(_xlfn.XLOOKUP(B154,'Base stats'!B:B,'Base stats'!AS:AS)/1000)^(2/3)+_xlfn.XLOOKUP(B154,'Base stats'!B:B,'Base stats'!BA:BA))+_xlfn.XLOOKUP(B154,'Base stats'!B:B,'Base stats'!AY:AY)+0.5,0.5))</f>
        <v>No</v>
      </c>
      <c r="T154" s="7" t="str">
        <f>IF(S154="No","No",MAX(_xlfn.XLOOKUP(_xlfn.XLOOKUP(B154,'Base stats'!B:B,'Base stats'!E:E),Groups!A:A,Groups!Q:Q),MROUND(_xlfn.XLOOKUP(_xlfn.XLOOKUP(B154,'Base stats'!B:B,'Base stats'!E:E),Groups!A:A,Groups!Q:Q)*_xlfn.XLOOKUP(B154,'Base stats'!B:B,'Base stats'!C:C)^0.165,0.05)))</f>
        <v>No</v>
      </c>
      <c r="U154" s="7" t="str">
        <f>IF(S154="No","No",_xlfn.XLOOKUP(_xlfn.XLOOKUP(B154,'Base stats'!B:B,'Base stats'!E:E),Groups!A:A,Groups!R:R))</f>
        <v>No</v>
      </c>
      <c r="V154" s="7" t="str">
        <f>IF(S154="No","No",_xlfn.XLOOKUP(_xlfn.XLOOKUP(B154,'Base stats'!B:B,'Base stats'!E:E),Groups!A:A,Groups!S:S))</f>
        <v>No</v>
      </c>
      <c r="W154" s="7" t="str">
        <f>IF(S154="No","No",_xlfn.XLOOKUP(_xlfn.XLOOKUP(B154,'Base stats'!B:B,'Base stats'!E:E),Groups!A:A,Groups!T:T))</f>
        <v>No</v>
      </c>
      <c r="X154" s="13" t="str">
        <f>IF(_xlfn.XLOOKUP(B154,'Base stats'!B:B,'Base stats'!W:W)="No","No",MROUND((LOG10(_xlfn.XLOOKUP(B154,'Base stats'!B:B,'Base stats'!AU:AU))*(AO154^0.5)+(_xlfn.XLOOKUP(B154,'Base stats'!B:B,'Base stats'!AU:AU)/1000)^(2/3)+_xlfn.XLOOKUP(B154,'Base stats'!B:B,'Base stats'!AZ:AZ))+0.5+IF(_xlfn.XLOOKUP(_xlfn.XLOOKUP(B154,'Base stats'!B:B,'Base stats'!E:E),Groups!A:A,Groups!U:U)&lt;&gt;3,_xlfn.XLOOKUP(B154,'Base stats'!B:B,'Base stats'!BA:BA),0),0.5))</f>
        <v>No</v>
      </c>
      <c r="Y154" s="7" t="str">
        <f>IF(X154="No","No",MAX(_xlfn.XLOOKUP(_xlfn.XLOOKUP(B154,'Base stats'!B:B,'Base stats'!E:E),Groups!A:A,Groups!V:V),MROUND(_xlfn.XLOOKUP(_xlfn.XLOOKUP(B154,'Base stats'!B:B,'Base stats'!E:E),Groups!A:A,Groups!V:V)*_xlfn.XLOOKUP(B154,'Base stats'!B:B,'Base stats'!C:C)^0.165,0.05)))</f>
        <v>No</v>
      </c>
      <c r="Z154" s="7" t="str">
        <f>IF(X154="No","No",_xlfn.XLOOKUP(_xlfn.XLOOKUP(B154,'Base stats'!B:B,'Base stats'!E:E),Groups!A:A,Groups!W:W))</f>
        <v>No</v>
      </c>
      <c r="AA154" s="7" t="str">
        <f>IF(X154="No","No",_xlfn.XLOOKUP(_xlfn.XLOOKUP(B154,'Base stats'!B:B,'Base stats'!E:E),Groups!A:A,Groups!X:X))</f>
        <v>No</v>
      </c>
      <c r="AB154" s="7" t="str">
        <f>IF(X154="No","No",_xlfn.XLOOKUP(_xlfn.XLOOKUP(B154,'Base stats'!B:B,'Base stats'!E:E),Groups!A:A,Groups!Y:Y))</f>
        <v>No</v>
      </c>
      <c r="AC154" s="7" t="str">
        <f>_xlfn.XLOOKUP(Animals!B154,'Base stats'!B:B,'Base stats'!X:X)</f>
        <v>False</v>
      </c>
      <c r="AD154" s="13">
        <f>IF(_xlfn.XLOOKUP(B154,'Base stats'!B:B,'Base stats'!AT:AT)="No","No",MROUND((LOG10(_xlfn.XLOOKUP(B154,'Base stats'!B:B,'Base stats'!AT:AT))*(AO154^0.75)+(_xlfn.XLOOKUP(B154,'Base stats'!B:B,'Base stats'!AT:AT)/1000)^(2/3)+_xlfn.XLOOKUP(B154,'Base stats'!B:B,'Base stats'!AX:AX)+_xlfn.XLOOKUP(B154,'Base stats'!B:B,'Base stats'!BA:BA))+0.5,0.5))</f>
        <v>3.5</v>
      </c>
      <c r="AE154" s="7">
        <f>IF(AD154="No","No",MAX(_xlfn.XLOOKUP(_xlfn.XLOOKUP(B154,'Base stats'!B:B,'Base stats'!E:E),Groups!A:A,Groups!Z:Z),MROUND(_xlfn.XLOOKUP(_xlfn.XLOOKUP(B154,'Base stats'!B:B,'Base stats'!E:E),Groups!A:A,Groups!Z:Z)*_xlfn.XLOOKUP(B154,'Base stats'!B:B,'Base stats'!C:C)^0.165,0.05)))</f>
        <v>0.85000000000000009</v>
      </c>
      <c r="AF154" s="7" t="str">
        <f>IF(AD154="No","No",_xlfn.XLOOKUP(_xlfn.XLOOKUP(B154,'Base stats'!B:B,'Base stats'!E:E),Groups!A:A,Groups!AA:AA))</f>
        <v>Teeth</v>
      </c>
      <c r="AG154" s="7" t="str">
        <f>IF(AD154="No","No",_xlfn.XLOOKUP(_xlfn.XLOOKUP(B154,'Base stats'!B:B,'Base stats'!E:E),Groups!A:A,Groups!AB:AB))</f>
        <v>canines</v>
      </c>
      <c r="AH154" s="7" t="str">
        <f>IF(AD154="No","No",_xlfn.XLOOKUP(_xlfn.XLOOKUP(B154,'Base stats'!B:B,'Base stats'!E:E),Groups!A:A,Groups!AC:AC))</f>
        <v>Bite</v>
      </c>
      <c r="AI154" s="13">
        <f>IF(_xlfn.XLOOKUP(_xlfn.XLOOKUP(B154,'Base stats'!B:B,'Base stats'!E:E),Groups!A:A,Groups!AD:AD)=0,"No",MROUND((LOG10(_xlfn.XLOOKUP(B154,'Base stats'!B:B,'Base stats'!AS:AS))*(AO154^0.75)+(_xlfn.XLOOKUP(B154,'Base stats'!B:B,'Base stats'!AS:AS)/1000)^(2/3)+_xlfn.XLOOKUP(B154,'Base stats'!B:B,'Base stats'!AY:AY)+_xlfn.XLOOKUP(B154,'Base stats'!B:B,'Base stats'!BA:BA))+0.5,0.5))</f>
        <v>3</v>
      </c>
      <c r="AJ154" s="7">
        <f>IF(AI154="No","No",MAX(_xlfn.XLOOKUP(_xlfn.XLOOKUP(B154,'Base stats'!B:B,'Base stats'!E:E),Groups!A:A,Groups!AE:AE),MROUND(_xlfn.XLOOKUP(_xlfn.XLOOKUP(B154,'Base stats'!B:B,'Base stats'!E:E),Groups!A:A,Groups!AE:AE)*IF(_xlfn.XLOOKUP(_xlfn.XLOOKUP(B154,'Base stats'!B:B,'Base stats'!E:E),Groups!A:A,Groups!AJ:AJ)="Photonozoa",0.6,1)*_xlfn.XLOOKUP(B154,'Base stats'!B:B,'Base stats'!C:C)^0.165,0.05)))</f>
        <v>0.8</v>
      </c>
      <c r="AK154" s="7" t="str">
        <f>IF(AI154="No","No",_xlfn.XLOOKUP(_xlfn.XLOOKUP(B154,'Base stats'!B:B,'Base stats'!E:E),Groups!A:A,Groups!AF:AF))</f>
        <v>FrontLeftPaw, FrontRightPaw</v>
      </c>
      <c r="AL154" s="7" t="str">
        <f>IF(AI154="No","No",_xlfn.XLOOKUP(_xlfn.XLOOKUP(B154,'Base stats'!B:B,'Base stats'!E:E),Groups!A:A,Groups!AG:AG))</f>
        <v>left claw, right claw</v>
      </c>
      <c r="AM154" s="7" t="str">
        <f>IF(AI154="No","No",_xlfn.XLOOKUP(_xlfn.XLOOKUP(B154,'Base stats'!B:B,'Base stats'!E:E),Groups!A:A,Groups!AH:AH))</f>
        <v>Scratch</v>
      </c>
      <c r="AN154" s="2">
        <f t="shared" si="14"/>
        <v>15</v>
      </c>
      <c r="AO154" s="2">
        <f>MROUND(IF(AND(_xlfn.XLOOKUP(B154,'Base stats'!B:B,'Base stats'!C:C)&gt;=0.5,_xlfn.XLOOKUP(B154,'Base stats'!B:B,'Base stats'!C:C)&lt;=0.8),
IF(_xlfn.XLOOKUP(B154,'Base stats'!B:B,'Base stats'!C:C)&lt;0.1,0.05,IF(_xlfn.XLOOKUP(B154,'Base stats'!B:B,'Base stats'!C:C)&lt;=70,(_xlfn.XLOOKUP(B154,'Base stats'!B:B,'Base stats'!C:C)/70)^0.426489913056526,IF(_xlfn.XLOOKUP(B154,'Base stats'!B:B,'Base stats'!C:C)&lt;=400,(_xlfn.XLOOKUP(B154,'Base stats'!B:B,'Base stats'!C:C)/70)^0.572811455315093,IF(_xlfn.XLOOKUP(B154,'Base stats'!B:B,'Base stats'!C:C)&lt;=2000,2.71391647193063*(_xlfn.XLOOKUP(B154,'Base stats'!B:B,'Base stats'!C:C)/400)^0.252459582904293,3.74314280240376*(_xlfn.XLOOKUP(B154,'Base stats'!B:B,'Base stats'!C:C)/2000)^0.357012633876913)))),
IF(_xlfn.XLOOKUP(B154,'Base stats'!B:B,'Base stats'!C:C)&lt;0.1,0.05,IF(_xlfn.XLOOKUP(B154,'Base stats'!B:B,'Base stats'!C:C)&lt;0.4,0.1,IF(_xlfn.XLOOKUP(B154,'Base stats'!B:B,'Base stats'!C:C)&lt;=70,(_xlfn.XLOOKUP(B154,'Base stats'!B:B,'Base stats'!C:C)/70)^0.445823913056526,IF(_xlfn.XLOOKUP(B154,'Base stats'!B:B,'Base stats'!C:C)&lt;=400,(_xlfn.XLOOKUP(B154,'Base stats'!B:B,'Base stats'!C:C)/70)^0.572811455315093,IF(_xlfn.XLOOKUP(B154,'Base stats'!B:B,'Base stats'!C:C)&lt;=2000,2.71391647193063*(_xlfn.XLOOKUP(B154,'Base stats'!B:B,'Base stats'!C:C)/400)^0.252459582904293,3.74314280240376*(_xlfn.XLOOKUP(B154,'Base stats'!B:B,'Base stats'!C:C)/2000)^0.357012633876913)))))),
IF(_xlfn.XLOOKUP(B154,'Base stats'!B:B,'Base stats'!C:C)&lt;0.1,0.05,IF(_xlfn.XLOOKUP(B154,'Base stats'!B:B,'Base stats'!C:C)&lt;=100,0.05,IF(_xlfn.XLOOKUP(B154,'Base stats'!B:B,'Base stats'!C:C)&lt;=250,0.1,IF(_xlfn.XLOOKUP(B154,'Base stats'!B:B,'Base stats'!C:C)&lt;=4000,0.25,0.5)))))</f>
        <v>0.25</v>
      </c>
      <c r="AP154" s="8">
        <f>MROUND(AO154*_xlfn.XLOOKUP(_xlfn.XLOOKUP(B154,'Base stats'!B:B,'Base stats'!E:E),Groups!A:A,Groups!AI:AI)*_xlfn.XLOOKUP(B154,'Base stats'!B:B,'Base stats'!Z:Z),0.05)</f>
        <v>0.30000000000000004</v>
      </c>
      <c r="AQ154" s="8">
        <f>MAX(0.01,MROUND(IF(CC154="True",0.196*(AO154*100*1000)^0.889,IF(_xlfn.XLOOKUP(_xlfn.XLOOKUP(B154,'Base stats'!B:B,'Base stats'!E:E),Groups!A:A,Groups!AJ:AJ)="Bird",10.5*(AO154*100*1000)^0.681,4.82*(AO154*100*1000)^0.734))/(4.82*(1*100*1000)^0.734)/IF(AO154&lt;3.5,2,IF(AO154=3.5,1.5,1.25))*(1+0.132282374779864/(AO154^0.994035016789033+0.00905238001496948)),0.05))</f>
        <v>0.25</v>
      </c>
      <c r="AR154" s="9">
        <f>IFERROR(MROUND(_xlfn.XLOOKUP(B154,'Base stats'!B:B,'Base stats'!H:H)/IF(_xlfn.XLOOKUP(B154,'Base stats'!B:B,'Base stats'!I:I)&lt;&gt;1,(122.5/70),1.2),IF(_xlfn.XLOOKUP(B154,'Base stats'!B:B,'Base stats'!H:H)&gt;=30,5,IF(_xlfn.XLOOKUP(B154,'Base stats'!B:B,'Base stats'!H:H)&gt;=15,3,IF(_xlfn.XLOOKUP(B154,'Base stats'!B:B,'Base stats'!H:H)&gt;=10,2,1)))),"Immortal")</f>
        <v>15</v>
      </c>
      <c r="AS154" s="35">
        <f>IFERROR(IF(OR(_xlfn.XLOOKUP(B154,'Base stats'!B:B,'Base stats'!F:F)="Atypical reproduction",_xlfn.XLOOKUP(B154,'Base stats'!B:B,'Base stats'!F:F)="Lay eggs"),"Lay eggs",MIN(20,MAX(5.5,ROUND(((_xlfn.XLOOKUP(B154,'Base stats'!B:B,'Base stats'!F:F)-25)*(14.5/615) + 5.5)*2,0)/2))),"Unknown")</f>
        <v>6.5</v>
      </c>
      <c r="AT154" s="8">
        <f>IF(_xlfn.XLOOKUP(B154,'Base stats'!B:B,'Base stats'!G:G)="Atypical reproduction","No",IFERROR(MAX(IF(_xlfn.XLOOKUP(B154,'Base stats'!B:B,'Base stats'!G:G)&lt;0.5,0.2,0.3),MROUND(_xlfn.XLOOKUP(B154,'Base stats'!B:B,'Base stats'!G:G)/(365/60),0.2)),"Unknown"))</f>
        <v>0.3</v>
      </c>
      <c r="AU154" s="8">
        <f t="shared" si="15"/>
        <v>0.15000000000000002</v>
      </c>
      <c r="AV154" s="8">
        <f>IFERROR(IFERROR(MROUND(_xlfn.XLOOKUP(B154,'Base stats'!B:B,'Base stats'!J:J),0.1),"Lay eggs"),"Cannot breed")</f>
        <v>4</v>
      </c>
      <c r="AW154" s="2" t="str">
        <f t="shared" si="16"/>
        <v>false</v>
      </c>
      <c r="AX154" s="2" t="str">
        <f>IF(_xlfn.XLOOKUP(_xlfn.XLOOKUP(Animals!B154,'Base stats'!B:B,'Base stats'!E:E),Groups!A:A,Groups!AK:AK)=1,"true","false")</f>
        <v>false</v>
      </c>
      <c r="AY154" s="25" t="str">
        <f>IF(_xlfn.XLOOKUP(B154,'Base stats'!B:B,'Base stats'!Y:Y)="Liquor","Liquor, CarnivoreAnimalStrict",IF(AND(_xlfn.XLOOKUP(B154,'Base stats'!B:B,'Base stats'!Y:Y)="Carnivore",_xlfn.XLOOKUP(_xlfn.XLOOKUP(B154,'Base stats'!B:B,'Base stats'!E:E),Groups!A:A,Groups!AJ:AJ)="Photonozoa"),"CarnivoreAnimalStrict, OvivoreAnimal",IF(_xlfn.XLOOKUP(B154,'Base stats'!B:B,'Base stats'!Y:Y)="Carnivore","CarnivoreAnimal, OvivoreAnimal",IF(_xlfn.XLOOKUP(B154,'Base stats'!B:B,'Base stats'!Y:Y)="Dendrovore","VegetarianRoughAnimal, DendrovoreAnimal",IF(_xlfn.XLOOKUP(B154,'Base stats'!B:B,'Base stats'!Y:Y)="Herbivore","VegetarianRoughAnimal",IF(_xlfn.XLOOKUP(B154,'Base stats'!B:B,'Base stats'!Y:Y)="OmnivoreRough","OmnivoreRoughAnimal, OvivoreAnimal","OmnivoreAnimal, OvivoreAnimal"))))))</f>
        <v>CarnivoreAnimal, OvivoreAnimal</v>
      </c>
      <c r="AZ154" s="2" t="str">
        <f>IF(_xlfn.XLOOKUP(_xlfn.XLOOKUP(B154,'Base stats'!B:B,'Base stats'!E:E),Groups!A:A,Groups!D:D)=1,MROUND((1-J154)*5+1,2)*IF(J154&lt;=0.4,2,1),"No")</f>
        <v>No</v>
      </c>
      <c r="BA154" s="2" t="str">
        <f>IF(AND(_xlfn.XLOOKUP(B154,'Base stats'!B:B,'Base stats'!AH:AH)="&lt;li&gt;Seal&lt;/li&gt;",G154="Odyssey"),"&lt;li&gt;AEXP_Seal&lt;/li&gt;",_xlfn.XLOOKUP(B154,'Base stats'!B:B,'Base stats'!AH:AH))</f>
        <v>&lt;li&gt;Cat&lt;/li&gt;</v>
      </c>
      <c r="BB154" s="2" t="str">
        <f>_xlfn.XLOOKUP(B154,'Base stats'!B:B,'Base stats'!AG:AG)</f>
        <v>Leather_Light</v>
      </c>
      <c r="BC154" s="23" t="str">
        <f>_xlfn.XLOOKUP(_xlfn.XLOOKUP(B154,'Base stats'!B:B,'Base stats'!E:E),Groups!A:A,Groups!AL:AL)</f>
        <v>QuadrupedAnimalWithPawsAndTail</v>
      </c>
      <c r="BD154" s="23">
        <f>MIN(1,MROUND(IF(AND(AO154&lt;0.5,_xlfn.XLOOKUP(B154,'Base stats'!B:B,'Base stats'!AA:AA)=0),0,IF(OR(_xlfn.XLOOKUP(Animals!B154,'Base stats'!B:B,'Base stats'!O:O)=2,_xlfn.XLOOKUP(_xlfn.XLOOKUP(B154,'Base stats'!B:B,'Base stats'!E:E),Groups!A:A,Groups!AN:AN)=0),0,_xlfn.XLOOKUP(_xlfn.XLOOKUP(B154,'Base stats'!B:B,'Base stats'!E:E),Groups!A:A,Groups!AN:AN)/IF(_xlfn.XLOOKUP(Animals!B154,'Base stats'!B:B,'Base stats'!O:O)=1,2,1)))+_xlfn.XLOOKUP(B154,'Base stats'!B:B,'Base stats'!AC:AC),0.005))</f>
        <v>0</v>
      </c>
      <c r="BE154" s="23">
        <f>MIN(1,MROUND(IF(AND(AO154&lt;0.5,_xlfn.XLOOKUP(B154,'Base stats'!B:B,'Base stats'!AA:AA)=0),0,IF(_xlfn.XLOOKUP(_xlfn.XLOOKUP(B154,'Base stats'!B:B,'Base stats'!E:E),Groups!A:A,Groups!AO:AO)=0,0,_xlfn.XLOOKUP(_xlfn.XLOOKUP(B154,'Base stats'!B:B,'Base stats'!E:E),Groups!A:A,Groups!AO:AO)/IF(_xlfn.XLOOKUP(Animals!B154,'Base stats'!B:B,'Base stats'!O:O)=2,3,1)))+_xlfn.XLOOKUP(B154,'Base stats'!B:B,'Base stats'!AD:AD),0.005))</f>
        <v>0</v>
      </c>
      <c r="BF154" s="2">
        <f>IF(J154&gt;0.3,"No",_xlfn.XLOOKUP(_xlfn.XLOOKUP(Animals!B154,'Base stats'!B:B,'Base stats'!E:E),Groups!A:A,Groups!AP:AP))</f>
        <v>1</v>
      </c>
      <c r="BG154" s="2">
        <f>IF(AND(J154&lt;=0.65,_xlfn.XLOOKUP(_xlfn.XLOOKUP(Animals!B154,'Base stats'!B:B,'Base stats'!E:E),Groups!A:A,Groups!AP:AP)&lt;&gt;"No",_xlfn.XLOOKUP(_xlfn.XLOOKUP(B154,'Base stats'!B:B,'Base stats'!E:E),Groups!A:A,Groups!D:D)=0),MROUND((80/3)*IF(_xlfn.XLOOKUP(B154,'Base stats'!B:B,'Base stats'!O:O)=2,0.2,AO154) + 24*(1-IF(BF154="No",0,BF154)) + 16/3, 12),"No")</f>
        <v>12</v>
      </c>
      <c r="BH154" s="2">
        <f>IF(AND(_xlfn.XLOOKUP(_xlfn.XLOOKUP(B154,'Base stats'!B:B,'Base stats'!E:E),Groups!A:A,Groups!AQ:AQ)=1,AO154&lt;=0.35),8,12)</f>
        <v>12</v>
      </c>
      <c r="BI154" s="2" t="str">
        <f>IF(_xlfn.XLOOKUP(_xlfn.XLOOKUP(B154,'Base stats'!B:B,'Base stats'!E:E),Groups!A:A,Groups!D:D)=0,_xlfn.XLOOKUP(_xlfn.XLOOKUP(B154,'Base stats'!B:B,'Base stats'!E:E),Groups!A:A,Groups!AR:AR),"None")</f>
        <v>Intermediate</v>
      </c>
      <c r="BJ154" s="2" t="str">
        <f>IF(AND(_xlfn.XLOOKUP(_xlfn.XLOOKUP(B154,'Base stats'!B:B,'Base stats'!E:E),Groups!A:A,Groups!AS:AS)=1,OR(_xlfn.XLOOKUP(B154,'Base stats'!B:B,'Base stats'!Y:Y)="Carnivore",_xlfn.XLOOKUP(B154,'Base stats'!B:B,'Base stats'!Y:Y)="Omnivore")),"true","false")</f>
        <v>true</v>
      </c>
      <c r="BK154" s="2">
        <f>IF(BJ154="true",MROUND(IF(AND(AO154&gt;0.5,OR(_xlfn.XLOOKUP(_xlfn.XLOOKUP(B154,'Base stats'!B:B,'Base stats'!E:E),Groups!A:A,Groups!AJ:AJ)="Photonozoa",_xlfn.XLOOKUP(_xlfn.XLOOKUP(B154,'Base stats'!B:B,'Base stats'!E:E),Groups!A:A,Groups!AJ:AJ)="Mammal")),Animals!AO154*1.75*IF(AW154="true",1.5,1),IF(AO154&lt;0.5,Animals!AO154*0.5,Animals!AO154)),IF(AO154&gt;2,0.5,IF(AO154&gt;0.5,0.25,0.1))),"No")</f>
        <v>0.1</v>
      </c>
      <c r="BL154" s="2">
        <f t="shared" si="17"/>
        <v>1</v>
      </c>
      <c r="BM154" s="25" t="str">
        <f>IF(_xlfn.XLOOKUP(B154,'Base stats'!B:B,'Base stats'!AN:AN)="Standard","No",MROUND((_xlfn.XLOOKUP(B154,'Base stats'!B:B,'Base stats'!AN:AN)/3.6)/I154,0.1))</f>
        <v>No</v>
      </c>
      <c r="BN154" s="25" t="str">
        <f t="shared" si="18"/>
        <v>false</v>
      </c>
      <c r="BO154" s="25" t="str">
        <f>IF(AND(OR(_xlfn.XLOOKUP(B154,'Base stats'!B:B,'Base stats'!Y:Y)="Carnivore",_xlfn.XLOOKUP(B154,'Base stats'!B:B,'Base stats'!Y:Y)="Omnivore",_xlfn.XLOOKUP(B154,'Base stats'!B:B,'Base stats'!Y:Y)="OmnivoreRough"),_xlfn.XLOOKUP(_xlfn.XLOOKUP(B154,'Base stats'!B:B,'Base stats'!E:E),Groups!A:A,Groups!AT:AT)=1),"true","false")</f>
        <v>false</v>
      </c>
      <c r="BP154" s="25" t="str" cm="1">
        <f t="array" ref="BP154">IF(
  _xlfn.TEXTJOIN(", ",TRUE,
    IF(AND(BJ154="true",AO154&gt;0.5,BI154&lt;&gt;"None"),"AttackTarget",""),
    IF(AND(_xlfn.XLOOKUP(_xlfn.XLOOKUP(B154,'Base stats'!B:B,'Base stats'!E:E),Groups!A:A,Groups!AJ:AJ="Mammal"),OR(_xlfn.XLOOKUP(B154,'Base stats'!B:B,'Base stats'!Y:Y)="Omnivore",_xlfn.XLOOKUP(B154,'Base stats'!B:B,'Base stats'!Y:Y)="OmnivoreRough")),"Forage",""),
    IF(BG154&lt;=36,"Comfort",""),
    IF(_xlfn.XLOOKUP(B154,'Base stats'!B:B,'Base stats'!AE:AE)&lt;&gt;"No",_xlfn.XLOOKUP(B154,'Base stats'!B:B,'Base stats'!AE:AE),"")
  ) = "",
  "No",
  _xlfn.TEXTJOIN(", ",TRUE,
    IF(AND(BJ154="true",AO154&gt;0.5,BI154&lt;&gt;"None"),"AttackTarget",""),
    IF(AND(_xlfn.XLOOKUP(_xlfn.XLOOKUP(B154,'Base stats'!B:B,'Base stats'!E:E),Groups!A:A,Groups!AJ:AJ="Mammal"),OR(_xlfn.XLOOKUP(B154,'Base stats'!B:B,'Base stats'!Y:Y)="Omnivore",_xlfn.XLOOKUP(B154,'Base stats'!B:B,'Base stats'!Y:Y)="OmnivoreRough")),"Forage",""),
    IF(BG154&lt;=36,"Comfort",""),
    IF(_xlfn.XLOOKUP(B154,'Base stats'!B:B,'Base stats'!AE:AE)&lt;&gt;"No",_xlfn.XLOOKUP(B154,'Base stats'!B:B,'Base stats'!AE:AE),"")
  )
)</f>
        <v>Comfort</v>
      </c>
      <c r="BQ154" s="25" t="str">
        <f>IF(
   AND(
      'Base stats'!AN154="Standard",_xlfn.XLOOKUP(_xlfn.XLOOKUP(B154,'Base stats'!B:B,'Base stats'!E:E),Groups!A:A,Groups!AU:AU)=0,
      OR(
      BO154="True"
      )
   ),
   10,
   IF(
       OR(BM154&lt;&gt;"No",_xlfn.XLOOKUP(_xlfn.XLOOKUP(B154,'Base stats'!B:B,'Base stats'!E:E),Groups!A:A,Groups!AU:AU)=1),
      1,
      "No"
   )
)</f>
        <v>No</v>
      </c>
      <c r="BR154" s="9">
        <f>MROUND((1 + ((0.2*IF(OR(Q154="No",R154="No",R154=0),0,Q154/R154)
+IF(OR(V154="No",S154="No",T154="No"),0,S154/T154*(LEN(V154)-LEN(SUBSTITUTE(V154,",",""))+1))
+IF(OR(X154="No",Y154="No"),0,X154/Y154)
+IF(OR(AD154="No",AE154="No"),0,AD154/AE154)
+IF(OR(AL154="No",AI154="No",AJ154="No"),0,AI154/AJ154*(LEN(AL154)-LEN(SUBSTITUTE(AL154,",",""))+1))
)/(0.2*IF(OR(Q154="No",R154="No",R154=0),0,1)
+IF(OR(V154="No",S154="No",T154="No"),0,LEN(V154)-LEN(SUBSTITUTE(V154,",",""))+1)
+IF(OR(X154="No",Y154="No"),0,1)
+IF(OR(AD154="No",AE154="No"),0,1)
+IF(OR(AL154="No",AI154="No",AJ154="No"),0,LEN(AL154)-LEN(SUBSTITUTE(AL154,",",""))+1))*62%)* 2)*(1 + (AP154 / (IF(_xlfn.XLOOKUP(_xlfn.XLOOKUP(B154,'Base stats'!B:B,'Base stats'!E:E),Groups!A:A,Groups!AJ:AJ)="Photonozoa",0.3,1)) + _xlfn.XLOOKUP(B154,'Base stats'!B:B,'Base stats'!AV:AV) * 1.8) * 2) * 2.5 + 10 + I154 * 2,5)+IF(_xlfn.XLOOKUP(B154,'Base stats'!B:B,'Base stats'!AK:AK)=1,50,0)</f>
        <v>45</v>
      </c>
      <c r="BS154" s="8">
        <f t="shared" si="19"/>
        <v>0.25</v>
      </c>
      <c r="BT154" s="8" t="str">
        <f>_xlfn.XLOOKUP(B154,'Base stats'!B:B,'Base stats'!AF:AF)</f>
        <v>No</v>
      </c>
      <c r="BU154" s="2" t="str">
        <f>IF(AND(J154&lt;=0.95,OR(_xlfn.XLOOKUP(B154,'Base stats'!B:B,'Base stats'!AK:AK)=1,_xlfn.XLOOKUP(B154,'Base stats'!B:B,'Base stats'!Y:Y)="Carnivore",_xlfn.XLOOKUP(B154,'Base stats'!B:B,'Base stats'!Y:Y)="Omnivore",BE154&gt;0.1)),"true","false")</f>
        <v>true</v>
      </c>
      <c r="BV154" s="2" t="str">
        <f>IF(_xlfn.XLOOKUP(B154,'Base stats'!B:B,'Base stats'!AI:AI)=1,"true","false")</f>
        <v>false</v>
      </c>
      <c r="BW154" s="25" t="str">
        <f>IF(E154="BaseInsect","AnimalInsect",
IF(J154&gt;0.95,"AnimalExotic",
_xlfn.TEXTJOIN(", ",TRUE,
IF(OR(_xlfn.XLOOKUP(B154,'Base stats'!B:B,'Base stats'!AM:AM)=1,AND(_xlfn.XLOOKUP(B154,'Base stats'!B:B,'Base stats'!O:O)=0,_xlfn.XLOOKUP(_xlfn.XLOOKUP(B154,'Base stats'!B:B,'Base stats'!E:E),Groups!A:A,Groups!B:B)&gt;0)),"AnimalUncommon","AnimalCommon"),
IF(AND(_xlfn.XLOOKUP(B154,'Base stats'!B:B,'Base stats'!O:O)=2,_xlfn.XLOOKUP(_xlfn.XLOOKUP(B154,'Base stats'!B:B,'Base stats'!E:E),Groups!A:A,Groups!D:D)=0),"AnimalPet",IF(AND(_xlfn.XLOOKUP(B154,'Base stats'!B:B,'Base stats'!O:O)&lt;&gt;0,_xlfn.XLOOKUP(_xlfn.XLOOKUP(B154,'Base stats'!B:B,'Base stats'!E:E),Groups!A:A,Groups!D:D)&lt;&gt;0),"AnimalFarm","")),
IF(OR(_xlfn.XLOOKUP(B154,'Base stats'!B:B,'Base stats'!AK:AK)=1,AND(BI154&lt;&gt;"None",BR154&gt;=60),ISNUMBER(SEARCH("Attack target",BP154))),"AnimalFighter","")
)))</f>
        <v>AnimalCommon, AnimalPet</v>
      </c>
      <c r="BX154" s="25" t="str">
        <f>IF(G154="None",TRIM(
SUBSTITUTE(
IF(COUNTIF(Biomes!B$2:B$259,"="&amp;$C154)&gt;0,Biomes!B$1&amp;", ","")&amp;
IF(COUNTIF(Biomes!C$2:C$259,"="&amp;$C154)&gt;0,Biomes!C$1&amp;", ","")&amp;
IF(COUNTIF(Biomes!D$2:D$259,"="&amp;$C154)&gt;0,Biomes!D$1&amp;", ","")&amp;
IF(COUNTIF(Biomes!F$2:F$259,"="&amp;$C154)&gt;0,Biomes!F$1&amp;", ","")&amp;
IF(COUNTIF(Biomes!G$2:G$259,"="&amp;$C154)&gt;0,Biomes!G$1&amp;", ","")&amp;
IF(COUNTIF(Biomes!H$2:H$259,"="&amp;$C154)&gt;0,Biomes!H$1&amp;", ","")&amp;
IF(COUNTIF(Biomes!I$2:I$259,"="&amp;$C154)&gt;0,Biomes!I$1&amp;", ","")&amp;
IF(COUNTIF(Biomes!J$2:J$259,"="&amp;$C154)&gt;0,Biomes!J$1&amp;", ","")&amp;
IF(COUNTIF(Biomes!M$2:M$259,"="&amp;$C154)&gt;0,Biomes!M$1&amp;", ","")&amp;
IF(COUNTIF(Biomes!N$2:N$259,"="&amp;$C154)&gt;0,Biomes!N$1&amp;", ","")&amp;
IF(COUNTIF(Biomes!O$2:O$259,"="&amp;$C154)&gt;0,Biomes!O$1&amp;", ","")&amp;
IF(COUNTIF(Biomes!P$2:P$259,"="&amp;$C154)&gt;0,Biomes!P$1&amp;", ","")&amp;
IF(COUNTIF(Biomes!K$2:K$259,"="&amp;$C154)&gt;0,Biomes!K$1&amp;", ","")&amp;
IF(COUNTIF(Biomes!Q$3:Q$259,"="&amp;$C154)&gt;0,Biomes!Q$1&amp;", ","")&amp;
IF(COUNTIF(Biomes!L$2:L$259,"="&amp;$C154)&gt;0,Biomes!L$1&amp;", ","")&amp;
IF(COUNTIF(Biomes!E$2:E$259,"="&amp;$C154)&gt;0,Biomes!E$1&amp;", ","")&amp;IF(COUNTIF(Biomes!S$2:S$259,"="&amp;$C154)&gt;0,Biomes!S$1&amp;", ","")&amp;
IF(COUNTIF(Biomes!R$2:R$259,"="&amp;$C154)&gt;0,Biomes!R$1&amp;", ",""),", ","")
),_xlfn.XLOOKUP(B154,B:B,BX:BX))</f>
        <v/>
      </c>
      <c r="BY154" s="25" t="str">
        <f>IF(_xlfn.XLOOKUP(B154,'Base stats'!B:B,'Base stats'!AJ:AJ)=1,"true","false")</f>
        <v>false</v>
      </c>
      <c r="BZ154" s="25">
        <f>IF(_xlfn.XLOOKUP(B154,'Base stats'!B:B,'Base stats'!N:N)=1,"No",MAX(0.001,MIN(MROUND(IF(AND(BJ154="True",CC154="False"),POWER(10,3.47*LOG10(_xlfn.XLOOKUP(B154,'Base stats'!B:B,'Base stats'!C:C)*1000)^-0.96),POWER(10,4.15*LOG10(_xlfn.XLOOKUP(B154,'Base stats'!B:B,'Base stats'!C:C)*1000)^-0.73))*IF(_xlfn.XLOOKUP(B154,'Base stats'!B:B,'Base stats'!AK:AK)=1,0.5,1)*IF(_xlfn.XLOOKUP(B154,'Base stats'!B:B,'Base stats'!AM:AM)=1,0.1,1)/100,IF(_xlfn.XLOOKUP(B154,'Base stats'!B:B,'Base stats'!AM:AM)=1,0.001,0.025)),0.5)))</f>
        <v>0.1</v>
      </c>
      <c r="CA154" s="25" t="str">
        <f>IF(P154="Standard","No",MAX(0.001,MIN(MROUND(IF(AND(BJ154="True",CC154="False"),POWER(10,3.47*LOG10(_xlfn.XLOOKUP(B154,'Base stats'!B:B,'Base stats'!C:C)*1000)^-0.96),POWER(10,4.15*LOG10(_xlfn.XLOOKUP(B154,'Base stats'!B:B,'Base stats'!C:C)*1000)^-0.73))*IF(_xlfn.XLOOKUP(B154,'Base stats'!B:B,'Base stats'!AM:AM)=1,0.1,1)*_xlfn.XLOOKUP(B154,'Base stats'!B:B,'Base stats'!R:R)/100,IF(_xlfn.XLOOKUP(B154,'Base stats'!B:B,'Base stats'!AM:AM)=1,0.001,0.025)),0.5)))</f>
        <v>No</v>
      </c>
      <c r="CB154" s="25" t="str">
        <f>IF(_xlfn.XLOOKUP(_xlfn.XLOOKUP(B154,'Base stats'!B:B,'Base stats'!E:E),Groups!A:A,Groups!AJ:AJ)="Mammal","True","False")</f>
        <v>True</v>
      </c>
      <c r="CC154" s="25" t="str">
        <f>IF(OR(_xlfn.XLOOKUP(_xlfn.XLOOKUP(B154,'Base stats'!B:B,'Base stats'!E:E),Groups!A:A,Groups!AJ:AJ)="Reptile",_xlfn.XLOOKUP(_xlfn.XLOOKUP(B154,'Base stats'!B:B,'Base stats'!E:E),Groups!A:A,Groups!AJ:AJ)="Amphibian",_xlfn.XLOOKUP(_xlfn.XLOOKUP(B154,'Base stats'!B:B,'Base stats'!E:E),Groups!A:A,Groups!AJ:AJ)="Invertebrate"),"True","False")</f>
        <v>False</v>
      </c>
      <c r="CD154" s="25" t="str">
        <f t="shared" si="20"/>
        <v>False</v>
      </c>
      <c r="CE154" s="25" t="str">
        <f>IF(_xlfn.XLOOKUP(_xlfn.XLOOKUP(B154,'Base stats'!B:B,'Base stats'!E:E),Groups!A:A,Groups!AX:AX),"True","False")</f>
        <v>False</v>
      </c>
      <c r="CF154" s="25" t="str">
        <f>IF(_xlfn.XLOOKUP(_xlfn.XLOOKUP(B154,'Base stats'!B:B,'Base stats'!E:E),Groups!A:A,Groups!AY:AY),"True","False")</f>
        <v>False</v>
      </c>
      <c r="CG154" s="25" t="str">
        <f>IF(_xlfn.XLOOKUP(_xlfn.XLOOKUP(B154,'Base stats'!B:B,'Base stats'!E:E),Groups!A:A,Groups!AW:AW),"True","False")</f>
        <v>False</v>
      </c>
      <c r="CH154" s="25" t="str">
        <f>IF(
OR(
_xlfn.XLOOKUP(_xlfn.XLOOKUP(B154,'Base stats'!B:B,'Base stats'!E:E),Groups!A:A,Groups!AZ:AZ)=0,
AND(
_xlfn.XLOOKUP(B154,'Base stats'!B:B,'Base stats'!Y:Y)&lt;&gt;"Carnivore",
_xlfn.XLOOKUP(B154,'Base stats'!B:B,'Base stats'!Y:Y)&lt;&gt;"Omnivore",
_xlfn.XLOOKUP(B154,'Base stats'!B:B,'Base stats'!Y:Y)&lt;&gt;"OmnivoreRough"
)
),
"No",
IF(
_xlfn.XLOOKUP(_xlfn.XLOOKUP(B154,'Base stats'!B:B,'Base stats'!E:E),Groups!A:A,Groups!AZ:AZ)=1,
"Flesh",
IF(
_xlfn.XLOOKUP(_xlfn.XLOOKUP(B154,'Base stats'!B:B,'Base stats'!E:E),Groups!A:A,Groups!AZ:AZ)=2,
"Bone",
""
)
)
)</f>
        <v>No</v>
      </c>
      <c r="CI154" s="25" t="str">
        <f>IF(_xlfn.XLOOKUP(_xlfn.XLOOKUP(B154,'Base stats'!B:B,'Base stats'!E:E),Groups!A:A,Groups!BB:BB),"True","False")</f>
        <v>True</v>
      </c>
      <c r="CJ154" s="25" t="str">
        <f>IF(_xlfn.XLOOKUP(_xlfn.XLOOKUP(B154,'Base stats'!B:B,'Base stats'!E:E),Groups!A:A,Groups!BA:BA),"True","False")</f>
        <v>False</v>
      </c>
    </row>
    <row r="155" spans="1:88" ht="16.5" thickTop="1" thickBot="1" x14ac:dyDescent="0.3">
      <c r="A155" s="26" t="str">
        <f>_xlfn.XLOOKUP(B155,'Base stats'!B:B,'Base stats'!A:A)</f>
        <v>Norwegian Forest cat</v>
      </c>
      <c r="B155" s="6" t="s">
        <v>908</v>
      </c>
      <c r="C155" s="28" t="s">
        <v>836</v>
      </c>
      <c r="D155" s="28" t="s">
        <v>872</v>
      </c>
      <c r="E155" s="28" t="s">
        <v>673</v>
      </c>
      <c r="F155" s="28" t="s">
        <v>673</v>
      </c>
      <c r="G155" s="28" t="s">
        <v>673</v>
      </c>
      <c r="H155" s="2">
        <f>MROUND((
  (IF(AND(_xlfn.XLOOKUP(B155,'Base stats'!B:B,'Base stats'!AL:AL)=0,BI155="None",_xlfn.XLOOKUP(_xlfn.XLOOKUP(B155,'Base stats'!B:B,'Base stats'!E:E),Groups!A:A,Groups!B:B)=0), (18 + BR155 * 2.7) * 0.5,
    IF(AND(_xlfn.XLOOKUP(B155,'Base stats'!B:B,'Base stats'!AL:AL)=0,OR(AO155&lt;0.55,AND(BI155="Intermediate",_xlfn.XLOOKUP(_xlfn.XLOOKUP(B155,'Base stats'!B:B,'Base stats'!E:E),Groups!A:A,Groups!B:B)&lt;2))), (18 + BR155 * 2.7),
      IF(OR(BI155="Advanced",_xlfn.XLOOKUP(B155,'Base stats'!B:B,'Base stats'!AL:AL)=1,_xlfn.XLOOKUP(_xlfn.XLOOKUP(B155,'Base stats'!B:B,'Base stats'!E:E),Groups!A:A,Groups!B:B)=2), (18 + BR155 * 2.7) + 250, (18 + BR155 * 2.7))
    )
  ))
  + AO155 * 80
  + IF(COUNTIF(EggMilk!K$2:K$998, A155) &gt; 0, 125, 0)
  + IF(COUNTIF(EggMilk!P$2:P$998, A155) &gt; 0, 90, 0)
  + IF(COUNTIF(EggMilk!A$2:A$998, A155) &gt; 0, 90, 0)
)
* (0.8 + 0.4 * J155)
* 0.75,25)</f>
        <v>100</v>
      </c>
      <c r="I155" s="2">
        <f>MROUND(ROUNDDOWN(_xlfn.XLOOKUP(B155,'Base stats'!B:B,'Base stats'!L:L)/3.6/(23.3/11),1),0.5)</f>
        <v>5.5</v>
      </c>
      <c r="J155" s="2">
        <f>IF(OR(_xlfn.XLOOKUP(B155,'Base stats'!B:B,'Base stats'!AB:AB)=1,_xlfn.XLOOKUP(_xlfn.XLOOKUP(B155,'Base stats'!B:B,'Base stats'!E:E),Groups!A:A,Groups!C:C)="Untamable"),1,IF(_xlfn.XLOOKUP(B155,'Base stats'!B:B,'Base stats'!AL:AL)=1,0.99,MIN(MROUND((1-0.6282*EXP(-0.459*AO155))*_xlfn.XLOOKUP(_xlfn.XLOOKUP(B155,'Base stats'!B:B,'Base stats'!E:E),Groups!A:A,Groups!C:C)*IF(_xlfn.XLOOKUP(B155,'Base stats'!B:B,'Base stats'!O:O)=1,0.5,IF(_xlfn.XLOOKUP(B155,'Base stats'!B:B,'Base stats'!O:O)=2,0,1)),0.05),IF(AO155&gt;3.5,0.985,0.95))))</f>
        <v>0</v>
      </c>
      <c r="K155" s="2">
        <f>ROUNDUP(AO155*_xlfn.XLOOKUP(_xlfn.XLOOKUP(B155,'Base stats'!B:B,'Base stats'!E:E),Groups!A:A,Groups!E:E),0)</f>
        <v>1</v>
      </c>
      <c r="L155" s="2">
        <f>IF(OR(_xlfn.XLOOKUP(_xlfn.XLOOKUP(B155,'Base stats'!B:B,'Base stats'!E:E),Groups!A:A,Groups!F:F)=2,ISNUMBER(SEARCH("SeaIce",BX155)),ISNUMBER(SEARCH("IceSheet",BX155))),-50,IF(OR(ISNUMBER(SEARCH("GlacialPlain",BX155)),ISNUMBER(SEARCH("Tundra",BX155))),-40,IF(OR(ISNUMBER(SEARCH("Alpine",BX155)),ISNUMBER(SEARCH("BorealForest",BX155)),ISNUMBER(SEARCH("ColdBog",BX155))),-30,IF(OR(ISNUMBER(SEARCH("TemperateForest",BX155)),ISNUMBER(SEARCH("TemperateSwamp",BX155))),-20,IF(_xlfn.XLOOKUP(_xlfn.XLOOKUP(B155,'Base stats'!B:B,'Base stats'!E:E),Groups!A:A,Groups!F:F)=1,-15,IF(OR(ISNUMBER(SEARCH("Desert",BX155)),ISNUMBER(SEARCH("ExtremeDesert",BX155))),-10,IF(OR(ISNUMBER(SEARCH("Grasslands",BX155)),ISNUMBER(SEARCH("TropicalRainforest",BX155)),ISNUMBER(SEARCH("TropicalSwamp",BX155))),10,0)))))))-IF(CC155="False",MIN(IFERROR(MAX(MROUND(LOG10(_xlfn.XLOOKUP(B155,'Base stats'!B:B,'Base stats'!C:C)^(2/3))*10,5),5),5),30))-_xlfn.XLOOKUP(B155,'Base stats'!B:B,'Base stats'!P:P)+IF(CC155="True",5,0)</f>
        <v>-30</v>
      </c>
      <c r="M155" s="2">
        <f>IF(OR(_xlfn.XLOOKUP(_xlfn.XLOOKUP(B155,'Base stats'!B:B,'Base stats'!E:E),Groups!A:A,Groups!G:G)=2,ISNUMBER(SEARCH("Desert",BX155)),ISNUMBER(SEARCH("ExtremeDesert",BX155)),ISNUMBER(SEARCH("LavaField",BX155))),50,IF(ISNUMBER(SEARCH("Grasslands",BX155)),45,IF(OR(_xlfn.XLOOKUP(_xlfn.XLOOKUP(B155,'Base stats'!B:B,'Base stats'!E:E),Groups!A:A,Groups!G:G)=1,ISNUMBER(SEARCH("TropicalRainforest",BX155)),ISNUMBER(SEARCH("TropicalSwamp",BX155))),40,IF(OR(ISNUMBER(SEARCH("TemperateForest",BX155)),ISNUMBER(SEARCH("TemperateSwamp",BX155))),35,IF(OR(ISNUMBER(SEARCH("Alpine",BX155)),ISNUMBER(SEARCH("BorealForest",BX155)),ISNUMBER(SEARCH("ColdBog",BX155))),30,IF(ISNUMBER(OR(ISNUMBER(SEARCH("GlacialPlain",BX155)),SEARCH("Tundra",BX155))),25,IF(OR(ISNUMBER(SEARCH("SeaIce",BX155)),ISNUMBER(SEARCH("IceSheet",BX155)),ISNUMBER(SEARCH("TropicalSwamp",BX155))),10,35)))))))+_xlfn.XLOOKUP(B155,'Base stats'!B:B,'Base stats'!Q:Q)</f>
        <v>40</v>
      </c>
      <c r="N155" s="8" t="str">
        <f>IF(
_xlfn.XLOOKUP(
_xlfn.XLOOKUP(B155,'Base stats'!B:B,'Base stats'!E:E),
Groups!A:A,
Groups!L:L
)=1,
MIN(
MROUND(
IF(
_xlfn.XLOOKUP(B155,'Animals CE'!B:B,'Animals CE'!Z:Z)&lt;=1.5,
_xlfn.XLOOKUP(B155,'Animals CE'!B:B,'Animals CE'!Z:Z)/2+0.05,
0.8+
(_xlfn.XLOOKUP(B155,'Animals CE'!B:B,'Animals CE'!Z:Z)-1.5)
*0.02
),
0.05
),
200%
),
"No"
)</f>
        <v>No</v>
      </c>
      <c r="O155" s="8" t="str">
        <f>IF(
_xlfn.XLOOKUP(
_xlfn.XLOOKUP(B155,'Base stats'!B:B,'Base stats'!E:E),
Groups!A:A,
Groups!L:L
)=1,
MIN(
MROUND(
IF(
_xlfn.XLOOKUP(B155,'Animals CE'!B:B,'Animals CE'!AA:AA)&lt;=1.5,
_xlfn.XLOOKUP(B155,'Animals CE'!B:B,'Animals CE'!AA:AA)/2+0.05,
0.8+
(_xlfn.XLOOKUP(B155,'Animals CE'!B:B,'Animals CE'!AA:AA)-1.5)
*0.02
),
0.05
),
200%
),
"No"
)</f>
        <v>No</v>
      </c>
      <c r="P155" s="2" t="str">
        <f>_xlfn.XLOOKUP(B155,'Base stats'!B:B,'Base stats'!R:R)</f>
        <v>Standard</v>
      </c>
      <c r="Q155" s="13">
        <f>MROUND((LOG10(_xlfn.XLOOKUP(B155,'Base stats'!B:B,'Base stats'!AR:AR))*(AO155^0.5)+(_xlfn.XLOOKUP(B155,'Base stats'!B:B,'Base stats'!AR:AR)/1000)^(2/3)+_xlfn.XLOOKUP(B155,'Base stats'!B:B,'Base stats'!BA:BA)/2)+0.5,0.5)</f>
        <v>3</v>
      </c>
      <c r="R155" s="7">
        <f>IF(Q155="No","No",MAX(1,MROUND(_xlfn.XLOOKUP(B155,'Base stats'!B:B,'Base stats'!C:C)^0.165,0.05)))</f>
        <v>1.35</v>
      </c>
      <c r="S155" s="13" t="str">
        <f>IF(_xlfn.XLOOKUP(_xlfn.XLOOKUP(B155,'Base stats'!B:B,'Base stats'!E:E),Groups!A:A,Groups!P:P)=0,"No",MROUND((LOG10(_xlfn.XLOOKUP(B155,'Base stats'!B:B,'Base stats'!AS:AS))*(AO155^0.5)+(_xlfn.XLOOKUP(B155,'Base stats'!B:B,'Base stats'!AS:AS)/1000)^(2/3)+_xlfn.XLOOKUP(B155,'Base stats'!B:B,'Base stats'!BA:BA))+_xlfn.XLOOKUP(B155,'Base stats'!B:B,'Base stats'!AY:AY)+0.5,0.5))</f>
        <v>No</v>
      </c>
      <c r="T155" s="7" t="str">
        <f>IF(S155="No","No",MAX(_xlfn.XLOOKUP(_xlfn.XLOOKUP(B155,'Base stats'!B:B,'Base stats'!E:E),Groups!A:A,Groups!Q:Q),MROUND(_xlfn.XLOOKUP(_xlfn.XLOOKUP(B155,'Base stats'!B:B,'Base stats'!E:E),Groups!A:A,Groups!Q:Q)*_xlfn.XLOOKUP(B155,'Base stats'!B:B,'Base stats'!C:C)^0.165,0.05)))</f>
        <v>No</v>
      </c>
      <c r="U155" s="7" t="str">
        <f>IF(S155="No","No",_xlfn.XLOOKUP(_xlfn.XLOOKUP(B155,'Base stats'!B:B,'Base stats'!E:E),Groups!A:A,Groups!R:R))</f>
        <v>No</v>
      </c>
      <c r="V155" s="7" t="str">
        <f>IF(S155="No","No",_xlfn.XLOOKUP(_xlfn.XLOOKUP(B155,'Base stats'!B:B,'Base stats'!E:E),Groups!A:A,Groups!S:S))</f>
        <v>No</v>
      </c>
      <c r="W155" s="7" t="str">
        <f>IF(S155="No","No",_xlfn.XLOOKUP(_xlfn.XLOOKUP(B155,'Base stats'!B:B,'Base stats'!E:E),Groups!A:A,Groups!T:T))</f>
        <v>No</v>
      </c>
      <c r="X155" s="13" t="str">
        <f>IF(_xlfn.XLOOKUP(B155,'Base stats'!B:B,'Base stats'!W:W)="No","No",MROUND((LOG10(_xlfn.XLOOKUP(B155,'Base stats'!B:B,'Base stats'!AU:AU))*(AO155^0.5)+(_xlfn.XLOOKUP(B155,'Base stats'!B:B,'Base stats'!AU:AU)/1000)^(2/3)+_xlfn.XLOOKUP(B155,'Base stats'!B:B,'Base stats'!AZ:AZ))+0.5+IF(_xlfn.XLOOKUP(_xlfn.XLOOKUP(B155,'Base stats'!B:B,'Base stats'!E:E),Groups!A:A,Groups!U:U)&lt;&gt;3,_xlfn.XLOOKUP(B155,'Base stats'!B:B,'Base stats'!BA:BA),0),0.5))</f>
        <v>No</v>
      </c>
      <c r="Y155" s="7" t="str">
        <f>IF(X155="No","No",MAX(_xlfn.XLOOKUP(_xlfn.XLOOKUP(B155,'Base stats'!B:B,'Base stats'!E:E),Groups!A:A,Groups!V:V),MROUND(_xlfn.XLOOKUP(_xlfn.XLOOKUP(B155,'Base stats'!B:B,'Base stats'!E:E),Groups!A:A,Groups!V:V)*_xlfn.XLOOKUP(B155,'Base stats'!B:B,'Base stats'!C:C)^0.165,0.05)))</f>
        <v>No</v>
      </c>
      <c r="Z155" s="7" t="str">
        <f>IF(X155="No","No",_xlfn.XLOOKUP(_xlfn.XLOOKUP(B155,'Base stats'!B:B,'Base stats'!E:E),Groups!A:A,Groups!W:W))</f>
        <v>No</v>
      </c>
      <c r="AA155" s="7" t="str">
        <f>IF(X155="No","No",_xlfn.XLOOKUP(_xlfn.XLOOKUP(B155,'Base stats'!B:B,'Base stats'!E:E),Groups!A:A,Groups!X:X))</f>
        <v>No</v>
      </c>
      <c r="AB155" s="7" t="str">
        <f>IF(X155="No","No",_xlfn.XLOOKUP(_xlfn.XLOOKUP(B155,'Base stats'!B:B,'Base stats'!E:E),Groups!A:A,Groups!Y:Y))</f>
        <v>No</v>
      </c>
      <c r="AC155" s="7" t="str">
        <f>_xlfn.XLOOKUP(Animals!B155,'Base stats'!B:B,'Base stats'!X:X)</f>
        <v>False</v>
      </c>
      <c r="AD155" s="13">
        <f>IF(_xlfn.XLOOKUP(B155,'Base stats'!B:B,'Base stats'!AT:AT)="No","No",MROUND((LOG10(_xlfn.XLOOKUP(B155,'Base stats'!B:B,'Base stats'!AT:AT))*(AO155^0.75)+(_xlfn.XLOOKUP(B155,'Base stats'!B:B,'Base stats'!AT:AT)/1000)^(2/3)+_xlfn.XLOOKUP(B155,'Base stats'!B:B,'Base stats'!AX:AX)+_xlfn.XLOOKUP(B155,'Base stats'!B:B,'Base stats'!BA:BA))+0.5,0.5))</f>
        <v>5</v>
      </c>
      <c r="AE155" s="7">
        <f>IF(AD155="No","No",MAX(_xlfn.XLOOKUP(_xlfn.XLOOKUP(B155,'Base stats'!B:B,'Base stats'!E:E),Groups!A:A,Groups!Z:Z),MROUND(_xlfn.XLOOKUP(_xlfn.XLOOKUP(B155,'Base stats'!B:B,'Base stats'!E:E),Groups!A:A,Groups!Z:Z)*_xlfn.XLOOKUP(B155,'Base stats'!B:B,'Base stats'!C:C)^0.165,0.05)))</f>
        <v>0.95000000000000007</v>
      </c>
      <c r="AF155" s="7" t="str">
        <f>IF(AD155="No","No",_xlfn.XLOOKUP(_xlfn.XLOOKUP(B155,'Base stats'!B:B,'Base stats'!E:E),Groups!A:A,Groups!AA:AA))</f>
        <v>Teeth</v>
      </c>
      <c r="AG155" s="7" t="str">
        <f>IF(AD155="No","No",_xlfn.XLOOKUP(_xlfn.XLOOKUP(B155,'Base stats'!B:B,'Base stats'!E:E),Groups!A:A,Groups!AB:AB))</f>
        <v>canines</v>
      </c>
      <c r="AH155" s="7" t="str">
        <f>IF(AD155="No","No",_xlfn.XLOOKUP(_xlfn.XLOOKUP(B155,'Base stats'!B:B,'Base stats'!E:E),Groups!A:A,Groups!AC:AC))</f>
        <v>Bite</v>
      </c>
      <c r="AI155" s="13">
        <f>IF(_xlfn.XLOOKUP(_xlfn.XLOOKUP(B155,'Base stats'!B:B,'Base stats'!E:E),Groups!A:A,Groups!AD:AD)=0,"No",MROUND((LOG10(_xlfn.XLOOKUP(B155,'Base stats'!B:B,'Base stats'!AS:AS))*(AO155^0.75)+(_xlfn.XLOOKUP(B155,'Base stats'!B:B,'Base stats'!AS:AS)/1000)^(2/3)+_xlfn.XLOOKUP(B155,'Base stats'!B:B,'Base stats'!AY:AY)+_xlfn.XLOOKUP(B155,'Base stats'!B:B,'Base stats'!BA:BA))+0.5,0.5))</f>
        <v>4</v>
      </c>
      <c r="AJ155" s="7">
        <f>IF(AI155="No","No",MAX(_xlfn.XLOOKUP(_xlfn.XLOOKUP(B155,'Base stats'!B:B,'Base stats'!E:E),Groups!A:A,Groups!AE:AE),MROUND(_xlfn.XLOOKUP(_xlfn.XLOOKUP(B155,'Base stats'!B:B,'Base stats'!E:E),Groups!A:A,Groups!AE:AE)*IF(_xlfn.XLOOKUP(_xlfn.XLOOKUP(B155,'Base stats'!B:B,'Base stats'!E:E),Groups!A:A,Groups!AJ:AJ)="Photonozoa",0.6,1)*_xlfn.XLOOKUP(B155,'Base stats'!B:B,'Base stats'!C:C)^0.165,0.05)))</f>
        <v>0.9</v>
      </c>
      <c r="AK155" s="7" t="str">
        <f>IF(AI155="No","No",_xlfn.XLOOKUP(_xlfn.XLOOKUP(B155,'Base stats'!B:B,'Base stats'!E:E),Groups!A:A,Groups!AF:AF))</f>
        <v>FrontLeftPaw, FrontRightPaw</v>
      </c>
      <c r="AL155" s="7" t="str">
        <f>IF(AI155="No","No",_xlfn.XLOOKUP(_xlfn.XLOOKUP(B155,'Base stats'!B:B,'Base stats'!E:E),Groups!A:A,Groups!AG:AG))</f>
        <v>left claw, right claw</v>
      </c>
      <c r="AM155" s="7" t="str">
        <f>IF(AI155="No","No",_xlfn.XLOOKUP(_xlfn.XLOOKUP(B155,'Base stats'!B:B,'Base stats'!E:E),Groups!A:A,Groups!AH:AH))</f>
        <v>Scratch</v>
      </c>
      <c r="AN155" s="2">
        <f t="shared" si="14"/>
        <v>15</v>
      </c>
      <c r="AO155" s="2">
        <f>MROUND(IF(AND(_xlfn.XLOOKUP(B155,'Base stats'!B:B,'Base stats'!C:C)&gt;=0.5,_xlfn.XLOOKUP(B155,'Base stats'!B:B,'Base stats'!C:C)&lt;=0.8),
IF(_xlfn.XLOOKUP(B155,'Base stats'!B:B,'Base stats'!C:C)&lt;0.1,0.05,IF(_xlfn.XLOOKUP(B155,'Base stats'!B:B,'Base stats'!C:C)&lt;=70,(_xlfn.XLOOKUP(B155,'Base stats'!B:B,'Base stats'!C:C)/70)^0.426489913056526,IF(_xlfn.XLOOKUP(B155,'Base stats'!B:B,'Base stats'!C:C)&lt;=400,(_xlfn.XLOOKUP(B155,'Base stats'!B:B,'Base stats'!C:C)/70)^0.572811455315093,IF(_xlfn.XLOOKUP(B155,'Base stats'!B:B,'Base stats'!C:C)&lt;=2000,2.71391647193063*(_xlfn.XLOOKUP(B155,'Base stats'!B:B,'Base stats'!C:C)/400)^0.252459582904293,3.74314280240376*(_xlfn.XLOOKUP(B155,'Base stats'!B:B,'Base stats'!C:C)/2000)^0.357012633876913)))),
IF(_xlfn.XLOOKUP(B155,'Base stats'!B:B,'Base stats'!C:C)&lt;0.1,0.05,IF(_xlfn.XLOOKUP(B155,'Base stats'!B:B,'Base stats'!C:C)&lt;0.4,0.1,IF(_xlfn.XLOOKUP(B155,'Base stats'!B:B,'Base stats'!C:C)&lt;=70,(_xlfn.XLOOKUP(B155,'Base stats'!B:B,'Base stats'!C:C)/70)^0.445823913056526,IF(_xlfn.XLOOKUP(B155,'Base stats'!B:B,'Base stats'!C:C)&lt;=400,(_xlfn.XLOOKUP(B155,'Base stats'!B:B,'Base stats'!C:C)/70)^0.572811455315093,IF(_xlfn.XLOOKUP(B155,'Base stats'!B:B,'Base stats'!C:C)&lt;=2000,2.71391647193063*(_xlfn.XLOOKUP(B155,'Base stats'!B:B,'Base stats'!C:C)/400)^0.252459582904293,3.74314280240376*(_xlfn.XLOOKUP(B155,'Base stats'!B:B,'Base stats'!C:C)/2000)^0.357012633876913)))))),
IF(_xlfn.XLOOKUP(B155,'Base stats'!B:B,'Base stats'!C:C)&lt;0.1,0.05,IF(_xlfn.XLOOKUP(B155,'Base stats'!B:B,'Base stats'!C:C)&lt;=100,0.05,IF(_xlfn.XLOOKUP(B155,'Base stats'!B:B,'Base stats'!C:C)&lt;=250,0.1,IF(_xlfn.XLOOKUP(B155,'Base stats'!B:B,'Base stats'!C:C)&lt;=4000,0.25,0.5)))))</f>
        <v>0.35000000000000003</v>
      </c>
      <c r="AP155" s="8">
        <f>MROUND(AO155*_xlfn.XLOOKUP(_xlfn.XLOOKUP(B155,'Base stats'!B:B,'Base stats'!E:E),Groups!A:A,Groups!AI:AI)*_xlfn.XLOOKUP(B155,'Base stats'!B:B,'Base stats'!Z:Z),0.05)</f>
        <v>0.4</v>
      </c>
      <c r="AQ155" s="8">
        <f>MAX(0.01,MROUND(IF(CC155="True",0.196*(AO155*100*1000)^0.889,IF(_xlfn.XLOOKUP(_xlfn.XLOOKUP(B155,'Base stats'!B:B,'Base stats'!E:E),Groups!A:A,Groups!AJ:AJ)="Bird",10.5*(AO155*100*1000)^0.681,4.82*(AO155*100*1000)^0.734))/(4.82*(1*100*1000)^0.734)/IF(AO155&lt;3.5,2,IF(AO155=3.5,1.5,1.25))*(1+0.132282374779864/(AO155^0.994035016789033+0.00905238001496948)),0.05))</f>
        <v>0.30000000000000004</v>
      </c>
      <c r="AR155" s="9">
        <f>IFERROR(MROUND(_xlfn.XLOOKUP(B155,'Base stats'!B:B,'Base stats'!H:H)/IF(_xlfn.XLOOKUP(B155,'Base stats'!B:B,'Base stats'!I:I)&lt;&gt;1,(122.5/70),1.2),IF(_xlfn.XLOOKUP(B155,'Base stats'!B:B,'Base stats'!H:H)&gt;=30,5,IF(_xlfn.XLOOKUP(B155,'Base stats'!B:B,'Base stats'!H:H)&gt;=15,3,IF(_xlfn.XLOOKUP(B155,'Base stats'!B:B,'Base stats'!H:H)&gt;=10,2,1)))),"Immortal")</f>
        <v>15</v>
      </c>
      <c r="AS155" s="35">
        <f>IFERROR(IF(OR(_xlfn.XLOOKUP(B155,'Base stats'!B:B,'Base stats'!F:F)="Atypical reproduction",_xlfn.XLOOKUP(B155,'Base stats'!B:B,'Base stats'!F:F)="Lay eggs"),"Lay eggs",MIN(20,MAX(5.5,ROUND(((_xlfn.XLOOKUP(B155,'Base stats'!B:B,'Base stats'!F:F)-25)*(14.5/615) + 5.5)*2,0)/2))),"Unknown")</f>
        <v>6.5</v>
      </c>
      <c r="AT155" s="8">
        <f>IF(_xlfn.XLOOKUP(B155,'Base stats'!B:B,'Base stats'!G:G)="Atypical reproduction","No",IFERROR(MAX(IF(_xlfn.XLOOKUP(B155,'Base stats'!B:B,'Base stats'!G:G)&lt;0.5,0.2,0.3),MROUND(_xlfn.XLOOKUP(B155,'Base stats'!B:B,'Base stats'!G:G)/(365/60),0.2)),"Unknown"))</f>
        <v>0.3</v>
      </c>
      <c r="AU155" s="8">
        <f t="shared" si="15"/>
        <v>0.15000000000000002</v>
      </c>
      <c r="AV155" s="8">
        <f>IFERROR(IFERROR(MROUND(_xlfn.XLOOKUP(B155,'Base stats'!B:B,'Base stats'!J:J),0.1),"Lay eggs"),"Cannot breed")</f>
        <v>4</v>
      </c>
      <c r="AW155" s="2" t="str">
        <f t="shared" si="16"/>
        <v>false</v>
      </c>
      <c r="AX155" s="2" t="str">
        <f>IF(_xlfn.XLOOKUP(_xlfn.XLOOKUP(Animals!B155,'Base stats'!B:B,'Base stats'!E:E),Groups!A:A,Groups!AK:AK)=1,"true","false")</f>
        <v>false</v>
      </c>
      <c r="AY155" s="25" t="str">
        <f>IF(_xlfn.XLOOKUP(B155,'Base stats'!B:B,'Base stats'!Y:Y)="Liquor","Liquor, CarnivoreAnimalStrict",IF(AND(_xlfn.XLOOKUP(B155,'Base stats'!B:B,'Base stats'!Y:Y)="Carnivore",_xlfn.XLOOKUP(_xlfn.XLOOKUP(B155,'Base stats'!B:B,'Base stats'!E:E),Groups!A:A,Groups!AJ:AJ)="Photonozoa"),"CarnivoreAnimalStrict, OvivoreAnimal",IF(_xlfn.XLOOKUP(B155,'Base stats'!B:B,'Base stats'!Y:Y)="Carnivore","CarnivoreAnimal, OvivoreAnimal",IF(_xlfn.XLOOKUP(B155,'Base stats'!B:B,'Base stats'!Y:Y)="Dendrovore","VegetarianRoughAnimal, DendrovoreAnimal",IF(_xlfn.XLOOKUP(B155,'Base stats'!B:B,'Base stats'!Y:Y)="Herbivore","VegetarianRoughAnimal",IF(_xlfn.XLOOKUP(B155,'Base stats'!B:B,'Base stats'!Y:Y)="OmnivoreRough","OmnivoreRoughAnimal, OvivoreAnimal","OmnivoreAnimal, OvivoreAnimal"))))))</f>
        <v>CarnivoreAnimal, OvivoreAnimal</v>
      </c>
      <c r="AZ155" s="2" t="str">
        <f>IF(_xlfn.XLOOKUP(_xlfn.XLOOKUP(B155,'Base stats'!B:B,'Base stats'!E:E),Groups!A:A,Groups!D:D)=1,MROUND((1-J155)*5+1,2)*IF(J155&lt;=0.4,2,1),"No")</f>
        <v>No</v>
      </c>
      <c r="BA155" s="2" t="str">
        <f>IF(AND(_xlfn.XLOOKUP(B155,'Base stats'!B:B,'Base stats'!AH:AH)="&lt;li&gt;Seal&lt;/li&gt;",G155="Odyssey"),"&lt;li&gt;AEXP_Seal&lt;/li&gt;",_xlfn.XLOOKUP(B155,'Base stats'!B:B,'Base stats'!AH:AH))</f>
        <v>&lt;li&gt;Cat&lt;/li&gt;</v>
      </c>
      <c r="BB155" s="2" t="str">
        <f>_xlfn.XLOOKUP(B155,'Base stats'!B:B,'Base stats'!AG:AG)</f>
        <v>Leather_Light</v>
      </c>
      <c r="BC155" s="23" t="str">
        <f>_xlfn.XLOOKUP(_xlfn.XLOOKUP(B155,'Base stats'!B:B,'Base stats'!E:E),Groups!A:A,Groups!AL:AL)</f>
        <v>QuadrupedAnimalWithPawsAndTail</v>
      </c>
      <c r="BD155" s="23">
        <f>MIN(1,MROUND(IF(AND(AO155&lt;0.5,_xlfn.XLOOKUP(B155,'Base stats'!B:B,'Base stats'!AA:AA)=0),0,IF(OR(_xlfn.XLOOKUP(Animals!B155,'Base stats'!B:B,'Base stats'!O:O)=2,_xlfn.XLOOKUP(_xlfn.XLOOKUP(B155,'Base stats'!B:B,'Base stats'!E:E),Groups!A:A,Groups!AN:AN)=0),0,_xlfn.XLOOKUP(_xlfn.XLOOKUP(B155,'Base stats'!B:B,'Base stats'!E:E),Groups!A:A,Groups!AN:AN)/IF(_xlfn.XLOOKUP(Animals!B155,'Base stats'!B:B,'Base stats'!O:O)=1,2,1)))+_xlfn.XLOOKUP(B155,'Base stats'!B:B,'Base stats'!AC:AC),0.005))</f>
        <v>0</v>
      </c>
      <c r="BE155" s="23">
        <f>MIN(1,MROUND(IF(AND(AO155&lt;0.5,_xlfn.XLOOKUP(B155,'Base stats'!B:B,'Base stats'!AA:AA)=0),0,IF(_xlfn.XLOOKUP(_xlfn.XLOOKUP(B155,'Base stats'!B:B,'Base stats'!E:E),Groups!A:A,Groups!AO:AO)=0,0,_xlfn.XLOOKUP(_xlfn.XLOOKUP(B155,'Base stats'!B:B,'Base stats'!E:E),Groups!A:A,Groups!AO:AO)/IF(_xlfn.XLOOKUP(Animals!B155,'Base stats'!B:B,'Base stats'!O:O)=2,3,1)))+_xlfn.XLOOKUP(B155,'Base stats'!B:B,'Base stats'!AD:AD),0.005))</f>
        <v>0</v>
      </c>
      <c r="BF155" s="2">
        <f>IF(J155&gt;0.3,"No",_xlfn.XLOOKUP(_xlfn.XLOOKUP(Animals!B155,'Base stats'!B:B,'Base stats'!E:E),Groups!A:A,Groups!AP:AP))</f>
        <v>1</v>
      </c>
      <c r="BG155" s="2">
        <f>IF(AND(J155&lt;=0.65,_xlfn.XLOOKUP(_xlfn.XLOOKUP(Animals!B155,'Base stats'!B:B,'Base stats'!E:E),Groups!A:A,Groups!AP:AP)&lt;&gt;"No",_xlfn.XLOOKUP(_xlfn.XLOOKUP(B155,'Base stats'!B:B,'Base stats'!E:E),Groups!A:A,Groups!D:D)=0),MROUND((80/3)*IF(_xlfn.XLOOKUP(B155,'Base stats'!B:B,'Base stats'!O:O)=2,0.2,AO155) + 24*(1-IF(BF155="No",0,BF155)) + 16/3, 12),"No")</f>
        <v>12</v>
      </c>
      <c r="BH155" s="2">
        <f>IF(AND(_xlfn.XLOOKUP(_xlfn.XLOOKUP(B155,'Base stats'!B:B,'Base stats'!E:E),Groups!A:A,Groups!AQ:AQ)=1,AO155&lt;=0.35),8,12)</f>
        <v>12</v>
      </c>
      <c r="BI155" s="2" t="str">
        <f>IF(_xlfn.XLOOKUP(_xlfn.XLOOKUP(B155,'Base stats'!B:B,'Base stats'!E:E),Groups!A:A,Groups!D:D)=0,_xlfn.XLOOKUP(_xlfn.XLOOKUP(B155,'Base stats'!B:B,'Base stats'!E:E),Groups!A:A,Groups!AR:AR),"None")</f>
        <v>Intermediate</v>
      </c>
      <c r="BJ155" s="2" t="str">
        <f>IF(AND(_xlfn.XLOOKUP(_xlfn.XLOOKUP(B155,'Base stats'!B:B,'Base stats'!E:E),Groups!A:A,Groups!AS:AS)=1,OR(_xlfn.XLOOKUP(B155,'Base stats'!B:B,'Base stats'!Y:Y)="Carnivore",_xlfn.XLOOKUP(B155,'Base stats'!B:B,'Base stats'!Y:Y)="Omnivore")),"true","false")</f>
        <v>true</v>
      </c>
      <c r="BK155" s="2">
        <f>IF(BJ155="true",MROUND(IF(AND(AO155&gt;0.5,OR(_xlfn.XLOOKUP(_xlfn.XLOOKUP(B155,'Base stats'!B:B,'Base stats'!E:E),Groups!A:A,Groups!AJ:AJ)="Photonozoa",_xlfn.XLOOKUP(_xlfn.XLOOKUP(B155,'Base stats'!B:B,'Base stats'!E:E),Groups!A:A,Groups!AJ:AJ)="Mammal")),Animals!AO155*1.75*IF(AW155="true",1.5,1),IF(AO155&lt;0.5,Animals!AO155*0.5,Animals!AO155)),IF(AO155&gt;2,0.5,IF(AO155&gt;0.5,0.25,0.1))),"No")</f>
        <v>0.2</v>
      </c>
      <c r="BL155" s="2">
        <f t="shared" si="17"/>
        <v>1</v>
      </c>
      <c r="BM155" s="25" t="str">
        <f>IF(_xlfn.XLOOKUP(B155,'Base stats'!B:B,'Base stats'!AN:AN)="Standard","No",MROUND((_xlfn.XLOOKUP(B155,'Base stats'!B:B,'Base stats'!AN:AN)/3.6)/I155,0.1))</f>
        <v>No</v>
      </c>
      <c r="BN155" s="25" t="str">
        <f t="shared" si="18"/>
        <v>false</v>
      </c>
      <c r="BO155" s="25" t="str">
        <f>IF(AND(OR(_xlfn.XLOOKUP(B155,'Base stats'!B:B,'Base stats'!Y:Y)="Carnivore",_xlfn.XLOOKUP(B155,'Base stats'!B:B,'Base stats'!Y:Y)="Omnivore",_xlfn.XLOOKUP(B155,'Base stats'!B:B,'Base stats'!Y:Y)="OmnivoreRough"),_xlfn.XLOOKUP(_xlfn.XLOOKUP(B155,'Base stats'!B:B,'Base stats'!E:E),Groups!A:A,Groups!AT:AT)=1),"true","false")</f>
        <v>false</v>
      </c>
      <c r="BP155" s="25" t="str" cm="1">
        <f t="array" ref="BP155">IF(
  _xlfn.TEXTJOIN(", ",TRUE,
    IF(AND(BJ155="true",AO155&gt;0.5,BI155&lt;&gt;"None"),"AttackTarget",""),
    IF(AND(_xlfn.XLOOKUP(_xlfn.XLOOKUP(B155,'Base stats'!B:B,'Base stats'!E:E),Groups!A:A,Groups!AJ:AJ="Mammal"),OR(_xlfn.XLOOKUP(B155,'Base stats'!B:B,'Base stats'!Y:Y)="Omnivore",_xlfn.XLOOKUP(B155,'Base stats'!B:B,'Base stats'!Y:Y)="OmnivoreRough")),"Forage",""),
    IF(BG155&lt;=36,"Comfort",""),
    IF(_xlfn.XLOOKUP(B155,'Base stats'!B:B,'Base stats'!AE:AE)&lt;&gt;"No",_xlfn.XLOOKUP(B155,'Base stats'!B:B,'Base stats'!AE:AE),"")
  ) = "",
  "No",
  _xlfn.TEXTJOIN(", ",TRUE,
    IF(AND(BJ155="true",AO155&gt;0.5,BI155&lt;&gt;"None"),"AttackTarget",""),
    IF(AND(_xlfn.XLOOKUP(_xlfn.XLOOKUP(B155,'Base stats'!B:B,'Base stats'!E:E),Groups!A:A,Groups!AJ:AJ="Mammal"),OR(_xlfn.XLOOKUP(B155,'Base stats'!B:B,'Base stats'!Y:Y)="Omnivore",_xlfn.XLOOKUP(B155,'Base stats'!B:B,'Base stats'!Y:Y)="OmnivoreRough")),"Forage",""),
    IF(BG155&lt;=36,"Comfort",""),
    IF(_xlfn.XLOOKUP(B155,'Base stats'!B:B,'Base stats'!AE:AE)&lt;&gt;"No",_xlfn.XLOOKUP(B155,'Base stats'!B:B,'Base stats'!AE:AE),"")
  )
)</f>
        <v>Comfort</v>
      </c>
      <c r="BQ155" s="25" t="str">
        <f>IF(
   AND(
      'Base stats'!AN155="Standard",_xlfn.XLOOKUP(_xlfn.XLOOKUP(B155,'Base stats'!B:B,'Base stats'!E:E),Groups!A:A,Groups!AU:AU)=0,
      OR(
      BO155="True"
      )
   ),
   10,
   IF(
       OR(BM155&lt;&gt;"No",_xlfn.XLOOKUP(_xlfn.XLOOKUP(B155,'Base stats'!B:B,'Base stats'!E:E),Groups!A:A,Groups!AU:AU)=1),
      1,
      "No"
   )
)</f>
        <v>No</v>
      </c>
      <c r="BR155" s="9">
        <f>MROUND((1 + ((0.2*IF(OR(Q155="No",R155="No",R155=0),0,Q155/R155)
+IF(OR(V155="No",S155="No",T155="No"),0,S155/T155*(LEN(V155)-LEN(SUBSTITUTE(V155,",",""))+1))
+IF(OR(X155="No",Y155="No"),0,X155/Y155)
+IF(OR(AD155="No",AE155="No"),0,AD155/AE155)
+IF(OR(AL155="No",AI155="No",AJ155="No"),0,AI155/AJ155*(LEN(AL155)-LEN(SUBSTITUTE(AL155,",",""))+1))
)/(0.2*IF(OR(Q155="No",R155="No",R155=0),0,1)
+IF(OR(V155="No",S155="No",T155="No"),0,LEN(V155)-LEN(SUBSTITUTE(V155,",",""))+1)
+IF(OR(X155="No",Y155="No"),0,1)
+IF(OR(AD155="No",AE155="No"),0,1)
+IF(OR(AL155="No",AI155="No",AJ155="No"),0,LEN(AL155)-LEN(SUBSTITUTE(AL155,",",""))+1))*62%)* 2)*(1 + (AP155 / (IF(_xlfn.XLOOKUP(_xlfn.XLOOKUP(B155,'Base stats'!B:B,'Base stats'!E:E),Groups!A:A,Groups!AJ:AJ)="Photonozoa",0.3,1)) + _xlfn.XLOOKUP(B155,'Base stats'!B:B,'Base stats'!AV:AV) * 1.8) * 2) * 2.5 + 10 + I155 * 2,5)+IF(_xlfn.XLOOKUP(B155,'Base stats'!B:B,'Base stats'!AK:AK)=1,50,0)</f>
        <v>50</v>
      </c>
      <c r="BS155" s="8">
        <f t="shared" si="19"/>
        <v>0.30000000000000004</v>
      </c>
      <c r="BT155" s="8" t="str">
        <f>_xlfn.XLOOKUP(B155,'Base stats'!B:B,'Base stats'!AF:AF)</f>
        <v>No</v>
      </c>
      <c r="BU155" s="2" t="str">
        <f>IF(AND(J155&lt;=0.95,OR(_xlfn.XLOOKUP(B155,'Base stats'!B:B,'Base stats'!AK:AK)=1,_xlfn.XLOOKUP(B155,'Base stats'!B:B,'Base stats'!Y:Y)="Carnivore",_xlfn.XLOOKUP(B155,'Base stats'!B:B,'Base stats'!Y:Y)="Omnivore",BE155&gt;0.1)),"true","false")</f>
        <v>true</v>
      </c>
      <c r="BV155" s="2" t="str">
        <f>IF(_xlfn.XLOOKUP(B155,'Base stats'!B:B,'Base stats'!AI:AI)=1,"true","false")</f>
        <v>false</v>
      </c>
      <c r="BW155" s="25" t="str">
        <f>IF(E155="BaseInsect","AnimalInsect",
IF(J155&gt;0.95,"AnimalExotic",
_xlfn.TEXTJOIN(", ",TRUE,
IF(OR(_xlfn.XLOOKUP(B155,'Base stats'!B:B,'Base stats'!AM:AM)=1,AND(_xlfn.XLOOKUP(B155,'Base stats'!B:B,'Base stats'!O:O)=0,_xlfn.XLOOKUP(_xlfn.XLOOKUP(B155,'Base stats'!B:B,'Base stats'!E:E),Groups!A:A,Groups!B:B)&gt;0)),"AnimalUncommon","AnimalCommon"),
IF(AND(_xlfn.XLOOKUP(B155,'Base stats'!B:B,'Base stats'!O:O)=2,_xlfn.XLOOKUP(_xlfn.XLOOKUP(B155,'Base stats'!B:B,'Base stats'!E:E),Groups!A:A,Groups!D:D)=0),"AnimalPet",IF(AND(_xlfn.XLOOKUP(B155,'Base stats'!B:B,'Base stats'!O:O)&lt;&gt;0,_xlfn.XLOOKUP(_xlfn.XLOOKUP(B155,'Base stats'!B:B,'Base stats'!E:E),Groups!A:A,Groups!D:D)&lt;&gt;0),"AnimalFarm","")),
IF(OR(_xlfn.XLOOKUP(B155,'Base stats'!B:B,'Base stats'!AK:AK)=1,AND(BI155&lt;&gt;"None",BR155&gt;=60),ISNUMBER(SEARCH("Attack target",BP155))),"AnimalFighter","")
)))</f>
        <v>AnimalCommon, AnimalPet</v>
      </c>
      <c r="BX155" s="25" t="str">
        <f>IF(G155="None",TRIM(
SUBSTITUTE(
IF(COUNTIF(Biomes!B$2:B$259,"="&amp;$C155)&gt;0,Biomes!B$1&amp;", ","")&amp;
IF(COUNTIF(Biomes!C$2:C$259,"="&amp;$C155)&gt;0,Biomes!C$1&amp;", ","")&amp;
IF(COUNTIF(Biomes!D$2:D$259,"="&amp;$C155)&gt;0,Biomes!D$1&amp;", ","")&amp;
IF(COUNTIF(Biomes!F$2:F$259,"="&amp;$C155)&gt;0,Biomes!F$1&amp;", ","")&amp;
IF(COUNTIF(Biomes!G$2:G$259,"="&amp;$C155)&gt;0,Biomes!G$1&amp;", ","")&amp;
IF(COUNTIF(Biomes!H$2:H$259,"="&amp;$C155)&gt;0,Biomes!H$1&amp;", ","")&amp;
IF(COUNTIF(Biomes!I$2:I$259,"="&amp;$C155)&gt;0,Biomes!I$1&amp;", ","")&amp;
IF(COUNTIF(Biomes!J$2:J$259,"="&amp;$C155)&gt;0,Biomes!J$1&amp;", ","")&amp;
IF(COUNTIF(Biomes!M$2:M$259,"="&amp;$C155)&gt;0,Biomes!M$1&amp;", ","")&amp;
IF(COUNTIF(Biomes!N$2:N$259,"="&amp;$C155)&gt;0,Biomes!N$1&amp;", ","")&amp;
IF(COUNTIF(Biomes!O$2:O$259,"="&amp;$C155)&gt;0,Biomes!O$1&amp;", ","")&amp;
IF(COUNTIF(Biomes!P$2:P$259,"="&amp;$C155)&gt;0,Biomes!P$1&amp;", ","")&amp;
IF(COUNTIF(Biomes!K$2:K$259,"="&amp;$C155)&gt;0,Biomes!K$1&amp;", ","")&amp;
IF(COUNTIF(Biomes!Q$3:Q$259,"="&amp;$C155)&gt;0,Biomes!Q$1&amp;", ","")&amp;
IF(COUNTIF(Biomes!L$2:L$259,"="&amp;$C155)&gt;0,Biomes!L$1&amp;", ","")&amp;
IF(COUNTIF(Biomes!E$2:E$259,"="&amp;$C155)&gt;0,Biomes!E$1&amp;", ","")&amp;IF(COUNTIF(Biomes!S$2:S$259,"="&amp;$C155)&gt;0,Biomes!S$1&amp;", ","")&amp;
IF(COUNTIF(Biomes!R$2:R$259,"="&amp;$C155)&gt;0,Biomes!R$1&amp;", ",""),", ","")
),_xlfn.XLOOKUP(B155,B:B,BX:BX))</f>
        <v/>
      </c>
      <c r="BY155" s="25" t="str">
        <f>IF(_xlfn.XLOOKUP(B155,'Base stats'!B:B,'Base stats'!AJ:AJ)=1,"true","false")</f>
        <v>false</v>
      </c>
      <c r="BZ155" s="25">
        <f>IF(_xlfn.XLOOKUP(B155,'Base stats'!B:B,'Base stats'!N:N)=1,"No",MAX(0.001,MIN(MROUND(IF(AND(BJ155="True",CC155="False"),POWER(10,3.47*LOG10(_xlfn.XLOOKUP(B155,'Base stats'!B:B,'Base stats'!C:C)*1000)^-0.96),POWER(10,4.15*LOG10(_xlfn.XLOOKUP(B155,'Base stats'!B:B,'Base stats'!C:C)*1000)^-0.73))*IF(_xlfn.XLOOKUP(B155,'Base stats'!B:B,'Base stats'!AK:AK)=1,0.5,1)*IF(_xlfn.XLOOKUP(B155,'Base stats'!B:B,'Base stats'!AM:AM)=1,0.1,1)/100,IF(_xlfn.XLOOKUP(B155,'Base stats'!B:B,'Base stats'!AM:AM)=1,0.001,0.025)),0.5)))</f>
        <v>0.1</v>
      </c>
      <c r="CA155" s="25" t="str">
        <f>IF(P155="Standard","No",MAX(0.001,MIN(MROUND(IF(AND(BJ155="True",CC155="False"),POWER(10,3.47*LOG10(_xlfn.XLOOKUP(B155,'Base stats'!B:B,'Base stats'!C:C)*1000)^-0.96),POWER(10,4.15*LOG10(_xlfn.XLOOKUP(B155,'Base stats'!B:B,'Base stats'!C:C)*1000)^-0.73))*IF(_xlfn.XLOOKUP(B155,'Base stats'!B:B,'Base stats'!AM:AM)=1,0.1,1)*_xlfn.XLOOKUP(B155,'Base stats'!B:B,'Base stats'!R:R)/100,IF(_xlfn.XLOOKUP(B155,'Base stats'!B:B,'Base stats'!AM:AM)=1,0.001,0.025)),0.5)))</f>
        <v>No</v>
      </c>
      <c r="CB155" s="25" t="str">
        <f>IF(_xlfn.XLOOKUP(_xlfn.XLOOKUP(B155,'Base stats'!B:B,'Base stats'!E:E),Groups!A:A,Groups!AJ:AJ)="Mammal","True","False")</f>
        <v>True</v>
      </c>
      <c r="CC155" s="25" t="str">
        <f>IF(OR(_xlfn.XLOOKUP(_xlfn.XLOOKUP(B155,'Base stats'!B:B,'Base stats'!E:E),Groups!A:A,Groups!AJ:AJ)="Reptile",_xlfn.XLOOKUP(_xlfn.XLOOKUP(B155,'Base stats'!B:B,'Base stats'!E:E),Groups!A:A,Groups!AJ:AJ)="Amphibian",_xlfn.XLOOKUP(_xlfn.XLOOKUP(B155,'Base stats'!B:B,'Base stats'!E:E),Groups!A:A,Groups!AJ:AJ)="Invertebrate"),"True","False")</f>
        <v>False</v>
      </c>
      <c r="CD155" s="25" t="str">
        <f t="shared" si="20"/>
        <v>False</v>
      </c>
      <c r="CE155" s="25" t="str">
        <f>IF(_xlfn.XLOOKUP(_xlfn.XLOOKUP(B155,'Base stats'!B:B,'Base stats'!E:E),Groups!A:A,Groups!AX:AX),"True","False")</f>
        <v>False</v>
      </c>
      <c r="CF155" s="25" t="str">
        <f>IF(_xlfn.XLOOKUP(_xlfn.XLOOKUP(B155,'Base stats'!B:B,'Base stats'!E:E),Groups!A:A,Groups!AY:AY),"True","False")</f>
        <v>False</v>
      </c>
      <c r="CG155" s="25" t="str">
        <f>IF(_xlfn.XLOOKUP(_xlfn.XLOOKUP(B155,'Base stats'!B:B,'Base stats'!E:E),Groups!A:A,Groups!AW:AW),"True","False")</f>
        <v>False</v>
      </c>
      <c r="CH155" s="25" t="str">
        <f>IF(
OR(
_xlfn.XLOOKUP(_xlfn.XLOOKUP(B155,'Base stats'!B:B,'Base stats'!E:E),Groups!A:A,Groups!AZ:AZ)=0,
AND(
_xlfn.XLOOKUP(B155,'Base stats'!B:B,'Base stats'!Y:Y)&lt;&gt;"Carnivore",
_xlfn.XLOOKUP(B155,'Base stats'!B:B,'Base stats'!Y:Y)&lt;&gt;"Omnivore",
_xlfn.XLOOKUP(B155,'Base stats'!B:B,'Base stats'!Y:Y)&lt;&gt;"OmnivoreRough"
)
),
"No",
IF(
_xlfn.XLOOKUP(_xlfn.XLOOKUP(B155,'Base stats'!B:B,'Base stats'!E:E),Groups!A:A,Groups!AZ:AZ)=1,
"Flesh",
IF(
_xlfn.XLOOKUP(_xlfn.XLOOKUP(B155,'Base stats'!B:B,'Base stats'!E:E),Groups!A:A,Groups!AZ:AZ)=2,
"Bone",
""
)
)
)</f>
        <v>No</v>
      </c>
      <c r="CI155" s="25" t="str">
        <f>IF(_xlfn.XLOOKUP(_xlfn.XLOOKUP(B155,'Base stats'!B:B,'Base stats'!E:E),Groups!A:A,Groups!BB:BB),"True","False")</f>
        <v>True</v>
      </c>
      <c r="CJ155" s="25" t="str">
        <f>IF(_xlfn.XLOOKUP(_xlfn.XLOOKUP(B155,'Base stats'!B:B,'Base stats'!E:E),Groups!A:A,Groups!BA:BA),"True","False")</f>
        <v>False</v>
      </c>
    </row>
    <row r="156" spans="1:88" ht="16.5" thickTop="1" thickBot="1" x14ac:dyDescent="0.3">
      <c r="A156" s="26" t="str">
        <f>_xlfn.XLOOKUP(B156,'Base stats'!B:B,'Base stats'!A:A)</f>
        <v>Persian cat</v>
      </c>
      <c r="B156" s="6" t="s">
        <v>909</v>
      </c>
      <c r="C156" s="28" t="s">
        <v>837</v>
      </c>
      <c r="D156" s="28" t="s">
        <v>872</v>
      </c>
      <c r="E156" s="28" t="s">
        <v>673</v>
      </c>
      <c r="F156" s="28" t="s">
        <v>673</v>
      </c>
      <c r="G156" s="28" t="s">
        <v>673</v>
      </c>
      <c r="H156" s="2">
        <f>MROUND((
  (IF(AND(_xlfn.XLOOKUP(B156,'Base stats'!B:B,'Base stats'!AL:AL)=0,BI156="None",_xlfn.XLOOKUP(_xlfn.XLOOKUP(B156,'Base stats'!B:B,'Base stats'!E:E),Groups!A:A,Groups!B:B)=0), (18 + BR156 * 2.7) * 0.5,
    IF(AND(_xlfn.XLOOKUP(B156,'Base stats'!B:B,'Base stats'!AL:AL)=0,OR(AO156&lt;0.55,AND(BI156="Intermediate",_xlfn.XLOOKUP(_xlfn.XLOOKUP(B156,'Base stats'!B:B,'Base stats'!E:E),Groups!A:A,Groups!B:B)&lt;2))), (18 + BR156 * 2.7),
      IF(OR(BI156="Advanced",_xlfn.XLOOKUP(B156,'Base stats'!B:B,'Base stats'!AL:AL)=1,_xlfn.XLOOKUP(_xlfn.XLOOKUP(B156,'Base stats'!B:B,'Base stats'!E:E),Groups!A:A,Groups!B:B)=2), (18 + BR156 * 2.7) + 250, (18 + BR156 * 2.7))
    )
  ))
  + AO156 * 80
  + IF(COUNTIF(EggMilk!K$2:K$998, A156) &gt; 0, 125, 0)
  + IF(COUNTIF(EggMilk!P$2:P$998, A156) &gt; 0, 90, 0)
  + IF(COUNTIF(EggMilk!A$2:A$998, A156) &gt; 0, 90, 0)
)
* (0.8 + 0.4 * J156)
* 0.75,25)</f>
        <v>100</v>
      </c>
      <c r="I156" s="2">
        <f>MROUND(ROUNDDOWN(_xlfn.XLOOKUP(B156,'Base stats'!B:B,'Base stats'!L:L)/3.6/(23.3/11),1),0.5)</f>
        <v>5.5</v>
      </c>
      <c r="J156" s="2">
        <f>IF(OR(_xlfn.XLOOKUP(B156,'Base stats'!B:B,'Base stats'!AB:AB)=1,_xlfn.XLOOKUP(_xlfn.XLOOKUP(B156,'Base stats'!B:B,'Base stats'!E:E),Groups!A:A,Groups!C:C)="Untamable"),1,IF(_xlfn.XLOOKUP(B156,'Base stats'!B:B,'Base stats'!AL:AL)=1,0.99,MIN(MROUND((1-0.6282*EXP(-0.459*AO156))*_xlfn.XLOOKUP(_xlfn.XLOOKUP(B156,'Base stats'!B:B,'Base stats'!E:E),Groups!A:A,Groups!C:C)*IF(_xlfn.XLOOKUP(B156,'Base stats'!B:B,'Base stats'!O:O)=1,0.5,IF(_xlfn.XLOOKUP(B156,'Base stats'!B:B,'Base stats'!O:O)=2,0,1)),0.05),IF(AO156&gt;3.5,0.985,0.95))))</f>
        <v>0</v>
      </c>
      <c r="K156" s="2">
        <f>ROUNDUP(AO156*_xlfn.XLOOKUP(_xlfn.XLOOKUP(B156,'Base stats'!B:B,'Base stats'!E:E),Groups!A:A,Groups!E:E),0)</f>
        <v>1</v>
      </c>
      <c r="L156" s="2">
        <f>IF(OR(_xlfn.XLOOKUP(_xlfn.XLOOKUP(B156,'Base stats'!B:B,'Base stats'!E:E),Groups!A:A,Groups!F:F)=2,ISNUMBER(SEARCH("SeaIce",BX156)),ISNUMBER(SEARCH("IceSheet",BX156))),-50,IF(OR(ISNUMBER(SEARCH("GlacialPlain",BX156)),ISNUMBER(SEARCH("Tundra",BX156))),-40,IF(OR(ISNUMBER(SEARCH("Alpine",BX156)),ISNUMBER(SEARCH("BorealForest",BX156)),ISNUMBER(SEARCH("ColdBog",BX156))),-30,IF(OR(ISNUMBER(SEARCH("TemperateForest",BX156)),ISNUMBER(SEARCH("TemperateSwamp",BX156))),-20,IF(_xlfn.XLOOKUP(_xlfn.XLOOKUP(B156,'Base stats'!B:B,'Base stats'!E:E),Groups!A:A,Groups!F:F)=1,-15,IF(OR(ISNUMBER(SEARCH("Desert",BX156)),ISNUMBER(SEARCH("ExtremeDesert",BX156))),-10,IF(OR(ISNUMBER(SEARCH("Grasslands",BX156)),ISNUMBER(SEARCH("TropicalRainforest",BX156)),ISNUMBER(SEARCH("TropicalSwamp",BX156))),10,0)))))))-IF(CC156="False",MIN(IFERROR(MAX(MROUND(LOG10(_xlfn.XLOOKUP(B156,'Base stats'!B:B,'Base stats'!C:C)^(2/3))*10,5),5),5),30))-_xlfn.XLOOKUP(B156,'Base stats'!B:B,'Base stats'!P:P)+IF(CC156="True",5,0)</f>
        <v>-20</v>
      </c>
      <c r="M156" s="2">
        <f>IF(OR(_xlfn.XLOOKUP(_xlfn.XLOOKUP(B156,'Base stats'!B:B,'Base stats'!E:E),Groups!A:A,Groups!G:G)=2,ISNUMBER(SEARCH("Desert",BX156)),ISNUMBER(SEARCH("ExtremeDesert",BX156)),ISNUMBER(SEARCH("LavaField",BX156))),50,IF(ISNUMBER(SEARCH("Grasslands",BX156)),45,IF(OR(_xlfn.XLOOKUP(_xlfn.XLOOKUP(B156,'Base stats'!B:B,'Base stats'!E:E),Groups!A:A,Groups!G:G)=1,ISNUMBER(SEARCH("TropicalRainforest",BX156)),ISNUMBER(SEARCH("TropicalSwamp",BX156))),40,IF(OR(ISNUMBER(SEARCH("TemperateForest",BX156)),ISNUMBER(SEARCH("TemperateSwamp",BX156))),35,IF(OR(ISNUMBER(SEARCH("Alpine",BX156)),ISNUMBER(SEARCH("BorealForest",BX156)),ISNUMBER(SEARCH("ColdBog",BX156))),30,IF(ISNUMBER(OR(ISNUMBER(SEARCH("GlacialPlain",BX156)),SEARCH("Tundra",BX156))),25,IF(OR(ISNUMBER(SEARCH("SeaIce",BX156)),ISNUMBER(SEARCH("IceSheet",BX156)),ISNUMBER(SEARCH("TropicalSwamp",BX156))),10,35)))))))+_xlfn.XLOOKUP(B156,'Base stats'!B:B,'Base stats'!Q:Q)</f>
        <v>40</v>
      </c>
      <c r="N156" s="8" t="str">
        <f>IF(
_xlfn.XLOOKUP(
_xlfn.XLOOKUP(B156,'Base stats'!B:B,'Base stats'!E:E),
Groups!A:A,
Groups!L:L
)=1,
MIN(
MROUND(
IF(
_xlfn.XLOOKUP(B156,'Animals CE'!B:B,'Animals CE'!Z:Z)&lt;=1.5,
_xlfn.XLOOKUP(B156,'Animals CE'!B:B,'Animals CE'!Z:Z)/2+0.05,
0.8+
(_xlfn.XLOOKUP(B156,'Animals CE'!B:B,'Animals CE'!Z:Z)-1.5)
*0.02
),
0.05
),
200%
),
"No"
)</f>
        <v>No</v>
      </c>
      <c r="O156" s="8" t="str">
        <f>IF(
_xlfn.XLOOKUP(
_xlfn.XLOOKUP(B156,'Base stats'!B:B,'Base stats'!E:E),
Groups!A:A,
Groups!L:L
)=1,
MIN(
MROUND(
IF(
_xlfn.XLOOKUP(B156,'Animals CE'!B:B,'Animals CE'!AA:AA)&lt;=1.5,
_xlfn.XLOOKUP(B156,'Animals CE'!B:B,'Animals CE'!AA:AA)/2+0.05,
0.8+
(_xlfn.XLOOKUP(B156,'Animals CE'!B:B,'Animals CE'!AA:AA)-1.5)
*0.02
),
0.05
),
200%
),
"No"
)</f>
        <v>No</v>
      </c>
      <c r="P156" s="2" t="str">
        <f>_xlfn.XLOOKUP(B156,'Base stats'!B:B,'Base stats'!R:R)</f>
        <v>Standard</v>
      </c>
      <c r="Q156" s="13">
        <f>MROUND((LOG10(_xlfn.XLOOKUP(B156,'Base stats'!B:B,'Base stats'!AR:AR))*(AO156^0.5)+(_xlfn.XLOOKUP(B156,'Base stats'!B:B,'Base stats'!AR:AR)/1000)^(2/3)+_xlfn.XLOOKUP(B156,'Base stats'!B:B,'Base stats'!BA:BA)/2)+0.5,0.5)</f>
        <v>2.5</v>
      </c>
      <c r="R156" s="7">
        <f>IF(Q156="No","No",MAX(1,MROUND(_xlfn.XLOOKUP(B156,'Base stats'!B:B,'Base stats'!C:C)^0.165,0.05)))</f>
        <v>1.25</v>
      </c>
      <c r="S156" s="13" t="str">
        <f>IF(_xlfn.XLOOKUP(_xlfn.XLOOKUP(B156,'Base stats'!B:B,'Base stats'!E:E),Groups!A:A,Groups!P:P)=0,"No",MROUND((LOG10(_xlfn.XLOOKUP(B156,'Base stats'!B:B,'Base stats'!AS:AS))*(AO156^0.5)+(_xlfn.XLOOKUP(B156,'Base stats'!B:B,'Base stats'!AS:AS)/1000)^(2/3)+_xlfn.XLOOKUP(B156,'Base stats'!B:B,'Base stats'!BA:BA))+_xlfn.XLOOKUP(B156,'Base stats'!B:B,'Base stats'!AY:AY)+0.5,0.5))</f>
        <v>No</v>
      </c>
      <c r="T156" s="7" t="str">
        <f>IF(S156="No","No",MAX(_xlfn.XLOOKUP(_xlfn.XLOOKUP(B156,'Base stats'!B:B,'Base stats'!E:E),Groups!A:A,Groups!Q:Q),MROUND(_xlfn.XLOOKUP(_xlfn.XLOOKUP(B156,'Base stats'!B:B,'Base stats'!E:E),Groups!A:A,Groups!Q:Q)*_xlfn.XLOOKUP(B156,'Base stats'!B:B,'Base stats'!C:C)^0.165,0.05)))</f>
        <v>No</v>
      </c>
      <c r="U156" s="7" t="str">
        <f>IF(S156="No","No",_xlfn.XLOOKUP(_xlfn.XLOOKUP(B156,'Base stats'!B:B,'Base stats'!E:E),Groups!A:A,Groups!R:R))</f>
        <v>No</v>
      </c>
      <c r="V156" s="7" t="str">
        <f>IF(S156="No","No",_xlfn.XLOOKUP(_xlfn.XLOOKUP(B156,'Base stats'!B:B,'Base stats'!E:E),Groups!A:A,Groups!S:S))</f>
        <v>No</v>
      </c>
      <c r="W156" s="7" t="str">
        <f>IF(S156="No","No",_xlfn.XLOOKUP(_xlfn.XLOOKUP(B156,'Base stats'!B:B,'Base stats'!E:E),Groups!A:A,Groups!T:T))</f>
        <v>No</v>
      </c>
      <c r="X156" s="13" t="str">
        <f>IF(_xlfn.XLOOKUP(B156,'Base stats'!B:B,'Base stats'!W:W)="No","No",MROUND((LOG10(_xlfn.XLOOKUP(B156,'Base stats'!B:B,'Base stats'!AU:AU))*(AO156^0.5)+(_xlfn.XLOOKUP(B156,'Base stats'!B:B,'Base stats'!AU:AU)/1000)^(2/3)+_xlfn.XLOOKUP(B156,'Base stats'!B:B,'Base stats'!AZ:AZ))+0.5+IF(_xlfn.XLOOKUP(_xlfn.XLOOKUP(B156,'Base stats'!B:B,'Base stats'!E:E),Groups!A:A,Groups!U:U)&lt;&gt;3,_xlfn.XLOOKUP(B156,'Base stats'!B:B,'Base stats'!BA:BA),0),0.5))</f>
        <v>No</v>
      </c>
      <c r="Y156" s="7" t="str">
        <f>IF(X156="No","No",MAX(_xlfn.XLOOKUP(_xlfn.XLOOKUP(B156,'Base stats'!B:B,'Base stats'!E:E),Groups!A:A,Groups!V:V),MROUND(_xlfn.XLOOKUP(_xlfn.XLOOKUP(B156,'Base stats'!B:B,'Base stats'!E:E),Groups!A:A,Groups!V:V)*_xlfn.XLOOKUP(B156,'Base stats'!B:B,'Base stats'!C:C)^0.165,0.05)))</f>
        <v>No</v>
      </c>
      <c r="Z156" s="7" t="str">
        <f>IF(X156="No","No",_xlfn.XLOOKUP(_xlfn.XLOOKUP(B156,'Base stats'!B:B,'Base stats'!E:E),Groups!A:A,Groups!W:W))</f>
        <v>No</v>
      </c>
      <c r="AA156" s="7" t="str">
        <f>IF(X156="No","No",_xlfn.XLOOKUP(_xlfn.XLOOKUP(B156,'Base stats'!B:B,'Base stats'!E:E),Groups!A:A,Groups!X:X))</f>
        <v>No</v>
      </c>
      <c r="AB156" s="7" t="str">
        <f>IF(X156="No","No",_xlfn.XLOOKUP(_xlfn.XLOOKUP(B156,'Base stats'!B:B,'Base stats'!E:E),Groups!A:A,Groups!Y:Y))</f>
        <v>No</v>
      </c>
      <c r="AC156" s="7" t="str">
        <f>_xlfn.XLOOKUP(Animals!B156,'Base stats'!B:B,'Base stats'!X:X)</f>
        <v>False</v>
      </c>
      <c r="AD156" s="13">
        <f>IF(_xlfn.XLOOKUP(B156,'Base stats'!B:B,'Base stats'!AT:AT)="No","No",MROUND((LOG10(_xlfn.XLOOKUP(B156,'Base stats'!B:B,'Base stats'!AT:AT))*(AO156^0.75)+(_xlfn.XLOOKUP(B156,'Base stats'!B:B,'Base stats'!AT:AT)/1000)^(2/3)+_xlfn.XLOOKUP(B156,'Base stats'!B:B,'Base stats'!AX:AX)+_xlfn.XLOOKUP(B156,'Base stats'!B:B,'Base stats'!BA:BA))+0.5,0.5))</f>
        <v>3.5</v>
      </c>
      <c r="AE156" s="7">
        <f>IF(AD156="No","No",MAX(_xlfn.XLOOKUP(_xlfn.XLOOKUP(B156,'Base stats'!B:B,'Base stats'!E:E),Groups!A:A,Groups!Z:Z),MROUND(_xlfn.XLOOKUP(_xlfn.XLOOKUP(B156,'Base stats'!B:B,'Base stats'!E:E),Groups!A:A,Groups!Z:Z)*_xlfn.XLOOKUP(B156,'Base stats'!B:B,'Base stats'!C:C)^0.165,0.05)))</f>
        <v>0.85000000000000009</v>
      </c>
      <c r="AF156" s="7" t="str">
        <f>IF(AD156="No","No",_xlfn.XLOOKUP(_xlfn.XLOOKUP(B156,'Base stats'!B:B,'Base stats'!E:E),Groups!A:A,Groups!AA:AA))</f>
        <v>Teeth</v>
      </c>
      <c r="AG156" s="7" t="str">
        <f>IF(AD156="No","No",_xlfn.XLOOKUP(_xlfn.XLOOKUP(B156,'Base stats'!B:B,'Base stats'!E:E),Groups!A:A,Groups!AB:AB))</f>
        <v>canines</v>
      </c>
      <c r="AH156" s="7" t="str">
        <f>IF(AD156="No","No",_xlfn.XLOOKUP(_xlfn.XLOOKUP(B156,'Base stats'!B:B,'Base stats'!E:E),Groups!A:A,Groups!AC:AC))</f>
        <v>Bite</v>
      </c>
      <c r="AI156" s="13">
        <f>IF(_xlfn.XLOOKUP(_xlfn.XLOOKUP(B156,'Base stats'!B:B,'Base stats'!E:E),Groups!A:A,Groups!AD:AD)=0,"No",MROUND((LOG10(_xlfn.XLOOKUP(B156,'Base stats'!B:B,'Base stats'!AS:AS))*(AO156^0.75)+(_xlfn.XLOOKUP(B156,'Base stats'!B:B,'Base stats'!AS:AS)/1000)^(2/3)+_xlfn.XLOOKUP(B156,'Base stats'!B:B,'Base stats'!AY:AY)+_xlfn.XLOOKUP(B156,'Base stats'!B:B,'Base stats'!BA:BA))+0.5,0.5))</f>
        <v>3</v>
      </c>
      <c r="AJ156" s="7">
        <f>IF(AI156="No","No",MAX(_xlfn.XLOOKUP(_xlfn.XLOOKUP(B156,'Base stats'!B:B,'Base stats'!E:E),Groups!A:A,Groups!AE:AE),MROUND(_xlfn.XLOOKUP(_xlfn.XLOOKUP(B156,'Base stats'!B:B,'Base stats'!E:E),Groups!A:A,Groups!AE:AE)*IF(_xlfn.XLOOKUP(_xlfn.XLOOKUP(B156,'Base stats'!B:B,'Base stats'!E:E),Groups!A:A,Groups!AJ:AJ)="Photonozoa",0.6,1)*_xlfn.XLOOKUP(B156,'Base stats'!B:B,'Base stats'!C:C)^0.165,0.05)))</f>
        <v>0.8</v>
      </c>
      <c r="AK156" s="7" t="str">
        <f>IF(AI156="No","No",_xlfn.XLOOKUP(_xlfn.XLOOKUP(B156,'Base stats'!B:B,'Base stats'!E:E),Groups!A:A,Groups!AF:AF))</f>
        <v>FrontLeftPaw, FrontRightPaw</v>
      </c>
      <c r="AL156" s="7" t="str">
        <f>IF(AI156="No","No",_xlfn.XLOOKUP(_xlfn.XLOOKUP(B156,'Base stats'!B:B,'Base stats'!E:E),Groups!A:A,Groups!AG:AG))</f>
        <v>left claw, right claw</v>
      </c>
      <c r="AM156" s="7" t="str">
        <f>IF(AI156="No","No",_xlfn.XLOOKUP(_xlfn.XLOOKUP(B156,'Base stats'!B:B,'Base stats'!E:E),Groups!A:A,Groups!AH:AH))</f>
        <v>Scratch</v>
      </c>
      <c r="AN156" s="2">
        <f t="shared" si="14"/>
        <v>15</v>
      </c>
      <c r="AO156" s="2">
        <f>MROUND(IF(AND(_xlfn.XLOOKUP(B156,'Base stats'!B:B,'Base stats'!C:C)&gt;=0.5,_xlfn.XLOOKUP(B156,'Base stats'!B:B,'Base stats'!C:C)&lt;=0.8),
IF(_xlfn.XLOOKUP(B156,'Base stats'!B:B,'Base stats'!C:C)&lt;0.1,0.05,IF(_xlfn.XLOOKUP(B156,'Base stats'!B:B,'Base stats'!C:C)&lt;=70,(_xlfn.XLOOKUP(B156,'Base stats'!B:B,'Base stats'!C:C)/70)^0.426489913056526,IF(_xlfn.XLOOKUP(B156,'Base stats'!B:B,'Base stats'!C:C)&lt;=400,(_xlfn.XLOOKUP(B156,'Base stats'!B:B,'Base stats'!C:C)/70)^0.572811455315093,IF(_xlfn.XLOOKUP(B156,'Base stats'!B:B,'Base stats'!C:C)&lt;=2000,2.71391647193063*(_xlfn.XLOOKUP(B156,'Base stats'!B:B,'Base stats'!C:C)/400)^0.252459582904293,3.74314280240376*(_xlfn.XLOOKUP(B156,'Base stats'!B:B,'Base stats'!C:C)/2000)^0.357012633876913)))),
IF(_xlfn.XLOOKUP(B156,'Base stats'!B:B,'Base stats'!C:C)&lt;0.1,0.05,IF(_xlfn.XLOOKUP(B156,'Base stats'!B:B,'Base stats'!C:C)&lt;0.4,0.1,IF(_xlfn.XLOOKUP(B156,'Base stats'!B:B,'Base stats'!C:C)&lt;=70,(_xlfn.XLOOKUP(B156,'Base stats'!B:B,'Base stats'!C:C)/70)^0.445823913056526,IF(_xlfn.XLOOKUP(B156,'Base stats'!B:B,'Base stats'!C:C)&lt;=400,(_xlfn.XLOOKUP(B156,'Base stats'!B:B,'Base stats'!C:C)/70)^0.572811455315093,IF(_xlfn.XLOOKUP(B156,'Base stats'!B:B,'Base stats'!C:C)&lt;=2000,2.71391647193063*(_xlfn.XLOOKUP(B156,'Base stats'!B:B,'Base stats'!C:C)/400)^0.252459582904293,3.74314280240376*(_xlfn.XLOOKUP(B156,'Base stats'!B:B,'Base stats'!C:C)/2000)^0.357012633876913)))))),
IF(_xlfn.XLOOKUP(B156,'Base stats'!B:B,'Base stats'!C:C)&lt;0.1,0.05,IF(_xlfn.XLOOKUP(B156,'Base stats'!B:B,'Base stats'!C:C)&lt;=100,0.05,IF(_xlfn.XLOOKUP(B156,'Base stats'!B:B,'Base stats'!C:C)&lt;=250,0.1,IF(_xlfn.XLOOKUP(B156,'Base stats'!B:B,'Base stats'!C:C)&lt;=4000,0.25,0.5)))))</f>
        <v>0.25</v>
      </c>
      <c r="AP156" s="8">
        <f>MROUND(AO156*_xlfn.XLOOKUP(_xlfn.XLOOKUP(B156,'Base stats'!B:B,'Base stats'!E:E),Groups!A:A,Groups!AI:AI)*_xlfn.XLOOKUP(B156,'Base stats'!B:B,'Base stats'!Z:Z),0.05)</f>
        <v>0.30000000000000004</v>
      </c>
      <c r="AQ156" s="8">
        <f>MAX(0.01,MROUND(IF(CC156="True",0.196*(AO156*100*1000)^0.889,IF(_xlfn.XLOOKUP(_xlfn.XLOOKUP(B156,'Base stats'!B:B,'Base stats'!E:E),Groups!A:A,Groups!AJ:AJ)="Bird",10.5*(AO156*100*1000)^0.681,4.82*(AO156*100*1000)^0.734))/(4.82*(1*100*1000)^0.734)/IF(AO156&lt;3.5,2,IF(AO156=3.5,1.5,1.25))*(1+0.132282374779864/(AO156^0.994035016789033+0.00905238001496948)),0.05))</f>
        <v>0.25</v>
      </c>
      <c r="AR156" s="9">
        <f>IFERROR(MROUND(_xlfn.XLOOKUP(B156,'Base stats'!B:B,'Base stats'!H:H)/IF(_xlfn.XLOOKUP(B156,'Base stats'!B:B,'Base stats'!I:I)&lt;&gt;1,(122.5/70),1.2),IF(_xlfn.XLOOKUP(B156,'Base stats'!B:B,'Base stats'!H:H)&gt;=30,5,IF(_xlfn.XLOOKUP(B156,'Base stats'!B:B,'Base stats'!H:H)&gt;=15,3,IF(_xlfn.XLOOKUP(B156,'Base stats'!B:B,'Base stats'!H:H)&gt;=10,2,1)))),"Immortal")</f>
        <v>15</v>
      </c>
      <c r="AS156" s="35">
        <f>IFERROR(IF(OR(_xlfn.XLOOKUP(B156,'Base stats'!B:B,'Base stats'!F:F)="Atypical reproduction",_xlfn.XLOOKUP(B156,'Base stats'!B:B,'Base stats'!F:F)="Lay eggs"),"Lay eggs",MIN(20,MAX(5.5,ROUND(((_xlfn.XLOOKUP(B156,'Base stats'!B:B,'Base stats'!F:F)-25)*(14.5/615) + 5.5)*2,0)/2))),"Unknown")</f>
        <v>6.5</v>
      </c>
      <c r="AT156" s="8">
        <f>IF(_xlfn.XLOOKUP(B156,'Base stats'!B:B,'Base stats'!G:G)="Atypical reproduction","No",IFERROR(MAX(IF(_xlfn.XLOOKUP(B156,'Base stats'!B:B,'Base stats'!G:G)&lt;0.5,0.2,0.3),MROUND(_xlfn.XLOOKUP(B156,'Base stats'!B:B,'Base stats'!G:G)/(365/60),0.2)),"Unknown"))</f>
        <v>0.3</v>
      </c>
      <c r="AU156" s="8">
        <f t="shared" si="15"/>
        <v>0.15000000000000002</v>
      </c>
      <c r="AV156" s="8">
        <f>IFERROR(IFERROR(MROUND(_xlfn.XLOOKUP(B156,'Base stats'!B:B,'Base stats'!J:J),0.1),"Lay eggs"),"Cannot breed")</f>
        <v>4</v>
      </c>
      <c r="AW156" s="2" t="str">
        <f t="shared" si="16"/>
        <v>false</v>
      </c>
      <c r="AX156" s="2" t="str">
        <f>IF(_xlfn.XLOOKUP(_xlfn.XLOOKUP(Animals!B156,'Base stats'!B:B,'Base stats'!E:E),Groups!A:A,Groups!AK:AK)=1,"true","false")</f>
        <v>false</v>
      </c>
      <c r="AY156" s="25" t="str">
        <f>IF(_xlfn.XLOOKUP(B156,'Base stats'!B:B,'Base stats'!Y:Y)="Liquor","Liquor, CarnivoreAnimalStrict",IF(AND(_xlfn.XLOOKUP(B156,'Base stats'!B:B,'Base stats'!Y:Y)="Carnivore",_xlfn.XLOOKUP(_xlfn.XLOOKUP(B156,'Base stats'!B:B,'Base stats'!E:E),Groups!A:A,Groups!AJ:AJ)="Photonozoa"),"CarnivoreAnimalStrict, OvivoreAnimal",IF(_xlfn.XLOOKUP(B156,'Base stats'!B:B,'Base stats'!Y:Y)="Carnivore","CarnivoreAnimal, OvivoreAnimal",IF(_xlfn.XLOOKUP(B156,'Base stats'!B:B,'Base stats'!Y:Y)="Dendrovore","VegetarianRoughAnimal, DendrovoreAnimal",IF(_xlfn.XLOOKUP(B156,'Base stats'!B:B,'Base stats'!Y:Y)="Herbivore","VegetarianRoughAnimal",IF(_xlfn.XLOOKUP(B156,'Base stats'!B:B,'Base stats'!Y:Y)="OmnivoreRough","OmnivoreRoughAnimal, OvivoreAnimal","OmnivoreAnimal, OvivoreAnimal"))))))</f>
        <v>CarnivoreAnimal, OvivoreAnimal</v>
      </c>
      <c r="AZ156" s="2" t="str">
        <f>IF(_xlfn.XLOOKUP(_xlfn.XLOOKUP(B156,'Base stats'!B:B,'Base stats'!E:E),Groups!A:A,Groups!D:D)=1,MROUND((1-J156)*5+1,2)*IF(J156&lt;=0.4,2,1),"No")</f>
        <v>No</v>
      </c>
      <c r="BA156" s="2" t="str">
        <f>IF(AND(_xlfn.XLOOKUP(B156,'Base stats'!B:B,'Base stats'!AH:AH)="&lt;li&gt;Seal&lt;/li&gt;",G156="Odyssey"),"&lt;li&gt;AEXP_Seal&lt;/li&gt;",_xlfn.XLOOKUP(B156,'Base stats'!B:B,'Base stats'!AH:AH))</f>
        <v>&lt;li&gt;Cat&lt;/li&gt;</v>
      </c>
      <c r="BB156" s="2" t="str">
        <f>_xlfn.XLOOKUP(B156,'Base stats'!B:B,'Base stats'!AG:AG)</f>
        <v>Leather_Light</v>
      </c>
      <c r="BC156" s="23" t="str">
        <f>_xlfn.XLOOKUP(_xlfn.XLOOKUP(B156,'Base stats'!B:B,'Base stats'!E:E),Groups!A:A,Groups!AL:AL)</f>
        <v>QuadrupedAnimalWithPawsAndTail</v>
      </c>
      <c r="BD156" s="23">
        <f>MIN(1,MROUND(IF(AND(AO156&lt;0.5,_xlfn.XLOOKUP(B156,'Base stats'!B:B,'Base stats'!AA:AA)=0),0,IF(OR(_xlfn.XLOOKUP(Animals!B156,'Base stats'!B:B,'Base stats'!O:O)=2,_xlfn.XLOOKUP(_xlfn.XLOOKUP(B156,'Base stats'!B:B,'Base stats'!E:E),Groups!A:A,Groups!AN:AN)=0),0,_xlfn.XLOOKUP(_xlfn.XLOOKUP(B156,'Base stats'!B:B,'Base stats'!E:E),Groups!A:A,Groups!AN:AN)/IF(_xlfn.XLOOKUP(Animals!B156,'Base stats'!B:B,'Base stats'!O:O)=1,2,1)))+_xlfn.XLOOKUP(B156,'Base stats'!B:B,'Base stats'!AC:AC),0.005))</f>
        <v>0</v>
      </c>
      <c r="BE156" s="23">
        <f>MIN(1,MROUND(IF(AND(AO156&lt;0.5,_xlfn.XLOOKUP(B156,'Base stats'!B:B,'Base stats'!AA:AA)=0),0,IF(_xlfn.XLOOKUP(_xlfn.XLOOKUP(B156,'Base stats'!B:B,'Base stats'!E:E),Groups!A:A,Groups!AO:AO)=0,0,_xlfn.XLOOKUP(_xlfn.XLOOKUP(B156,'Base stats'!B:B,'Base stats'!E:E),Groups!A:A,Groups!AO:AO)/IF(_xlfn.XLOOKUP(Animals!B156,'Base stats'!B:B,'Base stats'!O:O)=2,3,1)))+_xlfn.XLOOKUP(B156,'Base stats'!B:B,'Base stats'!AD:AD),0.005))</f>
        <v>0</v>
      </c>
      <c r="BF156" s="2">
        <f>IF(J156&gt;0.3,"No",_xlfn.XLOOKUP(_xlfn.XLOOKUP(Animals!B156,'Base stats'!B:B,'Base stats'!E:E),Groups!A:A,Groups!AP:AP))</f>
        <v>1</v>
      </c>
      <c r="BG156" s="2">
        <f>IF(AND(J156&lt;=0.65,_xlfn.XLOOKUP(_xlfn.XLOOKUP(Animals!B156,'Base stats'!B:B,'Base stats'!E:E),Groups!A:A,Groups!AP:AP)&lt;&gt;"No",_xlfn.XLOOKUP(_xlfn.XLOOKUP(B156,'Base stats'!B:B,'Base stats'!E:E),Groups!A:A,Groups!D:D)=0),MROUND((80/3)*IF(_xlfn.XLOOKUP(B156,'Base stats'!B:B,'Base stats'!O:O)=2,0.2,AO156) + 24*(1-IF(BF156="No",0,BF156)) + 16/3, 12),"No")</f>
        <v>12</v>
      </c>
      <c r="BH156" s="2">
        <f>IF(AND(_xlfn.XLOOKUP(_xlfn.XLOOKUP(B156,'Base stats'!B:B,'Base stats'!E:E),Groups!A:A,Groups!AQ:AQ)=1,AO156&lt;=0.35),8,12)</f>
        <v>12</v>
      </c>
      <c r="BI156" s="2" t="str">
        <f>IF(_xlfn.XLOOKUP(_xlfn.XLOOKUP(B156,'Base stats'!B:B,'Base stats'!E:E),Groups!A:A,Groups!D:D)=0,_xlfn.XLOOKUP(_xlfn.XLOOKUP(B156,'Base stats'!B:B,'Base stats'!E:E),Groups!A:A,Groups!AR:AR),"None")</f>
        <v>Intermediate</v>
      </c>
      <c r="BJ156" s="2" t="str">
        <f>IF(AND(_xlfn.XLOOKUP(_xlfn.XLOOKUP(B156,'Base stats'!B:B,'Base stats'!E:E),Groups!A:A,Groups!AS:AS)=1,OR(_xlfn.XLOOKUP(B156,'Base stats'!B:B,'Base stats'!Y:Y)="Carnivore",_xlfn.XLOOKUP(B156,'Base stats'!B:B,'Base stats'!Y:Y)="Omnivore")),"true","false")</f>
        <v>true</v>
      </c>
      <c r="BK156" s="2">
        <f>IF(BJ156="true",MROUND(IF(AND(AO156&gt;0.5,OR(_xlfn.XLOOKUP(_xlfn.XLOOKUP(B156,'Base stats'!B:B,'Base stats'!E:E),Groups!A:A,Groups!AJ:AJ)="Photonozoa",_xlfn.XLOOKUP(_xlfn.XLOOKUP(B156,'Base stats'!B:B,'Base stats'!E:E),Groups!A:A,Groups!AJ:AJ)="Mammal")),Animals!AO156*1.75*IF(AW156="true",1.5,1),IF(AO156&lt;0.5,Animals!AO156*0.5,Animals!AO156)),IF(AO156&gt;2,0.5,IF(AO156&gt;0.5,0.25,0.1))),"No")</f>
        <v>0.1</v>
      </c>
      <c r="BL156" s="2">
        <f t="shared" si="17"/>
        <v>1</v>
      </c>
      <c r="BM156" s="25" t="str">
        <f>IF(_xlfn.XLOOKUP(B156,'Base stats'!B:B,'Base stats'!AN:AN)="Standard","No",MROUND((_xlfn.XLOOKUP(B156,'Base stats'!B:B,'Base stats'!AN:AN)/3.6)/I156,0.1))</f>
        <v>No</v>
      </c>
      <c r="BN156" s="25" t="str">
        <f t="shared" si="18"/>
        <v>false</v>
      </c>
      <c r="BO156" s="25" t="str">
        <f>IF(AND(OR(_xlfn.XLOOKUP(B156,'Base stats'!B:B,'Base stats'!Y:Y)="Carnivore",_xlfn.XLOOKUP(B156,'Base stats'!B:B,'Base stats'!Y:Y)="Omnivore",_xlfn.XLOOKUP(B156,'Base stats'!B:B,'Base stats'!Y:Y)="OmnivoreRough"),_xlfn.XLOOKUP(_xlfn.XLOOKUP(B156,'Base stats'!B:B,'Base stats'!E:E),Groups!A:A,Groups!AT:AT)=1),"true","false")</f>
        <v>false</v>
      </c>
      <c r="BP156" s="25" t="str" cm="1">
        <f t="array" ref="BP156">IF(
  _xlfn.TEXTJOIN(", ",TRUE,
    IF(AND(BJ156="true",AO156&gt;0.5,BI156&lt;&gt;"None"),"AttackTarget",""),
    IF(AND(_xlfn.XLOOKUP(_xlfn.XLOOKUP(B156,'Base stats'!B:B,'Base stats'!E:E),Groups!A:A,Groups!AJ:AJ="Mammal"),OR(_xlfn.XLOOKUP(B156,'Base stats'!B:B,'Base stats'!Y:Y)="Omnivore",_xlfn.XLOOKUP(B156,'Base stats'!B:B,'Base stats'!Y:Y)="OmnivoreRough")),"Forage",""),
    IF(BG156&lt;=36,"Comfort",""),
    IF(_xlfn.XLOOKUP(B156,'Base stats'!B:B,'Base stats'!AE:AE)&lt;&gt;"No",_xlfn.XLOOKUP(B156,'Base stats'!B:B,'Base stats'!AE:AE),"")
  ) = "",
  "No",
  _xlfn.TEXTJOIN(", ",TRUE,
    IF(AND(BJ156="true",AO156&gt;0.5,BI156&lt;&gt;"None"),"AttackTarget",""),
    IF(AND(_xlfn.XLOOKUP(_xlfn.XLOOKUP(B156,'Base stats'!B:B,'Base stats'!E:E),Groups!A:A,Groups!AJ:AJ="Mammal"),OR(_xlfn.XLOOKUP(B156,'Base stats'!B:B,'Base stats'!Y:Y)="Omnivore",_xlfn.XLOOKUP(B156,'Base stats'!B:B,'Base stats'!Y:Y)="OmnivoreRough")),"Forage",""),
    IF(BG156&lt;=36,"Comfort",""),
    IF(_xlfn.XLOOKUP(B156,'Base stats'!B:B,'Base stats'!AE:AE)&lt;&gt;"No",_xlfn.XLOOKUP(B156,'Base stats'!B:B,'Base stats'!AE:AE),"")
  )
)</f>
        <v>Comfort</v>
      </c>
      <c r="BQ156" s="25" t="str">
        <f>IF(
   AND(
      'Base stats'!AN156="Standard",_xlfn.XLOOKUP(_xlfn.XLOOKUP(B156,'Base stats'!B:B,'Base stats'!E:E),Groups!A:A,Groups!AU:AU)=0,
      OR(
      BO156="True"
      )
   ),
   10,
   IF(
       OR(BM156&lt;&gt;"No",_xlfn.XLOOKUP(_xlfn.XLOOKUP(B156,'Base stats'!B:B,'Base stats'!E:E),Groups!A:A,Groups!AU:AU)=1),
      1,
      "No"
   )
)</f>
        <v>No</v>
      </c>
      <c r="BR156" s="9">
        <f>MROUND((1 + ((0.2*IF(OR(Q156="No",R156="No",R156=0),0,Q156/R156)
+IF(OR(V156="No",S156="No",T156="No"),0,S156/T156*(LEN(V156)-LEN(SUBSTITUTE(V156,",",""))+1))
+IF(OR(X156="No",Y156="No"),0,X156/Y156)
+IF(OR(AD156="No",AE156="No"),0,AD156/AE156)
+IF(OR(AL156="No",AI156="No",AJ156="No"),0,AI156/AJ156*(LEN(AL156)-LEN(SUBSTITUTE(AL156,",",""))+1))
)/(0.2*IF(OR(Q156="No",R156="No",R156=0),0,1)
+IF(OR(V156="No",S156="No",T156="No"),0,LEN(V156)-LEN(SUBSTITUTE(V156,",",""))+1)
+IF(OR(X156="No",Y156="No"),0,1)
+IF(OR(AD156="No",AE156="No"),0,1)
+IF(OR(AL156="No",AI156="No",AJ156="No"),0,LEN(AL156)-LEN(SUBSTITUTE(AL156,",",""))+1))*62%)* 2)*(1 + (AP156 / (IF(_xlfn.XLOOKUP(_xlfn.XLOOKUP(B156,'Base stats'!B:B,'Base stats'!E:E),Groups!A:A,Groups!AJ:AJ)="Photonozoa",0.3,1)) + _xlfn.XLOOKUP(B156,'Base stats'!B:B,'Base stats'!AV:AV) * 1.8) * 2) * 2.5 + 10 + I156 * 2,5)+IF(_xlfn.XLOOKUP(B156,'Base stats'!B:B,'Base stats'!AK:AK)=1,50,0)</f>
        <v>45</v>
      </c>
      <c r="BS156" s="8">
        <f t="shared" si="19"/>
        <v>0.25</v>
      </c>
      <c r="BT156" s="8" t="str">
        <f>_xlfn.XLOOKUP(B156,'Base stats'!B:B,'Base stats'!AF:AF)</f>
        <v>No</v>
      </c>
      <c r="BU156" s="2" t="str">
        <f>IF(AND(J156&lt;=0.95,OR(_xlfn.XLOOKUP(B156,'Base stats'!B:B,'Base stats'!AK:AK)=1,_xlfn.XLOOKUP(B156,'Base stats'!B:B,'Base stats'!Y:Y)="Carnivore",_xlfn.XLOOKUP(B156,'Base stats'!B:B,'Base stats'!Y:Y)="Omnivore",BE156&gt;0.1)),"true","false")</f>
        <v>true</v>
      </c>
      <c r="BV156" s="2" t="str">
        <f>IF(_xlfn.XLOOKUP(B156,'Base stats'!B:B,'Base stats'!AI:AI)=1,"true","false")</f>
        <v>false</v>
      </c>
      <c r="BW156" s="25" t="str">
        <f>IF(E156="BaseInsect","AnimalInsect",
IF(J156&gt;0.95,"AnimalExotic",
_xlfn.TEXTJOIN(", ",TRUE,
IF(OR(_xlfn.XLOOKUP(B156,'Base stats'!B:B,'Base stats'!AM:AM)=1,AND(_xlfn.XLOOKUP(B156,'Base stats'!B:B,'Base stats'!O:O)=0,_xlfn.XLOOKUP(_xlfn.XLOOKUP(B156,'Base stats'!B:B,'Base stats'!E:E),Groups!A:A,Groups!B:B)&gt;0)),"AnimalUncommon","AnimalCommon"),
IF(AND(_xlfn.XLOOKUP(B156,'Base stats'!B:B,'Base stats'!O:O)=2,_xlfn.XLOOKUP(_xlfn.XLOOKUP(B156,'Base stats'!B:B,'Base stats'!E:E),Groups!A:A,Groups!D:D)=0),"AnimalPet",IF(AND(_xlfn.XLOOKUP(B156,'Base stats'!B:B,'Base stats'!O:O)&lt;&gt;0,_xlfn.XLOOKUP(_xlfn.XLOOKUP(B156,'Base stats'!B:B,'Base stats'!E:E),Groups!A:A,Groups!D:D)&lt;&gt;0),"AnimalFarm","")),
IF(OR(_xlfn.XLOOKUP(B156,'Base stats'!B:B,'Base stats'!AK:AK)=1,AND(BI156&lt;&gt;"None",BR156&gt;=60),ISNUMBER(SEARCH("Attack target",BP156))),"AnimalFighter","")
)))</f>
        <v>AnimalCommon, AnimalPet</v>
      </c>
      <c r="BX156" s="25" t="str">
        <f>IF(G156="None",TRIM(
SUBSTITUTE(
IF(COUNTIF(Biomes!B$2:B$259,"="&amp;$C156)&gt;0,Biomes!B$1&amp;", ","")&amp;
IF(COUNTIF(Biomes!C$2:C$259,"="&amp;$C156)&gt;0,Biomes!C$1&amp;", ","")&amp;
IF(COUNTIF(Biomes!D$2:D$259,"="&amp;$C156)&gt;0,Biomes!D$1&amp;", ","")&amp;
IF(COUNTIF(Biomes!F$2:F$259,"="&amp;$C156)&gt;0,Biomes!F$1&amp;", ","")&amp;
IF(COUNTIF(Biomes!G$2:G$259,"="&amp;$C156)&gt;0,Biomes!G$1&amp;", ","")&amp;
IF(COUNTIF(Biomes!H$2:H$259,"="&amp;$C156)&gt;0,Biomes!H$1&amp;", ","")&amp;
IF(COUNTIF(Biomes!I$2:I$259,"="&amp;$C156)&gt;0,Biomes!I$1&amp;", ","")&amp;
IF(COUNTIF(Biomes!J$2:J$259,"="&amp;$C156)&gt;0,Biomes!J$1&amp;", ","")&amp;
IF(COUNTIF(Biomes!M$2:M$259,"="&amp;$C156)&gt;0,Biomes!M$1&amp;", ","")&amp;
IF(COUNTIF(Biomes!N$2:N$259,"="&amp;$C156)&gt;0,Biomes!N$1&amp;", ","")&amp;
IF(COUNTIF(Biomes!O$2:O$259,"="&amp;$C156)&gt;0,Biomes!O$1&amp;", ","")&amp;
IF(COUNTIF(Biomes!P$2:P$259,"="&amp;$C156)&gt;0,Biomes!P$1&amp;", ","")&amp;
IF(COUNTIF(Biomes!K$2:K$259,"="&amp;$C156)&gt;0,Biomes!K$1&amp;", ","")&amp;
IF(COUNTIF(Biomes!Q$3:Q$259,"="&amp;$C156)&gt;0,Biomes!Q$1&amp;", ","")&amp;
IF(COUNTIF(Biomes!L$2:L$259,"="&amp;$C156)&gt;0,Biomes!L$1&amp;", ","")&amp;
IF(COUNTIF(Biomes!E$2:E$259,"="&amp;$C156)&gt;0,Biomes!E$1&amp;", ","")&amp;IF(COUNTIF(Biomes!S$2:S$259,"="&amp;$C156)&gt;0,Biomes!S$1&amp;", ","")&amp;
IF(COUNTIF(Biomes!R$2:R$259,"="&amp;$C156)&gt;0,Biomes!R$1&amp;", ",""),", ","")
),_xlfn.XLOOKUP(B156,B:B,BX:BX))</f>
        <v/>
      </c>
      <c r="BY156" s="25" t="str">
        <f>IF(_xlfn.XLOOKUP(B156,'Base stats'!B:B,'Base stats'!AJ:AJ)=1,"true","false")</f>
        <v>false</v>
      </c>
      <c r="BZ156" s="25">
        <f>IF(_xlfn.XLOOKUP(B156,'Base stats'!B:B,'Base stats'!N:N)=1,"No",MAX(0.001,MIN(MROUND(IF(AND(BJ156="True",CC156="False"),POWER(10,3.47*LOG10(_xlfn.XLOOKUP(B156,'Base stats'!B:B,'Base stats'!C:C)*1000)^-0.96),POWER(10,4.15*LOG10(_xlfn.XLOOKUP(B156,'Base stats'!B:B,'Base stats'!C:C)*1000)^-0.73))*IF(_xlfn.XLOOKUP(B156,'Base stats'!B:B,'Base stats'!AK:AK)=1,0.5,1)*IF(_xlfn.XLOOKUP(B156,'Base stats'!B:B,'Base stats'!AM:AM)=1,0.1,1)/100,IF(_xlfn.XLOOKUP(B156,'Base stats'!B:B,'Base stats'!AM:AM)=1,0.001,0.025)),0.5)))</f>
        <v>0.1</v>
      </c>
      <c r="CA156" s="25" t="str">
        <f>IF(P156="Standard","No",MAX(0.001,MIN(MROUND(IF(AND(BJ156="True",CC156="False"),POWER(10,3.47*LOG10(_xlfn.XLOOKUP(B156,'Base stats'!B:B,'Base stats'!C:C)*1000)^-0.96),POWER(10,4.15*LOG10(_xlfn.XLOOKUP(B156,'Base stats'!B:B,'Base stats'!C:C)*1000)^-0.73))*IF(_xlfn.XLOOKUP(B156,'Base stats'!B:B,'Base stats'!AM:AM)=1,0.1,1)*_xlfn.XLOOKUP(B156,'Base stats'!B:B,'Base stats'!R:R)/100,IF(_xlfn.XLOOKUP(B156,'Base stats'!B:B,'Base stats'!AM:AM)=1,0.001,0.025)),0.5)))</f>
        <v>No</v>
      </c>
      <c r="CB156" s="25" t="str">
        <f>IF(_xlfn.XLOOKUP(_xlfn.XLOOKUP(B156,'Base stats'!B:B,'Base stats'!E:E),Groups!A:A,Groups!AJ:AJ)="Mammal","True","False")</f>
        <v>True</v>
      </c>
      <c r="CC156" s="25" t="str">
        <f>IF(OR(_xlfn.XLOOKUP(_xlfn.XLOOKUP(B156,'Base stats'!B:B,'Base stats'!E:E),Groups!A:A,Groups!AJ:AJ)="Reptile",_xlfn.XLOOKUP(_xlfn.XLOOKUP(B156,'Base stats'!B:B,'Base stats'!E:E),Groups!A:A,Groups!AJ:AJ)="Amphibian",_xlfn.XLOOKUP(_xlfn.XLOOKUP(B156,'Base stats'!B:B,'Base stats'!E:E),Groups!A:A,Groups!AJ:AJ)="Invertebrate"),"True","False")</f>
        <v>False</v>
      </c>
      <c r="CD156" s="25" t="str">
        <f t="shared" si="20"/>
        <v>False</v>
      </c>
      <c r="CE156" s="25" t="str">
        <f>IF(_xlfn.XLOOKUP(_xlfn.XLOOKUP(B156,'Base stats'!B:B,'Base stats'!E:E),Groups!A:A,Groups!AX:AX),"True","False")</f>
        <v>False</v>
      </c>
      <c r="CF156" s="25" t="str">
        <f>IF(_xlfn.XLOOKUP(_xlfn.XLOOKUP(B156,'Base stats'!B:B,'Base stats'!E:E),Groups!A:A,Groups!AY:AY),"True","False")</f>
        <v>False</v>
      </c>
      <c r="CG156" s="25" t="str">
        <f>IF(_xlfn.XLOOKUP(_xlfn.XLOOKUP(B156,'Base stats'!B:B,'Base stats'!E:E),Groups!A:A,Groups!AW:AW),"True","False")</f>
        <v>False</v>
      </c>
      <c r="CH156" s="25" t="str">
        <f>IF(
OR(
_xlfn.XLOOKUP(_xlfn.XLOOKUP(B156,'Base stats'!B:B,'Base stats'!E:E),Groups!A:A,Groups!AZ:AZ)=0,
AND(
_xlfn.XLOOKUP(B156,'Base stats'!B:B,'Base stats'!Y:Y)&lt;&gt;"Carnivore",
_xlfn.XLOOKUP(B156,'Base stats'!B:B,'Base stats'!Y:Y)&lt;&gt;"Omnivore",
_xlfn.XLOOKUP(B156,'Base stats'!B:B,'Base stats'!Y:Y)&lt;&gt;"OmnivoreRough"
)
),
"No",
IF(
_xlfn.XLOOKUP(_xlfn.XLOOKUP(B156,'Base stats'!B:B,'Base stats'!E:E),Groups!A:A,Groups!AZ:AZ)=1,
"Flesh",
IF(
_xlfn.XLOOKUP(_xlfn.XLOOKUP(B156,'Base stats'!B:B,'Base stats'!E:E),Groups!A:A,Groups!AZ:AZ)=2,
"Bone",
""
)
)
)</f>
        <v>No</v>
      </c>
      <c r="CI156" s="25" t="str">
        <f>IF(_xlfn.XLOOKUP(_xlfn.XLOOKUP(B156,'Base stats'!B:B,'Base stats'!E:E),Groups!A:A,Groups!BB:BB),"True","False")</f>
        <v>True</v>
      </c>
      <c r="CJ156" s="25" t="str">
        <f>IF(_xlfn.XLOOKUP(_xlfn.XLOOKUP(B156,'Base stats'!B:B,'Base stats'!E:E),Groups!A:A,Groups!BA:BA),"True","False")</f>
        <v>False</v>
      </c>
    </row>
    <row r="157" spans="1:88" ht="16.5" thickTop="1" thickBot="1" x14ac:dyDescent="0.3">
      <c r="A157" s="26" t="str">
        <f>_xlfn.XLOOKUP(B157,'Base stats'!B:B,'Base stats'!A:A)</f>
        <v>Siamese cat</v>
      </c>
      <c r="B157" s="6" t="s">
        <v>910</v>
      </c>
      <c r="C157" s="28" t="s">
        <v>838</v>
      </c>
      <c r="D157" s="28" t="s">
        <v>872</v>
      </c>
      <c r="E157" s="28" t="s">
        <v>673</v>
      </c>
      <c r="F157" s="28" t="s">
        <v>673</v>
      </c>
      <c r="G157" s="28" t="s">
        <v>673</v>
      </c>
      <c r="H157" s="2">
        <f>MROUND((
  (IF(AND(_xlfn.XLOOKUP(B157,'Base stats'!B:B,'Base stats'!AL:AL)=0,BI157="None",_xlfn.XLOOKUP(_xlfn.XLOOKUP(B157,'Base stats'!B:B,'Base stats'!E:E),Groups!A:A,Groups!B:B)=0), (18 + BR157 * 2.7) * 0.5,
    IF(AND(_xlfn.XLOOKUP(B157,'Base stats'!B:B,'Base stats'!AL:AL)=0,OR(AO157&lt;0.55,AND(BI157="Intermediate",_xlfn.XLOOKUP(_xlfn.XLOOKUP(B157,'Base stats'!B:B,'Base stats'!E:E),Groups!A:A,Groups!B:B)&lt;2))), (18 + BR157 * 2.7),
      IF(OR(BI157="Advanced",_xlfn.XLOOKUP(B157,'Base stats'!B:B,'Base stats'!AL:AL)=1,_xlfn.XLOOKUP(_xlfn.XLOOKUP(B157,'Base stats'!B:B,'Base stats'!E:E),Groups!A:A,Groups!B:B)=2), (18 + BR157 * 2.7) + 250, (18 + BR157 * 2.7))
    )
  ))
  + AO157 * 80
  + IF(COUNTIF(EggMilk!K$2:K$998, A157) &gt; 0, 125, 0)
  + IF(COUNTIF(EggMilk!P$2:P$998, A157) &gt; 0, 90, 0)
  + IF(COUNTIF(EggMilk!A$2:A$998, A157) &gt; 0, 90, 0)
)
* (0.8 + 0.4 * J157)
* 0.75,25)</f>
        <v>100</v>
      </c>
      <c r="I157" s="2">
        <f>MROUND(ROUNDDOWN(_xlfn.XLOOKUP(B157,'Base stats'!B:B,'Base stats'!L:L)/3.6/(23.3/11),1),0.5)</f>
        <v>5.5</v>
      </c>
      <c r="J157" s="2">
        <f>IF(OR(_xlfn.XLOOKUP(B157,'Base stats'!B:B,'Base stats'!AB:AB)=1,_xlfn.XLOOKUP(_xlfn.XLOOKUP(B157,'Base stats'!B:B,'Base stats'!E:E),Groups!A:A,Groups!C:C)="Untamable"),1,IF(_xlfn.XLOOKUP(B157,'Base stats'!B:B,'Base stats'!AL:AL)=1,0.99,MIN(MROUND((1-0.6282*EXP(-0.459*AO157))*_xlfn.XLOOKUP(_xlfn.XLOOKUP(B157,'Base stats'!B:B,'Base stats'!E:E),Groups!A:A,Groups!C:C)*IF(_xlfn.XLOOKUP(B157,'Base stats'!B:B,'Base stats'!O:O)=1,0.5,IF(_xlfn.XLOOKUP(B157,'Base stats'!B:B,'Base stats'!O:O)=2,0,1)),0.05),IF(AO157&gt;3.5,0.985,0.95))))</f>
        <v>0</v>
      </c>
      <c r="K157" s="2">
        <f>ROUNDUP(AO157*_xlfn.XLOOKUP(_xlfn.XLOOKUP(B157,'Base stats'!B:B,'Base stats'!E:E),Groups!A:A,Groups!E:E),0)</f>
        <v>1</v>
      </c>
      <c r="L157" s="2">
        <f>IF(OR(_xlfn.XLOOKUP(_xlfn.XLOOKUP(B157,'Base stats'!B:B,'Base stats'!E:E),Groups!A:A,Groups!F:F)=2,ISNUMBER(SEARCH("SeaIce",BX157)),ISNUMBER(SEARCH("IceSheet",BX157))),-50,IF(OR(ISNUMBER(SEARCH("GlacialPlain",BX157)),ISNUMBER(SEARCH("Tundra",BX157))),-40,IF(OR(ISNUMBER(SEARCH("Alpine",BX157)),ISNUMBER(SEARCH("BorealForest",BX157)),ISNUMBER(SEARCH("ColdBog",BX157))),-30,IF(OR(ISNUMBER(SEARCH("TemperateForest",BX157)),ISNUMBER(SEARCH("TemperateSwamp",BX157))),-20,IF(_xlfn.XLOOKUP(_xlfn.XLOOKUP(B157,'Base stats'!B:B,'Base stats'!E:E),Groups!A:A,Groups!F:F)=1,-15,IF(OR(ISNUMBER(SEARCH("Desert",BX157)),ISNUMBER(SEARCH("ExtremeDesert",BX157))),-10,IF(OR(ISNUMBER(SEARCH("Grasslands",BX157)),ISNUMBER(SEARCH("TropicalRainforest",BX157)),ISNUMBER(SEARCH("TropicalSwamp",BX157))),10,0)))))))-IF(CC157="False",MIN(IFERROR(MAX(MROUND(LOG10(_xlfn.XLOOKUP(B157,'Base stats'!B:B,'Base stats'!C:C)^(2/3))*10,5),5),5),30))-_xlfn.XLOOKUP(B157,'Base stats'!B:B,'Base stats'!P:P)+IF(CC157="True",5,0)</f>
        <v>-20</v>
      </c>
      <c r="M157" s="2">
        <f>IF(OR(_xlfn.XLOOKUP(_xlfn.XLOOKUP(B157,'Base stats'!B:B,'Base stats'!E:E),Groups!A:A,Groups!G:G)=2,ISNUMBER(SEARCH("Desert",BX157)),ISNUMBER(SEARCH("ExtremeDesert",BX157)),ISNUMBER(SEARCH("LavaField",BX157))),50,IF(ISNUMBER(SEARCH("Grasslands",BX157)),45,IF(OR(_xlfn.XLOOKUP(_xlfn.XLOOKUP(B157,'Base stats'!B:B,'Base stats'!E:E),Groups!A:A,Groups!G:G)=1,ISNUMBER(SEARCH("TropicalRainforest",BX157)),ISNUMBER(SEARCH("TropicalSwamp",BX157))),40,IF(OR(ISNUMBER(SEARCH("TemperateForest",BX157)),ISNUMBER(SEARCH("TemperateSwamp",BX157))),35,IF(OR(ISNUMBER(SEARCH("Alpine",BX157)),ISNUMBER(SEARCH("BorealForest",BX157)),ISNUMBER(SEARCH("ColdBog",BX157))),30,IF(ISNUMBER(OR(ISNUMBER(SEARCH("GlacialPlain",BX157)),SEARCH("Tundra",BX157))),25,IF(OR(ISNUMBER(SEARCH("SeaIce",BX157)),ISNUMBER(SEARCH("IceSheet",BX157)),ISNUMBER(SEARCH("TropicalSwamp",BX157))),10,35)))))))+_xlfn.XLOOKUP(B157,'Base stats'!B:B,'Base stats'!Q:Q)</f>
        <v>40</v>
      </c>
      <c r="N157" s="8" t="str">
        <f>IF(
_xlfn.XLOOKUP(
_xlfn.XLOOKUP(B157,'Base stats'!B:B,'Base stats'!E:E),
Groups!A:A,
Groups!L:L
)=1,
MIN(
MROUND(
IF(
_xlfn.XLOOKUP(B157,'Animals CE'!B:B,'Animals CE'!Z:Z)&lt;=1.5,
_xlfn.XLOOKUP(B157,'Animals CE'!B:B,'Animals CE'!Z:Z)/2+0.05,
0.8+
(_xlfn.XLOOKUP(B157,'Animals CE'!B:B,'Animals CE'!Z:Z)-1.5)
*0.02
),
0.05
),
200%
),
"No"
)</f>
        <v>No</v>
      </c>
      <c r="O157" s="8" t="str">
        <f>IF(
_xlfn.XLOOKUP(
_xlfn.XLOOKUP(B157,'Base stats'!B:B,'Base stats'!E:E),
Groups!A:A,
Groups!L:L
)=1,
MIN(
MROUND(
IF(
_xlfn.XLOOKUP(B157,'Animals CE'!B:B,'Animals CE'!AA:AA)&lt;=1.5,
_xlfn.XLOOKUP(B157,'Animals CE'!B:B,'Animals CE'!AA:AA)/2+0.05,
0.8+
(_xlfn.XLOOKUP(B157,'Animals CE'!B:B,'Animals CE'!AA:AA)-1.5)
*0.02
),
0.05
),
200%
),
"No"
)</f>
        <v>No</v>
      </c>
      <c r="P157" s="2" t="str">
        <f>_xlfn.XLOOKUP(B157,'Base stats'!B:B,'Base stats'!R:R)</f>
        <v>Standard</v>
      </c>
      <c r="Q157" s="13">
        <f>MROUND((LOG10(_xlfn.XLOOKUP(B157,'Base stats'!B:B,'Base stats'!AR:AR))*(AO157^0.5)+(_xlfn.XLOOKUP(B157,'Base stats'!B:B,'Base stats'!AR:AR)/1000)^(2/3)+_xlfn.XLOOKUP(B157,'Base stats'!B:B,'Base stats'!BA:BA)/2)+0.5,0.5)</f>
        <v>2.5</v>
      </c>
      <c r="R157" s="7">
        <f>IF(Q157="No","No",MAX(1,MROUND(_xlfn.XLOOKUP(B157,'Base stats'!B:B,'Base stats'!C:C)^0.165,0.05)))</f>
        <v>1.3</v>
      </c>
      <c r="S157" s="13" t="str">
        <f>IF(_xlfn.XLOOKUP(_xlfn.XLOOKUP(B157,'Base stats'!B:B,'Base stats'!E:E),Groups!A:A,Groups!P:P)=0,"No",MROUND((LOG10(_xlfn.XLOOKUP(B157,'Base stats'!B:B,'Base stats'!AS:AS))*(AO157^0.5)+(_xlfn.XLOOKUP(B157,'Base stats'!B:B,'Base stats'!AS:AS)/1000)^(2/3)+_xlfn.XLOOKUP(B157,'Base stats'!B:B,'Base stats'!BA:BA))+_xlfn.XLOOKUP(B157,'Base stats'!B:B,'Base stats'!AY:AY)+0.5,0.5))</f>
        <v>No</v>
      </c>
      <c r="T157" s="7" t="str">
        <f>IF(S157="No","No",MAX(_xlfn.XLOOKUP(_xlfn.XLOOKUP(B157,'Base stats'!B:B,'Base stats'!E:E),Groups!A:A,Groups!Q:Q),MROUND(_xlfn.XLOOKUP(_xlfn.XLOOKUP(B157,'Base stats'!B:B,'Base stats'!E:E),Groups!A:A,Groups!Q:Q)*_xlfn.XLOOKUP(B157,'Base stats'!B:B,'Base stats'!C:C)^0.165,0.05)))</f>
        <v>No</v>
      </c>
      <c r="U157" s="7" t="str">
        <f>IF(S157="No","No",_xlfn.XLOOKUP(_xlfn.XLOOKUP(B157,'Base stats'!B:B,'Base stats'!E:E),Groups!A:A,Groups!R:R))</f>
        <v>No</v>
      </c>
      <c r="V157" s="7" t="str">
        <f>IF(S157="No","No",_xlfn.XLOOKUP(_xlfn.XLOOKUP(B157,'Base stats'!B:B,'Base stats'!E:E),Groups!A:A,Groups!S:S))</f>
        <v>No</v>
      </c>
      <c r="W157" s="7" t="str">
        <f>IF(S157="No","No",_xlfn.XLOOKUP(_xlfn.XLOOKUP(B157,'Base stats'!B:B,'Base stats'!E:E),Groups!A:A,Groups!T:T))</f>
        <v>No</v>
      </c>
      <c r="X157" s="13" t="str">
        <f>IF(_xlfn.XLOOKUP(B157,'Base stats'!B:B,'Base stats'!W:W)="No","No",MROUND((LOG10(_xlfn.XLOOKUP(B157,'Base stats'!B:B,'Base stats'!AU:AU))*(AO157^0.5)+(_xlfn.XLOOKUP(B157,'Base stats'!B:B,'Base stats'!AU:AU)/1000)^(2/3)+_xlfn.XLOOKUP(B157,'Base stats'!B:B,'Base stats'!AZ:AZ))+0.5+IF(_xlfn.XLOOKUP(_xlfn.XLOOKUP(B157,'Base stats'!B:B,'Base stats'!E:E),Groups!A:A,Groups!U:U)&lt;&gt;3,_xlfn.XLOOKUP(B157,'Base stats'!B:B,'Base stats'!BA:BA),0),0.5))</f>
        <v>No</v>
      </c>
      <c r="Y157" s="7" t="str">
        <f>IF(X157="No","No",MAX(_xlfn.XLOOKUP(_xlfn.XLOOKUP(B157,'Base stats'!B:B,'Base stats'!E:E),Groups!A:A,Groups!V:V),MROUND(_xlfn.XLOOKUP(_xlfn.XLOOKUP(B157,'Base stats'!B:B,'Base stats'!E:E),Groups!A:A,Groups!V:V)*_xlfn.XLOOKUP(B157,'Base stats'!B:B,'Base stats'!C:C)^0.165,0.05)))</f>
        <v>No</v>
      </c>
      <c r="Z157" s="7" t="str">
        <f>IF(X157="No","No",_xlfn.XLOOKUP(_xlfn.XLOOKUP(B157,'Base stats'!B:B,'Base stats'!E:E),Groups!A:A,Groups!W:W))</f>
        <v>No</v>
      </c>
      <c r="AA157" s="7" t="str">
        <f>IF(X157="No","No",_xlfn.XLOOKUP(_xlfn.XLOOKUP(B157,'Base stats'!B:B,'Base stats'!E:E),Groups!A:A,Groups!X:X))</f>
        <v>No</v>
      </c>
      <c r="AB157" s="7" t="str">
        <f>IF(X157="No","No",_xlfn.XLOOKUP(_xlfn.XLOOKUP(B157,'Base stats'!B:B,'Base stats'!E:E),Groups!A:A,Groups!Y:Y))</f>
        <v>No</v>
      </c>
      <c r="AC157" s="7" t="str">
        <f>_xlfn.XLOOKUP(Animals!B157,'Base stats'!B:B,'Base stats'!X:X)</f>
        <v>False</v>
      </c>
      <c r="AD157" s="13">
        <f>IF(_xlfn.XLOOKUP(B157,'Base stats'!B:B,'Base stats'!AT:AT)="No","No",MROUND((LOG10(_xlfn.XLOOKUP(B157,'Base stats'!B:B,'Base stats'!AT:AT))*(AO157^0.75)+(_xlfn.XLOOKUP(B157,'Base stats'!B:B,'Base stats'!AT:AT)/1000)^(2/3)+_xlfn.XLOOKUP(B157,'Base stats'!B:B,'Base stats'!AX:AX)+_xlfn.XLOOKUP(B157,'Base stats'!B:B,'Base stats'!BA:BA))+0.5,0.5))</f>
        <v>4</v>
      </c>
      <c r="AE157" s="7">
        <f>IF(AD157="No","No",MAX(_xlfn.XLOOKUP(_xlfn.XLOOKUP(B157,'Base stats'!B:B,'Base stats'!E:E),Groups!A:A,Groups!Z:Z),MROUND(_xlfn.XLOOKUP(_xlfn.XLOOKUP(B157,'Base stats'!B:B,'Base stats'!E:E),Groups!A:A,Groups!Z:Z)*_xlfn.XLOOKUP(B157,'Base stats'!B:B,'Base stats'!C:C)^0.165,0.05)))</f>
        <v>0.9</v>
      </c>
      <c r="AF157" s="7" t="str">
        <f>IF(AD157="No","No",_xlfn.XLOOKUP(_xlfn.XLOOKUP(B157,'Base stats'!B:B,'Base stats'!E:E),Groups!A:A,Groups!AA:AA))</f>
        <v>Teeth</v>
      </c>
      <c r="AG157" s="7" t="str">
        <f>IF(AD157="No","No",_xlfn.XLOOKUP(_xlfn.XLOOKUP(B157,'Base stats'!B:B,'Base stats'!E:E),Groups!A:A,Groups!AB:AB))</f>
        <v>canines</v>
      </c>
      <c r="AH157" s="7" t="str">
        <f>IF(AD157="No","No",_xlfn.XLOOKUP(_xlfn.XLOOKUP(B157,'Base stats'!B:B,'Base stats'!E:E),Groups!A:A,Groups!AC:AC))</f>
        <v>Bite</v>
      </c>
      <c r="AI157" s="13">
        <f>IF(_xlfn.XLOOKUP(_xlfn.XLOOKUP(B157,'Base stats'!B:B,'Base stats'!E:E),Groups!A:A,Groups!AD:AD)=0,"No",MROUND((LOG10(_xlfn.XLOOKUP(B157,'Base stats'!B:B,'Base stats'!AS:AS))*(AO157^0.75)+(_xlfn.XLOOKUP(B157,'Base stats'!B:B,'Base stats'!AS:AS)/1000)^(2/3)+_xlfn.XLOOKUP(B157,'Base stats'!B:B,'Base stats'!AY:AY)+_xlfn.XLOOKUP(B157,'Base stats'!B:B,'Base stats'!BA:BA))+0.5,0.5))</f>
        <v>3.5</v>
      </c>
      <c r="AJ157" s="7">
        <f>IF(AI157="No","No",MAX(_xlfn.XLOOKUP(_xlfn.XLOOKUP(B157,'Base stats'!B:B,'Base stats'!E:E),Groups!A:A,Groups!AE:AE),MROUND(_xlfn.XLOOKUP(_xlfn.XLOOKUP(B157,'Base stats'!B:B,'Base stats'!E:E),Groups!A:A,Groups!AE:AE)*IF(_xlfn.XLOOKUP(_xlfn.XLOOKUP(B157,'Base stats'!B:B,'Base stats'!E:E),Groups!A:A,Groups!AJ:AJ)="Photonozoa",0.6,1)*_xlfn.XLOOKUP(B157,'Base stats'!B:B,'Base stats'!C:C)^0.165,0.05)))</f>
        <v>0.85000000000000009</v>
      </c>
      <c r="AK157" s="7" t="str">
        <f>IF(AI157="No","No",_xlfn.XLOOKUP(_xlfn.XLOOKUP(B157,'Base stats'!B:B,'Base stats'!E:E),Groups!A:A,Groups!AF:AF))</f>
        <v>FrontLeftPaw, FrontRightPaw</v>
      </c>
      <c r="AL157" s="7" t="str">
        <f>IF(AI157="No","No",_xlfn.XLOOKUP(_xlfn.XLOOKUP(B157,'Base stats'!B:B,'Base stats'!E:E),Groups!A:A,Groups!AG:AG))</f>
        <v>left claw, right claw</v>
      </c>
      <c r="AM157" s="7" t="str">
        <f>IF(AI157="No","No",_xlfn.XLOOKUP(_xlfn.XLOOKUP(B157,'Base stats'!B:B,'Base stats'!E:E),Groups!A:A,Groups!AH:AH))</f>
        <v>Scratch</v>
      </c>
      <c r="AN157" s="2">
        <f t="shared" si="14"/>
        <v>15</v>
      </c>
      <c r="AO157" s="2">
        <f>MROUND(IF(AND(_xlfn.XLOOKUP(B157,'Base stats'!B:B,'Base stats'!C:C)&gt;=0.5,_xlfn.XLOOKUP(B157,'Base stats'!B:B,'Base stats'!C:C)&lt;=0.8),
IF(_xlfn.XLOOKUP(B157,'Base stats'!B:B,'Base stats'!C:C)&lt;0.1,0.05,IF(_xlfn.XLOOKUP(B157,'Base stats'!B:B,'Base stats'!C:C)&lt;=70,(_xlfn.XLOOKUP(B157,'Base stats'!B:B,'Base stats'!C:C)/70)^0.426489913056526,IF(_xlfn.XLOOKUP(B157,'Base stats'!B:B,'Base stats'!C:C)&lt;=400,(_xlfn.XLOOKUP(B157,'Base stats'!B:B,'Base stats'!C:C)/70)^0.572811455315093,IF(_xlfn.XLOOKUP(B157,'Base stats'!B:B,'Base stats'!C:C)&lt;=2000,2.71391647193063*(_xlfn.XLOOKUP(B157,'Base stats'!B:B,'Base stats'!C:C)/400)^0.252459582904293,3.74314280240376*(_xlfn.XLOOKUP(B157,'Base stats'!B:B,'Base stats'!C:C)/2000)^0.357012633876913)))),
IF(_xlfn.XLOOKUP(B157,'Base stats'!B:B,'Base stats'!C:C)&lt;0.1,0.05,IF(_xlfn.XLOOKUP(B157,'Base stats'!B:B,'Base stats'!C:C)&lt;0.4,0.1,IF(_xlfn.XLOOKUP(B157,'Base stats'!B:B,'Base stats'!C:C)&lt;=70,(_xlfn.XLOOKUP(B157,'Base stats'!B:B,'Base stats'!C:C)/70)^0.445823913056526,IF(_xlfn.XLOOKUP(B157,'Base stats'!B:B,'Base stats'!C:C)&lt;=400,(_xlfn.XLOOKUP(B157,'Base stats'!B:B,'Base stats'!C:C)/70)^0.572811455315093,IF(_xlfn.XLOOKUP(B157,'Base stats'!B:B,'Base stats'!C:C)&lt;=2000,2.71391647193063*(_xlfn.XLOOKUP(B157,'Base stats'!B:B,'Base stats'!C:C)/400)^0.252459582904293,3.74314280240376*(_xlfn.XLOOKUP(B157,'Base stats'!B:B,'Base stats'!C:C)/2000)^0.357012633876913)))))),
IF(_xlfn.XLOOKUP(B157,'Base stats'!B:B,'Base stats'!C:C)&lt;0.1,0.05,IF(_xlfn.XLOOKUP(B157,'Base stats'!B:B,'Base stats'!C:C)&lt;=100,0.05,IF(_xlfn.XLOOKUP(B157,'Base stats'!B:B,'Base stats'!C:C)&lt;=250,0.1,IF(_xlfn.XLOOKUP(B157,'Base stats'!B:B,'Base stats'!C:C)&lt;=4000,0.25,0.5)))))</f>
        <v>0.30000000000000004</v>
      </c>
      <c r="AP157" s="8">
        <f>MROUND(AO157*_xlfn.XLOOKUP(_xlfn.XLOOKUP(B157,'Base stats'!B:B,'Base stats'!E:E),Groups!A:A,Groups!AI:AI)*_xlfn.XLOOKUP(B157,'Base stats'!B:B,'Base stats'!Z:Z),0.05)</f>
        <v>0.35000000000000003</v>
      </c>
      <c r="AQ157" s="8">
        <f>MAX(0.01,MROUND(IF(CC157="True",0.196*(AO157*100*1000)^0.889,IF(_xlfn.XLOOKUP(_xlfn.XLOOKUP(B157,'Base stats'!B:B,'Base stats'!E:E),Groups!A:A,Groups!AJ:AJ)="Bird",10.5*(AO157*100*1000)^0.681,4.82*(AO157*100*1000)^0.734))/(4.82*(1*100*1000)^0.734)/IF(AO157&lt;3.5,2,IF(AO157=3.5,1.5,1.25))*(1+0.132282374779864/(AO157^0.994035016789033+0.00905238001496948)),0.05))</f>
        <v>0.30000000000000004</v>
      </c>
      <c r="AR157" s="9">
        <f>IFERROR(MROUND(_xlfn.XLOOKUP(B157,'Base stats'!B:B,'Base stats'!H:H)/IF(_xlfn.XLOOKUP(B157,'Base stats'!B:B,'Base stats'!I:I)&lt;&gt;1,(122.5/70),1.2),IF(_xlfn.XLOOKUP(B157,'Base stats'!B:B,'Base stats'!H:H)&gt;=30,5,IF(_xlfn.XLOOKUP(B157,'Base stats'!B:B,'Base stats'!H:H)&gt;=15,3,IF(_xlfn.XLOOKUP(B157,'Base stats'!B:B,'Base stats'!H:H)&gt;=10,2,1)))),"Immortal")</f>
        <v>15</v>
      </c>
      <c r="AS157" s="35">
        <f>IFERROR(IF(OR(_xlfn.XLOOKUP(B157,'Base stats'!B:B,'Base stats'!F:F)="Atypical reproduction",_xlfn.XLOOKUP(B157,'Base stats'!B:B,'Base stats'!F:F)="Lay eggs"),"Lay eggs",MIN(20,MAX(5.5,ROUND(((_xlfn.XLOOKUP(B157,'Base stats'!B:B,'Base stats'!F:F)-25)*(14.5/615) + 5.5)*2,0)/2))),"Unknown")</f>
        <v>6.5</v>
      </c>
      <c r="AT157" s="8">
        <f>IF(_xlfn.XLOOKUP(B157,'Base stats'!B:B,'Base stats'!G:G)="Atypical reproduction","No",IFERROR(MAX(IF(_xlfn.XLOOKUP(B157,'Base stats'!B:B,'Base stats'!G:G)&lt;0.5,0.2,0.3),MROUND(_xlfn.XLOOKUP(B157,'Base stats'!B:B,'Base stats'!G:G)/(365/60),0.2)),"Unknown"))</f>
        <v>0.3</v>
      </c>
      <c r="AU157" s="8">
        <f t="shared" si="15"/>
        <v>0.15000000000000002</v>
      </c>
      <c r="AV157" s="8">
        <f>IFERROR(IFERROR(MROUND(_xlfn.XLOOKUP(B157,'Base stats'!B:B,'Base stats'!J:J),0.1),"Lay eggs"),"Cannot breed")</f>
        <v>4</v>
      </c>
      <c r="AW157" s="2" t="str">
        <f t="shared" si="16"/>
        <v>false</v>
      </c>
      <c r="AX157" s="2" t="str">
        <f>IF(_xlfn.XLOOKUP(_xlfn.XLOOKUP(Animals!B157,'Base stats'!B:B,'Base stats'!E:E),Groups!A:A,Groups!AK:AK)=1,"true","false")</f>
        <v>false</v>
      </c>
      <c r="AY157" s="25" t="str">
        <f>IF(_xlfn.XLOOKUP(B157,'Base stats'!B:B,'Base stats'!Y:Y)="Liquor","Liquor, CarnivoreAnimalStrict",IF(AND(_xlfn.XLOOKUP(B157,'Base stats'!B:B,'Base stats'!Y:Y)="Carnivore",_xlfn.XLOOKUP(_xlfn.XLOOKUP(B157,'Base stats'!B:B,'Base stats'!E:E),Groups!A:A,Groups!AJ:AJ)="Photonozoa"),"CarnivoreAnimalStrict, OvivoreAnimal",IF(_xlfn.XLOOKUP(B157,'Base stats'!B:B,'Base stats'!Y:Y)="Carnivore","CarnivoreAnimal, OvivoreAnimal",IF(_xlfn.XLOOKUP(B157,'Base stats'!B:B,'Base stats'!Y:Y)="Dendrovore","VegetarianRoughAnimal, DendrovoreAnimal",IF(_xlfn.XLOOKUP(B157,'Base stats'!B:B,'Base stats'!Y:Y)="Herbivore","VegetarianRoughAnimal",IF(_xlfn.XLOOKUP(B157,'Base stats'!B:B,'Base stats'!Y:Y)="OmnivoreRough","OmnivoreRoughAnimal, OvivoreAnimal","OmnivoreAnimal, OvivoreAnimal"))))))</f>
        <v>CarnivoreAnimal, OvivoreAnimal</v>
      </c>
      <c r="AZ157" s="2" t="str">
        <f>IF(_xlfn.XLOOKUP(_xlfn.XLOOKUP(B157,'Base stats'!B:B,'Base stats'!E:E),Groups!A:A,Groups!D:D)=1,MROUND((1-J157)*5+1,2)*IF(J157&lt;=0.4,2,1),"No")</f>
        <v>No</v>
      </c>
      <c r="BA157" s="2" t="str">
        <f>IF(AND(_xlfn.XLOOKUP(B157,'Base stats'!B:B,'Base stats'!AH:AH)="&lt;li&gt;Seal&lt;/li&gt;",G157="Odyssey"),"&lt;li&gt;AEXP_Seal&lt;/li&gt;",_xlfn.XLOOKUP(B157,'Base stats'!B:B,'Base stats'!AH:AH))</f>
        <v>&lt;li&gt;Cat&lt;/li&gt;</v>
      </c>
      <c r="BB157" s="2" t="str">
        <f>_xlfn.XLOOKUP(B157,'Base stats'!B:B,'Base stats'!AG:AG)</f>
        <v>Leather_Light</v>
      </c>
      <c r="BC157" s="23" t="str">
        <f>_xlfn.XLOOKUP(_xlfn.XLOOKUP(B157,'Base stats'!B:B,'Base stats'!E:E),Groups!A:A,Groups!AL:AL)</f>
        <v>QuadrupedAnimalWithPawsAndTail</v>
      </c>
      <c r="BD157" s="23">
        <f>MIN(1,MROUND(IF(AND(AO157&lt;0.5,_xlfn.XLOOKUP(B157,'Base stats'!B:B,'Base stats'!AA:AA)=0),0,IF(OR(_xlfn.XLOOKUP(Animals!B157,'Base stats'!B:B,'Base stats'!O:O)=2,_xlfn.XLOOKUP(_xlfn.XLOOKUP(B157,'Base stats'!B:B,'Base stats'!E:E),Groups!A:A,Groups!AN:AN)=0),0,_xlfn.XLOOKUP(_xlfn.XLOOKUP(B157,'Base stats'!B:B,'Base stats'!E:E),Groups!A:A,Groups!AN:AN)/IF(_xlfn.XLOOKUP(Animals!B157,'Base stats'!B:B,'Base stats'!O:O)=1,2,1)))+_xlfn.XLOOKUP(B157,'Base stats'!B:B,'Base stats'!AC:AC),0.005))</f>
        <v>0</v>
      </c>
      <c r="BE157" s="23">
        <f>MIN(1,MROUND(IF(AND(AO157&lt;0.5,_xlfn.XLOOKUP(B157,'Base stats'!B:B,'Base stats'!AA:AA)=0),0,IF(_xlfn.XLOOKUP(_xlfn.XLOOKUP(B157,'Base stats'!B:B,'Base stats'!E:E),Groups!A:A,Groups!AO:AO)=0,0,_xlfn.XLOOKUP(_xlfn.XLOOKUP(B157,'Base stats'!B:B,'Base stats'!E:E),Groups!A:A,Groups!AO:AO)/IF(_xlfn.XLOOKUP(Animals!B157,'Base stats'!B:B,'Base stats'!O:O)=2,3,1)))+_xlfn.XLOOKUP(B157,'Base stats'!B:B,'Base stats'!AD:AD),0.005))</f>
        <v>0</v>
      </c>
      <c r="BF157" s="2">
        <f>IF(J157&gt;0.3,"No",_xlfn.XLOOKUP(_xlfn.XLOOKUP(Animals!B157,'Base stats'!B:B,'Base stats'!E:E),Groups!A:A,Groups!AP:AP))</f>
        <v>1</v>
      </c>
      <c r="BG157" s="2">
        <f>IF(AND(J157&lt;=0.65,_xlfn.XLOOKUP(_xlfn.XLOOKUP(Animals!B157,'Base stats'!B:B,'Base stats'!E:E),Groups!A:A,Groups!AP:AP)&lt;&gt;"No",_xlfn.XLOOKUP(_xlfn.XLOOKUP(B157,'Base stats'!B:B,'Base stats'!E:E),Groups!A:A,Groups!D:D)=0),MROUND((80/3)*IF(_xlfn.XLOOKUP(B157,'Base stats'!B:B,'Base stats'!O:O)=2,0.2,AO157) + 24*(1-IF(BF157="No",0,BF157)) + 16/3, 12),"No")</f>
        <v>12</v>
      </c>
      <c r="BH157" s="2">
        <f>IF(AND(_xlfn.XLOOKUP(_xlfn.XLOOKUP(B157,'Base stats'!B:B,'Base stats'!E:E),Groups!A:A,Groups!AQ:AQ)=1,AO157&lt;=0.35),8,12)</f>
        <v>12</v>
      </c>
      <c r="BI157" s="2" t="str">
        <f>IF(_xlfn.XLOOKUP(_xlfn.XLOOKUP(B157,'Base stats'!B:B,'Base stats'!E:E),Groups!A:A,Groups!D:D)=0,_xlfn.XLOOKUP(_xlfn.XLOOKUP(B157,'Base stats'!B:B,'Base stats'!E:E),Groups!A:A,Groups!AR:AR),"None")</f>
        <v>Intermediate</v>
      </c>
      <c r="BJ157" s="2" t="str">
        <f>IF(AND(_xlfn.XLOOKUP(_xlfn.XLOOKUP(B157,'Base stats'!B:B,'Base stats'!E:E),Groups!A:A,Groups!AS:AS)=1,OR(_xlfn.XLOOKUP(B157,'Base stats'!B:B,'Base stats'!Y:Y)="Carnivore",_xlfn.XLOOKUP(B157,'Base stats'!B:B,'Base stats'!Y:Y)="Omnivore")),"true","false")</f>
        <v>true</v>
      </c>
      <c r="BK157" s="2">
        <f>IF(BJ157="true",MROUND(IF(AND(AO157&gt;0.5,OR(_xlfn.XLOOKUP(_xlfn.XLOOKUP(B157,'Base stats'!B:B,'Base stats'!E:E),Groups!A:A,Groups!AJ:AJ)="Photonozoa",_xlfn.XLOOKUP(_xlfn.XLOOKUP(B157,'Base stats'!B:B,'Base stats'!E:E),Groups!A:A,Groups!AJ:AJ)="Mammal")),Animals!AO157*1.75*IF(AW157="true",1.5,1),IF(AO157&lt;0.5,Animals!AO157*0.5,Animals!AO157)),IF(AO157&gt;2,0.5,IF(AO157&gt;0.5,0.25,0.1))),"No")</f>
        <v>0.2</v>
      </c>
      <c r="BL157" s="2">
        <f t="shared" si="17"/>
        <v>1</v>
      </c>
      <c r="BM157" s="25" t="str">
        <f>IF(_xlfn.XLOOKUP(B157,'Base stats'!B:B,'Base stats'!AN:AN)="Standard","No",MROUND((_xlfn.XLOOKUP(B157,'Base stats'!B:B,'Base stats'!AN:AN)/3.6)/I157,0.1))</f>
        <v>No</v>
      </c>
      <c r="BN157" s="25" t="str">
        <f t="shared" si="18"/>
        <v>false</v>
      </c>
      <c r="BO157" s="25" t="str">
        <f>IF(AND(OR(_xlfn.XLOOKUP(B157,'Base stats'!B:B,'Base stats'!Y:Y)="Carnivore",_xlfn.XLOOKUP(B157,'Base stats'!B:B,'Base stats'!Y:Y)="Omnivore",_xlfn.XLOOKUP(B157,'Base stats'!B:B,'Base stats'!Y:Y)="OmnivoreRough"),_xlfn.XLOOKUP(_xlfn.XLOOKUP(B157,'Base stats'!B:B,'Base stats'!E:E),Groups!A:A,Groups!AT:AT)=1),"true","false")</f>
        <v>false</v>
      </c>
      <c r="BP157" s="25" t="str" cm="1">
        <f t="array" ref="BP157">IF(
  _xlfn.TEXTJOIN(", ",TRUE,
    IF(AND(BJ157="true",AO157&gt;0.5,BI157&lt;&gt;"None"),"AttackTarget",""),
    IF(AND(_xlfn.XLOOKUP(_xlfn.XLOOKUP(B157,'Base stats'!B:B,'Base stats'!E:E),Groups!A:A,Groups!AJ:AJ="Mammal"),OR(_xlfn.XLOOKUP(B157,'Base stats'!B:B,'Base stats'!Y:Y)="Omnivore",_xlfn.XLOOKUP(B157,'Base stats'!B:B,'Base stats'!Y:Y)="OmnivoreRough")),"Forage",""),
    IF(BG157&lt;=36,"Comfort",""),
    IF(_xlfn.XLOOKUP(B157,'Base stats'!B:B,'Base stats'!AE:AE)&lt;&gt;"No",_xlfn.XLOOKUP(B157,'Base stats'!B:B,'Base stats'!AE:AE),"")
  ) = "",
  "No",
  _xlfn.TEXTJOIN(", ",TRUE,
    IF(AND(BJ157="true",AO157&gt;0.5,BI157&lt;&gt;"None"),"AttackTarget",""),
    IF(AND(_xlfn.XLOOKUP(_xlfn.XLOOKUP(B157,'Base stats'!B:B,'Base stats'!E:E),Groups!A:A,Groups!AJ:AJ="Mammal"),OR(_xlfn.XLOOKUP(B157,'Base stats'!B:B,'Base stats'!Y:Y)="Omnivore",_xlfn.XLOOKUP(B157,'Base stats'!B:B,'Base stats'!Y:Y)="OmnivoreRough")),"Forage",""),
    IF(BG157&lt;=36,"Comfort",""),
    IF(_xlfn.XLOOKUP(B157,'Base stats'!B:B,'Base stats'!AE:AE)&lt;&gt;"No",_xlfn.XLOOKUP(B157,'Base stats'!B:B,'Base stats'!AE:AE),"")
  )
)</f>
        <v>Comfort</v>
      </c>
      <c r="BQ157" s="25" t="str">
        <f>IF(
   AND(
      'Base stats'!AN157="Standard",_xlfn.XLOOKUP(_xlfn.XLOOKUP(B157,'Base stats'!B:B,'Base stats'!E:E),Groups!A:A,Groups!AU:AU)=0,
      OR(
      BO157="True"
      )
   ),
   10,
   IF(
       OR(BM157&lt;&gt;"No",_xlfn.XLOOKUP(_xlfn.XLOOKUP(B157,'Base stats'!B:B,'Base stats'!E:E),Groups!A:A,Groups!AU:AU)=1),
      1,
      "No"
   )
)</f>
        <v>No</v>
      </c>
      <c r="BR157" s="9">
        <f>MROUND((1 + ((0.2*IF(OR(Q157="No",R157="No",R157=0),0,Q157/R157)
+IF(OR(V157="No",S157="No",T157="No"),0,S157/T157*(LEN(V157)-LEN(SUBSTITUTE(V157,",",""))+1))
+IF(OR(X157="No",Y157="No"),0,X157/Y157)
+IF(OR(AD157="No",AE157="No"),0,AD157/AE157)
+IF(OR(AL157="No",AI157="No",AJ157="No"),0,AI157/AJ157*(LEN(AL157)-LEN(SUBSTITUTE(AL157,",",""))+1))
)/(0.2*IF(OR(Q157="No",R157="No",R157=0),0,1)
+IF(OR(V157="No",S157="No",T157="No"),0,LEN(V157)-LEN(SUBSTITUTE(V157,",",""))+1)
+IF(OR(X157="No",Y157="No"),0,1)
+IF(OR(AD157="No",AE157="No"),0,1)
+IF(OR(AL157="No",AI157="No",AJ157="No"),0,LEN(AL157)-LEN(SUBSTITUTE(AL157,",",""))+1))*62%)* 2)*(1 + (AP157 / (IF(_xlfn.XLOOKUP(_xlfn.XLOOKUP(B157,'Base stats'!B:B,'Base stats'!E:E),Groups!A:A,Groups!AJ:AJ)="Photonozoa",0.3,1)) + _xlfn.XLOOKUP(B157,'Base stats'!B:B,'Base stats'!AV:AV) * 1.8) * 2) * 2.5 + 10 + I157 * 2,5)+IF(_xlfn.XLOOKUP(B157,'Base stats'!B:B,'Base stats'!AK:AK)=1,50,0)</f>
        <v>45</v>
      </c>
      <c r="BS157" s="8">
        <f t="shared" si="19"/>
        <v>0.30000000000000004</v>
      </c>
      <c r="BT157" s="8" t="str">
        <f>_xlfn.XLOOKUP(B157,'Base stats'!B:B,'Base stats'!AF:AF)</f>
        <v>No</v>
      </c>
      <c r="BU157" s="2" t="str">
        <f>IF(AND(J157&lt;=0.95,OR(_xlfn.XLOOKUP(B157,'Base stats'!B:B,'Base stats'!AK:AK)=1,_xlfn.XLOOKUP(B157,'Base stats'!B:B,'Base stats'!Y:Y)="Carnivore",_xlfn.XLOOKUP(B157,'Base stats'!B:B,'Base stats'!Y:Y)="Omnivore",BE157&gt;0.1)),"true","false")</f>
        <v>true</v>
      </c>
      <c r="BV157" s="2" t="str">
        <f>IF(_xlfn.XLOOKUP(B157,'Base stats'!B:B,'Base stats'!AI:AI)=1,"true","false")</f>
        <v>false</v>
      </c>
      <c r="BW157" s="25" t="str">
        <f>IF(E157="BaseInsect","AnimalInsect",
IF(J157&gt;0.95,"AnimalExotic",
_xlfn.TEXTJOIN(", ",TRUE,
IF(OR(_xlfn.XLOOKUP(B157,'Base stats'!B:B,'Base stats'!AM:AM)=1,AND(_xlfn.XLOOKUP(B157,'Base stats'!B:B,'Base stats'!O:O)=0,_xlfn.XLOOKUP(_xlfn.XLOOKUP(B157,'Base stats'!B:B,'Base stats'!E:E),Groups!A:A,Groups!B:B)&gt;0)),"AnimalUncommon","AnimalCommon"),
IF(AND(_xlfn.XLOOKUP(B157,'Base stats'!B:B,'Base stats'!O:O)=2,_xlfn.XLOOKUP(_xlfn.XLOOKUP(B157,'Base stats'!B:B,'Base stats'!E:E),Groups!A:A,Groups!D:D)=0),"AnimalPet",IF(AND(_xlfn.XLOOKUP(B157,'Base stats'!B:B,'Base stats'!O:O)&lt;&gt;0,_xlfn.XLOOKUP(_xlfn.XLOOKUP(B157,'Base stats'!B:B,'Base stats'!E:E),Groups!A:A,Groups!D:D)&lt;&gt;0),"AnimalFarm","")),
IF(OR(_xlfn.XLOOKUP(B157,'Base stats'!B:B,'Base stats'!AK:AK)=1,AND(BI157&lt;&gt;"None",BR157&gt;=60),ISNUMBER(SEARCH("Attack target",BP157))),"AnimalFighter","")
)))</f>
        <v>AnimalCommon, AnimalPet</v>
      </c>
      <c r="BX157" s="25" t="str">
        <f>IF(G157="None",TRIM(
SUBSTITUTE(
IF(COUNTIF(Biomes!B$2:B$259,"="&amp;$C157)&gt;0,Biomes!B$1&amp;", ","")&amp;
IF(COUNTIF(Biomes!C$2:C$259,"="&amp;$C157)&gt;0,Biomes!C$1&amp;", ","")&amp;
IF(COUNTIF(Biomes!D$2:D$259,"="&amp;$C157)&gt;0,Biomes!D$1&amp;", ","")&amp;
IF(COUNTIF(Biomes!F$2:F$259,"="&amp;$C157)&gt;0,Biomes!F$1&amp;", ","")&amp;
IF(COUNTIF(Biomes!G$2:G$259,"="&amp;$C157)&gt;0,Biomes!G$1&amp;", ","")&amp;
IF(COUNTIF(Biomes!H$2:H$259,"="&amp;$C157)&gt;0,Biomes!H$1&amp;", ","")&amp;
IF(COUNTIF(Biomes!I$2:I$259,"="&amp;$C157)&gt;0,Biomes!I$1&amp;", ","")&amp;
IF(COUNTIF(Biomes!J$2:J$259,"="&amp;$C157)&gt;0,Biomes!J$1&amp;", ","")&amp;
IF(COUNTIF(Biomes!M$2:M$259,"="&amp;$C157)&gt;0,Biomes!M$1&amp;", ","")&amp;
IF(COUNTIF(Biomes!N$2:N$259,"="&amp;$C157)&gt;0,Biomes!N$1&amp;", ","")&amp;
IF(COUNTIF(Biomes!O$2:O$259,"="&amp;$C157)&gt;0,Biomes!O$1&amp;", ","")&amp;
IF(COUNTIF(Biomes!P$2:P$259,"="&amp;$C157)&gt;0,Biomes!P$1&amp;", ","")&amp;
IF(COUNTIF(Biomes!K$2:K$259,"="&amp;$C157)&gt;0,Biomes!K$1&amp;", ","")&amp;
IF(COUNTIF(Biomes!Q$3:Q$259,"="&amp;$C157)&gt;0,Biomes!Q$1&amp;", ","")&amp;
IF(COUNTIF(Biomes!L$2:L$259,"="&amp;$C157)&gt;0,Biomes!L$1&amp;", ","")&amp;
IF(COUNTIF(Biomes!E$2:E$259,"="&amp;$C157)&gt;0,Biomes!E$1&amp;", ","")&amp;IF(COUNTIF(Biomes!S$2:S$259,"="&amp;$C157)&gt;0,Biomes!S$1&amp;", ","")&amp;
IF(COUNTIF(Biomes!R$2:R$259,"="&amp;$C157)&gt;0,Biomes!R$1&amp;", ",""),", ","")
),_xlfn.XLOOKUP(B157,B:B,BX:BX))</f>
        <v/>
      </c>
      <c r="BY157" s="25" t="str">
        <f>IF(_xlfn.XLOOKUP(B157,'Base stats'!B:B,'Base stats'!AJ:AJ)=1,"true","false")</f>
        <v>false</v>
      </c>
      <c r="BZ157" s="25">
        <f>IF(_xlfn.XLOOKUP(B157,'Base stats'!B:B,'Base stats'!N:N)=1,"No",MAX(0.001,MIN(MROUND(IF(AND(BJ157="True",CC157="False"),POWER(10,3.47*LOG10(_xlfn.XLOOKUP(B157,'Base stats'!B:B,'Base stats'!C:C)*1000)^-0.96),POWER(10,4.15*LOG10(_xlfn.XLOOKUP(B157,'Base stats'!B:B,'Base stats'!C:C)*1000)^-0.73))*IF(_xlfn.XLOOKUP(B157,'Base stats'!B:B,'Base stats'!AK:AK)=1,0.5,1)*IF(_xlfn.XLOOKUP(B157,'Base stats'!B:B,'Base stats'!AM:AM)=1,0.1,1)/100,IF(_xlfn.XLOOKUP(B157,'Base stats'!B:B,'Base stats'!AM:AM)=1,0.001,0.025)),0.5)))</f>
        <v>0.1</v>
      </c>
      <c r="CA157" s="25" t="str">
        <f>IF(P157="Standard","No",MAX(0.001,MIN(MROUND(IF(AND(BJ157="True",CC157="False"),POWER(10,3.47*LOG10(_xlfn.XLOOKUP(B157,'Base stats'!B:B,'Base stats'!C:C)*1000)^-0.96),POWER(10,4.15*LOG10(_xlfn.XLOOKUP(B157,'Base stats'!B:B,'Base stats'!C:C)*1000)^-0.73))*IF(_xlfn.XLOOKUP(B157,'Base stats'!B:B,'Base stats'!AM:AM)=1,0.1,1)*_xlfn.XLOOKUP(B157,'Base stats'!B:B,'Base stats'!R:R)/100,IF(_xlfn.XLOOKUP(B157,'Base stats'!B:B,'Base stats'!AM:AM)=1,0.001,0.025)),0.5)))</f>
        <v>No</v>
      </c>
      <c r="CB157" s="25" t="str">
        <f>IF(_xlfn.XLOOKUP(_xlfn.XLOOKUP(B157,'Base stats'!B:B,'Base stats'!E:E),Groups!A:A,Groups!AJ:AJ)="Mammal","True","False")</f>
        <v>True</v>
      </c>
      <c r="CC157" s="25" t="str">
        <f>IF(OR(_xlfn.XLOOKUP(_xlfn.XLOOKUP(B157,'Base stats'!B:B,'Base stats'!E:E),Groups!A:A,Groups!AJ:AJ)="Reptile",_xlfn.XLOOKUP(_xlfn.XLOOKUP(B157,'Base stats'!B:B,'Base stats'!E:E),Groups!A:A,Groups!AJ:AJ)="Amphibian",_xlfn.XLOOKUP(_xlfn.XLOOKUP(B157,'Base stats'!B:B,'Base stats'!E:E),Groups!A:A,Groups!AJ:AJ)="Invertebrate"),"True","False")</f>
        <v>False</v>
      </c>
      <c r="CD157" s="25" t="str">
        <f t="shared" si="20"/>
        <v>False</v>
      </c>
      <c r="CE157" s="25" t="str">
        <f>IF(_xlfn.XLOOKUP(_xlfn.XLOOKUP(B157,'Base stats'!B:B,'Base stats'!E:E),Groups!A:A,Groups!AX:AX),"True","False")</f>
        <v>False</v>
      </c>
      <c r="CF157" s="25" t="str">
        <f>IF(_xlfn.XLOOKUP(_xlfn.XLOOKUP(B157,'Base stats'!B:B,'Base stats'!E:E),Groups!A:A,Groups!AY:AY),"True","False")</f>
        <v>False</v>
      </c>
      <c r="CG157" s="25" t="str">
        <f>IF(_xlfn.XLOOKUP(_xlfn.XLOOKUP(B157,'Base stats'!B:B,'Base stats'!E:E),Groups!A:A,Groups!AW:AW),"True","False")</f>
        <v>False</v>
      </c>
      <c r="CH157" s="25" t="str">
        <f>IF(
OR(
_xlfn.XLOOKUP(_xlfn.XLOOKUP(B157,'Base stats'!B:B,'Base stats'!E:E),Groups!A:A,Groups!AZ:AZ)=0,
AND(
_xlfn.XLOOKUP(B157,'Base stats'!B:B,'Base stats'!Y:Y)&lt;&gt;"Carnivore",
_xlfn.XLOOKUP(B157,'Base stats'!B:B,'Base stats'!Y:Y)&lt;&gt;"Omnivore",
_xlfn.XLOOKUP(B157,'Base stats'!B:B,'Base stats'!Y:Y)&lt;&gt;"OmnivoreRough"
)
),
"No",
IF(
_xlfn.XLOOKUP(_xlfn.XLOOKUP(B157,'Base stats'!B:B,'Base stats'!E:E),Groups!A:A,Groups!AZ:AZ)=1,
"Flesh",
IF(
_xlfn.XLOOKUP(_xlfn.XLOOKUP(B157,'Base stats'!B:B,'Base stats'!E:E),Groups!A:A,Groups!AZ:AZ)=2,
"Bone",
""
)
)
)</f>
        <v>No</v>
      </c>
      <c r="CI157" s="25" t="str">
        <f>IF(_xlfn.XLOOKUP(_xlfn.XLOOKUP(B157,'Base stats'!B:B,'Base stats'!E:E),Groups!A:A,Groups!BB:BB),"True","False")</f>
        <v>True</v>
      </c>
      <c r="CJ157" s="25" t="str">
        <f>IF(_xlfn.XLOOKUP(_xlfn.XLOOKUP(B157,'Base stats'!B:B,'Base stats'!E:E),Groups!A:A,Groups!BA:BA),"True","False")</f>
        <v>False</v>
      </c>
    </row>
    <row r="158" spans="1:88" ht="16.5" thickTop="1" thickBot="1" x14ac:dyDescent="0.3">
      <c r="A158" s="26" t="str">
        <f>_xlfn.XLOOKUP(B158,'Base stats'!B:B,'Base stats'!A:A)</f>
        <v>Somali cat</v>
      </c>
      <c r="B158" s="6" t="s">
        <v>911</v>
      </c>
      <c r="C158" s="28" t="s">
        <v>839</v>
      </c>
      <c r="D158" s="28" t="s">
        <v>872</v>
      </c>
      <c r="E158" s="28" t="s">
        <v>673</v>
      </c>
      <c r="F158" s="28" t="s">
        <v>673</v>
      </c>
      <c r="G158" s="28" t="s">
        <v>673</v>
      </c>
      <c r="H158" s="2">
        <f>MROUND((
  (IF(AND(_xlfn.XLOOKUP(B158,'Base stats'!B:B,'Base stats'!AL:AL)=0,BI158="None",_xlfn.XLOOKUP(_xlfn.XLOOKUP(B158,'Base stats'!B:B,'Base stats'!E:E),Groups!A:A,Groups!B:B)=0), (18 + BR158 * 2.7) * 0.5,
    IF(AND(_xlfn.XLOOKUP(B158,'Base stats'!B:B,'Base stats'!AL:AL)=0,OR(AO158&lt;0.55,AND(BI158="Intermediate",_xlfn.XLOOKUP(_xlfn.XLOOKUP(B158,'Base stats'!B:B,'Base stats'!E:E),Groups!A:A,Groups!B:B)&lt;2))), (18 + BR158 * 2.7),
      IF(OR(BI158="Advanced",_xlfn.XLOOKUP(B158,'Base stats'!B:B,'Base stats'!AL:AL)=1,_xlfn.XLOOKUP(_xlfn.XLOOKUP(B158,'Base stats'!B:B,'Base stats'!E:E),Groups!A:A,Groups!B:B)=2), (18 + BR158 * 2.7) + 250, (18 + BR158 * 2.7))
    )
  ))
  + AO158 * 80
  + IF(COUNTIF(EggMilk!K$2:K$998, A158) &gt; 0, 125, 0)
  + IF(COUNTIF(EggMilk!P$2:P$998, A158) &gt; 0, 90, 0)
  + IF(COUNTIF(EggMilk!A$2:A$998, A158) &gt; 0, 90, 0)
)
* (0.8 + 0.4 * J158)
* 0.75,25)</f>
        <v>100</v>
      </c>
      <c r="I158" s="2">
        <f>MROUND(ROUNDDOWN(_xlfn.XLOOKUP(B158,'Base stats'!B:B,'Base stats'!L:L)/3.6/(23.3/11),1),0.5)</f>
        <v>5.5</v>
      </c>
      <c r="J158" s="2">
        <f>IF(OR(_xlfn.XLOOKUP(B158,'Base stats'!B:B,'Base stats'!AB:AB)=1,_xlfn.XLOOKUP(_xlfn.XLOOKUP(B158,'Base stats'!B:B,'Base stats'!E:E),Groups!A:A,Groups!C:C)="Untamable"),1,IF(_xlfn.XLOOKUP(B158,'Base stats'!B:B,'Base stats'!AL:AL)=1,0.99,MIN(MROUND((1-0.6282*EXP(-0.459*AO158))*_xlfn.XLOOKUP(_xlfn.XLOOKUP(B158,'Base stats'!B:B,'Base stats'!E:E),Groups!A:A,Groups!C:C)*IF(_xlfn.XLOOKUP(B158,'Base stats'!B:B,'Base stats'!O:O)=1,0.5,IF(_xlfn.XLOOKUP(B158,'Base stats'!B:B,'Base stats'!O:O)=2,0,1)),0.05),IF(AO158&gt;3.5,0.985,0.95))))</f>
        <v>0</v>
      </c>
      <c r="K158" s="2">
        <f>ROUNDUP(AO158*_xlfn.XLOOKUP(_xlfn.XLOOKUP(B158,'Base stats'!B:B,'Base stats'!E:E),Groups!A:A,Groups!E:E),0)</f>
        <v>1</v>
      </c>
      <c r="L158" s="2">
        <f>IF(OR(_xlfn.XLOOKUP(_xlfn.XLOOKUP(B158,'Base stats'!B:B,'Base stats'!E:E),Groups!A:A,Groups!F:F)=2,ISNUMBER(SEARCH("SeaIce",BX158)),ISNUMBER(SEARCH("IceSheet",BX158))),-50,IF(OR(ISNUMBER(SEARCH("GlacialPlain",BX158)),ISNUMBER(SEARCH("Tundra",BX158))),-40,IF(OR(ISNUMBER(SEARCH("Alpine",BX158)),ISNUMBER(SEARCH("BorealForest",BX158)),ISNUMBER(SEARCH("ColdBog",BX158))),-30,IF(OR(ISNUMBER(SEARCH("TemperateForest",BX158)),ISNUMBER(SEARCH("TemperateSwamp",BX158))),-20,IF(_xlfn.XLOOKUP(_xlfn.XLOOKUP(B158,'Base stats'!B:B,'Base stats'!E:E),Groups!A:A,Groups!F:F)=1,-15,IF(OR(ISNUMBER(SEARCH("Desert",BX158)),ISNUMBER(SEARCH("ExtremeDesert",BX158))),-10,IF(OR(ISNUMBER(SEARCH("Grasslands",BX158)),ISNUMBER(SEARCH("TropicalRainforest",BX158)),ISNUMBER(SEARCH("TropicalSwamp",BX158))),10,0)))))))-IF(CC158="False",MIN(IFERROR(MAX(MROUND(LOG10(_xlfn.XLOOKUP(B158,'Base stats'!B:B,'Base stats'!C:C)^(2/3))*10,5),5),5),30))-_xlfn.XLOOKUP(B158,'Base stats'!B:B,'Base stats'!P:P)+IF(CC158="True",5,0)</f>
        <v>-20</v>
      </c>
      <c r="M158" s="2">
        <f>IF(OR(_xlfn.XLOOKUP(_xlfn.XLOOKUP(B158,'Base stats'!B:B,'Base stats'!E:E),Groups!A:A,Groups!G:G)=2,ISNUMBER(SEARCH("Desert",BX158)),ISNUMBER(SEARCH("ExtremeDesert",BX158)),ISNUMBER(SEARCH("LavaField",BX158))),50,IF(ISNUMBER(SEARCH("Grasslands",BX158)),45,IF(OR(_xlfn.XLOOKUP(_xlfn.XLOOKUP(B158,'Base stats'!B:B,'Base stats'!E:E),Groups!A:A,Groups!G:G)=1,ISNUMBER(SEARCH("TropicalRainforest",BX158)),ISNUMBER(SEARCH("TropicalSwamp",BX158))),40,IF(OR(ISNUMBER(SEARCH("TemperateForest",BX158)),ISNUMBER(SEARCH("TemperateSwamp",BX158))),35,IF(OR(ISNUMBER(SEARCH("Alpine",BX158)),ISNUMBER(SEARCH("BorealForest",BX158)),ISNUMBER(SEARCH("ColdBog",BX158))),30,IF(ISNUMBER(OR(ISNUMBER(SEARCH("GlacialPlain",BX158)),SEARCH("Tundra",BX158))),25,IF(OR(ISNUMBER(SEARCH("SeaIce",BX158)),ISNUMBER(SEARCH("IceSheet",BX158)),ISNUMBER(SEARCH("TropicalSwamp",BX158))),10,35)))))))+_xlfn.XLOOKUP(B158,'Base stats'!B:B,'Base stats'!Q:Q)</f>
        <v>40</v>
      </c>
      <c r="N158" s="8" t="str">
        <f>IF(
_xlfn.XLOOKUP(
_xlfn.XLOOKUP(B158,'Base stats'!B:B,'Base stats'!E:E),
Groups!A:A,
Groups!L:L
)=1,
MIN(
MROUND(
IF(
_xlfn.XLOOKUP(B158,'Animals CE'!B:B,'Animals CE'!Z:Z)&lt;=1.5,
_xlfn.XLOOKUP(B158,'Animals CE'!B:B,'Animals CE'!Z:Z)/2+0.05,
0.8+
(_xlfn.XLOOKUP(B158,'Animals CE'!B:B,'Animals CE'!Z:Z)-1.5)
*0.02
),
0.05
),
200%
),
"No"
)</f>
        <v>No</v>
      </c>
      <c r="O158" s="8" t="str">
        <f>IF(
_xlfn.XLOOKUP(
_xlfn.XLOOKUP(B158,'Base stats'!B:B,'Base stats'!E:E),
Groups!A:A,
Groups!L:L
)=1,
MIN(
MROUND(
IF(
_xlfn.XLOOKUP(B158,'Animals CE'!B:B,'Animals CE'!AA:AA)&lt;=1.5,
_xlfn.XLOOKUP(B158,'Animals CE'!B:B,'Animals CE'!AA:AA)/2+0.05,
0.8+
(_xlfn.XLOOKUP(B158,'Animals CE'!B:B,'Animals CE'!AA:AA)-1.5)
*0.02
),
0.05
),
200%
),
"No"
)</f>
        <v>No</v>
      </c>
      <c r="P158" s="2" t="str">
        <f>_xlfn.XLOOKUP(B158,'Base stats'!B:B,'Base stats'!R:R)</f>
        <v>Standard</v>
      </c>
      <c r="Q158" s="13">
        <f>MROUND((LOG10(_xlfn.XLOOKUP(B158,'Base stats'!B:B,'Base stats'!AR:AR))*(AO158^0.5)+(_xlfn.XLOOKUP(B158,'Base stats'!B:B,'Base stats'!AR:AR)/1000)^(2/3)+_xlfn.XLOOKUP(B158,'Base stats'!B:B,'Base stats'!BA:BA)/2)+0.5,0.5)</f>
        <v>2.5</v>
      </c>
      <c r="R158" s="7">
        <f>IF(Q158="No","No",MAX(1,MROUND(_xlfn.XLOOKUP(B158,'Base stats'!B:B,'Base stats'!C:C)^0.165,0.05)))</f>
        <v>1.3</v>
      </c>
      <c r="S158" s="13" t="str">
        <f>IF(_xlfn.XLOOKUP(_xlfn.XLOOKUP(B158,'Base stats'!B:B,'Base stats'!E:E),Groups!A:A,Groups!P:P)=0,"No",MROUND((LOG10(_xlfn.XLOOKUP(B158,'Base stats'!B:B,'Base stats'!AS:AS))*(AO158^0.5)+(_xlfn.XLOOKUP(B158,'Base stats'!B:B,'Base stats'!AS:AS)/1000)^(2/3)+_xlfn.XLOOKUP(B158,'Base stats'!B:B,'Base stats'!BA:BA))+_xlfn.XLOOKUP(B158,'Base stats'!B:B,'Base stats'!AY:AY)+0.5,0.5))</f>
        <v>No</v>
      </c>
      <c r="T158" s="7" t="str">
        <f>IF(S158="No","No",MAX(_xlfn.XLOOKUP(_xlfn.XLOOKUP(B158,'Base stats'!B:B,'Base stats'!E:E),Groups!A:A,Groups!Q:Q),MROUND(_xlfn.XLOOKUP(_xlfn.XLOOKUP(B158,'Base stats'!B:B,'Base stats'!E:E),Groups!A:A,Groups!Q:Q)*_xlfn.XLOOKUP(B158,'Base stats'!B:B,'Base stats'!C:C)^0.165,0.05)))</f>
        <v>No</v>
      </c>
      <c r="U158" s="7" t="str">
        <f>IF(S158="No","No",_xlfn.XLOOKUP(_xlfn.XLOOKUP(B158,'Base stats'!B:B,'Base stats'!E:E),Groups!A:A,Groups!R:R))</f>
        <v>No</v>
      </c>
      <c r="V158" s="7" t="str">
        <f>IF(S158="No","No",_xlfn.XLOOKUP(_xlfn.XLOOKUP(B158,'Base stats'!B:B,'Base stats'!E:E),Groups!A:A,Groups!S:S))</f>
        <v>No</v>
      </c>
      <c r="W158" s="7" t="str">
        <f>IF(S158="No","No",_xlfn.XLOOKUP(_xlfn.XLOOKUP(B158,'Base stats'!B:B,'Base stats'!E:E),Groups!A:A,Groups!T:T))</f>
        <v>No</v>
      </c>
      <c r="X158" s="13" t="str">
        <f>IF(_xlfn.XLOOKUP(B158,'Base stats'!B:B,'Base stats'!W:W)="No","No",MROUND((LOG10(_xlfn.XLOOKUP(B158,'Base stats'!B:B,'Base stats'!AU:AU))*(AO158^0.5)+(_xlfn.XLOOKUP(B158,'Base stats'!B:B,'Base stats'!AU:AU)/1000)^(2/3)+_xlfn.XLOOKUP(B158,'Base stats'!B:B,'Base stats'!AZ:AZ))+0.5+IF(_xlfn.XLOOKUP(_xlfn.XLOOKUP(B158,'Base stats'!B:B,'Base stats'!E:E),Groups!A:A,Groups!U:U)&lt;&gt;3,_xlfn.XLOOKUP(B158,'Base stats'!B:B,'Base stats'!BA:BA),0),0.5))</f>
        <v>No</v>
      </c>
      <c r="Y158" s="7" t="str">
        <f>IF(X158="No","No",MAX(_xlfn.XLOOKUP(_xlfn.XLOOKUP(B158,'Base stats'!B:B,'Base stats'!E:E),Groups!A:A,Groups!V:V),MROUND(_xlfn.XLOOKUP(_xlfn.XLOOKUP(B158,'Base stats'!B:B,'Base stats'!E:E),Groups!A:A,Groups!V:V)*_xlfn.XLOOKUP(B158,'Base stats'!B:B,'Base stats'!C:C)^0.165,0.05)))</f>
        <v>No</v>
      </c>
      <c r="Z158" s="7" t="str">
        <f>IF(X158="No","No",_xlfn.XLOOKUP(_xlfn.XLOOKUP(B158,'Base stats'!B:B,'Base stats'!E:E),Groups!A:A,Groups!W:W))</f>
        <v>No</v>
      </c>
      <c r="AA158" s="7" t="str">
        <f>IF(X158="No","No",_xlfn.XLOOKUP(_xlfn.XLOOKUP(B158,'Base stats'!B:B,'Base stats'!E:E),Groups!A:A,Groups!X:X))</f>
        <v>No</v>
      </c>
      <c r="AB158" s="7" t="str">
        <f>IF(X158="No","No",_xlfn.XLOOKUP(_xlfn.XLOOKUP(B158,'Base stats'!B:B,'Base stats'!E:E),Groups!A:A,Groups!Y:Y))</f>
        <v>No</v>
      </c>
      <c r="AC158" s="7" t="str">
        <f>_xlfn.XLOOKUP(Animals!B158,'Base stats'!B:B,'Base stats'!X:X)</f>
        <v>False</v>
      </c>
      <c r="AD158" s="13">
        <f>IF(_xlfn.XLOOKUP(B158,'Base stats'!B:B,'Base stats'!AT:AT)="No","No",MROUND((LOG10(_xlfn.XLOOKUP(B158,'Base stats'!B:B,'Base stats'!AT:AT))*(AO158^0.75)+(_xlfn.XLOOKUP(B158,'Base stats'!B:B,'Base stats'!AT:AT)/1000)^(2/3)+_xlfn.XLOOKUP(B158,'Base stats'!B:B,'Base stats'!AX:AX)+_xlfn.XLOOKUP(B158,'Base stats'!B:B,'Base stats'!BA:BA))+0.5,0.5))</f>
        <v>4</v>
      </c>
      <c r="AE158" s="7">
        <f>IF(AD158="No","No",MAX(_xlfn.XLOOKUP(_xlfn.XLOOKUP(B158,'Base stats'!B:B,'Base stats'!E:E),Groups!A:A,Groups!Z:Z),MROUND(_xlfn.XLOOKUP(_xlfn.XLOOKUP(B158,'Base stats'!B:B,'Base stats'!E:E),Groups!A:A,Groups!Z:Z)*_xlfn.XLOOKUP(B158,'Base stats'!B:B,'Base stats'!C:C)^0.165,0.05)))</f>
        <v>0.9</v>
      </c>
      <c r="AF158" s="7" t="str">
        <f>IF(AD158="No","No",_xlfn.XLOOKUP(_xlfn.XLOOKUP(B158,'Base stats'!B:B,'Base stats'!E:E),Groups!A:A,Groups!AA:AA))</f>
        <v>Teeth</v>
      </c>
      <c r="AG158" s="7" t="str">
        <f>IF(AD158="No","No",_xlfn.XLOOKUP(_xlfn.XLOOKUP(B158,'Base stats'!B:B,'Base stats'!E:E),Groups!A:A,Groups!AB:AB))</f>
        <v>canines</v>
      </c>
      <c r="AH158" s="7" t="str">
        <f>IF(AD158="No","No",_xlfn.XLOOKUP(_xlfn.XLOOKUP(B158,'Base stats'!B:B,'Base stats'!E:E),Groups!A:A,Groups!AC:AC))</f>
        <v>Bite</v>
      </c>
      <c r="AI158" s="13">
        <f>IF(_xlfn.XLOOKUP(_xlfn.XLOOKUP(B158,'Base stats'!B:B,'Base stats'!E:E),Groups!A:A,Groups!AD:AD)=0,"No",MROUND((LOG10(_xlfn.XLOOKUP(B158,'Base stats'!B:B,'Base stats'!AS:AS))*(AO158^0.75)+(_xlfn.XLOOKUP(B158,'Base stats'!B:B,'Base stats'!AS:AS)/1000)^(2/3)+_xlfn.XLOOKUP(B158,'Base stats'!B:B,'Base stats'!AY:AY)+_xlfn.XLOOKUP(B158,'Base stats'!B:B,'Base stats'!BA:BA))+0.5,0.5))</f>
        <v>3</v>
      </c>
      <c r="AJ158" s="7">
        <f>IF(AI158="No","No",MAX(_xlfn.XLOOKUP(_xlfn.XLOOKUP(B158,'Base stats'!B:B,'Base stats'!E:E),Groups!A:A,Groups!AE:AE),MROUND(_xlfn.XLOOKUP(_xlfn.XLOOKUP(B158,'Base stats'!B:B,'Base stats'!E:E),Groups!A:A,Groups!AE:AE)*IF(_xlfn.XLOOKUP(_xlfn.XLOOKUP(B158,'Base stats'!B:B,'Base stats'!E:E),Groups!A:A,Groups!AJ:AJ)="Photonozoa",0.6,1)*_xlfn.XLOOKUP(B158,'Base stats'!B:B,'Base stats'!C:C)^0.165,0.05)))</f>
        <v>0.85000000000000009</v>
      </c>
      <c r="AK158" s="7" t="str">
        <f>IF(AI158="No","No",_xlfn.XLOOKUP(_xlfn.XLOOKUP(B158,'Base stats'!B:B,'Base stats'!E:E),Groups!A:A,Groups!AF:AF))</f>
        <v>FrontLeftPaw, FrontRightPaw</v>
      </c>
      <c r="AL158" s="7" t="str">
        <f>IF(AI158="No","No",_xlfn.XLOOKUP(_xlfn.XLOOKUP(B158,'Base stats'!B:B,'Base stats'!E:E),Groups!A:A,Groups!AG:AG))</f>
        <v>left claw, right claw</v>
      </c>
      <c r="AM158" s="7" t="str">
        <f>IF(AI158="No","No",_xlfn.XLOOKUP(_xlfn.XLOOKUP(B158,'Base stats'!B:B,'Base stats'!E:E),Groups!A:A,Groups!AH:AH))</f>
        <v>Scratch</v>
      </c>
      <c r="AN158" s="2">
        <f t="shared" si="14"/>
        <v>15</v>
      </c>
      <c r="AO158" s="2">
        <f>MROUND(IF(AND(_xlfn.XLOOKUP(B158,'Base stats'!B:B,'Base stats'!C:C)&gt;=0.5,_xlfn.XLOOKUP(B158,'Base stats'!B:B,'Base stats'!C:C)&lt;=0.8),
IF(_xlfn.XLOOKUP(B158,'Base stats'!B:B,'Base stats'!C:C)&lt;0.1,0.05,IF(_xlfn.XLOOKUP(B158,'Base stats'!B:B,'Base stats'!C:C)&lt;=70,(_xlfn.XLOOKUP(B158,'Base stats'!B:B,'Base stats'!C:C)/70)^0.426489913056526,IF(_xlfn.XLOOKUP(B158,'Base stats'!B:B,'Base stats'!C:C)&lt;=400,(_xlfn.XLOOKUP(B158,'Base stats'!B:B,'Base stats'!C:C)/70)^0.572811455315093,IF(_xlfn.XLOOKUP(B158,'Base stats'!B:B,'Base stats'!C:C)&lt;=2000,2.71391647193063*(_xlfn.XLOOKUP(B158,'Base stats'!B:B,'Base stats'!C:C)/400)^0.252459582904293,3.74314280240376*(_xlfn.XLOOKUP(B158,'Base stats'!B:B,'Base stats'!C:C)/2000)^0.357012633876913)))),
IF(_xlfn.XLOOKUP(B158,'Base stats'!B:B,'Base stats'!C:C)&lt;0.1,0.05,IF(_xlfn.XLOOKUP(B158,'Base stats'!B:B,'Base stats'!C:C)&lt;0.4,0.1,IF(_xlfn.XLOOKUP(B158,'Base stats'!B:B,'Base stats'!C:C)&lt;=70,(_xlfn.XLOOKUP(B158,'Base stats'!B:B,'Base stats'!C:C)/70)^0.445823913056526,IF(_xlfn.XLOOKUP(B158,'Base stats'!B:B,'Base stats'!C:C)&lt;=400,(_xlfn.XLOOKUP(B158,'Base stats'!B:B,'Base stats'!C:C)/70)^0.572811455315093,IF(_xlfn.XLOOKUP(B158,'Base stats'!B:B,'Base stats'!C:C)&lt;=2000,2.71391647193063*(_xlfn.XLOOKUP(B158,'Base stats'!B:B,'Base stats'!C:C)/400)^0.252459582904293,3.74314280240376*(_xlfn.XLOOKUP(B158,'Base stats'!B:B,'Base stats'!C:C)/2000)^0.357012633876913)))))),
IF(_xlfn.XLOOKUP(B158,'Base stats'!B:B,'Base stats'!C:C)&lt;0.1,0.05,IF(_xlfn.XLOOKUP(B158,'Base stats'!B:B,'Base stats'!C:C)&lt;=100,0.05,IF(_xlfn.XLOOKUP(B158,'Base stats'!B:B,'Base stats'!C:C)&lt;=250,0.1,IF(_xlfn.XLOOKUP(B158,'Base stats'!B:B,'Base stats'!C:C)&lt;=4000,0.25,0.5)))))</f>
        <v>0.30000000000000004</v>
      </c>
      <c r="AP158" s="8">
        <f>MROUND(AO158*_xlfn.XLOOKUP(_xlfn.XLOOKUP(B158,'Base stats'!B:B,'Base stats'!E:E),Groups!A:A,Groups!AI:AI)*_xlfn.XLOOKUP(B158,'Base stats'!B:B,'Base stats'!Z:Z),0.05)</f>
        <v>0.35000000000000003</v>
      </c>
      <c r="AQ158" s="8">
        <f>MAX(0.01,MROUND(IF(CC158="True",0.196*(AO158*100*1000)^0.889,IF(_xlfn.XLOOKUP(_xlfn.XLOOKUP(B158,'Base stats'!B:B,'Base stats'!E:E),Groups!A:A,Groups!AJ:AJ)="Bird",10.5*(AO158*100*1000)^0.681,4.82*(AO158*100*1000)^0.734))/(4.82*(1*100*1000)^0.734)/IF(AO158&lt;3.5,2,IF(AO158=3.5,1.5,1.25))*(1+0.132282374779864/(AO158^0.994035016789033+0.00905238001496948)),0.05))</f>
        <v>0.30000000000000004</v>
      </c>
      <c r="AR158" s="9">
        <f>IFERROR(MROUND(_xlfn.XLOOKUP(B158,'Base stats'!B:B,'Base stats'!H:H)/IF(_xlfn.XLOOKUP(B158,'Base stats'!B:B,'Base stats'!I:I)&lt;&gt;1,(122.5/70),1.2),IF(_xlfn.XLOOKUP(B158,'Base stats'!B:B,'Base stats'!H:H)&gt;=30,5,IF(_xlfn.XLOOKUP(B158,'Base stats'!B:B,'Base stats'!H:H)&gt;=15,3,IF(_xlfn.XLOOKUP(B158,'Base stats'!B:B,'Base stats'!H:H)&gt;=10,2,1)))),"Immortal")</f>
        <v>15</v>
      </c>
      <c r="AS158" s="35">
        <f>IFERROR(IF(OR(_xlfn.XLOOKUP(B158,'Base stats'!B:B,'Base stats'!F:F)="Atypical reproduction",_xlfn.XLOOKUP(B158,'Base stats'!B:B,'Base stats'!F:F)="Lay eggs"),"Lay eggs",MIN(20,MAX(5.5,ROUND(((_xlfn.XLOOKUP(B158,'Base stats'!B:B,'Base stats'!F:F)-25)*(14.5/615) + 5.5)*2,0)/2))),"Unknown")</f>
        <v>6.5</v>
      </c>
      <c r="AT158" s="8">
        <f>IF(_xlfn.XLOOKUP(B158,'Base stats'!B:B,'Base stats'!G:G)="Atypical reproduction","No",IFERROR(MAX(IF(_xlfn.XLOOKUP(B158,'Base stats'!B:B,'Base stats'!G:G)&lt;0.5,0.2,0.3),MROUND(_xlfn.XLOOKUP(B158,'Base stats'!B:B,'Base stats'!G:G)/(365/60),0.2)),"Unknown"))</f>
        <v>0.3</v>
      </c>
      <c r="AU158" s="8">
        <f t="shared" si="15"/>
        <v>0.15000000000000002</v>
      </c>
      <c r="AV158" s="8">
        <f>IFERROR(IFERROR(MROUND(_xlfn.XLOOKUP(B158,'Base stats'!B:B,'Base stats'!J:J),0.1),"Lay eggs"),"Cannot breed")</f>
        <v>4</v>
      </c>
      <c r="AW158" s="2" t="str">
        <f t="shared" si="16"/>
        <v>false</v>
      </c>
      <c r="AX158" s="2" t="str">
        <f>IF(_xlfn.XLOOKUP(_xlfn.XLOOKUP(Animals!B158,'Base stats'!B:B,'Base stats'!E:E),Groups!A:A,Groups!AK:AK)=1,"true","false")</f>
        <v>false</v>
      </c>
      <c r="AY158" s="25" t="str">
        <f>IF(_xlfn.XLOOKUP(B158,'Base stats'!B:B,'Base stats'!Y:Y)="Liquor","Liquor, CarnivoreAnimalStrict",IF(AND(_xlfn.XLOOKUP(B158,'Base stats'!B:B,'Base stats'!Y:Y)="Carnivore",_xlfn.XLOOKUP(_xlfn.XLOOKUP(B158,'Base stats'!B:B,'Base stats'!E:E),Groups!A:A,Groups!AJ:AJ)="Photonozoa"),"CarnivoreAnimalStrict, OvivoreAnimal",IF(_xlfn.XLOOKUP(B158,'Base stats'!B:B,'Base stats'!Y:Y)="Carnivore","CarnivoreAnimal, OvivoreAnimal",IF(_xlfn.XLOOKUP(B158,'Base stats'!B:B,'Base stats'!Y:Y)="Dendrovore","VegetarianRoughAnimal, DendrovoreAnimal",IF(_xlfn.XLOOKUP(B158,'Base stats'!B:B,'Base stats'!Y:Y)="Herbivore","VegetarianRoughAnimal",IF(_xlfn.XLOOKUP(B158,'Base stats'!B:B,'Base stats'!Y:Y)="OmnivoreRough","OmnivoreRoughAnimal, OvivoreAnimal","OmnivoreAnimal, OvivoreAnimal"))))))</f>
        <v>CarnivoreAnimal, OvivoreAnimal</v>
      </c>
      <c r="AZ158" s="2" t="str">
        <f>IF(_xlfn.XLOOKUP(_xlfn.XLOOKUP(B158,'Base stats'!B:B,'Base stats'!E:E),Groups!A:A,Groups!D:D)=1,MROUND((1-J158)*5+1,2)*IF(J158&lt;=0.4,2,1),"No")</f>
        <v>No</v>
      </c>
      <c r="BA158" s="2" t="str">
        <f>IF(AND(_xlfn.XLOOKUP(B158,'Base stats'!B:B,'Base stats'!AH:AH)="&lt;li&gt;Seal&lt;/li&gt;",G158="Odyssey"),"&lt;li&gt;AEXP_Seal&lt;/li&gt;",_xlfn.XLOOKUP(B158,'Base stats'!B:B,'Base stats'!AH:AH))</f>
        <v>&lt;li&gt;Cat&lt;/li&gt;</v>
      </c>
      <c r="BB158" s="2" t="str">
        <f>_xlfn.XLOOKUP(B158,'Base stats'!B:B,'Base stats'!AG:AG)</f>
        <v>Leather_Light</v>
      </c>
      <c r="BC158" s="23" t="str">
        <f>_xlfn.XLOOKUP(_xlfn.XLOOKUP(B158,'Base stats'!B:B,'Base stats'!E:E),Groups!A:A,Groups!AL:AL)</f>
        <v>QuadrupedAnimalWithPawsAndTail</v>
      </c>
      <c r="BD158" s="23">
        <f>MIN(1,MROUND(IF(AND(AO158&lt;0.5,_xlfn.XLOOKUP(B158,'Base stats'!B:B,'Base stats'!AA:AA)=0),0,IF(OR(_xlfn.XLOOKUP(Animals!B158,'Base stats'!B:B,'Base stats'!O:O)=2,_xlfn.XLOOKUP(_xlfn.XLOOKUP(B158,'Base stats'!B:B,'Base stats'!E:E),Groups!A:A,Groups!AN:AN)=0),0,_xlfn.XLOOKUP(_xlfn.XLOOKUP(B158,'Base stats'!B:B,'Base stats'!E:E),Groups!A:A,Groups!AN:AN)/IF(_xlfn.XLOOKUP(Animals!B158,'Base stats'!B:B,'Base stats'!O:O)=1,2,1)))+_xlfn.XLOOKUP(B158,'Base stats'!B:B,'Base stats'!AC:AC),0.005))</f>
        <v>0</v>
      </c>
      <c r="BE158" s="23">
        <f>MIN(1,MROUND(IF(AND(AO158&lt;0.5,_xlfn.XLOOKUP(B158,'Base stats'!B:B,'Base stats'!AA:AA)=0),0,IF(_xlfn.XLOOKUP(_xlfn.XLOOKUP(B158,'Base stats'!B:B,'Base stats'!E:E),Groups!A:A,Groups!AO:AO)=0,0,_xlfn.XLOOKUP(_xlfn.XLOOKUP(B158,'Base stats'!B:B,'Base stats'!E:E),Groups!A:A,Groups!AO:AO)/IF(_xlfn.XLOOKUP(Animals!B158,'Base stats'!B:B,'Base stats'!O:O)=2,3,1)))+_xlfn.XLOOKUP(B158,'Base stats'!B:B,'Base stats'!AD:AD),0.005))</f>
        <v>0</v>
      </c>
      <c r="BF158" s="2">
        <f>IF(J158&gt;0.3,"No",_xlfn.XLOOKUP(_xlfn.XLOOKUP(Animals!B158,'Base stats'!B:B,'Base stats'!E:E),Groups!A:A,Groups!AP:AP))</f>
        <v>1</v>
      </c>
      <c r="BG158" s="2">
        <f>IF(AND(J158&lt;=0.65,_xlfn.XLOOKUP(_xlfn.XLOOKUP(Animals!B158,'Base stats'!B:B,'Base stats'!E:E),Groups!A:A,Groups!AP:AP)&lt;&gt;"No",_xlfn.XLOOKUP(_xlfn.XLOOKUP(B158,'Base stats'!B:B,'Base stats'!E:E),Groups!A:A,Groups!D:D)=0),MROUND((80/3)*IF(_xlfn.XLOOKUP(B158,'Base stats'!B:B,'Base stats'!O:O)=2,0.2,AO158) + 24*(1-IF(BF158="No",0,BF158)) + 16/3, 12),"No")</f>
        <v>12</v>
      </c>
      <c r="BH158" s="2">
        <f>IF(AND(_xlfn.XLOOKUP(_xlfn.XLOOKUP(B158,'Base stats'!B:B,'Base stats'!E:E),Groups!A:A,Groups!AQ:AQ)=1,AO158&lt;=0.35),8,12)</f>
        <v>12</v>
      </c>
      <c r="BI158" s="2" t="str">
        <f>IF(_xlfn.XLOOKUP(_xlfn.XLOOKUP(B158,'Base stats'!B:B,'Base stats'!E:E),Groups!A:A,Groups!D:D)=0,_xlfn.XLOOKUP(_xlfn.XLOOKUP(B158,'Base stats'!B:B,'Base stats'!E:E),Groups!A:A,Groups!AR:AR),"None")</f>
        <v>Intermediate</v>
      </c>
      <c r="BJ158" s="2" t="str">
        <f>IF(AND(_xlfn.XLOOKUP(_xlfn.XLOOKUP(B158,'Base stats'!B:B,'Base stats'!E:E),Groups!A:A,Groups!AS:AS)=1,OR(_xlfn.XLOOKUP(B158,'Base stats'!B:B,'Base stats'!Y:Y)="Carnivore",_xlfn.XLOOKUP(B158,'Base stats'!B:B,'Base stats'!Y:Y)="Omnivore")),"true","false")</f>
        <v>true</v>
      </c>
      <c r="BK158" s="2">
        <f>IF(BJ158="true",MROUND(IF(AND(AO158&gt;0.5,OR(_xlfn.XLOOKUP(_xlfn.XLOOKUP(B158,'Base stats'!B:B,'Base stats'!E:E),Groups!A:A,Groups!AJ:AJ)="Photonozoa",_xlfn.XLOOKUP(_xlfn.XLOOKUP(B158,'Base stats'!B:B,'Base stats'!E:E),Groups!A:A,Groups!AJ:AJ)="Mammal")),Animals!AO158*1.75*IF(AW158="true",1.5,1),IF(AO158&lt;0.5,Animals!AO158*0.5,Animals!AO158)),IF(AO158&gt;2,0.5,IF(AO158&gt;0.5,0.25,0.1))),"No")</f>
        <v>0.2</v>
      </c>
      <c r="BL158" s="2">
        <f t="shared" si="17"/>
        <v>1</v>
      </c>
      <c r="BM158" s="25" t="str">
        <f>IF(_xlfn.XLOOKUP(B158,'Base stats'!B:B,'Base stats'!AN:AN)="Standard","No",MROUND((_xlfn.XLOOKUP(B158,'Base stats'!B:B,'Base stats'!AN:AN)/3.6)/I158,0.1))</f>
        <v>No</v>
      </c>
      <c r="BN158" s="25" t="str">
        <f t="shared" si="18"/>
        <v>false</v>
      </c>
      <c r="BO158" s="25" t="str">
        <f>IF(AND(OR(_xlfn.XLOOKUP(B158,'Base stats'!B:B,'Base stats'!Y:Y)="Carnivore",_xlfn.XLOOKUP(B158,'Base stats'!B:B,'Base stats'!Y:Y)="Omnivore",_xlfn.XLOOKUP(B158,'Base stats'!B:B,'Base stats'!Y:Y)="OmnivoreRough"),_xlfn.XLOOKUP(_xlfn.XLOOKUP(B158,'Base stats'!B:B,'Base stats'!E:E),Groups!A:A,Groups!AT:AT)=1),"true","false")</f>
        <v>false</v>
      </c>
      <c r="BP158" s="25" t="str" cm="1">
        <f t="array" ref="BP158">IF(
  _xlfn.TEXTJOIN(", ",TRUE,
    IF(AND(BJ158="true",AO158&gt;0.5,BI158&lt;&gt;"None"),"AttackTarget",""),
    IF(AND(_xlfn.XLOOKUP(_xlfn.XLOOKUP(B158,'Base stats'!B:B,'Base stats'!E:E),Groups!A:A,Groups!AJ:AJ="Mammal"),OR(_xlfn.XLOOKUP(B158,'Base stats'!B:B,'Base stats'!Y:Y)="Omnivore",_xlfn.XLOOKUP(B158,'Base stats'!B:B,'Base stats'!Y:Y)="OmnivoreRough")),"Forage",""),
    IF(BG158&lt;=36,"Comfort",""),
    IF(_xlfn.XLOOKUP(B158,'Base stats'!B:B,'Base stats'!AE:AE)&lt;&gt;"No",_xlfn.XLOOKUP(B158,'Base stats'!B:B,'Base stats'!AE:AE),"")
  ) = "",
  "No",
  _xlfn.TEXTJOIN(", ",TRUE,
    IF(AND(BJ158="true",AO158&gt;0.5,BI158&lt;&gt;"None"),"AttackTarget",""),
    IF(AND(_xlfn.XLOOKUP(_xlfn.XLOOKUP(B158,'Base stats'!B:B,'Base stats'!E:E),Groups!A:A,Groups!AJ:AJ="Mammal"),OR(_xlfn.XLOOKUP(B158,'Base stats'!B:B,'Base stats'!Y:Y)="Omnivore",_xlfn.XLOOKUP(B158,'Base stats'!B:B,'Base stats'!Y:Y)="OmnivoreRough")),"Forage",""),
    IF(BG158&lt;=36,"Comfort",""),
    IF(_xlfn.XLOOKUP(B158,'Base stats'!B:B,'Base stats'!AE:AE)&lt;&gt;"No",_xlfn.XLOOKUP(B158,'Base stats'!B:B,'Base stats'!AE:AE),"")
  )
)</f>
        <v>Comfort</v>
      </c>
      <c r="BQ158" s="25" t="str">
        <f>IF(
   AND(
      'Base stats'!AN158="Standard",_xlfn.XLOOKUP(_xlfn.XLOOKUP(B158,'Base stats'!B:B,'Base stats'!E:E),Groups!A:A,Groups!AU:AU)=0,
      OR(
      BO158="True"
      )
   ),
   10,
   IF(
       OR(BM158&lt;&gt;"No",_xlfn.XLOOKUP(_xlfn.XLOOKUP(B158,'Base stats'!B:B,'Base stats'!E:E),Groups!A:A,Groups!AU:AU)=1),
      1,
      "No"
   )
)</f>
        <v>No</v>
      </c>
      <c r="BR158" s="9">
        <f>MROUND((1 + ((0.2*IF(OR(Q158="No",R158="No",R158=0),0,Q158/R158)
+IF(OR(V158="No",S158="No",T158="No"),0,S158/T158*(LEN(V158)-LEN(SUBSTITUTE(V158,",",""))+1))
+IF(OR(X158="No",Y158="No"),0,X158/Y158)
+IF(OR(AD158="No",AE158="No"),0,AD158/AE158)
+IF(OR(AL158="No",AI158="No",AJ158="No"),0,AI158/AJ158*(LEN(AL158)-LEN(SUBSTITUTE(AL158,",",""))+1))
)/(0.2*IF(OR(Q158="No",R158="No",R158=0),0,1)
+IF(OR(V158="No",S158="No",T158="No"),0,LEN(V158)-LEN(SUBSTITUTE(V158,",",""))+1)
+IF(OR(X158="No",Y158="No"),0,1)
+IF(OR(AD158="No",AE158="No"),0,1)
+IF(OR(AL158="No",AI158="No",AJ158="No"),0,LEN(AL158)-LEN(SUBSTITUTE(AL158,",",""))+1))*62%)* 2)*(1 + (AP158 / (IF(_xlfn.XLOOKUP(_xlfn.XLOOKUP(B158,'Base stats'!B:B,'Base stats'!E:E),Groups!A:A,Groups!AJ:AJ)="Photonozoa",0.3,1)) + _xlfn.XLOOKUP(B158,'Base stats'!B:B,'Base stats'!AV:AV) * 1.8) * 2) * 2.5 + 10 + I158 * 2,5)+IF(_xlfn.XLOOKUP(B158,'Base stats'!B:B,'Base stats'!AK:AK)=1,50,0)</f>
        <v>45</v>
      </c>
      <c r="BS158" s="8">
        <f t="shared" si="19"/>
        <v>0.30000000000000004</v>
      </c>
      <c r="BT158" s="8" t="str">
        <f>_xlfn.XLOOKUP(B158,'Base stats'!B:B,'Base stats'!AF:AF)</f>
        <v>No</v>
      </c>
      <c r="BU158" s="2" t="str">
        <f>IF(AND(J158&lt;=0.95,OR(_xlfn.XLOOKUP(B158,'Base stats'!B:B,'Base stats'!AK:AK)=1,_xlfn.XLOOKUP(B158,'Base stats'!B:B,'Base stats'!Y:Y)="Carnivore",_xlfn.XLOOKUP(B158,'Base stats'!B:B,'Base stats'!Y:Y)="Omnivore",BE158&gt;0.1)),"true","false")</f>
        <v>true</v>
      </c>
      <c r="BV158" s="2" t="str">
        <f>IF(_xlfn.XLOOKUP(B158,'Base stats'!B:B,'Base stats'!AI:AI)=1,"true","false")</f>
        <v>false</v>
      </c>
      <c r="BW158" s="25" t="str">
        <f>IF(E158="BaseInsect","AnimalInsect",
IF(J158&gt;0.95,"AnimalExotic",
_xlfn.TEXTJOIN(", ",TRUE,
IF(OR(_xlfn.XLOOKUP(B158,'Base stats'!B:B,'Base stats'!AM:AM)=1,AND(_xlfn.XLOOKUP(B158,'Base stats'!B:B,'Base stats'!O:O)=0,_xlfn.XLOOKUP(_xlfn.XLOOKUP(B158,'Base stats'!B:B,'Base stats'!E:E),Groups!A:A,Groups!B:B)&gt;0)),"AnimalUncommon","AnimalCommon"),
IF(AND(_xlfn.XLOOKUP(B158,'Base stats'!B:B,'Base stats'!O:O)=2,_xlfn.XLOOKUP(_xlfn.XLOOKUP(B158,'Base stats'!B:B,'Base stats'!E:E),Groups!A:A,Groups!D:D)=0),"AnimalPet",IF(AND(_xlfn.XLOOKUP(B158,'Base stats'!B:B,'Base stats'!O:O)&lt;&gt;0,_xlfn.XLOOKUP(_xlfn.XLOOKUP(B158,'Base stats'!B:B,'Base stats'!E:E),Groups!A:A,Groups!D:D)&lt;&gt;0),"AnimalFarm","")),
IF(OR(_xlfn.XLOOKUP(B158,'Base stats'!B:B,'Base stats'!AK:AK)=1,AND(BI158&lt;&gt;"None",BR158&gt;=60),ISNUMBER(SEARCH("Attack target",BP158))),"AnimalFighter","")
)))</f>
        <v>AnimalCommon, AnimalPet</v>
      </c>
      <c r="BX158" s="25" t="str">
        <f>IF(G158="None",TRIM(
SUBSTITUTE(
IF(COUNTIF(Biomes!B$2:B$259,"="&amp;$C158)&gt;0,Biomes!B$1&amp;", ","")&amp;
IF(COUNTIF(Biomes!C$2:C$259,"="&amp;$C158)&gt;0,Biomes!C$1&amp;", ","")&amp;
IF(COUNTIF(Biomes!D$2:D$259,"="&amp;$C158)&gt;0,Biomes!D$1&amp;", ","")&amp;
IF(COUNTIF(Biomes!F$2:F$259,"="&amp;$C158)&gt;0,Biomes!F$1&amp;", ","")&amp;
IF(COUNTIF(Biomes!G$2:G$259,"="&amp;$C158)&gt;0,Biomes!G$1&amp;", ","")&amp;
IF(COUNTIF(Biomes!H$2:H$259,"="&amp;$C158)&gt;0,Biomes!H$1&amp;", ","")&amp;
IF(COUNTIF(Biomes!I$2:I$259,"="&amp;$C158)&gt;0,Biomes!I$1&amp;", ","")&amp;
IF(COUNTIF(Biomes!J$2:J$259,"="&amp;$C158)&gt;0,Biomes!J$1&amp;", ","")&amp;
IF(COUNTIF(Biomes!M$2:M$259,"="&amp;$C158)&gt;0,Biomes!M$1&amp;", ","")&amp;
IF(COUNTIF(Biomes!N$2:N$259,"="&amp;$C158)&gt;0,Biomes!N$1&amp;", ","")&amp;
IF(COUNTIF(Biomes!O$2:O$259,"="&amp;$C158)&gt;0,Biomes!O$1&amp;", ","")&amp;
IF(COUNTIF(Biomes!P$2:P$259,"="&amp;$C158)&gt;0,Biomes!P$1&amp;", ","")&amp;
IF(COUNTIF(Biomes!K$2:K$259,"="&amp;$C158)&gt;0,Biomes!K$1&amp;", ","")&amp;
IF(COUNTIF(Biomes!Q$3:Q$259,"="&amp;$C158)&gt;0,Biomes!Q$1&amp;", ","")&amp;
IF(COUNTIF(Biomes!L$2:L$259,"="&amp;$C158)&gt;0,Biomes!L$1&amp;", ","")&amp;
IF(COUNTIF(Biomes!E$2:E$259,"="&amp;$C158)&gt;0,Biomes!E$1&amp;", ","")&amp;IF(COUNTIF(Biomes!S$2:S$259,"="&amp;$C158)&gt;0,Biomes!S$1&amp;", ","")&amp;
IF(COUNTIF(Biomes!R$2:R$259,"="&amp;$C158)&gt;0,Biomes!R$1&amp;", ",""),", ","")
),_xlfn.XLOOKUP(B158,B:B,BX:BX))</f>
        <v/>
      </c>
      <c r="BY158" s="25" t="str">
        <f>IF(_xlfn.XLOOKUP(B158,'Base stats'!B:B,'Base stats'!AJ:AJ)=1,"true","false")</f>
        <v>false</v>
      </c>
      <c r="BZ158" s="25">
        <f>IF(_xlfn.XLOOKUP(B158,'Base stats'!B:B,'Base stats'!N:N)=1,"No",MAX(0.001,MIN(MROUND(IF(AND(BJ158="True",CC158="False"),POWER(10,3.47*LOG10(_xlfn.XLOOKUP(B158,'Base stats'!B:B,'Base stats'!C:C)*1000)^-0.96),POWER(10,4.15*LOG10(_xlfn.XLOOKUP(B158,'Base stats'!B:B,'Base stats'!C:C)*1000)^-0.73))*IF(_xlfn.XLOOKUP(B158,'Base stats'!B:B,'Base stats'!AK:AK)=1,0.5,1)*IF(_xlfn.XLOOKUP(B158,'Base stats'!B:B,'Base stats'!AM:AM)=1,0.1,1)/100,IF(_xlfn.XLOOKUP(B158,'Base stats'!B:B,'Base stats'!AM:AM)=1,0.001,0.025)),0.5)))</f>
        <v>0.1</v>
      </c>
      <c r="CA158" s="25" t="str">
        <f>IF(P158="Standard","No",MAX(0.001,MIN(MROUND(IF(AND(BJ158="True",CC158="False"),POWER(10,3.47*LOG10(_xlfn.XLOOKUP(B158,'Base stats'!B:B,'Base stats'!C:C)*1000)^-0.96),POWER(10,4.15*LOG10(_xlfn.XLOOKUP(B158,'Base stats'!B:B,'Base stats'!C:C)*1000)^-0.73))*IF(_xlfn.XLOOKUP(B158,'Base stats'!B:B,'Base stats'!AM:AM)=1,0.1,1)*_xlfn.XLOOKUP(B158,'Base stats'!B:B,'Base stats'!R:R)/100,IF(_xlfn.XLOOKUP(B158,'Base stats'!B:B,'Base stats'!AM:AM)=1,0.001,0.025)),0.5)))</f>
        <v>No</v>
      </c>
      <c r="CB158" s="25" t="str">
        <f>IF(_xlfn.XLOOKUP(_xlfn.XLOOKUP(B158,'Base stats'!B:B,'Base stats'!E:E),Groups!A:A,Groups!AJ:AJ)="Mammal","True","False")</f>
        <v>True</v>
      </c>
      <c r="CC158" s="25" t="str">
        <f>IF(OR(_xlfn.XLOOKUP(_xlfn.XLOOKUP(B158,'Base stats'!B:B,'Base stats'!E:E),Groups!A:A,Groups!AJ:AJ)="Reptile",_xlfn.XLOOKUP(_xlfn.XLOOKUP(B158,'Base stats'!B:B,'Base stats'!E:E),Groups!A:A,Groups!AJ:AJ)="Amphibian",_xlfn.XLOOKUP(_xlfn.XLOOKUP(B158,'Base stats'!B:B,'Base stats'!E:E),Groups!A:A,Groups!AJ:AJ)="Invertebrate"),"True","False")</f>
        <v>False</v>
      </c>
      <c r="CD158" s="25" t="str">
        <f t="shared" si="20"/>
        <v>False</v>
      </c>
      <c r="CE158" s="25" t="str">
        <f>IF(_xlfn.XLOOKUP(_xlfn.XLOOKUP(B158,'Base stats'!B:B,'Base stats'!E:E),Groups!A:A,Groups!AX:AX),"True","False")</f>
        <v>False</v>
      </c>
      <c r="CF158" s="25" t="str">
        <f>IF(_xlfn.XLOOKUP(_xlfn.XLOOKUP(B158,'Base stats'!B:B,'Base stats'!E:E),Groups!A:A,Groups!AY:AY),"True","False")</f>
        <v>False</v>
      </c>
      <c r="CG158" s="25" t="str">
        <f>IF(_xlfn.XLOOKUP(_xlfn.XLOOKUP(B158,'Base stats'!B:B,'Base stats'!E:E),Groups!A:A,Groups!AW:AW),"True","False")</f>
        <v>False</v>
      </c>
      <c r="CH158" s="25" t="str">
        <f>IF(
OR(
_xlfn.XLOOKUP(_xlfn.XLOOKUP(B158,'Base stats'!B:B,'Base stats'!E:E),Groups!A:A,Groups!AZ:AZ)=0,
AND(
_xlfn.XLOOKUP(B158,'Base stats'!B:B,'Base stats'!Y:Y)&lt;&gt;"Carnivore",
_xlfn.XLOOKUP(B158,'Base stats'!B:B,'Base stats'!Y:Y)&lt;&gt;"Omnivore",
_xlfn.XLOOKUP(B158,'Base stats'!B:B,'Base stats'!Y:Y)&lt;&gt;"OmnivoreRough"
)
),
"No",
IF(
_xlfn.XLOOKUP(_xlfn.XLOOKUP(B158,'Base stats'!B:B,'Base stats'!E:E),Groups!A:A,Groups!AZ:AZ)=1,
"Flesh",
IF(
_xlfn.XLOOKUP(_xlfn.XLOOKUP(B158,'Base stats'!B:B,'Base stats'!E:E),Groups!A:A,Groups!AZ:AZ)=2,
"Bone",
""
)
)
)</f>
        <v>No</v>
      </c>
      <c r="CI158" s="25" t="str">
        <f>IF(_xlfn.XLOOKUP(_xlfn.XLOOKUP(B158,'Base stats'!B:B,'Base stats'!E:E),Groups!A:A,Groups!BB:BB),"True","False")</f>
        <v>True</v>
      </c>
      <c r="CJ158" s="25" t="str">
        <f>IF(_xlfn.XLOOKUP(_xlfn.XLOOKUP(B158,'Base stats'!B:B,'Base stats'!E:E),Groups!A:A,Groups!BA:BA),"True","False")</f>
        <v>False</v>
      </c>
    </row>
    <row r="159" spans="1:88" ht="16.5" thickTop="1" thickBot="1" x14ac:dyDescent="0.3">
      <c r="A159" s="26" t="str">
        <f>_xlfn.XLOOKUP(B159,'Base stats'!B:B,'Base stats'!A:A)</f>
        <v>Sphynx cat</v>
      </c>
      <c r="B159" s="6" t="s">
        <v>912</v>
      </c>
      <c r="C159" s="28" t="s">
        <v>840</v>
      </c>
      <c r="D159" s="28" t="s">
        <v>872</v>
      </c>
      <c r="E159" s="28" t="s">
        <v>673</v>
      </c>
      <c r="F159" s="28" t="s">
        <v>673</v>
      </c>
      <c r="G159" s="28" t="s">
        <v>673</v>
      </c>
      <c r="H159" s="2">
        <f>MROUND((
  (IF(AND(_xlfn.XLOOKUP(B159,'Base stats'!B:B,'Base stats'!AL:AL)=0,BI159="None",_xlfn.XLOOKUP(_xlfn.XLOOKUP(B159,'Base stats'!B:B,'Base stats'!E:E),Groups!A:A,Groups!B:B)=0), (18 + BR159 * 2.7) * 0.5,
    IF(AND(_xlfn.XLOOKUP(B159,'Base stats'!B:B,'Base stats'!AL:AL)=0,OR(AO159&lt;0.55,AND(BI159="Intermediate",_xlfn.XLOOKUP(_xlfn.XLOOKUP(B159,'Base stats'!B:B,'Base stats'!E:E),Groups!A:A,Groups!B:B)&lt;2))), (18 + BR159 * 2.7),
      IF(OR(BI159="Advanced",_xlfn.XLOOKUP(B159,'Base stats'!B:B,'Base stats'!AL:AL)=1,_xlfn.XLOOKUP(_xlfn.XLOOKUP(B159,'Base stats'!B:B,'Base stats'!E:E),Groups!A:A,Groups!B:B)=2), (18 + BR159 * 2.7) + 250, (18 + BR159 * 2.7))
    )
  ))
  + AO159 * 80
  + IF(COUNTIF(EggMilk!K$2:K$998, A159) &gt; 0, 125, 0)
  + IF(COUNTIF(EggMilk!P$2:P$998, A159) &gt; 0, 90, 0)
  + IF(COUNTIF(EggMilk!A$2:A$998, A159) &gt; 0, 90, 0)
)
* (0.8 + 0.4 * J159)
* 0.75,25)</f>
        <v>100</v>
      </c>
      <c r="I159" s="2">
        <f>MROUND(ROUNDDOWN(_xlfn.XLOOKUP(B159,'Base stats'!B:B,'Base stats'!L:L)/3.6/(23.3/11),1),0.5)</f>
        <v>5.5</v>
      </c>
      <c r="J159" s="2">
        <f>IF(OR(_xlfn.XLOOKUP(B159,'Base stats'!B:B,'Base stats'!AB:AB)=1,_xlfn.XLOOKUP(_xlfn.XLOOKUP(B159,'Base stats'!B:B,'Base stats'!E:E),Groups!A:A,Groups!C:C)="Untamable"),1,IF(_xlfn.XLOOKUP(B159,'Base stats'!B:B,'Base stats'!AL:AL)=1,0.99,MIN(MROUND((1-0.6282*EXP(-0.459*AO159))*_xlfn.XLOOKUP(_xlfn.XLOOKUP(B159,'Base stats'!B:B,'Base stats'!E:E),Groups!A:A,Groups!C:C)*IF(_xlfn.XLOOKUP(B159,'Base stats'!B:B,'Base stats'!O:O)=1,0.5,IF(_xlfn.XLOOKUP(B159,'Base stats'!B:B,'Base stats'!O:O)=2,0,1)),0.05),IF(AO159&gt;3.5,0.985,0.95))))</f>
        <v>0</v>
      </c>
      <c r="K159" s="2">
        <f>ROUNDUP(AO159*_xlfn.XLOOKUP(_xlfn.XLOOKUP(B159,'Base stats'!B:B,'Base stats'!E:E),Groups!A:A,Groups!E:E),0)</f>
        <v>1</v>
      </c>
      <c r="L159" s="2">
        <f>IF(OR(_xlfn.XLOOKUP(_xlfn.XLOOKUP(B159,'Base stats'!B:B,'Base stats'!E:E),Groups!A:A,Groups!F:F)=2,ISNUMBER(SEARCH("SeaIce",BX159)),ISNUMBER(SEARCH("IceSheet",BX159))),-50,IF(OR(ISNUMBER(SEARCH("GlacialPlain",BX159)),ISNUMBER(SEARCH("Tundra",BX159))),-40,IF(OR(ISNUMBER(SEARCH("Alpine",BX159)),ISNUMBER(SEARCH("BorealForest",BX159)),ISNUMBER(SEARCH("ColdBog",BX159))),-30,IF(OR(ISNUMBER(SEARCH("TemperateForest",BX159)),ISNUMBER(SEARCH("TemperateSwamp",BX159))),-20,IF(_xlfn.XLOOKUP(_xlfn.XLOOKUP(B159,'Base stats'!B:B,'Base stats'!E:E),Groups!A:A,Groups!F:F)=1,-15,IF(OR(ISNUMBER(SEARCH("Desert",BX159)),ISNUMBER(SEARCH("ExtremeDesert",BX159))),-10,IF(OR(ISNUMBER(SEARCH("Grasslands",BX159)),ISNUMBER(SEARCH("TropicalRainforest",BX159)),ISNUMBER(SEARCH("TropicalSwamp",BX159))),10,0)))))))-IF(CC159="False",MIN(IFERROR(MAX(MROUND(LOG10(_xlfn.XLOOKUP(B159,'Base stats'!B:B,'Base stats'!C:C)^(2/3))*10,5),5),5),30))-_xlfn.XLOOKUP(B159,'Base stats'!B:B,'Base stats'!P:P)+IF(CC159="True",5,0)</f>
        <v>0</v>
      </c>
      <c r="M159" s="2">
        <f>IF(OR(_xlfn.XLOOKUP(_xlfn.XLOOKUP(B159,'Base stats'!B:B,'Base stats'!E:E),Groups!A:A,Groups!G:G)=2,ISNUMBER(SEARCH("Desert",BX159)),ISNUMBER(SEARCH("ExtremeDesert",BX159)),ISNUMBER(SEARCH("LavaField",BX159))),50,IF(ISNUMBER(SEARCH("Grasslands",BX159)),45,IF(OR(_xlfn.XLOOKUP(_xlfn.XLOOKUP(B159,'Base stats'!B:B,'Base stats'!E:E),Groups!A:A,Groups!G:G)=1,ISNUMBER(SEARCH("TropicalRainforest",BX159)),ISNUMBER(SEARCH("TropicalSwamp",BX159))),40,IF(OR(ISNUMBER(SEARCH("TemperateForest",BX159)),ISNUMBER(SEARCH("TemperateSwamp",BX159))),35,IF(OR(ISNUMBER(SEARCH("Alpine",BX159)),ISNUMBER(SEARCH("BorealForest",BX159)),ISNUMBER(SEARCH("ColdBog",BX159))),30,IF(ISNUMBER(OR(ISNUMBER(SEARCH("GlacialPlain",BX159)),SEARCH("Tundra",BX159))),25,IF(OR(ISNUMBER(SEARCH("SeaIce",BX159)),ISNUMBER(SEARCH("IceSheet",BX159)),ISNUMBER(SEARCH("TropicalSwamp",BX159))),10,35)))))))+_xlfn.XLOOKUP(B159,'Base stats'!B:B,'Base stats'!Q:Q)</f>
        <v>40</v>
      </c>
      <c r="N159" s="8" t="str">
        <f>IF(
_xlfn.XLOOKUP(
_xlfn.XLOOKUP(B159,'Base stats'!B:B,'Base stats'!E:E),
Groups!A:A,
Groups!L:L
)=1,
MIN(
MROUND(
IF(
_xlfn.XLOOKUP(B159,'Animals CE'!B:B,'Animals CE'!Z:Z)&lt;=1.5,
_xlfn.XLOOKUP(B159,'Animals CE'!B:B,'Animals CE'!Z:Z)/2+0.05,
0.8+
(_xlfn.XLOOKUP(B159,'Animals CE'!B:B,'Animals CE'!Z:Z)-1.5)
*0.02
),
0.05
),
200%
),
"No"
)</f>
        <v>No</v>
      </c>
      <c r="O159" s="8" t="str">
        <f>IF(
_xlfn.XLOOKUP(
_xlfn.XLOOKUP(B159,'Base stats'!B:B,'Base stats'!E:E),
Groups!A:A,
Groups!L:L
)=1,
MIN(
MROUND(
IF(
_xlfn.XLOOKUP(B159,'Animals CE'!B:B,'Animals CE'!AA:AA)&lt;=1.5,
_xlfn.XLOOKUP(B159,'Animals CE'!B:B,'Animals CE'!AA:AA)/2+0.05,
0.8+
(_xlfn.XLOOKUP(B159,'Animals CE'!B:B,'Animals CE'!AA:AA)-1.5)
*0.02
),
0.05
),
200%
),
"No"
)</f>
        <v>No</v>
      </c>
      <c r="P159" s="2" t="str">
        <f>_xlfn.XLOOKUP(B159,'Base stats'!B:B,'Base stats'!R:R)</f>
        <v>Standard</v>
      </c>
      <c r="Q159" s="13">
        <f>MROUND((LOG10(_xlfn.XLOOKUP(B159,'Base stats'!B:B,'Base stats'!AR:AR))*(AO159^0.5)+(_xlfn.XLOOKUP(B159,'Base stats'!B:B,'Base stats'!AR:AR)/1000)^(2/3)+_xlfn.XLOOKUP(B159,'Base stats'!B:B,'Base stats'!BA:BA)/2)+0.5,0.5)</f>
        <v>2.5</v>
      </c>
      <c r="R159" s="7">
        <f>IF(Q159="No","No",MAX(1,MROUND(_xlfn.XLOOKUP(B159,'Base stats'!B:B,'Base stats'!C:C)^0.165,0.05)))</f>
        <v>1.3</v>
      </c>
      <c r="S159" s="13" t="str">
        <f>IF(_xlfn.XLOOKUP(_xlfn.XLOOKUP(B159,'Base stats'!B:B,'Base stats'!E:E),Groups!A:A,Groups!P:P)=0,"No",MROUND((LOG10(_xlfn.XLOOKUP(B159,'Base stats'!B:B,'Base stats'!AS:AS))*(AO159^0.5)+(_xlfn.XLOOKUP(B159,'Base stats'!B:B,'Base stats'!AS:AS)/1000)^(2/3)+_xlfn.XLOOKUP(B159,'Base stats'!B:B,'Base stats'!BA:BA))+_xlfn.XLOOKUP(B159,'Base stats'!B:B,'Base stats'!AY:AY)+0.5,0.5))</f>
        <v>No</v>
      </c>
      <c r="T159" s="7" t="str">
        <f>IF(S159="No","No",MAX(_xlfn.XLOOKUP(_xlfn.XLOOKUP(B159,'Base stats'!B:B,'Base stats'!E:E),Groups!A:A,Groups!Q:Q),MROUND(_xlfn.XLOOKUP(_xlfn.XLOOKUP(B159,'Base stats'!B:B,'Base stats'!E:E),Groups!A:A,Groups!Q:Q)*_xlfn.XLOOKUP(B159,'Base stats'!B:B,'Base stats'!C:C)^0.165,0.05)))</f>
        <v>No</v>
      </c>
      <c r="U159" s="7" t="str">
        <f>IF(S159="No","No",_xlfn.XLOOKUP(_xlfn.XLOOKUP(B159,'Base stats'!B:B,'Base stats'!E:E),Groups!A:A,Groups!R:R))</f>
        <v>No</v>
      </c>
      <c r="V159" s="7" t="str">
        <f>IF(S159="No","No",_xlfn.XLOOKUP(_xlfn.XLOOKUP(B159,'Base stats'!B:B,'Base stats'!E:E),Groups!A:A,Groups!S:S))</f>
        <v>No</v>
      </c>
      <c r="W159" s="7" t="str">
        <f>IF(S159="No","No",_xlfn.XLOOKUP(_xlfn.XLOOKUP(B159,'Base stats'!B:B,'Base stats'!E:E),Groups!A:A,Groups!T:T))</f>
        <v>No</v>
      </c>
      <c r="X159" s="13" t="str">
        <f>IF(_xlfn.XLOOKUP(B159,'Base stats'!B:B,'Base stats'!W:W)="No","No",MROUND((LOG10(_xlfn.XLOOKUP(B159,'Base stats'!B:B,'Base stats'!AU:AU))*(AO159^0.5)+(_xlfn.XLOOKUP(B159,'Base stats'!B:B,'Base stats'!AU:AU)/1000)^(2/3)+_xlfn.XLOOKUP(B159,'Base stats'!B:B,'Base stats'!AZ:AZ))+0.5+IF(_xlfn.XLOOKUP(_xlfn.XLOOKUP(B159,'Base stats'!B:B,'Base stats'!E:E),Groups!A:A,Groups!U:U)&lt;&gt;3,_xlfn.XLOOKUP(B159,'Base stats'!B:B,'Base stats'!BA:BA),0),0.5))</f>
        <v>No</v>
      </c>
      <c r="Y159" s="7" t="str">
        <f>IF(X159="No","No",MAX(_xlfn.XLOOKUP(_xlfn.XLOOKUP(B159,'Base stats'!B:B,'Base stats'!E:E),Groups!A:A,Groups!V:V),MROUND(_xlfn.XLOOKUP(_xlfn.XLOOKUP(B159,'Base stats'!B:B,'Base stats'!E:E),Groups!A:A,Groups!V:V)*_xlfn.XLOOKUP(B159,'Base stats'!B:B,'Base stats'!C:C)^0.165,0.05)))</f>
        <v>No</v>
      </c>
      <c r="Z159" s="7" t="str">
        <f>IF(X159="No","No",_xlfn.XLOOKUP(_xlfn.XLOOKUP(B159,'Base stats'!B:B,'Base stats'!E:E),Groups!A:A,Groups!W:W))</f>
        <v>No</v>
      </c>
      <c r="AA159" s="7" t="str">
        <f>IF(X159="No","No",_xlfn.XLOOKUP(_xlfn.XLOOKUP(B159,'Base stats'!B:B,'Base stats'!E:E),Groups!A:A,Groups!X:X))</f>
        <v>No</v>
      </c>
      <c r="AB159" s="7" t="str">
        <f>IF(X159="No","No",_xlfn.XLOOKUP(_xlfn.XLOOKUP(B159,'Base stats'!B:B,'Base stats'!E:E),Groups!A:A,Groups!Y:Y))</f>
        <v>No</v>
      </c>
      <c r="AC159" s="7" t="str">
        <f>_xlfn.XLOOKUP(Animals!B159,'Base stats'!B:B,'Base stats'!X:X)</f>
        <v>False</v>
      </c>
      <c r="AD159" s="13">
        <f>IF(_xlfn.XLOOKUP(B159,'Base stats'!B:B,'Base stats'!AT:AT)="No","No",MROUND((LOG10(_xlfn.XLOOKUP(B159,'Base stats'!B:B,'Base stats'!AT:AT))*(AO159^0.75)+(_xlfn.XLOOKUP(B159,'Base stats'!B:B,'Base stats'!AT:AT)/1000)^(2/3)+_xlfn.XLOOKUP(B159,'Base stats'!B:B,'Base stats'!AX:AX)+_xlfn.XLOOKUP(B159,'Base stats'!B:B,'Base stats'!BA:BA))+0.5,0.5))</f>
        <v>4.5</v>
      </c>
      <c r="AE159" s="7">
        <f>IF(AD159="No","No",MAX(_xlfn.XLOOKUP(_xlfn.XLOOKUP(B159,'Base stats'!B:B,'Base stats'!E:E),Groups!A:A,Groups!Z:Z),MROUND(_xlfn.XLOOKUP(_xlfn.XLOOKUP(B159,'Base stats'!B:B,'Base stats'!E:E),Groups!A:A,Groups!Z:Z)*_xlfn.XLOOKUP(B159,'Base stats'!B:B,'Base stats'!C:C)^0.165,0.05)))</f>
        <v>0.9</v>
      </c>
      <c r="AF159" s="7" t="str">
        <f>IF(AD159="No","No",_xlfn.XLOOKUP(_xlfn.XLOOKUP(B159,'Base stats'!B:B,'Base stats'!E:E),Groups!A:A,Groups!AA:AA))</f>
        <v>Teeth</v>
      </c>
      <c r="AG159" s="7" t="str">
        <f>IF(AD159="No","No",_xlfn.XLOOKUP(_xlfn.XLOOKUP(B159,'Base stats'!B:B,'Base stats'!E:E),Groups!A:A,Groups!AB:AB))</f>
        <v>canines</v>
      </c>
      <c r="AH159" s="7" t="str">
        <f>IF(AD159="No","No",_xlfn.XLOOKUP(_xlfn.XLOOKUP(B159,'Base stats'!B:B,'Base stats'!E:E),Groups!A:A,Groups!AC:AC))</f>
        <v>Bite</v>
      </c>
      <c r="AI159" s="13">
        <f>IF(_xlfn.XLOOKUP(_xlfn.XLOOKUP(B159,'Base stats'!B:B,'Base stats'!E:E),Groups!A:A,Groups!AD:AD)=0,"No",MROUND((LOG10(_xlfn.XLOOKUP(B159,'Base stats'!B:B,'Base stats'!AS:AS))*(AO159^0.75)+(_xlfn.XLOOKUP(B159,'Base stats'!B:B,'Base stats'!AS:AS)/1000)^(2/3)+_xlfn.XLOOKUP(B159,'Base stats'!B:B,'Base stats'!AY:AY)+_xlfn.XLOOKUP(B159,'Base stats'!B:B,'Base stats'!BA:BA))+0.5,0.5))</f>
        <v>3.5</v>
      </c>
      <c r="AJ159" s="7">
        <f>IF(AI159="No","No",MAX(_xlfn.XLOOKUP(_xlfn.XLOOKUP(B159,'Base stats'!B:B,'Base stats'!E:E),Groups!A:A,Groups!AE:AE),MROUND(_xlfn.XLOOKUP(_xlfn.XLOOKUP(B159,'Base stats'!B:B,'Base stats'!E:E),Groups!A:A,Groups!AE:AE)*IF(_xlfn.XLOOKUP(_xlfn.XLOOKUP(B159,'Base stats'!B:B,'Base stats'!E:E),Groups!A:A,Groups!AJ:AJ)="Photonozoa",0.6,1)*_xlfn.XLOOKUP(B159,'Base stats'!B:B,'Base stats'!C:C)^0.165,0.05)))</f>
        <v>0.85000000000000009</v>
      </c>
      <c r="AK159" s="7" t="str">
        <f>IF(AI159="No","No",_xlfn.XLOOKUP(_xlfn.XLOOKUP(B159,'Base stats'!B:B,'Base stats'!E:E),Groups!A:A,Groups!AF:AF))</f>
        <v>FrontLeftPaw, FrontRightPaw</v>
      </c>
      <c r="AL159" s="7" t="str">
        <f>IF(AI159="No","No",_xlfn.XLOOKUP(_xlfn.XLOOKUP(B159,'Base stats'!B:B,'Base stats'!E:E),Groups!A:A,Groups!AG:AG))</f>
        <v>left claw, right claw</v>
      </c>
      <c r="AM159" s="7" t="str">
        <f>IF(AI159="No","No",_xlfn.XLOOKUP(_xlfn.XLOOKUP(B159,'Base stats'!B:B,'Base stats'!E:E),Groups!A:A,Groups!AH:AH))</f>
        <v>Scratch</v>
      </c>
      <c r="AN159" s="2">
        <f t="shared" si="14"/>
        <v>15</v>
      </c>
      <c r="AO159" s="2">
        <f>MROUND(IF(AND(_xlfn.XLOOKUP(B159,'Base stats'!B:B,'Base stats'!C:C)&gt;=0.5,_xlfn.XLOOKUP(B159,'Base stats'!B:B,'Base stats'!C:C)&lt;=0.8),
IF(_xlfn.XLOOKUP(B159,'Base stats'!B:B,'Base stats'!C:C)&lt;0.1,0.05,IF(_xlfn.XLOOKUP(B159,'Base stats'!B:B,'Base stats'!C:C)&lt;=70,(_xlfn.XLOOKUP(B159,'Base stats'!B:B,'Base stats'!C:C)/70)^0.426489913056526,IF(_xlfn.XLOOKUP(B159,'Base stats'!B:B,'Base stats'!C:C)&lt;=400,(_xlfn.XLOOKUP(B159,'Base stats'!B:B,'Base stats'!C:C)/70)^0.572811455315093,IF(_xlfn.XLOOKUP(B159,'Base stats'!B:B,'Base stats'!C:C)&lt;=2000,2.71391647193063*(_xlfn.XLOOKUP(B159,'Base stats'!B:B,'Base stats'!C:C)/400)^0.252459582904293,3.74314280240376*(_xlfn.XLOOKUP(B159,'Base stats'!B:B,'Base stats'!C:C)/2000)^0.357012633876913)))),
IF(_xlfn.XLOOKUP(B159,'Base stats'!B:B,'Base stats'!C:C)&lt;0.1,0.05,IF(_xlfn.XLOOKUP(B159,'Base stats'!B:B,'Base stats'!C:C)&lt;0.4,0.1,IF(_xlfn.XLOOKUP(B159,'Base stats'!B:B,'Base stats'!C:C)&lt;=70,(_xlfn.XLOOKUP(B159,'Base stats'!B:B,'Base stats'!C:C)/70)^0.445823913056526,IF(_xlfn.XLOOKUP(B159,'Base stats'!B:B,'Base stats'!C:C)&lt;=400,(_xlfn.XLOOKUP(B159,'Base stats'!B:B,'Base stats'!C:C)/70)^0.572811455315093,IF(_xlfn.XLOOKUP(B159,'Base stats'!B:B,'Base stats'!C:C)&lt;=2000,2.71391647193063*(_xlfn.XLOOKUP(B159,'Base stats'!B:B,'Base stats'!C:C)/400)^0.252459582904293,3.74314280240376*(_xlfn.XLOOKUP(B159,'Base stats'!B:B,'Base stats'!C:C)/2000)^0.357012633876913)))))),
IF(_xlfn.XLOOKUP(B159,'Base stats'!B:B,'Base stats'!C:C)&lt;0.1,0.05,IF(_xlfn.XLOOKUP(B159,'Base stats'!B:B,'Base stats'!C:C)&lt;=100,0.05,IF(_xlfn.XLOOKUP(B159,'Base stats'!B:B,'Base stats'!C:C)&lt;=250,0.1,IF(_xlfn.XLOOKUP(B159,'Base stats'!B:B,'Base stats'!C:C)&lt;=4000,0.25,0.5)))))</f>
        <v>0.30000000000000004</v>
      </c>
      <c r="AP159" s="8">
        <f>MROUND(AO159*_xlfn.XLOOKUP(_xlfn.XLOOKUP(B159,'Base stats'!B:B,'Base stats'!E:E),Groups!A:A,Groups!AI:AI)*_xlfn.XLOOKUP(B159,'Base stats'!B:B,'Base stats'!Z:Z),0.05)</f>
        <v>0.35000000000000003</v>
      </c>
      <c r="AQ159" s="8">
        <f>MAX(0.01,MROUND(IF(CC159="True",0.196*(AO159*100*1000)^0.889,IF(_xlfn.XLOOKUP(_xlfn.XLOOKUP(B159,'Base stats'!B:B,'Base stats'!E:E),Groups!A:A,Groups!AJ:AJ)="Bird",10.5*(AO159*100*1000)^0.681,4.82*(AO159*100*1000)^0.734))/(4.82*(1*100*1000)^0.734)/IF(AO159&lt;3.5,2,IF(AO159=3.5,1.5,1.25))*(1+0.132282374779864/(AO159^0.994035016789033+0.00905238001496948)),0.05))</f>
        <v>0.30000000000000004</v>
      </c>
      <c r="AR159" s="9">
        <f>IFERROR(MROUND(_xlfn.XLOOKUP(B159,'Base stats'!B:B,'Base stats'!H:H)/IF(_xlfn.XLOOKUP(B159,'Base stats'!B:B,'Base stats'!I:I)&lt;&gt;1,(122.5/70),1.2),IF(_xlfn.XLOOKUP(B159,'Base stats'!B:B,'Base stats'!H:H)&gt;=30,5,IF(_xlfn.XLOOKUP(B159,'Base stats'!B:B,'Base stats'!H:H)&gt;=15,3,IF(_xlfn.XLOOKUP(B159,'Base stats'!B:B,'Base stats'!H:H)&gt;=10,2,1)))),"Immortal")</f>
        <v>15</v>
      </c>
      <c r="AS159" s="35">
        <f>IFERROR(IF(OR(_xlfn.XLOOKUP(B159,'Base stats'!B:B,'Base stats'!F:F)="Atypical reproduction",_xlfn.XLOOKUP(B159,'Base stats'!B:B,'Base stats'!F:F)="Lay eggs"),"Lay eggs",MIN(20,MAX(5.5,ROUND(((_xlfn.XLOOKUP(B159,'Base stats'!B:B,'Base stats'!F:F)-25)*(14.5/615) + 5.5)*2,0)/2))),"Unknown")</f>
        <v>6.5</v>
      </c>
      <c r="AT159" s="8">
        <f>IF(_xlfn.XLOOKUP(B159,'Base stats'!B:B,'Base stats'!G:G)="Atypical reproduction","No",IFERROR(MAX(IF(_xlfn.XLOOKUP(B159,'Base stats'!B:B,'Base stats'!G:G)&lt;0.5,0.2,0.3),MROUND(_xlfn.XLOOKUP(B159,'Base stats'!B:B,'Base stats'!G:G)/(365/60),0.2)),"Unknown"))</f>
        <v>0.3</v>
      </c>
      <c r="AU159" s="8">
        <f t="shared" si="15"/>
        <v>0.15000000000000002</v>
      </c>
      <c r="AV159" s="8">
        <f>IFERROR(IFERROR(MROUND(_xlfn.XLOOKUP(B159,'Base stats'!B:B,'Base stats'!J:J),0.1),"Lay eggs"),"Cannot breed")</f>
        <v>4</v>
      </c>
      <c r="AW159" s="2" t="str">
        <f t="shared" si="16"/>
        <v>false</v>
      </c>
      <c r="AX159" s="2" t="str">
        <f>IF(_xlfn.XLOOKUP(_xlfn.XLOOKUP(Animals!B159,'Base stats'!B:B,'Base stats'!E:E),Groups!A:A,Groups!AK:AK)=1,"true","false")</f>
        <v>false</v>
      </c>
      <c r="AY159" s="25" t="str">
        <f>IF(_xlfn.XLOOKUP(B159,'Base stats'!B:B,'Base stats'!Y:Y)="Liquor","Liquor, CarnivoreAnimalStrict",IF(AND(_xlfn.XLOOKUP(B159,'Base stats'!B:B,'Base stats'!Y:Y)="Carnivore",_xlfn.XLOOKUP(_xlfn.XLOOKUP(B159,'Base stats'!B:B,'Base stats'!E:E),Groups!A:A,Groups!AJ:AJ)="Photonozoa"),"CarnivoreAnimalStrict, OvivoreAnimal",IF(_xlfn.XLOOKUP(B159,'Base stats'!B:B,'Base stats'!Y:Y)="Carnivore","CarnivoreAnimal, OvivoreAnimal",IF(_xlfn.XLOOKUP(B159,'Base stats'!B:B,'Base stats'!Y:Y)="Dendrovore","VegetarianRoughAnimal, DendrovoreAnimal",IF(_xlfn.XLOOKUP(B159,'Base stats'!B:B,'Base stats'!Y:Y)="Herbivore","VegetarianRoughAnimal",IF(_xlfn.XLOOKUP(B159,'Base stats'!B:B,'Base stats'!Y:Y)="OmnivoreRough","OmnivoreRoughAnimal, OvivoreAnimal","OmnivoreAnimal, OvivoreAnimal"))))))</f>
        <v>CarnivoreAnimal, OvivoreAnimal</v>
      </c>
      <c r="AZ159" s="2" t="str">
        <f>IF(_xlfn.XLOOKUP(_xlfn.XLOOKUP(B159,'Base stats'!B:B,'Base stats'!E:E),Groups!A:A,Groups!D:D)=1,MROUND((1-J159)*5+1,2)*IF(J159&lt;=0.4,2,1),"No")</f>
        <v>No</v>
      </c>
      <c r="BA159" s="2" t="str">
        <f>IF(AND(_xlfn.XLOOKUP(B159,'Base stats'!B:B,'Base stats'!AH:AH)="&lt;li&gt;Seal&lt;/li&gt;",G159="Odyssey"),"&lt;li&gt;AEXP_Seal&lt;/li&gt;",_xlfn.XLOOKUP(B159,'Base stats'!B:B,'Base stats'!AH:AH))</f>
        <v>&lt;li&gt;Cat&lt;/li&gt;</v>
      </c>
      <c r="BB159" s="2" t="str">
        <f>_xlfn.XLOOKUP(B159,'Base stats'!B:B,'Base stats'!AG:AG)</f>
        <v>Leather_Light</v>
      </c>
      <c r="BC159" s="23" t="str">
        <f>_xlfn.XLOOKUP(_xlfn.XLOOKUP(B159,'Base stats'!B:B,'Base stats'!E:E),Groups!A:A,Groups!AL:AL)</f>
        <v>QuadrupedAnimalWithPawsAndTail</v>
      </c>
      <c r="BD159" s="23">
        <f>MIN(1,MROUND(IF(AND(AO159&lt;0.5,_xlfn.XLOOKUP(B159,'Base stats'!B:B,'Base stats'!AA:AA)=0),0,IF(OR(_xlfn.XLOOKUP(Animals!B159,'Base stats'!B:B,'Base stats'!O:O)=2,_xlfn.XLOOKUP(_xlfn.XLOOKUP(B159,'Base stats'!B:B,'Base stats'!E:E),Groups!A:A,Groups!AN:AN)=0),0,_xlfn.XLOOKUP(_xlfn.XLOOKUP(B159,'Base stats'!B:B,'Base stats'!E:E),Groups!A:A,Groups!AN:AN)/IF(_xlfn.XLOOKUP(Animals!B159,'Base stats'!B:B,'Base stats'!O:O)=1,2,1)))+_xlfn.XLOOKUP(B159,'Base stats'!B:B,'Base stats'!AC:AC),0.005))</f>
        <v>0</v>
      </c>
      <c r="BE159" s="23">
        <f>MIN(1,MROUND(IF(AND(AO159&lt;0.5,_xlfn.XLOOKUP(B159,'Base stats'!B:B,'Base stats'!AA:AA)=0),0,IF(_xlfn.XLOOKUP(_xlfn.XLOOKUP(B159,'Base stats'!B:B,'Base stats'!E:E),Groups!A:A,Groups!AO:AO)=0,0,_xlfn.XLOOKUP(_xlfn.XLOOKUP(B159,'Base stats'!B:B,'Base stats'!E:E),Groups!A:A,Groups!AO:AO)/IF(_xlfn.XLOOKUP(Animals!B159,'Base stats'!B:B,'Base stats'!O:O)=2,3,1)))+_xlfn.XLOOKUP(B159,'Base stats'!B:B,'Base stats'!AD:AD),0.005))</f>
        <v>0</v>
      </c>
      <c r="BF159" s="2">
        <f>IF(J159&gt;0.3,"No",_xlfn.XLOOKUP(_xlfn.XLOOKUP(Animals!B159,'Base stats'!B:B,'Base stats'!E:E),Groups!A:A,Groups!AP:AP))</f>
        <v>1</v>
      </c>
      <c r="BG159" s="2">
        <f>IF(AND(J159&lt;=0.65,_xlfn.XLOOKUP(_xlfn.XLOOKUP(Animals!B159,'Base stats'!B:B,'Base stats'!E:E),Groups!A:A,Groups!AP:AP)&lt;&gt;"No",_xlfn.XLOOKUP(_xlfn.XLOOKUP(B159,'Base stats'!B:B,'Base stats'!E:E),Groups!A:A,Groups!D:D)=0),MROUND((80/3)*IF(_xlfn.XLOOKUP(B159,'Base stats'!B:B,'Base stats'!O:O)=2,0.2,AO159) + 24*(1-IF(BF159="No",0,BF159)) + 16/3, 12),"No")</f>
        <v>12</v>
      </c>
      <c r="BH159" s="2">
        <f>IF(AND(_xlfn.XLOOKUP(_xlfn.XLOOKUP(B159,'Base stats'!B:B,'Base stats'!E:E),Groups!A:A,Groups!AQ:AQ)=1,AO159&lt;=0.35),8,12)</f>
        <v>12</v>
      </c>
      <c r="BI159" s="2" t="str">
        <f>IF(_xlfn.XLOOKUP(_xlfn.XLOOKUP(B159,'Base stats'!B:B,'Base stats'!E:E),Groups!A:A,Groups!D:D)=0,_xlfn.XLOOKUP(_xlfn.XLOOKUP(B159,'Base stats'!B:B,'Base stats'!E:E),Groups!A:A,Groups!AR:AR),"None")</f>
        <v>Intermediate</v>
      </c>
      <c r="BJ159" s="2" t="str">
        <f>IF(AND(_xlfn.XLOOKUP(_xlfn.XLOOKUP(B159,'Base stats'!B:B,'Base stats'!E:E),Groups!A:A,Groups!AS:AS)=1,OR(_xlfn.XLOOKUP(B159,'Base stats'!B:B,'Base stats'!Y:Y)="Carnivore",_xlfn.XLOOKUP(B159,'Base stats'!B:B,'Base stats'!Y:Y)="Omnivore")),"true","false")</f>
        <v>true</v>
      </c>
      <c r="BK159" s="2">
        <f>IF(BJ159="true",MROUND(IF(AND(AO159&gt;0.5,OR(_xlfn.XLOOKUP(_xlfn.XLOOKUP(B159,'Base stats'!B:B,'Base stats'!E:E),Groups!A:A,Groups!AJ:AJ)="Photonozoa",_xlfn.XLOOKUP(_xlfn.XLOOKUP(B159,'Base stats'!B:B,'Base stats'!E:E),Groups!A:A,Groups!AJ:AJ)="Mammal")),Animals!AO159*1.75*IF(AW159="true",1.5,1),IF(AO159&lt;0.5,Animals!AO159*0.5,Animals!AO159)),IF(AO159&gt;2,0.5,IF(AO159&gt;0.5,0.25,0.1))),"No")</f>
        <v>0.2</v>
      </c>
      <c r="BL159" s="2">
        <f t="shared" si="17"/>
        <v>1</v>
      </c>
      <c r="BM159" s="25" t="str">
        <f>IF(_xlfn.XLOOKUP(B159,'Base stats'!B:B,'Base stats'!AN:AN)="Standard","No",MROUND((_xlfn.XLOOKUP(B159,'Base stats'!B:B,'Base stats'!AN:AN)/3.6)/I159,0.1))</f>
        <v>No</v>
      </c>
      <c r="BN159" s="25" t="str">
        <f t="shared" si="18"/>
        <v>false</v>
      </c>
      <c r="BO159" s="25" t="str">
        <f>IF(AND(OR(_xlfn.XLOOKUP(B159,'Base stats'!B:B,'Base stats'!Y:Y)="Carnivore",_xlfn.XLOOKUP(B159,'Base stats'!B:B,'Base stats'!Y:Y)="Omnivore",_xlfn.XLOOKUP(B159,'Base stats'!B:B,'Base stats'!Y:Y)="OmnivoreRough"),_xlfn.XLOOKUP(_xlfn.XLOOKUP(B159,'Base stats'!B:B,'Base stats'!E:E),Groups!A:A,Groups!AT:AT)=1),"true","false")</f>
        <v>false</v>
      </c>
      <c r="BP159" s="25" t="str" cm="1">
        <f t="array" ref="BP159">IF(
  _xlfn.TEXTJOIN(", ",TRUE,
    IF(AND(BJ159="true",AO159&gt;0.5,BI159&lt;&gt;"None"),"AttackTarget",""),
    IF(AND(_xlfn.XLOOKUP(_xlfn.XLOOKUP(B159,'Base stats'!B:B,'Base stats'!E:E),Groups!A:A,Groups!AJ:AJ="Mammal"),OR(_xlfn.XLOOKUP(B159,'Base stats'!B:B,'Base stats'!Y:Y)="Omnivore",_xlfn.XLOOKUP(B159,'Base stats'!B:B,'Base stats'!Y:Y)="OmnivoreRough")),"Forage",""),
    IF(BG159&lt;=36,"Comfort",""),
    IF(_xlfn.XLOOKUP(B159,'Base stats'!B:B,'Base stats'!AE:AE)&lt;&gt;"No",_xlfn.XLOOKUP(B159,'Base stats'!B:B,'Base stats'!AE:AE),"")
  ) = "",
  "No",
  _xlfn.TEXTJOIN(", ",TRUE,
    IF(AND(BJ159="true",AO159&gt;0.5,BI159&lt;&gt;"None"),"AttackTarget",""),
    IF(AND(_xlfn.XLOOKUP(_xlfn.XLOOKUP(B159,'Base stats'!B:B,'Base stats'!E:E),Groups!A:A,Groups!AJ:AJ="Mammal"),OR(_xlfn.XLOOKUP(B159,'Base stats'!B:B,'Base stats'!Y:Y)="Omnivore",_xlfn.XLOOKUP(B159,'Base stats'!B:B,'Base stats'!Y:Y)="OmnivoreRough")),"Forage",""),
    IF(BG159&lt;=36,"Comfort",""),
    IF(_xlfn.XLOOKUP(B159,'Base stats'!B:B,'Base stats'!AE:AE)&lt;&gt;"No",_xlfn.XLOOKUP(B159,'Base stats'!B:B,'Base stats'!AE:AE),"")
  )
)</f>
        <v>Comfort</v>
      </c>
      <c r="BQ159" s="25" t="str">
        <f>IF(
   AND(
      'Base stats'!AN159="Standard",_xlfn.XLOOKUP(_xlfn.XLOOKUP(B159,'Base stats'!B:B,'Base stats'!E:E),Groups!A:A,Groups!AU:AU)=0,
      OR(
      BO159="True"
      )
   ),
   10,
   IF(
       OR(BM159&lt;&gt;"No",_xlfn.XLOOKUP(_xlfn.XLOOKUP(B159,'Base stats'!B:B,'Base stats'!E:E),Groups!A:A,Groups!AU:AU)=1),
      1,
      "No"
   )
)</f>
        <v>No</v>
      </c>
      <c r="BR159" s="9">
        <f>MROUND((1 + ((0.2*IF(OR(Q159="No",R159="No",R159=0),0,Q159/R159)
+IF(OR(V159="No",S159="No",T159="No"),0,S159/T159*(LEN(V159)-LEN(SUBSTITUTE(V159,",",""))+1))
+IF(OR(X159="No",Y159="No"),0,X159/Y159)
+IF(OR(AD159="No",AE159="No"),0,AD159/AE159)
+IF(OR(AL159="No",AI159="No",AJ159="No"),0,AI159/AJ159*(LEN(AL159)-LEN(SUBSTITUTE(AL159,",",""))+1))
)/(0.2*IF(OR(Q159="No",R159="No",R159=0),0,1)
+IF(OR(V159="No",S159="No",T159="No"),0,LEN(V159)-LEN(SUBSTITUTE(V159,",",""))+1)
+IF(OR(X159="No",Y159="No"),0,1)
+IF(OR(AD159="No",AE159="No"),0,1)
+IF(OR(AL159="No",AI159="No",AJ159="No"),0,LEN(AL159)-LEN(SUBSTITUTE(AL159,",",""))+1))*62%)* 2)*(1 + (AP159 / (IF(_xlfn.XLOOKUP(_xlfn.XLOOKUP(B159,'Base stats'!B:B,'Base stats'!E:E),Groups!A:A,Groups!AJ:AJ)="Photonozoa",0.3,1)) + _xlfn.XLOOKUP(B159,'Base stats'!B:B,'Base stats'!AV:AV) * 1.8) * 2) * 2.5 + 10 + I159 * 2,5)+IF(_xlfn.XLOOKUP(B159,'Base stats'!B:B,'Base stats'!AK:AK)=1,50,0)</f>
        <v>50</v>
      </c>
      <c r="BS159" s="8">
        <f t="shared" si="19"/>
        <v>0.30000000000000004</v>
      </c>
      <c r="BT159" s="8" t="str">
        <f>_xlfn.XLOOKUP(B159,'Base stats'!B:B,'Base stats'!AF:AF)</f>
        <v>No</v>
      </c>
      <c r="BU159" s="2" t="str">
        <f>IF(AND(J159&lt;=0.95,OR(_xlfn.XLOOKUP(B159,'Base stats'!B:B,'Base stats'!AK:AK)=1,_xlfn.XLOOKUP(B159,'Base stats'!B:B,'Base stats'!Y:Y)="Carnivore",_xlfn.XLOOKUP(B159,'Base stats'!B:B,'Base stats'!Y:Y)="Omnivore",BE159&gt;0.1)),"true","false")</f>
        <v>true</v>
      </c>
      <c r="BV159" s="2" t="str">
        <f>IF(_xlfn.XLOOKUP(B159,'Base stats'!B:B,'Base stats'!AI:AI)=1,"true","false")</f>
        <v>false</v>
      </c>
      <c r="BW159" s="25" t="str">
        <f>IF(E159="BaseInsect","AnimalInsect",
IF(J159&gt;0.95,"AnimalExotic",
_xlfn.TEXTJOIN(", ",TRUE,
IF(OR(_xlfn.XLOOKUP(B159,'Base stats'!B:B,'Base stats'!AM:AM)=1,AND(_xlfn.XLOOKUP(B159,'Base stats'!B:B,'Base stats'!O:O)=0,_xlfn.XLOOKUP(_xlfn.XLOOKUP(B159,'Base stats'!B:B,'Base stats'!E:E),Groups!A:A,Groups!B:B)&gt;0)),"AnimalUncommon","AnimalCommon"),
IF(AND(_xlfn.XLOOKUP(B159,'Base stats'!B:B,'Base stats'!O:O)=2,_xlfn.XLOOKUP(_xlfn.XLOOKUP(B159,'Base stats'!B:B,'Base stats'!E:E),Groups!A:A,Groups!D:D)=0),"AnimalPet",IF(AND(_xlfn.XLOOKUP(B159,'Base stats'!B:B,'Base stats'!O:O)&lt;&gt;0,_xlfn.XLOOKUP(_xlfn.XLOOKUP(B159,'Base stats'!B:B,'Base stats'!E:E),Groups!A:A,Groups!D:D)&lt;&gt;0),"AnimalFarm","")),
IF(OR(_xlfn.XLOOKUP(B159,'Base stats'!B:B,'Base stats'!AK:AK)=1,AND(BI159&lt;&gt;"None",BR159&gt;=60),ISNUMBER(SEARCH("Attack target",BP159))),"AnimalFighter","")
)))</f>
        <v>AnimalCommon, AnimalPet</v>
      </c>
      <c r="BX159" s="25" t="str">
        <f>IF(G159="None",TRIM(
SUBSTITUTE(
IF(COUNTIF(Biomes!B$2:B$259,"="&amp;$C159)&gt;0,Biomes!B$1&amp;", ","")&amp;
IF(COUNTIF(Biomes!C$2:C$259,"="&amp;$C159)&gt;0,Biomes!C$1&amp;", ","")&amp;
IF(COUNTIF(Biomes!D$2:D$259,"="&amp;$C159)&gt;0,Biomes!D$1&amp;", ","")&amp;
IF(COUNTIF(Biomes!F$2:F$259,"="&amp;$C159)&gt;0,Biomes!F$1&amp;", ","")&amp;
IF(COUNTIF(Biomes!G$2:G$259,"="&amp;$C159)&gt;0,Biomes!G$1&amp;", ","")&amp;
IF(COUNTIF(Biomes!H$2:H$259,"="&amp;$C159)&gt;0,Biomes!H$1&amp;", ","")&amp;
IF(COUNTIF(Biomes!I$2:I$259,"="&amp;$C159)&gt;0,Biomes!I$1&amp;", ","")&amp;
IF(COUNTIF(Biomes!J$2:J$259,"="&amp;$C159)&gt;0,Biomes!J$1&amp;", ","")&amp;
IF(COUNTIF(Biomes!M$2:M$259,"="&amp;$C159)&gt;0,Biomes!M$1&amp;", ","")&amp;
IF(COUNTIF(Biomes!N$2:N$259,"="&amp;$C159)&gt;0,Biomes!N$1&amp;", ","")&amp;
IF(COUNTIF(Biomes!O$2:O$259,"="&amp;$C159)&gt;0,Biomes!O$1&amp;", ","")&amp;
IF(COUNTIF(Biomes!P$2:P$259,"="&amp;$C159)&gt;0,Biomes!P$1&amp;", ","")&amp;
IF(COUNTIF(Biomes!K$2:K$259,"="&amp;$C159)&gt;0,Biomes!K$1&amp;", ","")&amp;
IF(COUNTIF(Biomes!Q$3:Q$259,"="&amp;$C159)&gt;0,Biomes!Q$1&amp;", ","")&amp;
IF(COUNTIF(Biomes!L$2:L$259,"="&amp;$C159)&gt;0,Biomes!L$1&amp;", ","")&amp;
IF(COUNTIF(Biomes!E$2:E$259,"="&amp;$C159)&gt;0,Biomes!E$1&amp;", ","")&amp;IF(COUNTIF(Biomes!S$2:S$259,"="&amp;$C159)&gt;0,Biomes!S$1&amp;", ","")&amp;
IF(COUNTIF(Biomes!R$2:R$259,"="&amp;$C159)&gt;0,Biomes!R$1&amp;", ",""),", ","")
),_xlfn.XLOOKUP(B159,B:B,BX:BX))</f>
        <v/>
      </c>
      <c r="BY159" s="25" t="str">
        <f>IF(_xlfn.XLOOKUP(B159,'Base stats'!B:B,'Base stats'!AJ:AJ)=1,"true","false")</f>
        <v>false</v>
      </c>
      <c r="BZ159" s="25">
        <f>IF(_xlfn.XLOOKUP(B159,'Base stats'!B:B,'Base stats'!N:N)=1,"No",MAX(0.001,MIN(MROUND(IF(AND(BJ159="True",CC159="False"),POWER(10,3.47*LOG10(_xlfn.XLOOKUP(B159,'Base stats'!B:B,'Base stats'!C:C)*1000)^-0.96),POWER(10,4.15*LOG10(_xlfn.XLOOKUP(B159,'Base stats'!B:B,'Base stats'!C:C)*1000)^-0.73))*IF(_xlfn.XLOOKUP(B159,'Base stats'!B:B,'Base stats'!AK:AK)=1,0.5,1)*IF(_xlfn.XLOOKUP(B159,'Base stats'!B:B,'Base stats'!AM:AM)=1,0.1,1)/100,IF(_xlfn.XLOOKUP(B159,'Base stats'!B:B,'Base stats'!AM:AM)=1,0.001,0.025)),0.5)))</f>
        <v>0.1</v>
      </c>
      <c r="CA159" s="25" t="str">
        <f>IF(P159="Standard","No",MAX(0.001,MIN(MROUND(IF(AND(BJ159="True",CC159="False"),POWER(10,3.47*LOG10(_xlfn.XLOOKUP(B159,'Base stats'!B:B,'Base stats'!C:C)*1000)^-0.96),POWER(10,4.15*LOG10(_xlfn.XLOOKUP(B159,'Base stats'!B:B,'Base stats'!C:C)*1000)^-0.73))*IF(_xlfn.XLOOKUP(B159,'Base stats'!B:B,'Base stats'!AM:AM)=1,0.1,1)*_xlfn.XLOOKUP(B159,'Base stats'!B:B,'Base stats'!R:R)/100,IF(_xlfn.XLOOKUP(B159,'Base stats'!B:B,'Base stats'!AM:AM)=1,0.001,0.025)),0.5)))</f>
        <v>No</v>
      </c>
      <c r="CB159" s="25" t="str">
        <f>IF(_xlfn.XLOOKUP(_xlfn.XLOOKUP(B159,'Base stats'!B:B,'Base stats'!E:E),Groups!A:A,Groups!AJ:AJ)="Mammal","True","False")</f>
        <v>True</v>
      </c>
      <c r="CC159" s="25" t="str">
        <f>IF(OR(_xlfn.XLOOKUP(_xlfn.XLOOKUP(B159,'Base stats'!B:B,'Base stats'!E:E),Groups!A:A,Groups!AJ:AJ)="Reptile",_xlfn.XLOOKUP(_xlfn.XLOOKUP(B159,'Base stats'!B:B,'Base stats'!E:E),Groups!A:A,Groups!AJ:AJ)="Amphibian",_xlfn.XLOOKUP(_xlfn.XLOOKUP(B159,'Base stats'!B:B,'Base stats'!E:E),Groups!A:A,Groups!AJ:AJ)="Invertebrate"),"True","False")</f>
        <v>False</v>
      </c>
      <c r="CD159" s="25" t="str">
        <f t="shared" si="20"/>
        <v>False</v>
      </c>
      <c r="CE159" s="25" t="str">
        <f>IF(_xlfn.XLOOKUP(_xlfn.XLOOKUP(B159,'Base stats'!B:B,'Base stats'!E:E),Groups!A:A,Groups!AX:AX),"True","False")</f>
        <v>False</v>
      </c>
      <c r="CF159" s="25" t="str">
        <f>IF(_xlfn.XLOOKUP(_xlfn.XLOOKUP(B159,'Base stats'!B:B,'Base stats'!E:E),Groups!A:A,Groups!AY:AY),"True","False")</f>
        <v>False</v>
      </c>
      <c r="CG159" s="25" t="str">
        <f>IF(_xlfn.XLOOKUP(_xlfn.XLOOKUP(B159,'Base stats'!B:B,'Base stats'!E:E),Groups!A:A,Groups!AW:AW),"True","False")</f>
        <v>False</v>
      </c>
      <c r="CH159" s="25" t="str">
        <f>IF(
OR(
_xlfn.XLOOKUP(_xlfn.XLOOKUP(B159,'Base stats'!B:B,'Base stats'!E:E),Groups!A:A,Groups!AZ:AZ)=0,
AND(
_xlfn.XLOOKUP(B159,'Base stats'!B:B,'Base stats'!Y:Y)&lt;&gt;"Carnivore",
_xlfn.XLOOKUP(B159,'Base stats'!B:B,'Base stats'!Y:Y)&lt;&gt;"Omnivore",
_xlfn.XLOOKUP(B159,'Base stats'!B:B,'Base stats'!Y:Y)&lt;&gt;"OmnivoreRough"
)
),
"No",
IF(
_xlfn.XLOOKUP(_xlfn.XLOOKUP(B159,'Base stats'!B:B,'Base stats'!E:E),Groups!A:A,Groups!AZ:AZ)=1,
"Flesh",
IF(
_xlfn.XLOOKUP(_xlfn.XLOOKUP(B159,'Base stats'!B:B,'Base stats'!E:E),Groups!A:A,Groups!AZ:AZ)=2,
"Bone",
""
)
)
)</f>
        <v>No</v>
      </c>
      <c r="CI159" s="25" t="str">
        <f>IF(_xlfn.XLOOKUP(_xlfn.XLOOKUP(B159,'Base stats'!B:B,'Base stats'!E:E),Groups!A:A,Groups!BB:BB),"True","False")</f>
        <v>True</v>
      </c>
      <c r="CJ159" s="25" t="str">
        <f>IF(_xlfn.XLOOKUP(_xlfn.XLOOKUP(B159,'Base stats'!B:B,'Base stats'!E:E),Groups!A:A,Groups!BA:BA),"True","False")</f>
        <v>False</v>
      </c>
    </row>
    <row r="160" spans="1:88" ht="16.5" thickTop="1" thickBot="1" x14ac:dyDescent="0.3">
      <c r="A160" s="26" t="str">
        <f>_xlfn.XLOOKUP(B160,'Base stats'!B:B,'Base stats'!A:A)</f>
        <v>Kalisk</v>
      </c>
      <c r="B160" s="6" t="s">
        <v>454</v>
      </c>
      <c r="C160" s="28" t="s">
        <v>841</v>
      </c>
      <c r="D160" s="28" t="s">
        <v>946</v>
      </c>
      <c r="E160" s="28" t="s">
        <v>673</v>
      </c>
      <c r="F160" s="28" t="s">
        <v>673</v>
      </c>
      <c r="G160" s="28" t="s">
        <v>673</v>
      </c>
      <c r="H160" s="2">
        <f>MROUND((
  (IF(AND(_xlfn.XLOOKUP(B160,'Base stats'!B:B,'Base stats'!AL:AL)=0,BI160="None",_xlfn.XLOOKUP(_xlfn.XLOOKUP(B160,'Base stats'!B:B,'Base stats'!E:E),Groups!A:A,Groups!B:B)=0), (18 + BR160 * 2.7) * 0.5,
    IF(AND(_xlfn.XLOOKUP(B160,'Base stats'!B:B,'Base stats'!AL:AL)=0,OR(AO160&lt;0.55,AND(BI160="Intermediate",_xlfn.XLOOKUP(_xlfn.XLOOKUP(B160,'Base stats'!B:B,'Base stats'!E:E),Groups!A:A,Groups!B:B)&lt;2))), (18 + BR160 * 2.7),
      IF(OR(BI160="Advanced",_xlfn.XLOOKUP(B160,'Base stats'!B:B,'Base stats'!AL:AL)=1,_xlfn.XLOOKUP(_xlfn.XLOOKUP(B160,'Base stats'!B:B,'Base stats'!E:E),Groups!A:A,Groups!B:B)=2), (18 + BR160 * 2.7) + 250, (18 + BR160 * 2.7))
    )
  ))
  + AO160 * 80
  + IF(COUNTIF(EggMilk!K$2:K$998, A160) &gt; 0, 125, 0)
  + IF(COUNTIF(EggMilk!P$2:P$998, A160) &gt; 0, 90, 0)
  + IF(COUNTIF(EggMilk!A$2:A$998, A160) &gt; 0, 90, 0)
)
* (0.8 + 0.4 * J160)
* 0.75,25)</f>
        <v>4625</v>
      </c>
      <c r="I160" s="2">
        <f>MROUND(ROUNDDOWN(_xlfn.XLOOKUP(B160,'Base stats'!B:B,'Base stats'!L:L)/3.6/(23.3/11),1),0.5)</f>
        <v>5.5</v>
      </c>
      <c r="J160" s="2">
        <f>IF(OR(_xlfn.XLOOKUP(B160,'Base stats'!B:B,'Base stats'!AB:AB)=1,_xlfn.XLOOKUP(_xlfn.XLOOKUP(B160,'Base stats'!B:B,'Base stats'!E:E),Groups!A:A,Groups!C:C)="Untamable"),1,IF(_xlfn.XLOOKUP(B160,'Base stats'!B:B,'Base stats'!AL:AL)=1,0.99,MIN(MROUND((1-0.6282*EXP(-0.459*AO160))*_xlfn.XLOOKUP(_xlfn.XLOOKUP(B160,'Base stats'!B:B,'Base stats'!E:E),Groups!A:A,Groups!C:C)*IF(_xlfn.XLOOKUP(B160,'Base stats'!B:B,'Base stats'!O:O)=1,0.5,IF(_xlfn.XLOOKUP(B160,'Base stats'!B:B,'Base stats'!O:O)=2,0,1)),0.05),IF(AO160&gt;3.5,0.985,0.95))))</f>
        <v>0.99</v>
      </c>
      <c r="K160" s="2">
        <f>ROUNDUP(AO160*_xlfn.XLOOKUP(_xlfn.XLOOKUP(B160,'Base stats'!B:B,'Base stats'!E:E),Groups!A:A,Groups!E:E),0)</f>
        <v>7</v>
      </c>
      <c r="L160" s="2">
        <f>IF(OR(_xlfn.XLOOKUP(_xlfn.XLOOKUP(B160,'Base stats'!B:B,'Base stats'!E:E),Groups!A:A,Groups!F:F)=2,ISNUMBER(SEARCH("SeaIce",BX160)),ISNUMBER(SEARCH("IceSheet",BX160))),-50,IF(OR(ISNUMBER(SEARCH("GlacialPlain",BX160)),ISNUMBER(SEARCH("Tundra",BX160))),-40,IF(OR(ISNUMBER(SEARCH("Alpine",BX160)),ISNUMBER(SEARCH("BorealForest",BX160)),ISNUMBER(SEARCH("ColdBog",BX160))),-30,IF(OR(ISNUMBER(SEARCH("TemperateForest",BX160)),ISNUMBER(SEARCH("TemperateSwamp",BX160))),-20,IF(_xlfn.XLOOKUP(_xlfn.XLOOKUP(B160,'Base stats'!B:B,'Base stats'!E:E),Groups!A:A,Groups!F:F)=1,-15,IF(OR(ISNUMBER(SEARCH("Desert",BX160)),ISNUMBER(SEARCH("ExtremeDesert",BX160))),-10,IF(OR(ISNUMBER(SEARCH("Grasslands",BX160)),ISNUMBER(SEARCH("TropicalRainforest",BX160)),ISNUMBER(SEARCH("TropicalSwamp",BX160))),10,0)))))))-IF(CC160="False",MIN(IFERROR(MAX(MROUND(LOG10(_xlfn.XLOOKUP(B160,'Base stats'!B:B,'Base stats'!C:C)^(2/3))*10,5),5),5),30))-_xlfn.XLOOKUP(B160,'Base stats'!B:B,'Base stats'!P:P)+IF(CC160="True",5,0)</f>
        <v>-25</v>
      </c>
      <c r="M160" s="2">
        <f>IF(OR(_xlfn.XLOOKUP(_xlfn.XLOOKUP(B160,'Base stats'!B:B,'Base stats'!E:E),Groups!A:A,Groups!G:G)=2,ISNUMBER(SEARCH("Desert",BX160)),ISNUMBER(SEARCH("ExtremeDesert",BX160)),ISNUMBER(SEARCH("LavaField",BX160))),50,IF(ISNUMBER(SEARCH("Grasslands",BX160)),45,IF(OR(_xlfn.XLOOKUP(_xlfn.XLOOKUP(B160,'Base stats'!B:B,'Base stats'!E:E),Groups!A:A,Groups!G:G)=1,ISNUMBER(SEARCH("TropicalRainforest",BX160)),ISNUMBER(SEARCH("TropicalSwamp",BX160))),40,IF(OR(ISNUMBER(SEARCH("TemperateForest",BX160)),ISNUMBER(SEARCH("TemperateSwamp",BX160))),35,IF(OR(ISNUMBER(SEARCH("Alpine",BX160)),ISNUMBER(SEARCH("BorealForest",BX160)),ISNUMBER(SEARCH("ColdBog",BX160))),30,IF(ISNUMBER(OR(ISNUMBER(SEARCH("GlacialPlain",BX160)),SEARCH("Tundra",BX160))),25,IF(OR(ISNUMBER(SEARCH("SeaIce",BX160)),ISNUMBER(SEARCH("IceSheet",BX160)),ISNUMBER(SEARCH("TropicalSwamp",BX160))),10,35)))))))+_xlfn.XLOOKUP(B160,'Base stats'!B:B,'Base stats'!Q:Q)</f>
        <v>35</v>
      </c>
      <c r="N160" s="8">
        <f>IF(
_xlfn.XLOOKUP(
_xlfn.XLOOKUP(B160,'Base stats'!B:B,'Base stats'!E:E),
Groups!A:A,
Groups!L:L
)=1,
MIN(
MROUND(
IF(
_xlfn.XLOOKUP(B160,'Animals CE'!B:B,'Animals CE'!Z:Z)&lt;=1.5,
_xlfn.XLOOKUP(B160,'Animals CE'!B:B,'Animals CE'!Z:Z)/2+0.05,
0.8+
(_xlfn.XLOOKUP(B160,'Animals CE'!B:B,'Animals CE'!Z:Z)-1.5)
*0.02
),
0.05
),
200%
),
"No"
)</f>
        <v>1</v>
      </c>
      <c r="O160" s="8">
        <f>IF(
_xlfn.XLOOKUP(
_xlfn.XLOOKUP(B160,'Base stats'!B:B,'Base stats'!E:E),
Groups!A:A,
Groups!L:L
)=1,
MIN(
MROUND(
IF(
_xlfn.XLOOKUP(B160,'Animals CE'!B:B,'Animals CE'!AA:AA)&lt;=1.5,
_xlfn.XLOOKUP(B160,'Animals CE'!B:B,'Animals CE'!AA:AA)/2+0.05,
0.8+
(_xlfn.XLOOKUP(B160,'Animals CE'!B:B,'Animals CE'!AA:AA)-1.5)
*0.02
),
0.05
),
200%
),
"No"
)</f>
        <v>1.1000000000000001</v>
      </c>
      <c r="P160" s="2">
        <f>_xlfn.XLOOKUP(B160,'Base stats'!B:B,'Base stats'!R:R)</f>
        <v>1</v>
      </c>
      <c r="Q160" s="13">
        <f>MROUND((LOG10(_xlfn.XLOOKUP(B160,'Base stats'!B:B,'Base stats'!AR:AR))*(AO160^0.5)+(_xlfn.XLOOKUP(B160,'Base stats'!B:B,'Base stats'!AR:AR)/1000)^(2/3)+_xlfn.XLOOKUP(B160,'Base stats'!B:B,'Base stats'!BA:BA)/2)+0.5,0.5)</f>
        <v>50</v>
      </c>
      <c r="R160" s="7">
        <f>IF(Q160="No","No",MAX(1,MROUND(_xlfn.XLOOKUP(B160,'Base stats'!B:B,'Base stats'!C:C)^0.165,0.05)))</f>
        <v>4.55</v>
      </c>
      <c r="S160" s="13" t="str">
        <f>IF(_xlfn.XLOOKUP(_xlfn.XLOOKUP(B160,'Base stats'!B:B,'Base stats'!E:E),Groups!A:A,Groups!P:P)=0,"No",MROUND((LOG10(_xlfn.XLOOKUP(B160,'Base stats'!B:B,'Base stats'!AS:AS))*(AO160^0.5)+(_xlfn.XLOOKUP(B160,'Base stats'!B:B,'Base stats'!AS:AS)/1000)^(2/3)+_xlfn.XLOOKUP(B160,'Base stats'!B:B,'Base stats'!BA:BA))+_xlfn.XLOOKUP(B160,'Base stats'!B:B,'Base stats'!AY:AY)+0.5,0.5))</f>
        <v>No</v>
      </c>
      <c r="T160" s="7" t="str">
        <f>IF(S160="No","No",MAX(_xlfn.XLOOKUP(_xlfn.XLOOKUP(B160,'Base stats'!B:B,'Base stats'!E:E),Groups!A:A,Groups!Q:Q),MROUND(_xlfn.XLOOKUP(_xlfn.XLOOKUP(B160,'Base stats'!B:B,'Base stats'!E:E),Groups!A:A,Groups!Q:Q)*_xlfn.XLOOKUP(B160,'Base stats'!B:B,'Base stats'!C:C)^0.165,0.05)))</f>
        <v>No</v>
      </c>
      <c r="U160" s="7" t="str">
        <f>IF(S160="No","No",_xlfn.XLOOKUP(_xlfn.XLOOKUP(B160,'Base stats'!B:B,'Base stats'!E:E),Groups!A:A,Groups!R:R))</f>
        <v>No</v>
      </c>
      <c r="V160" s="7" t="str">
        <f>IF(S160="No","No",_xlfn.XLOOKUP(_xlfn.XLOOKUP(B160,'Base stats'!B:B,'Base stats'!E:E),Groups!A:A,Groups!S:S))</f>
        <v>No</v>
      </c>
      <c r="W160" s="7" t="str">
        <f>IF(S160="No","No",_xlfn.XLOOKUP(_xlfn.XLOOKUP(B160,'Base stats'!B:B,'Base stats'!E:E),Groups!A:A,Groups!T:T))</f>
        <v>No</v>
      </c>
      <c r="X160" s="13" t="str">
        <f>IF(_xlfn.XLOOKUP(B160,'Base stats'!B:B,'Base stats'!W:W)="No","No",MROUND((LOG10(_xlfn.XLOOKUP(B160,'Base stats'!B:B,'Base stats'!AU:AU))*(AO160^0.5)+(_xlfn.XLOOKUP(B160,'Base stats'!B:B,'Base stats'!AU:AU)/1000)^(2/3)+_xlfn.XLOOKUP(B160,'Base stats'!B:B,'Base stats'!AZ:AZ))+0.5+IF(_xlfn.XLOOKUP(_xlfn.XLOOKUP(B160,'Base stats'!B:B,'Base stats'!E:E),Groups!A:A,Groups!U:U)&lt;&gt;3,_xlfn.XLOOKUP(B160,'Base stats'!B:B,'Base stats'!BA:BA),0),0.5))</f>
        <v>No</v>
      </c>
      <c r="Y160" s="7" t="str">
        <f>IF(X160="No","No",MAX(_xlfn.XLOOKUP(_xlfn.XLOOKUP(B160,'Base stats'!B:B,'Base stats'!E:E),Groups!A:A,Groups!V:V),MROUND(_xlfn.XLOOKUP(_xlfn.XLOOKUP(B160,'Base stats'!B:B,'Base stats'!E:E),Groups!A:A,Groups!V:V)*_xlfn.XLOOKUP(B160,'Base stats'!B:B,'Base stats'!C:C)^0.165,0.05)))</f>
        <v>No</v>
      </c>
      <c r="Z160" s="7" t="str">
        <f>IF(X160="No","No",_xlfn.XLOOKUP(_xlfn.XLOOKUP(B160,'Base stats'!B:B,'Base stats'!E:E),Groups!A:A,Groups!W:W))</f>
        <v>No</v>
      </c>
      <c r="AA160" s="7" t="str">
        <f>IF(X160="No","No",_xlfn.XLOOKUP(_xlfn.XLOOKUP(B160,'Base stats'!B:B,'Base stats'!E:E),Groups!A:A,Groups!X:X))</f>
        <v>No</v>
      </c>
      <c r="AB160" s="7" t="str">
        <f>IF(X160="No","No",_xlfn.XLOOKUP(_xlfn.XLOOKUP(B160,'Base stats'!B:B,'Base stats'!E:E),Groups!A:A,Groups!Y:Y))</f>
        <v>No</v>
      </c>
      <c r="AC160" s="7" t="str">
        <f>_xlfn.XLOOKUP(Animals!B160,'Base stats'!B:B,'Base stats'!X:X)</f>
        <v>False</v>
      </c>
      <c r="AD160" s="13">
        <f>IF(_xlfn.XLOOKUP(B160,'Base stats'!B:B,'Base stats'!AT:AT)="No","No",MROUND((LOG10(_xlfn.XLOOKUP(B160,'Base stats'!B:B,'Base stats'!AT:AT))*(AO160^0.75)+(_xlfn.XLOOKUP(B160,'Base stats'!B:B,'Base stats'!AT:AT)/1000)^(2/3)+_xlfn.XLOOKUP(B160,'Base stats'!B:B,'Base stats'!AX:AX)+_xlfn.XLOOKUP(B160,'Base stats'!B:B,'Base stats'!BA:BA))+0.5,0.5))</f>
        <v>62.5</v>
      </c>
      <c r="AE160" s="7">
        <f>IF(AD160="No","No",MAX(_xlfn.XLOOKUP(_xlfn.XLOOKUP(B160,'Base stats'!B:B,'Base stats'!E:E),Groups!A:A,Groups!Z:Z),MROUND(_xlfn.XLOOKUP(_xlfn.XLOOKUP(B160,'Base stats'!B:B,'Base stats'!E:E),Groups!A:A,Groups!Z:Z)*_xlfn.XLOOKUP(B160,'Base stats'!B:B,'Base stats'!C:C)^0.165,0.05)))</f>
        <v>3.6500000000000004</v>
      </c>
      <c r="AF160" s="7" t="str">
        <f>IF(AD160="No","No",_xlfn.XLOOKUP(_xlfn.XLOOKUP(B160,'Base stats'!B:B,'Base stats'!E:E),Groups!A:A,Groups!AA:AA))</f>
        <v>Teeth</v>
      </c>
      <c r="AG160" s="7" t="str">
        <f>IF(AD160="No","No",_xlfn.XLOOKUP(_xlfn.XLOOKUP(B160,'Base stats'!B:B,'Base stats'!E:E),Groups!A:A,Groups!AB:AB))</f>
        <v>teeth</v>
      </c>
      <c r="AH160" s="7" t="str">
        <f>IF(AD160="No","No",_xlfn.XLOOKUP(_xlfn.XLOOKUP(B160,'Base stats'!B:B,'Base stats'!E:E),Groups!A:A,Groups!AC:AC))</f>
        <v>Bite</v>
      </c>
      <c r="AI160" s="13">
        <f>IF(_xlfn.XLOOKUP(_xlfn.XLOOKUP(B160,'Base stats'!B:B,'Base stats'!E:E),Groups!A:A,Groups!AD:AD)=0,"No",MROUND((LOG10(_xlfn.XLOOKUP(B160,'Base stats'!B:B,'Base stats'!AS:AS))*(AO160^0.75)+(_xlfn.XLOOKUP(B160,'Base stats'!B:B,'Base stats'!AS:AS)/1000)^(2/3)+_xlfn.XLOOKUP(B160,'Base stats'!B:B,'Base stats'!AY:AY)+_xlfn.XLOOKUP(B160,'Base stats'!B:B,'Base stats'!BA:BA))+0.5,0.5))</f>
        <v>68</v>
      </c>
      <c r="AJ160" s="7">
        <f>IF(AI160="No","No",MAX(_xlfn.XLOOKUP(_xlfn.XLOOKUP(B160,'Base stats'!B:B,'Base stats'!E:E),Groups!A:A,Groups!AE:AE),MROUND(_xlfn.XLOOKUP(_xlfn.XLOOKUP(B160,'Base stats'!B:B,'Base stats'!E:E),Groups!A:A,Groups!AE:AE)*IF(_xlfn.XLOOKUP(_xlfn.XLOOKUP(B160,'Base stats'!B:B,'Base stats'!E:E),Groups!A:A,Groups!AJ:AJ)="Photonozoa",0.6,1)*_xlfn.XLOOKUP(B160,'Base stats'!B:B,'Base stats'!C:C)^0.165,0.05)))</f>
        <v>2.95</v>
      </c>
      <c r="AK160" s="7" t="str">
        <f>IF(AI160="No","No",_xlfn.XLOOKUP(_xlfn.XLOOKUP(B160,'Base stats'!B:B,'Base stats'!E:E),Groups!A:A,Groups!AF:AF))</f>
        <v>FrontLeftPaw, FrontRightPaw</v>
      </c>
      <c r="AL160" s="7" t="str">
        <f>IF(AI160="No","No",_xlfn.XLOOKUP(_xlfn.XLOOKUP(B160,'Base stats'!B:B,'Base stats'!E:E),Groups!A:A,Groups!AG:AG))</f>
        <v>left claw, right claw</v>
      </c>
      <c r="AM160" s="7" t="str">
        <f>IF(AI160="No","No",_xlfn.XLOOKUP(_xlfn.XLOOKUP(B160,'Base stats'!B:B,'Base stats'!E:E),Groups!A:A,Groups!AH:AH))</f>
        <v>Scratch</v>
      </c>
      <c r="AN160" s="2">
        <f t="shared" si="14"/>
        <v>50</v>
      </c>
      <c r="AO160" s="2">
        <f>MROUND(IF(AND(_xlfn.XLOOKUP(B160,'Base stats'!B:B,'Base stats'!C:C)&gt;=0.5,_xlfn.XLOOKUP(B160,'Base stats'!B:B,'Base stats'!C:C)&lt;=0.8),
IF(_xlfn.XLOOKUP(B160,'Base stats'!B:B,'Base stats'!C:C)&lt;0.1,0.05,IF(_xlfn.XLOOKUP(B160,'Base stats'!B:B,'Base stats'!C:C)&lt;=70,(_xlfn.XLOOKUP(B160,'Base stats'!B:B,'Base stats'!C:C)/70)^0.426489913056526,IF(_xlfn.XLOOKUP(B160,'Base stats'!B:B,'Base stats'!C:C)&lt;=400,(_xlfn.XLOOKUP(B160,'Base stats'!B:B,'Base stats'!C:C)/70)^0.572811455315093,IF(_xlfn.XLOOKUP(B160,'Base stats'!B:B,'Base stats'!C:C)&lt;=2000,2.71391647193063*(_xlfn.XLOOKUP(B160,'Base stats'!B:B,'Base stats'!C:C)/400)^0.252459582904293,3.74314280240376*(_xlfn.XLOOKUP(B160,'Base stats'!B:B,'Base stats'!C:C)/2000)^0.357012633876913)))),
IF(_xlfn.XLOOKUP(B160,'Base stats'!B:B,'Base stats'!C:C)&lt;0.1,0.05,IF(_xlfn.XLOOKUP(B160,'Base stats'!B:B,'Base stats'!C:C)&lt;0.4,0.1,IF(_xlfn.XLOOKUP(B160,'Base stats'!B:B,'Base stats'!C:C)&lt;=70,(_xlfn.XLOOKUP(B160,'Base stats'!B:B,'Base stats'!C:C)/70)^0.445823913056526,IF(_xlfn.XLOOKUP(B160,'Base stats'!B:B,'Base stats'!C:C)&lt;=400,(_xlfn.XLOOKUP(B160,'Base stats'!B:B,'Base stats'!C:C)/70)^0.572811455315093,IF(_xlfn.XLOOKUP(B160,'Base stats'!B:B,'Base stats'!C:C)&lt;=2000,2.71391647193063*(_xlfn.XLOOKUP(B160,'Base stats'!B:B,'Base stats'!C:C)/400)^0.252459582904293,3.74314280240376*(_xlfn.XLOOKUP(B160,'Base stats'!B:B,'Base stats'!C:C)/2000)^0.357012633876913)))))),
IF(_xlfn.XLOOKUP(B160,'Base stats'!B:B,'Base stats'!C:C)&lt;0.1,0.05,IF(_xlfn.XLOOKUP(B160,'Base stats'!B:B,'Base stats'!C:C)&lt;=100,0.05,IF(_xlfn.XLOOKUP(B160,'Base stats'!B:B,'Base stats'!C:C)&lt;=250,0.1,IF(_xlfn.XLOOKUP(B160,'Base stats'!B:B,'Base stats'!C:C)&lt;=4000,0.25,0.5)))))</f>
        <v>6.5</v>
      </c>
      <c r="AP160" s="8">
        <f>MROUND(AO160*_xlfn.XLOOKUP(_xlfn.XLOOKUP(B160,'Base stats'!B:B,'Base stats'!E:E),Groups!A:A,Groups!AI:AI)*_xlfn.XLOOKUP(B160,'Base stats'!B:B,'Base stats'!Z:Z),0.05)</f>
        <v>9.75</v>
      </c>
      <c r="AQ160" s="8">
        <f>MAX(0.01,MROUND(IF(CC160="True",0.196*(AO160*100*1000)^0.889,IF(_xlfn.XLOOKUP(_xlfn.XLOOKUP(B160,'Base stats'!B:B,'Base stats'!E:E),Groups!A:A,Groups!AJ:AJ)="Bird",10.5*(AO160*100*1000)^0.681,4.82*(AO160*100*1000)^0.734))/(4.82*(1*100*1000)^0.734)/IF(AO160&lt;3.5,2,IF(AO160=3.5,1.5,1.25))*(1+0.132282374779864/(AO160^0.994035016789033+0.00905238001496948)),0.05))</f>
        <v>3.45</v>
      </c>
      <c r="AR160" s="9">
        <f>IFERROR(MROUND(_xlfn.XLOOKUP(B160,'Base stats'!B:B,'Base stats'!H:H)/IF(_xlfn.XLOOKUP(B160,'Base stats'!B:B,'Base stats'!I:I)&lt;&gt;1,(122.5/70),1.2),IF(_xlfn.XLOOKUP(B160,'Base stats'!B:B,'Base stats'!H:H)&gt;=30,5,IF(_xlfn.XLOOKUP(B160,'Base stats'!B:B,'Base stats'!H:H)&gt;=15,3,IF(_xlfn.XLOOKUP(B160,'Base stats'!B:B,'Base stats'!H:H)&gt;=10,2,1)))),"Immortal")</f>
        <v>285</v>
      </c>
      <c r="AS160" s="35">
        <f>IFERROR(IF(OR(_xlfn.XLOOKUP(B160,'Base stats'!B:B,'Base stats'!F:F)="Atypical reproduction",_xlfn.XLOOKUP(B160,'Base stats'!B:B,'Base stats'!F:F)="Lay eggs"),"Lay eggs",MIN(20,MAX(5.5,ROUND(((_xlfn.XLOOKUP(B160,'Base stats'!B:B,'Base stats'!F:F)-25)*(14.5/615) + 5.5)*2,0)/2))),"Unknown")</f>
        <v>18.5</v>
      </c>
      <c r="AT160" s="8">
        <f>IF(_xlfn.XLOOKUP(B160,'Base stats'!B:B,'Base stats'!G:G)="Atypical reproduction","No",IFERROR(MAX(IF(_xlfn.XLOOKUP(B160,'Base stats'!B:B,'Base stats'!G:G)&lt;0.5,0.2,0.3),MROUND(_xlfn.XLOOKUP(B160,'Base stats'!B:B,'Base stats'!G:G)/(365/60),0.2)),"Unknown"))</f>
        <v>2.4000000000000004</v>
      </c>
      <c r="AU160" s="8">
        <f t="shared" si="15"/>
        <v>1.2000000000000002</v>
      </c>
      <c r="AV160" s="8">
        <f>IFERROR(IFERROR(MROUND(_xlfn.XLOOKUP(B160,'Base stats'!B:B,'Base stats'!J:J),0.1),"Lay eggs"),"Cannot breed")</f>
        <v>1</v>
      </c>
      <c r="AW160" s="2" t="str">
        <f t="shared" si="16"/>
        <v>false</v>
      </c>
      <c r="AX160" s="2" t="str">
        <f>IF(_xlfn.XLOOKUP(_xlfn.XLOOKUP(Animals!B160,'Base stats'!B:B,'Base stats'!E:E),Groups!A:A,Groups!AK:AK)=1,"true","false")</f>
        <v>false</v>
      </c>
      <c r="AY160" s="25" t="str">
        <f>IF(_xlfn.XLOOKUP(B160,'Base stats'!B:B,'Base stats'!Y:Y)="Liquor","Liquor, CarnivoreAnimalStrict",IF(AND(_xlfn.XLOOKUP(B160,'Base stats'!B:B,'Base stats'!Y:Y)="Carnivore",_xlfn.XLOOKUP(_xlfn.XLOOKUP(B160,'Base stats'!B:B,'Base stats'!E:E),Groups!A:A,Groups!AJ:AJ)="Photonozoa"),"CarnivoreAnimalStrict, OvivoreAnimal",IF(_xlfn.XLOOKUP(B160,'Base stats'!B:B,'Base stats'!Y:Y)="Carnivore","CarnivoreAnimal, OvivoreAnimal",IF(_xlfn.XLOOKUP(B160,'Base stats'!B:B,'Base stats'!Y:Y)="Dendrovore","VegetarianRoughAnimal, DendrovoreAnimal",IF(_xlfn.XLOOKUP(B160,'Base stats'!B:B,'Base stats'!Y:Y)="Herbivore","VegetarianRoughAnimal",IF(_xlfn.XLOOKUP(B160,'Base stats'!B:B,'Base stats'!Y:Y)="OmnivoreRough","OmnivoreRoughAnimal, OvivoreAnimal","OmnivoreAnimal, OvivoreAnimal"))))))</f>
        <v>CarnivoreAnimal, OvivoreAnimal</v>
      </c>
      <c r="AZ160" s="2" t="str">
        <f>IF(_xlfn.XLOOKUP(_xlfn.XLOOKUP(B160,'Base stats'!B:B,'Base stats'!E:E),Groups!A:A,Groups!D:D)=1,MROUND((1-J160)*5+1,2)*IF(J160&lt;=0.4,2,1),"No")</f>
        <v>No</v>
      </c>
      <c r="BA160" s="2" t="str">
        <f>IF(AND(_xlfn.XLOOKUP(B160,'Base stats'!B:B,'Base stats'!AH:AH)="&lt;li&gt;Seal&lt;/li&gt;",G160="Odyssey"),"&lt;li&gt;AEXP_Seal&lt;/li&gt;",_xlfn.XLOOKUP(B160,'Base stats'!B:B,'Base stats'!AH:AH))</f>
        <v>No</v>
      </c>
      <c r="BB160" s="2" t="str">
        <f>_xlfn.XLOOKUP(B160,'Base stats'!B:B,'Base stats'!AG:AG)</f>
        <v>Leather_Kalisk</v>
      </c>
      <c r="BC160" s="23" t="str">
        <f>_xlfn.XLOOKUP(_xlfn.XLOOKUP(B160,'Base stats'!B:B,'Base stats'!E:E),Groups!A:A,Groups!AL:AL)</f>
        <v>QuadrupedAnimalWithPawsAndTail</v>
      </c>
      <c r="BD160" s="23">
        <f>MIN(1,MROUND(IF(AND(AO160&lt;0.5,_xlfn.XLOOKUP(B160,'Base stats'!B:B,'Base stats'!AA:AA)=0),0,IF(OR(_xlfn.XLOOKUP(Animals!B160,'Base stats'!B:B,'Base stats'!O:O)=2,_xlfn.XLOOKUP(_xlfn.XLOOKUP(B160,'Base stats'!B:B,'Base stats'!E:E),Groups!A:A,Groups!AN:AN)=0),0,_xlfn.XLOOKUP(_xlfn.XLOOKUP(B160,'Base stats'!B:B,'Base stats'!E:E),Groups!A:A,Groups!AN:AN)/IF(_xlfn.XLOOKUP(Animals!B160,'Base stats'!B:B,'Base stats'!O:O)=1,2,1)))+_xlfn.XLOOKUP(B160,'Base stats'!B:B,'Base stats'!AC:AC),0.005))</f>
        <v>1</v>
      </c>
      <c r="BE160" s="23">
        <f>MIN(1,MROUND(IF(AND(AO160&lt;0.5,_xlfn.XLOOKUP(B160,'Base stats'!B:B,'Base stats'!AA:AA)=0),0,IF(_xlfn.XLOOKUP(_xlfn.XLOOKUP(B160,'Base stats'!B:B,'Base stats'!E:E),Groups!A:A,Groups!AO:AO)=0,0,_xlfn.XLOOKUP(_xlfn.XLOOKUP(B160,'Base stats'!B:B,'Base stats'!E:E),Groups!A:A,Groups!AO:AO)/IF(_xlfn.XLOOKUP(Animals!B160,'Base stats'!B:B,'Base stats'!O:O)=2,3,1)))+_xlfn.XLOOKUP(B160,'Base stats'!B:B,'Base stats'!AD:AD),0.005))</f>
        <v>1</v>
      </c>
      <c r="BF160" s="2" t="str">
        <f>IF(J160&gt;0.3,"No",_xlfn.XLOOKUP(_xlfn.XLOOKUP(Animals!B160,'Base stats'!B:B,'Base stats'!E:E),Groups!A:A,Groups!AP:AP))</f>
        <v>No</v>
      </c>
      <c r="BG160" s="2" t="str">
        <f>IF(AND(J160&lt;=0.65,_xlfn.XLOOKUP(_xlfn.XLOOKUP(Animals!B160,'Base stats'!B:B,'Base stats'!E:E),Groups!A:A,Groups!AP:AP)&lt;&gt;"No",_xlfn.XLOOKUP(_xlfn.XLOOKUP(B160,'Base stats'!B:B,'Base stats'!E:E),Groups!A:A,Groups!D:D)=0),MROUND((80/3)*IF(_xlfn.XLOOKUP(B160,'Base stats'!B:B,'Base stats'!O:O)=2,0.2,AO160) + 24*(1-IF(BF160="No",0,BF160)) + 16/3, 12),"No")</f>
        <v>No</v>
      </c>
      <c r="BH160" s="2">
        <f>IF(AND(_xlfn.XLOOKUP(_xlfn.XLOOKUP(B160,'Base stats'!B:B,'Base stats'!E:E),Groups!A:A,Groups!AQ:AQ)=1,AO160&lt;=0.35),8,12)</f>
        <v>12</v>
      </c>
      <c r="BI160" s="2" t="str">
        <f>IF(_xlfn.XLOOKUP(_xlfn.XLOOKUP(B160,'Base stats'!B:B,'Base stats'!E:E),Groups!A:A,Groups!D:D)=0,_xlfn.XLOOKUP(_xlfn.XLOOKUP(B160,'Base stats'!B:B,'Base stats'!E:E),Groups!A:A,Groups!AR:AR),"None")</f>
        <v>Advanced</v>
      </c>
      <c r="BJ160" s="2" t="str">
        <f>IF(AND(_xlfn.XLOOKUP(_xlfn.XLOOKUP(B160,'Base stats'!B:B,'Base stats'!E:E),Groups!A:A,Groups!AS:AS)=1,OR(_xlfn.XLOOKUP(B160,'Base stats'!B:B,'Base stats'!Y:Y)="Carnivore",_xlfn.XLOOKUP(B160,'Base stats'!B:B,'Base stats'!Y:Y)="Omnivore")),"true","false")</f>
        <v>true</v>
      </c>
      <c r="BK160" s="2">
        <f>IF(BJ160="true",MROUND(IF(AND(AO160&gt;0.5,OR(_xlfn.XLOOKUP(_xlfn.XLOOKUP(B160,'Base stats'!B:B,'Base stats'!E:E),Groups!A:A,Groups!AJ:AJ)="Photonozoa",_xlfn.XLOOKUP(_xlfn.XLOOKUP(B160,'Base stats'!B:B,'Base stats'!E:E),Groups!A:A,Groups!AJ:AJ)="Mammal")),Animals!AO160*1.75*IF(AW160="true",1.5,1),IF(AO160&lt;0.5,Animals!AO160*0.5,Animals!AO160)),IF(AO160&gt;2,0.5,IF(AO160&gt;0.5,0.25,0.1))),"No")</f>
        <v>6.5</v>
      </c>
      <c r="BL160" s="2">
        <f t="shared" si="17"/>
        <v>1</v>
      </c>
      <c r="BM160" s="25" t="str">
        <f>IF(_xlfn.XLOOKUP(B160,'Base stats'!B:B,'Base stats'!AN:AN)="Standard","No",MROUND((_xlfn.XLOOKUP(B160,'Base stats'!B:B,'Base stats'!AN:AN)/3.6)/I160,0.1))</f>
        <v>No</v>
      </c>
      <c r="BN160" s="25" t="str">
        <f t="shared" si="18"/>
        <v>false</v>
      </c>
      <c r="BO160" s="25" t="str">
        <f>IF(AND(OR(_xlfn.XLOOKUP(B160,'Base stats'!B:B,'Base stats'!Y:Y)="Carnivore",_xlfn.XLOOKUP(B160,'Base stats'!B:B,'Base stats'!Y:Y)="Omnivore",_xlfn.XLOOKUP(B160,'Base stats'!B:B,'Base stats'!Y:Y)="OmnivoreRough"),_xlfn.XLOOKUP(_xlfn.XLOOKUP(B160,'Base stats'!B:B,'Base stats'!E:E),Groups!A:A,Groups!AT:AT)=1),"true","false")</f>
        <v>false</v>
      </c>
      <c r="BP160" s="25" t="str" cm="1">
        <f t="array" ref="BP160">IF(
  _xlfn.TEXTJOIN(", ",TRUE,
    IF(AND(BJ160="true",AO160&gt;0.5,BI160&lt;&gt;"None"),"AttackTarget",""),
    IF(AND(_xlfn.XLOOKUP(_xlfn.XLOOKUP(B160,'Base stats'!B:B,'Base stats'!E:E),Groups!A:A,Groups!AJ:AJ="Mammal"),OR(_xlfn.XLOOKUP(B160,'Base stats'!B:B,'Base stats'!Y:Y)="Omnivore",_xlfn.XLOOKUP(B160,'Base stats'!B:B,'Base stats'!Y:Y)="OmnivoreRough")),"Forage",""),
    IF(BG160&lt;=36,"Comfort",""),
    IF(_xlfn.XLOOKUP(B160,'Base stats'!B:B,'Base stats'!AE:AE)&lt;&gt;"No",_xlfn.XLOOKUP(B160,'Base stats'!B:B,'Base stats'!AE:AE),"")
  ) = "",
  "No",
  _xlfn.TEXTJOIN(", ",TRUE,
    IF(AND(BJ160="true",AO160&gt;0.5,BI160&lt;&gt;"None"),"AttackTarget",""),
    IF(AND(_xlfn.XLOOKUP(_xlfn.XLOOKUP(B160,'Base stats'!B:B,'Base stats'!E:E),Groups!A:A,Groups!AJ:AJ="Mammal"),OR(_xlfn.XLOOKUP(B160,'Base stats'!B:B,'Base stats'!Y:Y)="Omnivore",_xlfn.XLOOKUP(B160,'Base stats'!B:B,'Base stats'!Y:Y)="OmnivoreRough")),"Forage",""),
    IF(BG160&lt;=36,"Comfort",""),
    IF(_xlfn.XLOOKUP(B160,'Base stats'!B:B,'Base stats'!AE:AE)&lt;&gt;"No",_xlfn.XLOOKUP(B160,'Base stats'!B:B,'Base stats'!AE:AE),"")
  )
)</f>
        <v>AttackTarget</v>
      </c>
      <c r="BQ160" s="25" t="str">
        <f>IF(
   AND(
      'Base stats'!AN160="Standard",_xlfn.XLOOKUP(_xlfn.XLOOKUP(B160,'Base stats'!B:B,'Base stats'!E:E),Groups!A:A,Groups!AU:AU)=0,
      OR(
      BO160="True"
      )
   ),
   10,
   IF(
       OR(BM160&lt;&gt;"No",_xlfn.XLOOKUP(_xlfn.XLOOKUP(B160,'Base stats'!B:B,'Base stats'!E:E),Groups!A:A,Groups!AU:AU)=1),
      1,
      "No"
   )
)</f>
        <v>No</v>
      </c>
      <c r="BR160" s="9">
        <f>MROUND((1 + ((0.2*IF(OR(Q160="No",R160="No",R160=0),0,Q160/R160)
+IF(OR(V160="No",S160="No",T160="No"),0,S160/T160*(LEN(V160)-LEN(SUBSTITUTE(V160,",",""))+1))
+IF(OR(X160="No",Y160="No"),0,X160/Y160)
+IF(OR(AD160="No",AE160="No"),0,AD160/AE160)
+IF(OR(AL160="No",AI160="No",AJ160="No"),0,AI160/AJ160*(LEN(AL160)-LEN(SUBSTITUTE(AL160,",",""))+1))
)/(0.2*IF(OR(Q160="No",R160="No",R160=0),0,1)
+IF(OR(V160="No",S160="No",T160="No"),0,LEN(V160)-LEN(SUBSTITUTE(V160,",",""))+1)
+IF(OR(X160="No",Y160="No"),0,1)
+IF(OR(AD160="No",AE160="No"),0,1)
+IF(OR(AL160="No",AI160="No",AJ160="No"),0,LEN(AL160)-LEN(SUBSTITUTE(AL160,",",""))+1))*62%)* 2)*(1 + (AP160 / (IF(_xlfn.XLOOKUP(_xlfn.XLOOKUP(B160,'Base stats'!B:B,'Base stats'!E:E),Groups!A:A,Groups!AJ:AJ)="Photonozoa",0.3,1)) + _xlfn.XLOOKUP(B160,'Base stats'!B:B,'Base stats'!AV:AV) * 1.8) * 2) * 2.5 + 10 + I160 * 2,5)+IF(_xlfn.XLOOKUP(B160,'Base stats'!B:B,'Base stats'!AK:AK)=1,50,0)</f>
        <v>1620</v>
      </c>
      <c r="BS160" s="8">
        <f t="shared" si="19"/>
        <v>4.05</v>
      </c>
      <c r="BT160" s="8" t="str">
        <f>_xlfn.XLOOKUP(B160,'Base stats'!B:B,'Base stats'!AF:AF)</f>
        <v>No</v>
      </c>
      <c r="BU160" s="2" t="str">
        <f>IF(AND(J160&lt;=0.95,OR(_xlfn.XLOOKUP(B160,'Base stats'!B:B,'Base stats'!AK:AK)=1,_xlfn.XLOOKUP(B160,'Base stats'!B:B,'Base stats'!Y:Y)="Carnivore",_xlfn.XLOOKUP(B160,'Base stats'!B:B,'Base stats'!Y:Y)="Omnivore",BE160&gt;0.1)),"true","false")</f>
        <v>false</v>
      </c>
      <c r="BV160" s="2" t="str">
        <f>IF(_xlfn.XLOOKUP(B160,'Base stats'!B:B,'Base stats'!AI:AI)=1,"true","false")</f>
        <v>false</v>
      </c>
      <c r="BW160" s="25" t="str">
        <f>IF(E160="BaseInsect","AnimalInsect",
IF(J160&gt;0.95,"AnimalExotic",
_xlfn.TEXTJOIN(", ",TRUE,
IF(OR(_xlfn.XLOOKUP(B160,'Base stats'!B:B,'Base stats'!AM:AM)=1,AND(_xlfn.XLOOKUP(B160,'Base stats'!B:B,'Base stats'!O:O)=0,_xlfn.XLOOKUP(_xlfn.XLOOKUP(B160,'Base stats'!B:B,'Base stats'!E:E),Groups!A:A,Groups!B:B)&gt;0)),"AnimalUncommon","AnimalCommon"),
IF(AND(_xlfn.XLOOKUP(B160,'Base stats'!B:B,'Base stats'!O:O)=2,_xlfn.XLOOKUP(_xlfn.XLOOKUP(B160,'Base stats'!B:B,'Base stats'!E:E),Groups!A:A,Groups!D:D)=0),"AnimalPet",IF(AND(_xlfn.XLOOKUP(B160,'Base stats'!B:B,'Base stats'!O:O)&lt;&gt;0,_xlfn.XLOOKUP(_xlfn.XLOOKUP(B160,'Base stats'!B:B,'Base stats'!E:E),Groups!A:A,Groups!D:D)&lt;&gt;0),"AnimalFarm","")),
IF(OR(_xlfn.XLOOKUP(B160,'Base stats'!B:B,'Base stats'!AK:AK)=1,AND(BI160&lt;&gt;"None",BR160&gt;=60),ISNUMBER(SEARCH("Attack target",BP160))),"AnimalFighter","")
)))</f>
        <v>AnimalExotic</v>
      </c>
      <c r="BX160" s="25" t="str">
        <f>IF(G160="None",TRIM(
SUBSTITUTE(
IF(COUNTIF(Biomes!B$2:B$259,"="&amp;$C160)&gt;0,Biomes!B$1&amp;", ","")&amp;
IF(COUNTIF(Biomes!C$2:C$259,"="&amp;$C160)&gt;0,Biomes!C$1&amp;", ","")&amp;
IF(COUNTIF(Biomes!D$2:D$259,"="&amp;$C160)&gt;0,Biomes!D$1&amp;", ","")&amp;
IF(COUNTIF(Biomes!F$2:F$259,"="&amp;$C160)&gt;0,Biomes!F$1&amp;", ","")&amp;
IF(COUNTIF(Biomes!G$2:G$259,"="&amp;$C160)&gt;0,Biomes!G$1&amp;", ","")&amp;
IF(COUNTIF(Biomes!H$2:H$259,"="&amp;$C160)&gt;0,Biomes!H$1&amp;", ","")&amp;
IF(COUNTIF(Biomes!I$2:I$259,"="&amp;$C160)&gt;0,Biomes!I$1&amp;", ","")&amp;
IF(COUNTIF(Biomes!J$2:J$259,"="&amp;$C160)&gt;0,Biomes!J$1&amp;", ","")&amp;
IF(COUNTIF(Biomes!M$2:M$259,"="&amp;$C160)&gt;0,Biomes!M$1&amp;", ","")&amp;
IF(COUNTIF(Biomes!N$2:N$259,"="&amp;$C160)&gt;0,Biomes!N$1&amp;", ","")&amp;
IF(COUNTIF(Biomes!O$2:O$259,"="&amp;$C160)&gt;0,Biomes!O$1&amp;", ","")&amp;
IF(COUNTIF(Biomes!P$2:P$259,"="&amp;$C160)&gt;0,Biomes!P$1&amp;", ","")&amp;
IF(COUNTIF(Biomes!K$2:K$259,"="&amp;$C160)&gt;0,Biomes!K$1&amp;", ","")&amp;
IF(COUNTIF(Biomes!Q$3:Q$259,"="&amp;$C160)&gt;0,Biomes!Q$1&amp;", ","")&amp;
IF(COUNTIF(Biomes!L$2:L$259,"="&amp;$C160)&gt;0,Biomes!L$1&amp;", ","")&amp;
IF(COUNTIF(Biomes!E$2:E$259,"="&amp;$C160)&gt;0,Biomes!E$1&amp;", ","")&amp;IF(COUNTIF(Biomes!S$2:S$259,"="&amp;$C160)&gt;0,Biomes!S$1&amp;", ","")&amp;
IF(COUNTIF(Biomes!R$2:R$259,"="&amp;$C160)&gt;0,Biomes!R$1&amp;", ",""),", ","")
),_xlfn.XLOOKUP(B160,B:B,BX:BX))</f>
        <v/>
      </c>
      <c r="BY160" s="25" t="str">
        <f>IF(_xlfn.XLOOKUP(B160,'Base stats'!B:B,'Base stats'!AJ:AJ)=1,"true","false")</f>
        <v>false</v>
      </c>
      <c r="BZ160" s="25">
        <f>IF(_xlfn.XLOOKUP(B160,'Base stats'!B:B,'Base stats'!N:N)=1,"No",MAX(0.001,MIN(MROUND(IF(AND(BJ160="True",CC160="False"),POWER(10,3.47*LOG10(_xlfn.XLOOKUP(B160,'Base stats'!B:B,'Base stats'!C:C)*1000)^-0.96),POWER(10,4.15*LOG10(_xlfn.XLOOKUP(B160,'Base stats'!B:B,'Base stats'!C:C)*1000)^-0.73))*IF(_xlfn.XLOOKUP(B160,'Base stats'!B:B,'Base stats'!AK:AK)=1,0.5,1)*IF(_xlfn.XLOOKUP(B160,'Base stats'!B:B,'Base stats'!AM:AM)=1,0.1,1)/100,IF(_xlfn.XLOOKUP(B160,'Base stats'!B:B,'Base stats'!AM:AM)=1,0.001,0.025)),0.5)))</f>
        <v>3.0000000000000001E-3</v>
      </c>
      <c r="CA160" s="25">
        <f>IF(P160="Standard","No",MAX(0.001,MIN(MROUND(IF(AND(BJ160="True",CC160="False"),POWER(10,3.47*LOG10(_xlfn.XLOOKUP(B160,'Base stats'!B:B,'Base stats'!C:C)*1000)^-0.96),POWER(10,4.15*LOG10(_xlfn.XLOOKUP(B160,'Base stats'!B:B,'Base stats'!C:C)*1000)^-0.73))*IF(_xlfn.XLOOKUP(B160,'Base stats'!B:B,'Base stats'!AM:AM)=1,0.1,1)*_xlfn.XLOOKUP(B160,'Base stats'!B:B,'Base stats'!R:R)/100,IF(_xlfn.XLOOKUP(B160,'Base stats'!B:B,'Base stats'!AM:AM)=1,0.001,0.025)),0.5)))</f>
        <v>3.0000000000000001E-3</v>
      </c>
      <c r="CB160" s="25" t="str">
        <f>IF(_xlfn.XLOOKUP(_xlfn.XLOOKUP(B160,'Base stats'!B:B,'Base stats'!E:E),Groups!A:A,Groups!AJ:AJ)="Mammal","True","False")</f>
        <v>False</v>
      </c>
      <c r="CC160" s="25" t="str">
        <f>IF(OR(_xlfn.XLOOKUP(_xlfn.XLOOKUP(B160,'Base stats'!B:B,'Base stats'!E:E),Groups!A:A,Groups!AJ:AJ)="Reptile",_xlfn.XLOOKUP(_xlfn.XLOOKUP(B160,'Base stats'!B:B,'Base stats'!E:E),Groups!A:A,Groups!AJ:AJ)="Amphibian",_xlfn.XLOOKUP(_xlfn.XLOOKUP(B160,'Base stats'!B:B,'Base stats'!E:E),Groups!A:A,Groups!AJ:AJ)="Invertebrate"),"True","False")</f>
        <v>False</v>
      </c>
      <c r="CD160" s="25" t="str">
        <f t="shared" si="20"/>
        <v>True</v>
      </c>
      <c r="CE160" s="25" t="str">
        <f>IF(_xlfn.XLOOKUP(_xlfn.XLOOKUP(B160,'Base stats'!B:B,'Base stats'!E:E),Groups!A:A,Groups!AX:AX),"True","False")</f>
        <v>True</v>
      </c>
      <c r="CF160" s="25" t="str">
        <f>IF(_xlfn.XLOOKUP(_xlfn.XLOOKUP(B160,'Base stats'!B:B,'Base stats'!E:E),Groups!A:A,Groups!AY:AY),"True","False")</f>
        <v>True</v>
      </c>
      <c r="CG160" s="25" t="str">
        <f>IF(_xlfn.XLOOKUP(_xlfn.XLOOKUP(B160,'Base stats'!B:B,'Base stats'!E:E),Groups!A:A,Groups!AW:AW),"True","False")</f>
        <v>True</v>
      </c>
      <c r="CH160" s="25" t="str">
        <f>IF(
OR(
_xlfn.XLOOKUP(_xlfn.XLOOKUP(B160,'Base stats'!B:B,'Base stats'!E:E),Groups!A:A,Groups!AZ:AZ)=0,
AND(
_xlfn.XLOOKUP(B160,'Base stats'!B:B,'Base stats'!Y:Y)&lt;&gt;"Carnivore",
_xlfn.XLOOKUP(B160,'Base stats'!B:B,'Base stats'!Y:Y)&lt;&gt;"Omnivore",
_xlfn.XLOOKUP(B160,'Base stats'!B:B,'Base stats'!Y:Y)&lt;&gt;"OmnivoreRough"
)
),
"No",
IF(
_xlfn.XLOOKUP(_xlfn.XLOOKUP(B160,'Base stats'!B:B,'Base stats'!E:E),Groups!A:A,Groups!AZ:AZ)=1,
"Flesh",
IF(
_xlfn.XLOOKUP(_xlfn.XLOOKUP(B160,'Base stats'!B:B,'Base stats'!E:E),Groups!A:A,Groups!AZ:AZ)=2,
"Bone",
""
)
)
)</f>
        <v>No</v>
      </c>
      <c r="CI160" s="25" t="str">
        <f>IF(_xlfn.XLOOKUP(_xlfn.XLOOKUP(B160,'Base stats'!B:B,'Base stats'!E:E),Groups!A:A,Groups!BB:BB),"True","False")</f>
        <v>True</v>
      </c>
      <c r="CJ160" s="25" t="str">
        <f>IF(_xlfn.XLOOKUP(_xlfn.XLOOKUP(B160,'Base stats'!B:B,'Base stats'!E:E),Groups!A:A,Groups!BA:BA),"True","False")</f>
        <v>False</v>
      </c>
    </row>
    <row r="161" spans="1:88" s="16" customFormat="1" ht="16.5" thickTop="1" thickBot="1" x14ac:dyDescent="0.3">
      <c r="A161" s="26" t="str">
        <f>_xlfn.XLOOKUP(B161,'Base stats'!B:B,'Base stats'!A:A)</f>
        <v>RoyalTiger</v>
      </c>
      <c r="B161" s="6" t="s">
        <v>2130</v>
      </c>
      <c r="C161" s="28" t="s">
        <v>1112</v>
      </c>
      <c r="D161" s="28" t="s">
        <v>1113</v>
      </c>
      <c r="E161" s="28" t="s">
        <v>673</v>
      </c>
      <c r="F161" s="28" t="s">
        <v>673</v>
      </c>
      <c r="G161" s="28" t="s">
        <v>673</v>
      </c>
      <c r="H161" s="2">
        <f>MROUND((
  (IF(AND(_xlfn.XLOOKUP(B161,'Base stats'!B:B,'Base stats'!AL:AL)=0,BI161="None",_xlfn.XLOOKUP(_xlfn.XLOOKUP(B161,'Base stats'!B:B,'Base stats'!E:E),Groups!A:A,Groups!B:B)=0), (18 + BR161 * 2.7) * 0.5,
    IF(AND(_xlfn.XLOOKUP(B161,'Base stats'!B:B,'Base stats'!AL:AL)=0,OR(AO161&lt;0.55,AND(BI161="Intermediate",_xlfn.XLOOKUP(_xlfn.XLOOKUP(B161,'Base stats'!B:B,'Base stats'!E:E),Groups!A:A,Groups!B:B)&lt;2))), (18 + BR161 * 2.7),
      IF(OR(BI161="Advanced",_xlfn.XLOOKUP(B161,'Base stats'!B:B,'Base stats'!AL:AL)=1,_xlfn.XLOOKUP(_xlfn.XLOOKUP(B161,'Base stats'!B:B,'Base stats'!E:E),Groups!A:A,Groups!B:B)=2), (18 + BR161 * 2.7) + 250, (18 + BR161 * 2.7))
    )
  ))
  + AO161 * 80
  + IF(COUNTIF(EggMilk!K$2:K$998, A161) &gt; 0, 125, 0)
  + IF(COUNTIF(EggMilk!P$2:P$998, A161) &gt; 0, 90, 0)
  + IF(COUNTIF(EggMilk!A$2:A$998, A161) &gt; 0, 90, 0)
)
* (0.8 + 0.4 * J161)
* 0.75,25)</f>
        <v>825</v>
      </c>
      <c r="I161" s="2">
        <f>MROUND(ROUNDDOWN(_xlfn.XLOOKUP(B161,'Base stats'!B:B,'Base stats'!L:L)/3.6/(23.3/11),1),0.5)</f>
        <v>7</v>
      </c>
      <c r="J161" s="2">
        <f>IF(OR(_xlfn.XLOOKUP(B161,'Base stats'!B:B,'Base stats'!AB:AB)=1,_xlfn.XLOOKUP(_xlfn.XLOOKUP(B161,'Base stats'!B:B,'Base stats'!E:E),Groups!A:A,Groups!C:C)="Untamable"),1,IF(_xlfn.XLOOKUP(B161,'Base stats'!B:B,'Base stats'!AL:AL)=1,0.99,MIN(MROUND((1-0.6282*EXP(-0.459*AO161))*_xlfn.XLOOKUP(_xlfn.XLOOKUP(B161,'Base stats'!B:B,'Base stats'!E:E),Groups!A:A,Groups!C:C)*IF(_xlfn.XLOOKUP(B161,'Base stats'!B:B,'Base stats'!O:O)=1,0.5,IF(_xlfn.XLOOKUP(B161,'Base stats'!B:B,'Base stats'!O:O)=2,0,1)),0.05),IF(AO161&gt;3.5,0.985,0.95))))</f>
        <v>0.45</v>
      </c>
      <c r="K161" s="2">
        <f>ROUNDUP(AO161*_xlfn.XLOOKUP(_xlfn.XLOOKUP(B161,'Base stats'!B:B,'Base stats'!E:E),Groups!A:A,Groups!E:E),0)</f>
        <v>2</v>
      </c>
      <c r="L161" s="2">
        <f>IF(OR(_xlfn.XLOOKUP(_xlfn.XLOOKUP(B161,'Base stats'!B:B,'Base stats'!E:E),Groups!A:A,Groups!F:F)=2,ISNUMBER(SEARCH("SeaIce",BX161)),ISNUMBER(SEARCH("IceSheet",BX161))),-50,IF(OR(ISNUMBER(SEARCH("GlacialPlain",BX161)),ISNUMBER(SEARCH("Tundra",BX161))),-40,IF(OR(ISNUMBER(SEARCH("Alpine",BX161)),ISNUMBER(SEARCH("BorealForest",BX161)),ISNUMBER(SEARCH("ColdBog",BX161))),-30,IF(OR(ISNUMBER(SEARCH("TemperateForest",BX161)),ISNUMBER(SEARCH("TemperateSwamp",BX161))),-20,IF(_xlfn.XLOOKUP(_xlfn.XLOOKUP(B161,'Base stats'!B:B,'Base stats'!E:E),Groups!A:A,Groups!F:F)=1,-15,IF(OR(ISNUMBER(SEARCH("Desert",BX161)),ISNUMBER(SEARCH("ExtremeDesert",BX161))),-10,IF(OR(ISNUMBER(SEARCH("Grasslands",BX161)),ISNUMBER(SEARCH("TropicalRainforest",BX161)),ISNUMBER(SEARCH("TropicalSwamp",BX161))),10,0)))))))-IF(CC161="False",MIN(IFERROR(MAX(MROUND(LOG10(_xlfn.XLOOKUP(B161,'Base stats'!B:B,'Base stats'!C:C)^(2/3))*10,5),5),5),30))-_xlfn.XLOOKUP(B161,'Base stats'!B:B,'Base stats'!P:P)+IF(CC161="True",5,0)</f>
        <v>-30</v>
      </c>
      <c r="M161" s="2">
        <f>IF(OR(_xlfn.XLOOKUP(_xlfn.XLOOKUP(B161,'Base stats'!B:B,'Base stats'!E:E),Groups!A:A,Groups!G:G)=2,ISNUMBER(SEARCH("Desert",BX161)),ISNUMBER(SEARCH("ExtremeDesert",BX161)),ISNUMBER(SEARCH("LavaField",BX161))),50,IF(ISNUMBER(SEARCH("Grasslands",BX161)),45,IF(OR(_xlfn.XLOOKUP(_xlfn.XLOOKUP(B161,'Base stats'!B:B,'Base stats'!E:E),Groups!A:A,Groups!G:G)=1,ISNUMBER(SEARCH("TropicalRainforest",BX161)),ISNUMBER(SEARCH("TropicalSwamp",BX161))),40,IF(OR(ISNUMBER(SEARCH("TemperateForest",BX161)),ISNUMBER(SEARCH("TemperateSwamp",BX161))),35,IF(OR(ISNUMBER(SEARCH("Alpine",BX161)),ISNUMBER(SEARCH("BorealForest",BX161)),ISNUMBER(SEARCH("ColdBog",BX161))),30,IF(ISNUMBER(OR(ISNUMBER(SEARCH("GlacialPlain",BX161)),SEARCH("Tundra",BX161))),25,IF(OR(ISNUMBER(SEARCH("SeaIce",BX161)),ISNUMBER(SEARCH("IceSheet",BX161)),ISNUMBER(SEARCH("TropicalSwamp",BX161))),10,35)))))))+_xlfn.XLOOKUP(B161,'Base stats'!B:B,'Base stats'!Q:Q)</f>
        <v>40</v>
      </c>
      <c r="N161" s="8" t="str">
        <f>IF(
_xlfn.XLOOKUP(
_xlfn.XLOOKUP(B161,'Base stats'!B:B,'Base stats'!E:E),
Groups!A:A,
Groups!L:L
)=1,
MIN(
MROUND(
IF(
_xlfn.XLOOKUP(B161,'Animals CE'!B:B,'Animals CE'!Z:Z)&lt;=1.5,
_xlfn.XLOOKUP(B161,'Animals CE'!B:B,'Animals CE'!Z:Z)/2+0.05,
0.8+
(_xlfn.XLOOKUP(B161,'Animals CE'!B:B,'Animals CE'!Z:Z)-1.5)
*0.02
),
0.05
),
200%
),
"No"
)</f>
        <v>No</v>
      </c>
      <c r="O161" s="8" t="str">
        <f>IF(
_xlfn.XLOOKUP(
_xlfn.XLOOKUP(B161,'Base stats'!B:B,'Base stats'!E:E),
Groups!A:A,
Groups!L:L
)=1,
MIN(
MROUND(
IF(
_xlfn.XLOOKUP(B161,'Animals CE'!B:B,'Animals CE'!AA:AA)&lt;=1.5,
_xlfn.XLOOKUP(B161,'Animals CE'!B:B,'Animals CE'!AA:AA)/2+0.05,
0.8+
(_xlfn.XLOOKUP(B161,'Animals CE'!B:B,'Animals CE'!AA:AA)-1.5)
*0.02
),
0.05
),
200%
),
"No"
)</f>
        <v>No</v>
      </c>
      <c r="P161" s="2" t="str">
        <f>_xlfn.XLOOKUP(B161,'Base stats'!B:B,'Base stats'!R:R)</f>
        <v>Standard</v>
      </c>
      <c r="Q161" s="13">
        <f>MROUND((LOG10(_xlfn.XLOOKUP(B161,'Base stats'!B:B,'Base stats'!AR:AR))*(AO161^0.5)+(_xlfn.XLOOKUP(B161,'Base stats'!B:B,'Base stats'!AR:AR)/1000)^(2/3)+_xlfn.XLOOKUP(B161,'Base stats'!B:B,'Base stats'!BA:BA)/2)+0.5,0.5)</f>
        <v>12</v>
      </c>
      <c r="R161" s="7">
        <f>IF(Q161="No","No",MAX(1,MROUND(_xlfn.XLOOKUP(B161,'Base stats'!B:B,'Base stats'!C:C)^0.165,0.05)))</f>
        <v>2.5</v>
      </c>
      <c r="S161" s="13" t="str">
        <f>IF(_xlfn.XLOOKUP(_xlfn.XLOOKUP(B161,'Base stats'!B:B,'Base stats'!E:E),Groups!A:A,Groups!P:P)=0,"No",MROUND((LOG10(_xlfn.XLOOKUP(B161,'Base stats'!B:B,'Base stats'!AS:AS))*(AO161^0.5)+(_xlfn.XLOOKUP(B161,'Base stats'!B:B,'Base stats'!AS:AS)/1000)^(2/3)+_xlfn.XLOOKUP(B161,'Base stats'!B:B,'Base stats'!BA:BA))+_xlfn.XLOOKUP(B161,'Base stats'!B:B,'Base stats'!AY:AY)+0.5,0.5))</f>
        <v>No</v>
      </c>
      <c r="T161" s="7" t="str">
        <f>IF(S161="No","No",MAX(_xlfn.XLOOKUP(_xlfn.XLOOKUP(B161,'Base stats'!B:B,'Base stats'!E:E),Groups!A:A,Groups!Q:Q),MROUND(_xlfn.XLOOKUP(_xlfn.XLOOKUP(B161,'Base stats'!B:B,'Base stats'!E:E),Groups!A:A,Groups!Q:Q)*_xlfn.XLOOKUP(B161,'Base stats'!B:B,'Base stats'!C:C)^0.165,0.05)))</f>
        <v>No</v>
      </c>
      <c r="U161" s="7" t="str">
        <f>IF(S161="No","No",_xlfn.XLOOKUP(_xlfn.XLOOKUP(B161,'Base stats'!B:B,'Base stats'!E:E),Groups!A:A,Groups!R:R))</f>
        <v>No</v>
      </c>
      <c r="V161" s="7" t="str">
        <f>IF(S161="No","No",_xlfn.XLOOKUP(_xlfn.XLOOKUP(B161,'Base stats'!B:B,'Base stats'!E:E),Groups!A:A,Groups!S:S))</f>
        <v>No</v>
      </c>
      <c r="W161" s="7" t="str">
        <f>IF(S161="No","No",_xlfn.XLOOKUP(_xlfn.XLOOKUP(B161,'Base stats'!B:B,'Base stats'!E:E),Groups!A:A,Groups!T:T))</f>
        <v>No</v>
      </c>
      <c r="X161" s="13" t="str">
        <f>IF(_xlfn.XLOOKUP(B161,'Base stats'!B:B,'Base stats'!W:W)="No","No",MROUND((LOG10(_xlfn.XLOOKUP(B161,'Base stats'!B:B,'Base stats'!AU:AU))*(AO161^0.5)+(_xlfn.XLOOKUP(B161,'Base stats'!B:B,'Base stats'!AU:AU)/1000)^(2/3)+_xlfn.XLOOKUP(B161,'Base stats'!B:B,'Base stats'!AZ:AZ))+0.5+IF(_xlfn.XLOOKUP(_xlfn.XLOOKUP(B161,'Base stats'!B:B,'Base stats'!E:E),Groups!A:A,Groups!U:U)&lt;&gt;3,_xlfn.XLOOKUP(B161,'Base stats'!B:B,'Base stats'!BA:BA),0),0.5))</f>
        <v>No</v>
      </c>
      <c r="Y161" s="7" t="str">
        <f>IF(X161="No","No",MAX(_xlfn.XLOOKUP(_xlfn.XLOOKUP(B161,'Base stats'!B:B,'Base stats'!E:E),Groups!A:A,Groups!V:V),MROUND(_xlfn.XLOOKUP(_xlfn.XLOOKUP(B161,'Base stats'!B:B,'Base stats'!E:E),Groups!A:A,Groups!V:V)*_xlfn.XLOOKUP(B161,'Base stats'!B:B,'Base stats'!C:C)^0.165,0.05)))</f>
        <v>No</v>
      </c>
      <c r="Z161" s="7" t="str">
        <f>IF(X161="No","No",_xlfn.XLOOKUP(_xlfn.XLOOKUP(B161,'Base stats'!B:B,'Base stats'!E:E),Groups!A:A,Groups!W:W))</f>
        <v>No</v>
      </c>
      <c r="AA161" s="7" t="str">
        <f>IF(X161="No","No",_xlfn.XLOOKUP(_xlfn.XLOOKUP(B161,'Base stats'!B:B,'Base stats'!E:E),Groups!A:A,Groups!X:X))</f>
        <v>No</v>
      </c>
      <c r="AB161" s="7" t="str">
        <f>IF(X161="No","No",_xlfn.XLOOKUP(_xlfn.XLOOKUP(B161,'Base stats'!B:B,'Base stats'!E:E),Groups!A:A,Groups!Y:Y))</f>
        <v>No</v>
      </c>
      <c r="AC161" s="7" t="str">
        <f>_xlfn.XLOOKUP(Animals!B161,'Base stats'!B:B,'Base stats'!X:X)</f>
        <v>False</v>
      </c>
      <c r="AD161" s="13">
        <f>IF(_xlfn.XLOOKUP(B161,'Base stats'!B:B,'Base stats'!AT:AT)="No","No",MROUND((LOG10(_xlfn.XLOOKUP(B161,'Base stats'!B:B,'Base stats'!AT:AT))*(AO161^0.75)+(_xlfn.XLOOKUP(B161,'Base stats'!B:B,'Base stats'!AT:AT)/1000)^(2/3)+_xlfn.XLOOKUP(B161,'Base stats'!B:B,'Base stats'!AX:AX)+_xlfn.XLOOKUP(B161,'Base stats'!B:B,'Base stats'!BA:BA))+0.5,0.5))</f>
        <v>25.5</v>
      </c>
      <c r="AE161" s="7">
        <f>IF(AD161="No","No",MAX(_xlfn.XLOOKUP(_xlfn.XLOOKUP(B161,'Base stats'!B:B,'Base stats'!E:E),Groups!A:A,Groups!Z:Z),MROUND(_xlfn.XLOOKUP(_xlfn.XLOOKUP(B161,'Base stats'!B:B,'Base stats'!E:E),Groups!A:A,Groups!Z:Z)*_xlfn.XLOOKUP(B161,'Base stats'!B:B,'Base stats'!C:C)^0.165,0.05)))</f>
        <v>1.75</v>
      </c>
      <c r="AF161" s="7" t="str">
        <f>IF(AD161="No","No",_xlfn.XLOOKUP(_xlfn.XLOOKUP(B161,'Base stats'!B:B,'Base stats'!E:E),Groups!A:A,Groups!AA:AA))</f>
        <v>Teeth</v>
      </c>
      <c r="AG161" s="7" t="str">
        <f>IF(AD161="No","No",_xlfn.XLOOKUP(_xlfn.XLOOKUP(B161,'Base stats'!B:B,'Base stats'!E:E),Groups!A:A,Groups!AB:AB))</f>
        <v>canines</v>
      </c>
      <c r="AH161" s="7" t="str">
        <f>IF(AD161="No","No",_xlfn.XLOOKUP(_xlfn.XLOOKUP(B161,'Base stats'!B:B,'Base stats'!E:E),Groups!A:A,Groups!AC:AC))</f>
        <v>Bite</v>
      </c>
      <c r="AI161" s="13">
        <f>IF(_xlfn.XLOOKUP(_xlfn.XLOOKUP(B161,'Base stats'!B:B,'Base stats'!E:E),Groups!A:A,Groups!AD:AD)=0,"No",MROUND((LOG10(_xlfn.XLOOKUP(B161,'Base stats'!B:B,'Base stats'!AS:AS))*(AO161^0.75)+(_xlfn.XLOOKUP(B161,'Base stats'!B:B,'Base stats'!AS:AS)/1000)^(2/3)+_xlfn.XLOOKUP(B161,'Base stats'!B:B,'Base stats'!AY:AY)+_xlfn.XLOOKUP(B161,'Base stats'!B:B,'Base stats'!BA:BA))+0.5,0.5))</f>
        <v>19.5</v>
      </c>
      <c r="AJ161" s="7">
        <f>IF(AI161="No","No",MAX(_xlfn.XLOOKUP(_xlfn.XLOOKUP(B161,'Base stats'!B:B,'Base stats'!E:E),Groups!A:A,Groups!AE:AE),MROUND(_xlfn.XLOOKUP(_xlfn.XLOOKUP(B161,'Base stats'!B:B,'Base stats'!E:E),Groups!A:A,Groups!AE:AE)*IF(_xlfn.XLOOKUP(_xlfn.XLOOKUP(B161,'Base stats'!B:B,'Base stats'!E:E),Groups!A:A,Groups!AJ:AJ)="Photonozoa",0.6,1)*_xlfn.XLOOKUP(B161,'Base stats'!B:B,'Base stats'!C:C)^0.165,0.05)))</f>
        <v>1.6500000000000001</v>
      </c>
      <c r="AK161" s="7" t="str">
        <f>IF(AI161="No","No",_xlfn.XLOOKUP(_xlfn.XLOOKUP(B161,'Base stats'!B:B,'Base stats'!E:E),Groups!A:A,Groups!AF:AF))</f>
        <v>FrontLeftPaw, FrontRightPaw</v>
      </c>
      <c r="AL161" s="7" t="str">
        <f>IF(AI161="No","No",_xlfn.XLOOKUP(_xlfn.XLOOKUP(B161,'Base stats'!B:B,'Base stats'!E:E),Groups!A:A,Groups!AG:AG))</f>
        <v>left claw, right claw</v>
      </c>
      <c r="AM161" s="7" t="str">
        <f>IF(AI161="No","No",_xlfn.XLOOKUP(_xlfn.XLOOKUP(B161,'Base stats'!B:B,'Base stats'!E:E),Groups!A:A,Groups!AH:AH))</f>
        <v>Scratch</v>
      </c>
      <c r="AN161" s="2">
        <f t="shared" si="14"/>
        <v>25</v>
      </c>
      <c r="AO161" s="2">
        <f>MROUND(IF(AND(_xlfn.XLOOKUP(B161,'Base stats'!B:B,'Base stats'!C:C)&gt;=0.5,_xlfn.XLOOKUP(B161,'Base stats'!B:B,'Base stats'!C:C)&lt;=0.8),
IF(_xlfn.XLOOKUP(B161,'Base stats'!B:B,'Base stats'!C:C)&lt;0.1,0.05,IF(_xlfn.XLOOKUP(B161,'Base stats'!B:B,'Base stats'!C:C)&lt;=70,(_xlfn.XLOOKUP(B161,'Base stats'!B:B,'Base stats'!C:C)/70)^0.426489913056526,IF(_xlfn.XLOOKUP(B161,'Base stats'!B:B,'Base stats'!C:C)&lt;=400,(_xlfn.XLOOKUP(B161,'Base stats'!B:B,'Base stats'!C:C)/70)^0.572811455315093,IF(_xlfn.XLOOKUP(B161,'Base stats'!B:B,'Base stats'!C:C)&lt;=2000,2.71391647193063*(_xlfn.XLOOKUP(B161,'Base stats'!B:B,'Base stats'!C:C)/400)^0.252459582904293,3.74314280240376*(_xlfn.XLOOKUP(B161,'Base stats'!B:B,'Base stats'!C:C)/2000)^0.357012633876913)))),
IF(_xlfn.XLOOKUP(B161,'Base stats'!B:B,'Base stats'!C:C)&lt;0.1,0.05,IF(_xlfn.XLOOKUP(B161,'Base stats'!B:B,'Base stats'!C:C)&lt;0.4,0.1,IF(_xlfn.XLOOKUP(B161,'Base stats'!B:B,'Base stats'!C:C)&lt;=70,(_xlfn.XLOOKUP(B161,'Base stats'!B:B,'Base stats'!C:C)/70)^0.445823913056526,IF(_xlfn.XLOOKUP(B161,'Base stats'!B:B,'Base stats'!C:C)&lt;=400,(_xlfn.XLOOKUP(B161,'Base stats'!B:B,'Base stats'!C:C)/70)^0.572811455315093,IF(_xlfn.XLOOKUP(B161,'Base stats'!B:B,'Base stats'!C:C)&lt;=2000,2.71391647193063*(_xlfn.XLOOKUP(B161,'Base stats'!B:B,'Base stats'!C:C)/400)^0.252459582904293,3.74314280240376*(_xlfn.XLOOKUP(B161,'Base stats'!B:B,'Base stats'!C:C)/2000)^0.357012633876913)))))),
IF(_xlfn.XLOOKUP(B161,'Base stats'!B:B,'Base stats'!C:C)&lt;0.1,0.05,IF(_xlfn.XLOOKUP(B161,'Base stats'!B:B,'Base stats'!C:C)&lt;=100,0.05,IF(_xlfn.XLOOKUP(B161,'Base stats'!B:B,'Base stats'!C:C)&lt;=250,0.1,IF(_xlfn.XLOOKUP(B161,'Base stats'!B:B,'Base stats'!C:C)&lt;=4000,0.25,0.5)))))</f>
        <v>2</v>
      </c>
      <c r="AP161" s="8">
        <f>MROUND(AO161*_xlfn.XLOOKUP(_xlfn.XLOOKUP(B161,'Base stats'!B:B,'Base stats'!E:E),Groups!A:A,Groups!AI:AI)*_xlfn.XLOOKUP(B161,'Base stats'!B:B,'Base stats'!Z:Z),0.05)</f>
        <v>2.4000000000000004</v>
      </c>
      <c r="AQ161" s="8">
        <f>MAX(0.01,MROUND(IF(CC161="True",0.196*(AO161*100*1000)^0.889,IF(_xlfn.XLOOKUP(_xlfn.XLOOKUP(B161,'Base stats'!B:B,'Base stats'!E:E),Groups!A:A,Groups!AJ:AJ)="Bird",10.5*(AO161*100*1000)^0.681,4.82*(AO161*100*1000)^0.734))/(4.82*(1*100*1000)^0.734)/IF(AO161&lt;3.5,2,IF(AO161=3.5,1.5,1.25))*(1+0.132282374779864/(AO161^0.994035016789033+0.00905238001496948)),0.05))</f>
        <v>0.9</v>
      </c>
      <c r="AR161" s="9">
        <f>IFERROR(MROUND(_xlfn.XLOOKUP(B161,'Base stats'!B:B,'Base stats'!H:H)/IF(_xlfn.XLOOKUP(B161,'Base stats'!B:B,'Base stats'!I:I)&lt;&gt;1,(122.5/70),1.2),IF(_xlfn.XLOOKUP(B161,'Base stats'!B:B,'Base stats'!H:H)&gt;=30,5,IF(_xlfn.XLOOKUP(B161,'Base stats'!B:B,'Base stats'!H:H)&gt;=15,3,IF(_xlfn.XLOOKUP(B161,'Base stats'!B:B,'Base stats'!H:H)&gt;=10,2,1)))),"Immortal")</f>
        <v>15</v>
      </c>
      <c r="AS161" s="35">
        <f>IFERROR(IF(OR(_xlfn.XLOOKUP(B161,'Base stats'!B:B,'Base stats'!F:F)="Atypical reproduction",_xlfn.XLOOKUP(B161,'Base stats'!B:B,'Base stats'!F:F)="Lay eggs"),"Lay eggs",MIN(20,MAX(5.5,ROUND(((_xlfn.XLOOKUP(B161,'Base stats'!B:B,'Base stats'!F:F)-25)*(14.5/615) + 5.5)*2,0)/2))),"Unknown")</f>
        <v>7.5</v>
      </c>
      <c r="AT161" s="8">
        <f>IF(_xlfn.XLOOKUP(B161,'Base stats'!B:B,'Base stats'!G:G)="Atypical reproduction","No",IFERROR(MAX(IF(_xlfn.XLOOKUP(B161,'Base stats'!B:B,'Base stats'!G:G)&lt;0.5,0.2,0.3),MROUND(_xlfn.XLOOKUP(B161,'Base stats'!B:B,'Base stats'!G:G)/(365/60),0.2)),"Unknown"))</f>
        <v>0.60000000000000009</v>
      </c>
      <c r="AU161" s="8">
        <f t="shared" si="15"/>
        <v>0.30000000000000004</v>
      </c>
      <c r="AV161" s="8">
        <f>IFERROR(IFERROR(MROUND(_xlfn.XLOOKUP(B161,'Base stats'!B:B,'Base stats'!J:J),0.1),"Lay eggs"),"Cannot breed")</f>
        <v>2.5</v>
      </c>
      <c r="AW161" s="2" t="str">
        <f t="shared" si="16"/>
        <v>false</v>
      </c>
      <c r="AX161" s="2" t="str">
        <f>IF(_xlfn.XLOOKUP(_xlfn.XLOOKUP(Animals!B161,'Base stats'!B:B,'Base stats'!E:E),Groups!A:A,Groups!AK:AK)=1,"true","false")</f>
        <v>false</v>
      </c>
      <c r="AY161" s="25" t="str">
        <f>IF(_xlfn.XLOOKUP(B161,'Base stats'!B:B,'Base stats'!Y:Y)="Liquor","Liquor, CarnivoreAnimalStrict",IF(AND(_xlfn.XLOOKUP(B161,'Base stats'!B:B,'Base stats'!Y:Y)="Carnivore",_xlfn.XLOOKUP(_xlfn.XLOOKUP(B161,'Base stats'!B:B,'Base stats'!E:E),Groups!A:A,Groups!AJ:AJ)="Photonozoa"),"CarnivoreAnimalStrict, OvivoreAnimal",IF(_xlfn.XLOOKUP(B161,'Base stats'!B:B,'Base stats'!Y:Y)="Carnivore","CarnivoreAnimal, OvivoreAnimal",IF(_xlfn.XLOOKUP(B161,'Base stats'!B:B,'Base stats'!Y:Y)="Dendrovore","VegetarianRoughAnimal, DendrovoreAnimal",IF(_xlfn.XLOOKUP(B161,'Base stats'!B:B,'Base stats'!Y:Y)="Herbivore","VegetarianRoughAnimal",IF(_xlfn.XLOOKUP(B161,'Base stats'!B:B,'Base stats'!Y:Y)="OmnivoreRough","OmnivoreRoughAnimal, OvivoreAnimal","OmnivoreAnimal, OvivoreAnimal"))))))</f>
        <v>CarnivoreAnimal, OvivoreAnimal</v>
      </c>
      <c r="AZ161" s="2" t="str">
        <f>IF(_xlfn.XLOOKUP(_xlfn.XLOOKUP(B161,'Base stats'!B:B,'Base stats'!E:E),Groups!A:A,Groups!D:D)=1,MROUND((1-J161)*5+1,2)*IF(J161&lt;=0.4,2,1),"No")</f>
        <v>No</v>
      </c>
      <c r="BA161" s="2" t="str">
        <f>IF(AND(_xlfn.XLOOKUP(B161,'Base stats'!B:B,'Base stats'!AH:AH)="&lt;li&gt;Seal&lt;/li&gt;",G161="Odyssey"),"&lt;li&gt;AEXP_Seal&lt;/li&gt;",_xlfn.XLOOKUP(B161,'Base stats'!B:B,'Base stats'!AH:AH))</f>
        <v>No</v>
      </c>
      <c r="BB161" s="2" t="str">
        <f>_xlfn.XLOOKUP(B161,'Base stats'!B:B,'Base stats'!AG:AG)</f>
        <v>Leather_Panthera</v>
      </c>
      <c r="BC161" s="23" t="str">
        <f>_xlfn.XLOOKUP(_xlfn.XLOOKUP(B161,'Base stats'!B:B,'Base stats'!E:E),Groups!A:A,Groups!AL:AL)</f>
        <v>QuadrupedAnimalWithPawsAndTail</v>
      </c>
      <c r="BD161" s="23">
        <f>MIN(1,MROUND(IF(AND(AO161&lt;0.5,_xlfn.XLOOKUP(B161,'Base stats'!B:B,'Base stats'!AA:AA)=0),0,IF(OR(_xlfn.XLOOKUP(Animals!B161,'Base stats'!B:B,'Base stats'!O:O)=2,_xlfn.XLOOKUP(_xlfn.XLOOKUP(B161,'Base stats'!B:B,'Base stats'!E:E),Groups!A:A,Groups!AN:AN)=0),0,_xlfn.XLOOKUP(_xlfn.XLOOKUP(B161,'Base stats'!B:B,'Base stats'!E:E),Groups!A:A,Groups!AN:AN)/IF(_xlfn.XLOOKUP(Animals!B161,'Base stats'!B:B,'Base stats'!O:O)=1,2,1)))+_xlfn.XLOOKUP(B161,'Base stats'!B:B,'Base stats'!AC:AC),0.005))</f>
        <v>0.05</v>
      </c>
      <c r="BE161" s="23">
        <f>MIN(1,MROUND(IF(AND(AO161&lt;0.5,_xlfn.XLOOKUP(B161,'Base stats'!B:B,'Base stats'!AA:AA)=0),0,IF(_xlfn.XLOOKUP(_xlfn.XLOOKUP(B161,'Base stats'!B:B,'Base stats'!E:E),Groups!A:A,Groups!AO:AO)=0,0,_xlfn.XLOOKUP(_xlfn.XLOOKUP(B161,'Base stats'!B:B,'Base stats'!E:E),Groups!A:A,Groups!AO:AO)/IF(_xlfn.XLOOKUP(Animals!B161,'Base stats'!B:B,'Base stats'!O:O)=2,3,1)))+_xlfn.XLOOKUP(B161,'Base stats'!B:B,'Base stats'!AD:AD),0.005))</f>
        <v>0.3</v>
      </c>
      <c r="BF161" s="2" t="str">
        <f>IF(J161&gt;0.3,"No",_xlfn.XLOOKUP(_xlfn.XLOOKUP(Animals!B161,'Base stats'!B:B,'Base stats'!E:E),Groups!A:A,Groups!AP:AP))</f>
        <v>No</v>
      </c>
      <c r="BG161" s="2">
        <f>IF(AND(J161&lt;=0.65,_xlfn.XLOOKUP(_xlfn.XLOOKUP(Animals!B161,'Base stats'!B:B,'Base stats'!E:E),Groups!A:A,Groups!AP:AP)&lt;&gt;"No",_xlfn.XLOOKUP(_xlfn.XLOOKUP(B161,'Base stats'!B:B,'Base stats'!E:E),Groups!A:A,Groups!D:D)=0),MROUND((80/3)*IF(_xlfn.XLOOKUP(B161,'Base stats'!B:B,'Base stats'!O:O)=2,0.2,AO161) + 24*(1-IF(BF161="No",0,BF161)) + 16/3, 12),"No")</f>
        <v>84</v>
      </c>
      <c r="BH161" s="2">
        <f>IF(AND(_xlfn.XLOOKUP(_xlfn.XLOOKUP(B161,'Base stats'!B:B,'Base stats'!E:E),Groups!A:A,Groups!AQ:AQ)=1,AO161&lt;=0.35),8,12)</f>
        <v>12</v>
      </c>
      <c r="BI161" s="2" t="str">
        <f>IF(_xlfn.XLOOKUP(_xlfn.XLOOKUP(B161,'Base stats'!B:B,'Base stats'!E:E),Groups!A:A,Groups!D:D)=0,_xlfn.XLOOKUP(_xlfn.XLOOKUP(B161,'Base stats'!B:B,'Base stats'!E:E),Groups!A:A,Groups!AR:AR),"None")</f>
        <v>Intermediate</v>
      </c>
      <c r="BJ161" s="2" t="str">
        <f>IF(AND(_xlfn.XLOOKUP(_xlfn.XLOOKUP(B161,'Base stats'!B:B,'Base stats'!E:E),Groups!A:A,Groups!AS:AS)=1,OR(_xlfn.XLOOKUP(B161,'Base stats'!B:B,'Base stats'!Y:Y)="Carnivore",_xlfn.XLOOKUP(B161,'Base stats'!B:B,'Base stats'!Y:Y)="Omnivore")),"true","false")</f>
        <v>true</v>
      </c>
      <c r="BK161" s="2">
        <f>IF(BJ161="true",MROUND(IF(AND(AO161&gt;0.5,OR(_xlfn.XLOOKUP(_xlfn.XLOOKUP(B161,'Base stats'!B:B,'Base stats'!E:E),Groups!A:A,Groups!AJ:AJ)="Photonozoa",_xlfn.XLOOKUP(_xlfn.XLOOKUP(B161,'Base stats'!B:B,'Base stats'!E:E),Groups!A:A,Groups!AJ:AJ)="Mammal")),Animals!AO161*1.75*IF(AW161="true",1.5,1),IF(AO161&lt;0.5,Animals!AO161*0.5,Animals!AO161)),IF(AO161&gt;2,0.5,IF(AO161&gt;0.5,0.25,0.1))),"No")</f>
        <v>3.5</v>
      </c>
      <c r="BL161" s="2">
        <f t="shared" si="17"/>
        <v>1</v>
      </c>
      <c r="BM161" s="25" t="str">
        <f>IF(_xlfn.XLOOKUP(B161,'Base stats'!B:B,'Base stats'!AN:AN)="Standard","No",MROUND((_xlfn.XLOOKUP(B161,'Base stats'!B:B,'Base stats'!AN:AN)/3.6)/I161,0.1))</f>
        <v>No</v>
      </c>
      <c r="BN161" s="25" t="str">
        <f t="shared" si="18"/>
        <v>false</v>
      </c>
      <c r="BO161" s="25" t="str">
        <f>IF(AND(OR(_xlfn.XLOOKUP(B161,'Base stats'!B:B,'Base stats'!Y:Y)="Carnivore",_xlfn.XLOOKUP(B161,'Base stats'!B:B,'Base stats'!Y:Y)="Omnivore",_xlfn.XLOOKUP(B161,'Base stats'!B:B,'Base stats'!Y:Y)="OmnivoreRough"),_xlfn.XLOOKUP(_xlfn.XLOOKUP(B161,'Base stats'!B:B,'Base stats'!E:E),Groups!A:A,Groups!AT:AT)=1),"true","false")</f>
        <v>false</v>
      </c>
      <c r="BP161" s="25" t="str" cm="1">
        <f t="array" ref="BP161">IF(
  _xlfn.TEXTJOIN(", ",TRUE,
    IF(AND(BJ161="true",AO161&gt;0.5,BI161&lt;&gt;"None"),"AttackTarget",""),
    IF(AND(_xlfn.XLOOKUP(_xlfn.XLOOKUP(B161,'Base stats'!B:B,'Base stats'!E:E),Groups!A:A,Groups!AJ:AJ="Mammal"),OR(_xlfn.XLOOKUP(B161,'Base stats'!B:B,'Base stats'!Y:Y)="Omnivore",_xlfn.XLOOKUP(B161,'Base stats'!B:B,'Base stats'!Y:Y)="OmnivoreRough")),"Forage",""),
    IF(BG161&lt;=36,"Comfort",""),
    IF(_xlfn.XLOOKUP(B161,'Base stats'!B:B,'Base stats'!AE:AE)&lt;&gt;"No",_xlfn.XLOOKUP(B161,'Base stats'!B:B,'Base stats'!AE:AE),"")
  ) = "",
  "No",
  _xlfn.TEXTJOIN(", ",TRUE,
    IF(AND(BJ161="true",AO161&gt;0.5,BI161&lt;&gt;"None"),"AttackTarget",""),
    IF(AND(_xlfn.XLOOKUP(_xlfn.XLOOKUP(B161,'Base stats'!B:B,'Base stats'!E:E),Groups!A:A,Groups!AJ:AJ="Mammal"),OR(_xlfn.XLOOKUP(B161,'Base stats'!B:B,'Base stats'!Y:Y)="Omnivore",_xlfn.XLOOKUP(B161,'Base stats'!B:B,'Base stats'!Y:Y)="OmnivoreRough")),"Forage",""),
    IF(BG161&lt;=36,"Comfort",""),
    IF(_xlfn.XLOOKUP(B161,'Base stats'!B:B,'Base stats'!AE:AE)&lt;&gt;"No",_xlfn.XLOOKUP(B161,'Base stats'!B:B,'Base stats'!AE:AE),"")
  )
)</f>
        <v>AttackTarget</v>
      </c>
      <c r="BQ161" s="25" t="str">
        <f>IF(
   AND(
      'Base stats'!AN161="Standard",_xlfn.XLOOKUP(_xlfn.XLOOKUP(B161,'Base stats'!B:B,'Base stats'!E:E),Groups!A:A,Groups!AU:AU)=0,
      OR(
      BO161="True"
      )
   ),
   10,
   IF(
       OR(BM161&lt;&gt;"No",_xlfn.XLOOKUP(_xlfn.XLOOKUP(B161,'Base stats'!B:B,'Base stats'!E:E),Groups!A:A,Groups!AU:AU)=1),
      1,
      "No"
   )
)</f>
        <v>No</v>
      </c>
      <c r="BR161" s="9">
        <f>MROUND((1 + ((0.2*IF(OR(Q161="No",R161="No",R161=0),0,Q161/R161)
+IF(OR(V161="No",S161="No",T161="No"),0,S161/T161*(LEN(V161)-LEN(SUBSTITUTE(V161,",",""))+1))
+IF(OR(X161="No",Y161="No"),0,X161/Y161)
+IF(OR(AD161="No",AE161="No"),0,AD161/AE161)
+IF(OR(AL161="No",AI161="No",AJ161="No"),0,AI161/AJ161*(LEN(AL161)-LEN(SUBSTITUTE(AL161,",",""))+1))
)/(0.2*IF(OR(Q161="No",R161="No",R161=0),0,1)
+IF(OR(V161="No",S161="No",T161="No"),0,LEN(V161)-LEN(SUBSTITUTE(V161,",",""))+1)
+IF(OR(X161="No",Y161="No"),0,1)
+IF(OR(AD161="No",AE161="No"),0,1)
+IF(OR(AL161="No",AI161="No",AJ161="No"),0,LEN(AL161)-LEN(SUBSTITUTE(AL161,",",""))+1))*62%)* 2)*(1 + (AP161 / (IF(_xlfn.XLOOKUP(_xlfn.XLOOKUP(B161,'Base stats'!B:B,'Base stats'!E:E),Groups!A:A,Groups!AJ:AJ)="Photonozoa",0.3,1)) + _xlfn.XLOOKUP(B161,'Base stats'!B:B,'Base stats'!AV:AV) * 1.8) * 2) * 2.5 + 10 + I161 * 2,5)+IF(_xlfn.XLOOKUP(B161,'Base stats'!B:B,'Base stats'!AK:AK)=1,50,0)</f>
        <v>260</v>
      </c>
      <c r="BS161" s="8">
        <f t="shared" si="19"/>
        <v>1.1000000000000001</v>
      </c>
      <c r="BT161" s="8" t="str">
        <f>_xlfn.XLOOKUP(B161,'Base stats'!B:B,'Base stats'!AF:AF)</f>
        <v>No</v>
      </c>
      <c r="BU161" s="2" t="str">
        <f>IF(AND(J161&lt;=0.95,OR(_xlfn.XLOOKUP(B161,'Base stats'!B:B,'Base stats'!AK:AK)=1,_xlfn.XLOOKUP(B161,'Base stats'!B:B,'Base stats'!Y:Y)="Carnivore",_xlfn.XLOOKUP(B161,'Base stats'!B:B,'Base stats'!Y:Y)="Omnivore",BE161&gt;0.1)),"true","false")</f>
        <v>true</v>
      </c>
      <c r="BV161" s="2" t="str">
        <f>IF(_xlfn.XLOOKUP(B161,'Base stats'!B:B,'Base stats'!AI:AI)=1,"true","false")</f>
        <v>false</v>
      </c>
      <c r="BW161" s="25" t="str">
        <f>IF(E161="BaseInsect","AnimalInsect",
IF(J161&gt;0.95,"AnimalExotic",
_xlfn.TEXTJOIN(", ",TRUE,
IF(OR(_xlfn.XLOOKUP(B161,'Base stats'!B:B,'Base stats'!AM:AM)=1,AND(_xlfn.XLOOKUP(B161,'Base stats'!B:B,'Base stats'!O:O)=0,_xlfn.XLOOKUP(_xlfn.XLOOKUP(B161,'Base stats'!B:B,'Base stats'!E:E),Groups!A:A,Groups!B:B)&gt;0)),"AnimalUncommon","AnimalCommon"),
IF(AND(_xlfn.XLOOKUP(B161,'Base stats'!B:B,'Base stats'!O:O)=2,_xlfn.XLOOKUP(_xlfn.XLOOKUP(B161,'Base stats'!B:B,'Base stats'!E:E),Groups!A:A,Groups!D:D)=0),"AnimalPet",IF(AND(_xlfn.XLOOKUP(B161,'Base stats'!B:B,'Base stats'!O:O)&lt;&gt;0,_xlfn.XLOOKUP(_xlfn.XLOOKUP(B161,'Base stats'!B:B,'Base stats'!E:E),Groups!A:A,Groups!D:D)&lt;&gt;0),"AnimalFarm","")),
IF(OR(_xlfn.XLOOKUP(B161,'Base stats'!B:B,'Base stats'!AK:AK)=1,AND(BI161&lt;&gt;"None",BR161&gt;=60),ISNUMBER(SEARCH("Attack target",BP161))),"AnimalFighter","")
)))</f>
        <v>AnimalUncommon, AnimalFighter</v>
      </c>
      <c r="BX161" s="25" t="str">
        <f>IF(G161="None",TRIM(
SUBSTITUTE(
IF(COUNTIF(Biomes!B$2:B$259,"="&amp;$C161)&gt;0,Biomes!B$1&amp;", ","")&amp;
IF(COUNTIF(Biomes!C$2:C$259,"="&amp;$C161)&gt;0,Biomes!C$1&amp;", ","")&amp;
IF(COUNTIF(Biomes!D$2:D$259,"="&amp;$C161)&gt;0,Biomes!D$1&amp;", ","")&amp;
IF(COUNTIF(Biomes!F$2:F$259,"="&amp;$C161)&gt;0,Biomes!F$1&amp;", ","")&amp;
IF(COUNTIF(Biomes!G$2:G$259,"="&amp;$C161)&gt;0,Biomes!G$1&amp;", ","")&amp;
IF(COUNTIF(Biomes!H$2:H$259,"="&amp;$C161)&gt;0,Biomes!H$1&amp;", ","")&amp;
IF(COUNTIF(Biomes!I$2:I$259,"="&amp;$C161)&gt;0,Biomes!I$1&amp;", ","")&amp;
IF(COUNTIF(Biomes!J$2:J$259,"="&amp;$C161)&gt;0,Biomes!J$1&amp;", ","")&amp;
IF(COUNTIF(Biomes!M$2:M$259,"="&amp;$C161)&gt;0,Biomes!M$1&amp;", ","")&amp;
IF(COUNTIF(Biomes!N$2:N$259,"="&amp;$C161)&gt;0,Biomes!N$1&amp;", ","")&amp;
IF(COUNTIF(Biomes!O$2:O$259,"="&amp;$C161)&gt;0,Biomes!O$1&amp;", ","")&amp;
IF(COUNTIF(Biomes!P$2:P$259,"="&amp;$C161)&gt;0,Biomes!P$1&amp;", ","")&amp;
IF(COUNTIF(Biomes!K$2:K$259,"="&amp;$C161)&gt;0,Biomes!K$1&amp;", ","")&amp;
IF(COUNTIF(Biomes!Q$3:Q$259,"="&amp;$C161)&gt;0,Biomes!Q$1&amp;", ","")&amp;
IF(COUNTIF(Biomes!L$2:L$259,"="&amp;$C161)&gt;0,Biomes!L$1&amp;", ","")&amp;
IF(COUNTIF(Biomes!E$2:E$259,"="&amp;$C161)&gt;0,Biomes!E$1&amp;", ","")&amp;IF(COUNTIF(Biomes!S$2:S$259,"="&amp;$C161)&gt;0,Biomes!S$1&amp;", ","")&amp;
IF(COUNTIF(Biomes!R$2:R$259,"="&amp;$C161)&gt;0,Biomes!R$1&amp;", ",""),", ","")
),_xlfn.XLOOKUP(B161,B:B,BX:BX))</f>
        <v/>
      </c>
      <c r="BY161" s="25" t="str">
        <f>IF(_xlfn.XLOOKUP(B161,'Base stats'!B:B,'Base stats'!AJ:AJ)=1,"true","false")</f>
        <v>false</v>
      </c>
      <c r="BZ161" s="25">
        <f>IF(_xlfn.XLOOKUP(B161,'Base stats'!B:B,'Base stats'!N:N)=1,"No",MAX(0.001,MIN(MROUND(IF(AND(BJ161="True",CC161="False"),POWER(10,3.47*LOG10(_xlfn.XLOOKUP(B161,'Base stats'!B:B,'Base stats'!C:C)*1000)^-0.96),POWER(10,4.15*LOG10(_xlfn.XLOOKUP(B161,'Base stats'!B:B,'Base stats'!C:C)*1000)^-0.73))*IF(_xlfn.XLOOKUP(B161,'Base stats'!B:B,'Base stats'!AK:AK)=1,0.5,1)*IF(_xlfn.XLOOKUP(B161,'Base stats'!B:B,'Base stats'!AM:AM)=1,0.1,1)/100,IF(_xlfn.XLOOKUP(B161,'Base stats'!B:B,'Base stats'!AM:AM)=1,0.001,0.025)),0.5)))</f>
        <v>5.0000000000000001E-3</v>
      </c>
      <c r="CA161" s="25" t="str">
        <f>IF(P161="Standard","No",MAX(0.001,MIN(MROUND(IF(AND(BJ161="True",CC161="False"),POWER(10,3.47*LOG10(_xlfn.XLOOKUP(B161,'Base stats'!B:B,'Base stats'!C:C)*1000)^-0.96),POWER(10,4.15*LOG10(_xlfn.XLOOKUP(B161,'Base stats'!B:B,'Base stats'!C:C)*1000)^-0.73))*IF(_xlfn.XLOOKUP(B161,'Base stats'!B:B,'Base stats'!AM:AM)=1,0.1,1)*_xlfn.XLOOKUP(B161,'Base stats'!B:B,'Base stats'!R:R)/100,IF(_xlfn.XLOOKUP(B161,'Base stats'!B:B,'Base stats'!AM:AM)=1,0.001,0.025)),0.5)))</f>
        <v>No</v>
      </c>
      <c r="CB161" s="25" t="str">
        <f>IF(_xlfn.XLOOKUP(_xlfn.XLOOKUP(B161,'Base stats'!B:B,'Base stats'!E:E),Groups!A:A,Groups!AJ:AJ)="Mammal","True","False")</f>
        <v>True</v>
      </c>
      <c r="CC161" s="25" t="str">
        <f>IF(OR(_xlfn.XLOOKUP(_xlfn.XLOOKUP(B161,'Base stats'!B:B,'Base stats'!E:E),Groups!A:A,Groups!AJ:AJ)="Reptile",_xlfn.XLOOKUP(_xlfn.XLOOKUP(B161,'Base stats'!B:B,'Base stats'!E:E),Groups!A:A,Groups!AJ:AJ)="Amphibian",_xlfn.XLOOKUP(_xlfn.XLOOKUP(B161,'Base stats'!B:B,'Base stats'!E:E),Groups!A:A,Groups!AJ:AJ)="Invertebrate"),"True","False")</f>
        <v>False</v>
      </c>
      <c r="CD161" s="25" t="str">
        <f t="shared" si="20"/>
        <v>False</v>
      </c>
      <c r="CE161" s="25" t="str">
        <f>IF(_xlfn.XLOOKUP(_xlfn.XLOOKUP(B161,'Base stats'!B:B,'Base stats'!E:E),Groups!A:A,Groups!AX:AX),"True","False")</f>
        <v>False</v>
      </c>
      <c r="CF161" s="25" t="str">
        <f>IF(_xlfn.XLOOKUP(_xlfn.XLOOKUP(B161,'Base stats'!B:B,'Base stats'!E:E),Groups!A:A,Groups!AY:AY),"True","False")</f>
        <v>False</v>
      </c>
      <c r="CG161" s="25" t="str">
        <f>IF(_xlfn.XLOOKUP(_xlfn.XLOOKUP(B161,'Base stats'!B:B,'Base stats'!E:E),Groups!A:A,Groups!AW:AW),"True","False")</f>
        <v>False</v>
      </c>
      <c r="CH161" s="25" t="str">
        <f>IF(
OR(
_xlfn.XLOOKUP(_xlfn.XLOOKUP(B161,'Base stats'!B:B,'Base stats'!E:E),Groups!A:A,Groups!AZ:AZ)=0,
AND(
_xlfn.XLOOKUP(B161,'Base stats'!B:B,'Base stats'!Y:Y)&lt;&gt;"Carnivore",
_xlfn.XLOOKUP(B161,'Base stats'!B:B,'Base stats'!Y:Y)&lt;&gt;"Omnivore",
_xlfn.XLOOKUP(B161,'Base stats'!B:B,'Base stats'!Y:Y)&lt;&gt;"OmnivoreRough"
)
),
"No",
IF(
_xlfn.XLOOKUP(_xlfn.XLOOKUP(B161,'Base stats'!B:B,'Base stats'!E:E),Groups!A:A,Groups!AZ:AZ)=1,
"Flesh",
IF(
_xlfn.XLOOKUP(_xlfn.XLOOKUP(B161,'Base stats'!B:B,'Base stats'!E:E),Groups!A:A,Groups!AZ:AZ)=2,
"Bone",
""
)
)
)</f>
        <v>No</v>
      </c>
      <c r="CI161" s="25" t="str">
        <f>IF(_xlfn.XLOOKUP(_xlfn.XLOOKUP(B161,'Base stats'!B:B,'Base stats'!E:E),Groups!A:A,Groups!BB:BB),"True","False")</f>
        <v>True</v>
      </c>
      <c r="CJ161" s="25" t="str">
        <f>IF(_xlfn.XLOOKUP(_xlfn.XLOOKUP(B161,'Base stats'!B:B,'Base stats'!E:E),Groups!A:A,Groups!BA:BA),"True","False")</f>
        <v>False</v>
      </c>
    </row>
    <row r="162" spans="1:88" s="16" customFormat="1" ht="16.5" thickTop="1" thickBot="1" x14ac:dyDescent="0.3">
      <c r="A162" s="26" t="str">
        <f>_xlfn.XLOOKUP(B162,'Base stats'!B:B,'Base stats'!A:A)</f>
        <v>Pheasant</v>
      </c>
      <c r="B162" s="6" t="s">
        <v>1114</v>
      </c>
      <c r="C162" s="28" t="s">
        <v>1116</v>
      </c>
      <c r="D162" s="28" t="s">
        <v>1113</v>
      </c>
      <c r="E162" s="28" t="s">
        <v>673</v>
      </c>
      <c r="F162" s="28" t="s">
        <v>673</v>
      </c>
      <c r="G162" s="28" t="s">
        <v>673</v>
      </c>
      <c r="H162" s="2">
        <f>MROUND((
  (IF(AND(_xlfn.XLOOKUP(B162,'Base stats'!B:B,'Base stats'!AL:AL)=0,BI162="None",_xlfn.XLOOKUP(_xlfn.XLOOKUP(B162,'Base stats'!B:B,'Base stats'!E:E),Groups!A:A,Groups!B:B)=0), (18 + BR162 * 2.7) * 0.5,
    IF(AND(_xlfn.XLOOKUP(B162,'Base stats'!B:B,'Base stats'!AL:AL)=0,OR(AO162&lt;0.55,AND(BI162="Intermediate",_xlfn.XLOOKUP(_xlfn.XLOOKUP(B162,'Base stats'!B:B,'Base stats'!E:E),Groups!A:A,Groups!B:B)&lt;2))), (18 + BR162 * 2.7),
      IF(OR(BI162="Advanced",_xlfn.XLOOKUP(B162,'Base stats'!B:B,'Base stats'!AL:AL)=1,_xlfn.XLOOKUP(_xlfn.XLOOKUP(B162,'Base stats'!B:B,'Base stats'!E:E),Groups!A:A,Groups!B:B)=2), (18 + BR162 * 2.7) + 250, (18 + BR162 * 2.7))
    )
  ))
  + AO162 * 80
  + IF(COUNTIF(EggMilk!K$2:K$998, A162) &gt; 0, 125, 0)
  + IF(COUNTIF(EggMilk!P$2:P$998, A162) &gt; 0, 90, 0)
  + IF(COUNTIF(EggMilk!A$2:A$998, A162) &gt; 0, 90, 0)
)
* (0.8 + 0.4 * J162)
* 0.75,25)</f>
        <v>100</v>
      </c>
      <c r="I162" s="2">
        <f>MROUND(ROUNDDOWN(_xlfn.XLOOKUP(B162,'Base stats'!B:B,'Base stats'!L:L)/3.6/(23.3/11),1),0.5)</f>
        <v>2</v>
      </c>
      <c r="J162" s="2">
        <f>IF(OR(_xlfn.XLOOKUP(B162,'Base stats'!B:B,'Base stats'!AB:AB)=1,_xlfn.XLOOKUP(_xlfn.XLOOKUP(B162,'Base stats'!B:B,'Base stats'!E:E),Groups!A:A,Groups!C:C)="Untamable"),1,IF(_xlfn.XLOOKUP(B162,'Base stats'!B:B,'Base stats'!AL:AL)=1,0.99,MIN(MROUND((1-0.6282*EXP(-0.459*AO162))*_xlfn.XLOOKUP(_xlfn.XLOOKUP(B162,'Base stats'!B:B,'Base stats'!E:E),Groups!A:A,Groups!C:C)*IF(_xlfn.XLOOKUP(B162,'Base stats'!B:B,'Base stats'!O:O)=1,0.5,IF(_xlfn.XLOOKUP(B162,'Base stats'!B:B,'Base stats'!O:O)=2,0,1)),0.05),IF(AO162&gt;3.5,0.985,0.95))))</f>
        <v>0.5</v>
      </c>
      <c r="K162" s="2">
        <f>ROUNDUP(AO162*_xlfn.XLOOKUP(_xlfn.XLOOKUP(B162,'Base stats'!B:B,'Base stats'!E:E),Groups!A:A,Groups!E:E),0)</f>
        <v>2</v>
      </c>
      <c r="L162" s="2">
        <f>IF(OR(_xlfn.XLOOKUP(_xlfn.XLOOKUP(B162,'Base stats'!B:B,'Base stats'!E:E),Groups!A:A,Groups!F:F)=2,ISNUMBER(SEARCH("SeaIce",BX162)),ISNUMBER(SEARCH("IceSheet",BX162))),-50,IF(OR(ISNUMBER(SEARCH("GlacialPlain",BX162)),ISNUMBER(SEARCH("Tundra",BX162))),-40,IF(OR(ISNUMBER(SEARCH("Alpine",BX162)),ISNUMBER(SEARCH("BorealForest",BX162)),ISNUMBER(SEARCH("ColdBog",BX162))),-30,IF(OR(ISNUMBER(SEARCH("TemperateForest",BX162)),ISNUMBER(SEARCH("TemperateSwamp",BX162))),-20,IF(_xlfn.XLOOKUP(_xlfn.XLOOKUP(B162,'Base stats'!B:B,'Base stats'!E:E),Groups!A:A,Groups!F:F)=1,-15,IF(OR(ISNUMBER(SEARCH("Desert",BX162)),ISNUMBER(SEARCH("ExtremeDesert",BX162))),-10,IF(OR(ISNUMBER(SEARCH("Grasslands",BX162)),ISNUMBER(SEARCH("TropicalRainforest",BX162)),ISNUMBER(SEARCH("TropicalSwamp",BX162))),10,0)))))))-IF(CC162="False",MIN(IFERROR(MAX(MROUND(LOG10(_xlfn.XLOOKUP(B162,'Base stats'!B:B,'Base stats'!C:C)^(2/3))*10,5),5),5),30))-_xlfn.XLOOKUP(B162,'Base stats'!B:B,'Base stats'!P:P)+IF(CC162="True",5,0)</f>
        <v>-5</v>
      </c>
      <c r="M162" s="2">
        <f>IF(OR(_xlfn.XLOOKUP(_xlfn.XLOOKUP(B162,'Base stats'!B:B,'Base stats'!E:E),Groups!A:A,Groups!G:G)=2,ISNUMBER(SEARCH("Desert",BX162)),ISNUMBER(SEARCH("ExtremeDesert",BX162)),ISNUMBER(SEARCH("LavaField",BX162))),50,IF(ISNUMBER(SEARCH("Grasslands",BX162)),45,IF(OR(_xlfn.XLOOKUP(_xlfn.XLOOKUP(B162,'Base stats'!B:B,'Base stats'!E:E),Groups!A:A,Groups!G:G)=1,ISNUMBER(SEARCH("TropicalRainforest",BX162)),ISNUMBER(SEARCH("TropicalSwamp",BX162))),40,IF(OR(ISNUMBER(SEARCH("TemperateForest",BX162)),ISNUMBER(SEARCH("TemperateSwamp",BX162))),35,IF(OR(ISNUMBER(SEARCH("Alpine",BX162)),ISNUMBER(SEARCH("BorealForest",BX162)),ISNUMBER(SEARCH("ColdBog",BX162))),30,IF(ISNUMBER(OR(ISNUMBER(SEARCH("GlacialPlain",BX162)),SEARCH("Tundra",BX162))),25,IF(OR(ISNUMBER(SEARCH("SeaIce",BX162)),ISNUMBER(SEARCH("IceSheet",BX162)),ISNUMBER(SEARCH("TropicalSwamp",BX162))),10,35)))))))+_xlfn.XLOOKUP(B162,'Base stats'!B:B,'Base stats'!Q:Q)</f>
        <v>35</v>
      </c>
      <c r="N162" s="8" t="str">
        <f>IF(
_xlfn.XLOOKUP(
_xlfn.XLOOKUP(B162,'Base stats'!B:B,'Base stats'!E:E),
Groups!A:A,
Groups!L:L
)=1,
MIN(
MROUND(
IF(
_xlfn.XLOOKUP(B162,'Animals CE'!B:B,'Animals CE'!Z:Z)&lt;=1.5,
_xlfn.XLOOKUP(B162,'Animals CE'!B:B,'Animals CE'!Z:Z)/2+0.05,
0.8+
(_xlfn.XLOOKUP(B162,'Animals CE'!B:B,'Animals CE'!Z:Z)-1.5)
*0.02
),
0.05
),
200%
),
"No"
)</f>
        <v>No</v>
      </c>
      <c r="O162" s="8" t="str">
        <f>IF(
_xlfn.XLOOKUP(
_xlfn.XLOOKUP(B162,'Base stats'!B:B,'Base stats'!E:E),
Groups!A:A,
Groups!L:L
)=1,
MIN(
MROUND(
IF(
_xlfn.XLOOKUP(B162,'Animals CE'!B:B,'Animals CE'!AA:AA)&lt;=1.5,
_xlfn.XLOOKUP(B162,'Animals CE'!B:B,'Animals CE'!AA:AA)/2+0.05,
0.8+
(_xlfn.XLOOKUP(B162,'Animals CE'!B:B,'Animals CE'!AA:AA)-1.5)
*0.02
),
0.05
),
200%
),
"No"
)</f>
        <v>No</v>
      </c>
      <c r="P162" s="2" t="str">
        <f>_xlfn.XLOOKUP(B162,'Base stats'!B:B,'Base stats'!R:R)</f>
        <v>Standard</v>
      </c>
      <c r="Q162" s="13">
        <f>MROUND((LOG10(_xlfn.XLOOKUP(B162,'Base stats'!B:B,'Base stats'!AR:AR))*(AO162^0.5)+(_xlfn.XLOOKUP(B162,'Base stats'!B:B,'Base stats'!AR:AR)/1000)^(2/3)+_xlfn.XLOOKUP(B162,'Base stats'!B:B,'Base stats'!BA:BA)/2)+0.5,0.5)</f>
        <v>1.5</v>
      </c>
      <c r="R162" s="7">
        <f>IF(Q162="No","No",MAX(1,MROUND(_xlfn.XLOOKUP(B162,'Base stats'!B:B,'Base stats'!C:C)^0.165,0.05)))</f>
        <v>1</v>
      </c>
      <c r="S162" s="13">
        <f>IF(_xlfn.XLOOKUP(_xlfn.XLOOKUP(B162,'Base stats'!B:B,'Base stats'!E:E),Groups!A:A,Groups!P:P)=0,"No",MROUND((LOG10(_xlfn.XLOOKUP(B162,'Base stats'!B:B,'Base stats'!AS:AS))*(AO162^0.5)+(_xlfn.XLOOKUP(B162,'Base stats'!B:B,'Base stats'!AS:AS)/1000)^(2/3)+_xlfn.XLOOKUP(B162,'Base stats'!B:B,'Base stats'!BA:BA))+_xlfn.XLOOKUP(B162,'Base stats'!B:B,'Base stats'!AY:AY)+0.5,0.5))</f>
        <v>2</v>
      </c>
      <c r="T162" s="7">
        <f>IF(S162="No","No",MAX(_xlfn.XLOOKUP(_xlfn.XLOOKUP(B162,'Base stats'!B:B,'Base stats'!E:E),Groups!A:A,Groups!Q:Q),MROUND(_xlfn.XLOOKUP(_xlfn.XLOOKUP(B162,'Base stats'!B:B,'Base stats'!E:E),Groups!A:A,Groups!Q:Q)*_xlfn.XLOOKUP(B162,'Base stats'!B:B,'Base stats'!C:C)^0.165,0.05)))</f>
        <v>1</v>
      </c>
      <c r="U162" s="7" t="str">
        <f>IF(S162="No","No",_xlfn.XLOOKUP(_xlfn.XLOOKUP(B162,'Base stats'!B:B,'Base stats'!E:E),Groups!A:A,Groups!R:R))</f>
        <v>Feet</v>
      </c>
      <c r="V162" s="7" t="str">
        <f>IF(S162="No","No",_xlfn.XLOOKUP(_xlfn.XLOOKUP(B162,'Base stats'!B:B,'Base stats'!E:E),Groups!A:A,Groups!S:S))</f>
        <v>rear left claw, rear  right claw</v>
      </c>
      <c r="W162" s="7" t="str">
        <f>IF(S162="No","No",_xlfn.XLOOKUP(_xlfn.XLOOKUP(B162,'Base stats'!B:B,'Base stats'!E:E),Groups!A:A,Groups!T:T))</f>
        <v>Scratch</v>
      </c>
      <c r="X162" s="13" t="str">
        <f>IF(_xlfn.XLOOKUP(B162,'Base stats'!B:B,'Base stats'!W:W)="No","No",MROUND((LOG10(_xlfn.XLOOKUP(B162,'Base stats'!B:B,'Base stats'!AU:AU))*(AO162^0.5)+(_xlfn.XLOOKUP(B162,'Base stats'!B:B,'Base stats'!AU:AU)/1000)^(2/3)+_xlfn.XLOOKUP(B162,'Base stats'!B:B,'Base stats'!AZ:AZ))+0.5+IF(_xlfn.XLOOKUP(_xlfn.XLOOKUP(B162,'Base stats'!B:B,'Base stats'!E:E),Groups!A:A,Groups!U:U)&lt;&gt;3,_xlfn.XLOOKUP(B162,'Base stats'!B:B,'Base stats'!BA:BA),0),0.5))</f>
        <v>No</v>
      </c>
      <c r="Y162" s="7" t="str">
        <f>IF(X162="No","No",MAX(_xlfn.XLOOKUP(_xlfn.XLOOKUP(B162,'Base stats'!B:B,'Base stats'!E:E),Groups!A:A,Groups!V:V),MROUND(_xlfn.XLOOKUP(_xlfn.XLOOKUP(B162,'Base stats'!B:B,'Base stats'!E:E),Groups!A:A,Groups!V:V)*_xlfn.XLOOKUP(B162,'Base stats'!B:B,'Base stats'!C:C)^0.165,0.05)))</f>
        <v>No</v>
      </c>
      <c r="Z162" s="7" t="str">
        <f>IF(X162="No","No",_xlfn.XLOOKUP(_xlfn.XLOOKUP(B162,'Base stats'!B:B,'Base stats'!E:E),Groups!A:A,Groups!W:W))</f>
        <v>No</v>
      </c>
      <c r="AA162" s="7" t="str">
        <f>IF(X162="No","No",_xlfn.XLOOKUP(_xlfn.XLOOKUP(B162,'Base stats'!B:B,'Base stats'!E:E),Groups!A:A,Groups!X:X))</f>
        <v>No</v>
      </c>
      <c r="AB162" s="7" t="str">
        <f>IF(X162="No","No",_xlfn.XLOOKUP(_xlfn.XLOOKUP(B162,'Base stats'!B:B,'Base stats'!E:E),Groups!A:A,Groups!Y:Y))</f>
        <v>No</v>
      </c>
      <c r="AC162" s="7" t="str">
        <f>_xlfn.XLOOKUP(Animals!B162,'Base stats'!B:B,'Base stats'!X:X)</f>
        <v>False</v>
      </c>
      <c r="AD162" s="13">
        <f>IF(_xlfn.XLOOKUP(B162,'Base stats'!B:B,'Base stats'!AT:AT)="No","No",MROUND((LOG10(_xlfn.XLOOKUP(B162,'Base stats'!B:B,'Base stats'!AT:AT))*(AO162^0.75)+(_xlfn.XLOOKUP(B162,'Base stats'!B:B,'Base stats'!AT:AT)/1000)^(2/3)+_xlfn.XLOOKUP(B162,'Base stats'!B:B,'Base stats'!AX:AX)+_xlfn.XLOOKUP(B162,'Base stats'!B:B,'Base stats'!BA:BA))+0.5,0.5))</f>
        <v>1.5</v>
      </c>
      <c r="AE162" s="7">
        <f>IF(AD162="No","No",MAX(_xlfn.XLOOKUP(_xlfn.XLOOKUP(B162,'Base stats'!B:B,'Base stats'!E:E),Groups!A:A,Groups!Z:Z),MROUND(_xlfn.XLOOKUP(_xlfn.XLOOKUP(B162,'Base stats'!B:B,'Base stats'!E:E),Groups!A:A,Groups!Z:Z)*_xlfn.XLOOKUP(B162,'Base stats'!B:B,'Base stats'!C:C)^0.165,0.05)))</f>
        <v>1</v>
      </c>
      <c r="AF162" s="7" t="str">
        <f>IF(AD162="No","No",_xlfn.XLOOKUP(_xlfn.XLOOKUP(B162,'Base stats'!B:B,'Base stats'!E:E),Groups!A:A,Groups!AA:AA))</f>
        <v>Beak</v>
      </c>
      <c r="AG162" s="7" t="str">
        <f>IF(AD162="No","No",_xlfn.XLOOKUP(_xlfn.XLOOKUP(B162,'Base stats'!B:B,'Base stats'!E:E),Groups!A:A,Groups!AB:AB))</f>
        <v>beak</v>
      </c>
      <c r="AH162" s="7" t="str">
        <f>IF(AD162="No","No",_xlfn.XLOOKUP(_xlfn.XLOOKUP(B162,'Base stats'!B:B,'Base stats'!E:E),Groups!A:A,Groups!AC:AC))</f>
        <v>Blunt</v>
      </c>
      <c r="AI162" s="13" t="str">
        <f>IF(_xlfn.XLOOKUP(_xlfn.XLOOKUP(B162,'Base stats'!B:B,'Base stats'!E:E),Groups!A:A,Groups!AD:AD)=0,"No",MROUND((LOG10(_xlfn.XLOOKUP(B162,'Base stats'!B:B,'Base stats'!AS:AS))*(AO162^0.75)+(_xlfn.XLOOKUP(B162,'Base stats'!B:B,'Base stats'!AS:AS)/1000)^(2/3)+_xlfn.XLOOKUP(B162,'Base stats'!B:B,'Base stats'!AY:AY)+_xlfn.XLOOKUP(B162,'Base stats'!B:B,'Base stats'!BA:BA))+0.5,0.5))</f>
        <v>No</v>
      </c>
      <c r="AJ162" s="7" t="str">
        <f>IF(AI162="No","No",MAX(_xlfn.XLOOKUP(_xlfn.XLOOKUP(B162,'Base stats'!B:B,'Base stats'!E:E),Groups!A:A,Groups!AE:AE),MROUND(_xlfn.XLOOKUP(_xlfn.XLOOKUP(B162,'Base stats'!B:B,'Base stats'!E:E),Groups!A:A,Groups!AE:AE)*IF(_xlfn.XLOOKUP(_xlfn.XLOOKUP(B162,'Base stats'!B:B,'Base stats'!E:E),Groups!A:A,Groups!AJ:AJ)="Photonozoa",0.6,1)*_xlfn.XLOOKUP(B162,'Base stats'!B:B,'Base stats'!C:C)^0.165,0.05)))</f>
        <v>No</v>
      </c>
      <c r="AK162" s="7" t="str">
        <f>IF(AI162="No","No",_xlfn.XLOOKUP(_xlfn.XLOOKUP(B162,'Base stats'!B:B,'Base stats'!E:E),Groups!A:A,Groups!AF:AF))</f>
        <v>No</v>
      </c>
      <c r="AL162" s="7" t="str">
        <f>IF(AI162="No","No",_xlfn.XLOOKUP(_xlfn.XLOOKUP(B162,'Base stats'!B:B,'Base stats'!E:E),Groups!A:A,Groups!AG:AG))</f>
        <v>No</v>
      </c>
      <c r="AM162" s="7" t="str">
        <f>IF(AI162="No","No",_xlfn.XLOOKUP(_xlfn.XLOOKUP(B162,'Base stats'!B:B,'Base stats'!E:E),Groups!A:A,Groups!AH:AH))</f>
        <v>No</v>
      </c>
      <c r="AN162" s="2" t="str">
        <f t="shared" si="14"/>
        <v>No</v>
      </c>
      <c r="AO162" s="2">
        <f>MROUND(IF(AND(_xlfn.XLOOKUP(B162,'Base stats'!B:B,'Base stats'!C:C)&gt;=0.5,_xlfn.XLOOKUP(B162,'Base stats'!B:B,'Base stats'!C:C)&lt;=0.8),
IF(_xlfn.XLOOKUP(B162,'Base stats'!B:B,'Base stats'!C:C)&lt;0.1,0.05,IF(_xlfn.XLOOKUP(B162,'Base stats'!B:B,'Base stats'!C:C)&lt;=70,(_xlfn.XLOOKUP(B162,'Base stats'!B:B,'Base stats'!C:C)/70)^0.426489913056526,IF(_xlfn.XLOOKUP(B162,'Base stats'!B:B,'Base stats'!C:C)&lt;=400,(_xlfn.XLOOKUP(B162,'Base stats'!B:B,'Base stats'!C:C)/70)^0.572811455315093,IF(_xlfn.XLOOKUP(B162,'Base stats'!B:B,'Base stats'!C:C)&lt;=2000,2.71391647193063*(_xlfn.XLOOKUP(B162,'Base stats'!B:B,'Base stats'!C:C)/400)^0.252459582904293,3.74314280240376*(_xlfn.XLOOKUP(B162,'Base stats'!B:B,'Base stats'!C:C)/2000)^0.357012633876913)))),
IF(_xlfn.XLOOKUP(B162,'Base stats'!B:B,'Base stats'!C:C)&lt;0.1,0.05,IF(_xlfn.XLOOKUP(B162,'Base stats'!B:B,'Base stats'!C:C)&lt;0.4,0.1,IF(_xlfn.XLOOKUP(B162,'Base stats'!B:B,'Base stats'!C:C)&lt;=70,(_xlfn.XLOOKUP(B162,'Base stats'!B:B,'Base stats'!C:C)/70)^0.445823913056526,IF(_xlfn.XLOOKUP(B162,'Base stats'!B:B,'Base stats'!C:C)&lt;=400,(_xlfn.XLOOKUP(B162,'Base stats'!B:B,'Base stats'!C:C)/70)^0.572811455315093,IF(_xlfn.XLOOKUP(B162,'Base stats'!B:B,'Base stats'!C:C)&lt;=2000,2.71391647193063*(_xlfn.XLOOKUP(B162,'Base stats'!B:B,'Base stats'!C:C)/400)^0.252459582904293,3.74314280240376*(_xlfn.XLOOKUP(B162,'Base stats'!B:B,'Base stats'!C:C)/2000)^0.357012633876913)))))),
IF(_xlfn.XLOOKUP(B162,'Base stats'!B:B,'Base stats'!C:C)&lt;0.1,0.05,IF(_xlfn.XLOOKUP(B162,'Base stats'!B:B,'Base stats'!C:C)&lt;=100,0.05,IF(_xlfn.XLOOKUP(B162,'Base stats'!B:B,'Base stats'!C:C)&lt;=250,0.1,IF(_xlfn.XLOOKUP(B162,'Base stats'!B:B,'Base stats'!C:C)&lt;=4000,0.25,0.5)))))</f>
        <v>0.15000000000000002</v>
      </c>
      <c r="AP162" s="8">
        <f>MROUND(AO162*_xlfn.XLOOKUP(_xlfn.XLOOKUP(B162,'Base stats'!B:B,'Base stats'!E:E),Groups!A:A,Groups!AI:AI)*_xlfn.XLOOKUP(B162,'Base stats'!B:B,'Base stats'!Z:Z),0.05)</f>
        <v>0.15000000000000002</v>
      </c>
      <c r="AQ162" s="8">
        <f>MAX(0.01,MROUND(IF(CC162="True",0.196*(AO162*100*1000)^0.889,IF(_xlfn.XLOOKUP(_xlfn.XLOOKUP(B162,'Base stats'!B:B,'Base stats'!E:E),Groups!A:A,Groups!AJ:AJ)="Bird",10.5*(AO162*100*1000)^0.681,4.82*(AO162*100*1000)^0.734))/(4.82*(1*100*1000)^0.734)/IF(AO162&lt;3.5,2,IF(AO162=3.5,1.5,1.25))*(1+0.132282374779864/(AO162^0.994035016789033+0.00905238001496948)),0.05))</f>
        <v>0.30000000000000004</v>
      </c>
      <c r="AR162" s="9">
        <f>IFERROR(MROUND(_xlfn.XLOOKUP(B162,'Base stats'!B:B,'Base stats'!H:H)/IF(_xlfn.XLOOKUP(B162,'Base stats'!B:B,'Base stats'!I:I)&lt;&gt;1,(122.5/70),1.2),IF(_xlfn.XLOOKUP(B162,'Base stats'!B:B,'Base stats'!H:H)&gt;=30,5,IF(_xlfn.XLOOKUP(B162,'Base stats'!B:B,'Base stats'!H:H)&gt;=15,3,IF(_xlfn.XLOOKUP(B162,'Base stats'!B:B,'Base stats'!H:H)&gt;=10,2,1)))),"Immortal")</f>
        <v>15</v>
      </c>
      <c r="AS162" s="35" t="str">
        <f>IFERROR(IF(OR(_xlfn.XLOOKUP(B162,'Base stats'!B:B,'Base stats'!F:F)="Atypical reproduction",_xlfn.XLOOKUP(B162,'Base stats'!B:B,'Base stats'!F:F)="Lay eggs"),"Lay eggs",MIN(20,MAX(5.5,ROUND(((_xlfn.XLOOKUP(B162,'Base stats'!B:B,'Base stats'!F:F)-25)*(14.5/615) + 5.5)*2,0)/2))),"Unknown")</f>
        <v>Lay eggs</v>
      </c>
      <c r="AT162" s="8">
        <f>IF(_xlfn.XLOOKUP(B162,'Base stats'!B:B,'Base stats'!G:G)="Atypical reproduction","No",IFERROR(MAX(IF(_xlfn.XLOOKUP(B162,'Base stats'!B:B,'Base stats'!G:G)&lt;0.5,0.2,0.3),MROUND(_xlfn.XLOOKUP(B162,'Base stats'!B:B,'Base stats'!G:G)/(365/60),0.2)),"Unknown"))</f>
        <v>0.3</v>
      </c>
      <c r="AU162" s="8">
        <f t="shared" si="15"/>
        <v>0.15000000000000002</v>
      </c>
      <c r="AV162" s="8" t="str">
        <f>IFERROR(IFERROR(MROUND(_xlfn.XLOOKUP(B162,'Base stats'!B:B,'Base stats'!J:J),0.1),"Lay eggs"),"Cannot breed")</f>
        <v>Lay eggs</v>
      </c>
      <c r="AW162" s="2" t="str">
        <f t="shared" si="16"/>
        <v>true</v>
      </c>
      <c r="AX162" s="2" t="str">
        <f>IF(_xlfn.XLOOKUP(_xlfn.XLOOKUP(Animals!B162,'Base stats'!B:B,'Base stats'!E:E),Groups!A:A,Groups!AK:AK)=1,"true","false")</f>
        <v>false</v>
      </c>
      <c r="AY162" s="25" t="str">
        <f>IF(_xlfn.XLOOKUP(B162,'Base stats'!B:B,'Base stats'!Y:Y)="Liquor","Liquor, CarnivoreAnimalStrict",IF(AND(_xlfn.XLOOKUP(B162,'Base stats'!B:B,'Base stats'!Y:Y)="Carnivore",_xlfn.XLOOKUP(_xlfn.XLOOKUP(B162,'Base stats'!B:B,'Base stats'!E:E),Groups!A:A,Groups!AJ:AJ)="Photonozoa"),"CarnivoreAnimalStrict, OvivoreAnimal",IF(_xlfn.XLOOKUP(B162,'Base stats'!B:B,'Base stats'!Y:Y)="Carnivore","CarnivoreAnimal, OvivoreAnimal",IF(_xlfn.XLOOKUP(B162,'Base stats'!B:B,'Base stats'!Y:Y)="Dendrovore","VegetarianRoughAnimal, DendrovoreAnimal",IF(_xlfn.XLOOKUP(B162,'Base stats'!B:B,'Base stats'!Y:Y)="Herbivore","VegetarianRoughAnimal",IF(_xlfn.XLOOKUP(B162,'Base stats'!B:B,'Base stats'!Y:Y)="OmnivoreRough","OmnivoreRoughAnimal, OvivoreAnimal","OmnivoreAnimal, OvivoreAnimal"))))))</f>
        <v>VegetarianRoughAnimal</v>
      </c>
      <c r="AZ162" s="2">
        <f>IF(_xlfn.XLOOKUP(_xlfn.XLOOKUP(B162,'Base stats'!B:B,'Base stats'!E:E),Groups!A:A,Groups!D:D)=1,MROUND((1-J162)*5+1,2)*IF(J162&lt;=0.4,2,1),"No")</f>
        <v>4</v>
      </c>
      <c r="BA162" s="2" t="str">
        <f>IF(AND(_xlfn.XLOOKUP(B162,'Base stats'!B:B,'Base stats'!AH:AH)="&lt;li&gt;Seal&lt;/li&gt;",G162="Odyssey"),"&lt;li&gt;AEXP_Seal&lt;/li&gt;",_xlfn.XLOOKUP(B162,'Base stats'!B:B,'Base stats'!AH:AH))</f>
        <v>No</v>
      </c>
      <c r="BB162" s="2" t="str">
        <f>_xlfn.XLOOKUP(B162,'Base stats'!B:B,'Base stats'!AG:AG)</f>
        <v>No</v>
      </c>
      <c r="BC162" s="23" t="str">
        <f>_xlfn.XLOOKUP(_xlfn.XLOOKUP(B162,'Base stats'!B:B,'Base stats'!E:E),Groups!A:A,Groups!AL:AL)</f>
        <v>Bird</v>
      </c>
      <c r="BD162" s="23">
        <f>MIN(1,MROUND(IF(AND(AO162&lt;0.5,_xlfn.XLOOKUP(B162,'Base stats'!B:B,'Base stats'!AA:AA)=0),0,IF(OR(_xlfn.XLOOKUP(Animals!B162,'Base stats'!B:B,'Base stats'!O:O)=2,_xlfn.XLOOKUP(_xlfn.XLOOKUP(B162,'Base stats'!B:B,'Base stats'!E:E),Groups!A:A,Groups!AN:AN)=0),0,_xlfn.XLOOKUP(_xlfn.XLOOKUP(B162,'Base stats'!B:B,'Base stats'!E:E),Groups!A:A,Groups!AN:AN)/IF(_xlfn.XLOOKUP(Animals!B162,'Base stats'!B:B,'Base stats'!O:O)=1,2,1)))+_xlfn.XLOOKUP(B162,'Base stats'!B:B,'Base stats'!AC:AC),0.005))</f>
        <v>0</v>
      </c>
      <c r="BE162" s="23">
        <f>MIN(1,MROUND(IF(AND(AO162&lt;0.5,_xlfn.XLOOKUP(B162,'Base stats'!B:B,'Base stats'!AA:AA)=0),0,IF(_xlfn.XLOOKUP(_xlfn.XLOOKUP(B162,'Base stats'!B:B,'Base stats'!E:E),Groups!A:A,Groups!AO:AO)=0,0,_xlfn.XLOOKUP(_xlfn.XLOOKUP(B162,'Base stats'!B:B,'Base stats'!E:E),Groups!A:A,Groups!AO:AO)/IF(_xlfn.XLOOKUP(Animals!B162,'Base stats'!B:B,'Base stats'!O:O)=2,3,1)))+_xlfn.XLOOKUP(B162,'Base stats'!B:B,'Base stats'!AD:AD),0.005))</f>
        <v>0</v>
      </c>
      <c r="BF162" s="2" t="str">
        <f>IF(J162&gt;0.3,"No",_xlfn.XLOOKUP(_xlfn.XLOOKUP(Animals!B162,'Base stats'!B:B,'Base stats'!E:E),Groups!A:A,Groups!AP:AP))</f>
        <v>No</v>
      </c>
      <c r="BG162" s="2" t="str">
        <f>IF(AND(J162&lt;=0.65,_xlfn.XLOOKUP(_xlfn.XLOOKUP(Animals!B162,'Base stats'!B:B,'Base stats'!E:E),Groups!A:A,Groups!AP:AP)&lt;&gt;"No",_xlfn.XLOOKUP(_xlfn.XLOOKUP(B162,'Base stats'!B:B,'Base stats'!E:E),Groups!A:A,Groups!D:D)=0),MROUND((80/3)*IF(_xlfn.XLOOKUP(B162,'Base stats'!B:B,'Base stats'!O:O)=2,0.2,AO162) + 24*(1-IF(BF162="No",0,BF162)) + 16/3, 12),"No")</f>
        <v>No</v>
      </c>
      <c r="BH162" s="2">
        <f>IF(AND(_xlfn.XLOOKUP(_xlfn.XLOOKUP(B162,'Base stats'!B:B,'Base stats'!E:E),Groups!A:A,Groups!AQ:AQ)=1,AO162&lt;=0.35),8,12)</f>
        <v>12</v>
      </c>
      <c r="BI162" s="2" t="str">
        <f>IF(_xlfn.XLOOKUP(_xlfn.XLOOKUP(B162,'Base stats'!B:B,'Base stats'!E:E),Groups!A:A,Groups!D:D)=0,_xlfn.XLOOKUP(_xlfn.XLOOKUP(B162,'Base stats'!B:B,'Base stats'!E:E),Groups!A:A,Groups!AR:AR),"None")</f>
        <v>None</v>
      </c>
      <c r="BJ162" s="2" t="str">
        <f>IF(AND(_xlfn.XLOOKUP(_xlfn.XLOOKUP(B162,'Base stats'!B:B,'Base stats'!E:E),Groups!A:A,Groups!AS:AS)=1,OR(_xlfn.XLOOKUP(B162,'Base stats'!B:B,'Base stats'!Y:Y)="Carnivore",_xlfn.XLOOKUP(B162,'Base stats'!B:B,'Base stats'!Y:Y)="Omnivore")),"true","false")</f>
        <v>false</v>
      </c>
      <c r="BK162" s="2" t="str">
        <f>IF(BJ162="true",MROUND(IF(AND(AO162&gt;0.5,OR(_xlfn.XLOOKUP(_xlfn.XLOOKUP(B162,'Base stats'!B:B,'Base stats'!E:E),Groups!A:A,Groups!AJ:AJ)="Photonozoa",_xlfn.XLOOKUP(_xlfn.XLOOKUP(B162,'Base stats'!B:B,'Base stats'!E:E),Groups!A:A,Groups!AJ:AJ)="Mammal")),Animals!AO162*1.75*IF(AW162="true",1.5,1),IF(AO162&lt;0.5,Animals!AO162*0.5,Animals!AO162)),IF(AO162&gt;2,0.5,IF(AO162&gt;0.5,0.25,0.1))),"No")</f>
        <v>No</v>
      </c>
      <c r="BL162" s="2">
        <f t="shared" si="17"/>
        <v>0</v>
      </c>
      <c r="BM162" s="25" t="str">
        <f>IF(_xlfn.XLOOKUP(B162,'Base stats'!B:B,'Base stats'!AN:AN)="Standard","No",MROUND((_xlfn.XLOOKUP(B162,'Base stats'!B:B,'Base stats'!AN:AN)/3.6)/I162,0.1))</f>
        <v>No</v>
      </c>
      <c r="BN162" s="25" t="str">
        <f t="shared" si="18"/>
        <v>false</v>
      </c>
      <c r="BO162" s="25" t="str">
        <f>IF(AND(OR(_xlfn.XLOOKUP(B162,'Base stats'!B:B,'Base stats'!Y:Y)="Carnivore",_xlfn.XLOOKUP(B162,'Base stats'!B:B,'Base stats'!Y:Y)="Omnivore",_xlfn.XLOOKUP(B162,'Base stats'!B:B,'Base stats'!Y:Y)="OmnivoreRough"),_xlfn.XLOOKUP(_xlfn.XLOOKUP(B162,'Base stats'!B:B,'Base stats'!E:E),Groups!A:A,Groups!AT:AT)=1),"true","false")</f>
        <v>false</v>
      </c>
      <c r="BP162" s="25" t="str" cm="1">
        <f t="array" ref="BP162">IF(
  _xlfn.TEXTJOIN(", ",TRUE,
    IF(AND(BJ162="true",AO162&gt;0.5,BI162&lt;&gt;"None"),"AttackTarget",""),
    IF(AND(_xlfn.XLOOKUP(_xlfn.XLOOKUP(B162,'Base stats'!B:B,'Base stats'!E:E),Groups!A:A,Groups!AJ:AJ="Mammal"),OR(_xlfn.XLOOKUP(B162,'Base stats'!B:B,'Base stats'!Y:Y)="Omnivore",_xlfn.XLOOKUP(B162,'Base stats'!B:B,'Base stats'!Y:Y)="OmnivoreRough")),"Forage",""),
    IF(BG162&lt;=36,"Comfort",""),
    IF(_xlfn.XLOOKUP(B162,'Base stats'!B:B,'Base stats'!AE:AE)&lt;&gt;"No",_xlfn.XLOOKUP(B162,'Base stats'!B:B,'Base stats'!AE:AE),"")
  ) = "",
  "No",
  _xlfn.TEXTJOIN(", ",TRUE,
    IF(AND(BJ162="true",AO162&gt;0.5,BI162&lt;&gt;"None"),"AttackTarget",""),
    IF(AND(_xlfn.XLOOKUP(_xlfn.XLOOKUP(B162,'Base stats'!B:B,'Base stats'!E:E),Groups!A:A,Groups!AJ:AJ="Mammal"),OR(_xlfn.XLOOKUP(B162,'Base stats'!B:B,'Base stats'!Y:Y)="Omnivore",_xlfn.XLOOKUP(B162,'Base stats'!B:B,'Base stats'!Y:Y)="OmnivoreRough")),"Forage",""),
    IF(BG162&lt;=36,"Comfort",""),
    IF(_xlfn.XLOOKUP(B162,'Base stats'!B:B,'Base stats'!AE:AE)&lt;&gt;"No",_xlfn.XLOOKUP(B162,'Base stats'!B:B,'Base stats'!AE:AE),"")
  )
)</f>
        <v>No</v>
      </c>
      <c r="BQ162" s="25" t="str">
        <f>IF(
   AND(
      'Base stats'!AN162="Standard",_xlfn.XLOOKUP(_xlfn.XLOOKUP(B162,'Base stats'!B:B,'Base stats'!E:E),Groups!A:A,Groups!AU:AU)=0,
      OR(
      BO162="True"
      )
   ),
   10,
   IF(
       OR(BM162&lt;&gt;"No",_xlfn.XLOOKUP(_xlfn.XLOOKUP(B162,'Base stats'!B:B,'Base stats'!E:E),Groups!A:A,Groups!AU:AU)=1),
      1,
      "No"
   )
)</f>
        <v>No</v>
      </c>
      <c r="BR162" s="9">
        <f>MROUND((1 + ((0.2*IF(OR(Q162="No",R162="No",R162=0),0,Q162/R162)
+IF(OR(V162="No",S162="No",T162="No"),0,S162/T162*(LEN(V162)-LEN(SUBSTITUTE(V162,",",""))+1))
+IF(OR(X162="No",Y162="No"),0,X162/Y162)
+IF(OR(AD162="No",AE162="No"),0,AD162/AE162)
+IF(OR(AL162="No",AI162="No",AJ162="No"),0,AI162/AJ162*(LEN(AL162)-LEN(SUBSTITUTE(AL162,",",""))+1))
)/(0.2*IF(OR(Q162="No",R162="No",R162=0),0,1)
+IF(OR(V162="No",S162="No",T162="No"),0,LEN(V162)-LEN(SUBSTITUTE(V162,",",""))+1)
+IF(OR(X162="No",Y162="No"),0,1)
+IF(OR(AD162="No",AE162="No"),0,1)
+IF(OR(AL162="No",AI162="No",AJ162="No"),0,LEN(AL162)-LEN(SUBSTITUTE(AL162,",",""))+1))*62%)* 2)*(1 + (AP162 / (IF(_xlfn.XLOOKUP(_xlfn.XLOOKUP(B162,'Base stats'!B:B,'Base stats'!E:E),Groups!A:A,Groups!AJ:AJ)="Photonozoa",0.3,1)) + _xlfn.XLOOKUP(B162,'Base stats'!B:B,'Base stats'!AV:AV) * 1.8) * 2) * 2.5 + 10 + I162 * 2,5)+IF(_xlfn.XLOOKUP(B162,'Base stats'!B:B,'Base stats'!AK:AK)=1,50,0)</f>
        <v>25</v>
      </c>
      <c r="BS162" s="8">
        <f t="shared" si="19"/>
        <v>0.25</v>
      </c>
      <c r="BT162" s="8" t="str">
        <f>_xlfn.XLOOKUP(B162,'Base stats'!B:B,'Base stats'!AF:AF)</f>
        <v>3~8</v>
      </c>
      <c r="BU162" s="2" t="str">
        <f>IF(AND(J162&lt;=0.95,OR(_xlfn.XLOOKUP(B162,'Base stats'!B:B,'Base stats'!AK:AK)=1,_xlfn.XLOOKUP(B162,'Base stats'!B:B,'Base stats'!Y:Y)="Carnivore",_xlfn.XLOOKUP(B162,'Base stats'!B:B,'Base stats'!Y:Y)="Omnivore",BE162&gt;0.1)),"true","false")</f>
        <v>false</v>
      </c>
      <c r="BV162" s="2" t="str">
        <f>IF(_xlfn.XLOOKUP(B162,'Base stats'!B:B,'Base stats'!AI:AI)=1,"true","false")</f>
        <v>false</v>
      </c>
      <c r="BW162" s="25" t="str">
        <f>IF(E162="BaseInsect","AnimalInsect",
IF(J162&gt;0.95,"AnimalExotic",
_xlfn.TEXTJOIN(", ",TRUE,
IF(OR(_xlfn.XLOOKUP(B162,'Base stats'!B:B,'Base stats'!AM:AM)=1,AND(_xlfn.XLOOKUP(B162,'Base stats'!B:B,'Base stats'!O:O)=0,_xlfn.XLOOKUP(_xlfn.XLOOKUP(B162,'Base stats'!B:B,'Base stats'!E:E),Groups!A:A,Groups!B:B)&gt;0)),"AnimalUncommon","AnimalCommon"),
IF(AND(_xlfn.XLOOKUP(B162,'Base stats'!B:B,'Base stats'!O:O)=2,_xlfn.XLOOKUP(_xlfn.XLOOKUP(B162,'Base stats'!B:B,'Base stats'!E:E),Groups!A:A,Groups!D:D)=0),"AnimalPet",IF(AND(_xlfn.XLOOKUP(B162,'Base stats'!B:B,'Base stats'!O:O)&lt;&gt;0,_xlfn.XLOOKUP(_xlfn.XLOOKUP(B162,'Base stats'!B:B,'Base stats'!E:E),Groups!A:A,Groups!D:D)&lt;&gt;0),"AnimalFarm","")),
IF(OR(_xlfn.XLOOKUP(B162,'Base stats'!B:B,'Base stats'!AK:AK)=1,AND(BI162&lt;&gt;"None",BR162&gt;=60),ISNUMBER(SEARCH("Attack target",BP162))),"AnimalFighter","")
)))</f>
        <v>AnimalUncommon</v>
      </c>
      <c r="BX162" s="25" t="str">
        <f>IF(G162="None",TRIM(
SUBSTITUTE(
IF(COUNTIF(Biomes!B$2:B$259,"="&amp;$C162)&gt;0,Biomes!B$1&amp;", ","")&amp;
IF(COUNTIF(Biomes!C$2:C$259,"="&amp;$C162)&gt;0,Biomes!C$1&amp;", ","")&amp;
IF(COUNTIF(Biomes!D$2:D$259,"="&amp;$C162)&gt;0,Biomes!D$1&amp;", ","")&amp;
IF(COUNTIF(Biomes!F$2:F$259,"="&amp;$C162)&gt;0,Biomes!F$1&amp;", ","")&amp;
IF(COUNTIF(Biomes!G$2:G$259,"="&amp;$C162)&gt;0,Biomes!G$1&amp;", ","")&amp;
IF(COUNTIF(Biomes!H$2:H$259,"="&amp;$C162)&gt;0,Biomes!H$1&amp;", ","")&amp;
IF(COUNTIF(Biomes!I$2:I$259,"="&amp;$C162)&gt;0,Biomes!I$1&amp;", ","")&amp;
IF(COUNTIF(Biomes!J$2:J$259,"="&amp;$C162)&gt;0,Biomes!J$1&amp;", ","")&amp;
IF(COUNTIF(Biomes!M$2:M$259,"="&amp;$C162)&gt;0,Biomes!M$1&amp;", ","")&amp;
IF(COUNTIF(Biomes!N$2:N$259,"="&amp;$C162)&gt;0,Biomes!N$1&amp;", ","")&amp;
IF(COUNTIF(Biomes!O$2:O$259,"="&amp;$C162)&gt;0,Biomes!O$1&amp;", ","")&amp;
IF(COUNTIF(Biomes!P$2:P$259,"="&amp;$C162)&gt;0,Biomes!P$1&amp;", ","")&amp;
IF(COUNTIF(Biomes!K$2:K$259,"="&amp;$C162)&gt;0,Biomes!K$1&amp;", ","")&amp;
IF(COUNTIF(Biomes!Q$3:Q$259,"="&amp;$C162)&gt;0,Biomes!Q$1&amp;", ","")&amp;
IF(COUNTIF(Biomes!L$2:L$259,"="&amp;$C162)&gt;0,Biomes!L$1&amp;", ","")&amp;
IF(COUNTIF(Biomes!E$2:E$259,"="&amp;$C162)&gt;0,Biomes!E$1&amp;", ","")&amp;IF(COUNTIF(Biomes!S$2:S$259,"="&amp;$C162)&gt;0,Biomes!S$1&amp;", ","")&amp;
IF(COUNTIF(Biomes!R$2:R$259,"="&amp;$C162)&gt;0,Biomes!R$1&amp;", ",""),", ","")
),_xlfn.XLOOKUP(B162,B:B,BX:BX))</f>
        <v/>
      </c>
      <c r="BY162" s="25" t="str">
        <f>IF(_xlfn.XLOOKUP(B162,'Base stats'!B:B,'Base stats'!AJ:AJ)=1,"true","false")</f>
        <v>false</v>
      </c>
      <c r="BZ162" s="25">
        <f>IF(_xlfn.XLOOKUP(B162,'Base stats'!B:B,'Base stats'!N:N)=1,"No",MAX(0.001,MIN(MROUND(IF(AND(BJ162="True",CC162="False"),POWER(10,3.47*LOG10(_xlfn.XLOOKUP(B162,'Base stats'!B:B,'Base stats'!C:C)*1000)^-0.96),POWER(10,4.15*LOG10(_xlfn.XLOOKUP(B162,'Base stats'!B:B,'Base stats'!C:C)*1000)^-0.73))*IF(_xlfn.XLOOKUP(B162,'Base stats'!B:B,'Base stats'!AK:AK)=1,0.5,1)*IF(_xlfn.XLOOKUP(B162,'Base stats'!B:B,'Base stats'!AM:AM)=1,0.1,1)/100,IF(_xlfn.XLOOKUP(B162,'Base stats'!B:B,'Base stats'!AM:AM)=1,0.001,0.025)),0.5)))</f>
        <v>7.0000000000000007E-2</v>
      </c>
      <c r="CA162" s="25" t="str">
        <f>IF(P162="Standard","No",MAX(0.001,MIN(MROUND(IF(AND(BJ162="True",CC162="False"),POWER(10,3.47*LOG10(_xlfn.XLOOKUP(B162,'Base stats'!B:B,'Base stats'!C:C)*1000)^-0.96),POWER(10,4.15*LOG10(_xlfn.XLOOKUP(B162,'Base stats'!B:B,'Base stats'!C:C)*1000)^-0.73))*IF(_xlfn.XLOOKUP(B162,'Base stats'!B:B,'Base stats'!AM:AM)=1,0.1,1)*_xlfn.XLOOKUP(B162,'Base stats'!B:B,'Base stats'!R:R)/100,IF(_xlfn.XLOOKUP(B162,'Base stats'!B:B,'Base stats'!AM:AM)=1,0.001,0.025)),0.5)))</f>
        <v>No</v>
      </c>
      <c r="CB162" s="25" t="str">
        <f>IF(_xlfn.XLOOKUP(_xlfn.XLOOKUP(B162,'Base stats'!B:B,'Base stats'!E:E),Groups!A:A,Groups!AJ:AJ)="Mammal","True","False")</f>
        <v>False</v>
      </c>
      <c r="CC162" s="25" t="str">
        <f>IF(OR(_xlfn.XLOOKUP(_xlfn.XLOOKUP(B162,'Base stats'!B:B,'Base stats'!E:E),Groups!A:A,Groups!AJ:AJ)="Reptile",_xlfn.XLOOKUP(_xlfn.XLOOKUP(B162,'Base stats'!B:B,'Base stats'!E:E),Groups!A:A,Groups!AJ:AJ)="Amphibian",_xlfn.XLOOKUP(_xlfn.XLOOKUP(B162,'Base stats'!B:B,'Base stats'!E:E),Groups!A:A,Groups!AJ:AJ)="Invertebrate"),"True","False")</f>
        <v>False</v>
      </c>
      <c r="CD162" s="25" t="str">
        <f t="shared" si="20"/>
        <v>False</v>
      </c>
      <c r="CE162" s="25" t="str">
        <f>IF(_xlfn.XLOOKUP(_xlfn.XLOOKUP(B162,'Base stats'!B:B,'Base stats'!E:E),Groups!A:A,Groups!AX:AX),"True","False")</f>
        <v>False</v>
      </c>
      <c r="CF162" s="25" t="str">
        <f>IF(_xlfn.XLOOKUP(_xlfn.XLOOKUP(B162,'Base stats'!B:B,'Base stats'!E:E),Groups!A:A,Groups!AY:AY),"True","False")</f>
        <v>False</v>
      </c>
      <c r="CG162" s="25" t="str">
        <f>IF(_xlfn.XLOOKUP(_xlfn.XLOOKUP(B162,'Base stats'!B:B,'Base stats'!E:E),Groups!A:A,Groups!AW:AW),"True","False")</f>
        <v>False</v>
      </c>
      <c r="CH162" s="25" t="str">
        <f>IF(
OR(
_xlfn.XLOOKUP(_xlfn.XLOOKUP(B162,'Base stats'!B:B,'Base stats'!E:E),Groups!A:A,Groups!AZ:AZ)=0,
AND(
_xlfn.XLOOKUP(B162,'Base stats'!B:B,'Base stats'!Y:Y)&lt;&gt;"Carnivore",
_xlfn.XLOOKUP(B162,'Base stats'!B:B,'Base stats'!Y:Y)&lt;&gt;"Omnivore",
_xlfn.XLOOKUP(B162,'Base stats'!B:B,'Base stats'!Y:Y)&lt;&gt;"OmnivoreRough"
)
),
"No",
IF(
_xlfn.XLOOKUP(_xlfn.XLOOKUP(B162,'Base stats'!B:B,'Base stats'!E:E),Groups!A:A,Groups!AZ:AZ)=1,
"Flesh",
IF(
_xlfn.XLOOKUP(_xlfn.XLOOKUP(B162,'Base stats'!B:B,'Base stats'!E:E),Groups!A:A,Groups!AZ:AZ)=2,
"Bone",
""
)
)
)</f>
        <v>No</v>
      </c>
      <c r="CI162" s="25" t="str">
        <f>IF(_xlfn.XLOOKUP(_xlfn.XLOOKUP(B162,'Base stats'!B:B,'Base stats'!E:E),Groups!A:A,Groups!BB:BB),"True","False")</f>
        <v>True</v>
      </c>
      <c r="CJ162" s="25" t="str">
        <f>IF(_xlfn.XLOOKUP(_xlfn.XLOOKUP(B162,'Base stats'!B:B,'Base stats'!E:E),Groups!A:A,Groups!BA:BA),"True","False")</f>
        <v>False</v>
      </c>
    </row>
    <row r="163" spans="1:88" s="16" customFormat="1" ht="16.5" thickTop="1" thickBot="1" x14ac:dyDescent="0.3">
      <c r="A163" s="26" t="str">
        <f>_xlfn.XLOOKUP(B163,'Base stats'!B:B,'Base stats'!A:A)</f>
        <v>Orangutan</v>
      </c>
      <c r="B163" s="6" t="s">
        <v>1118</v>
      </c>
      <c r="C163" s="28" t="s">
        <v>1119</v>
      </c>
      <c r="D163" s="28" t="s">
        <v>1113</v>
      </c>
      <c r="E163" s="28" t="s">
        <v>673</v>
      </c>
      <c r="F163" s="28" t="s">
        <v>673</v>
      </c>
      <c r="G163" s="28" t="s">
        <v>673</v>
      </c>
      <c r="H163" s="2">
        <f>MROUND((
  (IF(AND(_xlfn.XLOOKUP(B163,'Base stats'!B:B,'Base stats'!AL:AL)=0,BI163="None",_xlfn.XLOOKUP(_xlfn.XLOOKUP(B163,'Base stats'!B:B,'Base stats'!E:E),Groups!A:A,Groups!B:B)=0), (18 + BR163 * 2.7) * 0.5,
    IF(AND(_xlfn.XLOOKUP(B163,'Base stats'!B:B,'Base stats'!AL:AL)=0,OR(AO163&lt;0.55,AND(BI163="Intermediate",_xlfn.XLOOKUP(_xlfn.XLOOKUP(B163,'Base stats'!B:B,'Base stats'!E:E),Groups!A:A,Groups!B:B)&lt;2))), (18 + BR163 * 2.7),
      IF(OR(BI163="Advanced",_xlfn.XLOOKUP(B163,'Base stats'!B:B,'Base stats'!AL:AL)=1,_xlfn.XLOOKUP(_xlfn.XLOOKUP(B163,'Base stats'!B:B,'Base stats'!E:E),Groups!A:A,Groups!B:B)=2), (18 + BR163 * 2.7) + 250, (18 + BR163 * 2.7))
    )
  ))
  + AO163 * 80
  + IF(COUNTIF(EggMilk!K$2:K$998, A163) &gt; 0, 125, 0)
  + IF(COUNTIF(EggMilk!P$2:P$998, A163) &gt; 0, 90, 0)
  + IF(COUNTIF(EggMilk!A$2:A$998, A163) &gt; 0, 90, 0)
)
* (0.8 + 0.4 * J163)
* 0.75,25)</f>
        <v>475</v>
      </c>
      <c r="I163" s="2">
        <f>MROUND(ROUNDDOWN(_xlfn.XLOOKUP(B163,'Base stats'!B:B,'Base stats'!L:L)/3.6/(23.3/11),1),0.5)</f>
        <v>4</v>
      </c>
      <c r="J163" s="2">
        <f>IF(OR(_xlfn.XLOOKUP(B163,'Base stats'!B:B,'Base stats'!AB:AB)=1,_xlfn.XLOOKUP(_xlfn.XLOOKUP(B163,'Base stats'!B:B,'Base stats'!E:E),Groups!A:A,Groups!C:C)="Untamable"),1,IF(_xlfn.XLOOKUP(B163,'Base stats'!B:B,'Base stats'!AL:AL)=1,0.99,MIN(MROUND((1-0.6282*EXP(-0.459*AO163))*_xlfn.XLOOKUP(_xlfn.XLOOKUP(B163,'Base stats'!B:B,'Base stats'!E:E),Groups!A:A,Groups!C:C)*IF(_xlfn.XLOOKUP(B163,'Base stats'!B:B,'Base stats'!O:O)=1,0.5,IF(_xlfn.XLOOKUP(B163,'Base stats'!B:B,'Base stats'!O:O)=2,0,1)),0.05),IF(AO163&gt;3.5,0.985,0.95))))</f>
        <v>0.75</v>
      </c>
      <c r="K163" s="2">
        <f>ROUNDUP(AO163*_xlfn.XLOOKUP(_xlfn.XLOOKUP(B163,'Base stats'!B:B,'Base stats'!E:E),Groups!A:A,Groups!E:E),0)</f>
        <v>1</v>
      </c>
      <c r="L163" s="2">
        <f>IF(OR(_xlfn.XLOOKUP(_xlfn.XLOOKUP(B163,'Base stats'!B:B,'Base stats'!E:E),Groups!A:A,Groups!F:F)=2,ISNUMBER(SEARCH("SeaIce",BX163)),ISNUMBER(SEARCH("IceSheet",BX163))),-50,IF(OR(ISNUMBER(SEARCH("GlacialPlain",BX163)),ISNUMBER(SEARCH("Tundra",BX163))),-40,IF(OR(ISNUMBER(SEARCH("Alpine",BX163)),ISNUMBER(SEARCH("BorealForest",BX163)),ISNUMBER(SEARCH("ColdBog",BX163))),-30,IF(OR(ISNUMBER(SEARCH("TemperateForest",BX163)),ISNUMBER(SEARCH("TemperateSwamp",BX163))),-20,IF(_xlfn.XLOOKUP(_xlfn.XLOOKUP(B163,'Base stats'!B:B,'Base stats'!E:E),Groups!A:A,Groups!F:F)=1,-15,IF(OR(ISNUMBER(SEARCH("Desert",BX163)),ISNUMBER(SEARCH("ExtremeDesert",BX163))),-10,IF(OR(ISNUMBER(SEARCH("Grasslands",BX163)),ISNUMBER(SEARCH("TropicalRainforest",BX163)),ISNUMBER(SEARCH("TropicalSwamp",BX163))),10,0)))))))-IF(CC163="False",MIN(IFERROR(MAX(MROUND(LOG10(_xlfn.XLOOKUP(B163,'Base stats'!B:B,'Base stats'!C:C)^(2/3))*10,5),5),5),30))-_xlfn.XLOOKUP(B163,'Base stats'!B:B,'Base stats'!P:P)+IF(CC163="True",5,0)</f>
        <v>0</v>
      </c>
      <c r="M163" s="2">
        <f>IF(OR(_xlfn.XLOOKUP(_xlfn.XLOOKUP(B163,'Base stats'!B:B,'Base stats'!E:E),Groups!A:A,Groups!G:G)=2,ISNUMBER(SEARCH("Desert",BX163)),ISNUMBER(SEARCH("ExtremeDesert",BX163)),ISNUMBER(SEARCH("LavaField",BX163))),50,IF(ISNUMBER(SEARCH("Grasslands",BX163)),45,IF(OR(_xlfn.XLOOKUP(_xlfn.XLOOKUP(B163,'Base stats'!B:B,'Base stats'!E:E),Groups!A:A,Groups!G:G)=1,ISNUMBER(SEARCH("TropicalRainforest",BX163)),ISNUMBER(SEARCH("TropicalSwamp",BX163))),40,IF(OR(ISNUMBER(SEARCH("TemperateForest",BX163)),ISNUMBER(SEARCH("TemperateSwamp",BX163))),35,IF(OR(ISNUMBER(SEARCH("Alpine",BX163)),ISNUMBER(SEARCH("BorealForest",BX163)),ISNUMBER(SEARCH("ColdBog",BX163))),30,IF(ISNUMBER(OR(ISNUMBER(SEARCH("GlacialPlain",BX163)),SEARCH("Tundra",BX163))),25,IF(OR(ISNUMBER(SEARCH("SeaIce",BX163)),ISNUMBER(SEARCH("IceSheet",BX163)),ISNUMBER(SEARCH("TropicalSwamp",BX163))),10,35)))))))+_xlfn.XLOOKUP(B163,'Base stats'!B:B,'Base stats'!Q:Q)</f>
        <v>40</v>
      </c>
      <c r="N163" s="8" t="str">
        <f>IF(
_xlfn.XLOOKUP(
_xlfn.XLOOKUP(B163,'Base stats'!B:B,'Base stats'!E:E),
Groups!A:A,
Groups!L:L
)=1,
MIN(
MROUND(
IF(
_xlfn.XLOOKUP(B163,'Animals CE'!B:B,'Animals CE'!Z:Z)&lt;=1.5,
_xlfn.XLOOKUP(B163,'Animals CE'!B:B,'Animals CE'!Z:Z)/2+0.05,
0.8+
(_xlfn.XLOOKUP(B163,'Animals CE'!B:B,'Animals CE'!Z:Z)-1.5)
*0.02
),
0.05
),
200%
),
"No"
)</f>
        <v>No</v>
      </c>
      <c r="O163" s="8" t="str">
        <f>IF(
_xlfn.XLOOKUP(
_xlfn.XLOOKUP(B163,'Base stats'!B:B,'Base stats'!E:E),
Groups!A:A,
Groups!L:L
)=1,
MIN(
MROUND(
IF(
_xlfn.XLOOKUP(B163,'Animals CE'!B:B,'Animals CE'!AA:AA)&lt;=1.5,
_xlfn.XLOOKUP(B163,'Animals CE'!B:B,'Animals CE'!AA:AA)/2+0.05,
0.8+
(_xlfn.XLOOKUP(B163,'Animals CE'!B:B,'Animals CE'!AA:AA)-1.5)
*0.02
),
0.05
),
200%
),
"No"
)</f>
        <v>No</v>
      </c>
      <c r="P163" s="2" t="str">
        <f>_xlfn.XLOOKUP(B163,'Base stats'!B:B,'Base stats'!R:R)</f>
        <v>Standard</v>
      </c>
      <c r="Q163" s="13">
        <f>MROUND((LOG10(_xlfn.XLOOKUP(B163,'Base stats'!B:B,'Base stats'!AR:AR))*(AO163^0.5)+(_xlfn.XLOOKUP(B163,'Base stats'!B:B,'Base stats'!AR:AR)/1000)^(2/3)+_xlfn.XLOOKUP(B163,'Base stats'!B:B,'Base stats'!BA:BA)/2)+0.5,0.5)</f>
        <v>7</v>
      </c>
      <c r="R163" s="7">
        <f>IF(Q163="No","No",MAX(1,MROUND(_xlfn.XLOOKUP(B163,'Base stats'!B:B,'Base stats'!C:C)^0.165,0.05)))</f>
        <v>2</v>
      </c>
      <c r="S163" s="13" t="str">
        <f>IF(_xlfn.XLOOKUP(_xlfn.XLOOKUP(B163,'Base stats'!B:B,'Base stats'!E:E),Groups!A:A,Groups!P:P)=0,"No",MROUND((LOG10(_xlfn.XLOOKUP(B163,'Base stats'!B:B,'Base stats'!AS:AS))*(AO163^0.5)+(_xlfn.XLOOKUP(B163,'Base stats'!B:B,'Base stats'!AS:AS)/1000)^(2/3)+_xlfn.XLOOKUP(B163,'Base stats'!B:B,'Base stats'!BA:BA))+_xlfn.XLOOKUP(B163,'Base stats'!B:B,'Base stats'!AY:AY)+0.5,0.5))</f>
        <v>No</v>
      </c>
      <c r="T163" s="7" t="str">
        <f>IF(S163="No","No",MAX(_xlfn.XLOOKUP(_xlfn.XLOOKUP(B163,'Base stats'!B:B,'Base stats'!E:E),Groups!A:A,Groups!Q:Q),MROUND(_xlfn.XLOOKUP(_xlfn.XLOOKUP(B163,'Base stats'!B:B,'Base stats'!E:E),Groups!A:A,Groups!Q:Q)*_xlfn.XLOOKUP(B163,'Base stats'!B:B,'Base stats'!C:C)^0.165,0.05)))</f>
        <v>No</v>
      </c>
      <c r="U163" s="7" t="str">
        <f>IF(S163="No","No",_xlfn.XLOOKUP(_xlfn.XLOOKUP(B163,'Base stats'!B:B,'Base stats'!E:E),Groups!A:A,Groups!R:R))</f>
        <v>No</v>
      </c>
      <c r="V163" s="7" t="str">
        <f>IF(S163="No","No",_xlfn.XLOOKUP(_xlfn.XLOOKUP(B163,'Base stats'!B:B,'Base stats'!E:E),Groups!A:A,Groups!S:S))</f>
        <v>No</v>
      </c>
      <c r="W163" s="7" t="str">
        <f>IF(S163="No","No",_xlfn.XLOOKUP(_xlfn.XLOOKUP(B163,'Base stats'!B:B,'Base stats'!E:E),Groups!A:A,Groups!T:T))</f>
        <v>No</v>
      </c>
      <c r="X163" s="13" t="str">
        <f>IF(_xlfn.XLOOKUP(B163,'Base stats'!B:B,'Base stats'!W:W)="No","No",MROUND((LOG10(_xlfn.XLOOKUP(B163,'Base stats'!B:B,'Base stats'!AU:AU))*(AO163^0.5)+(_xlfn.XLOOKUP(B163,'Base stats'!B:B,'Base stats'!AU:AU)/1000)^(2/3)+_xlfn.XLOOKUP(B163,'Base stats'!B:B,'Base stats'!AZ:AZ))+0.5+IF(_xlfn.XLOOKUP(_xlfn.XLOOKUP(B163,'Base stats'!B:B,'Base stats'!E:E),Groups!A:A,Groups!U:U)&lt;&gt;3,_xlfn.XLOOKUP(B163,'Base stats'!B:B,'Base stats'!BA:BA),0),0.5))</f>
        <v>No</v>
      </c>
      <c r="Y163" s="7" t="str">
        <f>IF(X163="No","No",MAX(_xlfn.XLOOKUP(_xlfn.XLOOKUP(B163,'Base stats'!B:B,'Base stats'!E:E),Groups!A:A,Groups!V:V),MROUND(_xlfn.XLOOKUP(_xlfn.XLOOKUP(B163,'Base stats'!B:B,'Base stats'!E:E),Groups!A:A,Groups!V:V)*_xlfn.XLOOKUP(B163,'Base stats'!B:B,'Base stats'!C:C)^0.165,0.05)))</f>
        <v>No</v>
      </c>
      <c r="Z163" s="7" t="str">
        <f>IF(X163="No","No",_xlfn.XLOOKUP(_xlfn.XLOOKUP(B163,'Base stats'!B:B,'Base stats'!E:E),Groups!A:A,Groups!W:W))</f>
        <v>No</v>
      </c>
      <c r="AA163" s="7" t="str">
        <f>IF(X163="No","No",_xlfn.XLOOKUP(_xlfn.XLOOKUP(B163,'Base stats'!B:B,'Base stats'!E:E),Groups!A:A,Groups!X:X))</f>
        <v>No</v>
      </c>
      <c r="AB163" s="7" t="str">
        <f>IF(X163="No","No",_xlfn.XLOOKUP(_xlfn.XLOOKUP(B163,'Base stats'!B:B,'Base stats'!E:E),Groups!A:A,Groups!Y:Y))</f>
        <v>No</v>
      </c>
      <c r="AC163" s="7" t="str">
        <f>_xlfn.XLOOKUP(Animals!B163,'Base stats'!B:B,'Base stats'!X:X)</f>
        <v>False</v>
      </c>
      <c r="AD163" s="13">
        <f>IF(_xlfn.XLOOKUP(B163,'Base stats'!B:B,'Base stats'!AT:AT)="No","No",MROUND((LOG10(_xlfn.XLOOKUP(B163,'Base stats'!B:B,'Base stats'!AT:AT))*(AO163^0.75)+(_xlfn.XLOOKUP(B163,'Base stats'!B:B,'Base stats'!AT:AT)/1000)^(2/3)+_xlfn.XLOOKUP(B163,'Base stats'!B:B,'Base stats'!AX:AX)+_xlfn.XLOOKUP(B163,'Base stats'!B:B,'Base stats'!BA:BA))+0.5,0.5))</f>
        <v>11.5</v>
      </c>
      <c r="AE163" s="7">
        <f>IF(AD163="No","No",MAX(_xlfn.XLOOKUP(_xlfn.XLOOKUP(B163,'Base stats'!B:B,'Base stats'!E:E),Groups!A:A,Groups!Z:Z),MROUND(_xlfn.XLOOKUP(_xlfn.XLOOKUP(B163,'Base stats'!B:B,'Base stats'!E:E),Groups!A:A,Groups!Z:Z)*_xlfn.XLOOKUP(B163,'Base stats'!B:B,'Base stats'!C:C)^0.165,0.05)))</f>
        <v>1.7000000000000002</v>
      </c>
      <c r="AF163" s="7" t="str">
        <f>IF(AD163="No","No",_xlfn.XLOOKUP(_xlfn.XLOOKUP(B163,'Base stats'!B:B,'Base stats'!E:E),Groups!A:A,Groups!AA:AA))</f>
        <v>Teeth</v>
      </c>
      <c r="AG163" s="7" t="str">
        <f>IF(AD163="No","No",_xlfn.XLOOKUP(_xlfn.XLOOKUP(B163,'Base stats'!B:B,'Base stats'!E:E),Groups!A:A,Groups!AB:AB))</f>
        <v>canines</v>
      </c>
      <c r="AH163" s="7" t="str">
        <f>IF(AD163="No","No",_xlfn.XLOOKUP(_xlfn.XLOOKUP(B163,'Base stats'!B:B,'Base stats'!E:E),Groups!A:A,Groups!AC:AC))</f>
        <v>Bite</v>
      </c>
      <c r="AI163" s="13">
        <f>IF(_xlfn.XLOOKUP(_xlfn.XLOOKUP(B163,'Base stats'!B:B,'Base stats'!E:E),Groups!A:A,Groups!AD:AD)=0,"No",MROUND((LOG10(_xlfn.XLOOKUP(B163,'Base stats'!B:B,'Base stats'!AS:AS))*(AO163^0.75)+(_xlfn.XLOOKUP(B163,'Base stats'!B:B,'Base stats'!AS:AS)/1000)^(2/3)+_xlfn.XLOOKUP(B163,'Base stats'!B:B,'Base stats'!AY:AY)+_xlfn.XLOOKUP(B163,'Base stats'!B:B,'Base stats'!BA:BA))+0.5,0.5))</f>
        <v>9</v>
      </c>
      <c r="AJ163" s="7">
        <f>IF(AI163="No","No",MAX(_xlfn.XLOOKUP(_xlfn.XLOOKUP(B163,'Base stats'!B:B,'Base stats'!E:E),Groups!A:A,Groups!AE:AE),MROUND(_xlfn.XLOOKUP(_xlfn.XLOOKUP(B163,'Base stats'!B:B,'Base stats'!E:E),Groups!A:A,Groups!AE:AE)*IF(_xlfn.XLOOKUP(_xlfn.XLOOKUP(B163,'Base stats'!B:B,'Base stats'!E:E),Groups!A:A,Groups!AJ:AJ)="Photonozoa",0.6,1)*_xlfn.XLOOKUP(B163,'Base stats'!B:B,'Base stats'!C:C)^0.165,0.05)))</f>
        <v>1.3</v>
      </c>
      <c r="AK163" s="7" t="str">
        <f>IF(AI163="No","No",_xlfn.XLOOKUP(_xlfn.XLOOKUP(B163,'Base stats'!B:B,'Base stats'!E:E),Groups!A:A,Groups!AF:AF))</f>
        <v>LeftHand, RightHand</v>
      </c>
      <c r="AL163" s="7" t="str">
        <f>IF(AI163="No","No",_xlfn.XLOOKUP(_xlfn.XLOOKUP(B163,'Base stats'!B:B,'Base stats'!E:E),Groups!A:A,Groups!AG:AG))</f>
        <v>left fist, right fist</v>
      </c>
      <c r="AM163" s="7" t="str">
        <f>IF(AI163="No","No",_xlfn.XLOOKUP(_xlfn.XLOOKUP(B163,'Base stats'!B:B,'Base stats'!E:E),Groups!A:A,Groups!AH:AH))</f>
        <v>Blunt</v>
      </c>
      <c r="AN163" s="2" t="str">
        <f t="shared" si="14"/>
        <v>No</v>
      </c>
      <c r="AO163" s="2">
        <f>MROUND(IF(AND(_xlfn.XLOOKUP(B163,'Base stats'!B:B,'Base stats'!C:C)&gt;=0.5,_xlfn.XLOOKUP(B163,'Base stats'!B:B,'Base stats'!C:C)&lt;=0.8),
IF(_xlfn.XLOOKUP(B163,'Base stats'!B:B,'Base stats'!C:C)&lt;0.1,0.05,IF(_xlfn.XLOOKUP(B163,'Base stats'!B:B,'Base stats'!C:C)&lt;=70,(_xlfn.XLOOKUP(B163,'Base stats'!B:B,'Base stats'!C:C)/70)^0.426489913056526,IF(_xlfn.XLOOKUP(B163,'Base stats'!B:B,'Base stats'!C:C)&lt;=400,(_xlfn.XLOOKUP(B163,'Base stats'!B:B,'Base stats'!C:C)/70)^0.572811455315093,IF(_xlfn.XLOOKUP(B163,'Base stats'!B:B,'Base stats'!C:C)&lt;=2000,2.71391647193063*(_xlfn.XLOOKUP(B163,'Base stats'!B:B,'Base stats'!C:C)/400)^0.252459582904293,3.74314280240376*(_xlfn.XLOOKUP(B163,'Base stats'!B:B,'Base stats'!C:C)/2000)^0.357012633876913)))),
IF(_xlfn.XLOOKUP(B163,'Base stats'!B:B,'Base stats'!C:C)&lt;0.1,0.05,IF(_xlfn.XLOOKUP(B163,'Base stats'!B:B,'Base stats'!C:C)&lt;0.4,0.1,IF(_xlfn.XLOOKUP(B163,'Base stats'!B:B,'Base stats'!C:C)&lt;=70,(_xlfn.XLOOKUP(B163,'Base stats'!B:B,'Base stats'!C:C)/70)^0.445823913056526,IF(_xlfn.XLOOKUP(B163,'Base stats'!B:B,'Base stats'!C:C)&lt;=400,(_xlfn.XLOOKUP(B163,'Base stats'!B:B,'Base stats'!C:C)/70)^0.572811455315093,IF(_xlfn.XLOOKUP(B163,'Base stats'!B:B,'Base stats'!C:C)&lt;=2000,2.71391647193063*(_xlfn.XLOOKUP(B163,'Base stats'!B:B,'Base stats'!C:C)/400)^0.252459582904293,3.74314280240376*(_xlfn.XLOOKUP(B163,'Base stats'!B:B,'Base stats'!C:C)/2000)^0.357012633876913)))))),
IF(_xlfn.XLOOKUP(B163,'Base stats'!B:B,'Base stats'!C:C)&lt;0.1,0.05,IF(_xlfn.XLOOKUP(B163,'Base stats'!B:B,'Base stats'!C:C)&lt;=100,0.05,IF(_xlfn.XLOOKUP(B163,'Base stats'!B:B,'Base stats'!C:C)&lt;=250,0.1,IF(_xlfn.XLOOKUP(B163,'Base stats'!B:B,'Base stats'!C:C)&lt;=4000,0.25,0.5)))))</f>
        <v>0.95000000000000007</v>
      </c>
      <c r="AP163" s="8">
        <f>MROUND(AO163*_xlfn.XLOOKUP(_xlfn.XLOOKUP(B163,'Base stats'!B:B,'Base stats'!E:E),Groups!A:A,Groups!AI:AI)*_xlfn.XLOOKUP(B163,'Base stats'!B:B,'Base stats'!Z:Z),0.05)</f>
        <v>0.95000000000000007</v>
      </c>
      <c r="AQ163" s="8">
        <f>MAX(0.01,MROUND(IF(CC163="True",0.196*(AO163*100*1000)^0.889,IF(_xlfn.XLOOKUP(_xlfn.XLOOKUP(B163,'Base stats'!B:B,'Base stats'!E:E),Groups!A:A,Groups!AJ:AJ)="Bird",10.5*(AO163*100*1000)^0.681,4.82*(AO163*100*1000)^0.734))/(4.82*(1*100*1000)^0.734)/IF(AO163&lt;3.5,2,IF(AO163=3.5,1.5,1.25))*(1+0.132282374779864/(AO163^0.994035016789033+0.00905238001496948)),0.05))</f>
        <v>0.55000000000000004</v>
      </c>
      <c r="AR163" s="9">
        <f>IFERROR(MROUND(_xlfn.XLOOKUP(B163,'Base stats'!B:B,'Base stats'!H:H)/IF(_xlfn.XLOOKUP(B163,'Base stats'!B:B,'Base stats'!I:I)&lt;&gt;1,(122.5/70),1.2),IF(_xlfn.XLOOKUP(B163,'Base stats'!B:B,'Base stats'!H:H)&gt;=30,5,IF(_xlfn.XLOOKUP(B163,'Base stats'!B:B,'Base stats'!H:H)&gt;=15,3,IF(_xlfn.XLOOKUP(B163,'Base stats'!B:B,'Base stats'!H:H)&gt;=10,2,1)))),"Immortal")</f>
        <v>50</v>
      </c>
      <c r="AS163" s="35">
        <f>IFERROR(IF(OR(_xlfn.XLOOKUP(B163,'Base stats'!B:B,'Base stats'!F:F)="Atypical reproduction",_xlfn.XLOOKUP(B163,'Base stats'!B:B,'Base stats'!F:F)="Lay eggs"),"Lay eggs",MIN(20,MAX(5.5,ROUND(((_xlfn.XLOOKUP(B163,'Base stats'!B:B,'Base stats'!F:F)-25)*(14.5/615) + 5.5)*2,0)/2))),"Unknown")</f>
        <v>11</v>
      </c>
      <c r="AT163" s="8">
        <f>IF(_xlfn.XLOOKUP(B163,'Base stats'!B:B,'Base stats'!G:G)="Atypical reproduction","No",IFERROR(MAX(IF(_xlfn.XLOOKUP(B163,'Base stats'!B:B,'Base stats'!G:G)&lt;0.5,0.2,0.3),MROUND(_xlfn.XLOOKUP(B163,'Base stats'!B:B,'Base stats'!G:G)/(365/60),0.2)),"Unknown"))</f>
        <v>1.2000000000000002</v>
      </c>
      <c r="AU163" s="8">
        <f t="shared" si="15"/>
        <v>0.60000000000000009</v>
      </c>
      <c r="AV163" s="8">
        <f>IFERROR(IFERROR(MROUND(_xlfn.XLOOKUP(B163,'Base stats'!B:B,'Base stats'!J:J),0.1),"Lay eggs"),"Cannot breed")</f>
        <v>1</v>
      </c>
      <c r="AW163" s="2" t="str">
        <f t="shared" si="16"/>
        <v>false</v>
      </c>
      <c r="AX163" s="2" t="str">
        <f>IF(_xlfn.XLOOKUP(_xlfn.XLOOKUP(Animals!B163,'Base stats'!B:B,'Base stats'!E:E),Groups!A:A,Groups!AK:AK)=1,"true","false")</f>
        <v>false</v>
      </c>
      <c r="AY163" s="25" t="str">
        <f>IF(_xlfn.XLOOKUP(B163,'Base stats'!B:B,'Base stats'!Y:Y)="Liquor","Liquor, CarnivoreAnimalStrict",IF(AND(_xlfn.XLOOKUP(B163,'Base stats'!B:B,'Base stats'!Y:Y)="Carnivore",_xlfn.XLOOKUP(_xlfn.XLOOKUP(B163,'Base stats'!B:B,'Base stats'!E:E),Groups!A:A,Groups!AJ:AJ)="Photonozoa"),"CarnivoreAnimalStrict, OvivoreAnimal",IF(_xlfn.XLOOKUP(B163,'Base stats'!B:B,'Base stats'!Y:Y)="Carnivore","CarnivoreAnimal, OvivoreAnimal",IF(_xlfn.XLOOKUP(B163,'Base stats'!B:B,'Base stats'!Y:Y)="Dendrovore","VegetarianRoughAnimal, DendrovoreAnimal",IF(_xlfn.XLOOKUP(B163,'Base stats'!B:B,'Base stats'!Y:Y)="Herbivore","VegetarianRoughAnimal",IF(_xlfn.XLOOKUP(B163,'Base stats'!B:B,'Base stats'!Y:Y)="OmnivoreRough","OmnivoreRoughAnimal, OvivoreAnimal","OmnivoreAnimal, OvivoreAnimal"))))))</f>
        <v>VegetarianRoughAnimal</v>
      </c>
      <c r="AZ163" s="2" t="str">
        <f>IF(_xlfn.XLOOKUP(_xlfn.XLOOKUP(B163,'Base stats'!B:B,'Base stats'!E:E),Groups!A:A,Groups!D:D)=1,MROUND((1-J163)*5+1,2)*IF(J163&lt;=0.4,2,1),"No")</f>
        <v>No</v>
      </c>
      <c r="BA163" s="2" t="str">
        <f>IF(AND(_xlfn.XLOOKUP(B163,'Base stats'!B:B,'Base stats'!AH:AH)="&lt;li&gt;Seal&lt;/li&gt;",G163="Odyssey"),"&lt;li&gt;AEXP_Seal&lt;/li&gt;",_xlfn.XLOOKUP(B163,'Base stats'!B:B,'Base stats'!AH:AH))</f>
        <v>&lt;li&gt;Monkey&lt;/li&gt;</v>
      </c>
      <c r="BB163" s="2" t="str">
        <f>_xlfn.XLOOKUP(B163,'Base stats'!B:B,'Base stats'!AG:AG)</f>
        <v>Leather_Light</v>
      </c>
      <c r="BC163" s="23" t="str">
        <f>_xlfn.XLOOKUP(_xlfn.XLOOKUP(B163,'Base stats'!B:B,'Base stats'!E:E),Groups!A:A,Groups!AL:AL)</f>
        <v>Ape</v>
      </c>
      <c r="BD163" s="23">
        <f>MIN(1,MROUND(IF(AND(AO163&lt;0.5,_xlfn.XLOOKUP(B163,'Base stats'!B:B,'Base stats'!AA:AA)=0),0,IF(OR(_xlfn.XLOOKUP(Animals!B163,'Base stats'!B:B,'Base stats'!O:O)=2,_xlfn.XLOOKUP(_xlfn.XLOOKUP(B163,'Base stats'!B:B,'Base stats'!E:E),Groups!A:A,Groups!AN:AN)=0),0,_xlfn.XLOOKUP(_xlfn.XLOOKUP(B163,'Base stats'!B:B,'Base stats'!E:E),Groups!A:A,Groups!AN:AN)/IF(_xlfn.XLOOKUP(Animals!B163,'Base stats'!B:B,'Base stats'!O:O)=1,2,1)))+_xlfn.XLOOKUP(B163,'Base stats'!B:B,'Base stats'!AC:AC),0.005))</f>
        <v>2.5000000000000001E-2</v>
      </c>
      <c r="BE163" s="23">
        <f>MIN(1,MROUND(IF(AND(AO163&lt;0.5,_xlfn.XLOOKUP(B163,'Base stats'!B:B,'Base stats'!AA:AA)=0),0,IF(_xlfn.XLOOKUP(_xlfn.XLOOKUP(B163,'Base stats'!B:B,'Base stats'!E:E),Groups!A:A,Groups!AO:AO)=0,0,_xlfn.XLOOKUP(_xlfn.XLOOKUP(B163,'Base stats'!B:B,'Base stats'!E:E),Groups!A:A,Groups!AO:AO)/IF(_xlfn.XLOOKUP(Animals!B163,'Base stats'!B:B,'Base stats'!O:O)=2,3,1)))+_xlfn.XLOOKUP(B163,'Base stats'!B:B,'Base stats'!AD:AD),0.005))</f>
        <v>0.1</v>
      </c>
      <c r="BF163" s="2" t="str">
        <f>IF(J163&gt;0.3,"No",_xlfn.XLOOKUP(_xlfn.XLOOKUP(Animals!B163,'Base stats'!B:B,'Base stats'!E:E),Groups!A:A,Groups!AP:AP))</f>
        <v>No</v>
      </c>
      <c r="BG163" s="2" t="str">
        <f>IF(AND(J163&lt;=0.65,_xlfn.XLOOKUP(_xlfn.XLOOKUP(Animals!B163,'Base stats'!B:B,'Base stats'!E:E),Groups!A:A,Groups!AP:AP)&lt;&gt;"No",_xlfn.XLOOKUP(_xlfn.XLOOKUP(B163,'Base stats'!B:B,'Base stats'!E:E),Groups!A:A,Groups!D:D)=0),MROUND((80/3)*IF(_xlfn.XLOOKUP(B163,'Base stats'!B:B,'Base stats'!O:O)=2,0.2,AO163) + 24*(1-IF(BF163="No",0,BF163)) + 16/3, 12),"No")</f>
        <v>No</v>
      </c>
      <c r="BH163" s="2">
        <f>IF(AND(_xlfn.XLOOKUP(_xlfn.XLOOKUP(B163,'Base stats'!B:B,'Base stats'!E:E),Groups!A:A,Groups!AQ:AQ)=1,AO163&lt;=0.35),8,12)</f>
        <v>12</v>
      </c>
      <c r="BI163" s="2" t="str">
        <f>IF(_xlfn.XLOOKUP(_xlfn.XLOOKUP(B163,'Base stats'!B:B,'Base stats'!E:E),Groups!A:A,Groups!D:D)=0,_xlfn.XLOOKUP(_xlfn.XLOOKUP(B163,'Base stats'!B:B,'Base stats'!E:E),Groups!A:A,Groups!AR:AR),"None")</f>
        <v>Advanced</v>
      </c>
      <c r="BJ163" s="2" t="str">
        <f>IF(AND(_xlfn.XLOOKUP(_xlfn.XLOOKUP(B163,'Base stats'!B:B,'Base stats'!E:E),Groups!A:A,Groups!AS:AS)=1,OR(_xlfn.XLOOKUP(B163,'Base stats'!B:B,'Base stats'!Y:Y)="Carnivore",_xlfn.XLOOKUP(B163,'Base stats'!B:B,'Base stats'!Y:Y)="Omnivore")),"true","false")</f>
        <v>false</v>
      </c>
      <c r="BK163" s="2" t="str">
        <f>IF(BJ163="true",MROUND(IF(AND(AO163&gt;0.5,OR(_xlfn.XLOOKUP(_xlfn.XLOOKUP(B163,'Base stats'!B:B,'Base stats'!E:E),Groups!A:A,Groups!AJ:AJ)="Photonozoa",_xlfn.XLOOKUP(_xlfn.XLOOKUP(B163,'Base stats'!B:B,'Base stats'!E:E),Groups!A:A,Groups!AJ:AJ)="Mammal")),Animals!AO163*1.75*IF(AW163="true",1.5,1),IF(AO163&lt;0.5,Animals!AO163*0.5,Animals!AO163)),IF(AO163&gt;2,0.5,IF(AO163&gt;0.5,0.25,0.1))),"No")</f>
        <v>No</v>
      </c>
      <c r="BL163" s="2">
        <f t="shared" si="17"/>
        <v>1</v>
      </c>
      <c r="BM163" s="25" t="str">
        <f>IF(_xlfn.XLOOKUP(B163,'Base stats'!B:B,'Base stats'!AN:AN)="Standard","No",MROUND((_xlfn.XLOOKUP(B163,'Base stats'!B:B,'Base stats'!AN:AN)/3.6)/I163,0.1))</f>
        <v>No</v>
      </c>
      <c r="BN163" s="25" t="str">
        <f t="shared" si="18"/>
        <v>false</v>
      </c>
      <c r="BO163" s="25" t="str">
        <f>IF(AND(OR(_xlfn.XLOOKUP(B163,'Base stats'!B:B,'Base stats'!Y:Y)="Carnivore",_xlfn.XLOOKUP(B163,'Base stats'!B:B,'Base stats'!Y:Y)="Omnivore",_xlfn.XLOOKUP(B163,'Base stats'!B:B,'Base stats'!Y:Y)="OmnivoreRough"),_xlfn.XLOOKUP(_xlfn.XLOOKUP(B163,'Base stats'!B:B,'Base stats'!E:E),Groups!A:A,Groups!AT:AT)=1),"true","false")</f>
        <v>false</v>
      </c>
      <c r="BP163" s="25" t="str" cm="1">
        <f t="array" ref="BP163">IF(
  _xlfn.TEXTJOIN(", ",TRUE,
    IF(AND(BJ163="true",AO163&gt;0.5,BI163&lt;&gt;"None"),"AttackTarget",""),
    IF(AND(_xlfn.XLOOKUP(_xlfn.XLOOKUP(B163,'Base stats'!B:B,'Base stats'!E:E),Groups!A:A,Groups!AJ:AJ="Mammal"),OR(_xlfn.XLOOKUP(B163,'Base stats'!B:B,'Base stats'!Y:Y)="Omnivore",_xlfn.XLOOKUP(B163,'Base stats'!B:B,'Base stats'!Y:Y)="OmnivoreRough")),"Forage",""),
    IF(BG163&lt;=36,"Comfort",""),
    IF(_xlfn.XLOOKUP(B163,'Base stats'!B:B,'Base stats'!AE:AE)&lt;&gt;"No",_xlfn.XLOOKUP(B163,'Base stats'!B:B,'Base stats'!AE:AE),"")
  ) = "",
  "No",
  _xlfn.TEXTJOIN(", ",TRUE,
    IF(AND(BJ163="true",AO163&gt;0.5,BI163&lt;&gt;"None"),"AttackTarget",""),
    IF(AND(_xlfn.XLOOKUP(_xlfn.XLOOKUP(B163,'Base stats'!B:B,'Base stats'!E:E),Groups!A:A,Groups!AJ:AJ="Mammal"),OR(_xlfn.XLOOKUP(B163,'Base stats'!B:B,'Base stats'!Y:Y)="Omnivore",_xlfn.XLOOKUP(B163,'Base stats'!B:B,'Base stats'!Y:Y)="OmnivoreRough")),"Forage",""),
    IF(BG163&lt;=36,"Comfort",""),
    IF(_xlfn.XLOOKUP(B163,'Base stats'!B:B,'Base stats'!AE:AE)&lt;&gt;"No",_xlfn.XLOOKUP(B163,'Base stats'!B:B,'Base stats'!AE:AE),"")
  )
)</f>
        <v>No</v>
      </c>
      <c r="BQ163" s="25" t="str">
        <f>IF(
   AND(
      'Base stats'!AN163="Standard",_xlfn.XLOOKUP(_xlfn.XLOOKUP(B163,'Base stats'!B:B,'Base stats'!E:E),Groups!A:A,Groups!AU:AU)=0,
      OR(
      BO163="True"
      )
   ),
   10,
   IF(
       OR(BM163&lt;&gt;"No",_xlfn.XLOOKUP(_xlfn.XLOOKUP(B163,'Base stats'!B:B,'Base stats'!E:E),Groups!A:A,Groups!AU:AU)=1),
      1,
      "No"
   )
)</f>
        <v>No</v>
      </c>
      <c r="BR163" s="9">
        <f>MROUND((1 + ((0.2*IF(OR(Q163="No",R163="No",R163=0),0,Q163/R163)
+IF(OR(V163="No",S163="No",T163="No"),0,S163/T163*(LEN(V163)-LEN(SUBSTITUTE(V163,",",""))+1))
+IF(OR(X163="No",Y163="No"),0,X163/Y163)
+IF(OR(AD163="No",AE163="No"),0,AD163/AE163)
+IF(OR(AL163="No",AI163="No",AJ163="No"),0,AI163/AJ163*(LEN(AL163)-LEN(SUBSTITUTE(AL163,",",""))+1))
)/(0.2*IF(OR(Q163="No",R163="No",R163=0),0,1)
+IF(OR(V163="No",S163="No",T163="No"),0,LEN(V163)-LEN(SUBSTITUTE(V163,",",""))+1)
+IF(OR(X163="No",Y163="No"),0,1)
+IF(OR(AD163="No",AE163="No"),0,1)
+IF(OR(AL163="No",AI163="No",AJ163="No"),0,LEN(AL163)-LEN(SUBSTITUTE(AL163,",",""))+1))*62%)* 2)*(1 + (AP163 / (IF(_xlfn.XLOOKUP(_xlfn.XLOOKUP(B163,'Base stats'!B:B,'Base stats'!E:E),Groups!A:A,Groups!AJ:AJ)="Photonozoa",0.3,1)) + _xlfn.XLOOKUP(B163,'Base stats'!B:B,'Base stats'!AV:AV) * 1.8) * 2) * 2.5 + 10 + I163 * 2,5)+IF(_xlfn.XLOOKUP(B163,'Base stats'!B:B,'Base stats'!AK:AK)=1,50,0)</f>
        <v>85</v>
      </c>
      <c r="BS163" s="8">
        <f t="shared" si="19"/>
        <v>0.65</v>
      </c>
      <c r="BT163" s="8" t="str">
        <f>_xlfn.XLOOKUP(B163,'Base stats'!B:B,'Base stats'!AF:AF)</f>
        <v>No</v>
      </c>
      <c r="BU163" s="2" t="str">
        <f>IF(AND(J163&lt;=0.95,OR(_xlfn.XLOOKUP(B163,'Base stats'!B:B,'Base stats'!AK:AK)=1,_xlfn.XLOOKUP(B163,'Base stats'!B:B,'Base stats'!Y:Y)="Carnivore",_xlfn.XLOOKUP(B163,'Base stats'!B:B,'Base stats'!Y:Y)="Omnivore",BE163&gt;0.1)),"true","false")</f>
        <v>false</v>
      </c>
      <c r="BV163" s="2" t="str">
        <f>IF(_xlfn.XLOOKUP(B163,'Base stats'!B:B,'Base stats'!AI:AI)=1,"true","false")</f>
        <v>false</v>
      </c>
      <c r="BW163" s="25" t="str">
        <f>IF(E163="BaseInsect","AnimalInsect",
IF(J163&gt;0.95,"AnimalExotic",
_xlfn.TEXTJOIN(", ",TRUE,
IF(OR(_xlfn.XLOOKUP(B163,'Base stats'!B:B,'Base stats'!AM:AM)=1,AND(_xlfn.XLOOKUP(B163,'Base stats'!B:B,'Base stats'!O:O)=0,_xlfn.XLOOKUP(_xlfn.XLOOKUP(B163,'Base stats'!B:B,'Base stats'!E:E),Groups!A:A,Groups!B:B)&gt;0)),"AnimalUncommon","AnimalCommon"),
IF(AND(_xlfn.XLOOKUP(B163,'Base stats'!B:B,'Base stats'!O:O)=2,_xlfn.XLOOKUP(_xlfn.XLOOKUP(B163,'Base stats'!B:B,'Base stats'!E:E),Groups!A:A,Groups!D:D)=0),"AnimalPet",IF(AND(_xlfn.XLOOKUP(B163,'Base stats'!B:B,'Base stats'!O:O)&lt;&gt;0,_xlfn.XLOOKUP(_xlfn.XLOOKUP(B163,'Base stats'!B:B,'Base stats'!E:E),Groups!A:A,Groups!D:D)&lt;&gt;0),"AnimalFarm","")),
IF(OR(_xlfn.XLOOKUP(B163,'Base stats'!B:B,'Base stats'!AK:AK)=1,AND(BI163&lt;&gt;"None",BR163&gt;=60),ISNUMBER(SEARCH("Attack target",BP163))),"AnimalFighter","")
)))</f>
        <v>AnimalUncommon, AnimalFighter</v>
      </c>
      <c r="BX163" s="25" t="str">
        <f>IF(G163="None",TRIM(
SUBSTITUTE(
IF(COUNTIF(Biomes!B$2:B$259,"="&amp;$C163)&gt;0,Biomes!B$1&amp;", ","")&amp;
IF(COUNTIF(Biomes!C$2:C$259,"="&amp;$C163)&gt;0,Biomes!C$1&amp;", ","")&amp;
IF(COUNTIF(Biomes!D$2:D$259,"="&amp;$C163)&gt;0,Biomes!D$1&amp;", ","")&amp;
IF(COUNTIF(Biomes!F$2:F$259,"="&amp;$C163)&gt;0,Biomes!F$1&amp;", ","")&amp;
IF(COUNTIF(Biomes!G$2:G$259,"="&amp;$C163)&gt;0,Biomes!G$1&amp;", ","")&amp;
IF(COUNTIF(Biomes!H$2:H$259,"="&amp;$C163)&gt;0,Biomes!H$1&amp;", ","")&amp;
IF(COUNTIF(Biomes!I$2:I$259,"="&amp;$C163)&gt;0,Biomes!I$1&amp;", ","")&amp;
IF(COUNTIF(Biomes!J$2:J$259,"="&amp;$C163)&gt;0,Biomes!J$1&amp;", ","")&amp;
IF(COUNTIF(Biomes!M$2:M$259,"="&amp;$C163)&gt;0,Biomes!M$1&amp;", ","")&amp;
IF(COUNTIF(Biomes!N$2:N$259,"="&amp;$C163)&gt;0,Biomes!N$1&amp;", ","")&amp;
IF(COUNTIF(Biomes!O$2:O$259,"="&amp;$C163)&gt;0,Biomes!O$1&amp;", ","")&amp;
IF(COUNTIF(Biomes!P$2:P$259,"="&amp;$C163)&gt;0,Biomes!P$1&amp;", ","")&amp;
IF(COUNTIF(Biomes!K$2:K$259,"="&amp;$C163)&gt;0,Biomes!K$1&amp;", ","")&amp;
IF(COUNTIF(Biomes!Q$3:Q$259,"="&amp;$C163)&gt;0,Biomes!Q$1&amp;", ","")&amp;
IF(COUNTIF(Biomes!L$2:L$259,"="&amp;$C163)&gt;0,Biomes!L$1&amp;", ","")&amp;
IF(COUNTIF(Biomes!E$2:E$259,"="&amp;$C163)&gt;0,Biomes!E$1&amp;", ","")&amp;IF(COUNTIF(Biomes!S$2:S$259,"="&amp;$C163)&gt;0,Biomes!S$1&amp;", ","")&amp;
IF(COUNTIF(Biomes!R$2:R$259,"="&amp;$C163)&gt;0,Biomes!R$1&amp;", ",""),", ","")
),_xlfn.XLOOKUP(B163,B:B,BX:BX))</f>
        <v>TropicalRainforest</v>
      </c>
      <c r="BY163" s="25" t="str">
        <f>IF(_xlfn.XLOOKUP(B163,'Base stats'!B:B,'Base stats'!AJ:AJ)=1,"true","false")</f>
        <v>false</v>
      </c>
      <c r="BZ163" s="25">
        <f>IF(_xlfn.XLOOKUP(B163,'Base stats'!B:B,'Base stats'!N:N)=1,"No",MAX(0.001,MIN(MROUND(IF(AND(BJ163="True",CC163="False"),POWER(10,3.47*LOG10(_xlfn.XLOOKUP(B163,'Base stats'!B:B,'Base stats'!C:C)*1000)^-0.96),POWER(10,4.15*LOG10(_xlfn.XLOOKUP(B163,'Base stats'!B:B,'Base stats'!C:C)*1000)^-0.73))*IF(_xlfn.XLOOKUP(B163,'Base stats'!B:B,'Base stats'!AK:AK)=1,0.5,1)*IF(_xlfn.XLOOKUP(B163,'Base stats'!B:B,'Base stats'!AM:AM)=1,0.1,1)/100,IF(_xlfn.XLOOKUP(B163,'Base stats'!B:B,'Base stats'!AM:AM)=1,0.001,0.025)),0.5)))</f>
        <v>2.1000000000000001E-2</v>
      </c>
      <c r="CA163" s="25" t="str">
        <f>IF(P163="Standard","No",MAX(0.001,MIN(MROUND(IF(AND(BJ163="True",CC163="False"),POWER(10,3.47*LOG10(_xlfn.XLOOKUP(B163,'Base stats'!B:B,'Base stats'!C:C)*1000)^-0.96),POWER(10,4.15*LOG10(_xlfn.XLOOKUP(B163,'Base stats'!B:B,'Base stats'!C:C)*1000)^-0.73))*IF(_xlfn.XLOOKUP(B163,'Base stats'!B:B,'Base stats'!AM:AM)=1,0.1,1)*_xlfn.XLOOKUP(B163,'Base stats'!B:B,'Base stats'!R:R)/100,IF(_xlfn.XLOOKUP(B163,'Base stats'!B:B,'Base stats'!AM:AM)=1,0.001,0.025)),0.5)))</f>
        <v>No</v>
      </c>
      <c r="CB163" s="25" t="str">
        <f>IF(_xlfn.XLOOKUP(_xlfn.XLOOKUP(B163,'Base stats'!B:B,'Base stats'!E:E),Groups!A:A,Groups!AJ:AJ)="Mammal","True","False")</f>
        <v>True</v>
      </c>
      <c r="CC163" s="25" t="str">
        <f>IF(OR(_xlfn.XLOOKUP(_xlfn.XLOOKUP(B163,'Base stats'!B:B,'Base stats'!E:E),Groups!A:A,Groups!AJ:AJ)="Reptile",_xlfn.XLOOKUP(_xlfn.XLOOKUP(B163,'Base stats'!B:B,'Base stats'!E:E),Groups!A:A,Groups!AJ:AJ)="Amphibian",_xlfn.XLOOKUP(_xlfn.XLOOKUP(B163,'Base stats'!B:B,'Base stats'!E:E),Groups!A:A,Groups!AJ:AJ)="Invertebrate"),"True","False")</f>
        <v>False</v>
      </c>
      <c r="CD163" s="25" t="str">
        <f t="shared" si="20"/>
        <v>False</v>
      </c>
      <c r="CE163" s="25" t="str">
        <f>IF(_xlfn.XLOOKUP(_xlfn.XLOOKUP(B163,'Base stats'!B:B,'Base stats'!E:E),Groups!A:A,Groups!AX:AX),"True","False")</f>
        <v>False</v>
      </c>
      <c r="CF163" s="25" t="str">
        <f>IF(_xlfn.XLOOKUP(_xlfn.XLOOKUP(B163,'Base stats'!B:B,'Base stats'!E:E),Groups!A:A,Groups!AY:AY),"True","False")</f>
        <v>False</v>
      </c>
      <c r="CG163" s="25" t="str">
        <f>IF(_xlfn.XLOOKUP(_xlfn.XLOOKUP(B163,'Base stats'!B:B,'Base stats'!E:E),Groups!A:A,Groups!AW:AW),"True","False")</f>
        <v>False</v>
      </c>
      <c r="CH163" s="25" t="str">
        <f>IF(
OR(
_xlfn.XLOOKUP(_xlfn.XLOOKUP(B163,'Base stats'!B:B,'Base stats'!E:E),Groups!A:A,Groups!AZ:AZ)=0,
AND(
_xlfn.XLOOKUP(B163,'Base stats'!B:B,'Base stats'!Y:Y)&lt;&gt;"Carnivore",
_xlfn.XLOOKUP(B163,'Base stats'!B:B,'Base stats'!Y:Y)&lt;&gt;"Omnivore",
_xlfn.XLOOKUP(B163,'Base stats'!B:B,'Base stats'!Y:Y)&lt;&gt;"OmnivoreRough"
)
),
"No",
IF(
_xlfn.XLOOKUP(_xlfn.XLOOKUP(B163,'Base stats'!B:B,'Base stats'!E:E),Groups!A:A,Groups!AZ:AZ)=1,
"Flesh",
IF(
_xlfn.XLOOKUP(_xlfn.XLOOKUP(B163,'Base stats'!B:B,'Base stats'!E:E),Groups!A:A,Groups!AZ:AZ)=2,
"Bone",
""
)
)
)</f>
        <v>No</v>
      </c>
      <c r="CI163" s="25" t="str">
        <f>IF(_xlfn.XLOOKUP(_xlfn.XLOOKUP(B163,'Base stats'!B:B,'Base stats'!E:E),Groups!A:A,Groups!BB:BB),"True","False")</f>
        <v>True</v>
      </c>
      <c r="CJ163" s="25" t="str">
        <f>IF(_xlfn.XLOOKUP(_xlfn.XLOOKUP(B163,'Base stats'!B:B,'Base stats'!E:E),Groups!A:A,Groups!BA:BA),"True","False")</f>
        <v>False</v>
      </c>
    </row>
    <row r="164" spans="1:88" s="16" customFormat="1" ht="16.5" thickTop="1" thickBot="1" x14ac:dyDescent="0.3">
      <c r="A164" s="26" t="str">
        <f>_xlfn.XLOOKUP(B164,'Base stats'!B:B,'Base stats'!A:A)</f>
        <v>Megachicken</v>
      </c>
      <c r="B164" s="6" t="s">
        <v>1121</v>
      </c>
      <c r="C164" s="28" t="s">
        <v>1120</v>
      </c>
      <c r="D164" s="28" t="s">
        <v>1113</v>
      </c>
      <c r="E164" s="28" t="s">
        <v>673</v>
      </c>
      <c r="F164" s="28" t="s">
        <v>673</v>
      </c>
      <c r="G164" s="28" t="s">
        <v>673</v>
      </c>
      <c r="H164" s="2">
        <f>MROUND((
  (IF(AND(_xlfn.XLOOKUP(B164,'Base stats'!B:B,'Base stats'!AL:AL)=0,BI164="None",_xlfn.XLOOKUP(_xlfn.XLOOKUP(B164,'Base stats'!B:B,'Base stats'!E:E),Groups!A:A,Groups!B:B)=0), (18 + BR164 * 2.7) * 0.5,
    IF(AND(_xlfn.XLOOKUP(B164,'Base stats'!B:B,'Base stats'!AL:AL)=0,OR(AO164&lt;0.55,AND(BI164="Intermediate",_xlfn.XLOOKUP(_xlfn.XLOOKUP(B164,'Base stats'!B:B,'Base stats'!E:E),Groups!A:A,Groups!B:B)&lt;2))), (18 + BR164 * 2.7),
      IF(OR(BI164="Advanced",_xlfn.XLOOKUP(B164,'Base stats'!B:B,'Base stats'!AL:AL)=1,_xlfn.XLOOKUP(_xlfn.XLOOKUP(B164,'Base stats'!B:B,'Base stats'!E:E),Groups!A:A,Groups!B:B)=2), (18 + BR164 * 2.7) + 250, (18 + BR164 * 2.7))
    )
  ))
  + AO164 * 80
  + IF(COUNTIF(EggMilk!K$2:K$998, A164) &gt; 0, 125, 0)
  + IF(COUNTIF(EggMilk!P$2:P$998, A164) &gt; 0, 90, 0)
  + IF(COUNTIF(EggMilk!A$2:A$998, A164) &gt; 0, 90, 0)
)
* (0.8 + 0.4 * J164)
* 0.75,25)</f>
        <v>425</v>
      </c>
      <c r="I164" s="2">
        <f>MROUND(ROUNDDOWN(_xlfn.XLOOKUP(B164,'Base stats'!B:B,'Base stats'!L:L)/3.6/(23.3/11),1),0.5)</f>
        <v>3</v>
      </c>
      <c r="J164" s="2">
        <f>IF(OR(_xlfn.XLOOKUP(B164,'Base stats'!B:B,'Base stats'!AB:AB)=1,_xlfn.XLOOKUP(_xlfn.XLOOKUP(B164,'Base stats'!B:B,'Base stats'!E:E),Groups!A:A,Groups!C:C)="Untamable"),1,IF(_xlfn.XLOOKUP(B164,'Base stats'!B:B,'Base stats'!AL:AL)=1,0.99,MIN(MROUND((1-0.6282*EXP(-0.459*AO164))*_xlfn.XLOOKUP(_xlfn.XLOOKUP(B164,'Base stats'!B:B,'Base stats'!E:E),Groups!A:A,Groups!C:C)*IF(_xlfn.XLOOKUP(B164,'Base stats'!B:B,'Base stats'!O:O)=1,0.5,IF(_xlfn.XLOOKUP(B164,'Base stats'!B:B,'Base stats'!O:O)=2,0,1)),0.05),IF(AO164&gt;3.5,0.985,0.95))))</f>
        <v>0.99</v>
      </c>
      <c r="K164" s="2">
        <f>ROUNDUP(AO164*_xlfn.XLOOKUP(_xlfn.XLOOKUP(B164,'Base stats'!B:B,'Base stats'!E:E),Groups!A:A,Groups!E:E),0)</f>
        <v>4</v>
      </c>
      <c r="L164" s="2">
        <f>IF(OR(_xlfn.XLOOKUP(_xlfn.XLOOKUP(B164,'Base stats'!B:B,'Base stats'!E:E),Groups!A:A,Groups!F:F)=2,ISNUMBER(SEARCH("SeaIce",BX164)),ISNUMBER(SEARCH("IceSheet",BX164))),-50,IF(OR(ISNUMBER(SEARCH("GlacialPlain",BX164)),ISNUMBER(SEARCH("Tundra",BX164))),-40,IF(OR(ISNUMBER(SEARCH("Alpine",BX164)),ISNUMBER(SEARCH("BorealForest",BX164)),ISNUMBER(SEARCH("ColdBog",BX164))),-30,IF(OR(ISNUMBER(SEARCH("TemperateForest",BX164)),ISNUMBER(SEARCH("TemperateSwamp",BX164))),-20,IF(_xlfn.XLOOKUP(_xlfn.XLOOKUP(B164,'Base stats'!B:B,'Base stats'!E:E),Groups!A:A,Groups!F:F)=1,-15,IF(OR(ISNUMBER(SEARCH("Desert",BX164)),ISNUMBER(SEARCH("ExtremeDesert",BX164))),-10,IF(OR(ISNUMBER(SEARCH("Grasslands",BX164)),ISNUMBER(SEARCH("TropicalRainforest",BX164)),ISNUMBER(SEARCH("TropicalSwamp",BX164))),10,0)))))))-IF(CC164="False",MIN(IFERROR(MAX(MROUND(LOG10(_xlfn.XLOOKUP(B164,'Base stats'!B:B,'Base stats'!C:C)^(2/3))*10,5),5),5),30))-_xlfn.XLOOKUP(B164,'Base stats'!B:B,'Base stats'!P:P)+IF(CC164="True",5,0)</f>
        <v>-5</v>
      </c>
      <c r="M164" s="2">
        <f>IF(OR(_xlfn.XLOOKUP(_xlfn.XLOOKUP(B164,'Base stats'!B:B,'Base stats'!E:E),Groups!A:A,Groups!G:G)=2,ISNUMBER(SEARCH("Desert",BX164)),ISNUMBER(SEARCH("ExtremeDesert",BX164)),ISNUMBER(SEARCH("LavaField",BX164))),50,IF(ISNUMBER(SEARCH("Grasslands",BX164)),45,IF(OR(_xlfn.XLOOKUP(_xlfn.XLOOKUP(B164,'Base stats'!B:B,'Base stats'!E:E),Groups!A:A,Groups!G:G)=1,ISNUMBER(SEARCH("TropicalRainforest",BX164)),ISNUMBER(SEARCH("TropicalSwamp",BX164))),40,IF(OR(ISNUMBER(SEARCH("TemperateForest",BX164)),ISNUMBER(SEARCH("TemperateSwamp",BX164))),35,IF(OR(ISNUMBER(SEARCH("Alpine",BX164)),ISNUMBER(SEARCH("BorealForest",BX164)),ISNUMBER(SEARCH("ColdBog",BX164))),30,IF(ISNUMBER(OR(ISNUMBER(SEARCH("GlacialPlain",BX164)),SEARCH("Tundra",BX164))),25,IF(OR(ISNUMBER(SEARCH("SeaIce",BX164)),ISNUMBER(SEARCH("IceSheet",BX164)),ISNUMBER(SEARCH("TropicalSwamp",BX164))),10,35)))))))+_xlfn.XLOOKUP(B164,'Base stats'!B:B,'Base stats'!Q:Q)</f>
        <v>35</v>
      </c>
      <c r="N164" s="8" t="str">
        <f>IF(
_xlfn.XLOOKUP(
_xlfn.XLOOKUP(B164,'Base stats'!B:B,'Base stats'!E:E),
Groups!A:A,
Groups!L:L
)=1,
MIN(
MROUND(
IF(
_xlfn.XLOOKUP(B164,'Animals CE'!B:B,'Animals CE'!Z:Z)&lt;=1.5,
_xlfn.XLOOKUP(B164,'Animals CE'!B:B,'Animals CE'!Z:Z)/2+0.05,
0.8+
(_xlfn.XLOOKUP(B164,'Animals CE'!B:B,'Animals CE'!Z:Z)-1.5)
*0.02
),
0.05
),
200%
),
"No"
)</f>
        <v>No</v>
      </c>
      <c r="O164" s="8" t="str">
        <f>IF(
_xlfn.XLOOKUP(
_xlfn.XLOOKUP(B164,'Base stats'!B:B,'Base stats'!E:E),
Groups!A:A,
Groups!L:L
)=1,
MIN(
MROUND(
IF(
_xlfn.XLOOKUP(B164,'Animals CE'!B:B,'Animals CE'!AA:AA)&lt;=1.5,
_xlfn.XLOOKUP(B164,'Animals CE'!B:B,'Animals CE'!AA:AA)/2+0.05,
0.8+
(_xlfn.XLOOKUP(B164,'Animals CE'!B:B,'Animals CE'!AA:AA)-1.5)
*0.02
),
0.05
),
200%
),
"No"
)</f>
        <v>No</v>
      </c>
      <c r="P164" s="2" t="str">
        <f>_xlfn.XLOOKUP(B164,'Base stats'!B:B,'Base stats'!R:R)</f>
        <v>Standard</v>
      </c>
      <c r="Q164" s="13">
        <f>MROUND((LOG10(_xlfn.XLOOKUP(B164,'Base stats'!B:B,'Base stats'!AR:AR))*(AO164^0.5)+(_xlfn.XLOOKUP(B164,'Base stats'!B:B,'Base stats'!AR:AR)/1000)^(2/3)+_xlfn.XLOOKUP(B164,'Base stats'!B:B,'Base stats'!BA:BA)/2)+0.5,0.5)</f>
        <v>2.5</v>
      </c>
      <c r="R164" s="7">
        <f>IF(Q164="No","No",MAX(1,MROUND(_xlfn.XLOOKUP(B164,'Base stats'!B:B,'Base stats'!C:C)^0.165,0.05)))</f>
        <v>1.3</v>
      </c>
      <c r="S164" s="13">
        <f>IF(_xlfn.XLOOKUP(_xlfn.XLOOKUP(B164,'Base stats'!B:B,'Base stats'!E:E),Groups!A:A,Groups!P:P)=0,"No",MROUND((LOG10(_xlfn.XLOOKUP(B164,'Base stats'!B:B,'Base stats'!AS:AS))*(AO164^0.5)+(_xlfn.XLOOKUP(B164,'Base stats'!B:B,'Base stats'!AS:AS)/1000)^(2/3)+_xlfn.XLOOKUP(B164,'Base stats'!B:B,'Base stats'!BA:BA))+_xlfn.XLOOKUP(B164,'Base stats'!B:B,'Base stats'!AY:AY)+0.5,0.5))</f>
        <v>4.5</v>
      </c>
      <c r="T164" s="7">
        <f>IF(S164="No","No",MAX(_xlfn.XLOOKUP(_xlfn.XLOOKUP(B164,'Base stats'!B:B,'Base stats'!E:E),Groups!A:A,Groups!Q:Q),MROUND(_xlfn.XLOOKUP(_xlfn.XLOOKUP(B164,'Base stats'!B:B,'Base stats'!E:E),Groups!A:A,Groups!Q:Q)*_xlfn.XLOOKUP(B164,'Base stats'!B:B,'Base stats'!C:C)^0.165,0.05)))</f>
        <v>1.3</v>
      </c>
      <c r="U164" s="7" t="str">
        <f>IF(S164="No","No",_xlfn.XLOOKUP(_xlfn.XLOOKUP(B164,'Base stats'!B:B,'Base stats'!E:E),Groups!A:A,Groups!R:R))</f>
        <v>Feet</v>
      </c>
      <c r="V164" s="7" t="str">
        <f>IF(S164="No","No",_xlfn.XLOOKUP(_xlfn.XLOOKUP(B164,'Base stats'!B:B,'Base stats'!E:E),Groups!A:A,Groups!S:S))</f>
        <v>rear left claw, rear  right claw</v>
      </c>
      <c r="W164" s="7" t="str">
        <f>IF(S164="No","No",_xlfn.XLOOKUP(_xlfn.XLOOKUP(B164,'Base stats'!B:B,'Base stats'!E:E),Groups!A:A,Groups!T:T))</f>
        <v>Scratch</v>
      </c>
      <c r="X164" s="13" t="str">
        <f>IF(_xlfn.XLOOKUP(B164,'Base stats'!B:B,'Base stats'!W:W)="No","No",MROUND((LOG10(_xlfn.XLOOKUP(B164,'Base stats'!B:B,'Base stats'!AU:AU))*(AO164^0.5)+(_xlfn.XLOOKUP(B164,'Base stats'!B:B,'Base stats'!AU:AU)/1000)^(2/3)+_xlfn.XLOOKUP(B164,'Base stats'!B:B,'Base stats'!AZ:AZ))+0.5+IF(_xlfn.XLOOKUP(_xlfn.XLOOKUP(B164,'Base stats'!B:B,'Base stats'!E:E),Groups!A:A,Groups!U:U)&lt;&gt;3,_xlfn.XLOOKUP(B164,'Base stats'!B:B,'Base stats'!BA:BA),0),0.5))</f>
        <v>No</v>
      </c>
      <c r="Y164" s="7" t="str">
        <f>IF(X164="No","No",MAX(_xlfn.XLOOKUP(_xlfn.XLOOKUP(B164,'Base stats'!B:B,'Base stats'!E:E),Groups!A:A,Groups!V:V),MROUND(_xlfn.XLOOKUP(_xlfn.XLOOKUP(B164,'Base stats'!B:B,'Base stats'!E:E),Groups!A:A,Groups!V:V)*_xlfn.XLOOKUP(B164,'Base stats'!B:B,'Base stats'!C:C)^0.165,0.05)))</f>
        <v>No</v>
      </c>
      <c r="Z164" s="7" t="str">
        <f>IF(X164="No","No",_xlfn.XLOOKUP(_xlfn.XLOOKUP(B164,'Base stats'!B:B,'Base stats'!E:E),Groups!A:A,Groups!W:W))</f>
        <v>No</v>
      </c>
      <c r="AA164" s="7" t="str">
        <f>IF(X164="No","No",_xlfn.XLOOKUP(_xlfn.XLOOKUP(B164,'Base stats'!B:B,'Base stats'!E:E),Groups!A:A,Groups!X:X))</f>
        <v>No</v>
      </c>
      <c r="AB164" s="7" t="str">
        <f>IF(X164="No","No",_xlfn.XLOOKUP(_xlfn.XLOOKUP(B164,'Base stats'!B:B,'Base stats'!E:E),Groups!A:A,Groups!Y:Y))</f>
        <v>No</v>
      </c>
      <c r="AC164" s="7" t="str">
        <f>_xlfn.XLOOKUP(Animals!B164,'Base stats'!B:B,'Base stats'!X:X)</f>
        <v>False</v>
      </c>
      <c r="AD164" s="13">
        <f>IF(_xlfn.XLOOKUP(B164,'Base stats'!B:B,'Base stats'!AT:AT)="No","No",MROUND((LOG10(_xlfn.XLOOKUP(B164,'Base stats'!B:B,'Base stats'!AT:AT))*(AO164^0.75)+(_xlfn.XLOOKUP(B164,'Base stats'!B:B,'Base stats'!AT:AT)/1000)^(2/3)+_xlfn.XLOOKUP(B164,'Base stats'!B:B,'Base stats'!AX:AX)+_xlfn.XLOOKUP(B164,'Base stats'!B:B,'Base stats'!BA:BA))+0.5,0.5))</f>
        <v>2.5</v>
      </c>
      <c r="AE164" s="7">
        <f>IF(AD164="No","No",MAX(_xlfn.XLOOKUP(_xlfn.XLOOKUP(B164,'Base stats'!B:B,'Base stats'!E:E),Groups!A:A,Groups!Z:Z),MROUND(_xlfn.XLOOKUP(_xlfn.XLOOKUP(B164,'Base stats'!B:B,'Base stats'!E:E),Groups!A:A,Groups!Z:Z)*_xlfn.XLOOKUP(B164,'Base stats'!B:B,'Base stats'!C:C)^0.165,0.05)))</f>
        <v>1.3</v>
      </c>
      <c r="AF164" s="7" t="str">
        <f>IF(AD164="No","No",_xlfn.XLOOKUP(_xlfn.XLOOKUP(B164,'Base stats'!B:B,'Base stats'!E:E),Groups!A:A,Groups!AA:AA))</f>
        <v>Beak</v>
      </c>
      <c r="AG164" s="7" t="str">
        <f>IF(AD164="No","No",_xlfn.XLOOKUP(_xlfn.XLOOKUP(B164,'Base stats'!B:B,'Base stats'!E:E),Groups!A:A,Groups!AB:AB))</f>
        <v>beak</v>
      </c>
      <c r="AH164" s="7" t="str">
        <f>IF(AD164="No","No",_xlfn.XLOOKUP(_xlfn.XLOOKUP(B164,'Base stats'!B:B,'Base stats'!E:E),Groups!A:A,Groups!AC:AC))</f>
        <v>Blunt</v>
      </c>
      <c r="AI164" s="13" t="str">
        <f>IF(_xlfn.XLOOKUP(_xlfn.XLOOKUP(B164,'Base stats'!B:B,'Base stats'!E:E),Groups!A:A,Groups!AD:AD)=0,"No",MROUND((LOG10(_xlfn.XLOOKUP(B164,'Base stats'!B:B,'Base stats'!AS:AS))*(AO164^0.75)+(_xlfn.XLOOKUP(B164,'Base stats'!B:B,'Base stats'!AS:AS)/1000)^(2/3)+_xlfn.XLOOKUP(B164,'Base stats'!B:B,'Base stats'!AY:AY)+_xlfn.XLOOKUP(B164,'Base stats'!B:B,'Base stats'!BA:BA))+0.5,0.5))</f>
        <v>No</v>
      </c>
      <c r="AJ164" s="7" t="str">
        <f>IF(AI164="No","No",MAX(_xlfn.XLOOKUP(_xlfn.XLOOKUP(B164,'Base stats'!B:B,'Base stats'!E:E),Groups!A:A,Groups!AE:AE),MROUND(_xlfn.XLOOKUP(_xlfn.XLOOKUP(B164,'Base stats'!B:B,'Base stats'!E:E),Groups!A:A,Groups!AE:AE)*IF(_xlfn.XLOOKUP(_xlfn.XLOOKUP(B164,'Base stats'!B:B,'Base stats'!E:E),Groups!A:A,Groups!AJ:AJ)="Photonozoa",0.6,1)*_xlfn.XLOOKUP(B164,'Base stats'!B:B,'Base stats'!C:C)^0.165,0.05)))</f>
        <v>No</v>
      </c>
      <c r="AK164" s="7" t="str">
        <f>IF(AI164="No","No",_xlfn.XLOOKUP(_xlfn.XLOOKUP(B164,'Base stats'!B:B,'Base stats'!E:E),Groups!A:A,Groups!AF:AF))</f>
        <v>No</v>
      </c>
      <c r="AL164" s="7" t="str">
        <f>IF(AI164="No","No",_xlfn.XLOOKUP(_xlfn.XLOOKUP(B164,'Base stats'!B:B,'Base stats'!E:E),Groups!A:A,Groups!AG:AG))</f>
        <v>No</v>
      </c>
      <c r="AM164" s="7" t="str">
        <f>IF(AI164="No","No",_xlfn.XLOOKUP(_xlfn.XLOOKUP(B164,'Base stats'!B:B,'Base stats'!E:E),Groups!A:A,Groups!AH:AH))</f>
        <v>No</v>
      </c>
      <c r="AN164" s="2" t="str">
        <f t="shared" si="14"/>
        <v>No</v>
      </c>
      <c r="AO164" s="2">
        <f>MROUND(IF(AND(_xlfn.XLOOKUP(B164,'Base stats'!B:B,'Base stats'!C:C)&gt;=0.5,_xlfn.XLOOKUP(B164,'Base stats'!B:B,'Base stats'!C:C)&lt;=0.8),
IF(_xlfn.XLOOKUP(B164,'Base stats'!B:B,'Base stats'!C:C)&lt;0.1,0.05,IF(_xlfn.XLOOKUP(B164,'Base stats'!B:B,'Base stats'!C:C)&lt;=70,(_xlfn.XLOOKUP(B164,'Base stats'!B:B,'Base stats'!C:C)/70)^0.426489913056526,IF(_xlfn.XLOOKUP(B164,'Base stats'!B:B,'Base stats'!C:C)&lt;=400,(_xlfn.XLOOKUP(B164,'Base stats'!B:B,'Base stats'!C:C)/70)^0.572811455315093,IF(_xlfn.XLOOKUP(B164,'Base stats'!B:B,'Base stats'!C:C)&lt;=2000,2.71391647193063*(_xlfn.XLOOKUP(B164,'Base stats'!B:B,'Base stats'!C:C)/400)^0.252459582904293,3.74314280240376*(_xlfn.XLOOKUP(B164,'Base stats'!B:B,'Base stats'!C:C)/2000)^0.357012633876913)))),
IF(_xlfn.XLOOKUP(B164,'Base stats'!B:B,'Base stats'!C:C)&lt;0.1,0.05,IF(_xlfn.XLOOKUP(B164,'Base stats'!B:B,'Base stats'!C:C)&lt;0.4,0.1,IF(_xlfn.XLOOKUP(B164,'Base stats'!B:B,'Base stats'!C:C)&lt;=70,(_xlfn.XLOOKUP(B164,'Base stats'!B:B,'Base stats'!C:C)/70)^0.445823913056526,IF(_xlfn.XLOOKUP(B164,'Base stats'!B:B,'Base stats'!C:C)&lt;=400,(_xlfn.XLOOKUP(B164,'Base stats'!B:B,'Base stats'!C:C)/70)^0.572811455315093,IF(_xlfn.XLOOKUP(B164,'Base stats'!B:B,'Base stats'!C:C)&lt;=2000,2.71391647193063*(_xlfn.XLOOKUP(B164,'Base stats'!B:B,'Base stats'!C:C)/400)^0.252459582904293,3.74314280240376*(_xlfn.XLOOKUP(B164,'Base stats'!B:B,'Base stats'!C:C)/2000)^0.357012633876913)))))),
IF(_xlfn.XLOOKUP(B164,'Base stats'!B:B,'Base stats'!C:C)&lt;0.1,0.05,IF(_xlfn.XLOOKUP(B164,'Base stats'!B:B,'Base stats'!C:C)&lt;=100,0.05,IF(_xlfn.XLOOKUP(B164,'Base stats'!B:B,'Base stats'!C:C)&lt;=250,0.1,IF(_xlfn.XLOOKUP(B164,'Base stats'!B:B,'Base stats'!C:C)&lt;=4000,0.25,0.5)))))</f>
        <v>0.30000000000000004</v>
      </c>
      <c r="AP164" s="8">
        <f>MROUND(AO164*_xlfn.XLOOKUP(_xlfn.XLOOKUP(B164,'Base stats'!B:B,'Base stats'!E:E),Groups!A:A,Groups!AI:AI)*_xlfn.XLOOKUP(B164,'Base stats'!B:B,'Base stats'!Z:Z),0.05)</f>
        <v>0.30000000000000004</v>
      </c>
      <c r="AQ164" s="8">
        <f>MAX(0.01,MROUND(IF(CC164="True",0.196*(AO164*100*1000)^0.889,IF(_xlfn.XLOOKUP(_xlfn.XLOOKUP(B164,'Base stats'!B:B,'Base stats'!E:E),Groups!A:A,Groups!AJ:AJ)="Bird",10.5*(AO164*100*1000)^0.681,4.82*(AO164*100*1000)^0.734))/(4.82*(1*100*1000)^0.734)/IF(AO164&lt;3.5,2,IF(AO164=3.5,1.5,1.25))*(1+0.132282374779864/(AO164^0.994035016789033+0.00905238001496948)),0.05))</f>
        <v>0.35000000000000003</v>
      </c>
      <c r="AR164" s="9">
        <f>IFERROR(MROUND(_xlfn.XLOOKUP(B164,'Base stats'!B:B,'Base stats'!H:H)/IF(_xlfn.XLOOKUP(B164,'Base stats'!B:B,'Base stats'!I:I)&lt;&gt;1,(122.5/70),1.2),IF(_xlfn.XLOOKUP(B164,'Base stats'!B:B,'Base stats'!H:H)&gt;=30,5,IF(_xlfn.XLOOKUP(B164,'Base stats'!B:B,'Base stats'!H:H)&gt;=15,3,IF(_xlfn.XLOOKUP(B164,'Base stats'!B:B,'Base stats'!H:H)&gt;=10,2,1)))),"Immortal")</f>
        <v>21</v>
      </c>
      <c r="AS164" s="35" t="str">
        <f>IFERROR(IF(OR(_xlfn.XLOOKUP(B164,'Base stats'!B:B,'Base stats'!F:F)="Atypical reproduction",_xlfn.XLOOKUP(B164,'Base stats'!B:B,'Base stats'!F:F)="Lay eggs"),"Lay eggs",MIN(20,MAX(5.5,ROUND(((_xlfn.XLOOKUP(B164,'Base stats'!B:B,'Base stats'!F:F)-25)*(14.5/615) + 5.5)*2,0)/2))),"Unknown")</f>
        <v>Lay eggs</v>
      </c>
      <c r="AT164" s="8" t="str">
        <f>IF(_xlfn.XLOOKUP(B164,'Base stats'!B:B,'Base stats'!G:G)="Atypical reproduction","No",IFERROR(MAX(IF(_xlfn.XLOOKUP(B164,'Base stats'!B:B,'Base stats'!G:G)&lt;0.5,0.2,0.3),MROUND(_xlfn.XLOOKUP(B164,'Base stats'!B:B,'Base stats'!G:G)/(365/60),0.2)),"Unknown"))</f>
        <v>No</v>
      </c>
      <c r="AU164" s="8" t="str">
        <f t="shared" si="15"/>
        <v>No</v>
      </c>
      <c r="AV164" s="8" t="str">
        <f>IFERROR(IFERROR(MROUND(_xlfn.XLOOKUP(B164,'Base stats'!B:B,'Base stats'!J:J),0.1),"Lay eggs"),"Cannot breed")</f>
        <v>Lay eggs</v>
      </c>
      <c r="AW164" s="2" t="str">
        <f t="shared" si="16"/>
        <v>false</v>
      </c>
      <c r="AX164" s="2" t="str">
        <f>IF(_xlfn.XLOOKUP(_xlfn.XLOOKUP(Animals!B164,'Base stats'!B:B,'Base stats'!E:E),Groups!A:A,Groups!AK:AK)=1,"true","false")</f>
        <v>false</v>
      </c>
      <c r="AY164" s="25" t="str">
        <f>IF(_xlfn.XLOOKUP(B164,'Base stats'!B:B,'Base stats'!Y:Y)="Liquor","Liquor, CarnivoreAnimalStrict",IF(AND(_xlfn.XLOOKUP(B164,'Base stats'!B:B,'Base stats'!Y:Y)="Carnivore",_xlfn.XLOOKUP(_xlfn.XLOOKUP(B164,'Base stats'!B:B,'Base stats'!E:E),Groups!A:A,Groups!AJ:AJ)="Photonozoa"),"CarnivoreAnimalStrict, OvivoreAnimal",IF(_xlfn.XLOOKUP(B164,'Base stats'!B:B,'Base stats'!Y:Y)="Carnivore","CarnivoreAnimal, OvivoreAnimal",IF(_xlfn.XLOOKUP(B164,'Base stats'!B:B,'Base stats'!Y:Y)="Dendrovore","VegetarianRoughAnimal, DendrovoreAnimal",IF(_xlfn.XLOOKUP(B164,'Base stats'!B:B,'Base stats'!Y:Y)="Herbivore","VegetarianRoughAnimal",IF(_xlfn.XLOOKUP(B164,'Base stats'!B:B,'Base stats'!Y:Y)="OmnivoreRough","OmnivoreRoughAnimal, OvivoreAnimal","OmnivoreAnimal, OvivoreAnimal"))))))</f>
        <v>OmnivoreRoughAnimal, OvivoreAnimal</v>
      </c>
      <c r="AZ164" s="2">
        <f>IF(_xlfn.XLOOKUP(_xlfn.XLOOKUP(B164,'Base stats'!B:B,'Base stats'!E:E),Groups!A:A,Groups!D:D)=1,MROUND((1-J164)*5+1,2)*IF(J164&lt;=0.4,2,1),"No")</f>
        <v>2</v>
      </c>
      <c r="BA164" s="2" t="str">
        <f>IF(AND(_xlfn.XLOOKUP(B164,'Base stats'!B:B,'Base stats'!AH:AH)="&lt;li&gt;Seal&lt;/li&gt;",G164="Odyssey"),"&lt;li&gt;AEXP_Seal&lt;/li&gt;",_xlfn.XLOOKUP(B164,'Base stats'!B:B,'Base stats'!AH:AH))</f>
        <v>&lt;li&gt;Chicken&lt;/li&gt;</v>
      </c>
      <c r="BB164" s="2" t="str">
        <f>_xlfn.XLOOKUP(B164,'Base stats'!B:B,'Base stats'!AG:AG)</f>
        <v>Leather_Bird</v>
      </c>
      <c r="BC164" s="23" t="str">
        <f>_xlfn.XLOOKUP(_xlfn.XLOOKUP(B164,'Base stats'!B:B,'Base stats'!E:E),Groups!A:A,Groups!AL:AL)</f>
        <v>Bird</v>
      </c>
      <c r="BD164" s="23">
        <f>MIN(1,MROUND(IF(AND(AO164&lt;0.5,_xlfn.XLOOKUP(B164,'Base stats'!B:B,'Base stats'!AA:AA)=0),0,IF(OR(_xlfn.XLOOKUP(Animals!B164,'Base stats'!B:B,'Base stats'!O:O)=2,_xlfn.XLOOKUP(_xlfn.XLOOKUP(B164,'Base stats'!B:B,'Base stats'!E:E),Groups!A:A,Groups!AN:AN)=0),0,_xlfn.XLOOKUP(_xlfn.XLOOKUP(B164,'Base stats'!B:B,'Base stats'!E:E),Groups!A:A,Groups!AN:AN)/IF(_xlfn.XLOOKUP(Animals!B164,'Base stats'!B:B,'Base stats'!O:O)=1,2,1)))+_xlfn.XLOOKUP(B164,'Base stats'!B:B,'Base stats'!AC:AC),0.005))</f>
        <v>0</v>
      </c>
      <c r="BE164" s="23">
        <f>MIN(1,MROUND(IF(AND(AO164&lt;0.5,_xlfn.XLOOKUP(B164,'Base stats'!B:B,'Base stats'!AA:AA)=0),0,IF(_xlfn.XLOOKUP(_xlfn.XLOOKUP(B164,'Base stats'!B:B,'Base stats'!E:E),Groups!A:A,Groups!AO:AO)=0,0,_xlfn.XLOOKUP(_xlfn.XLOOKUP(B164,'Base stats'!B:B,'Base stats'!E:E),Groups!A:A,Groups!AO:AO)/IF(_xlfn.XLOOKUP(Animals!B164,'Base stats'!B:B,'Base stats'!O:O)=2,3,1)))+_xlfn.XLOOKUP(B164,'Base stats'!B:B,'Base stats'!AD:AD),0.005))</f>
        <v>0</v>
      </c>
      <c r="BF164" s="2" t="str">
        <f>IF(J164&gt;0.3,"No",_xlfn.XLOOKUP(_xlfn.XLOOKUP(Animals!B164,'Base stats'!B:B,'Base stats'!E:E),Groups!A:A,Groups!AP:AP))</f>
        <v>No</v>
      </c>
      <c r="BG164" s="2" t="str">
        <f>IF(AND(J164&lt;=0.65,_xlfn.XLOOKUP(_xlfn.XLOOKUP(Animals!B164,'Base stats'!B:B,'Base stats'!E:E),Groups!A:A,Groups!AP:AP)&lt;&gt;"No",_xlfn.XLOOKUP(_xlfn.XLOOKUP(B164,'Base stats'!B:B,'Base stats'!E:E),Groups!A:A,Groups!D:D)=0),MROUND((80/3)*IF(_xlfn.XLOOKUP(B164,'Base stats'!B:B,'Base stats'!O:O)=2,0.2,AO164) + 24*(1-IF(BF164="No",0,BF164)) + 16/3, 12),"No")</f>
        <v>No</v>
      </c>
      <c r="BH164" s="2">
        <f>IF(AND(_xlfn.XLOOKUP(_xlfn.XLOOKUP(B164,'Base stats'!B:B,'Base stats'!E:E),Groups!A:A,Groups!AQ:AQ)=1,AO164&lt;=0.35),8,12)</f>
        <v>12</v>
      </c>
      <c r="BI164" s="2" t="str">
        <f>IF(_xlfn.XLOOKUP(_xlfn.XLOOKUP(B164,'Base stats'!B:B,'Base stats'!E:E),Groups!A:A,Groups!D:D)=0,_xlfn.XLOOKUP(_xlfn.XLOOKUP(B164,'Base stats'!B:B,'Base stats'!E:E),Groups!A:A,Groups!AR:AR),"None")</f>
        <v>None</v>
      </c>
      <c r="BJ164" s="2" t="str">
        <f>IF(AND(_xlfn.XLOOKUP(_xlfn.XLOOKUP(B164,'Base stats'!B:B,'Base stats'!E:E),Groups!A:A,Groups!AS:AS)=1,OR(_xlfn.XLOOKUP(B164,'Base stats'!B:B,'Base stats'!Y:Y)="Carnivore",_xlfn.XLOOKUP(B164,'Base stats'!B:B,'Base stats'!Y:Y)="Omnivore")),"true","false")</f>
        <v>false</v>
      </c>
      <c r="BK164" s="2" t="str">
        <f>IF(BJ164="true",MROUND(IF(AND(AO164&gt;0.5,OR(_xlfn.XLOOKUP(_xlfn.XLOOKUP(B164,'Base stats'!B:B,'Base stats'!E:E),Groups!A:A,Groups!AJ:AJ)="Photonozoa",_xlfn.XLOOKUP(_xlfn.XLOOKUP(B164,'Base stats'!B:B,'Base stats'!E:E),Groups!A:A,Groups!AJ:AJ)="Mammal")),Animals!AO164*1.75*IF(AW164="true",1.5,1),IF(AO164&lt;0.5,Animals!AO164*0.5,Animals!AO164)),IF(AO164&gt;2,0.5,IF(AO164&gt;0.5,0.25,0.1))),"No")</f>
        <v>No</v>
      </c>
      <c r="BL164" s="2">
        <f t="shared" si="17"/>
        <v>0</v>
      </c>
      <c r="BM164" s="25" t="str">
        <f>IF(_xlfn.XLOOKUP(B164,'Base stats'!B:B,'Base stats'!AN:AN)="Standard","No",MROUND((_xlfn.XLOOKUP(B164,'Base stats'!B:B,'Base stats'!AN:AN)/3.6)/I164,0.1))</f>
        <v>No</v>
      </c>
      <c r="BN164" s="25" t="str">
        <f t="shared" si="18"/>
        <v>false</v>
      </c>
      <c r="BO164" s="25" t="str">
        <f>IF(AND(OR(_xlfn.XLOOKUP(B164,'Base stats'!B:B,'Base stats'!Y:Y)="Carnivore",_xlfn.XLOOKUP(B164,'Base stats'!B:B,'Base stats'!Y:Y)="Omnivore",_xlfn.XLOOKUP(B164,'Base stats'!B:B,'Base stats'!Y:Y)="OmnivoreRough"),_xlfn.XLOOKUP(_xlfn.XLOOKUP(B164,'Base stats'!B:B,'Base stats'!E:E),Groups!A:A,Groups!AT:AT)=1),"true","false")</f>
        <v>false</v>
      </c>
      <c r="BP164" s="25" t="str" cm="1">
        <f t="array" ref="BP164">IF(
  _xlfn.TEXTJOIN(", ",TRUE,
    IF(AND(BJ164="true",AO164&gt;0.5,BI164&lt;&gt;"None"),"AttackTarget",""),
    IF(AND(_xlfn.XLOOKUP(_xlfn.XLOOKUP(B164,'Base stats'!B:B,'Base stats'!E:E),Groups!A:A,Groups!AJ:AJ="Mammal"),OR(_xlfn.XLOOKUP(B164,'Base stats'!B:B,'Base stats'!Y:Y)="Omnivore",_xlfn.XLOOKUP(B164,'Base stats'!B:B,'Base stats'!Y:Y)="OmnivoreRough")),"Forage",""),
    IF(BG164&lt;=36,"Comfort",""),
    IF(_xlfn.XLOOKUP(B164,'Base stats'!B:B,'Base stats'!AE:AE)&lt;&gt;"No",_xlfn.XLOOKUP(B164,'Base stats'!B:B,'Base stats'!AE:AE),"")
  ) = "",
  "No",
  _xlfn.TEXTJOIN(", ",TRUE,
    IF(AND(BJ164="true",AO164&gt;0.5,BI164&lt;&gt;"None"),"AttackTarget",""),
    IF(AND(_xlfn.XLOOKUP(_xlfn.XLOOKUP(B164,'Base stats'!B:B,'Base stats'!E:E),Groups!A:A,Groups!AJ:AJ="Mammal"),OR(_xlfn.XLOOKUP(B164,'Base stats'!B:B,'Base stats'!Y:Y)="Omnivore",_xlfn.XLOOKUP(B164,'Base stats'!B:B,'Base stats'!Y:Y)="OmnivoreRough")),"Forage",""),
    IF(BG164&lt;=36,"Comfort",""),
    IF(_xlfn.XLOOKUP(B164,'Base stats'!B:B,'Base stats'!AE:AE)&lt;&gt;"No",_xlfn.XLOOKUP(B164,'Base stats'!B:B,'Base stats'!AE:AE),"")
  )
)</f>
        <v>No</v>
      </c>
      <c r="BQ164" s="25" t="str">
        <f>IF(
   AND(
      'Base stats'!AN164="Standard",_xlfn.XLOOKUP(_xlfn.XLOOKUP(B164,'Base stats'!B:B,'Base stats'!E:E),Groups!A:A,Groups!AU:AU)=0,
      OR(
      BO164="True"
      )
   ),
   10,
   IF(
       OR(BM164&lt;&gt;"No",_xlfn.XLOOKUP(_xlfn.XLOOKUP(B164,'Base stats'!B:B,'Base stats'!E:E),Groups!A:A,Groups!AU:AU)=1),
      1,
      "No"
   )
)</f>
        <v>No</v>
      </c>
      <c r="BR164" s="9">
        <f>MROUND((1 + ((0.2*IF(OR(Q164="No",R164="No",R164=0),0,Q164/R164)
+IF(OR(V164="No",S164="No",T164="No"),0,S164/T164*(LEN(V164)-LEN(SUBSTITUTE(V164,",",""))+1))
+IF(OR(X164="No",Y164="No"),0,X164/Y164)
+IF(OR(AD164="No",AE164="No"),0,AD164/AE164)
+IF(OR(AL164="No",AI164="No",AJ164="No"),0,AI164/AJ164*(LEN(AL164)-LEN(SUBSTITUTE(AL164,",",""))+1))
)/(0.2*IF(OR(Q164="No",R164="No",R164=0),0,1)
+IF(OR(V164="No",S164="No",T164="No"),0,LEN(V164)-LEN(SUBSTITUTE(V164,",",""))+1)
+IF(OR(X164="No",Y164="No"),0,1)
+IF(OR(AD164="No",AE164="No"),0,1)
+IF(OR(AL164="No",AI164="No",AJ164="No"),0,LEN(AL164)-LEN(SUBSTITUTE(AL164,",",""))+1))*62%)* 2)*(1 + (AP164 / (IF(_xlfn.XLOOKUP(_xlfn.XLOOKUP(B164,'Base stats'!B:B,'Base stats'!E:E),Groups!A:A,Groups!AJ:AJ)="Photonozoa",0.3,1)) + _xlfn.XLOOKUP(B164,'Base stats'!B:B,'Base stats'!AV:AV) * 1.8) * 2) * 2.5 + 10 + I164 * 2,5)+IF(_xlfn.XLOOKUP(B164,'Base stats'!B:B,'Base stats'!AK:AK)=1,50,0)</f>
        <v>35</v>
      </c>
      <c r="BS164" s="8">
        <f t="shared" si="19"/>
        <v>0.35000000000000003</v>
      </c>
      <c r="BT164" s="8" t="str">
        <f>_xlfn.XLOOKUP(B164,'Base stats'!B:B,'Base stats'!AF:AF)</f>
        <v>No</v>
      </c>
      <c r="BU164" s="2" t="str">
        <f>IF(AND(J164&lt;=0.95,OR(_xlfn.XLOOKUP(B164,'Base stats'!B:B,'Base stats'!AK:AK)=1,_xlfn.XLOOKUP(B164,'Base stats'!B:B,'Base stats'!Y:Y)="Carnivore",_xlfn.XLOOKUP(B164,'Base stats'!B:B,'Base stats'!Y:Y)="Omnivore",BE164&gt;0.1)),"true","false")</f>
        <v>false</v>
      </c>
      <c r="BV164" s="2" t="str">
        <f>IF(_xlfn.XLOOKUP(B164,'Base stats'!B:B,'Base stats'!AI:AI)=1,"true","false")</f>
        <v>false</v>
      </c>
      <c r="BW164" s="25" t="str">
        <f>IF(E164="BaseInsect","AnimalInsect",
IF(J164&gt;0.95,"AnimalExotic",
_xlfn.TEXTJOIN(", ",TRUE,
IF(OR(_xlfn.XLOOKUP(B164,'Base stats'!B:B,'Base stats'!AM:AM)=1,AND(_xlfn.XLOOKUP(B164,'Base stats'!B:B,'Base stats'!O:O)=0,_xlfn.XLOOKUP(_xlfn.XLOOKUP(B164,'Base stats'!B:B,'Base stats'!E:E),Groups!A:A,Groups!B:B)&gt;0)),"AnimalUncommon","AnimalCommon"),
IF(AND(_xlfn.XLOOKUP(B164,'Base stats'!B:B,'Base stats'!O:O)=2,_xlfn.XLOOKUP(_xlfn.XLOOKUP(B164,'Base stats'!B:B,'Base stats'!E:E),Groups!A:A,Groups!D:D)=0),"AnimalPet",IF(AND(_xlfn.XLOOKUP(B164,'Base stats'!B:B,'Base stats'!O:O)&lt;&gt;0,_xlfn.XLOOKUP(_xlfn.XLOOKUP(B164,'Base stats'!B:B,'Base stats'!E:E),Groups!A:A,Groups!D:D)&lt;&gt;0),"AnimalFarm","")),
IF(OR(_xlfn.XLOOKUP(B164,'Base stats'!B:B,'Base stats'!AK:AK)=1,AND(BI164&lt;&gt;"None",BR164&gt;=60),ISNUMBER(SEARCH("Attack target",BP164))),"AnimalFighter","")
)))</f>
        <v>AnimalExotic</v>
      </c>
      <c r="BX164" s="25" t="str">
        <f>IF(G164="None",TRIM(
SUBSTITUTE(
IF(COUNTIF(Biomes!B$2:B$259,"="&amp;$C164)&gt;0,Biomes!B$1&amp;", ","")&amp;
IF(COUNTIF(Biomes!C$2:C$259,"="&amp;$C164)&gt;0,Biomes!C$1&amp;", ","")&amp;
IF(COUNTIF(Biomes!D$2:D$259,"="&amp;$C164)&gt;0,Biomes!D$1&amp;", ","")&amp;
IF(COUNTIF(Biomes!F$2:F$259,"="&amp;$C164)&gt;0,Biomes!F$1&amp;", ","")&amp;
IF(COUNTIF(Biomes!G$2:G$259,"="&amp;$C164)&gt;0,Biomes!G$1&amp;", ","")&amp;
IF(COUNTIF(Biomes!H$2:H$259,"="&amp;$C164)&gt;0,Biomes!H$1&amp;", ","")&amp;
IF(COUNTIF(Biomes!I$2:I$259,"="&amp;$C164)&gt;0,Biomes!I$1&amp;", ","")&amp;
IF(COUNTIF(Biomes!J$2:J$259,"="&amp;$C164)&gt;0,Biomes!J$1&amp;", ","")&amp;
IF(COUNTIF(Biomes!M$2:M$259,"="&amp;$C164)&gt;0,Biomes!M$1&amp;", ","")&amp;
IF(COUNTIF(Biomes!N$2:N$259,"="&amp;$C164)&gt;0,Biomes!N$1&amp;", ","")&amp;
IF(COUNTIF(Biomes!O$2:O$259,"="&amp;$C164)&gt;0,Biomes!O$1&amp;", ","")&amp;
IF(COUNTIF(Biomes!P$2:P$259,"="&amp;$C164)&gt;0,Biomes!P$1&amp;", ","")&amp;
IF(COUNTIF(Biomes!K$2:K$259,"="&amp;$C164)&gt;0,Biomes!K$1&amp;", ","")&amp;
IF(COUNTIF(Biomes!Q$3:Q$259,"="&amp;$C164)&gt;0,Biomes!Q$1&amp;", ","")&amp;
IF(COUNTIF(Biomes!L$2:L$259,"="&amp;$C164)&gt;0,Biomes!L$1&amp;", ","")&amp;
IF(COUNTIF(Biomes!E$2:E$259,"="&amp;$C164)&gt;0,Biomes!E$1&amp;", ","")&amp;IF(COUNTIF(Biomes!S$2:S$259,"="&amp;$C164)&gt;0,Biomes!S$1&amp;", ","")&amp;
IF(COUNTIF(Biomes!R$2:R$259,"="&amp;$C164)&gt;0,Biomes!R$1&amp;", ",""),", ","")
),_xlfn.XLOOKUP(B164,B:B,BX:BX))</f>
        <v/>
      </c>
      <c r="BY164" s="25" t="str">
        <f>IF(_xlfn.XLOOKUP(B164,'Base stats'!B:B,'Base stats'!AJ:AJ)=1,"true","false")</f>
        <v>false</v>
      </c>
      <c r="BZ164" s="25">
        <f>IF(_xlfn.XLOOKUP(B164,'Base stats'!B:B,'Base stats'!N:N)=1,"No",MAX(0.001,MIN(MROUND(IF(AND(BJ164="True",CC164="False"),POWER(10,3.47*LOG10(_xlfn.XLOOKUP(B164,'Base stats'!B:B,'Base stats'!C:C)*1000)^-0.96),POWER(10,4.15*LOG10(_xlfn.XLOOKUP(B164,'Base stats'!B:B,'Base stats'!C:C)*1000)^-0.73))*IF(_xlfn.XLOOKUP(B164,'Base stats'!B:B,'Base stats'!AK:AK)=1,0.5,1)*IF(_xlfn.XLOOKUP(B164,'Base stats'!B:B,'Base stats'!AM:AM)=1,0.1,1)/100,IF(_xlfn.XLOOKUP(B164,'Base stats'!B:B,'Base stats'!AM:AM)=1,0.001,0.025)),0.5)))</f>
        <v>0.04</v>
      </c>
      <c r="CA164" s="25" t="str">
        <f>IF(P164="Standard","No",MAX(0.001,MIN(MROUND(IF(AND(BJ164="True",CC164="False"),POWER(10,3.47*LOG10(_xlfn.XLOOKUP(B164,'Base stats'!B:B,'Base stats'!C:C)*1000)^-0.96),POWER(10,4.15*LOG10(_xlfn.XLOOKUP(B164,'Base stats'!B:B,'Base stats'!C:C)*1000)^-0.73))*IF(_xlfn.XLOOKUP(B164,'Base stats'!B:B,'Base stats'!AM:AM)=1,0.1,1)*_xlfn.XLOOKUP(B164,'Base stats'!B:B,'Base stats'!R:R)/100,IF(_xlfn.XLOOKUP(B164,'Base stats'!B:B,'Base stats'!AM:AM)=1,0.001,0.025)),0.5)))</f>
        <v>No</v>
      </c>
      <c r="CB164" s="25" t="str">
        <f>IF(_xlfn.XLOOKUP(_xlfn.XLOOKUP(B164,'Base stats'!B:B,'Base stats'!E:E),Groups!A:A,Groups!AJ:AJ)="Mammal","True","False")</f>
        <v>False</v>
      </c>
      <c r="CC164" s="25" t="str">
        <f>IF(OR(_xlfn.XLOOKUP(_xlfn.XLOOKUP(B164,'Base stats'!B:B,'Base stats'!E:E),Groups!A:A,Groups!AJ:AJ)="Reptile",_xlfn.XLOOKUP(_xlfn.XLOOKUP(B164,'Base stats'!B:B,'Base stats'!E:E),Groups!A:A,Groups!AJ:AJ)="Amphibian",_xlfn.XLOOKUP(_xlfn.XLOOKUP(B164,'Base stats'!B:B,'Base stats'!E:E),Groups!A:A,Groups!AJ:AJ)="Invertebrate"),"True","False")</f>
        <v>False</v>
      </c>
      <c r="CD164" s="25" t="str">
        <f t="shared" si="20"/>
        <v>True</v>
      </c>
      <c r="CE164" s="25" t="str">
        <f>IF(_xlfn.XLOOKUP(_xlfn.XLOOKUP(B164,'Base stats'!B:B,'Base stats'!E:E),Groups!A:A,Groups!AX:AX),"True","False")</f>
        <v>False</v>
      </c>
      <c r="CF164" s="25" t="str">
        <f>IF(_xlfn.XLOOKUP(_xlfn.XLOOKUP(B164,'Base stats'!B:B,'Base stats'!E:E),Groups!A:A,Groups!AY:AY),"True","False")</f>
        <v>False</v>
      </c>
      <c r="CG164" s="25" t="str">
        <f>IF(_xlfn.XLOOKUP(_xlfn.XLOOKUP(B164,'Base stats'!B:B,'Base stats'!E:E),Groups!A:A,Groups!AW:AW),"True","False")</f>
        <v>False</v>
      </c>
      <c r="CH164" s="25" t="str">
        <f>IF(
OR(
_xlfn.XLOOKUP(_xlfn.XLOOKUP(B164,'Base stats'!B:B,'Base stats'!E:E),Groups!A:A,Groups!AZ:AZ)=0,
AND(
_xlfn.XLOOKUP(B164,'Base stats'!B:B,'Base stats'!Y:Y)&lt;&gt;"Carnivore",
_xlfn.XLOOKUP(B164,'Base stats'!B:B,'Base stats'!Y:Y)&lt;&gt;"Omnivore",
_xlfn.XLOOKUP(B164,'Base stats'!B:B,'Base stats'!Y:Y)&lt;&gt;"OmnivoreRough"
)
),
"No",
IF(
_xlfn.XLOOKUP(_xlfn.XLOOKUP(B164,'Base stats'!B:B,'Base stats'!E:E),Groups!A:A,Groups!AZ:AZ)=1,
"Flesh",
IF(
_xlfn.XLOOKUP(_xlfn.XLOOKUP(B164,'Base stats'!B:B,'Base stats'!E:E),Groups!A:A,Groups!AZ:AZ)=2,
"Bone",
""
)
)
)</f>
        <v>No</v>
      </c>
      <c r="CI164" s="25" t="str">
        <f>IF(_xlfn.XLOOKUP(_xlfn.XLOOKUP(B164,'Base stats'!B:B,'Base stats'!E:E),Groups!A:A,Groups!BB:BB),"True","False")</f>
        <v>True</v>
      </c>
      <c r="CJ164" s="25" t="str">
        <f>IF(_xlfn.XLOOKUP(_xlfn.XLOOKUP(B164,'Base stats'!B:B,'Base stats'!E:E),Groups!A:A,Groups!BA:BA),"True","False")</f>
        <v>False</v>
      </c>
    </row>
    <row r="165" spans="1:88" s="16" customFormat="1" ht="16.5" thickTop="1" thickBot="1" x14ac:dyDescent="0.3">
      <c r="A165" s="26" t="str">
        <f>_xlfn.XLOOKUP(B165,'Base stats'!B:B,'Base stats'!A:A)</f>
        <v>Crane</v>
      </c>
      <c r="B165" s="6" t="s">
        <v>1123</v>
      </c>
      <c r="C165" s="28" t="s">
        <v>1122</v>
      </c>
      <c r="D165" s="28" t="s">
        <v>1113</v>
      </c>
      <c r="E165" s="28" t="s">
        <v>673</v>
      </c>
      <c r="F165" s="28" t="s">
        <v>673</v>
      </c>
      <c r="G165" s="28" t="s">
        <v>673</v>
      </c>
      <c r="H165" s="2">
        <f>MROUND((
  (IF(AND(_xlfn.XLOOKUP(B165,'Base stats'!B:B,'Base stats'!AL:AL)=0,BI165="None",_xlfn.XLOOKUP(_xlfn.XLOOKUP(B165,'Base stats'!B:B,'Base stats'!E:E),Groups!A:A,Groups!B:B)=0), (18 + BR165 * 2.7) * 0.5,
    IF(AND(_xlfn.XLOOKUP(B165,'Base stats'!B:B,'Base stats'!AL:AL)=0,OR(AO165&lt;0.55,AND(BI165="Intermediate",_xlfn.XLOOKUP(_xlfn.XLOOKUP(B165,'Base stats'!B:B,'Base stats'!E:E),Groups!A:A,Groups!B:B)&lt;2))), (18 + BR165 * 2.7),
      IF(OR(BI165="Advanced",_xlfn.XLOOKUP(B165,'Base stats'!B:B,'Base stats'!AL:AL)=1,_xlfn.XLOOKUP(_xlfn.XLOOKUP(B165,'Base stats'!B:B,'Base stats'!E:E),Groups!A:A,Groups!B:B)=2), (18 + BR165 * 2.7) + 250, (18 + BR165 * 2.7))
    )
  ))
  + AO165 * 80
  + IF(COUNTIF(EggMilk!K$2:K$998, A165) &gt; 0, 125, 0)
  + IF(COUNTIF(EggMilk!P$2:P$998, A165) &gt; 0, 90, 0)
  + IF(COUNTIF(EggMilk!A$2:A$998, A165) &gt; 0, 90, 0)
)
* (0.8 + 0.4 * J165)
* 0.75,25)</f>
        <v>175</v>
      </c>
      <c r="I165" s="2">
        <f>MROUND(ROUNDDOWN(_xlfn.XLOOKUP(B165,'Base stats'!B:B,'Base stats'!L:L)/3.6/(23.3/11),1),0.5)</f>
        <v>1.5</v>
      </c>
      <c r="J165" s="2">
        <f>IF(OR(_xlfn.XLOOKUP(B165,'Base stats'!B:B,'Base stats'!AB:AB)=1,_xlfn.XLOOKUP(_xlfn.XLOOKUP(B165,'Base stats'!B:B,'Base stats'!E:E),Groups!A:A,Groups!C:C)="Untamable"),1,IF(_xlfn.XLOOKUP(B165,'Base stats'!B:B,'Base stats'!AL:AL)=1,0.99,MIN(MROUND((1-0.6282*EXP(-0.459*AO165))*_xlfn.XLOOKUP(_xlfn.XLOOKUP(B165,'Base stats'!B:B,'Base stats'!E:E),Groups!A:A,Groups!C:C)*IF(_xlfn.XLOOKUP(B165,'Base stats'!B:B,'Base stats'!O:O)=1,0.5,IF(_xlfn.XLOOKUP(B165,'Base stats'!B:B,'Base stats'!O:O)=2,0,1)),0.05),IF(AO165&gt;3.5,0.985,0.95))))</f>
        <v>0.60000000000000009</v>
      </c>
      <c r="K165" s="2">
        <f>ROUNDUP(AO165*_xlfn.XLOOKUP(_xlfn.XLOOKUP(B165,'Base stats'!B:B,'Base stats'!E:E),Groups!A:A,Groups!E:E),0)</f>
        <v>5</v>
      </c>
      <c r="L165" s="2">
        <f>IF(OR(_xlfn.XLOOKUP(_xlfn.XLOOKUP(B165,'Base stats'!B:B,'Base stats'!E:E),Groups!A:A,Groups!F:F)=2,ISNUMBER(SEARCH("SeaIce",BX165)),ISNUMBER(SEARCH("IceSheet",BX165))),-50,IF(OR(ISNUMBER(SEARCH("GlacialPlain",BX165)),ISNUMBER(SEARCH("Tundra",BX165))),-40,IF(OR(ISNUMBER(SEARCH("Alpine",BX165)),ISNUMBER(SEARCH("BorealForest",BX165)),ISNUMBER(SEARCH("ColdBog",BX165))),-30,IF(OR(ISNUMBER(SEARCH("TemperateForest",BX165)),ISNUMBER(SEARCH("TemperateSwamp",BX165))),-20,IF(_xlfn.XLOOKUP(_xlfn.XLOOKUP(B165,'Base stats'!B:B,'Base stats'!E:E),Groups!A:A,Groups!F:F)=1,-15,IF(OR(ISNUMBER(SEARCH("Desert",BX165)),ISNUMBER(SEARCH("ExtremeDesert",BX165))),-10,IF(OR(ISNUMBER(SEARCH("Grasslands",BX165)),ISNUMBER(SEARCH("TropicalRainforest",BX165)),ISNUMBER(SEARCH("TropicalSwamp",BX165))),10,0)))))))-IF(CC165="False",MIN(IFERROR(MAX(MROUND(LOG10(_xlfn.XLOOKUP(B165,'Base stats'!B:B,'Base stats'!C:C)^(2/3))*10,5),5),5),30))-_xlfn.XLOOKUP(B165,'Base stats'!B:B,'Base stats'!P:P)+IF(CC165="True",5,0)</f>
        <v>-5</v>
      </c>
      <c r="M165" s="2">
        <f>IF(OR(_xlfn.XLOOKUP(_xlfn.XLOOKUP(B165,'Base stats'!B:B,'Base stats'!E:E),Groups!A:A,Groups!G:G)=2,ISNUMBER(SEARCH("Desert",BX165)),ISNUMBER(SEARCH("ExtremeDesert",BX165)),ISNUMBER(SEARCH("LavaField",BX165))),50,IF(ISNUMBER(SEARCH("Grasslands",BX165)),45,IF(OR(_xlfn.XLOOKUP(_xlfn.XLOOKUP(B165,'Base stats'!B:B,'Base stats'!E:E),Groups!A:A,Groups!G:G)=1,ISNUMBER(SEARCH("TropicalRainforest",BX165)),ISNUMBER(SEARCH("TropicalSwamp",BX165))),40,IF(OR(ISNUMBER(SEARCH("TemperateForest",BX165)),ISNUMBER(SEARCH("TemperateSwamp",BX165))),35,IF(OR(ISNUMBER(SEARCH("Alpine",BX165)),ISNUMBER(SEARCH("BorealForest",BX165)),ISNUMBER(SEARCH("ColdBog",BX165))),30,IF(ISNUMBER(OR(ISNUMBER(SEARCH("GlacialPlain",BX165)),SEARCH("Tundra",BX165))),25,IF(OR(ISNUMBER(SEARCH("SeaIce",BX165)),ISNUMBER(SEARCH("IceSheet",BX165)),ISNUMBER(SEARCH("TropicalSwamp",BX165))),10,35)))))))+_xlfn.XLOOKUP(B165,'Base stats'!B:B,'Base stats'!Q:Q)</f>
        <v>35</v>
      </c>
      <c r="N165" s="8" t="str">
        <f>IF(
_xlfn.XLOOKUP(
_xlfn.XLOOKUP(B165,'Base stats'!B:B,'Base stats'!E:E),
Groups!A:A,
Groups!L:L
)=1,
MIN(
MROUND(
IF(
_xlfn.XLOOKUP(B165,'Animals CE'!B:B,'Animals CE'!Z:Z)&lt;=1.5,
_xlfn.XLOOKUP(B165,'Animals CE'!B:B,'Animals CE'!Z:Z)/2+0.05,
0.8+
(_xlfn.XLOOKUP(B165,'Animals CE'!B:B,'Animals CE'!Z:Z)-1.5)
*0.02
),
0.05
),
200%
),
"No"
)</f>
        <v>No</v>
      </c>
      <c r="O165" s="8" t="str">
        <f>IF(
_xlfn.XLOOKUP(
_xlfn.XLOOKUP(B165,'Base stats'!B:B,'Base stats'!E:E),
Groups!A:A,
Groups!L:L
)=1,
MIN(
MROUND(
IF(
_xlfn.XLOOKUP(B165,'Animals CE'!B:B,'Animals CE'!AA:AA)&lt;=1.5,
_xlfn.XLOOKUP(B165,'Animals CE'!B:B,'Animals CE'!AA:AA)/2+0.05,
0.8+
(_xlfn.XLOOKUP(B165,'Animals CE'!B:B,'Animals CE'!AA:AA)-1.5)
*0.02
),
0.05
),
200%
),
"No"
)</f>
        <v>No</v>
      </c>
      <c r="P165" s="2" t="str">
        <f>_xlfn.XLOOKUP(B165,'Base stats'!B:B,'Base stats'!R:R)</f>
        <v>Standard</v>
      </c>
      <c r="Q165" s="13">
        <f>MROUND((LOG10(_xlfn.XLOOKUP(B165,'Base stats'!B:B,'Base stats'!AR:AR))*(AO165^0.5)+(_xlfn.XLOOKUP(B165,'Base stats'!B:B,'Base stats'!AR:AR)/1000)^(2/3)+_xlfn.XLOOKUP(B165,'Base stats'!B:B,'Base stats'!BA:BA)/2)+0.5,0.5)</f>
        <v>3.5</v>
      </c>
      <c r="R165" s="7">
        <f>IF(Q165="No","No",MAX(1,MROUND(_xlfn.XLOOKUP(B165,'Base stats'!B:B,'Base stats'!C:C)^0.165,0.05)))</f>
        <v>1.4000000000000001</v>
      </c>
      <c r="S165" s="13" t="str">
        <f>IF(_xlfn.XLOOKUP(_xlfn.XLOOKUP(B165,'Base stats'!B:B,'Base stats'!E:E),Groups!A:A,Groups!P:P)=0,"No",MROUND((LOG10(_xlfn.XLOOKUP(B165,'Base stats'!B:B,'Base stats'!AS:AS))*(AO165^0.5)+(_xlfn.XLOOKUP(B165,'Base stats'!B:B,'Base stats'!AS:AS)/1000)^(2/3)+_xlfn.XLOOKUP(B165,'Base stats'!B:B,'Base stats'!BA:BA))+_xlfn.XLOOKUP(B165,'Base stats'!B:B,'Base stats'!AY:AY)+0.5,0.5))</f>
        <v>No</v>
      </c>
      <c r="T165" s="7" t="str">
        <f>IF(S165="No","No",MAX(_xlfn.XLOOKUP(_xlfn.XLOOKUP(B165,'Base stats'!B:B,'Base stats'!E:E),Groups!A:A,Groups!Q:Q),MROUND(_xlfn.XLOOKUP(_xlfn.XLOOKUP(B165,'Base stats'!B:B,'Base stats'!E:E),Groups!A:A,Groups!Q:Q)*_xlfn.XLOOKUP(B165,'Base stats'!B:B,'Base stats'!C:C)^0.165,0.05)))</f>
        <v>No</v>
      </c>
      <c r="U165" s="7" t="str">
        <f>IF(S165="No","No",_xlfn.XLOOKUP(_xlfn.XLOOKUP(B165,'Base stats'!B:B,'Base stats'!E:E),Groups!A:A,Groups!R:R))</f>
        <v>No</v>
      </c>
      <c r="V165" s="7" t="str">
        <f>IF(S165="No","No",_xlfn.XLOOKUP(_xlfn.XLOOKUP(B165,'Base stats'!B:B,'Base stats'!E:E),Groups!A:A,Groups!S:S))</f>
        <v>No</v>
      </c>
      <c r="W165" s="7" t="str">
        <f>IF(S165="No","No",_xlfn.XLOOKUP(_xlfn.XLOOKUP(B165,'Base stats'!B:B,'Base stats'!E:E),Groups!A:A,Groups!T:T))</f>
        <v>No</v>
      </c>
      <c r="X165" s="13" t="str">
        <f>IF(_xlfn.XLOOKUP(B165,'Base stats'!B:B,'Base stats'!W:W)="No","No",MROUND((LOG10(_xlfn.XLOOKUP(B165,'Base stats'!B:B,'Base stats'!AU:AU))*(AO165^0.5)+(_xlfn.XLOOKUP(B165,'Base stats'!B:B,'Base stats'!AU:AU)/1000)^(2/3)+_xlfn.XLOOKUP(B165,'Base stats'!B:B,'Base stats'!AZ:AZ))+0.5+IF(_xlfn.XLOOKUP(_xlfn.XLOOKUP(B165,'Base stats'!B:B,'Base stats'!E:E),Groups!A:A,Groups!U:U)&lt;&gt;3,_xlfn.XLOOKUP(B165,'Base stats'!B:B,'Base stats'!BA:BA),0),0.5))</f>
        <v>No</v>
      </c>
      <c r="Y165" s="7" t="str">
        <f>IF(X165="No","No",MAX(_xlfn.XLOOKUP(_xlfn.XLOOKUP(B165,'Base stats'!B:B,'Base stats'!E:E),Groups!A:A,Groups!V:V),MROUND(_xlfn.XLOOKUP(_xlfn.XLOOKUP(B165,'Base stats'!B:B,'Base stats'!E:E),Groups!A:A,Groups!V:V)*_xlfn.XLOOKUP(B165,'Base stats'!B:B,'Base stats'!C:C)^0.165,0.05)))</f>
        <v>No</v>
      </c>
      <c r="Z165" s="7" t="str">
        <f>IF(X165="No","No",_xlfn.XLOOKUP(_xlfn.XLOOKUP(B165,'Base stats'!B:B,'Base stats'!E:E),Groups!A:A,Groups!W:W))</f>
        <v>No</v>
      </c>
      <c r="AA165" s="7" t="str">
        <f>IF(X165="No","No",_xlfn.XLOOKUP(_xlfn.XLOOKUP(B165,'Base stats'!B:B,'Base stats'!E:E),Groups!A:A,Groups!X:X))</f>
        <v>No</v>
      </c>
      <c r="AB165" s="7" t="str">
        <f>IF(X165="No","No",_xlfn.XLOOKUP(_xlfn.XLOOKUP(B165,'Base stats'!B:B,'Base stats'!E:E),Groups!A:A,Groups!Y:Y))</f>
        <v>No</v>
      </c>
      <c r="AC165" s="7" t="str">
        <f>_xlfn.XLOOKUP(Animals!B165,'Base stats'!B:B,'Base stats'!X:X)</f>
        <v>False</v>
      </c>
      <c r="AD165" s="13">
        <f>IF(_xlfn.XLOOKUP(B165,'Base stats'!B:B,'Base stats'!AT:AT)="No","No",MROUND((LOG10(_xlfn.XLOOKUP(B165,'Base stats'!B:B,'Base stats'!AT:AT))*(AO165^0.75)+(_xlfn.XLOOKUP(B165,'Base stats'!B:B,'Base stats'!AT:AT)/1000)^(2/3)+_xlfn.XLOOKUP(B165,'Base stats'!B:B,'Base stats'!AX:AX)+_xlfn.XLOOKUP(B165,'Base stats'!B:B,'Base stats'!BA:BA))+0.5,0.5))</f>
        <v>3.5</v>
      </c>
      <c r="AE165" s="7">
        <f>IF(AD165="No","No",MAX(_xlfn.XLOOKUP(_xlfn.XLOOKUP(B165,'Base stats'!B:B,'Base stats'!E:E),Groups!A:A,Groups!Z:Z),MROUND(_xlfn.XLOOKUP(_xlfn.XLOOKUP(B165,'Base stats'!B:B,'Base stats'!E:E),Groups!A:A,Groups!Z:Z)*_xlfn.XLOOKUP(B165,'Base stats'!B:B,'Base stats'!C:C)^0.165,0.05)))</f>
        <v>1.1500000000000001</v>
      </c>
      <c r="AF165" s="7" t="str">
        <f>IF(AD165="No","No",_xlfn.XLOOKUP(_xlfn.XLOOKUP(B165,'Base stats'!B:B,'Base stats'!E:E),Groups!A:A,Groups!AA:AA))</f>
        <v>Beak</v>
      </c>
      <c r="AG165" s="7" t="str">
        <f>IF(AD165="No","No",_xlfn.XLOOKUP(_xlfn.XLOOKUP(B165,'Base stats'!B:B,'Base stats'!E:E),Groups!A:A,Groups!AB:AB))</f>
        <v>beak</v>
      </c>
      <c r="AH165" s="7" t="str">
        <f>IF(AD165="No","No",_xlfn.XLOOKUP(_xlfn.XLOOKUP(B165,'Base stats'!B:B,'Base stats'!E:E),Groups!A:A,Groups!AC:AC))</f>
        <v>Blunt</v>
      </c>
      <c r="AI165" s="13" t="str">
        <f>IF(_xlfn.XLOOKUP(_xlfn.XLOOKUP(B165,'Base stats'!B:B,'Base stats'!E:E),Groups!A:A,Groups!AD:AD)=0,"No",MROUND((LOG10(_xlfn.XLOOKUP(B165,'Base stats'!B:B,'Base stats'!AS:AS))*(AO165^0.75)+(_xlfn.XLOOKUP(B165,'Base stats'!B:B,'Base stats'!AS:AS)/1000)^(2/3)+_xlfn.XLOOKUP(B165,'Base stats'!B:B,'Base stats'!AY:AY)+_xlfn.XLOOKUP(B165,'Base stats'!B:B,'Base stats'!BA:BA))+0.5,0.5))</f>
        <v>No</v>
      </c>
      <c r="AJ165" s="7" t="str">
        <f>IF(AI165="No","No",MAX(_xlfn.XLOOKUP(_xlfn.XLOOKUP(B165,'Base stats'!B:B,'Base stats'!E:E),Groups!A:A,Groups!AE:AE),MROUND(_xlfn.XLOOKUP(_xlfn.XLOOKUP(B165,'Base stats'!B:B,'Base stats'!E:E),Groups!A:A,Groups!AE:AE)*IF(_xlfn.XLOOKUP(_xlfn.XLOOKUP(B165,'Base stats'!B:B,'Base stats'!E:E),Groups!A:A,Groups!AJ:AJ)="Photonozoa",0.6,1)*_xlfn.XLOOKUP(B165,'Base stats'!B:B,'Base stats'!C:C)^0.165,0.05)))</f>
        <v>No</v>
      </c>
      <c r="AK165" s="7" t="str">
        <f>IF(AI165="No","No",_xlfn.XLOOKUP(_xlfn.XLOOKUP(B165,'Base stats'!B:B,'Base stats'!E:E),Groups!A:A,Groups!AF:AF))</f>
        <v>No</v>
      </c>
      <c r="AL165" s="7" t="str">
        <f>IF(AI165="No","No",_xlfn.XLOOKUP(_xlfn.XLOOKUP(B165,'Base stats'!B:B,'Base stats'!E:E),Groups!A:A,Groups!AG:AG))</f>
        <v>No</v>
      </c>
      <c r="AM165" s="7" t="str">
        <f>IF(AI165="No","No",_xlfn.XLOOKUP(_xlfn.XLOOKUP(B165,'Base stats'!B:B,'Base stats'!E:E),Groups!A:A,Groups!AH:AH))</f>
        <v>No</v>
      </c>
      <c r="AN165" s="2" t="str">
        <f t="shared" si="14"/>
        <v>No</v>
      </c>
      <c r="AO165" s="2">
        <f>MROUND(IF(AND(_xlfn.XLOOKUP(B165,'Base stats'!B:B,'Base stats'!C:C)&gt;=0.5,_xlfn.XLOOKUP(B165,'Base stats'!B:B,'Base stats'!C:C)&lt;=0.8),
IF(_xlfn.XLOOKUP(B165,'Base stats'!B:B,'Base stats'!C:C)&lt;0.1,0.05,IF(_xlfn.XLOOKUP(B165,'Base stats'!B:B,'Base stats'!C:C)&lt;=70,(_xlfn.XLOOKUP(B165,'Base stats'!B:B,'Base stats'!C:C)/70)^0.426489913056526,IF(_xlfn.XLOOKUP(B165,'Base stats'!B:B,'Base stats'!C:C)&lt;=400,(_xlfn.XLOOKUP(B165,'Base stats'!B:B,'Base stats'!C:C)/70)^0.572811455315093,IF(_xlfn.XLOOKUP(B165,'Base stats'!B:B,'Base stats'!C:C)&lt;=2000,2.71391647193063*(_xlfn.XLOOKUP(B165,'Base stats'!B:B,'Base stats'!C:C)/400)^0.252459582904293,3.74314280240376*(_xlfn.XLOOKUP(B165,'Base stats'!B:B,'Base stats'!C:C)/2000)^0.357012633876913)))),
IF(_xlfn.XLOOKUP(B165,'Base stats'!B:B,'Base stats'!C:C)&lt;0.1,0.05,IF(_xlfn.XLOOKUP(B165,'Base stats'!B:B,'Base stats'!C:C)&lt;0.4,0.1,IF(_xlfn.XLOOKUP(B165,'Base stats'!B:B,'Base stats'!C:C)&lt;=70,(_xlfn.XLOOKUP(B165,'Base stats'!B:B,'Base stats'!C:C)/70)^0.445823913056526,IF(_xlfn.XLOOKUP(B165,'Base stats'!B:B,'Base stats'!C:C)&lt;=400,(_xlfn.XLOOKUP(B165,'Base stats'!B:B,'Base stats'!C:C)/70)^0.572811455315093,IF(_xlfn.XLOOKUP(B165,'Base stats'!B:B,'Base stats'!C:C)&lt;=2000,2.71391647193063*(_xlfn.XLOOKUP(B165,'Base stats'!B:B,'Base stats'!C:C)/400)^0.252459582904293,3.74314280240376*(_xlfn.XLOOKUP(B165,'Base stats'!B:B,'Base stats'!C:C)/2000)^0.357012633876913)))))),
IF(_xlfn.XLOOKUP(B165,'Base stats'!B:B,'Base stats'!C:C)&lt;0.1,0.05,IF(_xlfn.XLOOKUP(B165,'Base stats'!B:B,'Base stats'!C:C)&lt;=100,0.05,IF(_xlfn.XLOOKUP(B165,'Base stats'!B:B,'Base stats'!C:C)&lt;=250,0.1,IF(_xlfn.XLOOKUP(B165,'Base stats'!B:B,'Base stats'!C:C)&lt;=4000,0.25,0.5)))))</f>
        <v>0.4</v>
      </c>
      <c r="AP165" s="8">
        <f>MROUND(AO165*_xlfn.XLOOKUP(_xlfn.XLOOKUP(B165,'Base stats'!B:B,'Base stats'!E:E),Groups!A:A,Groups!AI:AI)*_xlfn.XLOOKUP(B165,'Base stats'!B:B,'Base stats'!Z:Z),0.05)</f>
        <v>0.4</v>
      </c>
      <c r="AQ165" s="8">
        <f>MAX(0.01,MROUND(IF(CC165="True",0.196*(AO165*100*1000)^0.889,IF(_xlfn.XLOOKUP(_xlfn.XLOOKUP(B165,'Base stats'!B:B,'Base stats'!E:E),Groups!A:A,Groups!AJ:AJ)="Bird",10.5*(AO165*100*1000)^0.681,4.82*(AO165*100*1000)^0.734))/(4.82*(1*100*1000)^0.734)/IF(AO165&lt;3.5,2,IF(AO165=3.5,1.5,1.25))*(1+0.132282374779864/(AO165^0.994035016789033+0.00905238001496948)),0.05))</f>
        <v>0.4</v>
      </c>
      <c r="AR165" s="9">
        <f>IFERROR(MROUND(_xlfn.XLOOKUP(B165,'Base stats'!B:B,'Base stats'!H:H)/IF(_xlfn.XLOOKUP(B165,'Base stats'!B:B,'Base stats'!I:I)&lt;&gt;1,(122.5/70),1.2),IF(_xlfn.XLOOKUP(B165,'Base stats'!B:B,'Base stats'!H:H)&gt;=30,5,IF(_xlfn.XLOOKUP(B165,'Base stats'!B:B,'Base stats'!H:H)&gt;=15,3,IF(_xlfn.XLOOKUP(B165,'Base stats'!B:B,'Base stats'!H:H)&gt;=10,2,1)))),"Immortal")</f>
        <v>21</v>
      </c>
      <c r="AS165" s="35" t="str">
        <f>IFERROR(IF(OR(_xlfn.XLOOKUP(B165,'Base stats'!B:B,'Base stats'!F:F)="Atypical reproduction",_xlfn.XLOOKUP(B165,'Base stats'!B:B,'Base stats'!F:F)="Lay eggs"),"Lay eggs",MIN(20,MAX(5.5,ROUND(((_xlfn.XLOOKUP(B165,'Base stats'!B:B,'Base stats'!F:F)-25)*(14.5/615) + 5.5)*2,0)/2))),"Unknown")</f>
        <v>Lay eggs</v>
      </c>
      <c r="AT165" s="8">
        <f>IF(_xlfn.XLOOKUP(B165,'Base stats'!B:B,'Base stats'!G:G)="Atypical reproduction","No",IFERROR(MAX(IF(_xlfn.XLOOKUP(B165,'Base stats'!B:B,'Base stats'!G:G)&lt;0.5,0.2,0.3),MROUND(_xlfn.XLOOKUP(B165,'Base stats'!B:B,'Base stats'!G:G)/(365/60),0.2)),"Unknown"))</f>
        <v>0.4</v>
      </c>
      <c r="AU165" s="8">
        <f t="shared" si="15"/>
        <v>0.2</v>
      </c>
      <c r="AV165" s="8" t="str">
        <f>IFERROR(IFERROR(MROUND(_xlfn.XLOOKUP(B165,'Base stats'!B:B,'Base stats'!J:J),0.1),"Lay eggs"),"Cannot breed")</f>
        <v>Lay eggs</v>
      </c>
      <c r="AW165" s="2" t="str">
        <f t="shared" si="16"/>
        <v>false</v>
      </c>
      <c r="AX165" s="2" t="str">
        <f>IF(_xlfn.XLOOKUP(_xlfn.XLOOKUP(Animals!B165,'Base stats'!B:B,'Base stats'!E:E),Groups!A:A,Groups!AK:AK)=1,"true","false")</f>
        <v>false</v>
      </c>
      <c r="AY165" s="25" t="str">
        <f>IF(_xlfn.XLOOKUP(B165,'Base stats'!B:B,'Base stats'!Y:Y)="Liquor","Liquor, CarnivoreAnimalStrict",IF(AND(_xlfn.XLOOKUP(B165,'Base stats'!B:B,'Base stats'!Y:Y)="Carnivore",_xlfn.XLOOKUP(_xlfn.XLOOKUP(B165,'Base stats'!B:B,'Base stats'!E:E),Groups!A:A,Groups!AJ:AJ)="Photonozoa"),"CarnivoreAnimalStrict, OvivoreAnimal",IF(_xlfn.XLOOKUP(B165,'Base stats'!B:B,'Base stats'!Y:Y)="Carnivore","CarnivoreAnimal, OvivoreAnimal",IF(_xlfn.XLOOKUP(B165,'Base stats'!B:B,'Base stats'!Y:Y)="Dendrovore","VegetarianRoughAnimal, DendrovoreAnimal",IF(_xlfn.XLOOKUP(B165,'Base stats'!B:B,'Base stats'!Y:Y)="Herbivore","VegetarianRoughAnimal",IF(_xlfn.XLOOKUP(B165,'Base stats'!B:B,'Base stats'!Y:Y)="OmnivoreRough","OmnivoreRoughAnimal, OvivoreAnimal","OmnivoreAnimal, OvivoreAnimal"))))))</f>
        <v>CarnivoreAnimal, OvivoreAnimal</v>
      </c>
      <c r="AZ165" s="2">
        <f>IF(_xlfn.XLOOKUP(_xlfn.XLOOKUP(B165,'Base stats'!B:B,'Base stats'!E:E),Groups!A:A,Groups!D:D)=1,MROUND((1-J165)*5+1,2)*IF(J165&lt;=0.4,2,1),"No")</f>
        <v>4</v>
      </c>
      <c r="BA165" s="2" t="str">
        <f>IF(AND(_xlfn.XLOOKUP(B165,'Base stats'!B:B,'Base stats'!AH:AH)="&lt;li&gt;Seal&lt;/li&gt;",G165="Odyssey"),"&lt;li&gt;AEXP_Seal&lt;/li&gt;",_xlfn.XLOOKUP(B165,'Base stats'!B:B,'Base stats'!AH:AH))</f>
        <v>&lt;li&gt;Cassowary&lt;/li&gt;</v>
      </c>
      <c r="BB165" s="2" t="str">
        <f>_xlfn.XLOOKUP(B165,'Base stats'!B:B,'Base stats'!AG:AG)</f>
        <v>No</v>
      </c>
      <c r="BC165" s="23" t="str">
        <f>_xlfn.XLOOKUP(_xlfn.XLOOKUP(B165,'Base stats'!B:B,'Base stats'!E:E),Groups!A:A,Groups!AL:AL)</f>
        <v>Bird</v>
      </c>
      <c r="BD165" s="23">
        <f>MIN(1,MROUND(IF(AND(AO165&lt;0.5,_xlfn.XLOOKUP(B165,'Base stats'!B:B,'Base stats'!AA:AA)=0),0,IF(OR(_xlfn.XLOOKUP(Animals!B165,'Base stats'!B:B,'Base stats'!O:O)=2,_xlfn.XLOOKUP(_xlfn.XLOOKUP(B165,'Base stats'!B:B,'Base stats'!E:E),Groups!A:A,Groups!AN:AN)=0),0,_xlfn.XLOOKUP(_xlfn.XLOOKUP(B165,'Base stats'!B:B,'Base stats'!E:E),Groups!A:A,Groups!AN:AN)/IF(_xlfn.XLOOKUP(Animals!B165,'Base stats'!B:B,'Base stats'!O:O)=1,2,1)))+_xlfn.XLOOKUP(B165,'Base stats'!B:B,'Base stats'!AC:AC),0.005))</f>
        <v>0</v>
      </c>
      <c r="BE165" s="23">
        <f>MIN(1,MROUND(IF(AND(AO165&lt;0.5,_xlfn.XLOOKUP(B165,'Base stats'!B:B,'Base stats'!AA:AA)=0),0,IF(_xlfn.XLOOKUP(_xlfn.XLOOKUP(B165,'Base stats'!B:B,'Base stats'!E:E),Groups!A:A,Groups!AO:AO)=0,0,_xlfn.XLOOKUP(_xlfn.XLOOKUP(B165,'Base stats'!B:B,'Base stats'!E:E),Groups!A:A,Groups!AO:AO)/IF(_xlfn.XLOOKUP(Animals!B165,'Base stats'!B:B,'Base stats'!O:O)=2,3,1)))+_xlfn.XLOOKUP(B165,'Base stats'!B:B,'Base stats'!AD:AD),0.005))</f>
        <v>0</v>
      </c>
      <c r="BF165" s="2" t="str">
        <f>IF(J165&gt;0.3,"No",_xlfn.XLOOKUP(_xlfn.XLOOKUP(Animals!B165,'Base stats'!B:B,'Base stats'!E:E),Groups!A:A,Groups!AP:AP))</f>
        <v>No</v>
      </c>
      <c r="BG165" s="2" t="str">
        <f>IF(AND(J165&lt;=0.65,_xlfn.XLOOKUP(_xlfn.XLOOKUP(Animals!B165,'Base stats'!B:B,'Base stats'!E:E),Groups!A:A,Groups!AP:AP)&lt;&gt;"No",_xlfn.XLOOKUP(_xlfn.XLOOKUP(B165,'Base stats'!B:B,'Base stats'!E:E),Groups!A:A,Groups!D:D)=0),MROUND((80/3)*IF(_xlfn.XLOOKUP(B165,'Base stats'!B:B,'Base stats'!O:O)=2,0.2,AO165) + 24*(1-IF(BF165="No",0,BF165)) + 16/3, 12),"No")</f>
        <v>No</v>
      </c>
      <c r="BH165" s="2">
        <f>IF(AND(_xlfn.XLOOKUP(_xlfn.XLOOKUP(B165,'Base stats'!B:B,'Base stats'!E:E),Groups!A:A,Groups!AQ:AQ)=1,AO165&lt;=0.35),8,12)</f>
        <v>12</v>
      </c>
      <c r="BI165" s="2" t="str">
        <f>IF(_xlfn.XLOOKUP(_xlfn.XLOOKUP(B165,'Base stats'!B:B,'Base stats'!E:E),Groups!A:A,Groups!D:D)=0,_xlfn.XLOOKUP(_xlfn.XLOOKUP(B165,'Base stats'!B:B,'Base stats'!E:E),Groups!A:A,Groups!AR:AR),"None")</f>
        <v>None</v>
      </c>
      <c r="BJ165" s="2" t="str">
        <f>IF(AND(_xlfn.XLOOKUP(_xlfn.XLOOKUP(B165,'Base stats'!B:B,'Base stats'!E:E),Groups!A:A,Groups!AS:AS)=1,OR(_xlfn.XLOOKUP(B165,'Base stats'!B:B,'Base stats'!Y:Y)="Carnivore",_xlfn.XLOOKUP(B165,'Base stats'!B:B,'Base stats'!Y:Y)="Omnivore")),"true","false")</f>
        <v>false</v>
      </c>
      <c r="BK165" s="2" t="str">
        <f>IF(BJ165="true",MROUND(IF(AND(AO165&gt;0.5,OR(_xlfn.XLOOKUP(_xlfn.XLOOKUP(B165,'Base stats'!B:B,'Base stats'!E:E),Groups!A:A,Groups!AJ:AJ)="Photonozoa",_xlfn.XLOOKUP(_xlfn.XLOOKUP(B165,'Base stats'!B:B,'Base stats'!E:E),Groups!A:A,Groups!AJ:AJ)="Mammal")),Animals!AO165*1.75*IF(AW165="true",1.5,1),IF(AO165&lt;0.5,Animals!AO165*0.5,Animals!AO165)),IF(AO165&gt;2,0.5,IF(AO165&gt;0.5,0.25,0.1))),"No")</f>
        <v>No</v>
      </c>
      <c r="BL165" s="2">
        <f t="shared" si="17"/>
        <v>0</v>
      </c>
      <c r="BM165" s="25" t="str">
        <f>IF(_xlfn.XLOOKUP(B165,'Base stats'!B:B,'Base stats'!AN:AN)="Standard","No",MROUND((_xlfn.XLOOKUP(B165,'Base stats'!B:B,'Base stats'!AN:AN)/3.6)/I165,0.1))</f>
        <v>No</v>
      </c>
      <c r="BN165" s="25" t="str">
        <f t="shared" si="18"/>
        <v>true</v>
      </c>
      <c r="BO165" s="25" t="str">
        <f>IF(AND(OR(_xlfn.XLOOKUP(B165,'Base stats'!B:B,'Base stats'!Y:Y)="Carnivore",_xlfn.XLOOKUP(B165,'Base stats'!B:B,'Base stats'!Y:Y)="Omnivore",_xlfn.XLOOKUP(B165,'Base stats'!B:B,'Base stats'!Y:Y)="OmnivoreRough"),_xlfn.XLOOKUP(_xlfn.XLOOKUP(B165,'Base stats'!B:B,'Base stats'!E:E),Groups!A:A,Groups!AT:AT)=1),"true","false")</f>
        <v>true</v>
      </c>
      <c r="BP165" s="25" t="str" cm="1">
        <f t="array" ref="BP165">IF(
  _xlfn.TEXTJOIN(", ",TRUE,
    IF(AND(BJ165="true",AO165&gt;0.5,BI165&lt;&gt;"None"),"AttackTarget",""),
    IF(AND(_xlfn.XLOOKUP(_xlfn.XLOOKUP(B165,'Base stats'!B:B,'Base stats'!E:E),Groups!A:A,Groups!AJ:AJ="Mammal"),OR(_xlfn.XLOOKUP(B165,'Base stats'!B:B,'Base stats'!Y:Y)="Omnivore",_xlfn.XLOOKUP(B165,'Base stats'!B:B,'Base stats'!Y:Y)="OmnivoreRough")),"Forage",""),
    IF(BG165&lt;=36,"Comfort",""),
    IF(_xlfn.XLOOKUP(B165,'Base stats'!B:B,'Base stats'!AE:AE)&lt;&gt;"No",_xlfn.XLOOKUP(B165,'Base stats'!B:B,'Base stats'!AE:AE),"")
  ) = "",
  "No",
  _xlfn.TEXTJOIN(", ",TRUE,
    IF(AND(BJ165="true",AO165&gt;0.5,BI165&lt;&gt;"None"),"AttackTarget",""),
    IF(AND(_xlfn.XLOOKUP(_xlfn.XLOOKUP(B165,'Base stats'!B:B,'Base stats'!E:E),Groups!A:A,Groups!AJ:AJ="Mammal"),OR(_xlfn.XLOOKUP(B165,'Base stats'!B:B,'Base stats'!Y:Y)="Omnivore",_xlfn.XLOOKUP(B165,'Base stats'!B:B,'Base stats'!Y:Y)="OmnivoreRough")),"Forage",""),
    IF(BG165&lt;=36,"Comfort",""),
    IF(_xlfn.XLOOKUP(B165,'Base stats'!B:B,'Base stats'!AE:AE)&lt;&gt;"No",_xlfn.XLOOKUP(B165,'Base stats'!B:B,'Base stats'!AE:AE),"")
  )
)</f>
        <v>No</v>
      </c>
      <c r="BQ165" s="25">
        <f>IF(
   AND(
      'Base stats'!AN165="Standard",_xlfn.XLOOKUP(_xlfn.XLOOKUP(B165,'Base stats'!B:B,'Base stats'!E:E),Groups!A:A,Groups!AU:AU)=0,
      OR(
      BO165="True"
      )
   ),
   10,
   IF(
       OR(BM165&lt;&gt;"No",_xlfn.XLOOKUP(_xlfn.XLOOKUP(B165,'Base stats'!B:B,'Base stats'!E:E),Groups!A:A,Groups!AU:AU)=1),
      1,
      "No"
   )
)</f>
        <v>1</v>
      </c>
      <c r="BR165" s="9">
        <f>MROUND((1 + ((0.2*IF(OR(Q165="No",R165="No",R165=0),0,Q165/R165)
+IF(OR(V165="No",S165="No",T165="No"),0,S165/T165*(LEN(V165)-LEN(SUBSTITUTE(V165,",",""))+1))
+IF(OR(X165="No",Y165="No"),0,X165/Y165)
+IF(OR(AD165="No",AE165="No"),0,AD165/AE165)
+IF(OR(AL165="No",AI165="No",AJ165="No"),0,AI165/AJ165*(LEN(AL165)-LEN(SUBSTITUTE(AL165,",",""))+1))
)/(0.2*IF(OR(Q165="No",R165="No",R165=0),0,1)
+IF(OR(V165="No",S165="No",T165="No"),0,LEN(V165)-LEN(SUBSTITUTE(V165,",",""))+1)
+IF(OR(X165="No",Y165="No"),0,1)
+IF(OR(AD165="No",AE165="No"),0,1)
+IF(OR(AL165="No",AI165="No",AJ165="No"),0,LEN(AL165)-LEN(SUBSTITUTE(AL165,",",""))+1))*62%)* 2)*(1 + (AP165 / (IF(_xlfn.XLOOKUP(_xlfn.XLOOKUP(B165,'Base stats'!B:B,'Base stats'!E:E),Groups!A:A,Groups!AJ:AJ)="Photonozoa",0.3,1)) + _xlfn.XLOOKUP(B165,'Base stats'!B:B,'Base stats'!AV:AV) * 1.8) * 2) * 2.5 + 10 + I165 * 2,5)+IF(_xlfn.XLOOKUP(B165,'Base stats'!B:B,'Base stats'!AK:AK)=1,50,0)</f>
        <v>35</v>
      </c>
      <c r="BS165" s="8">
        <f t="shared" si="19"/>
        <v>0.4</v>
      </c>
      <c r="BT165" s="8" t="str">
        <f>_xlfn.XLOOKUP(B165,'Base stats'!B:B,'Base stats'!AF:AF)</f>
        <v>No</v>
      </c>
      <c r="BU165" s="2" t="str">
        <f>IF(AND(J165&lt;=0.95,OR(_xlfn.XLOOKUP(B165,'Base stats'!B:B,'Base stats'!AK:AK)=1,_xlfn.XLOOKUP(B165,'Base stats'!B:B,'Base stats'!Y:Y)="Carnivore",_xlfn.XLOOKUP(B165,'Base stats'!B:B,'Base stats'!Y:Y)="Omnivore",BE165&gt;0.1)),"true","false")</f>
        <v>true</v>
      </c>
      <c r="BV165" s="2" t="str">
        <f>IF(_xlfn.XLOOKUP(B165,'Base stats'!B:B,'Base stats'!AI:AI)=1,"true","false")</f>
        <v>false</v>
      </c>
      <c r="BW165" s="25" t="str">
        <f>IF(E165="BaseInsect","AnimalInsect",
IF(J165&gt;0.95,"AnimalExotic",
_xlfn.TEXTJOIN(", ",TRUE,
IF(OR(_xlfn.XLOOKUP(B165,'Base stats'!B:B,'Base stats'!AM:AM)=1,AND(_xlfn.XLOOKUP(B165,'Base stats'!B:B,'Base stats'!O:O)=0,_xlfn.XLOOKUP(_xlfn.XLOOKUP(B165,'Base stats'!B:B,'Base stats'!E:E),Groups!A:A,Groups!B:B)&gt;0)),"AnimalUncommon","AnimalCommon"),
IF(AND(_xlfn.XLOOKUP(B165,'Base stats'!B:B,'Base stats'!O:O)=2,_xlfn.XLOOKUP(_xlfn.XLOOKUP(B165,'Base stats'!B:B,'Base stats'!E:E),Groups!A:A,Groups!D:D)=0),"AnimalPet",IF(AND(_xlfn.XLOOKUP(B165,'Base stats'!B:B,'Base stats'!O:O)&lt;&gt;0,_xlfn.XLOOKUP(_xlfn.XLOOKUP(B165,'Base stats'!B:B,'Base stats'!E:E),Groups!A:A,Groups!D:D)&lt;&gt;0),"AnimalFarm","")),
IF(OR(_xlfn.XLOOKUP(B165,'Base stats'!B:B,'Base stats'!AK:AK)=1,AND(BI165&lt;&gt;"None",BR165&gt;=60),ISNUMBER(SEARCH("Attack target",BP165))),"AnimalFighter","")
)))</f>
        <v>AnimalUncommon</v>
      </c>
      <c r="BX165" s="25" t="str">
        <f>IF(G165="None",TRIM(
SUBSTITUTE(
IF(COUNTIF(Biomes!B$2:B$259,"="&amp;$C165)&gt;0,Biomes!B$1&amp;", ","")&amp;
IF(COUNTIF(Biomes!C$2:C$259,"="&amp;$C165)&gt;0,Biomes!C$1&amp;", ","")&amp;
IF(COUNTIF(Biomes!D$2:D$259,"="&amp;$C165)&gt;0,Biomes!D$1&amp;", ","")&amp;
IF(COUNTIF(Biomes!F$2:F$259,"="&amp;$C165)&gt;0,Biomes!F$1&amp;", ","")&amp;
IF(COUNTIF(Biomes!G$2:G$259,"="&amp;$C165)&gt;0,Biomes!G$1&amp;", ","")&amp;
IF(COUNTIF(Biomes!H$2:H$259,"="&amp;$C165)&gt;0,Biomes!H$1&amp;", ","")&amp;
IF(COUNTIF(Biomes!I$2:I$259,"="&amp;$C165)&gt;0,Biomes!I$1&amp;", ","")&amp;
IF(COUNTIF(Biomes!J$2:J$259,"="&amp;$C165)&gt;0,Biomes!J$1&amp;", ","")&amp;
IF(COUNTIF(Biomes!M$2:M$259,"="&amp;$C165)&gt;0,Biomes!M$1&amp;", ","")&amp;
IF(COUNTIF(Biomes!N$2:N$259,"="&amp;$C165)&gt;0,Biomes!N$1&amp;", ","")&amp;
IF(COUNTIF(Biomes!O$2:O$259,"="&amp;$C165)&gt;0,Biomes!O$1&amp;", ","")&amp;
IF(COUNTIF(Biomes!P$2:P$259,"="&amp;$C165)&gt;0,Biomes!P$1&amp;", ","")&amp;
IF(COUNTIF(Biomes!K$2:K$259,"="&amp;$C165)&gt;0,Biomes!K$1&amp;", ","")&amp;
IF(COUNTIF(Biomes!Q$3:Q$259,"="&amp;$C165)&gt;0,Biomes!Q$1&amp;", ","")&amp;
IF(COUNTIF(Biomes!L$2:L$259,"="&amp;$C165)&gt;0,Biomes!L$1&amp;", ","")&amp;
IF(COUNTIF(Biomes!E$2:E$259,"="&amp;$C165)&gt;0,Biomes!E$1&amp;", ","")&amp;IF(COUNTIF(Biomes!S$2:S$259,"="&amp;$C165)&gt;0,Biomes!S$1&amp;", ","")&amp;
IF(COUNTIF(Biomes!R$2:R$259,"="&amp;$C165)&gt;0,Biomes!R$1&amp;", ",""),", ","")
),_xlfn.XLOOKUP(B165,B:B,BX:BX))</f>
        <v/>
      </c>
      <c r="BY165" s="25" t="str">
        <f>IF(_xlfn.XLOOKUP(B165,'Base stats'!B:B,'Base stats'!AJ:AJ)=1,"true","false")</f>
        <v>false</v>
      </c>
      <c r="BZ165" s="25">
        <f>IF(_xlfn.XLOOKUP(B165,'Base stats'!B:B,'Base stats'!N:N)=1,"No",MAX(0.001,MIN(MROUND(IF(AND(BJ165="True",CC165="False"),POWER(10,3.47*LOG10(_xlfn.XLOOKUP(B165,'Base stats'!B:B,'Base stats'!C:C)*1000)^-0.96),POWER(10,4.15*LOG10(_xlfn.XLOOKUP(B165,'Base stats'!B:B,'Base stats'!C:C)*1000)^-0.73))*IF(_xlfn.XLOOKUP(B165,'Base stats'!B:B,'Base stats'!AK:AK)=1,0.5,1)*IF(_xlfn.XLOOKUP(B165,'Base stats'!B:B,'Base stats'!AM:AM)=1,0.1,1)/100,IF(_xlfn.XLOOKUP(B165,'Base stats'!B:B,'Base stats'!AM:AM)=1,0.001,0.025)),0.5)))</f>
        <v>3.4000000000000002E-2</v>
      </c>
      <c r="CA165" s="25" t="str">
        <f>IF(P165="Standard","No",MAX(0.001,MIN(MROUND(IF(AND(BJ165="True",CC165="False"),POWER(10,3.47*LOG10(_xlfn.XLOOKUP(B165,'Base stats'!B:B,'Base stats'!C:C)*1000)^-0.96),POWER(10,4.15*LOG10(_xlfn.XLOOKUP(B165,'Base stats'!B:B,'Base stats'!C:C)*1000)^-0.73))*IF(_xlfn.XLOOKUP(B165,'Base stats'!B:B,'Base stats'!AM:AM)=1,0.1,1)*_xlfn.XLOOKUP(B165,'Base stats'!B:B,'Base stats'!R:R)/100,IF(_xlfn.XLOOKUP(B165,'Base stats'!B:B,'Base stats'!AM:AM)=1,0.001,0.025)),0.5)))</f>
        <v>No</v>
      </c>
      <c r="CB165" s="25" t="str">
        <f>IF(_xlfn.XLOOKUP(_xlfn.XLOOKUP(B165,'Base stats'!B:B,'Base stats'!E:E),Groups!A:A,Groups!AJ:AJ)="Mammal","True","False")</f>
        <v>False</v>
      </c>
      <c r="CC165" s="25" t="str">
        <f>IF(OR(_xlfn.XLOOKUP(_xlfn.XLOOKUP(B165,'Base stats'!B:B,'Base stats'!E:E),Groups!A:A,Groups!AJ:AJ)="Reptile",_xlfn.XLOOKUP(_xlfn.XLOOKUP(B165,'Base stats'!B:B,'Base stats'!E:E),Groups!A:A,Groups!AJ:AJ)="Amphibian",_xlfn.XLOOKUP(_xlfn.XLOOKUP(B165,'Base stats'!B:B,'Base stats'!E:E),Groups!A:A,Groups!AJ:AJ)="Invertebrate"),"True","False")</f>
        <v>False</v>
      </c>
      <c r="CD165" s="25" t="str">
        <f t="shared" si="20"/>
        <v>False</v>
      </c>
      <c r="CE165" s="25" t="str">
        <f>IF(_xlfn.XLOOKUP(_xlfn.XLOOKUP(B165,'Base stats'!B:B,'Base stats'!E:E),Groups!A:A,Groups!AX:AX),"True","False")</f>
        <v>False</v>
      </c>
      <c r="CF165" s="25" t="str">
        <f>IF(_xlfn.XLOOKUP(_xlfn.XLOOKUP(B165,'Base stats'!B:B,'Base stats'!E:E),Groups!A:A,Groups!AY:AY),"True","False")</f>
        <v>False</v>
      </c>
      <c r="CG165" s="25" t="str">
        <f>IF(_xlfn.XLOOKUP(_xlfn.XLOOKUP(B165,'Base stats'!B:B,'Base stats'!E:E),Groups!A:A,Groups!AW:AW),"True","False")</f>
        <v>False</v>
      </c>
      <c r="CH165" s="25" t="str">
        <f>IF(
OR(
_xlfn.XLOOKUP(_xlfn.XLOOKUP(B165,'Base stats'!B:B,'Base stats'!E:E),Groups!A:A,Groups!AZ:AZ)=0,
AND(
_xlfn.XLOOKUP(B165,'Base stats'!B:B,'Base stats'!Y:Y)&lt;&gt;"Carnivore",
_xlfn.XLOOKUP(B165,'Base stats'!B:B,'Base stats'!Y:Y)&lt;&gt;"Omnivore",
_xlfn.XLOOKUP(B165,'Base stats'!B:B,'Base stats'!Y:Y)&lt;&gt;"OmnivoreRough"
)
),
"No",
IF(
_xlfn.XLOOKUP(_xlfn.XLOOKUP(B165,'Base stats'!B:B,'Base stats'!E:E),Groups!A:A,Groups!AZ:AZ)=1,
"Flesh",
IF(
_xlfn.XLOOKUP(_xlfn.XLOOKUP(B165,'Base stats'!B:B,'Base stats'!E:E),Groups!A:A,Groups!AZ:AZ)=2,
"Bone",
""
)
)
)</f>
        <v>No</v>
      </c>
      <c r="CI165" s="25" t="str">
        <f>IF(_xlfn.XLOOKUP(_xlfn.XLOOKUP(B165,'Base stats'!B:B,'Base stats'!E:E),Groups!A:A,Groups!BB:BB),"True","False")</f>
        <v>True</v>
      </c>
      <c r="CJ165" s="25" t="str">
        <f>IF(_xlfn.XLOOKUP(_xlfn.XLOOKUP(B165,'Base stats'!B:B,'Base stats'!E:E),Groups!A:A,Groups!BA:BA),"True","False")</f>
        <v>False</v>
      </c>
    </row>
    <row r="166" spans="1:88" s="16" customFormat="1" ht="16.5" thickTop="1" thickBot="1" x14ac:dyDescent="0.3">
      <c r="A166" s="26" t="str">
        <f>_xlfn.XLOOKUP(B166,'Base stats'!B:B,'Base stats'!A:A)</f>
        <v>AngoraRabbit</v>
      </c>
      <c r="B166" s="6" t="s">
        <v>1125</v>
      </c>
      <c r="C166" s="28" t="s">
        <v>1124</v>
      </c>
      <c r="D166" s="28" t="s">
        <v>1113</v>
      </c>
      <c r="E166" s="28" t="s">
        <v>673</v>
      </c>
      <c r="F166" s="28" t="s">
        <v>673</v>
      </c>
      <c r="G166" s="28" t="s">
        <v>673</v>
      </c>
      <c r="H166" s="2">
        <f>MROUND((
  (IF(AND(_xlfn.XLOOKUP(B166,'Base stats'!B:B,'Base stats'!AL:AL)=0,BI166="None",_xlfn.XLOOKUP(_xlfn.XLOOKUP(B166,'Base stats'!B:B,'Base stats'!E:E),Groups!A:A,Groups!B:B)=0), (18 + BR166 * 2.7) * 0.5,
    IF(AND(_xlfn.XLOOKUP(B166,'Base stats'!B:B,'Base stats'!AL:AL)=0,OR(AO166&lt;0.55,AND(BI166="Intermediate",_xlfn.XLOOKUP(_xlfn.XLOOKUP(B166,'Base stats'!B:B,'Base stats'!E:E),Groups!A:A,Groups!B:B)&lt;2))), (18 + BR166 * 2.7),
      IF(OR(BI166="Advanced",_xlfn.XLOOKUP(B166,'Base stats'!B:B,'Base stats'!AL:AL)=1,_xlfn.XLOOKUP(_xlfn.XLOOKUP(B166,'Base stats'!B:B,'Base stats'!E:E),Groups!A:A,Groups!B:B)=2), (18 + BR166 * 2.7) + 250, (18 + BR166 * 2.7))
    )
  ))
  + AO166 * 80
  + IF(COUNTIF(EggMilk!K$2:K$998, A166) &gt; 0, 125, 0)
  + IF(COUNTIF(EggMilk!P$2:P$998, A166) &gt; 0, 90, 0)
  + IF(COUNTIF(EggMilk!A$2:A$998, A166) &gt; 0, 90, 0)
)
* (0.8 + 0.4 * J166)
* 0.75,25)</f>
        <v>50</v>
      </c>
      <c r="I166" s="2">
        <f>MROUND(ROUNDDOWN(_xlfn.XLOOKUP(B166,'Base stats'!B:B,'Base stats'!L:L)/3.6/(23.3/11),1),0.5)</f>
        <v>7.5</v>
      </c>
      <c r="J166" s="2">
        <f>IF(OR(_xlfn.XLOOKUP(B166,'Base stats'!B:B,'Base stats'!AB:AB)=1,_xlfn.XLOOKUP(_xlfn.XLOOKUP(B166,'Base stats'!B:B,'Base stats'!E:E),Groups!A:A,Groups!C:C)="Untamable"),1,IF(_xlfn.XLOOKUP(B166,'Base stats'!B:B,'Base stats'!AL:AL)=1,0.99,MIN(MROUND((1-0.6282*EXP(-0.459*AO166))*_xlfn.XLOOKUP(_xlfn.XLOOKUP(B166,'Base stats'!B:B,'Base stats'!E:E),Groups!A:A,Groups!C:C)*IF(_xlfn.XLOOKUP(B166,'Base stats'!B:B,'Base stats'!O:O)=1,0.5,IF(_xlfn.XLOOKUP(B166,'Base stats'!B:B,'Base stats'!O:O)=2,0,1)),0.05),IF(AO166&gt;3.5,0.985,0.95))))</f>
        <v>0.25</v>
      </c>
      <c r="K166" s="2">
        <f>ROUNDUP(AO166*_xlfn.XLOOKUP(_xlfn.XLOOKUP(B166,'Base stats'!B:B,'Base stats'!E:E),Groups!A:A,Groups!E:E),0)</f>
        <v>1</v>
      </c>
      <c r="L166" s="2">
        <f>IF(OR(_xlfn.XLOOKUP(_xlfn.XLOOKUP(B166,'Base stats'!B:B,'Base stats'!E:E),Groups!A:A,Groups!F:F)=2,ISNUMBER(SEARCH("SeaIce",BX166)),ISNUMBER(SEARCH("IceSheet",BX166))),-50,IF(OR(ISNUMBER(SEARCH("GlacialPlain",BX166)),ISNUMBER(SEARCH("Tundra",BX166))),-40,IF(OR(ISNUMBER(SEARCH("Alpine",BX166)),ISNUMBER(SEARCH("BorealForest",BX166)),ISNUMBER(SEARCH("ColdBog",BX166))),-30,IF(OR(ISNUMBER(SEARCH("TemperateForest",BX166)),ISNUMBER(SEARCH("TemperateSwamp",BX166))),-20,IF(_xlfn.XLOOKUP(_xlfn.XLOOKUP(B166,'Base stats'!B:B,'Base stats'!E:E),Groups!A:A,Groups!F:F)=1,-15,IF(OR(ISNUMBER(SEARCH("Desert",BX166)),ISNUMBER(SEARCH("ExtremeDesert",BX166))),-10,IF(OR(ISNUMBER(SEARCH("Grasslands",BX166)),ISNUMBER(SEARCH("TropicalRainforest",BX166)),ISNUMBER(SEARCH("TropicalSwamp",BX166))),10,0)))))))-IF(CC166="False",MIN(IFERROR(MAX(MROUND(LOG10(_xlfn.XLOOKUP(B166,'Base stats'!B:B,'Base stats'!C:C)^(2/3))*10,5),5),5),30))-_xlfn.XLOOKUP(B166,'Base stats'!B:B,'Base stats'!P:P)+IF(CC166="True",5,0)</f>
        <v>-5</v>
      </c>
      <c r="M166" s="2">
        <f>IF(OR(_xlfn.XLOOKUP(_xlfn.XLOOKUP(B166,'Base stats'!B:B,'Base stats'!E:E),Groups!A:A,Groups!G:G)=2,ISNUMBER(SEARCH("Desert",BX166)),ISNUMBER(SEARCH("ExtremeDesert",BX166)),ISNUMBER(SEARCH("LavaField",BX166))),50,IF(ISNUMBER(SEARCH("Grasslands",BX166)),45,IF(OR(_xlfn.XLOOKUP(_xlfn.XLOOKUP(B166,'Base stats'!B:B,'Base stats'!E:E),Groups!A:A,Groups!G:G)=1,ISNUMBER(SEARCH("TropicalRainforest",BX166)),ISNUMBER(SEARCH("TropicalSwamp",BX166))),40,IF(OR(ISNUMBER(SEARCH("TemperateForest",BX166)),ISNUMBER(SEARCH("TemperateSwamp",BX166))),35,IF(OR(ISNUMBER(SEARCH("Alpine",BX166)),ISNUMBER(SEARCH("BorealForest",BX166)),ISNUMBER(SEARCH("ColdBog",BX166))),30,IF(ISNUMBER(OR(ISNUMBER(SEARCH("GlacialPlain",BX166)),SEARCH("Tundra",BX166))),25,IF(OR(ISNUMBER(SEARCH("SeaIce",BX166)),ISNUMBER(SEARCH("IceSheet",BX166)),ISNUMBER(SEARCH("TropicalSwamp",BX166))),10,35)))))))+_xlfn.XLOOKUP(B166,'Base stats'!B:B,'Base stats'!Q:Q)</f>
        <v>35</v>
      </c>
      <c r="N166" s="8" t="str">
        <f>IF(
_xlfn.XLOOKUP(
_xlfn.XLOOKUP(B166,'Base stats'!B:B,'Base stats'!E:E),
Groups!A:A,
Groups!L:L
)=1,
MIN(
MROUND(
IF(
_xlfn.XLOOKUP(B166,'Animals CE'!B:B,'Animals CE'!Z:Z)&lt;=1.5,
_xlfn.XLOOKUP(B166,'Animals CE'!B:B,'Animals CE'!Z:Z)/2+0.05,
0.8+
(_xlfn.XLOOKUP(B166,'Animals CE'!B:B,'Animals CE'!Z:Z)-1.5)
*0.02
),
0.05
),
200%
),
"No"
)</f>
        <v>No</v>
      </c>
      <c r="O166" s="8" t="str">
        <f>IF(
_xlfn.XLOOKUP(
_xlfn.XLOOKUP(B166,'Base stats'!B:B,'Base stats'!E:E),
Groups!A:A,
Groups!L:L
)=1,
MIN(
MROUND(
IF(
_xlfn.XLOOKUP(B166,'Animals CE'!B:B,'Animals CE'!AA:AA)&lt;=1.5,
_xlfn.XLOOKUP(B166,'Animals CE'!B:B,'Animals CE'!AA:AA)/2+0.05,
0.8+
(_xlfn.XLOOKUP(B166,'Animals CE'!B:B,'Animals CE'!AA:AA)-1.5)
*0.02
),
0.05
),
200%
),
"No"
)</f>
        <v>No</v>
      </c>
      <c r="P166" s="2" t="str">
        <f>_xlfn.XLOOKUP(B166,'Base stats'!B:B,'Base stats'!R:R)</f>
        <v>Standard</v>
      </c>
      <c r="Q166" s="13">
        <f>MROUND((LOG10(_xlfn.XLOOKUP(B166,'Base stats'!B:B,'Base stats'!AR:AR))*(AO166^0.5)+(_xlfn.XLOOKUP(B166,'Base stats'!B:B,'Base stats'!AR:AR)/1000)^(2/3)+_xlfn.XLOOKUP(B166,'Base stats'!B:B,'Base stats'!BA:BA)/2)+0.5,0.5)</f>
        <v>2.5</v>
      </c>
      <c r="R166" s="7">
        <f>IF(Q166="No","No",MAX(1,MROUND(_xlfn.XLOOKUP(B166,'Base stats'!B:B,'Base stats'!C:C)^0.165,0.05)))</f>
        <v>1.25</v>
      </c>
      <c r="S166" s="13" t="str">
        <f>IF(_xlfn.XLOOKUP(_xlfn.XLOOKUP(B166,'Base stats'!B:B,'Base stats'!E:E),Groups!A:A,Groups!P:P)=0,"No",MROUND((LOG10(_xlfn.XLOOKUP(B166,'Base stats'!B:B,'Base stats'!AS:AS))*(AO166^0.5)+(_xlfn.XLOOKUP(B166,'Base stats'!B:B,'Base stats'!AS:AS)/1000)^(2/3)+_xlfn.XLOOKUP(B166,'Base stats'!B:B,'Base stats'!BA:BA))+_xlfn.XLOOKUP(B166,'Base stats'!B:B,'Base stats'!AY:AY)+0.5,0.5))</f>
        <v>No</v>
      </c>
      <c r="T166" s="7" t="str">
        <f>IF(S166="No","No",MAX(_xlfn.XLOOKUP(_xlfn.XLOOKUP(B166,'Base stats'!B:B,'Base stats'!E:E),Groups!A:A,Groups!Q:Q),MROUND(_xlfn.XLOOKUP(_xlfn.XLOOKUP(B166,'Base stats'!B:B,'Base stats'!E:E),Groups!A:A,Groups!Q:Q)*_xlfn.XLOOKUP(B166,'Base stats'!B:B,'Base stats'!C:C)^0.165,0.05)))</f>
        <v>No</v>
      </c>
      <c r="U166" s="7" t="str">
        <f>IF(S166="No","No",_xlfn.XLOOKUP(_xlfn.XLOOKUP(B166,'Base stats'!B:B,'Base stats'!E:E),Groups!A:A,Groups!R:R))</f>
        <v>No</v>
      </c>
      <c r="V166" s="7" t="str">
        <f>IF(S166="No","No",_xlfn.XLOOKUP(_xlfn.XLOOKUP(B166,'Base stats'!B:B,'Base stats'!E:E),Groups!A:A,Groups!S:S))</f>
        <v>No</v>
      </c>
      <c r="W166" s="7" t="str">
        <f>IF(S166="No","No",_xlfn.XLOOKUP(_xlfn.XLOOKUP(B166,'Base stats'!B:B,'Base stats'!E:E),Groups!A:A,Groups!T:T))</f>
        <v>No</v>
      </c>
      <c r="X166" s="13" t="str">
        <f>IF(_xlfn.XLOOKUP(B166,'Base stats'!B:B,'Base stats'!W:W)="No","No",MROUND((LOG10(_xlfn.XLOOKUP(B166,'Base stats'!B:B,'Base stats'!AU:AU))*(AO166^0.5)+(_xlfn.XLOOKUP(B166,'Base stats'!B:B,'Base stats'!AU:AU)/1000)^(2/3)+_xlfn.XLOOKUP(B166,'Base stats'!B:B,'Base stats'!AZ:AZ))+0.5+IF(_xlfn.XLOOKUP(_xlfn.XLOOKUP(B166,'Base stats'!B:B,'Base stats'!E:E),Groups!A:A,Groups!U:U)&lt;&gt;3,_xlfn.XLOOKUP(B166,'Base stats'!B:B,'Base stats'!BA:BA),0),0.5))</f>
        <v>No</v>
      </c>
      <c r="Y166" s="7" t="str">
        <f>IF(X166="No","No",MAX(_xlfn.XLOOKUP(_xlfn.XLOOKUP(B166,'Base stats'!B:B,'Base stats'!E:E),Groups!A:A,Groups!V:V),MROUND(_xlfn.XLOOKUP(_xlfn.XLOOKUP(B166,'Base stats'!B:B,'Base stats'!E:E),Groups!A:A,Groups!V:V)*_xlfn.XLOOKUP(B166,'Base stats'!B:B,'Base stats'!C:C)^0.165,0.05)))</f>
        <v>No</v>
      </c>
      <c r="Z166" s="7" t="str">
        <f>IF(X166="No","No",_xlfn.XLOOKUP(_xlfn.XLOOKUP(B166,'Base stats'!B:B,'Base stats'!E:E),Groups!A:A,Groups!W:W))</f>
        <v>No</v>
      </c>
      <c r="AA166" s="7" t="str">
        <f>IF(X166="No","No",_xlfn.XLOOKUP(_xlfn.XLOOKUP(B166,'Base stats'!B:B,'Base stats'!E:E),Groups!A:A,Groups!X:X))</f>
        <v>No</v>
      </c>
      <c r="AB166" s="7" t="str">
        <f>IF(X166="No","No",_xlfn.XLOOKUP(_xlfn.XLOOKUP(B166,'Base stats'!B:B,'Base stats'!E:E),Groups!A:A,Groups!Y:Y))</f>
        <v>No</v>
      </c>
      <c r="AC166" s="7" t="str">
        <f>_xlfn.XLOOKUP(Animals!B166,'Base stats'!B:B,'Base stats'!X:X)</f>
        <v>False</v>
      </c>
      <c r="AD166" s="13">
        <f>IF(_xlfn.XLOOKUP(B166,'Base stats'!B:B,'Base stats'!AT:AT)="No","No",MROUND((LOG10(_xlfn.XLOOKUP(B166,'Base stats'!B:B,'Base stats'!AT:AT))*(AO166^0.75)+(_xlfn.XLOOKUP(B166,'Base stats'!B:B,'Base stats'!AT:AT)/1000)^(2/3)+_xlfn.XLOOKUP(B166,'Base stats'!B:B,'Base stats'!AX:AX)+_xlfn.XLOOKUP(B166,'Base stats'!B:B,'Base stats'!BA:BA))+0.5,0.5))</f>
        <v>2.5</v>
      </c>
      <c r="AE166" s="7">
        <f>IF(AD166="No","No",MAX(_xlfn.XLOOKUP(_xlfn.XLOOKUP(B166,'Base stats'!B:B,'Base stats'!E:E),Groups!A:A,Groups!Z:Z),MROUND(_xlfn.XLOOKUP(_xlfn.XLOOKUP(B166,'Base stats'!B:B,'Base stats'!E:E),Groups!A:A,Groups!Z:Z)*_xlfn.XLOOKUP(B166,'Base stats'!B:B,'Base stats'!C:C)^0.165,0.05)))</f>
        <v>1.25</v>
      </c>
      <c r="AF166" s="7" t="str">
        <f>IF(AD166="No","No",_xlfn.XLOOKUP(_xlfn.XLOOKUP(B166,'Base stats'!B:B,'Base stats'!E:E),Groups!A:A,Groups!AA:AA))</f>
        <v>Teeth</v>
      </c>
      <c r="AG166" s="7" t="str">
        <f>IF(AD166="No","No",_xlfn.XLOOKUP(_xlfn.XLOOKUP(B166,'Base stats'!B:B,'Base stats'!E:E),Groups!A:A,Groups!AB:AB))</f>
        <v>Incisors</v>
      </c>
      <c r="AH166" s="7" t="str">
        <f>IF(AD166="No","No",_xlfn.XLOOKUP(_xlfn.XLOOKUP(B166,'Base stats'!B:B,'Base stats'!E:E),Groups!A:A,Groups!AC:AC))</f>
        <v>Bite</v>
      </c>
      <c r="AI166" s="13" t="str">
        <f>IF(_xlfn.XLOOKUP(_xlfn.XLOOKUP(B166,'Base stats'!B:B,'Base stats'!E:E),Groups!A:A,Groups!AD:AD)=0,"No",MROUND((LOG10(_xlfn.XLOOKUP(B166,'Base stats'!B:B,'Base stats'!AS:AS))*(AO166^0.75)+(_xlfn.XLOOKUP(B166,'Base stats'!B:B,'Base stats'!AS:AS)/1000)^(2/3)+_xlfn.XLOOKUP(B166,'Base stats'!B:B,'Base stats'!AY:AY)+_xlfn.XLOOKUP(B166,'Base stats'!B:B,'Base stats'!BA:BA))+0.5,0.5))</f>
        <v>No</v>
      </c>
      <c r="AJ166" s="7" t="str">
        <f>IF(AI166="No","No",MAX(_xlfn.XLOOKUP(_xlfn.XLOOKUP(B166,'Base stats'!B:B,'Base stats'!E:E),Groups!A:A,Groups!AE:AE),MROUND(_xlfn.XLOOKUP(_xlfn.XLOOKUP(B166,'Base stats'!B:B,'Base stats'!E:E),Groups!A:A,Groups!AE:AE)*IF(_xlfn.XLOOKUP(_xlfn.XLOOKUP(B166,'Base stats'!B:B,'Base stats'!E:E),Groups!A:A,Groups!AJ:AJ)="Photonozoa",0.6,1)*_xlfn.XLOOKUP(B166,'Base stats'!B:B,'Base stats'!C:C)^0.165,0.05)))</f>
        <v>No</v>
      </c>
      <c r="AK166" s="7" t="str">
        <f>IF(AI166="No","No",_xlfn.XLOOKUP(_xlfn.XLOOKUP(B166,'Base stats'!B:B,'Base stats'!E:E),Groups!A:A,Groups!AF:AF))</f>
        <v>No</v>
      </c>
      <c r="AL166" s="7" t="str">
        <f>IF(AI166="No","No",_xlfn.XLOOKUP(_xlfn.XLOOKUP(B166,'Base stats'!B:B,'Base stats'!E:E),Groups!A:A,Groups!AG:AG))</f>
        <v>No</v>
      </c>
      <c r="AM166" s="7" t="str">
        <f>IF(AI166="No","No",_xlfn.XLOOKUP(_xlfn.XLOOKUP(B166,'Base stats'!B:B,'Base stats'!E:E),Groups!A:A,Groups!AH:AH))</f>
        <v>No</v>
      </c>
      <c r="AN166" s="2" t="str">
        <f t="shared" si="14"/>
        <v>No</v>
      </c>
      <c r="AO166" s="2">
        <f>MROUND(IF(AND(_xlfn.XLOOKUP(B166,'Base stats'!B:B,'Base stats'!C:C)&gt;=0.5,_xlfn.XLOOKUP(B166,'Base stats'!B:B,'Base stats'!C:C)&lt;=0.8),
IF(_xlfn.XLOOKUP(B166,'Base stats'!B:B,'Base stats'!C:C)&lt;0.1,0.05,IF(_xlfn.XLOOKUP(B166,'Base stats'!B:B,'Base stats'!C:C)&lt;=70,(_xlfn.XLOOKUP(B166,'Base stats'!B:B,'Base stats'!C:C)/70)^0.426489913056526,IF(_xlfn.XLOOKUP(B166,'Base stats'!B:B,'Base stats'!C:C)&lt;=400,(_xlfn.XLOOKUP(B166,'Base stats'!B:B,'Base stats'!C:C)/70)^0.572811455315093,IF(_xlfn.XLOOKUP(B166,'Base stats'!B:B,'Base stats'!C:C)&lt;=2000,2.71391647193063*(_xlfn.XLOOKUP(B166,'Base stats'!B:B,'Base stats'!C:C)/400)^0.252459582904293,3.74314280240376*(_xlfn.XLOOKUP(B166,'Base stats'!B:B,'Base stats'!C:C)/2000)^0.357012633876913)))),
IF(_xlfn.XLOOKUP(B166,'Base stats'!B:B,'Base stats'!C:C)&lt;0.1,0.05,IF(_xlfn.XLOOKUP(B166,'Base stats'!B:B,'Base stats'!C:C)&lt;0.4,0.1,IF(_xlfn.XLOOKUP(B166,'Base stats'!B:B,'Base stats'!C:C)&lt;=70,(_xlfn.XLOOKUP(B166,'Base stats'!B:B,'Base stats'!C:C)/70)^0.445823913056526,IF(_xlfn.XLOOKUP(B166,'Base stats'!B:B,'Base stats'!C:C)&lt;=400,(_xlfn.XLOOKUP(B166,'Base stats'!B:B,'Base stats'!C:C)/70)^0.572811455315093,IF(_xlfn.XLOOKUP(B166,'Base stats'!B:B,'Base stats'!C:C)&lt;=2000,2.71391647193063*(_xlfn.XLOOKUP(B166,'Base stats'!B:B,'Base stats'!C:C)/400)^0.252459582904293,3.74314280240376*(_xlfn.XLOOKUP(B166,'Base stats'!B:B,'Base stats'!C:C)/2000)^0.357012633876913)))))),
IF(_xlfn.XLOOKUP(B166,'Base stats'!B:B,'Base stats'!C:C)&lt;0.1,0.05,IF(_xlfn.XLOOKUP(B166,'Base stats'!B:B,'Base stats'!C:C)&lt;=100,0.05,IF(_xlfn.XLOOKUP(B166,'Base stats'!B:B,'Base stats'!C:C)&lt;=250,0.1,IF(_xlfn.XLOOKUP(B166,'Base stats'!B:B,'Base stats'!C:C)&lt;=4000,0.25,0.5)))))</f>
        <v>0.25</v>
      </c>
      <c r="AP166" s="8">
        <f>MROUND(AO166*_xlfn.XLOOKUP(_xlfn.XLOOKUP(B166,'Base stats'!B:B,'Base stats'!E:E),Groups!A:A,Groups!AI:AI)*_xlfn.XLOOKUP(B166,'Base stats'!B:B,'Base stats'!Z:Z),0.05)</f>
        <v>0.25</v>
      </c>
      <c r="AQ166" s="8">
        <f>MAX(0.01,MROUND(IF(CC166="True",0.196*(AO166*100*1000)^0.889,IF(_xlfn.XLOOKUP(_xlfn.XLOOKUP(B166,'Base stats'!B:B,'Base stats'!E:E),Groups!A:A,Groups!AJ:AJ)="Bird",10.5*(AO166*100*1000)^0.681,4.82*(AO166*100*1000)^0.734))/(4.82*(1*100*1000)^0.734)/IF(AO166&lt;3.5,2,IF(AO166=3.5,1.5,1.25))*(1+0.132282374779864/(AO166^0.994035016789033+0.00905238001496948)),0.05))</f>
        <v>0.25</v>
      </c>
      <c r="AR166" s="9">
        <f>IFERROR(MROUND(_xlfn.XLOOKUP(B166,'Base stats'!B:B,'Base stats'!H:H)/IF(_xlfn.XLOOKUP(B166,'Base stats'!B:B,'Base stats'!I:I)&lt;&gt;1,(122.5/70),1.2),IF(_xlfn.XLOOKUP(B166,'Base stats'!B:B,'Base stats'!H:H)&gt;=30,5,IF(_xlfn.XLOOKUP(B166,'Base stats'!B:B,'Base stats'!H:H)&gt;=15,3,IF(_xlfn.XLOOKUP(B166,'Base stats'!B:B,'Base stats'!H:H)&gt;=10,2,1)))),"Immortal")</f>
        <v>8</v>
      </c>
      <c r="AS166" s="35">
        <f>IFERROR(IF(OR(_xlfn.XLOOKUP(B166,'Base stats'!B:B,'Base stats'!F:F)="Atypical reproduction",_xlfn.XLOOKUP(B166,'Base stats'!B:B,'Base stats'!F:F)="Lay eggs"),"Lay eggs",MIN(20,MAX(5.5,ROUND(((_xlfn.XLOOKUP(B166,'Base stats'!B:B,'Base stats'!F:F)-25)*(14.5/615) + 5.5)*2,0)/2))),"Unknown")</f>
        <v>5.5</v>
      </c>
      <c r="AT166" s="8">
        <f>IF(_xlfn.XLOOKUP(B166,'Base stats'!B:B,'Base stats'!G:G)="Atypical reproduction","No",IFERROR(MAX(IF(_xlfn.XLOOKUP(B166,'Base stats'!B:B,'Base stats'!G:G)&lt;0.5,0.2,0.3),MROUND(_xlfn.XLOOKUP(B166,'Base stats'!B:B,'Base stats'!G:G)/(365/60),0.2)),"Unknown"))</f>
        <v>0.4</v>
      </c>
      <c r="AU166" s="8">
        <f t="shared" si="15"/>
        <v>0.2</v>
      </c>
      <c r="AV166" s="8">
        <f>IFERROR(IFERROR(MROUND(_xlfn.XLOOKUP(B166,'Base stats'!B:B,'Base stats'!J:J),0.1),"Lay eggs"),"Cannot breed")</f>
        <v>5</v>
      </c>
      <c r="AW166" s="2" t="str">
        <f t="shared" si="16"/>
        <v>true</v>
      </c>
      <c r="AX166" s="2" t="str">
        <f>IF(_xlfn.XLOOKUP(_xlfn.XLOOKUP(Animals!B166,'Base stats'!B:B,'Base stats'!E:E),Groups!A:A,Groups!AK:AK)=1,"true","false")</f>
        <v>false</v>
      </c>
      <c r="AY166" s="25" t="str">
        <f>IF(_xlfn.XLOOKUP(B166,'Base stats'!B:B,'Base stats'!Y:Y)="Liquor","Liquor, CarnivoreAnimalStrict",IF(AND(_xlfn.XLOOKUP(B166,'Base stats'!B:B,'Base stats'!Y:Y)="Carnivore",_xlfn.XLOOKUP(_xlfn.XLOOKUP(B166,'Base stats'!B:B,'Base stats'!E:E),Groups!A:A,Groups!AJ:AJ)="Photonozoa"),"CarnivoreAnimalStrict, OvivoreAnimal",IF(_xlfn.XLOOKUP(B166,'Base stats'!B:B,'Base stats'!Y:Y)="Carnivore","CarnivoreAnimal, OvivoreAnimal",IF(_xlfn.XLOOKUP(B166,'Base stats'!B:B,'Base stats'!Y:Y)="Dendrovore","VegetarianRoughAnimal, DendrovoreAnimal",IF(_xlfn.XLOOKUP(B166,'Base stats'!B:B,'Base stats'!Y:Y)="Herbivore","VegetarianRoughAnimal",IF(_xlfn.XLOOKUP(B166,'Base stats'!B:B,'Base stats'!Y:Y)="OmnivoreRough","OmnivoreRoughAnimal, OvivoreAnimal","OmnivoreAnimal, OvivoreAnimal"))))))</f>
        <v>VegetarianRoughAnimal</v>
      </c>
      <c r="AZ166" s="2" t="str">
        <f>IF(_xlfn.XLOOKUP(_xlfn.XLOOKUP(B166,'Base stats'!B:B,'Base stats'!E:E),Groups!A:A,Groups!D:D)=1,MROUND((1-J166)*5+1,2)*IF(J166&lt;=0.4,2,1),"No")</f>
        <v>No</v>
      </c>
      <c r="BA166" s="2" t="str">
        <f>IF(AND(_xlfn.XLOOKUP(B166,'Base stats'!B:B,'Base stats'!AH:AH)="&lt;li&gt;Seal&lt;/li&gt;",G166="Odyssey"),"&lt;li&gt;AEXP_Seal&lt;/li&gt;",_xlfn.XLOOKUP(B166,'Base stats'!B:B,'Base stats'!AH:AH))</f>
        <v>&lt;li&gt;Hare&lt;/li&gt;</v>
      </c>
      <c r="BB166" s="2" t="str">
        <f>_xlfn.XLOOKUP(B166,'Base stats'!B:B,'Base stats'!AG:AG)</f>
        <v>Leather_Light</v>
      </c>
      <c r="BC166" s="23" t="str">
        <f>_xlfn.XLOOKUP(_xlfn.XLOOKUP(B166,'Base stats'!B:B,'Base stats'!E:E),Groups!A:A,Groups!AL:AL)</f>
        <v>QuadrupedAnimalWithPaws</v>
      </c>
      <c r="BD166" s="23">
        <f>MIN(1,MROUND(IF(AND(AO166&lt;0.5,_xlfn.XLOOKUP(B166,'Base stats'!B:B,'Base stats'!AA:AA)=0),0,IF(OR(_xlfn.XLOOKUP(Animals!B166,'Base stats'!B:B,'Base stats'!O:O)=2,_xlfn.XLOOKUP(_xlfn.XLOOKUP(B166,'Base stats'!B:B,'Base stats'!E:E),Groups!A:A,Groups!AN:AN)=0),0,_xlfn.XLOOKUP(_xlfn.XLOOKUP(B166,'Base stats'!B:B,'Base stats'!E:E),Groups!A:A,Groups!AN:AN)/IF(_xlfn.XLOOKUP(Animals!B166,'Base stats'!B:B,'Base stats'!O:O)=1,2,1)))+_xlfn.XLOOKUP(B166,'Base stats'!B:B,'Base stats'!AC:AC),0.005))</f>
        <v>0</v>
      </c>
      <c r="BE166" s="23">
        <f>MIN(1,MROUND(IF(AND(AO166&lt;0.5,_xlfn.XLOOKUP(B166,'Base stats'!B:B,'Base stats'!AA:AA)=0),0,IF(_xlfn.XLOOKUP(_xlfn.XLOOKUP(B166,'Base stats'!B:B,'Base stats'!E:E),Groups!A:A,Groups!AO:AO)=0,0,_xlfn.XLOOKUP(_xlfn.XLOOKUP(B166,'Base stats'!B:B,'Base stats'!E:E),Groups!A:A,Groups!AO:AO)/IF(_xlfn.XLOOKUP(Animals!B166,'Base stats'!B:B,'Base stats'!O:O)=2,3,1)))+_xlfn.XLOOKUP(B166,'Base stats'!B:B,'Base stats'!AD:AD),0.005))</f>
        <v>0</v>
      </c>
      <c r="BF166" s="2">
        <f>IF(J166&gt;0.3,"No",_xlfn.XLOOKUP(_xlfn.XLOOKUP(Animals!B166,'Base stats'!B:B,'Base stats'!E:E),Groups!A:A,Groups!AP:AP))</f>
        <v>0.5</v>
      </c>
      <c r="BG166" s="2">
        <f>IF(AND(J166&lt;=0.65,_xlfn.XLOOKUP(_xlfn.XLOOKUP(Animals!B166,'Base stats'!B:B,'Base stats'!E:E),Groups!A:A,Groups!AP:AP)&lt;&gt;"No",_xlfn.XLOOKUP(_xlfn.XLOOKUP(B166,'Base stats'!B:B,'Base stats'!E:E),Groups!A:A,Groups!D:D)=0),MROUND((80/3)*IF(_xlfn.XLOOKUP(B166,'Base stats'!B:B,'Base stats'!O:O)=2,0.2,AO166) + 24*(1-IF(BF166="No",0,BF166)) + 16/3, 12),"No")</f>
        <v>24</v>
      </c>
      <c r="BH166" s="2">
        <f>IF(AND(_xlfn.XLOOKUP(_xlfn.XLOOKUP(B166,'Base stats'!B:B,'Base stats'!E:E),Groups!A:A,Groups!AQ:AQ)=1,AO166&lt;=0.35),8,12)</f>
        <v>8</v>
      </c>
      <c r="BI166" s="2" t="str">
        <f>IF(_xlfn.XLOOKUP(_xlfn.XLOOKUP(B166,'Base stats'!B:B,'Base stats'!E:E),Groups!A:A,Groups!D:D)=0,_xlfn.XLOOKUP(_xlfn.XLOOKUP(B166,'Base stats'!B:B,'Base stats'!E:E),Groups!A:A,Groups!AR:AR),"None")</f>
        <v>None</v>
      </c>
      <c r="BJ166" s="2" t="str">
        <f>IF(AND(_xlfn.XLOOKUP(_xlfn.XLOOKUP(B166,'Base stats'!B:B,'Base stats'!E:E),Groups!A:A,Groups!AS:AS)=1,OR(_xlfn.XLOOKUP(B166,'Base stats'!B:B,'Base stats'!Y:Y)="Carnivore",_xlfn.XLOOKUP(B166,'Base stats'!B:B,'Base stats'!Y:Y)="Omnivore")),"true","false")</f>
        <v>false</v>
      </c>
      <c r="BK166" s="2" t="str">
        <f>IF(BJ166="true",MROUND(IF(AND(AO166&gt;0.5,OR(_xlfn.XLOOKUP(_xlfn.XLOOKUP(B166,'Base stats'!B:B,'Base stats'!E:E),Groups!A:A,Groups!AJ:AJ)="Photonozoa",_xlfn.XLOOKUP(_xlfn.XLOOKUP(B166,'Base stats'!B:B,'Base stats'!E:E),Groups!A:A,Groups!AJ:AJ)="Mammal")),Animals!AO166*1.75*IF(AW166="true",1.5,1),IF(AO166&lt;0.5,Animals!AO166*0.5,Animals!AO166)),IF(AO166&gt;2,0.5,IF(AO166&gt;0.5,0.25,0.1))),"No")</f>
        <v>No</v>
      </c>
      <c r="BL166" s="2">
        <f t="shared" si="17"/>
        <v>0</v>
      </c>
      <c r="BM166" s="25" t="str">
        <f>IF(_xlfn.XLOOKUP(B166,'Base stats'!B:B,'Base stats'!AN:AN)="Standard","No",MROUND((_xlfn.XLOOKUP(B166,'Base stats'!B:B,'Base stats'!AN:AN)/3.6)/I166,0.1))</f>
        <v>No</v>
      </c>
      <c r="BN166" s="25" t="str">
        <f t="shared" si="18"/>
        <v>false</v>
      </c>
      <c r="BO166" s="25" t="str">
        <f>IF(AND(OR(_xlfn.XLOOKUP(B166,'Base stats'!B:B,'Base stats'!Y:Y)="Carnivore",_xlfn.XLOOKUP(B166,'Base stats'!B:B,'Base stats'!Y:Y)="Omnivore",_xlfn.XLOOKUP(B166,'Base stats'!B:B,'Base stats'!Y:Y)="OmnivoreRough"),_xlfn.XLOOKUP(_xlfn.XLOOKUP(B166,'Base stats'!B:B,'Base stats'!E:E),Groups!A:A,Groups!AT:AT)=1),"true","false")</f>
        <v>false</v>
      </c>
      <c r="BP166" s="25" t="str" cm="1">
        <f t="array" ref="BP166">IF(
  _xlfn.TEXTJOIN(", ",TRUE,
    IF(AND(BJ166="true",AO166&gt;0.5,BI166&lt;&gt;"None"),"AttackTarget",""),
    IF(AND(_xlfn.XLOOKUP(_xlfn.XLOOKUP(B166,'Base stats'!B:B,'Base stats'!E:E),Groups!A:A,Groups!AJ:AJ="Mammal"),OR(_xlfn.XLOOKUP(B166,'Base stats'!B:B,'Base stats'!Y:Y)="Omnivore",_xlfn.XLOOKUP(B166,'Base stats'!B:B,'Base stats'!Y:Y)="OmnivoreRough")),"Forage",""),
    IF(BG166&lt;=36,"Comfort",""),
    IF(_xlfn.XLOOKUP(B166,'Base stats'!B:B,'Base stats'!AE:AE)&lt;&gt;"No",_xlfn.XLOOKUP(B166,'Base stats'!B:B,'Base stats'!AE:AE),"")
  ) = "",
  "No",
  _xlfn.TEXTJOIN(", ",TRUE,
    IF(AND(BJ166="true",AO166&gt;0.5,BI166&lt;&gt;"None"),"AttackTarget",""),
    IF(AND(_xlfn.XLOOKUP(_xlfn.XLOOKUP(B166,'Base stats'!B:B,'Base stats'!E:E),Groups!A:A,Groups!AJ:AJ="Mammal"),OR(_xlfn.XLOOKUP(B166,'Base stats'!B:B,'Base stats'!Y:Y)="Omnivore",_xlfn.XLOOKUP(B166,'Base stats'!B:B,'Base stats'!Y:Y)="OmnivoreRough")),"Forage",""),
    IF(BG166&lt;=36,"Comfort",""),
    IF(_xlfn.XLOOKUP(B166,'Base stats'!B:B,'Base stats'!AE:AE)&lt;&gt;"No",_xlfn.XLOOKUP(B166,'Base stats'!B:B,'Base stats'!AE:AE),"")
  )
)</f>
        <v>Comfort</v>
      </c>
      <c r="BQ166" s="25" t="str">
        <f>IF(
   AND(
      'Base stats'!AN166="Standard",_xlfn.XLOOKUP(_xlfn.XLOOKUP(B166,'Base stats'!B:B,'Base stats'!E:E),Groups!A:A,Groups!AU:AU)=0,
      OR(
      BO166="True"
      )
   ),
   10,
   IF(
       OR(BM166&lt;&gt;"No",_xlfn.XLOOKUP(_xlfn.XLOOKUP(B166,'Base stats'!B:B,'Base stats'!E:E),Groups!A:A,Groups!AU:AU)=1),
      1,
      "No"
   )
)</f>
        <v>No</v>
      </c>
      <c r="BR166" s="9">
        <f>MROUND((1 + ((0.2*IF(OR(Q166="No",R166="No",R166=0),0,Q166/R166)
+IF(OR(V166="No",S166="No",T166="No"),0,S166/T166*(LEN(V166)-LEN(SUBSTITUTE(V166,",",""))+1))
+IF(OR(X166="No",Y166="No"),0,X166/Y166)
+IF(OR(AD166="No",AE166="No"),0,AD166/AE166)
+IF(OR(AL166="No",AI166="No",AJ166="No"),0,AI166/AJ166*(LEN(AL166)-LEN(SUBSTITUTE(AL166,",",""))+1))
)/(0.2*IF(OR(Q166="No",R166="No",R166=0),0,1)
+IF(OR(V166="No",S166="No",T166="No"),0,LEN(V166)-LEN(SUBSTITUTE(V166,",",""))+1)
+IF(OR(X166="No",Y166="No"),0,1)
+IF(OR(AD166="No",AE166="No"),0,1)
+IF(OR(AL166="No",AI166="No",AJ166="No"),0,LEN(AL166)-LEN(SUBSTITUTE(AL166,",",""))+1))*62%)* 2)*(1 + (AP166 / (IF(_xlfn.XLOOKUP(_xlfn.XLOOKUP(B166,'Base stats'!B:B,'Base stats'!E:E),Groups!A:A,Groups!AJ:AJ)="Photonozoa",0.3,1)) + _xlfn.XLOOKUP(B166,'Base stats'!B:B,'Base stats'!AV:AV) * 1.8) * 2) * 2.5 + 10 + I166 * 2,5)+IF(_xlfn.XLOOKUP(B166,'Base stats'!B:B,'Base stats'!AK:AK)=1,50,0)</f>
        <v>40</v>
      </c>
      <c r="BS166" s="8">
        <f t="shared" si="19"/>
        <v>0.25</v>
      </c>
      <c r="BT166" s="8" t="str">
        <f>_xlfn.XLOOKUP(B166,'Base stats'!B:B,'Base stats'!AF:AF)</f>
        <v>3~8</v>
      </c>
      <c r="BU166" s="2" t="str">
        <f>IF(AND(J166&lt;=0.95,OR(_xlfn.XLOOKUP(B166,'Base stats'!B:B,'Base stats'!AK:AK)=1,_xlfn.XLOOKUP(B166,'Base stats'!B:B,'Base stats'!Y:Y)="Carnivore",_xlfn.XLOOKUP(B166,'Base stats'!B:B,'Base stats'!Y:Y)="Omnivore",BE166&gt;0.1)),"true","false")</f>
        <v>false</v>
      </c>
      <c r="BV166" s="2" t="str">
        <f>IF(_xlfn.XLOOKUP(B166,'Base stats'!B:B,'Base stats'!AI:AI)=1,"true","false")</f>
        <v>false</v>
      </c>
      <c r="BW166" s="25" t="str">
        <f>IF(E166="BaseInsect","AnimalInsect",
IF(J166&gt;0.95,"AnimalExotic",
_xlfn.TEXTJOIN(", ",TRUE,
IF(OR(_xlfn.XLOOKUP(B166,'Base stats'!B:B,'Base stats'!AM:AM)=1,AND(_xlfn.XLOOKUP(B166,'Base stats'!B:B,'Base stats'!O:O)=0,_xlfn.XLOOKUP(_xlfn.XLOOKUP(B166,'Base stats'!B:B,'Base stats'!E:E),Groups!A:A,Groups!B:B)&gt;0)),"AnimalUncommon","AnimalCommon"),
IF(AND(_xlfn.XLOOKUP(B166,'Base stats'!B:B,'Base stats'!O:O)=2,_xlfn.XLOOKUP(_xlfn.XLOOKUP(B166,'Base stats'!B:B,'Base stats'!E:E),Groups!A:A,Groups!D:D)=0),"AnimalPet",IF(AND(_xlfn.XLOOKUP(B166,'Base stats'!B:B,'Base stats'!O:O)&lt;&gt;0,_xlfn.XLOOKUP(_xlfn.XLOOKUP(B166,'Base stats'!B:B,'Base stats'!E:E),Groups!A:A,Groups!D:D)&lt;&gt;0),"AnimalFarm","")),
IF(OR(_xlfn.XLOOKUP(B166,'Base stats'!B:B,'Base stats'!AK:AK)=1,AND(BI166&lt;&gt;"None",BR166&gt;=60),ISNUMBER(SEARCH("Attack target",BP166))),"AnimalFighter","")
)))</f>
        <v>AnimalUncommon</v>
      </c>
      <c r="BX166" s="25" t="str">
        <f>IF(G166="None",TRIM(
SUBSTITUTE(
IF(COUNTIF(Biomes!B$2:B$259,"="&amp;$C166)&gt;0,Biomes!B$1&amp;", ","")&amp;
IF(COUNTIF(Biomes!C$2:C$259,"="&amp;$C166)&gt;0,Biomes!C$1&amp;", ","")&amp;
IF(COUNTIF(Biomes!D$2:D$259,"="&amp;$C166)&gt;0,Biomes!D$1&amp;", ","")&amp;
IF(COUNTIF(Biomes!F$2:F$259,"="&amp;$C166)&gt;0,Biomes!F$1&amp;", ","")&amp;
IF(COUNTIF(Biomes!G$2:G$259,"="&amp;$C166)&gt;0,Biomes!G$1&amp;", ","")&amp;
IF(COUNTIF(Biomes!H$2:H$259,"="&amp;$C166)&gt;0,Biomes!H$1&amp;", ","")&amp;
IF(COUNTIF(Biomes!I$2:I$259,"="&amp;$C166)&gt;0,Biomes!I$1&amp;", ","")&amp;
IF(COUNTIF(Biomes!J$2:J$259,"="&amp;$C166)&gt;0,Biomes!J$1&amp;", ","")&amp;
IF(COUNTIF(Biomes!M$2:M$259,"="&amp;$C166)&gt;0,Biomes!M$1&amp;", ","")&amp;
IF(COUNTIF(Biomes!N$2:N$259,"="&amp;$C166)&gt;0,Biomes!N$1&amp;", ","")&amp;
IF(COUNTIF(Biomes!O$2:O$259,"="&amp;$C166)&gt;0,Biomes!O$1&amp;", ","")&amp;
IF(COUNTIF(Biomes!P$2:P$259,"="&amp;$C166)&gt;0,Biomes!P$1&amp;", ","")&amp;
IF(COUNTIF(Biomes!K$2:K$259,"="&amp;$C166)&gt;0,Biomes!K$1&amp;", ","")&amp;
IF(COUNTIF(Biomes!Q$3:Q$259,"="&amp;$C166)&gt;0,Biomes!Q$1&amp;", ","")&amp;
IF(COUNTIF(Biomes!L$2:L$259,"="&amp;$C166)&gt;0,Biomes!L$1&amp;", ","")&amp;
IF(COUNTIF(Biomes!E$2:E$259,"="&amp;$C166)&gt;0,Biomes!E$1&amp;", ","")&amp;IF(COUNTIF(Biomes!S$2:S$259,"="&amp;$C166)&gt;0,Biomes!S$1&amp;", ","")&amp;
IF(COUNTIF(Biomes!R$2:R$259,"="&amp;$C166)&gt;0,Biomes!R$1&amp;", ",""),", ","")
),_xlfn.XLOOKUP(B166,B:B,BX:BX))</f>
        <v/>
      </c>
      <c r="BY166" s="25" t="str">
        <f>IF(_xlfn.XLOOKUP(B166,'Base stats'!B:B,'Base stats'!AJ:AJ)=1,"true","false")</f>
        <v>false</v>
      </c>
      <c r="BZ166" s="25">
        <f>IF(_xlfn.XLOOKUP(B166,'Base stats'!B:B,'Base stats'!N:N)=1,"No",MAX(0.001,MIN(MROUND(IF(AND(BJ166="True",CC166="False"),POWER(10,3.47*LOG10(_xlfn.XLOOKUP(B166,'Base stats'!B:B,'Base stats'!C:C)*1000)^-0.96),POWER(10,4.15*LOG10(_xlfn.XLOOKUP(B166,'Base stats'!B:B,'Base stats'!C:C)*1000)^-0.73))*IF(_xlfn.XLOOKUP(B166,'Base stats'!B:B,'Base stats'!AK:AK)=1,0.5,1)*IF(_xlfn.XLOOKUP(B166,'Base stats'!B:B,'Base stats'!AM:AM)=1,0.1,1)/100,IF(_xlfn.XLOOKUP(B166,'Base stats'!B:B,'Base stats'!AM:AM)=1,0.001,0.025)),0.5)))</f>
        <v>4.3000000000000003E-2</v>
      </c>
      <c r="CA166" s="25" t="str">
        <f>IF(P166="Standard","No",MAX(0.001,MIN(MROUND(IF(AND(BJ166="True",CC166="False"),POWER(10,3.47*LOG10(_xlfn.XLOOKUP(B166,'Base stats'!B:B,'Base stats'!C:C)*1000)^-0.96),POWER(10,4.15*LOG10(_xlfn.XLOOKUP(B166,'Base stats'!B:B,'Base stats'!C:C)*1000)^-0.73))*IF(_xlfn.XLOOKUP(B166,'Base stats'!B:B,'Base stats'!AM:AM)=1,0.1,1)*_xlfn.XLOOKUP(B166,'Base stats'!B:B,'Base stats'!R:R)/100,IF(_xlfn.XLOOKUP(B166,'Base stats'!B:B,'Base stats'!AM:AM)=1,0.001,0.025)),0.5)))</f>
        <v>No</v>
      </c>
      <c r="CB166" s="25" t="str">
        <f>IF(_xlfn.XLOOKUP(_xlfn.XLOOKUP(B166,'Base stats'!B:B,'Base stats'!E:E),Groups!A:A,Groups!AJ:AJ)="Mammal","True","False")</f>
        <v>True</v>
      </c>
      <c r="CC166" s="25" t="str">
        <f>IF(OR(_xlfn.XLOOKUP(_xlfn.XLOOKUP(B166,'Base stats'!B:B,'Base stats'!E:E),Groups!A:A,Groups!AJ:AJ)="Reptile",_xlfn.XLOOKUP(_xlfn.XLOOKUP(B166,'Base stats'!B:B,'Base stats'!E:E),Groups!A:A,Groups!AJ:AJ)="Amphibian",_xlfn.XLOOKUP(_xlfn.XLOOKUP(B166,'Base stats'!B:B,'Base stats'!E:E),Groups!A:A,Groups!AJ:AJ)="Invertebrate"),"True","False")</f>
        <v>False</v>
      </c>
      <c r="CD166" s="25" t="str">
        <f t="shared" si="20"/>
        <v>False</v>
      </c>
      <c r="CE166" s="25" t="str">
        <f>IF(_xlfn.XLOOKUP(_xlfn.XLOOKUP(B166,'Base stats'!B:B,'Base stats'!E:E),Groups!A:A,Groups!AX:AX),"True","False")</f>
        <v>False</v>
      </c>
      <c r="CF166" s="25" t="str">
        <f>IF(_xlfn.XLOOKUP(_xlfn.XLOOKUP(B166,'Base stats'!B:B,'Base stats'!E:E),Groups!A:A,Groups!AY:AY),"True","False")</f>
        <v>False</v>
      </c>
      <c r="CG166" s="25" t="str">
        <f>IF(_xlfn.XLOOKUP(_xlfn.XLOOKUP(B166,'Base stats'!B:B,'Base stats'!E:E),Groups!A:A,Groups!AW:AW),"True","False")</f>
        <v>False</v>
      </c>
      <c r="CH166" s="25" t="str">
        <f>IF(
OR(
_xlfn.XLOOKUP(_xlfn.XLOOKUP(B166,'Base stats'!B:B,'Base stats'!E:E),Groups!A:A,Groups!AZ:AZ)=0,
AND(
_xlfn.XLOOKUP(B166,'Base stats'!B:B,'Base stats'!Y:Y)&lt;&gt;"Carnivore",
_xlfn.XLOOKUP(B166,'Base stats'!B:B,'Base stats'!Y:Y)&lt;&gt;"Omnivore",
_xlfn.XLOOKUP(B166,'Base stats'!B:B,'Base stats'!Y:Y)&lt;&gt;"OmnivoreRough"
)
),
"No",
IF(
_xlfn.XLOOKUP(_xlfn.XLOOKUP(B166,'Base stats'!B:B,'Base stats'!E:E),Groups!A:A,Groups!AZ:AZ)=1,
"Flesh",
IF(
_xlfn.XLOOKUP(_xlfn.XLOOKUP(B166,'Base stats'!B:B,'Base stats'!E:E),Groups!A:A,Groups!AZ:AZ)=2,
"Bone",
""
)
)
)</f>
        <v>No</v>
      </c>
      <c r="CI166" s="25" t="str">
        <f>IF(_xlfn.XLOOKUP(_xlfn.XLOOKUP(B166,'Base stats'!B:B,'Base stats'!E:E),Groups!A:A,Groups!BB:BB),"True","False")</f>
        <v>True</v>
      </c>
      <c r="CJ166" s="25" t="str">
        <f>IF(_xlfn.XLOOKUP(_xlfn.XLOOKUP(B166,'Base stats'!B:B,'Base stats'!E:E),Groups!A:A,Groups!BA:BA),"True","False")</f>
        <v>False</v>
      </c>
    </row>
    <row r="167" spans="1:88" ht="16.5" thickTop="1" thickBot="1" x14ac:dyDescent="0.3">
      <c r="A167" s="26" t="str">
        <f>_xlfn.XLOOKUP(B167,'Base stats'!B:B,'Base stats'!A:A)</f>
        <v>Harpactotyrannus</v>
      </c>
      <c r="B167" s="6" t="s">
        <v>1163</v>
      </c>
      <c r="C167" s="28" t="s">
        <v>1165</v>
      </c>
      <c r="D167" s="28" t="s">
        <v>1166</v>
      </c>
      <c r="E167" s="28" t="s">
        <v>1167</v>
      </c>
      <c r="F167" s="28" t="s">
        <v>1168</v>
      </c>
      <c r="G167" s="28" t="s">
        <v>673</v>
      </c>
      <c r="H167" s="2">
        <f>MROUND((
  (IF(AND(_xlfn.XLOOKUP(B167,'Base stats'!B:B,'Base stats'!AL:AL)=0,BI167="None",_xlfn.XLOOKUP(_xlfn.XLOOKUP(B167,'Base stats'!B:B,'Base stats'!E:E),Groups!A:A,Groups!B:B)=0), (18 + BR167 * 2.7) * 0.5,
    IF(AND(_xlfn.XLOOKUP(B167,'Base stats'!B:B,'Base stats'!AL:AL)=0,OR(AO167&lt;0.55,AND(BI167="Intermediate",_xlfn.XLOOKUP(_xlfn.XLOOKUP(B167,'Base stats'!B:B,'Base stats'!E:E),Groups!A:A,Groups!B:B)&lt;2))), (18 + BR167 * 2.7),
      IF(OR(BI167="Advanced",_xlfn.XLOOKUP(B167,'Base stats'!B:B,'Base stats'!AL:AL)=1,_xlfn.XLOOKUP(_xlfn.XLOOKUP(B167,'Base stats'!B:B,'Base stats'!E:E),Groups!A:A,Groups!B:B)=2), (18 + BR167 * 2.7) + 250, (18 + BR167 * 2.7))
    )
  ))
  + AO167 * 80
  + IF(COUNTIF(EggMilk!K$2:K$998, A167) &gt; 0, 125, 0)
  + IF(COUNTIF(EggMilk!P$2:P$998, A167) &gt; 0, 90, 0)
  + IF(COUNTIF(EggMilk!A$2:A$998, A167) &gt; 0, 90, 0)
)
* (0.8 + 0.4 * J167)
* 0.75,25)</f>
        <v>22100</v>
      </c>
      <c r="I167" s="2">
        <f>MROUND(ROUNDDOWN(_xlfn.XLOOKUP(B167,'Base stats'!B:B,'Base stats'!L:L)/3.6/(23.3/11),1),0.5)</f>
        <v>13</v>
      </c>
      <c r="J167" s="2">
        <f>IF(OR(_xlfn.XLOOKUP(B167,'Base stats'!B:B,'Base stats'!AB:AB)=1,_xlfn.XLOOKUP(_xlfn.XLOOKUP(B167,'Base stats'!B:B,'Base stats'!E:E),Groups!A:A,Groups!C:C)="Untamable"),1,IF(_xlfn.XLOOKUP(B167,'Base stats'!B:B,'Base stats'!AL:AL)=1,0.99,MIN(MROUND((1-0.6282*EXP(-0.459*AO167))*_xlfn.XLOOKUP(_xlfn.XLOOKUP(B167,'Base stats'!B:B,'Base stats'!E:E),Groups!A:A,Groups!C:C)*IF(_xlfn.XLOOKUP(B167,'Base stats'!B:B,'Base stats'!O:O)=1,0.5,IF(_xlfn.XLOOKUP(B167,'Base stats'!B:B,'Base stats'!O:O)=2,0,1)),0.05),IF(AO167&gt;3.5,0.985,0.95))))</f>
        <v>1</v>
      </c>
      <c r="K167" s="2">
        <f>ROUNDUP(AO167*_xlfn.XLOOKUP(_xlfn.XLOOKUP(B167,'Base stats'!B:B,'Base stats'!E:E),Groups!A:A,Groups!E:E),0)</f>
        <v>6</v>
      </c>
      <c r="L167" s="2">
        <f>IF(OR(_xlfn.XLOOKUP(_xlfn.XLOOKUP(B167,'Base stats'!B:B,'Base stats'!E:E),Groups!A:A,Groups!F:F)=2,ISNUMBER(SEARCH("SeaIce",BX167)),ISNUMBER(SEARCH("IceSheet",BX167))),-50,IF(OR(ISNUMBER(SEARCH("GlacialPlain",BX167)),ISNUMBER(SEARCH("Tundra",BX167))),-40,IF(OR(ISNUMBER(SEARCH("Alpine",BX167)),ISNUMBER(SEARCH("BorealForest",BX167)),ISNUMBER(SEARCH("ColdBog",BX167))),-30,IF(OR(ISNUMBER(SEARCH("TemperateForest",BX167)),ISNUMBER(SEARCH("TemperateSwamp",BX167))),-20,IF(_xlfn.XLOOKUP(_xlfn.XLOOKUP(B167,'Base stats'!B:B,'Base stats'!E:E),Groups!A:A,Groups!F:F)=1,-15,IF(OR(ISNUMBER(SEARCH("Desert",BX167)),ISNUMBER(SEARCH("ExtremeDesert",BX167))),-10,IF(OR(ISNUMBER(SEARCH("Grasslands",BX167)),ISNUMBER(SEARCH("TropicalRainforest",BX167)),ISNUMBER(SEARCH("TropicalSwamp",BX167))),10,0)))))))-IF(CC167="False",MIN(IFERROR(MAX(MROUND(LOG10(_xlfn.XLOOKUP(B167,'Base stats'!B:B,'Base stats'!C:C)^(2/3))*10,5),5),5),30))-_xlfn.XLOOKUP(B167,'Base stats'!B:B,'Base stats'!P:P)+IF(CC167="True",5,0)</f>
        <v>-175</v>
      </c>
      <c r="M167" s="2">
        <f>IF(OR(_xlfn.XLOOKUP(_xlfn.XLOOKUP(B167,'Base stats'!B:B,'Base stats'!E:E),Groups!A:A,Groups!G:G)=2,ISNUMBER(SEARCH("Desert",BX167)),ISNUMBER(SEARCH("ExtremeDesert",BX167)),ISNUMBER(SEARCH("LavaField",BX167))),50,IF(ISNUMBER(SEARCH("Grasslands",BX167)),45,IF(OR(_xlfn.XLOOKUP(_xlfn.XLOOKUP(B167,'Base stats'!B:B,'Base stats'!E:E),Groups!A:A,Groups!G:G)=1,ISNUMBER(SEARCH("TropicalRainforest",BX167)),ISNUMBER(SEARCH("TropicalSwamp",BX167))),40,IF(OR(ISNUMBER(SEARCH("TemperateForest",BX167)),ISNUMBER(SEARCH("TemperateSwamp",BX167))),35,IF(OR(ISNUMBER(SEARCH("Alpine",BX167)),ISNUMBER(SEARCH("BorealForest",BX167)),ISNUMBER(SEARCH("ColdBog",BX167))),30,IF(ISNUMBER(OR(ISNUMBER(SEARCH("GlacialPlain",BX167)),SEARCH("Tundra",BX167))),25,IF(OR(ISNUMBER(SEARCH("SeaIce",BX167)),ISNUMBER(SEARCH("IceSheet",BX167)),ISNUMBER(SEARCH("TropicalSwamp",BX167))),10,35)))))))+_xlfn.XLOOKUP(B167,'Base stats'!B:B,'Base stats'!Q:Q)</f>
        <v>150</v>
      </c>
      <c r="N167" s="8">
        <f>IF(
_xlfn.XLOOKUP(
_xlfn.XLOOKUP(B167,'Base stats'!B:B,'Base stats'!E:E),
Groups!A:A,
Groups!L:L
)=1,
MIN(
MROUND(
IF(
_xlfn.XLOOKUP(B167,'Animals CE'!B:B,'Animals CE'!Z:Z)&lt;=1.5,
_xlfn.XLOOKUP(B167,'Animals CE'!B:B,'Animals CE'!Z:Z)/2+0.05,
0.8+
(_xlfn.XLOOKUP(B167,'Animals CE'!B:B,'Animals CE'!Z:Z)-1.5)
*0.02
),
0.05
),
200%
),
"No"
)</f>
        <v>1</v>
      </c>
      <c r="O167" s="8">
        <f>IF(
_xlfn.XLOOKUP(
_xlfn.XLOOKUP(B167,'Base stats'!B:B,'Base stats'!E:E),
Groups!A:A,
Groups!L:L
)=1,
MIN(
MROUND(
IF(
_xlfn.XLOOKUP(B167,'Animals CE'!B:B,'Animals CE'!AA:AA)&lt;=1.5,
_xlfn.XLOOKUP(B167,'Animals CE'!B:B,'Animals CE'!AA:AA)/2+0.05,
0.8+
(_xlfn.XLOOKUP(B167,'Animals CE'!B:B,'Animals CE'!AA:AA)-1.5)
*0.02
),
0.05
),
200%
),
"No"
)</f>
        <v>1.8</v>
      </c>
      <c r="P167" s="2">
        <f>_xlfn.XLOOKUP(B167,'Base stats'!B:B,'Base stats'!R:R)</f>
        <v>1</v>
      </c>
      <c r="Q167" s="13">
        <f>MROUND((LOG10(_xlfn.XLOOKUP(B167,'Base stats'!B:B,'Base stats'!AR:AR))*(AO167^0.5)+(_xlfn.XLOOKUP(B167,'Base stats'!B:B,'Base stats'!AR:AR)/1000)^(2/3)+_xlfn.XLOOKUP(B167,'Base stats'!B:B,'Base stats'!BA:BA)/2)+0.5,0.5)</f>
        <v>43.5</v>
      </c>
      <c r="R167" s="7">
        <f>IF(Q167="No","No",MAX(1,MROUND(_xlfn.XLOOKUP(B167,'Base stats'!B:B,'Base stats'!C:C)^0.165,0.05)))</f>
        <v>4.3</v>
      </c>
      <c r="S167" s="13" t="str">
        <f>IF(_xlfn.XLOOKUP(_xlfn.XLOOKUP(B167,'Base stats'!B:B,'Base stats'!E:E),Groups!A:A,Groups!P:P)=0,"No",MROUND((LOG10(_xlfn.XLOOKUP(B167,'Base stats'!B:B,'Base stats'!AS:AS))*(AO167^0.5)+(_xlfn.XLOOKUP(B167,'Base stats'!B:B,'Base stats'!AS:AS)/1000)^(2/3)+_xlfn.XLOOKUP(B167,'Base stats'!B:B,'Base stats'!BA:BA))+_xlfn.XLOOKUP(B167,'Base stats'!B:B,'Base stats'!AY:AY)+0.5,0.5))</f>
        <v>No</v>
      </c>
      <c r="T167" s="7" t="str">
        <f>IF(S167="No","No",MAX(_xlfn.XLOOKUP(_xlfn.XLOOKUP(B167,'Base stats'!B:B,'Base stats'!E:E),Groups!A:A,Groups!Q:Q),MROUND(_xlfn.XLOOKUP(_xlfn.XLOOKUP(B167,'Base stats'!B:B,'Base stats'!E:E),Groups!A:A,Groups!Q:Q)*_xlfn.XLOOKUP(B167,'Base stats'!B:B,'Base stats'!C:C)^0.165,0.05)))</f>
        <v>No</v>
      </c>
      <c r="U167" s="7" t="str">
        <f>IF(S167="No","No",_xlfn.XLOOKUP(_xlfn.XLOOKUP(B167,'Base stats'!B:B,'Base stats'!E:E),Groups!A:A,Groups!R:R))</f>
        <v>No</v>
      </c>
      <c r="V167" s="7" t="str">
        <f>IF(S167="No","No",_xlfn.XLOOKUP(_xlfn.XLOOKUP(B167,'Base stats'!B:B,'Base stats'!E:E),Groups!A:A,Groups!S:S))</f>
        <v>No</v>
      </c>
      <c r="W167" s="7" t="str">
        <f>IF(S167="No","No",_xlfn.XLOOKUP(_xlfn.XLOOKUP(B167,'Base stats'!B:B,'Base stats'!E:E),Groups!A:A,Groups!T:T))</f>
        <v>No</v>
      </c>
      <c r="X167" s="13" t="str">
        <f>IF(_xlfn.XLOOKUP(B167,'Base stats'!B:B,'Base stats'!W:W)="No","No",MROUND((LOG10(_xlfn.XLOOKUP(B167,'Base stats'!B:B,'Base stats'!AU:AU))*(AO167^0.5)+(_xlfn.XLOOKUP(B167,'Base stats'!B:B,'Base stats'!AU:AU)/1000)^(2/3)+_xlfn.XLOOKUP(B167,'Base stats'!B:B,'Base stats'!AZ:AZ))+0.5+IF(_xlfn.XLOOKUP(_xlfn.XLOOKUP(B167,'Base stats'!B:B,'Base stats'!E:E),Groups!A:A,Groups!U:U)&lt;&gt;3,_xlfn.XLOOKUP(B167,'Base stats'!B:B,'Base stats'!BA:BA),0),0.5))</f>
        <v>No</v>
      </c>
      <c r="Y167" s="7" t="str">
        <f>IF(X167="No","No",MAX(_xlfn.XLOOKUP(_xlfn.XLOOKUP(B167,'Base stats'!B:B,'Base stats'!E:E),Groups!A:A,Groups!V:V),MROUND(_xlfn.XLOOKUP(_xlfn.XLOOKUP(B167,'Base stats'!B:B,'Base stats'!E:E),Groups!A:A,Groups!V:V)*_xlfn.XLOOKUP(B167,'Base stats'!B:B,'Base stats'!C:C)^0.165,0.05)))</f>
        <v>No</v>
      </c>
      <c r="Z167" s="7" t="str">
        <f>IF(X167="No","No",_xlfn.XLOOKUP(_xlfn.XLOOKUP(B167,'Base stats'!B:B,'Base stats'!E:E),Groups!A:A,Groups!W:W))</f>
        <v>No</v>
      </c>
      <c r="AA167" s="7" t="str">
        <f>IF(X167="No","No",_xlfn.XLOOKUP(_xlfn.XLOOKUP(B167,'Base stats'!B:B,'Base stats'!E:E),Groups!A:A,Groups!X:X))</f>
        <v>No</v>
      </c>
      <c r="AB167" s="7" t="str">
        <f>IF(X167="No","No",_xlfn.XLOOKUP(_xlfn.XLOOKUP(B167,'Base stats'!B:B,'Base stats'!E:E),Groups!A:A,Groups!Y:Y))</f>
        <v>No</v>
      </c>
      <c r="AC167" s="7" t="str">
        <f>_xlfn.XLOOKUP(Animals!B167,'Base stats'!B:B,'Base stats'!X:X)</f>
        <v>False</v>
      </c>
      <c r="AD167" s="13">
        <f>IF(_xlfn.XLOOKUP(B167,'Base stats'!B:B,'Base stats'!AT:AT)="No","No",MROUND((LOG10(_xlfn.XLOOKUP(B167,'Base stats'!B:B,'Base stats'!AT:AT))*(AO167^0.75)+(_xlfn.XLOOKUP(B167,'Base stats'!B:B,'Base stats'!AT:AT)/1000)^(2/3)+_xlfn.XLOOKUP(B167,'Base stats'!B:B,'Base stats'!AX:AX)+_xlfn.XLOOKUP(B167,'Base stats'!B:B,'Base stats'!BA:BA))+0.5,0.5))</f>
        <v>117</v>
      </c>
      <c r="AE167" s="7">
        <f>IF(AD167="No","No",MAX(_xlfn.XLOOKUP(_xlfn.XLOOKUP(B167,'Base stats'!B:B,'Base stats'!E:E),Groups!A:A,Groups!Z:Z),MROUND(_xlfn.XLOOKUP(_xlfn.XLOOKUP(B167,'Base stats'!B:B,'Base stats'!E:E),Groups!A:A,Groups!Z:Z)*_xlfn.XLOOKUP(B167,'Base stats'!B:B,'Base stats'!C:C)^0.165,0.05)))</f>
        <v>2.15</v>
      </c>
      <c r="AF167" s="7" t="str">
        <f>IF(AD167="No","No",_xlfn.XLOOKUP(_xlfn.XLOOKUP(B167,'Base stats'!B:B,'Base stats'!E:E),Groups!A:A,Groups!AA:AA))</f>
        <v>Teeth</v>
      </c>
      <c r="AG167" s="7" t="str">
        <f>IF(AD167="No","No",_xlfn.XLOOKUP(_xlfn.XLOOKUP(B167,'Base stats'!B:B,'Base stats'!E:E),Groups!A:A,Groups!AB:AB))</f>
        <v>canines</v>
      </c>
      <c r="AH167" s="7" t="str">
        <f>IF(AD167="No","No",_xlfn.XLOOKUP(_xlfn.XLOOKUP(B167,'Base stats'!B:B,'Base stats'!E:E),Groups!A:A,Groups!AC:AC))</f>
        <v>Bite</v>
      </c>
      <c r="AI167" s="13">
        <f>IF(_xlfn.XLOOKUP(_xlfn.XLOOKUP(B167,'Base stats'!B:B,'Base stats'!E:E),Groups!A:A,Groups!AD:AD)=0,"No",MROUND((LOG10(_xlfn.XLOOKUP(B167,'Base stats'!B:B,'Base stats'!AS:AS))*(AO167^0.75)+(_xlfn.XLOOKUP(B167,'Base stats'!B:B,'Base stats'!AS:AS)/1000)^(2/3)+_xlfn.XLOOKUP(B167,'Base stats'!B:B,'Base stats'!AY:AY)+_xlfn.XLOOKUP(B167,'Base stats'!B:B,'Base stats'!BA:BA))+0.5,0.5))</f>
        <v>62.5</v>
      </c>
      <c r="AJ167" s="7">
        <f>IF(AI167="No","No",MAX(_xlfn.XLOOKUP(_xlfn.XLOOKUP(B167,'Base stats'!B:B,'Base stats'!E:E),Groups!A:A,Groups!AE:AE),MROUND(_xlfn.XLOOKUP(_xlfn.XLOOKUP(B167,'Base stats'!B:B,'Base stats'!E:E),Groups!A:A,Groups!AE:AE)*IF(_xlfn.XLOOKUP(_xlfn.XLOOKUP(B167,'Base stats'!B:B,'Base stats'!E:E),Groups!A:A,Groups!AJ:AJ)="Photonozoa",0.6,1)*_xlfn.XLOOKUP(B167,'Base stats'!B:B,'Base stats'!C:C)^0.165,0.05)))</f>
        <v>1.1500000000000001</v>
      </c>
      <c r="AK167" s="7" t="str">
        <f>IF(AI167="No","No",_xlfn.XLOOKUP(_xlfn.XLOOKUP(B167,'Base stats'!B:B,'Base stats'!E:E),Groups!A:A,Groups!AF:AF))</f>
        <v>FrontLeftPaw, FrontRightPaw</v>
      </c>
      <c r="AL167" s="7" t="str">
        <f>IF(AI167="No","No",_xlfn.XLOOKUP(_xlfn.XLOOKUP(B167,'Base stats'!B:B,'Base stats'!E:E),Groups!A:A,Groups!AG:AG))</f>
        <v>left claw, right claw</v>
      </c>
      <c r="AM167" s="7" t="str">
        <f>IF(AI167="No","No",_xlfn.XLOOKUP(_xlfn.XLOOKUP(B167,'Base stats'!B:B,'Base stats'!E:E),Groups!A:A,Groups!AH:AH))</f>
        <v>Scratch</v>
      </c>
      <c r="AN167" s="2">
        <f t="shared" si="14"/>
        <v>45</v>
      </c>
      <c r="AO167" s="2">
        <f>MROUND(IF(AND(_xlfn.XLOOKUP(B167,'Base stats'!B:B,'Base stats'!C:C)&gt;=0.5,_xlfn.XLOOKUP(B167,'Base stats'!B:B,'Base stats'!C:C)&lt;=0.8),
IF(_xlfn.XLOOKUP(B167,'Base stats'!B:B,'Base stats'!C:C)&lt;0.1,0.05,IF(_xlfn.XLOOKUP(B167,'Base stats'!B:B,'Base stats'!C:C)&lt;=70,(_xlfn.XLOOKUP(B167,'Base stats'!B:B,'Base stats'!C:C)/70)^0.426489913056526,IF(_xlfn.XLOOKUP(B167,'Base stats'!B:B,'Base stats'!C:C)&lt;=400,(_xlfn.XLOOKUP(B167,'Base stats'!B:B,'Base stats'!C:C)/70)^0.572811455315093,IF(_xlfn.XLOOKUP(B167,'Base stats'!B:B,'Base stats'!C:C)&lt;=2000,2.71391647193063*(_xlfn.XLOOKUP(B167,'Base stats'!B:B,'Base stats'!C:C)/400)^0.252459582904293,3.74314280240376*(_xlfn.XLOOKUP(B167,'Base stats'!B:B,'Base stats'!C:C)/2000)^0.357012633876913)))),
IF(_xlfn.XLOOKUP(B167,'Base stats'!B:B,'Base stats'!C:C)&lt;0.1,0.05,IF(_xlfn.XLOOKUP(B167,'Base stats'!B:B,'Base stats'!C:C)&lt;0.4,0.1,IF(_xlfn.XLOOKUP(B167,'Base stats'!B:B,'Base stats'!C:C)&lt;=70,(_xlfn.XLOOKUP(B167,'Base stats'!B:B,'Base stats'!C:C)/70)^0.445823913056526,IF(_xlfn.XLOOKUP(B167,'Base stats'!B:B,'Base stats'!C:C)&lt;=400,(_xlfn.XLOOKUP(B167,'Base stats'!B:B,'Base stats'!C:C)/70)^0.572811455315093,IF(_xlfn.XLOOKUP(B167,'Base stats'!B:B,'Base stats'!C:C)&lt;=2000,2.71391647193063*(_xlfn.XLOOKUP(B167,'Base stats'!B:B,'Base stats'!C:C)/400)^0.252459582904293,3.74314280240376*(_xlfn.XLOOKUP(B167,'Base stats'!B:B,'Base stats'!C:C)/2000)^0.357012633876913)))))),
IF(_xlfn.XLOOKUP(B167,'Base stats'!B:B,'Base stats'!C:C)&lt;0.1,0.05,IF(_xlfn.XLOOKUP(B167,'Base stats'!B:B,'Base stats'!C:C)&lt;=100,0.05,IF(_xlfn.XLOOKUP(B167,'Base stats'!B:B,'Base stats'!C:C)&lt;=250,0.1,IF(_xlfn.XLOOKUP(B167,'Base stats'!B:B,'Base stats'!C:C)&lt;=4000,0.25,0.5)))))</f>
        <v>6</v>
      </c>
      <c r="AP167" s="8">
        <f>MROUND(AO167*_xlfn.XLOOKUP(_xlfn.XLOOKUP(B167,'Base stats'!B:B,'Base stats'!E:E),Groups!A:A,Groups!AI:AI)*_xlfn.XLOOKUP(B167,'Base stats'!B:B,'Base stats'!Z:Z),0.05)</f>
        <v>7.2</v>
      </c>
      <c r="AQ167" s="8">
        <f>MAX(0.01,MROUND(IF(CC167="True",0.196*(AO167*100*1000)^0.889,IF(_xlfn.XLOOKUP(_xlfn.XLOOKUP(B167,'Base stats'!B:B,'Base stats'!E:E),Groups!A:A,Groups!AJ:AJ)="Bird",10.5*(AO167*100*1000)^0.681,4.82*(AO167*100*1000)^0.734))/(4.82*(1*100*1000)^0.734)/IF(AO167&lt;3.5,2,IF(AO167=3.5,1.5,1.25))*(1+0.132282374779864/(AO167^0.994035016789033+0.00905238001496948)),0.05))</f>
        <v>3.0500000000000003</v>
      </c>
      <c r="AR167" s="9">
        <f>IFERROR(MROUND(_xlfn.XLOOKUP(B167,'Base stats'!B:B,'Base stats'!H:H)/IF(_xlfn.XLOOKUP(B167,'Base stats'!B:B,'Base stats'!I:I)&lt;&gt;1,(122.5/70),1.2),IF(_xlfn.XLOOKUP(B167,'Base stats'!B:B,'Base stats'!H:H)&gt;=30,5,IF(_xlfn.XLOOKUP(B167,'Base stats'!B:B,'Base stats'!H:H)&gt;=15,3,IF(_xlfn.XLOOKUP(B167,'Base stats'!B:B,'Base stats'!H:H)&gt;=10,2,1)))),"Immortal")</f>
        <v>1000</v>
      </c>
      <c r="AS167" s="35" t="str">
        <f>IFERROR(IF(OR(_xlfn.XLOOKUP(B167,'Base stats'!B:B,'Base stats'!F:F)="Atypical reproduction",_xlfn.XLOOKUP(B167,'Base stats'!B:B,'Base stats'!F:F)="Lay eggs"),"Lay eggs",MIN(20,MAX(5.5,ROUND(((_xlfn.XLOOKUP(B167,'Base stats'!B:B,'Base stats'!F:F)-25)*(14.5/615) + 5.5)*2,0)/2))),"Unknown")</f>
        <v>Lay eggs</v>
      </c>
      <c r="AT167" s="8">
        <f>IF(_xlfn.XLOOKUP(B167,'Base stats'!B:B,'Base stats'!G:G)="Atypical reproduction","No",IFERROR(MAX(IF(_xlfn.XLOOKUP(B167,'Base stats'!B:B,'Base stats'!G:G)&lt;0.5,0.2,0.3),MROUND(_xlfn.XLOOKUP(B167,'Base stats'!B:B,'Base stats'!G:G)/(365/60),0.2)),"Unknown"))</f>
        <v>2.4000000000000004</v>
      </c>
      <c r="AU167" s="8">
        <f t="shared" si="15"/>
        <v>1.2000000000000002</v>
      </c>
      <c r="AV167" s="8" t="str">
        <f>IFERROR(IFERROR(MROUND(_xlfn.XLOOKUP(B167,'Base stats'!B:B,'Base stats'!J:J),0.1),"Lay eggs"),"Cannot breed")</f>
        <v>Lay eggs</v>
      </c>
      <c r="AW167" s="2" t="str">
        <f t="shared" si="16"/>
        <v>false</v>
      </c>
      <c r="AX167" s="2" t="str">
        <f>IF(_xlfn.XLOOKUP(_xlfn.XLOOKUP(Animals!B167,'Base stats'!B:B,'Base stats'!E:E),Groups!A:A,Groups!AK:AK)=1,"true","false")</f>
        <v>false</v>
      </c>
      <c r="AY167" s="25" t="str">
        <f>IF(_xlfn.XLOOKUP(B167,'Base stats'!B:B,'Base stats'!Y:Y)="Liquor","Liquor, CarnivoreAnimalStrict",IF(AND(_xlfn.XLOOKUP(B167,'Base stats'!B:B,'Base stats'!Y:Y)="Carnivore",_xlfn.XLOOKUP(_xlfn.XLOOKUP(B167,'Base stats'!B:B,'Base stats'!E:E),Groups!A:A,Groups!AJ:AJ)="Photonozoa"),"CarnivoreAnimalStrict, OvivoreAnimal",IF(_xlfn.XLOOKUP(B167,'Base stats'!B:B,'Base stats'!Y:Y)="Carnivore","CarnivoreAnimal, OvivoreAnimal",IF(_xlfn.XLOOKUP(B167,'Base stats'!B:B,'Base stats'!Y:Y)="Dendrovore","VegetarianRoughAnimal, DendrovoreAnimal",IF(_xlfn.XLOOKUP(B167,'Base stats'!B:B,'Base stats'!Y:Y)="Herbivore","VegetarianRoughAnimal",IF(_xlfn.XLOOKUP(B167,'Base stats'!B:B,'Base stats'!Y:Y)="OmnivoreRough","OmnivoreRoughAnimal, OvivoreAnimal","OmnivoreAnimal, OvivoreAnimal"))))))</f>
        <v>CarnivoreAnimalStrict, OvivoreAnimal</v>
      </c>
      <c r="AZ167" s="2" t="str">
        <f>IF(_xlfn.XLOOKUP(_xlfn.XLOOKUP(B167,'Base stats'!B:B,'Base stats'!E:E),Groups!A:A,Groups!D:D)=1,MROUND((1-J167)*5+1,2)*IF(J167&lt;=0.4,2,1),"No")</f>
        <v>No</v>
      </c>
      <c r="BA167" s="2" t="str">
        <f>IF(AND(_xlfn.XLOOKUP(B167,'Base stats'!B:B,'Base stats'!AH:AH)="&lt;li&gt;Seal&lt;/li&gt;",G167="Odyssey"),"&lt;li&gt;AEXP_Seal&lt;/li&gt;",_xlfn.XLOOKUP(B167,'Base stats'!B:B,'Base stats'!AH:AH))</f>
        <v>No</v>
      </c>
      <c r="BB167" s="2" t="str">
        <f>_xlfn.XLOOKUP(B167,'Base stats'!B:B,'Base stats'!AG:AG)</f>
        <v>Leather_Photonozoa</v>
      </c>
      <c r="BC167" s="23" t="str">
        <f>_xlfn.XLOOKUP(_xlfn.XLOOKUP(B167,'Base stats'!B:B,'Base stats'!E:E),Groups!A:A,Groups!AL:AL)</f>
        <v>Xenofelid</v>
      </c>
      <c r="BD167" s="23">
        <f>MIN(1,MROUND(IF(AND(AO167&lt;0.5,_xlfn.XLOOKUP(B167,'Base stats'!B:B,'Base stats'!AA:AA)=0),0,IF(OR(_xlfn.XLOOKUP(Animals!B167,'Base stats'!B:B,'Base stats'!O:O)=2,_xlfn.XLOOKUP(_xlfn.XLOOKUP(B167,'Base stats'!B:B,'Base stats'!E:E),Groups!A:A,Groups!AN:AN)=0),0,_xlfn.XLOOKUP(_xlfn.XLOOKUP(B167,'Base stats'!B:B,'Base stats'!E:E),Groups!A:A,Groups!AN:AN)/IF(_xlfn.XLOOKUP(Animals!B167,'Base stats'!B:B,'Base stats'!O:O)=1,2,1)))+_xlfn.XLOOKUP(B167,'Base stats'!B:B,'Base stats'!AC:AC),0.005))</f>
        <v>1</v>
      </c>
      <c r="BE167" s="23">
        <f>MIN(1,MROUND(IF(AND(AO167&lt;0.5,_xlfn.XLOOKUP(B167,'Base stats'!B:B,'Base stats'!AA:AA)=0),0,IF(_xlfn.XLOOKUP(_xlfn.XLOOKUP(B167,'Base stats'!B:B,'Base stats'!E:E),Groups!A:A,Groups!AO:AO)=0,0,_xlfn.XLOOKUP(_xlfn.XLOOKUP(B167,'Base stats'!B:B,'Base stats'!E:E),Groups!A:A,Groups!AO:AO)/IF(_xlfn.XLOOKUP(Animals!B167,'Base stats'!B:B,'Base stats'!O:O)=2,3,1)))+_xlfn.XLOOKUP(B167,'Base stats'!B:B,'Base stats'!AD:AD),0.005))</f>
        <v>1</v>
      </c>
      <c r="BF167" s="2" t="str">
        <f>IF(J167&gt;0.3,"No",_xlfn.XLOOKUP(_xlfn.XLOOKUP(Animals!B167,'Base stats'!B:B,'Base stats'!E:E),Groups!A:A,Groups!AP:AP))</f>
        <v>No</v>
      </c>
      <c r="BG167" s="2" t="str">
        <f>IF(AND(J167&lt;=0.65,_xlfn.XLOOKUP(_xlfn.XLOOKUP(Animals!B167,'Base stats'!B:B,'Base stats'!E:E),Groups!A:A,Groups!AP:AP)&lt;&gt;"No",_xlfn.XLOOKUP(_xlfn.XLOOKUP(B167,'Base stats'!B:B,'Base stats'!E:E),Groups!A:A,Groups!D:D)=0),MROUND((80/3)*IF(_xlfn.XLOOKUP(B167,'Base stats'!B:B,'Base stats'!O:O)=2,0.2,AO167) + 24*(1-IF(BF167="No",0,BF167)) + 16/3, 12),"No")</f>
        <v>No</v>
      </c>
      <c r="BH167" s="2">
        <f>IF(AND(_xlfn.XLOOKUP(_xlfn.XLOOKUP(B167,'Base stats'!B:B,'Base stats'!E:E),Groups!A:A,Groups!AQ:AQ)=1,AO167&lt;=0.35),8,12)</f>
        <v>12</v>
      </c>
      <c r="BI167" s="2" t="str">
        <f>IF(_xlfn.XLOOKUP(_xlfn.XLOOKUP(B167,'Base stats'!B:B,'Base stats'!E:E),Groups!A:A,Groups!D:D)=0,_xlfn.XLOOKUP(_xlfn.XLOOKUP(B167,'Base stats'!B:B,'Base stats'!E:E),Groups!A:A,Groups!AR:AR),"None")</f>
        <v>Advanced</v>
      </c>
      <c r="BJ167" s="2" t="str">
        <f>IF(AND(_xlfn.XLOOKUP(_xlfn.XLOOKUP(B167,'Base stats'!B:B,'Base stats'!E:E),Groups!A:A,Groups!AS:AS)=1,OR(_xlfn.XLOOKUP(B167,'Base stats'!B:B,'Base stats'!Y:Y)="Carnivore",_xlfn.XLOOKUP(B167,'Base stats'!B:B,'Base stats'!Y:Y)="Omnivore")),"true","false")</f>
        <v>true</v>
      </c>
      <c r="BK167" s="2">
        <f>IF(BJ167="true",MROUND(IF(AND(AO167&gt;0.5,OR(_xlfn.XLOOKUP(_xlfn.XLOOKUP(B167,'Base stats'!B:B,'Base stats'!E:E),Groups!A:A,Groups!AJ:AJ)="Photonozoa",_xlfn.XLOOKUP(_xlfn.XLOOKUP(B167,'Base stats'!B:B,'Base stats'!E:E),Groups!A:A,Groups!AJ:AJ)="Mammal")),Animals!AO167*1.75*IF(AW167="true",1.5,1),IF(AO167&lt;0.5,Animals!AO167*0.5,Animals!AO167)),IF(AO167&gt;2,0.5,IF(AO167&gt;0.5,0.25,0.1))),"No")</f>
        <v>10.5</v>
      </c>
      <c r="BL167" s="2">
        <f t="shared" si="17"/>
        <v>1</v>
      </c>
      <c r="BM167" s="25" t="str">
        <f>IF(_xlfn.XLOOKUP(B167,'Base stats'!B:B,'Base stats'!AN:AN)="Standard","No",MROUND((_xlfn.XLOOKUP(B167,'Base stats'!B:B,'Base stats'!AN:AN)/3.6)/I167,0.1))</f>
        <v>No</v>
      </c>
      <c r="BN167" s="25" t="str">
        <f t="shared" si="18"/>
        <v>false</v>
      </c>
      <c r="BO167" s="25" t="str">
        <f>IF(AND(OR(_xlfn.XLOOKUP(B167,'Base stats'!B:B,'Base stats'!Y:Y)="Carnivore",_xlfn.XLOOKUP(B167,'Base stats'!B:B,'Base stats'!Y:Y)="Omnivore",_xlfn.XLOOKUP(B167,'Base stats'!B:B,'Base stats'!Y:Y)="OmnivoreRough"),_xlfn.XLOOKUP(_xlfn.XLOOKUP(B167,'Base stats'!B:B,'Base stats'!E:E),Groups!A:A,Groups!AT:AT)=1),"true","false")</f>
        <v>true</v>
      </c>
      <c r="BP167" s="25" t="str" cm="1">
        <f t="array" ref="BP167">IF(
  _xlfn.TEXTJOIN(", ",TRUE,
    IF(AND(BJ167="true",AO167&gt;0.5,BI167&lt;&gt;"None"),"AttackTarget",""),
    IF(AND(_xlfn.XLOOKUP(_xlfn.XLOOKUP(B167,'Base stats'!B:B,'Base stats'!E:E),Groups!A:A,Groups!AJ:AJ="Mammal"),OR(_xlfn.XLOOKUP(B167,'Base stats'!B:B,'Base stats'!Y:Y)="Omnivore",_xlfn.XLOOKUP(B167,'Base stats'!B:B,'Base stats'!Y:Y)="OmnivoreRough")),"Forage",""),
    IF(BG167&lt;=36,"Comfort",""),
    IF(_xlfn.XLOOKUP(B167,'Base stats'!B:B,'Base stats'!AE:AE)&lt;&gt;"No",_xlfn.XLOOKUP(B167,'Base stats'!B:B,'Base stats'!AE:AE),"")
  ) = "",
  "No",
  _xlfn.TEXTJOIN(", ",TRUE,
    IF(AND(BJ167="true",AO167&gt;0.5,BI167&lt;&gt;"None"),"AttackTarget",""),
    IF(AND(_xlfn.XLOOKUP(_xlfn.XLOOKUP(B167,'Base stats'!B:B,'Base stats'!E:E),Groups!A:A,Groups!AJ:AJ="Mammal"),OR(_xlfn.XLOOKUP(B167,'Base stats'!B:B,'Base stats'!Y:Y)="Omnivore",_xlfn.XLOOKUP(B167,'Base stats'!B:B,'Base stats'!Y:Y)="OmnivoreRough")),"Forage",""),
    IF(BG167&lt;=36,"Comfort",""),
    IF(_xlfn.XLOOKUP(B167,'Base stats'!B:B,'Base stats'!AE:AE)&lt;&gt;"No",_xlfn.XLOOKUP(B167,'Base stats'!B:B,'Base stats'!AE:AE),"")
  )
)</f>
        <v>AttackTarget, Zoology_Beastmastery</v>
      </c>
      <c r="BQ167" s="25">
        <f>IF(
   AND(
      'Base stats'!AN167="Standard",_xlfn.XLOOKUP(_xlfn.XLOOKUP(B167,'Base stats'!B:B,'Base stats'!E:E),Groups!A:A,Groups!AU:AU)=0,
      OR(
      BO167="True"
      )
   ),
   10,
   IF(
       OR(BM167&lt;&gt;"No",_xlfn.XLOOKUP(_xlfn.XLOOKUP(B167,'Base stats'!B:B,'Base stats'!E:E),Groups!A:A,Groups!AU:AU)=1),
      1,
      "No"
   )
)</f>
        <v>10</v>
      </c>
      <c r="BR167" s="9">
        <f>MROUND((1 + ((0.2*IF(OR(Q167="No",R167="No",R167=0),0,Q167/R167)
+IF(OR(V167="No",S167="No",T167="No"),0,S167/T167*(LEN(V167)-LEN(SUBSTITUTE(V167,",",""))+1))
+IF(OR(X167="No",Y167="No"),0,X167/Y167)
+IF(OR(AD167="No",AE167="No"),0,AD167/AE167)
+IF(OR(AL167="No",AI167="No",AJ167="No"),0,AI167/AJ167*(LEN(AL167)-LEN(SUBSTITUTE(AL167,",",""))+1))
)/(0.2*IF(OR(Q167="No",R167="No",R167=0),0,1)
+IF(OR(V167="No",S167="No",T167="No"),0,LEN(V167)-LEN(SUBSTITUTE(V167,",",""))+1)
+IF(OR(X167="No",Y167="No"),0,1)
+IF(OR(AD167="No",AE167="No"),0,1)
+IF(OR(AL167="No",AI167="No",AJ167="No"),0,LEN(AL167)-LEN(SUBSTITUTE(AL167,",",""))+1))*62%)* 2)*(1 + (AP167 / (IF(_xlfn.XLOOKUP(_xlfn.XLOOKUP(B167,'Base stats'!B:B,'Base stats'!E:E),Groups!A:A,Groups!AJ:AJ)="Photonozoa",0.3,1)) + _xlfn.XLOOKUP(B167,'Base stats'!B:B,'Base stats'!AV:AV) * 1.8) * 2) * 2.5 + 10 + I167 * 2,5)+IF(_xlfn.XLOOKUP(B167,'Base stats'!B:B,'Base stats'!AK:AK)=1,50,0)</f>
        <v>8815</v>
      </c>
      <c r="BS167" s="8">
        <f t="shared" si="19"/>
        <v>3.6500000000000004</v>
      </c>
      <c r="BT167" s="8" t="str">
        <f>_xlfn.XLOOKUP(B167,'Base stats'!B:B,'Base stats'!AF:AF)</f>
        <v>No</v>
      </c>
      <c r="BU167" s="2" t="str">
        <f>IF(AND(J167&lt;=0.95,OR(_xlfn.XLOOKUP(B167,'Base stats'!B:B,'Base stats'!AK:AK)=1,_xlfn.XLOOKUP(B167,'Base stats'!B:B,'Base stats'!Y:Y)="Carnivore",_xlfn.XLOOKUP(B167,'Base stats'!B:B,'Base stats'!Y:Y)="Omnivore",BE167&gt;0.1)),"true","false")</f>
        <v>false</v>
      </c>
      <c r="BV167" s="2" t="str">
        <f>IF(_xlfn.XLOOKUP(B167,'Base stats'!B:B,'Base stats'!AI:AI)=1,"true","false")</f>
        <v>false</v>
      </c>
      <c r="BW167" s="25" t="str">
        <f>IF(E167="BaseInsect","AnimalInsect",
IF(J167&gt;0.95,"AnimalExotic",
_xlfn.TEXTJOIN(", ",TRUE,
IF(OR(_xlfn.XLOOKUP(B167,'Base stats'!B:B,'Base stats'!AM:AM)=1,AND(_xlfn.XLOOKUP(B167,'Base stats'!B:B,'Base stats'!O:O)=0,_xlfn.XLOOKUP(_xlfn.XLOOKUP(B167,'Base stats'!B:B,'Base stats'!E:E),Groups!A:A,Groups!B:B)&gt;0)),"AnimalUncommon","AnimalCommon"),
IF(AND(_xlfn.XLOOKUP(B167,'Base stats'!B:B,'Base stats'!O:O)=2,_xlfn.XLOOKUP(_xlfn.XLOOKUP(B167,'Base stats'!B:B,'Base stats'!E:E),Groups!A:A,Groups!D:D)=0),"AnimalPet",IF(AND(_xlfn.XLOOKUP(B167,'Base stats'!B:B,'Base stats'!O:O)&lt;&gt;0,_xlfn.XLOOKUP(_xlfn.XLOOKUP(B167,'Base stats'!B:B,'Base stats'!E:E),Groups!A:A,Groups!D:D)&lt;&gt;0),"AnimalFarm","")),
IF(OR(_xlfn.XLOOKUP(B167,'Base stats'!B:B,'Base stats'!AK:AK)=1,AND(BI167&lt;&gt;"None",BR167&gt;=60),ISNUMBER(SEARCH("Attack target",BP167))),"AnimalFighter","")
)))</f>
        <v>AnimalExotic</v>
      </c>
      <c r="BX167" s="25" t="str">
        <f>IF(G167="None",TRIM(
SUBSTITUTE(
IF(COUNTIF(Biomes!B$2:B$259,"="&amp;$C167)&gt;0,Biomes!B$1&amp;", ","")&amp;
IF(COUNTIF(Biomes!C$2:C$259,"="&amp;$C167)&gt;0,Biomes!C$1&amp;", ","")&amp;
IF(COUNTIF(Biomes!D$2:D$259,"="&amp;$C167)&gt;0,Biomes!D$1&amp;", ","")&amp;
IF(COUNTIF(Biomes!F$2:F$259,"="&amp;$C167)&gt;0,Biomes!F$1&amp;", ","")&amp;
IF(COUNTIF(Biomes!G$2:G$259,"="&amp;$C167)&gt;0,Biomes!G$1&amp;", ","")&amp;
IF(COUNTIF(Biomes!H$2:H$259,"="&amp;$C167)&gt;0,Biomes!H$1&amp;", ","")&amp;
IF(COUNTIF(Biomes!I$2:I$259,"="&amp;$C167)&gt;0,Biomes!I$1&amp;", ","")&amp;
IF(COUNTIF(Biomes!J$2:J$259,"="&amp;$C167)&gt;0,Biomes!J$1&amp;", ","")&amp;
IF(COUNTIF(Biomes!M$2:M$259,"="&amp;$C167)&gt;0,Biomes!M$1&amp;", ","")&amp;
IF(COUNTIF(Biomes!N$2:N$259,"="&amp;$C167)&gt;0,Biomes!N$1&amp;", ","")&amp;
IF(COUNTIF(Biomes!O$2:O$259,"="&amp;$C167)&gt;0,Biomes!O$1&amp;", ","")&amp;
IF(COUNTIF(Biomes!P$2:P$259,"="&amp;$C167)&gt;0,Biomes!P$1&amp;", ","")&amp;
IF(COUNTIF(Biomes!K$2:K$259,"="&amp;$C167)&gt;0,Biomes!K$1&amp;", ","")&amp;
IF(COUNTIF(Biomes!Q$3:Q$259,"="&amp;$C167)&gt;0,Biomes!Q$1&amp;", ","")&amp;
IF(COUNTIF(Biomes!L$2:L$259,"="&amp;$C167)&gt;0,Biomes!L$1&amp;", ","")&amp;
IF(COUNTIF(Biomes!E$2:E$259,"="&amp;$C167)&gt;0,Biomes!E$1&amp;", ","")&amp;IF(COUNTIF(Biomes!S$2:S$259,"="&amp;$C167)&gt;0,Biomes!S$1&amp;", ","")&amp;
IF(COUNTIF(Biomes!R$2:R$259,"="&amp;$C167)&gt;0,Biomes!R$1&amp;", ",""),", ","")
),_xlfn.XLOOKUP(B167,B:B,BX:BX))</f>
        <v/>
      </c>
      <c r="BY167" s="25" t="str">
        <f>IF(_xlfn.XLOOKUP(B167,'Base stats'!B:B,'Base stats'!AJ:AJ)=1,"true","false")</f>
        <v>false</v>
      </c>
      <c r="BZ167" s="25">
        <f>IF(_xlfn.XLOOKUP(B167,'Base stats'!B:B,'Base stats'!N:N)=1,"No",MAX(0.001,MIN(MROUND(IF(AND(BJ167="True",CC167="False"),POWER(10,3.47*LOG10(_xlfn.XLOOKUP(B167,'Base stats'!B:B,'Base stats'!C:C)*1000)^-0.96),POWER(10,4.15*LOG10(_xlfn.XLOOKUP(B167,'Base stats'!B:B,'Base stats'!C:C)*1000)^-0.73))*IF(_xlfn.XLOOKUP(B167,'Base stats'!B:B,'Base stats'!AK:AK)=1,0.5,1)*IF(_xlfn.XLOOKUP(B167,'Base stats'!B:B,'Base stats'!AM:AM)=1,0.1,1)/100,IF(_xlfn.XLOOKUP(B167,'Base stats'!B:B,'Base stats'!AM:AM)=1,0.001,0.025)),0.5)))</f>
        <v>2.5000000000000001E-2</v>
      </c>
      <c r="CA167" s="25">
        <f>IF(P167="Standard","No",MAX(0.001,MIN(MROUND(IF(AND(BJ167="True",CC167="False"),POWER(10,3.47*LOG10(_xlfn.XLOOKUP(B167,'Base stats'!B:B,'Base stats'!C:C)*1000)^-0.96),POWER(10,4.15*LOG10(_xlfn.XLOOKUP(B167,'Base stats'!B:B,'Base stats'!C:C)*1000)^-0.73))*IF(_xlfn.XLOOKUP(B167,'Base stats'!B:B,'Base stats'!AM:AM)=1,0.1,1)*_xlfn.XLOOKUP(B167,'Base stats'!B:B,'Base stats'!R:R)/100,IF(_xlfn.XLOOKUP(B167,'Base stats'!B:B,'Base stats'!AM:AM)=1,0.001,0.025)),0.5)))</f>
        <v>2.5000000000000001E-2</v>
      </c>
      <c r="CB167" s="25" t="str">
        <f>IF(_xlfn.XLOOKUP(_xlfn.XLOOKUP(B167,'Base stats'!B:B,'Base stats'!E:E),Groups!A:A,Groups!AJ:AJ)="Mammal","True","False")</f>
        <v>False</v>
      </c>
      <c r="CC167" s="25" t="str">
        <f>IF(OR(_xlfn.XLOOKUP(_xlfn.XLOOKUP(B167,'Base stats'!B:B,'Base stats'!E:E),Groups!A:A,Groups!AJ:AJ)="Reptile",_xlfn.XLOOKUP(_xlfn.XLOOKUP(B167,'Base stats'!B:B,'Base stats'!E:E),Groups!A:A,Groups!AJ:AJ)="Amphibian",_xlfn.XLOOKUP(_xlfn.XLOOKUP(B167,'Base stats'!B:B,'Base stats'!E:E),Groups!A:A,Groups!AJ:AJ)="Invertebrate"),"True","False")</f>
        <v>False</v>
      </c>
      <c r="CD167" s="25" t="str">
        <f t="shared" si="20"/>
        <v>True</v>
      </c>
      <c r="CE167" s="25" t="str">
        <f>IF(_xlfn.XLOOKUP(_xlfn.XLOOKUP(B167,'Base stats'!B:B,'Base stats'!E:E),Groups!A:A,Groups!AX:AX),"True","False")</f>
        <v>True</v>
      </c>
      <c r="CF167" s="25" t="str">
        <f>IF(_xlfn.XLOOKUP(_xlfn.XLOOKUP(B167,'Base stats'!B:B,'Base stats'!E:E),Groups!A:A,Groups!AY:AY),"True","False")</f>
        <v>True</v>
      </c>
      <c r="CG167" s="25" t="str">
        <f>IF(_xlfn.XLOOKUP(_xlfn.XLOOKUP(B167,'Base stats'!B:B,'Base stats'!E:E),Groups!A:A,Groups!AW:AW),"True","False")</f>
        <v>True</v>
      </c>
      <c r="CH167" s="25" t="str">
        <f>IF(
OR(
_xlfn.XLOOKUP(_xlfn.XLOOKUP(B167,'Base stats'!B:B,'Base stats'!E:E),Groups!A:A,Groups!AZ:AZ)=0,
AND(
_xlfn.XLOOKUP(B167,'Base stats'!B:B,'Base stats'!Y:Y)&lt;&gt;"Carnivore",
_xlfn.XLOOKUP(B167,'Base stats'!B:B,'Base stats'!Y:Y)&lt;&gt;"Omnivore",
_xlfn.XLOOKUP(B167,'Base stats'!B:B,'Base stats'!Y:Y)&lt;&gt;"OmnivoreRough"
)
),
"No",
IF(
_xlfn.XLOOKUP(_xlfn.XLOOKUP(B167,'Base stats'!B:B,'Base stats'!E:E),Groups!A:A,Groups!AZ:AZ)=1,
"Flesh",
IF(
_xlfn.XLOOKUP(_xlfn.XLOOKUP(B167,'Base stats'!B:B,'Base stats'!E:E),Groups!A:A,Groups!AZ:AZ)=2,
"Bone",
""
)
)
)</f>
        <v>Bone</v>
      </c>
      <c r="CI167" s="25" t="str">
        <f>IF(_xlfn.XLOOKUP(_xlfn.XLOOKUP(B167,'Base stats'!B:B,'Base stats'!E:E),Groups!A:A,Groups!BB:BB),"True","False")</f>
        <v>False</v>
      </c>
      <c r="CJ167" s="25" t="str">
        <f>IF(_xlfn.XLOOKUP(_xlfn.XLOOKUP(B167,'Base stats'!B:B,'Base stats'!E:E),Groups!A:A,Groups!BA:BA),"True","False")</f>
        <v>False</v>
      </c>
    </row>
    <row r="168" spans="1:88" s="16" customFormat="1" ht="16.5" thickTop="1" thickBot="1" x14ac:dyDescent="0.3">
      <c r="A168" s="26" t="str">
        <f>_xlfn.XLOOKUP(B168,'Base stats'!B:B,'Base stats'!A:A)</f>
        <v>Dapletosuchus</v>
      </c>
      <c r="B168" s="6" t="s">
        <v>1759</v>
      </c>
      <c r="C168" s="28" t="s">
        <v>1760</v>
      </c>
      <c r="D168" s="28" t="s">
        <v>1166</v>
      </c>
      <c r="E168" s="28" t="s">
        <v>1167</v>
      </c>
      <c r="F168" s="28" t="s">
        <v>1168</v>
      </c>
      <c r="G168" s="28" t="s">
        <v>673</v>
      </c>
      <c r="H168" s="2">
        <f>MROUND((
  (IF(AND(_xlfn.XLOOKUP(B168,'Base stats'!B:B,'Base stats'!AL:AL)=0,BI168="None",_xlfn.XLOOKUP(_xlfn.XLOOKUP(B168,'Base stats'!B:B,'Base stats'!E:E),Groups!A:A,Groups!B:B)=0), (18 + BR168 * 2.7) * 0.5,
    IF(AND(_xlfn.XLOOKUP(B168,'Base stats'!B:B,'Base stats'!AL:AL)=0,OR(AO168&lt;0.55,AND(BI168="Intermediate",_xlfn.XLOOKUP(_xlfn.XLOOKUP(B168,'Base stats'!B:B,'Base stats'!E:E),Groups!A:A,Groups!B:B)&lt;2))), (18 + BR168 * 2.7),
      IF(OR(BI168="Advanced",_xlfn.XLOOKUP(B168,'Base stats'!B:B,'Base stats'!AL:AL)=1,_xlfn.XLOOKUP(_xlfn.XLOOKUP(B168,'Base stats'!B:B,'Base stats'!E:E),Groups!A:A,Groups!B:B)=2), (18 + BR168 * 2.7) + 250, (18 + BR168 * 2.7))
    )
  ))
  + AO168 * 80
  + IF(COUNTIF(EggMilk!K$2:K$998, A168) &gt; 0, 125, 0)
  + IF(COUNTIF(EggMilk!P$2:P$998, A168) &gt; 0, 90, 0)
  + IF(COUNTIF(EggMilk!A$2:A$998, A168) &gt; 0, 90, 0)
)
* (0.8 + 0.4 * J168)
* 0.75,25)</f>
        <v>5775</v>
      </c>
      <c r="I168" s="2">
        <f>MROUND(ROUNDDOWN(_xlfn.XLOOKUP(B168,'Base stats'!B:B,'Base stats'!L:L)/3.6/(23.3/11),1),0.5)</f>
        <v>10.5</v>
      </c>
      <c r="J168" s="2">
        <f>IF(OR(_xlfn.XLOOKUP(B168,'Base stats'!B:B,'Base stats'!AB:AB)=1,_xlfn.XLOOKUP(_xlfn.XLOOKUP(B168,'Base stats'!B:B,'Base stats'!E:E),Groups!A:A,Groups!C:C)="Untamable"),1,IF(_xlfn.XLOOKUP(B168,'Base stats'!B:B,'Base stats'!AL:AL)=1,0.99,MIN(MROUND((1-0.6282*EXP(-0.459*AO168))*_xlfn.XLOOKUP(_xlfn.XLOOKUP(B168,'Base stats'!B:B,'Base stats'!E:E),Groups!A:A,Groups!C:C)*IF(_xlfn.XLOOKUP(B168,'Base stats'!B:B,'Base stats'!O:O)=1,0.5,IF(_xlfn.XLOOKUP(B168,'Base stats'!B:B,'Base stats'!O:O)=2,0,1)),0.05),IF(AO168&gt;3.5,0.985,0.95))))</f>
        <v>1</v>
      </c>
      <c r="K168" s="2">
        <f>ROUNDUP(AO168*_xlfn.XLOOKUP(_xlfn.XLOOKUP(B168,'Base stats'!B:B,'Base stats'!E:E),Groups!A:A,Groups!E:E),0)</f>
        <v>3</v>
      </c>
      <c r="L168" s="2">
        <f>IF(OR(_xlfn.XLOOKUP(_xlfn.XLOOKUP(B168,'Base stats'!B:B,'Base stats'!E:E),Groups!A:A,Groups!F:F)=2,ISNUMBER(SEARCH("SeaIce",BX168)),ISNUMBER(SEARCH("IceSheet",BX168))),-50,IF(OR(ISNUMBER(SEARCH("GlacialPlain",BX168)),ISNUMBER(SEARCH("Tundra",BX168))),-40,IF(OR(ISNUMBER(SEARCH("Alpine",BX168)),ISNUMBER(SEARCH("BorealForest",BX168)),ISNUMBER(SEARCH("ColdBog",BX168))),-30,IF(OR(ISNUMBER(SEARCH("TemperateForest",BX168)),ISNUMBER(SEARCH("TemperateSwamp",BX168))),-20,IF(_xlfn.XLOOKUP(_xlfn.XLOOKUP(B168,'Base stats'!B:B,'Base stats'!E:E),Groups!A:A,Groups!F:F)=1,-15,IF(OR(ISNUMBER(SEARCH("Desert",BX168)),ISNUMBER(SEARCH("ExtremeDesert",BX168))),-10,IF(OR(ISNUMBER(SEARCH("Grasslands",BX168)),ISNUMBER(SEARCH("TropicalRainforest",BX168)),ISNUMBER(SEARCH("TropicalSwamp",BX168))),10,0)))))))-IF(CC168="False",MIN(IFERROR(MAX(MROUND(LOG10(_xlfn.XLOOKUP(B168,'Base stats'!B:B,'Base stats'!C:C)^(2/3))*10,5),5),5),30))-_xlfn.XLOOKUP(B168,'Base stats'!B:B,'Base stats'!P:P)+IF(CC168="True",5,0)</f>
        <v>-165</v>
      </c>
      <c r="M168" s="2">
        <f>IF(OR(_xlfn.XLOOKUP(_xlfn.XLOOKUP(B168,'Base stats'!B:B,'Base stats'!E:E),Groups!A:A,Groups!G:G)=2,ISNUMBER(SEARCH("Desert",BX168)),ISNUMBER(SEARCH("ExtremeDesert",BX168)),ISNUMBER(SEARCH("LavaField",BX168))),50,IF(ISNUMBER(SEARCH("Grasslands",BX168)),45,IF(OR(_xlfn.XLOOKUP(_xlfn.XLOOKUP(B168,'Base stats'!B:B,'Base stats'!E:E),Groups!A:A,Groups!G:G)=1,ISNUMBER(SEARCH("TropicalRainforest",BX168)),ISNUMBER(SEARCH("TropicalSwamp",BX168))),40,IF(OR(ISNUMBER(SEARCH("TemperateForest",BX168)),ISNUMBER(SEARCH("TemperateSwamp",BX168))),35,IF(OR(ISNUMBER(SEARCH("Alpine",BX168)),ISNUMBER(SEARCH("BorealForest",BX168)),ISNUMBER(SEARCH("ColdBog",BX168))),30,IF(ISNUMBER(OR(ISNUMBER(SEARCH("GlacialPlain",BX168)),SEARCH("Tundra",BX168))),25,IF(OR(ISNUMBER(SEARCH("SeaIce",BX168)),ISNUMBER(SEARCH("IceSheet",BX168)),ISNUMBER(SEARCH("TropicalSwamp",BX168))),10,35)))))))+_xlfn.XLOOKUP(B168,'Base stats'!B:B,'Base stats'!Q:Q)</f>
        <v>150</v>
      </c>
      <c r="N168" s="8">
        <f>IF(
_xlfn.XLOOKUP(
_xlfn.XLOOKUP(B168,'Base stats'!B:B,'Base stats'!E:E),
Groups!A:A,
Groups!L:L
)=1,
MIN(
MROUND(
IF(
_xlfn.XLOOKUP(B168,'Animals CE'!B:B,'Animals CE'!Z:Z)&lt;=1.5,
_xlfn.XLOOKUP(B168,'Animals CE'!B:B,'Animals CE'!Z:Z)/2+0.05,
0.8+
(_xlfn.XLOOKUP(B168,'Animals CE'!B:B,'Animals CE'!Z:Z)-1.5)
*0.02
),
0.05
),
200%
),
"No"
)</f>
        <v>0.85000000000000009</v>
      </c>
      <c r="O168" s="8">
        <f>IF(
_xlfn.XLOOKUP(
_xlfn.XLOOKUP(B168,'Base stats'!B:B,'Base stats'!E:E),
Groups!A:A,
Groups!L:L
)=1,
MIN(
MROUND(
IF(
_xlfn.XLOOKUP(B168,'Animals CE'!B:B,'Animals CE'!AA:AA)&lt;=1.5,
_xlfn.XLOOKUP(B168,'Animals CE'!B:B,'Animals CE'!AA:AA)/2+0.05,
0.8+
(_xlfn.XLOOKUP(B168,'Animals CE'!B:B,'Animals CE'!AA:AA)-1.5)
*0.02
),
0.05
),
200%
),
"No"
)</f>
        <v>1.25</v>
      </c>
      <c r="P168" s="2">
        <f>_xlfn.XLOOKUP(B168,'Base stats'!B:B,'Base stats'!R:R)</f>
        <v>1</v>
      </c>
      <c r="Q168" s="13">
        <f>MROUND((LOG10(_xlfn.XLOOKUP(B168,'Base stats'!B:B,'Base stats'!AR:AR))*(AO168^0.5)+(_xlfn.XLOOKUP(B168,'Base stats'!B:B,'Base stats'!AR:AR)/1000)^(2/3)+_xlfn.XLOOKUP(B168,'Base stats'!B:B,'Base stats'!BA:BA)/2)+0.5,0.5)</f>
        <v>14</v>
      </c>
      <c r="R168" s="7">
        <f>IF(Q168="No","No",MAX(1,MROUND(_xlfn.XLOOKUP(B168,'Base stats'!B:B,'Base stats'!C:C)^0.165,0.05)))</f>
        <v>2.6500000000000004</v>
      </c>
      <c r="S168" s="13" t="str">
        <f>IF(_xlfn.XLOOKUP(_xlfn.XLOOKUP(B168,'Base stats'!B:B,'Base stats'!E:E),Groups!A:A,Groups!P:P)=0,"No",MROUND((LOG10(_xlfn.XLOOKUP(B168,'Base stats'!B:B,'Base stats'!AS:AS))*(AO168^0.5)+(_xlfn.XLOOKUP(B168,'Base stats'!B:B,'Base stats'!AS:AS)/1000)^(2/3)+_xlfn.XLOOKUP(B168,'Base stats'!B:B,'Base stats'!BA:BA))+_xlfn.XLOOKUP(B168,'Base stats'!B:B,'Base stats'!AY:AY)+0.5,0.5))</f>
        <v>No</v>
      </c>
      <c r="T168" s="7" t="str">
        <f>IF(S168="No","No",MAX(_xlfn.XLOOKUP(_xlfn.XLOOKUP(B168,'Base stats'!B:B,'Base stats'!E:E),Groups!A:A,Groups!Q:Q),MROUND(_xlfn.XLOOKUP(_xlfn.XLOOKUP(B168,'Base stats'!B:B,'Base stats'!E:E),Groups!A:A,Groups!Q:Q)*_xlfn.XLOOKUP(B168,'Base stats'!B:B,'Base stats'!C:C)^0.165,0.05)))</f>
        <v>No</v>
      </c>
      <c r="U168" s="7" t="str">
        <f>IF(S168="No","No",_xlfn.XLOOKUP(_xlfn.XLOOKUP(B168,'Base stats'!B:B,'Base stats'!E:E),Groups!A:A,Groups!R:R))</f>
        <v>No</v>
      </c>
      <c r="V168" s="7" t="str">
        <f>IF(S168="No","No",_xlfn.XLOOKUP(_xlfn.XLOOKUP(B168,'Base stats'!B:B,'Base stats'!E:E),Groups!A:A,Groups!S:S))</f>
        <v>No</v>
      </c>
      <c r="W168" s="7" t="str">
        <f>IF(S168="No","No",_xlfn.XLOOKUP(_xlfn.XLOOKUP(B168,'Base stats'!B:B,'Base stats'!E:E),Groups!A:A,Groups!T:T))</f>
        <v>No</v>
      </c>
      <c r="X168" s="13" t="str">
        <f>IF(_xlfn.XLOOKUP(B168,'Base stats'!B:B,'Base stats'!W:W)="No","No",MROUND((LOG10(_xlfn.XLOOKUP(B168,'Base stats'!B:B,'Base stats'!AU:AU))*(AO168^0.5)+(_xlfn.XLOOKUP(B168,'Base stats'!B:B,'Base stats'!AU:AU)/1000)^(2/3)+_xlfn.XLOOKUP(B168,'Base stats'!B:B,'Base stats'!AZ:AZ))+0.5+IF(_xlfn.XLOOKUP(_xlfn.XLOOKUP(B168,'Base stats'!B:B,'Base stats'!E:E),Groups!A:A,Groups!U:U)&lt;&gt;3,_xlfn.XLOOKUP(B168,'Base stats'!B:B,'Base stats'!BA:BA),0),0.5))</f>
        <v>No</v>
      </c>
      <c r="Y168" s="7" t="str">
        <f>IF(X168="No","No",MAX(_xlfn.XLOOKUP(_xlfn.XLOOKUP(B168,'Base stats'!B:B,'Base stats'!E:E),Groups!A:A,Groups!V:V),MROUND(_xlfn.XLOOKUP(_xlfn.XLOOKUP(B168,'Base stats'!B:B,'Base stats'!E:E),Groups!A:A,Groups!V:V)*_xlfn.XLOOKUP(B168,'Base stats'!B:B,'Base stats'!C:C)^0.165,0.05)))</f>
        <v>No</v>
      </c>
      <c r="Z168" s="7" t="str">
        <f>IF(X168="No","No",_xlfn.XLOOKUP(_xlfn.XLOOKUP(B168,'Base stats'!B:B,'Base stats'!E:E),Groups!A:A,Groups!W:W))</f>
        <v>No</v>
      </c>
      <c r="AA168" s="7" t="str">
        <f>IF(X168="No","No",_xlfn.XLOOKUP(_xlfn.XLOOKUP(B168,'Base stats'!B:B,'Base stats'!E:E),Groups!A:A,Groups!X:X))</f>
        <v>No</v>
      </c>
      <c r="AB168" s="7" t="str">
        <f>IF(X168="No","No",_xlfn.XLOOKUP(_xlfn.XLOOKUP(B168,'Base stats'!B:B,'Base stats'!E:E),Groups!A:A,Groups!Y:Y))</f>
        <v>No</v>
      </c>
      <c r="AC168" s="7" t="str">
        <f>_xlfn.XLOOKUP(Animals!B168,'Base stats'!B:B,'Base stats'!X:X)</f>
        <v>False</v>
      </c>
      <c r="AD168" s="13">
        <f>IF(_xlfn.XLOOKUP(B168,'Base stats'!B:B,'Base stats'!AT:AT)="No","No",MROUND((LOG10(_xlfn.XLOOKUP(B168,'Base stats'!B:B,'Base stats'!AT:AT))*(AO168^0.75)+(_xlfn.XLOOKUP(B168,'Base stats'!B:B,'Base stats'!AT:AT)/1000)^(2/3)+_xlfn.XLOOKUP(B168,'Base stats'!B:B,'Base stats'!AX:AX)+_xlfn.XLOOKUP(B168,'Base stats'!B:B,'Base stats'!BA:BA))+0.5,0.5))</f>
        <v>36.5</v>
      </c>
      <c r="AE168" s="7">
        <f>IF(AD168="No","No",MAX(_xlfn.XLOOKUP(_xlfn.XLOOKUP(B168,'Base stats'!B:B,'Base stats'!E:E),Groups!A:A,Groups!Z:Z),MROUND(_xlfn.XLOOKUP(_xlfn.XLOOKUP(B168,'Base stats'!B:B,'Base stats'!E:E),Groups!A:A,Groups!Z:Z)*_xlfn.XLOOKUP(B168,'Base stats'!B:B,'Base stats'!C:C)^0.165,0.05)))</f>
        <v>1.3</v>
      </c>
      <c r="AF168" s="7" t="str">
        <f>IF(AD168="No","No",_xlfn.XLOOKUP(_xlfn.XLOOKUP(B168,'Base stats'!B:B,'Base stats'!E:E),Groups!A:A,Groups!AA:AA))</f>
        <v>Teeth</v>
      </c>
      <c r="AG168" s="7" t="str">
        <f>IF(AD168="No","No",_xlfn.XLOOKUP(_xlfn.XLOOKUP(B168,'Base stats'!B:B,'Base stats'!E:E),Groups!A:A,Groups!AB:AB))</f>
        <v>canines</v>
      </c>
      <c r="AH168" s="7" t="str">
        <f>IF(AD168="No","No",_xlfn.XLOOKUP(_xlfn.XLOOKUP(B168,'Base stats'!B:B,'Base stats'!E:E),Groups!A:A,Groups!AC:AC))</f>
        <v>Bite</v>
      </c>
      <c r="AI168" s="13">
        <f>IF(_xlfn.XLOOKUP(_xlfn.XLOOKUP(B168,'Base stats'!B:B,'Base stats'!E:E),Groups!A:A,Groups!AD:AD)=0,"No",MROUND((LOG10(_xlfn.XLOOKUP(B168,'Base stats'!B:B,'Base stats'!AS:AS))*(AO168^0.75)+(_xlfn.XLOOKUP(B168,'Base stats'!B:B,'Base stats'!AS:AS)/1000)^(2/3)+_xlfn.XLOOKUP(B168,'Base stats'!B:B,'Base stats'!AY:AY)+_xlfn.XLOOKUP(B168,'Base stats'!B:B,'Base stats'!BA:BA))+0.5,0.5))</f>
        <v>20.5</v>
      </c>
      <c r="AJ168" s="7">
        <f>IF(AI168="No","No",MAX(_xlfn.XLOOKUP(_xlfn.XLOOKUP(B168,'Base stats'!B:B,'Base stats'!E:E),Groups!A:A,Groups!AE:AE),MROUND(_xlfn.XLOOKUP(_xlfn.XLOOKUP(B168,'Base stats'!B:B,'Base stats'!E:E),Groups!A:A,Groups!AE:AE)*IF(_xlfn.XLOOKUP(_xlfn.XLOOKUP(B168,'Base stats'!B:B,'Base stats'!E:E),Groups!A:A,Groups!AJ:AJ)="Photonozoa",0.6,1)*_xlfn.XLOOKUP(B168,'Base stats'!B:B,'Base stats'!C:C)^0.165,0.05)))</f>
        <v>0.70000000000000007</v>
      </c>
      <c r="AK168" s="7" t="str">
        <f>IF(AI168="No","No",_xlfn.XLOOKUP(_xlfn.XLOOKUP(B168,'Base stats'!B:B,'Base stats'!E:E),Groups!A:A,Groups!AF:AF))</f>
        <v>FrontLeftPaw, FrontRightPaw</v>
      </c>
      <c r="AL168" s="7" t="str">
        <f>IF(AI168="No","No",_xlfn.XLOOKUP(_xlfn.XLOOKUP(B168,'Base stats'!B:B,'Base stats'!E:E),Groups!A:A,Groups!AG:AG))</f>
        <v>left claw, right claw</v>
      </c>
      <c r="AM168" s="7" t="str">
        <f>IF(AI168="No","No",_xlfn.XLOOKUP(_xlfn.XLOOKUP(B168,'Base stats'!B:B,'Base stats'!E:E),Groups!A:A,Groups!AH:AH))</f>
        <v>Scratch</v>
      </c>
      <c r="AN168" s="2">
        <f t="shared" si="14"/>
        <v>30</v>
      </c>
      <c r="AO168" s="2">
        <f>MROUND(IF(AND(_xlfn.XLOOKUP(B168,'Base stats'!B:B,'Base stats'!C:C)&gt;=0.5,_xlfn.XLOOKUP(B168,'Base stats'!B:B,'Base stats'!C:C)&lt;=0.8),
IF(_xlfn.XLOOKUP(B168,'Base stats'!B:B,'Base stats'!C:C)&lt;0.1,0.05,IF(_xlfn.XLOOKUP(B168,'Base stats'!B:B,'Base stats'!C:C)&lt;=70,(_xlfn.XLOOKUP(B168,'Base stats'!B:B,'Base stats'!C:C)/70)^0.426489913056526,IF(_xlfn.XLOOKUP(B168,'Base stats'!B:B,'Base stats'!C:C)&lt;=400,(_xlfn.XLOOKUP(B168,'Base stats'!B:B,'Base stats'!C:C)/70)^0.572811455315093,IF(_xlfn.XLOOKUP(B168,'Base stats'!B:B,'Base stats'!C:C)&lt;=2000,2.71391647193063*(_xlfn.XLOOKUP(B168,'Base stats'!B:B,'Base stats'!C:C)/400)^0.252459582904293,3.74314280240376*(_xlfn.XLOOKUP(B168,'Base stats'!B:B,'Base stats'!C:C)/2000)^0.357012633876913)))),
IF(_xlfn.XLOOKUP(B168,'Base stats'!B:B,'Base stats'!C:C)&lt;0.1,0.05,IF(_xlfn.XLOOKUP(B168,'Base stats'!B:B,'Base stats'!C:C)&lt;0.4,0.1,IF(_xlfn.XLOOKUP(B168,'Base stats'!B:B,'Base stats'!C:C)&lt;=70,(_xlfn.XLOOKUP(B168,'Base stats'!B:B,'Base stats'!C:C)/70)^0.445823913056526,IF(_xlfn.XLOOKUP(B168,'Base stats'!B:B,'Base stats'!C:C)&lt;=400,(_xlfn.XLOOKUP(B168,'Base stats'!B:B,'Base stats'!C:C)/70)^0.572811455315093,IF(_xlfn.XLOOKUP(B168,'Base stats'!B:B,'Base stats'!C:C)&lt;=2000,2.71391647193063*(_xlfn.XLOOKUP(B168,'Base stats'!B:B,'Base stats'!C:C)/400)^0.252459582904293,3.74314280240376*(_xlfn.XLOOKUP(B168,'Base stats'!B:B,'Base stats'!C:C)/2000)^0.357012633876913)))))),
IF(_xlfn.XLOOKUP(B168,'Base stats'!B:B,'Base stats'!C:C)&lt;0.1,0.05,IF(_xlfn.XLOOKUP(B168,'Base stats'!B:B,'Base stats'!C:C)&lt;=100,0.05,IF(_xlfn.XLOOKUP(B168,'Base stats'!B:B,'Base stats'!C:C)&lt;=250,0.1,IF(_xlfn.XLOOKUP(B168,'Base stats'!B:B,'Base stats'!C:C)&lt;=4000,0.25,0.5)))))</f>
        <v>2.5</v>
      </c>
      <c r="AP168" s="8">
        <f>MROUND(AO168*_xlfn.XLOOKUP(_xlfn.XLOOKUP(B168,'Base stats'!B:B,'Base stats'!E:E),Groups!A:A,Groups!AI:AI)*_xlfn.XLOOKUP(B168,'Base stats'!B:B,'Base stats'!Z:Z),0.05)</f>
        <v>3</v>
      </c>
      <c r="AQ168" s="8">
        <f>MAX(0.01,MROUND(IF(CC168="True",0.196*(AO168*100*1000)^0.889,IF(_xlfn.XLOOKUP(_xlfn.XLOOKUP(B168,'Base stats'!B:B,'Base stats'!E:E),Groups!A:A,Groups!AJ:AJ)="Bird",10.5*(AO168*100*1000)^0.681,4.82*(AO168*100*1000)^0.734))/(4.82*(1*100*1000)^0.734)/IF(AO168&lt;3.5,2,IF(AO168=3.5,1.5,1.25))*(1+0.132282374779864/(AO168^0.994035016789033+0.00905238001496948)),0.05))</f>
        <v>1.05</v>
      </c>
      <c r="AR168" s="9">
        <f>IFERROR(MROUND(_xlfn.XLOOKUP(B168,'Base stats'!B:B,'Base stats'!H:H)/IF(_xlfn.XLOOKUP(B168,'Base stats'!B:B,'Base stats'!I:I)&lt;&gt;1,(122.5/70),1.2),IF(_xlfn.XLOOKUP(B168,'Base stats'!B:B,'Base stats'!H:H)&gt;=30,5,IF(_xlfn.XLOOKUP(B168,'Base stats'!B:B,'Base stats'!H:H)&gt;=15,3,IF(_xlfn.XLOOKUP(B168,'Base stats'!B:B,'Base stats'!H:H)&gt;=10,2,1)))),"Immortal")</f>
        <v>1000</v>
      </c>
      <c r="AS168" s="35" t="str">
        <f>IFERROR(IF(OR(_xlfn.XLOOKUP(B168,'Base stats'!B:B,'Base stats'!F:F)="Atypical reproduction",_xlfn.XLOOKUP(B168,'Base stats'!B:B,'Base stats'!F:F)="Lay eggs"),"Lay eggs",MIN(20,MAX(5.5,ROUND(((_xlfn.XLOOKUP(B168,'Base stats'!B:B,'Base stats'!F:F)-25)*(14.5/615) + 5.5)*2,0)/2))),"Unknown")</f>
        <v>Lay eggs</v>
      </c>
      <c r="AT168" s="8">
        <f>IF(_xlfn.XLOOKUP(B168,'Base stats'!B:B,'Base stats'!G:G)="Atypical reproduction","No",IFERROR(MAX(IF(_xlfn.XLOOKUP(B168,'Base stats'!B:B,'Base stats'!G:G)&lt;0.5,0.2,0.3),MROUND(_xlfn.XLOOKUP(B168,'Base stats'!B:B,'Base stats'!G:G)/(365/60),0.2)),"Unknown"))</f>
        <v>2.4000000000000004</v>
      </c>
      <c r="AU168" s="8">
        <f t="shared" si="15"/>
        <v>1.2000000000000002</v>
      </c>
      <c r="AV168" s="8" t="str">
        <f>IFERROR(IFERROR(MROUND(_xlfn.XLOOKUP(B168,'Base stats'!B:B,'Base stats'!J:J),0.1),"Lay eggs"),"Cannot breed")</f>
        <v>Lay eggs</v>
      </c>
      <c r="AW168" s="2" t="str">
        <f t="shared" si="16"/>
        <v>false</v>
      </c>
      <c r="AX168" s="2" t="str">
        <f>IF(_xlfn.XLOOKUP(_xlfn.XLOOKUP(Animals!B168,'Base stats'!B:B,'Base stats'!E:E),Groups!A:A,Groups!AK:AK)=1,"true","false")</f>
        <v>false</v>
      </c>
      <c r="AY168" s="25" t="str">
        <f>IF(_xlfn.XLOOKUP(B168,'Base stats'!B:B,'Base stats'!Y:Y)="Liquor","Liquor, CarnivoreAnimalStrict",IF(AND(_xlfn.XLOOKUP(B168,'Base stats'!B:B,'Base stats'!Y:Y)="Carnivore",_xlfn.XLOOKUP(_xlfn.XLOOKUP(B168,'Base stats'!B:B,'Base stats'!E:E),Groups!A:A,Groups!AJ:AJ)="Photonozoa"),"CarnivoreAnimalStrict, OvivoreAnimal",IF(_xlfn.XLOOKUP(B168,'Base stats'!B:B,'Base stats'!Y:Y)="Carnivore","CarnivoreAnimal, OvivoreAnimal",IF(_xlfn.XLOOKUP(B168,'Base stats'!B:B,'Base stats'!Y:Y)="Dendrovore","VegetarianRoughAnimal, DendrovoreAnimal",IF(_xlfn.XLOOKUP(B168,'Base stats'!B:B,'Base stats'!Y:Y)="Herbivore","VegetarianRoughAnimal",IF(_xlfn.XLOOKUP(B168,'Base stats'!B:B,'Base stats'!Y:Y)="OmnivoreRough","OmnivoreRoughAnimal, OvivoreAnimal","OmnivoreAnimal, OvivoreAnimal"))))))</f>
        <v>CarnivoreAnimalStrict, OvivoreAnimal</v>
      </c>
      <c r="AZ168" s="2" t="str">
        <f>IF(_xlfn.XLOOKUP(_xlfn.XLOOKUP(B168,'Base stats'!B:B,'Base stats'!E:E),Groups!A:A,Groups!D:D)=1,MROUND((1-J168)*5+1,2)*IF(J168&lt;=0.4,2,1),"No")</f>
        <v>No</v>
      </c>
      <c r="BA168" s="2" t="str">
        <f>IF(AND(_xlfn.XLOOKUP(B168,'Base stats'!B:B,'Base stats'!AH:AH)="&lt;li&gt;Seal&lt;/li&gt;",G168="Odyssey"),"&lt;li&gt;AEXP_Seal&lt;/li&gt;",_xlfn.XLOOKUP(B168,'Base stats'!B:B,'Base stats'!AH:AH))</f>
        <v>No</v>
      </c>
      <c r="BB168" s="2" t="str">
        <f>_xlfn.XLOOKUP(B168,'Base stats'!B:B,'Base stats'!AG:AG)</f>
        <v>Leather_Photonozoa</v>
      </c>
      <c r="BC168" s="23" t="str">
        <f>_xlfn.XLOOKUP(_xlfn.XLOOKUP(B168,'Base stats'!B:B,'Base stats'!E:E),Groups!A:A,Groups!AL:AL)</f>
        <v>Xenofelid</v>
      </c>
      <c r="BD168" s="23">
        <f>MIN(1,MROUND(IF(AND(AO168&lt;0.5,_xlfn.XLOOKUP(B168,'Base stats'!B:B,'Base stats'!AA:AA)=0),0,IF(OR(_xlfn.XLOOKUP(Animals!B168,'Base stats'!B:B,'Base stats'!O:O)=2,_xlfn.XLOOKUP(_xlfn.XLOOKUP(B168,'Base stats'!B:B,'Base stats'!E:E),Groups!A:A,Groups!AN:AN)=0),0,_xlfn.XLOOKUP(_xlfn.XLOOKUP(B168,'Base stats'!B:B,'Base stats'!E:E),Groups!A:A,Groups!AN:AN)/IF(_xlfn.XLOOKUP(Animals!B168,'Base stats'!B:B,'Base stats'!O:O)=1,2,1)))+_xlfn.XLOOKUP(B168,'Base stats'!B:B,'Base stats'!AC:AC),0.005))</f>
        <v>1</v>
      </c>
      <c r="BE168" s="23">
        <f>MIN(1,MROUND(IF(AND(AO168&lt;0.5,_xlfn.XLOOKUP(B168,'Base stats'!B:B,'Base stats'!AA:AA)=0),0,IF(_xlfn.XLOOKUP(_xlfn.XLOOKUP(B168,'Base stats'!B:B,'Base stats'!E:E),Groups!A:A,Groups!AO:AO)=0,0,_xlfn.XLOOKUP(_xlfn.XLOOKUP(B168,'Base stats'!B:B,'Base stats'!E:E),Groups!A:A,Groups!AO:AO)/IF(_xlfn.XLOOKUP(Animals!B168,'Base stats'!B:B,'Base stats'!O:O)=2,3,1)))+_xlfn.XLOOKUP(B168,'Base stats'!B:B,'Base stats'!AD:AD),0.005))</f>
        <v>1</v>
      </c>
      <c r="BF168" s="2" t="str">
        <f>IF(J168&gt;0.3,"No",_xlfn.XLOOKUP(_xlfn.XLOOKUP(Animals!B168,'Base stats'!B:B,'Base stats'!E:E),Groups!A:A,Groups!AP:AP))</f>
        <v>No</v>
      </c>
      <c r="BG168" s="2" t="str">
        <f>IF(AND(J168&lt;=0.65,_xlfn.XLOOKUP(_xlfn.XLOOKUP(Animals!B168,'Base stats'!B:B,'Base stats'!E:E),Groups!A:A,Groups!AP:AP)&lt;&gt;"No",_xlfn.XLOOKUP(_xlfn.XLOOKUP(B168,'Base stats'!B:B,'Base stats'!E:E),Groups!A:A,Groups!D:D)=0),MROUND((80/3)*IF(_xlfn.XLOOKUP(B168,'Base stats'!B:B,'Base stats'!O:O)=2,0.2,AO168) + 24*(1-IF(BF168="No",0,BF168)) + 16/3, 12),"No")</f>
        <v>No</v>
      </c>
      <c r="BH168" s="2">
        <f>IF(AND(_xlfn.XLOOKUP(_xlfn.XLOOKUP(B168,'Base stats'!B:B,'Base stats'!E:E),Groups!A:A,Groups!AQ:AQ)=1,AO168&lt;=0.35),8,12)</f>
        <v>12</v>
      </c>
      <c r="BI168" s="2" t="str">
        <f>IF(_xlfn.XLOOKUP(_xlfn.XLOOKUP(B168,'Base stats'!B:B,'Base stats'!E:E),Groups!A:A,Groups!D:D)=0,_xlfn.XLOOKUP(_xlfn.XLOOKUP(B168,'Base stats'!B:B,'Base stats'!E:E),Groups!A:A,Groups!AR:AR),"None")</f>
        <v>Advanced</v>
      </c>
      <c r="BJ168" s="2" t="str">
        <f>IF(AND(_xlfn.XLOOKUP(_xlfn.XLOOKUP(B168,'Base stats'!B:B,'Base stats'!E:E),Groups!A:A,Groups!AS:AS)=1,OR(_xlfn.XLOOKUP(B168,'Base stats'!B:B,'Base stats'!Y:Y)="Carnivore",_xlfn.XLOOKUP(B168,'Base stats'!B:B,'Base stats'!Y:Y)="Omnivore")),"true","false")</f>
        <v>true</v>
      </c>
      <c r="BK168" s="2">
        <f>IF(BJ168="true",MROUND(IF(AND(AO168&gt;0.5,OR(_xlfn.XLOOKUP(_xlfn.XLOOKUP(B168,'Base stats'!B:B,'Base stats'!E:E),Groups!A:A,Groups!AJ:AJ)="Photonozoa",_xlfn.XLOOKUP(_xlfn.XLOOKUP(B168,'Base stats'!B:B,'Base stats'!E:E),Groups!A:A,Groups!AJ:AJ)="Mammal")),Animals!AO168*1.75*IF(AW168="true",1.5,1),IF(AO168&lt;0.5,Animals!AO168*0.5,Animals!AO168)),IF(AO168&gt;2,0.5,IF(AO168&gt;0.5,0.25,0.1))),"No")</f>
        <v>4.5</v>
      </c>
      <c r="BL168" s="2">
        <f t="shared" si="17"/>
        <v>1</v>
      </c>
      <c r="BM168" s="25" t="str">
        <f>IF(_xlfn.XLOOKUP(B168,'Base stats'!B:B,'Base stats'!AN:AN)="Standard","No",MROUND((_xlfn.XLOOKUP(B168,'Base stats'!B:B,'Base stats'!AN:AN)/3.6)/I168,0.1))</f>
        <v>No</v>
      </c>
      <c r="BN168" s="25" t="str">
        <f t="shared" si="18"/>
        <v>false</v>
      </c>
      <c r="BO168" s="25" t="str">
        <f>IF(AND(OR(_xlfn.XLOOKUP(B168,'Base stats'!B:B,'Base stats'!Y:Y)="Carnivore",_xlfn.XLOOKUP(B168,'Base stats'!B:B,'Base stats'!Y:Y)="Omnivore",_xlfn.XLOOKUP(B168,'Base stats'!B:B,'Base stats'!Y:Y)="OmnivoreRough"),_xlfn.XLOOKUP(_xlfn.XLOOKUP(B168,'Base stats'!B:B,'Base stats'!E:E),Groups!A:A,Groups!AT:AT)=1),"true","false")</f>
        <v>true</v>
      </c>
      <c r="BP168" s="25" t="str" cm="1">
        <f t="array" ref="BP168">IF(
  _xlfn.TEXTJOIN(", ",TRUE,
    IF(AND(BJ168="true",AO168&gt;0.5,BI168&lt;&gt;"None"),"AttackTarget",""),
    IF(AND(_xlfn.XLOOKUP(_xlfn.XLOOKUP(B168,'Base stats'!B:B,'Base stats'!E:E),Groups!A:A,Groups!AJ:AJ="Mammal"),OR(_xlfn.XLOOKUP(B168,'Base stats'!B:B,'Base stats'!Y:Y)="Omnivore",_xlfn.XLOOKUP(B168,'Base stats'!B:B,'Base stats'!Y:Y)="OmnivoreRough")),"Forage",""),
    IF(BG168&lt;=36,"Comfort",""),
    IF(_xlfn.XLOOKUP(B168,'Base stats'!B:B,'Base stats'!AE:AE)&lt;&gt;"No",_xlfn.XLOOKUP(B168,'Base stats'!B:B,'Base stats'!AE:AE),"")
  ) = "",
  "No",
  _xlfn.TEXTJOIN(", ",TRUE,
    IF(AND(BJ168="true",AO168&gt;0.5,BI168&lt;&gt;"None"),"AttackTarget",""),
    IF(AND(_xlfn.XLOOKUP(_xlfn.XLOOKUP(B168,'Base stats'!B:B,'Base stats'!E:E),Groups!A:A,Groups!AJ:AJ="Mammal"),OR(_xlfn.XLOOKUP(B168,'Base stats'!B:B,'Base stats'!Y:Y)="Omnivore",_xlfn.XLOOKUP(B168,'Base stats'!B:B,'Base stats'!Y:Y)="OmnivoreRough")),"Forage",""),
    IF(BG168&lt;=36,"Comfort",""),
    IF(_xlfn.XLOOKUP(B168,'Base stats'!B:B,'Base stats'!AE:AE)&lt;&gt;"No",_xlfn.XLOOKUP(B168,'Base stats'!B:B,'Base stats'!AE:AE),"")
  )
)</f>
        <v>AttackTarget, Zoology_Beastmastery</v>
      </c>
      <c r="BQ168" s="25">
        <f>IF(
   AND(
      'Base stats'!AN168="Standard",_xlfn.XLOOKUP(_xlfn.XLOOKUP(B168,'Base stats'!B:B,'Base stats'!E:E),Groups!A:A,Groups!AU:AU)=0,
      OR(
      BO168="True"
      )
   ),
   10,
   IF(
       OR(BM168&lt;&gt;"No",_xlfn.XLOOKUP(_xlfn.XLOOKUP(B168,'Base stats'!B:B,'Base stats'!E:E),Groups!A:A,Groups!AU:AU)=1),
      1,
      "No"
   )
)</f>
        <v>10</v>
      </c>
      <c r="BR168" s="9">
        <f>MROUND((1 + ((0.2*IF(OR(Q168="No",R168="No",R168=0),0,Q168/R168)
+IF(OR(V168="No",S168="No",T168="No"),0,S168/T168*(LEN(V168)-LEN(SUBSTITUTE(V168,",",""))+1))
+IF(OR(X168="No",Y168="No"),0,X168/Y168)
+IF(OR(AD168="No",AE168="No"),0,AD168/AE168)
+IF(OR(AL168="No",AI168="No",AJ168="No"),0,AI168/AJ168*(LEN(AL168)-LEN(SUBSTITUTE(AL168,",",""))+1))
)/(0.2*IF(OR(Q168="No",R168="No",R168=0),0,1)
+IF(OR(V168="No",S168="No",T168="No"),0,LEN(V168)-LEN(SUBSTITUTE(V168,",",""))+1)
+IF(OR(X168="No",Y168="No"),0,1)
+IF(OR(AD168="No",AE168="No"),0,1)
+IF(OR(AL168="No",AI168="No",AJ168="No"),0,LEN(AL168)-LEN(SUBSTITUTE(AL168,",",""))+1))*62%)* 2)*(1 + (AP168 / (IF(_xlfn.XLOOKUP(_xlfn.XLOOKUP(B168,'Base stats'!B:B,'Base stats'!E:E),Groups!A:A,Groups!AJ:AJ)="Photonozoa",0.3,1)) + _xlfn.XLOOKUP(B168,'Base stats'!B:B,'Base stats'!AV:AV) * 1.8) * 2) * 2.5 + 10 + I168 * 2,5)+IF(_xlfn.XLOOKUP(B168,'Base stats'!B:B,'Base stats'!AK:AK)=1,50,0)</f>
        <v>2200</v>
      </c>
      <c r="BS168" s="8">
        <f t="shared" si="19"/>
        <v>1.35</v>
      </c>
      <c r="BT168" s="8" t="str">
        <f>_xlfn.XLOOKUP(B168,'Base stats'!B:B,'Base stats'!AF:AF)</f>
        <v>No</v>
      </c>
      <c r="BU168" s="2" t="str">
        <f>IF(AND(J168&lt;=0.95,OR(_xlfn.XLOOKUP(B168,'Base stats'!B:B,'Base stats'!AK:AK)=1,_xlfn.XLOOKUP(B168,'Base stats'!B:B,'Base stats'!Y:Y)="Carnivore",_xlfn.XLOOKUP(B168,'Base stats'!B:B,'Base stats'!Y:Y)="Omnivore",BE168&gt;0.1)),"true","false")</f>
        <v>false</v>
      </c>
      <c r="BV168" s="2" t="str">
        <f>IF(_xlfn.XLOOKUP(B168,'Base stats'!B:B,'Base stats'!AI:AI)=1,"true","false")</f>
        <v>false</v>
      </c>
      <c r="BW168" s="25" t="str">
        <f>IF(E168="BaseInsect","AnimalInsect",
IF(J168&gt;0.95,"AnimalExotic",
_xlfn.TEXTJOIN(", ",TRUE,
IF(OR(_xlfn.XLOOKUP(B168,'Base stats'!B:B,'Base stats'!AM:AM)=1,AND(_xlfn.XLOOKUP(B168,'Base stats'!B:B,'Base stats'!O:O)=0,_xlfn.XLOOKUP(_xlfn.XLOOKUP(B168,'Base stats'!B:B,'Base stats'!E:E),Groups!A:A,Groups!B:B)&gt;0)),"AnimalUncommon","AnimalCommon"),
IF(AND(_xlfn.XLOOKUP(B168,'Base stats'!B:B,'Base stats'!O:O)=2,_xlfn.XLOOKUP(_xlfn.XLOOKUP(B168,'Base stats'!B:B,'Base stats'!E:E),Groups!A:A,Groups!D:D)=0),"AnimalPet",IF(AND(_xlfn.XLOOKUP(B168,'Base stats'!B:B,'Base stats'!O:O)&lt;&gt;0,_xlfn.XLOOKUP(_xlfn.XLOOKUP(B168,'Base stats'!B:B,'Base stats'!E:E),Groups!A:A,Groups!D:D)&lt;&gt;0),"AnimalFarm","")),
IF(OR(_xlfn.XLOOKUP(B168,'Base stats'!B:B,'Base stats'!AK:AK)=1,AND(BI168&lt;&gt;"None",BR168&gt;=60),ISNUMBER(SEARCH("Attack target",BP168))),"AnimalFighter","")
)))</f>
        <v>AnimalExotic</v>
      </c>
      <c r="BX168" s="25" t="str">
        <f>IF(G168="None",TRIM(
SUBSTITUTE(
IF(COUNTIF(Biomes!B$2:B$259,"="&amp;$C168)&gt;0,Biomes!B$1&amp;", ","")&amp;
IF(COUNTIF(Biomes!C$2:C$259,"="&amp;$C168)&gt;0,Biomes!C$1&amp;", ","")&amp;
IF(COUNTIF(Biomes!D$2:D$259,"="&amp;$C168)&gt;0,Biomes!D$1&amp;", ","")&amp;
IF(COUNTIF(Biomes!F$2:F$259,"="&amp;$C168)&gt;0,Biomes!F$1&amp;", ","")&amp;
IF(COUNTIF(Biomes!G$2:G$259,"="&amp;$C168)&gt;0,Biomes!G$1&amp;", ","")&amp;
IF(COUNTIF(Biomes!H$2:H$259,"="&amp;$C168)&gt;0,Biomes!H$1&amp;", ","")&amp;
IF(COUNTIF(Biomes!I$2:I$259,"="&amp;$C168)&gt;0,Biomes!I$1&amp;", ","")&amp;
IF(COUNTIF(Biomes!J$2:J$259,"="&amp;$C168)&gt;0,Biomes!J$1&amp;", ","")&amp;
IF(COUNTIF(Biomes!M$2:M$259,"="&amp;$C168)&gt;0,Biomes!M$1&amp;", ","")&amp;
IF(COUNTIF(Biomes!N$2:N$259,"="&amp;$C168)&gt;0,Biomes!N$1&amp;", ","")&amp;
IF(COUNTIF(Biomes!O$2:O$259,"="&amp;$C168)&gt;0,Biomes!O$1&amp;", ","")&amp;
IF(COUNTIF(Biomes!P$2:P$259,"="&amp;$C168)&gt;0,Biomes!P$1&amp;", ","")&amp;
IF(COUNTIF(Biomes!K$2:K$259,"="&amp;$C168)&gt;0,Biomes!K$1&amp;", ","")&amp;
IF(COUNTIF(Biomes!Q$3:Q$259,"="&amp;$C168)&gt;0,Biomes!Q$1&amp;", ","")&amp;
IF(COUNTIF(Biomes!L$2:L$259,"="&amp;$C168)&gt;0,Biomes!L$1&amp;", ","")&amp;
IF(COUNTIF(Biomes!E$2:E$259,"="&amp;$C168)&gt;0,Biomes!E$1&amp;", ","")&amp;IF(COUNTIF(Biomes!S$2:S$259,"="&amp;$C168)&gt;0,Biomes!S$1&amp;", ","")&amp;
IF(COUNTIF(Biomes!R$2:R$259,"="&amp;$C168)&gt;0,Biomes!R$1&amp;", ",""),", ","")
),_xlfn.XLOOKUP(B168,B:B,BX:BX))</f>
        <v/>
      </c>
      <c r="BY168" s="25" t="str">
        <f>IF(_xlfn.XLOOKUP(B168,'Base stats'!B:B,'Base stats'!AJ:AJ)=1,"true","false")</f>
        <v>false</v>
      </c>
      <c r="BZ168" s="25">
        <f>IF(_xlfn.XLOOKUP(B168,'Base stats'!B:B,'Base stats'!N:N)=1,"No",MAX(0.001,MIN(MROUND(IF(AND(BJ168="True",CC168="False"),POWER(10,3.47*LOG10(_xlfn.XLOOKUP(B168,'Base stats'!B:B,'Base stats'!C:C)*1000)^-0.96),POWER(10,4.15*LOG10(_xlfn.XLOOKUP(B168,'Base stats'!B:B,'Base stats'!C:C)*1000)^-0.73))*IF(_xlfn.XLOOKUP(B168,'Base stats'!B:B,'Base stats'!AK:AK)=1,0.5,1)*IF(_xlfn.XLOOKUP(B168,'Base stats'!B:B,'Base stats'!AM:AM)=1,0.1,1)/100,IF(_xlfn.XLOOKUP(B168,'Base stats'!B:B,'Base stats'!AM:AM)=1,0.001,0.025)),0.5)))</f>
        <v>0.05</v>
      </c>
      <c r="CA168" s="25">
        <f>IF(P168="Standard","No",MAX(0.001,MIN(MROUND(IF(AND(BJ168="True",CC168="False"),POWER(10,3.47*LOG10(_xlfn.XLOOKUP(B168,'Base stats'!B:B,'Base stats'!C:C)*1000)^-0.96),POWER(10,4.15*LOG10(_xlfn.XLOOKUP(B168,'Base stats'!B:B,'Base stats'!C:C)*1000)^-0.73))*IF(_xlfn.XLOOKUP(B168,'Base stats'!B:B,'Base stats'!AM:AM)=1,0.1,1)*_xlfn.XLOOKUP(B168,'Base stats'!B:B,'Base stats'!R:R)/100,IF(_xlfn.XLOOKUP(B168,'Base stats'!B:B,'Base stats'!AM:AM)=1,0.001,0.025)),0.5)))</f>
        <v>0.05</v>
      </c>
      <c r="CB168" s="25" t="str">
        <f>IF(_xlfn.XLOOKUP(_xlfn.XLOOKUP(B168,'Base stats'!B:B,'Base stats'!E:E),Groups!A:A,Groups!AJ:AJ)="Mammal","True","False")</f>
        <v>False</v>
      </c>
      <c r="CC168" s="25" t="str">
        <f>IF(OR(_xlfn.XLOOKUP(_xlfn.XLOOKUP(B168,'Base stats'!B:B,'Base stats'!E:E),Groups!A:A,Groups!AJ:AJ)="Reptile",_xlfn.XLOOKUP(_xlfn.XLOOKUP(B168,'Base stats'!B:B,'Base stats'!E:E),Groups!A:A,Groups!AJ:AJ)="Amphibian",_xlfn.XLOOKUP(_xlfn.XLOOKUP(B168,'Base stats'!B:B,'Base stats'!E:E),Groups!A:A,Groups!AJ:AJ)="Invertebrate"),"True","False")</f>
        <v>False</v>
      </c>
      <c r="CD168" s="25" t="str">
        <f t="shared" si="20"/>
        <v>True</v>
      </c>
      <c r="CE168" s="25" t="str">
        <f>IF(_xlfn.XLOOKUP(_xlfn.XLOOKUP(B168,'Base stats'!B:B,'Base stats'!E:E),Groups!A:A,Groups!AX:AX),"True","False")</f>
        <v>True</v>
      </c>
      <c r="CF168" s="25" t="str">
        <f>IF(_xlfn.XLOOKUP(_xlfn.XLOOKUP(B168,'Base stats'!B:B,'Base stats'!E:E),Groups!A:A,Groups!AY:AY),"True","False")</f>
        <v>True</v>
      </c>
      <c r="CG168" s="25" t="str">
        <f>IF(_xlfn.XLOOKUP(_xlfn.XLOOKUP(B168,'Base stats'!B:B,'Base stats'!E:E),Groups!A:A,Groups!AW:AW),"True","False")</f>
        <v>True</v>
      </c>
      <c r="CH168" s="25" t="str">
        <f>IF(
OR(
_xlfn.XLOOKUP(_xlfn.XLOOKUP(B168,'Base stats'!B:B,'Base stats'!E:E),Groups!A:A,Groups!AZ:AZ)=0,
AND(
_xlfn.XLOOKUP(B168,'Base stats'!B:B,'Base stats'!Y:Y)&lt;&gt;"Carnivore",
_xlfn.XLOOKUP(B168,'Base stats'!B:B,'Base stats'!Y:Y)&lt;&gt;"Omnivore",
_xlfn.XLOOKUP(B168,'Base stats'!B:B,'Base stats'!Y:Y)&lt;&gt;"OmnivoreRough"
)
),
"No",
IF(
_xlfn.XLOOKUP(_xlfn.XLOOKUP(B168,'Base stats'!B:B,'Base stats'!E:E),Groups!A:A,Groups!AZ:AZ)=1,
"Flesh",
IF(
_xlfn.XLOOKUP(_xlfn.XLOOKUP(B168,'Base stats'!B:B,'Base stats'!E:E),Groups!A:A,Groups!AZ:AZ)=2,
"Bone",
""
)
)
)</f>
        <v>Bone</v>
      </c>
      <c r="CI168" s="25" t="str">
        <f>IF(_xlfn.XLOOKUP(_xlfn.XLOOKUP(B168,'Base stats'!B:B,'Base stats'!E:E),Groups!A:A,Groups!BB:BB),"True","False")</f>
        <v>False</v>
      </c>
      <c r="CJ168" s="25" t="str">
        <f>IF(_xlfn.XLOOKUP(_xlfn.XLOOKUP(B168,'Base stats'!B:B,'Base stats'!E:E),Groups!A:A,Groups!BA:BA),"True","False")</f>
        <v>False</v>
      </c>
    </row>
    <row r="169" spans="1:88" ht="16.5" thickTop="1" thickBot="1" x14ac:dyDescent="0.3">
      <c r="A169" s="26" t="str">
        <f>_xlfn.XLOOKUP(B169,'Base stats'!B:B,'Base stats'!A:A)</f>
        <v>Asciotaurus</v>
      </c>
      <c r="B169" s="6" t="s">
        <v>1182</v>
      </c>
      <c r="C169" s="28" t="s">
        <v>1183</v>
      </c>
      <c r="D169" s="28" t="s">
        <v>1166</v>
      </c>
      <c r="E169" s="28" t="s">
        <v>1167</v>
      </c>
      <c r="F169" s="28" t="s">
        <v>1168</v>
      </c>
      <c r="G169" s="28" t="s">
        <v>673</v>
      </c>
      <c r="H169" s="2">
        <f>MROUND((
  (IF(AND(_xlfn.XLOOKUP(B169,'Base stats'!B:B,'Base stats'!AL:AL)=0,BI169="None",_xlfn.XLOOKUP(_xlfn.XLOOKUP(B169,'Base stats'!B:B,'Base stats'!E:E),Groups!A:A,Groups!B:B)=0), (18 + BR169 * 2.7) * 0.5,
    IF(AND(_xlfn.XLOOKUP(B169,'Base stats'!B:B,'Base stats'!AL:AL)=0,OR(AO169&lt;0.55,AND(BI169="Intermediate",_xlfn.XLOOKUP(_xlfn.XLOOKUP(B169,'Base stats'!B:B,'Base stats'!E:E),Groups!A:A,Groups!B:B)&lt;2))), (18 + BR169 * 2.7),
      IF(OR(BI169="Advanced",_xlfn.XLOOKUP(B169,'Base stats'!B:B,'Base stats'!AL:AL)=1,_xlfn.XLOOKUP(_xlfn.XLOOKUP(B169,'Base stats'!B:B,'Base stats'!E:E),Groups!A:A,Groups!B:B)=2), (18 + BR169 * 2.7) + 250, (18 + BR169 * 2.7))
    )
  ))
  + AO169 * 80
  + IF(COUNTIF(EggMilk!K$2:K$998, A169) &gt; 0, 125, 0)
  + IF(COUNTIF(EggMilk!P$2:P$998, A169) &gt; 0, 90, 0)
  + IF(COUNTIF(EggMilk!A$2:A$998, A169) &gt; 0, 90, 0)
)
* (0.8 + 0.4 * J169)
* 0.75,25)</f>
        <v>5175</v>
      </c>
      <c r="I169" s="2">
        <f>MROUND(ROUNDDOWN(_xlfn.XLOOKUP(B169,'Base stats'!B:B,'Base stats'!L:L)/3.6/(23.3/11),1),0.5)</f>
        <v>8</v>
      </c>
      <c r="J169" s="2">
        <f>IF(OR(_xlfn.XLOOKUP(B169,'Base stats'!B:B,'Base stats'!AB:AB)=1,_xlfn.XLOOKUP(_xlfn.XLOOKUP(B169,'Base stats'!B:B,'Base stats'!E:E),Groups!A:A,Groups!C:C)="Untamable"),1,IF(_xlfn.XLOOKUP(B169,'Base stats'!B:B,'Base stats'!AL:AL)=1,0.99,MIN(MROUND((1-0.6282*EXP(-0.459*AO169))*_xlfn.XLOOKUP(_xlfn.XLOOKUP(B169,'Base stats'!B:B,'Base stats'!E:E),Groups!A:A,Groups!C:C)*IF(_xlfn.XLOOKUP(B169,'Base stats'!B:B,'Base stats'!O:O)=1,0.5,IF(_xlfn.XLOOKUP(B169,'Base stats'!B:B,'Base stats'!O:O)=2,0,1)),0.05),IF(AO169&gt;3.5,0.985,0.95))))</f>
        <v>1</v>
      </c>
      <c r="K169" s="2">
        <f>ROUNDUP(AO169*_xlfn.XLOOKUP(_xlfn.XLOOKUP(B169,'Base stats'!B:B,'Base stats'!E:E),Groups!A:A,Groups!E:E),0)</f>
        <v>25</v>
      </c>
      <c r="L169" s="2">
        <f>IF(OR(_xlfn.XLOOKUP(_xlfn.XLOOKUP(B169,'Base stats'!B:B,'Base stats'!E:E),Groups!A:A,Groups!F:F)=2,ISNUMBER(SEARCH("SeaIce",BX169)),ISNUMBER(SEARCH("IceSheet",BX169))),-50,IF(OR(ISNUMBER(SEARCH("GlacialPlain",BX169)),ISNUMBER(SEARCH("Tundra",BX169))),-40,IF(OR(ISNUMBER(SEARCH("Alpine",BX169)),ISNUMBER(SEARCH("BorealForest",BX169)),ISNUMBER(SEARCH("ColdBog",BX169))),-30,IF(OR(ISNUMBER(SEARCH("TemperateForest",BX169)),ISNUMBER(SEARCH("TemperateSwamp",BX169))),-20,IF(_xlfn.XLOOKUP(_xlfn.XLOOKUP(B169,'Base stats'!B:B,'Base stats'!E:E),Groups!A:A,Groups!F:F)=1,-15,IF(OR(ISNUMBER(SEARCH("Desert",BX169)),ISNUMBER(SEARCH("ExtremeDesert",BX169))),-10,IF(OR(ISNUMBER(SEARCH("Grasslands",BX169)),ISNUMBER(SEARCH("TropicalRainforest",BX169)),ISNUMBER(SEARCH("TropicalSwamp",BX169))),10,0)))))))-IF(CC169="False",MIN(IFERROR(MAX(MROUND(LOG10(_xlfn.XLOOKUP(B169,'Base stats'!B:B,'Base stats'!C:C)^(2/3))*10,5),5),5),30))-_xlfn.XLOOKUP(B169,'Base stats'!B:B,'Base stats'!P:P)+IF(CC169="True",5,0)</f>
        <v>-175</v>
      </c>
      <c r="M169" s="2">
        <f>IF(OR(_xlfn.XLOOKUP(_xlfn.XLOOKUP(B169,'Base stats'!B:B,'Base stats'!E:E),Groups!A:A,Groups!G:G)=2,ISNUMBER(SEARCH("Desert",BX169)),ISNUMBER(SEARCH("ExtremeDesert",BX169)),ISNUMBER(SEARCH("LavaField",BX169))),50,IF(ISNUMBER(SEARCH("Grasslands",BX169)),45,IF(OR(_xlfn.XLOOKUP(_xlfn.XLOOKUP(B169,'Base stats'!B:B,'Base stats'!E:E),Groups!A:A,Groups!G:G)=1,ISNUMBER(SEARCH("TropicalRainforest",BX169)),ISNUMBER(SEARCH("TropicalSwamp",BX169))),40,IF(OR(ISNUMBER(SEARCH("TemperateForest",BX169)),ISNUMBER(SEARCH("TemperateSwamp",BX169))),35,IF(OR(ISNUMBER(SEARCH("Alpine",BX169)),ISNUMBER(SEARCH("BorealForest",BX169)),ISNUMBER(SEARCH("ColdBog",BX169))),30,IF(ISNUMBER(OR(ISNUMBER(SEARCH("GlacialPlain",BX169)),SEARCH("Tundra",BX169))),25,IF(OR(ISNUMBER(SEARCH("SeaIce",BX169)),ISNUMBER(SEARCH("IceSheet",BX169)),ISNUMBER(SEARCH("TropicalSwamp",BX169))),10,35)))))))+_xlfn.XLOOKUP(B169,'Base stats'!B:B,'Base stats'!Q:Q)</f>
        <v>150</v>
      </c>
      <c r="N169" s="8">
        <f>IF(
_xlfn.XLOOKUP(
_xlfn.XLOOKUP(B169,'Base stats'!B:B,'Base stats'!E:E),
Groups!A:A,
Groups!L:L
)=1,
MIN(
MROUND(
IF(
_xlfn.XLOOKUP(B169,'Animals CE'!B:B,'Animals CE'!Z:Z)&lt;=1.5,
_xlfn.XLOOKUP(B169,'Animals CE'!B:B,'Animals CE'!Z:Z)/2+0.05,
0.8+
(_xlfn.XLOOKUP(B169,'Animals CE'!B:B,'Animals CE'!Z:Z)-1.5)
*0.02
),
0.05
),
200%
),
"No"
)</f>
        <v>1</v>
      </c>
      <c r="O169" s="8">
        <f>IF(
_xlfn.XLOOKUP(
_xlfn.XLOOKUP(B169,'Base stats'!B:B,'Base stats'!E:E),
Groups!A:A,
Groups!L:L
)=1,
MIN(
MROUND(
IF(
_xlfn.XLOOKUP(B169,'Animals CE'!B:B,'Animals CE'!AA:AA)&lt;=1.5,
_xlfn.XLOOKUP(B169,'Animals CE'!B:B,'Animals CE'!AA:AA)/2+0.05,
0.8+
(_xlfn.XLOOKUP(B169,'Animals CE'!B:B,'Animals CE'!AA:AA)-1.5)
*0.02
),
0.05
),
200%
),
"No"
)</f>
        <v>1.7000000000000002</v>
      </c>
      <c r="P169" s="2">
        <f>_xlfn.XLOOKUP(B169,'Base stats'!B:B,'Base stats'!R:R)</f>
        <v>1</v>
      </c>
      <c r="Q169" s="13">
        <f>MROUND((LOG10(_xlfn.XLOOKUP(B169,'Base stats'!B:B,'Base stats'!AR:AR))*(AO169^0.5)+(_xlfn.XLOOKUP(B169,'Base stats'!B:B,'Base stats'!AR:AR)/1000)^(2/3)+_xlfn.XLOOKUP(B169,'Base stats'!B:B,'Base stats'!BA:BA)/2)+0.5,0.5)</f>
        <v>37</v>
      </c>
      <c r="R169" s="7">
        <f>IF(Q169="No","No",MAX(1,MROUND(_xlfn.XLOOKUP(B169,'Base stats'!B:B,'Base stats'!C:C)^0.165,0.05)))</f>
        <v>4.1000000000000005</v>
      </c>
      <c r="S169" s="13">
        <f>IF(_xlfn.XLOOKUP(_xlfn.XLOOKUP(B169,'Base stats'!B:B,'Base stats'!E:E),Groups!A:A,Groups!P:P)=0,"No",MROUND((LOG10(_xlfn.XLOOKUP(B169,'Base stats'!B:B,'Base stats'!AS:AS))*(AO169^0.5)+(_xlfn.XLOOKUP(B169,'Base stats'!B:B,'Base stats'!AS:AS)/1000)^(2/3)+_xlfn.XLOOKUP(B169,'Base stats'!B:B,'Base stats'!BA:BA))+_xlfn.XLOOKUP(B169,'Base stats'!B:B,'Base stats'!AY:AY)+0.5,0.5))</f>
        <v>43.5</v>
      </c>
      <c r="T169" s="7">
        <f>IF(S169="No","No",MAX(_xlfn.XLOOKUP(_xlfn.XLOOKUP(B169,'Base stats'!B:B,'Base stats'!E:E),Groups!A:A,Groups!Q:Q),MROUND(_xlfn.XLOOKUP(_xlfn.XLOOKUP(B169,'Base stats'!B:B,'Base stats'!E:E),Groups!A:A,Groups!Q:Q)*_xlfn.XLOOKUP(B169,'Base stats'!B:B,'Base stats'!C:C)^0.165,0.05)))</f>
        <v>3.25</v>
      </c>
      <c r="U169" s="7" t="str">
        <f>IF(S169="No","No",_xlfn.XLOOKUP(_xlfn.XLOOKUP(B169,'Base stats'!B:B,'Base stats'!E:E),Groups!A:A,Groups!R:R))</f>
        <v>FrontLeftLeg, FrontRightLeg</v>
      </c>
      <c r="V169" s="7" t="str">
        <f>IF(S169="No","No",_xlfn.XLOOKUP(_xlfn.XLOOKUP(B169,'Base stats'!B:B,'Base stats'!E:E),Groups!A:A,Groups!S:S))</f>
        <v>left hoof, right hoof</v>
      </c>
      <c r="W169" s="7" t="str">
        <f>IF(S169="No","No",_xlfn.XLOOKUP(_xlfn.XLOOKUP(B169,'Base stats'!B:B,'Base stats'!E:E),Groups!A:A,Groups!T:T))</f>
        <v>Blunt</v>
      </c>
      <c r="X169" s="13">
        <f>IF(_xlfn.XLOOKUP(B169,'Base stats'!B:B,'Base stats'!W:W)="No","No",MROUND((LOG10(_xlfn.XLOOKUP(B169,'Base stats'!B:B,'Base stats'!AU:AU))*(AO169^0.5)+(_xlfn.XLOOKUP(B169,'Base stats'!B:B,'Base stats'!AU:AU)/1000)^(2/3)+_xlfn.XLOOKUP(B169,'Base stats'!B:B,'Base stats'!AZ:AZ))+0.5+IF(_xlfn.XLOOKUP(_xlfn.XLOOKUP(B169,'Base stats'!B:B,'Base stats'!E:E),Groups!A:A,Groups!U:U)&lt;&gt;3,_xlfn.XLOOKUP(B169,'Base stats'!B:B,'Base stats'!BA:BA),0),0.5))</f>
        <v>50.5</v>
      </c>
      <c r="Y169" s="7">
        <f>IF(X169="No","No",MAX(_xlfn.XLOOKUP(_xlfn.XLOOKUP(B169,'Base stats'!B:B,'Base stats'!E:E),Groups!A:A,Groups!V:V),MROUND(_xlfn.XLOOKUP(_xlfn.XLOOKUP(B169,'Base stats'!B:B,'Base stats'!E:E),Groups!A:A,Groups!V:V)*_xlfn.XLOOKUP(B169,'Base stats'!B:B,'Base stats'!C:C)^0.165,0.05)))</f>
        <v>2.85</v>
      </c>
      <c r="Z169" s="7" t="str">
        <f>IF(X169="No","No",_xlfn.XLOOKUP(_xlfn.XLOOKUP(B169,'Base stats'!B:B,'Base stats'!E:E),Groups!A:A,Groups!W:W))</f>
        <v>HeadAttackTool</v>
      </c>
      <c r="AA169" s="7" t="str">
        <f>IF(X169="No","No",_xlfn.XLOOKUP(_xlfn.XLOOKUP(B169,'Base stats'!B:B,'Base stats'!E:E),Groups!A:A,Groups!X:X))</f>
        <v>horn</v>
      </c>
      <c r="AB169" s="7" t="str">
        <f>IF(X169="No","No",_xlfn.XLOOKUP(_xlfn.XLOOKUP(B169,'Base stats'!B:B,'Base stats'!E:E),Groups!A:A,Groups!Y:Y))</f>
        <v>Scratch</v>
      </c>
      <c r="AC169" s="7" t="str">
        <f>_xlfn.XLOOKUP(Animals!B169,'Base stats'!B:B,'Base stats'!X:X)</f>
        <v>False</v>
      </c>
      <c r="AD169" s="13" t="str">
        <f>IF(_xlfn.XLOOKUP(B169,'Base stats'!B:B,'Base stats'!AT:AT)="No","No",MROUND((LOG10(_xlfn.XLOOKUP(B169,'Base stats'!B:B,'Base stats'!AT:AT))*(AO169^0.75)+(_xlfn.XLOOKUP(B169,'Base stats'!B:B,'Base stats'!AT:AT)/1000)^(2/3)+_xlfn.XLOOKUP(B169,'Base stats'!B:B,'Base stats'!AX:AX)+_xlfn.XLOOKUP(B169,'Base stats'!B:B,'Base stats'!BA:BA))+0.5,0.5))</f>
        <v>No</v>
      </c>
      <c r="AE169" s="7" t="str">
        <f>IF(AD169="No","No",MAX(_xlfn.XLOOKUP(_xlfn.XLOOKUP(B169,'Base stats'!B:B,'Base stats'!E:E),Groups!A:A,Groups!Z:Z),MROUND(_xlfn.XLOOKUP(_xlfn.XLOOKUP(B169,'Base stats'!B:B,'Base stats'!E:E),Groups!A:A,Groups!Z:Z)*_xlfn.XLOOKUP(B169,'Base stats'!B:B,'Base stats'!C:C)^0.165,0.05)))</f>
        <v>No</v>
      </c>
      <c r="AF169" s="7" t="str">
        <f>IF(AD169="No","No",_xlfn.XLOOKUP(_xlfn.XLOOKUP(B169,'Base stats'!B:B,'Base stats'!E:E),Groups!A:A,Groups!AA:AA))</f>
        <v>No</v>
      </c>
      <c r="AG169" s="7" t="str">
        <f>IF(AD169="No","No",_xlfn.XLOOKUP(_xlfn.XLOOKUP(B169,'Base stats'!B:B,'Base stats'!E:E),Groups!A:A,Groups!AB:AB))</f>
        <v>No</v>
      </c>
      <c r="AH169" s="7" t="str">
        <f>IF(AD169="No","No",_xlfn.XLOOKUP(_xlfn.XLOOKUP(B169,'Base stats'!B:B,'Base stats'!E:E),Groups!A:A,Groups!AC:AC))</f>
        <v>No</v>
      </c>
      <c r="AI169" s="13" t="str">
        <f>IF(_xlfn.XLOOKUP(_xlfn.XLOOKUP(B169,'Base stats'!B:B,'Base stats'!E:E),Groups!A:A,Groups!AD:AD)=0,"No",MROUND((LOG10(_xlfn.XLOOKUP(B169,'Base stats'!B:B,'Base stats'!AS:AS))*(AO169^0.75)+(_xlfn.XLOOKUP(B169,'Base stats'!B:B,'Base stats'!AS:AS)/1000)^(2/3)+_xlfn.XLOOKUP(B169,'Base stats'!B:B,'Base stats'!AY:AY)+_xlfn.XLOOKUP(B169,'Base stats'!B:B,'Base stats'!BA:BA))+0.5,0.5))</f>
        <v>No</v>
      </c>
      <c r="AJ169" s="7" t="str">
        <f>IF(AI169="No","No",MAX(_xlfn.XLOOKUP(_xlfn.XLOOKUP(B169,'Base stats'!B:B,'Base stats'!E:E),Groups!A:A,Groups!AE:AE),MROUND(_xlfn.XLOOKUP(_xlfn.XLOOKUP(B169,'Base stats'!B:B,'Base stats'!E:E),Groups!A:A,Groups!AE:AE)*IF(_xlfn.XLOOKUP(_xlfn.XLOOKUP(B169,'Base stats'!B:B,'Base stats'!E:E),Groups!A:A,Groups!AJ:AJ)="Photonozoa",0.6,1)*_xlfn.XLOOKUP(B169,'Base stats'!B:B,'Base stats'!C:C)^0.165,0.05)))</f>
        <v>No</v>
      </c>
      <c r="AK169" s="7" t="str">
        <f>IF(AI169="No","No",_xlfn.XLOOKUP(_xlfn.XLOOKUP(B169,'Base stats'!B:B,'Base stats'!E:E),Groups!A:A,Groups!AF:AF))</f>
        <v>No</v>
      </c>
      <c r="AL169" s="7" t="str">
        <f>IF(AI169="No","No",_xlfn.XLOOKUP(_xlfn.XLOOKUP(B169,'Base stats'!B:B,'Base stats'!E:E),Groups!A:A,Groups!AG:AG))</f>
        <v>No</v>
      </c>
      <c r="AM169" s="7" t="str">
        <f>IF(AI169="No","No",_xlfn.XLOOKUP(_xlfn.XLOOKUP(B169,'Base stats'!B:B,'Base stats'!E:E),Groups!A:A,Groups!AH:AH))</f>
        <v>No</v>
      </c>
      <c r="AN169" s="2" t="str">
        <f t="shared" si="14"/>
        <v>No</v>
      </c>
      <c r="AO169" s="2">
        <f>MROUND(IF(AND(_xlfn.XLOOKUP(B169,'Base stats'!B:B,'Base stats'!C:C)&gt;=0.5,_xlfn.XLOOKUP(B169,'Base stats'!B:B,'Base stats'!C:C)&lt;=0.8),
IF(_xlfn.XLOOKUP(B169,'Base stats'!B:B,'Base stats'!C:C)&lt;0.1,0.05,IF(_xlfn.XLOOKUP(B169,'Base stats'!B:B,'Base stats'!C:C)&lt;=70,(_xlfn.XLOOKUP(B169,'Base stats'!B:B,'Base stats'!C:C)/70)^0.426489913056526,IF(_xlfn.XLOOKUP(B169,'Base stats'!B:B,'Base stats'!C:C)&lt;=400,(_xlfn.XLOOKUP(B169,'Base stats'!B:B,'Base stats'!C:C)/70)^0.572811455315093,IF(_xlfn.XLOOKUP(B169,'Base stats'!B:B,'Base stats'!C:C)&lt;=2000,2.71391647193063*(_xlfn.XLOOKUP(B169,'Base stats'!B:B,'Base stats'!C:C)/400)^0.252459582904293,3.74314280240376*(_xlfn.XLOOKUP(B169,'Base stats'!B:B,'Base stats'!C:C)/2000)^0.357012633876913)))),
IF(_xlfn.XLOOKUP(B169,'Base stats'!B:B,'Base stats'!C:C)&lt;0.1,0.05,IF(_xlfn.XLOOKUP(B169,'Base stats'!B:B,'Base stats'!C:C)&lt;0.4,0.1,IF(_xlfn.XLOOKUP(B169,'Base stats'!B:B,'Base stats'!C:C)&lt;=70,(_xlfn.XLOOKUP(B169,'Base stats'!B:B,'Base stats'!C:C)/70)^0.445823913056526,IF(_xlfn.XLOOKUP(B169,'Base stats'!B:B,'Base stats'!C:C)&lt;=400,(_xlfn.XLOOKUP(B169,'Base stats'!B:B,'Base stats'!C:C)/70)^0.572811455315093,IF(_xlfn.XLOOKUP(B169,'Base stats'!B:B,'Base stats'!C:C)&lt;=2000,2.71391647193063*(_xlfn.XLOOKUP(B169,'Base stats'!B:B,'Base stats'!C:C)/400)^0.252459582904293,3.74314280240376*(_xlfn.XLOOKUP(B169,'Base stats'!B:B,'Base stats'!C:C)/2000)^0.357012633876913)))))),
IF(_xlfn.XLOOKUP(B169,'Base stats'!B:B,'Base stats'!C:C)&lt;0.1,0.05,IF(_xlfn.XLOOKUP(B169,'Base stats'!B:B,'Base stats'!C:C)&lt;=100,0.05,IF(_xlfn.XLOOKUP(B169,'Base stats'!B:B,'Base stats'!C:C)&lt;=250,0.1,IF(_xlfn.XLOOKUP(B169,'Base stats'!B:B,'Base stats'!C:C)&lt;=4000,0.25,0.5)))))</f>
        <v>5</v>
      </c>
      <c r="AP169" s="8">
        <f>MROUND(AO169*_xlfn.XLOOKUP(_xlfn.XLOOKUP(B169,'Base stats'!B:B,'Base stats'!E:E),Groups!A:A,Groups!AI:AI)*_xlfn.XLOOKUP(B169,'Base stats'!B:B,'Base stats'!Z:Z),0.05)</f>
        <v>5</v>
      </c>
      <c r="AQ169" s="8">
        <f>MAX(0.01,MROUND(IF(CC169="True",0.196*(AO169*100*1000)^0.889,IF(_xlfn.XLOOKUP(_xlfn.XLOOKUP(B169,'Base stats'!B:B,'Base stats'!E:E),Groups!A:A,Groups!AJ:AJ)="Bird",10.5*(AO169*100*1000)^0.681,4.82*(AO169*100*1000)^0.734))/(4.82*(1*100*1000)^0.734)/IF(AO169&lt;3.5,2,IF(AO169=3.5,1.5,1.25))*(1+0.132282374779864/(AO169^0.994035016789033+0.00905238001496948)),0.05))</f>
        <v>2.7</v>
      </c>
      <c r="AR169" s="9">
        <f>IFERROR(MROUND(_xlfn.XLOOKUP(B169,'Base stats'!B:B,'Base stats'!H:H)/IF(_xlfn.XLOOKUP(B169,'Base stats'!B:B,'Base stats'!I:I)&lt;&gt;1,(122.5/70),1.2),IF(_xlfn.XLOOKUP(B169,'Base stats'!B:B,'Base stats'!H:H)&gt;=30,5,IF(_xlfn.XLOOKUP(B169,'Base stats'!B:B,'Base stats'!H:H)&gt;=15,3,IF(_xlfn.XLOOKUP(B169,'Base stats'!B:B,'Base stats'!H:H)&gt;=10,2,1)))),"Immortal")</f>
        <v>1000</v>
      </c>
      <c r="AS169" s="35" t="str">
        <f>IFERROR(IF(OR(_xlfn.XLOOKUP(B169,'Base stats'!B:B,'Base stats'!F:F)="Atypical reproduction",_xlfn.XLOOKUP(B169,'Base stats'!B:B,'Base stats'!F:F)="Lay eggs"),"Lay eggs",MIN(20,MAX(5.5,ROUND(((_xlfn.XLOOKUP(B169,'Base stats'!B:B,'Base stats'!F:F)-25)*(14.5/615) + 5.5)*2,0)/2))),"Unknown")</f>
        <v>Lay eggs</v>
      </c>
      <c r="AT169" s="8">
        <f>IF(_xlfn.XLOOKUP(B169,'Base stats'!B:B,'Base stats'!G:G)="Atypical reproduction","No",IFERROR(MAX(IF(_xlfn.XLOOKUP(B169,'Base stats'!B:B,'Base stats'!G:G)&lt;0.5,0.2,0.3),MROUND(_xlfn.XLOOKUP(B169,'Base stats'!B:B,'Base stats'!G:G)/(365/60),0.2)),"Unknown"))</f>
        <v>1.6</v>
      </c>
      <c r="AU169" s="8">
        <f t="shared" si="15"/>
        <v>0.8</v>
      </c>
      <c r="AV169" s="8" t="str">
        <f>IFERROR(IFERROR(MROUND(_xlfn.XLOOKUP(B169,'Base stats'!B:B,'Base stats'!J:J),0.1),"Lay eggs"),"Cannot breed")</f>
        <v>Lay eggs</v>
      </c>
      <c r="AW169" s="2" t="str">
        <f t="shared" si="16"/>
        <v>true</v>
      </c>
      <c r="AX169" s="2" t="str">
        <f>IF(_xlfn.XLOOKUP(_xlfn.XLOOKUP(Animals!B169,'Base stats'!B:B,'Base stats'!E:E),Groups!A:A,Groups!AK:AK)=1,"true","false")</f>
        <v>false</v>
      </c>
      <c r="AY169" s="25" t="str">
        <f>IF(_xlfn.XLOOKUP(B169,'Base stats'!B:B,'Base stats'!Y:Y)="Liquor","Liquor, CarnivoreAnimalStrict",IF(AND(_xlfn.XLOOKUP(B169,'Base stats'!B:B,'Base stats'!Y:Y)="Carnivore",_xlfn.XLOOKUP(_xlfn.XLOOKUP(B169,'Base stats'!B:B,'Base stats'!E:E),Groups!A:A,Groups!AJ:AJ)="Photonozoa"),"CarnivoreAnimalStrict, OvivoreAnimal",IF(_xlfn.XLOOKUP(B169,'Base stats'!B:B,'Base stats'!Y:Y)="Carnivore","CarnivoreAnimal, OvivoreAnimal",IF(_xlfn.XLOOKUP(B169,'Base stats'!B:B,'Base stats'!Y:Y)="Dendrovore","VegetarianRoughAnimal, DendrovoreAnimal",IF(_xlfn.XLOOKUP(B169,'Base stats'!B:B,'Base stats'!Y:Y)="Herbivore","VegetarianRoughAnimal",IF(_xlfn.XLOOKUP(B169,'Base stats'!B:B,'Base stats'!Y:Y)="OmnivoreRough","OmnivoreRoughAnimal, OvivoreAnimal","OmnivoreAnimal, OvivoreAnimal"))))))</f>
        <v>OmnivoreRoughAnimal, OvivoreAnimal</v>
      </c>
      <c r="AZ169" s="2" t="str">
        <f>IF(_xlfn.XLOOKUP(_xlfn.XLOOKUP(B169,'Base stats'!B:B,'Base stats'!E:E),Groups!A:A,Groups!D:D)=1,MROUND((1-J169)*5+1,2)*IF(J169&lt;=0.4,2,1),"No")</f>
        <v>No</v>
      </c>
      <c r="BA169" s="2" t="str">
        <f>IF(AND(_xlfn.XLOOKUP(B169,'Base stats'!B:B,'Base stats'!AH:AH)="&lt;li&gt;Seal&lt;/li&gt;",G169="Odyssey"),"&lt;li&gt;AEXP_Seal&lt;/li&gt;",_xlfn.XLOOKUP(B169,'Base stats'!B:B,'Base stats'!AH:AH))</f>
        <v>No</v>
      </c>
      <c r="BB169" s="2" t="str">
        <f>_xlfn.XLOOKUP(B169,'Base stats'!B:B,'Base stats'!AG:AG)</f>
        <v>Leather_Photonozoa</v>
      </c>
      <c r="BC169" s="23" t="str">
        <f>_xlfn.XLOOKUP(_xlfn.XLOOKUP(B169,'Base stats'!B:B,'Base stats'!E:E),Groups!A:A,Groups!AL:AL)</f>
        <v>Xenobovid</v>
      </c>
      <c r="BD169" s="23">
        <f>MIN(1,MROUND(IF(AND(AO169&lt;0.5,_xlfn.XLOOKUP(B169,'Base stats'!B:B,'Base stats'!AA:AA)=0),0,IF(OR(_xlfn.XLOOKUP(Animals!B169,'Base stats'!B:B,'Base stats'!O:O)=2,_xlfn.XLOOKUP(_xlfn.XLOOKUP(B169,'Base stats'!B:B,'Base stats'!E:E),Groups!A:A,Groups!AN:AN)=0),0,_xlfn.XLOOKUP(_xlfn.XLOOKUP(B169,'Base stats'!B:B,'Base stats'!E:E),Groups!A:A,Groups!AN:AN)/IF(_xlfn.XLOOKUP(Animals!B169,'Base stats'!B:B,'Base stats'!O:O)=1,2,1)))+_xlfn.XLOOKUP(B169,'Base stats'!B:B,'Base stats'!AC:AC),0.005))</f>
        <v>0.1</v>
      </c>
      <c r="BE169" s="23">
        <f>MIN(1,MROUND(IF(AND(AO169&lt;0.5,_xlfn.XLOOKUP(B169,'Base stats'!B:B,'Base stats'!AA:AA)=0),0,IF(_xlfn.XLOOKUP(_xlfn.XLOOKUP(B169,'Base stats'!B:B,'Base stats'!E:E),Groups!A:A,Groups!AO:AO)=0,0,_xlfn.XLOOKUP(_xlfn.XLOOKUP(B169,'Base stats'!B:B,'Base stats'!E:E),Groups!A:A,Groups!AO:AO)/IF(_xlfn.XLOOKUP(Animals!B169,'Base stats'!B:B,'Base stats'!O:O)=2,3,1)))+_xlfn.XLOOKUP(B169,'Base stats'!B:B,'Base stats'!AD:AD),0.005))</f>
        <v>0.3</v>
      </c>
      <c r="BF169" s="2" t="str">
        <f>IF(J169&gt;0.3,"No",_xlfn.XLOOKUP(_xlfn.XLOOKUP(Animals!B169,'Base stats'!B:B,'Base stats'!E:E),Groups!A:A,Groups!AP:AP))</f>
        <v>No</v>
      </c>
      <c r="BG169" s="2" t="str">
        <f>IF(AND(J169&lt;=0.65,_xlfn.XLOOKUP(_xlfn.XLOOKUP(Animals!B169,'Base stats'!B:B,'Base stats'!E:E),Groups!A:A,Groups!AP:AP)&lt;&gt;"No",_xlfn.XLOOKUP(_xlfn.XLOOKUP(B169,'Base stats'!B:B,'Base stats'!E:E),Groups!A:A,Groups!D:D)=0),MROUND((80/3)*IF(_xlfn.XLOOKUP(B169,'Base stats'!B:B,'Base stats'!O:O)=2,0.2,AO169) + 24*(1-IF(BF169="No",0,BF169)) + 16/3, 12),"No")</f>
        <v>No</v>
      </c>
      <c r="BH169" s="2">
        <f>IF(AND(_xlfn.XLOOKUP(_xlfn.XLOOKUP(B169,'Base stats'!B:B,'Base stats'!E:E),Groups!A:A,Groups!AQ:AQ)=1,AO169&lt;=0.35),8,12)</f>
        <v>12</v>
      </c>
      <c r="BI169" s="2" t="str">
        <f>IF(_xlfn.XLOOKUP(_xlfn.XLOOKUP(B169,'Base stats'!B:B,'Base stats'!E:E),Groups!A:A,Groups!D:D)=0,_xlfn.XLOOKUP(_xlfn.XLOOKUP(B169,'Base stats'!B:B,'Base stats'!E:E),Groups!A:A,Groups!AR:AR),"None")</f>
        <v>Intermediate</v>
      </c>
      <c r="BJ169" s="2" t="str">
        <f>IF(AND(_xlfn.XLOOKUP(_xlfn.XLOOKUP(B169,'Base stats'!B:B,'Base stats'!E:E),Groups!A:A,Groups!AS:AS)=1,OR(_xlfn.XLOOKUP(B169,'Base stats'!B:B,'Base stats'!Y:Y)="Carnivore",_xlfn.XLOOKUP(B169,'Base stats'!B:B,'Base stats'!Y:Y)="Omnivore")),"true","false")</f>
        <v>false</v>
      </c>
      <c r="BK169" s="2" t="str">
        <f>IF(BJ169="true",MROUND(IF(AND(AO169&gt;0.5,OR(_xlfn.XLOOKUP(_xlfn.XLOOKUP(B169,'Base stats'!B:B,'Base stats'!E:E),Groups!A:A,Groups!AJ:AJ)="Photonozoa",_xlfn.XLOOKUP(_xlfn.XLOOKUP(B169,'Base stats'!B:B,'Base stats'!E:E),Groups!A:A,Groups!AJ:AJ)="Mammal")),Animals!AO169*1.75*IF(AW169="true",1.5,1),IF(AO169&lt;0.5,Animals!AO169*0.5,Animals!AO169)),IF(AO169&gt;2,0.5,IF(AO169&gt;0.5,0.25,0.1))),"No")</f>
        <v>No</v>
      </c>
      <c r="BL169" s="2">
        <f t="shared" si="17"/>
        <v>1</v>
      </c>
      <c r="BM169" s="25" t="str">
        <f>IF(_xlfn.XLOOKUP(B169,'Base stats'!B:B,'Base stats'!AN:AN)="Standard","No",MROUND((_xlfn.XLOOKUP(B169,'Base stats'!B:B,'Base stats'!AN:AN)/3.6)/I169,0.1))</f>
        <v>No</v>
      </c>
      <c r="BN169" s="25" t="str">
        <f t="shared" si="18"/>
        <v>false</v>
      </c>
      <c r="BO169" s="25" t="str">
        <f>IF(AND(OR(_xlfn.XLOOKUP(B169,'Base stats'!B:B,'Base stats'!Y:Y)="Carnivore",_xlfn.XLOOKUP(B169,'Base stats'!B:B,'Base stats'!Y:Y)="Omnivore",_xlfn.XLOOKUP(B169,'Base stats'!B:B,'Base stats'!Y:Y)="OmnivoreRough"),_xlfn.XLOOKUP(_xlfn.XLOOKUP(B169,'Base stats'!B:B,'Base stats'!E:E),Groups!A:A,Groups!AT:AT)=1),"true","false")</f>
        <v>false</v>
      </c>
      <c r="BP169" s="25" t="str" cm="1">
        <f t="array" ref="BP169">IF(
  _xlfn.TEXTJOIN(", ",TRUE,
    IF(AND(BJ169="true",AO169&gt;0.5,BI169&lt;&gt;"None"),"AttackTarget",""),
    IF(AND(_xlfn.XLOOKUP(_xlfn.XLOOKUP(B169,'Base stats'!B:B,'Base stats'!E:E),Groups!A:A,Groups!AJ:AJ="Mammal"),OR(_xlfn.XLOOKUP(B169,'Base stats'!B:B,'Base stats'!Y:Y)="Omnivore",_xlfn.XLOOKUP(B169,'Base stats'!B:B,'Base stats'!Y:Y)="OmnivoreRough")),"Forage",""),
    IF(BG169&lt;=36,"Comfort",""),
    IF(_xlfn.XLOOKUP(B169,'Base stats'!B:B,'Base stats'!AE:AE)&lt;&gt;"No",_xlfn.XLOOKUP(B169,'Base stats'!B:B,'Base stats'!AE:AE),"")
  ) = "",
  "No",
  _xlfn.TEXTJOIN(", ",TRUE,
    IF(AND(BJ169="true",AO169&gt;0.5,BI169&lt;&gt;"None"),"AttackTarget",""),
    IF(AND(_xlfn.XLOOKUP(_xlfn.XLOOKUP(B169,'Base stats'!B:B,'Base stats'!E:E),Groups!A:A,Groups!AJ:AJ="Mammal"),OR(_xlfn.XLOOKUP(B169,'Base stats'!B:B,'Base stats'!Y:Y)="Omnivore",_xlfn.XLOOKUP(B169,'Base stats'!B:B,'Base stats'!Y:Y)="OmnivoreRough")),"Forage",""),
    IF(BG169&lt;=36,"Comfort",""),
    IF(_xlfn.XLOOKUP(B169,'Base stats'!B:B,'Base stats'!AE:AE)&lt;&gt;"No",_xlfn.XLOOKUP(B169,'Base stats'!B:B,'Base stats'!AE:AE),"")
  )
)</f>
        <v>Zoology_Beastmastery</v>
      </c>
      <c r="BQ169" s="25" t="str">
        <f>IF(
   AND(
      'Base stats'!AN169="Standard",_xlfn.XLOOKUP(_xlfn.XLOOKUP(B169,'Base stats'!B:B,'Base stats'!E:E),Groups!A:A,Groups!AU:AU)=0,
      OR(
      BO169="True"
      )
   ),
   10,
   IF(
       OR(BM169&lt;&gt;"No",_xlfn.XLOOKUP(_xlfn.XLOOKUP(B169,'Base stats'!B:B,'Base stats'!E:E),Groups!A:A,Groups!AU:AU)=1),
      1,
      "No"
   )
)</f>
        <v>No</v>
      </c>
      <c r="BR169" s="9">
        <f>MROUND((1 + ((0.2*IF(OR(Q169="No",R169="No",R169=0),0,Q169/R169)
+IF(OR(V169="No",S169="No",T169="No"),0,S169/T169*(LEN(V169)-LEN(SUBSTITUTE(V169,",",""))+1))
+IF(OR(X169="No",Y169="No"),0,X169/Y169)
+IF(OR(AD169="No",AE169="No"),0,AD169/AE169)
+IF(OR(AL169="No",AI169="No",AJ169="No"),0,AI169/AJ169*(LEN(AL169)-LEN(SUBSTITUTE(AL169,",",""))+1))
)/(0.2*IF(OR(Q169="No",R169="No",R169=0),0,1)
+IF(OR(V169="No",S169="No",T169="No"),0,LEN(V169)-LEN(SUBSTITUTE(V169,",",""))+1)
+IF(OR(X169="No",Y169="No"),0,1)
+IF(OR(AD169="No",AE169="No"),0,1)
+IF(OR(AL169="No",AI169="No",AJ169="No"),0,LEN(AL169)-LEN(SUBSTITUTE(AL169,",",""))+1))*62%)* 2)*(1 + (AP169 / (IF(_xlfn.XLOOKUP(_xlfn.XLOOKUP(B169,'Base stats'!B:B,'Base stats'!E:E),Groups!A:A,Groups!AJ:AJ)="Photonozoa",0.3,1)) + _xlfn.XLOOKUP(B169,'Base stats'!B:B,'Base stats'!AV:AV) * 1.8) * 2) * 2.5 + 10 + I169 * 2,5)+IF(_xlfn.XLOOKUP(B169,'Base stats'!B:B,'Base stats'!AK:AK)=1,50,0)</f>
        <v>1880</v>
      </c>
      <c r="BS169" s="8">
        <f t="shared" si="19"/>
        <v>3.1500000000000004</v>
      </c>
      <c r="BT169" s="8" t="str">
        <f>_xlfn.XLOOKUP(B169,'Base stats'!B:B,'Base stats'!AF:AF)</f>
        <v>3~10</v>
      </c>
      <c r="BU169" s="2" t="str">
        <f>IF(AND(J169&lt;=0.95,OR(_xlfn.XLOOKUP(B169,'Base stats'!B:B,'Base stats'!AK:AK)=1,_xlfn.XLOOKUP(B169,'Base stats'!B:B,'Base stats'!Y:Y)="Carnivore",_xlfn.XLOOKUP(B169,'Base stats'!B:B,'Base stats'!Y:Y)="Omnivore",BE169&gt;0.1)),"true","false")</f>
        <v>false</v>
      </c>
      <c r="BV169" s="2" t="str">
        <f>IF(_xlfn.XLOOKUP(B169,'Base stats'!B:B,'Base stats'!AI:AI)=1,"true","false")</f>
        <v>false</v>
      </c>
      <c r="BW169" s="25" t="str">
        <f>IF(E169="BaseInsect","AnimalInsect",
IF(J169&gt;0.95,"AnimalExotic",
_xlfn.TEXTJOIN(", ",TRUE,
IF(OR(_xlfn.XLOOKUP(B169,'Base stats'!B:B,'Base stats'!AM:AM)=1,AND(_xlfn.XLOOKUP(B169,'Base stats'!B:B,'Base stats'!O:O)=0,_xlfn.XLOOKUP(_xlfn.XLOOKUP(B169,'Base stats'!B:B,'Base stats'!E:E),Groups!A:A,Groups!B:B)&gt;0)),"AnimalUncommon","AnimalCommon"),
IF(AND(_xlfn.XLOOKUP(B169,'Base stats'!B:B,'Base stats'!O:O)=2,_xlfn.XLOOKUP(_xlfn.XLOOKUP(B169,'Base stats'!B:B,'Base stats'!E:E),Groups!A:A,Groups!D:D)=0),"AnimalPet",IF(AND(_xlfn.XLOOKUP(B169,'Base stats'!B:B,'Base stats'!O:O)&lt;&gt;0,_xlfn.XLOOKUP(_xlfn.XLOOKUP(B169,'Base stats'!B:B,'Base stats'!E:E),Groups!A:A,Groups!D:D)&lt;&gt;0),"AnimalFarm","")),
IF(OR(_xlfn.XLOOKUP(B169,'Base stats'!B:B,'Base stats'!AK:AK)=1,AND(BI169&lt;&gt;"None",BR169&gt;=60),ISNUMBER(SEARCH("Attack target",BP169))),"AnimalFighter","")
)))</f>
        <v>AnimalExotic</v>
      </c>
      <c r="BX169" s="25" t="str">
        <f>IF(G169="None",TRIM(
SUBSTITUTE(
IF(COUNTIF(Biomes!B$2:B$259,"="&amp;$C169)&gt;0,Biomes!B$1&amp;", ","")&amp;
IF(COUNTIF(Biomes!C$2:C$259,"="&amp;$C169)&gt;0,Biomes!C$1&amp;", ","")&amp;
IF(COUNTIF(Biomes!D$2:D$259,"="&amp;$C169)&gt;0,Biomes!D$1&amp;", ","")&amp;
IF(COUNTIF(Biomes!F$2:F$259,"="&amp;$C169)&gt;0,Biomes!F$1&amp;", ","")&amp;
IF(COUNTIF(Biomes!G$2:G$259,"="&amp;$C169)&gt;0,Biomes!G$1&amp;", ","")&amp;
IF(COUNTIF(Biomes!H$2:H$259,"="&amp;$C169)&gt;0,Biomes!H$1&amp;", ","")&amp;
IF(COUNTIF(Biomes!I$2:I$259,"="&amp;$C169)&gt;0,Biomes!I$1&amp;", ","")&amp;
IF(COUNTIF(Biomes!J$2:J$259,"="&amp;$C169)&gt;0,Biomes!J$1&amp;", ","")&amp;
IF(COUNTIF(Biomes!M$2:M$259,"="&amp;$C169)&gt;0,Biomes!M$1&amp;", ","")&amp;
IF(COUNTIF(Biomes!N$2:N$259,"="&amp;$C169)&gt;0,Biomes!N$1&amp;", ","")&amp;
IF(COUNTIF(Biomes!O$2:O$259,"="&amp;$C169)&gt;0,Biomes!O$1&amp;", ","")&amp;
IF(COUNTIF(Biomes!P$2:P$259,"="&amp;$C169)&gt;0,Biomes!P$1&amp;", ","")&amp;
IF(COUNTIF(Biomes!K$2:K$259,"="&amp;$C169)&gt;0,Biomes!K$1&amp;", ","")&amp;
IF(COUNTIF(Biomes!Q$3:Q$259,"="&amp;$C169)&gt;0,Biomes!Q$1&amp;", ","")&amp;
IF(COUNTIF(Biomes!L$2:L$259,"="&amp;$C169)&gt;0,Biomes!L$1&amp;", ","")&amp;
IF(COUNTIF(Biomes!E$2:E$259,"="&amp;$C169)&gt;0,Biomes!E$1&amp;", ","")&amp;IF(COUNTIF(Biomes!S$2:S$259,"="&amp;$C169)&gt;0,Biomes!S$1&amp;", ","")&amp;
IF(COUNTIF(Biomes!R$2:R$259,"="&amp;$C169)&gt;0,Biomes!R$1&amp;", ",""),", ","")
),_xlfn.XLOOKUP(B169,B:B,BX:BX))</f>
        <v/>
      </c>
      <c r="BY169" s="25" t="str">
        <f>IF(_xlfn.XLOOKUP(B169,'Base stats'!B:B,'Base stats'!AJ:AJ)=1,"true","false")</f>
        <v>false</v>
      </c>
      <c r="BZ169" s="25">
        <f>IF(_xlfn.XLOOKUP(B169,'Base stats'!B:B,'Base stats'!N:N)=1,"No",MAX(0.001,MIN(MROUND(IF(AND(BJ169="True",CC169="False"),POWER(10,3.47*LOG10(_xlfn.XLOOKUP(B169,'Base stats'!B:B,'Base stats'!C:C)*1000)^-0.96),POWER(10,4.15*LOG10(_xlfn.XLOOKUP(B169,'Base stats'!B:B,'Base stats'!C:C)*1000)^-0.73))*IF(_xlfn.XLOOKUP(B169,'Base stats'!B:B,'Base stats'!AK:AK)=1,0.5,1)*IF(_xlfn.XLOOKUP(B169,'Base stats'!B:B,'Base stats'!AM:AM)=1,0.1,1)/100,IF(_xlfn.XLOOKUP(B169,'Base stats'!B:B,'Base stats'!AM:AM)=1,0.001,0.025)),0.5)))</f>
        <v>0.1</v>
      </c>
      <c r="CA169" s="25">
        <f>IF(P169="Standard","No",MAX(0.001,MIN(MROUND(IF(AND(BJ169="True",CC169="False"),POWER(10,3.47*LOG10(_xlfn.XLOOKUP(B169,'Base stats'!B:B,'Base stats'!C:C)*1000)^-0.96),POWER(10,4.15*LOG10(_xlfn.XLOOKUP(B169,'Base stats'!B:B,'Base stats'!C:C)*1000)^-0.73))*IF(_xlfn.XLOOKUP(B169,'Base stats'!B:B,'Base stats'!AM:AM)=1,0.1,1)*_xlfn.XLOOKUP(B169,'Base stats'!B:B,'Base stats'!R:R)/100,IF(_xlfn.XLOOKUP(B169,'Base stats'!B:B,'Base stats'!AM:AM)=1,0.001,0.025)),0.5)))</f>
        <v>0.1</v>
      </c>
      <c r="CB169" s="25" t="str">
        <f>IF(_xlfn.XLOOKUP(_xlfn.XLOOKUP(B169,'Base stats'!B:B,'Base stats'!E:E),Groups!A:A,Groups!AJ:AJ)="Mammal","True","False")</f>
        <v>False</v>
      </c>
      <c r="CC169" s="25" t="str">
        <f>IF(OR(_xlfn.XLOOKUP(_xlfn.XLOOKUP(B169,'Base stats'!B:B,'Base stats'!E:E),Groups!A:A,Groups!AJ:AJ)="Reptile",_xlfn.XLOOKUP(_xlfn.XLOOKUP(B169,'Base stats'!B:B,'Base stats'!E:E),Groups!A:A,Groups!AJ:AJ)="Amphibian",_xlfn.XLOOKUP(_xlfn.XLOOKUP(B169,'Base stats'!B:B,'Base stats'!E:E),Groups!A:A,Groups!AJ:AJ)="Invertebrate"),"True","False")</f>
        <v>False</v>
      </c>
      <c r="CD169" s="25" t="str">
        <f t="shared" si="20"/>
        <v>True</v>
      </c>
      <c r="CE169" s="25" t="str">
        <f>IF(_xlfn.XLOOKUP(_xlfn.XLOOKUP(B169,'Base stats'!B:B,'Base stats'!E:E),Groups!A:A,Groups!AX:AX),"True","False")</f>
        <v>True</v>
      </c>
      <c r="CF169" s="25" t="str">
        <f>IF(_xlfn.XLOOKUP(_xlfn.XLOOKUP(B169,'Base stats'!B:B,'Base stats'!E:E),Groups!A:A,Groups!AY:AY),"True","False")</f>
        <v>True</v>
      </c>
      <c r="CG169" s="25" t="str">
        <f>IF(_xlfn.XLOOKUP(_xlfn.XLOOKUP(B169,'Base stats'!B:B,'Base stats'!E:E),Groups!A:A,Groups!AW:AW),"True","False")</f>
        <v>True</v>
      </c>
      <c r="CH169" s="25" t="str">
        <f>IF(
OR(
_xlfn.XLOOKUP(_xlfn.XLOOKUP(B169,'Base stats'!B:B,'Base stats'!E:E),Groups!A:A,Groups!AZ:AZ)=0,
AND(
_xlfn.XLOOKUP(B169,'Base stats'!B:B,'Base stats'!Y:Y)&lt;&gt;"Carnivore",
_xlfn.XLOOKUP(B169,'Base stats'!B:B,'Base stats'!Y:Y)&lt;&gt;"Omnivore",
_xlfn.XLOOKUP(B169,'Base stats'!B:B,'Base stats'!Y:Y)&lt;&gt;"OmnivoreRough"
)
),
"No",
IF(
_xlfn.XLOOKUP(_xlfn.XLOOKUP(B169,'Base stats'!B:B,'Base stats'!E:E),Groups!A:A,Groups!AZ:AZ)=1,
"Flesh",
IF(
_xlfn.XLOOKUP(_xlfn.XLOOKUP(B169,'Base stats'!B:B,'Base stats'!E:E),Groups!A:A,Groups!AZ:AZ)=2,
"Bone",
""
)
)
)</f>
        <v>Bone</v>
      </c>
      <c r="CI169" s="25" t="str">
        <f>IF(_xlfn.XLOOKUP(_xlfn.XLOOKUP(B169,'Base stats'!B:B,'Base stats'!E:E),Groups!A:A,Groups!BB:BB),"True","False")</f>
        <v>False</v>
      </c>
      <c r="CJ169" s="25" t="str">
        <f>IF(_xlfn.XLOOKUP(_xlfn.XLOOKUP(B169,'Base stats'!B:B,'Base stats'!E:E),Groups!A:A,Groups!BA:BA),"True","False")</f>
        <v>False</v>
      </c>
    </row>
    <row r="170" spans="1:88" ht="16.5" thickTop="1" thickBot="1" x14ac:dyDescent="0.3">
      <c r="A170" s="26" t="str">
        <f>_xlfn.XLOOKUP(B170,'Base stats'!B:B,'Base stats'!A:A)</f>
        <v>Arthropython</v>
      </c>
      <c r="B170" s="6" t="s">
        <v>1170</v>
      </c>
      <c r="C170" s="28" t="s">
        <v>1173</v>
      </c>
      <c r="D170" s="28" t="s">
        <v>1166</v>
      </c>
      <c r="E170" s="28" t="s">
        <v>1167</v>
      </c>
      <c r="F170" s="28" t="s">
        <v>1168</v>
      </c>
      <c r="G170" s="28" t="s">
        <v>673</v>
      </c>
      <c r="H170" s="2">
        <f>MROUND((
  (IF(AND(_xlfn.XLOOKUP(B170,'Base stats'!B:B,'Base stats'!AL:AL)=0,BI170="None",_xlfn.XLOOKUP(_xlfn.XLOOKUP(B170,'Base stats'!B:B,'Base stats'!E:E),Groups!A:A,Groups!B:B)=0), (18 + BR170 * 2.7) * 0.5,
    IF(AND(_xlfn.XLOOKUP(B170,'Base stats'!B:B,'Base stats'!AL:AL)=0,OR(AO170&lt;0.55,AND(BI170="Intermediate",_xlfn.XLOOKUP(_xlfn.XLOOKUP(B170,'Base stats'!B:B,'Base stats'!E:E),Groups!A:A,Groups!B:B)&lt;2))), (18 + BR170 * 2.7),
      IF(OR(BI170="Advanced",_xlfn.XLOOKUP(B170,'Base stats'!B:B,'Base stats'!AL:AL)=1,_xlfn.XLOOKUP(_xlfn.XLOOKUP(B170,'Base stats'!B:B,'Base stats'!E:E),Groups!A:A,Groups!B:B)=2), (18 + BR170 * 2.7) + 250, (18 + BR170 * 2.7))
    )
  ))
  + AO170 * 80
  + IF(COUNTIF(EggMilk!K$2:K$998, A170) &gt; 0, 125, 0)
  + IF(COUNTIF(EggMilk!P$2:P$998, A170) &gt; 0, 90, 0)
  + IF(COUNTIF(EggMilk!A$2:A$998, A170) &gt; 0, 90, 0)
)
* (0.8 + 0.4 * J170)
* 0.75,25)</f>
        <v>2450</v>
      </c>
      <c r="I170" s="2">
        <f>MROUND(ROUNDDOWN(_xlfn.XLOOKUP(B170,'Base stats'!B:B,'Base stats'!L:L)/3.6/(23.3/11),1),0.5)</f>
        <v>3</v>
      </c>
      <c r="J170" s="2">
        <f>IF(OR(_xlfn.XLOOKUP(B170,'Base stats'!B:B,'Base stats'!AB:AB)=1,_xlfn.XLOOKUP(_xlfn.XLOOKUP(B170,'Base stats'!B:B,'Base stats'!E:E),Groups!A:A,Groups!C:C)="Untamable"),1,IF(_xlfn.XLOOKUP(B170,'Base stats'!B:B,'Base stats'!AL:AL)=1,0.99,MIN(MROUND((1-0.6282*EXP(-0.459*AO170))*_xlfn.XLOOKUP(_xlfn.XLOOKUP(B170,'Base stats'!B:B,'Base stats'!E:E),Groups!A:A,Groups!C:C)*IF(_xlfn.XLOOKUP(B170,'Base stats'!B:B,'Base stats'!O:O)=1,0.5,IF(_xlfn.XLOOKUP(B170,'Base stats'!B:B,'Base stats'!O:O)=2,0,1)),0.05),IF(AO170&gt;3.5,0.985,0.95))))</f>
        <v>1</v>
      </c>
      <c r="K170" s="2">
        <f>ROUNDUP(AO170*_xlfn.XLOOKUP(_xlfn.XLOOKUP(B170,'Base stats'!B:B,'Base stats'!E:E),Groups!A:A,Groups!E:E),0)</f>
        <v>1</v>
      </c>
      <c r="L170" s="2">
        <f>IF(OR(_xlfn.XLOOKUP(_xlfn.XLOOKUP(B170,'Base stats'!B:B,'Base stats'!E:E),Groups!A:A,Groups!F:F)=2,ISNUMBER(SEARCH("SeaIce",BX170)),ISNUMBER(SEARCH("IceSheet",BX170))),-50,IF(OR(ISNUMBER(SEARCH("GlacialPlain",BX170)),ISNUMBER(SEARCH("Tundra",BX170))),-40,IF(OR(ISNUMBER(SEARCH("Alpine",BX170)),ISNUMBER(SEARCH("BorealForest",BX170)),ISNUMBER(SEARCH("ColdBog",BX170))),-30,IF(OR(ISNUMBER(SEARCH("TemperateForest",BX170)),ISNUMBER(SEARCH("TemperateSwamp",BX170))),-20,IF(_xlfn.XLOOKUP(_xlfn.XLOOKUP(B170,'Base stats'!B:B,'Base stats'!E:E),Groups!A:A,Groups!F:F)=1,-15,IF(OR(ISNUMBER(SEARCH("Desert",BX170)),ISNUMBER(SEARCH("ExtremeDesert",BX170))),-10,IF(OR(ISNUMBER(SEARCH("Grasslands",BX170)),ISNUMBER(SEARCH("TropicalRainforest",BX170)),ISNUMBER(SEARCH("TropicalSwamp",BX170))),10,0)))))))-IF(CC170="False",MIN(IFERROR(MAX(MROUND(LOG10(_xlfn.XLOOKUP(B170,'Base stats'!B:B,'Base stats'!C:C)^(2/3))*10,5),5),5),30))-_xlfn.XLOOKUP(B170,'Base stats'!B:B,'Base stats'!P:P)+IF(CC170="True",5,0)</f>
        <v>-160</v>
      </c>
      <c r="M170" s="2">
        <f>IF(OR(_xlfn.XLOOKUP(_xlfn.XLOOKUP(B170,'Base stats'!B:B,'Base stats'!E:E),Groups!A:A,Groups!G:G)=2,ISNUMBER(SEARCH("Desert",BX170)),ISNUMBER(SEARCH("ExtremeDesert",BX170)),ISNUMBER(SEARCH("LavaField",BX170))),50,IF(ISNUMBER(SEARCH("Grasslands",BX170)),45,IF(OR(_xlfn.XLOOKUP(_xlfn.XLOOKUP(B170,'Base stats'!B:B,'Base stats'!E:E),Groups!A:A,Groups!G:G)=1,ISNUMBER(SEARCH("TropicalRainforest",BX170)),ISNUMBER(SEARCH("TropicalSwamp",BX170))),40,IF(OR(ISNUMBER(SEARCH("TemperateForest",BX170)),ISNUMBER(SEARCH("TemperateSwamp",BX170))),35,IF(OR(ISNUMBER(SEARCH("Alpine",BX170)),ISNUMBER(SEARCH("BorealForest",BX170)),ISNUMBER(SEARCH("ColdBog",BX170))),30,IF(ISNUMBER(OR(ISNUMBER(SEARCH("GlacialPlain",BX170)),SEARCH("Tundra",BX170))),25,IF(OR(ISNUMBER(SEARCH("SeaIce",BX170)),ISNUMBER(SEARCH("IceSheet",BX170)),ISNUMBER(SEARCH("TropicalSwamp",BX170))),10,35)))))))+_xlfn.XLOOKUP(B170,'Base stats'!B:B,'Base stats'!Q:Q)</f>
        <v>150</v>
      </c>
      <c r="N170" s="8">
        <f>IF(
_xlfn.XLOOKUP(
_xlfn.XLOOKUP(B170,'Base stats'!B:B,'Base stats'!E:E),
Groups!A:A,
Groups!L:L
)=1,
MIN(
MROUND(
IF(
_xlfn.XLOOKUP(B170,'Animals CE'!B:B,'Animals CE'!Z:Z)&lt;=1.5,
_xlfn.XLOOKUP(B170,'Animals CE'!B:B,'Animals CE'!Z:Z)/2+0.05,
0.8+
(_xlfn.XLOOKUP(B170,'Animals CE'!B:B,'Animals CE'!Z:Z)-1.5)
*0.02
),
0.05
),
200%
),
"No"
)</f>
        <v>0.85000000000000009</v>
      </c>
      <c r="O170" s="8">
        <f>IF(
_xlfn.XLOOKUP(
_xlfn.XLOOKUP(B170,'Base stats'!B:B,'Base stats'!E:E),
Groups!A:A,
Groups!L:L
)=1,
MIN(
MROUND(
IF(
_xlfn.XLOOKUP(B170,'Animals CE'!B:B,'Animals CE'!AA:AA)&lt;=1.5,
_xlfn.XLOOKUP(B170,'Animals CE'!B:B,'Animals CE'!AA:AA)/2+0.05,
0.8+
(_xlfn.XLOOKUP(B170,'Animals CE'!B:B,'Animals CE'!AA:AA)-1.5)
*0.02
),
0.05
),
200%
),
"No"
)</f>
        <v>1.05</v>
      </c>
      <c r="P170" s="2">
        <f>_xlfn.XLOOKUP(B170,'Base stats'!B:B,'Base stats'!R:R)</f>
        <v>1</v>
      </c>
      <c r="Q170" s="13">
        <f>MROUND((LOG10(_xlfn.XLOOKUP(B170,'Base stats'!B:B,'Base stats'!AR:AR))*(AO170^0.5)+(_xlfn.XLOOKUP(B170,'Base stats'!B:B,'Base stats'!AR:AR)/1000)^(2/3)+_xlfn.XLOOKUP(B170,'Base stats'!B:B,'Base stats'!BA:BA)/2)+0.5,0.5)</f>
        <v>6.5</v>
      </c>
      <c r="R170" s="7">
        <f>IF(Q170="No","No",MAX(1,MROUND(_xlfn.XLOOKUP(B170,'Base stats'!B:B,'Base stats'!C:C)^0.165,0.05)))</f>
        <v>1.9000000000000001</v>
      </c>
      <c r="S170" s="13" t="str">
        <f>IF(_xlfn.XLOOKUP(_xlfn.XLOOKUP(B170,'Base stats'!B:B,'Base stats'!E:E),Groups!A:A,Groups!P:P)=0,"No",MROUND((LOG10(_xlfn.XLOOKUP(B170,'Base stats'!B:B,'Base stats'!AS:AS))*(AO170^0.5)+(_xlfn.XLOOKUP(B170,'Base stats'!B:B,'Base stats'!AS:AS)/1000)^(2/3)+_xlfn.XLOOKUP(B170,'Base stats'!B:B,'Base stats'!BA:BA))+_xlfn.XLOOKUP(B170,'Base stats'!B:B,'Base stats'!AY:AY)+0.5,0.5))</f>
        <v>No</v>
      </c>
      <c r="T170" s="7" t="str">
        <f>IF(S170="No","No",MAX(_xlfn.XLOOKUP(_xlfn.XLOOKUP(B170,'Base stats'!B:B,'Base stats'!E:E),Groups!A:A,Groups!Q:Q),MROUND(_xlfn.XLOOKUP(_xlfn.XLOOKUP(B170,'Base stats'!B:B,'Base stats'!E:E),Groups!A:A,Groups!Q:Q)*_xlfn.XLOOKUP(B170,'Base stats'!B:B,'Base stats'!C:C)^0.165,0.05)))</f>
        <v>No</v>
      </c>
      <c r="U170" s="7" t="str">
        <f>IF(S170="No","No",_xlfn.XLOOKUP(_xlfn.XLOOKUP(B170,'Base stats'!B:B,'Base stats'!E:E),Groups!A:A,Groups!R:R))</f>
        <v>No</v>
      </c>
      <c r="V170" s="7" t="str">
        <f>IF(S170="No","No",_xlfn.XLOOKUP(_xlfn.XLOOKUP(B170,'Base stats'!B:B,'Base stats'!E:E),Groups!A:A,Groups!S:S))</f>
        <v>No</v>
      </c>
      <c r="W170" s="7" t="str">
        <f>IF(S170="No","No",_xlfn.XLOOKUP(_xlfn.XLOOKUP(B170,'Base stats'!B:B,'Base stats'!E:E),Groups!A:A,Groups!T:T))</f>
        <v>No</v>
      </c>
      <c r="X170" s="13" t="str">
        <f>IF(_xlfn.XLOOKUP(B170,'Base stats'!B:B,'Base stats'!W:W)="No","No",MROUND((LOG10(_xlfn.XLOOKUP(B170,'Base stats'!B:B,'Base stats'!AU:AU))*(AO170^0.5)+(_xlfn.XLOOKUP(B170,'Base stats'!B:B,'Base stats'!AU:AU)/1000)^(2/3)+_xlfn.XLOOKUP(B170,'Base stats'!B:B,'Base stats'!AZ:AZ))+0.5+IF(_xlfn.XLOOKUP(_xlfn.XLOOKUP(B170,'Base stats'!B:B,'Base stats'!E:E),Groups!A:A,Groups!U:U)&lt;&gt;3,_xlfn.XLOOKUP(B170,'Base stats'!B:B,'Base stats'!BA:BA),0),0.5))</f>
        <v>No</v>
      </c>
      <c r="Y170" s="7" t="str">
        <f>IF(X170="No","No",MAX(_xlfn.XLOOKUP(_xlfn.XLOOKUP(B170,'Base stats'!B:B,'Base stats'!E:E),Groups!A:A,Groups!V:V),MROUND(_xlfn.XLOOKUP(_xlfn.XLOOKUP(B170,'Base stats'!B:B,'Base stats'!E:E),Groups!A:A,Groups!V:V)*_xlfn.XLOOKUP(B170,'Base stats'!B:B,'Base stats'!C:C)^0.165,0.05)))</f>
        <v>No</v>
      </c>
      <c r="Z170" s="7" t="str">
        <f>IF(X170="No","No",_xlfn.XLOOKUP(_xlfn.XLOOKUP(B170,'Base stats'!B:B,'Base stats'!E:E),Groups!A:A,Groups!W:W))</f>
        <v>No</v>
      </c>
      <c r="AA170" s="7" t="str">
        <f>IF(X170="No","No",_xlfn.XLOOKUP(_xlfn.XLOOKUP(B170,'Base stats'!B:B,'Base stats'!E:E),Groups!A:A,Groups!X:X))</f>
        <v>No</v>
      </c>
      <c r="AB170" s="7" t="str">
        <f>IF(X170="No","No",_xlfn.XLOOKUP(_xlfn.XLOOKUP(B170,'Base stats'!B:B,'Base stats'!E:E),Groups!A:A,Groups!Y:Y))</f>
        <v>No</v>
      </c>
      <c r="AC170" s="7" t="str">
        <f>_xlfn.XLOOKUP(Animals!B170,'Base stats'!B:B,'Base stats'!X:X)</f>
        <v>False</v>
      </c>
      <c r="AD170" s="13">
        <f>IF(_xlfn.XLOOKUP(B170,'Base stats'!B:B,'Base stats'!AT:AT)="No","No",MROUND((LOG10(_xlfn.XLOOKUP(B170,'Base stats'!B:B,'Base stats'!AT:AT))*(AO170^0.75)+(_xlfn.XLOOKUP(B170,'Base stats'!B:B,'Base stats'!AT:AT)/1000)^(2/3)+_xlfn.XLOOKUP(B170,'Base stats'!B:B,'Base stats'!AX:AX)+_xlfn.XLOOKUP(B170,'Base stats'!B:B,'Base stats'!BA:BA))+0.5,0.5))</f>
        <v>15</v>
      </c>
      <c r="AE170" s="7">
        <f>IF(AD170="No","No",MAX(_xlfn.XLOOKUP(_xlfn.XLOOKUP(B170,'Base stats'!B:B,'Base stats'!E:E),Groups!A:A,Groups!Z:Z),MROUND(_xlfn.XLOOKUP(_xlfn.XLOOKUP(B170,'Base stats'!B:B,'Base stats'!E:E),Groups!A:A,Groups!Z:Z)*_xlfn.XLOOKUP(B170,'Base stats'!B:B,'Base stats'!C:C)^0.165,0.05)))</f>
        <v>1.1500000000000001</v>
      </c>
      <c r="AF170" s="7" t="str">
        <f>IF(AD170="No","No",_xlfn.XLOOKUP(_xlfn.XLOOKUP(B170,'Base stats'!B:B,'Base stats'!E:E),Groups!A:A,Groups!AA:AA))</f>
        <v>Teeth</v>
      </c>
      <c r="AG170" s="7" t="str">
        <f>IF(AD170="No","No",_xlfn.XLOOKUP(_xlfn.XLOOKUP(B170,'Base stats'!B:B,'Base stats'!E:E),Groups!A:A,Groups!AB:AB))</f>
        <v>teeth</v>
      </c>
      <c r="AH170" s="7" t="str">
        <f>IF(AD170="No","No",_xlfn.XLOOKUP(_xlfn.XLOOKUP(B170,'Base stats'!B:B,'Base stats'!E:E),Groups!A:A,Groups!AC:AC))</f>
        <v>Bite</v>
      </c>
      <c r="AI170" s="13">
        <f>IF(_xlfn.XLOOKUP(_xlfn.XLOOKUP(B170,'Base stats'!B:B,'Base stats'!E:E),Groups!A:A,Groups!AD:AD)=0,"No",MROUND((LOG10(_xlfn.XLOOKUP(B170,'Base stats'!B:B,'Base stats'!AS:AS))*(AO170^0.75)+(_xlfn.XLOOKUP(B170,'Base stats'!B:B,'Base stats'!AS:AS)/1000)^(2/3)+_xlfn.XLOOKUP(B170,'Base stats'!B:B,'Base stats'!AY:AY)+_xlfn.XLOOKUP(B170,'Base stats'!B:B,'Base stats'!BA:BA))+0.5,0.5))</f>
        <v>16</v>
      </c>
      <c r="AJ170" s="7">
        <f>IF(AI170="No","No",MAX(_xlfn.XLOOKUP(_xlfn.XLOOKUP(B170,'Base stats'!B:B,'Base stats'!E:E),Groups!A:A,Groups!AE:AE),MROUND(_xlfn.XLOOKUP(_xlfn.XLOOKUP(B170,'Base stats'!B:B,'Base stats'!E:E),Groups!A:A,Groups!AE:AE)*IF(_xlfn.XLOOKUP(_xlfn.XLOOKUP(B170,'Base stats'!B:B,'Base stats'!E:E),Groups!A:A,Groups!AJ:AJ)="Photonozoa",0.6,1)*_xlfn.XLOOKUP(B170,'Base stats'!B:B,'Base stats'!C:C)^0.165,0.05)))</f>
        <v>0.5</v>
      </c>
      <c r="AK170" s="7" t="str">
        <f>IF(AI170="No","No",_xlfn.XLOOKUP(_xlfn.XLOOKUP(B170,'Base stats'!B:B,'Base stats'!E:E),Groups!A:A,Groups!AF:AF))</f>
        <v>FrontLeftPaw, FrontRightPaw</v>
      </c>
      <c r="AL170" s="7" t="str">
        <f>IF(AI170="No","No",_xlfn.XLOOKUP(_xlfn.XLOOKUP(B170,'Base stats'!B:B,'Base stats'!E:E),Groups!A:A,Groups!AG:AG))</f>
        <v>left claw, right claw</v>
      </c>
      <c r="AM170" s="7" t="str">
        <f>IF(AI170="No","No",_xlfn.XLOOKUP(_xlfn.XLOOKUP(B170,'Base stats'!B:B,'Base stats'!E:E),Groups!A:A,Groups!AH:AH))</f>
        <v>Scratch</v>
      </c>
      <c r="AN170" s="2">
        <f t="shared" si="14"/>
        <v>20</v>
      </c>
      <c r="AO170" s="2">
        <f>MROUND(IF(AND(_xlfn.XLOOKUP(B170,'Base stats'!B:B,'Base stats'!C:C)&gt;=0.5,_xlfn.XLOOKUP(B170,'Base stats'!B:B,'Base stats'!C:C)&lt;=0.8),
IF(_xlfn.XLOOKUP(B170,'Base stats'!B:B,'Base stats'!C:C)&lt;0.1,0.05,IF(_xlfn.XLOOKUP(B170,'Base stats'!B:B,'Base stats'!C:C)&lt;=70,(_xlfn.XLOOKUP(B170,'Base stats'!B:B,'Base stats'!C:C)/70)^0.426489913056526,IF(_xlfn.XLOOKUP(B170,'Base stats'!B:B,'Base stats'!C:C)&lt;=400,(_xlfn.XLOOKUP(B170,'Base stats'!B:B,'Base stats'!C:C)/70)^0.572811455315093,IF(_xlfn.XLOOKUP(B170,'Base stats'!B:B,'Base stats'!C:C)&lt;=2000,2.71391647193063*(_xlfn.XLOOKUP(B170,'Base stats'!B:B,'Base stats'!C:C)/400)^0.252459582904293,3.74314280240376*(_xlfn.XLOOKUP(B170,'Base stats'!B:B,'Base stats'!C:C)/2000)^0.357012633876913)))),
IF(_xlfn.XLOOKUP(B170,'Base stats'!B:B,'Base stats'!C:C)&lt;0.1,0.05,IF(_xlfn.XLOOKUP(B170,'Base stats'!B:B,'Base stats'!C:C)&lt;0.4,0.1,IF(_xlfn.XLOOKUP(B170,'Base stats'!B:B,'Base stats'!C:C)&lt;=70,(_xlfn.XLOOKUP(B170,'Base stats'!B:B,'Base stats'!C:C)/70)^0.445823913056526,IF(_xlfn.XLOOKUP(B170,'Base stats'!B:B,'Base stats'!C:C)&lt;=400,(_xlfn.XLOOKUP(B170,'Base stats'!B:B,'Base stats'!C:C)/70)^0.572811455315093,IF(_xlfn.XLOOKUP(B170,'Base stats'!B:B,'Base stats'!C:C)&lt;=2000,2.71391647193063*(_xlfn.XLOOKUP(B170,'Base stats'!B:B,'Base stats'!C:C)/400)^0.252459582904293,3.74314280240376*(_xlfn.XLOOKUP(B170,'Base stats'!B:B,'Base stats'!C:C)/2000)^0.357012633876913)))))),
IF(_xlfn.XLOOKUP(B170,'Base stats'!B:B,'Base stats'!C:C)&lt;0.1,0.05,IF(_xlfn.XLOOKUP(B170,'Base stats'!B:B,'Base stats'!C:C)&lt;=100,0.05,IF(_xlfn.XLOOKUP(B170,'Base stats'!B:B,'Base stats'!C:C)&lt;=250,0.1,IF(_xlfn.XLOOKUP(B170,'Base stats'!B:B,'Base stats'!C:C)&lt;=4000,0.25,0.5)))))</f>
        <v>0.85000000000000009</v>
      </c>
      <c r="AP170" s="8">
        <f>MROUND(AO170*_xlfn.XLOOKUP(_xlfn.XLOOKUP(B170,'Base stats'!B:B,'Base stats'!E:E),Groups!A:A,Groups!AI:AI)*_xlfn.XLOOKUP(B170,'Base stats'!B:B,'Base stats'!Z:Z),0.05)</f>
        <v>1</v>
      </c>
      <c r="AQ170" s="8">
        <f>MAX(0.01,MROUND(IF(CC170="True",0.196*(AO170*100*1000)^0.889,IF(_xlfn.XLOOKUP(_xlfn.XLOOKUP(B170,'Base stats'!B:B,'Base stats'!E:E),Groups!A:A,Groups!AJ:AJ)="Bird",10.5*(AO170*100*1000)^0.681,4.82*(AO170*100*1000)^0.734))/(4.82*(1*100*1000)^0.734)/IF(AO170&lt;3.5,2,IF(AO170=3.5,1.5,1.25))*(1+0.132282374779864/(AO170^0.994035016789033+0.00905238001496948)),0.05))</f>
        <v>0.5</v>
      </c>
      <c r="AR170" s="9">
        <f>IFERROR(MROUND(_xlfn.XLOOKUP(B170,'Base stats'!B:B,'Base stats'!H:H)/IF(_xlfn.XLOOKUP(B170,'Base stats'!B:B,'Base stats'!I:I)&lt;&gt;1,(122.5/70),1.2),IF(_xlfn.XLOOKUP(B170,'Base stats'!B:B,'Base stats'!H:H)&gt;=30,5,IF(_xlfn.XLOOKUP(B170,'Base stats'!B:B,'Base stats'!H:H)&gt;=15,3,IF(_xlfn.XLOOKUP(B170,'Base stats'!B:B,'Base stats'!H:H)&gt;=10,2,1)))),"Immortal")</f>
        <v>5</v>
      </c>
      <c r="AS170" s="35" t="str">
        <f>IFERROR(IF(OR(_xlfn.XLOOKUP(B170,'Base stats'!B:B,'Base stats'!F:F)="Atypical reproduction",_xlfn.XLOOKUP(B170,'Base stats'!B:B,'Base stats'!F:F)="Lay eggs"),"Lay eggs",MIN(20,MAX(5.5,ROUND(((_xlfn.XLOOKUP(B170,'Base stats'!B:B,'Base stats'!F:F)-25)*(14.5/615) + 5.5)*2,0)/2))),"Unknown")</f>
        <v>Lay eggs</v>
      </c>
      <c r="AT170" s="8">
        <f>IF(_xlfn.XLOOKUP(B170,'Base stats'!B:B,'Base stats'!G:G)="Atypical reproduction","No",IFERROR(MAX(IF(_xlfn.XLOOKUP(B170,'Base stats'!B:B,'Base stats'!G:G)&lt;0.5,0.2,0.3),MROUND(_xlfn.XLOOKUP(B170,'Base stats'!B:B,'Base stats'!G:G)/(365/60),0.2)),"Unknown"))</f>
        <v>0.4</v>
      </c>
      <c r="AU170" s="8">
        <f t="shared" si="15"/>
        <v>0.2</v>
      </c>
      <c r="AV170" s="8" t="str">
        <f>IFERROR(IFERROR(MROUND(_xlfn.XLOOKUP(B170,'Base stats'!B:B,'Base stats'!J:J),0.1),"Lay eggs"),"Cannot breed")</f>
        <v>Lay eggs</v>
      </c>
      <c r="AW170" s="2" t="str">
        <f t="shared" si="16"/>
        <v>false</v>
      </c>
      <c r="AX170" s="2" t="str">
        <f>IF(_xlfn.XLOOKUP(_xlfn.XLOOKUP(Animals!B170,'Base stats'!B:B,'Base stats'!E:E),Groups!A:A,Groups!AK:AK)=1,"true","false")</f>
        <v>false</v>
      </c>
      <c r="AY170" s="25" t="str">
        <f>IF(_xlfn.XLOOKUP(B170,'Base stats'!B:B,'Base stats'!Y:Y)="Liquor","Liquor, CarnivoreAnimalStrict",IF(AND(_xlfn.XLOOKUP(B170,'Base stats'!B:B,'Base stats'!Y:Y)="Carnivore",_xlfn.XLOOKUP(_xlfn.XLOOKUP(B170,'Base stats'!B:B,'Base stats'!E:E),Groups!A:A,Groups!AJ:AJ)="Photonozoa"),"CarnivoreAnimalStrict, OvivoreAnimal",IF(_xlfn.XLOOKUP(B170,'Base stats'!B:B,'Base stats'!Y:Y)="Carnivore","CarnivoreAnimal, OvivoreAnimal",IF(_xlfn.XLOOKUP(B170,'Base stats'!B:B,'Base stats'!Y:Y)="Dendrovore","VegetarianRoughAnimal, DendrovoreAnimal",IF(_xlfn.XLOOKUP(B170,'Base stats'!B:B,'Base stats'!Y:Y)="Herbivore","VegetarianRoughAnimal",IF(_xlfn.XLOOKUP(B170,'Base stats'!B:B,'Base stats'!Y:Y)="OmnivoreRough","OmnivoreRoughAnimal, OvivoreAnimal","OmnivoreAnimal, OvivoreAnimal"))))))</f>
        <v>CarnivoreAnimalStrict, OvivoreAnimal</v>
      </c>
      <c r="AZ170" s="2" t="str">
        <f>IF(_xlfn.XLOOKUP(_xlfn.XLOOKUP(B170,'Base stats'!B:B,'Base stats'!E:E),Groups!A:A,Groups!D:D)=1,MROUND((1-J170)*5+1,2)*IF(J170&lt;=0.4,2,1),"No")</f>
        <v>No</v>
      </c>
      <c r="BA170" s="2" t="str">
        <f>IF(AND(_xlfn.XLOOKUP(B170,'Base stats'!B:B,'Base stats'!AH:AH)="&lt;li&gt;Seal&lt;/li&gt;",G170="Odyssey"),"&lt;li&gt;AEXP_Seal&lt;/li&gt;",_xlfn.XLOOKUP(B170,'Base stats'!B:B,'Base stats'!AH:AH))</f>
        <v>No</v>
      </c>
      <c r="BB170" s="2" t="str">
        <f>_xlfn.XLOOKUP(B170,'Base stats'!B:B,'Base stats'!AG:AG)</f>
        <v>Leather_Photonozoa</v>
      </c>
      <c r="BC170" s="23" t="str">
        <f>_xlfn.XLOOKUP(_xlfn.XLOOKUP(B170,'Base stats'!B:B,'Base stats'!E:E),Groups!A:A,Groups!AL:AL)</f>
        <v>Xenosnake</v>
      </c>
      <c r="BD170" s="23">
        <f>MIN(1,MROUND(IF(AND(AO170&lt;0.5,_xlfn.XLOOKUP(B170,'Base stats'!B:B,'Base stats'!AA:AA)=0),0,IF(OR(_xlfn.XLOOKUP(Animals!B170,'Base stats'!B:B,'Base stats'!O:O)=2,_xlfn.XLOOKUP(_xlfn.XLOOKUP(B170,'Base stats'!B:B,'Base stats'!E:E),Groups!A:A,Groups!AN:AN)=0),0,_xlfn.XLOOKUP(_xlfn.XLOOKUP(B170,'Base stats'!B:B,'Base stats'!E:E),Groups!A:A,Groups!AN:AN)/IF(_xlfn.XLOOKUP(Animals!B170,'Base stats'!B:B,'Base stats'!O:O)=1,2,1)))+_xlfn.XLOOKUP(B170,'Base stats'!B:B,'Base stats'!AC:AC),0.005))</f>
        <v>1</v>
      </c>
      <c r="BE170" s="23">
        <f>MIN(1,MROUND(IF(AND(AO170&lt;0.5,_xlfn.XLOOKUP(B170,'Base stats'!B:B,'Base stats'!AA:AA)=0),0,IF(_xlfn.XLOOKUP(_xlfn.XLOOKUP(B170,'Base stats'!B:B,'Base stats'!E:E),Groups!A:A,Groups!AO:AO)=0,0,_xlfn.XLOOKUP(_xlfn.XLOOKUP(B170,'Base stats'!B:B,'Base stats'!E:E),Groups!A:A,Groups!AO:AO)/IF(_xlfn.XLOOKUP(Animals!B170,'Base stats'!B:B,'Base stats'!O:O)=2,3,1)))+_xlfn.XLOOKUP(B170,'Base stats'!B:B,'Base stats'!AD:AD),0.005))</f>
        <v>1</v>
      </c>
      <c r="BF170" s="2" t="str">
        <f>IF(J170&gt;0.3,"No",_xlfn.XLOOKUP(_xlfn.XLOOKUP(Animals!B170,'Base stats'!B:B,'Base stats'!E:E),Groups!A:A,Groups!AP:AP))</f>
        <v>No</v>
      </c>
      <c r="BG170" s="2" t="str">
        <f>IF(AND(J170&lt;=0.65,_xlfn.XLOOKUP(_xlfn.XLOOKUP(Animals!B170,'Base stats'!B:B,'Base stats'!E:E),Groups!A:A,Groups!AP:AP)&lt;&gt;"No",_xlfn.XLOOKUP(_xlfn.XLOOKUP(B170,'Base stats'!B:B,'Base stats'!E:E),Groups!A:A,Groups!D:D)=0),MROUND((80/3)*IF(_xlfn.XLOOKUP(B170,'Base stats'!B:B,'Base stats'!O:O)=2,0.2,AO170) + 24*(1-IF(BF170="No",0,BF170)) + 16/3, 12),"No")</f>
        <v>No</v>
      </c>
      <c r="BH170" s="2">
        <f>IF(AND(_xlfn.XLOOKUP(_xlfn.XLOOKUP(B170,'Base stats'!B:B,'Base stats'!E:E),Groups!A:A,Groups!AQ:AQ)=1,AO170&lt;=0.35),8,12)</f>
        <v>12</v>
      </c>
      <c r="BI170" s="2" t="str">
        <f>IF(_xlfn.XLOOKUP(_xlfn.XLOOKUP(B170,'Base stats'!B:B,'Base stats'!E:E),Groups!A:A,Groups!D:D)=0,_xlfn.XLOOKUP(_xlfn.XLOOKUP(B170,'Base stats'!B:B,'Base stats'!E:E),Groups!A:A,Groups!AR:AR),"None")</f>
        <v>Intermediate</v>
      </c>
      <c r="BJ170" s="2" t="str">
        <f>IF(AND(_xlfn.XLOOKUP(_xlfn.XLOOKUP(B170,'Base stats'!B:B,'Base stats'!E:E),Groups!A:A,Groups!AS:AS)=1,OR(_xlfn.XLOOKUP(B170,'Base stats'!B:B,'Base stats'!Y:Y)="Carnivore",_xlfn.XLOOKUP(B170,'Base stats'!B:B,'Base stats'!Y:Y)="Omnivore")),"true","false")</f>
        <v>true</v>
      </c>
      <c r="BK170" s="2">
        <f>IF(BJ170="true",MROUND(IF(AND(AO170&gt;0.5,OR(_xlfn.XLOOKUP(_xlfn.XLOOKUP(B170,'Base stats'!B:B,'Base stats'!E:E),Groups!A:A,Groups!AJ:AJ)="Photonozoa",_xlfn.XLOOKUP(_xlfn.XLOOKUP(B170,'Base stats'!B:B,'Base stats'!E:E),Groups!A:A,Groups!AJ:AJ)="Mammal")),Animals!AO170*1.75*IF(AW170="true",1.5,1),IF(AO170&lt;0.5,Animals!AO170*0.5,Animals!AO170)),IF(AO170&gt;2,0.5,IF(AO170&gt;0.5,0.25,0.1))),"No")</f>
        <v>1.5</v>
      </c>
      <c r="BL170" s="2">
        <f t="shared" si="17"/>
        <v>1</v>
      </c>
      <c r="BM170" s="25" t="str">
        <f>IF(_xlfn.XLOOKUP(B170,'Base stats'!B:B,'Base stats'!AN:AN)="Standard","No",MROUND((_xlfn.XLOOKUP(B170,'Base stats'!B:B,'Base stats'!AN:AN)/3.6)/I170,0.1))</f>
        <v>No</v>
      </c>
      <c r="BN170" s="25" t="str">
        <f t="shared" si="18"/>
        <v>false</v>
      </c>
      <c r="BO170" s="25" t="str">
        <f>IF(AND(OR(_xlfn.XLOOKUP(B170,'Base stats'!B:B,'Base stats'!Y:Y)="Carnivore",_xlfn.XLOOKUP(B170,'Base stats'!B:B,'Base stats'!Y:Y)="Omnivore",_xlfn.XLOOKUP(B170,'Base stats'!B:B,'Base stats'!Y:Y)="OmnivoreRough"),_xlfn.XLOOKUP(_xlfn.XLOOKUP(B170,'Base stats'!B:B,'Base stats'!E:E),Groups!A:A,Groups!AT:AT)=1),"true","false")</f>
        <v>true</v>
      </c>
      <c r="BP170" s="25" t="str" cm="1">
        <f t="array" ref="BP170">IF(
  _xlfn.TEXTJOIN(", ",TRUE,
    IF(AND(BJ170="true",AO170&gt;0.5,BI170&lt;&gt;"None"),"AttackTarget",""),
    IF(AND(_xlfn.XLOOKUP(_xlfn.XLOOKUP(B170,'Base stats'!B:B,'Base stats'!E:E),Groups!A:A,Groups!AJ:AJ="Mammal"),OR(_xlfn.XLOOKUP(B170,'Base stats'!B:B,'Base stats'!Y:Y)="Omnivore",_xlfn.XLOOKUP(B170,'Base stats'!B:B,'Base stats'!Y:Y)="OmnivoreRough")),"Forage",""),
    IF(BG170&lt;=36,"Comfort",""),
    IF(_xlfn.XLOOKUP(B170,'Base stats'!B:B,'Base stats'!AE:AE)&lt;&gt;"No",_xlfn.XLOOKUP(B170,'Base stats'!B:B,'Base stats'!AE:AE),"")
  ) = "",
  "No",
  _xlfn.TEXTJOIN(", ",TRUE,
    IF(AND(BJ170="true",AO170&gt;0.5,BI170&lt;&gt;"None"),"AttackTarget",""),
    IF(AND(_xlfn.XLOOKUP(_xlfn.XLOOKUP(B170,'Base stats'!B:B,'Base stats'!E:E),Groups!A:A,Groups!AJ:AJ="Mammal"),OR(_xlfn.XLOOKUP(B170,'Base stats'!B:B,'Base stats'!Y:Y)="Omnivore",_xlfn.XLOOKUP(B170,'Base stats'!B:B,'Base stats'!Y:Y)="OmnivoreRough")),"Forage",""),
    IF(BG170&lt;=36,"Comfort",""),
    IF(_xlfn.XLOOKUP(B170,'Base stats'!B:B,'Base stats'!AE:AE)&lt;&gt;"No",_xlfn.XLOOKUP(B170,'Base stats'!B:B,'Base stats'!AE:AE),"")
  )
)</f>
        <v>AttackTarget, Zoology_Beastmastery</v>
      </c>
      <c r="BQ170" s="25">
        <f>IF(
   AND(
      'Base stats'!AN170="Standard",_xlfn.XLOOKUP(_xlfn.XLOOKUP(B170,'Base stats'!B:B,'Base stats'!E:E),Groups!A:A,Groups!AU:AU)=0,
      OR(
      BO170="True"
      )
   ),
   10,
   IF(
       OR(BM170&lt;&gt;"No",_xlfn.XLOOKUP(_xlfn.XLOOKUP(B170,'Base stats'!B:B,'Base stats'!E:E),Groups!A:A,Groups!AU:AU)=1),
      1,
      "No"
   )
)</f>
        <v>10</v>
      </c>
      <c r="BR170" s="9">
        <f>MROUND((1 + ((0.2*IF(OR(Q170="No",R170="No",R170=0),0,Q170/R170)
+IF(OR(V170="No",S170="No",T170="No"),0,S170/T170*(LEN(V170)-LEN(SUBSTITUTE(V170,",",""))+1))
+IF(OR(X170="No",Y170="No"),0,X170/Y170)
+IF(OR(AD170="No",AE170="No"),0,AD170/AE170)
+IF(OR(AL170="No",AI170="No",AJ170="No"),0,AI170/AJ170*(LEN(AL170)-LEN(SUBSTITUTE(AL170,",",""))+1))
)/(0.2*IF(OR(Q170="No",R170="No",R170=0),0,1)
+IF(OR(V170="No",S170="No",T170="No"),0,LEN(V170)-LEN(SUBSTITUTE(V170,",",""))+1)
+IF(OR(X170="No",Y170="No"),0,1)
+IF(OR(AD170="No",AE170="No"),0,1)
+IF(OR(AL170="No",AI170="No",AJ170="No"),0,LEN(AL170)-LEN(SUBSTITUTE(AL170,",",""))+1))*62%)* 2)*(1 + (AP170 / (IF(_xlfn.XLOOKUP(_xlfn.XLOOKUP(B170,'Base stats'!B:B,'Base stats'!E:E),Groups!A:A,Groups!AJ:AJ)="Photonozoa",0.3,1)) + _xlfn.XLOOKUP(B170,'Base stats'!B:B,'Base stats'!AV:AV) * 1.8) * 2) * 2.5 + 10 + I170 * 2,5)+IF(_xlfn.XLOOKUP(B170,'Base stats'!B:B,'Base stats'!AK:AK)=1,50,0)</f>
        <v>880</v>
      </c>
      <c r="BS170" s="8">
        <f t="shared" si="19"/>
        <v>0.55000000000000004</v>
      </c>
      <c r="BT170" s="8" t="str">
        <f>_xlfn.XLOOKUP(B170,'Base stats'!B:B,'Base stats'!AF:AF)</f>
        <v>No</v>
      </c>
      <c r="BU170" s="2" t="str">
        <f>IF(AND(J170&lt;=0.95,OR(_xlfn.XLOOKUP(B170,'Base stats'!B:B,'Base stats'!AK:AK)=1,_xlfn.XLOOKUP(B170,'Base stats'!B:B,'Base stats'!Y:Y)="Carnivore",_xlfn.XLOOKUP(B170,'Base stats'!B:B,'Base stats'!Y:Y)="Omnivore",BE170&gt;0.1)),"true","false")</f>
        <v>false</v>
      </c>
      <c r="BV170" s="2" t="str">
        <f>IF(_xlfn.XLOOKUP(B170,'Base stats'!B:B,'Base stats'!AI:AI)=1,"true","false")</f>
        <v>false</v>
      </c>
      <c r="BW170" s="25" t="str">
        <f>IF(E170="BaseInsect","AnimalInsect",
IF(J170&gt;0.95,"AnimalExotic",
_xlfn.TEXTJOIN(", ",TRUE,
IF(OR(_xlfn.XLOOKUP(B170,'Base stats'!B:B,'Base stats'!AM:AM)=1,AND(_xlfn.XLOOKUP(B170,'Base stats'!B:B,'Base stats'!O:O)=0,_xlfn.XLOOKUP(_xlfn.XLOOKUP(B170,'Base stats'!B:B,'Base stats'!E:E),Groups!A:A,Groups!B:B)&gt;0)),"AnimalUncommon","AnimalCommon"),
IF(AND(_xlfn.XLOOKUP(B170,'Base stats'!B:B,'Base stats'!O:O)=2,_xlfn.XLOOKUP(_xlfn.XLOOKUP(B170,'Base stats'!B:B,'Base stats'!E:E),Groups!A:A,Groups!D:D)=0),"AnimalPet",IF(AND(_xlfn.XLOOKUP(B170,'Base stats'!B:B,'Base stats'!O:O)&lt;&gt;0,_xlfn.XLOOKUP(_xlfn.XLOOKUP(B170,'Base stats'!B:B,'Base stats'!E:E),Groups!A:A,Groups!D:D)&lt;&gt;0),"AnimalFarm","")),
IF(OR(_xlfn.XLOOKUP(B170,'Base stats'!B:B,'Base stats'!AK:AK)=1,AND(BI170&lt;&gt;"None",BR170&gt;=60),ISNUMBER(SEARCH("Attack target",BP170))),"AnimalFighter","")
)))</f>
        <v>AnimalExotic</v>
      </c>
      <c r="BX170" s="25" t="str">
        <f>IF(G170="None",TRIM(
SUBSTITUTE(
IF(COUNTIF(Biomes!B$2:B$259,"="&amp;$C170)&gt;0,Biomes!B$1&amp;", ","")&amp;
IF(COUNTIF(Biomes!C$2:C$259,"="&amp;$C170)&gt;0,Biomes!C$1&amp;", ","")&amp;
IF(COUNTIF(Biomes!D$2:D$259,"="&amp;$C170)&gt;0,Biomes!D$1&amp;", ","")&amp;
IF(COUNTIF(Biomes!F$2:F$259,"="&amp;$C170)&gt;0,Biomes!F$1&amp;", ","")&amp;
IF(COUNTIF(Biomes!G$2:G$259,"="&amp;$C170)&gt;0,Biomes!G$1&amp;", ","")&amp;
IF(COUNTIF(Biomes!H$2:H$259,"="&amp;$C170)&gt;0,Biomes!H$1&amp;", ","")&amp;
IF(COUNTIF(Biomes!I$2:I$259,"="&amp;$C170)&gt;0,Biomes!I$1&amp;", ","")&amp;
IF(COUNTIF(Biomes!J$2:J$259,"="&amp;$C170)&gt;0,Biomes!J$1&amp;", ","")&amp;
IF(COUNTIF(Biomes!M$2:M$259,"="&amp;$C170)&gt;0,Biomes!M$1&amp;", ","")&amp;
IF(COUNTIF(Biomes!N$2:N$259,"="&amp;$C170)&gt;0,Biomes!N$1&amp;", ","")&amp;
IF(COUNTIF(Biomes!O$2:O$259,"="&amp;$C170)&gt;0,Biomes!O$1&amp;", ","")&amp;
IF(COUNTIF(Biomes!P$2:P$259,"="&amp;$C170)&gt;0,Biomes!P$1&amp;", ","")&amp;
IF(COUNTIF(Biomes!K$2:K$259,"="&amp;$C170)&gt;0,Biomes!K$1&amp;", ","")&amp;
IF(COUNTIF(Biomes!Q$3:Q$259,"="&amp;$C170)&gt;0,Biomes!Q$1&amp;", ","")&amp;
IF(COUNTIF(Biomes!L$2:L$259,"="&amp;$C170)&gt;0,Biomes!L$1&amp;", ","")&amp;
IF(COUNTIF(Biomes!E$2:E$259,"="&amp;$C170)&gt;0,Biomes!E$1&amp;", ","")&amp;IF(COUNTIF(Biomes!S$2:S$259,"="&amp;$C170)&gt;0,Biomes!S$1&amp;", ","")&amp;
IF(COUNTIF(Biomes!R$2:R$259,"="&amp;$C170)&gt;0,Biomes!R$1&amp;", ",""),", ","")
),_xlfn.XLOOKUP(B170,B:B,BX:BX))</f>
        <v/>
      </c>
      <c r="BY170" s="25" t="str">
        <f>IF(_xlfn.XLOOKUP(B170,'Base stats'!B:B,'Base stats'!AJ:AJ)=1,"true","false")</f>
        <v>false</v>
      </c>
      <c r="BZ170" s="25">
        <f>IF(_xlfn.XLOOKUP(B170,'Base stats'!B:B,'Base stats'!N:N)=1,"No",MAX(0.001,MIN(MROUND(IF(AND(BJ170="True",CC170="False"),POWER(10,3.47*LOG10(_xlfn.XLOOKUP(B170,'Base stats'!B:B,'Base stats'!C:C)*1000)^-0.96),POWER(10,4.15*LOG10(_xlfn.XLOOKUP(B170,'Base stats'!B:B,'Base stats'!C:C)*1000)^-0.73))*IF(_xlfn.XLOOKUP(B170,'Base stats'!B:B,'Base stats'!AK:AK)=1,0.5,1)*IF(_xlfn.XLOOKUP(B170,'Base stats'!B:B,'Base stats'!AM:AM)=1,0.1,1)/100,IF(_xlfn.XLOOKUP(B170,'Base stats'!B:B,'Base stats'!AM:AM)=1,0.001,0.025)),0.5)))</f>
        <v>0.05</v>
      </c>
      <c r="CA170" s="25">
        <f>IF(P170="Standard","No",MAX(0.001,MIN(MROUND(IF(AND(BJ170="True",CC170="False"),POWER(10,3.47*LOG10(_xlfn.XLOOKUP(B170,'Base stats'!B:B,'Base stats'!C:C)*1000)^-0.96),POWER(10,4.15*LOG10(_xlfn.XLOOKUP(B170,'Base stats'!B:B,'Base stats'!C:C)*1000)^-0.73))*IF(_xlfn.XLOOKUP(B170,'Base stats'!B:B,'Base stats'!AM:AM)=1,0.1,1)*_xlfn.XLOOKUP(B170,'Base stats'!B:B,'Base stats'!R:R)/100,IF(_xlfn.XLOOKUP(B170,'Base stats'!B:B,'Base stats'!AM:AM)=1,0.001,0.025)),0.5)))</f>
        <v>0.05</v>
      </c>
      <c r="CB170" s="25" t="str">
        <f>IF(_xlfn.XLOOKUP(_xlfn.XLOOKUP(B170,'Base stats'!B:B,'Base stats'!E:E),Groups!A:A,Groups!AJ:AJ)="Mammal","True","False")</f>
        <v>False</v>
      </c>
      <c r="CC170" s="25" t="str">
        <f>IF(OR(_xlfn.XLOOKUP(_xlfn.XLOOKUP(B170,'Base stats'!B:B,'Base stats'!E:E),Groups!A:A,Groups!AJ:AJ)="Reptile",_xlfn.XLOOKUP(_xlfn.XLOOKUP(B170,'Base stats'!B:B,'Base stats'!E:E),Groups!A:A,Groups!AJ:AJ)="Amphibian",_xlfn.XLOOKUP(_xlfn.XLOOKUP(B170,'Base stats'!B:B,'Base stats'!E:E),Groups!A:A,Groups!AJ:AJ)="Invertebrate"),"True","False")</f>
        <v>False</v>
      </c>
      <c r="CD170" s="25" t="str">
        <f t="shared" si="20"/>
        <v>True</v>
      </c>
      <c r="CE170" s="25" t="str">
        <f>IF(_xlfn.XLOOKUP(_xlfn.XLOOKUP(B170,'Base stats'!B:B,'Base stats'!E:E),Groups!A:A,Groups!AX:AX),"True","False")</f>
        <v>True</v>
      </c>
      <c r="CF170" s="25" t="str">
        <f>IF(_xlfn.XLOOKUP(_xlfn.XLOOKUP(B170,'Base stats'!B:B,'Base stats'!E:E),Groups!A:A,Groups!AY:AY),"True","False")</f>
        <v>True</v>
      </c>
      <c r="CG170" s="25" t="str">
        <f>IF(_xlfn.XLOOKUP(_xlfn.XLOOKUP(B170,'Base stats'!B:B,'Base stats'!E:E),Groups!A:A,Groups!AW:AW),"True","False")</f>
        <v>True</v>
      </c>
      <c r="CH170" s="25" t="str">
        <f>IF(
OR(
_xlfn.XLOOKUP(_xlfn.XLOOKUP(B170,'Base stats'!B:B,'Base stats'!E:E),Groups!A:A,Groups!AZ:AZ)=0,
AND(
_xlfn.XLOOKUP(B170,'Base stats'!B:B,'Base stats'!Y:Y)&lt;&gt;"Carnivore",
_xlfn.XLOOKUP(B170,'Base stats'!B:B,'Base stats'!Y:Y)&lt;&gt;"Omnivore",
_xlfn.XLOOKUP(B170,'Base stats'!B:B,'Base stats'!Y:Y)&lt;&gt;"OmnivoreRough"
)
),
"No",
IF(
_xlfn.XLOOKUP(_xlfn.XLOOKUP(B170,'Base stats'!B:B,'Base stats'!E:E),Groups!A:A,Groups!AZ:AZ)=1,
"Flesh",
IF(
_xlfn.XLOOKUP(_xlfn.XLOOKUP(B170,'Base stats'!B:B,'Base stats'!E:E),Groups!A:A,Groups!AZ:AZ)=2,
"Bone",
""
)
)
)</f>
        <v>Bone</v>
      </c>
      <c r="CI170" s="25" t="str">
        <f>IF(_xlfn.XLOOKUP(_xlfn.XLOOKUP(B170,'Base stats'!B:B,'Base stats'!E:E),Groups!A:A,Groups!BB:BB),"True","False")</f>
        <v>False</v>
      </c>
      <c r="CJ170" s="25" t="str">
        <f>IF(_xlfn.XLOOKUP(_xlfn.XLOOKUP(B170,'Base stats'!B:B,'Base stats'!E:E),Groups!A:A,Groups!BA:BA),"True","False")</f>
        <v>False</v>
      </c>
    </row>
    <row r="171" spans="1:88" s="16" customFormat="1" ht="16.5" thickTop="1" thickBot="1" x14ac:dyDescent="0.3">
      <c r="A171" s="26" t="str">
        <f>_xlfn.XLOOKUP(B171,'Base stats'!B:B,'Base stats'!A:A)</f>
        <v>Talpobaena</v>
      </c>
      <c r="B171" s="6" t="s">
        <v>1763</v>
      </c>
      <c r="C171" s="28" t="s">
        <v>1764</v>
      </c>
      <c r="D171" s="28" t="s">
        <v>1166</v>
      </c>
      <c r="E171" s="28" t="s">
        <v>1167</v>
      </c>
      <c r="F171" s="28" t="s">
        <v>1168</v>
      </c>
      <c r="G171" s="28" t="s">
        <v>673</v>
      </c>
      <c r="H171" s="2">
        <f>MROUND((
  (IF(AND(_xlfn.XLOOKUP(B171,'Base stats'!B:B,'Base stats'!AL:AL)=0,BI171="None",_xlfn.XLOOKUP(_xlfn.XLOOKUP(B171,'Base stats'!B:B,'Base stats'!E:E),Groups!A:A,Groups!B:B)=0), (18 + BR171 * 2.7) * 0.5,
    IF(AND(_xlfn.XLOOKUP(B171,'Base stats'!B:B,'Base stats'!AL:AL)=0,OR(AO171&lt;0.55,AND(BI171="Intermediate",_xlfn.XLOOKUP(_xlfn.XLOOKUP(B171,'Base stats'!B:B,'Base stats'!E:E),Groups!A:A,Groups!B:B)&lt;2))), (18 + BR171 * 2.7),
      IF(OR(BI171="Advanced",_xlfn.XLOOKUP(B171,'Base stats'!B:B,'Base stats'!AL:AL)=1,_xlfn.XLOOKUP(_xlfn.XLOOKUP(B171,'Base stats'!B:B,'Base stats'!E:E),Groups!A:A,Groups!B:B)=2), (18 + BR171 * 2.7) + 250, (18 + BR171 * 2.7))
    )
  ))
  + AO171 * 80
  + IF(COUNTIF(EggMilk!K$2:K$998, A171) &gt; 0, 125, 0)
  + IF(COUNTIF(EggMilk!P$2:P$998, A171) &gt; 0, 90, 0)
  + IF(COUNTIF(EggMilk!A$2:A$998, A171) &gt; 0, 90, 0)
)
* (0.8 + 0.4 * J171)
* 0.75,25)</f>
        <v>1250</v>
      </c>
      <c r="I171" s="2">
        <f>MROUND(ROUNDDOWN(_xlfn.XLOOKUP(B171,'Base stats'!B:B,'Base stats'!L:L)/3.6/(23.3/11),1),0.5)</f>
        <v>3</v>
      </c>
      <c r="J171" s="2">
        <f>IF(OR(_xlfn.XLOOKUP(B171,'Base stats'!B:B,'Base stats'!AB:AB)=1,_xlfn.XLOOKUP(_xlfn.XLOOKUP(B171,'Base stats'!B:B,'Base stats'!E:E),Groups!A:A,Groups!C:C)="Untamable"),1,IF(_xlfn.XLOOKUP(B171,'Base stats'!B:B,'Base stats'!AL:AL)=1,0.99,MIN(MROUND((1-0.6282*EXP(-0.459*AO171))*_xlfn.XLOOKUP(_xlfn.XLOOKUP(B171,'Base stats'!B:B,'Base stats'!E:E),Groups!A:A,Groups!C:C)*IF(_xlfn.XLOOKUP(B171,'Base stats'!B:B,'Base stats'!O:O)=1,0.5,IF(_xlfn.XLOOKUP(B171,'Base stats'!B:B,'Base stats'!O:O)=2,0,1)),0.05),IF(AO171&gt;3.5,0.985,0.95))))</f>
        <v>1</v>
      </c>
      <c r="K171" s="2">
        <f>ROUNDUP(AO171*_xlfn.XLOOKUP(_xlfn.XLOOKUP(B171,'Base stats'!B:B,'Base stats'!E:E),Groups!A:A,Groups!E:E),0)</f>
        <v>6</v>
      </c>
      <c r="L171" s="2">
        <f>IF(OR(_xlfn.XLOOKUP(_xlfn.XLOOKUP(B171,'Base stats'!B:B,'Base stats'!E:E),Groups!A:A,Groups!F:F)=2,ISNUMBER(SEARCH("SeaIce",BX171)),ISNUMBER(SEARCH("IceSheet",BX171))),-50,IF(OR(ISNUMBER(SEARCH("GlacialPlain",BX171)),ISNUMBER(SEARCH("Tundra",BX171))),-40,IF(OR(ISNUMBER(SEARCH("Alpine",BX171)),ISNUMBER(SEARCH("BorealForest",BX171)),ISNUMBER(SEARCH("ColdBog",BX171))),-30,IF(OR(ISNUMBER(SEARCH("TemperateForest",BX171)),ISNUMBER(SEARCH("TemperateSwamp",BX171))),-20,IF(_xlfn.XLOOKUP(_xlfn.XLOOKUP(B171,'Base stats'!B:B,'Base stats'!E:E),Groups!A:A,Groups!F:F)=1,-15,IF(OR(ISNUMBER(SEARCH("Desert",BX171)),ISNUMBER(SEARCH("ExtremeDesert",BX171))),-10,IF(OR(ISNUMBER(SEARCH("Grasslands",BX171)),ISNUMBER(SEARCH("TropicalRainforest",BX171)),ISNUMBER(SEARCH("TropicalSwamp",BX171))),10,0)))))))-IF(CC171="False",MIN(IFERROR(MAX(MROUND(LOG10(_xlfn.XLOOKUP(B171,'Base stats'!B:B,'Base stats'!C:C)^(2/3))*10,5),5),5),30))-_xlfn.XLOOKUP(B171,'Base stats'!B:B,'Base stats'!P:P)+IF(CC171="True",5,0)</f>
        <v>-165</v>
      </c>
      <c r="M171" s="2">
        <f>IF(OR(_xlfn.XLOOKUP(_xlfn.XLOOKUP(B171,'Base stats'!B:B,'Base stats'!E:E),Groups!A:A,Groups!G:G)=2,ISNUMBER(SEARCH("Desert",BX171)),ISNUMBER(SEARCH("ExtremeDesert",BX171)),ISNUMBER(SEARCH("LavaField",BX171))),50,IF(ISNUMBER(SEARCH("Grasslands",BX171)),45,IF(OR(_xlfn.XLOOKUP(_xlfn.XLOOKUP(B171,'Base stats'!B:B,'Base stats'!E:E),Groups!A:A,Groups!G:G)=1,ISNUMBER(SEARCH("TropicalRainforest",BX171)),ISNUMBER(SEARCH("TropicalSwamp",BX171))),40,IF(OR(ISNUMBER(SEARCH("TemperateForest",BX171)),ISNUMBER(SEARCH("TemperateSwamp",BX171))),35,IF(OR(ISNUMBER(SEARCH("Alpine",BX171)),ISNUMBER(SEARCH("BorealForest",BX171)),ISNUMBER(SEARCH("ColdBog",BX171))),30,IF(ISNUMBER(OR(ISNUMBER(SEARCH("GlacialPlain",BX171)),SEARCH("Tundra",BX171))),25,IF(OR(ISNUMBER(SEARCH("SeaIce",BX171)),ISNUMBER(SEARCH("IceSheet",BX171)),ISNUMBER(SEARCH("TropicalSwamp",BX171))),10,35)))))))+_xlfn.XLOOKUP(B171,'Base stats'!B:B,'Base stats'!Q:Q)</f>
        <v>150</v>
      </c>
      <c r="N171" s="8">
        <f>IF(
_xlfn.XLOOKUP(
_xlfn.XLOOKUP(B171,'Base stats'!B:B,'Base stats'!E:E),
Groups!A:A,
Groups!L:L
)=1,
MIN(
MROUND(
IF(
_xlfn.XLOOKUP(B171,'Animals CE'!B:B,'Animals CE'!Z:Z)&lt;=1.5,
_xlfn.XLOOKUP(B171,'Animals CE'!B:B,'Animals CE'!Z:Z)/2+0.05,
0.8+
(_xlfn.XLOOKUP(B171,'Animals CE'!B:B,'Animals CE'!Z:Z)-1.5)
*0.02
),
0.05
),
200%
),
"No"
)</f>
        <v>0.85000000000000009</v>
      </c>
      <c r="O171" s="8">
        <f>IF(
_xlfn.XLOOKUP(
_xlfn.XLOOKUP(B171,'Base stats'!B:B,'Base stats'!E:E),
Groups!A:A,
Groups!L:L
)=1,
MIN(
MROUND(
IF(
_xlfn.XLOOKUP(B171,'Animals CE'!B:B,'Animals CE'!AA:AA)&lt;=1.5,
_xlfn.XLOOKUP(B171,'Animals CE'!B:B,'Animals CE'!AA:AA)/2+0.05,
0.8+
(_xlfn.XLOOKUP(B171,'Animals CE'!B:B,'Animals CE'!AA:AA)-1.5)
*0.02
),
0.05
),
200%
),
"No"
)</f>
        <v>1.1000000000000001</v>
      </c>
      <c r="P171" s="2">
        <f>_xlfn.XLOOKUP(B171,'Base stats'!B:B,'Base stats'!R:R)</f>
        <v>1</v>
      </c>
      <c r="Q171" s="13">
        <f>MROUND((LOG10(_xlfn.XLOOKUP(B171,'Base stats'!B:B,'Base stats'!AR:AR))*(AO171^0.5)+(_xlfn.XLOOKUP(B171,'Base stats'!B:B,'Base stats'!AR:AR)/1000)^(2/3)+_xlfn.XLOOKUP(B171,'Base stats'!B:B,'Base stats'!BA:BA)/2)+0.5,0.5)</f>
        <v>7.5</v>
      </c>
      <c r="R171" s="7">
        <f>IF(Q171="No","No",MAX(1,MROUND(_xlfn.XLOOKUP(B171,'Base stats'!B:B,'Base stats'!C:C)^0.165,0.05)))</f>
        <v>2.0500000000000003</v>
      </c>
      <c r="S171" s="13" t="str">
        <f>IF(_xlfn.XLOOKUP(_xlfn.XLOOKUP(B171,'Base stats'!B:B,'Base stats'!E:E),Groups!A:A,Groups!P:P)=0,"No",MROUND((LOG10(_xlfn.XLOOKUP(B171,'Base stats'!B:B,'Base stats'!AS:AS))*(AO171^0.5)+(_xlfn.XLOOKUP(B171,'Base stats'!B:B,'Base stats'!AS:AS)/1000)^(2/3)+_xlfn.XLOOKUP(B171,'Base stats'!B:B,'Base stats'!BA:BA))+_xlfn.XLOOKUP(B171,'Base stats'!B:B,'Base stats'!AY:AY)+0.5,0.5))</f>
        <v>No</v>
      </c>
      <c r="T171" s="7" t="str">
        <f>IF(S171="No","No",MAX(_xlfn.XLOOKUP(_xlfn.XLOOKUP(B171,'Base stats'!B:B,'Base stats'!E:E),Groups!A:A,Groups!Q:Q),MROUND(_xlfn.XLOOKUP(_xlfn.XLOOKUP(B171,'Base stats'!B:B,'Base stats'!E:E),Groups!A:A,Groups!Q:Q)*_xlfn.XLOOKUP(B171,'Base stats'!B:B,'Base stats'!C:C)^0.165,0.05)))</f>
        <v>No</v>
      </c>
      <c r="U171" s="7" t="str">
        <f>IF(S171="No","No",_xlfn.XLOOKUP(_xlfn.XLOOKUP(B171,'Base stats'!B:B,'Base stats'!E:E),Groups!A:A,Groups!R:R))</f>
        <v>No</v>
      </c>
      <c r="V171" s="7" t="str">
        <f>IF(S171="No","No",_xlfn.XLOOKUP(_xlfn.XLOOKUP(B171,'Base stats'!B:B,'Base stats'!E:E),Groups!A:A,Groups!S:S))</f>
        <v>No</v>
      </c>
      <c r="W171" s="7" t="str">
        <f>IF(S171="No","No",_xlfn.XLOOKUP(_xlfn.XLOOKUP(B171,'Base stats'!B:B,'Base stats'!E:E),Groups!A:A,Groups!T:T))</f>
        <v>No</v>
      </c>
      <c r="X171" s="13" t="str">
        <f>IF(_xlfn.XLOOKUP(B171,'Base stats'!B:B,'Base stats'!W:W)="No","No",MROUND((LOG10(_xlfn.XLOOKUP(B171,'Base stats'!B:B,'Base stats'!AU:AU))*(AO171^0.5)+(_xlfn.XLOOKUP(B171,'Base stats'!B:B,'Base stats'!AU:AU)/1000)^(2/3)+_xlfn.XLOOKUP(B171,'Base stats'!B:B,'Base stats'!AZ:AZ))+0.5+IF(_xlfn.XLOOKUP(_xlfn.XLOOKUP(B171,'Base stats'!B:B,'Base stats'!E:E),Groups!A:A,Groups!U:U)&lt;&gt;3,_xlfn.XLOOKUP(B171,'Base stats'!B:B,'Base stats'!BA:BA),0),0.5))</f>
        <v>No</v>
      </c>
      <c r="Y171" s="7" t="str">
        <f>IF(X171="No","No",MAX(_xlfn.XLOOKUP(_xlfn.XLOOKUP(B171,'Base stats'!B:B,'Base stats'!E:E),Groups!A:A,Groups!V:V),MROUND(_xlfn.XLOOKUP(_xlfn.XLOOKUP(B171,'Base stats'!B:B,'Base stats'!E:E),Groups!A:A,Groups!V:V)*_xlfn.XLOOKUP(B171,'Base stats'!B:B,'Base stats'!C:C)^0.165,0.05)))</f>
        <v>No</v>
      </c>
      <c r="Z171" s="7" t="str">
        <f>IF(X171="No","No",_xlfn.XLOOKUP(_xlfn.XLOOKUP(B171,'Base stats'!B:B,'Base stats'!E:E),Groups!A:A,Groups!W:W))</f>
        <v>No</v>
      </c>
      <c r="AA171" s="7" t="str">
        <f>IF(X171="No","No",_xlfn.XLOOKUP(_xlfn.XLOOKUP(B171,'Base stats'!B:B,'Base stats'!E:E),Groups!A:A,Groups!X:X))</f>
        <v>No</v>
      </c>
      <c r="AB171" s="7" t="str">
        <f>IF(X171="No","No",_xlfn.XLOOKUP(_xlfn.XLOOKUP(B171,'Base stats'!B:B,'Base stats'!E:E),Groups!A:A,Groups!Y:Y))</f>
        <v>No</v>
      </c>
      <c r="AC171" s="7" t="str">
        <f>_xlfn.XLOOKUP(Animals!B171,'Base stats'!B:B,'Base stats'!X:X)</f>
        <v>False</v>
      </c>
      <c r="AD171" s="13">
        <f>IF(_xlfn.XLOOKUP(B171,'Base stats'!B:B,'Base stats'!AT:AT)="No","No",MROUND((LOG10(_xlfn.XLOOKUP(B171,'Base stats'!B:B,'Base stats'!AT:AT))*(AO171^0.75)+(_xlfn.XLOOKUP(B171,'Base stats'!B:B,'Base stats'!AT:AT)/1000)^(2/3)+_xlfn.XLOOKUP(B171,'Base stats'!B:B,'Base stats'!AX:AX)+_xlfn.XLOOKUP(B171,'Base stats'!B:B,'Base stats'!BA:BA))+0.5,0.5))</f>
        <v>17.5</v>
      </c>
      <c r="AE171" s="7">
        <f>IF(AD171="No","No",MAX(_xlfn.XLOOKUP(_xlfn.XLOOKUP(B171,'Base stats'!B:B,'Base stats'!E:E),Groups!A:A,Groups!Z:Z),MROUND(_xlfn.XLOOKUP(_xlfn.XLOOKUP(B171,'Base stats'!B:B,'Base stats'!E:E),Groups!A:A,Groups!Z:Z)*_xlfn.XLOOKUP(B171,'Base stats'!B:B,'Base stats'!C:C)^0.165,0.05)))</f>
        <v>1.6500000000000001</v>
      </c>
      <c r="AF171" s="7" t="str">
        <f>IF(AD171="No","No",_xlfn.XLOOKUP(_xlfn.XLOOKUP(B171,'Base stats'!B:B,'Base stats'!E:E),Groups!A:A,Groups!AA:AA))</f>
        <v>TongueAttackTool</v>
      </c>
      <c r="AG171" s="7" t="str">
        <f>IF(AD171="No","No",_xlfn.XLOOKUP(_xlfn.XLOOKUP(B171,'Base stats'!B:B,'Base stats'!E:E),Groups!A:A,Groups!AB:AB))</f>
        <v>tongue</v>
      </c>
      <c r="AH171" s="7" t="str">
        <f>IF(AD171="No","No",_xlfn.XLOOKUP(_xlfn.XLOOKUP(B171,'Base stats'!B:B,'Base stats'!E:E),Groups!A:A,Groups!AC:AC))</f>
        <v>Scratch</v>
      </c>
      <c r="AI171" s="13" t="str">
        <f>IF(_xlfn.XLOOKUP(_xlfn.XLOOKUP(B171,'Base stats'!B:B,'Base stats'!E:E),Groups!A:A,Groups!AD:AD)=0,"No",MROUND((LOG10(_xlfn.XLOOKUP(B171,'Base stats'!B:B,'Base stats'!AS:AS))*(AO171^0.75)+(_xlfn.XLOOKUP(B171,'Base stats'!B:B,'Base stats'!AS:AS)/1000)^(2/3)+_xlfn.XLOOKUP(B171,'Base stats'!B:B,'Base stats'!AY:AY)+_xlfn.XLOOKUP(B171,'Base stats'!B:B,'Base stats'!BA:BA))+0.5,0.5))</f>
        <v>No</v>
      </c>
      <c r="AJ171" s="7" t="str">
        <f>IF(AI171="No","No",MAX(_xlfn.XLOOKUP(_xlfn.XLOOKUP(B171,'Base stats'!B:B,'Base stats'!E:E),Groups!A:A,Groups!AE:AE),MROUND(_xlfn.XLOOKUP(_xlfn.XLOOKUP(B171,'Base stats'!B:B,'Base stats'!E:E),Groups!A:A,Groups!AE:AE)*IF(_xlfn.XLOOKUP(_xlfn.XLOOKUP(B171,'Base stats'!B:B,'Base stats'!E:E),Groups!A:A,Groups!AJ:AJ)="Photonozoa",0.6,1)*_xlfn.XLOOKUP(B171,'Base stats'!B:B,'Base stats'!C:C)^0.165,0.05)))</f>
        <v>No</v>
      </c>
      <c r="AK171" s="7" t="str">
        <f>IF(AI171="No","No",_xlfn.XLOOKUP(_xlfn.XLOOKUP(B171,'Base stats'!B:B,'Base stats'!E:E),Groups!A:A,Groups!AF:AF))</f>
        <v>No</v>
      </c>
      <c r="AL171" s="7" t="str">
        <f>IF(AI171="No","No",_xlfn.XLOOKUP(_xlfn.XLOOKUP(B171,'Base stats'!B:B,'Base stats'!E:E),Groups!A:A,Groups!AG:AG))</f>
        <v>No</v>
      </c>
      <c r="AM171" s="7" t="str">
        <f>IF(AI171="No","No",_xlfn.XLOOKUP(_xlfn.XLOOKUP(B171,'Base stats'!B:B,'Base stats'!E:E),Groups!A:A,Groups!AH:AH))</f>
        <v>No</v>
      </c>
      <c r="AN171" s="2" t="str">
        <f t="shared" si="14"/>
        <v>No</v>
      </c>
      <c r="AO171" s="2">
        <f>MROUND(IF(AND(_xlfn.XLOOKUP(B171,'Base stats'!B:B,'Base stats'!C:C)&gt;=0.5,_xlfn.XLOOKUP(B171,'Base stats'!B:B,'Base stats'!C:C)&lt;=0.8),
IF(_xlfn.XLOOKUP(B171,'Base stats'!B:B,'Base stats'!C:C)&lt;0.1,0.05,IF(_xlfn.XLOOKUP(B171,'Base stats'!B:B,'Base stats'!C:C)&lt;=70,(_xlfn.XLOOKUP(B171,'Base stats'!B:B,'Base stats'!C:C)/70)^0.426489913056526,IF(_xlfn.XLOOKUP(B171,'Base stats'!B:B,'Base stats'!C:C)&lt;=400,(_xlfn.XLOOKUP(B171,'Base stats'!B:B,'Base stats'!C:C)/70)^0.572811455315093,IF(_xlfn.XLOOKUP(B171,'Base stats'!B:B,'Base stats'!C:C)&lt;=2000,2.71391647193063*(_xlfn.XLOOKUP(B171,'Base stats'!B:B,'Base stats'!C:C)/400)^0.252459582904293,3.74314280240376*(_xlfn.XLOOKUP(B171,'Base stats'!B:B,'Base stats'!C:C)/2000)^0.357012633876913)))),
IF(_xlfn.XLOOKUP(B171,'Base stats'!B:B,'Base stats'!C:C)&lt;0.1,0.05,IF(_xlfn.XLOOKUP(B171,'Base stats'!B:B,'Base stats'!C:C)&lt;0.4,0.1,IF(_xlfn.XLOOKUP(B171,'Base stats'!B:B,'Base stats'!C:C)&lt;=70,(_xlfn.XLOOKUP(B171,'Base stats'!B:B,'Base stats'!C:C)/70)^0.445823913056526,IF(_xlfn.XLOOKUP(B171,'Base stats'!B:B,'Base stats'!C:C)&lt;=400,(_xlfn.XLOOKUP(B171,'Base stats'!B:B,'Base stats'!C:C)/70)^0.572811455315093,IF(_xlfn.XLOOKUP(B171,'Base stats'!B:B,'Base stats'!C:C)&lt;=2000,2.71391647193063*(_xlfn.XLOOKUP(B171,'Base stats'!B:B,'Base stats'!C:C)/400)^0.252459582904293,3.74314280240376*(_xlfn.XLOOKUP(B171,'Base stats'!B:B,'Base stats'!C:C)/2000)^0.357012633876913)))))),
IF(_xlfn.XLOOKUP(B171,'Base stats'!B:B,'Base stats'!C:C)&lt;0.1,0.05,IF(_xlfn.XLOOKUP(B171,'Base stats'!B:B,'Base stats'!C:C)&lt;=100,0.05,IF(_xlfn.XLOOKUP(B171,'Base stats'!B:B,'Base stats'!C:C)&lt;=250,0.1,IF(_xlfn.XLOOKUP(B171,'Base stats'!B:B,'Base stats'!C:C)&lt;=4000,0.25,0.5)))))</f>
        <v>1.05</v>
      </c>
      <c r="AP171" s="8">
        <f>MROUND(AO171*_xlfn.XLOOKUP(_xlfn.XLOOKUP(B171,'Base stats'!B:B,'Base stats'!E:E),Groups!A:A,Groups!AI:AI)*_xlfn.XLOOKUP(B171,'Base stats'!B:B,'Base stats'!Z:Z),0.05)</f>
        <v>1.05</v>
      </c>
      <c r="AQ171" s="8">
        <f>MAX(0.01,MROUND(IF(CC171="True",0.196*(AO171*100*1000)^0.889,IF(_xlfn.XLOOKUP(_xlfn.XLOOKUP(B171,'Base stats'!B:B,'Base stats'!E:E),Groups!A:A,Groups!AJ:AJ)="Bird",10.5*(AO171*100*1000)^0.681,4.82*(AO171*100*1000)^0.734))/(4.82*(1*100*1000)^0.734)/IF(AO171&lt;3.5,2,IF(AO171=3.5,1.5,1.25))*(1+0.132282374779864/(AO171^0.994035016789033+0.00905238001496948)),0.05))</f>
        <v>0.60000000000000009</v>
      </c>
      <c r="AR171" s="9">
        <f>IFERROR(MROUND(_xlfn.XLOOKUP(B171,'Base stats'!B:B,'Base stats'!H:H)/IF(_xlfn.XLOOKUP(B171,'Base stats'!B:B,'Base stats'!I:I)&lt;&gt;1,(122.5/70),1.2),IF(_xlfn.XLOOKUP(B171,'Base stats'!B:B,'Base stats'!H:H)&gt;=30,5,IF(_xlfn.XLOOKUP(B171,'Base stats'!B:B,'Base stats'!H:H)&gt;=15,3,IF(_xlfn.XLOOKUP(B171,'Base stats'!B:B,'Base stats'!H:H)&gt;=10,2,1)))),"Immortal")</f>
        <v>5</v>
      </c>
      <c r="AS171" s="35" t="str">
        <f>IFERROR(IF(OR(_xlfn.XLOOKUP(B171,'Base stats'!B:B,'Base stats'!F:F)="Atypical reproduction",_xlfn.XLOOKUP(B171,'Base stats'!B:B,'Base stats'!F:F)="Lay eggs"),"Lay eggs",MIN(20,MAX(5.5,ROUND(((_xlfn.XLOOKUP(B171,'Base stats'!B:B,'Base stats'!F:F)-25)*(14.5/615) + 5.5)*2,0)/2))),"Unknown")</f>
        <v>Lay eggs</v>
      </c>
      <c r="AT171" s="8">
        <f>IF(_xlfn.XLOOKUP(B171,'Base stats'!B:B,'Base stats'!G:G)="Atypical reproduction","No",IFERROR(MAX(IF(_xlfn.XLOOKUP(B171,'Base stats'!B:B,'Base stats'!G:G)&lt;0.5,0.2,0.3),MROUND(_xlfn.XLOOKUP(B171,'Base stats'!B:B,'Base stats'!G:G)/(365/60),0.2)),"Unknown"))</f>
        <v>0.4</v>
      </c>
      <c r="AU171" s="8">
        <f t="shared" si="15"/>
        <v>0.2</v>
      </c>
      <c r="AV171" s="8" t="str">
        <f>IFERROR(IFERROR(MROUND(_xlfn.XLOOKUP(B171,'Base stats'!B:B,'Base stats'!J:J),0.1),"Lay eggs"),"Cannot breed")</f>
        <v>Lay eggs</v>
      </c>
      <c r="AW171" s="2" t="str">
        <f t="shared" si="16"/>
        <v>false</v>
      </c>
      <c r="AX171" s="2" t="str">
        <f>IF(_xlfn.XLOOKUP(_xlfn.XLOOKUP(Animals!B171,'Base stats'!B:B,'Base stats'!E:E),Groups!A:A,Groups!AK:AK)=1,"true","false")</f>
        <v>false</v>
      </c>
      <c r="AY171" s="25" t="str">
        <f>IF(_xlfn.XLOOKUP(B171,'Base stats'!B:B,'Base stats'!Y:Y)="Liquor","Liquor, CarnivoreAnimalStrict",IF(AND(_xlfn.XLOOKUP(B171,'Base stats'!B:B,'Base stats'!Y:Y)="Carnivore",_xlfn.XLOOKUP(_xlfn.XLOOKUP(B171,'Base stats'!B:B,'Base stats'!E:E),Groups!A:A,Groups!AJ:AJ)="Photonozoa"),"CarnivoreAnimalStrict, OvivoreAnimal",IF(_xlfn.XLOOKUP(B171,'Base stats'!B:B,'Base stats'!Y:Y)="Carnivore","CarnivoreAnimal, OvivoreAnimal",IF(_xlfn.XLOOKUP(B171,'Base stats'!B:B,'Base stats'!Y:Y)="Dendrovore","VegetarianRoughAnimal, DendrovoreAnimal",IF(_xlfn.XLOOKUP(B171,'Base stats'!B:B,'Base stats'!Y:Y)="Herbivore","VegetarianRoughAnimal",IF(_xlfn.XLOOKUP(B171,'Base stats'!B:B,'Base stats'!Y:Y)="OmnivoreRough","OmnivoreRoughAnimal, OvivoreAnimal","OmnivoreAnimal, OvivoreAnimal"))))))</f>
        <v>OmnivoreRoughAnimal, OvivoreAnimal</v>
      </c>
      <c r="AZ171" s="2" t="str">
        <f>IF(_xlfn.XLOOKUP(_xlfn.XLOOKUP(B171,'Base stats'!B:B,'Base stats'!E:E),Groups!A:A,Groups!D:D)=1,MROUND((1-J171)*5+1,2)*IF(J171&lt;=0.4,2,1),"No")</f>
        <v>No</v>
      </c>
      <c r="BA171" s="2" t="str">
        <f>IF(AND(_xlfn.XLOOKUP(B171,'Base stats'!B:B,'Base stats'!AH:AH)="&lt;li&gt;Seal&lt;/li&gt;",G171="Odyssey"),"&lt;li&gt;AEXP_Seal&lt;/li&gt;",_xlfn.XLOOKUP(B171,'Base stats'!B:B,'Base stats'!AH:AH))</f>
        <v>No</v>
      </c>
      <c r="BB171" s="2" t="str">
        <f>_xlfn.XLOOKUP(B171,'Base stats'!B:B,'Base stats'!AG:AG)</f>
        <v>Leather_Photonozoa</v>
      </c>
      <c r="BC171" s="23" t="str">
        <f>_xlfn.XLOOKUP(_xlfn.XLOOKUP(B171,'Base stats'!B:B,'Base stats'!E:E),Groups!A:A,Groups!AL:AL)</f>
        <v>Paragnathus</v>
      </c>
      <c r="BD171" s="23">
        <f>MIN(1,MROUND(IF(AND(AO171&lt;0.5,_xlfn.XLOOKUP(B171,'Base stats'!B:B,'Base stats'!AA:AA)=0),0,IF(OR(_xlfn.XLOOKUP(Animals!B171,'Base stats'!B:B,'Base stats'!O:O)=2,_xlfn.XLOOKUP(_xlfn.XLOOKUP(B171,'Base stats'!B:B,'Base stats'!E:E),Groups!A:A,Groups!AN:AN)=0),0,_xlfn.XLOOKUP(_xlfn.XLOOKUP(B171,'Base stats'!B:B,'Base stats'!E:E),Groups!A:A,Groups!AN:AN)/IF(_xlfn.XLOOKUP(Animals!B171,'Base stats'!B:B,'Base stats'!O:O)=1,2,1)))+_xlfn.XLOOKUP(B171,'Base stats'!B:B,'Base stats'!AC:AC),0.005))</f>
        <v>2.5000000000000001E-2</v>
      </c>
      <c r="BE171" s="23">
        <f>MIN(1,MROUND(IF(AND(AO171&lt;0.5,_xlfn.XLOOKUP(B171,'Base stats'!B:B,'Base stats'!AA:AA)=0),0,IF(_xlfn.XLOOKUP(_xlfn.XLOOKUP(B171,'Base stats'!B:B,'Base stats'!E:E),Groups!A:A,Groups!AO:AO)=0,0,_xlfn.XLOOKUP(_xlfn.XLOOKUP(B171,'Base stats'!B:B,'Base stats'!E:E),Groups!A:A,Groups!AO:AO)/IF(_xlfn.XLOOKUP(Animals!B171,'Base stats'!B:B,'Base stats'!O:O)=2,3,1)))+_xlfn.XLOOKUP(B171,'Base stats'!B:B,'Base stats'!AD:AD),0.005))</f>
        <v>0.1</v>
      </c>
      <c r="BF171" s="2" t="str">
        <f>IF(J171&gt;0.3,"No",_xlfn.XLOOKUP(_xlfn.XLOOKUP(Animals!B171,'Base stats'!B:B,'Base stats'!E:E),Groups!A:A,Groups!AP:AP))</f>
        <v>No</v>
      </c>
      <c r="BG171" s="2" t="str">
        <f>IF(AND(J171&lt;=0.65,_xlfn.XLOOKUP(_xlfn.XLOOKUP(Animals!B171,'Base stats'!B:B,'Base stats'!E:E),Groups!A:A,Groups!AP:AP)&lt;&gt;"No",_xlfn.XLOOKUP(_xlfn.XLOOKUP(B171,'Base stats'!B:B,'Base stats'!E:E),Groups!A:A,Groups!D:D)=0),MROUND((80/3)*IF(_xlfn.XLOOKUP(B171,'Base stats'!B:B,'Base stats'!O:O)=2,0.2,AO171) + 24*(1-IF(BF171="No",0,BF171)) + 16/3, 12),"No")</f>
        <v>No</v>
      </c>
      <c r="BH171" s="2">
        <f>IF(AND(_xlfn.XLOOKUP(_xlfn.XLOOKUP(B171,'Base stats'!B:B,'Base stats'!E:E),Groups!A:A,Groups!AQ:AQ)=1,AO171&lt;=0.35),8,12)</f>
        <v>12</v>
      </c>
      <c r="BI171" s="2" t="str">
        <f>IF(_xlfn.XLOOKUP(_xlfn.XLOOKUP(B171,'Base stats'!B:B,'Base stats'!E:E),Groups!A:A,Groups!D:D)=0,_xlfn.XLOOKUP(_xlfn.XLOOKUP(B171,'Base stats'!B:B,'Base stats'!E:E),Groups!A:A,Groups!AR:AR),"None")</f>
        <v>Intermediate</v>
      </c>
      <c r="BJ171" s="2" t="str">
        <f>IF(AND(_xlfn.XLOOKUP(_xlfn.XLOOKUP(B171,'Base stats'!B:B,'Base stats'!E:E),Groups!A:A,Groups!AS:AS)=1,OR(_xlfn.XLOOKUP(B171,'Base stats'!B:B,'Base stats'!Y:Y)="Carnivore",_xlfn.XLOOKUP(B171,'Base stats'!B:B,'Base stats'!Y:Y)="Omnivore")),"true","false")</f>
        <v>false</v>
      </c>
      <c r="BK171" s="2" t="str">
        <f>IF(BJ171="true",MROUND(IF(AND(AO171&gt;0.5,OR(_xlfn.XLOOKUP(_xlfn.XLOOKUP(B171,'Base stats'!B:B,'Base stats'!E:E),Groups!A:A,Groups!AJ:AJ)="Photonozoa",_xlfn.XLOOKUP(_xlfn.XLOOKUP(B171,'Base stats'!B:B,'Base stats'!E:E),Groups!A:A,Groups!AJ:AJ)="Mammal")),Animals!AO171*1.75*IF(AW171="true",1.5,1),IF(AO171&lt;0.5,Animals!AO171*0.5,Animals!AO171)),IF(AO171&gt;2,0.5,IF(AO171&gt;0.5,0.25,0.1))),"No")</f>
        <v>No</v>
      </c>
      <c r="BL171" s="2">
        <f t="shared" si="17"/>
        <v>1</v>
      </c>
      <c r="BM171" s="25" t="str">
        <f>IF(_xlfn.XLOOKUP(B171,'Base stats'!B:B,'Base stats'!AN:AN)="Standard","No",MROUND((_xlfn.XLOOKUP(B171,'Base stats'!B:B,'Base stats'!AN:AN)/3.6)/I171,0.1))</f>
        <v>No</v>
      </c>
      <c r="BN171" s="25" t="str">
        <f t="shared" si="18"/>
        <v>false</v>
      </c>
      <c r="BO171" s="25" t="str">
        <f>IF(AND(OR(_xlfn.XLOOKUP(B171,'Base stats'!B:B,'Base stats'!Y:Y)="Carnivore",_xlfn.XLOOKUP(B171,'Base stats'!B:B,'Base stats'!Y:Y)="Omnivore",_xlfn.XLOOKUP(B171,'Base stats'!B:B,'Base stats'!Y:Y)="OmnivoreRough"),_xlfn.XLOOKUP(_xlfn.XLOOKUP(B171,'Base stats'!B:B,'Base stats'!E:E),Groups!A:A,Groups!AT:AT)=1),"true","false")</f>
        <v>false</v>
      </c>
      <c r="BP171" s="25" t="str" cm="1">
        <f t="array" ref="BP171">IF(
  _xlfn.TEXTJOIN(", ",TRUE,
    IF(AND(BJ171="true",AO171&gt;0.5,BI171&lt;&gt;"None"),"AttackTarget",""),
    IF(AND(_xlfn.XLOOKUP(_xlfn.XLOOKUP(B171,'Base stats'!B:B,'Base stats'!E:E),Groups!A:A,Groups!AJ:AJ="Mammal"),OR(_xlfn.XLOOKUP(B171,'Base stats'!B:B,'Base stats'!Y:Y)="Omnivore",_xlfn.XLOOKUP(B171,'Base stats'!B:B,'Base stats'!Y:Y)="OmnivoreRough")),"Forage",""),
    IF(BG171&lt;=36,"Comfort",""),
    IF(_xlfn.XLOOKUP(B171,'Base stats'!B:B,'Base stats'!AE:AE)&lt;&gt;"No",_xlfn.XLOOKUP(B171,'Base stats'!B:B,'Base stats'!AE:AE),"")
  ) = "",
  "No",
  _xlfn.TEXTJOIN(", ",TRUE,
    IF(AND(BJ171="true",AO171&gt;0.5,BI171&lt;&gt;"None"),"AttackTarget",""),
    IF(AND(_xlfn.XLOOKUP(_xlfn.XLOOKUP(B171,'Base stats'!B:B,'Base stats'!E:E),Groups!A:A,Groups!AJ:AJ="Mammal"),OR(_xlfn.XLOOKUP(B171,'Base stats'!B:B,'Base stats'!Y:Y)="Omnivore",_xlfn.XLOOKUP(B171,'Base stats'!B:B,'Base stats'!Y:Y)="OmnivoreRough")),"Forage",""),
    IF(BG171&lt;=36,"Comfort",""),
    IF(_xlfn.XLOOKUP(B171,'Base stats'!B:B,'Base stats'!AE:AE)&lt;&gt;"No",_xlfn.XLOOKUP(B171,'Base stats'!B:B,'Base stats'!AE:AE),"")
  )
)</f>
        <v>Forage, Dig, Zoology_Beastmastery</v>
      </c>
      <c r="BQ171" s="25" t="str">
        <f>IF(
   AND(
      'Base stats'!AN171="Standard",_xlfn.XLOOKUP(_xlfn.XLOOKUP(B171,'Base stats'!B:B,'Base stats'!E:E),Groups!A:A,Groups!AU:AU)=0,
      OR(
      BO171="True"
      )
   ),
   10,
   IF(
       OR(BM171&lt;&gt;"No",_xlfn.XLOOKUP(_xlfn.XLOOKUP(B171,'Base stats'!B:B,'Base stats'!E:E),Groups!A:A,Groups!AU:AU)=1),
      1,
      "No"
   )
)</f>
        <v>No</v>
      </c>
      <c r="BR171" s="9">
        <f>MROUND((1 + ((0.2*IF(OR(Q171="No",R171="No",R171=0),0,Q171/R171)
+IF(OR(V171="No",S171="No",T171="No"),0,S171/T171*(LEN(V171)-LEN(SUBSTITUTE(V171,",",""))+1))
+IF(OR(X171="No",Y171="No"),0,X171/Y171)
+IF(OR(AD171="No",AE171="No"),0,AD171/AE171)
+IF(OR(AL171="No",AI171="No",AJ171="No"),0,AI171/AJ171*(LEN(AL171)-LEN(SUBSTITUTE(AL171,",",""))+1))
)/(0.2*IF(OR(Q171="No",R171="No",R171=0),0,1)
+IF(OR(V171="No",S171="No",T171="No"),0,LEN(V171)-LEN(SUBSTITUTE(V171,",",""))+1)
+IF(OR(X171="No",Y171="No"),0,1)
+IF(OR(AD171="No",AE171="No"),0,1)
+IF(OR(AL171="No",AI171="No",AJ171="No"),0,LEN(AL171)-LEN(SUBSTITUTE(AL171,",",""))+1))*62%)* 2)*(1 + (AP171 / (IF(_xlfn.XLOOKUP(_xlfn.XLOOKUP(B171,'Base stats'!B:B,'Base stats'!E:E),Groups!A:A,Groups!AJ:AJ)="Photonozoa",0.3,1)) + _xlfn.XLOOKUP(B171,'Base stats'!B:B,'Base stats'!AV:AV) * 1.8) * 2) * 2.5 + 10 + I171 * 2,5)+IF(_xlfn.XLOOKUP(B171,'Base stats'!B:B,'Base stats'!AK:AK)=1,50,0)</f>
        <v>380</v>
      </c>
      <c r="BS171" s="8">
        <f t="shared" si="19"/>
        <v>0.70000000000000007</v>
      </c>
      <c r="BT171" s="8" t="str">
        <f>_xlfn.XLOOKUP(B171,'Base stats'!B:B,'Base stats'!AF:AF)</f>
        <v>No</v>
      </c>
      <c r="BU171" s="2" t="str">
        <f>IF(AND(J171&lt;=0.95,OR(_xlfn.XLOOKUP(B171,'Base stats'!B:B,'Base stats'!AK:AK)=1,_xlfn.XLOOKUP(B171,'Base stats'!B:B,'Base stats'!Y:Y)="Carnivore",_xlfn.XLOOKUP(B171,'Base stats'!B:B,'Base stats'!Y:Y)="Omnivore",BE171&gt;0.1)),"true","false")</f>
        <v>false</v>
      </c>
      <c r="BV171" s="2" t="str">
        <f>IF(_xlfn.XLOOKUP(B171,'Base stats'!B:B,'Base stats'!AI:AI)=1,"true","false")</f>
        <v>false</v>
      </c>
      <c r="BW171" s="25" t="str">
        <f>IF(E171="BaseInsect","AnimalInsect",
IF(J171&gt;0.95,"AnimalExotic",
_xlfn.TEXTJOIN(", ",TRUE,
IF(OR(_xlfn.XLOOKUP(B171,'Base stats'!B:B,'Base stats'!AM:AM)=1,AND(_xlfn.XLOOKUP(B171,'Base stats'!B:B,'Base stats'!O:O)=0,_xlfn.XLOOKUP(_xlfn.XLOOKUP(B171,'Base stats'!B:B,'Base stats'!E:E),Groups!A:A,Groups!B:B)&gt;0)),"AnimalUncommon","AnimalCommon"),
IF(AND(_xlfn.XLOOKUP(B171,'Base stats'!B:B,'Base stats'!O:O)=2,_xlfn.XLOOKUP(_xlfn.XLOOKUP(B171,'Base stats'!B:B,'Base stats'!E:E),Groups!A:A,Groups!D:D)=0),"AnimalPet",IF(AND(_xlfn.XLOOKUP(B171,'Base stats'!B:B,'Base stats'!O:O)&lt;&gt;0,_xlfn.XLOOKUP(_xlfn.XLOOKUP(B171,'Base stats'!B:B,'Base stats'!E:E),Groups!A:A,Groups!D:D)&lt;&gt;0),"AnimalFarm","")),
IF(OR(_xlfn.XLOOKUP(B171,'Base stats'!B:B,'Base stats'!AK:AK)=1,AND(BI171&lt;&gt;"None",BR171&gt;=60),ISNUMBER(SEARCH("Attack target",BP171))),"AnimalFighter","")
)))</f>
        <v>AnimalExotic</v>
      </c>
      <c r="BX171" s="25" t="str">
        <f>IF(G171="None",TRIM(
SUBSTITUTE(
IF(COUNTIF(Biomes!B$2:B$259,"="&amp;$C171)&gt;0,Biomes!B$1&amp;", ","")&amp;
IF(COUNTIF(Biomes!C$2:C$259,"="&amp;$C171)&gt;0,Biomes!C$1&amp;", ","")&amp;
IF(COUNTIF(Biomes!D$2:D$259,"="&amp;$C171)&gt;0,Biomes!D$1&amp;", ","")&amp;
IF(COUNTIF(Biomes!F$2:F$259,"="&amp;$C171)&gt;0,Biomes!F$1&amp;", ","")&amp;
IF(COUNTIF(Biomes!G$2:G$259,"="&amp;$C171)&gt;0,Biomes!G$1&amp;", ","")&amp;
IF(COUNTIF(Biomes!H$2:H$259,"="&amp;$C171)&gt;0,Biomes!H$1&amp;", ","")&amp;
IF(COUNTIF(Biomes!I$2:I$259,"="&amp;$C171)&gt;0,Biomes!I$1&amp;", ","")&amp;
IF(COUNTIF(Biomes!J$2:J$259,"="&amp;$C171)&gt;0,Biomes!J$1&amp;", ","")&amp;
IF(COUNTIF(Biomes!M$2:M$259,"="&amp;$C171)&gt;0,Biomes!M$1&amp;", ","")&amp;
IF(COUNTIF(Biomes!N$2:N$259,"="&amp;$C171)&gt;0,Biomes!N$1&amp;", ","")&amp;
IF(COUNTIF(Biomes!O$2:O$259,"="&amp;$C171)&gt;0,Biomes!O$1&amp;", ","")&amp;
IF(COUNTIF(Biomes!P$2:P$259,"="&amp;$C171)&gt;0,Biomes!P$1&amp;", ","")&amp;
IF(COUNTIF(Biomes!K$2:K$259,"="&amp;$C171)&gt;0,Biomes!K$1&amp;", ","")&amp;
IF(COUNTIF(Biomes!Q$3:Q$259,"="&amp;$C171)&gt;0,Biomes!Q$1&amp;", ","")&amp;
IF(COUNTIF(Biomes!L$2:L$259,"="&amp;$C171)&gt;0,Biomes!L$1&amp;", ","")&amp;
IF(COUNTIF(Biomes!E$2:E$259,"="&amp;$C171)&gt;0,Biomes!E$1&amp;", ","")&amp;IF(COUNTIF(Biomes!S$2:S$259,"="&amp;$C171)&gt;0,Biomes!S$1&amp;", ","")&amp;
IF(COUNTIF(Biomes!R$2:R$259,"="&amp;$C171)&gt;0,Biomes!R$1&amp;", ",""),", ","")
),_xlfn.XLOOKUP(B171,B:B,BX:BX))</f>
        <v/>
      </c>
      <c r="BY171" s="25" t="str">
        <f>IF(_xlfn.XLOOKUP(B171,'Base stats'!B:B,'Base stats'!AJ:AJ)=1,"true","false")</f>
        <v>false</v>
      </c>
      <c r="BZ171" s="25">
        <f>IF(_xlfn.XLOOKUP(B171,'Base stats'!B:B,'Base stats'!N:N)=1,"No",MAX(0.001,MIN(MROUND(IF(AND(BJ171="True",CC171="False"),POWER(10,3.47*LOG10(_xlfn.XLOOKUP(B171,'Base stats'!B:B,'Base stats'!C:C)*1000)^-0.96),POWER(10,4.15*LOG10(_xlfn.XLOOKUP(B171,'Base stats'!B:B,'Base stats'!C:C)*1000)^-0.73))*IF(_xlfn.XLOOKUP(B171,'Base stats'!B:B,'Base stats'!AK:AK)=1,0.5,1)*IF(_xlfn.XLOOKUP(B171,'Base stats'!B:B,'Base stats'!AM:AM)=1,0.1,1)/100,IF(_xlfn.XLOOKUP(B171,'Base stats'!B:B,'Base stats'!AM:AM)=1,0.001,0.025)),0.5)))</f>
        <v>0.2</v>
      </c>
      <c r="CA171" s="25">
        <f>IF(P171="Standard","No",MAX(0.001,MIN(MROUND(IF(AND(BJ171="True",CC171="False"),POWER(10,3.47*LOG10(_xlfn.XLOOKUP(B171,'Base stats'!B:B,'Base stats'!C:C)*1000)^-0.96),POWER(10,4.15*LOG10(_xlfn.XLOOKUP(B171,'Base stats'!B:B,'Base stats'!C:C)*1000)^-0.73))*IF(_xlfn.XLOOKUP(B171,'Base stats'!B:B,'Base stats'!AM:AM)=1,0.1,1)*_xlfn.XLOOKUP(B171,'Base stats'!B:B,'Base stats'!R:R)/100,IF(_xlfn.XLOOKUP(B171,'Base stats'!B:B,'Base stats'!AM:AM)=1,0.001,0.025)),0.5)))</f>
        <v>0.2</v>
      </c>
      <c r="CB171" s="25" t="str">
        <f>IF(_xlfn.XLOOKUP(_xlfn.XLOOKUP(B171,'Base stats'!B:B,'Base stats'!E:E),Groups!A:A,Groups!AJ:AJ)="Mammal","True","False")</f>
        <v>False</v>
      </c>
      <c r="CC171" s="25" t="str">
        <f>IF(OR(_xlfn.XLOOKUP(_xlfn.XLOOKUP(B171,'Base stats'!B:B,'Base stats'!E:E),Groups!A:A,Groups!AJ:AJ)="Reptile",_xlfn.XLOOKUP(_xlfn.XLOOKUP(B171,'Base stats'!B:B,'Base stats'!E:E),Groups!A:A,Groups!AJ:AJ)="Amphibian",_xlfn.XLOOKUP(_xlfn.XLOOKUP(B171,'Base stats'!B:B,'Base stats'!E:E),Groups!A:A,Groups!AJ:AJ)="Invertebrate"),"True","False")</f>
        <v>False</v>
      </c>
      <c r="CD171" s="25" t="str">
        <f t="shared" si="20"/>
        <v>True</v>
      </c>
      <c r="CE171" s="25" t="str">
        <f>IF(_xlfn.XLOOKUP(_xlfn.XLOOKUP(B171,'Base stats'!B:B,'Base stats'!E:E),Groups!A:A,Groups!AX:AX),"True","False")</f>
        <v>True</v>
      </c>
      <c r="CF171" s="25" t="str">
        <f>IF(_xlfn.XLOOKUP(_xlfn.XLOOKUP(B171,'Base stats'!B:B,'Base stats'!E:E),Groups!A:A,Groups!AY:AY),"True","False")</f>
        <v>True</v>
      </c>
      <c r="CG171" s="25" t="str">
        <f>IF(_xlfn.XLOOKUP(_xlfn.XLOOKUP(B171,'Base stats'!B:B,'Base stats'!E:E),Groups!A:A,Groups!AW:AW),"True","False")</f>
        <v>True</v>
      </c>
      <c r="CH171" s="25" t="str">
        <f>IF(
OR(
_xlfn.XLOOKUP(_xlfn.XLOOKUP(B171,'Base stats'!B:B,'Base stats'!E:E),Groups!A:A,Groups!AZ:AZ)=0,
AND(
_xlfn.XLOOKUP(B171,'Base stats'!B:B,'Base stats'!Y:Y)&lt;&gt;"Carnivore",
_xlfn.XLOOKUP(B171,'Base stats'!B:B,'Base stats'!Y:Y)&lt;&gt;"Omnivore",
_xlfn.XLOOKUP(B171,'Base stats'!B:B,'Base stats'!Y:Y)&lt;&gt;"OmnivoreRough"
)
),
"No",
IF(
_xlfn.XLOOKUP(_xlfn.XLOOKUP(B171,'Base stats'!B:B,'Base stats'!E:E),Groups!A:A,Groups!AZ:AZ)=1,
"Flesh",
IF(
_xlfn.XLOOKUP(_xlfn.XLOOKUP(B171,'Base stats'!B:B,'Base stats'!E:E),Groups!A:A,Groups!AZ:AZ)=2,
"Bone",
""
)
)
)</f>
        <v>Bone</v>
      </c>
      <c r="CI171" s="25" t="str">
        <f>IF(_xlfn.XLOOKUP(_xlfn.XLOOKUP(B171,'Base stats'!B:B,'Base stats'!E:E),Groups!A:A,Groups!BB:BB),"True","False")</f>
        <v>False</v>
      </c>
      <c r="CJ171" s="25" t="str">
        <f>IF(_xlfn.XLOOKUP(_xlfn.XLOOKUP(B171,'Base stats'!B:B,'Base stats'!E:E),Groups!A:A,Groups!BA:BA),"True","False")</f>
        <v>False</v>
      </c>
    </row>
    <row r="172" spans="1:88" ht="16.5" thickTop="1" thickBot="1" x14ac:dyDescent="0.3">
      <c r="A172" s="26" t="str">
        <f>_xlfn.XLOOKUP(B172,'Base stats'!B:B,'Base stats'!A:A)</f>
        <v>Paragnathus</v>
      </c>
      <c r="B172" s="6" t="s">
        <v>1172</v>
      </c>
      <c r="C172" s="28" t="s">
        <v>1174</v>
      </c>
      <c r="D172" s="28" t="s">
        <v>1166</v>
      </c>
      <c r="E172" s="28" t="s">
        <v>1167</v>
      </c>
      <c r="F172" s="28" t="s">
        <v>1168</v>
      </c>
      <c r="G172" s="28" t="s">
        <v>673</v>
      </c>
      <c r="H172" s="2">
        <f>MROUND((
  (IF(AND(_xlfn.XLOOKUP(B172,'Base stats'!B:B,'Base stats'!AL:AL)=0,BI172="None",_xlfn.XLOOKUP(_xlfn.XLOOKUP(B172,'Base stats'!B:B,'Base stats'!E:E),Groups!A:A,Groups!B:B)=0), (18 + BR172 * 2.7) * 0.5,
    IF(AND(_xlfn.XLOOKUP(B172,'Base stats'!B:B,'Base stats'!AL:AL)=0,OR(AO172&lt;0.55,AND(BI172="Intermediate",_xlfn.XLOOKUP(_xlfn.XLOOKUP(B172,'Base stats'!B:B,'Base stats'!E:E),Groups!A:A,Groups!B:B)&lt;2))), (18 + BR172 * 2.7),
      IF(OR(BI172="Advanced",_xlfn.XLOOKUP(B172,'Base stats'!B:B,'Base stats'!AL:AL)=1,_xlfn.XLOOKUP(_xlfn.XLOOKUP(B172,'Base stats'!B:B,'Base stats'!E:E),Groups!A:A,Groups!B:B)=2), (18 + BR172 * 2.7) + 250, (18 + BR172 * 2.7))
    )
  ))
  + AO172 * 80
  + IF(COUNTIF(EggMilk!K$2:K$998, A172) &gt; 0, 125, 0)
  + IF(COUNTIF(EggMilk!P$2:P$998, A172) &gt; 0, 90, 0)
  + IF(COUNTIF(EggMilk!A$2:A$998, A172) &gt; 0, 90, 0)
)
* (0.8 + 0.4 * J172)
* 0.75,25)</f>
        <v>1350</v>
      </c>
      <c r="I172" s="2">
        <f>MROUND(ROUNDDOWN(_xlfn.XLOOKUP(B172,'Base stats'!B:B,'Base stats'!L:L)/3.6/(23.3/11),1),0.5)</f>
        <v>4.5</v>
      </c>
      <c r="J172" s="2">
        <f>IF(OR(_xlfn.XLOOKUP(B172,'Base stats'!B:B,'Base stats'!AB:AB)=1,_xlfn.XLOOKUP(_xlfn.XLOOKUP(B172,'Base stats'!B:B,'Base stats'!E:E),Groups!A:A,Groups!C:C)="Untamable"),1,IF(_xlfn.XLOOKUP(B172,'Base stats'!B:B,'Base stats'!AL:AL)=1,0.99,MIN(MROUND((1-0.6282*EXP(-0.459*AO172))*_xlfn.XLOOKUP(_xlfn.XLOOKUP(B172,'Base stats'!B:B,'Base stats'!E:E),Groups!A:A,Groups!C:C)*IF(_xlfn.XLOOKUP(B172,'Base stats'!B:B,'Base stats'!O:O)=1,0.5,IF(_xlfn.XLOOKUP(B172,'Base stats'!B:B,'Base stats'!O:O)=2,0,1)),0.05),IF(AO172&gt;3.5,0.985,0.95))))</f>
        <v>1</v>
      </c>
      <c r="K172" s="2">
        <f>ROUNDUP(AO172*_xlfn.XLOOKUP(_xlfn.XLOOKUP(B172,'Base stats'!B:B,'Base stats'!E:E),Groups!A:A,Groups!E:E),0)</f>
        <v>7</v>
      </c>
      <c r="L172" s="2">
        <f>IF(OR(_xlfn.XLOOKUP(_xlfn.XLOOKUP(B172,'Base stats'!B:B,'Base stats'!E:E),Groups!A:A,Groups!F:F)=2,ISNUMBER(SEARCH("SeaIce",BX172)),ISNUMBER(SEARCH("IceSheet",BX172))),-50,IF(OR(ISNUMBER(SEARCH("GlacialPlain",BX172)),ISNUMBER(SEARCH("Tundra",BX172))),-40,IF(OR(ISNUMBER(SEARCH("Alpine",BX172)),ISNUMBER(SEARCH("BorealForest",BX172)),ISNUMBER(SEARCH("ColdBog",BX172))),-30,IF(OR(ISNUMBER(SEARCH("TemperateForest",BX172)),ISNUMBER(SEARCH("TemperateSwamp",BX172))),-20,IF(_xlfn.XLOOKUP(_xlfn.XLOOKUP(B172,'Base stats'!B:B,'Base stats'!E:E),Groups!A:A,Groups!F:F)=1,-15,IF(OR(ISNUMBER(SEARCH("Desert",BX172)),ISNUMBER(SEARCH("ExtremeDesert",BX172))),-10,IF(OR(ISNUMBER(SEARCH("Grasslands",BX172)),ISNUMBER(SEARCH("TropicalRainforest",BX172)),ISNUMBER(SEARCH("TropicalSwamp",BX172))),10,0)))))))-IF(CC172="False",MIN(IFERROR(MAX(MROUND(LOG10(_xlfn.XLOOKUP(B172,'Base stats'!B:B,'Base stats'!C:C)^(2/3))*10,5),5),5),30))-_xlfn.XLOOKUP(B172,'Base stats'!B:B,'Base stats'!P:P)+IF(CC172="True",5,0)</f>
        <v>-165</v>
      </c>
      <c r="M172" s="2">
        <f>IF(OR(_xlfn.XLOOKUP(_xlfn.XLOOKUP(B172,'Base stats'!B:B,'Base stats'!E:E),Groups!A:A,Groups!G:G)=2,ISNUMBER(SEARCH("Desert",BX172)),ISNUMBER(SEARCH("ExtremeDesert",BX172)),ISNUMBER(SEARCH("LavaField",BX172))),50,IF(ISNUMBER(SEARCH("Grasslands",BX172)),45,IF(OR(_xlfn.XLOOKUP(_xlfn.XLOOKUP(B172,'Base stats'!B:B,'Base stats'!E:E),Groups!A:A,Groups!G:G)=1,ISNUMBER(SEARCH("TropicalRainforest",BX172)),ISNUMBER(SEARCH("TropicalSwamp",BX172))),40,IF(OR(ISNUMBER(SEARCH("TemperateForest",BX172)),ISNUMBER(SEARCH("TemperateSwamp",BX172))),35,IF(OR(ISNUMBER(SEARCH("Alpine",BX172)),ISNUMBER(SEARCH("BorealForest",BX172)),ISNUMBER(SEARCH("ColdBog",BX172))),30,IF(ISNUMBER(OR(ISNUMBER(SEARCH("GlacialPlain",BX172)),SEARCH("Tundra",BX172))),25,IF(OR(ISNUMBER(SEARCH("SeaIce",BX172)),ISNUMBER(SEARCH("IceSheet",BX172)),ISNUMBER(SEARCH("TropicalSwamp",BX172))),10,35)))))))+_xlfn.XLOOKUP(B172,'Base stats'!B:B,'Base stats'!Q:Q)</f>
        <v>150</v>
      </c>
      <c r="N172" s="8">
        <f>IF(
_xlfn.XLOOKUP(
_xlfn.XLOOKUP(B172,'Base stats'!B:B,'Base stats'!E:E),
Groups!A:A,
Groups!L:L
)=1,
MIN(
MROUND(
IF(
_xlfn.XLOOKUP(B172,'Animals CE'!B:B,'Animals CE'!Z:Z)&lt;=1.5,
_xlfn.XLOOKUP(B172,'Animals CE'!B:B,'Animals CE'!Z:Z)/2+0.05,
0.8+
(_xlfn.XLOOKUP(B172,'Animals CE'!B:B,'Animals CE'!Z:Z)-1.5)
*0.02
),
0.05
),
200%
),
"No"
)</f>
        <v>0.85000000000000009</v>
      </c>
      <c r="O172" s="8">
        <f>IF(
_xlfn.XLOOKUP(
_xlfn.XLOOKUP(B172,'Base stats'!B:B,'Base stats'!E:E),
Groups!A:A,
Groups!L:L
)=1,
MIN(
MROUND(
IF(
_xlfn.XLOOKUP(B172,'Animals CE'!B:B,'Animals CE'!AA:AA)&lt;=1.5,
_xlfn.XLOOKUP(B172,'Animals CE'!B:B,'Animals CE'!AA:AA)/2+0.05,
0.8+
(_xlfn.XLOOKUP(B172,'Animals CE'!B:B,'Animals CE'!AA:AA)-1.5)
*0.02
),
0.05
),
200%
),
"No"
)</f>
        <v>1.05</v>
      </c>
      <c r="P172" s="2">
        <f>_xlfn.XLOOKUP(B172,'Base stats'!B:B,'Base stats'!R:R)</f>
        <v>1</v>
      </c>
      <c r="Q172" s="13">
        <f>MROUND((LOG10(_xlfn.XLOOKUP(B172,'Base stats'!B:B,'Base stats'!AR:AR))*(AO172^0.5)+(_xlfn.XLOOKUP(B172,'Base stats'!B:B,'Base stats'!AR:AR)/1000)^(2/3)+_xlfn.XLOOKUP(B172,'Base stats'!B:B,'Base stats'!BA:BA)/2)+0.5,0.5)</f>
        <v>8.5</v>
      </c>
      <c r="R172" s="7">
        <f>IF(Q172="No","No",MAX(1,MROUND(_xlfn.XLOOKUP(B172,'Base stats'!B:B,'Base stats'!C:C)^0.165,0.05)))</f>
        <v>2.15</v>
      </c>
      <c r="S172" s="13" t="str">
        <f>IF(_xlfn.XLOOKUP(_xlfn.XLOOKUP(B172,'Base stats'!B:B,'Base stats'!E:E),Groups!A:A,Groups!P:P)=0,"No",MROUND((LOG10(_xlfn.XLOOKUP(B172,'Base stats'!B:B,'Base stats'!AS:AS))*(AO172^0.5)+(_xlfn.XLOOKUP(B172,'Base stats'!B:B,'Base stats'!AS:AS)/1000)^(2/3)+_xlfn.XLOOKUP(B172,'Base stats'!B:B,'Base stats'!BA:BA))+_xlfn.XLOOKUP(B172,'Base stats'!B:B,'Base stats'!AY:AY)+0.5,0.5))</f>
        <v>No</v>
      </c>
      <c r="T172" s="7" t="str">
        <f>IF(S172="No","No",MAX(_xlfn.XLOOKUP(_xlfn.XLOOKUP(B172,'Base stats'!B:B,'Base stats'!E:E),Groups!A:A,Groups!Q:Q),MROUND(_xlfn.XLOOKUP(_xlfn.XLOOKUP(B172,'Base stats'!B:B,'Base stats'!E:E),Groups!A:A,Groups!Q:Q)*_xlfn.XLOOKUP(B172,'Base stats'!B:B,'Base stats'!C:C)^0.165,0.05)))</f>
        <v>No</v>
      </c>
      <c r="U172" s="7" t="str">
        <f>IF(S172="No","No",_xlfn.XLOOKUP(_xlfn.XLOOKUP(B172,'Base stats'!B:B,'Base stats'!E:E),Groups!A:A,Groups!R:R))</f>
        <v>No</v>
      </c>
      <c r="V172" s="7" t="str">
        <f>IF(S172="No","No",_xlfn.XLOOKUP(_xlfn.XLOOKUP(B172,'Base stats'!B:B,'Base stats'!E:E),Groups!A:A,Groups!S:S))</f>
        <v>No</v>
      </c>
      <c r="W172" s="7" t="str">
        <f>IF(S172="No","No",_xlfn.XLOOKUP(_xlfn.XLOOKUP(B172,'Base stats'!B:B,'Base stats'!E:E),Groups!A:A,Groups!T:T))</f>
        <v>No</v>
      </c>
      <c r="X172" s="13" t="str">
        <f>IF(_xlfn.XLOOKUP(B172,'Base stats'!B:B,'Base stats'!W:W)="No","No",MROUND((LOG10(_xlfn.XLOOKUP(B172,'Base stats'!B:B,'Base stats'!AU:AU))*(AO172^0.5)+(_xlfn.XLOOKUP(B172,'Base stats'!B:B,'Base stats'!AU:AU)/1000)^(2/3)+_xlfn.XLOOKUP(B172,'Base stats'!B:B,'Base stats'!AZ:AZ))+0.5+IF(_xlfn.XLOOKUP(_xlfn.XLOOKUP(B172,'Base stats'!B:B,'Base stats'!E:E),Groups!A:A,Groups!U:U)&lt;&gt;3,_xlfn.XLOOKUP(B172,'Base stats'!B:B,'Base stats'!BA:BA),0),0.5))</f>
        <v>No</v>
      </c>
      <c r="Y172" s="7" t="str">
        <f>IF(X172="No","No",MAX(_xlfn.XLOOKUP(_xlfn.XLOOKUP(B172,'Base stats'!B:B,'Base stats'!E:E),Groups!A:A,Groups!V:V),MROUND(_xlfn.XLOOKUP(_xlfn.XLOOKUP(B172,'Base stats'!B:B,'Base stats'!E:E),Groups!A:A,Groups!V:V)*_xlfn.XLOOKUP(B172,'Base stats'!B:B,'Base stats'!C:C)^0.165,0.05)))</f>
        <v>No</v>
      </c>
      <c r="Z172" s="7" t="str">
        <f>IF(X172="No","No",_xlfn.XLOOKUP(_xlfn.XLOOKUP(B172,'Base stats'!B:B,'Base stats'!E:E),Groups!A:A,Groups!W:W))</f>
        <v>No</v>
      </c>
      <c r="AA172" s="7" t="str">
        <f>IF(X172="No","No",_xlfn.XLOOKUP(_xlfn.XLOOKUP(B172,'Base stats'!B:B,'Base stats'!E:E),Groups!A:A,Groups!X:X))</f>
        <v>No</v>
      </c>
      <c r="AB172" s="7" t="str">
        <f>IF(X172="No","No",_xlfn.XLOOKUP(_xlfn.XLOOKUP(B172,'Base stats'!B:B,'Base stats'!E:E),Groups!A:A,Groups!Y:Y))</f>
        <v>No</v>
      </c>
      <c r="AC172" s="7" t="str">
        <f>_xlfn.XLOOKUP(Animals!B172,'Base stats'!B:B,'Base stats'!X:X)</f>
        <v>False</v>
      </c>
      <c r="AD172" s="13">
        <f>IF(_xlfn.XLOOKUP(B172,'Base stats'!B:B,'Base stats'!AT:AT)="No","No",MROUND((LOG10(_xlfn.XLOOKUP(B172,'Base stats'!B:B,'Base stats'!AT:AT))*(AO172^0.75)+(_xlfn.XLOOKUP(B172,'Base stats'!B:B,'Base stats'!AT:AT)/1000)^(2/3)+_xlfn.XLOOKUP(B172,'Base stats'!B:B,'Base stats'!AX:AX)+_xlfn.XLOOKUP(B172,'Base stats'!B:B,'Base stats'!BA:BA))+0.5,0.5))</f>
        <v>17.5</v>
      </c>
      <c r="AE172" s="7">
        <f>IF(AD172="No","No",MAX(_xlfn.XLOOKUP(_xlfn.XLOOKUP(B172,'Base stats'!B:B,'Base stats'!E:E),Groups!A:A,Groups!Z:Z),MROUND(_xlfn.XLOOKUP(_xlfn.XLOOKUP(B172,'Base stats'!B:B,'Base stats'!E:E),Groups!A:A,Groups!Z:Z)*_xlfn.XLOOKUP(B172,'Base stats'!B:B,'Base stats'!C:C)^0.165,0.05)))</f>
        <v>1.7000000000000002</v>
      </c>
      <c r="AF172" s="7" t="str">
        <f>IF(AD172="No","No",_xlfn.XLOOKUP(_xlfn.XLOOKUP(B172,'Base stats'!B:B,'Base stats'!E:E),Groups!A:A,Groups!AA:AA))</f>
        <v>TongueAttackTool</v>
      </c>
      <c r="AG172" s="7" t="str">
        <f>IF(AD172="No","No",_xlfn.XLOOKUP(_xlfn.XLOOKUP(B172,'Base stats'!B:B,'Base stats'!E:E),Groups!A:A,Groups!AB:AB))</f>
        <v>tongue</v>
      </c>
      <c r="AH172" s="7" t="str">
        <f>IF(AD172="No","No",_xlfn.XLOOKUP(_xlfn.XLOOKUP(B172,'Base stats'!B:B,'Base stats'!E:E),Groups!A:A,Groups!AC:AC))</f>
        <v>Scratch</v>
      </c>
      <c r="AI172" s="13" t="str">
        <f>IF(_xlfn.XLOOKUP(_xlfn.XLOOKUP(B172,'Base stats'!B:B,'Base stats'!E:E),Groups!A:A,Groups!AD:AD)=0,"No",MROUND((LOG10(_xlfn.XLOOKUP(B172,'Base stats'!B:B,'Base stats'!AS:AS))*(AO172^0.75)+(_xlfn.XLOOKUP(B172,'Base stats'!B:B,'Base stats'!AS:AS)/1000)^(2/3)+_xlfn.XLOOKUP(B172,'Base stats'!B:B,'Base stats'!AY:AY)+_xlfn.XLOOKUP(B172,'Base stats'!B:B,'Base stats'!BA:BA))+0.5,0.5))</f>
        <v>No</v>
      </c>
      <c r="AJ172" s="7" t="str">
        <f>IF(AI172="No","No",MAX(_xlfn.XLOOKUP(_xlfn.XLOOKUP(B172,'Base stats'!B:B,'Base stats'!E:E),Groups!A:A,Groups!AE:AE),MROUND(_xlfn.XLOOKUP(_xlfn.XLOOKUP(B172,'Base stats'!B:B,'Base stats'!E:E),Groups!A:A,Groups!AE:AE)*IF(_xlfn.XLOOKUP(_xlfn.XLOOKUP(B172,'Base stats'!B:B,'Base stats'!E:E),Groups!A:A,Groups!AJ:AJ)="Photonozoa",0.6,1)*_xlfn.XLOOKUP(B172,'Base stats'!B:B,'Base stats'!C:C)^0.165,0.05)))</f>
        <v>No</v>
      </c>
      <c r="AK172" s="7" t="str">
        <f>IF(AI172="No","No",_xlfn.XLOOKUP(_xlfn.XLOOKUP(B172,'Base stats'!B:B,'Base stats'!E:E),Groups!A:A,Groups!AF:AF))</f>
        <v>No</v>
      </c>
      <c r="AL172" s="7" t="str">
        <f>IF(AI172="No","No",_xlfn.XLOOKUP(_xlfn.XLOOKUP(B172,'Base stats'!B:B,'Base stats'!E:E),Groups!A:A,Groups!AG:AG))</f>
        <v>No</v>
      </c>
      <c r="AM172" s="7" t="str">
        <f>IF(AI172="No","No",_xlfn.XLOOKUP(_xlfn.XLOOKUP(B172,'Base stats'!B:B,'Base stats'!E:E),Groups!A:A,Groups!AH:AH))</f>
        <v>No</v>
      </c>
      <c r="AN172" s="2" t="str">
        <f t="shared" si="14"/>
        <v>No</v>
      </c>
      <c r="AO172" s="2">
        <f>MROUND(IF(AND(_xlfn.XLOOKUP(B172,'Base stats'!B:B,'Base stats'!C:C)&gt;=0.5,_xlfn.XLOOKUP(B172,'Base stats'!B:B,'Base stats'!C:C)&lt;=0.8),
IF(_xlfn.XLOOKUP(B172,'Base stats'!B:B,'Base stats'!C:C)&lt;0.1,0.05,IF(_xlfn.XLOOKUP(B172,'Base stats'!B:B,'Base stats'!C:C)&lt;=70,(_xlfn.XLOOKUP(B172,'Base stats'!B:B,'Base stats'!C:C)/70)^0.426489913056526,IF(_xlfn.XLOOKUP(B172,'Base stats'!B:B,'Base stats'!C:C)&lt;=400,(_xlfn.XLOOKUP(B172,'Base stats'!B:B,'Base stats'!C:C)/70)^0.572811455315093,IF(_xlfn.XLOOKUP(B172,'Base stats'!B:B,'Base stats'!C:C)&lt;=2000,2.71391647193063*(_xlfn.XLOOKUP(B172,'Base stats'!B:B,'Base stats'!C:C)/400)^0.252459582904293,3.74314280240376*(_xlfn.XLOOKUP(B172,'Base stats'!B:B,'Base stats'!C:C)/2000)^0.357012633876913)))),
IF(_xlfn.XLOOKUP(B172,'Base stats'!B:B,'Base stats'!C:C)&lt;0.1,0.05,IF(_xlfn.XLOOKUP(B172,'Base stats'!B:B,'Base stats'!C:C)&lt;0.4,0.1,IF(_xlfn.XLOOKUP(B172,'Base stats'!B:B,'Base stats'!C:C)&lt;=70,(_xlfn.XLOOKUP(B172,'Base stats'!B:B,'Base stats'!C:C)/70)^0.445823913056526,IF(_xlfn.XLOOKUP(B172,'Base stats'!B:B,'Base stats'!C:C)&lt;=400,(_xlfn.XLOOKUP(B172,'Base stats'!B:B,'Base stats'!C:C)/70)^0.572811455315093,IF(_xlfn.XLOOKUP(B172,'Base stats'!B:B,'Base stats'!C:C)&lt;=2000,2.71391647193063*(_xlfn.XLOOKUP(B172,'Base stats'!B:B,'Base stats'!C:C)/400)^0.252459582904293,3.74314280240376*(_xlfn.XLOOKUP(B172,'Base stats'!B:B,'Base stats'!C:C)/2000)^0.357012633876913)))))),
IF(_xlfn.XLOOKUP(B172,'Base stats'!B:B,'Base stats'!C:C)&lt;0.1,0.05,IF(_xlfn.XLOOKUP(B172,'Base stats'!B:B,'Base stats'!C:C)&lt;=100,0.05,IF(_xlfn.XLOOKUP(B172,'Base stats'!B:B,'Base stats'!C:C)&lt;=250,0.1,IF(_xlfn.XLOOKUP(B172,'Base stats'!B:B,'Base stats'!C:C)&lt;=4000,0.25,0.5)))))</f>
        <v>1.25</v>
      </c>
      <c r="AP172" s="8">
        <f>MROUND(AO172*_xlfn.XLOOKUP(_xlfn.XLOOKUP(B172,'Base stats'!B:B,'Base stats'!E:E),Groups!A:A,Groups!AI:AI)*_xlfn.XLOOKUP(B172,'Base stats'!B:B,'Base stats'!Z:Z),0.05)</f>
        <v>1.25</v>
      </c>
      <c r="AQ172" s="8">
        <f>MAX(0.01,MROUND(IF(CC172="True",0.196*(AO172*100*1000)^0.889,IF(_xlfn.XLOOKUP(_xlfn.XLOOKUP(B172,'Base stats'!B:B,'Base stats'!E:E),Groups!A:A,Groups!AJ:AJ)="Bird",10.5*(AO172*100*1000)^0.681,4.82*(AO172*100*1000)^0.734))/(4.82*(1*100*1000)^0.734)/IF(AO172&lt;3.5,2,IF(AO172=3.5,1.5,1.25))*(1+0.132282374779864/(AO172^0.994035016789033+0.00905238001496948)),0.05))</f>
        <v>0.65</v>
      </c>
      <c r="AR172" s="9">
        <f>IFERROR(MROUND(_xlfn.XLOOKUP(B172,'Base stats'!B:B,'Base stats'!H:H)/IF(_xlfn.XLOOKUP(B172,'Base stats'!B:B,'Base stats'!I:I)&lt;&gt;1,(122.5/70),1.2),IF(_xlfn.XLOOKUP(B172,'Base stats'!B:B,'Base stats'!H:H)&gt;=30,5,IF(_xlfn.XLOOKUP(B172,'Base stats'!B:B,'Base stats'!H:H)&gt;=15,3,IF(_xlfn.XLOOKUP(B172,'Base stats'!B:B,'Base stats'!H:H)&gt;=10,2,1)))),"Immortal")</f>
        <v>3</v>
      </c>
      <c r="AS172" s="35" t="str">
        <f>IFERROR(IF(OR(_xlfn.XLOOKUP(B172,'Base stats'!B:B,'Base stats'!F:F)="Atypical reproduction",_xlfn.XLOOKUP(B172,'Base stats'!B:B,'Base stats'!F:F)="Lay eggs"),"Lay eggs",MIN(20,MAX(5.5,ROUND(((_xlfn.XLOOKUP(B172,'Base stats'!B:B,'Base stats'!F:F)-25)*(14.5/615) + 5.5)*2,0)/2))),"Unknown")</f>
        <v>Lay eggs</v>
      </c>
      <c r="AT172" s="8">
        <f>IF(_xlfn.XLOOKUP(B172,'Base stats'!B:B,'Base stats'!G:G)="Atypical reproduction","No",IFERROR(MAX(IF(_xlfn.XLOOKUP(B172,'Base stats'!B:B,'Base stats'!G:G)&lt;0.5,0.2,0.3),MROUND(_xlfn.XLOOKUP(B172,'Base stats'!B:B,'Base stats'!G:G)/(365/60),0.2)),"Unknown"))</f>
        <v>0.4</v>
      </c>
      <c r="AU172" s="8">
        <f t="shared" si="15"/>
        <v>0.2</v>
      </c>
      <c r="AV172" s="8" t="str">
        <f>IFERROR(IFERROR(MROUND(_xlfn.XLOOKUP(B172,'Base stats'!B:B,'Base stats'!J:J),0.1),"Lay eggs"),"Cannot breed")</f>
        <v>Lay eggs</v>
      </c>
      <c r="AW172" s="2" t="str">
        <f t="shared" si="16"/>
        <v>false</v>
      </c>
      <c r="AX172" s="2" t="str">
        <f>IF(_xlfn.XLOOKUP(_xlfn.XLOOKUP(Animals!B172,'Base stats'!B:B,'Base stats'!E:E),Groups!A:A,Groups!AK:AK)=1,"true","false")</f>
        <v>false</v>
      </c>
      <c r="AY172" s="25" t="str">
        <f>IF(_xlfn.XLOOKUP(B172,'Base stats'!B:B,'Base stats'!Y:Y)="Liquor","Liquor, CarnivoreAnimalStrict",IF(AND(_xlfn.XLOOKUP(B172,'Base stats'!B:B,'Base stats'!Y:Y)="Carnivore",_xlfn.XLOOKUP(_xlfn.XLOOKUP(B172,'Base stats'!B:B,'Base stats'!E:E),Groups!A:A,Groups!AJ:AJ)="Photonozoa"),"CarnivoreAnimalStrict, OvivoreAnimal",IF(_xlfn.XLOOKUP(B172,'Base stats'!B:B,'Base stats'!Y:Y)="Carnivore","CarnivoreAnimal, OvivoreAnimal",IF(_xlfn.XLOOKUP(B172,'Base stats'!B:B,'Base stats'!Y:Y)="Dendrovore","VegetarianRoughAnimal, DendrovoreAnimal",IF(_xlfn.XLOOKUP(B172,'Base stats'!B:B,'Base stats'!Y:Y)="Herbivore","VegetarianRoughAnimal",IF(_xlfn.XLOOKUP(B172,'Base stats'!B:B,'Base stats'!Y:Y)="OmnivoreRough","OmnivoreRoughAnimal, OvivoreAnimal","OmnivoreAnimal, OvivoreAnimal"))))))</f>
        <v>OmnivoreRoughAnimal, OvivoreAnimal</v>
      </c>
      <c r="AZ172" s="2" t="str">
        <f>IF(_xlfn.XLOOKUP(_xlfn.XLOOKUP(B172,'Base stats'!B:B,'Base stats'!E:E),Groups!A:A,Groups!D:D)=1,MROUND((1-J172)*5+1,2)*IF(J172&lt;=0.4,2,1),"No")</f>
        <v>No</v>
      </c>
      <c r="BA172" s="2" t="str">
        <f>IF(AND(_xlfn.XLOOKUP(B172,'Base stats'!B:B,'Base stats'!AH:AH)="&lt;li&gt;Seal&lt;/li&gt;",G172="Odyssey"),"&lt;li&gt;AEXP_Seal&lt;/li&gt;",_xlfn.XLOOKUP(B172,'Base stats'!B:B,'Base stats'!AH:AH))</f>
        <v>No</v>
      </c>
      <c r="BB172" s="2" t="str">
        <f>_xlfn.XLOOKUP(B172,'Base stats'!B:B,'Base stats'!AG:AG)</f>
        <v>Leather_Photonozoa</v>
      </c>
      <c r="BC172" s="23" t="str">
        <f>_xlfn.XLOOKUP(_xlfn.XLOOKUP(B172,'Base stats'!B:B,'Base stats'!E:E),Groups!A:A,Groups!AL:AL)</f>
        <v>Paragnathus</v>
      </c>
      <c r="BD172" s="23">
        <f>MIN(1,MROUND(IF(AND(AO172&lt;0.5,_xlfn.XLOOKUP(B172,'Base stats'!B:B,'Base stats'!AA:AA)=0),0,IF(OR(_xlfn.XLOOKUP(Animals!B172,'Base stats'!B:B,'Base stats'!O:O)=2,_xlfn.XLOOKUP(_xlfn.XLOOKUP(B172,'Base stats'!B:B,'Base stats'!E:E),Groups!A:A,Groups!AN:AN)=0),0,_xlfn.XLOOKUP(_xlfn.XLOOKUP(B172,'Base stats'!B:B,'Base stats'!E:E),Groups!A:A,Groups!AN:AN)/IF(_xlfn.XLOOKUP(Animals!B172,'Base stats'!B:B,'Base stats'!O:O)=1,2,1)))+_xlfn.XLOOKUP(B172,'Base stats'!B:B,'Base stats'!AC:AC),0.005))</f>
        <v>2.5000000000000001E-2</v>
      </c>
      <c r="BE172" s="23">
        <f>MIN(1,MROUND(IF(AND(AO172&lt;0.5,_xlfn.XLOOKUP(B172,'Base stats'!B:B,'Base stats'!AA:AA)=0),0,IF(_xlfn.XLOOKUP(_xlfn.XLOOKUP(B172,'Base stats'!B:B,'Base stats'!E:E),Groups!A:A,Groups!AO:AO)=0,0,_xlfn.XLOOKUP(_xlfn.XLOOKUP(B172,'Base stats'!B:B,'Base stats'!E:E),Groups!A:A,Groups!AO:AO)/IF(_xlfn.XLOOKUP(Animals!B172,'Base stats'!B:B,'Base stats'!O:O)=2,3,1)))+_xlfn.XLOOKUP(B172,'Base stats'!B:B,'Base stats'!AD:AD),0.005))</f>
        <v>0.1</v>
      </c>
      <c r="BF172" s="2" t="str">
        <f>IF(J172&gt;0.3,"No",_xlfn.XLOOKUP(_xlfn.XLOOKUP(Animals!B172,'Base stats'!B:B,'Base stats'!E:E),Groups!A:A,Groups!AP:AP))</f>
        <v>No</v>
      </c>
      <c r="BG172" s="2" t="str">
        <f>IF(AND(J172&lt;=0.65,_xlfn.XLOOKUP(_xlfn.XLOOKUP(Animals!B172,'Base stats'!B:B,'Base stats'!E:E),Groups!A:A,Groups!AP:AP)&lt;&gt;"No",_xlfn.XLOOKUP(_xlfn.XLOOKUP(B172,'Base stats'!B:B,'Base stats'!E:E),Groups!A:A,Groups!D:D)=0),MROUND((80/3)*IF(_xlfn.XLOOKUP(B172,'Base stats'!B:B,'Base stats'!O:O)=2,0.2,AO172) + 24*(1-IF(BF172="No",0,BF172)) + 16/3, 12),"No")</f>
        <v>No</v>
      </c>
      <c r="BH172" s="2">
        <f>IF(AND(_xlfn.XLOOKUP(_xlfn.XLOOKUP(B172,'Base stats'!B:B,'Base stats'!E:E),Groups!A:A,Groups!AQ:AQ)=1,AO172&lt;=0.35),8,12)</f>
        <v>12</v>
      </c>
      <c r="BI172" s="2" t="str">
        <f>IF(_xlfn.XLOOKUP(_xlfn.XLOOKUP(B172,'Base stats'!B:B,'Base stats'!E:E),Groups!A:A,Groups!D:D)=0,_xlfn.XLOOKUP(_xlfn.XLOOKUP(B172,'Base stats'!B:B,'Base stats'!E:E),Groups!A:A,Groups!AR:AR),"None")</f>
        <v>Intermediate</v>
      </c>
      <c r="BJ172" s="2" t="str">
        <f>IF(AND(_xlfn.XLOOKUP(_xlfn.XLOOKUP(B172,'Base stats'!B:B,'Base stats'!E:E),Groups!A:A,Groups!AS:AS)=1,OR(_xlfn.XLOOKUP(B172,'Base stats'!B:B,'Base stats'!Y:Y)="Carnivore",_xlfn.XLOOKUP(B172,'Base stats'!B:B,'Base stats'!Y:Y)="Omnivore")),"true","false")</f>
        <v>false</v>
      </c>
      <c r="BK172" s="2" t="str">
        <f>IF(BJ172="true",MROUND(IF(AND(AO172&gt;0.5,OR(_xlfn.XLOOKUP(_xlfn.XLOOKUP(B172,'Base stats'!B:B,'Base stats'!E:E),Groups!A:A,Groups!AJ:AJ)="Photonozoa",_xlfn.XLOOKUP(_xlfn.XLOOKUP(B172,'Base stats'!B:B,'Base stats'!E:E),Groups!A:A,Groups!AJ:AJ)="Mammal")),Animals!AO172*1.75*IF(AW172="true",1.5,1),IF(AO172&lt;0.5,Animals!AO172*0.5,Animals!AO172)),IF(AO172&gt;2,0.5,IF(AO172&gt;0.5,0.25,0.1))),"No")</f>
        <v>No</v>
      </c>
      <c r="BL172" s="2">
        <f t="shared" si="17"/>
        <v>1</v>
      </c>
      <c r="BM172" s="25" t="str">
        <f>IF(_xlfn.XLOOKUP(B172,'Base stats'!B:B,'Base stats'!AN:AN)="Standard","No",MROUND((_xlfn.XLOOKUP(B172,'Base stats'!B:B,'Base stats'!AN:AN)/3.6)/I172,0.1))</f>
        <v>No</v>
      </c>
      <c r="BN172" s="25" t="str">
        <f t="shared" si="18"/>
        <v>false</v>
      </c>
      <c r="BO172" s="25" t="str">
        <f>IF(AND(OR(_xlfn.XLOOKUP(B172,'Base stats'!B:B,'Base stats'!Y:Y)="Carnivore",_xlfn.XLOOKUP(B172,'Base stats'!B:B,'Base stats'!Y:Y)="Omnivore",_xlfn.XLOOKUP(B172,'Base stats'!B:B,'Base stats'!Y:Y)="OmnivoreRough"),_xlfn.XLOOKUP(_xlfn.XLOOKUP(B172,'Base stats'!B:B,'Base stats'!E:E),Groups!A:A,Groups!AT:AT)=1),"true","false")</f>
        <v>false</v>
      </c>
      <c r="BP172" s="25" t="str" cm="1">
        <f t="array" ref="BP172">IF(
  _xlfn.TEXTJOIN(", ",TRUE,
    IF(AND(BJ172="true",AO172&gt;0.5,BI172&lt;&gt;"None"),"AttackTarget",""),
    IF(AND(_xlfn.XLOOKUP(_xlfn.XLOOKUP(B172,'Base stats'!B:B,'Base stats'!E:E),Groups!A:A,Groups!AJ:AJ="Mammal"),OR(_xlfn.XLOOKUP(B172,'Base stats'!B:B,'Base stats'!Y:Y)="Omnivore",_xlfn.XLOOKUP(B172,'Base stats'!B:B,'Base stats'!Y:Y)="OmnivoreRough")),"Forage",""),
    IF(BG172&lt;=36,"Comfort",""),
    IF(_xlfn.XLOOKUP(B172,'Base stats'!B:B,'Base stats'!AE:AE)&lt;&gt;"No",_xlfn.XLOOKUP(B172,'Base stats'!B:B,'Base stats'!AE:AE),"")
  ) = "",
  "No",
  _xlfn.TEXTJOIN(", ",TRUE,
    IF(AND(BJ172="true",AO172&gt;0.5,BI172&lt;&gt;"None"),"AttackTarget",""),
    IF(AND(_xlfn.XLOOKUP(_xlfn.XLOOKUP(B172,'Base stats'!B:B,'Base stats'!E:E),Groups!A:A,Groups!AJ:AJ="Mammal"),OR(_xlfn.XLOOKUP(B172,'Base stats'!B:B,'Base stats'!Y:Y)="Omnivore",_xlfn.XLOOKUP(B172,'Base stats'!B:B,'Base stats'!Y:Y)="OmnivoreRough")),"Forage",""),
    IF(BG172&lt;=36,"Comfort",""),
    IF(_xlfn.XLOOKUP(B172,'Base stats'!B:B,'Base stats'!AE:AE)&lt;&gt;"No",_xlfn.XLOOKUP(B172,'Base stats'!B:B,'Base stats'!AE:AE),"")
  )
)</f>
        <v>Dig, Forage, Zoology_Beastmastery</v>
      </c>
      <c r="BQ172" s="25" t="str">
        <f>IF(
   AND(
      'Base stats'!AN172="Standard",_xlfn.XLOOKUP(_xlfn.XLOOKUP(B172,'Base stats'!B:B,'Base stats'!E:E),Groups!A:A,Groups!AU:AU)=0,
      OR(
      BO172="True"
      )
   ),
   10,
   IF(
       OR(BM172&lt;&gt;"No",_xlfn.XLOOKUP(_xlfn.XLOOKUP(B172,'Base stats'!B:B,'Base stats'!E:E),Groups!A:A,Groups!AU:AU)=1),
      1,
      "No"
   )
)</f>
        <v>No</v>
      </c>
      <c r="BR172" s="9">
        <f>MROUND((1 + ((0.2*IF(OR(Q172="No",R172="No",R172=0),0,Q172/R172)
+IF(OR(V172="No",S172="No",T172="No"),0,S172/T172*(LEN(V172)-LEN(SUBSTITUTE(V172,",",""))+1))
+IF(OR(X172="No",Y172="No"),0,X172/Y172)
+IF(OR(AD172="No",AE172="No"),0,AD172/AE172)
+IF(OR(AL172="No",AI172="No",AJ172="No"),0,AI172/AJ172*(LEN(AL172)-LEN(SUBSTITUTE(AL172,",",""))+1))
)/(0.2*IF(OR(Q172="No",R172="No",R172=0),0,1)
+IF(OR(V172="No",S172="No",T172="No"),0,LEN(V172)-LEN(SUBSTITUTE(V172,",",""))+1)
+IF(OR(X172="No",Y172="No"),0,1)
+IF(OR(AD172="No",AE172="No"),0,1)
+IF(OR(AL172="No",AI172="No",AJ172="No"),0,LEN(AL172)-LEN(SUBSTITUTE(AL172,",",""))+1))*62%)* 2)*(1 + (AP172 / (IF(_xlfn.XLOOKUP(_xlfn.XLOOKUP(B172,'Base stats'!B:B,'Base stats'!E:E),Groups!A:A,Groups!AJ:AJ)="Photonozoa",0.3,1)) + _xlfn.XLOOKUP(B172,'Base stats'!B:B,'Base stats'!AV:AV) * 1.8) * 2) * 2.5 + 10 + I172 * 2,5)+IF(_xlfn.XLOOKUP(B172,'Base stats'!B:B,'Base stats'!AK:AK)=1,50,0)</f>
        <v>415</v>
      </c>
      <c r="BS172" s="8">
        <f t="shared" si="19"/>
        <v>0.75</v>
      </c>
      <c r="BT172" s="8" t="str">
        <f>_xlfn.XLOOKUP(B172,'Base stats'!B:B,'Base stats'!AF:AF)</f>
        <v>No</v>
      </c>
      <c r="BU172" s="2" t="str">
        <f>IF(AND(J172&lt;=0.95,OR(_xlfn.XLOOKUP(B172,'Base stats'!B:B,'Base stats'!AK:AK)=1,_xlfn.XLOOKUP(B172,'Base stats'!B:B,'Base stats'!Y:Y)="Carnivore",_xlfn.XLOOKUP(B172,'Base stats'!B:B,'Base stats'!Y:Y)="Omnivore",BE172&gt;0.1)),"true","false")</f>
        <v>false</v>
      </c>
      <c r="BV172" s="2" t="str">
        <f>IF(_xlfn.XLOOKUP(B172,'Base stats'!B:B,'Base stats'!AI:AI)=1,"true","false")</f>
        <v>false</v>
      </c>
      <c r="BW172" s="25" t="str">
        <f>IF(E172="BaseInsect","AnimalInsect",
IF(J172&gt;0.95,"AnimalExotic",
_xlfn.TEXTJOIN(", ",TRUE,
IF(OR(_xlfn.XLOOKUP(B172,'Base stats'!B:B,'Base stats'!AM:AM)=1,AND(_xlfn.XLOOKUP(B172,'Base stats'!B:B,'Base stats'!O:O)=0,_xlfn.XLOOKUP(_xlfn.XLOOKUP(B172,'Base stats'!B:B,'Base stats'!E:E),Groups!A:A,Groups!B:B)&gt;0)),"AnimalUncommon","AnimalCommon"),
IF(AND(_xlfn.XLOOKUP(B172,'Base stats'!B:B,'Base stats'!O:O)=2,_xlfn.XLOOKUP(_xlfn.XLOOKUP(B172,'Base stats'!B:B,'Base stats'!E:E),Groups!A:A,Groups!D:D)=0),"AnimalPet",IF(AND(_xlfn.XLOOKUP(B172,'Base stats'!B:B,'Base stats'!O:O)&lt;&gt;0,_xlfn.XLOOKUP(_xlfn.XLOOKUP(B172,'Base stats'!B:B,'Base stats'!E:E),Groups!A:A,Groups!D:D)&lt;&gt;0),"AnimalFarm","")),
IF(OR(_xlfn.XLOOKUP(B172,'Base stats'!B:B,'Base stats'!AK:AK)=1,AND(BI172&lt;&gt;"None",BR172&gt;=60),ISNUMBER(SEARCH("Attack target",BP172))),"AnimalFighter","")
)))</f>
        <v>AnimalExotic</v>
      </c>
      <c r="BX172" s="25" t="str">
        <f>IF(G172="None",TRIM(
SUBSTITUTE(
IF(COUNTIF(Biomes!B$2:B$259,"="&amp;$C172)&gt;0,Biomes!B$1&amp;", ","")&amp;
IF(COUNTIF(Biomes!C$2:C$259,"="&amp;$C172)&gt;0,Biomes!C$1&amp;", ","")&amp;
IF(COUNTIF(Biomes!D$2:D$259,"="&amp;$C172)&gt;0,Biomes!D$1&amp;", ","")&amp;
IF(COUNTIF(Biomes!F$2:F$259,"="&amp;$C172)&gt;0,Biomes!F$1&amp;", ","")&amp;
IF(COUNTIF(Biomes!G$2:G$259,"="&amp;$C172)&gt;0,Biomes!G$1&amp;", ","")&amp;
IF(COUNTIF(Biomes!H$2:H$259,"="&amp;$C172)&gt;0,Biomes!H$1&amp;", ","")&amp;
IF(COUNTIF(Biomes!I$2:I$259,"="&amp;$C172)&gt;0,Biomes!I$1&amp;", ","")&amp;
IF(COUNTIF(Biomes!J$2:J$259,"="&amp;$C172)&gt;0,Biomes!J$1&amp;", ","")&amp;
IF(COUNTIF(Biomes!M$2:M$259,"="&amp;$C172)&gt;0,Biomes!M$1&amp;", ","")&amp;
IF(COUNTIF(Biomes!N$2:N$259,"="&amp;$C172)&gt;0,Biomes!N$1&amp;", ","")&amp;
IF(COUNTIF(Biomes!O$2:O$259,"="&amp;$C172)&gt;0,Biomes!O$1&amp;", ","")&amp;
IF(COUNTIF(Biomes!P$2:P$259,"="&amp;$C172)&gt;0,Biomes!P$1&amp;", ","")&amp;
IF(COUNTIF(Biomes!K$2:K$259,"="&amp;$C172)&gt;0,Biomes!K$1&amp;", ","")&amp;
IF(COUNTIF(Biomes!Q$3:Q$259,"="&amp;$C172)&gt;0,Biomes!Q$1&amp;", ","")&amp;
IF(COUNTIF(Biomes!L$2:L$259,"="&amp;$C172)&gt;0,Biomes!L$1&amp;", ","")&amp;
IF(COUNTIF(Biomes!E$2:E$259,"="&amp;$C172)&gt;0,Biomes!E$1&amp;", ","")&amp;IF(COUNTIF(Biomes!S$2:S$259,"="&amp;$C172)&gt;0,Biomes!S$1&amp;", ","")&amp;
IF(COUNTIF(Biomes!R$2:R$259,"="&amp;$C172)&gt;0,Biomes!R$1&amp;", ",""),", ","")
),_xlfn.XLOOKUP(B172,B:B,BX:BX))</f>
        <v/>
      </c>
      <c r="BY172" s="25" t="str">
        <f>IF(_xlfn.XLOOKUP(B172,'Base stats'!B:B,'Base stats'!AJ:AJ)=1,"true","false")</f>
        <v>false</v>
      </c>
      <c r="BZ172" s="25">
        <f>IF(_xlfn.XLOOKUP(B172,'Base stats'!B:B,'Base stats'!N:N)=1,"No",MAX(0.001,MIN(MROUND(IF(AND(BJ172="True",CC172="False"),POWER(10,3.47*LOG10(_xlfn.XLOOKUP(B172,'Base stats'!B:B,'Base stats'!C:C)*1000)^-0.96),POWER(10,4.15*LOG10(_xlfn.XLOOKUP(B172,'Base stats'!B:B,'Base stats'!C:C)*1000)^-0.73))*IF(_xlfn.XLOOKUP(B172,'Base stats'!B:B,'Base stats'!AK:AK)=1,0.5,1)*IF(_xlfn.XLOOKUP(B172,'Base stats'!B:B,'Base stats'!AM:AM)=1,0.1,1)/100,IF(_xlfn.XLOOKUP(B172,'Base stats'!B:B,'Base stats'!AM:AM)=1,0.001,0.025)),0.5)))</f>
        <v>0.2</v>
      </c>
      <c r="CA172" s="25">
        <f>IF(P172="Standard","No",MAX(0.001,MIN(MROUND(IF(AND(BJ172="True",CC172="False"),POWER(10,3.47*LOG10(_xlfn.XLOOKUP(B172,'Base stats'!B:B,'Base stats'!C:C)*1000)^-0.96),POWER(10,4.15*LOG10(_xlfn.XLOOKUP(B172,'Base stats'!B:B,'Base stats'!C:C)*1000)^-0.73))*IF(_xlfn.XLOOKUP(B172,'Base stats'!B:B,'Base stats'!AM:AM)=1,0.1,1)*_xlfn.XLOOKUP(B172,'Base stats'!B:B,'Base stats'!R:R)/100,IF(_xlfn.XLOOKUP(B172,'Base stats'!B:B,'Base stats'!AM:AM)=1,0.001,0.025)),0.5)))</f>
        <v>0.2</v>
      </c>
      <c r="CB172" s="25" t="str">
        <f>IF(_xlfn.XLOOKUP(_xlfn.XLOOKUP(B172,'Base stats'!B:B,'Base stats'!E:E),Groups!A:A,Groups!AJ:AJ)="Mammal","True","False")</f>
        <v>False</v>
      </c>
      <c r="CC172" s="25" t="str">
        <f>IF(OR(_xlfn.XLOOKUP(_xlfn.XLOOKUP(B172,'Base stats'!B:B,'Base stats'!E:E),Groups!A:A,Groups!AJ:AJ)="Reptile",_xlfn.XLOOKUP(_xlfn.XLOOKUP(B172,'Base stats'!B:B,'Base stats'!E:E),Groups!A:A,Groups!AJ:AJ)="Amphibian",_xlfn.XLOOKUP(_xlfn.XLOOKUP(B172,'Base stats'!B:B,'Base stats'!E:E),Groups!A:A,Groups!AJ:AJ)="Invertebrate"),"True","False")</f>
        <v>False</v>
      </c>
      <c r="CD172" s="25" t="str">
        <f t="shared" si="20"/>
        <v>True</v>
      </c>
      <c r="CE172" s="25" t="str">
        <f>IF(_xlfn.XLOOKUP(_xlfn.XLOOKUP(B172,'Base stats'!B:B,'Base stats'!E:E),Groups!A:A,Groups!AX:AX),"True","False")</f>
        <v>True</v>
      </c>
      <c r="CF172" s="25" t="str">
        <f>IF(_xlfn.XLOOKUP(_xlfn.XLOOKUP(B172,'Base stats'!B:B,'Base stats'!E:E),Groups!A:A,Groups!AY:AY),"True","False")</f>
        <v>True</v>
      </c>
      <c r="CG172" s="25" t="str">
        <f>IF(_xlfn.XLOOKUP(_xlfn.XLOOKUP(B172,'Base stats'!B:B,'Base stats'!E:E),Groups!A:A,Groups!AW:AW),"True","False")</f>
        <v>True</v>
      </c>
      <c r="CH172" s="25" t="str">
        <f>IF(
OR(
_xlfn.XLOOKUP(_xlfn.XLOOKUP(B172,'Base stats'!B:B,'Base stats'!E:E),Groups!A:A,Groups!AZ:AZ)=0,
AND(
_xlfn.XLOOKUP(B172,'Base stats'!B:B,'Base stats'!Y:Y)&lt;&gt;"Carnivore",
_xlfn.XLOOKUP(B172,'Base stats'!B:B,'Base stats'!Y:Y)&lt;&gt;"Omnivore",
_xlfn.XLOOKUP(B172,'Base stats'!B:B,'Base stats'!Y:Y)&lt;&gt;"OmnivoreRough"
)
),
"No",
IF(
_xlfn.XLOOKUP(_xlfn.XLOOKUP(B172,'Base stats'!B:B,'Base stats'!E:E),Groups!A:A,Groups!AZ:AZ)=1,
"Flesh",
IF(
_xlfn.XLOOKUP(_xlfn.XLOOKUP(B172,'Base stats'!B:B,'Base stats'!E:E),Groups!A:A,Groups!AZ:AZ)=2,
"Bone",
""
)
)
)</f>
        <v>Bone</v>
      </c>
      <c r="CI172" s="25" t="str">
        <f>IF(_xlfn.XLOOKUP(_xlfn.XLOOKUP(B172,'Base stats'!B:B,'Base stats'!E:E),Groups!A:A,Groups!BB:BB),"True","False")</f>
        <v>False</v>
      </c>
      <c r="CJ172" s="25" t="str">
        <f>IF(_xlfn.XLOOKUP(_xlfn.XLOOKUP(B172,'Base stats'!B:B,'Base stats'!E:E),Groups!A:A,Groups!BA:BA),"True","False")</f>
        <v>False</v>
      </c>
    </row>
    <row r="173" spans="1:88" ht="16.5" thickTop="1" thickBot="1" x14ac:dyDescent="0.3">
      <c r="A173" s="26" t="str">
        <f>_xlfn.XLOOKUP(B173,'Base stats'!B:B,'Base stats'!A:A)</f>
        <v>BlackFootedFerret</v>
      </c>
      <c r="B173" s="6" t="s">
        <v>1186</v>
      </c>
      <c r="C173" s="28" t="s">
        <v>1188</v>
      </c>
      <c r="D173" s="28" t="s">
        <v>1189</v>
      </c>
      <c r="E173" s="28" t="s">
        <v>673</v>
      </c>
      <c r="F173" s="28" t="s">
        <v>673</v>
      </c>
      <c r="G173" s="28" t="s">
        <v>673</v>
      </c>
      <c r="H173" s="2">
        <f>MROUND((
  (IF(AND(_xlfn.XLOOKUP(B173,'Base stats'!B:B,'Base stats'!AL:AL)=0,BI173="None",_xlfn.XLOOKUP(_xlfn.XLOOKUP(B173,'Base stats'!B:B,'Base stats'!E:E),Groups!A:A,Groups!B:B)=0), (18 + BR173 * 2.7) * 0.5,
    IF(AND(_xlfn.XLOOKUP(B173,'Base stats'!B:B,'Base stats'!AL:AL)=0,OR(AO173&lt;0.55,AND(BI173="Intermediate",_xlfn.XLOOKUP(_xlfn.XLOOKUP(B173,'Base stats'!B:B,'Base stats'!E:E),Groups!A:A,Groups!B:B)&lt;2))), (18 + BR173 * 2.7),
      IF(OR(BI173="Advanced",_xlfn.XLOOKUP(B173,'Base stats'!B:B,'Base stats'!AL:AL)=1,_xlfn.XLOOKUP(_xlfn.XLOOKUP(B173,'Base stats'!B:B,'Base stats'!E:E),Groups!A:A,Groups!B:B)=2), (18 + BR173 * 2.7) + 250, (18 + BR173 * 2.7))
    )
  ))
  + AO173 * 80
  + IF(COUNTIF(EggMilk!K$2:K$998, A173) &gt; 0, 125, 0)
  + IF(COUNTIF(EggMilk!P$2:P$998, A173) &gt; 0, 90, 0)
  + IF(COUNTIF(EggMilk!A$2:A$998, A173) &gt; 0, 90, 0)
)
* (0.8 + 0.4 * J173)
* 0.75,25)</f>
        <v>75</v>
      </c>
      <c r="I173" s="2">
        <f>MROUND(ROUNDDOWN(_xlfn.XLOOKUP(B173,'Base stats'!B:B,'Base stats'!L:L)/3.6/(23.3/11),1),0.5)</f>
        <v>2.5</v>
      </c>
      <c r="J173" s="2">
        <f>IF(OR(_xlfn.XLOOKUP(B173,'Base stats'!B:B,'Base stats'!AB:AB)=1,_xlfn.XLOOKUP(_xlfn.XLOOKUP(B173,'Base stats'!B:B,'Base stats'!E:E),Groups!A:A,Groups!C:C)="Untamable"),1,IF(_xlfn.XLOOKUP(B173,'Base stats'!B:B,'Base stats'!AL:AL)=1,0.99,MIN(MROUND((1-0.6282*EXP(-0.459*AO173))*_xlfn.XLOOKUP(_xlfn.XLOOKUP(B173,'Base stats'!B:B,'Base stats'!E:E),Groups!A:A,Groups!C:C)*IF(_xlfn.XLOOKUP(B173,'Base stats'!B:B,'Base stats'!O:O)=1,0.5,IF(_xlfn.XLOOKUP(B173,'Base stats'!B:B,'Base stats'!O:O)=2,0,1)),0.05),IF(AO173&gt;3.5,0.985,0.95))))</f>
        <v>0.60000000000000009</v>
      </c>
      <c r="K173" s="2">
        <f>ROUNDUP(AO173*_xlfn.XLOOKUP(_xlfn.XLOOKUP(B173,'Base stats'!B:B,'Base stats'!E:E),Groups!A:A,Groups!E:E),0)</f>
        <v>1</v>
      </c>
      <c r="L173" s="2">
        <f>IF(OR(_xlfn.XLOOKUP(_xlfn.XLOOKUP(B173,'Base stats'!B:B,'Base stats'!E:E),Groups!A:A,Groups!F:F)=2,ISNUMBER(SEARCH("SeaIce",BX173)),ISNUMBER(SEARCH("IceSheet",BX173))),-50,IF(OR(ISNUMBER(SEARCH("GlacialPlain",BX173)),ISNUMBER(SEARCH("Tundra",BX173))),-40,IF(OR(ISNUMBER(SEARCH("Alpine",BX173)),ISNUMBER(SEARCH("BorealForest",BX173)),ISNUMBER(SEARCH("ColdBog",BX173))),-30,IF(OR(ISNUMBER(SEARCH("TemperateForest",BX173)),ISNUMBER(SEARCH("TemperateSwamp",BX173))),-20,IF(_xlfn.XLOOKUP(_xlfn.XLOOKUP(B173,'Base stats'!B:B,'Base stats'!E:E),Groups!A:A,Groups!F:F)=1,-15,IF(OR(ISNUMBER(SEARCH("Desert",BX173)),ISNUMBER(SEARCH("ExtremeDesert",BX173))),-10,IF(OR(ISNUMBER(SEARCH("Grasslands",BX173)),ISNUMBER(SEARCH("TropicalRainforest",BX173)),ISNUMBER(SEARCH("TropicalSwamp",BX173))),10,0)))))))-IF(CC173="False",MIN(IFERROR(MAX(MROUND(LOG10(_xlfn.XLOOKUP(B173,'Base stats'!B:B,'Base stats'!C:C)^(2/3))*10,5),5),5),30))-_xlfn.XLOOKUP(B173,'Base stats'!B:B,'Base stats'!P:P)+IF(CC173="True",5,0)</f>
        <v>-20</v>
      </c>
      <c r="M173" s="2">
        <f>IF(OR(_xlfn.XLOOKUP(_xlfn.XLOOKUP(B173,'Base stats'!B:B,'Base stats'!E:E),Groups!A:A,Groups!G:G)=2,ISNUMBER(SEARCH("Desert",BX173)),ISNUMBER(SEARCH("ExtremeDesert",BX173)),ISNUMBER(SEARCH("LavaField",BX173))),50,IF(ISNUMBER(SEARCH("Grasslands",BX173)),45,IF(OR(_xlfn.XLOOKUP(_xlfn.XLOOKUP(B173,'Base stats'!B:B,'Base stats'!E:E),Groups!A:A,Groups!G:G)=1,ISNUMBER(SEARCH("TropicalRainforest",BX173)),ISNUMBER(SEARCH("TropicalSwamp",BX173))),40,IF(OR(ISNUMBER(SEARCH("TemperateForest",BX173)),ISNUMBER(SEARCH("TemperateSwamp",BX173))),35,IF(OR(ISNUMBER(SEARCH("Alpine",BX173)),ISNUMBER(SEARCH("BorealForest",BX173)),ISNUMBER(SEARCH("ColdBog",BX173))),30,IF(ISNUMBER(OR(ISNUMBER(SEARCH("GlacialPlain",BX173)),SEARCH("Tundra",BX173))),25,IF(OR(ISNUMBER(SEARCH("SeaIce",BX173)),ISNUMBER(SEARCH("IceSheet",BX173)),ISNUMBER(SEARCH("TropicalSwamp",BX173))),10,35)))))))+_xlfn.XLOOKUP(B173,'Base stats'!B:B,'Base stats'!Q:Q)</f>
        <v>50</v>
      </c>
      <c r="N173" s="8" t="str">
        <f>IF(
_xlfn.XLOOKUP(
_xlfn.XLOOKUP(B173,'Base stats'!B:B,'Base stats'!E:E),
Groups!A:A,
Groups!L:L
)=1,
MIN(
MROUND(
IF(
_xlfn.XLOOKUP(B173,'Animals CE'!B:B,'Animals CE'!Z:Z)&lt;=1.5,
_xlfn.XLOOKUP(B173,'Animals CE'!B:B,'Animals CE'!Z:Z)/2+0.05,
0.8+
(_xlfn.XLOOKUP(B173,'Animals CE'!B:B,'Animals CE'!Z:Z)-1.5)
*0.02
),
0.05
),
200%
),
"No"
)</f>
        <v>No</v>
      </c>
      <c r="O173" s="8" t="str">
        <f>IF(
_xlfn.XLOOKUP(
_xlfn.XLOOKUP(B173,'Base stats'!B:B,'Base stats'!E:E),
Groups!A:A,
Groups!L:L
)=1,
MIN(
MROUND(
IF(
_xlfn.XLOOKUP(B173,'Animals CE'!B:B,'Animals CE'!AA:AA)&lt;=1.5,
_xlfn.XLOOKUP(B173,'Animals CE'!B:B,'Animals CE'!AA:AA)/2+0.05,
0.8+
(_xlfn.XLOOKUP(B173,'Animals CE'!B:B,'Animals CE'!AA:AA)-1.5)
*0.02
),
0.05
),
200%
),
"No"
)</f>
        <v>No</v>
      </c>
      <c r="P173" s="2" t="str">
        <f>_xlfn.XLOOKUP(B173,'Base stats'!B:B,'Base stats'!R:R)</f>
        <v>Standard</v>
      </c>
      <c r="Q173" s="13">
        <f>MROUND((LOG10(_xlfn.XLOOKUP(B173,'Base stats'!B:B,'Base stats'!AR:AR))*(AO173^0.5)+(_xlfn.XLOOKUP(B173,'Base stats'!B:B,'Base stats'!AR:AR)/1000)^(2/3)+_xlfn.XLOOKUP(B173,'Base stats'!B:B,'Base stats'!BA:BA)/2)+0.5,0.5)</f>
        <v>1.5</v>
      </c>
      <c r="R173" s="7">
        <f>IF(Q173="No","No",MAX(1,MROUND(_xlfn.XLOOKUP(B173,'Base stats'!B:B,'Base stats'!C:C)^0.165,0.05)))</f>
        <v>1</v>
      </c>
      <c r="S173" s="13" t="str">
        <f>IF(_xlfn.XLOOKUP(_xlfn.XLOOKUP(B173,'Base stats'!B:B,'Base stats'!E:E),Groups!A:A,Groups!P:P)=0,"No",MROUND((LOG10(_xlfn.XLOOKUP(B173,'Base stats'!B:B,'Base stats'!AS:AS))*(AO173^0.5)+(_xlfn.XLOOKUP(B173,'Base stats'!B:B,'Base stats'!AS:AS)/1000)^(2/3)+_xlfn.XLOOKUP(B173,'Base stats'!B:B,'Base stats'!BA:BA))+_xlfn.XLOOKUP(B173,'Base stats'!B:B,'Base stats'!AY:AY)+0.5,0.5))</f>
        <v>No</v>
      </c>
      <c r="T173" s="7" t="str">
        <f>IF(S173="No","No",MAX(_xlfn.XLOOKUP(_xlfn.XLOOKUP(B173,'Base stats'!B:B,'Base stats'!E:E),Groups!A:A,Groups!Q:Q),MROUND(_xlfn.XLOOKUP(_xlfn.XLOOKUP(B173,'Base stats'!B:B,'Base stats'!E:E),Groups!A:A,Groups!Q:Q)*_xlfn.XLOOKUP(B173,'Base stats'!B:B,'Base stats'!C:C)^0.165,0.05)))</f>
        <v>No</v>
      </c>
      <c r="U173" s="7" t="str">
        <f>IF(S173="No","No",_xlfn.XLOOKUP(_xlfn.XLOOKUP(B173,'Base stats'!B:B,'Base stats'!E:E),Groups!A:A,Groups!R:R))</f>
        <v>No</v>
      </c>
      <c r="V173" s="7" t="str">
        <f>IF(S173="No","No",_xlfn.XLOOKUP(_xlfn.XLOOKUP(B173,'Base stats'!B:B,'Base stats'!E:E),Groups!A:A,Groups!S:S))</f>
        <v>No</v>
      </c>
      <c r="W173" s="7" t="str">
        <f>IF(S173="No","No",_xlfn.XLOOKUP(_xlfn.XLOOKUP(B173,'Base stats'!B:B,'Base stats'!E:E),Groups!A:A,Groups!T:T))</f>
        <v>No</v>
      </c>
      <c r="X173" s="13" t="str">
        <f>IF(_xlfn.XLOOKUP(B173,'Base stats'!B:B,'Base stats'!W:W)="No","No",MROUND((LOG10(_xlfn.XLOOKUP(B173,'Base stats'!B:B,'Base stats'!AU:AU))*(AO173^0.5)+(_xlfn.XLOOKUP(B173,'Base stats'!B:B,'Base stats'!AU:AU)/1000)^(2/3)+_xlfn.XLOOKUP(B173,'Base stats'!B:B,'Base stats'!AZ:AZ))+0.5+IF(_xlfn.XLOOKUP(_xlfn.XLOOKUP(B173,'Base stats'!B:B,'Base stats'!E:E),Groups!A:A,Groups!U:U)&lt;&gt;3,_xlfn.XLOOKUP(B173,'Base stats'!B:B,'Base stats'!BA:BA),0),0.5))</f>
        <v>No</v>
      </c>
      <c r="Y173" s="7" t="str">
        <f>IF(X173="No","No",MAX(_xlfn.XLOOKUP(_xlfn.XLOOKUP(B173,'Base stats'!B:B,'Base stats'!E:E),Groups!A:A,Groups!V:V),MROUND(_xlfn.XLOOKUP(_xlfn.XLOOKUP(B173,'Base stats'!B:B,'Base stats'!E:E),Groups!A:A,Groups!V:V)*_xlfn.XLOOKUP(B173,'Base stats'!B:B,'Base stats'!C:C)^0.165,0.05)))</f>
        <v>No</v>
      </c>
      <c r="Z173" s="7" t="str">
        <f>IF(X173="No","No",_xlfn.XLOOKUP(_xlfn.XLOOKUP(B173,'Base stats'!B:B,'Base stats'!E:E),Groups!A:A,Groups!W:W))</f>
        <v>No</v>
      </c>
      <c r="AA173" s="7" t="str">
        <f>IF(X173="No","No",_xlfn.XLOOKUP(_xlfn.XLOOKUP(B173,'Base stats'!B:B,'Base stats'!E:E),Groups!A:A,Groups!X:X))</f>
        <v>No</v>
      </c>
      <c r="AB173" s="7" t="str">
        <f>IF(X173="No","No",_xlfn.XLOOKUP(_xlfn.XLOOKUP(B173,'Base stats'!B:B,'Base stats'!E:E),Groups!A:A,Groups!Y:Y))</f>
        <v>No</v>
      </c>
      <c r="AC173" s="7" t="str">
        <f>_xlfn.XLOOKUP(Animals!B173,'Base stats'!B:B,'Base stats'!X:X)</f>
        <v>False</v>
      </c>
      <c r="AD173" s="13">
        <f>IF(_xlfn.XLOOKUP(B173,'Base stats'!B:B,'Base stats'!AT:AT)="No","No",MROUND((LOG10(_xlfn.XLOOKUP(B173,'Base stats'!B:B,'Base stats'!AT:AT))*(AO173^0.75)+(_xlfn.XLOOKUP(B173,'Base stats'!B:B,'Base stats'!AT:AT)/1000)^(2/3)+_xlfn.XLOOKUP(B173,'Base stats'!B:B,'Base stats'!AX:AX)+_xlfn.XLOOKUP(B173,'Base stats'!B:B,'Base stats'!BA:BA))+0.5,0.5))</f>
        <v>1.5</v>
      </c>
      <c r="AE173" s="7">
        <f>IF(AD173="No","No",MAX(_xlfn.XLOOKUP(_xlfn.XLOOKUP(B173,'Base stats'!B:B,'Base stats'!E:E),Groups!A:A,Groups!Z:Z),MROUND(_xlfn.XLOOKUP(_xlfn.XLOOKUP(B173,'Base stats'!B:B,'Base stats'!E:E),Groups!A:A,Groups!Z:Z)*_xlfn.XLOOKUP(B173,'Base stats'!B:B,'Base stats'!C:C)^0.165,0.05)))</f>
        <v>0.8</v>
      </c>
      <c r="AF173" s="7" t="str">
        <f>IF(AD173="No","No",_xlfn.XLOOKUP(_xlfn.XLOOKUP(B173,'Base stats'!B:B,'Base stats'!E:E),Groups!A:A,Groups!AA:AA))</f>
        <v>Teeth</v>
      </c>
      <c r="AG173" s="7" t="str">
        <f>IF(AD173="No","No",_xlfn.XLOOKUP(_xlfn.XLOOKUP(B173,'Base stats'!B:B,'Base stats'!E:E),Groups!A:A,Groups!AB:AB))</f>
        <v>canines</v>
      </c>
      <c r="AH173" s="7" t="str">
        <f>IF(AD173="No","No",_xlfn.XLOOKUP(_xlfn.XLOOKUP(B173,'Base stats'!B:B,'Base stats'!E:E),Groups!A:A,Groups!AC:AC))</f>
        <v>Bite</v>
      </c>
      <c r="AI173" s="13">
        <f>IF(_xlfn.XLOOKUP(_xlfn.XLOOKUP(B173,'Base stats'!B:B,'Base stats'!E:E),Groups!A:A,Groups!AD:AD)=0,"No",MROUND((LOG10(_xlfn.XLOOKUP(B173,'Base stats'!B:B,'Base stats'!AS:AS))*(AO173^0.75)+(_xlfn.XLOOKUP(B173,'Base stats'!B:B,'Base stats'!AS:AS)/1000)^(2/3)+_xlfn.XLOOKUP(B173,'Base stats'!B:B,'Base stats'!AY:AY)+_xlfn.XLOOKUP(B173,'Base stats'!B:B,'Base stats'!BA:BA))+0.5,0.5))</f>
        <v>1.5</v>
      </c>
      <c r="AJ173" s="7">
        <f>IF(AI173="No","No",MAX(_xlfn.XLOOKUP(_xlfn.XLOOKUP(B173,'Base stats'!B:B,'Base stats'!E:E),Groups!A:A,Groups!AE:AE),MROUND(_xlfn.XLOOKUP(_xlfn.XLOOKUP(B173,'Base stats'!B:B,'Base stats'!E:E),Groups!A:A,Groups!AE:AE)*IF(_xlfn.XLOOKUP(_xlfn.XLOOKUP(B173,'Base stats'!B:B,'Base stats'!E:E),Groups!A:A,Groups!AJ:AJ)="Photonozoa",0.6,1)*_xlfn.XLOOKUP(B173,'Base stats'!B:B,'Base stats'!C:C)^0.165,0.05)))</f>
        <v>0.65</v>
      </c>
      <c r="AK173" s="7" t="str">
        <f>IF(AI173="No","No",_xlfn.XLOOKUP(_xlfn.XLOOKUP(B173,'Base stats'!B:B,'Base stats'!E:E),Groups!A:A,Groups!AF:AF))</f>
        <v>FrontLeftPaw, FrontRightPaw</v>
      </c>
      <c r="AL173" s="7" t="str">
        <f>IF(AI173="No","No",_xlfn.XLOOKUP(_xlfn.XLOOKUP(B173,'Base stats'!B:B,'Base stats'!E:E),Groups!A:A,Groups!AG:AG))</f>
        <v>left claw, right claw</v>
      </c>
      <c r="AM173" s="7" t="str">
        <f>IF(AI173="No","No",_xlfn.XLOOKUP(_xlfn.XLOOKUP(B173,'Base stats'!B:B,'Base stats'!E:E),Groups!A:A,Groups!AH:AH))</f>
        <v>Scratch</v>
      </c>
      <c r="AN173" s="2">
        <f t="shared" si="14"/>
        <v>15</v>
      </c>
      <c r="AO173" s="2">
        <f>MROUND(IF(AND(_xlfn.XLOOKUP(B173,'Base stats'!B:B,'Base stats'!C:C)&gt;=0.5,_xlfn.XLOOKUP(B173,'Base stats'!B:B,'Base stats'!C:C)&lt;=0.8),
IF(_xlfn.XLOOKUP(B173,'Base stats'!B:B,'Base stats'!C:C)&lt;0.1,0.05,IF(_xlfn.XLOOKUP(B173,'Base stats'!B:B,'Base stats'!C:C)&lt;=70,(_xlfn.XLOOKUP(B173,'Base stats'!B:B,'Base stats'!C:C)/70)^0.426489913056526,IF(_xlfn.XLOOKUP(B173,'Base stats'!B:B,'Base stats'!C:C)&lt;=400,(_xlfn.XLOOKUP(B173,'Base stats'!B:B,'Base stats'!C:C)/70)^0.572811455315093,IF(_xlfn.XLOOKUP(B173,'Base stats'!B:B,'Base stats'!C:C)&lt;=2000,2.71391647193063*(_xlfn.XLOOKUP(B173,'Base stats'!B:B,'Base stats'!C:C)/400)^0.252459582904293,3.74314280240376*(_xlfn.XLOOKUP(B173,'Base stats'!B:B,'Base stats'!C:C)/2000)^0.357012633876913)))),
IF(_xlfn.XLOOKUP(B173,'Base stats'!B:B,'Base stats'!C:C)&lt;0.1,0.05,IF(_xlfn.XLOOKUP(B173,'Base stats'!B:B,'Base stats'!C:C)&lt;0.4,0.1,IF(_xlfn.XLOOKUP(B173,'Base stats'!B:B,'Base stats'!C:C)&lt;=70,(_xlfn.XLOOKUP(B173,'Base stats'!B:B,'Base stats'!C:C)/70)^0.445823913056526,IF(_xlfn.XLOOKUP(B173,'Base stats'!B:B,'Base stats'!C:C)&lt;=400,(_xlfn.XLOOKUP(B173,'Base stats'!B:B,'Base stats'!C:C)/70)^0.572811455315093,IF(_xlfn.XLOOKUP(B173,'Base stats'!B:B,'Base stats'!C:C)&lt;=2000,2.71391647193063*(_xlfn.XLOOKUP(B173,'Base stats'!B:B,'Base stats'!C:C)/400)^0.252459582904293,3.74314280240376*(_xlfn.XLOOKUP(B173,'Base stats'!B:B,'Base stats'!C:C)/2000)^0.357012633876913)))))),
IF(_xlfn.XLOOKUP(B173,'Base stats'!B:B,'Base stats'!C:C)&lt;0.1,0.05,IF(_xlfn.XLOOKUP(B173,'Base stats'!B:B,'Base stats'!C:C)&lt;=100,0.05,IF(_xlfn.XLOOKUP(B173,'Base stats'!B:B,'Base stats'!C:C)&lt;=250,0.1,IF(_xlfn.XLOOKUP(B173,'Base stats'!B:B,'Base stats'!C:C)&lt;=4000,0.25,0.5)))))</f>
        <v>0.15000000000000002</v>
      </c>
      <c r="AP173" s="8">
        <f>MROUND(AO173*_xlfn.XLOOKUP(_xlfn.XLOOKUP(B173,'Base stats'!B:B,'Base stats'!E:E),Groups!A:A,Groups!AI:AI)*_xlfn.XLOOKUP(B173,'Base stats'!B:B,'Base stats'!Z:Z),0.05)</f>
        <v>0.2</v>
      </c>
      <c r="AQ173" s="8">
        <f>MAX(0.01,MROUND(IF(CC173="True",0.196*(AO173*100*1000)^0.889,IF(_xlfn.XLOOKUP(_xlfn.XLOOKUP(B173,'Base stats'!B:B,'Base stats'!E:E),Groups!A:A,Groups!AJ:AJ)="Bird",10.5*(AO173*100*1000)^0.681,4.82*(AO173*100*1000)^0.734))/(4.82*(1*100*1000)^0.734)/IF(AO173&lt;3.5,2,IF(AO173=3.5,1.5,1.25))*(1+0.132282374779864/(AO173^0.994035016789033+0.00905238001496948)),0.05))</f>
        <v>0.25</v>
      </c>
      <c r="AR173" s="9">
        <f>IFERROR(MROUND(_xlfn.XLOOKUP(B173,'Base stats'!B:B,'Base stats'!H:H)/IF(_xlfn.XLOOKUP(B173,'Base stats'!B:B,'Base stats'!I:I)&lt;&gt;1,(122.5/70),1.2),IF(_xlfn.XLOOKUP(B173,'Base stats'!B:B,'Base stats'!H:H)&gt;=30,5,IF(_xlfn.XLOOKUP(B173,'Base stats'!B:B,'Base stats'!H:H)&gt;=15,3,IF(_xlfn.XLOOKUP(B173,'Base stats'!B:B,'Base stats'!H:H)&gt;=10,2,1)))),"Immortal")</f>
        <v>5</v>
      </c>
      <c r="AS173" s="35">
        <f>IFERROR(IF(OR(_xlfn.XLOOKUP(B173,'Base stats'!B:B,'Base stats'!F:F)="Atypical reproduction",_xlfn.XLOOKUP(B173,'Base stats'!B:B,'Base stats'!F:F)="Lay eggs"),"Lay eggs",MIN(20,MAX(5.5,ROUND(((_xlfn.XLOOKUP(B173,'Base stats'!B:B,'Base stats'!F:F)-25)*(14.5/615) + 5.5)*2,0)/2))),"Unknown")</f>
        <v>6</v>
      </c>
      <c r="AT173" s="8">
        <f>IF(_xlfn.XLOOKUP(B173,'Base stats'!B:B,'Base stats'!G:G)="Atypical reproduction","No",IFERROR(MAX(IF(_xlfn.XLOOKUP(B173,'Base stats'!B:B,'Base stats'!G:G)&lt;0.5,0.2,0.3),MROUND(_xlfn.XLOOKUP(B173,'Base stats'!B:B,'Base stats'!G:G)/(365/60),0.2)),"Unknown"))</f>
        <v>0.3</v>
      </c>
      <c r="AU173" s="8">
        <f t="shared" si="15"/>
        <v>0.15000000000000002</v>
      </c>
      <c r="AV173" s="8">
        <f>IFERROR(IFERROR(MROUND(_xlfn.XLOOKUP(B173,'Base stats'!B:B,'Base stats'!J:J),0.1),"Lay eggs"),"Cannot breed")</f>
        <v>3</v>
      </c>
      <c r="AW173" s="2" t="str">
        <f t="shared" si="16"/>
        <v>false</v>
      </c>
      <c r="AX173" s="2" t="str">
        <f>IF(_xlfn.XLOOKUP(_xlfn.XLOOKUP(Animals!B173,'Base stats'!B:B,'Base stats'!E:E),Groups!A:A,Groups!AK:AK)=1,"true","false")</f>
        <v>false</v>
      </c>
      <c r="AY173" s="25" t="str">
        <f>IF(_xlfn.XLOOKUP(B173,'Base stats'!B:B,'Base stats'!Y:Y)="Liquor","Liquor, CarnivoreAnimalStrict",IF(AND(_xlfn.XLOOKUP(B173,'Base stats'!B:B,'Base stats'!Y:Y)="Carnivore",_xlfn.XLOOKUP(_xlfn.XLOOKUP(B173,'Base stats'!B:B,'Base stats'!E:E),Groups!A:A,Groups!AJ:AJ)="Photonozoa"),"CarnivoreAnimalStrict, OvivoreAnimal",IF(_xlfn.XLOOKUP(B173,'Base stats'!B:B,'Base stats'!Y:Y)="Carnivore","CarnivoreAnimal, OvivoreAnimal",IF(_xlfn.XLOOKUP(B173,'Base stats'!B:B,'Base stats'!Y:Y)="Dendrovore","VegetarianRoughAnimal, DendrovoreAnimal",IF(_xlfn.XLOOKUP(B173,'Base stats'!B:B,'Base stats'!Y:Y)="Herbivore","VegetarianRoughAnimal",IF(_xlfn.XLOOKUP(B173,'Base stats'!B:B,'Base stats'!Y:Y)="OmnivoreRough","OmnivoreRoughAnimal, OvivoreAnimal","OmnivoreAnimal, OvivoreAnimal"))))))</f>
        <v>CarnivoreAnimal, OvivoreAnimal</v>
      </c>
      <c r="AZ173" s="2" t="str">
        <f>IF(_xlfn.XLOOKUP(_xlfn.XLOOKUP(B173,'Base stats'!B:B,'Base stats'!E:E),Groups!A:A,Groups!D:D)=1,MROUND((1-J173)*5+1,2)*IF(J173&lt;=0.4,2,1),"No")</f>
        <v>No</v>
      </c>
      <c r="BA173" s="2" t="str">
        <f>IF(AND(_xlfn.XLOOKUP(B173,'Base stats'!B:B,'Base stats'!AH:AH)="&lt;li&gt;Seal&lt;/li&gt;",G173="Odyssey"),"&lt;li&gt;AEXP_Seal&lt;/li&gt;",_xlfn.XLOOKUP(B173,'Base stats'!B:B,'Base stats'!AH:AH))</f>
        <v>No</v>
      </c>
      <c r="BB173" s="2" t="str">
        <f>_xlfn.XLOOKUP(B173,'Base stats'!B:B,'Base stats'!AG:AG)</f>
        <v>Leather_Light</v>
      </c>
      <c r="BC173" s="23" t="str">
        <f>_xlfn.XLOOKUP(_xlfn.XLOOKUP(B173,'Base stats'!B:B,'Base stats'!E:E),Groups!A:A,Groups!AL:AL)</f>
        <v>QuadrupedAnimalWithPawsAndTail</v>
      </c>
      <c r="BD173" s="23">
        <f>MIN(1,MROUND(IF(AND(AO173&lt;0.5,_xlfn.XLOOKUP(B173,'Base stats'!B:B,'Base stats'!AA:AA)=0),0,IF(OR(_xlfn.XLOOKUP(Animals!B173,'Base stats'!B:B,'Base stats'!O:O)=2,_xlfn.XLOOKUP(_xlfn.XLOOKUP(B173,'Base stats'!B:B,'Base stats'!E:E),Groups!A:A,Groups!AN:AN)=0),0,_xlfn.XLOOKUP(_xlfn.XLOOKUP(B173,'Base stats'!B:B,'Base stats'!E:E),Groups!A:A,Groups!AN:AN)/IF(_xlfn.XLOOKUP(Animals!B173,'Base stats'!B:B,'Base stats'!O:O)=1,2,1)))+_xlfn.XLOOKUP(B173,'Base stats'!B:B,'Base stats'!AC:AC),0.005))</f>
        <v>0.1</v>
      </c>
      <c r="BE173" s="23">
        <f>MIN(1,MROUND(IF(AND(AO173&lt;0.5,_xlfn.XLOOKUP(B173,'Base stats'!B:B,'Base stats'!AA:AA)=0),0,IF(_xlfn.XLOOKUP(_xlfn.XLOOKUP(B173,'Base stats'!B:B,'Base stats'!E:E),Groups!A:A,Groups!AO:AO)=0,0,_xlfn.XLOOKUP(_xlfn.XLOOKUP(B173,'Base stats'!B:B,'Base stats'!E:E),Groups!A:A,Groups!AO:AO)/IF(_xlfn.XLOOKUP(Animals!B173,'Base stats'!B:B,'Base stats'!O:O)=2,3,1)))+_xlfn.XLOOKUP(B173,'Base stats'!B:B,'Base stats'!AD:AD),0.005))</f>
        <v>0.3</v>
      </c>
      <c r="BF173" s="2" t="str">
        <f>IF(J173&gt;0.3,"No",_xlfn.XLOOKUP(_xlfn.XLOOKUP(Animals!B173,'Base stats'!B:B,'Base stats'!E:E),Groups!A:A,Groups!AP:AP))</f>
        <v>No</v>
      </c>
      <c r="BG173" s="2">
        <f>IF(AND(J173&lt;=0.65,_xlfn.XLOOKUP(_xlfn.XLOOKUP(Animals!B173,'Base stats'!B:B,'Base stats'!E:E),Groups!A:A,Groups!AP:AP)&lt;&gt;"No",_xlfn.XLOOKUP(_xlfn.XLOOKUP(B173,'Base stats'!B:B,'Base stats'!E:E),Groups!A:A,Groups!D:D)=0),MROUND((80/3)*IF(_xlfn.XLOOKUP(B173,'Base stats'!B:B,'Base stats'!O:O)=2,0.2,AO173) + 24*(1-IF(BF173="No",0,BF173)) + 16/3, 12),"No")</f>
        <v>36</v>
      </c>
      <c r="BH173" s="2">
        <f>IF(AND(_xlfn.XLOOKUP(_xlfn.XLOOKUP(B173,'Base stats'!B:B,'Base stats'!E:E),Groups!A:A,Groups!AQ:AQ)=1,AO173&lt;=0.35),8,12)</f>
        <v>12</v>
      </c>
      <c r="BI173" s="2" t="str">
        <f>IF(_xlfn.XLOOKUP(_xlfn.XLOOKUP(B173,'Base stats'!B:B,'Base stats'!E:E),Groups!A:A,Groups!D:D)=0,_xlfn.XLOOKUP(_xlfn.XLOOKUP(B173,'Base stats'!B:B,'Base stats'!E:E),Groups!A:A,Groups!AR:AR),"None")</f>
        <v>Intermediate</v>
      </c>
      <c r="BJ173" s="2" t="str">
        <f>IF(AND(_xlfn.XLOOKUP(_xlfn.XLOOKUP(B173,'Base stats'!B:B,'Base stats'!E:E),Groups!A:A,Groups!AS:AS)=1,OR(_xlfn.XLOOKUP(B173,'Base stats'!B:B,'Base stats'!Y:Y)="Carnivore",_xlfn.XLOOKUP(B173,'Base stats'!B:B,'Base stats'!Y:Y)="Omnivore")),"true","false")</f>
        <v>true</v>
      </c>
      <c r="BK173" s="2">
        <f>IF(BJ173="true",MROUND(IF(AND(AO173&gt;0.5,OR(_xlfn.XLOOKUP(_xlfn.XLOOKUP(B173,'Base stats'!B:B,'Base stats'!E:E),Groups!A:A,Groups!AJ:AJ)="Photonozoa",_xlfn.XLOOKUP(_xlfn.XLOOKUP(B173,'Base stats'!B:B,'Base stats'!E:E),Groups!A:A,Groups!AJ:AJ)="Mammal")),Animals!AO173*1.75*IF(AW173="true",1.5,1),IF(AO173&lt;0.5,Animals!AO173*0.5,Animals!AO173)),IF(AO173&gt;2,0.5,IF(AO173&gt;0.5,0.25,0.1))),"No")</f>
        <v>0.1</v>
      </c>
      <c r="BL173" s="2">
        <f t="shared" si="17"/>
        <v>1</v>
      </c>
      <c r="BM173" s="25" t="str">
        <f>IF(_xlfn.XLOOKUP(B173,'Base stats'!B:B,'Base stats'!AN:AN)="Standard","No",MROUND((_xlfn.XLOOKUP(B173,'Base stats'!B:B,'Base stats'!AN:AN)/3.6)/I173,0.1))</f>
        <v>No</v>
      </c>
      <c r="BN173" s="25" t="str">
        <f t="shared" si="18"/>
        <v>false</v>
      </c>
      <c r="BO173" s="25" t="str">
        <f>IF(AND(OR(_xlfn.XLOOKUP(B173,'Base stats'!B:B,'Base stats'!Y:Y)="Carnivore",_xlfn.XLOOKUP(B173,'Base stats'!B:B,'Base stats'!Y:Y)="Omnivore",_xlfn.XLOOKUP(B173,'Base stats'!B:B,'Base stats'!Y:Y)="OmnivoreRough"),_xlfn.XLOOKUP(_xlfn.XLOOKUP(B173,'Base stats'!B:B,'Base stats'!E:E),Groups!A:A,Groups!AT:AT)=1),"true","false")</f>
        <v>false</v>
      </c>
      <c r="BP173" s="25" t="str" cm="1">
        <f t="array" ref="BP173">IF(
  _xlfn.TEXTJOIN(", ",TRUE,
    IF(AND(BJ173="true",AO173&gt;0.5,BI173&lt;&gt;"None"),"AttackTarget",""),
    IF(AND(_xlfn.XLOOKUP(_xlfn.XLOOKUP(B173,'Base stats'!B:B,'Base stats'!E:E),Groups!A:A,Groups!AJ:AJ="Mammal"),OR(_xlfn.XLOOKUP(B173,'Base stats'!B:B,'Base stats'!Y:Y)="Omnivore",_xlfn.XLOOKUP(B173,'Base stats'!B:B,'Base stats'!Y:Y)="OmnivoreRough")),"Forage",""),
    IF(BG173&lt;=36,"Comfort",""),
    IF(_xlfn.XLOOKUP(B173,'Base stats'!B:B,'Base stats'!AE:AE)&lt;&gt;"No",_xlfn.XLOOKUP(B173,'Base stats'!B:B,'Base stats'!AE:AE),"")
  ) = "",
  "No",
  _xlfn.TEXTJOIN(", ",TRUE,
    IF(AND(BJ173="true",AO173&gt;0.5,BI173&lt;&gt;"None"),"AttackTarget",""),
    IF(AND(_xlfn.XLOOKUP(_xlfn.XLOOKUP(B173,'Base stats'!B:B,'Base stats'!E:E),Groups!A:A,Groups!AJ:AJ="Mammal"),OR(_xlfn.XLOOKUP(B173,'Base stats'!B:B,'Base stats'!Y:Y)="Omnivore",_xlfn.XLOOKUP(B173,'Base stats'!B:B,'Base stats'!Y:Y)="OmnivoreRough")),"Forage",""),
    IF(BG173&lt;=36,"Comfort",""),
    IF(_xlfn.XLOOKUP(B173,'Base stats'!B:B,'Base stats'!AE:AE)&lt;&gt;"No",_xlfn.XLOOKUP(B173,'Base stats'!B:B,'Base stats'!AE:AE),"")
  )
)</f>
        <v>Comfort</v>
      </c>
      <c r="BQ173" s="25" t="str">
        <f>IF(
   AND(
      'Base stats'!AN173="Standard",_xlfn.XLOOKUP(_xlfn.XLOOKUP(B173,'Base stats'!B:B,'Base stats'!E:E),Groups!A:A,Groups!AU:AU)=0,
      OR(
      BO173="True"
      )
   ),
   10,
   IF(
       OR(BM173&lt;&gt;"No",_xlfn.XLOOKUP(_xlfn.XLOOKUP(B173,'Base stats'!B:B,'Base stats'!E:E),Groups!A:A,Groups!AU:AU)=1),
      1,
      "No"
   )
)</f>
        <v>No</v>
      </c>
      <c r="BR173" s="9">
        <f>MROUND((1 + ((0.2*IF(OR(Q173="No",R173="No",R173=0),0,Q173/R173)
+IF(OR(V173="No",S173="No",T173="No"),0,S173/T173*(LEN(V173)-LEN(SUBSTITUTE(V173,",",""))+1))
+IF(OR(X173="No",Y173="No"),0,X173/Y173)
+IF(OR(AD173="No",AE173="No"),0,AD173/AE173)
+IF(OR(AL173="No",AI173="No",AJ173="No"),0,AI173/AJ173*(LEN(AL173)-LEN(SUBSTITUTE(AL173,",",""))+1))
)/(0.2*IF(OR(Q173="No",R173="No",R173=0),0,1)
+IF(OR(V173="No",S173="No",T173="No"),0,LEN(V173)-LEN(SUBSTITUTE(V173,",",""))+1)
+IF(OR(X173="No",Y173="No"),0,1)
+IF(OR(AD173="No",AE173="No"),0,1)
+IF(OR(AL173="No",AI173="No",AJ173="No"),0,LEN(AL173)-LEN(SUBSTITUTE(AL173,",",""))+1))*62%)* 2)*(1 + (AP173 / (IF(_xlfn.XLOOKUP(_xlfn.XLOOKUP(B173,'Base stats'!B:B,'Base stats'!E:E),Groups!A:A,Groups!AJ:AJ)="Photonozoa",0.3,1)) + _xlfn.XLOOKUP(B173,'Base stats'!B:B,'Base stats'!AV:AV) * 1.8) * 2) * 2.5 + 10 + I173 * 2,5)+IF(_xlfn.XLOOKUP(B173,'Base stats'!B:B,'Base stats'!AK:AK)=1,50,0)</f>
        <v>30</v>
      </c>
      <c r="BS173" s="8">
        <f t="shared" si="19"/>
        <v>0.25</v>
      </c>
      <c r="BT173" s="8" t="str">
        <f>_xlfn.XLOOKUP(B173,'Base stats'!B:B,'Base stats'!AF:AF)</f>
        <v>No</v>
      </c>
      <c r="BU173" s="2" t="str">
        <f>IF(AND(J173&lt;=0.95,OR(_xlfn.XLOOKUP(B173,'Base stats'!B:B,'Base stats'!AK:AK)=1,_xlfn.XLOOKUP(B173,'Base stats'!B:B,'Base stats'!Y:Y)="Carnivore",_xlfn.XLOOKUP(B173,'Base stats'!B:B,'Base stats'!Y:Y)="Omnivore",BE173&gt;0.1)),"true","false")</f>
        <v>true</v>
      </c>
      <c r="BV173" s="2" t="str">
        <f>IF(_xlfn.XLOOKUP(B173,'Base stats'!B:B,'Base stats'!AI:AI)=1,"true","false")</f>
        <v>false</v>
      </c>
      <c r="BW173" s="25" t="str">
        <f>IF(E173="BaseInsect","AnimalInsect",
IF(J173&gt;0.95,"AnimalExotic",
_xlfn.TEXTJOIN(", ",TRUE,
IF(OR(_xlfn.XLOOKUP(B173,'Base stats'!B:B,'Base stats'!AM:AM)=1,AND(_xlfn.XLOOKUP(B173,'Base stats'!B:B,'Base stats'!O:O)=0,_xlfn.XLOOKUP(_xlfn.XLOOKUP(B173,'Base stats'!B:B,'Base stats'!E:E),Groups!A:A,Groups!B:B)&gt;0)),"AnimalUncommon","AnimalCommon"),
IF(AND(_xlfn.XLOOKUP(B173,'Base stats'!B:B,'Base stats'!O:O)=2,_xlfn.XLOOKUP(_xlfn.XLOOKUP(B173,'Base stats'!B:B,'Base stats'!E:E),Groups!A:A,Groups!D:D)=0),"AnimalPet",IF(AND(_xlfn.XLOOKUP(B173,'Base stats'!B:B,'Base stats'!O:O)&lt;&gt;0,_xlfn.XLOOKUP(_xlfn.XLOOKUP(B173,'Base stats'!B:B,'Base stats'!E:E),Groups!A:A,Groups!D:D)&lt;&gt;0),"AnimalFarm","")),
IF(OR(_xlfn.XLOOKUP(B173,'Base stats'!B:B,'Base stats'!AK:AK)=1,AND(BI173&lt;&gt;"None",BR173&gt;=60),ISNUMBER(SEARCH("Attack target",BP173))),"AnimalFighter","")
)))</f>
        <v>AnimalUncommon</v>
      </c>
      <c r="BX173" s="25" t="str">
        <f>IF(G173="None",TRIM(
SUBSTITUTE(
IF(COUNTIF(Biomes!B$2:B$259,"="&amp;$C173)&gt;0,Biomes!B$1&amp;", ","")&amp;
IF(COUNTIF(Biomes!C$2:C$259,"="&amp;$C173)&gt;0,Biomes!C$1&amp;", ","")&amp;
IF(COUNTIF(Biomes!D$2:D$259,"="&amp;$C173)&gt;0,Biomes!D$1&amp;", ","")&amp;
IF(COUNTIF(Biomes!F$2:F$259,"="&amp;$C173)&gt;0,Biomes!F$1&amp;", ","")&amp;
IF(COUNTIF(Biomes!G$2:G$259,"="&amp;$C173)&gt;0,Biomes!G$1&amp;", ","")&amp;
IF(COUNTIF(Biomes!H$2:H$259,"="&amp;$C173)&gt;0,Biomes!H$1&amp;", ","")&amp;
IF(COUNTIF(Biomes!I$2:I$259,"="&amp;$C173)&gt;0,Biomes!I$1&amp;", ","")&amp;
IF(COUNTIF(Biomes!J$2:J$259,"="&amp;$C173)&gt;0,Biomes!J$1&amp;", ","")&amp;
IF(COUNTIF(Biomes!M$2:M$259,"="&amp;$C173)&gt;0,Biomes!M$1&amp;", ","")&amp;
IF(COUNTIF(Biomes!N$2:N$259,"="&amp;$C173)&gt;0,Biomes!N$1&amp;", ","")&amp;
IF(COUNTIF(Biomes!O$2:O$259,"="&amp;$C173)&gt;0,Biomes!O$1&amp;", ","")&amp;
IF(COUNTIF(Biomes!P$2:P$259,"="&amp;$C173)&gt;0,Biomes!P$1&amp;", ","")&amp;
IF(COUNTIF(Biomes!K$2:K$259,"="&amp;$C173)&gt;0,Biomes!K$1&amp;", ","")&amp;
IF(COUNTIF(Biomes!Q$3:Q$259,"="&amp;$C173)&gt;0,Biomes!Q$1&amp;", ","")&amp;
IF(COUNTIF(Biomes!L$2:L$259,"="&amp;$C173)&gt;0,Biomes!L$1&amp;", ","")&amp;
IF(COUNTIF(Biomes!E$2:E$259,"="&amp;$C173)&gt;0,Biomes!E$1&amp;", ","")&amp;IF(COUNTIF(Biomes!S$2:S$259,"="&amp;$C173)&gt;0,Biomes!S$1&amp;", ","")&amp;
IF(COUNTIF(Biomes!R$2:R$259,"="&amp;$C173)&gt;0,Biomes!R$1&amp;", ",""),", ","")
),_xlfn.XLOOKUP(B173,B:B,BX:BX))</f>
        <v>AridShrubland Grasslands LavaField</v>
      </c>
      <c r="BY173" s="25" t="str">
        <f>IF(_xlfn.XLOOKUP(B173,'Base stats'!B:B,'Base stats'!AJ:AJ)=1,"true","false")</f>
        <v>false</v>
      </c>
      <c r="BZ173" s="25">
        <f>IF(_xlfn.XLOOKUP(B173,'Base stats'!B:B,'Base stats'!N:N)=1,"No",MAX(0.001,MIN(MROUND(IF(AND(BJ173="True",CC173="False"),POWER(10,3.47*LOG10(_xlfn.XLOOKUP(B173,'Base stats'!B:B,'Base stats'!C:C)*1000)^-0.96),POWER(10,4.15*LOG10(_xlfn.XLOOKUP(B173,'Base stats'!B:B,'Base stats'!C:C)*1000)^-0.73))*IF(_xlfn.XLOOKUP(B173,'Base stats'!B:B,'Base stats'!AK:AK)=1,0.5,1)*IF(_xlfn.XLOOKUP(B173,'Base stats'!B:B,'Base stats'!AM:AM)=1,0.1,1)/100,IF(_xlfn.XLOOKUP(B173,'Base stats'!B:B,'Base stats'!AM:AM)=1,0.001,0.025)),0.5)))</f>
        <v>1.6E-2</v>
      </c>
      <c r="CA173" s="25" t="str">
        <f>IF(P173="Standard","No",MAX(0.001,MIN(MROUND(IF(AND(BJ173="True",CC173="False"),POWER(10,3.47*LOG10(_xlfn.XLOOKUP(B173,'Base stats'!B:B,'Base stats'!C:C)*1000)^-0.96),POWER(10,4.15*LOG10(_xlfn.XLOOKUP(B173,'Base stats'!B:B,'Base stats'!C:C)*1000)^-0.73))*IF(_xlfn.XLOOKUP(B173,'Base stats'!B:B,'Base stats'!AM:AM)=1,0.1,1)*_xlfn.XLOOKUP(B173,'Base stats'!B:B,'Base stats'!R:R)/100,IF(_xlfn.XLOOKUP(B173,'Base stats'!B:B,'Base stats'!AM:AM)=1,0.001,0.025)),0.5)))</f>
        <v>No</v>
      </c>
      <c r="CB173" s="25" t="str">
        <f>IF(_xlfn.XLOOKUP(_xlfn.XLOOKUP(B173,'Base stats'!B:B,'Base stats'!E:E),Groups!A:A,Groups!AJ:AJ)="Mammal","True","False")</f>
        <v>True</v>
      </c>
      <c r="CC173" s="25" t="str">
        <f>IF(OR(_xlfn.XLOOKUP(_xlfn.XLOOKUP(B173,'Base stats'!B:B,'Base stats'!E:E),Groups!A:A,Groups!AJ:AJ)="Reptile",_xlfn.XLOOKUP(_xlfn.XLOOKUP(B173,'Base stats'!B:B,'Base stats'!E:E),Groups!A:A,Groups!AJ:AJ)="Amphibian",_xlfn.XLOOKUP(_xlfn.XLOOKUP(B173,'Base stats'!B:B,'Base stats'!E:E),Groups!A:A,Groups!AJ:AJ)="Invertebrate"),"True","False")</f>
        <v>False</v>
      </c>
      <c r="CD173" s="25" t="str">
        <f t="shared" si="20"/>
        <v>False</v>
      </c>
      <c r="CE173" s="25" t="str">
        <f>IF(_xlfn.XLOOKUP(_xlfn.XLOOKUP(B173,'Base stats'!B:B,'Base stats'!E:E),Groups!A:A,Groups!AX:AX),"True","False")</f>
        <v>False</v>
      </c>
      <c r="CF173" s="25" t="str">
        <f>IF(_xlfn.XLOOKUP(_xlfn.XLOOKUP(B173,'Base stats'!B:B,'Base stats'!E:E),Groups!A:A,Groups!AY:AY),"True","False")</f>
        <v>False</v>
      </c>
      <c r="CG173" s="25" t="str">
        <f>IF(_xlfn.XLOOKUP(_xlfn.XLOOKUP(B173,'Base stats'!B:B,'Base stats'!E:E),Groups!A:A,Groups!AW:AW),"True","False")</f>
        <v>False</v>
      </c>
      <c r="CH173" s="25" t="str">
        <f>IF(
OR(
_xlfn.XLOOKUP(_xlfn.XLOOKUP(B173,'Base stats'!B:B,'Base stats'!E:E),Groups!A:A,Groups!AZ:AZ)=0,
AND(
_xlfn.XLOOKUP(B173,'Base stats'!B:B,'Base stats'!Y:Y)&lt;&gt;"Carnivore",
_xlfn.XLOOKUP(B173,'Base stats'!B:B,'Base stats'!Y:Y)&lt;&gt;"Omnivore",
_xlfn.XLOOKUP(B173,'Base stats'!B:B,'Base stats'!Y:Y)&lt;&gt;"OmnivoreRough"
)
),
"No",
IF(
_xlfn.XLOOKUP(_xlfn.XLOOKUP(B173,'Base stats'!B:B,'Base stats'!E:E),Groups!A:A,Groups!AZ:AZ)=1,
"Flesh",
IF(
_xlfn.XLOOKUP(_xlfn.XLOOKUP(B173,'Base stats'!B:B,'Base stats'!E:E),Groups!A:A,Groups!AZ:AZ)=2,
"Bone",
""
)
)
)</f>
        <v>No</v>
      </c>
      <c r="CI173" s="25" t="str">
        <f>IF(_xlfn.XLOOKUP(_xlfn.XLOOKUP(B173,'Base stats'!B:B,'Base stats'!E:E),Groups!A:A,Groups!BB:BB),"True","False")</f>
        <v>True</v>
      </c>
      <c r="CJ173" s="25" t="str">
        <f>IF(_xlfn.XLOOKUP(_xlfn.XLOOKUP(B173,'Base stats'!B:B,'Base stats'!E:E),Groups!A:A,Groups!BA:BA),"True","False")</f>
        <v>False</v>
      </c>
    </row>
    <row r="174" spans="1:88" ht="16.5" thickTop="1" thickBot="1" x14ac:dyDescent="0.3">
      <c r="A174" s="26" t="s">
        <v>1199</v>
      </c>
      <c r="B174" s="6" t="s">
        <v>1208</v>
      </c>
      <c r="C174" s="28" t="s">
        <v>1190</v>
      </c>
      <c r="D174" s="28" t="s">
        <v>1189</v>
      </c>
      <c r="E174" s="28" t="s">
        <v>673</v>
      </c>
      <c r="F174" s="28" t="s">
        <v>673</v>
      </c>
      <c r="G174" s="28" t="s">
        <v>673</v>
      </c>
      <c r="H174" s="2">
        <f>MROUND((
  (IF(AND(_xlfn.XLOOKUP(B174,'Base stats'!B:B,'Base stats'!AL:AL)=0,BI174="None",_xlfn.XLOOKUP(_xlfn.XLOOKUP(B174,'Base stats'!B:B,'Base stats'!E:E),Groups!A:A,Groups!B:B)=0), (18 + BR174 * 2.7) * 0.5,
    IF(AND(_xlfn.XLOOKUP(B174,'Base stats'!B:B,'Base stats'!AL:AL)=0,OR(AO174&lt;0.55,AND(BI174="Intermediate",_xlfn.XLOOKUP(_xlfn.XLOOKUP(B174,'Base stats'!B:B,'Base stats'!E:E),Groups!A:A,Groups!B:B)&lt;2))), (18 + BR174 * 2.7),
      IF(OR(BI174="Advanced",_xlfn.XLOOKUP(B174,'Base stats'!B:B,'Base stats'!AL:AL)=1,_xlfn.XLOOKUP(_xlfn.XLOOKUP(B174,'Base stats'!B:B,'Base stats'!E:E),Groups!A:A,Groups!B:B)=2), (18 + BR174 * 2.7) + 250, (18 + BR174 * 2.7))
    )
  ))
  + AO174 * 80
  + IF(COUNTIF(EggMilk!K$2:K$998, A174) &gt; 0, 125, 0)
  + IF(COUNTIF(EggMilk!P$2:P$998, A174) &gt; 0, 90, 0)
  + IF(COUNTIF(EggMilk!A$2:A$998, A174) &gt; 0, 90, 0)
)
* (0.8 + 0.4 * J174)
* 0.75,25)</f>
        <v>1375</v>
      </c>
      <c r="I174" s="2">
        <f>MROUND(ROUNDDOWN(_xlfn.XLOOKUP(B174,'Base stats'!B:B,'Base stats'!L:L)/3.6/(23.3/11),1),0.5)</f>
        <v>6</v>
      </c>
      <c r="J174" s="2">
        <f>IF(OR(_xlfn.XLOOKUP(B174,'Base stats'!B:B,'Base stats'!AB:AB)=1,_xlfn.XLOOKUP(_xlfn.XLOOKUP(B174,'Base stats'!B:B,'Base stats'!E:E),Groups!A:A,Groups!C:C)="Untamable"),1,IF(_xlfn.XLOOKUP(B174,'Base stats'!B:B,'Base stats'!AL:AL)=1,0.99,MIN(MROUND((1-0.6282*EXP(-0.459*AO174))*_xlfn.XLOOKUP(_xlfn.XLOOKUP(B174,'Base stats'!B:B,'Base stats'!E:E),Groups!A:A,Groups!C:C)*IF(_xlfn.XLOOKUP(B174,'Base stats'!B:B,'Base stats'!O:O)=1,0.5,IF(_xlfn.XLOOKUP(B174,'Base stats'!B:B,'Base stats'!O:O)=2,0,1)),0.05),IF(AO174&gt;3.5,0.985,0.95))))</f>
        <v>0.85000000000000009</v>
      </c>
      <c r="K174" s="2">
        <f>ROUNDUP(AO174*_xlfn.XLOOKUP(_xlfn.XLOOKUP(B174,'Base stats'!B:B,'Base stats'!E:E),Groups!A:A,Groups!E:E),0)</f>
        <v>18</v>
      </c>
      <c r="L174" s="2">
        <f>IF(OR(_xlfn.XLOOKUP(_xlfn.XLOOKUP(B174,'Base stats'!B:B,'Base stats'!E:E),Groups!A:A,Groups!F:F)=2,ISNUMBER(SEARCH("SeaIce",BX174)),ISNUMBER(SEARCH("IceSheet",BX174))),-50,IF(OR(ISNUMBER(SEARCH("GlacialPlain",BX174)),ISNUMBER(SEARCH("Tundra",BX174))),-40,IF(OR(ISNUMBER(SEARCH("Alpine",BX174)),ISNUMBER(SEARCH("BorealForest",BX174)),ISNUMBER(SEARCH("ColdBog",BX174))),-30,IF(OR(ISNUMBER(SEARCH("TemperateForest",BX174)),ISNUMBER(SEARCH("TemperateSwamp",BX174))),-20,IF(_xlfn.XLOOKUP(_xlfn.XLOOKUP(B174,'Base stats'!B:B,'Base stats'!E:E),Groups!A:A,Groups!F:F)=1,-15,IF(OR(ISNUMBER(SEARCH("Desert",BX174)),ISNUMBER(SEARCH("ExtremeDesert",BX174))),-10,IF(OR(ISNUMBER(SEARCH("Grasslands",BX174)),ISNUMBER(SEARCH("TropicalRainforest",BX174)),ISNUMBER(SEARCH("TropicalSwamp",BX174))),10,0)))))))-IF(CC174="False",MIN(IFERROR(MAX(MROUND(LOG10(_xlfn.XLOOKUP(B174,'Base stats'!B:B,'Base stats'!C:C)^(2/3))*10,5),5),5),30))-_xlfn.XLOOKUP(B174,'Base stats'!B:B,'Base stats'!P:P)+IF(CC174="True",5,0)</f>
        <v>-10</v>
      </c>
      <c r="M174" s="2">
        <f>IF(OR(_xlfn.XLOOKUP(_xlfn.XLOOKUP(B174,'Base stats'!B:B,'Base stats'!E:E),Groups!A:A,Groups!G:G)=2,ISNUMBER(SEARCH("Desert",BX174)),ISNUMBER(SEARCH("ExtremeDesert",BX174)),ISNUMBER(SEARCH("LavaField",BX174))),50,IF(ISNUMBER(SEARCH("Grasslands",BX174)),45,IF(OR(_xlfn.XLOOKUP(_xlfn.XLOOKUP(B174,'Base stats'!B:B,'Base stats'!E:E),Groups!A:A,Groups!G:G)=1,ISNUMBER(SEARCH("TropicalRainforest",BX174)),ISNUMBER(SEARCH("TropicalSwamp",BX174))),40,IF(OR(ISNUMBER(SEARCH("TemperateForest",BX174)),ISNUMBER(SEARCH("TemperateSwamp",BX174))),35,IF(OR(ISNUMBER(SEARCH("Alpine",BX174)),ISNUMBER(SEARCH("BorealForest",BX174)),ISNUMBER(SEARCH("ColdBog",BX174))),30,IF(ISNUMBER(OR(ISNUMBER(SEARCH("GlacialPlain",BX174)),SEARCH("Tundra",BX174))),25,IF(OR(ISNUMBER(SEARCH("SeaIce",BX174)),ISNUMBER(SEARCH("IceSheet",BX174)),ISNUMBER(SEARCH("TropicalSwamp",BX174))),10,35)))))))+_xlfn.XLOOKUP(B174,'Base stats'!B:B,'Base stats'!Q:Q)</f>
        <v>45</v>
      </c>
      <c r="N174" s="8">
        <f>IF(
_xlfn.XLOOKUP(
_xlfn.XLOOKUP(B174,'Base stats'!B:B,'Base stats'!E:E),
Groups!A:A,
Groups!L:L
)=1,
MIN(
MROUND(
IF(
_xlfn.XLOOKUP(B174,'Animals CE'!B:B,'Animals CE'!Z:Z)&lt;=1.5,
_xlfn.XLOOKUP(B174,'Animals CE'!B:B,'Animals CE'!Z:Z)/2+0.05,
0.8+
(_xlfn.XLOOKUP(B174,'Animals CE'!B:B,'Animals CE'!Z:Z)-1.5)
*0.02
),
0.05
),
200%
),
"No"
)</f>
        <v>0.15000000000000002</v>
      </c>
      <c r="O174" s="8">
        <f>IF(
_xlfn.XLOOKUP(
_xlfn.XLOOKUP(B174,'Base stats'!B:B,'Base stats'!E:E),
Groups!A:A,
Groups!L:L
)=1,
MIN(
MROUND(
IF(
_xlfn.XLOOKUP(B174,'Animals CE'!B:B,'Animals CE'!AA:AA)&lt;=1.5,
_xlfn.XLOOKUP(B174,'Animals CE'!B:B,'Animals CE'!AA:AA)/2+0.05,
0.8+
(_xlfn.XLOOKUP(B174,'Animals CE'!B:B,'Animals CE'!AA:AA)-1.5)
*0.02
),
0.05
),
200%
),
"No"
)</f>
        <v>0.2</v>
      </c>
      <c r="P174" s="2" t="str">
        <f>_xlfn.XLOOKUP(B174,'Base stats'!B:B,'Base stats'!R:R)</f>
        <v>Standard</v>
      </c>
      <c r="Q174" s="13">
        <f>MROUND((LOG10(_xlfn.XLOOKUP(B174,'Base stats'!B:B,'Base stats'!AR:AR))*(AO174^0.5)+(_xlfn.XLOOKUP(B174,'Base stats'!B:B,'Base stats'!AR:AR)/1000)^(2/3)+_xlfn.XLOOKUP(B174,'Base stats'!B:B,'Base stats'!BA:BA)/2)+0.5,0.5)</f>
        <v>21</v>
      </c>
      <c r="R174" s="7">
        <f>IF(Q174="No","No",MAX(1,MROUND(_xlfn.XLOOKUP(B174,'Base stats'!B:B,'Base stats'!C:C)^0.165,0.05)))</f>
        <v>3.2</v>
      </c>
      <c r="S174" s="13" t="str">
        <f>IF(_xlfn.XLOOKUP(_xlfn.XLOOKUP(B174,'Base stats'!B:B,'Base stats'!E:E),Groups!A:A,Groups!P:P)=0,"No",MROUND((LOG10(_xlfn.XLOOKUP(B174,'Base stats'!B:B,'Base stats'!AS:AS))*(AO174^0.5)+(_xlfn.XLOOKUP(B174,'Base stats'!B:B,'Base stats'!AS:AS)/1000)^(2/3)+_xlfn.XLOOKUP(B174,'Base stats'!B:B,'Base stats'!BA:BA))+_xlfn.XLOOKUP(B174,'Base stats'!B:B,'Base stats'!AY:AY)+0.5,0.5))</f>
        <v>No</v>
      </c>
      <c r="T174" s="7" t="str">
        <f>IF(S174="No","No",MAX(_xlfn.XLOOKUP(_xlfn.XLOOKUP(B174,'Base stats'!B:B,'Base stats'!E:E),Groups!A:A,Groups!Q:Q),MROUND(_xlfn.XLOOKUP(_xlfn.XLOOKUP(B174,'Base stats'!B:B,'Base stats'!E:E),Groups!A:A,Groups!Q:Q)*_xlfn.XLOOKUP(B174,'Base stats'!B:B,'Base stats'!C:C)^0.165,0.05)))</f>
        <v>No</v>
      </c>
      <c r="U174" s="7" t="str">
        <f>IF(S174="No","No",_xlfn.XLOOKUP(_xlfn.XLOOKUP(B174,'Base stats'!B:B,'Base stats'!E:E),Groups!A:A,Groups!R:R))</f>
        <v>No</v>
      </c>
      <c r="V174" s="7" t="str">
        <f>IF(S174="No","No",_xlfn.XLOOKUP(_xlfn.XLOOKUP(B174,'Base stats'!B:B,'Base stats'!E:E),Groups!A:A,Groups!S:S))</f>
        <v>No</v>
      </c>
      <c r="W174" s="7" t="str">
        <f>IF(S174="No","No",_xlfn.XLOOKUP(_xlfn.XLOOKUP(B174,'Base stats'!B:B,'Base stats'!E:E),Groups!A:A,Groups!T:T))</f>
        <v>No</v>
      </c>
      <c r="X174" s="13">
        <f>IF(_xlfn.XLOOKUP(B174,'Base stats'!B:B,'Base stats'!W:W)="No","No",MROUND((LOG10(_xlfn.XLOOKUP(B174,'Base stats'!B:B,'Base stats'!AU:AU))*(AO174^0.5)+(_xlfn.XLOOKUP(B174,'Base stats'!B:B,'Base stats'!AU:AU)/1000)^(2/3)+_xlfn.XLOOKUP(B174,'Base stats'!B:B,'Base stats'!AZ:AZ))+0.5+IF(_xlfn.XLOOKUP(_xlfn.XLOOKUP(B174,'Base stats'!B:B,'Base stats'!E:E),Groups!A:A,Groups!U:U)&lt;&gt;3,_xlfn.XLOOKUP(B174,'Base stats'!B:B,'Base stats'!BA:BA),0),0.5))</f>
        <v>32.5</v>
      </c>
      <c r="Y174" s="7">
        <f>IF(X174="No","No",MAX(_xlfn.XLOOKUP(_xlfn.XLOOKUP(B174,'Base stats'!B:B,'Base stats'!E:E),Groups!A:A,Groups!V:V),MROUND(_xlfn.XLOOKUP(_xlfn.XLOOKUP(B174,'Base stats'!B:B,'Base stats'!E:E),Groups!A:A,Groups!V:V)*_xlfn.XLOOKUP(B174,'Base stats'!B:B,'Base stats'!C:C)^0.165,0.05)))</f>
        <v>2.2000000000000002</v>
      </c>
      <c r="Z174" s="7" t="str">
        <f>IF(X174="No","No",_xlfn.XLOOKUP(_xlfn.XLOOKUP(B174,'Base stats'!B:B,'Base stats'!E:E),Groups!A:A,Groups!W:W))</f>
        <v>HeadAttackTool</v>
      </c>
      <c r="AA174" s="7" t="str">
        <f>IF(X174="No","No",_xlfn.XLOOKUP(_xlfn.XLOOKUP(B174,'Base stats'!B:B,'Base stats'!E:E),Groups!A:A,Groups!X:X))</f>
        <v>horn</v>
      </c>
      <c r="AB174" s="7" t="str">
        <f>IF(X174="No","No",_xlfn.XLOOKUP(_xlfn.XLOOKUP(B174,'Base stats'!B:B,'Base stats'!E:E),Groups!A:A,Groups!Y:Y))</f>
        <v>Scratch</v>
      </c>
      <c r="AC174" s="7" t="str">
        <f>_xlfn.XLOOKUP(Animals!B174,'Base stats'!B:B,'Base stats'!X:X)</f>
        <v>False</v>
      </c>
      <c r="AD174" s="13">
        <f>IF(_xlfn.XLOOKUP(B174,'Base stats'!B:B,'Base stats'!AT:AT)="No","No",MROUND((LOG10(_xlfn.XLOOKUP(B174,'Base stats'!B:B,'Base stats'!AT:AT))*(AO174^0.75)+(_xlfn.XLOOKUP(B174,'Base stats'!B:B,'Base stats'!AT:AT)/1000)^(2/3)+_xlfn.XLOOKUP(B174,'Base stats'!B:B,'Base stats'!AX:AX)+_xlfn.XLOOKUP(B174,'Base stats'!B:B,'Base stats'!BA:BA))+0.5,0.5))</f>
        <v>27</v>
      </c>
      <c r="AE174" s="7">
        <f>IF(AD174="No","No",MAX(_xlfn.XLOOKUP(_xlfn.XLOOKUP(B174,'Base stats'!B:B,'Base stats'!E:E),Groups!A:A,Groups!Z:Z),MROUND(_xlfn.XLOOKUP(_xlfn.XLOOKUP(B174,'Base stats'!B:B,'Base stats'!E:E),Groups!A:A,Groups!Z:Z)*_xlfn.XLOOKUP(B174,'Base stats'!B:B,'Base stats'!C:C)^0.165,0.05)))</f>
        <v>3.2</v>
      </c>
      <c r="AF174" s="7" t="str">
        <f>IF(AD174="No","No",_xlfn.XLOOKUP(_xlfn.XLOOKUP(B174,'Base stats'!B:B,'Base stats'!E:E),Groups!A:A,Groups!AA:AA))</f>
        <v>Teeth</v>
      </c>
      <c r="AG174" s="7" t="str">
        <f>IF(AD174="No","No",_xlfn.XLOOKUP(_xlfn.XLOOKUP(B174,'Base stats'!B:B,'Base stats'!E:E),Groups!A:A,Groups!AB:AB))</f>
        <v>teeth</v>
      </c>
      <c r="AH174" s="7" t="str">
        <f>IF(AD174="No","No",_xlfn.XLOOKUP(_xlfn.XLOOKUP(B174,'Base stats'!B:B,'Base stats'!E:E),Groups!A:A,Groups!AC:AC))</f>
        <v>Bite</v>
      </c>
      <c r="AI174" s="13" t="str">
        <f>IF(_xlfn.XLOOKUP(_xlfn.XLOOKUP(B174,'Base stats'!B:B,'Base stats'!E:E),Groups!A:A,Groups!AD:AD)=0,"No",MROUND((LOG10(_xlfn.XLOOKUP(B174,'Base stats'!B:B,'Base stats'!AS:AS))*(AO174^0.75)+(_xlfn.XLOOKUP(B174,'Base stats'!B:B,'Base stats'!AS:AS)/1000)^(2/3)+_xlfn.XLOOKUP(B174,'Base stats'!B:B,'Base stats'!AY:AY)+_xlfn.XLOOKUP(B174,'Base stats'!B:B,'Base stats'!BA:BA))+0.5,0.5))</f>
        <v>No</v>
      </c>
      <c r="AJ174" s="7" t="str">
        <f>IF(AI174="No","No",MAX(_xlfn.XLOOKUP(_xlfn.XLOOKUP(B174,'Base stats'!B:B,'Base stats'!E:E),Groups!A:A,Groups!AE:AE),MROUND(_xlfn.XLOOKUP(_xlfn.XLOOKUP(B174,'Base stats'!B:B,'Base stats'!E:E),Groups!A:A,Groups!AE:AE)*IF(_xlfn.XLOOKUP(_xlfn.XLOOKUP(B174,'Base stats'!B:B,'Base stats'!E:E),Groups!A:A,Groups!AJ:AJ)="Photonozoa",0.6,1)*_xlfn.XLOOKUP(B174,'Base stats'!B:B,'Base stats'!C:C)^0.165,0.05)))</f>
        <v>No</v>
      </c>
      <c r="AK174" s="7" t="str">
        <f>IF(AI174="No","No",_xlfn.XLOOKUP(_xlfn.XLOOKUP(B174,'Base stats'!B:B,'Base stats'!E:E),Groups!A:A,Groups!AF:AF))</f>
        <v>No</v>
      </c>
      <c r="AL174" s="7" t="str">
        <f>IF(AI174="No","No",_xlfn.XLOOKUP(_xlfn.XLOOKUP(B174,'Base stats'!B:B,'Base stats'!E:E),Groups!A:A,Groups!AG:AG))</f>
        <v>No</v>
      </c>
      <c r="AM174" s="7" t="str">
        <f>IF(AI174="No","No",_xlfn.XLOOKUP(_xlfn.XLOOKUP(B174,'Base stats'!B:B,'Base stats'!E:E),Groups!A:A,Groups!AH:AH))</f>
        <v>No</v>
      </c>
      <c r="AN174" s="2" t="str">
        <f t="shared" si="14"/>
        <v>No</v>
      </c>
      <c r="AO174" s="2">
        <f>MROUND(IF(AND(_xlfn.XLOOKUP(B174,'Base stats'!B:B,'Base stats'!C:C)&gt;=0.5,_xlfn.XLOOKUP(B174,'Base stats'!B:B,'Base stats'!C:C)&lt;=0.8),
IF(_xlfn.XLOOKUP(B174,'Base stats'!B:B,'Base stats'!C:C)&lt;0.1,0.05,IF(_xlfn.XLOOKUP(B174,'Base stats'!B:B,'Base stats'!C:C)&lt;=70,(_xlfn.XLOOKUP(B174,'Base stats'!B:B,'Base stats'!C:C)/70)^0.426489913056526,IF(_xlfn.XLOOKUP(B174,'Base stats'!B:B,'Base stats'!C:C)&lt;=400,(_xlfn.XLOOKUP(B174,'Base stats'!B:B,'Base stats'!C:C)/70)^0.572811455315093,IF(_xlfn.XLOOKUP(B174,'Base stats'!B:B,'Base stats'!C:C)&lt;=2000,2.71391647193063*(_xlfn.XLOOKUP(B174,'Base stats'!B:B,'Base stats'!C:C)/400)^0.252459582904293,3.74314280240376*(_xlfn.XLOOKUP(B174,'Base stats'!B:B,'Base stats'!C:C)/2000)^0.357012633876913)))),
IF(_xlfn.XLOOKUP(B174,'Base stats'!B:B,'Base stats'!C:C)&lt;0.1,0.05,IF(_xlfn.XLOOKUP(B174,'Base stats'!B:B,'Base stats'!C:C)&lt;0.4,0.1,IF(_xlfn.XLOOKUP(B174,'Base stats'!B:B,'Base stats'!C:C)&lt;=70,(_xlfn.XLOOKUP(B174,'Base stats'!B:B,'Base stats'!C:C)/70)^0.445823913056526,IF(_xlfn.XLOOKUP(B174,'Base stats'!B:B,'Base stats'!C:C)&lt;=400,(_xlfn.XLOOKUP(B174,'Base stats'!B:B,'Base stats'!C:C)/70)^0.572811455315093,IF(_xlfn.XLOOKUP(B174,'Base stats'!B:B,'Base stats'!C:C)&lt;=2000,2.71391647193063*(_xlfn.XLOOKUP(B174,'Base stats'!B:B,'Base stats'!C:C)/400)^0.252459582904293,3.74314280240376*(_xlfn.XLOOKUP(B174,'Base stats'!B:B,'Base stats'!C:C)/2000)^0.357012633876913)))))),
IF(_xlfn.XLOOKUP(B174,'Base stats'!B:B,'Base stats'!C:C)&lt;0.1,0.05,IF(_xlfn.XLOOKUP(B174,'Base stats'!B:B,'Base stats'!C:C)&lt;=100,0.05,IF(_xlfn.XLOOKUP(B174,'Base stats'!B:B,'Base stats'!C:C)&lt;=250,0.1,IF(_xlfn.XLOOKUP(B174,'Base stats'!B:B,'Base stats'!C:C)&lt;=4000,0.25,0.5)))))</f>
        <v>3.5</v>
      </c>
      <c r="AP174" s="8">
        <f>MROUND(AO174*_xlfn.XLOOKUP(_xlfn.XLOOKUP(B174,'Base stats'!B:B,'Base stats'!E:E),Groups!A:A,Groups!AI:AI)*_xlfn.XLOOKUP(B174,'Base stats'!B:B,'Base stats'!Z:Z),0.05)</f>
        <v>4.2</v>
      </c>
      <c r="AQ174" s="8">
        <f>MAX(0.01,MROUND(IF(CC174="True",0.196*(AO174*100*1000)^0.889,IF(_xlfn.XLOOKUP(_xlfn.XLOOKUP(B174,'Base stats'!B:B,'Base stats'!E:E),Groups!A:A,Groups!AJ:AJ)="Bird",10.5*(AO174*100*1000)^0.681,4.82*(AO174*100*1000)^0.734))/(4.82*(1*100*1000)^0.734)/IF(AO174&lt;3.5,2,IF(AO174=3.5,1.5,1.25))*(1+0.132282374779864/(AO174^0.994035016789033+0.00905238001496948)),0.05))</f>
        <v>1.75</v>
      </c>
      <c r="AR174" s="9">
        <f>IFERROR(MROUND(_xlfn.XLOOKUP(B174,'Base stats'!B:B,'Base stats'!H:H)/IF(_xlfn.XLOOKUP(B174,'Base stats'!B:B,'Base stats'!I:I)&lt;&gt;1,(122.5/70),1.2),IF(_xlfn.XLOOKUP(B174,'Base stats'!B:B,'Base stats'!H:H)&gt;=30,5,IF(_xlfn.XLOOKUP(B174,'Base stats'!B:B,'Base stats'!H:H)&gt;=15,3,IF(_xlfn.XLOOKUP(B174,'Base stats'!B:B,'Base stats'!H:H)&gt;=10,2,1)))),"Immortal")</f>
        <v>50</v>
      </c>
      <c r="AS174" s="35">
        <f>IFERROR(IF(OR(_xlfn.XLOOKUP(B174,'Base stats'!B:B,'Base stats'!F:F)="Atypical reproduction",_xlfn.XLOOKUP(B174,'Base stats'!B:B,'Base stats'!F:F)="Lay eggs"),"Lay eggs",MIN(20,MAX(5.5,ROUND(((_xlfn.XLOOKUP(B174,'Base stats'!B:B,'Base stats'!F:F)-25)*(14.5/615) + 5.5)*2,0)/2))),"Unknown")</f>
        <v>16</v>
      </c>
      <c r="AT174" s="8">
        <f>IF(_xlfn.XLOOKUP(B174,'Base stats'!B:B,'Base stats'!G:G)="Atypical reproduction","No",IFERROR(MAX(IF(_xlfn.XLOOKUP(B174,'Base stats'!B:B,'Base stats'!G:G)&lt;0.5,0.2,0.3),MROUND(_xlfn.XLOOKUP(B174,'Base stats'!B:B,'Base stats'!G:G)/(365/60),0.2)),"Unknown"))</f>
        <v>0.8</v>
      </c>
      <c r="AU174" s="8">
        <f t="shared" si="15"/>
        <v>0.4</v>
      </c>
      <c r="AV174" s="8">
        <f>IFERROR(IFERROR(MROUND(_xlfn.XLOOKUP(B174,'Base stats'!B:B,'Base stats'!J:J),0.1),"Lay eggs"),"Cannot breed")</f>
        <v>1</v>
      </c>
      <c r="AW174" s="2" t="str">
        <f t="shared" si="16"/>
        <v>false</v>
      </c>
      <c r="AX174" s="2" t="str">
        <f>IF(_xlfn.XLOOKUP(_xlfn.XLOOKUP(Animals!B174,'Base stats'!B:B,'Base stats'!E:E),Groups!A:A,Groups!AK:AK)=1,"true","false")</f>
        <v>false</v>
      </c>
      <c r="AY174" s="25" t="str">
        <f>IF(_xlfn.XLOOKUP(B174,'Base stats'!B:B,'Base stats'!Y:Y)="Liquor","Liquor, CarnivoreAnimalStrict",IF(AND(_xlfn.XLOOKUP(B174,'Base stats'!B:B,'Base stats'!Y:Y)="Carnivore",_xlfn.XLOOKUP(_xlfn.XLOOKUP(B174,'Base stats'!B:B,'Base stats'!E:E),Groups!A:A,Groups!AJ:AJ)="Photonozoa"),"CarnivoreAnimalStrict, OvivoreAnimal",IF(_xlfn.XLOOKUP(B174,'Base stats'!B:B,'Base stats'!Y:Y)="Carnivore","CarnivoreAnimal, OvivoreAnimal",IF(_xlfn.XLOOKUP(B174,'Base stats'!B:B,'Base stats'!Y:Y)="Dendrovore","VegetarianRoughAnimal, DendrovoreAnimal",IF(_xlfn.XLOOKUP(B174,'Base stats'!B:B,'Base stats'!Y:Y)="Herbivore","VegetarianRoughAnimal",IF(_xlfn.XLOOKUP(B174,'Base stats'!B:B,'Base stats'!Y:Y)="OmnivoreRough","OmnivoreRoughAnimal, OvivoreAnimal","OmnivoreAnimal, OvivoreAnimal"))))))</f>
        <v>VegetarianRoughAnimal</v>
      </c>
      <c r="AZ174" s="2">
        <f>IF(_xlfn.XLOOKUP(_xlfn.XLOOKUP(B174,'Base stats'!B:B,'Base stats'!E:E),Groups!A:A,Groups!D:D)=1,MROUND((1-J174)*5+1,2)*IF(J174&lt;=0.4,2,1),"No")</f>
        <v>2</v>
      </c>
      <c r="BA174" s="2" t="str">
        <f>IF(AND(_xlfn.XLOOKUP(B174,'Base stats'!B:B,'Base stats'!AH:AH)="&lt;li&gt;Seal&lt;/li&gt;",G174="Odyssey"),"&lt;li&gt;AEXP_Seal&lt;/li&gt;",_xlfn.XLOOKUP(B174,'Base stats'!B:B,'Base stats'!AH:AH))</f>
        <v>&lt;li&gt;Rhinoceros&lt;/li&gt;</v>
      </c>
      <c r="BB174" s="2" t="str">
        <f>_xlfn.XLOOKUP(B174,'Base stats'!B:B,'Base stats'!AG:AG)</f>
        <v>Leather_Rhinoceros</v>
      </c>
      <c r="BC174" s="23" t="str">
        <f>_xlfn.XLOOKUP(_xlfn.XLOOKUP(B174,'Base stats'!B:B,'Base stats'!E:E),Groups!A:A,Groups!AL:AL)</f>
        <v>QuadrupedAnimalWithHoovesAndHorn</v>
      </c>
      <c r="BD174" s="23">
        <f>MIN(1,MROUND(IF(AND(AO174&lt;0.5,_xlfn.XLOOKUP(B174,'Base stats'!B:B,'Base stats'!AA:AA)=0),0,IF(OR(_xlfn.XLOOKUP(Animals!B174,'Base stats'!B:B,'Base stats'!O:O)=2,_xlfn.XLOOKUP(_xlfn.XLOOKUP(B174,'Base stats'!B:B,'Base stats'!E:E),Groups!A:A,Groups!AN:AN)=0),0,_xlfn.XLOOKUP(_xlfn.XLOOKUP(B174,'Base stats'!B:B,'Base stats'!E:E),Groups!A:A,Groups!AN:AN)/IF(_xlfn.XLOOKUP(Animals!B174,'Base stats'!B:B,'Base stats'!O:O)=1,2,1)))+_xlfn.XLOOKUP(B174,'Base stats'!B:B,'Base stats'!AC:AC),0.005))</f>
        <v>0.1</v>
      </c>
      <c r="BE174" s="23">
        <f>MIN(1,MROUND(IF(AND(AO174&lt;0.5,_xlfn.XLOOKUP(B174,'Base stats'!B:B,'Base stats'!AA:AA)=0),0,IF(_xlfn.XLOOKUP(_xlfn.XLOOKUP(B174,'Base stats'!B:B,'Base stats'!E:E),Groups!A:A,Groups!AO:AO)=0,0,_xlfn.XLOOKUP(_xlfn.XLOOKUP(B174,'Base stats'!B:B,'Base stats'!E:E),Groups!A:A,Groups!AO:AO)/IF(_xlfn.XLOOKUP(Animals!B174,'Base stats'!B:B,'Base stats'!O:O)=2,3,1)))+_xlfn.XLOOKUP(B174,'Base stats'!B:B,'Base stats'!AD:AD),0.005))</f>
        <v>0.3</v>
      </c>
      <c r="BF174" s="2" t="str">
        <f>IF(J174&gt;0.3,"No",_xlfn.XLOOKUP(_xlfn.XLOOKUP(Animals!B174,'Base stats'!B:B,'Base stats'!E:E),Groups!A:A,Groups!AP:AP))</f>
        <v>No</v>
      </c>
      <c r="BG174" s="2" t="str">
        <f>IF(AND(J174&lt;=0.65,_xlfn.XLOOKUP(_xlfn.XLOOKUP(Animals!B174,'Base stats'!B:B,'Base stats'!E:E),Groups!A:A,Groups!AP:AP)&lt;&gt;"No",_xlfn.XLOOKUP(_xlfn.XLOOKUP(B174,'Base stats'!B:B,'Base stats'!E:E),Groups!A:A,Groups!D:D)=0),MROUND((80/3)*IF(_xlfn.XLOOKUP(B174,'Base stats'!B:B,'Base stats'!O:O)=2,0.2,AO174) + 24*(1-IF(BF174="No",0,BF174)) + 16/3, 12),"No")</f>
        <v>No</v>
      </c>
      <c r="BH174" s="2">
        <f>IF(AND(_xlfn.XLOOKUP(_xlfn.XLOOKUP(B174,'Base stats'!B:B,'Base stats'!E:E),Groups!A:A,Groups!AQ:AQ)=1,AO174&lt;=0.35),8,12)</f>
        <v>12</v>
      </c>
      <c r="BI174" s="2" t="str">
        <f>IF(_xlfn.XLOOKUP(_xlfn.XLOOKUP(B174,'Base stats'!B:B,'Base stats'!E:E),Groups!A:A,Groups!D:D)=0,_xlfn.XLOOKUP(_xlfn.XLOOKUP(B174,'Base stats'!B:B,'Base stats'!E:E),Groups!A:A,Groups!AR:AR),"None")</f>
        <v>None</v>
      </c>
      <c r="BJ174" s="2" t="str">
        <f>IF(AND(_xlfn.XLOOKUP(_xlfn.XLOOKUP(B174,'Base stats'!B:B,'Base stats'!E:E),Groups!A:A,Groups!AS:AS)=1,OR(_xlfn.XLOOKUP(B174,'Base stats'!B:B,'Base stats'!Y:Y)="Carnivore",_xlfn.XLOOKUP(B174,'Base stats'!B:B,'Base stats'!Y:Y)="Omnivore")),"true","false")</f>
        <v>false</v>
      </c>
      <c r="BK174" s="2" t="str">
        <f>IF(BJ174="true",MROUND(IF(AND(AO174&gt;0.5,OR(_xlfn.XLOOKUP(_xlfn.XLOOKUP(B174,'Base stats'!B:B,'Base stats'!E:E),Groups!A:A,Groups!AJ:AJ)="Photonozoa",_xlfn.XLOOKUP(_xlfn.XLOOKUP(B174,'Base stats'!B:B,'Base stats'!E:E),Groups!A:A,Groups!AJ:AJ)="Mammal")),Animals!AO174*1.75*IF(AW174="true",1.5,1),IF(AO174&lt;0.5,Animals!AO174*0.5,Animals!AO174)),IF(AO174&gt;2,0.5,IF(AO174&gt;0.5,0.25,0.1))),"No")</f>
        <v>No</v>
      </c>
      <c r="BL174" s="2">
        <f t="shared" si="17"/>
        <v>0</v>
      </c>
      <c r="BM174" s="25" t="str">
        <f>IF(_xlfn.XLOOKUP(B174,'Base stats'!B:B,'Base stats'!AN:AN)="Standard","No",MROUND((_xlfn.XLOOKUP(B174,'Base stats'!B:B,'Base stats'!AN:AN)/3.6)/I174,0.1))</f>
        <v>No</v>
      </c>
      <c r="BN174" s="25" t="str">
        <f t="shared" si="18"/>
        <v>false</v>
      </c>
      <c r="BO174" s="25" t="str">
        <f>IF(AND(OR(_xlfn.XLOOKUP(B174,'Base stats'!B:B,'Base stats'!Y:Y)="Carnivore",_xlfn.XLOOKUP(B174,'Base stats'!B:B,'Base stats'!Y:Y)="Omnivore",_xlfn.XLOOKUP(B174,'Base stats'!B:B,'Base stats'!Y:Y)="OmnivoreRough"),_xlfn.XLOOKUP(_xlfn.XLOOKUP(B174,'Base stats'!B:B,'Base stats'!E:E),Groups!A:A,Groups!AT:AT)=1),"true","false")</f>
        <v>false</v>
      </c>
      <c r="BP174" s="25" t="str" cm="1">
        <f t="array" ref="BP174">IF(
  _xlfn.TEXTJOIN(", ",TRUE,
    IF(AND(BJ174="true",AO174&gt;0.5,BI174&lt;&gt;"None"),"AttackTarget",""),
    IF(AND(_xlfn.XLOOKUP(_xlfn.XLOOKUP(B174,'Base stats'!B:B,'Base stats'!E:E),Groups!A:A,Groups!AJ:AJ="Mammal"),OR(_xlfn.XLOOKUP(B174,'Base stats'!B:B,'Base stats'!Y:Y)="Omnivore",_xlfn.XLOOKUP(B174,'Base stats'!B:B,'Base stats'!Y:Y)="OmnivoreRough")),"Forage",""),
    IF(BG174&lt;=36,"Comfort",""),
    IF(_xlfn.XLOOKUP(B174,'Base stats'!B:B,'Base stats'!AE:AE)&lt;&gt;"No",_xlfn.XLOOKUP(B174,'Base stats'!B:B,'Base stats'!AE:AE),"")
  ) = "",
  "No",
  _xlfn.TEXTJOIN(", ",TRUE,
    IF(AND(BJ174="true",AO174&gt;0.5,BI174&lt;&gt;"None"),"AttackTarget",""),
    IF(AND(_xlfn.XLOOKUP(_xlfn.XLOOKUP(B174,'Base stats'!B:B,'Base stats'!E:E),Groups!A:A,Groups!AJ:AJ="Mammal"),OR(_xlfn.XLOOKUP(B174,'Base stats'!B:B,'Base stats'!Y:Y)="Omnivore",_xlfn.XLOOKUP(B174,'Base stats'!B:B,'Base stats'!Y:Y)="OmnivoreRough")),"Forage",""),
    IF(BG174&lt;=36,"Comfort",""),
    IF(_xlfn.XLOOKUP(B174,'Base stats'!B:B,'Base stats'!AE:AE)&lt;&gt;"No",_xlfn.XLOOKUP(B174,'Base stats'!B:B,'Base stats'!AE:AE),"")
  )
)</f>
        <v>No</v>
      </c>
      <c r="BQ174" s="25" t="str">
        <f>IF(
   AND(
      'Base stats'!AN174="Standard",_xlfn.XLOOKUP(_xlfn.XLOOKUP(B174,'Base stats'!B:B,'Base stats'!E:E),Groups!A:A,Groups!AU:AU)=0,
      OR(
      BO174="True"
      )
   ),
   10,
   IF(
       OR(BM174&lt;&gt;"No",_xlfn.XLOOKUP(_xlfn.XLOOKUP(B174,'Base stats'!B:B,'Base stats'!E:E),Groups!A:A,Groups!AU:AU)=1),
      1,
      "No"
   )
)</f>
        <v>No</v>
      </c>
      <c r="BR174" s="9">
        <f>MROUND((1 + ((0.2*IF(OR(Q174="No",R174="No",R174=0),0,Q174/R174)
+IF(OR(V174="No",S174="No",T174="No"),0,S174/T174*(LEN(V174)-LEN(SUBSTITUTE(V174,",",""))+1))
+IF(OR(X174="No",Y174="No"),0,X174/Y174)
+IF(OR(AD174="No",AE174="No"),0,AD174/AE174)
+IF(OR(AL174="No",AI174="No",AJ174="No"),0,AI174/AJ174*(LEN(AL174)-LEN(SUBSTITUTE(AL174,",",""))+1))
)/(0.2*IF(OR(Q174="No",R174="No",R174=0),0,1)
+IF(OR(V174="No",S174="No",T174="No"),0,LEN(V174)-LEN(SUBSTITUTE(V174,",",""))+1)
+IF(OR(X174="No",Y174="No"),0,1)
+IF(OR(AD174="No",AE174="No"),0,1)
+IF(OR(AL174="No",AI174="No",AJ174="No"),0,LEN(AL174)-LEN(SUBSTITUTE(AL174,",",""))+1))*62%)* 2)*(1 + (AP174 / (IF(_xlfn.XLOOKUP(_xlfn.XLOOKUP(B174,'Base stats'!B:B,'Base stats'!E:E),Groups!A:A,Groups!AJ:AJ)="Photonozoa",0.3,1)) + _xlfn.XLOOKUP(B174,'Base stats'!B:B,'Base stats'!AV:AV) * 1.8) * 2) * 2.5 + 10 + I174 * 2,5)+IF(_xlfn.XLOOKUP(B174,'Base stats'!B:B,'Base stats'!AK:AK)=1,50,0)</f>
        <v>395</v>
      </c>
      <c r="BS174" s="8">
        <f t="shared" si="19"/>
        <v>2.1</v>
      </c>
      <c r="BT174" s="8" t="str">
        <f>_xlfn.XLOOKUP(B174,'Base stats'!B:B,'Base stats'!AF:AF)</f>
        <v>No</v>
      </c>
      <c r="BU174" s="2" t="str">
        <f>IF(AND(J174&lt;=0.95,OR(_xlfn.XLOOKUP(B174,'Base stats'!B:B,'Base stats'!AK:AK)=1,_xlfn.XLOOKUP(B174,'Base stats'!B:B,'Base stats'!Y:Y)="Carnivore",_xlfn.XLOOKUP(B174,'Base stats'!B:B,'Base stats'!Y:Y)="Omnivore",BE174&gt;0.1)),"true","false")</f>
        <v>true</v>
      </c>
      <c r="BV174" s="2" t="str">
        <f>IF(_xlfn.XLOOKUP(B174,'Base stats'!B:B,'Base stats'!AI:AI)=1,"true","false")</f>
        <v>false</v>
      </c>
      <c r="BW174" s="25" t="str">
        <f>IF(E174="BaseInsect","AnimalInsect",
IF(J174&gt;0.95,"AnimalExotic",
_xlfn.TEXTJOIN(", ",TRUE,
IF(OR(_xlfn.XLOOKUP(B174,'Base stats'!B:B,'Base stats'!AM:AM)=1,AND(_xlfn.XLOOKUP(B174,'Base stats'!B:B,'Base stats'!O:O)=0,_xlfn.XLOOKUP(_xlfn.XLOOKUP(B174,'Base stats'!B:B,'Base stats'!E:E),Groups!A:A,Groups!B:B)&gt;0)),"AnimalUncommon","AnimalCommon"),
IF(AND(_xlfn.XLOOKUP(B174,'Base stats'!B:B,'Base stats'!O:O)=2,_xlfn.XLOOKUP(_xlfn.XLOOKUP(B174,'Base stats'!B:B,'Base stats'!E:E),Groups!A:A,Groups!D:D)=0),"AnimalPet",IF(AND(_xlfn.XLOOKUP(B174,'Base stats'!B:B,'Base stats'!O:O)&lt;&gt;0,_xlfn.XLOOKUP(_xlfn.XLOOKUP(B174,'Base stats'!B:B,'Base stats'!E:E),Groups!A:A,Groups!D:D)&lt;&gt;0),"AnimalFarm","")),
IF(OR(_xlfn.XLOOKUP(B174,'Base stats'!B:B,'Base stats'!AK:AK)=1,AND(BI174&lt;&gt;"None",BR174&gt;=60),ISNUMBER(SEARCH("Attack target",BP174))),"AnimalFighter","")
)))</f>
        <v>AnimalUncommon</v>
      </c>
      <c r="BX174" s="25" t="str">
        <f>IF(G174="None",TRIM(
SUBSTITUTE(
IF(COUNTIF(Biomes!B$2:B$259,"="&amp;$C174)&gt;0,Biomes!B$1&amp;", ","")&amp;
IF(COUNTIF(Biomes!C$2:C$259,"="&amp;$C174)&gt;0,Biomes!C$1&amp;", ","")&amp;
IF(COUNTIF(Biomes!D$2:D$259,"="&amp;$C174)&gt;0,Biomes!D$1&amp;", ","")&amp;
IF(COUNTIF(Biomes!F$2:F$259,"="&amp;$C174)&gt;0,Biomes!F$1&amp;", ","")&amp;
IF(COUNTIF(Biomes!G$2:G$259,"="&amp;$C174)&gt;0,Biomes!G$1&amp;", ","")&amp;
IF(COUNTIF(Biomes!H$2:H$259,"="&amp;$C174)&gt;0,Biomes!H$1&amp;", ","")&amp;
IF(COUNTIF(Biomes!I$2:I$259,"="&amp;$C174)&gt;0,Biomes!I$1&amp;", ","")&amp;
IF(COUNTIF(Biomes!J$2:J$259,"="&amp;$C174)&gt;0,Biomes!J$1&amp;", ","")&amp;
IF(COUNTIF(Biomes!M$2:M$259,"="&amp;$C174)&gt;0,Biomes!M$1&amp;", ","")&amp;
IF(COUNTIF(Biomes!N$2:N$259,"="&amp;$C174)&gt;0,Biomes!N$1&amp;", ","")&amp;
IF(COUNTIF(Biomes!O$2:O$259,"="&amp;$C174)&gt;0,Biomes!O$1&amp;", ","")&amp;
IF(COUNTIF(Biomes!P$2:P$259,"="&amp;$C174)&gt;0,Biomes!P$1&amp;", ","")&amp;
IF(COUNTIF(Biomes!K$2:K$259,"="&amp;$C174)&gt;0,Biomes!K$1&amp;", ","")&amp;
IF(COUNTIF(Biomes!Q$3:Q$259,"="&amp;$C174)&gt;0,Biomes!Q$1&amp;", ","")&amp;
IF(COUNTIF(Biomes!L$2:L$259,"="&amp;$C174)&gt;0,Biomes!L$1&amp;", ","")&amp;
IF(COUNTIF(Biomes!E$2:E$259,"="&amp;$C174)&gt;0,Biomes!E$1&amp;", ","")&amp;IF(COUNTIF(Biomes!S$2:S$259,"="&amp;$C174)&gt;0,Biomes!S$1&amp;", ","")&amp;
IF(COUNTIF(Biomes!R$2:R$259,"="&amp;$C174)&gt;0,Biomes!R$1&amp;", ",""),", ","")
),_xlfn.XLOOKUP(B174,B:B,BX:BX))</f>
        <v>AridShrubland Grasslands</v>
      </c>
      <c r="BY174" s="25" t="str">
        <f>IF(_xlfn.XLOOKUP(B174,'Base stats'!B:B,'Base stats'!AJ:AJ)=1,"true","false")</f>
        <v>false</v>
      </c>
      <c r="BZ174" s="25">
        <f>IF(_xlfn.XLOOKUP(B174,'Base stats'!B:B,'Base stats'!N:N)=1,"No",MAX(0.001,MIN(MROUND(IF(AND(BJ174="True",CC174="False"),POWER(10,3.47*LOG10(_xlfn.XLOOKUP(B174,'Base stats'!B:B,'Base stats'!C:C)*1000)^-0.96),POWER(10,4.15*LOG10(_xlfn.XLOOKUP(B174,'Base stats'!B:B,'Base stats'!C:C)*1000)^-0.73))*IF(_xlfn.XLOOKUP(B174,'Base stats'!B:B,'Base stats'!AK:AK)=1,0.5,1)*IF(_xlfn.XLOOKUP(B174,'Base stats'!B:B,'Base stats'!AM:AM)=1,0.1,1)/100,IF(_xlfn.XLOOKUP(B174,'Base stats'!B:B,'Base stats'!AM:AM)=1,0.001,0.025)),0.5)))</f>
        <v>1.3000000000000001E-2</v>
      </c>
      <c r="CA174" s="25" t="str">
        <f>IF(P174="Standard","No",MAX(0.001,MIN(MROUND(IF(AND(BJ174="True",CC174="False"),POWER(10,3.47*LOG10(_xlfn.XLOOKUP(B174,'Base stats'!B:B,'Base stats'!C:C)*1000)^-0.96),POWER(10,4.15*LOG10(_xlfn.XLOOKUP(B174,'Base stats'!B:B,'Base stats'!C:C)*1000)^-0.73))*IF(_xlfn.XLOOKUP(B174,'Base stats'!B:B,'Base stats'!AM:AM)=1,0.1,1)*_xlfn.XLOOKUP(B174,'Base stats'!B:B,'Base stats'!R:R)/100,IF(_xlfn.XLOOKUP(B174,'Base stats'!B:B,'Base stats'!AM:AM)=1,0.001,0.025)),0.5)))</f>
        <v>No</v>
      </c>
      <c r="CB174" s="25" t="str">
        <f>IF(_xlfn.XLOOKUP(_xlfn.XLOOKUP(B174,'Base stats'!B:B,'Base stats'!E:E),Groups!A:A,Groups!AJ:AJ)="Mammal","True","False")</f>
        <v>True</v>
      </c>
      <c r="CC174" s="25" t="str">
        <f>IF(OR(_xlfn.XLOOKUP(_xlfn.XLOOKUP(B174,'Base stats'!B:B,'Base stats'!E:E),Groups!A:A,Groups!AJ:AJ)="Reptile",_xlfn.XLOOKUP(_xlfn.XLOOKUP(B174,'Base stats'!B:B,'Base stats'!E:E),Groups!A:A,Groups!AJ:AJ)="Amphibian",_xlfn.XLOOKUP(_xlfn.XLOOKUP(B174,'Base stats'!B:B,'Base stats'!E:E),Groups!A:A,Groups!AJ:AJ)="Invertebrate"),"True","False")</f>
        <v>False</v>
      </c>
      <c r="CD174" s="25" t="str">
        <f t="shared" si="20"/>
        <v>False</v>
      </c>
      <c r="CE174" s="25" t="str">
        <f>IF(_xlfn.XLOOKUP(_xlfn.XLOOKUP(B174,'Base stats'!B:B,'Base stats'!E:E),Groups!A:A,Groups!AX:AX),"True","False")</f>
        <v>False</v>
      </c>
      <c r="CF174" s="25" t="str">
        <f>IF(_xlfn.XLOOKUP(_xlfn.XLOOKUP(B174,'Base stats'!B:B,'Base stats'!E:E),Groups!A:A,Groups!AY:AY),"True","False")</f>
        <v>False</v>
      </c>
      <c r="CG174" s="25" t="str">
        <f>IF(_xlfn.XLOOKUP(_xlfn.XLOOKUP(B174,'Base stats'!B:B,'Base stats'!E:E),Groups!A:A,Groups!AW:AW),"True","False")</f>
        <v>False</v>
      </c>
      <c r="CH174" s="25" t="str">
        <f>IF(
OR(
_xlfn.XLOOKUP(_xlfn.XLOOKUP(B174,'Base stats'!B:B,'Base stats'!E:E),Groups!A:A,Groups!AZ:AZ)=0,
AND(
_xlfn.XLOOKUP(B174,'Base stats'!B:B,'Base stats'!Y:Y)&lt;&gt;"Carnivore",
_xlfn.XLOOKUP(B174,'Base stats'!B:B,'Base stats'!Y:Y)&lt;&gt;"Omnivore",
_xlfn.XLOOKUP(B174,'Base stats'!B:B,'Base stats'!Y:Y)&lt;&gt;"OmnivoreRough"
)
),
"No",
IF(
_xlfn.XLOOKUP(_xlfn.XLOOKUP(B174,'Base stats'!B:B,'Base stats'!E:E),Groups!A:A,Groups!AZ:AZ)=1,
"Flesh",
IF(
_xlfn.XLOOKUP(_xlfn.XLOOKUP(B174,'Base stats'!B:B,'Base stats'!E:E),Groups!A:A,Groups!AZ:AZ)=2,
"Bone",
""
)
)
)</f>
        <v>No</v>
      </c>
      <c r="CI174" s="25" t="str">
        <f>IF(_xlfn.XLOOKUP(_xlfn.XLOOKUP(B174,'Base stats'!B:B,'Base stats'!E:E),Groups!A:A,Groups!BB:BB),"True","False")</f>
        <v>True</v>
      </c>
      <c r="CJ174" s="25" t="str">
        <f>IF(_xlfn.XLOOKUP(_xlfn.XLOOKUP(B174,'Base stats'!B:B,'Base stats'!E:E),Groups!A:A,Groups!BA:BA),"True","False")</f>
        <v>False</v>
      </c>
    </row>
    <row r="175" spans="1:88" ht="16.5" thickTop="1" thickBot="1" x14ac:dyDescent="0.3">
      <c r="A175" s="26" t="s">
        <v>1200</v>
      </c>
      <c r="B175" s="6" t="s">
        <v>1209</v>
      </c>
      <c r="C175" s="28" t="s">
        <v>1191</v>
      </c>
      <c r="D175" s="28" t="s">
        <v>1189</v>
      </c>
      <c r="E175" s="28" t="s">
        <v>673</v>
      </c>
      <c r="F175" s="28" t="s">
        <v>673</v>
      </c>
      <c r="G175" s="28" t="s">
        <v>673</v>
      </c>
      <c r="H175" s="2">
        <f>MROUND((
  (IF(AND(_xlfn.XLOOKUP(B175,'Base stats'!B:B,'Base stats'!AL:AL)=0,BI175="None",_xlfn.XLOOKUP(_xlfn.XLOOKUP(B175,'Base stats'!B:B,'Base stats'!E:E),Groups!A:A,Groups!B:B)=0), (18 + BR175 * 2.7) * 0.5,
    IF(AND(_xlfn.XLOOKUP(B175,'Base stats'!B:B,'Base stats'!AL:AL)=0,OR(AO175&lt;0.55,AND(BI175="Intermediate",_xlfn.XLOOKUP(_xlfn.XLOOKUP(B175,'Base stats'!B:B,'Base stats'!E:E),Groups!A:A,Groups!B:B)&lt;2))), (18 + BR175 * 2.7),
      IF(OR(BI175="Advanced",_xlfn.XLOOKUP(B175,'Base stats'!B:B,'Base stats'!AL:AL)=1,_xlfn.XLOOKUP(_xlfn.XLOOKUP(B175,'Base stats'!B:B,'Base stats'!E:E),Groups!A:A,Groups!B:B)=2), (18 + BR175 * 2.7) + 250, (18 + BR175 * 2.7))
    )
  ))
  + AO175 * 80
  + IF(COUNTIF(EggMilk!K$2:K$998, A175) &gt; 0, 125, 0)
  + IF(COUNTIF(EggMilk!P$2:P$998, A175) &gt; 0, 90, 0)
  + IF(COUNTIF(EggMilk!A$2:A$998, A175) &gt; 0, 90, 0)
)
* (0.8 + 0.4 * J175)
* 0.75,25)</f>
        <v>425</v>
      </c>
      <c r="I175" s="2">
        <f>MROUND(ROUNDDOWN(_xlfn.XLOOKUP(B175,'Base stats'!B:B,'Base stats'!L:L)/3.6/(23.3/11),1),0.5)</f>
        <v>4</v>
      </c>
      <c r="J175" s="2">
        <f>IF(OR(_xlfn.XLOOKUP(B175,'Base stats'!B:B,'Base stats'!AB:AB)=1,_xlfn.XLOOKUP(_xlfn.XLOOKUP(B175,'Base stats'!B:B,'Base stats'!E:E),Groups!A:A,Groups!C:C)="Untamable"),1,IF(_xlfn.XLOOKUP(B175,'Base stats'!B:B,'Base stats'!AL:AL)=1,0.99,MIN(MROUND((1-0.6282*EXP(-0.459*AO175))*_xlfn.XLOOKUP(_xlfn.XLOOKUP(B175,'Base stats'!B:B,'Base stats'!E:E),Groups!A:A,Groups!C:C)*IF(_xlfn.XLOOKUP(B175,'Base stats'!B:B,'Base stats'!O:O)=1,0.5,IF(_xlfn.XLOOKUP(B175,'Base stats'!B:B,'Base stats'!O:O)=2,0,1)),0.05),IF(AO175&gt;3.5,0.985,0.95))))</f>
        <v>0.75</v>
      </c>
      <c r="K175" s="2">
        <f>ROUNDUP(AO175*_xlfn.XLOOKUP(_xlfn.XLOOKUP(B175,'Base stats'!B:B,'Base stats'!E:E),Groups!A:A,Groups!E:E),0)</f>
        <v>1</v>
      </c>
      <c r="L175" s="2">
        <f>IF(OR(_xlfn.XLOOKUP(_xlfn.XLOOKUP(B175,'Base stats'!B:B,'Base stats'!E:E),Groups!A:A,Groups!F:F)=2,ISNUMBER(SEARCH("SeaIce",BX175)),ISNUMBER(SEARCH("IceSheet",BX175))),-50,IF(OR(ISNUMBER(SEARCH("GlacialPlain",BX175)),ISNUMBER(SEARCH("Tundra",BX175))),-40,IF(OR(ISNUMBER(SEARCH("Alpine",BX175)),ISNUMBER(SEARCH("BorealForest",BX175)),ISNUMBER(SEARCH("ColdBog",BX175))),-30,IF(OR(ISNUMBER(SEARCH("TemperateForest",BX175)),ISNUMBER(SEARCH("TemperateSwamp",BX175))),-20,IF(_xlfn.XLOOKUP(_xlfn.XLOOKUP(B175,'Base stats'!B:B,'Base stats'!E:E),Groups!A:A,Groups!F:F)=1,-15,IF(OR(ISNUMBER(SEARCH("Desert",BX175)),ISNUMBER(SEARCH("ExtremeDesert",BX175))),-10,IF(OR(ISNUMBER(SEARCH("Grasslands",BX175)),ISNUMBER(SEARCH("TropicalRainforest",BX175)),ISNUMBER(SEARCH("TropicalSwamp",BX175))),10,0)))))))-IF(CC175="False",MIN(IFERROR(MAX(MROUND(LOG10(_xlfn.XLOOKUP(B175,'Base stats'!B:B,'Base stats'!C:C)^(2/3))*10,5),5),5),30))-_xlfn.XLOOKUP(B175,'Base stats'!B:B,'Base stats'!P:P)+IF(CC175="True",5,0)</f>
        <v>0</v>
      </c>
      <c r="M175" s="2">
        <f>IF(OR(_xlfn.XLOOKUP(_xlfn.XLOOKUP(B175,'Base stats'!B:B,'Base stats'!E:E),Groups!A:A,Groups!G:G)=2,ISNUMBER(SEARCH("Desert",BX175)),ISNUMBER(SEARCH("ExtremeDesert",BX175)),ISNUMBER(SEARCH("LavaField",BX175))),50,IF(ISNUMBER(SEARCH("Grasslands",BX175)),45,IF(OR(_xlfn.XLOOKUP(_xlfn.XLOOKUP(B175,'Base stats'!B:B,'Base stats'!E:E),Groups!A:A,Groups!G:G)=1,ISNUMBER(SEARCH("TropicalRainforest",BX175)),ISNUMBER(SEARCH("TropicalSwamp",BX175))),40,IF(OR(ISNUMBER(SEARCH("TemperateForest",BX175)),ISNUMBER(SEARCH("TemperateSwamp",BX175))),35,IF(OR(ISNUMBER(SEARCH("Alpine",BX175)),ISNUMBER(SEARCH("BorealForest",BX175)),ISNUMBER(SEARCH("ColdBog",BX175))),30,IF(ISNUMBER(OR(ISNUMBER(SEARCH("GlacialPlain",BX175)),SEARCH("Tundra",BX175))),25,IF(OR(ISNUMBER(SEARCH("SeaIce",BX175)),ISNUMBER(SEARCH("IceSheet",BX175)),ISNUMBER(SEARCH("TropicalSwamp",BX175))),10,35)))))))+_xlfn.XLOOKUP(B175,'Base stats'!B:B,'Base stats'!Q:Q)</f>
        <v>40</v>
      </c>
      <c r="N175" s="8" t="str">
        <f>IF(
_xlfn.XLOOKUP(
_xlfn.XLOOKUP(B175,'Base stats'!B:B,'Base stats'!E:E),
Groups!A:A,
Groups!L:L
)=1,
MIN(
MROUND(
IF(
_xlfn.XLOOKUP(B175,'Animals CE'!B:B,'Animals CE'!Z:Z)&lt;=1.5,
_xlfn.XLOOKUP(B175,'Animals CE'!B:B,'Animals CE'!Z:Z)/2+0.05,
0.8+
(_xlfn.XLOOKUP(B175,'Animals CE'!B:B,'Animals CE'!Z:Z)-1.5)
*0.02
),
0.05
),
200%
),
"No"
)</f>
        <v>No</v>
      </c>
      <c r="O175" s="8" t="str">
        <f>IF(
_xlfn.XLOOKUP(
_xlfn.XLOOKUP(B175,'Base stats'!B:B,'Base stats'!E:E),
Groups!A:A,
Groups!L:L
)=1,
MIN(
MROUND(
IF(
_xlfn.XLOOKUP(B175,'Animals CE'!B:B,'Animals CE'!AA:AA)&lt;=1.5,
_xlfn.XLOOKUP(B175,'Animals CE'!B:B,'Animals CE'!AA:AA)/2+0.05,
0.8+
(_xlfn.XLOOKUP(B175,'Animals CE'!B:B,'Animals CE'!AA:AA)-1.5)
*0.02
),
0.05
),
200%
),
"No"
)</f>
        <v>No</v>
      </c>
      <c r="P175" s="2" t="str">
        <f>_xlfn.XLOOKUP(B175,'Base stats'!B:B,'Base stats'!R:R)</f>
        <v>Standard</v>
      </c>
      <c r="Q175" s="13">
        <f>MROUND((LOG10(_xlfn.XLOOKUP(B175,'Base stats'!B:B,'Base stats'!AR:AR))*(AO175^0.5)+(_xlfn.XLOOKUP(B175,'Base stats'!B:B,'Base stats'!AR:AR)/1000)^(2/3)+_xlfn.XLOOKUP(B175,'Base stats'!B:B,'Base stats'!BA:BA)/2)+0.5,0.5)</f>
        <v>6</v>
      </c>
      <c r="R175" s="7">
        <f>IF(Q175="No","No",MAX(1,MROUND(_xlfn.XLOOKUP(B175,'Base stats'!B:B,'Base stats'!C:C)^0.165,0.05)))</f>
        <v>1.85</v>
      </c>
      <c r="S175" s="13" t="str">
        <f>IF(_xlfn.XLOOKUP(_xlfn.XLOOKUP(B175,'Base stats'!B:B,'Base stats'!E:E),Groups!A:A,Groups!P:P)=0,"No",MROUND((LOG10(_xlfn.XLOOKUP(B175,'Base stats'!B:B,'Base stats'!AS:AS))*(AO175^0.5)+(_xlfn.XLOOKUP(B175,'Base stats'!B:B,'Base stats'!AS:AS)/1000)^(2/3)+_xlfn.XLOOKUP(B175,'Base stats'!B:B,'Base stats'!BA:BA))+_xlfn.XLOOKUP(B175,'Base stats'!B:B,'Base stats'!AY:AY)+0.5,0.5))</f>
        <v>No</v>
      </c>
      <c r="T175" s="7" t="str">
        <f>IF(S175="No","No",MAX(_xlfn.XLOOKUP(_xlfn.XLOOKUP(B175,'Base stats'!B:B,'Base stats'!E:E),Groups!A:A,Groups!Q:Q),MROUND(_xlfn.XLOOKUP(_xlfn.XLOOKUP(B175,'Base stats'!B:B,'Base stats'!E:E),Groups!A:A,Groups!Q:Q)*_xlfn.XLOOKUP(B175,'Base stats'!B:B,'Base stats'!C:C)^0.165,0.05)))</f>
        <v>No</v>
      </c>
      <c r="U175" s="7" t="str">
        <f>IF(S175="No","No",_xlfn.XLOOKUP(_xlfn.XLOOKUP(B175,'Base stats'!B:B,'Base stats'!E:E),Groups!A:A,Groups!R:R))</f>
        <v>No</v>
      </c>
      <c r="V175" s="7" t="str">
        <f>IF(S175="No","No",_xlfn.XLOOKUP(_xlfn.XLOOKUP(B175,'Base stats'!B:B,'Base stats'!E:E),Groups!A:A,Groups!S:S))</f>
        <v>No</v>
      </c>
      <c r="W175" s="7" t="str">
        <f>IF(S175="No","No",_xlfn.XLOOKUP(_xlfn.XLOOKUP(B175,'Base stats'!B:B,'Base stats'!E:E),Groups!A:A,Groups!T:T))</f>
        <v>No</v>
      </c>
      <c r="X175" s="13" t="str">
        <f>IF(_xlfn.XLOOKUP(B175,'Base stats'!B:B,'Base stats'!W:W)="No","No",MROUND((LOG10(_xlfn.XLOOKUP(B175,'Base stats'!B:B,'Base stats'!AU:AU))*(AO175^0.5)+(_xlfn.XLOOKUP(B175,'Base stats'!B:B,'Base stats'!AU:AU)/1000)^(2/3)+_xlfn.XLOOKUP(B175,'Base stats'!B:B,'Base stats'!AZ:AZ))+0.5+IF(_xlfn.XLOOKUP(_xlfn.XLOOKUP(B175,'Base stats'!B:B,'Base stats'!E:E),Groups!A:A,Groups!U:U)&lt;&gt;3,_xlfn.XLOOKUP(B175,'Base stats'!B:B,'Base stats'!BA:BA),0),0.5))</f>
        <v>No</v>
      </c>
      <c r="Y175" s="7" t="str">
        <f>IF(X175="No","No",MAX(_xlfn.XLOOKUP(_xlfn.XLOOKUP(B175,'Base stats'!B:B,'Base stats'!E:E),Groups!A:A,Groups!V:V),MROUND(_xlfn.XLOOKUP(_xlfn.XLOOKUP(B175,'Base stats'!B:B,'Base stats'!E:E),Groups!A:A,Groups!V:V)*_xlfn.XLOOKUP(B175,'Base stats'!B:B,'Base stats'!C:C)^0.165,0.05)))</f>
        <v>No</v>
      </c>
      <c r="Z175" s="7" t="str">
        <f>IF(X175="No","No",_xlfn.XLOOKUP(_xlfn.XLOOKUP(B175,'Base stats'!B:B,'Base stats'!E:E),Groups!A:A,Groups!W:W))</f>
        <v>No</v>
      </c>
      <c r="AA175" s="7" t="str">
        <f>IF(X175="No","No",_xlfn.XLOOKUP(_xlfn.XLOOKUP(B175,'Base stats'!B:B,'Base stats'!E:E),Groups!A:A,Groups!X:X))</f>
        <v>No</v>
      </c>
      <c r="AB175" s="7" t="str">
        <f>IF(X175="No","No",_xlfn.XLOOKUP(_xlfn.XLOOKUP(B175,'Base stats'!B:B,'Base stats'!E:E),Groups!A:A,Groups!Y:Y))</f>
        <v>No</v>
      </c>
      <c r="AC175" s="7" t="str">
        <f>_xlfn.XLOOKUP(Animals!B175,'Base stats'!B:B,'Base stats'!X:X)</f>
        <v>False</v>
      </c>
      <c r="AD175" s="13">
        <f>IF(_xlfn.XLOOKUP(B175,'Base stats'!B:B,'Base stats'!AT:AT)="No","No",MROUND((LOG10(_xlfn.XLOOKUP(B175,'Base stats'!B:B,'Base stats'!AT:AT))*(AO175^0.75)+(_xlfn.XLOOKUP(B175,'Base stats'!B:B,'Base stats'!AT:AT)/1000)^(2/3)+_xlfn.XLOOKUP(B175,'Base stats'!B:B,'Base stats'!AX:AX)+_xlfn.XLOOKUP(B175,'Base stats'!B:B,'Base stats'!BA:BA))+0.5,0.5))</f>
        <v>9</v>
      </c>
      <c r="AE175" s="7">
        <f>IF(AD175="No","No",MAX(_xlfn.XLOOKUP(_xlfn.XLOOKUP(B175,'Base stats'!B:B,'Base stats'!E:E),Groups!A:A,Groups!Z:Z),MROUND(_xlfn.XLOOKUP(_xlfn.XLOOKUP(B175,'Base stats'!B:B,'Base stats'!E:E),Groups!A:A,Groups!Z:Z)*_xlfn.XLOOKUP(B175,'Base stats'!B:B,'Base stats'!C:C)^0.165,0.05)))</f>
        <v>1.55</v>
      </c>
      <c r="AF175" s="7" t="str">
        <f>IF(AD175="No","No",_xlfn.XLOOKUP(_xlfn.XLOOKUP(B175,'Base stats'!B:B,'Base stats'!E:E),Groups!A:A,Groups!AA:AA))</f>
        <v>Teeth</v>
      </c>
      <c r="AG175" s="7" t="str">
        <f>IF(AD175="No","No",_xlfn.XLOOKUP(_xlfn.XLOOKUP(B175,'Base stats'!B:B,'Base stats'!E:E),Groups!A:A,Groups!AB:AB))</f>
        <v>canines</v>
      </c>
      <c r="AH175" s="7" t="str">
        <f>IF(AD175="No","No",_xlfn.XLOOKUP(_xlfn.XLOOKUP(B175,'Base stats'!B:B,'Base stats'!E:E),Groups!A:A,Groups!AC:AC))</f>
        <v>Bite</v>
      </c>
      <c r="AI175" s="13">
        <f>IF(_xlfn.XLOOKUP(_xlfn.XLOOKUP(B175,'Base stats'!B:B,'Base stats'!E:E),Groups!A:A,Groups!AD:AD)=0,"No",MROUND((LOG10(_xlfn.XLOOKUP(B175,'Base stats'!B:B,'Base stats'!AS:AS))*(AO175^0.75)+(_xlfn.XLOOKUP(B175,'Base stats'!B:B,'Base stats'!AS:AS)/1000)^(2/3)+_xlfn.XLOOKUP(B175,'Base stats'!B:B,'Base stats'!AY:AY)+_xlfn.XLOOKUP(B175,'Base stats'!B:B,'Base stats'!BA:BA))+0.5,0.5))</f>
        <v>7.5</v>
      </c>
      <c r="AJ175" s="7">
        <f>IF(AI175="No","No",MAX(_xlfn.XLOOKUP(_xlfn.XLOOKUP(B175,'Base stats'!B:B,'Base stats'!E:E),Groups!A:A,Groups!AE:AE),MROUND(_xlfn.XLOOKUP(_xlfn.XLOOKUP(B175,'Base stats'!B:B,'Base stats'!E:E),Groups!A:A,Groups!AE:AE)*IF(_xlfn.XLOOKUP(_xlfn.XLOOKUP(B175,'Base stats'!B:B,'Base stats'!E:E),Groups!A:A,Groups!AJ:AJ)="Photonozoa",0.6,1)*_xlfn.XLOOKUP(B175,'Base stats'!B:B,'Base stats'!C:C)^0.165,0.05)))</f>
        <v>1.2000000000000002</v>
      </c>
      <c r="AK175" s="7" t="str">
        <f>IF(AI175="No","No",_xlfn.XLOOKUP(_xlfn.XLOOKUP(B175,'Base stats'!B:B,'Base stats'!E:E),Groups!A:A,Groups!AF:AF))</f>
        <v>LeftHand, RightHand</v>
      </c>
      <c r="AL175" s="7" t="str">
        <f>IF(AI175="No","No",_xlfn.XLOOKUP(_xlfn.XLOOKUP(B175,'Base stats'!B:B,'Base stats'!E:E),Groups!A:A,Groups!AG:AG))</f>
        <v>left fist, right fist</v>
      </c>
      <c r="AM175" s="7" t="str">
        <f>IF(AI175="No","No",_xlfn.XLOOKUP(_xlfn.XLOOKUP(B175,'Base stats'!B:B,'Base stats'!E:E),Groups!A:A,Groups!AH:AH))</f>
        <v>Blunt</v>
      </c>
      <c r="AN175" s="2" t="str">
        <f t="shared" si="14"/>
        <v>No</v>
      </c>
      <c r="AO175" s="2">
        <f>MROUND(IF(AND(_xlfn.XLOOKUP(B175,'Base stats'!B:B,'Base stats'!C:C)&gt;=0.5,_xlfn.XLOOKUP(B175,'Base stats'!B:B,'Base stats'!C:C)&lt;=0.8),
IF(_xlfn.XLOOKUP(B175,'Base stats'!B:B,'Base stats'!C:C)&lt;0.1,0.05,IF(_xlfn.XLOOKUP(B175,'Base stats'!B:B,'Base stats'!C:C)&lt;=70,(_xlfn.XLOOKUP(B175,'Base stats'!B:B,'Base stats'!C:C)/70)^0.426489913056526,IF(_xlfn.XLOOKUP(B175,'Base stats'!B:B,'Base stats'!C:C)&lt;=400,(_xlfn.XLOOKUP(B175,'Base stats'!B:B,'Base stats'!C:C)/70)^0.572811455315093,IF(_xlfn.XLOOKUP(B175,'Base stats'!B:B,'Base stats'!C:C)&lt;=2000,2.71391647193063*(_xlfn.XLOOKUP(B175,'Base stats'!B:B,'Base stats'!C:C)/400)^0.252459582904293,3.74314280240376*(_xlfn.XLOOKUP(B175,'Base stats'!B:B,'Base stats'!C:C)/2000)^0.357012633876913)))),
IF(_xlfn.XLOOKUP(B175,'Base stats'!B:B,'Base stats'!C:C)&lt;0.1,0.05,IF(_xlfn.XLOOKUP(B175,'Base stats'!B:B,'Base stats'!C:C)&lt;0.4,0.1,IF(_xlfn.XLOOKUP(B175,'Base stats'!B:B,'Base stats'!C:C)&lt;=70,(_xlfn.XLOOKUP(B175,'Base stats'!B:B,'Base stats'!C:C)/70)^0.445823913056526,IF(_xlfn.XLOOKUP(B175,'Base stats'!B:B,'Base stats'!C:C)&lt;=400,(_xlfn.XLOOKUP(B175,'Base stats'!B:B,'Base stats'!C:C)/70)^0.572811455315093,IF(_xlfn.XLOOKUP(B175,'Base stats'!B:B,'Base stats'!C:C)&lt;=2000,2.71391647193063*(_xlfn.XLOOKUP(B175,'Base stats'!B:B,'Base stats'!C:C)/400)^0.252459582904293,3.74314280240376*(_xlfn.XLOOKUP(B175,'Base stats'!B:B,'Base stats'!C:C)/2000)^0.357012633876913)))))),
IF(_xlfn.XLOOKUP(B175,'Base stats'!B:B,'Base stats'!C:C)&lt;0.1,0.05,IF(_xlfn.XLOOKUP(B175,'Base stats'!B:B,'Base stats'!C:C)&lt;=100,0.05,IF(_xlfn.XLOOKUP(B175,'Base stats'!B:B,'Base stats'!C:C)&lt;=250,0.1,IF(_xlfn.XLOOKUP(B175,'Base stats'!B:B,'Base stats'!C:C)&lt;=4000,0.25,0.5)))))</f>
        <v>0.8</v>
      </c>
      <c r="AP175" s="8">
        <f>MROUND(AO175*_xlfn.XLOOKUP(_xlfn.XLOOKUP(B175,'Base stats'!B:B,'Base stats'!E:E),Groups!A:A,Groups!AI:AI)*_xlfn.XLOOKUP(B175,'Base stats'!B:B,'Base stats'!Z:Z),0.05)</f>
        <v>0.8</v>
      </c>
      <c r="AQ175" s="8">
        <f>MAX(0.01,MROUND(IF(CC175="True",0.196*(AO175*100*1000)^0.889,IF(_xlfn.XLOOKUP(_xlfn.XLOOKUP(B175,'Base stats'!B:B,'Base stats'!E:E),Groups!A:A,Groups!AJ:AJ)="Bird",10.5*(AO175*100*1000)^0.681,4.82*(AO175*100*1000)^0.734))/(4.82*(1*100*1000)^0.734)/IF(AO175&lt;3.5,2,IF(AO175=3.5,1.5,1.25))*(1+0.132282374779864/(AO175^0.994035016789033+0.00905238001496948)),0.05))</f>
        <v>0.5</v>
      </c>
      <c r="AR175" s="9">
        <f>IFERROR(MROUND(_xlfn.XLOOKUP(B175,'Base stats'!B:B,'Base stats'!H:H)/IF(_xlfn.XLOOKUP(B175,'Base stats'!B:B,'Base stats'!I:I)&lt;&gt;1,(122.5/70),1.2),IF(_xlfn.XLOOKUP(B175,'Base stats'!B:B,'Base stats'!H:H)&gt;=30,5,IF(_xlfn.XLOOKUP(B175,'Base stats'!B:B,'Base stats'!H:H)&gt;=15,3,IF(_xlfn.XLOOKUP(B175,'Base stats'!B:B,'Base stats'!H:H)&gt;=10,2,1)))),"Immortal")</f>
        <v>45</v>
      </c>
      <c r="AS175" s="35">
        <f>IFERROR(IF(OR(_xlfn.XLOOKUP(B175,'Base stats'!B:B,'Base stats'!F:F)="Atypical reproduction",_xlfn.XLOOKUP(B175,'Base stats'!B:B,'Base stats'!F:F)="Lay eggs"),"Lay eggs",MIN(20,MAX(5.5,ROUND(((_xlfn.XLOOKUP(B175,'Base stats'!B:B,'Base stats'!F:F)-25)*(14.5/615) + 5.5)*2,0)/2))),"Unknown")</f>
        <v>10.5</v>
      </c>
      <c r="AT175" s="8">
        <f>IF(_xlfn.XLOOKUP(B175,'Base stats'!B:B,'Base stats'!G:G)="Atypical reproduction","No",IFERROR(MAX(IF(_xlfn.XLOOKUP(B175,'Base stats'!B:B,'Base stats'!G:G)&lt;0.5,0.2,0.3),MROUND(_xlfn.XLOOKUP(B175,'Base stats'!B:B,'Base stats'!G:G)/(365/60),0.2)),"Unknown"))</f>
        <v>1.4000000000000001</v>
      </c>
      <c r="AU175" s="8">
        <f t="shared" si="15"/>
        <v>0.70000000000000007</v>
      </c>
      <c r="AV175" s="8">
        <f>IFERROR(IFERROR(MROUND(_xlfn.XLOOKUP(B175,'Base stats'!B:B,'Base stats'!J:J),0.1),"Lay eggs"),"Cannot breed")</f>
        <v>1</v>
      </c>
      <c r="AW175" s="2" t="str">
        <f t="shared" si="16"/>
        <v>true</v>
      </c>
      <c r="AX175" s="2" t="str">
        <f>IF(_xlfn.XLOOKUP(_xlfn.XLOOKUP(Animals!B175,'Base stats'!B:B,'Base stats'!E:E),Groups!A:A,Groups!AK:AK)=1,"true","false")</f>
        <v>false</v>
      </c>
      <c r="AY175" s="25" t="str">
        <f>IF(_xlfn.XLOOKUP(B175,'Base stats'!B:B,'Base stats'!Y:Y)="Liquor","Liquor, CarnivoreAnimalStrict",IF(AND(_xlfn.XLOOKUP(B175,'Base stats'!B:B,'Base stats'!Y:Y)="Carnivore",_xlfn.XLOOKUP(_xlfn.XLOOKUP(B175,'Base stats'!B:B,'Base stats'!E:E),Groups!A:A,Groups!AJ:AJ)="Photonozoa"),"CarnivoreAnimalStrict, OvivoreAnimal",IF(_xlfn.XLOOKUP(B175,'Base stats'!B:B,'Base stats'!Y:Y)="Carnivore","CarnivoreAnimal, OvivoreAnimal",IF(_xlfn.XLOOKUP(B175,'Base stats'!B:B,'Base stats'!Y:Y)="Dendrovore","VegetarianRoughAnimal, DendrovoreAnimal",IF(_xlfn.XLOOKUP(B175,'Base stats'!B:B,'Base stats'!Y:Y)="Herbivore","VegetarianRoughAnimal",IF(_xlfn.XLOOKUP(B175,'Base stats'!B:B,'Base stats'!Y:Y)="OmnivoreRough","OmnivoreRoughAnimal, OvivoreAnimal","OmnivoreAnimal, OvivoreAnimal"))))))</f>
        <v>VegetarianRoughAnimal</v>
      </c>
      <c r="AZ175" s="2" t="str">
        <f>IF(_xlfn.XLOOKUP(_xlfn.XLOOKUP(B175,'Base stats'!B:B,'Base stats'!E:E),Groups!A:A,Groups!D:D)=1,MROUND((1-J175)*5+1,2)*IF(J175&lt;=0.4,2,1),"No")</f>
        <v>No</v>
      </c>
      <c r="BA175" s="2" t="str">
        <f>IF(AND(_xlfn.XLOOKUP(B175,'Base stats'!B:B,'Base stats'!AH:AH)="&lt;li&gt;Seal&lt;/li&gt;",G175="Odyssey"),"&lt;li&gt;AEXP_Seal&lt;/li&gt;",_xlfn.XLOOKUP(B175,'Base stats'!B:B,'Base stats'!AH:AH))</f>
        <v>&lt;li&gt;Monkey&lt;/li&gt;</v>
      </c>
      <c r="BB175" s="2" t="str">
        <f>_xlfn.XLOOKUP(B175,'Base stats'!B:B,'Base stats'!AG:AG)</f>
        <v>Leather_Light</v>
      </c>
      <c r="BC175" s="23" t="str">
        <f>_xlfn.XLOOKUP(_xlfn.XLOOKUP(B175,'Base stats'!B:B,'Base stats'!E:E),Groups!A:A,Groups!AL:AL)</f>
        <v>Ape</v>
      </c>
      <c r="BD175" s="23">
        <f>MIN(1,MROUND(IF(AND(AO175&lt;0.5,_xlfn.XLOOKUP(B175,'Base stats'!B:B,'Base stats'!AA:AA)=0),0,IF(OR(_xlfn.XLOOKUP(Animals!B175,'Base stats'!B:B,'Base stats'!O:O)=2,_xlfn.XLOOKUP(_xlfn.XLOOKUP(B175,'Base stats'!B:B,'Base stats'!E:E),Groups!A:A,Groups!AN:AN)=0),0,_xlfn.XLOOKUP(_xlfn.XLOOKUP(B175,'Base stats'!B:B,'Base stats'!E:E),Groups!A:A,Groups!AN:AN)/IF(_xlfn.XLOOKUP(Animals!B175,'Base stats'!B:B,'Base stats'!O:O)=1,2,1)))+_xlfn.XLOOKUP(B175,'Base stats'!B:B,'Base stats'!AC:AC),0.005))</f>
        <v>2.5000000000000001E-2</v>
      </c>
      <c r="BE175" s="23">
        <f>MIN(1,MROUND(IF(AND(AO175&lt;0.5,_xlfn.XLOOKUP(B175,'Base stats'!B:B,'Base stats'!AA:AA)=0),0,IF(_xlfn.XLOOKUP(_xlfn.XLOOKUP(B175,'Base stats'!B:B,'Base stats'!E:E),Groups!A:A,Groups!AO:AO)=0,0,_xlfn.XLOOKUP(_xlfn.XLOOKUP(B175,'Base stats'!B:B,'Base stats'!E:E),Groups!A:A,Groups!AO:AO)/IF(_xlfn.XLOOKUP(Animals!B175,'Base stats'!B:B,'Base stats'!O:O)=2,3,1)))+_xlfn.XLOOKUP(B175,'Base stats'!B:B,'Base stats'!AD:AD),0.005))</f>
        <v>0.1</v>
      </c>
      <c r="BF175" s="2" t="str">
        <f>IF(J175&gt;0.3,"No",_xlfn.XLOOKUP(_xlfn.XLOOKUP(Animals!B175,'Base stats'!B:B,'Base stats'!E:E),Groups!A:A,Groups!AP:AP))</f>
        <v>No</v>
      </c>
      <c r="BG175" s="2" t="str">
        <f>IF(AND(J175&lt;=0.65,_xlfn.XLOOKUP(_xlfn.XLOOKUP(Animals!B175,'Base stats'!B:B,'Base stats'!E:E),Groups!A:A,Groups!AP:AP)&lt;&gt;"No",_xlfn.XLOOKUP(_xlfn.XLOOKUP(B175,'Base stats'!B:B,'Base stats'!E:E),Groups!A:A,Groups!D:D)=0),MROUND((80/3)*IF(_xlfn.XLOOKUP(B175,'Base stats'!B:B,'Base stats'!O:O)=2,0.2,AO175) + 24*(1-IF(BF175="No",0,BF175)) + 16/3, 12),"No")</f>
        <v>No</v>
      </c>
      <c r="BH175" s="2">
        <f>IF(AND(_xlfn.XLOOKUP(_xlfn.XLOOKUP(B175,'Base stats'!B:B,'Base stats'!E:E),Groups!A:A,Groups!AQ:AQ)=1,AO175&lt;=0.35),8,12)</f>
        <v>12</v>
      </c>
      <c r="BI175" s="2" t="str">
        <f>IF(_xlfn.XLOOKUP(_xlfn.XLOOKUP(B175,'Base stats'!B:B,'Base stats'!E:E),Groups!A:A,Groups!D:D)=0,_xlfn.XLOOKUP(_xlfn.XLOOKUP(B175,'Base stats'!B:B,'Base stats'!E:E),Groups!A:A,Groups!AR:AR),"None")</f>
        <v>Advanced</v>
      </c>
      <c r="BJ175" s="2" t="str">
        <f>IF(AND(_xlfn.XLOOKUP(_xlfn.XLOOKUP(B175,'Base stats'!B:B,'Base stats'!E:E),Groups!A:A,Groups!AS:AS)=1,OR(_xlfn.XLOOKUP(B175,'Base stats'!B:B,'Base stats'!Y:Y)="Carnivore",_xlfn.XLOOKUP(B175,'Base stats'!B:B,'Base stats'!Y:Y)="Omnivore")),"true","false")</f>
        <v>false</v>
      </c>
      <c r="BK175" s="2" t="str">
        <f>IF(BJ175="true",MROUND(IF(AND(AO175&gt;0.5,OR(_xlfn.XLOOKUP(_xlfn.XLOOKUP(B175,'Base stats'!B:B,'Base stats'!E:E),Groups!A:A,Groups!AJ:AJ)="Photonozoa",_xlfn.XLOOKUP(_xlfn.XLOOKUP(B175,'Base stats'!B:B,'Base stats'!E:E),Groups!A:A,Groups!AJ:AJ)="Mammal")),Animals!AO175*1.75*IF(AW175="true",1.5,1),IF(AO175&lt;0.5,Animals!AO175*0.5,Animals!AO175)),IF(AO175&gt;2,0.5,IF(AO175&gt;0.5,0.25,0.1))),"No")</f>
        <v>No</v>
      </c>
      <c r="BL175" s="2">
        <f t="shared" si="17"/>
        <v>1</v>
      </c>
      <c r="BM175" s="25" t="str">
        <f>IF(_xlfn.XLOOKUP(B175,'Base stats'!B:B,'Base stats'!AN:AN)="Standard","No",MROUND((_xlfn.XLOOKUP(B175,'Base stats'!B:B,'Base stats'!AN:AN)/3.6)/I175,0.1))</f>
        <v>No</v>
      </c>
      <c r="BN175" s="25" t="str">
        <f t="shared" si="18"/>
        <v>false</v>
      </c>
      <c r="BO175" s="25" t="str">
        <f>IF(AND(OR(_xlfn.XLOOKUP(B175,'Base stats'!B:B,'Base stats'!Y:Y)="Carnivore",_xlfn.XLOOKUP(B175,'Base stats'!B:B,'Base stats'!Y:Y)="Omnivore",_xlfn.XLOOKUP(B175,'Base stats'!B:B,'Base stats'!Y:Y)="OmnivoreRough"),_xlfn.XLOOKUP(_xlfn.XLOOKUP(B175,'Base stats'!B:B,'Base stats'!E:E),Groups!A:A,Groups!AT:AT)=1),"true","false")</f>
        <v>false</v>
      </c>
      <c r="BP175" s="25" t="str" cm="1">
        <f t="array" ref="BP175">IF(
  _xlfn.TEXTJOIN(", ",TRUE,
    IF(AND(BJ175="true",AO175&gt;0.5,BI175&lt;&gt;"None"),"AttackTarget",""),
    IF(AND(_xlfn.XLOOKUP(_xlfn.XLOOKUP(B175,'Base stats'!B:B,'Base stats'!E:E),Groups!A:A,Groups!AJ:AJ="Mammal"),OR(_xlfn.XLOOKUP(B175,'Base stats'!B:B,'Base stats'!Y:Y)="Omnivore",_xlfn.XLOOKUP(B175,'Base stats'!B:B,'Base stats'!Y:Y)="OmnivoreRough")),"Forage",""),
    IF(BG175&lt;=36,"Comfort",""),
    IF(_xlfn.XLOOKUP(B175,'Base stats'!B:B,'Base stats'!AE:AE)&lt;&gt;"No",_xlfn.XLOOKUP(B175,'Base stats'!B:B,'Base stats'!AE:AE),"")
  ) = "",
  "No",
  _xlfn.TEXTJOIN(", ",TRUE,
    IF(AND(BJ175="true",AO175&gt;0.5,BI175&lt;&gt;"None"),"AttackTarget",""),
    IF(AND(_xlfn.XLOOKUP(_xlfn.XLOOKUP(B175,'Base stats'!B:B,'Base stats'!E:E),Groups!A:A,Groups!AJ:AJ="Mammal"),OR(_xlfn.XLOOKUP(B175,'Base stats'!B:B,'Base stats'!Y:Y)="Omnivore",_xlfn.XLOOKUP(B175,'Base stats'!B:B,'Base stats'!Y:Y)="OmnivoreRough")),"Forage",""),
    IF(BG175&lt;=36,"Comfort",""),
    IF(_xlfn.XLOOKUP(B175,'Base stats'!B:B,'Base stats'!AE:AE)&lt;&gt;"No",_xlfn.XLOOKUP(B175,'Base stats'!B:B,'Base stats'!AE:AE),"")
  )
)</f>
        <v>Forage</v>
      </c>
      <c r="BQ175" s="25" t="str">
        <f>IF(
   AND(
      'Base stats'!AN175="Standard",_xlfn.XLOOKUP(_xlfn.XLOOKUP(B175,'Base stats'!B:B,'Base stats'!E:E),Groups!A:A,Groups!AU:AU)=0,
      OR(
      BO175="True"
      )
   ),
   10,
   IF(
       OR(BM175&lt;&gt;"No",_xlfn.XLOOKUP(_xlfn.XLOOKUP(B175,'Base stats'!B:B,'Base stats'!E:E),Groups!A:A,Groups!AU:AU)=1),
      1,
      "No"
   )
)</f>
        <v>No</v>
      </c>
      <c r="BR175" s="9">
        <f>MROUND((1 + ((0.2*IF(OR(Q175="No",R175="No",R175=0),0,Q175/R175)
+IF(OR(V175="No",S175="No",T175="No"),0,S175/T175*(LEN(V175)-LEN(SUBSTITUTE(V175,",",""))+1))
+IF(OR(X175="No",Y175="No"),0,X175/Y175)
+IF(OR(AD175="No",AE175="No"),0,AD175/AE175)
+IF(OR(AL175="No",AI175="No",AJ175="No"),0,AI175/AJ175*(LEN(AL175)-LEN(SUBSTITUTE(AL175,",",""))+1))
)/(0.2*IF(OR(Q175="No",R175="No",R175=0),0,1)
+IF(OR(V175="No",S175="No",T175="No"),0,LEN(V175)-LEN(SUBSTITUTE(V175,",",""))+1)
+IF(OR(X175="No",Y175="No"),0,1)
+IF(OR(AD175="No",AE175="No"),0,1)
+IF(OR(AL175="No",AI175="No",AJ175="No"),0,LEN(AL175)-LEN(SUBSTITUTE(AL175,",",""))+1))*62%)* 2)*(1 + (AP175 / (IF(_xlfn.XLOOKUP(_xlfn.XLOOKUP(B175,'Base stats'!B:B,'Base stats'!E:E),Groups!A:A,Groups!AJ:AJ)="Photonozoa",0.3,1)) + _xlfn.XLOOKUP(B175,'Base stats'!B:B,'Base stats'!AV:AV) * 1.8) * 2) * 2.5 + 10 + I175 * 2,5)+IF(_xlfn.XLOOKUP(B175,'Base stats'!B:B,'Base stats'!AK:AK)=1,50,0)</f>
        <v>70</v>
      </c>
      <c r="BS175" s="8">
        <f t="shared" si="19"/>
        <v>0.55000000000000004</v>
      </c>
      <c r="BT175" s="8" t="str">
        <f>_xlfn.XLOOKUP(B175,'Base stats'!B:B,'Base stats'!AF:AF)</f>
        <v>3~10</v>
      </c>
      <c r="BU175" s="2" t="str">
        <f>IF(AND(J175&lt;=0.95,OR(_xlfn.XLOOKUP(B175,'Base stats'!B:B,'Base stats'!AK:AK)=1,_xlfn.XLOOKUP(B175,'Base stats'!B:B,'Base stats'!Y:Y)="Carnivore",_xlfn.XLOOKUP(B175,'Base stats'!B:B,'Base stats'!Y:Y)="Omnivore",BE175&gt;0.1)),"true","false")</f>
        <v>false</v>
      </c>
      <c r="BV175" s="2" t="str">
        <f>IF(_xlfn.XLOOKUP(B175,'Base stats'!B:B,'Base stats'!AI:AI)=1,"true","false")</f>
        <v>false</v>
      </c>
      <c r="BW175" s="25" t="str">
        <f>IF(E175="BaseInsect","AnimalInsect",
IF(J175&gt;0.95,"AnimalExotic",
_xlfn.TEXTJOIN(", ",TRUE,
IF(OR(_xlfn.XLOOKUP(B175,'Base stats'!B:B,'Base stats'!AM:AM)=1,AND(_xlfn.XLOOKUP(B175,'Base stats'!B:B,'Base stats'!O:O)=0,_xlfn.XLOOKUP(_xlfn.XLOOKUP(B175,'Base stats'!B:B,'Base stats'!E:E),Groups!A:A,Groups!B:B)&gt;0)),"AnimalUncommon","AnimalCommon"),
IF(AND(_xlfn.XLOOKUP(B175,'Base stats'!B:B,'Base stats'!O:O)=2,_xlfn.XLOOKUP(_xlfn.XLOOKUP(B175,'Base stats'!B:B,'Base stats'!E:E),Groups!A:A,Groups!D:D)=0),"AnimalPet",IF(AND(_xlfn.XLOOKUP(B175,'Base stats'!B:B,'Base stats'!O:O)&lt;&gt;0,_xlfn.XLOOKUP(_xlfn.XLOOKUP(B175,'Base stats'!B:B,'Base stats'!E:E),Groups!A:A,Groups!D:D)&lt;&gt;0),"AnimalFarm","")),
IF(OR(_xlfn.XLOOKUP(B175,'Base stats'!B:B,'Base stats'!AK:AK)=1,AND(BI175&lt;&gt;"None",BR175&gt;=60),ISNUMBER(SEARCH("Attack target",BP175))),"AnimalFighter","")
)))</f>
        <v>AnimalUncommon, AnimalFighter</v>
      </c>
      <c r="BX175" s="25" t="str">
        <f>IF(G175="None",TRIM(
SUBSTITUTE(
IF(COUNTIF(Biomes!B$2:B$259,"="&amp;$C175)&gt;0,Biomes!B$1&amp;", ","")&amp;
IF(COUNTIF(Biomes!C$2:C$259,"="&amp;$C175)&gt;0,Biomes!C$1&amp;", ","")&amp;
IF(COUNTIF(Biomes!D$2:D$259,"="&amp;$C175)&gt;0,Biomes!D$1&amp;", ","")&amp;
IF(COUNTIF(Biomes!F$2:F$259,"="&amp;$C175)&gt;0,Biomes!F$1&amp;", ","")&amp;
IF(COUNTIF(Biomes!G$2:G$259,"="&amp;$C175)&gt;0,Biomes!G$1&amp;", ","")&amp;
IF(COUNTIF(Biomes!H$2:H$259,"="&amp;$C175)&gt;0,Biomes!H$1&amp;", ","")&amp;
IF(COUNTIF(Biomes!I$2:I$259,"="&amp;$C175)&gt;0,Biomes!I$1&amp;", ","")&amp;
IF(COUNTIF(Biomes!J$2:J$259,"="&amp;$C175)&gt;0,Biomes!J$1&amp;", ","")&amp;
IF(COUNTIF(Biomes!M$2:M$259,"="&amp;$C175)&gt;0,Biomes!M$1&amp;", ","")&amp;
IF(COUNTIF(Biomes!N$2:N$259,"="&amp;$C175)&gt;0,Biomes!N$1&amp;", ","")&amp;
IF(COUNTIF(Biomes!O$2:O$259,"="&amp;$C175)&gt;0,Biomes!O$1&amp;", ","")&amp;
IF(COUNTIF(Biomes!P$2:P$259,"="&amp;$C175)&gt;0,Biomes!P$1&amp;", ","")&amp;
IF(COUNTIF(Biomes!K$2:K$259,"="&amp;$C175)&gt;0,Biomes!K$1&amp;", ","")&amp;
IF(COUNTIF(Biomes!Q$3:Q$259,"="&amp;$C175)&gt;0,Biomes!Q$1&amp;", ","")&amp;
IF(COUNTIF(Biomes!L$2:L$259,"="&amp;$C175)&gt;0,Biomes!L$1&amp;", ","")&amp;
IF(COUNTIF(Biomes!E$2:E$259,"="&amp;$C175)&gt;0,Biomes!E$1&amp;", ","")&amp;IF(COUNTIF(Biomes!S$2:S$259,"="&amp;$C175)&gt;0,Biomes!S$1&amp;", ","")&amp;
IF(COUNTIF(Biomes!R$2:R$259,"="&amp;$C175)&gt;0,Biomes!R$1&amp;", ",""),", ","")
),_xlfn.XLOOKUP(B175,B:B,BX:BX))</f>
        <v>TropicalRainforest TropicalSwamp Glowforest</v>
      </c>
      <c r="BY175" s="25" t="str">
        <f>IF(_xlfn.XLOOKUP(B175,'Base stats'!B:B,'Base stats'!AJ:AJ)=1,"true","false")</f>
        <v>false</v>
      </c>
      <c r="BZ175" s="25">
        <f>IF(_xlfn.XLOOKUP(B175,'Base stats'!B:B,'Base stats'!N:N)=1,"No",MAX(0.001,MIN(MROUND(IF(AND(BJ175="True",CC175="False"),POWER(10,3.47*LOG10(_xlfn.XLOOKUP(B175,'Base stats'!B:B,'Base stats'!C:C)*1000)^-0.96),POWER(10,4.15*LOG10(_xlfn.XLOOKUP(B175,'Base stats'!B:B,'Base stats'!C:C)*1000)^-0.73))*IF(_xlfn.XLOOKUP(B175,'Base stats'!B:B,'Base stats'!AK:AK)=1,0.5,1)*IF(_xlfn.XLOOKUP(B175,'Base stats'!B:B,'Base stats'!AM:AM)=1,0.1,1)/100,IF(_xlfn.XLOOKUP(B175,'Base stats'!B:B,'Base stats'!AM:AM)=1,0.001,0.025)),0.5)))</f>
        <v>2.3E-2</v>
      </c>
      <c r="CA175" s="25" t="str">
        <f>IF(P175="Standard","No",MAX(0.001,MIN(MROUND(IF(AND(BJ175="True",CC175="False"),POWER(10,3.47*LOG10(_xlfn.XLOOKUP(B175,'Base stats'!B:B,'Base stats'!C:C)*1000)^-0.96),POWER(10,4.15*LOG10(_xlfn.XLOOKUP(B175,'Base stats'!B:B,'Base stats'!C:C)*1000)^-0.73))*IF(_xlfn.XLOOKUP(B175,'Base stats'!B:B,'Base stats'!AM:AM)=1,0.1,1)*_xlfn.XLOOKUP(B175,'Base stats'!B:B,'Base stats'!R:R)/100,IF(_xlfn.XLOOKUP(B175,'Base stats'!B:B,'Base stats'!AM:AM)=1,0.001,0.025)),0.5)))</f>
        <v>No</v>
      </c>
      <c r="CB175" s="25" t="str">
        <f>IF(_xlfn.XLOOKUP(_xlfn.XLOOKUP(B175,'Base stats'!B:B,'Base stats'!E:E),Groups!A:A,Groups!AJ:AJ)="Mammal","True","False")</f>
        <v>True</v>
      </c>
      <c r="CC175" s="25" t="str">
        <f>IF(OR(_xlfn.XLOOKUP(_xlfn.XLOOKUP(B175,'Base stats'!B:B,'Base stats'!E:E),Groups!A:A,Groups!AJ:AJ)="Reptile",_xlfn.XLOOKUP(_xlfn.XLOOKUP(B175,'Base stats'!B:B,'Base stats'!E:E),Groups!A:A,Groups!AJ:AJ)="Amphibian",_xlfn.XLOOKUP(_xlfn.XLOOKUP(B175,'Base stats'!B:B,'Base stats'!E:E),Groups!A:A,Groups!AJ:AJ)="Invertebrate"),"True","False")</f>
        <v>False</v>
      </c>
      <c r="CD175" s="25" t="str">
        <f t="shared" si="20"/>
        <v>False</v>
      </c>
      <c r="CE175" s="25" t="str">
        <f>IF(_xlfn.XLOOKUP(_xlfn.XLOOKUP(B175,'Base stats'!B:B,'Base stats'!E:E),Groups!A:A,Groups!AX:AX),"True","False")</f>
        <v>False</v>
      </c>
      <c r="CF175" s="25" t="str">
        <f>IF(_xlfn.XLOOKUP(_xlfn.XLOOKUP(B175,'Base stats'!B:B,'Base stats'!E:E),Groups!A:A,Groups!AY:AY),"True","False")</f>
        <v>False</v>
      </c>
      <c r="CG175" s="25" t="str">
        <f>IF(_xlfn.XLOOKUP(_xlfn.XLOOKUP(B175,'Base stats'!B:B,'Base stats'!E:E),Groups!A:A,Groups!AW:AW),"True","False")</f>
        <v>False</v>
      </c>
      <c r="CH175" s="25" t="str">
        <f>IF(
OR(
_xlfn.XLOOKUP(_xlfn.XLOOKUP(B175,'Base stats'!B:B,'Base stats'!E:E),Groups!A:A,Groups!AZ:AZ)=0,
AND(
_xlfn.XLOOKUP(B175,'Base stats'!B:B,'Base stats'!Y:Y)&lt;&gt;"Carnivore",
_xlfn.XLOOKUP(B175,'Base stats'!B:B,'Base stats'!Y:Y)&lt;&gt;"Omnivore",
_xlfn.XLOOKUP(B175,'Base stats'!B:B,'Base stats'!Y:Y)&lt;&gt;"OmnivoreRough"
)
),
"No",
IF(
_xlfn.XLOOKUP(_xlfn.XLOOKUP(B175,'Base stats'!B:B,'Base stats'!E:E),Groups!A:A,Groups!AZ:AZ)=1,
"Flesh",
IF(
_xlfn.XLOOKUP(_xlfn.XLOOKUP(B175,'Base stats'!B:B,'Base stats'!E:E),Groups!A:A,Groups!AZ:AZ)=2,
"Bone",
""
)
)
)</f>
        <v>No</v>
      </c>
      <c r="CI175" s="25" t="str">
        <f>IF(_xlfn.XLOOKUP(_xlfn.XLOOKUP(B175,'Base stats'!B:B,'Base stats'!E:E),Groups!A:A,Groups!BB:BB),"True","False")</f>
        <v>True</v>
      </c>
      <c r="CJ175" s="25" t="str">
        <f>IF(_xlfn.XLOOKUP(_xlfn.XLOOKUP(B175,'Base stats'!B:B,'Base stats'!E:E),Groups!A:A,Groups!BA:BA),"True","False")</f>
        <v>False</v>
      </c>
    </row>
    <row r="176" spans="1:88" ht="16.5" thickTop="1" thickBot="1" x14ac:dyDescent="0.3">
      <c r="A176" s="26" t="s">
        <v>1201</v>
      </c>
      <c r="B176" s="6" t="s">
        <v>1210</v>
      </c>
      <c r="C176" s="28" t="s">
        <v>1192</v>
      </c>
      <c r="D176" s="28" t="s">
        <v>1189</v>
      </c>
      <c r="E176" s="28" t="s">
        <v>675</v>
      </c>
      <c r="F176" s="28" t="s">
        <v>676</v>
      </c>
      <c r="G176" s="28" t="s">
        <v>673</v>
      </c>
      <c r="H176" s="2">
        <f>MROUND((
  (IF(AND(_xlfn.XLOOKUP(B176,'Base stats'!B:B,'Base stats'!AL:AL)=0,BI176="None",_xlfn.XLOOKUP(_xlfn.XLOOKUP(B176,'Base stats'!B:B,'Base stats'!E:E),Groups!A:A,Groups!B:B)=0), (18 + BR176 * 2.7) * 0.5,
    IF(AND(_xlfn.XLOOKUP(B176,'Base stats'!B:B,'Base stats'!AL:AL)=0,OR(AO176&lt;0.55,AND(BI176="Intermediate",_xlfn.XLOOKUP(_xlfn.XLOOKUP(B176,'Base stats'!B:B,'Base stats'!E:E),Groups!A:A,Groups!B:B)&lt;2))), (18 + BR176 * 2.7),
      IF(OR(BI176="Advanced",_xlfn.XLOOKUP(B176,'Base stats'!B:B,'Base stats'!AL:AL)=1,_xlfn.XLOOKUP(_xlfn.XLOOKUP(B176,'Base stats'!B:B,'Base stats'!E:E),Groups!A:A,Groups!B:B)=2), (18 + BR176 * 2.7) + 250, (18 + BR176 * 2.7))
    )
  ))
  + AO176 * 80
  + IF(COUNTIF(EggMilk!K$2:K$998, A176) &gt; 0, 125, 0)
  + IF(COUNTIF(EggMilk!P$2:P$998, A176) &gt; 0, 90, 0)
  + IF(COUNTIF(EggMilk!A$2:A$998, A176) &gt; 0, 90, 0)
)
* (0.8 + 0.4 * J176)
* 0.75,25)</f>
        <v>325</v>
      </c>
      <c r="I176" s="2">
        <f>MROUND(ROUNDDOWN(_xlfn.XLOOKUP(B176,'Base stats'!B:B,'Base stats'!L:L)/3.6/(23.3/11),1),0.5)</f>
        <v>6.5</v>
      </c>
      <c r="J176" s="2">
        <f>IF(OR(_xlfn.XLOOKUP(B176,'Base stats'!B:B,'Base stats'!AB:AB)=1,_xlfn.XLOOKUP(_xlfn.XLOOKUP(B176,'Base stats'!B:B,'Base stats'!E:E),Groups!A:A,Groups!C:C)="Untamable"),1,IF(_xlfn.XLOOKUP(B176,'Base stats'!B:B,'Base stats'!AL:AL)=1,0.99,MIN(MROUND((1-0.6282*EXP(-0.459*AO176))*_xlfn.XLOOKUP(_xlfn.XLOOKUP(B176,'Base stats'!B:B,'Base stats'!E:E),Groups!A:A,Groups!C:C)*IF(_xlfn.XLOOKUP(B176,'Base stats'!B:B,'Base stats'!O:O)=1,0.5,IF(_xlfn.XLOOKUP(B176,'Base stats'!B:B,'Base stats'!O:O)=2,0,1)),0.05),IF(AO176&gt;3.5,0.985,0.95))))</f>
        <v>0.85000000000000009</v>
      </c>
      <c r="K176" s="2">
        <f>ROUNDUP(AO176*_xlfn.XLOOKUP(_xlfn.XLOOKUP(B176,'Base stats'!B:B,'Base stats'!E:E),Groups!A:A,Groups!E:E),0)</f>
        <v>18</v>
      </c>
      <c r="L176" s="2">
        <f>IF(OR(_xlfn.XLOOKUP(_xlfn.XLOOKUP(B176,'Base stats'!B:B,'Base stats'!E:E),Groups!A:A,Groups!F:F)=2,ISNUMBER(SEARCH("SeaIce",BX176)),ISNUMBER(SEARCH("IceSheet",BX176))),-50,IF(OR(ISNUMBER(SEARCH("GlacialPlain",BX176)),ISNUMBER(SEARCH("Tundra",BX176))),-40,IF(OR(ISNUMBER(SEARCH("Alpine",BX176)),ISNUMBER(SEARCH("BorealForest",BX176)),ISNUMBER(SEARCH("ColdBog",BX176))),-30,IF(OR(ISNUMBER(SEARCH("TemperateForest",BX176)),ISNUMBER(SEARCH("TemperateSwamp",BX176))),-20,IF(_xlfn.XLOOKUP(_xlfn.XLOOKUP(B176,'Base stats'!B:B,'Base stats'!E:E),Groups!A:A,Groups!F:F)=1,-15,IF(OR(ISNUMBER(SEARCH("Desert",BX176)),ISNUMBER(SEARCH("ExtremeDesert",BX176))),-10,IF(OR(ISNUMBER(SEARCH("Grasslands",BX176)),ISNUMBER(SEARCH("TropicalRainforest",BX176)),ISNUMBER(SEARCH("TropicalSwamp",BX176))),10,0)))))))-IF(CC176="False",MIN(IFERROR(MAX(MROUND(LOG10(_xlfn.XLOOKUP(B176,'Base stats'!B:B,'Base stats'!C:C)^(2/3))*10,5),5),5),30))-_xlfn.XLOOKUP(B176,'Base stats'!B:B,'Base stats'!P:P)+IF(CC176="True",5,0)</f>
        <v>-35</v>
      </c>
      <c r="M176" s="2">
        <f>IF(OR(_xlfn.XLOOKUP(_xlfn.XLOOKUP(B176,'Base stats'!B:B,'Base stats'!E:E),Groups!A:A,Groups!G:G)=2,ISNUMBER(SEARCH("Desert",BX176)),ISNUMBER(SEARCH("ExtremeDesert",BX176)),ISNUMBER(SEARCH("LavaField",BX176))),50,IF(ISNUMBER(SEARCH("Grasslands",BX176)),45,IF(OR(_xlfn.XLOOKUP(_xlfn.XLOOKUP(B176,'Base stats'!B:B,'Base stats'!E:E),Groups!A:A,Groups!G:G)=1,ISNUMBER(SEARCH("TropicalRainforest",BX176)),ISNUMBER(SEARCH("TropicalSwamp",BX176))),40,IF(OR(ISNUMBER(SEARCH("TemperateForest",BX176)),ISNUMBER(SEARCH("TemperateSwamp",BX176))),35,IF(OR(ISNUMBER(SEARCH("Alpine",BX176)),ISNUMBER(SEARCH("BorealForest",BX176)),ISNUMBER(SEARCH("ColdBog",BX176))),30,IF(ISNUMBER(OR(ISNUMBER(SEARCH("GlacialPlain",BX176)),SEARCH("Tundra",BX176))),25,IF(OR(ISNUMBER(SEARCH("SeaIce",BX176)),ISNUMBER(SEARCH("IceSheet",BX176)),ISNUMBER(SEARCH("TropicalSwamp",BX176))),10,35)))))))+_xlfn.XLOOKUP(B176,'Base stats'!B:B,'Base stats'!Q:Q)</f>
        <v>35</v>
      </c>
      <c r="N176" s="8" t="str">
        <f>IF(
_xlfn.XLOOKUP(
_xlfn.XLOOKUP(B176,'Base stats'!B:B,'Base stats'!E:E),
Groups!A:A,
Groups!L:L
)=1,
MIN(
MROUND(
IF(
_xlfn.XLOOKUP(B176,'Animals CE'!B:B,'Animals CE'!Z:Z)&lt;=1.5,
_xlfn.XLOOKUP(B176,'Animals CE'!B:B,'Animals CE'!Z:Z)/2+0.05,
0.8+
(_xlfn.XLOOKUP(B176,'Animals CE'!B:B,'Animals CE'!Z:Z)-1.5)
*0.02
),
0.05
),
200%
),
"No"
)</f>
        <v>No</v>
      </c>
      <c r="O176" s="8" t="str">
        <f>IF(
_xlfn.XLOOKUP(
_xlfn.XLOOKUP(B176,'Base stats'!B:B,'Base stats'!E:E),
Groups!A:A,
Groups!L:L
)=1,
MIN(
MROUND(
IF(
_xlfn.XLOOKUP(B176,'Animals CE'!B:B,'Animals CE'!AA:AA)&lt;=1.5,
_xlfn.XLOOKUP(B176,'Animals CE'!B:B,'Animals CE'!AA:AA)/2+0.05,
0.8+
(_xlfn.XLOOKUP(B176,'Animals CE'!B:B,'Animals CE'!AA:AA)-1.5)
*0.02
),
0.05
),
200%
),
"No"
)</f>
        <v>No</v>
      </c>
      <c r="P176" s="2" t="str">
        <f>_xlfn.XLOOKUP(B176,'Base stats'!B:B,'Base stats'!R:R)</f>
        <v>Standard</v>
      </c>
      <c r="Q176" s="13">
        <f>MROUND((LOG10(_xlfn.XLOOKUP(B176,'Base stats'!B:B,'Base stats'!AR:AR))*(AO176^0.5)+(_xlfn.XLOOKUP(B176,'Base stats'!B:B,'Base stats'!AR:AR)/1000)^(2/3)+_xlfn.XLOOKUP(B176,'Base stats'!B:B,'Base stats'!BA:BA)/2)+0.5,0.5)</f>
        <v>10</v>
      </c>
      <c r="R176" s="7">
        <f>IF(Q176="No","No",MAX(1,MROUND(_xlfn.XLOOKUP(B176,'Base stats'!B:B,'Base stats'!C:C)^0.165,0.05)))</f>
        <v>2.3000000000000003</v>
      </c>
      <c r="S176" s="13">
        <f>IF(_xlfn.XLOOKUP(_xlfn.XLOOKUP(B176,'Base stats'!B:B,'Base stats'!E:E),Groups!A:A,Groups!P:P)=0,"No",MROUND((LOG10(_xlfn.XLOOKUP(B176,'Base stats'!B:B,'Base stats'!AS:AS))*(AO176^0.5)+(_xlfn.XLOOKUP(B176,'Base stats'!B:B,'Base stats'!AS:AS)/1000)^(2/3)+_xlfn.XLOOKUP(B176,'Base stats'!B:B,'Base stats'!BA:BA))+_xlfn.XLOOKUP(B176,'Base stats'!B:B,'Base stats'!AY:AY)+0.5,0.5))</f>
        <v>14.5</v>
      </c>
      <c r="T176" s="7">
        <f>IF(S176="No","No",MAX(_xlfn.XLOOKUP(_xlfn.XLOOKUP(B176,'Base stats'!B:B,'Base stats'!E:E),Groups!A:A,Groups!Q:Q),MROUND(_xlfn.XLOOKUP(_xlfn.XLOOKUP(B176,'Base stats'!B:B,'Base stats'!E:E),Groups!A:A,Groups!Q:Q)*_xlfn.XLOOKUP(B176,'Base stats'!B:B,'Base stats'!C:C)^0.165,0.05)))</f>
        <v>2.3000000000000003</v>
      </c>
      <c r="U176" s="7" t="str">
        <f>IF(S176="No","No",_xlfn.XLOOKUP(_xlfn.XLOOKUP(B176,'Base stats'!B:B,'Base stats'!E:E),Groups!A:A,Groups!R:R))</f>
        <v>Feet</v>
      </c>
      <c r="V176" s="7" t="str">
        <f>IF(S176="No","No",_xlfn.XLOOKUP(_xlfn.XLOOKUP(B176,'Base stats'!B:B,'Base stats'!E:E),Groups!A:A,Groups!S:S))</f>
        <v>rear left claw, rear  right claw</v>
      </c>
      <c r="W176" s="7" t="str">
        <f>IF(S176="No","No",_xlfn.XLOOKUP(_xlfn.XLOOKUP(B176,'Base stats'!B:B,'Base stats'!E:E),Groups!A:A,Groups!T:T))</f>
        <v>Scratch</v>
      </c>
      <c r="X176" s="13" t="str">
        <f>IF(_xlfn.XLOOKUP(B176,'Base stats'!B:B,'Base stats'!W:W)="No","No",MROUND((LOG10(_xlfn.XLOOKUP(B176,'Base stats'!B:B,'Base stats'!AU:AU))*(AO176^0.5)+(_xlfn.XLOOKUP(B176,'Base stats'!B:B,'Base stats'!AU:AU)/1000)^(2/3)+_xlfn.XLOOKUP(B176,'Base stats'!B:B,'Base stats'!AZ:AZ))+0.5+IF(_xlfn.XLOOKUP(_xlfn.XLOOKUP(B176,'Base stats'!B:B,'Base stats'!E:E),Groups!A:A,Groups!U:U)&lt;&gt;3,_xlfn.XLOOKUP(B176,'Base stats'!B:B,'Base stats'!BA:BA),0),0.5))</f>
        <v>No</v>
      </c>
      <c r="Y176" s="7" t="str">
        <f>IF(X176="No","No",MAX(_xlfn.XLOOKUP(_xlfn.XLOOKUP(B176,'Base stats'!B:B,'Base stats'!E:E),Groups!A:A,Groups!V:V),MROUND(_xlfn.XLOOKUP(_xlfn.XLOOKUP(B176,'Base stats'!B:B,'Base stats'!E:E),Groups!A:A,Groups!V:V)*_xlfn.XLOOKUP(B176,'Base stats'!B:B,'Base stats'!C:C)^0.165,0.05)))</f>
        <v>No</v>
      </c>
      <c r="Z176" s="7" t="str">
        <f>IF(X176="No","No",_xlfn.XLOOKUP(_xlfn.XLOOKUP(B176,'Base stats'!B:B,'Base stats'!E:E),Groups!A:A,Groups!W:W))</f>
        <v>No</v>
      </c>
      <c r="AA176" s="7" t="str">
        <f>IF(X176="No","No",_xlfn.XLOOKUP(_xlfn.XLOOKUP(B176,'Base stats'!B:B,'Base stats'!E:E),Groups!A:A,Groups!X:X))</f>
        <v>No</v>
      </c>
      <c r="AB176" s="7" t="str">
        <f>IF(X176="No","No",_xlfn.XLOOKUP(_xlfn.XLOOKUP(B176,'Base stats'!B:B,'Base stats'!E:E),Groups!A:A,Groups!Y:Y))</f>
        <v>No</v>
      </c>
      <c r="AC176" s="7" t="str">
        <f>_xlfn.XLOOKUP(Animals!B176,'Base stats'!B:B,'Base stats'!X:X)</f>
        <v>False</v>
      </c>
      <c r="AD176" s="13">
        <f>IF(_xlfn.XLOOKUP(B176,'Base stats'!B:B,'Base stats'!AT:AT)="No","No",MROUND((LOG10(_xlfn.XLOOKUP(B176,'Base stats'!B:B,'Base stats'!AT:AT))*(AO176^0.75)+(_xlfn.XLOOKUP(B176,'Base stats'!B:B,'Base stats'!AT:AT)/1000)^(2/3)+_xlfn.XLOOKUP(B176,'Base stats'!B:B,'Base stats'!AX:AX)+_xlfn.XLOOKUP(B176,'Base stats'!B:B,'Base stats'!BA:BA))+0.5,0.5))</f>
        <v>10</v>
      </c>
      <c r="AE176" s="7">
        <f>IF(AD176="No","No",MAX(_xlfn.XLOOKUP(_xlfn.XLOOKUP(B176,'Base stats'!B:B,'Base stats'!E:E),Groups!A:A,Groups!Z:Z),MROUND(_xlfn.XLOOKUP(_xlfn.XLOOKUP(B176,'Base stats'!B:B,'Base stats'!E:E),Groups!A:A,Groups!Z:Z)*_xlfn.XLOOKUP(B176,'Base stats'!B:B,'Base stats'!C:C)^0.165,0.05)))</f>
        <v>2.3000000000000003</v>
      </c>
      <c r="AF176" s="7" t="str">
        <f>IF(AD176="No","No",_xlfn.XLOOKUP(_xlfn.XLOOKUP(B176,'Base stats'!B:B,'Base stats'!E:E),Groups!A:A,Groups!AA:AA))</f>
        <v>Beak</v>
      </c>
      <c r="AG176" s="7" t="str">
        <f>IF(AD176="No","No",_xlfn.XLOOKUP(_xlfn.XLOOKUP(B176,'Base stats'!B:B,'Base stats'!E:E),Groups!A:A,Groups!AB:AB))</f>
        <v>beak</v>
      </c>
      <c r="AH176" s="7" t="str">
        <f>IF(AD176="No","No",_xlfn.XLOOKUP(_xlfn.XLOOKUP(B176,'Base stats'!B:B,'Base stats'!E:E),Groups!A:A,Groups!AC:AC))</f>
        <v>Blunt</v>
      </c>
      <c r="AI176" s="13" t="str">
        <f>IF(_xlfn.XLOOKUP(_xlfn.XLOOKUP(B176,'Base stats'!B:B,'Base stats'!E:E),Groups!A:A,Groups!AD:AD)=0,"No",MROUND((LOG10(_xlfn.XLOOKUP(B176,'Base stats'!B:B,'Base stats'!AS:AS))*(AO176^0.75)+(_xlfn.XLOOKUP(B176,'Base stats'!B:B,'Base stats'!AS:AS)/1000)^(2/3)+_xlfn.XLOOKUP(B176,'Base stats'!B:B,'Base stats'!AY:AY)+_xlfn.XLOOKUP(B176,'Base stats'!B:B,'Base stats'!BA:BA))+0.5,0.5))</f>
        <v>No</v>
      </c>
      <c r="AJ176" s="7" t="str">
        <f>IF(AI176="No","No",MAX(_xlfn.XLOOKUP(_xlfn.XLOOKUP(B176,'Base stats'!B:B,'Base stats'!E:E),Groups!A:A,Groups!AE:AE),MROUND(_xlfn.XLOOKUP(_xlfn.XLOOKUP(B176,'Base stats'!B:B,'Base stats'!E:E),Groups!A:A,Groups!AE:AE)*IF(_xlfn.XLOOKUP(_xlfn.XLOOKUP(B176,'Base stats'!B:B,'Base stats'!E:E),Groups!A:A,Groups!AJ:AJ)="Photonozoa",0.6,1)*_xlfn.XLOOKUP(B176,'Base stats'!B:B,'Base stats'!C:C)^0.165,0.05)))</f>
        <v>No</v>
      </c>
      <c r="AK176" s="7" t="str">
        <f>IF(AI176="No","No",_xlfn.XLOOKUP(_xlfn.XLOOKUP(B176,'Base stats'!B:B,'Base stats'!E:E),Groups!A:A,Groups!AF:AF))</f>
        <v>No</v>
      </c>
      <c r="AL176" s="7" t="str">
        <f>IF(AI176="No","No",_xlfn.XLOOKUP(_xlfn.XLOOKUP(B176,'Base stats'!B:B,'Base stats'!E:E),Groups!A:A,Groups!AG:AG))</f>
        <v>No</v>
      </c>
      <c r="AM176" s="7" t="str">
        <f>IF(AI176="No","No",_xlfn.XLOOKUP(_xlfn.XLOOKUP(B176,'Base stats'!B:B,'Base stats'!E:E),Groups!A:A,Groups!AH:AH))</f>
        <v>No</v>
      </c>
      <c r="AN176" s="2" t="str">
        <f t="shared" si="14"/>
        <v>No</v>
      </c>
      <c r="AO176" s="2">
        <f>MROUND(IF(AND(_xlfn.XLOOKUP(B176,'Base stats'!B:B,'Base stats'!C:C)&gt;=0.5,_xlfn.XLOOKUP(B176,'Base stats'!B:B,'Base stats'!C:C)&lt;=0.8),
IF(_xlfn.XLOOKUP(B176,'Base stats'!B:B,'Base stats'!C:C)&lt;0.1,0.05,IF(_xlfn.XLOOKUP(B176,'Base stats'!B:B,'Base stats'!C:C)&lt;=70,(_xlfn.XLOOKUP(B176,'Base stats'!B:B,'Base stats'!C:C)/70)^0.426489913056526,IF(_xlfn.XLOOKUP(B176,'Base stats'!B:B,'Base stats'!C:C)&lt;=400,(_xlfn.XLOOKUP(B176,'Base stats'!B:B,'Base stats'!C:C)/70)^0.572811455315093,IF(_xlfn.XLOOKUP(B176,'Base stats'!B:B,'Base stats'!C:C)&lt;=2000,2.71391647193063*(_xlfn.XLOOKUP(B176,'Base stats'!B:B,'Base stats'!C:C)/400)^0.252459582904293,3.74314280240376*(_xlfn.XLOOKUP(B176,'Base stats'!B:B,'Base stats'!C:C)/2000)^0.357012633876913)))),
IF(_xlfn.XLOOKUP(B176,'Base stats'!B:B,'Base stats'!C:C)&lt;0.1,0.05,IF(_xlfn.XLOOKUP(B176,'Base stats'!B:B,'Base stats'!C:C)&lt;0.4,0.1,IF(_xlfn.XLOOKUP(B176,'Base stats'!B:B,'Base stats'!C:C)&lt;=70,(_xlfn.XLOOKUP(B176,'Base stats'!B:B,'Base stats'!C:C)/70)^0.445823913056526,IF(_xlfn.XLOOKUP(B176,'Base stats'!B:B,'Base stats'!C:C)&lt;=400,(_xlfn.XLOOKUP(B176,'Base stats'!B:B,'Base stats'!C:C)/70)^0.572811455315093,IF(_xlfn.XLOOKUP(B176,'Base stats'!B:B,'Base stats'!C:C)&lt;=2000,2.71391647193063*(_xlfn.XLOOKUP(B176,'Base stats'!B:B,'Base stats'!C:C)/400)^0.252459582904293,3.74314280240376*(_xlfn.XLOOKUP(B176,'Base stats'!B:B,'Base stats'!C:C)/2000)^0.357012633876913)))))),
IF(_xlfn.XLOOKUP(B176,'Base stats'!B:B,'Base stats'!C:C)&lt;0.1,0.05,IF(_xlfn.XLOOKUP(B176,'Base stats'!B:B,'Base stats'!C:C)&lt;=100,0.05,IF(_xlfn.XLOOKUP(B176,'Base stats'!B:B,'Base stats'!C:C)&lt;=250,0.1,IF(_xlfn.XLOOKUP(B176,'Base stats'!B:B,'Base stats'!C:C)&lt;=4000,0.25,0.5)))))</f>
        <v>1.6</v>
      </c>
      <c r="AP176" s="8">
        <f>MROUND(AO176*_xlfn.XLOOKUP(_xlfn.XLOOKUP(B176,'Base stats'!B:B,'Base stats'!E:E),Groups!A:A,Groups!AI:AI)*_xlfn.XLOOKUP(B176,'Base stats'!B:B,'Base stats'!Z:Z),0.05)</f>
        <v>1.6</v>
      </c>
      <c r="AQ176" s="8">
        <f>MAX(0.01,MROUND(IF(CC176="True",0.196*(AO176*100*1000)^0.889,IF(_xlfn.XLOOKUP(_xlfn.XLOOKUP(B176,'Base stats'!B:B,'Base stats'!E:E),Groups!A:A,Groups!AJ:AJ)="Bird",10.5*(AO176*100*1000)^0.681,4.82*(AO176*100*1000)^0.734))/(4.82*(1*100*1000)^0.734)/IF(AO176&lt;3.5,2,IF(AO176=3.5,1.5,1.25))*(1+0.132282374779864/(AO176^0.994035016789033+0.00905238001496948)),0.05))</f>
        <v>0.9</v>
      </c>
      <c r="AR176" s="9">
        <f>IFERROR(MROUND(_xlfn.XLOOKUP(B176,'Base stats'!B:B,'Base stats'!H:H)/IF(_xlfn.XLOOKUP(B176,'Base stats'!B:B,'Base stats'!I:I)&lt;&gt;1,(122.5/70),1.2),IF(_xlfn.XLOOKUP(B176,'Base stats'!B:B,'Base stats'!H:H)&gt;=30,5,IF(_xlfn.XLOOKUP(B176,'Base stats'!B:B,'Base stats'!H:H)&gt;=15,3,IF(_xlfn.XLOOKUP(B176,'Base stats'!B:B,'Base stats'!H:H)&gt;=10,2,1)))),"Immortal")</f>
        <v>30</v>
      </c>
      <c r="AS176" s="35" t="str">
        <f>IFERROR(IF(OR(_xlfn.XLOOKUP(B176,'Base stats'!B:B,'Base stats'!F:F)="Atypical reproduction",_xlfn.XLOOKUP(B176,'Base stats'!B:B,'Base stats'!F:F)="Lay eggs"),"Lay eggs",MIN(20,MAX(5.5,ROUND(((_xlfn.XLOOKUP(B176,'Base stats'!B:B,'Base stats'!F:F)-25)*(14.5/615) + 5.5)*2,0)/2))),"Unknown")</f>
        <v>Lay eggs</v>
      </c>
      <c r="AT176" s="8">
        <f>IF(_xlfn.XLOOKUP(B176,'Base stats'!B:B,'Base stats'!G:G)="Atypical reproduction","No",IFERROR(MAX(IF(_xlfn.XLOOKUP(B176,'Base stats'!B:B,'Base stats'!G:G)&lt;0.5,0.2,0.3),MROUND(_xlfn.XLOOKUP(B176,'Base stats'!B:B,'Base stats'!G:G)/(365/60),0.2)),"Unknown"))</f>
        <v>0.8</v>
      </c>
      <c r="AU176" s="8">
        <f t="shared" si="15"/>
        <v>0.4</v>
      </c>
      <c r="AV176" s="8" t="str">
        <f>IFERROR(IFERROR(MROUND(_xlfn.XLOOKUP(B176,'Base stats'!B:B,'Base stats'!J:J),0.1),"Lay eggs"),"Cannot breed")</f>
        <v>Lay eggs</v>
      </c>
      <c r="AW176" s="2" t="str">
        <f t="shared" si="16"/>
        <v>true</v>
      </c>
      <c r="AX176" s="2" t="str">
        <f>IF(_xlfn.XLOOKUP(_xlfn.XLOOKUP(Animals!B176,'Base stats'!B:B,'Base stats'!E:E),Groups!A:A,Groups!AK:AK)=1,"true","false")</f>
        <v>false</v>
      </c>
      <c r="AY176" s="25" t="str">
        <f>IF(_xlfn.XLOOKUP(B176,'Base stats'!B:B,'Base stats'!Y:Y)="Liquor","Liquor, CarnivoreAnimalStrict",IF(AND(_xlfn.XLOOKUP(B176,'Base stats'!B:B,'Base stats'!Y:Y)="Carnivore",_xlfn.XLOOKUP(_xlfn.XLOOKUP(B176,'Base stats'!B:B,'Base stats'!E:E),Groups!A:A,Groups!AJ:AJ)="Photonozoa"),"CarnivoreAnimalStrict, OvivoreAnimal",IF(_xlfn.XLOOKUP(B176,'Base stats'!B:B,'Base stats'!Y:Y)="Carnivore","CarnivoreAnimal, OvivoreAnimal",IF(_xlfn.XLOOKUP(B176,'Base stats'!B:B,'Base stats'!Y:Y)="Dendrovore","VegetarianRoughAnimal, DendrovoreAnimal",IF(_xlfn.XLOOKUP(B176,'Base stats'!B:B,'Base stats'!Y:Y)="Herbivore","VegetarianRoughAnimal",IF(_xlfn.XLOOKUP(B176,'Base stats'!B:B,'Base stats'!Y:Y)="OmnivoreRough","OmnivoreRoughAnimal, OvivoreAnimal","OmnivoreAnimal, OvivoreAnimal"))))))</f>
        <v>VegetarianRoughAnimal</v>
      </c>
      <c r="AZ176" s="2">
        <f>IF(_xlfn.XLOOKUP(_xlfn.XLOOKUP(B176,'Base stats'!B:B,'Base stats'!E:E),Groups!A:A,Groups!D:D)=1,MROUND((1-J176)*5+1,2)*IF(J176&lt;=0.4,2,1),"No")</f>
        <v>2</v>
      </c>
      <c r="BA176" s="2" t="str">
        <f>IF(AND(_xlfn.XLOOKUP(B176,'Base stats'!B:B,'Base stats'!AH:AH)="&lt;li&gt;Seal&lt;/li&gt;",G176="Odyssey"),"&lt;li&gt;AEXP_Seal&lt;/li&gt;",_xlfn.XLOOKUP(B176,'Base stats'!B:B,'Base stats'!AH:AH))</f>
        <v>&lt;li&gt;Cassowary&lt;/li&gt;</v>
      </c>
      <c r="BB176" s="2" t="str">
        <f>_xlfn.XLOOKUP(B176,'Base stats'!B:B,'Base stats'!AG:AG)</f>
        <v>Leather_Bird</v>
      </c>
      <c r="BC176" s="23" t="str">
        <f>_xlfn.XLOOKUP(_xlfn.XLOOKUP(B176,'Base stats'!B:B,'Base stats'!E:E),Groups!A:A,Groups!AL:AL)</f>
        <v>Bird</v>
      </c>
      <c r="BD176" s="23">
        <f>MIN(1,MROUND(IF(AND(AO176&lt;0.5,_xlfn.XLOOKUP(B176,'Base stats'!B:B,'Base stats'!AA:AA)=0),0,IF(OR(_xlfn.XLOOKUP(Animals!B176,'Base stats'!B:B,'Base stats'!O:O)=2,_xlfn.XLOOKUP(_xlfn.XLOOKUP(B176,'Base stats'!B:B,'Base stats'!E:E),Groups!A:A,Groups!AN:AN)=0),0,_xlfn.XLOOKUP(_xlfn.XLOOKUP(B176,'Base stats'!B:B,'Base stats'!E:E),Groups!A:A,Groups!AN:AN)/IF(_xlfn.XLOOKUP(Animals!B176,'Base stats'!B:B,'Base stats'!O:O)=1,2,1)))+_xlfn.XLOOKUP(B176,'Base stats'!B:B,'Base stats'!AC:AC),0.005))</f>
        <v>0</v>
      </c>
      <c r="BE176" s="23">
        <f>MIN(1,MROUND(IF(AND(AO176&lt;0.5,_xlfn.XLOOKUP(B176,'Base stats'!B:B,'Base stats'!AA:AA)=0),0,IF(_xlfn.XLOOKUP(_xlfn.XLOOKUP(B176,'Base stats'!B:B,'Base stats'!E:E),Groups!A:A,Groups!AO:AO)=0,0,_xlfn.XLOOKUP(_xlfn.XLOOKUP(B176,'Base stats'!B:B,'Base stats'!E:E),Groups!A:A,Groups!AO:AO)/IF(_xlfn.XLOOKUP(Animals!B176,'Base stats'!B:B,'Base stats'!O:O)=2,3,1)))+_xlfn.XLOOKUP(B176,'Base stats'!B:B,'Base stats'!AD:AD),0.005))</f>
        <v>0</v>
      </c>
      <c r="BF176" s="2" t="str">
        <f>IF(J176&gt;0.3,"No",_xlfn.XLOOKUP(_xlfn.XLOOKUP(Animals!B176,'Base stats'!B:B,'Base stats'!E:E),Groups!A:A,Groups!AP:AP))</f>
        <v>No</v>
      </c>
      <c r="BG176" s="2" t="str">
        <f>IF(AND(J176&lt;=0.65,_xlfn.XLOOKUP(_xlfn.XLOOKUP(Animals!B176,'Base stats'!B:B,'Base stats'!E:E),Groups!A:A,Groups!AP:AP)&lt;&gt;"No",_xlfn.XLOOKUP(_xlfn.XLOOKUP(B176,'Base stats'!B:B,'Base stats'!E:E),Groups!A:A,Groups!D:D)=0),MROUND((80/3)*IF(_xlfn.XLOOKUP(B176,'Base stats'!B:B,'Base stats'!O:O)=2,0.2,AO176) + 24*(1-IF(BF176="No",0,BF176)) + 16/3, 12),"No")</f>
        <v>No</v>
      </c>
      <c r="BH176" s="2">
        <f>IF(AND(_xlfn.XLOOKUP(_xlfn.XLOOKUP(B176,'Base stats'!B:B,'Base stats'!E:E),Groups!A:A,Groups!AQ:AQ)=1,AO176&lt;=0.35),8,12)</f>
        <v>12</v>
      </c>
      <c r="BI176" s="2" t="str">
        <f>IF(_xlfn.XLOOKUP(_xlfn.XLOOKUP(B176,'Base stats'!B:B,'Base stats'!E:E),Groups!A:A,Groups!D:D)=0,_xlfn.XLOOKUP(_xlfn.XLOOKUP(B176,'Base stats'!B:B,'Base stats'!E:E),Groups!A:A,Groups!AR:AR),"None")</f>
        <v>None</v>
      </c>
      <c r="BJ176" s="2" t="str">
        <f>IF(AND(_xlfn.XLOOKUP(_xlfn.XLOOKUP(B176,'Base stats'!B:B,'Base stats'!E:E),Groups!A:A,Groups!AS:AS)=1,OR(_xlfn.XLOOKUP(B176,'Base stats'!B:B,'Base stats'!Y:Y)="Carnivore",_xlfn.XLOOKUP(B176,'Base stats'!B:B,'Base stats'!Y:Y)="Omnivore")),"true","false")</f>
        <v>false</v>
      </c>
      <c r="BK176" s="2" t="str">
        <f>IF(BJ176="true",MROUND(IF(AND(AO176&gt;0.5,OR(_xlfn.XLOOKUP(_xlfn.XLOOKUP(B176,'Base stats'!B:B,'Base stats'!E:E),Groups!A:A,Groups!AJ:AJ)="Photonozoa",_xlfn.XLOOKUP(_xlfn.XLOOKUP(B176,'Base stats'!B:B,'Base stats'!E:E),Groups!A:A,Groups!AJ:AJ)="Mammal")),Animals!AO176*1.75*IF(AW176="true",1.5,1),IF(AO176&lt;0.5,Animals!AO176*0.5,Animals!AO176)),IF(AO176&gt;2,0.5,IF(AO176&gt;0.5,0.25,0.1))),"No")</f>
        <v>No</v>
      </c>
      <c r="BL176" s="2">
        <f t="shared" si="17"/>
        <v>0</v>
      </c>
      <c r="BM176" s="25" t="str">
        <f>IF(_xlfn.XLOOKUP(B176,'Base stats'!B:B,'Base stats'!AN:AN)="Standard","No",MROUND((_xlfn.XLOOKUP(B176,'Base stats'!B:B,'Base stats'!AN:AN)/3.6)/I176,0.1))</f>
        <v>No</v>
      </c>
      <c r="BN176" s="25" t="str">
        <f t="shared" si="18"/>
        <v>false</v>
      </c>
      <c r="BO176" s="25" t="str">
        <f>IF(AND(OR(_xlfn.XLOOKUP(B176,'Base stats'!B:B,'Base stats'!Y:Y)="Carnivore",_xlfn.XLOOKUP(B176,'Base stats'!B:B,'Base stats'!Y:Y)="Omnivore",_xlfn.XLOOKUP(B176,'Base stats'!B:B,'Base stats'!Y:Y)="OmnivoreRough"),_xlfn.XLOOKUP(_xlfn.XLOOKUP(B176,'Base stats'!B:B,'Base stats'!E:E),Groups!A:A,Groups!AT:AT)=1),"true","false")</f>
        <v>false</v>
      </c>
      <c r="BP176" s="25" t="str" cm="1">
        <f t="array" ref="BP176">IF(
  _xlfn.TEXTJOIN(", ",TRUE,
    IF(AND(BJ176="true",AO176&gt;0.5,BI176&lt;&gt;"None"),"AttackTarget",""),
    IF(AND(_xlfn.XLOOKUP(_xlfn.XLOOKUP(B176,'Base stats'!B:B,'Base stats'!E:E),Groups!A:A,Groups!AJ:AJ="Mammal"),OR(_xlfn.XLOOKUP(B176,'Base stats'!B:B,'Base stats'!Y:Y)="Omnivore",_xlfn.XLOOKUP(B176,'Base stats'!B:B,'Base stats'!Y:Y)="OmnivoreRough")),"Forage",""),
    IF(BG176&lt;=36,"Comfort",""),
    IF(_xlfn.XLOOKUP(B176,'Base stats'!B:B,'Base stats'!AE:AE)&lt;&gt;"No",_xlfn.XLOOKUP(B176,'Base stats'!B:B,'Base stats'!AE:AE),"")
  ) = "",
  "No",
  _xlfn.TEXTJOIN(", ",TRUE,
    IF(AND(BJ176="true",AO176&gt;0.5,BI176&lt;&gt;"None"),"AttackTarget",""),
    IF(AND(_xlfn.XLOOKUP(_xlfn.XLOOKUP(B176,'Base stats'!B:B,'Base stats'!E:E),Groups!A:A,Groups!AJ:AJ="Mammal"),OR(_xlfn.XLOOKUP(B176,'Base stats'!B:B,'Base stats'!Y:Y)="Omnivore",_xlfn.XLOOKUP(B176,'Base stats'!B:B,'Base stats'!Y:Y)="OmnivoreRough")),"Forage",""),
    IF(BG176&lt;=36,"Comfort",""),
    IF(_xlfn.XLOOKUP(B176,'Base stats'!B:B,'Base stats'!AE:AE)&lt;&gt;"No",_xlfn.XLOOKUP(B176,'Base stats'!B:B,'Base stats'!AE:AE),"")
  )
)</f>
        <v>No</v>
      </c>
      <c r="BQ176" s="25" t="str">
        <f>IF(
   AND(
      'Base stats'!AN176="Standard",_xlfn.XLOOKUP(_xlfn.XLOOKUP(B176,'Base stats'!B:B,'Base stats'!E:E),Groups!A:A,Groups!AU:AU)=0,
      OR(
      BO176="True"
      )
   ),
   10,
   IF(
       OR(BM176&lt;&gt;"No",_xlfn.XLOOKUP(_xlfn.XLOOKUP(B176,'Base stats'!B:B,'Base stats'!E:E),Groups!A:A,Groups!AU:AU)=1),
      1,
      "No"
   )
)</f>
        <v>No</v>
      </c>
      <c r="BR176" s="9">
        <f>MROUND((1 + ((0.2*IF(OR(Q176="No",R176="No",R176=0),0,Q176/R176)
+IF(OR(V176="No",S176="No",T176="No"),0,S176/T176*(LEN(V176)-LEN(SUBSTITUTE(V176,",",""))+1))
+IF(OR(X176="No",Y176="No"),0,X176/Y176)
+IF(OR(AD176="No",AE176="No"),0,AD176/AE176)
+IF(OR(AL176="No",AI176="No",AJ176="No"),0,AI176/AJ176*(LEN(AL176)-LEN(SUBSTITUTE(AL176,",",""))+1))
)/(0.2*IF(OR(Q176="No",R176="No",R176=0),0,1)
+IF(OR(V176="No",S176="No",T176="No"),0,LEN(V176)-LEN(SUBSTITUTE(V176,",",""))+1)
+IF(OR(X176="No",Y176="No"),0,1)
+IF(OR(AD176="No",AE176="No"),0,1)
+IF(OR(AL176="No",AI176="No",AJ176="No"),0,LEN(AL176)-LEN(SUBSTITUTE(AL176,",",""))+1))*62%)* 2)*(1 + (AP176 / (IF(_xlfn.XLOOKUP(_xlfn.XLOOKUP(B176,'Base stats'!B:B,'Base stats'!E:E),Groups!A:A,Groups!AJ:AJ)="Photonozoa",0.3,1)) + _xlfn.XLOOKUP(B176,'Base stats'!B:B,'Base stats'!AV:AV) * 1.8) * 2) * 2.5 + 10 + I176 * 2,5)+IF(_xlfn.XLOOKUP(B176,'Base stats'!B:B,'Base stats'!AK:AK)=1,50,0)</f>
        <v>105</v>
      </c>
      <c r="BS176" s="8">
        <f t="shared" si="19"/>
        <v>1.05</v>
      </c>
      <c r="BT176" s="8" t="str">
        <f>_xlfn.XLOOKUP(B176,'Base stats'!B:B,'Base stats'!AF:AF)</f>
        <v>2~6</v>
      </c>
      <c r="BU176" s="2" t="str">
        <f>IF(AND(J176&lt;=0.95,OR(_xlfn.XLOOKUP(B176,'Base stats'!B:B,'Base stats'!AK:AK)=1,_xlfn.XLOOKUP(B176,'Base stats'!B:B,'Base stats'!Y:Y)="Carnivore",_xlfn.XLOOKUP(B176,'Base stats'!B:B,'Base stats'!Y:Y)="Omnivore",BE176&gt;0.1)),"true","false")</f>
        <v>false</v>
      </c>
      <c r="BV176" s="2" t="str">
        <f>IF(_xlfn.XLOOKUP(B176,'Base stats'!B:B,'Base stats'!AI:AI)=1,"true","false")</f>
        <v>false</v>
      </c>
      <c r="BW176" s="25" t="str">
        <f>IF(E176="BaseInsect","AnimalInsect",
IF(J176&gt;0.95,"AnimalExotic",
_xlfn.TEXTJOIN(", ",TRUE,
IF(OR(_xlfn.XLOOKUP(B176,'Base stats'!B:B,'Base stats'!AM:AM)=1,AND(_xlfn.XLOOKUP(B176,'Base stats'!B:B,'Base stats'!O:O)=0,_xlfn.XLOOKUP(_xlfn.XLOOKUP(B176,'Base stats'!B:B,'Base stats'!E:E),Groups!A:A,Groups!B:B)&gt;0)),"AnimalUncommon","AnimalCommon"),
IF(AND(_xlfn.XLOOKUP(B176,'Base stats'!B:B,'Base stats'!O:O)=2,_xlfn.XLOOKUP(_xlfn.XLOOKUP(B176,'Base stats'!B:B,'Base stats'!E:E),Groups!A:A,Groups!D:D)=0),"AnimalPet",IF(AND(_xlfn.XLOOKUP(B176,'Base stats'!B:B,'Base stats'!O:O)&lt;&gt;0,_xlfn.XLOOKUP(_xlfn.XLOOKUP(B176,'Base stats'!B:B,'Base stats'!E:E),Groups!A:A,Groups!D:D)&lt;&gt;0),"AnimalFarm","")),
IF(OR(_xlfn.XLOOKUP(B176,'Base stats'!B:B,'Base stats'!AK:AK)=1,AND(BI176&lt;&gt;"None",BR176&gt;=60),ISNUMBER(SEARCH("Attack target",BP176))),"AnimalFighter","")
)))</f>
        <v>AnimalUncommon</v>
      </c>
      <c r="BX176" s="25" t="str">
        <f>IF(G176="None",TRIM(
SUBSTITUTE(
IF(COUNTIF(Biomes!B$2:B$259,"="&amp;$C176)&gt;0,Biomes!B$1&amp;", ","")&amp;
IF(COUNTIF(Biomes!C$2:C$259,"="&amp;$C176)&gt;0,Biomes!C$1&amp;", ","")&amp;
IF(COUNTIF(Biomes!D$2:D$259,"="&amp;$C176)&gt;0,Biomes!D$1&amp;", ","")&amp;
IF(COUNTIF(Biomes!F$2:F$259,"="&amp;$C176)&gt;0,Biomes!F$1&amp;", ","")&amp;
IF(COUNTIF(Biomes!G$2:G$259,"="&amp;$C176)&gt;0,Biomes!G$1&amp;", ","")&amp;
IF(COUNTIF(Biomes!H$2:H$259,"="&amp;$C176)&gt;0,Biomes!H$1&amp;", ","")&amp;
IF(COUNTIF(Biomes!I$2:I$259,"="&amp;$C176)&gt;0,Biomes!I$1&amp;", ","")&amp;
IF(COUNTIF(Biomes!J$2:J$259,"="&amp;$C176)&gt;0,Biomes!J$1&amp;", ","")&amp;
IF(COUNTIF(Biomes!M$2:M$259,"="&amp;$C176)&gt;0,Biomes!M$1&amp;", ","")&amp;
IF(COUNTIF(Biomes!N$2:N$259,"="&amp;$C176)&gt;0,Biomes!N$1&amp;", ","")&amp;
IF(COUNTIF(Biomes!O$2:O$259,"="&amp;$C176)&gt;0,Biomes!O$1&amp;", ","")&amp;
IF(COUNTIF(Biomes!P$2:P$259,"="&amp;$C176)&gt;0,Biomes!P$1&amp;", ","")&amp;
IF(COUNTIF(Biomes!K$2:K$259,"="&amp;$C176)&gt;0,Biomes!K$1&amp;", ","")&amp;
IF(COUNTIF(Biomes!Q$3:Q$259,"="&amp;$C176)&gt;0,Biomes!Q$1&amp;", ","")&amp;
IF(COUNTIF(Biomes!L$2:L$259,"="&amp;$C176)&gt;0,Biomes!L$1&amp;", ","")&amp;
IF(COUNTIF(Biomes!E$2:E$259,"="&amp;$C176)&gt;0,Biomes!E$1&amp;", ","")&amp;IF(COUNTIF(Biomes!S$2:S$259,"="&amp;$C176)&gt;0,Biomes!S$1&amp;", ","")&amp;
IF(COUNTIF(Biomes!R$2:R$259,"="&amp;$C176)&gt;0,Biomes!R$1&amp;", ",""),", ","")
),_xlfn.XLOOKUP(B176,B:B,BX:BX))</f>
        <v>TemperateForest TemperateSwamp</v>
      </c>
      <c r="BY176" s="25" t="str">
        <f>IF(_xlfn.XLOOKUP(B176,'Base stats'!B:B,'Base stats'!AJ:AJ)=1,"true","false")</f>
        <v>false</v>
      </c>
      <c r="BZ176" s="25">
        <f>IF(_xlfn.XLOOKUP(B176,'Base stats'!B:B,'Base stats'!N:N)=1,"No",MAX(0.001,MIN(MROUND(IF(AND(BJ176="True",CC176="False"),POWER(10,3.47*LOG10(_xlfn.XLOOKUP(B176,'Base stats'!B:B,'Base stats'!C:C)*1000)^-0.96),POWER(10,4.15*LOG10(_xlfn.XLOOKUP(B176,'Base stats'!B:B,'Base stats'!C:C)*1000)^-0.73))*IF(_xlfn.XLOOKUP(B176,'Base stats'!B:B,'Base stats'!AK:AK)=1,0.5,1)*IF(_xlfn.XLOOKUP(B176,'Base stats'!B:B,'Base stats'!AM:AM)=1,0.1,1)/100,IF(_xlfn.XLOOKUP(B176,'Base stats'!B:B,'Base stats'!AM:AM)=1,0.001,0.025)),0.5)))</f>
        <v>1.8000000000000002E-2</v>
      </c>
      <c r="CA176" s="25" t="str">
        <f>IF(P176="Standard","No",MAX(0.001,MIN(MROUND(IF(AND(BJ176="True",CC176="False"),POWER(10,3.47*LOG10(_xlfn.XLOOKUP(B176,'Base stats'!B:B,'Base stats'!C:C)*1000)^-0.96),POWER(10,4.15*LOG10(_xlfn.XLOOKUP(B176,'Base stats'!B:B,'Base stats'!C:C)*1000)^-0.73))*IF(_xlfn.XLOOKUP(B176,'Base stats'!B:B,'Base stats'!AM:AM)=1,0.1,1)*_xlfn.XLOOKUP(B176,'Base stats'!B:B,'Base stats'!R:R)/100,IF(_xlfn.XLOOKUP(B176,'Base stats'!B:B,'Base stats'!AM:AM)=1,0.001,0.025)),0.5)))</f>
        <v>No</v>
      </c>
      <c r="CB176" s="25" t="str">
        <f>IF(_xlfn.XLOOKUP(_xlfn.XLOOKUP(B176,'Base stats'!B:B,'Base stats'!E:E),Groups!A:A,Groups!AJ:AJ)="Mammal","True","False")</f>
        <v>False</v>
      </c>
      <c r="CC176" s="25" t="str">
        <f>IF(OR(_xlfn.XLOOKUP(_xlfn.XLOOKUP(B176,'Base stats'!B:B,'Base stats'!E:E),Groups!A:A,Groups!AJ:AJ)="Reptile",_xlfn.XLOOKUP(_xlfn.XLOOKUP(B176,'Base stats'!B:B,'Base stats'!E:E),Groups!A:A,Groups!AJ:AJ)="Amphibian",_xlfn.XLOOKUP(_xlfn.XLOOKUP(B176,'Base stats'!B:B,'Base stats'!E:E),Groups!A:A,Groups!AJ:AJ)="Invertebrate"),"True","False")</f>
        <v>False</v>
      </c>
      <c r="CD176" s="25" t="str">
        <f t="shared" si="20"/>
        <v>False</v>
      </c>
      <c r="CE176" s="25" t="str">
        <f>IF(_xlfn.XLOOKUP(_xlfn.XLOOKUP(B176,'Base stats'!B:B,'Base stats'!E:E),Groups!A:A,Groups!AX:AX),"True","False")</f>
        <v>False</v>
      </c>
      <c r="CF176" s="25" t="str">
        <f>IF(_xlfn.XLOOKUP(_xlfn.XLOOKUP(B176,'Base stats'!B:B,'Base stats'!E:E),Groups!A:A,Groups!AY:AY),"True","False")</f>
        <v>False</v>
      </c>
      <c r="CG176" s="25" t="str">
        <f>IF(_xlfn.XLOOKUP(_xlfn.XLOOKUP(B176,'Base stats'!B:B,'Base stats'!E:E),Groups!A:A,Groups!AW:AW),"True","False")</f>
        <v>False</v>
      </c>
      <c r="CH176" s="25" t="str">
        <f>IF(
OR(
_xlfn.XLOOKUP(_xlfn.XLOOKUP(B176,'Base stats'!B:B,'Base stats'!E:E),Groups!A:A,Groups!AZ:AZ)=0,
AND(
_xlfn.XLOOKUP(B176,'Base stats'!B:B,'Base stats'!Y:Y)&lt;&gt;"Carnivore",
_xlfn.XLOOKUP(B176,'Base stats'!B:B,'Base stats'!Y:Y)&lt;&gt;"Omnivore",
_xlfn.XLOOKUP(B176,'Base stats'!B:B,'Base stats'!Y:Y)&lt;&gt;"OmnivoreRough"
)
),
"No",
IF(
_xlfn.XLOOKUP(_xlfn.XLOOKUP(B176,'Base stats'!B:B,'Base stats'!E:E),Groups!A:A,Groups!AZ:AZ)=1,
"Flesh",
IF(
_xlfn.XLOOKUP(_xlfn.XLOOKUP(B176,'Base stats'!B:B,'Base stats'!E:E),Groups!A:A,Groups!AZ:AZ)=2,
"Bone",
""
)
)
)</f>
        <v>No</v>
      </c>
      <c r="CI176" s="25" t="str">
        <f>IF(_xlfn.XLOOKUP(_xlfn.XLOOKUP(B176,'Base stats'!B:B,'Base stats'!E:E),Groups!A:A,Groups!BB:BB),"True","False")</f>
        <v>True</v>
      </c>
      <c r="CJ176" s="25" t="str">
        <f>IF(_xlfn.XLOOKUP(_xlfn.XLOOKUP(B176,'Base stats'!B:B,'Base stats'!E:E),Groups!A:A,Groups!BA:BA),"True","False")</f>
        <v>False</v>
      </c>
    </row>
    <row r="177" spans="1:88" ht="16.5" thickTop="1" thickBot="1" x14ac:dyDescent="0.3">
      <c r="A177" s="26" t="s">
        <v>1202</v>
      </c>
      <c r="B177" s="6" t="s">
        <v>1211</v>
      </c>
      <c r="C177" s="28" t="s">
        <v>1193</v>
      </c>
      <c r="D177" s="28" t="s">
        <v>1189</v>
      </c>
      <c r="E177" s="28" t="s">
        <v>673</v>
      </c>
      <c r="F177" s="28" t="s">
        <v>673</v>
      </c>
      <c r="G177" s="28" t="s">
        <v>673</v>
      </c>
      <c r="H177" s="2">
        <f>MROUND((
  (IF(AND(_xlfn.XLOOKUP(B177,'Base stats'!B:B,'Base stats'!AL:AL)=0,BI177="None",_xlfn.XLOOKUP(_xlfn.XLOOKUP(B177,'Base stats'!B:B,'Base stats'!E:E),Groups!A:A,Groups!B:B)=0), (18 + BR177 * 2.7) * 0.5,
    IF(AND(_xlfn.XLOOKUP(B177,'Base stats'!B:B,'Base stats'!AL:AL)=0,OR(AO177&lt;0.55,AND(BI177="Intermediate",_xlfn.XLOOKUP(_xlfn.XLOOKUP(B177,'Base stats'!B:B,'Base stats'!E:E),Groups!A:A,Groups!B:B)&lt;2))), (18 + BR177 * 2.7),
      IF(OR(BI177="Advanced",_xlfn.XLOOKUP(B177,'Base stats'!B:B,'Base stats'!AL:AL)=1,_xlfn.XLOOKUP(_xlfn.XLOOKUP(B177,'Base stats'!B:B,'Base stats'!E:E),Groups!A:A,Groups!B:B)=2), (18 + BR177 * 2.7) + 250, (18 + BR177 * 2.7))
    )
  ))
  + AO177 * 80
  + IF(COUNTIF(EggMilk!K$2:K$998, A177) &gt; 0, 125, 0)
  + IF(COUNTIF(EggMilk!P$2:P$998, A177) &gt; 0, 90, 0)
  + IF(COUNTIF(EggMilk!A$2:A$998, A177) &gt; 0, 90, 0)
)
* (0.8 + 0.4 * J177)
* 0.75,25)</f>
        <v>325</v>
      </c>
      <c r="I177" s="2">
        <f>MROUND(ROUNDDOWN(_xlfn.XLOOKUP(B177,'Base stats'!B:B,'Base stats'!L:L)/3.6/(23.3/11),1),0.5)</f>
        <v>9</v>
      </c>
      <c r="J177" s="2">
        <f>IF(OR(_xlfn.XLOOKUP(B177,'Base stats'!B:B,'Base stats'!AB:AB)=1,_xlfn.XLOOKUP(_xlfn.XLOOKUP(B177,'Base stats'!B:B,'Base stats'!E:E),Groups!A:A,Groups!C:C)="Untamable"),1,IF(_xlfn.XLOOKUP(B177,'Base stats'!B:B,'Base stats'!AL:AL)=1,0.99,MIN(MROUND((1-0.6282*EXP(-0.459*AO177))*_xlfn.XLOOKUP(_xlfn.XLOOKUP(B177,'Base stats'!B:B,'Base stats'!E:E),Groups!A:A,Groups!C:C)*IF(_xlfn.XLOOKUP(B177,'Base stats'!B:B,'Base stats'!O:O)=1,0.5,IF(_xlfn.XLOOKUP(B177,'Base stats'!B:B,'Base stats'!O:O)=2,0,1)),0.05),IF(AO177&gt;3.5,0.985,0.95))))</f>
        <v>0.8</v>
      </c>
      <c r="K177" s="2">
        <f>ROUNDUP(AO177*_xlfn.XLOOKUP(_xlfn.XLOOKUP(B177,'Base stats'!B:B,'Base stats'!E:E),Groups!A:A,Groups!E:E),0)</f>
        <v>12</v>
      </c>
      <c r="L177" s="2">
        <f>IF(OR(_xlfn.XLOOKUP(_xlfn.XLOOKUP(B177,'Base stats'!B:B,'Base stats'!E:E),Groups!A:A,Groups!F:F)=2,ISNUMBER(SEARCH("SeaIce",BX177)),ISNUMBER(SEARCH("IceSheet",BX177))),-50,IF(OR(ISNUMBER(SEARCH("GlacialPlain",BX177)),ISNUMBER(SEARCH("Tundra",BX177))),-40,IF(OR(ISNUMBER(SEARCH("Alpine",BX177)),ISNUMBER(SEARCH("BorealForest",BX177)),ISNUMBER(SEARCH("ColdBog",BX177))),-30,IF(OR(ISNUMBER(SEARCH("TemperateForest",BX177)),ISNUMBER(SEARCH("TemperateSwamp",BX177))),-20,IF(_xlfn.XLOOKUP(_xlfn.XLOOKUP(B177,'Base stats'!B:B,'Base stats'!E:E),Groups!A:A,Groups!F:F)=1,-15,IF(OR(ISNUMBER(SEARCH("Desert",BX177)),ISNUMBER(SEARCH("ExtremeDesert",BX177))),-10,IF(OR(ISNUMBER(SEARCH("Grasslands",BX177)),ISNUMBER(SEARCH("TropicalRainforest",BX177)),ISNUMBER(SEARCH("TropicalSwamp",BX177))),10,0)))))))-IF(CC177="False",MIN(IFERROR(MAX(MROUND(LOG10(_xlfn.XLOOKUP(B177,'Base stats'!B:B,'Base stats'!C:C)^(2/3))*10,5),5),5),30))-_xlfn.XLOOKUP(B177,'Base stats'!B:B,'Base stats'!P:P)+IF(CC177="True",5,0)</f>
        <v>-30</v>
      </c>
      <c r="M177" s="2">
        <f>IF(OR(_xlfn.XLOOKUP(_xlfn.XLOOKUP(B177,'Base stats'!B:B,'Base stats'!E:E),Groups!A:A,Groups!G:G)=2,ISNUMBER(SEARCH("Desert",BX177)),ISNUMBER(SEARCH("ExtremeDesert",BX177)),ISNUMBER(SEARCH("LavaField",BX177))),50,IF(ISNUMBER(SEARCH("Grasslands",BX177)),45,IF(OR(_xlfn.XLOOKUP(_xlfn.XLOOKUP(B177,'Base stats'!B:B,'Base stats'!E:E),Groups!A:A,Groups!G:G)=1,ISNUMBER(SEARCH("TropicalRainforest",BX177)),ISNUMBER(SEARCH("TropicalSwamp",BX177))),40,IF(OR(ISNUMBER(SEARCH("TemperateForest",BX177)),ISNUMBER(SEARCH("TemperateSwamp",BX177))),35,IF(OR(ISNUMBER(SEARCH("Alpine",BX177)),ISNUMBER(SEARCH("BorealForest",BX177)),ISNUMBER(SEARCH("ColdBog",BX177))),30,IF(ISNUMBER(OR(ISNUMBER(SEARCH("GlacialPlain",BX177)),SEARCH("Tundra",BX177))),25,IF(OR(ISNUMBER(SEARCH("SeaIce",BX177)),ISNUMBER(SEARCH("IceSheet",BX177)),ISNUMBER(SEARCH("TropicalSwamp",BX177))),10,35)))))))+_xlfn.XLOOKUP(B177,'Base stats'!B:B,'Base stats'!Q:Q)</f>
        <v>50</v>
      </c>
      <c r="N177" s="8" t="str">
        <f>IF(
_xlfn.XLOOKUP(
_xlfn.XLOOKUP(B177,'Base stats'!B:B,'Base stats'!E:E),
Groups!A:A,
Groups!L:L
)=1,
MIN(
MROUND(
IF(
_xlfn.XLOOKUP(B177,'Animals CE'!B:B,'Animals CE'!Z:Z)&lt;=1.5,
_xlfn.XLOOKUP(B177,'Animals CE'!B:B,'Animals CE'!Z:Z)/2+0.05,
0.8+
(_xlfn.XLOOKUP(B177,'Animals CE'!B:B,'Animals CE'!Z:Z)-1.5)
*0.02
),
0.05
),
200%
),
"No"
)</f>
        <v>No</v>
      </c>
      <c r="O177" s="8" t="str">
        <f>IF(
_xlfn.XLOOKUP(
_xlfn.XLOOKUP(B177,'Base stats'!B:B,'Base stats'!E:E),
Groups!A:A,
Groups!L:L
)=1,
MIN(
MROUND(
IF(
_xlfn.XLOOKUP(B177,'Animals CE'!B:B,'Animals CE'!AA:AA)&lt;=1.5,
_xlfn.XLOOKUP(B177,'Animals CE'!B:B,'Animals CE'!AA:AA)/2+0.05,
0.8+
(_xlfn.XLOOKUP(B177,'Animals CE'!B:B,'Animals CE'!AA:AA)-1.5)
*0.02
),
0.05
),
200%
),
"No"
)</f>
        <v>No</v>
      </c>
      <c r="P177" s="2" t="str">
        <f>_xlfn.XLOOKUP(B177,'Base stats'!B:B,'Base stats'!R:R)</f>
        <v>Standard</v>
      </c>
      <c r="Q177" s="13">
        <f>MROUND((LOG10(_xlfn.XLOOKUP(B177,'Base stats'!B:B,'Base stats'!AR:AR))*(AO177^0.5)+(_xlfn.XLOOKUP(B177,'Base stats'!B:B,'Base stats'!AR:AR)/1000)^(2/3)+_xlfn.XLOOKUP(B177,'Base stats'!B:B,'Base stats'!BA:BA)/2)+0.5,0.5)</f>
        <v>12.5</v>
      </c>
      <c r="R177" s="7">
        <f>IF(Q177="No","No",MAX(1,MROUND(_xlfn.XLOOKUP(B177,'Base stats'!B:B,'Base stats'!C:C)^0.165,0.05)))</f>
        <v>2.5500000000000003</v>
      </c>
      <c r="S177" s="13">
        <f>IF(_xlfn.XLOOKUP(_xlfn.XLOOKUP(B177,'Base stats'!B:B,'Base stats'!E:E),Groups!A:A,Groups!P:P)=0,"No",MROUND((LOG10(_xlfn.XLOOKUP(B177,'Base stats'!B:B,'Base stats'!AS:AS))*(AO177^0.5)+(_xlfn.XLOOKUP(B177,'Base stats'!B:B,'Base stats'!AS:AS)/1000)^(2/3)+_xlfn.XLOOKUP(B177,'Base stats'!B:B,'Base stats'!BA:BA))+_xlfn.XLOOKUP(B177,'Base stats'!B:B,'Base stats'!AY:AY)+0.5,0.5))</f>
        <v>15.5</v>
      </c>
      <c r="T177" s="7">
        <f>IF(S177="No","No",MAX(_xlfn.XLOOKUP(_xlfn.XLOOKUP(B177,'Base stats'!B:B,'Base stats'!E:E),Groups!A:A,Groups!Q:Q),MROUND(_xlfn.XLOOKUP(_xlfn.XLOOKUP(B177,'Base stats'!B:B,'Base stats'!E:E),Groups!A:A,Groups!Q:Q)*_xlfn.XLOOKUP(B177,'Base stats'!B:B,'Base stats'!C:C)^0.165,0.05)))</f>
        <v>2.15</v>
      </c>
      <c r="U177" s="7" t="str">
        <f>IF(S177="No","No",_xlfn.XLOOKUP(_xlfn.XLOOKUP(B177,'Base stats'!B:B,'Base stats'!E:E),Groups!A:A,Groups!R:R))</f>
        <v>FrontLeftLeg, FrontRightLeg</v>
      </c>
      <c r="V177" s="7" t="str">
        <f>IF(S177="No","No",_xlfn.XLOOKUP(_xlfn.XLOOKUP(B177,'Base stats'!B:B,'Base stats'!E:E),Groups!A:A,Groups!S:S))</f>
        <v>left hoof, right hoof</v>
      </c>
      <c r="W177" s="7" t="str">
        <f>IF(S177="No","No",_xlfn.XLOOKUP(_xlfn.XLOOKUP(B177,'Base stats'!B:B,'Base stats'!E:E),Groups!A:A,Groups!T:T))</f>
        <v>Blunt</v>
      </c>
      <c r="X177" s="13" t="str">
        <f>IF(_xlfn.XLOOKUP(B177,'Base stats'!B:B,'Base stats'!W:W)="No","No",MROUND((LOG10(_xlfn.XLOOKUP(B177,'Base stats'!B:B,'Base stats'!AU:AU))*(AO177^0.5)+(_xlfn.XLOOKUP(B177,'Base stats'!B:B,'Base stats'!AU:AU)/1000)^(2/3)+_xlfn.XLOOKUP(B177,'Base stats'!B:B,'Base stats'!AZ:AZ))+0.5+IF(_xlfn.XLOOKUP(_xlfn.XLOOKUP(B177,'Base stats'!B:B,'Base stats'!E:E),Groups!A:A,Groups!U:U)&lt;&gt;3,_xlfn.XLOOKUP(B177,'Base stats'!B:B,'Base stats'!BA:BA),0),0.5))</f>
        <v>No</v>
      </c>
      <c r="Y177" s="7" t="str">
        <f>IF(X177="No","No",MAX(_xlfn.XLOOKUP(_xlfn.XLOOKUP(B177,'Base stats'!B:B,'Base stats'!E:E),Groups!A:A,Groups!V:V),MROUND(_xlfn.XLOOKUP(_xlfn.XLOOKUP(B177,'Base stats'!B:B,'Base stats'!E:E),Groups!A:A,Groups!V:V)*_xlfn.XLOOKUP(B177,'Base stats'!B:B,'Base stats'!C:C)^0.165,0.05)))</f>
        <v>No</v>
      </c>
      <c r="Z177" s="7" t="str">
        <f>IF(X177="No","No",_xlfn.XLOOKUP(_xlfn.XLOOKUP(B177,'Base stats'!B:B,'Base stats'!E:E),Groups!A:A,Groups!W:W))</f>
        <v>No</v>
      </c>
      <c r="AA177" s="7" t="str">
        <f>IF(X177="No","No",_xlfn.XLOOKUP(_xlfn.XLOOKUP(B177,'Base stats'!B:B,'Base stats'!E:E),Groups!A:A,Groups!X:X))</f>
        <v>No</v>
      </c>
      <c r="AB177" s="7" t="str">
        <f>IF(X177="No","No",_xlfn.XLOOKUP(_xlfn.XLOOKUP(B177,'Base stats'!B:B,'Base stats'!E:E),Groups!A:A,Groups!Y:Y))</f>
        <v>No</v>
      </c>
      <c r="AC177" s="7" t="str">
        <f>_xlfn.XLOOKUP(Animals!B177,'Base stats'!B:B,'Base stats'!X:X)</f>
        <v>False</v>
      </c>
      <c r="AD177" s="13">
        <f>IF(_xlfn.XLOOKUP(B177,'Base stats'!B:B,'Base stats'!AT:AT)="No","No",MROUND((LOG10(_xlfn.XLOOKUP(B177,'Base stats'!B:B,'Base stats'!AT:AT))*(AO177^0.75)+(_xlfn.XLOOKUP(B177,'Base stats'!B:B,'Base stats'!AT:AT)/1000)^(2/3)+_xlfn.XLOOKUP(B177,'Base stats'!B:B,'Base stats'!AX:AX)+_xlfn.XLOOKUP(B177,'Base stats'!B:B,'Base stats'!BA:BA))+0.5,0.5))</f>
        <v>16</v>
      </c>
      <c r="AE177" s="7">
        <f>IF(AD177="No","No",MAX(_xlfn.XLOOKUP(_xlfn.XLOOKUP(B177,'Base stats'!B:B,'Base stats'!E:E),Groups!A:A,Groups!Z:Z),MROUND(_xlfn.XLOOKUP(_xlfn.XLOOKUP(B177,'Base stats'!B:B,'Base stats'!E:E),Groups!A:A,Groups!Z:Z)*_xlfn.XLOOKUP(B177,'Base stats'!B:B,'Base stats'!C:C)^0.165,0.05)))</f>
        <v>2.5500000000000003</v>
      </c>
      <c r="AF177" s="7" t="str">
        <f>IF(AD177="No","No",_xlfn.XLOOKUP(_xlfn.XLOOKUP(B177,'Base stats'!B:B,'Base stats'!E:E),Groups!A:A,Groups!AA:AA))</f>
        <v>Teeth</v>
      </c>
      <c r="AG177" s="7" t="str">
        <f>IF(AD177="No","No",_xlfn.XLOOKUP(_xlfn.XLOOKUP(B177,'Base stats'!B:B,'Base stats'!E:E),Groups!A:A,Groups!AB:AB))</f>
        <v>teeth</v>
      </c>
      <c r="AH177" s="7" t="str">
        <f>IF(AD177="No","No",_xlfn.XLOOKUP(_xlfn.XLOOKUP(B177,'Base stats'!B:B,'Base stats'!E:E),Groups!A:A,Groups!AC:AC))</f>
        <v>Bite</v>
      </c>
      <c r="AI177" s="13" t="str">
        <f>IF(_xlfn.XLOOKUP(_xlfn.XLOOKUP(B177,'Base stats'!B:B,'Base stats'!E:E),Groups!A:A,Groups!AD:AD)=0,"No",MROUND((LOG10(_xlfn.XLOOKUP(B177,'Base stats'!B:B,'Base stats'!AS:AS))*(AO177^0.75)+(_xlfn.XLOOKUP(B177,'Base stats'!B:B,'Base stats'!AS:AS)/1000)^(2/3)+_xlfn.XLOOKUP(B177,'Base stats'!B:B,'Base stats'!AY:AY)+_xlfn.XLOOKUP(B177,'Base stats'!B:B,'Base stats'!BA:BA))+0.5,0.5))</f>
        <v>No</v>
      </c>
      <c r="AJ177" s="7" t="str">
        <f>IF(AI177="No","No",MAX(_xlfn.XLOOKUP(_xlfn.XLOOKUP(B177,'Base stats'!B:B,'Base stats'!E:E),Groups!A:A,Groups!AE:AE),MROUND(_xlfn.XLOOKUP(_xlfn.XLOOKUP(B177,'Base stats'!B:B,'Base stats'!E:E),Groups!A:A,Groups!AE:AE)*IF(_xlfn.XLOOKUP(_xlfn.XLOOKUP(B177,'Base stats'!B:B,'Base stats'!E:E),Groups!A:A,Groups!AJ:AJ)="Photonozoa",0.6,1)*_xlfn.XLOOKUP(B177,'Base stats'!B:B,'Base stats'!C:C)^0.165,0.05)))</f>
        <v>No</v>
      </c>
      <c r="AK177" s="7" t="str">
        <f>IF(AI177="No","No",_xlfn.XLOOKUP(_xlfn.XLOOKUP(B177,'Base stats'!B:B,'Base stats'!E:E),Groups!A:A,Groups!AF:AF))</f>
        <v>No</v>
      </c>
      <c r="AL177" s="7" t="str">
        <f>IF(AI177="No","No",_xlfn.XLOOKUP(_xlfn.XLOOKUP(B177,'Base stats'!B:B,'Base stats'!E:E),Groups!A:A,Groups!AG:AG))</f>
        <v>No</v>
      </c>
      <c r="AM177" s="7" t="str">
        <f>IF(AI177="No","No",_xlfn.XLOOKUP(_xlfn.XLOOKUP(B177,'Base stats'!B:B,'Base stats'!E:E),Groups!A:A,Groups!AH:AH))</f>
        <v>No</v>
      </c>
      <c r="AN177" s="2" t="str">
        <f t="shared" si="14"/>
        <v>No</v>
      </c>
      <c r="AO177" s="2">
        <f>MROUND(IF(AND(_xlfn.XLOOKUP(B177,'Base stats'!B:B,'Base stats'!C:C)&gt;=0.5,_xlfn.XLOOKUP(B177,'Base stats'!B:B,'Base stats'!C:C)&lt;=0.8),
IF(_xlfn.XLOOKUP(B177,'Base stats'!B:B,'Base stats'!C:C)&lt;0.1,0.05,IF(_xlfn.XLOOKUP(B177,'Base stats'!B:B,'Base stats'!C:C)&lt;=70,(_xlfn.XLOOKUP(B177,'Base stats'!B:B,'Base stats'!C:C)/70)^0.426489913056526,IF(_xlfn.XLOOKUP(B177,'Base stats'!B:B,'Base stats'!C:C)&lt;=400,(_xlfn.XLOOKUP(B177,'Base stats'!B:B,'Base stats'!C:C)/70)^0.572811455315093,IF(_xlfn.XLOOKUP(B177,'Base stats'!B:B,'Base stats'!C:C)&lt;=2000,2.71391647193063*(_xlfn.XLOOKUP(B177,'Base stats'!B:B,'Base stats'!C:C)/400)^0.252459582904293,3.74314280240376*(_xlfn.XLOOKUP(B177,'Base stats'!B:B,'Base stats'!C:C)/2000)^0.357012633876913)))),
IF(_xlfn.XLOOKUP(B177,'Base stats'!B:B,'Base stats'!C:C)&lt;0.1,0.05,IF(_xlfn.XLOOKUP(B177,'Base stats'!B:B,'Base stats'!C:C)&lt;0.4,0.1,IF(_xlfn.XLOOKUP(B177,'Base stats'!B:B,'Base stats'!C:C)&lt;=70,(_xlfn.XLOOKUP(B177,'Base stats'!B:B,'Base stats'!C:C)/70)^0.445823913056526,IF(_xlfn.XLOOKUP(B177,'Base stats'!B:B,'Base stats'!C:C)&lt;=400,(_xlfn.XLOOKUP(B177,'Base stats'!B:B,'Base stats'!C:C)/70)^0.572811455315093,IF(_xlfn.XLOOKUP(B177,'Base stats'!B:B,'Base stats'!C:C)&lt;=2000,2.71391647193063*(_xlfn.XLOOKUP(B177,'Base stats'!B:B,'Base stats'!C:C)/400)^0.252459582904293,3.74314280240376*(_xlfn.XLOOKUP(B177,'Base stats'!B:B,'Base stats'!C:C)/2000)^0.357012633876913)))))),
IF(_xlfn.XLOOKUP(B177,'Base stats'!B:B,'Base stats'!C:C)&lt;0.1,0.05,IF(_xlfn.XLOOKUP(B177,'Base stats'!B:B,'Base stats'!C:C)&lt;=100,0.05,IF(_xlfn.XLOOKUP(B177,'Base stats'!B:B,'Base stats'!C:C)&lt;=250,0.1,IF(_xlfn.XLOOKUP(B177,'Base stats'!B:B,'Base stats'!C:C)&lt;=4000,0.25,0.5)))))</f>
        <v>2.25</v>
      </c>
      <c r="AP177" s="8">
        <f>MROUND(AO177*_xlfn.XLOOKUP(_xlfn.XLOOKUP(B177,'Base stats'!B:B,'Base stats'!E:E),Groups!A:A,Groups!AI:AI)*_xlfn.XLOOKUP(B177,'Base stats'!B:B,'Base stats'!Z:Z),0.05)</f>
        <v>2.25</v>
      </c>
      <c r="AQ177" s="8">
        <f>MAX(0.01,MROUND(IF(CC177="True",0.196*(AO177*100*1000)^0.889,IF(_xlfn.XLOOKUP(_xlfn.XLOOKUP(B177,'Base stats'!B:B,'Base stats'!E:E),Groups!A:A,Groups!AJ:AJ)="Bird",10.5*(AO177*100*1000)^0.681,4.82*(AO177*100*1000)^0.734))/(4.82*(1*100*1000)^0.734)/IF(AO177&lt;3.5,2,IF(AO177=3.5,1.5,1.25))*(1+0.132282374779864/(AO177^0.994035016789033+0.00905238001496948)),0.05))</f>
        <v>0.95000000000000007</v>
      </c>
      <c r="AR177" s="9">
        <f>IFERROR(MROUND(_xlfn.XLOOKUP(B177,'Base stats'!B:B,'Base stats'!H:H)/IF(_xlfn.XLOOKUP(B177,'Base stats'!B:B,'Base stats'!I:I)&lt;&gt;1,(122.5/70),1.2),IF(_xlfn.XLOOKUP(B177,'Base stats'!B:B,'Base stats'!H:H)&gt;=30,5,IF(_xlfn.XLOOKUP(B177,'Base stats'!B:B,'Base stats'!H:H)&gt;=15,3,IF(_xlfn.XLOOKUP(B177,'Base stats'!B:B,'Base stats'!H:H)&gt;=10,2,1)))),"Immortal")</f>
        <v>30</v>
      </c>
      <c r="AS177" s="35">
        <f>IFERROR(IF(OR(_xlfn.XLOOKUP(B177,'Base stats'!B:B,'Base stats'!F:F)="Atypical reproduction",_xlfn.XLOOKUP(B177,'Base stats'!B:B,'Base stats'!F:F)="Lay eggs"),"Lay eggs",MIN(20,MAX(5.5,ROUND(((_xlfn.XLOOKUP(B177,'Base stats'!B:B,'Base stats'!F:F)-25)*(14.5/615) + 5.5)*2,0)/2))),"Unknown")</f>
        <v>13.5</v>
      </c>
      <c r="AT177" s="8">
        <f>IF(_xlfn.XLOOKUP(B177,'Base stats'!B:B,'Base stats'!G:G)="Atypical reproduction","No",IFERROR(MAX(IF(_xlfn.XLOOKUP(B177,'Base stats'!B:B,'Base stats'!G:G)&lt;0.5,0.2,0.3),MROUND(_xlfn.XLOOKUP(B177,'Base stats'!B:B,'Base stats'!G:G)/(365/60),0.2)),"Unknown"))</f>
        <v>0.4</v>
      </c>
      <c r="AU177" s="8">
        <f t="shared" si="15"/>
        <v>0.2</v>
      </c>
      <c r="AV177" s="8">
        <f>IFERROR(IFERROR(MROUND(_xlfn.XLOOKUP(B177,'Base stats'!B:B,'Base stats'!J:J),0.1),"Lay eggs"),"Cannot breed")</f>
        <v>0</v>
      </c>
      <c r="AW177" s="2" t="str">
        <f t="shared" si="16"/>
        <v>true</v>
      </c>
      <c r="AX177" s="2" t="str">
        <f>IF(_xlfn.XLOOKUP(_xlfn.XLOOKUP(Animals!B177,'Base stats'!B:B,'Base stats'!E:E),Groups!A:A,Groups!AK:AK)=1,"true","false")</f>
        <v>true</v>
      </c>
      <c r="AY177" s="25" t="str">
        <f>IF(_xlfn.XLOOKUP(B177,'Base stats'!B:B,'Base stats'!Y:Y)="Liquor","Liquor, CarnivoreAnimalStrict",IF(AND(_xlfn.XLOOKUP(B177,'Base stats'!B:B,'Base stats'!Y:Y)="Carnivore",_xlfn.XLOOKUP(_xlfn.XLOOKUP(B177,'Base stats'!B:B,'Base stats'!E:E),Groups!A:A,Groups!AJ:AJ)="Photonozoa"),"CarnivoreAnimalStrict, OvivoreAnimal",IF(_xlfn.XLOOKUP(B177,'Base stats'!B:B,'Base stats'!Y:Y)="Carnivore","CarnivoreAnimal, OvivoreAnimal",IF(_xlfn.XLOOKUP(B177,'Base stats'!B:B,'Base stats'!Y:Y)="Dendrovore","VegetarianRoughAnimal, DendrovoreAnimal",IF(_xlfn.XLOOKUP(B177,'Base stats'!B:B,'Base stats'!Y:Y)="Herbivore","VegetarianRoughAnimal",IF(_xlfn.XLOOKUP(B177,'Base stats'!B:B,'Base stats'!Y:Y)="OmnivoreRough","OmnivoreRoughAnimal, OvivoreAnimal","OmnivoreAnimal, OvivoreAnimal"))))))</f>
        <v>VegetarianRoughAnimal</v>
      </c>
      <c r="AZ177" s="2">
        <f>IF(_xlfn.XLOOKUP(_xlfn.XLOOKUP(B177,'Base stats'!B:B,'Base stats'!E:E),Groups!A:A,Groups!D:D)=1,MROUND((1-J177)*5+1,2)*IF(J177&lt;=0.4,2,1),"No")</f>
        <v>2</v>
      </c>
      <c r="BA177" s="2" t="str">
        <f>IF(AND(_xlfn.XLOOKUP(B177,'Base stats'!B:B,'Base stats'!AH:AH)="&lt;li&gt;Seal&lt;/li&gt;",G177="Odyssey"),"&lt;li&gt;AEXP_Seal&lt;/li&gt;",_xlfn.XLOOKUP(B177,'Base stats'!B:B,'Base stats'!AH:AH))</f>
        <v>&lt;li&gt;Horse&lt;/li&gt;</v>
      </c>
      <c r="BB177" s="2" t="str">
        <f>_xlfn.XLOOKUP(B177,'Base stats'!B:B,'Base stats'!AG:AG)</f>
        <v>Leather_Plain</v>
      </c>
      <c r="BC177" s="23" t="str">
        <f>_xlfn.XLOOKUP(_xlfn.XLOOKUP(B177,'Base stats'!B:B,'Base stats'!E:E),Groups!A:A,Groups!AL:AL)</f>
        <v>QuadrupedAnimalWithHooves</v>
      </c>
      <c r="BD177" s="23">
        <f>MIN(1,MROUND(IF(AND(AO177&lt;0.5,_xlfn.XLOOKUP(B177,'Base stats'!B:B,'Base stats'!AA:AA)=0),0,IF(OR(_xlfn.XLOOKUP(Animals!B177,'Base stats'!B:B,'Base stats'!O:O)=2,_xlfn.XLOOKUP(_xlfn.XLOOKUP(B177,'Base stats'!B:B,'Base stats'!E:E),Groups!A:A,Groups!AN:AN)=0),0,_xlfn.XLOOKUP(_xlfn.XLOOKUP(B177,'Base stats'!B:B,'Base stats'!E:E),Groups!A:A,Groups!AN:AN)/IF(_xlfn.XLOOKUP(Animals!B177,'Base stats'!B:B,'Base stats'!O:O)=1,2,1)))+_xlfn.XLOOKUP(B177,'Base stats'!B:B,'Base stats'!AC:AC),0.005))</f>
        <v>0</v>
      </c>
      <c r="BE177" s="23">
        <f>MIN(1,MROUND(IF(AND(AO177&lt;0.5,_xlfn.XLOOKUP(B177,'Base stats'!B:B,'Base stats'!AA:AA)=0),0,IF(_xlfn.XLOOKUP(_xlfn.XLOOKUP(B177,'Base stats'!B:B,'Base stats'!E:E),Groups!A:A,Groups!AO:AO)=0,0,_xlfn.XLOOKUP(_xlfn.XLOOKUP(B177,'Base stats'!B:B,'Base stats'!E:E),Groups!A:A,Groups!AO:AO)/IF(_xlfn.XLOOKUP(Animals!B177,'Base stats'!B:B,'Base stats'!O:O)=2,3,1)))+_xlfn.XLOOKUP(B177,'Base stats'!B:B,'Base stats'!AD:AD),0.005))</f>
        <v>0</v>
      </c>
      <c r="BF177" s="2" t="str">
        <f>IF(J177&gt;0.3,"No",_xlfn.XLOOKUP(_xlfn.XLOOKUP(Animals!B177,'Base stats'!B:B,'Base stats'!E:E),Groups!A:A,Groups!AP:AP))</f>
        <v>No</v>
      </c>
      <c r="BG177" s="2" t="str">
        <f>IF(AND(J177&lt;=0.65,_xlfn.XLOOKUP(_xlfn.XLOOKUP(Animals!B177,'Base stats'!B:B,'Base stats'!E:E),Groups!A:A,Groups!AP:AP)&lt;&gt;"No",_xlfn.XLOOKUP(_xlfn.XLOOKUP(B177,'Base stats'!B:B,'Base stats'!E:E),Groups!A:A,Groups!D:D)=0),MROUND((80/3)*IF(_xlfn.XLOOKUP(B177,'Base stats'!B:B,'Base stats'!O:O)=2,0.2,AO177) + 24*(1-IF(BF177="No",0,BF177)) + 16/3, 12),"No")</f>
        <v>No</v>
      </c>
      <c r="BH177" s="2">
        <f>IF(AND(_xlfn.XLOOKUP(_xlfn.XLOOKUP(B177,'Base stats'!B:B,'Base stats'!E:E),Groups!A:A,Groups!AQ:AQ)=1,AO177&lt;=0.35),8,12)</f>
        <v>12</v>
      </c>
      <c r="BI177" s="2" t="str">
        <f>IF(_xlfn.XLOOKUP(_xlfn.XLOOKUP(B177,'Base stats'!B:B,'Base stats'!E:E),Groups!A:A,Groups!D:D)=0,_xlfn.XLOOKUP(_xlfn.XLOOKUP(B177,'Base stats'!B:B,'Base stats'!E:E),Groups!A:A,Groups!AR:AR),"None")</f>
        <v>None</v>
      </c>
      <c r="BJ177" s="2" t="str">
        <f>IF(AND(_xlfn.XLOOKUP(_xlfn.XLOOKUP(B177,'Base stats'!B:B,'Base stats'!E:E),Groups!A:A,Groups!AS:AS)=1,OR(_xlfn.XLOOKUP(B177,'Base stats'!B:B,'Base stats'!Y:Y)="Carnivore",_xlfn.XLOOKUP(B177,'Base stats'!B:B,'Base stats'!Y:Y)="Omnivore")),"true","false")</f>
        <v>false</v>
      </c>
      <c r="BK177" s="2" t="str">
        <f>IF(BJ177="true",MROUND(IF(AND(AO177&gt;0.5,OR(_xlfn.XLOOKUP(_xlfn.XLOOKUP(B177,'Base stats'!B:B,'Base stats'!E:E),Groups!A:A,Groups!AJ:AJ)="Photonozoa",_xlfn.XLOOKUP(_xlfn.XLOOKUP(B177,'Base stats'!B:B,'Base stats'!E:E),Groups!A:A,Groups!AJ:AJ)="Mammal")),Animals!AO177*1.75*IF(AW177="true",1.5,1),IF(AO177&lt;0.5,Animals!AO177*0.5,Animals!AO177)),IF(AO177&gt;2,0.5,IF(AO177&gt;0.5,0.25,0.1))),"No")</f>
        <v>No</v>
      </c>
      <c r="BL177" s="2">
        <f t="shared" si="17"/>
        <v>0</v>
      </c>
      <c r="BM177" s="25" t="str">
        <f>IF(_xlfn.XLOOKUP(B177,'Base stats'!B:B,'Base stats'!AN:AN)="Standard","No",MROUND((_xlfn.XLOOKUP(B177,'Base stats'!B:B,'Base stats'!AN:AN)/3.6)/I177,0.1))</f>
        <v>No</v>
      </c>
      <c r="BN177" s="25" t="str">
        <f t="shared" si="18"/>
        <v>false</v>
      </c>
      <c r="BO177" s="25" t="str">
        <f>IF(AND(OR(_xlfn.XLOOKUP(B177,'Base stats'!B:B,'Base stats'!Y:Y)="Carnivore",_xlfn.XLOOKUP(B177,'Base stats'!B:B,'Base stats'!Y:Y)="Omnivore",_xlfn.XLOOKUP(B177,'Base stats'!B:B,'Base stats'!Y:Y)="OmnivoreRough"),_xlfn.XLOOKUP(_xlfn.XLOOKUP(B177,'Base stats'!B:B,'Base stats'!E:E),Groups!A:A,Groups!AT:AT)=1),"true","false")</f>
        <v>false</v>
      </c>
      <c r="BP177" s="25" t="str" cm="1">
        <f t="array" ref="BP177">IF(
  _xlfn.TEXTJOIN(", ",TRUE,
    IF(AND(BJ177="true",AO177&gt;0.5,BI177&lt;&gt;"None"),"AttackTarget",""),
    IF(AND(_xlfn.XLOOKUP(_xlfn.XLOOKUP(B177,'Base stats'!B:B,'Base stats'!E:E),Groups!A:A,Groups!AJ:AJ="Mammal"),OR(_xlfn.XLOOKUP(B177,'Base stats'!B:B,'Base stats'!Y:Y)="Omnivore",_xlfn.XLOOKUP(B177,'Base stats'!B:B,'Base stats'!Y:Y)="OmnivoreRough")),"Forage",""),
    IF(BG177&lt;=36,"Comfort",""),
    IF(_xlfn.XLOOKUP(B177,'Base stats'!B:B,'Base stats'!AE:AE)&lt;&gt;"No",_xlfn.XLOOKUP(B177,'Base stats'!B:B,'Base stats'!AE:AE),"")
  ) = "",
  "No",
  _xlfn.TEXTJOIN(", ",TRUE,
    IF(AND(BJ177="true",AO177&gt;0.5,BI177&lt;&gt;"None"),"AttackTarget",""),
    IF(AND(_xlfn.XLOOKUP(_xlfn.XLOOKUP(B177,'Base stats'!B:B,'Base stats'!E:E),Groups!A:A,Groups!AJ:AJ="Mammal"),OR(_xlfn.XLOOKUP(B177,'Base stats'!B:B,'Base stats'!Y:Y)="Omnivore",_xlfn.XLOOKUP(B177,'Base stats'!B:B,'Base stats'!Y:Y)="OmnivoreRough")),"Forage",""),
    IF(BG177&lt;=36,"Comfort",""),
    IF(_xlfn.XLOOKUP(B177,'Base stats'!B:B,'Base stats'!AE:AE)&lt;&gt;"No",_xlfn.XLOOKUP(B177,'Base stats'!B:B,'Base stats'!AE:AE),"")
  )
)</f>
        <v>No</v>
      </c>
      <c r="BQ177" s="25" t="str">
        <f>IF(
   AND(
      'Base stats'!AN177="Standard",_xlfn.XLOOKUP(_xlfn.XLOOKUP(B177,'Base stats'!B:B,'Base stats'!E:E),Groups!A:A,Groups!AU:AU)=0,
      OR(
      BO177="True"
      )
   ),
   10,
   IF(
       OR(BM177&lt;&gt;"No",_xlfn.XLOOKUP(_xlfn.XLOOKUP(B177,'Base stats'!B:B,'Base stats'!E:E),Groups!A:A,Groups!AU:AU)=1),
      1,
      "No"
   )
)</f>
        <v>No</v>
      </c>
      <c r="BR177" s="9">
        <f>MROUND((1 + ((0.2*IF(OR(Q177="No",R177="No",R177=0),0,Q177/R177)
+IF(OR(V177="No",S177="No",T177="No"),0,S177/T177*(LEN(V177)-LEN(SUBSTITUTE(V177,",",""))+1))
+IF(OR(X177="No",Y177="No"),0,X177/Y177)
+IF(OR(AD177="No",AE177="No"),0,AD177/AE177)
+IF(OR(AL177="No",AI177="No",AJ177="No"),0,AI177/AJ177*(LEN(AL177)-LEN(SUBSTITUTE(AL177,",",""))+1))
)/(0.2*IF(OR(Q177="No",R177="No",R177=0),0,1)
+IF(OR(V177="No",S177="No",T177="No"),0,LEN(V177)-LEN(SUBSTITUTE(V177,",",""))+1)
+IF(OR(X177="No",Y177="No"),0,1)
+IF(OR(AD177="No",AE177="No"),0,1)
+IF(OR(AL177="No",AI177="No",AJ177="No"),0,LEN(AL177)-LEN(SUBSTITUTE(AL177,",",""))+1))*62%)* 2)*(1 + (AP177 / (IF(_xlfn.XLOOKUP(_xlfn.XLOOKUP(B177,'Base stats'!B:B,'Base stats'!E:E),Groups!A:A,Groups!AJ:AJ)="Photonozoa",0.3,1)) + _xlfn.XLOOKUP(B177,'Base stats'!B:B,'Base stats'!AV:AV) * 1.8) * 2) * 2.5 + 10 + I177 * 2,5)+IF(_xlfn.XLOOKUP(B177,'Base stats'!B:B,'Base stats'!AK:AK)=1,50,0)</f>
        <v>155</v>
      </c>
      <c r="BS177" s="8">
        <f t="shared" si="19"/>
        <v>1.2000000000000002</v>
      </c>
      <c r="BT177" s="8" t="str">
        <f>_xlfn.XLOOKUP(B177,'Base stats'!B:B,'Base stats'!AF:AF)</f>
        <v>5~15</v>
      </c>
      <c r="BU177" s="2" t="str">
        <f>IF(AND(J177&lt;=0.95,OR(_xlfn.XLOOKUP(B177,'Base stats'!B:B,'Base stats'!AK:AK)=1,_xlfn.XLOOKUP(B177,'Base stats'!B:B,'Base stats'!Y:Y)="Carnivore",_xlfn.XLOOKUP(B177,'Base stats'!B:B,'Base stats'!Y:Y)="Omnivore",BE177&gt;0.1)),"true","false")</f>
        <v>false</v>
      </c>
      <c r="BV177" s="2" t="str">
        <f>IF(_xlfn.XLOOKUP(B177,'Base stats'!B:B,'Base stats'!AI:AI)=1,"true","false")</f>
        <v>false</v>
      </c>
      <c r="BW177" s="25" t="str">
        <f>IF(E177="BaseInsect","AnimalInsect",
IF(J177&gt;0.95,"AnimalExotic",
_xlfn.TEXTJOIN(", ",TRUE,
IF(OR(_xlfn.XLOOKUP(B177,'Base stats'!B:B,'Base stats'!AM:AM)=1,AND(_xlfn.XLOOKUP(B177,'Base stats'!B:B,'Base stats'!O:O)=0,_xlfn.XLOOKUP(_xlfn.XLOOKUP(B177,'Base stats'!B:B,'Base stats'!E:E),Groups!A:A,Groups!B:B)&gt;0)),"AnimalUncommon","AnimalCommon"),
IF(AND(_xlfn.XLOOKUP(B177,'Base stats'!B:B,'Base stats'!O:O)=2,_xlfn.XLOOKUP(_xlfn.XLOOKUP(B177,'Base stats'!B:B,'Base stats'!E:E),Groups!A:A,Groups!D:D)=0),"AnimalPet",IF(AND(_xlfn.XLOOKUP(B177,'Base stats'!B:B,'Base stats'!O:O)&lt;&gt;0,_xlfn.XLOOKUP(_xlfn.XLOOKUP(B177,'Base stats'!B:B,'Base stats'!E:E),Groups!A:A,Groups!D:D)&lt;&gt;0),"AnimalFarm","")),
IF(OR(_xlfn.XLOOKUP(B177,'Base stats'!B:B,'Base stats'!AK:AK)=1,AND(BI177&lt;&gt;"None",BR177&gt;=60),ISNUMBER(SEARCH("Attack target",BP177))),"AnimalFighter","")
)))</f>
        <v>AnimalUncommon</v>
      </c>
      <c r="BX177" s="25" t="str">
        <f>IF(G177="None",TRIM(
SUBSTITUTE(
IF(COUNTIF(Biomes!B$2:B$259,"="&amp;$C177)&gt;0,Biomes!B$1&amp;", ","")&amp;
IF(COUNTIF(Biomes!C$2:C$259,"="&amp;$C177)&gt;0,Biomes!C$1&amp;", ","")&amp;
IF(COUNTIF(Biomes!D$2:D$259,"="&amp;$C177)&gt;0,Biomes!D$1&amp;", ","")&amp;
IF(COUNTIF(Biomes!F$2:F$259,"="&amp;$C177)&gt;0,Biomes!F$1&amp;", ","")&amp;
IF(COUNTIF(Biomes!G$2:G$259,"="&amp;$C177)&gt;0,Biomes!G$1&amp;", ","")&amp;
IF(COUNTIF(Biomes!H$2:H$259,"="&amp;$C177)&gt;0,Biomes!H$1&amp;", ","")&amp;
IF(COUNTIF(Biomes!I$2:I$259,"="&amp;$C177)&gt;0,Biomes!I$1&amp;", ","")&amp;
IF(COUNTIF(Biomes!J$2:J$259,"="&amp;$C177)&gt;0,Biomes!J$1&amp;", ","")&amp;
IF(COUNTIF(Biomes!M$2:M$259,"="&amp;$C177)&gt;0,Biomes!M$1&amp;", ","")&amp;
IF(COUNTIF(Biomes!N$2:N$259,"="&amp;$C177)&gt;0,Biomes!N$1&amp;", ","")&amp;
IF(COUNTIF(Biomes!O$2:O$259,"="&amp;$C177)&gt;0,Biomes!O$1&amp;", ","")&amp;
IF(COUNTIF(Biomes!P$2:P$259,"="&amp;$C177)&gt;0,Biomes!P$1&amp;", ","")&amp;
IF(COUNTIF(Biomes!K$2:K$259,"="&amp;$C177)&gt;0,Biomes!K$1&amp;", ","")&amp;
IF(COUNTIF(Biomes!Q$3:Q$259,"="&amp;$C177)&gt;0,Biomes!Q$1&amp;", ","")&amp;
IF(COUNTIF(Biomes!L$2:L$259,"="&amp;$C177)&gt;0,Biomes!L$1&amp;", ","")&amp;
IF(COUNTIF(Biomes!E$2:E$259,"="&amp;$C177)&gt;0,Biomes!E$1&amp;", ","")&amp;IF(COUNTIF(Biomes!S$2:S$259,"="&amp;$C177)&gt;0,Biomes!S$1&amp;", ","")&amp;
IF(COUNTIF(Biomes!R$2:R$259,"="&amp;$C177)&gt;0,Biomes!R$1&amp;", ",""),", ","")
),_xlfn.XLOOKUP(B177,B:B,BX:BX))</f>
        <v>AridShrubland Grasslands LavaField</v>
      </c>
      <c r="BY177" s="25" t="str">
        <f>IF(_xlfn.XLOOKUP(B177,'Base stats'!B:B,'Base stats'!AJ:AJ)=1,"true","false")</f>
        <v>false</v>
      </c>
      <c r="BZ177" s="25">
        <f>IF(_xlfn.XLOOKUP(B177,'Base stats'!B:B,'Base stats'!N:N)=1,"No",MAX(0.001,MIN(MROUND(IF(AND(BJ177="True",CC177="False"),POWER(10,3.47*LOG10(_xlfn.XLOOKUP(B177,'Base stats'!B:B,'Base stats'!C:C)*1000)^-0.96),POWER(10,4.15*LOG10(_xlfn.XLOOKUP(B177,'Base stats'!B:B,'Base stats'!C:C)*1000)^-0.73))*IF(_xlfn.XLOOKUP(B177,'Base stats'!B:B,'Base stats'!AK:AK)=1,0.5,1)*IF(_xlfn.XLOOKUP(B177,'Base stats'!B:B,'Base stats'!AM:AM)=1,0.1,1)/100,IF(_xlfn.XLOOKUP(B177,'Base stats'!B:B,'Base stats'!AM:AM)=1,0.001,0.025)),0.5)))</f>
        <v>1.6E-2</v>
      </c>
      <c r="CA177" s="25" t="str">
        <f>IF(P177="Standard","No",MAX(0.001,MIN(MROUND(IF(AND(BJ177="True",CC177="False"),POWER(10,3.47*LOG10(_xlfn.XLOOKUP(B177,'Base stats'!B:B,'Base stats'!C:C)*1000)^-0.96),POWER(10,4.15*LOG10(_xlfn.XLOOKUP(B177,'Base stats'!B:B,'Base stats'!C:C)*1000)^-0.73))*IF(_xlfn.XLOOKUP(B177,'Base stats'!B:B,'Base stats'!AM:AM)=1,0.1,1)*_xlfn.XLOOKUP(B177,'Base stats'!B:B,'Base stats'!R:R)/100,IF(_xlfn.XLOOKUP(B177,'Base stats'!B:B,'Base stats'!AM:AM)=1,0.001,0.025)),0.5)))</f>
        <v>No</v>
      </c>
      <c r="CB177" s="25" t="str">
        <f>IF(_xlfn.XLOOKUP(_xlfn.XLOOKUP(B177,'Base stats'!B:B,'Base stats'!E:E),Groups!A:A,Groups!AJ:AJ)="Mammal","True","False")</f>
        <v>True</v>
      </c>
      <c r="CC177" s="25" t="str">
        <f>IF(OR(_xlfn.XLOOKUP(_xlfn.XLOOKUP(B177,'Base stats'!B:B,'Base stats'!E:E),Groups!A:A,Groups!AJ:AJ)="Reptile",_xlfn.XLOOKUP(_xlfn.XLOOKUP(B177,'Base stats'!B:B,'Base stats'!E:E),Groups!A:A,Groups!AJ:AJ)="Amphibian",_xlfn.XLOOKUP(_xlfn.XLOOKUP(B177,'Base stats'!B:B,'Base stats'!E:E),Groups!A:A,Groups!AJ:AJ)="Invertebrate"),"True","False")</f>
        <v>False</v>
      </c>
      <c r="CD177" s="25" t="str">
        <f t="shared" si="20"/>
        <v>False</v>
      </c>
      <c r="CE177" s="25" t="str">
        <f>IF(_xlfn.XLOOKUP(_xlfn.XLOOKUP(B177,'Base stats'!B:B,'Base stats'!E:E),Groups!A:A,Groups!AX:AX),"True","False")</f>
        <v>False</v>
      </c>
      <c r="CF177" s="25" t="str">
        <f>IF(_xlfn.XLOOKUP(_xlfn.XLOOKUP(B177,'Base stats'!B:B,'Base stats'!E:E),Groups!A:A,Groups!AY:AY),"True","False")</f>
        <v>False</v>
      </c>
      <c r="CG177" s="25" t="str">
        <f>IF(_xlfn.XLOOKUP(_xlfn.XLOOKUP(B177,'Base stats'!B:B,'Base stats'!E:E),Groups!A:A,Groups!AW:AW),"True","False")</f>
        <v>False</v>
      </c>
      <c r="CH177" s="25" t="str">
        <f>IF(
OR(
_xlfn.XLOOKUP(_xlfn.XLOOKUP(B177,'Base stats'!B:B,'Base stats'!E:E),Groups!A:A,Groups!AZ:AZ)=0,
AND(
_xlfn.XLOOKUP(B177,'Base stats'!B:B,'Base stats'!Y:Y)&lt;&gt;"Carnivore",
_xlfn.XLOOKUP(B177,'Base stats'!B:B,'Base stats'!Y:Y)&lt;&gt;"Omnivore",
_xlfn.XLOOKUP(B177,'Base stats'!B:B,'Base stats'!Y:Y)&lt;&gt;"OmnivoreRough"
)
),
"No",
IF(
_xlfn.XLOOKUP(_xlfn.XLOOKUP(B177,'Base stats'!B:B,'Base stats'!E:E),Groups!A:A,Groups!AZ:AZ)=1,
"Flesh",
IF(
_xlfn.XLOOKUP(_xlfn.XLOOKUP(B177,'Base stats'!B:B,'Base stats'!E:E),Groups!A:A,Groups!AZ:AZ)=2,
"Bone",
""
)
)
)</f>
        <v>No</v>
      </c>
      <c r="CI177" s="25" t="str">
        <f>IF(_xlfn.XLOOKUP(_xlfn.XLOOKUP(B177,'Base stats'!B:B,'Base stats'!E:E),Groups!A:A,Groups!BB:BB),"True","False")</f>
        <v>True</v>
      </c>
      <c r="CJ177" s="25" t="str">
        <f>IF(_xlfn.XLOOKUP(_xlfn.XLOOKUP(B177,'Base stats'!B:B,'Base stats'!E:E),Groups!A:A,Groups!BA:BA),"True","False")</f>
        <v>False</v>
      </c>
    </row>
    <row r="178" spans="1:88" ht="16.5" thickTop="1" thickBot="1" x14ac:dyDescent="0.3">
      <c r="A178" s="26" t="s">
        <v>1203</v>
      </c>
      <c r="B178" s="6" t="s">
        <v>1212</v>
      </c>
      <c r="C178" s="28" t="s">
        <v>1194</v>
      </c>
      <c r="D178" s="28" t="s">
        <v>1189</v>
      </c>
      <c r="E178" s="28" t="s">
        <v>673</v>
      </c>
      <c r="F178" s="28" t="s">
        <v>676</v>
      </c>
      <c r="G178" s="28" t="s">
        <v>673</v>
      </c>
      <c r="H178" s="2">
        <f>MROUND((
  (IF(AND(_xlfn.XLOOKUP(B178,'Base stats'!B:B,'Base stats'!AL:AL)=0,BI178="None",_xlfn.XLOOKUP(_xlfn.XLOOKUP(B178,'Base stats'!B:B,'Base stats'!E:E),Groups!A:A,Groups!B:B)=0), (18 + BR178 * 2.7) * 0.5,
    IF(AND(_xlfn.XLOOKUP(B178,'Base stats'!B:B,'Base stats'!AL:AL)=0,OR(AO178&lt;0.55,AND(BI178="Intermediate",_xlfn.XLOOKUP(_xlfn.XLOOKUP(B178,'Base stats'!B:B,'Base stats'!E:E),Groups!A:A,Groups!B:B)&lt;2))), (18 + BR178 * 2.7),
      IF(OR(BI178="Advanced",_xlfn.XLOOKUP(B178,'Base stats'!B:B,'Base stats'!AL:AL)=1,_xlfn.XLOOKUP(_xlfn.XLOOKUP(B178,'Base stats'!B:B,'Base stats'!E:E),Groups!A:A,Groups!B:B)=2), (18 + BR178 * 2.7) + 250, (18 + BR178 * 2.7))
    )
  ))
  + AO178 * 80
  + IF(COUNTIF(EggMilk!K$2:K$998, A178) &gt; 0, 125, 0)
  + IF(COUNTIF(EggMilk!P$2:P$998, A178) &gt; 0, 90, 0)
  + IF(COUNTIF(EggMilk!A$2:A$998, A178) &gt; 0, 90, 0)
)
* (0.8 + 0.4 * J178)
* 0.75,25)</f>
        <v>175</v>
      </c>
      <c r="I178" s="2">
        <f>MROUND(ROUNDDOWN(_xlfn.XLOOKUP(B178,'Base stats'!B:B,'Base stats'!L:L)/3.6/(23.3/11),1),0.5)</f>
        <v>1.5</v>
      </c>
      <c r="J178" s="2">
        <f>IF(OR(_xlfn.XLOOKUP(B178,'Base stats'!B:B,'Base stats'!AB:AB)=1,_xlfn.XLOOKUP(_xlfn.XLOOKUP(B178,'Base stats'!B:B,'Base stats'!E:E),Groups!A:A,Groups!C:C)="Untamable"),1,IF(_xlfn.XLOOKUP(B178,'Base stats'!B:B,'Base stats'!AL:AL)=1,0.99,MIN(MROUND((1-0.6282*EXP(-0.459*AO178))*_xlfn.XLOOKUP(_xlfn.XLOOKUP(B178,'Base stats'!B:B,'Base stats'!E:E),Groups!A:A,Groups!C:C)*IF(_xlfn.XLOOKUP(B178,'Base stats'!B:B,'Base stats'!O:O)=1,0.5,IF(_xlfn.XLOOKUP(B178,'Base stats'!B:B,'Base stats'!O:O)=2,0,1)),0.05),IF(AO178&gt;3.5,0.985,0.95))))</f>
        <v>0.55000000000000004</v>
      </c>
      <c r="K178" s="2">
        <f>ROUNDUP(AO178*_xlfn.XLOOKUP(_xlfn.XLOOKUP(B178,'Base stats'!B:B,'Base stats'!E:E),Groups!A:A,Groups!E:E),0)</f>
        <v>4</v>
      </c>
      <c r="L178" s="2">
        <f>IF(OR(_xlfn.XLOOKUP(_xlfn.XLOOKUP(B178,'Base stats'!B:B,'Base stats'!E:E),Groups!A:A,Groups!F:F)=2,ISNUMBER(SEARCH("SeaIce",BX178)),ISNUMBER(SEARCH("IceSheet",BX178))),-50,IF(OR(ISNUMBER(SEARCH("GlacialPlain",BX178)),ISNUMBER(SEARCH("Tundra",BX178))),-40,IF(OR(ISNUMBER(SEARCH("Alpine",BX178)),ISNUMBER(SEARCH("BorealForest",BX178)),ISNUMBER(SEARCH("ColdBog",BX178))),-30,IF(OR(ISNUMBER(SEARCH("TemperateForest",BX178)),ISNUMBER(SEARCH("TemperateSwamp",BX178))),-20,IF(_xlfn.XLOOKUP(_xlfn.XLOOKUP(B178,'Base stats'!B:B,'Base stats'!E:E),Groups!A:A,Groups!F:F)=1,-15,IF(OR(ISNUMBER(SEARCH("Desert",BX178)),ISNUMBER(SEARCH("ExtremeDesert",BX178))),-10,IF(OR(ISNUMBER(SEARCH("Grasslands",BX178)),ISNUMBER(SEARCH("TropicalRainforest",BX178)),ISNUMBER(SEARCH("TropicalSwamp",BX178))),10,0)))))))-IF(CC178="False",MIN(IFERROR(MAX(MROUND(LOG10(_xlfn.XLOOKUP(B178,'Base stats'!B:B,'Base stats'!C:C)^(2/3))*10,5),5),5),30))-_xlfn.XLOOKUP(B178,'Base stats'!B:B,'Base stats'!P:P)+IF(CC178="True",5,0)</f>
        <v>-55</v>
      </c>
      <c r="M178" s="2">
        <f>IF(OR(_xlfn.XLOOKUP(_xlfn.XLOOKUP(B178,'Base stats'!B:B,'Base stats'!E:E),Groups!A:A,Groups!G:G)=2,ISNUMBER(SEARCH("Desert",BX178)),ISNUMBER(SEARCH("ExtremeDesert",BX178)),ISNUMBER(SEARCH("LavaField",BX178))),50,IF(ISNUMBER(SEARCH("Grasslands",BX178)),45,IF(OR(_xlfn.XLOOKUP(_xlfn.XLOOKUP(B178,'Base stats'!B:B,'Base stats'!E:E),Groups!A:A,Groups!G:G)=1,ISNUMBER(SEARCH("TropicalRainforest",BX178)),ISNUMBER(SEARCH("TropicalSwamp",BX178))),40,IF(OR(ISNUMBER(SEARCH("TemperateForest",BX178)),ISNUMBER(SEARCH("TemperateSwamp",BX178))),35,IF(OR(ISNUMBER(SEARCH("Alpine",BX178)),ISNUMBER(SEARCH("BorealForest",BX178)),ISNUMBER(SEARCH("ColdBog",BX178))),30,IF(ISNUMBER(OR(ISNUMBER(SEARCH("GlacialPlain",BX178)),SEARCH("Tundra",BX178))),25,IF(OR(ISNUMBER(SEARCH("SeaIce",BX178)),ISNUMBER(SEARCH("IceSheet",BX178)),ISNUMBER(SEARCH("TropicalSwamp",BX178))),10,35)))))))+_xlfn.XLOOKUP(B178,'Base stats'!B:B,'Base stats'!Q:Q)</f>
        <v>10</v>
      </c>
      <c r="N178" s="8" t="str">
        <f>IF(
_xlfn.XLOOKUP(
_xlfn.XLOOKUP(B178,'Base stats'!B:B,'Base stats'!E:E),
Groups!A:A,
Groups!L:L
)=1,
MIN(
MROUND(
IF(
_xlfn.XLOOKUP(B178,'Animals CE'!B:B,'Animals CE'!Z:Z)&lt;=1.5,
_xlfn.XLOOKUP(B178,'Animals CE'!B:B,'Animals CE'!Z:Z)/2+0.05,
0.8+
(_xlfn.XLOOKUP(B178,'Animals CE'!B:B,'Animals CE'!Z:Z)-1.5)
*0.02
),
0.05
),
200%
),
"No"
)</f>
        <v>No</v>
      </c>
      <c r="O178" s="8" t="str">
        <f>IF(
_xlfn.XLOOKUP(
_xlfn.XLOOKUP(B178,'Base stats'!B:B,'Base stats'!E:E),
Groups!A:A,
Groups!L:L
)=1,
MIN(
MROUND(
IF(
_xlfn.XLOOKUP(B178,'Animals CE'!B:B,'Animals CE'!AA:AA)&lt;=1.5,
_xlfn.XLOOKUP(B178,'Animals CE'!B:B,'Animals CE'!AA:AA)/2+0.05,
0.8+
(_xlfn.XLOOKUP(B178,'Animals CE'!B:B,'Animals CE'!AA:AA)-1.5)
*0.02
),
0.05
),
200%
),
"No"
)</f>
        <v>No</v>
      </c>
      <c r="P178" s="2" t="str">
        <f>_xlfn.XLOOKUP(B178,'Base stats'!B:B,'Base stats'!R:R)</f>
        <v>Standard</v>
      </c>
      <c r="Q178" s="13">
        <f>MROUND((LOG10(_xlfn.XLOOKUP(B178,'Base stats'!B:B,'Base stats'!AR:AR))*(AO178^0.5)+(_xlfn.XLOOKUP(B178,'Base stats'!B:B,'Base stats'!AR:AR)/1000)^(2/3)+_xlfn.XLOOKUP(B178,'Base stats'!B:B,'Base stats'!BA:BA)/2)+0.5,0.5)</f>
        <v>2.5</v>
      </c>
      <c r="R178" s="7">
        <f>IF(Q178="No","No",MAX(1,MROUND(_xlfn.XLOOKUP(B178,'Base stats'!B:B,'Base stats'!C:C)^0.165,0.05)))</f>
        <v>1.3</v>
      </c>
      <c r="S178" s="13" t="str">
        <f>IF(_xlfn.XLOOKUP(_xlfn.XLOOKUP(B178,'Base stats'!B:B,'Base stats'!E:E),Groups!A:A,Groups!P:P)=0,"No",MROUND((LOG10(_xlfn.XLOOKUP(B178,'Base stats'!B:B,'Base stats'!AS:AS))*(AO178^0.5)+(_xlfn.XLOOKUP(B178,'Base stats'!B:B,'Base stats'!AS:AS)/1000)^(2/3)+_xlfn.XLOOKUP(B178,'Base stats'!B:B,'Base stats'!BA:BA))+_xlfn.XLOOKUP(B178,'Base stats'!B:B,'Base stats'!AY:AY)+0.5,0.5))</f>
        <v>No</v>
      </c>
      <c r="T178" s="7" t="str">
        <f>IF(S178="No","No",MAX(_xlfn.XLOOKUP(_xlfn.XLOOKUP(B178,'Base stats'!B:B,'Base stats'!E:E),Groups!A:A,Groups!Q:Q),MROUND(_xlfn.XLOOKUP(_xlfn.XLOOKUP(B178,'Base stats'!B:B,'Base stats'!E:E),Groups!A:A,Groups!Q:Q)*_xlfn.XLOOKUP(B178,'Base stats'!B:B,'Base stats'!C:C)^0.165,0.05)))</f>
        <v>No</v>
      </c>
      <c r="U178" s="7" t="str">
        <f>IF(S178="No","No",_xlfn.XLOOKUP(_xlfn.XLOOKUP(B178,'Base stats'!B:B,'Base stats'!E:E),Groups!A:A,Groups!R:R))</f>
        <v>No</v>
      </c>
      <c r="V178" s="7" t="str">
        <f>IF(S178="No","No",_xlfn.XLOOKUP(_xlfn.XLOOKUP(B178,'Base stats'!B:B,'Base stats'!E:E),Groups!A:A,Groups!S:S))</f>
        <v>No</v>
      </c>
      <c r="W178" s="7" t="str">
        <f>IF(S178="No","No",_xlfn.XLOOKUP(_xlfn.XLOOKUP(B178,'Base stats'!B:B,'Base stats'!E:E),Groups!A:A,Groups!T:T))</f>
        <v>No</v>
      </c>
      <c r="X178" s="13" t="str">
        <f>IF(_xlfn.XLOOKUP(B178,'Base stats'!B:B,'Base stats'!W:W)="No","No",MROUND((LOG10(_xlfn.XLOOKUP(B178,'Base stats'!B:B,'Base stats'!AU:AU))*(AO178^0.5)+(_xlfn.XLOOKUP(B178,'Base stats'!B:B,'Base stats'!AU:AU)/1000)^(2/3)+_xlfn.XLOOKUP(B178,'Base stats'!B:B,'Base stats'!AZ:AZ))+0.5+IF(_xlfn.XLOOKUP(_xlfn.XLOOKUP(B178,'Base stats'!B:B,'Base stats'!E:E),Groups!A:A,Groups!U:U)&lt;&gt;3,_xlfn.XLOOKUP(B178,'Base stats'!B:B,'Base stats'!BA:BA),0),0.5))</f>
        <v>No</v>
      </c>
      <c r="Y178" s="7" t="str">
        <f>IF(X178="No","No",MAX(_xlfn.XLOOKUP(_xlfn.XLOOKUP(B178,'Base stats'!B:B,'Base stats'!E:E),Groups!A:A,Groups!V:V),MROUND(_xlfn.XLOOKUP(_xlfn.XLOOKUP(B178,'Base stats'!B:B,'Base stats'!E:E),Groups!A:A,Groups!V:V)*_xlfn.XLOOKUP(B178,'Base stats'!B:B,'Base stats'!C:C)^0.165,0.05)))</f>
        <v>No</v>
      </c>
      <c r="Z178" s="7" t="str">
        <f>IF(X178="No","No",_xlfn.XLOOKUP(_xlfn.XLOOKUP(B178,'Base stats'!B:B,'Base stats'!E:E),Groups!A:A,Groups!W:W))</f>
        <v>No</v>
      </c>
      <c r="AA178" s="7" t="str">
        <f>IF(X178="No","No",_xlfn.XLOOKUP(_xlfn.XLOOKUP(B178,'Base stats'!B:B,'Base stats'!E:E),Groups!A:A,Groups!X:X))</f>
        <v>No</v>
      </c>
      <c r="AB178" s="7" t="str">
        <f>IF(X178="No","No",_xlfn.XLOOKUP(_xlfn.XLOOKUP(B178,'Base stats'!B:B,'Base stats'!E:E),Groups!A:A,Groups!Y:Y))</f>
        <v>No</v>
      </c>
      <c r="AC178" s="7" t="str">
        <f>_xlfn.XLOOKUP(Animals!B178,'Base stats'!B:B,'Base stats'!X:X)</f>
        <v>False</v>
      </c>
      <c r="AD178" s="13">
        <f>IF(_xlfn.XLOOKUP(B178,'Base stats'!B:B,'Base stats'!AT:AT)="No","No",MROUND((LOG10(_xlfn.XLOOKUP(B178,'Base stats'!B:B,'Base stats'!AT:AT))*(AO178^0.75)+(_xlfn.XLOOKUP(B178,'Base stats'!B:B,'Base stats'!AT:AT)/1000)^(2/3)+_xlfn.XLOOKUP(B178,'Base stats'!B:B,'Base stats'!AX:AX)+_xlfn.XLOOKUP(B178,'Base stats'!B:B,'Base stats'!BA:BA))+0.5,0.5))</f>
        <v>2.5</v>
      </c>
      <c r="AE178" s="7">
        <f>IF(AD178="No","No",MAX(_xlfn.XLOOKUP(_xlfn.XLOOKUP(B178,'Base stats'!B:B,'Base stats'!E:E),Groups!A:A,Groups!Z:Z),MROUND(_xlfn.XLOOKUP(_xlfn.XLOOKUP(B178,'Base stats'!B:B,'Base stats'!E:E),Groups!A:A,Groups!Z:Z)*_xlfn.XLOOKUP(B178,'Base stats'!B:B,'Base stats'!C:C)^0.165,0.05)))</f>
        <v>1.05</v>
      </c>
      <c r="AF178" s="7" t="str">
        <f>IF(AD178="No","No",_xlfn.XLOOKUP(_xlfn.XLOOKUP(B178,'Base stats'!B:B,'Base stats'!E:E),Groups!A:A,Groups!AA:AA))</f>
        <v>Beak</v>
      </c>
      <c r="AG178" s="7" t="str">
        <f>IF(AD178="No","No",_xlfn.XLOOKUP(_xlfn.XLOOKUP(B178,'Base stats'!B:B,'Base stats'!E:E),Groups!A:A,Groups!AB:AB))</f>
        <v>beak</v>
      </c>
      <c r="AH178" s="7" t="str">
        <f>IF(AD178="No","No",_xlfn.XLOOKUP(_xlfn.XLOOKUP(B178,'Base stats'!B:B,'Base stats'!E:E),Groups!A:A,Groups!AC:AC))</f>
        <v>Blunt</v>
      </c>
      <c r="AI178" s="13" t="str">
        <f>IF(_xlfn.XLOOKUP(_xlfn.XLOOKUP(B178,'Base stats'!B:B,'Base stats'!E:E),Groups!A:A,Groups!AD:AD)=0,"No",MROUND((LOG10(_xlfn.XLOOKUP(B178,'Base stats'!B:B,'Base stats'!AS:AS))*(AO178^0.75)+(_xlfn.XLOOKUP(B178,'Base stats'!B:B,'Base stats'!AS:AS)/1000)^(2/3)+_xlfn.XLOOKUP(B178,'Base stats'!B:B,'Base stats'!AY:AY)+_xlfn.XLOOKUP(B178,'Base stats'!B:B,'Base stats'!BA:BA))+0.5,0.5))</f>
        <v>No</v>
      </c>
      <c r="AJ178" s="7" t="str">
        <f>IF(AI178="No","No",MAX(_xlfn.XLOOKUP(_xlfn.XLOOKUP(B178,'Base stats'!B:B,'Base stats'!E:E),Groups!A:A,Groups!AE:AE),MROUND(_xlfn.XLOOKUP(_xlfn.XLOOKUP(B178,'Base stats'!B:B,'Base stats'!E:E),Groups!A:A,Groups!AE:AE)*IF(_xlfn.XLOOKUP(_xlfn.XLOOKUP(B178,'Base stats'!B:B,'Base stats'!E:E),Groups!A:A,Groups!AJ:AJ)="Photonozoa",0.6,1)*_xlfn.XLOOKUP(B178,'Base stats'!B:B,'Base stats'!C:C)^0.165,0.05)))</f>
        <v>No</v>
      </c>
      <c r="AK178" s="7" t="str">
        <f>IF(AI178="No","No",_xlfn.XLOOKUP(_xlfn.XLOOKUP(B178,'Base stats'!B:B,'Base stats'!E:E),Groups!A:A,Groups!AF:AF))</f>
        <v>No</v>
      </c>
      <c r="AL178" s="7" t="str">
        <f>IF(AI178="No","No",_xlfn.XLOOKUP(_xlfn.XLOOKUP(B178,'Base stats'!B:B,'Base stats'!E:E),Groups!A:A,Groups!AG:AG))</f>
        <v>No</v>
      </c>
      <c r="AM178" s="7" t="str">
        <f>IF(AI178="No","No",_xlfn.XLOOKUP(_xlfn.XLOOKUP(B178,'Base stats'!B:B,'Base stats'!E:E),Groups!A:A,Groups!AH:AH))</f>
        <v>No</v>
      </c>
      <c r="AN178" s="2" t="str">
        <f t="shared" si="14"/>
        <v>No</v>
      </c>
      <c r="AO178" s="2">
        <f>MROUND(IF(AND(_xlfn.XLOOKUP(B178,'Base stats'!B:B,'Base stats'!C:C)&gt;=0.5,_xlfn.XLOOKUP(B178,'Base stats'!B:B,'Base stats'!C:C)&lt;=0.8),
IF(_xlfn.XLOOKUP(B178,'Base stats'!B:B,'Base stats'!C:C)&lt;0.1,0.05,IF(_xlfn.XLOOKUP(B178,'Base stats'!B:B,'Base stats'!C:C)&lt;=70,(_xlfn.XLOOKUP(B178,'Base stats'!B:B,'Base stats'!C:C)/70)^0.426489913056526,IF(_xlfn.XLOOKUP(B178,'Base stats'!B:B,'Base stats'!C:C)&lt;=400,(_xlfn.XLOOKUP(B178,'Base stats'!B:B,'Base stats'!C:C)/70)^0.572811455315093,IF(_xlfn.XLOOKUP(B178,'Base stats'!B:B,'Base stats'!C:C)&lt;=2000,2.71391647193063*(_xlfn.XLOOKUP(B178,'Base stats'!B:B,'Base stats'!C:C)/400)^0.252459582904293,3.74314280240376*(_xlfn.XLOOKUP(B178,'Base stats'!B:B,'Base stats'!C:C)/2000)^0.357012633876913)))),
IF(_xlfn.XLOOKUP(B178,'Base stats'!B:B,'Base stats'!C:C)&lt;0.1,0.05,IF(_xlfn.XLOOKUP(B178,'Base stats'!B:B,'Base stats'!C:C)&lt;0.4,0.1,IF(_xlfn.XLOOKUP(B178,'Base stats'!B:B,'Base stats'!C:C)&lt;=70,(_xlfn.XLOOKUP(B178,'Base stats'!B:B,'Base stats'!C:C)/70)^0.445823913056526,IF(_xlfn.XLOOKUP(B178,'Base stats'!B:B,'Base stats'!C:C)&lt;=400,(_xlfn.XLOOKUP(B178,'Base stats'!B:B,'Base stats'!C:C)/70)^0.572811455315093,IF(_xlfn.XLOOKUP(B178,'Base stats'!B:B,'Base stats'!C:C)&lt;=2000,2.71391647193063*(_xlfn.XLOOKUP(B178,'Base stats'!B:B,'Base stats'!C:C)/400)^0.252459582904293,3.74314280240376*(_xlfn.XLOOKUP(B178,'Base stats'!B:B,'Base stats'!C:C)/2000)^0.357012633876913)))))),
IF(_xlfn.XLOOKUP(B178,'Base stats'!B:B,'Base stats'!C:C)&lt;0.1,0.05,IF(_xlfn.XLOOKUP(B178,'Base stats'!B:B,'Base stats'!C:C)&lt;=100,0.05,IF(_xlfn.XLOOKUP(B178,'Base stats'!B:B,'Base stats'!C:C)&lt;=250,0.1,IF(_xlfn.XLOOKUP(B178,'Base stats'!B:B,'Base stats'!C:C)&lt;=4000,0.25,0.5)))))</f>
        <v>0.30000000000000004</v>
      </c>
      <c r="AP178" s="8">
        <f>MROUND(AO178*_xlfn.XLOOKUP(_xlfn.XLOOKUP(B178,'Base stats'!B:B,'Base stats'!E:E),Groups!A:A,Groups!AI:AI)*_xlfn.XLOOKUP(B178,'Base stats'!B:B,'Base stats'!Z:Z),0.05)</f>
        <v>0.30000000000000004</v>
      </c>
      <c r="AQ178" s="8">
        <f>MAX(0.01,MROUND(IF(CC178="True",0.196*(AO178*100*1000)^0.889,IF(_xlfn.XLOOKUP(_xlfn.XLOOKUP(B178,'Base stats'!B:B,'Base stats'!E:E),Groups!A:A,Groups!AJ:AJ)="Bird",10.5*(AO178*100*1000)^0.681,4.82*(AO178*100*1000)^0.734))/(4.82*(1*100*1000)^0.734)/IF(AO178&lt;3.5,2,IF(AO178=3.5,1.5,1.25))*(1+0.132282374779864/(AO178^0.994035016789033+0.00905238001496948)),0.05))</f>
        <v>0.35000000000000003</v>
      </c>
      <c r="AR178" s="9">
        <f>IFERROR(MROUND(_xlfn.XLOOKUP(B178,'Base stats'!B:B,'Base stats'!H:H)/IF(_xlfn.XLOOKUP(B178,'Base stats'!B:B,'Base stats'!I:I)&lt;&gt;1,(122.5/70),1.2),IF(_xlfn.XLOOKUP(B178,'Base stats'!B:B,'Base stats'!H:H)&gt;=30,5,IF(_xlfn.XLOOKUP(B178,'Base stats'!B:B,'Base stats'!H:H)&gt;=15,3,IF(_xlfn.XLOOKUP(B178,'Base stats'!B:B,'Base stats'!H:H)&gt;=10,2,1)))),"Immortal")</f>
        <v>12</v>
      </c>
      <c r="AS178" s="35" t="str">
        <f>IFERROR(IF(OR(_xlfn.XLOOKUP(B178,'Base stats'!B:B,'Base stats'!F:F)="Atypical reproduction",_xlfn.XLOOKUP(B178,'Base stats'!B:B,'Base stats'!F:F)="Lay eggs"),"Lay eggs",MIN(20,MAX(5.5,ROUND(((_xlfn.XLOOKUP(B178,'Base stats'!B:B,'Base stats'!F:F)-25)*(14.5/615) + 5.5)*2,0)/2))),"Unknown")</f>
        <v>Lay eggs</v>
      </c>
      <c r="AT178" s="8">
        <f>IF(_xlfn.XLOOKUP(B178,'Base stats'!B:B,'Base stats'!G:G)="Atypical reproduction","No",IFERROR(MAX(IF(_xlfn.XLOOKUP(B178,'Base stats'!B:B,'Base stats'!G:G)&lt;0.5,0.2,0.3),MROUND(_xlfn.XLOOKUP(B178,'Base stats'!B:B,'Base stats'!G:G)/(365/60),0.2)),"Unknown"))</f>
        <v>0.8</v>
      </c>
      <c r="AU178" s="8">
        <f t="shared" si="15"/>
        <v>0.4</v>
      </c>
      <c r="AV178" s="8" t="str">
        <f>IFERROR(IFERROR(MROUND(_xlfn.XLOOKUP(B178,'Base stats'!B:B,'Base stats'!J:J),0.1),"Lay eggs"),"Cannot breed")</f>
        <v>Lay eggs</v>
      </c>
      <c r="AW178" s="2" t="str">
        <f t="shared" si="16"/>
        <v>true</v>
      </c>
      <c r="AX178" s="2" t="str">
        <f>IF(_xlfn.XLOOKUP(_xlfn.XLOOKUP(Animals!B178,'Base stats'!B:B,'Base stats'!E:E),Groups!A:A,Groups!AK:AK)=1,"true","false")</f>
        <v>false</v>
      </c>
      <c r="AY178" s="25" t="str">
        <f>IF(_xlfn.XLOOKUP(B178,'Base stats'!B:B,'Base stats'!Y:Y)="Liquor","Liquor, CarnivoreAnimalStrict",IF(AND(_xlfn.XLOOKUP(B178,'Base stats'!B:B,'Base stats'!Y:Y)="Carnivore",_xlfn.XLOOKUP(_xlfn.XLOOKUP(B178,'Base stats'!B:B,'Base stats'!E:E),Groups!A:A,Groups!AJ:AJ)="Photonozoa"),"CarnivoreAnimalStrict, OvivoreAnimal",IF(_xlfn.XLOOKUP(B178,'Base stats'!B:B,'Base stats'!Y:Y)="Carnivore","CarnivoreAnimal, OvivoreAnimal",IF(_xlfn.XLOOKUP(B178,'Base stats'!B:B,'Base stats'!Y:Y)="Dendrovore","VegetarianRoughAnimal, DendrovoreAnimal",IF(_xlfn.XLOOKUP(B178,'Base stats'!B:B,'Base stats'!Y:Y)="Herbivore","VegetarianRoughAnimal",IF(_xlfn.XLOOKUP(B178,'Base stats'!B:B,'Base stats'!Y:Y)="OmnivoreRough","OmnivoreRoughAnimal, OvivoreAnimal","OmnivoreAnimal, OvivoreAnimal"))))))</f>
        <v>CarnivoreAnimal, OvivoreAnimal</v>
      </c>
      <c r="AZ178" s="2">
        <f>IF(_xlfn.XLOOKUP(_xlfn.XLOOKUP(B178,'Base stats'!B:B,'Base stats'!E:E),Groups!A:A,Groups!D:D)=1,MROUND((1-J178)*5+1,2)*IF(J178&lt;=0.4,2,1),"No")</f>
        <v>4</v>
      </c>
      <c r="BA178" s="2" t="str">
        <f>IF(AND(_xlfn.XLOOKUP(B178,'Base stats'!B:B,'Base stats'!AH:AH)="&lt;li&gt;Seal&lt;/li&gt;",G178="Odyssey"),"&lt;li&gt;AEXP_Seal&lt;/li&gt;",_xlfn.XLOOKUP(B178,'Base stats'!B:B,'Base stats'!AH:AH))</f>
        <v>&lt;li&gt;Cassowary&lt;/li&gt;</v>
      </c>
      <c r="BB178" s="2" t="str">
        <f>_xlfn.XLOOKUP(B178,'Base stats'!B:B,'Base stats'!AG:AG)</f>
        <v>Leather_Bird</v>
      </c>
      <c r="BC178" s="23" t="str">
        <f>_xlfn.XLOOKUP(_xlfn.XLOOKUP(B178,'Base stats'!B:B,'Base stats'!E:E),Groups!A:A,Groups!AL:AL)</f>
        <v>Bird</v>
      </c>
      <c r="BD178" s="23">
        <f>MIN(1,MROUND(IF(AND(AO178&lt;0.5,_xlfn.XLOOKUP(B178,'Base stats'!B:B,'Base stats'!AA:AA)=0),0,IF(OR(_xlfn.XLOOKUP(Animals!B178,'Base stats'!B:B,'Base stats'!O:O)=2,_xlfn.XLOOKUP(_xlfn.XLOOKUP(B178,'Base stats'!B:B,'Base stats'!E:E),Groups!A:A,Groups!AN:AN)=0),0,_xlfn.XLOOKUP(_xlfn.XLOOKUP(B178,'Base stats'!B:B,'Base stats'!E:E),Groups!A:A,Groups!AN:AN)/IF(_xlfn.XLOOKUP(Animals!B178,'Base stats'!B:B,'Base stats'!O:O)=1,2,1)))+_xlfn.XLOOKUP(B178,'Base stats'!B:B,'Base stats'!AC:AC),0.005))</f>
        <v>0</v>
      </c>
      <c r="BE178" s="23">
        <f>MIN(1,MROUND(IF(AND(AO178&lt;0.5,_xlfn.XLOOKUP(B178,'Base stats'!B:B,'Base stats'!AA:AA)=0),0,IF(_xlfn.XLOOKUP(_xlfn.XLOOKUP(B178,'Base stats'!B:B,'Base stats'!E:E),Groups!A:A,Groups!AO:AO)=0,0,_xlfn.XLOOKUP(_xlfn.XLOOKUP(B178,'Base stats'!B:B,'Base stats'!E:E),Groups!A:A,Groups!AO:AO)/IF(_xlfn.XLOOKUP(Animals!B178,'Base stats'!B:B,'Base stats'!O:O)=2,3,1)))+_xlfn.XLOOKUP(B178,'Base stats'!B:B,'Base stats'!AD:AD),0.005))</f>
        <v>0</v>
      </c>
      <c r="BF178" s="2" t="str">
        <f>IF(J178&gt;0.3,"No",_xlfn.XLOOKUP(_xlfn.XLOOKUP(Animals!B178,'Base stats'!B:B,'Base stats'!E:E),Groups!A:A,Groups!AP:AP))</f>
        <v>No</v>
      </c>
      <c r="BG178" s="2" t="str">
        <f>IF(AND(J178&lt;=0.65,_xlfn.XLOOKUP(_xlfn.XLOOKUP(Animals!B178,'Base stats'!B:B,'Base stats'!E:E),Groups!A:A,Groups!AP:AP)&lt;&gt;"No",_xlfn.XLOOKUP(_xlfn.XLOOKUP(B178,'Base stats'!B:B,'Base stats'!E:E),Groups!A:A,Groups!D:D)=0),MROUND((80/3)*IF(_xlfn.XLOOKUP(B178,'Base stats'!B:B,'Base stats'!O:O)=2,0.2,AO178) + 24*(1-IF(BF178="No",0,BF178)) + 16/3, 12),"No")</f>
        <v>No</v>
      </c>
      <c r="BH178" s="2">
        <f>IF(AND(_xlfn.XLOOKUP(_xlfn.XLOOKUP(B178,'Base stats'!B:B,'Base stats'!E:E),Groups!A:A,Groups!AQ:AQ)=1,AO178&lt;=0.35),8,12)</f>
        <v>12</v>
      </c>
      <c r="BI178" s="2" t="str">
        <f>IF(_xlfn.XLOOKUP(_xlfn.XLOOKUP(B178,'Base stats'!B:B,'Base stats'!E:E),Groups!A:A,Groups!D:D)=0,_xlfn.XLOOKUP(_xlfn.XLOOKUP(B178,'Base stats'!B:B,'Base stats'!E:E),Groups!A:A,Groups!AR:AR),"None")</f>
        <v>None</v>
      </c>
      <c r="BJ178" s="2" t="str">
        <f>IF(AND(_xlfn.XLOOKUP(_xlfn.XLOOKUP(B178,'Base stats'!B:B,'Base stats'!E:E),Groups!A:A,Groups!AS:AS)=1,OR(_xlfn.XLOOKUP(B178,'Base stats'!B:B,'Base stats'!Y:Y)="Carnivore",_xlfn.XLOOKUP(B178,'Base stats'!B:B,'Base stats'!Y:Y)="Omnivore")),"true","false")</f>
        <v>false</v>
      </c>
      <c r="BK178" s="2" t="str">
        <f>IF(BJ178="true",MROUND(IF(AND(AO178&gt;0.5,OR(_xlfn.XLOOKUP(_xlfn.XLOOKUP(B178,'Base stats'!B:B,'Base stats'!E:E),Groups!A:A,Groups!AJ:AJ)="Photonozoa",_xlfn.XLOOKUP(_xlfn.XLOOKUP(B178,'Base stats'!B:B,'Base stats'!E:E),Groups!A:A,Groups!AJ:AJ)="Mammal")),Animals!AO178*1.75*IF(AW178="true",1.5,1),IF(AO178&lt;0.5,Animals!AO178*0.5,Animals!AO178)),IF(AO178&gt;2,0.5,IF(AO178&gt;0.5,0.25,0.1))),"No")</f>
        <v>No</v>
      </c>
      <c r="BL178" s="2">
        <f t="shared" si="17"/>
        <v>0</v>
      </c>
      <c r="BM178" s="25">
        <f>IF(_xlfn.XLOOKUP(B178,'Base stats'!B:B,'Base stats'!AN:AN)="Standard","No",MROUND((_xlfn.XLOOKUP(B178,'Base stats'!B:B,'Base stats'!AN:AN)/3.6)/I178,0.1))</f>
        <v>2</v>
      </c>
      <c r="BN178" s="25" t="str">
        <f t="shared" si="18"/>
        <v>true</v>
      </c>
      <c r="BO178" s="25" t="str">
        <f>IF(AND(OR(_xlfn.XLOOKUP(B178,'Base stats'!B:B,'Base stats'!Y:Y)="Carnivore",_xlfn.XLOOKUP(B178,'Base stats'!B:B,'Base stats'!Y:Y)="Omnivore",_xlfn.XLOOKUP(B178,'Base stats'!B:B,'Base stats'!Y:Y)="OmnivoreRough"),_xlfn.XLOOKUP(_xlfn.XLOOKUP(B178,'Base stats'!B:B,'Base stats'!E:E),Groups!A:A,Groups!AT:AT)=1),"true","false")</f>
        <v>true</v>
      </c>
      <c r="BP178" s="25" t="str" cm="1">
        <f t="array" ref="BP178">IF(
  _xlfn.TEXTJOIN(", ",TRUE,
    IF(AND(BJ178="true",AO178&gt;0.5,BI178&lt;&gt;"None"),"AttackTarget",""),
    IF(AND(_xlfn.XLOOKUP(_xlfn.XLOOKUP(B178,'Base stats'!B:B,'Base stats'!E:E),Groups!A:A,Groups!AJ:AJ="Mammal"),OR(_xlfn.XLOOKUP(B178,'Base stats'!B:B,'Base stats'!Y:Y)="Omnivore",_xlfn.XLOOKUP(B178,'Base stats'!B:B,'Base stats'!Y:Y)="OmnivoreRough")),"Forage",""),
    IF(BG178&lt;=36,"Comfort",""),
    IF(_xlfn.XLOOKUP(B178,'Base stats'!B:B,'Base stats'!AE:AE)&lt;&gt;"No",_xlfn.XLOOKUP(B178,'Base stats'!B:B,'Base stats'!AE:AE),"")
  ) = "",
  "No",
  _xlfn.TEXTJOIN(", ",TRUE,
    IF(AND(BJ178="true",AO178&gt;0.5,BI178&lt;&gt;"None"),"AttackTarget",""),
    IF(AND(_xlfn.XLOOKUP(_xlfn.XLOOKUP(B178,'Base stats'!B:B,'Base stats'!E:E),Groups!A:A,Groups!AJ:AJ="Mammal"),OR(_xlfn.XLOOKUP(B178,'Base stats'!B:B,'Base stats'!Y:Y)="Omnivore",_xlfn.XLOOKUP(B178,'Base stats'!B:B,'Base stats'!Y:Y)="OmnivoreRough")),"Forage",""),
    IF(BG178&lt;=36,"Comfort",""),
    IF(_xlfn.XLOOKUP(B178,'Base stats'!B:B,'Base stats'!AE:AE)&lt;&gt;"No",_xlfn.XLOOKUP(B178,'Base stats'!B:B,'Base stats'!AE:AE),"")
  )
)</f>
        <v>No</v>
      </c>
      <c r="BQ178" s="25">
        <f>IF(
   AND(
      'Base stats'!AN178="Standard",_xlfn.XLOOKUP(_xlfn.XLOOKUP(B178,'Base stats'!B:B,'Base stats'!E:E),Groups!A:A,Groups!AU:AU)=0,
      OR(
      BO178="True"
      )
   ),
   10,
   IF(
       OR(BM178&lt;&gt;"No",_xlfn.XLOOKUP(_xlfn.XLOOKUP(B178,'Base stats'!B:B,'Base stats'!E:E),Groups!A:A,Groups!AU:AU)=1),
      1,
      "No"
   )
)</f>
        <v>1</v>
      </c>
      <c r="BR178" s="9">
        <f>MROUND((1 + ((0.2*IF(OR(Q178="No",R178="No",R178=0),0,Q178/R178)
+IF(OR(V178="No",S178="No",T178="No"),0,S178/T178*(LEN(V178)-LEN(SUBSTITUTE(V178,",",""))+1))
+IF(OR(X178="No",Y178="No"),0,X178/Y178)
+IF(OR(AD178="No",AE178="No"),0,AD178/AE178)
+IF(OR(AL178="No",AI178="No",AJ178="No"),0,AI178/AJ178*(LEN(AL178)-LEN(SUBSTITUTE(AL178,",",""))+1))
)/(0.2*IF(OR(Q178="No",R178="No",R178=0),0,1)
+IF(OR(V178="No",S178="No",T178="No"),0,LEN(V178)-LEN(SUBSTITUTE(V178,",",""))+1)
+IF(OR(X178="No",Y178="No"),0,1)
+IF(OR(AD178="No",AE178="No"),0,1)
+IF(OR(AL178="No",AI178="No",AJ178="No"),0,LEN(AL178)-LEN(SUBSTITUTE(AL178,",",""))+1))*62%)* 2)*(1 + (AP178 / (IF(_xlfn.XLOOKUP(_xlfn.XLOOKUP(B178,'Base stats'!B:B,'Base stats'!E:E),Groups!A:A,Groups!AJ:AJ)="Photonozoa",0.3,1)) + _xlfn.XLOOKUP(B178,'Base stats'!B:B,'Base stats'!AV:AV) * 1.8) * 2) * 2.5 + 10 + I178 * 2,5)+IF(_xlfn.XLOOKUP(B178,'Base stats'!B:B,'Base stats'!AK:AK)=1,50,0)</f>
        <v>30</v>
      </c>
      <c r="BS178" s="8">
        <f t="shared" si="19"/>
        <v>0.35000000000000003</v>
      </c>
      <c r="BT178" s="8" t="str">
        <f>_xlfn.XLOOKUP(B178,'Base stats'!B:B,'Base stats'!AF:AF)</f>
        <v>5~15</v>
      </c>
      <c r="BU178" s="2" t="str">
        <f>IF(AND(J178&lt;=0.95,OR(_xlfn.XLOOKUP(B178,'Base stats'!B:B,'Base stats'!AK:AK)=1,_xlfn.XLOOKUP(B178,'Base stats'!B:B,'Base stats'!Y:Y)="Carnivore",_xlfn.XLOOKUP(B178,'Base stats'!B:B,'Base stats'!Y:Y)="Omnivore",BE178&gt;0.1)),"true","false")</f>
        <v>true</v>
      </c>
      <c r="BV178" s="2" t="str">
        <f>IF(_xlfn.XLOOKUP(B178,'Base stats'!B:B,'Base stats'!AI:AI)=1,"true","false")</f>
        <v>false</v>
      </c>
      <c r="BW178" s="25" t="str">
        <f>IF(E178="BaseInsect","AnimalInsect",
IF(J178&gt;0.95,"AnimalExotic",
_xlfn.TEXTJOIN(", ",TRUE,
IF(OR(_xlfn.XLOOKUP(B178,'Base stats'!B:B,'Base stats'!AM:AM)=1,AND(_xlfn.XLOOKUP(B178,'Base stats'!B:B,'Base stats'!O:O)=0,_xlfn.XLOOKUP(_xlfn.XLOOKUP(B178,'Base stats'!B:B,'Base stats'!E:E),Groups!A:A,Groups!B:B)&gt;0)),"AnimalUncommon","AnimalCommon"),
IF(AND(_xlfn.XLOOKUP(B178,'Base stats'!B:B,'Base stats'!O:O)=2,_xlfn.XLOOKUP(_xlfn.XLOOKUP(B178,'Base stats'!B:B,'Base stats'!E:E),Groups!A:A,Groups!D:D)=0),"AnimalPet",IF(AND(_xlfn.XLOOKUP(B178,'Base stats'!B:B,'Base stats'!O:O)&lt;&gt;0,_xlfn.XLOOKUP(_xlfn.XLOOKUP(B178,'Base stats'!B:B,'Base stats'!E:E),Groups!A:A,Groups!D:D)&lt;&gt;0),"AnimalFarm","")),
IF(OR(_xlfn.XLOOKUP(B178,'Base stats'!B:B,'Base stats'!AK:AK)=1,AND(BI178&lt;&gt;"None",BR178&gt;=60),ISNUMBER(SEARCH("Attack target",BP178))),"AnimalFighter","")
)))</f>
        <v>AnimalUncommon</v>
      </c>
      <c r="BX178" s="25" t="str">
        <f>IF(G178="None",TRIM(
SUBSTITUTE(
IF(COUNTIF(Biomes!B$2:B$259,"="&amp;$C178)&gt;0,Biomes!B$1&amp;", ","")&amp;
IF(COUNTIF(Biomes!C$2:C$259,"="&amp;$C178)&gt;0,Biomes!C$1&amp;", ","")&amp;
IF(COUNTIF(Biomes!D$2:D$259,"="&amp;$C178)&gt;0,Biomes!D$1&amp;", ","")&amp;
IF(COUNTIF(Biomes!F$2:F$259,"="&amp;$C178)&gt;0,Biomes!F$1&amp;", ","")&amp;
IF(COUNTIF(Biomes!G$2:G$259,"="&amp;$C178)&gt;0,Biomes!G$1&amp;", ","")&amp;
IF(COUNTIF(Biomes!H$2:H$259,"="&amp;$C178)&gt;0,Biomes!H$1&amp;", ","")&amp;
IF(COUNTIF(Biomes!I$2:I$259,"="&amp;$C178)&gt;0,Biomes!I$1&amp;", ","")&amp;
IF(COUNTIF(Biomes!J$2:J$259,"="&amp;$C178)&gt;0,Biomes!J$1&amp;", ","")&amp;
IF(COUNTIF(Biomes!M$2:M$259,"="&amp;$C178)&gt;0,Biomes!M$1&amp;", ","")&amp;
IF(COUNTIF(Biomes!N$2:N$259,"="&amp;$C178)&gt;0,Biomes!N$1&amp;", ","")&amp;
IF(COUNTIF(Biomes!O$2:O$259,"="&amp;$C178)&gt;0,Biomes!O$1&amp;", ","")&amp;
IF(COUNTIF(Biomes!P$2:P$259,"="&amp;$C178)&gt;0,Biomes!P$1&amp;", ","")&amp;
IF(COUNTIF(Biomes!K$2:K$259,"="&amp;$C178)&gt;0,Biomes!K$1&amp;", ","")&amp;
IF(COUNTIF(Biomes!Q$3:Q$259,"="&amp;$C178)&gt;0,Biomes!Q$1&amp;", ","")&amp;
IF(COUNTIF(Biomes!L$2:L$259,"="&amp;$C178)&gt;0,Biomes!L$1&amp;", ","")&amp;
IF(COUNTIF(Biomes!E$2:E$259,"="&amp;$C178)&gt;0,Biomes!E$1&amp;", ","")&amp;IF(COUNTIF(Biomes!S$2:S$259,"="&amp;$C178)&gt;0,Biomes!S$1&amp;", ","")&amp;
IF(COUNTIF(Biomes!R$2:R$259,"="&amp;$C178)&gt;0,Biomes!R$1&amp;", ",""),", ","")
),_xlfn.XLOOKUP(B178,B:B,BX:BX))</f>
        <v>SeaIce IceSheet Tundra</v>
      </c>
      <c r="BY178" s="25" t="str">
        <f>IF(_xlfn.XLOOKUP(B178,'Base stats'!B:B,'Base stats'!AJ:AJ)=1,"true","false")</f>
        <v>true</v>
      </c>
      <c r="BZ178" s="25">
        <f>IF(_xlfn.XLOOKUP(B178,'Base stats'!B:B,'Base stats'!N:N)=1,"No",MAX(0.001,MIN(MROUND(IF(AND(BJ178="True",CC178="False"),POWER(10,3.47*LOG10(_xlfn.XLOOKUP(B178,'Base stats'!B:B,'Base stats'!C:C)*1000)^-0.96),POWER(10,4.15*LOG10(_xlfn.XLOOKUP(B178,'Base stats'!B:B,'Base stats'!C:C)*1000)^-0.73))*IF(_xlfn.XLOOKUP(B178,'Base stats'!B:B,'Base stats'!AK:AK)=1,0.5,1)*IF(_xlfn.XLOOKUP(B178,'Base stats'!B:B,'Base stats'!AM:AM)=1,0.1,1)/100,IF(_xlfn.XLOOKUP(B178,'Base stats'!B:B,'Base stats'!AM:AM)=1,0.001,0.025)),0.5)))</f>
        <v>4.1000000000000002E-2</v>
      </c>
      <c r="CA178" s="25" t="str">
        <f>IF(P178="Standard","No",MAX(0.001,MIN(MROUND(IF(AND(BJ178="True",CC178="False"),POWER(10,3.47*LOG10(_xlfn.XLOOKUP(B178,'Base stats'!B:B,'Base stats'!C:C)*1000)^-0.96),POWER(10,4.15*LOG10(_xlfn.XLOOKUP(B178,'Base stats'!B:B,'Base stats'!C:C)*1000)^-0.73))*IF(_xlfn.XLOOKUP(B178,'Base stats'!B:B,'Base stats'!AM:AM)=1,0.1,1)*_xlfn.XLOOKUP(B178,'Base stats'!B:B,'Base stats'!R:R)/100,IF(_xlfn.XLOOKUP(B178,'Base stats'!B:B,'Base stats'!AM:AM)=1,0.001,0.025)),0.5)))</f>
        <v>No</v>
      </c>
      <c r="CB178" s="25" t="str">
        <f>IF(_xlfn.XLOOKUP(_xlfn.XLOOKUP(B178,'Base stats'!B:B,'Base stats'!E:E),Groups!A:A,Groups!AJ:AJ)="Mammal","True","False")</f>
        <v>False</v>
      </c>
      <c r="CC178" s="25" t="str">
        <f>IF(OR(_xlfn.XLOOKUP(_xlfn.XLOOKUP(B178,'Base stats'!B:B,'Base stats'!E:E),Groups!A:A,Groups!AJ:AJ)="Reptile",_xlfn.XLOOKUP(_xlfn.XLOOKUP(B178,'Base stats'!B:B,'Base stats'!E:E),Groups!A:A,Groups!AJ:AJ)="Amphibian",_xlfn.XLOOKUP(_xlfn.XLOOKUP(B178,'Base stats'!B:B,'Base stats'!E:E),Groups!A:A,Groups!AJ:AJ)="Invertebrate"),"True","False")</f>
        <v>False</v>
      </c>
      <c r="CD178" s="25" t="str">
        <f t="shared" si="20"/>
        <v>False</v>
      </c>
      <c r="CE178" s="25" t="str">
        <f>IF(_xlfn.XLOOKUP(_xlfn.XLOOKUP(B178,'Base stats'!B:B,'Base stats'!E:E),Groups!A:A,Groups!AX:AX),"True","False")</f>
        <v>False</v>
      </c>
      <c r="CF178" s="25" t="str">
        <f>IF(_xlfn.XLOOKUP(_xlfn.XLOOKUP(B178,'Base stats'!B:B,'Base stats'!E:E),Groups!A:A,Groups!AY:AY),"True","False")</f>
        <v>False</v>
      </c>
      <c r="CG178" s="25" t="str">
        <f>IF(_xlfn.XLOOKUP(_xlfn.XLOOKUP(B178,'Base stats'!B:B,'Base stats'!E:E),Groups!A:A,Groups!AW:AW),"True","False")</f>
        <v>False</v>
      </c>
      <c r="CH178" s="25" t="str">
        <f>IF(
OR(
_xlfn.XLOOKUP(_xlfn.XLOOKUP(B178,'Base stats'!B:B,'Base stats'!E:E),Groups!A:A,Groups!AZ:AZ)=0,
AND(
_xlfn.XLOOKUP(B178,'Base stats'!B:B,'Base stats'!Y:Y)&lt;&gt;"Carnivore",
_xlfn.XLOOKUP(B178,'Base stats'!B:B,'Base stats'!Y:Y)&lt;&gt;"Omnivore",
_xlfn.XLOOKUP(B178,'Base stats'!B:B,'Base stats'!Y:Y)&lt;&gt;"OmnivoreRough"
)
),
"No",
IF(
_xlfn.XLOOKUP(_xlfn.XLOOKUP(B178,'Base stats'!B:B,'Base stats'!E:E),Groups!A:A,Groups!AZ:AZ)=1,
"Flesh",
IF(
_xlfn.XLOOKUP(_xlfn.XLOOKUP(B178,'Base stats'!B:B,'Base stats'!E:E),Groups!A:A,Groups!AZ:AZ)=2,
"Bone",
""
)
)
)</f>
        <v>No</v>
      </c>
      <c r="CI178" s="25" t="str">
        <f>IF(_xlfn.XLOOKUP(_xlfn.XLOOKUP(B178,'Base stats'!B:B,'Base stats'!E:E),Groups!A:A,Groups!BB:BB),"True","False")</f>
        <v>True</v>
      </c>
      <c r="CJ178" s="25" t="str">
        <f>IF(_xlfn.XLOOKUP(_xlfn.XLOOKUP(B178,'Base stats'!B:B,'Base stats'!E:E),Groups!A:A,Groups!BA:BA),"True","False")</f>
        <v>False</v>
      </c>
    </row>
    <row r="179" spans="1:88" ht="16.5" thickTop="1" thickBot="1" x14ac:dyDescent="0.3">
      <c r="A179" s="26" t="s">
        <v>1204</v>
      </c>
      <c r="B179" s="6" t="s">
        <v>1213</v>
      </c>
      <c r="C179" s="28" t="s">
        <v>1195</v>
      </c>
      <c r="D179" s="28" t="s">
        <v>1189</v>
      </c>
      <c r="E179" s="28" t="s">
        <v>673</v>
      </c>
      <c r="F179" s="28" t="s">
        <v>673</v>
      </c>
      <c r="G179" s="28" t="s">
        <v>673</v>
      </c>
      <c r="H179" s="2">
        <f>MROUND((
  (IF(AND(_xlfn.XLOOKUP(B179,'Base stats'!B:B,'Base stats'!AL:AL)=0,BI179="None",_xlfn.XLOOKUP(_xlfn.XLOOKUP(B179,'Base stats'!B:B,'Base stats'!E:E),Groups!A:A,Groups!B:B)=0), (18 + BR179 * 2.7) * 0.5,
    IF(AND(_xlfn.XLOOKUP(B179,'Base stats'!B:B,'Base stats'!AL:AL)=0,OR(AO179&lt;0.55,AND(BI179="Intermediate",_xlfn.XLOOKUP(_xlfn.XLOOKUP(B179,'Base stats'!B:B,'Base stats'!E:E),Groups!A:A,Groups!B:B)&lt;2))), (18 + BR179 * 2.7),
      IF(OR(BI179="Advanced",_xlfn.XLOOKUP(B179,'Base stats'!B:B,'Base stats'!AL:AL)=1,_xlfn.XLOOKUP(_xlfn.XLOOKUP(B179,'Base stats'!B:B,'Base stats'!E:E),Groups!A:A,Groups!B:B)=2), (18 + BR179 * 2.7) + 250, (18 + BR179 * 2.7))
    )
  ))
  + AO179 * 80
  + IF(COUNTIF(EggMilk!K$2:K$998, A179) &gt; 0, 125, 0)
  + IF(COUNTIF(EggMilk!P$2:P$998, A179) &gt; 0, 90, 0)
  + IF(COUNTIF(EggMilk!A$2:A$998, A179) &gt; 0, 90, 0)
)
* (0.8 + 0.4 * J179)
* 0.75,25)</f>
        <v>125</v>
      </c>
      <c r="I179" s="2">
        <f>MROUND(ROUNDDOWN(_xlfn.XLOOKUP(B179,'Base stats'!B:B,'Base stats'!L:L)/3.6/(23.3/11),1),0.5)</f>
        <v>3.5</v>
      </c>
      <c r="J179" s="2">
        <f>IF(OR(_xlfn.XLOOKUP(B179,'Base stats'!B:B,'Base stats'!AB:AB)=1,_xlfn.XLOOKUP(_xlfn.XLOOKUP(B179,'Base stats'!B:B,'Base stats'!E:E),Groups!A:A,Groups!C:C)="Untamable"),1,IF(_xlfn.XLOOKUP(B179,'Base stats'!B:B,'Base stats'!AL:AL)=1,0.99,MIN(MROUND((1-0.6282*EXP(-0.459*AO179))*_xlfn.XLOOKUP(_xlfn.XLOOKUP(B179,'Base stats'!B:B,'Base stats'!E:E),Groups!A:A,Groups!C:C)*IF(_xlfn.XLOOKUP(B179,'Base stats'!B:B,'Base stats'!O:O)=1,0.5,IF(_xlfn.XLOOKUP(B179,'Base stats'!B:B,'Base stats'!O:O)=2,0,1)),0.05),IF(AO179&gt;3.5,0.985,0.95))))</f>
        <v>0.70000000000000007</v>
      </c>
      <c r="K179" s="2">
        <f>ROUNDUP(AO179*_xlfn.XLOOKUP(_xlfn.XLOOKUP(B179,'Base stats'!B:B,'Base stats'!E:E),Groups!A:A,Groups!E:E),0)</f>
        <v>1</v>
      </c>
      <c r="L179" s="2">
        <f>IF(OR(_xlfn.XLOOKUP(_xlfn.XLOOKUP(B179,'Base stats'!B:B,'Base stats'!E:E),Groups!A:A,Groups!F:F)=2,ISNUMBER(SEARCH("SeaIce",BX179)),ISNUMBER(SEARCH("IceSheet",BX179))),-50,IF(OR(ISNUMBER(SEARCH("GlacialPlain",BX179)),ISNUMBER(SEARCH("Tundra",BX179))),-40,IF(OR(ISNUMBER(SEARCH("Alpine",BX179)),ISNUMBER(SEARCH("BorealForest",BX179)),ISNUMBER(SEARCH("ColdBog",BX179))),-30,IF(OR(ISNUMBER(SEARCH("TemperateForest",BX179)),ISNUMBER(SEARCH("TemperateSwamp",BX179))),-20,IF(_xlfn.XLOOKUP(_xlfn.XLOOKUP(B179,'Base stats'!B:B,'Base stats'!E:E),Groups!A:A,Groups!F:F)=1,-15,IF(OR(ISNUMBER(SEARCH("Desert",BX179)),ISNUMBER(SEARCH("ExtremeDesert",BX179))),-10,IF(OR(ISNUMBER(SEARCH("Grasslands",BX179)),ISNUMBER(SEARCH("TropicalRainforest",BX179)),ISNUMBER(SEARCH("TropicalSwamp",BX179))),10,0)))))))-IF(CC179="False",MIN(IFERROR(MAX(MROUND(LOG10(_xlfn.XLOOKUP(B179,'Base stats'!B:B,'Base stats'!C:C)^(2/3))*10,5),5),5),30))-_xlfn.XLOOKUP(B179,'Base stats'!B:B,'Base stats'!P:P)+IF(CC179="True",5,0)</f>
        <v>-25</v>
      </c>
      <c r="M179" s="2">
        <f>IF(OR(_xlfn.XLOOKUP(_xlfn.XLOOKUP(B179,'Base stats'!B:B,'Base stats'!E:E),Groups!A:A,Groups!G:G)=2,ISNUMBER(SEARCH("Desert",BX179)),ISNUMBER(SEARCH("ExtremeDesert",BX179)),ISNUMBER(SEARCH("LavaField",BX179))),50,IF(ISNUMBER(SEARCH("Grasslands",BX179)),45,IF(OR(_xlfn.XLOOKUP(_xlfn.XLOOKUP(B179,'Base stats'!B:B,'Base stats'!E:E),Groups!A:A,Groups!G:G)=1,ISNUMBER(SEARCH("TropicalRainforest",BX179)),ISNUMBER(SEARCH("TropicalSwamp",BX179))),40,IF(OR(ISNUMBER(SEARCH("TemperateForest",BX179)),ISNUMBER(SEARCH("TemperateSwamp",BX179))),35,IF(OR(ISNUMBER(SEARCH("Alpine",BX179)),ISNUMBER(SEARCH("BorealForest",BX179)),ISNUMBER(SEARCH("ColdBog",BX179))),30,IF(ISNUMBER(OR(ISNUMBER(SEARCH("GlacialPlain",BX179)),SEARCH("Tundra",BX179))),25,IF(OR(ISNUMBER(SEARCH("SeaIce",BX179)),ISNUMBER(SEARCH("IceSheet",BX179)),ISNUMBER(SEARCH("TropicalSwamp",BX179))),10,35)))))))+_xlfn.XLOOKUP(B179,'Base stats'!B:B,'Base stats'!Q:Q)</f>
        <v>35</v>
      </c>
      <c r="N179" s="8" t="str">
        <f>IF(
_xlfn.XLOOKUP(
_xlfn.XLOOKUP(B179,'Base stats'!B:B,'Base stats'!E:E),
Groups!A:A,
Groups!L:L
)=1,
MIN(
MROUND(
IF(
_xlfn.XLOOKUP(B179,'Animals CE'!B:B,'Animals CE'!Z:Z)&lt;=1.5,
_xlfn.XLOOKUP(B179,'Animals CE'!B:B,'Animals CE'!Z:Z)/2+0.05,
0.8+
(_xlfn.XLOOKUP(B179,'Animals CE'!B:B,'Animals CE'!Z:Z)-1.5)
*0.02
),
0.05
),
200%
),
"No"
)</f>
        <v>No</v>
      </c>
      <c r="O179" s="8" t="str">
        <f>IF(
_xlfn.XLOOKUP(
_xlfn.XLOOKUP(B179,'Base stats'!B:B,'Base stats'!E:E),
Groups!A:A,
Groups!L:L
)=1,
MIN(
MROUND(
IF(
_xlfn.XLOOKUP(B179,'Animals CE'!B:B,'Animals CE'!AA:AA)&lt;=1.5,
_xlfn.XLOOKUP(B179,'Animals CE'!B:B,'Animals CE'!AA:AA)/2+0.05,
0.8+
(_xlfn.XLOOKUP(B179,'Animals CE'!B:B,'Animals CE'!AA:AA)-1.5)
*0.02
),
0.05
),
200%
),
"No"
)</f>
        <v>No</v>
      </c>
      <c r="P179" s="2" t="str">
        <f>_xlfn.XLOOKUP(B179,'Base stats'!B:B,'Base stats'!R:R)</f>
        <v>Standard</v>
      </c>
      <c r="Q179" s="13">
        <f>MROUND((LOG10(_xlfn.XLOOKUP(B179,'Base stats'!B:B,'Base stats'!AR:AR))*(AO179^0.5)+(_xlfn.XLOOKUP(B179,'Base stats'!B:B,'Base stats'!AR:AR)/1000)^(2/3)+_xlfn.XLOOKUP(B179,'Base stats'!B:B,'Base stats'!BA:BA)/2)+0.5,0.5)</f>
        <v>3</v>
      </c>
      <c r="R179" s="7">
        <f>IF(Q179="No","No",MAX(1,MROUND(_xlfn.XLOOKUP(B179,'Base stats'!B:B,'Base stats'!C:C)^0.165,0.05)))</f>
        <v>1.35</v>
      </c>
      <c r="S179" s="13" t="str">
        <f>IF(_xlfn.XLOOKUP(_xlfn.XLOOKUP(B179,'Base stats'!B:B,'Base stats'!E:E),Groups!A:A,Groups!P:P)=0,"No",MROUND((LOG10(_xlfn.XLOOKUP(B179,'Base stats'!B:B,'Base stats'!AS:AS))*(AO179^0.5)+(_xlfn.XLOOKUP(B179,'Base stats'!B:B,'Base stats'!AS:AS)/1000)^(2/3)+_xlfn.XLOOKUP(B179,'Base stats'!B:B,'Base stats'!BA:BA))+_xlfn.XLOOKUP(B179,'Base stats'!B:B,'Base stats'!AY:AY)+0.5,0.5))</f>
        <v>No</v>
      </c>
      <c r="T179" s="7" t="str">
        <f>IF(S179="No","No",MAX(_xlfn.XLOOKUP(_xlfn.XLOOKUP(B179,'Base stats'!B:B,'Base stats'!E:E),Groups!A:A,Groups!Q:Q),MROUND(_xlfn.XLOOKUP(_xlfn.XLOOKUP(B179,'Base stats'!B:B,'Base stats'!E:E),Groups!A:A,Groups!Q:Q)*_xlfn.XLOOKUP(B179,'Base stats'!B:B,'Base stats'!C:C)^0.165,0.05)))</f>
        <v>No</v>
      </c>
      <c r="U179" s="7" t="str">
        <f>IF(S179="No","No",_xlfn.XLOOKUP(_xlfn.XLOOKUP(B179,'Base stats'!B:B,'Base stats'!E:E),Groups!A:A,Groups!R:R))</f>
        <v>No</v>
      </c>
      <c r="V179" s="7" t="str">
        <f>IF(S179="No","No",_xlfn.XLOOKUP(_xlfn.XLOOKUP(B179,'Base stats'!B:B,'Base stats'!E:E),Groups!A:A,Groups!S:S))</f>
        <v>No</v>
      </c>
      <c r="W179" s="7" t="str">
        <f>IF(S179="No","No",_xlfn.XLOOKUP(_xlfn.XLOOKUP(B179,'Base stats'!B:B,'Base stats'!E:E),Groups!A:A,Groups!T:T))</f>
        <v>No</v>
      </c>
      <c r="X179" s="13" t="str">
        <f>IF(_xlfn.XLOOKUP(B179,'Base stats'!B:B,'Base stats'!W:W)="No","No",MROUND((LOG10(_xlfn.XLOOKUP(B179,'Base stats'!B:B,'Base stats'!AU:AU))*(AO179^0.5)+(_xlfn.XLOOKUP(B179,'Base stats'!B:B,'Base stats'!AU:AU)/1000)^(2/3)+_xlfn.XLOOKUP(B179,'Base stats'!B:B,'Base stats'!AZ:AZ))+0.5+IF(_xlfn.XLOOKUP(_xlfn.XLOOKUP(B179,'Base stats'!B:B,'Base stats'!E:E),Groups!A:A,Groups!U:U)&lt;&gt;3,_xlfn.XLOOKUP(B179,'Base stats'!B:B,'Base stats'!BA:BA),0),0.5))</f>
        <v>No</v>
      </c>
      <c r="Y179" s="7" t="str">
        <f>IF(X179="No","No",MAX(_xlfn.XLOOKUP(_xlfn.XLOOKUP(B179,'Base stats'!B:B,'Base stats'!E:E),Groups!A:A,Groups!V:V),MROUND(_xlfn.XLOOKUP(_xlfn.XLOOKUP(B179,'Base stats'!B:B,'Base stats'!E:E),Groups!A:A,Groups!V:V)*_xlfn.XLOOKUP(B179,'Base stats'!B:B,'Base stats'!C:C)^0.165,0.05)))</f>
        <v>No</v>
      </c>
      <c r="Z179" s="7" t="str">
        <f>IF(X179="No","No",_xlfn.XLOOKUP(_xlfn.XLOOKUP(B179,'Base stats'!B:B,'Base stats'!E:E),Groups!A:A,Groups!W:W))</f>
        <v>No</v>
      </c>
      <c r="AA179" s="7" t="str">
        <f>IF(X179="No","No",_xlfn.XLOOKUP(_xlfn.XLOOKUP(B179,'Base stats'!B:B,'Base stats'!E:E),Groups!A:A,Groups!X:X))</f>
        <v>No</v>
      </c>
      <c r="AB179" s="7" t="str">
        <f>IF(X179="No","No",_xlfn.XLOOKUP(_xlfn.XLOOKUP(B179,'Base stats'!B:B,'Base stats'!E:E),Groups!A:A,Groups!Y:Y))</f>
        <v>No</v>
      </c>
      <c r="AC179" s="7" t="str">
        <f>_xlfn.XLOOKUP(Animals!B179,'Base stats'!B:B,'Base stats'!X:X)</f>
        <v>False</v>
      </c>
      <c r="AD179" s="13">
        <f>IF(_xlfn.XLOOKUP(B179,'Base stats'!B:B,'Base stats'!AT:AT)="No","No",MROUND((LOG10(_xlfn.XLOOKUP(B179,'Base stats'!B:B,'Base stats'!AT:AT))*(AO179^0.75)+(_xlfn.XLOOKUP(B179,'Base stats'!B:B,'Base stats'!AT:AT)/1000)^(2/3)+_xlfn.XLOOKUP(B179,'Base stats'!B:B,'Base stats'!AX:AX)+_xlfn.XLOOKUP(B179,'Base stats'!B:B,'Base stats'!BA:BA))+0.5,0.5))</f>
        <v>4.5</v>
      </c>
      <c r="AE179" s="7">
        <f>IF(AD179="No","No",MAX(_xlfn.XLOOKUP(_xlfn.XLOOKUP(B179,'Base stats'!B:B,'Base stats'!E:E),Groups!A:A,Groups!Z:Z),MROUND(_xlfn.XLOOKUP(_xlfn.XLOOKUP(B179,'Base stats'!B:B,'Base stats'!E:E),Groups!A:A,Groups!Z:Z)*_xlfn.XLOOKUP(B179,'Base stats'!B:B,'Base stats'!C:C)^0.165,0.05)))</f>
        <v>1.1000000000000001</v>
      </c>
      <c r="AF179" s="7" t="str">
        <f>IF(AD179="No","No",_xlfn.XLOOKUP(_xlfn.XLOOKUP(B179,'Base stats'!B:B,'Base stats'!E:E),Groups!A:A,Groups!AA:AA))</f>
        <v>Teeth</v>
      </c>
      <c r="AG179" s="7" t="str">
        <f>IF(AD179="No","No",_xlfn.XLOOKUP(_xlfn.XLOOKUP(B179,'Base stats'!B:B,'Base stats'!E:E),Groups!A:A,Groups!AB:AB))</f>
        <v>canines</v>
      </c>
      <c r="AH179" s="7" t="str">
        <f>IF(AD179="No","No",_xlfn.XLOOKUP(_xlfn.XLOOKUP(B179,'Base stats'!B:B,'Base stats'!E:E),Groups!A:A,Groups!AC:AC))</f>
        <v>Bite</v>
      </c>
      <c r="AI179" s="13">
        <f>IF(_xlfn.XLOOKUP(_xlfn.XLOOKUP(B179,'Base stats'!B:B,'Base stats'!E:E),Groups!A:A,Groups!AD:AD)=0,"No",MROUND((LOG10(_xlfn.XLOOKUP(B179,'Base stats'!B:B,'Base stats'!AS:AS))*(AO179^0.75)+(_xlfn.XLOOKUP(B179,'Base stats'!B:B,'Base stats'!AS:AS)/1000)^(2/3)+_xlfn.XLOOKUP(B179,'Base stats'!B:B,'Base stats'!AY:AY)+_xlfn.XLOOKUP(B179,'Base stats'!B:B,'Base stats'!BA:BA))+0.5,0.5))</f>
        <v>4.5</v>
      </c>
      <c r="AJ179" s="7">
        <f>IF(AI179="No","No",MAX(_xlfn.XLOOKUP(_xlfn.XLOOKUP(B179,'Base stats'!B:B,'Base stats'!E:E),Groups!A:A,Groups!AE:AE),MROUND(_xlfn.XLOOKUP(_xlfn.XLOOKUP(B179,'Base stats'!B:B,'Base stats'!E:E),Groups!A:A,Groups!AE:AE)*IF(_xlfn.XLOOKUP(_xlfn.XLOOKUP(B179,'Base stats'!B:B,'Base stats'!E:E),Groups!A:A,Groups!AJ:AJ)="Photonozoa",0.6,1)*_xlfn.XLOOKUP(B179,'Base stats'!B:B,'Base stats'!C:C)^0.165,0.05)))</f>
        <v>0.9</v>
      </c>
      <c r="AK179" s="7" t="str">
        <f>IF(AI179="No","No",_xlfn.XLOOKUP(_xlfn.XLOOKUP(B179,'Base stats'!B:B,'Base stats'!E:E),Groups!A:A,Groups!AF:AF))</f>
        <v>FrontLeftPaw, FrontRightPaw</v>
      </c>
      <c r="AL179" s="7" t="str">
        <f>IF(AI179="No","No",_xlfn.XLOOKUP(_xlfn.XLOOKUP(B179,'Base stats'!B:B,'Base stats'!E:E),Groups!A:A,Groups!AG:AG))</f>
        <v>left claw, right claw</v>
      </c>
      <c r="AM179" s="7" t="str">
        <f>IF(AI179="No","No",_xlfn.XLOOKUP(_xlfn.XLOOKUP(B179,'Base stats'!B:B,'Base stats'!E:E),Groups!A:A,Groups!AH:AH))</f>
        <v>Scratch</v>
      </c>
      <c r="AN179" s="2">
        <f t="shared" si="14"/>
        <v>15</v>
      </c>
      <c r="AO179" s="2">
        <f>MROUND(IF(AND(_xlfn.XLOOKUP(B179,'Base stats'!B:B,'Base stats'!C:C)&gt;=0.5,_xlfn.XLOOKUP(B179,'Base stats'!B:B,'Base stats'!C:C)&lt;=0.8),
IF(_xlfn.XLOOKUP(B179,'Base stats'!B:B,'Base stats'!C:C)&lt;0.1,0.05,IF(_xlfn.XLOOKUP(B179,'Base stats'!B:B,'Base stats'!C:C)&lt;=70,(_xlfn.XLOOKUP(B179,'Base stats'!B:B,'Base stats'!C:C)/70)^0.426489913056526,IF(_xlfn.XLOOKUP(B179,'Base stats'!B:B,'Base stats'!C:C)&lt;=400,(_xlfn.XLOOKUP(B179,'Base stats'!B:B,'Base stats'!C:C)/70)^0.572811455315093,IF(_xlfn.XLOOKUP(B179,'Base stats'!B:B,'Base stats'!C:C)&lt;=2000,2.71391647193063*(_xlfn.XLOOKUP(B179,'Base stats'!B:B,'Base stats'!C:C)/400)^0.252459582904293,3.74314280240376*(_xlfn.XLOOKUP(B179,'Base stats'!B:B,'Base stats'!C:C)/2000)^0.357012633876913)))),
IF(_xlfn.XLOOKUP(B179,'Base stats'!B:B,'Base stats'!C:C)&lt;0.1,0.05,IF(_xlfn.XLOOKUP(B179,'Base stats'!B:B,'Base stats'!C:C)&lt;0.4,0.1,IF(_xlfn.XLOOKUP(B179,'Base stats'!B:B,'Base stats'!C:C)&lt;=70,(_xlfn.XLOOKUP(B179,'Base stats'!B:B,'Base stats'!C:C)/70)^0.445823913056526,IF(_xlfn.XLOOKUP(B179,'Base stats'!B:B,'Base stats'!C:C)&lt;=400,(_xlfn.XLOOKUP(B179,'Base stats'!B:B,'Base stats'!C:C)/70)^0.572811455315093,IF(_xlfn.XLOOKUP(B179,'Base stats'!B:B,'Base stats'!C:C)&lt;=2000,2.71391647193063*(_xlfn.XLOOKUP(B179,'Base stats'!B:B,'Base stats'!C:C)/400)^0.252459582904293,3.74314280240376*(_xlfn.XLOOKUP(B179,'Base stats'!B:B,'Base stats'!C:C)/2000)^0.357012633876913)))))),
IF(_xlfn.XLOOKUP(B179,'Base stats'!B:B,'Base stats'!C:C)&lt;0.1,0.05,IF(_xlfn.XLOOKUP(B179,'Base stats'!B:B,'Base stats'!C:C)&lt;=100,0.05,IF(_xlfn.XLOOKUP(B179,'Base stats'!B:B,'Base stats'!C:C)&lt;=250,0.1,IF(_xlfn.XLOOKUP(B179,'Base stats'!B:B,'Base stats'!C:C)&lt;=4000,0.25,0.5)))))</f>
        <v>0.35000000000000003</v>
      </c>
      <c r="AP179" s="8">
        <f>MROUND(AO179*_xlfn.XLOOKUP(_xlfn.XLOOKUP(B179,'Base stats'!B:B,'Base stats'!E:E),Groups!A:A,Groups!AI:AI)*_xlfn.XLOOKUP(B179,'Base stats'!B:B,'Base stats'!Z:Z),0.05)</f>
        <v>0.4</v>
      </c>
      <c r="AQ179" s="8">
        <f>MAX(0.01,MROUND(IF(CC179="True",0.196*(AO179*100*1000)^0.889,IF(_xlfn.XLOOKUP(_xlfn.XLOOKUP(B179,'Base stats'!B:B,'Base stats'!E:E),Groups!A:A,Groups!AJ:AJ)="Bird",10.5*(AO179*100*1000)^0.681,4.82*(AO179*100*1000)^0.734))/(4.82*(1*100*1000)^0.734)/IF(AO179&lt;3.5,2,IF(AO179=3.5,1.5,1.25))*(1+0.132282374779864/(AO179^0.994035016789033+0.00905238001496948)),0.05))</f>
        <v>0.30000000000000004</v>
      </c>
      <c r="AR179" s="9">
        <f>IFERROR(MROUND(_xlfn.XLOOKUP(B179,'Base stats'!B:B,'Base stats'!H:H)/IF(_xlfn.XLOOKUP(B179,'Base stats'!B:B,'Base stats'!I:I)&lt;&gt;1,(122.5/70),1.2),IF(_xlfn.XLOOKUP(B179,'Base stats'!B:B,'Base stats'!H:H)&gt;=30,5,IF(_xlfn.XLOOKUP(B179,'Base stats'!B:B,'Base stats'!H:H)&gt;=15,3,IF(_xlfn.XLOOKUP(B179,'Base stats'!B:B,'Base stats'!H:H)&gt;=10,2,1)))),"Immortal")</f>
        <v>10</v>
      </c>
      <c r="AS179" s="35">
        <f>IFERROR(IF(OR(_xlfn.XLOOKUP(B179,'Base stats'!B:B,'Base stats'!F:F)="Atypical reproduction",_xlfn.XLOOKUP(B179,'Base stats'!B:B,'Base stats'!F:F)="Lay eggs"),"Lay eggs",MIN(20,MAX(5.5,ROUND(((_xlfn.XLOOKUP(B179,'Base stats'!B:B,'Base stats'!F:F)-25)*(14.5/615) + 5.5)*2,0)/2))),"Unknown")</f>
        <v>5.5</v>
      </c>
      <c r="AT179" s="8">
        <f>IF(_xlfn.XLOOKUP(B179,'Base stats'!B:B,'Base stats'!G:G)="Atypical reproduction","No",IFERROR(MAX(IF(_xlfn.XLOOKUP(B179,'Base stats'!B:B,'Base stats'!G:G)&lt;0.5,0.2,0.3),MROUND(_xlfn.XLOOKUP(B179,'Base stats'!B:B,'Base stats'!G:G)/(365/60),0.2)),"Unknown"))</f>
        <v>0.4</v>
      </c>
      <c r="AU179" s="8">
        <f t="shared" si="15"/>
        <v>0.2</v>
      </c>
      <c r="AV179" s="8">
        <f>IFERROR(IFERROR(MROUND(_xlfn.XLOOKUP(B179,'Base stats'!B:B,'Base stats'!J:J),0.1),"Lay eggs"),"Cannot breed")</f>
        <v>3</v>
      </c>
      <c r="AW179" s="2" t="str">
        <f t="shared" si="16"/>
        <v>false</v>
      </c>
      <c r="AX179" s="2" t="str">
        <f>IF(_xlfn.XLOOKUP(_xlfn.XLOOKUP(Animals!B179,'Base stats'!B:B,'Base stats'!E:E),Groups!A:A,Groups!AK:AK)=1,"true","false")</f>
        <v>false</v>
      </c>
      <c r="AY179" s="25" t="str">
        <f>IF(_xlfn.XLOOKUP(B179,'Base stats'!B:B,'Base stats'!Y:Y)="Liquor","Liquor, CarnivoreAnimalStrict",IF(AND(_xlfn.XLOOKUP(B179,'Base stats'!B:B,'Base stats'!Y:Y)="Carnivore",_xlfn.XLOOKUP(_xlfn.XLOOKUP(B179,'Base stats'!B:B,'Base stats'!E:E),Groups!A:A,Groups!AJ:AJ)="Photonozoa"),"CarnivoreAnimalStrict, OvivoreAnimal",IF(_xlfn.XLOOKUP(B179,'Base stats'!B:B,'Base stats'!Y:Y)="Carnivore","CarnivoreAnimal, OvivoreAnimal",IF(_xlfn.XLOOKUP(B179,'Base stats'!B:B,'Base stats'!Y:Y)="Dendrovore","VegetarianRoughAnimal, DendrovoreAnimal",IF(_xlfn.XLOOKUP(B179,'Base stats'!B:B,'Base stats'!Y:Y)="Herbivore","VegetarianRoughAnimal",IF(_xlfn.XLOOKUP(B179,'Base stats'!B:B,'Base stats'!Y:Y)="OmnivoreRough","OmnivoreRoughAnimal, OvivoreAnimal","OmnivoreAnimal, OvivoreAnimal"))))))</f>
        <v>CarnivoreAnimal, OvivoreAnimal</v>
      </c>
      <c r="AZ179" s="2" t="str">
        <f>IF(_xlfn.XLOOKUP(_xlfn.XLOOKUP(B179,'Base stats'!B:B,'Base stats'!E:E),Groups!A:A,Groups!D:D)=1,MROUND((1-J179)*5+1,2)*IF(J179&lt;=0.4,2,1),"No")</f>
        <v>No</v>
      </c>
      <c r="BA179" s="2" t="str">
        <f>IF(AND(_xlfn.XLOOKUP(B179,'Base stats'!B:B,'Base stats'!AH:AH)="&lt;li&gt;Seal&lt;/li&gt;",G179="Odyssey"),"&lt;li&gt;AEXP_Seal&lt;/li&gt;",_xlfn.XLOOKUP(B179,'Base stats'!B:B,'Base stats'!AH:AH))</f>
        <v>No</v>
      </c>
      <c r="BB179" s="2" t="str">
        <f>_xlfn.XLOOKUP(B179,'Base stats'!B:B,'Base stats'!AG:AG)</f>
        <v>Leather_Light</v>
      </c>
      <c r="BC179" s="23" t="str">
        <f>_xlfn.XLOOKUP(_xlfn.XLOOKUP(B179,'Base stats'!B:B,'Base stats'!E:E),Groups!A:A,Groups!AL:AL)</f>
        <v>QuadrupedAnimalWithPawsAndTail</v>
      </c>
      <c r="BD179" s="23">
        <f>MIN(1,MROUND(IF(AND(AO179&lt;0.5,_xlfn.XLOOKUP(B179,'Base stats'!B:B,'Base stats'!AA:AA)=0),0,IF(OR(_xlfn.XLOOKUP(Animals!B179,'Base stats'!B:B,'Base stats'!O:O)=2,_xlfn.XLOOKUP(_xlfn.XLOOKUP(B179,'Base stats'!B:B,'Base stats'!E:E),Groups!A:A,Groups!AN:AN)=0),0,_xlfn.XLOOKUP(_xlfn.XLOOKUP(B179,'Base stats'!B:B,'Base stats'!E:E),Groups!A:A,Groups!AN:AN)/IF(_xlfn.XLOOKUP(Animals!B179,'Base stats'!B:B,'Base stats'!O:O)=1,2,1)))+_xlfn.XLOOKUP(B179,'Base stats'!B:B,'Base stats'!AC:AC),0.005))</f>
        <v>0.1</v>
      </c>
      <c r="BE179" s="23">
        <f>MIN(1,MROUND(IF(AND(AO179&lt;0.5,_xlfn.XLOOKUP(B179,'Base stats'!B:B,'Base stats'!AA:AA)=0),0,IF(_xlfn.XLOOKUP(_xlfn.XLOOKUP(B179,'Base stats'!B:B,'Base stats'!E:E),Groups!A:A,Groups!AO:AO)=0,0,_xlfn.XLOOKUP(_xlfn.XLOOKUP(B179,'Base stats'!B:B,'Base stats'!E:E),Groups!A:A,Groups!AO:AO)/IF(_xlfn.XLOOKUP(Animals!B179,'Base stats'!B:B,'Base stats'!O:O)=2,3,1)))+_xlfn.XLOOKUP(B179,'Base stats'!B:B,'Base stats'!AD:AD),0.005))</f>
        <v>0.3</v>
      </c>
      <c r="BF179" s="2" t="str">
        <f>IF(J179&gt;0.3,"No",_xlfn.XLOOKUP(_xlfn.XLOOKUP(Animals!B179,'Base stats'!B:B,'Base stats'!E:E),Groups!A:A,Groups!AP:AP))</f>
        <v>No</v>
      </c>
      <c r="BG179" s="2" t="str">
        <f>IF(AND(J179&lt;=0.65,_xlfn.XLOOKUP(_xlfn.XLOOKUP(Animals!B179,'Base stats'!B:B,'Base stats'!E:E),Groups!A:A,Groups!AP:AP)&lt;&gt;"No",_xlfn.XLOOKUP(_xlfn.XLOOKUP(B179,'Base stats'!B:B,'Base stats'!E:E),Groups!A:A,Groups!D:D)=0),MROUND((80/3)*IF(_xlfn.XLOOKUP(B179,'Base stats'!B:B,'Base stats'!O:O)=2,0.2,AO179) + 24*(1-IF(BF179="No",0,BF179)) + 16/3, 12),"No")</f>
        <v>No</v>
      </c>
      <c r="BH179" s="2">
        <f>IF(AND(_xlfn.XLOOKUP(_xlfn.XLOOKUP(B179,'Base stats'!B:B,'Base stats'!E:E),Groups!A:A,Groups!AQ:AQ)=1,AO179&lt;=0.35),8,12)</f>
        <v>12</v>
      </c>
      <c r="BI179" s="2" t="str">
        <f>IF(_xlfn.XLOOKUP(_xlfn.XLOOKUP(B179,'Base stats'!B:B,'Base stats'!E:E),Groups!A:A,Groups!D:D)=0,_xlfn.XLOOKUP(_xlfn.XLOOKUP(B179,'Base stats'!B:B,'Base stats'!E:E),Groups!A:A,Groups!AR:AR),"None")</f>
        <v>Intermediate</v>
      </c>
      <c r="BJ179" s="2" t="str">
        <f>IF(AND(_xlfn.XLOOKUP(_xlfn.XLOOKUP(B179,'Base stats'!B:B,'Base stats'!E:E),Groups!A:A,Groups!AS:AS)=1,OR(_xlfn.XLOOKUP(B179,'Base stats'!B:B,'Base stats'!Y:Y)="Carnivore",_xlfn.XLOOKUP(B179,'Base stats'!B:B,'Base stats'!Y:Y)="Omnivore")),"true","false")</f>
        <v>true</v>
      </c>
      <c r="BK179" s="2">
        <f>IF(BJ179="true",MROUND(IF(AND(AO179&gt;0.5,OR(_xlfn.XLOOKUP(_xlfn.XLOOKUP(B179,'Base stats'!B:B,'Base stats'!E:E),Groups!A:A,Groups!AJ:AJ)="Photonozoa",_xlfn.XLOOKUP(_xlfn.XLOOKUP(B179,'Base stats'!B:B,'Base stats'!E:E),Groups!A:A,Groups!AJ:AJ)="Mammal")),Animals!AO179*1.75*IF(AW179="true",1.5,1),IF(AO179&lt;0.5,Animals!AO179*0.5,Animals!AO179)),IF(AO179&gt;2,0.5,IF(AO179&gt;0.5,0.25,0.1))),"No")</f>
        <v>0.2</v>
      </c>
      <c r="BL179" s="2">
        <f t="shared" si="17"/>
        <v>1</v>
      </c>
      <c r="BM179" s="25" t="str">
        <f>IF(_xlfn.XLOOKUP(B179,'Base stats'!B:B,'Base stats'!AN:AN)="Standard","No",MROUND((_xlfn.XLOOKUP(B179,'Base stats'!B:B,'Base stats'!AN:AN)/3.6)/I179,0.1))</f>
        <v>No</v>
      </c>
      <c r="BN179" s="25" t="str">
        <f t="shared" si="18"/>
        <v>false</v>
      </c>
      <c r="BO179" s="25" t="str">
        <f>IF(AND(OR(_xlfn.XLOOKUP(B179,'Base stats'!B:B,'Base stats'!Y:Y)="Carnivore",_xlfn.XLOOKUP(B179,'Base stats'!B:B,'Base stats'!Y:Y)="Omnivore",_xlfn.XLOOKUP(B179,'Base stats'!B:B,'Base stats'!Y:Y)="OmnivoreRough"),_xlfn.XLOOKUP(_xlfn.XLOOKUP(B179,'Base stats'!B:B,'Base stats'!E:E),Groups!A:A,Groups!AT:AT)=1),"true","false")</f>
        <v>false</v>
      </c>
      <c r="BP179" s="25" t="str" cm="1">
        <f t="array" ref="BP179">IF(
  _xlfn.TEXTJOIN(", ",TRUE,
    IF(AND(BJ179="true",AO179&gt;0.5,BI179&lt;&gt;"None"),"AttackTarget",""),
    IF(AND(_xlfn.XLOOKUP(_xlfn.XLOOKUP(B179,'Base stats'!B:B,'Base stats'!E:E),Groups!A:A,Groups!AJ:AJ="Mammal"),OR(_xlfn.XLOOKUP(B179,'Base stats'!B:B,'Base stats'!Y:Y)="Omnivore",_xlfn.XLOOKUP(B179,'Base stats'!B:B,'Base stats'!Y:Y)="OmnivoreRough")),"Forage",""),
    IF(BG179&lt;=36,"Comfort",""),
    IF(_xlfn.XLOOKUP(B179,'Base stats'!B:B,'Base stats'!AE:AE)&lt;&gt;"No",_xlfn.XLOOKUP(B179,'Base stats'!B:B,'Base stats'!AE:AE),"")
  ) = "",
  "No",
  _xlfn.TEXTJOIN(", ",TRUE,
    IF(AND(BJ179="true",AO179&gt;0.5,BI179&lt;&gt;"None"),"AttackTarget",""),
    IF(AND(_xlfn.XLOOKUP(_xlfn.XLOOKUP(B179,'Base stats'!B:B,'Base stats'!E:E),Groups!A:A,Groups!AJ:AJ="Mammal"),OR(_xlfn.XLOOKUP(B179,'Base stats'!B:B,'Base stats'!Y:Y)="Omnivore",_xlfn.XLOOKUP(B179,'Base stats'!B:B,'Base stats'!Y:Y)="OmnivoreRough")),"Forage",""),
    IF(BG179&lt;=36,"Comfort",""),
    IF(_xlfn.XLOOKUP(B179,'Base stats'!B:B,'Base stats'!AE:AE)&lt;&gt;"No",_xlfn.XLOOKUP(B179,'Base stats'!B:B,'Base stats'!AE:AE),"")
  )
)</f>
        <v>No</v>
      </c>
      <c r="BQ179" s="25" t="str">
        <f>IF(
   AND(
      'Base stats'!AN179="Standard",_xlfn.XLOOKUP(_xlfn.XLOOKUP(B179,'Base stats'!B:B,'Base stats'!E:E),Groups!A:A,Groups!AU:AU)=0,
      OR(
      BO179="True"
      )
   ),
   10,
   IF(
       OR(BM179&lt;&gt;"No",_xlfn.XLOOKUP(_xlfn.XLOOKUP(B179,'Base stats'!B:B,'Base stats'!E:E),Groups!A:A,Groups!AU:AU)=1),
      1,
      "No"
   )
)</f>
        <v>No</v>
      </c>
      <c r="BR179" s="9">
        <f>MROUND((1 + ((0.2*IF(OR(Q179="No",R179="No",R179=0),0,Q179/R179)
+IF(OR(V179="No",S179="No",T179="No"),0,S179/T179*(LEN(V179)-LEN(SUBSTITUTE(V179,",",""))+1))
+IF(OR(X179="No",Y179="No"),0,X179/Y179)
+IF(OR(AD179="No",AE179="No"),0,AD179/AE179)
+IF(OR(AL179="No",AI179="No",AJ179="No"),0,AI179/AJ179*(LEN(AL179)-LEN(SUBSTITUTE(AL179,",",""))+1))
)/(0.2*IF(OR(Q179="No",R179="No",R179=0),0,1)
+IF(OR(V179="No",S179="No",T179="No"),0,LEN(V179)-LEN(SUBSTITUTE(V179,",",""))+1)
+IF(OR(X179="No",Y179="No"),0,1)
+IF(OR(AD179="No",AE179="No"),0,1)
+IF(OR(AL179="No",AI179="No",AJ179="No"),0,LEN(AL179)-LEN(SUBSTITUTE(AL179,",",""))+1))*62%)* 2)*(1 + (AP179 / (IF(_xlfn.XLOOKUP(_xlfn.XLOOKUP(B179,'Base stats'!B:B,'Base stats'!E:E),Groups!A:A,Groups!AJ:AJ)="Photonozoa",0.3,1)) + _xlfn.XLOOKUP(B179,'Base stats'!B:B,'Base stats'!AV:AV) * 1.8) * 2) * 2.5 + 10 + I179 * 2,5)+IF(_xlfn.XLOOKUP(B179,'Base stats'!B:B,'Base stats'!AK:AK)=1,50,0)</f>
        <v>45</v>
      </c>
      <c r="BS179" s="8">
        <f t="shared" si="19"/>
        <v>0.30000000000000004</v>
      </c>
      <c r="BT179" s="8" t="str">
        <f>_xlfn.XLOOKUP(B179,'Base stats'!B:B,'Base stats'!AF:AF)</f>
        <v>No</v>
      </c>
      <c r="BU179" s="2" t="str">
        <f>IF(AND(J179&lt;=0.95,OR(_xlfn.XLOOKUP(B179,'Base stats'!B:B,'Base stats'!AK:AK)=1,_xlfn.XLOOKUP(B179,'Base stats'!B:B,'Base stats'!Y:Y)="Carnivore",_xlfn.XLOOKUP(B179,'Base stats'!B:B,'Base stats'!Y:Y)="Omnivore",BE179&gt;0.1)),"true","false")</f>
        <v>true</v>
      </c>
      <c r="BV179" s="2" t="str">
        <f>IF(_xlfn.XLOOKUP(B179,'Base stats'!B:B,'Base stats'!AI:AI)=1,"true","false")</f>
        <v>false</v>
      </c>
      <c r="BW179" s="25" t="str">
        <f>IF(E179="BaseInsect","AnimalInsect",
IF(J179&gt;0.95,"AnimalExotic",
_xlfn.TEXTJOIN(", ",TRUE,
IF(OR(_xlfn.XLOOKUP(B179,'Base stats'!B:B,'Base stats'!AM:AM)=1,AND(_xlfn.XLOOKUP(B179,'Base stats'!B:B,'Base stats'!O:O)=0,_xlfn.XLOOKUP(_xlfn.XLOOKUP(B179,'Base stats'!B:B,'Base stats'!E:E),Groups!A:A,Groups!B:B)&gt;0)),"AnimalUncommon","AnimalCommon"),
IF(AND(_xlfn.XLOOKUP(B179,'Base stats'!B:B,'Base stats'!O:O)=2,_xlfn.XLOOKUP(_xlfn.XLOOKUP(B179,'Base stats'!B:B,'Base stats'!E:E),Groups!A:A,Groups!D:D)=0),"AnimalPet",IF(AND(_xlfn.XLOOKUP(B179,'Base stats'!B:B,'Base stats'!O:O)&lt;&gt;0,_xlfn.XLOOKUP(_xlfn.XLOOKUP(B179,'Base stats'!B:B,'Base stats'!E:E),Groups!A:A,Groups!D:D)&lt;&gt;0),"AnimalFarm","")),
IF(OR(_xlfn.XLOOKUP(B179,'Base stats'!B:B,'Base stats'!AK:AK)=1,AND(BI179&lt;&gt;"None",BR179&gt;=60),ISNUMBER(SEARCH("Attack target",BP179))),"AnimalFighter","")
)))</f>
        <v>AnimalUncommon</v>
      </c>
      <c r="BX179" s="25" t="str">
        <f>IF(G179="None",TRIM(
SUBSTITUTE(
IF(COUNTIF(Biomes!B$2:B$259,"="&amp;$C179)&gt;0,Biomes!B$1&amp;", ","")&amp;
IF(COUNTIF(Biomes!C$2:C$259,"="&amp;$C179)&gt;0,Biomes!C$1&amp;", ","")&amp;
IF(COUNTIF(Biomes!D$2:D$259,"="&amp;$C179)&gt;0,Biomes!D$1&amp;", ","")&amp;
IF(COUNTIF(Biomes!F$2:F$259,"="&amp;$C179)&gt;0,Biomes!F$1&amp;", ","")&amp;
IF(COUNTIF(Biomes!G$2:G$259,"="&amp;$C179)&gt;0,Biomes!G$1&amp;", ","")&amp;
IF(COUNTIF(Biomes!H$2:H$259,"="&amp;$C179)&gt;0,Biomes!H$1&amp;", ","")&amp;
IF(COUNTIF(Biomes!I$2:I$259,"="&amp;$C179)&gt;0,Biomes!I$1&amp;", ","")&amp;
IF(COUNTIF(Biomes!J$2:J$259,"="&amp;$C179)&gt;0,Biomes!J$1&amp;", ","")&amp;
IF(COUNTIF(Biomes!M$2:M$259,"="&amp;$C179)&gt;0,Biomes!M$1&amp;", ","")&amp;
IF(COUNTIF(Biomes!N$2:N$259,"="&amp;$C179)&gt;0,Biomes!N$1&amp;", ","")&amp;
IF(COUNTIF(Biomes!O$2:O$259,"="&amp;$C179)&gt;0,Biomes!O$1&amp;", ","")&amp;
IF(COUNTIF(Biomes!P$2:P$259,"="&amp;$C179)&gt;0,Biomes!P$1&amp;", ","")&amp;
IF(COUNTIF(Biomes!K$2:K$259,"="&amp;$C179)&gt;0,Biomes!K$1&amp;", ","")&amp;
IF(COUNTIF(Biomes!Q$3:Q$259,"="&amp;$C179)&gt;0,Biomes!Q$1&amp;", ","")&amp;
IF(COUNTIF(Biomes!L$2:L$259,"="&amp;$C179)&gt;0,Biomes!L$1&amp;", ","")&amp;
IF(COUNTIF(Biomes!E$2:E$259,"="&amp;$C179)&gt;0,Biomes!E$1&amp;", ","")&amp;IF(COUNTIF(Biomes!S$2:S$259,"="&amp;$C179)&gt;0,Biomes!S$1&amp;", ","")&amp;
IF(COUNTIF(Biomes!R$2:R$259,"="&amp;$C179)&gt;0,Biomes!R$1&amp;", ",""),", ","")
),_xlfn.XLOOKUP(B179,B:B,BX:BX))</f>
        <v>TemperateForest TemperateSwamp</v>
      </c>
      <c r="BY179" s="25" t="str">
        <f>IF(_xlfn.XLOOKUP(B179,'Base stats'!B:B,'Base stats'!AJ:AJ)=1,"true","false")</f>
        <v>false</v>
      </c>
      <c r="BZ179" s="25">
        <f>IF(_xlfn.XLOOKUP(B179,'Base stats'!B:B,'Base stats'!N:N)=1,"No",MAX(0.001,MIN(MROUND(IF(AND(BJ179="True",CC179="False"),POWER(10,3.47*LOG10(_xlfn.XLOOKUP(B179,'Base stats'!B:B,'Base stats'!C:C)*1000)^-0.96),POWER(10,4.15*LOG10(_xlfn.XLOOKUP(B179,'Base stats'!B:B,'Base stats'!C:C)*1000)^-0.73))*IF(_xlfn.XLOOKUP(B179,'Base stats'!B:B,'Base stats'!AK:AK)=1,0.5,1)*IF(_xlfn.XLOOKUP(B179,'Base stats'!B:B,'Base stats'!AM:AM)=1,0.1,1)/100,IF(_xlfn.XLOOKUP(B179,'Base stats'!B:B,'Base stats'!AM:AM)=1,0.001,0.025)),0.5)))</f>
        <v>9.0000000000000011E-3</v>
      </c>
      <c r="CA179" s="25" t="str">
        <f>IF(P179="Standard","No",MAX(0.001,MIN(MROUND(IF(AND(BJ179="True",CC179="False"),POWER(10,3.47*LOG10(_xlfn.XLOOKUP(B179,'Base stats'!B:B,'Base stats'!C:C)*1000)^-0.96),POWER(10,4.15*LOG10(_xlfn.XLOOKUP(B179,'Base stats'!B:B,'Base stats'!C:C)*1000)^-0.73))*IF(_xlfn.XLOOKUP(B179,'Base stats'!B:B,'Base stats'!AM:AM)=1,0.1,1)*_xlfn.XLOOKUP(B179,'Base stats'!B:B,'Base stats'!R:R)/100,IF(_xlfn.XLOOKUP(B179,'Base stats'!B:B,'Base stats'!AM:AM)=1,0.001,0.025)),0.5)))</f>
        <v>No</v>
      </c>
      <c r="CB179" s="25" t="str">
        <f>IF(_xlfn.XLOOKUP(_xlfn.XLOOKUP(B179,'Base stats'!B:B,'Base stats'!E:E),Groups!A:A,Groups!AJ:AJ)="Mammal","True","False")</f>
        <v>True</v>
      </c>
      <c r="CC179" s="25" t="str">
        <f>IF(OR(_xlfn.XLOOKUP(_xlfn.XLOOKUP(B179,'Base stats'!B:B,'Base stats'!E:E),Groups!A:A,Groups!AJ:AJ)="Reptile",_xlfn.XLOOKUP(_xlfn.XLOOKUP(B179,'Base stats'!B:B,'Base stats'!E:E),Groups!A:A,Groups!AJ:AJ)="Amphibian",_xlfn.XLOOKUP(_xlfn.XLOOKUP(B179,'Base stats'!B:B,'Base stats'!E:E),Groups!A:A,Groups!AJ:AJ)="Invertebrate"),"True","False")</f>
        <v>False</v>
      </c>
      <c r="CD179" s="25" t="str">
        <f t="shared" si="20"/>
        <v>False</v>
      </c>
      <c r="CE179" s="25" t="str">
        <f>IF(_xlfn.XLOOKUP(_xlfn.XLOOKUP(B179,'Base stats'!B:B,'Base stats'!E:E),Groups!A:A,Groups!AX:AX),"True","False")</f>
        <v>False</v>
      </c>
      <c r="CF179" s="25" t="str">
        <f>IF(_xlfn.XLOOKUP(_xlfn.XLOOKUP(B179,'Base stats'!B:B,'Base stats'!E:E),Groups!A:A,Groups!AY:AY),"True","False")</f>
        <v>False</v>
      </c>
      <c r="CG179" s="25" t="str">
        <f>IF(_xlfn.XLOOKUP(_xlfn.XLOOKUP(B179,'Base stats'!B:B,'Base stats'!E:E),Groups!A:A,Groups!AW:AW),"True","False")</f>
        <v>False</v>
      </c>
      <c r="CH179" s="25" t="str">
        <f>IF(
OR(
_xlfn.XLOOKUP(_xlfn.XLOOKUP(B179,'Base stats'!B:B,'Base stats'!E:E),Groups!A:A,Groups!AZ:AZ)=0,
AND(
_xlfn.XLOOKUP(B179,'Base stats'!B:B,'Base stats'!Y:Y)&lt;&gt;"Carnivore",
_xlfn.XLOOKUP(B179,'Base stats'!B:B,'Base stats'!Y:Y)&lt;&gt;"Omnivore",
_xlfn.XLOOKUP(B179,'Base stats'!B:B,'Base stats'!Y:Y)&lt;&gt;"OmnivoreRough"
)
),
"No",
IF(
_xlfn.XLOOKUP(_xlfn.XLOOKUP(B179,'Base stats'!B:B,'Base stats'!E:E),Groups!A:A,Groups!AZ:AZ)=1,
"Flesh",
IF(
_xlfn.XLOOKUP(_xlfn.XLOOKUP(B179,'Base stats'!B:B,'Base stats'!E:E),Groups!A:A,Groups!AZ:AZ)=2,
"Bone",
""
)
)
)</f>
        <v>Bone</v>
      </c>
      <c r="CI179" s="25" t="str">
        <f>IF(_xlfn.XLOOKUP(_xlfn.XLOOKUP(B179,'Base stats'!B:B,'Base stats'!E:E),Groups!A:A,Groups!BB:BB),"True","False")</f>
        <v>True</v>
      </c>
      <c r="CJ179" s="25" t="str">
        <f>IF(_xlfn.XLOOKUP(_xlfn.XLOOKUP(B179,'Base stats'!B:B,'Base stats'!E:E),Groups!A:A,Groups!BA:BA),"True","False")</f>
        <v>False</v>
      </c>
    </row>
    <row r="180" spans="1:88" ht="16.5" thickTop="1" thickBot="1" x14ac:dyDescent="0.3">
      <c r="A180" s="26" t="s">
        <v>1205</v>
      </c>
      <c r="B180" s="6" t="s">
        <v>1214</v>
      </c>
      <c r="C180" s="28" t="s">
        <v>1196</v>
      </c>
      <c r="D180" s="28" t="s">
        <v>1189</v>
      </c>
      <c r="E180" s="28" t="s">
        <v>673</v>
      </c>
      <c r="F180" s="28" t="s">
        <v>673</v>
      </c>
      <c r="G180" s="28" t="s">
        <v>673</v>
      </c>
      <c r="H180" s="2">
        <f>MROUND((
  (IF(AND(_xlfn.XLOOKUP(B180,'Base stats'!B:B,'Base stats'!AL:AL)=0,BI180="None",_xlfn.XLOOKUP(_xlfn.XLOOKUP(B180,'Base stats'!B:B,'Base stats'!E:E),Groups!A:A,Groups!B:B)=0), (18 + BR180 * 2.7) * 0.5,
    IF(AND(_xlfn.XLOOKUP(B180,'Base stats'!B:B,'Base stats'!AL:AL)=0,OR(AO180&lt;0.55,AND(BI180="Intermediate",_xlfn.XLOOKUP(_xlfn.XLOOKUP(B180,'Base stats'!B:B,'Base stats'!E:E),Groups!A:A,Groups!B:B)&lt;2))), (18 + BR180 * 2.7),
      IF(OR(BI180="Advanced",_xlfn.XLOOKUP(B180,'Base stats'!B:B,'Base stats'!AL:AL)=1,_xlfn.XLOOKUP(_xlfn.XLOOKUP(B180,'Base stats'!B:B,'Base stats'!E:E),Groups!A:A,Groups!B:B)=2), (18 + BR180 * 2.7) + 250, (18 + BR180 * 2.7))
    )
  ))
  + AO180 * 80
  + IF(COUNTIF(EggMilk!K$2:K$998, A180) &gt; 0, 125, 0)
  + IF(COUNTIF(EggMilk!P$2:P$998, A180) &gt; 0, 90, 0)
  + IF(COUNTIF(EggMilk!A$2:A$998, A180) &gt; 0, 90, 0)
)
* (0.8 + 0.4 * J180)
* 0.75,25)</f>
        <v>400</v>
      </c>
      <c r="I180" s="2">
        <f>MROUND(ROUNDDOWN(_xlfn.XLOOKUP(B180,'Base stats'!B:B,'Base stats'!L:L)/3.6/(23.3/11),1),0.5)</f>
        <v>6.5</v>
      </c>
      <c r="J180" s="2">
        <f>IF(OR(_xlfn.XLOOKUP(B180,'Base stats'!B:B,'Base stats'!AB:AB)=1,_xlfn.XLOOKUP(_xlfn.XLOOKUP(B180,'Base stats'!B:B,'Base stats'!E:E),Groups!A:A,Groups!C:C)="Untamable"),1,IF(_xlfn.XLOOKUP(B180,'Base stats'!B:B,'Base stats'!AL:AL)=1,0.99,MIN(MROUND((1-0.6282*EXP(-0.459*AO180))*_xlfn.XLOOKUP(_xlfn.XLOOKUP(B180,'Base stats'!B:B,'Base stats'!E:E),Groups!A:A,Groups!C:C)*IF(_xlfn.XLOOKUP(B180,'Base stats'!B:B,'Base stats'!O:O)=1,0.5,IF(_xlfn.XLOOKUP(B180,'Base stats'!B:B,'Base stats'!O:O)=2,0,1)),0.05),IF(AO180&gt;3.5,0.985,0.95))))</f>
        <v>0.65</v>
      </c>
      <c r="K180" s="2">
        <f>ROUNDUP(AO180*_xlfn.XLOOKUP(_xlfn.XLOOKUP(B180,'Base stats'!B:B,'Base stats'!E:E),Groups!A:A,Groups!E:E),0)</f>
        <v>1</v>
      </c>
      <c r="L180" s="2">
        <f>IF(OR(_xlfn.XLOOKUP(_xlfn.XLOOKUP(B180,'Base stats'!B:B,'Base stats'!E:E),Groups!A:A,Groups!F:F)=2,ISNUMBER(SEARCH("SeaIce",BX180)),ISNUMBER(SEARCH("IceSheet",BX180))),-50,IF(OR(ISNUMBER(SEARCH("GlacialPlain",BX180)),ISNUMBER(SEARCH("Tundra",BX180))),-40,IF(OR(ISNUMBER(SEARCH("Alpine",BX180)),ISNUMBER(SEARCH("BorealForest",BX180)),ISNUMBER(SEARCH("ColdBog",BX180))),-30,IF(OR(ISNUMBER(SEARCH("TemperateForest",BX180)),ISNUMBER(SEARCH("TemperateSwamp",BX180))),-20,IF(_xlfn.XLOOKUP(_xlfn.XLOOKUP(B180,'Base stats'!B:B,'Base stats'!E:E),Groups!A:A,Groups!F:F)=1,-15,IF(OR(ISNUMBER(SEARCH("Desert",BX180)),ISNUMBER(SEARCH("ExtremeDesert",BX180))),-10,IF(OR(ISNUMBER(SEARCH("Grasslands",BX180)),ISNUMBER(SEARCH("TropicalRainforest",BX180)),ISNUMBER(SEARCH("TropicalSwamp",BX180))),10,0)))))))-IF(CC180="False",MIN(IFERROR(MAX(MROUND(LOG10(_xlfn.XLOOKUP(B180,'Base stats'!B:B,'Base stats'!C:C)^(2/3))*10,5),5),5),30))-_xlfn.XLOOKUP(B180,'Base stats'!B:B,'Base stats'!P:P)+IF(CC180="True",5,0)</f>
        <v>-30</v>
      </c>
      <c r="M180" s="2">
        <f>IF(OR(_xlfn.XLOOKUP(_xlfn.XLOOKUP(B180,'Base stats'!B:B,'Base stats'!E:E),Groups!A:A,Groups!G:G)=2,ISNUMBER(SEARCH("Desert",BX180)),ISNUMBER(SEARCH("ExtremeDesert",BX180)),ISNUMBER(SEARCH("LavaField",BX180))),50,IF(ISNUMBER(SEARCH("Grasslands",BX180)),45,IF(OR(_xlfn.XLOOKUP(_xlfn.XLOOKUP(B180,'Base stats'!B:B,'Base stats'!E:E),Groups!A:A,Groups!G:G)=1,ISNUMBER(SEARCH("TropicalRainforest",BX180)),ISNUMBER(SEARCH("TropicalSwamp",BX180))),40,IF(OR(ISNUMBER(SEARCH("TemperateForest",BX180)),ISNUMBER(SEARCH("TemperateSwamp",BX180))),35,IF(OR(ISNUMBER(SEARCH("Alpine",BX180)),ISNUMBER(SEARCH("BorealForest",BX180)),ISNUMBER(SEARCH("ColdBog",BX180))),30,IF(ISNUMBER(OR(ISNUMBER(SEARCH("GlacialPlain",BX180)),SEARCH("Tundra",BX180))),25,IF(OR(ISNUMBER(SEARCH("SeaIce",BX180)),ISNUMBER(SEARCH("IceSheet",BX180)),ISNUMBER(SEARCH("TropicalSwamp",BX180))),10,35)))))))+_xlfn.XLOOKUP(B180,'Base stats'!B:B,'Base stats'!Q:Q)</f>
        <v>50</v>
      </c>
      <c r="N180" s="8" t="str">
        <f>IF(
_xlfn.XLOOKUP(
_xlfn.XLOOKUP(B180,'Base stats'!B:B,'Base stats'!E:E),
Groups!A:A,
Groups!L:L
)=1,
MIN(
MROUND(
IF(
_xlfn.XLOOKUP(B180,'Animals CE'!B:B,'Animals CE'!Z:Z)&lt;=1.5,
_xlfn.XLOOKUP(B180,'Animals CE'!B:B,'Animals CE'!Z:Z)/2+0.05,
0.8+
(_xlfn.XLOOKUP(B180,'Animals CE'!B:B,'Animals CE'!Z:Z)-1.5)
*0.02
),
0.05
),
200%
),
"No"
)</f>
        <v>No</v>
      </c>
      <c r="O180" s="8" t="str">
        <f>IF(
_xlfn.XLOOKUP(
_xlfn.XLOOKUP(B180,'Base stats'!B:B,'Base stats'!E:E),
Groups!A:A,
Groups!L:L
)=1,
MIN(
MROUND(
IF(
_xlfn.XLOOKUP(B180,'Animals CE'!B:B,'Animals CE'!AA:AA)&lt;=1.5,
_xlfn.XLOOKUP(B180,'Animals CE'!B:B,'Animals CE'!AA:AA)/2+0.05,
0.8+
(_xlfn.XLOOKUP(B180,'Animals CE'!B:B,'Animals CE'!AA:AA)-1.5)
*0.02
),
0.05
),
200%
),
"No"
)</f>
        <v>No</v>
      </c>
      <c r="P180" s="2" t="str">
        <f>_xlfn.XLOOKUP(B180,'Base stats'!B:B,'Base stats'!R:R)</f>
        <v>Standard</v>
      </c>
      <c r="Q180" s="13">
        <f>MROUND((LOG10(_xlfn.XLOOKUP(B180,'Base stats'!B:B,'Base stats'!AR:AR))*(AO180^0.5)+(_xlfn.XLOOKUP(B180,'Base stats'!B:B,'Base stats'!AR:AR)/1000)^(2/3)+_xlfn.XLOOKUP(B180,'Base stats'!B:B,'Base stats'!BA:BA)/2)+0.5,0.5)</f>
        <v>4.5</v>
      </c>
      <c r="R180" s="7">
        <f>IF(Q180="No","No",MAX(1,MROUND(_xlfn.XLOOKUP(B180,'Base stats'!B:B,'Base stats'!C:C)^0.165,0.05)))</f>
        <v>1.6</v>
      </c>
      <c r="S180" s="13" t="str">
        <f>IF(_xlfn.XLOOKUP(_xlfn.XLOOKUP(B180,'Base stats'!B:B,'Base stats'!E:E),Groups!A:A,Groups!P:P)=0,"No",MROUND((LOG10(_xlfn.XLOOKUP(B180,'Base stats'!B:B,'Base stats'!AS:AS))*(AO180^0.5)+(_xlfn.XLOOKUP(B180,'Base stats'!B:B,'Base stats'!AS:AS)/1000)^(2/3)+_xlfn.XLOOKUP(B180,'Base stats'!B:B,'Base stats'!BA:BA))+_xlfn.XLOOKUP(B180,'Base stats'!B:B,'Base stats'!AY:AY)+0.5,0.5))</f>
        <v>No</v>
      </c>
      <c r="T180" s="7" t="str">
        <f>IF(S180="No","No",MAX(_xlfn.XLOOKUP(_xlfn.XLOOKUP(B180,'Base stats'!B:B,'Base stats'!E:E),Groups!A:A,Groups!Q:Q),MROUND(_xlfn.XLOOKUP(_xlfn.XLOOKUP(B180,'Base stats'!B:B,'Base stats'!E:E),Groups!A:A,Groups!Q:Q)*_xlfn.XLOOKUP(B180,'Base stats'!B:B,'Base stats'!C:C)^0.165,0.05)))</f>
        <v>No</v>
      </c>
      <c r="U180" s="7" t="str">
        <f>IF(S180="No","No",_xlfn.XLOOKUP(_xlfn.XLOOKUP(B180,'Base stats'!B:B,'Base stats'!E:E),Groups!A:A,Groups!R:R))</f>
        <v>No</v>
      </c>
      <c r="V180" s="7" t="str">
        <f>IF(S180="No","No",_xlfn.XLOOKUP(_xlfn.XLOOKUP(B180,'Base stats'!B:B,'Base stats'!E:E),Groups!A:A,Groups!S:S))</f>
        <v>No</v>
      </c>
      <c r="W180" s="7" t="str">
        <f>IF(S180="No","No",_xlfn.XLOOKUP(_xlfn.XLOOKUP(B180,'Base stats'!B:B,'Base stats'!E:E),Groups!A:A,Groups!T:T))</f>
        <v>No</v>
      </c>
      <c r="X180" s="13" t="str">
        <f>IF(_xlfn.XLOOKUP(B180,'Base stats'!B:B,'Base stats'!W:W)="No","No",MROUND((LOG10(_xlfn.XLOOKUP(B180,'Base stats'!B:B,'Base stats'!AU:AU))*(AO180^0.5)+(_xlfn.XLOOKUP(B180,'Base stats'!B:B,'Base stats'!AU:AU)/1000)^(2/3)+_xlfn.XLOOKUP(B180,'Base stats'!B:B,'Base stats'!AZ:AZ))+0.5+IF(_xlfn.XLOOKUP(_xlfn.XLOOKUP(B180,'Base stats'!B:B,'Base stats'!E:E),Groups!A:A,Groups!U:U)&lt;&gt;3,_xlfn.XLOOKUP(B180,'Base stats'!B:B,'Base stats'!BA:BA),0),0.5))</f>
        <v>No</v>
      </c>
      <c r="Y180" s="7" t="str">
        <f>IF(X180="No","No",MAX(_xlfn.XLOOKUP(_xlfn.XLOOKUP(B180,'Base stats'!B:B,'Base stats'!E:E),Groups!A:A,Groups!V:V),MROUND(_xlfn.XLOOKUP(_xlfn.XLOOKUP(B180,'Base stats'!B:B,'Base stats'!E:E),Groups!A:A,Groups!V:V)*_xlfn.XLOOKUP(B180,'Base stats'!B:B,'Base stats'!C:C)^0.165,0.05)))</f>
        <v>No</v>
      </c>
      <c r="Z180" s="7" t="str">
        <f>IF(X180="No","No",_xlfn.XLOOKUP(_xlfn.XLOOKUP(B180,'Base stats'!B:B,'Base stats'!E:E),Groups!A:A,Groups!W:W))</f>
        <v>No</v>
      </c>
      <c r="AA180" s="7" t="str">
        <f>IF(X180="No","No",_xlfn.XLOOKUP(_xlfn.XLOOKUP(B180,'Base stats'!B:B,'Base stats'!E:E),Groups!A:A,Groups!X:X))</f>
        <v>No</v>
      </c>
      <c r="AB180" s="7" t="str">
        <f>IF(X180="No","No",_xlfn.XLOOKUP(_xlfn.XLOOKUP(B180,'Base stats'!B:B,'Base stats'!E:E),Groups!A:A,Groups!Y:Y))</f>
        <v>No</v>
      </c>
      <c r="AC180" s="7" t="str">
        <f>_xlfn.XLOOKUP(Animals!B180,'Base stats'!B:B,'Base stats'!X:X)</f>
        <v>False</v>
      </c>
      <c r="AD180" s="13">
        <f>IF(_xlfn.XLOOKUP(B180,'Base stats'!B:B,'Base stats'!AT:AT)="No","No",MROUND((LOG10(_xlfn.XLOOKUP(B180,'Base stats'!B:B,'Base stats'!AT:AT))*(AO180^0.75)+(_xlfn.XLOOKUP(B180,'Base stats'!B:B,'Base stats'!AT:AT)/1000)^(2/3)+_xlfn.XLOOKUP(B180,'Base stats'!B:B,'Base stats'!AX:AX)+_xlfn.XLOOKUP(B180,'Base stats'!B:B,'Base stats'!BA:BA))+0.5,0.5))</f>
        <v>8</v>
      </c>
      <c r="AE180" s="7">
        <f>IF(AD180="No","No",MAX(_xlfn.XLOOKUP(_xlfn.XLOOKUP(B180,'Base stats'!B:B,'Base stats'!E:E),Groups!A:A,Groups!Z:Z),MROUND(_xlfn.XLOOKUP(_xlfn.XLOOKUP(B180,'Base stats'!B:B,'Base stats'!E:E),Groups!A:A,Groups!Z:Z)*_xlfn.XLOOKUP(B180,'Base stats'!B:B,'Base stats'!C:C)^0.165,0.05)))</f>
        <v>1.25</v>
      </c>
      <c r="AF180" s="7" t="str">
        <f>IF(AD180="No","No",_xlfn.XLOOKUP(_xlfn.XLOOKUP(B180,'Base stats'!B:B,'Base stats'!E:E),Groups!A:A,Groups!AA:AA))</f>
        <v>Teeth</v>
      </c>
      <c r="AG180" s="7" t="str">
        <f>IF(AD180="No","No",_xlfn.XLOOKUP(_xlfn.XLOOKUP(B180,'Base stats'!B:B,'Base stats'!E:E),Groups!A:A,Groups!AB:AB))</f>
        <v>canines</v>
      </c>
      <c r="AH180" s="7" t="str">
        <f>IF(AD180="No","No",_xlfn.XLOOKUP(_xlfn.XLOOKUP(B180,'Base stats'!B:B,'Base stats'!E:E),Groups!A:A,Groups!AC:AC))</f>
        <v>Bite</v>
      </c>
      <c r="AI180" s="13" t="str">
        <f>IF(_xlfn.XLOOKUP(_xlfn.XLOOKUP(B180,'Base stats'!B:B,'Base stats'!E:E),Groups!A:A,Groups!AD:AD)=0,"No",MROUND((LOG10(_xlfn.XLOOKUP(B180,'Base stats'!B:B,'Base stats'!AS:AS))*(AO180^0.75)+(_xlfn.XLOOKUP(B180,'Base stats'!B:B,'Base stats'!AS:AS)/1000)^(2/3)+_xlfn.XLOOKUP(B180,'Base stats'!B:B,'Base stats'!AY:AY)+_xlfn.XLOOKUP(B180,'Base stats'!B:B,'Base stats'!BA:BA))+0.5,0.5))</f>
        <v>No</v>
      </c>
      <c r="AJ180" s="7" t="str">
        <f>IF(AI180="No","No",MAX(_xlfn.XLOOKUP(_xlfn.XLOOKUP(B180,'Base stats'!B:B,'Base stats'!E:E),Groups!A:A,Groups!AE:AE),MROUND(_xlfn.XLOOKUP(_xlfn.XLOOKUP(B180,'Base stats'!B:B,'Base stats'!E:E),Groups!A:A,Groups!AE:AE)*IF(_xlfn.XLOOKUP(_xlfn.XLOOKUP(B180,'Base stats'!B:B,'Base stats'!E:E),Groups!A:A,Groups!AJ:AJ)="Photonozoa",0.6,1)*_xlfn.XLOOKUP(B180,'Base stats'!B:B,'Base stats'!C:C)^0.165,0.05)))</f>
        <v>No</v>
      </c>
      <c r="AK180" s="7" t="str">
        <f>IF(AI180="No","No",_xlfn.XLOOKUP(_xlfn.XLOOKUP(B180,'Base stats'!B:B,'Base stats'!E:E),Groups!A:A,Groups!AF:AF))</f>
        <v>No</v>
      </c>
      <c r="AL180" s="7" t="str">
        <f>IF(AI180="No","No",_xlfn.XLOOKUP(_xlfn.XLOOKUP(B180,'Base stats'!B:B,'Base stats'!E:E),Groups!A:A,Groups!AG:AG))</f>
        <v>No</v>
      </c>
      <c r="AM180" s="7" t="str">
        <f>IF(AI180="No","No",_xlfn.XLOOKUP(_xlfn.XLOOKUP(B180,'Base stats'!B:B,'Base stats'!E:E),Groups!A:A,Groups!AH:AH))</f>
        <v>No</v>
      </c>
      <c r="AN180" s="2">
        <f t="shared" si="14"/>
        <v>20</v>
      </c>
      <c r="AO180" s="2">
        <f>MROUND(IF(AND(_xlfn.XLOOKUP(B180,'Base stats'!B:B,'Base stats'!C:C)&gt;=0.5,_xlfn.XLOOKUP(B180,'Base stats'!B:B,'Base stats'!C:C)&lt;=0.8),
IF(_xlfn.XLOOKUP(B180,'Base stats'!B:B,'Base stats'!C:C)&lt;0.1,0.05,IF(_xlfn.XLOOKUP(B180,'Base stats'!B:B,'Base stats'!C:C)&lt;=70,(_xlfn.XLOOKUP(B180,'Base stats'!B:B,'Base stats'!C:C)/70)^0.426489913056526,IF(_xlfn.XLOOKUP(B180,'Base stats'!B:B,'Base stats'!C:C)&lt;=400,(_xlfn.XLOOKUP(B180,'Base stats'!B:B,'Base stats'!C:C)/70)^0.572811455315093,IF(_xlfn.XLOOKUP(B180,'Base stats'!B:B,'Base stats'!C:C)&lt;=2000,2.71391647193063*(_xlfn.XLOOKUP(B180,'Base stats'!B:B,'Base stats'!C:C)/400)^0.252459582904293,3.74314280240376*(_xlfn.XLOOKUP(B180,'Base stats'!B:B,'Base stats'!C:C)/2000)^0.357012633876913)))),
IF(_xlfn.XLOOKUP(B180,'Base stats'!B:B,'Base stats'!C:C)&lt;0.1,0.05,IF(_xlfn.XLOOKUP(B180,'Base stats'!B:B,'Base stats'!C:C)&lt;0.4,0.1,IF(_xlfn.XLOOKUP(B180,'Base stats'!B:B,'Base stats'!C:C)&lt;=70,(_xlfn.XLOOKUP(B180,'Base stats'!B:B,'Base stats'!C:C)/70)^0.445823913056526,IF(_xlfn.XLOOKUP(B180,'Base stats'!B:B,'Base stats'!C:C)&lt;=400,(_xlfn.XLOOKUP(B180,'Base stats'!B:B,'Base stats'!C:C)/70)^0.572811455315093,IF(_xlfn.XLOOKUP(B180,'Base stats'!B:B,'Base stats'!C:C)&lt;=2000,2.71391647193063*(_xlfn.XLOOKUP(B180,'Base stats'!B:B,'Base stats'!C:C)/400)^0.252459582904293,3.74314280240376*(_xlfn.XLOOKUP(B180,'Base stats'!B:B,'Base stats'!C:C)/2000)^0.357012633876913)))))),
IF(_xlfn.XLOOKUP(B180,'Base stats'!B:B,'Base stats'!C:C)&lt;0.1,0.05,IF(_xlfn.XLOOKUP(B180,'Base stats'!B:B,'Base stats'!C:C)&lt;=100,0.05,IF(_xlfn.XLOOKUP(B180,'Base stats'!B:B,'Base stats'!C:C)&lt;=250,0.1,IF(_xlfn.XLOOKUP(B180,'Base stats'!B:B,'Base stats'!C:C)&lt;=4000,0.25,0.5)))))</f>
        <v>0.55000000000000004</v>
      </c>
      <c r="AP180" s="8">
        <f>MROUND(AO180*_xlfn.XLOOKUP(_xlfn.XLOOKUP(B180,'Base stats'!B:B,'Base stats'!E:E),Groups!A:A,Groups!AI:AI)*_xlfn.XLOOKUP(B180,'Base stats'!B:B,'Base stats'!Z:Z),0.05)</f>
        <v>0.65</v>
      </c>
      <c r="AQ180" s="8">
        <f>MAX(0.01,MROUND(IF(CC180="True",0.196*(AO180*100*1000)^0.889,IF(_xlfn.XLOOKUP(_xlfn.XLOOKUP(B180,'Base stats'!B:B,'Base stats'!E:E),Groups!A:A,Groups!AJ:AJ)="Bird",10.5*(AO180*100*1000)^0.681,4.82*(AO180*100*1000)^0.734))/(4.82*(1*100*1000)^0.734)/IF(AO180&lt;3.5,2,IF(AO180=3.5,1.5,1.25))*(1+0.132282374779864/(AO180^0.994035016789033+0.00905238001496948)),0.05))</f>
        <v>0.4</v>
      </c>
      <c r="AR180" s="9">
        <f>IFERROR(MROUND(_xlfn.XLOOKUP(B180,'Base stats'!B:B,'Base stats'!H:H)/IF(_xlfn.XLOOKUP(B180,'Base stats'!B:B,'Base stats'!I:I)&lt;&gt;1,(122.5/70),1.2),IF(_xlfn.XLOOKUP(B180,'Base stats'!B:B,'Base stats'!H:H)&gt;=30,5,IF(_xlfn.XLOOKUP(B180,'Base stats'!B:B,'Base stats'!H:H)&gt;=15,3,IF(_xlfn.XLOOKUP(B180,'Base stats'!B:B,'Base stats'!H:H)&gt;=10,2,1)))),"Immortal")</f>
        <v>10</v>
      </c>
      <c r="AS180" s="35">
        <f>IFERROR(IF(OR(_xlfn.XLOOKUP(B180,'Base stats'!B:B,'Base stats'!F:F)="Atypical reproduction",_xlfn.XLOOKUP(B180,'Base stats'!B:B,'Base stats'!F:F)="Lay eggs"),"Lay eggs",MIN(20,MAX(5.5,ROUND(((_xlfn.XLOOKUP(B180,'Base stats'!B:B,'Base stats'!F:F)-25)*(14.5/615) + 5.5)*2,0)/2))),"Unknown")</f>
        <v>5.5</v>
      </c>
      <c r="AT180" s="8">
        <f>IF(_xlfn.XLOOKUP(B180,'Base stats'!B:B,'Base stats'!G:G)="Atypical reproduction","No",IFERROR(MAX(IF(_xlfn.XLOOKUP(B180,'Base stats'!B:B,'Base stats'!G:G)&lt;0.5,0.2,0.3),MROUND(_xlfn.XLOOKUP(B180,'Base stats'!B:B,'Base stats'!G:G)/(365/60),0.2)),"Unknown"))</f>
        <v>0.4</v>
      </c>
      <c r="AU180" s="8">
        <f t="shared" si="15"/>
        <v>0.2</v>
      </c>
      <c r="AV180" s="8">
        <f>IFERROR(IFERROR(MROUND(_xlfn.XLOOKUP(B180,'Base stats'!B:B,'Base stats'!J:J),0.1),"Lay eggs"),"Cannot breed")</f>
        <v>1</v>
      </c>
      <c r="AW180" s="2" t="str">
        <f t="shared" si="16"/>
        <v>false</v>
      </c>
      <c r="AX180" s="2" t="str">
        <f>IF(_xlfn.XLOOKUP(_xlfn.XLOOKUP(Animals!B180,'Base stats'!B:B,'Base stats'!E:E),Groups!A:A,Groups!AK:AK)=1,"true","false")</f>
        <v>false</v>
      </c>
      <c r="AY180" s="25" t="str">
        <f>IF(_xlfn.XLOOKUP(B180,'Base stats'!B:B,'Base stats'!Y:Y)="Liquor","Liquor, CarnivoreAnimalStrict",IF(AND(_xlfn.XLOOKUP(B180,'Base stats'!B:B,'Base stats'!Y:Y)="Carnivore",_xlfn.XLOOKUP(_xlfn.XLOOKUP(B180,'Base stats'!B:B,'Base stats'!E:E),Groups!A:A,Groups!AJ:AJ)="Photonozoa"),"CarnivoreAnimalStrict, OvivoreAnimal",IF(_xlfn.XLOOKUP(B180,'Base stats'!B:B,'Base stats'!Y:Y)="Carnivore","CarnivoreAnimal, OvivoreAnimal",IF(_xlfn.XLOOKUP(B180,'Base stats'!B:B,'Base stats'!Y:Y)="Dendrovore","VegetarianRoughAnimal, DendrovoreAnimal",IF(_xlfn.XLOOKUP(B180,'Base stats'!B:B,'Base stats'!Y:Y)="Herbivore","VegetarianRoughAnimal",IF(_xlfn.XLOOKUP(B180,'Base stats'!B:B,'Base stats'!Y:Y)="OmnivoreRough","OmnivoreRoughAnimal, OvivoreAnimal","OmnivoreAnimal, OvivoreAnimal"))))))</f>
        <v>CarnivoreAnimal, OvivoreAnimal</v>
      </c>
      <c r="AZ180" s="2" t="str">
        <f>IF(_xlfn.XLOOKUP(_xlfn.XLOOKUP(B180,'Base stats'!B:B,'Base stats'!E:E),Groups!A:A,Groups!D:D)=1,MROUND((1-J180)*5+1,2)*IF(J180&lt;=0.4,2,1),"No")</f>
        <v>No</v>
      </c>
      <c r="BA180" s="2" t="str">
        <f>IF(AND(_xlfn.XLOOKUP(B180,'Base stats'!B:B,'Base stats'!AH:AH)="&lt;li&gt;Seal&lt;/li&gt;",G180="Odyssey"),"&lt;li&gt;AEXP_Seal&lt;/li&gt;",_xlfn.XLOOKUP(B180,'Base stats'!B:B,'Base stats'!AH:AH))</f>
        <v>No</v>
      </c>
      <c r="BB180" s="2" t="str">
        <f>_xlfn.XLOOKUP(B180,'Base stats'!B:B,'Base stats'!AG:AG)</f>
        <v>Leather_Dog</v>
      </c>
      <c r="BC180" s="23" t="str">
        <f>_xlfn.XLOOKUP(_xlfn.XLOOKUP(B180,'Base stats'!B:B,'Base stats'!E:E),Groups!A:A,Groups!AL:AL)</f>
        <v>QuadrupedAnimalWithPawsAndTail</v>
      </c>
      <c r="BD180" s="23">
        <f>MIN(1,MROUND(IF(AND(AO180&lt;0.5,_xlfn.XLOOKUP(B180,'Base stats'!B:B,'Base stats'!AA:AA)=0),0,IF(OR(_xlfn.XLOOKUP(Animals!B180,'Base stats'!B:B,'Base stats'!O:O)=2,_xlfn.XLOOKUP(_xlfn.XLOOKUP(B180,'Base stats'!B:B,'Base stats'!E:E),Groups!A:A,Groups!AN:AN)=0),0,_xlfn.XLOOKUP(_xlfn.XLOOKUP(B180,'Base stats'!B:B,'Base stats'!E:E),Groups!A:A,Groups!AN:AN)/IF(_xlfn.XLOOKUP(Animals!B180,'Base stats'!B:B,'Base stats'!O:O)=1,2,1)))+_xlfn.XLOOKUP(B180,'Base stats'!B:B,'Base stats'!AC:AC),0.005))</f>
        <v>0.1</v>
      </c>
      <c r="BE180" s="23">
        <f>MIN(1,MROUND(IF(AND(AO180&lt;0.5,_xlfn.XLOOKUP(B180,'Base stats'!B:B,'Base stats'!AA:AA)=0),0,IF(_xlfn.XLOOKUP(_xlfn.XLOOKUP(B180,'Base stats'!B:B,'Base stats'!E:E),Groups!A:A,Groups!AO:AO)=0,0,_xlfn.XLOOKUP(_xlfn.XLOOKUP(B180,'Base stats'!B:B,'Base stats'!E:E),Groups!A:A,Groups!AO:AO)/IF(_xlfn.XLOOKUP(Animals!B180,'Base stats'!B:B,'Base stats'!O:O)=2,3,1)))+_xlfn.XLOOKUP(B180,'Base stats'!B:B,'Base stats'!AD:AD),0.005))</f>
        <v>0.3</v>
      </c>
      <c r="BF180" s="2" t="str">
        <f>IF(J180&gt;0.3,"No",_xlfn.XLOOKUP(_xlfn.XLOOKUP(Animals!B180,'Base stats'!B:B,'Base stats'!E:E),Groups!A:A,Groups!AP:AP))</f>
        <v>No</v>
      </c>
      <c r="BG180" s="2">
        <f>IF(AND(J180&lt;=0.65,_xlfn.XLOOKUP(_xlfn.XLOOKUP(Animals!B180,'Base stats'!B:B,'Base stats'!E:E),Groups!A:A,Groups!AP:AP)&lt;&gt;"No",_xlfn.XLOOKUP(_xlfn.XLOOKUP(B180,'Base stats'!B:B,'Base stats'!E:E),Groups!A:A,Groups!D:D)=0),MROUND((80/3)*IF(_xlfn.XLOOKUP(B180,'Base stats'!B:B,'Base stats'!O:O)=2,0.2,AO180) + 24*(1-IF(BF180="No",0,BF180)) + 16/3, 12),"No")</f>
        <v>48</v>
      </c>
      <c r="BH180" s="2">
        <f>IF(AND(_xlfn.XLOOKUP(_xlfn.XLOOKUP(B180,'Base stats'!B:B,'Base stats'!E:E),Groups!A:A,Groups!AQ:AQ)=1,AO180&lt;=0.35),8,12)</f>
        <v>12</v>
      </c>
      <c r="BI180" s="2" t="str">
        <f>IF(_xlfn.XLOOKUP(_xlfn.XLOOKUP(B180,'Base stats'!B:B,'Base stats'!E:E),Groups!A:A,Groups!D:D)=0,_xlfn.XLOOKUP(_xlfn.XLOOKUP(B180,'Base stats'!B:B,'Base stats'!E:E),Groups!A:A,Groups!AR:AR),"None")</f>
        <v>Advanced</v>
      </c>
      <c r="BJ180" s="2" t="str">
        <f>IF(AND(_xlfn.XLOOKUP(_xlfn.XLOOKUP(B180,'Base stats'!B:B,'Base stats'!E:E),Groups!A:A,Groups!AS:AS)=1,OR(_xlfn.XLOOKUP(B180,'Base stats'!B:B,'Base stats'!Y:Y)="Carnivore",_xlfn.XLOOKUP(B180,'Base stats'!B:B,'Base stats'!Y:Y)="Omnivore")),"true","false")</f>
        <v>true</v>
      </c>
      <c r="BK180" s="2">
        <f>IF(BJ180="true",MROUND(IF(AND(AO180&gt;0.5,OR(_xlfn.XLOOKUP(_xlfn.XLOOKUP(B180,'Base stats'!B:B,'Base stats'!E:E),Groups!A:A,Groups!AJ:AJ)="Photonozoa",_xlfn.XLOOKUP(_xlfn.XLOOKUP(B180,'Base stats'!B:B,'Base stats'!E:E),Groups!A:A,Groups!AJ:AJ)="Mammal")),Animals!AO180*1.75*IF(AW180="true",1.5,1),IF(AO180&lt;0.5,Animals!AO180*0.5,Animals!AO180)),IF(AO180&gt;2,0.5,IF(AO180&gt;0.5,0.25,0.1))),"No")</f>
        <v>1</v>
      </c>
      <c r="BL180" s="2">
        <f t="shared" si="17"/>
        <v>1</v>
      </c>
      <c r="BM180" s="25" t="str">
        <f>IF(_xlfn.XLOOKUP(B180,'Base stats'!B:B,'Base stats'!AN:AN)="Standard","No",MROUND((_xlfn.XLOOKUP(B180,'Base stats'!B:B,'Base stats'!AN:AN)/3.6)/I180,0.1))</f>
        <v>No</v>
      </c>
      <c r="BN180" s="25" t="str">
        <f t="shared" si="18"/>
        <v>false</v>
      </c>
      <c r="BO180" s="25" t="str">
        <f>IF(AND(OR(_xlfn.XLOOKUP(B180,'Base stats'!B:B,'Base stats'!Y:Y)="Carnivore",_xlfn.XLOOKUP(B180,'Base stats'!B:B,'Base stats'!Y:Y)="Omnivore",_xlfn.XLOOKUP(B180,'Base stats'!B:B,'Base stats'!Y:Y)="OmnivoreRough"),_xlfn.XLOOKUP(_xlfn.XLOOKUP(B180,'Base stats'!B:B,'Base stats'!E:E),Groups!A:A,Groups!AT:AT)=1),"true","false")</f>
        <v>false</v>
      </c>
      <c r="BP180" s="25" t="str" cm="1">
        <f t="array" ref="BP180">IF(
  _xlfn.TEXTJOIN(", ",TRUE,
    IF(AND(BJ180="true",AO180&gt;0.5,BI180&lt;&gt;"None"),"AttackTarget",""),
    IF(AND(_xlfn.XLOOKUP(_xlfn.XLOOKUP(B180,'Base stats'!B:B,'Base stats'!E:E),Groups!A:A,Groups!AJ:AJ="Mammal"),OR(_xlfn.XLOOKUP(B180,'Base stats'!B:B,'Base stats'!Y:Y)="Omnivore",_xlfn.XLOOKUP(B180,'Base stats'!B:B,'Base stats'!Y:Y)="OmnivoreRough")),"Forage",""),
    IF(BG180&lt;=36,"Comfort",""),
    IF(_xlfn.XLOOKUP(B180,'Base stats'!B:B,'Base stats'!AE:AE)&lt;&gt;"No",_xlfn.XLOOKUP(B180,'Base stats'!B:B,'Base stats'!AE:AE),"")
  ) = "",
  "No",
  _xlfn.TEXTJOIN(", ",TRUE,
    IF(AND(BJ180="true",AO180&gt;0.5,BI180&lt;&gt;"None"),"AttackTarget",""),
    IF(AND(_xlfn.XLOOKUP(_xlfn.XLOOKUP(B180,'Base stats'!B:B,'Base stats'!E:E),Groups!A:A,Groups!AJ:AJ="Mammal"),OR(_xlfn.XLOOKUP(B180,'Base stats'!B:B,'Base stats'!Y:Y)="Omnivore",_xlfn.XLOOKUP(B180,'Base stats'!B:B,'Base stats'!Y:Y)="OmnivoreRough")),"Forage",""),
    IF(BG180&lt;=36,"Comfort",""),
    IF(_xlfn.XLOOKUP(B180,'Base stats'!B:B,'Base stats'!AE:AE)&lt;&gt;"No",_xlfn.XLOOKUP(B180,'Base stats'!B:B,'Base stats'!AE:AE),"")
  )
)</f>
        <v>AttackTarget</v>
      </c>
      <c r="BQ180" s="25" t="str">
        <f>IF(
   AND(
      'Base stats'!AN180="Standard",_xlfn.XLOOKUP(_xlfn.XLOOKUP(B180,'Base stats'!B:B,'Base stats'!E:E),Groups!A:A,Groups!AU:AU)=0,
      OR(
      BO180="True"
      )
   ),
   10,
   IF(
       OR(BM180&lt;&gt;"No",_xlfn.XLOOKUP(_xlfn.XLOOKUP(B180,'Base stats'!B:B,'Base stats'!E:E),Groups!A:A,Groups!AU:AU)=1),
      1,
      "No"
   )
)</f>
        <v>No</v>
      </c>
      <c r="BR180" s="9">
        <f>MROUND((1 + ((0.2*IF(OR(Q180="No",R180="No",R180=0),0,Q180/R180)
+IF(OR(V180="No",S180="No",T180="No"),0,S180/T180*(LEN(V180)-LEN(SUBSTITUTE(V180,",",""))+1))
+IF(OR(X180="No",Y180="No"),0,X180/Y180)
+IF(OR(AD180="No",AE180="No"),0,AD180/AE180)
+IF(OR(AL180="No",AI180="No",AJ180="No"),0,AI180/AJ180*(LEN(AL180)-LEN(SUBSTITUTE(AL180,",",""))+1))
)/(0.2*IF(OR(Q180="No",R180="No",R180=0),0,1)
+IF(OR(V180="No",S180="No",T180="No"),0,LEN(V180)-LEN(SUBSTITUTE(V180,",",""))+1)
+IF(OR(X180="No",Y180="No"),0,1)
+IF(OR(AD180="No",AE180="No"),0,1)
+IF(OR(AL180="No",AI180="No",AJ180="No"),0,LEN(AL180)-LEN(SUBSTITUTE(AL180,",",""))+1))*62%)* 2)*(1 + (AP180 / (IF(_xlfn.XLOOKUP(_xlfn.XLOOKUP(B180,'Base stats'!B:B,'Base stats'!E:E),Groups!A:A,Groups!AJ:AJ)="Photonozoa",0.3,1)) + _xlfn.XLOOKUP(B180,'Base stats'!B:B,'Base stats'!AV:AV) * 1.8) * 2) * 2.5 + 10 + I180 * 2,5)+IF(_xlfn.XLOOKUP(B180,'Base stats'!B:B,'Base stats'!AK:AK)=1,50,0)</f>
        <v>70</v>
      </c>
      <c r="BS180" s="8">
        <f t="shared" si="19"/>
        <v>0.45</v>
      </c>
      <c r="BT180" s="8" t="str">
        <f>_xlfn.XLOOKUP(B180,'Base stats'!B:B,'Base stats'!AF:AF)</f>
        <v>No</v>
      </c>
      <c r="BU180" s="2" t="str">
        <f>IF(AND(J180&lt;=0.95,OR(_xlfn.XLOOKUP(B180,'Base stats'!B:B,'Base stats'!AK:AK)=1,_xlfn.XLOOKUP(B180,'Base stats'!B:B,'Base stats'!Y:Y)="Carnivore",_xlfn.XLOOKUP(B180,'Base stats'!B:B,'Base stats'!Y:Y)="Omnivore",BE180&gt;0.1)),"true","false")</f>
        <v>true</v>
      </c>
      <c r="BV180" s="2" t="str">
        <f>IF(_xlfn.XLOOKUP(B180,'Base stats'!B:B,'Base stats'!AI:AI)=1,"true","false")</f>
        <v>false</v>
      </c>
      <c r="BW180" s="25" t="str">
        <f>IF(E180="BaseInsect","AnimalInsect",
IF(J180&gt;0.95,"AnimalExotic",
_xlfn.TEXTJOIN(", ",TRUE,
IF(OR(_xlfn.XLOOKUP(B180,'Base stats'!B:B,'Base stats'!AM:AM)=1,AND(_xlfn.XLOOKUP(B180,'Base stats'!B:B,'Base stats'!O:O)=0,_xlfn.XLOOKUP(_xlfn.XLOOKUP(B180,'Base stats'!B:B,'Base stats'!E:E),Groups!A:A,Groups!B:B)&gt;0)),"AnimalUncommon","AnimalCommon"),
IF(AND(_xlfn.XLOOKUP(B180,'Base stats'!B:B,'Base stats'!O:O)=2,_xlfn.XLOOKUP(_xlfn.XLOOKUP(B180,'Base stats'!B:B,'Base stats'!E:E),Groups!A:A,Groups!D:D)=0),"AnimalPet",IF(AND(_xlfn.XLOOKUP(B180,'Base stats'!B:B,'Base stats'!O:O)&lt;&gt;0,_xlfn.XLOOKUP(_xlfn.XLOOKUP(B180,'Base stats'!B:B,'Base stats'!E:E),Groups!A:A,Groups!D:D)&lt;&gt;0),"AnimalFarm","")),
IF(OR(_xlfn.XLOOKUP(B180,'Base stats'!B:B,'Base stats'!AK:AK)=1,AND(BI180&lt;&gt;"None",BR180&gt;=60),ISNUMBER(SEARCH("Attack target",BP180))),"AnimalFighter","")
)))</f>
        <v>AnimalUncommon, AnimalFighter</v>
      </c>
      <c r="BX180" s="25" t="str">
        <f>IF(G180="None",TRIM(
SUBSTITUTE(
IF(COUNTIF(Biomes!B$2:B$259,"="&amp;$C180)&gt;0,Biomes!B$1&amp;", ","")&amp;
IF(COUNTIF(Biomes!C$2:C$259,"="&amp;$C180)&gt;0,Biomes!C$1&amp;", ","")&amp;
IF(COUNTIF(Biomes!D$2:D$259,"="&amp;$C180)&gt;0,Biomes!D$1&amp;", ","")&amp;
IF(COUNTIF(Biomes!F$2:F$259,"="&amp;$C180)&gt;0,Biomes!F$1&amp;", ","")&amp;
IF(COUNTIF(Biomes!G$2:G$259,"="&amp;$C180)&gt;0,Biomes!G$1&amp;", ","")&amp;
IF(COUNTIF(Biomes!H$2:H$259,"="&amp;$C180)&gt;0,Biomes!H$1&amp;", ","")&amp;
IF(COUNTIF(Biomes!I$2:I$259,"="&amp;$C180)&gt;0,Biomes!I$1&amp;", ","")&amp;
IF(COUNTIF(Biomes!J$2:J$259,"="&amp;$C180)&gt;0,Biomes!J$1&amp;", ","")&amp;
IF(COUNTIF(Biomes!M$2:M$259,"="&amp;$C180)&gt;0,Biomes!M$1&amp;", ","")&amp;
IF(COUNTIF(Biomes!N$2:N$259,"="&amp;$C180)&gt;0,Biomes!N$1&amp;", ","")&amp;
IF(COUNTIF(Biomes!O$2:O$259,"="&amp;$C180)&gt;0,Biomes!O$1&amp;", ","")&amp;
IF(COUNTIF(Biomes!P$2:P$259,"="&amp;$C180)&gt;0,Biomes!P$1&amp;", ","")&amp;
IF(COUNTIF(Biomes!K$2:K$259,"="&amp;$C180)&gt;0,Biomes!K$1&amp;", ","")&amp;
IF(COUNTIF(Biomes!Q$3:Q$259,"="&amp;$C180)&gt;0,Biomes!Q$1&amp;", ","")&amp;
IF(COUNTIF(Biomes!L$2:L$259,"="&amp;$C180)&gt;0,Biomes!L$1&amp;", ","")&amp;
IF(COUNTIF(Biomes!E$2:E$259,"="&amp;$C180)&gt;0,Biomes!E$1&amp;", ","")&amp;IF(COUNTIF(Biomes!S$2:S$259,"="&amp;$C180)&gt;0,Biomes!S$1&amp;", ","")&amp;
IF(COUNTIF(Biomes!R$2:R$259,"="&amp;$C180)&gt;0,Biomes!R$1&amp;", ",""),", ","")
),_xlfn.XLOOKUP(B180,B:B,BX:BX))</f>
        <v>TemperateForest TemperateSwamp AridShrubland Grasslands LavaField</v>
      </c>
      <c r="BY180" s="25" t="str">
        <f>IF(_xlfn.XLOOKUP(B180,'Base stats'!B:B,'Base stats'!AJ:AJ)=1,"true","false")</f>
        <v>false</v>
      </c>
      <c r="BZ180" s="25">
        <f>IF(_xlfn.XLOOKUP(B180,'Base stats'!B:B,'Base stats'!N:N)=1,"No",MAX(0.001,MIN(MROUND(IF(AND(BJ180="True",CC180="False"),POWER(10,3.47*LOG10(_xlfn.XLOOKUP(B180,'Base stats'!B:B,'Base stats'!C:C)*1000)^-0.96),POWER(10,4.15*LOG10(_xlfn.XLOOKUP(B180,'Base stats'!B:B,'Base stats'!C:C)*1000)^-0.73))*IF(_xlfn.XLOOKUP(B180,'Base stats'!B:B,'Base stats'!AK:AK)=1,0.5,1)*IF(_xlfn.XLOOKUP(B180,'Base stats'!B:B,'Base stats'!AM:AM)=1,0.1,1)/100,IF(_xlfn.XLOOKUP(B180,'Base stats'!B:B,'Base stats'!AM:AM)=1,0.001,0.025)),0.5)))</f>
        <v>7.0000000000000001E-3</v>
      </c>
      <c r="CA180" s="25" t="str">
        <f>IF(P180="Standard","No",MAX(0.001,MIN(MROUND(IF(AND(BJ180="True",CC180="False"),POWER(10,3.47*LOG10(_xlfn.XLOOKUP(B180,'Base stats'!B:B,'Base stats'!C:C)*1000)^-0.96),POWER(10,4.15*LOG10(_xlfn.XLOOKUP(B180,'Base stats'!B:B,'Base stats'!C:C)*1000)^-0.73))*IF(_xlfn.XLOOKUP(B180,'Base stats'!B:B,'Base stats'!AM:AM)=1,0.1,1)*_xlfn.XLOOKUP(B180,'Base stats'!B:B,'Base stats'!R:R)/100,IF(_xlfn.XLOOKUP(B180,'Base stats'!B:B,'Base stats'!AM:AM)=1,0.001,0.025)),0.5)))</f>
        <v>No</v>
      </c>
      <c r="CB180" s="25" t="str">
        <f>IF(_xlfn.XLOOKUP(_xlfn.XLOOKUP(B180,'Base stats'!B:B,'Base stats'!E:E),Groups!A:A,Groups!AJ:AJ)="Mammal","True","False")</f>
        <v>True</v>
      </c>
      <c r="CC180" s="25" t="str">
        <f>IF(OR(_xlfn.XLOOKUP(_xlfn.XLOOKUP(B180,'Base stats'!B:B,'Base stats'!E:E),Groups!A:A,Groups!AJ:AJ)="Reptile",_xlfn.XLOOKUP(_xlfn.XLOOKUP(B180,'Base stats'!B:B,'Base stats'!E:E),Groups!A:A,Groups!AJ:AJ)="Amphibian",_xlfn.XLOOKUP(_xlfn.XLOOKUP(B180,'Base stats'!B:B,'Base stats'!E:E),Groups!A:A,Groups!AJ:AJ)="Invertebrate"),"True","False")</f>
        <v>False</v>
      </c>
      <c r="CD180" s="25" t="str">
        <f t="shared" si="20"/>
        <v>False</v>
      </c>
      <c r="CE180" s="25" t="str">
        <f>IF(_xlfn.XLOOKUP(_xlfn.XLOOKUP(B180,'Base stats'!B:B,'Base stats'!E:E),Groups!A:A,Groups!AX:AX),"True","False")</f>
        <v>False</v>
      </c>
      <c r="CF180" s="25" t="str">
        <f>IF(_xlfn.XLOOKUP(_xlfn.XLOOKUP(B180,'Base stats'!B:B,'Base stats'!E:E),Groups!A:A,Groups!AY:AY),"True","False")</f>
        <v>False</v>
      </c>
      <c r="CG180" s="25" t="str">
        <f>IF(_xlfn.XLOOKUP(_xlfn.XLOOKUP(B180,'Base stats'!B:B,'Base stats'!E:E),Groups!A:A,Groups!AW:AW),"True","False")</f>
        <v>False</v>
      </c>
      <c r="CH180" s="25" t="str">
        <f>IF(
OR(
_xlfn.XLOOKUP(_xlfn.XLOOKUP(B180,'Base stats'!B:B,'Base stats'!E:E),Groups!A:A,Groups!AZ:AZ)=0,
AND(
_xlfn.XLOOKUP(B180,'Base stats'!B:B,'Base stats'!Y:Y)&lt;&gt;"Carnivore",
_xlfn.XLOOKUP(B180,'Base stats'!B:B,'Base stats'!Y:Y)&lt;&gt;"Omnivore",
_xlfn.XLOOKUP(B180,'Base stats'!B:B,'Base stats'!Y:Y)&lt;&gt;"OmnivoreRough"
)
),
"No",
IF(
_xlfn.XLOOKUP(_xlfn.XLOOKUP(B180,'Base stats'!B:B,'Base stats'!E:E),Groups!A:A,Groups!AZ:AZ)=1,
"Flesh",
IF(
_xlfn.XLOOKUP(_xlfn.XLOOKUP(B180,'Base stats'!B:B,'Base stats'!E:E),Groups!A:A,Groups!AZ:AZ)=2,
"Bone",
""
)
)
)</f>
        <v>No</v>
      </c>
      <c r="CI180" s="25" t="str">
        <f>IF(_xlfn.XLOOKUP(_xlfn.XLOOKUP(B180,'Base stats'!B:B,'Base stats'!E:E),Groups!A:A,Groups!BB:BB),"True","False")</f>
        <v>True</v>
      </c>
      <c r="CJ180" s="25" t="str">
        <f>IF(_xlfn.XLOOKUP(_xlfn.XLOOKUP(B180,'Base stats'!B:B,'Base stats'!E:E),Groups!A:A,Groups!BA:BA),"True","False")</f>
        <v>False</v>
      </c>
    </row>
    <row r="181" spans="1:88" ht="16.5" thickTop="1" thickBot="1" x14ac:dyDescent="0.3">
      <c r="A181" s="26" t="s">
        <v>1206</v>
      </c>
      <c r="B181" s="6" t="s">
        <v>1215</v>
      </c>
      <c r="C181" s="28" t="s">
        <v>1197</v>
      </c>
      <c r="D181" s="28" t="s">
        <v>1189</v>
      </c>
      <c r="E181" s="28" t="s">
        <v>673</v>
      </c>
      <c r="F181" s="28" t="s">
        <v>673</v>
      </c>
      <c r="G181" s="28" t="s">
        <v>673</v>
      </c>
      <c r="H181" s="2">
        <f>MROUND((
  (IF(AND(_xlfn.XLOOKUP(B181,'Base stats'!B:B,'Base stats'!AL:AL)=0,BI181="None",_xlfn.XLOOKUP(_xlfn.XLOOKUP(B181,'Base stats'!B:B,'Base stats'!E:E),Groups!A:A,Groups!B:B)=0), (18 + BR181 * 2.7) * 0.5,
    IF(AND(_xlfn.XLOOKUP(B181,'Base stats'!B:B,'Base stats'!AL:AL)=0,OR(AO181&lt;0.55,AND(BI181="Intermediate",_xlfn.XLOOKUP(_xlfn.XLOOKUP(B181,'Base stats'!B:B,'Base stats'!E:E),Groups!A:A,Groups!B:B)&lt;2))), (18 + BR181 * 2.7),
      IF(OR(BI181="Advanced",_xlfn.XLOOKUP(B181,'Base stats'!B:B,'Base stats'!AL:AL)=1,_xlfn.XLOOKUP(_xlfn.XLOOKUP(B181,'Base stats'!B:B,'Base stats'!E:E),Groups!A:A,Groups!B:B)=2), (18 + BR181 * 2.7) + 250, (18 + BR181 * 2.7))
    )
  ))
  + AO181 * 80
  + IF(COUNTIF(EggMilk!K$2:K$998, A181) &gt; 0, 125, 0)
  + IF(COUNTIF(EggMilk!P$2:P$998, A181) &gt; 0, 90, 0)
  + IF(COUNTIF(EggMilk!A$2:A$998, A181) &gt; 0, 90, 0)
)
* (0.8 + 0.4 * J181)
* 0.75,25)</f>
        <v>450</v>
      </c>
      <c r="I181" s="2">
        <f>MROUND(ROUNDDOWN(_xlfn.XLOOKUP(B181,'Base stats'!B:B,'Base stats'!L:L)/3.6/(23.3/11),1),0.5)</f>
        <v>9</v>
      </c>
      <c r="J181" s="2">
        <f>IF(OR(_xlfn.XLOOKUP(B181,'Base stats'!B:B,'Base stats'!AB:AB)=1,_xlfn.XLOOKUP(_xlfn.XLOOKUP(B181,'Base stats'!B:B,'Base stats'!E:E),Groups!A:A,Groups!C:C)="Untamable"),1,IF(_xlfn.XLOOKUP(B181,'Base stats'!B:B,'Base stats'!AL:AL)=1,0.99,MIN(MROUND((1-0.6282*EXP(-0.459*AO181))*_xlfn.XLOOKUP(_xlfn.XLOOKUP(B181,'Base stats'!B:B,'Base stats'!E:E),Groups!A:A,Groups!C:C)*IF(_xlfn.XLOOKUP(B181,'Base stats'!B:B,'Base stats'!O:O)=1,0.5,IF(_xlfn.XLOOKUP(B181,'Base stats'!B:B,'Base stats'!O:O)=2,0,1)),0.05),IF(AO181&gt;3.5,0.985,0.95))))</f>
        <v>0.65</v>
      </c>
      <c r="K181" s="2">
        <f>ROUNDUP(AO181*_xlfn.XLOOKUP(_xlfn.XLOOKUP(B181,'Base stats'!B:B,'Base stats'!E:E),Groups!A:A,Groups!E:E),0)</f>
        <v>1</v>
      </c>
      <c r="L181" s="2">
        <f>IF(OR(_xlfn.XLOOKUP(_xlfn.XLOOKUP(B181,'Base stats'!B:B,'Base stats'!E:E),Groups!A:A,Groups!F:F)=2,ISNUMBER(SEARCH("SeaIce",BX181)),ISNUMBER(SEARCH("IceSheet",BX181))),-50,IF(OR(ISNUMBER(SEARCH("GlacialPlain",BX181)),ISNUMBER(SEARCH("Tundra",BX181))),-40,IF(OR(ISNUMBER(SEARCH("Alpine",BX181)),ISNUMBER(SEARCH("BorealForest",BX181)),ISNUMBER(SEARCH("ColdBog",BX181))),-30,IF(OR(ISNUMBER(SEARCH("TemperateForest",BX181)),ISNUMBER(SEARCH("TemperateSwamp",BX181))),-20,IF(_xlfn.XLOOKUP(_xlfn.XLOOKUP(B181,'Base stats'!B:B,'Base stats'!E:E),Groups!A:A,Groups!F:F)=1,-15,IF(OR(ISNUMBER(SEARCH("Desert",BX181)),ISNUMBER(SEARCH("ExtremeDesert",BX181))),-10,IF(OR(ISNUMBER(SEARCH("Grasslands",BX181)),ISNUMBER(SEARCH("TropicalRainforest",BX181)),ISNUMBER(SEARCH("TropicalSwamp",BX181))),10,0)))))))-IF(CC181="False",MIN(IFERROR(MAX(MROUND(LOG10(_xlfn.XLOOKUP(B181,'Base stats'!B:B,'Base stats'!C:C)^(2/3))*10,5),5),5),30))-_xlfn.XLOOKUP(B181,'Base stats'!B:B,'Base stats'!P:P)+IF(CC181="True",5,0)</f>
        <v>-25</v>
      </c>
      <c r="M181" s="2">
        <f>IF(OR(_xlfn.XLOOKUP(_xlfn.XLOOKUP(B181,'Base stats'!B:B,'Base stats'!E:E),Groups!A:A,Groups!G:G)=2,ISNUMBER(SEARCH("Desert",BX181)),ISNUMBER(SEARCH("ExtremeDesert",BX181)),ISNUMBER(SEARCH("LavaField",BX181))),50,IF(ISNUMBER(SEARCH("Grasslands",BX181)),45,IF(OR(_xlfn.XLOOKUP(_xlfn.XLOOKUP(B181,'Base stats'!B:B,'Base stats'!E:E),Groups!A:A,Groups!G:G)=1,ISNUMBER(SEARCH("TropicalRainforest",BX181)),ISNUMBER(SEARCH("TropicalSwamp",BX181))),40,IF(OR(ISNUMBER(SEARCH("TemperateForest",BX181)),ISNUMBER(SEARCH("TemperateSwamp",BX181))),35,IF(OR(ISNUMBER(SEARCH("Alpine",BX181)),ISNUMBER(SEARCH("BorealForest",BX181)),ISNUMBER(SEARCH("ColdBog",BX181))),30,IF(ISNUMBER(OR(ISNUMBER(SEARCH("GlacialPlain",BX181)),SEARCH("Tundra",BX181))),25,IF(OR(ISNUMBER(SEARCH("SeaIce",BX181)),ISNUMBER(SEARCH("IceSheet",BX181)),ISNUMBER(SEARCH("TropicalSwamp",BX181))),10,35)))))))+_xlfn.XLOOKUP(B181,'Base stats'!B:B,'Base stats'!Q:Q)</f>
        <v>50</v>
      </c>
      <c r="N181" s="8" t="str">
        <f>IF(
_xlfn.XLOOKUP(
_xlfn.XLOOKUP(B181,'Base stats'!B:B,'Base stats'!E:E),
Groups!A:A,
Groups!L:L
)=1,
MIN(
MROUND(
IF(
_xlfn.XLOOKUP(B181,'Animals CE'!B:B,'Animals CE'!Z:Z)&lt;=1.5,
_xlfn.XLOOKUP(B181,'Animals CE'!B:B,'Animals CE'!Z:Z)/2+0.05,
0.8+
(_xlfn.XLOOKUP(B181,'Animals CE'!B:B,'Animals CE'!Z:Z)-1.5)
*0.02
),
0.05
),
200%
),
"No"
)</f>
        <v>No</v>
      </c>
      <c r="O181" s="8" t="str">
        <f>IF(
_xlfn.XLOOKUP(
_xlfn.XLOOKUP(B181,'Base stats'!B:B,'Base stats'!E:E),
Groups!A:A,
Groups!L:L
)=1,
MIN(
MROUND(
IF(
_xlfn.XLOOKUP(B181,'Animals CE'!B:B,'Animals CE'!AA:AA)&lt;=1.5,
_xlfn.XLOOKUP(B181,'Animals CE'!B:B,'Animals CE'!AA:AA)/2+0.05,
0.8+
(_xlfn.XLOOKUP(B181,'Animals CE'!B:B,'Animals CE'!AA:AA)-1.5)
*0.02
),
0.05
),
200%
),
"No"
)</f>
        <v>No</v>
      </c>
      <c r="P181" s="2" t="str">
        <f>_xlfn.XLOOKUP(B181,'Base stats'!B:B,'Base stats'!R:R)</f>
        <v>Standard</v>
      </c>
      <c r="Q181" s="13">
        <f>MROUND((LOG10(_xlfn.XLOOKUP(B181,'Base stats'!B:B,'Base stats'!AR:AR))*(AO181^0.5)+(_xlfn.XLOOKUP(B181,'Base stats'!B:B,'Base stats'!AR:AR)/1000)^(2/3)+_xlfn.XLOOKUP(B181,'Base stats'!B:B,'Base stats'!BA:BA)/2)+0.5,0.5)</f>
        <v>5</v>
      </c>
      <c r="R181" s="7">
        <f>IF(Q181="No","No",MAX(1,MROUND(_xlfn.XLOOKUP(B181,'Base stats'!B:B,'Base stats'!C:C)^0.165,0.05)))</f>
        <v>1.7000000000000002</v>
      </c>
      <c r="S181" s="13" t="str">
        <f>IF(_xlfn.XLOOKUP(_xlfn.XLOOKUP(B181,'Base stats'!B:B,'Base stats'!E:E),Groups!A:A,Groups!P:P)=0,"No",MROUND((LOG10(_xlfn.XLOOKUP(B181,'Base stats'!B:B,'Base stats'!AS:AS))*(AO181^0.5)+(_xlfn.XLOOKUP(B181,'Base stats'!B:B,'Base stats'!AS:AS)/1000)^(2/3)+_xlfn.XLOOKUP(B181,'Base stats'!B:B,'Base stats'!BA:BA))+_xlfn.XLOOKUP(B181,'Base stats'!B:B,'Base stats'!AY:AY)+0.5,0.5))</f>
        <v>No</v>
      </c>
      <c r="T181" s="7" t="str">
        <f>IF(S181="No","No",MAX(_xlfn.XLOOKUP(_xlfn.XLOOKUP(B181,'Base stats'!B:B,'Base stats'!E:E),Groups!A:A,Groups!Q:Q),MROUND(_xlfn.XLOOKUP(_xlfn.XLOOKUP(B181,'Base stats'!B:B,'Base stats'!E:E),Groups!A:A,Groups!Q:Q)*_xlfn.XLOOKUP(B181,'Base stats'!B:B,'Base stats'!C:C)^0.165,0.05)))</f>
        <v>No</v>
      </c>
      <c r="U181" s="7" t="str">
        <f>IF(S181="No","No",_xlfn.XLOOKUP(_xlfn.XLOOKUP(B181,'Base stats'!B:B,'Base stats'!E:E),Groups!A:A,Groups!R:R))</f>
        <v>No</v>
      </c>
      <c r="V181" s="7" t="str">
        <f>IF(S181="No","No",_xlfn.XLOOKUP(_xlfn.XLOOKUP(B181,'Base stats'!B:B,'Base stats'!E:E),Groups!A:A,Groups!S:S))</f>
        <v>No</v>
      </c>
      <c r="W181" s="7" t="str">
        <f>IF(S181="No","No",_xlfn.XLOOKUP(_xlfn.XLOOKUP(B181,'Base stats'!B:B,'Base stats'!E:E),Groups!A:A,Groups!T:T))</f>
        <v>No</v>
      </c>
      <c r="X181" s="13" t="str">
        <f>IF(_xlfn.XLOOKUP(B181,'Base stats'!B:B,'Base stats'!W:W)="No","No",MROUND((LOG10(_xlfn.XLOOKUP(B181,'Base stats'!B:B,'Base stats'!AU:AU))*(AO181^0.5)+(_xlfn.XLOOKUP(B181,'Base stats'!B:B,'Base stats'!AU:AU)/1000)^(2/3)+_xlfn.XLOOKUP(B181,'Base stats'!B:B,'Base stats'!AZ:AZ))+0.5+IF(_xlfn.XLOOKUP(_xlfn.XLOOKUP(B181,'Base stats'!B:B,'Base stats'!E:E),Groups!A:A,Groups!U:U)&lt;&gt;3,_xlfn.XLOOKUP(B181,'Base stats'!B:B,'Base stats'!BA:BA),0),0.5))</f>
        <v>No</v>
      </c>
      <c r="Y181" s="7" t="str">
        <f>IF(X181="No","No",MAX(_xlfn.XLOOKUP(_xlfn.XLOOKUP(B181,'Base stats'!B:B,'Base stats'!E:E),Groups!A:A,Groups!V:V),MROUND(_xlfn.XLOOKUP(_xlfn.XLOOKUP(B181,'Base stats'!B:B,'Base stats'!E:E),Groups!A:A,Groups!V:V)*_xlfn.XLOOKUP(B181,'Base stats'!B:B,'Base stats'!C:C)^0.165,0.05)))</f>
        <v>No</v>
      </c>
      <c r="Z181" s="7" t="str">
        <f>IF(X181="No","No",_xlfn.XLOOKUP(_xlfn.XLOOKUP(B181,'Base stats'!B:B,'Base stats'!E:E),Groups!A:A,Groups!W:W))</f>
        <v>No</v>
      </c>
      <c r="AA181" s="7" t="str">
        <f>IF(X181="No","No",_xlfn.XLOOKUP(_xlfn.XLOOKUP(B181,'Base stats'!B:B,'Base stats'!E:E),Groups!A:A,Groups!X:X))</f>
        <v>No</v>
      </c>
      <c r="AB181" s="7" t="str">
        <f>IF(X181="No","No",_xlfn.XLOOKUP(_xlfn.XLOOKUP(B181,'Base stats'!B:B,'Base stats'!E:E),Groups!A:A,Groups!Y:Y))</f>
        <v>No</v>
      </c>
      <c r="AC181" s="7" t="str">
        <f>_xlfn.XLOOKUP(Animals!B181,'Base stats'!B:B,'Base stats'!X:X)</f>
        <v>False</v>
      </c>
      <c r="AD181" s="13">
        <f>IF(_xlfn.XLOOKUP(B181,'Base stats'!B:B,'Base stats'!AT:AT)="No","No",MROUND((LOG10(_xlfn.XLOOKUP(B181,'Base stats'!B:B,'Base stats'!AT:AT))*(AO181^0.75)+(_xlfn.XLOOKUP(B181,'Base stats'!B:B,'Base stats'!AT:AT)/1000)^(2/3)+_xlfn.XLOOKUP(B181,'Base stats'!B:B,'Base stats'!AX:AX)+_xlfn.XLOOKUP(B181,'Base stats'!B:B,'Base stats'!BA:BA))+0.5,0.5))</f>
        <v>10</v>
      </c>
      <c r="AE181" s="7">
        <f>IF(AD181="No","No",MAX(_xlfn.XLOOKUP(_xlfn.XLOOKUP(B181,'Base stats'!B:B,'Base stats'!E:E),Groups!A:A,Groups!Z:Z),MROUND(_xlfn.XLOOKUP(_xlfn.XLOOKUP(B181,'Base stats'!B:B,'Base stats'!E:E),Groups!A:A,Groups!Z:Z)*_xlfn.XLOOKUP(B181,'Base stats'!B:B,'Base stats'!C:C)^0.165,0.05)))</f>
        <v>1.35</v>
      </c>
      <c r="AF181" s="7" t="str">
        <f>IF(AD181="No","No",_xlfn.XLOOKUP(_xlfn.XLOOKUP(B181,'Base stats'!B:B,'Base stats'!E:E),Groups!A:A,Groups!AA:AA))</f>
        <v>Teeth</v>
      </c>
      <c r="AG181" s="7" t="str">
        <f>IF(AD181="No","No",_xlfn.XLOOKUP(_xlfn.XLOOKUP(B181,'Base stats'!B:B,'Base stats'!E:E),Groups!A:A,Groups!AB:AB))</f>
        <v>canines</v>
      </c>
      <c r="AH181" s="7" t="str">
        <f>IF(AD181="No","No",_xlfn.XLOOKUP(_xlfn.XLOOKUP(B181,'Base stats'!B:B,'Base stats'!E:E),Groups!A:A,Groups!AC:AC))</f>
        <v>Bite</v>
      </c>
      <c r="AI181" s="13" t="str">
        <f>IF(_xlfn.XLOOKUP(_xlfn.XLOOKUP(B181,'Base stats'!B:B,'Base stats'!E:E),Groups!A:A,Groups!AD:AD)=0,"No",MROUND((LOG10(_xlfn.XLOOKUP(B181,'Base stats'!B:B,'Base stats'!AS:AS))*(AO181^0.75)+(_xlfn.XLOOKUP(B181,'Base stats'!B:B,'Base stats'!AS:AS)/1000)^(2/3)+_xlfn.XLOOKUP(B181,'Base stats'!B:B,'Base stats'!AY:AY)+_xlfn.XLOOKUP(B181,'Base stats'!B:B,'Base stats'!BA:BA))+0.5,0.5))</f>
        <v>No</v>
      </c>
      <c r="AJ181" s="7" t="str">
        <f>IF(AI181="No","No",MAX(_xlfn.XLOOKUP(_xlfn.XLOOKUP(B181,'Base stats'!B:B,'Base stats'!E:E),Groups!A:A,Groups!AE:AE),MROUND(_xlfn.XLOOKUP(_xlfn.XLOOKUP(B181,'Base stats'!B:B,'Base stats'!E:E),Groups!A:A,Groups!AE:AE)*IF(_xlfn.XLOOKUP(_xlfn.XLOOKUP(B181,'Base stats'!B:B,'Base stats'!E:E),Groups!A:A,Groups!AJ:AJ)="Photonozoa",0.6,1)*_xlfn.XLOOKUP(B181,'Base stats'!B:B,'Base stats'!C:C)^0.165,0.05)))</f>
        <v>No</v>
      </c>
      <c r="AK181" s="7" t="str">
        <f>IF(AI181="No","No",_xlfn.XLOOKUP(_xlfn.XLOOKUP(B181,'Base stats'!B:B,'Base stats'!E:E),Groups!A:A,Groups!AF:AF))</f>
        <v>No</v>
      </c>
      <c r="AL181" s="7" t="str">
        <f>IF(AI181="No","No",_xlfn.XLOOKUP(_xlfn.XLOOKUP(B181,'Base stats'!B:B,'Base stats'!E:E),Groups!A:A,Groups!AG:AG))</f>
        <v>No</v>
      </c>
      <c r="AM181" s="7" t="str">
        <f>IF(AI181="No","No",_xlfn.XLOOKUP(_xlfn.XLOOKUP(B181,'Base stats'!B:B,'Base stats'!E:E),Groups!A:A,Groups!AH:AH))</f>
        <v>No</v>
      </c>
      <c r="AN181" s="2">
        <f t="shared" si="14"/>
        <v>20</v>
      </c>
      <c r="AO181" s="2">
        <f>MROUND(IF(AND(_xlfn.XLOOKUP(B181,'Base stats'!B:B,'Base stats'!C:C)&gt;=0.5,_xlfn.XLOOKUP(B181,'Base stats'!B:B,'Base stats'!C:C)&lt;=0.8),
IF(_xlfn.XLOOKUP(B181,'Base stats'!B:B,'Base stats'!C:C)&lt;0.1,0.05,IF(_xlfn.XLOOKUP(B181,'Base stats'!B:B,'Base stats'!C:C)&lt;=70,(_xlfn.XLOOKUP(B181,'Base stats'!B:B,'Base stats'!C:C)/70)^0.426489913056526,IF(_xlfn.XLOOKUP(B181,'Base stats'!B:B,'Base stats'!C:C)&lt;=400,(_xlfn.XLOOKUP(B181,'Base stats'!B:B,'Base stats'!C:C)/70)^0.572811455315093,IF(_xlfn.XLOOKUP(B181,'Base stats'!B:B,'Base stats'!C:C)&lt;=2000,2.71391647193063*(_xlfn.XLOOKUP(B181,'Base stats'!B:B,'Base stats'!C:C)/400)^0.252459582904293,3.74314280240376*(_xlfn.XLOOKUP(B181,'Base stats'!B:B,'Base stats'!C:C)/2000)^0.357012633876913)))),
IF(_xlfn.XLOOKUP(B181,'Base stats'!B:B,'Base stats'!C:C)&lt;0.1,0.05,IF(_xlfn.XLOOKUP(B181,'Base stats'!B:B,'Base stats'!C:C)&lt;0.4,0.1,IF(_xlfn.XLOOKUP(B181,'Base stats'!B:B,'Base stats'!C:C)&lt;=70,(_xlfn.XLOOKUP(B181,'Base stats'!B:B,'Base stats'!C:C)/70)^0.445823913056526,IF(_xlfn.XLOOKUP(B181,'Base stats'!B:B,'Base stats'!C:C)&lt;=400,(_xlfn.XLOOKUP(B181,'Base stats'!B:B,'Base stats'!C:C)/70)^0.572811455315093,IF(_xlfn.XLOOKUP(B181,'Base stats'!B:B,'Base stats'!C:C)&lt;=2000,2.71391647193063*(_xlfn.XLOOKUP(B181,'Base stats'!B:B,'Base stats'!C:C)/400)^0.252459582904293,3.74314280240376*(_xlfn.XLOOKUP(B181,'Base stats'!B:B,'Base stats'!C:C)/2000)^0.357012633876913)))))),
IF(_xlfn.XLOOKUP(B181,'Base stats'!B:B,'Base stats'!C:C)&lt;0.1,0.05,IF(_xlfn.XLOOKUP(B181,'Base stats'!B:B,'Base stats'!C:C)&lt;=100,0.05,IF(_xlfn.XLOOKUP(B181,'Base stats'!B:B,'Base stats'!C:C)&lt;=250,0.1,IF(_xlfn.XLOOKUP(B181,'Base stats'!B:B,'Base stats'!C:C)&lt;=4000,0.25,0.5)))))</f>
        <v>0.65</v>
      </c>
      <c r="AP181" s="8">
        <f>MROUND(AO181*_xlfn.XLOOKUP(_xlfn.XLOOKUP(B181,'Base stats'!B:B,'Base stats'!E:E),Groups!A:A,Groups!AI:AI)*_xlfn.XLOOKUP(B181,'Base stats'!B:B,'Base stats'!Z:Z),0.05)</f>
        <v>0.8</v>
      </c>
      <c r="AQ181" s="8">
        <f>MAX(0.01,MROUND(IF(CC181="True",0.196*(AO181*100*1000)^0.889,IF(_xlfn.XLOOKUP(_xlfn.XLOOKUP(B181,'Base stats'!B:B,'Base stats'!E:E),Groups!A:A,Groups!AJ:AJ)="Bird",10.5*(AO181*100*1000)^0.681,4.82*(AO181*100*1000)^0.734))/(4.82*(1*100*1000)^0.734)/IF(AO181&lt;3.5,2,IF(AO181=3.5,1.5,1.25))*(1+0.132282374779864/(AO181^0.994035016789033+0.00905238001496948)),0.05))</f>
        <v>0.45</v>
      </c>
      <c r="AR181" s="9">
        <f>IFERROR(MROUND(_xlfn.XLOOKUP(B181,'Base stats'!B:B,'Base stats'!H:H)/IF(_xlfn.XLOOKUP(B181,'Base stats'!B:B,'Base stats'!I:I)&lt;&gt;1,(122.5/70),1.2),IF(_xlfn.XLOOKUP(B181,'Base stats'!B:B,'Base stats'!H:H)&gt;=30,5,IF(_xlfn.XLOOKUP(B181,'Base stats'!B:B,'Base stats'!H:H)&gt;=15,3,IF(_xlfn.XLOOKUP(B181,'Base stats'!B:B,'Base stats'!H:H)&gt;=10,2,1)))),"Immortal")</f>
        <v>9</v>
      </c>
      <c r="AS181" s="35">
        <f>IFERROR(IF(OR(_xlfn.XLOOKUP(B181,'Base stats'!B:B,'Base stats'!F:F)="Atypical reproduction",_xlfn.XLOOKUP(B181,'Base stats'!B:B,'Base stats'!F:F)="Lay eggs"),"Lay eggs",MIN(20,MAX(5.5,ROUND(((_xlfn.XLOOKUP(B181,'Base stats'!B:B,'Base stats'!F:F)-25)*(14.5/615) + 5.5)*2,0)/2))),"Unknown")</f>
        <v>6.5</v>
      </c>
      <c r="AT181" s="8">
        <f>IF(_xlfn.XLOOKUP(B181,'Base stats'!B:B,'Base stats'!G:G)="Atypical reproduction","No",IFERROR(MAX(IF(_xlfn.XLOOKUP(B181,'Base stats'!B:B,'Base stats'!G:G)&lt;0.5,0.2,0.3),MROUND(_xlfn.XLOOKUP(B181,'Base stats'!B:B,'Base stats'!G:G)/(365/60),0.2)),"Unknown"))</f>
        <v>0.3</v>
      </c>
      <c r="AU181" s="8">
        <f t="shared" si="15"/>
        <v>0.15000000000000002</v>
      </c>
      <c r="AV181" s="8">
        <f>IFERROR(IFERROR(MROUND(_xlfn.XLOOKUP(B181,'Base stats'!B:B,'Base stats'!J:J),0.1),"Lay eggs"),"Cannot breed")</f>
        <v>8</v>
      </c>
      <c r="AW181" s="2" t="str">
        <f t="shared" si="16"/>
        <v>true</v>
      </c>
      <c r="AX181" s="2" t="str">
        <f>IF(_xlfn.XLOOKUP(_xlfn.XLOOKUP(Animals!B181,'Base stats'!B:B,'Base stats'!E:E),Groups!A:A,Groups!AK:AK)=1,"true","false")</f>
        <v>false</v>
      </c>
      <c r="AY181" s="25" t="str">
        <f>IF(_xlfn.XLOOKUP(B181,'Base stats'!B:B,'Base stats'!Y:Y)="Liquor","Liquor, CarnivoreAnimalStrict",IF(AND(_xlfn.XLOOKUP(B181,'Base stats'!B:B,'Base stats'!Y:Y)="Carnivore",_xlfn.XLOOKUP(_xlfn.XLOOKUP(B181,'Base stats'!B:B,'Base stats'!E:E),Groups!A:A,Groups!AJ:AJ)="Photonozoa"),"CarnivoreAnimalStrict, OvivoreAnimal",IF(_xlfn.XLOOKUP(B181,'Base stats'!B:B,'Base stats'!Y:Y)="Carnivore","CarnivoreAnimal, OvivoreAnimal",IF(_xlfn.XLOOKUP(B181,'Base stats'!B:B,'Base stats'!Y:Y)="Dendrovore","VegetarianRoughAnimal, DendrovoreAnimal",IF(_xlfn.XLOOKUP(B181,'Base stats'!B:B,'Base stats'!Y:Y)="Herbivore","VegetarianRoughAnimal",IF(_xlfn.XLOOKUP(B181,'Base stats'!B:B,'Base stats'!Y:Y)="OmnivoreRough","OmnivoreRoughAnimal, OvivoreAnimal","OmnivoreAnimal, OvivoreAnimal"))))))</f>
        <v>CarnivoreAnimal, OvivoreAnimal</v>
      </c>
      <c r="AZ181" s="2" t="str">
        <f>IF(_xlfn.XLOOKUP(_xlfn.XLOOKUP(B181,'Base stats'!B:B,'Base stats'!E:E),Groups!A:A,Groups!D:D)=1,MROUND((1-J181)*5+1,2)*IF(J181&lt;=0.4,2,1),"No")</f>
        <v>No</v>
      </c>
      <c r="BA181" s="2" t="str">
        <f>IF(AND(_xlfn.XLOOKUP(B181,'Base stats'!B:B,'Base stats'!AH:AH)="&lt;li&gt;Seal&lt;/li&gt;",G181="Odyssey"),"&lt;li&gt;AEXP_Seal&lt;/li&gt;",_xlfn.XLOOKUP(B181,'Base stats'!B:B,'Base stats'!AH:AH))</f>
        <v>&lt;li&gt;YorkshireTerrier&lt;/li&gt;</v>
      </c>
      <c r="BB181" s="2" t="str">
        <f>_xlfn.XLOOKUP(B181,'Base stats'!B:B,'Base stats'!AG:AG)</f>
        <v>Leather_Dog</v>
      </c>
      <c r="BC181" s="23" t="str">
        <f>_xlfn.XLOOKUP(_xlfn.XLOOKUP(B181,'Base stats'!B:B,'Base stats'!E:E),Groups!A:A,Groups!AL:AL)</f>
        <v>QuadrupedAnimalWithPawsAndTail</v>
      </c>
      <c r="BD181" s="23">
        <f>MIN(1,MROUND(IF(AND(AO181&lt;0.5,_xlfn.XLOOKUP(B181,'Base stats'!B:B,'Base stats'!AA:AA)=0),0,IF(OR(_xlfn.XLOOKUP(Animals!B181,'Base stats'!B:B,'Base stats'!O:O)=2,_xlfn.XLOOKUP(_xlfn.XLOOKUP(B181,'Base stats'!B:B,'Base stats'!E:E),Groups!A:A,Groups!AN:AN)=0),0,_xlfn.XLOOKUP(_xlfn.XLOOKUP(B181,'Base stats'!B:B,'Base stats'!E:E),Groups!A:A,Groups!AN:AN)/IF(_xlfn.XLOOKUP(Animals!B181,'Base stats'!B:B,'Base stats'!O:O)=1,2,1)))+_xlfn.XLOOKUP(B181,'Base stats'!B:B,'Base stats'!AC:AC),0.005))</f>
        <v>0.1</v>
      </c>
      <c r="BE181" s="23">
        <f>MIN(1,MROUND(IF(AND(AO181&lt;0.5,_xlfn.XLOOKUP(B181,'Base stats'!B:B,'Base stats'!AA:AA)=0),0,IF(_xlfn.XLOOKUP(_xlfn.XLOOKUP(B181,'Base stats'!B:B,'Base stats'!E:E),Groups!A:A,Groups!AO:AO)=0,0,_xlfn.XLOOKUP(_xlfn.XLOOKUP(B181,'Base stats'!B:B,'Base stats'!E:E),Groups!A:A,Groups!AO:AO)/IF(_xlfn.XLOOKUP(Animals!B181,'Base stats'!B:B,'Base stats'!O:O)=2,3,1)))+_xlfn.XLOOKUP(B181,'Base stats'!B:B,'Base stats'!AD:AD),0.005))</f>
        <v>0.3</v>
      </c>
      <c r="BF181" s="2" t="str">
        <f>IF(J181&gt;0.3,"No",_xlfn.XLOOKUP(_xlfn.XLOOKUP(Animals!B181,'Base stats'!B:B,'Base stats'!E:E),Groups!A:A,Groups!AP:AP))</f>
        <v>No</v>
      </c>
      <c r="BG181" s="2">
        <f>IF(AND(J181&lt;=0.65,_xlfn.XLOOKUP(_xlfn.XLOOKUP(Animals!B181,'Base stats'!B:B,'Base stats'!E:E),Groups!A:A,Groups!AP:AP)&lt;&gt;"No",_xlfn.XLOOKUP(_xlfn.XLOOKUP(B181,'Base stats'!B:B,'Base stats'!E:E),Groups!A:A,Groups!D:D)=0),MROUND((80/3)*IF(_xlfn.XLOOKUP(B181,'Base stats'!B:B,'Base stats'!O:O)=2,0.2,AO181) + 24*(1-IF(BF181="No",0,BF181)) + 16/3, 12),"No")</f>
        <v>48</v>
      </c>
      <c r="BH181" s="2">
        <f>IF(AND(_xlfn.XLOOKUP(_xlfn.XLOOKUP(B181,'Base stats'!B:B,'Base stats'!E:E),Groups!A:A,Groups!AQ:AQ)=1,AO181&lt;=0.35),8,12)</f>
        <v>12</v>
      </c>
      <c r="BI181" s="2" t="str">
        <f>IF(_xlfn.XLOOKUP(_xlfn.XLOOKUP(B181,'Base stats'!B:B,'Base stats'!E:E),Groups!A:A,Groups!D:D)=0,_xlfn.XLOOKUP(_xlfn.XLOOKUP(B181,'Base stats'!B:B,'Base stats'!E:E),Groups!A:A,Groups!AR:AR),"None")</f>
        <v>Advanced</v>
      </c>
      <c r="BJ181" s="2" t="str">
        <f>IF(AND(_xlfn.XLOOKUP(_xlfn.XLOOKUP(B181,'Base stats'!B:B,'Base stats'!E:E),Groups!A:A,Groups!AS:AS)=1,OR(_xlfn.XLOOKUP(B181,'Base stats'!B:B,'Base stats'!Y:Y)="Carnivore",_xlfn.XLOOKUP(B181,'Base stats'!B:B,'Base stats'!Y:Y)="Omnivore")),"true","false")</f>
        <v>true</v>
      </c>
      <c r="BK181" s="2">
        <f>IF(BJ181="true",MROUND(IF(AND(AO181&gt;0.5,OR(_xlfn.XLOOKUP(_xlfn.XLOOKUP(B181,'Base stats'!B:B,'Base stats'!E:E),Groups!A:A,Groups!AJ:AJ)="Photonozoa",_xlfn.XLOOKUP(_xlfn.XLOOKUP(B181,'Base stats'!B:B,'Base stats'!E:E),Groups!A:A,Groups!AJ:AJ)="Mammal")),Animals!AO181*1.75*IF(AW181="true",1.5,1),IF(AO181&lt;0.5,Animals!AO181*0.5,Animals!AO181)),IF(AO181&gt;2,0.5,IF(AO181&gt;0.5,0.25,0.1))),"No")</f>
        <v>1.75</v>
      </c>
      <c r="BL181" s="2">
        <f t="shared" si="17"/>
        <v>1</v>
      </c>
      <c r="BM181" s="25" t="str">
        <f>IF(_xlfn.XLOOKUP(B181,'Base stats'!B:B,'Base stats'!AN:AN)="Standard","No",MROUND((_xlfn.XLOOKUP(B181,'Base stats'!B:B,'Base stats'!AN:AN)/3.6)/I181,0.1))</f>
        <v>No</v>
      </c>
      <c r="BN181" s="25" t="str">
        <f t="shared" si="18"/>
        <v>false</v>
      </c>
      <c r="BO181" s="25" t="str">
        <f>IF(AND(OR(_xlfn.XLOOKUP(B181,'Base stats'!B:B,'Base stats'!Y:Y)="Carnivore",_xlfn.XLOOKUP(B181,'Base stats'!B:B,'Base stats'!Y:Y)="Omnivore",_xlfn.XLOOKUP(B181,'Base stats'!B:B,'Base stats'!Y:Y)="OmnivoreRough"),_xlfn.XLOOKUP(_xlfn.XLOOKUP(B181,'Base stats'!B:B,'Base stats'!E:E),Groups!A:A,Groups!AT:AT)=1),"true","false")</f>
        <v>false</v>
      </c>
      <c r="BP181" s="25" t="str" cm="1">
        <f t="array" ref="BP181">IF(
  _xlfn.TEXTJOIN(", ",TRUE,
    IF(AND(BJ181="true",AO181&gt;0.5,BI181&lt;&gt;"None"),"AttackTarget",""),
    IF(AND(_xlfn.XLOOKUP(_xlfn.XLOOKUP(B181,'Base stats'!B:B,'Base stats'!E:E),Groups!A:A,Groups!AJ:AJ="Mammal"),OR(_xlfn.XLOOKUP(B181,'Base stats'!B:B,'Base stats'!Y:Y)="Omnivore",_xlfn.XLOOKUP(B181,'Base stats'!B:B,'Base stats'!Y:Y)="OmnivoreRough")),"Forage",""),
    IF(BG181&lt;=36,"Comfort",""),
    IF(_xlfn.XLOOKUP(B181,'Base stats'!B:B,'Base stats'!AE:AE)&lt;&gt;"No",_xlfn.XLOOKUP(B181,'Base stats'!B:B,'Base stats'!AE:AE),"")
  ) = "",
  "No",
  _xlfn.TEXTJOIN(", ",TRUE,
    IF(AND(BJ181="true",AO181&gt;0.5,BI181&lt;&gt;"None"),"AttackTarget",""),
    IF(AND(_xlfn.XLOOKUP(_xlfn.XLOOKUP(B181,'Base stats'!B:B,'Base stats'!E:E),Groups!A:A,Groups!AJ:AJ="Mammal"),OR(_xlfn.XLOOKUP(B181,'Base stats'!B:B,'Base stats'!Y:Y)="Omnivore",_xlfn.XLOOKUP(B181,'Base stats'!B:B,'Base stats'!Y:Y)="OmnivoreRough")),"Forage",""),
    IF(BG181&lt;=36,"Comfort",""),
    IF(_xlfn.XLOOKUP(B181,'Base stats'!B:B,'Base stats'!AE:AE)&lt;&gt;"No",_xlfn.XLOOKUP(B181,'Base stats'!B:B,'Base stats'!AE:AE),"")
  )
)</f>
        <v>AttackTarget</v>
      </c>
      <c r="BQ181" s="25" t="str">
        <f>IF(
   AND(
      'Base stats'!AN181="Standard",_xlfn.XLOOKUP(_xlfn.XLOOKUP(B181,'Base stats'!B:B,'Base stats'!E:E),Groups!A:A,Groups!AU:AU)=0,
      OR(
      BO181="True"
      )
   ),
   10,
   IF(
       OR(BM181&lt;&gt;"No",_xlfn.XLOOKUP(_xlfn.XLOOKUP(B181,'Base stats'!B:B,'Base stats'!E:E),Groups!A:A,Groups!AU:AU)=1),
      1,
      "No"
   )
)</f>
        <v>No</v>
      </c>
      <c r="BR181" s="9">
        <f>MROUND((1 + ((0.2*IF(OR(Q181="No",R181="No",R181=0),0,Q181/R181)
+IF(OR(V181="No",S181="No",T181="No"),0,S181/T181*(LEN(V181)-LEN(SUBSTITUTE(V181,",",""))+1))
+IF(OR(X181="No",Y181="No"),0,X181/Y181)
+IF(OR(AD181="No",AE181="No"),0,AD181/AE181)
+IF(OR(AL181="No",AI181="No",AJ181="No"),0,AI181/AJ181*(LEN(AL181)-LEN(SUBSTITUTE(AL181,",",""))+1))
)/(0.2*IF(OR(Q181="No",R181="No",R181=0),0,1)
+IF(OR(V181="No",S181="No",T181="No"),0,LEN(V181)-LEN(SUBSTITUTE(V181,",",""))+1)
+IF(OR(X181="No",Y181="No"),0,1)
+IF(OR(AD181="No",AE181="No"),0,1)
+IF(OR(AL181="No",AI181="No",AJ181="No"),0,LEN(AL181)-LEN(SUBSTITUTE(AL181,",",""))+1))*62%)* 2)*(1 + (AP181 / (IF(_xlfn.XLOOKUP(_xlfn.XLOOKUP(B181,'Base stats'!B:B,'Base stats'!E:E),Groups!A:A,Groups!AJ:AJ)="Photonozoa",0.3,1)) + _xlfn.XLOOKUP(B181,'Base stats'!B:B,'Base stats'!AV:AV) * 1.8) * 2) * 2.5 + 10 + I181 * 2,5)+IF(_xlfn.XLOOKUP(B181,'Base stats'!B:B,'Base stats'!AK:AK)=1,50,0)</f>
        <v>90</v>
      </c>
      <c r="BS181" s="8">
        <f t="shared" si="19"/>
        <v>0.5</v>
      </c>
      <c r="BT181" s="8" t="str">
        <f>_xlfn.XLOOKUP(B181,'Base stats'!B:B,'Base stats'!AF:AF)</f>
        <v>3~6</v>
      </c>
      <c r="BU181" s="2" t="str">
        <f>IF(AND(J181&lt;=0.95,OR(_xlfn.XLOOKUP(B181,'Base stats'!B:B,'Base stats'!AK:AK)=1,_xlfn.XLOOKUP(B181,'Base stats'!B:B,'Base stats'!Y:Y)="Carnivore",_xlfn.XLOOKUP(B181,'Base stats'!B:B,'Base stats'!Y:Y)="Omnivore",BE181&gt;0.1)),"true","false")</f>
        <v>true</v>
      </c>
      <c r="BV181" s="2" t="str">
        <f>IF(_xlfn.XLOOKUP(B181,'Base stats'!B:B,'Base stats'!AI:AI)=1,"true","false")</f>
        <v>false</v>
      </c>
      <c r="BW181" s="25" t="str">
        <f>IF(E181="BaseInsect","AnimalInsect",
IF(J181&gt;0.95,"AnimalExotic",
_xlfn.TEXTJOIN(", ",TRUE,
IF(OR(_xlfn.XLOOKUP(B181,'Base stats'!B:B,'Base stats'!AM:AM)=1,AND(_xlfn.XLOOKUP(B181,'Base stats'!B:B,'Base stats'!O:O)=0,_xlfn.XLOOKUP(_xlfn.XLOOKUP(B181,'Base stats'!B:B,'Base stats'!E:E),Groups!A:A,Groups!B:B)&gt;0)),"AnimalUncommon","AnimalCommon"),
IF(AND(_xlfn.XLOOKUP(B181,'Base stats'!B:B,'Base stats'!O:O)=2,_xlfn.XLOOKUP(_xlfn.XLOOKUP(B181,'Base stats'!B:B,'Base stats'!E:E),Groups!A:A,Groups!D:D)=0),"AnimalPet",IF(AND(_xlfn.XLOOKUP(B181,'Base stats'!B:B,'Base stats'!O:O)&lt;&gt;0,_xlfn.XLOOKUP(_xlfn.XLOOKUP(B181,'Base stats'!B:B,'Base stats'!E:E),Groups!A:A,Groups!D:D)&lt;&gt;0),"AnimalFarm","")),
IF(OR(_xlfn.XLOOKUP(B181,'Base stats'!B:B,'Base stats'!AK:AK)=1,AND(BI181&lt;&gt;"None",BR181&gt;=60),ISNUMBER(SEARCH("Attack target",BP181))),"AnimalFighter","")
)))</f>
        <v>AnimalUncommon, AnimalFighter</v>
      </c>
      <c r="BX181" s="25" t="str">
        <f>IF(G181="None",TRIM(
SUBSTITUTE(
IF(COUNTIF(Biomes!B$2:B$259,"="&amp;$C181)&gt;0,Biomes!B$1&amp;", ","")&amp;
IF(COUNTIF(Biomes!C$2:C$259,"="&amp;$C181)&gt;0,Biomes!C$1&amp;", ","")&amp;
IF(COUNTIF(Biomes!D$2:D$259,"="&amp;$C181)&gt;0,Biomes!D$1&amp;", ","")&amp;
IF(COUNTIF(Biomes!F$2:F$259,"="&amp;$C181)&gt;0,Biomes!F$1&amp;", ","")&amp;
IF(COUNTIF(Biomes!G$2:G$259,"="&amp;$C181)&gt;0,Biomes!G$1&amp;", ","")&amp;
IF(COUNTIF(Biomes!H$2:H$259,"="&amp;$C181)&gt;0,Biomes!H$1&amp;", ","")&amp;
IF(COUNTIF(Biomes!I$2:I$259,"="&amp;$C181)&gt;0,Biomes!I$1&amp;", ","")&amp;
IF(COUNTIF(Biomes!J$2:J$259,"="&amp;$C181)&gt;0,Biomes!J$1&amp;", ","")&amp;
IF(COUNTIF(Biomes!M$2:M$259,"="&amp;$C181)&gt;0,Biomes!M$1&amp;", ","")&amp;
IF(COUNTIF(Biomes!N$2:N$259,"="&amp;$C181)&gt;0,Biomes!N$1&amp;", ","")&amp;
IF(COUNTIF(Biomes!O$2:O$259,"="&amp;$C181)&gt;0,Biomes!O$1&amp;", ","")&amp;
IF(COUNTIF(Biomes!P$2:P$259,"="&amp;$C181)&gt;0,Biomes!P$1&amp;", ","")&amp;
IF(COUNTIF(Biomes!K$2:K$259,"="&amp;$C181)&gt;0,Biomes!K$1&amp;", ","")&amp;
IF(COUNTIF(Biomes!Q$3:Q$259,"="&amp;$C181)&gt;0,Biomes!Q$1&amp;", ","")&amp;
IF(COUNTIF(Biomes!L$2:L$259,"="&amp;$C181)&gt;0,Biomes!L$1&amp;", ","")&amp;
IF(COUNTIF(Biomes!E$2:E$259,"="&amp;$C181)&gt;0,Biomes!E$1&amp;", ","")&amp;IF(COUNTIF(Biomes!S$2:S$259,"="&amp;$C181)&gt;0,Biomes!S$1&amp;", ","")&amp;
IF(COUNTIF(Biomes!R$2:R$259,"="&amp;$C181)&gt;0,Biomes!R$1&amp;", ",""),", ","")
),_xlfn.XLOOKUP(B181,B:B,BX:BX))</f>
        <v>AridShrubland Desert Grasslands LavaField</v>
      </c>
      <c r="BY181" s="25" t="str">
        <f>IF(_xlfn.XLOOKUP(B181,'Base stats'!B:B,'Base stats'!AJ:AJ)=1,"true","false")</f>
        <v>false</v>
      </c>
      <c r="BZ181" s="25">
        <f>IF(_xlfn.XLOOKUP(B181,'Base stats'!B:B,'Base stats'!N:N)=1,"No",MAX(0.001,MIN(MROUND(IF(AND(BJ181="True",CC181="False"),POWER(10,3.47*LOG10(_xlfn.XLOOKUP(B181,'Base stats'!B:B,'Base stats'!C:C)*1000)^-0.96),POWER(10,4.15*LOG10(_xlfn.XLOOKUP(B181,'Base stats'!B:B,'Base stats'!C:C)*1000)^-0.73))*IF(_xlfn.XLOOKUP(B181,'Base stats'!B:B,'Base stats'!AK:AK)=1,0.5,1)*IF(_xlfn.XLOOKUP(B181,'Base stats'!B:B,'Base stats'!AM:AM)=1,0.1,1)/100,IF(_xlfn.XLOOKUP(B181,'Base stats'!B:B,'Base stats'!AM:AM)=1,0.001,0.025)),0.5)))</f>
        <v>7.0000000000000001E-3</v>
      </c>
      <c r="CA181" s="25" t="str">
        <f>IF(P181="Standard","No",MAX(0.001,MIN(MROUND(IF(AND(BJ181="True",CC181="False"),POWER(10,3.47*LOG10(_xlfn.XLOOKUP(B181,'Base stats'!B:B,'Base stats'!C:C)*1000)^-0.96),POWER(10,4.15*LOG10(_xlfn.XLOOKUP(B181,'Base stats'!B:B,'Base stats'!C:C)*1000)^-0.73))*IF(_xlfn.XLOOKUP(B181,'Base stats'!B:B,'Base stats'!AM:AM)=1,0.1,1)*_xlfn.XLOOKUP(B181,'Base stats'!B:B,'Base stats'!R:R)/100,IF(_xlfn.XLOOKUP(B181,'Base stats'!B:B,'Base stats'!AM:AM)=1,0.001,0.025)),0.5)))</f>
        <v>No</v>
      </c>
      <c r="CB181" s="25" t="str">
        <f>IF(_xlfn.XLOOKUP(_xlfn.XLOOKUP(B181,'Base stats'!B:B,'Base stats'!E:E),Groups!A:A,Groups!AJ:AJ)="Mammal","True","False")</f>
        <v>True</v>
      </c>
      <c r="CC181" s="25" t="str">
        <f>IF(OR(_xlfn.XLOOKUP(_xlfn.XLOOKUP(B181,'Base stats'!B:B,'Base stats'!E:E),Groups!A:A,Groups!AJ:AJ)="Reptile",_xlfn.XLOOKUP(_xlfn.XLOOKUP(B181,'Base stats'!B:B,'Base stats'!E:E),Groups!A:A,Groups!AJ:AJ)="Amphibian",_xlfn.XLOOKUP(_xlfn.XLOOKUP(B181,'Base stats'!B:B,'Base stats'!E:E),Groups!A:A,Groups!AJ:AJ)="Invertebrate"),"True","False")</f>
        <v>False</v>
      </c>
      <c r="CD181" s="25" t="str">
        <f t="shared" si="20"/>
        <v>False</v>
      </c>
      <c r="CE181" s="25" t="str">
        <f>IF(_xlfn.XLOOKUP(_xlfn.XLOOKUP(B181,'Base stats'!B:B,'Base stats'!E:E),Groups!A:A,Groups!AX:AX),"True","False")</f>
        <v>False</v>
      </c>
      <c r="CF181" s="25" t="str">
        <f>IF(_xlfn.XLOOKUP(_xlfn.XLOOKUP(B181,'Base stats'!B:B,'Base stats'!E:E),Groups!A:A,Groups!AY:AY),"True","False")</f>
        <v>False</v>
      </c>
      <c r="CG181" s="25" t="str">
        <f>IF(_xlfn.XLOOKUP(_xlfn.XLOOKUP(B181,'Base stats'!B:B,'Base stats'!E:E),Groups!A:A,Groups!AW:AW),"True","False")</f>
        <v>False</v>
      </c>
      <c r="CH181" s="25" t="str">
        <f>IF(
OR(
_xlfn.XLOOKUP(_xlfn.XLOOKUP(B181,'Base stats'!B:B,'Base stats'!E:E),Groups!A:A,Groups!AZ:AZ)=0,
AND(
_xlfn.XLOOKUP(B181,'Base stats'!B:B,'Base stats'!Y:Y)&lt;&gt;"Carnivore",
_xlfn.XLOOKUP(B181,'Base stats'!B:B,'Base stats'!Y:Y)&lt;&gt;"Omnivore",
_xlfn.XLOOKUP(B181,'Base stats'!B:B,'Base stats'!Y:Y)&lt;&gt;"OmnivoreRough"
)
),
"No",
IF(
_xlfn.XLOOKUP(_xlfn.XLOOKUP(B181,'Base stats'!B:B,'Base stats'!E:E),Groups!A:A,Groups!AZ:AZ)=1,
"Flesh",
IF(
_xlfn.XLOOKUP(_xlfn.XLOOKUP(B181,'Base stats'!B:B,'Base stats'!E:E),Groups!A:A,Groups!AZ:AZ)=2,
"Bone",
""
)
)
)</f>
        <v>No</v>
      </c>
      <c r="CI181" s="25" t="str">
        <f>IF(_xlfn.XLOOKUP(_xlfn.XLOOKUP(B181,'Base stats'!B:B,'Base stats'!E:E),Groups!A:A,Groups!BB:BB),"True","False")</f>
        <v>True</v>
      </c>
      <c r="CJ181" s="25" t="str">
        <f>IF(_xlfn.XLOOKUP(_xlfn.XLOOKUP(B181,'Base stats'!B:B,'Base stats'!E:E),Groups!A:A,Groups!BA:BA),"True","False")</f>
        <v>False</v>
      </c>
    </row>
    <row r="182" spans="1:88" ht="16.5" thickTop="1" thickBot="1" x14ac:dyDescent="0.3">
      <c r="A182" s="26" t="s">
        <v>1207</v>
      </c>
      <c r="B182" s="6" t="s">
        <v>1224</v>
      </c>
      <c r="C182" s="28" t="s">
        <v>1198</v>
      </c>
      <c r="D182" s="28" t="s">
        <v>1189</v>
      </c>
      <c r="E182" s="28" t="s">
        <v>673</v>
      </c>
      <c r="F182" s="28" t="s">
        <v>673</v>
      </c>
      <c r="G182" s="28" t="s">
        <v>673</v>
      </c>
      <c r="H182" s="2">
        <f>MROUND((
  (IF(AND(_xlfn.XLOOKUP(B182,'Base stats'!B:B,'Base stats'!AL:AL)=0,BI182="None",_xlfn.XLOOKUP(_xlfn.XLOOKUP(B182,'Base stats'!B:B,'Base stats'!E:E),Groups!A:A,Groups!B:B)=0), (18 + BR182 * 2.7) * 0.5,
    IF(AND(_xlfn.XLOOKUP(B182,'Base stats'!B:B,'Base stats'!AL:AL)=0,OR(AO182&lt;0.55,AND(BI182="Intermediate",_xlfn.XLOOKUP(_xlfn.XLOOKUP(B182,'Base stats'!B:B,'Base stats'!E:E),Groups!A:A,Groups!B:B)&lt;2))), (18 + BR182 * 2.7),
      IF(OR(BI182="Advanced",_xlfn.XLOOKUP(B182,'Base stats'!B:B,'Base stats'!AL:AL)=1,_xlfn.XLOOKUP(_xlfn.XLOOKUP(B182,'Base stats'!B:B,'Base stats'!E:E),Groups!A:A,Groups!B:B)=2), (18 + BR182 * 2.7) + 250, (18 + BR182 * 2.7))
    )
  ))
  + AO182 * 80
  + IF(COUNTIF(EggMilk!K$2:K$998, A182) &gt; 0, 125, 0)
  + IF(COUNTIF(EggMilk!P$2:P$998, A182) &gt; 0, 90, 0)
  + IF(COUNTIF(EggMilk!A$2:A$998, A182) &gt; 0, 90, 0)
)
* (0.8 + 0.4 * J182)
* 0.75,25)</f>
        <v>175</v>
      </c>
      <c r="I182" s="2">
        <f>MROUND(ROUNDDOWN(_xlfn.XLOOKUP(B182,'Base stats'!B:B,'Base stats'!L:L)/3.6/(23.3/11),1),0.5)</f>
        <v>3.5</v>
      </c>
      <c r="J182" s="2">
        <f>IF(OR(_xlfn.XLOOKUP(B182,'Base stats'!B:B,'Base stats'!AB:AB)=1,_xlfn.XLOOKUP(_xlfn.XLOOKUP(B182,'Base stats'!B:B,'Base stats'!E:E),Groups!A:A,Groups!C:C)="Untamable"),1,IF(_xlfn.XLOOKUP(B182,'Base stats'!B:B,'Base stats'!AL:AL)=1,0.99,MIN(MROUND((1-0.6282*EXP(-0.459*AO182))*_xlfn.XLOOKUP(_xlfn.XLOOKUP(B182,'Base stats'!B:B,'Base stats'!E:E),Groups!A:A,Groups!C:C)*IF(_xlfn.XLOOKUP(B182,'Base stats'!B:B,'Base stats'!O:O)=1,0.5,IF(_xlfn.XLOOKUP(B182,'Base stats'!B:B,'Base stats'!O:O)=2,0,1)),0.05),IF(AO182&gt;3.5,0.985,0.95))))</f>
        <v>0.60000000000000009</v>
      </c>
      <c r="K182" s="2">
        <f>ROUNDUP(AO182*_xlfn.XLOOKUP(_xlfn.XLOOKUP(B182,'Base stats'!B:B,'Base stats'!E:E),Groups!A:A,Groups!E:E),0)</f>
        <v>1</v>
      </c>
      <c r="L182" s="2">
        <f>IF(OR(_xlfn.XLOOKUP(_xlfn.XLOOKUP(B182,'Base stats'!B:B,'Base stats'!E:E),Groups!A:A,Groups!F:F)=2,ISNUMBER(SEARCH("SeaIce",BX182)),ISNUMBER(SEARCH("IceSheet",BX182))),-50,IF(OR(ISNUMBER(SEARCH("GlacialPlain",BX182)),ISNUMBER(SEARCH("Tundra",BX182))),-40,IF(OR(ISNUMBER(SEARCH("Alpine",BX182)),ISNUMBER(SEARCH("BorealForest",BX182)),ISNUMBER(SEARCH("ColdBog",BX182))),-30,IF(OR(ISNUMBER(SEARCH("TemperateForest",BX182)),ISNUMBER(SEARCH("TemperateSwamp",BX182))),-20,IF(_xlfn.XLOOKUP(_xlfn.XLOOKUP(B182,'Base stats'!B:B,'Base stats'!E:E),Groups!A:A,Groups!F:F)=1,-15,IF(OR(ISNUMBER(SEARCH("Desert",BX182)),ISNUMBER(SEARCH("ExtremeDesert",BX182))),-10,IF(OR(ISNUMBER(SEARCH("Grasslands",BX182)),ISNUMBER(SEARCH("TropicalRainforest",BX182)),ISNUMBER(SEARCH("TropicalSwamp",BX182))),10,0)))))))-IF(CC182="False",MIN(IFERROR(MAX(MROUND(LOG10(_xlfn.XLOOKUP(B182,'Base stats'!B:B,'Base stats'!C:C)^(2/3))*10,5),5),5),30))-_xlfn.XLOOKUP(B182,'Base stats'!B:B,'Base stats'!P:P)+IF(CC182="True",5,0)</f>
        <v>5</v>
      </c>
      <c r="M182" s="2">
        <f>IF(OR(_xlfn.XLOOKUP(_xlfn.XLOOKUP(B182,'Base stats'!B:B,'Base stats'!E:E),Groups!A:A,Groups!G:G)=2,ISNUMBER(SEARCH("Desert",BX182)),ISNUMBER(SEARCH("ExtremeDesert",BX182)),ISNUMBER(SEARCH("LavaField",BX182))),50,IF(ISNUMBER(SEARCH("Grasslands",BX182)),45,IF(OR(_xlfn.XLOOKUP(_xlfn.XLOOKUP(B182,'Base stats'!B:B,'Base stats'!E:E),Groups!A:A,Groups!G:G)=1,ISNUMBER(SEARCH("TropicalRainforest",BX182)),ISNUMBER(SEARCH("TropicalSwamp",BX182))),40,IF(OR(ISNUMBER(SEARCH("TemperateForest",BX182)),ISNUMBER(SEARCH("TemperateSwamp",BX182))),35,IF(OR(ISNUMBER(SEARCH("Alpine",BX182)),ISNUMBER(SEARCH("BorealForest",BX182)),ISNUMBER(SEARCH("ColdBog",BX182))),30,IF(ISNUMBER(OR(ISNUMBER(SEARCH("GlacialPlain",BX182)),SEARCH("Tundra",BX182))),25,IF(OR(ISNUMBER(SEARCH("SeaIce",BX182)),ISNUMBER(SEARCH("IceSheet",BX182)),ISNUMBER(SEARCH("TropicalSwamp",BX182))),10,35)))))))+_xlfn.XLOOKUP(B182,'Base stats'!B:B,'Base stats'!Q:Q)</f>
        <v>50</v>
      </c>
      <c r="N182" s="8">
        <f>IF(
_xlfn.XLOOKUP(
_xlfn.XLOOKUP(B182,'Base stats'!B:B,'Base stats'!E:E),
Groups!A:A,
Groups!L:L
)=1,
MIN(
MROUND(
IF(
_xlfn.XLOOKUP(B182,'Animals CE'!B:B,'Animals CE'!Z:Z)&lt;=1.5,
_xlfn.XLOOKUP(B182,'Animals CE'!B:B,'Animals CE'!Z:Z)/2+0.05,
0.8+
(_xlfn.XLOOKUP(B182,'Animals CE'!B:B,'Animals CE'!Z:Z)-1.5)
*0.02
),
0.05
),
200%
),
"No"
)</f>
        <v>0.35000000000000003</v>
      </c>
      <c r="O182" s="8">
        <f>IF(
_xlfn.XLOOKUP(
_xlfn.XLOOKUP(B182,'Base stats'!B:B,'Base stats'!E:E),
Groups!A:A,
Groups!L:L
)=1,
MIN(
MROUND(
IF(
_xlfn.XLOOKUP(B182,'Animals CE'!B:B,'Animals CE'!AA:AA)&lt;=1.5,
_xlfn.XLOOKUP(B182,'Animals CE'!B:B,'Animals CE'!AA:AA)/2+0.05,
0.8+
(_xlfn.XLOOKUP(B182,'Animals CE'!B:B,'Animals CE'!AA:AA)-1.5)
*0.02
),
0.05
),
200%
),
"No"
)</f>
        <v>0.30000000000000004</v>
      </c>
      <c r="P182" s="2" t="str">
        <f>_xlfn.XLOOKUP(B182,'Base stats'!B:B,'Base stats'!R:R)</f>
        <v>Standard</v>
      </c>
      <c r="Q182" s="13">
        <f>MROUND((LOG10(_xlfn.XLOOKUP(B182,'Base stats'!B:B,'Base stats'!AR:AR))*(AO182^0.5)+(_xlfn.XLOOKUP(B182,'Base stats'!B:B,'Base stats'!AR:AR)/1000)^(2/3)+_xlfn.XLOOKUP(B182,'Base stats'!B:B,'Base stats'!BA:BA)/2)+0.5,0.5)</f>
        <v>4</v>
      </c>
      <c r="R182" s="7">
        <f>IF(Q182="No","No",MAX(1,MROUND(_xlfn.XLOOKUP(B182,'Base stats'!B:B,'Base stats'!C:C)^0.165,0.05)))</f>
        <v>1.55</v>
      </c>
      <c r="S182" s="13" t="str">
        <f>IF(_xlfn.XLOOKUP(_xlfn.XLOOKUP(B182,'Base stats'!B:B,'Base stats'!E:E),Groups!A:A,Groups!P:P)=0,"No",MROUND((LOG10(_xlfn.XLOOKUP(B182,'Base stats'!B:B,'Base stats'!AS:AS))*(AO182^0.5)+(_xlfn.XLOOKUP(B182,'Base stats'!B:B,'Base stats'!AS:AS)/1000)^(2/3)+_xlfn.XLOOKUP(B182,'Base stats'!B:B,'Base stats'!BA:BA))+_xlfn.XLOOKUP(B182,'Base stats'!B:B,'Base stats'!AY:AY)+0.5,0.5))</f>
        <v>No</v>
      </c>
      <c r="T182" s="7" t="str">
        <f>IF(S182="No","No",MAX(_xlfn.XLOOKUP(_xlfn.XLOOKUP(B182,'Base stats'!B:B,'Base stats'!E:E),Groups!A:A,Groups!Q:Q),MROUND(_xlfn.XLOOKUP(_xlfn.XLOOKUP(B182,'Base stats'!B:B,'Base stats'!E:E),Groups!A:A,Groups!Q:Q)*_xlfn.XLOOKUP(B182,'Base stats'!B:B,'Base stats'!C:C)^0.165,0.05)))</f>
        <v>No</v>
      </c>
      <c r="U182" s="7" t="str">
        <f>IF(S182="No","No",_xlfn.XLOOKUP(_xlfn.XLOOKUP(B182,'Base stats'!B:B,'Base stats'!E:E),Groups!A:A,Groups!R:R))</f>
        <v>No</v>
      </c>
      <c r="V182" s="7" t="str">
        <f>IF(S182="No","No",_xlfn.XLOOKUP(_xlfn.XLOOKUP(B182,'Base stats'!B:B,'Base stats'!E:E),Groups!A:A,Groups!S:S))</f>
        <v>No</v>
      </c>
      <c r="W182" s="7" t="str">
        <f>IF(S182="No","No",_xlfn.XLOOKUP(_xlfn.XLOOKUP(B182,'Base stats'!B:B,'Base stats'!E:E),Groups!A:A,Groups!T:T))</f>
        <v>No</v>
      </c>
      <c r="X182" s="13" t="str">
        <f>IF(_xlfn.XLOOKUP(B182,'Base stats'!B:B,'Base stats'!W:W)="No","No",MROUND((LOG10(_xlfn.XLOOKUP(B182,'Base stats'!B:B,'Base stats'!AU:AU))*(AO182^0.5)+(_xlfn.XLOOKUP(B182,'Base stats'!B:B,'Base stats'!AU:AU)/1000)^(2/3)+_xlfn.XLOOKUP(B182,'Base stats'!B:B,'Base stats'!AZ:AZ))+0.5+IF(_xlfn.XLOOKUP(_xlfn.XLOOKUP(B182,'Base stats'!B:B,'Base stats'!E:E),Groups!A:A,Groups!U:U)&lt;&gt;3,_xlfn.XLOOKUP(B182,'Base stats'!B:B,'Base stats'!BA:BA),0),0.5))</f>
        <v>No</v>
      </c>
      <c r="Y182" s="7" t="str">
        <f>IF(X182="No","No",MAX(_xlfn.XLOOKUP(_xlfn.XLOOKUP(B182,'Base stats'!B:B,'Base stats'!E:E),Groups!A:A,Groups!V:V),MROUND(_xlfn.XLOOKUP(_xlfn.XLOOKUP(B182,'Base stats'!B:B,'Base stats'!E:E),Groups!A:A,Groups!V:V)*_xlfn.XLOOKUP(B182,'Base stats'!B:B,'Base stats'!C:C)^0.165,0.05)))</f>
        <v>No</v>
      </c>
      <c r="Z182" s="7" t="str">
        <f>IF(X182="No","No",_xlfn.XLOOKUP(_xlfn.XLOOKUP(B182,'Base stats'!B:B,'Base stats'!E:E),Groups!A:A,Groups!W:W))</f>
        <v>No</v>
      </c>
      <c r="AA182" s="7" t="str">
        <f>IF(X182="No","No",_xlfn.XLOOKUP(_xlfn.XLOOKUP(B182,'Base stats'!B:B,'Base stats'!E:E),Groups!A:A,Groups!X:X))</f>
        <v>No</v>
      </c>
      <c r="AB182" s="7" t="str">
        <f>IF(X182="No","No",_xlfn.XLOOKUP(_xlfn.XLOOKUP(B182,'Base stats'!B:B,'Base stats'!E:E),Groups!A:A,Groups!Y:Y))</f>
        <v>No</v>
      </c>
      <c r="AC182" s="7" t="str">
        <f>_xlfn.XLOOKUP(Animals!B182,'Base stats'!B:B,'Base stats'!X:X)</f>
        <v>False</v>
      </c>
      <c r="AD182" s="13">
        <f>IF(_xlfn.XLOOKUP(B182,'Base stats'!B:B,'Base stats'!AT:AT)="No","No",MROUND((LOG10(_xlfn.XLOOKUP(B182,'Base stats'!B:B,'Base stats'!AT:AT))*(AO182^0.75)+(_xlfn.XLOOKUP(B182,'Base stats'!B:B,'Base stats'!AT:AT)/1000)^(2/3)+_xlfn.XLOOKUP(B182,'Base stats'!B:B,'Base stats'!AX:AX)+_xlfn.XLOOKUP(B182,'Base stats'!B:B,'Base stats'!BA:BA))+0.5,0.5))</f>
        <v>6</v>
      </c>
      <c r="AE182" s="7">
        <f>IF(AD182="No","No",MAX(_xlfn.XLOOKUP(_xlfn.XLOOKUP(B182,'Base stats'!B:B,'Base stats'!E:E),Groups!A:A,Groups!Z:Z),MROUND(_xlfn.XLOOKUP(_xlfn.XLOOKUP(B182,'Base stats'!B:B,'Base stats'!E:E),Groups!A:A,Groups!Z:Z)*_xlfn.XLOOKUP(B182,'Base stats'!B:B,'Base stats'!C:C)^0.165,0.05)))</f>
        <v>1.3</v>
      </c>
      <c r="AF182" s="7" t="str">
        <f>IF(AD182="No","No",_xlfn.XLOOKUP(_xlfn.XLOOKUP(B182,'Base stats'!B:B,'Base stats'!E:E),Groups!A:A,Groups!AA:AA))</f>
        <v>Teeth</v>
      </c>
      <c r="AG182" s="7" t="str">
        <f>IF(AD182="No","No",_xlfn.XLOOKUP(_xlfn.XLOOKUP(B182,'Base stats'!B:B,'Base stats'!E:E),Groups!A:A,Groups!AB:AB))</f>
        <v>teeth</v>
      </c>
      <c r="AH182" s="7" t="str">
        <f>IF(AD182="No","No",_xlfn.XLOOKUP(_xlfn.XLOOKUP(B182,'Base stats'!B:B,'Base stats'!E:E),Groups!A:A,Groups!AC:AC))</f>
        <v>Bite</v>
      </c>
      <c r="AI182" s="13" t="str">
        <f>IF(_xlfn.XLOOKUP(_xlfn.XLOOKUP(B182,'Base stats'!B:B,'Base stats'!E:E),Groups!A:A,Groups!AD:AD)=0,"No",MROUND((LOG10(_xlfn.XLOOKUP(B182,'Base stats'!B:B,'Base stats'!AS:AS))*(AO182^0.75)+(_xlfn.XLOOKUP(B182,'Base stats'!B:B,'Base stats'!AS:AS)/1000)^(2/3)+_xlfn.XLOOKUP(B182,'Base stats'!B:B,'Base stats'!AY:AY)+_xlfn.XLOOKUP(B182,'Base stats'!B:B,'Base stats'!BA:BA))+0.5,0.5))</f>
        <v>No</v>
      </c>
      <c r="AJ182" s="7" t="str">
        <f>IF(AI182="No","No",MAX(_xlfn.XLOOKUP(_xlfn.XLOOKUP(B182,'Base stats'!B:B,'Base stats'!E:E),Groups!A:A,Groups!AE:AE),MROUND(_xlfn.XLOOKUP(_xlfn.XLOOKUP(B182,'Base stats'!B:B,'Base stats'!E:E),Groups!A:A,Groups!AE:AE)*IF(_xlfn.XLOOKUP(_xlfn.XLOOKUP(B182,'Base stats'!B:B,'Base stats'!E:E),Groups!A:A,Groups!AJ:AJ)="Photonozoa",0.6,1)*_xlfn.XLOOKUP(B182,'Base stats'!B:B,'Base stats'!C:C)^0.165,0.05)))</f>
        <v>No</v>
      </c>
      <c r="AK182" s="7" t="str">
        <f>IF(AI182="No","No",_xlfn.XLOOKUP(_xlfn.XLOOKUP(B182,'Base stats'!B:B,'Base stats'!E:E),Groups!A:A,Groups!AF:AF))</f>
        <v>No</v>
      </c>
      <c r="AL182" s="7" t="str">
        <f>IF(AI182="No","No",_xlfn.XLOOKUP(_xlfn.XLOOKUP(B182,'Base stats'!B:B,'Base stats'!E:E),Groups!A:A,Groups!AG:AG))</f>
        <v>No</v>
      </c>
      <c r="AM182" s="7" t="str">
        <f>IF(AI182="No","No",_xlfn.XLOOKUP(_xlfn.XLOOKUP(B182,'Base stats'!B:B,'Base stats'!E:E),Groups!A:A,Groups!AH:AH))</f>
        <v>No</v>
      </c>
      <c r="AN182" s="2" t="str">
        <f t="shared" si="14"/>
        <v>No</v>
      </c>
      <c r="AO182" s="2">
        <f>MROUND(IF(AND(_xlfn.XLOOKUP(B182,'Base stats'!B:B,'Base stats'!C:C)&gt;=0.5,_xlfn.XLOOKUP(B182,'Base stats'!B:B,'Base stats'!C:C)&lt;=0.8),
IF(_xlfn.XLOOKUP(B182,'Base stats'!B:B,'Base stats'!C:C)&lt;0.1,0.05,IF(_xlfn.XLOOKUP(B182,'Base stats'!B:B,'Base stats'!C:C)&lt;=70,(_xlfn.XLOOKUP(B182,'Base stats'!B:B,'Base stats'!C:C)/70)^0.426489913056526,IF(_xlfn.XLOOKUP(B182,'Base stats'!B:B,'Base stats'!C:C)&lt;=400,(_xlfn.XLOOKUP(B182,'Base stats'!B:B,'Base stats'!C:C)/70)^0.572811455315093,IF(_xlfn.XLOOKUP(B182,'Base stats'!B:B,'Base stats'!C:C)&lt;=2000,2.71391647193063*(_xlfn.XLOOKUP(B182,'Base stats'!B:B,'Base stats'!C:C)/400)^0.252459582904293,3.74314280240376*(_xlfn.XLOOKUP(B182,'Base stats'!B:B,'Base stats'!C:C)/2000)^0.357012633876913)))),
IF(_xlfn.XLOOKUP(B182,'Base stats'!B:B,'Base stats'!C:C)&lt;0.1,0.05,IF(_xlfn.XLOOKUP(B182,'Base stats'!B:B,'Base stats'!C:C)&lt;0.4,0.1,IF(_xlfn.XLOOKUP(B182,'Base stats'!B:B,'Base stats'!C:C)&lt;=70,(_xlfn.XLOOKUP(B182,'Base stats'!B:B,'Base stats'!C:C)/70)^0.445823913056526,IF(_xlfn.XLOOKUP(B182,'Base stats'!B:B,'Base stats'!C:C)&lt;=400,(_xlfn.XLOOKUP(B182,'Base stats'!B:B,'Base stats'!C:C)/70)^0.572811455315093,IF(_xlfn.XLOOKUP(B182,'Base stats'!B:B,'Base stats'!C:C)&lt;=2000,2.71391647193063*(_xlfn.XLOOKUP(B182,'Base stats'!B:B,'Base stats'!C:C)/400)^0.252459582904293,3.74314280240376*(_xlfn.XLOOKUP(B182,'Base stats'!B:B,'Base stats'!C:C)/2000)^0.357012633876913)))))),
IF(_xlfn.XLOOKUP(B182,'Base stats'!B:B,'Base stats'!C:C)&lt;0.1,0.05,IF(_xlfn.XLOOKUP(B182,'Base stats'!B:B,'Base stats'!C:C)&lt;=100,0.05,IF(_xlfn.XLOOKUP(B182,'Base stats'!B:B,'Base stats'!C:C)&lt;=250,0.1,IF(_xlfn.XLOOKUP(B182,'Base stats'!B:B,'Base stats'!C:C)&lt;=4000,0.25,0.5)))))</f>
        <v>0.45</v>
      </c>
      <c r="AP182" s="8">
        <f>MROUND(AO182*_xlfn.XLOOKUP(_xlfn.XLOOKUP(B182,'Base stats'!B:B,'Base stats'!E:E),Groups!A:A,Groups!AI:AI)*_xlfn.XLOOKUP(B182,'Base stats'!B:B,'Base stats'!Z:Z),0.05)</f>
        <v>0.45</v>
      </c>
      <c r="AQ182" s="8">
        <f>MAX(0.01,MROUND(IF(CC182="True",0.196*(AO182*100*1000)^0.889,IF(_xlfn.XLOOKUP(_xlfn.XLOOKUP(B182,'Base stats'!B:B,'Base stats'!E:E),Groups!A:A,Groups!AJ:AJ)="Bird",10.5*(AO182*100*1000)^0.681,4.82*(AO182*100*1000)^0.734))/(4.82*(1*100*1000)^0.734)/IF(AO182&lt;3.5,2,IF(AO182=3.5,1.5,1.25))*(1+0.132282374779864/(AO182^0.994035016789033+0.00905238001496948)),0.05))</f>
        <v>0.35000000000000003</v>
      </c>
      <c r="AR182" s="9">
        <f>IFERROR(MROUND(_xlfn.XLOOKUP(B182,'Base stats'!B:B,'Base stats'!H:H)/IF(_xlfn.XLOOKUP(B182,'Base stats'!B:B,'Base stats'!I:I)&lt;&gt;1,(122.5/70),1.2),IF(_xlfn.XLOOKUP(B182,'Base stats'!B:B,'Base stats'!H:H)&gt;=30,5,IF(_xlfn.XLOOKUP(B182,'Base stats'!B:B,'Base stats'!H:H)&gt;=15,3,IF(_xlfn.XLOOKUP(B182,'Base stats'!B:B,'Base stats'!H:H)&gt;=10,2,1)))),"Immortal")</f>
        <v>18</v>
      </c>
      <c r="AS182" s="35">
        <f>IFERROR(IF(OR(_xlfn.XLOOKUP(B182,'Base stats'!B:B,'Base stats'!F:F)="Atypical reproduction",_xlfn.XLOOKUP(B182,'Base stats'!B:B,'Base stats'!F:F)="Lay eggs"),"Lay eggs",MIN(20,MAX(5.5,ROUND(((_xlfn.XLOOKUP(B182,'Base stats'!B:B,'Base stats'!F:F)-25)*(14.5/615) + 5.5)*2,0)/2))),"Unknown")</f>
        <v>6.5</v>
      </c>
      <c r="AT182" s="8">
        <f>IF(_xlfn.XLOOKUP(B182,'Base stats'!B:B,'Base stats'!G:G)="Atypical reproduction","No",IFERROR(MAX(IF(_xlfn.XLOOKUP(B182,'Base stats'!B:B,'Base stats'!G:G)&lt;0.5,0.2,0.3),MROUND(_xlfn.XLOOKUP(B182,'Base stats'!B:B,'Base stats'!G:G)/(365/60),0.2)),"Unknown"))</f>
        <v>0.4</v>
      </c>
      <c r="AU182" s="8">
        <f t="shared" si="15"/>
        <v>0.2</v>
      </c>
      <c r="AV182" s="8">
        <f>IFERROR(IFERROR(MROUND(_xlfn.XLOOKUP(B182,'Base stats'!B:B,'Base stats'!J:J),0.1),"Lay eggs"),"Cannot breed")</f>
        <v>1</v>
      </c>
      <c r="AW182" s="2" t="str">
        <f t="shared" si="16"/>
        <v>false</v>
      </c>
      <c r="AX182" s="2" t="str">
        <f>IF(_xlfn.XLOOKUP(_xlfn.XLOOKUP(Animals!B182,'Base stats'!B:B,'Base stats'!E:E),Groups!A:A,Groups!AK:AK)=1,"true","false")</f>
        <v>false</v>
      </c>
      <c r="AY182" s="25" t="str">
        <f>IF(_xlfn.XLOOKUP(B182,'Base stats'!B:B,'Base stats'!Y:Y)="Liquor","Liquor, CarnivoreAnimalStrict",IF(AND(_xlfn.XLOOKUP(B182,'Base stats'!B:B,'Base stats'!Y:Y)="Carnivore",_xlfn.XLOOKUP(_xlfn.XLOOKUP(B182,'Base stats'!B:B,'Base stats'!E:E),Groups!A:A,Groups!AJ:AJ)="Photonozoa"),"CarnivoreAnimalStrict, OvivoreAnimal",IF(_xlfn.XLOOKUP(B182,'Base stats'!B:B,'Base stats'!Y:Y)="Carnivore","CarnivoreAnimal, OvivoreAnimal",IF(_xlfn.XLOOKUP(B182,'Base stats'!B:B,'Base stats'!Y:Y)="Dendrovore","VegetarianRoughAnimal, DendrovoreAnimal",IF(_xlfn.XLOOKUP(B182,'Base stats'!B:B,'Base stats'!Y:Y)="Herbivore","VegetarianRoughAnimal",IF(_xlfn.XLOOKUP(B182,'Base stats'!B:B,'Base stats'!Y:Y)="OmnivoreRough","OmnivoreRoughAnimal, OvivoreAnimal","OmnivoreAnimal, OvivoreAnimal"))))))</f>
        <v>CarnivoreAnimal, OvivoreAnimal</v>
      </c>
      <c r="AZ182" s="2" t="str">
        <f>IF(_xlfn.XLOOKUP(_xlfn.XLOOKUP(B182,'Base stats'!B:B,'Base stats'!E:E),Groups!A:A,Groups!D:D)=1,MROUND((1-J182)*5+1,2)*IF(J182&lt;=0.4,2,1),"No")</f>
        <v>No</v>
      </c>
      <c r="BA182" s="2" t="str">
        <f>IF(AND(_xlfn.XLOOKUP(B182,'Base stats'!B:B,'Base stats'!AH:AH)="&lt;li&gt;Seal&lt;/li&gt;",G182="Odyssey"),"&lt;li&gt;AEXP_Seal&lt;/li&gt;",_xlfn.XLOOKUP(B182,'Base stats'!B:B,'Base stats'!AH:AH))</f>
        <v>No</v>
      </c>
      <c r="BB182" s="2" t="str">
        <f>_xlfn.XLOOKUP(B182,'Base stats'!B:B,'Base stats'!AG:AG)</f>
        <v>Leather_Armadillo</v>
      </c>
      <c r="BC182" s="23" t="str">
        <f>_xlfn.XLOOKUP(_xlfn.XLOOKUP(B182,'Base stats'!B:B,'Base stats'!E:E),Groups!A:A,Groups!AL:AL)</f>
        <v>QuadrupedAnimalWithPawsAndTail</v>
      </c>
      <c r="BD182" s="23">
        <f>MIN(1,MROUND(IF(AND(AO182&lt;0.5,_xlfn.XLOOKUP(B182,'Base stats'!B:B,'Base stats'!AA:AA)=0),0,IF(OR(_xlfn.XLOOKUP(Animals!B182,'Base stats'!B:B,'Base stats'!O:O)=2,_xlfn.XLOOKUP(_xlfn.XLOOKUP(B182,'Base stats'!B:B,'Base stats'!E:E),Groups!A:A,Groups!AN:AN)=0),0,_xlfn.XLOOKUP(_xlfn.XLOOKUP(B182,'Base stats'!B:B,'Base stats'!E:E),Groups!A:A,Groups!AN:AN)/IF(_xlfn.XLOOKUP(Animals!B182,'Base stats'!B:B,'Base stats'!O:O)=1,2,1)))+_xlfn.XLOOKUP(B182,'Base stats'!B:B,'Base stats'!AC:AC),0.005))</f>
        <v>0</v>
      </c>
      <c r="BE182" s="23">
        <f>MIN(1,MROUND(IF(AND(AO182&lt;0.5,_xlfn.XLOOKUP(B182,'Base stats'!B:B,'Base stats'!AA:AA)=0),0,IF(_xlfn.XLOOKUP(_xlfn.XLOOKUP(B182,'Base stats'!B:B,'Base stats'!E:E),Groups!A:A,Groups!AO:AO)=0,0,_xlfn.XLOOKUP(_xlfn.XLOOKUP(B182,'Base stats'!B:B,'Base stats'!E:E),Groups!A:A,Groups!AO:AO)/IF(_xlfn.XLOOKUP(Animals!B182,'Base stats'!B:B,'Base stats'!O:O)=2,3,1)))+_xlfn.XLOOKUP(B182,'Base stats'!B:B,'Base stats'!AD:AD),0.005))</f>
        <v>0</v>
      </c>
      <c r="BF182" s="2" t="str">
        <f>IF(J182&gt;0.3,"No",_xlfn.XLOOKUP(_xlfn.XLOOKUP(Animals!B182,'Base stats'!B:B,'Base stats'!E:E),Groups!A:A,Groups!AP:AP))</f>
        <v>No</v>
      </c>
      <c r="BG182" s="2" t="str">
        <f>IF(AND(J182&lt;=0.65,_xlfn.XLOOKUP(_xlfn.XLOOKUP(Animals!B182,'Base stats'!B:B,'Base stats'!E:E),Groups!A:A,Groups!AP:AP)&lt;&gt;"No",_xlfn.XLOOKUP(_xlfn.XLOOKUP(B182,'Base stats'!B:B,'Base stats'!E:E),Groups!A:A,Groups!D:D)=0),MROUND((80/3)*IF(_xlfn.XLOOKUP(B182,'Base stats'!B:B,'Base stats'!O:O)=2,0.2,AO182) + 24*(1-IF(BF182="No",0,BF182)) + 16/3, 12),"No")</f>
        <v>No</v>
      </c>
      <c r="BH182" s="2">
        <f>IF(AND(_xlfn.XLOOKUP(_xlfn.XLOOKUP(B182,'Base stats'!B:B,'Base stats'!E:E),Groups!A:A,Groups!AQ:AQ)=1,AO182&lt;=0.35),8,12)</f>
        <v>12</v>
      </c>
      <c r="BI182" s="2" t="str">
        <f>IF(_xlfn.XLOOKUP(_xlfn.XLOOKUP(B182,'Base stats'!B:B,'Base stats'!E:E),Groups!A:A,Groups!D:D)=0,_xlfn.XLOOKUP(_xlfn.XLOOKUP(B182,'Base stats'!B:B,'Base stats'!E:E),Groups!A:A,Groups!AR:AR),"None")</f>
        <v>None</v>
      </c>
      <c r="BJ182" s="2" t="str">
        <f>IF(AND(_xlfn.XLOOKUP(_xlfn.XLOOKUP(B182,'Base stats'!B:B,'Base stats'!E:E),Groups!A:A,Groups!AS:AS)=1,OR(_xlfn.XLOOKUP(B182,'Base stats'!B:B,'Base stats'!Y:Y)="Carnivore",_xlfn.XLOOKUP(B182,'Base stats'!B:B,'Base stats'!Y:Y)="Omnivore")),"true","false")</f>
        <v>false</v>
      </c>
      <c r="BK182" s="2" t="str">
        <f>IF(BJ182="true",MROUND(IF(AND(AO182&gt;0.5,OR(_xlfn.XLOOKUP(_xlfn.XLOOKUP(B182,'Base stats'!B:B,'Base stats'!E:E),Groups!A:A,Groups!AJ:AJ)="Photonozoa",_xlfn.XLOOKUP(_xlfn.XLOOKUP(B182,'Base stats'!B:B,'Base stats'!E:E),Groups!A:A,Groups!AJ:AJ)="Mammal")),Animals!AO182*1.75*IF(AW182="true",1.5,1),IF(AO182&lt;0.5,Animals!AO182*0.5,Animals!AO182)),IF(AO182&gt;2,0.5,IF(AO182&gt;0.5,0.25,0.1))),"No")</f>
        <v>No</v>
      </c>
      <c r="BL182" s="2">
        <f t="shared" si="17"/>
        <v>0</v>
      </c>
      <c r="BM182" s="25" t="str">
        <f>IF(_xlfn.XLOOKUP(B182,'Base stats'!B:B,'Base stats'!AN:AN)="Standard","No",MROUND((_xlfn.XLOOKUP(B182,'Base stats'!B:B,'Base stats'!AN:AN)/3.6)/I182,0.1))</f>
        <v>No</v>
      </c>
      <c r="BN182" s="25" t="str">
        <f t="shared" si="18"/>
        <v>false</v>
      </c>
      <c r="BO182" s="25" t="str">
        <f>IF(AND(OR(_xlfn.XLOOKUP(B182,'Base stats'!B:B,'Base stats'!Y:Y)="Carnivore",_xlfn.XLOOKUP(B182,'Base stats'!B:B,'Base stats'!Y:Y)="Omnivore",_xlfn.XLOOKUP(B182,'Base stats'!B:B,'Base stats'!Y:Y)="OmnivoreRough"),_xlfn.XLOOKUP(_xlfn.XLOOKUP(B182,'Base stats'!B:B,'Base stats'!E:E),Groups!A:A,Groups!AT:AT)=1),"true","false")</f>
        <v>false</v>
      </c>
      <c r="BP182" s="25" t="str" cm="1">
        <f t="array" ref="BP182">IF(
  _xlfn.TEXTJOIN(", ",TRUE,
    IF(AND(BJ182="true",AO182&gt;0.5,BI182&lt;&gt;"None"),"AttackTarget",""),
    IF(AND(_xlfn.XLOOKUP(_xlfn.XLOOKUP(B182,'Base stats'!B:B,'Base stats'!E:E),Groups!A:A,Groups!AJ:AJ="Mammal"),OR(_xlfn.XLOOKUP(B182,'Base stats'!B:B,'Base stats'!Y:Y)="Omnivore",_xlfn.XLOOKUP(B182,'Base stats'!B:B,'Base stats'!Y:Y)="OmnivoreRough")),"Forage",""),
    IF(BG182&lt;=36,"Comfort",""),
    IF(_xlfn.XLOOKUP(B182,'Base stats'!B:B,'Base stats'!AE:AE)&lt;&gt;"No",_xlfn.XLOOKUP(B182,'Base stats'!B:B,'Base stats'!AE:AE),"")
  ) = "",
  "No",
  _xlfn.TEXTJOIN(", ",TRUE,
    IF(AND(BJ182="true",AO182&gt;0.5,BI182&lt;&gt;"None"),"AttackTarget",""),
    IF(AND(_xlfn.XLOOKUP(_xlfn.XLOOKUP(B182,'Base stats'!B:B,'Base stats'!E:E),Groups!A:A,Groups!AJ:AJ="Mammal"),OR(_xlfn.XLOOKUP(B182,'Base stats'!B:B,'Base stats'!Y:Y)="Omnivore",_xlfn.XLOOKUP(B182,'Base stats'!B:B,'Base stats'!Y:Y)="OmnivoreRough")),"Forage",""),
    IF(BG182&lt;=36,"Comfort",""),
    IF(_xlfn.XLOOKUP(B182,'Base stats'!B:B,'Base stats'!AE:AE)&lt;&gt;"No",_xlfn.XLOOKUP(B182,'Base stats'!B:B,'Base stats'!AE:AE),"")
  )
)</f>
        <v>No</v>
      </c>
      <c r="BQ182" s="25" t="str">
        <f>IF(
   AND(
      'Base stats'!AN182="Standard",_xlfn.XLOOKUP(_xlfn.XLOOKUP(B182,'Base stats'!B:B,'Base stats'!E:E),Groups!A:A,Groups!AU:AU)=0,
      OR(
      BO182="True"
      )
   ),
   10,
   IF(
       OR(BM182&lt;&gt;"No",_xlfn.XLOOKUP(_xlfn.XLOOKUP(B182,'Base stats'!B:B,'Base stats'!E:E),Groups!A:A,Groups!AU:AU)=1),
      1,
      "No"
   )
)</f>
        <v>No</v>
      </c>
      <c r="BR182" s="9">
        <f>MROUND((1 + ((0.2*IF(OR(Q182="No",R182="No",R182=0),0,Q182/R182)
+IF(OR(V182="No",S182="No",T182="No"),0,S182/T182*(LEN(V182)-LEN(SUBSTITUTE(V182,",",""))+1))
+IF(OR(X182="No",Y182="No"),0,X182/Y182)
+IF(OR(AD182="No",AE182="No"),0,AD182/AE182)
+IF(OR(AL182="No",AI182="No",AJ182="No"),0,AI182/AJ182*(LEN(AL182)-LEN(SUBSTITUTE(AL182,",",""))+1))
)/(0.2*IF(OR(Q182="No",R182="No",R182=0),0,1)
+IF(OR(V182="No",S182="No",T182="No"),0,LEN(V182)-LEN(SUBSTITUTE(V182,",",""))+1)
+IF(OR(X182="No",Y182="No"),0,1)
+IF(OR(AD182="No",AE182="No"),0,1)
+IF(OR(AL182="No",AI182="No",AJ182="No"),0,LEN(AL182)-LEN(SUBSTITUTE(AL182,",",""))+1))*62%)* 2)*(1 + (AP182 / (IF(_xlfn.XLOOKUP(_xlfn.XLOOKUP(B182,'Base stats'!B:B,'Base stats'!E:E),Groups!A:A,Groups!AJ:AJ)="Photonozoa",0.3,1)) + _xlfn.XLOOKUP(B182,'Base stats'!B:B,'Base stats'!AV:AV) * 1.8) * 2) * 2.5 + 10 + I182 * 2,5)+IF(_xlfn.XLOOKUP(B182,'Base stats'!B:B,'Base stats'!AK:AK)=1,50,0)</f>
        <v>65</v>
      </c>
      <c r="BS182" s="8">
        <f t="shared" si="19"/>
        <v>0.35000000000000003</v>
      </c>
      <c r="BT182" s="8" t="str">
        <f>_xlfn.XLOOKUP(B182,'Base stats'!B:B,'Base stats'!AF:AF)</f>
        <v>No</v>
      </c>
      <c r="BU182" s="2" t="str">
        <f>IF(AND(J182&lt;=0.95,OR(_xlfn.XLOOKUP(B182,'Base stats'!B:B,'Base stats'!AK:AK)=1,_xlfn.XLOOKUP(B182,'Base stats'!B:B,'Base stats'!Y:Y)="Carnivore",_xlfn.XLOOKUP(B182,'Base stats'!B:B,'Base stats'!Y:Y)="Omnivore",BE182&gt;0.1)),"true","false")</f>
        <v>true</v>
      </c>
      <c r="BV182" s="2" t="str">
        <f>IF(_xlfn.XLOOKUP(B182,'Base stats'!B:B,'Base stats'!AI:AI)=1,"true","false")</f>
        <v>false</v>
      </c>
      <c r="BW182" s="25" t="str">
        <f>IF(E182="BaseInsect","AnimalInsect",
IF(J182&gt;0.95,"AnimalExotic",
_xlfn.TEXTJOIN(", ",TRUE,
IF(OR(_xlfn.XLOOKUP(B182,'Base stats'!B:B,'Base stats'!AM:AM)=1,AND(_xlfn.XLOOKUP(B182,'Base stats'!B:B,'Base stats'!O:O)=0,_xlfn.XLOOKUP(_xlfn.XLOOKUP(B182,'Base stats'!B:B,'Base stats'!E:E),Groups!A:A,Groups!B:B)&gt;0)),"AnimalUncommon","AnimalCommon"),
IF(AND(_xlfn.XLOOKUP(B182,'Base stats'!B:B,'Base stats'!O:O)=2,_xlfn.XLOOKUP(_xlfn.XLOOKUP(B182,'Base stats'!B:B,'Base stats'!E:E),Groups!A:A,Groups!D:D)=0),"AnimalPet",IF(AND(_xlfn.XLOOKUP(B182,'Base stats'!B:B,'Base stats'!O:O)&lt;&gt;0,_xlfn.XLOOKUP(_xlfn.XLOOKUP(B182,'Base stats'!B:B,'Base stats'!E:E),Groups!A:A,Groups!D:D)&lt;&gt;0),"AnimalFarm","")),
IF(OR(_xlfn.XLOOKUP(B182,'Base stats'!B:B,'Base stats'!AK:AK)=1,AND(BI182&lt;&gt;"None",BR182&gt;=60),ISNUMBER(SEARCH("Attack target",BP182))),"AnimalFighter","")
)))</f>
        <v>AnimalUncommon</v>
      </c>
      <c r="BX182" s="25" t="str">
        <f>IF(G182="None",TRIM(
SUBSTITUTE(
IF(COUNTIF(Biomes!B$2:B$259,"="&amp;$C182)&gt;0,Biomes!B$1&amp;", ","")&amp;
IF(COUNTIF(Biomes!C$2:C$259,"="&amp;$C182)&gt;0,Biomes!C$1&amp;", ","")&amp;
IF(COUNTIF(Biomes!D$2:D$259,"="&amp;$C182)&gt;0,Biomes!D$1&amp;", ","")&amp;
IF(COUNTIF(Biomes!F$2:F$259,"="&amp;$C182)&gt;0,Biomes!F$1&amp;", ","")&amp;
IF(COUNTIF(Biomes!G$2:G$259,"="&amp;$C182)&gt;0,Biomes!G$1&amp;", ","")&amp;
IF(COUNTIF(Biomes!H$2:H$259,"="&amp;$C182)&gt;0,Biomes!H$1&amp;", ","")&amp;
IF(COUNTIF(Biomes!I$2:I$259,"="&amp;$C182)&gt;0,Biomes!I$1&amp;", ","")&amp;
IF(COUNTIF(Biomes!J$2:J$259,"="&amp;$C182)&gt;0,Biomes!J$1&amp;", ","")&amp;
IF(COUNTIF(Biomes!M$2:M$259,"="&amp;$C182)&gt;0,Biomes!M$1&amp;", ","")&amp;
IF(COUNTIF(Biomes!N$2:N$259,"="&amp;$C182)&gt;0,Biomes!N$1&amp;", ","")&amp;
IF(COUNTIF(Biomes!O$2:O$259,"="&amp;$C182)&gt;0,Biomes!O$1&amp;", ","")&amp;
IF(COUNTIF(Biomes!P$2:P$259,"="&amp;$C182)&gt;0,Biomes!P$1&amp;", ","")&amp;
IF(COUNTIF(Biomes!K$2:K$259,"="&amp;$C182)&gt;0,Biomes!K$1&amp;", ","")&amp;
IF(COUNTIF(Biomes!Q$3:Q$259,"="&amp;$C182)&gt;0,Biomes!Q$1&amp;", ","")&amp;
IF(COUNTIF(Biomes!L$2:L$259,"="&amp;$C182)&gt;0,Biomes!L$1&amp;", ","")&amp;
IF(COUNTIF(Biomes!E$2:E$259,"="&amp;$C182)&gt;0,Biomes!E$1&amp;", ","")&amp;IF(COUNTIF(Biomes!S$2:S$259,"="&amp;$C182)&gt;0,Biomes!S$1&amp;", ","")&amp;
IF(COUNTIF(Biomes!R$2:R$259,"="&amp;$C182)&gt;0,Biomes!R$1&amp;", ",""),", ","")
),_xlfn.XLOOKUP(B182,B:B,BX:BX))</f>
        <v>AridShrubland Grasslands LavaField</v>
      </c>
      <c r="BY182" s="25" t="str">
        <f>IF(_xlfn.XLOOKUP(B182,'Base stats'!B:B,'Base stats'!AJ:AJ)=1,"true","false")</f>
        <v>false</v>
      </c>
      <c r="BZ182" s="25">
        <f>IF(_xlfn.XLOOKUP(B182,'Base stats'!B:B,'Base stats'!N:N)=1,"No",MAX(0.001,MIN(MROUND(IF(AND(BJ182="True",CC182="False"),POWER(10,3.47*LOG10(_xlfn.XLOOKUP(B182,'Base stats'!B:B,'Base stats'!C:C)*1000)^-0.96),POWER(10,4.15*LOG10(_xlfn.XLOOKUP(B182,'Base stats'!B:B,'Base stats'!C:C)*1000)^-0.73))*IF(_xlfn.XLOOKUP(B182,'Base stats'!B:B,'Base stats'!AK:AK)=1,0.5,1)*IF(_xlfn.XLOOKUP(B182,'Base stats'!B:B,'Base stats'!AM:AM)=1,0.1,1)/100,IF(_xlfn.XLOOKUP(B182,'Base stats'!B:B,'Base stats'!AM:AM)=1,0.001,0.025)),0.5)))</f>
        <v>0.03</v>
      </c>
      <c r="CA182" s="25" t="str">
        <f>IF(P182="Standard","No",MAX(0.001,MIN(MROUND(IF(AND(BJ182="True",CC182="False"),POWER(10,3.47*LOG10(_xlfn.XLOOKUP(B182,'Base stats'!B:B,'Base stats'!C:C)*1000)^-0.96),POWER(10,4.15*LOG10(_xlfn.XLOOKUP(B182,'Base stats'!B:B,'Base stats'!C:C)*1000)^-0.73))*IF(_xlfn.XLOOKUP(B182,'Base stats'!B:B,'Base stats'!AM:AM)=1,0.1,1)*_xlfn.XLOOKUP(B182,'Base stats'!B:B,'Base stats'!R:R)/100,IF(_xlfn.XLOOKUP(B182,'Base stats'!B:B,'Base stats'!AM:AM)=1,0.001,0.025)),0.5)))</f>
        <v>No</v>
      </c>
      <c r="CB182" s="25" t="str">
        <f>IF(_xlfn.XLOOKUP(_xlfn.XLOOKUP(B182,'Base stats'!B:B,'Base stats'!E:E),Groups!A:A,Groups!AJ:AJ)="Mammal","True","False")</f>
        <v>True</v>
      </c>
      <c r="CC182" s="25" t="str">
        <f>IF(OR(_xlfn.XLOOKUP(_xlfn.XLOOKUP(B182,'Base stats'!B:B,'Base stats'!E:E),Groups!A:A,Groups!AJ:AJ)="Reptile",_xlfn.XLOOKUP(_xlfn.XLOOKUP(B182,'Base stats'!B:B,'Base stats'!E:E),Groups!A:A,Groups!AJ:AJ)="Amphibian",_xlfn.XLOOKUP(_xlfn.XLOOKUP(B182,'Base stats'!B:B,'Base stats'!E:E),Groups!A:A,Groups!AJ:AJ)="Invertebrate"),"True","False")</f>
        <v>False</v>
      </c>
      <c r="CD182" s="25" t="str">
        <f t="shared" si="20"/>
        <v>False</v>
      </c>
      <c r="CE182" s="25" t="str">
        <f>IF(_xlfn.XLOOKUP(_xlfn.XLOOKUP(B182,'Base stats'!B:B,'Base stats'!E:E),Groups!A:A,Groups!AX:AX),"True","False")</f>
        <v>False</v>
      </c>
      <c r="CF182" s="25" t="str">
        <f>IF(_xlfn.XLOOKUP(_xlfn.XLOOKUP(B182,'Base stats'!B:B,'Base stats'!E:E),Groups!A:A,Groups!AY:AY),"True","False")</f>
        <v>False</v>
      </c>
      <c r="CG182" s="25" t="str">
        <f>IF(_xlfn.XLOOKUP(_xlfn.XLOOKUP(B182,'Base stats'!B:B,'Base stats'!E:E),Groups!A:A,Groups!AW:AW),"True","False")</f>
        <v>False</v>
      </c>
      <c r="CH182" s="25" t="str">
        <f>IF(
OR(
_xlfn.XLOOKUP(_xlfn.XLOOKUP(B182,'Base stats'!B:B,'Base stats'!E:E),Groups!A:A,Groups!AZ:AZ)=0,
AND(
_xlfn.XLOOKUP(B182,'Base stats'!B:B,'Base stats'!Y:Y)&lt;&gt;"Carnivore",
_xlfn.XLOOKUP(B182,'Base stats'!B:B,'Base stats'!Y:Y)&lt;&gt;"Omnivore",
_xlfn.XLOOKUP(B182,'Base stats'!B:B,'Base stats'!Y:Y)&lt;&gt;"OmnivoreRough"
)
),
"No",
IF(
_xlfn.XLOOKUP(_xlfn.XLOOKUP(B182,'Base stats'!B:B,'Base stats'!E:E),Groups!A:A,Groups!AZ:AZ)=1,
"Flesh",
IF(
_xlfn.XLOOKUP(_xlfn.XLOOKUP(B182,'Base stats'!B:B,'Base stats'!E:E),Groups!A:A,Groups!AZ:AZ)=2,
"Bone",
""
)
)
)</f>
        <v>No</v>
      </c>
      <c r="CI182" s="25" t="str">
        <f>IF(_xlfn.XLOOKUP(_xlfn.XLOOKUP(B182,'Base stats'!B:B,'Base stats'!E:E),Groups!A:A,Groups!BB:BB),"True","False")</f>
        <v>True</v>
      </c>
      <c r="CJ182" s="25" t="str">
        <f>IF(_xlfn.XLOOKUP(_xlfn.XLOOKUP(B182,'Base stats'!B:B,'Base stats'!E:E),Groups!A:A,Groups!BA:BA),"True","False")</f>
        <v>False</v>
      </c>
    </row>
    <row r="183" spans="1:88" s="16" customFormat="1" ht="16.5" thickTop="1" thickBot="1" x14ac:dyDescent="0.3">
      <c r="A183" s="26" t="str">
        <f>_xlfn.XLOOKUP(B183,'Base stats'!B:B,'Base stats'!A:A)</f>
        <v>Panda</v>
      </c>
      <c r="B183" s="6" t="s">
        <v>189</v>
      </c>
      <c r="C183" s="28" t="s">
        <v>1234</v>
      </c>
      <c r="D183" s="28" t="s">
        <v>1189</v>
      </c>
      <c r="E183" s="28" t="s">
        <v>673</v>
      </c>
      <c r="F183" s="28" t="s">
        <v>673</v>
      </c>
      <c r="G183" s="28" t="s">
        <v>1228</v>
      </c>
      <c r="H183" s="2">
        <f>MROUND((
  (IF(AND(_xlfn.XLOOKUP(B183,'Base stats'!B:B,'Base stats'!AL:AL)=0,BI183="None",_xlfn.XLOOKUP(_xlfn.XLOOKUP(B183,'Base stats'!B:B,'Base stats'!E:E),Groups!A:A,Groups!B:B)=0), (18 + BR183 * 2.7) * 0.5,
    IF(AND(_xlfn.XLOOKUP(B183,'Base stats'!B:B,'Base stats'!AL:AL)=0,OR(AO183&lt;0.55,AND(BI183="Intermediate",_xlfn.XLOOKUP(_xlfn.XLOOKUP(B183,'Base stats'!B:B,'Base stats'!E:E),Groups!A:A,Groups!B:B)&lt;2))), (18 + BR183 * 2.7),
      IF(OR(BI183="Advanced",_xlfn.XLOOKUP(B183,'Base stats'!B:B,'Base stats'!AL:AL)=1,_xlfn.XLOOKUP(_xlfn.XLOOKUP(B183,'Base stats'!B:B,'Base stats'!E:E),Groups!A:A,Groups!B:B)=2), (18 + BR183 * 2.7) + 250, (18 + BR183 * 2.7))
    )
  ))
  + AO183 * 80
  + IF(COUNTIF(EggMilk!K$2:K$998, A183) &gt; 0, 125, 0)
  + IF(COUNTIF(EggMilk!P$2:P$998, A183) &gt; 0, 90, 0)
  + IF(COUNTIF(EggMilk!A$2:A$998, A183) &gt; 0, 90, 0)
)
* (0.8 + 0.4 * J183)
* 0.75,25)</f>
        <v>600</v>
      </c>
      <c r="I183" s="2">
        <f>MROUND(ROUNDDOWN(_xlfn.XLOOKUP(B183,'Base stats'!B:B,'Base stats'!L:L)/3.6/(23.3/11),1),0.5)</f>
        <v>5</v>
      </c>
      <c r="J183" s="2">
        <f>IF(OR(_xlfn.XLOOKUP(B183,'Base stats'!B:B,'Base stats'!AB:AB)=1,_xlfn.XLOOKUP(_xlfn.XLOOKUP(B183,'Base stats'!B:B,'Base stats'!E:E),Groups!A:A,Groups!C:C)="Untamable"),1,IF(_xlfn.XLOOKUP(B183,'Base stats'!B:B,'Base stats'!AL:AL)=1,0.99,MIN(MROUND((1-0.6282*EXP(-0.459*AO183))*_xlfn.XLOOKUP(_xlfn.XLOOKUP(B183,'Base stats'!B:B,'Base stats'!E:E),Groups!A:A,Groups!C:C)*IF(_xlfn.XLOOKUP(B183,'Base stats'!B:B,'Base stats'!O:O)=1,0.5,IF(_xlfn.XLOOKUP(B183,'Base stats'!B:B,'Base stats'!O:O)=2,0,1)),0.05),IF(AO183&gt;3.5,0.985,0.95))))</f>
        <v>0.70000000000000007</v>
      </c>
      <c r="K183" s="2">
        <f>ROUNDUP(AO183*_xlfn.XLOOKUP(_xlfn.XLOOKUP(B183,'Base stats'!B:B,'Base stats'!E:E),Groups!A:A,Groups!E:E),0)</f>
        <v>2</v>
      </c>
      <c r="L183" s="2">
        <f>IF(OR(_xlfn.XLOOKUP(_xlfn.XLOOKUP(B183,'Base stats'!B:B,'Base stats'!E:E),Groups!A:A,Groups!F:F)=2,ISNUMBER(SEARCH("SeaIce",BX183)),ISNUMBER(SEARCH("IceSheet",BX183))),-50,IF(OR(ISNUMBER(SEARCH("GlacialPlain",BX183)),ISNUMBER(SEARCH("Tundra",BX183))),-40,IF(OR(ISNUMBER(SEARCH("Alpine",BX183)),ISNUMBER(SEARCH("BorealForest",BX183)),ISNUMBER(SEARCH("ColdBog",BX183))),-30,IF(OR(ISNUMBER(SEARCH("TemperateForest",BX183)),ISNUMBER(SEARCH("TemperateSwamp",BX183))),-20,IF(_xlfn.XLOOKUP(_xlfn.XLOOKUP(B183,'Base stats'!B:B,'Base stats'!E:E),Groups!A:A,Groups!F:F)=1,-15,IF(OR(ISNUMBER(SEARCH("Desert",BX183)),ISNUMBER(SEARCH("ExtremeDesert",BX183))),-10,IF(OR(ISNUMBER(SEARCH("Grasslands",BX183)),ISNUMBER(SEARCH("TropicalRainforest",BX183)),ISNUMBER(SEARCH("TropicalSwamp",BX183))),10,0)))))))-IF(CC183="False",MIN(IFERROR(MAX(MROUND(LOG10(_xlfn.XLOOKUP(B183,'Base stats'!B:B,'Base stats'!C:C)^(2/3))*10,5),5),5),30))-_xlfn.XLOOKUP(B183,'Base stats'!B:B,'Base stats'!P:P)+IF(CC183="True",5,0)</f>
        <v>-35</v>
      </c>
      <c r="M183" s="2">
        <f>IF(OR(_xlfn.XLOOKUP(_xlfn.XLOOKUP(B183,'Base stats'!B:B,'Base stats'!E:E),Groups!A:A,Groups!G:G)=2,ISNUMBER(SEARCH("Desert",BX183)),ISNUMBER(SEARCH("ExtremeDesert",BX183)),ISNUMBER(SEARCH("LavaField",BX183))),50,IF(ISNUMBER(SEARCH("Grasslands",BX183)),45,IF(OR(_xlfn.XLOOKUP(_xlfn.XLOOKUP(B183,'Base stats'!B:B,'Base stats'!E:E),Groups!A:A,Groups!G:G)=1,ISNUMBER(SEARCH("TropicalRainforest",BX183)),ISNUMBER(SEARCH("TropicalSwamp",BX183))),40,IF(OR(ISNUMBER(SEARCH("TemperateForest",BX183)),ISNUMBER(SEARCH("TemperateSwamp",BX183))),35,IF(OR(ISNUMBER(SEARCH("Alpine",BX183)),ISNUMBER(SEARCH("BorealForest",BX183)),ISNUMBER(SEARCH("ColdBog",BX183))),30,IF(ISNUMBER(OR(ISNUMBER(SEARCH("GlacialPlain",BX183)),SEARCH("Tundra",BX183))),25,IF(OR(ISNUMBER(SEARCH("SeaIce",BX183)),ISNUMBER(SEARCH("IceSheet",BX183)),ISNUMBER(SEARCH("TropicalSwamp",BX183))),10,35)))))))+_xlfn.XLOOKUP(B183,'Base stats'!B:B,'Base stats'!Q:Q)</f>
        <v>35</v>
      </c>
      <c r="N183" s="8" t="str">
        <f>IF(
_xlfn.XLOOKUP(
_xlfn.XLOOKUP(B183,'Base stats'!B:B,'Base stats'!E:E),
Groups!A:A,
Groups!L:L
)=1,
MIN(
MROUND(
IF(
_xlfn.XLOOKUP(B183,'Animals CE'!B:B,'Animals CE'!Z:Z)&lt;=1.5,
_xlfn.XLOOKUP(B183,'Animals CE'!B:B,'Animals CE'!Z:Z)/2+0.05,
0.8+
(_xlfn.XLOOKUP(B183,'Animals CE'!B:B,'Animals CE'!Z:Z)-1.5)
*0.02
),
0.05
),
200%
),
"No"
)</f>
        <v>No</v>
      </c>
      <c r="O183" s="8" t="str">
        <f>IF(
_xlfn.XLOOKUP(
_xlfn.XLOOKUP(B183,'Base stats'!B:B,'Base stats'!E:E),
Groups!A:A,
Groups!L:L
)=1,
MIN(
MROUND(
IF(
_xlfn.XLOOKUP(B183,'Animals CE'!B:B,'Animals CE'!AA:AA)&lt;=1.5,
_xlfn.XLOOKUP(B183,'Animals CE'!B:B,'Animals CE'!AA:AA)/2+0.05,
0.8+
(_xlfn.XLOOKUP(B183,'Animals CE'!B:B,'Animals CE'!AA:AA)-1.5)
*0.02
),
0.05
),
200%
),
"No"
)</f>
        <v>No</v>
      </c>
      <c r="P183" s="2" t="str">
        <f>_xlfn.XLOOKUP(B183,'Base stats'!B:B,'Base stats'!R:R)</f>
        <v>Standard</v>
      </c>
      <c r="Q183" s="13">
        <f>MROUND((LOG10(_xlfn.XLOOKUP(B183,'Base stats'!B:B,'Base stats'!AR:AR))*(AO183^0.5)+(_xlfn.XLOOKUP(B183,'Base stats'!B:B,'Base stats'!AR:AR)/1000)^(2/3)+_xlfn.XLOOKUP(B183,'Base stats'!B:B,'Base stats'!BA:BA)/2)+0.5,0.5)</f>
        <v>9</v>
      </c>
      <c r="R183" s="7">
        <f>IF(Q183="No","No",MAX(1,MROUND(_xlfn.XLOOKUP(B183,'Base stats'!B:B,'Base stats'!C:C)^0.165,0.05)))</f>
        <v>2.2000000000000002</v>
      </c>
      <c r="S183" s="13" t="str">
        <f>IF(_xlfn.XLOOKUP(_xlfn.XLOOKUP(B183,'Base stats'!B:B,'Base stats'!E:E),Groups!A:A,Groups!P:P)=0,"No",MROUND((LOG10(_xlfn.XLOOKUP(B183,'Base stats'!B:B,'Base stats'!AS:AS))*(AO183^0.5)+(_xlfn.XLOOKUP(B183,'Base stats'!B:B,'Base stats'!AS:AS)/1000)^(2/3)+_xlfn.XLOOKUP(B183,'Base stats'!B:B,'Base stats'!BA:BA))+_xlfn.XLOOKUP(B183,'Base stats'!B:B,'Base stats'!AY:AY)+0.5,0.5))</f>
        <v>No</v>
      </c>
      <c r="T183" s="7" t="str">
        <f>IF(S183="No","No",MAX(_xlfn.XLOOKUP(_xlfn.XLOOKUP(B183,'Base stats'!B:B,'Base stats'!E:E),Groups!A:A,Groups!Q:Q),MROUND(_xlfn.XLOOKUP(_xlfn.XLOOKUP(B183,'Base stats'!B:B,'Base stats'!E:E),Groups!A:A,Groups!Q:Q)*_xlfn.XLOOKUP(B183,'Base stats'!B:B,'Base stats'!C:C)^0.165,0.05)))</f>
        <v>No</v>
      </c>
      <c r="U183" s="7" t="str">
        <f>IF(S183="No","No",_xlfn.XLOOKUP(_xlfn.XLOOKUP(B183,'Base stats'!B:B,'Base stats'!E:E),Groups!A:A,Groups!R:R))</f>
        <v>No</v>
      </c>
      <c r="V183" s="7" t="str">
        <f>IF(S183="No","No",_xlfn.XLOOKUP(_xlfn.XLOOKUP(B183,'Base stats'!B:B,'Base stats'!E:E),Groups!A:A,Groups!S:S))</f>
        <v>No</v>
      </c>
      <c r="W183" s="7" t="str">
        <f>IF(S183="No","No",_xlfn.XLOOKUP(_xlfn.XLOOKUP(B183,'Base stats'!B:B,'Base stats'!E:E),Groups!A:A,Groups!T:T))</f>
        <v>No</v>
      </c>
      <c r="X183" s="13" t="str">
        <f>IF(_xlfn.XLOOKUP(B183,'Base stats'!B:B,'Base stats'!W:W)="No","No",MROUND((LOG10(_xlfn.XLOOKUP(B183,'Base stats'!B:B,'Base stats'!AU:AU))*(AO183^0.5)+(_xlfn.XLOOKUP(B183,'Base stats'!B:B,'Base stats'!AU:AU)/1000)^(2/3)+_xlfn.XLOOKUP(B183,'Base stats'!B:B,'Base stats'!AZ:AZ))+0.5+IF(_xlfn.XLOOKUP(_xlfn.XLOOKUP(B183,'Base stats'!B:B,'Base stats'!E:E),Groups!A:A,Groups!U:U)&lt;&gt;3,_xlfn.XLOOKUP(B183,'Base stats'!B:B,'Base stats'!BA:BA),0),0.5))</f>
        <v>No</v>
      </c>
      <c r="Y183" s="7" t="str">
        <f>IF(X183="No","No",MAX(_xlfn.XLOOKUP(_xlfn.XLOOKUP(B183,'Base stats'!B:B,'Base stats'!E:E),Groups!A:A,Groups!V:V),MROUND(_xlfn.XLOOKUP(_xlfn.XLOOKUP(B183,'Base stats'!B:B,'Base stats'!E:E),Groups!A:A,Groups!V:V)*_xlfn.XLOOKUP(B183,'Base stats'!B:B,'Base stats'!C:C)^0.165,0.05)))</f>
        <v>No</v>
      </c>
      <c r="Z183" s="7" t="str">
        <f>IF(X183="No","No",_xlfn.XLOOKUP(_xlfn.XLOOKUP(B183,'Base stats'!B:B,'Base stats'!E:E),Groups!A:A,Groups!W:W))</f>
        <v>No</v>
      </c>
      <c r="AA183" s="7" t="str">
        <f>IF(X183="No","No",_xlfn.XLOOKUP(_xlfn.XLOOKUP(B183,'Base stats'!B:B,'Base stats'!E:E),Groups!A:A,Groups!X:X))</f>
        <v>No</v>
      </c>
      <c r="AB183" s="7" t="str">
        <f>IF(X183="No","No",_xlfn.XLOOKUP(_xlfn.XLOOKUP(B183,'Base stats'!B:B,'Base stats'!E:E),Groups!A:A,Groups!Y:Y))</f>
        <v>No</v>
      </c>
      <c r="AC183" s="7" t="str">
        <f>_xlfn.XLOOKUP(Animals!B183,'Base stats'!B:B,'Base stats'!X:X)</f>
        <v>False</v>
      </c>
      <c r="AD183" s="13">
        <f>IF(_xlfn.XLOOKUP(B183,'Base stats'!B:B,'Base stats'!AT:AT)="No","No",MROUND((LOG10(_xlfn.XLOOKUP(B183,'Base stats'!B:B,'Base stats'!AT:AT))*(AO183^0.75)+(_xlfn.XLOOKUP(B183,'Base stats'!B:B,'Base stats'!AT:AT)/1000)^(2/3)+_xlfn.XLOOKUP(B183,'Base stats'!B:B,'Base stats'!AX:AX)+_xlfn.XLOOKUP(B183,'Base stats'!B:B,'Base stats'!BA:BA))+0.5,0.5))</f>
        <v>15.5</v>
      </c>
      <c r="AE183" s="7">
        <f>IF(AD183="No","No",MAX(_xlfn.XLOOKUP(_xlfn.XLOOKUP(B183,'Base stats'!B:B,'Base stats'!E:E),Groups!A:A,Groups!Z:Z),MROUND(_xlfn.XLOOKUP(_xlfn.XLOOKUP(B183,'Base stats'!B:B,'Base stats'!E:E),Groups!A:A,Groups!Z:Z)*_xlfn.XLOOKUP(B183,'Base stats'!B:B,'Base stats'!C:C)^0.165,0.05)))</f>
        <v>1.85</v>
      </c>
      <c r="AF183" s="7" t="str">
        <f>IF(AD183="No","No",_xlfn.XLOOKUP(_xlfn.XLOOKUP(B183,'Base stats'!B:B,'Base stats'!E:E),Groups!A:A,Groups!AA:AA))</f>
        <v>Teeth</v>
      </c>
      <c r="AG183" s="7" t="str">
        <f>IF(AD183="No","No",_xlfn.XLOOKUP(_xlfn.XLOOKUP(B183,'Base stats'!B:B,'Base stats'!E:E),Groups!A:A,Groups!AB:AB))</f>
        <v>canines</v>
      </c>
      <c r="AH183" s="7" t="str">
        <f>IF(AD183="No","No",_xlfn.XLOOKUP(_xlfn.XLOOKUP(B183,'Base stats'!B:B,'Base stats'!E:E),Groups!A:A,Groups!AC:AC))</f>
        <v>Bite</v>
      </c>
      <c r="AI183" s="13">
        <f>IF(_xlfn.XLOOKUP(_xlfn.XLOOKUP(B183,'Base stats'!B:B,'Base stats'!E:E),Groups!A:A,Groups!AD:AD)=0,"No",MROUND((LOG10(_xlfn.XLOOKUP(B183,'Base stats'!B:B,'Base stats'!AS:AS))*(AO183^0.75)+(_xlfn.XLOOKUP(B183,'Base stats'!B:B,'Base stats'!AS:AS)/1000)^(2/3)+_xlfn.XLOOKUP(B183,'Base stats'!B:B,'Base stats'!AY:AY)+_xlfn.XLOOKUP(B183,'Base stats'!B:B,'Base stats'!BA:BA))+0.5,0.5))</f>
        <v>13.5</v>
      </c>
      <c r="AJ183" s="7">
        <f>IF(AI183="No","No",MAX(_xlfn.XLOOKUP(_xlfn.XLOOKUP(B183,'Base stats'!B:B,'Base stats'!E:E),Groups!A:A,Groups!AE:AE),MROUND(_xlfn.XLOOKUP(_xlfn.XLOOKUP(B183,'Base stats'!B:B,'Base stats'!E:E),Groups!A:A,Groups!AE:AE)*IF(_xlfn.XLOOKUP(_xlfn.XLOOKUP(B183,'Base stats'!B:B,'Base stats'!E:E),Groups!A:A,Groups!AJ:AJ)="Photonozoa",0.6,1)*_xlfn.XLOOKUP(B183,'Base stats'!B:B,'Base stats'!C:C)^0.165,0.05)))</f>
        <v>1.4500000000000002</v>
      </c>
      <c r="AK183" s="7" t="str">
        <f>IF(AI183="No","No",_xlfn.XLOOKUP(_xlfn.XLOOKUP(B183,'Base stats'!B:B,'Base stats'!E:E),Groups!A:A,Groups!AF:AF))</f>
        <v>FrontLeftPaw, FrontRightPaw</v>
      </c>
      <c r="AL183" s="7" t="str">
        <f>IF(AI183="No","No",_xlfn.XLOOKUP(_xlfn.XLOOKUP(B183,'Base stats'!B:B,'Base stats'!E:E),Groups!A:A,Groups!AG:AG))</f>
        <v>left claw, right claw</v>
      </c>
      <c r="AM183" s="7" t="str">
        <f>IF(AI183="No","No",_xlfn.XLOOKUP(_xlfn.XLOOKUP(B183,'Base stats'!B:B,'Base stats'!E:E),Groups!A:A,Groups!AH:AH))</f>
        <v>Scratch</v>
      </c>
      <c r="AN183" s="2" t="str">
        <f t="shared" si="14"/>
        <v>No</v>
      </c>
      <c r="AO183" s="2">
        <f>MROUND(IF(AND(_xlfn.XLOOKUP(B183,'Base stats'!B:B,'Base stats'!C:C)&gt;=0.5,_xlfn.XLOOKUP(B183,'Base stats'!B:B,'Base stats'!C:C)&lt;=0.8),
IF(_xlfn.XLOOKUP(B183,'Base stats'!B:B,'Base stats'!C:C)&lt;0.1,0.05,IF(_xlfn.XLOOKUP(B183,'Base stats'!B:B,'Base stats'!C:C)&lt;=70,(_xlfn.XLOOKUP(B183,'Base stats'!B:B,'Base stats'!C:C)/70)^0.426489913056526,IF(_xlfn.XLOOKUP(B183,'Base stats'!B:B,'Base stats'!C:C)&lt;=400,(_xlfn.XLOOKUP(B183,'Base stats'!B:B,'Base stats'!C:C)/70)^0.572811455315093,IF(_xlfn.XLOOKUP(B183,'Base stats'!B:B,'Base stats'!C:C)&lt;=2000,2.71391647193063*(_xlfn.XLOOKUP(B183,'Base stats'!B:B,'Base stats'!C:C)/400)^0.252459582904293,3.74314280240376*(_xlfn.XLOOKUP(B183,'Base stats'!B:B,'Base stats'!C:C)/2000)^0.357012633876913)))),
IF(_xlfn.XLOOKUP(B183,'Base stats'!B:B,'Base stats'!C:C)&lt;0.1,0.05,IF(_xlfn.XLOOKUP(B183,'Base stats'!B:B,'Base stats'!C:C)&lt;0.4,0.1,IF(_xlfn.XLOOKUP(B183,'Base stats'!B:B,'Base stats'!C:C)&lt;=70,(_xlfn.XLOOKUP(B183,'Base stats'!B:B,'Base stats'!C:C)/70)^0.445823913056526,IF(_xlfn.XLOOKUP(B183,'Base stats'!B:B,'Base stats'!C:C)&lt;=400,(_xlfn.XLOOKUP(B183,'Base stats'!B:B,'Base stats'!C:C)/70)^0.572811455315093,IF(_xlfn.XLOOKUP(B183,'Base stats'!B:B,'Base stats'!C:C)&lt;=2000,2.71391647193063*(_xlfn.XLOOKUP(B183,'Base stats'!B:B,'Base stats'!C:C)/400)^0.252459582904293,3.74314280240376*(_xlfn.XLOOKUP(B183,'Base stats'!B:B,'Base stats'!C:C)/2000)^0.357012633876913)))))),
IF(_xlfn.XLOOKUP(B183,'Base stats'!B:B,'Base stats'!C:C)&lt;0.1,0.05,IF(_xlfn.XLOOKUP(B183,'Base stats'!B:B,'Base stats'!C:C)&lt;=100,0.05,IF(_xlfn.XLOOKUP(B183,'Base stats'!B:B,'Base stats'!C:C)&lt;=250,0.1,IF(_xlfn.XLOOKUP(B183,'Base stats'!B:B,'Base stats'!C:C)&lt;=4000,0.25,0.5)))))</f>
        <v>1.3</v>
      </c>
      <c r="AP183" s="8">
        <f>MROUND(AO183*_xlfn.XLOOKUP(_xlfn.XLOOKUP(B183,'Base stats'!B:B,'Base stats'!E:E),Groups!A:A,Groups!AI:AI)*_xlfn.XLOOKUP(B183,'Base stats'!B:B,'Base stats'!Z:Z),0.05)</f>
        <v>1.55</v>
      </c>
      <c r="AQ183" s="8">
        <f>MAX(0.01,MROUND(IF(CC183="True",0.196*(AO183*100*1000)^0.889,IF(_xlfn.XLOOKUP(_xlfn.XLOOKUP(B183,'Base stats'!B:B,'Base stats'!E:E),Groups!A:A,Groups!AJ:AJ)="Bird",10.5*(AO183*100*1000)^0.681,4.82*(AO183*100*1000)^0.734))/(4.82*(1*100*1000)^0.734)/IF(AO183&lt;3.5,2,IF(AO183=3.5,1.5,1.25))*(1+0.132282374779864/(AO183^0.994035016789033+0.00905238001496948)),0.05))</f>
        <v>0.65</v>
      </c>
      <c r="AR183" s="9">
        <f>IFERROR(MROUND(_xlfn.XLOOKUP(B183,'Base stats'!B:B,'Base stats'!H:H)/IF(_xlfn.XLOOKUP(B183,'Base stats'!B:B,'Base stats'!I:I)&lt;&gt;1,(122.5/70),1.2),IF(_xlfn.XLOOKUP(B183,'Base stats'!B:B,'Base stats'!H:H)&gt;=30,5,IF(_xlfn.XLOOKUP(B183,'Base stats'!B:B,'Base stats'!H:H)&gt;=15,3,IF(_xlfn.XLOOKUP(B183,'Base stats'!B:B,'Base stats'!H:H)&gt;=10,2,1)))),"Immortal")</f>
        <v>20</v>
      </c>
      <c r="AS183" s="35">
        <f>IFERROR(IF(OR(_xlfn.XLOOKUP(B183,'Base stats'!B:B,'Base stats'!F:F)="Atypical reproduction",_xlfn.XLOOKUP(B183,'Base stats'!B:B,'Base stats'!F:F)="Lay eggs"),"Lay eggs",MIN(20,MAX(5.5,ROUND(((_xlfn.XLOOKUP(B183,'Base stats'!B:B,'Base stats'!F:F)-25)*(14.5/615) + 5.5)*2,0)/2))),"Unknown")</f>
        <v>6</v>
      </c>
      <c r="AT183" s="8">
        <f>IF(_xlfn.XLOOKUP(B183,'Base stats'!B:B,'Base stats'!G:G)="Atypical reproduction","No",IFERROR(MAX(IF(_xlfn.XLOOKUP(B183,'Base stats'!B:B,'Base stats'!G:G)&lt;0.5,0.2,0.3),MROUND(_xlfn.XLOOKUP(B183,'Base stats'!B:B,'Base stats'!G:G)/(365/60),0.2)),"Unknown"))</f>
        <v>1</v>
      </c>
      <c r="AU183" s="8">
        <f t="shared" si="15"/>
        <v>0.5</v>
      </c>
      <c r="AV183" s="8">
        <f>IFERROR(IFERROR(MROUND(_xlfn.XLOOKUP(B183,'Base stats'!B:B,'Base stats'!J:J),0.1),"Lay eggs"),"Cannot breed")</f>
        <v>1.5</v>
      </c>
      <c r="AW183" s="2" t="str">
        <f t="shared" si="16"/>
        <v>false</v>
      </c>
      <c r="AX183" s="2" t="str">
        <f>IF(_xlfn.XLOOKUP(_xlfn.XLOOKUP(Animals!B183,'Base stats'!B:B,'Base stats'!E:E),Groups!A:A,Groups!AK:AK)=1,"true","false")</f>
        <v>false</v>
      </c>
      <c r="AY183" s="25" t="str">
        <f>IF(_xlfn.XLOOKUP(B183,'Base stats'!B:B,'Base stats'!Y:Y)="Liquor","Liquor, CarnivoreAnimalStrict",IF(AND(_xlfn.XLOOKUP(B183,'Base stats'!B:B,'Base stats'!Y:Y)="Carnivore",_xlfn.XLOOKUP(_xlfn.XLOOKUP(B183,'Base stats'!B:B,'Base stats'!E:E),Groups!A:A,Groups!AJ:AJ)="Photonozoa"),"CarnivoreAnimalStrict, OvivoreAnimal",IF(_xlfn.XLOOKUP(B183,'Base stats'!B:B,'Base stats'!Y:Y)="Carnivore","CarnivoreAnimal, OvivoreAnimal",IF(_xlfn.XLOOKUP(B183,'Base stats'!B:B,'Base stats'!Y:Y)="Dendrovore","VegetarianRoughAnimal, DendrovoreAnimal",IF(_xlfn.XLOOKUP(B183,'Base stats'!B:B,'Base stats'!Y:Y)="Herbivore","VegetarianRoughAnimal",IF(_xlfn.XLOOKUP(B183,'Base stats'!B:B,'Base stats'!Y:Y)="OmnivoreRough","OmnivoreRoughAnimal, OvivoreAnimal","OmnivoreAnimal, OvivoreAnimal"))))))</f>
        <v>VegetarianRoughAnimal</v>
      </c>
      <c r="AZ183" s="2" t="str">
        <f>IF(_xlfn.XLOOKUP(_xlfn.XLOOKUP(B183,'Base stats'!B:B,'Base stats'!E:E),Groups!A:A,Groups!D:D)=1,MROUND((1-J183)*5+1,2)*IF(J183&lt;=0.4,2,1),"No")</f>
        <v>No</v>
      </c>
      <c r="BA183" s="2" t="str">
        <f>IF(AND(_xlfn.XLOOKUP(B183,'Base stats'!B:B,'Base stats'!AH:AH)="&lt;li&gt;Seal&lt;/li&gt;",G183="Odyssey"),"&lt;li&gt;AEXP_Seal&lt;/li&gt;",_xlfn.XLOOKUP(B183,'Base stats'!B:B,'Base stats'!AH:AH))</f>
        <v>&lt;li&gt;Bear_Grizzly&lt;/li&gt;</v>
      </c>
      <c r="BB183" s="2" t="str">
        <f>_xlfn.XLOOKUP(B183,'Base stats'!B:B,'Base stats'!AG:AG)</f>
        <v>Leather_Bear</v>
      </c>
      <c r="BC183" s="23" t="str">
        <f>_xlfn.XLOOKUP(_xlfn.XLOOKUP(B183,'Base stats'!B:B,'Base stats'!E:E),Groups!A:A,Groups!AL:AL)</f>
        <v>QuadrupedAnimalWithPaws</v>
      </c>
      <c r="BD183" s="23">
        <f>MIN(1,MROUND(IF(AND(AO183&lt;0.5,_xlfn.XLOOKUP(B183,'Base stats'!B:B,'Base stats'!AA:AA)=0),0,IF(OR(_xlfn.XLOOKUP(Animals!B183,'Base stats'!B:B,'Base stats'!O:O)=2,_xlfn.XLOOKUP(_xlfn.XLOOKUP(B183,'Base stats'!B:B,'Base stats'!E:E),Groups!A:A,Groups!AN:AN)=0),0,_xlfn.XLOOKUP(_xlfn.XLOOKUP(B183,'Base stats'!B:B,'Base stats'!E:E),Groups!A:A,Groups!AN:AN)/IF(_xlfn.XLOOKUP(Animals!B183,'Base stats'!B:B,'Base stats'!O:O)=1,2,1)))+_xlfn.XLOOKUP(B183,'Base stats'!B:B,'Base stats'!AC:AC),0.005))</f>
        <v>2.5000000000000001E-2</v>
      </c>
      <c r="BE183" s="23">
        <f>MIN(1,MROUND(IF(AND(AO183&lt;0.5,_xlfn.XLOOKUP(B183,'Base stats'!B:B,'Base stats'!AA:AA)=0),0,IF(_xlfn.XLOOKUP(_xlfn.XLOOKUP(B183,'Base stats'!B:B,'Base stats'!E:E),Groups!A:A,Groups!AO:AO)=0,0,_xlfn.XLOOKUP(_xlfn.XLOOKUP(B183,'Base stats'!B:B,'Base stats'!E:E),Groups!A:A,Groups!AO:AO)/IF(_xlfn.XLOOKUP(Animals!B183,'Base stats'!B:B,'Base stats'!O:O)=2,3,1)))+_xlfn.XLOOKUP(B183,'Base stats'!B:B,'Base stats'!AD:AD),0.005))</f>
        <v>0.1</v>
      </c>
      <c r="BF183" s="2" t="str">
        <f>IF(J183&gt;0.3,"No",_xlfn.XLOOKUP(_xlfn.XLOOKUP(Animals!B183,'Base stats'!B:B,'Base stats'!E:E),Groups!A:A,Groups!AP:AP))</f>
        <v>No</v>
      </c>
      <c r="BG183" s="2" t="str">
        <f>IF(AND(J183&lt;=0.65,_xlfn.XLOOKUP(_xlfn.XLOOKUP(Animals!B183,'Base stats'!B:B,'Base stats'!E:E),Groups!A:A,Groups!AP:AP)&lt;&gt;"No",_xlfn.XLOOKUP(_xlfn.XLOOKUP(B183,'Base stats'!B:B,'Base stats'!E:E),Groups!A:A,Groups!D:D)=0),MROUND((80/3)*IF(_xlfn.XLOOKUP(B183,'Base stats'!B:B,'Base stats'!O:O)=2,0.2,AO183) + 24*(1-IF(BF183="No",0,BF183)) + 16/3, 12),"No")</f>
        <v>No</v>
      </c>
      <c r="BH183" s="2">
        <f>IF(AND(_xlfn.XLOOKUP(_xlfn.XLOOKUP(B183,'Base stats'!B:B,'Base stats'!E:E),Groups!A:A,Groups!AQ:AQ)=1,AO183&lt;=0.35),8,12)</f>
        <v>12</v>
      </c>
      <c r="BI183" s="2" t="str">
        <f>IF(_xlfn.XLOOKUP(_xlfn.XLOOKUP(B183,'Base stats'!B:B,'Base stats'!E:E),Groups!A:A,Groups!D:D)=0,_xlfn.XLOOKUP(_xlfn.XLOOKUP(B183,'Base stats'!B:B,'Base stats'!E:E),Groups!A:A,Groups!AR:AR),"None")</f>
        <v>Advanced</v>
      </c>
      <c r="BJ183" s="2" t="str">
        <f>IF(AND(_xlfn.XLOOKUP(_xlfn.XLOOKUP(B183,'Base stats'!B:B,'Base stats'!E:E),Groups!A:A,Groups!AS:AS)=1,OR(_xlfn.XLOOKUP(B183,'Base stats'!B:B,'Base stats'!Y:Y)="Carnivore",_xlfn.XLOOKUP(B183,'Base stats'!B:B,'Base stats'!Y:Y)="Omnivore")),"true","false")</f>
        <v>false</v>
      </c>
      <c r="BK183" s="2" t="str">
        <f>IF(BJ183="true",MROUND(IF(AND(AO183&gt;0.5,OR(_xlfn.XLOOKUP(_xlfn.XLOOKUP(B183,'Base stats'!B:B,'Base stats'!E:E),Groups!A:A,Groups!AJ:AJ)="Photonozoa",_xlfn.XLOOKUP(_xlfn.XLOOKUP(B183,'Base stats'!B:B,'Base stats'!E:E),Groups!A:A,Groups!AJ:AJ)="Mammal")),Animals!AO183*1.75*IF(AW183="true",1.5,1),IF(AO183&lt;0.5,Animals!AO183*0.5,Animals!AO183)),IF(AO183&gt;2,0.5,IF(AO183&gt;0.5,0.25,0.1))),"No")</f>
        <v>No</v>
      </c>
      <c r="BL183" s="2">
        <f t="shared" si="17"/>
        <v>1</v>
      </c>
      <c r="BM183" s="25" t="str">
        <f>IF(_xlfn.XLOOKUP(B183,'Base stats'!B:B,'Base stats'!AN:AN)="Standard","No",MROUND((_xlfn.XLOOKUP(B183,'Base stats'!B:B,'Base stats'!AN:AN)/3.6)/I183,0.1))</f>
        <v>No</v>
      </c>
      <c r="BN183" s="25" t="str">
        <f t="shared" si="18"/>
        <v>false</v>
      </c>
      <c r="BO183" s="25" t="str">
        <f>IF(AND(OR(_xlfn.XLOOKUP(B183,'Base stats'!B:B,'Base stats'!Y:Y)="Carnivore",_xlfn.XLOOKUP(B183,'Base stats'!B:B,'Base stats'!Y:Y)="Omnivore",_xlfn.XLOOKUP(B183,'Base stats'!B:B,'Base stats'!Y:Y)="OmnivoreRough"),_xlfn.XLOOKUP(_xlfn.XLOOKUP(B183,'Base stats'!B:B,'Base stats'!E:E),Groups!A:A,Groups!AT:AT)=1),"true","false")</f>
        <v>false</v>
      </c>
      <c r="BP183" s="25" t="str" cm="1">
        <f t="array" ref="BP183">IF(
  _xlfn.TEXTJOIN(", ",TRUE,
    IF(AND(BJ183="true",AO183&gt;0.5,BI183&lt;&gt;"None"),"AttackTarget",""),
    IF(AND(_xlfn.XLOOKUP(_xlfn.XLOOKUP(B183,'Base stats'!B:B,'Base stats'!E:E),Groups!A:A,Groups!AJ:AJ="Mammal"),OR(_xlfn.XLOOKUP(B183,'Base stats'!B:B,'Base stats'!Y:Y)="Omnivore",_xlfn.XLOOKUP(B183,'Base stats'!B:B,'Base stats'!Y:Y)="OmnivoreRough")),"Forage",""),
    IF(BG183&lt;=36,"Comfort",""),
    IF(_xlfn.XLOOKUP(B183,'Base stats'!B:B,'Base stats'!AE:AE)&lt;&gt;"No",_xlfn.XLOOKUP(B183,'Base stats'!B:B,'Base stats'!AE:AE),"")
  ) = "",
  "No",
  _xlfn.TEXTJOIN(", ",TRUE,
    IF(AND(BJ183="true",AO183&gt;0.5,BI183&lt;&gt;"None"),"AttackTarget",""),
    IF(AND(_xlfn.XLOOKUP(_xlfn.XLOOKUP(B183,'Base stats'!B:B,'Base stats'!E:E),Groups!A:A,Groups!AJ:AJ="Mammal"),OR(_xlfn.XLOOKUP(B183,'Base stats'!B:B,'Base stats'!Y:Y)="Omnivore",_xlfn.XLOOKUP(B183,'Base stats'!B:B,'Base stats'!Y:Y)="OmnivoreRough")),"Forage",""),
    IF(BG183&lt;=36,"Comfort",""),
    IF(_xlfn.XLOOKUP(B183,'Base stats'!B:B,'Base stats'!AE:AE)&lt;&gt;"No",_xlfn.XLOOKUP(B183,'Base stats'!B:B,'Base stats'!AE:AE),"")
  )
)</f>
        <v>No</v>
      </c>
      <c r="BQ183" s="25" t="str">
        <f>IF(
   AND(
      'Base stats'!AN183="Standard",_xlfn.XLOOKUP(_xlfn.XLOOKUP(B183,'Base stats'!B:B,'Base stats'!E:E),Groups!A:A,Groups!AU:AU)=0,
      OR(
      BO183="True"
      )
   ),
   10,
   IF(
       OR(BM183&lt;&gt;"No",_xlfn.XLOOKUP(_xlfn.XLOOKUP(B183,'Base stats'!B:B,'Base stats'!E:E),Groups!A:A,Groups!AU:AU)=1),
      1,
      "No"
   )
)</f>
        <v>No</v>
      </c>
      <c r="BR183" s="9">
        <f>MROUND((1 + ((0.2*IF(OR(Q183="No",R183="No",R183=0),0,Q183/R183)
+IF(OR(V183="No",S183="No",T183="No"),0,S183/T183*(LEN(V183)-LEN(SUBSTITUTE(V183,",",""))+1))
+IF(OR(X183="No",Y183="No"),0,X183/Y183)
+IF(OR(AD183="No",AE183="No"),0,AD183/AE183)
+IF(OR(AL183="No",AI183="No",AJ183="No"),0,AI183/AJ183*(LEN(AL183)-LEN(SUBSTITUTE(AL183,",",""))+1))
)/(0.2*IF(OR(Q183="No",R183="No",R183=0),0,1)
+IF(OR(V183="No",S183="No",T183="No"),0,LEN(V183)-LEN(SUBSTITUTE(V183,",",""))+1)
+IF(OR(X183="No",Y183="No"),0,1)
+IF(OR(AD183="No",AE183="No"),0,1)
+IF(OR(AL183="No",AI183="No",AJ183="No"),0,LEN(AL183)-LEN(SUBSTITUTE(AL183,",",""))+1))*62%)* 2)*(1 + (AP183 / (IF(_xlfn.XLOOKUP(_xlfn.XLOOKUP(B183,'Base stats'!B:B,'Base stats'!E:E),Groups!A:A,Groups!AJ:AJ)="Photonozoa",0.3,1)) + _xlfn.XLOOKUP(B183,'Base stats'!B:B,'Base stats'!AV:AV) * 1.8) * 2) * 2.5 + 10 + I183 * 2,5)+IF(_xlfn.XLOOKUP(B183,'Base stats'!B:B,'Base stats'!AK:AK)=1,50,0)</f>
        <v>140</v>
      </c>
      <c r="BS183" s="8">
        <f t="shared" si="19"/>
        <v>0.8</v>
      </c>
      <c r="BT183" s="8" t="str">
        <f>_xlfn.XLOOKUP(B183,'Base stats'!B:B,'Base stats'!AF:AF)</f>
        <v>No</v>
      </c>
      <c r="BU183" s="2" t="str">
        <f>IF(AND(J183&lt;=0.95,OR(_xlfn.XLOOKUP(B183,'Base stats'!B:B,'Base stats'!AK:AK)=1,_xlfn.XLOOKUP(B183,'Base stats'!B:B,'Base stats'!Y:Y)="Carnivore",_xlfn.XLOOKUP(B183,'Base stats'!B:B,'Base stats'!Y:Y)="Omnivore",BE183&gt;0.1)),"true","false")</f>
        <v>false</v>
      </c>
      <c r="BV183" s="2" t="str">
        <f>IF(_xlfn.XLOOKUP(B183,'Base stats'!B:B,'Base stats'!AI:AI)=1,"true","false")</f>
        <v>false</v>
      </c>
      <c r="BW183" s="25" t="str">
        <f>IF(E183="BaseInsect","AnimalInsect",
IF(J183&gt;0.95,"AnimalExotic",
_xlfn.TEXTJOIN(", ",TRUE,
IF(OR(_xlfn.XLOOKUP(B183,'Base stats'!B:B,'Base stats'!AM:AM)=1,AND(_xlfn.XLOOKUP(B183,'Base stats'!B:B,'Base stats'!O:O)=0,_xlfn.XLOOKUP(_xlfn.XLOOKUP(B183,'Base stats'!B:B,'Base stats'!E:E),Groups!A:A,Groups!B:B)&gt;0)),"AnimalUncommon","AnimalCommon"),
IF(AND(_xlfn.XLOOKUP(B183,'Base stats'!B:B,'Base stats'!O:O)=2,_xlfn.XLOOKUP(_xlfn.XLOOKUP(B183,'Base stats'!B:B,'Base stats'!E:E),Groups!A:A,Groups!D:D)=0),"AnimalPet",IF(AND(_xlfn.XLOOKUP(B183,'Base stats'!B:B,'Base stats'!O:O)&lt;&gt;0,_xlfn.XLOOKUP(_xlfn.XLOOKUP(B183,'Base stats'!B:B,'Base stats'!E:E),Groups!A:A,Groups!D:D)&lt;&gt;0),"AnimalFarm","")),
IF(OR(_xlfn.XLOOKUP(B183,'Base stats'!B:B,'Base stats'!AK:AK)=1,AND(BI183&lt;&gt;"None",BR183&gt;=60),ISNUMBER(SEARCH("Attack target",BP183))),"AnimalFighter","")
)))</f>
        <v>AnimalUncommon, AnimalFighter</v>
      </c>
      <c r="BX183" s="25" t="str">
        <f>IF(G183="None",TRIM(
SUBSTITUTE(
IF(COUNTIF(Biomes!B$2:B$259,"="&amp;$C183)&gt;0,Biomes!B$1&amp;", ","")&amp;
IF(COUNTIF(Biomes!C$2:C$259,"="&amp;$C183)&gt;0,Biomes!C$1&amp;", ","")&amp;
IF(COUNTIF(Biomes!D$2:D$259,"="&amp;$C183)&gt;0,Biomes!D$1&amp;", ","")&amp;
IF(COUNTIF(Biomes!F$2:F$259,"="&amp;$C183)&gt;0,Biomes!F$1&amp;", ","")&amp;
IF(COUNTIF(Biomes!G$2:G$259,"="&amp;$C183)&gt;0,Biomes!G$1&amp;", ","")&amp;
IF(COUNTIF(Biomes!H$2:H$259,"="&amp;$C183)&gt;0,Biomes!H$1&amp;", ","")&amp;
IF(COUNTIF(Biomes!I$2:I$259,"="&amp;$C183)&gt;0,Biomes!I$1&amp;", ","")&amp;
IF(COUNTIF(Biomes!J$2:J$259,"="&amp;$C183)&gt;0,Biomes!J$1&amp;", ","")&amp;
IF(COUNTIF(Biomes!M$2:M$259,"="&amp;$C183)&gt;0,Biomes!M$1&amp;", ","")&amp;
IF(COUNTIF(Biomes!N$2:N$259,"="&amp;$C183)&gt;0,Biomes!N$1&amp;", ","")&amp;
IF(COUNTIF(Biomes!O$2:O$259,"="&amp;$C183)&gt;0,Biomes!O$1&amp;", ","")&amp;
IF(COUNTIF(Biomes!P$2:P$259,"="&amp;$C183)&gt;0,Biomes!P$1&amp;", ","")&amp;
IF(COUNTIF(Biomes!K$2:K$259,"="&amp;$C183)&gt;0,Biomes!K$1&amp;", ","")&amp;
IF(COUNTIF(Biomes!Q$3:Q$259,"="&amp;$C183)&gt;0,Biomes!Q$1&amp;", ","")&amp;
IF(COUNTIF(Biomes!L$2:L$259,"="&amp;$C183)&gt;0,Biomes!L$1&amp;", ","")&amp;
IF(COUNTIF(Biomes!E$2:E$259,"="&amp;$C183)&gt;0,Biomes!E$1&amp;", ","")&amp;IF(COUNTIF(Biomes!S$2:S$259,"="&amp;$C183)&gt;0,Biomes!S$1&amp;", ","")&amp;
IF(COUNTIF(Biomes!R$2:R$259,"="&amp;$C183)&gt;0,Biomes!R$1&amp;", ",""),", ","")
),_xlfn.XLOOKUP(B183,B:B,BX:BX))</f>
        <v>TemperateForest TemperateSwamp</v>
      </c>
      <c r="BY183" s="25" t="str">
        <f>IF(_xlfn.XLOOKUP(B183,'Base stats'!B:B,'Base stats'!AJ:AJ)=1,"true","false")</f>
        <v>false</v>
      </c>
      <c r="BZ183" s="25">
        <f>IF(_xlfn.XLOOKUP(B183,'Base stats'!B:B,'Base stats'!N:N)=1,"No",MAX(0.001,MIN(MROUND(IF(AND(BJ183="True",CC183="False"),POWER(10,3.47*LOG10(_xlfn.XLOOKUP(B183,'Base stats'!B:B,'Base stats'!C:C)*1000)^-0.96),POWER(10,4.15*LOG10(_xlfn.XLOOKUP(B183,'Base stats'!B:B,'Base stats'!C:C)*1000)^-0.73))*IF(_xlfn.XLOOKUP(B183,'Base stats'!B:B,'Base stats'!AK:AK)=1,0.5,1)*IF(_xlfn.XLOOKUP(B183,'Base stats'!B:B,'Base stats'!AM:AM)=1,0.1,1)/100,IF(_xlfn.XLOOKUP(B183,'Base stats'!B:B,'Base stats'!AM:AM)=1,0.001,0.025)),0.5)))</f>
        <v>1.9E-2</v>
      </c>
      <c r="CA183" s="25" t="str">
        <f>IF(P183="Standard","No",MAX(0.001,MIN(MROUND(IF(AND(BJ183="True",CC183="False"),POWER(10,3.47*LOG10(_xlfn.XLOOKUP(B183,'Base stats'!B:B,'Base stats'!C:C)*1000)^-0.96),POWER(10,4.15*LOG10(_xlfn.XLOOKUP(B183,'Base stats'!B:B,'Base stats'!C:C)*1000)^-0.73))*IF(_xlfn.XLOOKUP(B183,'Base stats'!B:B,'Base stats'!AM:AM)=1,0.1,1)*_xlfn.XLOOKUP(B183,'Base stats'!B:B,'Base stats'!R:R)/100,IF(_xlfn.XLOOKUP(B183,'Base stats'!B:B,'Base stats'!AM:AM)=1,0.001,0.025)),0.5)))</f>
        <v>No</v>
      </c>
      <c r="CB183" s="25" t="str">
        <f>IF(_xlfn.XLOOKUP(_xlfn.XLOOKUP(B183,'Base stats'!B:B,'Base stats'!E:E),Groups!A:A,Groups!AJ:AJ)="Mammal","True","False")</f>
        <v>True</v>
      </c>
      <c r="CC183" s="25" t="str">
        <f>IF(OR(_xlfn.XLOOKUP(_xlfn.XLOOKUP(B183,'Base stats'!B:B,'Base stats'!E:E),Groups!A:A,Groups!AJ:AJ)="Reptile",_xlfn.XLOOKUP(_xlfn.XLOOKUP(B183,'Base stats'!B:B,'Base stats'!E:E),Groups!A:A,Groups!AJ:AJ)="Amphibian",_xlfn.XLOOKUP(_xlfn.XLOOKUP(B183,'Base stats'!B:B,'Base stats'!E:E),Groups!A:A,Groups!AJ:AJ)="Invertebrate"),"True","False")</f>
        <v>False</v>
      </c>
      <c r="CD183" s="25" t="str">
        <f t="shared" si="20"/>
        <v>False</v>
      </c>
      <c r="CE183" s="25" t="str">
        <f>IF(_xlfn.XLOOKUP(_xlfn.XLOOKUP(B183,'Base stats'!B:B,'Base stats'!E:E),Groups!A:A,Groups!AX:AX),"True","False")</f>
        <v>False</v>
      </c>
      <c r="CF183" s="25" t="str">
        <f>IF(_xlfn.XLOOKUP(_xlfn.XLOOKUP(B183,'Base stats'!B:B,'Base stats'!E:E),Groups!A:A,Groups!AY:AY),"True","False")</f>
        <v>False</v>
      </c>
      <c r="CG183" s="25" t="str">
        <f>IF(_xlfn.XLOOKUP(_xlfn.XLOOKUP(B183,'Base stats'!B:B,'Base stats'!E:E),Groups!A:A,Groups!AW:AW),"True","False")</f>
        <v>False</v>
      </c>
      <c r="CH183" s="25" t="str">
        <f>IF(
OR(
_xlfn.XLOOKUP(_xlfn.XLOOKUP(B183,'Base stats'!B:B,'Base stats'!E:E),Groups!A:A,Groups!AZ:AZ)=0,
AND(
_xlfn.XLOOKUP(B183,'Base stats'!B:B,'Base stats'!Y:Y)&lt;&gt;"Carnivore",
_xlfn.XLOOKUP(B183,'Base stats'!B:B,'Base stats'!Y:Y)&lt;&gt;"Omnivore",
_xlfn.XLOOKUP(B183,'Base stats'!B:B,'Base stats'!Y:Y)&lt;&gt;"OmnivoreRough"
)
),
"No",
IF(
_xlfn.XLOOKUP(_xlfn.XLOOKUP(B183,'Base stats'!B:B,'Base stats'!E:E),Groups!A:A,Groups!AZ:AZ)=1,
"Flesh",
IF(
_xlfn.XLOOKUP(_xlfn.XLOOKUP(B183,'Base stats'!B:B,'Base stats'!E:E),Groups!A:A,Groups!AZ:AZ)=2,
"Bone",
""
)
)
)</f>
        <v>No</v>
      </c>
      <c r="CI183" s="25" t="str">
        <f>IF(_xlfn.XLOOKUP(_xlfn.XLOOKUP(B183,'Base stats'!B:B,'Base stats'!E:E),Groups!A:A,Groups!BB:BB),"True","False")</f>
        <v>True</v>
      </c>
      <c r="CJ183" s="25" t="str">
        <f>IF(_xlfn.XLOOKUP(_xlfn.XLOOKUP(B183,'Base stats'!B:B,'Base stats'!E:E),Groups!A:A,Groups!BA:BA),"True","False")</f>
        <v>False</v>
      </c>
    </row>
    <row r="184" spans="1:88" s="16" customFormat="1" ht="16.5" thickTop="1" thickBot="1" x14ac:dyDescent="0.3">
      <c r="A184" s="26" t="str">
        <f>_xlfn.XLOOKUP(B184,'Base stats'!B:B,'Base stats'!A:A)</f>
        <v>Quail</v>
      </c>
      <c r="B184" s="6" t="s">
        <v>216</v>
      </c>
      <c r="C184" s="28" t="s">
        <v>1236</v>
      </c>
      <c r="D184" s="28" t="s">
        <v>1113</v>
      </c>
      <c r="E184" s="28" t="s">
        <v>673</v>
      </c>
      <c r="F184" s="28" t="s">
        <v>673</v>
      </c>
      <c r="G184" s="28" t="s">
        <v>1228</v>
      </c>
      <c r="H184" s="2">
        <f>MROUND((
  (IF(AND(_xlfn.XLOOKUP(B184,'Base stats'!B:B,'Base stats'!AL:AL)=0,BI184="None",_xlfn.XLOOKUP(_xlfn.XLOOKUP(B184,'Base stats'!B:B,'Base stats'!E:E),Groups!A:A,Groups!B:B)=0), (18 + BR184 * 2.7) * 0.5,
    IF(AND(_xlfn.XLOOKUP(B184,'Base stats'!B:B,'Base stats'!AL:AL)=0,OR(AO184&lt;0.55,AND(BI184="Intermediate",_xlfn.XLOOKUP(_xlfn.XLOOKUP(B184,'Base stats'!B:B,'Base stats'!E:E),Groups!A:A,Groups!B:B)&lt;2))), (18 + BR184 * 2.7),
      IF(OR(BI184="Advanced",_xlfn.XLOOKUP(B184,'Base stats'!B:B,'Base stats'!AL:AL)=1,_xlfn.XLOOKUP(_xlfn.XLOOKUP(B184,'Base stats'!B:B,'Base stats'!E:E),Groups!A:A,Groups!B:B)=2), (18 + BR184 * 2.7) + 250, (18 + BR184 * 2.7))
    )
  ))
  + AO184 * 80
  + IF(COUNTIF(EggMilk!K$2:K$998, A184) &gt; 0, 125, 0)
  + IF(COUNTIF(EggMilk!P$2:P$998, A184) &gt; 0, 90, 0)
  + IF(COUNTIF(EggMilk!A$2:A$998, A184) &gt; 0, 90, 0)
)
* (0.8 + 0.4 * J184)
* 0.75,25)</f>
        <v>100</v>
      </c>
      <c r="I184" s="2">
        <f>MROUND(ROUNDDOWN(_xlfn.XLOOKUP(B184,'Base stats'!B:B,'Base stats'!L:L)/3.6/(23.3/11),1),0.5)</f>
        <v>2</v>
      </c>
      <c r="J184" s="2">
        <f>IF(OR(_xlfn.XLOOKUP(B184,'Base stats'!B:B,'Base stats'!AB:AB)=1,_xlfn.XLOOKUP(_xlfn.XLOOKUP(B184,'Base stats'!B:B,'Base stats'!E:E),Groups!A:A,Groups!C:C)="Untamable"),1,IF(_xlfn.XLOOKUP(B184,'Base stats'!B:B,'Base stats'!AL:AL)=1,0.99,MIN(MROUND((1-0.6282*EXP(-0.459*AO184))*_xlfn.XLOOKUP(_xlfn.XLOOKUP(B184,'Base stats'!B:B,'Base stats'!E:E),Groups!A:A,Groups!C:C)*IF(_xlfn.XLOOKUP(B184,'Base stats'!B:B,'Base stats'!O:O)=1,0.5,IF(_xlfn.XLOOKUP(B184,'Base stats'!B:B,'Base stats'!O:O)=2,0,1)),0.05),IF(AO184&gt;3.5,0.985,0.95))))</f>
        <v>0.5</v>
      </c>
      <c r="K184" s="2">
        <f>ROUNDUP(AO184*_xlfn.XLOOKUP(_xlfn.XLOOKUP(B184,'Base stats'!B:B,'Base stats'!E:E),Groups!A:A,Groups!E:E),0)</f>
        <v>2</v>
      </c>
      <c r="L184" s="2">
        <f>IF(OR(_xlfn.XLOOKUP(_xlfn.XLOOKUP(B184,'Base stats'!B:B,'Base stats'!E:E),Groups!A:A,Groups!F:F)=2,ISNUMBER(SEARCH("SeaIce",BX184)),ISNUMBER(SEARCH("IceSheet",BX184))),-50,IF(OR(ISNUMBER(SEARCH("GlacialPlain",BX184)),ISNUMBER(SEARCH("Tundra",BX184))),-40,IF(OR(ISNUMBER(SEARCH("Alpine",BX184)),ISNUMBER(SEARCH("BorealForest",BX184)),ISNUMBER(SEARCH("ColdBog",BX184))),-30,IF(OR(ISNUMBER(SEARCH("TemperateForest",BX184)),ISNUMBER(SEARCH("TemperateSwamp",BX184))),-20,IF(_xlfn.XLOOKUP(_xlfn.XLOOKUP(B184,'Base stats'!B:B,'Base stats'!E:E),Groups!A:A,Groups!F:F)=1,-15,IF(OR(ISNUMBER(SEARCH("Desert",BX184)),ISNUMBER(SEARCH("ExtremeDesert",BX184))),-10,IF(OR(ISNUMBER(SEARCH("Grasslands",BX184)),ISNUMBER(SEARCH("TropicalRainforest",BX184)),ISNUMBER(SEARCH("TropicalSwamp",BX184))),10,0)))))))-IF(CC184="False",MIN(IFERROR(MAX(MROUND(LOG10(_xlfn.XLOOKUP(B184,'Base stats'!B:B,'Base stats'!C:C)^(2/3))*10,5),5),5),30))-_xlfn.XLOOKUP(B184,'Base stats'!B:B,'Base stats'!P:P)+IF(CC184="True",5,0)</f>
        <v>-25</v>
      </c>
      <c r="M184" s="2">
        <f>IF(OR(_xlfn.XLOOKUP(_xlfn.XLOOKUP(B184,'Base stats'!B:B,'Base stats'!E:E),Groups!A:A,Groups!G:G)=2,ISNUMBER(SEARCH("Desert",BX184)),ISNUMBER(SEARCH("ExtremeDesert",BX184)),ISNUMBER(SEARCH("LavaField",BX184))),50,IF(ISNUMBER(SEARCH("Grasslands",BX184)),45,IF(OR(_xlfn.XLOOKUP(_xlfn.XLOOKUP(B184,'Base stats'!B:B,'Base stats'!E:E),Groups!A:A,Groups!G:G)=1,ISNUMBER(SEARCH("TropicalRainforest",BX184)),ISNUMBER(SEARCH("TropicalSwamp",BX184))),40,IF(OR(ISNUMBER(SEARCH("TemperateForest",BX184)),ISNUMBER(SEARCH("TemperateSwamp",BX184))),35,IF(OR(ISNUMBER(SEARCH("Alpine",BX184)),ISNUMBER(SEARCH("BorealForest",BX184)),ISNUMBER(SEARCH("ColdBog",BX184))),30,IF(ISNUMBER(OR(ISNUMBER(SEARCH("GlacialPlain",BX184)),SEARCH("Tundra",BX184))),25,IF(OR(ISNUMBER(SEARCH("SeaIce",BX184)),ISNUMBER(SEARCH("IceSheet",BX184)),ISNUMBER(SEARCH("TropicalSwamp",BX184))),10,35)))))))+_xlfn.XLOOKUP(B184,'Base stats'!B:B,'Base stats'!Q:Q)</f>
        <v>50</v>
      </c>
      <c r="N184" s="8" t="str">
        <f>IF(
_xlfn.XLOOKUP(
_xlfn.XLOOKUP(B184,'Base stats'!B:B,'Base stats'!E:E),
Groups!A:A,
Groups!L:L
)=1,
MIN(
MROUND(
IF(
_xlfn.XLOOKUP(B184,'Animals CE'!B:B,'Animals CE'!Z:Z)&lt;=1.5,
_xlfn.XLOOKUP(B184,'Animals CE'!B:B,'Animals CE'!Z:Z)/2+0.05,
0.8+
(_xlfn.XLOOKUP(B184,'Animals CE'!B:B,'Animals CE'!Z:Z)-1.5)
*0.02
),
0.05
),
200%
),
"No"
)</f>
        <v>No</v>
      </c>
      <c r="O184" s="8" t="str">
        <f>IF(
_xlfn.XLOOKUP(
_xlfn.XLOOKUP(B184,'Base stats'!B:B,'Base stats'!E:E),
Groups!A:A,
Groups!L:L
)=1,
MIN(
MROUND(
IF(
_xlfn.XLOOKUP(B184,'Animals CE'!B:B,'Animals CE'!AA:AA)&lt;=1.5,
_xlfn.XLOOKUP(B184,'Animals CE'!B:B,'Animals CE'!AA:AA)/2+0.05,
0.8+
(_xlfn.XLOOKUP(B184,'Animals CE'!B:B,'Animals CE'!AA:AA)-1.5)
*0.02
),
0.05
),
200%
),
"No"
)</f>
        <v>No</v>
      </c>
      <c r="P184" s="2" t="str">
        <f>_xlfn.XLOOKUP(B184,'Base stats'!B:B,'Base stats'!R:R)</f>
        <v>Standard</v>
      </c>
      <c r="Q184" s="13">
        <f>MROUND((LOG10(_xlfn.XLOOKUP(B184,'Base stats'!B:B,'Base stats'!AR:AR))*(AO184^0.5)+(_xlfn.XLOOKUP(B184,'Base stats'!B:B,'Base stats'!AR:AR)/1000)^(2/3)+_xlfn.XLOOKUP(B184,'Base stats'!B:B,'Base stats'!BA:BA)/2)+0.5,0.5)</f>
        <v>1</v>
      </c>
      <c r="R184" s="7">
        <f>IF(Q184="No","No",MAX(1,MROUND(_xlfn.XLOOKUP(B184,'Base stats'!B:B,'Base stats'!C:C)^0.165,0.05)))</f>
        <v>1</v>
      </c>
      <c r="S184" s="13">
        <f>IF(_xlfn.XLOOKUP(_xlfn.XLOOKUP(B184,'Base stats'!B:B,'Base stats'!E:E),Groups!A:A,Groups!P:P)=0,"No",MROUND((LOG10(_xlfn.XLOOKUP(B184,'Base stats'!B:B,'Base stats'!AS:AS))*(AO184^0.5)+(_xlfn.XLOOKUP(B184,'Base stats'!B:B,'Base stats'!AS:AS)/1000)^(2/3)+_xlfn.XLOOKUP(B184,'Base stats'!B:B,'Base stats'!BA:BA))+_xlfn.XLOOKUP(B184,'Base stats'!B:B,'Base stats'!AY:AY)+0.5,0.5))</f>
        <v>1</v>
      </c>
      <c r="T184" s="7">
        <f>IF(S184="No","No",MAX(_xlfn.XLOOKUP(_xlfn.XLOOKUP(B184,'Base stats'!B:B,'Base stats'!E:E),Groups!A:A,Groups!Q:Q),MROUND(_xlfn.XLOOKUP(_xlfn.XLOOKUP(B184,'Base stats'!B:B,'Base stats'!E:E),Groups!A:A,Groups!Q:Q)*_xlfn.XLOOKUP(B184,'Base stats'!B:B,'Base stats'!C:C)^0.165,0.05)))</f>
        <v>1</v>
      </c>
      <c r="U184" s="7" t="str">
        <f>IF(S184="No","No",_xlfn.XLOOKUP(_xlfn.XLOOKUP(B184,'Base stats'!B:B,'Base stats'!E:E),Groups!A:A,Groups!R:R))</f>
        <v>Feet</v>
      </c>
      <c r="V184" s="7" t="str">
        <f>IF(S184="No","No",_xlfn.XLOOKUP(_xlfn.XLOOKUP(B184,'Base stats'!B:B,'Base stats'!E:E),Groups!A:A,Groups!S:S))</f>
        <v>rear left claw, rear  right claw</v>
      </c>
      <c r="W184" s="7" t="str">
        <f>IF(S184="No","No",_xlfn.XLOOKUP(_xlfn.XLOOKUP(B184,'Base stats'!B:B,'Base stats'!E:E),Groups!A:A,Groups!T:T))</f>
        <v>Scratch</v>
      </c>
      <c r="X184" s="13" t="str">
        <f>IF(_xlfn.XLOOKUP(B184,'Base stats'!B:B,'Base stats'!W:W)="No","No",MROUND((LOG10(_xlfn.XLOOKUP(B184,'Base stats'!B:B,'Base stats'!AU:AU))*(AO184^0.5)+(_xlfn.XLOOKUP(B184,'Base stats'!B:B,'Base stats'!AU:AU)/1000)^(2/3)+_xlfn.XLOOKUP(B184,'Base stats'!B:B,'Base stats'!AZ:AZ))+0.5+IF(_xlfn.XLOOKUP(_xlfn.XLOOKUP(B184,'Base stats'!B:B,'Base stats'!E:E),Groups!A:A,Groups!U:U)&lt;&gt;3,_xlfn.XLOOKUP(B184,'Base stats'!B:B,'Base stats'!BA:BA),0),0.5))</f>
        <v>No</v>
      </c>
      <c r="Y184" s="7" t="str">
        <f>IF(X184="No","No",MAX(_xlfn.XLOOKUP(_xlfn.XLOOKUP(B184,'Base stats'!B:B,'Base stats'!E:E),Groups!A:A,Groups!V:V),MROUND(_xlfn.XLOOKUP(_xlfn.XLOOKUP(B184,'Base stats'!B:B,'Base stats'!E:E),Groups!A:A,Groups!V:V)*_xlfn.XLOOKUP(B184,'Base stats'!B:B,'Base stats'!C:C)^0.165,0.05)))</f>
        <v>No</v>
      </c>
      <c r="Z184" s="7" t="str">
        <f>IF(X184="No","No",_xlfn.XLOOKUP(_xlfn.XLOOKUP(B184,'Base stats'!B:B,'Base stats'!E:E),Groups!A:A,Groups!W:W))</f>
        <v>No</v>
      </c>
      <c r="AA184" s="7" t="str">
        <f>IF(X184="No","No",_xlfn.XLOOKUP(_xlfn.XLOOKUP(B184,'Base stats'!B:B,'Base stats'!E:E),Groups!A:A,Groups!X:X))</f>
        <v>No</v>
      </c>
      <c r="AB184" s="7" t="str">
        <f>IF(X184="No","No",_xlfn.XLOOKUP(_xlfn.XLOOKUP(B184,'Base stats'!B:B,'Base stats'!E:E),Groups!A:A,Groups!Y:Y))</f>
        <v>No</v>
      </c>
      <c r="AC184" s="7" t="str">
        <f>_xlfn.XLOOKUP(Animals!B184,'Base stats'!B:B,'Base stats'!X:X)</f>
        <v>False</v>
      </c>
      <c r="AD184" s="13">
        <f>IF(_xlfn.XLOOKUP(B184,'Base stats'!B:B,'Base stats'!AT:AT)="No","No",MROUND((LOG10(_xlfn.XLOOKUP(B184,'Base stats'!B:B,'Base stats'!AT:AT))*(AO184^0.75)+(_xlfn.XLOOKUP(B184,'Base stats'!B:B,'Base stats'!AT:AT)/1000)^(2/3)+_xlfn.XLOOKUP(B184,'Base stats'!B:B,'Base stats'!AX:AX)+_xlfn.XLOOKUP(B184,'Base stats'!B:B,'Base stats'!BA:BA))+0.5,0.5))</f>
        <v>1</v>
      </c>
      <c r="AE184" s="7">
        <f>IF(AD184="No","No",MAX(_xlfn.XLOOKUP(_xlfn.XLOOKUP(B184,'Base stats'!B:B,'Base stats'!E:E),Groups!A:A,Groups!Z:Z),MROUND(_xlfn.XLOOKUP(_xlfn.XLOOKUP(B184,'Base stats'!B:B,'Base stats'!E:E),Groups!A:A,Groups!Z:Z)*_xlfn.XLOOKUP(B184,'Base stats'!B:B,'Base stats'!C:C)^0.165,0.05)))</f>
        <v>1</v>
      </c>
      <c r="AF184" s="7" t="str">
        <f>IF(AD184="No","No",_xlfn.XLOOKUP(_xlfn.XLOOKUP(B184,'Base stats'!B:B,'Base stats'!E:E),Groups!A:A,Groups!AA:AA))</f>
        <v>Beak</v>
      </c>
      <c r="AG184" s="7" t="str">
        <f>IF(AD184="No","No",_xlfn.XLOOKUP(_xlfn.XLOOKUP(B184,'Base stats'!B:B,'Base stats'!E:E),Groups!A:A,Groups!AB:AB))</f>
        <v>beak</v>
      </c>
      <c r="AH184" s="7" t="str">
        <f>IF(AD184="No","No",_xlfn.XLOOKUP(_xlfn.XLOOKUP(B184,'Base stats'!B:B,'Base stats'!E:E),Groups!A:A,Groups!AC:AC))</f>
        <v>Blunt</v>
      </c>
      <c r="AI184" s="13" t="str">
        <f>IF(_xlfn.XLOOKUP(_xlfn.XLOOKUP(B184,'Base stats'!B:B,'Base stats'!E:E),Groups!A:A,Groups!AD:AD)=0,"No",MROUND((LOG10(_xlfn.XLOOKUP(B184,'Base stats'!B:B,'Base stats'!AS:AS))*(AO184^0.75)+(_xlfn.XLOOKUP(B184,'Base stats'!B:B,'Base stats'!AS:AS)/1000)^(2/3)+_xlfn.XLOOKUP(B184,'Base stats'!B:B,'Base stats'!AY:AY)+_xlfn.XLOOKUP(B184,'Base stats'!B:B,'Base stats'!BA:BA))+0.5,0.5))</f>
        <v>No</v>
      </c>
      <c r="AJ184" s="7" t="str">
        <f>IF(AI184="No","No",MAX(_xlfn.XLOOKUP(_xlfn.XLOOKUP(B184,'Base stats'!B:B,'Base stats'!E:E),Groups!A:A,Groups!AE:AE),MROUND(_xlfn.XLOOKUP(_xlfn.XLOOKUP(B184,'Base stats'!B:B,'Base stats'!E:E),Groups!A:A,Groups!AE:AE)*IF(_xlfn.XLOOKUP(_xlfn.XLOOKUP(B184,'Base stats'!B:B,'Base stats'!E:E),Groups!A:A,Groups!AJ:AJ)="Photonozoa",0.6,1)*_xlfn.XLOOKUP(B184,'Base stats'!B:B,'Base stats'!C:C)^0.165,0.05)))</f>
        <v>No</v>
      </c>
      <c r="AK184" s="7" t="str">
        <f>IF(AI184="No","No",_xlfn.XLOOKUP(_xlfn.XLOOKUP(B184,'Base stats'!B:B,'Base stats'!E:E),Groups!A:A,Groups!AF:AF))</f>
        <v>No</v>
      </c>
      <c r="AL184" s="7" t="str">
        <f>IF(AI184="No","No",_xlfn.XLOOKUP(_xlfn.XLOOKUP(B184,'Base stats'!B:B,'Base stats'!E:E),Groups!A:A,Groups!AG:AG))</f>
        <v>No</v>
      </c>
      <c r="AM184" s="7" t="str">
        <f>IF(AI184="No","No",_xlfn.XLOOKUP(_xlfn.XLOOKUP(B184,'Base stats'!B:B,'Base stats'!E:E),Groups!A:A,Groups!AH:AH))</f>
        <v>No</v>
      </c>
      <c r="AN184" s="2" t="str">
        <f t="shared" si="14"/>
        <v>No</v>
      </c>
      <c r="AO184" s="2">
        <f>MROUND(IF(AND(_xlfn.XLOOKUP(B184,'Base stats'!B:B,'Base stats'!C:C)&gt;=0.5,_xlfn.XLOOKUP(B184,'Base stats'!B:B,'Base stats'!C:C)&lt;=0.8),
IF(_xlfn.XLOOKUP(B184,'Base stats'!B:B,'Base stats'!C:C)&lt;0.1,0.05,IF(_xlfn.XLOOKUP(B184,'Base stats'!B:B,'Base stats'!C:C)&lt;=70,(_xlfn.XLOOKUP(B184,'Base stats'!B:B,'Base stats'!C:C)/70)^0.426489913056526,IF(_xlfn.XLOOKUP(B184,'Base stats'!B:B,'Base stats'!C:C)&lt;=400,(_xlfn.XLOOKUP(B184,'Base stats'!B:B,'Base stats'!C:C)/70)^0.572811455315093,IF(_xlfn.XLOOKUP(B184,'Base stats'!B:B,'Base stats'!C:C)&lt;=2000,2.71391647193063*(_xlfn.XLOOKUP(B184,'Base stats'!B:B,'Base stats'!C:C)/400)^0.252459582904293,3.74314280240376*(_xlfn.XLOOKUP(B184,'Base stats'!B:B,'Base stats'!C:C)/2000)^0.357012633876913)))),
IF(_xlfn.XLOOKUP(B184,'Base stats'!B:B,'Base stats'!C:C)&lt;0.1,0.05,IF(_xlfn.XLOOKUP(B184,'Base stats'!B:B,'Base stats'!C:C)&lt;0.4,0.1,IF(_xlfn.XLOOKUP(B184,'Base stats'!B:B,'Base stats'!C:C)&lt;=70,(_xlfn.XLOOKUP(B184,'Base stats'!B:B,'Base stats'!C:C)/70)^0.445823913056526,IF(_xlfn.XLOOKUP(B184,'Base stats'!B:B,'Base stats'!C:C)&lt;=400,(_xlfn.XLOOKUP(B184,'Base stats'!B:B,'Base stats'!C:C)/70)^0.572811455315093,IF(_xlfn.XLOOKUP(B184,'Base stats'!B:B,'Base stats'!C:C)&lt;=2000,2.71391647193063*(_xlfn.XLOOKUP(B184,'Base stats'!B:B,'Base stats'!C:C)/400)^0.252459582904293,3.74314280240376*(_xlfn.XLOOKUP(B184,'Base stats'!B:B,'Base stats'!C:C)/2000)^0.357012633876913)))))),
IF(_xlfn.XLOOKUP(B184,'Base stats'!B:B,'Base stats'!C:C)&lt;0.1,0.05,IF(_xlfn.XLOOKUP(B184,'Base stats'!B:B,'Base stats'!C:C)&lt;=100,0.05,IF(_xlfn.XLOOKUP(B184,'Base stats'!B:B,'Base stats'!C:C)&lt;=250,0.1,IF(_xlfn.XLOOKUP(B184,'Base stats'!B:B,'Base stats'!C:C)&lt;=4000,0.25,0.5)))))</f>
        <v>0.1</v>
      </c>
      <c r="AP184" s="8">
        <f>MROUND(AO184*_xlfn.XLOOKUP(_xlfn.XLOOKUP(B184,'Base stats'!B:B,'Base stats'!E:E),Groups!A:A,Groups!AI:AI)*_xlfn.XLOOKUP(B184,'Base stats'!B:B,'Base stats'!Z:Z),0.05)</f>
        <v>0.1</v>
      </c>
      <c r="AQ184" s="8">
        <f>MAX(0.01,MROUND(IF(CC184="True",0.196*(AO184*100*1000)^0.889,IF(_xlfn.XLOOKUP(_xlfn.XLOOKUP(B184,'Base stats'!B:B,'Base stats'!E:E),Groups!A:A,Groups!AJ:AJ)="Bird",10.5*(AO184*100*1000)^0.681,4.82*(AO184*100*1000)^0.734))/(4.82*(1*100*1000)^0.734)/IF(AO184&lt;3.5,2,IF(AO184=3.5,1.5,1.25))*(1+0.132282374779864/(AO184^0.994035016789033+0.00905238001496948)),0.05))</f>
        <v>0.25</v>
      </c>
      <c r="AR184" s="9">
        <f>IFERROR(MROUND(_xlfn.XLOOKUP(B184,'Base stats'!B:B,'Base stats'!H:H)/IF(_xlfn.XLOOKUP(B184,'Base stats'!B:B,'Base stats'!I:I)&lt;&gt;1,(122.5/70),1.2),IF(_xlfn.XLOOKUP(B184,'Base stats'!B:B,'Base stats'!H:H)&gt;=30,5,IF(_xlfn.XLOOKUP(B184,'Base stats'!B:B,'Base stats'!H:H)&gt;=15,3,IF(_xlfn.XLOOKUP(B184,'Base stats'!B:B,'Base stats'!H:H)&gt;=10,2,1)))),"Immortal")</f>
        <v>8</v>
      </c>
      <c r="AS184" s="35" t="str">
        <f>IFERROR(IF(OR(_xlfn.XLOOKUP(B184,'Base stats'!B:B,'Base stats'!F:F)="Atypical reproduction",_xlfn.XLOOKUP(B184,'Base stats'!B:B,'Base stats'!F:F)="Lay eggs"),"Lay eggs",MIN(20,MAX(5.5,ROUND(((_xlfn.XLOOKUP(B184,'Base stats'!B:B,'Base stats'!F:F)-25)*(14.5/615) + 5.5)*2,0)/2))),"Unknown")</f>
        <v>Lay eggs</v>
      </c>
      <c r="AT184" s="8">
        <f>IF(_xlfn.XLOOKUP(B184,'Base stats'!B:B,'Base stats'!G:G)="Atypical reproduction","No",IFERROR(MAX(IF(_xlfn.XLOOKUP(B184,'Base stats'!B:B,'Base stats'!G:G)&lt;0.5,0.2,0.3),MROUND(_xlfn.XLOOKUP(B184,'Base stats'!B:B,'Base stats'!G:G)/(365/60),0.2)),"Unknown"))</f>
        <v>0.3</v>
      </c>
      <c r="AU184" s="8">
        <f t="shared" si="15"/>
        <v>0.15000000000000002</v>
      </c>
      <c r="AV184" s="8" t="str">
        <f>IFERROR(IFERROR(MROUND(_xlfn.XLOOKUP(B184,'Base stats'!B:B,'Base stats'!J:J),0.1),"Lay eggs"),"Cannot breed")</f>
        <v>Lay eggs</v>
      </c>
      <c r="AW184" s="2" t="str">
        <f t="shared" si="16"/>
        <v>true</v>
      </c>
      <c r="AX184" s="2" t="str">
        <f>IF(_xlfn.XLOOKUP(_xlfn.XLOOKUP(Animals!B184,'Base stats'!B:B,'Base stats'!E:E),Groups!A:A,Groups!AK:AK)=1,"true","false")</f>
        <v>false</v>
      </c>
      <c r="AY184" s="25" t="str">
        <f>IF(_xlfn.XLOOKUP(B184,'Base stats'!B:B,'Base stats'!Y:Y)="Liquor","Liquor, CarnivoreAnimalStrict",IF(AND(_xlfn.XLOOKUP(B184,'Base stats'!B:B,'Base stats'!Y:Y)="Carnivore",_xlfn.XLOOKUP(_xlfn.XLOOKUP(B184,'Base stats'!B:B,'Base stats'!E:E),Groups!A:A,Groups!AJ:AJ)="Photonozoa"),"CarnivoreAnimalStrict, OvivoreAnimal",IF(_xlfn.XLOOKUP(B184,'Base stats'!B:B,'Base stats'!Y:Y)="Carnivore","CarnivoreAnimal, OvivoreAnimal",IF(_xlfn.XLOOKUP(B184,'Base stats'!B:B,'Base stats'!Y:Y)="Dendrovore","VegetarianRoughAnimal, DendrovoreAnimal",IF(_xlfn.XLOOKUP(B184,'Base stats'!B:B,'Base stats'!Y:Y)="Herbivore","VegetarianRoughAnimal",IF(_xlfn.XLOOKUP(B184,'Base stats'!B:B,'Base stats'!Y:Y)="OmnivoreRough","OmnivoreRoughAnimal, OvivoreAnimal","OmnivoreAnimal, OvivoreAnimal"))))))</f>
        <v>VegetarianRoughAnimal</v>
      </c>
      <c r="AZ184" s="2">
        <f>IF(_xlfn.XLOOKUP(_xlfn.XLOOKUP(B184,'Base stats'!B:B,'Base stats'!E:E),Groups!A:A,Groups!D:D)=1,MROUND((1-J184)*5+1,2)*IF(J184&lt;=0.4,2,1),"No")</f>
        <v>4</v>
      </c>
      <c r="BA184" s="2" t="str">
        <f>IF(AND(_xlfn.XLOOKUP(B184,'Base stats'!B:B,'Base stats'!AH:AH)="&lt;li&gt;Seal&lt;/li&gt;",G184="Odyssey"),"&lt;li&gt;AEXP_Seal&lt;/li&gt;",_xlfn.XLOOKUP(B184,'Base stats'!B:B,'Base stats'!AH:AH))</f>
        <v>No</v>
      </c>
      <c r="BB184" s="2" t="str">
        <f>_xlfn.XLOOKUP(B184,'Base stats'!B:B,'Base stats'!AG:AG)</f>
        <v>No</v>
      </c>
      <c r="BC184" s="23" t="str">
        <f>_xlfn.XLOOKUP(_xlfn.XLOOKUP(B184,'Base stats'!B:B,'Base stats'!E:E),Groups!A:A,Groups!AL:AL)</f>
        <v>Bird</v>
      </c>
      <c r="BD184" s="23">
        <f>MIN(1,MROUND(IF(AND(AO184&lt;0.5,_xlfn.XLOOKUP(B184,'Base stats'!B:B,'Base stats'!AA:AA)=0),0,IF(OR(_xlfn.XLOOKUP(Animals!B184,'Base stats'!B:B,'Base stats'!O:O)=2,_xlfn.XLOOKUP(_xlfn.XLOOKUP(B184,'Base stats'!B:B,'Base stats'!E:E),Groups!A:A,Groups!AN:AN)=0),0,_xlfn.XLOOKUP(_xlfn.XLOOKUP(B184,'Base stats'!B:B,'Base stats'!E:E),Groups!A:A,Groups!AN:AN)/IF(_xlfn.XLOOKUP(Animals!B184,'Base stats'!B:B,'Base stats'!O:O)=1,2,1)))+_xlfn.XLOOKUP(B184,'Base stats'!B:B,'Base stats'!AC:AC),0.005))</f>
        <v>0</v>
      </c>
      <c r="BE184" s="23">
        <f>MIN(1,MROUND(IF(AND(AO184&lt;0.5,_xlfn.XLOOKUP(B184,'Base stats'!B:B,'Base stats'!AA:AA)=0),0,IF(_xlfn.XLOOKUP(_xlfn.XLOOKUP(B184,'Base stats'!B:B,'Base stats'!E:E),Groups!A:A,Groups!AO:AO)=0,0,_xlfn.XLOOKUP(_xlfn.XLOOKUP(B184,'Base stats'!B:B,'Base stats'!E:E),Groups!A:A,Groups!AO:AO)/IF(_xlfn.XLOOKUP(Animals!B184,'Base stats'!B:B,'Base stats'!O:O)=2,3,1)))+_xlfn.XLOOKUP(B184,'Base stats'!B:B,'Base stats'!AD:AD),0.005))</f>
        <v>0</v>
      </c>
      <c r="BF184" s="2" t="str">
        <f>IF(J184&gt;0.3,"No",_xlfn.XLOOKUP(_xlfn.XLOOKUP(Animals!B184,'Base stats'!B:B,'Base stats'!E:E),Groups!A:A,Groups!AP:AP))</f>
        <v>No</v>
      </c>
      <c r="BG184" s="2" t="str">
        <f>IF(AND(J184&lt;=0.65,_xlfn.XLOOKUP(_xlfn.XLOOKUP(Animals!B184,'Base stats'!B:B,'Base stats'!E:E),Groups!A:A,Groups!AP:AP)&lt;&gt;"No",_xlfn.XLOOKUP(_xlfn.XLOOKUP(B184,'Base stats'!B:B,'Base stats'!E:E),Groups!A:A,Groups!D:D)=0),MROUND((80/3)*IF(_xlfn.XLOOKUP(B184,'Base stats'!B:B,'Base stats'!O:O)=2,0.2,AO184) + 24*(1-IF(BF184="No",0,BF184)) + 16/3, 12),"No")</f>
        <v>No</v>
      </c>
      <c r="BH184" s="2">
        <f>IF(AND(_xlfn.XLOOKUP(_xlfn.XLOOKUP(B184,'Base stats'!B:B,'Base stats'!E:E),Groups!A:A,Groups!AQ:AQ)=1,AO184&lt;=0.35),8,12)</f>
        <v>12</v>
      </c>
      <c r="BI184" s="2" t="str">
        <f>IF(_xlfn.XLOOKUP(_xlfn.XLOOKUP(B184,'Base stats'!B:B,'Base stats'!E:E),Groups!A:A,Groups!D:D)=0,_xlfn.XLOOKUP(_xlfn.XLOOKUP(B184,'Base stats'!B:B,'Base stats'!E:E),Groups!A:A,Groups!AR:AR),"None")</f>
        <v>None</v>
      </c>
      <c r="BJ184" s="2" t="str">
        <f>IF(AND(_xlfn.XLOOKUP(_xlfn.XLOOKUP(B184,'Base stats'!B:B,'Base stats'!E:E),Groups!A:A,Groups!AS:AS)=1,OR(_xlfn.XLOOKUP(B184,'Base stats'!B:B,'Base stats'!Y:Y)="Carnivore",_xlfn.XLOOKUP(B184,'Base stats'!B:B,'Base stats'!Y:Y)="Omnivore")),"true","false")</f>
        <v>false</v>
      </c>
      <c r="BK184" s="2" t="str">
        <f>IF(BJ184="true",MROUND(IF(AND(AO184&gt;0.5,OR(_xlfn.XLOOKUP(_xlfn.XLOOKUP(B184,'Base stats'!B:B,'Base stats'!E:E),Groups!A:A,Groups!AJ:AJ)="Photonozoa",_xlfn.XLOOKUP(_xlfn.XLOOKUP(B184,'Base stats'!B:B,'Base stats'!E:E),Groups!A:A,Groups!AJ:AJ)="Mammal")),Animals!AO184*1.75*IF(AW184="true",1.5,1),IF(AO184&lt;0.5,Animals!AO184*0.5,Animals!AO184)),IF(AO184&gt;2,0.5,IF(AO184&gt;0.5,0.25,0.1))),"No")</f>
        <v>No</v>
      </c>
      <c r="BL184" s="2">
        <f t="shared" si="17"/>
        <v>0</v>
      </c>
      <c r="BM184" s="25" t="str">
        <f>IF(_xlfn.XLOOKUP(B184,'Base stats'!B:B,'Base stats'!AN:AN)="Standard","No",MROUND((_xlfn.XLOOKUP(B184,'Base stats'!B:B,'Base stats'!AN:AN)/3.6)/I184,0.1))</f>
        <v>No</v>
      </c>
      <c r="BN184" s="25" t="str">
        <f t="shared" si="18"/>
        <v>false</v>
      </c>
      <c r="BO184" s="25" t="str">
        <f>IF(AND(OR(_xlfn.XLOOKUP(B184,'Base stats'!B:B,'Base stats'!Y:Y)="Carnivore",_xlfn.XLOOKUP(B184,'Base stats'!B:B,'Base stats'!Y:Y)="Omnivore",_xlfn.XLOOKUP(B184,'Base stats'!B:B,'Base stats'!Y:Y)="OmnivoreRough"),_xlfn.XLOOKUP(_xlfn.XLOOKUP(B184,'Base stats'!B:B,'Base stats'!E:E),Groups!A:A,Groups!AT:AT)=1),"true","false")</f>
        <v>false</v>
      </c>
      <c r="BP184" s="25" t="str" cm="1">
        <f t="array" ref="BP184">IF(
  _xlfn.TEXTJOIN(", ",TRUE,
    IF(AND(BJ184="true",AO184&gt;0.5,BI184&lt;&gt;"None"),"AttackTarget",""),
    IF(AND(_xlfn.XLOOKUP(_xlfn.XLOOKUP(B184,'Base stats'!B:B,'Base stats'!E:E),Groups!A:A,Groups!AJ:AJ="Mammal"),OR(_xlfn.XLOOKUP(B184,'Base stats'!B:B,'Base stats'!Y:Y)="Omnivore",_xlfn.XLOOKUP(B184,'Base stats'!B:B,'Base stats'!Y:Y)="OmnivoreRough")),"Forage",""),
    IF(BG184&lt;=36,"Comfort",""),
    IF(_xlfn.XLOOKUP(B184,'Base stats'!B:B,'Base stats'!AE:AE)&lt;&gt;"No",_xlfn.XLOOKUP(B184,'Base stats'!B:B,'Base stats'!AE:AE),"")
  ) = "",
  "No",
  _xlfn.TEXTJOIN(", ",TRUE,
    IF(AND(BJ184="true",AO184&gt;0.5,BI184&lt;&gt;"None"),"AttackTarget",""),
    IF(AND(_xlfn.XLOOKUP(_xlfn.XLOOKUP(B184,'Base stats'!B:B,'Base stats'!E:E),Groups!A:A,Groups!AJ:AJ="Mammal"),OR(_xlfn.XLOOKUP(B184,'Base stats'!B:B,'Base stats'!Y:Y)="Omnivore",_xlfn.XLOOKUP(B184,'Base stats'!B:B,'Base stats'!Y:Y)="OmnivoreRough")),"Forage",""),
    IF(BG184&lt;=36,"Comfort",""),
    IF(_xlfn.XLOOKUP(B184,'Base stats'!B:B,'Base stats'!AE:AE)&lt;&gt;"No",_xlfn.XLOOKUP(B184,'Base stats'!B:B,'Base stats'!AE:AE),"")
  )
)</f>
        <v>No</v>
      </c>
      <c r="BQ184" s="25" t="str">
        <f>IF(
   AND(
      'Base stats'!AN184="Standard",_xlfn.XLOOKUP(_xlfn.XLOOKUP(B184,'Base stats'!B:B,'Base stats'!E:E),Groups!A:A,Groups!AU:AU)=0,
      OR(
      BO184="True"
      )
   ),
   10,
   IF(
       OR(BM184&lt;&gt;"No",_xlfn.XLOOKUP(_xlfn.XLOOKUP(B184,'Base stats'!B:B,'Base stats'!E:E),Groups!A:A,Groups!AU:AU)=1),
      1,
      "No"
   )
)</f>
        <v>No</v>
      </c>
      <c r="BR184" s="9">
        <f>MROUND((1 + ((0.2*IF(OR(Q184="No",R184="No",R184=0),0,Q184/R184)
+IF(OR(V184="No",S184="No",T184="No"),0,S184/T184*(LEN(V184)-LEN(SUBSTITUTE(V184,",",""))+1))
+IF(OR(X184="No",Y184="No"),0,X184/Y184)
+IF(OR(AD184="No",AE184="No"),0,AD184/AE184)
+IF(OR(AL184="No",AI184="No",AJ184="No"),0,AI184/AJ184*(LEN(AL184)-LEN(SUBSTITUTE(AL184,",",""))+1))
)/(0.2*IF(OR(Q184="No",R184="No",R184=0),0,1)
+IF(OR(V184="No",S184="No",T184="No"),0,LEN(V184)-LEN(SUBSTITUTE(V184,",",""))+1)
+IF(OR(X184="No",Y184="No"),0,1)
+IF(OR(AD184="No",AE184="No"),0,1)
+IF(OR(AL184="No",AI184="No",AJ184="No"),0,LEN(AL184)-LEN(SUBSTITUTE(AL184,",",""))+1))*62%)* 2)*(1 + (AP184 / (IF(_xlfn.XLOOKUP(_xlfn.XLOOKUP(B184,'Base stats'!B:B,'Base stats'!E:E),Groups!A:A,Groups!AJ:AJ)="Photonozoa",0.3,1)) + _xlfn.XLOOKUP(B184,'Base stats'!B:B,'Base stats'!AV:AV) * 1.8) * 2) * 2.5 + 10 + I184 * 2,5)+IF(_xlfn.XLOOKUP(B184,'Base stats'!B:B,'Base stats'!AK:AK)=1,50,0)</f>
        <v>20</v>
      </c>
      <c r="BS184" s="8">
        <f t="shared" si="19"/>
        <v>0.2</v>
      </c>
      <c r="BT184" s="8" t="str">
        <f>_xlfn.XLOOKUP(B184,'Base stats'!B:B,'Base stats'!AF:AF)</f>
        <v>3~8</v>
      </c>
      <c r="BU184" s="2" t="str">
        <f>IF(AND(J184&lt;=0.95,OR(_xlfn.XLOOKUP(B184,'Base stats'!B:B,'Base stats'!AK:AK)=1,_xlfn.XLOOKUP(B184,'Base stats'!B:B,'Base stats'!Y:Y)="Carnivore",_xlfn.XLOOKUP(B184,'Base stats'!B:B,'Base stats'!Y:Y)="Omnivore",BE184&gt;0.1)),"true","false")</f>
        <v>false</v>
      </c>
      <c r="BV184" s="2" t="str">
        <f>IF(_xlfn.XLOOKUP(B184,'Base stats'!B:B,'Base stats'!AI:AI)=1,"true","false")</f>
        <v>false</v>
      </c>
      <c r="BW184" s="25" t="str">
        <f>IF(E184="BaseInsect","AnimalInsect",
IF(J184&gt;0.95,"AnimalExotic",
_xlfn.TEXTJOIN(", ",TRUE,
IF(OR(_xlfn.XLOOKUP(B184,'Base stats'!B:B,'Base stats'!AM:AM)=1,AND(_xlfn.XLOOKUP(B184,'Base stats'!B:B,'Base stats'!O:O)=0,_xlfn.XLOOKUP(_xlfn.XLOOKUP(B184,'Base stats'!B:B,'Base stats'!E:E),Groups!A:A,Groups!B:B)&gt;0)),"AnimalUncommon","AnimalCommon"),
IF(AND(_xlfn.XLOOKUP(B184,'Base stats'!B:B,'Base stats'!O:O)=2,_xlfn.XLOOKUP(_xlfn.XLOOKUP(B184,'Base stats'!B:B,'Base stats'!E:E),Groups!A:A,Groups!D:D)=0),"AnimalPet",IF(AND(_xlfn.XLOOKUP(B184,'Base stats'!B:B,'Base stats'!O:O)&lt;&gt;0,_xlfn.XLOOKUP(_xlfn.XLOOKUP(B184,'Base stats'!B:B,'Base stats'!E:E),Groups!A:A,Groups!D:D)&lt;&gt;0),"AnimalFarm","")),
IF(OR(_xlfn.XLOOKUP(B184,'Base stats'!B:B,'Base stats'!AK:AK)=1,AND(BI184&lt;&gt;"None",BR184&gt;=60),ISNUMBER(SEARCH("Attack target",BP184))),"AnimalFighter","")
)))</f>
        <v>AnimalCommon</v>
      </c>
      <c r="BX184" s="25" t="str">
        <f>IF(G184="None",TRIM(
SUBSTITUTE(
IF(COUNTIF(Biomes!B$2:B$259,"="&amp;$C184)&gt;0,Biomes!B$1&amp;", ","")&amp;
IF(COUNTIF(Biomes!C$2:C$259,"="&amp;$C184)&gt;0,Biomes!C$1&amp;", ","")&amp;
IF(COUNTIF(Biomes!D$2:D$259,"="&amp;$C184)&gt;0,Biomes!D$1&amp;", ","")&amp;
IF(COUNTIF(Biomes!F$2:F$259,"="&amp;$C184)&gt;0,Biomes!F$1&amp;", ","")&amp;
IF(COUNTIF(Biomes!G$2:G$259,"="&amp;$C184)&gt;0,Biomes!G$1&amp;", ","")&amp;
IF(COUNTIF(Biomes!H$2:H$259,"="&amp;$C184)&gt;0,Biomes!H$1&amp;", ","")&amp;
IF(COUNTIF(Biomes!I$2:I$259,"="&amp;$C184)&gt;0,Biomes!I$1&amp;", ","")&amp;
IF(COUNTIF(Biomes!J$2:J$259,"="&amp;$C184)&gt;0,Biomes!J$1&amp;", ","")&amp;
IF(COUNTIF(Biomes!M$2:M$259,"="&amp;$C184)&gt;0,Biomes!M$1&amp;", ","")&amp;
IF(COUNTIF(Biomes!N$2:N$259,"="&amp;$C184)&gt;0,Biomes!N$1&amp;", ","")&amp;
IF(COUNTIF(Biomes!O$2:O$259,"="&amp;$C184)&gt;0,Biomes!O$1&amp;", ","")&amp;
IF(COUNTIF(Biomes!P$2:P$259,"="&amp;$C184)&gt;0,Biomes!P$1&amp;", ","")&amp;
IF(COUNTIF(Biomes!K$2:K$259,"="&amp;$C184)&gt;0,Biomes!K$1&amp;", ","")&amp;
IF(COUNTIF(Biomes!Q$3:Q$259,"="&amp;$C184)&gt;0,Biomes!Q$1&amp;", ","")&amp;
IF(COUNTIF(Biomes!L$2:L$259,"="&amp;$C184)&gt;0,Biomes!L$1&amp;", ","")&amp;
IF(COUNTIF(Biomes!E$2:E$259,"="&amp;$C184)&gt;0,Biomes!E$1&amp;", ","")&amp;IF(COUNTIF(Biomes!S$2:S$259,"="&amp;$C184)&gt;0,Biomes!S$1&amp;", ","")&amp;
IF(COUNTIF(Biomes!R$2:R$259,"="&amp;$C184)&gt;0,Biomes!R$1&amp;", ",""),", ","")
),_xlfn.XLOOKUP(B184,B:B,BX:BX))</f>
        <v>TemperateForest TemperateSwamp AridShrubland Grasslands LavaField</v>
      </c>
      <c r="BY184" s="25" t="str">
        <f>IF(_xlfn.XLOOKUP(B184,'Base stats'!B:B,'Base stats'!AJ:AJ)=1,"true","false")</f>
        <v>false</v>
      </c>
      <c r="BZ184" s="25">
        <f>IF(_xlfn.XLOOKUP(B184,'Base stats'!B:B,'Base stats'!N:N)=1,"No",MAX(0.001,MIN(MROUND(IF(AND(BJ184="True",CC184="False"),POWER(10,3.47*LOG10(_xlfn.XLOOKUP(B184,'Base stats'!B:B,'Base stats'!C:C)*1000)^-0.96),POWER(10,4.15*LOG10(_xlfn.XLOOKUP(B184,'Base stats'!B:B,'Base stats'!C:C)*1000)^-0.73))*IF(_xlfn.XLOOKUP(B184,'Base stats'!B:B,'Base stats'!AK:AK)=1,0.5,1)*IF(_xlfn.XLOOKUP(B184,'Base stats'!B:B,'Base stats'!AM:AM)=1,0.1,1)/100,IF(_xlfn.XLOOKUP(B184,'Base stats'!B:B,'Base stats'!AM:AM)=1,0.001,0.025)),0.5)))</f>
        <v>0.5</v>
      </c>
      <c r="CA184" s="25" t="str">
        <f>IF(P184="Standard","No",MAX(0.001,MIN(MROUND(IF(AND(BJ184="True",CC184="False"),POWER(10,3.47*LOG10(_xlfn.XLOOKUP(B184,'Base stats'!B:B,'Base stats'!C:C)*1000)^-0.96),POWER(10,4.15*LOG10(_xlfn.XLOOKUP(B184,'Base stats'!B:B,'Base stats'!C:C)*1000)^-0.73))*IF(_xlfn.XLOOKUP(B184,'Base stats'!B:B,'Base stats'!AM:AM)=1,0.1,1)*_xlfn.XLOOKUP(B184,'Base stats'!B:B,'Base stats'!R:R)/100,IF(_xlfn.XLOOKUP(B184,'Base stats'!B:B,'Base stats'!AM:AM)=1,0.001,0.025)),0.5)))</f>
        <v>No</v>
      </c>
      <c r="CB184" s="25" t="str">
        <f>IF(_xlfn.XLOOKUP(_xlfn.XLOOKUP(B184,'Base stats'!B:B,'Base stats'!E:E),Groups!A:A,Groups!AJ:AJ)="Mammal","True","False")</f>
        <v>False</v>
      </c>
      <c r="CC184" s="25" t="str">
        <f>IF(OR(_xlfn.XLOOKUP(_xlfn.XLOOKUP(B184,'Base stats'!B:B,'Base stats'!E:E),Groups!A:A,Groups!AJ:AJ)="Reptile",_xlfn.XLOOKUP(_xlfn.XLOOKUP(B184,'Base stats'!B:B,'Base stats'!E:E),Groups!A:A,Groups!AJ:AJ)="Amphibian",_xlfn.XLOOKUP(_xlfn.XLOOKUP(B184,'Base stats'!B:B,'Base stats'!E:E),Groups!A:A,Groups!AJ:AJ)="Invertebrate"),"True","False")</f>
        <v>False</v>
      </c>
      <c r="CD184" s="25" t="str">
        <f t="shared" si="20"/>
        <v>False</v>
      </c>
      <c r="CE184" s="25" t="str">
        <f>IF(_xlfn.XLOOKUP(_xlfn.XLOOKUP(B184,'Base stats'!B:B,'Base stats'!E:E),Groups!A:A,Groups!AX:AX),"True","False")</f>
        <v>False</v>
      </c>
      <c r="CF184" s="25" t="str">
        <f>IF(_xlfn.XLOOKUP(_xlfn.XLOOKUP(B184,'Base stats'!B:B,'Base stats'!E:E),Groups!A:A,Groups!AY:AY),"True","False")</f>
        <v>False</v>
      </c>
      <c r="CG184" s="25" t="str">
        <f>IF(_xlfn.XLOOKUP(_xlfn.XLOOKUP(B184,'Base stats'!B:B,'Base stats'!E:E),Groups!A:A,Groups!AW:AW),"True","False")</f>
        <v>False</v>
      </c>
      <c r="CH184" s="25" t="str">
        <f>IF(
OR(
_xlfn.XLOOKUP(_xlfn.XLOOKUP(B184,'Base stats'!B:B,'Base stats'!E:E),Groups!A:A,Groups!AZ:AZ)=0,
AND(
_xlfn.XLOOKUP(B184,'Base stats'!B:B,'Base stats'!Y:Y)&lt;&gt;"Carnivore",
_xlfn.XLOOKUP(B184,'Base stats'!B:B,'Base stats'!Y:Y)&lt;&gt;"Omnivore",
_xlfn.XLOOKUP(B184,'Base stats'!B:B,'Base stats'!Y:Y)&lt;&gt;"OmnivoreRough"
)
),
"No",
IF(
_xlfn.XLOOKUP(_xlfn.XLOOKUP(B184,'Base stats'!B:B,'Base stats'!E:E),Groups!A:A,Groups!AZ:AZ)=1,
"Flesh",
IF(
_xlfn.XLOOKUP(_xlfn.XLOOKUP(B184,'Base stats'!B:B,'Base stats'!E:E),Groups!A:A,Groups!AZ:AZ)=2,
"Bone",
""
)
)
)</f>
        <v>No</v>
      </c>
      <c r="CI184" s="25" t="str">
        <f>IF(_xlfn.XLOOKUP(_xlfn.XLOOKUP(B184,'Base stats'!B:B,'Base stats'!E:E),Groups!A:A,Groups!BB:BB),"True","False")</f>
        <v>True</v>
      </c>
      <c r="CJ184" s="25" t="str">
        <f>IF(_xlfn.XLOOKUP(_xlfn.XLOOKUP(B184,'Base stats'!B:B,'Base stats'!E:E),Groups!A:A,Groups!BA:BA),"True","False")</f>
        <v>False</v>
      </c>
    </row>
    <row r="185" spans="1:88" s="16" customFormat="1" ht="16.5" thickTop="1" thickBot="1" x14ac:dyDescent="0.3">
      <c r="A185" s="26" t="str">
        <f>_xlfn.XLOOKUP(B185,'Base stats'!B:B,'Base stats'!A:A)</f>
        <v>Swan</v>
      </c>
      <c r="B185" s="6" t="s">
        <v>214</v>
      </c>
      <c r="C185" s="28" t="s">
        <v>1235</v>
      </c>
      <c r="D185" s="28" t="s">
        <v>1113</v>
      </c>
      <c r="E185" s="28" t="s">
        <v>673</v>
      </c>
      <c r="F185" s="28" t="s">
        <v>673</v>
      </c>
      <c r="G185" s="28" t="s">
        <v>1228</v>
      </c>
      <c r="H185" s="2">
        <f>MROUND((
  (IF(AND(_xlfn.XLOOKUP(B185,'Base stats'!B:B,'Base stats'!AL:AL)=0,BI185="None",_xlfn.XLOOKUP(_xlfn.XLOOKUP(B185,'Base stats'!B:B,'Base stats'!E:E),Groups!A:A,Groups!B:B)=0), (18 + BR185 * 2.7) * 0.5,
    IF(AND(_xlfn.XLOOKUP(B185,'Base stats'!B:B,'Base stats'!AL:AL)=0,OR(AO185&lt;0.55,AND(BI185="Intermediate",_xlfn.XLOOKUP(_xlfn.XLOOKUP(B185,'Base stats'!B:B,'Base stats'!E:E),Groups!A:A,Groups!B:B)&lt;2))), (18 + BR185 * 2.7),
      IF(OR(BI185="Advanced",_xlfn.XLOOKUP(B185,'Base stats'!B:B,'Base stats'!AL:AL)=1,_xlfn.XLOOKUP(_xlfn.XLOOKUP(B185,'Base stats'!B:B,'Base stats'!E:E),Groups!A:A,Groups!B:B)=2), (18 + BR185 * 2.7) + 250, (18 + BR185 * 2.7))
    )
  ))
  + AO185 * 80
  + IF(COUNTIF(EggMilk!K$2:K$998, A185) &gt; 0, 125, 0)
  + IF(COUNTIF(EggMilk!P$2:P$998, A185) &gt; 0, 90, 0)
  + IF(COUNTIF(EggMilk!A$2:A$998, A185) &gt; 0, 90, 0)
)
* (0.8 + 0.4 * J185)
* 0.75,25)</f>
        <v>175</v>
      </c>
      <c r="I185" s="2">
        <f>MROUND(ROUNDDOWN(_xlfn.XLOOKUP(B185,'Base stats'!B:B,'Base stats'!L:L)/3.6/(23.3/11),1),0.5)</f>
        <v>1.5</v>
      </c>
      <c r="J185" s="2">
        <f>IF(OR(_xlfn.XLOOKUP(B185,'Base stats'!B:B,'Base stats'!AB:AB)=1,_xlfn.XLOOKUP(_xlfn.XLOOKUP(B185,'Base stats'!B:B,'Base stats'!E:E),Groups!A:A,Groups!C:C)="Untamable"),1,IF(_xlfn.XLOOKUP(B185,'Base stats'!B:B,'Base stats'!AL:AL)=1,0.99,MIN(MROUND((1-0.6282*EXP(-0.459*AO185))*_xlfn.XLOOKUP(_xlfn.XLOOKUP(B185,'Base stats'!B:B,'Base stats'!E:E),Groups!A:A,Groups!C:C)*IF(_xlfn.XLOOKUP(B185,'Base stats'!B:B,'Base stats'!O:O)=1,0.5,IF(_xlfn.XLOOKUP(B185,'Base stats'!B:B,'Base stats'!O:O)=2,0,1)),0.05),IF(AO185&gt;3.5,0.985,0.95))))</f>
        <v>0.60000000000000009</v>
      </c>
      <c r="K185" s="2">
        <f>ROUNDUP(AO185*_xlfn.XLOOKUP(_xlfn.XLOOKUP(B185,'Base stats'!B:B,'Base stats'!E:E),Groups!A:A,Groups!E:E),0)</f>
        <v>5</v>
      </c>
      <c r="L185" s="2">
        <f>IF(OR(_xlfn.XLOOKUP(_xlfn.XLOOKUP(B185,'Base stats'!B:B,'Base stats'!E:E),Groups!A:A,Groups!F:F)=2,ISNUMBER(SEARCH("SeaIce",BX185)),ISNUMBER(SEARCH("IceSheet",BX185))),-50,IF(OR(ISNUMBER(SEARCH("GlacialPlain",BX185)),ISNUMBER(SEARCH("Tundra",BX185))),-40,IF(OR(ISNUMBER(SEARCH("Alpine",BX185)),ISNUMBER(SEARCH("BorealForest",BX185)),ISNUMBER(SEARCH("ColdBog",BX185))),-30,IF(OR(ISNUMBER(SEARCH("TemperateForest",BX185)),ISNUMBER(SEARCH("TemperateSwamp",BX185))),-20,IF(_xlfn.XLOOKUP(_xlfn.XLOOKUP(B185,'Base stats'!B:B,'Base stats'!E:E),Groups!A:A,Groups!F:F)=1,-15,IF(OR(ISNUMBER(SEARCH("Desert",BX185)),ISNUMBER(SEARCH("ExtremeDesert",BX185))),-10,IF(OR(ISNUMBER(SEARCH("Grasslands",BX185)),ISNUMBER(SEARCH("TropicalRainforest",BX185)),ISNUMBER(SEARCH("TropicalSwamp",BX185))),10,0)))))))-IF(CC185="False",MIN(IFERROR(MAX(MROUND(LOG10(_xlfn.XLOOKUP(B185,'Base stats'!B:B,'Base stats'!C:C)^(2/3))*10,5),5),5),30))-_xlfn.XLOOKUP(B185,'Base stats'!B:B,'Base stats'!P:P)+IF(CC185="True",5,0)</f>
        <v>-35</v>
      </c>
      <c r="M185" s="2">
        <f>IF(OR(_xlfn.XLOOKUP(_xlfn.XLOOKUP(B185,'Base stats'!B:B,'Base stats'!E:E),Groups!A:A,Groups!G:G)=2,ISNUMBER(SEARCH("Desert",BX185)),ISNUMBER(SEARCH("ExtremeDesert",BX185)),ISNUMBER(SEARCH("LavaField",BX185))),50,IF(ISNUMBER(SEARCH("Grasslands",BX185)),45,IF(OR(_xlfn.XLOOKUP(_xlfn.XLOOKUP(B185,'Base stats'!B:B,'Base stats'!E:E),Groups!A:A,Groups!G:G)=1,ISNUMBER(SEARCH("TropicalRainforest",BX185)),ISNUMBER(SEARCH("TropicalSwamp",BX185))),40,IF(OR(ISNUMBER(SEARCH("TemperateForest",BX185)),ISNUMBER(SEARCH("TemperateSwamp",BX185))),35,IF(OR(ISNUMBER(SEARCH("Alpine",BX185)),ISNUMBER(SEARCH("BorealForest",BX185)),ISNUMBER(SEARCH("ColdBog",BX185))),30,IF(ISNUMBER(OR(ISNUMBER(SEARCH("GlacialPlain",BX185)),SEARCH("Tundra",BX185))),25,IF(OR(ISNUMBER(SEARCH("SeaIce",BX185)),ISNUMBER(SEARCH("IceSheet",BX185)),ISNUMBER(SEARCH("TropicalSwamp",BX185))),10,35)))))))+_xlfn.XLOOKUP(B185,'Base stats'!B:B,'Base stats'!Q:Q)</f>
        <v>35</v>
      </c>
      <c r="N185" s="8" t="str">
        <f>IF(
_xlfn.XLOOKUP(
_xlfn.XLOOKUP(B185,'Base stats'!B:B,'Base stats'!E:E),
Groups!A:A,
Groups!L:L
)=1,
MIN(
MROUND(
IF(
_xlfn.XLOOKUP(B185,'Animals CE'!B:B,'Animals CE'!Z:Z)&lt;=1.5,
_xlfn.XLOOKUP(B185,'Animals CE'!B:B,'Animals CE'!Z:Z)/2+0.05,
0.8+
(_xlfn.XLOOKUP(B185,'Animals CE'!B:B,'Animals CE'!Z:Z)-1.5)
*0.02
),
0.05
),
200%
),
"No"
)</f>
        <v>No</v>
      </c>
      <c r="O185" s="8" t="str">
        <f>IF(
_xlfn.XLOOKUP(
_xlfn.XLOOKUP(B185,'Base stats'!B:B,'Base stats'!E:E),
Groups!A:A,
Groups!L:L
)=1,
MIN(
MROUND(
IF(
_xlfn.XLOOKUP(B185,'Animals CE'!B:B,'Animals CE'!AA:AA)&lt;=1.5,
_xlfn.XLOOKUP(B185,'Animals CE'!B:B,'Animals CE'!AA:AA)/2+0.05,
0.8+
(_xlfn.XLOOKUP(B185,'Animals CE'!B:B,'Animals CE'!AA:AA)-1.5)
*0.02
),
0.05
),
200%
),
"No"
)</f>
        <v>No</v>
      </c>
      <c r="P185" s="2" t="str">
        <f>_xlfn.XLOOKUP(B185,'Base stats'!B:B,'Base stats'!R:R)</f>
        <v>Standard</v>
      </c>
      <c r="Q185" s="13">
        <f>MROUND((LOG10(_xlfn.XLOOKUP(B185,'Base stats'!B:B,'Base stats'!AR:AR))*(AO185^0.5)+(_xlfn.XLOOKUP(B185,'Base stats'!B:B,'Base stats'!AR:AR)/1000)^(2/3)+_xlfn.XLOOKUP(B185,'Base stats'!B:B,'Base stats'!BA:BA)/2)+0.5,0.5)</f>
        <v>3.5</v>
      </c>
      <c r="R185" s="7">
        <f>IF(Q185="No","No",MAX(1,MROUND(_xlfn.XLOOKUP(B185,'Base stats'!B:B,'Base stats'!C:C)^0.165,0.05)))</f>
        <v>1.4500000000000002</v>
      </c>
      <c r="S185" s="13" t="str">
        <f>IF(_xlfn.XLOOKUP(_xlfn.XLOOKUP(B185,'Base stats'!B:B,'Base stats'!E:E),Groups!A:A,Groups!P:P)=0,"No",MROUND((LOG10(_xlfn.XLOOKUP(B185,'Base stats'!B:B,'Base stats'!AS:AS))*(AO185^0.5)+(_xlfn.XLOOKUP(B185,'Base stats'!B:B,'Base stats'!AS:AS)/1000)^(2/3)+_xlfn.XLOOKUP(B185,'Base stats'!B:B,'Base stats'!BA:BA))+_xlfn.XLOOKUP(B185,'Base stats'!B:B,'Base stats'!AY:AY)+0.5,0.5))</f>
        <v>No</v>
      </c>
      <c r="T185" s="7" t="str">
        <f>IF(S185="No","No",MAX(_xlfn.XLOOKUP(_xlfn.XLOOKUP(B185,'Base stats'!B:B,'Base stats'!E:E),Groups!A:A,Groups!Q:Q),MROUND(_xlfn.XLOOKUP(_xlfn.XLOOKUP(B185,'Base stats'!B:B,'Base stats'!E:E),Groups!A:A,Groups!Q:Q)*_xlfn.XLOOKUP(B185,'Base stats'!B:B,'Base stats'!C:C)^0.165,0.05)))</f>
        <v>No</v>
      </c>
      <c r="U185" s="7" t="str">
        <f>IF(S185="No","No",_xlfn.XLOOKUP(_xlfn.XLOOKUP(B185,'Base stats'!B:B,'Base stats'!E:E),Groups!A:A,Groups!R:R))</f>
        <v>No</v>
      </c>
      <c r="V185" s="7" t="str">
        <f>IF(S185="No","No",_xlfn.XLOOKUP(_xlfn.XLOOKUP(B185,'Base stats'!B:B,'Base stats'!E:E),Groups!A:A,Groups!S:S))</f>
        <v>No</v>
      </c>
      <c r="W185" s="7" t="str">
        <f>IF(S185="No","No",_xlfn.XLOOKUP(_xlfn.XLOOKUP(B185,'Base stats'!B:B,'Base stats'!E:E),Groups!A:A,Groups!T:T))</f>
        <v>No</v>
      </c>
      <c r="X185" s="13" t="str">
        <f>IF(_xlfn.XLOOKUP(B185,'Base stats'!B:B,'Base stats'!W:W)="No","No",MROUND((LOG10(_xlfn.XLOOKUP(B185,'Base stats'!B:B,'Base stats'!AU:AU))*(AO185^0.5)+(_xlfn.XLOOKUP(B185,'Base stats'!B:B,'Base stats'!AU:AU)/1000)^(2/3)+_xlfn.XLOOKUP(B185,'Base stats'!B:B,'Base stats'!AZ:AZ))+0.5+IF(_xlfn.XLOOKUP(_xlfn.XLOOKUP(B185,'Base stats'!B:B,'Base stats'!E:E),Groups!A:A,Groups!U:U)&lt;&gt;3,_xlfn.XLOOKUP(B185,'Base stats'!B:B,'Base stats'!BA:BA),0),0.5))</f>
        <v>No</v>
      </c>
      <c r="Y185" s="7" t="str">
        <f>IF(X185="No","No",MAX(_xlfn.XLOOKUP(_xlfn.XLOOKUP(B185,'Base stats'!B:B,'Base stats'!E:E),Groups!A:A,Groups!V:V),MROUND(_xlfn.XLOOKUP(_xlfn.XLOOKUP(B185,'Base stats'!B:B,'Base stats'!E:E),Groups!A:A,Groups!V:V)*_xlfn.XLOOKUP(B185,'Base stats'!B:B,'Base stats'!C:C)^0.165,0.05)))</f>
        <v>No</v>
      </c>
      <c r="Z185" s="7" t="str">
        <f>IF(X185="No","No",_xlfn.XLOOKUP(_xlfn.XLOOKUP(B185,'Base stats'!B:B,'Base stats'!E:E),Groups!A:A,Groups!W:W))</f>
        <v>No</v>
      </c>
      <c r="AA185" s="7" t="str">
        <f>IF(X185="No","No",_xlfn.XLOOKUP(_xlfn.XLOOKUP(B185,'Base stats'!B:B,'Base stats'!E:E),Groups!A:A,Groups!X:X))</f>
        <v>No</v>
      </c>
      <c r="AB185" s="7" t="str">
        <f>IF(X185="No","No",_xlfn.XLOOKUP(_xlfn.XLOOKUP(B185,'Base stats'!B:B,'Base stats'!E:E),Groups!A:A,Groups!Y:Y))</f>
        <v>No</v>
      </c>
      <c r="AC185" s="7" t="str">
        <f>_xlfn.XLOOKUP(Animals!B185,'Base stats'!B:B,'Base stats'!X:X)</f>
        <v>False</v>
      </c>
      <c r="AD185" s="13">
        <f>IF(_xlfn.XLOOKUP(B185,'Base stats'!B:B,'Base stats'!AT:AT)="No","No",MROUND((LOG10(_xlfn.XLOOKUP(B185,'Base stats'!B:B,'Base stats'!AT:AT))*(AO185^0.75)+(_xlfn.XLOOKUP(B185,'Base stats'!B:B,'Base stats'!AT:AT)/1000)^(2/3)+_xlfn.XLOOKUP(B185,'Base stats'!B:B,'Base stats'!AX:AX)+_xlfn.XLOOKUP(B185,'Base stats'!B:B,'Base stats'!BA:BA))+0.5,0.5))</f>
        <v>3.5</v>
      </c>
      <c r="AE185" s="7">
        <f>IF(AD185="No","No",MAX(_xlfn.XLOOKUP(_xlfn.XLOOKUP(B185,'Base stats'!B:B,'Base stats'!E:E),Groups!A:A,Groups!Z:Z),MROUND(_xlfn.XLOOKUP(_xlfn.XLOOKUP(B185,'Base stats'!B:B,'Base stats'!E:E),Groups!A:A,Groups!Z:Z)*_xlfn.XLOOKUP(B185,'Base stats'!B:B,'Base stats'!C:C)^0.165,0.05)))</f>
        <v>1.1500000000000001</v>
      </c>
      <c r="AF185" s="7" t="str">
        <f>IF(AD185="No","No",_xlfn.XLOOKUP(_xlfn.XLOOKUP(B185,'Base stats'!B:B,'Base stats'!E:E),Groups!A:A,Groups!AA:AA))</f>
        <v>Beak</v>
      </c>
      <c r="AG185" s="7" t="str">
        <f>IF(AD185="No","No",_xlfn.XLOOKUP(_xlfn.XLOOKUP(B185,'Base stats'!B:B,'Base stats'!E:E),Groups!A:A,Groups!AB:AB))</f>
        <v>beak</v>
      </c>
      <c r="AH185" s="7" t="str">
        <f>IF(AD185="No","No",_xlfn.XLOOKUP(_xlfn.XLOOKUP(B185,'Base stats'!B:B,'Base stats'!E:E),Groups!A:A,Groups!AC:AC))</f>
        <v>Blunt</v>
      </c>
      <c r="AI185" s="13" t="str">
        <f>IF(_xlfn.XLOOKUP(_xlfn.XLOOKUP(B185,'Base stats'!B:B,'Base stats'!E:E),Groups!A:A,Groups!AD:AD)=0,"No",MROUND((LOG10(_xlfn.XLOOKUP(B185,'Base stats'!B:B,'Base stats'!AS:AS))*(AO185^0.75)+(_xlfn.XLOOKUP(B185,'Base stats'!B:B,'Base stats'!AS:AS)/1000)^(2/3)+_xlfn.XLOOKUP(B185,'Base stats'!B:B,'Base stats'!AY:AY)+_xlfn.XLOOKUP(B185,'Base stats'!B:B,'Base stats'!BA:BA))+0.5,0.5))</f>
        <v>No</v>
      </c>
      <c r="AJ185" s="7" t="str">
        <f>IF(AI185="No","No",MAX(_xlfn.XLOOKUP(_xlfn.XLOOKUP(B185,'Base stats'!B:B,'Base stats'!E:E),Groups!A:A,Groups!AE:AE),MROUND(_xlfn.XLOOKUP(_xlfn.XLOOKUP(B185,'Base stats'!B:B,'Base stats'!E:E),Groups!A:A,Groups!AE:AE)*IF(_xlfn.XLOOKUP(_xlfn.XLOOKUP(B185,'Base stats'!B:B,'Base stats'!E:E),Groups!A:A,Groups!AJ:AJ)="Photonozoa",0.6,1)*_xlfn.XLOOKUP(B185,'Base stats'!B:B,'Base stats'!C:C)^0.165,0.05)))</f>
        <v>No</v>
      </c>
      <c r="AK185" s="7" t="str">
        <f>IF(AI185="No","No",_xlfn.XLOOKUP(_xlfn.XLOOKUP(B185,'Base stats'!B:B,'Base stats'!E:E),Groups!A:A,Groups!AF:AF))</f>
        <v>No</v>
      </c>
      <c r="AL185" s="7" t="str">
        <f>IF(AI185="No","No",_xlfn.XLOOKUP(_xlfn.XLOOKUP(B185,'Base stats'!B:B,'Base stats'!E:E),Groups!A:A,Groups!AG:AG))</f>
        <v>No</v>
      </c>
      <c r="AM185" s="7" t="str">
        <f>IF(AI185="No","No",_xlfn.XLOOKUP(_xlfn.XLOOKUP(B185,'Base stats'!B:B,'Base stats'!E:E),Groups!A:A,Groups!AH:AH))</f>
        <v>No</v>
      </c>
      <c r="AN185" s="2" t="str">
        <f t="shared" si="14"/>
        <v>No</v>
      </c>
      <c r="AO185" s="2">
        <f>MROUND(IF(AND(_xlfn.XLOOKUP(B185,'Base stats'!B:B,'Base stats'!C:C)&gt;=0.5,_xlfn.XLOOKUP(B185,'Base stats'!B:B,'Base stats'!C:C)&lt;=0.8),
IF(_xlfn.XLOOKUP(B185,'Base stats'!B:B,'Base stats'!C:C)&lt;0.1,0.05,IF(_xlfn.XLOOKUP(B185,'Base stats'!B:B,'Base stats'!C:C)&lt;=70,(_xlfn.XLOOKUP(B185,'Base stats'!B:B,'Base stats'!C:C)/70)^0.426489913056526,IF(_xlfn.XLOOKUP(B185,'Base stats'!B:B,'Base stats'!C:C)&lt;=400,(_xlfn.XLOOKUP(B185,'Base stats'!B:B,'Base stats'!C:C)/70)^0.572811455315093,IF(_xlfn.XLOOKUP(B185,'Base stats'!B:B,'Base stats'!C:C)&lt;=2000,2.71391647193063*(_xlfn.XLOOKUP(B185,'Base stats'!B:B,'Base stats'!C:C)/400)^0.252459582904293,3.74314280240376*(_xlfn.XLOOKUP(B185,'Base stats'!B:B,'Base stats'!C:C)/2000)^0.357012633876913)))),
IF(_xlfn.XLOOKUP(B185,'Base stats'!B:B,'Base stats'!C:C)&lt;0.1,0.05,IF(_xlfn.XLOOKUP(B185,'Base stats'!B:B,'Base stats'!C:C)&lt;0.4,0.1,IF(_xlfn.XLOOKUP(B185,'Base stats'!B:B,'Base stats'!C:C)&lt;=70,(_xlfn.XLOOKUP(B185,'Base stats'!B:B,'Base stats'!C:C)/70)^0.445823913056526,IF(_xlfn.XLOOKUP(B185,'Base stats'!B:B,'Base stats'!C:C)&lt;=400,(_xlfn.XLOOKUP(B185,'Base stats'!B:B,'Base stats'!C:C)/70)^0.572811455315093,IF(_xlfn.XLOOKUP(B185,'Base stats'!B:B,'Base stats'!C:C)&lt;=2000,2.71391647193063*(_xlfn.XLOOKUP(B185,'Base stats'!B:B,'Base stats'!C:C)/400)^0.252459582904293,3.74314280240376*(_xlfn.XLOOKUP(B185,'Base stats'!B:B,'Base stats'!C:C)/2000)^0.357012633876913)))))),
IF(_xlfn.XLOOKUP(B185,'Base stats'!B:B,'Base stats'!C:C)&lt;0.1,0.05,IF(_xlfn.XLOOKUP(B185,'Base stats'!B:B,'Base stats'!C:C)&lt;=100,0.05,IF(_xlfn.XLOOKUP(B185,'Base stats'!B:B,'Base stats'!C:C)&lt;=250,0.1,IF(_xlfn.XLOOKUP(B185,'Base stats'!B:B,'Base stats'!C:C)&lt;=4000,0.25,0.5)))))</f>
        <v>0.4</v>
      </c>
      <c r="AP185" s="8">
        <f>MROUND(AO185*_xlfn.XLOOKUP(_xlfn.XLOOKUP(B185,'Base stats'!B:B,'Base stats'!E:E),Groups!A:A,Groups!AI:AI)*_xlfn.XLOOKUP(B185,'Base stats'!B:B,'Base stats'!Z:Z),0.05)</f>
        <v>0.4</v>
      </c>
      <c r="AQ185" s="8">
        <f>MAX(0.01,MROUND(IF(CC185="True",0.196*(AO185*100*1000)^0.889,IF(_xlfn.XLOOKUP(_xlfn.XLOOKUP(B185,'Base stats'!B:B,'Base stats'!E:E),Groups!A:A,Groups!AJ:AJ)="Bird",10.5*(AO185*100*1000)^0.681,4.82*(AO185*100*1000)^0.734))/(4.82*(1*100*1000)^0.734)/IF(AO185&lt;3.5,2,IF(AO185=3.5,1.5,1.25))*(1+0.132282374779864/(AO185^0.994035016789033+0.00905238001496948)),0.05))</f>
        <v>0.4</v>
      </c>
      <c r="AR185" s="9">
        <f>IFERROR(MROUND(_xlfn.XLOOKUP(B185,'Base stats'!B:B,'Base stats'!H:H)/IF(_xlfn.XLOOKUP(B185,'Base stats'!B:B,'Base stats'!I:I)&lt;&gt;1,(122.5/70),1.2),IF(_xlfn.XLOOKUP(B185,'Base stats'!B:B,'Base stats'!H:H)&gt;=30,5,IF(_xlfn.XLOOKUP(B185,'Base stats'!B:B,'Base stats'!H:H)&gt;=15,3,IF(_xlfn.XLOOKUP(B185,'Base stats'!B:B,'Base stats'!H:H)&gt;=10,2,1)))),"Immortal")</f>
        <v>25</v>
      </c>
      <c r="AS185" s="35" t="str">
        <f>IFERROR(IF(OR(_xlfn.XLOOKUP(B185,'Base stats'!B:B,'Base stats'!F:F)="Atypical reproduction",_xlfn.XLOOKUP(B185,'Base stats'!B:B,'Base stats'!F:F)="Lay eggs"),"Lay eggs",MIN(20,MAX(5.5,ROUND(((_xlfn.XLOOKUP(B185,'Base stats'!B:B,'Base stats'!F:F)-25)*(14.5/615) + 5.5)*2,0)/2))),"Unknown")</f>
        <v>Lay eggs</v>
      </c>
      <c r="AT185" s="8">
        <f>IF(_xlfn.XLOOKUP(B185,'Base stats'!B:B,'Base stats'!G:G)="Atypical reproduction","No",IFERROR(MAX(IF(_xlfn.XLOOKUP(B185,'Base stats'!B:B,'Base stats'!G:G)&lt;0.5,0.2,0.3),MROUND(_xlfn.XLOOKUP(B185,'Base stats'!B:B,'Base stats'!G:G)/(365/60),0.2)),"Unknown"))</f>
        <v>0.4</v>
      </c>
      <c r="AU185" s="8">
        <f t="shared" si="15"/>
        <v>0.2</v>
      </c>
      <c r="AV185" s="8" t="str">
        <f>IFERROR(IFERROR(MROUND(_xlfn.XLOOKUP(B185,'Base stats'!B:B,'Base stats'!J:J),0.1),"Lay eggs"),"Cannot breed")</f>
        <v>Lay eggs</v>
      </c>
      <c r="AW185" s="2" t="str">
        <f t="shared" si="16"/>
        <v>false</v>
      </c>
      <c r="AX185" s="2" t="str">
        <f>IF(_xlfn.XLOOKUP(_xlfn.XLOOKUP(Animals!B185,'Base stats'!B:B,'Base stats'!E:E),Groups!A:A,Groups!AK:AK)=1,"true","false")</f>
        <v>false</v>
      </c>
      <c r="AY185" s="25" t="str">
        <f>IF(_xlfn.XLOOKUP(B185,'Base stats'!B:B,'Base stats'!Y:Y)="Liquor","Liquor, CarnivoreAnimalStrict",IF(AND(_xlfn.XLOOKUP(B185,'Base stats'!B:B,'Base stats'!Y:Y)="Carnivore",_xlfn.XLOOKUP(_xlfn.XLOOKUP(B185,'Base stats'!B:B,'Base stats'!E:E),Groups!A:A,Groups!AJ:AJ)="Photonozoa"),"CarnivoreAnimalStrict, OvivoreAnimal",IF(_xlfn.XLOOKUP(B185,'Base stats'!B:B,'Base stats'!Y:Y)="Carnivore","CarnivoreAnimal, OvivoreAnimal",IF(_xlfn.XLOOKUP(B185,'Base stats'!B:B,'Base stats'!Y:Y)="Dendrovore","VegetarianRoughAnimal, DendrovoreAnimal",IF(_xlfn.XLOOKUP(B185,'Base stats'!B:B,'Base stats'!Y:Y)="Herbivore","VegetarianRoughAnimal",IF(_xlfn.XLOOKUP(B185,'Base stats'!B:B,'Base stats'!Y:Y)="OmnivoreRough","OmnivoreRoughAnimal, OvivoreAnimal","OmnivoreAnimal, OvivoreAnimal"))))))</f>
        <v>VegetarianRoughAnimal</v>
      </c>
      <c r="AZ185" s="2">
        <f>IF(_xlfn.XLOOKUP(_xlfn.XLOOKUP(B185,'Base stats'!B:B,'Base stats'!E:E),Groups!A:A,Groups!D:D)=1,MROUND((1-J185)*5+1,2)*IF(J185&lt;=0.4,2,1),"No")</f>
        <v>4</v>
      </c>
      <c r="BA185" s="2" t="str">
        <f>IF(AND(_xlfn.XLOOKUP(B185,'Base stats'!B:B,'Base stats'!AH:AH)="&lt;li&gt;Seal&lt;/li&gt;",G185="Odyssey"),"&lt;li&gt;AEXP_Seal&lt;/li&gt;",_xlfn.XLOOKUP(B185,'Base stats'!B:B,'Base stats'!AH:AH))</f>
        <v>&lt;li&gt;Cassowary&lt;/li&gt;</v>
      </c>
      <c r="BB185" s="2" t="str">
        <f>_xlfn.XLOOKUP(B185,'Base stats'!B:B,'Base stats'!AG:AG)</f>
        <v>No</v>
      </c>
      <c r="BC185" s="23" t="str">
        <f>_xlfn.XLOOKUP(_xlfn.XLOOKUP(B185,'Base stats'!B:B,'Base stats'!E:E),Groups!A:A,Groups!AL:AL)</f>
        <v>Bird</v>
      </c>
      <c r="BD185" s="23">
        <f>MIN(1,MROUND(IF(AND(AO185&lt;0.5,_xlfn.XLOOKUP(B185,'Base stats'!B:B,'Base stats'!AA:AA)=0),0,IF(OR(_xlfn.XLOOKUP(Animals!B185,'Base stats'!B:B,'Base stats'!O:O)=2,_xlfn.XLOOKUP(_xlfn.XLOOKUP(B185,'Base stats'!B:B,'Base stats'!E:E),Groups!A:A,Groups!AN:AN)=0),0,_xlfn.XLOOKUP(_xlfn.XLOOKUP(B185,'Base stats'!B:B,'Base stats'!E:E),Groups!A:A,Groups!AN:AN)/IF(_xlfn.XLOOKUP(Animals!B185,'Base stats'!B:B,'Base stats'!O:O)=1,2,1)))+_xlfn.XLOOKUP(B185,'Base stats'!B:B,'Base stats'!AC:AC),0.005))</f>
        <v>0</v>
      </c>
      <c r="BE185" s="23">
        <f>MIN(1,MROUND(IF(AND(AO185&lt;0.5,_xlfn.XLOOKUP(B185,'Base stats'!B:B,'Base stats'!AA:AA)=0),0,IF(_xlfn.XLOOKUP(_xlfn.XLOOKUP(B185,'Base stats'!B:B,'Base stats'!E:E),Groups!A:A,Groups!AO:AO)=0,0,_xlfn.XLOOKUP(_xlfn.XLOOKUP(B185,'Base stats'!B:B,'Base stats'!E:E),Groups!A:A,Groups!AO:AO)/IF(_xlfn.XLOOKUP(Animals!B185,'Base stats'!B:B,'Base stats'!O:O)=2,3,1)))+_xlfn.XLOOKUP(B185,'Base stats'!B:B,'Base stats'!AD:AD),0.005))</f>
        <v>0</v>
      </c>
      <c r="BF185" s="2" t="str">
        <f>IF(J185&gt;0.3,"No",_xlfn.XLOOKUP(_xlfn.XLOOKUP(Animals!B185,'Base stats'!B:B,'Base stats'!E:E),Groups!A:A,Groups!AP:AP))</f>
        <v>No</v>
      </c>
      <c r="BG185" s="2" t="str">
        <f>IF(AND(J185&lt;=0.65,_xlfn.XLOOKUP(_xlfn.XLOOKUP(Animals!B185,'Base stats'!B:B,'Base stats'!E:E),Groups!A:A,Groups!AP:AP)&lt;&gt;"No",_xlfn.XLOOKUP(_xlfn.XLOOKUP(B185,'Base stats'!B:B,'Base stats'!E:E),Groups!A:A,Groups!D:D)=0),MROUND((80/3)*IF(_xlfn.XLOOKUP(B185,'Base stats'!B:B,'Base stats'!O:O)=2,0.2,AO185) + 24*(1-IF(BF185="No",0,BF185)) + 16/3, 12),"No")</f>
        <v>No</v>
      </c>
      <c r="BH185" s="2">
        <f>IF(AND(_xlfn.XLOOKUP(_xlfn.XLOOKUP(B185,'Base stats'!B:B,'Base stats'!E:E),Groups!A:A,Groups!AQ:AQ)=1,AO185&lt;=0.35),8,12)</f>
        <v>12</v>
      </c>
      <c r="BI185" s="2" t="str">
        <f>IF(_xlfn.XLOOKUP(_xlfn.XLOOKUP(B185,'Base stats'!B:B,'Base stats'!E:E),Groups!A:A,Groups!D:D)=0,_xlfn.XLOOKUP(_xlfn.XLOOKUP(B185,'Base stats'!B:B,'Base stats'!E:E),Groups!A:A,Groups!AR:AR),"None")</f>
        <v>None</v>
      </c>
      <c r="BJ185" s="2" t="str">
        <f>IF(AND(_xlfn.XLOOKUP(_xlfn.XLOOKUP(B185,'Base stats'!B:B,'Base stats'!E:E),Groups!A:A,Groups!AS:AS)=1,OR(_xlfn.XLOOKUP(B185,'Base stats'!B:B,'Base stats'!Y:Y)="Carnivore",_xlfn.XLOOKUP(B185,'Base stats'!B:B,'Base stats'!Y:Y)="Omnivore")),"true","false")</f>
        <v>false</v>
      </c>
      <c r="BK185" s="2" t="str">
        <f>IF(BJ185="true",MROUND(IF(AND(AO185&gt;0.5,OR(_xlfn.XLOOKUP(_xlfn.XLOOKUP(B185,'Base stats'!B:B,'Base stats'!E:E),Groups!A:A,Groups!AJ:AJ)="Photonozoa",_xlfn.XLOOKUP(_xlfn.XLOOKUP(B185,'Base stats'!B:B,'Base stats'!E:E),Groups!A:A,Groups!AJ:AJ)="Mammal")),Animals!AO185*1.75*IF(AW185="true",1.5,1),IF(AO185&lt;0.5,Animals!AO185*0.5,Animals!AO185)),IF(AO185&gt;2,0.5,IF(AO185&gt;0.5,0.25,0.1))),"No")</f>
        <v>No</v>
      </c>
      <c r="BL185" s="2">
        <f t="shared" si="17"/>
        <v>0</v>
      </c>
      <c r="BM185" s="25" t="str">
        <f>IF(_xlfn.XLOOKUP(B185,'Base stats'!B:B,'Base stats'!AN:AN)="Standard","No",MROUND((_xlfn.XLOOKUP(B185,'Base stats'!B:B,'Base stats'!AN:AN)/3.6)/I185,0.1))</f>
        <v>No</v>
      </c>
      <c r="BN185" s="25" t="str">
        <f t="shared" si="18"/>
        <v>true</v>
      </c>
      <c r="BO185" s="25" t="str">
        <f>IF(AND(OR(_xlfn.XLOOKUP(B185,'Base stats'!B:B,'Base stats'!Y:Y)="Carnivore",_xlfn.XLOOKUP(B185,'Base stats'!B:B,'Base stats'!Y:Y)="Omnivore",_xlfn.XLOOKUP(B185,'Base stats'!B:B,'Base stats'!Y:Y)="OmnivoreRough"),_xlfn.XLOOKUP(_xlfn.XLOOKUP(B185,'Base stats'!B:B,'Base stats'!E:E),Groups!A:A,Groups!AT:AT)=1),"true","false")</f>
        <v>false</v>
      </c>
      <c r="BP185" s="25" t="str" cm="1">
        <f t="array" ref="BP185">IF(
  _xlfn.TEXTJOIN(", ",TRUE,
    IF(AND(BJ185="true",AO185&gt;0.5,BI185&lt;&gt;"None"),"AttackTarget",""),
    IF(AND(_xlfn.XLOOKUP(_xlfn.XLOOKUP(B185,'Base stats'!B:B,'Base stats'!E:E),Groups!A:A,Groups!AJ:AJ="Mammal"),OR(_xlfn.XLOOKUP(B185,'Base stats'!B:B,'Base stats'!Y:Y)="Omnivore",_xlfn.XLOOKUP(B185,'Base stats'!B:B,'Base stats'!Y:Y)="OmnivoreRough")),"Forage",""),
    IF(BG185&lt;=36,"Comfort",""),
    IF(_xlfn.XLOOKUP(B185,'Base stats'!B:B,'Base stats'!AE:AE)&lt;&gt;"No",_xlfn.XLOOKUP(B185,'Base stats'!B:B,'Base stats'!AE:AE),"")
  ) = "",
  "No",
  _xlfn.TEXTJOIN(", ",TRUE,
    IF(AND(BJ185="true",AO185&gt;0.5,BI185&lt;&gt;"None"),"AttackTarget",""),
    IF(AND(_xlfn.XLOOKUP(_xlfn.XLOOKUP(B185,'Base stats'!B:B,'Base stats'!E:E),Groups!A:A,Groups!AJ:AJ="Mammal"),OR(_xlfn.XLOOKUP(B185,'Base stats'!B:B,'Base stats'!Y:Y)="Omnivore",_xlfn.XLOOKUP(B185,'Base stats'!B:B,'Base stats'!Y:Y)="OmnivoreRough")),"Forage",""),
    IF(BG185&lt;=36,"Comfort",""),
    IF(_xlfn.XLOOKUP(B185,'Base stats'!B:B,'Base stats'!AE:AE)&lt;&gt;"No",_xlfn.XLOOKUP(B185,'Base stats'!B:B,'Base stats'!AE:AE),"")
  )
)</f>
        <v>No</v>
      </c>
      <c r="BQ185" s="25">
        <f>IF(
   AND(
      'Base stats'!AN185="Standard",_xlfn.XLOOKUP(_xlfn.XLOOKUP(B185,'Base stats'!B:B,'Base stats'!E:E),Groups!A:A,Groups!AU:AU)=0,
      OR(
      BO185="True"
      )
   ),
   10,
   IF(
       OR(BM185&lt;&gt;"No",_xlfn.XLOOKUP(_xlfn.XLOOKUP(B185,'Base stats'!B:B,'Base stats'!E:E),Groups!A:A,Groups!AU:AU)=1),
      1,
      "No"
   )
)</f>
        <v>1</v>
      </c>
      <c r="BR185" s="9">
        <f>MROUND((1 + ((0.2*IF(OR(Q185="No",R185="No",R185=0),0,Q185/R185)
+IF(OR(V185="No",S185="No",T185="No"),0,S185/T185*(LEN(V185)-LEN(SUBSTITUTE(V185,",",""))+1))
+IF(OR(X185="No",Y185="No"),0,X185/Y185)
+IF(OR(AD185="No",AE185="No"),0,AD185/AE185)
+IF(OR(AL185="No",AI185="No",AJ185="No"),0,AI185/AJ185*(LEN(AL185)-LEN(SUBSTITUTE(AL185,",",""))+1))
)/(0.2*IF(OR(Q185="No",R185="No",R185=0),0,1)
+IF(OR(V185="No",S185="No",T185="No"),0,LEN(V185)-LEN(SUBSTITUTE(V185,",",""))+1)
+IF(OR(X185="No",Y185="No"),0,1)
+IF(OR(AD185="No",AE185="No"),0,1)
+IF(OR(AL185="No",AI185="No",AJ185="No"),0,LEN(AL185)-LEN(SUBSTITUTE(AL185,",",""))+1))*62%)* 2)*(1 + (AP185 / (IF(_xlfn.XLOOKUP(_xlfn.XLOOKUP(B185,'Base stats'!B:B,'Base stats'!E:E),Groups!A:A,Groups!AJ:AJ)="Photonozoa",0.3,1)) + _xlfn.XLOOKUP(B185,'Base stats'!B:B,'Base stats'!AV:AV) * 1.8) * 2) * 2.5 + 10 + I185 * 2,5)+IF(_xlfn.XLOOKUP(B185,'Base stats'!B:B,'Base stats'!AK:AK)=1,50,0)</f>
        <v>35</v>
      </c>
      <c r="BS185" s="8">
        <f t="shared" si="19"/>
        <v>0.4</v>
      </c>
      <c r="BT185" s="8" t="str">
        <f>_xlfn.XLOOKUP(B185,'Base stats'!B:B,'Base stats'!AF:AF)</f>
        <v>No</v>
      </c>
      <c r="BU185" s="2" t="str">
        <f>IF(AND(J185&lt;=0.95,OR(_xlfn.XLOOKUP(B185,'Base stats'!B:B,'Base stats'!AK:AK)=1,_xlfn.XLOOKUP(B185,'Base stats'!B:B,'Base stats'!Y:Y)="Carnivore",_xlfn.XLOOKUP(B185,'Base stats'!B:B,'Base stats'!Y:Y)="Omnivore",BE185&gt;0.1)),"true","false")</f>
        <v>false</v>
      </c>
      <c r="BV185" s="2" t="str">
        <f>IF(_xlfn.XLOOKUP(B185,'Base stats'!B:B,'Base stats'!AI:AI)=1,"true","false")</f>
        <v>false</v>
      </c>
      <c r="BW185" s="25" t="str">
        <f>IF(E185="BaseInsect","AnimalInsect",
IF(J185&gt;0.95,"AnimalExotic",
_xlfn.TEXTJOIN(", ",TRUE,
IF(OR(_xlfn.XLOOKUP(B185,'Base stats'!B:B,'Base stats'!AM:AM)=1,AND(_xlfn.XLOOKUP(B185,'Base stats'!B:B,'Base stats'!O:O)=0,_xlfn.XLOOKUP(_xlfn.XLOOKUP(B185,'Base stats'!B:B,'Base stats'!E:E),Groups!A:A,Groups!B:B)&gt;0)),"AnimalUncommon","AnimalCommon"),
IF(AND(_xlfn.XLOOKUP(B185,'Base stats'!B:B,'Base stats'!O:O)=2,_xlfn.XLOOKUP(_xlfn.XLOOKUP(B185,'Base stats'!B:B,'Base stats'!E:E),Groups!A:A,Groups!D:D)=0),"AnimalPet",IF(AND(_xlfn.XLOOKUP(B185,'Base stats'!B:B,'Base stats'!O:O)&lt;&gt;0,_xlfn.XLOOKUP(_xlfn.XLOOKUP(B185,'Base stats'!B:B,'Base stats'!E:E),Groups!A:A,Groups!D:D)&lt;&gt;0),"AnimalFarm","")),
IF(OR(_xlfn.XLOOKUP(B185,'Base stats'!B:B,'Base stats'!AK:AK)=1,AND(BI185&lt;&gt;"None",BR185&gt;=60),ISNUMBER(SEARCH("Attack target",BP185))),"AnimalFighter","")
)))</f>
        <v>AnimalUncommon</v>
      </c>
      <c r="BX185" s="25" t="str">
        <f>IF(G185="None",TRIM(
SUBSTITUTE(
IF(COUNTIF(Biomes!B$2:B$259,"="&amp;$C185)&gt;0,Biomes!B$1&amp;", ","")&amp;
IF(COUNTIF(Biomes!C$2:C$259,"="&amp;$C185)&gt;0,Biomes!C$1&amp;", ","")&amp;
IF(COUNTIF(Biomes!D$2:D$259,"="&amp;$C185)&gt;0,Biomes!D$1&amp;", ","")&amp;
IF(COUNTIF(Biomes!F$2:F$259,"="&amp;$C185)&gt;0,Biomes!F$1&amp;", ","")&amp;
IF(COUNTIF(Biomes!G$2:G$259,"="&amp;$C185)&gt;0,Biomes!G$1&amp;", ","")&amp;
IF(COUNTIF(Biomes!H$2:H$259,"="&amp;$C185)&gt;0,Biomes!H$1&amp;", ","")&amp;
IF(COUNTIF(Biomes!I$2:I$259,"="&amp;$C185)&gt;0,Biomes!I$1&amp;", ","")&amp;
IF(COUNTIF(Biomes!J$2:J$259,"="&amp;$C185)&gt;0,Biomes!J$1&amp;", ","")&amp;
IF(COUNTIF(Biomes!M$2:M$259,"="&amp;$C185)&gt;0,Biomes!M$1&amp;", ","")&amp;
IF(COUNTIF(Biomes!N$2:N$259,"="&amp;$C185)&gt;0,Biomes!N$1&amp;", ","")&amp;
IF(COUNTIF(Biomes!O$2:O$259,"="&amp;$C185)&gt;0,Biomes!O$1&amp;", ","")&amp;
IF(COUNTIF(Biomes!P$2:P$259,"="&amp;$C185)&gt;0,Biomes!P$1&amp;", ","")&amp;
IF(COUNTIF(Biomes!K$2:K$259,"="&amp;$C185)&gt;0,Biomes!K$1&amp;", ","")&amp;
IF(COUNTIF(Biomes!Q$3:Q$259,"="&amp;$C185)&gt;0,Biomes!Q$1&amp;", ","")&amp;
IF(COUNTIF(Biomes!L$2:L$259,"="&amp;$C185)&gt;0,Biomes!L$1&amp;", ","")&amp;
IF(COUNTIF(Biomes!E$2:E$259,"="&amp;$C185)&gt;0,Biomes!E$1&amp;", ","")&amp;IF(COUNTIF(Biomes!S$2:S$259,"="&amp;$C185)&gt;0,Biomes!S$1&amp;", ","")&amp;
IF(COUNTIF(Biomes!R$2:R$259,"="&amp;$C185)&gt;0,Biomes!R$1&amp;", ",""),", ","")
),_xlfn.XLOOKUP(B185,B:B,BX:BX))</f>
        <v>ColdBog TemperateSwamp</v>
      </c>
      <c r="BY185" s="25" t="str">
        <f>IF(_xlfn.XLOOKUP(B185,'Base stats'!B:B,'Base stats'!AJ:AJ)=1,"true","false")</f>
        <v>false</v>
      </c>
      <c r="BZ185" s="25">
        <f>IF(_xlfn.XLOOKUP(B185,'Base stats'!B:B,'Base stats'!N:N)=1,"No",MAX(0.001,MIN(MROUND(IF(AND(BJ185="True",CC185="False"),POWER(10,3.47*LOG10(_xlfn.XLOOKUP(B185,'Base stats'!B:B,'Base stats'!C:C)*1000)^-0.96),POWER(10,4.15*LOG10(_xlfn.XLOOKUP(B185,'Base stats'!B:B,'Base stats'!C:C)*1000)^-0.73))*IF(_xlfn.XLOOKUP(B185,'Base stats'!B:B,'Base stats'!AK:AK)=1,0.5,1)*IF(_xlfn.XLOOKUP(B185,'Base stats'!B:B,'Base stats'!AM:AM)=1,0.1,1)/100,IF(_xlfn.XLOOKUP(B185,'Base stats'!B:B,'Base stats'!AM:AM)=1,0.001,0.025)),0.5)))</f>
        <v>0.32500000000000001</v>
      </c>
      <c r="CA185" s="25" t="str">
        <f>IF(P185="Standard","No",MAX(0.001,MIN(MROUND(IF(AND(BJ185="True",CC185="False"),POWER(10,3.47*LOG10(_xlfn.XLOOKUP(B185,'Base stats'!B:B,'Base stats'!C:C)*1000)^-0.96),POWER(10,4.15*LOG10(_xlfn.XLOOKUP(B185,'Base stats'!B:B,'Base stats'!C:C)*1000)^-0.73))*IF(_xlfn.XLOOKUP(B185,'Base stats'!B:B,'Base stats'!AM:AM)=1,0.1,1)*_xlfn.XLOOKUP(B185,'Base stats'!B:B,'Base stats'!R:R)/100,IF(_xlfn.XLOOKUP(B185,'Base stats'!B:B,'Base stats'!AM:AM)=1,0.001,0.025)),0.5)))</f>
        <v>No</v>
      </c>
      <c r="CB185" s="25" t="str">
        <f>IF(_xlfn.XLOOKUP(_xlfn.XLOOKUP(B185,'Base stats'!B:B,'Base stats'!E:E),Groups!A:A,Groups!AJ:AJ)="Mammal","True","False")</f>
        <v>False</v>
      </c>
      <c r="CC185" s="25" t="str">
        <f>IF(OR(_xlfn.XLOOKUP(_xlfn.XLOOKUP(B185,'Base stats'!B:B,'Base stats'!E:E),Groups!A:A,Groups!AJ:AJ)="Reptile",_xlfn.XLOOKUP(_xlfn.XLOOKUP(B185,'Base stats'!B:B,'Base stats'!E:E),Groups!A:A,Groups!AJ:AJ)="Amphibian",_xlfn.XLOOKUP(_xlfn.XLOOKUP(B185,'Base stats'!B:B,'Base stats'!E:E),Groups!A:A,Groups!AJ:AJ)="Invertebrate"),"True","False")</f>
        <v>False</v>
      </c>
      <c r="CD185" s="25" t="str">
        <f t="shared" si="20"/>
        <v>False</v>
      </c>
      <c r="CE185" s="25" t="str">
        <f>IF(_xlfn.XLOOKUP(_xlfn.XLOOKUP(B185,'Base stats'!B:B,'Base stats'!E:E),Groups!A:A,Groups!AX:AX),"True","False")</f>
        <v>False</v>
      </c>
      <c r="CF185" s="25" t="str">
        <f>IF(_xlfn.XLOOKUP(_xlfn.XLOOKUP(B185,'Base stats'!B:B,'Base stats'!E:E),Groups!A:A,Groups!AY:AY),"True","False")</f>
        <v>False</v>
      </c>
      <c r="CG185" s="25" t="str">
        <f>IF(_xlfn.XLOOKUP(_xlfn.XLOOKUP(B185,'Base stats'!B:B,'Base stats'!E:E),Groups!A:A,Groups!AW:AW),"True","False")</f>
        <v>False</v>
      </c>
      <c r="CH185" s="25" t="str">
        <f>IF(
OR(
_xlfn.XLOOKUP(_xlfn.XLOOKUP(B185,'Base stats'!B:B,'Base stats'!E:E),Groups!A:A,Groups!AZ:AZ)=0,
AND(
_xlfn.XLOOKUP(B185,'Base stats'!B:B,'Base stats'!Y:Y)&lt;&gt;"Carnivore",
_xlfn.XLOOKUP(B185,'Base stats'!B:B,'Base stats'!Y:Y)&lt;&gt;"Omnivore",
_xlfn.XLOOKUP(B185,'Base stats'!B:B,'Base stats'!Y:Y)&lt;&gt;"OmnivoreRough"
)
),
"No",
IF(
_xlfn.XLOOKUP(_xlfn.XLOOKUP(B185,'Base stats'!B:B,'Base stats'!E:E),Groups!A:A,Groups!AZ:AZ)=1,
"Flesh",
IF(
_xlfn.XLOOKUP(_xlfn.XLOOKUP(B185,'Base stats'!B:B,'Base stats'!E:E),Groups!A:A,Groups!AZ:AZ)=2,
"Bone",
""
)
)
)</f>
        <v>No</v>
      </c>
      <c r="CI185" s="25" t="str">
        <f>IF(_xlfn.XLOOKUP(_xlfn.XLOOKUP(B185,'Base stats'!B:B,'Base stats'!E:E),Groups!A:A,Groups!BB:BB),"True","False")</f>
        <v>True</v>
      </c>
      <c r="CJ185" s="25" t="str">
        <f>IF(_xlfn.XLOOKUP(_xlfn.XLOOKUP(B185,'Base stats'!B:B,'Base stats'!E:E),Groups!A:A,Groups!BA:BA),"True","False")</f>
        <v>False</v>
      </c>
    </row>
    <row r="186" spans="1:88" s="16" customFormat="1" ht="16.5" thickTop="1" thickBot="1" x14ac:dyDescent="0.3">
      <c r="A186" s="26" t="str">
        <f>_xlfn.XLOOKUP(B186,'Base stats'!B:B,'Base stats'!A:A)</f>
        <v>Peacock</v>
      </c>
      <c r="B186" s="6" t="s">
        <v>224</v>
      </c>
      <c r="C186" s="28" t="s">
        <v>1237</v>
      </c>
      <c r="D186" s="28" t="s">
        <v>1113</v>
      </c>
      <c r="E186" s="28" t="s">
        <v>673</v>
      </c>
      <c r="F186" s="28" t="s">
        <v>673</v>
      </c>
      <c r="G186" s="28" t="s">
        <v>1228</v>
      </c>
      <c r="H186" s="2">
        <f>MROUND((
  (IF(AND(_xlfn.XLOOKUP(B186,'Base stats'!B:B,'Base stats'!AL:AL)=0,BI186="None",_xlfn.XLOOKUP(_xlfn.XLOOKUP(B186,'Base stats'!B:B,'Base stats'!E:E),Groups!A:A,Groups!B:B)=0), (18 + BR186 * 2.7) * 0.5,
    IF(AND(_xlfn.XLOOKUP(B186,'Base stats'!B:B,'Base stats'!AL:AL)=0,OR(AO186&lt;0.55,AND(BI186="Intermediate",_xlfn.XLOOKUP(_xlfn.XLOOKUP(B186,'Base stats'!B:B,'Base stats'!E:E),Groups!A:A,Groups!B:B)&lt;2))), (18 + BR186 * 2.7),
      IF(OR(BI186="Advanced",_xlfn.XLOOKUP(B186,'Base stats'!B:B,'Base stats'!AL:AL)=1,_xlfn.XLOOKUP(_xlfn.XLOOKUP(B186,'Base stats'!B:B,'Base stats'!E:E),Groups!A:A,Groups!B:B)=2), (18 + BR186 * 2.7) + 250, (18 + BR186 * 2.7))
    )
  ))
  + AO186 * 80
  + IF(COUNTIF(EggMilk!K$2:K$998, A186) &gt; 0, 125, 0)
  + IF(COUNTIF(EggMilk!P$2:P$998, A186) &gt; 0, 90, 0)
  + IF(COUNTIF(EggMilk!A$2:A$998, A186) &gt; 0, 90, 0)
)
* (0.8 + 0.4 * J186)
* 0.75,25)</f>
        <v>125</v>
      </c>
      <c r="I186" s="2">
        <f>MROUND(ROUNDDOWN(_xlfn.XLOOKUP(B186,'Base stats'!B:B,'Base stats'!L:L)/3.6/(23.3/11),1),0.5)</f>
        <v>2</v>
      </c>
      <c r="J186" s="2">
        <f>IF(OR(_xlfn.XLOOKUP(B186,'Base stats'!B:B,'Base stats'!AB:AB)=1,_xlfn.XLOOKUP(_xlfn.XLOOKUP(B186,'Base stats'!B:B,'Base stats'!E:E),Groups!A:A,Groups!C:C)="Untamable"),1,IF(_xlfn.XLOOKUP(B186,'Base stats'!B:B,'Base stats'!AL:AL)=1,0.99,MIN(MROUND((1-0.6282*EXP(-0.459*AO186))*_xlfn.XLOOKUP(_xlfn.XLOOKUP(B186,'Base stats'!B:B,'Base stats'!E:E),Groups!A:A,Groups!C:C)*IF(_xlfn.XLOOKUP(B186,'Base stats'!B:B,'Base stats'!O:O)=1,0.5,IF(_xlfn.XLOOKUP(B186,'Base stats'!B:B,'Base stats'!O:O)=2,0,1)),0.05),IF(AO186&gt;3.5,0.985,0.95))))</f>
        <v>0.55000000000000004</v>
      </c>
      <c r="K186" s="2">
        <f>ROUNDUP(AO186*_xlfn.XLOOKUP(_xlfn.XLOOKUP(B186,'Base stats'!B:B,'Base stats'!E:E),Groups!A:A,Groups!E:E),0)</f>
        <v>4</v>
      </c>
      <c r="L186" s="2">
        <f>IF(OR(_xlfn.XLOOKUP(_xlfn.XLOOKUP(B186,'Base stats'!B:B,'Base stats'!E:E),Groups!A:A,Groups!F:F)=2,ISNUMBER(SEARCH("SeaIce",BX186)),ISNUMBER(SEARCH("IceSheet",BX186))),-50,IF(OR(ISNUMBER(SEARCH("GlacialPlain",BX186)),ISNUMBER(SEARCH("Tundra",BX186))),-40,IF(OR(ISNUMBER(SEARCH("Alpine",BX186)),ISNUMBER(SEARCH("BorealForest",BX186)),ISNUMBER(SEARCH("ColdBog",BX186))),-30,IF(OR(ISNUMBER(SEARCH("TemperateForest",BX186)),ISNUMBER(SEARCH("TemperateSwamp",BX186))),-20,IF(_xlfn.XLOOKUP(_xlfn.XLOOKUP(B186,'Base stats'!B:B,'Base stats'!E:E),Groups!A:A,Groups!F:F)=1,-15,IF(OR(ISNUMBER(SEARCH("Desert",BX186)),ISNUMBER(SEARCH("ExtremeDesert",BX186))),-10,IF(OR(ISNUMBER(SEARCH("Grasslands",BX186)),ISNUMBER(SEARCH("TropicalRainforest",BX186)),ISNUMBER(SEARCH("TropicalSwamp",BX186))),10,0)))))))-IF(CC186="False",MIN(IFERROR(MAX(MROUND(LOG10(_xlfn.XLOOKUP(B186,'Base stats'!B:B,'Base stats'!C:C)^(2/3))*10,5),5),5),30))-_xlfn.XLOOKUP(B186,'Base stats'!B:B,'Base stats'!P:P)+IF(CC186="True",5,0)</f>
        <v>5</v>
      </c>
      <c r="M186" s="2">
        <f>IF(OR(_xlfn.XLOOKUP(_xlfn.XLOOKUP(B186,'Base stats'!B:B,'Base stats'!E:E),Groups!A:A,Groups!G:G)=2,ISNUMBER(SEARCH("Desert",BX186)),ISNUMBER(SEARCH("ExtremeDesert",BX186)),ISNUMBER(SEARCH("LavaField",BX186))),50,IF(ISNUMBER(SEARCH("Grasslands",BX186)),45,IF(OR(_xlfn.XLOOKUP(_xlfn.XLOOKUP(B186,'Base stats'!B:B,'Base stats'!E:E),Groups!A:A,Groups!G:G)=1,ISNUMBER(SEARCH("TropicalRainforest",BX186)),ISNUMBER(SEARCH("TropicalSwamp",BX186))),40,IF(OR(ISNUMBER(SEARCH("TemperateForest",BX186)),ISNUMBER(SEARCH("TemperateSwamp",BX186))),35,IF(OR(ISNUMBER(SEARCH("Alpine",BX186)),ISNUMBER(SEARCH("BorealForest",BX186)),ISNUMBER(SEARCH("ColdBog",BX186))),30,IF(ISNUMBER(OR(ISNUMBER(SEARCH("GlacialPlain",BX186)),SEARCH("Tundra",BX186))),25,IF(OR(ISNUMBER(SEARCH("SeaIce",BX186)),ISNUMBER(SEARCH("IceSheet",BX186)),ISNUMBER(SEARCH("TropicalSwamp",BX186))),10,35)))))))+_xlfn.XLOOKUP(B186,'Base stats'!B:B,'Base stats'!Q:Q)</f>
        <v>40</v>
      </c>
      <c r="N186" s="8" t="str">
        <f>IF(
_xlfn.XLOOKUP(
_xlfn.XLOOKUP(B186,'Base stats'!B:B,'Base stats'!E:E),
Groups!A:A,
Groups!L:L
)=1,
MIN(
MROUND(
IF(
_xlfn.XLOOKUP(B186,'Animals CE'!B:B,'Animals CE'!Z:Z)&lt;=1.5,
_xlfn.XLOOKUP(B186,'Animals CE'!B:B,'Animals CE'!Z:Z)/2+0.05,
0.8+
(_xlfn.XLOOKUP(B186,'Animals CE'!B:B,'Animals CE'!Z:Z)-1.5)
*0.02
),
0.05
),
200%
),
"No"
)</f>
        <v>No</v>
      </c>
      <c r="O186" s="8" t="str">
        <f>IF(
_xlfn.XLOOKUP(
_xlfn.XLOOKUP(B186,'Base stats'!B:B,'Base stats'!E:E),
Groups!A:A,
Groups!L:L
)=1,
MIN(
MROUND(
IF(
_xlfn.XLOOKUP(B186,'Animals CE'!B:B,'Animals CE'!AA:AA)&lt;=1.5,
_xlfn.XLOOKUP(B186,'Animals CE'!B:B,'Animals CE'!AA:AA)/2+0.05,
0.8+
(_xlfn.XLOOKUP(B186,'Animals CE'!B:B,'Animals CE'!AA:AA)-1.5)
*0.02
),
0.05
),
200%
),
"No"
)</f>
        <v>No</v>
      </c>
      <c r="P186" s="2" t="str">
        <f>_xlfn.XLOOKUP(B186,'Base stats'!B:B,'Base stats'!R:R)</f>
        <v>Standard</v>
      </c>
      <c r="Q186" s="13">
        <f>MROUND((LOG10(_xlfn.XLOOKUP(B186,'Base stats'!B:B,'Base stats'!AR:AR))*(AO186^0.5)+(_xlfn.XLOOKUP(B186,'Base stats'!B:B,'Base stats'!AR:AR)/1000)^(2/3)+_xlfn.XLOOKUP(B186,'Base stats'!B:B,'Base stats'!BA:BA)/2)+0.5,0.5)</f>
        <v>2.5</v>
      </c>
      <c r="R186" s="7">
        <f>IF(Q186="No","No",MAX(1,MROUND(_xlfn.XLOOKUP(B186,'Base stats'!B:B,'Base stats'!C:C)^0.165,0.05)))</f>
        <v>1.25</v>
      </c>
      <c r="S186" s="13">
        <f>IF(_xlfn.XLOOKUP(_xlfn.XLOOKUP(B186,'Base stats'!B:B,'Base stats'!E:E),Groups!A:A,Groups!P:P)=0,"No",MROUND((LOG10(_xlfn.XLOOKUP(B186,'Base stats'!B:B,'Base stats'!AS:AS))*(AO186^0.5)+(_xlfn.XLOOKUP(B186,'Base stats'!B:B,'Base stats'!AS:AS)/1000)^(2/3)+_xlfn.XLOOKUP(B186,'Base stats'!B:B,'Base stats'!BA:BA))+_xlfn.XLOOKUP(B186,'Base stats'!B:B,'Base stats'!AY:AY)+0.5,0.5))</f>
        <v>4</v>
      </c>
      <c r="T186" s="7">
        <f>IF(S186="No","No",MAX(_xlfn.XLOOKUP(_xlfn.XLOOKUP(B186,'Base stats'!B:B,'Base stats'!E:E),Groups!A:A,Groups!Q:Q),MROUND(_xlfn.XLOOKUP(_xlfn.XLOOKUP(B186,'Base stats'!B:B,'Base stats'!E:E),Groups!A:A,Groups!Q:Q)*_xlfn.XLOOKUP(B186,'Base stats'!B:B,'Base stats'!C:C)^0.165,0.05)))</f>
        <v>1.25</v>
      </c>
      <c r="U186" s="7" t="str">
        <f>IF(S186="No","No",_xlfn.XLOOKUP(_xlfn.XLOOKUP(B186,'Base stats'!B:B,'Base stats'!E:E),Groups!A:A,Groups!R:R))</f>
        <v>Feet</v>
      </c>
      <c r="V186" s="7" t="str">
        <f>IF(S186="No","No",_xlfn.XLOOKUP(_xlfn.XLOOKUP(B186,'Base stats'!B:B,'Base stats'!E:E),Groups!A:A,Groups!S:S))</f>
        <v>rear left claw, rear  right claw</v>
      </c>
      <c r="W186" s="7" t="str">
        <f>IF(S186="No","No",_xlfn.XLOOKUP(_xlfn.XLOOKUP(B186,'Base stats'!B:B,'Base stats'!E:E),Groups!A:A,Groups!T:T))</f>
        <v>Scratch</v>
      </c>
      <c r="X186" s="13" t="str">
        <f>IF(_xlfn.XLOOKUP(B186,'Base stats'!B:B,'Base stats'!W:W)="No","No",MROUND((LOG10(_xlfn.XLOOKUP(B186,'Base stats'!B:B,'Base stats'!AU:AU))*(AO186^0.5)+(_xlfn.XLOOKUP(B186,'Base stats'!B:B,'Base stats'!AU:AU)/1000)^(2/3)+_xlfn.XLOOKUP(B186,'Base stats'!B:B,'Base stats'!AZ:AZ))+0.5+IF(_xlfn.XLOOKUP(_xlfn.XLOOKUP(B186,'Base stats'!B:B,'Base stats'!E:E),Groups!A:A,Groups!U:U)&lt;&gt;3,_xlfn.XLOOKUP(B186,'Base stats'!B:B,'Base stats'!BA:BA),0),0.5))</f>
        <v>No</v>
      </c>
      <c r="Y186" s="7" t="str">
        <f>IF(X186="No","No",MAX(_xlfn.XLOOKUP(_xlfn.XLOOKUP(B186,'Base stats'!B:B,'Base stats'!E:E),Groups!A:A,Groups!V:V),MROUND(_xlfn.XLOOKUP(_xlfn.XLOOKUP(B186,'Base stats'!B:B,'Base stats'!E:E),Groups!A:A,Groups!V:V)*_xlfn.XLOOKUP(B186,'Base stats'!B:B,'Base stats'!C:C)^0.165,0.05)))</f>
        <v>No</v>
      </c>
      <c r="Z186" s="7" t="str">
        <f>IF(X186="No","No",_xlfn.XLOOKUP(_xlfn.XLOOKUP(B186,'Base stats'!B:B,'Base stats'!E:E),Groups!A:A,Groups!W:W))</f>
        <v>No</v>
      </c>
      <c r="AA186" s="7" t="str">
        <f>IF(X186="No","No",_xlfn.XLOOKUP(_xlfn.XLOOKUP(B186,'Base stats'!B:B,'Base stats'!E:E),Groups!A:A,Groups!X:X))</f>
        <v>No</v>
      </c>
      <c r="AB186" s="7" t="str">
        <f>IF(X186="No","No",_xlfn.XLOOKUP(_xlfn.XLOOKUP(B186,'Base stats'!B:B,'Base stats'!E:E),Groups!A:A,Groups!Y:Y))</f>
        <v>No</v>
      </c>
      <c r="AC186" s="7" t="str">
        <f>_xlfn.XLOOKUP(Animals!B186,'Base stats'!B:B,'Base stats'!X:X)</f>
        <v>False</v>
      </c>
      <c r="AD186" s="13">
        <f>IF(_xlfn.XLOOKUP(B186,'Base stats'!B:B,'Base stats'!AT:AT)="No","No",MROUND((LOG10(_xlfn.XLOOKUP(B186,'Base stats'!B:B,'Base stats'!AT:AT))*(AO186^0.75)+(_xlfn.XLOOKUP(B186,'Base stats'!B:B,'Base stats'!AT:AT)/1000)^(2/3)+_xlfn.XLOOKUP(B186,'Base stats'!B:B,'Base stats'!AX:AX)+_xlfn.XLOOKUP(B186,'Base stats'!B:B,'Base stats'!BA:BA))+0.5,0.5))</f>
        <v>2.5</v>
      </c>
      <c r="AE186" s="7">
        <f>IF(AD186="No","No",MAX(_xlfn.XLOOKUP(_xlfn.XLOOKUP(B186,'Base stats'!B:B,'Base stats'!E:E),Groups!A:A,Groups!Z:Z),MROUND(_xlfn.XLOOKUP(_xlfn.XLOOKUP(B186,'Base stats'!B:B,'Base stats'!E:E),Groups!A:A,Groups!Z:Z)*_xlfn.XLOOKUP(B186,'Base stats'!B:B,'Base stats'!C:C)^0.165,0.05)))</f>
        <v>1.25</v>
      </c>
      <c r="AF186" s="7" t="str">
        <f>IF(AD186="No","No",_xlfn.XLOOKUP(_xlfn.XLOOKUP(B186,'Base stats'!B:B,'Base stats'!E:E),Groups!A:A,Groups!AA:AA))</f>
        <v>Beak</v>
      </c>
      <c r="AG186" s="7" t="str">
        <f>IF(AD186="No","No",_xlfn.XLOOKUP(_xlfn.XLOOKUP(B186,'Base stats'!B:B,'Base stats'!E:E),Groups!A:A,Groups!AB:AB))</f>
        <v>beak</v>
      </c>
      <c r="AH186" s="7" t="str">
        <f>IF(AD186="No","No",_xlfn.XLOOKUP(_xlfn.XLOOKUP(B186,'Base stats'!B:B,'Base stats'!E:E),Groups!A:A,Groups!AC:AC))</f>
        <v>Blunt</v>
      </c>
      <c r="AI186" s="13" t="str">
        <f>IF(_xlfn.XLOOKUP(_xlfn.XLOOKUP(B186,'Base stats'!B:B,'Base stats'!E:E),Groups!A:A,Groups!AD:AD)=0,"No",MROUND((LOG10(_xlfn.XLOOKUP(B186,'Base stats'!B:B,'Base stats'!AS:AS))*(AO186^0.75)+(_xlfn.XLOOKUP(B186,'Base stats'!B:B,'Base stats'!AS:AS)/1000)^(2/3)+_xlfn.XLOOKUP(B186,'Base stats'!B:B,'Base stats'!AY:AY)+_xlfn.XLOOKUP(B186,'Base stats'!B:B,'Base stats'!BA:BA))+0.5,0.5))</f>
        <v>No</v>
      </c>
      <c r="AJ186" s="7" t="str">
        <f>IF(AI186="No","No",MAX(_xlfn.XLOOKUP(_xlfn.XLOOKUP(B186,'Base stats'!B:B,'Base stats'!E:E),Groups!A:A,Groups!AE:AE),MROUND(_xlfn.XLOOKUP(_xlfn.XLOOKUP(B186,'Base stats'!B:B,'Base stats'!E:E),Groups!A:A,Groups!AE:AE)*IF(_xlfn.XLOOKUP(_xlfn.XLOOKUP(B186,'Base stats'!B:B,'Base stats'!E:E),Groups!A:A,Groups!AJ:AJ)="Photonozoa",0.6,1)*_xlfn.XLOOKUP(B186,'Base stats'!B:B,'Base stats'!C:C)^0.165,0.05)))</f>
        <v>No</v>
      </c>
      <c r="AK186" s="7" t="str">
        <f>IF(AI186="No","No",_xlfn.XLOOKUP(_xlfn.XLOOKUP(B186,'Base stats'!B:B,'Base stats'!E:E),Groups!A:A,Groups!AF:AF))</f>
        <v>No</v>
      </c>
      <c r="AL186" s="7" t="str">
        <f>IF(AI186="No","No",_xlfn.XLOOKUP(_xlfn.XLOOKUP(B186,'Base stats'!B:B,'Base stats'!E:E),Groups!A:A,Groups!AG:AG))</f>
        <v>No</v>
      </c>
      <c r="AM186" s="7" t="str">
        <f>IF(AI186="No","No",_xlfn.XLOOKUP(_xlfn.XLOOKUP(B186,'Base stats'!B:B,'Base stats'!E:E),Groups!A:A,Groups!AH:AH))</f>
        <v>No</v>
      </c>
      <c r="AN186" s="2" t="str">
        <f t="shared" si="14"/>
        <v>No</v>
      </c>
      <c r="AO186" s="2">
        <f>MROUND(IF(AND(_xlfn.XLOOKUP(B186,'Base stats'!B:B,'Base stats'!C:C)&gt;=0.5,_xlfn.XLOOKUP(B186,'Base stats'!B:B,'Base stats'!C:C)&lt;=0.8),
IF(_xlfn.XLOOKUP(B186,'Base stats'!B:B,'Base stats'!C:C)&lt;0.1,0.05,IF(_xlfn.XLOOKUP(B186,'Base stats'!B:B,'Base stats'!C:C)&lt;=70,(_xlfn.XLOOKUP(B186,'Base stats'!B:B,'Base stats'!C:C)/70)^0.426489913056526,IF(_xlfn.XLOOKUP(B186,'Base stats'!B:B,'Base stats'!C:C)&lt;=400,(_xlfn.XLOOKUP(B186,'Base stats'!B:B,'Base stats'!C:C)/70)^0.572811455315093,IF(_xlfn.XLOOKUP(B186,'Base stats'!B:B,'Base stats'!C:C)&lt;=2000,2.71391647193063*(_xlfn.XLOOKUP(B186,'Base stats'!B:B,'Base stats'!C:C)/400)^0.252459582904293,3.74314280240376*(_xlfn.XLOOKUP(B186,'Base stats'!B:B,'Base stats'!C:C)/2000)^0.357012633876913)))),
IF(_xlfn.XLOOKUP(B186,'Base stats'!B:B,'Base stats'!C:C)&lt;0.1,0.05,IF(_xlfn.XLOOKUP(B186,'Base stats'!B:B,'Base stats'!C:C)&lt;0.4,0.1,IF(_xlfn.XLOOKUP(B186,'Base stats'!B:B,'Base stats'!C:C)&lt;=70,(_xlfn.XLOOKUP(B186,'Base stats'!B:B,'Base stats'!C:C)/70)^0.445823913056526,IF(_xlfn.XLOOKUP(B186,'Base stats'!B:B,'Base stats'!C:C)&lt;=400,(_xlfn.XLOOKUP(B186,'Base stats'!B:B,'Base stats'!C:C)/70)^0.572811455315093,IF(_xlfn.XLOOKUP(B186,'Base stats'!B:B,'Base stats'!C:C)&lt;=2000,2.71391647193063*(_xlfn.XLOOKUP(B186,'Base stats'!B:B,'Base stats'!C:C)/400)^0.252459582904293,3.74314280240376*(_xlfn.XLOOKUP(B186,'Base stats'!B:B,'Base stats'!C:C)/2000)^0.357012633876913)))))),
IF(_xlfn.XLOOKUP(B186,'Base stats'!B:B,'Base stats'!C:C)&lt;0.1,0.05,IF(_xlfn.XLOOKUP(B186,'Base stats'!B:B,'Base stats'!C:C)&lt;=100,0.05,IF(_xlfn.XLOOKUP(B186,'Base stats'!B:B,'Base stats'!C:C)&lt;=250,0.1,IF(_xlfn.XLOOKUP(B186,'Base stats'!B:B,'Base stats'!C:C)&lt;=4000,0.25,0.5)))))</f>
        <v>0.30000000000000004</v>
      </c>
      <c r="AP186" s="8">
        <f>MROUND(AO186*_xlfn.XLOOKUP(_xlfn.XLOOKUP(B186,'Base stats'!B:B,'Base stats'!E:E),Groups!A:A,Groups!AI:AI)*_xlfn.XLOOKUP(B186,'Base stats'!B:B,'Base stats'!Z:Z),0.05)</f>
        <v>0.30000000000000004</v>
      </c>
      <c r="AQ186" s="8">
        <f>MAX(0.01,MROUND(IF(CC186="True",0.196*(AO186*100*1000)^0.889,IF(_xlfn.XLOOKUP(_xlfn.XLOOKUP(B186,'Base stats'!B:B,'Base stats'!E:E),Groups!A:A,Groups!AJ:AJ)="Bird",10.5*(AO186*100*1000)^0.681,4.82*(AO186*100*1000)^0.734))/(4.82*(1*100*1000)^0.734)/IF(AO186&lt;3.5,2,IF(AO186=3.5,1.5,1.25))*(1+0.132282374779864/(AO186^0.994035016789033+0.00905238001496948)),0.05))</f>
        <v>0.35000000000000003</v>
      </c>
      <c r="AR186" s="9">
        <f>IFERROR(MROUND(_xlfn.XLOOKUP(B186,'Base stats'!B:B,'Base stats'!H:H)/IF(_xlfn.XLOOKUP(B186,'Base stats'!B:B,'Base stats'!I:I)&lt;&gt;1,(122.5/70),1.2),IF(_xlfn.XLOOKUP(B186,'Base stats'!B:B,'Base stats'!H:H)&gt;=30,5,IF(_xlfn.XLOOKUP(B186,'Base stats'!B:B,'Base stats'!H:H)&gt;=15,3,IF(_xlfn.XLOOKUP(B186,'Base stats'!B:B,'Base stats'!H:H)&gt;=10,2,1)))),"Immortal")</f>
        <v>12</v>
      </c>
      <c r="AS186" s="35" t="str">
        <f>IFERROR(IF(OR(_xlfn.XLOOKUP(B186,'Base stats'!B:B,'Base stats'!F:F)="Atypical reproduction",_xlfn.XLOOKUP(B186,'Base stats'!B:B,'Base stats'!F:F)="Lay eggs"),"Lay eggs",MIN(20,MAX(5.5,ROUND(((_xlfn.XLOOKUP(B186,'Base stats'!B:B,'Base stats'!F:F)-25)*(14.5/615) + 5.5)*2,0)/2))),"Unknown")</f>
        <v>Lay eggs</v>
      </c>
      <c r="AT186" s="8">
        <f>IF(_xlfn.XLOOKUP(B186,'Base stats'!B:B,'Base stats'!G:G)="Atypical reproduction","No",IFERROR(MAX(IF(_xlfn.XLOOKUP(B186,'Base stats'!B:B,'Base stats'!G:G)&lt;0.5,0.2,0.3),MROUND(_xlfn.XLOOKUP(B186,'Base stats'!B:B,'Base stats'!G:G)/(365/60),0.2)),"Unknown"))</f>
        <v>0.4</v>
      </c>
      <c r="AU186" s="8">
        <f t="shared" si="15"/>
        <v>0.2</v>
      </c>
      <c r="AV186" s="8" t="str">
        <f>IFERROR(IFERROR(MROUND(_xlfn.XLOOKUP(B186,'Base stats'!B:B,'Base stats'!J:J),0.1),"Lay eggs"),"Cannot breed")</f>
        <v>Lay eggs</v>
      </c>
      <c r="AW186" s="2" t="str">
        <f t="shared" si="16"/>
        <v>true</v>
      </c>
      <c r="AX186" s="2" t="str">
        <f>IF(_xlfn.XLOOKUP(_xlfn.XLOOKUP(Animals!B186,'Base stats'!B:B,'Base stats'!E:E),Groups!A:A,Groups!AK:AK)=1,"true","false")</f>
        <v>false</v>
      </c>
      <c r="AY186" s="25" t="str">
        <f>IF(_xlfn.XLOOKUP(B186,'Base stats'!B:B,'Base stats'!Y:Y)="Liquor","Liquor, CarnivoreAnimalStrict",IF(AND(_xlfn.XLOOKUP(B186,'Base stats'!B:B,'Base stats'!Y:Y)="Carnivore",_xlfn.XLOOKUP(_xlfn.XLOOKUP(B186,'Base stats'!B:B,'Base stats'!E:E),Groups!A:A,Groups!AJ:AJ)="Photonozoa"),"CarnivoreAnimalStrict, OvivoreAnimal",IF(_xlfn.XLOOKUP(B186,'Base stats'!B:B,'Base stats'!Y:Y)="Carnivore","CarnivoreAnimal, OvivoreAnimal",IF(_xlfn.XLOOKUP(B186,'Base stats'!B:B,'Base stats'!Y:Y)="Dendrovore","VegetarianRoughAnimal, DendrovoreAnimal",IF(_xlfn.XLOOKUP(B186,'Base stats'!B:B,'Base stats'!Y:Y)="Herbivore","VegetarianRoughAnimal",IF(_xlfn.XLOOKUP(B186,'Base stats'!B:B,'Base stats'!Y:Y)="OmnivoreRough","OmnivoreRoughAnimal, OvivoreAnimal","OmnivoreAnimal, OvivoreAnimal"))))))</f>
        <v>VegetarianRoughAnimal</v>
      </c>
      <c r="AZ186" s="2">
        <f>IF(_xlfn.XLOOKUP(_xlfn.XLOOKUP(B186,'Base stats'!B:B,'Base stats'!E:E),Groups!A:A,Groups!D:D)=1,MROUND((1-J186)*5+1,2)*IF(J186&lt;=0.4,2,1),"No")</f>
        <v>4</v>
      </c>
      <c r="BA186" s="2" t="str">
        <f>IF(AND(_xlfn.XLOOKUP(B186,'Base stats'!B:B,'Base stats'!AH:AH)="&lt;li&gt;Seal&lt;/li&gt;",G186="Odyssey"),"&lt;li&gt;AEXP_Seal&lt;/li&gt;",_xlfn.XLOOKUP(B186,'Base stats'!B:B,'Base stats'!AH:AH))</f>
        <v>&lt;li&gt;Cassowary&lt;/li&gt;</v>
      </c>
      <c r="BB186" s="2" t="str">
        <f>_xlfn.XLOOKUP(B186,'Base stats'!B:B,'Base stats'!AG:AG)</f>
        <v>No</v>
      </c>
      <c r="BC186" s="23" t="str">
        <f>_xlfn.XLOOKUP(_xlfn.XLOOKUP(B186,'Base stats'!B:B,'Base stats'!E:E),Groups!A:A,Groups!AL:AL)</f>
        <v>Bird</v>
      </c>
      <c r="BD186" s="23">
        <f>MIN(1,MROUND(IF(AND(AO186&lt;0.5,_xlfn.XLOOKUP(B186,'Base stats'!B:B,'Base stats'!AA:AA)=0),0,IF(OR(_xlfn.XLOOKUP(Animals!B186,'Base stats'!B:B,'Base stats'!O:O)=2,_xlfn.XLOOKUP(_xlfn.XLOOKUP(B186,'Base stats'!B:B,'Base stats'!E:E),Groups!A:A,Groups!AN:AN)=0),0,_xlfn.XLOOKUP(_xlfn.XLOOKUP(B186,'Base stats'!B:B,'Base stats'!E:E),Groups!A:A,Groups!AN:AN)/IF(_xlfn.XLOOKUP(Animals!B186,'Base stats'!B:B,'Base stats'!O:O)=1,2,1)))+_xlfn.XLOOKUP(B186,'Base stats'!B:B,'Base stats'!AC:AC),0.005))</f>
        <v>0</v>
      </c>
      <c r="BE186" s="23">
        <f>MIN(1,MROUND(IF(AND(AO186&lt;0.5,_xlfn.XLOOKUP(B186,'Base stats'!B:B,'Base stats'!AA:AA)=0),0,IF(_xlfn.XLOOKUP(_xlfn.XLOOKUP(B186,'Base stats'!B:B,'Base stats'!E:E),Groups!A:A,Groups!AO:AO)=0,0,_xlfn.XLOOKUP(_xlfn.XLOOKUP(B186,'Base stats'!B:B,'Base stats'!E:E),Groups!A:A,Groups!AO:AO)/IF(_xlfn.XLOOKUP(Animals!B186,'Base stats'!B:B,'Base stats'!O:O)=2,3,1)))+_xlfn.XLOOKUP(B186,'Base stats'!B:B,'Base stats'!AD:AD),0.005))</f>
        <v>0</v>
      </c>
      <c r="BF186" s="2" t="str">
        <f>IF(J186&gt;0.3,"No",_xlfn.XLOOKUP(_xlfn.XLOOKUP(Animals!B186,'Base stats'!B:B,'Base stats'!E:E),Groups!A:A,Groups!AP:AP))</f>
        <v>No</v>
      </c>
      <c r="BG186" s="2" t="str">
        <f>IF(AND(J186&lt;=0.65,_xlfn.XLOOKUP(_xlfn.XLOOKUP(Animals!B186,'Base stats'!B:B,'Base stats'!E:E),Groups!A:A,Groups!AP:AP)&lt;&gt;"No",_xlfn.XLOOKUP(_xlfn.XLOOKUP(B186,'Base stats'!B:B,'Base stats'!E:E),Groups!A:A,Groups!D:D)=0),MROUND((80/3)*IF(_xlfn.XLOOKUP(B186,'Base stats'!B:B,'Base stats'!O:O)=2,0.2,AO186) + 24*(1-IF(BF186="No",0,BF186)) + 16/3, 12),"No")</f>
        <v>No</v>
      </c>
      <c r="BH186" s="2">
        <f>IF(AND(_xlfn.XLOOKUP(_xlfn.XLOOKUP(B186,'Base stats'!B:B,'Base stats'!E:E),Groups!A:A,Groups!AQ:AQ)=1,AO186&lt;=0.35),8,12)</f>
        <v>12</v>
      </c>
      <c r="BI186" s="2" t="str">
        <f>IF(_xlfn.XLOOKUP(_xlfn.XLOOKUP(B186,'Base stats'!B:B,'Base stats'!E:E),Groups!A:A,Groups!D:D)=0,_xlfn.XLOOKUP(_xlfn.XLOOKUP(B186,'Base stats'!B:B,'Base stats'!E:E),Groups!A:A,Groups!AR:AR),"None")</f>
        <v>None</v>
      </c>
      <c r="BJ186" s="2" t="str">
        <f>IF(AND(_xlfn.XLOOKUP(_xlfn.XLOOKUP(B186,'Base stats'!B:B,'Base stats'!E:E),Groups!A:A,Groups!AS:AS)=1,OR(_xlfn.XLOOKUP(B186,'Base stats'!B:B,'Base stats'!Y:Y)="Carnivore",_xlfn.XLOOKUP(B186,'Base stats'!B:B,'Base stats'!Y:Y)="Omnivore")),"true","false")</f>
        <v>false</v>
      </c>
      <c r="BK186" s="2" t="str">
        <f>IF(BJ186="true",MROUND(IF(AND(AO186&gt;0.5,OR(_xlfn.XLOOKUP(_xlfn.XLOOKUP(B186,'Base stats'!B:B,'Base stats'!E:E),Groups!A:A,Groups!AJ:AJ)="Photonozoa",_xlfn.XLOOKUP(_xlfn.XLOOKUP(B186,'Base stats'!B:B,'Base stats'!E:E),Groups!A:A,Groups!AJ:AJ)="Mammal")),Animals!AO186*1.75*IF(AW186="true",1.5,1),IF(AO186&lt;0.5,Animals!AO186*0.5,Animals!AO186)),IF(AO186&gt;2,0.5,IF(AO186&gt;0.5,0.25,0.1))),"No")</f>
        <v>No</v>
      </c>
      <c r="BL186" s="2">
        <f t="shared" si="17"/>
        <v>0</v>
      </c>
      <c r="BM186" s="25" t="str">
        <f>IF(_xlfn.XLOOKUP(B186,'Base stats'!B:B,'Base stats'!AN:AN)="Standard","No",MROUND((_xlfn.XLOOKUP(B186,'Base stats'!B:B,'Base stats'!AN:AN)/3.6)/I186,0.1))</f>
        <v>No</v>
      </c>
      <c r="BN186" s="25" t="str">
        <f t="shared" si="18"/>
        <v>false</v>
      </c>
      <c r="BO186" s="25" t="str">
        <f>IF(AND(OR(_xlfn.XLOOKUP(B186,'Base stats'!B:B,'Base stats'!Y:Y)="Carnivore",_xlfn.XLOOKUP(B186,'Base stats'!B:B,'Base stats'!Y:Y)="Omnivore",_xlfn.XLOOKUP(B186,'Base stats'!B:B,'Base stats'!Y:Y)="OmnivoreRough"),_xlfn.XLOOKUP(_xlfn.XLOOKUP(B186,'Base stats'!B:B,'Base stats'!E:E),Groups!A:A,Groups!AT:AT)=1),"true","false")</f>
        <v>false</v>
      </c>
      <c r="BP186" s="25" t="str" cm="1">
        <f t="array" ref="BP186">IF(
  _xlfn.TEXTJOIN(", ",TRUE,
    IF(AND(BJ186="true",AO186&gt;0.5,BI186&lt;&gt;"None"),"AttackTarget",""),
    IF(AND(_xlfn.XLOOKUP(_xlfn.XLOOKUP(B186,'Base stats'!B:B,'Base stats'!E:E),Groups!A:A,Groups!AJ:AJ="Mammal"),OR(_xlfn.XLOOKUP(B186,'Base stats'!B:B,'Base stats'!Y:Y)="Omnivore",_xlfn.XLOOKUP(B186,'Base stats'!B:B,'Base stats'!Y:Y)="OmnivoreRough")),"Forage",""),
    IF(BG186&lt;=36,"Comfort",""),
    IF(_xlfn.XLOOKUP(B186,'Base stats'!B:B,'Base stats'!AE:AE)&lt;&gt;"No",_xlfn.XLOOKUP(B186,'Base stats'!B:B,'Base stats'!AE:AE),"")
  ) = "",
  "No",
  _xlfn.TEXTJOIN(", ",TRUE,
    IF(AND(BJ186="true",AO186&gt;0.5,BI186&lt;&gt;"None"),"AttackTarget",""),
    IF(AND(_xlfn.XLOOKUP(_xlfn.XLOOKUP(B186,'Base stats'!B:B,'Base stats'!E:E),Groups!A:A,Groups!AJ:AJ="Mammal"),OR(_xlfn.XLOOKUP(B186,'Base stats'!B:B,'Base stats'!Y:Y)="Omnivore",_xlfn.XLOOKUP(B186,'Base stats'!B:B,'Base stats'!Y:Y)="OmnivoreRough")),"Forage",""),
    IF(BG186&lt;=36,"Comfort",""),
    IF(_xlfn.XLOOKUP(B186,'Base stats'!B:B,'Base stats'!AE:AE)&lt;&gt;"No",_xlfn.XLOOKUP(B186,'Base stats'!B:B,'Base stats'!AE:AE),"")
  )
)</f>
        <v>No</v>
      </c>
      <c r="BQ186" s="25" t="str">
        <f>IF(
   AND(
      'Base stats'!AN186="Standard",_xlfn.XLOOKUP(_xlfn.XLOOKUP(B186,'Base stats'!B:B,'Base stats'!E:E),Groups!A:A,Groups!AU:AU)=0,
      OR(
      BO186="True"
      )
   ),
   10,
   IF(
       OR(BM186&lt;&gt;"No",_xlfn.XLOOKUP(_xlfn.XLOOKUP(B186,'Base stats'!B:B,'Base stats'!E:E),Groups!A:A,Groups!AU:AU)=1),
      1,
      "No"
   )
)</f>
        <v>No</v>
      </c>
      <c r="BR186" s="9">
        <f>MROUND((1 + ((0.2*IF(OR(Q186="No",R186="No",R186=0),0,Q186/R186)
+IF(OR(V186="No",S186="No",T186="No"),0,S186/T186*(LEN(V186)-LEN(SUBSTITUTE(V186,",",""))+1))
+IF(OR(X186="No",Y186="No"),0,X186/Y186)
+IF(OR(AD186="No",AE186="No"),0,AD186/AE186)
+IF(OR(AL186="No",AI186="No",AJ186="No"),0,AI186/AJ186*(LEN(AL186)-LEN(SUBSTITUTE(AL186,",",""))+1))
)/(0.2*IF(OR(Q186="No",R186="No",R186=0),0,1)
+IF(OR(V186="No",S186="No",T186="No"),0,LEN(V186)-LEN(SUBSTITUTE(V186,",",""))+1)
+IF(OR(X186="No",Y186="No"),0,1)
+IF(OR(AD186="No",AE186="No"),0,1)
+IF(OR(AL186="No",AI186="No",AJ186="No"),0,LEN(AL186)-LEN(SUBSTITUTE(AL186,",",""))+1))*62%)* 2)*(1 + (AP186 / (IF(_xlfn.XLOOKUP(_xlfn.XLOOKUP(B186,'Base stats'!B:B,'Base stats'!E:E),Groups!A:A,Groups!AJ:AJ)="Photonozoa",0.3,1)) + _xlfn.XLOOKUP(B186,'Base stats'!B:B,'Base stats'!AV:AV) * 1.8) * 2) * 2.5 + 10 + I186 * 2,5)+IF(_xlfn.XLOOKUP(B186,'Base stats'!B:B,'Base stats'!AK:AK)=1,50,0)</f>
        <v>30</v>
      </c>
      <c r="BS186" s="8">
        <f t="shared" si="19"/>
        <v>0.35000000000000003</v>
      </c>
      <c r="BT186" s="8" t="str">
        <f>_xlfn.XLOOKUP(B186,'Base stats'!B:B,'Base stats'!AF:AF)</f>
        <v>2~6</v>
      </c>
      <c r="BU186" s="2" t="str">
        <f>IF(AND(J186&lt;=0.95,OR(_xlfn.XLOOKUP(B186,'Base stats'!B:B,'Base stats'!AK:AK)=1,_xlfn.XLOOKUP(B186,'Base stats'!B:B,'Base stats'!Y:Y)="Carnivore",_xlfn.XLOOKUP(B186,'Base stats'!B:B,'Base stats'!Y:Y)="Omnivore",BE186&gt;0.1)),"true","false")</f>
        <v>false</v>
      </c>
      <c r="BV186" s="2" t="str">
        <f>IF(_xlfn.XLOOKUP(B186,'Base stats'!B:B,'Base stats'!AI:AI)=1,"true","false")</f>
        <v>false</v>
      </c>
      <c r="BW186" s="25" t="str">
        <f>IF(E186="BaseInsect","AnimalInsect",
IF(J186&gt;0.95,"AnimalExotic",
_xlfn.TEXTJOIN(", ",TRUE,
IF(OR(_xlfn.XLOOKUP(B186,'Base stats'!B:B,'Base stats'!AM:AM)=1,AND(_xlfn.XLOOKUP(B186,'Base stats'!B:B,'Base stats'!O:O)=0,_xlfn.XLOOKUP(_xlfn.XLOOKUP(B186,'Base stats'!B:B,'Base stats'!E:E),Groups!A:A,Groups!B:B)&gt;0)),"AnimalUncommon","AnimalCommon"),
IF(AND(_xlfn.XLOOKUP(B186,'Base stats'!B:B,'Base stats'!O:O)=2,_xlfn.XLOOKUP(_xlfn.XLOOKUP(B186,'Base stats'!B:B,'Base stats'!E:E),Groups!A:A,Groups!D:D)=0),"AnimalPet",IF(AND(_xlfn.XLOOKUP(B186,'Base stats'!B:B,'Base stats'!O:O)&lt;&gt;0,_xlfn.XLOOKUP(_xlfn.XLOOKUP(B186,'Base stats'!B:B,'Base stats'!E:E),Groups!A:A,Groups!D:D)&lt;&gt;0),"AnimalFarm","")),
IF(OR(_xlfn.XLOOKUP(B186,'Base stats'!B:B,'Base stats'!AK:AK)=1,AND(BI186&lt;&gt;"None",BR186&gt;=60),ISNUMBER(SEARCH("Attack target",BP186))),"AnimalFighter","")
)))</f>
        <v>AnimalCommon</v>
      </c>
      <c r="BX186" s="25" t="str">
        <f>IF(G186="None",TRIM(
SUBSTITUTE(
IF(COUNTIF(Biomes!B$2:B$259,"="&amp;$C186)&gt;0,Biomes!B$1&amp;", ","")&amp;
IF(COUNTIF(Biomes!C$2:C$259,"="&amp;$C186)&gt;0,Biomes!C$1&amp;", ","")&amp;
IF(COUNTIF(Biomes!D$2:D$259,"="&amp;$C186)&gt;0,Biomes!D$1&amp;", ","")&amp;
IF(COUNTIF(Biomes!F$2:F$259,"="&amp;$C186)&gt;0,Biomes!F$1&amp;", ","")&amp;
IF(COUNTIF(Biomes!G$2:G$259,"="&amp;$C186)&gt;0,Biomes!G$1&amp;", ","")&amp;
IF(COUNTIF(Biomes!H$2:H$259,"="&amp;$C186)&gt;0,Biomes!H$1&amp;", ","")&amp;
IF(COUNTIF(Biomes!I$2:I$259,"="&amp;$C186)&gt;0,Biomes!I$1&amp;", ","")&amp;
IF(COUNTIF(Biomes!J$2:J$259,"="&amp;$C186)&gt;0,Biomes!J$1&amp;", ","")&amp;
IF(COUNTIF(Biomes!M$2:M$259,"="&amp;$C186)&gt;0,Biomes!M$1&amp;", ","")&amp;
IF(COUNTIF(Biomes!N$2:N$259,"="&amp;$C186)&gt;0,Biomes!N$1&amp;", ","")&amp;
IF(COUNTIF(Biomes!O$2:O$259,"="&amp;$C186)&gt;0,Biomes!O$1&amp;", ","")&amp;
IF(COUNTIF(Biomes!P$2:P$259,"="&amp;$C186)&gt;0,Biomes!P$1&amp;", ","")&amp;
IF(COUNTIF(Biomes!K$2:K$259,"="&amp;$C186)&gt;0,Biomes!K$1&amp;", ","")&amp;
IF(COUNTIF(Biomes!Q$3:Q$259,"="&amp;$C186)&gt;0,Biomes!Q$1&amp;", ","")&amp;
IF(COUNTIF(Biomes!L$2:L$259,"="&amp;$C186)&gt;0,Biomes!L$1&amp;", ","")&amp;
IF(COUNTIF(Biomes!E$2:E$259,"="&amp;$C186)&gt;0,Biomes!E$1&amp;", ","")&amp;IF(COUNTIF(Biomes!S$2:S$259,"="&amp;$C186)&gt;0,Biomes!S$1&amp;", ","")&amp;
IF(COUNTIF(Biomes!R$2:R$259,"="&amp;$C186)&gt;0,Biomes!R$1&amp;", ",""),", ","")
),_xlfn.XLOOKUP(B186,B:B,BX:BX))</f>
        <v>TropicalRainforest TropicalSwamp Glowforest</v>
      </c>
      <c r="BY186" s="25" t="str">
        <f>IF(_xlfn.XLOOKUP(B186,'Base stats'!B:B,'Base stats'!AJ:AJ)=1,"true","false")</f>
        <v>false</v>
      </c>
      <c r="BZ186" s="25">
        <f>IF(_xlfn.XLOOKUP(B186,'Base stats'!B:B,'Base stats'!N:N)=1,"No",MAX(0.001,MIN(MROUND(IF(AND(BJ186="True",CC186="False"),POWER(10,3.47*LOG10(_xlfn.XLOOKUP(B186,'Base stats'!B:B,'Base stats'!C:C)*1000)^-0.96),POWER(10,4.15*LOG10(_xlfn.XLOOKUP(B186,'Base stats'!B:B,'Base stats'!C:C)*1000)^-0.73))*IF(_xlfn.XLOOKUP(B186,'Base stats'!B:B,'Base stats'!AK:AK)=1,0.5,1)*IF(_xlfn.XLOOKUP(B186,'Base stats'!B:B,'Base stats'!AM:AM)=1,0.1,1)/100,IF(_xlfn.XLOOKUP(B186,'Base stats'!B:B,'Base stats'!AM:AM)=1,0.001,0.025)),0.5)))</f>
        <v>0.42500000000000004</v>
      </c>
      <c r="CA186" s="25" t="str">
        <f>IF(P186="Standard","No",MAX(0.001,MIN(MROUND(IF(AND(BJ186="True",CC186="False"),POWER(10,3.47*LOG10(_xlfn.XLOOKUP(B186,'Base stats'!B:B,'Base stats'!C:C)*1000)^-0.96),POWER(10,4.15*LOG10(_xlfn.XLOOKUP(B186,'Base stats'!B:B,'Base stats'!C:C)*1000)^-0.73))*IF(_xlfn.XLOOKUP(B186,'Base stats'!B:B,'Base stats'!AM:AM)=1,0.1,1)*_xlfn.XLOOKUP(B186,'Base stats'!B:B,'Base stats'!R:R)/100,IF(_xlfn.XLOOKUP(B186,'Base stats'!B:B,'Base stats'!AM:AM)=1,0.001,0.025)),0.5)))</f>
        <v>No</v>
      </c>
      <c r="CB186" s="25" t="str">
        <f>IF(_xlfn.XLOOKUP(_xlfn.XLOOKUP(B186,'Base stats'!B:B,'Base stats'!E:E),Groups!A:A,Groups!AJ:AJ)="Mammal","True","False")</f>
        <v>False</v>
      </c>
      <c r="CC186" s="25" t="str">
        <f>IF(OR(_xlfn.XLOOKUP(_xlfn.XLOOKUP(B186,'Base stats'!B:B,'Base stats'!E:E),Groups!A:A,Groups!AJ:AJ)="Reptile",_xlfn.XLOOKUP(_xlfn.XLOOKUP(B186,'Base stats'!B:B,'Base stats'!E:E),Groups!A:A,Groups!AJ:AJ)="Amphibian",_xlfn.XLOOKUP(_xlfn.XLOOKUP(B186,'Base stats'!B:B,'Base stats'!E:E),Groups!A:A,Groups!AJ:AJ)="Invertebrate"),"True","False")</f>
        <v>False</v>
      </c>
      <c r="CD186" s="25" t="str">
        <f t="shared" si="20"/>
        <v>False</v>
      </c>
      <c r="CE186" s="25" t="str">
        <f>IF(_xlfn.XLOOKUP(_xlfn.XLOOKUP(B186,'Base stats'!B:B,'Base stats'!E:E),Groups!A:A,Groups!AX:AX),"True","False")</f>
        <v>False</v>
      </c>
      <c r="CF186" s="25" t="str">
        <f>IF(_xlfn.XLOOKUP(_xlfn.XLOOKUP(B186,'Base stats'!B:B,'Base stats'!E:E),Groups!A:A,Groups!AY:AY),"True","False")</f>
        <v>False</v>
      </c>
      <c r="CG186" s="25" t="str">
        <f>IF(_xlfn.XLOOKUP(_xlfn.XLOOKUP(B186,'Base stats'!B:B,'Base stats'!E:E),Groups!A:A,Groups!AW:AW),"True","False")</f>
        <v>False</v>
      </c>
      <c r="CH186" s="25" t="str">
        <f>IF(
OR(
_xlfn.XLOOKUP(_xlfn.XLOOKUP(B186,'Base stats'!B:B,'Base stats'!E:E),Groups!A:A,Groups!AZ:AZ)=0,
AND(
_xlfn.XLOOKUP(B186,'Base stats'!B:B,'Base stats'!Y:Y)&lt;&gt;"Carnivore",
_xlfn.XLOOKUP(B186,'Base stats'!B:B,'Base stats'!Y:Y)&lt;&gt;"Omnivore",
_xlfn.XLOOKUP(B186,'Base stats'!B:B,'Base stats'!Y:Y)&lt;&gt;"OmnivoreRough"
)
),
"No",
IF(
_xlfn.XLOOKUP(_xlfn.XLOOKUP(B186,'Base stats'!B:B,'Base stats'!E:E),Groups!A:A,Groups!AZ:AZ)=1,
"Flesh",
IF(
_xlfn.XLOOKUP(_xlfn.XLOOKUP(B186,'Base stats'!B:B,'Base stats'!E:E),Groups!A:A,Groups!AZ:AZ)=2,
"Bone",
""
)
)
)</f>
        <v>No</v>
      </c>
      <c r="CI186" s="25" t="str">
        <f>IF(_xlfn.XLOOKUP(_xlfn.XLOOKUP(B186,'Base stats'!B:B,'Base stats'!E:E),Groups!A:A,Groups!BB:BB),"True","False")</f>
        <v>True</v>
      </c>
      <c r="CJ186" s="25" t="str">
        <f>IF(_xlfn.XLOOKUP(_xlfn.XLOOKUP(B186,'Base stats'!B:B,'Base stats'!E:E),Groups!A:A,Groups!BA:BA),"True","False")</f>
        <v>False</v>
      </c>
    </row>
    <row r="187" spans="1:88" s="16" customFormat="1" ht="16.5" thickTop="1" thickBot="1" x14ac:dyDescent="0.3">
      <c r="A187" s="26" t="str">
        <f>_xlfn.XLOOKUP(B187,'Base stats'!B:B,'Base stats'!A:A)</f>
        <v>Tiger</v>
      </c>
      <c r="B187" s="6" t="s">
        <v>73</v>
      </c>
      <c r="C187" s="28" t="s">
        <v>1227</v>
      </c>
      <c r="D187" s="28" t="s">
        <v>872</v>
      </c>
      <c r="E187" s="28" t="s">
        <v>673</v>
      </c>
      <c r="F187" s="28" t="s">
        <v>690</v>
      </c>
      <c r="G187" s="28" t="s">
        <v>1228</v>
      </c>
      <c r="H187" s="2">
        <f>MROUND((
  (IF(AND(_xlfn.XLOOKUP(B187,'Base stats'!B:B,'Base stats'!AL:AL)=0,BI187="None",_xlfn.XLOOKUP(_xlfn.XLOOKUP(B187,'Base stats'!B:B,'Base stats'!E:E),Groups!A:A,Groups!B:B)=0), (18 + BR187 * 2.7) * 0.5,
    IF(AND(_xlfn.XLOOKUP(B187,'Base stats'!B:B,'Base stats'!AL:AL)=0,OR(AO187&lt;0.55,AND(BI187="Intermediate",_xlfn.XLOOKUP(_xlfn.XLOOKUP(B187,'Base stats'!B:B,'Base stats'!E:E),Groups!A:A,Groups!B:B)&lt;2))), (18 + BR187 * 2.7),
      IF(OR(BI187="Advanced",_xlfn.XLOOKUP(B187,'Base stats'!B:B,'Base stats'!AL:AL)=1,_xlfn.XLOOKUP(_xlfn.XLOOKUP(B187,'Base stats'!B:B,'Base stats'!E:E),Groups!A:A,Groups!B:B)=2), (18 + BR187 * 2.7) + 250, (18 + BR187 * 2.7))
    )
  ))
  + AO187 * 80
  + IF(COUNTIF(EggMilk!K$2:K$998, A187) &gt; 0, 125, 0)
  + IF(COUNTIF(EggMilk!P$2:P$998, A187) &gt; 0, 90, 0)
  + IF(COUNTIF(EggMilk!A$2:A$998, A187) &gt; 0, 90, 0)
)
* (0.8 + 0.4 * J187)
* 0.75,25)</f>
        <v>850</v>
      </c>
      <c r="I187" s="2">
        <f>MROUND(ROUNDDOWN(_xlfn.XLOOKUP(B187,'Base stats'!B:B,'Base stats'!L:L)/3.6/(23.3/11),1),0.5)</f>
        <v>7.5</v>
      </c>
      <c r="J187" s="2">
        <f>IF(OR(_xlfn.XLOOKUP(B187,'Base stats'!B:B,'Base stats'!AB:AB)=1,_xlfn.XLOOKUP(_xlfn.XLOOKUP(B187,'Base stats'!B:B,'Base stats'!E:E),Groups!A:A,Groups!C:C)="Untamable"),1,IF(_xlfn.XLOOKUP(B187,'Base stats'!B:B,'Base stats'!AL:AL)=1,0.99,MIN(MROUND((1-0.6282*EXP(-0.459*AO187))*_xlfn.XLOOKUP(_xlfn.XLOOKUP(B187,'Base stats'!B:B,'Base stats'!E:E),Groups!A:A,Groups!C:C)*IF(_xlfn.XLOOKUP(B187,'Base stats'!B:B,'Base stats'!O:O)=1,0.5,IF(_xlfn.XLOOKUP(B187,'Base stats'!B:B,'Base stats'!O:O)=2,0,1)),0.05),IF(AO187&gt;3.5,0.985,0.95))))</f>
        <v>0.9</v>
      </c>
      <c r="K187" s="2">
        <f>ROUNDUP(AO187*_xlfn.XLOOKUP(_xlfn.XLOOKUP(B187,'Base stats'!B:B,'Base stats'!E:E),Groups!A:A,Groups!E:E),0)</f>
        <v>2</v>
      </c>
      <c r="L187" s="2">
        <f>IF(OR(_xlfn.XLOOKUP(_xlfn.XLOOKUP(B187,'Base stats'!B:B,'Base stats'!E:E),Groups!A:A,Groups!F:F)=2,ISNUMBER(SEARCH("SeaIce",BX187)),ISNUMBER(SEARCH("IceSheet",BX187))),-50,IF(OR(ISNUMBER(SEARCH("GlacialPlain",BX187)),ISNUMBER(SEARCH("Tundra",BX187))),-40,IF(OR(ISNUMBER(SEARCH("Alpine",BX187)),ISNUMBER(SEARCH("BorealForest",BX187)),ISNUMBER(SEARCH("ColdBog",BX187))),-30,IF(OR(ISNUMBER(SEARCH("TemperateForest",BX187)),ISNUMBER(SEARCH("TemperateSwamp",BX187))),-20,IF(_xlfn.XLOOKUP(_xlfn.XLOOKUP(B187,'Base stats'!B:B,'Base stats'!E:E),Groups!A:A,Groups!F:F)=1,-15,IF(OR(ISNUMBER(SEARCH("Desert",BX187)),ISNUMBER(SEARCH("ExtremeDesert",BX187))),-10,IF(OR(ISNUMBER(SEARCH("Grasslands",BX187)),ISNUMBER(SEARCH("TropicalRainforest",BX187)),ISNUMBER(SEARCH("TropicalSwamp",BX187))),10,0)))))))-IF(CC187="False",MIN(IFERROR(MAX(MROUND(LOG10(_xlfn.XLOOKUP(B187,'Base stats'!B:B,'Base stats'!C:C)^(2/3))*10,5),5),5),30))-_xlfn.XLOOKUP(B187,'Base stats'!B:B,'Base stats'!P:P)+IF(CC187="True",5,0)</f>
        <v>-30</v>
      </c>
      <c r="M187" s="2">
        <f>IF(OR(_xlfn.XLOOKUP(_xlfn.XLOOKUP(B187,'Base stats'!B:B,'Base stats'!E:E),Groups!A:A,Groups!G:G)=2,ISNUMBER(SEARCH("Desert",BX187)),ISNUMBER(SEARCH("ExtremeDesert",BX187)),ISNUMBER(SEARCH("LavaField",BX187))),50,IF(ISNUMBER(SEARCH("Grasslands",BX187)),45,IF(OR(_xlfn.XLOOKUP(_xlfn.XLOOKUP(B187,'Base stats'!B:B,'Base stats'!E:E),Groups!A:A,Groups!G:G)=1,ISNUMBER(SEARCH("TropicalRainforest",BX187)),ISNUMBER(SEARCH("TropicalSwamp",BX187))),40,IF(OR(ISNUMBER(SEARCH("TemperateForest",BX187)),ISNUMBER(SEARCH("TemperateSwamp",BX187))),35,IF(OR(ISNUMBER(SEARCH("Alpine",BX187)),ISNUMBER(SEARCH("BorealForest",BX187)),ISNUMBER(SEARCH("ColdBog",BX187))),30,IF(ISNUMBER(OR(ISNUMBER(SEARCH("GlacialPlain",BX187)),SEARCH("Tundra",BX187))),25,IF(OR(ISNUMBER(SEARCH("SeaIce",BX187)),ISNUMBER(SEARCH("IceSheet",BX187)),ISNUMBER(SEARCH("TropicalSwamp",BX187))),10,35)))))))+_xlfn.XLOOKUP(B187,'Base stats'!B:B,'Base stats'!Q:Q)</f>
        <v>40</v>
      </c>
      <c r="N187" s="8" t="str">
        <f>IF(
_xlfn.XLOOKUP(
_xlfn.XLOOKUP(B187,'Base stats'!B:B,'Base stats'!E:E),
Groups!A:A,
Groups!L:L
)=1,
MIN(
MROUND(
IF(
_xlfn.XLOOKUP(B187,'Animals CE'!B:B,'Animals CE'!Z:Z)&lt;=1.5,
_xlfn.XLOOKUP(B187,'Animals CE'!B:B,'Animals CE'!Z:Z)/2+0.05,
0.8+
(_xlfn.XLOOKUP(B187,'Animals CE'!B:B,'Animals CE'!Z:Z)-1.5)
*0.02
),
0.05
),
200%
),
"No"
)</f>
        <v>No</v>
      </c>
      <c r="O187" s="8" t="str">
        <f>IF(
_xlfn.XLOOKUP(
_xlfn.XLOOKUP(B187,'Base stats'!B:B,'Base stats'!E:E),
Groups!A:A,
Groups!L:L
)=1,
MIN(
MROUND(
IF(
_xlfn.XLOOKUP(B187,'Animals CE'!B:B,'Animals CE'!AA:AA)&lt;=1.5,
_xlfn.XLOOKUP(B187,'Animals CE'!B:B,'Animals CE'!AA:AA)/2+0.05,
0.8+
(_xlfn.XLOOKUP(B187,'Animals CE'!B:B,'Animals CE'!AA:AA)-1.5)
*0.02
),
0.05
),
200%
),
"No"
)</f>
        <v>No</v>
      </c>
      <c r="P187" s="2" t="str">
        <f>_xlfn.XLOOKUP(B187,'Base stats'!B:B,'Base stats'!R:R)</f>
        <v>Standard</v>
      </c>
      <c r="Q187" s="13">
        <f>MROUND((LOG10(_xlfn.XLOOKUP(B187,'Base stats'!B:B,'Base stats'!AR:AR))*(AO187^0.5)+(_xlfn.XLOOKUP(B187,'Base stats'!B:B,'Base stats'!AR:AR)/1000)^(2/3)+_xlfn.XLOOKUP(B187,'Base stats'!B:B,'Base stats'!BA:BA)/2)+0.5,0.5)</f>
        <v>10.5</v>
      </c>
      <c r="R187" s="7">
        <f>IF(Q187="No","No",MAX(1,MROUND(_xlfn.XLOOKUP(B187,'Base stats'!B:B,'Base stats'!C:C)^0.165,0.05)))</f>
        <v>2.35</v>
      </c>
      <c r="S187" s="13" t="str">
        <f>IF(_xlfn.XLOOKUP(_xlfn.XLOOKUP(B187,'Base stats'!B:B,'Base stats'!E:E),Groups!A:A,Groups!P:P)=0,"No",MROUND((LOG10(_xlfn.XLOOKUP(B187,'Base stats'!B:B,'Base stats'!AS:AS))*(AO187^0.5)+(_xlfn.XLOOKUP(B187,'Base stats'!B:B,'Base stats'!AS:AS)/1000)^(2/3)+_xlfn.XLOOKUP(B187,'Base stats'!B:B,'Base stats'!BA:BA))+_xlfn.XLOOKUP(B187,'Base stats'!B:B,'Base stats'!AY:AY)+0.5,0.5))</f>
        <v>No</v>
      </c>
      <c r="T187" s="7" t="str">
        <f>IF(S187="No","No",MAX(_xlfn.XLOOKUP(_xlfn.XLOOKUP(B187,'Base stats'!B:B,'Base stats'!E:E),Groups!A:A,Groups!Q:Q),MROUND(_xlfn.XLOOKUP(_xlfn.XLOOKUP(B187,'Base stats'!B:B,'Base stats'!E:E),Groups!A:A,Groups!Q:Q)*_xlfn.XLOOKUP(B187,'Base stats'!B:B,'Base stats'!C:C)^0.165,0.05)))</f>
        <v>No</v>
      </c>
      <c r="U187" s="7" t="str">
        <f>IF(S187="No","No",_xlfn.XLOOKUP(_xlfn.XLOOKUP(B187,'Base stats'!B:B,'Base stats'!E:E),Groups!A:A,Groups!R:R))</f>
        <v>No</v>
      </c>
      <c r="V187" s="7" t="str">
        <f>IF(S187="No","No",_xlfn.XLOOKUP(_xlfn.XLOOKUP(B187,'Base stats'!B:B,'Base stats'!E:E),Groups!A:A,Groups!S:S))</f>
        <v>No</v>
      </c>
      <c r="W187" s="7" t="str">
        <f>IF(S187="No","No",_xlfn.XLOOKUP(_xlfn.XLOOKUP(B187,'Base stats'!B:B,'Base stats'!E:E),Groups!A:A,Groups!T:T))</f>
        <v>No</v>
      </c>
      <c r="X187" s="13" t="str">
        <f>IF(_xlfn.XLOOKUP(B187,'Base stats'!B:B,'Base stats'!W:W)="No","No",MROUND((LOG10(_xlfn.XLOOKUP(B187,'Base stats'!B:B,'Base stats'!AU:AU))*(AO187^0.5)+(_xlfn.XLOOKUP(B187,'Base stats'!B:B,'Base stats'!AU:AU)/1000)^(2/3)+_xlfn.XLOOKUP(B187,'Base stats'!B:B,'Base stats'!AZ:AZ))+0.5+IF(_xlfn.XLOOKUP(_xlfn.XLOOKUP(B187,'Base stats'!B:B,'Base stats'!E:E),Groups!A:A,Groups!U:U)&lt;&gt;3,_xlfn.XLOOKUP(B187,'Base stats'!B:B,'Base stats'!BA:BA),0),0.5))</f>
        <v>No</v>
      </c>
      <c r="Y187" s="7" t="str">
        <f>IF(X187="No","No",MAX(_xlfn.XLOOKUP(_xlfn.XLOOKUP(B187,'Base stats'!B:B,'Base stats'!E:E),Groups!A:A,Groups!V:V),MROUND(_xlfn.XLOOKUP(_xlfn.XLOOKUP(B187,'Base stats'!B:B,'Base stats'!E:E),Groups!A:A,Groups!V:V)*_xlfn.XLOOKUP(B187,'Base stats'!B:B,'Base stats'!C:C)^0.165,0.05)))</f>
        <v>No</v>
      </c>
      <c r="Z187" s="7" t="str">
        <f>IF(X187="No","No",_xlfn.XLOOKUP(_xlfn.XLOOKUP(B187,'Base stats'!B:B,'Base stats'!E:E),Groups!A:A,Groups!W:W))</f>
        <v>No</v>
      </c>
      <c r="AA187" s="7" t="str">
        <f>IF(X187="No","No",_xlfn.XLOOKUP(_xlfn.XLOOKUP(B187,'Base stats'!B:B,'Base stats'!E:E),Groups!A:A,Groups!X:X))</f>
        <v>No</v>
      </c>
      <c r="AB187" s="7" t="str">
        <f>IF(X187="No","No",_xlfn.XLOOKUP(_xlfn.XLOOKUP(B187,'Base stats'!B:B,'Base stats'!E:E),Groups!A:A,Groups!Y:Y))</f>
        <v>No</v>
      </c>
      <c r="AC187" s="7" t="str">
        <f>_xlfn.XLOOKUP(Animals!B187,'Base stats'!B:B,'Base stats'!X:X)</f>
        <v>False</v>
      </c>
      <c r="AD187" s="13">
        <f>IF(_xlfn.XLOOKUP(B187,'Base stats'!B:B,'Base stats'!AT:AT)="No","No",MROUND((LOG10(_xlfn.XLOOKUP(B187,'Base stats'!B:B,'Base stats'!AT:AT))*(AO187^0.75)+(_xlfn.XLOOKUP(B187,'Base stats'!B:B,'Base stats'!AT:AT)/1000)^(2/3)+_xlfn.XLOOKUP(B187,'Base stats'!B:B,'Base stats'!AX:AX)+_xlfn.XLOOKUP(B187,'Base stats'!B:B,'Base stats'!BA:BA))+0.5,0.5))</f>
        <v>20.5</v>
      </c>
      <c r="AE187" s="7">
        <f>IF(AD187="No","No",MAX(_xlfn.XLOOKUP(_xlfn.XLOOKUP(B187,'Base stats'!B:B,'Base stats'!E:E),Groups!A:A,Groups!Z:Z),MROUND(_xlfn.XLOOKUP(_xlfn.XLOOKUP(B187,'Base stats'!B:B,'Base stats'!E:E),Groups!A:A,Groups!Z:Z)*_xlfn.XLOOKUP(B187,'Base stats'!B:B,'Base stats'!C:C)^0.165,0.05)))</f>
        <v>1.6500000000000001</v>
      </c>
      <c r="AF187" s="7" t="str">
        <f>IF(AD187="No","No",_xlfn.XLOOKUP(_xlfn.XLOOKUP(B187,'Base stats'!B:B,'Base stats'!E:E),Groups!A:A,Groups!AA:AA))</f>
        <v>Teeth</v>
      </c>
      <c r="AG187" s="7" t="str">
        <f>IF(AD187="No","No",_xlfn.XLOOKUP(_xlfn.XLOOKUP(B187,'Base stats'!B:B,'Base stats'!E:E),Groups!A:A,Groups!AB:AB))</f>
        <v>canines</v>
      </c>
      <c r="AH187" s="7" t="str">
        <f>IF(AD187="No","No",_xlfn.XLOOKUP(_xlfn.XLOOKUP(B187,'Base stats'!B:B,'Base stats'!E:E),Groups!A:A,Groups!AC:AC))</f>
        <v>Bite</v>
      </c>
      <c r="AI187" s="13">
        <f>IF(_xlfn.XLOOKUP(_xlfn.XLOOKUP(B187,'Base stats'!B:B,'Base stats'!E:E),Groups!A:A,Groups!AD:AD)=0,"No",MROUND((LOG10(_xlfn.XLOOKUP(B187,'Base stats'!B:B,'Base stats'!AS:AS))*(AO187^0.75)+(_xlfn.XLOOKUP(B187,'Base stats'!B:B,'Base stats'!AS:AS)/1000)^(2/3)+_xlfn.XLOOKUP(B187,'Base stats'!B:B,'Base stats'!AY:AY)+_xlfn.XLOOKUP(B187,'Base stats'!B:B,'Base stats'!BA:BA))+0.5,0.5))</f>
        <v>16.5</v>
      </c>
      <c r="AJ187" s="7">
        <f>IF(AI187="No","No",MAX(_xlfn.XLOOKUP(_xlfn.XLOOKUP(B187,'Base stats'!B:B,'Base stats'!E:E),Groups!A:A,Groups!AE:AE),MROUND(_xlfn.XLOOKUP(_xlfn.XLOOKUP(B187,'Base stats'!B:B,'Base stats'!E:E),Groups!A:A,Groups!AE:AE)*IF(_xlfn.XLOOKUP(_xlfn.XLOOKUP(B187,'Base stats'!B:B,'Base stats'!E:E),Groups!A:A,Groups!AJ:AJ)="Photonozoa",0.6,1)*_xlfn.XLOOKUP(B187,'Base stats'!B:B,'Base stats'!C:C)^0.165,0.05)))</f>
        <v>1.55</v>
      </c>
      <c r="AK187" s="7" t="str">
        <f>IF(AI187="No","No",_xlfn.XLOOKUP(_xlfn.XLOOKUP(B187,'Base stats'!B:B,'Base stats'!E:E),Groups!A:A,Groups!AF:AF))</f>
        <v>FrontLeftPaw, FrontRightPaw</v>
      </c>
      <c r="AL187" s="7" t="str">
        <f>IF(AI187="No","No",_xlfn.XLOOKUP(_xlfn.XLOOKUP(B187,'Base stats'!B:B,'Base stats'!E:E),Groups!A:A,Groups!AG:AG))</f>
        <v>left claw, right claw</v>
      </c>
      <c r="AM187" s="7" t="str">
        <f>IF(AI187="No","No",_xlfn.XLOOKUP(_xlfn.XLOOKUP(B187,'Base stats'!B:B,'Base stats'!E:E),Groups!A:A,Groups!AH:AH))</f>
        <v>Scratch</v>
      </c>
      <c r="AN187" s="2">
        <f t="shared" si="14"/>
        <v>25</v>
      </c>
      <c r="AO187" s="2">
        <f>MROUND(IF(AND(_xlfn.XLOOKUP(B187,'Base stats'!B:B,'Base stats'!C:C)&gt;=0.5,_xlfn.XLOOKUP(B187,'Base stats'!B:B,'Base stats'!C:C)&lt;=0.8),
IF(_xlfn.XLOOKUP(B187,'Base stats'!B:B,'Base stats'!C:C)&lt;0.1,0.05,IF(_xlfn.XLOOKUP(B187,'Base stats'!B:B,'Base stats'!C:C)&lt;=70,(_xlfn.XLOOKUP(B187,'Base stats'!B:B,'Base stats'!C:C)/70)^0.426489913056526,IF(_xlfn.XLOOKUP(B187,'Base stats'!B:B,'Base stats'!C:C)&lt;=400,(_xlfn.XLOOKUP(B187,'Base stats'!B:B,'Base stats'!C:C)/70)^0.572811455315093,IF(_xlfn.XLOOKUP(B187,'Base stats'!B:B,'Base stats'!C:C)&lt;=2000,2.71391647193063*(_xlfn.XLOOKUP(B187,'Base stats'!B:B,'Base stats'!C:C)/400)^0.252459582904293,3.74314280240376*(_xlfn.XLOOKUP(B187,'Base stats'!B:B,'Base stats'!C:C)/2000)^0.357012633876913)))),
IF(_xlfn.XLOOKUP(B187,'Base stats'!B:B,'Base stats'!C:C)&lt;0.1,0.05,IF(_xlfn.XLOOKUP(B187,'Base stats'!B:B,'Base stats'!C:C)&lt;0.4,0.1,IF(_xlfn.XLOOKUP(B187,'Base stats'!B:B,'Base stats'!C:C)&lt;=70,(_xlfn.XLOOKUP(B187,'Base stats'!B:B,'Base stats'!C:C)/70)^0.445823913056526,IF(_xlfn.XLOOKUP(B187,'Base stats'!B:B,'Base stats'!C:C)&lt;=400,(_xlfn.XLOOKUP(B187,'Base stats'!B:B,'Base stats'!C:C)/70)^0.572811455315093,IF(_xlfn.XLOOKUP(B187,'Base stats'!B:B,'Base stats'!C:C)&lt;=2000,2.71391647193063*(_xlfn.XLOOKUP(B187,'Base stats'!B:B,'Base stats'!C:C)/400)^0.252459582904293,3.74314280240376*(_xlfn.XLOOKUP(B187,'Base stats'!B:B,'Base stats'!C:C)/2000)^0.357012633876913)))))),
IF(_xlfn.XLOOKUP(B187,'Base stats'!B:B,'Base stats'!C:C)&lt;0.1,0.05,IF(_xlfn.XLOOKUP(B187,'Base stats'!B:B,'Base stats'!C:C)&lt;=100,0.05,IF(_xlfn.XLOOKUP(B187,'Base stats'!B:B,'Base stats'!C:C)&lt;=250,0.1,IF(_xlfn.XLOOKUP(B187,'Base stats'!B:B,'Base stats'!C:C)&lt;=4000,0.25,0.5)))))</f>
        <v>1.7000000000000002</v>
      </c>
      <c r="AP187" s="8">
        <f>MROUND(AO187*_xlfn.XLOOKUP(_xlfn.XLOOKUP(B187,'Base stats'!B:B,'Base stats'!E:E),Groups!A:A,Groups!AI:AI)*_xlfn.XLOOKUP(B187,'Base stats'!B:B,'Base stats'!Z:Z),0.05)</f>
        <v>2.0500000000000003</v>
      </c>
      <c r="AQ187" s="8">
        <f>MAX(0.01,MROUND(IF(CC187="True",0.196*(AO187*100*1000)^0.889,IF(_xlfn.XLOOKUP(_xlfn.XLOOKUP(B187,'Base stats'!B:B,'Base stats'!E:E),Groups!A:A,Groups!AJ:AJ)="Bird",10.5*(AO187*100*1000)^0.681,4.82*(AO187*100*1000)^0.734))/(4.82*(1*100*1000)^0.734)/IF(AO187&lt;3.5,2,IF(AO187=3.5,1.5,1.25))*(1+0.132282374779864/(AO187^0.994035016789033+0.00905238001496948)),0.05))</f>
        <v>0.8</v>
      </c>
      <c r="AR187" s="9">
        <f>IFERROR(MROUND(_xlfn.XLOOKUP(B187,'Base stats'!B:B,'Base stats'!H:H)/IF(_xlfn.XLOOKUP(B187,'Base stats'!B:B,'Base stats'!I:I)&lt;&gt;1,(122.5/70),1.2),IF(_xlfn.XLOOKUP(B187,'Base stats'!B:B,'Base stats'!H:H)&gt;=30,5,IF(_xlfn.XLOOKUP(B187,'Base stats'!B:B,'Base stats'!H:H)&gt;=15,3,IF(_xlfn.XLOOKUP(B187,'Base stats'!B:B,'Base stats'!H:H)&gt;=10,2,1)))),"Immortal")</f>
        <v>15</v>
      </c>
      <c r="AS187" s="35">
        <f>IFERROR(IF(OR(_xlfn.XLOOKUP(B187,'Base stats'!B:B,'Base stats'!F:F)="Atypical reproduction",_xlfn.XLOOKUP(B187,'Base stats'!B:B,'Base stats'!F:F)="Lay eggs"),"Lay eggs",MIN(20,MAX(5.5,ROUND(((_xlfn.XLOOKUP(B187,'Base stats'!B:B,'Base stats'!F:F)-25)*(14.5/615) + 5.5)*2,0)/2))),"Unknown")</f>
        <v>7.5</v>
      </c>
      <c r="AT187" s="8">
        <f>IF(_xlfn.XLOOKUP(B187,'Base stats'!B:B,'Base stats'!G:G)="Atypical reproduction","No",IFERROR(MAX(IF(_xlfn.XLOOKUP(B187,'Base stats'!B:B,'Base stats'!G:G)&lt;0.5,0.2,0.3),MROUND(_xlfn.XLOOKUP(B187,'Base stats'!B:B,'Base stats'!G:G)/(365/60),0.2)),"Unknown"))</f>
        <v>0.60000000000000009</v>
      </c>
      <c r="AU187" s="8">
        <f t="shared" si="15"/>
        <v>0.30000000000000004</v>
      </c>
      <c r="AV187" s="8">
        <f>IFERROR(IFERROR(MROUND(_xlfn.XLOOKUP(B187,'Base stats'!B:B,'Base stats'!J:J),0.1),"Lay eggs"),"Cannot breed")</f>
        <v>2.5</v>
      </c>
      <c r="AW187" s="2" t="str">
        <f t="shared" si="16"/>
        <v>false</v>
      </c>
      <c r="AX187" s="2" t="str">
        <f>IF(_xlfn.XLOOKUP(_xlfn.XLOOKUP(Animals!B187,'Base stats'!B:B,'Base stats'!E:E),Groups!A:A,Groups!AK:AK)=1,"true","false")</f>
        <v>false</v>
      </c>
      <c r="AY187" s="25" t="str">
        <f>IF(_xlfn.XLOOKUP(B187,'Base stats'!B:B,'Base stats'!Y:Y)="Liquor","Liquor, CarnivoreAnimalStrict",IF(AND(_xlfn.XLOOKUP(B187,'Base stats'!B:B,'Base stats'!Y:Y)="Carnivore",_xlfn.XLOOKUP(_xlfn.XLOOKUP(B187,'Base stats'!B:B,'Base stats'!E:E),Groups!A:A,Groups!AJ:AJ)="Photonozoa"),"CarnivoreAnimalStrict, OvivoreAnimal",IF(_xlfn.XLOOKUP(B187,'Base stats'!B:B,'Base stats'!Y:Y)="Carnivore","CarnivoreAnimal, OvivoreAnimal",IF(_xlfn.XLOOKUP(B187,'Base stats'!B:B,'Base stats'!Y:Y)="Dendrovore","VegetarianRoughAnimal, DendrovoreAnimal",IF(_xlfn.XLOOKUP(B187,'Base stats'!B:B,'Base stats'!Y:Y)="Herbivore","VegetarianRoughAnimal",IF(_xlfn.XLOOKUP(B187,'Base stats'!B:B,'Base stats'!Y:Y)="OmnivoreRough","OmnivoreRoughAnimal, OvivoreAnimal","OmnivoreAnimal, OvivoreAnimal"))))))</f>
        <v>CarnivoreAnimal, OvivoreAnimal</v>
      </c>
      <c r="AZ187" s="2" t="str">
        <f>IF(_xlfn.XLOOKUP(_xlfn.XLOOKUP(B187,'Base stats'!B:B,'Base stats'!E:E),Groups!A:A,Groups!D:D)=1,MROUND((1-J187)*5+1,2)*IF(J187&lt;=0.4,2,1),"No")</f>
        <v>No</v>
      </c>
      <c r="BA187" s="2" t="str">
        <f>IF(AND(_xlfn.XLOOKUP(B187,'Base stats'!B:B,'Base stats'!AH:AH)="&lt;li&gt;Seal&lt;/li&gt;",G187="Odyssey"),"&lt;li&gt;AEXP_Seal&lt;/li&gt;",_xlfn.XLOOKUP(B187,'Base stats'!B:B,'Base stats'!AH:AH))</f>
        <v>No</v>
      </c>
      <c r="BB187" s="2" t="str">
        <f>_xlfn.XLOOKUP(B187,'Base stats'!B:B,'Base stats'!AG:AG)</f>
        <v>Leather_Panthera</v>
      </c>
      <c r="BC187" s="23" t="str">
        <f>_xlfn.XLOOKUP(_xlfn.XLOOKUP(B187,'Base stats'!B:B,'Base stats'!E:E),Groups!A:A,Groups!AL:AL)</f>
        <v>QuadrupedAnimalWithPawsAndTail</v>
      </c>
      <c r="BD187" s="23">
        <f>MIN(1,MROUND(IF(AND(AO187&lt;0.5,_xlfn.XLOOKUP(B187,'Base stats'!B:B,'Base stats'!AA:AA)=0),0,IF(OR(_xlfn.XLOOKUP(Animals!B187,'Base stats'!B:B,'Base stats'!O:O)=2,_xlfn.XLOOKUP(_xlfn.XLOOKUP(B187,'Base stats'!B:B,'Base stats'!E:E),Groups!A:A,Groups!AN:AN)=0),0,_xlfn.XLOOKUP(_xlfn.XLOOKUP(B187,'Base stats'!B:B,'Base stats'!E:E),Groups!A:A,Groups!AN:AN)/IF(_xlfn.XLOOKUP(Animals!B187,'Base stats'!B:B,'Base stats'!O:O)=1,2,1)))+_xlfn.XLOOKUP(B187,'Base stats'!B:B,'Base stats'!AC:AC),0.005))</f>
        <v>0.1</v>
      </c>
      <c r="BE187" s="23">
        <f>MIN(1,MROUND(IF(AND(AO187&lt;0.5,_xlfn.XLOOKUP(B187,'Base stats'!B:B,'Base stats'!AA:AA)=0),0,IF(_xlfn.XLOOKUP(_xlfn.XLOOKUP(B187,'Base stats'!B:B,'Base stats'!E:E),Groups!A:A,Groups!AO:AO)=0,0,_xlfn.XLOOKUP(_xlfn.XLOOKUP(B187,'Base stats'!B:B,'Base stats'!E:E),Groups!A:A,Groups!AO:AO)/IF(_xlfn.XLOOKUP(Animals!B187,'Base stats'!B:B,'Base stats'!O:O)=2,3,1)))+_xlfn.XLOOKUP(B187,'Base stats'!B:B,'Base stats'!AD:AD),0.005))</f>
        <v>0.3</v>
      </c>
      <c r="BF187" s="2" t="str">
        <f>IF(J187&gt;0.3,"No",_xlfn.XLOOKUP(_xlfn.XLOOKUP(Animals!B187,'Base stats'!B:B,'Base stats'!E:E),Groups!A:A,Groups!AP:AP))</f>
        <v>No</v>
      </c>
      <c r="BG187" s="2" t="str">
        <f>IF(AND(J187&lt;=0.65,_xlfn.XLOOKUP(_xlfn.XLOOKUP(Animals!B187,'Base stats'!B:B,'Base stats'!E:E),Groups!A:A,Groups!AP:AP)&lt;&gt;"No",_xlfn.XLOOKUP(_xlfn.XLOOKUP(B187,'Base stats'!B:B,'Base stats'!E:E),Groups!A:A,Groups!D:D)=0),MROUND((80/3)*IF(_xlfn.XLOOKUP(B187,'Base stats'!B:B,'Base stats'!O:O)=2,0.2,AO187) + 24*(1-IF(BF187="No",0,BF187)) + 16/3, 12),"No")</f>
        <v>No</v>
      </c>
      <c r="BH187" s="2">
        <f>IF(AND(_xlfn.XLOOKUP(_xlfn.XLOOKUP(B187,'Base stats'!B:B,'Base stats'!E:E),Groups!A:A,Groups!AQ:AQ)=1,AO187&lt;=0.35),8,12)</f>
        <v>12</v>
      </c>
      <c r="BI187" s="2" t="str">
        <f>IF(_xlfn.XLOOKUP(_xlfn.XLOOKUP(B187,'Base stats'!B:B,'Base stats'!E:E),Groups!A:A,Groups!D:D)=0,_xlfn.XLOOKUP(_xlfn.XLOOKUP(B187,'Base stats'!B:B,'Base stats'!E:E),Groups!A:A,Groups!AR:AR),"None")</f>
        <v>Intermediate</v>
      </c>
      <c r="BJ187" s="2" t="str">
        <f>IF(AND(_xlfn.XLOOKUP(_xlfn.XLOOKUP(B187,'Base stats'!B:B,'Base stats'!E:E),Groups!A:A,Groups!AS:AS)=1,OR(_xlfn.XLOOKUP(B187,'Base stats'!B:B,'Base stats'!Y:Y)="Carnivore",_xlfn.XLOOKUP(B187,'Base stats'!B:B,'Base stats'!Y:Y)="Omnivore")),"true","false")</f>
        <v>true</v>
      </c>
      <c r="BK187" s="2">
        <f>IF(BJ187="true",MROUND(IF(AND(AO187&gt;0.5,OR(_xlfn.XLOOKUP(_xlfn.XLOOKUP(B187,'Base stats'!B:B,'Base stats'!E:E),Groups!A:A,Groups!AJ:AJ)="Photonozoa",_xlfn.XLOOKUP(_xlfn.XLOOKUP(B187,'Base stats'!B:B,'Base stats'!E:E),Groups!A:A,Groups!AJ:AJ)="Mammal")),Animals!AO187*1.75*IF(AW187="true",1.5,1),IF(AO187&lt;0.5,Animals!AO187*0.5,Animals!AO187)),IF(AO187&gt;2,0.5,IF(AO187&gt;0.5,0.25,0.1))),"No")</f>
        <v>3</v>
      </c>
      <c r="BL187" s="2">
        <f t="shared" si="17"/>
        <v>1</v>
      </c>
      <c r="BM187" s="25" t="str">
        <f>IF(_xlfn.XLOOKUP(B187,'Base stats'!B:B,'Base stats'!AN:AN)="Standard","No",MROUND((_xlfn.XLOOKUP(B187,'Base stats'!B:B,'Base stats'!AN:AN)/3.6)/I187,0.1))</f>
        <v>No</v>
      </c>
      <c r="BN187" s="25" t="str">
        <f t="shared" si="18"/>
        <v>false</v>
      </c>
      <c r="BO187" s="25" t="str">
        <f>IF(AND(OR(_xlfn.XLOOKUP(B187,'Base stats'!B:B,'Base stats'!Y:Y)="Carnivore",_xlfn.XLOOKUP(B187,'Base stats'!B:B,'Base stats'!Y:Y)="Omnivore",_xlfn.XLOOKUP(B187,'Base stats'!B:B,'Base stats'!Y:Y)="OmnivoreRough"),_xlfn.XLOOKUP(_xlfn.XLOOKUP(B187,'Base stats'!B:B,'Base stats'!E:E),Groups!A:A,Groups!AT:AT)=1),"true","false")</f>
        <v>true</v>
      </c>
      <c r="BP187" s="25" t="str" cm="1">
        <f t="array" ref="BP187">IF(
  _xlfn.TEXTJOIN(", ",TRUE,
    IF(AND(BJ187="true",AO187&gt;0.5,BI187&lt;&gt;"None"),"AttackTarget",""),
    IF(AND(_xlfn.XLOOKUP(_xlfn.XLOOKUP(B187,'Base stats'!B:B,'Base stats'!E:E),Groups!A:A,Groups!AJ:AJ="Mammal"),OR(_xlfn.XLOOKUP(B187,'Base stats'!B:B,'Base stats'!Y:Y)="Omnivore",_xlfn.XLOOKUP(B187,'Base stats'!B:B,'Base stats'!Y:Y)="OmnivoreRough")),"Forage",""),
    IF(BG187&lt;=36,"Comfort",""),
    IF(_xlfn.XLOOKUP(B187,'Base stats'!B:B,'Base stats'!AE:AE)&lt;&gt;"No",_xlfn.XLOOKUP(B187,'Base stats'!B:B,'Base stats'!AE:AE),"")
  ) = "",
  "No",
  _xlfn.TEXTJOIN(", ",TRUE,
    IF(AND(BJ187="true",AO187&gt;0.5,BI187&lt;&gt;"None"),"AttackTarget",""),
    IF(AND(_xlfn.XLOOKUP(_xlfn.XLOOKUP(B187,'Base stats'!B:B,'Base stats'!E:E),Groups!A:A,Groups!AJ:AJ="Mammal"),OR(_xlfn.XLOOKUP(B187,'Base stats'!B:B,'Base stats'!Y:Y)="Omnivore",_xlfn.XLOOKUP(B187,'Base stats'!B:B,'Base stats'!Y:Y)="OmnivoreRough")),"Forage",""),
    IF(BG187&lt;=36,"Comfort",""),
    IF(_xlfn.XLOOKUP(B187,'Base stats'!B:B,'Base stats'!AE:AE)&lt;&gt;"No",_xlfn.XLOOKUP(B187,'Base stats'!B:B,'Base stats'!AE:AE),"")
  )
)</f>
        <v>AttackTarget</v>
      </c>
      <c r="BQ187" s="25">
        <f>IF(
   AND(
      'Base stats'!AN187="Standard",_xlfn.XLOOKUP(_xlfn.XLOOKUP(B187,'Base stats'!B:B,'Base stats'!E:E),Groups!A:A,Groups!AU:AU)=0,
      OR(
      BO187="True"
      )
   ),
   10,
   IF(
       OR(BM187&lt;&gt;"No",_xlfn.XLOOKUP(_xlfn.XLOOKUP(B187,'Base stats'!B:B,'Base stats'!E:E),Groups!A:A,Groups!AU:AU)=1),
      1,
      "No"
   )
)</f>
        <v>10</v>
      </c>
      <c r="BR187" s="9">
        <f>MROUND((1 + ((0.2*IF(OR(Q187="No",R187="No",R187=0),0,Q187/R187)
+IF(OR(V187="No",S187="No",T187="No"),0,S187/T187*(LEN(V187)-LEN(SUBSTITUTE(V187,",",""))+1))
+IF(OR(X187="No",Y187="No"),0,X187/Y187)
+IF(OR(AD187="No",AE187="No"),0,AD187/AE187)
+IF(OR(AL187="No",AI187="No",AJ187="No"),0,AI187/AJ187*(LEN(AL187)-LEN(SUBSTITUTE(AL187,",",""))+1))
)/(0.2*IF(OR(Q187="No",R187="No",R187=0),0,1)
+IF(OR(V187="No",S187="No",T187="No"),0,LEN(V187)-LEN(SUBSTITUTE(V187,",",""))+1)
+IF(OR(X187="No",Y187="No"),0,1)
+IF(OR(AD187="No",AE187="No"),0,1)
+IF(OR(AL187="No",AI187="No",AJ187="No"),0,LEN(AL187)-LEN(SUBSTITUTE(AL187,",",""))+1))*62%)* 2)*(1 + (AP187 / (IF(_xlfn.XLOOKUP(_xlfn.XLOOKUP(B187,'Base stats'!B:B,'Base stats'!E:E),Groups!A:A,Groups!AJ:AJ)="Photonozoa",0.3,1)) + _xlfn.XLOOKUP(B187,'Base stats'!B:B,'Base stats'!AV:AV) * 1.8) * 2) * 2.5 + 10 + I187 * 2,5)+IF(_xlfn.XLOOKUP(B187,'Base stats'!B:B,'Base stats'!AK:AK)=1,50,0)</f>
        <v>210</v>
      </c>
      <c r="BS187" s="8">
        <f t="shared" si="19"/>
        <v>1</v>
      </c>
      <c r="BT187" s="8" t="str">
        <f>_xlfn.XLOOKUP(B187,'Base stats'!B:B,'Base stats'!AF:AF)</f>
        <v>No</v>
      </c>
      <c r="BU187" s="2" t="str">
        <f>IF(AND(J187&lt;=0.95,OR(_xlfn.XLOOKUP(B187,'Base stats'!B:B,'Base stats'!AK:AK)=1,_xlfn.XLOOKUP(B187,'Base stats'!B:B,'Base stats'!Y:Y)="Carnivore",_xlfn.XLOOKUP(B187,'Base stats'!B:B,'Base stats'!Y:Y)="Omnivore",BE187&gt;0.1)),"true","false")</f>
        <v>true</v>
      </c>
      <c r="BV187" s="2" t="str">
        <f>IF(_xlfn.XLOOKUP(B187,'Base stats'!B:B,'Base stats'!AI:AI)=1,"true","false")</f>
        <v>false</v>
      </c>
      <c r="BW187" s="25" t="str">
        <f>IF(E187="BaseInsect","AnimalInsect",
IF(J187&gt;0.95,"AnimalExotic",
_xlfn.TEXTJOIN(", ",TRUE,
IF(OR(_xlfn.XLOOKUP(B187,'Base stats'!B:B,'Base stats'!AM:AM)=1,AND(_xlfn.XLOOKUP(B187,'Base stats'!B:B,'Base stats'!O:O)=0,_xlfn.XLOOKUP(_xlfn.XLOOKUP(B187,'Base stats'!B:B,'Base stats'!E:E),Groups!A:A,Groups!B:B)&gt;0)),"AnimalUncommon","AnimalCommon"),
IF(AND(_xlfn.XLOOKUP(B187,'Base stats'!B:B,'Base stats'!O:O)=2,_xlfn.XLOOKUP(_xlfn.XLOOKUP(B187,'Base stats'!B:B,'Base stats'!E:E),Groups!A:A,Groups!D:D)=0),"AnimalPet",IF(AND(_xlfn.XLOOKUP(B187,'Base stats'!B:B,'Base stats'!O:O)&lt;&gt;0,_xlfn.XLOOKUP(_xlfn.XLOOKUP(B187,'Base stats'!B:B,'Base stats'!E:E),Groups!A:A,Groups!D:D)&lt;&gt;0),"AnimalFarm","")),
IF(OR(_xlfn.XLOOKUP(B187,'Base stats'!B:B,'Base stats'!AK:AK)=1,AND(BI187&lt;&gt;"None",BR187&gt;=60),ISNUMBER(SEARCH("Attack target",BP187))),"AnimalFighter","")
)))</f>
        <v>AnimalUncommon, AnimalFighter</v>
      </c>
      <c r="BX187" s="25" t="str">
        <f>IF(G187="None",TRIM(
SUBSTITUTE(
IF(COUNTIF(Biomes!B$2:B$259,"="&amp;$C187)&gt;0,Biomes!B$1&amp;", ","")&amp;
IF(COUNTIF(Biomes!C$2:C$259,"="&amp;$C187)&gt;0,Biomes!C$1&amp;", ","")&amp;
IF(COUNTIF(Biomes!D$2:D$259,"="&amp;$C187)&gt;0,Biomes!D$1&amp;", ","")&amp;
IF(COUNTIF(Biomes!F$2:F$259,"="&amp;$C187)&gt;0,Biomes!F$1&amp;", ","")&amp;
IF(COUNTIF(Biomes!G$2:G$259,"="&amp;$C187)&gt;0,Biomes!G$1&amp;", ","")&amp;
IF(COUNTIF(Biomes!H$2:H$259,"="&amp;$C187)&gt;0,Biomes!H$1&amp;", ","")&amp;
IF(COUNTIF(Biomes!I$2:I$259,"="&amp;$C187)&gt;0,Biomes!I$1&amp;", ","")&amp;
IF(COUNTIF(Biomes!J$2:J$259,"="&amp;$C187)&gt;0,Biomes!J$1&amp;", ","")&amp;
IF(COUNTIF(Biomes!M$2:M$259,"="&amp;$C187)&gt;0,Biomes!M$1&amp;", ","")&amp;
IF(COUNTIF(Biomes!N$2:N$259,"="&amp;$C187)&gt;0,Biomes!N$1&amp;", ","")&amp;
IF(COUNTIF(Biomes!O$2:O$259,"="&amp;$C187)&gt;0,Biomes!O$1&amp;", ","")&amp;
IF(COUNTIF(Biomes!P$2:P$259,"="&amp;$C187)&gt;0,Biomes!P$1&amp;", ","")&amp;
IF(COUNTIF(Biomes!K$2:K$259,"="&amp;$C187)&gt;0,Biomes!K$1&amp;", ","")&amp;
IF(COUNTIF(Biomes!Q$3:Q$259,"="&amp;$C187)&gt;0,Biomes!Q$1&amp;", ","")&amp;
IF(COUNTIF(Biomes!L$2:L$259,"="&amp;$C187)&gt;0,Biomes!L$1&amp;", ","")&amp;
IF(COUNTIF(Biomes!E$2:E$259,"="&amp;$C187)&gt;0,Biomes!E$1&amp;", ","")&amp;IF(COUNTIF(Biomes!S$2:S$259,"="&amp;$C187)&gt;0,Biomes!S$1&amp;", ","")&amp;
IF(COUNTIF(Biomes!R$2:R$259,"="&amp;$C187)&gt;0,Biomes!R$1&amp;", ",""),", ","")
),_xlfn.XLOOKUP(B187,B:B,BX:BX))</f>
        <v>TropicalRainforest TropicalSwamp Glowforest</v>
      </c>
      <c r="BY187" s="25" t="str">
        <f>IF(_xlfn.XLOOKUP(B187,'Base stats'!B:B,'Base stats'!AJ:AJ)=1,"true","false")</f>
        <v>false</v>
      </c>
      <c r="BZ187" s="25">
        <f>IF(_xlfn.XLOOKUP(B187,'Base stats'!B:B,'Base stats'!N:N)=1,"No",MAX(0.001,MIN(MROUND(IF(AND(BJ187="True",CC187="False"),POWER(10,3.47*LOG10(_xlfn.XLOOKUP(B187,'Base stats'!B:B,'Base stats'!C:C)*1000)^-0.96),POWER(10,4.15*LOG10(_xlfn.XLOOKUP(B187,'Base stats'!B:B,'Base stats'!C:C)*1000)^-0.73))*IF(_xlfn.XLOOKUP(B187,'Base stats'!B:B,'Base stats'!AK:AK)=1,0.5,1)*IF(_xlfn.XLOOKUP(B187,'Base stats'!B:B,'Base stats'!AM:AM)=1,0.1,1)/100,IF(_xlfn.XLOOKUP(B187,'Base stats'!B:B,'Base stats'!AM:AM)=1,0.001,0.025)),0.5)))</f>
        <v>0.05</v>
      </c>
      <c r="CA187" s="25" t="str">
        <f>IF(P187="Standard","No",MAX(0.001,MIN(MROUND(IF(AND(BJ187="True",CC187="False"),POWER(10,3.47*LOG10(_xlfn.XLOOKUP(B187,'Base stats'!B:B,'Base stats'!C:C)*1000)^-0.96),POWER(10,4.15*LOG10(_xlfn.XLOOKUP(B187,'Base stats'!B:B,'Base stats'!C:C)*1000)^-0.73))*IF(_xlfn.XLOOKUP(B187,'Base stats'!B:B,'Base stats'!AM:AM)=1,0.1,1)*_xlfn.XLOOKUP(B187,'Base stats'!B:B,'Base stats'!R:R)/100,IF(_xlfn.XLOOKUP(B187,'Base stats'!B:B,'Base stats'!AM:AM)=1,0.001,0.025)),0.5)))</f>
        <v>No</v>
      </c>
      <c r="CB187" s="25" t="str">
        <f>IF(_xlfn.XLOOKUP(_xlfn.XLOOKUP(B187,'Base stats'!B:B,'Base stats'!E:E),Groups!A:A,Groups!AJ:AJ)="Mammal","True","False")</f>
        <v>True</v>
      </c>
      <c r="CC187" s="25" t="str">
        <f>IF(OR(_xlfn.XLOOKUP(_xlfn.XLOOKUP(B187,'Base stats'!B:B,'Base stats'!E:E),Groups!A:A,Groups!AJ:AJ)="Reptile",_xlfn.XLOOKUP(_xlfn.XLOOKUP(B187,'Base stats'!B:B,'Base stats'!E:E),Groups!A:A,Groups!AJ:AJ)="Amphibian",_xlfn.XLOOKUP(_xlfn.XLOOKUP(B187,'Base stats'!B:B,'Base stats'!E:E),Groups!A:A,Groups!AJ:AJ)="Invertebrate"),"True","False")</f>
        <v>False</v>
      </c>
      <c r="CD187" s="25" t="str">
        <f t="shared" si="20"/>
        <v>False</v>
      </c>
      <c r="CE187" s="25" t="str">
        <f>IF(_xlfn.XLOOKUP(_xlfn.XLOOKUP(B187,'Base stats'!B:B,'Base stats'!E:E),Groups!A:A,Groups!AX:AX),"True","False")</f>
        <v>False</v>
      </c>
      <c r="CF187" s="25" t="str">
        <f>IF(_xlfn.XLOOKUP(_xlfn.XLOOKUP(B187,'Base stats'!B:B,'Base stats'!E:E),Groups!A:A,Groups!AY:AY),"True","False")</f>
        <v>False</v>
      </c>
      <c r="CG187" s="25" t="str">
        <f>IF(_xlfn.XLOOKUP(_xlfn.XLOOKUP(B187,'Base stats'!B:B,'Base stats'!E:E),Groups!A:A,Groups!AW:AW),"True","False")</f>
        <v>False</v>
      </c>
      <c r="CH187" s="25" t="str">
        <f>IF(
OR(
_xlfn.XLOOKUP(_xlfn.XLOOKUP(B187,'Base stats'!B:B,'Base stats'!E:E),Groups!A:A,Groups!AZ:AZ)=0,
AND(
_xlfn.XLOOKUP(B187,'Base stats'!B:B,'Base stats'!Y:Y)&lt;&gt;"Carnivore",
_xlfn.XLOOKUP(B187,'Base stats'!B:B,'Base stats'!Y:Y)&lt;&gt;"Omnivore",
_xlfn.XLOOKUP(B187,'Base stats'!B:B,'Base stats'!Y:Y)&lt;&gt;"OmnivoreRough"
)
),
"No",
IF(
_xlfn.XLOOKUP(_xlfn.XLOOKUP(B187,'Base stats'!B:B,'Base stats'!E:E),Groups!A:A,Groups!AZ:AZ)=1,
"Flesh",
IF(
_xlfn.XLOOKUP(_xlfn.XLOOKUP(B187,'Base stats'!B:B,'Base stats'!E:E),Groups!A:A,Groups!AZ:AZ)=2,
"Bone",
""
)
)
)</f>
        <v>No</v>
      </c>
      <c r="CI187" s="25" t="str">
        <f>IF(_xlfn.XLOOKUP(_xlfn.XLOOKUP(B187,'Base stats'!B:B,'Base stats'!E:E),Groups!A:A,Groups!BB:BB),"True","False")</f>
        <v>True</v>
      </c>
      <c r="CJ187" s="25" t="str">
        <f>IF(_xlfn.XLOOKUP(_xlfn.XLOOKUP(B187,'Base stats'!B:B,'Base stats'!E:E),Groups!A:A,Groups!BA:BA),"True","False")</f>
        <v>False</v>
      </c>
    </row>
    <row r="188" spans="1:88" s="16" customFormat="1" ht="16.5" thickTop="1" thickBot="1" x14ac:dyDescent="0.3">
      <c r="A188" s="26" t="str">
        <f>_xlfn.XLOOKUP(B188,'Base stats'!B:B,'Base stats'!A:A)</f>
        <v>Alligator</v>
      </c>
      <c r="B188" s="6" t="s">
        <v>187</v>
      </c>
      <c r="C188" s="28" t="s">
        <v>1229</v>
      </c>
      <c r="D188" s="28" t="s">
        <v>872</v>
      </c>
      <c r="E188" s="28" t="s">
        <v>673</v>
      </c>
      <c r="F188" s="28" t="s">
        <v>673</v>
      </c>
      <c r="G188" s="28" t="s">
        <v>1228</v>
      </c>
      <c r="H188" s="2">
        <f>MROUND((
  (IF(AND(_xlfn.XLOOKUP(B188,'Base stats'!B:B,'Base stats'!AL:AL)=0,BI188="None",_xlfn.XLOOKUP(_xlfn.XLOOKUP(B188,'Base stats'!B:B,'Base stats'!E:E),Groups!A:A,Groups!B:B)=0), (18 + BR188 * 2.7) * 0.5,
    IF(AND(_xlfn.XLOOKUP(B188,'Base stats'!B:B,'Base stats'!AL:AL)=0,OR(AO188&lt;0.55,AND(BI188="Intermediate",_xlfn.XLOOKUP(_xlfn.XLOOKUP(B188,'Base stats'!B:B,'Base stats'!E:E),Groups!A:A,Groups!B:B)&lt;2))), (18 + BR188 * 2.7),
      IF(OR(BI188="Advanced",_xlfn.XLOOKUP(B188,'Base stats'!B:B,'Base stats'!AL:AL)=1,_xlfn.XLOOKUP(_xlfn.XLOOKUP(B188,'Base stats'!B:B,'Base stats'!E:E),Groups!A:A,Groups!B:B)=2), (18 + BR188 * 2.7) + 250, (18 + BR188 * 2.7))
    )
  ))
  + AO188 * 80
  + IF(COUNTIF(EggMilk!K$2:K$998, A188) &gt; 0, 125, 0)
  + IF(COUNTIF(EggMilk!P$2:P$998, A188) &gt; 0, 90, 0)
  + IF(COUNTIF(EggMilk!A$2:A$998, A188) &gt; 0, 90, 0)
)
* (0.8 + 0.4 * J188)
* 0.75,25)</f>
        <v>725</v>
      </c>
      <c r="I188" s="2">
        <f>MROUND(ROUNDDOWN(_xlfn.XLOOKUP(B188,'Base stats'!B:B,'Base stats'!L:L)/3.6/(23.3/11),1),0.5)</f>
        <v>1.5</v>
      </c>
      <c r="J188" s="2">
        <f>IF(OR(_xlfn.XLOOKUP(B188,'Base stats'!B:B,'Base stats'!AB:AB)=1,_xlfn.XLOOKUP(_xlfn.XLOOKUP(B188,'Base stats'!B:B,'Base stats'!E:E),Groups!A:A,Groups!C:C)="Untamable"),1,IF(_xlfn.XLOOKUP(B188,'Base stats'!B:B,'Base stats'!AL:AL)=1,0.99,MIN(MROUND((1-0.6282*EXP(-0.459*AO188))*_xlfn.XLOOKUP(_xlfn.XLOOKUP(B188,'Base stats'!B:B,'Base stats'!E:E),Groups!A:A,Groups!C:C)*IF(_xlfn.XLOOKUP(B188,'Base stats'!B:B,'Base stats'!O:O)=1,0.5,IF(_xlfn.XLOOKUP(B188,'Base stats'!B:B,'Base stats'!O:O)=2,0,1)),0.05),IF(AO188&gt;3.5,0.985,0.95))))</f>
        <v>0.75</v>
      </c>
      <c r="K188" s="2">
        <f>ROUNDUP(AO188*_xlfn.XLOOKUP(_xlfn.XLOOKUP(B188,'Base stats'!B:B,'Base stats'!E:E),Groups!A:A,Groups!E:E),0)</f>
        <v>2</v>
      </c>
      <c r="L188" s="2">
        <f>IF(OR(_xlfn.XLOOKUP(_xlfn.XLOOKUP(B188,'Base stats'!B:B,'Base stats'!E:E),Groups!A:A,Groups!F:F)=2,ISNUMBER(SEARCH("SeaIce",BX188)),ISNUMBER(SEARCH("IceSheet",BX188))),-50,IF(OR(ISNUMBER(SEARCH("GlacialPlain",BX188)),ISNUMBER(SEARCH("Tundra",BX188))),-40,IF(OR(ISNUMBER(SEARCH("Alpine",BX188)),ISNUMBER(SEARCH("BorealForest",BX188)),ISNUMBER(SEARCH("ColdBog",BX188))),-30,IF(OR(ISNUMBER(SEARCH("TemperateForest",BX188)),ISNUMBER(SEARCH("TemperateSwamp",BX188))),-20,IF(_xlfn.XLOOKUP(_xlfn.XLOOKUP(B188,'Base stats'!B:B,'Base stats'!E:E),Groups!A:A,Groups!F:F)=1,-15,IF(OR(ISNUMBER(SEARCH("Desert",BX188)),ISNUMBER(SEARCH("ExtremeDesert",BX188))),-10,IF(OR(ISNUMBER(SEARCH("Grasslands",BX188)),ISNUMBER(SEARCH("TropicalRainforest",BX188)),ISNUMBER(SEARCH("TropicalSwamp",BX188))),10,0)))))))-IF(CC188="False",MIN(IFERROR(MAX(MROUND(LOG10(_xlfn.XLOOKUP(B188,'Base stats'!B:B,'Base stats'!C:C)^(2/3))*10,5),5),5),30))-_xlfn.XLOOKUP(B188,'Base stats'!B:B,'Base stats'!P:P)+IF(CC188="True",5,0)</f>
        <v>-5</v>
      </c>
      <c r="M188" s="2">
        <f>IF(OR(_xlfn.XLOOKUP(_xlfn.XLOOKUP(B188,'Base stats'!B:B,'Base stats'!E:E),Groups!A:A,Groups!G:G)=2,ISNUMBER(SEARCH("Desert",BX188)),ISNUMBER(SEARCH("ExtremeDesert",BX188)),ISNUMBER(SEARCH("LavaField",BX188))),50,IF(ISNUMBER(SEARCH("Grasslands",BX188)),45,IF(OR(_xlfn.XLOOKUP(_xlfn.XLOOKUP(B188,'Base stats'!B:B,'Base stats'!E:E),Groups!A:A,Groups!G:G)=1,ISNUMBER(SEARCH("TropicalRainforest",BX188)),ISNUMBER(SEARCH("TropicalSwamp",BX188))),40,IF(OR(ISNUMBER(SEARCH("TemperateForest",BX188)),ISNUMBER(SEARCH("TemperateSwamp",BX188))),35,IF(OR(ISNUMBER(SEARCH("Alpine",BX188)),ISNUMBER(SEARCH("BorealForest",BX188)),ISNUMBER(SEARCH("ColdBog",BX188))),30,IF(ISNUMBER(OR(ISNUMBER(SEARCH("GlacialPlain",BX188)),SEARCH("Tundra",BX188))),25,IF(OR(ISNUMBER(SEARCH("SeaIce",BX188)),ISNUMBER(SEARCH("IceSheet",BX188)),ISNUMBER(SEARCH("TropicalSwamp",BX188))),10,35)))))))+_xlfn.XLOOKUP(B188,'Base stats'!B:B,'Base stats'!Q:Q)</f>
        <v>40</v>
      </c>
      <c r="N188" s="8">
        <f>IF(
_xlfn.XLOOKUP(
_xlfn.XLOOKUP(B188,'Base stats'!B:B,'Base stats'!E:E),
Groups!A:A,
Groups!L:L
)=1,
MIN(
MROUND(
IF(
_xlfn.XLOOKUP(B188,'Animals CE'!B:B,'Animals CE'!Z:Z)&lt;=1.5,
_xlfn.XLOOKUP(B188,'Animals CE'!B:B,'Animals CE'!Z:Z)/2+0.05,
0.8+
(_xlfn.XLOOKUP(B188,'Animals CE'!B:B,'Animals CE'!Z:Z)-1.5)
*0.02
),
0.05
),
200%
),
"No"
)</f>
        <v>0.2</v>
      </c>
      <c r="O188" s="8">
        <f>IF(
_xlfn.XLOOKUP(
_xlfn.XLOOKUP(B188,'Base stats'!B:B,'Base stats'!E:E),
Groups!A:A,
Groups!L:L
)=1,
MIN(
MROUND(
IF(
_xlfn.XLOOKUP(B188,'Animals CE'!B:B,'Animals CE'!AA:AA)&lt;=1.5,
_xlfn.XLOOKUP(B188,'Animals CE'!B:B,'Animals CE'!AA:AA)/2+0.05,
0.8+
(_xlfn.XLOOKUP(B188,'Animals CE'!B:B,'Animals CE'!AA:AA)-1.5)
*0.02
),
0.05
),
200%
),
"No"
)</f>
        <v>0.25</v>
      </c>
      <c r="P188" s="2" t="str">
        <f>_xlfn.XLOOKUP(B188,'Base stats'!B:B,'Base stats'!R:R)</f>
        <v>Standard</v>
      </c>
      <c r="Q188" s="13">
        <f>MROUND((LOG10(_xlfn.XLOOKUP(B188,'Base stats'!B:B,'Base stats'!AR:AR))*(AO188^0.5)+(_xlfn.XLOOKUP(B188,'Base stats'!B:B,'Base stats'!AR:AR)/1000)^(2/3)+_xlfn.XLOOKUP(B188,'Base stats'!B:B,'Base stats'!BA:BA)/2)+0.5,0.5)</f>
        <v>10</v>
      </c>
      <c r="R188" s="7">
        <f>IF(Q188="No","No",MAX(1,MROUND(_xlfn.XLOOKUP(B188,'Base stats'!B:B,'Base stats'!C:C)^0.165,0.05)))</f>
        <v>2.3000000000000003</v>
      </c>
      <c r="S188" s="13" t="str">
        <f>IF(_xlfn.XLOOKUP(_xlfn.XLOOKUP(B188,'Base stats'!B:B,'Base stats'!E:E),Groups!A:A,Groups!P:P)=0,"No",MROUND((LOG10(_xlfn.XLOOKUP(B188,'Base stats'!B:B,'Base stats'!AS:AS))*(AO188^0.5)+(_xlfn.XLOOKUP(B188,'Base stats'!B:B,'Base stats'!AS:AS)/1000)^(2/3)+_xlfn.XLOOKUP(B188,'Base stats'!B:B,'Base stats'!BA:BA))+_xlfn.XLOOKUP(B188,'Base stats'!B:B,'Base stats'!AY:AY)+0.5,0.5))</f>
        <v>No</v>
      </c>
      <c r="T188" s="7" t="str">
        <f>IF(S188="No","No",MAX(_xlfn.XLOOKUP(_xlfn.XLOOKUP(B188,'Base stats'!B:B,'Base stats'!E:E),Groups!A:A,Groups!Q:Q),MROUND(_xlfn.XLOOKUP(_xlfn.XLOOKUP(B188,'Base stats'!B:B,'Base stats'!E:E),Groups!A:A,Groups!Q:Q)*_xlfn.XLOOKUP(B188,'Base stats'!B:B,'Base stats'!C:C)^0.165,0.05)))</f>
        <v>No</v>
      </c>
      <c r="U188" s="7" t="str">
        <f>IF(S188="No","No",_xlfn.XLOOKUP(_xlfn.XLOOKUP(B188,'Base stats'!B:B,'Base stats'!E:E),Groups!A:A,Groups!R:R))</f>
        <v>No</v>
      </c>
      <c r="V188" s="7" t="str">
        <f>IF(S188="No","No",_xlfn.XLOOKUP(_xlfn.XLOOKUP(B188,'Base stats'!B:B,'Base stats'!E:E),Groups!A:A,Groups!S:S))</f>
        <v>No</v>
      </c>
      <c r="W188" s="7" t="str">
        <f>IF(S188="No","No",_xlfn.XLOOKUP(_xlfn.XLOOKUP(B188,'Base stats'!B:B,'Base stats'!E:E),Groups!A:A,Groups!T:T))</f>
        <v>No</v>
      </c>
      <c r="X188" s="13" t="str">
        <f>IF(_xlfn.XLOOKUP(B188,'Base stats'!B:B,'Base stats'!W:W)="No","No",MROUND((LOG10(_xlfn.XLOOKUP(B188,'Base stats'!B:B,'Base stats'!AU:AU))*(AO188^0.5)+(_xlfn.XLOOKUP(B188,'Base stats'!B:B,'Base stats'!AU:AU)/1000)^(2/3)+_xlfn.XLOOKUP(B188,'Base stats'!B:B,'Base stats'!AZ:AZ))+0.5+IF(_xlfn.XLOOKUP(_xlfn.XLOOKUP(B188,'Base stats'!B:B,'Base stats'!E:E),Groups!A:A,Groups!U:U)&lt;&gt;3,_xlfn.XLOOKUP(B188,'Base stats'!B:B,'Base stats'!BA:BA),0),0.5))</f>
        <v>No</v>
      </c>
      <c r="Y188" s="7" t="str">
        <f>IF(X188="No","No",MAX(_xlfn.XLOOKUP(_xlfn.XLOOKUP(B188,'Base stats'!B:B,'Base stats'!E:E),Groups!A:A,Groups!V:V),MROUND(_xlfn.XLOOKUP(_xlfn.XLOOKUP(B188,'Base stats'!B:B,'Base stats'!E:E),Groups!A:A,Groups!V:V)*_xlfn.XLOOKUP(B188,'Base stats'!B:B,'Base stats'!C:C)^0.165,0.05)))</f>
        <v>No</v>
      </c>
      <c r="Z188" s="7" t="str">
        <f>IF(X188="No","No",_xlfn.XLOOKUP(_xlfn.XLOOKUP(B188,'Base stats'!B:B,'Base stats'!E:E),Groups!A:A,Groups!W:W))</f>
        <v>No</v>
      </c>
      <c r="AA188" s="7" t="str">
        <f>IF(X188="No","No",_xlfn.XLOOKUP(_xlfn.XLOOKUP(B188,'Base stats'!B:B,'Base stats'!E:E),Groups!A:A,Groups!X:X))</f>
        <v>No</v>
      </c>
      <c r="AB188" s="7" t="str">
        <f>IF(X188="No","No",_xlfn.XLOOKUP(_xlfn.XLOOKUP(B188,'Base stats'!B:B,'Base stats'!E:E),Groups!A:A,Groups!Y:Y))</f>
        <v>No</v>
      </c>
      <c r="AC188" s="7" t="str">
        <f>_xlfn.XLOOKUP(Animals!B188,'Base stats'!B:B,'Base stats'!X:X)</f>
        <v>False</v>
      </c>
      <c r="AD188" s="13">
        <f>IF(_xlfn.XLOOKUP(B188,'Base stats'!B:B,'Base stats'!AT:AT)="No","No",MROUND((LOG10(_xlfn.XLOOKUP(B188,'Base stats'!B:B,'Base stats'!AT:AT))*(AO188^0.75)+(_xlfn.XLOOKUP(B188,'Base stats'!B:B,'Base stats'!AT:AT)/1000)^(2/3)+_xlfn.XLOOKUP(B188,'Base stats'!B:B,'Base stats'!AX:AX)+_xlfn.XLOOKUP(B188,'Base stats'!B:B,'Base stats'!BA:BA))+0.5,0.5))</f>
        <v>17</v>
      </c>
      <c r="AE188" s="7">
        <f>IF(AD188="No","No",MAX(_xlfn.XLOOKUP(_xlfn.XLOOKUP(B188,'Base stats'!B:B,'Base stats'!E:E),Groups!A:A,Groups!Z:Z),MROUND(_xlfn.XLOOKUP(_xlfn.XLOOKUP(B188,'Base stats'!B:B,'Base stats'!E:E),Groups!A:A,Groups!Z:Z)*_xlfn.XLOOKUP(B188,'Base stats'!B:B,'Base stats'!C:C)^0.165,0.05)))</f>
        <v>2.2000000000000002</v>
      </c>
      <c r="AF188" s="7" t="str">
        <f>IF(AD188="No","No",_xlfn.XLOOKUP(_xlfn.XLOOKUP(B188,'Base stats'!B:B,'Base stats'!E:E),Groups!A:A,Groups!AA:AA))</f>
        <v>Teeth</v>
      </c>
      <c r="AG188" s="7" t="str">
        <f>IF(AD188="No","No",_xlfn.XLOOKUP(_xlfn.XLOOKUP(B188,'Base stats'!B:B,'Base stats'!E:E),Groups!A:A,Groups!AB:AB))</f>
        <v>teeth</v>
      </c>
      <c r="AH188" s="7" t="str">
        <f>IF(AD188="No","No",_xlfn.XLOOKUP(_xlfn.XLOOKUP(B188,'Base stats'!B:B,'Base stats'!E:E),Groups!A:A,Groups!AC:AC))</f>
        <v>Bite</v>
      </c>
      <c r="AI188" s="13" t="str">
        <f>IF(_xlfn.XLOOKUP(_xlfn.XLOOKUP(B188,'Base stats'!B:B,'Base stats'!E:E),Groups!A:A,Groups!AD:AD)=0,"No",MROUND((LOG10(_xlfn.XLOOKUP(B188,'Base stats'!B:B,'Base stats'!AS:AS))*(AO188^0.75)+(_xlfn.XLOOKUP(B188,'Base stats'!B:B,'Base stats'!AS:AS)/1000)^(2/3)+_xlfn.XLOOKUP(B188,'Base stats'!B:B,'Base stats'!AY:AY)+_xlfn.XLOOKUP(B188,'Base stats'!B:B,'Base stats'!BA:BA))+0.5,0.5))</f>
        <v>No</v>
      </c>
      <c r="AJ188" s="7" t="str">
        <f>IF(AI188="No","No",MAX(_xlfn.XLOOKUP(_xlfn.XLOOKUP(B188,'Base stats'!B:B,'Base stats'!E:E),Groups!A:A,Groups!AE:AE),MROUND(_xlfn.XLOOKUP(_xlfn.XLOOKUP(B188,'Base stats'!B:B,'Base stats'!E:E),Groups!A:A,Groups!AE:AE)*IF(_xlfn.XLOOKUP(_xlfn.XLOOKUP(B188,'Base stats'!B:B,'Base stats'!E:E),Groups!A:A,Groups!AJ:AJ)="Photonozoa",0.6,1)*_xlfn.XLOOKUP(B188,'Base stats'!B:B,'Base stats'!C:C)^0.165,0.05)))</f>
        <v>No</v>
      </c>
      <c r="AK188" s="7" t="str">
        <f>IF(AI188="No","No",_xlfn.XLOOKUP(_xlfn.XLOOKUP(B188,'Base stats'!B:B,'Base stats'!E:E),Groups!A:A,Groups!AF:AF))</f>
        <v>No</v>
      </c>
      <c r="AL188" s="7" t="str">
        <f>IF(AI188="No","No",_xlfn.XLOOKUP(_xlfn.XLOOKUP(B188,'Base stats'!B:B,'Base stats'!E:E),Groups!A:A,Groups!AG:AG))</f>
        <v>No</v>
      </c>
      <c r="AM188" s="7" t="str">
        <f>IF(AI188="No","No",_xlfn.XLOOKUP(_xlfn.XLOOKUP(B188,'Base stats'!B:B,'Base stats'!E:E),Groups!A:A,Groups!AH:AH))</f>
        <v>No</v>
      </c>
      <c r="AN188" s="2">
        <f t="shared" si="14"/>
        <v>25</v>
      </c>
      <c r="AO188" s="2">
        <f>MROUND(IF(AND(_xlfn.XLOOKUP(B188,'Base stats'!B:B,'Base stats'!C:C)&gt;=0.5,_xlfn.XLOOKUP(B188,'Base stats'!B:B,'Base stats'!C:C)&lt;=0.8),
IF(_xlfn.XLOOKUP(B188,'Base stats'!B:B,'Base stats'!C:C)&lt;0.1,0.05,IF(_xlfn.XLOOKUP(B188,'Base stats'!B:B,'Base stats'!C:C)&lt;=70,(_xlfn.XLOOKUP(B188,'Base stats'!B:B,'Base stats'!C:C)/70)^0.426489913056526,IF(_xlfn.XLOOKUP(B188,'Base stats'!B:B,'Base stats'!C:C)&lt;=400,(_xlfn.XLOOKUP(B188,'Base stats'!B:B,'Base stats'!C:C)/70)^0.572811455315093,IF(_xlfn.XLOOKUP(B188,'Base stats'!B:B,'Base stats'!C:C)&lt;=2000,2.71391647193063*(_xlfn.XLOOKUP(B188,'Base stats'!B:B,'Base stats'!C:C)/400)^0.252459582904293,3.74314280240376*(_xlfn.XLOOKUP(B188,'Base stats'!B:B,'Base stats'!C:C)/2000)^0.357012633876913)))),
IF(_xlfn.XLOOKUP(B188,'Base stats'!B:B,'Base stats'!C:C)&lt;0.1,0.05,IF(_xlfn.XLOOKUP(B188,'Base stats'!B:B,'Base stats'!C:C)&lt;0.4,0.1,IF(_xlfn.XLOOKUP(B188,'Base stats'!B:B,'Base stats'!C:C)&lt;=70,(_xlfn.XLOOKUP(B188,'Base stats'!B:B,'Base stats'!C:C)/70)^0.445823913056526,IF(_xlfn.XLOOKUP(B188,'Base stats'!B:B,'Base stats'!C:C)&lt;=400,(_xlfn.XLOOKUP(B188,'Base stats'!B:B,'Base stats'!C:C)/70)^0.572811455315093,IF(_xlfn.XLOOKUP(B188,'Base stats'!B:B,'Base stats'!C:C)&lt;=2000,2.71391647193063*(_xlfn.XLOOKUP(B188,'Base stats'!B:B,'Base stats'!C:C)/400)^0.252459582904293,3.74314280240376*(_xlfn.XLOOKUP(B188,'Base stats'!B:B,'Base stats'!C:C)/2000)^0.357012633876913)))))),
IF(_xlfn.XLOOKUP(B188,'Base stats'!B:B,'Base stats'!C:C)&lt;0.1,0.05,IF(_xlfn.XLOOKUP(B188,'Base stats'!B:B,'Base stats'!C:C)&lt;=100,0.05,IF(_xlfn.XLOOKUP(B188,'Base stats'!B:B,'Base stats'!C:C)&lt;=250,0.1,IF(_xlfn.XLOOKUP(B188,'Base stats'!B:B,'Base stats'!C:C)&lt;=4000,0.25,0.5)))))</f>
        <v>1.6</v>
      </c>
      <c r="AP188" s="8">
        <f>MROUND(AO188*_xlfn.XLOOKUP(_xlfn.XLOOKUP(B188,'Base stats'!B:B,'Base stats'!E:E),Groups!A:A,Groups!AI:AI)*_xlfn.XLOOKUP(B188,'Base stats'!B:B,'Base stats'!Z:Z),0.05)</f>
        <v>1.9000000000000001</v>
      </c>
      <c r="AQ188" s="8">
        <f>MAX(0.01,MROUND(IF(CC188="True",0.196*(AO188*100*1000)^0.889,IF(_xlfn.XLOOKUP(_xlfn.XLOOKUP(B188,'Base stats'!B:B,'Base stats'!E:E),Groups!A:A,Groups!AJ:AJ)="Bird",10.5*(AO188*100*1000)^0.681,4.82*(AO188*100*1000)^0.734))/(4.82*(1*100*1000)^0.734)/IF(AO188&lt;3.5,2,IF(AO188=3.5,1.5,1.25))*(1+0.132282374779864/(AO188^0.994035016789033+0.00905238001496948)),0.05))</f>
        <v>0.2</v>
      </c>
      <c r="AR188" s="9">
        <f>IFERROR(MROUND(_xlfn.XLOOKUP(B188,'Base stats'!B:B,'Base stats'!H:H)/IF(_xlfn.XLOOKUP(B188,'Base stats'!B:B,'Base stats'!I:I)&lt;&gt;1,(122.5/70),1.2),IF(_xlfn.XLOOKUP(B188,'Base stats'!B:B,'Base stats'!H:H)&gt;=30,5,IF(_xlfn.XLOOKUP(B188,'Base stats'!B:B,'Base stats'!H:H)&gt;=15,3,IF(_xlfn.XLOOKUP(B188,'Base stats'!B:B,'Base stats'!H:H)&gt;=10,2,1)))),"Immortal")</f>
        <v>45</v>
      </c>
      <c r="AS188" s="35" t="str">
        <f>IFERROR(IF(OR(_xlfn.XLOOKUP(B188,'Base stats'!B:B,'Base stats'!F:F)="Atypical reproduction",_xlfn.XLOOKUP(B188,'Base stats'!B:B,'Base stats'!F:F)="Lay eggs"),"Lay eggs",MIN(20,MAX(5.5,ROUND(((_xlfn.XLOOKUP(B188,'Base stats'!B:B,'Base stats'!F:F)-25)*(14.5/615) + 5.5)*2,0)/2))),"Unknown")</f>
        <v>Lay eggs</v>
      </c>
      <c r="AT188" s="8">
        <f>IF(_xlfn.XLOOKUP(B188,'Base stats'!B:B,'Base stats'!G:G)="Atypical reproduction","No",IFERROR(MAX(IF(_xlfn.XLOOKUP(B188,'Base stats'!B:B,'Base stats'!G:G)&lt;0.5,0.2,0.3),MROUND(_xlfn.XLOOKUP(B188,'Base stats'!B:B,'Base stats'!G:G)/(365/60),0.2)),"Unknown"))</f>
        <v>2</v>
      </c>
      <c r="AU188" s="8">
        <f t="shared" si="15"/>
        <v>1</v>
      </c>
      <c r="AV188" s="8" t="str">
        <f>IFERROR(IFERROR(MROUND(_xlfn.XLOOKUP(B188,'Base stats'!B:B,'Base stats'!J:J),0.1),"Lay eggs"),"Cannot breed")</f>
        <v>Lay eggs</v>
      </c>
      <c r="AW188" s="2" t="str">
        <f t="shared" si="16"/>
        <v>false</v>
      </c>
      <c r="AX188" s="2" t="str">
        <f>IF(_xlfn.XLOOKUP(_xlfn.XLOOKUP(Animals!B188,'Base stats'!B:B,'Base stats'!E:E),Groups!A:A,Groups!AK:AK)=1,"true","false")</f>
        <v>false</v>
      </c>
      <c r="AY188" s="25" t="str">
        <f>IF(_xlfn.XLOOKUP(B188,'Base stats'!B:B,'Base stats'!Y:Y)="Liquor","Liquor, CarnivoreAnimalStrict",IF(AND(_xlfn.XLOOKUP(B188,'Base stats'!B:B,'Base stats'!Y:Y)="Carnivore",_xlfn.XLOOKUP(_xlfn.XLOOKUP(B188,'Base stats'!B:B,'Base stats'!E:E),Groups!A:A,Groups!AJ:AJ)="Photonozoa"),"CarnivoreAnimalStrict, OvivoreAnimal",IF(_xlfn.XLOOKUP(B188,'Base stats'!B:B,'Base stats'!Y:Y)="Carnivore","CarnivoreAnimal, OvivoreAnimal",IF(_xlfn.XLOOKUP(B188,'Base stats'!B:B,'Base stats'!Y:Y)="Dendrovore","VegetarianRoughAnimal, DendrovoreAnimal",IF(_xlfn.XLOOKUP(B188,'Base stats'!B:B,'Base stats'!Y:Y)="Herbivore","VegetarianRoughAnimal",IF(_xlfn.XLOOKUP(B188,'Base stats'!B:B,'Base stats'!Y:Y)="OmnivoreRough","OmnivoreRoughAnimal, OvivoreAnimal","OmnivoreAnimal, OvivoreAnimal"))))))</f>
        <v>CarnivoreAnimal, OvivoreAnimal</v>
      </c>
      <c r="AZ188" s="2" t="str">
        <f>IF(_xlfn.XLOOKUP(_xlfn.XLOOKUP(B188,'Base stats'!B:B,'Base stats'!E:E),Groups!A:A,Groups!D:D)=1,MROUND((1-J188)*5+1,2)*IF(J188&lt;=0.4,2,1),"No")</f>
        <v>No</v>
      </c>
      <c r="BA188" s="2" t="str">
        <f>IF(AND(_xlfn.XLOOKUP(B188,'Base stats'!B:B,'Base stats'!AH:AH)="&lt;li&gt;Seal&lt;/li&gt;",G188="Odyssey"),"&lt;li&gt;AEXP_Seal&lt;/li&gt;",_xlfn.XLOOKUP(B188,'Base stats'!B:B,'Base stats'!AH:AH))</f>
        <v>No</v>
      </c>
      <c r="BB188" s="2" t="str">
        <f>_xlfn.XLOOKUP(B188,'Base stats'!B:B,'Base stats'!AG:AG)</f>
        <v>Leather_Lizard</v>
      </c>
      <c r="BC188" s="23" t="str">
        <f>_xlfn.XLOOKUP(_xlfn.XLOOKUP(B188,'Base stats'!B:B,'Base stats'!E:E),Groups!A:A,Groups!AL:AL)</f>
        <v>QuadrupedAnimalWithClawsTailAndJowl</v>
      </c>
      <c r="BD188" s="23">
        <f>MIN(1,MROUND(IF(AND(AO188&lt;0.5,_xlfn.XLOOKUP(B188,'Base stats'!B:B,'Base stats'!AA:AA)=0),0,IF(OR(_xlfn.XLOOKUP(Animals!B188,'Base stats'!B:B,'Base stats'!O:O)=2,_xlfn.XLOOKUP(_xlfn.XLOOKUP(B188,'Base stats'!B:B,'Base stats'!E:E),Groups!A:A,Groups!AN:AN)=0),0,_xlfn.XLOOKUP(_xlfn.XLOOKUP(B188,'Base stats'!B:B,'Base stats'!E:E),Groups!A:A,Groups!AN:AN)/IF(_xlfn.XLOOKUP(Animals!B188,'Base stats'!B:B,'Base stats'!O:O)=1,2,1)))+_xlfn.XLOOKUP(B188,'Base stats'!B:B,'Base stats'!AC:AC),0.005))</f>
        <v>0.1</v>
      </c>
      <c r="BE188" s="23">
        <f>MIN(1,MROUND(IF(AND(AO188&lt;0.5,_xlfn.XLOOKUP(B188,'Base stats'!B:B,'Base stats'!AA:AA)=0),0,IF(_xlfn.XLOOKUP(_xlfn.XLOOKUP(B188,'Base stats'!B:B,'Base stats'!E:E),Groups!A:A,Groups!AO:AO)=0,0,_xlfn.XLOOKUP(_xlfn.XLOOKUP(B188,'Base stats'!B:B,'Base stats'!E:E),Groups!A:A,Groups!AO:AO)/IF(_xlfn.XLOOKUP(Animals!B188,'Base stats'!B:B,'Base stats'!O:O)=2,3,1)))+_xlfn.XLOOKUP(B188,'Base stats'!B:B,'Base stats'!AD:AD),0.005))</f>
        <v>0.3</v>
      </c>
      <c r="BF188" s="2" t="str">
        <f>IF(J188&gt;0.3,"No",_xlfn.XLOOKUP(_xlfn.XLOOKUP(Animals!B188,'Base stats'!B:B,'Base stats'!E:E),Groups!A:A,Groups!AP:AP))</f>
        <v>No</v>
      </c>
      <c r="BG188" s="2" t="str">
        <f>IF(AND(J188&lt;=0.65,_xlfn.XLOOKUP(_xlfn.XLOOKUP(Animals!B188,'Base stats'!B:B,'Base stats'!E:E),Groups!A:A,Groups!AP:AP)&lt;&gt;"No",_xlfn.XLOOKUP(_xlfn.XLOOKUP(B188,'Base stats'!B:B,'Base stats'!E:E),Groups!A:A,Groups!D:D)=0),MROUND((80/3)*IF(_xlfn.XLOOKUP(B188,'Base stats'!B:B,'Base stats'!O:O)=2,0.2,AO188) + 24*(1-IF(BF188="No",0,BF188)) + 16/3, 12),"No")</f>
        <v>No</v>
      </c>
      <c r="BH188" s="2">
        <f>IF(AND(_xlfn.XLOOKUP(_xlfn.XLOOKUP(B188,'Base stats'!B:B,'Base stats'!E:E),Groups!A:A,Groups!AQ:AQ)=1,AO188&lt;=0.35),8,12)</f>
        <v>12</v>
      </c>
      <c r="BI188" s="2" t="str">
        <f>IF(_xlfn.XLOOKUP(_xlfn.XLOOKUP(B188,'Base stats'!B:B,'Base stats'!E:E),Groups!A:A,Groups!D:D)=0,_xlfn.XLOOKUP(_xlfn.XLOOKUP(B188,'Base stats'!B:B,'Base stats'!E:E),Groups!A:A,Groups!AR:AR),"None")</f>
        <v>None</v>
      </c>
      <c r="BJ188" s="2" t="str">
        <f>IF(AND(_xlfn.XLOOKUP(_xlfn.XLOOKUP(B188,'Base stats'!B:B,'Base stats'!E:E),Groups!A:A,Groups!AS:AS)=1,OR(_xlfn.XLOOKUP(B188,'Base stats'!B:B,'Base stats'!Y:Y)="Carnivore",_xlfn.XLOOKUP(B188,'Base stats'!B:B,'Base stats'!Y:Y)="Omnivore")),"true","false")</f>
        <v>true</v>
      </c>
      <c r="BK188" s="2">
        <f>IF(BJ188="true",MROUND(IF(AND(AO188&gt;0.5,OR(_xlfn.XLOOKUP(_xlfn.XLOOKUP(B188,'Base stats'!B:B,'Base stats'!E:E),Groups!A:A,Groups!AJ:AJ)="Photonozoa",_xlfn.XLOOKUP(_xlfn.XLOOKUP(B188,'Base stats'!B:B,'Base stats'!E:E),Groups!A:A,Groups!AJ:AJ)="Mammal")),Animals!AO188*1.75*IF(AW188="true",1.5,1),IF(AO188&lt;0.5,Animals!AO188*0.5,Animals!AO188)),IF(AO188&gt;2,0.5,IF(AO188&gt;0.5,0.25,0.1))),"No")</f>
        <v>1.5</v>
      </c>
      <c r="BL188" s="2">
        <f t="shared" si="17"/>
        <v>0</v>
      </c>
      <c r="BM188" s="25">
        <f>IF(_xlfn.XLOOKUP(B188,'Base stats'!B:B,'Base stats'!AN:AN)="Standard","No",MROUND((_xlfn.XLOOKUP(B188,'Base stats'!B:B,'Base stats'!AN:AN)/3.6)/I188,0.1))</f>
        <v>2.8000000000000003</v>
      </c>
      <c r="BN188" s="25" t="str">
        <f t="shared" si="18"/>
        <v>true</v>
      </c>
      <c r="BO188" s="25" t="str">
        <f>IF(AND(OR(_xlfn.XLOOKUP(B188,'Base stats'!B:B,'Base stats'!Y:Y)="Carnivore",_xlfn.XLOOKUP(B188,'Base stats'!B:B,'Base stats'!Y:Y)="Omnivore",_xlfn.XLOOKUP(B188,'Base stats'!B:B,'Base stats'!Y:Y)="OmnivoreRough"),_xlfn.XLOOKUP(_xlfn.XLOOKUP(B188,'Base stats'!B:B,'Base stats'!E:E),Groups!A:A,Groups!AT:AT)=1),"true","false")</f>
        <v>true</v>
      </c>
      <c r="BP188" s="25" t="str" cm="1">
        <f t="array" ref="BP188">IF(
  _xlfn.TEXTJOIN(", ",TRUE,
    IF(AND(BJ188="true",AO188&gt;0.5,BI188&lt;&gt;"None"),"AttackTarget",""),
    IF(AND(_xlfn.XLOOKUP(_xlfn.XLOOKUP(B188,'Base stats'!B:B,'Base stats'!E:E),Groups!A:A,Groups!AJ:AJ="Mammal"),OR(_xlfn.XLOOKUP(B188,'Base stats'!B:B,'Base stats'!Y:Y)="Omnivore",_xlfn.XLOOKUP(B188,'Base stats'!B:B,'Base stats'!Y:Y)="OmnivoreRough")),"Forage",""),
    IF(BG188&lt;=36,"Comfort",""),
    IF(_xlfn.XLOOKUP(B188,'Base stats'!B:B,'Base stats'!AE:AE)&lt;&gt;"No",_xlfn.XLOOKUP(B188,'Base stats'!B:B,'Base stats'!AE:AE),"")
  ) = "",
  "No",
  _xlfn.TEXTJOIN(", ",TRUE,
    IF(AND(BJ188="true",AO188&gt;0.5,BI188&lt;&gt;"None"),"AttackTarget",""),
    IF(AND(_xlfn.XLOOKUP(_xlfn.XLOOKUP(B188,'Base stats'!B:B,'Base stats'!E:E),Groups!A:A,Groups!AJ:AJ="Mammal"),OR(_xlfn.XLOOKUP(B188,'Base stats'!B:B,'Base stats'!Y:Y)="Omnivore",_xlfn.XLOOKUP(B188,'Base stats'!B:B,'Base stats'!Y:Y)="OmnivoreRough")),"Forage",""),
    IF(BG188&lt;=36,"Comfort",""),
    IF(_xlfn.XLOOKUP(B188,'Base stats'!B:B,'Base stats'!AE:AE)&lt;&gt;"No",_xlfn.XLOOKUP(B188,'Base stats'!B:B,'Base stats'!AE:AE),"")
  )
)</f>
        <v>No</v>
      </c>
      <c r="BQ188" s="25">
        <f>IF(
   AND(
      'Base stats'!AN188="Standard",_xlfn.XLOOKUP(_xlfn.XLOOKUP(B188,'Base stats'!B:B,'Base stats'!E:E),Groups!A:A,Groups!AU:AU)=0,
      OR(
      BO188="True"
      )
   ),
   10,
   IF(
       OR(BM188&lt;&gt;"No",_xlfn.XLOOKUP(_xlfn.XLOOKUP(B188,'Base stats'!B:B,'Base stats'!E:E),Groups!A:A,Groups!AU:AU)=1),
      1,
      "No"
   )
)</f>
        <v>1</v>
      </c>
      <c r="BR188" s="9">
        <f>MROUND((1 + ((0.2*IF(OR(Q188="No",R188="No",R188=0),0,Q188/R188)
+IF(OR(V188="No",S188="No",T188="No"),0,S188/T188*(LEN(V188)-LEN(SUBSTITUTE(V188,",",""))+1))
+IF(OR(X188="No",Y188="No"),0,X188/Y188)
+IF(OR(AD188="No",AE188="No"),0,AD188/AE188)
+IF(OR(AL188="No",AI188="No",AJ188="No"),0,AI188/AJ188*(LEN(AL188)-LEN(SUBSTITUTE(AL188,",",""))+1))
)/(0.2*IF(OR(Q188="No",R188="No",R188=0),0,1)
+IF(OR(V188="No",S188="No",T188="No"),0,LEN(V188)-LEN(SUBSTITUTE(V188,",",""))+1)
+IF(OR(X188="No",Y188="No"),0,1)
+IF(OR(AD188="No",AE188="No"),0,1)
+IF(OR(AL188="No",AI188="No",AJ188="No"),0,LEN(AL188)-LEN(SUBSTITUTE(AL188,",",""))+1))*62%)* 2)*(1 + (AP188 / (IF(_xlfn.XLOOKUP(_xlfn.XLOOKUP(B188,'Base stats'!B:B,'Base stats'!E:E),Groups!A:A,Groups!AJ:AJ)="Photonozoa",0.3,1)) + _xlfn.XLOOKUP(B188,'Base stats'!B:B,'Base stats'!AV:AV) * 1.8) * 2) * 2.5 + 10 + I188 * 2,5)+IF(_xlfn.XLOOKUP(B188,'Base stats'!B:B,'Base stats'!AK:AK)=1,50,0)</f>
        <v>150</v>
      </c>
      <c r="BS188" s="8">
        <f t="shared" si="19"/>
        <v>0.5</v>
      </c>
      <c r="BT188" s="8" t="str">
        <f>_xlfn.XLOOKUP(B188,'Base stats'!B:B,'Base stats'!AF:AF)</f>
        <v>No</v>
      </c>
      <c r="BU188" s="2" t="str">
        <f>IF(AND(J188&lt;=0.95,OR(_xlfn.XLOOKUP(B188,'Base stats'!B:B,'Base stats'!AK:AK)=1,_xlfn.XLOOKUP(B188,'Base stats'!B:B,'Base stats'!Y:Y)="Carnivore",_xlfn.XLOOKUP(B188,'Base stats'!B:B,'Base stats'!Y:Y)="Omnivore",BE188&gt;0.1)),"true","false")</f>
        <v>true</v>
      </c>
      <c r="BV188" s="2" t="str">
        <f>IF(_xlfn.XLOOKUP(B188,'Base stats'!B:B,'Base stats'!AI:AI)=1,"true","false")</f>
        <v>false</v>
      </c>
      <c r="BW188" s="25" t="str">
        <f>IF(E188="BaseInsect","AnimalInsect",
IF(J188&gt;0.95,"AnimalExotic",
_xlfn.TEXTJOIN(", ",TRUE,
IF(OR(_xlfn.XLOOKUP(B188,'Base stats'!B:B,'Base stats'!AM:AM)=1,AND(_xlfn.XLOOKUP(B188,'Base stats'!B:B,'Base stats'!O:O)=0,_xlfn.XLOOKUP(_xlfn.XLOOKUP(B188,'Base stats'!B:B,'Base stats'!E:E),Groups!A:A,Groups!B:B)&gt;0)),"AnimalUncommon","AnimalCommon"),
IF(AND(_xlfn.XLOOKUP(B188,'Base stats'!B:B,'Base stats'!O:O)=2,_xlfn.XLOOKUP(_xlfn.XLOOKUP(B188,'Base stats'!B:B,'Base stats'!E:E),Groups!A:A,Groups!D:D)=0),"AnimalPet",IF(AND(_xlfn.XLOOKUP(B188,'Base stats'!B:B,'Base stats'!O:O)&lt;&gt;0,_xlfn.XLOOKUP(_xlfn.XLOOKUP(B188,'Base stats'!B:B,'Base stats'!E:E),Groups!A:A,Groups!D:D)&lt;&gt;0),"AnimalFarm","")),
IF(OR(_xlfn.XLOOKUP(B188,'Base stats'!B:B,'Base stats'!AK:AK)=1,AND(BI188&lt;&gt;"None",BR188&gt;=60),ISNUMBER(SEARCH("Attack target",BP188))),"AnimalFighter","")
)))</f>
        <v>AnimalUncommon</v>
      </c>
      <c r="BX188" s="25" t="str">
        <f>IF(G188="None",TRIM(
SUBSTITUTE(
IF(COUNTIF(Biomes!B$2:B$259,"="&amp;$C188)&gt;0,Biomes!B$1&amp;", ","")&amp;
IF(COUNTIF(Biomes!C$2:C$259,"="&amp;$C188)&gt;0,Biomes!C$1&amp;", ","")&amp;
IF(COUNTIF(Biomes!D$2:D$259,"="&amp;$C188)&gt;0,Biomes!D$1&amp;", ","")&amp;
IF(COUNTIF(Biomes!F$2:F$259,"="&amp;$C188)&gt;0,Biomes!F$1&amp;", ","")&amp;
IF(COUNTIF(Biomes!G$2:G$259,"="&amp;$C188)&gt;0,Biomes!G$1&amp;", ","")&amp;
IF(COUNTIF(Biomes!H$2:H$259,"="&amp;$C188)&gt;0,Biomes!H$1&amp;", ","")&amp;
IF(COUNTIF(Biomes!I$2:I$259,"="&amp;$C188)&gt;0,Biomes!I$1&amp;", ","")&amp;
IF(COUNTIF(Biomes!J$2:J$259,"="&amp;$C188)&gt;0,Biomes!J$1&amp;", ","")&amp;
IF(COUNTIF(Biomes!M$2:M$259,"="&amp;$C188)&gt;0,Biomes!M$1&amp;", ","")&amp;
IF(COUNTIF(Biomes!N$2:N$259,"="&amp;$C188)&gt;0,Biomes!N$1&amp;", ","")&amp;
IF(COUNTIF(Biomes!O$2:O$259,"="&amp;$C188)&gt;0,Biomes!O$1&amp;", ","")&amp;
IF(COUNTIF(Biomes!P$2:P$259,"="&amp;$C188)&gt;0,Biomes!P$1&amp;", ","")&amp;
IF(COUNTIF(Biomes!K$2:K$259,"="&amp;$C188)&gt;0,Biomes!K$1&amp;", ","")&amp;
IF(COUNTIF(Biomes!Q$3:Q$259,"="&amp;$C188)&gt;0,Biomes!Q$1&amp;", ","")&amp;
IF(COUNTIF(Biomes!L$2:L$259,"="&amp;$C188)&gt;0,Biomes!L$1&amp;", ","")&amp;
IF(COUNTIF(Biomes!E$2:E$259,"="&amp;$C188)&gt;0,Biomes!E$1&amp;", ","")&amp;IF(COUNTIF(Biomes!S$2:S$259,"="&amp;$C188)&gt;0,Biomes!S$1&amp;", ","")&amp;
IF(COUNTIF(Biomes!R$2:R$259,"="&amp;$C188)&gt;0,Biomes!R$1&amp;", ",""),", ","")
),_xlfn.XLOOKUP(B188,B:B,BX:BX))</f>
        <v>TemperateSwamp TropicalSwamp Glowforest</v>
      </c>
      <c r="BY188" s="25" t="str">
        <f>IF(_xlfn.XLOOKUP(B188,'Base stats'!B:B,'Base stats'!AJ:AJ)=1,"true","false")</f>
        <v>false</v>
      </c>
      <c r="BZ188" s="25">
        <f>IF(_xlfn.XLOOKUP(B188,'Base stats'!B:B,'Base stats'!N:N)=1,"No",MAX(0.001,MIN(MROUND(IF(AND(BJ188="True",CC188="False"),POWER(10,3.47*LOG10(_xlfn.XLOOKUP(B188,'Base stats'!B:B,'Base stats'!C:C)*1000)^-0.96),POWER(10,4.15*LOG10(_xlfn.XLOOKUP(B188,'Base stats'!B:B,'Base stats'!C:C)*1000)^-0.73))*IF(_xlfn.XLOOKUP(B188,'Base stats'!B:B,'Base stats'!AK:AK)=1,0.5,1)*IF(_xlfn.XLOOKUP(B188,'Base stats'!B:B,'Base stats'!AM:AM)=1,0.1,1)/100,IF(_xlfn.XLOOKUP(B188,'Base stats'!B:B,'Base stats'!AM:AM)=1,0.001,0.025)),0.5)))</f>
        <v>0.17500000000000002</v>
      </c>
      <c r="CA188" s="25" t="str">
        <f>IF(P188="Standard","No",MAX(0.001,MIN(MROUND(IF(AND(BJ188="True",CC188="False"),POWER(10,3.47*LOG10(_xlfn.XLOOKUP(B188,'Base stats'!B:B,'Base stats'!C:C)*1000)^-0.96),POWER(10,4.15*LOG10(_xlfn.XLOOKUP(B188,'Base stats'!B:B,'Base stats'!C:C)*1000)^-0.73))*IF(_xlfn.XLOOKUP(B188,'Base stats'!B:B,'Base stats'!AM:AM)=1,0.1,1)*_xlfn.XLOOKUP(B188,'Base stats'!B:B,'Base stats'!R:R)/100,IF(_xlfn.XLOOKUP(B188,'Base stats'!B:B,'Base stats'!AM:AM)=1,0.001,0.025)),0.5)))</f>
        <v>No</v>
      </c>
      <c r="CB188" s="25" t="str">
        <f>IF(_xlfn.XLOOKUP(_xlfn.XLOOKUP(B188,'Base stats'!B:B,'Base stats'!E:E),Groups!A:A,Groups!AJ:AJ)="Mammal","True","False")</f>
        <v>False</v>
      </c>
      <c r="CC188" s="25" t="str">
        <f>IF(OR(_xlfn.XLOOKUP(_xlfn.XLOOKUP(B188,'Base stats'!B:B,'Base stats'!E:E),Groups!A:A,Groups!AJ:AJ)="Reptile",_xlfn.XLOOKUP(_xlfn.XLOOKUP(B188,'Base stats'!B:B,'Base stats'!E:E),Groups!A:A,Groups!AJ:AJ)="Amphibian",_xlfn.XLOOKUP(_xlfn.XLOOKUP(B188,'Base stats'!B:B,'Base stats'!E:E),Groups!A:A,Groups!AJ:AJ)="Invertebrate"),"True","False")</f>
        <v>True</v>
      </c>
      <c r="CD188" s="25" t="str">
        <f t="shared" si="20"/>
        <v>False</v>
      </c>
      <c r="CE188" s="25" t="str">
        <f>IF(_xlfn.XLOOKUP(_xlfn.XLOOKUP(B188,'Base stats'!B:B,'Base stats'!E:E),Groups!A:A,Groups!AX:AX),"True","False")</f>
        <v>False</v>
      </c>
      <c r="CF188" s="25" t="str">
        <f>IF(_xlfn.XLOOKUP(_xlfn.XLOOKUP(B188,'Base stats'!B:B,'Base stats'!E:E),Groups!A:A,Groups!AY:AY),"True","False")</f>
        <v>False</v>
      </c>
      <c r="CG188" s="25" t="str">
        <f>IF(_xlfn.XLOOKUP(_xlfn.XLOOKUP(B188,'Base stats'!B:B,'Base stats'!E:E),Groups!A:A,Groups!AW:AW),"True","False")</f>
        <v>False</v>
      </c>
      <c r="CH188" s="25" t="str">
        <f>IF(
OR(
_xlfn.XLOOKUP(_xlfn.XLOOKUP(B188,'Base stats'!B:B,'Base stats'!E:E),Groups!A:A,Groups!AZ:AZ)=0,
AND(
_xlfn.XLOOKUP(B188,'Base stats'!B:B,'Base stats'!Y:Y)&lt;&gt;"Carnivore",
_xlfn.XLOOKUP(B188,'Base stats'!B:B,'Base stats'!Y:Y)&lt;&gt;"Omnivore",
_xlfn.XLOOKUP(B188,'Base stats'!B:B,'Base stats'!Y:Y)&lt;&gt;"OmnivoreRough"
)
),
"No",
IF(
_xlfn.XLOOKUP(_xlfn.XLOOKUP(B188,'Base stats'!B:B,'Base stats'!E:E),Groups!A:A,Groups!AZ:AZ)=1,
"Flesh",
IF(
_xlfn.XLOOKUP(_xlfn.XLOOKUP(B188,'Base stats'!B:B,'Base stats'!E:E),Groups!A:A,Groups!AZ:AZ)=2,
"Bone",
""
)
)
)</f>
        <v>Bone</v>
      </c>
      <c r="CI188" s="25" t="str">
        <f>IF(_xlfn.XLOOKUP(_xlfn.XLOOKUP(B188,'Base stats'!B:B,'Base stats'!E:E),Groups!A:A,Groups!BB:BB),"True","False")</f>
        <v>False</v>
      </c>
      <c r="CJ188" s="25" t="str">
        <f>IF(_xlfn.XLOOKUP(_xlfn.XLOOKUP(B188,'Base stats'!B:B,'Base stats'!E:E),Groups!A:A,Groups!BA:BA),"True","False")</f>
        <v>False</v>
      </c>
    </row>
    <row r="189" spans="1:88" s="16" customFormat="1" ht="16.5" thickTop="1" thickBot="1" x14ac:dyDescent="0.3">
      <c r="A189" s="26" t="str">
        <f>_xlfn.XLOOKUP(B189,'Base stats'!B:B,'Base stats'!A:A)</f>
        <v>Moose</v>
      </c>
      <c r="B189" s="6" t="s">
        <v>142</v>
      </c>
      <c r="C189" s="28" t="s">
        <v>1230</v>
      </c>
      <c r="D189" s="28" t="s">
        <v>872</v>
      </c>
      <c r="E189" s="28" t="s">
        <v>673</v>
      </c>
      <c r="F189" s="28" t="s">
        <v>673</v>
      </c>
      <c r="G189" s="28" t="s">
        <v>1228</v>
      </c>
      <c r="H189" s="2">
        <f>MROUND((
  (IF(AND(_xlfn.XLOOKUP(B189,'Base stats'!B:B,'Base stats'!AL:AL)=0,BI189="None",_xlfn.XLOOKUP(_xlfn.XLOOKUP(B189,'Base stats'!B:B,'Base stats'!E:E),Groups!A:A,Groups!B:B)=0), (18 + BR189 * 2.7) * 0.5,
    IF(AND(_xlfn.XLOOKUP(B189,'Base stats'!B:B,'Base stats'!AL:AL)=0,OR(AO189&lt;0.55,AND(BI189="Intermediate",_xlfn.XLOOKUP(_xlfn.XLOOKUP(B189,'Base stats'!B:B,'Base stats'!E:E),Groups!A:A,Groups!B:B)&lt;2))), (18 + BR189 * 2.7),
      IF(OR(BI189="Advanced",_xlfn.XLOOKUP(B189,'Base stats'!B:B,'Base stats'!AL:AL)=1,_xlfn.XLOOKUP(_xlfn.XLOOKUP(B189,'Base stats'!B:B,'Base stats'!E:E),Groups!A:A,Groups!B:B)=2), (18 + BR189 * 2.7) + 250, (18 + BR189 * 2.7))
    )
  ))
  + AO189 * 80
  + IF(COUNTIF(EggMilk!K$2:K$998, A189) &gt; 0, 125, 0)
  + IF(COUNTIF(EggMilk!P$2:P$998, A189) &gt; 0, 90, 0)
  + IF(COUNTIF(EggMilk!A$2:A$998, A189) &gt; 0, 90, 0)
)
* (0.8 + 0.4 * J189)
* 0.75,25)</f>
        <v>400</v>
      </c>
      <c r="I189" s="2">
        <f>MROUND(ROUNDDOWN(_xlfn.XLOOKUP(B189,'Base stats'!B:B,'Base stats'!L:L)/3.6/(23.3/11),1),0.5)</f>
        <v>7.5</v>
      </c>
      <c r="J189" s="2">
        <f>IF(OR(_xlfn.XLOOKUP(B189,'Base stats'!B:B,'Base stats'!AB:AB)=1,_xlfn.XLOOKUP(_xlfn.XLOOKUP(B189,'Base stats'!B:B,'Base stats'!E:E),Groups!A:A,Groups!C:C)="Untamable"),1,IF(_xlfn.XLOOKUP(B189,'Base stats'!B:B,'Base stats'!AL:AL)=1,0.99,MIN(MROUND((1-0.6282*EXP(-0.459*AO189))*_xlfn.XLOOKUP(_xlfn.XLOOKUP(B189,'Base stats'!B:B,'Base stats'!E:E),Groups!A:A,Groups!C:C)*IF(_xlfn.XLOOKUP(B189,'Base stats'!B:B,'Base stats'!O:O)=1,0.5,IF(_xlfn.XLOOKUP(B189,'Base stats'!B:B,'Base stats'!O:O)=2,0,1)),0.05),IF(AO189&gt;3.5,0.985,0.95))))</f>
        <v>0.70000000000000007</v>
      </c>
      <c r="K189" s="2">
        <f>ROUNDUP(AO189*_xlfn.XLOOKUP(_xlfn.XLOOKUP(B189,'Base stats'!B:B,'Base stats'!E:E),Groups!A:A,Groups!E:E),0)</f>
        <v>14</v>
      </c>
      <c r="L189" s="2">
        <f>IF(OR(_xlfn.XLOOKUP(_xlfn.XLOOKUP(B189,'Base stats'!B:B,'Base stats'!E:E),Groups!A:A,Groups!F:F)=2,ISNUMBER(SEARCH("SeaIce",BX189)),ISNUMBER(SEARCH("IceSheet",BX189))),-50,IF(OR(ISNUMBER(SEARCH("GlacialPlain",BX189)),ISNUMBER(SEARCH("Tundra",BX189))),-40,IF(OR(ISNUMBER(SEARCH("Alpine",BX189)),ISNUMBER(SEARCH("BorealForest",BX189)),ISNUMBER(SEARCH("ColdBog",BX189))),-30,IF(OR(ISNUMBER(SEARCH("TemperateForest",BX189)),ISNUMBER(SEARCH("TemperateSwamp",BX189))),-20,IF(_xlfn.XLOOKUP(_xlfn.XLOOKUP(B189,'Base stats'!B:B,'Base stats'!E:E),Groups!A:A,Groups!F:F)=1,-15,IF(OR(ISNUMBER(SEARCH("Desert",BX189)),ISNUMBER(SEARCH("ExtremeDesert",BX189))),-10,IF(OR(ISNUMBER(SEARCH("Grasslands",BX189)),ISNUMBER(SEARCH("TropicalRainforest",BX189)),ISNUMBER(SEARCH("TropicalSwamp",BX189))),10,0)))))))-IF(CC189="False",MIN(IFERROR(MAX(MROUND(LOG10(_xlfn.XLOOKUP(B189,'Base stats'!B:B,'Base stats'!C:C)^(2/3))*10,5),5),5),30))-_xlfn.XLOOKUP(B189,'Base stats'!B:B,'Base stats'!P:P)+IF(CC189="True",5,0)</f>
        <v>-55</v>
      </c>
      <c r="M189" s="2">
        <f>IF(OR(_xlfn.XLOOKUP(_xlfn.XLOOKUP(B189,'Base stats'!B:B,'Base stats'!E:E),Groups!A:A,Groups!G:G)=2,ISNUMBER(SEARCH("Desert",BX189)),ISNUMBER(SEARCH("ExtremeDesert",BX189)),ISNUMBER(SEARCH("LavaField",BX189))),50,IF(ISNUMBER(SEARCH("Grasslands",BX189)),45,IF(OR(_xlfn.XLOOKUP(_xlfn.XLOOKUP(B189,'Base stats'!B:B,'Base stats'!E:E),Groups!A:A,Groups!G:G)=1,ISNUMBER(SEARCH("TropicalRainforest",BX189)),ISNUMBER(SEARCH("TropicalSwamp",BX189))),40,IF(OR(ISNUMBER(SEARCH("TemperateForest",BX189)),ISNUMBER(SEARCH("TemperateSwamp",BX189))),35,IF(OR(ISNUMBER(SEARCH("Alpine",BX189)),ISNUMBER(SEARCH("BorealForest",BX189)),ISNUMBER(SEARCH("ColdBog",BX189))),30,IF(ISNUMBER(OR(ISNUMBER(SEARCH("GlacialPlain",BX189)),SEARCH("Tundra",BX189))),25,IF(OR(ISNUMBER(SEARCH("SeaIce",BX189)),ISNUMBER(SEARCH("IceSheet",BX189)),ISNUMBER(SEARCH("TropicalSwamp",BX189))),10,35)))))))+_xlfn.XLOOKUP(B189,'Base stats'!B:B,'Base stats'!Q:Q)</f>
        <v>35</v>
      </c>
      <c r="N189" s="8" t="str">
        <f>IF(
_xlfn.XLOOKUP(
_xlfn.XLOOKUP(B189,'Base stats'!B:B,'Base stats'!E:E),
Groups!A:A,
Groups!L:L
)=1,
MIN(
MROUND(
IF(
_xlfn.XLOOKUP(B189,'Animals CE'!B:B,'Animals CE'!Z:Z)&lt;=1.5,
_xlfn.XLOOKUP(B189,'Animals CE'!B:B,'Animals CE'!Z:Z)/2+0.05,
0.8+
(_xlfn.XLOOKUP(B189,'Animals CE'!B:B,'Animals CE'!Z:Z)-1.5)
*0.02
),
0.05
),
200%
),
"No"
)</f>
        <v>No</v>
      </c>
      <c r="O189" s="8" t="str">
        <f>IF(
_xlfn.XLOOKUP(
_xlfn.XLOOKUP(B189,'Base stats'!B:B,'Base stats'!E:E),
Groups!A:A,
Groups!L:L
)=1,
MIN(
MROUND(
IF(
_xlfn.XLOOKUP(B189,'Animals CE'!B:B,'Animals CE'!AA:AA)&lt;=1.5,
_xlfn.XLOOKUP(B189,'Animals CE'!B:B,'Animals CE'!AA:AA)/2+0.05,
0.8+
(_xlfn.XLOOKUP(B189,'Animals CE'!B:B,'Animals CE'!AA:AA)-1.5)
*0.02
),
0.05
),
200%
),
"No"
)</f>
        <v>No</v>
      </c>
      <c r="P189" s="2" t="str">
        <f>_xlfn.XLOOKUP(B189,'Base stats'!B:B,'Base stats'!R:R)</f>
        <v>Standard</v>
      </c>
      <c r="Q189" s="13">
        <f>MROUND((LOG10(_xlfn.XLOOKUP(B189,'Base stats'!B:B,'Base stats'!AR:AR))*(AO189^0.5)+(_xlfn.XLOOKUP(B189,'Base stats'!B:B,'Base stats'!AR:AR)/1000)^(2/3)+_xlfn.XLOOKUP(B189,'Base stats'!B:B,'Base stats'!BA:BA)/2)+0.5,0.5)</f>
        <v>14.5</v>
      </c>
      <c r="R189" s="7">
        <f>IF(Q189="No","No",MAX(1,MROUND(_xlfn.XLOOKUP(B189,'Base stats'!B:B,'Base stats'!C:C)^0.165,0.05)))</f>
        <v>2.6500000000000004</v>
      </c>
      <c r="S189" s="13">
        <f>IF(_xlfn.XLOOKUP(_xlfn.XLOOKUP(B189,'Base stats'!B:B,'Base stats'!E:E),Groups!A:A,Groups!P:P)=0,"No",MROUND((LOG10(_xlfn.XLOOKUP(B189,'Base stats'!B:B,'Base stats'!AS:AS))*(AO189^0.5)+(_xlfn.XLOOKUP(B189,'Base stats'!B:B,'Base stats'!AS:AS)/1000)^(2/3)+_xlfn.XLOOKUP(B189,'Base stats'!B:B,'Base stats'!BA:BA))+_xlfn.XLOOKUP(B189,'Base stats'!B:B,'Base stats'!AY:AY)+0.5,0.5))</f>
        <v>18</v>
      </c>
      <c r="T189" s="7">
        <f>IF(S189="No","No",MAX(_xlfn.XLOOKUP(_xlfn.XLOOKUP(B189,'Base stats'!B:B,'Base stats'!E:E),Groups!A:A,Groups!Q:Q),MROUND(_xlfn.XLOOKUP(_xlfn.XLOOKUP(B189,'Base stats'!B:B,'Base stats'!E:E),Groups!A:A,Groups!Q:Q)*_xlfn.XLOOKUP(B189,'Base stats'!B:B,'Base stats'!C:C)^0.165,0.05)))</f>
        <v>2.6500000000000004</v>
      </c>
      <c r="U189" s="7" t="str">
        <f>IF(S189="No","No",_xlfn.XLOOKUP(_xlfn.XLOOKUP(B189,'Base stats'!B:B,'Base stats'!E:E),Groups!A:A,Groups!R:R))</f>
        <v>FrontLeftLeg, FrontRightLeg</v>
      </c>
      <c r="V189" s="7" t="str">
        <f>IF(S189="No","No",_xlfn.XLOOKUP(_xlfn.XLOOKUP(B189,'Base stats'!B:B,'Base stats'!E:E),Groups!A:A,Groups!S:S))</f>
        <v>left hoof, right hoof</v>
      </c>
      <c r="W189" s="7" t="str">
        <f>IF(S189="No","No",_xlfn.XLOOKUP(_xlfn.XLOOKUP(B189,'Base stats'!B:B,'Base stats'!E:E),Groups!A:A,Groups!T:T))</f>
        <v>Blunt</v>
      </c>
      <c r="X189" s="13">
        <f>IF(_xlfn.XLOOKUP(B189,'Base stats'!B:B,'Base stats'!W:W)="No","No",MROUND((LOG10(_xlfn.XLOOKUP(B189,'Base stats'!B:B,'Base stats'!AU:AU))*(AO189^0.5)+(_xlfn.XLOOKUP(B189,'Base stats'!B:B,'Base stats'!AU:AU)/1000)^(2/3)+_xlfn.XLOOKUP(B189,'Base stats'!B:B,'Base stats'!AZ:AZ))+0.5+IF(_xlfn.XLOOKUP(_xlfn.XLOOKUP(B189,'Base stats'!B:B,'Base stats'!E:E),Groups!A:A,Groups!U:U)&lt;&gt;3,_xlfn.XLOOKUP(B189,'Base stats'!B:B,'Base stats'!BA:BA),0),0.5))</f>
        <v>20</v>
      </c>
      <c r="Y189" s="7">
        <f>IF(X189="No","No",MAX(_xlfn.XLOOKUP(_xlfn.XLOOKUP(B189,'Base stats'!B:B,'Base stats'!E:E),Groups!A:A,Groups!V:V),MROUND(_xlfn.XLOOKUP(_xlfn.XLOOKUP(B189,'Base stats'!B:B,'Base stats'!E:E),Groups!A:A,Groups!V:V)*_xlfn.XLOOKUP(B189,'Base stats'!B:B,'Base stats'!C:C)^0.165,0.05)))</f>
        <v>2.25</v>
      </c>
      <c r="Z189" s="7" t="str">
        <f>IF(X189="No","No",_xlfn.XLOOKUP(_xlfn.XLOOKUP(B189,'Base stats'!B:B,'Base stats'!E:E),Groups!A:A,Groups!W:W))</f>
        <v>HeadAttackTool</v>
      </c>
      <c r="AA189" s="7" t="str">
        <f>IF(X189="No","No",_xlfn.XLOOKUP(_xlfn.XLOOKUP(B189,'Base stats'!B:B,'Base stats'!E:E),Groups!A:A,Groups!X:X))</f>
        <v>antler</v>
      </c>
      <c r="AB189" s="7" t="str">
        <f>IF(X189="No","No",_xlfn.XLOOKUP(_xlfn.XLOOKUP(B189,'Base stats'!B:B,'Base stats'!E:E),Groups!A:A,Groups!Y:Y))</f>
        <v>Scratch</v>
      </c>
      <c r="AC189" s="7" t="str">
        <f>_xlfn.XLOOKUP(Animals!B189,'Base stats'!B:B,'Base stats'!X:X)</f>
        <v>False</v>
      </c>
      <c r="AD189" s="13" t="str">
        <f>IF(_xlfn.XLOOKUP(B189,'Base stats'!B:B,'Base stats'!AT:AT)="No","No",MROUND((LOG10(_xlfn.XLOOKUP(B189,'Base stats'!B:B,'Base stats'!AT:AT))*(AO189^0.75)+(_xlfn.XLOOKUP(B189,'Base stats'!B:B,'Base stats'!AT:AT)/1000)^(2/3)+_xlfn.XLOOKUP(B189,'Base stats'!B:B,'Base stats'!AX:AX)+_xlfn.XLOOKUP(B189,'Base stats'!B:B,'Base stats'!BA:BA))+0.5,0.5))</f>
        <v>No</v>
      </c>
      <c r="AE189" s="7" t="str">
        <f>IF(AD189="No","No",MAX(_xlfn.XLOOKUP(_xlfn.XLOOKUP(B189,'Base stats'!B:B,'Base stats'!E:E),Groups!A:A,Groups!Z:Z),MROUND(_xlfn.XLOOKUP(_xlfn.XLOOKUP(B189,'Base stats'!B:B,'Base stats'!E:E),Groups!A:A,Groups!Z:Z)*_xlfn.XLOOKUP(B189,'Base stats'!B:B,'Base stats'!C:C)^0.165,0.05)))</f>
        <v>No</v>
      </c>
      <c r="AF189" s="7" t="str">
        <f>IF(AD189="No","No",_xlfn.XLOOKUP(_xlfn.XLOOKUP(B189,'Base stats'!B:B,'Base stats'!E:E),Groups!A:A,Groups!AA:AA))</f>
        <v>No</v>
      </c>
      <c r="AG189" s="7" t="str">
        <f>IF(AD189="No","No",_xlfn.XLOOKUP(_xlfn.XLOOKUP(B189,'Base stats'!B:B,'Base stats'!E:E),Groups!A:A,Groups!AB:AB))</f>
        <v>No</v>
      </c>
      <c r="AH189" s="7" t="str">
        <f>IF(AD189="No","No",_xlfn.XLOOKUP(_xlfn.XLOOKUP(B189,'Base stats'!B:B,'Base stats'!E:E),Groups!A:A,Groups!AC:AC))</f>
        <v>No</v>
      </c>
      <c r="AI189" s="13" t="str">
        <f>IF(_xlfn.XLOOKUP(_xlfn.XLOOKUP(B189,'Base stats'!B:B,'Base stats'!E:E),Groups!A:A,Groups!AD:AD)=0,"No",MROUND((LOG10(_xlfn.XLOOKUP(B189,'Base stats'!B:B,'Base stats'!AS:AS))*(AO189^0.75)+(_xlfn.XLOOKUP(B189,'Base stats'!B:B,'Base stats'!AS:AS)/1000)^(2/3)+_xlfn.XLOOKUP(B189,'Base stats'!B:B,'Base stats'!AY:AY)+_xlfn.XLOOKUP(B189,'Base stats'!B:B,'Base stats'!BA:BA))+0.5,0.5))</f>
        <v>No</v>
      </c>
      <c r="AJ189" s="7" t="str">
        <f>IF(AI189="No","No",MAX(_xlfn.XLOOKUP(_xlfn.XLOOKUP(B189,'Base stats'!B:B,'Base stats'!E:E),Groups!A:A,Groups!AE:AE),MROUND(_xlfn.XLOOKUP(_xlfn.XLOOKUP(B189,'Base stats'!B:B,'Base stats'!E:E),Groups!A:A,Groups!AE:AE)*IF(_xlfn.XLOOKUP(_xlfn.XLOOKUP(B189,'Base stats'!B:B,'Base stats'!E:E),Groups!A:A,Groups!AJ:AJ)="Photonozoa",0.6,1)*_xlfn.XLOOKUP(B189,'Base stats'!B:B,'Base stats'!C:C)^0.165,0.05)))</f>
        <v>No</v>
      </c>
      <c r="AK189" s="7" t="str">
        <f>IF(AI189="No","No",_xlfn.XLOOKUP(_xlfn.XLOOKUP(B189,'Base stats'!B:B,'Base stats'!E:E),Groups!A:A,Groups!AF:AF))</f>
        <v>No</v>
      </c>
      <c r="AL189" s="7" t="str">
        <f>IF(AI189="No","No",_xlfn.XLOOKUP(_xlfn.XLOOKUP(B189,'Base stats'!B:B,'Base stats'!E:E),Groups!A:A,Groups!AG:AG))</f>
        <v>No</v>
      </c>
      <c r="AM189" s="7" t="str">
        <f>IF(AI189="No","No",_xlfn.XLOOKUP(_xlfn.XLOOKUP(B189,'Base stats'!B:B,'Base stats'!E:E),Groups!A:A,Groups!AH:AH))</f>
        <v>No</v>
      </c>
      <c r="AN189" s="2" t="str">
        <f t="shared" si="14"/>
        <v>No</v>
      </c>
      <c r="AO189" s="2">
        <f>MROUND(IF(AND(_xlfn.XLOOKUP(B189,'Base stats'!B:B,'Base stats'!C:C)&gt;=0.5,_xlfn.XLOOKUP(B189,'Base stats'!B:B,'Base stats'!C:C)&lt;=0.8),
IF(_xlfn.XLOOKUP(B189,'Base stats'!B:B,'Base stats'!C:C)&lt;0.1,0.05,IF(_xlfn.XLOOKUP(B189,'Base stats'!B:B,'Base stats'!C:C)&lt;=70,(_xlfn.XLOOKUP(B189,'Base stats'!B:B,'Base stats'!C:C)/70)^0.426489913056526,IF(_xlfn.XLOOKUP(B189,'Base stats'!B:B,'Base stats'!C:C)&lt;=400,(_xlfn.XLOOKUP(B189,'Base stats'!B:B,'Base stats'!C:C)/70)^0.572811455315093,IF(_xlfn.XLOOKUP(B189,'Base stats'!B:B,'Base stats'!C:C)&lt;=2000,2.71391647193063*(_xlfn.XLOOKUP(B189,'Base stats'!B:B,'Base stats'!C:C)/400)^0.252459582904293,3.74314280240376*(_xlfn.XLOOKUP(B189,'Base stats'!B:B,'Base stats'!C:C)/2000)^0.357012633876913)))),
IF(_xlfn.XLOOKUP(B189,'Base stats'!B:B,'Base stats'!C:C)&lt;0.1,0.05,IF(_xlfn.XLOOKUP(B189,'Base stats'!B:B,'Base stats'!C:C)&lt;0.4,0.1,IF(_xlfn.XLOOKUP(B189,'Base stats'!B:B,'Base stats'!C:C)&lt;=70,(_xlfn.XLOOKUP(B189,'Base stats'!B:B,'Base stats'!C:C)/70)^0.445823913056526,IF(_xlfn.XLOOKUP(B189,'Base stats'!B:B,'Base stats'!C:C)&lt;=400,(_xlfn.XLOOKUP(B189,'Base stats'!B:B,'Base stats'!C:C)/70)^0.572811455315093,IF(_xlfn.XLOOKUP(B189,'Base stats'!B:B,'Base stats'!C:C)&lt;=2000,2.71391647193063*(_xlfn.XLOOKUP(B189,'Base stats'!B:B,'Base stats'!C:C)/400)^0.252459582904293,3.74314280240376*(_xlfn.XLOOKUP(B189,'Base stats'!B:B,'Base stats'!C:C)/2000)^0.357012633876913)))))),
IF(_xlfn.XLOOKUP(B189,'Base stats'!B:B,'Base stats'!C:C)&lt;0.1,0.05,IF(_xlfn.XLOOKUP(B189,'Base stats'!B:B,'Base stats'!C:C)&lt;=100,0.05,IF(_xlfn.XLOOKUP(B189,'Base stats'!B:B,'Base stats'!C:C)&lt;=250,0.1,IF(_xlfn.XLOOKUP(B189,'Base stats'!B:B,'Base stats'!C:C)&lt;=4000,0.25,0.5)))))</f>
        <v>2.75</v>
      </c>
      <c r="AP189" s="8">
        <f>MROUND(AO189*_xlfn.XLOOKUP(_xlfn.XLOOKUP(B189,'Base stats'!B:B,'Base stats'!E:E),Groups!A:A,Groups!AI:AI)*_xlfn.XLOOKUP(B189,'Base stats'!B:B,'Base stats'!Z:Z),0.05)</f>
        <v>2.75</v>
      </c>
      <c r="AQ189" s="8">
        <f>MAX(0.01,MROUND(IF(CC189="True",0.196*(AO189*100*1000)^0.889,IF(_xlfn.XLOOKUP(_xlfn.XLOOKUP(B189,'Base stats'!B:B,'Base stats'!E:E),Groups!A:A,Groups!AJ:AJ)="Bird",10.5*(AO189*100*1000)^0.681,4.82*(AO189*100*1000)^0.734))/(4.82*(1*100*1000)^0.734)/IF(AO189&lt;3.5,2,IF(AO189=3.5,1.5,1.25))*(1+0.132282374779864/(AO189^0.994035016789033+0.00905238001496948)),0.05))</f>
        <v>1.1000000000000001</v>
      </c>
      <c r="AR189" s="9">
        <f>IFERROR(MROUND(_xlfn.XLOOKUP(B189,'Base stats'!B:B,'Base stats'!H:H)/IF(_xlfn.XLOOKUP(B189,'Base stats'!B:B,'Base stats'!I:I)&lt;&gt;1,(122.5/70),1.2),IF(_xlfn.XLOOKUP(B189,'Base stats'!B:B,'Base stats'!H:H)&gt;=30,5,IF(_xlfn.XLOOKUP(B189,'Base stats'!B:B,'Base stats'!H:H)&gt;=15,3,IF(_xlfn.XLOOKUP(B189,'Base stats'!B:B,'Base stats'!H:H)&gt;=10,2,1)))),"Immortal")</f>
        <v>15</v>
      </c>
      <c r="AS189" s="35">
        <f>IFERROR(IF(OR(_xlfn.XLOOKUP(B189,'Base stats'!B:B,'Base stats'!F:F)="Atypical reproduction",_xlfn.XLOOKUP(B189,'Base stats'!B:B,'Base stats'!F:F)="Lay eggs"),"Lay eggs",MIN(20,MAX(5.5,ROUND(((_xlfn.XLOOKUP(B189,'Base stats'!B:B,'Base stats'!F:F)-25)*(14.5/615) + 5.5)*2,0)/2))),"Unknown")</f>
        <v>10.5</v>
      </c>
      <c r="AT189" s="8">
        <f>IF(_xlfn.XLOOKUP(B189,'Base stats'!B:B,'Base stats'!G:G)="Atypical reproduction","No",IFERROR(MAX(IF(_xlfn.XLOOKUP(B189,'Base stats'!B:B,'Base stats'!G:G)&lt;0.5,0.2,0.3),MROUND(_xlfn.XLOOKUP(B189,'Base stats'!B:B,'Base stats'!G:G)/(365/60),0.2)),"Unknown"))</f>
        <v>0.4</v>
      </c>
      <c r="AU189" s="8">
        <f t="shared" si="15"/>
        <v>0.2</v>
      </c>
      <c r="AV189" s="8">
        <f>IFERROR(IFERROR(MROUND(_xlfn.XLOOKUP(B189,'Base stats'!B:B,'Base stats'!J:J),0.1),"Lay eggs"),"Cannot breed")</f>
        <v>1.3</v>
      </c>
      <c r="AW189" s="2" t="str">
        <f t="shared" si="16"/>
        <v>false</v>
      </c>
      <c r="AX189" s="2" t="str">
        <f>IF(_xlfn.XLOOKUP(_xlfn.XLOOKUP(Animals!B189,'Base stats'!B:B,'Base stats'!E:E),Groups!A:A,Groups!AK:AK)=1,"true","false")</f>
        <v>true</v>
      </c>
      <c r="AY189" s="25" t="str">
        <f>IF(_xlfn.XLOOKUP(B189,'Base stats'!B:B,'Base stats'!Y:Y)="Liquor","Liquor, CarnivoreAnimalStrict",IF(AND(_xlfn.XLOOKUP(B189,'Base stats'!B:B,'Base stats'!Y:Y)="Carnivore",_xlfn.XLOOKUP(_xlfn.XLOOKUP(B189,'Base stats'!B:B,'Base stats'!E:E),Groups!A:A,Groups!AJ:AJ)="Photonozoa"),"CarnivoreAnimalStrict, OvivoreAnimal",IF(_xlfn.XLOOKUP(B189,'Base stats'!B:B,'Base stats'!Y:Y)="Carnivore","CarnivoreAnimal, OvivoreAnimal",IF(_xlfn.XLOOKUP(B189,'Base stats'!B:B,'Base stats'!Y:Y)="Dendrovore","VegetarianRoughAnimal, DendrovoreAnimal",IF(_xlfn.XLOOKUP(B189,'Base stats'!B:B,'Base stats'!Y:Y)="Herbivore","VegetarianRoughAnimal",IF(_xlfn.XLOOKUP(B189,'Base stats'!B:B,'Base stats'!Y:Y)="OmnivoreRough","OmnivoreRoughAnimal, OvivoreAnimal","OmnivoreAnimal, OvivoreAnimal"))))))</f>
        <v>VegetarianRoughAnimal</v>
      </c>
      <c r="AZ189" s="2">
        <f>IF(_xlfn.XLOOKUP(_xlfn.XLOOKUP(B189,'Base stats'!B:B,'Base stats'!E:E),Groups!A:A,Groups!D:D)=1,MROUND((1-J189)*5+1,2)*IF(J189&lt;=0.4,2,1),"No")</f>
        <v>2</v>
      </c>
      <c r="BA189" s="2" t="str">
        <f>IF(AND(_xlfn.XLOOKUP(B189,'Base stats'!B:B,'Base stats'!AH:AH)="&lt;li&gt;Seal&lt;/li&gt;",G189="Odyssey"),"&lt;li&gt;AEXP_Seal&lt;/li&gt;",_xlfn.XLOOKUP(B189,'Base stats'!B:B,'Base stats'!AH:AH))</f>
        <v>&lt;li&gt;Deer&lt;/li&gt;</v>
      </c>
      <c r="BB189" s="2" t="str">
        <f>_xlfn.XLOOKUP(B189,'Base stats'!B:B,'Base stats'!AG:AG)</f>
        <v>Leather_Plain</v>
      </c>
      <c r="BC189" s="23" t="str">
        <f>_xlfn.XLOOKUP(_xlfn.XLOOKUP(B189,'Base stats'!B:B,'Base stats'!E:E),Groups!A:A,Groups!AL:AL)</f>
        <v>QuadrupedAnimalWithHooves</v>
      </c>
      <c r="BD189" s="23">
        <f>MIN(1,MROUND(IF(AND(AO189&lt;0.5,_xlfn.XLOOKUP(B189,'Base stats'!B:B,'Base stats'!AA:AA)=0),0,IF(OR(_xlfn.XLOOKUP(Animals!B189,'Base stats'!B:B,'Base stats'!O:O)=2,_xlfn.XLOOKUP(_xlfn.XLOOKUP(B189,'Base stats'!B:B,'Base stats'!E:E),Groups!A:A,Groups!AN:AN)=0),0,_xlfn.XLOOKUP(_xlfn.XLOOKUP(B189,'Base stats'!B:B,'Base stats'!E:E),Groups!A:A,Groups!AN:AN)/IF(_xlfn.XLOOKUP(Animals!B189,'Base stats'!B:B,'Base stats'!O:O)=1,2,1)))+_xlfn.XLOOKUP(B189,'Base stats'!B:B,'Base stats'!AC:AC),0.005))</f>
        <v>2.5000000000000001E-2</v>
      </c>
      <c r="BE189" s="23">
        <f>MIN(1,MROUND(IF(AND(AO189&lt;0.5,_xlfn.XLOOKUP(B189,'Base stats'!B:B,'Base stats'!AA:AA)=0),0,IF(_xlfn.XLOOKUP(_xlfn.XLOOKUP(B189,'Base stats'!B:B,'Base stats'!E:E),Groups!A:A,Groups!AO:AO)=0,0,_xlfn.XLOOKUP(_xlfn.XLOOKUP(B189,'Base stats'!B:B,'Base stats'!E:E),Groups!A:A,Groups!AO:AO)/IF(_xlfn.XLOOKUP(Animals!B189,'Base stats'!B:B,'Base stats'!O:O)=2,3,1)))+_xlfn.XLOOKUP(B189,'Base stats'!B:B,'Base stats'!AD:AD),0.005))</f>
        <v>0.05</v>
      </c>
      <c r="BF189" s="2" t="str">
        <f>IF(J189&gt;0.3,"No",_xlfn.XLOOKUP(_xlfn.XLOOKUP(Animals!B189,'Base stats'!B:B,'Base stats'!E:E),Groups!A:A,Groups!AP:AP))</f>
        <v>No</v>
      </c>
      <c r="BG189" s="2" t="str">
        <f>IF(AND(J189&lt;=0.65,_xlfn.XLOOKUP(_xlfn.XLOOKUP(Animals!B189,'Base stats'!B:B,'Base stats'!E:E),Groups!A:A,Groups!AP:AP)&lt;&gt;"No",_xlfn.XLOOKUP(_xlfn.XLOOKUP(B189,'Base stats'!B:B,'Base stats'!E:E),Groups!A:A,Groups!D:D)=0),MROUND((80/3)*IF(_xlfn.XLOOKUP(B189,'Base stats'!B:B,'Base stats'!O:O)=2,0.2,AO189) + 24*(1-IF(BF189="No",0,BF189)) + 16/3, 12),"No")</f>
        <v>No</v>
      </c>
      <c r="BH189" s="2">
        <f>IF(AND(_xlfn.XLOOKUP(_xlfn.XLOOKUP(B189,'Base stats'!B:B,'Base stats'!E:E),Groups!A:A,Groups!AQ:AQ)=1,AO189&lt;=0.35),8,12)</f>
        <v>12</v>
      </c>
      <c r="BI189" s="2" t="str">
        <f>IF(_xlfn.XLOOKUP(_xlfn.XLOOKUP(B189,'Base stats'!B:B,'Base stats'!E:E),Groups!A:A,Groups!D:D)=0,_xlfn.XLOOKUP(_xlfn.XLOOKUP(B189,'Base stats'!B:B,'Base stats'!E:E),Groups!A:A,Groups!AR:AR),"None")</f>
        <v>None</v>
      </c>
      <c r="BJ189" s="2" t="str">
        <f>IF(AND(_xlfn.XLOOKUP(_xlfn.XLOOKUP(B189,'Base stats'!B:B,'Base stats'!E:E),Groups!A:A,Groups!AS:AS)=1,OR(_xlfn.XLOOKUP(B189,'Base stats'!B:B,'Base stats'!Y:Y)="Carnivore",_xlfn.XLOOKUP(B189,'Base stats'!B:B,'Base stats'!Y:Y)="Omnivore")),"true","false")</f>
        <v>false</v>
      </c>
      <c r="BK189" s="2" t="str">
        <f>IF(BJ189="true",MROUND(IF(AND(AO189&gt;0.5,OR(_xlfn.XLOOKUP(_xlfn.XLOOKUP(B189,'Base stats'!B:B,'Base stats'!E:E),Groups!A:A,Groups!AJ:AJ)="Photonozoa",_xlfn.XLOOKUP(_xlfn.XLOOKUP(B189,'Base stats'!B:B,'Base stats'!E:E),Groups!A:A,Groups!AJ:AJ)="Mammal")),Animals!AO189*1.75*IF(AW189="true",1.5,1),IF(AO189&lt;0.5,Animals!AO189*0.5,Animals!AO189)),IF(AO189&gt;2,0.5,IF(AO189&gt;0.5,0.25,0.1))),"No")</f>
        <v>No</v>
      </c>
      <c r="BL189" s="2">
        <f t="shared" si="17"/>
        <v>0</v>
      </c>
      <c r="BM189" s="25" t="str">
        <f>IF(_xlfn.XLOOKUP(B189,'Base stats'!B:B,'Base stats'!AN:AN)="Standard","No",MROUND((_xlfn.XLOOKUP(B189,'Base stats'!B:B,'Base stats'!AN:AN)/3.6)/I189,0.1))</f>
        <v>No</v>
      </c>
      <c r="BN189" s="25" t="str">
        <f t="shared" si="18"/>
        <v>false</v>
      </c>
      <c r="BO189" s="25" t="str">
        <f>IF(AND(OR(_xlfn.XLOOKUP(B189,'Base stats'!B:B,'Base stats'!Y:Y)="Carnivore",_xlfn.XLOOKUP(B189,'Base stats'!B:B,'Base stats'!Y:Y)="Omnivore",_xlfn.XLOOKUP(B189,'Base stats'!B:B,'Base stats'!Y:Y)="OmnivoreRough"),_xlfn.XLOOKUP(_xlfn.XLOOKUP(B189,'Base stats'!B:B,'Base stats'!E:E),Groups!A:A,Groups!AT:AT)=1),"true","false")</f>
        <v>false</v>
      </c>
      <c r="BP189" s="25" t="str" cm="1">
        <f t="array" ref="BP189">IF(
  _xlfn.TEXTJOIN(", ",TRUE,
    IF(AND(BJ189="true",AO189&gt;0.5,BI189&lt;&gt;"None"),"AttackTarget",""),
    IF(AND(_xlfn.XLOOKUP(_xlfn.XLOOKUP(B189,'Base stats'!B:B,'Base stats'!E:E),Groups!A:A,Groups!AJ:AJ="Mammal"),OR(_xlfn.XLOOKUP(B189,'Base stats'!B:B,'Base stats'!Y:Y)="Omnivore",_xlfn.XLOOKUP(B189,'Base stats'!B:B,'Base stats'!Y:Y)="OmnivoreRough")),"Forage",""),
    IF(BG189&lt;=36,"Comfort",""),
    IF(_xlfn.XLOOKUP(B189,'Base stats'!B:B,'Base stats'!AE:AE)&lt;&gt;"No",_xlfn.XLOOKUP(B189,'Base stats'!B:B,'Base stats'!AE:AE),"")
  ) = "",
  "No",
  _xlfn.TEXTJOIN(", ",TRUE,
    IF(AND(BJ189="true",AO189&gt;0.5,BI189&lt;&gt;"None"),"AttackTarget",""),
    IF(AND(_xlfn.XLOOKUP(_xlfn.XLOOKUP(B189,'Base stats'!B:B,'Base stats'!E:E),Groups!A:A,Groups!AJ:AJ="Mammal"),OR(_xlfn.XLOOKUP(B189,'Base stats'!B:B,'Base stats'!Y:Y)="Omnivore",_xlfn.XLOOKUP(B189,'Base stats'!B:B,'Base stats'!Y:Y)="OmnivoreRough")),"Forage",""),
    IF(BG189&lt;=36,"Comfort",""),
    IF(_xlfn.XLOOKUP(B189,'Base stats'!B:B,'Base stats'!AE:AE)&lt;&gt;"No",_xlfn.XLOOKUP(B189,'Base stats'!B:B,'Base stats'!AE:AE),"")
  )
)</f>
        <v>No</v>
      </c>
      <c r="BQ189" s="25" t="str">
        <f>IF(
   AND(
      'Base stats'!AN189="Standard",_xlfn.XLOOKUP(_xlfn.XLOOKUP(B189,'Base stats'!B:B,'Base stats'!E:E),Groups!A:A,Groups!AU:AU)=0,
      OR(
      BO189="True"
      )
   ),
   10,
   IF(
       OR(BM189&lt;&gt;"No",_xlfn.XLOOKUP(_xlfn.XLOOKUP(B189,'Base stats'!B:B,'Base stats'!E:E),Groups!A:A,Groups!AU:AU)=1),
      1,
      "No"
   )
)</f>
        <v>No</v>
      </c>
      <c r="BR189" s="9">
        <f>MROUND((1 + ((0.2*IF(OR(Q189="No",R189="No",R189=0),0,Q189/R189)
+IF(OR(V189="No",S189="No",T189="No"),0,S189/T189*(LEN(V189)-LEN(SUBSTITUTE(V189,",",""))+1))
+IF(OR(X189="No",Y189="No"),0,X189/Y189)
+IF(OR(AD189="No",AE189="No"),0,AD189/AE189)
+IF(OR(AL189="No",AI189="No",AJ189="No"),0,AI189/AJ189*(LEN(AL189)-LEN(SUBSTITUTE(AL189,",",""))+1))
)/(0.2*IF(OR(Q189="No",R189="No",R189=0),0,1)
+IF(OR(V189="No",S189="No",T189="No"),0,LEN(V189)-LEN(SUBSTITUTE(V189,",",""))+1)
+IF(OR(X189="No",Y189="No"),0,1)
+IF(OR(AD189="No",AE189="No"),0,1)
+IF(OR(AL189="No",AI189="No",AJ189="No"),0,LEN(AL189)-LEN(SUBSTITUTE(AL189,",",""))+1))*62%)* 2)*(1 + (AP189 / (IF(_xlfn.XLOOKUP(_xlfn.XLOOKUP(B189,'Base stats'!B:B,'Base stats'!E:E),Groups!A:A,Groups!AJ:AJ)="Photonozoa",0.3,1)) + _xlfn.XLOOKUP(B189,'Base stats'!B:B,'Base stats'!AV:AV) * 1.8) * 2) * 2.5 + 10 + I189 * 2,5)+IF(_xlfn.XLOOKUP(B189,'Base stats'!B:B,'Base stats'!AK:AK)=1,50,0)</f>
        <v>190</v>
      </c>
      <c r="BS189" s="8">
        <f t="shared" si="19"/>
        <v>1.4500000000000002</v>
      </c>
      <c r="BT189" s="8" t="str">
        <f>_xlfn.XLOOKUP(B189,'Base stats'!B:B,'Base stats'!AF:AF)</f>
        <v>No</v>
      </c>
      <c r="BU189" s="2" t="str">
        <f>IF(AND(J189&lt;=0.95,OR(_xlfn.XLOOKUP(B189,'Base stats'!B:B,'Base stats'!AK:AK)=1,_xlfn.XLOOKUP(B189,'Base stats'!B:B,'Base stats'!Y:Y)="Carnivore",_xlfn.XLOOKUP(B189,'Base stats'!B:B,'Base stats'!Y:Y)="Omnivore",BE189&gt;0.1)),"true","false")</f>
        <v>false</v>
      </c>
      <c r="BV189" s="2" t="str">
        <f>IF(_xlfn.XLOOKUP(B189,'Base stats'!B:B,'Base stats'!AI:AI)=1,"true","false")</f>
        <v>false</v>
      </c>
      <c r="BW189" s="25" t="str">
        <f>IF(E189="BaseInsect","AnimalInsect",
IF(J189&gt;0.95,"AnimalExotic",
_xlfn.TEXTJOIN(", ",TRUE,
IF(OR(_xlfn.XLOOKUP(B189,'Base stats'!B:B,'Base stats'!AM:AM)=1,AND(_xlfn.XLOOKUP(B189,'Base stats'!B:B,'Base stats'!O:O)=0,_xlfn.XLOOKUP(_xlfn.XLOOKUP(B189,'Base stats'!B:B,'Base stats'!E:E),Groups!A:A,Groups!B:B)&gt;0)),"AnimalUncommon","AnimalCommon"),
IF(AND(_xlfn.XLOOKUP(B189,'Base stats'!B:B,'Base stats'!O:O)=2,_xlfn.XLOOKUP(_xlfn.XLOOKUP(B189,'Base stats'!B:B,'Base stats'!E:E),Groups!A:A,Groups!D:D)=0),"AnimalPet",IF(AND(_xlfn.XLOOKUP(B189,'Base stats'!B:B,'Base stats'!O:O)&lt;&gt;0,_xlfn.XLOOKUP(_xlfn.XLOOKUP(B189,'Base stats'!B:B,'Base stats'!E:E),Groups!A:A,Groups!D:D)&lt;&gt;0),"AnimalFarm","")),
IF(OR(_xlfn.XLOOKUP(B189,'Base stats'!B:B,'Base stats'!AK:AK)=1,AND(BI189&lt;&gt;"None",BR189&gt;=60),ISNUMBER(SEARCH("Attack target",BP189))),"AnimalFighter","")
)))</f>
        <v>AnimalCommon</v>
      </c>
      <c r="BX189" s="25" t="str">
        <f>IF(G189="None",TRIM(
SUBSTITUTE(
IF(COUNTIF(Biomes!B$2:B$259,"="&amp;$C189)&gt;0,Biomes!B$1&amp;", ","")&amp;
IF(COUNTIF(Biomes!C$2:C$259,"="&amp;$C189)&gt;0,Biomes!C$1&amp;", ","")&amp;
IF(COUNTIF(Biomes!D$2:D$259,"="&amp;$C189)&gt;0,Biomes!D$1&amp;", ","")&amp;
IF(COUNTIF(Biomes!F$2:F$259,"="&amp;$C189)&gt;0,Biomes!F$1&amp;", ","")&amp;
IF(COUNTIF(Biomes!G$2:G$259,"="&amp;$C189)&gt;0,Biomes!G$1&amp;", ","")&amp;
IF(COUNTIF(Biomes!H$2:H$259,"="&amp;$C189)&gt;0,Biomes!H$1&amp;", ","")&amp;
IF(COUNTIF(Biomes!I$2:I$259,"="&amp;$C189)&gt;0,Biomes!I$1&amp;", ","")&amp;
IF(COUNTIF(Biomes!J$2:J$259,"="&amp;$C189)&gt;0,Biomes!J$1&amp;", ","")&amp;
IF(COUNTIF(Biomes!M$2:M$259,"="&amp;$C189)&gt;0,Biomes!M$1&amp;", ","")&amp;
IF(COUNTIF(Biomes!N$2:N$259,"="&amp;$C189)&gt;0,Biomes!N$1&amp;", ","")&amp;
IF(COUNTIF(Biomes!O$2:O$259,"="&amp;$C189)&gt;0,Biomes!O$1&amp;", ","")&amp;
IF(COUNTIF(Biomes!P$2:P$259,"="&amp;$C189)&gt;0,Biomes!P$1&amp;", ","")&amp;
IF(COUNTIF(Biomes!K$2:K$259,"="&amp;$C189)&gt;0,Biomes!K$1&amp;", ","")&amp;
IF(COUNTIF(Biomes!Q$3:Q$259,"="&amp;$C189)&gt;0,Biomes!Q$1&amp;", ","")&amp;
IF(COUNTIF(Biomes!L$2:L$259,"="&amp;$C189)&gt;0,Biomes!L$1&amp;", ","")&amp;
IF(COUNTIF(Biomes!E$2:E$259,"="&amp;$C189)&gt;0,Biomes!E$1&amp;", ","")&amp;IF(COUNTIF(Biomes!S$2:S$259,"="&amp;$C189)&gt;0,Biomes!S$1&amp;", ","")&amp;
IF(COUNTIF(Biomes!R$2:R$259,"="&amp;$C189)&gt;0,Biomes!R$1&amp;", ",""),", ","")
),_xlfn.XLOOKUP(B189,B:B,BX:BX))</f>
        <v>Tundra BorealForest ColdBog TemperateForest TemperateSwamp GlacialPlain</v>
      </c>
      <c r="BY189" s="25" t="str">
        <f>IF(_xlfn.XLOOKUP(B189,'Base stats'!B:B,'Base stats'!AJ:AJ)=1,"true","false")</f>
        <v>false</v>
      </c>
      <c r="BZ189" s="25">
        <f>IF(_xlfn.XLOOKUP(B189,'Base stats'!B:B,'Base stats'!N:N)=1,"No",MAX(0.001,MIN(MROUND(IF(AND(BJ189="True",CC189="False"),POWER(10,3.47*LOG10(_xlfn.XLOOKUP(B189,'Base stats'!B:B,'Base stats'!C:C)*1000)^-0.96),POWER(10,4.15*LOG10(_xlfn.XLOOKUP(B189,'Base stats'!B:B,'Base stats'!C:C)*1000)^-0.73))*IF(_xlfn.XLOOKUP(B189,'Base stats'!B:B,'Base stats'!AK:AK)=1,0.5,1)*IF(_xlfn.XLOOKUP(B189,'Base stats'!B:B,'Base stats'!AM:AM)=1,0.1,1)/100,IF(_xlfn.XLOOKUP(B189,'Base stats'!B:B,'Base stats'!AM:AM)=1,0.001,0.025)),0.5)))</f>
        <v>0.15000000000000002</v>
      </c>
      <c r="CA189" s="25" t="str">
        <f>IF(P189="Standard","No",MAX(0.001,MIN(MROUND(IF(AND(BJ189="True",CC189="False"),POWER(10,3.47*LOG10(_xlfn.XLOOKUP(B189,'Base stats'!B:B,'Base stats'!C:C)*1000)^-0.96),POWER(10,4.15*LOG10(_xlfn.XLOOKUP(B189,'Base stats'!B:B,'Base stats'!C:C)*1000)^-0.73))*IF(_xlfn.XLOOKUP(B189,'Base stats'!B:B,'Base stats'!AM:AM)=1,0.1,1)*_xlfn.XLOOKUP(B189,'Base stats'!B:B,'Base stats'!R:R)/100,IF(_xlfn.XLOOKUP(B189,'Base stats'!B:B,'Base stats'!AM:AM)=1,0.001,0.025)),0.5)))</f>
        <v>No</v>
      </c>
      <c r="CB189" s="25" t="str">
        <f>IF(_xlfn.XLOOKUP(_xlfn.XLOOKUP(B189,'Base stats'!B:B,'Base stats'!E:E),Groups!A:A,Groups!AJ:AJ)="Mammal","True","False")</f>
        <v>True</v>
      </c>
      <c r="CC189" s="25" t="str">
        <f>IF(OR(_xlfn.XLOOKUP(_xlfn.XLOOKUP(B189,'Base stats'!B:B,'Base stats'!E:E),Groups!A:A,Groups!AJ:AJ)="Reptile",_xlfn.XLOOKUP(_xlfn.XLOOKUP(B189,'Base stats'!B:B,'Base stats'!E:E),Groups!A:A,Groups!AJ:AJ)="Amphibian",_xlfn.XLOOKUP(_xlfn.XLOOKUP(B189,'Base stats'!B:B,'Base stats'!E:E),Groups!A:A,Groups!AJ:AJ)="Invertebrate"),"True","False")</f>
        <v>False</v>
      </c>
      <c r="CD189" s="25" t="str">
        <f t="shared" si="20"/>
        <v>False</v>
      </c>
      <c r="CE189" s="25" t="str">
        <f>IF(_xlfn.XLOOKUP(_xlfn.XLOOKUP(B189,'Base stats'!B:B,'Base stats'!E:E),Groups!A:A,Groups!AX:AX),"True","False")</f>
        <v>False</v>
      </c>
      <c r="CF189" s="25" t="str">
        <f>IF(_xlfn.XLOOKUP(_xlfn.XLOOKUP(B189,'Base stats'!B:B,'Base stats'!E:E),Groups!A:A,Groups!AY:AY),"True","False")</f>
        <v>False</v>
      </c>
      <c r="CG189" s="25" t="str">
        <f>IF(_xlfn.XLOOKUP(_xlfn.XLOOKUP(B189,'Base stats'!B:B,'Base stats'!E:E),Groups!A:A,Groups!AW:AW),"True","False")</f>
        <v>False</v>
      </c>
      <c r="CH189" s="25" t="str">
        <f>IF(
OR(
_xlfn.XLOOKUP(_xlfn.XLOOKUP(B189,'Base stats'!B:B,'Base stats'!E:E),Groups!A:A,Groups!AZ:AZ)=0,
AND(
_xlfn.XLOOKUP(B189,'Base stats'!B:B,'Base stats'!Y:Y)&lt;&gt;"Carnivore",
_xlfn.XLOOKUP(B189,'Base stats'!B:B,'Base stats'!Y:Y)&lt;&gt;"Omnivore",
_xlfn.XLOOKUP(B189,'Base stats'!B:B,'Base stats'!Y:Y)&lt;&gt;"OmnivoreRough"
)
),
"No",
IF(
_xlfn.XLOOKUP(_xlfn.XLOOKUP(B189,'Base stats'!B:B,'Base stats'!E:E),Groups!A:A,Groups!AZ:AZ)=1,
"Flesh",
IF(
_xlfn.XLOOKUP(_xlfn.XLOOKUP(B189,'Base stats'!B:B,'Base stats'!E:E),Groups!A:A,Groups!AZ:AZ)=2,
"Bone",
""
)
)
)</f>
        <v>No</v>
      </c>
      <c r="CI189" s="25" t="str">
        <f>IF(_xlfn.XLOOKUP(_xlfn.XLOOKUP(B189,'Base stats'!B:B,'Base stats'!E:E),Groups!A:A,Groups!BB:BB),"True","False")</f>
        <v>True</v>
      </c>
      <c r="CJ189" s="25" t="str">
        <f>IF(_xlfn.XLOOKUP(_xlfn.XLOOKUP(B189,'Base stats'!B:B,'Base stats'!E:E),Groups!A:A,Groups!BA:BA),"True","False")</f>
        <v>False</v>
      </c>
    </row>
    <row r="190" spans="1:88" s="16" customFormat="1" ht="16.5" thickTop="1" thickBot="1" x14ac:dyDescent="0.3">
      <c r="A190" s="26" t="str">
        <f>_xlfn.XLOOKUP(B190,'Base stats'!B:B,'Base stats'!A:A)</f>
        <v>Muskox</v>
      </c>
      <c r="B190" s="6" t="s">
        <v>222</v>
      </c>
      <c r="C190" s="28" t="s">
        <v>1231</v>
      </c>
      <c r="D190" s="28" t="s">
        <v>872</v>
      </c>
      <c r="E190" s="28" t="s">
        <v>673</v>
      </c>
      <c r="F190" s="28" t="s">
        <v>673</v>
      </c>
      <c r="G190" s="28" t="s">
        <v>1228</v>
      </c>
      <c r="H190" s="2">
        <f>MROUND((
  (IF(AND(_xlfn.XLOOKUP(B190,'Base stats'!B:B,'Base stats'!AL:AL)=0,BI190="None",_xlfn.XLOOKUP(_xlfn.XLOOKUP(B190,'Base stats'!B:B,'Base stats'!E:E),Groups!A:A,Groups!B:B)=0), (18 + BR190 * 2.7) * 0.5,
    IF(AND(_xlfn.XLOOKUP(B190,'Base stats'!B:B,'Base stats'!AL:AL)=0,OR(AO190&lt;0.55,AND(BI190="Intermediate",_xlfn.XLOOKUP(_xlfn.XLOOKUP(B190,'Base stats'!B:B,'Base stats'!E:E),Groups!A:A,Groups!B:B)&lt;2))), (18 + BR190 * 2.7),
      IF(OR(BI190="Advanced",_xlfn.XLOOKUP(B190,'Base stats'!B:B,'Base stats'!AL:AL)=1,_xlfn.XLOOKUP(_xlfn.XLOOKUP(B190,'Base stats'!B:B,'Base stats'!E:E),Groups!A:A,Groups!B:B)=2), (18 + BR190 * 2.7) + 250, (18 + BR190 * 2.7))
    )
  ))
  + AO190 * 80
  + IF(COUNTIF(EggMilk!K$2:K$998, A190) &gt; 0, 125, 0)
  + IF(COUNTIF(EggMilk!P$2:P$998, A190) &gt; 0, 90, 0)
  + IF(COUNTIF(EggMilk!A$2:A$998, A190) &gt; 0, 90, 0)
)
* (0.8 + 0.4 * J190)
* 0.75,25)</f>
        <v>375</v>
      </c>
      <c r="I190" s="2">
        <f>MROUND(ROUNDDOWN(_xlfn.XLOOKUP(B190,'Base stats'!B:B,'Base stats'!L:L)/3.6/(23.3/11),1),0.5)</f>
        <v>7</v>
      </c>
      <c r="J190" s="2">
        <f>IF(OR(_xlfn.XLOOKUP(B190,'Base stats'!B:B,'Base stats'!AB:AB)=1,_xlfn.XLOOKUP(_xlfn.XLOOKUP(B190,'Base stats'!B:B,'Base stats'!E:E),Groups!A:A,Groups!C:C)="Untamable"),1,IF(_xlfn.XLOOKUP(B190,'Base stats'!B:B,'Base stats'!AL:AL)=1,0.99,MIN(MROUND((1-0.6282*EXP(-0.459*AO190))*_xlfn.XLOOKUP(_xlfn.XLOOKUP(B190,'Base stats'!B:B,'Base stats'!E:E),Groups!A:A,Groups!C:C)*IF(_xlfn.XLOOKUP(B190,'Base stats'!B:B,'Base stats'!O:O)=1,0.5,IF(_xlfn.XLOOKUP(B190,'Base stats'!B:B,'Base stats'!O:O)=2,0,1)),0.05),IF(AO190&gt;3.5,0.985,0.95))))</f>
        <v>0.65</v>
      </c>
      <c r="K190" s="2">
        <f>ROUNDUP(AO190*_xlfn.XLOOKUP(_xlfn.XLOOKUP(B190,'Base stats'!B:B,'Base stats'!E:E),Groups!A:A,Groups!E:E),0)</f>
        <v>12</v>
      </c>
      <c r="L190" s="2">
        <f>IF(OR(_xlfn.XLOOKUP(_xlfn.XLOOKUP(B190,'Base stats'!B:B,'Base stats'!E:E),Groups!A:A,Groups!F:F)=2,ISNUMBER(SEARCH("SeaIce",BX190)),ISNUMBER(SEARCH("IceSheet",BX190))),-50,IF(OR(ISNUMBER(SEARCH("GlacialPlain",BX190)),ISNUMBER(SEARCH("Tundra",BX190))),-40,IF(OR(ISNUMBER(SEARCH("Alpine",BX190)),ISNUMBER(SEARCH("BorealForest",BX190)),ISNUMBER(SEARCH("ColdBog",BX190))),-30,IF(OR(ISNUMBER(SEARCH("TemperateForest",BX190)),ISNUMBER(SEARCH("TemperateSwamp",BX190))),-20,IF(_xlfn.XLOOKUP(_xlfn.XLOOKUP(B190,'Base stats'!B:B,'Base stats'!E:E),Groups!A:A,Groups!F:F)=1,-15,IF(OR(ISNUMBER(SEARCH("Desert",BX190)),ISNUMBER(SEARCH("ExtremeDesert",BX190))),-10,IF(OR(ISNUMBER(SEARCH("Grasslands",BX190)),ISNUMBER(SEARCH("TropicalRainforest",BX190)),ISNUMBER(SEARCH("TropicalSwamp",BX190))),10,0)))))))-IF(CC190="False",MIN(IFERROR(MAX(MROUND(LOG10(_xlfn.XLOOKUP(B190,'Base stats'!B:B,'Base stats'!C:C)^(2/3))*10,5),5),5),30))-_xlfn.XLOOKUP(B190,'Base stats'!B:B,'Base stats'!P:P)+IF(CC190="True",5,0)</f>
        <v>-55</v>
      </c>
      <c r="M190" s="2">
        <f>IF(OR(_xlfn.XLOOKUP(_xlfn.XLOOKUP(B190,'Base stats'!B:B,'Base stats'!E:E),Groups!A:A,Groups!G:G)=2,ISNUMBER(SEARCH("Desert",BX190)),ISNUMBER(SEARCH("ExtremeDesert",BX190)),ISNUMBER(SEARCH("LavaField",BX190))),50,IF(ISNUMBER(SEARCH("Grasslands",BX190)),45,IF(OR(_xlfn.XLOOKUP(_xlfn.XLOOKUP(B190,'Base stats'!B:B,'Base stats'!E:E),Groups!A:A,Groups!G:G)=1,ISNUMBER(SEARCH("TropicalRainforest",BX190)),ISNUMBER(SEARCH("TropicalSwamp",BX190))),40,IF(OR(ISNUMBER(SEARCH("TemperateForest",BX190)),ISNUMBER(SEARCH("TemperateSwamp",BX190))),35,IF(OR(ISNUMBER(SEARCH("Alpine",BX190)),ISNUMBER(SEARCH("BorealForest",BX190)),ISNUMBER(SEARCH("ColdBog",BX190))),30,IF(ISNUMBER(OR(ISNUMBER(SEARCH("GlacialPlain",BX190)),SEARCH("Tundra",BX190))),25,IF(OR(ISNUMBER(SEARCH("SeaIce",BX190)),ISNUMBER(SEARCH("IceSheet",BX190)),ISNUMBER(SEARCH("TropicalSwamp",BX190))),10,35)))))))+_xlfn.XLOOKUP(B190,'Base stats'!B:B,'Base stats'!Q:Q)</f>
        <v>35</v>
      </c>
      <c r="N190" s="8" t="str">
        <f>IF(
_xlfn.XLOOKUP(
_xlfn.XLOOKUP(B190,'Base stats'!B:B,'Base stats'!E:E),
Groups!A:A,
Groups!L:L
)=1,
MIN(
MROUND(
IF(
_xlfn.XLOOKUP(B190,'Animals CE'!B:B,'Animals CE'!Z:Z)&lt;=1.5,
_xlfn.XLOOKUP(B190,'Animals CE'!B:B,'Animals CE'!Z:Z)/2+0.05,
0.8+
(_xlfn.XLOOKUP(B190,'Animals CE'!B:B,'Animals CE'!Z:Z)-1.5)
*0.02
),
0.05
),
200%
),
"No"
)</f>
        <v>No</v>
      </c>
      <c r="O190" s="8" t="str">
        <f>IF(
_xlfn.XLOOKUP(
_xlfn.XLOOKUP(B190,'Base stats'!B:B,'Base stats'!E:E),
Groups!A:A,
Groups!L:L
)=1,
MIN(
MROUND(
IF(
_xlfn.XLOOKUP(B190,'Animals CE'!B:B,'Animals CE'!AA:AA)&lt;=1.5,
_xlfn.XLOOKUP(B190,'Animals CE'!B:B,'Animals CE'!AA:AA)/2+0.05,
0.8+
(_xlfn.XLOOKUP(B190,'Animals CE'!B:B,'Animals CE'!AA:AA)-1.5)
*0.02
),
0.05
),
200%
),
"No"
)</f>
        <v>No</v>
      </c>
      <c r="P190" s="2" t="str">
        <f>_xlfn.XLOOKUP(B190,'Base stats'!B:B,'Base stats'!R:R)</f>
        <v>Standard</v>
      </c>
      <c r="Q190" s="13">
        <f>MROUND((LOG10(_xlfn.XLOOKUP(B190,'Base stats'!B:B,'Base stats'!AR:AR))*(AO190^0.5)+(_xlfn.XLOOKUP(B190,'Base stats'!B:B,'Base stats'!AR:AR)/1000)^(2/3)+_xlfn.XLOOKUP(B190,'Base stats'!B:B,'Base stats'!BA:BA)/2)+0.5,0.5)</f>
        <v>13</v>
      </c>
      <c r="R190" s="7">
        <f>IF(Q190="No","No",MAX(1,MROUND(_xlfn.XLOOKUP(B190,'Base stats'!B:B,'Base stats'!C:C)^0.165,0.05)))</f>
        <v>2.6</v>
      </c>
      <c r="S190" s="13">
        <f>IF(_xlfn.XLOOKUP(_xlfn.XLOOKUP(B190,'Base stats'!B:B,'Base stats'!E:E),Groups!A:A,Groups!P:P)=0,"No",MROUND((LOG10(_xlfn.XLOOKUP(B190,'Base stats'!B:B,'Base stats'!AS:AS))*(AO190^0.5)+(_xlfn.XLOOKUP(B190,'Base stats'!B:B,'Base stats'!AS:AS)/1000)^(2/3)+_xlfn.XLOOKUP(B190,'Base stats'!B:B,'Base stats'!BA:BA))+_xlfn.XLOOKUP(B190,'Base stats'!B:B,'Base stats'!AY:AY)+0.5,0.5))</f>
        <v>16</v>
      </c>
      <c r="T190" s="7">
        <f>IF(S190="No","No",MAX(_xlfn.XLOOKUP(_xlfn.XLOOKUP(B190,'Base stats'!B:B,'Base stats'!E:E),Groups!A:A,Groups!Q:Q),MROUND(_xlfn.XLOOKUP(_xlfn.XLOOKUP(B190,'Base stats'!B:B,'Base stats'!E:E),Groups!A:A,Groups!Q:Q)*_xlfn.XLOOKUP(B190,'Base stats'!B:B,'Base stats'!C:C)^0.165,0.05)))</f>
        <v>2.6</v>
      </c>
      <c r="U190" s="7" t="str">
        <f>IF(S190="No","No",_xlfn.XLOOKUP(_xlfn.XLOOKUP(B190,'Base stats'!B:B,'Base stats'!E:E),Groups!A:A,Groups!R:R))</f>
        <v>FrontLeftLeg, FrontRightLeg</v>
      </c>
      <c r="V190" s="7" t="str">
        <f>IF(S190="No","No",_xlfn.XLOOKUP(_xlfn.XLOOKUP(B190,'Base stats'!B:B,'Base stats'!E:E),Groups!A:A,Groups!S:S))</f>
        <v>left hoof, right hoof</v>
      </c>
      <c r="W190" s="7" t="str">
        <f>IF(S190="No","No",_xlfn.XLOOKUP(_xlfn.XLOOKUP(B190,'Base stats'!B:B,'Base stats'!E:E),Groups!A:A,Groups!T:T))</f>
        <v>Blunt</v>
      </c>
      <c r="X190" s="13">
        <f>IF(_xlfn.XLOOKUP(B190,'Base stats'!B:B,'Base stats'!W:W)="No","No",MROUND((LOG10(_xlfn.XLOOKUP(B190,'Base stats'!B:B,'Base stats'!AU:AU))*(AO190^0.5)+(_xlfn.XLOOKUP(B190,'Base stats'!B:B,'Base stats'!AU:AU)/1000)^(2/3)+_xlfn.XLOOKUP(B190,'Base stats'!B:B,'Base stats'!AZ:AZ))+0.5+IF(_xlfn.XLOOKUP(_xlfn.XLOOKUP(B190,'Base stats'!B:B,'Base stats'!E:E),Groups!A:A,Groups!U:U)&lt;&gt;3,_xlfn.XLOOKUP(B190,'Base stats'!B:B,'Base stats'!BA:BA),0),0.5))</f>
        <v>17.5</v>
      </c>
      <c r="Y190" s="7">
        <f>IF(X190="No","No",MAX(_xlfn.XLOOKUP(_xlfn.XLOOKUP(B190,'Base stats'!B:B,'Base stats'!E:E),Groups!A:A,Groups!V:V),MROUND(_xlfn.XLOOKUP(_xlfn.XLOOKUP(B190,'Base stats'!B:B,'Base stats'!E:E),Groups!A:A,Groups!V:V)*_xlfn.XLOOKUP(B190,'Base stats'!B:B,'Base stats'!C:C)^0.165,0.05)))</f>
        <v>2.2000000000000002</v>
      </c>
      <c r="Z190" s="7" t="str">
        <f>IF(X190="No","No",_xlfn.XLOOKUP(_xlfn.XLOOKUP(B190,'Base stats'!B:B,'Base stats'!E:E),Groups!A:A,Groups!W:W))</f>
        <v>HeadAttackTool</v>
      </c>
      <c r="AA190" s="7" t="str">
        <f>IF(X190="No","No",_xlfn.XLOOKUP(_xlfn.XLOOKUP(B190,'Base stats'!B:B,'Base stats'!E:E),Groups!A:A,Groups!X:X))</f>
        <v>horn</v>
      </c>
      <c r="AB190" s="7" t="str">
        <f>IF(X190="No","No",_xlfn.XLOOKUP(_xlfn.XLOOKUP(B190,'Base stats'!B:B,'Base stats'!E:E),Groups!A:A,Groups!Y:Y))</f>
        <v>Blunt</v>
      </c>
      <c r="AC190" s="7" t="str">
        <f>_xlfn.XLOOKUP(Animals!B190,'Base stats'!B:B,'Base stats'!X:X)</f>
        <v>False</v>
      </c>
      <c r="AD190" s="13" t="str">
        <f>IF(_xlfn.XLOOKUP(B190,'Base stats'!B:B,'Base stats'!AT:AT)="No","No",MROUND((LOG10(_xlfn.XLOOKUP(B190,'Base stats'!B:B,'Base stats'!AT:AT))*(AO190^0.75)+(_xlfn.XLOOKUP(B190,'Base stats'!B:B,'Base stats'!AT:AT)/1000)^(2/3)+_xlfn.XLOOKUP(B190,'Base stats'!B:B,'Base stats'!AX:AX)+_xlfn.XLOOKUP(B190,'Base stats'!B:B,'Base stats'!BA:BA))+0.5,0.5))</f>
        <v>No</v>
      </c>
      <c r="AE190" s="7" t="str">
        <f>IF(AD190="No","No",MAX(_xlfn.XLOOKUP(_xlfn.XLOOKUP(B190,'Base stats'!B:B,'Base stats'!E:E),Groups!A:A,Groups!Z:Z),MROUND(_xlfn.XLOOKUP(_xlfn.XLOOKUP(B190,'Base stats'!B:B,'Base stats'!E:E),Groups!A:A,Groups!Z:Z)*_xlfn.XLOOKUP(B190,'Base stats'!B:B,'Base stats'!C:C)^0.165,0.05)))</f>
        <v>No</v>
      </c>
      <c r="AF190" s="7" t="str">
        <f>IF(AD190="No","No",_xlfn.XLOOKUP(_xlfn.XLOOKUP(B190,'Base stats'!B:B,'Base stats'!E:E),Groups!A:A,Groups!AA:AA))</f>
        <v>No</v>
      </c>
      <c r="AG190" s="7" t="str">
        <f>IF(AD190="No","No",_xlfn.XLOOKUP(_xlfn.XLOOKUP(B190,'Base stats'!B:B,'Base stats'!E:E),Groups!A:A,Groups!AB:AB))</f>
        <v>No</v>
      </c>
      <c r="AH190" s="7" t="str">
        <f>IF(AD190="No","No",_xlfn.XLOOKUP(_xlfn.XLOOKUP(B190,'Base stats'!B:B,'Base stats'!E:E),Groups!A:A,Groups!AC:AC))</f>
        <v>No</v>
      </c>
      <c r="AI190" s="13" t="str">
        <f>IF(_xlfn.XLOOKUP(_xlfn.XLOOKUP(B190,'Base stats'!B:B,'Base stats'!E:E),Groups!A:A,Groups!AD:AD)=0,"No",MROUND((LOG10(_xlfn.XLOOKUP(B190,'Base stats'!B:B,'Base stats'!AS:AS))*(AO190^0.75)+(_xlfn.XLOOKUP(B190,'Base stats'!B:B,'Base stats'!AS:AS)/1000)^(2/3)+_xlfn.XLOOKUP(B190,'Base stats'!B:B,'Base stats'!AY:AY)+_xlfn.XLOOKUP(B190,'Base stats'!B:B,'Base stats'!BA:BA))+0.5,0.5))</f>
        <v>No</v>
      </c>
      <c r="AJ190" s="7" t="str">
        <f>IF(AI190="No","No",MAX(_xlfn.XLOOKUP(_xlfn.XLOOKUP(B190,'Base stats'!B:B,'Base stats'!E:E),Groups!A:A,Groups!AE:AE),MROUND(_xlfn.XLOOKUP(_xlfn.XLOOKUP(B190,'Base stats'!B:B,'Base stats'!E:E),Groups!A:A,Groups!AE:AE)*IF(_xlfn.XLOOKUP(_xlfn.XLOOKUP(B190,'Base stats'!B:B,'Base stats'!E:E),Groups!A:A,Groups!AJ:AJ)="Photonozoa",0.6,1)*_xlfn.XLOOKUP(B190,'Base stats'!B:B,'Base stats'!C:C)^0.165,0.05)))</f>
        <v>No</v>
      </c>
      <c r="AK190" s="7" t="str">
        <f>IF(AI190="No","No",_xlfn.XLOOKUP(_xlfn.XLOOKUP(B190,'Base stats'!B:B,'Base stats'!E:E),Groups!A:A,Groups!AF:AF))</f>
        <v>No</v>
      </c>
      <c r="AL190" s="7" t="str">
        <f>IF(AI190="No","No",_xlfn.XLOOKUP(_xlfn.XLOOKUP(B190,'Base stats'!B:B,'Base stats'!E:E),Groups!A:A,Groups!AG:AG))</f>
        <v>No</v>
      </c>
      <c r="AM190" s="7" t="str">
        <f>IF(AI190="No","No",_xlfn.XLOOKUP(_xlfn.XLOOKUP(B190,'Base stats'!B:B,'Base stats'!E:E),Groups!A:A,Groups!AH:AH))</f>
        <v>No</v>
      </c>
      <c r="AN190" s="2" t="str">
        <f t="shared" si="14"/>
        <v>No</v>
      </c>
      <c r="AO190" s="2">
        <f>MROUND(IF(AND(_xlfn.XLOOKUP(B190,'Base stats'!B:B,'Base stats'!C:C)&gt;=0.5,_xlfn.XLOOKUP(B190,'Base stats'!B:B,'Base stats'!C:C)&lt;=0.8),
IF(_xlfn.XLOOKUP(B190,'Base stats'!B:B,'Base stats'!C:C)&lt;0.1,0.05,IF(_xlfn.XLOOKUP(B190,'Base stats'!B:B,'Base stats'!C:C)&lt;=70,(_xlfn.XLOOKUP(B190,'Base stats'!B:B,'Base stats'!C:C)/70)^0.426489913056526,IF(_xlfn.XLOOKUP(B190,'Base stats'!B:B,'Base stats'!C:C)&lt;=400,(_xlfn.XLOOKUP(B190,'Base stats'!B:B,'Base stats'!C:C)/70)^0.572811455315093,IF(_xlfn.XLOOKUP(B190,'Base stats'!B:B,'Base stats'!C:C)&lt;=2000,2.71391647193063*(_xlfn.XLOOKUP(B190,'Base stats'!B:B,'Base stats'!C:C)/400)^0.252459582904293,3.74314280240376*(_xlfn.XLOOKUP(B190,'Base stats'!B:B,'Base stats'!C:C)/2000)^0.357012633876913)))),
IF(_xlfn.XLOOKUP(B190,'Base stats'!B:B,'Base stats'!C:C)&lt;0.1,0.05,IF(_xlfn.XLOOKUP(B190,'Base stats'!B:B,'Base stats'!C:C)&lt;0.4,0.1,IF(_xlfn.XLOOKUP(B190,'Base stats'!B:B,'Base stats'!C:C)&lt;=70,(_xlfn.XLOOKUP(B190,'Base stats'!B:B,'Base stats'!C:C)/70)^0.445823913056526,IF(_xlfn.XLOOKUP(B190,'Base stats'!B:B,'Base stats'!C:C)&lt;=400,(_xlfn.XLOOKUP(B190,'Base stats'!B:B,'Base stats'!C:C)/70)^0.572811455315093,IF(_xlfn.XLOOKUP(B190,'Base stats'!B:B,'Base stats'!C:C)&lt;=2000,2.71391647193063*(_xlfn.XLOOKUP(B190,'Base stats'!B:B,'Base stats'!C:C)/400)^0.252459582904293,3.74314280240376*(_xlfn.XLOOKUP(B190,'Base stats'!B:B,'Base stats'!C:C)/2000)^0.357012633876913)))))),
IF(_xlfn.XLOOKUP(B190,'Base stats'!B:B,'Base stats'!C:C)&lt;0.1,0.05,IF(_xlfn.XLOOKUP(B190,'Base stats'!B:B,'Base stats'!C:C)&lt;=100,0.05,IF(_xlfn.XLOOKUP(B190,'Base stats'!B:B,'Base stats'!C:C)&lt;=250,0.1,IF(_xlfn.XLOOKUP(B190,'Base stats'!B:B,'Base stats'!C:C)&lt;=4000,0.25,0.5)))))</f>
        <v>2.25</v>
      </c>
      <c r="AP190" s="8">
        <f>MROUND(AO190*_xlfn.XLOOKUP(_xlfn.XLOOKUP(B190,'Base stats'!B:B,'Base stats'!E:E),Groups!A:A,Groups!AI:AI)*_xlfn.XLOOKUP(B190,'Base stats'!B:B,'Base stats'!Z:Z),0.05)</f>
        <v>2.25</v>
      </c>
      <c r="AQ190" s="8">
        <f>MAX(0.01,MROUND(IF(CC190="True",0.196*(AO190*100*1000)^0.889,IF(_xlfn.XLOOKUP(_xlfn.XLOOKUP(B190,'Base stats'!B:B,'Base stats'!E:E),Groups!A:A,Groups!AJ:AJ)="Bird",10.5*(AO190*100*1000)^0.681,4.82*(AO190*100*1000)^0.734))/(4.82*(1*100*1000)^0.734)/IF(AO190&lt;3.5,2,IF(AO190=3.5,1.5,1.25))*(1+0.132282374779864/(AO190^0.994035016789033+0.00905238001496948)),0.05))</f>
        <v>0.95000000000000007</v>
      </c>
      <c r="AR190" s="9">
        <f>IFERROR(MROUND(_xlfn.XLOOKUP(B190,'Base stats'!B:B,'Base stats'!H:H)/IF(_xlfn.XLOOKUP(B190,'Base stats'!B:B,'Base stats'!I:I)&lt;&gt;1,(122.5/70),1.2),IF(_xlfn.XLOOKUP(B190,'Base stats'!B:B,'Base stats'!H:H)&gt;=30,5,IF(_xlfn.XLOOKUP(B190,'Base stats'!B:B,'Base stats'!H:H)&gt;=15,3,IF(_xlfn.XLOOKUP(B190,'Base stats'!B:B,'Base stats'!H:H)&gt;=10,2,1)))),"Immortal")</f>
        <v>15</v>
      </c>
      <c r="AS190" s="35">
        <f>IFERROR(IF(OR(_xlfn.XLOOKUP(B190,'Base stats'!B:B,'Base stats'!F:F)="Atypical reproduction",_xlfn.XLOOKUP(B190,'Base stats'!B:B,'Base stats'!F:F)="Lay eggs"),"Lay eggs",MIN(20,MAX(5.5,ROUND(((_xlfn.XLOOKUP(B190,'Base stats'!B:B,'Base stats'!F:F)-25)*(14.5/615) + 5.5)*2,0)/2))),"Unknown")</f>
        <v>11</v>
      </c>
      <c r="AT190" s="8">
        <f>IF(_xlfn.XLOOKUP(B190,'Base stats'!B:B,'Base stats'!G:G)="Atypical reproduction","No",IFERROR(MAX(IF(_xlfn.XLOOKUP(B190,'Base stats'!B:B,'Base stats'!G:G)&lt;0.5,0.2,0.3),MROUND(_xlfn.XLOOKUP(B190,'Base stats'!B:B,'Base stats'!G:G)/(365/60),0.2)),"Unknown"))</f>
        <v>0.4</v>
      </c>
      <c r="AU190" s="8">
        <f t="shared" si="15"/>
        <v>0.2</v>
      </c>
      <c r="AV190" s="8">
        <f>IFERROR(IFERROR(MROUND(_xlfn.XLOOKUP(B190,'Base stats'!B:B,'Base stats'!J:J),0.1),"Lay eggs"),"Cannot breed")</f>
        <v>1</v>
      </c>
      <c r="AW190" s="2" t="str">
        <f t="shared" si="16"/>
        <v>true</v>
      </c>
      <c r="AX190" s="2" t="str">
        <f>IF(_xlfn.XLOOKUP(_xlfn.XLOOKUP(Animals!B190,'Base stats'!B:B,'Base stats'!E:E),Groups!A:A,Groups!AK:AK)=1,"true","false")</f>
        <v>true</v>
      </c>
      <c r="AY190" s="25" t="str">
        <f>IF(_xlfn.XLOOKUP(B190,'Base stats'!B:B,'Base stats'!Y:Y)="Liquor","Liquor, CarnivoreAnimalStrict",IF(AND(_xlfn.XLOOKUP(B190,'Base stats'!B:B,'Base stats'!Y:Y)="Carnivore",_xlfn.XLOOKUP(_xlfn.XLOOKUP(B190,'Base stats'!B:B,'Base stats'!E:E),Groups!A:A,Groups!AJ:AJ)="Photonozoa"),"CarnivoreAnimalStrict, OvivoreAnimal",IF(_xlfn.XLOOKUP(B190,'Base stats'!B:B,'Base stats'!Y:Y)="Carnivore","CarnivoreAnimal, OvivoreAnimal",IF(_xlfn.XLOOKUP(B190,'Base stats'!B:B,'Base stats'!Y:Y)="Dendrovore","VegetarianRoughAnimal, DendrovoreAnimal",IF(_xlfn.XLOOKUP(B190,'Base stats'!B:B,'Base stats'!Y:Y)="Herbivore","VegetarianRoughAnimal",IF(_xlfn.XLOOKUP(B190,'Base stats'!B:B,'Base stats'!Y:Y)="OmnivoreRough","OmnivoreRoughAnimal, OvivoreAnimal","OmnivoreAnimal, OvivoreAnimal"))))))</f>
        <v>VegetarianRoughAnimal</v>
      </c>
      <c r="AZ190" s="2">
        <f>IF(_xlfn.XLOOKUP(_xlfn.XLOOKUP(B190,'Base stats'!B:B,'Base stats'!E:E),Groups!A:A,Groups!D:D)=1,MROUND((1-J190)*5+1,2)*IF(J190&lt;=0.4,2,1),"No")</f>
        <v>2</v>
      </c>
      <c r="BA190" s="2" t="str">
        <f>IF(AND(_xlfn.XLOOKUP(B190,'Base stats'!B:B,'Base stats'!AH:AH)="&lt;li&gt;Seal&lt;/li&gt;",G190="Odyssey"),"&lt;li&gt;AEXP_Seal&lt;/li&gt;",_xlfn.XLOOKUP(B190,'Base stats'!B:B,'Base stats'!AH:AH))</f>
        <v>&lt;li&gt;Sheep&lt;/li&gt;</v>
      </c>
      <c r="BB190" s="2" t="str">
        <f>_xlfn.XLOOKUP(B190,'Base stats'!B:B,'Base stats'!AG:AG)</f>
        <v>Leather_Plain</v>
      </c>
      <c r="BC190" s="23" t="str">
        <f>_xlfn.XLOOKUP(_xlfn.XLOOKUP(B190,'Base stats'!B:B,'Base stats'!E:E),Groups!A:A,Groups!AL:AL)</f>
        <v>QuadrupedAnimalWithHooves</v>
      </c>
      <c r="BD190" s="23">
        <f>MIN(1,MROUND(IF(AND(AO190&lt;0.5,_xlfn.XLOOKUP(B190,'Base stats'!B:B,'Base stats'!AA:AA)=0),0,IF(OR(_xlfn.XLOOKUP(Animals!B190,'Base stats'!B:B,'Base stats'!O:O)=2,_xlfn.XLOOKUP(_xlfn.XLOOKUP(B190,'Base stats'!B:B,'Base stats'!E:E),Groups!A:A,Groups!AN:AN)=0),0,_xlfn.XLOOKUP(_xlfn.XLOOKUP(B190,'Base stats'!B:B,'Base stats'!E:E),Groups!A:A,Groups!AN:AN)/IF(_xlfn.XLOOKUP(Animals!B190,'Base stats'!B:B,'Base stats'!O:O)=1,2,1)))+_xlfn.XLOOKUP(B190,'Base stats'!B:B,'Base stats'!AC:AC),0.005))</f>
        <v>2.5000000000000001E-2</v>
      </c>
      <c r="BE190" s="23">
        <f>MIN(1,MROUND(IF(AND(AO190&lt;0.5,_xlfn.XLOOKUP(B190,'Base stats'!B:B,'Base stats'!AA:AA)=0),0,IF(_xlfn.XLOOKUP(_xlfn.XLOOKUP(B190,'Base stats'!B:B,'Base stats'!E:E),Groups!A:A,Groups!AO:AO)=0,0,_xlfn.XLOOKUP(_xlfn.XLOOKUP(B190,'Base stats'!B:B,'Base stats'!E:E),Groups!A:A,Groups!AO:AO)/IF(_xlfn.XLOOKUP(Animals!B190,'Base stats'!B:B,'Base stats'!O:O)=2,3,1)))+_xlfn.XLOOKUP(B190,'Base stats'!B:B,'Base stats'!AD:AD),0.005))</f>
        <v>0.05</v>
      </c>
      <c r="BF190" s="2" t="str">
        <f>IF(J190&gt;0.3,"No",_xlfn.XLOOKUP(_xlfn.XLOOKUP(Animals!B190,'Base stats'!B:B,'Base stats'!E:E),Groups!A:A,Groups!AP:AP))</f>
        <v>No</v>
      </c>
      <c r="BG190" s="2" t="str">
        <f>IF(AND(J190&lt;=0.65,_xlfn.XLOOKUP(_xlfn.XLOOKUP(Animals!B190,'Base stats'!B:B,'Base stats'!E:E),Groups!A:A,Groups!AP:AP)&lt;&gt;"No",_xlfn.XLOOKUP(_xlfn.XLOOKUP(B190,'Base stats'!B:B,'Base stats'!E:E),Groups!A:A,Groups!D:D)=0),MROUND((80/3)*IF(_xlfn.XLOOKUP(B190,'Base stats'!B:B,'Base stats'!O:O)=2,0.2,AO190) + 24*(1-IF(BF190="No",0,BF190)) + 16/3, 12),"No")</f>
        <v>No</v>
      </c>
      <c r="BH190" s="2">
        <f>IF(AND(_xlfn.XLOOKUP(_xlfn.XLOOKUP(B190,'Base stats'!B:B,'Base stats'!E:E),Groups!A:A,Groups!AQ:AQ)=1,AO190&lt;=0.35),8,12)</f>
        <v>12</v>
      </c>
      <c r="BI190" s="2" t="str">
        <f>IF(_xlfn.XLOOKUP(_xlfn.XLOOKUP(B190,'Base stats'!B:B,'Base stats'!E:E),Groups!A:A,Groups!D:D)=0,_xlfn.XLOOKUP(_xlfn.XLOOKUP(B190,'Base stats'!B:B,'Base stats'!E:E),Groups!A:A,Groups!AR:AR),"None")</f>
        <v>None</v>
      </c>
      <c r="BJ190" s="2" t="str">
        <f>IF(AND(_xlfn.XLOOKUP(_xlfn.XLOOKUP(B190,'Base stats'!B:B,'Base stats'!E:E),Groups!A:A,Groups!AS:AS)=1,OR(_xlfn.XLOOKUP(B190,'Base stats'!B:B,'Base stats'!Y:Y)="Carnivore",_xlfn.XLOOKUP(B190,'Base stats'!B:B,'Base stats'!Y:Y)="Omnivore")),"true","false")</f>
        <v>false</v>
      </c>
      <c r="BK190" s="2" t="str">
        <f>IF(BJ190="true",MROUND(IF(AND(AO190&gt;0.5,OR(_xlfn.XLOOKUP(_xlfn.XLOOKUP(B190,'Base stats'!B:B,'Base stats'!E:E),Groups!A:A,Groups!AJ:AJ)="Photonozoa",_xlfn.XLOOKUP(_xlfn.XLOOKUP(B190,'Base stats'!B:B,'Base stats'!E:E),Groups!A:A,Groups!AJ:AJ)="Mammal")),Animals!AO190*1.75*IF(AW190="true",1.5,1),IF(AO190&lt;0.5,Animals!AO190*0.5,Animals!AO190)),IF(AO190&gt;2,0.5,IF(AO190&gt;0.5,0.25,0.1))),"No")</f>
        <v>No</v>
      </c>
      <c r="BL190" s="2">
        <f t="shared" si="17"/>
        <v>0</v>
      </c>
      <c r="BM190" s="25" t="str">
        <f>IF(_xlfn.XLOOKUP(B190,'Base stats'!B:B,'Base stats'!AN:AN)="Standard","No",MROUND((_xlfn.XLOOKUP(B190,'Base stats'!B:B,'Base stats'!AN:AN)/3.6)/I190,0.1))</f>
        <v>No</v>
      </c>
      <c r="BN190" s="25" t="str">
        <f t="shared" si="18"/>
        <v>false</v>
      </c>
      <c r="BO190" s="25" t="str">
        <f>IF(AND(OR(_xlfn.XLOOKUP(B190,'Base stats'!B:B,'Base stats'!Y:Y)="Carnivore",_xlfn.XLOOKUP(B190,'Base stats'!B:B,'Base stats'!Y:Y)="Omnivore",_xlfn.XLOOKUP(B190,'Base stats'!B:B,'Base stats'!Y:Y)="OmnivoreRough"),_xlfn.XLOOKUP(_xlfn.XLOOKUP(B190,'Base stats'!B:B,'Base stats'!E:E),Groups!A:A,Groups!AT:AT)=1),"true","false")</f>
        <v>false</v>
      </c>
      <c r="BP190" s="25" t="str" cm="1">
        <f t="array" ref="BP190">IF(
  _xlfn.TEXTJOIN(", ",TRUE,
    IF(AND(BJ190="true",AO190&gt;0.5,BI190&lt;&gt;"None"),"AttackTarget",""),
    IF(AND(_xlfn.XLOOKUP(_xlfn.XLOOKUP(B190,'Base stats'!B:B,'Base stats'!E:E),Groups!A:A,Groups!AJ:AJ="Mammal"),OR(_xlfn.XLOOKUP(B190,'Base stats'!B:B,'Base stats'!Y:Y)="Omnivore",_xlfn.XLOOKUP(B190,'Base stats'!B:B,'Base stats'!Y:Y)="OmnivoreRough")),"Forage",""),
    IF(BG190&lt;=36,"Comfort",""),
    IF(_xlfn.XLOOKUP(B190,'Base stats'!B:B,'Base stats'!AE:AE)&lt;&gt;"No",_xlfn.XLOOKUP(B190,'Base stats'!B:B,'Base stats'!AE:AE),"")
  ) = "",
  "No",
  _xlfn.TEXTJOIN(", ",TRUE,
    IF(AND(BJ190="true",AO190&gt;0.5,BI190&lt;&gt;"None"),"AttackTarget",""),
    IF(AND(_xlfn.XLOOKUP(_xlfn.XLOOKUP(B190,'Base stats'!B:B,'Base stats'!E:E),Groups!A:A,Groups!AJ:AJ="Mammal"),OR(_xlfn.XLOOKUP(B190,'Base stats'!B:B,'Base stats'!Y:Y)="Omnivore",_xlfn.XLOOKUP(B190,'Base stats'!B:B,'Base stats'!Y:Y)="OmnivoreRough")),"Forage",""),
    IF(BG190&lt;=36,"Comfort",""),
    IF(_xlfn.XLOOKUP(B190,'Base stats'!B:B,'Base stats'!AE:AE)&lt;&gt;"No",_xlfn.XLOOKUP(B190,'Base stats'!B:B,'Base stats'!AE:AE),"")
  )
)</f>
        <v>No</v>
      </c>
      <c r="BQ190" s="25" t="str">
        <f>IF(
   AND(
      'Base stats'!AN190="Standard",_xlfn.XLOOKUP(_xlfn.XLOOKUP(B190,'Base stats'!B:B,'Base stats'!E:E),Groups!A:A,Groups!AU:AU)=0,
      OR(
      BO190="True"
      )
   ),
   10,
   IF(
       OR(BM190&lt;&gt;"No",_xlfn.XLOOKUP(_xlfn.XLOOKUP(B190,'Base stats'!B:B,'Base stats'!E:E),Groups!A:A,Groups!AU:AU)=1),
      1,
      "No"
   )
)</f>
        <v>No</v>
      </c>
      <c r="BR190" s="9">
        <f>MROUND((1 + ((0.2*IF(OR(Q190="No",R190="No",R190=0),0,Q190/R190)
+IF(OR(V190="No",S190="No",T190="No"),0,S190/T190*(LEN(V190)-LEN(SUBSTITUTE(V190,",",""))+1))
+IF(OR(X190="No",Y190="No"),0,X190/Y190)
+IF(OR(AD190="No",AE190="No"),0,AD190/AE190)
+IF(OR(AL190="No",AI190="No",AJ190="No"),0,AI190/AJ190*(LEN(AL190)-LEN(SUBSTITUTE(AL190,",",""))+1))
)/(0.2*IF(OR(Q190="No",R190="No",R190=0),0,1)
+IF(OR(V190="No",S190="No",T190="No"),0,LEN(V190)-LEN(SUBSTITUTE(V190,",",""))+1)
+IF(OR(X190="No",Y190="No"),0,1)
+IF(OR(AD190="No",AE190="No"),0,1)
+IF(OR(AL190="No",AI190="No",AJ190="No"),0,LEN(AL190)-LEN(SUBSTITUTE(AL190,",",""))+1))*62%)* 2)*(1 + (AP190 / (IF(_xlfn.XLOOKUP(_xlfn.XLOOKUP(B190,'Base stats'!B:B,'Base stats'!E:E),Groups!A:A,Groups!AJ:AJ)="Photonozoa",0.3,1)) + _xlfn.XLOOKUP(B190,'Base stats'!B:B,'Base stats'!AV:AV) * 1.8) * 2) * 2.5 + 10 + I190 * 2,5)+IF(_xlfn.XLOOKUP(B190,'Base stats'!B:B,'Base stats'!AK:AK)=1,50,0)</f>
        <v>150</v>
      </c>
      <c r="BS190" s="8">
        <f t="shared" si="19"/>
        <v>1.2000000000000002</v>
      </c>
      <c r="BT190" s="8" t="str">
        <f>_xlfn.XLOOKUP(B190,'Base stats'!B:B,'Base stats'!AF:AF)</f>
        <v>3~10</v>
      </c>
      <c r="BU190" s="2" t="str">
        <f>IF(AND(J190&lt;=0.95,OR(_xlfn.XLOOKUP(B190,'Base stats'!B:B,'Base stats'!AK:AK)=1,_xlfn.XLOOKUP(B190,'Base stats'!B:B,'Base stats'!Y:Y)="Carnivore",_xlfn.XLOOKUP(B190,'Base stats'!B:B,'Base stats'!Y:Y)="Omnivore",BE190&gt;0.1)),"true","false")</f>
        <v>false</v>
      </c>
      <c r="BV190" s="2" t="str">
        <f>IF(_xlfn.XLOOKUP(B190,'Base stats'!B:B,'Base stats'!AI:AI)=1,"true","false")</f>
        <v>false</v>
      </c>
      <c r="BW190" s="25" t="str">
        <f>IF(E190="BaseInsect","AnimalInsect",
IF(J190&gt;0.95,"AnimalExotic",
_xlfn.TEXTJOIN(", ",TRUE,
IF(OR(_xlfn.XLOOKUP(B190,'Base stats'!B:B,'Base stats'!AM:AM)=1,AND(_xlfn.XLOOKUP(B190,'Base stats'!B:B,'Base stats'!O:O)=0,_xlfn.XLOOKUP(_xlfn.XLOOKUP(B190,'Base stats'!B:B,'Base stats'!E:E),Groups!A:A,Groups!B:B)&gt;0)),"AnimalUncommon","AnimalCommon"),
IF(AND(_xlfn.XLOOKUP(B190,'Base stats'!B:B,'Base stats'!O:O)=2,_xlfn.XLOOKUP(_xlfn.XLOOKUP(B190,'Base stats'!B:B,'Base stats'!E:E),Groups!A:A,Groups!D:D)=0),"AnimalPet",IF(AND(_xlfn.XLOOKUP(B190,'Base stats'!B:B,'Base stats'!O:O)&lt;&gt;0,_xlfn.XLOOKUP(_xlfn.XLOOKUP(B190,'Base stats'!B:B,'Base stats'!E:E),Groups!A:A,Groups!D:D)&lt;&gt;0),"AnimalFarm","")),
IF(OR(_xlfn.XLOOKUP(B190,'Base stats'!B:B,'Base stats'!AK:AK)=1,AND(BI190&lt;&gt;"None",BR190&gt;=60),ISNUMBER(SEARCH("Attack target",BP190))),"AnimalFighter","")
)))</f>
        <v>AnimalCommon</v>
      </c>
      <c r="BX190" s="25" t="str">
        <f>IF(G190="None",TRIM(
SUBSTITUTE(
IF(COUNTIF(Biomes!B$2:B$259,"="&amp;$C190)&gt;0,Biomes!B$1&amp;", ","")&amp;
IF(COUNTIF(Biomes!C$2:C$259,"="&amp;$C190)&gt;0,Biomes!C$1&amp;", ","")&amp;
IF(COUNTIF(Biomes!D$2:D$259,"="&amp;$C190)&gt;0,Biomes!D$1&amp;", ","")&amp;
IF(COUNTIF(Biomes!F$2:F$259,"="&amp;$C190)&gt;0,Biomes!F$1&amp;", ","")&amp;
IF(COUNTIF(Biomes!G$2:G$259,"="&amp;$C190)&gt;0,Biomes!G$1&amp;", ","")&amp;
IF(COUNTIF(Biomes!H$2:H$259,"="&amp;$C190)&gt;0,Biomes!H$1&amp;", ","")&amp;
IF(COUNTIF(Biomes!I$2:I$259,"="&amp;$C190)&gt;0,Biomes!I$1&amp;", ","")&amp;
IF(COUNTIF(Biomes!J$2:J$259,"="&amp;$C190)&gt;0,Biomes!J$1&amp;", ","")&amp;
IF(COUNTIF(Biomes!M$2:M$259,"="&amp;$C190)&gt;0,Biomes!M$1&amp;", ","")&amp;
IF(COUNTIF(Biomes!N$2:N$259,"="&amp;$C190)&gt;0,Biomes!N$1&amp;", ","")&amp;
IF(COUNTIF(Biomes!O$2:O$259,"="&amp;$C190)&gt;0,Biomes!O$1&amp;", ","")&amp;
IF(COUNTIF(Biomes!P$2:P$259,"="&amp;$C190)&gt;0,Biomes!P$1&amp;", ","")&amp;
IF(COUNTIF(Biomes!K$2:K$259,"="&amp;$C190)&gt;0,Biomes!K$1&amp;", ","")&amp;
IF(COUNTIF(Biomes!Q$3:Q$259,"="&amp;$C190)&gt;0,Biomes!Q$1&amp;", ","")&amp;
IF(COUNTIF(Biomes!L$2:L$259,"="&amp;$C190)&gt;0,Biomes!L$1&amp;", ","")&amp;
IF(COUNTIF(Biomes!E$2:E$259,"="&amp;$C190)&gt;0,Biomes!E$1&amp;", ","")&amp;IF(COUNTIF(Biomes!S$2:S$259,"="&amp;$C190)&gt;0,Biomes!S$1&amp;", ","")&amp;
IF(COUNTIF(Biomes!R$2:R$259,"="&amp;$C190)&gt;0,Biomes!R$1&amp;", ",""),", ","")
),_xlfn.XLOOKUP(B190,B:B,BX:BX))</f>
        <v>Tundra GlacialPlain</v>
      </c>
      <c r="BY190" s="25" t="str">
        <f>IF(_xlfn.XLOOKUP(B190,'Base stats'!B:B,'Base stats'!AJ:AJ)=1,"true","false")</f>
        <v>false</v>
      </c>
      <c r="BZ190" s="25">
        <f>IF(_xlfn.XLOOKUP(B190,'Base stats'!B:B,'Base stats'!N:N)=1,"No",MAX(0.001,MIN(MROUND(IF(AND(BJ190="True",CC190="False"),POWER(10,3.47*LOG10(_xlfn.XLOOKUP(B190,'Base stats'!B:B,'Base stats'!C:C)*1000)^-0.96),POWER(10,4.15*LOG10(_xlfn.XLOOKUP(B190,'Base stats'!B:B,'Base stats'!C:C)*1000)^-0.73))*IF(_xlfn.XLOOKUP(B190,'Base stats'!B:B,'Base stats'!AK:AK)=1,0.5,1)*IF(_xlfn.XLOOKUP(B190,'Base stats'!B:B,'Base stats'!AM:AM)=1,0.1,1)/100,IF(_xlfn.XLOOKUP(B190,'Base stats'!B:B,'Base stats'!AM:AM)=1,0.001,0.025)),0.5)))</f>
        <v>0.15000000000000002</v>
      </c>
      <c r="CA190" s="25" t="str">
        <f>IF(P190="Standard","No",MAX(0.001,MIN(MROUND(IF(AND(BJ190="True",CC190="False"),POWER(10,3.47*LOG10(_xlfn.XLOOKUP(B190,'Base stats'!B:B,'Base stats'!C:C)*1000)^-0.96),POWER(10,4.15*LOG10(_xlfn.XLOOKUP(B190,'Base stats'!B:B,'Base stats'!C:C)*1000)^-0.73))*IF(_xlfn.XLOOKUP(B190,'Base stats'!B:B,'Base stats'!AM:AM)=1,0.1,1)*_xlfn.XLOOKUP(B190,'Base stats'!B:B,'Base stats'!R:R)/100,IF(_xlfn.XLOOKUP(B190,'Base stats'!B:B,'Base stats'!AM:AM)=1,0.001,0.025)),0.5)))</f>
        <v>No</v>
      </c>
      <c r="CB190" s="25" t="str">
        <f>IF(_xlfn.XLOOKUP(_xlfn.XLOOKUP(B190,'Base stats'!B:B,'Base stats'!E:E),Groups!A:A,Groups!AJ:AJ)="Mammal","True","False")</f>
        <v>True</v>
      </c>
      <c r="CC190" s="25" t="str">
        <f>IF(OR(_xlfn.XLOOKUP(_xlfn.XLOOKUP(B190,'Base stats'!B:B,'Base stats'!E:E),Groups!A:A,Groups!AJ:AJ)="Reptile",_xlfn.XLOOKUP(_xlfn.XLOOKUP(B190,'Base stats'!B:B,'Base stats'!E:E),Groups!A:A,Groups!AJ:AJ)="Amphibian",_xlfn.XLOOKUP(_xlfn.XLOOKUP(B190,'Base stats'!B:B,'Base stats'!E:E),Groups!A:A,Groups!AJ:AJ)="Invertebrate"),"True","False")</f>
        <v>False</v>
      </c>
      <c r="CD190" s="25" t="str">
        <f t="shared" si="20"/>
        <v>False</v>
      </c>
      <c r="CE190" s="25" t="str">
        <f>IF(_xlfn.XLOOKUP(_xlfn.XLOOKUP(B190,'Base stats'!B:B,'Base stats'!E:E),Groups!A:A,Groups!AX:AX),"True","False")</f>
        <v>False</v>
      </c>
      <c r="CF190" s="25" t="str">
        <f>IF(_xlfn.XLOOKUP(_xlfn.XLOOKUP(B190,'Base stats'!B:B,'Base stats'!E:E),Groups!A:A,Groups!AY:AY),"True","False")</f>
        <v>False</v>
      </c>
      <c r="CG190" s="25" t="str">
        <f>IF(_xlfn.XLOOKUP(_xlfn.XLOOKUP(B190,'Base stats'!B:B,'Base stats'!E:E),Groups!A:A,Groups!AW:AW),"True","False")</f>
        <v>False</v>
      </c>
      <c r="CH190" s="25" t="str">
        <f>IF(
OR(
_xlfn.XLOOKUP(_xlfn.XLOOKUP(B190,'Base stats'!B:B,'Base stats'!E:E),Groups!A:A,Groups!AZ:AZ)=0,
AND(
_xlfn.XLOOKUP(B190,'Base stats'!B:B,'Base stats'!Y:Y)&lt;&gt;"Carnivore",
_xlfn.XLOOKUP(B190,'Base stats'!B:B,'Base stats'!Y:Y)&lt;&gt;"Omnivore",
_xlfn.XLOOKUP(B190,'Base stats'!B:B,'Base stats'!Y:Y)&lt;&gt;"OmnivoreRough"
)
),
"No",
IF(
_xlfn.XLOOKUP(_xlfn.XLOOKUP(B190,'Base stats'!B:B,'Base stats'!E:E),Groups!A:A,Groups!AZ:AZ)=1,
"Flesh",
IF(
_xlfn.XLOOKUP(_xlfn.XLOOKUP(B190,'Base stats'!B:B,'Base stats'!E:E),Groups!A:A,Groups!AZ:AZ)=2,
"Bone",
""
)
)
)</f>
        <v>No</v>
      </c>
      <c r="CI190" s="25" t="str">
        <f>IF(_xlfn.XLOOKUP(_xlfn.XLOOKUP(B190,'Base stats'!B:B,'Base stats'!E:E),Groups!A:A,Groups!BB:BB),"True","False")</f>
        <v>True</v>
      </c>
      <c r="CJ190" s="25" t="str">
        <f>IF(_xlfn.XLOOKUP(_xlfn.XLOOKUP(B190,'Base stats'!B:B,'Base stats'!E:E),Groups!A:A,Groups!BA:BA),"True","False")</f>
        <v>False</v>
      </c>
    </row>
    <row r="191" spans="1:88" s="16" customFormat="1" ht="16.5" thickTop="1" thickBot="1" x14ac:dyDescent="0.3">
      <c r="A191" s="26" t="str">
        <f>_xlfn.XLOOKUP(B191,'Base stats'!B:B,'Base stats'!A:A)</f>
        <v>Badger</v>
      </c>
      <c r="B191" s="6" t="s">
        <v>104</v>
      </c>
      <c r="C191" s="28" t="s">
        <v>1232</v>
      </c>
      <c r="D191" s="28" t="s">
        <v>872</v>
      </c>
      <c r="E191" s="28" t="s">
        <v>673</v>
      </c>
      <c r="F191" s="28" t="s">
        <v>673</v>
      </c>
      <c r="G191" s="28" t="s">
        <v>1228</v>
      </c>
      <c r="H191" s="2">
        <f>MROUND((
  (IF(AND(_xlfn.XLOOKUP(B191,'Base stats'!B:B,'Base stats'!AL:AL)=0,BI191="None",_xlfn.XLOOKUP(_xlfn.XLOOKUP(B191,'Base stats'!B:B,'Base stats'!E:E),Groups!A:A,Groups!B:B)=0), (18 + BR191 * 2.7) * 0.5,
    IF(AND(_xlfn.XLOOKUP(B191,'Base stats'!B:B,'Base stats'!AL:AL)=0,OR(AO191&lt;0.55,AND(BI191="Intermediate",_xlfn.XLOOKUP(_xlfn.XLOOKUP(B191,'Base stats'!B:B,'Base stats'!E:E),Groups!A:A,Groups!B:B)&lt;2))), (18 + BR191 * 2.7),
      IF(OR(BI191="Advanced",_xlfn.XLOOKUP(B191,'Base stats'!B:B,'Base stats'!AL:AL)=1,_xlfn.XLOOKUP(_xlfn.XLOOKUP(B191,'Base stats'!B:B,'Base stats'!E:E),Groups!A:A,Groups!B:B)=2), (18 + BR191 * 2.7) + 250, (18 + BR191 * 2.7))
    )
  ))
  + AO191 * 80
  + IF(COUNTIF(EggMilk!K$2:K$998, A191) &gt; 0, 125, 0)
  + IF(COUNTIF(EggMilk!P$2:P$998, A191) &gt; 0, 90, 0)
  + IF(COUNTIF(EggMilk!A$2:A$998, A191) &gt; 0, 90, 0)
)
* (0.8 + 0.4 * J191)
* 0.75,25)</f>
        <v>175</v>
      </c>
      <c r="I191" s="2">
        <f>MROUND(ROUNDDOWN(_xlfn.XLOOKUP(B191,'Base stats'!B:B,'Base stats'!L:L)/3.6/(23.3/11),1),0.5)</f>
        <v>3.5</v>
      </c>
      <c r="J191" s="2">
        <f>IF(OR(_xlfn.XLOOKUP(B191,'Base stats'!B:B,'Base stats'!AB:AB)=1,_xlfn.XLOOKUP(_xlfn.XLOOKUP(B191,'Base stats'!B:B,'Base stats'!E:E),Groups!A:A,Groups!C:C)="Untamable"),1,IF(_xlfn.XLOOKUP(B191,'Base stats'!B:B,'Base stats'!AL:AL)=1,0.99,MIN(MROUND((1-0.6282*EXP(-0.459*AO191))*_xlfn.XLOOKUP(_xlfn.XLOOKUP(B191,'Base stats'!B:B,'Base stats'!E:E),Groups!A:A,Groups!C:C)*IF(_xlfn.XLOOKUP(B191,'Base stats'!B:B,'Base stats'!O:O)=1,0.5,IF(_xlfn.XLOOKUP(B191,'Base stats'!B:B,'Base stats'!O:O)=2,0,1)),0.05),IF(AO191&gt;3.5,0.985,0.95))))</f>
        <v>0.75</v>
      </c>
      <c r="K191" s="2">
        <f>ROUNDUP(AO191*_xlfn.XLOOKUP(_xlfn.XLOOKUP(B191,'Base stats'!B:B,'Base stats'!E:E),Groups!A:A,Groups!E:E),0)</f>
        <v>1</v>
      </c>
      <c r="L191" s="2">
        <f>IF(OR(_xlfn.XLOOKUP(_xlfn.XLOOKUP(B191,'Base stats'!B:B,'Base stats'!E:E),Groups!A:A,Groups!F:F)=2,ISNUMBER(SEARCH("SeaIce",BX191)),ISNUMBER(SEARCH("IceSheet",BX191))),-50,IF(OR(ISNUMBER(SEARCH("GlacialPlain",BX191)),ISNUMBER(SEARCH("Tundra",BX191))),-40,IF(OR(ISNUMBER(SEARCH("Alpine",BX191)),ISNUMBER(SEARCH("BorealForest",BX191)),ISNUMBER(SEARCH("ColdBog",BX191))),-30,IF(OR(ISNUMBER(SEARCH("TemperateForest",BX191)),ISNUMBER(SEARCH("TemperateSwamp",BX191))),-20,IF(_xlfn.XLOOKUP(_xlfn.XLOOKUP(B191,'Base stats'!B:B,'Base stats'!E:E),Groups!A:A,Groups!F:F)=1,-15,IF(OR(ISNUMBER(SEARCH("Desert",BX191)),ISNUMBER(SEARCH("ExtremeDesert",BX191))),-10,IF(OR(ISNUMBER(SEARCH("Grasslands",BX191)),ISNUMBER(SEARCH("TropicalRainforest",BX191)),ISNUMBER(SEARCH("TropicalSwamp",BX191))),10,0)))))))-IF(CC191="False",MIN(IFERROR(MAX(MROUND(LOG10(_xlfn.XLOOKUP(B191,'Base stats'!B:B,'Base stats'!C:C)^(2/3))*10,5),5),5),30))-_xlfn.XLOOKUP(B191,'Base stats'!B:B,'Base stats'!P:P)+IF(CC191="True",5,0)</f>
        <v>-45</v>
      </c>
      <c r="M191" s="2">
        <f>IF(OR(_xlfn.XLOOKUP(_xlfn.XLOOKUP(B191,'Base stats'!B:B,'Base stats'!E:E),Groups!A:A,Groups!G:G)=2,ISNUMBER(SEARCH("Desert",BX191)),ISNUMBER(SEARCH("ExtremeDesert",BX191)),ISNUMBER(SEARCH("LavaField",BX191))),50,IF(ISNUMBER(SEARCH("Grasslands",BX191)),45,IF(OR(_xlfn.XLOOKUP(_xlfn.XLOOKUP(B191,'Base stats'!B:B,'Base stats'!E:E),Groups!A:A,Groups!G:G)=1,ISNUMBER(SEARCH("TropicalRainforest",BX191)),ISNUMBER(SEARCH("TropicalSwamp",BX191))),40,IF(OR(ISNUMBER(SEARCH("TemperateForest",BX191)),ISNUMBER(SEARCH("TemperateSwamp",BX191))),35,IF(OR(ISNUMBER(SEARCH("Alpine",BX191)),ISNUMBER(SEARCH("BorealForest",BX191)),ISNUMBER(SEARCH("ColdBog",BX191))),30,IF(ISNUMBER(OR(ISNUMBER(SEARCH("GlacialPlain",BX191)),SEARCH("Tundra",BX191))),25,IF(OR(ISNUMBER(SEARCH("SeaIce",BX191)),ISNUMBER(SEARCH("IceSheet",BX191)),ISNUMBER(SEARCH("TropicalSwamp",BX191))),10,35)))))))+_xlfn.XLOOKUP(B191,'Base stats'!B:B,'Base stats'!Q:Q)</f>
        <v>35</v>
      </c>
      <c r="N191" s="8" t="str">
        <f>IF(
_xlfn.XLOOKUP(
_xlfn.XLOOKUP(B191,'Base stats'!B:B,'Base stats'!E:E),
Groups!A:A,
Groups!L:L
)=1,
MIN(
MROUND(
IF(
_xlfn.XLOOKUP(B191,'Animals CE'!B:B,'Animals CE'!Z:Z)&lt;=1.5,
_xlfn.XLOOKUP(B191,'Animals CE'!B:B,'Animals CE'!Z:Z)/2+0.05,
0.8+
(_xlfn.XLOOKUP(B191,'Animals CE'!B:B,'Animals CE'!Z:Z)-1.5)
*0.02
),
0.05
),
200%
),
"No"
)</f>
        <v>No</v>
      </c>
      <c r="O191" s="8" t="str">
        <f>IF(
_xlfn.XLOOKUP(
_xlfn.XLOOKUP(B191,'Base stats'!B:B,'Base stats'!E:E),
Groups!A:A,
Groups!L:L
)=1,
MIN(
MROUND(
IF(
_xlfn.XLOOKUP(B191,'Animals CE'!B:B,'Animals CE'!AA:AA)&lt;=1.5,
_xlfn.XLOOKUP(B191,'Animals CE'!B:B,'Animals CE'!AA:AA)/2+0.05,
0.8+
(_xlfn.XLOOKUP(B191,'Animals CE'!B:B,'Animals CE'!AA:AA)-1.5)
*0.02
),
0.05
),
200%
),
"No"
)</f>
        <v>No</v>
      </c>
      <c r="P191" s="2" t="str">
        <f>_xlfn.XLOOKUP(B191,'Base stats'!B:B,'Base stats'!R:R)</f>
        <v>Standard</v>
      </c>
      <c r="Q191" s="13">
        <f>MROUND((LOG10(_xlfn.XLOOKUP(B191,'Base stats'!B:B,'Base stats'!AR:AR))*(AO191^0.5)+(_xlfn.XLOOKUP(B191,'Base stats'!B:B,'Base stats'!AR:AR)/1000)^(2/3)+_xlfn.XLOOKUP(B191,'Base stats'!B:B,'Base stats'!BA:BA)/2)+0.5,0.5)</f>
        <v>4</v>
      </c>
      <c r="R191" s="7">
        <f>IF(Q191="No","No",MAX(1,MROUND(_xlfn.XLOOKUP(B191,'Base stats'!B:B,'Base stats'!C:C)^0.165,0.05)))</f>
        <v>1.55</v>
      </c>
      <c r="S191" s="13" t="str">
        <f>IF(_xlfn.XLOOKUP(_xlfn.XLOOKUP(B191,'Base stats'!B:B,'Base stats'!E:E),Groups!A:A,Groups!P:P)=0,"No",MROUND((LOG10(_xlfn.XLOOKUP(B191,'Base stats'!B:B,'Base stats'!AS:AS))*(AO191^0.5)+(_xlfn.XLOOKUP(B191,'Base stats'!B:B,'Base stats'!AS:AS)/1000)^(2/3)+_xlfn.XLOOKUP(B191,'Base stats'!B:B,'Base stats'!BA:BA))+_xlfn.XLOOKUP(B191,'Base stats'!B:B,'Base stats'!AY:AY)+0.5,0.5))</f>
        <v>No</v>
      </c>
      <c r="T191" s="7" t="str">
        <f>IF(S191="No","No",MAX(_xlfn.XLOOKUP(_xlfn.XLOOKUP(B191,'Base stats'!B:B,'Base stats'!E:E),Groups!A:A,Groups!Q:Q),MROUND(_xlfn.XLOOKUP(_xlfn.XLOOKUP(B191,'Base stats'!B:B,'Base stats'!E:E),Groups!A:A,Groups!Q:Q)*_xlfn.XLOOKUP(B191,'Base stats'!B:B,'Base stats'!C:C)^0.165,0.05)))</f>
        <v>No</v>
      </c>
      <c r="U191" s="7" t="str">
        <f>IF(S191="No","No",_xlfn.XLOOKUP(_xlfn.XLOOKUP(B191,'Base stats'!B:B,'Base stats'!E:E),Groups!A:A,Groups!R:R))</f>
        <v>No</v>
      </c>
      <c r="V191" s="7" t="str">
        <f>IF(S191="No","No",_xlfn.XLOOKUP(_xlfn.XLOOKUP(B191,'Base stats'!B:B,'Base stats'!E:E),Groups!A:A,Groups!S:S))</f>
        <v>No</v>
      </c>
      <c r="W191" s="7" t="str">
        <f>IF(S191="No","No",_xlfn.XLOOKUP(_xlfn.XLOOKUP(B191,'Base stats'!B:B,'Base stats'!E:E),Groups!A:A,Groups!T:T))</f>
        <v>No</v>
      </c>
      <c r="X191" s="13" t="str">
        <f>IF(_xlfn.XLOOKUP(B191,'Base stats'!B:B,'Base stats'!W:W)="No","No",MROUND((LOG10(_xlfn.XLOOKUP(B191,'Base stats'!B:B,'Base stats'!AU:AU))*(AO191^0.5)+(_xlfn.XLOOKUP(B191,'Base stats'!B:B,'Base stats'!AU:AU)/1000)^(2/3)+_xlfn.XLOOKUP(B191,'Base stats'!B:B,'Base stats'!AZ:AZ))+0.5+IF(_xlfn.XLOOKUP(_xlfn.XLOOKUP(B191,'Base stats'!B:B,'Base stats'!E:E),Groups!A:A,Groups!U:U)&lt;&gt;3,_xlfn.XLOOKUP(B191,'Base stats'!B:B,'Base stats'!BA:BA),0),0.5))</f>
        <v>No</v>
      </c>
      <c r="Y191" s="7" t="str">
        <f>IF(X191="No","No",MAX(_xlfn.XLOOKUP(_xlfn.XLOOKUP(B191,'Base stats'!B:B,'Base stats'!E:E),Groups!A:A,Groups!V:V),MROUND(_xlfn.XLOOKUP(_xlfn.XLOOKUP(B191,'Base stats'!B:B,'Base stats'!E:E),Groups!A:A,Groups!V:V)*_xlfn.XLOOKUP(B191,'Base stats'!B:B,'Base stats'!C:C)^0.165,0.05)))</f>
        <v>No</v>
      </c>
      <c r="Z191" s="7" t="str">
        <f>IF(X191="No","No",_xlfn.XLOOKUP(_xlfn.XLOOKUP(B191,'Base stats'!B:B,'Base stats'!E:E),Groups!A:A,Groups!W:W))</f>
        <v>No</v>
      </c>
      <c r="AA191" s="7" t="str">
        <f>IF(X191="No","No",_xlfn.XLOOKUP(_xlfn.XLOOKUP(B191,'Base stats'!B:B,'Base stats'!E:E),Groups!A:A,Groups!X:X))</f>
        <v>No</v>
      </c>
      <c r="AB191" s="7" t="str">
        <f>IF(X191="No","No",_xlfn.XLOOKUP(_xlfn.XLOOKUP(B191,'Base stats'!B:B,'Base stats'!E:E),Groups!A:A,Groups!Y:Y))</f>
        <v>No</v>
      </c>
      <c r="AC191" s="7" t="str">
        <f>_xlfn.XLOOKUP(Animals!B191,'Base stats'!B:B,'Base stats'!X:X)</f>
        <v>False</v>
      </c>
      <c r="AD191" s="13">
        <f>IF(_xlfn.XLOOKUP(B191,'Base stats'!B:B,'Base stats'!AT:AT)="No","No",MROUND((LOG10(_xlfn.XLOOKUP(B191,'Base stats'!B:B,'Base stats'!AT:AT))*(AO191^0.75)+(_xlfn.XLOOKUP(B191,'Base stats'!B:B,'Base stats'!AT:AT)/1000)^(2/3)+_xlfn.XLOOKUP(B191,'Base stats'!B:B,'Base stats'!AX:AX)+_xlfn.XLOOKUP(B191,'Base stats'!B:B,'Base stats'!BA:BA))+0.5,0.5))</f>
        <v>6.5</v>
      </c>
      <c r="AE191" s="7">
        <f>IF(AD191="No","No",MAX(_xlfn.XLOOKUP(_xlfn.XLOOKUP(B191,'Base stats'!B:B,'Base stats'!E:E),Groups!A:A,Groups!Z:Z),MROUND(_xlfn.XLOOKUP(_xlfn.XLOOKUP(B191,'Base stats'!B:B,'Base stats'!E:E),Groups!A:A,Groups!Z:Z)*_xlfn.XLOOKUP(B191,'Base stats'!B:B,'Base stats'!C:C)^0.165,0.05)))</f>
        <v>1.2000000000000002</v>
      </c>
      <c r="AF191" s="7" t="str">
        <f>IF(AD191="No","No",_xlfn.XLOOKUP(_xlfn.XLOOKUP(B191,'Base stats'!B:B,'Base stats'!E:E),Groups!A:A,Groups!AA:AA))</f>
        <v>Teeth</v>
      </c>
      <c r="AG191" s="7" t="str">
        <f>IF(AD191="No","No",_xlfn.XLOOKUP(_xlfn.XLOOKUP(B191,'Base stats'!B:B,'Base stats'!E:E),Groups!A:A,Groups!AB:AB))</f>
        <v>canines</v>
      </c>
      <c r="AH191" s="7" t="str">
        <f>IF(AD191="No","No",_xlfn.XLOOKUP(_xlfn.XLOOKUP(B191,'Base stats'!B:B,'Base stats'!E:E),Groups!A:A,Groups!AC:AC))</f>
        <v>Bite</v>
      </c>
      <c r="AI191" s="13">
        <f>IF(_xlfn.XLOOKUP(_xlfn.XLOOKUP(B191,'Base stats'!B:B,'Base stats'!E:E),Groups!A:A,Groups!AD:AD)=0,"No",MROUND((LOG10(_xlfn.XLOOKUP(B191,'Base stats'!B:B,'Base stats'!AS:AS))*(AO191^0.75)+(_xlfn.XLOOKUP(B191,'Base stats'!B:B,'Base stats'!AS:AS)/1000)^(2/3)+_xlfn.XLOOKUP(B191,'Base stats'!B:B,'Base stats'!AY:AY)+_xlfn.XLOOKUP(B191,'Base stats'!B:B,'Base stats'!BA:BA))+0.5,0.5))</f>
        <v>6</v>
      </c>
      <c r="AJ191" s="7">
        <f>IF(AI191="No","No",MAX(_xlfn.XLOOKUP(_xlfn.XLOOKUP(B191,'Base stats'!B:B,'Base stats'!E:E),Groups!A:A,Groups!AE:AE),MROUND(_xlfn.XLOOKUP(_xlfn.XLOOKUP(B191,'Base stats'!B:B,'Base stats'!E:E),Groups!A:A,Groups!AE:AE)*IF(_xlfn.XLOOKUP(_xlfn.XLOOKUP(B191,'Base stats'!B:B,'Base stats'!E:E),Groups!A:A,Groups!AJ:AJ)="Photonozoa",0.6,1)*_xlfn.XLOOKUP(B191,'Base stats'!B:B,'Base stats'!C:C)^0.165,0.05)))</f>
        <v>1</v>
      </c>
      <c r="AK191" s="7" t="str">
        <f>IF(AI191="No","No",_xlfn.XLOOKUP(_xlfn.XLOOKUP(B191,'Base stats'!B:B,'Base stats'!E:E),Groups!A:A,Groups!AF:AF))</f>
        <v>FrontLeftPaw, FrontRightPaw</v>
      </c>
      <c r="AL191" s="7" t="str">
        <f>IF(AI191="No","No",_xlfn.XLOOKUP(_xlfn.XLOOKUP(B191,'Base stats'!B:B,'Base stats'!E:E),Groups!A:A,Groups!AG:AG))</f>
        <v>left claw, right claw</v>
      </c>
      <c r="AM191" s="7" t="str">
        <f>IF(AI191="No","No",_xlfn.XLOOKUP(_xlfn.XLOOKUP(B191,'Base stats'!B:B,'Base stats'!E:E),Groups!A:A,Groups!AH:AH))</f>
        <v>Scratch</v>
      </c>
      <c r="AN191" s="2" t="str">
        <f t="shared" si="14"/>
        <v>No</v>
      </c>
      <c r="AO191" s="2">
        <f>MROUND(IF(AND(_xlfn.XLOOKUP(B191,'Base stats'!B:B,'Base stats'!C:C)&gt;=0.5,_xlfn.XLOOKUP(B191,'Base stats'!B:B,'Base stats'!C:C)&lt;=0.8),
IF(_xlfn.XLOOKUP(B191,'Base stats'!B:B,'Base stats'!C:C)&lt;0.1,0.05,IF(_xlfn.XLOOKUP(B191,'Base stats'!B:B,'Base stats'!C:C)&lt;=70,(_xlfn.XLOOKUP(B191,'Base stats'!B:B,'Base stats'!C:C)/70)^0.426489913056526,IF(_xlfn.XLOOKUP(B191,'Base stats'!B:B,'Base stats'!C:C)&lt;=400,(_xlfn.XLOOKUP(B191,'Base stats'!B:B,'Base stats'!C:C)/70)^0.572811455315093,IF(_xlfn.XLOOKUP(B191,'Base stats'!B:B,'Base stats'!C:C)&lt;=2000,2.71391647193063*(_xlfn.XLOOKUP(B191,'Base stats'!B:B,'Base stats'!C:C)/400)^0.252459582904293,3.74314280240376*(_xlfn.XLOOKUP(B191,'Base stats'!B:B,'Base stats'!C:C)/2000)^0.357012633876913)))),
IF(_xlfn.XLOOKUP(B191,'Base stats'!B:B,'Base stats'!C:C)&lt;0.1,0.05,IF(_xlfn.XLOOKUP(B191,'Base stats'!B:B,'Base stats'!C:C)&lt;0.4,0.1,IF(_xlfn.XLOOKUP(B191,'Base stats'!B:B,'Base stats'!C:C)&lt;=70,(_xlfn.XLOOKUP(B191,'Base stats'!B:B,'Base stats'!C:C)/70)^0.445823913056526,IF(_xlfn.XLOOKUP(B191,'Base stats'!B:B,'Base stats'!C:C)&lt;=400,(_xlfn.XLOOKUP(B191,'Base stats'!B:B,'Base stats'!C:C)/70)^0.572811455315093,IF(_xlfn.XLOOKUP(B191,'Base stats'!B:B,'Base stats'!C:C)&lt;=2000,2.71391647193063*(_xlfn.XLOOKUP(B191,'Base stats'!B:B,'Base stats'!C:C)/400)^0.252459582904293,3.74314280240376*(_xlfn.XLOOKUP(B191,'Base stats'!B:B,'Base stats'!C:C)/2000)^0.357012633876913)))))),
IF(_xlfn.XLOOKUP(B191,'Base stats'!B:B,'Base stats'!C:C)&lt;0.1,0.05,IF(_xlfn.XLOOKUP(B191,'Base stats'!B:B,'Base stats'!C:C)&lt;=100,0.05,IF(_xlfn.XLOOKUP(B191,'Base stats'!B:B,'Base stats'!C:C)&lt;=250,0.1,IF(_xlfn.XLOOKUP(B191,'Base stats'!B:B,'Base stats'!C:C)&lt;=4000,0.25,0.5)))))</f>
        <v>0.45</v>
      </c>
      <c r="AP191" s="8">
        <f>MROUND(AO191*_xlfn.XLOOKUP(_xlfn.XLOOKUP(B191,'Base stats'!B:B,'Base stats'!E:E),Groups!A:A,Groups!AI:AI)*_xlfn.XLOOKUP(B191,'Base stats'!B:B,'Base stats'!Z:Z),0.05)</f>
        <v>0.55000000000000004</v>
      </c>
      <c r="AQ191" s="8">
        <f>MAX(0.01,MROUND(IF(CC191="True",0.196*(AO191*100*1000)^0.889,IF(_xlfn.XLOOKUP(_xlfn.XLOOKUP(B191,'Base stats'!B:B,'Base stats'!E:E),Groups!A:A,Groups!AJ:AJ)="Bird",10.5*(AO191*100*1000)^0.681,4.82*(AO191*100*1000)^0.734))/(4.82*(1*100*1000)^0.734)/IF(AO191&lt;3.5,2,IF(AO191=3.5,1.5,1.25))*(1+0.132282374779864/(AO191^0.994035016789033+0.00905238001496948)),0.05))</f>
        <v>0.35000000000000003</v>
      </c>
      <c r="AR191" s="9">
        <f>IFERROR(MROUND(_xlfn.XLOOKUP(B191,'Base stats'!B:B,'Base stats'!H:H)/IF(_xlfn.XLOOKUP(B191,'Base stats'!B:B,'Base stats'!I:I)&lt;&gt;1,(122.5/70),1.2),IF(_xlfn.XLOOKUP(B191,'Base stats'!B:B,'Base stats'!H:H)&gt;=30,5,IF(_xlfn.XLOOKUP(B191,'Base stats'!B:B,'Base stats'!H:H)&gt;=15,3,IF(_xlfn.XLOOKUP(B191,'Base stats'!B:B,'Base stats'!H:H)&gt;=10,2,1)))),"Immortal")</f>
        <v>12</v>
      </c>
      <c r="AS191" s="35">
        <f>IFERROR(IF(OR(_xlfn.XLOOKUP(B191,'Base stats'!B:B,'Base stats'!F:F)="Atypical reproduction",_xlfn.XLOOKUP(B191,'Base stats'!B:B,'Base stats'!F:F)="Lay eggs"),"Lay eggs",MIN(20,MAX(5.5,ROUND(((_xlfn.XLOOKUP(B191,'Base stats'!B:B,'Base stats'!F:F)-25)*(14.5/615) + 5.5)*2,0)/2))),"Unknown")</f>
        <v>6</v>
      </c>
      <c r="AT191" s="8">
        <f>IF(_xlfn.XLOOKUP(B191,'Base stats'!B:B,'Base stats'!G:G)="Atypical reproduction","No",IFERROR(MAX(IF(_xlfn.XLOOKUP(B191,'Base stats'!B:B,'Base stats'!G:G)&lt;0.5,0.2,0.3),MROUND(_xlfn.XLOOKUP(B191,'Base stats'!B:B,'Base stats'!G:G)/(365/60),0.2)),"Unknown"))</f>
        <v>0.3</v>
      </c>
      <c r="AU191" s="8">
        <f t="shared" si="15"/>
        <v>0.15000000000000002</v>
      </c>
      <c r="AV191" s="8">
        <f>IFERROR(IFERROR(MROUND(_xlfn.XLOOKUP(B191,'Base stats'!B:B,'Base stats'!J:J),0.1),"Lay eggs"),"Cannot breed")</f>
        <v>3</v>
      </c>
      <c r="AW191" s="2" t="str">
        <f t="shared" si="16"/>
        <v>false</v>
      </c>
      <c r="AX191" s="2" t="str">
        <f>IF(_xlfn.XLOOKUP(_xlfn.XLOOKUP(Animals!B191,'Base stats'!B:B,'Base stats'!E:E),Groups!A:A,Groups!AK:AK)=1,"true","false")</f>
        <v>false</v>
      </c>
      <c r="AY191" s="25" t="str">
        <f>IF(_xlfn.XLOOKUP(B191,'Base stats'!B:B,'Base stats'!Y:Y)="Liquor","Liquor, CarnivoreAnimalStrict",IF(AND(_xlfn.XLOOKUP(B191,'Base stats'!B:B,'Base stats'!Y:Y)="Carnivore",_xlfn.XLOOKUP(_xlfn.XLOOKUP(B191,'Base stats'!B:B,'Base stats'!E:E),Groups!A:A,Groups!AJ:AJ)="Photonozoa"),"CarnivoreAnimalStrict, OvivoreAnimal",IF(_xlfn.XLOOKUP(B191,'Base stats'!B:B,'Base stats'!Y:Y)="Carnivore","CarnivoreAnimal, OvivoreAnimal",IF(_xlfn.XLOOKUP(B191,'Base stats'!B:B,'Base stats'!Y:Y)="Dendrovore","VegetarianRoughAnimal, DendrovoreAnimal",IF(_xlfn.XLOOKUP(B191,'Base stats'!B:B,'Base stats'!Y:Y)="Herbivore","VegetarianRoughAnimal",IF(_xlfn.XLOOKUP(B191,'Base stats'!B:B,'Base stats'!Y:Y)="OmnivoreRough","OmnivoreRoughAnimal, OvivoreAnimal","OmnivoreAnimal, OvivoreAnimal"))))))</f>
        <v>OmnivoreRoughAnimal, OvivoreAnimal</v>
      </c>
      <c r="AZ191" s="2" t="str">
        <f>IF(_xlfn.XLOOKUP(_xlfn.XLOOKUP(B191,'Base stats'!B:B,'Base stats'!E:E),Groups!A:A,Groups!D:D)=1,MROUND((1-J191)*5+1,2)*IF(J191&lt;=0.4,2,1),"No")</f>
        <v>No</v>
      </c>
      <c r="BA191" s="2" t="str">
        <f>IF(AND(_xlfn.XLOOKUP(B191,'Base stats'!B:B,'Base stats'!AH:AH)="&lt;li&gt;Seal&lt;/li&gt;",G191="Odyssey"),"&lt;li&gt;AEXP_Seal&lt;/li&gt;",_xlfn.XLOOKUP(B191,'Base stats'!B:B,'Base stats'!AH:AH))</f>
        <v>No</v>
      </c>
      <c r="BB191" s="2" t="str">
        <f>_xlfn.XLOOKUP(B191,'Base stats'!B:B,'Base stats'!AG:AG)</f>
        <v>Leather_Light</v>
      </c>
      <c r="BC191" s="23" t="str">
        <f>_xlfn.XLOOKUP(_xlfn.XLOOKUP(B191,'Base stats'!B:B,'Base stats'!E:E),Groups!A:A,Groups!AL:AL)</f>
        <v>QuadrupedAnimalWithPawsAndTail</v>
      </c>
      <c r="BD191" s="23">
        <f>MIN(1,MROUND(IF(AND(AO191&lt;0.5,_xlfn.XLOOKUP(B191,'Base stats'!B:B,'Base stats'!AA:AA)=0),0,IF(OR(_xlfn.XLOOKUP(Animals!B191,'Base stats'!B:B,'Base stats'!O:O)=2,_xlfn.XLOOKUP(_xlfn.XLOOKUP(B191,'Base stats'!B:B,'Base stats'!E:E),Groups!A:A,Groups!AN:AN)=0),0,_xlfn.XLOOKUP(_xlfn.XLOOKUP(B191,'Base stats'!B:B,'Base stats'!E:E),Groups!A:A,Groups!AN:AN)/IF(_xlfn.XLOOKUP(Animals!B191,'Base stats'!B:B,'Base stats'!O:O)=1,2,1)))+_xlfn.XLOOKUP(B191,'Base stats'!B:B,'Base stats'!AC:AC),0.005))</f>
        <v>0</v>
      </c>
      <c r="BE191" s="23">
        <f>MIN(1,MROUND(IF(AND(AO191&lt;0.5,_xlfn.XLOOKUP(B191,'Base stats'!B:B,'Base stats'!AA:AA)=0),0,IF(_xlfn.XLOOKUP(_xlfn.XLOOKUP(B191,'Base stats'!B:B,'Base stats'!E:E),Groups!A:A,Groups!AO:AO)=0,0,_xlfn.XLOOKUP(_xlfn.XLOOKUP(B191,'Base stats'!B:B,'Base stats'!E:E),Groups!A:A,Groups!AO:AO)/IF(_xlfn.XLOOKUP(Animals!B191,'Base stats'!B:B,'Base stats'!O:O)=2,3,1)))+_xlfn.XLOOKUP(B191,'Base stats'!B:B,'Base stats'!AD:AD),0.005))</f>
        <v>0</v>
      </c>
      <c r="BF191" s="2" t="str">
        <f>IF(J191&gt;0.3,"No",_xlfn.XLOOKUP(_xlfn.XLOOKUP(Animals!B191,'Base stats'!B:B,'Base stats'!E:E),Groups!A:A,Groups!AP:AP))</f>
        <v>No</v>
      </c>
      <c r="BG191" s="2" t="str">
        <f>IF(AND(J191&lt;=0.65,_xlfn.XLOOKUP(_xlfn.XLOOKUP(Animals!B191,'Base stats'!B:B,'Base stats'!E:E),Groups!A:A,Groups!AP:AP)&lt;&gt;"No",_xlfn.XLOOKUP(_xlfn.XLOOKUP(B191,'Base stats'!B:B,'Base stats'!E:E),Groups!A:A,Groups!D:D)=0),MROUND((80/3)*IF(_xlfn.XLOOKUP(B191,'Base stats'!B:B,'Base stats'!O:O)=2,0.2,AO191) + 24*(1-IF(BF191="No",0,BF191)) + 16/3, 12),"No")</f>
        <v>No</v>
      </c>
      <c r="BH191" s="2">
        <f>IF(AND(_xlfn.XLOOKUP(_xlfn.XLOOKUP(B191,'Base stats'!B:B,'Base stats'!E:E),Groups!A:A,Groups!AQ:AQ)=1,AO191&lt;=0.35),8,12)</f>
        <v>12</v>
      </c>
      <c r="BI191" s="2" t="str">
        <f>IF(_xlfn.XLOOKUP(_xlfn.XLOOKUP(B191,'Base stats'!B:B,'Base stats'!E:E),Groups!A:A,Groups!D:D)=0,_xlfn.XLOOKUP(_xlfn.XLOOKUP(B191,'Base stats'!B:B,'Base stats'!E:E),Groups!A:A,Groups!AR:AR),"None")</f>
        <v>Intermediate</v>
      </c>
      <c r="BJ191" s="2" t="str">
        <f>IF(AND(_xlfn.XLOOKUP(_xlfn.XLOOKUP(B191,'Base stats'!B:B,'Base stats'!E:E),Groups!A:A,Groups!AS:AS)=1,OR(_xlfn.XLOOKUP(B191,'Base stats'!B:B,'Base stats'!Y:Y)="Carnivore",_xlfn.XLOOKUP(B191,'Base stats'!B:B,'Base stats'!Y:Y)="Omnivore")),"true","false")</f>
        <v>false</v>
      </c>
      <c r="BK191" s="2" t="str">
        <f>IF(BJ191="true",MROUND(IF(AND(AO191&gt;0.5,OR(_xlfn.XLOOKUP(_xlfn.XLOOKUP(B191,'Base stats'!B:B,'Base stats'!E:E),Groups!A:A,Groups!AJ:AJ)="Photonozoa",_xlfn.XLOOKUP(_xlfn.XLOOKUP(B191,'Base stats'!B:B,'Base stats'!E:E),Groups!A:A,Groups!AJ:AJ)="Mammal")),Animals!AO191*1.75*IF(AW191="true",1.5,1),IF(AO191&lt;0.5,Animals!AO191*0.5,Animals!AO191)),IF(AO191&gt;2,0.5,IF(AO191&gt;0.5,0.25,0.1))),"No")</f>
        <v>No</v>
      </c>
      <c r="BL191" s="2">
        <f t="shared" si="17"/>
        <v>1</v>
      </c>
      <c r="BM191" s="25" t="str">
        <f>IF(_xlfn.XLOOKUP(B191,'Base stats'!B:B,'Base stats'!AN:AN)="Standard","No",MROUND((_xlfn.XLOOKUP(B191,'Base stats'!B:B,'Base stats'!AN:AN)/3.6)/I191,0.1))</f>
        <v>No</v>
      </c>
      <c r="BN191" s="25" t="str">
        <f t="shared" si="18"/>
        <v>false</v>
      </c>
      <c r="BO191" s="25" t="str">
        <f>IF(AND(OR(_xlfn.XLOOKUP(B191,'Base stats'!B:B,'Base stats'!Y:Y)="Carnivore",_xlfn.XLOOKUP(B191,'Base stats'!B:B,'Base stats'!Y:Y)="Omnivore",_xlfn.XLOOKUP(B191,'Base stats'!B:B,'Base stats'!Y:Y)="OmnivoreRough"),_xlfn.XLOOKUP(_xlfn.XLOOKUP(B191,'Base stats'!B:B,'Base stats'!E:E),Groups!A:A,Groups!AT:AT)=1),"true","false")</f>
        <v>false</v>
      </c>
      <c r="BP191" s="25" t="str" cm="1">
        <f t="array" ref="BP191">IF(
  _xlfn.TEXTJOIN(", ",TRUE,
    IF(AND(BJ191="true",AO191&gt;0.5,BI191&lt;&gt;"None"),"AttackTarget",""),
    IF(AND(_xlfn.XLOOKUP(_xlfn.XLOOKUP(B191,'Base stats'!B:B,'Base stats'!E:E),Groups!A:A,Groups!AJ:AJ="Mammal"),OR(_xlfn.XLOOKUP(B191,'Base stats'!B:B,'Base stats'!Y:Y)="Omnivore",_xlfn.XLOOKUP(B191,'Base stats'!B:B,'Base stats'!Y:Y)="OmnivoreRough")),"Forage",""),
    IF(BG191&lt;=36,"Comfort",""),
    IF(_xlfn.XLOOKUP(B191,'Base stats'!B:B,'Base stats'!AE:AE)&lt;&gt;"No",_xlfn.XLOOKUP(B191,'Base stats'!B:B,'Base stats'!AE:AE),"")
  ) = "",
  "No",
  _xlfn.TEXTJOIN(", ",TRUE,
    IF(AND(BJ191="true",AO191&gt;0.5,BI191&lt;&gt;"None"),"AttackTarget",""),
    IF(AND(_xlfn.XLOOKUP(_xlfn.XLOOKUP(B191,'Base stats'!B:B,'Base stats'!E:E),Groups!A:A,Groups!AJ:AJ="Mammal"),OR(_xlfn.XLOOKUP(B191,'Base stats'!B:B,'Base stats'!Y:Y)="Omnivore",_xlfn.XLOOKUP(B191,'Base stats'!B:B,'Base stats'!Y:Y)="OmnivoreRough")),"Forage",""),
    IF(BG191&lt;=36,"Comfort",""),
    IF(_xlfn.XLOOKUP(B191,'Base stats'!B:B,'Base stats'!AE:AE)&lt;&gt;"No",_xlfn.XLOOKUP(B191,'Base stats'!B:B,'Base stats'!AE:AE),"")
  )
)</f>
        <v>Forage</v>
      </c>
      <c r="BQ191" s="25" t="str">
        <f>IF(
   AND(
      'Base stats'!AN191="Standard",_xlfn.XLOOKUP(_xlfn.XLOOKUP(B191,'Base stats'!B:B,'Base stats'!E:E),Groups!A:A,Groups!AU:AU)=0,
      OR(
      BO191="True"
      )
   ),
   10,
   IF(
       OR(BM191&lt;&gt;"No",_xlfn.XLOOKUP(_xlfn.XLOOKUP(B191,'Base stats'!B:B,'Base stats'!E:E),Groups!A:A,Groups!AU:AU)=1),
      1,
      "No"
   )
)</f>
        <v>No</v>
      </c>
      <c r="BR191" s="9">
        <f>MROUND((1 + ((0.2*IF(OR(Q191="No",R191="No",R191=0),0,Q191/R191)
+IF(OR(V191="No",S191="No",T191="No"),0,S191/T191*(LEN(V191)-LEN(SUBSTITUTE(V191,",",""))+1))
+IF(OR(X191="No",Y191="No"),0,X191/Y191)
+IF(OR(AD191="No",AE191="No"),0,AD191/AE191)
+IF(OR(AL191="No",AI191="No",AJ191="No"),0,AI191/AJ191*(LEN(AL191)-LEN(SUBSTITUTE(AL191,",",""))+1))
)/(0.2*IF(OR(Q191="No",R191="No",R191=0),0,1)
+IF(OR(V191="No",S191="No",T191="No"),0,LEN(V191)-LEN(SUBSTITUTE(V191,",",""))+1)
+IF(OR(X191="No",Y191="No"),0,1)
+IF(OR(AD191="No",AE191="No"),0,1)
+IF(OR(AL191="No",AI191="No",AJ191="No"),0,LEN(AL191)-LEN(SUBSTITUTE(AL191,",",""))+1))*62%)* 2)*(1 + (AP191 / (IF(_xlfn.XLOOKUP(_xlfn.XLOOKUP(B191,'Base stats'!B:B,'Base stats'!E:E),Groups!A:A,Groups!AJ:AJ)="Photonozoa",0.3,1)) + _xlfn.XLOOKUP(B191,'Base stats'!B:B,'Base stats'!AV:AV) * 1.8) * 2) * 2.5 + 10 + I191 * 2,5)+IF(_xlfn.XLOOKUP(B191,'Base stats'!B:B,'Base stats'!AK:AK)=1,50,0)</f>
        <v>60</v>
      </c>
      <c r="BS191" s="8">
        <f t="shared" si="19"/>
        <v>0.35000000000000003</v>
      </c>
      <c r="BT191" s="8" t="str">
        <f>_xlfn.XLOOKUP(B191,'Base stats'!B:B,'Base stats'!AF:AF)</f>
        <v>No</v>
      </c>
      <c r="BU191" s="2" t="str">
        <f>IF(AND(J191&lt;=0.95,OR(_xlfn.XLOOKUP(B191,'Base stats'!B:B,'Base stats'!AK:AK)=1,_xlfn.XLOOKUP(B191,'Base stats'!B:B,'Base stats'!Y:Y)="Carnivore",_xlfn.XLOOKUP(B191,'Base stats'!B:B,'Base stats'!Y:Y)="Omnivore",BE191&gt;0.1)),"true","false")</f>
        <v>false</v>
      </c>
      <c r="BV191" s="2" t="str">
        <f>IF(_xlfn.XLOOKUP(B191,'Base stats'!B:B,'Base stats'!AI:AI)=1,"true","false")</f>
        <v>false</v>
      </c>
      <c r="BW191" s="25" t="str">
        <f>IF(E191="BaseInsect","AnimalInsect",
IF(J191&gt;0.95,"AnimalExotic",
_xlfn.TEXTJOIN(", ",TRUE,
IF(OR(_xlfn.XLOOKUP(B191,'Base stats'!B:B,'Base stats'!AM:AM)=1,AND(_xlfn.XLOOKUP(B191,'Base stats'!B:B,'Base stats'!O:O)=0,_xlfn.XLOOKUP(_xlfn.XLOOKUP(B191,'Base stats'!B:B,'Base stats'!E:E),Groups!A:A,Groups!B:B)&gt;0)),"AnimalUncommon","AnimalCommon"),
IF(AND(_xlfn.XLOOKUP(B191,'Base stats'!B:B,'Base stats'!O:O)=2,_xlfn.XLOOKUP(_xlfn.XLOOKUP(B191,'Base stats'!B:B,'Base stats'!E:E),Groups!A:A,Groups!D:D)=0),"AnimalPet",IF(AND(_xlfn.XLOOKUP(B191,'Base stats'!B:B,'Base stats'!O:O)&lt;&gt;0,_xlfn.XLOOKUP(_xlfn.XLOOKUP(B191,'Base stats'!B:B,'Base stats'!E:E),Groups!A:A,Groups!D:D)&lt;&gt;0),"AnimalFarm","")),
IF(OR(_xlfn.XLOOKUP(B191,'Base stats'!B:B,'Base stats'!AK:AK)=1,AND(BI191&lt;&gt;"None",BR191&gt;=60),ISNUMBER(SEARCH("Attack target",BP191))),"AnimalFighter","")
)))</f>
        <v>AnimalUncommon, AnimalFighter</v>
      </c>
      <c r="BX191" s="25" t="str">
        <f>IF(G191="None",TRIM(
SUBSTITUTE(
IF(COUNTIF(Biomes!B$2:B$259,"="&amp;$C191)&gt;0,Biomes!B$1&amp;", ","")&amp;
IF(COUNTIF(Biomes!C$2:C$259,"="&amp;$C191)&gt;0,Biomes!C$1&amp;", ","")&amp;
IF(COUNTIF(Biomes!D$2:D$259,"="&amp;$C191)&gt;0,Biomes!D$1&amp;", ","")&amp;
IF(COUNTIF(Biomes!F$2:F$259,"="&amp;$C191)&gt;0,Biomes!F$1&amp;", ","")&amp;
IF(COUNTIF(Biomes!G$2:G$259,"="&amp;$C191)&gt;0,Biomes!G$1&amp;", ","")&amp;
IF(COUNTIF(Biomes!H$2:H$259,"="&amp;$C191)&gt;0,Biomes!H$1&amp;", ","")&amp;
IF(COUNTIF(Biomes!I$2:I$259,"="&amp;$C191)&gt;0,Biomes!I$1&amp;", ","")&amp;
IF(COUNTIF(Biomes!J$2:J$259,"="&amp;$C191)&gt;0,Biomes!J$1&amp;", ","")&amp;
IF(COUNTIF(Biomes!M$2:M$259,"="&amp;$C191)&gt;0,Biomes!M$1&amp;", ","")&amp;
IF(COUNTIF(Biomes!N$2:N$259,"="&amp;$C191)&gt;0,Biomes!N$1&amp;", ","")&amp;
IF(COUNTIF(Biomes!O$2:O$259,"="&amp;$C191)&gt;0,Biomes!O$1&amp;", ","")&amp;
IF(COUNTIF(Biomes!P$2:P$259,"="&amp;$C191)&gt;0,Biomes!P$1&amp;", ","")&amp;
IF(COUNTIF(Biomes!K$2:K$259,"="&amp;$C191)&gt;0,Biomes!K$1&amp;", ","")&amp;
IF(COUNTIF(Biomes!Q$3:Q$259,"="&amp;$C191)&gt;0,Biomes!Q$1&amp;", ","")&amp;
IF(COUNTIF(Biomes!L$2:L$259,"="&amp;$C191)&gt;0,Biomes!L$1&amp;", ","")&amp;
IF(COUNTIF(Biomes!E$2:E$259,"="&amp;$C191)&gt;0,Biomes!E$1&amp;", ","")&amp;IF(COUNTIF(Biomes!S$2:S$259,"="&amp;$C191)&gt;0,Biomes!S$1&amp;", ","")&amp;
IF(COUNTIF(Biomes!R$2:R$259,"="&amp;$C191)&gt;0,Biomes!R$1&amp;", ",""),", ","")
),_xlfn.XLOOKUP(B191,B:B,BX:BX))</f>
        <v>BorealForest ColdBog TemperateForest TemperateSwamp GlacialPlain</v>
      </c>
      <c r="BY191" s="25" t="str">
        <f>IF(_xlfn.XLOOKUP(B191,'Base stats'!B:B,'Base stats'!AJ:AJ)=1,"true","false")</f>
        <v>false</v>
      </c>
      <c r="BZ191" s="25">
        <f>IF(_xlfn.XLOOKUP(B191,'Base stats'!B:B,'Base stats'!N:N)=1,"No",MAX(0.001,MIN(MROUND(IF(AND(BJ191="True",CC191="False"),POWER(10,3.47*LOG10(_xlfn.XLOOKUP(B191,'Base stats'!B:B,'Base stats'!C:C)*1000)^-0.96),POWER(10,4.15*LOG10(_xlfn.XLOOKUP(B191,'Base stats'!B:B,'Base stats'!C:C)*1000)^-0.73))*IF(_xlfn.XLOOKUP(B191,'Base stats'!B:B,'Base stats'!AK:AK)=1,0.5,1)*IF(_xlfn.XLOOKUP(B191,'Base stats'!B:B,'Base stats'!AM:AM)=1,0.1,1)/100,IF(_xlfn.XLOOKUP(B191,'Base stats'!B:B,'Base stats'!AM:AM)=1,0.001,0.025)),0.5)))</f>
        <v>0.30000000000000004</v>
      </c>
      <c r="CA191" s="25" t="str">
        <f>IF(P191="Standard","No",MAX(0.001,MIN(MROUND(IF(AND(BJ191="True",CC191="False"),POWER(10,3.47*LOG10(_xlfn.XLOOKUP(B191,'Base stats'!B:B,'Base stats'!C:C)*1000)^-0.96),POWER(10,4.15*LOG10(_xlfn.XLOOKUP(B191,'Base stats'!B:B,'Base stats'!C:C)*1000)^-0.73))*IF(_xlfn.XLOOKUP(B191,'Base stats'!B:B,'Base stats'!AM:AM)=1,0.1,1)*_xlfn.XLOOKUP(B191,'Base stats'!B:B,'Base stats'!R:R)/100,IF(_xlfn.XLOOKUP(B191,'Base stats'!B:B,'Base stats'!AM:AM)=1,0.001,0.025)),0.5)))</f>
        <v>No</v>
      </c>
      <c r="CB191" s="25" t="str">
        <f>IF(_xlfn.XLOOKUP(_xlfn.XLOOKUP(B191,'Base stats'!B:B,'Base stats'!E:E),Groups!A:A,Groups!AJ:AJ)="Mammal","True","False")</f>
        <v>True</v>
      </c>
      <c r="CC191" s="25" t="str">
        <f>IF(OR(_xlfn.XLOOKUP(_xlfn.XLOOKUP(B191,'Base stats'!B:B,'Base stats'!E:E),Groups!A:A,Groups!AJ:AJ)="Reptile",_xlfn.XLOOKUP(_xlfn.XLOOKUP(B191,'Base stats'!B:B,'Base stats'!E:E),Groups!A:A,Groups!AJ:AJ)="Amphibian",_xlfn.XLOOKUP(_xlfn.XLOOKUP(B191,'Base stats'!B:B,'Base stats'!E:E),Groups!A:A,Groups!AJ:AJ)="Invertebrate"),"True","False")</f>
        <v>False</v>
      </c>
      <c r="CD191" s="25" t="str">
        <f t="shared" si="20"/>
        <v>False</v>
      </c>
      <c r="CE191" s="25" t="str">
        <f>IF(_xlfn.XLOOKUP(_xlfn.XLOOKUP(B191,'Base stats'!B:B,'Base stats'!E:E),Groups!A:A,Groups!AX:AX),"True","False")</f>
        <v>False</v>
      </c>
      <c r="CF191" s="25" t="str">
        <f>IF(_xlfn.XLOOKUP(_xlfn.XLOOKUP(B191,'Base stats'!B:B,'Base stats'!E:E),Groups!A:A,Groups!AY:AY),"True","False")</f>
        <v>False</v>
      </c>
      <c r="CG191" s="25" t="str">
        <f>IF(_xlfn.XLOOKUP(_xlfn.XLOOKUP(B191,'Base stats'!B:B,'Base stats'!E:E),Groups!A:A,Groups!AW:AW),"True","False")</f>
        <v>False</v>
      </c>
      <c r="CH191" s="25" t="str">
        <f>IF(
OR(
_xlfn.XLOOKUP(_xlfn.XLOOKUP(B191,'Base stats'!B:B,'Base stats'!E:E),Groups!A:A,Groups!AZ:AZ)=0,
AND(
_xlfn.XLOOKUP(B191,'Base stats'!B:B,'Base stats'!Y:Y)&lt;&gt;"Carnivore",
_xlfn.XLOOKUP(B191,'Base stats'!B:B,'Base stats'!Y:Y)&lt;&gt;"Omnivore",
_xlfn.XLOOKUP(B191,'Base stats'!B:B,'Base stats'!Y:Y)&lt;&gt;"OmnivoreRough"
)
),
"No",
IF(
_xlfn.XLOOKUP(_xlfn.XLOOKUP(B191,'Base stats'!B:B,'Base stats'!E:E),Groups!A:A,Groups!AZ:AZ)=1,
"Flesh",
IF(
_xlfn.XLOOKUP(_xlfn.XLOOKUP(B191,'Base stats'!B:B,'Base stats'!E:E),Groups!A:A,Groups!AZ:AZ)=2,
"Bone",
""
)
)
)</f>
        <v>No</v>
      </c>
      <c r="CI191" s="25" t="str">
        <f>IF(_xlfn.XLOOKUP(_xlfn.XLOOKUP(B191,'Base stats'!B:B,'Base stats'!E:E),Groups!A:A,Groups!BB:BB),"True","False")</f>
        <v>True</v>
      </c>
      <c r="CJ191" s="25" t="str">
        <f>IF(_xlfn.XLOOKUP(_xlfn.XLOOKUP(B191,'Base stats'!B:B,'Base stats'!E:E),Groups!A:A,Groups!BA:BA),"True","False")</f>
        <v>False</v>
      </c>
    </row>
    <row r="192" spans="1:88" s="16" customFormat="1" ht="16.5" thickTop="1" thickBot="1" x14ac:dyDescent="0.3">
      <c r="A192" s="26" t="str">
        <f>_xlfn.XLOOKUP(B192,'Base stats'!B:B,'Base stats'!A:A)</f>
        <v>Gorilla</v>
      </c>
      <c r="B192" s="6" t="s">
        <v>109</v>
      </c>
      <c r="C192" s="28" t="s">
        <v>1233</v>
      </c>
      <c r="D192" s="28" t="s">
        <v>872</v>
      </c>
      <c r="E192" s="28" t="s">
        <v>673</v>
      </c>
      <c r="F192" s="28" t="s">
        <v>673</v>
      </c>
      <c r="G192" s="28" t="s">
        <v>1228</v>
      </c>
      <c r="H192" s="2">
        <f>MROUND((
  (IF(AND(_xlfn.XLOOKUP(B192,'Base stats'!B:B,'Base stats'!AL:AL)=0,BI192="None",_xlfn.XLOOKUP(_xlfn.XLOOKUP(B192,'Base stats'!B:B,'Base stats'!E:E),Groups!A:A,Groups!B:B)=0), (18 + BR192 * 2.7) * 0.5,
    IF(AND(_xlfn.XLOOKUP(B192,'Base stats'!B:B,'Base stats'!AL:AL)=0,OR(AO192&lt;0.55,AND(BI192="Intermediate",_xlfn.XLOOKUP(_xlfn.XLOOKUP(B192,'Base stats'!B:B,'Base stats'!E:E),Groups!A:A,Groups!B:B)&lt;2))), (18 + BR192 * 2.7),
      IF(OR(BI192="Advanced",_xlfn.XLOOKUP(B192,'Base stats'!B:B,'Base stats'!AL:AL)=1,_xlfn.XLOOKUP(_xlfn.XLOOKUP(B192,'Base stats'!B:B,'Base stats'!E:E),Groups!A:A,Groups!B:B)=2), (18 + BR192 * 2.7) + 250, (18 + BR192 * 2.7))
    )
  ))
  + AO192 * 80
  + IF(COUNTIF(EggMilk!K$2:K$998, A192) &gt; 0, 125, 0)
  + IF(COUNTIF(EggMilk!P$2:P$998, A192) &gt; 0, 90, 0)
  + IF(COUNTIF(EggMilk!A$2:A$998, A192) &gt; 0, 90, 0)
)
* (0.8 + 0.4 * J192)
* 0.75,25)</f>
        <v>625</v>
      </c>
      <c r="I192" s="2">
        <f>MROUND(ROUNDDOWN(_xlfn.XLOOKUP(B192,'Base stats'!B:B,'Base stats'!L:L)/3.6/(23.3/11),1),0.5)</f>
        <v>4</v>
      </c>
      <c r="J192" s="2">
        <f>IF(OR(_xlfn.XLOOKUP(B192,'Base stats'!B:B,'Base stats'!AB:AB)=1,_xlfn.XLOOKUP(_xlfn.XLOOKUP(B192,'Base stats'!B:B,'Base stats'!E:E),Groups!A:A,Groups!C:C)="Untamable"),1,IF(_xlfn.XLOOKUP(B192,'Base stats'!B:B,'Base stats'!AL:AL)=1,0.99,MIN(MROUND((1-0.6282*EXP(-0.459*AO192))*_xlfn.XLOOKUP(_xlfn.XLOOKUP(B192,'Base stats'!B:B,'Base stats'!E:E),Groups!A:A,Groups!C:C)*IF(_xlfn.XLOOKUP(B192,'Base stats'!B:B,'Base stats'!O:O)=1,0.5,IF(_xlfn.XLOOKUP(B192,'Base stats'!B:B,'Base stats'!O:O)=2,0,1)),0.05),IF(AO192&gt;3.5,0.985,0.95))))</f>
        <v>0.9</v>
      </c>
      <c r="K192" s="2">
        <f>ROUNDUP(AO192*_xlfn.XLOOKUP(_xlfn.XLOOKUP(B192,'Base stats'!B:B,'Base stats'!E:E),Groups!A:A,Groups!E:E),0)</f>
        <v>2</v>
      </c>
      <c r="L192" s="2">
        <f>IF(OR(_xlfn.XLOOKUP(_xlfn.XLOOKUP(B192,'Base stats'!B:B,'Base stats'!E:E),Groups!A:A,Groups!F:F)=2,ISNUMBER(SEARCH("SeaIce",BX192)),ISNUMBER(SEARCH("IceSheet",BX192))),-50,IF(OR(ISNUMBER(SEARCH("GlacialPlain",BX192)),ISNUMBER(SEARCH("Tundra",BX192))),-40,IF(OR(ISNUMBER(SEARCH("Alpine",BX192)),ISNUMBER(SEARCH("BorealForest",BX192)),ISNUMBER(SEARCH("ColdBog",BX192))),-30,IF(OR(ISNUMBER(SEARCH("TemperateForest",BX192)),ISNUMBER(SEARCH("TemperateSwamp",BX192))),-20,IF(_xlfn.XLOOKUP(_xlfn.XLOOKUP(B192,'Base stats'!B:B,'Base stats'!E:E),Groups!A:A,Groups!F:F)=1,-15,IF(OR(ISNUMBER(SEARCH("Desert",BX192)),ISNUMBER(SEARCH("ExtremeDesert",BX192))),-10,IF(OR(ISNUMBER(SEARCH("Grasslands",BX192)),ISNUMBER(SEARCH("TropicalRainforest",BX192)),ISNUMBER(SEARCH("TropicalSwamp",BX192))),10,0)))))))-IF(CC192="False",MIN(IFERROR(MAX(MROUND(LOG10(_xlfn.XLOOKUP(B192,'Base stats'!B:B,'Base stats'!C:C)^(2/3))*10,5),5),5),30))-_xlfn.XLOOKUP(B192,'Base stats'!B:B,'Base stats'!P:P)+IF(CC192="True",5,0)</f>
        <v>-5</v>
      </c>
      <c r="M192" s="2">
        <f>IF(OR(_xlfn.XLOOKUP(_xlfn.XLOOKUP(B192,'Base stats'!B:B,'Base stats'!E:E),Groups!A:A,Groups!G:G)=2,ISNUMBER(SEARCH("Desert",BX192)),ISNUMBER(SEARCH("ExtremeDesert",BX192)),ISNUMBER(SEARCH("LavaField",BX192))),50,IF(ISNUMBER(SEARCH("Grasslands",BX192)),45,IF(OR(_xlfn.XLOOKUP(_xlfn.XLOOKUP(B192,'Base stats'!B:B,'Base stats'!E:E),Groups!A:A,Groups!G:G)=1,ISNUMBER(SEARCH("TropicalRainforest",BX192)),ISNUMBER(SEARCH("TropicalSwamp",BX192))),40,IF(OR(ISNUMBER(SEARCH("TemperateForest",BX192)),ISNUMBER(SEARCH("TemperateSwamp",BX192))),35,IF(OR(ISNUMBER(SEARCH("Alpine",BX192)),ISNUMBER(SEARCH("BorealForest",BX192)),ISNUMBER(SEARCH("ColdBog",BX192))),30,IF(ISNUMBER(OR(ISNUMBER(SEARCH("GlacialPlain",BX192)),SEARCH("Tundra",BX192))),25,IF(OR(ISNUMBER(SEARCH("SeaIce",BX192)),ISNUMBER(SEARCH("IceSheet",BX192)),ISNUMBER(SEARCH("TropicalSwamp",BX192))),10,35)))))))+_xlfn.XLOOKUP(B192,'Base stats'!B:B,'Base stats'!Q:Q)</f>
        <v>40</v>
      </c>
      <c r="N192" s="8" t="str">
        <f>IF(
_xlfn.XLOOKUP(
_xlfn.XLOOKUP(B192,'Base stats'!B:B,'Base stats'!E:E),
Groups!A:A,
Groups!L:L
)=1,
MIN(
MROUND(
IF(
_xlfn.XLOOKUP(B192,'Animals CE'!B:B,'Animals CE'!Z:Z)&lt;=1.5,
_xlfn.XLOOKUP(B192,'Animals CE'!B:B,'Animals CE'!Z:Z)/2+0.05,
0.8+
(_xlfn.XLOOKUP(B192,'Animals CE'!B:B,'Animals CE'!Z:Z)-1.5)
*0.02
),
0.05
),
200%
),
"No"
)</f>
        <v>No</v>
      </c>
      <c r="O192" s="8" t="str">
        <f>IF(
_xlfn.XLOOKUP(
_xlfn.XLOOKUP(B192,'Base stats'!B:B,'Base stats'!E:E),
Groups!A:A,
Groups!L:L
)=1,
MIN(
MROUND(
IF(
_xlfn.XLOOKUP(B192,'Animals CE'!B:B,'Animals CE'!AA:AA)&lt;=1.5,
_xlfn.XLOOKUP(B192,'Animals CE'!B:B,'Animals CE'!AA:AA)/2+0.05,
0.8+
(_xlfn.XLOOKUP(B192,'Animals CE'!B:B,'Animals CE'!AA:AA)-1.5)
*0.02
),
0.05
),
200%
),
"No"
)</f>
        <v>No</v>
      </c>
      <c r="P192" s="2" t="str">
        <f>_xlfn.XLOOKUP(B192,'Base stats'!B:B,'Base stats'!R:R)</f>
        <v>Standard</v>
      </c>
      <c r="Q192" s="13">
        <f>MROUND((LOG10(_xlfn.XLOOKUP(B192,'Base stats'!B:B,'Base stats'!AR:AR))*(AO192^0.5)+(_xlfn.XLOOKUP(B192,'Base stats'!B:B,'Base stats'!AR:AR)/1000)^(2/3)+_xlfn.XLOOKUP(B192,'Base stats'!B:B,'Base stats'!BA:BA)/2)+0.5,0.5)</f>
        <v>9.5</v>
      </c>
      <c r="R192" s="7">
        <f>IF(Q192="No","No",MAX(1,MROUND(_xlfn.XLOOKUP(B192,'Base stats'!B:B,'Base stats'!C:C)^0.165,0.05)))</f>
        <v>2.3000000000000003</v>
      </c>
      <c r="S192" s="13" t="str">
        <f>IF(_xlfn.XLOOKUP(_xlfn.XLOOKUP(B192,'Base stats'!B:B,'Base stats'!E:E),Groups!A:A,Groups!P:P)=0,"No",MROUND((LOG10(_xlfn.XLOOKUP(B192,'Base stats'!B:B,'Base stats'!AS:AS))*(AO192^0.5)+(_xlfn.XLOOKUP(B192,'Base stats'!B:B,'Base stats'!AS:AS)/1000)^(2/3)+_xlfn.XLOOKUP(B192,'Base stats'!B:B,'Base stats'!BA:BA))+_xlfn.XLOOKUP(B192,'Base stats'!B:B,'Base stats'!AY:AY)+0.5,0.5))</f>
        <v>No</v>
      </c>
      <c r="T192" s="7" t="str">
        <f>IF(S192="No","No",MAX(_xlfn.XLOOKUP(_xlfn.XLOOKUP(B192,'Base stats'!B:B,'Base stats'!E:E),Groups!A:A,Groups!Q:Q),MROUND(_xlfn.XLOOKUP(_xlfn.XLOOKUP(B192,'Base stats'!B:B,'Base stats'!E:E),Groups!A:A,Groups!Q:Q)*_xlfn.XLOOKUP(B192,'Base stats'!B:B,'Base stats'!C:C)^0.165,0.05)))</f>
        <v>No</v>
      </c>
      <c r="U192" s="7" t="str">
        <f>IF(S192="No","No",_xlfn.XLOOKUP(_xlfn.XLOOKUP(B192,'Base stats'!B:B,'Base stats'!E:E),Groups!A:A,Groups!R:R))</f>
        <v>No</v>
      </c>
      <c r="V192" s="7" t="str">
        <f>IF(S192="No","No",_xlfn.XLOOKUP(_xlfn.XLOOKUP(B192,'Base stats'!B:B,'Base stats'!E:E),Groups!A:A,Groups!S:S))</f>
        <v>No</v>
      </c>
      <c r="W192" s="7" t="str">
        <f>IF(S192="No","No",_xlfn.XLOOKUP(_xlfn.XLOOKUP(B192,'Base stats'!B:B,'Base stats'!E:E),Groups!A:A,Groups!T:T))</f>
        <v>No</v>
      </c>
      <c r="X192" s="13" t="str">
        <f>IF(_xlfn.XLOOKUP(B192,'Base stats'!B:B,'Base stats'!W:W)="No","No",MROUND((LOG10(_xlfn.XLOOKUP(B192,'Base stats'!B:B,'Base stats'!AU:AU))*(AO192^0.5)+(_xlfn.XLOOKUP(B192,'Base stats'!B:B,'Base stats'!AU:AU)/1000)^(2/3)+_xlfn.XLOOKUP(B192,'Base stats'!B:B,'Base stats'!AZ:AZ))+0.5+IF(_xlfn.XLOOKUP(_xlfn.XLOOKUP(B192,'Base stats'!B:B,'Base stats'!E:E),Groups!A:A,Groups!U:U)&lt;&gt;3,_xlfn.XLOOKUP(B192,'Base stats'!B:B,'Base stats'!BA:BA),0),0.5))</f>
        <v>No</v>
      </c>
      <c r="Y192" s="7" t="str">
        <f>IF(X192="No","No",MAX(_xlfn.XLOOKUP(_xlfn.XLOOKUP(B192,'Base stats'!B:B,'Base stats'!E:E),Groups!A:A,Groups!V:V),MROUND(_xlfn.XLOOKUP(_xlfn.XLOOKUP(B192,'Base stats'!B:B,'Base stats'!E:E),Groups!A:A,Groups!V:V)*_xlfn.XLOOKUP(B192,'Base stats'!B:B,'Base stats'!C:C)^0.165,0.05)))</f>
        <v>No</v>
      </c>
      <c r="Z192" s="7" t="str">
        <f>IF(X192="No","No",_xlfn.XLOOKUP(_xlfn.XLOOKUP(B192,'Base stats'!B:B,'Base stats'!E:E),Groups!A:A,Groups!W:W))</f>
        <v>No</v>
      </c>
      <c r="AA192" s="7" t="str">
        <f>IF(X192="No","No",_xlfn.XLOOKUP(_xlfn.XLOOKUP(B192,'Base stats'!B:B,'Base stats'!E:E),Groups!A:A,Groups!X:X))</f>
        <v>No</v>
      </c>
      <c r="AB192" s="7" t="str">
        <f>IF(X192="No","No",_xlfn.XLOOKUP(_xlfn.XLOOKUP(B192,'Base stats'!B:B,'Base stats'!E:E),Groups!A:A,Groups!Y:Y))</f>
        <v>No</v>
      </c>
      <c r="AC192" s="7" t="str">
        <f>_xlfn.XLOOKUP(Animals!B192,'Base stats'!B:B,'Base stats'!X:X)</f>
        <v>False</v>
      </c>
      <c r="AD192" s="13">
        <f>IF(_xlfn.XLOOKUP(B192,'Base stats'!B:B,'Base stats'!AT:AT)="No","No",MROUND((LOG10(_xlfn.XLOOKUP(B192,'Base stats'!B:B,'Base stats'!AT:AT))*(AO192^0.75)+(_xlfn.XLOOKUP(B192,'Base stats'!B:B,'Base stats'!AT:AT)/1000)^(2/3)+_xlfn.XLOOKUP(B192,'Base stats'!B:B,'Base stats'!AX:AX)+_xlfn.XLOOKUP(B192,'Base stats'!B:B,'Base stats'!BA:BA))+0.5,0.5))</f>
        <v>14.5</v>
      </c>
      <c r="AE192" s="7">
        <f>IF(AD192="No","No",MAX(_xlfn.XLOOKUP(_xlfn.XLOOKUP(B192,'Base stats'!B:B,'Base stats'!E:E),Groups!A:A,Groups!Z:Z),MROUND(_xlfn.XLOOKUP(_xlfn.XLOOKUP(B192,'Base stats'!B:B,'Base stats'!E:E),Groups!A:A,Groups!Z:Z)*_xlfn.XLOOKUP(B192,'Base stats'!B:B,'Base stats'!C:C)^0.165,0.05)))</f>
        <v>1.9500000000000002</v>
      </c>
      <c r="AF192" s="7" t="str">
        <f>IF(AD192="No","No",_xlfn.XLOOKUP(_xlfn.XLOOKUP(B192,'Base stats'!B:B,'Base stats'!E:E),Groups!A:A,Groups!AA:AA))</f>
        <v>Teeth</v>
      </c>
      <c r="AG192" s="7" t="str">
        <f>IF(AD192="No","No",_xlfn.XLOOKUP(_xlfn.XLOOKUP(B192,'Base stats'!B:B,'Base stats'!E:E),Groups!A:A,Groups!AB:AB))</f>
        <v>canines</v>
      </c>
      <c r="AH192" s="7" t="str">
        <f>IF(AD192="No","No",_xlfn.XLOOKUP(_xlfn.XLOOKUP(B192,'Base stats'!B:B,'Base stats'!E:E),Groups!A:A,Groups!AC:AC))</f>
        <v>Bite</v>
      </c>
      <c r="AI192" s="13">
        <f>IF(_xlfn.XLOOKUP(_xlfn.XLOOKUP(B192,'Base stats'!B:B,'Base stats'!E:E),Groups!A:A,Groups!AD:AD)=0,"No",MROUND((LOG10(_xlfn.XLOOKUP(B192,'Base stats'!B:B,'Base stats'!AS:AS))*(AO192^0.75)+(_xlfn.XLOOKUP(B192,'Base stats'!B:B,'Base stats'!AS:AS)/1000)^(2/3)+_xlfn.XLOOKUP(B192,'Base stats'!B:B,'Base stats'!AY:AY)+_xlfn.XLOOKUP(B192,'Base stats'!B:B,'Base stats'!BA:BA))+0.5,0.5))</f>
        <v>12.5</v>
      </c>
      <c r="AJ192" s="7">
        <f>IF(AI192="No","No",MAX(_xlfn.XLOOKUP(_xlfn.XLOOKUP(B192,'Base stats'!B:B,'Base stats'!E:E),Groups!A:A,Groups!AE:AE),MROUND(_xlfn.XLOOKUP(_xlfn.XLOOKUP(B192,'Base stats'!B:B,'Base stats'!E:E),Groups!A:A,Groups!AE:AE)*IF(_xlfn.XLOOKUP(_xlfn.XLOOKUP(B192,'Base stats'!B:B,'Base stats'!E:E),Groups!A:A,Groups!AJ:AJ)="Photonozoa",0.6,1)*_xlfn.XLOOKUP(B192,'Base stats'!B:B,'Base stats'!C:C)^0.165,0.05)))</f>
        <v>1.5</v>
      </c>
      <c r="AK192" s="7" t="str">
        <f>IF(AI192="No","No",_xlfn.XLOOKUP(_xlfn.XLOOKUP(B192,'Base stats'!B:B,'Base stats'!E:E),Groups!A:A,Groups!AF:AF))</f>
        <v>LeftHand, RightHand</v>
      </c>
      <c r="AL192" s="7" t="str">
        <f>IF(AI192="No","No",_xlfn.XLOOKUP(_xlfn.XLOOKUP(B192,'Base stats'!B:B,'Base stats'!E:E),Groups!A:A,Groups!AG:AG))</f>
        <v>left fist, right fist</v>
      </c>
      <c r="AM192" s="7" t="str">
        <f>IF(AI192="No","No",_xlfn.XLOOKUP(_xlfn.XLOOKUP(B192,'Base stats'!B:B,'Base stats'!E:E),Groups!A:A,Groups!AH:AH))</f>
        <v>Blunt</v>
      </c>
      <c r="AN192" s="2" t="str">
        <f t="shared" si="14"/>
        <v>No</v>
      </c>
      <c r="AO192" s="2">
        <f>MROUND(IF(AND(_xlfn.XLOOKUP(B192,'Base stats'!B:B,'Base stats'!C:C)&gt;=0.5,_xlfn.XLOOKUP(B192,'Base stats'!B:B,'Base stats'!C:C)&lt;=0.8),
IF(_xlfn.XLOOKUP(B192,'Base stats'!B:B,'Base stats'!C:C)&lt;0.1,0.05,IF(_xlfn.XLOOKUP(B192,'Base stats'!B:B,'Base stats'!C:C)&lt;=70,(_xlfn.XLOOKUP(B192,'Base stats'!B:B,'Base stats'!C:C)/70)^0.426489913056526,IF(_xlfn.XLOOKUP(B192,'Base stats'!B:B,'Base stats'!C:C)&lt;=400,(_xlfn.XLOOKUP(B192,'Base stats'!B:B,'Base stats'!C:C)/70)^0.572811455315093,IF(_xlfn.XLOOKUP(B192,'Base stats'!B:B,'Base stats'!C:C)&lt;=2000,2.71391647193063*(_xlfn.XLOOKUP(B192,'Base stats'!B:B,'Base stats'!C:C)/400)^0.252459582904293,3.74314280240376*(_xlfn.XLOOKUP(B192,'Base stats'!B:B,'Base stats'!C:C)/2000)^0.357012633876913)))),
IF(_xlfn.XLOOKUP(B192,'Base stats'!B:B,'Base stats'!C:C)&lt;0.1,0.05,IF(_xlfn.XLOOKUP(B192,'Base stats'!B:B,'Base stats'!C:C)&lt;0.4,0.1,IF(_xlfn.XLOOKUP(B192,'Base stats'!B:B,'Base stats'!C:C)&lt;=70,(_xlfn.XLOOKUP(B192,'Base stats'!B:B,'Base stats'!C:C)/70)^0.445823913056526,IF(_xlfn.XLOOKUP(B192,'Base stats'!B:B,'Base stats'!C:C)&lt;=400,(_xlfn.XLOOKUP(B192,'Base stats'!B:B,'Base stats'!C:C)/70)^0.572811455315093,IF(_xlfn.XLOOKUP(B192,'Base stats'!B:B,'Base stats'!C:C)&lt;=2000,2.71391647193063*(_xlfn.XLOOKUP(B192,'Base stats'!B:B,'Base stats'!C:C)/400)^0.252459582904293,3.74314280240376*(_xlfn.XLOOKUP(B192,'Base stats'!B:B,'Base stats'!C:C)/2000)^0.357012633876913)))))),
IF(_xlfn.XLOOKUP(B192,'Base stats'!B:B,'Base stats'!C:C)&lt;0.1,0.05,IF(_xlfn.XLOOKUP(B192,'Base stats'!B:B,'Base stats'!C:C)&lt;=100,0.05,IF(_xlfn.XLOOKUP(B192,'Base stats'!B:B,'Base stats'!C:C)&lt;=250,0.1,IF(_xlfn.XLOOKUP(B192,'Base stats'!B:B,'Base stats'!C:C)&lt;=4000,0.25,0.5)))))</f>
        <v>1.5</v>
      </c>
      <c r="AP192" s="8">
        <f>MROUND(AO192*_xlfn.XLOOKUP(_xlfn.XLOOKUP(B192,'Base stats'!B:B,'Base stats'!E:E),Groups!A:A,Groups!AI:AI)*_xlfn.XLOOKUP(B192,'Base stats'!B:B,'Base stats'!Z:Z),0.05)</f>
        <v>1.5</v>
      </c>
      <c r="AQ192" s="8">
        <f>MAX(0.01,MROUND(IF(CC192="True",0.196*(AO192*100*1000)^0.889,IF(_xlfn.XLOOKUP(_xlfn.XLOOKUP(B192,'Base stats'!B:B,'Base stats'!E:E),Groups!A:A,Groups!AJ:AJ)="Bird",10.5*(AO192*100*1000)^0.681,4.82*(AO192*100*1000)^0.734))/(4.82*(1*100*1000)^0.734)/IF(AO192&lt;3.5,2,IF(AO192=3.5,1.5,1.25))*(1+0.132282374779864/(AO192^0.994035016789033+0.00905238001496948)),0.05))</f>
        <v>0.75</v>
      </c>
      <c r="AR192" s="9">
        <f>IFERROR(MROUND(_xlfn.XLOOKUP(B192,'Base stats'!B:B,'Base stats'!H:H)/IF(_xlfn.XLOOKUP(B192,'Base stats'!B:B,'Base stats'!I:I)&lt;&gt;1,(122.5/70),1.2),IF(_xlfn.XLOOKUP(B192,'Base stats'!B:B,'Base stats'!H:H)&gt;=30,5,IF(_xlfn.XLOOKUP(B192,'Base stats'!B:B,'Base stats'!H:H)&gt;=15,3,IF(_xlfn.XLOOKUP(B192,'Base stats'!B:B,'Base stats'!H:H)&gt;=10,2,1)))),"Immortal")</f>
        <v>50</v>
      </c>
      <c r="AS192" s="35">
        <f>IFERROR(IF(OR(_xlfn.XLOOKUP(B192,'Base stats'!B:B,'Base stats'!F:F)="Atypical reproduction",_xlfn.XLOOKUP(B192,'Base stats'!B:B,'Base stats'!F:F)="Lay eggs"),"Lay eggs",MIN(20,MAX(5.5,ROUND(((_xlfn.XLOOKUP(B192,'Base stats'!B:B,'Base stats'!F:F)-25)*(14.5/615) + 5.5)*2,0)/2))),"Unknown")</f>
        <v>11</v>
      </c>
      <c r="AT192" s="8">
        <f>IF(_xlfn.XLOOKUP(B192,'Base stats'!B:B,'Base stats'!G:G)="Atypical reproduction","No",IFERROR(MAX(IF(_xlfn.XLOOKUP(B192,'Base stats'!B:B,'Base stats'!G:G)&lt;0.5,0.2,0.3),MROUND(_xlfn.XLOOKUP(B192,'Base stats'!B:B,'Base stats'!G:G)/(365/60),0.2)),"Unknown"))</f>
        <v>1.2000000000000002</v>
      </c>
      <c r="AU192" s="8">
        <f t="shared" si="15"/>
        <v>0.60000000000000009</v>
      </c>
      <c r="AV192" s="8">
        <f>IFERROR(IFERROR(MROUND(_xlfn.XLOOKUP(B192,'Base stats'!B:B,'Base stats'!J:J),0.1),"Lay eggs"),"Cannot breed")</f>
        <v>1</v>
      </c>
      <c r="AW192" s="2" t="str">
        <f t="shared" si="16"/>
        <v>true</v>
      </c>
      <c r="AX192" s="2" t="str">
        <f>IF(_xlfn.XLOOKUP(_xlfn.XLOOKUP(Animals!B192,'Base stats'!B:B,'Base stats'!E:E),Groups!A:A,Groups!AK:AK)=1,"true","false")</f>
        <v>false</v>
      </c>
      <c r="AY192" s="25" t="str">
        <f>IF(_xlfn.XLOOKUP(B192,'Base stats'!B:B,'Base stats'!Y:Y)="Liquor","Liquor, CarnivoreAnimalStrict",IF(AND(_xlfn.XLOOKUP(B192,'Base stats'!B:B,'Base stats'!Y:Y)="Carnivore",_xlfn.XLOOKUP(_xlfn.XLOOKUP(B192,'Base stats'!B:B,'Base stats'!E:E),Groups!A:A,Groups!AJ:AJ)="Photonozoa"),"CarnivoreAnimalStrict, OvivoreAnimal",IF(_xlfn.XLOOKUP(B192,'Base stats'!B:B,'Base stats'!Y:Y)="Carnivore","CarnivoreAnimal, OvivoreAnimal",IF(_xlfn.XLOOKUP(B192,'Base stats'!B:B,'Base stats'!Y:Y)="Dendrovore","VegetarianRoughAnimal, DendrovoreAnimal",IF(_xlfn.XLOOKUP(B192,'Base stats'!B:B,'Base stats'!Y:Y)="Herbivore","VegetarianRoughAnimal",IF(_xlfn.XLOOKUP(B192,'Base stats'!B:B,'Base stats'!Y:Y)="OmnivoreRough","OmnivoreRoughAnimal, OvivoreAnimal","OmnivoreAnimal, OvivoreAnimal"))))))</f>
        <v>VegetarianRoughAnimal</v>
      </c>
      <c r="AZ192" s="2" t="str">
        <f>IF(_xlfn.XLOOKUP(_xlfn.XLOOKUP(B192,'Base stats'!B:B,'Base stats'!E:E),Groups!A:A,Groups!D:D)=1,MROUND((1-J192)*5+1,2)*IF(J192&lt;=0.4,2,1),"No")</f>
        <v>No</v>
      </c>
      <c r="BA192" s="2" t="str">
        <f>IF(AND(_xlfn.XLOOKUP(B192,'Base stats'!B:B,'Base stats'!AH:AH)="&lt;li&gt;Seal&lt;/li&gt;",G192="Odyssey"),"&lt;li&gt;AEXP_Seal&lt;/li&gt;",_xlfn.XLOOKUP(B192,'Base stats'!B:B,'Base stats'!AH:AH))</f>
        <v>&lt;li&gt;Monkey&lt;/li&gt;</v>
      </c>
      <c r="BB192" s="2" t="str">
        <f>_xlfn.XLOOKUP(B192,'Base stats'!B:B,'Base stats'!AG:AG)</f>
        <v>Leather_Light</v>
      </c>
      <c r="BC192" s="23" t="str">
        <f>_xlfn.XLOOKUP(_xlfn.XLOOKUP(B192,'Base stats'!B:B,'Base stats'!E:E),Groups!A:A,Groups!AL:AL)</f>
        <v>Ape</v>
      </c>
      <c r="BD192" s="23">
        <f>MIN(1,MROUND(IF(AND(AO192&lt;0.5,_xlfn.XLOOKUP(B192,'Base stats'!B:B,'Base stats'!AA:AA)=0),0,IF(OR(_xlfn.XLOOKUP(Animals!B192,'Base stats'!B:B,'Base stats'!O:O)=2,_xlfn.XLOOKUP(_xlfn.XLOOKUP(B192,'Base stats'!B:B,'Base stats'!E:E),Groups!A:A,Groups!AN:AN)=0),0,_xlfn.XLOOKUP(_xlfn.XLOOKUP(B192,'Base stats'!B:B,'Base stats'!E:E),Groups!A:A,Groups!AN:AN)/IF(_xlfn.XLOOKUP(Animals!B192,'Base stats'!B:B,'Base stats'!O:O)=1,2,1)))+_xlfn.XLOOKUP(B192,'Base stats'!B:B,'Base stats'!AC:AC),0.005))</f>
        <v>2.5000000000000001E-2</v>
      </c>
      <c r="BE192" s="23">
        <f>MIN(1,MROUND(IF(AND(AO192&lt;0.5,_xlfn.XLOOKUP(B192,'Base stats'!B:B,'Base stats'!AA:AA)=0),0,IF(_xlfn.XLOOKUP(_xlfn.XLOOKUP(B192,'Base stats'!B:B,'Base stats'!E:E),Groups!A:A,Groups!AO:AO)=0,0,_xlfn.XLOOKUP(_xlfn.XLOOKUP(B192,'Base stats'!B:B,'Base stats'!E:E),Groups!A:A,Groups!AO:AO)/IF(_xlfn.XLOOKUP(Animals!B192,'Base stats'!B:B,'Base stats'!O:O)=2,3,1)))+_xlfn.XLOOKUP(B192,'Base stats'!B:B,'Base stats'!AD:AD),0.005))</f>
        <v>0.1</v>
      </c>
      <c r="BF192" s="2" t="str">
        <f>IF(J192&gt;0.3,"No",_xlfn.XLOOKUP(_xlfn.XLOOKUP(Animals!B192,'Base stats'!B:B,'Base stats'!E:E),Groups!A:A,Groups!AP:AP))</f>
        <v>No</v>
      </c>
      <c r="BG192" s="2" t="str">
        <f>IF(AND(J192&lt;=0.65,_xlfn.XLOOKUP(_xlfn.XLOOKUP(Animals!B192,'Base stats'!B:B,'Base stats'!E:E),Groups!A:A,Groups!AP:AP)&lt;&gt;"No",_xlfn.XLOOKUP(_xlfn.XLOOKUP(B192,'Base stats'!B:B,'Base stats'!E:E),Groups!A:A,Groups!D:D)=0),MROUND((80/3)*IF(_xlfn.XLOOKUP(B192,'Base stats'!B:B,'Base stats'!O:O)=2,0.2,AO192) + 24*(1-IF(BF192="No",0,BF192)) + 16/3, 12),"No")</f>
        <v>No</v>
      </c>
      <c r="BH192" s="2">
        <f>IF(AND(_xlfn.XLOOKUP(_xlfn.XLOOKUP(B192,'Base stats'!B:B,'Base stats'!E:E),Groups!A:A,Groups!AQ:AQ)=1,AO192&lt;=0.35),8,12)</f>
        <v>12</v>
      </c>
      <c r="BI192" s="2" t="str">
        <f>IF(_xlfn.XLOOKUP(_xlfn.XLOOKUP(B192,'Base stats'!B:B,'Base stats'!E:E),Groups!A:A,Groups!D:D)=0,_xlfn.XLOOKUP(_xlfn.XLOOKUP(B192,'Base stats'!B:B,'Base stats'!E:E),Groups!A:A,Groups!AR:AR),"None")</f>
        <v>Advanced</v>
      </c>
      <c r="BJ192" s="2" t="str">
        <f>IF(AND(_xlfn.XLOOKUP(_xlfn.XLOOKUP(B192,'Base stats'!B:B,'Base stats'!E:E),Groups!A:A,Groups!AS:AS)=1,OR(_xlfn.XLOOKUP(B192,'Base stats'!B:B,'Base stats'!Y:Y)="Carnivore",_xlfn.XLOOKUP(B192,'Base stats'!B:B,'Base stats'!Y:Y)="Omnivore")),"true","false")</f>
        <v>false</v>
      </c>
      <c r="BK192" s="2" t="str">
        <f>IF(BJ192="true",MROUND(IF(AND(AO192&gt;0.5,OR(_xlfn.XLOOKUP(_xlfn.XLOOKUP(B192,'Base stats'!B:B,'Base stats'!E:E),Groups!A:A,Groups!AJ:AJ)="Photonozoa",_xlfn.XLOOKUP(_xlfn.XLOOKUP(B192,'Base stats'!B:B,'Base stats'!E:E),Groups!A:A,Groups!AJ:AJ)="Mammal")),Animals!AO192*1.75*IF(AW192="true",1.5,1),IF(AO192&lt;0.5,Animals!AO192*0.5,Animals!AO192)),IF(AO192&gt;2,0.5,IF(AO192&gt;0.5,0.25,0.1))),"No")</f>
        <v>No</v>
      </c>
      <c r="BL192" s="2">
        <f t="shared" si="17"/>
        <v>1</v>
      </c>
      <c r="BM192" s="25" t="str">
        <f>IF(_xlfn.XLOOKUP(B192,'Base stats'!B:B,'Base stats'!AN:AN)="Standard","No",MROUND((_xlfn.XLOOKUP(B192,'Base stats'!B:B,'Base stats'!AN:AN)/3.6)/I192,0.1))</f>
        <v>No</v>
      </c>
      <c r="BN192" s="25" t="str">
        <f t="shared" si="18"/>
        <v>false</v>
      </c>
      <c r="BO192" s="25" t="str">
        <f>IF(AND(OR(_xlfn.XLOOKUP(B192,'Base stats'!B:B,'Base stats'!Y:Y)="Carnivore",_xlfn.XLOOKUP(B192,'Base stats'!B:B,'Base stats'!Y:Y)="Omnivore",_xlfn.XLOOKUP(B192,'Base stats'!B:B,'Base stats'!Y:Y)="OmnivoreRough"),_xlfn.XLOOKUP(_xlfn.XLOOKUP(B192,'Base stats'!B:B,'Base stats'!E:E),Groups!A:A,Groups!AT:AT)=1),"true","false")</f>
        <v>false</v>
      </c>
      <c r="BP192" s="25" t="str" cm="1">
        <f t="array" ref="BP192">IF(
  _xlfn.TEXTJOIN(", ",TRUE,
    IF(AND(BJ192="true",AO192&gt;0.5,BI192&lt;&gt;"None"),"AttackTarget",""),
    IF(AND(_xlfn.XLOOKUP(_xlfn.XLOOKUP(B192,'Base stats'!B:B,'Base stats'!E:E),Groups!A:A,Groups!AJ:AJ="Mammal"),OR(_xlfn.XLOOKUP(B192,'Base stats'!B:B,'Base stats'!Y:Y)="Omnivore",_xlfn.XLOOKUP(B192,'Base stats'!B:B,'Base stats'!Y:Y)="OmnivoreRough")),"Forage",""),
    IF(BG192&lt;=36,"Comfort",""),
    IF(_xlfn.XLOOKUP(B192,'Base stats'!B:B,'Base stats'!AE:AE)&lt;&gt;"No",_xlfn.XLOOKUP(B192,'Base stats'!B:B,'Base stats'!AE:AE),"")
  ) = "",
  "No",
  _xlfn.TEXTJOIN(", ",TRUE,
    IF(AND(BJ192="true",AO192&gt;0.5,BI192&lt;&gt;"None"),"AttackTarget",""),
    IF(AND(_xlfn.XLOOKUP(_xlfn.XLOOKUP(B192,'Base stats'!B:B,'Base stats'!E:E),Groups!A:A,Groups!AJ:AJ="Mammal"),OR(_xlfn.XLOOKUP(B192,'Base stats'!B:B,'Base stats'!Y:Y)="Omnivore",_xlfn.XLOOKUP(B192,'Base stats'!B:B,'Base stats'!Y:Y)="OmnivoreRough")),"Forage",""),
    IF(BG192&lt;=36,"Comfort",""),
    IF(_xlfn.XLOOKUP(B192,'Base stats'!B:B,'Base stats'!AE:AE)&lt;&gt;"No",_xlfn.XLOOKUP(B192,'Base stats'!B:B,'Base stats'!AE:AE),"")
  )
)</f>
        <v>Forage</v>
      </c>
      <c r="BQ192" s="25" t="str">
        <f>IF(
   AND(
      'Base stats'!AN192="Standard",_xlfn.XLOOKUP(_xlfn.XLOOKUP(B192,'Base stats'!B:B,'Base stats'!E:E),Groups!A:A,Groups!AU:AU)=0,
      OR(
      BO192="True"
      )
   ),
   10,
   IF(
       OR(BM192&lt;&gt;"No",_xlfn.XLOOKUP(_xlfn.XLOOKUP(B192,'Base stats'!B:B,'Base stats'!E:E),Groups!A:A,Groups!AU:AU)=1),
      1,
      "No"
   )
)</f>
        <v>No</v>
      </c>
      <c r="BR192" s="9">
        <f>MROUND((1 + ((0.2*IF(OR(Q192="No",R192="No",R192=0),0,Q192/R192)
+IF(OR(V192="No",S192="No",T192="No"),0,S192/T192*(LEN(V192)-LEN(SUBSTITUTE(V192,",",""))+1))
+IF(OR(X192="No",Y192="No"),0,X192/Y192)
+IF(OR(AD192="No",AE192="No"),0,AD192/AE192)
+IF(OR(AL192="No",AI192="No",AJ192="No"),0,AI192/AJ192*(LEN(AL192)-LEN(SUBSTITUTE(AL192,",",""))+1))
)/(0.2*IF(OR(Q192="No",R192="No",R192=0),0,1)
+IF(OR(V192="No",S192="No",T192="No"),0,LEN(V192)-LEN(SUBSTITUTE(V192,",",""))+1)
+IF(OR(X192="No",Y192="No"),0,1)
+IF(OR(AD192="No",AE192="No"),0,1)
+IF(OR(AL192="No",AI192="No",AJ192="No"),0,LEN(AL192)-LEN(SUBSTITUTE(AL192,",",""))+1))*62%)* 2)*(1 + (AP192 / (IF(_xlfn.XLOOKUP(_xlfn.XLOOKUP(B192,'Base stats'!B:B,'Base stats'!E:E),Groups!A:A,Groups!AJ:AJ)="Photonozoa",0.3,1)) + _xlfn.XLOOKUP(B192,'Base stats'!B:B,'Base stats'!AV:AV) * 1.8) * 2) * 2.5 + 10 + I192 * 2,5)+IF(_xlfn.XLOOKUP(B192,'Base stats'!B:B,'Base stats'!AK:AK)=1,50,0)</f>
        <v>125</v>
      </c>
      <c r="BS192" s="8">
        <f t="shared" si="19"/>
        <v>0.9</v>
      </c>
      <c r="BT192" s="8" t="str">
        <f>_xlfn.XLOOKUP(B192,'Base stats'!B:B,'Base stats'!AF:AF)</f>
        <v>3~10</v>
      </c>
      <c r="BU192" s="2" t="str">
        <f>IF(AND(J192&lt;=0.95,OR(_xlfn.XLOOKUP(B192,'Base stats'!B:B,'Base stats'!AK:AK)=1,_xlfn.XLOOKUP(B192,'Base stats'!B:B,'Base stats'!Y:Y)="Carnivore",_xlfn.XLOOKUP(B192,'Base stats'!B:B,'Base stats'!Y:Y)="Omnivore",BE192&gt;0.1)),"true","false")</f>
        <v>false</v>
      </c>
      <c r="BV192" s="2" t="str">
        <f>IF(_xlfn.XLOOKUP(B192,'Base stats'!B:B,'Base stats'!AI:AI)=1,"true","false")</f>
        <v>false</v>
      </c>
      <c r="BW192" s="25" t="str">
        <f>IF(E192="BaseInsect","AnimalInsect",
IF(J192&gt;0.95,"AnimalExotic",
_xlfn.TEXTJOIN(", ",TRUE,
IF(OR(_xlfn.XLOOKUP(B192,'Base stats'!B:B,'Base stats'!AM:AM)=1,AND(_xlfn.XLOOKUP(B192,'Base stats'!B:B,'Base stats'!O:O)=0,_xlfn.XLOOKUP(_xlfn.XLOOKUP(B192,'Base stats'!B:B,'Base stats'!E:E),Groups!A:A,Groups!B:B)&gt;0)),"AnimalUncommon","AnimalCommon"),
IF(AND(_xlfn.XLOOKUP(B192,'Base stats'!B:B,'Base stats'!O:O)=2,_xlfn.XLOOKUP(_xlfn.XLOOKUP(B192,'Base stats'!B:B,'Base stats'!E:E),Groups!A:A,Groups!D:D)=0),"AnimalPet",IF(AND(_xlfn.XLOOKUP(B192,'Base stats'!B:B,'Base stats'!O:O)&lt;&gt;0,_xlfn.XLOOKUP(_xlfn.XLOOKUP(B192,'Base stats'!B:B,'Base stats'!E:E),Groups!A:A,Groups!D:D)&lt;&gt;0),"AnimalFarm","")),
IF(OR(_xlfn.XLOOKUP(B192,'Base stats'!B:B,'Base stats'!AK:AK)=1,AND(BI192&lt;&gt;"None",BR192&gt;=60),ISNUMBER(SEARCH("Attack target",BP192))),"AnimalFighter","")
)))</f>
        <v>AnimalUncommon, AnimalFighter</v>
      </c>
      <c r="BX192" s="25" t="str">
        <f>IF(G192="None",TRIM(
SUBSTITUTE(
IF(COUNTIF(Biomes!B$2:B$259,"="&amp;$C192)&gt;0,Biomes!B$1&amp;", ","")&amp;
IF(COUNTIF(Biomes!C$2:C$259,"="&amp;$C192)&gt;0,Biomes!C$1&amp;", ","")&amp;
IF(COUNTIF(Biomes!D$2:D$259,"="&amp;$C192)&gt;0,Biomes!D$1&amp;", ","")&amp;
IF(COUNTIF(Biomes!F$2:F$259,"="&amp;$C192)&gt;0,Biomes!F$1&amp;", ","")&amp;
IF(COUNTIF(Biomes!G$2:G$259,"="&amp;$C192)&gt;0,Biomes!G$1&amp;", ","")&amp;
IF(COUNTIF(Biomes!H$2:H$259,"="&amp;$C192)&gt;0,Biomes!H$1&amp;", ","")&amp;
IF(COUNTIF(Biomes!I$2:I$259,"="&amp;$C192)&gt;0,Biomes!I$1&amp;", ","")&amp;
IF(COUNTIF(Biomes!J$2:J$259,"="&amp;$C192)&gt;0,Biomes!J$1&amp;", ","")&amp;
IF(COUNTIF(Biomes!M$2:M$259,"="&amp;$C192)&gt;0,Biomes!M$1&amp;", ","")&amp;
IF(COUNTIF(Biomes!N$2:N$259,"="&amp;$C192)&gt;0,Biomes!N$1&amp;", ","")&amp;
IF(COUNTIF(Biomes!O$2:O$259,"="&amp;$C192)&gt;0,Biomes!O$1&amp;", ","")&amp;
IF(COUNTIF(Biomes!P$2:P$259,"="&amp;$C192)&gt;0,Biomes!P$1&amp;", ","")&amp;
IF(COUNTIF(Biomes!K$2:K$259,"="&amp;$C192)&gt;0,Biomes!K$1&amp;", ","")&amp;
IF(COUNTIF(Biomes!Q$3:Q$259,"="&amp;$C192)&gt;0,Biomes!Q$1&amp;", ","")&amp;
IF(COUNTIF(Biomes!L$2:L$259,"="&amp;$C192)&gt;0,Biomes!L$1&amp;", ","")&amp;
IF(COUNTIF(Biomes!E$2:E$259,"="&amp;$C192)&gt;0,Biomes!E$1&amp;", ","")&amp;IF(COUNTIF(Biomes!S$2:S$259,"="&amp;$C192)&gt;0,Biomes!S$1&amp;", ","")&amp;
IF(COUNTIF(Biomes!R$2:R$259,"="&amp;$C192)&gt;0,Biomes!R$1&amp;", ",""),", ","")
),_xlfn.XLOOKUP(B192,B:B,BX:BX))</f>
        <v>TropicalRainforest TropicalSwamp Glowforest</v>
      </c>
      <c r="BY192" s="25" t="str">
        <f>IF(_xlfn.XLOOKUP(B192,'Base stats'!B:B,'Base stats'!AJ:AJ)=1,"true","false")</f>
        <v>false</v>
      </c>
      <c r="BZ192" s="25">
        <f>IF(_xlfn.XLOOKUP(B192,'Base stats'!B:B,'Base stats'!N:N)=1,"No",MAX(0.001,MIN(MROUND(IF(AND(BJ192="True",CC192="False"),POWER(10,3.47*LOG10(_xlfn.XLOOKUP(B192,'Base stats'!B:B,'Base stats'!C:C)*1000)^-0.96),POWER(10,4.15*LOG10(_xlfn.XLOOKUP(B192,'Base stats'!B:B,'Base stats'!C:C)*1000)^-0.73))*IF(_xlfn.XLOOKUP(B192,'Base stats'!B:B,'Base stats'!AK:AK)=1,0.5,1)*IF(_xlfn.XLOOKUP(B192,'Base stats'!B:B,'Base stats'!AM:AM)=1,0.1,1)/100,IF(_xlfn.XLOOKUP(B192,'Base stats'!B:B,'Base stats'!AM:AM)=1,0.001,0.025)),0.5)))</f>
        <v>0.17500000000000002</v>
      </c>
      <c r="CA192" s="25" t="str">
        <f>IF(P192="Standard","No",MAX(0.001,MIN(MROUND(IF(AND(BJ192="True",CC192="False"),POWER(10,3.47*LOG10(_xlfn.XLOOKUP(B192,'Base stats'!B:B,'Base stats'!C:C)*1000)^-0.96),POWER(10,4.15*LOG10(_xlfn.XLOOKUP(B192,'Base stats'!B:B,'Base stats'!C:C)*1000)^-0.73))*IF(_xlfn.XLOOKUP(B192,'Base stats'!B:B,'Base stats'!AM:AM)=1,0.1,1)*_xlfn.XLOOKUP(B192,'Base stats'!B:B,'Base stats'!R:R)/100,IF(_xlfn.XLOOKUP(B192,'Base stats'!B:B,'Base stats'!AM:AM)=1,0.001,0.025)),0.5)))</f>
        <v>No</v>
      </c>
      <c r="CB192" s="25" t="str">
        <f>IF(_xlfn.XLOOKUP(_xlfn.XLOOKUP(B192,'Base stats'!B:B,'Base stats'!E:E),Groups!A:A,Groups!AJ:AJ)="Mammal","True","False")</f>
        <v>True</v>
      </c>
      <c r="CC192" s="25" t="str">
        <f>IF(OR(_xlfn.XLOOKUP(_xlfn.XLOOKUP(B192,'Base stats'!B:B,'Base stats'!E:E),Groups!A:A,Groups!AJ:AJ)="Reptile",_xlfn.XLOOKUP(_xlfn.XLOOKUP(B192,'Base stats'!B:B,'Base stats'!E:E),Groups!A:A,Groups!AJ:AJ)="Amphibian",_xlfn.XLOOKUP(_xlfn.XLOOKUP(B192,'Base stats'!B:B,'Base stats'!E:E),Groups!A:A,Groups!AJ:AJ)="Invertebrate"),"True","False")</f>
        <v>False</v>
      </c>
      <c r="CD192" s="25" t="str">
        <f t="shared" si="20"/>
        <v>False</v>
      </c>
      <c r="CE192" s="25" t="str">
        <f>IF(_xlfn.XLOOKUP(_xlfn.XLOOKUP(B192,'Base stats'!B:B,'Base stats'!E:E),Groups!A:A,Groups!AX:AX),"True","False")</f>
        <v>False</v>
      </c>
      <c r="CF192" s="25" t="str">
        <f>IF(_xlfn.XLOOKUP(_xlfn.XLOOKUP(B192,'Base stats'!B:B,'Base stats'!E:E),Groups!A:A,Groups!AY:AY),"True","False")</f>
        <v>False</v>
      </c>
      <c r="CG192" s="25" t="str">
        <f>IF(_xlfn.XLOOKUP(_xlfn.XLOOKUP(B192,'Base stats'!B:B,'Base stats'!E:E),Groups!A:A,Groups!AW:AW),"True","False")</f>
        <v>False</v>
      </c>
      <c r="CH192" s="25" t="str">
        <f>IF(
OR(
_xlfn.XLOOKUP(_xlfn.XLOOKUP(B192,'Base stats'!B:B,'Base stats'!E:E),Groups!A:A,Groups!AZ:AZ)=0,
AND(
_xlfn.XLOOKUP(B192,'Base stats'!B:B,'Base stats'!Y:Y)&lt;&gt;"Carnivore",
_xlfn.XLOOKUP(B192,'Base stats'!B:B,'Base stats'!Y:Y)&lt;&gt;"Omnivore",
_xlfn.XLOOKUP(B192,'Base stats'!B:B,'Base stats'!Y:Y)&lt;&gt;"OmnivoreRough"
)
),
"No",
IF(
_xlfn.XLOOKUP(_xlfn.XLOOKUP(B192,'Base stats'!B:B,'Base stats'!E:E),Groups!A:A,Groups!AZ:AZ)=1,
"Flesh",
IF(
_xlfn.XLOOKUP(_xlfn.XLOOKUP(B192,'Base stats'!B:B,'Base stats'!E:E),Groups!A:A,Groups!AZ:AZ)=2,
"Bone",
""
)
)
)</f>
        <v>No</v>
      </c>
      <c r="CI192" s="25" t="str">
        <f>IF(_xlfn.XLOOKUP(_xlfn.XLOOKUP(B192,'Base stats'!B:B,'Base stats'!E:E),Groups!A:A,Groups!BB:BB),"True","False")</f>
        <v>True</v>
      </c>
      <c r="CJ192" s="25" t="str">
        <f>IF(_xlfn.XLOOKUP(_xlfn.XLOOKUP(B192,'Base stats'!B:B,'Base stats'!E:E),Groups!A:A,Groups!BA:BA),"True","False")</f>
        <v>False</v>
      </c>
    </row>
    <row r="193" spans="1:88" s="16" customFormat="1" ht="16.5" thickTop="1" thickBot="1" x14ac:dyDescent="0.3">
      <c r="A193" s="26" t="str">
        <f>_xlfn.XLOOKUP(B193,'Base stats'!B:B,'Base stats'!A:A)</f>
        <v>Penguin</v>
      </c>
      <c r="B193" s="6" t="s">
        <v>181</v>
      </c>
      <c r="C193" s="28" t="s">
        <v>1238</v>
      </c>
      <c r="D193" s="28" t="s">
        <v>872</v>
      </c>
      <c r="E193" s="28" t="s">
        <v>673</v>
      </c>
      <c r="F193" s="28" t="s">
        <v>676</v>
      </c>
      <c r="G193" s="28" t="s">
        <v>1228</v>
      </c>
      <c r="H193" s="2">
        <f>MROUND((
  (IF(AND(_xlfn.XLOOKUP(B193,'Base stats'!B:B,'Base stats'!AL:AL)=0,BI193="None",_xlfn.XLOOKUP(_xlfn.XLOOKUP(B193,'Base stats'!B:B,'Base stats'!E:E),Groups!A:A,Groups!B:B)=0), (18 + BR193 * 2.7) * 0.5,
    IF(AND(_xlfn.XLOOKUP(B193,'Base stats'!B:B,'Base stats'!AL:AL)=0,OR(AO193&lt;0.55,AND(BI193="Intermediate",_xlfn.XLOOKUP(_xlfn.XLOOKUP(B193,'Base stats'!B:B,'Base stats'!E:E),Groups!A:A,Groups!B:B)&lt;2))), (18 + BR193 * 2.7),
      IF(OR(BI193="Advanced",_xlfn.XLOOKUP(B193,'Base stats'!B:B,'Base stats'!AL:AL)=1,_xlfn.XLOOKUP(_xlfn.XLOOKUP(B193,'Base stats'!B:B,'Base stats'!E:E),Groups!A:A,Groups!B:B)=2), (18 + BR193 * 2.7) + 250, (18 + BR193 * 2.7))
    )
  ))
  + AO193 * 80
  + IF(COUNTIF(EggMilk!K$2:K$998, A193) &gt; 0, 125, 0)
  + IF(COUNTIF(EggMilk!P$2:P$998, A193) &gt; 0, 90, 0)
  + IF(COUNTIF(EggMilk!A$2:A$998, A193) &gt; 0, 90, 0)
)
* (0.8 + 0.4 * J193)
* 0.75,25)</f>
        <v>225</v>
      </c>
      <c r="I193" s="2">
        <f>MROUND(ROUNDDOWN(_xlfn.XLOOKUP(B193,'Base stats'!B:B,'Base stats'!L:L)/3.6/(23.3/11),1),0.5)</f>
        <v>1.5</v>
      </c>
      <c r="J193" s="2">
        <f>IF(OR(_xlfn.XLOOKUP(B193,'Base stats'!B:B,'Base stats'!AB:AB)=1,_xlfn.XLOOKUP(_xlfn.XLOOKUP(B193,'Base stats'!B:B,'Base stats'!E:E),Groups!A:A,Groups!C:C)="Untamable"),1,IF(_xlfn.XLOOKUP(B193,'Base stats'!B:B,'Base stats'!AL:AL)=1,0.99,MIN(MROUND((1-0.6282*EXP(-0.459*AO193))*_xlfn.XLOOKUP(_xlfn.XLOOKUP(B193,'Base stats'!B:B,'Base stats'!E:E),Groups!A:A,Groups!C:C)*IF(_xlfn.XLOOKUP(B193,'Base stats'!B:B,'Base stats'!O:O)=1,0.5,IF(_xlfn.XLOOKUP(B193,'Base stats'!B:B,'Base stats'!O:O)=2,0,1)),0.05),IF(AO193&gt;3.5,0.985,0.95))))</f>
        <v>0.70000000000000007</v>
      </c>
      <c r="K193" s="2">
        <f>ROUNDUP(AO193*_xlfn.XLOOKUP(_xlfn.XLOOKUP(B193,'Base stats'!B:B,'Base stats'!E:E),Groups!A:A,Groups!E:E),0)</f>
        <v>8</v>
      </c>
      <c r="L193" s="2">
        <f>IF(OR(_xlfn.XLOOKUP(_xlfn.XLOOKUP(B193,'Base stats'!B:B,'Base stats'!E:E),Groups!A:A,Groups!F:F)=2,ISNUMBER(SEARCH("SeaIce",BX193)),ISNUMBER(SEARCH("IceSheet",BX193))),-50,IF(OR(ISNUMBER(SEARCH("GlacialPlain",BX193)),ISNUMBER(SEARCH("Tundra",BX193))),-40,IF(OR(ISNUMBER(SEARCH("Alpine",BX193)),ISNUMBER(SEARCH("BorealForest",BX193)),ISNUMBER(SEARCH("ColdBog",BX193))),-30,IF(OR(ISNUMBER(SEARCH("TemperateForest",BX193)),ISNUMBER(SEARCH("TemperateSwamp",BX193))),-20,IF(_xlfn.XLOOKUP(_xlfn.XLOOKUP(B193,'Base stats'!B:B,'Base stats'!E:E),Groups!A:A,Groups!F:F)=1,-15,IF(OR(ISNUMBER(SEARCH("Desert",BX193)),ISNUMBER(SEARCH("ExtremeDesert",BX193))),-10,IF(OR(ISNUMBER(SEARCH("Grasslands",BX193)),ISNUMBER(SEARCH("TropicalRainforest",BX193)),ISNUMBER(SEARCH("TropicalSwamp",BX193))),10,0)))))))-IF(CC193="False",MIN(IFERROR(MAX(MROUND(LOG10(_xlfn.XLOOKUP(B193,'Base stats'!B:B,'Base stats'!C:C)^(2/3))*10,5),5),5),30))-_xlfn.XLOOKUP(B193,'Base stats'!B:B,'Base stats'!P:P)+IF(CC193="True",5,0)</f>
        <v>-60</v>
      </c>
      <c r="M193" s="2">
        <f>IF(OR(_xlfn.XLOOKUP(_xlfn.XLOOKUP(B193,'Base stats'!B:B,'Base stats'!E:E),Groups!A:A,Groups!G:G)=2,ISNUMBER(SEARCH("Desert",BX193)),ISNUMBER(SEARCH("ExtremeDesert",BX193)),ISNUMBER(SEARCH("LavaField",BX193))),50,IF(ISNUMBER(SEARCH("Grasslands",BX193)),45,IF(OR(_xlfn.XLOOKUP(_xlfn.XLOOKUP(B193,'Base stats'!B:B,'Base stats'!E:E),Groups!A:A,Groups!G:G)=1,ISNUMBER(SEARCH("TropicalRainforest",BX193)),ISNUMBER(SEARCH("TropicalSwamp",BX193))),40,IF(OR(ISNUMBER(SEARCH("TemperateForest",BX193)),ISNUMBER(SEARCH("TemperateSwamp",BX193))),35,IF(OR(ISNUMBER(SEARCH("Alpine",BX193)),ISNUMBER(SEARCH("BorealForest",BX193)),ISNUMBER(SEARCH("ColdBog",BX193))),30,IF(ISNUMBER(OR(ISNUMBER(SEARCH("GlacialPlain",BX193)),SEARCH("Tundra",BX193))),25,IF(OR(ISNUMBER(SEARCH("SeaIce",BX193)),ISNUMBER(SEARCH("IceSheet",BX193)),ISNUMBER(SEARCH("TropicalSwamp",BX193))),10,35)))))))+_xlfn.XLOOKUP(B193,'Base stats'!B:B,'Base stats'!Q:Q)</f>
        <v>10</v>
      </c>
      <c r="N193" s="8" t="str">
        <f>IF(
_xlfn.XLOOKUP(
_xlfn.XLOOKUP(B193,'Base stats'!B:B,'Base stats'!E:E),
Groups!A:A,
Groups!L:L
)=1,
MIN(
MROUND(
IF(
_xlfn.XLOOKUP(B193,'Animals CE'!B:B,'Animals CE'!Z:Z)&lt;=1.5,
_xlfn.XLOOKUP(B193,'Animals CE'!B:B,'Animals CE'!Z:Z)/2+0.05,
0.8+
(_xlfn.XLOOKUP(B193,'Animals CE'!B:B,'Animals CE'!Z:Z)-1.5)
*0.02
),
0.05
),
200%
),
"No"
)</f>
        <v>No</v>
      </c>
      <c r="O193" s="8" t="str">
        <f>IF(
_xlfn.XLOOKUP(
_xlfn.XLOOKUP(B193,'Base stats'!B:B,'Base stats'!E:E),
Groups!A:A,
Groups!L:L
)=1,
MIN(
MROUND(
IF(
_xlfn.XLOOKUP(B193,'Animals CE'!B:B,'Animals CE'!AA:AA)&lt;=1.5,
_xlfn.XLOOKUP(B193,'Animals CE'!B:B,'Animals CE'!AA:AA)/2+0.05,
0.8+
(_xlfn.XLOOKUP(B193,'Animals CE'!B:B,'Animals CE'!AA:AA)-1.5)
*0.02
),
0.05
),
200%
),
"No"
)</f>
        <v>No</v>
      </c>
      <c r="P193" s="2" t="str">
        <f>_xlfn.XLOOKUP(B193,'Base stats'!B:B,'Base stats'!R:R)</f>
        <v>Standard</v>
      </c>
      <c r="Q193" s="13">
        <f>MROUND((LOG10(_xlfn.XLOOKUP(B193,'Base stats'!B:B,'Base stats'!AR:AR))*(AO193^0.5)+(_xlfn.XLOOKUP(B193,'Base stats'!B:B,'Base stats'!AR:AR)/1000)^(2/3)+_xlfn.XLOOKUP(B193,'Base stats'!B:B,'Base stats'!BA:BA)/2)+0.5,0.5)</f>
        <v>5.5</v>
      </c>
      <c r="R193" s="7">
        <f>IF(Q193="No","No",MAX(1,MROUND(_xlfn.XLOOKUP(B193,'Base stats'!B:B,'Base stats'!C:C)^0.165,0.05)))</f>
        <v>1.75</v>
      </c>
      <c r="S193" s="13" t="str">
        <f>IF(_xlfn.XLOOKUP(_xlfn.XLOOKUP(B193,'Base stats'!B:B,'Base stats'!E:E),Groups!A:A,Groups!P:P)=0,"No",MROUND((LOG10(_xlfn.XLOOKUP(B193,'Base stats'!B:B,'Base stats'!AS:AS))*(AO193^0.5)+(_xlfn.XLOOKUP(B193,'Base stats'!B:B,'Base stats'!AS:AS)/1000)^(2/3)+_xlfn.XLOOKUP(B193,'Base stats'!B:B,'Base stats'!BA:BA))+_xlfn.XLOOKUP(B193,'Base stats'!B:B,'Base stats'!AY:AY)+0.5,0.5))</f>
        <v>No</v>
      </c>
      <c r="T193" s="7" t="str">
        <f>IF(S193="No","No",MAX(_xlfn.XLOOKUP(_xlfn.XLOOKUP(B193,'Base stats'!B:B,'Base stats'!E:E),Groups!A:A,Groups!Q:Q),MROUND(_xlfn.XLOOKUP(_xlfn.XLOOKUP(B193,'Base stats'!B:B,'Base stats'!E:E),Groups!A:A,Groups!Q:Q)*_xlfn.XLOOKUP(B193,'Base stats'!B:B,'Base stats'!C:C)^0.165,0.05)))</f>
        <v>No</v>
      </c>
      <c r="U193" s="7" t="str">
        <f>IF(S193="No","No",_xlfn.XLOOKUP(_xlfn.XLOOKUP(B193,'Base stats'!B:B,'Base stats'!E:E),Groups!A:A,Groups!R:R))</f>
        <v>No</v>
      </c>
      <c r="V193" s="7" t="str">
        <f>IF(S193="No","No",_xlfn.XLOOKUP(_xlfn.XLOOKUP(B193,'Base stats'!B:B,'Base stats'!E:E),Groups!A:A,Groups!S:S))</f>
        <v>No</v>
      </c>
      <c r="W193" s="7" t="str">
        <f>IF(S193="No","No",_xlfn.XLOOKUP(_xlfn.XLOOKUP(B193,'Base stats'!B:B,'Base stats'!E:E),Groups!A:A,Groups!T:T))</f>
        <v>No</v>
      </c>
      <c r="X193" s="13" t="str">
        <f>IF(_xlfn.XLOOKUP(B193,'Base stats'!B:B,'Base stats'!W:W)="No","No",MROUND((LOG10(_xlfn.XLOOKUP(B193,'Base stats'!B:B,'Base stats'!AU:AU))*(AO193^0.5)+(_xlfn.XLOOKUP(B193,'Base stats'!B:B,'Base stats'!AU:AU)/1000)^(2/3)+_xlfn.XLOOKUP(B193,'Base stats'!B:B,'Base stats'!AZ:AZ))+0.5+IF(_xlfn.XLOOKUP(_xlfn.XLOOKUP(B193,'Base stats'!B:B,'Base stats'!E:E),Groups!A:A,Groups!U:U)&lt;&gt;3,_xlfn.XLOOKUP(B193,'Base stats'!B:B,'Base stats'!BA:BA),0),0.5))</f>
        <v>No</v>
      </c>
      <c r="Y193" s="7" t="str">
        <f>IF(X193="No","No",MAX(_xlfn.XLOOKUP(_xlfn.XLOOKUP(B193,'Base stats'!B:B,'Base stats'!E:E),Groups!A:A,Groups!V:V),MROUND(_xlfn.XLOOKUP(_xlfn.XLOOKUP(B193,'Base stats'!B:B,'Base stats'!E:E),Groups!A:A,Groups!V:V)*_xlfn.XLOOKUP(B193,'Base stats'!B:B,'Base stats'!C:C)^0.165,0.05)))</f>
        <v>No</v>
      </c>
      <c r="Z193" s="7" t="str">
        <f>IF(X193="No","No",_xlfn.XLOOKUP(_xlfn.XLOOKUP(B193,'Base stats'!B:B,'Base stats'!E:E),Groups!A:A,Groups!W:W))</f>
        <v>No</v>
      </c>
      <c r="AA193" s="7" t="str">
        <f>IF(X193="No","No",_xlfn.XLOOKUP(_xlfn.XLOOKUP(B193,'Base stats'!B:B,'Base stats'!E:E),Groups!A:A,Groups!X:X))</f>
        <v>No</v>
      </c>
      <c r="AB193" s="7" t="str">
        <f>IF(X193="No","No",_xlfn.XLOOKUP(_xlfn.XLOOKUP(B193,'Base stats'!B:B,'Base stats'!E:E),Groups!A:A,Groups!Y:Y))</f>
        <v>No</v>
      </c>
      <c r="AC193" s="7" t="str">
        <f>_xlfn.XLOOKUP(Animals!B193,'Base stats'!B:B,'Base stats'!X:X)</f>
        <v>False</v>
      </c>
      <c r="AD193" s="13">
        <f>IF(_xlfn.XLOOKUP(B193,'Base stats'!B:B,'Base stats'!AT:AT)="No","No",MROUND((LOG10(_xlfn.XLOOKUP(B193,'Base stats'!B:B,'Base stats'!AT:AT))*(AO193^0.75)+(_xlfn.XLOOKUP(B193,'Base stats'!B:B,'Base stats'!AT:AT)/1000)^(2/3)+_xlfn.XLOOKUP(B193,'Base stats'!B:B,'Base stats'!AX:AX)+_xlfn.XLOOKUP(B193,'Base stats'!B:B,'Base stats'!BA:BA))+0.5,0.5))</f>
        <v>5.5</v>
      </c>
      <c r="AE193" s="7">
        <f>IF(AD193="No","No",MAX(_xlfn.XLOOKUP(_xlfn.XLOOKUP(B193,'Base stats'!B:B,'Base stats'!E:E),Groups!A:A,Groups!Z:Z),MROUND(_xlfn.XLOOKUP(_xlfn.XLOOKUP(B193,'Base stats'!B:B,'Base stats'!E:E),Groups!A:A,Groups!Z:Z)*_xlfn.XLOOKUP(B193,'Base stats'!B:B,'Base stats'!C:C)^0.165,0.05)))</f>
        <v>1.4000000000000001</v>
      </c>
      <c r="AF193" s="7" t="str">
        <f>IF(AD193="No","No",_xlfn.XLOOKUP(_xlfn.XLOOKUP(B193,'Base stats'!B:B,'Base stats'!E:E),Groups!A:A,Groups!AA:AA))</f>
        <v>Beak</v>
      </c>
      <c r="AG193" s="7" t="str">
        <f>IF(AD193="No","No",_xlfn.XLOOKUP(_xlfn.XLOOKUP(B193,'Base stats'!B:B,'Base stats'!E:E),Groups!A:A,Groups!AB:AB))</f>
        <v>beak</v>
      </c>
      <c r="AH193" s="7" t="str">
        <f>IF(AD193="No","No",_xlfn.XLOOKUP(_xlfn.XLOOKUP(B193,'Base stats'!B:B,'Base stats'!E:E),Groups!A:A,Groups!AC:AC))</f>
        <v>Blunt</v>
      </c>
      <c r="AI193" s="13" t="str">
        <f>IF(_xlfn.XLOOKUP(_xlfn.XLOOKUP(B193,'Base stats'!B:B,'Base stats'!E:E),Groups!A:A,Groups!AD:AD)=0,"No",MROUND((LOG10(_xlfn.XLOOKUP(B193,'Base stats'!B:B,'Base stats'!AS:AS))*(AO193^0.75)+(_xlfn.XLOOKUP(B193,'Base stats'!B:B,'Base stats'!AS:AS)/1000)^(2/3)+_xlfn.XLOOKUP(B193,'Base stats'!B:B,'Base stats'!AY:AY)+_xlfn.XLOOKUP(B193,'Base stats'!B:B,'Base stats'!BA:BA))+0.5,0.5))</f>
        <v>No</v>
      </c>
      <c r="AJ193" s="7" t="str">
        <f>IF(AI193="No","No",MAX(_xlfn.XLOOKUP(_xlfn.XLOOKUP(B193,'Base stats'!B:B,'Base stats'!E:E),Groups!A:A,Groups!AE:AE),MROUND(_xlfn.XLOOKUP(_xlfn.XLOOKUP(B193,'Base stats'!B:B,'Base stats'!E:E),Groups!A:A,Groups!AE:AE)*IF(_xlfn.XLOOKUP(_xlfn.XLOOKUP(B193,'Base stats'!B:B,'Base stats'!E:E),Groups!A:A,Groups!AJ:AJ)="Photonozoa",0.6,1)*_xlfn.XLOOKUP(B193,'Base stats'!B:B,'Base stats'!C:C)^0.165,0.05)))</f>
        <v>No</v>
      </c>
      <c r="AK193" s="7" t="str">
        <f>IF(AI193="No","No",_xlfn.XLOOKUP(_xlfn.XLOOKUP(B193,'Base stats'!B:B,'Base stats'!E:E),Groups!A:A,Groups!AF:AF))</f>
        <v>No</v>
      </c>
      <c r="AL193" s="7" t="str">
        <f>IF(AI193="No","No",_xlfn.XLOOKUP(_xlfn.XLOOKUP(B193,'Base stats'!B:B,'Base stats'!E:E),Groups!A:A,Groups!AG:AG))</f>
        <v>No</v>
      </c>
      <c r="AM193" s="7" t="str">
        <f>IF(AI193="No","No",_xlfn.XLOOKUP(_xlfn.XLOOKUP(B193,'Base stats'!B:B,'Base stats'!E:E),Groups!A:A,Groups!AH:AH))</f>
        <v>No</v>
      </c>
      <c r="AN193" s="2" t="str">
        <f t="shared" si="14"/>
        <v>No</v>
      </c>
      <c r="AO193" s="2">
        <f>MROUND(IF(AND(_xlfn.XLOOKUP(B193,'Base stats'!B:B,'Base stats'!C:C)&gt;=0.5,_xlfn.XLOOKUP(B193,'Base stats'!B:B,'Base stats'!C:C)&lt;=0.8),
IF(_xlfn.XLOOKUP(B193,'Base stats'!B:B,'Base stats'!C:C)&lt;0.1,0.05,IF(_xlfn.XLOOKUP(B193,'Base stats'!B:B,'Base stats'!C:C)&lt;=70,(_xlfn.XLOOKUP(B193,'Base stats'!B:B,'Base stats'!C:C)/70)^0.426489913056526,IF(_xlfn.XLOOKUP(B193,'Base stats'!B:B,'Base stats'!C:C)&lt;=400,(_xlfn.XLOOKUP(B193,'Base stats'!B:B,'Base stats'!C:C)/70)^0.572811455315093,IF(_xlfn.XLOOKUP(B193,'Base stats'!B:B,'Base stats'!C:C)&lt;=2000,2.71391647193063*(_xlfn.XLOOKUP(B193,'Base stats'!B:B,'Base stats'!C:C)/400)^0.252459582904293,3.74314280240376*(_xlfn.XLOOKUP(B193,'Base stats'!B:B,'Base stats'!C:C)/2000)^0.357012633876913)))),
IF(_xlfn.XLOOKUP(B193,'Base stats'!B:B,'Base stats'!C:C)&lt;0.1,0.05,IF(_xlfn.XLOOKUP(B193,'Base stats'!B:B,'Base stats'!C:C)&lt;0.4,0.1,IF(_xlfn.XLOOKUP(B193,'Base stats'!B:B,'Base stats'!C:C)&lt;=70,(_xlfn.XLOOKUP(B193,'Base stats'!B:B,'Base stats'!C:C)/70)^0.445823913056526,IF(_xlfn.XLOOKUP(B193,'Base stats'!B:B,'Base stats'!C:C)&lt;=400,(_xlfn.XLOOKUP(B193,'Base stats'!B:B,'Base stats'!C:C)/70)^0.572811455315093,IF(_xlfn.XLOOKUP(B193,'Base stats'!B:B,'Base stats'!C:C)&lt;=2000,2.71391647193063*(_xlfn.XLOOKUP(B193,'Base stats'!B:B,'Base stats'!C:C)/400)^0.252459582904293,3.74314280240376*(_xlfn.XLOOKUP(B193,'Base stats'!B:B,'Base stats'!C:C)/2000)^0.357012633876913)))))),
IF(_xlfn.XLOOKUP(B193,'Base stats'!B:B,'Base stats'!C:C)&lt;0.1,0.05,IF(_xlfn.XLOOKUP(B193,'Base stats'!B:B,'Base stats'!C:C)&lt;=100,0.05,IF(_xlfn.XLOOKUP(B193,'Base stats'!B:B,'Base stats'!C:C)&lt;=250,0.1,IF(_xlfn.XLOOKUP(B193,'Base stats'!B:B,'Base stats'!C:C)&lt;=4000,0.25,0.5)))))</f>
        <v>0.70000000000000007</v>
      </c>
      <c r="AP193" s="8">
        <f>MROUND(AO193*_xlfn.XLOOKUP(_xlfn.XLOOKUP(B193,'Base stats'!B:B,'Base stats'!E:E),Groups!A:A,Groups!AI:AI)*_xlfn.XLOOKUP(B193,'Base stats'!B:B,'Base stats'!Z:Z),0.05)</f>
        <v>0.70000000000000007</v>
      </c>
      <c r="AQ193" s="8">
        <f>MAX(0.01,MROUND(IF(CC193="True",0.196*(AO193*100*1000)^0.889,IF(_xlfn.XLOOKUP(_xlfn.XLOOKUP(B193,'Base stats'!B:B,'Base stats'!E:E),Groups!A:A,Groups!AJ:AJ)="Bird",10.5*(AO193*100*1000)^0.681,4.82*(AO193*100*1000)^0.734))/(4.82*(1*100*1000)^0.734)/IF(AO193&lt;3.5,2,IF(AO193=3.5,1.5,1.25))*(1+0.132282374779864/(AO193^0.994035016789033+0.00905238001496948)),0.05))</f>
        <v>0.55000000000000004</v>
      </c>
      <c r="AR193" s="9">
        <f>IFERROR(MROUND(_xlfn.XLOOKUP(B193,'Base stats'!B:B,'Base stats'!H:H)/IF(_xlfn.XLOOKUP(B193,'Base stats'!B:B,'Base stats'!I:I)&lt;&gt;1,(122.5/70),1.2),IF(_xlfn.XLOOKUP(B193,'Base stats'!B:B,'Base stats'!H:H)&gt;=30,5,IF(_xlfn.XLOOKUP(B193,'Base stats'!B:B,'Base stats'!H:H)&gt;=15,3,IF(_xlfn.XLOOKUP(B193,'Base stats'!B:B,'Base stats'!H:H)&gt;=10,2,1)))),"Immortal")</f>
        <v>25</v>
      </c>
      <c r="AS193" s="35" t="str">
        <f>IFERROR(IF(OR(_xlfn.XLOOKUP(B193,'Base stats'!B:B,'Base stats'!F:F)="Atypical reproduction",_xlfn.XLOOKUP(B193,'Base stats'!B:B,'Base stats'!F:F)="Lay eggs"),"Lay eggs",MIN(20,MAX(5.5,ROUND(((_xlfn.XLOOKUP(B193,'Base stats'!B:B,'Base stats'!F:F)-25)*(14.5/615) + 5.5)*2,0)/2))),"Unknown")</f>
        <v>Lay eggs</v>
      </c>
      <c r="AT193" s="8">
        <f>IF(_xlfn.XLOOKUP(B193,'Base stats'!B:B,'Base stats'!G:G)="Atypical reproduction","No",IFERROR(MAX(IF(_xlfn.XLOOKUP(B193,'Base stats'!B:B,'Base stats'!G:G)&lt;0.5,0.2,0.3),MROUND(_xlfn.XLOOKUP(B193,'Base stats'!B:B,'Base stats'!G:G)/(365/60),0.2)),"Unknown"))</f>
        <v>0.8</v>
      </c>
      <c r="AU193" s="8">
        <f t="shared" si="15"/>
        <v>0.4</v>
      </c>
      <c r="AV193" s="8" t="str">
        <f>IFERROR(IFERROR(MROUND(_xlfn.XLOOKUP(B193,'Base stats'!B:B,'Base stats'!J:J),0.1),"Lay eggs"),"Cannot breed")</f>
        <v>Lay eggs</v>
      </c>
      <c r="AW193" s="2" t="str">
        <f t="shared" si="16"/>
        <v>true</v>
      </c>
      <c r="AX193" s="2" t="str">
        <f>IF(_xlfn.XLOOKUP(_xlfn.XLOOKUP(Animals!B193,'Base stats'!B:B,'Base stats'!E:E),Groups!A:A,Groups!AK:AK)=1,"true","false")</f>
        <v>false</v>
      </c>
      <c r="AY193" s="25" t="str">
        <f>IF(_xlfn.XLOOKUP(B193,'Base stats'!B:B,'Base stats'!Y:Y)="Liquor","Liquor, CarnivoreAnimalStrict",IF(AND(_xlfn.XLOOKUP(B193,'Base stats'!B:B,'Base stats'!Y:Y)="Carnivore",_xlfn.XLOOKUP(_xlfn.XLOOKUP(B193,'Base stats'!B:B,'Base stats'!E:E),Groups!A:A,Groups!AJ:AJ)="Photonozoa"),"CarnivoreAnimalStrict, OvivoreAnimal",IF(_xlfn.XLOOKUP(B193,'Base stats'!B:B,'Base stats'!Y:Y)="Carnivore","CarnivoreAnimal, OvivoreAnimal",IF(_xlfn.XLOOKUP(B193,'Base stats'!B:B,'Base stats'!Y:Y)="Dendrovore","VegetarianRoughAnimal, DendrovoreAnimal",IF(_xlfn.XLOOKUP(B193,'Base stats'!B:B,'Base stats'!Y:Y)="Herbivore","VegetarianRoughAnimal",IF(_xlfn.XLOOKUP(B193,'Base stats'!B:B,'Base stats'!Y:Y)="OmnivoreRough","OmnivoreRoughAnimal, OvivoreAnimal","OmnivoreAnimal, OvivoreAnimal"))))))</f>
        <v>CarnivoreAnimal, OvivoreAnimal</v>
      </c>
      <c r="AZ193" s="2">
        <f>IF(_xlfn.XLOOKUP(_xlfn.XLOOKUP(B193,'Base stats'!B:B,'Base stats'!E:E),Groups!A:A,Groups!D:D)=1,MROUND((1-J193)*5+1,2)*IF(J193&lt;=0.4,2,1),"No")</f>
        <v>2</v>
      </c>
      <c r="BA193" s="2" t="str">
        <f>IF(AND(_xlfn.XLOOKUP(B193,'Base stats'!B:B,'Base stats'!AH:AH)="&lt;li&gt;Seal&lt;/li&gt;",G193="Odyssey"),"&lt;li&gt;AEXP_Seal&lt;/li&gt;",_xlfn.XLOOKUP(B193,'Base stats'!B:B,'Base stats'!AH:AH))</f>
        <v>&lt;li&gt;Cassowary&lt;/li&gt;</v>
      </c>
      <c r="BB193" s="2" t="str">
        <f>_xlfn.XLOOKUP(B193,'Base stats'!B:B,'Base stats'!AG:AG)</f>
        <v>Leather_Bird</v>
      </c>
      <c r="BC193" s="23" t="str">
        <f>_xlfn.XLOOKUP(_xlfn.XLOOKUP(B193,'Base stats'!B:B,'Base stats'!E:E),Groups!A:A,Groups!AL:AL)</f>
        <v>Bird</v>
      </c>
      <c r="BD193" s="23">
        <f>MIN(1,MROUND(IF(AND(AO193&lt;0.5,_xlfn.XLOOKUP(B193,'Base stats'!B:B,'Base stats'!AA:AA)=0),0,IF(OR(_xlfn.XLOOKUP(Animals!B193,'Base stats'!B:B,'Base stats'!O:O)=2,_xlfn.XLOOKUP(_xlfn.XLOOKUP(B193,'Base stats'!B:B,'Base stats'!E:E),Groups!A:A,Groups!AN:AN)=0),0,_xlfn.XLOOKUP(_xlfn.XLOOKUP(B193,'Base stats'!B:B,'Base stats'!E:E),Groups!A:A,Groups!AN:AN)/IF(_xlfn.XLOOKUP(Animals!B193,'Base stats'!B:B,'Base stats'!O:O)=1,2,1)))+_xlfn.XLOOKUP(B193,'Base stats'!B:B,'Base stats'!AC:AC),0.005))</f>
        <v>0</v>
      </c>
      <c r="BE193" s="23">
        <f>MIN(1,MROUND(IF(AND(AO193&lt;0.5,_xlfn.XLOOKUP(B193,'Base stats'!B:B,'Base stats'!AA:AA)=0),0,IF(_xlfn.XLOOKUP(_xlfn.XLOOKUP(B193,'Base stats'!B:B,'Base stats'!E:E),Groups!A:A,Groups!AO:AO)=0,0,_xlfn.XLOOKUP(_xlfn.XLOOKUP(B193,'Base stats'!B:B,'Base stats'!E:E),Groups!A:A,Groups!AO:AO)/IF(_xlfn.XLOOKUP(Animals!B193,'Base stats'!B:B,'Base stats'!O:O)=2,3,1)))+_xlfn.XLOOKUP(B193,'Base stats'!B:B,'Base stats'!AD:AD),0.005))</f>
        <v>0</v>
      </c>
      <c r="BF193" s="2" t="str">
        <f>IF(J193&gt;0.3,"No",_xlfn.XLOOKUP(_xlfn.XLOOKUP(Animals!B193,'Base stats'!B:B,'Base stats'!E:E),Groups!A:A,Groups!AP:AP))</f>
        <v>No</v>
      </c>
      <c r="BG193" s="2" t="str">
        <f>IF(AND(J193&lt;=0.65,_xlfn.XLOOKUP(_xlfn.XLOOKUP(Animals!B193,'Base stats'!B:B,'Base stats'!E:E),Groups!A:A,Groups!AP:AP)&lt;&gt;"No",_xlfn.XLOOKUP(_xlfn.XLOOKUP(B193,'Base stats'!B:B,'Base stats'!E:E),Groups!A:A,Groups!D:D)=0),MROUND((80/3)*IF(_xlfn.XLOOKUP(B193,'Base stats'!B:B,'Base stats'!O:O)=2,0.2,AO193) + 24*(1-IF(BF193="No",0,BF193)) + 16/3, 12),"No")</f>
        <v>No</v>
      </c>
      <c r="BH193" s="2">
        <f>IF(AND(_xlfn.XLOOKUP(_xlfn.XLOOKUP(B193,'Base stats'!B:B,'Base stats'!E:E),Groups!A:A,Groups!AQ:AQ)=1,AO193&lt;=0.35),8,12)</f>
        <v>12</v>
      </c>
      <c r="BI193" s="2" t="str">
        <f>IF(_xlfn.XLOOKUP(_xlfn.XLOOKUP(B193,'Base stats'!B:B,'Base stats'!E:E),Groups!A:A,Groups!D:D)=0,_xlfn.XLOOKUP(_xlfn.XLOOKUP(B193,'Base stats'!B:B,'Base stats'!E:E),Groups!A:A,Groups!AR:AR),"None")</f>
        <v>None</v>
      </c>
      <c r="BJ193" s="2" t="str">
        <f>IF(AND(_xlfn.XLOOKUP(_xlfn.XLOOKUP(B193,'Base stats'!B:B,'Base stats'!E:E),Groups!A:A,Groups!AS:AS)=1,OR(_xlfn.XLOOKUP(B193,'Base stats'!B:B,'Base stats'!Y:Y)="Carnivore",_xlfn.XLOOKUP(B193,'Base stats'!B:B,'Base stats'!Y:Y)="Omnivore")),"true","false")</f>
        <v>false</v>
      </c>
      <c r="BK193" s="2" t="str">
        <f>IF(BJ193="true",MROUND(IF(AND(AO193&gt;0.5,OR(_xlfn.XLOOKUP(_xlfn.XLOOKUP(B193,'Base stats'!B:B,'Base stats'!E:E),Groups!A:A,Groups!AJ:AJ)="Photonozoa",_xlfn.XLOOKUP(_xlfn.XLOOKUP(B193,'Base stats'!B:B,'Base stats'!E:E),Groups!A:A,Groups!AJ:AJ)="Mammal")),Animals!AO193*1.75*IF(AW193="true",1.5,1),IF(AO193&lt;0.5,Animals!AO193*0.5,Animals!AO193)),IF(AO193&gt;2,0.5,IF(AO193&gt;0.5,0.25,0.1))),"No")</f>
        <v>No</v>
      </c>
      <c r="BL193" s="2">
        <f t="shared" si="17"/>
        <v>0</v>
      </c>
      <c r="BM193" s="25">
        <f>IF(_xlfn.XLOOKUP(B193,'Base stats'!B:B,'Base stats'!AN:AN)="Standard","No",MROUND((_xlfn.XLOOKUP(B193,'Base stats'!B:B,'Base stats'!AN:AN)/3.6)/I193,0.1))</f>
        <v>2</v>
      </c>
      <c r="BN193" s="25" t="str">
        <f t="shared" si="18"/>
        <v>true</v>
      </c>
      <c r="BO193" s="25" t="str">
        <f>IF(AND(OR(_xlfn.XLOOKUP(B193,'Base stats'!B:B,'Base stats'!Y:Y)="Carnivore",_xlfn.XLOOKUP(B193,'Base stats'!B:B,'Base stats'!Y:Y)="Omnivore",_xlfn.XLOOKUP(B193,'Base stats'!B:B,'Base stats'!Y:Y)="OmnivoreRough"),_xlfn.XLOOKUP(_xlfn.XLOOKUP(B193,'Base stats'!B:B,'Base stats'!E:E),Groups!A:A,Groups!AT:AT)=1),"true","false")</f>
        <v>true</v>
      </c>
      <c r="BP193" s="25" t="str" cm="1">
        <f t="array" ref="BP193">IF(
  _xlfn.TEXTJOIN(", ",TRUE,
    IF(AND(BJ193="true",AO193&gt;0.5,BI193&lt;&gt;"None"),"AttackTarget",""),
    IF(AND(_xlfn.XLOOKUP(_xlfn.XLOOKUP(B193,'Base stats'!B:B,'Base stats'!E:E),Groups!A:A,Groups!AJ:AJ="Mammal"),OR(_xlfn.XLOOKUP(B193,'Base stats'!B:B,'Base stats'!Y:Y)="Omnivore",_xlfn.XLOOKUP(B193,'Base stats'!B:B,'Base stats'!Y:Y)="OmnivoreRough")),"Forage",""),
    IF(BG193&lt;=36,"Comfort",""),
    IF(_xlfn.XLOOKUP(B193,'Base stats'!B:B,'Base stats'!AE:AE)&lt;&gt;"No",_xlfn.XLOOKUP(B193,'Base stats'!B:B,'Base stats'!AE:AE),"")
  ) = "",
  "No",
  _xlfn.TEXTJOIN(", ",TRUE,
    IF(AND(BJ193="true",AO193&gt;0.5,BI193&lt;&gt;"None"),"AttackTarget",""),
    IF(AND(_xlfn.XLOOKUP(_xlfn.XLOOKUP(B193,'Base stats'!B:B,'Base stats'!E:E),Groups!A:A,Groups!AJ:AJ="Mammal"),OR(_xlfn.XLOOKUP(B193,'Base stats'!B:B,'Base stats'!Y:Y)="Omnivore",_xlfn.XLOOKUP(B193,'Base stats'!B:B,'Base stats'!Y:Y)="OmnivoreRough")),"Forage",""),
    IF(BG193&lt;=36,"Comfort",""),
    IF(_xlfn.XLOOKUP(B193,'Base stats'!B:B,'Base stats'!AE:AE)&lt;&gt;"No",_xlfn.XLOOKUP(B193,'Base stats'!B:B,'Base stats'!AE:AE),"")
  )
)</f>
        <v>No</v>
      </c>
      <c r="BQ193" s="25">
        <f>IF(
   AND(
      'Base stats'!AN193="Standard",_xlfn.XLOOKUP(_xlfn.XLOOKUP(B193,'Base stats'!B:B,'Base stats'!E:E),Groups!A:A,Groups!AU:AU)=0,
      OR(
      BO193="True"
      )
   ),
   10,
   IF(
       OR(BM193&lt;&gt;"No",_xlfn.XLOOKUP(_xlfn.XLOOKUP(B193,'Base stats'!B:B,'Base stats'!E:E),Groups!A:A,Groups!AU:AU)=1),
      1,
      "No"
   )
)</f>
        <v>1</v>
      </c>
      <c r="BR193" s="9">
        <f>MROUND((1 + ((0.2*IF(OR(Q193="No",R193="No",R193=0),0,Q193/R193)
+IF(OR(V193="No",S193="No",T193="No"),0,S193/T193*(LEN(V193)-LEN(SUBSTITUTE(V193,",",""))+1))
+IF(OR(X193="No",Y193="No"),0,X193/Y193)
+IF(OR(AD193="No",AE193="No"),0,AD193/AE193)
+IF(OR(AL193="No",AI193="No",AJ193="No"),0,AI193/AJ193*(LEN(AL193)-LEN(SUBSTITUTE(AL193,",",""))+1))
)/(0.2*IF(OR(Q193="No",R193="No",R193=0),0,1)
+IF(OR(V193="No",S193="No",T193="No"),0,LEN(V193)-LEN(SUBSTITUTE(V193,",",""))+1)
+IF(OR(X193="No",Y193="No"),0,1)
+IF(OR(AD193="No",AE193="No"),0,1)
+IF(OR(AL193="No",AI193="No",AJ193="No"),0,LEN(AL193)-LEN(SUBSTITUTE(AL193,",",""))+1))*62%)* 2)*(1 + (AP193 / (IF(_xlfn.XLOOKUP(_xlfn.XLOOKUP(B193,'Base stats'!B:B,'Base stats'!E:E),Groups!A:A,Groups!AJ:AJ)="Photonozoa",0.3,1)) + _xlfn.XLOOKUP(B193,'Base stats'!B:B,'Base stats'!AV:AV) * 1.8) * 2) * 2.5 + 10 + I193 * 2,5)+IF(_xlfn.XLOOKUP(B193,'Base stats'!B:B,'Base stats'!AK:AK)=1,50,0)</f>
        <v>45</v>
      </c>
      <c r="BS193" s="8">
        <f t="shared" si="19"/>
        <v>0.60000000000000009</v>
      </c>
      <c r="BT193" s="8" t="str">
        <f>_xlfn.XLOOKUP(B193,'Base stats'!B:B,'Base stats'!AF:AF)</f>
        <v>5~15</v>
      </c>
      <c r="BU193" s="2" t="str">
        <f>IF(AND(J193&lt;=0.95,OR(_xlfn.XLOOKUP(B193,'Base stats'!B:B,'Base stats'!AK:AK)=1,_xlfn.XLOOKUP(B193,'Base stats'!B:B,'Base stats'!Y:Y)="Carnivore",_xlfn.XLOOKUP(B193,'Base stats'!B:B,'Base stats'!Y:Y)="Omnivore",BE193&gt;0.1)),"true","false")</f>
        <v>true</v>
      </c>
      <c r="BV193" s="2" t="str">
        <f>IF(_xlfn.XLOOKUP(B193,'Base stats'!B:B,'Base stats'!AI:AI)=1,"true","false")</f>
        <v>false</v>
      </c>
      <c r="BW193" s="25" t="str">
        <f>IF(E193="BaseInsect","AnimalInsect",
IF(J193&gt;0.95,"AnimalExotic",
_xlfn.TEXTJOIN(", ",TRUE,
IF(OR(_xlfn.XLOOKUP(B193,'Base stats'!B:B,'Base stats'!AM:AM)=1,AND(_xlfn.XLOOKUP(B193,'Base stats'!B:B,'Base stats'!O:O)=0,_xlfn.XLOOKUP(_xlfn.XLOOKUP(B193,'Base stats'!B:B,'Base stats'!E:E),Groups!A:A,Groups!B:B)&gt;0)),"AnimalUncommon","AnimalCommon"),
IF(AND(_xlfn.XLOOKUP(B193,'Base stats'!B:B,'Base stats'!O:O)=2,_xlfn.XLOOKUP(_xlfn.XLOOKUP(B193,'Base stats'!B:B,'Base stats'!E:E),Groups!A:A,Groups!D:D)=0),"AnimalPet",IF(AND(_xlfn.XLOOKUP(B193,'Base stats'!B:B,'Base stats'!O:O)&lt;&gt;0,_xlfn.XLOOKUP(_xlfn.XLOOKUP(B193,'Base stats'!B:B,'Base stats'!E:E),Groups!A:A,Groups!D:D)&lt;&gt;0),"AnimalFarm","")),
IF(OR(_xlfn.XLOOKUP(B193,'Base stats'!B:B,'Base stats'!AK:AK)=1,AND(BI193&lt;&gt;"None",BR193&gt;=60),ISNUMBER(SEARCH("Attack target",BP193))),"AnimalFighter","")
)))</f>
        <v>AnimalUncommon</v>
      </c>
      <c r="BX193" s="25" t="str">
        <f>IF(G193="None",TRIM(
SUBSTITUTE(
IF(COUNTIF(Biomes!B$2:B$259,"="&amp;$C193)&gt;0,Biomes!B$1&amp;", ","")&amp;
IF(COUNTIF(Biomes!C$2:C$259,"="&amp;$C193)&gt;0,Biomes!C$1&amp;", ","")&amp;
IF(COUNTIF(Biomes!D$2:D$259,"="&amp;$C193)&gt;0,Biomes!D$1&amp;", ","")&amp;
IF(COUNTIF(Biomes!F$2:F$259,"="&amp;$C193)&gt;0,Biomes!F$1&amp;", ","")&amp;
IF(COUNTIF(Biomes!G$2:G$259,"="&amp;$C193)&gt;0,Biomes!G$1&amp;", ","")&amp;
IF(COUNTIF(Biomes!H$2:H$259,"="&amp;$C193)&gt;0,Biomes!H$1&amp;", ","")&amp;
IF(COUNTIF(Biomes!I$2:I$259,"="&amp;$C193)&gt;0,Biomes!I$1&amp;", ","")&amp;
IF(COUNTIF(Biomes!J$2:J$259,"="&amp;$C193)&gt;0,Biomes!J$1&amp;", ","")&amp;
IF(COUNTIF(Biomes!M$2:M$259,"="&amp;$C193)&gt;0,Biomes!M$1&amp;", ","")&amp;
IF(COUNTIF(Biomes!N$2:N$259,"="&amp;$C193)&gt;0,Biomes!N$1&amp;", ","")&amp;
IF(COUNTIF(Biomes!O$2:O$259,"="&amp;$C193)&gt;0,Biomes!O$1&amp;", ","")&amp;
IF(COUNTIF(Biomes!P$2:P$259,"="&amp;$C193)&gt;0,Biomes!P$1&amp;", ","")&amp;
IF(COUNTIF(Biomes!K$2:K$259,"="&amp;$C193)&gt;0,Biomes!K$1&amp;", ","")&amp;
IF(COUNTIF(Biomes!Q$3:Q$259,"="&amp;$C193)&gt;0,Biomes!Q$1&amp;", ","")&amp;
IF(COUNTIF(Biomes!L$2:L$259,"="&amp;$C193)&gt;0,Biomes!L$1&amp;", ","")&amp;
IF(COUNTIF(Biomes!E$2:E$259,"="&amp;$C193)&gt;0,Biomes!E$1&amp;", ","")&amp;IF(COUNTIF(Biomes!S$2:S$259,"="&amp;$C193)&gt;0,Biomes!S$1&amp;", ","")&amp;
IF(COUNTIF(Biomes!R$2:R$259,"="&amp;$C193)&gt;0,Biomes!R$1&amp;", ",""),", ","")
),_xlfn.XLOOKUP(B193,B:B,BX:BX))</f>
        <v>SeaIce IceSheet Tundra</v>
      </c>
      <c r="BY193" s="25" t="str">
        <f>IF(_xlfn.XLOOKUP(B193,'Base stats'!B:B,'Base stats'!AJ:AJ)=1,"true","false")</f>
        <v>true</v>
      </c>
      <c r="BZ193" s="25">
        <f>IF(_xlfn.XLOOKUP(B193,'Base stats'!B:B,'Base stats'!N:N)=1,"No",MAX(0.001,MIN(MROUND(IF(AND(BJ193="True",CC193="False"),POWER(10,3.47*LOG10(_xlfn.XLOOKUP(B193,'Base stats'!B:B,'Base stats'!C:C)*1000)^-0.96),POWER(10,4.15*LOG10(_xlfn.XLOOKUP(B193,'Base stats'!B:B,'Base stats'!C:C)*1000)^-0.73))*IF(_xlfn.XLOOKUP(B193,'Base stats'!B:B,'Base stats'!AK:AK)=1,0.5,1)*IF(_xlfn.XLOOKUP(B193,'Base stats'!B:B,'Base stats'!AM:AM)=1,0.1,1)/100,IF(_xlfn.XLOOKUP(B193,'Base stats'!B:B,'Base stats'!AM:AM)=1,0.001,0.025)),0.5)))</f>
        <v>0.25</v>
      </c>
      <c r="CA193" s="25" t="str">
        <f>IF(P193="Standard","No",MAX(0.001,MIN(MROUND(IF(AND(BJ193="True",CC193="False"),POWER(10,3.47*LOG10(_xlfn.XLOOKUP(B193,'Base stats'!B:B,'Base stats'!C:C)*1000)^-0.96),POWER(10,4.15*LOG10(_xlfn.XLOOKUP(B193,'Base stats'!B:B,'Base stats'!C:C)*1000)^-0.73))*IF(_xlfn.XLOOKUP(B193,'Base stats'!B:B,'Base stats'!AM:AM)=1,0.1,1)*_xlfn.XLOOKUP(B193,'Base stats'!B:B,'Base stats'!R:R)/100,IF(_xlfn.XLOOKUP(B193,'Base stats'!B:B,'Base stats'!AM:AM)=1,0.001,0.025)),0.5)))</f>
        <v>No</v>
      </c>
      <c r="CB193" s="25" t="str">
        <f>IF(_xlfn.XLOOKUP(_xlfn.XLOOKUP(B193,'Base stats'!B:B,'Base stats'!E:E),Groups!A:A,Groups!AJ:AJ)="Mammal","True","False")</f>
        <v>False</v>
      </c>
      <c r="CC193" s="25" t="str">
        <f>IF(OR(_xlfn.XLOOKUP(_xlfn.XLOOKUP(B193,'Base stats'!B:B,'Base stats'!E:E),Groups!A:A,Groups!AJ:AJ)="Reptile",_xlfn.XLOOKUP(_xlfn.XLOOKUP(B193,'Base stats'!B:B,'Base stats'!E:E),Groups!A:A,Groups!AJ:AJ)="Amphibian",_xlfn.XLOOKUP(_xlfn.XLOOKUP(B193,'Base stats'!B:B,'Base stats'!E:E),Groups!A:A,Groups!AJ:AJ)="Invertebrate"),"True","False")</f>
        <v>False</v>
      </c>
      <c r="CD193" s="25" t="str">
        <f t="shared" si="20"/>
        <v>False</v>
      </c>
      <c r="CE193" s="25" t="str">
        <f>IF(_xlfn.XLOOKUP(_xlfn.XLOOKUP(B193,'Base stats'!B:B,'Base stats'!E:E),Groups!A:A,Groups!AX:AX),"True","False")</f>
        <v>False</v>
      </c>
      <c r="CF193" s="25" t="str">
        <f>IF(_xlfn.XLOOKUP(_xlfn.XLOOKUP(B193,'Base stats'!B:B,'Base stats'!E:E),Groups!A:A,Groups!AY:AY),"True","False")</f>
        <v>False</v>
      </c>
      <c r="CG193" s="25" t="str">
        <f>IF(_xlfn.XLOOKUP(_xlfn.XLOOKUP(B193,'Base stats'!B:B,'Base stats'!E:E),Groups!A:A,Groups!AW:AW),"True","False")</f>
        <v>False</v>
      </c>
      <c r="CH193" s="25" t="str">
        <f>IF(
OR(
_xlfn.XLOOKUP(_xlfn.XLOOKUP(B193,'Base stats'!B:B,'Base stats'!E:E),Groups!A:A,Groups!AZ:AZ)=0,
AND(
_xlfn.XLOOKUP(B193,'Base stats'!B:B,'Base stats'!Y:Y)&lt;&gt;"Carnivore",
_xlfn.XLOOKUP(B193,'Base stats'!B:B,'Base stats'!Y:Y)&lt;&gt;"Omnivore",
_xlfn.XLOOKUP(B193,'Base stats'!B:B,'Base stats'!Y:Y)&lt;&gt;"OmnivoreRough"
)
),
"No",
IF(
_xlfn.XLOOKUP(_xlfn.XLOOKUP(B193,'Base stats'!B:B,'Base stats'!E:E),Groups!A:A,Groups!AZ:AZ)=1,
"Flesh",
IF(
_xlfn.XLOOKUP(_xlfn.XLOOKUP(B193,'Base stats'!B:B,'Base stats'!E:E),Groups!A:A,Groups!AZ:AZ)=2,
"Bone",
""
)
)
)</f>
        <v>No</v>
      </c>
      <c r="CI193" s="25" t="str">
        <f>IF(_xlfn.XLOOKUP(_xlfn.XLOOKUP(B193,'Base stats'!B:B,'Base stats'!E:E),Groups!A:A,Groups!BB:BB),"True","False")</f>
        <v>True</v>
      </c>
      <c r="CJ193" s="25" t="str">
        <f>IF(_xlfn.XLOOKUP(_xlfn.XLOOKUP(B193,'Base stats'!B:B,'Base stats'!E:E),Groups!A:A,Groups!BA:BA),"True","False")</f>
        <v>False</v>
      </c>
    </row>
    <row r="194" spans="1:88" s="16" customFormat="1" ht="16.5" thickTop="1" thickBot="1" x14ac:dyDescent="0.3">
      <c r="A194" s="26" t="str">
        <f>_xlfn.XLOOKUP(B194,'Base stats'!B:B,'Base stats'!A:A)</f>
        <v>Hippo</v>
      </c>
      <c r="B194" s="6" t="s">
        <v>179</v>
      </c>
      <c r="C194" s="28" t="s">
        <v>1239</v>
      </c>
      <c r="D194" s="28" t="s">
        <v>872</v>
      </c>
      <c r="E194" s="28" t="s">
        <v>673</v>
      </c>
      <c r="F194" s="28" t="s">
        <v>673</v>
      </c>
      <c r="G194" s="28" t="s">
        <v>1228</v>
      </c>
      <c r="H194" s="2">
        <f>MROUND((
  (IF(AND(_xlfn.XLOOKUP(B194,'Base stats'!B:B,'Base stats'!AL:AL)=0,BI194="None",_xlfn.XLOOKUP(_xlfn.XLOOKUP(B194,'Base stats'!B:B,'Base stats'!E:E),Groups!A:A,Groups!B:B)=0), (18 + BR194 * 2.7) * 0.5,
    IF(AND(_xlfn.XLOOKUP(B194,'Base stats'!B:B,'Base stats'!AL:AL)=0,OR(AO194&lt;0.55,AND(BI194="Intermediate",_xlfn.XLOOKUP(_xlfn.XLOOKUP(B194,'Base stats'!B:B,'Base stats'!E:E),Groups!A:A,Groups!B:B)&lt;2))), (18 + BR194 * 2.7),
      IF(OR(BI194="Advanced",_xlfn.XLOOKUP(B194,'Base stats'!B:B,'Base stats'!AL:AL)=1,_xlfn.XLOOKUP(_xlfn.XLOOKUP(B194,'Base stats'!B:B,'Base stats'!E:E),Groups!A:A,Groups!B:B)=2), (18 + BR194 * 2.7) + 250, (18 + BR194 * 2.7))
    )
  ))
  + AO194 * 80
  + IF(COUNTIF(EggMilk!K$2:K$998, A194) &gt; 0, 125, 0)
  + IF(COUNTIF(EggMilk!P$2:P$998, A194) &gt; 0, 90, 0)
  + IF(COUNTIF(EggMilk!A$2:A$998, A194) &gt; 0, 90, 0)
)
* (0.8 + 0.4 * J194)
* 0.75,25)</f>
        <v>725</v>
      </c>
      <c r="I194" s="2">
        <f>MROUND(ROUNDDOWN(_xlfn.XLOOKUP(B194,'Base stats'!B:B,'Base stats'!L:L)/3.6/(23.3/11),1),0.5)</f>
        <v>3</v>
      </c>
      <c r="J194" s="2">
        <f>IF(OR(_xlfn.XLOOKUP(B194,'Base stats'!B:B,'Base stats'!AB:AB)=1,_xlfn.XLOOKUP(_xlfn.XLOOKUP(B194,'Base stats'!B:B,'Base stats'!E:E),Groups!A:A,Groups!C:C)="Untamable"),1,IF(_xlfn.XLOOKUP(B194,'Base stats'!B:B,'Base stats'!AL:AL)=1,0.99,MIN(MROUND((1-0.6282*EXP(-0.459*AO194))*_xlfn.XLOOKUP(_xlfn.XLOOKUP(B194,'Base stats'!B:B,'Base stats'!E:E),Groups!A:A,Groups!C:C)*IF(_xlfn.XLOOKUP(B194,'Base stats'!B:B,'Base stats'!O:O)=1,0.5,IF(_xlfn.XLOOKUP(B194,'Base stats'!B:B,'Base stats'!O:O)=2,0,1)),0.05),IF(AO194&gt;3.5,0.985,0.95))))</f>
        <v>0.9</v>
      </c>
      <c r="K194" s="2">
        <f>ROUNDUP(AO194*_xlfn.XLOOKUP(_xlfn.XLOOKUP(B194,'Base stats'!B:B,'Base stats'!E:E),Groups!A:A,Groups!E:E),0)</f>
        <v>19</v>
      </c>
      <c r="L194" s="2">
        <f>IF(OR(_xlfn.XLOOKUP(_xlfn.XLOOKUP(B194,'Base stats'!B:B,'Base stats'!E:E),Groups!A:A,Groups!F:F)=2,ISNUMBER(SEARCH("SeaIce",BX194)),ISNUMBER(SEARCH("IceSheet",BX194))),-50,IF(OR(ISNUMBER(SEARCH("GlacialPlain",BX194)),ISNUMBER(SEARCH("Tundra",BX194))),-40,IF(OR(ISNUMBER(SEARCH("Alpine",BX194)),ISNUMBER(SEARCH("BorealForest",BX194)),ISNUMBER(SEARCH("ColdBog",BX194))),-30,IF(OR(ISNUMBER(SEARCH("TemperateForest",BX194)),ISNUMBER(SEARCH("TemperateSwamp",BX194))),-20,IF(_xlfn.XLOOKUP(_xlfn.XLOOKUP(B194,'Base stats'!B:B,'Base stats'!E:E),Groups!A:A,Groups!F:F)=1,-15,IF(OR(ISNUMBER(SEARCH("Desert",BX194)),ISNUMBER(SEARCH("ExtremeDesert",BX194))),-10,IF(OR(ISNUMBER(SEARCH("Grasslands",BX194)),ISNUMBER(SEARCH("TropicalRainforest",BX194)),ISNUMBER(SEARCH("TropicalSwamp",BX194))),10,0)))))))-IF(CC194="False",MIN(IFERROR(MAX(MROUND(LOG10(_xlfn.XLOOKUP(B194,'Base stats'!B:B,'Base stats'!C:C)^(2/3))*10,5),5),5),30))-_xlfn.XLOOKUP(B194,'Base stats'!B:B,'Base stats'!P:P)+IF(CC194="True",5,0)</f>
        <v>-10</v>
      </c>
      <c r="M194" s="2">
        <f>IF(OR(_xlfn.XLOOKUP(_xlfn.XLOOKUP(B194,'Base stats'!B:B,'Base stats'!E:E),Groups!A:A,Groups!G:G)=2,ISNUMBER(SEARCH("Desert",BX194)),ISNUMBER(SEARCH("ExtremeDesert",BX194)),ISNUMBER(SEARCH("LavaField",BX194))),50,IF(ISNUMBER(SEARCH("Grasslands",BX194)),45,IF(OR(_xlfn.XLOOKUP(_xlfn.XLOOKUP(B194,'Base stats'!B:B,'Base stats'!E:E),Groups!A:A,Groups!G:G)=1,ISNUMBER(SEARCH("TropicalRainforest",BX194)),ISNUMBER(SEARCH("TropicalSwamp",BX194))),40,IF(OR(ISNUMBER(SEARCH("TemperateForest",BX194)),ISNUMBER(SEARCH("TemperateSwamp",BX194))),35,IF(OR(ISNUMBER(SEARCH("Alpine",BX194)),ISNUMBER(SEARCH("BorealForest",BX194)),ISNUMBER(SEARCH("ColdBog",BX194))),30,IF(ISNUMBER(OR(ISNUMBER(SEARCH("GlacialPlain",BX194)),SEARCH("Tundra",BX194))),25,IF(OR(ISNUMBER(SEARCH("SeaIce",BX194)),ISNUMBER(SEARCH("IceSheet",BX194)),ISNUMBER(SEARCH("TropicalSwamp",BX194))),10,35)))))))+_xlfn.XLOOKUP(B194,'Base stats'!B:B,'Base stats'!Q:Q)</f>
        <v>40</v>
      </c>
      <c r="N194" s="8" t="str">
        <f>IF(
_xlfn.XLOOKUP(
_xlfn.XLOOKUP(B194,'Base stats'!B:B,'Base stats'!E:E),
Groups!A:A,
Groups!L:L
)=1,
MIN(
MROUND(
IF(
_xlfn.XLOOKUP(B194,'Animals CE'!B:B,'Animals CE'!Z:Z)&lt;=1.5,
_xlfn.XLOOKUP(B194,'Animals CE'!B:B,'Animals CE'!Z:Z)/2+0.05,
0.8+
(_xlfn.XLOOKUP(B194,'Animals CE'!B:B,'Animals CE'!Z:Z)-1.5)
*0.02
),
0.05
),
200%
),
"No"
)</f>
        <v>No</v>
      </c>
      <c r="O194" s="8" t="str">
        <f>IF(
_xlfn.XLOOKUP(
_xlfn.XLOOKUP(B194,'Base stats'!B:B,'Base stats'!E:E),
Groups!A:A,
Groups!L:L
)=1,
MIN(
MROUND(
IF(
_xlfn.XLOOKUP(B194,'Animals CE'!B:B,'Animals CE'!AA:AA)&lt;=1.5,
_xlfn.XLOOKUP(B194,'Animals CE'!B:B,'Animals CE'!AA:AA)/2+0.05,
0.8+
(_xlfn.XLOOKUP(B194,'Animals CE'!B:B,'Animals CE'!AA:AA)-1.5)
*0.02
),
0.05
),
200%
),
"No"
)</f>
        <v>No</v>
      </c>
      <c r="P194" s="2" t="str">
        <f>_xlfn.XLOOKUP(B194,'Base stats'!B:B,'Base stats'!R:R)</f>
        <v>Standard</v>
      </c>
      <c r="Q194" s="13">
        <f>MROUND((LOG10(_xlfn.XLOOKUP(B194,'Base stats'!B:B,'Base stats'!AR:AR))*(AO194^0.5)+(_xlfn.XLOOKUP(B194,'Base stats'!B:B,'Base stats'!AR:AR)/1000)^(2/3)+_xlfn.XLOOKUP(B194,'Base stats'!B:B,'Base stats'!BA:BA)/2)+0.5,0.5)</f>
        <v>22.5</v>
      </c>
      <c r="R194" s="7">
        <f>IF(Q194="No","No",MAX(1,MROUND(_xlfn.XLOOKUP(B194,'Base stats'!B:B,'Base stats'!C:C)^0.165,0.05)))</f>
        <v>3.3000000000000003</v>
      </c>
      <c r="S194" s="13" t="str">
        <f>IF(_xlfn.XLOOKUP(_xlfn.XLOOKUP(B194,'Base stats'!B:B,'Base stats'!E:E),Groups!A:A,Groups!P:P)=0,"No",MROUND((LOG10(_xlfn.XLOOKUP(B194,'Base stats'!B:B,'Base stats'!AS:AS))*(AO194^0.5)+(_xlfn.XLOOKUP(B194,'Base stats'!B:B,'Base stats'!AS:AS)/1000)^(2/3)+_xlfn.XLOOKUP(B194,'Base stats'!B:B,'Base stats'!BA:BA))+_xlfn.XLOOKUP(B194,'Base stats'!B:B,'Base stats'!AY:AY)+0.5,0.5))</f>
        <v>No</v>
      </c>
      <c r="T194" s="7" t="str">
        <f>IF(S194="No","No",MAX(_xlfn.XLOOKUP(_xlfn.XLOOKUP(B194,'Base stats'!B:B,'Base stats'!E:E),Groups!A:A,Groups!Q:Q),MROUND(_xlfn.XLOOKUP(_xlfn.XLOOKUP(B194,'Base stats'!B:B,'Base stats'!E:E),Groups!A:A,Groups!Q:Q)*_xlfn.XLOOKUP(B194,'Base stats'!B:B,'Base stats'!C:C)^0.165,0.05)))</f>
        <v>No</v>
      </c>
      <c r="U194" s="7" t="str">
        <f>IF(S194="No","No",_xlfn.XLOOKUP(_xlfn.XLOOKUP(B194,'Base stats'!B:B,'Base stats'!E:E),Groups!A:A,Groups!R:R))</f>
        <v>No</v>
      </c>
      <c r="V194" s="7" t="str">
        <f>IF(S194="No","No",_xlfn.XLOOKUP(_xlfn.XLOOKUP(B194,'Base stats'!B:B,'Base stats'!E:E),Groups!A:A,Groups!S:S))</f>
        <v>No</v>
      </c>
      <c r="W194" s="7" t="str">
        <f>IF(S194="No","No",_xlfn.XLOOKUP(_xlfn.XLOOKUP(B194,'Base stats'!B:B,'Base stats'!E:E),Groups!A:A,Groups!T:T))</f>
        <v>No</v>
      </c>
      <c r="X194" s="13" t="str">
        <f>IF(_xlfn.XLOOKUP(B194,'Base stats'!B:B,'Base stats'!W:W)="No","No",MROUND((LOG10(_xlfn.XLOOKUP(B194,'Base stats'!B:B,'Base stats'!AU:AU))*(AO194^0.5)+(_xlfn.XLOOKUP(B194,'Base stats'!B:B,'Base stats'!AU:AU)/1000)^(2/3)+_xlfn.XLOOKUP(B194,'Base stats'!B:B,'Base stats'!AZ:AZ))+0.5+IF(_xlfn.XLOOKUP(_xlfn.XLOOKUP(B194,'Base stats'!B:B,'Base stats'!E:E),Groups!A:A,Groups!U:U)&lt;&gt;3,_xlfn.XLOOKUP(B194,'Base stats'!B:B,'Base stats'!BA:BA),0),0.5))</f>
        <v>No</v>
      </c>
      <c r="Y194" s="7" t="str">
        <f>IF(X194="No","No",MAX(_xlfn.XLOOKUP(_xlfn.XLOOKUP(B194,'Base stats'!B:B,'Base stats'!E:E),Groups!A:A,Groups!V:V),MROUND(_xlfn.XLOOKUP(_xlfn.XLOOKUP(B194,'Base stats'!B:B,'Base stats'!E:E),Groups!A:A,Groups!V:V)*_xlfn.XLOOKUP(B194,'Base stats'!B:B,'Base stats'!C:C)^0.165,0.05)))</f>
        <v>No</v>
      </c>
      <c r="Z194" s="7" t="str">
        <f>IF(X194="No","No",_xlfn.XLOOKUP(_xlfn.XLOOKUP(B194,'Base stats'!B:B,'Base stats'!E:E),Groups!A:A,Groups!W:W))</f>
        <v>No</v>
      </c>
      <c r="AA194" s="7" t="str">
        <f>IF(X194="No","No",_xlfn.XLOOKUP(_xlfn.XLOOKUP(B194,'Base stats'!B:B,'Base stats'!E:E),Groups!A:A,Groups!X:X))</f>
        <v>No</v>
      </c>
      <c r="AB194" s="7" t="str">
        <f>IF(X194="No","No",_xlfn.XLOOKUP(_xlfn.XLOOKUP(B194,'Base stats'!B:B,'Base stats'!E:E),Groups!A:A,Groups!Y:Y))</f>
        <v>No</v>
      </c>
      <c r="AC194" s="7" t="str">
        <f>_xlfn.XLOOKUP(Animals!B194,'Base stats'!B:B,'Base stats'!X:X)</f>
        <v>False</v>
      </c>
      <c r="AD194" s="13">
        <f>IF(_xlfn.XLOOKUP(B194,'Base stats'!B:B,'Base stats'!AT:AT)="No","No",MROUND((LOG10(_xlfn.XLOOKUP(B194,'Base stats'!B:B,'Base stats'!AT:AT))*(AO194^0.75)+(_xlfn.XLOOKUP(B194,'Base stats'!B:B,'Base stats'!AT:AT)/1000)^(2/3)+_xlfn.XLOOKUP(B194,'Base stats'!B:B,'Base stats'!AX:AX)+_xlfn.XLOOKUP(B194,'Base stats'!B:B,'Base stats'!BA:BA))+0.5,0.5))</f>
        <v>34</v>
      </c>
      <c r="AE194" s="7">
        <f>IF(AD194="No","No",MAX(_xlfn.XLOOKUP(_xlfn.XLOOKUP(B194,'Base stats'!B:B,'Base stats'!E:E),Groups!A:A,Groups!Z:Z),MROUND(_xlfn.XLOOKUP(_xlfn.XLOOKUP(B194,'Base stats'!B:B,'Base stats'!E:E),Groups!A:A,Groups!Z:Z)*_xlfn.XLOOKUP(B194,'Base stats'!B:B,'Base stats'!C:C)^0.165,0.05)))</f>
        <v>2.8000000000000003</v>
      </c>
      <c r="AF194" s="7" t="str">
        <f>IF(AD194="No","No",_xlfn.XLOOKUP(_xlfn.XLOOKUP(B194,'Base stats'!B:B,'Base stats'!E:E),Groups!A:A,Groups!AA:AA))</f>
        <v>Teeth</v>
      </c>
      <c r="AG194" s="7" t="str">
        <f>IF(AD194="No","No",_xlfn.XLOOKUP(_xlfn.XLOOKUP(B194,'Base stats'!B:B,'Base stats'!E:E),Groups!A:A,Groups!AB:AB))</f>
        <v>teeth</v>
      </c>
      <c r="AH194" s="7" t="str">
        <f>IF(AD194="No","No",_xlfn.XLOOKUP(_xlfn.XLOOKUP(B194,'Base stats'!B:B,'Base stats'!E:E),Groups!A:A,Groups!AC:AC))</f>
        <v>Bite</v>
      </c>
      <c r="AI194" s="13" t="str">
        <f>IF(_xlfn.XLOOKUP(_xlfn.XLOOKUP(B194,'Base stats'!B:B,'Base stats'!E:E),Groups!A:A,Groups!AD:AD)=0,"No",MROUND((LOG10(_xlfn.XLOOKUP(B194,'Base stats'!B:B,'Base stats'!AS:AS))*(AO194^0.75)+(_xlfn.XLOOKUP(B194,'Base stats'!B:B,'Base stats'!AS:AS)/1000)^(2/3)+_xlfn.XLOOKUP(B194,'Base stats'!B:B,'Base stats'!AY:AY)+_xlfn.XLOOKUP(B194,'Base stats'!B:B,'Base stats'!BA:BA))+0.5,0.5))</f>
        <v>No</v>
      </c>
      <c r="AJ194" s="7" t="str">
        <f>IF(AI194="No","No",MAX(_xlfn.XLOOKUP(_xlfn.XLOOKUP(B194,'Base stats'!B:B,'Base stats'!E:E),Groups!A:A,Groups!AE:AE),MROUND(_xlfn.XLOOKUP(_xlfn.XLOOKUP(B194,'Base stats'!B:B,'Base stats'!E:E),Groups!A:A,Groups!AE:AE)*IF(_xlfn.XLOOKUP(_xlfn.XLOOKUP(B194,'Base stats'!B:B,'Base stats'!E:E),Groups!A:A,Groups!AJ:AJ)="Photonozoa",0.6,1)*_xlfn.XLOOKUP(B194,'Base stats'!B:B,'Base stats'!C:C)^0.165,0.05)))</f>
        <v>No</v>
      </c>
      <c r="AK194" s="7" t="str">
        <f>IF(AI194="No","No",_xlfn.XLOOKUP(_xlfn.XLOOKUP(B194,'Base stats'!B:B,'Base stats'!E:E),Groups!A:A,Groups!AF:AF))</f>
        <v>No</v>
      </c>
      <c r="AL194" s="7" t="str">
        <f>IF(AI194="No","No",_xlfn.XLOOKUP(_xlfn.XLOOKUP(B194,'Base stats'!B:B,'Base stats'!E:E),Groups!A:A,Groups!AG:AG))</f>
        <v>No</v>
      </c>
      <c r="AM194" s="7" t="str">
        <f>IF(AI194="No","No",_xlfn.XLOOKUP(_xlfn.XLOOKUP(B194,'Base stats'!B:B,'Base stats'!E:E),Groups!A:A,Groups!AH:AH))</f>
        <v>No</v>
      </c>
      <c r="AN194" s="2" t="str">
        <f t="shared" si="14"/>
        <v>No</v>
      </c>
      <c r="AO194" s="2">
        <f>MROUND(IF(AND(_xlfn.XLOOKUP(B194,'Base stats'!B:B,'Base stats'!C:C)&gt;=0.5,_xlfn.XLOOKUP(B194,'Base stats'!B:B,'Base stats'!C:C)&lt;=0.8),
IF(_xlfn.XLOOKUP(B194,'Base stats'!B:B,'Base stats'!C:C)&lt;0.1,0.05,IF(_xlfn.XLOOKUP(B194,'Base stats'!B:B,'Base stats'!C:C)&lt;=70,(_xlfn.XLOOKUP(B194,'Base stats'!B:B,'Base stats'!C:C)/70)^0.426489913056526,IF(_xlfn.XLOOKUP(B194,'Base stats'!B:B,'Base stats'!C:C)&lt;=400,(_xlfn.XLOOKUP(B194,'Base stats'!B:B,'Base stats'!C:C)/70)^0.572811455315093,IF(_xlfn.XLOOKUP(B194,'Base stats'!B:B,'Base stats'!C:C)&lt;=2000,2.71391647193063*(_xlfn.XLOOKUP(B194,'Base stats'!B:B,'Base stats'!C:C)/400)^0.252459582904293,3.74314280240376*(_xlfn.XLOOKUP(B194,'Base stats'!B:B,'Base stats'!C:C)/2000)^0.357012633876913)))),
IF(_xlfn.XLOOKUP(B194,'Base stats'!B:B,'Base stats'!C:C)&lt;0.1,0.05,IF(_xlfn.XLOOKUP(B194,'Base stats'!B:B,'Base stats'!C:C)&lt;0.4,0.1,IF(_xlfn.XLOOKUP(B194,'Base stats'!B:B,'Base stats'!C:C)&lt;=70,(_xlfn.XLOOKUP(B194,'Base stats'!B:B,'Base stats'!C:C)/70)^0.445823913056526,IF(_xlfn.XLOOKUP(B194,'Base stats'!B:B,'Base stats'!C:C)&lt;=400,(_xlfn.XLOOKUP(B194,'Base stats'!B:B,'Base stats'!C:C)/70)^0.572811455315093,IF(_xlfn.XLOOKUP(B194,'Base stats'!B:B,'Base stats'!C:C)&lt;=2000,2.71391647193063*(_xlfn.XLOOKUP(B194,'Base stats'!B:B,'Base stats'!C:C)/400)^0.252459582904293,3.74314280240376*(_xlfn.XLOOKUP(B194,'Base stats'!B:B,'Base stats'!C:C)/2000)^0.357012633876913)))))),
IF(_xlfn.XLOOKUP(B194,'Base stats'!B:B,'Base stats'!C:C)&lt;0.1,0.05,IF(_xlfn.XLOOKUP(B194,'Base stats'!B:B,'Base stats'!C:C)&lt;=100,0.05,IF(_xlfn.XLOOKUP(B194,'Base stats'!B:B,'Base stats'!C:C)&lt;=250,0.1,IF(_xlfn.XLOOKUP(B194,'Base stats'!B:B,'Base stats'!C:C)&lt;=4000,0.25,0.5)))))</f>
        <v>3.75</v>
      </c>
      <c r="AP194" s="8">
        <f>MROUND(AO194*_xlfn.XLOOKUP(_xlfn.XLOOKUP(B194,'Base stats'!B:B,'Base stats'!E:E),Groups!A:A,Groups!AI:AI)*_xlfn.XLOOKUP(B194,'Base stats'!B:B,'Base stats'!Z:Z),0.05)</f>
        <v>4.5</v>
      </c>
      <c r="AQ194" s="8">
        <f>MAX(0.01,MROUND(IF(CC194="True",0.196*(AO194*100*1000)^0.889,IF(_xlfn.XLOOKUP(_xlfn.XLOOKUP(B194,'Base stats'!B:B,'Base stats'!E:E),Groups!A:A,Groups!AJ:AJ)="Bird",10.5*(AO194*100*1000)^0.681,4.82*(AO194*100*1000)^0.734))/(4.82*(1*100*1000)^0.734)/IF(AO194&lt;3.5,2,IF(AO194=3.5,1.5,1.25))*(1+0.132282374779864/(AO194^0.994035016789033+0.00905238001496948)),0.05))</f>
        <v>2.2000000000000002</v>
      </c>
      <c r="AR194" s="9">
        <f>IFERROR(MROUND(_xlfn.XLOOKUP(B194,'Base stats'!B:B,'Base stats'!H:H)/IF(_xlfn.XLOOKUP(B194,'Base stats'!B:B,'Base stats'!I:I)&lt;&gt;1,(122.5/70),1.2),IF(_xlfn.XLOOKUP(B194,'Base stats'!B:B,'Base stats'!H:H)&gt;=30,5,IF(_xlfn.XLOOKUP(B194,'Base stats'!B:B,'Base stats'!H:H)&gt;=15,3,IF(_xlfn.XLOOKUP(B194,'Base stats'!B:B,'Base stats'!H:H)&gt;=10,2,1)))),"Immortal")</f>
        <v>35</v>
      </c>
      <c r="AS194" s="35">
        <f>IFERROR(IF(OR(_xlfn.XLOOKUP(B194,'Base stats'!B:B,'Base stats'!F:F)="Atypical reproduction",_xlfn.XLOOKUP(B194,'Base stats'!B:B,'Base stats'!F:F)="Lay eggs"),"Lay eggs",MIN(20,MAX(5.5,ROUND(((_xlfn.XLOOKUP(B194,'Base stats'!B:B,'Base stats'!F:F)-25)*(14.5/615) + 5.5)*2,0)/2))),"Unknown")</f>
        <v>10.5</v>
      </c>
      <c r="AT194" s="8">
        <f>IF(_xlfn.XLOOKUP(B194,'Base stats'!B:B,'Base stats'!G:G)="Atypical reproduction","No",IFERROR(MAX(IF(_xlfn.XLOOKUP(B194,'Base stats'!B:B,'Base stats'!G:G)&lt;0.5,0.2,0.3),MROUND(_xlfn.XLOOKUP(B194,'Base stats'!B:B,'Base stats'!G:G)/(365/60),0.2)),"Unknown"))</f>
        <v>0.60000000000000009</v>
      </c>
      <c r="AU194" s="8">
        <f t="shared" si="15"/>
        <v>0.30000000000000004</v>
      </c>
      <c r="AV194" s="8">
        <f>IFERROR(IFERROR(MROUND(_xlfn.XLOOKUP(B194,'Base stats'!B:B,'Base stats'!J:J),0.1),"Lay eggs"),"Cannot breed")</f>
        <v>1</v>
      </c>
      <c r="AW194" s="2" t="str">
        <f t="shared" si="16"/>
        <v>true</v>
      </c>
      <c r="AX194" s="2" t="str">
        <f>IF(_xlfn.XLOOKUP(_xlfn.XLOOKUP(Animals!B194,'Base stats'!B:B,'Base stats'!E:E),Groups!A:A,Groups!AK:AK)=1,"true","false")</f>
        <v>false</v>
      </c>
      <c r="AY194" s="25" t="str">
        <f>IF(_xlfn.XLOOKUP(B194,'Base stats'!B:B,'Base stats'!Y:Y)="Liquor","Liquor, CarnivoreAnimalStrict",IF(AND(_xlfn.XLOOKUP(B194,'Base stats'!B:B,'Base stats'!Y:Y)="Carnivore",_xlfn.XLOOKUP(_xlfn.XLOOKUP(B194,'Base stats'!B:B,'Base stats'!E:E),Groups!A:A,Groups!AJ:AJ)="Photonozoa"),"CarnivoreAnimalStrict, OvivoreAnimal",IF(_xlfn.XLOOKUP(B194,'Base stats'!B:B,'Base stats'!Y:Y)="Carnivore","CarnivoreAnimal, OvivoreAnimal",IF(_xlfn.XLOOKUP(B194,'Base stats'!B:B,'Base stats'!Y:Y)="Dendrovore","VegetarianRoughAnimal, DendrovoreAnimal",IF(_xlfn.XLOOKUP(B194,'Base stats'!B:B,'Base stats'!Y:Y)="Herbivore","VegetarianRoughAnimal",IF(_xlfn.XLOOKUP(B194,'Base stats'!B:B,'Base stats'!Y:Y)="OmnivoreRough","OmnivoreRoughAnimal, OvivoreAnimal","OmnivoreAnimal, OvivoreAnimal"))))))</f>
        <v>VegetarianRoughAnimal</v>
      </c>
      <c r="AZ194" s="2">
        <f>IF(_xlfn.XLOOKUP(_xlfn.XLOOKUP(B194,'Base stats'!B:B,'Base stats'!E:E),Groups!A:A,Groups!D:D)=1,MROUND((1-J194)*5+1,2)*IF(J194&lt;=0.4,2,1),"No")</f>
        <v>2</v>
      </c>
      <c r="BA194" s="2" t="str">
        <f>IF(AND(_xlfn.XLOOKUP(B194,'Base stats'!B:B,'Base stats'!AH:AH)="&lt;li&gt;Seal&lt;/li&gt;",G194="Odyssey"),"&lt;li&gt;AEXP_Seal&lt;/li&gt;",_xlfn.XLOOKUP(B194,'Base stats'!B:B,'Base stats'!AH:AH))</f>
        <v>No</v>
      </c>
      <c r="BB194" s="2" t="str">
        <f>_xlfn.XLOOKUP(B194,'Base stats'!B:B,'Base stats'!AG:AG)</f>
        <v>Leather_Hippo</v>
      </c>
      <c r="BC194" s="23" t="str">
        <f>_xlfn.XLOOKUP(_xlfn.XLOOKUP(B194,'Base stats'!B:B,'Base stats'!E:E),Groups!A:A,Groups!AL:AL)</f>
        <v>QuadrupedAnimalWithHooves</v>
      </c>
      <c r="BD194" s="23">
        <f>MIN(1,MROUND(IF(AND(AO194&lt;0.5,_xlfn.XLOOKUP(B194,'Base stats'!B:B,'Base stats'!AA:AA)=0),0,IF(OR(_xlfn.XLOOKUP(Animals!B194,'Base stats'!B:B,'Base stats'!O:O)=2,_xlfn.XLOOKUP(_xlfn.XLOOKUP(B194,'Base stats'!B:B,'Base stats'!E:E),Groups!A:A,Groups!AN:AN)=0),0,_xlfn.XLOOKUP(_xlfn.XLOOKUP(B194,'Base stats'!B:B,'Base stats'!E:E),Groups!A:A,Groups!AN:AN)/IF(_xlfn.XLOOKUP(Animals!B194,'Base stats'!B:B,'Base stats'!O:O)=1,2,1)))+_xlfn.XLOOKUP(B194,'Base stats'!B:B,'Base stats'!AC:AC),0.005))</f>
        <v>0.2</v>
      </c>
      <c r="BE194" s="23">
        <f>MIN(1,MROUND(IF(AND(AO194&lt;0.5,_xlfn.XLOOKUP(B194,'Base stats'!B:B,'Base stats'!AA:AA)=0),0,IF(_xlfn.XLOOKUP(_xlfn.XLOOKUP(B194,'Base stats'!B:B,'Base stats'!E:E),Groups!A:A,Groups!AO:AO)=0,0,_xlfn.XLOOKUP(_xlfn.XLOOKUP(B194,'Base stats'!B:B,'Base stats'!E:E),Groups!A:A,Groups!AO:AO)/IF(_xlfn.XLOOKUP(Animals!B194,'Base stats'!B:B,'Base stats'!O:O)=2,3,1)))+_xlfn.XLOOKUP(B194,'Base stats'!B:B,'Base stats'!AD:AD),0.005))</f>
        <v>0.6</v>
      </c>
      <c r="BF194" s="2" t="str">
        <f>IF(J194&gt;0.3,"No",_xlfn.XLOOKUP(_xlfn.XLOOKUP(Animals!B194,'Base stats'!B:B,'Base stats'!E:E),Groups!A:A,Groups!AP:AP))</f>
        <v>No</v>
      </c>
      <c r="BG194" s="2" t="str">
        <f>IF(AND(J194&lt;=0.65,_xlfn.XLOOKUP(_xlfn.XLOOKUP(Animals!B194,'Base stats'!B:B,'Base stats'!E:E),Groups!A:A,Groups!AP:AP)&lt;&gt;"No",_xlfn.XLOOKUP(_xlfn.XLOOKUP(B194,'Base stats'!B:B,'Base stats'!E:E),Groups!A:A,Groups!D:D)=0),MROUND((80/3)*IF(_xlfn.XLOOKUP(B194,'Base stats'!B:B,'Base stats'!O:O)=2,0.2,AO194) + 24*(1-IF(BF194="No",0,BF194)) + 16/3, 12),"No")</f>
        <v>No</v>
      </c>
      <c r="BH194" s="2">
        <f>IF(AND(_xlfn.XLOOKUP(_xlfn.XLOOKUP(B194,'Base stats'!B:B,'Base stats'!E:E),Groups!A:A,Groups!AQ:AQ)=1,AO194&lt;=0.35),8,12)</f>
        <v>12</v>
      </c>
      <c r="BI194" s="2" t="str">
        <f>IF(_xlfn.XLOOKUP(_xlfn.XLOOKUP(B194,'Base stats'!B:B,'Base stats'!E:E),Groups!A:A,Groups!D:D)=0,_xlfn.XLOOKUP(_xlfn.XLOOKUP(B194,'Base stats'!B:B,'Base stats'!E:E),Groups!A:A,Groups!AR:AR),"None")</f>
        <v>None</v>
      </c>
      <c r="BJ194" s="2" t="str">
        <f>IF(AND(_xlfn.XLOOKUP(_xlfn.XLOOKUP(B194,'Base stats'!B:B,'Base stats'!E:E),Groups!A:A,Groups!AS:AS)=1,OR(_xlfn.XLOOKUP(B194,'Base stats'!B:B,'Base stats'!Y:Y)="Carnivore",_xlfn.XLOOKUP(B194,'Base stats'!B:B,'Base stats'!Y:Y)="Omnivore")),"true","false")</f>
        <v>false</v>
      </c>
      <c r="BK194" s="2" t="str">
        <f>IF(BJ194="true",MROUND(IF(AND(AO194&gt;0.5,OR(_xlfn.XLOOKUP(_xlfn.XLOOKUP(B194,'Base stats'!B:B,'Base stats'!E:E),Groups!A:A,Groups!AJ:AJ)="Photonozoa",_xlfn.XLOOKUP(_xlfn.XLOOKUP(B194,'Base stats'!B:B,'Base stats'!E:E),Groups!A:A,Groups!AJ:AJ)="Mammal")),Animals!AO194*1.75*IF(AW194="true",1.5,1),IF(AO194&lt;0.5,Animals!AO194*0.5,Animals!AO194)),IF(AO194&gt;2,0.5,IF(AO194&gt;0.5,0.25,0.1))),"No")</f>
        <v>No</v>
      </c>
      <c r="BL194" s="2">
        <f t="shared" si="17"/>
        <v>0</v>
      </c>
      <c r="BM194" s="25" t="str">
        <f>IF(_xlfn.XLOOKUP(B194,'Base stats'!B:B,'Base stats'!AN:AN)="Standard","No",MROUND((_xlfn.XLOOKUP(B194,'Base stats'!B:B,'Base stats'!AN:AN)/3.6)/I194,0.1))</f>
        <v>No</v>
      </c>
      <c r="BN194" s="25" t="str">
        <f t="shared" si="18"/>
        <v>true</v>
      </c>
      <c r="BO194" s="25" t="str">
        <f>IF(AND(OR(_xlfn.XLOOKUP(B194,'Base stats'!B:B,'Base stats'!Y:Y)="Carnivore",_xlfn.XLOOKUP(B194,'Base stats'!B:B,'Base stats'!Y:Y)="Omnivore",_xlfn.XLOOKUP(B194,'Base stats'!B:B,'Base stats'!Y:Y)="OmnivoreRough"),_xlfn.XLOOKUP(_xlfn.XLOOKUP(B194,'Base stats'!B:B,'Base stats'!E:E),Groups!A:A,Groups!AT:AT)=1),"true","false")</f>
        <v>false</v>
      </c>
      <c r="BP194" s="25" t="str" cm="1">
        <f t="array" ref="BP194">IF(
  _xlfn.TEXTJOIN(", ",TRUE,
    IF(AND(BJ194="true",AO194&gt;0.5,BI194&lt;&gt;"None"),"AttackTarget",""),
    IF(AND(_xlfn.XLOOKUP(_xlfn.XLOOKUP(B194,'Base stats'!B:B,'Base stats'!E:E),Groups!A:A,Groups!AJ:AJ="Mammal"),OR(_xlfn.XLOOKUP(B194,'Base stats'!B:B,'Base stats'!Y:Y)="Omnivore",_xlfn.XLOOKUP(B194,'Base stats'!B:B,'Base stats'!Y:Y)="OmnivoreRough")),"Forage",""),
    IF(BG194&lt;=36,"Comfort",""),
    IF(_xlfn.XLOOKUP(B194,'Base stats'!B:B,'Base stats'!AE:AE)&lt;&gt;"No",_xlfn.XLOOKUP(B194,'Base stats'!B:B,'Base stats'!AE:AE),"")
  ) = "",
  "No",
  _xlfn.TEXTJOIN(", ",TRUE,
    IF(AND(BJ194="true",AO194&gt;0.5,BI194&lt;&gt;"None"),"AttackTarget",""),
    IF(AND(_xlfn.XLOOKUP(_xlfn.XLOOKUP(B194,'Base stats'!B:B,'Base stats'!E:E),Groups!A:A,Groups!AJ:AJ="Mammal"),OR(_xlfn.XLOOKUP(B194,'Base stats'!B:B,'Base stats'!Y:Y)="Omnivore",_xlfn.XLOOKUP(B194,'Base stats'!B:B,'Base stats'!Y:Y)="OmnivoreRough")),"Forage",""),
    IF(BG194&lt;=36,"Comfort",""),
    IF(_xlfn.XLOOKUP(B194,'Base stats'!B:B,'Base stats'!AE:AE)&lt;&gt;"No",_xlfn.XLOOKUP(B194,'Base stats'!B:B,'Base stats'!AE:AE),"")
  )
)</f>
        <v>No</v>
      </c>
      <c r="BQ194" s="25">
        <f>IF(
   AND(
      'Base stats'!AN194="Standard",_xlfn.XLOOKUP(_xlfn.XLOOKUP(B194,'Base stats'!B:B,'Base stats'!E:E),Groups!A:A,Groups!AU:AU)=0,
      OR(
      BO194="True"
      )
   ),
   10,
   IF(
       OR(BM194&lt;&gt;"No",_xlfn.XLOOKUP(_xlfn.XLOOKUP(B194,'Base stats'!B:B,'Base stats'!E:E),Groups!A:A,Groups!AU:AU)=1),
      1,
      "No"
   )
)</f>
        <v>1</v>
      </c>
      <c r="BR194" s="9">
        <f>MROUND((1 + ((0.2*IF(OR(Q194="No",R194="No",R194=0),0,Q194/R194)
+IF(OR(V194="No",S194="No",T194="No"),0,S194/T194*(LEN(V194)-LEN(SUBSTITUTE(V194,",",""))+1))
+IF(OR(X194="No",Y194="No"),0,X194/Y194)
+IF(OR(AD194="No",AE194="No"),0,AD194/AE194)
+IF(OR(AL194="No",AI194="No",AJ194="No"),0,AI194/AJ194*(LEN(AL194)-LEN(SUBSTITUTE(AL194,",",""))+1))
)/(0.2*IF(OR(Q194="No",R194="No",R194=0),0,1)
+IF(OR(V194="No",S194="No",T194="No"),0,LEN(V194)-LEN(SUBSTITUTE(V194,",",""))+1)
+IF(OR(X194="No",Y194="No"),0,1)
+IF(OR(AD194="No",AE194="No"),0,1)
+IF(OR(AL194="No",AI194="No",AJ194="No"),0,LEN(AL194)-LEN(SUBSTITUTE(AL194,",",""))+1))*62%)* 2)*(1 + (AP194 / (IF(_xlfn.XLOOKUP(_xlfn.XLOOKUP(B194,'Base stats'!B:B,'Base stats'!E:E),Groups!A:A,Groups!AJ:AJ)="Photonozoa",0.3,1)) + _xlfn.XLOOKUP(B194,'Base stats'!B:B,'Base stats'!AV:AV) * 1.8) * 2) * 2.5 + 10 + I194 * 2,5)+IF(_xlfn.XLOOKUP(B194,'Base stats'!B:B,'Base stats'!AK:AK)=1,50,0)</f>
        <v>390</v>
      </c>
      <c r="BS194" s="8">
        <f t="shared" si="19"/>
        <v>2.5</v>
      </c>
      <c r="BT194" s="8" t="str">
        <f>_xlfn.XLOOKUP(B194,'Base stats'!B:B,'Base stats'!AF:AF)</f>
        <v>5~15</v>
      </c>
      <c r="BU194" s="2" t="str">
        <f>IF(AND(J194&lt;=0.95,OR(_xlfn.XLOOKUP(B194,'Base stats'!B:B,'Base stats'!AK:AK)=1,_xlfn.XLOOKUP(B194,'Base stats'!B:B,'Base stats'!Y:Y)="Carnivore",_xlfn.XLOOKUP(B194,'Base stats'!B:B,'Base stats'!Y:Y)="Omnivore",BE194&gt;0.1)),"true","false")</f>
        <v>true</v>
      </c>
      <c r="BV194" s="2" t="str">
        <f>IF(_xlfn.XLOOKUP(B194,'Base stats'!B:B,'Base stats'!AI:AI)=1,"true","false")</f>
        <v>false</v>
      </c>
      <c r="BW194" s="25" t="str">
        <f>IF(E194="BaseInsect","AnimalInsect",
IF(J194&gt;0.95,"AnimalExotic",
_xlfn.TEXTJOIN(", ",TRUE,
IF(OR(_xlfn.XLOOKUP(B194,'Base stats'!B:B,'Base stats'!AM:AM)=1,AND(_xlfn.XLOOKUP(B194,'Base stats'!B:B,'Base stats'!O:O)=0,_xlfn.XLOOKUP(_xlfn.XLOOKUP(B194,'Base stats'!B:B,'Base stats'!E:E),Groups!A:A,Groups!B:B)&gt;0)),"AnimalUncommon","AnimalCommon"),
IF(AND(_xlfn.XLOOKUP(B194,'Base stats'!B:B,'Base stats'!O:O)=2,_xlfn.XLOOKUP(_xlfn.XLOOKUP(B194,'Base stats'!B:B,'Base stats'!E:E),Groups!A:A,Groups!D:D)=0),"AnimalPet",IF(AND(_xlfn.XLOOKUP(B194,'Base stats'!B:B,'Base stats'!O:O)&lt;&gt;0,_xlfn.XLOOKUP(_xlfn.XLOOKUP(B194,'Base stats'!B:B,'Base stats'!E:E),Groups!A:A,Groups!D:D)&lt;&gt;0),"AnimalFarm","")),
IF(OR(_xlfn.XLOOKUP(B194,'Base stats'!B:B,'Base stats'!AK:AK)=1,AND(BI194&lt;&gt;"None",BR194&gt;=60),ISNUMBER(SEARCH("Attack target",BP194))),"AnimalFighter","")
)))</f>
        <v>AnimalCommon</v>
      </c>
      <c r="BX194" s="25" t="str">
        <f>IF(G194="None",TRIM(
SUBSTITUTE(
IF(COUNTIF(Biomes!B$2:B$259,"="&amp;$C194)&gt;0,Biomes!B$1&amp;", ","")&amp;
IF(COUNTIF(Biomes!C$2:C$259,"="&amp;$C194)&gt;0,Biomes!C$1&amp;", ","")&amp;
IF(COUNTIF(Biomes!D$2:D$259,"="&amp;$C194)&gt;0,Biomes!D$1&amp;", ","")&amp;
IF(COUNTIF(Biomes!F$2:F$259,"="&amp;$C194)&gt;0,Biomes!F$1&amp;", ","")&amp;
IF(COUNTIF(Biomes!G$2:G$259,"="&amp;$C194)&gt;0,Biomes!G$1&amp;", ","")&amp;
IF(COUNTIF(Biomes!H$2:H$259,"="&amp;$C194)&gt;0,Biomes!H$1&amp;", ","")&amp;
IF(COUNTIF(Biomes!I$2:I$259,"="&amp;$C194)&gt;0,Biomes!I$1&amp;", ","")&amp;
IF(COUNTIF(Biomes!J$2:J$259,"="&amp;$C194)&gt;0,Biomes!J$1&amp;", ","")&amp;
IF(COUNTIF(Biomes!M$2:M$259,"="&amp;$C194)&gt;0,Biomes!M$1&amp;", ","")&amp;
IF(COUNTIF(Biomes!N$2:N$259,"="&amp;$C194)&gt;0,Biomes!N$1&amp;", ","")&amp;
IF(COUNTIF(Biomes!O$2:O$259,"="&amp;$C194)&gt;0,Biomes!O$1&amp;", ","")&amp;
IF(COUNTIF(Biomes!P$2:P$259,"="&amp;$C194)&gt;0,Biomes!P$1&amp;", ","")&amp;
IF(COUNTIF(Biomes!K$2:K$259,"="&amp;$C194)&gt;0,Biomes!K$1&amp;", ","")&amp;
IF(COUNTIF(Biomes!Q$3:Q$259,"="&amp;$C194)&gt;0,Biomes!Q$1&amp;", ","")&amp;
IF(COUNTIF(Biomes!L$2:L$259,"="&amp;$C194)&gt;0,Biomes!L$1&amp;", ","")&amp;
IF(COUNTIF(Biomes!E$2:E$259,"="&amp;$C194)&gt;0,Biomes!E$1&amp;", ","")&amp;IF(COUNTIF(Biomes!S$2:S$259,"="&amp;$C194)&gt;0,Biomes!S$1&amp;", ","")&amp;
IF(COUNTIF(Biomes!R$2:R$259,"="&amp;$C194)&gt;0,Biomes!R$1&amp;", ",""),", ","")
),_xlfn.XLOOKUP(B194,B:B,BX:BX))</f>
        <v>TropicalSwamp Glowforest</v>
      </c>
      <c r="BY194" s="25" t="str">
        <f>IF(_xlfn.XLOOKUP(B194,'Base stats'!B:B,'Base stats'!AJ:AJ)=1,"true","false")</f>
        <v>false</v>
      </c>
      <c r="BZ194" s="25">
        <f>IF(_xlfn.XLOOKUP(B194,'Base stats'!B:B,'Base stats'!N:N)=1,"No",MAX(0.001,MIN(MROUND(IF(AND(BJ194="True",CC194="False"),POWER(10,3.47*LOG10(_xlfn.XLOOKUP(B194,'Base stats'!B:B,'Base stats'!C:C)*1000)^-0.96),POWER(10,4.15*LOG10(_xlfn.XLOOKUP(B194,'Base stats'!B:B,'Base stats'!C:C)*1000)^-0.73))*IF(_xlfn.XLOOKUP(B194,'Base stats'!B:B,'Base stats'!AK:AK)=1,0.5,1)*IF(_xlfn.XLOOKUP(B194,'Base stats'!B:B,'Base stats'!AM:AM)=1,0.1,1)/100,IF(_xlfn.XLOOKUP(B194,'Base stats'!B:B,'Base stats'!AM:AM)=1,0.001,0.025)),0.5)))</f>
        <v>0.125</v>
      </c>
      <c r="CA194" s="25" t="str">
        <f>IF(P194="Standard","No",MAX(0.001,MIN(MROUND(IF(AND(BJ194="True",CC194="False"),POWER(10,3.47*LOG10(_xlfn.XLOOKUP(B194,'Base stats'!B:B,'Base stats'!C:C)*1000)^-0.96),POWER(10,4.15*LOG10(_xlfn.XLOOKUP(B194,'Base stats'!B:B,'Base stats'!C:C)*1000)^-0.73))*IF(_xlfn.XLOOKUP(B194,'Base stats'!B:B,'Base stats'!AM:AM)=1,0.1,1)*_xlfn.XLOOKUP(B194,'Base stats'!B:B,'Base stats'!R:R)/100,IF(_xlfn.XLOOKUP(B194,'Base stats'!B:B,'Base stats'!AM:AM)=1,0.001,0.025)),0.5)))</f>
        <v>No</v>
      </c>
      <c r="CB194" s="25" t="str">
        <f>IF(_xlfn.XLOOKUP(_xlfn.XLOOKUP(B194,'Base stats'!B:B,'Base stats'!E:E),Groups!A:A,Groups!AJ:AJ)="Mammal","True","False")</f>
        <v>True</v>
      </c>
      <c r="CC194" s="25" t="str">
        <f>IF(OR(_xlfn.XLOOKUP(_xlfn.XLOOKUP(B194,'Base stats'!B:B,'Base stats'!E:E),Groups!A:A,Groups!AJ:AJ)="Reptile",_xlfn.XLOOKUP(_xlfn.XLOOKUP(B194,'Base stats'!B:B,'Base stats'!E:E),Groups!A:A,Groups!AJ:AJ)="Amphibian",_xlfn.XLOOKUP(_xlfn.XLOOKUP(B194,'Base stats'!B:B,'Base stats'!E:E),Groups!A:A,Groups!AJ:AJ)="Invertebrate"),"True","False")</f>
        <v>False</v>
      </c>
      <c r="CD194" s="25" t="str">
        <f t="shared" si="20"/>
        <v>False</v>
      </c>
      <c r="CE194" s="25" t="str">
        <f>IF(_xlfn.XLOOKUP(_xlfn.XLOOKUP(B194,'Base stats'!B:B,'Base stats'!E:E),Groups!A:A,Groups!AX:AX),"True","False")</f>
        <v>False</v>
      </c>
      <c r="CF194" s="25" t="str">
        <f>IF(_xlfn.XLOOKUP(_xlfn.XLOOKUP(B194,'Base stats'!B:B,'Base stats'!E:E),Groups!A:A,Groups!AY:AY),"True","False")</f>
        <v>False</v>
      </c>
      <c r="CG194" s="25" t="str">
        <f>IF(_xlfn.XLOOKUP(_xlfn.XLOOKUP(B194,'Base stats'!B:B,'Base stats'!E:E),Groups!A:A,Groups!AW:AW),"True","False")</f>
        <v>False</v>
      </c>
      <c r="CH194" s="25" t="str">
        <f>IF(
OR(
_xlfn.XLOOKUP(_xlfn.XLOOKUP(B194,'Base stats'!B:B,'Base stats'!E:E),Groups!A:A,Groups!AZ:AZ)=0,
AND(
_xlfn.XLOOKUP(B194,'Base stats'!B:B,'Base stats'!Y:Y)&lt;&gt;"Carnivore",
_xlfn.XLOOKUP(B194,'Base stats'!B:B,'Base stats'!Y:Y)&lt;&gt;"Omnivore",
_xlfn.XLOOKUP(B194,'Base stats'!B:B,'Base stats'!Y:Y)&lt;&gt;"OmnivoreRough"
)
),
"No",
IF(
_xlfn.XLOOKUP(_xlfn.XLOOKUP(B194,'Base stats'!B:B,'Base stats'!E:E),Groups!A:A,Groups!AZ:AZ)=1,
"Flesh",
IF(
_xlfn.XLOOKUP(_xlfn.XLOOKUP(B194,'Base stats'!B:B,'Base stats'!E:E),Groups!A:A,Groups!AZ:AZ)=2,
"Bone",
""
)
)
)</f>
        <v>No</v>
      </c>
      <c r="CI194" s="25" t="str">
        <f>IF(_xlfn.XLOOKUP(_xlfn.XLOOKUP(B194,'Base stats'!B:B,'Base stats'!E:E),Groups!A:A,Groups!BB:BB),"True","False")</f>
        <v>True</v>
      </c>
      <c r="CJ194" s="25" t="str">
        <f>IF(_xlfn.XLOOKUP(_xlfn.XLOOKUP(B194,'Base stats'!B:B,'Base stats'!E:E),Groups!A:A,Groups!BA:BA),"True","False")</f>
        <v>False</v>
      </c>
    </row>
    <row r="195" spans="1:88" s="16" customFormat="1" ht="16.5" thickTop="1" thickBot="1" x14ac:dyDescent="0.3">
      <c r="A195" s="26" t="str">
        <f>_xlfn.XLOOKUP(B195,'Base stats'!B:B,'Base stats'!A:A)</f>
        <v>Otter</v>
      </c>
      <c r="B195" s="6" t="s">
        <v>219</v>
      </c>
      <c r="C195" s="28" t="s">
        <v>1278</v>
      </c>
      <c r="D195" s="28" t="s">
        <v>872</v>
      </c>
      <c r="E195" s="28" t="s">
        <v>673</v>
      </c>
      <c r="F195" s="28" t="s">
        <v>673</v>
      </c>
      <c r="G195" s="28" t="s">
        <v>1228</v>
      </c>
      <c r="H195" s="2">
        <f>MROUND((
  (IF(AND(_xlfn.XLOOKUP(B195,'Base stats'!B:B,'Base stats'!AL:AL)=0,BI195="None",_xlfn.XLOOKUP(_xlfn.XLOOKUP(B195,'Base stats'!B:B,'Base stats'!E:E),Groups!A:A,Groups!B:B)=0), (18 + BR195 * 2.7) * 0.5,
    IF(AND(_xlfn.XLOOKUP(B195,'Base stats'!B:B,'Base stats'!AL:AL)=0,OR(AO195&lt;0.55,AND(BI195="Intermediate",_xlfn.XLOOKUP(_xlfn.XLOOKUP(B195,'Base stats'!B:B,'Base stats'!E:E),Groups!A:A,Groups!B:B)&lt;2))), (18 + BR195 * 2.7),
      IF(OR(BI195="Advanced",_xlfn.XLOOKUP(B195,'Base stats'!B:B,'Base stats'!AL:AL)=1,_xlfn.XLOOKUP(_xlfn.XLOOKUP(B195,'Base stats'!B:B,'Base stats'!E:E),Groups!A:A,Groups!B:B)=2), (18 + BR195 * 2.7) + 250, (18 + BR195 * 2.7))
    )
  ))
  + AO195 * 80
  + IF(COUNTIF(EggMilk!K$2:K$998, A195) &gt; 0, 125, 0)
  + IF(COUNTIF(EggMilk!P$2:P$998, A195) &gt; 0, 90, 0)
  + IF(COUNTIF(EggMilk!A$2:A$998, A195) &gt; 0, 90, 0)
)
* (0.8 + 0.4 * J195)
* 0.75,25)</f>
        <v>150</v>
      </c>
      <c r="I195" s="2">
        <f>MROUND(ROUNDDOWN(_xlfn.XLOOKUP(B195,'Base stats'!B:B,'Base stats'!L:L)/3.6/(23.3/11),1),0.5)</f>
        <v>3.5</v>
      </c>
      <c r="J195" s="2">
        <f>IF(OR(_xlfn.XLOOKUP(B195,'Base stats'!B:B,'Base stats'!AB:AB)=1,_xlfn.XLOOKUP(_xlfn.XLOOKUP(B195,'Base stats'!B:B,'Base stats'!E:E),Groups!A:A,Groups!C:C)="Untamable"),1,IF(_xlfn.XLOOKUP(B195,'Base stats'!B:B,'Base stats'!AL:AL)=1,0.99,MIN(MROUND((1-0.6282*EXP(-0.459*AO195))*_xlfn.XLOOKUP(_xlfn.XLOOKUP(B195,'Base stats'!B:B,'Base stats'!E:E),Groups!A:A,Groups!C:C)*IF(_xlfn.XLOOKUP(B195,'Base stats'!B:B,'Base stats'!O:O)=1,0.5,IF(_xlfn.XLOOKUP(B195,'Base stats'!B:B,'Base stats'!O:O)=2,0,1)),0.05),IF(AO195&gt;3.5,0.985,0.95))))</f>
        <v>0.75</v>
      </c>
      <c r="K195" s="2">
        <f>ROUNDUP(AO195*_xlfn.XLOOKUP(_xlfn.XLOOKUP(B195,'Base stats'!B:B,'Base stats'!E:E),Groups!A:A,Groups!E:E),0)</f>
        <v>1</v>
      </c>
      <c r="L195" s="2">
        <f>IF(OR(_xlfn.XLOOKUP(_xlfn.XLOOKUP(B195,'Base stats'!B:B,'Base stats'!E:E),Groups!A:A,Groups!F:F)=2,ISNUMBER(SEARCH("SeaIce",BX195)),ISNUMBER(SEARCH("IceSheet",BX195))),-50,IF(OR(ISNUMBER(SEARCH("GlacialPlain",BX195)),ISNUMBER(SEARCH("Tundra",BX195))),-40,IF(OR(ISNUMBER(SEARCH("Alpine",BX195)),ISNUMBER(SEARCH("BorealForest",BX195)),ISNUMBER(SEARCH("ColdBog",BX195))),-30,IF(OR(ISNUMBER(SEARCH("TemperateForest",BX195)),ISNUMBER(SEARCH("TemperateSwamp",BX195))),-20,IF(_xlfn.XLOOKUP(_xlfn.XLOOKUP(B195,'Base stats'!B:B,'Base stats'!E:E),Groups!A:A,Groups!F:F)=1,-15,IF(OR(ISNUMBER(SEARCH("Desert",BX195)),ISNUMBER(SEARCH("ExtremeDesert",BX195))),-10,IF(OR(ISNUMBER(SEARCH("Grasslands",BX195)),ISNUMBER(SEARCH("TropicalRainforest",BX195)),ISNUMBER(SEARCH("TropicalSwamp",BX195))),10,0)))))))-IF(CC195="False",MIN(IFERROR(MAX(MROUND(LOG10(_xlfn.XLOOKUP(B195,'Base stats'!B:B,'Base stats'!C:C)^(2/3))*10,5),5),5),30))-_xlfn.XLOOKUP(B195,'Base stats'!B:B,'Base stats'!P:P)+IF(CC195="True",5,0)</f>
        <v>-35</v>
      </c>
      <c r="M195" s="2">
        <f>IF(OR(_xlfn.XLOOKUP(_xlfn.XLOOKUP(B195,'Base stats'!B:B,'Base stats'!E:E),Groups!A:A,Groups!G:G)=2,ISNUMBER(SEARCH("Desert",BX195)),ISNUMBER(SEARCH("ExtremeDesert",BX195)),ISNUMBER(SEARCH("LavaField",BX195))),50,IF(ISNUMBER(SEARCH("Grasslands",BX195)),45,IF(OR(_xlfn.XLOOKUP(_xlfn.XLOOKUP(B195,'Base stats'!B:B,'Base stats'!E:E),Groups!A:A,Groups!G:G)=1,ISNUMBER(SEARCH("TropicalRainforest",BX195)),ISNUMBER(SEARCH("TropicalSwamp",BX195))),40,IF(OR(ISNUMBER(SEARCH("TemperateForest",BX195)),ISNUMBER(SEARCH("TemperateSwamp",BX195))),35,IF(OR(ISNUMBER(SEARCH("Alpine",BX195)),ISNUMBER(SEARCH("BorealForest",BX195)),ISNUMBER(SEARCH("ColdBog",BX195))),30,IF(ISNUMBER(OR(ISNUMBER(SEARCH("GlacialPlain",BX195)),SEARCH("Tundra",BX195))),25,IF(OR(ISNUMBER(SEARCH("SeaIce",BX195)),ISNUMBER(SEARCH("IceSheet",BX195)),ISNUMBER(SEARCH("TropicalSwamp",BX195))),10,35)))))))+_xlfn.XLOOKUP(B195,'Base stats'!B:B,'Base stats'!Q:Q)</f>
        <v>35</v>
      </c>
      <c r="N195" s="8" t="str">
        <f>IF(
_xlfn.XLOOKUP(
_xlfn.XLOOKUP(B195,'Base stats'!B:B,'Base stats'!E:E),
Groups!A:A,
Groups!L:L
)=1,
MIN(
MROUND(
IF(
_xlfn.XLOOKUP(B195,'Animals CE'!B:B,'Animals CE'!Z:Z)&lt;=1.5,
_xlfn.XLOOKUP(B195,'Animals CE'!B:B,'Animals CE'!Z:Z)/2+0.05,
0.8+
(_xlfn.XLOOKUP(B195,'Animals CE'!B:B,'Animals CE'!Z:Z)-1.5)
*0.02
),
0.05
),
200%
),
"No"
)</f>
        <v>No</v>
      </c>
      <c r="O195" s="8" t="str">
        <f>IF(
_xlfn.XLOOKUP(
_xlfn.XLOOKUP(B195,'Base stats'!B:B,'Base stats'!E:E),
Groups!A:A,
Groups!L:L
)=1,
MIN(
MROUND(
IF(
_xlfn.XLOOKUP(B195,'Animals CE'!B:B,'Animals CE'!AA:AA)&lt;=1.5,
_xlfn.XLOOKUP(B195,'Animals CE'!B:B,'Animals CE'!AA:AA)/2+0.05,
0.8+
(_xlfn.XLOOKUP(B195,'Animals CE'!B:B,'Animals CE'!AA:AA)-1.5)
*0.02
),
0.05
),
200%
),
"No"
)</f>
        <v>No</v>
      </c>
      <c r="P195" s="2" t="str">
        <f>_xlfn.XLOOKUP(B195,'Base stats'!B:B,'Base stats'!R:R)</f>
        <v>Standard</v>
      </c>
      <c r="Q195" s="13">
        <f>MROUND((LOG10(_xlfn.XLOOKUP(B195,'Base stats'!B:B,'Base stats'!AR:AR))*(AO195^0.5)+(_xlfn.XLOOKUP(B195,'Base stats'!B:B,'Base stats'!AR:AR)/1000)^(2/3)+_xlfn.XLOOKUP(B195,'Base stats'!B:B,'Base stats'!BA:BA)/2)+0.5,0.5)</f>
        <v>3.5</v>
      </c>
      <c r="R195" s="7">
        <f>IF(Q195="No","No",MAX(1,MROUND(_xlfn.XLOOKUP(B195,'Base stats'!B:B,'Base stats'!C:C)^0.165,0.05)))</f>
        <v>1.5</v>
      </c>
      <c r="S195" s="13" t="str">
        <f>IF(_xlfn.XLOOKUP(_xlfn.XLOOKUP(B195,'Base stats'!B:B,'Base stats'!E:E),Groups!A:A,Groups!P:P)=0,"No",MROUND((LOG10(_xlfn.XLOOKUP(B195,'Base stats'!B:B,'Base stats'!AS:AS))*(AO195^0.5)+(_xlfn.XLOOKUP(B195,'Base stats'!B:B,'Base stats'!AS:AS)/1000)^(2/3)+_xlfn.XLOOKUP(B195,'Base stats'!B:B,'Base stats'!BA:BA))+_xlfn.XLOOKUP(B195,'Base stats'!B:B,'Base stats'!AY:AY)+0.5,0.5))</f>
        <v>No</v>
      </c>
      <c r="T195" s="7" t="str">
        <f>IF(S195="No","No",MAX(_xlfn.XLOOKUP(_xlfn.XLOOKUP(B195,'Base stats'!B:B,'Base stats'!E:E),Groups!A:A,Groups!Q:Q),MROUND(_xlfn.XLOOKUP(_xlfn.XLOOKUP(B195,'Base stats'!B:B,'Base stats'!E:E),Groups!A:A,Groups!Q:Q)*_xlfn.XLOOKUP(B195,'Base stats'!B:B,'Base stats'!C:C)^0.165,0.05)))</f>
        <v>No</v>
      </c>
      <c r="U195" s="7" t="str">
        <f>IF(S195="No","No",_xlfn.XLOOKUP(_xlfn.XLOOKUP(B195,'Base stats'!B:B,'Base stats'!E:E),Groups!A:A,Groups!R:R))</f>
        <v>No</v>
      </c>
      <c r="V195" s="7" t="str">
        <f>IF(S195="No","No",_xlfn.XLOOKUP(_xlfn.XLOOKUP(B195,'Base stats'!B:B,'Base stats'!E:E),Groups!A:A,Groups!S:S))</f>
        <v>No</v>
      </c>
      <c r="W195" s="7" t="str">
        <f>IF(S195="No","No",_xlfn.XLOOKUP(_xlfn.XLOOKUP(B195,'Base stats'!B:B,'Base stats'!E:E),Groups!A:A,Groups!T:T))</f>
        <v>No</v>
      </c>
      <c r="X195" s="13" t="str">
        <f>IF(_xlfn.XLOOKUP(B195,'Base stats'!B:B,'Base stats'!W:W)="No","No",MROUND((LOG10(_xlfn.XLOOKUP(B195,'Base stats'!B:B,'Base stats'!AU:AU))*(AO195^0.5)+(_xlfn.XLOOKUP(B195,'Base stats'!B:B,'Base stats'!AU:AU)/1000)^(2/3)+_xlfn.XLOOKUP(B195,'Base stats'!B:B,'Base stats'!AZ:AZ))+0.5+IF(_xlfn.XLOOKUP(_xlfn.XLOOKUP(B195,'Base stats'!B:B,'Base stats'!E:E),Groups!A:A,Groups!U:U)&lt;&gt;3,_xlfn.XLOOKUP(B195,'Base stats'!B:B,'Base stats'!BA:BA),0),0.5))</f>
        <v>No</v>
      </c>
      <c r="Y195" s="7" t="str">
        <f>IF(X195="No","No",MAX(_xlfn.XLOOKUP(_xlfn.XLOOKUP(B195,'Base stats'!B:B,'Base stats'!E:E),Groups!A:A,Groups!V:V),MROUND(_xlfn.XLOOKUP(_xlfn.XLOOKUP(B195,'Base stats'!B:B,'Base stats'!E:E),Groups!A:A,Groups!V:V)*_xlfn.XLOOKUP(B195,'Base stats'!B:B,'Base stats'!C:C)^0.165,0.05)))</f>
        <v>No</v>
      </c>
      <c r="Z195" s="7" t="str">
        <f>IF(X195="No","No",_xlfn.XLOOKUP(_xlfn.XLOOKUP(B195,'Base stats'!B:B,'Base stats'!E:E),Groups!A:A,Groups!W:W))</f>
        <v>No</v>
      </c>
      <c r="AA195" s="7" t="str">
        <f>IF(X195="No","No",_xlfn.XLOOKUP(_xlfn.XLOOKUP(B195,'Base stats'!B:B,'Base stats'!E:E),Groups!A:A,Groups!X:X))</f>
        <v>No</v>
      </c>
      <c r="AB195" s="7" t="str">
        <f>IF(X195="No","No",_xlfn.XLOOKUP(_xlfn.XLOOKUP(B195,'Base stats'!B:B,'Base stats'!E:E),Groups!A:A,Groups!Y:Y))</f>
        <v>No</v>
      </c>
      <c r="AC195" s="7" t="str">
        <f>_xlfn.XLOOKUP(Animals!B195,'Base stats'!B:B,'Base stats'!X:X)</f>
        <v>False</v>
      </c>
      <c r="AD195" s="13">
        <f>IF(_xlfn.XLOOKUP(B195,'Base stats'!B:B,'Base stats'!AT:AT)="No","No",MROUND((LOG10(_xlfn.XLOOKUP(B195,'Base stats'!B:B,'Base stats'!AT:AT))*(AO195^0.75)+(_xlfn.XLOOKUP(B195,'Base stats'!B:B,'Base stats'!AT:AT)/1000)^(2/3)+_xlfn.XLOOKUP(B195,'Base stats'!B:B,'Base stats'!AX:AX)+_xlfn.XLOOKUP(B195,'Base stats'!B:B,'Base stats'!BA:BA))+0.5,0.5))</f>
        <v>5.5</v>
      </c>
      <c r="AE195" s="7">
        <f>IF(AD195="No","No",MAX(_xlfn.XLOOKUP(_xlfn.XLOOKUP(B195,'Base stats'!B:B,'Base stats'!E:E),Groups!A:A,Groups!Z:Z),MROUND(_xlfn.XLOOKUP(_xlfn.XLOOKUP(B195,'Base stats'!B:B,'Base stats'!E:E),Groups!A:A,Groups!Z:Z)*_xlfn.XLOOKUP(B195,'Base stats'!B:B,'Base stats'!C:C)^0.165,0.05)))</f>
        <v>1.2000000000000002</v>
      </c>
      <c r="AF195" s="7" t="str">
        <f>IF(AD195="No","No",_xlfn.XLOOKUP(_xlfn.XLOOKUP(B195,'Base stats'!B:B,'Base stats'!E:E),Groups!A:A,Groups!AA:AA))</f>
        <v>Teeth</v>
      </c>
      <c r="AG195" s="7" t="str">
        <f>IF(AD195="No","No",_xlfn.XLOOKUP(_xlfn.XLOOKUP(B195,'Base stats'!B:B,'Base stats'!E:E),Groups!A:A,Groups!AB:AB))</f>
        <v>canines</v>
      </c>
      <c r="AH195" s="7" t="str">
        <f>IF(AD195="No","No",_xlfn.XLOOKUP(_xlfn.XLOOKUP(B195,'Base stats'!B:B,'Base stats'!E:E),Groups!A:A,Groups!AC:AC))</f>
        <v>Bite</v>
      </c>
      <c r="AI195" s="13">
        <f>IF(_xlfn.XLOOKUP(_xlfn.XLOOKUP(B195,'Base stats'!B:B,'Base stats'!E:E),Groups!A:A,Groups!AD:AD)=0,"No",MROUND((LOG10(_xlfn.XLOOKUP(B195,'Base stats'!B:B,'Base stats'!AS:AS))*(AO195^0.75)+(_xlfn.XLOOKUP(B195,'Base stats'!B:B,'Base stats'!AS:AS)/1000)^(2/3)+_xlfn.XLOOKUP(B195,'Base stats'!B:B,'Base stats'!AY:AY)+_xlfn.XLOOKUP(B195,'Base stats'!B:B,'Base stats'!BA:BA))+0.5,0.5))</f>
        <v>4.5</v>
      </c>
      <c r="AJ195" s="7">
        <f>IF(AI195="No","No",MAX(_xlfn.XLOOKUP(_xlfn.XLOOKUP(B195,'Base stats'!B:B,'Base stats'!E:E),Groups!A:A,Groups!AE:AE),MROUND(_xlfn.XLOOKUP(_xlfn.XLOOKUP(B195,'Base stats'!B:B,'Base stats'!E:E),Groups!A:A,Groups!AE:AE)*IF(_xlfn.XLOOKUP(_xlfn.XLOOKUP(B195,'Base stats'!B:B,'Base stats'!E:E),Groups!A:A,Groups!AJ:AJ)="Photonozoa",0.6,1)*_xlfn.XLOOKUP(B195,'Base stats'!B:B,'Base stats'!C:C)^0.165,0.05)))</f>
        <v>0.95000000000000007</v>
      </c>
      <c r="AK195" s="7" t="str">
        <f>IF(AI195="No","No",_xlfn.XLOOKUP(_xlfn.XLOOKUP(B195,'Base stats'!B:B,'Base stats'!E:E),Groups!A:A,Groups!AF:AF))</f>
        <v>FrontLeftPaw, FrontRightPaw</v>
      </c>
      <c r="AL195" s="7" t="str">
        <f>IF(AI195="No","No",_xlfn.XLOOKUP(_xlfn.XLOOKUP(B195,'Base stats'!B:B,'Base stats'!E:E),Groups!A:A,Groups!AG:AG))</f>
        <v>left claw, right claw</v>
      </c>
      <c r="AM195" s="7" t="str">
        <f>IF(AI195="No","No",_xlfn.XLOOKUP(_xlfn.XLOOKUP(B195,'Base stats'!B:B,'Base stats'!E:E),Groups!A:A,Groups!AH:AH))</f>
        <v>Scratch</v>
      </c>
      <c r="AN195" s="2">
        <f t="shared" ref="AN195:AN258" si="21">IF(BJ195="false","No",MROUND(AO195*5+15*1,5))</f>
        <v>15</v>
      </c>
      <c r="AO195" s="2">
        <f>MROUND(IF(AND(_xlfn.XLOOKUP(B195,'Base stats'!B:B,'Base stats'!C:C)&gt;=0.5,_xlfn.XLOOKUP(B195,'Base stats'!B:B,'Base stats'!C:C)&lt;=0.8),
IF(_xlfn.XLOOKUP(B195,'Base stats'!B:B,'Base stats'!C:C)&lt;0.1,0.05,IF(_xlfn.XLOOKUP(B195,'Base stats'!B:B,'Base stats'!C:C)&lt;=70,(_xlfn.XLOOKUP(B195,'Base stats'!B:B,'Base stats'!C:C)/70)^0.426489913056526,IF(_xlfn.XLOOKUP(B195,'Base stats'!B:B,'Base stats'!C:C)&lt;=400,(_xlfn.XLOOKUP(B195,'Base stats'!B:B,'Base stats'!C:C)/70)^0.572811455315093,IF(_xlfn.XLOOKUP(B195,'Base stats'!B:B,'Base stats'!C:C)&lt;=2000,2.71391647193063*(_xlfn.XLOOKUP(B195,'Base stats'!B:B,'Base stats'!C:C)/400)^0.252459582904293,3.74314280240376*(_xlfn.XLOOKUP(B195,'Base stats'!B:B,'Base stats'!C:C)/2000)^0.357012633876913)))),
IF(_xlfn.XLOOKUP(B195,'Base stats'!B:B,'Base stats'!C:C)&lt;0.1,0.05,IF(_xlfn.XLOOKUP(B195,'Base stats'!B:B,'Base stats'!C:C)&lt;0.4,0.1,IF(_xlfn.XLOOKUP(B195,'Base stats'!B:B,'Base stats'!C:C)&lt;=70,(_xlfn.XLOOKUP(B195,'Base stats'!B:B,'Base stats'!C:C)/70)^0.445823913056526,IF(_xlfn.XLOOKUP(B195,'Base stats'!B:B,'Base stats'!C:C)&lt;=400,(_xlfn.XLOOKUP(B195,'Base stats'!B:B,'Base stats'!C:C)/70)^0.572811455315093,IF(_xlfn.XLOOKUP(B195,'Base stats'!B:B,'Base stats'!C:C)&lt;=2000,2.71391647193063*(_xlfn.XLOOKUP(B195,'Base stats'!B:B,'Base stats'!C:C)/400)^0.252459582904293,3.74314280240376*(_xlfn.XLOOKUP(B195,'Base stats'!B:B,'Base stats'!C:C)/2000)^0.357012633876913)))))),
IF(_xlfn.XLOOKUP(B195,'Base stats'!B:B,'Base stats'!C:C)&lt;0.1,0.05,IF(_xlfn.XLOOKUP(B195,'Base stats'!B:B,'Base stats'!C:C)&lt;=100,0.05,IF(_xlfn.XLOOKUP(B195,'Base stats'!B:B,'Base stats'!C:C)&lt;=250,0.1,IF(_xlfn.XLOOKUP(B195,'Base stats'!B:B,'Base stats'!C:C)&lt;=4000,0.25,0.5)))))</f>
        <v>0.45</v>
      </c>
      <c r="AP195" s="8">
        <f>MROUND(AO195*_xlfn.XLOOKUP(_xlfn.XLOOKUP(B195,'Base stats'!B:B,'Base stats'!E:E),Groups!A:A,Groups!AI:AI)*_xlfn.XLOOKUP(B195,'Base stats'!B:B,'Base stats'!Z:Z),0.05)</f>
        <v>0.55000000000000004</v>
      </c>
      <c r="AQ195" s="8">
        <f>MAX(0.01,MROUND(IF(CC195="True",0.196*(AO195*100*1000)^0.889,IF(_xlfn.XLOOKUP(_xlfn.XLOOKUP(B195,'Base stats'!B:B,'Base stats'!E:E),Groups!A:A,Groups!AJ:AJ)="Bird",10.5*(AO195*100*1000)^0.681,4.82*(AO195*100*1000)^0.734))/(4.82*(1*100*1000)^0.734)/IF(AO195&lt;3.5,2,IF(AO195=3.5,1.5,1.25))*(1+0.132282374779864/(AO195^0.994035016789033+0.00905238001496948)),0.05))</f>
        <v>0.35000000000000003</v>
      </c>
      <c r="AR195" s="9">
        <f>IFERROR(MROUND(_xlfn.XLOOKUP(B195,'Base stats'!B:B,'Base stats'!H:H)/IF(_xlfn.XLOOKUP(B195,'Base stats'!B:B,'Base stats'!I:I)&lt;&gt;1,(122.5/70),1.2),IF(_xlfn.XLOOKUP(B195,'Base stats'!B:B,'Base stats'!H:H)&gt;=30,5,IF(_xlfn.XLOOKUP(B195,'Base stats'!B:B,'Base stats'!H:H)&gt;=15,3,IF(_xlfn.XLOOKUP(B195,'Base stats'!B:B,'Base stats'!H:H)&gt;=10,2,1)))),"Immortal")</f>
        <v>9</v>
      </c>
      <c r="AS195" s="35">
        <f>IFERROR(IF(OR(_xlfn.XLOOKUP(B195,'Base stats'!B:B,'Base stats'!F:F)="Atypical reproduction",_xlfn.XLOOKUP(B195,'Base stats'!B:B,'Base stats'!F:F)="Lay eggs"),"Lay eggs",MIN(20,MAX(5.5,ROUND(((_xlfn.XLOOKUP(B195,'Base stats'!B:B,'Base stats'!F:F)-25)*(14.5/615) + 5.5)*2,0)/2))),"Unknown")</f>
        <v>6.5</v>
      </c>
      <c r="AT195" s="8">
        <f>IF(_xlfn.XLOOKUP(B195,'Base stats'!B:B,'Base stats'!G:G)="Atypical reproduction","No",IFERROR(MAX(IF(_xlfn.XLOOKUP(B195,'Base stats'!B:B,'Base stats'!G:G)&lt;0.5,0.2,0.3),MROUND(_xlfn.XLOOKUP(B195,'Base stats'!B:B,'Base stats'!G:G)/(365/60),0.2)),"Unknown"))</f>
        <v>0.3</v>
      </c>
      <c r="AU195" s="8">
        <f t="shared" ref="AU195:AU258" si="22">IF(AT195="No","No",IFERROR(MROUND(AT195/2,0.05),"Unknown"))</f>
        <v>0.15000000000000002</v>
      </c>
      <c r="AV195" s="8">
        <f>IFERROR(IFERROR(MROUND(_xlfn.XLOOKUP(B195,'Base stats'!B:B,'Base stats'!J:J),0.1),"Lay eggs"),"Cannot breed")</f>
        <v>2</v>
      </c>
      <c r="AW195" s="2" t="str">
        <f t="shared" ref="AW195:AW258" si="23">IF(BT195="No","false","true")</f>
        <v>false</v>
      </c>
      <c r="AX195" s="2" t="str">
        <f>IF(_xlfn.XLOOKUP(_xlfn.XLOOKUP(Animals!B195,'Base stats'!B:B,'Base stats'!E:E),Groups!A:A,Groups!AK:AK)=1,"true","false")</f>
        <v>false</v>
      </c>
      <c r="AY195" s="25" t="str">
        <f>IF(_xlfn.XLOOKUP(B195,'Base stats'!B:B,'Base stats'!Y:Y)="Liquor","Liquor, CarnivoreAnimalStrict",IF(AND(_xlfn.XLOOKUP(B195,'Base stats'!B:B,'Base stats'!Y:Y)="Carnivore",_xlfn.XLOOKUP(_xlfn.XLOOKUP(B195,'Base stats'!B:B,'Base stats'!E:E),Groups!A:A,Groups!AJ:AJ)="Photonozoa"),"CarnivoreAnimalStrict, OvivoreAnimal",IF(_xlfn.XLOOKUP(B195,'Base stats'!B:B,'Base stats'!Y:Y)="Carnivore","CarnivoreAnimal, OvivoreAnimal",IF(_xlfn.XLOOKUP(B195,'Base stats'!B:B,'Base stats'!Y:Y)="Dendrovore","VegetarianRoughAnimal, DendrovoreAnimal",IF(_xlfn.XLOOKUP(B195,'Base stats'!B:B,'Base stats'!Y:Y)="Herbivore","VegetarianRoughAnimal",IF(_xlfn.XLOOKUP(B195,'Base stats'!B:B,'Base stats'!Y:Y)="OmnivoreRough","OmnivoreRoughAnimal, OvivoreAnimal","OmnivoreAnimal, OvivoreAnimal"))))))</f>
        <v>CarnivoreAnimal, OvivoreAnimal</v>
      </c>
      <c r="AZ195" s="2" t="str">
        <f>IF(_xlfn.XLOOKUP(_xlfn.XLOOKUP(B195,'Base stats'!B:B,'Base stats'!E:E),Groups!A:A,Groups!D:D)=1,MROUND((1-J195)*5+1,2)*IF(J195&lt;=0.4,2,1),"No")</f>
        <v>No</v>
      </c>
      <c r="BA195" s="2" t="str">
        <f>IF(AND(_xlfn.XLOOKUP(B195,'Base stats'!B:B,'Base stats'!AH:AH)="&lt;li&gt;Seal&lt;/li&gt;",G195="Odyssey"),"&lt;li&gt;AEXP_Seal&lt;/li&gt;",_xlfn.XLOOKUP(B195,'Base stats'!B:B,'Base stats'!AH:AH))</f>
        <v>No</v>
      </c>
      <c r="BB195" s="2" t="str">
        <f>_xlfn.XLOOKUP(B195,'Base stats'!B:B,'Base stats'!AG:AG)</f>
        <v>Leather_Light</v>
      </c>
      <c r="BC195" s="23" t="str">
        <f>_xlfn.XLOOKUP(_xlfn.XLOOKUP(B195,'Base stats'!B:B,'Base stats'!E:E),Groups!A:A,Groups!AL:AL)</f>
        <v>QuadrupedAnimalWithPawsAndTail</v>
      </c>
      <c r="BD195" s="23">
        <f>MIN(1,MROUND(IF(AND(AO195&lt;0.5,_xlfn.XLOOKUP(B195,'Base stats'!B:B,'Base stats'!AA:AA)=0),0,IF(OR(_xlfn.XLOOKUP(Animals!B195,'Base stats'!B:B,'Base stats'!O:O)=2,_xlfn.XLOOKUP(_xlfn.XLOOKUP(B195,'Base stats'!B:B,'Base stats'!E:E),Groups!A:A,Groups!AN:AN)=0),0,_xlfn.XLOOKUP(_xlfn.XLOOKUP(B195,'Base stats'!B:B,'Base stats'!E:E),Groups!A:A,Groups!AN:AN)/IF(_xlfn.XLOOKUP(Animals!B195,'Base stats'!B:B,'Base stats'!O:O)=1,2,1)))+_xlfn.XLOOKUP(B195,'Base stats'!B:B,'Base stats'!AC:AC),0.005))</f>
        <v>0</v>
      </c>
      <c r="BE195" s="23">
        <f>MIN(1,MROUND(IF(AND(AO195&lt;0.5,_xlfn.XLOOKUP(B195,'Base stats'!B:B,'Base stats'!AA:AA)=0),0,IF(_xlfn.XLOOKUP(_xlfn.XLOOKUP(B195,'Base stats'!B:B,'Base stats'!E:E),Groups!A:A,Groups!AO:AO)=0,0,_xlfn.XLOOKUP(_xlfn.XLOOKUP(B195,'Base stats'!B:B,'Base stats'!E:E),Groups!A:A,Groups!AO:AO)/IF(_xlfn.XLOOKUP(Animals!B195,'Base stats'!B:B,'Base stats'!O:O)=2,3,1)))+_xlfn.XLOOKUP(B195,'Base stats'!B:B,'Base stats'!AD:AD),0.005))</f>
        <v>0</v>
      </c>
      <c r="BF195" s="2" t="str">
        <f>IF(J195&gt;0.3,"No",_xlfn.XLOOKUP(_xlfn.XLOOKUP(Animals!B195,'Base stats'!B:B,'Base stats'!E:E),Groups!A:A,Groups!AP:AP))</f>
        <v>No</v>
      </c>
      <c r="BG195" s="2" t="str">
        <f>IF(AND(J195&lt;=0.65,_xlfn.XLOOKUP(_xlfn.XLOOKUP(Animals!B195,'Base stats'!B:B,'Base stats'!E:E),Groups!A:A,Groups!AP:AP)&lt;&gt;"No",_xlfn.XLOOKUP(_xlfn.XLOOKUP(B195,'Base stats'!B:B,'Base stats'!E:E),Groups!A:A,Groups!D:D)=0),MROUND((80/3)*IF(_xlfn.XLOOKUP(B195,'Base stats'!B:B,'Base stats'!O:O)=2,0.2,AO195) + 24*(1-IF(BF195="No",0,BF195)) + 16/3, 12),"No")</f>
        <v>No</v>
      </c>
      <c r="BH195" s="2">
        <f>IF(AND(_xlfn.XLOOKUP(_xlfn.XLOOKUP(B195,'Base stats'!B:B,'Base stats'!E:E),Groups!A:A,Groups!AQ:AQ)=1,AO195&lt;=0.35),8,12)</f>
        <v>12</v>
      </c>
      <c r="BI195" s="2" t="str">
        <f>IF(_xlfn.XLOOKUP(_xlfn.XLOOKUP(B195,'Base stats'!B:B,'Base stats'!E:E),Groups!A:A,Groups!D:D)=0,_xlfn.XLOOKUP(_xlfn.XLOOKUP(B195,'Base stats'!B:B,'Base stats'!E:E),Groups!A:A,Groups!AR:AR),"None")</f>
        <v>Intermediate</v>
      </c>
      <c r="BJ195" s="2" t="str">
        <f>IF(AND(_xlfn.XLOOKUP(_xlfn.XLOOKUP(B195,'Base stats'!B:B,'Base stats'!E:E),Groups!A:A,Groups!AS:AS)=1,OR(_xlfn.XLOOKUP(B195,'Base stats'!B:B,'Base stats'!Y:Y)="Carnivore",_xlfn.XLOOKUP(B195,'Base stats'!B:B,'Base stats'!Y:Y)="Omnivore")),"true","false")</f>
        <v>true</v>
      </c>
      <c r="BK195" s="2">
        <f>IF(BJ195="true",MROUND(IF(AND(AO195&gt;0.5,OR(_xlfn.XLOOKUP(_xlfn.XLOOKUP(B195,'Base stats'!B:B,'Base stats'!E:E),Groups!A:A,Groups!AJ:AJ)="Photonozoa",_xlfn.XLOOKUP(_xlfn.XLOOKUP(B195,'Base stats'!B:B,'Base stats'!E:E),Groups!A:A,Groups!AJ:AJ)="Mammal")),Animals!AO195*1.75*IF(AW195="true",1.5,1),IF(AO195&lt;0.5,Animals!AO195*0.5,Animals!AO195)),IF(AO195&gt;2,0.5,IF(AO195&gt;0.5,0.25,0.1))),"No")</f>
        <v>0.2</v>
      </c>
      <c r="BL195" s="2">
        <f t="shared" ref="BL195:BL258" si="24">IF(BI195&lt;&gt;"None",1,0)</f>
        <v>1</v>
      </c>
      <c r="BM195" s="25">
        <f>IF(_xlfn.XLOOKUP(B195,'Base stats'!B:B,'Base stats'!AN:AN)="Standard","No",MROUND((_xlfn.XLOOKUP(B195,'Base stats'!B:B,'Base stats'!AN:AN)/3.6)/I195,0.1))</f>
        <v>1</v>
      </c>
      <c r="BN195" s="25" t="str">
        <f t="shared" ref="BN195:BN258" si="25">IF(OR(BM195&lt;&gt;"No",BQ195=1),"true","false")</f>
        <v>true</v>
      </c>
      <c r="BO195" s="25" t="str">
        <f>IF(AND(OR(_xlfn.XLOOKUP(B195,'Base stats'!B:B,'Base stats'!Y:Y)="Carnivore",_xlfn.XLOOKUP(B195,'Base stats'!B:B,'Base stats'!Y:Y)="Omnivore",_xlfn.XLOOKUP(B195,'Base stats'!B:B,'Base stats'!Y:Y)="OmnivoreRough"),_xlfn.XLOOKUP(_xlfn.XLOOKUP(B195,'Base stats'!B:B,'Base stats'!E:E),Groups!A:A,Groups!AT:AT)=1),"true","false")</f>
        <v>true</v>
      </c>
      <c r="BP195" s="25" t="str" cm="1">
        <f t="array" ref="BP195">IF(
  _xlfn.TEXTJOIN(", ",TRUE,
    IF(AND(BJ195="true",AO195&gt;0.5,BI195&lt;&gt;"None"),"AttackTarget",""),
    IF(AND(_xlfn.XLOOKUP(_xlfn.XLOOKUP(B195,'Base stats'!B:B,'Base stats'!E:E),Groups!A:A,Groups!AJ:AJ="Mammal"),OR(_xlfn.XLOOKUP(B195,'Base stats'!B:B,'Base stats'!Y:Y)="Omnivore",_xlfn.XLOOKUP(B195,'Base stats'!B:B,'Base stats'!Y:Y)="OmnivoreRough")),"Forage",""),
    IF(BG195&lt;=36,"Comfort",""),
    IF(_xlfn.XLOOKUP(B195,'Base stats'!B:B,'Base stats'!AE:AE)&lt;&gt;"No",_xlfn.XLOOKUP(B195,'Base stats'!B:B,'Base stats'!AE:AE),"")
  ) = "",
  "No",
  _xlfn.TEXTJOIN(", ",TRUE,
    IF(AND(BJ195="true",AO195&gt;0.5,BI195&lt;&gt;"None"),"AttackTarget",""),
    IF(AND(_xlfn.XLOOKUP(_xlfn.XLOOKUP(B195,'Base stats'!B:B,'Base stats'!E:E),Groups!A:A,Groups!AJ:AJ="Mammal"),OR(_xlfn.XLOOKUP(B195,'Base stats'!B:B,'Base stats'!Y:Y)="Omnivore",_xlfn.XLOOKUP(B195,'Base stats'!B:B,'Base stats'!Y:Y)="OmnivoreRough")),"Forage",""),
    IF(BG195&lt;=36,"Comfort",""),
    IF(_xlfn.XLOOKUP(B195,'Base stats'!B:B,'Base stats'!AE:AE)&lt;&gt;"No",_xlfn.XLOOKUP(B195,'Base stats'!B:B,'Base stats'!AE:AE),"")
  )
)</f>
        <v>No</v>
      </c>
      <c r="BQ195" s="25">
        <f>IF(
   AND(
      'Base stats'!AN195="Standard",_xlfn.XLOOKUP(_xlfn.XLOOKUP(B195,'Base stats'!B:B,'Base stats'!E:E),Groups!A:A,Groups!AU:AU)=0,
      OR(
      BO195="True"
      )
   ),
   10,
   IF(
       OR(BM195&lt;&gt;"No",_xlfn.XLOOKUP(_xlfn.XLOOKUP(B195,'Base stats'!B:B,'Base stats'!E:E),Groups!A:A,Groups!AU:AU)=1),
      1,
      "No"
   )
)</f>
        <v>1</v>
      </c>
      <c r="BR195" s="9">
        <f>MROUND((1 + ((0.2*IF(OR(Q195="No",R195="No",R195=0),0,Q195/R195)
+IF(OR(V195="No",S195="No",T195="No"),0,S195/T195*(LEN(V195)-LEN(SUBSTITUTE(V195,",",""))+1))
+IF(OR(X195="No",Y195="No"),0,X195/Y195)
+IF(OR(AD195="No",AE195="No"),0,AD195/AE195)
+IF(OR(AL195="No",AI195="No",AJ195="No"),0,AI195/AJ195*(LEN(AL195)-LEN(SUBSTITUTE(AL195,",",""))+1))
)/(0.2*IF(OR(Q195="No",R195="No",R195=0),0,1)
+IF(OR(V195="No",S195="No",T195="No"),0,LEN(V195)-LEN(SUBSTITUTE(V195,",",""))+1)
+IF(OR(X195="No",Y195="No"),0,1)
+IF(OR(AD195="No",AE195="No"),0,1)
+IF(OR(AL195="No",AI195="No",AJ195="No"),0,LEN(AL195)-LEN(SUBSTITUTE(AL195,",",""))+1))*62%)* 2)*(1 + (AP195 / (IF(_xlfn.XLOOKUP(_xlfn.XLOOKUP(B195,'Base stats'!B:B,'Base stats'!E:E),Groups!A:A,Groups!AJ:AJ)="Photonozoa",0.3,1)) + _xlfn.XLOOKUP(B195,'Base stats'!B:B,'Base stats'!AV:AV) * 1.8) * 2) * 2.5 + 10 + I195 * 2,5)+IF(_xlfn.XLOOKUP(B195,'Base stats'!B:B,'Base stats'!AK:AK)=1,50,0)</f>
        <v>50</v>
      </c>
      <c r="BS195" s="8">
        <f t="shared" ref="BS195:BS258" si="26">MROUND(AO195 * 0.2 + AQ195 * 0.8,0.05)</f>
        <v>0.35000000000000003</v>
      </c>
      <c r="BT195" s="8" t="str">
        <f>_xlfn.XLOOKUP(B195,'Base stats'!B:B,'Base stats'!AF:AF)</f>
        <v>No</v>
      </c>
      <c r="BU195" s="2" t="str">
        <f>IF(AND(J195&lt;=0.95,OR(_xlfn.XLOOKUP(B195,'Base stats'!B:B,'Base stats'!AK:AK)=1,_xlfn.XLOOKUP(B195,'Base stats'!B:B,'Base stats'!Y:Y)="Carnivore",_xlfn.XLOOKUP(B195,'Base stats'!B:B,'Base stats'!Y:Y)="Omnivore",BE195&gt;0.1)),"true","false")</f>
        <v>true</v>
      </c>
      <c r="BV195" s="2" t="str">
        <f>IF(_xlfn.XLOOKUP(B195,'Base stats'!B:B,'Base stats'!AI:AI)=1,"true","false")</f>
        <v>false</v>
      </c>
      <c r="BW195" s="25" t="str">
        <f>IF(E195="BaseInsect","AnimalInsect",
IF(J195&gt;0.95,"AnimalExotic",
_xlfn.TEXTJOIN(", ",TRUE,
IF(OR(_xlfn.XLOOKUP(B195,'Base stats'!B:B,'Base stats'!AM:AM)=1,AND(_xlfn.XLOOKUP(B195,'Base stats'!B:B,'Base stats'!O:O)=0,_xlfn.XLOOKUP(_xlfn.XLOOKUP(B195,'Base stats'!B:B,'Base stats'!E:E),Groups!A:A,Groups!B:B)&gt;0)),"AnimalUncommon","AnimalCommon"),
IF(AND(_xlfn.XLOOKUP(B195,'Base stats'!B:B,'Base stats'!O:O)=2,_xlfn.XLOOKUP(_xlfn.XLOOKUP(B195,'Base stats'!B:B,'Base stats'!E:E),Groups!A:A,Groups!D:D)=0),"AnimalPet",IF(AND(_xlfn.XLOOKUP(B195,'Base stats'!B:B,'Base stats'!O:O)&lt;&gt;0,_xlfn.XLOOKUP(_xlfn.XLOOKUP(B195,'Base stats'!B:B,'Base stats'!E:E),Groups!A:A,Groups!D:D)&lt;&gt;0),"AnimalFarm","")),
IF(OR(_xlfn.XLOOKUP(B195,'Base stats'!B:B,'Base stats'!AK:AK)=1,AND(BI195&lt;&gt;"None",BR195&gt;=60),ISNUMBER(SEARCH("Attack target",BP195))),"AnimalFighter","")
)))</f>
        <v>AnimalUncommon</v>
      </c>
      <c r="BX195" s="25" t="str">
        <f>IF(G195="None",TRIM(
SUBSTITUTE(
IF(COUNTIF(Biomes!B$2:B$259,"="&amp;$C195)&gt;0,Biomes!B$1&amp;", ","")&amp;
IF(COUNTIF(Biomes!C$2:C$259,"="&amp;$C195)&gt;0,Biomes!C$1&amp;", ","")&amp;
IF(COUNTIF(Biomes!D$2:D$259,"="&amp;$C195)&gt;0,Biomes!D$1&amp;", ","")&amp;
IF(COUNTIF(Biomes!F$2:F$259,"="&amp;$C195)&gt;0,Biomes!F$1&amp;", ","")&amp;
IF(COUNTIF(Biomes!G$2:G$259,"="&amp;$C195)&gt;0,Biomes!G$1&amp;", ","")&amp;
IF(COUNTIF(Biomes!H$2:H$259,"="&amp;$C195)&gt;0,Biomes!H$1&amp;", ","")&amp;
IF(COUNTIF(Biomes!I$2:I$259,"="&amp;$C195)&gt;0,Biomes!I$1&amp;", ","")&amp;
IF(COUNTIF(Biomes!J$2:J$259,"="&amp;$C195)&gt;0,Biomes!J$1&amp;", ","")&amp;
IF(COUNTIF(Biomes!M$2:M$259,"="&amp;$C195)&gt;0,Biomes!M$1&amp;", ","")&amp;
IF(COUNTIF(Biomes!N$2:N$259,"="&amp;$C195)&gt;0,Biomes!N$1&amp;", ","")&amp;
IF(COUNTIF(Biomes!O$2:O$259,"="&amp;$C195)&gt;0,Biomes!O$1&amp;", ","")&amp;
IF(COUNTIF(Biomes!P$2:P$259,"="&amp;$C195)&gt;0,Biomes!P$1&amp;", ","")&amp;
IF(COUNTIF(Biomes!K$2:K$259,"="&amp;$C195)&gt;0,Biomes!K$1&amp;", ","")&amp;
IF(COUNTIF(Biomes!Q$3:Q$259,"="&amp;$C195)&gt;0,Biomes!Q$1&amp;", ","")&amp;
IF(COUNTIF(Biomes!L$2:L$259,"="&amp;$C195)&gt;0,Biomes!L$1&amp;", ","")&amp;
IF(COUNTIF(Biomes!E$2:E$259,"="&amp;$C195)&gt;0,Biomes!E$1&amp;", ","")&amp;IF(COUNTIF(Biomes!S$2:S$259,"="&amp;$C195)&gt;0,Biomes!S$1&amp;", ","")&amp;
IF(COUNTIF(Biomes!R$2:R$259,"="&amp;$C195)&gt;0,Biomes!R$1&amp;", ",""),", ","")
),_xlfn.XLOOKUP(B195,B:B,BX:BX))</f>
        <v>ColdBog TemperateSwamp</v>
      </c>
      <c r="BY195" s="25" t="str">
        <f>IF(_xlfn.XLOOKUP(B195,'Base stats'!B:B,'Base stats'!AJ:AJ)=1,"true","false")</f>
        <v>false</v>
      </c>
      <c r="BZ195" s="25">
        <f>IF(_xlfn.XLOOKUP(B195,'Base stats'!B:B,'Base stats'!N:N)=1,"No",MAX(0.001,MIN(MROUND(IF(AND(BJ195="True",CC195="False"),POWER(10,3.47*LOG10(_xlfn.XLOOKUP(B195,'Base stats'!B:B,'Base stats'!C:C)*1000)^-0.96),POWER(10,4.15*LOG10(_xlfn.XLOOKUP(B195,'Base stats'!B:B,'Base stats'!C:C)*1000)^-0.73))*IF(_xlfn.XLOOKUP(B195,'Base stats'!B:B,'Base stats'!AK:AK)=1,0.5,1)*IF(_xlfn.XLOOKUP(B195,'Base stats'!B:B,'Base stats'!AM:AM)=1,0.1,1)/100,IF(_xlfn.XLOOKUP(B195,'Base stats'!B:B,'Base stats'!AM:AM)=1,0.001,0.025)),0.5)))</f>
        <v>7.5000000000000011E-2</v>
      </c>
      <c r="CA195" s="25" t="str">
        <f>IF(P195="Standard","No",MAX(0.001,MIN(MROUND(IF(AND(BJ195="True",CC195="False"),POWER(10,3.47*LOG10(_xlfn.XLOOKUP(B195,'Base stats'!B:B,'Base stats'!C:C)*1000)^-0.96),POWER(10,4.15*LOG10(_xlfn.XLOOKUP(B195,'Base stats'!B:B,'Base stats'!C:C)*1000)^-0.73))*IF(_xlfn.XLOOKUP(B195,'Base stats'!B:B,'Base stats'!AM:AM)=1,0.1,1)*_xlfn.XLOOKUP(B195,'Base stats'!B:B,'Base stats'!R:R)/100,IF(_xlfn.XLOOKUP(B195,'Base stats'!B:B,'Base stats'!AM:AM)=1,0.001,0.025)),0.5)))</f>
        <v>No</v>
      </c>
      <c r="CB195" s="25" t="str">
        <f>IF(_xlfn.XLOOKUP(_xlfn.XLOOKUP(B195,'Base stats'!B:B,'Base stats'!E:E),Groups!A:A,Groups!AJ:AJ)="Mammal","True","False")</f>
        <v>True</v>
      </c>
      <c r="CC195" s="25" t="str">
        <f>IF(OR(_xlfn.XLOOKUP(_xlfn.XLOOKUP(B195,'Base stats'!B:B,'Base stats'!E:E),Groups!A:A,Groups!AJ:AJ)="Reptile",_xlfn.XLOOKUP(_xlfn.XLOOKUP(B195,'Base stats'!B:B,'Base stats'!E:E),Groups!A:A,Groups!AJ:AJ)="Amphibian",_xlfn.XLOOKUP(_xlfn.XLOOKUP(B195,'Base stats'!B:B,'Base stats'!E:E),Groups!A:A,Groups!AJ:AJ)="Invertebrate"),"True","False")</f>
        <v>False</v>
      </c>
      <c r="CD195" s="25" t="str">
        <f t="shared" ref="CD195:CD258" si="27">IF(J195&gt;0.95,"True","False")</f>
        <v>False</v>
      </c>
      <c r="CE195" s="25" t="str">
        <f>IF(_xlfn.XLOOKUP(_xlfn.XLOOKUP(B195,'Base stats'!B:B,'Base stats'!E:E),Groups!A:A,Groups!AX:AX),"True","False")</f>
        <v>False</v>
      </c>
      <c r="CF195" s="25" t="str">
        <f>IF(_xlfn.XLOOKUP(_xlfn.XLOOKUP(B195,'Base stats'!B:B,'Base stats'!E:E),Groups!A:A,Groups!AY:AY),"True","False")</f>
        <v>False</v>
      </c>
      <c r="CG195" s="25" t="str">
        <f>IF(_xlfn.XLOOKUP(_xlfn.XLOOKUP(B195,'Base stats'!B:B,'Base stats'!E:E),Groups!A:A,Groups!AW:AW),"True","False")</f>
        <v>False</v>
      </c>
      <c r="CH195" s="25" t="str">
        <f>IF(
OR(
_xlfn.XLOOKUP(_xlfn.XLOOKUP(B195,'Base stats'!B:B,'Base stats'!E:E),Groups!A:A,Groups!AZ:AZ)=0,
AND(
_xlfn.XLOOKUP(B195,'Base stats'!B:B,'Base stats'!Y:Y)&lt;&gt;"Carnivore",
_xlfn.XLOOKUP(B195,'Base stats'!B:B,'Base stats'!Y:Y)&lt;&gt;"Omnivore",
_xlfn.XLOOKUP(B195,'Base stats'!B:B,'Base stats'!Y:Y)&lt;&gt;"OmnivoreRough"
)
),
"No",
IF(
_xlfn.XLOOKUP(_xlfn.XLOOKUP(B195,'Base stats'!B:B,'Base stats'!E:E),Groups!A:A,Groups!AZ:AZ)=1,
"Flesh",
IF(
_xlfn.XLOOKUP(_xlfn.XLOOKUP(B195,'Base stats'!B:B,'Base stats'!E:E),Groups!A:A,Groups!AZ:AZ)=2,
"Bone",
""
)
)
)</f>
        <v>No</v>
      </c>
      <c r="CI195" s="25" t="str">
        <f>IF(_xlfn.XLOOKUP(_xlfn.XLOOKUP(B195,'Base stats'!B:B,'Base stats'!E:E),Groups!A:A,Groups!BB:BB),"True","False")</f>
        <v>True</v>
      </c>
      <c r="CJ195" s="25" t="str">
        <f>IF(_xlfn.XLOOKUP(_xlfn.XLOOKUP(B195,'Base stats'!B:B,'Base stats'!E:E),Groups!A:A,Groups!BA:BA),"True","False")</f>
        <v>False</v>
      </c>
    </row>
    <row r="196" spans="1:88" s="16" customFormat="1" ht="16.5" thickTop="1" thickBot="1" x14ac:dyDescent="0.3">
      <c r="A196" s="26" t="str">
        <f>_xlfn.XLOOKUP(B196,'Base stats'!B:B,'Base stats'!A:A)</f>
        <v>Seal</v>
      </c>
      <c r="B196" s="6" t="s">
        <v>183</v>
      </c>
      <c r="C196" s="28" t="s">
        <v>1240</v>
      </c>
      <c r="D196" s="28" t="s">
        <v>872</v>
      </c>
      <c r="E196" s="28" t="s">
        <v>673</v>
      </c>
      <c r="F196" s="28" t="s">
        <v>673</v>
      </c>
      <c r="G196" s="28" t="s">
        <v>1228</v>
      </c>
      <c r="H196" s="2">
        <f>MROUND((
  (IF(AND(_xlfn.XLOOKUP(B196,'Base stats'!B:B,'Base stats'!AL:AL)=0,BI196="None",_xlfn.XLOOKUP(_xlfn.XLOOKUP(B196,'Base stats'!B:B,'Base stats'!E:E),Groups!A:A,Groups!B:B)=0), (18 + BR196 * 2.7) * 0.5,
    IF(AND(_xlfn.XLOOKUP(B196,'Base stats'!B:B,'Base stats'!AL:AL)=0,OR(AO196&lt;0.55,AND(BI196="Intermediate",_xlfn.XLOOKUP(_xlfn.XLOOKUP(B196,'Base stats'!B:B,'Base stats'!E:E),Groups!A:A,Groups!B:B)&lt;2))), (18 + BR196 * 2.7),
      IF(OR(BI196="Advanced",_xlfn.XLOOKUP(B196,'Base stats'!B:B,'Base stats'!AL:AL)=1,_xlfn.XLOOKUP(_xlfn.XLOOKUP(B196,'Base stats'!B:B,'Base stats'!E:E),Groups!A:A,Groups!B:B)=2), (18 + BR196 * 2.7) + 250, (18 + BR196 * 2.7))
    )
  ))
  + AO196 * 80
  + IF(COUNTIF(EggMilk!K$2:K$998, A196) &gt; 0, 125, 0)
  + IF(COUNTIF(EggMilk!P$2:P$998, A196) &gt; 0, 90, 0)
  + IF(COUNTIF(EggMilk!A$2:A$998, A196) &gt; 0, 90, 0)
)
* (0.8 + 0.4 * J196)
* 0.75,25)</f>
        <v>350</v>
      </c>
      <c r="I196" s="2">
        <f>MROUND(ROUNDDOWN(_xlfn.XLOOKUP(B196,'Base stats'!B:B,'Base stats'!L:L)/3.6/(23.3/11),1),0.5)</f>
        <v>2.5</v>
      </c>
      <c r="J196" s="2">
        <f>IF(OR(_xlfn.XLOOKUP(B196,'Base stats'!B:B,'Base stats'!AB:AB)=1,_xlfn.XLOOKUP(_xlfn.XLOOKUP(B196,'Base stats'!B:B,'Base stats'!E:E),Groups!A:A,Groups!C:C)="Untamable"),1,IF(_xlfn.XLOOKUP(B196,'Base stats'!B:B,'Base stats'!AL:AL)=1,0.99,MIN(MROUND((1-0.6282*EXP(-0.459*AO196))*_xlfn.XLOOKUP(_xlfn.XLOOKUP(B196,'Base stats'!B:B,'Base stats'!E:E),Groups!A:A,Groups!C:C)*IF(_xlfn.XLOOKUP(B196,'Base stats'!B:B,'Base stats'!O:O)=1,0.5,IF(_xlfn.XLOOKUP(B196,'Base stats'!B:B,'Base stats'!O:O)=2,0,1)),0.05),IF(AO196&gt;3.5,0.985,0.95))))</f>
        <v>0.65</v>
      </c>
      <c r="K196" s="2">
        <f>ROUNDUP(AO196*_xlfn.XLOOKUP(_xlfn.XLOOKUP(B196,'Base stats'!B:B,'Base stats'!E:E),Groups!A:A,Groups!E:E),0)</f>
        <v>2</v>
      </c>
      <c r="L196" s="2">
        <f>IF(OR(_xlfn.XLOOKUP(_xlfn.XLOOKUP(B196,'Base stats'!B:B,'Base stats'!E:E),Groups!A:A,Groups!F:F)=2,ISNUMBER(SEARCH("SeaIce",BX196)),ISNUMBER(SEARCH("IceSheet",BX196))),-50,IF(OR(ISNUMBER(SEARCH("GlacialPlain",BX196)),ISNUMBER(SEARCH("Tundra",BX196))),-40,IF(OR(ISNUMBER(SEARCH("Alpine",BX196)),ISNUMBER(SEARCH("BorealForest",BX196)),ISNUMBER(SEARCH("ColdBog",BX196))),-30,IF(OR(ISNUMBER(SEARCH("TemperateForest",BX196)),ISNUMBER(SEARCH("TemperateSwamp",BX196))),-20,IF(_xlfn.XLOOKUP(_xlfn.XLOOKUP(B196,'Base stats'!B:B,'Base stats'!E:E),Groups!A:A,Groups!F:F)=1,-15,IF(OR(ISNUMBER(SEARCH("Desert",BX196)),ISNUMBER(SEARCH("ExtremeDesert",BX196))),-10,IF(OR(ISNUMBER(SEARCH("Grasslands",BX196)),ISNUMBER(SEARCH("TropicalRainforest",BX196)),ISNUMBER(SEARCH("TropicalSwamp",BX196))),10,0)))))))-IF(CC196="False",MIN(IFERROR(MAX(MROUND(LOG10(_xlfn.XLOOKUP(B196,'Base stats'!B:B,'Base stats'!C:C)^(2/3))*10,5),5),5),30))-_xlfn.XLOOKUP(B196,'Base stats'!B:B,'Base stats'!P:P)+IF(CC196="True",5,0)</f>
        <v>-65</v>
      </c>
      <c r="M196" s="2">
        <f>IF(OR(_xlfn.XLOOKUP(_xlfn.XLOOKUP(B196,'Base stats'!B:B,'Base stats'!E:E),Groups!A:A,Groups!G:G)=2,ISNUMBER(SEARCH("Desert",BX196)),ISNUMBER(SEARCH("ExtremeDesert",BX196)),ISNUMBER(SEARCH("LavaField",BX196))),50,IF(ISNUMBER(SEARCH("Grasslands",BX196)),45,IF(OR(_xlfn.XLOOKUP(_xlfn.XLOOKUP(B196,'Base stats'!B:B,'Base stats'!E:E),Groups!A:A,Groups!G:G)=1,ISNUMBER(SEARCH("TropicalRainforest",BX196)),ISNUMBER(SEARCH("TropicalSwamp",BX196))),40,IF(OR(ISNUMBER(SEARCH("TemperateForest",BX196)),ISNUMBER(SEARCH("TemperateSwamp",BX196))),35,IF(OR(ISNUMBER(SEARCH("Alpine",BX196)),ISNUMBER(SEARCH("BorealForest",BX196)),ISNUMBER(SEARCH("ColdBog",BX196))),30,IF(ISNUMBER(OR(ISNUMBER(SEARCH("GlacialPlain",BX196)),SEARCH("Tundra",BX196))),25,IF(OR(ISNUMBER(SEARCH("SeaIce",BX196)),ISNUMBER(SEARCH("IceSheet",BX196)),ISNUMBER(SEARCH("TropicalSwamp",BX196))),10,35)))))))+_xlfn.XLOOKUP(B196,'Base stats'!B:B,'Base stats'!Q:Q)</f>
        <v>35</v>
      </c>
      <c r="N196" s="8" t="str">
        <f>IF(
_xlfn.XLOOKUP(
_xlfn.XLOOKUP(B196,'Base stats'!B:B,'Base stats'!E:E),
Groups!A:A,
Groups!L:L
)=1,
MIN(
MROUND(
IF(
_xlfn.XLOOKUP(B196,'Animals CE'!B:B,'Animals CE'!Z:Z)&lt;=1.5,
_xlfn.XLOOKUP(B196,'Animals CE'!B:B,'Animals CE'!Z:Z)/2+0.05,
0.8+
(_xlfn.XLOOKUP(B196,'Animals CE'!B:B,'Animals CE'!Z:Z)-1.5)
*0.02
),
0.05
),
200%
),
"No"
)</f>
        <v>No</v>
      </c>
      <c r="O196" s="8" t="str">
        <f>IF(
_xlfn.XLOOKUP(
_xlfn.XLOOKUP(B196,'Base stats'!B:B,'Base stats'!E:E),
Groups!A:A,
Groups!L:L
)=1,
MIN(
MROUND(
IF(
_xlfn.XLOOKUP(B196,'Animals CE'!B:B,'Animals CE'!AA:AA)&lt;=1.5,
_xlfn.XLOOKUP(B196,'Animals CE'!B:B,'Animals CE'!AA:AA)/2+0.05,
0.8+
(_xlfn.XLOOKUP(B196,'Animals CE'!B:B,'Animals CE'!AA:AA)-1.5)
*0.02
),
0.05
),
200%
),
"No"
)</f>
        <v>No</v>
      </c>
      <c r="P196" s="2" t="str">
        <f>_xlfn.XLOOKUP(B196,'Base stats'!B:B,'Base stats'!R:R)</f>
        <v>Standard</v>
      </c>
      <c r="Q196" s="13">
        <f>MROUND((LOG10(_xlfn.XLOOKUP(B196,'Base stats'!B:B,'Base stats'!AR:AR))*(AO196^0.5)+(_xlfn.XLOOKUP(B196,'Base stats'!B:B,'Base stats'!AR:AR)/1000)^(2/3)+_xlfn.XLOOKUP(B196,'Base stats'!B:B,'Base stats'!BA:BA)/2)+0.5,0.5)</f>
        <v>8.5</v>
      </c>
      <c r="R196" s="7">
        <f>IF(Q196="No","No",MAX(1,MROUND(_xlfn.XLOOKUP(B196,'Base stats'!B:B,'Base stats'!C:C)^0.165,0.05)))</f>
        <v>2.2000000000000002</v>
      </c>
      <c r="S196" s="13" t="str">
        <f>IF(_xlfn.XLOOKUP(_xlfn.XLOOKUP(B196,'Base stats'!B:B,'Base stats'!E:E),Groups!A:A,Groups!P:P)=0,"No",MROUND((LOG10(_xlfn.XLOOKUP(B196,'Base stats'!B:B,'Base stats'!AS:AS))*(AO196^0.5)+(_xlfn.XLOOKUP(B196,'Base stats'!B:B,'Base stats'!AS:AS)/1000)^(2/3)+_xlfn.XLOOKUP(B196,'Base stats'!B:B,'Base stats'!BA:BA))+_xlfn.XLOOKUP(B196,'Base stats'!B:B,'Base stats'!AY:AY)+0.5,0.5))</f>
        <v>No</v>
      </c>
      <c r="T196" s="7" t="str">
        <f>IF(S196="No","No",MAX(_xlfn.XLOOKUP(_xlfn.XLOOKUP(B196,'Base stats'!B:B,'Base stats'!E:E),Groups!A:A,Groups!Q:Q),MROUND(_xlfn.XLOOKUP(_xlfn.XLOOKUP(B196,'Base stats'!B:B,'Base stats'!E:E),Groups!A:A,Groups!Q:Q)*_xlfn.XLOOKUP(B196,'Base stats'!B:B,'Base stats'!C:C)^0.165,0.05)))</f>
        <v>No</v>
      </c>
      <c r="U196" s="7" t="str">
        <f>IF(S196="No","No",_xlfn.XLOOKUP(_xlfn.XLOOKUP(B196,'Base stats'!B:B,'Base stats'!E:E),Groups!A:A,Groups!R:R))</f>
        <v>No</v>
      </c>
      <c r="V196" s="7" t="str">
        <f>IF(S196="No","No",_xlfn.XLOOKUP(_xlfn.XLOOKUP(B196,'Base stats'!B:B,'Base stats'!E:E),Groups!A:A,Groups!S:S))</f>
        <v>No</v>
      </c>
      <c r="W196" s="7" t="str">
        <f>IF(S196="No","No",_xlfn.XLOOKUP(_xlfn.XLOOKUP(B196,'Base stats'!B:B,'Base stats'!E:E),Groups!A:A,Groups!T:T))</f>
        <v>No</v>
      </c>
      <c r="X196" s="13" t="str">
        <f>IF(_xlfn.XLOOKUP(B196,'Base stats'!B:B,'Base stats'!W:W)="No","No",MROUND((LOG10(_xlfn.XLOOKUP(B196,'Base stats'!B:B,'Base stats'!AU:AU))*(AO196^0.5)+(_xlfn.XLOOKUP(B196,'Base stats'!B:B,'Base stats'!AU:AU)/1000)^(2/3)+_xlfn.XLOOKUP(B196,'Base stats'!B:B,'Base stats'!AZ:AZ))+0.5+IF(_xlfn.XLOOKUP(_xlfn.XLOOKUP(B196,'Base stats'!B:B,'Base stats'!E:E),Groups!A:A,Groups!U:U)&lt;&gt;3,_xlfn.XLOOKUP(B196,'Base stats'!B:B,'Base stats'!BA:BA),0),0.5))</f>
        <v>No</v>
      </c>
      <c r="Y196" s="7" t="str">
        <f>IF(X196="No","No",MAX(_xlfn.XLOOKUP(_xlfn.XLOOKUP(B196,'Base stats'!B:B,'Base stats'!E:E),Groups!A:A,Groups!V:V),MROUND(_xlfn.XLOOKUP(_xlfn.XLOOKUP(B196,'Base stats'!B:B,'Base stats'!E:E),Groups!A:A,Groups!V:V)*_xlfn.XLOOKUP(B196,'Base stats'!B:B,'Base stats'!C:C)^0.165,0.05)))</f>
        <v>No</v>
      </c>
      <c r="Z196" s="7" t="str">
        <f>IF(X196="No","No",_xlfn.XLOOKUP(_xlfn.XLOOKUP(B196,'Base stats'!B:B,'Base stats'!E:E),Groups!A:A,Groups!W:W))</f>
        <v>No</v>
      </c>
      <c r="AA196" s="7" t="str">
        <f>IF(X196="No","No",_xlfn.XLOOKUP(_xlfn.XLOOKUP(B196,'Base stats'!B:B,'Base stats'!E:E),Groups!A:A,Groups!X:X))</f>
        <v>No</v>
      </c>
      <c r="AB196" s="7" t="str">
        <f>IF(X196="No","No",_xlfn.XLOOKUP(_xlfn.XLOOKUP(B196,'Base stats'!B:B,'Base stats'!E:E),Groups!A:A,Groups!Y:Y))</f>
        <v>No</v>
      </c>
      <c r="AC196" s="7" t="str">
        <f>_xlfn.XLOOKUP(Animals!B196,'Base stats'!B:B,'Base stats'!X:X)</f>
        <v>False</v>
      </c>
      <c r="AD196" s="13">
        <f>IF(_xlfn.XLOOKUP(B196,'Base stats'!B:B,'Base stats'!AT:AT)="No","No",MROUND((LOG10(_xlfn.XLOOKUP(B196,'Base stats'!B:B,'Base stats'!AT:AT))*(AO196^0.75)+(_xlfn.XLOOKUP(B196,'Base stats'!B:B,'Base stats'!AT:AT)/1000)^(2/3)+_xlfn.XLOOKUP(B196,'Base stats'!B:B,'Base stats'!AX:AX)+_xlfn.XLOOKUP(B196,'Base stats'!B:B,'Base stats'!BA:BA))+0.5,0.5))</f>
        <v>14.5</v>
      </c>
      <c r="AE196" s="7">
        <f>IF(AD196="No","No",MAX(_xlfn.XLOOKUP(_xlfn.XLOOKUP(B196,'Base stats'!B:B,'Base stats'!E:E),Groups!A:A,Groups!Z:Z),MROUND(_xlfn.XLOOKUP(_xlfn.XLOOKUP(B196,'Base stats'!B:B,'Base stats'!E:E),Groups!A:A,Groups!Z:Z)*_xlfn.XLOOKUP(B196,'Base stats'!B:B,'Base stats'!C:C)^0.165,0.05)))</f>
        <v>1.85</v>
      </c>
      <c r="AF196" s="7" t="str">
        <f>IF(AD196="No","No",_xlfn.XLOOKUP(_xlfn.XLOOKUP(B196,'Base stats'!B:B,'Base stats'!E:E),Groups!A:A,Groups!AA:AA))</f>
        <v>Teeth</v>
      </c>
      <c r="AG196" s="7" t="str">
        <f>IF(AD196="No","No",_xlfn.XLOOKUP(_xlfn.XLOOKUP(B196,'Base stats'!B:B,'Base stats'!E:E),Groups!A:A,Groups!AB:AB))</f>
        <v>canines</v>
      </c>
      <c r="AH196" s="7" t="str">
        <f>IF(AD196="No","No",_xlfn.XLOOKUP(_xlfn.XLOOKUP(B196,'Base stats'!B:B,'Base stats'!E:E),Groups!A:A,Groups!AC:AC))</f>
        <v>Bite</v>
      </c>
      <c r="AI196" s="13" t="str">
        <f>IF(_xlfn.XLOOKUP(_xlfn.XLOOKUP(B196,'Base stats'!B:B,'Base stats'!E:E),Groups!A:A,Groups!AD:AD)=0,"No",MROUND((LOG10(_xlfn.XLOOKUP(B196,'Base stats'!B:B,'Base stats'!AS:AS))*(AO196^0.75)+(_xlfn.XLOOKUP(B196,'Base stats'!B:B,'Base stats'!AS:AS)/1000)^(2/3)+_xlfn.XLOOKUP(B196,'Base stats'!B:B,'Base stats'!AY:AY)+_xlfn.XLOOKUP(B196,'Base stats'!B:B,'Base stats'!BA:BA))+0.5,0.5))</f>
        <v>No</v>
      </c>
      <c r="AJ196" s="7" t="str">
        <f>IF(AI196="No","No",MAX(_xlfn.XLOOKUP(_xlfn.XLOOKUP(B196,'Base stats'!B:B,'Base stats'!E:E),Groups!A:A,Groups!AE:AE),MROUND(_xlfn.XLOOKUP(_xlfn.XLOOKUP(B196,'Base stats'!B:B,'Base stats'!E:E),Groups!A:A,Groups!AE:AE)*IF(_xlfn.XLOOKUP(_xlfn.XLOOKUP(B196,'Base stats'!B:B,'Base stats'!E:E),Groups!A:A,Groups!AJ:AJ)="Photonozoa",0.6,1)*_xlfn.XLOOKUP(B196,'Base stats'!B:B,'Base stats'!C:C)^0.165,0.05)))</f>
        <v>No</v>
      </c>
      <c r="AK196" s="7" t="str">
        <f>IF(AI196="No","No",_xlfn.XLOOKUP(_xlfn.XLOOKUP(B196,'Base stats'!B:B,'Base stats'!E:E),Groups!A:A,Groups!AF:AF))</f>
        <v>No</v>
      </c>
      <c r="AL196" s="7" t="str">
        <f>IF(AI196="No","No",_xlfn.XLOOKUP(_xlfn.XLOOKUP(B196,'Base stats'!B:B,'Base stats'!E:E),Groups!A:A,Groups!AG:AG))</f>
        <v>No</v>
      </c>
      <c r="AM196" s="7" t="str">
        <f>IF(AI196="No","No",_xlfn.XLOOKUP(_xlfn.XLOOKUP(B196,'Base stats'!B:B,'Base stats'!E:E),Groups!A:A,Groups!AH:AH))</f>
        <v>No</v>
      </c>
      <c r="AN196" s="2">
        <f t="shared" si="21"/>
        <v>20</v>
      </c>
      <c r="AO196" s="2">
        <f>MROUND(IF(AND(_xlfn.XLOOKUP(B196,'Base stats'!B:B,'Base stats'!C:C)&gt;=0.5,_xlfn.XLOOKUP(B196,'Base stats'!B:B,'Base stats'!C:C)&lt;=0.8),
IF(_xlfn.XLOOKUP(B196,'Base stats'!B:B,'Base stats'!C:C)&lt;0.1,0.05,IF(_xlfn.XLOOKUP(B196,'Base stats'!B:B,'Base stats'!C:C)&lt;=70,(_xlfn.XLOOKUP(B196,'Base stats'!B:B,'Base stats'!C:C)/70)^0.426489913056526,IF(_xlfn.XLOOKUP(B196,'Base stats'!B:B,'Base stats'!C:C)&lt;=400,(_xlfn.XLOOKUP(B196,'Base stats'!B:B,'Base stats'!C:C)/70)^0.572811455315093,IF(_xlfn.XLOOKUP(B196,'Base stats'!B:B,'Base stats'!C:C)&lt;=2000,2.71391647193063*(_xlfn.XLOOKUP(B196,'Base stats'!B:B,'Base stats'!C:C)/400)^0.252459582904293,3.74314280240376*(_xlfn.XLOOKUP(B196,'Base stats'!B:B,'Base stats'!C:C)/2000)^0.357012633876913)))),
IF(_xlfn.XLOOKUP(B196,'Base stats'!B:B,'Base stats'!C:C)&lt;0.1,0.05,IF(_xlfn.XLOOKUP(B196,'Base stats'!B:B,'Base stats'!C:C)&lt;0.4,0.1,IF(_xlfn.XLOOKUP(B196,'Base stats'!B:B,'Base stats'!C:C)&lt;=70,(_xlfn.XLOOKUP(B196,'Base stats'!B:B,'Base stats'!C:C)/70)^0.445823913056526,IF(_xlfn.XLOOKUP(B196,'Base stats'!B:B,'Base stats'!C:C)&lt;=400,(_xlfn.XLOOKUP(B196,'Base stats'!B:B,'Base stats'!C:C)/70)^0.572811455315093,IF(_xlfn.XLOOKUP(B196,'Base stats'!B:B,'Base stats'!C:C)&lt;=2000,2.71391647193063*(_xlfn.XLOOKUP(B196,'Base stats'!B:B,'Base stats'!C:C)/400)^0.252459582904293,3.74314280240376*(_xlfn.XLOOKUP(B196,'Base stats'!B:B,'Base stats'!C:C)/2000)^0.357012633876913)))))),
IF(_xlfn.XLOOKUP(B196,'Base stats'!B:B,'Base stats'!C:C)&lt;0.1,0.05,IF(_xlfn.XLOOKUP(B196,'Base stats'!B:B,'Base stats'!C:C)&lt;=100,0.05,IF(_xlfn.XLOOKUP(B196,'Base stats'!B:B,'Base stats'!C:C)&lt;=250,0.1,IF(_xlfn.XLOOKUP(B196,'Base stats'!B:B,'Base stats'!C:C)&lt;=4000,0.25,0.5)))))</f>
        <v>1.3</v>
      </c>
      <c r="AP196" s="8">
        <f>MROUND(AO196*_xlfn.XLOOKUP(_xlfn.XLOOKUP(B196,'Base stats'!B:B,'Base stats'!E:E),Groups!A:A,Groups!AI:AI)*_xlfn.XLOOKUP(B196,'Base stats'!B:B,'Base stats'!Z:Z),0.05)</f>
        <v>1.55</v>
      </c>
      <c r="AQ196" s="8">
        <f>MAX(0.01,MROUND(IF(CC196="True",0.196*(AO196*100*1000)^0.889,IF(_xlfn.XLOOKUP(_xlfn.XLOOKUP(B196,'Base stats'!B:B,'Base stats'!E:E),Groups!A:A,Groups!AJ:AJ)="Bird",10.5*(AO196*100*1000)^0.681,4.82*(AO196*100*1000)^0.734))/(4.82*(1*100*1000)^0.734)/IF(AO196&lt;3.5,2,IF(AO196=3.5,1.5,1.25))*(1+0.132282374779864/(AO196^0.994035016789033+0.00905238001496948)),0.05))</f>
        <v>0.65</v>
      </c>
      <c r="AR196" s="9">
        <f>IFERROR(MROUND(_xlfn.XLOOKUP(B196,'Base stats'!B:B,'Base stats'!H:H)/IF(_xlfn.XLOOKUP(B196,'Base stats'!B:B,'Base stats'!I:I)&lt;&gt;1,(122.5/70),1.2),IF(_xlfn.XLOOKUP(B196,'Base stats'!B:B,'Base stats'!H:H)&gt;=30,5,IF(_xlfn.XLOOKUP(B196,'Base stats'!B:B,'Base stats'!H:H)&gt;=15,3,IF(_xlfn.XLOOKUP(B196,'Base stats'!B:B,'Base stats'!H:H)&gt;=10,2,1)))),"Immortal")</f>
        <v>25</v>
      </c>
      <c r="AS196" s="35">
        <f>IFERROR(IF(OR(_xlfn.XLOOKUP(B196,'Base stats'!B:B,'Base stats'!F:F)="Atypical reproduction",_xlfn.XLOOKUP(B196,'Base stats'!B:B,'Base stats'!F:F)="Lay eggs"),"Lay eggs",MIN(20,MAX(5.5,ROUND(((_xlfn.XLOOKUP(B196,'Base stats'!B:B,'Base stats'!F:F)-25)*(14.5/615) + 5.5)*2,0)/2))),"Unknown")</f>
        <v>11</v>
      </c>
      <c r="AT196" s="8">
        <f>IF(_xlfn.XLOOKUP(B196,'Base stats'!B:B,'Base stats'!G:G)="Atypical reproduction","No",IFERROR(MAX(IF(_xlfn.XLOOKUP(B196,'Base stats'!B:B,'Base stats'!G:G)&lt;0.5,0.2,0.3),MROUND(_xlfn.XLOOKUP(B196,'Base stats'!B:B,'Base stats'!G:G)/(365/60),0.2)),"Unknown"))</f>
        <v>0.4</v>
      </c>
      <c r="AU196" s="8">
        <f t="shared" si="22"/>
        <v>0.2</v>
      </c>
      <c r="AV196" s="8">
        <f>IFERROR(IFERROR(MROUND(_xlfn.XLOOKUP(B196,'Base stats'!B:B,'Base stats'!J:J),0.1),"Lay eggs"),"Cannot breed")</f>
        <v>1</v>
      </c>
      <c r="AW196" s="2" t="str">
        <f t="shared" si="23"/>
        <v>true</v>
      </c>
      <c r="AX196" s="2" t="str">
        <f>IF(_xlfn.XLOOKUP(_xlfn.XLOOKUP(Animals!B196,'Base stats'!B:B,'Base stats'!E:E),Groups!A:A,Groups!AK:AK)=1,"true","false")</f>
        <v>false</v>
      </c>
      <c r="AY196" s="25" t="str">
        <f>IF(_xlfn.XLOOKUP(B196,'Base stats'!B:B,'Base stats'!Y:Y)="Liquor","Liquor, CarnivoreAnimalStrict",IF(AND(_xlfn.XLOOKUP(B196,'Base stats'!B:B,'Base stats'!Y:Y)="Carnivore",_xlfn.XLOOKUP(_xlfn.XLOOKUP(B196,'Base stats'!B:B,'Base stats'!E:E),Groups!A:A,Groups!AJ:AJ)="Photonozoa"),"CarnivoreAnimalStrict, OvivoreAnimal",IF(_xlfn.XLOOKUP(B196,'Base stats'!B:B,'Base stats'!Y:Y)="Carnivore","CarnivoreAnimal, OvivoreAnimal",IF(_xlfn.XLOOKUP(B196,'Base stats'!B:B,'Base stats'!Y:Y)="Dendrovore","VegetarianRoughAnimal, DendrovoreAnimal",IF(_xlfn.XLOOKUP(B196,'Base stats'!B:B,'Base stats'!Y:Y)="Herbivore","VegetarianRoughAnimal",IF(_xlfn.XLOOKUP(B196,'Base stats'!B:B,'Base stats'!Y:Y)="OmnivoreRough","OmnivoreRoughAnimal, OvivoreAnimal","OmnivoreAnimal, OvivoreAnimal"))))))</f>
        <v>CarnivoreAnimal, OvivoreAnimal</v>
      </c>
      <c r="AZ196" s="2" t="str">
        <f>IF(_xlfn.XLOOKUP(_xlfn.XLOOKUP(B196,'Base stats'!B:B,'Base stats'!E:E),Groups!A:A,Groups!D:D)=1,MROUND((1-J196)*5+1,2)*IF(J196&lt;=0.4,2,1),"No")</f>
        <v>No</v>
      </c>
      <c r="BA196" s="2" t="str">
        <f>IF(AND(_xlfn.XLOOKUP(B196,'Base stats'!B:B,'Base stats'!AH:AH)="&lt;li&gt;Seal&lt;/li&gt;",G196="Odyssey"),"&lt;li&gt;AEXP_Seal&lt;/li&gt;",_xlfn.XLOOKUP(B196,'Base stats'!B:B,'Base stats'!AH:AH))</f>
        <v>No</v>
      </c>
      <c r="BB196" s="2" t="str">
        <f>_xlfn.XLOOKUP(B196,'Base stats'!B:B,'Base stats'!AG:AG)</f>
        <v>Leather_Sealskin</v>
      </c>
      <c r="BC196" s="23" t="str">
        <f>_xlfn.XLOOKUP(_xlfn.XLOOKUP(B196,'Base stats'!B:B,'Base stats'!E:E),Groups!A:A,Groups!AL:AL)</f>
        <v>Pinniped</v>
      </c>
      <c r="BD196" s="23">
        <f>MIN(1,MROUND(IF(AND(AO196&lt;0.5,_xlfn.XLOOKUP(B196,'Base stats'!B:B,'Base stats'!AA:AA)=0),0,IF(OR(_xlfn.XLOOKUP(Animals!B196,'Base stats'!B:B,'Base stats'!O:O)=2,_xlfn.XLOOKUP(_xlfn.XLOOKUP(B196,'Base stats'!B:B,'Base stats'!E:E),Groups!A:A,Groups!AN:AN)=0),0,_xlfn.XLOOKUP(_xlfn.XLOOKUP(B196,'Base stats'!B:B,'Base stats'!E:E),Groups!A:A,Groups!AN:AN)/IF(_xlfn.XLOOKUP(Animals!B196,'Base stats'!B:B,'Base stats'!O:O)=1,2,1)))+_xlfn.XLOOKUP(B196,'Base stats'!B:B,'Base stats'!AC:AC),0.005))</f>
        <v>2.5000000000000001E-2</v>
      </c>
      <c r="BE196" s="23">
        <f>MIN(1,MROUND(IF(AND(AO196&lt;0.5,_xlfn.XLOOKUP(B196,'Base stats'!B:B,'Base stats'!AA:AA)=0),0,IF(_xlfn.XLOOKUP(_xlfn.XLOOKUP(B196,'Base stats'!B:B,'Base stats'!E:E),Groups!A:A,Groups!AO:AO)=0,0,_xlfn.XLOOKUP(_xlfn.XLOOKUP(B196,'Base stats'!B:B,'Base stats'!E:E),Groups!A:A,Groups!AO:AO)/IF(_xlfn.XLOOKUP(Animals!B196,'Base stats'!B:B,'Base stats'!O:O)=2,3,1)))+_xlfn.XLOOKUP(B196,'Base stats'!B:B,'Base stats'!AD:AD),0.005))</f>
        <v>0.1</v>
      </c>
      <c r="BF196" s="2" t="str">
        <f>IF(J196&gt;0.3,"No",_xlfn.XLOOKUP(_xlfn.XLOOKUP(Animals!B196,'Base stats'!B:B,'Base stats'!E:E),Groups!A:A,Groups!AP:AP))</f>
        <v>No</v>
      </c>
      <c r="BG196" s="2">
        <f>IF(AND(J196&lt;=0.65,_xlfn.XLOOKUP(_xlfn.XLOOKUP(Animals!B196,'Base stats'!B:B,'Base stats'!E:E),Groups!A:A,Groups!AP:AP)&lt;&gt;"No",_xlfn.XLOOKUP(_xlfn.XLOOKUP(B196,'Base stats'!B:B,'Base stats'!E:E),Groups!A:A,Groups!D:D)=0),MROUND((80/3)*IF(_xlfn.XLOOKUP(B196,'Base stats'!B:B,'Base stats'!O:O)=2,0.2,AO196) + 24*(1-IF(BF196="No",0,BF196)) + 16/3, 12),"No")</f>
        <v>60</v>
      </c>
      <c r="BH196" s="2">
        <f>IF(AND(_xlfn.XLOOKUP(_xlfn.XLOOKUP(B196,'Base stats'!B:B,'Base stats'!E:E),Groups!A:A,Groups!AQ:AQ)=1,AO196&lt;=0.35),8,12)</f>
        <v>12</v>
      </c>
      <c r="BI196" s="2" t="str">
        <f>IF(_xlfn.XLOOKUP(_xlfn.XLOOKUP(B196,'Base stats'!B:B,'Base stats'!E:E),Groups!A:A,Groups!D:D)=0,_xlfn.XLOOKUP(_xlfn.XLOOKUP(B196,'Base stats'!B:B,'Base stats'!E:E),Groups!A:A,Groups!AR:AR),"None")</f>
        <v>Intermediate</v>
      </c>
      <c r="BJ196" s="2" t="str">
        <f>IF(AND(_xlfn.XLOOKUP(_xlfn.XLOOKUP(B196,'Base stats'!B:B,'Base stats'!E:E),Groups!A:A,Groups!AS:AS)=1,OR(_xlfn.XLOOKUP(B196,'Base stats'!B:B,'Base stats'!Y:Y)="Carnivore",_xlfn.XLOOKUP(B196,'Base stats'!B:B,'Base stats'!Y:Y)="Omnivore")),"true","false")</f>
        <v>true</v>
      </c>
      <c r="BK196" s="2">
        <f>IF(BJ196="true",MROUND(IF(AND(AO196&gt;0.5,OR(_xlfn.XLOOKUP(_xlfn.XLOOKUP(B196,'Base stats'!B:B,'Base stats'!E:E),Groups!A:A,Groups!AJ:AJ)="Photonozoa",_xlfn.XLOOKUP(_xlfn.XLOOKUP(B196,'Base stats'!B:B,'Base stats'!E:E),Groups!A:A,Groups!AJ:AJ)="Mammal")),Animals!AO196*1.75*IF(AW196="true",1.5,1),IF(AO196&lt;0.5,Animals!AO196*0.5,Animals!AO196)),IF(AO196&gt;2,0.5,IF(AO196&gt;0.5,0.25,0.1))),"No")</f>
        <v>3.5</v>
      </c>
      <c r="BL196" s="2">
        <f t="shared" si="24"/>
        <v>1</v>
      </c>
      <c r="BM196" s="25">
        <f>IF(_xlfn.XLOOKUP(B196,'Base stats'!B:B,'Base stats'!AN:AN)="Standard","No",MROUND((_xlfn.XLOOKUP(B196,'Base stats'!B:B,'Base stats'!AN:AN)/3.6)/I196,0.1))</f>
        <v>2.2000000000000002</v>
      </c>
      <c r="BN196" s="25" t="str">
        <f t="shared" si="25"/>
        <v>true</v>
      </c>
      <c r="BO196" s="25" t="str">
        <f>IF(AND(OR(_xlfn.XLOOKUP(B196,'Base stats'!B:B,'Base stats'!Y:Y)="Carnivore",_xlfn.XLOOKUP(B196,'Base stats'!B:B,'Base stats'!Y:Y)="Omnivore",_xlfn.XLOOKUP(B196,'Base stats'!B:B,'Base stats'!Y:Y)="OmnivoreRough"),_xlfn.XLOOKUP(_xlfn.XLOOKUP(B196,'Base stats'!B:B,'Base stats'!E:E),Groups!A:A,Groups!AT:AT)=1),"true","false")</f>
        <v>true</v>
      </c>
      <c r="BP196" s="25" t="str" cm="1">
        <f t="array" ref="BP196">IF(
  _xlfn.TEXTJOIN(", ",TRUE,
    IF(AND(BJ196="true",AO196&gt;0.5,BI196&lt;&gt;"None"),"AttackTarget",""),
    IF(AND(_xlfn.XLOOKUP(_xlfn.XLOOKUP(B196,'Base stats'!B:B,'Base stats'!E:E),Groups!A:A,Groups!AJ:AJ="Mammal"),OR(_xlfn.XLOOKUP(B196,'Base stats'!B:B,'Base stats'!Y:Y)="Omnivore",_xlfn.XLOOKUP(B196,'Base stats'!B:B,'Base stats'!Y:Y)="OmnivoreRough")),"Forage",""),
    IF(BG196&lt;=36,"Comfort",""),
    IF(_xlfn.XLOOKUP(B196,'Base stats'!B:B,'Base stats'!AE:AE)&lt;&gt;"No",_xlfn.XLOOKUP(B196,'Base stats'!B:B,'Base stats'!AE:AE),"")
  ) = "",
  "No",
  _xlfn.TEXTJOIN(", ",TRUE,
    IF(AND(BJ196="true",AO196&gt;0.5,BI196&lt;&gt;"None"),"AttackTarget",""),
    IF(AND(_xlfn.XLOOKUP(_xlfn.XLOOKUP(B196,'Base stats'!B:B,'Base stats'!E:E),Groups!A:A,Groups!AJ:AJ="Mammal"),OR(_xlfn.XLOOKUP(B196,'Base stats'!B:B,'Base stats'!Y:Y)="Omnivore",_xlfn.XLOOKUP(B196,'Base stats'!B:B,'Base stats'!Y:Y)="OmnivoreRough")),"Forage",""),
    IF(BG196&lt;=36,"Comfort",""),
    IF(_xlfn.XLOOKUP(B196,'Base stats'!B:B,'Base stats'!AE:AE)&lt;&gt;"No",_xlfn.XLOOKUP(B196,'Base stats'!B:B,'Base stats'!AE:AE),"")
  )
)</f>
        <v>AttackTarget</v>
      </c>
      <c r="BQ196" s="25">
        <f>IF(
   AND(
      'Base stats'!AN196="Standard",_xlfn.XLOOKUP(_xlfn.XLOOKUP(B196,'Base stats'!B:B,'Base stats'!E:E),Groups!A:A,Groups!AU:AU)=0,
      OR(
      BO196="True"
      )
   ),
   10,
   IF(
       OR(BM196&lt;&gt;"No",_xlfn.XLOOKUP(_xlfn.XLOOKUP(B196,'Base stats'!B:B,'Base stats'!E:E),Groups!A:A,Groups!AU:AU)=1),
      1,
      "No"
   )
)</f>
        <v>1</v>
      </c>
      <c r="BR196" s="9">
        <f>MROUND((1 + ((0.2*IF(OR(Q196="No",R196="No",R196=0),0,Q196/R196)
+IF(OR(V196="No",S196="No",T196="No"),0,S196/T196*(LEN(V196)-LEN(SUBSTITUTE(V196,",",""))+1))
+IF(OR(X196="No",Y196="No"),0,X196/Y196)
+IF(OR(AD196="No",AE196="No"),0,AD196/AE196)
+IF(OR(AL196="No",AI196="No",AJ196="No"),0,AI196/AJ196*(LEN(AL196)-LEN(SUBSTITUTE(AL196,",",""))+1))
)/(0.2*IF(OR(Q196="No",R196="No",R196=0),0,1)
+IF(OR(V196="No",S196="No",T196="No"),0,LEN(V196)-LEN(SUBSTITUTE(V196,",",""))+1)
+IF(OR(X196="No",Y196="No"),0,1)
+IF(OR(AD196="No",AE196="No"),0,1)
+IF(OR(AL196="No",AI196="No",AJ196="No"),0,LEN(AL196)-LEN(SUBSTITUTE(AL196,",",""))+1))*62%)* 2)*(1 + (AP196 / (IF(_xlfn.XLOOKUP(_xlfn.XLOOKUP(B196,'Base stats'!B:B,'Base stats'!E:E),Groups!A:A,Groups!AJ:AJ)="Photonozoa",0.3,1)) + _xlfn.XLOOKUP(B196,'Base stats'!B:B,'Base stats'!AV:AV) * 1.8) * 2) * 2.5 + 10 + I196 * 2,5)+IF(_xlfn.XLOOKUP(B196,'Base stats'!B:B,'Base stats'!AK:AK)=1,50,0)</f>
        <v>115</v>
      </c>
      <c r="BS196" s="8">
        <f t="shared" si="26"/>
        <v>0.8</v>
      </c>
      <c r="BT196" s="8" t="str">
        <f>_xlfn.XLOOKUP(B196,'Base stats'!B:B,'Base stats'!AF:AF)</f>
        <v>5~15</v>
      </c>
      <c r="BU196" s="2" t="str">
        <f>IF(AND(J196&lt;=0.95,OR(_xlfn.XLOOKUP(B196,'Base stats'!B:B,'Base stats'!AK:AK)=1,_xlfn.XLOOKUP(B196,'Base stats'!B:B,'Base stats'!Y:Y)="Carnivore",_xlfn.XLOOKUP(B196,'Base stats'!B:B,'Base stats'!Y:Y)="Omnivore",BE196&gt;0.1)),"true","false")</f>
        <v>true</v>
      </c>
      <c r="BV196" s="2" t="str">
        <f>IF(_xlfn.XLOOKUP(B196,'Base stats'!B:B,'Base stats'!AI:AI)=1,"true","false")</f>
        <v>false</v>
      </c>
      <c r="BW196" s="25" t="str">
        <f>IF(E196="BaseInsect","AnimalInsect",
IF(J196&gt;0.95,"AnimalExotic",
_xlfn.TEXTJOIN(", ",TRUE,
IF(OR(_xlfn.XLOOKUP(B196,'Base stats'!B:B,'Base stats'!AM:AM)=1,AND(_xlfn.XLOOKUP(B196,'Base stats'!B:B,'Base stats'!O:O)=0,_xlfn.XLOOKUP(_xlfn.XLOOKUP(B196,'Base stats'!B:B,'Base stats'!E:E),Groups!A:A,Groups!B:B)&gt;0)),"AnimalUncommon","AnimalCommon"),
IF(AND(_xlfn.XLOOKUP(B196,'Base stats'!B:B,'Base stats'!O:O)=2,_xlfn.XLOOKUP(_xlfn.XLOOKUP(B196,'Base stats'!B:B,'Base stats'!E:E),Groups!A:A,Groups!D:D)=0),"AnimalPet",IF(AND(_xlfn.XLOOKUP(B196,'Base stats'!B:B,'Base stats'!O:O)&lt;&gt;0,_xlfn.XLOOKUP(_xlfn.XLOOKUP(B196,'Base stats'!B:B,'Base stats'!E:E),Groups!A:A,Groups!D:D)&lt;&gt;0),"AnimalFarm","")),
IF(OR(_xlfn.XLOOKUP(B196,'Base stats'!B:B,'Base stats'!AK:AK)=1,AND(BI196&lt;&gt;"None",BR196&gt;=60),ISNUMBER(SEARCH("Attack target",BP196))),"AnimalFighter","")
)))</f>
        <v>AnimalCommon, AnimalFighter</v>
      </c>
      <c r="BX196" s="25" t="str">
        <f>IF(G196="None",TRIM(
SUBSTITUTE(
IF(COUNTIF(Biomes!B$2:B$259,"="&amp;$C196)&gt;0,Biomes!B$1&amp;", ","")&amp;
IF(COUNTIF(Biomes!C$2:C$259,"="&amp;$C196)&gt;0,Biomes!C$1&amp;", ","")&amp;
IF(COUNTIF(Biomes!D$2:D$259,"="&amp;$C196)&gt;0,Biomes!D$1&amp;", ","")&amp;
IF(COUNTIF(Biomes!F$2:F$259,"="&amp;$C196)&gt;0,Biomes!F$1&amp;", ","")&amp;
IF(COUNTIF(Biomes!G$2:G$259,"="&amp;$C196)&gt;0,Biomes!G$1&amp;", ","")&amp;
IF(COUNTIF(Biomes!H$2:H$259,"="&amp;$C196)&gt;0,Biomes!H$1&amp;", ","")&amp;
IF(COUNTIF(Biomes!I$2:I$259,"="&amp;$C196)&gt;0,Biomes!I$1&amp;", ","")&amp;
IF(COUNTIF(Biomes!J$2:J$259,"="&amp;$C196)&gt;0,Biomes!J$1&amp;", ","")&amp;
IF(COUNTIF(Biomes!M$2:M$259,"="&amp;$C196)&gt;0,Biomes!M$1&amp;", ","")&amp;
IF(COUNTIF(Biomes!N$2:N$259,"="&amp;$C196)&gt;0,Biomes!N$1&amp;", ","")&amp;
IF(COUNTIF(Biomes!O$2:O$259,"="&amp;$C196)&gt;0,Biomes!O$1&amp;", ","")&amp;
IF(COUNTIF(Biomes!P$2:P$259,"="&amp;$C196)&gt;0,Biomes!P$1&amp;", ","")&amp;
IF(COUNTIF(Biomes!K$2:K$259,"="&amp;$C196)&gt;0,Biomes!K$1&amp;", ","")&amp;
IF(COUNTIF(Biomes!Q$3:Q$259,"="&amp;$C196)&gt;0,Biomes!Q$1&amp;", ","")&amp;
IF(COUNTIF(Biomes!L$2:L$259,"="&amp;$C196)&gt;0,Biomes!L$1&amp;", ","")&amp;
IF(COUNTIF(Biomes!E$2:E$259,"="&amp;$C196)&gt;0,Biomes!E$1&amp;", ","")&amp;IF(COUNTIF(Biomes!S$2:S$259,"="&amp;$C196)&gt;0,Biomes!S$1&amp;", ","")&amp;
IF(COUNTIF(Biomes!R$2:R$259,"="&amp;$C196)&gt;0,Biomes!R$1&amp;", ",""),", ","")
),_xlfn.XLOOKUP(B196,B:B,BX:BX))</f>
        <v>SeaIce IceSheet Tundra BorealForest ColdBog TemperateForest TemperateSwamp GlacialPlain</v>
      </c>
      <c r="BY196" s="25" t="str">
        <f>IF(_xlfn.XLOOKUP(B196,'Base stats'!B:B,'Base stats'!AJ:AJ)=1,"true","false")</f>
        <v>true</v>
      </c>
      <c r="BZ196" s="25">
        <f>IF(_xlfn.XLOOKUP(B196,'Base stats'!B:B,'Base stats'!N:N)=1,"No",MAX(0.001,MIN(MROUND(IF(AND(BJ196="True",CC196="False"),POWER(10,3.47*LOG10(_xlfn.XLOOKUP(B196,'Base stats'!B:B,'Base stats'!C:C)*1000)^-0.96),POWER(10,4.15*LOG10(_xlfn.XLOOKUP(B196,'Base stats'!B:B,'Base stats'!C:C)*1000)^-0.73))*IF(_xlfn.XLOOKUP(B196,'Base stats'!B:B,'Base stats'!AK:AK)=1,0.5,1)*IF(_xlfn.XLOOKUP(B196,'Base stats'!B:B,'Base stats'!AM:AM)=1,0.1,1)/100,IF(_xlfn.XLOOKUP(B196,'Base stats'!B:B,'Base stats'!AM:AM)=1,0.001,0.025)),0.5)))</f>
        <v>0.05</v>
      </c>
      <c r="CA196" s="25" t="str">
        <f>IF(P196="Standard","No",MAX(0.001,MIN(MROUND(IF(AND(BJ196="True",CC196="False"),POWER(10,3.47*LOG10(_xlfn.XLOOKUP(B196,'Base stats'!B:B,'Base stats'!C:C)*1000)^-0.96),POWER(10,4.15*LOG10(_xlfn.XLOOKUP(B196,'Base stats'!B:B,'Base stats'!C:C)*1000)^-0.73))*IF(_xlfn.XLOOKUP(B196,'Base stats'!B:B,'Base stats'!AM:AM)=1,0.1,1)*_xlfn.XLOOKUP(B196,'Base stats'!B:B,'Base stats'!R:R)/100,IF(_xlfn.XLOOKUP(B196,'Base stats'!B:B,'Base stats'!AM:AM)=1,0.001,0.025)),0.5)))</f>
        <v>No</v>
      </c>
      <c r="CB196" s="25" t="str">
        <f>IF(_xlfn.XLOOKUP(_xlfn.XLOOKUP(B196,'Base stats'!B:B,'Base stats'!E:E),Groups!A:A,Groups!AJ:AJ)="Mammal","True","False")</f>
        <v>True</v>
      </c>
      <c r="CC196" s="25" t="str">
        <f>IF(OR(_xlfn.XLOOKUP(_xlfn.XLOOKUP(B196,'Base stats'!B:B,'Base stats'!E:E),Groups!A:A,Groups!AJ:AJ)="Reptile",_xlfn.XLOOKUP(_xlfn.XLOOKUP(B196,'Base stats'!B:B,'Base stats'!E:E),Groups!A:A,Groups!AJ:AJ)="Amphibian",_xlfn.XLOOKUP(_xlfn.XLOOKUP(B196,'Base stats'!B:B,'Base stats'!E:E),Groups!A:A,Groups!AJ:AJ)="Invertebrate"),"True","False")</f>
        <v>False</v>
      </c>
      <c r="CD196" s="25" t="str">
        <f t="shared" si="27"/>
        <v>False</v>
      </c>
      <c r="CE196" s="25" t="str">
        <f>IF(_xlfn.XLOOKUP(_xlfn.XLOOKUP(B196,'Base stats'!B:B,'Base stats'!E:E),Groups!A:A,Groups!AX:AX),"True","False")</f>
        <v>False</v>
      </c>
      <c r="CF196" s="25" t="str">
        <f>IF(_xlfn.XLOOKUP(_xlfn.XLOOKUP(B196,'Base stats'!B:B,'Base stats'!E:E),Groups!A:A,Groups!AY:AY),"True","False")</f>
        <v>False</v>
      </c>
      <c r="CG196" s="25" t="str">
        <f>IF(_xlfn.XLOOKUP(_xlfn.XLOOKUP(B196,'Base stats'!B:B,'Base stats'!E:E),Groups!A:A,Groups!AW:AW),"True","False")</f>
        <v>False</v>
      </c>
      <c r="CH196" s="25" t="str">
        <f>IF(
OR(
_xlfn.XLOOKUP(_xlfn.XLOOKUP(B196,'Base stats'!B:B,'Base stats'!E:E),Groups!A:A,Groups!AZ:AZ)=0,
AND(
_xlfn.XLOOKUP(B196,'Base stats'!B:B,'Base stats'!Y:Y)&lt;&gt;"Carnivore",
_xlfn.XLOOKUP(B196,'Base stats'!B:B,'Base stats'!Y:Y)&lt;&gt;"Omnivore",
_xlfn.XLOOKUP(B196,'Base stats'!B:B,'Base stats'!Y:Y)&lt;&gt;"OmnivoreRough"
)
),
"No",
IF(
_xlfn.XLOOKUP(_xlfn.XLOOKUP(B196,'Base stats'!B:B,'Base stats'!E:E),Groups!A:A,Groups!AZ:AZ)=1,
"Flesh",
IF(
_xlfn.XLOOKUP(_xlfn.XLOOKUP(B196,'Base stats'!B:B,'Base stats'!E:E),Groups!A:A,Groups!AZ:AZ)=2,
"Bone",
""
)
)
)</f>
        <v>No</v>
      </c>
      <c r="CI196" s="25" t="str">
        <f>IF(_xlfn.XLOOKUP(_xlfn.XLOOKUP(B196,'Base stats'!B:B,'Base stats'!E:E),Groups!A:A,Groups!BB:BB),"True","False")</f>
        <v>True</v>
      </c>
      <c r="CJ196" s="25" t="str">
        <f>IF(_xlfn.XLOOKUP(_xlfn.XLOOKUP(B196,'Base stats'!B:B,'Base stats'!E:E),Groups!A:A,Groups!BA:BA),"True","False")</f>
        <v>False</v>
      </c>
    </row>
    <row r="197" spans="1:88" s="16" customFormat="1" ht="16.5" thickTop="1" thickBot="1" x14ac:dyDescent="0.3">
      <c r="A197" s="26" t="str">
        <f>_xlfn.XLOOKUP(B197,'Base stats'!B:B,'Base stats'!A:A)</f>
        <v>Walrus</v>
      </c>
      <c r="B197" s="6" t="s">
        <v>185</v>
      </c>
      <c r="C197" s="28" t="s">
        <v>1241</v>
      </c>
      <c r="D197" s="28" t="s">
        <v>872</v>
      </c>
      <c r="E197" s="28" t="s">
        <v>673</v>
      </c>
      <c r="F197" s="28" t="s">
        <v>673</v>
      </c>
      <c r="G197" s="28" t="s">
        <v>1228</v>
      </c>
      <c r="H197" s="2">
        <f>MROUND((
  (IF(AND(_xlfn.XLOOKUP(B197,'Base stats'!B:B,'Base stats'!AL:AL)=0,BI197="None",_xlfn.XLOOKUP(_xlfn.XLOOKUP(B197,'Base stats'!B:B,'Base stats'!E:E),Groups!A:A,Groups!B:B)=0), (18 + BR197 * 2.7) * 0.5,
    IF(AND(_xlfn.XLOOKUP(B197,'Base stats'!B:B,'Base stats'!AL:AL)=0,OR(AO197&lt;0.55,AND(BI197="Intermediate",_xlfn.XLOOKUP(_xlfn.XLOOKUP(B197,'Base stats'!B:B,'Base stats'!E:E),Groups!A:A,Groups!B:B)&lt;2))), (18 + BR197 * 2.7),
      IF(OR(BI197="Advanced",_xlfn.XLOOKUP(B197,'Base stats'!B:B,'Base stats'!AL:AL)=1,_xlfn.XLOOKUP(_xlfn.XLOOKUP(B197,'Base stats'!B:B,'Base stats'!E:E),Groups!A:A,Groups!B:B)=2), (18 + BR197 * 2.7) + 250, (18 + BR197 * 2.7))
    )
  ))
  + AO197 * 80
  + IF(COUNTIF(EggMilk!K$2:K$998, A197) &gt; 0, 125, 0)
  + IF(COUNTIF(EggMilk!P$2:P$998, A197) &gt; 0, 90, 0)
  + IF(COUNTIF(EggMilk!A$2:A$998, A197) &gt; 0, 90, 0)
)
* (0.8 + 0.4 * J197)
* 0.75,25)</f>
        <v>950</v>
      </c>
      <c r="I197" s="2">
        <f>MROUND(ROUNDDOWN(_xlfn.XLOOKUP(B197,'Base stats'!B:B,'Base stats'!L:L)/3.6/(23.3/11),1),0.5)</f>
        <v>1.5</v>
      </c>
      <c r="J197" s="2">
        <f>IF(OR(_xlfn.XLOOKUP(B197,'Base stats'!B:B,'Base stats'!AB:AB)=1,_xlfn.XLOOKUP(_xlfn.XLOOKUP(B197,'Base stats'!B:B,'Base stats'!E:E),Groups!A:A,Groups!C:C)="Untamable"),1,IF(_xlfn.XLOOKUP(B197,'Base stats'!B:B,'Base stats'!AL:AL)=1,0.99,MIN(MROUND((1-0.6282*EXP(-0.459*AO197))*_xlfn.XLOOKUP(_xlfn.XLOOKUP(B197,'Base stats'!B:B,'Base stats'!E:E),Groups!A:A,Groups!C:C)*IF(_xlfn.XLOOKUP(B197,'Base stats'!B:B,'Base stats'!O:O)=1,0.5,IF(_xlfn.XLOOKUP(B197,'Base stats'!B:B,'Base stats'!O:O)=2,0,1)),0.05),IF(AO197&gt;3.5,0.985,0.95))))</f>
        <v>0.85000000000000009</v>
      </c>
      <c r="K197" s="2">
        <f>ROUNDUP(AO197*_xlfn.XLOOKUP(_xlfn.XLOOKUP(B197,'Base stats'!B:B,'Base stats'!E:E),Groups!A:A,Groups!E:E),0)</f>
        <v>4</v>
      </c>
      <c r="L197" s="2">
        <f>IF(OR(_xlfn.XLOOKUP(_xlfn.XLOOKUP(B197,'Base stats'!B:B,'Base stats'!E:E),Groups!A:A,Groups!F:F)=2,ISNUMBER(SEARCH("SeaIce",BX197)),ISNUMBER(SEARCH("IceSheet",BX197))),-50,IF(OR(ISNUMBER(SEARCH("GlacialPlain",BX197)),ISNUMBER(SEARCH("Tundra",BX197))),-40,IF(OR(ISNUMBER(SEARCH("Alpine",BX197)),ISNUMBER(SEARCH("BorealForest",BX197)),ISNUMBER(SEARCH("ColdBog",BX197))),-30,IF(OR(ISNUMBER(SEARCH("TemperateForest",BX197)),ISNUMBER(SEARCH("TemperateSwamp",BX197))),-20,IF(_xlfn.XLOOKUP(_xlfn.XLOOKUP(B197,'Base stats'!B:B,'Base stats'!E:E),Groups!A:A,Groups!F:F)=1,-15,IF(OR(ISNUMBER(SEARCH("Desert",BX197)),ISNUMBER(SEARCH("ExtremeDesert",BX197))),-10,IF(OR(ISNUMBER(SEARCH("Grasslands",BX197)),ISNUMBER(SEARCH("TropicalRainforest",BX197)),ISNUMBER(SEARCH("TropicalSwamp",BX197))),10,0)))))))-IF(CC197="False",MIN(IFERROR(MAX(MROUND(LOG10(_xlfn.XLOOKUP(B197,'Base stats'!B:B,'Base stats'!C:C)^(2/3))*10,5),5),5),30))-_xlfn.XLOOKUP(B197,'Base stats'!B:B,'Base stats'!P:P)+IF(CC197="True",5,0)</f>
        <v>-70</v>
      </c>
      <c r="M197" s="2">
        <f>IF(OR(_xlfn.XLOOKUP(_xlfn.XLOOKUP(B197,'Base stats'!B:B,'Base stats'!E:E),Groups!A:A,Groups!G:G)=2,ISNUMBER(SEARCH("Desert",BX197)),ISNUMBER(SEARCH("ExtremeDesert",BX197)),ISNUMBER(SEARCH("LavaField",BX197))),50,IF(ISNUMBER(SEARCH("Grasslands",BX197)),45,IF(OR(_xlfn.XLOOKUP(_xlfn.XLOOKUP(B197,'Base stats'!B:B,'Base stats'!E:E),Groups!A:A,Groups!G:G)=1,ISNUMBER(SEARCH("TropicalRainforest",BX197)),ISNUMBER(SEARCH("TropicalSwamp",BX197))),40,IF(OR(ISNUMBER(SEARCH("TemperateForest",BX197)),ISNUMBER(SEARCH("TemperateSwamp",BX197))),35,IF(OR(ISNUMBER(SEARCH("Alpine",BX197)),ISNUMBER(SEARCH("BorealForest",BX197)),ISNUMBER(SEARCH("ColdBog",BX197))),30,IF(ISNUMBER(OR(ISNUMBER(SEARCH("GlacialPlain",BX197)),SEARCH("Tundra",BX197))),25,IF(OR(ISNUMBER(SEARCH("SeaIce",BX197)),ISNUMBER(SEARCH("IceSheet",BX197)),ISNUMBER(SEARCH("TropicalSwamp",BX197))),10,35)))))))+_xlfn.XLOOKUP(B197,'Base stats'!B:B,'Base stats'!Q:Q)</f>
        <v>10</v>
      </c>
      <c r="N197" s="8" t="str">
        <f>IF(
_xlfn.XLOOKUP(
_xlfn.XLOOKUP(B197,'Base stats'!B:B,'Base stats'!E:E),
Groups!A:A,
Groups!L:L
)=1,
MIN(
MROUND(
IF(
_xlfn.XLOOKUP(B197,'Animals CE'!B:B,'Animals CE'!Z:Z)&lt;=1.5,
_xlfn.XLOOKUP(B197,'Animals CE'!B:B,'Animals CE'!Z:Z)/2+0.05,
0.8+
(_xlfn.XLOOKUP(B197,'Animals CE'!B:B,'Animals CE'!Z:Z)-1.5)
*0.02
),
0.05
),
200%
),
"No"
)</f>
        <v>No</v>
      </c>
      <c r="O197" s="8" t="str">
        <f>IF(
_xlfn.XLOOKUP(
_xlfn.XLOOKUP(B197,'Base stats'!B:B,'Base stats'!E:E),
Groups!A:A,
Groups!L:L
)=1,
MIN(
MROUND(
IF(
_xlfn.XLOOKUP(B197,'Animals CE'!B:B,'Animals CE'!AA:AA)&lt;=1.5,
_xlfn.XLOOKUP(B197,'Animals CE'!B:B,'Animals CE'!AA:AA)/2+0.05,
0.8+
(_xlfn.XLOOKUP(B197,'Animals CE'!B:B,'Animals CE'!AA:AA)-1.5)
*0.02
),
0.05
),
200%
),
"No"
)</f>
        <v>No</v>
      </c>
      <c r="P197" s="2" t="str">
        <f>_xlfn.XLOOKUP(B197,'Base stats'!B:B,'Base stats'!R:R)</f>
        <v>Standard</v>
      </c>
      <c r="Q197" s="13">
        <f>MROUND((LOG10(_xlfn.XLOOKUP(B197,'Base stats'!B:B,'Base stats'!AR:AR))*(AO197^0.5)+(_xlfn.XLOOKUP(B197,'Base stats'!B:B,'Base stats'!AR:AR)/1000)^(2/3)+_xlfn.XLOOKUP(B197,'Base stats'!B:B,'Base stats'!BA:BA)/2)+0.5,0.5)</f>
        <v>20.5</v>
      </c>
      <c r="R197" s="7">
        <f>IF(Q197="No","No",MAX(1,MROUND(_xlfn.XLOOKUP(B197,'Base stats'!B:B,'Base stats'!C:C)^0.165,0.05)))</f>
        <v>3.1500000000000004</v>
      </c>
      <c r="S197" s="13" t="str">
        <f>IF(_xlfn.XLOOKUP(_xlfn.XLOOKUP(B197,'Base stats'!B:B,'Base stats'!E:E),Groups!A:A,Groups!P:P)=0,"No",MROUND((LOG10(_xlfn.XLOOKUP(B197,'Base stats'!B:B,'Base stats'!AS:AS))*(AO197^0.5)+(_xlfn.XLOOKUP(B197,'Base stats'!B:B,'Base stats'!AS:AS)/1000)^(2/3)+_xlfn.XLOOKUP(B197,'Base stats'!B:B,'Base stats'!BA:BA))+_xlfn.XLOOKUP(B197,'Base stats'!B:B,'Base stats'!AY:AY)+0.5,0.5))</f>
        <v>No</v>
      </c>
      <c r="T197" s="7" t="str">
        <f>IF(S197="No","No",MAX(_xlfn.XLOOKUP(_xlfn.XLOOKUP(B197,'Base stats'!B:B,'Base stats'!E:E),Groups!A:A,Groups!Q:Q),MROUND(_xlfn.XLOOKUP(_xlfn.XLOOKUP(B197,'Base stats'!B:B,'Base stats'!E:E),Groups!A:A,Groups!Q:Q)*_xlfn.XLOOKUP(B197,'Base stats'!B:B,'Base stats'!C:C)^0.165,0.05)))</f>
        <v>No</v>
      </c>
      <c r="U197" s="7" t="str">
        <f>IF(S197="No","No",_xlfn.XLOOKUP(_xlfn.XLOOKUP(B197,'Base stats'!B:B,'Base stats'!E:E),Groups!A:A,Groups!R:R))</f>
        <v>No</v>
      </c>
      <c r="V197" s="7" t="str">
        <f>IF(S197="No","No",_xlfn.XLOOKUP(_xlfn.XLOOKUP(B197,'Base stats'!B:B,'Base stats'!E:E),Groups!A:A,Groups!S:S))</f>
        <v>No</v>
      </c>
      <c r="W197" s="7" t="str">
        <f>IF(S197="No","No",_xlfn.XLOOKUP(_xlfn.XLOOKUP(B197,'Base stats'!B:B,'Base stats'!E:E),Groups!A:A,Groups!T:T))</f>
        <v>No</v>
      </c>
      <c r="X197" s="13">
        <f>IF(_xlfn.XLOOKUP(B197,'Base stats'!B:B,'Base stats'!W:W)="No","No",MROUND((LOG10(_xlfn.XLOOKUP(B197,'Base stats'!B:B,'Base stats'!AU:AU))*(AO197^0.5)+(_xlfn.XLOOKUP(B197,'Base stats'!B:B,'Base stats'!AU:AU)/1000)^(2/3)+_xlfn.XLOOKUP(B197,'Base stats'!B:B,'Base stats'!AZ:AZ))+0.5+IF(_xlfn.XLOOKUP(_xlfn.XLOOKUP(B197,'Base stats'!B:B,'Base stats'!E:E),Groups!A:A,Groups!U:U)&lt;&gt;3,_xlfn.XLOOKUP(B197,'Base stats'!B:B,'Base stats'!BA:BA),0),0.5))</f>
        <v>22.5</v>
      </c>
      <c r="Y197" s="7">
        <f>IF(X197="No","No",MAX(_xlfn.XLOOKUP(_xlfn.XLOOKUP(B197,'Base stats'!B:B,'Base stats'!E:E),Groups!A:A,Groups!V:V),MROUND(_xlfn.XLOOKUP(_xlfn.XLOOKUP(B197,'Base stats'!B:B,'Base stats'!E:E),Groups!A:A,Groups!V:V)*_xlfn.XLOOKUP(B197,'Base stats'!B:B,'Base stats'!C:C)^0.165,0.05)))</f>
        <v>2.35</v>
      </c>
      <c r="Z197" s="7" t="str">
        <f>IF(X197="No","No",_xlfn.XLOOKUP(_xlfn.XLOOKUP(B197,'Base stats'!B:B,'Base stats'!E:E),Groups!A:A,Groups!W:W))</f>
        <v>TuskAttackTool</v>
      </c>
      <c r="AA197" s="7" t="str">
        <f>IF(X197="No","No",_xlfn.XLOOKUP(_xlfn.XLOOKUP(B197,'Base stats'!B:B,'Base stats'!E:E),Groups!A:A,Groups!X:X))</f>
        <v>tusk</v>
      </c>
      <c r="AB197" s="7" t="str">
        <f>IF(X197="No","No",_xlfn.XLOOKUP(_xlfn.XLOOKUP(B197,'Base stats'!B:B,'Base stats'!E:E),Groups!A:A,Groups!Y:Y))</f>
        <v>Scratch</v>
      </c>
      <c r="AC197" s="7" t="str">
        <f>_xlfn.XLOOKUP(Animals!B197,'Base stats'!B:B,'Base stats'!X:X)</f>
        <v>False</v>
      </c>
      <c r="AD197" s="13" t="str">
        <f>IF(_xlfn.XLOOKUP(B197,'Base stats'!B:B,'Base stats'!AT:AT)="No","No",MROUND((LOG10(_xlfn.XLOOKUP(B197,'Base stats'!B:B,'Base stats'!AT:AT))*(AO197^0.75)+(_xlfn.XLOOKUP(B197,'Base stats'!B:B,'Base stats'!AT:AT)/1000)^(2/3)+_xlfn.XLOOKUP(B197,'Base stats'!B:B,'Base stats'!AX:AX)+_xlfn.XLOOKUP(B197,'Base stats'!B:B,'Base stats'!BA:BA))+0.5,0.5))</f>
        <v>No</v>
      </c>
      <c r="AE197" s="7" t="str">
        <f>IF(AD197="No","No",MAX(_xlfn.XLOOKUP(_xlfn.XLOOKUP(B197,'Base stats'!B:B,'Base stats'!E:E),Groups!A:A,Groups!Z:Z),MROUND(_xlfn.XLOOKUP(_xlfn.XLOOKUP(B197,'Base stats'!B:B,'Base stats'!E:E),Groups!A:A,Groups!Z:Z)*_xlfn.XLOOKUP(B197,'Base stats'!B:B,'Base stats'!C:C)^0.165,0.05)))</f>
        <v>No</v>
      </c>
      <c r="AF197" s="7" t="str">
        <f>IF(AD197="No","No",_xlfn.XLOOKUP(_xlfn.XLOOKUP(B197,'Base stats'!B:B,'Base stats'!E:E),Groups!A:A,Groups!AA:AA))</f>
        <v>No</v>
      </c>
      <c r="AG197" s="7" t="str">
        <f>IF(AD197="No","No",_xlfn.XLOOKUP(_xlfn.XLOOKUP(B197,'Base stats'!B:B,'Base stats'!E:E),Groups!A:A,Groups!AB:AB))</f>
        <v>No</v>
      </c>
      <c r="AH197" s="7" t="str">
        <f>IF(AD197="No","No",_xlfn.XLOOKUP(_xlfn.XLOOKUP(B197,'Base stats'!B:B,'Base stats'!E:E),Groups!A:A,Groups!AC:AC))</f>
        <v>No</v>
      </c>
      <c r="AI197" s="13" t="str">
        <f>IF(_xlfn.XLOOKUP(_xlfn.XLOOKUP(B197,'Base stats'!B:B,'Base stats'!E:E),Groups!A:A,Groups!AD:AD)=0,"No",MROUND((LOG10(_xlfn.XLOOKUP(B197,'Base stats'!B:B,'Base stats'!AS:AS))*(AO197^0.75)+(_xlfn.XLOOKUP(B197,'Base stats'!B:B,'Base stats'!AS:AS)/1000)^(2/3)+_xlfn.XLOOKUP(B197,'Base stats'!B:B,'Base stats'!AY:AY)+_xlfn.XLOOKUP(B197,'Base stats'!B:B,'Base stats'!BA:BA))+0.5,0.5))</f>
        <v>No</v>
      </c>
      <c r="AJ197" s="7" t="str">
        <f>IF(AI197="No","No",MAX(_xlfn.XLOOKUP(_xlfn.XLOOKUP(B197,'Base stats'!B:B,'Base stats'!E:E),Groups!A:A,Groups!AE:AE),MROUND(_xlfn.XLOOKUP(_xlfn.XLOOKUP(B197,'Base stats'!B:B,'Base stats'!E:E),Groups!A:A,Groups!AE:AE)*IF(_xlfn.XLOOKUP(_xlfn.XLOOKUP(B197,'Base stats'!B:B,'Base stats'!E:E),Groups!A:A,Groups!AJ:AJ)="Photonozoa",0.6,1)*_xlfn.XLOOKUP(B197,'Base stats'!B:B,'Base stats'!C:C)^0.165,0.05)))</f>
        <v>No</v>
      </c>
      <c r="AK197" s="7" t="str">
        <f>IF(AI197="No","No",_xlfn.XLOOKUP(_xlfn.XLOOKUP(B197,'Base stats'!B:B,'Base stats'!E:E),Groups!A:A,Groups!AF:AF))</f>
        <v>No</v>
      </c>
      <c r="AL197" s="7" t="str">
        <f>IF(AI197="No","No",_xlfn.XLOOKUP(_xlfn.XLOOKUP(B197,'Base stats'!B:B,'Base stats'!E:E),Groups!A:A,Groups!AG:AG))</f>
        <v>No</v>
      </c>
      <c r="AM197" s="7" t="str">
        <f>IF(AI197="No","No",_xlfn.XLOOKUP(_xlfn.XLOOKUP(B197,'Base stats'!B:B,'Base stats'!E:E),Groups!A:A,Groups!AH:AH))</f>
        <v>No</v>
      </c>
      <c r="AN197" s="2" t="str">
        <f t="shared" si="21"/>
        <v>No</v>
      </c>
      <c r="AO197" s="2">
        <f>MROUND(IF(AND(_xlfn.XLOOKUP(B197,'Base stats'!B:B,'Base stats'!C:C)&gt;=0.5,_xlfn.XLOOKUP(B197,'Base stats'!B:B,'Base stats'!C:C)&lt;=0.8),
IF(_xlfn.XLOOKUP(B197,'Base stats'!B:B,'Base stats'!C:C)&lt;0.1,0.05,IF(_xlfn.XLOOKUP(B197,'Base stats'!B:B,'Base stats'!C:C)&lt;=70,(_xlfn.XLOOKUP(B197,'Base stats'!B:B,'Base stats'!C:C)/70)^0.426489913056526,IF(_xlfn.XLOOKUP(B197,'Base stats'!B:B,'Base stats'!C:C)&lt;=400,(_xlfn.XLOOKUP(B197,'Base stats'!B:B,'Base stats'!C:C)/70)^0.572811455315093,IF(_xlfn.XLOOKUP(B197,'Base stats'!B:B,'Base stats'!C:C)&lt;=2000,2.71391647193063*(_xlfn.XLOOKUP(B197,'Base stats'!B:B,'Base stats'!C:C)/400)^0.252459582904293,3.74314280240376*(_xlfn.XLOOKUP(B197,'Base stats'!B:B,'Base stats'!C:C)/2000)^0.357012633876913)))),
IF(_xlfn.XLOOKUP(B197,'Base stats'!B:B,'Base stats'!C:C)&lt;0.1,0.05,IF(_xlfn.XLOOKUP(B197,'Base stats'!B:B,'Base stats'!C:C)&lt;0.4,0.1,IF(_xlfn.XLOOKUP(B197,'Base stats'!B:B,'Base stats'!C:C)&lt;=70,(_xlfn.XLOOKUP(B197,'Base stats'!B:B,'Base stats'!C:C)/70)^0.445823913056526,IF(_xlfn.XLOOKUP(B197,'Base stats'!B:B,'Base stats'!C:C)&lt;=400,(_xlfn.XLOOKUP(B197,'Base stats'!B:B,'Base stats'!C:C)/70)^0.572811455315093,IF(_xlfn.XLOOKUP(B197,'Base stats'!B:B,'Base stats'!C:C)&lt;=2000,2.71391647193063*(_xlfn.XLOOKUP(B197,'Base stats'!B:B,'Base stats'!C:C)/400)^0.252459582904293,3.74314280240376*(_xlfn.XLOOKUP(B197,'Base stats'!B:B,'Base stats'!C:C)/2000)^0.357012633876913)))))),
IF(_xlfn.XLOOKUP(B197,'Base stats'!B:B,'Base stats'!C:C)&lt;0.1,0.05,IF(_xlfn.XLOOKUP(B197,'Base stats'!B:B,'Base stats'!C:C)&lt;=100,0.05,IF(_xlfn.XLOOKUP(B197,'Base stats'!B:B,'Base stats'!C:C)&lt;=250,0.1,IF(_xlfn.XLOOKUP(B197,'Base stats'!B:B,'Base stats'!C:C)&lt;=4000,0.25,0.5)))))</f>
        <v>3.5</v>
      </c>
      <c r="AP197" s="8">
        <f>MROUND(AO197*_xlfn.XLOOKUP(_xlfn.XLOOKUP(B197,'Base stats'!B:B,'Base stats'!E:E),Groups!A:A,Groups!AI:AI)*_xlfn.XLOOKUP(B197,'Base stats'!B:B,'Base stats'!Z:Z),0.05)</f>
        <v>4.2</v>
      </c>
      <c r="AQ197" s="8">
        <f>MAX(0.01,MROUND(IF(CC197="True",0.196*(AO197*100*1000)^0.889,IF(_xlfn.XLOOKUP(_xlfn.XLOOKUP(B197,'Base stats'!B:B,'Base stats'!E:E),Groups!A:A,Groups!AJ:AJ)="Bird",10.5*(AO197*100*1000)^0.681,4.82*(AO197*100*1000)^0.734))/(4.82*(1*100*1000)^0.734)/IF(AO197&lt;3.5,2,IF(AO197=3.5,1.5,1.25))*(1+0.132282374779864/(AO197^0.994035016789033+0.00905238001496948)),0.05))</f>
        <v>1.75</v>
      </c>
      <c r="AR197" s="9">
        <f>IFERROR(MROUND(_xlfn.XLOOKUP(B197,'Base stats'!B:B,'Base stats'!H:H)/IF(_xlfn.XLOOKUP(B197,'Base stats'!B:B,'Base stats'!I:I)&lt;&gt;1,(122.5/70),1.2),IF(_xlfn.XLOOKUP(B197,'Base stats'!B:B,'Base stats'!H:H)&gt;=30,5,IF(_xlfn.XLOOKUP(B197,'Base stats'!B:B,'Base stats'!H:H)&gt;=15,3,IF(_xlfn.XLOOKUP(B197,'Base stats'!B:B,'Base stats'!H:H)&gt;=10,2,1)))),"Immortal")</f>
        <v>25</v>
      </c>
      <c r="AS197" s="35">
        <f>IFERROR(IF(OR(_xlfn.XLOOKUP(B197,'Base stats'!B:B,'Base stats'!F:F)="Atypical reproduction",_xlfn.XLOOKUP(B197,'Base stats'!B:B,'Base stats'!F:F)="Lay eggs"),"Lay eggs",MIN(20,MAX(5.5,ROUND(((_xlfn.XLOOKUP(B197,'Base stats'!B:B,'Base stats'!F:F)-25)*(14.5/615) + 5.5)*2,0)/2))),"Unknown")</f>
        <v>12.5</v>
      </c>
      <c r="AT197" s="8">
        <f>IF(_xlfn.XLOOKUP(B197,'Base stats'!B:B,'Base stats'!G:G)="Atypical reproduction","No",IFERROR(MAX(IF(_xlfn.XLOOKUP(B197,'Base stats'!B:B,'Base stats'!G:G)&lt;0.5,0.2,0.3),MROUND(_xlfn.XLOOKUP(B197,'Base stats'!B:B,'Base stats'!G:G)/(365/60),0.2)),"Unknown"))</f>
        <v>0.8</v>
      </c>
      <c r="AU197" s="8">
        <f t="shared" si="22"/>
        <v>0.4</v>
      </c>
      <c r="AV197" s="8">
        <f>IFERROR(IFERROR(MROUND(_xlfn.XLOOKUP(B197,'Base stats'!B:B,'Base stats'!J:J),0.1),"Lay eggs"),"Cannot breed")</f>
        <v>1</v>
      </c>
      <c r="AW197" s="2" t="str">
        <f t="shared" si="23"/>
        <v>true</v>
      </c>
      <c r="AX197" s="2" t="str">
        <f>IF(_xlfn.XLOOKUP(_xlfn.XLOOKUP(Animals!B197,'Base stats'!B:B,'Base stats'!E:E),Groups!A:A,Groups!AK:AK)=1,"true","false")</f>
        <v>false</v>
      </c>
      <c r="AY197" s="25" t="str">
        <f>IF(_xlfn.XLOOKUP(B197,'Base stats'!B:B,'Base stats'!Y:Y)="Liquor","Liquor, CarnivoreAnimalStrict",IF(AND(_xlfn.XLOOKUP(B197,'Base stats'!B:B,'Base stats'!Y:Y)="Carnivore",_xlfn.XLOOKUP(_xlfn.XLOOKUP(B197,'Base stats'!B:B,'Base stats'!E:E),Groups!A:A,Groups!AJ:AJ)="Photonozoa"),"CarnivoreAnimalStrict, OvivoreAnimal",IF(_xlfn.XLOOKUP(B197,'Base stats'!B:B,'Base stats'!Y:Y)="Carnivore","CarnivoreAnimal, OvivoreAnimal",IF(_xlfn.XLOOKUP(B197,'Base stats'!B:B,'Base stats'!Y:Y)="Dendrovore","VegetarianRoughAnimal, DendrovoreAnimal",IF(_xlfn.XLOOKUP(B197,'Base stats'!B:B,'Base stats'!Y:Y)="Herbivore","VegetarianRoughAnimal",IF(_xlfn.XLOOKUP(B197,'Base stats'!B:B,'Base stats'!Y:Y)="OmnivoreRough","OmnivoreRoughAnimal, OvivoreAnimal","OmnivoreAnimal, OvivoreAnimal"))))))</f>
        <v>CarnivoreAnimal, OvivoreAnimal</v>
      </c>
      <c r="AZ197" s="2" t="str">
        <f>IF(_xlfn.XLOOKUP(_xlfn.XLOOKUP(B197,'Base stats'!B:B,'Base stats'!E:E),Groups!A:A,Groups!D:D)=1,MROUND((1-J197)*5+1,2)*IF(J197&lt;=0.4,2,1),"No")</f>
        <v>No</v>
      </c>
      <c r="BA197" s="2" t="str">
        <f>IF(AND(_xlfn.XLOOKUP(B197,'Base stats'!B:B,'Base stats'!AH:AH)="&lt;li&gt;Seal&lt;/li&gt;",G197="Odyssey"),"&lt;li&gt;AEXP_Seal&lt;/li&gt;",_xlfn.XLOOKUP(B197,'Base stats'!B:B,'Base stats'!AH:AH))</f>
        <v>&lt;li&gt;AEXP_Seal&lt;/li&gt;</v>
      </c>
      <c r="BB197" s="2" t="str">
        <f>_xlfn.XLOOKUP(B197,'Base stats'!B:B,'Base stats'!AG:AG)</f>
        <v>Leather_Sealskin</v>
      </c>
      <c r="BC197" s="23" t="str">
        <f>_xlfn.XLOOKUP(_xlfn.XLOOKUP(B197,'Base stats'!B:B,'Base stats'!E:E),Groups!A:A,Groups!AL:AL)</f>
        <v>PinnipedWithTusks</v>
      </c>
      <c r="BD197" s="23">
        <f>MIN(1,MROUND(IF(AND(AO197&lt;0.5,_xlfn.XLOOKUP(B197,'Base stats'!B:B,'Base stats'!AA:AA)=0),0,IF(OR(_xlfn.XLOOKUP(Animals!B197,'Base stats'!B:B,'Base stats'!O:O)=2,_xlfn.XLOOKUP(_xlfn.XLOOKUP(B197,'Base stats'!B:B,'Base stats'!E:E),Groups!A:A,Groups!AN:AN)=0),0,_xlfn.XLOOKUP(_xlfn.XLOOKUP(B197,'Base stats'!B:B,'Base stats'!E:E),Groups!A:A,Groups!AN:AN)/IF(_xlfn.XLOOKUP(Animals!B197,'Base stats'!B:B,'Base stats'!O:O)=1,2,1)))+_xlfn.XLOOKUP(B197,'Base stats'!B:B,'Base stats'!AC:AC),0.005))</f>
        <v>2.5000000000000001E-2</v>
      </c>
      <c r="BE197" s="23">
        <f>MIN(1,MROUND(IF(AND(AO197&lt;0.5,_xlfn.XLOOKUP(B197,'Base stats'!B:B,'Base stats'!AA:AA)=0),0,IF(_xlfn.XLOOKUP(_xlfn.XLOOKUP(B197,'Base stats'!B:B,'Base stats'!E:E),Groups!A:A,Groups!AO:AO)=0,0,_xlfn.XLOOKUP(_xlfn.XLOOKUP(B197,'Base stats'!B:B,'Base stats'!E:E),Groups!A:A,Groups!AO:AO)/IF(_xlfn.XLOOKUP(Animals!B197,'Base stats'!B:B,'Base stats'!O:O)=2,3,1)))+_xlfn.XLOOKUP(B197,'Base stats'!B:B,'Base stats'!AD:AD),0.005))</f>
        <v>0.1</v>
      </c>
      <c r="BF197" s="2" t="str">
        <f>IF(J197&gt;0.3,"No",_xlfn.XLOOKUP(_xlfn.XLOOKUP(Animals!B197,'Base stats'!B:B,'Base stats'!E:E),Groups!A:A,Groups!AP:AP))</f>
        <v>No</v>
      </c>
      <c r="BG197" s="2" t="str">
        <f>IF(AND(J197&lt;=0.65,_xlfn.XLOOKUP(_xlfn.XLOOKUP(Animals!B197,'Base stats'!B:B,'Base stats'!E:E),Groups!A:A,Groups!AP:AP)&lt;&gt;"No",_xlfn.XLOOKUP(_xlfn.XLOOKUP(B197,'Base stats'!B:B,'Base stats'!E:E),Groups!A:A,Groups!D:D)=0),MROUND((80/3)*IF(_xlfn.XLOOKUP(B197,'Base stats'!B:B,'Base stats'!O:O)=2,0.2,AO197) + 24*(1-IF(BF197="No",0,BF197)) + 16/3, 12),"No")</f>
        <v>No</v>
      </c>
      <c r="BH197" s="2">
        <f>IF(AND(_xlfn.XLOOKUP(_xlfn.XLOOKUP(B197,'Base stats'!B:B,'Base stats'!E:E),Groups!A:A,Groups!AQ:AQ)=1,AO197&lt;=0.35),8,12)</f>
        <v>12</v>
      </c>
      <c r="BI197" s="2" t="str">
        <f>IF(_xlfn.XLOOKUP(_xlfn.XLOOKUP(B197,'Base stats'!B:B,'Base stats'!E:E),Groups!A:A,Groups!D:D)=0,_xlfn.XLOOKUP(_xlfn.XLOOKUP(B197,'Base stats'!B:B,'Base stats'!E:E),Groups!A:A,Groups!AR:AR),"None")</f>
        <v>Intermediate</v>
      </c>
      <c r="BJ197" s="2" t="str">
        <f>IF(AND(_xlfn.XLOOKUP(_xlfn.XLOOKUP(B197,'Base stats'!B:B,'Base stats'!E:E),Groups!A:A,Groups!AS:AS)=1,OR(_xlfn.XLOOKUP(B197,'Base stats'!B:B,'Base stats'!Y:Y)="Carnivore",_xlfn.XLOOKUP(B197,'Base stats'!B:B,'Base stats'!Y:Y)="Omnivore")),"true","false")</f>
        <v>false</v>
      </c>
      <c r="BK197" s="2" t="str">
        <f>IF(BJ197="true",MROUND(IF(AND(AO197&gt;0.5,OR(_xlfn.XLOOKUP(_xlfn.XLOOKUP(B197,'Base stats'!B:B,'Base stats'!E:E),Groups!A:A,Groups!AJ:AJ)="Photonozoa",_xlfn.XLOOKUP(_xlfn.XLOOKUP(B197,'Base stats'!B:B,'Base stats'!E:E),Groups!A:A,Groups!AJ:AJ)="Mammal")),Animals!AO197*1.75*IF(AW197="true",1.5,1),IF(AO197&lt;0.5,Animals!AO197*0.5,Animals!AO197)),IF(AO197&gt;2,0.5,IF(AO197&gt;0.5,0.25,0.1))),"No")</f>
        <v>No</v>
      </c>
      <c r="BL197" s="2">
        <f t="shared" si="24"/>
        <v>1</v>
      </c>
      <c r="BM197" s="25">
        <f>IF(_xlfn.XLOOKUP(B197,'Base stats'!B:B,'Base stats'!AN:AN)="Standard","No",MROUND((_xlfn.XLOOKUP(B197,'Base stats'!B:B,'Base stats'!AN:AN)/3.6)/I197,0.1))</f>
        <v>2.4000000000000004</v>
      </c>
      <c r="BN197" s="25" t="str">
        <f t="shared" si="25"/>
        <v>true</v>
      </c>
      <c r="BO197" s="25" t="str">
        <f>IF(AND(OR(_xlfn.XLOOKUP(B197,'Base stats'!B:B,'Base stats'!Y:Y)="Carnivore",_xlfn.XLOOKUP(B197,'Base stats'!B:B,'Base stats'!Y:Y)="Omnivore",_xlfn.XLOOKUP(B197,'Base stats'!B:B,'Base stats'!Y:Y)="OmnivoreRough"),_xlfn.XLOOKUP(_xlfn.XLOOKUP(B197,'Base stats'!B:B,'Base stats'!E:E),Groups!A:A,Groups!AT:AT)=1),"true","false")</f>
        <v>true</v>
      </c>
      <c r="BP197" s="25" t="str" cm="1">
        <f t="array" ref="BP197">IF(
  _xlfn.TEXTJOIN(", ",TRUE,
    IF(AND(BJ197="true",AO197&gt;0.5,BI197&lt;&gt;"None"),"AttackTarget",""),
    IF(AND(_xlfn.XLOOKUP(_xlfn.XLOOKUP(B197,'Base stats'!B:B,'Base stats'!E:E),Groups!A:A,Groups!AJ:AJ="Mammal"),OR(_xlfn.XLOOKUP(B197,'Base stats'!B:B,'Base stats'!Y:Y)="Omnivore",_xlfn.XLOOKUP(B197,'Base stats'!B:B,'Base stats'!Y:Y)="OmnivoreRough")),"Forage",""),
    IF(BG197&lt;=36,"Comfort",""),
    IF(_xlfn.XLOOKUP(B197,'Base stats'!B:B,'Base stats'!AE:AE)&lt;&gt;"No",_xlfn.XLOOKUP(B197,'Base stats'!B:B,'Base stats'!AE:AE),"")
  ) = "",
  "No",
  _xlfn.TEXTJOIN(", ",TRUE,
    IF(AND(BJ197="true",AO197&gt;0.5,BI197&lt;&gt;"None"),"AttackTarget",""),
    IF(AND(_xlfn.XLOOKUP(_xlfn.XLOOKUP(B197,'Base stats'!B:B,'Base stats'!E:E),Groups!A:A,Groups!AJ:AJ="Mammal"),OR(_xlfn.XLOOKUP(B197,'Base stats'!B:B,'Base stats'!Y:Y)="Omnivore",_xlfn.XLOOKUP(B197,'Base stats'!B:B,'Base stats'!Y:Y)="OmnivoreRough")),"Forage",""),
    IF(BG197&lt;=36,"Comfort",""),
    IF(_xlfn.XLOOKUP(B197,'Base stats'!B:B,'Base stats'!AE:AE)&lt;&gt;"No",_xlfn.XLOOKUP(B197,'Base stats'!B:B,'Base stats'!AE:AE),"")
  )
)</f>
        <v>No</v>
      </c>
      <c r="BQ197" s="25">
        <f>IF(
   AND(
      'Base stats'!AN197="Standard",_xlfn.XLOOKUP(_xlfn.XLOOKUP(B197,'Base stats'!B:B,'Base stats'!E:E),Groups!A:A,Groups!AU:AU)=0,
      OR(
      BO197="True"
      )
   ),
   10,
   IF(
       OR(BM197&lt;&gt;"No",_xlfn.XLOOKUP(_xlfn.XLOOKUP(B197,'Base stats'!B:B,'Base stats'!E:E),Groups!A:A,Groups!AU:AU)=1),
      1,
      "No"
   )
)</f>
        <v>1</v>
      </c>
      <c r="BR197" s="9">
        <f>MROUND((1 + ((0.2*IF(OR(Q197="No",R197="No",R197=0),0,Q197/R197)
+IF(OR(V197="No",S197="No",T197="No"),0,S197/T197*(LEN(V197)-LEN(SUBSTITUTE(V197,",",""))+1))
+IF(OR(X197="No",Y197="No"),0,X197/Y197)
+IF(OR(AD197="No",AE197="No"),0,AD197/AE197)
+IF(OR(AL197="No",AI197="No",AJ197="No"),0,AI197/AJ197*(LEN(AL197)-LEN(SUBSTITUTE(AL197,",",""))+1))
)/(0.2*IF(OR(Q197="No",R197="No",R197=0),0,1)
+IF(OR(V197="No",S197="No",T197="No"),0,LEN(V197)-LEN(SUBSTITUTE(V197,",",""))+1)
+IF(OR(X197="No",Y197="No"),0,1)
+IF(OR(AD197="No",AE197="No"),0,1)
+IF(OR(AL197="No",AI197="No",AJ197="No"),0,LEN(AL197)-LEN(SUBSTITUTE(AL197,",",""))+1))*62%)* 2)*(1 + (AP197 / (IF(_xlfn.XLOOKUP(_xlfn.XLOOKUP(B197,'Base stats'!B:B,'Base stats'!E:E),Groups!A:A,Groups!AJ:AJ)="Photonozoa",0.3,1)) + _xlfn.XLOOKUP(B197,'Base stats'!B:B,'Base stats'!AV:AV) * 1.8) * 2) * 2.5 + 10 + I197 * 2,5)+IF(_xlfn.XLOOKUP(B197,'Base stats'!B:B,'Base stats'!AK:AK)=1,50,0)</f>
        <v>300</v>
      </c>
      <c r="BS197" s="8">
        <f t="shared" si="26"/>
        <v>2.1</v>
      </c>
      <c r="BT197" s="8" t="str">
        <f>_xlfn.XLOOKUP(B197,'Base stats'!B:B,'Base stats'!AF:AF)</f>
        <v>5~15</v>
      </c>
      <c r="BU197" s="2" t="str">
        <f>IF(AND(J197&lt;=0.95,OR(_xlfn.XLOOKUP(B197,'Base stats'!B:B,'Base stats'!AK:AK)=1,_xlfn.XLOOKUP(B197,'Base stats'!B:B,'Base stats'!Y:Y)="Carnivore",_xlfn.XLOOKUP(B197,'Base stats'!B:B,'Base stats'!Y:Y)="Omnivore",BE197&gt;0.1)),"true","false")</f>
        <v>true</v>
      </c>
      <c r="BV197" s="2" t="str">
        <f>IF(_xlfn.XLOOKUP(B197,'Base stats'!B:B,'Base stats'!AI:AI)=1,"true","false")</f>
        <v>false</v>
      </c>
      <c r="BW197" s="25" t="str">
        <f>IF(E197="BaseInsect","AnimalInsect",
IF(J197&gt;0.95,"AnimalExotic",
_xlfn.TEXTJOIN(", ",TRUE,
IF(OR(_xlfn.XLOOKUP(B197,'Base stats'!B:B,'Base stats'!AM:AM)=1,AND(_xlfn.XLOOKUP(B197,'Base stats'!B:B,'Base stats'!O:O)=0,_xlfn.XLOOKUP(_xlfn.XLOOKUP(B197,'Base stats'!B:B,'Base stats'!E:E),Groups!A:A,Groups!B:B)&gt;0)),"AnimalUncommon","AnimalCommon"),
IF(AND(_xlfn.XLOOKUP(B197,'Base stats'!B:B,'Base stats'!O:O)=2,_xlfn.XLOOKUP(_xlfn.XLOOKUP(B197,'Base stats'!B:B,'Base stats'!E:E),Groups!A:A,Groups!D:D)=0),"AnimalPet",IF(AND(_xlfn.XLOOKUP(B197,'Base stats'!B:B,'Base stats'!O:O)&lt;&gt;0,_xlfn.XLOOKUP(_xlfn.XLOOKUP(B197,'Base stats'!B:B,'Base stats'!E:E),Groups!A:A,Groups!D:D)&lt;&gt;0),"AnimalFarm","")),
IF(OR(_xlfn.XLOOKUP(B197,'Base stats'!B:B,'Base stats'!AK:AK)=1,AND(BI197&lt;&gt;"None",BR197&gt;=60),ISNUMBER(SEARCH("Attack target",BP197))),"AnimalFighter","")
)))</f>
        <v>AnimalCommon, AnimalFighter</v>
      </c>
      <c r="BX197" s="25" t="str">
        <f>IF(G197="None",TRIM(
SUBSTITUTE(
IF(COUNTIF(Biomes!B$2:B$259,"="&amp;$C197)&gt;0,Biomes!B$1&amp;", ","")&amp;
IF(COUNTIF(Biomes!C$2:C$259,"="&amp;$C197)&gt;0,Biomes!C$1&amp;", ","")&amp;
IF(COUNTIF(Biomes!D$2:D$259,"="&amp;$C197)&gt;0,Biomes!D$1&amp;", ","")&amp;
IF(COUNTIF(Biomes!F$2:F$259,"="&amp;$C197)&gt;0,Biomes!F$1&amp;", ","")&amp;
IF(COUNTIF(Biomes!G$2:G$259,"="&amp;$C197)&gt;0,Biomes!G$1&amp;", ","")&amp;
IF(COUNTIF(Biomes!H$2:H$259,"="&amp;$C197)&gt;0,Biomes!H$1&amp;", ","")&amp;
IF(COUNTIF(Biomes!I$2:I$259,"="&amp;$C197)&gt;0,Biomes!I$1&amp;", ","")&amp;
IF(COUNTIF(Biomes!J$2:J$259,"="&amp;$C197)&gt;0,Biomes!J$1&amp;", ","")&amp;
IF(COUNTIF(Biomes!M$2:M$259,"="&amp;$C197)&gt;0,Biomes!M$1&amp;", ","")&amp;
IF(COUNTIF(Biomes!N$2:N$259,"="&amp;$C197)&gt;0,Biomes!N$1&amp;", ","")&amp;
IF(COUNTIF(Biomes!O$2:O$259,"="&amp;$C197)&gt;0,Biomes!O$1&amp;", ","")&amp;
IF(COUNTIF(Biomes!P$2:P$259,"="&amp;$C197)&gt;0,Biomes!P$1&amp;", ","")&amp;
IF(COUNTIF(Biomes!K$2:K$259,"="&amp;$C197)&gt;0,Biomes!K$1&amp;", ","")&amp;
IF(COUNTIF(Biomes!Q$3:Q$259,"="&amp;$C197)&gt;0,Biomes!Q$1&amp;", ","")&amp;
IF(COUNTIF(Biomes!L$2:L$259,"="&amp;$C197)&gt;0,Biomes!L$1&amp;", ","")&amp;
IF(COUNTIF(Biomes!E$2:E$259,"="&amp;$C197)&gt;0,Biomes!E$1&amp;", ","")&amp;IF(COUNTIF(Biomes!S$2:S$259,"="&amp;$C197)&gt;0,Biomes!S$1&amp;", ","")&amp;
IF(COUNTIF(Biomes!R$2:R$259,"="&amp;$C197)&gt;0,Biomes!R$1&amp;", ",""),", ","")
),_xlfn.XLOOKUP(B197,B:B,BX:BX))</f>
        <v>SeaIce IceSheet Tundra</v>
      </c>
      <c r="BY197" s="25" t="str">
        <f>IF(_xlfn.XLOOKUP(B197,'Base stats'!B:B,'Base stats'!AJ:AJ)=1,"true","false")</f>
        <v>true</v>
      </c>
      <c r="BZ197" s="25">
        <f>IF(_xlfn.XLOOKUP(B197,'Base stats'!B:B,'Base stats'!N:N)=1,"No",MAX(0.001,MIN(MROUND(IF(AND(BJ197="True",CC197="False"),POWER(10,3.47*LOG10(_xlfn.XLOOKUP(B197,'Base stats'!B:B,'Base stats'!C:C)*1000)^-0.96),POWER(10,4.15*LOG10(_xlfn.XLOOKUP(B197,'Base stats'!B:B,'Base stats'!C:C)*1000)^-0.73))*IF(_xlfn.XLOOKUP(B197,'Base stats'!B:B,'Base stats'!AK:AK)=1,0.5,1)*IF(_xlfn.XLOOKUP(B197,'Base stats'!B:B,'Base stats'!AM:AM)=1,0.1,1)/100,IF(_xlfn.XLOOKUP(B197,'Base stats'!B:B,'Base stats'!AM:AM)=1,0.001,0.025)),0.5)))</f>
        <v>0.125</v>
      </c>
      <c r="CA197" s="25" t="str">
        <f>IF(P197="Standard","No",MAX(0.001,MIN(MROUND(IF(AND(BJ197="True",CC197="False"),POWER(10,3.47*LOG10(_xlfn.XLOOKUP(B197,'Base stats'!B:B,'Base stats'!C:C)*1000)^-0.96),POWER(10,4.15*LOG10(_xlfn.XLOOKUP(B197,'Base stats'!B:B,'Base stats'!C:C)*1000)^-0.73))*IF(_xlfn.XLOOKUP(B197,'Base stats'!B:B,'Base stats'!AM:AM)=1,0.1,1)*_xlfn.XLOOKUP(B197,'Base stats'!B:B,'Base stats'!R:R)/100,IF(_xlfn.XLOOKUP(B197,'Base stats'!B:B,'Base stats'!AM:AM)=1,0.001,0.025)),0.5)))</f>
        <v>No</v>
      </c>
      <c r="CB197" s="25" t="str">
        <f>IF(_xlfn.XLOOKUP(_xlfn.XLOOKUP(B197,'Base stats'!B:B,'Base stats'!E:E),Groups!A:A,Groups!AJ:AJ)="Mammal","True","False")</f>
        <v>True</v>
      </c>
      <c r="CC197" s="25" t="str">
        <f>IF(OR(_xlfn.XLOOKUP(_xlfn.XLOOKUP(B197,'Base stats'!B:B,'Base stats'!E:E),Groups!A:A,Groups!AJ:AJ)="Reptile",_xlfn.XLOOKUP(_xlfn.XLOOKUP(B197,'Base stats'!B:B,'Base stats'!E:E),Groups!A:A,Groups!AJ:AJ)="Amphibian",_xlfn.XLOOKUP(_xlfn.XLOOKUP(B197,'Base stats'!B:B,'Base stats'!E:E),Groups!A:A,Groups!AJ:AJ)="Invertebrate"),"True","False")</f>
        <v>False</v>
      </c>
      <c r="CD197" s="25" t="str">
        <f t="shared" si="27"/>
        <v>False</v>
      </c>
      <c r="CE197" s="25" t="str">
        <f>IF(_xlfn.XLOOKUP(_xlfn.XLOOKUP(B197,'Base stats'!B:B,'Base stats'!E:E),Groups!A:A,Groups!AX:AX),"True","False")</f>
        <v>False</v>
      </c>
      <c r="CF197" s="25" t="str">
        <f>IF(_xlfn.XLOOKUP(_xlfn.XLOOKUP(B197,'Base stats'!B:B,'Base stats'!E:E),Groups!A:A,Groups!AY:AY),"True","False")</f>
        <v>False</v>
      </c>
      <c r="CG197" s="25" t="str">
        <f>IF(_xlfn.XLOOKUP(_xlfn.XLOOKUP(B197,'Base stats'!B:B,'Base stats'!E:E),Groups!A:A,Groups!AW:AW),"True","False")</f>
        <v>False</v>
      </c>
      <c r="CH197" s="25" t="str">
        <f>IF(
OR(
_xlfn.XLOOKUP(_xlfn.XLOOKUP(B197,'Base stats'!B:B,'Base stats'!E:E),Groups!A:A,Groups!AZ:AZ)=0,
AND(
_xlfn.XLOOKUP(B197,'Base stats'!B:B,'Base stats'!Y:Y)&lt;&gt;"Carnivore",
_xlfn.XLOOKUP(B197,'Base stats'!B:B,'Base stats'!Y:Y)&lt;&gt;"Omnivore",
_xlfn.XLOOKUP(B197,'Base stats'!B:B,'Base stats'!Y:Y)&lt;&gt;"OmnivoreRough"
)
),
"No",
IF(
_xlfn.XLOOKUP(_xlfn.XLOOKUP(B197,'Base stats'!B:B,'Base stats'!E:E),Groups!A:A,Groups!AZ:AZ)=1,
"Flesh",
IF(
_xlfn.XLOOKUP(_xlfn.XLOOKUP(B197,'Base stats'!B:B,'Base stats'!E:E),Groups!A:A,Groups!AZ:AZ)=2,
"Bone",
""
)
)
)</f>
        <v>No</v>
      </c>
      <c r="CI197" s="25" t="str">
        <f>IF(_xlfn.XLOOKUP(_xlfn.XLOOKUP(B197,'Base stats'!B:B,'Base stats'!E:E),Groups!A:A,Groups!BB:BB),"True","False")</f>
        <v>True</v>
      </c>
      <c r="CJ197" s="25" t="str">
        <f>IF(_xlfn.XLOOKUP(_xlfn.XLOOKUP(B197,'Base stats'!B:B,'Base stats'!E:E),Groups!A:A,Groups!BA:BA),"True","False")</f>
        <v>False</v>
      </c>
    </row>
    <row r="198" spans="1:88" s="16" customFormat="1" ht="16.5" thickTop="1" thickBot="1" x14ac:dyDescent="0.3">
      <c r="A198" s="26" t="str">
        <f>_xlfn.XLOOKUP(B198,'Base stats'!B:B,'Base stats'!A:A)</f>
        <v>Porcupine</v>
      </c>
      <c r="B198" s="6" t="s">
        <v>260</v>
      </c>
      <c r="C198" s="28" t="s">
        <v>1242</v>
      </c>
      <c r="D198" s="28" t="s">
        <v>872</v>
      </c>
      <c r="E198" s="28" t="s">
        <v>673</v>
      </c>
      <c r="F198" s="28" t="s">
        <v>673</v>
      </c>
      <c r="G198" s="28" t="s">
        <v>1228</v>
      </c>
      <c r="H198" s="2">
        <f>MROUND((
  (IF(AND(_xlfn.XLOOKUP(B198,'Base stats'!B:B,'Base stats'!AL:AL)=0,BI198="None",_xlfn.XLOOKUP(_xlfn.XLOOKUP(B198,'Base stats'!B:B,'Base stats'!E:E),Groups!A:A,Groups!B:B)=0), (18 + BR198 * 2.7) * 0.5,
    IF(AND(_xlfn.XLOOKUP(B198,'Base stats'!B:B,'Base stats'!AL:AL)=0,OR(AO198&lt;0.55,AND(BI198="Intermediate",_xlfn.XLOOKUP(_xlfn.XLOOKUP(B198,'Base stats'!B:B,'Base stats'!E:E),Groups!A:A,Groups!B:B)&lt;2))), (18 + BR198 * 2.7),
      IF(OR(BI198="Advanced",_xlfn.XLOOKUP(B198,'Base stats'!B:B,'Base stats'!AL:AL)=1,_xlfn.XLOOKUP(_xlfn.XLOOKUP(B198,'Base stats'!B:B,'Base stats'!E:E),Groups!A:A,Groups!B:B)=2), (18 + BR198 * 2.7) + 250, (18 + BR198 * 2.7))
    )
  ))
  + AO198 * 80
  + IF(COUNTIF(EggMilk!K$2:K$998, A198) &gt; 0, 125, 0)
  + IF(COUNTIF(EggMilk!P$2:P$998, A198) &gt; 0, 90, 0)
  + IF(COUNTIF(EggMilk!A$2:A$998, A198) &gt; 0, 90, 0)
)
* (0.8 + 0.4 * J198)
* 0.75,25)</f>
        <v>100</v>
      </c>
      <c r="I198" s="2">
        <f>MROUND(ROUNDDOWN(_xlfn.XLOOKUP(B198,'Base stats'!B:B,'Base stats'!L:L)/3.6/(23.3/11),1),0.5)</f>
        <v>2</v>
      </c>
      <c r="J198" s="2">
        <f>IF(OR(_xlfn.XLOOKUP(B198,'Base stats'!B:B,'Base stats'!AB:AB)=1,_xlfn.XLOOKUP(_xlfn.XLOOKUP(B198,'Base stats'!B:B,'Base stats'!E:E),Groups!A:A,Groups!C:C)="Untamable"),1,IF(_xlfn.XLOOKUP(B198,'Base stats'!B:B,'Base stats'!AL:AL)=1,0.99,MIN(MROUND((1-0.6282*EXP(-0.459*AO198))*_xlfn.XLOOKUP(_xlfn.XLOOKUP(B198,'Base stats'!B:B,'Base stats'!E:E),Groups!A:A,Groups!C:C)*IF(_xlfn.XLOOKUP(B198,'Base stats'!B:B,'Base stats'!O:O)=1,0.5,IF(_xlfn.XLOOKUP(B198,'Base stats'!B:B,'Base stats'!O:O)=2,0,1)),0.05),IF(AO198&gt;3.5,0.985,0.95))))</f>
        <v>0.65</v>
      </c>
      <c r="K198" s="2">
        <f>ROUNDUP(AO198*_xlfn.XLOOKUP(_xlfn.XLOOKUP(B198,'Base stats'!B:B,'Base stats'!E:E),Groups!A:A,Groups!E:E),0)</f>
        <v>1</v>
      </c>
      <c r="L198" s="2">
        <f>IF(OR(_xlfn.XLOOKUP(_xlfn.XLOOKUP(B198,'Base stats'!B:B,'Base stats'!E:E),Groups!A:A,Groups!F:F)=2,ISNUMBER(SEARCH("SeaIce",BX198)),ISNUMBER(SEARCH("IceSheet",BX198))),-50,IF(OR(ISNUMBER(SEARCH("GlacialPlain",BX198)),ISNUMBER(SEARCH("Tundra",BX198))),-40,IF(OR(ISNUMBER(SEARCH("Alpine",BX198)),ISNUMBER(SEARCH("BorealForest",BX198)),ISNUMBER(SEARCH("ColdBog",BX198))),-30,IF(OR(ISNUMBER(SEARCH("TemperateForest",BX198)),ISNUMBER(SEARCH("TemperateSwamp",BX198))),-20,IF(_xlfn.XLOOKUP(_xlfn.XLOOKUP(B198,'Base stats'!B:B,'Base stats'!E:E),Groups!A:A,Groups!F:F)=1,-15,IF(OR(ISNUMBER(SEARCH("Desert",BX198)),ISNUMBER(SEARCH("ExtremeDesert",BX198))),-10,IF(OR(ISNUMBER(SEARCH("Grasslands",BX198)),ISNUMBER(SEARCH("TropicalRainforest",BX198)),ISNUMBER(SEARCH("TropicalSwamp",BX198))),10,0)))))))-IF(CC198="False",MIN(IFERROR(MAX(MROUND(LOG10(_xlfn.XLOOKUP(B198,'Base stats'!B:B,'Base stats'!C:C)^(2/3))*10,5),5),5),30))-_xlfn.XLOOKUP(B198,'Base stats'!B:B,'Base stats'!P:P)+IF(CC198="True",5,0)</f>
        <v>-50</v>
      </c>
      <c r="M198" s="2">
        <f>IF(OR(_xlfn.XLOOKUP(_xlfn.XLOOKUP(B198,'Base stats'!B:B,'Base stats'!E:E),Groups!A:A,Groups!G:G)=2,ISNUMBER(SEARCH("Desert",BX198)),ISNUMBER(SEARCH("ExtremeDesert",BX198)),ISNUMBER(SEARCH("LavaField",BX198))),50,IF(ISNUMBER(SEARCH("Grasslands",BX198)),45,IF(OR(_xlfn.XLOOKUP(_xlfn.XLOOKUP(B198,'Base stats'!B:B,'Base stats'!E:E),Groups!A:A,Groups!G:G)=1,ISNUMBER(SEARCH("TropicalRainforest",BX198)),ISNUMBER(SEARCH("TropicalSwamp",BX198))),40,IF(OR(ISNUMBER(SEARCH("TemperateForest",BX198)),ISNUMBER(SEARCH("TemperateSwamp",BX198))),35,IF(OR(ISNUMBER(SEARCH("Alpine",BX198)),ISNUMBER(SEARCH("BorealForest",BX198)),ISNUMBER(SEARCH("ColdBog",BX198))),30,IF(ISNUMBER(OR(ISNUMBER(SEARCH("GlacialPlain",BX198)),SEARCH("Tundra",BX198))),25,IF(OR(ISNUMBER(SEARCH("SeaIce",BX198)),ISNUMBER(SEARCH("IceSheet",BX198)),ISNUMBER(SEARCH("TropicalSwamp",BX198))),10,35)))))))+_xlfn.XLOOKUP(B198,'Base stats'!B:B,'Base stats'!Q:Q)</f>
        <v>35</v>
      </c>
      <c r="N198" s="8" t="str">
        <f>IF(
_xlfn.XLOOKUP(
_xlfn.XLOOKUP(B198,'Base stats'!B:B,'Base stats'!E:E),
Groups!A:A,
Groups!L:L
)=1,
MIN(
MROUND(
IF(
_xlfn.XLOOKUP(B198,'Animals CE'!B:B,'Animals CE'!Z:Z)&lt;=1.5,
_xlfn.XLOOKUP(B198,'Animals CE'!B:B,'Animals CE'!Z:Z)/2+0.05,
0.8+
(_xlfn.XLOOKUP(B198,'Animals CE'!B:B,'Animals CE'!Z:Z)-1.5)
*0.02
),
0.05
),
200%
),
"No"
)</f>
        <v>No</v>
      </c>
      <c r="O198" s="8" t="str">
        <f>IF(
_xlfn.XLOOKUP(
_xlfn.XLOOKUP(B198,'Base stats'!B:B,'Base stats'!E:E),
Groups!A:A,
Groups!L:L
)=1,
MIN(
MROUND(
IF(
_xlfn.XLOOKUP(B198,'Animals CE'!B:B,'Animals CE'!AA:AA)&lt;=1.5,
_xlfn.XLOOKUP(B198,'Animals CE'!B:B,'Animals CE'!AA:AA)/2+0.05,
0.8+
(_xlfn.XLOOKUP(B198,'Animals CE'!B:B,'Animals CE'!AA:AA)-1.5)
*0.02
),
0.05
),
200%
),
"No"
)</f>
        <v>No</v>
      </c>
      <c r="P198" s="2" t="str">
        <f>_xlfn.XLOOKUP(B198,'Base stats'!B:B,'Base stats'!R:R)</f>
        <v>Standard</v>
      </c>
      <c r="Q198" s="13">
        <f>MROUND((LOG10(_xlfn.XLOOKUP(B198,'Base stats'!B:B,'Base stats'!AR:AR))*(AO198^0.5)+(_xlfn.XLOOKUP(B198,'Base stats'!B:B,'Base stats'!AR:AR)/1000)^(2/3)+_xlfn.XLOOKUP(B198,'Base stats'!B:B,'Base stats'!BA:BA)/2)+0.5,0.5)</f>
        <v>4</v>
      </c>
      <c r="R198" s="7">
        <f>IF(Q198="No","No",MAX(1,MROUND(_xlfn.XLOOKUP(B198,'Base stats'!B:B,'Base stats'!C:C)^0.165,0.05)))</f>
        <v>1.55</v>
      </c>
      <c r="S198" s="13" t="str">
        <f>IF(_xlfn.XLOOKUP(_xlfn.XLOOKUP(B198,'Base stats'!B:B,'Base stats'!E:E),Groups!A:A,Groups!P:P)=0,"No",MROUND((LOG10(_xlfn.XLOOKUP(B198,'Base stats'!B:B,'Base stats'!AS:AS))*(AO198^0.5)+(_xlfn.XLOOKUP(B198,'Base stats'!B:B,'Base stats'!AS:AS)/1000)^(2/3)+_xlfn.XLOOKUP(B198,'Base stats'!B:B,'Base stats'!BA:BA))+_xlfn.XLOOKUP(B198,'Base stats'!B:B,'Base stats'!AY:AY)+0.5,0.5))</f>
        <v>No</v>
      </c>
      <c r="T198" s="7" t="str">
        <f>IF(S198="No","No",MAX(_xlfn.XLOOKUP(_xlfn.XLOOKUP(B198,'Base stats'!B:B,'Base stats'!E:E),Groups!A:A,Groups!Q:Q),MROUND(_xlfn.XLOOKUP(_xlfn.XLOOKUP(B198,'Base stats'!B:B,'Base stats'!E:E),Groups!A:A,Groups!Q:Q)*_xlfn.XLOOKUP(B198,'Base stats'!B:B,'Base stats'!C:C)^0.165,0.05)))</f>
        <v>No</v>
      </c>
      <c r="U198" s="7" t="str">
        <f>IF(S198="No","No",_xlfn.XLOOKUP(_xlfn.XLOOKUP(B198,'Base stats'!B:B,'Base stats'!E:E),Groups!A:A,Groups!R:R))</f>
        <v>No</v>
      </c>
      <c r="V198" s="7" t="str">
        <f>IF(S198="No","No",_xlfn.XLOOKUP(_xlfn.XLOOKUP(B198,'Base stats'!B:B,'Base stats'!E:E),Groups!A:A,Groups!S:S))</f>
        <v>No</v>
      </c>
      <c r="W198" s="7" t="str">
        <f>IF(S198="No","No",_xlfn.XLOOKUP(_xlfn.XLOOKUP(B198,'Base stats'!B:B,'Base stats'!E:E),Groups!A:A,Groups!T:T))</f>
        <v>No</v>
      </c>
      <c r="X198" s="13" t="str">
        <f>IF(_xlfn.XLOOKUP(B198,'Base stats'!B:B,'Base stats'!W:W)="No","No",MROUND((LOG10(_xlfn.XLOOKUP(B198,'Base stats'!B:B,'Base stats'!AU:AU))*(AO198^0.5)+(_xlfn.XLOOKUP(B198,'Base stats'!B:B,'Base stats'!AU:AU)/1000)^(2/3)+_xlfn.XLOOKUP(B198,'Base stats'!B:B,'Base stats'!AZ:AZ))+0.5+IF(_xlfn.XLOOKUP(_xlfn.XLOOKUP(B198,'Base stats'!B:B,'Base stats'!E:E),Groups!A:A,Groups!U:U)&lt;&gt;3,_xlfn.XLOOKUP(B198,'Base stats'!B:B,'Base stats'!BA:BA),0),0.5))</f>
        <v>No</v>
      </c>
      <c r="Y198" s="7" t="str">
        <f>IF(X198="No","No",MAX(_xlfn.XLOOKUP(_xlfn.XLOOKUP(B198,'Base stats'!B:B,'Base stats'!E:E),Groups!A:A,Groups!V:V),MROUND(_xlfn.XLOOKUP(_xlfn.XLOOKUP(B198,'Base stats'!B:B,'Base stats'!E:E),Groups!A:A,Groups!V:V)*_xlfn.XLOOKUP(B198,'Base stats'!B:B,'Base stats'!C:C)^0.165,0.05)))</f>
        <v>No</v>
      </c>
      <c r="Z198" s="7" t="str">
        <f>IF(X198="No","No",_xlfn.XLOOKUP(_xlfn.XLOOKUP(B198,'Base stats'!B:B,'Base stats'!E:E),Groups!A:A,Groups!W:W))</f>
        <v>No</v>
      </c>
      <c r="AA198" s="7" t="str">
        <f>IF(X198="No","No",_xlfn.XLOOKUP(_xlfn.XLOOKUP(B198,'Base stats'!B:B,'Base stats'!E:E),Groups!A:A,Groups!X:X))</f>
        <v>No</v>
      </c>
      <c r="AB198" s="7" t="str">
        <f>IF(X198="No","No",_xlfn.XLOOKUP(_xlfn.XLOOKUP(B198,'Base stats'!B:B,'Base stats'!E:E),Groups!A:A,Groups!Y:Y))</f>
        <v>No</v>
      </c>
      <c r="AC198" s="7" t="str">
        <f>_xlfn.XLOOKUP(Animals!B198,'Base stats'!B:B,'Base stats'!X:X)</f>
        <v>False</v>
      </c>
      <c r="AD198" s="13">
        <f>IF(_xlfn.XLOOKUP(B198,'Base stats'!B:B,'Base stats'!AT:AT)="No","No",MROUND((LOG10(_xlfn.XLOOKUP(B198,'Base stats'!B:B,'Base stats'!AT:AT))*(AO198^0.75)+(_xlfn.XLOOKUP(B198,'Base stats'!B:B,'Base stats'!AT:AT)/1000)^(2/3)+_xlfn.XLOOKUP(B198,'Base stats'!B:B,'Base stats'!AX:AX)+_xlfn.XLOOKUP(B198,'Base stats'!B:B,'Base stats'!BA:BA))+0.5,0.5))</f>
        <v>7.5</v>
      </c>
      <c r="AE198" s="7">
        <f>IF(AD198="No","No",MAX(_xlfn.XLOOKUP(_xlfn.XLOOKUP(B198,'Base stats'!B:B,'Base stats'!E:E),Groups!A:A,Groups!Z:Z),MROUND(_xlfn.XLOOKUP(_xlfn.XLOOKUP(B198,'Base stats'!B:B,'Base stats'!E:E),Groups!A:A,Groups!Z:Z)*_xlfn.XLOOKUP(B198,'Base stats'!B:B,'Base stats'!C:C)^0.165,0.05)))</f>
        <v>1.5</v>
      </c>
      <c r="AF198" s="7" t="str">
        <f>IF(AD198="No","No",_xlfn.XLOOKUP(_xlfn.XLOOKUP(B198,'Base stats'!B:B,'Base stats'!E:E),Groups!A:A,Groups!AA:AA))</f>
        <v>Teeth</v>
      </c>
      <c r="AG198" s="7" t="str">
        <f>IF(AD198="No","No",_xlfn.XLOOKUP(_xlfn.XLOOKUP(B198,'Base stats'!B:B,'Base stats'!E:E),Groups!A:A,Groups!AB:AB))</f>
        <v>Incisors</v>
      </c>
      <c r="AH198" s="7" t="str">
        <f>IF(AD198="No","No",_xlfn.XLOOKUP(_xlfn.XLOOKUP(B198,'Base stats'!B:B,'Base stats'!E:E),Groups!A:A,Groups!AC:AC))</f>
        <v>Bite</v>
      </c>
      <c r="AI198" s="13" t="str">
        <f>IF(_xlfn.XLOOKUP(_xlfn.XLOOKUP(B198,'Base stats'!B:B,'Base stats'!E:E),Groups!A:A,Groups!AD:AD)=0,"No",MROUND((LOG10(_xlfn.XLOOKUP(B198,'Base stats'!B:B,'Base stats'!AS:AS))*(AO198^0.75)+(_xlfn.XLOOKUP(B198,'Base stats'!B:B,'Base stats'!AS:AS)/1000)^(2/3)+_xlfn.XLOOKUP(B198,'Base stats'!B:B,'Base stats'!AY:AY)+_xlfn.XLOOKUP(B198,'Base stats'!B:B,'Base stats'!BA:BA))+0.5,0.5))</f>
        <v>No</v>
      </c>
      <c r="AJ198" s="7" t="str">
        <f>IF(AI198="No","No",MAX(_xlfn.XLOOKUP(_xlfn.XLOOKUP(B198,'Base stats'!B:B,'Base stats'!E:E),Groups!A:A,Groups!AE:AE),MROUND(_xlfn.XLOOKUP(_xlfn.XLOOKUP(B198,'Base stats'!B:B,'Base stats'!E:E),Groups!A:A,Groups!AE:AE)*IF(_xlfn.XLOOKUP(_xlfn.XLOOKUP(B198,'Base stats'!B:B,'Base stats'!E:E),Groups!A:A,Groups!AJ:AJ)="Photonozoa",0.6,1)*_xlfn.XLOOKUP(B198,'Base stats'!B:B,'Base stats'!C:C)^0.165,0.05)))</f>
        <v>No</v>
      </c>
      <c r="AK198" s="7" t="str">
        <f>IF(AI198="No","No",_xlfn.XLOOKUP(_xlfn.XLOOKUP(B198,'Base stats'!B:B,'Base stats'!E:E),Groups!A:A,Groups!AF:AF))</f>
        <v>No</v>
      </c>
      <c r="AL198" s="7" t="str">
        <f>IF(AI198="No","No",_xlfn.XLOOKUP(_xlfn.XLOOKUP(B198,'Base stats'!B:B,'Base stats'!E:E),Groups!A:A,Groups!AG:AG))</f>
        <v>No</v>
      </c>
      <c r="AM198" s="7" t="str">
        <f>IF(AI198="No","No",_xlfn.XLOOKUP(_xlfn.XLOOKUP(B198,'Base stats'!B:B,'Base stats'!E:E),Groups!A:A,Groups!AH:AH))</f>
        <v>No</v>
      </c>
      <c r="AN198" s="2" t="str">
        <f t="shared" si="21"/>
        <v>No</v>
      </c>
      <c r="AO198" s="2">
        <f>MROUND(IF(AND(_xlfn.XLOOKUP(B198,'Base stats'!B:B,'Base stats'!C:C)&gt;=0.5,_xlfn.XLOOKUP(B198,'Base stats'!B:B,'Base stats'!C:C)&lt;=0.8),
IF(_xlfn.XLOOKUP(B198,'Base stats'!B:B,'Base stats'!C:C)&lt;0.1,0.05,IF(_xlfn.XLOOKUP(B198,'Base stats'!B:B,'Base stats'!C:C)&lt;=70,(_xlfn.XLOOKUP(B198,'Base stats'!B:B,'Base stats'!C:C)/70)^0.426489913056526,IF(_xlfn.XLOOKUP(B198,'Base stats'!B:B,'Base stats'!C:C)&lt;=400,(_xlfn.XLOOKUP(B198,'Base stats'!B:B,'Base stats'!C:C)/70)^0.572811455315093,IF(_xlfn.XLOOKUP(B198,'Base stats'!B:B,'Base stats'!C:C)&lt;=2000,2.71391647193063*(_xlfn.XLOOKUP(B198,'Base stats'!B:B,'Base stats'!C:C)/400)^0.252459582904293,3.74314280240376*(_xlfn.XLOOKUP(B198,'Base stats'!B:B,'Base stats'!C:C)/2000)^0.357012633876913)))),
IF(_xlfn.XLOOKUP(B198,'Base stats'!B:B,'Base stats'!C:C)&lt;0.1,0.05,IF(_xlfn.XLOOKUP(B198,'Base stats'!B:B,'Base stats'!C:C)&lt;0.4,0.1,IF(_xlfn.XLOOKUP(B198,'Base stats'!B:B,'Base stats'!C:C)&lt;=70,(_xlfn.XLOOKUP(B198,'Base stats'!B:B,'Base stats'!C:C)/70)^0.445823913056526,IF(_xlfn.XLOOKUP(B198,'Base stats'!B:B,'Base stats'!C:C)&lt;=400,(_xlfn.XLOOKUP(B198,'Base stats'!B:B,'Base stats'!C:C)/70)^0.572811455315093,IF(_xlfn.XLOOKUP(B198,'Base stats'!B:B,'Base stats'!C:C)&lt;=2000,2.71391647193063*(_xlfn.XLOOKUP(B198,'Base stats'!B:B,'Base stats'!C:C)/400)^0.252459582904293,3.74314280240376*(_xlfn.XLOOKUP(B198,'Base stats'!B:B,'Base stats'!C:C)/2000)^0.357012633876913)))))),
IF(_xlfn.XLOOKUP(B198,'Base stats'!B:B,'Base stats'!C:C)&lt;0.1,0.05,IF(_xlfn.XLOOKUP(B198,'Base stats'!B:B,'Base stats'!C:C)&lt;=100,0.05,IF(_xlfn.XLOOKUP(B198,'Base stats'!B:B,'Base stats'!C:C)&lt;=250,0.1,IF(_xlfn.XLOOKUP(B198,'Base stats'!B:B,'Base stats'!C:C)&lt;=4000,0.25,0.5)))))</f>
        <v>0.5</v>
      </c>
      <c r="AP198" s="8">
        <f>MROUND(AO198*_xlfn.XLOOKUP(_xlfn.XLOOKUP(B198,'Base stats'!B:B,'Base stats'!E:E),Groups!A:A,Groups!AI:AI)*_xlfn.XLOOKUP(B198,'Base stats'!B:B,'Base stats'!Z:Z),0.05)</f>
        <v>0.5</v>
      </c>
      <c r="AQ198" s="8">
        <f>MAX(0.01,MROUND(IF(CC198="True",0.196*(AO198*100*1000)^0.889,IF(_xlfn.XLOOKUP(_xlfn.XLOOKUP(B198,'Base stats'!B:B,'Base stats'!E:E),Groups!A:A,Groups!AJ:AJ)="Bird",10.5*(AO198*100*1000)^0.681,4.82*(AO198*100*1000)^0.734))/(4.82*(1*100*1000)^0.734)/IF(AO198&lt;3.5,2,IF(AO198=3.5,1.5,1.25))*(1+0.132282374779864/(AO198^0.994035016789033+0.00905238001496948)),0.05))</f>
        <v>0.4</v>
      </c>
      <c r="AR198" s="9">
        <f>IFERROR(MROUND(_xlfn.XLOOKUP(B198,'Base stats'!B:B,'Base stats'!H:H)/IF(_xlfn.XLOOKUP(B198,'Base stats'!B:B,'Base stats'!I:I)&lt;&gt;1,(122.5/70),1.2),IF(_xlfn.XLOOKUP(B198,'Base stats'!B:B,'Base stats'!H:H)&gt;=30,5,IF(_xlfn.XLOOKUP(B198,'Base stats'!B:B,'Base stats'!H:H)&gt;=15,3,IF(_xlfn.XLOOKUP(B198,'Base stats'!B:B,'Base stats'!H:H)&gt;=10,2,1)))),"Immortal")</f>
        <v>12</v>
      </c>
      <c r="AS198" s="35">
        <f>IFERROR(IF(OR(_xlfn.XLOOKUP(B198,'Base stats'!B:B,'Base stats'!F:F)="Atypical reproduction",_xlfn.XLOOKUP(B198,'Base stats'!B:B,'Base stats'!F:F)="Lay eggs"),"Lay eggs",MIN(20,MAX(5.5,ROUND(((_xlfn.XLOOKUP(B198,'Base stats'!B:B,'Base stats'!F:F)-25)*(14.5/615) + 5.5)*2,0)/2))),"Unknown")</f>
        <v>10</v>
      </c>
      <c r="AT198" s="8">
        <f>IF(_xlfn.XLOOKUP(B198,'Base stats'!B:B,'Base stats'!G:G)="Atypical reproduction","No",IFERROR(MAX(IF(_xlfn.XLOOKUP(B198,'Base stats'!B:B,'Base stats'!G:G)&lt;0.5,0.2,0.3),MROUND(_xlfn.XLOOKUP(B198,'Base stats'!B:B,'Base stats'!G:G)/(365/60),0.2)),"Unknown"))</f>
        <v>0.4</v>
      </c>
      <c r="AU198" s="8">
        <f t="shared" si="22"/>
        <v>0.2</v>
      </c>
      <c r="AV198" s="8">
        <f>IFERROR(IFERROR(MROUND(_xlfn.XLOOKUP(B198,'Base stats'!B:B,'Base stats'!J:J),0.1),"Lay eggs"),"Cannot breed")</f>
        <v>1</v>
      </c>
      <c r="AW198" s="2" t="str">
        <f t="shared" si="23"/>
        <v>false</v>
      </c>
      <c r="AX198" s="2" t="str">
        <f>IF(_xlfn.XLOOKUP(_xlfn.XLOOKUP(Animals!B198,'Base stats'!B:B,'Base stats'!E:E),Groups!A:A,Groups!AK:AK)=1,"true","false")</f>
        <v>false</v>
      </c>
      <c r="AY198" s="25" t="str">
        <f>IF(_xlfn.XLOOKUP(B198,'Base stats'!B:B,'Base stats'!Y:Y)="Liquor","Liquor, CarnivoreAnimalStrict",IF(AND(_xlfn.XLOOKUP(B198,'Base stats'!B:B,'Base stats'!Y:Y)="Carnivore",_xlfn.XLOOKUP(_xlfn.XLOOKUP(B198,'Base stats'!B:B,'Base stats'!E:E),Groups!A:A,Groups!AJ:AJ)="Photonozoa"),"CarnivoreAnimalStrict, OvivoreAnimal",IF(_xlfn.XLOOKUP(B198,'Base stats'!B:B,'Base stats'!Y:Y)="Carnivore","CarnivoreAnimal, OvivoreAnimal",IF(_xlfn.XLOOKUP(B198,'Base stats'!B:B,'Base stats'!Y:Y)="Dendrovore","VegetarianRoughAnimal, DendrovoreAnimal",IF(_xlfn.XLOOKUP(B198,'Base stats'!B:B,'Base stats'!Y:Y)="Herbivore","VegetarianRoughAnimal",IF(_xlfn.XLOOKUP(B198,'Base stats'!B:B,'Base stats'!Y:Y)="OmnivoreRough","OmnivoreRoughAnimal, OvivoreAnimal","OmnivoreAnimal, OvivoreAnimal"))))))</f>
        <v>VegetarianRoughAnimal</v>
      </c>
      <c r="AZ198" s="2" t="str">
        <f>IF(_xlfn.XLOOKUP(_xlfn.XLOOKUP(B198,'Base stats'!B:B,'Base stats'!E:E),Groups!A:A,Groups!D:D)=1,MROUND((1-J198)*5+1,2)*IF(J198&lt;=0.4,2,1),"No")</f>
        <v>No</v>
      </c>
      <c r="BA198" s="2" t="str">
        <f>IF(AND(_xlfn.XLOOKUP(B198,'Base stats'!B:B,'Base stats'!AH:AH)="&lt;li&gt;Seal&lt;/li&gt;",G198="Odyssey"),"&lt;li&gt;AEXP_Seal&lt;/li&gt;",_xlfn.XLOOKUP(B198,'Base stats'!B:B,'Base stats'!AH:AH))</f>
        <v>No</v>
      </c>
      <c r="BB198" s="2" t="str">
        <f>_xlfn.XLOOKUP(B198,'Base stats'!B:B,'Base stats'!AG:AG)</f>
        <v>Leather_Light</v>
      </c>
      <c r="BC198" s="23" t="str">
        <f>_xlfn.XLOOKUP(_xlfn.XLOOKUP(B198,'Base stats'!B:B,'Base stats'!E:E),Groups!A:A,Groups!AL:AL)</f>
        <v>QuadrupedAnimalWithPawsAndTail</v>
      </c>
      <c r="BD198" s="23">
        <f>MIN(1,MROUND(IF(AND(AO198&lt;0.5,_xlfn.XLOOKUP(B198,'Base stats'!B:B,'Base stats'!AA:AA)=0),0,IF(OR(_xlfn.XLOOKUP(Animals!B198,'Base stats'!B:B,'Base stats'!O:O)=2,_xlfn.XLOOKUP(_xlfn.XLOOKUP(B198,'Base stats'!B:B,'Base stats'!E:E),Groups!A:A,Groups!AN:AN)=0),0,_xlfn.XLOOKUP(_xlfn.XLOOKUP(B198,'Base stats'!B:B,'Base stats'!E:E),Groups!A:A,Groups!AN:AN)/IF(_xlfn.XLOOKUP(Animals!B198,'Base stats'!B:B,'Base stats'!O:O)=1,2,1)))+_xlfn.XLOOKUP(B198,'Base stats'!B:B,'Base stats'!AC:AC),0.005))</f>
        <v>0.1</v>
      </c>
      <c r="BE198" s="23">
        <f>MIN(1,MROUND(IF(AND(AO198&lt;0.5,_xlfn.XLOOKUP(B198,'Base stats'!B:B,'Base stats'!AA:AA)=0),0,IF(_xlfn.XLOOKUP(_xlfn.XLOOKUP(B198,'Base stats'!B:B,'Base stats'!E:E),Groups!A:A,Groups!AO:AO)=0,0,_xlfn.XLOOKUP(_xlfn.XLOOKUP(B198,'Base stats'!B:B,'Base stats'!E:E),Groups!A:A,Groups!AO:AO)/IF(_xlfn.XLOOKUP(Animals!B198,'Base stats'!B:B,'Base stats'!O:O)=2,3,1)))+_xlfn.XLOOKUP(B198,'Base stats'!B:B,'Base stats'!AD:AD),0.005))</f>
        <v>0.3</v>
      </c>
      <c r="BF198" s="2" t="str">
        <f>IF(J198&gt;0.3,"No",_xlfn.XLOOKUP(_xlfn.XLOOKUP(Animals!B198,'Base stats'!B:B,'Base stats'!E:E),Groups!A:A,Groups!AP:AP))</f>
        <v>No</v>
      </c>
      <c r="BG198" s="2">
        <f>IF(AND(J198&lt;=0.65,_xlfn.XLOOKUP(_xlfn.XLOOKUP(Animals!B198,'Base stats'!B:B,'Base stats'!E:E),Groups!A:A,Groups!AP:AP)&lt;&gt;"No",_xlfn.XLOOKUP(_xlfn.XLOOKUP(B198,'Base stats'!B:B,'Base stats'!E:E),Groups!A:A,Groups!D:D)=0),MROUND((80/3)*IF(_xlfn.XLOOKUP(B198,'Base stats'!B:B,'Base stats'!O:O)=2,0.2,AO198) + 24*(1-IF(BF198="No",0,BF198)) + 16/3, 12),"No")</f>
        <v>48</v>
      </c>
      <c r="BH198" s="2">
        <f>IF(AND(_xlfn.XLOOKUP(_xlfn.XLOOKUP(B198,'Base stats'!B:B,'Base stats'!E:E),Groups!A:A,Groups!AQ:AQ)=1,AO198&lt;=0.35),8,12)</f>
        <v>12</v>
      </c>
      <c r="BI198" s="2" t="str">
        <f>IF(_xlfn.XLOOKUP(_xlfn.XLOOKUP(B198,'Base stats'!B:B,'Base stats'!E:E),Groups!A:A,Groups!D:D)=0,_xlfn.XLOOKUP(_xlfn.XLOOKUP(B198,'Base stats'!B:B,'Base stats'!E:E),Groups!A:A,Groups!AR:AR),"None")</f>
        <v>None</v>
      </c>
      <c r="BJ198" s="2" t="str">
        <f>IF(AND(_xlfn.XLOOKUP(_xlfn.XLOOKUP(B198,'Base stats'!B:B,'Base stats'!E:E),Groups!A:A,Groups!AS:AS)=1,OR(_xlfn.XLOOKUP(B198,'Base stats'!B:B,'Base stats'!Y:Y)="Carnivore",_xlfn.XLOOKUP(B198,'Base stats'!B:B,'Base stats'!Y:Y)="Omnivore")),"true","false")</f>
        <v>false</v>
      </c>
      <c r="BK198" s="2" t="str">
        <f>IF(BJ198="true",MROUND(IF(AND(AO198&gt;0.5,OR(_xlfn.XLOOKUP(_xlfn.XLOOKUP(B198,'Base stats'!B:B,'Base stats'!E:E),Groups!A:A,Groups!AJ:AJ)="Photonozoa",_xlfn.XLOOKUP(_xlfn.XLOOKUP(B198,'Base stats'!B:B,'Base stats'!E:E),Groups!A:A,Groups!AJ:AJ)="Mammal")),Animals!AO198*1.75*IF(AW198="true",1.5,1),IF(AO198&lt;0.5,Animals!AO198*0.5,Animals!AO198)),IF(AO198&gt;2,0.5,IF(AO198&gt;0.5,0.25,0.1))),"No")</f>
        <v>No</v>
      </c>
      <c r="BL198" s="2">
        <f t="shared" si="24"/>
        <v>0</v>
      </c>
      <c r="BM198" s="25" t="str">
        <f>IF(_xlfn.XLOOKUP(B198,'Base stats'!B:B,'Base stats'!AN:AN)="Standard","No",MROUND((_xlfn.XLOOKUP(B198,'Base stats'!B:B,'Base stats'!AN:AN)/3.6)/I198,0.1))</f>
        <v>No</v>
      </c>
      <c r="BN198" s="25" t="str">
        <f t="shared" si="25"/>
        <v>false</v>
      </c>
      <c r="BO198" s="25" t="str">
        <f>IF(AND(OR(_xlfn.XLOOKUP(B198,'Base stats'!B:B,'Base stats'!Y:Y)="Carnivore",_xlfn.XLOOKUP(B198,'Base stats'!B:B,'Base stats'!Y:Y)="Omnivore",_xlfn.XLOOKUP(B198,'Base stats'!B:B,'Base stats'!Y:Y)="OmnivoreRough"),_xlfn.XLOOKUP(_xlfn.XLOOKUP(B198,'Base stats'!B:B,'Base stats'!E:E),Groups!A:A,Groups!AT:AT)=1),"true","false")</f>
        <v>false</v>
      </c>
      <c r="BP198" s="25" t="str" cm="1">
        <f t="array" ref="BP198">IF(
  _xlfn.TEXTJOIN(", ",TRUE,
    IF(AND(BJ198="true",AO198&gt;0.5,BI198&lt;&gt;"None"),"AttackTarget",""),
    IF(AND(_xlfn.XLOOKUP(_xlfn.XLOOKUP(B198,'Base stats'!B:B,'Base stats'!E:E),Groups!A:A,Groups!AJ:AJ="Mammal"),OR(_xlfn.XLOOKUP(B198,'Base stats'!B:B,'Base stats'!Y:Y)="Omnivore",_xlfn.XLOOKUP(B198,'Base stats'!B:B,'Base stats'!Y:Y)="OmnivoreRough")),"Forage",""),
    IF(BG198&lt;=36,"Comfort",""),
    IF(_xlfn.XLOOKUP(B198,'Base stats'!B:B,'Base stats'!AE:AE)&lt;&gt;"No",_xlfn.XLOOKUP(B198,'Base stats'!B:B,'Base stats'!AE:AE),"")
  ) = "",
  "No",
  _xlfn.TEXTJOIN(", ",TRUE,
    IF(AND(BJ198="true",AO198&gt;0.5,BI198&lt;&gt;"None"),"AttackTarget",""),
    IF(AND(_xlfn.XLOOKUP(_xlfn.XLOOKUP(B198,'Base stats'!B:B,'Base stats'!E:E),Groups!A:A,Groups!AJ:AJ="Mammal"),OR(_xlfn.XLOOKUP(B198,'Base stats'!B:B,'Base stats'!Y:Y)="Omnivore",_xlfn.XLOOKUP(B198,'Base stats'!B:B,'Base stats'!Y:Y)="OmnivoreRough")),"Forage",""),
    IF(BG198&lt;=36,"Comfort",""),
    IF(_xlfn.XLOOKUP(B198,'Base stats'!B:B,'Base stats'!AE:AE)&lt;&gt;"No",_xlfn.XLOOKUP(B198,'Base stats'!B:B,'Base stats'!AE:AE),"")
  )
)</f>
        <v>No</v>
      </c>
      <c r="BQ198" s="25" t="str">
        <f>IF(
   AND(
      'Base stats'!AN198="Standard",_xlfn.XLOOKUP(_xlfn.XLOOKUP(B198,'Base stats'!B:B,'Base stats'!E:E),Groups!A:A,Groups!AU:AU)=0,
      OR(
      BO198="True"
      )
   ),
   10,
   IF(
       OR(BM198&lt;&gt;"No",_xlfn.XLOOKUP(_xlfn.XLOOKUP(B198,'Base stats'!B:B,'Base stats'!E:E),Groups!A:A,Groups!AU:AU)=1),
      1,
      "No"
   )
)</f>
        <v>No</v>
      </c>
      <c r="BR198" s="9">
        <f>MROUND((1 + ((0.2*IF(OR(Q198="No",R198="No",R198=0),0,Q198/R198)
+IF(OR(V198="No",S198="No",T198="No"),0,S198/T198*(LEN(V198)-LEN(SUBSTITUTE(V198,",",""))+1))
+IF(OR(X198="No",Y198="No"),0,X198/Y198)
+IF(OR(AD198="No",AE198="No"),0,AD198/AE198)
+IF(OR(AL198="No",AI198="No",AJ198="No"),0,AI198/AJ198*(LEN(AL198)-LEN(SUBSTITUTE(AL198,",",""))+1))
)/(0.2*IF(OR(Q198="No",R198="No",R198=0),0,1)
+IF(OR(V198="No",S198="No",T198="No"),0,LEN(V198)-LEN(SUBSTITUTE(V198,",",""))+1)
+IF(OR(X198="No",Y198="No"),0,1)
+IF(OR(AD198="No",AE198="No"),0,1)
+IF(OR(AL198="No",AI198="No",AJ198="No"),0,LEN(AL198)-LEN(SUBSTITUTE(AL198,",",""))+1))*62%)* 2)*(1 + (AP198 / (IF(_xlfn.XLOOKUP(_xlfn.XLOOKUP(B198,'Base stats'!B:B,'Base stats'!E:E),Groups!A:A,Groups!AJ:AJ)="Photonozoa",0.3,1)) + _xlfn.XLOOKUP(B198,'Base stats'!B:B,'Base stats'!AV:AV) * 1.8) * 2) * 2.5 + 10 + I198 * 2,5)+IF(_xlfn.XLOOKUP(B198,'Base stats'!B:B,'Base stats'!AK:AK)=1,50,0)</f>
        <v>50</v>
      </c>
      <c r="BS198" s="8">
        <f t="shared" si="26"/>
        <v>0.4</v>
      </c>
      <c r="BT198" s="8" t="str">
        <f>_xlfn.XLOOKUP(B198,'Base stats'!B:B,'Base stats'!AF:AF)</f>
        <v>No</v>
      </c>
      <c r="BU198" s="2" t="str">
        <f>IF(AND(J198&lt;=0.95,OR(_xlfn.XLOOKUP(B198,'Base stats'!B:B,'Base stats'!AK:AK)=1,_xlfn.XLOOKUP(B198,'Base stats'!B:B,'Base stats'!Y:Y)="Carnivore",_xlfn.XLOOKUP(B198,'Base stats'!B:B,'Base stats'!Y:Y)="Omnivore",BE198&gt;0.1)),"true","false")</f>
        <v>true</v>
      </c>
      <c r="BV198" s="2" t="str">
        <f>IF(_xlfn.XLOOKUP(B198,'Base stats'!B:B,'Base stats'!AI:AI)=1,"true","false")</f>
        <v>false</v>
      </c>
      <c r="BW198" s="25" t="str">
        <f>IF(E198="BaseInsect","AnimalInsect",
IF(J198&gt;0.95,"AnimalExotic",
_xlfn.TEXTJOIN(", ",TRUE,
IF(OR(_xlfn.XLOOKUP(B198,'Base stats'!B:B,'Base stats'!AM:AM)=1,AND(_xlfn.XLOOKUP(B198,'Base stats'!B:B,'Base stats'!O:O)=0,_xlfn.XLOOKUP(_xlfn.XLOOKUP(B198,'Base stats'!B:B,'Base stats'!E:E),Groups!A:A,Groups!B:B)&gt;0)),"AnimalUncommon","AnimalCommon"),
IF(AND(_xlfn.XLOOKUP(B198,'Base stats'!B:B,'Base stats'!O:O)=2,_xlfn.XLOOKUP(_xlfn.XLOOKUP(B198,'Base stats'!B:B,'Base stats'!E:E),Groups!A:A,Groups!D:D)=0),"AnimalPet",IF(AND(_xlfn.XLOOKUP(B198,'Base stats'!B:B,'Base stats'!O:O)&lt;&gt;0,_xlfn.XLOOKUP(_xlfn.XLOOKUP(B198,'Base stats'!B:B,'Base stats'!E:E),Groups!A:A,Groups!D:D)&lt;&gt;0),"AnimalFarm","")),
IF(OR(_xlfn.XLOOKUP(B198,'Base stats'!B:B,'Base stats'!AK:AK)=1,AND(BI198&lt;&gt;"None",BR198&gt;=60),ISNUMBER(SEARCH("Attack target",BP198))),"AnimalFighter","")
)))</f>
        <v>AnimalCommon</v>
      </c>
      <c r="BX198" s="25" t="str">
        <f>IF(G198="None",TRIM(
SUBSTITUTE(
IF(COUNTIF(Biomes!B$2:B$259,"="&amp;$C198)&gt;0,Biomes!B$1&amp;", ","")&amp;
IF(COUNTIF(Biomes!C$2:C$259,"="&amp;$C198)&gt;0,Biomes!C$1&amp;", ","")&amp;
IF(COUNTIF(Biomes!D$2:D$259,"="&amp;$C198)&gt;0,Biomes!D$1&amp;", ","")&amp;
IF(COUNTIF(Biomes!F$2:F$259,"="&amp;$C198)&gt;0,Biomes!F$1&amp;", ","")&amp;
IF(COUNTIF(Biomes!G$2:G$259,"="&amp;$C198)&gt;0,Biomes!G$1&amp;", ","")&amp;
IF(COUNTIF(Biomes!H$2:H$259,"="&amp;$C198)&gt;0,Biomes!H$1&amp;", ","")&amp;
IF(COUNTIF(Biomes!I$2:I$259,"="&amp;$C198)&gt;0,Biomes!I$1&amp;", ","")&amp;
IF(COUNTIF(Biomes!J$2:J$259,"="&amp;$C198)&gt;0,Biomes!J$1&amp;", ","")&amp;
IF(COUNTIF(Biomes!M$2:M$259,"="&amp;$C198)&gt;0,Biomes!M$1&amp;", ","")&amp;
IF(COUNTIF(Biomes!N$2:N$259,"="&amp;$C198)&gt;0,Biomes!N$1&amp;", ","")&amp;
IF(COUNTIF(Biomes!O$2:O$259,"="&amp;$C198)&gt;0,Biomes!O$1&amp;", ","")&amp;
IF(COUNTIF(Biomes!P$2:P$259,"="&amp;$C198)&gt;0,Biomes!P$1&amp;", ","")&amp;
IF(COUNTIF(Biomes!K$2:K$259,"="&amp;$C198)&gt;0,Biomes!K$1&amp;", ","")&amp;
IF(COUNTIF(Biomes!Q$3:Q$259,"="&amp;$C198)&gt;0,Biomes!Q$1&amp;", ","")&amp;
IF(COUNTIF(Biomes!L$2:L$259,"="&amp;$C198)&gt;0,Biomes!L$1&amp;", ","")&amp;
IF(COUNTIF(Biomes!E$2:E$259,"="&amp;$C198)&gt;0,Biomes!E$1&amp;", ","")&amp;IF(COUNTIF(Biomes!S$2:S$259,"="&amp;$C198)&gt;0,Biomes!S$1&amp;", ","")&amp;
IF(COUNTIF(Biomes!R$2:R$259,"="&amp;$C198)&gt;0,Biomes!R$1&amp;", ",""),", ","")
),_xlfn.XLOOKUP(B198,B:B,BX:BX))</f>
        <v>BorealForest ColdBog TemperateForest TemperateSwamp GlacialPlain</v>
      </c>
      <c r="BY198" s="25" t="str">
        <f>IF(_xlfn.XLOOKUP(B198,'Base stats'!B:B,'Base stats'!AJ:AJ)=1,"true","false")</f>
        <v>false</v>
      </c>
      <c r="BZ198" s="25">
        <f>IF(_xlfn.XLOOKUP(B198,'Base stats'!B:B,'Base stats'!N:N)=1,"No",MAX(0.001,MIN(MROUND(IF(AND(BJ198="True",CC198="False"),POWER(10,3.47*LOG10(_xlfn.XLOOKUP(B198,'Base stats'!B:B,'Base stats'!C:C)*1000)^-0.96),POWER(10,4.15*LOG10(_xlfn.XLOOKUP(B198,'Base stats'!B:B,'Base stats'!C:C)*1000)^-0.73))*IF(_xlfn.XLOOKUP(B198,'Base stats'!B:B,'Base stats'!AK:AK)=1,0.5,1)*IF(_xlfn.XLOOKUP(B198,'Base stats'!B:B,'Base stats'!AM:AM)=1,0.1,1)/100,IF(_xlfn.XLOOKUP(B198,'Base stats'!B:B,'Base stats'!AM:AM)=1,0.001,0.025)),0.5)))</f>
        <v>0.30000000000000004</v>
      </c>
      <c r="CA198" s="25" t="str">
        <f>IF(P198="Standard","No",MAX(0.001,MIN(MROUND(IF(AND(BJ198="True",CC198="False"),POWER(10,3.47*LOG10(_xlfn.XLOOKUP(B198,'Base stats'!B:B,'Base stats'!C:C)*1000)^-0.96),POWER(10,4.15*LOG10(_xlfn.XLOOKUP(B198,'Base stats'!B:B,'Base stats'!C:C)*1000)^-0.73))*IF(_xlfn.XLOOKUP(B198,'Base stats'!B:B,'Base stats'!AM:AM)=1,0.1,1)*_xlfn.XLOOKUP(B198,'Base stats'!B:B,'Base stats'!R:R)/100,IF(_xlfn.XLOOKUP(B198,'Base stats'!B:B,'Base stats'!AM:AM)=1,0.001,0.025)),0.5)))</f>
        <v>No</v>
      </c>
      <c r="CB198" s="25" t="str">
        <f>IF(_xlfn.XLOOKUP(_xlfn.XLOOKUP(B198,'Base stats'!B:B,'Base stats'!E:E),Groups!A:A,Groups!AJ:AJ)="Mammal","True","False")</f>
        <v>True</v>
      </c>
      <c r="CC198" s="25" t="str">
        <f>IF(OR(_xlfn.XLOOKUP(_xlfn.XLOOKUP(B198,'Base stats'!B:B,'Base stats'!E:E),Groups!A:A,Groups!AJ:AJ)="Reptile",_xlfn.XLOOKUP(_xlfn.XLOOKUP(B198,'Base stats'!B:B,'Base stats'!E:E),Groups!A:A,Groups!AJ:AJ)="Amphibian",_xlfn.XLOOKUP(_xlfn.XLOOKUP(B198,'Base stats'!B:B,'Base stats'!E:E),Groups!A:A,Groups!AJ:AJ)="Invertebrate"),"True","False")</f>
        <v>False</v>
      </c>
      <c r="CD198" s="25" t="str">
        <f t="shared" si="27"/>
        <v>False</v>
      </c>
      <c r="CE198" s="25" t="str">
        <f>IF(_xlfn.XLOOKUP(_xlfn.XLOOKUP(B198,'Base stats'!B:B,'Base stats'!E:E),Groups!A:A,Groups!AX:AX),"True","False")</f>
        <v>False</v>
      </c>
      <c r="CF198" s="25" t="str">
        <f>IF(_xlfn.XLOOKUP(_xlfn.XLOOKUP(B198,'Base stats'!B:B,'Base stats'!E:E),Groups!A:A,Groups!AY:AY),"True","False")</f>
        <v>False</v>
      </c>
      <c r="CG198" s="25" t="str">
        <f>IF(_xlfn.XLOOKUP(_xlfn.XLOOKUP(B198,'Base stats'!B:B,'Base stats'!E:E),Groups!A:A,Groups!AW:AW),"True","False")</f>
        <v>False</v>
      </c>
      <c r="CH198" s="25" t="str">
        <f>IF(
OR(
_xlfn.XLOOKUP(_xlfn.XLOOKUP(B198,'Base stats'!B:B,'Base stats'!E:E),Groups!A:A,Groups!AZ:AZ)=0,
AND(
_xlfn.XLOOKUP(B198,'Base stats'!B:B,'Base stats'!Y:Y)&lt;&gt;"Carnivore",
_xlfn.XLOOKUP(B198,'Base stats'!B:B,'Base stats'!Y:Y)&lt;&gt;"Omnivore",
_xlfn.XLOOKUP(B198,'Base stats'!B:B,'Base stats'!Y:Y)&lt;&gt;"OmnivoreRough"
)
),
"No",
IF(
_xlfn.XLOOKUP(_xlfn.XLOOKUP(B198,'Base stats'!B:B,'Base stats'!E:E),Groups!A:A,Groups!AZ:AZ)=1,
"Flesh",
IF(
_xlfn.XLOOKUP(_xlfn.XLOOKUP(B198,'Base stats'!B:B,'Base stats'!E:E),Groups!A:A,Groups!AZ:AZ)=2,
"Bone",
""
)
)
)</f>
        <v>No</v>
      </c>
      <c r="CI198" s="25" t="str">
        <f>IF(_xlfn.XLOOKUP(_xlfn.XLOOKUP(B198,'Base stats'!B:B,'Base stats'!E:E),Groups!A:A,Groups!BB:BB),"True","False")</f>
        <v>True</v>
      </c>
      <c r="CJ198" s="25" t="str">
        <f>IF(_xlfn.XLOOKUP(_xlfn.XLOOKUP(B198,'Base stats'!B:B,'Base stats'!E:E),Groups!A:A,Groups!BA:BA),"True","False")</f>
        <v>False</v>
      </c>
    </row>
    <row r="199" spans="1:88" ht="16.5" thickTop="1" thickBot="1" x14ac:dyDescent="0.3">
      <c r="A199" s="26" t="str">
        <f>_xlfn.XLOOKUP(B199,'Base stats'!B:B,'Base stats'!A:A)</f>
        <v>VasteHydra</v>
      </c>
      <c r="B199" s="6" t="s">
        <v>1282</v>
      </c>
      <c r="C199" s="28" t="s">
        <v>1280</v>
      </c>
      <c r="D199" s="28" t="s">
        <v>1281</v>
      </c>
      <c r="E199" s="28" t="s">
        <v>673</v>
      </c>
      <c r="F199" s="28" t="s">
        <v>673</v>
      </c>
      <c r="G199" s="28" t="s">
        <v>673</v>
      </c>
      <c r="H199" s="2">
        <f>MROUND((
  (IF(AND(_xlfn.XLOOKUP(B199,'Base stats'!B:B,'Base stats'!AL:AL)=0,BI199="None",_xlfn.XLOOKUP(_xlfn.XLOOKUP(B199,'Base stats'!B:B,'Base stats'!E:E),Groups!A:A,Groups!B:B)=0), (18 + BR199 * 2.7) * 0.5,
    IF(AND(_xlfn.XLOOKUP(B199,'Base stats'!B:B,'Base stats'!AL:AL)=0,OR(AO199&lt;0.55,AND(BI199="Intermediate",_xlfn.XLOOKUP(_xlfn.XLOOKUP(B199,'Base stats'!B:B,'Base stats'!E:E),Groups!A:A,Groups!B:B)&lt;2))), (18 + BR199 * 2.7),
      IF(OR(BI199="Advanced",_xlfn.XLOOKUP(B199,'Base stats'!B:B,'Base stats'!AL:AL)=1,_xlfn.XLOOKUP(_xlfn.XLOOKUP(B199,'Base stats'!B:B,'Base stats'!E:E),Groups!A:A,Groups!B:B)=2), (18 + BR199 * 2.7) + 250, (18 + BR199 * 2.7))
    )
  ))
  + AO199 * 80
  + IF(COUNTIF(EggMilk!K$2:K$998, A199) &gt; 0, 125, 0)
  + IF(COUNTIF(EggMilk!P$2:P$998, A199) &gt; 0, 90, 0)
  + IF(COUNTIF(EggMilk!A$2:A$998, A199) &gt; 0, 90, 0)
)
* (0.8 + 0.4 * J199)
* 0.75,25)</f>
        <v>275</v>
      </c>
      <c r="I199" s="2">
        <f>MROUND(ROUNDDOWN(_xlfn.XLOOKUP(B199,'Base stats'!B:B,'Base stats'!L:L)/3.6/(23.3/11),1),0.5)</f>
        <v>2.5</v>
      </c>
      <c r="J199" s="2">
        <f>IF(OR(_xlfn.XLOOKUP(B199,'Base stats'!B:B,'Base stats'!AB:AB)=1,_xlfn.XLOOKUP(_xlfn.XLOOKUP(B199,'Base stats'!B:B,'Base stats'!E:E),Groups!A:A,Groups!C:C)="Untamable"),1,IF(_xlfn.XLOOKUP(B199,'Base stats'!B:B,'Base stats'!AL:AL)=1,0.99,MIN(MROUND((1-0.6282*EXP(-0.459*AO199))*_xlfn.XLOOKUP(_xlfn.XLOOKUP(B199,'Base stats'!B:B,'Base stats'!E:E),Groups!A:A,Groups!C:C)*IF(_xlfn.XLOOKUP(B199,'Base stats'!B:B,'Base stats'!O:O)=1,0.5,IF(_xlfn.XLOOKUP(B199,'Base stats'!B:B,'Base stats'!O:O)=2,0,1)),0.05),IF(AO199&gt;3.5,0.985,0.95))))</f>
        <v>0.70000000000000007</v>
      </c>
      <c r="K199" s="2">
        <f>ROUNDUP(AO199*_xlfn.XLOOKUP(_xlfn.XLOOKUP(B199,'Base stats'!B:B,'Base stats'!E:E),Groups!A:A,Groups!E:E),0)</f>
        <v>1</v>
      </c>
      <c r="L199" s="2">
        <f>IF(OR(_xlfn.XLOOKUP(_xlfn.XLOOKUP(B199,'Base stats'!B:B,'Base stats'!E:E),Groups!A:A,Groups!F:F)=2,ISNUMBER(SEARCH("SeaIce",BX199)),ISNUMBER(SEARCH("IceSheet",BX199))),-50,IF(OR(ISNUMBER(SEARCH("GlacialPlain",BX199)),ISNUMBER(SEARCH("Tundra",BX199))),-40,IF(OR(ISNUMBER(SEARCH("Alpine",BX199)),ISNUMBER(SEARCH("BorealForest",BX199)),ISNUMBER(SEARCH("ColdBog",BX199))),-30,IF(OR(ISNUMBER(SEARCH("TemperateForest",BX199)),ISNUMBER(SEARCH("TemperateSwamp",BX199))),-20,IF(_xlfn.XLOOKUP(_xlfn.XLOOKUP(B199,'Base stats'!B:B,'Base stats'!E:E),Groups!A:A,Groups!F:F)=1,-15,IF(OR(ISNUMBER(SEARCH("Desert",BX199)),ISNUMBER(SEARCH("ExtremeDesert",BX199))),-10,IF(OR(ISNUMBER(SEARCH("Grasslands",BX199)),ISNUMBER(SEARCH("TropicalRainforest",BX199)),ISNUMBER(SEARCH("TropicalSwamp",BX199))),10,0)))))))-IF(CC199="False",MIN(IFERROR(MAX(MROUND(LOG10(_xlfn.XLOOKUP(B199,'Base stats'!B:B,'Base stats'!C:C)^(2/3))*10,5),5),5),30))-_xlfn.XLOOKUP(B199,'Base stats'!B:B,'Base stats'!P:P)+IF(CC199="True",5,0)</f>
        <v>-5</v>
      </c>
      <c r="M199" s="2">
        <f>IF(OR(_xlfn.XLOOKUP(_xlfn.XLOOKUP(B199,'Base stats'!B:B,'Base stats'!E:E),Groups!A:A,Groups!G:G)=2,ISNUMBER(SEARCH("Desert",BX199)),ISNUMBER(SEARCH("ExtremeDesert",BX199)),ISNUMBER(SEARCH("LavaField",BX199))),50,IF(ISNUMBER(SEARCH("Grasslands",BX199)),45,IF(OR(_xlfn.XLOOKUP(_xlfn.XLOOKUP(B199,'Base stats'!B:B,'Base stats'!E:E),Groups!A:A,Groups!G:G)=1,ISNUMBER(SEARCH("TropicalRainforest",BX199)),ISNUMBER(SEARCH("TropicalSwamp",BX199))),40,IF(OR(ISNUMBER(SEARCH("TemperateForest",BX199)),ISNUMBER(SEARCH("TemperateSwamp",BX199))),35,IF(OR(ISNUMBER(SEARCH("Alpine",BX199)),ISNUMBER(SEARCH("BorealForest",BX199)),ISNUMBER(SEARCH("ColdBog",BX199))),30,IF(ISNUMBER(OR(ISNUMBER(SEARCH("GlacialPlain",BX199)),SEARCH("Tundra",BX199))),25,IF(OR(ISNUMBER(SEARCH("SeaIce",BX199)),ISNUMBER(SEARCH("IceSheet",BX199)),ISNUMBER(SEARCH("TropicalSwamp",BX199))),10,35)))))))+_xlfn.XLOOKUP(B199,'Base stats'!B:B,'Base stats'!Q:Q)</f>
        <v>50</v>
      </c>
      <c r="N199" s="8" t="str">
        <f>IF(
_xlfn.XLOOKUP(
_xlfn.XLOOKUP(B199,'Base stats'!B:B,'Base stats'!E:E),
Groups!A:A,
Groups!L:L
)=1,
MIN(
MROUND(
IF(
_xlfn.XLOOKUP(B199,'Animals CE'!B:B,'Animals CE'!Z:Z)&lt;=1.5,
_xlfn.XLOOKUP(B199,'Animals CE'!B:B,'Animals CE'!Z:Z)/2+0.05,
0.8+
(_xlfn.XLOOKUP(B199,'Animals CE'!B:B,'Animals CE'!Z:Z)-1.5)
*0.02
),
0.05
),
200%
),
"No"
)</f>
        <v>No</v>
      </c>
      <c r="O199" s="8" t="str">
        <f>IF(
_xlfn.XLOOKUP(
_xlfn.XLOOKUP(B199,'Base stats'!B:B,'Base stats'!E:E),
Groups!A:A,
Groups!L:L
)=1,
MIN(
MROUND(
IF(
_xlfn.XLOOKUP(B199,'Animals CE'!B:B,'Animals CE'!AA:AA)&lt;=1.5,
_xlfn.XLOOKUP(B199,'Animals CE'!B:B,'Animals CE'!AA:AA)/2+0.05,
0.8+
(_xlfn.XLOOKUP(B199,'Animals CE'!B:B,'Animals CE'!AA:AA)-1.5)
*0.02
),
0.05
),
200%
),
"No"
)</f>
        <v>No</v>
      </c>
      <c r="P199" s="2">
        <f>_xlfn.XLOOKUP(B199,'Base stats'!B:B,'Base stats'!R:R)</f>
        <v>1</v>
      </c>
      <c r="Q199" s="13">
        <f>MROUND((LOG10(_xlfn.XLOOKUP(B199,'Base stats'!B:B,'Base stats'!AR:AR))*(AO199^0.5)+(_xlfn.XLOOKUP(B199,'Base stats'!B:B,'Base stats'!AR:AR)/1000)^(2/3)+_xlfn.XLOOKUP(B199,'Base stats'!B:B,'Base stats'!BA:BA)/2)+0.5,0.5)</f>
        <v>3.5</v>
      </c>
      <c r="R199" s="7">
        <f>IF(Q199="No","No",MAX(1,MROUND(_xlfn.XLOOKUP(B199,'Base stats'!B:B,'Base stats'!C:C)^0.165,0.05)))</f>
        <v>1.4500000000000002</v>
      </c>
      <c r="S199" s="13" t="str">
        <f>IF(_xlfn.XLOOKUP(_xlfn.XLOOKUP(B199,'Base stats'!B:B,'Base stats'!E:E),Groups!A:A,Groups!P:P)=0,"No",MROUND((LOG10(_xlfn.XLOOKUP(B199,'Base stats'!B:B,'Base stats'!AS:AS))*(AO199^0.5)+(_xlfn.XLOOKUP(B199,'Base stats'!B:B,'Base stats'!AS:AS)/1000)^(2/3)+_xlfn.XLOOKUP(B199,'Base stats'!B:B,'Base stats'!BA:BA))+_xlfn.XLOOKUP(B199,'Base stats'!B:B,'Base stats'!AY:AY)+0.5,0.5))</f>
        <v>No</v>
      </c>
      <c r="T199" s="7" t="str">
        <f>IF(S199="No","No",MAX(_xlfn.XLOOKUP(_xlfn.XLOOKUP(B199,'Base stats'!B:B,'Base stats'!E:E),Groups!A:A,Groups!Q:Q),MROUND(_xlfn.XLOOKUP(_xlfn.XLOOKUP(B199,'Base stats'!B:B,'Base stats'!E:E),Groups!A:A,Groups!Q:Q)*_xlfn.XLOOKUP(B199,'Base stats'!B:B,'Base stats'!C:C)^0.165,0.05)))</f>
        <v>No</v>
      </c>
      <c r="U199" s="7" t="str">
        <f>IF(S199="No","No",_xlfn.XLOOKUP(_xlfn.XLOOKUP(B199,'Base stats'!B:B,'Base stats'!E:E),Groups!A:A,Groups!R:R))</f>
        <v>No</v>
      </c>
      <c r="V199" s="7" t="str">
        <f>IF(S199="No","No",_xlfn.XLOOKUP(_xlfn.XLOOKUP(B199,'Base stats'!B:B,'Base stats'!E:E),Groups!A:A,Groups!S:S))</f>
        <v>No</v>
      </c>
      <c r="W199" s="7" t="str">
        <f>IF(S199="No","No",_xlfn.XLOOKUP(_xlfn.XLOOKUP(B199,'Base stats'!B:B,'Base stats'!E:E),Groups!A:A,Groups!T:T))</f>
        <v>No</v>
      </c>
      <c r="X199" s="13" t="str">
        <f>IF(_xlfn.XLOOKUP(B199,'Base stats'!B:B,'Base stats'!W:W)="No","No",MROUND((LOG10(_xlfn.XLOOKUP(B199,'Base stats'!B:B,'Base stats'!AU:AU))*(AO199^0.5)+(_xlfn.XLOOKUP(B199,'Base stats'!B:B,'Base stats'!AU:AU)/1000)^(2/3)+_xlfn.XLOOKUP(B199,'Base stats'!B:B,'Base stats'!AZ:AZ))+0.5+IF(_xlfn.XLOOKUP(_xlfn.XLOOKUP(B199,'Base stats'!B:B,'Base stats'!E:E),Groups!A:A,Groups!U:U)&lt;&gt;3,_xlfn.XLOOKUP(B199,'Base stats'!B:B,'Base stats'!BA:BA),0),0.5))</f>
        <v>No</v>
      </c>
      <c r="Y199" s="7" t="str">
        <f>IF(X199="No","No",MAX(_xlfn.XLOOKUP(_xlfn.XLOOKUP(B199,'Base stats'!B:B,'Base stats'!E:E),Groups!A:A,Groups!V:V),MROUND(_xlfn.XLOOKUP(_xlfn.XLOOKUP(B199,'Base stats'!B:B,'Base stats'!E:E),Groups!A:A,Groups!V:V)*_xlfn.XLOOKUP(B199,'Base stats'!B:B,'Base stats'!C:C)^0.165,0.05)))</f>
        <v>No</v>
      </c>
      <c r="Z199" s="7" t="str">
        <f>IF(X199="No","No",_xlfn.XLOOKUP(_xlfn.XLOOKUP(B199,'Base stats'!B:B,'Base stats'!E:E),Groups!A:A,Groups!W:W))</f>
        <v>No</v>
      </c>
      <c r="AA199" s="7" t="str">
        <f>IF(X199="No","No",_xlfn.XLOOKUP(_xlfn.XLOOKUP(B199,'Base stats'!B:B,'Base stats'!E:E),Groups!A:A,Groups!X:X))</f>
        <v>No</v>
      </c>
      <c r="AB199" s="7" t="str">
        <f>IF(X199="No","No",_xlfn.XLOOKUP(_xlfn.XLOOKUP(B199,'Base stats'!B:B,'Base stats'!E:E),Groups!A:A,Groups!Y:Y))</f>
        <v>No</v>
      </c>
      <c r="AC199" s="7" t="str">
        <f>_xlfn.XLOOKUP(Animals!B199,'Base stats'!B:B,'Base stats'!X:X)</f>
        <v>False</v>
      </c>
      <c r="AD199" s="13">
        <f>IF(_xlfn.XLOOKUP(B199,'Base stats'!B:B,'Base stats'!AT:AT)="No","No",MROUND((LOG10(_xlfn.XLOOKUP(B199,'Base stats'!B:B,'Base stats'!AT:AT))*(AO199^0.75)+(_xlfn.XLOOKUP(B199,'Base stats'!B:B,'Base stats'!AT:AT)/1000)^(2/3)+_xlfn.XLOOKUP(B199,'Base stats'!B:B,'Base stats'!AX:AX)+_xlfn.XLOOKUP(B199,'Base stats'!B:B,'Base stats'!BA:BA))+0.5,0.5))</f>
        <v>4.5</v>
      </c>
      <c r="AE199" s="7">
        <f>IF(AD199="No","No",MAX(_xlfn.XLOOKUP(_xlfn.XLOOKUP(B199,'Base stats'!B:B,'Base stats'!E:E),Groups!A:A,Groups!Z:Z),MROUND(_xlfn.XLOOKUP(_xlfn.XLOOKUP(B199,'Base stats'!B:B,'Base stats'!E:E),Groups!A:A,Groups!Z:Z)*_xlfn.XLOOKUP(B199,'Base stats'!B:B,'Base stats'!C:C)^0.165,0.05)))</f>
        <v>0.45</v>
      </c>
      <c r="AF199" s="7" t="str">
        <f>IF(AD199="No","No",_xlfn.XLOOKUP(_xlfn.XLOOKUP(B199,'Base stats'!B:B,'Base stats'!E:E),Groups!A:A,Groups!AA:AA))</f>
        <v>Mouth</v>
      </c>
      <c r="AG199" s="7" t="str">
        <f>IF(AD199="No","No",_xlfn.XLOOKUP(_xlfn.XLOOKUP(B199,'Base stats'!B:B,'Base stats'!E:E),Groups!A:A,Groups!AB:AB))</f>
        <v>fangs</v>
      </c>
      <c r="AH199" s="7" t="str">
        <f>IF(AD199="No","No",_xlfn.XLOOKUP(_xlfn.XLOOKUP(B199,'Base stats'!B:B,'Base stats'!E:E),Groups!A:A,Groups!AC:AC))</f>
        <v>ToxicBite</v>
      </c>
      <c r="AI199" s="13" t="str">
        <f>IF(_xlfn.XLOOKUP(_xlfn.XLOOKUP(B199,'Base stats'!B:B,'Base stats'!E:E),Groups!A:A,Groups!AD:AD)=0,"No",MROUND((LOG10(_xlfn.XLOOKUP(B199,'Base stats'!B:B,'Base stats'!AS:AS))*(AO199^0.75)+(_xlfn.XLOOKUP(B199,'Base stats'!B:B,'Base stats'!AS:AS)/1000)^(2/3)+_xlfn.XLOOKUP(B199,'Base stats'!B:B,'Base stats'!AY:AY)+_xlfn.XLOOKUP(B199,'Base stats'!B:B,'Base stats'!BA:BA))+0.5,0.5))</f>
        <v>No</v>
      </c>
      <c r="AJ199" s="7" t="str">
        <f>IF(AI199="No","No",MAX(_xlfn.XLOOKUP(_xlfn.XLOOKUP(B199,'Base stats'!B:B,'Base stats'!E:E),Groups!A:A,Groups!AE:AE),MROUND(_xlfn.XLOOKUP(_xlfn.XLOOKUP(B199,'Base stats'!B:B,'Base stats'!E:E),Groups!A:A,Groups!AE:AE)*IF(_xlfn.XLOOKUP(_xlfn.XLOOKUP(B199,'Base stats'!B:B,'Base stats'!E:E),Groups!A:A,Groups!AJ:AJ)="Photonozoa",0.6,1)*_xlfn.XLOOKUP(B199,'Base stats'!B:B,'Base stats'!C:C)^0.165,0.05)))</f>
        <v>No</v>
      </c>
      <c r="AK199" s="7" t="str">
        <f>IF(AI199="No","No",_xlfn.XLOOKUP(_xlfn.XLOOKUP(B199,'Base stats'!B:B,'Base stats'!E:E),Groups!A:A,Groups!AF:AF))</f>
        <v>No</v>
      </c>
      <c r="AL199" s="7" t="str">
        <f>IF(AI199="No","No",_xlfn.XLOOKUP(_xlfn.XLOOKUP(B199,'Base stats'!B:B,'Base stats'!E:E),Groups!A:A,Groups!AG:AG))</f>
        <v>No</v>
      </c>
      <c r="AM199" s="7" t="str">
        <f>IF(AI199="No","No",_xlfn.XLOOKUP(_xlfn.XLOOKUP(B199,'Base stats'!B:B,'Base stats'!E:E),Groups!A:A,Groups!AH:AH))</f>
        <v>No</v>
      </c>
      <c r="AN199" s="2">
        <f t="shared" si="21"/>
        <v>15</v>
      </c>
      <c r="AO199" s="2">
        <f>MROUND(IF(AND(_xlfn.XLOOKUP(B199,'Base stats'!B:B,'Base stats'!C:C)&gt;=0.5,_xlfn.XLOOKUP(B199,'Base stats'!B:B,'Base stats'!C:C)&lt;=0.8),
IF(_xlfn.XLOOKUP(B199,'Base stats'!B:B,'Base stats'!C:C)&lt;0.1,0.05,IF(_xlfn.XLOOKUP(B199,'Base stats'!B:B,'Base stats'!C:C)&lt;=70,(_xlfn.XLOOKUP(B199,'Base stats'!B:B,'Base stats'!C:C)/70)^0.426489913056526,IF(_xlfn.XLOOKUP(B199,'Base stats'!B:B,'Base stats'!C:C)&lt;=400,(_xlfn.XLOOKUP(B199,'Base stats'!B:B,'Base stats'!C:C)/70)^0.572811455315093,IF(_xlfn.XLOOKUP(B199,'Base stats'!B:B,'Base stats'!C:C)&lt;=2000,2.71391647193063*(_xlfn.XLOOKUP(B199,'Base stats'!B:B,'Base stats'!C:C)/400)^0.252459582904293,3.74314280240376*(_xlfn.XLOOKUP(B199,'Base stats'!B:B,'Base stats'!C:C)/2000)^0.357012633876913)))),
IF(_xlfn.XLOOKUP(B199,'Base stats'!B:B,'Base stats'!C:C)&lt;0.1,0.05,IF(_xlfn.XLOOKUP(B199,'Base stats'!B:B,'Base stats'!C:C)&lt;0.4,0.1,IF(_xlfn.XLOOKUP(B199,'Base stats'!B:B,'Base stats'!C:C)&lt;=70,(_xlfn.XLOOKUP(B199,'Base stats'!B:B,'Base stats'!C:C)/70)^0.445823913056526,IF(_xlfn.XLOOKUP(B199,'Base stats'!B:B,'Base stats'!C:C)&lt;=400,(_xlfn.XLOOKUP(B199,'Base stats'!B:B,'Base stats'!C:C)/70)^0.572811455315093,IF(_xlfn.XLOOKUP(B199,'Base stats'!B:B,'Base stats'!C:C)&lt;=2000,2.71391647193063*(_xlfn.XLOOKUP(B199,'Base stats'!B:B,'Base stats'!C:C)/400)^0.252459582904293,3.74314280240376*(_xlfn.XLOOKUP(B199,'Base stats'!B:B,'Base stats'!C:C)/2000)^0.357012633876913)))))),
IF(_xlfn.XLOOKUP(B199,'Base stats'!B:B,'Base stats'!C:C)&lt;0.1,0.05,IF(_xlfn.XLOOKUP(B199,'Base stats'!B:B,'Base stats'!C:C)&lt;=100,0.05,IF(_xlfn.XLOOKUP(B199,'Base stats'!B:B,'Base stats'!C:C)&lt;=250,0.1,IF(_xlfn.XLOOKUP(B199,'Base stats'!B:B,'Base stats'!C:C)&lt;=4000,0.25,0.5)))))</f>
        <v>0.4</v>
      </c>
      <c r="AP199" s="8">
        <f>MROUND(AO199*_xlfn.XLOOKUP(_xlfn.XLOOKUP(B199,'Base stats'!B:B,'Base stats'!E:E),Groups!A:A,Groups!AI:AI)*_xlfn.XLOOKUP(B199,'Base stats'!B:B,'Base stats'!Z:Z),0.05)</f>
        <v>0.4</v>
      </c>
      <c r="AQ199" s="8">
        <f>MAX(0.01,MROUND(IF(CC199="True",0.196*(AO199*100*1000)^0.889,IF(_xlfn.XLOOKUP(_xlfn.XLOOKUP(B199,'Base stats'!B:B,'Base stats'!E:E),Groups!A:A,Groups!AJ:AJ)="Bird",10.5*(AO199*100*1000)^0.681,4.82*(AO199*100*1000)^0.734))/(4.82*(1*100*1000)^0.734)/IF(AO199&lt;3.5,2,IF(AO199=3.5,1.5,1.25))*(1+0.132282374779864/(AO199^0.994035016789033+0.00905238001496948)),0.05))</f>
        <v>0.05</v>
      </c>
      <c r="AR199" s="9">
        <f>IFERROR(MROUND(_xlfn.XLOOKUP(B199,'Base stats'!B:B,'Base stats'!H:H)/IF(_xlfn.XLOOKUP(B199,'Base stats'!B:B,'Base stats'!I:I)&lt;&gt;1,(122.5/70),1.2),IF(_xlfn.XLOOKUP(B199,'Base stats'!B:B,'Base stats'!H:H)&gt;=30,5,IF(_xlfn.XLOOKUP(B199,'Base stats'!B:B,'Base stats'!H:H)&gt;=15,3,IF(_xlfn.XLOOKUP(B199,'Base stats'!B:B,'Base stats'!H:H)&gt;=10,2,1)))),"Immortal")</f>
        <v>12</v>
      </c>
      <c r="AS199" s="35" t="str">
        <f>IFERROR(IF(OR(_xlfn.XLOOKUP(B199,'Base stats'!B:B,'Base stats'!F:F)="Atypical reproduction",_xlfn.XLOOKUP(B199,'Base stats'!B:B,'Base stats'!F:F)="Lay eggs"),"Lay eggs",MIN(20,MAX(5.5,ROUND(((_xlfn.XLOOKUP(B199,'Base stats'!B:B,'Base stats'!F:F)-25)*(14.5/615) + 5.5)*2,0)/2))),"Unknown")</f>
        <v>Lay eggs</v>
      </c>
      <c r="AT199" s="8">
        <f>IF(_xlfn.XLOOKUP(B199,'Base stats'!B:B,'Base stats'!G:G)="Atypical reproduction","No",IFERROR(MAX(IF(_xlfn.XLOOKUP(B199,'Base stats'!B:B,'Base stats'!G:G)&lt;0.5,0.2,0.3),MROUND(_xlfn.XLOOKUP(B199,'Base stats'!B:B,'Base stats'!G:G)/(365/60),0.2)),"Unknown"))</f>
        <v>0.8</v>
      </c>
      <c r="AU199" s="8">
        <f t="shared" si="22"/>
        <v>0.4</v>
      </c>
      <c r="AV199" s="8" t="str">
        <f>IFERROR(IFERROR(MROUND(_xlfn.XLOOKUP(B199,'Base stats'!B:B,'Base stats'!J:J),0.1),"Lay eggs"),"Cannot breed")</f>
        <v>Lay eggs</v>
      </c>
      <c r="AW199" s="2" t="str">
        <f t="shared" si="23"/>
        <v>false</v>
      </c>
      <c r="AX199" s="2" t="str">
        <f>IF(_xlfn.XLOOKUP(_xlfn.XLOOKUP(Animals!B199,'Base stats'!B:B,'Base stats'!E:E),Groups!A:A,Groups!AK:AK)=1,"true","false")</f>
        <v>false</v>
      </c>
      <c r="AY199" s="25" t="str">
        <f>IF(_xlfn.XLOOKUP(B199,'Base stats'!B:B,'Base stats'!Y:Y)="Liquor","Liquor, CarnivoreAnimalStrict",IF(AND(_xlfn.XLOOKUP(B199,'Base stats'!B:B,'Base stats'!Y:Y)="Carnivore",_xlfn.XLOOKUP(_xlfn.XLOOKUP(B199,'Base stats'!B:B,'Base stats'!E:E),Groups!A:A,Groups!AJ:AJ)="Photonozoa"),"CarnivoreAnimalStrict, OvivoreAnimal",IF(_xlfn.XLOOKUP(B199,'Base stats'!B:B,'Base stats'!Y:Y)="Carnivore","CarnivoreAnimal, OvivoreAnimal",IF(_xlfn.XLOOKUP(B199,'Base stats'!B:B,'Base stats'!Y:Y)="Dendrovore","VegetarianRoughAnimal, DendrovoreAnimal",IF(_xlfn.XLOOKUP(B199,'Base stats'!B:B,'Base stats'!Y:Y)="Herbivore","VegetarianRoughAnimal",IF(_xlfn.XLOOKUP(B199,'Base stats'!B:B,'Base stats'!Y:Y)="OmnivoreRough","OmnivoreRoughAnimal, OvivoreAnimal","OmnivoreAnimal, OvivoreAnimal"))))))</f>
        <v>CarnivoreAnimal, OvivoreAnimal</v>
      </c>
      <c r="AZ199" s="2" t="str">
        <f>IF(_xlfn.XLOOKUP(_xlfn.XLOOKUP(B199,'Base stats'!B:B,'Base stats'!E:E),Groups!A:A,Groups!D:D)=1,MROUND((1-J199)*5+1,2)*IF(J199&lt;=0.4,2,1),"No")</f>
        <v>No</v>
      </c>
      <c r="BA199" s="2" t="str">
        <f>IF(AND(_xlfn.XLOOKUP(B199,'Base stats'!B:B,'Base stats'!AH:AH)="&lt;li&gt;Seal&lt;/li&gt;",G199="Odyssey"),"&lt;li&gt;AEXP_Seal&lt;/li&gt;",_xlfn.XLOOKUP(B199,'Base stats'!B:B,'Base stats'!AH:AH))</f>
        <v>No</v>
      </c>
      <c r="BB199" s="2" t="str">
        <f>_xlfn.XLOOKUP(B199,'Base stats'!B:B,'Base stats'!AG:AG)</f>
        <v>VAEWaste_ToxicLeather</v>
      </c>
      <c r="BC199" s="23" t="str">
        <f>_xlfn.XLOOKUP(_xlfn.XLOOKUP(B199,'Base stats'!B:B,'Base stats'!E:E),Groups!A:A,Groups!AL:AL)</f>
        <v>Hydra</v>
      </c>
      <c r="BD199" s="23">
        <f>MIN(1,MROUND(IF(AND(AO199&lt;0.5,_xlfn.XLOOKUP(B199,'Base stats'!B:B,'Base stats'!AA:AA)=0),0,IF(OR(_xlfn.XLOOKUP(Animals!B199,'Base stats'!B:B,'Base stats'!O:O)=2,_xlfn.XLOOKUP(_xlfn.XLOOKUP(B199,'Base stats'!B:B,'Base stats'!E:E),Groups!A:A,Groups!AN:AN)=0),0,_xlfn.XLOOKUP(_xlfn.XLOOKUP(B199,'Base stats'!B:B,'Base stats'!E:E),Groups!A:A,Groups!AN:AN)/IF(_xlfn.XLOOKUP(Animals!B199,'Base stats'!B:B,'Base stats'!O:O)=1,2,1)))+_xlfn.XLOOKUP(B199,'Base stats'!B:B,'Base stats'!AC:AC),0.005))</f>
        <v>0.1</v>
      </c>
      <c r="BE199" s="23">
        <f>MIN(1,MROUND(IF(AND(AO199&lt;0.5,_xlfn.XLOOKUP(B199,'Base stats'!B:B,'Base stats'!AA:AA)=0),0,IF(_xlfn.XLOOKUP(_xlfn.XLOOKUP(B199,'Base stats'!B:B,'Base stats'!E:E),Groups!A:A,Groups!AO:AO)=0,0,_xlfn.XLOOKUP(_xlfn.XLOOKUP(B199,'Base stats'!B:B,'Base stats'!E:E),Groups!A:A,Groups!AO:AO)/IF(_xlfn.XLOOKUP(Animals!B199,'Base stats'!B:B,'Base stats'!O:O)=2,3,1)))+_xlfn.XLOOKUP(B199,'Base stats'!B:B,'Base stats'!AD:AD),0.005))</f>
        <v>0.3</v>
      </c>
      <c r="BF199" s="2" t="str">
        <f>IF(J199&gt;0.3,"No",_xlfn.XLOOKUP(_xlfn.XLOOKUP(Animals!B199,'Base stats'!B:B,'Base stats'!E:E),Groups!A:A,Groups!AP:AP))</f>
        <v>No</v>
      </c>
      <c r="BG199" s="2" t="str">
        <f>IF(AND(J199&lt;=0.65,_xlfn.XLOOKUP(_xlfn.XLOOKUP(Animals!B199,'Base stats'!B:B,'Base stats'!E:E),Groups!A:A,Groups!AP:AP)&lt;&gt;"No",_xlfn.XLOOKUP(_xlfn.XLOOKUP(B199,'Base stats'!B:B,'Base stats'!E:E),Groups!A:A,Groups!D:D)=0),MROUND((80/3)*IF(_xlfn.XLOOKUP(B199,'Base stats'!B:B,'Base stats'!O:O)=2,0.2,AO199) + 24*(1-IF(BF199="No",0,BF199)) + 16/3, 12),"No")</f>
        <v>No</v>
      </c>
      <c r="BH199" s="2">
        <f>IF(AND(_xlfn.XLOOKUP(_xlfn.XLOOKUP(B199,'Base stats'!B:B,'Base stats'!E:E),Groups!A:A,Groups!AQ:AQ)=1,AO199&lt;=0.35),8,12)</f>
        <v>12</v>
      </c>
      <c r="BI199" s="2" t="str">
        <f>IF(_xlfn.XLOOKUP(_xlfn.XLOOKUP(B199,'Base stats'!B:B,'Base stats'!E:E),Groups!A:A,Groups!D:D)=0,_xlfn.XLOOKUP(_xlfn.XLOOKUP(B199,'Base stats'!B:B,'Base stats'!E:E),Groups!A:A,Groups!AR:AR),"None")</f>
        <v>None</v>
      </c>
      <c r="BJ199" s="2" t="str">
        <f>IF(AND(_xlfn.XLOOKUP(_xlfn.XLOOKUP(B199,'Base stats'!B:B,'Base stats'!E:E),Groups!A:A,Groups!AS:AS)=1,OR(_xlfn.XLOOKUP(B199,'Base stats'!B:B,'Base stats'!Y:Y)="Carnivore",_xlfn.XLOOKUP(B199,'Base stats'!B:B,'Base stats'!Y:Y)="Omnivore")),"true","false")</f>
        <v>true</v>
      </c>
      <c r="BK199" s="2">
        <f>IF(BJ199="true",MROUND(IF(AND(AO199&gt;0.5,OR(_xlfn.XLOOKUP(_xlfn.XLOOKUP(B199,'Base stats'!B:B,'Base stats'!E:E),Groups!A:A,Groups!AJ:AJ)="Photonozoa",_xlfn.XLOOKUP(_xlfn.XLOOKUP(B199,'Base stats'!B:B,'Base stats'!E:E),Groups!A:A,Groups!AJ:AJ)="Mammal")),Animals!AO199*1.75*IF(AW199="true",1.5,1),IF(AO199&lt;0.5,Animals!AO199*0.5,Animals!AO199)),IF(AO199&gt;2,0.5,IF(AO199&gt;0.5,0.25,0.1))),"No")</f>
        <v>0.2</v>
      </c>
      <c r="BL199" s="2">
        <f t="shared" si="24"/>
        <v>0</v>
      </c>
      <c r="BM199" s="25" t="str">
        <f>IF(_xlfn.XLOOKUP(B199,'Base stats'!B:B,'Base stats'!AN:AN)="Standard","No",MROUND((_xlfn.XLOOKUP(B199,'Base stats'!B:B,'Base stats'!AN:AN)/3.6)/I199,0.1))</f>
        <v>No</v>
      </c>
      <c r="BN199" s="25" t="str">
        <f t="shared" si="25"/>
        <v>false</v>
      </c>
      <c r="BO199" s="25" t="str">
        <f>IF(AND(OR(_xlfn.XLOOKUP(B199,'Base stats'!B:B,'Base stats'!Y:Y)="Carnivore",_xlfn.XLOOKUP(B199,'Base stats'!B:B,'Base stats'!Y:Y)="Omnivore",_xlfn.XLOOKUP(B199,'Base stats'!B:B,'Base stats'!Y:Y)="OmnivoreRough"),_xlfn.XLOOKUP(_xlfn.XLOOKUP(B199,'Base stats'!B:B,'Base stats'!E:E),Groups!A:A,Groups!AT:AT)=1),"true","false")</f>
        <v>false</v>
      </c>
      <c r="BP199" s="25" t="str" cm="1">
        <f t="array" ref="BP199">IF(
  _xlfn.TEXTJOIN(", ",TRUE,
    IF(AND(BJ199="true",AO199&gt;0.5,BI199&lt;&gt;"None"),"AttackTarget",""),
    IF(AND(_xlfn.XLOOKUP(_xlfn.XLOOKUP(B199,'Base stats'!B:B,'Base stats'!E:E),Groups!A:A,Groups!AJ:AJ="Mammal"),OR(_xlfn.XLOOKUP(B199,'Base stats'!B:B,'Base stats'!Y:Y)="Omnivore",_xlfn.XLOOKUP(B199,'Base stats'!B:B,'Base stats'!Y:Y)="OmnivoreRough")),"Forage",""),
    IF(BG199&lt;=36,"Comfort",""),
    IF(_xlfn.XLOOKUP(B199,'Base stats'!B:B,'Base stats'!AE:AE)&lt;&gt;"No",_xlfn.XLOOKUP(B199,'Base stats'!B:B,'Base stats'!AE:AE),"")
  ) = "",
  "No",
  _xlfn.TEXTJOIN(", ",TRUE,
    IF(AND(BJ199="true",AO199&gt;0.5,BI199&lt;&gt;"None"),"AttackTarget",""),
    IF(AND(_xlfn.XLOOKUP(_xlfn.XLOOKUP(B199,'Base stats'!B:B,'Base stats'!E:E),Groups!A:A,Groups!AJ:AJ="Mammal"),OR(_xlfn.XLOOKUP(B199,'Base stats'!B:B,'Base stats'!Y:Y)="Omnivore",_xlfn.XLOOKUP(B199,'Base stats'!B:B,'Base stats'!Y:Y)="OmnivoreRough")),"Forage",""),
    IF(BG199&lt;=36,"Comfort",""),
    IF(_xlfn.XLOOKUP(B199,'Base stats'!B:B,'Base stats'!AE:AE)&lt;&gt;"No",_xlfn.XLOOKUP(B199,'Base stats'!B:B,'Base stats'!AE:AE),"")
  )
)</f>
        <v>No</v>
      </c>
      <c r="BQ199" s="25" t="str">
        <f>IF(
   AND(
      'Base stats'!AN199="Standard",_xlfn.XLOOKUP(_xlfn.XLOOKUP(B199,'Base stats'!B:B,'Base stats'!E:E),Groups!A:A,Groups!AU:AU)=0,
      OR(
      BO199="True"
      )
   ),
   10,
   IF(
       OR(BM199&lt;&gt;"No",_xlfn.XLOOKUP(_xlfn.XLOOKUP(B199,'Base stats'!B:B,'Base stats'!E:E),Groups!A:A,Groups!AU:AU)=1),
      1,
      "No"
   )
)</f>
        <v>No</v>
      </c>
      <c r="BR199" s="9">
        <f>MROUND((1 + ((0.2*IF(OR(Q199="No",R199="No",R199=0),0,Q199/R199)
+IF(OR(V199="No",S199="No",T199="No"),0,S199/T199*(LEN(V199)-LEN(SUBSTITUTE(V199,",",""))+1))
+IF(OR(X199="No",Y199="No"),0,X199/Y199)
+IF(OR(AD199="No",AE199="No"),0,AD199/AE199)
+IF(OR(AL199="No",AI199="No",AJ199="No"),0,AI199/AJ199*(LEN(AL199)-LEN(SUBSTITUTE(AL199,",",""))+1))
)/(0.2*IF(OR(Q199="No",R199="No",R199=0),0,1)
+IF(OR(V199="No",S199="No",T199="No"),0,LEN(V199)-LEN(SUBSTITUTE(V199,",",""))+1)
+IF(OR(X199="No",Y199="No"),0,1)
+IF(OR(AD199="No",AE199="No"),0,1)
+IF(OR(AL199="No",AI199="No",AJ199="No"),0,LEN(AL199)-LEN(SUBSTITUTE(AL199,",",""))+1))*62%)* 2)*(1 + (AP199 / (IF(_xlfn.XLOOKUP(_xlfn.XLOOKUP(B199,'Base stats'!B:B,'Base stats'!E:E),Groups!A:A,Groups!AJ:AJ)="Photonozoa",0.3,1)) + _xlfn.XLOOKUP(B199,'Base stats'!B:B,'Base stats'!AV:AV) * 1.8) * 2) * 2.5 + 10 + I199 * 2,5)+IF(_xlfn.XLOOKUP(B199,'Base stats'!B:B,'Base stats'!AK:AK)=1,50,0)</f>
        <v>70</v>
      </c>
      <c r="BS199" s="8">
        <f t="shared" si="26"/>
        <v>0.1</v>
      </c>
      <c r="BT199" s="8" t="str">
        <f>_xlfn.XLOOKUP(B199,'Base stats'!B:B,'Base stats'!AF:AF)</f>
        <v>No</v>
      </c>
      <c r="BU199" s="2" t="str">
        <f>IF(AND(J199&lt;=0.95,OR(_xlfn.XLOOKUP(B199,'Base stats'!B:B,'Base stats'!AK:AK)=1,_xlfn.XLOOKUP(B199,'Base stats'!B:B,'Base stats'!Y:Y)="Carnivore",_xlfn.XLOOKUP(B199,'Base stats'!B:B,'Base stats'!Y:Y)="Omnivore",BE199&gt;0.1)),"true","false")</f>
        <v>true</v>
      </c>
      <c r="BV199" s="2" t="str">
        <f>IF(_xlfn.XLOOKUP(B199,'Base stats'!B:B,'Base stats'!AI:AI)=1,"true","false")</f>
        <v>false</v>
      </c>
      <c r="BW199" s="25" t="str">
        <f>IF(E199="BaseInsect","AnimalInsect",
IF(J199&gt;0.95,"AnimalExotic",
_xlfn.TEXTJOIN(", ",TRUE,
IF(OR(_xlfn.XLOOKUP(B199,'Base stats'!B:B,'Base stats'!AM:AM)=1,AND(_xlfn.XLOOKUP(B199,'Base stats'!B:B,'Base stats'!O:O)=0,_xlfn.XLOOKUP(_xlfn.XLOOKUP(B199,'Base stats'!B:B,'Base stats'!E:E),Groups!A:A,Groups!B:B)&gt;0)),"AnimalUncommon","AnimalCommon"),
IF(AND(_xlfn.XLOOKUP(B199,'Base stats'!B:B,'Base stats'!O:O)=2,_xlfn.XLOOKUP(_xlfn.XLOOKUP(B199,'Base stats'!B:B,'Base stats'!E:E),Groups!A:A,Groups!D:D)=0),"AnimalPet",IF(AND(_xlfn.XLOOKUP(B199,'Base stats'!B:B,'Base stats'!O:O)&lt;&gt;0,_xlfn.XLOOKUP(_xlfn.XLOOKUP(B199,'Base stats'!B:B,'Base stats'!E:E),Groups!A:A,Groups!D:D)&lt;&gt;0),"AnimalFarm","")),
IF(OR(_xlfn.XLOOKUP(B199,'Base stats'!B:B,'Base stats'!AK:AK)=1,AND(BI199&lt;&gt;"None",BR199&gt;=60),ISNUMBER(SEARCH("Attack target",BP199))),"AnimalFighter","")
)))</f>
        <v>AnimalUncommon</v>
      </c>
      <c r="BX199" s="25" t="str">
        <f>IF(G199="None",TRIM(
SUBSTITUTE(
IF(COUNTIF(Biomes!B$2:B$259,"="&amp;$C199)&gt;0,Biomes!B$1&amp;", ","")&amp;
IF(COUNTIF(Biomes!C$2:C$259,"="&amp;$C199)&gt;0,Biomes!C$1&amp;", ","")&amp;
IF(COUNTIF(Biomes!D$2:D$259,"="&amp;$C199)&gt;0,Biomes!D$1&amp;", ","")&amp;
IF(COUNTIF(Biomes!F$2:F$259,"="&amp;$C199)&gt;0,Biomes!F$1&amp;", ","")&amp;
IF(COUNTIF(Biomes!G$2:G$259,"="&amp;$C199)&gt;0,Biomes!G$1&amp;", ","")&amp;
IF(COUNTIF(Biomes!H$2:H$259,"="&amp;$C199)&gt;0,Biomes!H$1&amp;", ","")&amp;
IF(COUNTIF(Biomes!I$2:I$259,"="&amp;$C199)&gt;0,Biomes!I$1&amp;", ","")&amp;
IF(COUNTIF(Biomes!J$2:J$259,"="&amp;$C199)&gt;0,Biomes!J$1&amp;", ","")&amp;
IF(COUNTIF(Biomes!M$2:M$259,"="&amp;$C199)&gt;0,Biomes!M$1&amp;", ","")&amp;
IF(COUNTIF(Biomes!N$2:N$259,"="&amp;$C199)&gt;0,Biomes!N$1&amp;", ","")&amp;
IF(COUNTIF(Biomes!O$2:O$259,"="&amp;$C199)&gt;0,Biomes!O$1&amp;", ","")&amp;
IF(COUNTIF(Biomes!P$2:P$259,"="&amp;$C199)&gt;0,Biomes!P$1&amp;", ","")&amp;
IF(COUNTIF(Biomes!K$2:K$259,"="&amp;$C199)&gt;0,Biomes!K$1&amp;", ","")&amp;
IF(COUNTIF(Biomes!Q$3:Q$259,"="&amp;$C199)&gt;0,Biomes!Q$1&amp;", ","")&amp;
IF(COUNTIF(Biomes!L$2:L$259,"="&amp;$C199)&gt;0,Biomes!L$1&amp;", ","")&amp;
IF(COUNTIF(Biomes!E$2:E$259,"="&amp;$C199)&gt;0,Biomes!E$1&amp;", ","")&amp;IF(COUNTIF(Biomes!S$2:S$259,"="&amp;$C199)&gt;0,Biomes!S$1&amp;", ","")&amp;
IF(COUNTIF(Biomes!R$2:R$259,"="&amp;$C199)&gt;0,Biomes!R$1&amp;", ",""),", ","")
),_xlfn.XLOOKUP(B199,B:B,BX:BX))</f>
        <v>AridShrubland Desert ExtremeDesert TropicalRainforest TropicalSwamp Grasslands Glowforest LavaField Scarlands</v>
      </c>
      <c r="BY199" s="25" t="str">
        <f>IF(_xlfn.XLOOKUP(B199,'Base stats'!B:B,'Base stats'!AJ:AJ)=1,"true","false")</f>
        <v>false</v>
      </c>
      <c r="BZ199" s="25" t="str">
        <f>IF(_xlfn.XLOOKUP(B199,'Base stats'!B:B,'Base stats'!N:N)=1,"No",MAX(0.001,MIN(MROUND(IF(AND(BJ199="True",CC199="False"),POWER(10,3.47*LOG10(_xlfn.XLOOKUP(B199,'Base stats'!B:B,'Base stats'!C:C)*1000)^-0.96),POWER(10,4.15*LOG10(_xlfn.XLOOKUP(B199,'Base stats'!B:B,'Base stats'!C:C)*1000)^-0.73))*IF(_xlfn.XLOOKUP(B199,'Base stats'!B:B,'Base stats'!AK:AK)=1,0.5,1)*IF(_xlfn.XLOOKUP(B199,'Base stats'!B:B,'Base stats'!AM:AM)=1,0.1,1)/100,IF(_xlfn.XLOOKUP(B199,'Base stats'!B:B,'Base stats'!AM:AM)=1,0.001,0.025)),0.5)))</f>
        <v>No</v>
      </c>
      <c r="CA199" s="25">
        <f>IF(P199="Standard","No",MAX(0.001,MIN(MROUND(IF(AND(BJ199="True",CC199="False"),POWER(10,3.47*LOG10(_xlfn.XLOOKUP(B199,'Base stats'!B:B,'Base stats'!C:C)*1000)^-0.96),POWER(10,4.15*LOG10(_xlfn.XLOOKUP(B199,'Base stats'!B:B,'Base stats'!C:C)*1000)^-0.73))*IF(_xlfn.XLOOKUP(B199,'Base stats'!B:B,'Base stats'!AM:AM)=1,0.1,1)*_xlfn.XLOOKUP(B199,'Base stats'!B:B,'Base stats'!R:R)/100,IF(_xlfn.XLOOKUP(B199,'Base stats'!B:B,'Base stats'!AM:AM)=1,0.001,0.025)),0.5)))</f>
        <v>0.32500000000000001</v>
      </c>
      <c r="CB199" s="25" t="str">
        <f>IF(_xlfn.XLOOKUP(_xlfn.XLOOKUP(B199,'Base stats'!B:B,'Base stats'!E:E),Groups!A:A,Groups!AJ:AJ)="Mammal","True","False")</f>
        <v>False</v>
      </c>
      <c r="CC199" s="25" t="str">
        <f>IF(OR(_xlfn.XLOOKUP(_xlfn.XLOOKUP(B199,'Base stats'!B:B,'Base stats'!E:E),Groups!A:A,Groups!AJ:AJ)="Reptile",_xlfn.XLOOKUP(_xlfn.XLOOKUP(B199,'Base stats'!B:B,'Base stats'!E:E),Groups!A:A,Groups!AJ:AJ)="Amphibian",_xlfn.XLOOKUP(_xlfn.XLOOKUP(B199,'Base stats'!B:B,'Base stats'!E:E),Groups!A:A,Groups!AJ:AJ)="Invertebrate"),"True","False")</f>
        <v>True</v>
      </c>
      <c r="CD199" s="25" t="str">
        <f t="shared" si="27"/>
        <v>False</v>
      </c>
      <c r="CE199" s="25" t="str">
        <f>IF(_xlfn.XLOOKUP(_xlfn.XLOOKUP(B199,'Base stats'!B:B,'Base stats'!E:E),Groups!A:A,Groups!AX:AX),"True","False")</f>
        <v>False</v>
      </c>
      <c r="CF199" s="25" t="str">
        <f>IF(_xlfn.XLOOKUP(_xlfn.XLOOKUP(B199,'Base stats'!B:B,'Base stats'!E:E),Groups!A:A,Groups!AY:AY),"True","False")</f>
        <v>False</v>
      </c>
      <c r="CG199" s="25" t="str">
        <f>IF(_xlfn.XLOOKUP(_xlfn.XLOOKUP(B199,'Base stats'!B:B,'Base stats'!E:E),Groups!A:A,Groups!AW:AW),"True","False")</f>
        <v>False</v>
      </c>
      <c r="CH199" s="25" t="str">
        <f>IF(
OR(
_xlfn.XLOOKUP(_xlfn.XLOOKUP(B199,'Base stats'!B:B,'Base stats'!E:E),Groups!A:A,Groups!AZ:AZ)=0,
AND(
_xlfn.XLOOKUP(B199,'Base stats'!B:B,'Base stats'!Y:Y)&lt;&gt;"Carnivore",
_xlfn.XLOOKUP(B199,'Base stats'!B:B,'Base stats'!Y:Y)&lt;&gt;"Omnivore",
_xlfn.XLOOKUP(B199,'Base stats'!B:B,'Base stats'!Y:Y)&lt;&gt;"OmnivoreRough"
)
),
"No",
IF(
_xlfn.XLOOKUP(_xlfn.XLOOKUP(B199,'Base stats'!B:B,'Base stats'!E:E),Groups!A:A,Groups!AZ:AZ)=1,
"Flesh",
IF(
_xlfn.XLOOKUP(_xlfn.XLOOKUP(B199,'Base stats'!B:B,'Base stats'!E:E),Groups!A:A,Groups!AZ:AZ)=2,
"Bone",
""
)
)
)</f>
        <v>No</v>
      </c>
      <c r="CI199" s="25" t="str">
        <f>IF(_xlfn.XLOOKUP(_xlfn.XLOOKUP(B199,'Base stats'!B:B,'Base stats'!E:E),Groups!A:A,Groups!BB:BB),"True","False")</f>
        <v>False</v>
      </c>
      <c r="CJ199" s="25" t="str">
        <f>IF(_xlfn.XLOOKUP(_xlfn.XLOOKUP(B199,'Base stats'!B:B,'Base stats'!E:E),Groups!A:A,Groups!BA:BA),"True","False")</f>
        <v>True</v>
      </c>
    </row>
    <row r="200" spans="1:88" ht="16.5" thickTop="1" thickBot="1" x14ac:dyDescent="0.3">
      <c r="A200" s="26" t="str">
        <f>_xlfn.XLOOKUP(B200,'Base stats'!B:B,'Base stats'!A:A)</f>
        <v>Megatardi</v>
      </c>
      <c r="B200" s="6" t="s">
        <v>1286</v>
      </c>
      <c r="C200" s="28" t="s">
        <v>1284</v>
      </c>
      <c r="D200" s="28" t="s">
        <v>1281</v>
      </c>
      <c r="E200" s="28" t="s">
        <v>1283</v>
      </c>
      <c r="F200" s="28" t="s">
        <v>673</v>
      </c>
      <c r="G200" s="28" t="s">
        <v>673</v>
      </c>
      <c r="H200" s="2">
        <f>MROUND((
  (IF(AND(_xlfn.XLOOKUP(B200,'Base stats'!B:B,'Base stats'!AL:AL)=0,BI200="None",_xlfn.XLOOKUP(_xlfn.XLOOKUP(B200,'Base stats'!B:B,'Base stats'!E:E),Groups!A:A,Groups!B:B)=0), (18 + BR200 * 2.7) * 0.5,
    IF(AND(_xlfn.XLOOKUP(B200,'Base stats'!B:B,'Base stats'!AL:AL)=0,OR(AO200&lt;0.55,AND(BI200="Intermediate",_xlfn.XLOOKUP(_xlfn.XLOOKUP(B200,'Base stats'!B:B,'Base stats'!E:E),Groups!A:A,Groups!B:B)&lt;2))), (18 + BR200 * 2.7),
      IF(OR(BI200="Advanced",_xlfn.XLOOKUP(B200,'Base stats'!B:B,'Base stats'!AL:AL)=1,_xlfn.XLOOKUP(_xlfn.XLOOKUP(B200,'Base stats'!B:B,'Base stats'!E:E),Groups!A:A,Groups!B:B)=2), (18 + BR200 * 2.7) + 250, (18 + BR200 * 2.7))
    )
  ))
  + AO200 * 80
  + IF(COUNTIF(EggMilk!K$2:K$998, A200) &gt; 0, 125, 0)
  + IF(COUNTIF(EggMilk!P$2:P$998, A200) &gt; 0, 90, 0)
  + IF(COUNTIF(EggMilk!A$2:A$998, A200) &gt; 0, 90, 0)
)
* (0.8 + 0.4 * J200)
* 0.75,25)</f>
        <v>925</v>
      </c>
      <c r="I200" s="2">
        <f>MROUND(ROUNDDOWN(_xlfn.XLOOKUP(B200,'Base stats'!B:B,'Base stats'!L:L)/3.6/(23.3/11),1),0.5)</f>
        <v>1.5</v>
      </c>
      <c r="J200" s="2">
        <f>IF(OR(_xlfn.XLOOKUP(B200,'Base stats'!B:B,'Base stats'!AB:AB)=1,_xlfn.XLOOKUP(_xlfn.XLOOKUP(B200,'Base stats'!B:B,'Base stats'!E:E),Groups!A:A,Groups!C:C)="Untamable"),1,IF(_xlfn.XLOOKUP(B200,'Base stats'!B:B,'Base stats'!AL:AL)=1,0.99,MIN(MROUND((1-0.6282*EXP(-0.459*AO200))*_xlfn.XLOOKUP(_xlfn.XLOOKUP(B200,'Base stats'!B:B,'Base stats'!E:E),Groups!A:A,Groups!C:C)*IF(_xlfn.XLOOKUP(B200,'Base stats'!B:B,'Base stats'!O:O)=1,0.5,IF(_xlfn.XLOOKUP(B200,'Base stats'!B:B,'Base stats'!O:O)=2,0,1)),0.05),IF(AO200&gt;3.5,0.985,0.95))))</f>
        <v>0.75</v>
      </c>
      <c r="K200" s="2">
        <f>ROUNDUP(AO200*_xlfn.XLOOKUP(_xlfn.XLOOKUP(B200,'Base stats'!B:B,'Base stats'!E:E),Groups!A:A,Groups!E:E),0)</f>
        <v>11</v>
      </c>
      <c r="L200" s="2">
        <f>IF(OR(_xlfn.XLOOKUP(_xlfn.XLOOKUP(B200,'Base stats'!B:B,'Base stats'!E:E),Groups!A:A,Groups!F:F)=2,ISNUMBER(SEARCH("SeaIce",BX200)),ISNUMBER(SEARCH("IceSheet",BX200))),-50,IF(OR(ISNUMBER(SEARCH("GlacialPlain",BX200)),ISNUMBER(SEARCH("Tundra",BX200))),-40,IF(OR(ISNUMBER(SEARCH("Alpine",BX200)),ISNUMBER(SEARCH("BorealForest",BX200)),ISNUMBER(SEARCH("ColdBog",BX200))),-30,IF(OR(ISNUMBER(SEARCH("TemperateForest",BX200)),ISNUMBER(SEARCH("TemperateSwamp",BX200))),-20,IF(_xlfn.XLOOKUP(_xlfn.XLOOKUP(B200,'Base stats'!B:B,'Base stats'!E:E),Groups!A:A,Groups!F:F)=1,-15,IF(OR(ISNUMBER(SEARCH("Desert",BX200)),ISNUMBER(SEARCH("ExtremeDesert",BX200))),-10,IF(OR(ISNUMBER(SEARCH("Grasslands",BX200)),ISNUMBER(SEARCH("TropicalRainforest",BX200)),ISNUMBER(SEARCH("TropicalSwamp",BX200))),10,0)))))))-IF(CC200="False",MIN(IFERROR(MAX(MROUND(LOG10(_xlfn.XLOOKUP(B200,'Base stats'!B:B,'Base stats'!C:C)^(2/3))*10,5),5),5),30))-_xlfn.XLOOKUP(B200,'Base stats'!B:B,'Base stats'!P:P)+IF(CC200="True",5,0)</f>
        <v>-75</v>
      </c>
      <c r="M200" s="2">
        <f>IF(OR(_xlfn.XLOOKUP(_xlfn.XLOOKUP(B200,'Base stats'!B:B,'Base stats'!E:E),Groups!A:A,Groups!G:G)=2,ISNUMBER(SEARCH("Desert",BX200)),ISNUMBER(SEARCH("ExtremeDesert",BX200)),ISNUMBER(SEARCH("LavaField",BX200))),50,IF(ISNUMBER(SEARCH("Grasslands",BX200)),45,IF(OR(_xlfn.XLOOKUP(_xlfn.XLOOKUP(B200,'Base stats'!B:B,'Base stats'!E:E),Groups!A:A,Groups!G:G)=1,ISNUMBER(SEARCH("TropicalRainforest",BX200)),ISNUMBER(SEARCH("TropicalSwamp",BX200))),40,IF(OR(ISNUMBER(SEARCH("TemperateForest",BX200)),ISNUMBER(SEARCH("TemperateSwamp",BX200))),35,IF(OR(ISNUMBER(SEARCH("Alpine",BX200)),ISNUMBER(SEARCH("BorealForest",BX200)),ISNUMBER(SEARCH("ColdBog",BX200))),30,IF(ISNUMBER(OR(ISNUMBER(SEARCH("GlacialPlain",BX200)),SEARCH("Tundra",BX200))),25,IF(OR(ISNUMBER(SEARCH("SeaIce",BX200)),ISNUMBER(SEARCH("IceSheet",BX200)),ISNUMBER(SEARCH("TropicalSwamp",BX200))),10,35)))))))+_xlfn.XLOOKUP(B200,'Base stats'!B:B,'Base stats'!Q:Q)</f>
        <v>80</v>
      </c>
      <c r="N200" s="8">
        <f>IF(
_xlfn.XLOOKUP(
_xlfn.XLOOKUP(B200,'Base stats'!B:B,'Base stats'!E:E),
Groups!A:A,
Groups!L:L
)=1,
MIN(
MROUND(
IF(
_xlfn.XLOOKUP(B200,'Animals CE'!B:B,'Animals CE'!Z:Z)&lt;=1.5,
_xlfn.XLOOKUP(B200,'Animals CE'!B:B,'Animals CE'!Z:Z)/2+0.05,
0.8+
(_xlfn.XLOOKUP(B200,'Animals CE'!B:B,'Animals CE'!Z:Z)-1.5)
*0.02
),
0.05
),
200%
),
"No"
)</f>
        <v>0.8</v>
      </c>
      <c r="O200" s="8">
        <f>IF(
_xlfn.XLOOKUP(
_xlfn.XLOOKUP(B200,'Base stats'!B:B,'Base stats'!E:E),
Groups!A:A,
Groups!L:L
)=1,
MIN(
MROUND(
IF(
_xlfn.XLOOKUP(B200,'Animals CE'!B:B,'Animals CE'!AA:AA)&lt;=1.5,
_xlfn.XLOOKUP(B200,'Animals CE'!B:B,'Animals CE'!AA:AA)/2+0.05,
0.8+
(_xlfn.XLOOKUP(B200,'Animals CE'!B:B,'Animals CE'!AA:AA)-1.5)
*0.02
),
0.05
),
200%
),
"No"
)</f>
        <v>0.1</v>
      </c>
      <c r="P200" s="2">
        <f>_xlfn.XLOOKUP(B200,'Base stats'!B:B,'Base stats'!R:R)</f>
        <v>1</v>
      </c>
      <c r="Q200" s="13">
        <f>MROUND((LOG10(_xlfn.XLOOKUP(B200,'Base stats'!B:B,'Base stats'!AR:AR))*(AO200^0.5)+(_xlfn.XLOOKUP(B200,'Base stats'!B:B,'Base stats'!AR:AR)/1000)^(2/3)+_xlfn.XLOOKUP(B200,'Base stats'!B:B,'Base stats'!BA:BA)/2)+0.5,0.5)</f>
        <v>12</v>
      </c>
      <c r="R200" s="7">
        <f>IF(Q200="No","No",MAX(1,MROUND(_xlfn.XLOOKUP(B200,'Base stats'!B:B,'Base stats'!C:C)^0.165,0.05)))</f>
        <v>2.5</v>
      </c>
      <c r="S200" s="13" t="str">
        <f>IF(_xlfn.XLOOKUP(_xlfn.XLOOKUP(B200,'Base stats'!B:B,'Base stats'!E:E),Groups!A:A,Groups!P:P)=0,"No",MROUND((LOG10(_xlfn.XLOOKUP(B200,'Base stats'!B:B,'Base stats'!AS:AS))*(AO200^0.5)+(_xlfn.XLOOKUP(B200,'Base stats'!B:B,'Base stats'!AS:AS)/1000)^(2/3)+_xlfn.XLOOKUP(B200,'Base stats'!B:B,'Base stats'!BA:BA))+_xlfn.XLOOKUP(B200,'Base stats'!B:B,'Base stats'!AY:AY)+0.5,0.5))</f>
        <v>No</v>
      </c>
      <c r="T200" s="7" t="str">
        <f>IF(S200="No","No",MAX(_xlfn.XLOOKUP(_xlfn.XLOOKUP(B200,'Base stats'!B:B,'Base stats'!E:E),Groups!A:A,Groups!Q:Q),MROUND(_xlfn.XLOOKUP(_xlfn.XLOOKUP(B200,'Base stats'!B:B,'Base stats'!E:E),Groups!A:A,Groups!Q:Q)*_xlfn.XLOOKUP(B200,'Base stats'!B:B,'Base stats'!C:C)^0.165,0.05)))</f>
        <v>No</v>
      </c>
      <c r="U200" s="7" t="str">
        <f>IF(S200="No","No",_xlfn.XLOOKUP(_xlfn.XLOOKUP(B200,'Base stats'!B:B,'Base stats'!E:E),Groups!A:A,Groups!R:R))</f>
        <v>No</v>
      </c>
      <c r="V200" s="7" t="str">
        <f>IF(S200="No","No",_xlfn.XLOOKUP(_xlfn.XLOOKUP(B200,'Base stats'!B:B,'Base stats'!E:E),Groups!A:A,Groups!S:S))</f>
        <v>No</v>
      </c>
      <c r="W200" s="7" t="str">
        <f>IF(S200="No","No",_xlfn.XLOOKUP(_xlfn.XLOOKUP(B200,'Base stats'!B:B,'Base stats'!E:E),Groups!A:A,Groups!T:T))</f>
        <v>No</v>
      </c>
      <c r="X200" s="13" t="str">
        <f>IF(_xlfn.XLOOKUP(B200,'Base stats'!B:B,'Base stats'!W:W)="No","No",MROUND((LOG10(_xlfn.XLOOKUP(B200,'Base stats'!B:B,'Base stats'!AU:AU))*(AO200^0.5)+(_xlfn.XLOOKUP(B200,'Base stats'!B:B,'Base stats'!AU:AU)/1000)^(2/3)+_xlfn.XLOOKUP(B200,'Base stats'!B:B,'Base stats'!AZ:AZ))+0.5+IF(_xlfn.XLOOKUP(_xlfn.XLOOKUP(B200,'Base stats'!B:B,'Base stats'!E:E),Groups!A:A,Groups!U:U)&lt;&gt;3,_xlfn.XLOOKUP(B200,'Base stats'!B:B,'Base stats'!BA:BA),0),0.5))</f>
        <v>No</v>
      </c>
      <c r="Y200" s="7" t="str">
        <f>IF(X200="No","No",MAX(_xlfn.XLOOKUP(_xlfn.XLOOKUP(B200,'Base stats'!B:B,'Base stats'!E:E),Groups!A:A,Groups!V:V),MROUND(_xlfn.XLOOKUP(_xlfn.XLOOKUP(B200,'Base stats'!B:B,'Base stats'!E:E),Groups!A:A,Groups!V:V)*_xlfn.XLOOKUP(B200,'Base stats'!B:B,'Base stats'!C:C)^0.165,0.05)))</f>
        <v>No</v>
      </c>
      <c r="Z200" s="7" t="str">
        <f>IF(X200="No","No",_xlfn.XLOOKUP(_xlfn.XLOOKUP(B200,'Base stats'!B:B,'Base stats'!E:E),Groups!A:A,Groups!W:W))</f>
        <v>No</v>
      </c>
      <c r="AA200" s="7" t="str">
        <f>IF(X200="No","No",_xlfn.XLOOKUP(_xlfn.XLOOKUP(B200,'Base stats'!B:B,'Base stats'!E:E),Groups!A:A,Groups!X:X))</f>
        <v>No</v>
      </c>
      <c r="AB200" s="7" t="str">
        <f>IF(X200="No","No",_xlfn.XLOOKUP(_xlfn.XLOOKUP(B200,'Base stats'!B:B,'Base stats'!E:E),Groups!A:A,Groups!Y:Y))</f>
        <v>No</v>
      </c>
      <c r="AC200" s="7" t="str">
        <f>_xlfn.XLOOKUP(Animals!B200,'Base stats'!B:B,'Base stats'!X:X)</f>
        <v>False</v>
      </c>
      <c r="AD200" s="13">
        <f>IF(_xlfn.XLOOKUP(B200,'Base stats'!B:B,'Base stats'!AT:AT)="No","No",MROUND((LOG10(_xlfn.XLOOKUP(B200,'Base stats'!B:B,'Base stats'!AT:AT))*(AO200^0.75)+(_xlfn.XLOOKUP(B200,'Base stats'!B:B,'Base stats'!AT:AT)/1000)^(2/3)+_xlfn.XLOOKUP(B200,'Base stats'!B:B,'Base stats'!AX:AX)+_xlfn.XLOOKUP(B200,'Base stats'!B:B,'Base stats'!BA:BA))+0.5,0.5))</f>
        <v>27</v>
      </c>
      <c r="AE200" s="7">
        <f>IF(AD200="No","No",MAX(_xlfn.XLOOKUP(_xlfn.XLOOKUP(B200,'Base stats'!B:B,'Base stats'!E:E),Groups!A:A,Groups!Z:Z),MROUND(_xlfn.XLOOKUP(_xlfn.XLOOKUP(B200,'Base stats'!B:B,'Base stats'!E:E),Groups!A:A,Groups!Z:Z)*_xlfn.XLOOKUP(B200,'Base stats'!B:B,'Base stats'!C:C)^0.165,0.05)))</f>
        <v>3</v>
      </c>
      <c r="AF200" s="7" t="str">
        <f>IF(AD200="No","No",_xlfn.XLOOKUP(_xlfn.XLOOKUP(B200,'Base stats'!B:B,'Base stats'!E:E),Groups!A:A,Groups!AA:AA))</f>
        <v>Mouth</v>
      </c>
      <c r="AG200" s="7" t="str">
        <f>IF(AD200="No","No",_xlfn.XLOOKUP(_xlfn.XLOOKUP(B200,'Base stats'!B:B,'Base stats'!E:E),Groups!A:A,Groups!AB:AB))</f>
        <v>mandibles</v>
      </c>
      <c r="AH200" s="7" t="str">
        <f>IF(AD200="No","No",_xlfn.XLOOKUP(_xlfn.XLOOKUP(B200,'Base stats'!B:B,'Base stats'!E:E),Groups!A:A,Groups!AC:AC))</f>
        <v>Bite</v>
      </c>
      <c r="AI200" s="13" t="str">
        <f>IF(_xlfn.XLOOKUP(_xlfn.XLOOKUP(B200,'Base stats'!B:B,'Base stats'!E:E),Groups!A:A,Groups!AD:AD)=0,"No",MROUND((LOG10(_xlfn.XLOOKUP(B200,'Base stats'!B:B,'Base stats'!AS:AS))*(AO200^0.75)+(_xlfn.XLOOKUP(B200,'Base stats'!B:B,'Base stats'!AS:AS)/1000)^(2/3)+_xlfn.XLOOKUP(B200,'Base stats'!B:B,'Base stats'!AY:AY)+_xlfn.XLOOKUP(B200,'Base stats'!B:B,'Base stats'!BA:BA))+0.5,0.5))</f>
        <v>No</v>
      </c>
      <c r="AJ200" s="7" t="str">
        <f>IF(AI200="No","No",MAX(_xlfn.XLOOKUP(_xlfn.XLOOKUP(B200,'Base stats'!B:B,'Base stats'!E:E),Groups!A:A,Groups!AE:AE),MROUND(_xlfn.XLOOKUP(_xlfn.XLOOKUP(B200,'Base stats'!B:B,'Base stats'!E:E),Groups!A:A,Groups!AE:AE)*IF(_xlfn.XLOOKUP(_xlfn.XLOOKUP(B200,'Base stats'!B:B,'Base stats'!E:E),Groups!A:A,Groups!AJ:AJ)="Photonozoa",0.6,1)*_xlfn.XLOOKUP(B200,'Base stats'!B:B,'Base stats'!C:C)^0.165,0.05)))</f>
        <v>No</v>
      </c>
      <c r="AK200" s="7" t="str">
        <f>IF(AI200="No","No",_xlfn.XLOOKUP(_xlfn.XLOOKUP(B200,'Base stats'!B:B,'Base stats'!E:E),Groups!A:A,Groups!AF:AF))</f>
        <v>No</v>
      </c>
      <c r="AL200" s="7" t="str">
        <f>IF(AI200="No","No",_xlfn.XLOOKUP(_xlfn.XLOOKUP(B200,'Base stats'!B:B,'Base stats'!E:E),Groups!A:A,Groups!AG:AG))</f>
        <v>No</v>
      </c>
      <c r="AM200" s="7" t="str">
        <f>IF(AI200="No","No",_xlfn.XLOOKUP(_xlfn.XLOOKUP(B200,'Base stats'!B:B,'Base stats'!E:E),Groups!A:A,Groups!AH:AH))</f>
        <v>No</v>
      </c>
      <c r="AN200" s="2" t="str">
        <f t="shared" si="21"/>
        <v>No</v>
      </c>
      <c r="AO200" s="2">
        <f>MROUND(IF(AND(_xlfn.XLOOKUP(B200,'Base stats'!B:B,'Base stats'!C:C)&gt;=0.5,_xlfn.XLOOKUP(B200,'Base stats'!B:B,'Base stats'!C:C)&lt;=0.8),
IF(_xlfn.XLOOKUP(B200,'Base stats'!B:B,'Base stats'!C:C)&lt;0.1,0.05,IF(_xlfn.XLOOKUP(B200,'Base stats'!B:B,'Base stats'!C:C)&lt;=70,(_xlfn.XLOOKUP(B200,'Base stats'!B:B,'Base stats'!C:C)/70)^0.426489913056526,IF(_xlfn.XLOOKUP(B200,'Base stats'!B:B,'Base stats'!C:C)&lt;=400,(_xlfn.XLOOKUP(B200,'Base stats'!B:B,'Base stats'!C:C)/70)^0.572811455315093,IF(_xlfn.XLOOKUP(B200,'Base stats'!B:B,'Base stats'!C:C)&lt;=2000,2.71391647193063*(_xlfn.XLOOKUP(B200,'Base stats'!B:B,'Base stats'!C:C)/400)^0.252459582904293,3.74314280240376*(_xlfn.XLOOKUP(B200,'Base stats'!B:B,'Base stats'!C:C)/2000)^0.357012633876913)))),
IF(_xlfn.XLOOKUP(B200,'Base stats'!B:B,'Base stats'!C:C)&lt;0.1,0.05,IF(_xlfn.XLOOKUP(B200,'Base stats'!B:B,'Base stats'!C:C)&lt;0.4,0.1,IF(_xlfn.XLOOKUP(B200,'Base stats'!B:B,'Base stats'!C:C)&lt;=70,(_xlfn.XLOOKUP(B200,'Base stats'!B:B,'Base stats'!C:C)/70)^0.445823913056526,IF(_xlfn.XLOOKUP(B200,'Base stats'!B:B,'Base stats'!C:C)&lt;=400,(_xlfn.XLOOKUP(B200,'Base stats'!B:B,'Base stats'!C:C)/70)^0.572811455315093,IF(_xlfn.XLOOKUP(B200,'Base stats'!B:B,'Base stats'!C:C)&lt;=2000,2.71391647193063*(_xlfn.XLOOKUP(B200,'Base stats'!B:B,'Base stats'!C:C)/400)^0.252459582904293,3.74314280240376*(_xlfn.XLOOKUP(B200,'Base stats'!B:B,'Base stats'!C:C)/2000)^0.357012633876913)))))),
IF(_xlfn.XLOOKUP(B200,'Base stats'!B:B,'Base stats'!C:C)&lt;0.1,0.05,IF(_xlfn.XLOOKUP(B200,'Base stats'!B:B,'Base stats'!C:C)&lt;=100,0.05,IF(_xlfn.XLOOKUP(B200,'Base stats'!B:B,'Base stats'!C:C)&lt;=250,0.1,IF(_xlfn.XLOOKUP(B200,'Base stats'!B:B,'Base stats'!C:C)&lt;=4000,0.25,0.5)))))</f>
        <v>2.1</v>
      </c>
      <c r="AP200" s="8">
        <f>MROUND(AO200*_xlfn.XLOOKUP(_xlfn.XLOOKUP(B200,'Base stats'!B:B,'Base stats'!E:E),Groups!A:A,Groups!AI:AI)*_xlfn.XLOOKUP(B200,'Base stats'!B:B,'Base stats'!Z:Z),0.05)</f>
        <v>2.1</v>
      </c>
      <c r="AQ200" s="8">
        <f>MAX(0.01,MROUND(IF(CC200="True",0.196*(AO200*100*1000)^0.889,IF(_xlfn.XLOOKUP(_xlfn.XLOOKUP(B200,'Base stats'!B:B,'Base stats'!E:E),Groups!A:A,Groups!AJ:AJ)="Bird",10.5*(AO200*100*1000)^0.681,4.82*(AO200*100*1000)^0.734))/(4.82*(1*100*1000)^0.734)/IF(AO200&lt;3.5,2,IF(AO200=3.5,1.5,1.25))*(1+0.132282374779864/(AO200^0.994035016789033+0.00905238001496948)),0.05))</f>
        <v>0.25</v>
      </c>
      <c r="AR200" s="9">
        <f>IFERROR(MROUND(_xlfn.XLOOKUP(B200,'Base stats'!B:B,'Base stats'!H:H)/IF(_xlfn.XLOOKUP(B200,'Base stats'!B:B,'Base stats'!I:I)&lt;&gt;1,(122.5/70),1.2),IF(_xlfn.XLOOKUP(B200,'Base stats'!B:B,'Base stats'!H:H)&gt;=30,5,IF(_xlfn.XLOOKUP(B200,'Base stats'!B:B,'Base stats'!H:H)&gt;=15,3,IF(_xlfn.XLOOKUP(B200,'Base stats'!B:B,'Base stats'!H:H)&gt;=10,2,1)))),"Immortal")</f>
        <v>10</v>
      </c>
      <c r="AS200" s="35" t="str">
        <f>IFERROR(IF(OR(_xlfn.XLOOKUP(B200,'Base stats'!B:B,'Base stats'!F:F)="Atypical reproduction",_xlfn.XLOOKUP(B200,'Base stats'!B:B,'Base stats'!F:F)="Lay eggs"),"Lay eggs",MIN(20,MAX(5.5,ROUND(((_xlfn.XLOOKUP(B200,'Base stats'!B:B,'Base stats'!F:F)-25)*(14.5/615) + 5.5)*2,0)/2))),"Unknown")</f>
        <v>Lay eggs</v>
      </c>
      <c r="AT200" s="8" t="str">
        <f>IF(_xlfn.XLOOKUP(B200,'Base stats'!B:B,'Base stats'!G:G)="Atypical reproduction","No",IFERROR(MAX(IF(_xlfn.XLOOKUP(B200,'Base stats'!B:B,'Base stats'!G:G)&lt;0.5,0.2,0.3),MROUND(_xlfn.XLOOKUP(B200,'Base stats'!B:B,'Base stats'!G:G)/(365/60),0.2)),"Unknown"))</f>
        <v>No</v>
      </c>
      <c r="AU200" s="8" t="str">
        <f t="shared" si="22"/>
        <v>No</v>
      </c>
      <c r="AV200" s="8" t="str">
        <f>IFERROR(IFERROR(MROUND(_xlfn.XLOOKUP(B200,'Base stats'!B:B,'Base stats'!J:J),0.1),"Lay eggs"),"Cannot breed")</f>
        <v>Lay eggs</v>
      </c>
      <c r="AW200" s="2" t="str">
        <f t="shared" si="23"/>
        <v>false</v>
      </c>
      <c r="AX200" s="2" t="str">
        <f>IF(_xlfn.XLOOKUP(_xlfn.XLOOKUP(Animals!B200,'Base stats'!B:B,'Base stats'!E:E),Groups!A:A,Groups!AK:AK)=1,"true","false")</f>
        <v>false</v>
      </c>
      <c r="AY200" s="25" t="str">
        <f>IF(_xlfn.XLOOKUP(B200,'Base stats'!B:B,'Base stats'!Y:Y)="Liquor","Liquor, CarnivoreAnimalStrict",IF(AND(_xlfn.XLOOKUP(B200,'Base stats'!B:B,'Base stats'!Y:Y)="Carnivore",_xlfn.XLOOKUP(_xlfn.XLOOKUP(B200,'Base stats'!B:B,'Base stats'!E:E),Groups!A:A,Groups!AJ:AJ)="Photonozoa"),"CarnivoreAnimalStrict, OvivoreAnimal",IF(_xlfn.XLOOKUP(B200,'Base stats'!B:B,'Base stats'!Y:Y)="Carnivore","CarnivoreAnimal, OvivoreAnimal",IF(_xlfn.XLOOKUP(B200,'Base stats'!B:B,'Base stats'!Y:Y)="Dendrovore","VegetarianRoughAnimal, DendrovoreAnimal",IF(_xlfn.XLOOKUP(B200,'Base stats'!B:B,'Base stats'!Y:Y)="Herbivore","VegetarianRoughAnimal",IF(_xlfn.XLOOKUP(B200,'Base stats'!B:B,'Base stats'!Y:Y)="OmnivoreRough","OmnivoreRoughAnimal, OvivoreAnimal","OmnivoreAnimal, OvivoreAnimal"))))))</f>
        <v>OmnivoreRoughAnimal, OvivoreAnimal</v>
      </c>
      <c r="AZ200" s="2">
        <f>IF(_xlfn.XLOOKUP(_xlfn.XLOOKUP(B200,'Base stats'!B:B,'Base stats'!E:E),Groups!A:A,Groups!D:D)=1,MROUND((1-J200)*5+1,2)*IF(J200&lt;=0.4,2,1),"No")</f>
        <v>2</v>
      </c>
      <c r="BA200" s="2" t="str">
        <f>IF(AND(_xlfn.XLOOKUP(B200,'Base stats'!B:B,'Base stats'!AH:AH)="&lt;li&gt;Seal&lt;/li&gt;",G200="Odyssey"),"&lt;li&gt;AEXP_Seal&lt;/li&gt;",_xlfn.XLOOKUP(B200,'Base stats'!B:B,'Base stats'!AH:AH))</f>
        <v>No</v>
      </c>
      <c r="BB200" s="2" t="str">
        <f>_xlfn.XLOOKUP(B200,'Base stats'!B:B,'Base stats'!AG:AG)</f>
        <v>Leather_Chitin</v>
      </c>
      <c r="BC200" s="23" t="str">
        <f>_xlfn.XLOOKUP(_xlfn.XLOOKUP(B200,'Base stats'!B:B,'Base stats'!E:E),Groups!A:A,Groups!AL:AL)</f>
        <v>Megatardi</v>
      </c>
      <c r="BD200" s="23">
        <f>MIN(1,MROUND(IF(AND(AO200&lt;0.5,_xlfn.XLOOKUP(B200,'Base stats'!B:B,'Base stats'!AA:AA)=0),0,IF(OR(_xlfn.XLOOKUP(Animals!B200,'Base stats'!B:B,'Base stats'!O:O)=2,_xlfn.XLOOKUP(_xlfn.XLOOKUP(B200,'Base stats'!B:B,'Base stats'!E:E),Groups!A:A,Groups!AN:AN)=0),0,_xlfn.XLOOKUP(_xlfn.XLOOKUP(B200,'Base stats'!B:B,'Base stats'!E:E),Groups!A:A,Groups!AN:AN)/IF(_xlfn.XLOOKUP(Animals!B200,'Base stats'!B:B,'Base stats'!O:O)=1,2,1)))+_xlfn.XLOOKUP(B200,'Base stats'!B:B,'Base stats'!AC:AC),0.005))</f>
        <v>2.5000000000000001E-2</v>
      </c>
      <c r="BE200" s="23">
        <f>MIN(1,MROUND(IF(AND(AO200&lt;0.5,_xlfn.XLOOKUP(B200,'Base stats'!B:B,'Base stats'!AA:AA)=0),0,IF(_xlfn.XLOOKUP(_xlfn.XLOOKUP(B200,'Base stats'!B:B,'Base stats'!E:E),Groups!A:A,Groups!AO:AO)=0,0,_xlfn.XLOOKUP(_xlfn.XLOOKUP(B200,'Base stats'!B:B,'Base stats'!E:E),Groups!A:A,Groups!AO:AO)/IF(_xlfn.XLOOKUP(Animals!B200,'Base stats'!B:B,'Base stats'!O:O)=2,3,1)))+_xlfn.XLOOKUP(B200,'Base stats'!B:B,'Base stats'!AD:AD),0.005))</f>
        <v>0.1</v>
      </c>
      <c r="BF200" s="2" t="str">
        <f>IF(J200&gt;0.3,"No",_xlfn.XLOOKUP(_xlfn.XLOOKUP(Animals!B200,'Base stats'!B:B,'Base stats'!E:E),Groups!A:A,Groups!AP:AP))</f>
        <v>No</v>
      </c>
      <c r="BG200" s="2" t="str">
        <f>IF(AND(J200&lt;=0.65,_xlfn.XLOOKUP(_xlfn.XLOOKUP(Animals!B200,'Base stats'!B:B,'Base stats'!E:E),Groups!A:A,Groups!AP:AP)&lt;&gt;"No",_xlfn.XLOOKUP(_xlfn.XLOOKUP(B200,'Base stats'!B:B,'Base stats'!E:E),Groups!A:A,Groups!D:D)=0),MROUND((80/3)*IF(_xlfn.XLOOKUP(B200,'Base stats'!B:B,'Base stats'!O:O)=2,0.2,AO200) + 24*(1-IF(BF200="No",0,BF200)) + 16/3, 12),"No")</f>
        <v>No</v>
      </c>
      <c r="BH200" s="2">
        <f>IF(AND(_xlfn.XLOOKUP(_xlfn.XLOOKUP(B200,'Base stats'!B:B,'Base stats'!E:E),Groups!A:A,Groups!AQ:AQ)=1,AO200&lt;=0.35),8,12)</f>
        <v>12</v>
      </c>
      <c r="BI200" s="2" t="str">
        <f>IF(_xlfn.XLOOKUP(_xlfn.XLOOKUP(B200,'Base stats'!B:B,'Base stats'!E:E),Groups!A:A,Groups!D:D)=0,_xlfn.XLOOKUP(_xlfn.XLOOKUP(B200,'Base stats'!B:B,'Base stats'!E:E),Groups!A:A,Groups!AR:AR),"None")</f>
        <v>None</v>
      </c>
      <c r="BJ200" s="2" t="str">
        <f>IF(AND(_xlfn.XLOOKUP(_xlfn.XLOOKUP(B200,'Base stats'!B:B,'Base stats'!E:E),Groups!A:A,Groups!AS:AS)=1,OR(_xlfn.XLOOKUP(B200,'Base stats'!B:B,'Base stats'!Y:Y)="Carnivore",_xlfn.XLOOKUP(B200,'Base stats'!B:B,'Base stats'!Y:Y)="Omnivore")),"true","false")</f>
        <v>false</v>
      </c>
      <c r="BK200" s="2" t="str">
        <f>IF(BJ200="true",MROUND(IF(AND(AO200&gt;0.5,OR(_xlfn.XLOOKUP(_xlfn.XLOOKUP(B200,'Base stats'!B:B,'Base stats'!E:E),Groups!A:A,Groups!AJ:AJ)="Photonozoa",_xlfn.XLOOKUP(_xlfn.XLOOKUP(B200,'Base stats'!B:B,'Base stats'!E:E),Groups!A:A,Groups!AJ:AJ)="Mammal")),Animals!AO200*1.75*IF(AW200="true",1.5,1),IF(AO200&lt;0.5,Animals!AO200*0.5,Animals!AO200)),IF(AO200&gt;2,0.5,IF(AO200&gt;0.5,0.25,0.1))),"No")</f>
        <v>No</v>
      </c>
      <c r="BL200" s="2">
        <f t="shared" si="24"/>
        <v>0</v>
      </c>
      <c r="BM200" s="25" t="str">
        <f>IF(_xlfn.XLOOKUP(B200,'Base stats'!B:B,'Base stats'!AN:AN)="Standard","No",MROUND((_xlfn.XLOOKUP(B200,'Base stats'!B:B,'Base stats'!AN:AN)/3.6)/I200,0.1))</f>
        <v>No</v>
      </c>
      <c r="BN200" s="25" t="str">
        <f t="shared" si="25"/>
        <v>false</v>
      </c>
      <c r="BO200" s="25" t="str">
        <f>IF(AND(OR(_xlfn.XLOOKUP(B200,'Base stats'!B:B,'Base stats'!Y:Y)="Carnivore",_xlfn.XLOOKUP(B200,'Base stats'!B:B,'Base stats'!Y:Y)="Omnivore",_xlfn.XLOOKUP(B200,'Base stats'!B:B,'Base stats'!Y:Y)="OmnivoreRough"),_xlfn.XLOOKUP(_xlfn.XLOOKUP(B200,'Base stats'!B:B,'Base stats'!E:E),Groups!A:A,Groups!AT:AT)=1),"true","false")</f>
        <v>false</v>
      </c>
      <c r="BP200" s="25" t="str" cm="1">
        <f t="array" ref="BP200">IF(
  _xlfn.TEXTJOIN(", ",TRUE,
    IF(AND(BJ200="true",AO200&gt;0.5,BI200&lt;&gt;"None"),"AttackTarget",""),
    IF(AND(_xlfn.XLOOKUP(_xlfn.XLOOKUP(B200,'Base stats'!B:B,'Base stats'!E:E),Groups!A:A,Groups!AJ:AJ="Mammal"),OR(_xlfn.XLOOKUP(B200,'Base stats'!B:B,'Base stats'!Y:Y)="Omnivore",_xlfn.XLOOKUP(B200,'Base stats'!B:B,'Base stats'!Y:Y)="OmnivoreRough")),"Forage",""),
    IF(BG200&lt;=36,"Comfort",""),
    IF(_xlfn.XLOOKUP(B200,'Base stats'!B:B,'Base stats'!AE:AE)&lt;&gt;"No",_xlfn.XLOOKUP(B200,'Base stats'!B:B,'Base stats'!AE:AE),"")
  ) = "",
  "No",
  _xlfn.TEXTJOIN(", ",TRUE,
    IF(AND(BJ200="true",AO200&gt;0.5,BI200&lt;&gt;"None"),"AttackTarget",""),
    IF(AND(_xlfn.XLOOKUP(_xlfn.XLOOKUP(B200,'Base stats'!B:B,'Base stats'!E:E),Groups!A:A,Groups!AJ:AJ="Mammal"),OR(_xlfn.XLOOKUP(B200,'Base stats'!B:B,'Base stats'!Y:Y)="Omnivore",_xlfn.XLOOKUP(B200,'Base stats'!B:B,'Base stats'!Y:Y)="OmnivoreRough")),"Forage",""),
    IF(BG200&lt;=36,"Comfort",""),
    IF(_xlfn.XLOOKUP(B200,'Base stats'!B:B,'Base stats'!AE:AE)&lt;&gt;"No",_xlfn.XLOOKUP(B200,'Base stats'!B:B,'Base stats'!AE:AE),"")
  )
)</f>
        <v>No</v>
      </c>
      <c r="BQ200" s="25" t="str">
        <f>IF(
   AND(
      'Base stats'!AN200="Standard",_xlfn.XLOOKUP(_xlfn.XLOOKUP(B200,'Base stats'!B:B,'Base stats'!E:E),Groups!A:A,Groups!AU:AU)=0,
      OR(
      BO200="True"
      )
   ),
   10,
   IF(
       OR(BM200&lt;&gt;"No",_xlfn.XLOOKUP(_xlfn.XLOOKUP(B200,'Base stats'!B:B,'Base stats'!E:E),Groups!A:A,Groups!AU:AU)=1),
      1,
      "No"
   )
)</f>
        <v>No</v>
      </c>
      <c r="BR200" s="9">
        <f>MROUND((1 + ((0.2*IF(OR(Q200="No",R200="No",R200=0),0,Q200/R200)
+IF(OR(V200="No",S200="No",T200="No"),0,S200/T200*(LEN(V200)-LEN(SUBSTITUTE(V200,",",""))+1))
+IF(OR(X200="No",Y200="No"),0,X200/Y200)
+IF(OR(AD200="No",AE200="No"),0,AD200/AE200)
+IF(OR(AL200="No",AI200="No",AJ200="No"),0,AI200/AJ200*(LEN(AL200)-LEN(SUBSTITUTE(AL200,",",""))+1))
)/(0.2*IF(OR(Q200="No",R200="No",R200=0),0,1)
+IF(OR(V200="No",S200="No",T200="No"),0,LEN(V200)-LEN(SUBSTITUTE(V200,",",""))+1)
+IF(OR(X200="No",Y200="No"),0,1)
+IF(OR(AD200="No",AE200="No"),0,1)
+IF(OR(AL200="No",AI200="No",AJ200="No"),0,LEN(AL200)-LEN(SUBSTITUTE(AL200,",",""))+1))*62%)* 2)*(1 + (AP200 / (IF(_xlfn.XLOOKUP(_xlfn.XLOOKUP(B200,'Base stats'!B:B,'Base stats'!E:E),Groups!A:A,Groups!AJ:AJ)="Photonozoa",0.3,1)) + _xlfn.XLOOKUP(B200,'Base stats'!B:B,'Base stats'!AV:AV) * 1.8) * 2) * 2.5 + 10 + I200 * 2,5)+IF(_xlfn.XLOOKUP(B200,'Base stats'!B:B,'Base stats'!AK:AK)=1,50,0)</f>
        <v>255</v>
      </c>
      <c r="BS200" s="8">
        <f t="shared" si="26"/>
        <v>0.60000000000000009</v>
      </c>
      <c r="BT200" s="8" t="str">
        <f>_xlfn.XLOOKUP(B200,'Base stats'!B:B,'Base stats'!AF:AF)</f>
        <v>No</v>
      </c>
      <c r="BU200" s="2" t="str">
        <f>IF(AND(J200&lt;=0.95,OR(_xlfn.XLOOKUP(B200,'Base stats'!B:B,'Base stats'!AK:AK)=1,_xlfn.XLOOKUP(B200,'Base stats'!B:B,'Base stats'!Y:Y)="Carnivore",_xlfn.XLOOKUP(B200,'Base stats'!B:B,'Base stats'!Y:Y)="Omnivore",BE200&gt;0.1)),"true","false")</f>
        <v>true</v>
      </c>
      <c r="BV200" s="2" t="str">
        <f>IF(_xlfn.XLOOKUP(B200,'Base stats'!B:B,'Base stats'!AI:AI)=1,"true","false")</f>
        <v>true</v>
      </c>
      <c r="BW200" s="25" t="str">
        <f>IF(E200="BaseInsect","AnimalInsect",
IF(J200&gt;0.95,"AnimalExotic",
_xlfn.TEXTJOIN(", ",TRUE,
IF(OR(_xlfn.XLOOKUP(B200,'Base stats'!B:B,'Base stats'!AM:AM)=1,AND(_xlfn.XLOOKUP(B200,'Base stats'!B:B,'Base stats'!O:O)=0,_xlfn.XLOOKUP(_xlfn.XLOOKUP(B200,'Base stats'!B:B,'Base stats'!E:E),Groups!A:A,Groups!B:B)&gt;0)),"AnimalUncommon","AnimalCommon"),
IF(AND(_xlfn.XLOOKUP(B200,'Base stats'!B:B,'Base stats'!O:O)=2,_xlfn.XLOOKUP(_xlfn.XLOOKUP(B200,'Base stats'!B:B,'Base stats'!E:E),Groups!A:A,Groups!D:D)=0),"AnimalPet",IF(AND(_xlfn.XLOOKUP(B200,'Base stats'!B:B,'Base stats'!O:O)&lt;&gt;0,_xlfn.XLOOKUP(_xlfn.XLOOKUP(B200,'Base stats'!B:B,'Base stats'!E:E),Groups!A:A,Groups!D:D)&lt;&gt;0),"AnimalFarm","")),
IF(OR(_xlfn.XLOOKUP(B200,'Base stats'!B:B,'Base stats'!AK:AK)=1,AND(BI200&lt;&gt;"None",BR200&gt;=60),ISNUMBER(SEARCH("Attack target",BP200))),"AnimalFighter","")
)))</f>
        <v>AnimalUncommon, AnimalFighter</v>
      </c>
      <c r="BX200" s="25" t="str">
        <f>IF(G200="None",TRIM(
SUBSTITUTE(
IF(COUNTIF(Biomes!B$2:B$259,"="&amp;$C200)&gt;0,Biomes!B$1&amp;", ","")&amp;
IF(COUNTIF(Biomes!C$2:C$259,"="&amp;$C200)&gt;0,Biomes!C$1&amp;", ","")&amp;
IF(COUNTIF(Biomes!D$2:D$259,"="&amp;$C200)&gt;0,Biomes!D$1&amp;", ","")&amp;
IF(COUNTIF(Biomes!F$2:F$259,"="&amp;$C200)&gt;0,Biomes!F$1&amp;", ","")&amp;
IF(COUNTIF(Biomes!G$2:G$259,"="&amp;$C200)&gt;0,Biomes!G$1&amp;", ","")&amp;
IF(COUNTIF(Biomes!H$2:H$259,"="&amp;$C200)&gt;0,Biomes!H$1&amp;", ","")&amp;
IF(COUNTIF(Biomes!I$2:I$259,"="&amp;$C200)&gt;0,Biomes!I$1&amp;", ","")&amp;
IF(COUNTIF(Biomes!J$2:J$259,"="&amp;$C200)&gt;0,Biomes!J$1&amp;", ","")&amp;
IF(COUNTIF(Biomes!M$2:M$259,"="&amp;$C200)&gt;0,Biomes!M$1&amp;", ","")&amp;
IF(COUNTIF(Biomes!N$2:N$259,"="&amp;$C200)&gt;0,Biomes!N$1&amp;", ","")&amp;
IF(COUNTIF(Biomes!O$2:O$259,"="&amp;$C200)&gt;0,Biomes!O$1&amp;", ","")&amp;
IF(COUNTIF(Biomes!P$2:P$259,"="&amp;$C200)&gt;0,Biomes!P$1&amp;", ","")&amp;
IF(COUNTIF(Biomes!K$2:K$259,"="&amp;$C200)&gt;0,Biomes!K$1&amp;", ","")&amp;
IF(COUNTIF(Biomes!Q$3:Q$259,"="&amp;$C200)&gt;0,Biomes!Q$1&amp;", ","")&amp;
IF(COUNTIF(Biomes!L$2:L$259,"="&amp;$C200)&gt;0,Biomes!L$1&amp;", ","")&amp;
IF(COUNTIF(Biomes!E$2:E$259,"="&amp;$C200)&gt;0,Biomes!E$1&amp;", ","")&amp;IF(COUNTIF(Biomes!S$2:S$259,"="&amp;$C200)&gt;0,Biomes!S$1&amp;", ","")&amp;
IF(COUNTIF(Biomes!R$2:R$259,"="&amp;$C200)&gt;0,Biomes!R$1&amp;", ",""),", ","")
),_xlfn.XLOOKUP(B200,B:B,BX:BX))</f>
        <v>SeaIce IceSheet Tundra BorealForest ColdBog TemperateForest TemperateSwamp AridShrubland Desert ExtremeDesert TropicalRainforest TropicalSwamp Grasslands Glowforest LavaField GlacialPlain Scarlands</v>
      </c>
      <c r="BY200" s="25" t="str">
        <f>IF(_xlfn.XLOOKUP(B200,'Base stats'!B:B,'Base stats'!AJ:AJ)=1,"true","false")</f>
        <v>false</v>
      </c>
      <c r="BZ200" s="25" t="str">
        <f>IF(_xlfn.XLOOKUP(B200,'Base stats'!B:B,'Base stats'!N:N)=1,"No",MAX(0.001,MIN(MROUND(IF(AND(BJ200="True",CC200="False"),POWER(10,3.47*LOG10(_xlfn.XLOOKUP(B200,'Base stats'!B:B,'Base stats'!C:C)*1000)^-0.96),POWER(10,4.15*LOG10(_xlfn.XLOOKUP(B200,'Base stats'!B:B,'Base stats'!C:C)*1000)^-0.73))*IF(_xlfn.XLOOKUP(B200,'Base stats'!B:B,'Base stats'!AK:AK)=1,0.5,1)*IF(_xlfn.XLOOKUP(B200,'Base stats'!B:B,'Base stats'!AM:AM)=1,0.1,1)/100,IF(_xlfn.XLOOKUP(B200,'Base stats'!B:B,'Base stats'!AM:AM)=1,0.001,0.025)),0.5)))</f>
        <v>No</v>
      </c>
      <c r="CA200" s="25">
        <f>IF(P200="Standard","No",MAX(0.001,MIN(MROUND(IF(AND(BJ200="True",CC200="False"),POWER(10,3.47*LOG10(_xlfn.XLOOKUP(B200,'Base stats'!B:B,'Base stats'!C:C)*1000)^-0.96),POWER(10,4.15*LOG10(_xlfn.XLOOKUP(B200,'Base stats'!B:B,'Base stats'!C:C)*1000)^-0.73))*IF(_xlfn.XLOOKUP(B200,'Base stats'!B:B,'Base stats'!AM:AM)=1,0.1,1)*_xlfn.XLOOKUP(B200,'Base stats'!B:B,'Base stats'!R:R)/100,IF(_xlfn.XLOOKUP(B200,'Base stats'!B:B,'Base stats'!AM:AM)=1,0.001,0.025)),0.5)))</f>
        <v>0.17500000000000002</v>
      </c>
      <c r="CB200" s="25" t="str">
        <f>IF(_xlfn.XLOOKUP(_xlfn.XLOOKUP(B200,'Base stats'!B:B,'Base stats'!E:E),Groups!A:A,Groups!AJ:AJ)="Mammal","True","False")</f>
        <v>False</v>
      </c>
      <c r="CC200" s="25" t="str">
        <f>IF(OR(_xlfn.XLOOKUP(_xlfn.XLOOKUP(B200,'Base stats'!B:B,'Base stats'!E:E),Groups!A:A,Groups!AJ:AJ)="Reptile",_xlfn.XLOOKUP(_xlfn.XLOOKUP(B200,'Base stats'!B:B,'Base stats'!E:E),Groups!A:A,Groups!AJ:AJ)="Amphibian",_xlfn.XLOOKUP(_xlfn.XLOOKUP(B200,'Base stats'!B:B,'Base stats'!E:E),Groups!A:A,Groups!AJ:AJ)="Invertebrate"),"True","False")</f>
        <v>True</v>
      </c>
      <c r="CD200" s="25" t="str">
        <f t="shared" si="27"/>
        <v>False</v>
      </c>
      <c r="CE200" s="25" t="str">
        <f>IF(_xlfn.XLOOKUP(_xlfn.XLOOKUP(B200,'Base stats'!B:B,'Base stats'!E:E),Groups!A:A,Groups!AX:AX),"True","False")</f>
        <v>False</v>
      </c>
      <c r="CF200" s="25" t="str">
        <f>IF(_xlfn.XLOOKUP(_xlfn.XLOOKUP(B200,'Base stats'!B:B,'Base stats'!E:E),Groups!A:A,Groups!AY:AY),"True","False")</f>
        <v>False</v>
      </c>
      <c r="CG200" s="25" t="str">
        <f>IF(_xlfn.XLOOKUP(_xlfn.XLOOKUP(B200,'Base stats'!B:B,'Base stats'!E:E),Groups!A:A,Groups!AW:AW),"True","False")</f>
        <v>False</v>
      </c>
      <c r="CH200" s="25" t="str">
        <f>IF(
OR(
_xlfn.XLOOKUP(_xlfn.XLOOKUP(B200,'Base stats'!B:B,'Base stats'!E:E),Groups!A:A,Groups!AZ:AZ)=0,
AND(
_xlfn.XLOOKUP(B200,'Base stats'!B:B,'Base stats'!Y:Y)&lt;&gt;"Carnivore",
_xlfn.XLOOKUP(B200,'Base stats'!B:B,'Base stats'!Y:Y)&lt;&gt;"Omnivore",
_xlfn.XLOOKUP(B200,'Base stats'!B:B,'Base stats'!Y:Y)&lt;&gt;"OmnivoreRough"
)
),
"No",
IF(
_xlfn.XLOOKUP(_xlfn.XLOOKUP(B200,'Base stats'!B:B,'Base stats'!E:E),Groups!A:A,Groups!AZ:AZ)=1,
"Flesh",
IF(
_xlfn.XLOOKUP(_xlfn.XLOOKUP(B200,'Base stats'!B:B,'Base stats'!E:E),Groups!A:A,Groups!AZ:AZ)=2,
"Bone",
""
)
)
)</f>
        <v>Bone</v>
      </c>
      <c r="CI200" s="25" t="str">
        <f>IF(_xlfn.XLOOKUP(_xlfn.XLOOKUP(B200,'Base stats'!B:B,'Base stats'!E:E),Groups!A:A,Groups!BB:BB),"True","False")</f>
        <v>False</v>
      </c>
      <c r="CJ200" s="25" t="str">
        <f>IF(_xlfn.XLOOKUP(_xlfn.XLOOKUP(B200,'Base stats'!B:B,'Base stats'!E:E),Groups!A:A,Groups!BA:BA),"True","False")</f>
        <v>False</v>
      </c>
    </row>
    <row r="201" spans="1:88" s="16" customFormat="1" ht="16.5" thickTop="1" thickBot="1" x14ac:dyDescent="0.3">
      <c r="A201" s="26" t="str">
        <f>_xlfn.XLOOKUP(B201,'Base stats'!B:B,'Base stats'!A:A)</f>
        <v>Pestigator</v>
      </c>
      <c r="B201" s="6" t="s">
        <v>1288</v>
      </c>
      <c r="C201" s="28" t="s">
        <v>1287</v>
      </c>
      <c r="D201" s="28" t="s">
        <v>1281</v>
      </c>
      <c r="E201" s="28" t="s">
        <v>673</v>
      </c>
      <c r="F201" s="28" t="s">
        <v>673</v>
      </c>
      <c r="G201" s="28" t="s">
        <v>673</v>
      </c>
      <c r="H201" s="2">
        <f>MROUND((
  (IF(AND(_xlfn.XLOOKUP(B201,'Base stats'!B:B,'Base stats'!AL:AL)=0,BI201="None",_xlfn.XLOOKUP(_xlfn.XLOOKUP(B201,'Base stats'!B:B,'Base stats'!E:E),Groups!A:A,Groups!B:B)=0), (18 + BR201 * 2.7) * 0.5,
    IF(AND(_xlfn.XLOOKUP(B201,'Base stats'!B:B,'Base stats'!AL:AL)=0,OR(AO201&lt;0.55,AND(BI201="Intermediate",_xlfn.XLOOKUP(_xlfn.XLOOKUP(B201,'Base stats'!B:B,'Base stats'!E:E),Groups!A:A,Groups!B:B)&lt;2))), (18 + BR201 * 2.7),
      IF(OR(BI201="Advanced",_xlfn.XLOOKUP(B201,'Base stats'!B:B,'Base stats'!AL:AL)=1,_xlfn.XLOOKUP(_xlfn.XLOOKUP(B201,'Base stats'!B:B,'Base stats'!E:E),Groups!A:A,Groups!B:B)=2), (18 + BR201 * 2.7) + 250, (18 + BR201 * 2.7))
    )
  ))
  + AO201 * 80
  + IF(COUNTIF(EggMilk!K$2:K$998, A201) &gt; 0, 125, 0)
  + IF(COUNTIF(EggMilk!P$2:P$998, A201) &gt; 0, 90, 0)
  + IF(COUNTIF(EggMilk!A$2:A$998, A201) &gt; 0, 90, 0)
)
* (0.8 + 0.4 * J201)
* 0.75,25)</f>
        <v>1450</v>
      </c>
      <c r="I201" s="2">
        <f>MROUND(ROUNDDOWN(_xlfn.XLOOKUP(B201,'Base stats'!B:B,'Base stats'!L:L)/3.6/(23.3/11),1),0.5)</f>
        <v>1.5</v>
      </c>
      <c r="J201" s="2">
        <f>IF(OR(_xlfn.XLOOKUP(B201,'Base stats'!B:B,'Base stats'!AB:AB)=1,_xlfn.XLOOKUP(_xlfn.XLOOKUP(B201,'Base stats'!B:B,'Base stats'!E:E),Groups!A:A,Groups!C:C)="Untamable"),1,IF(_xlfn.XLOOKUP(B201,'Base stats'!B:B,'Base stats'!AL:AL)=1,0.99,MIN(MROUND((1-0.6282*EXP(-0.459*AO201))*_xlfn.XLOOKUP(_xlfn.XLOOKUP(B201,'Base stats'!B:B,'Base stats'!E:E),Groups!A:A,Groups!C:C)*IF(_xlfn.XLOOKUP(B201,'Base stats'!B:B,'Base stats'!O:O)=1,0.5,IF(_xlfn.XLOOKUP(B201,'Base stats'!B:B,'Base stats'!O:O)=2,0,1)),0.05),IF(AO201&gt;3.5,0.985,0.95))))</f>
        <v>1</v>
      </c>
      <c r="K201" s="2">
        <f>ROUNDUP(AO201*_xlfn.XLOOKUP(_xlfn.XLOOKUP(B201,'Base stats'!B:B,'Base stats'!E:E),Groups!A:A,Groups!E:E),0)</f>
        <v>4</v>
      </c>
      <c r="L201" s="2">
        <f>IF(OR(_xlfn.XLOOKUP(_xlfn.XLOOKUP(B201,'Base stats'!B:B,'Base stats'!E:E),Groups!A:A,Groups!F:F)=2,ISNUMBER(SEARCH("SeaIce",BX201)),ISNUMBER(SEARCH("IceSheet",BX201))),-50,IF(OR(ISNUMBER(SEARCH("GlacialPlain",BX201)),ISNUMBER(SEARCH("Tundra",BX201))),-40,IF(OR(ISNUMBER(SEARCH("Alpine",BX201)),ISNUMBER(SEARCH("BorealForest",BX201)),ISNUMBER(SEARCH("ColdBog",BX201))),-30,IF(OR(ISNUMBER(SEARCH("TemperateForest",BX201)),ISNUMBER(SEARCH("TemperateSwamp",BX201))),-20,IF(_xlfn.XLOOKUP(_xlfn.XLOOKUP(B201,'Base stats'!B:B,'Base stats'!E:E),Groups!A:A,Groups!F:F)=1,-15,IF(OR(ISNUMBER(SEARCH("Desert",BX201)),ISNUMBER(SEARCH("ExtremeDesert",BX201))),-10,IF(OR(ISNUMBER(SEARCH("Grasslands",BX201)),ISNUMBER(SEARCH("TropicalRainforest",BX201)),ISNUMBER(SEARCH("TropicalSwamp",BX201))),10,0)))))))-IF(CC201="False",MIN(IFERROR(MAX(MROUND(LOG10(_xlfn.XLOOKUP(B201,'Base stats'!B:B,'Base stats'!C:C)^(2/3))*10,5),5),5),30))-_xlfn.XLOOKUP(B201,'Base stats'!B:B,'Base stats'!P:P)+IF(CC201="True",5,0)</f>
        <v>-15</v>
      </c>
      <c r="M201" s="2">
        <f>IF(OR(_xlfn.XLOOKUP(_xlfn.XLOOKUP(B201,'Base stats'!B:B,'Base stats'!E:E),Groups!A:A,Groups!G:G)=2,ISNUMBER(SEARCH("Desert",BX201)),ISNUMBER(SEARCH("ExtremeDesert",BX201)),ISNUMBER(SEARCH("LavaField",BX201))),50,IF(ISNUMBER(SEARCH("Grasslands",BX201)),45,IF(OR(_xlfn.XLOOKUP(_xlfn.XLOOKUP(B201,'Base stats'!B:B,'Base stats'!E:E),Groups!A:A,Groups!G:G)=1,ISNUMBER(SEARCH("TropicalRainforest",BX201)),ISNUMBER(SEARCH("TropicalSwamp",BX201))),40,IF(OR(ISNUMBER(SEARCH("TemperateForest",BX201)),ISNUMBER(SEARCH("TemperateSwamp",BX201))),35,IF(OR(ISNUMBER(SEARCH("Alpine",BX201)),ISNUMBER(SEARCH("BorealForest",BX201)),ISNUMBER(SEARCH("ColdBog",BX201))),30,IF(ISNUMBER(OR(ISNUMBER(SEARCH("GlacialPlain",BX201)),SEARCH("Tundra",BX201))),25,IF(OR(ISNUMBER(SEARCH("SeaIce",BX201)),ISNUMBER(SEARCH("IceSheet",BX201)),ISNUMBER(SEARCH("TropicalSwamp",BX201))),10,35)))))))+_xlfn.XLOOKUP(B201,'Base stats'!B:B,'Base stats'!Q:Q)</f>
        <v>40</v>
      </c>
      <c r="N201" s="8">
        <f>IF(
_xlfn.XLOOKUP(
_xlfn.XLOOKUP(B201,'Base stats'!B:B,'Base stats'!E:E),
Groups!A:A,
Groups!L:L
)=1,
MIN(
MROUND(
IF(
_xlfn.XLOOKUP(B201,'Animals CE'!B:B,'Animals CE'!Z:Z)&lt;=1.5,
_xlfn.XLOOKUP(B201,'Animals CE'!B:B,'Animals CE'!Z:Z)/2+0.05,
0.8+
(_xlfn.XLOOKUP(B201,'Animals CE'!B:B,'Animals CE'!Z:Z)-1.5)
*0.02
),
0.05
),
200%
),
"No"
)</f>
        <v>0.35000000000000003</v>
      </c>
      <c r="O201" s="8">
        <f>IF(
_xlfn.XLOOKUP(
_xlfn.XLOOKUP(B201,'Base stats'!B:B,'Base stats'!E:E),
Groups!A:A,
Groups!L:L
)=1,
MIN(
MROUND(
IF(
_xlfn.XLOOKUP(B201,'Animals CE'!B:B,'Animals CE'!AA:AA)&lt;=1.5,
_xlfn.XLOOKUP(B201,'Animals CE'!B:B,'Animals CE'!AA:AA)/2+0.05,
0.8+
(_xlfn.XLOOKUP(B201,'Animals CE'!B:B,'Animals CE'!AA:AA)-1.5)
*0.02
),
0.05
),
200%
),
"No"
)</f>
        <v>0.4</v>
      </c>
      <c r="P201" s="2">
        <f>_xlfn.XLOOKUP(B201,'Base stats'!B:B,'Base stats'!R:R)</f>
        <v>1</v>
      </c>
      <c r="Q201" s="13">
        <f>MROUND((LOG10(_xlfn.XLOOKUP(B201,'Base stats'!B:B,'Base stats'!AR:AR))*(AO201^0.5)+(_xlfn.XLOOKUP(B201,'Base stats'!B:B,'Base stats'!AR:AR)/1000)^(2/3)+_xlfn.XLOOKUP(B201,'Base stats'!B:B,'Base stats'!BA:BA)/2)+0.5,0.5)</f>
        <v>20.5</v>
      </c>
      <c r="R201" s="7">
        <f>IF(Q201="No","No",MAX(1,MROUND(_xlfn.XLOOKUP(B201,'Base stats'!B:B,'Base stats'!C:C)^0.165,0.05)))</f>
        <v>3.1500000000000004</v>
      </c>
      <c r="S201" s="13" t="str">
        <f>IF(_xlfn.XLOOKUP(_xlfn.XLOOKUP(B201,'Base stats'!B:B,'Base stats'!E:E),Groups!A:A,Groups!P:P)=0,"No",MROUND((LOG10(_xlfn.XLOOKUP(B201,'Base stats'!B:B,'Base stats'!AS:AS))*(AO201^0.5)+(_xlfn.XLOOKUP(B201,'Base stats'!B:B,'Base stats'!AS:AS)/1000)^(2/3)+_xlfn.XLOOKUP(B201,'Base stats'!B:B,'Base stats'!BA:BA))+_xlfn.XLOOKUP(B201,'Base stats'!B:B,'Base stats'!AY:AY)+0.5,0.5))</f>
        <v>No</v>
      </c>
      <c r="T201" s="7" t="str">
        <f>IF(S201="No","No",MAX(_xlfn.XLOOKUP(_xlfn.XLOOKUP(B201,'Base stats'!B:B,'Base stats'!E:E),Groups!A:A,Groups!Q:Q),MROUND(_xlfn.XLOOKUP(_xlfn.XLOOKUP(B201,'Base stats'!B:B,'Base stats'!E:E),Groups!A:A,Groups!Q:Q)*_xlfn.XLOOKUP(B201,'Base stats'!B:B,'Base stats'!C:C)^0.165,0.05)))</f>
        <v>No</v>
      </c>
      <c r="U201" s="7" t="str">
        <f>IF(S201="No","No",_xlfn.XLOOKUP(_xlfn.XLOOKUP(B201,'Base stats'!B:B,'Base stats'!E:E),Groups!A:A,Groups!R:R))</f>
        <v>No</v>
      </c>
      <c r="V201" s="7" t="str">
        <f>IF(S201="No","No",_xlfn.XLOOKUP(_xlfn.XLOOKUP(B201,'Base stats'!B:B,'Base stats'!E:E),Groups!A:A,Groups!S:S))</f>
        <v>No</v>
      </c>
      <c r="W201" s="7" t="str">
        <f>IF(S201="No","No",_xlfn.XLOOKUP(_xlfn.XLOOKUP(B201,'Base stats'!B:B,'Base stats'!E:E),Groups!A:A,Groups!T:T))</f>
        <v>No</v>
      </c>
      <c r="X201" s="13" t="str">
        <f>IF(_xlfn.XLOOKUP(B201,'Base stats'!B:B,'Base stats'!W:W)="No","No",MROUND((LOG10(_xlfn.XLOOKUP(B201,'Base stats'!B:B,'Base stats'!AU:AU))*(AO201^0.5)+(_xlfn.XLOOKUP(B201,'Base stats'!B:B,'Base stats'!AU:AU)/1000)^(2/3)+_xlfn.XLOOKUP(B201,'Base stats'!B:B,'Base stats'!AZ:AZ))+0.5+IF(_xlfn.XLOOKUP(_xlfn.XLOOKUP(B201,'Base stats'!B:B,'Base stats'!E:E),Groups!A:A,Groups!U:U)&lt;&gt;3,_xlfn.XLOOKUP(B201,'Base stats'!B:B,'Base stats'!BA:BA),0),0.5))</f>
        <v>No</v>
      </c>
      <c r="Y201" s="7" t="str">
        <f>IF(X201="No","No",MAX(_xlfn.XLOOKUP(_xlfn.XLOOKUP(B201,'Base stats'!B:B,'Base stats'!E:E),Groups!A:A,Groups!V:V),MROUND(_xlfn.XLOOKUP(_xlfn.XLOOKUP(B201,'Base stats'!B:B,'Base stats'!E:E),Groups!A:A,Groups!V:V)*_xlfn.XLOOKUP(B201,'Base stats'!B:B,'Base stats'!C:C)^0.165,0.05)))</f>
        <v>No</v>
      </c>
      <c r="Z201" s="7" t="str">
        <f>IF(X201="No","No",_xlfn.XLOOKUP(_xlfn.XLOOKUP(B201,'Base stats'!B:B,'Base stats'!E:E),Groups!A:A,Groups!W:W))</f>
        <v>No</v>
      </c>
      <c r="AA201" s="7" t="str">
        <f>IF(X201="No","No",_xlfn.XLOOKUP(_xlfn.XLOOKUP(B201,'Base stats'!B:B,'Base stats'!E:E),Groups!A:A,Groups!X:X))</f>
        <v>No</v>
      </c>
      <c r="AB201" s="7" t="str">
        <f>IF(X201="No","No",_xlfn.XLOOKUP(_xlfn.XLOOKUP(B201,'Base stats'!B:B,'Base stats'!E:E),Groups!A:A,Groups!Y:Y))</f>
        <v>No</v>
      </c>
      <c r="AC201" s="7" t="str">
        <f>_xlfn.XLOOKUP(Animals!B201,'Base stats'!B:B,'Base stats'!X:X)</f>
        <v>False</v>
      </c>
      <c r="AD201" s="13">
        <f>IF(_xlfn.XLOOKUP(B201,'Base stats'!B:B,'Base stats'!AT:AT)="No","No",MROUND((LOG10(_xlfn.XLOOKUP(B201,'Base stats'!B:B,'Base stats'!AT:AT))*(AO201^0.75)+(_xlfn.XLOOKUP(B201,'Base stats'!B:B,'Base stats'!AT:AT)/1000)^(2/3)+_xlfn.XLOOKUP(B201,'Base stats'!B:B,'Base stats'!AX:AX)+_xlfn.XLOOKUP(B201,'Base stats'!B:B,'Base stats'!BA:BA))+0.5,0.5))</f>
        <v>33.5</v>
      </c>
      <c r="AE201" s="7">
        <f>IF(AD201="No","No",MAX(_xlfn.XLOOKUP(_xlfn.XLOOKUP(B201,'Base stats'!B:B,'Base stats'!E:E),Groups!A:A,Groups!Z:Z),MROUND(_xlfn.XLOOKUP(_xlfn.XLOOKUP(B201,'Base stats'!B:B,'Base stats'!E:E),Groups!A:A,Groups!Z:Z)*_xlfn.XLOOKUP(B201,'Base stats'!B:B,'Base stats'!C:C)^0.165,0.05)))</f>
        <v>2.95</v>
      </c>
      <c r="AF201" s="7" t="str">
        <f>IF(AD201="No","No",_xlfn.XLOOKUP(_xlfn.XLOOKUP(B201,'Base stats'!B:B,'Base stats'!E:E),Groups!A:A,Groups!AA:AA))</f>
        <v>Teeth</v>
      </c>
      <c r="AG201" s="7" t="str">
        <f>IF(AD201="No","No",_xlfn.XLOOKUP(_xlfn.XLOOKUP(B201,'Base stats'!B:B,'Base stats'!E:E),Groups!A:A,Groups!AB:AB))</f>
        <v>teeth</v>
      </c>
      <c r="AH201" s="7" t="str">
        <f>IF(AD201="No","No",_xlfn.XLOOKUP(_xlfn.XLOOKUP(B201,'Base stats'!B:B,'Base stats'!E:E),Groups!A:A,Groups!AC:AC))</f>
        <v>Bite</v>
      </c>
      <c r="AI201" s="13" t="str">
        <f>IF(_xlfn.XLOOKUP(_xlfn.XLOOKUP(B201,'Base stats'!B:B,'Base stats'!E:E),Groups!A:A,Groups!AD:AD)=0,"No",MROUND((LOG10(_xlfn.XLOOKUP(B201,'Base stats'!B:B,'Base stats'!AS:AS))*(AO201^0.75)+(_xlfn.XLOOKUP(B201,'Base stats'!B:B,'Base stats'!AS:AS)/1000)^(2/3)+_xlfn.XLOOKUP(B201,'Base stats'!B:B,'Base stats'!AY:AY)+_xlfn.XLOOKUP(B201,'Base stats'!B:B,'Base stats'!BA:BA))+0.5,0.5))</f>
        <v>No</v>
      </c>
      <c r="AJ201" s="7" t="str">
        <f>IF(AI201="No","No",MAX(_xlfn.XLOOKUP(_xlfn.XLOOKUP(B201,'Base stats'!B:B,'Base stats'!E:E),Groups!A:A,Groups!AE:AE),MROUND(_xlfn.XLOOKUP(_xlfn.XLOOKUP(B201,'Base stats'!B:B,'Base stats'!E:E),Groups!A:A,Groups!AE:AE)*IF(_xlfn.XLOOKUP(_xlfn.XLOOKUP(B201,'Base stats'!B:B,'Base stats'!E:E),Groups!A:A,Groups!AJ:AJ)="Photonozoa",0.6,1)*_xlfn.XLOOKUP(B201,'Base stats'!B:B,'Base stats'!C:C)^0.165,0.05)))</f>
        <v>No</v>
      </c>
      <c r="AK201" s="7" t="str">
        <f>IF(AI201="No","No",_xlfn.XLOOKUP(_xlfn.XLOOKUP(B201,'Base stats'!B:B,'Base stats'!E:E),Groups!A:A,Groups!AF:AF))</f>
        <v>No</v>
      </c>
      <c r="AL201" s="7" t="str">
        <f>IF(AI201="No","No",_xlfn.XLOOKUP(_xlfn.XLOOKUP(B201,'Base stats'!B:B,'Base stats'!E:E),Groups!A:A,Groups!AG:AG))</f>
        <v>No</v>
      </c>
      <c r="AM201" s="7" t="str">
        <f>IF(AI201="No","No",_xlfn.XLOOKUP(_xlfn.XLOOKUP(B201,'Base stats'!B:B,'Base stats'!E:E),Groups!A:A,Groups!AH:AH))</f>
        <v>No</v>
      </c>
      <c r="AN201" s="2">
        <f t="shared" si="21"/>
        <v>35</v>
      </c>
      <c r="AO201" s="2">
        <f>MROUND(IF(AND(_xlfn.XLOOKUP(B201,'Base stats'!B:B,'Base stats'!C:C)&gt;=0.5,_xlfn.XLOOKUP(B201,'Base stats'!B:B,'Base stats'!C:C)&lt;=0.8),
IF(_xlfn.XLOOKUP(B201,'Base stats'!B:B,'Base stats'!C:C)&lt;0.1,0.05,IF(_xlfn.XLOOKUP(B201,'Base stats'!B:B,'Base stats'!C:C)&lt;=70,(_xlfn.XLOOKUP(B201,'Base stats'!B:B,'Base stats'!C:C)/70)^0.426489913056526,IF(_xlfn.XLOOKUP(B201,'Base stats'!B:B,'Base stats'!C:C)&lt;=400,(_xlfn.XLOOKUP(B201,'Base stats'!B:B,'Base stats'!C:C)/70)^0.572811455315093,IF(_xlfn.XLOOKUP(B201,'Base stats'!B:B,'Base stats'!C:C)&lt;=2000,2.71391647193063*(_xlfn.XLOOKUP(B201,'Base stats'!B:B,'Base stats'!C:C)/400)^0.252459582904293,3.74314280240376*(_xlfn.XLOOKUP(B201,'Base stats'!B:B,'Base stats'!C:C)/2000)^0.357012633876913)))),
IF(_xlfn.XLOOKUP(B201,'Base stats'!B:B,'Base stats'!C:C)&lt;0.1,0.05,IF(_xlfn.XLOOKUP(B201,'Base stats'!B:B,'Base stats'!C:C)&lt;0.4,0.1,IF(_xlfn.XLOOKUP(B201,'Base stats'!B:B,'Base stats'!C:C)&lt;=70,(_xlfn.XLOOKUP(B201,'Base stats'!B:B,'Base stats'!C:C)/70)^0.445823913056526,IF(_xlfn.XLOOKUP(B201,'Base stats'!B:B,'Base stats'!C:C)&lt;=400,(_xlfn.XLOOKUP(B201,'Base stats'!B:B,'Base stats'!C:C)/70)^0.572811455315093,IF(_xlfn.XLOOKUP(B201,'Base stats'!B:B,'Base stats'!C:C)&lt;=2000,2.71391647193063*(_xlfn.XLOOKUP(B201,'Base stats'!B:B,'Base stats'!C:C)/400)^0.252459582904293,3.74314280240376*(_xlfn.XLOOKUP(B201,'Base stats'!B:B,'Base stats'!C:C)/2000)^0.357012633876913)))))),
IF(_xlfn.XLOOKUP(B201,'Base stats'!B:B,'Base stats'!C:C)&lt;0.1,0.05,IF(_xlfn.XLOOKUP(B201,'Base stats'!B:B,'Base stats'!C:C)&lt;=100,0.05,IF(_xlfn.XLOOKUP(B201,'Base stats'!B:B,'Base stats'!C:C)&lt;=250,0.1,IF(_xlfn.XLOOKUP(B201,'Base stats'!B:B,'Base stats'!C:C)&lt;=4000,0.25,0.5)))))</f>
        <v>3.5</v>
      </c>
      <c r="AP201" s="8">
        <f>MROUND(AO201*_xlfn.XLOOKUP(_xlfn.XLOOKUP(B201,'Base stats'!B:B,'Base stats'!E:E),Groups!A:A,Groups!AI:AI)*_xlfn.XLOOKUP(B201,'Base stats'!B:B,'Base stats'!Z:Z),0.05)</f>
        <v>4.2</v>
      </c>
      <c r="AQ201" s="8">
        <f>MAX(0.01,MROUND(IF(CC201="True",0.196*(AO201*100*1000)^0.889,IF(_xlfn.XLOOKUP(_xlfn.XLOOKUP(B201,'Base stats'!B:B,'Base stats'!E:E),Groups!A:A,Groups!AJ:AJ)="Bird",10.5*(AO201*100*1000)^0.681,4.82*(AO201*100*1000)^0.734))/(4.82*(1*100*1000)^0.734)/IF(AO201&lt;3.5,2,IF(AO201=3.5,1.5,1.25))*(1+0.132282374779864/(AO201^0.994035016789033+0.00905238001496948)),0.05))</f>
        <v>0.5</v>
      </c>
      <c r="AR201" s="9">
        <f>IFERROR(MROUND(_xlfn.XLOOKUP(B201,'Base stats'!B:B,'Base stats'!H:H)/IF(_xlfn.XLOOKUP(B201,'Base stats'!B:B,'Base stats'!I:I)&lt;&gt;1,(122.5/70),1.2),IF(_xlfn.XLOOKUP(B201,'Base stats'!B:B,'Base stats'!H:H)&gt;=30,5,IF(_xlfn.XLOOKUP(B201,'Base stats'!B:B,'Base stats'!H:H)&gt;=15,3,IF(_xlfn.XLOOKUP(B201,'Base stats'!B:B,'Base stats'!H:H)&gt;=10,2,1)))),"Immortal")</f>
        <v>40</v>
      </c>
      <c r="AS201" s="35" t="str">
        <f>IFERROR(IF(OR(_xlfn.XLOOKUP(B201,'Base stats'!B:B,'Base stats'!F:F)="Atypical reproduction",_xlfn.XLOOKUP(B201,'Base stats'!B:B,'Base stats'!F:F)="Lay eggs"),"Lay eggs",MIN(20,MAX(5.5,ROUND(((_xlfn.XLOOKUP(B201,'Base stats'!B:B,'Base stats'!F:F)-25)*(14.5/615) + 5.5)*2,0)/2))),"Unknown")</f>
        <v>Lay eggs</v>
      </c>
      <c r="AT201" s="8">
        <f>IF(_xlfn.XLOOKUP(B201,'Base stats'!B:B,'Base stats'!G:G)="Atypical reproduction","No",IFERROR(MAX(IF(_xlfn.XLOOKUP(B201,'Base stats'!B:B,'Base stats'!G:G)&lt;0.5,0.2,0.3),MROUND(_xlfn.XLOOKUP(B201,'Base stats'!B:B,'Base stats'!G:G)/(365/60),0.2)),"Unknown"))</f>
        <v>2.4000000000000004</v>
      </c>
      <c r="AU201" s="8">
        <f t="shared" si="22"/>
        <v>1.2000000000000002</v>
      </c>
      <c r="AV201" s="8" t="str">
        <f>IFERROR(IFERROR(MROUND(_xlfn.XLOOKUP(B201,'Base stats'!B:B,'Base stats'!J:J),0.1),"Lay eggs"),"Cannot breed")</f>
        <v>Lay eggs</v>
      </c>
      <c r="AW201" s="2" t="str">
        <f t="shared" si="23"/>
        <v>false</v>
      </c>
      <c r="AX201" s="2" t="str">
        <f>IF(_xlfn.XLOOKUP(_xlfn.XLOOKUP(Animals!B201,'Base stats'!B:B,'Base stats'!E:E),Groups!A:A,Groups!AK:AK)=1,"true","false")</f>
        <v>false</v>
      </c>
      <c r="AY201" s="25" t="str">
        <f>IF(_xlfn.XLOOKUP(B201,'Base stats'!B:B,'Base stats'!Y:Y)="Liquor","Liquor, CarnivoreAnimalStrict",IF(AND(_xlfn.XLOOKUP(B201,'Base stats'!B:B,'Base stats'!Y:Y)="Carnivore",_xlfn.XLOOKUP(_xlfn.XLOOKUP(B201,'Base stats'!B:B,'Base stats'!E:E),Groups!A:A,Groups!AJ:AJ)="Photonozoa"),"CarnivoreAnimalStrict, OvivoreAnimal",IF(_xlfn.XLOOKUP(B201,'Base stats'!B:B,'Base stats'!Y:Y)="Carnivore","CarnivoreAnimal, OvivoreAnimal",IF(_xlfn.XLOOKUP(B201,'Base stats'!B:B,'Base stats'!Y:Y)="Dendrovore","VegetarianRoughAnimal, DendrovoreAnimal",IF(_xlfn.XLOOKUP(B201,'Base stats'!B:B,'Base stats'!Y:Y)="Herbivore","VegetarianRoughAnimal",IF(_xlfn.XLOOKUP(B201,'Base stats'!B:B,'Base stats'!Y:Y)="OmnivoreRough","OmnivoreRoughAnimal, OvivoreAnimal","OmnivoreAnimal, OvivoreAnimal"))))))</f>
        <v>CarnivoreAnimal, OvivoreAnimal</v>
      </c>
      <c r="AZ201" s="2" t="str">
        <f>IF(_xlfn.XLOOKUP(_xlfn.XLOOKUP(B201,'Base stats'!B:B,'Base stats'!E:E),Groups!A:A,Groups!D:D)=1,MROUND((1-J201)*5+1,2)*IF(J201&lt;=0.4,2,1),"No")</f>
        <v>No</v>
      </c>
      <c r="BA201" s="2" t="str">
        <f>IF(AND(_xlfn.XLOOKUP(B201,'Base stats'!B:B,'Base stats'!AH:AH)="&lt;li&gt;Seal&lt;/li&gt;",G201="Odyssey"),"&lt;li&gt;AEXP_Seal&lt;/li&gt;",_xlfn.XLOOKUP(B201,'Base stats'!B:B,'Base stats'!AH:AH))</f>
        <v>No</v>
      </c>
      <c r="BB201" s="2" t="str">
        <f>_xlfn.XLOOKUP(B201,'Base stats'!B:B,'Base stats'!AG:AG)</f>
        <v>VAEWaste_ToxicLeather</v>
      </c>
      <c r="BC201" s="23" t="str">
        <f>_xlfn.XLOOKUP(_xlfn.XLOOKUP(B201,'Base stats'!B:B,'Base stats'!E:E),Groups!A:A,Groups!AL:AL)</f>
        <v>QuadrupedAnimalWithClawsTailAndJowl</v>
      </c>
      <c r="BD201" s="23">
        <f>MIN(1,MROUND(IF(AND(AO201&lt;0.5,_xlfn.XLOOKUP(B201,'Base stats'!B:B,'Base stats'!AA:AA)=0),0,IF(OR(_xlfn.XLOOKUP(Animals!B201,'Base stats'!B:B,'Base stats'!O:O)=2,_xlfn.XLOOKUP(_xlfn.XLOOKUP(B201,'Base stats'!B:B,'Base stats'!E:E),Groups!A:A,Groups!AN:AN)=0),0,_xlfn.XLOOKUP(_xlfn.XLOOKUP(B201,'Base stats'!B:B,'Base stats'!E:E),Groups!A:A,Groups!AN:AN)/IF(_xlfn.XLOOKUP(Animals!B201,'Base stats'!B:B,'Base stats'!O:O)=1,2,1)))+_xlfn.XLOOKUP(B201,'Base stats'!B:B,'Base stats'!AC:AC),0.005))</f>
        <v>0.1</v>
      </c>
      <c r="BE201" s="23">
        <f>MIN(1,MROUND(IF(AND(AO201&lt;0.5,_xlfn.XLOOKUP(B201,'Base stats'!B:B,'Base stats'!AA:AA)=0),0,IF(_xlfn.XLOOKUP(_xlfn.XLOOKUP(B201,'Base stats'!B:B,'Base stats'!E:E),Groups!A:A,Groups!AO:AO)=0,0,_xlfn.XLOOKUP(_xlfn.XLOOKUP(B201,'Base stats'!B:B,'Base stats'!E:E),Groups!A:A,Groups!AO:AO)/IF(_xlfn.XLOOKUP(Animals!B201,'Base stats'!B:B,'Base stats'!O:O)=2,3,1)))+_xlfn.XLOOKUP(B201,'Base stats'!B:B,'Base stats'!AD:AD),0.005))</f>
        <v>0.3</v>
      </c>
      <c r="BF201" s="2" t="str">
        <f>IF(J201&gt;0.3,"No",_xlfn.XLOOKUP(_xlfn.XLOOKUP(Animals!B201,'Base stats'!B:B,'Base stats'!E:E),Groups!A:A,Groups!AP:AP))</f>
        <v>No</v>
      </c>
      <c r="BG201" s="2" t="str">
        <f>IF(AND(J201&lt;=0.65,_xlfn.XLOOKUP(_xlfn.XLOOKUP(Animals!B201,'Base stats'!B:B,'Base stats'!E:E),Groups!A:A,Groups!AP:AP)&lt;&gt;"No",_xlfn.XLOOKUP(_xlfn.XLOOKUP(B201,'Base stats'!B:B,'Base stats'!E:E),Groups!A:A,Groups!D:D)=0),MROUND((80/3)*IF(_xlfn.XLOOKUP(B201,'Base stats'!B:B,'Base stats'!O:O)=2,0.2,AO201) + 24*(1-IF(BF201="No",0,BF201)) + 16/3, 12),"No")</f>
        <v>No</v>
      </c>
      <c r="BH201" s="2">
        <f>IF(AND(_xlfn.XLOOKUP(_xlfn.XLOOKUP(B201,'Base stats'!B:B,'Base stats'!E:E),Groups!A:A,Groups!AQ:AQ)=1,AO201&lt;=0.35),8,12)</f>
        <v>12</v>
      </c>
      <c r="BI201" s="2" t="str">
        <f>IF(_xlfn.XLOOKUP(_xlfn.XLOOKUP(B201,'Base stats'!B:B,'Base stats'!E:E),Groups!A:A,Groups!D:D)=0,_xlfn.XLOOKUP(_xlfn.XLOOKUP(B201,'Base stats'!B:B,'Base stats'!E:E),Groups!A:A,Groups!AR:AR),"None")</f>
        <v>None</v>
      </c>
      <c r="BJ201" s="2" t="str">
        <f>IF(AND(_xlfn.XLOOKUP(_xlfn.XLOOKUP(B201,'Base stats'!B:B,'Base stats'!E:E),Groups!A:A,Groups!AS:AS)=1,OR(_xlfn.XLOOKUP(B201,'Base stats'!B:B,'Base stats'!Y:Y)="Carnivore",_xlfn.XLOOKUP(B201,'Base stats'!B:B,'Base stats'!Y:Y)="Omnivore")),"true","false")</f>
        <v>true</v>
      </c>
      <c r="BK201" s="2">
        <f>IF(BJ201="true",MROUND(IF(AND(AO201&gt;0.5,OR(_xlfn.XLOOKUP(_xlfn.XLOOKUP(B201,'Base stats'!B:B,'Base stats'!E:E),Groups!A:A,Groups!AJ:AJ)="Photonozoa",_xlfn.XLOOKUP(_xlfn.XLOOKUP(B201,'Base stats'!B:B,'Base stats'!E:E),Groups!A:A,Groups!AJ:AJ)="Mammal")),Animals!AO201*1.75*IF(AW201="true",1.5,1),IF(AO201&lt;0.5,Animals!AO201*0.5,Animals!AO201)),IF(AO201&gt;2,0.5,IF(AO201&gt;0.5,0.25,0.1))),"No")</f>
        <v>3.5</v>
      </c>
      <c r="BL201" s="2">
        <f t="shared" si="24"/>
        <v>0</v>
      </c>
      <c r="BM201" s="25">
        <f>IF(_xlfn.XLOOKUP(B201,'Base stats'!B:B,'Base stats'!AN:AN)="Standard","No",MROUND((_xlfn.XLOOKUP(B201,'Base stats'!B:B,'Base stats'!AN:AN)/3.6)/I201,0.1))</f>
        <v>2.8000000000000003</v>
      </c>
      <c r="BN201" s="25" t="str">
        <f t="shared" si="25"/>
        <v>true</v>
      </c>
      <c r="BO201" s="25" t="str">
        <f>IF(AND(OR(_xlfn.XLOOKUP(B201,'Base stats'!B:B,'Base stats'!Y:Y)="Carnivore",_xlfn.XLOOKUP(B201,'Base stats'!B:B,'Base stats'!Y:Y)="Omnivore",_xlfn.XLOOKUP(B201,'Base stats'!B:B,'Base stats'!Y:Y)="OmnivoreRough"),_xlfn.XLOOKUP(_xlfn.XLOOKUP(B201,'Base stats'!B:B,'Base stats'!E:E),Groups!A:A,Groups!AT:AT)=1),"true","false")</f>
        <v>true</v>
      </c>
      <c r="BP201" s="25" t="str" cm="1">
        <f t="array" ref="BP201">IF(
  _xlfn.TEXTJOIN(", ",TRUE,
    IF(AND(BJ201="true",AO201&gt;0.5,BI201&lt;&gt;"None"),"AttackTarget",""),
    IF(AND(_xlfn.XLOOKUP(_xlfn.XLOOKUP(B201,'Base stats'!B:B,'Base stats'!E:E),Groups!A:A,Groups!AJ:AJ="Mammal"),OR(_xlfn.XLOOKUP(B201,'Base stats'!B:B,'Base stats'!Y:Y)="Omnivore",_xlfn.XLOOKUP(B201,'Base stats'!B:B,'Base stats'!Y:Y)="OmnivoreRough")),"Forage",""),
    IF(BG201&lt;=36,"Comfort",""),
    IF(_xlfn.XLOOKUP(B201,'Base stats'!B:B,'Base stats'!AE:AE)&lt;&gt;"No",_xlfn.XLOOKUP(B201,'Base stats'!B:B,'Base stats'!AE:AE),"")
  ) = "",
  "No",
  _xlfn.TEXTJOIN(", ",TRUE,
    IF(AND(BJ201="true",AO201&gt;0.5,BI201&lt;&gt;"None"),"AttackTarget",""),
    IF(AND(_xlfn.XLOOKUP(_xlfn.XLOOKUP(B201,'Base stats'!B:B,'Base stats'!E:E),Groups!A:A,Groups!AJ:AJ="Mammal"),OR(_xlfn.XLOOKUP(B201,'Base stats'!B:B,'Base stats'!Y:Y)="Omnivore",_xlfn.XLOOKUP(B201,'Base stats'!B:B,'Base stats'!Y:Y)="OmnivoreRough")),"Forage",""),
    IF(BG201&lt;=36,"Comfort",""),
    IF(_xlfn.XLOOKUP(B201,'Base stats'!B:B,'Base stats'!AE:AE)&lt;&gt;"No",_xlfn.XLOOKUP(B201,'Base stats'!B:B,'Base stats'!AE:AE),"")
  )
)</f>
        <v>No</v>
      </c>
      <c r="BQ201" s="25">
        <f>IF(
   AND(
      'Base stats'!AN201="Standard",_xlfn.XLOOKUP(_xlfn.XLOOKUP(B201,'Base stats'!B:B,'Base stats'!E:E),Groups!A:A,Groups!AU:AU)=0,
      OR(
      BO201="True"
      )
   ),
   10,
   IF(
       OR(BM201&lt;&gt;"No",_xlfn.XLOOKUP(_xlfn.XLOOKUP(B201,'Base stats'!B:B,'Base stats'!E:E),Groups!A:A,Groups!AU:AU)=1),
      1,
      "No"
   )
)</f>
        <v>1</v>
      </c>
      <c r="BR201" s="9">
        <f>MROUND((1 + ((0.2*IF(OR(Q201="No",R201="No",R201=0),0,Q201/R201)
+IF(OR(V201="No",S201="No",T201="No"),0,S201/T201*(LEN(V201)-LEN(SUBSTITUTE(V201,",",""))+1))
+IF(OR(X201="No",Y201="No"),0,X201/Y201)
+IF(OR(AD201="No",AE201="No"),0,AD201/AE201)
+IF(OR(AL201="No",AI201="No",AJ201="No"),0,AI201/AJ201*(LEN(AL201)-LEN(SUBSTITUTE(AL201,",",""))+1))
)/(0.2*IF(OR(Q201="No",R201="No",R201=0),0,1)
+IF(OR(V201="No",S201="No",T201="No"),0,LEN(V201)-LEN(SUBSTITUTE(V201,",",""))+1)
+IF(OR(X201="No",Y201="No"),0,1)
+IF(OR(AD201="No",AE201="No"),0,1)
+IF(OR(AL201="No",AI201="No",AJ201="No"),0,LEN(AL201)-LEN(SUBSTITUTE(AL201,",",""))+1))*62%)* 2)*(1 + (AP201 / (IF(_xlfn.XLOOKUP(_xlfn.XLOOKUP(B201,'Base stats'!B:B,'Base stats'!E:E),Groups!A:A,Groups!AJ:AJ)="Photonozoa",0.3,1)) + _xlfn.XLOOKUP(B201,'Base stats'!B:B,'Base stats'!AV:AV) * 1.8) * 2) * 2.5 + 10 + I201 * 2,5)+IF(_xlfn.XLOOKUP(B201,'Base stats'!B:B,'Base stats'!AK:AK)=1,50,0)</f>
        <v>390</v>
      </c>
      <c r="BS201" s="8">
        <f t="shared" si="26"/>
        <v>1.1000000000000001</v>
      </c>
      <c r="BT201" s="8" t="str">
        <f>_xlfn.XLOOKUP(B201,'Base stats'!B:B,'Base stats'!AF:AF)</f>
        <v>No</v>
      </c>
      <c r="BU201" s="2" t="str">
        <f>IF(AND(J201&lt;=0.95,OR(_xlfn.XLOOKUP(B201,'Base stats'!B:B,'Base stats'!AK:AK)=1,_xlfn.XLOOKUP(B201,'Base stats'!B:B,'Base stats'!Y:Y)="Carnivore",_xlfn.XLOOKUP(B201,'Base stats'!B:B,'Base stats'!Y:Y)="Omnivore",BE201&gt;0.1)),"true","false")</f>
        <v>false</v>
      </c>
      <c r="BV201" s="2" t="str">
        <f>IF(_xlfn.XLOOKUP(B201,'Base stats'!B:B,'Base stats'!AI:AI)=1,"true","false")</f>
        <v>false</v>
      </c>
      <c r="BW201" s="25" t="str">
        <f>IF(E201="BaseInsect","AnimalInsect",
IF(J201&gt;0.95,"AnimalExotic",
_xlfn.TEXTJOIN(", ",TRUE,
IF(OR(_xlfn.XLOOKUP(B201,'Base stats'!B:B,'Base stats'!AM:AM)=1,AND(_xlfn.XLOOKUP(B201,'Base stats'!B:B,'Base stats'!O:O)=0,_xlfn.XLOOKUP(_xlfn.XLOOKUP(B201,'Base stats'!B:B,'Base stats'!E:E),Groups!A:A,Groups!B:B)&gt;0)),"AnimalUncommon","AnimalCommon"),
IF(AND(_xlfn.XLOOKUP(B201,'Base stats'!B:B,'Base stats'!O:O)=2,_xlfn.XLOOKUP(_xlfn.XLOOKUP(B201,'Base stats'!B:B,'Base stats'!E:E),Groups!A:A,Groups!D:D)=0),"AnimalPet",IF(AND(_xlfn.XLOOKUP(B201,'Base stats'!B:B,'Base stats'!O:O)&lt;&gt;0,_xlfn.XLOOKUP(_xlfn.XLOOKUP(B201,'Base stats'!B:B,'Base stats'!E:E),Groups!A:A,Groups!D:D)&lt;&gt;0),"AnimalFarm","")),
IF(OR(_xlfn.XLOOKUP(B201,'Base stats'!B:B,'Base stats'!AK:AK)=1,AND(BI201&lt;&gt;"None",BR201&gt;=60),ISNUMBER(SEARCH("Attack target",BP201))),"AnimalFighter","")
)))</f>
        <v>AnimalExotic</v>
      </c>
      <c r="BX201" s="25" t="str">
        <f>IF(G201="None",TRIM(
SUBSTITUTE(
IF(COUNTIF(Biomes!B$2:B$259,"="&amp;$C201)&gt;0,Biomes!B$1&amp;", ","")&amp;
IF(COUNTIF(Biomes!C$2:C$259,"="&amp;$C201)&gt;0,Biomes!C$1&amp;", ","")&amp;
IF(COUNTIF(Biomes!D$2:D$259,"="&amp;$C201)&gt;0,Biomes!D$1&amp;", ","")&amp;
IF(COUNTIF(Biomes!F$2:F$259,"="&amp;$C201)&gt;0,Biomes!F$1&amp;", ","")&amp;
IF(COUNTIF(Biomes!G$2:G$259,"="&amp;$C201)&gt;0,Biomes!G$1&amp;", ","")&amp;
IF(COUNTIF(Biomes!H$2:H$259,"="&amp;$C201)&gt;0,Biomes!H$1&amp;", ","")&amp;
IF(COUNTIF(Biomes!I$2:I$259,"="&amp;$C201)&gt;0,Biomes!I$1&amp;", ","")&amp;
IF(COUNTIF(Biomes!J$2:J$259,"="&amp;$C201)&gt;0,Biomes!J$1&amp;", ","")&amp;
IF(COUNTIF(Biomes!M$2:M$259,"="&amp;$C201)&gt;0,Biomes!M$1&amp;", ","")&amp;
IF(COUNTIF(Biomes!N$2:N$259,"="&amp;$C201)&gt;0,Biomes!N$1&amp;", ","")&amp;
IF(COUNTIF(Biomes!O$2:O$259,"="&amp;$C201)&gt;0,Biomes!O$1&amp;", ","")&amp;
IF(COUNTIF(Biomes!P$2:P$259,"="&amp;$C201)&gt;0,Biomes!P$1&amp;", ","")&amp;
IF(COUNTIF(Biomes!K$2:K$259,"="&amp;$C201)&gt;0,Biomes!K$1&amp;", ","")&amp;
IF(COUNTIF(Biomes!Q$3:Q$259,"="&amp;$C201)&gt;0,Biomes!Q$1&amp;", ","")&amp;
IF(COUNTIF(Biomes!L$2:L$259,"="&amp;$C201)&gt;0,Biomes!L$1&amp;", ","")&amp;
IF(COUNTIF(Biomes!E$2:E$259,"="&amp;$C201)&gt;0,Biomes!E$1&amp;", ","")&amp;IF(COUNTIF(Biomes!S$2:S$259,"="&amp;$C201)&gt;0,Biomes!S$1&amp;", ","")&amp;
IF(COUNTIF(Biomes!R$2:R$259,"="&amp;$C201)&gt;0,Biomes!R$1&amp;", ",""),", ","")
),_xlfn.XLOOKUP(B201,B:B,BX:BX))</f>
        <v>TemperateSwamp TropicalSwamp Glowforest Scarlands</v>
      </c>
      <c r="BY201" s="25" t="str">
        <f>IF(_xlfn.XLOOKUP(B201,'Base stats'!B:B,'Base stats'!AJ:AJ)=1,"true","false")</f>
        <v>false</v>
      </c>
      <c r="BZ201" s="25" t="str">
        <f>IF(_xlfn.XLOOKUP(B201,'Base stats'!B:B,'Base stats'!N:N)=1,"No",MAX(0.001,MIN(MROUND(IF(AND(BJ201="True",CC201="False"),POWER(10,3.47*LOG10(_xlfn.XLOOKUP(B201,'Base stats'!B:B,'Base stats'!C:C)*1000)^-0.96),POWER(10,4.15*LOG10(_xlfn.XLOOKUP(B201,'Base stats'!B:B,'Base stats'!C:C)*1000)^-0.73))*IF(_xlfn.XLOOKUP(B201,'Base stats'!B:B,'Base stats'!AK:AK)=1,0.5,1)*IF(_xlfn.XLOOKUP(B201,'Base stats'!B:B,'Base stats'!AM:AM)=1,0.1,1)/100,IF(_xlfn.XLOOKUP(B201,'Base stats'!B:B,'Base stats'!AM:AM)=1,0.001,0.025)),0.5)))</f>
        <v>No</v>
      </c>
      <c r="CA201" s="25">
        <f>IF(P201="Standard","No",MAX(0.001,MIN(MROUND(IF(AND(BJ201="True",CC201="False"),POWER(10,3.47*LOG10(_xlfn.XLOOKUP(B201,'Base stats'!B:B,'Base stats'!C:C)*1000)^-0.96),POWER(10,4.15*LOG10(_xlfn.XLOOKUP(B201,'Base stats'!B:B,'Base stats'!C:C)*1000)^-0.73))*IF(_xlfn.XLOOKUP(B201,'Base stats'!B:B,'Base stats'!AM:AM)=1,0.1,1)*_xlfn.XLOOKUP(B201,'Base stats'!B:B,'Base stats'!R:R)/100,IF(_xlfn.XLOOKUP(B201,'Base stats'!B:B,'Base stats'!AM:AM)=1,0.001,0.025)),0.5)))</f>
        <v>0.125</v>
      </c>
      <c r="CB201" s="25" t="str">
        <f>IF(_xlfn.XLOOKUP(_xlfn.XLOOKUP(B201,'Base stats'!B:B,'Base stats'!E:E),Groups!A:A,Groups!AJ:AJ)="Mammal","True","False")</f>
        <v>False</v>
      </c>
      <c r="CC201" s="25" t="str">
        <f>IF(OR(_xlfn.XLOOKUP(_xlfn.XLOOKUP(B201,'Base stats'!B:B,'Base stats'!E:E),Groups!A:A,Groups!AJ:AJ)="Reptile",_xlfn.XLOOKUP(_xlfn.XLOOKUP(B201,'Base stats'!B:B,'Base stats'!E:E),Groups!A:A,Groups!AJ:AJ)="Amphibian",_xlfn.XLOOKUP(_xlfn.XLOOKUP(B201,'Base stats'!B:B,'Base stats'!E:E),Groups!A:A,Groups!AJ:AJ)="Invertebrate"),"True","False")</f>
        <v>True</v>
      </c>
      <c r="CD201" s="25" t="str">
        <f t="shared" si="27"/>
        <v>True</v>
      </c>
      <c r="CE201" s="25" t="str">
        <f>IF(_xlfn.XLOOKUP(_xlfn.XLOOKUP(B201,'Base stats'!B:B,'Base stats'!E:E),Groups!A:A,Groups!AX:AX),"True","False")</f>
        <v>False</v>
      </c>
      <c r="CF201" s="25" t="str">
        <f>IF(_xlfn.XLOOKUP(_xlfn.XLOOKUP(B201,'Base stats'!B:B,'Base stats'!E:E),Groups!A:A,Groups!AY:AY),"True","False")</f>
        <v>False</v>
      </c>
      <c r="CG201" s="25" t="str">
        <f>IF(_xlfn.XLOOKUP(_xlfn.XLOOKUP(B201,'Base stats'!B:B,'Base stats'!E:E),Groups!A:A,Groups!AW:AW),"True","False")</f>
        <v>False</v>
      </c>
      <c r="CH201" s="25" t="str">
        <f>IF(
OR(
_xlfn.XLOOKUP(_xlfn.XLOOKUP(B201,'Base stats'!B:B,'Base stats'!E:E),Groups!A:A,Groups!AZ:AZ)=0,
AND(
_xlfn.XLOOKUP(B201,'Base stats'!B:B,'Base stats'!Y:Y)&lt;&gt;"Carnivore",
_xlfn.XLOOKUP(B201,'Base stats'!B:B,'Base stats'!Y:Y)&lt;&gt;"Omnivore",
_xlfn.XLOOKUP(B201,'Base stats'!B:B,'Base stats'!Y:Y)&lt;&gt;"OmnivoreRough"
)
),
"No",
IF(
_xlfn.XLOOKUP(_xlfn.XLOOKUP(B201,'Base stats'!B:B,'Base stats'!E:E),Groups!A:A,Groups!AZ:AZ)=1,
"Flesh",
IF(
_xlfn.XLOOKUP(_xlfn.XLOOKUP(B201,'Base stats'!B:B,'Base stats'!E:E),Groups!A:A,Groups!AZ:AZ)=2,
"Bone",
""
)
)
)</f>
        <v>Bone</v>
      </c>
      <c r="CI201" s="25" t="str">
        <f>IF(_xlfn.XLOOKUP(_xlfn.XLOOKUP(B201,'Base stats'!B:B,'Base stats'!E:E),Groups!A:A,Groups!BB:BB),"True","False")</f>
        <v>False</v>
      </c>
      <c r="CJ201" s="25" t="str">
        <f>IF(_xlfn.XLOOKUP(_xlfn.XLOOKUP(B201,'Base stats'!B:B,'Base stats'!E:E),Groups!A:A,Groups!BA:BA),"True","False")</f>
        <v>False</v>
      </c>
    </row>
    <row r="202" spans="1:88" s="16" customFormat="1" ht="16.5" thickTop="1" thickBot="1" x14ac:dyDescent="0.3">
      <c r="A202" s="26" t="str">
        <f>_xlfn.XLOOKUP(B202,'Base stats'!B:B,'Base stats'!A:A)</f>
        <v>Toxafox</v>
      </c>
      <c r="B202" s="6" t="s">
        <v>1290</v>
      </c>
      <c r="C202" s="28" t="s">
        <v>1291</v>
      </c>
      <c r="D202" s="28" t="s">
        <v>1281</v>
      </c>
      <c r="E202" s="28" t="s">
        <v>673</v>
      </c>
      <c r="F202" s="28" t="s">
        <v>673</v>
      </c>
      <c r="G202" s="28" t="s">
        <v>673</v>
      </c>
      <c r="H202" s="2">
        <f>MROUND((
  (IF(AND(_xlfn.XLOOKUP(B202,'Base stats'!B:B,'Base stats'!AL:AL)=0,BI202="None",_xlfn.XLOOKUP(_xlfn.XLOOKUP(B202,'Base stats'!B:B,'Base stats'!E:E),Groups!A:A,Groups!B:B)=0), (18 + BR202 * 2.7) * 0.5,
    IF(AND(_xlfn.XLOOKUP(B202,'Base stats'!B:B,'Base stats'!AL:AL)=0,OR(AO202&lt;0.55,AND(BI202="Intermediate",_xlfn.XLOOKUP(_xlfn.XLOOKUP(B202,'Base stats'!B:B,'Base stats'!E:E),Groups!A:A,Groups!B:B)&lt;2))), (18 + BR202 * 2.7),
      IF(OR(BI202="Advanced",_xlfn.XLOOKUP(B202,'Base stats'!B:B,'Base stats'!AL:AL)=1,_xlfn.XLOOKUP(_xlfn.XLOOKUP(B202,'Base stats'!B:B,'Base stats'!E:E),Groups!A:A,Groups!B:B)=2), (18 + BR202 * 2.7) + 250, (18 + BR202 * 2.7))
    )
  ))
  + AO202 * 80
  + IF(COUNTIF(EggMilk!K$2:K$998, A202) &gt; 0, 125, 0)
  + IF(COUNTIF(EggMilk!P$2:P$998, A202) &gt; 0, 90, 0)
  + IF(COUNTIF(EggMilk!A$2:A$998, A202) &gt; 0, 90, 0)
)
* (0.8 + 0.4 * J202)
* 0.75,25)</f>
        <v>150</v>
      </c>
      <c r="I202" s="2">
        <f>MROUND(ROUNDDOWN(_xlfn.XLOOKUP(B202,'Base stats'!B:B,'Base stats'!L:L)/3.6/(23.3/11),1),0.5)</f>
        <v>6</v>
      </c>
      <c r="J202" s="2">
        <f>IF(OR(_xlfn.XLOOKUP(B202,'Base stats'!B:B,'Base stats'!AB:AB)=1,_xlfn.XLOOKUP(_xlfn.XLOOKUP(B202,'Base stats'!B:B,'Base stats'!E:E),Groups!A:A,Groups!C:C)="Untamable"),1,IF(_xlfn.XLOOKUP(B202,'Base stats'!B:B,'Base stats'!AL:AL)=1,0.99,MIN(MROUND((1-0.6282*EXP(-0.459*AO202))*_xlfn.XLOOKUP(_xlfn.XLOOKUP(B202,'Base stats'!B:B,'Base stats'!E:E),Groups!A:A,Groups!C:C)*IF(_xlfn.XLOOKUP(B202,'Base stats'!B:B,'Base stats'!O:O)=1,0.5,IF(_xlfn.XLOOKUP(B202,'Base stats'!B:B,'Base stats'!O:O)=2,0,1)),0.05),IF(AO202&gt;3.5,0.985,0.95))))</f>
        <v>0.60000000000000009</v>
      </c>
      <c r="K202" s="2">
        <f>ROUNDUP(AO202*_xlfn.XLOOKUP(_xlfn.XLOOKUP(B202,'Base stats'!B:B,'Base stats'!E:E),Groups!A:A,Groups!E:E),0)</f>
        <v>1</v>
      </c>
      <c r="L202" s="2">
        <f>IF(OR(_xlfn.XLOOKUP(_xlfn.XLOOKUP(B202,'Base stats'!B:B,'Base stats'!E:E),Groups!A:A,Groups!F:F)=2,ISNUMBER(SEARCH("SeaIce",BX202)),ISNUMBER(SEARCH("IceSheet",BX202))),-50,IF(OR(ISNUMBER(SEARCH("GlacialPlain",BX202)),ISNUMBER(SEARCH("Tundra",BX202))),-40,IF(OR(ISNUMBER(SEARCH("Alpine",BX202)),ISNUMBER(SEARCH("BorealForest",BX202)),ISNUMBER(SEARCH("ColdBog",BX202))),-30,IF(OR(ISNUMBER(SEARCH("TemperateForest",BX202)),ISNUMBER(SEARCH("TemperateSwamp",BX202))),-20,IF(_xlfn.XLOOKUP(_xlfn.XLOOKUP(B202,'Base stats'!B:B,'Base stats'!E:E),Groups!A:A,Groups!F:F)=1,-15,IF(OR(ISNUMBER(SEARCH("Desert",BX202)),ISNUMBER(SEARCH("ExtremeDesert",BX202))),-10,IF(OR(ISNUMBER(SEARCH("Grasslands",BX202)),ISNUMBER(SEARCH("TropicalRainforest",BX202)),ISNUMBER(SEARCH("TropicalSwamp",BX202))),10,0)))))))-IF(CC202="False",MIN(IFERROR(MAX(MROUND(LOG10(_xlfn.XLOOKUP(B202,'Base stats'!B:B,'Base stats'!C:C)^(2/3))*10,5),5),5),30))-_xlfn.XLOOKUP(B202,'Base stats'!B:B,'Base stats'!P:P)+IF(CC202="True",5,0)</f>
        <v>-45</v>
      </c>
      <c r="M202" s="2">
        <f>IF(OR(_xlfn.XLOOKUP(_xlfn.XLOOKUP(B202,'Base stats'!B:B,'Base stats'!E:E),Groups!A:A,Groups!G:G)=2,ISNUMBER(SEARCH("Desert",BX202)),ISNUMBER(SEARCH("ExtremeDesert",BX202)),ISNUMBER(SEARCH("LavaField",BX202))),50,IF(ISNUMBER(SEARCH("Grasslands",BX202)),45,IF(OR(_xlfn.XLOOKUP(_xlfn.XLOOKUP(B202,'Base stats'!B:B,'Base stats'!E:E),Groups!A:A,Groups!G:G)=1,ISNUMBER(SEARCH("TropicalRainforest",BX202)),ISNUMBER(SEARCH("TropicalSwamp",BX202))),40,IF(OR(ISNUMBER(SEARCH("TemperateForest",BX202)),ISNUMBER(SEARCH("TemperateSwamp",BX202))),35,IF(OR(ISNUMBER(SEARCH("Alpine",BX202)),ISNUMBER(SEARCH("BorealForest",BX202)),ISNUMBER(SEARCH("ColdBog",BX202))),30,IF(ISNUMBER(OR(ISNUMBER(SEARCH("GlacialPlain",BX202)),SEARCH("Tundra",BX202))),25,IF(OR(ISNUMBER(SEARCH("SeaIce",BX202)),ISNUMBER(SEARCH("IceSheet",BX202)),ISNUMBER(SEARCH("TropicalSwamp",BX202))),10,35)))))))+_xlfn.XLOOKUP(B202,'Base stats'!B:B,'Base stats'!Q:Q)</f>
        <v>35</v>
      </c>
      <c r="N202" s="8" t="str">
        <f>IF(
_xlfn.XLOOKUP(
_xlfn.XLOOKUP(B202,'Base stats'!B:B,'Base stats'!E:E),
Groups!A:A,
Groups!L:L
)=1,
MIN(
MROUND(
IF(
_xlfn.XLOOKUP(B202,'Animals CE'!B:B,'Animals CE'!Z:Z)&lt;=1.5,
_xlfn.XLOOKUP(B202,'Animals CE'!B:B,'Animals CE'!Z:Z)/2+0.05,
0.8+
(_xlfn.XLOOKUP(B202,'Animals CE'!B:B,'Animals CE'!Z:Z)-1.5)
*0.02
),
0.05
),
200%
),
"No"
)</f>
        <v>No</v>
      </c>
      <c r="O202" s="8" t="str">
        <f>IF(
_xlfn.XLOOKUP(
_xlfn.XLOOKUP(B202,'Base stats'!B:B,'Base stats'!E:E),
Groups!A:A,
Groups!L:L
)=1,
MIN(
MROUND(
IF(
_xlfn.XLOOKUP(B202,'Animals CE'!B:B,'Animals CE'!AA:AA)&lt;=1.5,
_xlfn.XLOOKUP(B202,'Animals CE'!B:B,'Animals CE'!AA:AA)/2+0.05,
0.8+
(_xlfn.XLOOKUP(B202,'Animals CE'!B:B,'Animals CE'!AA:AA)-1.5)
*0.02
),
0.05
),
200%
),
"No"
)</f>
        <v>No</v>
      </c>
      <c r="P202" s="2">
        <f>_xlfn.XLOOKUP(B202,'Base stats'!B:B,'Base stats'!R:R)</f>
        <v>1</v>
      </c>
      <c r="Q202" s="13">
        <f>MROUND((LOG10(_xlfn.XLOOKUP(B202,'Base stats'!B:B,'Base stats'!AR:AR))*(AO202^0.5)+(_xlfn.XLOOKUP(B202,'Base stats'!B:B,'Base stats'!AR:AR)/1000)^(2/3)+_xlfn.XLOOKUP(B202,'Base stats'!B:B,'Base stats'!BA:BA)/2)+0.5,0.5)</f>
        <v>3</v>
      </c>
      <c r="R202" s="7">
        <f>IF(Q202="No","No",MAX(1,MROUND(_xlfn.XLOOKUP(B202,'Base stats'!B:B,'Base stats'!C:C)^0.165,0.05)))</f>
        <v>1.4000000000000001</v>
      </c>
      <c r="S202" s="13" t="str">
        <f>IF(_xlfn.XLOOKUP(_xlfn.XLOOKUP(B202,'Base stats'!B:B,'Base stats'!E:E),Groups!A:A,Groups!P:P)=0,"No",MROUND((LOG10(_xlfn.XLOOKUP(B202,'Base stats'!B:B,'Base stats'!AS:AS))*(AO202^0.5)+(_xlfn.XLOOKUP(B202,'Base stats'!B:B,'Base stats'!AS:AS)/1000)^(2/3)+_xlfn.XLOOKUP(B202,'Base stats'!B:B,'Base stats'!BA:BA))+_xlfn.XLOOKUP(B202,'Base stats'!B:B,'Base stats'!AY:AY)+0.5,0.5))</f>
        <v>No</v>
      </c>
      <c r="T202" s="7" t="str">
        <f>IF(S202="No","No",MAX(_xlfn.XLOOKUP(_xlfn.XLOOKUP(B202,'Base stats'!B:B,'Base stats'!E:E),Groups!A:A,Groups!Q:Q),MROUND(_xlfn.XLOOKUP(_xlfn.XLOOKUP(B202,'Base stats'!B:B,'Base stats'!E:E),Groups!A:A,Groups!Q:Q)*_xlfn.XLOOKUP(B202,'Base stats'!B:B,'Base stats'!C:C)^0.165,0.05)))</f>
        <v>No</v>
      </c>
      <c r="U202" s="7" t="str">
        <f>IF(S202="No","No",_xlfn.XLOOKUP(_xlfn.XLOOKUP(B202,'Base stats'!B:B,'Base stats'!E:E),Groups!A:A,Groups!R:R))</f>
        <v>No</v>
      </c>
      <c r="V202" s="7" t="str">
        <f>IF(S202="No","No",_xlfn.XLOOKUP(_xlfn.XLOOKUP(B202,'Base stats'!B:B,'Base stats'!E:E),Groups!A:A,Groups!S:S))</f>
        <v>No</v>
      </c>
      <c r="W202" s="7" t="str">
        <f>IF(S202="No","No",_xlfn.XLOOKUP(_xlfn.XLOOKUP(B202,'Base stats'!B:B,'Base stats'!E:E),Groups!A:A,Groups!T:T))</f>
        <v>No</v>
      </c>
      <c r="X202" s="13" t="str">
        <f>IF(_xlfn.XLOOKUP(B202,'Base stats'!B:B,'Base stats'!W:W)="No","No",MROUND((LOG10(_xlfn.XLOOKUP(B202,'Base stats'!B:B,'Base stats'!AU:AU))*(AO202^0.5)+(_xlfn.XLOOKUP(B202,'Base stats'!B:B,'Base stats'!AU:AU)/1000)^(2/3)+_xlfn.XLOOKUP(B202,'Base stats'!B:B,'Base stats'!AZ:AZ))+0.5+IF(_xlfn.XLOOKUP(_xlfn.XLOOKUP(B202,'Base stats'!B:B,'Base stats'!E:E),Groups!A:A,Groups!U:U)&lt;&gt;3,_xlfn.XLOOKUP(B202,'Base stats'!B:B,'Base stats'!BA:BA),0),0.5))</f>
        <v>No</v>
      </c>
      <c r="Y202" s="7" t="str">
        <f>IF(X202="No","No",MAX(_xlfn.XLOOKUP(_xlfn.XLOOKUP(B202,'Base stats'!B:B,'Base stats'!E:E),Groups!A:A,Groups!V:V),MROUND(_xlfn.XLOOKUP(_xlfn.XLOOKUP(B202,'Base stats'!B:B,'Base stats'!E:E),Groups!A:A,Groups!V:V)*_xlfn.XLOOKUP(B202,'Base stats'!B:B,'Base stats'!C:C)^0.165,0.05)))</f>
        <v>No</v>
      </c>
      <c r="Z202" s="7" t="str">
        <f>IF(X202="No","No",_xlfn.XLOOKUP(_xlfn.XLOOKUP(B202,'Base stats'!B:B,'Base stats'!E:E),Groups!A:A,Groups!W:W))</f>
        <v>No</v>
      </c>
      <c r="AA202" s="7" t="str">
        <f>IF(X202="No","No",_xlfn.XLOOKUP(_xlfn.XLOOKUP(B202,'Base stats'!B:B,'Base stats'!E:E),Groups!A:A,Groups!X:X))</f>
        <v>No</v>
      </c>
      <c r="AB202" s="7" t="str">
        <f>IF(X202="No","No",_xlfn.XLOOKUP(_xlfn.XLOOKUP(B202,'Base stats'!B:B,'Base stats'!E:E),Groups!A:A,Groups!Y:Y))</f>
        <v>No</v>
      </c>
      <c r="AC202" s="7" t="str">
        <f>_xlfn.XLOOKUP(Animals!B202,'Base stats'!B:B,'Base stats'!X:X)</f>
        <v>False</v>
      </c>
      <c r="AD202" s="13">
        <f>IF(_xlfn.XLOOKUP(B202,'Base stats'!B:B,'Base stats'!AT:AT)="No","No",MROUND((LOG10(_xlfn.XLOOKUP(B202,'Base stats'!B:B,'Base stats'!AT:AT))*(AO202^0.75)+(_xlfn.XLOOKUP(B202,'Base stats'!B:B,'Base stats'!AT:AT)/1000)^(2/3)+_xlfn.XLOOKUP(B202,'Base stats'!B:B,'Base stats'!AX:AX)+_xlfn.XLOOKUP(B202,'Base stats'!B:B,'Base stats'!BA:BA))+0.5,0.5))</f>
        <v>6</v>
      </c>
      <c r="AE202" s="7">
        <f>IF(AD202="No","No",MAX(_xlfn.XLOOKUP(_xlfn.XLOOKUP(B202,'Base stats'!B:B,'Base stats'!E:E),Groups!A:A,Groups!Z:Z),MROUND(_xlfn.XLOOKUP(_xlfn.XLOOKUP(B202,'Base stats'!B:B,'Base stats'!E:E),Groups!A:A,Groups!Z:Z)*_xlfn.XLOOKUP(B202,'Base stats'!B:B,'Base stats'!C:C)^0.165,0.05)))</f>
        <v>1.1500000000000001</v>
      </c>
      <c r="AF202" s="7" t="str">
        <f>IF(AD202="No","No",_xlfn.XLOOKUP(_xlfn.XLOOKUP(B202,'Base stats'!B:B,'Base stats'!E:E),Groups!A:A,Groups!AA:AA))</f>
        <v>Teeth</v>
      </c>
      <c r="AG202" s="7" t="str">
        <f>IF(AD202="No","No",_xlfn.XLOOKUP(_xlfn.XLOOKUP(B202,'Base stats'!B:B,'Base stats'!E:E),Groups!A:A,Groups!AB:AB))</f>
        <v>canines</v>
      </c>
      <c r="AH202" s="7" t="str">
        <f>IF(AD202="No","No",_xlfn.XLOOKUP(_xlfn.XLOOKUP(B202,'Base stats'!B:B,'Base stats'!E:E),Groups!A:A,Groups!AC:AC))</f>
        <v>Bite</v>
      </c>
      <c r="AI202" s="13" t="str">
        <f>IF(_xlfn.XLOOKUP(_xlfn.XLOOKUP(B202,'Base stats'!B:B,'Base stats'!E:E),Groups!A:A,Groups!AD:AD)=0,"No",MROUND((LOG10(_xlfn.XLOOKUP(B202,'Base stats'!B:B,'Base stats'!AS:AS))*(AO202^0.75)+(_xlfn.XLOOKUP(B202,'Base stats'!B:B,'Base stats'!AS:AS)/1000)^(2/3)+_xlfn.XLOOKUP(B202,'Base stats'!B:B,'Base stats'!AY:AY)+_xlfn.XLOOKUP(B202,'Base stats'!B:B,'Base stats'!BA:BA))+0.5,0.5))</f>
        <v>No</v>
      </c>
      <c r="AJ202" s="7" t="str">
        <f>IF(AI202="No","No",MAX(_xlfn.XLOOKUP(_xlfn.XLOOKUP(B202,'Base stats'!B:B,'Base stats'!E:E),Groups!A:A,Groups!AE:AE),MROUND(_xlfn.XLOOKUP(_xlfn.XLOOKUP(B202,'Base stats'!B:B,'Base stats'!E:E),Groups!A:A,Groups!AE:AE)*IF(_xlfn.XLOOKUP(_xlfn.XLOOKUP(B202,'Base stats'!B:B,'Base stats'!E:E),Groups!A:A,Groups!AJ:AJ)="Photonozoa",0.6,1)*_xlfn.XLOOKUP(B202,'Base stats'!B:B,'Base stats'!C:C)^0.165,0.05)))</f>
        <v>No</v>
      </c>
      <c r="AK202" s="7" t="str">
        <f>IF(AI202="No","No",_xlfn.XLOOKUP(_xlfn.XLOOKUP(B202,'Base stats'!B:B,'Base stats'!E:E),Groups!A:A,Groups!AF:AF))</f>
        <v>No</v>
      </c>
      <c r="AL202" s="7" t="str">
        <f>IF(AI202="No","No",_xlfn.XLOOKUP(_xlfn.XLOOKUP(B202,'Base stats'!B:B,'Base stats'!E:E),Groups!A:A,Groups!AG:AG))</f>
        <v>No</v>
      </c>
      <c r="AM202" s="7" t="str">
        <f>IF(AI202="No","No",_xlfn.XLOOKUP(_xlfn.XLOOKUP(B202,'Base stats'!B:B,'Base stats'!E:E),Groups!A:A,Groups!AH:AH))</f>
        <v>No</v>
      </c>
      <c r="AN202" s="2">
        <f t="shared" si="21"/>
        <v>15</v>
      </c>
      <c r="AO202" s="2">
        <f>MROUND(IF(AND(_xlfn.XLOOKUP(B202,'Base stats'!B:B,'Base stats'!C:C)&gt;=0.5,_xlfn.XLOOKUP(B202,'Base stats'!B:B,'Base stats'!C:C)&lt;=0.8),
IF(_xlfn.XLOOKUP(B202,'Base stats'!B:B,'Base stats'!C:C)&lt;0.1,0.05,IF(_xlfn.XLOOKUP(B202,'Base stats'!B:B,'Base stats'!C:C)&lt;=70,(_xlfn.XLOOKUP(B202,'Base stats'!B:B,'Base stats'!C:C)/70)^0.426489913056526,IF(_xlfn.XLOOKUP(B202,'Base stats'!B:B,'Base stats'!C:C)&lt;=400,(_xlfn.XLOOKUP(B202,'Base stats'!B:B,'Base stats'!C:C)/70)^0.572811455315093,IF(_xlfn.XLOOKUP(B202,'Base stats'!B:B,'Base stats'!C:C)&lt;=2000,2.71391647193063*(_xlfn.XLOOKUP(B202,'Base stats'!B:B,'Base stats'!C:C)/400)^0.252459582904293,3.74314280240376*(_xlfn.XLOOKUP(B202,'Base stats'!B:B,'Base stats'!C:C)/2000)^0.357012633876913)))),
IF(_xlfn.XLOOKUP(B202,'Base stats'!B:B,'Base stats'!C:C)&lt;0.1,0.05,IF(_xlfn.XLOOKUP(B202,'Base stats'!B:B,'Base stats'!C:C)&lt;0.4,0.1,IF(_xlfn.XLOOKUP(B202,'Base stats'!B:B,'Base stats'!C:C)&lt;=70,(_xlfn.XLOOKUP(B202,'Base stats'!B:B,'Base stats'!C:C)/70)^0.445823913056526,IF(_xlfn.XLOOKUP(B202,'Base stats'!B:B,'Base stats'!C:C)&lt;=400,(_xlfn.XLOOKUP(B202,'Base stats'!B:B,'Base stats'!C:C)/70)^0.572811455315093,IF(_xlfn.XLOOKUP(B202,'Base stats'!B:B,'Base stats'!C:C)&lt;=2000,2.71391647193063*(_xlfn.XLOOKUP(B202,'Base stats'!B:B,'Base stats'!C:C)/400)^0.252459582904293,3.74314280240376*(_xlfn.XLOOKUP(B202,'Base stats'!B:B,'Base stats'!C:C)/2000)^0.357012633876913)))))),
IF(_xlfn.XLOOKUP(B202,'Base stats'!B:B,'Base stats'!C:C)&lt;0.1,0.05,IF(_xlfn.XLOOKUP(B202,'Base stats'!B:B,'Base stats'!C:C)&lt;=100,0.05,IF(_xlfn.XLOOKUP(B202,'Base stats'!B:B,'Base stats'!C:C)&lt;=250,0.1,IF(_xlfn.XLOOKUP(B202,'Base stats'!B:B,'Base stats'!C:C)&lt;=4000,0.25,0.5)))))</f>
        <v>0.4</v>
      </c>
      <c r="AP202" s="8">
        <f>MROUND(AO202*_xlfn.XLOOKUP(_xlfn.XLOOKUP(B202,'Base stats'!B:B,'Base stats'!E:E),Groups!A:A,Groups!AI:AI)*_xlfn.XLOOKUP(B202,'Base stats'!B:B,'Base stats'!Z:Z),0.05)</f>
        <v>0.5</v>
      </c>
      <c r="AQ202" s="8">
        <f>MAX(0.01,MROUND(IF(CC202="True",0.196*(AO202*100*1000)^0.889,IF(_xlfn.XLOOKUP(_xlfn.XLOOKUP(B202,'Base stats'!B:B,'Base stats'!E:E),Groups!A:A,Groups!AJ:AJ)="Bird",10.5*(AO202*100*1000)^0.681,4.82*(AO202*100*1000)^0.734))/(4.82*(1*100*1000)^0.734)/IF(AO202&lt;3.5,2,IF(AO202=3.5,1.5,1.25))*(1+0.132282374779864/(AO202^0.994035016789033+0.00905238001496948)),0.05))</f>
        <v>0.35000000000000003</v>
      </c>
      <c r="AR202" s="9">
        <f>IFERROR(MROUND(_xlfn.XLOOKUP(B202,'Base stats'!B:B,'Base stats'!H:H)/IF(_xlfn.XLOOKUP(B202,'Base stats'!B:B,'Base stats'!I:I)&lt;&gt;1,(122.5/70),1.2),IF(_xlfn.XLOOKUP(B202,'Base stats'!B:B,'Base stats'!H:H)&gt;=30,5,IF(_xlfn.XLOOKUP(B202,'Base stats'!B:B,'Base stats'!H:H)&gt;=15,3,IF(_xlfn.XLOOKUP(B202,'Base stats'!B:B,'Base stats'!H:H)&gt;=10,2,1)))),"Immortal")</f>
        <v>12</v>
      </c>
      <c r="AS202" s="35">
        <f>IFERROR(IF(OR(_xlfn.XLOOKUP(B202,'Base stats'!B:B,'Base stats'!F:F)="Atypical reproduction",_xlfn.XLOOKUP(B202,'Base stats'!B:B,'Base stats'!F:F)="Lay eggs"),"Lay eggs",MIN(20,MAX(5.5,ROUND(((_xlfn.XLOOKUP(B202,'Base stats'!B:B,'Base stats'!F:F)-25)*(14.5/615) + 5.5)*2,0)/2))),"Unknown")</f>
        <v>6</v>
      </c>
      <c r="AT202" s="8">
        <f>IF(_xlfn.XLOOKUP(B202,'Base stats'!B:B,'Base stats'!G:G)="Atypical reproduction","No",IFERROR(MAX(IF(_xlfn.XLOOKUP(B202,'Base stats'!B:B,'Base stats'!G:G)&lt;0.5,0.2,0.3),MROUND(_xlfn.XLOOKUP(B202,'Base stats'!B:B,'Base stats'!G:G)/(365/60),0.2)),"Unknown"))</f>
        <v>0.3</v>
      </c>
      <c r="AU202" s="8">
        <f t="shared" si="22"/>
        <v>0.15000000000000002</v>
      </c>
      <c r="AV202" s="8">
        <f>IFERROR(IFERROR(MROUND(_xlfn.XLOOKUP(B202,'Base stats'!B:B,'Base stats'!J:J),0.1),"Lay eggs"),"Cannot breed")</f>
        <v>5</v>
      </c>
      <c r="AW202" s="2" t="str">
        <f t="shared" si="23"/>
        <v>false</v>
      </c>
      <c r="AX202" s="2" t="str">
        <f>IF(_xlfn.XLOOKUP(_xlfn.XLOOKUP(Animals!B202,'Base stats'!B:B,'Base stats'!E:E),Groups!A:A,Groups!AK:AK)=1,"true","false")</f>
        <v>false</v>
      </c>
      <c r="AY202" s="25" t="str">
        <f>IF(_xlfn.XLOOKUP(B202,'Base stats'!B:B,'Base stats'!Y:Y)="Liquor","Liquor, CarnivoreAnimalStrict",IF(AND(_xlfn.XLOOKUP(B202,'Base stats'!B:B,'Base stats'!Y:Y)="Carnivore",_xlfn.XLOOKUP(_xlfn.XLOOKUP(B202,'Base stats'!B:B,'Base stats'!E:E),Groups!A:A,Groups!AJ:AJ)="Photonozoa"),"CarnivoreAnimalStrict, OvivoreAnimal",IF(_xlfn.XLOOKUP(B202,'Base stats'!B:B,'Base stats'!Y:Y)="Carnivore","CarnivoreAnimal, OvivoreAnimal",IF(_xlfn.XLOOKUP(B202,'Base stats'!B:B,'Base stats'!Y:Y)="Dendrovore","VegetarianRoughAnimal, DendrovoreAnimal",IF(_xlfn.XLOOKUP(B202,'Base stats'!B:B,'Base stats'!Y:Y)="Herbivore","VegetarianRoughAnimal",IF(_xlfn.XLOOKUP(B202,'Base stats'!B:B,'Base stats'!Y:Y)="OmnivoreRough","OmnivoreRoughAnimal, OvivoreAnimal","OmnivoreAnimal, OvivoreAnimal"))))))</f>
        <v>CarnivoreAnimal, OvivoreAnimal</v>
      </c>
      <c r="AZ202" s="2" t="str">
        <f>IF(_xlfn.XLOOKUP(_xlfn.XLOOKUP(B202,'Base stats'!B:B,'Base stats'!E:E),Groups!A:A,Groups!D:D)=1,MROUND((1-J202)*5+1,2)*IF(J202&lt;=0.4,2,1),"No")</f>
        <v>No</v>
      </c>
      <c r="BA202" s="2" t="str">
        <f>IF(AND(_xlfn.XLOOKUP(B202,'Base stats'!B:B,'Base stats'!AH:AH)="&lt;li&gt;Seal&lt;/li&gt;",G202="Odyssey"),"&lt;li&gt;AEXP_Seal&lt;/li&gt;",_xlfn.XLOOKUP(B202,'Base stats'!B:B,'Base stats'!AH:AH))</f>
        <v>No</v>
      </c>
      <c r="BB202" s="2" t="str">
        <f>_xlfn.XLOOKUP(B202,'Base stats'!B:B,'Base stats'!AG:AG)</f>
        <v>VAEWaste_ToxicLeather</v>
      </c>
      <c r="BC202" s="23" t="str">
        <f>_xlfn.XLOOKUP(_xlfn.XLOOKUP(B202,'Base stats'!B:B,'Base stats'!E:E),Groups!A:A,Groups!AL:AL)</f>
        <v>QuadrupedAnimalWithPawsAndTail</v>
      </c>
      <c r="BD202" s="23">
        <f>MIN(1,MROUND(IF(AND(AO202&lt;0.5,_xlfn.XLOOKUP(B202,'Base stats'!B:B,'Base stats'!AA:AA)=0),0,IF(OR(_xlfn.XLOOKUP(Animals!B202,'Base stats'!B:B,'Base stats'!O:O)=2,_xlfn.XLOOKUP(_xlfn.XLOOKUP(B202,'Base stats'!B:B,'Base stats'!E:E),Groups!A:A,Groups!AN:AN)=0),0,_xlfn.XLOOKUP(_xlfn.XLOOKUP(B202,'Base stats'!B:B,'Base stats'!E:E),Groups!A:A,Groups!AN:AN)/IF(_xlfn.XLOOKUP(Animals!B202,'Base stats'!B:B,'Base stats'!O:O)=1,2,1)))+_xlfn.XLOOKUP(B202,'Base stats'!B:B,'Base stats'!AC:AC),0.005))</f>
        <v>0.1</v>
      </c>
      <c r="BE202" s="23">
        <f>MIN(1,MROUND(IF(AND(AO202&lt;0.5,_xlfn.XLOOKUP(B202,'Base stats'!B:B,'Base stats'!AA:AA)=0),0,IF(_xlfn.XLOOKUP(_xlfn.XLOOKUP(B202,'Base stats'!B:B,'Base stats'!E:E),Groups!A:A,Groups!AO:AO)=0,0,_xlfn.XLOOKUP(_xlfn.XLOOKUP(B202,'Base stats'!B:B,'Base stats'!E:E),Groups!A:A,Groups!AO:AO)/IF(_xlfn.XLOOKUP(Animals!B202,'Base stats'!B:B,'Base stats'!O:O)=2,3,1)))+_xlfn.XLOOKUP(B202,'Base stats'!B:B,'Base stats'!AD:AD),0.005))</f>
        <v>0.3</v>
      </c>
      <c r="BF202" s="2" t="str">
        <f>IF(J202&gt;0.3,"No",_xlfn.XLOOKUP(_xlfn.XLOOKUP(Animals!B202,'Base stats'!B:B,'Base stats'!E:E),Groups!A:A,Groups!AP:AP))</f>
        <v>No</v>
      </c>
      <c r="BG202" s="2">
        <f>IF(AND(J202&lt;=0.65,_xlfn.XLOOKUP(_xlfn.XLOOKUP(Animals!B202,'Base stats'!B:B,'Base stats'!E:E),Groups!A:A,Groups!AP:AP)&lt;&gt;"No",_xlfn.XLOOKUP(_xlfn.XLOOKUP(B202,'Base stats'!B:B,'Base stats'!E:E),Groups!A:A,Groups!D:D)=0),MROUND((80/3)*IF(_xlfn.XLOOKUP(B202,'Base stats'!B:B,'Base stats'!O:O)=2,0.2,AO202) + 24*(1-IF(BF202="No",0,BF202)) + 16/3, 12),"No")</f>
        <v>36</v>
      </c>
      <c r="BH202" s="2">
        <f>IF(AND(_xlfn.XLOOKUP(_xlfn.XLOOKUP(B202,'Base stats'!B:B,'Base stats'!E:E),Groups!A:A,Groups!AQ:AQ)=1,AO202&lt;=0.35),8,12)</f>
        <v>12</v>
      </c>
      <c r="BI202" s="2" t="str">
        <f>IF(_xlfn.XLOOKUP(_xlfn.XLOOKUP(B202,'Base stats'!B:B,'Base stats'!E:E),Groups!A:A,Groups!D:D)=0,_xlfn.XLOOKUP(_xlfn.XLOOKUP(B202,'Base stats'!B:B,'Base stats'!E:E),Groups!A:A,Groups!AR:AR),"None")</f>
        <v>Advanced</v>
      </c>
      <c r="BJ202" s="2" t="str">
        <f>IF(AND(_xlfn.XLOOKUP(_xlfn.XLOOKUP(B202,'Base stats'!B:B,'Base stats'!E:E),Groups!A:A,Groups!AS:AS)=1,OR(_xlfn.XLOOKUP(B202,'Base stats'!B:B,'Base stats'!Y:Y)="Carnivore",_xlfn.XLOOKUP(B202,'Base stats'!B:B,'Base stats'!Y:Y)="Omnivore")),"true","false")</f>
        <v>true</v>
      </c>
      <c r="BK202" s="2">
        <f>IF(BJ202="true",MROUND(IF(AND(AO202&gt;0.5,OR(_xlfn.XLOOKUP(_xlfn.XLOOKUP(B202,'Base stats'!B:B,'Base stats'!E:E),Groups!A:A,Groups!AJ:AJ)="Photonozoa",_xlfn.XLOOKUP(_xlfn.XLOOKUP(B202,'Base stats'!B:B,'Base stats'!E:E),Groups!A:A,Groups!AJ:AJ)="Mammal")),Animals!AO202*1.75*IF(AW202="true",1.5,1),IF(AO202&lt;0.5,Animals!AO202*0.5,Animals!AO202)),IF(AO202&gt;2,0.5,IF(AO202&gt;0.5,0.25,0.1))),"No")</f>
        <v>0.2</v>
      </c>
      <c r="BL202" s="2">
        <f t="shared" si="24"/>
        <v>1</v>
      </c>
      <c r="BM202" s="25" t="str">
        <f>IF(_xlfn.XLOOKUP(B202,'Base stats'!B:B,'Base stats'!AN:AN)="Standard","No",MROUND((_xlfn.XLOOKUP(B202,'Base stats'!B:B,'Base stats'!AN:AN)/3.6)/I202,0.1))</f>
        <v>No</v>
      </c>
      <c r="BN202" s="25" t="str">
        <f t="shared" si="25"/>
        <v>false</v>
      </c>
      <c r="BO202" s="25" t="str">
        <f>IF(AND(OR(_xlfn.XLOOKUP(B202,'Base stats'!B:B,'Base stats'!Y:Y)="Carnivore",_xlfn.XLOOKUP(B202,'Base stats'!B:B,'Base stats'!Y:Y)="Omnivore",_xlfn.XLOOKUP(B202,'Base stats'!B:B,'Base stats'!Y:Y)="OmnivoreRough"),_xlfn.XLOOKUP(_xlfn.XLOOKUP(B202,'Base stats'!B:B,'Base stats'!E:E),Groups!A:A,Groups!AT:AT)=1),"true","false")</f>
        <v>false</v>
      </c>
      <c r="BP202" s="25" t="str" cm="1">
        <f t="array" ref="BP202">IF(
  _xlfn.TEXTJOIN(", ",TRUE,
    IF(AND(BJ202="true",AO202&gt;0.5,BI202&lt;&gt;"None"),"AttackTarget",""),
    IF(AND(_xlfn.XLOOKUP(_xlfn.XLOOKUP(B202,'Base stats'!B:B,'Base stats'!E:E),Groups!A:A,Groups!AJ:AJ="Mammal"),OR(_xlfn.XLOOKUP(B202,'Base stats'!B:B,'Base stats'!Y:Y)="Omnivore",_xlfn.XLOOKUP(B202,'Base stats'!B:B,'Base stats'!Y:Y)="OmnivoreRough")),"Forage",""),
    IF(BG202&lt;=36,"Comfort",""),
    IF(_xlfn.XLOOKUP(B202,'Base stats'!B:B,'Base stats'!AE:AE)&lt;&gt;"No",_xlfn.XLOOKUP(B202,'Base stats'!B:B,'Base stats'!AE:AE),"")
  ) = "",
  "No",
  _xlfn.TEXTJOIN(", ",TRUE,
    IF(AND(BJ202="true",AO202&gt;0.5,BI202&lt;&gt;"None"),"AttackTarget",""),
    IF(AND(_xlfn.XLOOKUP(_xlfn.XLOOKUP(B202,'Base stats'!B:B,'Base stats'!E:E),Groups!A:A,Groups!AJ:AJ="Mammal"),OR(_xlfn.XLOOKUP(B202,'Base stats'!B:B,'Base stats'!Y:Y)="Omnivore",_xlfn.XLOOKUP(B202,'Base stats'!B:B,'Base stats'!Y:Y)="OmnivoreRough")),"Forage",""),
    IF(BG202&lt;=36,"Comfort",""),
    IF(_xlfn.XLOOKUP(B202,'Base stats'!B:B,'Base stats'!AE:AE)&lt;&gt;"No",_xlfn.XLOOKUP(B202,'Base stats'!B:B,'Base stats'!AE:AE),"")
  )
)</f>
        <v>Comfort</v>
      </c>
      <c r="BQ202" s="25" t="str">
        <f>IF(
   AND(
      'Base stats'!AN202="Standard",_xlfn.XLOOKUP(_xlfn.XLOOKUP(B202,'Base stats'!B:B,'Base stats'!E:E),Groups!A:A,Groups!AU:AU)=0,
      OR(
      BO202="True"
      )
   ),
   10,
   IF(
       OR(BM202&lt;&gt;"No",_xlfn.XLOOKUP(_xlfn.XLOOKUP(B202,'Base stats'!B:B,'Base stats'!E:E),Groups!A:A,Groups!AU:AU)=1),
      1,
      "No"
   )
)</f>
        <v>No</v>
      </c>
      <c r="BR202" s="9">
        <f>MROUND((1 + ((0.2*IF(OR(Q202="No",R202="No",R202=0),0,Q202/R202)
+IF(OR(V202="No",S202="No",T202="No"),0,S202/T202*(LEN(V202)-LEN(SUBSTITUTE(V202,",",""))+1))
+IF(OR(X202="No",Y202="No"),0,X202/Y202)
+IF(OR(AD202="No",AE202="No"),0,AD202/AE202)
+IF(OR(AL202="No",AI202="No",AJ202="No"),0,AI202/AJ202*(LEN(AL202)-LEN(SUBSTITUTE(AL202,",",""))+1))
)/(0.2*IF(OR(Q202="No",R202="No",R202=0),0,1)
+IF(OR(V202="No",S202="No",T202="No"),0,LEN(V202)-LEN(SUBSTITUTE(V202,",",""))+1)
+IF(OR(X202="No",Y202="No"),0,1)
+IF(OR(AD202="No",AE202="No"),0,1)
+IF(OR(AL202="No",AI202="No",AJ202="No"),0,LEN(AL202)-LEN(SUBSTITUTE(AL202,",",""))+1))*62%)* 2)*(1 + (AP202 / (IF(_xlfn.XLOOKUP(_xlfn.XLOOKUP(B202,'Base stats'!B:B,'Base stats'!E:E),Groups!A:A,Groups!AJ:AJ)="Photonozoa",0.3,1)) + _xlfn.XLOOKUP(B202,'Base stats'!B:B,'Base stats'!AV:AV) * 1.8) * 2) * 2.5 + 10 + I202 * 2,5)+IF(_xlfn.XLOOKUP(B202,'Base stats'!B:B,'Base stats'!AK:AK)=1,50,0)</f>
        <v>55</v>
      </c>
      <c r="BS202" s="8">
        <f t="shared" si="26"/>
        <v>0.35000000000000003</v>
      </c>
      <c r="BT202" s="8" t="str">
        <f>_xlfn.XLOOKUP(B202,'Base stats'!B:B,'Base stats'!AF:AF)</f>
        <v>No</v>
      </c>
      <c r="BU202" s="2" t="str">
        <f>IF(AND(J202&lt;=0.95,OR(_xlfn.XLOOKUP(B202,'Base stats'!B:B,'Base stats'!AK:AK)=1,_xlfn.XLOOKUP(B202,'Base stats'!B:B,'Base stats'!Y:Y)="Carnivore",_xlfn.XLOOKUP(B202,'Base stats'!B:B,'Base stats'!Y:Y)="Omnivore",BE202&gt;0.1)),"true","false")</f>
        <v>true</v>
      </c>
      <c r="BV202" s="2" t="str">
        <f>IF(_xlfn.XLOOKUP(B202,'Base stats'!B:B,'Base stats'!AI:AI)=1,"true","false")</f>
        <v>false</v>
      </c>
      <c r="BW202" s="25" t="str">
        <f>IF(E202="BaseInsect","AnimalInsect",
IF(J202&gt;0.95,"AnimalExotic",
_xlfn.TEXTJOIN(", ",TRUE,
IF(OR(_xlfn.XLOOKUP(B202,'Base stats'!B:B,'Base stats'!AM:AM)=1,AND(_xlfn.XLOOKUP(B202,'Base stats'!B:B,'Base stats'!O:O)=0,_xlfn.XLOOKUP(_xlfn.XLOOKUP(B202,'Base stats'!B:B,'Base stats'!E:E),Groups!A:A,Groups!B:B)&gt;0)),"AnimalUncommon","AnimalCommon"),
IF(AND(_xlfn.XLOOKUP(B202,'Base stats'!B:B,'Base stats'!O:O)=2,_xlfn.XLOOKUP(_xlfn.XLOOKUP(B202,'Base stats'!B:B,'Base stats'!E:E),Groups!A:A,Groups!D:D)=0),"AnimalPet",IF(AND(_xlfn.XLOOKUP(B202,'Base stats'!B:B,'Base stats'!O:O)&lt;&gt;0,_xlfn.XLOOKUP(_xlfn.XLOOKUP(B202,'Base stats'!B:B,'Base stats'!E:E),Groups!A:A,Groups!D:D)&lt;&gt;0),"AnimalFarm","")),
IF(OR(_xlfn.XLOOKUP(B202,'Base stats'!B:B,'Base stats'!AK:AK)=1,AND(BI202&lt;&gt;"None",BR202&gt;=60),ISNUMBER(SEARCH("Attack target",BP202))),"AnimalFighter","")
)))</f>
        <v>AnimalCommon</v>
      </c>
      <c r="BX202" s="25" t="str">
        <f>IF(G202="None",TRIM(
SUBSTITUTE(
IF(COUNTIF(Biomes!B$2:B$259,"="&amp;$C202)&gt;0,Biomes!B$1&amp;", ","")&amp;
IF(COUNTIF(Biomes!C$2:C$259,"="&amp;$C202)&gt;0,Biomes!C$1&amp;", ","")&amp;
IF(COUNTIF(Biomes!D$2:D$259,"="&amp;$C202)&gt;0,Biomes!D$1&amp;", ","")&amp;
IF(COUNTIF(Biomes!F$2:F$259,"="&amp;$C202)&gt;0,Biomes!F$1&amp;", ","")&amp;
IF(COUNTIF(Biomes!G$2:G$259,"="&amp;$C202)&gt;0,Biomes!G$1&amp;", ","")&amp;
IF(COUNTIF(Biomes!H$2:H$259,"="&amp;$C202)&gt;0,Biomes!H$1&amp;", ","")&amp;
IF(COUNTIF(Biomes!I$2:I$259,"="&amp;$C202)&gt;0,Biomes!I$1&amp;", ","")&amp;
IF(COUNTIF(Biomes!J$2:J$259,"="&amp;$C202)&gt;0,Biomes!J$1&amp;", ","")&amp;
IF(COUNTIF(Biomes!M$2:M$259,"="&amp;$C202)&gt;0,Biomes!M$1&amp;", ","")&amp;
IF(COUNTIF(Biomes!N$2:N$259,"="&amp;$C202)&gt;0,Biomes!N$1&amp;", ","")&amp;
IF(COUNTIF(Biomes!O$2:O$259,"="&amp;$C202)&gt;0,Biomes!O$1&amp;", ","")&amp;
IF(COUNTIF(Biomes!P$2:P$259,"="&amp;$C202)&gt;0,Biomes!P$1&amp;", ","")&amp;
IF(COUNTIF(Biomes!K$2:K$259,"="&amp;$C202)&gt;0,Biomes!K$1&amp;", ","")&amp;
IF(COUNTIF(Biomes!Q$3:Q$259,"="&amp;$C202)&gt;0,Biomes!Q$1&amp;", ","")&amp;
IF(COUNTIF(Biomes!L$2:L$259,"="&amp;$C202)&gt;0,Biomes!L$1&amp;", ","")&amp;
IF(COUNTIF(Biomes!E$2:E$259,"="&amp;$C202)&gt;0,Biomes!E$1&amp;", ","")&amp;IF(COUNTIF(Biomes!S$2:S$259,"="&amp;$C202)&gt;0,Biomes!S$1&amp;", ","")&amp;
IF(COUNTIF(Biomes!R$2:R$259,"="&amp;$C202)&gt;0,Biomes!R$1&amp;", ",""),", ","")
),_xlfn.XLOOKUP(B202,B:B,BX:BX))</f>
        <v>Tundra BorealForest ColdBog TemperateForest TemperateSwamp GlacialPlain Scarlands</v>
      </c>
      <c r="BY202" s="25" t="str">
        <f>IF(_xlfn.XLOOKUP(B202,'Base stats'!B:B,'Base stats'!AJ:AJ)=1,"true","false")</f>
        <v>false</v>
      </c>
      <c r="BZ202" s="25" t="str">
        <f>IF(_xlfn.XLOOKUP(B202,'Base stats'!B:B,'Base stats'!N:N)=1,"No",MAX(0.001,MIN(MROUND(IF(AND(BJ202="True",CC202="False"),POWER(10,3.47*LOG10(_xlfn.XLOOKUP(B202,'Base stats'!B:B,'Base stats'!C:C)*1000)^-0.96),POWER(10,4.15*LOG10(_xlfn.XLOOKUP(B202,'Base stats'!B:B,'Base stats'!C:C)*1000)^-0.73))*IF(_xlfn.XLOOKUP(B202,'Base stats'!B:B,'Base stats'!AK:AK)=1,0.5,1)*IF(_xlfn.XLOOKUP(B202,'Base stats'!B:B,'Base stats'!AM:AM)=1,0.1,1)/100,IF(_xlfn.XLOOKUP(B202,'Base stats'!B:B,'Base stats'!AM:AM)=1,0.001,0.025)),0.5)))</f>
        <v>No</v>
      </c>
      <c r="CA202" s="25">
        <f>IF(P202="Standard","No",MAX(0.001,MIN(MROUND(IF(AND(BJ202="True",CC202="False"),POWER(10,3.47*LOG10(_xlfn.XLOOKUP(B202,'Base stats'!B:B,'Base stats'!C:C)*1000)^-0.96),POWER(10,4.15*LOG10(_xlfn.XLOOKUP(B202,'Base stats'!B:B,'Base stats'!C:C)*1000)^-0.73))*IF(_xlfn.XLOOKUP(B202,'Base stats'!B:B,'Base stats'!AM:AM)=1,0.1,1)*_xlfn.XLOOKUP(B202,'Base stats'!B:B,'Base stats'!R:R)/100,IF(_xlfn.XLOOKUP(B202,'Base stats'!B:B,'Base stats'!AM:AM)=1,0.001,0.025)),0.5)))</f>
        <v>7.5000000000000011E-2</v>
      </c>
      <c r="CB202" s="25" t="str">
        <f>IF(_xlfn.XLOOKUP(_xlfn.XLOOKUP(B202,'Base stats'!B:B,'Base stats'!E:E),Groups!A:A,Groups!AJ:AJ)="Mammal","True","False")</f>
        <v>True</v>
      </c>
      <c r="CC202" s="25" t="str">
        <f>IF(OR(_xlfn.XLOOKUP(_xlfn.XLOOKUP(B202,'Base stats'!B:B,'Base stats'!E:E),Groups!A:A,Groups!AJ:AJ)="Reptile",_xlfn.XLOOKUP(_xlfn.XLOOKUP(B202,'Base stats'!B:B,'Base stats'!E:E),Groups!A:A,Groups!AJ:AJ)="Amphibian",_xlfn.XLOOKUP(_xlfn.XLOOKUP(B202,'Base stats'!B:B,'Base stats'!E:E),Groups!A:A,Groups!AJ:AJ)="Invertebrate"),"True","False")</f>
        <v>False</v>
      </c>
      <c r="CD202" s="25" t="str">
        <f t="shared" si="27"/>
        <v>False</v>
      </c>
      <c r="CE202" s="25" t="str">
        <f>IF(_xlfn.XLOOKUP(_xlfn.XLOOKUP(B202,'Base stats'!B:B,'Base stats'!E:E),Groups!A:A,Groups!AX:AX),"True","False")</f>
        <v>False</v>
      </c>
      <c r="CF202" s="25" t="str">
        <f>IF(_xlfn.XLOOKUP(_xlfn.XLOOKUP(B202,'Base stats'!B:B,'Base stats'!E:E),Groups!A:A,Groups!AY:AY),"True","False")</f>
        <v>False</v>
      </c>
      <c r="CG202" s="25" t="str">
        <f>IF(_xlfn.XLOOKUP(_xlfn.XLOOKUP(B202,'Base stats'!B:B,'Base stats'!E:E),Groups!A:A,Groups!AW:AW),"True","False")</f>
        <v>False</v>
      </c>
      <c r="CH202" s="25" t="str">
        <f>IF(
OR(
_xlfn.XLOOKUP(_xlfn.XLOOKUP(B202,'Base stats'!B:B,'Base stats'!E:E),Groups!A:A,Groups!AZ:AZ)=0,
AND(
_xlfn.XLOOKUP(B202,'Base stats'!B:B,'Base stats'!Y:Y)&lt;&gt;"Carnivore",
_xlfn.XLOOKUP(B202,'Base stats'!B:B,'Base stats'!Y:Y)&lt;&gt;"Omnivore",
_xlfn.XLOOKUP(B202,'Base stats'!B:B,'Base stats'!Y:Y)&lt;&gt;"OmnivoreRough"
)
),
"No",
IF(
_xlfn.XLOOKUP(_xlfn.XLOOKUP(B202,'Base stats'!B:B,'Base stats'!E:E),Groups!A:A,Groups!AZ:AZ)=1,
"Flesh",
IF(
_xlfn.XLOOKUP(_xlfn.XLOOKUP(B202,'Base stats'!B:B,'Base stats'!E:E),Groups!A:A,Groups!AZ:AZ)=2,
"Bone",
""
)
)
)</f>
        <v>No</v>
      </c>
      <c r="CI202" s="25" t="str">
        <f>IF(_xlfn.XLOOKUP(_xlfn.XLOOKUP(B202,'Base stats'!B:B,'Base stats'!E:E),Groups!A:A,Groups!BB:BB),"True","False")</f>
        <v>True</v>
      </c>
      <c r="CJ202" s="25" t="str">
        <f>IF(_xlfn.XLOOKUP(_xlfn.XLOOKUP(B202,'Base stats'!B:B,'Base stats'!E:E),Groups!A:A,Groups!BA:BA),"True","False")</f>
        <v>False</v>
      </c>
    </row>
    <row r="203" spans="1:88" ht="16.5" thickTop="1" thickBot="1" x14ac:dyDescent="0.3">
      <c r="A203" s="26" t="str">
        <f>_xlfn.XLOOKUP(B203,'Base stats'!B:B,'Base stats'!A:A)</f>
        <v>Toxbear</v>
      </c>
      <c r="B203" s="6" t="s">
        <v>1295</v>
      </c>
      <c r="C203" s="28" t="s">
        <v>1294</v>
      </c>
      <c r="D203" s="28" t="s">
        <v>1281</v>
      </c>
      <c r="E203" s="28" t="s">
        <v>673</v>
      </c>
      <c r="F203" s="28" t="s">
        <v>673</v>
      </c>
      <c r="G203" s="28" t="s">
        <v>673</v>
      </c>
      <c r="H203" s="2">
        <f>MROUND((
  (IF(AND(_xlfn.XLOOKUP(B203,'Base stats'!B:B,'Base stats'!AL:AL)=0,BI203="None",_xlfn.XLOOKUP(_xlfn.XLOOKUP(B203,'Base stats'!B:B,'Base stats'!E:E),Groups!A:A,Groups!B:B)=0), (18 + BR203 * 2.7) * 0.5,
    IF(AND(_xlfn.XLOOKUP(B203,'Base stats'!B:B,'Base stats'!AL:AL)=0,OR(AO203&lt;0.55,AND(BI203="Intermediate",_xlfn.XLOOKUP(_xlfn.XLOOKUP(B203,'Base stats'!B:B,'Base stats'!E:E),Groups!A:A,Groups!B:B)&lt;2))), (18 + BR203 * 2.7),
      IF(OR(BI203="Advanced",_xlfn.XLOOKUP(B203,'Base stats'!B:B,'Base stats'!AL:AL)=1,_xlfn.XLOOKUP(_xlfn.XLOOKUP(B203,'Base stats'!B:B,'Base stats'!E:E),Groups!A:A,Groups!B:B)=2), (18 + BR203 * 2.7) + 250, (18 + BR203 * 2.7))
    )
  ))
  + AO203 * 80
  + IF(COUNTIF(EggMilk!K$2:K$998, A203) &gt; 0, 125, 0)
  + IF(COUNTIF(EggMilk!P$2:P$998, A203) &gt; 0, 90, 0)
  + IF(COUNTIF(EggMilk!A$2:A$998, A203) &gt; 0, 90, 0)
)
* (0.8 + 0.4 * J203)
* 0.75,25)</f>
        <v>1825</v>
      </c>
      <c r="I203" s="2">
        <f>MROUND(ROUNDDOWN(_xlfn.XLOOKUP(B203,'Base stats'!B:B,'Base stats'!L:L)/3.6/(23.3/11),1),0.5)</f>
        <v>6</v>
      </c>
      <c r="J203" s="2">
        <f>IF(OR(_xlfn.XLOOKUP(B203,'Base stats'!B:B,'Base stats'!AB:AB)=1,_xlfn.XLOOKUP(_xlfn.XLOOKUP(B203,'Base stats'!B:B,'Base stats'!E:E),Groups!A:A,Groups!C:C)="Untamable"),1,IF(_xlfn.XLOOKUP(B203,'Base stats'!B:B,'Base stats'!AL:AL)=1,0.99,MIN(MROUND((1-0.6282*EXP(-0.459*AO203))*_xlfn.XLOOKUP(_xlfn.XLOOKUP(B203,'Base stats'!B:B,'Base stats'!E:E),Groups!A:A,Groups!C:C)*IF(_xlfn.XLOOKUP(B203,'Base stats'!B:B,'Base stats'!O:O)=1,0.5,IF(_xlfn.XLOOKUP(B203,'Base stats'!B:B,'Base stats'!O:O)=2,0,1)),0.05),IF(AO203&gt;3.5,0.985,0.95))))</f>
        <v>1</v>
      </c>
      <c r="K203" s="2">
        <f>ROUNDUP(AO203*_xlfn.XLOOKUP(_xlfn.XLOOKUP(B203,'Base stats'!B:B,'Base stats'!E:E),Groups!A:A,Groups!E:E),0)</f>
        <v>4</v>
      </c>
      <c r="L203" s="2">
        <f>IF(OR(_xlfn.XLOOKUP(_xlfn.XLOOKUP(B203,'Base stats'!B:B,'Base stats'!E:E),Groups!A:A,Groups!F:F)=2,ISNUMBER(SEARCH("SeaIce",BX203)),ISNUMBER(SEARCH("IceSheet",BX203))),-50,IF(OR(ISNUMBER(SEARCH("GlacialPlain",BX203)),ISNUMBER(SEARCH("Tundra",BX203))),-40,IF(OR(ISNUMBER(SEARCH("Alpine",BX203)),ISNUMBER(SEARCH("BorealForest",BX203)),ISNUMBER(SEARCH("ColdBog",BX203))),-30,IF(OR(ISNUMBER(SEARCH("TemperateForest",BX203)),ISNUMBER(SEARCH("TemperateSwamp",BX203))),-20,IF(_xlfn.XLOOKUP(_xlfn.XLOOKUP(B203,'Base stats'!B:B,'Base stats'!E:E),Groups!A:A,Groups!F:F)=1,-15,IF(OR(ISNUMBER(SEARCH("Desert",BX203)),ISNUMBER(SEARCH("ExtremeDesert",BX203))),-10,IF(OR(ISNUMBER(SEARCH("Grasslands",BX203)),ISNUMBER(SEARCH("TropicalRainforest",BX203)),ISNUMBER(SEARCH("TropicalSwamp",BX203))),10,0)))))))-IF(CC203="False",MIN(IFERROR(MAX(MROUND(LOG10(_xlfn.XLOOKUP(B203,'Base stats'!B:B,'Base stats'!C:C)^(2/3))*10,5),5),5),30))-_xlfn.XLOOKUP(B203,'Base stats'!B:B,'Base stats'!P:P)+IF(CC203="True",5,0)</f>
        <v>-60</v>
      </c>
      <c r="M203" s="2">
        <f>IF(OR(_xlfn.XLOOKUP(_xlfn.XLOOKUP(B203,'Base stats'!B:B,'Base stats'!E:E),Groups!A:A,Groups!G:G)=2,ISNUMBER(SEARCH("Desert",BX203)),ISNUMBER(SEARCH("ExtremeDesert",BX203)),ISNUMBER(SEARCH("LavaField",BX203))),50,IF(ISNUMBER(SEARCH("Grasslands",BX203)),45,IF(OR(_xlfn.XLOOKUP(_xlfn.XLOOKUP(B203,'Base stats'!B:B,'Base stats'!E:E),Groups!A:A,Groups!G:G)=1,ISNUMBER(SEARCH("TropicalRainforest",BX203)),ISNUMBER(SEARCH("TropicalSwamp",BX203))),40,IF(OR(ISNUMBER(SEARCH("TemperateForest",BX203)),ISNUMBER(SEARCH("TemperateSwamp",BX203))),35,IF(OR(ISNUMBER(SEARCH("Alpine",BX203)),ISNUMBER(SEARCH("BorealForest",BX203)),ISNUMBER(SEARCH("ColdBog",BX203))),30,IF(ISNUMBER(OR(ISNUMBER(SEARCH("GlacialPlain",BX203)),SEARCH("Tundra",BX203))),25,IF(OR(ISNUMBER(SEARCH("SeaIce",BX203)),ISNUMBER(SEARCH("IceSheet",BX203)),ISNUMBER(SEARCH("TropicalSwamp",BX203))),10,35)))))))+_xlfn.XLOOKUP(B203,'Base stats'!B:B,'Base stats'!Q:Q)</f>
        <v>35</v>
      </c>
      <c r="N203" s="8" t="str">
        <f>IF(
_xlfn.XLOOKUP(
_xlfn.XLOOKUP(B203,'Base stats'!B:B,'Base stats'!E:E),
Groups!A:A,
Groups!L:L
)=1,
MIN(
MROUND(
IF(
_xlfn.XLOOKUP(B203,'Animals CE'!B:B,'Animals CE'!Z:Z)&lt;=1.5,
_xlfn.XLOOKUP(B203,'Animals CE'!B:B,'Animals CE'!Z:Z)/2+0.05,
0.8+
(_xlfn.XLOOKUP(B203,'Animals CE'!B:B,'Animals CE'!Z:Z)-1.5)
*0.02
),
0.05
),
200%
),
"No"
)</f>
        <v>No</v>
      </c>
      <c r="O203" s="8" t="str">
        <f>IF(
_xlfn.XLOOKUP(
_xlfn.XLOOKUP(B203,'Base stats'!B:B,'Base stats'!E:E),
Groups!A:A,
Groups!L:L
)=1,
MIN(
MROUND(
IF(
_xlfn.XLOOKUP(B203,'Animals CE'!B:B,'Animals CE'!AA:AA)&lt;=1.5,
_xlfn.XLOOKUP(B203,'Animals CE'!B:B,'Animals CE'!AA:AA)/2+0.05,
0.8+
(_xlfn.XLOOKUP(B203,'Animals CE'!B:B,'Animals CE'!AA:AA)-1.5)
*0.02
),
0.05
),
200%
),
"No"
)</f>
        <v>No</v>
      </c>
      <c r="P203" s="2">
        <f>_xlfn.XLOOKUP(B203,'Base stats'!B:B,'Base stats'!R:R)</f>
        <v>1</v>
      </c>
      <c r="Q203" s="13">
        <f>MROUND((LOG10(_xlfn.XLOOKUP(B203,'Base stats'!B:B,'Base stats'!AR:AR))*(AO203^0.5)+(_xlfn.XLOOKUP(B203,'Base stats'!B:B,'Base stats'!AR:AR)/1000)^(2/3)+_xlfn.XLOOKUP(B203,'Base stats'!B:B,'Base stats'!BA:BA)/2)+0.5,0.5)</f>
        <v>26</v>
      </c>
      <c r="R203" s="7">
        <f>IF(Q203="No","No",MAX(1,MROUND(_xlfn.XLOOKUP(B203,'Base stats'!B:B,'Base stats'!C:C)^0.165,0.05)))</f>
        <v>3.5</v>
      </c>
      <c r="S203" s="13" t="str">
        <f>IF(_xlfn.XLOOKUP(_xlfn.XLOOKUP(B203,'Base stats'!B:B,'Base stats'!E:E),Groups!A:A,Groups!P:P)=0,"No",MROUND((LOG10(_xlfn.XLOOKUP(B203,'Base stats'!B:B,'Base stats'!AS:AS))*(AO203^0.5)+(_xlfn.XLOOKUP(B203,'Base stats'!B:B,'Base stats'!AS:AS)/1000)^(2/3)+_xlfn.XLOOKUP(B203,'Base stats'!B:B,'Base stats'!BA:BA))+_xlfn.XLOOKUP(B203,'Base stats'!B:B,'Base stats'!AY:AY)+0.5,0.5))</f>
        <v>No</v>
      </c>
      <c r="T203" s="7" t="str">
        <f>IF(S203="No","No",MAX(_xlfn.XLOOKUP(_xlfn.XLOOKUP(B203,'Base stats'!B:B,'Base stats'!E:E),Groups!A:A,Groups!Q:Q),MROUND(_xlfn.XLOOKUP(_xlfn.XLOOKUP(B203,'Base stats'!B:B,'Base stats'!E:E),Groups!A:A,Groups!Q:Q)*_xlfn.XLOOKUP(B203,'Base stats'!B:B,'Base stats'!C:C)^0.165,0.05)))</f>
        <v>No</v>
      </c>
      <c r="U203" s="7" t="str">
        <f>IF(S203="No","No",_xlfn.XLOOKUP(_xlfn.XLOOKUP(B203,'Base stats'!B:B,'Base stats'!E:E),Groups!A:A,Groups!R:R))</f>
        <v>No</v>
      </c>
      <c r="V203" s="7" t="str">
        <f>IF(S203="No","No",_xlfn.XLOOKUP(_xlfn.XLOOKUP(B203,'Base stats'!B:B,'Base stats'!E:E),Groups!A:A,Groups!S:S))</f>
        <v>No</v>
      </c>
      <c r="W203" s="7" t="str">
        <f>IF(S203="No","No",_xlfn.XLOOKUP(_xlfn.XLOOKUP(B203,'Base stats'!B:B,'Base stats'!E:E),Groups!A:A,Groups!T:T))</f>
        <v>No</v>
      </c>
      <c r="X203" s="13" t="str">
        <f>IF(_xlfn.XLOOKUP(B203,'Base stats'!B:B,'Base stats'!W:W)="No","No",MROUND((LOG10(_xlfn.XLOOKUP(B203,'Base stats'!B:B,'Base stats'!AU:AU))*(AO203^0.5)+(_xlfn.XLOOKUP(B203,'Base stats'!B:B,'Base stats'!AU:AU)/1000)^(2/3)+_xlfn.XLOOKUP(B203,'Base stats'!B:B,'Base stats'!AZ:AZ))+0.5+IF(_xlfn.XLOOKUP(_xlfn.XLOOKUP(B203,'Base stats'!B:B,'Base stats'!E:E),Groups!A:A,Groups!U:U)&lt;&gt;3,_xlfn.XLOOKUP(B203,'Base stats'!B:B,'Base stats'!BA:BA),0),0.5))</f>
        <v>No</v>
      </c>
      <c r="Y203" s="7" t="str">
        <f>IF(X203="No","No",MAX(_xlfn.XLOOKUP(_xlfn.XLOOKUP(B203,'Base stats'!B:B,'Base stats'!E:E),Groups!A:A,Groups!V:V),MROUND(_xlfn.XLOOKUP(_xlfn.XLOOKUP(B203,'Base stats'!B:B,'Base stats'!E:E),Groups!A:A,Groups!V:V)*_xlfn.XLOOKUP(B203,'Base stats'!B:B,'Base stats'!C:C)^0.165,0.05)))</f>
        <v>No</v>
      </c>
      <c r="Z203" s="7" t="str">
        <f>IF(X203="No","No",_xlfn.XLOOKUP(_xlfn.XLOOKUP(B203,'Base stats'!B:B,'Base stats'!E:E),Groups!A:A,Groups!W:W))</f>
        <v>No</v>
      </c>
      <c r="AA203" s="7" t="str">
        <f>IF(X203="No","No",_xlfn.XLOOKUP(_xlfn.XLOOKUP(B203,'Base stats'!B:B,'Base stats'!E:E),Groups!A:A,Groups!X:X))</f>
        <v>No</v>
      </c>
      <c r="AB203" s="7" t="str">
        <f>IF(X203="No","No",_xlfn.XLOOKUP(_xlfn.XLOOKUP(B203,'Base stats'!B:B,'Base stats'!E:E),Groups!A:A,Groups!Y:Y))</f>
        <v>No</v>
      </c>
      <c r="AC203" s="7" t="str">
        <f>_xlfn.XLOOKUP(Animals!B203,'Base stats'!B:B,'Base stats'!X:X)</f>
        <v>False</v>
      </c>
      <c r="AD203" s="13">
        <f>IF(_xlfn.XLOOKUP(B203,'Base stats'!B:B,'Base stats'!AT:AT)="No","No",MROUND((LOG10(_xlfn.XLOOKUP(B203,'Base stats'!B:B,'Base stats'!AT:AT))*(AO203^0.75)+(_xlfn.XLOOKUP(B203,'Base stats'!B:B,'Base stats'!AT:AT)/1000)^(2/3)+_xlfn.XLOOKUP(B203,'Base stats'!B:B,'Base stats'!AX:AX)+_xlfn.XLOOKUP(B203,'Base stats'!B:B,'Base stats'!BA:BA))+0.5,0.5))</f>
        <v>38</v>
      </c>
      <c r="AE203" s="7">
        <f>IF(AD203="No","No",MAX(_xlfn.XLOOKUP(_xlfn.XLOOKUP(B203,'Base stats'!B:B,'Base stats'!E:E),Groups!A:A,Groups!Z:Z),MROUND(_xlfn.XLOOKUP(_xlfn.XLOOKUP(B203,'Base stats'!B:B,'Base stats'!E:E),Groups!A:A,Groups!Z:Z)*_xlfn.XLOOKUP(B203,'Base stats'!B:B,'Base stats'!C:C)^0.165,0.05)))</f>
        <v>3</v>
      </c>
      <c r="AF203" s="7" t="str">
        <f>IF(AD203="No","No",_xlfn.XLOOKUP(_xlfn.XLOOKUP(B203,'Base stats'!B:B,'Base stats'!E:E),Groups!A:A,Groups!AA:AA))</f>
        <v>Teeth</v>
      </c>
      <c r="AG203" s="7" t="str">
        <f>IF(AD203="No","No",_xlfn.XLOOKUP(_xlfn.XLOOKUP(B203,'Base stats'!B:B,'Base stats'!E:E),Groups!A:A,Groups!AB:AB))</f>
        <v>canines</v>
      </c>
      <c r="AH203" s="7" t="str">
        <f>IF(AD203="No","No",_xlfn.XLOOKUP(_xlfn.XLOOKUP(B203,'Base stats'!B:B,'Base stats'!E:E),Groups!A:A,Groups!AC:AC))</f>
        <v>Bite</v>
      </c>
      <c r="AI203" s="13">
        <f>IF(_xlfn.XLOOKUP(_xlfn.XLOOKUP(B203,'Base stats'!B:B,'Base stats'!E:E),Groups!A:A,Groups!AD:AD)=0,"No",MROUND((LOG10(_xlfn.XLOOKUP(B203,'Base stats'!B:B,'Base stats'!AS:AS))*(AO203^0.75)+(_xlfn.XLOOKUP(B203,'Base stats'!B:B,'Base stats'!AS:AS)/1000)^(2/3)+_xlfn.XLOOKUP(B203,'Base stats'!B:B,'Base stats'!AY:AY)+_xlfn.XLOOKUP(B203,'Base stats'!B:B,'Base stats'!BA:BA))+0.5,0.5))</f>
        <v>38</v>
      </c>
      <c r="AJ203" s="7">
        <f>IF(AI203="No","No",MAX(_xlfn.XLOOKUP(_xlfn.XLOOKUP(B203,'Base stats'!B:B,'Base stats'!E:E),Groups!A:A,Groups!AE:AE),MROUND(_xlfn.XLOOKUP(_xlfn.XLOOKUP(B203,'Base stats'!B:B,'Base stats'!E:E),Groups!A:A,Groups!AE:AE)*IF(_xlfn.XLOOKUP(_xlfn.XLOOKUP(B203,'Base stats'!B:B,'Base stats'!E:E),Groups!A:A,Groups!AJ:AJ)="Photonozoa",0.6,1)*_xlfn.XLOOKUP(B203,'Base stats'!B:B,'Base stats'!C:C)^0.165,0.05)))</f>
        <v>2.3000000000000003</v>
      </c>
      <c r="AK203" s="7" t="str">
        <f>IF(AI203="No","No",_xlfn.XLOOKUP(_xlfn.XLOOKUP(B203,'Base stats'!B:B,'Base stats'!E:E),Groups!A:A,Groups!AF:AF))</f>
        <v>FrontLeftPaw, FrontRightPaw</v>
      </c>
      <c r="AL203" s="7" t="str">
        <f>IF(AI203="No","No",_xlfn.XLOOKUP(_xlfn.XLOOKUP(B203,'Base stats'!B:B,'Base stats'!E:E),Groups!A:A,Groups!AG:AG))</f>
        <v>left claw, right claw</v>
      </c>
      <c r="AM203" s="7" t="str">
        <f>IF(AI203="No","No",_xlfn.XLOOKUP(_xlfn.XLOOKUP(B203,'Base stats'!B:B,'Base stats'!E:E),Groups!A:A,Groups!AH:AH))</f>
        <v>Scratch</v>
      </c>
      <c r="AN203" s="2">
        <f t="shared" si="21"/>
        <v>35</v>
      </c>
      <c r="AO203" s="2">
        <f>MROUND(IF(AND(_xlfn.XLOOKUP(B203,'Base stats'!B:B,'Base stats'!C:C)&gt;=0.5,_xlfn.XLOOKUP(B203,'Base stats'!B:B,'Base stats'!C:C)&lt;=0.8),
IF(_xlfn.XLOOKUP(B203,'Base stats'!B:B,'Base stats'!C:C)&lt;0.1,0.05,IF(_xlfn.XLOOKUP(B203,'Base stats'!B:B,'Base stats'!C:C)&lt;=70,(_xlfn.XLOOKUP(B203,'Base stats'!B:B,'Base stats'!C:C)/70)^0.426489913056526,IF(_xlfn.XLOOKUP(B203,'Base stats'!B:B,'Base stats'!C:C)&lt;=400,(_xlfn.XLOOKUP(B203,'Base stats'!B:B,'Base stats'!C:C)/70)^0.572811455315093,IF(_xlfn.XLOOKUP(B203,'Base stats'!B:B,'Base stats'!C:C)&lt;=2000,2.71391647193063*(_xlfn.XLOOKUP(B203,'Base stats'!B:B,'Base stats'!C:C)/400)^0.252459582904293,3.74314280240376*(_xlfn.XLOOKUP(B203,'Base stats'!B:B,'Base stats'!C:C)/2000)^0.357012633876913)))),
IF(_xlfn.XLOOKUP(B203,'Base stats'!B:B,'Base stats'!C:C)&lt;0.1,0.05,IF(_xlfn.XLOOKUP(B203,'Base stats'!B:B,'Base stats'!C:C)&lt;0.4,0.1,IF(_xlfn.XLOOKUP(B203,'Base stats'!B:B,'Base stats'!C:C)&lt;=70,(_xlfn.XLOOKUP(B203,'Base stats'!B:B,'Base stats'!C:C)/70)^0.445823913056526,IF(_xlfn.XLOOKUP(B203,'Base stats'!B:B,'Base stats'!C:C)&lt;=400,(_xlfn.XLOOKUP(B203,'Base stats'!B:B,'Base stats'!C:C)/70)^0.572811455315093,IF(_xlfn.XLOOKUP(B203,'Base stats'!B:B,'Base stats'!C:C)&lt;=2000,2.71391647193063*(_xlfn.XLOOKUP(B203,'Base stats'!B:B,'Base stats'!C:C)/400)^0.252459582904293,3.74314280240376*(_xlfn.XLOOKUP(B203,'Base stats'!B:B,'Base stats'!C:C)/2000)^0.357012633876913)))))),
IF(_xlfn.XLOOKUP(B203,'Base stats'!B:B,'Base stats'!C:C)&lt;0.1,0.05,IF(_xlfn.XLOOKUP(B203,'Base stats'!B:B,'Base stats'!C:C)&lt;=100,0.05,IF(_xlfn.XLOOKUP(B203,'Base stats'!B:B,'Base stats'!C:C)&lt;=250,0.1,IF(_xlfn.XLOOKUP(B203,'Base stats'!B:B,'Base stats'!C:C)&lt;=4000,0.25,0.5)))))</f>
        <v>4</v>
      </c>
      <c r="AP203" s="8">
        <f>MROUND(AO203*_xlfn.XLOOKUP(_xlfn.XLOOKUP(B203,'Base stats'!B:B,'Base stats'!E:E),Groups!A:A,Groups!AI:AI)*_xlfn.XLOOKUP(B203,'Base stats'!B:B,'Base stats'!Z:Z),0.05)</f>
        <v>4.8000000000000007</v>
      </c>
      <c r="AQ203" s="8">
        <f>MAX(0.01,MROUND(IF(CC203="True",0.196*(AO203*100*1000)^0.889,IF(_xlfn.XLOOKUP(_xlfn.XLOOKUP(B203,'Base stats'!B:B,'Base stats'!E:E),Groups!A:A,Groups!AJ:AJ)="Bird",10.5*(AO203*100*1000)^0.681,4.82*(AO203*100*1000)^0.734))/(4.82*(1*100*1000)^0.734)/IF(AO203&lt;3.5,2,IF(AO203=3.5,1.5,1.25))*(1+0.132282374779864/(AO203^0.994035016789033+0.00905238001496948)),0.05))</f>
        <v>2.3000000000000003</v>
      </c>
      <c r="AR203" s="9">
        <f>IFERROR(MROUND(_xlfn.XLOOKUP(B203,'Base stats'!B:B,'Base stats'!H:H)/IF(_xlfn.XLOOKUP(B203,'Base stats'!B:B,'Base stats'!I:I)&lt;&gt;1,(122.5/70),1.2),IF(_xlfn.XLOOKUP(B203,'Base stats'!B:B,'Base stats'!H:H)&gt;=30,5,IF(_xlfn.XLOOKUP(B203,'Base stats'!B:B,'Base stats'!H:H)&gt;=15,3,IF(_xlfn.XLOOKUP(B203,'Base stats'!B:B,'Base stats'!H:H)&gt;=10,2,1)))),"Immortal")</f>
        <v>25</v>
      </c>
      <c r="AS203" s="35">
        <f>IFERROR(IF(OR(_xlfn.XLOOKUP(B203,'Base stats'!B:B,'Base stats'!F:F)="Atypical reproduction",_xlfn.XLOOKUP(B203,'Base stats'!B:B,'Base stats'!F:F)="Lay eggs"),"Lay eggs",MIN(20,MAX(5.5,ROUND(((_xlfn.XLOOKUP(B203,'Base stats'!B:B,'Base stats'!F:F)-25)*(14.5/615) + 5.5)*2,0)/2))),"Unknown")</f>
        <v>7.5</v>
      </c>
      <c r="AT203" s="8">
        <f>IF(_xlfn.XLOOKUP(B203,'Base stats'!B:B,'Base stats'!G:G)="Atypical reproduction","No",IFERROR(MAX(IF(_xlfn.XLOOKUP(B203,'Base stats'!B:B,'Base stats'!G:G)&lt;0.5,0.2,0.3),MROUND(_xlfn.XLOOKUP(B203,'Base stats'!B:B,'Base stats'!G:G)/(365/60),0.2)),"Unknown"))</f>
        <v>0.8</v>
      </c>
      <c r="AU203" s="8">
        <f t="shared" si="22"/>
        <v>0.4</v>
      </c>
      <c r="AV203" s="8">
        <f>IFERROR(IFERROR(MROUND(_xlfn.XLOOKUP(B203,'Base stats'!B:B,'Base stats'!J:J),0.1),"Lay eggs"),"Cannot breed")</f>
        <v>2</v>
      </c>
      <c r="AW203" s="2" t="str">
        <f t="shared" si="23"/>
        <v>false</v>
      </c>
      <c r="AX203" s="2" t="str">
        <f>IF(_xlfn.XLOOKUP(_xlfn.XLOOKUP(Animals!B203,'Base stats'!B:B,'Base stats'!E:E),Groups!A:A,Groups!AK:AK)=1,"true","false")</f>
        <v>false</v>
      </c>
      <c r="AY203" s="25" t="str">
        <f>IF(_xlfn.XLOOKUP(B203,'Base stats'!B:B,'Base stats'!Y:Y)="Liquor","Liquor, CarnivoreAnimalStrict",IF(AND(_xlfn.XLOOKUP(B203,'Base stats'!B:B,'Base stats'!Y:Y)="Carnivore",_xlfn.XLOOKUP(_xlfn.XLOOKUP(B203,'Base stats'!B:B,'Base stats'!E:E),Groups!A:A,Groups!AJ:AJ)="Photonozoa"),"CarnivoreAnimalStrict, OvivoreAnimal",IF(_xlfn.XLOOKUP(B203,'Base stats'!B:B,'Base stats'!Y:Y)="Carnivore","CarnivoreAnimal, OvivoreAnimal",IF(_xlfn.XLOOKUP(B203,'Base stats'!B:B,'Base stats'!Y:Y)="Dendrovore","VegetarianRoughAnimal, DendrovoreAnimal",IF(_xlfn.XLOOKUP(B203,'Base stats'!B:B,'Base stats'!Y:Y)="Herbivore","VegetarianRoughAnimal",IF(_xlfn.XLOOKUP(B203,'Base stats'!B:B,'Base stats'!Y:Y)="OmnivoreRough","OmnivoreRoughAnimal, OvivoreAnimal","OmnivoreAnimal, OvivoreAnimal"))))))</f>
        <v>OmnivoreAnimal, OvivoreAnimal</v>
      </c>
      <c r="AZ203" s="2" t="str">
        <f>IF(_xlfn.XLOOKUP(_xlfn.XLOOKUP(B203,'Base stats'!B:B,'Base stats'!E:E),Groups!A:A,Groups!D:D)=1,MROUND((1-J203)*5+1,2)*IF(J203&lt;=0.4,2,1),"No")</f>
        <v>No</v>
      </c>
      <c r="BA203" s="2" t="str">
        <f>IF(AND(_xlfn.XLOOKUP(B203,'Base stats'!B:B,'Base stats'!AH:AH)="&lt;li&gt;Seal&lt;/li&gt;",G203="Odyssey"),"&lt;li&gt;AEXP_Seal&lt;/li&gt;",_xlfn.XLOOKUP(B203,'Base stats'!B:B,'Base stats'!AH:AH))</f>
        <v>No</v>
      </c>
      <c r="BB203" s="2" t="str">
        <f>_xlfn.XLOOKUP(B203,'Base stats'!B:B,'Base stats'!AG:AG)</f>
        <v>VAEWaste_ToxicLeather</v>
      </c>
      <c r="BC203" s="23" t="str">
        <f>_xlfn.XLOOKUP(_xlfn.XLOOKUP(B203,'Base stats'!B:B,'Base stats'!E:E),Groups!A:A,Groups!AL:AL)</f>
        <v>QuadrupedAnimalWithPaws</v>
      </c>
      <c r="BD203" s="23">
        <f>MIN(1,MROUND(IF(AND(AO203&lt;0.5,_xlfn.XLOOKUP(B203,'Base stats'!B:B,'Base stats'!AA:AA)=0),0,IF(OR(_xlfn.XLOOKUP(Animals!B203,'Base stats'!B:B,'Base stats'!O:O)=2,_xlfn.XLOOKUP(_xlfn.XLOOKUP(B203,'Base stats'!B:B,'Base stats'!E:E),Groups!A:A,Groups!AN:AN)=0),0,_xlfn.XLOOKUP(_xlfn.XLOOKUP(B203,'Base stats'!B:B,'Base stats'!E:E),Groups!A:A,Groups!AN:AN)/IF(_xlfn.XLOOKUP(Animals!B203,'Base stats'!B:B,'Base stats'!O:O)=1,2,1)))+_xlfn.XLOOKUP(B203,'Base stats'!B:B,'Base stats'!AC:AC),0.005))</f>
        <v>0.1</v>
      </c>
      <c r="BE203" s="23">
        <f>MIN(1,MROUND(IF(AND(AO203&lt;0.5,_xlfn.XLOOKUP(B203,'Base stats'!B:B,'Base stats'!AA:AA)=0),0,IF(_xlfn.XLOOKUP(_xlfn.XLOOKUP(B203,'Base stats'!B:B,'Base stats'!E:E),Groups!A:A,Groups!AO:AO)=0,0,_xlfn.XLOOKUP(_xlfn.XLOOKUP(B203,'Base stats'!B:B,'Base stats'!E:E),Groups!A:A,Groups!AO:AO)/IF(_xlfn.XLOOKUP(Animals!B203,'Base stats'!B:B,'Base stats'!O:O)=2,3,1)))+_xlfn.XLOOKUP(B203,'Base stats'!B:B,'Base stats'!AD:AD),0.005))</f>
        <v>0.3</v>
      </c>
      <c r="BF203" s="2" t="str">
        <f>IF(J203&gt;0.3,"No",_xlfn.XLOOKUP(_xlfn.XLOOKUP(Animals!B203,'Base stats'!B:B,'Base stats'!E:E),Groups!A:A,Groups!AP:AP))</f>
        <v>No</v>
      </c>
      <c r="BG203" s="2" t="str">
        <f>IF(AND(J203&lt;=0.65,_xlfn.XLOOKUP(_xlfn.XLOOKUP(Animals!B203,'Base stats'!B:B,'Base stats'!E:E),Groups!A:A,Groups!AP:AP)&lt;&gt;"No",_xlfn.XLOOKUP(_xlfn.XLOOKUP(B203,'Base stats'!B:B,'Base stats'!E:E),Groups!A:A,Groups!D:D)=0),MROUND((80/3)*IF(_xlfn.XLOOKUP(B203,'Base stats'!B:B,'Base stats'!O:O)=2,0.2,AO203) + 24*(1-IF(BF203="No",0,BF203)) + 16/3, 12),"No")</f>
        <v>No</v>
      </c>
      <c r="BH203" s="2">
        <f>IF(AND(_xlfn.XLOOKUP(_xlfn.XLOOKUP(B203,'Base stats'!B:B,'Base stats'!E:E),Groups!A:A,Groups!AQ:AQ)=1,AO203&lt;=0.35),8,12)</f>
        <v>12</v>
      </c>
      <c r="BI203" s="2" t="str">
        <f>IF(_xlfn.XLOOKUP(_xlfn.XLOOKUP(B203,'Base stats'!B:B,'Base stats'!E:E),Groups!A:A,Groups!D:D)=0,_xlfn.XLOOKUP(_xlfn.XLOOKUP(B203,'Base stats'!B:B,'Base stats'!E:E),Groups!A:A,Groups!AR:AR),"None")</f>
        <v>Advanced</v>
      </c>
      <c r="BJ203" s="2" t="str">
        <f>IF(AND(_xlfn.XLOOKUP(_xlfn.XLOOKUP(B203,'Base stats'!B:B,'Base stats'!E:E),Groups!A:A,Groups!AS:AS)=1,OR(_xlfn.XLOOKUP(B203,'Base stats'!B:B,'Base stats'!Y:Y)="Carnivore",_xlfn.XLOOKUP(B203,'Base stats'!B:B,'Base stats'!Y:Y)="Omnivore")),"true","false")</f>
        <v>true</v>
      </c>
      <c r="BK203" s="2">
        <f>IF(BJ203="true",MROUND(IF(AND(AO203&gt;0.5,OR(_xlfn.XLOOKUP(_xlfn.XLOOKUP(B203,'Base stats'!B:B,'Base stats'!E:E),Groups!A:A,Groups!AJ:AJ)="Photonozoa",_xlfn.XLOOKUP(_xlfn.XLOOKUP(B203,'Base stats'!B:B,'Base stats'!E:E),Groups!A:A,Groups!AJ:AJ)="Mammal")),Animals!AO203*1.75*IF(AW203="true",1.5,1),IF(AO203&lt;0.5,Animals!AO203*0.5,Animals!AO203)),IF(AO203&gt;2,0.5,IF(AO203&gt;0.5,0.25,0.1))),"No")</f>
        <v>7</v>
      </c>
      <c r="BL203" s="2">
        <f t="shared" si="24"/>
        <v>1</v>
      </c>
      <c r="BM203" s="25" t="str">
        <f>IF(_xlfn.XLOOKUP(B203,'Base stats'!B:B,'Base stats'!AN:AN)="Standard","No",MROUND((_xlfn.XLOOKUP(B203,'Base stats'!B:B,'Base stats'!AN:AN)/3.6)/I203,0.1))</f>
        <v>No</v>
      </c>
      <c r="BN203" s="25" t="str">
        <f t="shared" si="25"/>
        <v>false</v>
      </c>
      <c r="BO203" s="25" t="str">
        <f>IF(AND(OR(_xlfn.XLOOKUP(B203,'Base stats'!B:B,'Base stats'!Y:Y)="Carnivore",_xlfn.XLOOKUP(B203,'Base stats'!B:B,'Base stats'!Y:Y)="Omnivore",_xlfn.XLOOKUP(B203,'Base stats'!B:B,'Base stats'!Y:Y)="OmnivoreRough"),_xlfn.XLOOKUP(_xlfn.XLOOKUP(B203,'Base stats'!B:B,'Base stats'!E:E),Groups!A:A,Groups!AT:AT)=1),"true","false")</f>
        <v>true</v>
      </c>
      <c r="BP203" s="25" t="str" cm="1">
        <f t="array" ref="BP203">IF(
  _xlfn.TEXTJOIN(", ",TRUE,
    IF(AND(BJ203="true",AO203&gt;0.5,BI203&lt;&gt;"None"),"AttackTarget",""),
    IF(AND(_xlfn.XLOOKUP(_xlfn.XLOOKUP(B203,'Base stats'!B:B,'Base stats'!E:E),Groups!A:A,Groups!AJ:AJ="Mammal"),OR(_xlfn.XLOOKUP(B203,'Base stats'!B:B,'Base stats'!Y:Y)="Omnivore",_xlfn.XLOOKUP(B203,'Base stats'!B:B,'Base stats'!Y:Y)="OmnivoreRough")),"Forage",""),
    IF(BG203&lt;=36,"Comfort",""),
    IF(_xlfn.XLOOKUP(B203,'Base stats'!B:B,'Base stats'!AE:AE)&lt;&gt;"No",_xlfn.XLOOKUP(B203,'Base stats'!B:B,'Base stats'!AE:AE),"")
  ) = "",
  "No",
  _xlfn.TEXTJOIN(", ",TRUE,
    IF(AND(BJ203="true",AO203&gt;0.5,BI203&lt;&gt;"None"),"AttackTarget",""),
    IF(AND(_xlfn.XLOOKUP(_xlfn.XLOOKUP(B203,'Base stats'!B:B,'Base stats'!E:E),Groups!A:A,Groups!AJ:AJ="Mammal"),OR(_xlfn.XLOOKUP(B203,'Base stats'!B:B,'Base stats'!Y:Y)="Omnivore",_xlfn.XLOOKUP(B203,'Base stats'!B:B,'Base stats'!Y:Y)="OmnivoreRough")),"Forage",""),
    IF(BG203&lt;=36,"Comfort",""),
    IF(_xlfn.XLOOKUP(B203,'Base stats'!B:B,'Base stats'!AE:AE)&lt;&gt;"No",_xlfn.XLOOKUP(B203,'Base stats'!B:B,'Base stats'!AE:AE),"")
  )
)</f>
        <v>AttackTarget, Forage</v>
      </c>
      <c r="BQ203" s="25">
        <f>IF(
   AND(
      'Base stats'!AN203="Standard",_xlfn.XLOOKUP(_xlfn.XLOOKUP(B203,'Base stats'!B:B,'Base stats'!E:E),Groups!A:A,Groups!AU:AU)=0,
      OR(
      BO203="True"
      )
   ),
   10,
   IF(
       OR(BM203&lt;&gt;"No",_xlfn.XLOOKUP(_xlfn.XLOOKUP(B203,'Base stats'!B:B,'Base stats'!E:E),Groups!A:A,Groups!AU:AU)=1),
      1,
      "No"
   )
)</f>
        <v>10</v>
      </c>
      <c r="BR203" s="9">
        <f>MROUND((1 + ((0.2*IF(OR(Q203="No",R203="No",R203=0),0,Q203/R203)
+IF(OR(V203="No",S203="No",T203="No"),0,S203/T203*(LEN(V203)-LEN(SUBSTITUTE(V203,",",""))+1))
+IF(OR(X203="No",Y203="No"),0,X203/Y203)
+IF(OR(AD203="No",AE203="No"),0,AD203/AE203)
+IF(OR(AL203="No",AI203="No",AJ203="No"),0,AI203/AJ203*(LEN(AL203)-LEN(SUBSTITUTE(AL203,",",""))+1))
)/(0.2*IF(OR(Q203="No",R203="No",R203=0),0,1)
+IF(OR(V203="No",S203="No",T203="No"),0,LEN(V203)-LEN(SUBSTITUTE(V203,",",""))+1)
+IF(OR(X203="No",Y203="No"),0,1)
+IF(OR(AD203="No",AE203="No"),0,1)
+IF(OR(AL203="No",AI203="No",AJ203="No"),0,LEN(AL203)-LEN(SUBSTITUTE(AL203,",",""))+1))*62%)* 2)*(1 + (AP203 / (IF(_xlfn.XLOOKUP(_xlfn.XLOOKUP(B203,'Base stats'!B:B,'Base stats'!E:E),Groups!A:A,Groups!AJ:AJ)="Photonozoa",0.3,1)) + _xlfn.XLOOKUP(B203,'Base stats'!B:B,'Base stats'!AV:AV) * 1.8) * 2) * 2.5 + 10 + I203 * 2,5)+IF(_xlfn.XLOOKUP(B203,'Base stats'!B:B,'Base stats'!AK:AK)=1,50,0)</f>
        <v>535</v>
      </c>
      <c r="BS203" s="8">
        <f t="shared" si="26"/>
        <v>2.6500000000000004</v>
      </c>
      <c r="BT203" s="8" t="str">
        <f>_xlfn.XLOOKUP(B203,'Base stats'!B:B,'Base stats'!AF:AF)</f>
        <v>No</v>
      </c>
      <c r="BU203" s="2" t="str">
        <f>IF(AND(J203&lt;=0.95,OR(_xlfn.XLOOKUP(B203,'Base stats'!B:B,'Base stats'!AK:AK)=1,_xlfn.XLOOKUP(B203,'Base stats'!B:B,'Base stats'!Y:Y)="Carnivore",_xlfn.XLOOKUP(B203,'Base stats'!B:B,'Base stats'!Y:Y)="Omnivore",BE203&gt;0.1)),"true","false")</f>
        <v>false</v>
      </c>
      <c r="BV203" s="2" t="str">
        <f>IF(_xlfn.XLOOKUP(B203,'Base stats'!B:B,'Base stats'!AI:AI)=1,"true","false")</f>
        <v>false</v>
      </c>
      <c r="BW203" s="25" t="str">
        <f>IF(E203="BaseInsect","AnimalInsect",
IF(J203&gt;0.95,"AnimalExotic",
_xlfn.TEXTJOIN(", ",TRUE,
IF(OR(_xlfn.XLOOKUP(B203,'Base stats'!B:B,'Base stats'!AM:AM)=1,AND(_xlfn.XLOOKUP(B203,'Base stats'!B:B,'Base stats'!O:O)=0,_xlfn.XLOOKUP(_xlfn.XLOOKUP(B203,'Base stats'!B:B,'Base stats'!E:E),Groups!A:A,Groups!B:B)&gt;0)),"AnimalUncommon","AnimalCommon"),
IF(AND(_xlfn.XLOOKUP(B203,'Base stats'!B:B,'Base stats'!O:O)=2,_xlfn.XLOOKUP(_xlfn.XLOOKUP(B203,'Base stats'!B:B,'Base stats'!E:E),Groups!A:A,Groups!D:D)=0),"AnimalPet",IF(AND(_xlfn.XLOOKUP(B203,'Base stats'!B:B,'Base stats'!O:O)&lt;&gt;0,_xlfn.XLOOKUP(_xlfn.XLOOKUP(B203,'Base stats'!B:B,'Base stats'!E:E),Groups!A:A,Groups!D:D)&lt;&gt;0),"AnimalFarm","")),
IF(OR(_xlfn.XLOOKUP(B203,'Base stats'!B:B,'Base stats'!AK:AK)=1,AND(BI203&lt;&gt;"None",BR203&gt;=60),ISNUMBER(SEARCH("Attack target",BP203))),"AnimalFighter","")
)))</f>
        <v>AnimalExotic</v>
      </c>
      <c r="BX203" s="25" t="str">
        <f>IF(G203="None",TRIM(
SUBSTITUTE(
IF(COUNTIF(Biomes!B$2:B$259,"="&amp;$C203)&gt;0,Biomes!B$1&amp;", ","")&amp;
IF(COUNTIF(Biomes!C$2:C$259,"="&amp;$C203)&gt;0,Biomes!C$1&amp;", ","")&amp;
IF(COUNTIF(Biomes!D$2:D$259,"="&amp;$C203)&gt;0,Biomes!D$1&amp;", ","")&amp;
IF(COUNTIF(Biomes!F$2:F$259,"="&amp;$C203)&gt;0,Biomes!F$1&amp;", ","")&amp;
IF(COUNTIF(Biomes!G$2:G$259,"="&amp;$C203)&gt;0,Biomes!G$1&amp;", ","")&amp;
IF(COUNTIF(Biomes!H$2:H$259,"="&amp;$C203)&gt;0,Biomes!H$1&amp;", ","")&amp;
IF(COUNTIF(Biomes!I$2:I$259,"="&amp;$C203)&gt;0,Biomes!I$1&amp;", ","")&amp;
IF(COUNTIF(Biomes!J$2:J$259,"="&amp;$C203)&gt;0,Biomes!J$1&amp;", ","")&amp;
IF(COUNTIF(Biomes!M$2:M$259,"="&amp;$C203)&gt;0,Biomes!M$1&amp;", ","")&amp;
IF(COUNTIF(Biomes!N$2:N$259,"="&amp;$C203)&gt;0,Biomes!N$1&amp;", ","")&amp;
IF(COUNTIF(Biomes!O$2:O$259,"="&amp;$C203)&gt;0,Biomes!O$1&amp;", ","")&amp;
IF(COUNTIF(Biomes!P$2:P$259,"="&amp;$C203)&gt;0,Biomes!P$1&amp;", ","")&amp;
IF(COUNTIF(Biomes!K$2:K$259,"="&amp;$C203)&gt;0,Biomes!K$1&amp;", ","")&amp;
IF(COUNTIF(Biomes!Q$3:Q$259,"="&amp;$C203)&gt;0,Biomes!Q$1&amp;", ","")&amp;
IF(COUNTIF(Biomes!L$2:L$259,"="&amp;$C203)&gt;0,Biomes!L$1&amp;", ","")&amp;
IF(COUNTIF(Biomes!E$2:E$259,"="&amp;$C203)&gt;0,Biomes!E$1&amp;", ","")&amp;IF(COUNTIF(Biomes!S$2:S$259,"="&amp;$C203)&gt;0,Biomes!S$1&amp;", ","")&amp;
IF(COUNTIF(Biomes!R$2:R$259,"="&amp;$C203)&gt;0,Biomes!R$1&amp;", ",""),", ","")
),_xlfn.XLOOKUP(B203,B:B,BX:BX))</f>
        <v>Tundra BorealForest ColdBog TemperateForest TemperateSwamp GlacialPlain Scarlands</v>
      </c>
      <c r="BY203" s="25" t="str">
        <f>IF(_xlfn.XLOOKUP(B203,'Base stats'!B:B,'Base stats'!AJ:AJ)=1,"true","false")</f>
        <v>false</v>
      </c>
      <c r="BZ203" s="25" t="str">
        <f>IF(_xlfn.XLOOKUP(B203,'Base stats'!B:B,'Base stats'!N:N)=1,"No",MAX(0.001,MIN(MROUND(IF(AND(BJ203="True",CC203="False"),POWER(10,3.47*LOG10(_xlfn.XLOOKUP(B203,'Base stats'!B:B,'Base stats'!C:C)*1000)^-0.96),POWER(10,4.15*LOG10(_xlfn.XLOOKUP(B203,'Base stats'!B:B,'Base stats'!C:C)*1000)^-0.73))*IF(_xlfn.XLOOKUP(B203,'Base stats'!B:B,'Base stats'!AK:AK)=1,0.5,1)*IF(_xlfn.XLOOKUP(B203,'Base stats'!B:B,'Base stats'!AM:AM)=1,0.1,1)/100,IF(_xlfn.XLOOKUP(B203,'Base stats'!B:B,'Base stats'!AM:AM)=1,0.001,0.025)),0.5)))</f>
        <v>No</v>
      </c>
      <c r="CA203" s="25">
        <f>IF(P203="Standard","No",MAX(0.001,MIN(MROUND(IF(AND(BJ203="True",CC203="False"),POWER(10,3.47*LOG10(_xlfn.XLOOKUP(B203,'Base stats'!B:B,'Base stats'!C:C)*1000)^-0.96),POWER(10,4.15*LOG10(_xlfn.XLOOKUP(B203,'Base stats'!B:B,'Base stats'!C:C)*1000)^-0.73))*IF(_xlfn.XLOOKUP(B203,'Base stats'!B:B,'Base stats'!AM:AM)=1,0.1,1)*_xlfn.XLOOKUP(B203,'Base stats'!B:B,'Base stats'!R:R)/100,IF(_xlfn.XLOOKUP(B203,'Base stats'!B:B,'Base stats'!AM:AM)=1,0.001,0.025)),0.5)))</f>
        <v>0.05</v>
      </c>
      <c r="CB203" s="25" t="str">
        <f>IF(_xlfn.XLOOKUP(_xlfn.XLOOKUP(B203,'Base stats'!B:B,'Base stats'!E:E),Groups!A:A,Groups!AJ:AJ)="Mammal","True","False")</f>
        <v>True</v>
      </c>
      <c r="CC203" s="25" t="str">
        <f>IF(OR(_xlfn.XLOOKUP(_xlfn.XLOOKUP(B203,'Base stats'!B:B,'Base stats'!E:E),Groups!A:A,Groups!AJ:AJ)="Reptile",_xlfn.XLOOKUP(_xlfn.XLOOKUP(B203,'Base stats'!B:B,'Base stats'!E:E),Groups!A:A,Groups!AJ:AJ)="Amphibian",_xlfn.XLOOKUP(_xlfn.XLOOKUP(B203,'Base stats'!B:B,'Base stats'!E:E),Groups!A:A,Groups!AJ:AJ)="Invertebrate"),"True","False")</f>
        <v>False</v>
      </c>
      <c r="CD203" s="25" t="str">
        <f t="shared" si="27"/>
        <v>True</v>
      </c>
      <c r="CE203" s="25" t="str">
        <f>IF(_xlfn.XLOOKUP(_xlfn.XLOOKUP(B203,'Base stats'!B:B,'Base stats'!E:E),Groups!A:A,Groups!AX:AX),"True","False")</f>
        <v>False</v>
      </c>
      <c r="CF203" s="25" t="str">
        <f>IF(_xlfn.XLOOKUP(_xlfn.XLOOKUP(B203,'Base stats'!B:B,'Base stats'!E:E),Groups!A:A,Groups!AY:AY),"True","False")</f>
        <v>False</v>
      </c>
      <c r="CG203" s="25" t="str">
        <f>IF(_xlfn.XLOOKUP(_xlfn.XLOOKUP(B203,'Base stats'!B:B,'Base stats'!E:E),Groups!A:A,Groups!AW:AW),"True","False")</f>
        <v>False</v>
      </c>
      <c r="CH203" s="25" t="str">
        <f>IF(
OR(
_xlfn.XLOOKUP(_xlfn.XLOOKUP(B203,'Base stats'!B:B,'Base stats'!E:E),Groups!A:A,Groups!AZ:AZ)=0,
AND(
_xlfn.XLOOKUP(B203,'Base stats'!B:B,'Base stats'!Y:Y)&lt;&gt;"Carnivore",
_xlfn.XLOOKUP(B203,'Base stats'!B:B,'Base stats'!Y:Y)&lt;&gt;"Omnivore",
_xlfn.XLOOKUP(B203,'Base stats'!B:B,'Base stats'!Y:Y)&lt;&gt;"OmnivoreRough"
)
),
"No",
IF(
_xlfn.XLOOKUP(_xlfn.XLOOKUP(B203,'Base stats'!B:B,'Base stats'!E:E),Groups!A:A,Groups!AZ:AZ)=1,
"Flesh",
IF(
_xlfn.XLOOKUP(_xlfn.XLOOKUP(B203,'Base stats'!B:B,'Base stats'!E:E),Groups!A:A,Groups!AZ:AZ)=2,
"Bone",
""
)
)
)</f>
        <v>Bone</v>
      </c>
      <c r="CI203" s="25" t="str">
        <f>IF(_xlfn.XLOOKUP(_xlfn.XLOOKUP(B203,'Base stats'!B:B,'Base stats'!E:E),Groups!A:A,Groups!BB:BB),"True","False")</f>
        <v>True</v>
      </c>
      <c r="CJ203" s="25" t="str">
        <f>IF(_xlfn.XLOOKUP(_xlfn.XLOOKUP(B203,'Base stats'!B:B,'Base stats'!E:E),Groups!A:A,Groups!BA:BA),"True","False")</f>
        <v>False</v>
      </c>
    </row>
    <row r="204" spans="1:88" s="16" customFormat="1" ht="16.5" thickTop="1" thickBot="1" x14ac:dyDescent="0.3">
      <c r="A204" s="26" t="str">
        <f>_xlfn.XLOOKUP(B204,'Base stats'!B:B,'Base stats'!A:A)</f>
        <v>Toxiguana</v>
      </c>
      <c r="B204" s="6" t="s">
        <v>1297</v>
      </c>
      <c r="C204" s="28" t="s">
        <v>1296</v>
      </c>
      <c r="D204" s="28" t="s">
        <v>1281</v>
      </c>
      <c r="E204" s="28" t="s">
        <v>673</v>
      </c>
      <c r="F204" s="28" t="s">
        <v>673</v>
      </c>
      <c r="G204" s="28" t="s">
        <v>673</v>
      </c>
      <c r="H204" s="2">
        <f>MROUND((
  (IF(AND(_xlfn.XLOOKUP(B204,'Base stats'!B:B,'Base stats'!AL:AL)=0,BI204="None",_xlfn.XLOOKUP(_xlfn.XLOOKUP(B204,'Base stats'!B:B,'Base stats'!E:E),Groups!A:A,Groups!B:B)=0), (18 + BR204 * 2.7) * 0.5,
    IF(AND(_xlfn.XLOOKUP(B204,'Base stats'!B:B,'Base stats'!AL:AL)=0,OR(AO204&lt;0.55,AND(BI204="Intermediate",_xlfn.XLOOKUP(_xlfn.XLOOKUP(B204,'Base stats'!B:B,'Base stats'!E:E),Groups!A:A,Groups!B:B)&lt;2))), (18 + BR204 * 2.7),
      IF(OR(BI204="Advanced",_xlfn.XLOOKUP(B204,'Base stats'!B:B,'Base stats'!AL:AL)=1,_xlfn.XLOOKUP(_xlfn.XLOOKUP(B204,'Base stats'!B:B,'Base stats'!E:E),Groups!A:A,Groups!B:B)=2), (18 + BR204 * 2.7) + 250, (18 + BR204 * 2.7))
    )
  ))
  + AO204 * 80
  + IF(COUNTIF(EggMilk!K$2:K$998, A204) &gt; 0, 125, 0)
  + IF(COUNTIF(EggMilk!P$2:P$998, A204) &gt; 0, 90, 0)
  + IF(COUNTIF(EggMilk!A$2:A$998, A204) &gt; 0, 90, 0)
)
* (0.8 + 0.4 * J204)
* 0.75,25)</f>
        <v>225</v>
      </c>
      <c r="I204" s="2">
        <f>MROUND(ROUNDDOWN(_xlfn.XLOOKUP(B204,'Base stats'!B:B,'Base stats'!L:L)/3.6/(23.3/11),1),0.5)</f>
        <v>3.5</v>
      </c>
      <c r="J204" s="2">
        <f>IF(OR(_xlfn.XLOOKUP(B204,'Base stats'!B:B,'Base stats'!AB:AB)=1,_xlfn.XLOOKUP(_xlfn.XLOOKUP(B204,'Base stats'!B:B,'Base stats'!E:E),Groups!A:A,Groups!C:C)="Untamable"),1,IF(_xlfn.XLOOKUP(B204,'Base stats'!B:B,'Base stats'!AL:AL)=1,0.99,MIN(MROUND((1-0.6282*EXP(-0.459*AO204))*_xlfn.XLOOKUP(_xlfn.XLOOKUP(B204,'Base stats'!B:B,'Base stats'!E:E),Groups!A:A,Groups!C:C)*IF(_xlfn.XLOOKUP(B204,'Base stats'!B:B,'Base stats'!O:O)=1,0.5,IF(_xlfn.XLOOKUP(B204,'Base stats'!B:B,'Base stats'!O:O)=2,0,1)),0.05),IF(AO204&gt;3.5,0.985,0.95))))</f>
        <v>0.65</v>
      </c>
      <c r="K204" s="2">
        <f>ROUNDUP(AO204*_xlfn.XLOOKUP(_xlfn.XLOOKUP(B204,'Base stats'!B:B,'Base stats'!E:E),Groups!A:A,Groups!E:E),0)</f>
        <v>1</v>
      </c>
      <c r="L204" s="2">
        <f>IF(OR(_xlfn.XLOOKUP(_xlfn.XLOOKUP(B204,'Base stats'!B:B,'Base stats'!E:E),Groups!A:A,Groups!F:F)=2,ISNUMBER(SEARCH("SeaIce",BX204)),ISNUMBER(SEARCH("IceSheet",BX204))),-50,IF(OR(ISNUMBER(SEARCH("GlacialPlain",BX204)),ISNUMBER(SEARCH("Tundra",BX204))),-40,IF(OR(ISNUMBER(SEARCH("Alpine",BX204)),ISNUMBER(SEARCH("BorealForest",BX204)),ISNUMBER(SEARCH("ColdBog",BX204))),-30,IF(OR(ISNUMBER(SEARCH("TemperateForest",BX204)),ISNUMBER(SEARCH("TemperateSwamp",BX204))),-20,IF(_xlfn.XLOOKUP(_xlfn.XLOOKUP(B204,'Base stats'!B:B,'Base stats'!E:E),Groups!A:A,Groups!F:F)=1,-15,IF(OR(ISNUMBER(SEARCH("Desert",BX204)),ISNUMBER(SEARCH("ExtremeDesert",BX204))),-10,IF(OR(ISNUMBER(SEARCH("Grasslands",BX204)),ISNUMBER(SEARCH("TropicalRainforest",BX204)),ISNUMBER(SEARCH("TropicalSwamp",BX204))),10,0)))))))-IF(CC204="False",MIN(IFERROR(MAX(MROUND(LOG10(_xlfn.XLOOKUP(B204,'Base stats'!B:B,'Base stats'!C:C)^(2/3))*10,5),5),5),30))-_xlfn.XLOOKUP(B204,'Base stats'!B:B,'Base stats'!P:P)+IF(CC204="True",5,0)</f>
        <v>15</v>
      </c>
      <c r="M204" s="2">
        <f>IF(OR(_xlfn.XLOOKUP(_xlfn.XLOOKUP(B204,'Base stats'!B:B,'Base stats'!E:E),Groups!A:A,Groups!G:G)=2,ISNUMBER(SEARCH("Desert",BX204)),ISNUMBER(SEARCH("ExtremeDesert",BX204)),ISNUMBER(SEARCH("LavaField",BX204))),50,IF(ISNUMBER(SEARCH("Grasslands",BX204)),45,IF(OR(_xlfn.XLOOKUP(_xlfn.XLOOKUP(B204,'Base stats'!B:B,'Base stats'!E:E),Groups!A:A,Groups!G:G)=1,ISNUMBER(SEARCH("TropicalRainforest",BX204)),ISNUMBER(SEARCH("TropicalSwamp",BX204))),40,IF(OR(ISNUMBER(SEARCH("TemperateForest",BX204)),ISNUMBER(SEARCH("TemperateSwamp",BX204))),35,IF(OR(ISNUMBER(SEARCH("Alpine",BX204)),ISNUMBER(SEARCH("BorealForest",BX204)),ISNUMBER(SEARCH("ColdBog",BX204))),30,IF(ISNUMBER(OR(ISNUMBER(SEARCH("GlacialPlain",BX204)),SEARCH("Tundra",BX204))),25,IF(OR(ISNUMBER(SEARCH("SeaIce",BX204)),ISNUMBER(SEARCH("IceSheet",BX204)),ISNUMBER(SEARCH("TropicalSwamp",BX204))),10,35)))))))+_xlfn.XLOOKUP(B204,'Base stats'!B:B,'Base stats'!Q:Q)</f>
        <v>40</v>
      </c>
      <c r="N204" s="8" t="str">
        <f>IF(
_xlfn.XLOOKUP(
_xlfn.XLOOKUP(B204,'Base stats'!B:B,'Base stats'!E:E),
Groups!A:A,
Groups!L:L
)=1,
MIN(
MROUND(
IF(
_xlfn.XLOOKUP(B204,'Animals CE'!B:B,'Animals CE'!Z:Z)&lt;=1.5,
_xlfn.XLOOKUP(B204,'Animals CE'!B:B,'Animals CE'!Z:Z)/2+0.05,
0.8+
(_xlfn.XLOOKUP(B204,'Animals CE'!B:B,'Animals CE'!Z:Z)-1.5)
*0.02
),
0.05
),
200%
),
"No"
)</f>
        <v>No</v>
      </c>
      <c r="O204" s="8" t="str">
        <f>IF(
_xlfn.XLOOKUP(
_xlfn.XLOOKUP(B204,'Base stats'!B:B,'Base stats'!E:E),
Groups!A:A,
Groups!L:L
)=1,
MIN(
MROUND(
IF(
_xlfn.XLOOKUP(B204,'Animals CE'!B:B,'Animals CE'!AA:AA)&lt;=1.5,
_xlfn.XLOOKUP(B204,'Animals CE'!B:B,'Animals CE'!AA:AA)/2+0.05,
0.8+
(_xlfn.XLOOKUP(B204,'Animals CE'!B:B,'Animals CE'!AA:AA)-1.5)
*0.02
),
0.05
),
200%
),
"No"
)</f>
        <v>No</v>
      </c>
      <c r="P204" s="2">
        <f>_xlfn.XLOOKUP(B204,'Base stats'!B:B,'Base stats'!R:R)</f>
        <v>1</v>
      </c>
      <c r="Q204" s="13">
        <f>MROUND((LOG10(_xlfn.XLOOKUP(B204,'Base stats'!B:B,'Base stats'!AR:AR))*(AO204^0.5)+(_xlfn.XLOOKUP(B204,'Base stats'!B:B,'Base stats'!AR:AR)/1000)^(2/3)+_xlfn.XLOOKUP(B204,'Base stats'!B:B,'Base stats'!BA:BA)/2)+0.5,0.5)</f>
        <v>4</v>
      </c>
      <c r="R204" s="7">
        <f>IF(Q204="No","No",MAX(1,MROUND(_xlfn.XLOOKUP(B204,'Base stats'!B:B,'Base stats'!C:C)^0.165,0.05)))</f>
        <v>1.5</v>
      </c>
      <c r="S204" s="13" t="str">
        <f>IF(_xlfn.XLOOKUP(_xlfn.XLOOKUP(B204,'Base stats'!B:B,'Base stats'!E:E),Groups!A:A,Groups!P:P)=0,"No",MROUND((LOG10(_xlfn.XLOOKUP(B204,'Base stats'!B:B,'Base stats'!AS:AS))*(AO204^0.5)+(_xlfn.XLOOKUP(B204,'Base stats'!B:B,'Base stats'!AS:AS)/1000)^(2/3)+_xlfn.XLOOKUP(B204,'Base stats'!B:B,'Base stats'!BA:BA))+_xlfn.XLOOKUP(B204,'Base stats'!B:B,'Base stats'!AY:AY)+0.5,0.5))</f>
        <v>No</v>
      </c>
      <c r="T204" s="7" t="str">
        <f>IF(S204="No","No",MAX(_xlfn.XLOOKUP(_xlfn.XLOOKUP(B204,'Base stats'!B:B,'Base stats'!E:E),Groups!A:A,Groups!Q:Q),MROUND(_xlfn.XLOOKUP(_xlfn.XLOOKUP(B204,'Base stats'!B:B,'Base stats'!E:E),Groups!A:A,Groups!Q:Q)*_xlfn.XLOOKUP(B204,'Base stats'!B:B,'Base stats'!C:C)^0.165,0.05)))</f>
        <v>No</v>
      </c>
      <c r="U204" s="7" t="str">
        <f>IF(S204="No","No",_xlfn.XLOOKUP(_xlfn.XLOOKUP(B204,'Base stats'!B:B,'Base stats'!E:E),Groups!A:A,Groups!R:R))</f>
        <v>No</v>
      </c>
      <c r="V204" s="7" t="str">
        <f>IF(S204="No","No",_xlfn.XLOOKUP(_xlfn.XLOOKUP(B204,'Base stats'!B:B,'Base stats'!E:E),Groups!A:A,Groups!S:S))</f>
        <v>No</v>
      </c>
      <c r="W204" s="7" t="str">
        <f>IF(S204="No","No",_xlfn.XLOOKUP(_xlfn.XLOOKUP(B204,'Base stats'!B:B,'Base stats'!E:E),Groups!A:A,Groups!T:T))</f>
        <v>No</v>
      </c>
      <c r="X204" s="13" t="str">
        <f>IF(_xlfn.XLOOKUP(B204,'Base stats'!B:B,'Base stats'!W:W)="No","No",MROUND((LOG10(_xlfn.XLOOKUP(B204,'Base stats'!B:B,'Base stats'!AU:AU))*(AO204^0.5)+(_xlfn.XLOOKUP(B204,'Base stats'!B:B,'Base stats'!AU:AU)/1000)^(2/3)+_xlfn.XLOOKUP(B204,'Base stats'!B:B,'Base stats'!AZ:AZ))+0.5+IF(_xlfn.XLOOKUP(_xlfn.XLOOKUP(B204,'Base stats'!B:B,'Base stats'!E:E),Groups!A:A,Groups!U:U)&lt;&gt;3,_xlfn.XLOOKUP(B204,'Base stats'!B:B,'Base stats'!BA:BA),0),0.5))</f>
        <v>No</v>
      </c>
      <c r="Y204" s="7" t="str">
        <f>IF(X204="No","No",MAX(_xlfn.XLOOKUP(_xlfn.XLOOKUP(B204,'Base stats'!B:B,'Base stats'!E:E),Groups!A:A,Groups!V:V),MROUND(_xlfn.XLOOKUP(_xlfn.XLOOKUP(B204,'Base stats'!B:B,'Base stats'!E:E),Groups!A:A,Groups!V:V)*_xlfn.XLOOKUP(B204,'Base stats'!B:B,'Base stats'!C:C)^0.165,0.05)))</f>
        <v>No</v>
      </c>
      <c r="Z204" s="7" t="str">
        <f>IF(X204="No","No",_xlfn.XLOOKUP(_xlfn.XLOOKUP(B204,'Base stats'!B:B,'Base stats'!E:E),Groups!A:A,Groups!W:W))</f>
        <v>No</v>
      </c>
      <c r="AA204" s="7" t="str">
        <f>IF(X204="No","No",_xlfn.XLOOKUP(_xlfn.XLOOKUP(B204,'Base stats'!B:B,'Base stats'!E:E),Groups!A:A,Groups!X:X))</f>
        <v>No</v>
      </c>
      <c r="AB204" s="7" t="str">
        <f>IF(X204="No","No",_xlfn.XLOOKUP(_xlfn.XLOOKUP(B204,'Base stats'!B:B,'Base stats'!E:E),Groups!A:A,Groups!Y:Y))</f>
        <v>No</v>
      </c>
      <c r="AC204" s="7" t="str">
        <f>_xlfn.XLOOKUP(Animals!B204,'Base stats'!B:B,'Base stats'!X:X)</f>
        <v>False</v>
      </c>
      <c r="AD204" s="13">
        <f>IF(_xlfn.XLOOKUP(B204,'Base stats'!B:B,'Base stats'!AT:AT)="No","No",MROUND((LOG10(_xlfn.XLOOKUP(B204,'Base stats'!B:B,'Base stats'!AT:AT))*(AO204^0.75)+(_xlfn.XLOOKUP(B204,'Base stats'!B:B,'Base stats'!AT:AT)/1000)^(2/3)+_xlfn.XLOOKUP(B204,'Base stats'!B:B,'Base stats'!AX:AX)+_xlfn.XLOOKUP(B204,'Base stats'!B:B,'Base stats'!BA:BA))+0.5,0.5))</f>
        <v>5.5</v>
      </c>
      <c r="AE204" s="7">
        <f>IF(AD204="No","No",MAX(_xlfn.XLOOKUP(_xlfn.XLOOKUP(B204,'Base stats'!B:B,'Base stats'!E:E),Groups!A:A,Groups!Z:Z),MROUND(_xlfn.XLOOKUP(_xlfn.XLOOKUP(B204,'Base stats'!B:B,'Base stats'!E:E),Groups!A:A,Groups!Z:Z)*_xlfn.XLOOKUP(B204,'Base stats'!B:B,'Base stats'!C:C)^0.165,0.05)))</f>
        <v>1.35</v>
      </c>
      <c r="AF204" s="7" t="str">
        <f>IF(AD204="No","No",_xlfn.XLOOKUP(_xlfn.XLOOKUP(B204,'Base stats'!B:B,'Base stats'!E:E),Groups!A:A,Groups!AA:AA))</f>
        <v>Teeth</v>
      </c>
      <c r="AG204" s="7" t="str">
        <f>IF(AD204="No","No",_xlfn.XLOOKUP(_xlfn.XLOOKUP(B204,'Base stats'!B:B,'Base stats'!E:E),Groups!A:A,Groups!AB:AB))</f>
        <v>teeth</v>
      </c>
      <c r="AH204" s="7" t="str">
        <f>IF(AD204="No","No",_xlfn.XLOOKUP(_xlfn.XLOOKUP(B204,'Base stats'!B:B,'Base stats'!E:E),Groups!A:A,Groups!AC:AC))</f>
        <v>Bite</v>
      </c>
      <c r="AI204" s="13">
        <f>IF(_xlfn.XLOOKUP(_xlfn.XLOOKUP(B204,'Base stats'!B:B,'Base stats'!E:E),Groups!A:A,Groups!AD:AD)=0,"No",MROUND((LOG10(_xlfn.XLOOKUP(B204,'Base stats'!B:B,'Base stats'!AS:AS))*(AO204^0.75)+(_xlfn.XLOOKUP(B204,'Base stats'!B:B,'Base stats'!AS:AS)/1000)^(2/3)+_xlfn.XLOOKUP(B204,'Base stats'!B:B,'Base stats'!AY:AY)+_xlfn.XLOOKUP(B204,'Base stats'!B:B,'Base stats'!BA:BA))+0.5,0.5))</f>
        <v>5</v>
      </c>
      <c r="AJ204" s="7">
        <f>IF(AI204="No","No",MAX(_xlfn.XLOOKUP(_xlfn.XLOOKUP(B204,'Base stats'!B:B,'Base stats'!E:E),Groups!A:A,Groups!AE:AE),MROUND(_xlfn.XLOOKUP(_xlfn.XLOOKUP(B204,'Base stats'!B:B,'Base stats'!E:E),Groups!A:A,Groups!AE:AE)*IF(_xlfn.XLOOKUP(_xlfn.XLOOKUP(B204,'Base stats'!B:B,'Base stats'!E:E),Groups!A:A,Groups!AJ:AJ)="Photonozoa",0.6,1)*_xlfn.XLOOKUP(B204,'Base stats'!B:B,'Base stats'!C:C)^0.165,0.05)))</f>
        <v>1.05</v>
      </c>
      <c r="AK204" s="7" t="str">
        <f>IF(AI204="No","No",_xlfn.XLOOKUP(_xlfn.XLOOKUP(B204,'Base stats'!B:B,'Base stats'!E:E),Groups!A:A,Groups!AF:AF))</f>
        <v>FrontLeftClaws, FrontRightClaws</v>
      </c>
      <c r="AL204" s="7" t="str">
        <f>IF(AI204="No","No",_xlfn.XLOOKUP(_xlfn.XLOOKUP(B204,'Base stats'!B:B,'Base stats'!E:E),Groups!A:A,Groups!AG:AG))</f>
        <v>left claw, right claw</v>
      </c>
      <c r="AM204" s="7" t="str">
        <f>IF(AI204="No","No",_xlfn.XLOOKUP(_xlfn.XLOOKUP(B204,'Base stats'!B:B,'Base stats'!E:E),Groups!A:A,Groups!AH:AH))</f>
        <v>Scratch</v>
      </c>
      <c r="AN204" s="2" t="str">
        <f t="shared" si="21"/>
        <v>No</v>
      </c>
      <c r="AO204" s="2">
        <f>MROUND(IF(AND(_xlfn.XLOOKUP(B204,'Base stats'!B:B,'Base stats'!C:C)&gt;=0.5,_xlfn.XLOOKUP(B204,'Base stats'!B:B,'Base stats'!C:C)&lt;=0.8),
IF(_xlfn.XLOOKUP(B204,'Base stats'!B:B,'Base stats'!C:C)&lt;0.1,0.05,IF(_xlfn.XLOOKUP(B204,'Base stats'!B:B,'Base stats'!C:C)&lt;=70,(_xlfn.XLOOKUP(B204,'Base stats'!B:B,'Base stats'!C:C)/70)^0.426489913056526,IF(_xlfn.XLOOKUP(B204,'Base stats'!B:B,'Base stats'!C:C)&lt;=400,(_xlfn.XLOOKUP(B204,'Base stats'!B:B,'Base stats'!C:C)/70)^0.572811455315093,IF(_xlfn.XLOOKUP(B204,'Base stats'!B:B,'Base stats'!C:C)&lt;=2000,2.71391647193063*(_xlfn.XLOOKUP(B204,'Base stats'!B:B,'Base stats'!C:C)/400)^0.252459582904293,3.74314280240376*(_xlfn.XLOOKUP(B204,'Base stats'!B:B,'Base stats'!C:C)/2000)^0.357012633876913)))),
IF(_xlfn.XLOOKUP(B204,'Base stats'!B:B,'Base stats'!C:C)&lt;0.1,0.05,IF(_xlfn.XLOOKUP(B204,'Base stats'!B:B,'Base stats'!C:C)&lt;0.4,0.1,IF(_xlfn.XLOOKUP(B204,'Base stats'!B:B,'Base stats'!C:C)&lt;=70,(_xlfn.XLOOKUP(B204,'Base stats'!B:B,'Base stats'!C:C)/70)^0.445823913056526,IF(_xlfn.XLOOKUP(B204,'Base stats'!B:B,'Base stats'!C:C)&lt;=400,(_xlfn.XLOOKUP(B204,'Base stats'!B:B,'Base stats'!C:C)/70)^0.572811455315093,IF(_xlfn.XLOOKUP(B204,'Base stats'!B:B,'Base stats'!C:C)&lt;=2000,2.71391647193063*(_xlfn.XLOOKUP(B204,'Base stats'!B:B,'Base stats'!C:C)/400)^0.252459582904293,3.74314280240376*(_xlfn.XLOOKUP(B204,'Base stats'!B:B,'Base stats'!C:C)/2000)^0.357012633876913)))))),
IF(_xlfn.XLOOKUP(B204,'Base stats'!B:B,'Base stats'!C:C)&lt;0.1,0.05,IF(_xlfn.XLOOKUP(B204,'Base stats'!B:B,'Base stats'!C:C)&lt;=100,0.05,IF(_xlfn.XLOOKUP(B204,'Base stats'!B:B,'Base stats'!C:C)&lt;=250,0.1,IF(_xlfn.XLOOKUP(B204,'Base stats'!B:B,'Base stats'!C:C)&lt;=4000,0.25,0.5)))))</f>
        <v>0.45</v>
      </c>
      <c r="AP204" s="8">
        <f>MROUND(AO204*_xlfn.XLOOKUP(_xlfn.XLOOKUP(B204,'Base stats'!B:B,'Base stats'!E:E),Groups!A:A,Groups!AI:AI)*_xlfn.XLOOKUP(B204,'Base stats'!B:B,'Base stats'!Z:Z),0.05)</f>
        <v>0.55000000000000004</v>
      </c>
      <c r="AQ204" s="8">
        <f>MAX(0.01,MROUND(IF(CC204="True",0.196*(AO204*100*1000)^0.889,IF(_xlfn.XLOOKUP(_xlfn.XLOOKUP(B204,'Base stats'!B:B,'Base stats'!E:E),Groups!A:A,Groups!AJ:AJ)="Bird",10.5*(AO204*100*1000)^0.681,4.82*(AO204*100*1000)^0.734))/(4.82*(1*100*1000)^0.734)/IF(AO204&lt;3.5,2,IF(AO204=3.5,1.5,1.25))*(1+0.132282374779864/(AO204^0.994035016789033+0.00905238001496948)),0.05))</f>
        <v>0.1</v>
      </c>
      <c r="AR204" s="9">
        <f>IFERROR(MROUND(_xlfn.XLOOKUP(B204,'Base stats'!B:B,'Base stats'!H:H)/IF(_xlfn.XLOOKUP(B204,'Base stats'!B:B,'Base stats'!I:I)&lt;&gt;1,(122.5/70),1.2),IF(_xlfn.XLOOKUP(B204,'Base stats'!B:B,'Base stats'!H:H)&gt;=30,5,IF(_xlfn.XLOOKUP(B204,'Base stats'!B:B,'Base stats'!H:H)&gt;=15,3,IF(_xlfn.XLOOKUP(B204,'Base stats'!B:B,'Base stats'!H:H)&gt;=10,2,1)))),"Immortal")</f>
        <v>12</v>
      </c>
      <c r="AS204" s="35" t="str">
        <f>IFERROR(IF(OR(_xlfn.XLOOKUP(B204,'Base stats'!B:B,'Base stats'!F:F)="Atypical reproduction",_xlfn.XLOOKUP(B204,'Base stats'!B:B,'Base stats'!F:F)="Lay eggs"),"Lay eggs",MIN(20,MAX(5.5,ROUND(((_xlfn.XLOOKUP(B204,'Base stats'!B:B,'Base stats'!F:F)-25)*(14.5/615) + 5.5)*2,0)/2))),"Unknown")</f>
        <v>Lay eggs</v>
      </c>
      <c r="AT204" s="8">
        <f>IF(_xlfn.XLOOKUP(B204,'Base stats'!B:B,'Base stats'!G:G)="Atypical reproduction","No",IFERROR(MAX(IF(_xlfn.XLOOKUP(B204,'Base stats'!B:B,'Base stats'!G:G)&lt;0.5,0.2,0.3),MROUND(_xlfn.XLOOKUP(B204,'Base stats'!B:B,'Base stats'!G:G)/(365/60),0.2)),"Unknown"))</f>
        <v>0.8</v>
      </c>
      <c r="AU204" s="8">
        <f t="shared" si="22"/>
        <v>0.4</v>
      </c>
      <c r="AV204" s="8" t="str">
        <f>IFERROR(IFERROR(MROUND(_xlfn.XLOOKUP(B204,'Base stats'!B:B,'Base stats'!J:J),0.1),"Lay eggs"),"Cannot breed")</f>
        <v>Lay eggs</v>
      </c>
      <c r="AW204" s="2" t="str">
        <f t="shared" si="23"/>
        <v>false</v>
      </c>
      <c r="AX204" s="2" t="str">
        <f>IF(_xlfn.XLOOKUP(_xlfn.XLOOKUP(Animals!B204,'Base stats'!B:B,'Base stats'!E:E),Groups!A:A,Groups!AK:AK)=1,"true","false")</f>
        <v>false</v>
      </c>
      <c r="AY204" s="25" t="str">
        <f>IF(_xlfn.XLOOKUP(B204,'Base stats'!B:B,'Base stats'!Y:Y)="Liquor","Liquor, CarnivoreAnimalStrict",IF(AND(_xlfn.XLOOKUP(B204,'Base stats'!B:B,'Base stats'!Y:Y)="Carnivore",_xlfn.XLOOKUP(_xlfn.XLOOKUP(B204,'Base stats'!B:B,'Base stats'!E:E),Groups!A:A,Groups!AJ:AJ)="Photonozoa"),"CarnivoreAnimalStrict, OvivoreAnimal",IF(_xlfn.XLOOKUP(B204,'Base stats'!B:B,'Base stats'!Y:Y)="Carnivore","CarnivoreAnimal, OvivoreAnimal",IF(_xlfn.XLOOKUP(B204,'Base stats'!B:B,'Base stats'!Y:Y)="Dendrovore","VegetarianRoughAnimal, DendrovoreAnimal",IF(_xlfn.XLOOKUP(B204,'Base stats'!B:B,'Base stats'!Y:Y)="Herbivore","VegetarianRoughAnimal",IF(_xlfn.XLOOKUP(B204,'Base stats'!B:B,'Base stats'!Y:Y)="OmnivoreRough","OmnivoreRoughAnimal, OvivoreAnimal","OmnivoreAnimal, OvivoreAnimal"))))))</f>
        <v>VegetarianRoughAnimal</v>
      </c>
      <c r="AZ204" s="2" t="str">
        <f>IF(_xlfn.XLOOKUP(_xlfn.XLOOKUP(B204,'Base stats'!B:B,'Base stats'!E:E),Groups!A:A,Groups!D:D)=1,MROUND((1-J204)*5+1,2)*IF(J204&lt;=0.4,2,1),"No")</f>
        <v>No</v>
      </c>
      <c r="BA204" s="2" t="str">
        <f>IF(AND(_xlfn.XLOOKUP(B204,'Base stats'!B:B,'Base stats'!AH:AH)="&lt;li&gt;Seal&lt;/li&gt;",G204="Odyssey"),"&lt;li&gt;AEXP_Seal&lt;/li&gt;",_xlfn.XLOOKUP(B204,'Base stats'!B:B,'Base stats'!AH:AH))</f>
        <v>No</v>
      </c>
      <c r="BB204" s="2" t="str">
        <f>_xlfn.XLOOKUP(B204,'Base stats'!B:B,'Base stats'!AG:AG)</f>
        <v>VAEWaste_ToxicLeather</v>
      </c>
      <c r="BC204" s="23" t="str">
        <f>_xlfn.XLOOKUP(_xlfn.XLOOKUP(B204,'Base stats'!B:B,'Base stats'!E:E),Groups!A:A,Groups!AL:AL)</f>
        <v>QuadrupedAnimalWithClawsTailAndJowl</v>
      </c>
      <c r="BD204" s="23">
        <f>MIN(1,MROUND(IF(AND(AO204&lt;0.5,_xlfn.XLOOKUP(B204,'Base stats'!B:B,'Base stats'!AA:AA)=0),0,IF(OR(_xlfn.XLOOKUP(Animals!B204,'Base stats'!B:B,'Base stats'!O:O)=2,_xlfn.XLOOKUP(_xlfn.XLOOKUP(B204,'Base stats'!B:B,'Base stats'!E:E),Groups!A:A,Groups!AN:AN)=0),0,_xlfn.XLOOKUP(_xlfn.XLOOKUP(B204,'Base stats'!B:B,'Base stats'!E:E),Groups!A:A,Groups!AN:AN)/IF(_xlfn.XLOOKUP(Animals!B204,'Base stats'!B:B,'Base stats'!O:O)=1,2,1)))+_xlfn.XLOOKUP(B204,'Base stats'!B:B,'Base stats'!AC:AC),0.005))</f>
        <v>0</v>
      </c>
      <c r="BE204" s="23">
        <f>MIN(1,MROUND(IF(AND(AO204&lt;0.5,_xlfn.XLOOKUP(B204,'Base stats'!B:B,'Base stats'!AA:AA)=0),0,IF(_xlfn.XLOOKUP(_xlfn.XLOOKUP(B204,'Base stats'!B:B,'Base stats'!E:E),Groups!A:A,Groups!AO:AO)=0,0,_xlfn.XLOOKUP(_xlfn.XLOOKUP(B204,'Base stats'!B:B,'Base stats'!E:E),Groups!A:A,Groups!AO:AO)/IF(_xlfn.XLOOKUP(Animals!B204,'Base stats'!B:B,'Base stats'!O:O)=2,3,1)))+_xlfn.XLOOKUP(B204,'Base stats'!B:B,'Base stats'!AD:AD),0.005))</f>
        <v>0</v>
      </c>
      <c r="BF204" s="2" t="str">
        <f>IF(J204&gt;0.3,"No",_xlfn.XLOOKUP(_xlfn.XLOOKUP(Animals!B204,'Base stats'!B:B,'Base stats'!E:E),Groups!A:A,Groups!AP:AP))</f>
        <v>No</v>
      </c>
      <c r="BG204" s="2" t="str">
        <f>IF(AND(J204&lt;=0.65,_xlfn.XLOOKUP(_xlfn.XLOOKUP(Animals!B204,'Base stats'!B:B,'Base stats'!E:E),Groups!A:A,Groups!AP:AP)&lt;&gt;"No",_xlfn.XLOOKUP(_xlfn.XLOOKUP(B204,'Base stats'!B:B,'Base stats'!E:E),Groups!A:A,Groups!D:D)=0),MROUND((80/3)*IF(_xlfn.XLOOKUP(B204,'Base stats'!B:B,'Base stats'!O:O)=2,0.2,AO204) + 24*(1-IF(BF204="No",0,BF204)) + 16/3, 12),"No")</f>
        <v>No</v>
      </c>
      <c r="BH204" s="2">
        <f>IF(AND(_xlfn.XLOOKUP(_xlfn.XLOOKUP(B204,'Base stats'!B:B,'Base stats'!E:E),Groups!A:A,Groups!AQ:AQ)=1,AO204&lt;=0.35),8,12)</f>
        <v>12</v>
      </c>
      <c r="BI204" s="2" t="str">
        <f>IF(_xlfn.XLOOKUP(_xlfn.XLOOKUP(B204,'Base stats'!B:B,'Base stats'!E:E),Groups!A:A,Groups!D:D)=0,_xlfn.XLOOKUP(_xlfn.XLOOKUP(B204,'Base stats'!B:B,'Base stats'!E:E),Groups!A:A,Groups!AR:AR),"None")</f>
        <v>None</v>
      </c>
      <c r="BJ204" s="2" t="str">
        <f>IF(AND(_xlfn.XLOOKUP(_xlfn.XLOOKUP(B204,'Base stats'!B:B,'Base stats'!E:E),Groups!A:A,Groups!AS:AS)=1,OR(_xlfn.XLOOKUP(B204,'Base stats'!B:B,'Base stats'!Y:Y)="Carnivore",_xlfn.XLOOKUP(B204,'Base stats'!B:B,'Base stats'!Y:Y)="Omnivore")),"true","false")</f>
        <v>false</v>
      </c>
      <c r="BK204" s="2" t="str">
        <f>IF(BJ204="true",MROUND(IF(AND(AO204&gt;0.5,OR(_xlfn.XLOOKUP(_xlfn.XLOOKUP(B204,'Base stats'!B:B,'Base stats'!E:E),Groups!A:A,Groups!AJ:AJ)="Photonozoa",_xlfn.XLOOKUP(_xlfn.XLOOKUP(B204,'Base stats'!B:B,'Base stats'!E:E),Groups!A:A,Groups!AJ:AJ)="Mammal")),Animals!AO204*1.75*IF(AW204="true",1.5,1),IF(AO204&lt;0.5,Animals!AO204*0.5,Animals!AO204)),IF(AO204&gt;2,0.5,IF(AO204&gt;0.5,0.25,0.1))),"No")</f>
        <v>No</v>
      </c>
      <c r="BL204" s="2">
        <f t="shared" si="24"/>
        <v>0</v>
      </c>
      <c r="BM204" s="25" t="str">
        <f>IF(_xlfn.XLOOKUP(B204,'Base stats'!B:B,'Base stats'!AN:AN)="Standard","No",MROUND((_xlfn.XLOOKUP(B204,'Base stats'!B:B,'Base stats'!AN:AN)/3.6)/I204,0.1))</f>
        <v>No</v>
      </c>
      <c r="BN204" s="25" t="str">
        <f t="shared" si="25"/>
        <v>false</v>
      </c>
      <c r="BO204" s="25" t="str">
        <f>IF(AND(OR(_xlfn.XLOOKUP(B204,'Base stats'!B:B,'Base stats'!Y:Y)="Carnivore",_xlfn.XLOOKUP(B204,'Base stats'!B:B,'Base stats'!Y:Y)="Omnivore",_xlfn.XLOOKUP(B204,'Base stats'!B:B,'Base stats'!Y:Y)="OmnivoreRough"),_xlfn.XLOOKUP(_xlfn.XLOOKUP(B204,'Base stats'!B:B,'Base stats'!E:E),Groups!A:A,Groups!AT:AT)=1),"true","false")</f>
        <v>false</v>
      </c>
      <c r="BP204" s="25" t="str" cm="1">
        <f t="array" ref="BP204">IF(
  _xlfn.TEXTJOIN(", ",TRUE,
    IF(AND(BJ204="true",AO204&gt;0.5,BI204&lt;&gt;"None"),"AttackTarget",""),
    IF(AND(_xlfn.XLOOKUP(_xlfn.XLOOKUP(B204,'Base stats'!B:B,'Base stats'!E:E),Groups!A:A,Groups!AJ:AJ="Mammal"),OR(_xlfn.XLOOKUP(B204,'Base stats'!B:B,'Base stats'!Y:Y)="Omnivore",_xlfn.XLOOKUP(B204,'Base stats'!B:B,'Base stats'!Y:Y)="OmnivoreRough")),"Forage",""),
    IF(BG204&lt;=36,"Comfort",""),
    IF(_xlfn.XLOOKUP(B204,'Base stats'!B:B,'Base stats'!AE:AE)&lt;&gt;"No",_xlfn.XLOOKUP(B204,'Base stats'!B:B,'Base stats'!AE:AE),"")
  ) = "",
  "No",
  _xlfn.TEXTJOIN(", ",TRUE,
    IF(AND(BJ204="true",AO204&gt;0.5,BI204&lt;&gt;"None"),"AttackTarget",""),
    IF(AND(_xlfn.XLOOKUP(_xlfn.XLOOKUP(B204,'Base stats'!B:B,'Base stats'!E:E),Groups!A:A,Groups!AJ:AJ="Mammal"),OR(_xlfn.XLOOKUP(B204,'Base stats'!B:B,'Base stats'!Y:Y)="Omnivore",_xlfn.XLOOKUP(B204,'Base stats'!B:B,'Base stats'!Y:Y)="OmnivoreRough")),"Forage",""),
    IF(BG204&lt;=36,"Comfort",""),
    IF(_xlfn.XLOOKUP(B204,'Base stats'!B:B,'Base stats'!AE:AE)&lt;&gt;"No",_xlfn.XLOOKUP(B204,'Base stats'!B:B,'Base stats'!AE:AE),"")
  )
)</f>
        <v>No</v>
      </c>
      <c r="BQ204" s="25" t="str">
        <f>IF(
   AND(
      'Base stats'!AN204="Standard",_xlfn.XLOOKUP(_xlfn.XLOOKUP(B204,'Base stats'!B:B,'Base stats'!E:E),Groups!A:A,Groups!AU:AU)=0,
      OR(
      BO204="True"
      )
   ),
   10,
   IF(
       OR(BM204&lt;&gt;"No",_xlfn.XLOOKUP(_xlfn.XLOOKUP(B204,'Base stats'!B:B,'Base stats'!E:E),Groups!A:A,Groups!AU:AU)=1),
      1,
      "No"
   )
)</f>
        <v>No</v>
      </c>
      <c r="BR204" s="9">
        <f>MROUND((1 + ((0.2*IF(OR(Q204="No",R204="No",R204=0),0,Q204/R204)
+IF(OR(V204="No",S204="No",T204="No"),0,S204/T204*(LEN(V204)-LEN(SUBSTITUTE(V204,",",""))+1))
+IF(OR(X204="No",Y204="No"),0,X204/Y204)
+IF(OR(AD204="No",AE204="No"),0,AD204/AE204)
+IF(OR(AL204="No",AI204="No",AJ204="No"),0,AI204/AJ204*(LEN(AL204)-LEN(SUBSTITUTE(AL204,",",""))+1))
)/(0.2*IF(OR(Q204="No",R204="No",R204=0),0,1)
+IF(OR(V204="No",S204="No",T204="No"),0,LEN(V204)-LEN(SUBSTITUTE(V204,",",""))+1)
+IF(OR(X204="No",Y204="No"),0,1)
+IF(OR(AD204="No",AE204="No"),0,1)
+IF(OR(AL204="No",AI204="No",AJ204="No"),0,LEN(AL204)-LEN(SUBSTITUTE(AL204,",",""))+1))*62%)* 2)*(1 + (AP204 / (IF(_xlfn.XLOOKUP(_xlfn.XLOOKUP(B204,'Base stats'!B:B,'Base stats'!E:E),Groups!A:A,Groups!AJ:AJ)="Photonozoa",0.3,1)) + _xlfn.XLOOKUP(B204,'Base stats'!B:B,'Base stats'!AV:AV) * 1.8) * 2) * 2.5 + 10 + I204 * 2,5)+IF(_xlfn.XLOOKUP(B204,'Base stats'!B:B,'Base stats'!AK:AK)=1,50,0)</f>
        <v>50</v>
      </c>
      <c r="BS204" s="8">
        <f t="shared" si="26"/>
        <v>0.15000000000000002</v>
      </c>
      <c r="BT204" s="8" t="str">
        <f>_xlfn.XLOOKUP(B204,'Base stats'!B:B,'Base stats'!AF:AF)</f>
        <v>No</v>
      </c>
      <c r="BU204" s="2" t="str">
        <f>IF(AND(J204&lt;=0.95,OR(_xlfn.XLOOKUP(B204,'Base stats'!B:B,'Base stats'!AK:AK)=1,_xlfn.XLOOKUP(B204,'Base stats'!B:B,'Base stats'!Y:Y)="Carnivore",_xlfn.XLOOKUP(B204,'Base stats'!B:B,'Base stats'!Y:Y)="Omnivore",BE204&gt;0.1)),"true","false")</f>
        <v>false</v>
      </c>
      <c r="BV204" s="2" t="str">
        <f>IF(_xlfn.XLOOKUP(B204,'Base stats'!B:B,'Base stats'!AI:AI)=1,"true","false")</f>
        <v>false</v>
      </c>
      <c r="BW204" s="25" t="str">
        <f>IF(E204="BaseInsect","AnimalInsect",
IF(J204&gt;0.95,"AnimalExotic",
_xlfn.TEXTJOIN(", ",TRUE,
IF(OR(_xlfn.XLOOKUP(B204,'Base stats'!B:B,'Base stats'!AM:AM)=1,AND(_xlfn.XLOOKUP(B204,'Base stats'!B:B,'Base stats'!O:O)=0,_xlfn.XLOOKUP(_xlfn.XLOOKUP(B204,'Base stats'!B:B,'Base stats'!E:E),Groups!A:A,Groups!B:B)&gt;0)),"AnimalUncommon","AnimalCommon"),
IF(AND(_xlfn.XLOOKUP(B204,'Base stats'!B:B,'Base stats'!O:O)=2,_xlfn.XLOOKUP(_xlfn.XLOOKUP(B204,'Base stats'!B:B,'Base stats'!E:E),Groups!A:A,Groups!D:D)=0),"AnimalPet",IF(AND(_xlfn.XLOOKUP(B204,'Base stats'!B:B,'Base stats'!O:O)&lt;&gt;0,_xlfn.XLOOKUP(_xlfn.XLOOKUP(B204,'Base stats'!B:B,'Base stats'!E:E),Groups!A:A,Groups!D:D)&lt;&gt;0),"AnimalFarm","")),
IF(OR(_xlfn.XLOOKUP(B204,'Base stats'!B:B,'Base stats'!AK:AK)=1,AND(BI204&lt;&gt;"None",BR204&gt;=60),ISNUMBER(SEARCH("Attack target",BP204))),"AnimalFighter","")
)))</f>
        <v>AnimalUncommon</v>
      </c>
      <c r="BX204" s="25" t="str">
        <f>IF(G204="None",TRIM(
SUBSTITUTE(
IF(COUNTIF(Biomes!B$2:B$259,"="&amp;$C204)&gt;0,Biomes!B$1&amp;", ","")&amp;
IF(COUNTIF(Biomes!C$2:C$259,"="&amp;$C204)&gt;0,Biomes!C$1&amp;", ","")&amp;
IF(COUNTIF(Biomes!D$2:D$259,"="&amp;$C204)&gt;0,Biomes!D$1&amp;", ","")&amp;
IF(COUNTIF(Biomes!F$2:F$259,"="&amp;$C204)&gt;0,Biomes!F$1&amp;", ","")&amp;
IF(COUNTIF(Biomes!G$2:G$259,"="&amp;$C204)&gt;0,Biomes!G$1&amp;", ","")&amp;
IF(COUNTIF(Biomes!H$2:H$259,"="&amp;$C204)&gt;0,Biomes!H$1&amp;", ","")&amp;
IF(COUNTIF(Biomes!I$2:I$259,"="&amp;$C204)&gt;0,Biomes!I$1&amp;", ","")&amp;
IF(COUNTIF(Biomes!J$2:J$259,"="&amp;$C204)&gt;0,Biomes!J$1&amp;", ","")&amp;
IF(COUNTIF(Biomes!M$2:M$259,"="&amp;$C204)&gt;0,Biomes!M$1&amp;", ","")&amp;
IF(COUNTIF(Biomes!N$2:N$259,"="&amp;$C204)&gt;0,Biomes!N$1&amp;", ","")&amp;
IF(COUNTIF(Biomes!O$2:O$259,"="&amp;$C204)&gt;0,Biomes!O$1&amp;", ","")&amp;
IF(COUNTIF(Biomes!P$2:P$259,"="&amp;$C204)&gt;0,Biomes!P$1&amp;", ","")&amp;
IF(COUNTIF(Biomes!K$2:K$259,"="&amp;$C204)&gt;0,Biomes!K$1&amp;", ","")&amp;
IF(COUNTIF(Biomes!Q$3:Q$259,"="&amp;$C204)&gt;0,Biomes!Q$1&amp;", ","")&amp;
IF(COUNTIF(Biomes!L$2:L$259,"="&amp;$C204)&gt;0,Biomes!L$1&amp;", ","")&amp;
IF(COUNTIF(Biomes!E$2:E$259,"="&amp;$C204)&gt;0,Biomes!E$1&amp;", ","")&amp;IF(COUNTIF(Biomes!S$2:S$259,"="&amp;$C204)&gt;0,Biomes!S$1&amp;", ","")&amp;
IF(COUNTIF(Biomes!R$2:R$259,"="&amp;$C204)&gt;0,Biomes!R$1&amp;", ",""),", ","")
),_xlfn.XLOOKUP(B204,B:B,BX:BX))</f>
        <v>TropicalRainforest TropicalSwamp Scarlands</v>
      </c>
      <c r="BY204" s="25" t="str">
        <f>IF(_xlfn.XLOOKUP(B204,'Base stats'!B:B,'Base stats'!AJ:AJ)=1,"true","false")</f>
        <v>false</v>
      </c>
      <c r="BZ204" s="25" t="str">
        <f>IF(_xlfn.XLOOKUP(B204,'Base stats'!B:B,'Base stats'!N:N)=1,"No",MAX(0.001,MIN(MROUND(IF(AND(BJ204="True",CC204="False"),POWER(10,3.47*LOG10(_xlfn.XLOOKUP(B204,'Base stats'!B:B,'Base stats'!C:C)*1000)^-0.96),POWER(10,4.15*LOG10(_xlfn.XLOOKUP(B204,'Base stats'!B:B,'Base stats'!C:C)*1000)^-0.73))*IF(_xlfn.XLOOKUP(B204,'Base stats'!B:B,'Base stats'!AK:AK)=1,0.5,1)*IF(_xlfn.XLOOKUP(B204,'Base stats'!B:B,'Base stats'!AM:AM)=1,0.1,1)/100,IF(_xlfn.XLOOKUP(B204,'Base stats'!B:B,'Base stats'!AM:AM)=1,0.001,0.025)),0.5)))</f>
        <v>No</v>
      </c>
      <c r="CA204" s="25">
        <f>IF(P204="Standard","No",MAX(0.001,MIN(MROUND(IF(AND(BJ204="True",CC204="False"),POWER(10,3.47*LOG10(_xlfn.XLOOKUP(B204,'Base stats'!B:B,'Base stats'!C:C)*1000)^-0.96),POWER(10,4.15*LOG10(_xlfn.XLOOKUP(B204,'Base stats'!B:B,'Base stats'!C:C)*1000)^-0.73))*IF(_xlfn.XLOOKUP(B204,'Base stats'!B:B,'Base stats'!AM:AM)=1,0.1,1)*_xlfn.XLOOKUP(B204,'Base stats'!B:B,'Base stats'!R:R)/100,IF(_xlfn.XLOOKUP(B204,'Base stats'!B:B,'Base stats'!AM:AM)=1,0.001,0.025)),0.5)))</f>
        <v>0.30000000000000004</v>
      </c>
      <c r="CB204" s="25" t="str">
        <f>IF(_xlfn.XLOOKUP(_xlfn.XLOOKUP(B204,'Base stats'!B:B,'Base stats'!E:E),Groups!A:A,Groups!AJ:AJ)="Mammal","True","False")</f>
        <v>False</v>
      </c>
      <c r="CC204" s="25" t="str">
        <f>IF(OR(_xlfn.XLOOKUP(_xlfn.XLOOKUP(B204,'Base stats'!B:B,'Base stats'!E:E),Groups!A:A,Groups!AJ:AJ)="Reptile",_xlfn.XLOOKUP(_xlfn.XLOOKUP(B204,'Base stats'!B:B,'Base stats'!E:E),Groups!A:A,Groups!AJ:AJ)="Amphibian",_xlfn.XLOOKUP(_xlfn.XLOOKUP(B204,'Base stats'!B:B,'Base stats'!E:E),Groups!A:A,Groups!AJ:AJ)="Invertebrate"),"True","False")</f>
        <v>True</v>
      </c>
      <c r="CD204" s="25" t="str">
        <f t="shared" si="27"/>
        <v>False</v>
      </c>
      <c r="CE204" s="25" t="str">
        <f>IF(_xlfn.XLOOKUP(_xlfn.XLOOKUP(B204,'Base stats'!B:B,'Base stats'!E:E),Groups!A:A,Groups!AX:AX),"True","False")</f>
        <v>False</v>
      </c>
      <c r="CF204" s="25" t="str">
        <f>IF(_xlfn.XLOOKUP(_xlfn.XLOOKUP(B204,'Base stats'!B:B,'Base stats'!E:E),Groups!A:A,Groups!AY:AY),"True","False")</f>
        <v>False</v>
      </c>
      <c r="CG204" s="25" t="str">
        <f>IF(_xlfn.XLOOKUP(_xlfn.XLOOKUP(B204,'Base stats'!B:B,'Base stats'!E:E),Groups!A:A,Groups!AW:AW),"True","False")</f>
        <v>False</v>
      </c>
      <c r="CH204" s="25" t="str">
        <f>IF(
OR(
_xlfn.XLOOKUP(_xlfn.XLOOKUP(B204,'Base stats'!B:B,'Base stats'!E:E),Groups!A:A,Groups!AZ:AZ)=0,
AND(
_xlfn.XLOOKUP(B204,'Base stats'!B:B,'Base stats'!Y:Y)&lt;&gt;"Carnivore",
_xlfn.XLOOKUP(B204,'Base stats'!B:B,'Base stats'!Y:Y)&lt;&gt;"Omnivore",
_xlfn.XLOOKUP(B204,'Base stats'!B:B,'Base stats'!Y:Y)&lt;&gt;"OmnivoreRough"
)
),
"No",
IF(
_xlfn.XLOOKUP(_xlfn.XLOOKUP(B204,'Base stats'!B:B,'Base stats'!E:E),Groups!A:A,Groups!AZ:AZ)=1,
"Flesh",
IF(
_xlfn.XLOOKUP(_xlfn.XLOOKUP(B204,'Base stats'!B:B,'Base stats'!E:E),Groups!A:A,Groups!AZ:AZ)=2,
"Bone",
""
)
)
)</f>
        <v>No</v>
      </c>
      <c r="CI204" s="25" t="str">
        <f>IF(_xlfn.XLOOKUP(_xlfn.XLOOKUP(B204,'Base stats'!B:B,'Base stats'!E:E),Groups!A:A,Groups!BB:BB),"True","False")</f>
        <v>False</v>
      </c>
      <c r="CJ204" s="25" t="str">
        <f>IF(_xlfn.XLOOKUP(_xlfn.XLOOKUP(B204,'Base stats'!B:B,'Base stats'!E:E),Groups!A:A,Groups!BA:BA),"True","False")</f>
        <v>False</v>
      </c>
    </row>
    <row r="205" spans="1:88" s="16" customFormat="1" ht="16.5" thickTop="1" thickBot="1" x14ac:dyDescent="0.3">
      <c r="A205" s="26" t="str">
        <f>_xlfn.XLOOKUP(B205,'Base stats'!B:B,'Base stats'!A:A)</f>
        <v>Toxlion</v>
      </c>
      <c r="B205" s="6" t="s">
        <v>1298</v>
      </c>
      <c r="C205" s="28" t="s">
        <v>1299</v>
      </c>
      <c r="D205" s="28" t="s">
        <v>1281</v>
      </c>
      <c r="E205" s="28" t="s">
        <v>673</v>
      </c>
      <c r="F205" s="28" t="s">
        <v>673</v>
      </c>
      <c r="G205" s="28" t="s">
        <v>673</v>
      </c>
      <c r="H205" s="2">
        <f>MROUND((
  (IF(AND(_xlfn.XLOOKUP(B205,'Base stats'!B:B,'Base stats'!AL:AL)=0,BI205="None",_xlfn.XLOOKUP(_xlfn.XLOOKUP(B205,'Base stats'!B:B,'Base stats'!E:E),Groups!A:A,Groups!B:B)=0), (18 + BR205 * 2.7) * 0.5,
    IF(AND(_xlfn.XLOOKUP(B205,'Base stats'!B:B,'Base stats'!AL:AL)=0,OR(AO205&lt;0.55,AND(BI205="Intermediate",_xlfn.XLOOKUP(_xlfn.XLOOKUP(B205,'Base stats'!B:B,'Base stats'!E:E),Groups!A:A,Groups!B:B)&lt;2))), (18 + BR205 * 2.7),
      IF(OR(BI205="Advanced",_xlfn.XLOOKUP(B205,'Base stats'!B:B,'Base stats'!AL:AL)=1,_xlfn.XLOOKUP(_xlfn.XLOOKUP(B205,'Base stats'!B:B,'Base stats'!E:E),Groups!A:A,Groups!B:B)=2), (18 + BR205 * 2.7) + 250, (18 + BR205 * 2.7))
    )
  ))
  + AO205 * 80
  + IF(COUNTIF(EggMilk!K$2:K$998, A205) &gt; 0, 125, 0)
  + IF(COUNTIF(EggMilk!P$2:P$998, A205) &gt; 0, 90, 0)
  + IF(COUNTIF(EggMilk!A$2:A$998, A205) &gt; 0, 90, 0)
)
* (0.8 + 0.4 * J205)
* 0.75,25)</f>
        <v>775</v>
      </c>
      <c r="I205" s="2">
        <f>MROUND(ROUNDDOWN(_xlfn.XLOOKUP(B205,'Base stats'!B:B,'Base stats'!L:L)/3.6/(23.3/11),1),0.5)</f>
        <v>7.5</v>
      </c>
      <c r="J205" s="2">
        <f>IF(OR(_xlfn.XLOOKUP(B205,'Base stats'!B:B,'Base stats'!AB:AB)=1,_xlfn.XLOOKUP(_xlfn.XLOOKUP(B205,'Base stats'!B:B,'Base stats'!E:E),Groups!A:A,Groups!C:C)="Untamable"),1,IF(_xlfn.XLOOKUP(B205,'Base stats'!B:B,'Base stats'!AL:AL)=1,0.99,MIN(MROUND((1-0.6282*EXP(-0.459*AO205))*_xlfn.XLOOKUP(_xlfn.XLOOKUP(B205,'Base stats'!B:B,'Base stats'!E:E),Groups!A:A,Groups!C:C)*IF(_xlfn.XLOOKUP(B205,'Base stats'!B:B,'Base stats'!O:O)=1,0.5,IF(_xlfn.XLOOKUP(B205,'Base stats'!B:B,'Base stats'!O:O)=2,0,1)),0.05),IF(AO205&gt;3.5,0.985,0.95))))</f>
        <v>0.85000000000000009</v>
      </c>
      <c r="K205" s="2">
        <f>ROUNDUP(AO205*_xlfn.XLOOKUP(_xlfn.XLOOKUP(B205,'Base stats'!B:B,'Base stats'!E:E),Groups!A:A,Groups!E:E),0)</f>
        <v>2</v>
      </c>
      <c r="L205" s="2">
        <f>IF(OR(_xlfn.XLOOKUP(_xlfn.XLOOKUP(B205,'Base stats'!B:B,'Base stats'!E:E),Groups!A:A,Groups!F:F)=2,ISNUMBER(SEARCH("SeaIce",BX205)),ISNUMBER(SEARCH("IceSheet",BX205))),-50,IF(OR(ISNUMBER(SEARCH("GlacialPlain",BX205)),ISNUMBER(SEARCH("Tundra",BX205))),-40,IF(OR(ISNUMBER(SEARCH("Alpine",BX205)),ISNUMBER(SEARCH("BorealForest",BX205)),ISNUMBER(SEARCH("ColdBog",BX205))),-30,IF(OR(ISNUMBER(SEARCH("TemperateForest",BX205)),ISNUMBER(SEARCH("TemperateSwamp",BX205))),-20,IF(_xlfn.XLOOKUP(_xlfn.XLOOKUP(B205,'Base stats'!B:B,'Base stats'!E:E),Groups!A:A,Groups!F:F)=1,-15,IF(OR(ISNUMBER(SEARCH("Desert",BX205)),ISNUMBER(SEARCH("ExtremeDesert",BX205))),-10,IF(OR(ISNUMBER(SEARCH("Grasslands",BX205)),ISNUMBER(SEARCH("TropicalRainforest",BX205)),ISNUMBER(SEARCH("TropicalSwamp",BX205))),10,0)))))))-IF(CC205="False",MIN(IFERROR(MAX(MROUND(LOG10(_xlfn.XLOOKUP(B205,'Base stats'!B:B,'Base stats'!C:C)^(2/3))*10,5),5),5),30))-_xlfn.XLOOKUP(B205,'Base stats'!B:B,'Base stats'!P:P)+IF(CC205="True",5,0)</f>
        <v>-30</v>
      </c>
      <c r="M205" s="2">
        <f>IF(OR(_xlfn.XLOOKUP(_xlfn.XLOOKUP(B205,'Base stats'!B:B,'Base stats'!E:E),Groups!A:A,Groups!G:G)=2,ISNUMBER(SEARCH("Desert",BX205)),ISNUMBER(SEARCH("ExtremeDesert",BX205)),ISNUMBER(SEARCH("LavaField",BX205))),50,IF(ISNUMBER(SEARCH("Grasslands",BX205)),45,IF(OR(_xlfn.XLOOKUP(_xlfn.XLOOKUP(B205,'Base stats'!B:B,'Base stats'!E:E),Groups!A:A,Groups!G:G)=1,ISNUMBER(SEARCH("TropicalRainforest",BX205)),ISNUMBER(SEARCH("TropicalSwamp",BX205))),40,IF(OR(ISNUMBER(SEARCH("TemperateForest",BX205)),ISNUMBER(SEARCH("TemperateSwamp",BX205))),35,IF(OR(ISNUMBER(SEARCH("Alpine",BX205)),ISNUMBER(SEARCH("BorealForest",BX205)),ISNUMBER(SEARCH("ColdBog",BX205))),30,IF(ISNUMBER(OR(ISNUMBER(SEARCH("GlacialPlain",BX205)),SEARCH("Tundra",BX205))),25,IF(OR(ISNUMBER(SEARCH("SeaIce",BX205)),ISNUMBER(SEARCH("IceSheet",BX205)),ISNUMBER(SEARCH("TropicalSwamp",BX205))),10,35)))))))+_xlfn.XLOOKUP(B205,'Base stats'!B:B,'Base stats'!Q:Q)</f>
        <v>50</v>
      </c>
      <c r="N205" s="8" t="str">
        <f>IF(
_xlfn.XLOOKUP(
_xlfn.XLOOKUP(B205,'Base stats'!B:B,'Base stats'!E:E),
Groups!A:A,
Groups!L:L
)=1,
MIN(
MROUND(
IF(
_xlfn.XLOOKUP(B205,'Animals CE'!B:B,'Animals CE'!Z:Z)&lt;=1.5,
_xlfn.XLOOKUP(B205,'Animals CE'!B:B,'Animals CE'!Z:Z)/2+0.05,
0.8+
(_xlfn.XLOOKUP(B205,'Animals CE'!B:B,'Animals CE'!Z:Z)-1.5)
*0.02
),
0.05
),
200%
),
"No"
)</f>
        <v>No</v>
      </c>
      <c r="O205" s="8" t="str">
        <f>IF(
_xlfn.XLOOKUP(
_xlfn.XLOOKUP(B205,'Base stats'!B:B,'Base stats'!E:E),
Groups!A:A,
Groups!L:L
)=1,
MIN(
MROUND(
IF(
_xlfn.XLOOKUP(B205,'Animals CE'!B:B,'Animals CE'!AA:AA)&lt;=1.5,
_xlfn.XLOOKUP(B205,'Animals CE'!B:B,'Animals CE'!AA:AA)/2+0.05,
0.8+
(_xlfn.XLOOKUP(B205,'Animals CE'!B:B,'Animals CE'!AA:AA)-1.5)
*0.02
),
0.05
),
200%
),
"No"
)</f>
        <v>No</v>
      </c>
      <c r="P205" s="2">
        <f>_xlfn.XLOOKUP(B205,'Base stats'!B:B,'Base stats'!R:R)</f>
        <v>1</v>
      </c>
      <c r="Q205" s="13">
        <f>MROUND((LOG10(_xlfn.XLOOKUP(B205,'Base stats'!B:B,'Base stats'!AR:AR))*(AO205^0.5)+(_xlfn.XLOOKUP(B205,'Base stats'!B:B,'Base stats'!AR:AR)/1000)^(2/3)+_xlfn.XLOOKUP(B205,'Base stats'!B:B,'Base stats'!BA:BA)/2)+0.5,0.5)</f>
        <v>10</v>
      </c>
      <c r="R205" s="7">
        <f>IF(Q205="No","No",MAX(1,MROUND(_xlfn.XLOOKUP(B205,'Base stats'!B:B,'Base stats'!C:C)^0.165,0.05)))</f>
        <v>2.3000000000000003</v>
      </c>
      <c r="S205" s="13" t="str">
        <f>IF(_xlfn.XLOOKUP(_xlfn.XLOOKUP(B205,'Base stats'!B:B,'Base stats'!E:E),Groups!A:A,Groups!P:P)=0,"No",MROUND((LOG10(_xlfn.XLOOKUP(B205,'Base stats'!B:B,'Base stats'!AS:AS))*(AO205^0.5)+(_xlfn.XLOOKUP(B205,'Base stats'!B:B,'Base stats'!AS:AS)/1000)^(2/3)+_xlfn.XLOOKUP(B205,'Base stats'!B:B,'Base stats'!BA:BA))+_xlfn.XLOOKUP(B205,'Base stats'!B:B,'Base stats'!AY:AY)+0.5,0.5))</f>
        <v>No</v>
      </c>
      <c r="T205" s="7" t="str">
        <f>IF(S205="No","No",MAX(_xlfn.XLOOKUP(_xlfn.XLOOKUP(B205,'Base stats'!B:B,'Base stats'!E:E),Groups!A:A,Groups!Q:Q),MROUND(_xlfn.XLOOKUP(_xlfn.XLOOKUP(B205,'Base stats'!B:B,'Base stats'!E:E),Groups!A:A,Groups!Q:Q)*_xlfn.XLOOKUP(B205,'Base stats'!B:B,'Base stats'!C:C)^0.165,0.05)))</f>
        <v>No</v>
      </c>
      <c r="U205" s="7" t="str">
        <f>IF(S205="No","No",_xlfn.XLOOKUP(_xlfn.XLOOKUP(B205,'Base stats'!B:B,'Base stats'!E:E),Groups!A:A,Groups!R:R))</f>
        <v>No</v>
      </c>
      <c r="V205" s="7" t="str">
        <f>IF(S205="No","No",_xlfn.XLOOKUP(_xlfn.XLOOKUP(B205,'Base stats'!B:B,'Base stats'!E:E),Groups!A:A,Groups!S:S))</f>
        <v>No</v>
      </c>
      <c r="W205" s="7" t="str">
        <f>IF(S205="No","No",_xlfn.XLOOKUP(_xlfn.XLOOKUP(B205,'Base stats'!B:B,'Base stats'!E:E),Groups!A:A,Groups!T:T))</f>
        <v>No</v>
      </c>
      <c r="X205" s="13" t="str">
        <f>IF(_xlfn.XLOOKUP(B205,'Base stats'!B:B,'Base stats'!W:W)="No","No",MROUND((LOG10(_xlfn.XLOOKUP(B205,'Base stats'!B:B,'Base stats'!AU:AU))*(AO205^0.5)+(_xlfn.XLOOKUP(B205,'Base stats'!B:B,'Base stats'!AU:AU)/1000)^(2/3)+_xlfn.XLOOKUP(B205,'Base stats'!B:B,'Base stats'!AZ:AZ))+0.5+IF(_xlfn.XLOOKUP(_xlfn.XLOOKUP(B205,'Base stats'!B:B,'Base stats'!E:E),Groups!A:A,Groups!U:U)&lt;&gt;3,_xlfn.XLOOKUP(B205,'Base stats'!B:B,'Base stats'!BA:BA),0),0.5))</f>
        <v>No</v>
      </c>
      <c r="Y205" s="7" t="str">
        <f>IF(X205="No","No",MAX(_xlfn.XLOOKUP(_xlfn.XLOOKUP(B205,'Base stats'!B:B,'Base stats'!E:E),Groups!A:A,Groups!V:V),MROUND(_xlfn.XLOOKUP(_xlfn.XLOOKUP(B205,'Base stats'!B:B,'Base stats'!E:E),Groups!A:A,Groups!V:V)*_xlfn.XLOOKUP(B205,'Base stats'!B:B,'Base stats'!C:C)^0.165,0.05)))</f>
        <v>No</v>
      </c>
      <c r="Z205" s="7" t="str">
        <f>IF(X205="No","No",_xlfn.XLOOKUP(_xlfn.XLOOKUP(B205,'Base stats'!B:B,'Base stats'!E:E),Groups!A:A,Groups!W:W))</f>
        <v>No</v>
      </c>
      <c r="AA205" s="7" t="str">
        <f>IF(X205="No","No",_xlfn.XLOOKUP(_xlfn.XLOOKUP(B205,'Base stats'!B:B,'Base stats'!E:E),Groups!A:A,Groups!X:X))</f>
        <v>No</v>
      </c>
      <c r="AB205" s="7" t="str">
        <f>IF(X205="No","No",_xlfn.XLOOKUP(_xlfn.XLOOKUP(B205,'Base stats'!B:B,'Base stats'!E:E),Groups!A:A,Groups!Y:Y))</f>
        <v>No</v>
      </c>
      <c r="AC205" s="7" t="str">
        <f>_xlfn.XLOOKUP(Animals!B205,'Base stats'!B:B,'Base stats'!X:X)</f>
        <v>False</v>
      </c>
      <c r="AD205" s="13">
        <f>IF(_xlfn.XLOOKUP(B205,'Base stats'!B:B,'Base stats'!AT:AT)="No","No",MROUND((LOG10(_xlfn.XLOOKUP(B205,'Base stats'!B:B,'Base stats'!AT:AT))*(AO205^0.75)+(_xlfn.XLOOKUP(B205,'Base stats'!B:B,'Base stats'!AT:AT)/1000)^(2/3)+_xlfn.XLOOKUP(B205,'Base stats'!B:B,'Base stats'!AX:AX)+_xlfn.XLOOKUP(B205,'Base stats'!B:B,'Base stats'!BA:BA))+0.5,0.5))</f>
        <v>18</v>
      </c>
      <c r="AE205" s="7">
        <f>IF(AD205="No","No",MAX(_xlfn.XLOOKUP(_xlfn.XLOOKUP(B205,'Base stats'!B:B,'Base stats'!E:E),Groups!A:A,Groups!Z:Z),MROUND(_xlfn.XLOOKUP(_xlfn.XLOOKUP(B205,'Base stats'!B:B,'Base stats'!E:E),Groups!A:A,Groups!Z:Z)*_xlfn.XLOOKUP(B205,'Base stats'!B:B,'Base stats'!C:C)^0.165,0.05)))</f>
        <v>1.6</v>
      </c>
      <c r="AF205" s="7" t="str">
        <f>IF(AD205="No","No",_xlfn.XLOOKUP(_xlfn.XLOOKUP(B205,'Base stats'!B:B,'Base stats'!E:E),Groups!A:A,Groups!AA:AA))</f>
        <v>Teeth</v>
      </c>
      <c r="AG205" s="7" t="str">
        <f>IF(AD205="No","No",_xlfn.XLOOKUP(_xlfn.XLOOKUP(B205,'Base stats'!B:B,'Base stats'!E:E),Groups!A:A,Groups!AB:AB))</f>
        <v>canines</v>
      </c>
      <c r="AH205" s="7" t="str">
        <f>IF(AD205="No","No",_xlfn.XLOOKUP(_xlfn.XLOOKUP(B205,'Base stats'!B:B,'Base stats'!E:E),Groups!A:A,Groups!AC:AC))</f>
        <v>VAEWaste_FluBite</v>
      </c>
      <c r="AI205" s="13">
        <f>IF(_xlfn.XLOOKUP(_xlfn.XLOOKUP(B205,'Base stats'!B:B,'Base stats'!E:E),Groups!A:A,Groups!AD:AD)=0,"No",MROUND((LOG10(_xlfn.XLOOKUP(B205,'Base stats'!B:B,'Base stats'!AS:AS))*(AO205^0.75)+(_xlfn.XLOOKUP(B205,'Base stats'!B:B,'Base stats'!AS:AS)/1000)^(2/3)+_xlfn.XLOOKUP(B205,'Base stats'!B:B,'Base stats'!AY:AY)+_xlfn.XLOOKUP(B205,'Base stats'!B:B,'Base stats'!BA:BA))+0.5,0.5))</f>
        <v>15.5</v>
      </c>
      <c r="AJ205" s="7">
        <f>IF(AI205="No","No",MAX(_xlfn.XLOOKUP(_xlfn.XLOOKUP(B205,'Base stats'!B:B,'Base stats'!E:E),Groups!A:A,Groups!AE:AE),MROUND(_xlfn.XLOOKUP(_xlfn.XLOOKUP(B205,'Base stats'!B:B,'Base stats'!E:E),Groups!A:A,Groups!AE:AE)*IF(_xlfn.XLOOKUP(_xlfn.XLOOKUP(B205,'Base stats'!B:B,'Base stats'!E:E),Groups!A:A,Groups!AJ:AJ)="Photonozoa",0.6,1)*_xlfn.XLOOKUP(B205,'Base stats'!B:B,'Base stats'!C:C)^0.165,0.05)))</f>
        <v>1.5</v>
      </c>
      <c r="AK205" s="7" t="str">
        <f>IF(AI205="No","No",_xlfn.XLOOKUP(_xlfn.XLOOKUP(B205,'Base stats'!B:B,'Base stats'!E:E),Groups!A:A,Groups!AF:AF))</f>
        <v>FrontLeftPaw, FrontRightPaw</v>
      </c>
      <c r="AL205" s="7" t="str">
        <f>IF(AI205="No","No",_xlfn.XLOOKUP(_xlfn.XLOOKUP(B205,'Base stats'!B:B,'Base stats'!E:E),Groups!A:A,Groups!AG:AG))</f>
        <v>left claw, right claw</v>
      </c>
      <c r="AM205" s="7" t="str">
        <f>IF(AI205="No","No",_xlfn.XLOOKUP(_xlfn.XLOOKUP(B205,'Base stats'!B:B,'Base stats'!E:E),Groups!A:A,Groups!AH:AH))</f>
        <v>VAEWaste_FluClaws</v>
      </c>
      <c r="AN205" s="2">
        <f t="shared" si="21"/>
        <v>25</v>
      </c>
      <c r="AO205" s="2">
        <f>MROUND(IF(AND(_xlfn.XLOOKUP(B205,'Base stats'!B:B,'Base stats'!C:C)&gt;=0.5,_xlfn.XLOOKUP(B205,'Base stats'!B:B,'Base stats'!C:C)&lt;=0.8),
IF(_xlfn.XLOOKUP(B205,'Base stats'!B:B,'Base stats'!C:C)&lt;0.1,0.05,IF(_xlfn.XLOOKUP(B205,'Base stats'!B:B,'Base stats'!C:C)&lt;=70,(_xlfn.XLOOKUP(B205,'Base stats'!B:B,'Base stats'!C:C)/70)^0.426489913056526,IF(_xlfn.XLOOKUP(B205,'Base stats'!B:B,'Base stats'!C:C)&lt;=400,(_xlfn.XLOOKUP(B205,'Base stats'!B:B,'Base stats'!C:C)/70)^0.572811455315093,IF(_xlfn.XLOOKUP(B205,'Base stats'!B:B,'Base stats'!C:C)&lt;=2000,2.71391647193063*(_xlfn.XLOOKUP(B205,'Base stats'!B:B,'Base stats'!C:C)/400)^0.252459582904293,3.74314280240376*(_xlfn.XLOOKUP(B205,'Base stats'!B:B,'Base stats'!C:C)/2000)^0.357012633876913)))),
IF(_xlfn.XLOOKUP(B205,'Base stats'!B:B,'Base stats'!C:C)&lt;0.1,0.05,IF(_xlfn.XLOOKUP(B205,'Base stats'!B:B,'Base stats'!C:C)&lt;0.4,0.1,IF(_xlfn.XLOOKUP(B205,'Base stats'!B:B,'Base stats'!C:C)&lt;=70,(_xlfn.XLOOKUP(B205,'Base stats'!B:B,'Base stats'!C:C)/70)^0.445823913056526,IF(_xlfn.XLOOKUP(B205,'Base stats'!B:B,'Base stats'!C:C)&lt;=400,(_xlfn.XLOOKUP(B205,'Base stats'!B:B,'Base stats'!C:C)/70)^0.572811455315093,IF(_xlfn.XLOOKUP(B205,'Base stats'!B:B,'Base stats'!C:C)&lt;=2000,2.71391647193063*(_xlfn.XLOOKUP(B205,'Base stats'!B:B,'Base stats'!C:C)/400)^0.252459582904293,3.74314280240376*(_xlfn.XLOOKUP(B205,'Base stats'!B:B,'Base stats'!C:C)/2000)^0.357012633876913)))))),
IF(_xlfn.XLOOKUP(B205,'Base stats'!B:B,'Base stats'!C:C)&lt;0.1,0.05,IF(_xlfn.XLOOKUP(B205,'Base stats'!B:B,'Base stats'!C:C)&lt;=100,0.05,IF(_xlfn.XLOOKUP(B205,'Base stats'!B:B,'Base stats'!C:C)&lt;=250,0.1,IF(_xlfn.XLOOKUP(B205,'Base stats'!B:B,'Base stats'!C:C)&lt;=4000,0.25,0.5)))))</f>
        <v>1.6</v>
      </c>
      <c r="AP205" s="8">
        <f>MROUND(AO205*_xlfn.XLOOKUP(_xlfn.XLOOKUP(B205,'Base stats'!B:B,'Base stats'!E:E),Groups!A:A,Groups!AI:AI)*_xlfn.XLOOKUP(B205,'Base stats'!B:B,'Base stats'!Z:Z),0.05)</f>
        <v>1.9000000000000001</v>
      </c>
      <c r="AQ205" s="8">
        <f>MAX(0.01,MROUND(IF(CC205="True",0.196*(AO205*100*1000)^0.889,IF(_xlfn.XLOOKUP(_xlfn.XLOOKUP(B205,'Base stats'!B:B,'Base stats'!E:E),Groups!A:A,Groups!AJ:AJ)="Bird",10.5*(AO205*100*1000)^0.681,4.82*(AO205*100*1000)^0.734))/(4.82*(1*100*1000)^0.734)/IF(AO205&lt;3.5,2,IF(AO205=3.5,1.5,1.25))*(1+0.132282374779864/(AO205^0.994035016789033+0.00905238001496948)),0.05))</f>
        <v>0.75</v>
      </c>
      <c r="AR205" s="9">
        <f>IFERROR(MROUND(_xlfn.XLOOKUP(B205,'Base stats'!B:B,'Base stats'!H:H)/IF(_xlfn.XLOOKUP(B205,'Base stats'!B:B,'Base stats'!I:I)&lt;&gt;1,(122.5/70),1.2),IF(_xlfn.XLOOKUP(B205,'Base stats'!B:B,'Base stats'!H:H)&gt;=30,5,IF(_xlfn.XLOOKUP(B205,'Base stats'!B:B,'Base stats'!H:H)&gt;=15,3,IF(_xlfn.XLOOKUP(B205,'Base stats'!B:B,'Base stats'!H:H)&gt;=10,2,1)))),"Immortal")</f>
        <v>15</v>
      </c>
      <c r="AS205" s="35">
        <f>IFERROR(IF(OR(_xlfn.XLOOKUP(B205,'Base stats'!B:B,'Base stats'!F:F)="Atypical reproduction",_xlfn.XLOOKUP(B205,'Base stats'!B:B,'Base stats'!F:F)="Lay eggs"),"Lay eggs",MIN(20,MAX(5.5,ROUND(((_xlfn.XLOOKUP(B205,'Base stats'!B:B,'Base stats'!F:F)-25)*(14.5/615) + 5.5)*2,0)/2))),"Unknown")</f>
        <v>7.5</v>
      </c>
      <c r="AT205" s="8">
        <f>IF(_xlfn.XLOOKUP(B205,'Base stats'!B:B,'Base stats'!G:G)="Atypical reproduction","No",IFERROR(MAX(IF(_xlfn.XLOOKUP(B205,'Base stats'!B:B,'Base stats'!G:G)&lt;0.5,0.2,0.3),MROUND(_xlfn.XLOOKUP(B205,'Base stats'!B:B,'Base stats'!G:G)/(365/60),0.2)),"Unknown"))</f>
        <v>0.4</v>
      </c>
      <c r="AU205" s="8">
        <f t="shared" si="22"/>
        <v>0.2</v>
      </c>
      <c r="AV205" s="8">
        <f>IFERROR(IFERROR(MROUND(_xlfn.XLOOKUP(B205,'Base stats'!B:B,'Base stats'!J:J),0.1),"Lay eggs"),"Cannot breed")</f>
        <v>3</v>
      </c>
      <c r="AW205" s="2" t="str">
        <f t="shared" si="23"/>
        <v>true</v>
      </c>
      <c r="AX205" s="2" t="str">
        <f>IF(_xlfn.XLOOKUP(_xlfn.XLOOKUP(Animals!B205,'Base stats'!B:B,'Base stats'!E:E),Groups!A:A,Groups!AK:AK)=1,"true","false")</f>
        <v>false</v>
      </c>
      <c r="AY205" s="25" t="str">
        <f>IF(_xlfn.XLOOKUP(B205,'Base stats'!B:B,'Base stats'!Y:Y)="Liquor","Liquor, CarnivoreAnimalStrict",IF(AND(_xlfn.XLOOKUP(B205,'Base stats'!B:B,'Base stats'!Y:Y)="Carnivore",_xlfn.XLOOKUP(_xlfn.XLOOKUP(B205,'Base stats'!B:B,'Base stats'!E:E),Groups!A:A,Groups!AJ:AJ)="Photonozoa"),"CarnivoreAnimalStrict, OvivoreAnimal",IF(_xlfn.XLOOKUP(B205,'Base stats'!B:B,'Base stats'!Y:Y)="Carnivore","CarnivoreAnimal, OvivoreAnimal",IF(_xlfn.XLOOKUP(B205,'Base stats'!B:B,'Base stats'!Y:Y)="Dendrovore","VegetarianRoughAnimal, DendrovoreAnimal",IF(_xlfn.XLOOKUP(B205,'Base stats'!B:B,'Base stats'!Y:Y)="Herbivore","VegetarianRoughAnimal",IF(_xlfn.XLOOKUP(B205,'Base stats'!B:B,'Base stats'!Y:Y)="OmnivoreRough","OmnivoreRoughAnimal, OvivoreAnimal","OmnivoreAnimal, OvivoreAnimal"))))))</f>
        <v>CarnivoreAnimal, OvivoreAnimal</v>
      </c>
      <c r="AZ205" s="2" t="str">
        <f>IF(_xlfn.XLOOKUP(_xlfn.XLOOKUP(B205,'Base stats'!B:B,'Base stats'!E:E),Groups!A:A,Groups!D:D)=1,MROUND((1-J205)*5+1,2)*IF(J205&lt;=0.4,2,1),"No")</f>
        <v>No</v>
      </c>
      <c r="BA205" s="2" t="str">
        <f>IF(AND(_xlfn.XLOOKUP(B205,'Base stats'!B:B,'Base stats'!AH:AH)="&lt;li&gt;Seal&lt;/li&gt;",G205="Odyssey"),"&lt;li&gt;AEXP_Seal&lt;/li&gt;",_xlfn.XLOOKUP(B205,'Base stats'!B:B,'Base stats'!AH:AH))</f>
        <v>No</v>
      </c>
      <c r="BB205" s="2" t="str">
        <f>_xlfn.XLOOKUP(B205,'Base stats'!B:B,'Base stats'!AG:AG)</f>
        <v>VAEWaste_ToxicLeather</v>
      </c>
      <c r="BC205" s="23" t="str">
        <f>_xlfn.XLOOKUP(_xlfn.XLOOKUP(B205,'Base stats'!B:B,'Base stats'!E:E),Groups!A:A,Groups!AL:AL)</f>
        <v>QuadrupedAnimalWithPawsAndTail</v>
      </c>
      <c r="BD205" s="23">
        <f>MIN(1,MROUND(IF(AND(AO205&lt;0.5,_xlfn.XLOOKUP(B205,'Base stats'!B:B,'Base stats'!AA:AA)=0),0,IF(OR(_xlfn.XLOOKUP(Animals!B205,'Base stats'!B:B,'Base stats'!O:O)=2,_xlfn.XLOOKUP(_xlfn.XLOOKUP(B205,'Base stats'!B:B,'Base stats'!E:E),Groups!A:A,Groups!AN:AN)=0),0,_xlfn.XLOOKUP(_xlfn.XLOOKUP(B205,'Base stats'!B:B,'Base stats'!E:E),Groups!A:A,Groups!AN:AN)/IF(_xlfn.XLOOKUP(Animals!B205,'Base stats'!B:B,'Base stats'!O:O)=1,2,1)))+_xlfn.XLOOKUP(B205,'Base stats'!B:B,'Base stats'!AC:AC),0.005))</f>
        <v>0.1</v>
      </c>
      <c r="BE205" s="23">
        <f>MIN(1,MROUND(IF(AND(AO205&lt;0.5,_xlfn.XLOOKUP(B205,'Base stats'!B:B,'Base stats'!AA:AA)=0),0,IF(_xlfn.XLOOKUP(_xlfn.XLOOKUP(B205,'Base stats'!B:B,'Base stats'!E:E),Groups!A:A,Groups!AO:AO)=0,0,_xlfn.XLOOKUP(_xlfn.XLOOKUP(B205,'Base stats'!B:B,'Base stats'!E:E),Groups!A:A,Groups!AO:AO)/IF(_xlfn.XLOOKUP(Animals!B205,'Base stats'!B:B,'Base stats'!O:O)=2,3,1)))+_xlfn.XLOOKUP(B205,'Base stats'!B:B,'Base stats'!AD:AD),0.005))</f>
        <v>0.3</v>
      </c>
      <c r="BF205" s="2" t="str">
        <f>IF(J205&gt;0.3,"No",_xlfn.XLOOKUP(_xlfn.XLOOKUP(Animals!B205,'Base stats'!B:B,'Base stats'!E:E),Groups!A:A,Groups!AP:AP))</f>
        <v>No</v>
      </c>
      <c r="BG205" s="2" t="str">
        <f>IF(AND(J205&lt;=0.65,_xlfn.XLOOKUP(_xlfn.XLOOKUP(Animals!B205,'Base stats'!B:B,'Base stats'!E:E),Groups!A:A,Groups!AP:AP)&lt;&gt;"No",_xlfn.XLOOKUP(_xlfn.XLOOKUP(B205,'Base stats'!B:B,'Base stats'!E:E),Groups!A:A,Groups!D:D)=0),MROUND((80/3)*IF(_xlfn.XLOOKUP(B205,'Base stats'!B:B,'Base stats'!O:O)=2,0.2,AO205) + 24*(1-IF(BF205="No",0,BF205)) + 16/3, 12),"No")</f>
        <v>No</v>
      </c>
      <c r="BH205" s="2">
        <f>IF(AND(_xlfn.XLOOKUP(_xlfn.XLOOKUP(B205,'Base stats'!B:B,'Base stats'!E:E),Groups!A:A,Groups!AQ:AQ)=1,AO205&lt;=0.35),8,12)</f>
        <v>12</v>
      </c>
      <c r="BI205" s="2" t="str">
        <f>IF(_xlfn.XLOOKUP(_xlfn.XLOOKUP(B205,'Base stats'!B:B,'Base stats'!E:E),Groups!A:A,Groups!D:D)=0,_xlfn.XLOOKUP(_xlfn.XLOOKUP(B205,'Base stats'!B:B,'Base stats'!E:E),Groups!A:A,Groups!AR:AR),"None")</f>
        <v>Intermediate</v>
      </c>
      <c r="BJ205" s="2" t="str">
        <f>IF(AND(_xlfn.XLOOKUP(_xlfn.XLOOKUP(B205,'Base stats'!B:B,'Base stats'!E:E),Groups!A:A,Groups!AS:AS)=1,OR(_xlfn.XLOOKUP(B205,'Base stats'!B:B,'Base stats'!Y:Y)="Carnivore",_xlfn.XLOOKUP(B205,'Base stats'!B:B,'Base stats'!Y:Y)="Omnivore")),"true","false")</f>
        <v>true</v>
      </c>
      <c r="BK205" s="2">
        <f>IF(BJ205="true",MROUND(IF(AND(AO205&gt;0.5,OR(_xlfn.XLOOKUP(_xlfn.XLOOKUP(B205,'Base stats'!B:B,'Base stats'!E:E),Groups!A:A,Groups!AJ:AJ)="Photonozoa",_xlfn.XLOOKUP(_xlfn.XLOOKUP(B205,'Base stats'!B:B,'Base stats'!E:E),Groups!A:A,Groups!AJ:AJ)="Mammal")),Animals!AO205*1.75*IF(AW205="true",1.5,1),IF(AO205&lt;0.5,Animals!AO205*0.5,Animals!AO205)),IF(AO205&gt;2,0.5,IF(AO205&gt;0.5,0.25,0.1))),"No")</f>
        <v>4.25</v>
      </c>
      <c r="BL205" s="2">
        <f t="shared" si="24"/>
        <v>1</v>
      </c>
      <c r="BM205" s="25" t="str">
        <f>IF(_xlfn.XLOOKUP(B205,'Base stats'!B:B,'Base stats'!AN:AN)="Standard","No",MROUND((_xlfn.XLOOKUP(B205,'Base stats'!B:B,'Base stats'!AN:AN)/3.6)/I205,0.1))</f>
        <v>No</v>
      </c>
      <c r="BN205" s="25" t="str">
        <f t="shared" si="25"/>
        <v>false</v>
      </c>
      <c r="BO205" s="25" t="str">
        <f>IF(AND(OR(_xlfn.XLOOKUP(B205,'Base stats'!B:B,'Base stats'!Y:Y)="Carnivore",_xlfn.XLOOKUP(B205,'Base stats'!B:B,'Base stats'!Y:Y)="Omnivore",_xlfn.XLOOKUP(B205,'Base stats'!B:B,'Base stats'!Y:Y)="OmnivoreRough"),_xlfn.XLOOKUP(_xlfn.XLOOKUP(B205,'Base stats'!B:B,'Base stats'!E:E),Groups!A:A,Groups!AT:AT)=1),"true","false")</f>
        <v>false</v>
      </c>
      <c r="BP205" s="25" t="str" cm="1">
        <f t="array" ref="BP205">IF(
  _xlfn.TEXTJOIN(", ",TRUE,
    IF(AND(BJ205="true",AO205&gt;0.5,BI205&lt;&gt;"None"),"AttackTarget",""),
    IF(AND(_xlfn.XLOOKUP(_xlfn.XLOOKUP(B205,'Base stats'!B:B,'Base stats'!E:E),Groups!A:A,Groups!AJ:AJ="Mammal"),OR(_xlfn.XLOOKUP(B205,'Base stats'!B:B,'Base stats'!Y:Y)="Omnivore",_xlfn.XLOOKUP(B205,'Base stats'!B:B,'Base stats'!Y:Y)="OmnivoreRough")),"Forage",""),
    IF(BG205&lt;=36,"Comfort",""),
    IF(_xlfn.XLOOKUP(B205,'Base stats'!B:B,'Base stats'!AE:AE)&lt;&gt;"No",_xlfn.XLOOKUP(B205,'Base stats'!B:B,'Base stats'!AE:AE),"")
  ) = "",
  "No",
  _xlfn.TEXTJOIN(", ",TRUE,
    IF(AND(BJ205="true",AO205&gt;0.5,BI205&lt;&gt;"None"),"AttackTarget",""),
    IF(AND(_xlfn.XLOOKUP(_xlfn.XLOOKUP(B205,'Base stats'!B:B,'Base stats'!E:E),Groups!A:A,Groups!AJ:AJ="Mammal"),OR(_xlfn.XLOOKUP(B205,'Base stats'!B:B,'Base stats'!Y:Y)="Omnivore",_xlfn.XLOOKUP(B205,'Base stats'!B:B,'Base stats'!Y:Y)="OmnivoreRough")),"Forage",""),
    IF(BG205&lt;=36,"Comfort",""),
    IF(_xlfn.XLOOKUP(B205,'Base stats'!B:B,'Base stats'!AE:AE)&lt;&gt;"No",_xlfn.XLOOKUP(B205,'Base stats'!B:B,'Base stats'!AE:AE),"")
  )
)</f>
        <v>AttackTarget</v>
      </c>
      <c r="BQ205" s="25" t="str">
        <f>IF(
   AND(
      'Base stats'!AN205="Standard",_xlfn.XLOOKUP(_xlfn.XLOOKUP(B205,'Base stats'!B:B,'Base stats'!E:E),Groups!A:A,Groups!AU:AU)=0,
      OR(
      BO205="True"
      )
   ),
   10,
   IF(
       OR(BM205&lt;&gt;"No",_xlfn.XLOOKUP(_xlfn.XLOOKUP(B205,'Base stats'!B:B,'Base stats'!E:E),Groups!A:A,Groups!AU:AU)=1),
      1,
      "No"
   )
)</f>
        <v>No</v>
      </c>
      <c r="BR205" s="9">
        <f>MROUND((1 + ((0.2*IF(OR(Q205="No",R205="No",R205=0),0,Q205/R205)
+IF(OR(V205="No",S205="No",T205="No"),0,S205/T205*(LEN(V205)-LEN(SUBSTITUTE(V205,",",""))+1))
+IF(OR(X205="No",Y205="No"),0,X205/Y205)
+IF(OR(AD205="No",AE205="No"),0,AD205/AE205)
+IF(OR(AL205="No",AI205="No",AJ205="No"),0,AI205/AJ205*(LEN(AL205)-LEN(SUBSTITUTE(AL205,",",""))+1))
)/(0.2*IF(OR(Q205="No",R205="No",R205=0),0,1)
+IF(OR(V205="No",S205="No",T205="No"),0,LEN(V205)-LEN(SUBSTITUTE(V205,",",""))+1)
+IF(OR(X205="No",Y205="No"),0,1)
+IF(OR(AD205="No",AE205="No"),0,1)
+IF(OR(AL205="No",AI205="No",AJ205="No"),0,LEN(AL205)-LEN(SUBSTITUTE(AL205,",",""))+1))*62%)* 2)*(1 + (AP205 / (IF(_xlfn.XLOOKUP(_xlfn.XLOOKUP(B205,'Base stats'!B:B,'Base stats'!E:E),Groups!A:A,Groups!AJ:AJ)="Photonozoa",0.3,1)) + _xlfn.XLOOKUP(B205,'Base stats'!B:B,'Base stats'!AV:AV) * 1.8) * 2) * 2.5 + 10 + I205 * 2,5)+IF(_xlfn.XLOOKUP(B205,'Base stats'!B:B,'Base stats'!AK:AK)=1,50,0)</f>
        <v>190</v>
      </c>
      <c r="BS205" s="8">
        <f t="shared" si="26"/>
        <v>0.9</v>
      </c>
      <c r="BT205" s="8" t="str">
        <f>_xlfn.XLOOKUP(B205,'Base stats'!B:B,'Base stats'!AF:AF)</f>
        <v>2~6</v>
      </c>
      <c r="BU205" s="2" t="str">
        <f>IF(AND(J205&lt;=0.95,OR(_xlfn.XLOOKUP(B205,'Base stats'!B:B,'Base stats'!AK:AK)=1,_xlfn.XLOOKUP(B205,'Base stats'!B:B,'Base stats'!Y:Y)="Carnivore",_xlfn.XLOOKUP(B205,'Base stats'!B:B,'Base stats'!Y:Y)="Omnivore",BE205&gt;0.1)),"true","false")</f>
        <v>true</v>
      </c>
      <c r="BV205" s="2" t="str">
        <f>IF(_xlfn.XLOOKUP(B205,'Base stats'!B:B,'Base stats'!AI:AI)=1,"true","false")</f>
        <v>false</v>
      </c>
      <c r="BW205" s="25" t="str">
        <f>IF(E205="BaseInsect","AnimalInsect",
IF(J205&gt;0.95,"AnimalExotic",
_xlfn.TEXTJOIN(", ",TRUE,
IF(OR(_xlfn.XLOOKUP(B205,'Base stats'!B:B,'Base stats'!AM:AM)=1,AND(_xlfn.XLOOKUP(B205,'Base stats'!B:B,'Base stats'!O:O)=0,_xlfn.XLOOKUP(_xlfn.XLOOKUP(B205,'Base stats'!B:B,'Base stats'!E:E),Groups!A:A,Groups!B:B)&gt;0)),"AnimalUncommon","AnimalCommon"),
IF(AND(_xlfn.XLOOKUP(B205,'Base stats'!B:B,'Base stats'!O:O)=2,_xlfn.XLOOKUP(_xlfn.XLOOKUP(B205,'Base stats'!B:B,'Base stats'!E:E),Groups!A:A,Groups!D:D)=0),"AnimalPet",IF(AND(_xlfn.XLOOKUP(B205,'Base stats'!B:B,'Base stats'!O:O)&lt;&gt;0,_xlfn.XLOOKUP(_xlfn.XLOOKUP(B205,'Base stats'!B:B,'Base stats'!E:E),Groups!A:A,Groups!D:D)&lt;&gt;0),"AnimalFarm","")),
IF(OR(_xlfn.XLOOKUP(B205,'Base stats'!B:B,'Base stats'!AK:AK)=1,AND(BI205&lt;&gt;"None",BR205&gt;=60),ISNUMBER(SEARCH("Attack target",BP205))),"AnimalFighter","")
)))</f>
        <v>AnimalUncommon, AnimalFighter</v>
      </c>
      <c r="BX205" s="25" t="str">
        <f>IF(G205="None",TRIM(
SUBSTITUTE(
IF(COUNTIF(Biomes!B$2:B$259,"="&amp;$C205)&gt;0,Biomes!B$1&amp;", ","")&amp;
IF(COUNTIF(Biomes!C$2:C$259,"="&amp;$C205)&gt;0,Biomes!C$1&amp;", ","")&amp;
IF(COUNTIF(Biomes!D$2:D$259,"="&amp;$C205)&gt;0,Biomes!D$1&amp;", ","")&amp;
IF(COUNTIF(Biomes!F$2:F$259,"="&amp;$C205)&gt;0,Biomes!F$1&amp;", ","")&amp;
IF(COUNTIF(Biomes!G$2:G$259,"="&amp;$C205)&gt;0,Biomes!G$1&amp;", ","")&amp;
IF(COUNTIF(Biomes!H$2:H$259,"="&amp;$C205)&gt;0,Biomes!H$1&amp;", ","")&amp;
IF(COUNTIF(Biomes!I$2:I$259,"="&amp;$C205)&gt;0,Biomes!I$1&amp;", ","")&amp;
IF(COUNTIF(Biomes!J$2:J$259,"="&amp;$C205)&gt;0,Biomes!J$1&amp;", ","")&amp;
IF(COUNTIF(Biomes!M$2:M$259,"="&amp;$C205)&gt;0,Biomes!M$1&amp;", ","")&amp;
IF(COUNTIF(Biomes!N$2:N$259,"="&amp;$C205)&gt;0,Biomes!N$1&amp;", ","")&amp;
IF(COUNTIF(Biomes!O$2:O$259,"="&amp;$C205)&gt;0,Biomes!O$1&amp;", ","")&amp;
IF(COUNTIF(Biomes!P$2:P$259,"="&amp;$C205)&gt;0,Biomes!P$1&amp;", ","")&amp;
IF(COUNTIF(Biomes!K$2:K$259,"="&amp;$C205)&gt;0,Biomes!K$1&amp;", ","")&amp;
IF(COUNTIF(Biomes!Q$3:Q$259,"="&amp;$C205)&gt;0,Biomes!Q$1&amp;", ","")&amp;
IF(COUNTIF(Biomes!L$2:L$259,"="&amp;$C205)&gt;0,Biomes!L$1&amp;", ","")&amp;
IF(COUNTIF(Biomes!E$2:E$259,"="&amp;$C205)&gt;0,Biomes!E$1&amp;", ","")&amp;IF(COUNTIF(Biomes!S$2:S$259,"="&amp;$C205)&gt;0,Biomes!S$1&amp;", ","")&amp;
IF(COUNTIF(Biomes!R$2:R$259,"="&amp;$C205)&gt;0,Biomes!R$1&amp;", ",""),", ","")
),_xlfn.XLOOKUP(B205,B:B,BX:BX))</f>
        <v>AridShrubland Desert Grasslands LavaField Scarlands</v>
      </c>
      <c r="BY205" s="25" t="str">
        <f>IF(_xlfn.XLOOKUP(B205,'Base stats'!B:B,'Base stats'!AJ:AJ)=1,"true","false")</f>
        <v>false</v>
      </c>
      <c r="BZ205" s="25" t="str">
        <f>IF(_xlfn.XLOOKUP(B205,'Base stats'!B:B,'Base stats'!N:N)=1,"No",MAX(0.001,MIN(MROUND(IF(AND(BJ205="True",CC205="False"),POWER(10,3.47*LOG10(_xlfn.XLOOKUP(B205,'Base stats'!B:B,'Base stats'!C:C)*1000)^-0.96),POWER(10,4.15*LOG10(_xlfn.XLOOKUP(B205,'Base stats'!B:B,'Base stats'!C:C)*1000)^-0.73))*IF(_xlfn.XLOOKUP(B205,'Base stats'!B:B,'Base stats'!AK:AK)=1,0.5,1)*IF(_xlfn.XLOOKUP(B205,'Base stats'!B:B,'Base stats'!AM:AM)=1,0.1,1)/100,IF(_xlfn.XLOOKUP(B205,'Base stats'!B:B,'Base stats'!AM:AM)=1,0.001,0.025)),0.5)))</f>
        <v>No</v>
      </c>
      <c r="CA205" s="25">
        <f>IF(P205="Standard","No",MAX(0.001,MIN(MROUND(IF(AND(BJ205="True",CC205="False"),POWER(10,3.47*LOG10(_xlfn.XLOOKUP(B205,'Base stats'!B:B,'Base stats'!C:C)*1000)^-0.96),POWER(10,4.15*LOG10(_xlfn.XLOOKUP(B205,'Base stats'!B:B,'Base stats'!C:C)*1000)^-0.73))*IF(_xlfn.XLOOKUP(B205,'Base stats'!B:B,'Base stats'!AM:AM)=1,0.1,1)*_xlfn.XLOOKUP(B205,'Base stats'!B:B,'Base stats'!R:R)/100,IF(_xlfn.XLOOKUP(B205,'Base stats'!B:B,'Base stats'!AM:AM)=1,0.001,0.025)),0.5)))</f>
        <v>0.05</v>
      </c>
      <c r="CB205" s="25" t="str">
        <f>IF(_xlfn.XLOOKUP(_xlfn.XLOOKUP(B205,'Base stats'!B:B,'Base stats'!E:E),Groups!A:A,Groups!AJ:AJ)="Mammal","True","False")</f>
        <v>True</v>
      </c>
      <c r="CC205" s="25" t="str">
        <f>IF(OR(_xlfn.XLOOKUP(_xlfn.XLOOKUP(B205,'Base stats'!B:B,'Base stats'!E:E),Groups!A:A,Groups!AJ:AJ)="Reptile",_xlfn.XLOOKUP(_xlfn.XLOOKUP(B205,'Base stats'!B:B,'Base stats'!E:E),Groups!A:A,Groups!AJ:AJ)="Amphibian",_xlfn.XLOOKUP(_xlfn.XLOOKUP(B205,'Base stats'!B:B,'Base stats'!E:E),Groups!A:A,Groups!AJ:AJ)="Invertebrate"),"True","False")</f>
        <v>False</v>
      </c>
      <c r="CD205" s="25" t="str">
        <f t="shared" si="27"/>
        <v>False</v>
      </c>
      <c r="CE205" s="25" t="str">
        <f>IF(_xlfn.XLOOKUP(_xlfn.XLOOKUP(B205,'Base stats'!B:B,'Base stats'!E:E),Groups!A:A,Groups!AX:AX),"True","False")</f>
        <v>False</v>
      </c>
      <c r="CF205" s="25" t="str">
        <f>IF(_xlfn.XLOOKUP(_xlfn.XLOOKUP(B205,'Base stats'!B:B,'Base stats'!E:E),Groups!A:A,Groups!AY:AY),"True","False")</f>
        <v>False</v>
      </c>
      <c r="CG205" s="25" t="str">
        <f>IF(_xlfn.XLOOKUP(_xlfn.XLOOKUP(B205,'Base stats'!B:B,'Base stats'!E:E),Groups!A:A,Groups!AW:AW),"True","False")</f>
        <v>False</v>
      </c>
      <c r="CH205" s="25" t="str">
        <f>IF(
OR(
_xlfn.XLOOKUP(_xlfn.XLOOKUP(B205,'Base stats'!B:B,'Base stats'!E:E),Groups!A:A,Groups!AZ:AZ)=0,
AND(
_xlfn.XLOOKUP(B205,'Base stats'!B:B,'Base stats'!Y:Y)&lt;&gt;"Carnivore",
_xlfn.XLOOKUP(B205,'Base stats'!B:B,'Base stats'!Y:Y)&lt;&gt;"Omnivore",
_xlfn.XLOOKUP(B205,'Base stats'!B:B,'Base stats'!Y:Y)&lt;&gt;"OmnivoreRough"
)
),
"No",
IF(
_xlfn.XLOOKUP(_xlfn.XLOOKUP(B205,'Base stats'!B:B,'Base stats'!E:E),Groups!A:A,Groups!AZ:AZ)=1,
"Flesh",
IF(
_xlfn.XLOOKUP(_xlfn.XLOOKUP(B205,'Base stats'!B:B,'Base stats'!E:E),Groups!A:A,Groups!AZ:AZ)=2,
"Bone",
""
)
)
)</f>
        <v>No</v>
      </c>
      <c r="CI205" s="25" t="str">
        <f>IF(_xlfn.XLOOKUP(_xlfn.XLOOKUP(B205,'Base stats'!B:B,'Base stats'!E:E),Groups!A:A,Groups!BB:BB),"True","False")</f>
        <v>True</v>
      </c>
      <c r="CJ205" s="25" t="str">
        <f>IF(_xlfn.XLOOKUP(_xlfn.XLOOKUP(B205,'Base stats'!B:B,'Base stats'!E:E),Groups!A:A,Groups!BA:BA),"True","False")</f>
        <v>False</v>
      </c>
    </row>
    <row r="206" spans="1:88" s="16" customFormat="1" ht="16.5" thickTop="1" thickBot="1" x14ac:dyDescent="0.3">
      <c r="A206" s="26" t="str">
        <f>_xlfn.XLOOKUP(B206,'Base stats'!B:B,'Base stats'!A:A)</f>
        <v>Toxscorpion</v>
      </c>
      <c r="B206" s="6" t="s">
        <v>1301</v>
      </c>
      <c r="C206" s="28" t="s">
        <v>1300</v>
      </c>
      <c r="D206" s="28" t="s">
        <v>1281</v>
      </c>
      <c r="E206" s="28" t="s">
        <v>1283</v>
      </c>
      <c r="F206" s="28" t="s">
        <v>673</v>
      </c>
      <c r="G206" s="28" t="s">
        <v>673</v>
      </c>
      <c r="H206" s="2">
        <f>MROUND((
  (IF(AND(_xlfn.XLOOKUP(B206,'Base stats'!B:B,'Base stats'!AL:AL)=0,BI206="None",_xlfn.XLOOKUP(_xlfn.XLOOKUP(B206,'Base stats'!B:B,'Base stats'!E:E),Groups!A:A,Groups!B:B)=0), (18 + BR206 * 2.7) * 0.5,
    IF(AND(_xlfn.XLOOKUP(B206,'Base stats'!B:B,'Base stats'!AL:AL)=0,OR(AO206&lt;0.55,AND(BI206="Intermediate",_xlfn.XLOOKUP(_xlfn.XLOOKUP(B206,'Base stats'!B:B,'Base stats'!E:E),Groups!A:A,Groups!B:B)&lt;2))), (18 + BR206 * 2.7),
      IF(OR(BI206="Advanced",_xlfn.XLOOKUP(B206,'Base stats'!B:B,'Base stats'!AL:AL)=1,_xlfn.XLOOKUP(_xlfn.XLOOKUP(B206,'Base stats'!B:B,'Base stats'!E:E),Groups!A:A,Groups!B:B)=2), (18 + BR206 * 2.7) + 250, (18 + BR206 * 2.7))
    )
  ))
  + AO206 * 80
  + IF(COUNTIF(EggMilk!K$2:K$998, A206) &gt; 0, 125, 0)
  + IF(COUNTIF(EggMilk!P$2:P$998, A206) &gt; 0, 90, 0)
  + IF(COUNTIF(EggMilk!A$2:A$998, A206) &gt; 0, 90, 0)
)
* (0.8 + 0.4 * J206)
* 0.75,25)</f>
        <v>950</v>
      </c>
      <c r="I206" s="2">
        <f>MROUND(ROUNDDOWN(_xlfn.XLOOKUP(B206,'Base stats'!B:B,'Base stats'!L:L)/3.6/(23.3/11),1),0.5)</f>
        <v>2.5</v>
      </c>
      <c r="J206" s="2">
        <f>IF(OR(_xlfn.XLOOKUP(B206,'Base stats'!B:B,'Base stats'!AB:AB)=1,_xlfn.XLOOKUP(_xlfn.XLOOKUP(B206,'Base stats'!B:B,'Base stats'!E:E),Groups!A:A,Groups!C:C)="Untamable"),1,IF(_xlfn.XLOOKUP(B206,'Base stats'!B:B,'Base stats'!AL:AL)=1,0.99,MIN(MROUND((1-0.6282*EXP(-0.459*AO206))*_xlfn.XLOOKUP(_xlfn.XLOOKUP(B206,'Base stats'!B:B,'Base stats'!E:E),Groups!A:A,Groups!C:C)*IF(_xlfn.XLOOKUP(B206,'Base stats'!B:B,'Base stats'!O:O)=1,0.5,IF(_xlfn.XLOOKUP(B206,'Base stats'!B:B,'Base stats'!O:O)=2,0,1)),0.05),IF(AO206&gt;3.5,0.985,0.95))))</f>
        <v>0.9</v>
      </c>
      <c r="K206" s="2">
        <f>ROUNDUP(AO206*_xlfn.XLOOKUP(_xlfn.XLOOKUP(B206,'Base stats'!B:B,'Base stats'!E:E),Groups!A:A,Groups!E:E),0)</f>
        <v>3</v>
      </c>
      <c r="L206" s="2">
        <f>IF(OR(_xlfn.XLOOKUP(_xlfn.XLOOKUP(B206,'Base stats'!B:B,'Base stats'!E:E),Groups!A:A,Groups!F:F)=2,ISNUMBER(SEARCH("SeaIce",BX206)),ISNUMBER(SEARCH("IceSheet",BX206))),-50,IF(OR(ISNUMBER(SEARCH("GlacialPlain",BX206)),ISNUMBER(SEARCH("Tundra",BX206))),-40,IF(OR(ISNUMBER(SEARCH("Alpine",BX206)),ISNUMBER(SEARCH("BorealForest",BX206)),ISNUMBER(SEARCH("ColdBog",BX206))),-30,IF(OR(ISNUMBER(SEARCH("TemperateForest",BX206)),ISNUMBER(SEARCH("TemperateSwamp",BX206))),-20,IF(_xlfn.XLOOKUP(_xlfn.XLOOKUP(B206,'Base stats'!B:B,'Base stats'!E:E),Groups!A:A,Groups!F:F)=1,-15,IF(OR(ISNUMBER(SEARCH("Desert",BX206)),ISNUMBER(SEARCH("ExtremeDesert",BX206))),-10,IF(OR(ISNUMBER(SEARCH("Grasslands",BX206)),ISNUMBER(SEARCH("TropicalRainforest",BX206)),ISNUMBER(SEARCH("TropicalSwamp",BX206))),10,0)))))))-IF(CC206="False",MIN(IFERROR(MAX(MROUND(LOG10(_xlfn.XLOOKUP(B206,'Base stats'!B:B,'Base stats'!C:C)^(2/3))*10,5),5),5),30))-_xlfn.XLOOKUP(B206,'Base stats'!B:B,'Base stats'!P:P)+IF(CC206="True",5,0)</f>
        <v>-5</v>
      </c>
      <c r="M206" s="2">
        <f>IF(OR(_xlfn.XLOOKUP(_xlfn.XLOOKUP(B206,'Base stats'!B:B,'Base stats'!E:E),Groups!A:A,Groups!G:G)=2,ISNUMBER(SEARCH("Desert",BX206)),ISNUMBER(SEARCH("ExtremeDesert",BX206)),ISNUMBER(SEARCH("LavaField",BX206))),50,IF(ISNUMBER(SEARCH("Grasslands",BX206)),45,IF(OR(_xlfn.XLOOKUP(_xlfn.XLOOKUP(B206,'Base stats'!B:B,'Base stats'!E:E),Groups!A:A,Groups!G:G)=1,ISNUMBER(SEARCH("TropicalRainforest",BX206)),ISNUMBER(SEARCH("TropicalSwamp",BX206))),40,IF(OR(ISNUMBER(SEARCH("TemperateForest",BX206)),ISNUMBER(SEARCH("TemperateSwamp",BX206))),35,IF(OR(ISNUMBER(SEARCH("Alpine",BX206)),ISNUMBER(SEARCH("BorealForest",BX206)),ISNUMBER(SEARCH("ColdBog",BX206))),30,IF(ISNUMBER(OR(ISNUMBER(SEARCH("GlacialPlain",BX206)),SEARCH("Tundra",BX206))),25,IF(OR(ISNUMBER(SEARCH("SeaIce",BX206)),ISNUMBER(SEARCH("IceSheet",BX206)),ISNUMBER(SEARCH("TropicalSwamp",BX206))),10,35)))))))+_xlfn.XLOOKUP(B206,'Base stats'!B:B,'Base stats'!Q:Q)</f>
        <v>50</v>
      </c>
      <c r="N206" s="8">
        <f>IF(
_xlfn.XLOOKUP(
_xlfn.XLOOKUP(B206,'Base stats'!B:B,'Base stats'!E:E),
Groups!A:A,
Groups!L:L
)=1,
MIN(
MROUND(
IF(
_xlfn.XLOOKUP(B206,'Animals CE'!B:B,'Animals CE'!Z:Z)&lt;=1.5,
_xlfn.XLOOKUP(B206,'Animals CE'!B:B,'Animals CE'!Z:Z)/2+0.05,
0.8+
(_xlfn.XLOOKUP(B206,'Animals CE'!B:B,'Animals CE'!Z:Z)-1.5)
*0.02
),
0.05
),
200%
),
"No"
)</f>
        <v>0.8</v>
      </c>
      <c r="O206" s="8">
        <f>IF(
_xlfn.XLOOKUP(
_xlfn.XLOOKUP(B206,'Base stats'!B:B,'Base stats'!E:E),
Groups!A:A,
Groups!L:L
)=1,
MIN(
MROUND(
IF(
_xlfn.XLOOKUP(B206,'Animals CE'!B:B,'Animals CE'!AA:AA)&lt;=1.5,
_xlfn.XLOOKUP(B206,'Animals CE'!B:B,'Animals CE'!AA:AA)/2+0.05,
0.8+
(_xlfn.XLOOKUP(B206,'Animals CE'!B:B,'Animals CE'!AA:AA)-1.5)
*0.02
),
0.05
),
200%
),
"No"
)</f>
        <v>0.15000000000000002</v>
      </c>
      <c r="P206" s="2">
        <f>_xlfn.XLOOKUP(B206,'Base stats'!B:B,'Base stats'!R:R)</f>
        <v>1</v>
      </c>
      <c r="Q206" s="13">
        <f>MROUND((LOG10(_xlfn.XLOOKUP(B206,'Base stats'!B:B,'Base stats'!AR:AR))*(AO206^0.5)+(_xlfn.XLOOKUP(B206,'Base stats'!B:B,'Base stats'!AR:AR)/1000)^(2/3)+_xlfn.XLOOKUP(B206,'Base stats'!B:B,'Base stats'!BA:BA)/2)+0.5,0.5)</f>
        <v>14.5</v>
      </c>
      <c r="R206" s="7">
        <f>IF(Q206="No","No",MAX(1,MROUND(_xlfn.XLOOKUP(B206,'Base stats'!B:B,'Base stats'!C:C)^0.165,0.05)))</f>
        <v>2.7</v>
      </c>
      <c r="S206" s="13" t="str">
        <f>IF(_xlfn.XLOOKUP(_xlfn.XLOOKUP(B206,'Base stats'!B:B,'Base stats'!E:E),Groups!A:A,Groups!P:P)=0,"No",MROUND((LOG10(_xlfn.XLOOKUP(B206,'Base stats'!B:B,'Base stats'!AS:AS))*(AO206^0.5)+(_xlfn.XLOOKUP(B206,'Base stats'!B:B,'Base stats'!AS:AS)/1000)^(2/3)+_xlfn.XLOOKUP(B206,'Base stats'!B:B,'Base stats'!BA:BA))+_xlfn.XLOOKUP(B206,'Base stats'!B:B,'Base stats'!AY:AY)+0.5,0.5))</f>
        <v>No</v>
      </c>
      <c r="T206" s="7" t="str">
        <f>IF(S206="No","No",MAX(_xlfn.XLOOKUP(_xlfn.XLOOKUP(B206,'Base stats'!B:B,'Base stats'!E:E),Groups!A:A,Groups!Q:Q),MROUND(_xlfn.XLOOKUP(_xlfn.XLOOKUP(B206,'Base stats'!B:B,'Base stats'!E:E),Groups!A:A,Groups!Q:Q)*_xlfn.XLOOKUP(B206,'Base stats'!B:B,'Base stats'!C:C)^0.165,0.05)))</f>
        <v>No</v>
      </c>
      <c r="U206" s="7" t="str">
        <f>IF(S206="No","No",_xlfn.XLOOKUP(_xlfn.XLOOKUP(B206,'Base stats'!B:B,'Base stats'!E:E),Groups!A:A,Groups!R:R))</f>
        <v>No</v>
      </c>
      <c r="V206" s="7" t="str">
        <f>IF(S206="No","No",_xlfn.XLOOKUP(_xlfn.XLOOKUP(B206,'Base stats'!B:B,'Base stats'!E:E),Groups!A:A,Groups!S:S))</f>
        <v>No</v>
      </c>
      <c r="W206" s="7" t="str">
        <f>IF(S206="No","No",_xlfn.XLOOKUP(_xlfn.XLOOKUP(B206,'Base stats'!B:B,'Base stats'!E:E),Groups!A:A,Groups!T:T))</f>
        <v>No</v>
      </c>
      <c r="X206" s="13">
        <f>IF(_xlfn.XLOOKUP(B206,'Base stats'!B:B,'Base stats'!W:W)="No","No",MROUND((LOG10(_xlfn.XLOOKUP(B206,'Base stats'!B:B,'Base stats'!AU:AU))*(AO206^0.5)+(_xlfn.XLOOKUP(B206,'Base stats'!B:B,'Base stats'!AU:AU)/1000)^(2/3)+_xlfn.XLOOKUP(B206,'Base stats'!B:B,'Base stats'!AZ:AZ))+0.5+IF(_xlfn.XLOOKUP(_xlfn.XLOOKUP(B206,'Base stats'!B:B,'Base stats'!E:E),Groups!A:A,Groups!U:U)&lt;&gt;3,_xlfn.XLOOKUP(B206,'Base stats'!B:B,'Base stats'!BA:BA),0),0.5))</f>
        <v>27</v>
      </c>
      <c r="Y206" s="7">
        <f>IF(X206="No","No",MAX(_xlfn.XLOOKUP(_xlfn.XLOOKUP(B206,'Base stats'!B:B,'Base stats'!E:E),Groups!A:A,Groups!V:V),MROUND(_xlfn.XLOOKUP(_xlfn.XLOOKUP(B206,'Base stats'!B:B,'Base stats'!E:E),Groups!A:A,Groups!V:V)*_xlfn.XLOOKUP(B206,'Base stats'!B:B,'Base stats'!C:C)^0.165,0.05)))</f>
        <v>3.5</v>
      </c>
      <c r="Z206" s="7" t="str">
        <f>IF(X206="No","No",_xlfn.XLOOKUP(_xlfn.XLOOKUP(B206,'Base stats'!B:B,'Base stats'!E:E),Groups!A:A,Groups!W:W))</f>
        <v>Sting</v>
      </c>
      <c r="AA206" s="7" t="str">
        <f>IF(X206="No","No",_xlfn.XLOOKUP(_xlfn.XLOOKUP(B206,'Base stats'!B:B,'Base stats'!E:E),Groups!A:A,Groups!X:X))</f>
        <v>stinger</v>
      </c>
      <c r="AB206" s="7" t="str">
        <f>IF(X206="No","No",_xlfn.XLOOKUP(_xlfn.XLOOKUP(B206,'Base stats'!B:B,'Base stats'!E:E),Groups!A:A,Groups!Y:Y))</f>
        <v>VAEWaste_Sting</v>
      </c>
      <c r="AC206" s="7" t="str">
        <f>_xlfn.XLOOKUP(Animals!B206,'Base stats'!B:B,'Base stats'!X:X)</f>
        <v>False</v>
      </c>
      <c r="AD206" s="13">
        <f>IF(_xlfn.XLOOKUP(B206,'Base stats'!B:B,'Base stats'!AT:AT)="No","No",MROUND((LOG10(_xlfn.XLOOKUP(B206,'Base stats'!B:B,'Base stats'!AT:AT))*(AO206^0.75)+(_xlfn.XLOOKUP(B206,'Base stats'!B:B,'Base stats'!AT:AT)/1000)^(2/3)+_xlfn.XLOOKUP(B206,'Base stats'!B:B,'Base stats'!AX:AX)+_xlfn.XLOOKUP(B206,'Base stats'!B:B,'Base stats'!BA:BA))+0.5,0.5))</f>
        <v>37.5</v>
      </c>
      <c r="AE206" s="7">
        <f>IF(AD206="No","No",MAX(_xlfn.XLOOKUP(_xlfn.XLOOKUP(B206,'Base stats'!B:B,'Base stats'!E:E),Groups!A:A,Groups!Z:Z),MROUND(_xlfn.XLOOKUP(_xlfn.XLOOKUP(B206,'Base stats'!B:B,'Base stats'!E:E),Groups!A:A,Groups!Z:Z)*_xlfn.XLOOKUP(B206,'Base stats'!B:B,'Base stats'!C:C)^0.165,0.05)))</f>
        <v>3.2</v>
      </c>
      <c r="AF206" s="7" t="str">
        <f>IF(AD206="No","No",_xlfn.XLOOKUP(_xlfn.XLOOKUP(B206,'Base stats'!B:B,'Base stats'!E:E),Groups!A:A,Groups!AA:AA))</f>
        <v>Mouth</v>
      </c>
      <c r="AG206" s="7" t="str">
        <f>IF(AD206="No","No",_xlfn.XLOOKUP(_xlfn.XLOOKUP(B206,'Base stats'!B:B,'Base stats'!E:E),Groups!A:A,Groups!AB:AB))</f>
        <v>chelicerae</v>
      </c>
      <c r="AH206" s="7" t="str">
        <f>IF(AD206="No","No",_xlfn.XLOOKUP(_xlfn.XLOOKUP(B206,'Base stats'!B:B,'Base stats'!E:E),Groups!A:A,Groups!AC:AC))</f>
        <v>Bite</v>
      </c>
      <c r="AI206" s="13">
        <f>IF(_xlfn.XLOOKUP(_xlfn.XLOOKUP(B206,'Base stats'!B:B,'Base stats'!E:E),Groups!A:A,Groups!AD:AD)=0,"No",MROUND((LOG10(_xlfn.XLOOKUP(B206,'Base stats'!B:B,'Base stats'!AS:AS))*(AO206^0.75)+(_xlfn.XLOOKUP(B206,'Base stats'!B:B,'Base stats'!AS:AS)/1000)^(2/3)+_xlfn.XLOOKUP(B206,'Base stats'!B:B,'Base stats'!AY:AY)+_xlfn.XLOOKUP(B206,'Base stats'!B:B,'Base stats'!BA:BA))+0.5,0.5))</f>
        <v>37.5</v>
      </c>
      <c r="AJ206" s="7">
        <f>IF(AI206="No","No",MAX(_xlfn.XLOOKUP(_xlfn.XLOOKUP(B206,'Base stats'!B:B,'Base stats'!E:E),Groups!A:A,Groups!AE:AE),MROUND(_xlfn.XLOOKUP(_xlfn.XLOOKUP(B206,'Base stats'!B:B,'Base stats'!E:E),Groups!A:A,Groups!AE:AE)*IF(_xlfn.XLOOKUP(_xlfn.XLOOKUP(B206,'Base stats'!B:B,'Base stats'!E:E),Groups!A:A,Groups!AJ:AJ)="Photonozoa",0.6,1)*_xlfn.XLOOKUP(B206,'Base stats'!B:B,'Base stats'!C:C)^0.165,0.05)))</f>
        <v>2.95</v>
      </c>
      <c r="AK206" s="7" t="str">
        <f>IF(AI206="No","No",_xlfn.XLOOKUP(_xlfn.XLOOKUP(B206,'Base stats'!B:B,'Base stats'!E:E),Groups!A:A,Groups!AF:AF))</f>
        <v>LeftPincer, RightPincer</v>
      </c>
      <c r="AL206" s="7" t="str">
        <f>IF(AI206="No","No",_xlfn.XLOOKUP(_xlfn.XLOOKUP(B206,'Base stats'!B:B,'Base stats'!E:E),Groups!A:A,Groups!AG:AG))</f>
        <v>left pincer, right pincer</v>
      </c>
      <c r="AM206" s="7" t="str">
        <f>IF(AI206="No","No",_xlfn.XLOOKUP(_xlfn.XLOOKUP(B206,'Base stats'!B:B,'Base stats'!E:E),Groups!A:A,Groups!AH:AH))</f>
        <v>Scratch</v>
      </c>
      <c r="AN206" s="2">
        <f t="shared" si="21"/>
        <v>30</v>
      </c>
      <c r="AO206" s="2">
        <f>MROUND(IF(AND(_xlfn.XLOOKUP(B206,'Base stats'!B:B,'Base stats'!C:C)&gt;=0.5,_xlfn.XLOOKUP(B206,'Base stats'!B:B,'Base stats'!C:C)&lt;=0.8),
IF(_xlfn.XLOOKUP(B206,'Base stats'!B:B,'Base stats'!C:C)&lt;0.1,0.05,IF(_xlfn.XLOOKUP(B206,'Base stats'!B:B,'Base stats'!C:C)&lt;=70,(_xlfn.XLOOKUP(B206,'Base stats'!B:B,'Base stats'!C:C)/70)^0.426489913056526,IF(_xlfn.XLOOKUP(B206,'Base stats'!B:B,'Base stats'!C:C)&lt;=400,(_xlfn.XLOOKUP(B206,'Base stats'!B:B,'Base stats'!C:C)/70)^0.572811455315093,IF(_xlfn.XLOOKUP(B206,'Base stats'!B:B,'Base stats'!C:C)&lt;=2000,2.71391647193063*(_xlfn.XLOOKUP(B206,'Base stats'!B:B,'Base stats'!C:C)/400)^0.252459582904293,3.74314280240376*(_xlfn.XLOOKUP(B206,'Base stats'!B:B,'Base stats'!C:C)/2000)^0.357012633876913)))),
IF(_xlfn.XLOOKUP(B206,'Base stats'!B:B,'Base stats'!C:C)&lt;0.1,0.05,IF(_xlfn.XLOOKUP(B206,'Base stats'!B:B,'Base stats'!C:C)&lt;0.4,0.1,IF(_xlfn.XLOOKUP(B206,'Base stats'!B:B,'Base stats'!C:C)&lt;=70,(_xlfn.XLOOKUP(B206,'Base stats'!B:B,'Base stats'!C:C)/70)^0.445823913056526,IF(_xlfn.XLOOKUP(B206,'Base stats'!B:B,'Base stats'!C:C)&lt;=400,(_xlfn.XLOOKUP(B206,'Base stats'!B:B,'Base stats'!C:C)/70)^0.572811455315093,IF(_xlfn.XLOOKUP(B206,'Base stats'!B:B,'Base stats'!C:C)&lt;=2000,2.71391647193063*(_xlfn.XLOOKUP(B206,'Base stats'!B:B,'Base stats'!C:C)/400)^0.252459582904293,3.74314280240376*(_xlfn.XLOOKUP(B206,'Base stats'!B:B,'Base stats'!C:C)/2000)^0.357012633876913)))))),
IF(_xlfn.XLOOKUP(B206,'Base stats'!B:B,'Base stats'!C:C)&lt;0.1,0.05,IF(_xlfn.XLOOKUP(B206,'Base stats'!B:B,'Base stats'!C:C)&lt;=100,0.05,IF(_xlfn.XLOOKUP(B206,'Base stats'!B:B,'Base stats'!C:C)&lt;=250,0.1,IF(_xlfn.XLOOKUP(B206,'Base stats'!B:B,'Base stats'!C:C)&lt;=4000,0.25,0.5)))))</f>
        <v>2.75</v>
      </c>
      <c r="AP206" s="8">
        <f>MROUND(AO206*_xlfn.XLOOKUP(_xlfn.XLOOKUP(B206,'Base stats'!B:B,'Base stats'!E:E),Groups!A:A,Groups!AI:AI)*_xlfn.XLOOKUP(B206,'Base stats'!B:B,'Base stats'!Z:Z),0.05)</f>
        <v>2.75</v>
      </c>
      <c r="AQ206" s="8">
        <f>MAX(0.01,MROUND(IF(CC206="True",0.196*(AO206*100*1000)^0.889,IF(_xlfn.XLOOKUP(_xlfn.XLOOKUP(B206,'Base stats'!B:B,'Base stats'!E:E),Groups!A:A,Groups!AJ:AJ)="Bird",10.5*(AO206*100*1000)^0.681,4.82*(AO206*100*1000)^0.734))/(4.82*(1*100*1000)^0.734)/IF(AO206&lt;3.5,2,IF(AO206=3.5,1.5,1.25))*(1+0.132282374779864/(AO206^0.994035016789033+0.00905238001496948)),0.05))</f>
        <v>0.30000000000000004</v>
      </c>
      <c r="AR206" s="9">
        <f>IFERROR(MROUND(_xlfn.XLOOKUP(B206,'Base stats'!B:B,'Base stats'!H:H)/IF(_xlfn.XLOOKUP(B206,'Base stats'!B:B,'Base stats'!I:I)&lt;&gt;1,(122.5/70),1.2),IF(_xlfn.XLOOKUP(B206,'Base stats'!B:B,'Base stats'!H:H)&gt;=30,5,IF(_xlfn.XLOOKUP(B206,'Base stats'!B:B,'Base stats'!H:H)&gt;=15,3,IF(_xlfn.XLOOKUP(B206,'Base stats'!B:B,'Base stats'!H:H)&gt;=10,2,1)))),"Immortal")</f>
        <v>12</v>
      </c>
      <c r="AS206" s="35" t="str">
        <f>IFERROR(IF(OR(_xlfn.XLOOKUP(B206,'Base stats'!B:B,'Base stats'!F:F)="Atypical reproduction",_xlfn.XLOOKUP(B206,'Base stats'!B:B,'Base stats'!F:F)="Lay eggs"),"Lay eggs",MIN(20,MAX(5.5,ROUND(((_xlfn.XLOOKUP(B206,'Base stats'!B:B,'Base stats'!F:F)-25)*(14.5/615) + 5.5)*2,0)/2))),"Unknown")</f>
        <v>Lay eggs</v>
      </c>
      <c r="AT206" s="8">
        <f>IF(_xlfn.XLOOKUP(B206,'Base stats'!B:B,'Base stats'!G:G)="Atypical reproduction","No",IFERROR(MAX(IF(_xlfn.XLOOKUP(B206,'Base stats'!B:B,'Base stats'!G:G)&lt;0.5,0.2,0.3),MROUND(_xlfn.XLOOKUP(B206,'Base stats'!B:B,'Base stats'!G:G)/(365/60),0.2)),"Unknown"))</f>
        <v>0.4</v>
      </c>
      <c r="AU206" s="8">
        <f t="shared" si="22"/>
        <v>0.2</v>
      </c>
      <c r="AV206" s="8" t="str">
        <f>IFERROR(IFERROR(MROUND(_xlfn.XLOOKUP(B206,'Base stats'!B:B,'Base stats'!J:J),0.1),"Lay eggs"),"Cannot breed")</f>
        <v>Lay eggs</v>
      </c>
      <c r="AW206" s="2" t="str">
        <f t="shared" si="23"/>
        <v>false</v>
      </c>
      <c r="AX206" s="2" t="str">
        <f>IF(_xlfn.XLOOKUP(_xlfn.XLOOKUP(Animals!B206,'Base stats'!B:B,'Base stats'!E:E),Groups!A:A,Groups!AK:AK)=1,"true","false")</f>
        <v>false</v>
      </c>
      <c r="AY206" s="25" t="str">
        <f>IF(_xlfn.XLOOKUP(B206,'Base stats'!B:B,'Base stats'!Y:Y)="Liquor","Liquor, CarnivoreAnimalStrict",IF(AND(_xlfn.XLOOKUP(B206,'Base stats'!B:B,'Base stats'!Y:Y)="Carnivore",_xlfn.XLOOKUP(_xlfn.XLOOKUP(B206,'Base stats'!B:B,'Base stats'!E:E),Groups!A:A,Groups!AJ:AJ)="Photonozoa"),"CarnivoreAnimalStrict, OvivoreAnimal",IF(_xlfn.XLOOKUP(B206,'Base stats'!B:B,'Base stats'!Y:Y)="Carnivore","CarnivoreAnimal, OvivoreAnimal",IF(_xlfn.XLOOKUP(B206,'Base stats'!B:B,'Base stats'!Y:Y)="Dendrovore","VegetarianRoughAnimal, DendrovoreAnimal",IF(_xlfn.XLOOKUP(B206,'Base stats'!B:B,'Base stats'!Y:Y)="Herbivore","VegetarianRoughAnimal",IF(_xlfn.XLOOKUP(B206,'Base stats'!B:B,'Base stats'!Y:Y)="OmnivoreRough","OmnivoreRoughAnimal, OvivoreAnimal","OmnivoreAnimal, OvivoreAnimal"))))))</f>
        <v>CarnivoreAnimal, OvivoreAnimal</v>
      </c>
      <c r="AZ206" s="2" t="str">
        <f>IF(_xlfn.XLOOKUP(_xlfn.XLOOKUP(B206,'Base stats'!B:B,'Base stats'!E:E),Groups!A:A,Groups!D:D)=1,MROUND((1-J206)*5+1,2)*IF(J206&lt;=0.4,2,1),"No")</f>
        <v>No</v>
      </c>
      <c r="BA206" s="2" t="str">
        <f>IF(AND(_xlfn.XLOOKUP(B206,'Base stats'!B:B,'Base stats'!AH:AH)="&lt;li&gt;Seal&lt;/li&gt;",G206="Odyssey"),"&lt;li&gt;AEXP_Seal&lt;/li&gt;",_xlfn.XLOOKUP(B206,'Base stats'!B:B,'Base stats'!AH:AH))</f>
        <v>&lt;li&gt;Megaspider&lt;/li&gt;</v>
      </c>
      <c r="BB206" s="2" t="str">
        <f>_xlfn.XLOOKUP(B206,'Base stats'!B:B,'Base stats'!AG:AG)</f>
        <v>Leather_Chitin</v>
      </c>
      <c r="BC206" s="23" t="str">
        <f>_xlfn.XLOOKUP(_xlfn.XLOOKUP(B206,'Base stats'!B:B,'Base stats'!E:E),Groups!A:A,Groups!AL:AL)</f>
        <v>ScorpionLike</v>
      </c>
      <c r="BD206" s="23">
        <f>MIN(1,MROUND(IF(AND(AO206&lt;0.5,_xlfn.XLOOKUP(B206,'Base stats'!B:B,'Base stats'!AA:AA)=0),0,IF(OR(_xlfn.XLOOKUP(Animals!B206,'Base stats'!B:B,'Base stats'!O:O)=2,_xlfn.XLOOKUP(_xlfn.XLOOKUP(B206,'Base stats'!B:B,'Base stats'!E:E),Groups!A:A,Groups!AN:AN)=0),0,_xlfn.XLOOKUP(_xlfn.XLOOKUP(B206,'Base stats'!B:B,'Base stats'!E:E),Groups!A:A,Groups!AN:AN)/IF(_xlfn.XLOOKUP(Animals!B206,'Base stats'!B:B,'Base stats'!O:O)=1,2,1)))+_xlfn.XLOOKUP(B206,'Base stats'!B:B,'Base stats'!AC:AC),0.005))</f>
        <v>0.1</v>
      </c>
      <c r="BE206" s="23">
        <f>MIN(1,MROUND(IF(AND(AO206&lt;0.5,_xlfn.XLOOKUP(B206,'Base stats'!B:B,'Base stats'!AA:AA)=0),0,IF(_xlfn.XLOOKUP(_xlfn.XLOOKUP(B206,'Base stats'!B:B,'Base stats'!E:E),Groups!A:A,Groups!AO:AO)=0,0,_xlfn.XLOOKUP(_xlfn.XLOOKUP(B206,'Base stats'!B:B,'Base stats'!E:E),Groups!A:A,Groups!AO:AO)/IF(_xlfn.XLOOKUP(Animals!B206,'Base stats'!B:B,'Base stats'!O:O)=2,3,1)))+_xlfn.XLOOKUP(B206,'Base stats'!B:B,'Base stats'!AD:AD),0.005))</f>
        <v>1</v>
      </c>
      <c r="BF206" s="2" t="str">
        <f>IF(J206&gt;0.3,"No",_xlfn.XLOOKUP(_xlfn.XLOOKUP(Animals!B206,'Base stats'!B:B,'Base stats'!E:E),Groups!A:A,Groups!AP:AP))</f>
        <v>No</v>
      </c>
      <c r="BG206" s="2" t="str">
        <f>IF(AND(J206&lt;=0.65,_xlfn.XLOOKUP(_xlfn.XLOOKUP(Animals!B206,'Base stats'!B:B,'Base stats'!E:E),Groups!A:A,Groups!AP:AP)&lt;&gt;"No",_xlfn.XLOOKUP(_xlfn.XLOOKUP(B206,'Base stats'!B:B,'Base stats'!E:E),Groups!A:A,Groups!D:D)=0),MROUND((80/3)*IF(_xlfn.XLOOKUP(B206,'Base stats'!B:B,'Base stats'!O:O)=2,0.2,AO206) + 24*(1-IF(BF206="No",0,BF206)) + 16/3, 12),"No")</f>
        <v>No</v>
      </c>
      <c r="BH206" s="2">
        <f>IF(AND(_xlfn.XLOOKUP(_xlfn.XLOOKUP(B206,'Base stats'!B:B,'Base stats'!E:E),Groups!A:A,Groups!AQ:AQ)=1,AO206&lt;=0.35),8,12)</f>
        <v>12</v>
      </c>
      <c r="BI206" s="2" t="str">
        <f>IF(_xlfn.XLOOKUP(_xlfn.XLOOKUP(B206,'Base stats'!B:B,'Base stats'!E:E),Groups!A:A,Groups!D:D)=0,_xlfn.XLOOKUP(_xlfn.XLOOKUP(B206,'Base stats'!B:B,'Base stats'!E:E),Groups!A:A,Groups!AR:AR),"None")</f>
        <v>Intermediate</v>
      </c>
      <c r="BJ206" s="2" t="str">
        <f>IF(AND(_xlfn.XLOOKUP(_xlfn.XLOOKUP(B206,'Base stats'!B:B,'Base stats'!E:E),Groups!A:A,Groups!AS:AS)=1,OR(_xlfn.XLOOKUP(B206,'Base stats'!B:B,'Base stats'!Y:Y)="Carnivore",_xlfn.XLOOKUP(B206,'Base stats'!B:B,'Base stats'!Y:Y)="Omnivore")),"true","false")</f>
        <v>true</v>
      </c>
      <c r="BK206" s="2">
        <f>IF(BJ206="true",MROUND(IF(AND(AO206&gt;0.5,OR(_xlfn.XLOOKUP(_xlfn.XLOOKUP(B206,'Base stats'!B:B,'Base stats'!E:E),Groups!A:A,Groups!AJ:AJ)="Photonozoa",_xlfn.XLOOKUP(_xlfn.XLOOKUP(B206,'Base stats'!B:B,'Base stats'!E:E),Groups!A:A,Groups!AJ:AJ)="Mammal")),Animals!AO206*1.75*IF(AW206="true",1.5,1),IF(AO206&lt;0.5,Animals!AO206*0.5,Animals!AO206)),IF(AO206&gt;2,0.5,IF(AO206&gt;0.5,0.25,0.1))),"No")</f>
        <v>3</v>
      </c>
      <c r="BL206" s="2">
        <f t="shared" si="24"/>
        <v>1</v>
      </c>
      <c r="BM206" s="25" t="str">
        <f>IF(_xlfn.XLOOKUP(B206,'Base stats'!B:B,'Base stats'!AN:AN)="Standard","No",MROUND((_xlfn.XLOOKUP(B206,'Base stats'!B:B,'Base stats'!AN:AN)/3.6)/I206,0.1))</f>
        <v>No</v>
      </c>
      <c r="BN206" s="25" t="str">
        <f t="shared" si="25"/>
        <v>false</v>
      </c>
      <c r="BO206" s="25" t="str">
        <f>IF(AND(OR(_xlfn.XLOOKUP(B206,'Base stats'!B:B,'Base stats'!Y:Y)="Carnivore",_xlfn.XLOOKUP(B206,'Base stats'!B:B,'Base stats'!Y:Y)="Omnivore",_xlfn.XLOOKUP(B206,'Base stats'!B:B,'Base stats'!Y:Y)="OmnivoreRough"),_xlfn.XLOOKUP(_xlfn.XLOOKUP(B206,'Base stats'!B:B,'Base stats'!E:E),Groups!A:A,Groups!AT:AT)=1),"true","false")</f>
        <v>false</v>
      </c>
      <c r="BP206" s="25" t="str" cm="1">
        <f t="array" ref="BP206">IF(
  _xlfn.TEXTJOIN(", ",TRUE,
    IF(AND(BJ206="true",AO206&gt;0.5,BI206&lt;&gt;"None"),"AttackTarget",""),
    IF(AND(_xlfn.XLOOKUP(_xlfn.XLOOKUP(B206,'Base stats'!B:B,'Base stats'!E:E),Groups!A:A,Groups!AJ:AJ="Mammal"),OR(_xlfn.XLOOKUP(B206,'Base stats'!B:B,'Base stats'!Y:Y)="Omnivore",_xlfn.XLOOKUP(B206,'Base stats'!B:B,'Base stats'!Y:Y)="OmnivoreRough")),"Forage",""),
    IF(BG206&lt;=36,"Comfort",""),
    IF(_xlfn.XLOOKUP(B206,'Base stats'!B:B,'Base stats'!AE:AE)&lt;&gt;"No",_xlfn.XLOOKUP(B206,'Base stats'!B:B,'Base stats'!AE:AE),"")
  ) = "",
  "No",
  _xlfn.TEXTJOIN(", ",TRUE,
    IF(AND(BJ206="true",AO206&gt;0.5,BI206&lt;&gt;"None"),"AttackTarget",""),
    IF(AND(_xlfn.XLOOKUP(_xlfn.XLOOKUP(B206,'Base stats'!B:B,'Base stats'!E:E),Groups!A:A,Groups!AJ:AJ="Mammal"),OR(_xlfn.XLOOKUP(B206,'Base stats'!B:B,'Base stats'!Y:Y)="Omnivore",_xlfn.XLOOKUP(B206,'Base stats'!B:B,'Base stats'!Y:Y)="OmnivoreRough")),"Forage",""),
    IF(BG206&lt;=36,"Comfort",""),
    IF(_xlfn.XLOOKUP(B206,'Base stats'!B:B,'Base stats'!AE:AE)&lt;&gt;"No",_xlfn.XLOOKUP(B206,'Base stats'!B:B,'Base stats'!AE:AE),"")
  )
)</f>
        <v>AttackTarget</v>
      </c>
      <c r="BQ206" s="25" t="str">
        <f>IF(
   AND(
      'Base stats'!AN206="Standard",_xlfn.XLOOKUP(_xlfn.XLOOKUP(B206,'Base stats'!B:B,'Base stats'!E:E),Groups!A:A,Groups!AU:AU)=0,
      OR(
      BO206="True"
      )
   ),
   10,
   IF(
       OR(BM206&lt;&gt;"No",_xlfn.XLOOKUP(_xlfn.XLOOKUP(B206,'Base stats'!B:B,'Base stats'!E:E),Groups!A:A,Groups!AU:AU)=1),
      1,
      "No"
   )
)</f>
        <v>No</v>
      </c>
      <c r="BR206" s="9">
        <f>MROUND((1 + ((0.2*IF(OR(Q206="No",R206="No",R206=0),0,Q206/R206)
+IF(OR(V206="No",S206="No",T206="No"),0,S206/T206*(LEN(V206)-LEN(SUBSTITUTE(V206,",",""))+1))
+IF(OR(X206="No",Y206="No"),0,X206/Y206)
+IF(OR(AD206="No",AE206="No"),0,AD206/AE206)
+IF(OR(AL206="No",AI206="No",AJ206="No"),0,AI206/AJ206*(LEN(AL206)-LEN(SUBSTITUTE(AL206,",",""))+1))
)/(0.2*IF(OR(Q206="No",R206="No",R206=0),0,1)
+IF(OR(V206="No",S206="No",T206="No"),0,LEN(V206)-LEN(SUBSTITUTE(V206,",",""))+1)
+IF(OR(X206="No",Y206="No"),0,1)
+IF(OR(AD206="No",AE206="No"),0,1)
+IF(OR(AL206="No",AI206="No",AJ206="No"),0,LEN(AL206)-LEN(SUBSTITUTE(AL206,",",""))+1))*62%)* 2)*(1 + (AP206 / (IF(_xlfn.XLOOKUP(_xlfn.XLOOKUP(B206,'Base stats'!B:B,'Base stats'!E:E),Groups!A:A,Groups!AJ:AJ)="Photonozoa",0.3,1)) + _xlfn.XLOOKUP(B206,'Base stats'!B:B,'Base stats'!AV:AV) * 1.8) * 2) * 2.5 + 10 + I206 * 2,5)+IF(_xlfn.XLOOKUP(B206,'Base stats'!B:B,'Base stats'!AK:AK)=1,50,0)</f>
        <v>315</v>
      </c>
      <c r="BS206" s="8">
        <f t="shared" si="26"/>
        <v>0.8</v>
      </c>
      <c r="BT206" s="8" t="str">
        <f>_xlfn.XLOOKUP(B206,'Base stats'!B:B,'Base stats'!AF:AF)</f>
        <v>No</v>
      </c>
      <c r="BU206" s="2" t="str">
        <f>IF(AND(J206&lt;=0.95,OR(_xlfn.XLOOKUP(B206,'Base stats'!B:B,'Base stats'!AK:AK)=1,_xlfn.XLOOKUP(B206,'Base stats'!B:B,'Base stats'!Y:Y)="Carnivore",_xlfn.XLOOKUP(B206,'Base stats'!B:B,'Base stats'!Y:Y)="Omnivore",BE206&gt;0.1)),"true","false")</f>
        <v>true</v>
      </c>
      <c r="BV206" s="2" t="str">
        <f>IF(_xlfn.XLOOKUP(B206,'Base stats'!B:B,'Base stats'!AI:AI)=1,"true","false")</f>
        <v>false</v>
      </c>
      <c r="BW206" s="25" t="str">
        <f>IF(E206="BaseInsect","AnimalInsect",
IF(J206&gt;0.95,"AnimalExotic",
_xlfn.TEXTJOIN(", ",TRUE,
IF(OR(_xlfn.XLOOKUP(B206,'Base stats'!B:B,'Base stats'!AM:AM)=1,AND(_xlfn.XLOOKUP(B206,'Base stats'!B:B,'Base stats'!O:O)=0,_xlfn.XLOOKUP(_xlfn.XLOOKUP(B206,'Base stats'!B:B,'Base stats'!E:E),Groups!A:A,Groups!B:B)&gt;0)),"AnimalUncommon","AnimalCommon"),
IF(AND(_xlfn.XLOOKUP(B206,'Base stats'!B:B,'Base stats'!O:O)=2,_xlfn.XLOOKUP(_xlfn.XLOOKUP(B206,'Base stats'!B:B,'Base stats'!E:E),Groups!A:A,Groups!D:D)=0),"AnimalPet",IF(AND(_xlfn.XLOOKUP(B206,'Base stats'!B:B,'Base stats'!O:O)&lt;&gt;0,_xlfn.XLOOKUP(_xlfn.XLOOKUP(B206,'Base stats'!B:B,'Base stats'!E:E),Groups!A:A,Groups!D:D)&lt;&gt;0),"AnimalFarm","")),
IF(OR(_xlfn.XLOOKUP(B206,'Base stats'!B:B,'Base stats'!AK:AK)=1,AND(BI206&lt;&gt;"None",BR206&gt;=60),ISNUMBER(SEARCH("Attack target",BP206))),"AnimalFighter","")
)))</f>
        <v>AnimalUncommon, AnimalFighter</v>
      </c>
      <c r="BX206" s="25" t="str">
        <f>IF(G206="None",TRIM(
SUBSTITUTE(
IF(COUNTIF(Biomes!B$2:B$259,"="&amp;$C206)&gt;0,Biomes!B$1&amp;", ","")&amp;
IF(COUNTIF(Biomes!C$2:C$259,"="&amp;$C206)&gt;0,Biomes!C$1&amp;", ","")&amp;
IF(COUNTIF(Biomes!D$2:D$259,"="&amp;$C206)&gt;0,Biomes!D$1&amp;", ","")&amp;
IF(COUNTIF(Biomes!F$2:F$259,"="&amp;$C206)&gt;0,Biomes!F$1&amp;", ","")&amp;
IF(COUNTIF(Biomes!G$2:G$259,"="&amp;$C206)&gt;0,Biomes!G$1&amp;", ","")&amp;
IF(COUNTIF(Biomes!H$2:H$259,"="&amp;$C206)&gt;0,Biomes!H$1&amp;", ","")&amp;
IF(COUNTIF(Biomes!I$2:I$259,"="&amp;$C206)&gt;0,Biomes!I$1&amp;", ","")&amp;
IF(COUNTIF(Biomes!J$2:J$259,"="&amp;$C206)&gt;0,Biomes!J$1&amp;", ","")&amp;
IF(COUNTIF(Biomes!M$2:M$259,"="&amp;$C206)&gt;0,Biomes!M$1&amp;", ","")&amp;
IF(COUNTIF(Biomes!N$2:N$259,"="&amp;$C206)&gt;0,Biomes!N$1&amp;", ","")&amp;
IF(COUNTIF(Biomes!O$2:O$259,"="&amp;$C206)&gt;0,Biomes!O$1&amp;", ","")&amp;
IF(COUNTIF(Biomes!P$2:P$259,"="&amp;$C206)&gt;0,Biomes!P$1&amp;", ","")&amp;
IF(COUNTIF(Biomes!K$2:K$259,"="&amp;$C206)&gt;0,Biomes!K$1&amp;", ","")&amp;
IF(COUNTIF(Biomes!Q$3:Q$259,"="&amp;$C206)&gt;0,Biomes!Q$1&amp;", ","")&amp;
IF(COUNTIF(Biomes!L$2:L$259,"="&amp;$C206)&gt;0,Biomes!L$1&amp;", ","")&amp;
IF(COUNTIF(Biomes!E$2:E$259,"="&amp;$C206)&gt;0,Biomes!E$1&amp;", ","")&amp;IF(COUNTIF(Biomes!S$2:S$259,"="&amp;$C206)&gt;0,Biomes!S$1&amp;", ","")&amp;
IF(COUNTIF(Biomes!R$2:R$259,"="&amp;$C206)&gt;0,Biomes!R$1&amp;", ",""),", ","")
),_xlfn.XLOOKUP(B206,B:B,BX:BX))</f>
        <v>AridShrubland Desert ExtremeDesert TropicalRainforest TropicalSwamp Grasslands Glowforest LavaField Scarlands</v>
      </c>
      <c r="BY206" s="25" t="str">
        <f>IF(_xlfn.XLOOKUP(B206,'Base stats'!B:B,'Base stats'!AJ:AJ)=1,"true","false")</f>
        <v>false</v>
      </c>
      <c r="BZ206" s="25" t="str">
        <f>IF(_xlfn.XLOOKUP(B206,'Base stats'!B:B,'Base stats'!N:N)=1,"No",MAX(0.001,MIN(MROUND(IF(AND(BJ206="True",CC206="False"),POWER(10,3.47*LOG10(_xlfn.XLOOKUP(B206,'Base stats'!B:B,'Base stats'!C:C)*1000)^-0.96),POWER(10,4.15*LOG10(_xlfn.XLOOKUP(B206,'Base stats'!B:B,'Base stats'!C:C)*1000)^-0.73))*IF(_xlfn.XLOOKUP(B206,'Base stats'!B:B,'Base stats'!AK:AK)=1,0.5,1)*IF(_xlfn.XLOOKUP(B206,'Base stats'!B:B,'Base stats'!AM:AM)=1,0.1,1)/100,IF(_xlfn.XLOOKUP(B206,'Base stats'!B:B,'Base stats'!AM:AM)=1,0.001,0.025)),0.5)))</f>
        <v>No</v>
      </c>
      <c r="CA206" s="25">
        <f>IF(P206="Standard","No",MAX(0.001,MIN(MROUND(IF(AND(BJ206="True",CC206="False"),POWER(10,3.47*LOG10(_xlfn.XLOOKUP(B206,'Base stats'!B:B,'Base stats'!C:C)*1000)^-0.96),POWER(10,4.15*LOG10(_xlfn.XLOOKUP(B206,'Base stats'!B:B,'Base stats'!C:C)*1000)^-0.73))*IF(_xlfn.XLOOKUP(B206,'Base stats'!B:B,'Base stats'!AM:AM)=1,0.1,1)*_xlfn.XLOOKUP(B206,'Base stats'!B:B,'Base stats'!R:R)/100,IF(_xlfn.XLOOKUP(B206,'Base stats'!B:B,'Base stats'!AM:AM)=1,0.001,0.025)),0.5)))</f>
        <v>0.15000000000000002</v>
      </c>
      <c r="CB206" s="25" t="str">
        <f>IF(_xlfn.XLOOKUP(_xlfn.XLOOKUP(B206,'Base stats'!B:B,'Base stats'!E:E),Groups!A:A,Groups!AJ:AJ)="Mammal","True","False")</f>
        <v>False</v>
      </c>
      <c r="CC206" s="25" t="str">
        <f>IF(OR(_xlfn.XLOOKUP(_xlfn.XLOOKUP(B206,'Base stats'!B:B,'Base stats'!E:E),Groups!A:A,Groups!AJ:AJ)="Reptile",_xlfn.XLOOKUP(_xlfn.XLOOKUP(B206,'Base stats'!B:B,'Base stats'!E:E),Groups!A:A,Groups!AJ:AJ)="Amphibian",_xlfn.XLOOKUP(_xlfn.XLOOKUP(B206,'Base stats'!B:B,'Base stats'!E:E),Groups!A:A,Groups!AJ:AJ)="Invertebrate"),"True","False")</f>
        <v>True</v>
      </c>
      <c r="CD206" s="25" t="str">
        <f t="shared" si="27"/>
        <v>False</v>
      </c>
      <c r="CE206" s="25" t="str">
        <f>IF(_xlfn.XLOOKUP(_xlfn.XLOOKUP(B206,'Base stats'!B:B,'Base stats'!E:E),Groups!A:A,Groups!AX:AX),"True","False")</f>
        <v>False</v>
      </c>
      <c r="CF206" s="25" t="str">
        <f>IF(_xlfn.XLOOKUP(_xlfn.XLOOKUP(B206,'Base stats'!B:B,'Base stats'!E:E),Groups!A:A,Groups!AY:AY),"True","False")</f>
        <v>False</v>
      </c>
      <c r="CG206" s="25" t="str">
        <f>IF(_xlfn.XLOOKUP(_xlfn.XLOOKUP(B206,'Base stats'!B:B,'Base stats'!E:E),Groups!A:A,Groups!AW:AW),"True","False")</f>
        <v>False</v>
      </c>
      <c r="CH206" s="25" t="str">
        <f>IF(
OR(
_xlfn.XLOOKUP(_xlfn.XLOOKUP(B206,'Base stats'!B:B,'Base stats'!E:E),Groups!A:A,Groups!AZ:AZ)=0,
AND(
_xlfn.XLOOKUP(B206,'Base stats'!B:B,'Base stats'!Y:Y)&lt;&gt;"Carnivore",
_xlfn.XLOOKUP(B206,'Base stats'!B:B,'Base stats'!Y:Y)&lt;&gt;"Omnivore",
_xlfn.XLOOKUP(B206,'Base stats'!B:B,'Base stats'!Y:Y)&lt;&gt;"OmnivoreRough"
)
),
"No",
IF(
_xlfn.XLOOKUP(_xlfn.XLOOKUP(B206,'Base stats'!B:B,'Base stats'!E:E),Groups!A:A,Groups!AZ:AZ)=1,
"Flesh",
IF(
_xlfn.XLOOKUP(_xlfn.XLOOKUP(B206,'Base stats'!B:B,'Base stats'!E:E),Groups!A:A,Groups!AZ:AZ)=2,
"Bone",
""
)
)
)</f>
        <v>No</v>
      </c>
      <c r="CI206" s="25" t="str">
        <f>IF(_xlfn.XLOOKUP(_xlfn.XLOOKUP(B206,'Base stats'!B:B,'Base stats'!E:E),Groups!A:A,Groups!BB:BB),"True","False")</f>
        <v>False</v>
      </c>
      <c r="CJ206" s="25" t="str">
        <f>IF(_xlfn.XLOOKUP(_xlfn.XLOOKUP(B206,'Base stats'!B:B,'Base stats'!E:E),Groups!A:A,Groups!BA:BA),"True","False")</f>
        <v>False</v>
      </c>
    </row>
    <row r="207" spans="1:88" s="16" customFormat="1" ht="16.5" thickTop="1" thickBot="1" x14ac:dyDescent="0.3">
      <c r="A207" s="26" t="str">
        <f>_xlfn.XLOOKUP(B207,'Base stats'!B:B,'Base stats'!A:A)</f>
        <v>Wasteboar</v>
      </c>
      <c r="B207" s="6" t="s">
        <v>1302</v>
      </c>
      <c r="C207" s="28" t="s">
        <v>1307</v>
      </c>
      <c r="D207" s="28" t="s">
        <v>1281</v>
      </c>
      <c r="E207" s="28" t="s">
        <v>673</v>
      </c>
      <c r="F207" s="28" t="s">
        <v>673</v>
      </c>
      <c r="G207" s="28" t="s">
        <v>673</v>
      </c>
      <c r="H207" s="2">
        <f>MROUND((
  (IF(AND(_xlfn.XLOOKUP(B207,'Base stats'!B:B,'Base stats'!AL:AL)=0,BI207="None",_xlfn.XLOOKUP(_xlfn.XLOOKUP(B207,'Base stats'!B:B,'Base stats'!E:E),Groups!A:A,Groups!B:B)=0), (18 + BR207 * 2.7) * 0.5,
    IF(AND(_xlfn.XLOOKUP(B207,'Base stats'!B:B,'Base stats'!AL:AL)=0,OR(AO207&lt;0.55,AND(BI207="Intermediate",_xlfn.XLOOKUP(_xlfn.XLOOKUP(B207,'Base stats'!B:B,'Base stats'!E:E),Groups!A:A,Groups!B:B)&lt;2))), (18 + BR207 * 2.7),
      IF(OR(BI207="Advanced",_xlfn.XLOOKUP(B207,'Base stats'!B:B,'Base stats'!AL:AL)=1,_xlfn.XLOOKUP(_xlfn.XLOOKUP(B207,'Base stats'!B:B,'Base stats'!E:E),Groups!A:A,Groups!B:B)=2), (18 + BR207 * 2.7) + 250, (18 + BR207 * 2.7))
    )
  ))
  + AO207 * 80
  + IF(COUNTIF(EggMilk!K$2:K$998, A207) &gt; 0, 125, 0)
  + IF(COUNTIF(EggMilk!P$2:P$998, A207) &gt; 0, 90, 0)
  + IF(COUNTIF(EggMilk!A$2:A$998, A207) &gt; 0, 90, 0)
)
* (0.8 + 0.4 * J207)
* 0.75,25)</f>
        <v>250</v>
      </c>
      <c r="I207" s="2">
        <f>MROUND(ROUNDDOWN(_xlfn.XLOOKUP(B207,'Base stats'!B:B,'Base stats'!L:L)/3.6/(23.3/11),1),0.5)</f>
        <v>5</v>
      </c>
      <c r="J207" s="2">
        <f>IF(OR(_xlfn.XLOOKUP(B207,'Base stats'!B:B,'Base stats'!AB:AB)=1,_xlfn.XLOOKUP(_xlfn.XLOOKUP(B207,'Base stats'!B:B,'Base stats'!E:E),Groups!A:A,Groups!C:C)="Untamable"),1,IF(_xlfn.XLOOKUP(B207,'Base stats'!B:B,'Base stats'!AL:AL)=1,0.99,MIN(MROUND((1-0.6282*EXP(-0.459*AO207))*_xlfn.XLOOKUP(_xlfn.XLOOKUP(B207,'Base stats'!B:B,'Base stats'!E:E),Groups!A:A,Groups!C:C)*IF(_xlfn.XLOOKUP(B207,'Base stats'!B:B,'Base stats'!O:O)=1,0.5,IF(_xlfn.XLOOKUP(B207,'Base stats'!B:B,'Base stats'!O:O)=2,0,1)),0.05),IF(AO207&gt;3.5,0.985,0.95))))</f>
        <v>0.70000000000000007</v>
      </c>
      <c r="K207" s="2">
        <f>ROUNDUP(AO207*_xlfn.XLOOKUP(_xlfn.XLOOKUP(B207,'Base stats'!B:B,'Base stats'!E:E),Groups!A:A,Groups!E:E),0)</f>
        <v>8</v>
      </c>
      <c r="L207" s="2">
        <f>IF(OR(_xlfn.XLOOKUP(_xlfn.XLOOKUP(B207,'Base stats'!B:B,'Base stats'!E:E),Groups!A:A,Groups!F:F)=2,ISNUMBER(SEARCH("SeaIce",BX207)),ISNUMBER(SEARCH("IceSheet",BX207))),-50,IF(OR(ISNUMBER(SEARCH("GlacialPlain",BX207)),ISNUMBER(SEARCH("Tundra",BX207))),-40,IF(OR(ISNUMBER(SEARCH("Alpine",BX207)),ISNUMBER(SEARCH("BorealForest",BX207)),ISNUMBER(SEARCH("ColdBog",BX207))),-30,IF(OR(ISNUMBER(SEARCH("TemperateForest",BX207)),ISNUMBER(SEARCH("TemperateSwamp",BX207))),-20,IF(_xlfn.XLOOKUP(_xlfn.XLOOKUP(B207,'Base stats'!B:B,'Base stats'!E:E),Groups!A:A,Groups!F:F)=1,-15,IF(OR(ISNUMBER(SEARCH("Desert",BX207)),ISNUMBER(SEARCH("ExtremeDesert",BX207))),-10,IF(OR(ISNUMBER(SEARCH("Grasslands",BX207)),ISNUMBER(SEARCH("TropicalRainforest",BX207)),ISNUMBER(SEARCH("TropicalSwamp",BX207))),10,0)))))))-IF(CC207="False",MIN(IFERROR(MAX(MROUND(LOG10(_xlfn.XLOOKUP(B207,'Base stats'!B:B,'Base stats'!C:C)^(2/3))*10,5),5),5),30))-_xlfn.XLOOKUP(B207,'Base stats'!B:B,'Base stats'!P:P)+IF(CC207="True",5,0)</f>
        <v>-45</v>
      </c>
      <c r="M207" s="2">
        <f>IF(OR(_xlfn.XLOOKUP(_xlfn.XLOOKUP(B207,'Base stats'!B:B,'Base stats'!E:E),Groups!A:A,Groups!G:G)=2,ISNUMBER(SEARCH("Desert",BX207)),ISNUMBER(SEARCH("ExtremeDesert",BX207)),ISNUMBER(SEARCH("LavaField",BX207))),50,IF(ISNUMBER(SEARCH("Grasslands",BX207)),45,IF(OR(_xlfn.XLOOKUP(_xlfn.XLOOKUP(B207,'Base stats'!B:B,'Base stats'!E:E),Groups!A:A,Groups!G:G)=1,ISNUMBER(SEARCH("TropicalRainforest",BX207)),ISNUMBER(SEARCH("TropicalSwamp",BX207))),40,IF(OR(ISNUMBER(SEARCH("TemperateForest",BX207)),ISNUMBER(SEARCH("TemperateSwamp",BX207))),35,IF(OR(ISNUMBER(SEARCH("Alpine",BX207)),ISNUMBER(SEARCH("BorealForest",BX207)),ISNUMBER(SEARCH("ColdBog",BX207))),30,IF(ISNUMBER(OR(ISNUMBER(SEARCH("GlacialPlain",BX207)),SEARCH("Tundra",BX207))),25,IF(OR(ISNUMBER(SEARCH("SeaIce",BX207)),ISNUMBER(SEARCH("IceSheet",BX207)),ISNUMBER(SEARCH("TropicalSwamp",BX207))),10,35)))))))+_xlfn.XLOOKUP(B207,'Base stats'!B:B,'Base stats'!Q:Q)</f>
        <v>40</v>
      </c>
      <c r="N207" s="8" t="str">
        <f>IF(
_xlfn.XLOOKUP(
_xlfn.XLOOKUP(B207,'Base stats'!B:B,'Base stats'!E:E),
Groups!A:A,
Groups!L:L
)=1,
MIN(
MROUND(
IF(
_xlfn.XLOOKUP(B207,'Animals CE'!B:B,'Animals CE'!Z:Z)&lt;=1.5,
_xlfn.XLOOKUP(B207,'Animals CE'!B:B,'Animals CE'!Z:Z)/2+0.05,
0.8+
(_xlfn.XLOOKUP(B207,'Animals CE'!B:B,'Animals CE'!Z:Z)-1.5)
*0.02
),
0.05
),
200%
),
"No"
)</f>
        <v>No</v>
      </c>
      <c r="O207" s="8" t="str">
        <f>IF(
_xlfn.XLOOKUP(
_xlfn.XLOOKUP(B207,'Base stats'!B:B,'Base stats'!E:E),
Groups!A:A,
Groups!L:L
)=1,
MIN(
MROUND(
IF(
_xlfn.XLOOKUP(B207,'Animals CE'!B:B,'Animals CE'!AA:AA)&lt;=1.5,
_xlfn.XLOOKUP(B207,'Animals CE'!B:B,'Animals CE'!AA:AA)/2+0.05,
0.8+
(_xlfn.XLOOKUP(B207,'Animals CE'!B:B,'Animals CE'!AA:AA)-1.5)
*0.02
),
0.05
),
200%
),
"No"
)</f>
        <v>No</v>
      </c>
      <c r="P207" s="2">
        <f>_xlfn.XLOOKUP(B207,'Base stats'!B:B,'Base stats'!R:R)</f>
        <v>1</v>
      </c>
      <c r="Q207" s="13">
        <f>MROUND((LOG10(_xlfn.XLOOKUP(B207,'Base stats'!B:B,'Base stats'!AR:AR))*(AO207^0.5)+(_xlfn.XLOOKUP(B207,'Base stats'!B:B,'Base stats'!AR:AR)/1000)^(2/3)+_xlfn.XLOOKUP(B207,'Base stats'!B:B,'Base stats'!BA:BA)/2)+0.5,0.5)</f>
        <v>9.5</v>
      </c>
      <c r="R207" s="7">
        <f>IF(Q207="No","No",MAX(1,MROUND(_xlfn.XLOOKUP(B207,'Base stats'!B:B,'Base stats'!C:C)^0.165,0.05)))</f>
        <v>2.3000000000000003</v>
      </c>
      <c r="S207" s="13" t="str">
        <f>IF(_xlfn.XLOOKUP(_xlfn.XLOOKUP(B207,'Base stats'!B:B,'Base stats'!E:E),Groups!A:A,Groups!P:P)=0,"No",MROUND((LOG10(_xlfn.XLOOKUP(B207,'Base stats'!B:B,'Base stats'!AS:AS))*(AO207^0.5)+(_xlfn.XLOOKUP(B207,'Base stats'!B:B,'Base stats'!AS:AS)/1000)^(2/3)+_xlfn.XLOOKUP(B207,'Base stats'!B:B,'Base stats'!BA:BA))+_xlfn.XLOOKUP(B207,'Base stats'!B:B,'Base stats'!AY:AY)+0.5,0.5))</f>
        <v>No</v>
      </c>
      <c r="T207" s="7" t="str">
        <f>IF(S207="No","No",MAX(_xlfn.XLOOKUP(_xlfn.XLOOKUP(B207,'Base stats'!B:B,'Base stats'!E:E),Groups!A:A,Groups!Q:Q),MROUND(_xlfn.XLOOKUP(_xlfn.XLOOKUP(B207,'Base stats'!B:B,'Base stats'!E:E),Groups!A:A,Groups!Q:Q)*_xlfn.XLOOKUP(B207,'Base stats'!B:B,'Base stats'!C:C)^0.165,0.05)))</f>
        <v>No</v>
      </c>
      <c r="U207" s="7" t="str">
        <f>IF(S207="No","No",_xlfn.XLOOKUP(_xlfn.XLOOKUP(B207,'Base stats'!B:B,'Base stats'!E:E),Groups!A:A,Groups!R:R))</f>
        <v>No</v>
      </c>
      <c r="V207" s="7" t="str">
        <f>IF(S207="No","No",_xlfn.XLOOKUP(_xlfn.XLOOKUP(B207,'Base stats'!B:B,'Base stats'!E:E),Groups!A:A,Groups!S:S))</f>
        <v>No</v>
      </c>
      <c r="W207" s="7" t="str">
        <f>IF(S207="No","No",_xlfn.XLOOKUP(_xlfn.XLOOKUP(B207,'Base stats'!B:B,'Base stats'!E:E),Groups!A:A,Groups!T:T))</f>
        <v>No</v>
      </c>
      <c r="X207" s="13">
        <f>IF(_xlfn.XLOOKUP(B207,'Base stats'!B:B,'Base stats'!W:W)="No","No",MROUND((LOG10(_xlfn.XLOOKUP(B207,'Base stats'!B:B,'Base stats'!AU:AU))*(AO207^0.5)+(_xlfn.XLOOKUP(B207,'Base stats'!B:B,'Base stats'!AU:AU)/1000)^(2/3)+_xlfn.XLOOKUP(B207,'Base stats'!B:B,'Base stats'!AZ:AZ))+0.5+IF(_xlfn.XLOOKUP(_xlfn.XLOOKUP(B207,'Base stats'!B:B,'Base stats'!E:E),Groups!A:A,Groups!U:U)&lt;&gt;3,_xlfn.XLOOKUP(B207,'Base stats'!B:B,'Base stats'!BA:BA),0),0.5))</f>
        <v>17</v>
      </c>
      <c r="Y207" s="7">
        <f>IF(X207="No","No",MAX(_xlfn.XLOOKUP(_xlfn.XLOOKUP(B207,'Base stats'!B:B,'Base stats'!E:E),Groups!A:A,Groups!V:V),MROUND(_xlfn.XLOOKUP(_xlfn.XLOOKUP(B207,'Base stats'!B:B,'Base stats'!E:E),Groups!A:A,Groups!V:V)*_xlfn.XLOOKUP(B207,'Base stats'!B:B,'Base stats'!C:C)^0.165,0.05)))</f>
        <v>1.85</v>
      </c>
      <c r="Z207" s="7" t="str">
        <f>IF(X207="No","No",_xlfn.XLOOKUP(_xlfn.XLOOKUP(B207,'Base stats'!B:B,'Base stats'!E:E),Groups!A:A,Groups!W:W))</f>
        <v>TuskAttackTool</v>
      </c>
      <c r="AA207" s="7" t="str">
        <f>IF(X207="No","No",_xlfn.XLOOKUP(_xlfn.XLOOKUP(B207,'Base stats'!B:B,'Base stats'!E:E),Groups!A:A,Groups!X:X))</f>
        <v>tusk</v>
      </c>
      <c r="AB207" s="7" t="str">
        <f>IF(X207="No","No",_xlfn.XLOOKUP(_xlfn.XLOOKUP(B207,'Base stats'!B:B,'Base stats'!E:E),Groups!A:A,Groups!Y:Y))</f>
        <v>Scratch</v>
      </c>
      <c r="AC207" s="7" t="str">
        <f>_xlfn.XLOOKUP(Animals!B207,'Base stats'!B:B,'Base stats'!X:X)</f>
        <v>True</v>
      </c>
      <c r="AD207" s="13">
        <f>IF(_xlfn.XLOOKUP(B207,'Base stats'!B:B,'Base stats'!AT:AT)="No","No",MROUND((LOG10(_xlfn.XLOOKUP(B207,'Base stats'!B:B,'Base stats'!AT:AT))*(AO207^0.75)+(_xlfn.XLOOKUP(B207,'Base stats'!B:B,'Base stats'!AT:AT)/1000)^(2/3)+_xlfn.XLOOKUP(B207,'Base stats'!B:B,'Base stats'!AX:AX)+_xlfn.XLOOKUP(B207,'Base stats'!B:B,'Base stats'!BA:BA))+0.5,0.5))</f>
        <v>19</v>
      </c>
      <c r="AE207" s="7">
        <f>IF(AD207="No","No",MAX(_xlfn.XLOOKUP(_xlfn.XLOOKUP(B207,'Base stats'!B:B,'Base stats'!E:E),Groups!A:A,Groups!Z:Z),MROUND(_xlfn.XLOOKUP(_xlfn.XLOOKUP(B207,'Base stats'!B:B,'Base stats'!E:E),Groups!A:A,Groups!Z:Z)*_xlfn.XLOOKUP(B207,'Base stats'!B:B,'Base stats'!C:C)^0.165,0.05)))</f>
        <v>2.15</v>
      </c>
      <c r="AF207" s="7" t="str">
        <f>IF(AD207="No","No",_xlfn.XLOOKUP(_xlfn.XLOOKUP(B207,'Base stats'!B:B,'Base stats'!E:E),Groups!A:A,Groups!AA:AA))</f>
        <v>Teeth</v>
      </c>
      <c r="AG207" s="7" t="str">
        <f>IF(AD207="No","No",_xlfn.XLOOKUP(_xlfn.XLOOKUP(B207,'Base stats'!B:B,'Base stats'!E:E),Groups!A:A,Groups!AB:AB))</f>
        <v>teeth</v>
      </c>
      <c r="AH207" s="7" t="str">
        <f>IF(AD207="No","No",_xlfn.XLOOKUP(_xlfn.XLOOKUP(B207,'Base stats'!B:B,'Base stats'!E:E),Groups!A:A,Groups!AC:AC))</f>
        <v>Bite</v>
      </c>
      <c r="AI207" s="13" t="str">
        <f>IF(_xlfn.XLOOKUP(_xlfn.XLOOKUP(B207,'Base stats'!B:B,'Base stats'!E:E),Groups!A:A,Groups!AD:AD)=0,"No",MROUND((LOG10(_xlfn.XLOOKUP(B207,'Base stats'!B:B,'Base stats'!AS:AS))*(AO207^0.75)+(_xlfn.XLOOKUP(B207,'Base stats'!B:B,'Base stats'!AS:AS)/1000)^(2/3)+_xlfn.XLOOKUP(B207,'Base stats'!B:B,'Base stats'!AY:AY)+_xlfn.XLOOKUP(B207,'Base stats'!B:B,'Base stats'!BA:BA))+0.5,0.5))</f>
        <v>No</v>
      </c>
      <c r="AJ207" s="7" t="str">
        <f>IF(AI207="No","No",MAX(_xlfn.XLOOKUP(_xlfn.XLOOKUP(B207,'Base stats'!B:B,'Base stats'!E:E),Groups!A:A,Groups!AE:AE),MROUND(_xlfn.XLOOKUP(_xlfn.XLOOKUP(B207,'Base stats'!B:B,'Base stats'!E:E),Groups!A:A,Groups!AE:AE)*IF(_xlfn.XLOOKUP(_xlfn.XLOOKUP(B207,'Base stats'!B:B,'Base stats'!E:E),Groups!A:A,Groups!AJ:AJ)="Photonozoa",0.6,1)*_xlfn.XLOOKUP(B207,'Base stats'!B:B,'Base stats'!C:C)^0.165,0.05)))</f>
        <v>No</v>
      </c>
      <c r="AK207" s="7" t="str">
        <f>IF(AI207="No","No",_xlfn.XLOOKUP(_xlfn.XLOOKUP(B207,'Base stats'!B:B,'Base stats'!E:E),Groups!A:A,Groups!AF:AF))</f>
        <v>No</v>
      </c>
      <c r="AL207" s="7" t="str">
        <f>IF(AI207="No","No",_xlfn.XLOOKUP(_xlfn.XLOOKUP(B207,'Base stats'!B:B,'Base stats'!E:E),Groups!A:A,Groups!AG:AG))</f>
        <v>No</v>
      </c>
      <c r="AM207" s="7" t="str">
        <f>IF(AI207="No","No",_xlfn.XLOOKUP(_xlfn.XLOOKUP(B207,'Base stats'!B:B,'Base stats'!E:E),Groups!A:A,Groups!AH:AH))</f>
        <v>No</v>
      </c>
      <c r="AN207" s="2" t="str">
        <f t="shared" si="21"/>
        <v>No</v>
      </c>
      <c r="AO207" s="2">
        <f>MROUND(IF(AND(_xlfn.XLOOKUP(B207,'Base stats'!B:B,'Base stats'!C:C)&gt;=0.5,_xlfn.XLOOKUP(B207,'Base stats'!B:B,'Base stats'!C:C)&lt;=0.8),
IF(_xlfn.XLOOKUP(B207,'Base stats'!B:B,'Base stats'!C:C)&lt;0.1,0.05,IF(_xlfn.XLOOKUP(B207,'Base stats'!B:B,'Base stats'!C:C)&lt;=70,(_xlfn.XLOOKUP(B207,'Base stats'!B:B,'Base stats'!C:C)/70)^0.426489913056526,IF(_xlfn.XLOOKUP(B207,'Base stats'!B:B,'Base stats'!C:C)&lt;=400,(_xlfn.XLOOKUP(B207,'Base stats'!B:B,'Base stats'!C:C)/70)^0.572811455315093,IF(_xlfn.XLOOKUP(B207,'Base stats'!B:B,'Base stats'!C:C)&lt;=2000,2.71391647193063*(_xlfn.XLOOKUP(B207,'Base stats'!B:B,'Base stats'!C:C)/400)^0.252459582904293,3.74314280240376*(_xlfn.XLOOKUP(B207,'Base stats'!B:B,'Base stats'!C:C)/2000)^0.357012633876913)))),
IF(_xlfn.XLOOKUP(B207,'Base stats'!B:B,'Base stats'!C:C)&lt;0.1,0.05,IF(_xlfn.XLOOKUP(B207,'Base stats'!B:B,'Base stats'!C:C)&lt;0.4,0.1,IF(_xlfn.XLOOKUP(B207,'Base stats'!B:B,'Base stats'!C:C)&lt;=70,(_xlfn.XLOOKUP(B207,'Base stats'!B:B,'Base stats'!C:C)/70)^0.445823913056526,IF(_xlfn.XLOOKUP(B207,'Base stats'!B:B,'Base stats'!C:C)&lt;=400,(_xlfn.XLOOKUP(B207,'Base stats'!B:B,'Base stats'!C:C)/70)^0.572811455315093,IF(_xlfn.XLOOKUP(B207,'Base stats'!B:B,'Base stats'!C:C)&lt;=2000,2.71391647193063*(_xlfn.XLOOKUP(B207,'Base stats'!B:B,'Base stats'!C:C)/400)^0.252459582904293,3.74314280240376*(_xlfn.XLOOKUP(B207,'Base stats'!B:B,'Base stats'!C:C)/2000)^0.357012633876913)))))),
IF(_xlfn.XLOOKUP(B207,'Base stats'!B:B,'Base stats'!C:C)&lt;0.1,0.05,IF(_xlfn.XLOOKUP(B207,'Base stats'!B:B,'Base stats'!C:C)&lt;=100,0.05,IF(_xlfn.XLOOKUP(B207,'Base stats'!B:B,'Base stats'!C:C)&lt;=250,0.1,IF(_xlfn.XLOOKUP(B207,'Base stats'!B:B,'Base stats'!C:C)&lt;=4000,0.25,0.5)))))</f>
        <v>1.5</v>
      </c>
      <c r="AP207" s="8">
        <f>MROUND(AO207*_xlfn.XLOOKUP(_xlfn.XLOOKUP(B207,'Base stats'!B:B,'Base stats'!E:E),Groups!A:A,Groups!AI:AI)*_xlfn.XLOOKUP(B207,'Base stats'!B:B,'Base stats'!Z:Z),0.05)</f>
        <v>1.5</v>
      </c>
      <c r="AQ207" s="8">
        <f>MAX(0.01,MROUND(IF(CC207="True",0.196*(AO207*100*1000)^0.889,IF(_xlfn.XLOOKUP(_xlfn.XLOOKUP(B207,'Base stats'!B:B,'Base stats'!E:E),Groups!A:A,Groups!AJ:AJ)="Bird",10.5*(AO207*100*1000)^0.681,4.82*(AO207*100*1000)^0.734))/(4.82*(1*100*1000)^0.734)/IF(AO207&lt;3.5,2,IF(AO207=3.5,1.5,1.25))*(1+0.132282374779864/(AO207^0.994035016789033+0.00905238001496948)),0.05))</f>
        <v>0.75</v>
      </c>
      <c r="AR207" s="9">
        <f>IFERROR(MROUND(_xlfn.XLOOKUP(B207,'Base stats'!B:B,'Base stats'!H:H)/IF(_xlfn.XLOOKUP(B207,'Base stats'!B:B,'Base stats'!I:I)&lt;&gt;1,(122.5/70),1.2),IF(_xlfn.XLOOKUP(B207,'Base stats'!B:B,'Base stats'!H:H)&gt;=30,5,IF(_xlfn.XLOOKUP(B207,'Base stats'!B:B,'Base stats'!H:H)&gt;=15,3,IF(_xlfn.XLOOKUP(B207,'Base stats'!B:B,'Base stats'!H:H)&gt;=10,2,1)))),"Immortal")</f>
        <v>15</v>
      </c>
      <c r="AS207" s="35">
        <f>IFERROR(IF(OR(_xlfn.XLOOKUP(B207,'Base stats'!B:B,'Base stats'!F:F)="Atypical reproduction",_xlfn.XLOOKUP(B207,'Base stats'!B:B,'Base stats'!F:F)="Lay eggs"),"Lay eggs",MIN(20,MAX(5.5,ROUND(((_xlfn.XLOOKUP(B207,'Base stats'!B:B,'Base stats'!F:F)-25)*(14.5/615) + 5.5)*2,0)/2))),"Unknown")</f>
        <v>7.5</v>
      </c>
      <c r="AT207" s="8">
        <f>IF(_xlfn.XLOOKUP(B207,'Base stats'!B:B,'Base stats'!G:G)="Atypical reproduction","No",IFERROR(MAX(IF(_xlfn.XLOOKUP(B207,'Base stats'!B:B,'Base stats'!G:G)&lt;0.5,0.2,0.3),MROUND(_xlfn.XLOOKUP(B207,'Base stats'!B:B,'Base stats'!G:G)/(365/60),0.2)),"Unknown"))</f>
        <v>0.3</v>
      </c>
      <c r="AU207" s="8">
        <f t="shared" si="22"/>
        <v>0.15000000000000002</v>
      </c>
      <c r="AV207" s="8">
        <f>IFERROR(IFERROR(MROUND(_xlfn.XLOOKUP(B207,'Base stats'!B:B,'Base stats'!J:J),0.1),"Lay eggs"),"Cannot breed")</f>
        <v>7</v>
      </c>
      <c r="AW207" s="2" t="str">
        <f t="shared" si="23"/>
        <v>true</v>
      </c>
      <c r="AX207" s="2" t="str">
        <f>IF(_xlfn.XLOOKUP(_xlfn.XLOOKUP(Animals!B207,'Base stats'!B:B,'Base stats'!E:E),Groups!A:A,Groups!AK:AK)=1,"true","false")</f>
        <v>false</v>
      </c>
      <c r="AY207" s="25" t="str">
        <f>IF(_xlfn.XLOOKUP(B207,'Base stats'!B:B,'Base stats'!Y:Y)="Liquor","Liquor, CarnivoreAnimalStrict",IF(AND(_xlfn.XLOOKUP(B207,'Base stats'!B:B,'Base stats'!Y:Y)="Carnivore",_xlfn.XLOOKUP(_xlfn.XLOOKUP(B207,'Base stats'!B:B,'Base stats'!E:E),Groups!A:A,Groups!AJ:AJ)="Photonozoa"),"CarnivoreAnimalStrict, OvivoreAnimal",IF(_xlfn.XLOOKUP(B207,'Base stats'!B:B,'Base stats'!Y:Y)="Carnivore","CarnivoreAnimal, OvivoreAnimal",IF(_xlfn.XLOOKUP(B207,'Base stats'!B:B,'Base stats'!Y:Y)="Dendrovore","VegetarianRoughAnimal, DendrovoreAnimal",IF(_xlfn.XLOOKUP(B207,'Base stats'!B:B,'Base stats'!Y:Y)="Herbivore","VegetarianRoughAnimal",IF(_xlfn.XLOOKUP(B207,'Base stats'!B:B,'Base stats'!Y:Y)="OmnivoreRough","OmnivoreRoughAnimal, OvivoreAnimal","OmnivoreAnimal, OvivoreAnimal"))))))</f>
        <v>OmnivoreRoughAnimal, OvivoreAnimal</v>
      </c>
      <c r="AZ207" s="2">
        <f>IF(_xlfn.XLOOKUP(_xlfn.XLOOKUP(B207,'Base stats'!B:B,'Base stats'!E:E),Groups!A:A,Groups!D:D)=1,MROUND((1-J207)*5+1,2)*IF(J207&lt;=0.4,2,1),"No")</f>
        <v>2</v>
      </c>
      <c r="BA207" s="2" t="str">
        <f>IF(AND(_xlfn.XLOOKUP(B207,'Base stats'!B:B,'Base stats'!AH:AH)="&lt;li&gt;Seal&lt;/li&gt;",G207="Odyssey"),"&lt;li&gt;AEXP_Seal&lt;/li&gt;",_xlfn.XLOOKUP(B207,'Base stats'!B:B,'Base stats'!AH:AH))</f>
        <v>No</v>
      </c>
      <c r="BB207" s="2" t="str">
        <f>_xlfn.XLOOKUP(B207,'Base stats'!B:B,'Base stats'!AG:AG)</f>
        <v>VAEWaste_ToxicLeather</v>
      </c>
      <c r="BC207" s="23" t="str">
        <f>_xlfn.XLOOKUP(_xlfn.XLOOKUP(B207,'Base stats'!B:B,'Base stats'!E:E),Groups!A:A,Groups!AL:AL)</f>
        <v>QuadrupedAnimalWithHoovesAndTusks</v>
      </c>
      <c r="BD207" s="23">
        <f>MIN(1,MROUND(IF(AND(AO207&lt;0.5,_xlfn.XLOOKUP(B207,'Base stats'!B:B,'Base stats'!AA:AA)=0),0,IF(OR(_xlfn.XLOOKUP(Animals!B207,'Base stats'!B:B,'Base stats'!O:O)=2,_xlfn.XLOOKUP(_xlfn.XLOOKUP(B207,'Base stats'!B:B,'Base stats'!E:E),Groups!A:A,Groups!AN:AN)=0),0,_xlfn.XLOOKUP(_xlfn.XLOOKUP(B207,'Base stats'!B:B,'Base stats'!E:E),Groups!A:A,Groups!AN:AN)/IF(_xlfn.XLOOKUP(Animals!B207,'Base stats'!B:B,'Base stats'!O:O)=1,2,1)))+_xlfn.XLOOKUP(B207,'Base stats'!B:B,'Base stats'!AC:AC),0.005))</f>
        <v>2.5000000000000001E-2</v>
      </c>
      <c r="BE207" s="23">
        <f>MIN(1,MROUND(IF(AND(AO207&lt;0.5,_xlfn.XLOOKUP(B207,'Base stats'!B:B,'Base stats'!AA:AA)=0),0,IF(_xlfn.XLOOKUP(_xlfn.XLOOKUP(B207,'Base stats'!B:B,'Base stats'!E:E),Groups!A:A,Groups!AO:AO)=0,0,_xlfn.XLOOKUP(_xlfn.XLOOKUP(B207,'Base stats'!B:B,'Base stats'!E:E),Groups!A:A,Groups!AO:AO)/IF(_xlfn.XLOOKUP(Animals!B207,'Base stats'!B:B,'Base stats'!O:O)=2,3,1)))+_xlfn.XLOOKUP(B207,'Base stats'!B:B,'Base stats'!AD:AD),0.005))</f>
        <v>0.1</v>
      </c>
      <c r="BF207" s="2" t="str">
        <f>IF(J207&gt;0.3,"No",_xlfn.XLOOKUP(_xlfn.XLOOKUP(Animals!B207,'Base stats'!B:B,'Base stats'!E:E),Groups!A:A,Groups!AP:AP))</f>
        <v>No</v>
      </c>
      <c r="BG207" s="2" t="str">
        <f>IF(AND(J207&lt;=0.65,_xlfn.XLOOKUP(_xlfn.XLOOKUP(Animals!B207,'Base stats'!B:B,'Base stats'!E:E),Groups!A:A,Groups!AP:AP)&lt;&gt;"No",_xlfn.XLOOKUP(_xlfn.XLOOKUP(B207,'Base stats'!B:B,'Base stats'!E:E),Groups!A:A,Groups!D:D)=0),MROUND((80/3)*IF(_xlfn.XLOOKUP(B207,'Base stats'!B:B,'Base stats'!O:O)=2,0.2,AO207) + 24*(1-IF(BF207="No",0,BF207)) + 16/3, 12),"No")</f>
        <v>No</v>
      </c>
      <c r="BH207" s="2">
        <f>IF(AND(_xlfn.XLOOKUP(_xlfn.XLOOKUP(B207,'Base stats'!B:B,'Base stats'!E:E),Groups!A:A,Groups!AQ:AQ)=1,AO207&lt;=0.35),8,12)</f>
        <v>12</v>
      </c>
      <c r="BI207" s="2" t="str">
        <f>IF(_xlfn.XLOOKUP(_xlfn.XLOOKUP(B207,'Base stats'!B:B,'Base stats'!E:E),Groups!A:A,Groups!D:D)=0,_xlfn.XLOOKUP(_xlfn.XLOOKUP(B207,'Base stats'!B:B,'Base stats'!E:E),Groups!A:A,Groups!AR:AR),"None")</f>
        <v>None</v>
      </c>
      <c r="BJ207" s="2" t="str">
        <f>IF(AND(_xlfn.XLOOKUP(_xlfn.XLOOKUP(B207,'Base stats'!B:B,'Base stats'!E:E),Groups!A:A,Groups!AS:AS)=1,OR(_xlfn.XLOOKUP(B207,'Base stats'!B:B,'Base stats'!Y:Y)="Carnivore",_xlfn.XLOOKUP(B207,'Base stats'!B:B,'Base stats'!Y:Y)="Omnivore")),"true","false")</f>
        <v>false</v>
      </c>
      <c r="BK207" s="2" t="str">
        <f>IF(BJ207="true",MROUND(IF(AND(AO207&gt;0.5,OR(_xlfn.XLOOKUP(_xlfn.XLOOKUP(B207,'Base stats'!B:B,'Base stats'!E:E),Groups!A:A,Groups!AJ:AJ)="Photonozoa",_xlfn.XLOOKUP(_xlfn.XLOOKUP(B207,'Base stats'!B:B,'Base stats'!E:E),Groups!A:A,Groups!AJ:AJ)="Mammal")),Animals!AO207*1.75*IF(AW207="true",1.5,1),IF(AO207&lt;0.5,Animals!AO207*0.5,Animals!AO207)),IF(AO207&gt;2,0.5,IF(AO207&gt;0.5,0.25,0.1))),"No")</f>
        <v>No</v>
      </c>
      <c r="BL207" s="2">
        <f t="shared" si="24"/>
        <v>0</v>
      </c>
      <c r="BM207" s="25" t="str">
        <f>IF(_xlfn.XLOOKUP(B207,'Base stats'!B:B,'Base stats'!AN:AN)="Standard","No",MROUND((_xlfn.XLOOKUP(B207,'Base stats'!B:B,'Base stats'!AN:AN)/3.6)/I207,0.1))</f>
        <v>No</v>
      </c>
      <c r="BN207" s="25" t="str">
        <f t="shared" si="25"/>
        <v>false</v>
      </c>
      <c r="BO207" s="25" t="str">
        <f>IF(AND(OR(_xlfn.XLOOKUP(B207,'Base stats'!B:B,'Base stats'!Y:Y)="Carnivore",_xlfn.XLOOKUP(B207,'Base stats'!B:B,'Base stats'!Y:Y)="Omnivore",_xlfn.XLOOKUP(B207,'Base stats'!B:B,'Base stats'!Y:Y)="OmnivoreRough"),_xlfn.XLOOKUP(_xlfn.XLOOKUP(B207,'Base stats'!B:B,'Base stats'!E:E),Groups!A:A,Groups!AT:AT)=1),"true","false")</f>
        <v>false</v>
      </c>
      <c r="BP207" s="25" t="str" cm="1">
        <f t="array" ref="BP207">IF(
  _xlfn.TEXTJOIN(", ",TRUE,
    IF(AND(BJ207="true",AO207&gt;0.5,BI207&lt;&gt;"None"),"AttackTarget",""),
    IF(AND(_xlfn.XLOOKUP(_xlfn.XLOOKUP(B207,'Base stats'!B:B,'Base stats'!E:E),Groups!A:A,Groups!AJ:AJ="Mammal"),OR(_xlfn.XLOOKUP(B207,'Base stats'!B:B,'Base stats'!Y:Y)="Omnivore",_xlfn.XLOOKUP(B207,'Base stats'!B:B,'Base stats'!Y:Y)="OmnivoreRough")),"Forage",""),
    IF(BG207&lt;=36,"Comfort",""),
    IF(_xlfn.XLOOKUP(B207,'Base stats'!B:B,'Base stats'!AE:AE)&lt;&gt;"No",_xlfn.XLOOKUP(B207,'Base stats'!B:B,'Base stats'!AE:AE),"")
  ) = "",
  "No",
  _xlfn.TEXTJOIN(", ",TRUE,
    IF(AND(BJ207="true",AO207&gt;0.5,BI207&lt;&gt;"None"),"AttackTarget",""),
    IF(AND(_xlfn.XLOOKUP(_xlfn.XLOOKUP(B207,'Base stats'!B:B,'Base stats'!E:E),Groups!A:A,Groups!AJ:AJ="Mammal"),OR(_xlfn.XLOOKUP(B207,'Base stats'!B:B,'Base stats'!Y:Y)="Omnivore",_xlfn.XLOOKUP(B207,'Base stats'!B:B,'Base stats'!Y:Y)="OmnivoreRough")),"Forage",""),
    IF(BG207&lt;=36,"Comfort",""),
    IF(_xlfn.XLOOKUP(B207,'Base stats'!B:B,'Base stats'!AE:AE)&lt;&gt;"No",_xlfn.XLOOKUP(B207,'Base stats'!B:B,'Base stats'!AE:AE),"")
  )
)</f>
        <v>Forage</v>
      </c>
      <c r="BQ207" s="25" t="str">
        <f>IF(
   AND(
      'Base stats'!AN207="Standard",_xlfn.XLOOKUP(_xlfn.XLOOKUP(B207,'Base stats'!B:B,'Base stats'!E:E),Groups!A:A,Groups!AU:AU)=0,
      OR(
      BO207="True"
      )
   ),
   10,
   IF(
       OR(BM207&lt;&gt;"No",_xlfn.XLOOKUP(_xlfn.XLOOKUP(B207,'Base stats'!B:B,'Base stats'!E:E),Groups!A:A,Groups!AU:AU)=1),
      1,
      "No"
   )
)</f>
        <v>No</v>
      </c>
      <c r="BR207" s="9">
        <f>MROUND((1 + ((0.2*IF(OR(Q207="No",R207="No",R207=0),0,Q207/R207)
+IF(OR(V207="No",S207="No",T207="No"),0,S207/T207*(LEN(V207)-LEN(SUBSTITUTE(V207,",",""))+1))
+IF(OR(X207="No",Y207="No"),0,X207/Y207)
+IF(OR(AD207="No",AE207="No"),0,AD207/AE207)
+IF(OR(AL207="No",AI207="No",AJ207="No"),0,AI207/AJ207*(LEN(AL207)-LEN(SUBSTITUTE(AL207,",",""))+1))
)/(0.2*IF(OR(Q207="No",R207="No",R207=0),0,1)
+IF(OR(V207="No",S207="No",T207="No"),0,LEN(V207)-LEN(SUBSTITUTE(V207,",",""))+1)
+IF(OR(X207="No",Y207="No"),0,1)
+IF(OR(AD207="No",AE207="No"),0,1)
+IF(OR(AL207="No",AI207="No",AJ207="No"),0,LEN(AL207)-LEN(SUBSTITUTE(AL207,",",""))+1))*62%)* 2)*(1 + (AP207 / (IF(_xlfn.XLOOKUP(_xlfn.XLOOKUP(B207,'Base stats'!B:B,'Base stats'!E:E),Groups!A:A,Groups!AJ:AJ)="Photonozoa",0.3,1)) + _xlfn.XLOOKUP(B207,'Base stats'!B:B,'Base stats'!AV:AV) * 1.8) * 2) * 2.5 + 10 + I207 * 2,5)+IF(_xlfn.XLOOKUP(B207,'Base stats'!B:B,'Base stats'!AK:AK)=1,50,0)</f>
        <v>135</v>
      </c>
      <c r="BS207" s="8">
        <f t="shared" si="26"/>
        <v>0.9</v>
      </c>
      <c r="BT207" s="8" t="str">
        <f>_xlfn.XLOOKUP(B207,'Base stats'!B:B,'Base stats'!AF:AF)</f>
        <v>3~10</v>
      </c>
      <c r="BU207" s="2" t="str">
        <f>IF(AND(J207&lt;=0.95,OR(_xlfn.XLOOKUP(B207,'Base stats'!B:B,'Base stats'!AK:AK)=1,_xlfn.XLOOKUP(B207,'Base stats'!B:B,'Base stats'!Y:Y)="Carnivore",_xlfn.XLOOKUP(B207,'Base stats'!B:B,'Base stats'!Y:Y)="Omnivore",BE207&gt;0.1)),"true","false")</f>
        <v>false</v>
      </c>
      <c r="BV207" s="2" t="str">
        <f>IF(_xlfn.XLOOKUP(B207,'Base stats'!B:B,'Base stats'!AI:AI)=1,"true","false")</f>
        <v>false</v>
      </c>
      <c r="BW207" s="25" t="str">
        <f>IF(E207="BaseInsect","AnimalInsect",
IF(J207&gt;0.95,"AnimalExotic",
_xlfn.TEXTJOIN(", ",TRUE,
IF(OR(_xlfn.XLOOKUP(B207,'Base stats'!B:B,'Base stats'!AM:AM)=1,AND(_xlfn.XLOOKUP(B207,'Base stats'!B:B,'Base stats'!O:O)=0,_xlfn.XLOOKUP(_xlfn.XLOOKUP(B207,'Base stats'!B:B,'Base stats'!E:E),Groups!A:A,Groups!B:B)&gt;0)),"AnimalUncommon","AnimalCommon"),
IF(AND(_xlfn.XLOOKUP(B207,'Base stats'!B:B,'Base stats'!O:O)=2,_xlfn.XLOOKUP(_xlfn.XLOOKUP(B207,'Base stats'!B:B,'Base stats'!E:E),Groups!A:A,Groups!D:D)=0),"AnimalPet",IF(AND(_xlfn.XLOOKUP(B207,'Base stats'!B:B,'Base stats'!O:O)&lt;&gt;0,_xlfn.XLOOKUP(_xlfn.XLOOKUP(B207,'Base stats'!B:B,'Base stats'!E:E),Groups!A:A,Groups!D:D)&lt;&gt;0),"AnimalFarm","")),
IF(OR(_xlfn.XLOOKUP(B207,'Base stats'!B:B,'Base stats'!AK:AK)=1,AND(BI207&lt;&gt;"None",BR207&gt;=60),ISNUMBER(SEARCH("Attack target",BP207))),"AnimalFighter","")
)))</f>
        <v>AnimalCommon</v>
      </c>
      <c r="BX207" s="25" t="str">
        <f>IF(G207="None",TRIM(
SUBSTITUTE(
IF(COUNTIF(Biomes!B$2:B$259,"="&amp;$C207)&gt;0,Biomes!B$1&amp;", ","")&amp;
IF(COUNTIF(Biomes!C$2:C$259,"="&amp;$C207)&gt;0,Biomes!C$1&amp;", ","")&amp;
IF(COUNTIF(Biomes!D$2:D$259,"="&amp;$C207)&gt;0,Biomes!D$1&amp;", ","")&amp;
IF(COUNTIF(Biomes!F$2:F$259,"="&amp;$C207)&gt;0,Biomes!F$1&amp;", ","")&amp;
IF(COUNTIF(Biomes!G$2:G$259,"="&amp;$C207)&gt;0,Biomes!G$1&amp;", ","")&amp;
IF(COUNTIF(Biomes!H$2:H$259,"="&amp;$C207)&gt;0,Biomes!H$1&amp;", ","")&amp;
IF(COUNTIF(Biomes!I$2:I$259,"="&amp;$C207)&gt;0,Biomes!I$1&amp;", ","")&amp;
IF(COUNTIF(Biomes!J$2:J$259,"="&amp;$C207)&gt;0,Biomes!J$1&amp;", ","")&amp;
IF(COUNTIF(Biomes!M$2:M$259,"="&amp;$C207)&gt;0,Biomes!M$1&amp;", ","")&amp;
IF(COUNTIF(Biomes!N$2:N$259,"="&amp;$C207)&gt;0,Biomes!N$1&amp;", ","")&amp;
IF(COUNTIF(Biomes!O$2:O$259,"="&amp;$C207)&gt;0,Biomes!O$1&amp;", ","")&amp;
IF(COUNTIF(Biomes!P$2:P$259,"="&amp;$C207)&gt;0,Biomes!P$1&amp;", ","")&amp;
IF(COUNTIF(Biomes!K$2:K$259,"="&amp;$C207)&gt;0,Biomes!K$1&amp;", ","")&amp;
IF(COUNTIF(Biomes!Q$3:Q$259,"="&amp;$C207)&gt;0,Biomes!Q$1&amp;", ","")&amp;
IF(COUNTIF(Biomes!L$2:L$259,"="&amp;$C207)&gt;0,Biomes!L$1&amp;", ","")&amp;
IF(COUNTIF(Biomes!E$2:E$259,"="&amp;$C207)&gt;0,Biomes!E$1&amp;", ","")&amp;IF(COUNTIF(Biomes!S$2:S$259,"="&amp;$C207)&gt;0,Biomes!S$1&amp;", ","")&amp;
IF(COUNTIF(Biomes!R$2:R$259,"="&amp;$C207)&gt;0,Biomes!R$1&amp;", ",""),", ","")
),_xlfn.XLOOKUP(B207,B:B,BX:BX))</f>
        <v>BorealForest ColdBog TemperateForest TemperateSwamp TropicalRainforest TropicalSwamp Glowforest Scarlands</v>
      </c>
      <c r="BY207" s="25" t="str">
        <f>IF(_xlfn.XLOOKUP(B207,'Base stats'!B:B,'Base stats'!AJ:AJ)=1,"true","false")</f>
        <v>false</v>
      </c>
      <c r="BZ207" s="25" t="str">
        <f>IF(_xlfn.XLOOKUP(B207,'Base stats'!B:B,'Base stats'!N:N)=1,"No",MAX(0.001,MIN(MROUND(IF(AND(BJ207="True",CC207="False"),POWER(10,3.47*LOG10(_xlfn.XLOOKUP(B207,'Base stats'!B:B,'Base stats'!C:C)*1000)^-0.96),POWER(10,4.15*LOG10(_xlfn.XLOOKUP(B207,'Base stats'!B:B,'Base stats'!C:C)*1000)^-0.73))*IF(_xlfn.XLOOKUP(B207,'Base stats'!B:B,'Base stats'!AK:AK)=1,0.5,1)*IF(_xlfn.XLOOKUP(B207,'Base stats'!B:B,'Base stats'!AM:AM)=1,0.1,1)/100,IF(_xlfn.XLOOKUP(B207,'Base stats'!B:B,'Base stats'!AM:AM)=1,0.001,0.025)),0.5)))</f>
        <v>No</v>
      </c>
      <c r="CA207" s="25">
        <f>IF(P207="Standard","No",MAX(0.001,MIN(MROUND(IF(AND(BJ207="True",CC207="False"),POWER(10,3.47*LOG10(_xlfn.XLOOKUP(B207,'Base stats'!B:B,'Base stats'!C:C)*1000)^-0.96),POWER(10,4.15*LOG10(_xlfn.XLOOKUP(B207,'Base stats'!B:B,'Base stats'!C:C)*1000)^-0.73))*IF(_xlfn.XLOOKUP(B207,'Base stats'!B:B,'Base stats'!AM:AM)=1,0.1,1)*_xlfn.XLOOKUP(B207,'Base stats'!B:B,'Base stats'!R:R)/100,IF(_xlfn.XLOOKUP(B207,'Base stats'!B:B,'Base stats'!AM:AM)=1,0.001,0.025)),0.5)))</f>
        <v>0.17500000000000002</v>
      </c>
      <c r="CB207" s="25" t="str">
        <f>IF(_xlfn.XLOOKUP(_xlfn.XLOOKUP(B207,'Base stats'!B:B,'Base stats'!E:E),Groups!A:A,Groups!AJ:AJ)="Mammal","True","False")</f>
        <v>True</v>
      </c>
      <c r="CC207" s="25" t="str">
        <f>IF(OR(_xlfn.XLOOKUP(_xlfn.XLOOKUP(B207,'Base stats'!B:B,'Base stats'!E:E),Groups!A:A,Groups!AJ:AJ)="Reptile",_xlfn.XLOOKUP(_xlfn.XLOOKUP(B207,'Base stats'!B:B,'Base stats'!E:E),Groups!A:A,Groups!AJ:AJ)="Amphibian",_xlfn.XLOOKUP(_xlfn.XLOOKUP(B207,'Base stats'!B:B,'Base stats'!E:E),Groups!A:A,Groups!AJ:AJ)="Invertebrate"),"True","False")</f>
        <v>False</v>
      </c>
      <c r="CD207" s="25" t="str">
        <f t="shared" si="27"/>
        <v>False</v>
      </c>
      <c r="CE207" s="25" t="str">
        <f>IF(_xlfn.XLOOKUP(_xlfn.XLOOKUP(B207,'Base stats'!B:B,'Base stats'!E:E),Groups!A:A,Groups!AX:AX),"True","False")</f>
        <v>False</v>
      </c>
      <c r="CF207" s="25" t="str">
        <f>IF(_xlfn.XLOOKUP(_xlfn.XLOOKUP(B207,'Base stats'!B:B,'Base stats'!E:E),Groups!A:A,Groups!AY:AY),"True","False")</f>
        <v>False</v>
      </c>
      <c r="CG207" s="25" t="str">
        <f>IF(_xlfn.XLOOKUP(_xlfn.XLOOKUP(B207,'Base stats'!B:B,'Base stats'!E:E),Groups!A:A,Groups!AW:AW),"True","False")</f>
        <v>False</v>
      </c>
      <c r="CH207" s="25" t="str">
        <f>IF(
OR(
_xlfn.XLOOKUP(_xlfn.XLOOKUP(B207,'Base stats'!B:B,'Base stats'!E:E),Groups!A:A,Groups!AZ:AZ)=0,
AND(
_xlfn.XLOOKUP(B207,'Base stats'!B:B,'Base stats'!Y:Y)&lt;&gt;"Carnivore",
_xlfn.XLOOKUP(B207,'Base stats'!B:B,'Base stats'!Y:Y)&lt;&gt;"Omnivore",
_xlfn.XLOOKUP(B207,'Base stats'!B:B,'Base stats'!Y:Y)&lt;&gt;"OmnivoreRough"
)
),
"No",
IF(
_xlfn.XLOOKUP(_xlfn.XLOOKUP(B207,'Base stats'!B:B,'Base stats'!E:E),Groups!A:A,Groups!AZ:AZ)=1,
"Flesh",
IF(
_xlfn.XLOOKUP(_xlfn.XLOOKUP(B207,'Base stats'!B:B,'Base stats'!E:E),Groups!A:A,Groups!AZ:AZ)=2,
"Bone",
""
)
)
)</f>
        <v>Bone</v>
      </c>
      <c r="CI207" s="25" t="str">
        <f>IF(_xlfn.XLOOKUP(_xlfn.XLOOKUP(B207,'Base stats'!B:B,'Base stats'!E:E),Groups!A:A,Groups!BB:BB),"True","False")</f>
        <v>True</v>
      </c>
      <c r="CJ207" s="25" t="str">
        <f>IF(_xlfn.XLOOKUP(_xlfn.XLOOKUP(B207,'Base stats'!B:B,'Base stats'!E:E),Groups!A:A,Groups!BA:BA),"True","False")</f>
        <v>False</v>
      </c>
    </row>
    <row r="208" spans="1:88" s="16" customFormat="1" ht="16.5" thickTop="1" thickBot="1" x14ac:dyDescent="0.3">
      <c r="A208" s="26" t="str">
        <f>_xlfn.XLOOKUP(B208,'Base stats'!B:B,'Base stats'!A:A)</f>
        <v>Wastedeer</v>
      </c>
      <c r="B208" s="6" t="s">
        <v>1303</v>
      </c>
      <c r="C208" s="28" t="s">
        <v>1306</v>
      </c>
      <c r="D208" s="28" t="s">
        <v>1281</v>
      </c>
      <c r="E208" s="28" t="s">
        <v>673</v>
      </c>
      <c r="F208" s="28" t="s">
        <v>673</v>
      </c>
      <c r="G208" s="28" t="s">
        <v>673</v>
      </c>
      <c r="H208" s="2">
        <f>MROUND((
  (IF(AND(_xlfn.XLOOKUP(B208,'Base stats'!B:B,'Base stats'!AL:AL)=0,BI208="None",_xlfn.XLOOKUP(_xlfn.XLOOKUP(B208,'Base stats'!B:B,'Base stats'!E:E),Groups!A:A,Groups!B:B)=0), (18 + BR208 * 2.7) * 0.5,
    IF(AND(_xlfn.XLOOKUP(B208,'Base stats'!B:B,'Base stats'!AL:AL)=0,OR(AO208&lt;0.55,AND(BI208="Intermediate",_xlfn.XLOOKUP(_xlfn.XLOOKUP(B208,'Base stats'!B:B,'Base stats'!E:E),Groups!A:A,Groups!B:B)&lt;2))), (18 + BR208 * 2.7),
      IF(OR(BI208="Advanced",_xlfn.XLOOKUP(B208,'Base stats'!B:B,'Base stats'!AL:AL)=1,_xlfn.XLOOKUP(_xlfn.XLOOKUP(B208,'Base stats'!B:B,'Base stats'!E:E),Groups!A:A,Groups!B:B)=2), (18 + BR208 * 2.7) + 250, (18 + BR208 * 2.7))
    )
  ))
  + AO208 * 80
  + IF(COUNTIF(EggMilk!K$2:K$998, A208) &gt; 0, 125, 0)
  + IF(COUNTIF(EggMilk!P$2:P$998, A208) &gt; 0, 90, 0)
  + IF(COUNTIF(EggMilk!A$2:A$998, A208) &gt; 0, 90, 0)
)
* (0.8 + 0.4 * J208)
* 0.75,25)</f>
        <v>150</v>
      </c>
      <c r="I208" s="2">
        <f>MROUND(ROUNDDOWN(_xlfn.XLOOKUP(B208,'Base stats'!B:B,'Base stats'!L:L)/3.6/(23.3/11),1),0.5)</f>
        <v>8.5</v>
      </c>
      <c r="J208" s="2">
        <f>IF(OR(_xlfn.XLOOKUP(B208,'Base stats'!B:B,'Base stats'!AB:AB)=1,_xlfn.XLOOKUP(_xlfn.XLOOKUP(B208,'Base stats'!B:B,'Base stats'!E:E),Groups!A:A,Groups!C:C)="Untamable"),1,IF(_xlfn.XLOOKUP(B208,'Base stats'!B:B,'Base stats'!AL:AL)=1,0.99,MIN(MROUND((1-0.6282*EXP(-0.459*AO208))*_xlfn.XLOOKUP(_xlfn.XLOOKUP(B208,'Base stats'!B:B,'Base stats'!E:E),Groups!A:A,Groups!C:C)*IF(_xlfn.XLOOKUP(B208,'Base stats'!B:B,'Base stats'!O:O)=1,0.5,IF(_xlfn.XLOOKUP(B208,'Base stats'!B:B,'Base stats'!O:O)=2,0,1)),0.05),IF(AO208&gt;3.5,0.985,0.95))))</f>
        <v>0.5</v>
      </c>
      <c r="K208" s="2">
        <f>ROUNDUP(AO208*_xlfn.XLOOKUP(_xlfn.XLOOKUP(B208,'Base stats'!B:B,'Base stats'!E:E),Groups!A:A,Groups!E:E),0)</f>
        <v>5</v>
      </c>
      <c r="L208" s="2">
        <f>IF(OR(_xlfn.XLOOKUP(_xlfn.XLOOKUP(B208,'Base stats'!B:B,'Base stats'!E:E),Groups!A:A,Groups!F:F)=2,ISNUMBER(SEARCH("SeaIce",BX208)),ISNUMBER(SEARCH("IceSheet",BX208))),-50,IF(OR(ISNUMBER(SEARCH("GlacialPlain",BX208)),ISNUMBER(SEARCH("Tundra",BX208))),-40,IF(OR(ISNUMBER(SEARCH("Alpine",BX208)),ISNUMBER(SEARCH("BorealForest",BX208)),ISNUMBER(SEARCH("ColdBog",BX208))),-30,IF(OR(ISNUMBER(SEARCH("TemperateForest",BX208)),ISNUMBER(SEARCH("TemperateSwamp",BX208))),-20,IF(_xlfn.XLOOKUP(_xlfn.XLOOKUP(B208,'Base stats'!B:B,'Base stats'!E:E),Groups!A:A,Groups!F:F)=1,-15,IF(OR(ISNUMBER(SEARCH("Desert",BX208)),ISNUMBER(SEARCH("ExtremeDesert",BX208))),-10,IF(OR(ISNUMBER(SEARCH("Grasslands",BX208)),ISNUMBER(SEARCH("TropicalRainforest",BX208)),ISNUMBER(SEARCH("TropicalSwamp",BX208))),10,0)))))))-IF(CC208="False",MIN(IFERROR(MAX(MROUND(LOG10(_xlfn.XLOOKUP(B208,'Base stats'!B:B,'Base stats'!C:C)^(2/3))*10,5),5),5),30))-_xlfn.XLOOKUP(B208,'Base stats'!B:B,'Base stats'!P:P)+IF(CC208="True",5,0)</f>
        <v>-50</v>
      </c>
      <c r="M208" s="2">
        <f>IF(OR(_xlfn.XLOOKUP(_xlfn.XLOOKUP(B208,'Base stats'!B:B,'Base stats'!E:E),Groups!A:A,Groups!G:G)=2,ISNUMBER(SEARCH("Desert",BX208)),ISNUMBER(SEARCH("ExtremeDesert",BX208)),ISNUMBER(SEARCH("LavaField",BX208))),50,IF(ISNUMBER(SEARCH("Grasslands",BX208)),45,IF(OR(_xlfn.XLOOKUP(_xlfn.XLOOKUP(B208,'Base stats'!B:B,'Base stats'!E:E),Groups!A:A,Groups!G:G)=1,ISNUMBER(SEARCH("TropicalRainforest",BX208)),ISNUMBER(SEARCH("TropicalSwamp",BX208))),40,IF(OR(ISNUMBER(SEARCH("TemperateForest",BX208)),ISNUMBER(SEARCH("TemperateSwamp",BX208))),35,IF(OR(ISNUMBER(SEARCH("Alpine",BX208)),ISNUMBER(SEARCH("BorealForest",BX208)),ISNUMBER(SEARCH("ColdBog",BX208))),30,IF(ISNUMBER(OR(ISNUMBER(SEARCH("GlacialPlain",BX208)),SEARCH("Tundra",BX208))),25,IF(OR(ISNUMBER(SEARCH("SeaIce",BX208)),ISNUMBER(SEARCH("IceSheet",BX208)),ISNUMBER(SEARCH("TropicalSwamp",BX208))),10,35)))))))+_xlfn.XLOOKUP(B208,'Base stats'!B:B,'Base stats'!Q:Q)</f>
        <v>35</v>
      </c>
      <c r="N208" s="8" t="str">
        <f>IF(
_xlfn.XLOOKUP(
_xlfn.XLOOKUP(B208,'Base stats'!B:B,'Base stats'!E:E),
Groups!A:A,
Groups!L:L
)=1,
MIN(
MROUND(
IF(
_xlfn.XLOOKUP(B208,'Animals CE'!B:B,'Animals CE'!Z:Z)&lt;=1.5,
_xlfn.XLOOKUP(B208,'Animals CE'!B:B,'Animals CE'!Z:Z)/2+0.05,
0.8+
(_xlfn.XLOOKUP(B208,'Animals CE'!B:B,'Animals CE'!Z:Z)-1.5)
*0.02
),
0.05
),
200%
),
"No"
)</f>
        <v>No</v>
      </c>
      <c r="O208" s="8" t="str">
        <f>IF(
_xlfn.XLOOKUP(
_xlfn.XLOOKUP(B208,'Base stats'!B:B,'Base stats'!E:E),
Groups!A:A,
Groups!L:L
)=1,
MIN(
MROUND(
IF(
_xlfn.XLOOKUP(B208,'Animals CE'!B:B,'Animals CE'!AA:AA)&lt;=1.5,
_xlfn.XLOOKUP(B208,'Animals CE'!B:B,'Animals CE'!AA:AA)/2+0.05,
0.8+
(_xlfn.XLOOKUP(B208,'Animals CE'!B:B,'Animals CE'!AA:AA)-1.5)
*0.02
),
0.05
),
200%
),
"No"
)</f>
        <v>No</v>
      </c>
      <c r="P208" s="2">
        <f>_xlfn.XLOOKUP(B208,'Base stats'!B:B,'Base stats'!R:R)</f>
        <v>1</v>
      </c>
      <c r="Q208" s="13">
        <f>MROUND((LOG10(_xlfn.XLOOKUP(B208,'Base stats'!B:B,'Base stats'!AR:AR))*(AO208^0.5)+(_xlfn.XLOOKUP(B208,'Base stats'!B:B,'Base stats'!AR:AR)/1000)^(2/3)+_xlfn.XLOOKUP(B208,'Base stats'!B:B,'Base stats'!BA:BA)/2)+0.5,0.5)</f>
        <v>7</v>
      </c>
      <c r="R208" s="7">
        <f>IF(Q208="No","No",MAX(1,MROUND(_xlfn.XLOOKUP(B208,'Base stats'!B:B,'Base stats'!C:C)^0.165,0.05)))</f>
        <v>2</v>
      </c>
      <c r="S208" s="13">
        <f>IF(_xlfn.XLOOKUP(_xlfn.XLOOKUP(B208,'Base stats'!B:B,'Base stats'!E:E),Groups!A:A,Groups!P:P)=0,"No",MROUND((LOG10(_xlfn.XLOOKUP(B208,'Base stats'!B:B,'Base stats'!AS:AS))*(AO208^0.5)+(_xlfn.XLOOKUP(B208,'Base stats'!B:B,'Base stats'!AS:AS)/1000)^(2/3)+_xlfn.XLOOKUP(B208,'Base stats'!B:B,'Base stats'!BA:BA))+_xlfn.XLOOKUP(B208,'Base stats'!B:B,'Base stats'!AY:AY)+0.5,0.5))</f>
        <v>9</v>
      </c>
      <c r="T208" s="7">
        <f>IF(S208="No","No",MAX(_xlfn.XLOOKUP(_xlfn.XLOOKUP(B208,'Base stats'!B:B,'Base stats'!E:E),Groups!A:A,Groups!Q:Q),MROUND(_xlfn.XLOOKUP(_xlfn.XLOOKUP(B208,'Base stats'!B:B,'Base stats'!E:E),Groups!A:A,Groups!Q:Q)*_xlfn.XLOOKUP(B208,'Base stats'!B:B,'Base stats'!C:C)^0.165,0.05)))</f>
        <v>2</v>
      </c>
      <c r="U208" s="7" t="str">
        <f>IF(S208="No","No",_xlfn.XLOOKUP(_xlfn.XLOOKUP(B208,'Base stats'!B:B,'Base stats'!E:E),Groups!A:A,Groups!R:R))</f>
        <v>FrontLeftLeg, FrontRightLeg</v>
      </c>
      <c r="V208" s="7" t="str">
        <f>IF(S208="No","No",_xlfn.XLOOKUP(_xlfn.XLOOKUP(B208,'Base stats'!B:B,'Base stats'!E:E),Groups!A:A,Groups!S:S))</f>
        <v>left hoof, right hoof</v>
      </c>
      <c r="W208" s="7" t="str">
        <f>IF(S208="No","No",_xlfn.XLOOKUP(_xlfn.XLOOKUP(B208,'Base stats'!B:B,'Base stats'!E:E),Groups!A:A,Groups!T:T))</f>
        <v>Blunt</v>
      </c>
      <c r="X208" s="13">
        <f>IF(_xlfn.XLOOKUP(B208,'Base stats'!B:B,'Base stats'!W:W)="No","No",MROUND((LOG10(_xlfn.XLOOKUP(B208,'Base stats'!B:B,'Base stats'!AU:AU))*(AO208^0.5)+(_xlfn.XLOOKUP(B208,'Base stats'!B:B,'Base stats'!AU:AU)/1000)^(2/3)+_xlfn.XLOOKUP(B208,'Base stats'!B:B,'Base stats'!AZ:AZ))+0.5+IF(_xlfn.XLOOKUP(_xlfn.XLOOKUP(B208,'Base stats'!B:B,'Base stats'!E:E),Groups!A:A,Groups!U:U)&lt;&gt;3,_xlfn.XLOOKUP(B208,'Base stats'!B:B,'Base stats'!BA:BA),0),0.5))</f>
        <v>12</v>
      </c>
      <c r="Y208" s="7">
        <f>IF(X208="No","No",MAX(_xlfn.XLOOKUP(_xlfn.XLOOKUP(B208,'Base stats'!B:B,'Base stats'!E:E),Groups!A:A,Groups!V:V),MROUND(_xlfn.XLOOKUP(_xlfn.XLOOKUP(B208,'Base stats'!B:B,'Base stats'!E:E),Groups!A:A,Groups!V:V)*_xlfn.XLOOKUP(B208,'Base stats'!B:B,'Base stats'!C:C)^0.165,0.05)))</f>
        <v>1.7000000000000002</v>
      </c>
      <c r="Z208" s="7" t="str">
        <f>IF(X208="No","No",_xlfn.XLOOKUP(_xlfn.XLOOKUP(B208,'Base stats'!B:B,'Base stats'!E:E),Groups!A:A,Groups!W:W))</f>
        <v>HeadAttackTool</v>
      </c>
      <c r="AA208" s="7" t="str">
        <f>IF(X208="No","No",_xlfn.XLOOKUP(_xlfn.XLOOKUP(B208,'Base stats'!B:B,'Base stats'!E:E),Groups!A:A,Groups!X:X))</f>
        <v>antler</v>
      </c>
      <c r="AB208" s="7" t="str">
        <f>IF(X208="No","No",_xlfn.XLOOKUP(_xlfn.XLOOKUP(B208,'Base stats'!B:B,'Base stats'!E:E),Groups!A:A,Groups!Y:Y))</f>
        <v>Scratch</v>
      </c>
      <c r="AC208" s="7" t="str">
        <f>_xlfn.XLOOKUP(Animals!B208,'Base stats'!B:B,'Base stats'!X:X)</f>
        <v>True</v>
      </c>
      <c r="AD208" s="13" t="str">
        <f>IF(_xlfn.XLOOKUP(B208,'Base stats'!B:B,'Base stats'!AT:AT)="No","No",MROUND((LOG10(_xlfn.XLOOKUP(B208,'Base stats'!B:B,'Base stats'!AT:AT))*(AO208^0.75)+(_xlfn.XLOOKUP(B208,'Base stats'!B:B,'Base stats'!AT:AT)/1000)^(2/3)+_xlfn.XLOOKUP(B208,'Base stats'!B:B,'Base stats'!AX:AX)+_xlfn.XLOOKUP(B208,'Base stats'!B:B,'Base stats'!BA:BA))+0.5,0.5))</f>
        <v>No</v>
      </c>
      <c r="AE208" s="7" t="str">
        <f>IF(AD208="No","No",MAX(_xlfn.XLOOKUP(_xlfn.XLOOKUP(B208,'Base stats'!B:B,'Base stats'!E:E),Groups!A:A,Groups!Z:Z),MROUND(_xlfn.XLOOKUP(_xlfn.XLOOKUP(B208,'Base stats'!B:B,'Base stats'!E:E),Groups!A:A,Groups!Z:Z)*_xlfn.XLOOKUP(B208,'Base stats'!B:B,'Base stats'!C:C)^0.165,0.05)))</f>
        <v>No</v>
      </c>
      <c r="AF208" s="7" t="str">
        <f>IF(AD208="No","No",_xlfn.XLOOKUP(_xlfn.XLOOKUP(B208,'Base stats'!B:B,'Base stats'!E:E),Groups!A:A,Groups!AA:AA))</f>
        <v>No</v>
      </c>
      <c r="AG208" s="7" t="str">
        <f>IF(AD208="No","No",_xlfn.XLOOKUP(_xlfn.XLOOKUP(B208,'Base stats'!B:B,'Base stats'!E:E),Groups!A:A,Groups!AB:AB))</f>
        <v>No</v>
      </c>
      <c r="AH208" s="7" t="str">
        <f>IF(AD208="No","No",_xlfn.XLOOKUP(_xlfn.XLOOKUP(B208,'Base stats'!B:B,'Base stats'!E:E),Groups!A:A,Groups!AC:AC))</f>
        <v>No</v>
      </c>
      <c r="AI208" s="13" t="str">
        <f>IF(_xlfn.XLOOKUP(_xlfn.XLOOKUP(B208,'Base stats'!B:B,'Base stats'!E:E),Groups!A:A,Groups!AD:AD)=0,"No",MROUND((LOG10(_xlfn.XLOOKUP(B208,'Base stats'!B:B,'Base stats'!AS:AS))*(AO208^0.75)+(_xlfn.XLOOKUP(B208,'Base stats'!B:B,'Base stats'!AS:AS)/1000)^(2/3)+_xlfn.XLOOKUP(B208,'Base stats'!B:B,'Base stats'!AY:AY)+_xlfn.XLOOKUP(B208,'Base stats'!B:B,'Base stats'!BA:BA))+0.5,0.5))</f>
        <v>No</v>
      </c>
      <c r="AJ208" s="7" t="str">
        <f>IF(AI208="No","No",MAX(_xlfn.XLOOKUP(_xlfn.XLOOKUP(B208,'Base stats'!B:B,'Base stats'!E:E),Groups!A:A,Groups!AE:AE),MROUND(_xlfn.XLOOKUP(_xlfn.XLOOKUP(B208,'Base stats'!B:B,'Base stats'!E:E),Groups!A:A,Groups!AE:AE)*IF(_xlfn.XLOOKUP(_xlfn.XLOOKUP(B208,'Base stats'!B:B,'Base stats'!E:E),Groups!A:A,Groups!AJ:AJ)="Photonozoa",0.6,1)*_xlfn.XLOOKUP(B208,'Base stats'!B:B,'Base stats'!C:C)^0.165,0.05)))</f>
        <v>No</v>
      </c>
      <c r="AK208" s="7" t="str">
        <f>IF(AI208="No","No",_xlfn.XLOOKUP(_xlfn.XLOOKUP(B208,'Base stats'!B:B,'Base stats'!E:E),Groups!A:A,Groups!AF:AF))</f>
        <v>No</v>
      </c>
      <c r="AL208" s="7" t="str">
        <f>IF(AI208="No","No",_xlfn.XLOOKUP(_xlfn.XLOOKUP(B208,'Base stats'!B:B,'Base stats'!E:E),Groups!A:A,Groups!AG:AG))</f>
        <v>No</v>
      </c>
      <c r="AM208" s="7" t="str">
        <f>IF(AI208="No","No",_xlfn.XLOOKUP(_xlfn.XLOOKUP(B208,'Base stats'!B:B,'Base stats'!E:E),Groups!A:A,Groups!AH:AH))</f>
        <v>No</v>
      </c>
      <c r="AN208" s="2" t="str">
        <f t="shared" si="21"/>
        <v>No</v>
      </c>
      <c r="AO208" s="2">
        <f>MROUND(IF(AND(_xlfn.XLOOKUP(B208,'Base stats'!B:B,'Base stats'!C:C)&gt;=0.5,_xlfn.XLOOKUP(B208,'Base stats'!B:B,'Base stats'!C:C)&lt;=0.8),
IF(_xlfn.XLOOKUP(B208,'Base stats'!B:B,'Base stats'!C:C)&lt;0.1,0.05,IF(_xlfn.XLOOKUP(B208,'Base stats'!B:B,'Base stats'!C:C)&lt;=70,(_xlfn.XLOOKUP(B208,'Base stats'!B:B,'Base stats'!C:C)/70)^0.426489913056526,IF(_xlfn.XLOOKUP(B208,'Base stats'!B:B,'Base stats'!C:C)&lt;=400,(_xlfn.XLOOKUP(B208,'Base stats'!B:B,'Base stats'!C:C)/70)^0.572811455315093,IF(_xlfn.XLOOKUP(B208,'Base stats'!B:B,'Base stats'!C:C)&lt;=2000,2.71391647193063*(_xlfn.XLOOKUP(B208,'Base stats'!B:B,'Base stats'!C:C)/400)^0.252459582904293,3.74314280240376*(_xlfn.XLOOKUP(B208,'Base stats'!B:B,'Base stats'!C:C)/2000)^0.357012633876913)))),
IF(_xlfn.XLOOKUP(B208,'Base stats'!B:B,'Base stats'!C:C)&lt;0.1,0.05,IF(_xlfn.XLOOKUP(B208,'Base stats'!B:B,'Base stats'!C:C)&lt;0.4,0.1,IF(_xlfn.XLOOKUP(B208,'Base stats'!B:B,'Base stats'!C:C)&lt;=70,(_xlfn.XLOOKUP(B208,'Base stats'!B:B,'Base stats'!C:C)/70)^0.445823913056526,IF(_xlfn.XLOOKUP(B208,'Base stats'!B:B,'Base stats'!C:C)&lt;=400,(_xlfn.XLOOKUP(B208,'Base stats'!B:B,'Base stats'!C:C)/70)^0.572811455315093,IF(_xlfn.XLOOKUP(B208,'Base stats'!B:B,'Base stats'!C:C)&lt;=2000,2.71391647193063*(_xlfn.XLOOKUP(B208,'Base stats'!B:B,'Base stats'!C:C)/400)^0.252459582904293,3.74314280240376*(_xlfn.XLOOKUP(B208,'Base stats'!B:B,'Base stats'!C:C)/2000)^0.357012633876913)))))),
IF(_xlfn.XLOOKUP(B208,'Base stats'!B:B,'Base stats'!C:C)&lt;0.1,0.05,IF(_xlfn.XLOOKUP(B208,'Base stats'!B:B,'Base stats'!C:C)&lt;=100,0.05,IF(_xlfn.XLOOKUP(B208,'Base stats'!B:B,'Base stats'!C:C)&lt;=250,0.1,IF(_xlfn.XLOOKUP(B208,'Base stats'!B:B,'Base stats'!C:C)&lt;=4000,0.25,0.5)))))</f>
        <v>1</v>
      </c>
      <c r="AP208" s="8">
        <f>MROUND(AO208*_xlfn.XLOOKUP(_xlfn.XLOOKUP(B208,'Base stats'!B:B,'Base stats'!E:E),Groups!A:A,Groups!AI:AI)*_xlfn.XLOOKUP(B208,'Base stats'!B:B,'Base stats'!Z:Z),0.05)</f>
        <v>1</v>
      </c>
      <c r="AQ208" s="8">
        <f>MAX(0.01,MROUND(IF(CC208="True",0.196*(AO208*100*1000)^0.889,IF(_xlfn.XLOOKUP(_xlfn.XLOOKUP(B208,'Base stats'!B:B,'Base stats'!E:E),Groups!A:A,Groups!AJ:AJ)="Bird",10.5*(AO208*100*1000)^0.681,4.82*(AO208*100*1000)^0.734))/(4.82*(1*100*1000)^0.734)/IF(AO208&lt;3.5,2,IF(AO208=3.5,1.5,1.25))*(1+0.132282374779864/(AO208^0.994035016789033+0.00905238001496948)),0.05))</f>
        <v>0.55000000000000004</v>
      </c>
      <c r="AR208" s="9">
        <f>IFERROR(MROUND(_xlfn.XLOOKUP(B208,'Base stats'!B:B,'Base stats'!H:H)/IF(_xlfn.XLOOKUP(B208,'Base stats'!B:B,'Base stats'!I:I)&lt;&gt;1,(122.5/70),1.2),IF(_xlfn.XLOOKUP(B208,'Base stats'!B:B,'Base stats'!H:H)&gt;=30,5,IF(_xlfn.XLOOKUP(B208,'Base stats'!B:B,'Base stats'!H:H)&gt;=15,3,IF(_xlfn.XLOOKUP(B208,'Base stats'!B:B,'Base stats'!H:H)&gt;=10,2,1)))),"Immortal")</f>
        <v>12</v>
      </c>
      <c r="AS208" s="35">
        <f>IFERROR(IF(OR(_xlfn.XLOOKUP(B208,'Base stats'!B:B,'Base stats'!F:F)="Atypical reproduction",_xlfn.XLOOKUP(B208,'Base stats'!B:B,'Base stats'!F:F)="Lay eggs"),"Lay eggs",MIN(20,MAX(5.5,ROUND(((_xlfn.XLOOKUP(B208,'Base stats'!B:B,'Base stats'!F:F)-25)*(14.5/615) + 5.5)*2,0)/2))),"Unknown")</f>
        <v>8.5</v>
      </c>
      <c r="AT208" s="8">
        <f>IF(_xlfn.XLOOKUP(B208,'Base stats'!B:B,'Base stats'!G:G)="Atypical reproduction","No",IFERROR(MAX(IF(_xlfn.XLOOKUP(B208,'Base stats'!B:B,'Base stats'!G:G)&lt;0.5,0.2,0.3),MROUND(_xlfn.XLOOKUP(B208,'Base stats'!B:B,'Base stats'!G:G)/(365/60),0.2)),"Unknown"))</f>
        <v>0.3</v>
      </c>
      <c r="AU208" s="8">
        <f t="shared" si="22"/>
        <v>0.15000000000000002</v>
      </c>
      <c r="AV208" s="8">
        <f>IFERROR(IFERROR(MROUND(_xlfn.XLOOKUP(B208,'Base stats'!B:B,'Base stats'!J:J),0.1),"Lay eggs"),"Cannot breed")</f>
        <v>1</v>
      </c>
      <c r="AW208" s="2" t="str">
        <f t="shared" si="23"/>
        <v>true</v>
      </c>
      <c r="AX208" s="2" t="str">
        <f>IF(_xlfn.XLOOKUP(_xlfn.XLOOKUP(Animals!B208,'Base stats'!B:B,'Base stats'!E:E),Groups!A:A,Groups!AK:AK)=1,"true","false")</f>
        <v>true</v>
      </c>
      <c r="AY208" s="25" t="str">
        <f>IF(_xlfn.XLOOKUP(B208,'Base stats'!B:B,'Base stats'!Y:Y)="Liquor","Liquor, CarnivoreAnimalStrict",IF(AND(_xlfn.XLOOKUP(B208,'Base stats'!B:B,'Base stats'!Y:Y)="Carnivore",_xlfn.XLOOKUP(_xlfn.XLOOKUP(B208,'Base stats'!B:B,'Base stats'!E:E),Groups!A:A,Groups!AJ:AJ)="Photonozoa"),"CarnivoreAnimalStrict, OvivoreAnimal",IF(_xlfn.XLOOKUP(B208,'Base stats'!B:B,'Base stats'!Y:Y)="Carnivore","CarnivoreAnimal, OvivoreAnimal",IF(_xlfn.XLOOKUP(B208,'Base stats'!B:B,'Base stats'!Y:Y)="Dendrovore","VegetarianRoughAnimal, DendrovoreAnimal",IF(_xlfn.XLOOKUP(B208,'Base stats'!B:B,'Base stats'!Y:Y)="Herbivore","VegetarianRoughAnimal",IF(_xlfn.XLOOKUP(B208,'Base stats'!B:B,'Base stats'!Y:Y)="OmnivoreRough","OmnivoreRoughAnimal, OvivoreAnimal","OmnivoreAnimal, OvivoreAnimal"))))))</f>
        <v>VegetarianRoughAnimal</v>
      </c>
      <c r="AZ208" s="2">
        <f>IF(_xlfn.XLOOKUP(_xlfn.XLOOKUP(B208,'Base stats'!B:B,'Base stats'!E:E),Groups!A:A,Groups!D:D)=1,MROUND((1-J208)*5+1,2)*IF(J208&lt;=0.4,2,1),"No")</f>
        <v>4</v>
      </c>
      <c r="BA208" s="2" t="str">
        <f>IF(AND(_xlfn.XLOOKUP(B208,'Base stats'!B:B,'Base stats'!AH:AH)="&lt;li&gt;Seal&lt;/li&gt;",G208="Odyssey"),"&lt;li&gt;AEXP_Seal&lt;/li&gt;",_xlfn.XLOOKUP(B208,'Base stats'!B:B,'Base stats'!AH:AH))</f>
        <v>No</v>
      </c>
      <c r="BB208" s="2" t="str">
        <f>_xlfn.XLOOKUP(B208,'Base stats'!B:B,'Base stats'!AG:AG)</f>
        <v>VAEWaste_ToxicLeather</v>
      </c>
      <c r="BC208" s="23" t="str">
        <f>_xlfn.XLOOKUP(_xlfn.XLOOKUP(B208,'Base stats'!B:B,'Base stats'!E:E),Groups!A:A,Groups!AL:AL)</f>
        <v>Wasteffalo_Body</v>
      </c>
      <c r="BD208" s="23">
        <f>MIN(1,MROUND(IF(AND(AO208&lt;0.5,_xlfn.XLOOKUP(B208,'Base stats'!B:B,'Base stats'!AA:AA)=0),0,IF(OR(_xlfn.XLOOKUP(Animals!B208,'Base stats'!B:B,'Base stats'!O:O)=2,_xlfn.XLOOKUP(_xlfn.XLOOKUP(B208,'Base stats'!B:B,'Base stats'!E:E),Groups!A:A,Groups!AN:AN)=0),0,_xlfn.XLOOKUP(_xlfn.XLOOKUP(B208,'Base stats'!B:B,'Base stats'!E:E),Groups!A:A,Groups!AN:AN)/IF(_xlfn.XLOOKUP(Animals!B208,'Base stats'!B:B,'Base stats'!O:O)=1,2,1)))+_xlfn.XLOOKUP(B208,'Base stats'!B:B,'Base stats'!AC:AC),0.005))</f>
        <v>0</v>
      </c>
      <c r="BE208" s="23">
        <f>MIN(1,MROUND(IF(AND(AO208&lt;0.5,_xlfn.XLOOKUP(B208,'Base stats'!B:B,'Base stats'!AA:AA)=0),0,IF(_xlfn.XLOOKUP(_xlfn.XLOOKUP(B208,'Base stats'!B:B,'Base stats'!E:E),Groups!A:A,Groups!AO:AO)=0,0,_xlfn.XLOOKUP(_xlfn.XLOOKUP(B208,'Base stats'!B:B,'Base stats'!E:E),Groups!A:A,Groups!AO:AO)/IF(_xlfn.XLOOKUP(Animals!B208,'Base stats'!B:B,'Base stats'!O:O)=2,3,1)))+_xlfn.XLOOKUP(B208,'Base stats'!B:B,'Base stats'!AD:AD),0.005))</f>
        <v>0</v>
      </c>
      <c r="BF208" s="2" t="str">
        <f>IF(J208&gt;0.3,"No",_xlfn.XLOOKUP(_xlfn.XLOOKUP(Animals!B208,'Base stats'!B:B,'Base stats'!E:E),Groups!A:A,Groups!AP:AP))</f>
        <v>No</v>
      </c>
      <c r="BG208" s="2" t="str">
        <f>IF(AND(J208&lt;=0.65,_xlfn.XLOOKUP(_xlfn.XLOOKUP(Animals!B208,'Base stats'!B:B,'Base stats'!E:E),Groups!A:A,Groups!AP:AP)&lt;&gt;"No",_xlfn.XLOOKUP(_xlfn.XLOOKUP(B208,'Base stats'!B:B,'Base stats'!E:E),Groups!A:A,Groups!D:D)=0),MROUND((80/3)*IF(_xlfn.XLOOKUP(B208,'Base stats'!B:B,'Base stats'!O:O)=2,0.2,AO208) + 24*(1-IF(BF208="No",0,BF208)) + 16/3, 12),"No")</f>
        <v>No</v>
      </c>
      <c r="BH208" s="2">
        <f>IF(AND(_xlfn.XLOOKUP(_xlfn.XLOOKUP(B208,'Base stats'!B:B,'Base stats'!E:E),Groups!A:A,Groups!AQ:AQ)=1,AO208&lt;=0.35),8,12)</f>
        <v>12</v>
      </c>
      <c r="BI208" s="2" t="str">
        <f>IF(_xlfn.XLOOKUP(_xlfn.XLOOKUP(B208,'Base stats'!B:B,'Base stats'!E:E),Groups!A:A,Groups!D:D)=0,_xlfn.XLOOKUP(_xlfn.XLOOKUP(B208,'Base stats'!B:B,'Base stats'!E:E),Groups!A:A,Groups!AR:AR),"None")</f>
        <v>None</v>
      </c>
      <c r="BJ208" s="2" t="str">
        <f>IF(AND(_xlfn.XLOOKUP(_xlfn.XLOOKUP(B208,'Base stats'!B:B,'Base stats'!E:E),Groups!A:A,Groups!AS:AS)=1,OR(_xlfn.XLOOKUP(B208,'Base stats'!B:B,'Base stats'!Y:Y)="Carnivore",_xlfn.XLOOKUP(B208,'Base stats'!B:B,'Base stats'!Y:Y)="Omnivore")),"true","false")</f>
        <v>false</v>
      </c>
      <c r="BK208" s="2" t="str">
        <f>IF(BJ208="true",MROUND(IF(AND(AO208&gt;0.5,OR(_xlfn.XLOOKUP(_xlfn.XLOOKUP(B208,'Base stats'!B:B,'Base stats'!E:E),Groups!A:A,Groups!AJ:AJ)="Photonozoa",_xlfn.XLOOKUP(_xlfn.XLOOKUP(B208,'Base stats'!B:B,'Base stats'!E:E),Groups!A:A,Groups!AJ:AJ)="Mammal")),Animals!AO208*1.75*IF(AW208="true",1.5,1),IF(AO208&lt;0.5,Animals!AO208*0.5,Animals!AO208)),IF(AO208&gt;2,0.5,IF(AO208&gt;0.5,0.25,0.1))),"No")</f>
        <v>No</v>
      </c>
      <c r="BL208" s="2">
        <f t="shared" si="24"/>
        <v>0</v>
      </c>
      <c r="BM208" s="25" t="str">
        <f>IF(_xlfn.XLOOKUP(B208,'Base stats'!B:B,'Base stats'!AN:AN)="Standard","No",MROUND((_xlfn.XLOOKUP(B208,'Base stats'!B:B,'Base stats'!AN:AN)/3.6)/I208,0.1))</f>
        <v>No</v>
      </c>
      <c r="BN208" s="25" t="str">
        <f t="shared" si="25"/>
        <v>false</v>
      </c>
      <c r="BO208" s="25" t="str">
        <f>IF(AND(OR(_xlfn.XLOOKUP(B208,'Base stats'!B:B,'Base stats'!Y:Y)="Carnivore",_xlfn.XLOOKUP(B208,'Base stats'!B:B,'Base stats'!Y:Y)="Omnivore",_xlfn.XLOOKUP(B208,'Base stats'!B:B,'Base stats'!Y:Y)="OmnivoreRough"),_xlfn.XLOOKUP(_xlfn.XLOOKUP(B208,'Base stats'!B:B,'Base stats'!E:E),Groups!A:A,Groups!AT:AT)=1),"true","false")</f>
        <v>false</v>
      </c>
      <c r="BP208" s="25" t="str" cm="1">
        <f t="array" ref="BP208">IF(
  _xlfn.TEXTJOIN(", ",TRUE,
    IF(AND(BJ208="true",AO208&gt;0.5,BI208&lt;&gt;"None"),"AttackTarget",""),
    IF(AND(_xlfn.XLOOKUP(_xlfn.XLOOKUP(B208,'Base stats'!B:B,'Base stats'!E:E),Groups!A:A,Groups!AJ:AJ="Mammal"),OR(_xlfn.XLOOKUP(B208,'Base stats'!B:B,'Base stats'!Y:Y)="Omnivore",_xlfn.XLOOKUP(B208,'Base stats'!B:B,'Base stats'!Y:Y)="OmnivoreRough")),"Forage",""),
    IF(BG208&lt;=36,"Comfort",""),
    IF(_xlfn.XLOOKUP(B208,'Base stats'!B:B,'Base stats'!AE:AE)&lt;&gt;"No",_xlfn.XLOOKUP(B208,'Base stats'!B:B,'Base stats'!AE:AE),"")
  ) = "",
  "No",
  _xlfn.TEXTJOIN(", ",TRUE,
    IF(AND(BJ208="true",AO208&gt;0.5,BI208&lt;&gt;"None"),"AttackTarget",""),
    IF(AND(_xlfn.XLOOKUP(_xlfn.XLOOKUP(B208,'Base stats'!B:B,'Base stats'!E:E),Groups!A:A,Groups!AJ:AJ="Mammal"),OR(_xlfn.XLOOKUP(B208,'Base stats'!B:B,'Base stats'!Y:Y)="Omnivore",_xlfn.XLOOKUP(B208,'Base stats'!B:B,'Base stats'!Y:Y)="OmnivoreRough")),"Forage",""),
    IF(BG208&lt;=36,"Comfort",""),
    IF(_xlfn.XLOOKUP(B208,'Base stats'!B:B,'Base stats'!AE:AE)&lt;&gt;"No",_xlfn.XLOOKUP(B208,'Base stats'!B:B,'Base stats'!AE:AE),"")
  )
)</f>
        <v>No</v>
      </c>
      <c r="BQ208" s="25" t="str">
        <f>IF(
   AND(
      'Base stats'!AN208="Standard",_xlfn.XLOOKUP(_xlfn.XLOOKUP(B208,'Base stats'!B:B,'Base stats'!E:E),Groups!A:A,Groups!AU:AU)=0,
      OR(
      BO208="True"
      )
   ),
   10,
   IF(
       OR(BM208&lt;&gt;"No",_xlfn.XLOOKUP(_xlfn.XLOOKUP(B208,'Base stats'!B:B,'Base stats'!E:E),Groups!A:A,Groups!AU:AU)=1),
      1,
      "No"
   )
)</f>
        <v>No</v>
      </c>
      <c r="BR208" s="9">
        <f>MROUND((1 + ((0.2*IF(OR(Q208="No",R208="No",R208=0),0,Q208/R208)
+IF(OR(V208="No",S208="No",T208="No"),0,S208/T208*(LEN(V208)-LEN(SUBSTITUTE(V208,",",""))+1))
+IF(OR(X208="No",Y208="No"),0,X208/Y208)
+IF(OR(AD208="No",AE208="No"),0,AD208/AE208)
+IF(OR(AL208="No",AI208="No",AJ208="No"),0,AI208/AJ208*(LEN(AL208)-LEN(SUBSTITUTE(AL208,",",""))+1))
)/(0.2*IF(OR(Q208="No",R208="No",R208=0),0,1)
+IF(OR(V208="No",S208="No",T208="No"),0,LEN(V208)-LEN(SUBSTITUTE(V208,",",""))+1)
+IF(OR(X208="No",Y208="No"),0,1)
+IF(OR(AD208="No",AE208="No"),0,1)
+IF(OR(AL208="No",AI208="No",AJ208="No"),0,LEN(AL208)-LEN(SUBSTITUTE(AL208,",",""))+1))*62%)* 2)*(1 + (AP208 / (IF(_xlfn.XLOOKUP(_xlfn.XLOOKUP(B208,'Base stats'!B:B,'Base stats'!E:E),Groups!A:A,Groups!AJ:AJ)="Photonozoa",0.3,1)) + _xlfn.XLOOKUP(B208,'Base stats'!B:B,'Base stats'!AV:AV) * 1.8) * 2) * 2.5 + 10 + I208 * 2,5)+IF(_xlfn.XLOOKUP(B208,'Base stats'!B:B,'Base stats'!AK:AK)=1,50,0)</f>
        <v>85</v>
      </c>
      <c r="BS208" s="8">
        <f t="shared" si="26"/>
        <v>0.65</v>
      </c>
      <c r="BT208" s="8" t="str">
        <f>_xlfn.XLOOKUP(B208,'Base stats'!B:B,'Base stats'!AF:AF)</f>
        <v>3~10</v>
      </c>
      <c r="BU208" s="2" t="str">
        <f>IF(AND(J208&lt;=0.95,OR(_xlfn.XLOOKUP(B208,'Base stats'!B:B,'Base stats'!AK:AK)=1,_xlfn.XLOOKUP(B208,'Base stats'!B:B,'Base stats'!Y:Y)="Carnivore",_xlfn.XLOOKUP(B208,'Base stats'!B:B,'Base stats'!Y:Y)="Omnivore",BE208&gt;0.1)),"true","false")</f>
        <v>false</v>
      </c>
      <c r="BV208" s="2" t="str">
        <f>IF(_xlfn.XLOOKUP(B208,'Base stats'!B:B,'Base stats'!AI:AI)=1,"true","false")</f>
        <v>false</v>
      </c>
      <c r="BW208" s="25" t="str">
        <f>IF(E208="BaseInsect","AnimalInsect",
IF(J208&gt;0.95,"AnimalExotic",
_xlfn.TEXTJOIN(", ",TRUE,
IF(OR(_xlfn.XLOOKUP(B208,'Base stats'!B:B,'Base stats'!AM:AM)=1,AND(_xlfn.XLOOKUP(B208,'Base stats'!B:B,'Base stats'!O:O)=0,_xlfn.XLOOKUP(_xlfn.XLOOKUP(B208,'Base stats'!B:B,'Base stats'!E:E),Groups!A:A,Groups!B:B)&gt;0)),"AnimalUncommon","AnimalCommon"),
IF(AND(_xlfn.XLOOKUP(B208,'Base stats'!B:B,'Base stats'!O:O)=2,_xlfn.XLOOKUP(_xlfn.XLOOKUP(B208,'Base stats'!B:B,'Base stats'!E:E),Groups!A:A,Groups!D:D)=0),"AnimalPet",IF(AND(_xlfn.XLOOKUP(B208,'Base stats'!B:B,'Base stats'!O:O)&lt;&gt;0,_xlfn.XLOOKUP(_xlfn.XLOOKUP(B208,'Base stats'!B:B,'Base stats'!E:E),Groups!A:A,Groups!D:D)&lt;&gt;0),"AnimalFarm","")),
IF(OR(_xlfn.XLOOKUP(B208,'Base stats'!B:B,'Base stats'!AK:AK)=1,AND(BI208&lt;&gt;"None",BR208&gt;=60),ISNUMBER(SEARCH("Attack target",BP208))),"AnimalFighter","")
)))</f>
        <v>AnimalCommon</v>
      </c>
      <c r="BX208" s="25" t="str">
        <f>IF(G208="None",TRIM(
SUBSTITUTE(
IF(COUNTIF(Biomes!B$2:B$259,"="&amp;$C208)&gt;0,Biomes!B$1&amp;", ","")&amp;
IF(COUNTIF(Biomes!C$2:C$259,"="&amp;$C208)&gt;0,Biomes!C$1&amp;", ","")&amp;
IF(COUNTIF(Biomes!D$2:D$259,"="&amp;$C208)&gt;0,Biomes!D$1&amp;", ","")&amp;
IF(COUNTIF(Biomes!F$2:F$259,"="&amp;$C208)&gt;0,Biomes!F$1&amp;", ","")&amp;
IF(COUNTIF(Biomes!G$2:G$259,"="&amp;$C208)&gt;0,Biomes!G$1&amp;", ","")&amp;
IF(COUNTIF(Biomes!H$2:H$259,"="&amp;$C208)&gt;0,Biomes!H$1&amp;", ","")&amp;
IF(COUNTIF(Biomes!I$2:I$259,"="&amp;$C208)&gt;0,Biomes!I$1&amp;", ","")&amp;
IF(COUNTIF(Biomes!J$2:J$259,"="&amp;$C208)&gt;0,Biomes!J$1&amp;", ","")&amp;
IF(COUNTIF(Biomes!M$2:M$259,"="&amp;$C208)&gt;0,Biomes!M$1&amp;", ","")&amp;
IF(COUNTIF(Biomes!N$2:N$259,"="&amp;$C208)&gt;0,Biomes!N$1&amp;", ","")&amp;
IF(COUNTIF(Biomes!O$2:O$259,"="&amp;$C208)&gt;0,Biomes!O$1&amp;", ","")&amp;
IF(COUNTIF(Biomes!P$2:P$259,"="&amp;$C208)&gt;0,Biomes!P$1&amp;", ","")&amp;
IF(COUNTIF(Biomes!K$2:K$259,"="&amp;$C208)&gt;0,Biomes!K$1&amp;", ","")&amp;
IF(COUNTIF(Biomes!Q$3:Q$259,"="&amp;$C208)&gt;0,Biomes!Q$1&amp;", ","")&amp;
IF(COUNTIF(Biomes!L$2:L$259,"="&amp;$C208)&gt;0,Biomes!L$1&amp;", ","")&amp;
IF(COUNTIF(Biomes!E$2:E$259,"="&amp;$C208)&gt;0,Biomes!E$1&amp;", ","")&amp;IF(COUNTIF(Biomes!S$2:S$259,"="&amp;$C208)&gt;0,Biomes!S$1&amp;", ","")&amp;
IF(COUNTIF(Biomes!R$2:R$259,"="&amp;$C208)&gt;0,Biomes!R$1&amp;", ",""),", ","")
),_xlfn.XLOOKUP(B208,B:B,BX:BX))</f>
        <v>BorealForest ColdBog TemperateForest TemperateSwamp GlacialPlain Scarlands</v>
      </c>
      <c r="BY208" s="25" t="str">
        <f>IF(_xlfn.XLOOKUP(B208,'Base stats'!B:B,'Base stats'!AJ:AJ)=1,"true","false")</f>
        <v>false</v>
      </c>
      <c r="BZ208" s="25" t="str">
        <f>IF(_xlfn.XLOOKUP(B208,'Base stats'!B:B,'Base stats'!N:N)=1,"No",MAX(0.001,MIN(MROUND(IF(AND(BJ208="True",CC208="False"),POWER(10,3.47*LOG10(_xlfn.XLOOKUP(B208,'Base stats'!B:B,'Base stats'!C:C)*1000)^-0.96),POWER(10,4.15*LOG10(_xlfn.XLOOKUP(B208,'Base stats'!B:B,'Base stats'!C:C)*1000)^-0.73))*IF(_xlfn.XLOOKUP(B208,'Base stats'!B:B,'Base stats'!AK:AK)=1,0.5,1)*IF(_xlfn.XLOOKUP(B208,'Base stats'!B:B,'Base stats'!AM:AM)=1,0.1,1)/100,IF(_xlfn.XLOOKUP(B208,'Base stats'!B:B,'Base stats'!AM:AM)=1,0.001,0.025)),0.5)))</f>
        <v>No</v>
      </c>
      <c r="CA208" s="25">
        <f>IF(P208="Standard","No",MAX(0.001,MIN(MROUND(IF(AND(BJ208="True",CC208="False"),POWER(10,3.47*LOG10(_xlfn.XLOOKUP(B208,'Base stats'!B:B,'Base stats'!C:C)*1000)^-0.96),POWER(10,4.15*LOG10(_xlfn.XLOOKUP(B208,'Base stats'!B:B,'Base stats'!C:C)*1000)^-0.73))*IF(_xlfn.XLOOKUP(B208,'Base stats'!B:B,'Base stats'!AM:AM)=1,0.1,1)*_xlfn.XLOOKUP(B208,'Base stats'!B:B,'Base stats'!R:R)/100,IF(_xlfn.XLOOKUP(B208,'Base stats'!B:B,'Base stats'!AM:AM)=1,0.001,0.025)),0.5)))</f>
        <v>0.2</v>
      </c>
      <c r="CB208" s="25" t="str">
        <f>IF(_xlfn.XLOOKUP(_xlfn.XLOOKUP(B208,'Base stats'!B:B,'Base stats'!E:E),Groups!A:A,Groups!AJ:AJ)="Mammal","True","False")</f>
        <v>True</v>
      </c>
      <c r="CC208" s="25" t="str">
        <f>IF(OR(_xlfn.XLOOKUP(_xlfn.XLOOKUP(B208,'Base stats'!B:B,'Base stats'!E:E),Groups!A:A,Groups!AJ:AJ)="Reptile",_xlfn.XLOOKUP(_xlfn.XLOOKUP(B208,'Base stats'!B:B,'Base stats'!E:E),Groups!A:A,Groups!AJ:AJ)="Amphibian",_xlfn.XLOOKUP(_xlfn.XLOOKUP(B208,'Base stats'!B:B,'Base stats'!E:E),Groups!A:A,Groups!AJ:AJ)="Invertebrate"),"True","False")</f>
        <v>False</v>
      </c>
      <c r="CD208" s="25" t="str">
        <f t="shared" si="27"/>
        <v>False</v>
      </c>
      <c r="CE208" s="25" t="str">
        <f>IF(_xlfn.XLOOKUP(_xlfn.XLOOKUP(B208,'Base stats'!B:B,'Base stats'!E:E),Groups!A:A,Groups!AX:AX),"True","False")</f>
        <v>False</v>
      </c>
      <c r="CF208" s="25" t="str">
        <f>IF(_xlfn.XLOOKUP(_xlfn.XLOOKUP(B208,'Base stats'!B:B,'Base stats'!E:E),Groups!A:A,Groups!AY:AY),"True","False")</f>
        <v>False</v>
      </c>
      <c r="CG208" s="25" t="str">
        <f>IF(_xlfn.XLOOKUP(_xlfn.XLOOKUP(B208,'Base stats'!B:B,'Base stats'!E:E),Groups!A:A,Groups!AW:AW),"True","False")</f>
        <v>False</v>
      </c>
      <c r="CH208" s="25" t="str">
        <f>IF(
OR(
_xlfn.XLOOKUP(_xlfn.XLOOKUP(B208,'Base stats'!B:B,'Base stats'!E:E),Groups!A:A,Groups!AZ:AZ)=0,
AND(
_xlfn.XLOOKUP(B208,'Base stats'!B:B,'Base stats'!Y:Y)&lt;&gt;"Carnivore",
_xlfn.XLOOKUP(B208,'Base stats'!B:B,'Base stats'!Y:Y)&lt;&gt;"Omnivore",
_xlfn.XLOOKUP(B208,'Base stats'!B:B,'Base stats'!Y:Y)&lt;&gt;"OmnivoreRough"
)
),
"No",
IF(
_xlfn.XLOOKUP(_xlfn.XLOOKUP(B208,'Base stats'!B:B,'Base stats'!E:E),Groups!A:A,Groups!AZ:AZ)=1,
"Flesh",
IF(
_xlfn.XLOOKUP(_xlfn.XLOOKUP(B208,'Base stats'!B:B,'Base stats'!E:E),Groups!A:A,Groups!AZ:AZ)=2,
"Bone",
""
)
)
)</f>
        <v>No</v>
      </c>
      <c r="CI208" s="25" t="str">
        <f>IF(_xlfn.XLOOKUP(_xlfn.XLOOKUP(B208,'Base stats'!B:B,'Base stats'!E:E),Groups!A:A,Groups!BB:BB),"True","False")</f>
        <v>True</v>
      </c>
      <c r="CJ208" s="25" t="str">
        <f>IF(_xlfn.XLOOKUP(_xlfn.XLOOKUP(B208,'Base stats'!B:B,'Base stats'!E:E),Groups!A:A,Groups!BA:BA),"True","False")</f>
        <v>False</v>
      </c>
    </row>
    <row r="209" spans="1:88" s="16" customFormat="1" ht="16.5" thickTop="1" thickBot="1" x14ac:dyDescent="0.3">
      <c r="A209" s="26" t="str">
        <f>_xlfn.XLOOKUP(B209,'Base stats'!B:B,'Base stats'!A:A)</f>
        <v>Wasteffalo</v>
      </c>
      <c r="B209" s="6" t="s">
        <v>1304</v>
      </c>
      <c r="C209" s="28" t="s">
        <v>1305</v>
      </c>
      <c r="D209" s="28" t="s">
        <v>1281</v>
      </c>
      <c r="E209" s="28" t="s">
        <v>673</v>
      </c>
      <c r="F209" s="28" t="s">
        <v>673</v>
      </c>
      <c r="G209" s="28" t="s">
        <v>673</v>
      </c>
      <c r="H209" s="2">
        <f>MROUND((
  (IF(AND(_xlfn.XLOOKUP(B209,'Base stats'!B:B,'Base stats'!AL:AL)=0,BI209="None",_xlfn.XLOOKUP(_xlfn.XLOOKUP(B209,'Base stats'!B:B,'Base stats'!E:E),Groups!A:A,Groups!B:B)=0), (18 + BR209 * 2.7) * 0.5,
    IF(AND(_xlfn.XLOOKUP(B209,'Base stats'!B:B,'Base stats'!AL:AL)=0,OR(AO209&lt;0.55,AND(BI209="Intermediate",_xlfn.XLOOKUP(_xlfn.XLOOKUP(B209,'Base stats'!B:B,'Base stats'!E:E),Groups!A:A,Groups!B:B)&lt;2))), (18 + BR209 * 2.7),
      IF(OR(BI209="Advanced",_xlfn.XLOOKUP(B209,'Base stats'!B:B,'Base stats'!AL:AL)=1,_xlfn.XLOOKUP(_xlfn.XLOOKUP(B209,'Base stats'!B:B,'Base stats'!E:E),Groups!A:A,Groups!B:B)=2), (18 + BR209 * 2.7) + 250, (18 + BR209 * 2.7))
    )
  ))
  + AO209 * 80
  + IF(COUNTIF(EggMilk!K$2:K$998, A209) &gt; 0, 125, 0)
  + IF(COUNTIF(EggMilk!P$2:P$998, A209) &gt; 0, 90, 0)
  + IF(COUNTIF(EggMilk!A$2:A$998, A209) &gt; 0, 90, 0)
)
* (0.8 + 0.4 * J209)
* 0.75,25)</f>
        <v>375</v>
      </c>
      <c r="I209" s="2">
        <f>MROUND(ROUNDDOWN(_xlfn.XLOOKUP(B209,'Base stats'!B:B,'Base stats'!L:L)/3.6/(23.3/11),1),0.5)</f>
        <v>7</v>
      </c>
      <c r="J209" s="2">
        <f>IF(OR(_xlfn.XLOOKUP(B209,'Base stats'!B:B,'Base stats'!AB:AB)=1,_xlfn.XLOOKUP(_xlfn.XLOOKUP(B209,'Base stats'!B:B,'Base stats'!E:E),Groups!A:A,Groups!C:C)="Untamable"),1,IF(_xlfn.XLOOKUP(B209,'Base stats'!B:B,'Base stats'!AL:AL)=1,0.99,MIN(MROUND((1-0.6282*EXP(-0.459*AO209))*_xlfn.XLOOKUP(_xlfn.XLOOKUP(B209,'Base stats'!B:B,'Base stats'!E:E),Groups!A:A,Groups!C:C)*IF(_xlfn.XLOOKUP(B209,'Base stats'!B:B,'Base stats'!O:O)=1,0.5,IF(_xlfn.XLOOKUP(B209,'Base stats'!B:B,'Base stats'!O:O)=2,0,1)),0.05),IF(AO209&gt;3.5,0.985,0.95))))</f>
        <v>0.70000000000000007</v>
      </c>
      <c r="K209" s="2">
        <f>ROUNDUP(AO209*_xlfn.XLOOKUP(_xlfn.XLOOKUP(B209,'Base stats'!B:B,'Base stats'!E:E),Groups!A:A,Groups!E:E),0)</f>
        <v>14</v>
      </c>
      <c r="L209" s="2">
        <f>IF(OR(_xlfn.XLOOKUP(_xlfn.XLOOKUP(B209,'Base stats'!B:B,'Base stats'!E:E),Groups!A:A,Groups!F:F)=2,ISNUMBER(SEARCH("SeaIce",BX209)),ISNUMBER(SEARCH("IceSheet",BX209))),-50,IF(OR(ISNUMBER(SEARCH("GlacialPlain",BX209)),ISNUMBER(SEARCH("Tundra",BX209))),-40,IF(OR(ISNUMBER(SEARCH("Alpine",BX209)),ISNUMBER(SEARCH("BorealForest",BX209)),ISNUMBER(SEARCH("ColdBog",BX209))),-30,IF(OR(ISNUMBER(SEARCH("TemperateForest",BX209)),ISNUMBER(SEARCH("TemperateSwamp",BX209))),-20,IF(_xlfn.XLOOKUP(_xlfn.XLOOKUP(B209,'Base stats'!B:B,'Base stats'!E:E),Groups!A:A,Groups!F:F)=1,-15,IF(OR(ISNUMBER(SEARCH("Desert",BX209)),ISNUMBER(SEARCH("ExtremeDesert",BX209))),-10,IF(OR(ISNUMBER(SEARCH("Grasslands",BX209)),ISNUMBER(SEARCH("TropicalRainforest",BX209)),ISNUMBER(SEARCH("TropicalSwamp",BX209))),10,0)))))))-IF(CC209="False",MIN(IFERROR(MAX(MROUND(LOG10(_xlfn.XLOOKUP(B209,'Base stats'!B:B,'Base stats'!C:C)^(2/3))*10,5),5),5),30))-_xlfn.XLOOKUP(B209,'Base stats'!B:B,'Base stats'!P:P)+IF(CC209="True",5,0)</f>
        <v>-55</v>
      </c>
      <c r="M209" s="2">
        <f>IF(OR(_xlfn.XLOOKUP(_xlfn.XLOOKUP(B209,'Base stats'!B:B,'Base stats'!E:E),Groups!A:A,Groups!G:G)=2,ISNUMBER(SEARCH("Desert",BX209)),ISNUMBER(SEARCH("ExtremeDesert",BX209)),ISNUMBER(SEARCH("LavaField",BX209))),50,IF(ISNUMBER(SEARCH("Grasslands",BX209)),45,IF(OR(_xlfn.XLOOKUP(_xlfn.XLOOKUP(B209,'Base stats'!B:B,'Base stats'!E:E),Groups!A:A,Groups!G:G)=1,ISNUMBER(SEARCH("TropicalRainforest",BX209)),ISNUMBER(SEARCH("TropicalSwamp",BX209))),40,IF(OR(ISNUMBER(SEARCH("TemperateForest",BX209)),ISNUMBER(SEARCH("TemperateSwamp",BX209))),35,IF(OR(ISNUMBER(SEARCH("Alpine",BX209)),ISNUMBER(SEARCH("BorealForest",BX209)),ISNUMBER(SEARCH("ColdBog",BX209))),30,IF(ISNUMBER(OR(ISNUMBER(SEARCH("GlacialPlain",BX209)),SEARCH("Tundra",BX209))),25,IF(OR(ISNUMBER(SEARCH("SeaIce",BX209)),ISNUMBER(SEARCH("IceSheet",BX209)),ISNUMBER(SEARCH("TropicalSwamp",BX209))),10,35)))))))+_xlfn.XLOOKUP(B209,'Base stats'!B:B,'Base stats'!Q:Q)</f>
        <v>35</v>
      </c>
      <c r="N209" s="8" t="str">
        <f>IF(
_xlfn.XLOOKUP(
_xlfn.XLOOKUP(B209,'Base stats'!B:B,'Base stats'!E:E),
Groups!A:A,
Groups!L:L
)=1,
MIN(
MROUND(
IF(
_xlfn.XLOOKUP(B209,'Animals CE'!B:B,'Animals CE'!Z:Z)&lt;=1.5,
_xlfn.XLOOKUP(B209,'Animals CE'!B:B,'Animals CE'!Z:Z)/2+0.05,
0.8+
(_xlfn.XLOOKUP(B209,'Animals CE'!B:B,'Animals CE'!Z:Z)-1.5)
*0.02
),
0.05
),
200%
),
"No"
)</f>
        <v>No</v>
      </c>
      <c r="O209" s="8" t="str">
        <f>IF(
_xlfn.XLOOKUP(
_xlfn.XLOOKUP(B209,'Base stats'!B:B,'Base stats'!E:E),
Groups!A:A,
Groups!L:L
)=1,
MIN(
MROUND(
IF(
_xlfn.XLOOKUP(B209,'Animals CE'!B:B,'Animals CE'!AA:AA)&lt;=1.5,
_xlfn.XLOOKUP(B209,'Animals CE'!B:B,'Animals CE'!AA:AA)/2+0.05,
0.8+
(_xlfn.XLOOKUP(B209,'Animals CE'!B:B,'Animals CE'!AA:AA)-1.5)
*0.02
),
0.05
),
200%
),
"No"
)</f>
        <v>No</v>
      </c>
      <c r="P209" s="2">
        <f>_xlfn.XLOOKUP(B209,'Base stats'!B:B,'Base stats'!R:R)</f>
        <v>1</v>
      </c>
      <c r="Q209" s="13">
        <f>MROUND((LOG10(_xlfn.XLOOKUP(B209,'Base stats'!B:B,'Base stats'!AR:AR))*(AO209^0.5)+(_xlfn.XLOOKUP(B209,'Base stats'!B:B,'Base stats'!AR:AR)/1000)^(2/3)+_xlfn.XLOOKUP(B209,'Base stats'!B:B,'Base stats'!BA:BA)/2)+0.5,0.5)</f>
        <v>14.5</v>
      </c>
      <c r="R209" s="7">
        <f>IF(Q209="No","No",MAX(1,MROUND(_xlfn.XLOOKUP(B209,'Base stats'!B:B,'Base stats'!C:C)^0.165,0.05)))</f>
        <v>2.7</v>
      </c>
      <c r="S209" s="13">
        <f>IF(_xlfn.XLOOKUP(_xlfn.XLOOKUP(B209,'Base stats'!B:B,'Base stats'!E:E),Groups!A:A,Groups!P:P)=0,"No",MROUND((LOG10(_xlfn.XLOOKUP(B209,'Base stats'!B:B,'Base stats'!AS:AS))*(AO209^0.5)+(_xlfn.XLOOKUP(B209,'Base stats'!B:B,'Base stats'!AS:AS)/1000)^(2/3)+_xlfn.XLOOKUP(B209,'Base stats'!B:B,'Base stats'!BA:BA))+_xlfn.XLOOKUP(B209,'Base stats'!B:B,'Base stats'!AY:AY)+0.5,0.5))</f>
        <v>18</v>
      </c>
      <c r="T209" s="7">
        <f>IF(S209="No","No",MAX(_xlfn.XLOOKUP(_xlfn.XLOOKUP(B209,'Base stats'!B:B,'Base stats'!E:E),Groups!A:A,Groups!Q:Q),MROUND(_xlfn.XLOOKUP(_xlfn.XLOOKUP(B209,'Base stats'!B:B,'Base stats'!E:E),Groups!A:A,Groups!Q:Q)*_xlfn.XLOOKUP(B209,'Base stats'!B:B,'Base stats'!C:C)^0.165,0.05)))</f>
        <v>2.7</v>
      </c>
      <c r="U209" s="7" t="str">
        <f>IF(S209="No","No",_xlfn.XLOOKUP(_xlfn.XLOOKUP(B209,'Base stats'!B:B,'Base stats'!E:E),Groups!A:A,Groups!R:R))</f>
        <v>FrontLeftLeg, FrontRightLeg</v>
      </c>
      <c r="V209" s="7" t="str">
        <f>IF(S209="No","No",_xlfn.XLOOKUP(_xlfn.XLOOKUP(B209,'Base stats'!B:B,'Base stats'!E:E),Groups!A:A,Groups!S:S))</f>
        <v>left hoof, right hoof</v>
      </c>
      <c r="W209" s="7" t="str">
        <f>IF(S209="No","No",_xlfn.XLOOKUP(_xlfn.XLOOKUP(B209,'Base stats'!B:B,'Base stats'!E:E),Groups!A:A,Groups!T:T))</f>
        <v>Blunt</v>
      </c>
      <c r="X209" s="13">
        <f>IF(_xlfn.XLOOKUP(B209,'Base stats'!B:B,'Base stats'!W:W)="No","No",MROUND((LOG10(_xlfn.XLOOKUP(B209,'Base stats'!B:B,'Base stats'!AU:AU))*(AO209^0.5)+(_xlfn.XLOOKUP(B209,'Base stats'!B:B,'Base stats'!AU:AU)/1000)^(2/3)+_xlfn.XLOOKUP(B209,'Base stats'!B:B,'Base stats'!AZ:AZ))+0.5+IF(_xlfn.XLOOKUP(_xlfn.XLOOKUP(B209,'Base stats'!B:B,'Base stats'!E:E),Groups!A:A,Groups!U:U)&lt;&gt;3,_xlfn.XLOOKUP(B209,'Base stats'!B:B,'Base stats'!BA:BA),0),0.5))</f>
        <v>16.5</v>
      </c>
      <c r="Y209" s="7">
        <f>IF(X209="No","No",MAX(_xlfn.XLOOKUP(_xlfn.XLOOKUP(B209,'Base stats'!B:B,'Base stats'!E:E),Groups!A:A,Groups!V:V),MROUND(_xlfn.XLOOKUP(_xlfn.XLOOKUP(B209,'Base stats'!B:B,'Base stats'!E:E),Groups!A:A,Groups!V:V)*_xlfn.XLOOKUP(B209,'Base stats'!B:B,'Base stats'!C:C)^0.165,0.05)))</f>
        <v>2.3000000000000003</v>
      </c>
      <c r="Z209" s="7" t="str">
        <f>IF(X209="No","No",_xlfn.XLOOKUP(_xlfn.XLOOKUP(B209,'Base stats'!B:B,'Base stats'!E:E),Groups!A:A,Groups!W:W))</f>
        <v>HeadAttackTool</v>
      </c>
      <c r="AA209" s="7" t="str">
        <f>IF(X209="No","No",_xlfn.XLOOKUP(_xlfn.XLOOKUP(B209,'Base stats'!B:B,'Base stats'!E:E),Groups!A:A,Groups!X:X))</f>
        <v>horn</v>
      </c>
      <c r="AB209" s="7" t="str">
        <f>IF(X209="No","No",_xlfn.XLOOKUP(_xlfn.XLOOKUP(B209,'Base stats'!B:B,'Base stats'!E:E),Groups!A:A,Groups!Y:Y))</f>
        <v>Scratch</v>
      </c>
      <c r="AC209" s="7" t="str">
        <f>_xlfn.XLOOKUP(Animals!B209,'Base stats'!B:B,'Base stats'!X:X)</f>
        <v>False</v>
      </c>
      <c r="AD209" s="13" t="str">
        <f>IF(_xlfn.XLOOKUP(B209,'Base stats'!B:B,'Base stats'!AT:AT)="No","No",MROUND((LOG10(_xlfn.XLOOKUP(B209,'Base stats'!B:B,'Base stats'!AT:AT))*(AO209^0.75)+(_xlfn.XLOOKUP(B209,'Base stats'!B:B,'Base stats'!AT:AT)/1000)^(2/3)+_xlfn.XLOOKUP(B209,'Base stats'!B:B,'Base stats'!AX:AX)+_xlfn.XLOOKUP(B209,'Base stats'!B:B,'Base stats'!BA:BA))+0.5,0.5))</f>
        <v>No</v>
      </c>
      <c r="AE209" s="7" t="str">
        <f>IF(AD209="No","No",MAX(_xlfn.XLOOKUP(_xlfn.XLOOKUP(B209,'Base stats'!B:B,'Base stats'!E:E),Groups!A:A,Groups!Z:Z),MROUND(_xlfn.XLOOKUP(_xlfn.XLOOKUP(B209,'Base stats'!B:B,'Base stats'!E:E),Groups!A:A,Groups!Z:Z)*_xlfn.XLOOKUP(B209,'Base stats'!B:B,'Base stats'!C:C)^0.165,0.05)))</f>
        <v>No</v>
      </c>
      <c r="AF209" s="7" t="str">
        <f>IF(AD209="No","No",_xlfn.XLOOKUP(_xlfn.XLOOKUP(B209,'Base stats'!B:B,'Base stats'!E:E),Groups!A:A,Groups!AA:AA))</f>
        <v>No</v>
      </c>
      <c r="AG209" s="7" t="str">
        <f>IF(AD209="No","No",_xlfn.XLOOKUP(_xlfn.XLOOKUP(B209,'Base stats'!B:B,'Base stats'!E:E),Groups!A:A,Groups!AB:AB))</f>
        <v>No</v>
      </c>
      <c r="AH209" s="7" t="str">
        <f>IF(AD209="No","No",_xlfn.XLOOKUP(_xlfn.XLOOKUP(B209,'Base stats'!B:B,'Base stats'!E:E),Groups!A:A,Groups!AC:AC))</f>
        <v>No</v>
      </c>
      <c r="AI209" s="13" t="str">
        <f>IF(_xlfn.XLOOKUP(_xlfn.XLOOKUP(B209,'Base stats'!B:B,'Base stats'!E:E),Groups!A:A,Groups!AD:AD)=0,"No",MROUND((LOG10(_xlfn.XLOOKUP(B209,'Base stats'!B:B,'Base stats'!AS:AS))*(AO209^0.75)+(_xlfn.XLOOKUP(B209,'Base stats'!B:B,'Base stats'!AS:AS)/1000)^(2/3)+_xlfn.XLOOKUP(B209,'Base stats'!B:B,'Base stats'!AY:AY)+_xlfn.XLOOKUP(B209,'Base stats'!B:B,'Base stats'!BA:BA))+0.5,0.5))</f>
        <v>No</v>
      </c>
      <c r="AJ209" s="7" t="str">
        <f>IF(AI209="No","No",MAX(_xlfn.XLOOKUP(_xlfn.XLOOKUP(B209,'Base stats'!B:B,'Base stats'!E:E),Groups!A:A,Groups!AE:AE),MROUND(_xlfn.XLOOKUP(_xlfn.XLOOKUP(B209,'Base stats'!B:B,'Base stats'!E:E),Groups!A:A,Groups!AE:AE)*IF(_xlfn.XLOOKUP(_xlfn.XLOOKUP(B209,'Base stats'!B:B,'Base stats'!E:E),Groups!A:A,Groups!AJ:AJ)="Photonozoa",0.6,1)*_xlfn.XLOOKUP(B209,'Base stats'!B:B,'Base stats'!C:C)^0.165,0.05)))</f>
        <v>No</v>
      </c>
      <c r="AK209" s="7" t="str">
        <f>IF(AI209="No","No",_xlfn.XLOOKUP(_xlfn.XLOOKUP(B209,'Base stats'!B:B,'Base stats'!E:E),Groups!A:A,Groups!AF:AF))</f>
        <v>No</v>
      </c>
      <c r="AL209" s="7" t="str">
        <f>IF(AI209="No","No",_xlfn.XLOOKUP(_xlfn.XLOOKUP(B209,'Base stats'!B:B,'Base stats'!E:E),Groups!A:A,Groups!AG:AG))</f>
        <v>No</v>
      </c>
      <c r="AM209" s="7" t="str">
        <f>IF(AI209="No","No",_xlfn.XLOOKUP(_xlfn.XLOOKUP(B209,'Base stats'!B:B,'Base stats'!E:E),Groups!A:A,Groups!AH:AH))</f>
        <v>No</v>
      </c>
      <c r="AN209" s="2" t="str">
        <f t="shared" si="21"/>
        <v>No</v>
      </c>
      <c r="AO209" s="2">
        <f>MROUND(IF(AND(_xlfn.XLOOKUP(B209,'Base stats'!B:B,'Base stats'!C:C)&gt;=0.5,_xlfn.XLOOKUP(B209,'Base stats'!B:B,'Base stats'!C:C)&lt;=0.8),
IF(_xlfn.XLOOKUP(B209,'Base stats'!B:B,'Base stats'!C:C)&lt;0.1,0.05,IF(_xlfn.XLOOKUP(B209,'Base stats'!B:B,'Base stats'!C:C)&lt;=70,(_xlfn.XLOOKUP(B209,'Base stats'!B:B,'Base stats'!C:C)/70)^0.426489913056526,IF(_xlfn.XLOOKUP(B209,'Base stats'!B:B,'Base stats'!C:C)&lt;=400,(_xlfn.XLOOKUP(B209,'Base stats'!B:B,'Base stats'!C:C)/70)^0.572811455315093,IF(_xlfn.XLOOKUP(B209,'Base stats'!B:B,'Base stats'!C:C)&lt;=2000,2.71391647193063*(_xlfn.XLOOKUP(B209,'Base stats'!B:B,'Base stats'!C:C)/400)^0.252459582904293,3.74314280240376*(_xlfn.XLOOKUP(B209,'Base stats'!B:B,'Base stats'!C:C)/2000)^0.357012633876913)))),
IF(_xlfn.XLOOKUP(B209,'Base stats'!B:B,'Base stats'!C:C)&lt;0.1,0.05,IF(_xlfn.XLOOKUP(B209,'Base stats'!B:B,'Base stats'!C:C)&lt;0.4,0.1,IF(_xlfn.XLOOKUP(B209,'Base stats'!B:B,'Base stats'!C:C)&lt;=70,(_xlfn.XLOOKUP(B209,'Base stats'!B:B,'Base stats'!C:C)/70)^0.445823913056526,IF(_xlfn.XLOOKUP(B209,'Base stats'!B:B,'Base stats'!C:C)&lt;=400,(_xlfn.XLOOKUP(B209,'Base stats'!B:B,'Base stats'!C:C)/70)^0.572811455315093,IF(_xlfn.XLOOKUP(B209,'Base stats'!B:B,'Base stats'!C:C)&lt;=2000,2.71391647193063*(_xlfn.XLOOKUP(B209,'Base stats'!B:B,'Base stats'!C:C)/400)^0.252459582904293,3.74314280240376*(_xlfn.XLOOKUP(B209,'Base stats'!B:B,'Base stats'!C:C)/2000)^0.357012633876913)))))),
IF(_xlfn.XLOOKUP(B209,'Base stats'!B:B,'Base stats'!C:C)&lt;0.1,0.05,IF(_xlfn.XLOOKUP(B209,'Base stats'!B:B,'Base stats'!C:C)&lt;=100,0.05,IF(_xlfn.XLOOKUP(B209,'Base stats'!B:B,'Base stats'!C:C)&lt;=250,0.1,IF(_xlfn.XLOOKUP(B209,'Base stats'!B:B,'Base stats'!C:C)&lt;=4000,0.25,0.5)))))</f>
        <v>2.75</v>
      </c>
      <c r="AP209" s="8">
        <f>MROUND(AO209*_xlfn.XLOOKUP(_xlfn.XLOOKUP(B209,'Base stats'!B:B,'Base stats'!E:E),Groups!A:A,Groups!AI:AI)*_xlfn.XLOOKUP(B209,'Base stats'!B:B,'Base stats'!Z:Z),0.05)</f>
        <v>2.75</v>
      </c>
      <c r="AQ209" s="8">
        <f>MAX(0.01,MROUND(IF(CC209="True",0.196*(AO209*100*1000)^0.889,IF(_xlfn.XLOOKUP(_xlfn.XLOOKUP(B209,'Base stats'!B:B,'Base stats'!E:E),Groups!A:A,Groups!AJ:AJ)="Bird",10.5*(AO209*100*1000)^0.681,4.82*(AO209*100*1000)^0.734))/(4.82*(1*100*1000)^0.734)/IF(AO209&lt;3.5,2,IF(AO209=3.5,1.5,1.25))*(1+0.132282374779864/(AO209^0.994035016789033+0.00905238001496948)),0.05))</f>
        <v>1.1000000000000001</v>
      </c>
      <c r="AR209" s="9">
        <f>IFERROR(MROUND(_xlfn.XLOOKUP(B209,'Base stats'!B:B,'Base stats'!H:H)/IF(_xlfn.XLOOKUP(B209,'Base stats'!B:B,'Base stats'!I:I)&lt;&gt;1,(122.5/70),1.2),IF(_xlfn.XLOOKUP(B209,'Base stats'!B:B,'Base stats'!H:H)&gt;=30,5,IF(_xlfn.XLOOKUP(B209,'Base stats'!B:B,'Base stats'!H:H)&gt;=15,3,IF(_xlfn.XLOOKUP(B209,'Base stats'!B:B,'Base stats'!H:H)&gt;=10,2,1)))),"Immortal")</f>
        <v>15</v>
      </c>
      <c r="AS209" s="35">
        <f>IFERROR(IF(OR(_xlfn.XLOOKUP(B209,'Base stats'!B:B,'Base stats'!F:F)="Atypical reproduction",_xlfn.XLOOKUP(B209,'Base stats'!B:B,'Base stats'!F:F)="Lay eggs"),"Lay eggs",MIN(20,MAX(5.5,ROUND(((_xlfn.XLOOKUP(B209,'Base stats'!B:B,'Base stats'!F:F)-25)*(14.5/615) + 5.5)*2,0)/2))),"Unknown")</f>
        <v>10.5</v>
      </c>
      <c r="AT209" s="8">
        <f>IF(_xlfn.XLOOKUP(B209,'Base stats'!B:B,'Base stats'!G:G)="Atypical reproduction","No",IFERROR(MAX(IF(_xlfn.XLOOKUP(B209,'Base stats'!B:B,'Base stats'!G:G)&lt;0.5,0.2,0.3),MROUND(_xlfn.XLOOKUP(B209,'Base stats'!B:B,'Base stats'!G:G)/(365/60),0.2)),"Unknown"))</f>
        <v>0.4</v>
      </c>
      <c r="AU209" s="8">
        <f t="shared" si="22"/>
        <v>0.2</v>
      </c>
      <c r="AV209" s="8">
        <f>IFERROR(IFERROR(MROUND(_xlfn.XLOOKUP(B209,'Base stats'!B:B,'Base stats'!J:J),0.1),"Lay eggs"),"Cannot breed")</f>
        <v>1</v>
      </c>
      <c r="AW209" s="2" t="str">
        <f t="shared" si="23"/>
        <v>true</v>
      </c>
      <c r="AX209" s="2" t="str">
        <f>IF(_xlfn.XLOOKUP(_xlfn.XLOOKUP(Animals!B209,'Base stats'!B:B,'Base stats'!E:E),Groups!A:A,Groups!AK:AK)=1,"true","false")</f>
        <v>true</v>
      </c>
      <c r="AY209" s="25" t="str">
        <f>IF(_xlfn.XLOOKUP(B209,'Base stats'!B:B,'Base stats'!Y:Y)="Liquor","Liquor, CarnivoreAnimalStrict",IF(AND(_xlfn.XLOOKUP(B209,'Base stats'!B:B,'Base stats'!Y:Y)="Carnivore",_xlfn.XLOOKUP(_xlfn.XLOOKUP(B209,'Base stats'!B:B,'Base stats'!E:E),Groups!A:A,Groups!AJ:AJ)="Photonozoa"),"CarnivoreAnimalStrict, OvivoreAnimal",IF(_xlfn.XLOOKUP(B209,'Base stats'!B:B,'Base stats'!Y:Y)="Carnivore","CarnivoreAnimal, OvivoreAnimal",IF(_xlfn.XLOOKUP(B209,'Base stats'!B:B,'Base stats'!Y:Y)="Dendrovore","VegetarianRoughAnimal, DendrovoreAnimal",IF(_xlfn.XLOOKUP(B209,'Base stats'!B:B,'Base stats'!Y:Y)="Herbivore","VegetarianRoughAnimal",IF(_xlfn.XLOOKUP(B209,'Base stats'!B:B,'Base stats'!Y:Y)="OmnivoreRough","OmnivoreRoughAnimal, OvivoreAnimal","OmnivoreAnimal, OvivoreAnimal"))))))</f>
        <v>VegetarianRoughAnimal</v>
      </c>
      <c r="AZ209" s="2">
        <f>IF(_xlfn.XLOOKUP(_xlfn.XLOOKUP(B209,'Base stats'!B:B,'Base stats'!E:E),Groups!A:A,Groups!D:D)=1,MROUND((1-J209)*5+1,2)*IF(J209&lt;=0.4,2,1),"No")</f>
        <v>2</v>
      </c>
      <c r="BA209" s="2" t="str">
        <f>IF(AND(_xlfn.XLOOKUP(B209,'Base stats'!B:B,'Base stats'!AH:AH)="&lt;li&gt;Seal&lt;/li&gt;",G209="Odyssey"),"&lt;li&gt;AEXP_Seal&lt;/li&gt;",_xlfn.XLOOKUP(B209,'Base stats'!B:B,'Base stats'!AH:AH))</f>
        <v>No</v>
      </c>
      <c r="BB209" s="2" t="str">
        <f>_xlfn.XLOOKUP(B209,'Base stats'!B:B,'Base stats'!AG:AG)</f>
        <v>VAEWaste_ToxicLeather</v>
      </c>
      <c r="BC209" s="23" t="str">
        <f>_xlfn.XLOOKUP(_xlfn.XLOOKUP(B209,'Base stats'!B:B,'Base stats'!E:E),Groups!A:A,Groups!AL:AL)</f>
        <v>QuadrupedAnimalWithHooves</v>
      </c>
      <c r="BD209" s="23">
        <f>MIN(1,MROUND(IF(AND(AO209&lt;0.5,_xlfn.XLOOKUP(B209,'Base stats'!B:B,'Base stats'!AA:AA)=0),0,IF(OR(_xlfn.XLOOKUP(Animals!B209,'Base stats'!B:B,'Base stats'!O:O)=2,_xlfn.XLOOKUP(_xlfn.XLOOKUP(B209,'Base stats'!B:B,'Base stats'!E:E),Groups!A:A,Groups!AN:AN)=0),0,_xlfn.XLOOKUP(_xlfn.XLOOKUP(B209,'Base stats'!B:B,'Base stats'!E:E),Groups!A:A,Groups!AN:AN)/IF(_xlfn.XLOOKUP(Animals!B209,'Base stats'!B:B,'Base stats'!O:O)=1,2,1)))+_xlfn.XLOOKUP(B209,'Base stats'!B:B,'Base stats'!AC:AC),0.005))</f>
        <v>2.5000000000000001E-2</v>
      </c>
      <c r="BE209" s="23">
        <f>MIN(1,MROUND(IF(AND(AO209&lt;0.5,_xlfn.XLOOKUP(B209,'Base stats'!B:B,'Base stats'!AA:AA)=0),0,IF(_xlfn.XLOOKUP(_xlfn.XLOOKUP(B209,'Base stats'!B:B,'Base stats'!E:E),Groups!A:A,Groups!AO:AO)=0,0,_xlfn.XLOOKUP(_xlfn.XLOOKUP(B209,'Base stats'!B:B,'Base stats'!E:E),Groups!A:A,Groups!AO:AO)/IF(_xlfn.XLOOKUP(Animals!B209,'Base stats'!B:B,'Base stats'!O:O)=2,3,1)))+_xlfn.XLOOKUP(B209,'Base stats'!B:B,'Base stats'!AD:AD),0.005))</f>
        <v>0.1</v>
      </c>
      <c r="BF209" s="2" t="str">
        <f>IF(J209&gt;0.3,"No",_xlfn.XLOOKUP(_xlfn.XLOOKUP(Animals!B209,'Base stats'!B:B,'Base stats'!E:E),Groups!A:A,Groups!AP:AP))</f>
        <v>No</v>
      </c>
      <c r="BG209" s="2" t="str">
        <f>IF(AND(J209&lt;=0.65,_xlfn.XLOOKUP(_xlfn.XLOOKUP(Animals!B209,'Base stats'!B:B,'Base stats'!E:E),Groups!A:A,Groups!AP:AP)&lt;&gt;"No",_xlfn.XLOOKUP(_xlfn.XLOOKUP(B209,'Base stats'!B:B,'Base stats'!E:E),Groups!A:A,Groups!D:D)=0),MROUND((80/3)*IF(_xlfn.XLOOKUP(B209,'Base stats'!B:B,'Base stats'!O:O)=2,0.2,AO209) + 24*(1-IF(BF209="No",0,BF209)) + 16/3, 12),"No")</f>
        <v>No</v>
      </c>
      <c r="BH209" s="2">
        <f>IF(AND(_xlfn.XLOOKUP(_xlfn.XLOOKUP(B209,'Base stats'!B:B,'Base stats'!E:E),Groups!A:A,Groups!AQ:AQ)=1,AO209&lt;=0.35),8,12)</f>
        <v>12</v>
      </c>
      <c r="BI209" s="2" t="str">
        <f>IF(_xlfn.XLOOKUP(_xlfn.XLOOKUP(B209,'Base stats'!B:B,'Base stats'!E:E),Groups!A:A,Groups!D:D)=0,_xlfn.XLOOKUP(_xlfn.XLOOKUP(B209,'Base stats'!B:B,'Base stats'!E:E),Groups!A:A,Groups!AR:AR),"None")</f>
        <v>None</v>
      </c>
      <c r="BJ209" s="2" t="str">
        <f>IF(AND(_xlfn.XLOOKUP(_xlfn.XLOOKUP(B209,'Base stats'!B:B,'Base stats'!E:E),Groups!A:A,Groups!AS:AS)=1,OR(_xlfn.XLOOKUP(B209,'Base stats'!B:B,'Base stats'!Y:Y)="Carnivore",_xlfn.XLOOKUP(B209,'Base stats'!B:B,'Base stats'!Y:Y)="Omnivore")),"true","false")</f>
        <v>false</v>
      </c>
      <c r="BK209" s="2" t="str">
        <f>IF(BJ209="true",MROUND(IF(AND(AO209&gt;0.5,OR(_xlfn.XLOOKUP(_xlfn.XLOOKUP(B209,'Base stats'!B:B,'Base stats'!E:E),Groups!A:A,Groups!AJ:AJ)="Photonozoa",_xlfn.XLOOKUP(_xlfn.XLOOKUP(B209,'Base stats'!B:B,'Base stats'!E:E),Groups!A:A,Groups!AJ:AJ)="Mammal")),Animals!AO209*1.75*IF(AW209="true",1.5,1),IF(AO209&lt;0.5,Animals!AO209*0.5,Animals!AO209)),IF(AO209&gt;2,0.5,IF(AO209&gt;0.5,0.25,0.1))),"No")</f>
        <v>No</v>
      </c>
      <c r="BL209" s="2">
        <f t="shared" si="24"/>
        <v>0</v>
      </c>
      <c r="BM209" s="25" t="str">
        <f>IF(_xlfn.XLOOKUP(B209,'Base stats'!B:B,'Base stats'!AN:AN)="Standard","No",MROUND((_xlfn.XLOOKUP(B209,'Base stats'!B:B,'Base stats'!AN:AN)/3.6)/I209,0.1))</f>
        <v>No</v>
      </c>
      <c r="BN209" s="25" t="str">
        <f t="shared" si="25"/>
        <v>false</v>
      </c>
      <c r="BO209" s="25" t="str">
        <f>IF(AND(OR(_xlfn.XLOOKUP(B209,'Base stats'!B:B,'Base stats'!Y:Y)="Carnivore",_xlfn.XLOOKUP(B209,'Base stats'!B:B,'Base stats'!Y:Y)="Omnivore",_xlfn.XLOOKUP(B209,'Base stats'!B:B,'Base stats'!Y:Y)="OmnivoreRough"),_xlfn.XLOOKUP(_xlfn.XLOOKUP(B209,'Base stats'!B:B,'Base stats'!E:E),Groups!A:A,Groups!AT:AT)=1),"true","false")</f>
        <v>false</v>
      </c>
      <c r="BP209" s="25" t="str" cm="1">
        <f t="array" ref="BP209">IF(
  _xlfn.TEXTJOIN(", ",TRUE,
    IF(AND(BJ209="true",AO209&gt;0.5,BI209&lt;&gt;"None"),"AttackTarget",""),
    IF(AND(_xlfn.XLOOKUP(_xlfn.XLOOKUP(B209,'Base stats'!B:B,'Base stats'!E:E),Groups!A:A,Groups!AJ:AJ="Mammal"),OR(_xlfn.XLOOKUP(B209,'Base stats'!B:B,'Base stats'!Y:Y)="Omnivore",_xlfn.XLOOKUP(B209,'Base stats'!B:B,'Base stats'!Y:Y)="OmnivoreRough")),"Forage",""),
    IF(BG209&lt;=36,"Comfort",""),
    IF(_xlfn.XLOOKUP(B209,'Base stats'!B:B,'Base stats'!AE:AE)&lt;&gt;"No",_xlfn.XLOOKUP(B209,'Base stats'!B:B,'Base stats'!AE:AE),"")
  ) = "",
  "No",
  _xlfn.TEXTJOIN(", ",TRUE,
    IF(AND(BJ209="true",AO209&gt;0.5,BI209&lt;&gt;"None"),"AttackTarget",""),
    IF(AND(_xlfn.XLOOKUP(_xlfn.XLOOKUP(B209,'Base stats'!B:B,'Base stats'!E:E),Groups!A:A,Groups!AJ:AJ="Mammal"),OR(_xlfn.XLOOKUP(B209,'Base stats'!B:B,'Base stats'!Y:Y)="Omnivore",_xlfn.XLOOKUP(B209,'Base stats'!B:B,'Base stats'!Y:Y)="OmnivoreRough")),"Forage",""),
    IF(BG209&lt;=36,"Comfort",""),
    IF(_xlfn.XLOOKUP(B209,'Base stats'!B:B,'Base stats'!AE:AE)&lt;&gt;"No",_xlfn.XLOOKUP(B209,'Base stats'!B:B,'Base stats'!AE:AE),"")
  )
)</f>
        <v>No</v>
      </c>
      <c r="BQ209" s="25" t="str">
        <f>IF(
   AND(
      'Base stats'!AN209="Standard",_xlfn.XLOOKUP(_xlfn.XLOOKUP(B209,'Base stats'!B:B,'Base stats'!E:E),Groups!A:A,Groups!AU:AU)=0,
      OR(
      BO209="True"
      )
   ),
   10,
   IF(
       OR(BM209&lt;&gt;"No",_xlfn.XLOOKUP(_xlfn.XLOOKUP(B209,'Base stats'!B:B,'Base stats'!E:E),Groups!A:A,Groups!AU:AU)=1),
      1,
      "No"
   )
)</f>
        <v>No</v>
      </c>
      <c r="BR209" s="9">
        <f>MROUND((1 + ((0.2*IF(OR(Q209="No",R209="No",R209=0),0,Q209/R209)
+IF(OR(V209="No",S209="No",T209="No"),0,S209/T209*(LEN(V209)-LEN(SUBSTITUTE(V209,",",""))+1))
+IF(OR(X209="No",Y209="No"),0,X209/Y209)
+IF(OR(AD209="No",AE209="No"),0,AD209/AE209)
+IF(OR(AL209="No",AI209="No",AJ209="No"),0,AI209/AJ209*(LEN(AL209)-LEN(SUBSTITUTE(AL209,",",""))+1))
)/(0.2*IF(OR(Q209="No",R209="No",R209=0),0,1)
+IF(OR(V209="No",S209="No",T209="No"),0,LEN(V209)-LEN(SUBSTITUTE(V209,",",""))+1)
+IF(OR(X209="No",Y209="No"),0,1)
+IF(OR(AD209="No",AE209="No"),0,1)
+IF(OR(AL209="No",AI209="No",AJ209="No"),0,LEN(AL209)-LEN(SUBSTITUTE(AL209,",",""))+1))*62%)* 2)*(1 + (AP209 / (IF(_xlfn.XLOOKUP(_xlfn.XLOOKUP(B209,'Base stats'!B:B,'Base stats'!E:E),Groups!A:A,Groups!AJ:AJ)="Photonozoa",0.3,1)) + _xlfn.XLOOKUP(B209,'Base stats'!B:B,'Base stats'!AV:AV) * 1.8) * 2) * 2.5 + 10 + I209 * 2,5)+IF(_xlfn.XLOOKUP(B209,'Base stats'!B:B,'Base stats'!AK:AK)=1,50,0)</f>
        <v>175</v>
      </c>
      <c r="BS209" s="8">
        <f t="shared" si="26"/>
        <v>1.4500000000000002</v>
      </c>
      <c r="BT209" s="8" t="str">
        <f>_xlfn.XLOOKUP(B209,'Base stats'!B:B,'Base stats'!AF:AF)</f>
        <v>3~10</v>
      </c>
      <c r="BU209" s="2" t="str">
        <f>IF(AND(J209&lt;=0.95,OR(_xlfn.XLOOKUP(B209,'Base stats'!B:B,'Base stats'!AK:AK)=1,_xlfn.XLOOKUP(B209,'Base stats'!B:B,'Base stats'!Y:Y)="Carnivore",_xlfn.XLOOKUP(B209,'Base stats'!B:B,'Base stats'!Y:Y)="Omnivore",BE209&gt;0.1)),"true","false")</f>
        <v>false</v>
      </c>
      <c r="BV209" s="2" t="str">
        <f>IF(_xlfn.XLOOKUP(B209,'Base stats'!B:B,'Base stats'!AI:AI)=1,"true","false")</f>
        <v>true</v>
      </c>
      <c r="BW209" s="25" t="str">
        <f>IF(E209="BaseInsect","AnimalInsect",
IF(J209&gt;0.95,"AnimalExotic",
_xlfn.TEXTJOIN(", ",TRUE,
IF(OR(_xlfn.XLOOKUP(B209,'Base stats'!B:B,'Base stats'!AM:AM)=1,AND(_xlfn.XLOOKUP(B209,'Base stats'!B:B,'Base stats'!O:O)=0,_xlfn.XLOOKUP(_xlfn.XLOOKUP(B209,'Base stats'!B:B,'Base stats'!E:E),Groups!A:A,Groups!B:B)&gt;0)),"AnimalUncommon","AnimalCommon"),
IF(AND(_xlfn.XLOOKUP(B209,'Base stats'!B:B,'Base stats'!O:O)=2,_xlfn.XLOOKUP(_xlfn.XLOOKUP(B209,'Base stats'!B:B,'Base stats'!E:E),Groups!A:A,Groups!D:D)=0),"AnimalPet",IF(AND(_xlfn.XLOOKUP(B209,'Base stats'!B:B,'Base stats'!O:O)&lt;&gt;0,_xlfn.XLOOKUP(_xlfn.XLOOKUP(B209,'Base stats'!B:B,'Base stats'!E:E),Groups!A:A,Groups!D:D)&lt;&gt;0),"AnimalFarm","")),
IF(OR(_xlfn.XLOOKUP(B209,'Base stats'!B:B,'Base stats'!AK:AK)=1,AND(BI209&lt;&gt;"None",BR209&gt;=60),ISNUMBER(SEARCH("Attack target",BP209))),"AnimalFighter","")
)))</f>
        <v>AnimalCommon</v>
      </c>
      <c r="BX209" s="25" t="str">
        <f>IF(G209="None",TRIM(
SUBSTITUTE(
IF(COUNTIF(Biomes!B$2:B$259,"="&amp;$C209)&gt;0,Biomes!B$1&amp;", ","")&amp;
IF(COUNTIF(Biomes!C$2:C$259,"="&amp;$C209)&gt;0,Biomes!C$1&amp;", ","")&amp;
IF(COUNTIF(Biomes!D$2:D$259,"="&amp;$C209)&gt;0,Biomes!D$1&amp;", ","")&amp;
IF(COUNTIF(Biomes!F$2:F$259,"="&amp;$C209)&gt;0,Biomes!F$1&amp;", ","")&amp;
IF(COUNTIF(Biomes!G$2:G$259,"="&amp;$C209)&gt;0,Biomes!G$1&amp;", ","")&amp;
IF(COUNTIF(Biomes!H$2:H$259,"="&amp;$C209)&gt;0,Biomes!H$1&amp;", ","")&amp;
IF(COUNTIF(Biomes!I$2:I$259,"="&amp;$C209)&gt;0,Biomes!I$1&amp;", ","")&amp;
IF(COUNTIF(Biomes!J$2:J$259,"="&amp;$C209)&gt;0,Biomes!J$1&amp;", ","")&amp;
IF(COUNTIF(Biomes!M$2:M$259,"="&amp;$C209)&gt;0,Biomes!M$1&amp;", ","")&amp;
IF(COUNTIF(Biomes!N$2:N$259,"="&amp;$C209)&gt;0,Biomes!N$1&amp;", ","")&amp;
IF(COUNTIF(Biomes!O$2:O$259,"="&amp;$C209)&gt;0,Biomes!O$1&amp;", ","")&amp;
IF(COUNTIF(Biomes!P$2:P$259,"="&amp;$C209)&gt;0,Biomes!P$1&amp;", ","")&amp;
IF(COUNTIF(Biomes!K$2:K$259,"="&amp;$C209)&gt;0,Biomes!K$1&amp;", ","")&amp;
IF(COUNTIF(Biomes!Q$3:Q$259,"="&amp;$C209)&gt;0,Biomes!Q$1&amp;", ","")&amp;
IF(COUNTIF(Biomes!L$2:L$259,"="&amp;$C209)&gt;0,Biomes!L$1&amp;", ","")&amp;
IF(COUNTIF(Biomes!E$2:E$259,"="&amp;$C209)&gt;0,Biomes!E$1&amp;", ","")&amp;IF(COUNTIF(Biomes!S$2:S$259,"="&amp;$C209)&gt;0,Biomes!S$1&amp;", ","")&amp;
IF(COUNTIF(Biomes!R$2:R$259,"="&amp;$C209)&gt;0,Biomes!R$1&amp;", ",""),", ","")
),_xlfn.XLOOKUP(B209,B:B,BX:BX))</f>
        <v>BorealForest ColdBog TemperateForest TemperateSwamp GlacialPlain Scarlands</v>
      </c>
      <c r="BY209" s="25" t="str">
        <f>IF(_xlfn.XLOOKUP(B209,'Base stats'!B:B,'Base stats'!AJ:AJ)=1,"true","false")</f>
        <v>false</v>
      </c>
      <c r="BZ209" s="25" t="str">
        <f>IF(_xlfn.XLOOKUP(B209,'Base stats'!B:B,'Base stats'!N:N)=1,"No",MAX(0.001,MIN(MROUND(IF(AND(BJ209="True",CC209="False"),POWER(10,3.47*LOG10(_xlfn.XLOOKUP(B209,'Base stats'!B:B,'Base stats'!C:C)*1000)^-0.96),POWER(10,4.15*LOG10(_xlfn.XLOOKUP(B209,'Base stats'!B:B,'Base stats'!C:C)*1000)^-0.73))*IF(_xlfn.XLOOKUP(B209,'Base stats'!B:B,'Base stats'!AK:AK)=1,0.5,1)*IF(_xlfn.XLOOKUP(B209,'Base stats'!B:B,'Base stats'!AM:AM)=1,0.1,1)/100,IF(_xlfn.XLOOKUP(B209,'Base stats'!B:B,'Base stats'!AM:AM)=1,0.001,0.025)),0.5)))</f>
        <v>No</v>
      </c>
      <c r="CA209" s="25">
        <f>IF(P209="Standard","No",MAX(0.001,MIN(MROUND(IF(AND(BJ209="True",CC209="False"),POWER(10,3.47*LOG10(_xlfn.XLOOKUP(B209,'Base stats'!B:B,'Base stats'!C:C)*1000)^-0.96),POWER(10,4.15*LOG10(_xlfn.XLOOKUP(B209,'Base stats'!B:B,'Base stats'!C:C)*1000)^-0.73))*IF(_xlfn.XLOOKUP(B209,'Base stats'!B:B,'Base stats'!AM:AM)=1,0.1,1)*_xlfn.XLOOKUP(B209,'Base stats'!B:B,'Base stats'!R:R)/100,IF(_xlfn.XLOOKUP(B209,'Base stats'!B:B,'Base stats'!AM:AM)=1,0.001,0.025)),0.5)))</f>
        <v>0.15000000000000002</v>
      </c>
      <c r="CB209" s="25" t="str">
        <f>IF(_xlfn.XLOOKUP(_xlfn.XLOOKUP(B209,'Base stats'!B:B,'Base stats'!E:E),Groups!A:A,Groups!AJ:AJ)="Mammal","True","False")</f>
        <v>True</v>
      </c>
      <c r="CC209" s="25" t="str">
        <f>IF(OR(_xlfn.XLOOKUP(_xlfn.XLOOKUP(B209,'Base stats'!B:B,'Base stats'!E:E),Groups!A:A,Groups!AJ:AJ)="Reptile",_xlfn.XLOOKUP(_xlfn.XLOOKUP(B209,'Base stats'!B:B,'Base stats'!E:E),Groups!A:A,Groups!AJ:AJ)="Amphibian",_xlfn.XLOOKUP(_xlfn.XLOOKUP(B209,'Base stats'!B:B,'Base stats'!E:E),Groups!A:A,Groups!AJ:AJ)="Invertebrate"),"True","False")</f>
        <v>False</v>
      </c>
      <c r="CD209" s="25" t="str">
        <f t="shared" si="27"/>
        <v>False</v>
      </c>
      <c r="CE209" s="25" t="str">
        <f>IF(_xlfn.XLOOKUP(_xlfn.XLOOKUP(B209,'Base stats'!B:B,'Base stats'!E:E),Groups!A:A,Groups!AX:AX),"True","False")</f>
        <v>False</v>
      </c>
      <c r="CF209" s="25" t="str">
        <f>IF(_xlfn.XLOOKUP(_xlfn.XLOOKUP(B209,'Base stats'!B:B,'Base stats'!E:E),Groups!A:A,Groups!AY:AY),"True","False")</f>
        <v>False</v>
      </c>
      <c r="CG209" s="25" t="str">
        <f>IF(_xlfn.XLOOKUP(_xlfn.XLOOKUP(B209,'Base stats'!B:B,'Base stats'!E:E),Groups!A:A,Groups!AW:AW),"True","False")</f>
        <v>False</v>
      </c>
      <c r="CH209" s="25" t="str">
        <f>IF(
OR(
_xlfn.XLOOKUP(_xlfn.XLOOKUP(B209,'Base stats'!B:B,'Base stats'!E:E),Groups!A:A,Groups!AZ:AZ)=0,
AND(
_xlfn.XLOOKUP(B209,'Base stats'!B:B,'Base stats'!Y:Y)&lt;&gt;"Carnivore",
_xlfn.XLOOKUP(B209,'Base stats'!B:B,'Base stats'!Y:Y)&lt;&gt;"Omnivore",
_xlfn.XLOOKUP(B209,'Base stats'!B:B,'Base stats'!Y:Y)&lt;&gt;"OmnivoreRough"
)
),
"No",
IF(
_xlfn.XLOOKUP(_xlfn.XLOOKUP(B209,'Base stats'!B:B,'Base stats'!E:E),Groups!A:A,Groups!AZ:AZ)=1,
"Flesh",
IF(
_xlfn.XLOOKUP(_xlfn.XLOOKUP(B209,'Base stats'!B:B,'Base stats'!E:E),Groups!A:A,Groups!AZ:AZ)=2,
"Bone",
""
)
)
)</f>
        <v>No</v>
      </c>
      <c r="CI209" s="25" t="str">
        <f>IF(_xlfn.XLOOKUP(_xlfn.XLOOKUP(B209,'Base stats'!B:B,'Base stats'!E:E),Groups!A:A,Groups!BB:BB),"True","False")</f>
        <v>True</v>
      </c>
      <c r="CJ209" s="25" t="str">
        <f>IF(_xlfn.XLOOKUP(_xlfn.XLOOKUP(B209,'Base stats'!B:B,'Base stats'!E:E),Groups!A:A,Groups!BA:BA),"True","False")</f>
        <v>False</v>
      </c>
    </row>
    <row r="210" spans="1:88" ht="16.5" thickTop="1" thickBot="1" x14ac:dyDescent="0.3">
      <c r="A210" s="26" t="s">
        <v>1331</v>
      </c>
      <c r="B210" s="6" t="str">
        <f>_xlfn.XLOOKUP(A210,'Base stats'!A:A,'Base stats'!B:B)</f>
        <v>Acanthamoeba gigantea (small)</v>
      </c>
      <c r="C210" s="28" t="s">
        <v>1328</v>
      </c>
      <c r="D210" s="28" t="s">
        <v>1341</v>
      </c>
      <c r="E210" s="28" t="s">
        <v>673</v>
      </c>
      <c r="F210" s="28" t="s">
        <v>673</v>
      </c>
      <c r="G210" s="28" t="s">
        <v>673</v>
      </c>
      <c r="H210" s="2">
        <f>MROUND((
  (IF(AND(_xlfn.XLOOKUP(B210,'Base stats'!B:B,'Base stats'!AL:AL)=0,BI210="None",_xlfn.XLOOKUP(_xlfn.XLOOKUP(B210,'Base stats'!B:B,'Base stats'!E:E),Groups!A:A,Groups!B:B)=0), (18 + BR210 * 2.7) * 0.5,
    IF(AND(_xlfn.XLOOKUP(B210,'Base stats'!B:B,'Base stats'!AL:AL)=0,OR(AO210&lt;0.55,AND(BI210="Intermediate",_xlfn.XLOOKUP(_xlfn.XLOOKUP(B210,'Base stats'!B:B,'Base stats'!E:E),Groups!A:A,Groups!B:B)&lt;2))), (18 + BR210 * 2.7),
      IF(OR(BI210="Advanced",_xlfn.XLOOKUP(B210,'Base stats'!B:B,'Base stats'!AL:AL)=1,_xlfn.XLOOKUP(_xlfn.XLOOKUP(B210,'Base stats'!B:B,'Base stats'!E:E),Groups!A:A,Groups!B:B)=2), (18 + BR210 * 2.7) + 250, (18 + BR210 * 2.7))
    )
  ))
  + AO210 * 80
  + IF(COUNTIF(EggMilk!K$2:K$998, A210) &gt; 0, 125, 0)
  + IF(COUNTIF(EggMilk!P$2:P$998, A210) &gt; 0, 90, 0)
  + IF(COUNTIF(EggMilk!A$2:A$998, A210) &gt; 0, 90, 0)
)
* (0.8 + 0.4 * J210)
* 0.75,25)</f>
        <v>125</v>
      </c>
      <c r="I210" s="2">
        <f>MROUND(ROUNDDOWN(_xlfn.XLOOKUP(B210,'Base stats'!B:B,'Base stats'!L:L)/3.6/(23.3/11),1),0.5)</f>
        <v>1.5</v>
      </c>
      <c r="J210" s="2">
        <f>IF(OR(_xlfn.XLOOKUP(B210,'Base stats'!B:B,'Base stats'!AB:AB)=1,_xlfn.XLOOKUP(_xlfn.XLOOKUP(B210,'Base stats'!B:B,'Base stats'!E:E),Groups!A:A,Groups!C:C)="Untamable"),1,IF(_xlfn.XLOOKUP(B210,'Base stats'!B:B,'Base stats'!AL:AL)=1,0.99,MIN(MROUND((1-0.6282*EXP(-0.459*AO210))*_xlfn.XLOOKUP(_xlfn.XLOOKUP(B210,'Base stats'!B:B,'Base stats'!E:E),Groups!A:A,Groups!C:C)*IF(_xlfn.XLOOKUP(B210,'Base stats'!B:B,'Base stats'!O:O)=1,0.5,IF(_xlfn.XLOOKUP(B210,'Base stats'!B:B,'Base stats'!O:O)=2,0,1)),0.05),IF(AO210&gt;3.5,0.985,0.95))))</f>
        <v>0.5</v>
      </c>
      <c r="K210" s="2">
        <f>ROUNDUP(AO210*_xlfn.XLOOKUP(_xlfn.XLOOKUP(B210,'Base stats'!B:B,'Base stats'!E:E),Groups!A:A,Groups!E:E),0)</f>
        <v>1</v>
      </c>
      <c r="L210" s="2">
        <f>IF(OR(_xlfn.XLOOKUP(_xlfn.XLOOKUP(B210,'Base stats'!B:B,'Base stats'!E:E),Groups!A:A,Groups!F:F)=2,ISNUMBER(SEARCH("SeaIce",BX210)),ISNUMBER(SEARCH("IceSheet",BX210))),-50,IF(OR(ISNUMBER(SEARCH("GlacialPlain",BX210)),ISNUMBER(SEARCH("Tundra",BX210))),-40,IF(OR(ISNUMBER(SEARCH("Alpine",BX210)),ISNUMBER(SEARCH("BorealForest",BX210)),ISNUMBER(SEARCH("ColdBog",BX210))),-30,IF(OR(ISNUMBER(SEARCH("TemperateForest",BX210)),ISNUMBER(SEARCH("TemperateSwamp",BX210))),-20,IF(_xlfn.XLOOKUP(_xlfn.XLOOKUP(B210,'Base stats'!B:B,'Base stats'!E:E),Groups!A:A,Groups!F:F)=1,-15,IF(OR(ISNUMBER(SEARCH("Desert",BX210)),ISNUMBER(SEARCH("ExtremeDesert",BX210))),-10,IF(OR(ISNUMBER(SEARCH("Grasslands",BX210)),ISNUMBER(SEARCH("TropicalRainforest",BX210)),ISNUMBER(SEARCH("TropicalSwamp",BX210))),10,0)))))))-IF(CC210="False",MIN(IFERROR(MAX(MROUND(LOG10(_xlfn.XLOOKUP(B210,'Base stats'!B:B,'Base stats'!C:C)^(2/3))*10,5),5),5),30))-_xlfn.XLOOKUP(B210,'Base stats'!B:B,'Base stats'!P:P)+IF(CC210="True",5,0)</f>
        <v>15</v>
      </c>
      <c r="M210" s="2">
        <f>IF(OR(_xlfn.XLOOKUP(_xlfn.XLOOKUP(B210,'Base stats'!B:B,'Base stats'!E:E),Groups!A:A,Groups!G:G)=2,ISNUMBER(SEARCH("Desert",BX210)),ISNUMBER(SEARCH("ExtremeDesert",BX210)),ISNUMBER(SEARCH("LavaField",BX210))),50,IF(ISNUMBER(SEARCH("Grasslands",BX210)),45,IF(OR(_xlfn.XLOOKUP(_xlfn.XLOOKUP(B210,'Base stats'!B:B,'Base stats'!E:E),Groups!A:A,Groups!G:G)=1,ISNUMBER(SEARCH("TropicalRainforest",BX210)),ISNUMBER(SEARCH("TropicalSwamp",BX210))),40,IF(OR(ISNUMBER(SEARCH("TemperateForest",BX210)),ISNUMBER(SEARCH("TemperateSwamp",BX210))),35,IF(OR(ISNUMBER(SEARCH("Alpine",BX210)),ISNUMBER(SEARCH("BorealForest",BX210)),ISNUMBER(SEARCH("ColdBog",BX210))),30,IF(ISNUMBER(OR(ISNUMBER(SEARCH("GlacialPlain",BX210)),SEARCH("Tundra",BX210))),25,IF(OR(ISNUMBER(SEARCH("SeaIce",BX210)),ISNUMBER(SEARCH("IceSheet",BX210)),ISNUMBER(SEARCH("TropicalSwamp",BX210))),10,35)))))))+_xlfn.XLOOKUP(B210,'Base stats'!B:B,'Base stats'!Q:Q)</f>
        <v>40</v>
      </c>
      <c r="N210" s="8" t="str">
        <f>IF(
_xlfn.XLOOKUP(
_xlfn.XLOOKUP(B210,'Base stats'!B:B,'Base stats'!E:E),
Groups!A:A,
Groups!L:L
)=1,
MIN(
MROUND(
IF(
_xlfn.XLOOKUP(B210,'Animals CE'!B:B,'Animals CE'!Z:Z)&lt;=1.5,
_xlfn.XLOOKUP(B210,'Animals CE'!B:B,'Animals CE'!Z:Z)/2+0.05,
0.8+
(_xlfn.XLOOKUP(B210,'Animals CE'!B:B,'Animals CE'!Z:Z)-1.5)
*0.02
),
0.05
),
200%
),
"No"
)</f>
        <v>No</v>
      </c>
      <c r="O210" s="8" t="str">
        <f>IF(
_xlfn.XLOOKUP(
_xlfn.XLOOKUP(B210,'Base stats'!B:B,'Base stats'!E:E),
Groups!A:A,
Groups!L:L
)=1,
MIN(
MROUND(
IF(
_xlfn.XLOOKUP(B210,'Animals CE'!B:B,'Animals CE'!AA:AA)&lt;=1.5,
_xlfn.XLOOKUP(B210,'Animals CE'!B:B,'Animals CE'!AA:AA)/2+0.05,
0.8+
(_xlfn.XLOOKUP(B210,'Animals CE'!B:B,'Animals CE'!AA:AA)-1.5)
*0.02
),
0.05
),
200%
),
"No"
)</f>
        <v>No</v>
      </c>
      <c r="P210" s="2" t="str">
        <f>_xlfn.XLOOKUP(B210,'Base stats'!B:B,'Base stats'!R:R)</f>
        <v>Standard</v>
      </c>
      <c r="Q210" s="13">
        <f>MROUND((LOG10(_xlfn.XLOOKUP(B210,'Base stats'!B:B,'Base stats'!AR:AR))*(AO210^0.5)+(_xlfn.XLOOKUP(B210,'Base stats'!B:B,'Base stats'!AR:AR)/1000)^(2/3)+_xlfn.XLOOKUP(B210,'Base stats'!B:B,'Base stats'!BA:BA)/2)+0.5,0.5)</f>
        <v>4</v>
      </c>
      <c r="R210" s="7">
        <f>IF(Q210="No","No",MAX(1,MROUND(_xlfn.XLOOKUP(B210,'Base stats'!B:B,'Base stats'!C:C)^0.165,0.05)))</f>
        <v>1.55</v>
      </c>
      <c r="S210" s="13" t="str">
        <f>IF(_xlfn.XLOOKUP(_xlfn.XLOOKUP(B210,'Base stats'!B:B,'Base stats'!E:E),Groups!A:A,Groups!P:P)=0,"No",MROUND((LOG10(_xlfn.XLOOKUP(B210,'Base stats'!B:B,'Base stats'!AS:AS))*(AO210^0.5)+(_xlfn.XLOOKUP(B210,'Base stats'!B:B,'Base stats'!AS:AS)/1000)^(2/3)+_xlfn.XLOOKUP(B210,'Base stats'!B:B,'Base stats'!BA:BA))+_xlfn.XLOOKUP(B210,'Base stats'!B:B,'Base stats'!AY:AY)+0.5,0.5))</f>
        <v>No</v>
      </c>
      <c r="T210" s="7" t="str">
        <f>IF(S210="No","No",MAX(_xlfn.XLOOKUP(_xlfn.XLOOKUP(B210,'Base stats'!B:B,'Base stats'!E:E),Groups!A:A,Groups!Q:Q),MROUND(_xlfn.XLOOKUP(_xlfn.XLOOKUP(B210,'Base stats'!B:B,'Base stats'!E:E),Groups!A:A,Groups!Q:Q)*_xlfn.XLOOKUP(B210,'Base stats'!B:B,'Base stats'!C:C)^0.165,0.05)))</f>
        <v>No</v>
      </c>
      <c r="U210" s="7" t="str">
        <f>IF(S210="No","No",_xlfn.XLOOKUP(_xlfn.XLOOKUP(B210,'Base stats'!B:B,'Base stats'!E:E),Groups!A:A,Groups!R:R))</f>
        <v>No</v>
      </c>
      <c r="V210" s="7" t="str">
        <f>IF(S210="No","No",_xlfn.XLOOKUP(_xlfn.XLOOKUP(B210,'Base stats'!B:B,'Base stats'!E:E),Groups!A:A,Groups!S:S))</f>
        <v>No</v>
      </c>
      <c r="W210" s="7" t="str">
        <f>IF(S210="No","No",_xlfn.XLOOKUP(_xlfn.XLOOKUP(B210,'Base stats'!B:B,'Base stats'!E:E),Groups!A:A,Groups!T:T))</f>
        <v>No</v>
      </c>
      <c r="X210" s="13" t="str">
        <f>IF(_xlfn.XLOOKUP(B210,'Base stats'!B:B,'Base stats'!W:W)="No","No",MROUND((LOG10(_xlfn.XLOOKUP(B210,'Base stats'!B:B,'Base stats'!AU:AU))*(AO210^0.5)+(_xlfn.XLOOKUP(B210,'Base stats'!B:B,'Base stats'!AU:AU)/1000)^(2/3)+_xlfn.XLOOKUP(B210,'Base stats'!B:B,'Base stats'!AZ:AZ))+0.5+IF(_xlfn.XLOOKUP(_xlfn.XLOOKUP(B210,'Base stats'!B:B,'Base stats'!E:E),Groups!A:A,Groups!U:U)&lt;&gt;3,_xlfn.XLOOKUP(B210,'Base stats'!B:B,'Base stats'!BA:BA),0),0.5))</f>
        <v>No</v>
      </c>
      <c r="Y210" s="7" t="str">
        <f>IF(X210="No","No",MAX(_xlfn.XLOOKUP(_xlfn.XLOOKUP(B210,'Base stats'!B:B,'Base stats'!E:E),Groups!A:A,Groups!V:V),MROUND(_xlfn.XLOOKUP(_xlfn.XLOOKUP(B210,'Base stats'!B:B,'Base stats'!E:E),Groups!A:A,Groups!V:V)*_xlfn.XLOOKUP(B210,'Base stats'!B:B,'Base stats'!C:C)^0.165,0.05)))</f>
        <v>No</v>
      </c>
      <c r="Z210" s="7" t="str">
        <f>IF(X210="No","No",_xlfn.XLOOKUP(_xlfn.XLOOKUP(B210,'Base stats'!B:B,'Base stats'!E:E),Groups!A:A,Groups!W:W))</f>
        <v>No</v>
      </c>
      <c r="AA210" s="7" t="str">
        <f>IF(X210="No","No",_xlfn.XLOOKUP(_xlfn.XLOOKUP(B210,'Base stats'!B:B,'Base stats'!E:E),Groups!A:A,Groups!X:X))</f>
        <v>No</v>
      </c>
      <c r="AB210" s="7" t="str">
        <f>IF(X210="No","No",_xlfn.XLOOKUP(_xlfn.XLOOKUP(B210,'Base stats'!B:B,'Base stats'!E:E),Groups!A:A,Groups!Y:Y))</f>
        <v>No</v>
      </c>
      <c r="AC210" s="7" t="str">
        <f>_xlfn.XLOOKUP(Animals!B210,'Base stats'!B:B,'Base stats'!X:X)</f>
        <v>False</v>
      </c>
      <c r="AD210" s="13" t="str">
        <f>IF(_xlfn.XLOOKUP(B210,'Base stats'!B:B,'Base stats'!AT:AT)="No","No",MROUND((LOG10(_xlfn.XLOOKUP(B210,'Base stats'!B:B,'Base stats'!AT:AT))*(AO210^0.75)+(_xlfn.XLOOKUP(B210,'Base stats'!B:B,'Base stats'!AT:AT)/1000)^(2/3)+_xlfn.XLOOKUP(B210,'Base stats'!B:B,'Base stats'!AX:AX)+_xlfn.XLOOKUP(B210,'Base stats'!B:B,'Base stats'!BA:BA))+0.5,0.5))</f>
        <v>No</v>
      </c>
      <c r="AE210" s="7" t="str">
        <f>IF(AD210="No","No",MAX(_xlfn.XLOOKUP(_xlfn.XLOOKUP(B210,'Base stats'!B:B,'Base stats'!E:E),Groups!A:A,Groups!Z:Z),MROUND(_xlfn.XLOOKUP(_xlfn.XLOOKUP(B210,'Base stats'!B:B,'Base stats'!E:E),Groups!A:A,Groups!Z:Z)*_xlfn.XLOOKUP(B210,'Base stats'!B:B,'Base stats'!C:C)^0.165,0.05)))</f>
        <v>No</v>
      </c>
      <c r="AF210" s="7" t="str">
        <f>IF(AD210="No","No",_xlfn.XLOOKUP(_xlfn.XLOOKUP(B210,'Base stats'!B:B,'Base stats'!E:E),Groups!A:A,Groups!AA:AA))</f>
        <v>No</v>
      </c>
      <c r="AG210" s="7" t="str">
        <f>IF(AD210="No","No",_xlfn.XLOOKUP(_xlfn.XLOOKUP(B210,'Base stats'!B:B,'Base stats'!E:E),Groups!A:A,Groups!AB:AB))</f>
        <v>No</v>
      </c>
      <c r="AH210" s="7" t="str">
        <f>IF(AD210="No","No",_xlfn.XLOOKUP(_xlfn.XLOOKUP(B210,'Base stats'!B:B,'Base stats'!E:E),Groups!A:A,Groups!AC:AC))</f>
        <v>No</v>
      </c>
      <c r="AI210" s="13">
        <f>IF(_xlfn.XLOOKUP(_xlfn.XLOOKUP(B210,'Base stats'!B:B,'Base stats'!E:E),Groups!A:A,Groups!AD:AD)=0,"No",MROUND((LOG10(_xlfn.XLOOKUP(B210,'Base stats'!B:B,'Base stats'!AS:AS))*(AO210^0.75)+(_xlfn.XLOOKUP(B210,'Base stats'!B:B,'Base stats'!AS:AS)/1000)^(2/3)+_xlfn.XLOOKUP(B210,'Base stats'!B:B,'Base stats'!AY:AY)+_xlfn.XLOOKUP(B210,'Base stats'!B:B,'Base stats'!BA:BA))+0.5,0.5))</f>
        <v>5</v>
      </c>
      <c r="AJ210" s="7">
        <f>IF(AI210="No","No",MAX(_xlfn.XLOOKUP(_xlfn.XLOOKUP(B210,'Base stats'!B:B,'Base stats'!E:E),Groups!A:A,Groups!AE:AE),MROUND(_xlfn.XLOOKUP(_xlfn.XLOOKUP(B210,'Base stats'!B:B,'Base stats'!E:E),Groups!A:A,Groups!AE:AE)*IF(_xlfn.XLOOKUP(_xlfn.XLOOKUP(B210,'Base stats'!B:B,'Base stats'!E:E),Groups!A:A,Groups!AJ:AJ)="Photonozoa",0.6,1)*_xlfn.XLOOKUP(B210,'Base stats'!B:B,'Base stats'!C:C)^0.165,0.05)))</f>
        <v>1.1500000000000001</v>
      </c>
      <c r="AK210" s="7" t="str">
        <f>IF(AI210="No","No",_xlfn.XLOOKUP(_xlfn.XLOOKUP(B210,'Base stats'!B:B,'Base stats'!E:E),Groups!A:A,Groups!AF:AF))</f>
        <v>Arms</v>
      </c>
      <c r="AL210" s="7" t="str">
        <f>IF(AI210="No","No",_xlfn.XLOOKUP(_xlfn.XLOOKUP(B210,'Base stats'!B:B,'Base stats'!E:E),Groups!A:A,Groups!AG:AG))</f>
        <v>arms</v>
      </c>
      <c r="AM210" s="7" t="str">
        <f>IF(AI210="No","No",_xlfn.XLOOKUP(_xlfn.XLOOKUP(B210,'Base stats'!B:B,'Base stats'!E:E),Groups!A:A,Groups!AH:AH))</f>
        <v>Blunt</v>
      </c>
      <c r="AN210" s="2" t="str">
        <f t="shared" si="21"/>
        <v>No</v>
      </c>
      <c r="AO210" s="2">
        <f>MROUND(IF(AND(_xlfn.XLOOKUP(B210,'Base stats'!B:B,'Base stats'!C:C)&gt;=0.5,_xlfn.XLOOKUP(B210,'Base stats'!B:B,'Base stats'!C:C)&lt;=0.8),
IF(_xlfn.XLOOKUP(B210,'Base stats'!B:B,'Base stats'!C:C)&lt;0.1,0.05,IF(_xlfn.XLOOKUP(B210,'Base stats'!B:B,'Base stats'!C:C)&lt;=70,(_xlfn.XLOOKUP(B210,'Base stats'!B:B,'Base stats'!C:C)/70)^0.426489913056526,IF(_xlfn.XLOOKUP(B210,'Base stats'!B:B,'Base stats'!C:C)&lt;=400,(_xlfn.XLOOKUP(B210,'Base stats'!B:B,'Base stats'!C:C)/70)^0.572811455315093,IF(_xlfn.XLOOKUP(B210,'Base stats'!B:B,'Base stats'!C:C)&lt;=2000,2.71391647193063*(_xlfn.XLOOKUP(B210,'Base stats'!B:B,'Base stats'!C:C)/400)^0.252459582904293,3.74314280240376*(_xlfn.XLOOKUP(B210,'Base stats'!B:B,'Base stats'!C:C)/2000)^0.357012633876913)))),
IF(_xlfn.XLOOKUP(B210,'Base stats'!B:B,'Base stats'!C:C)&lt;0.1,0.05,IF(_xlfn.XLOOKUP(B210,'Base stats'!B:B,'Base stats'!C:C)&lt;0.4,0.1,IF(_xlfn.XLOOKUP(B210,'Base stats'!B:B,'Base stats'!C:C)&lt;=70,(_xlfn.XLOOKUP(B210,'Base stats'!B:B,'Base stats'!C:C)/70)^0.445823913056526,IF(_xlfn.XLOOKUP(B210,'Base stats'!B:B,'Base stats'!C:C)&lt;=400,(_xlfn.XLOOKUP(B210,'Base stats'!B:B,'Base stats'!C:C)/70)^0.572811455315093,IF(_xlfn.XLOOKUP(B210,'Base stats'!B:B,'Base stats'!C:C)&lt;=2000,2.71391647193063*(_xlfn.XLOOKUP(B210,'Base stats'!B:B,'Base stats'!C:C)/400)^0.252459582904293,3.74314280240376*(_xlfn.XLOOKUP(B210,'Base stats'!B:B,'Base stats'!C:C)/2000)^0.357012633876913)))))),
IF(_xlfn.XLOOKUP(B210,'Base stats'!B:B,'Base stats'!C:C)&lt;0.1,0.05,IF(_xlfn.XLOOKUP(B210,'Base stats'!B:B,'Base stats'!C:C)&lt;=100,0.05,IF(_xlfn.XLOOKUP(B210,'Base stats'!B:B,'Base stats'!C:C)&lt;=250,0.1,IF(_xlfn.XLOOKUP(B210,'Base stats'!B:B,'Base stats'!C:C)&lt;=4000,0.25,0.5)))))</f>
        <v>0.5</v>
      </c>
      <c r="AP210" s="8">
        <f>MROUND(AO210*_xlfn.XLOOKUP(_xlfn.XLOOKUP(B210,'Base stats'!B:B,'Base stats'!E:E),Groups!A:A,Groups!AI:AI)*_xlfn.XLOOKUP(B210,'Base stats'!B:B,'Base stats'!Z:Z),0.05)</f>
        <v>0.5</v>
      </c>
      <c r="AQ210" s="8">
        <f>MAX(0.01,MROUND(IF(CC210="True",0.196*(AO210*100*1000)^0.889,IF(_xlfn.XLOOKUP(_xlfn.XLOOKUP(B210,'Base stats'!B:B,'Base stats'!E:E),Groups!A:A,Groups!AJ:AJ)="Bird",10.5*(AO210*100*1000)^0.681,4.82*(AO210*100*1000)^0.734))/(4.82*(1*100*1000)^0.734)/IF(AO210&lt;3.5,2,IF(AO210=3.5,1.5,1.25))*(1+0.132282374779864/(AO210^0.994035016789033+0.00905238001496948)),0.05))</f>
        <v>0.1</v>
      </c>
      <c r="AR210" s="9">
        <f>IFERROR(MROUND(_xlfn.XLOOKUP(B210,'Base stats'!B:B,'Base stats'!H:H)/IF(_xlfn.XLOOKUP(B210,'Base stats'!B:B,'Base stats'!I:I)&lt;&gt;1,(122.5/70),1.2),IF(_xlfn.XLOOKUP(B210,'Base stats'!B:B,'Base stats'!H:H)&gt;=30,5,IF(_xlfn.XLOOKUP(B210,'Base stats'!B:B,'Base stats'!H:H)&gt;=15,3,IF(_xlfn.XLOOKUP(B210,'Base stats'!B:B,'Base stats'!H:H)&gt;=10,2,1)))),"Immortal")</f>
        <v>3</v>
      </c>
      <c r="AS210" s="35" t="str">
        <f>IFERROR(IF(OR(_xlfn.XLOOKUP(B210,'Base stats'!B:B,'Base stats'!F:F)="Atypical reproduction",_xlfn.XLOOKUP(B210,'Base stats'!B:B,'Base stats'!F:F)="Lay eggs"),"Lay eggs",MIN(20,MAX(5.5,ROUND(((_xlfn.XLOOKUP(B210,'Base stats'!B:B,'Base stats'!F:F)-25)*(14.5/615) + 5.5)*2,0)/2))),"Unknown")</f>
        <v>Lay eggs</v>
      </c>
      <c r="AT210" s="8" t="str">
        <f>IF(_xlfn.XLOOKUP(B210,'Base stats'!B:B,'Base stats'!G:G)="Atypical reproduction","No",IFERROR(MAX(IF(_xlfn.XLOOKUP(B210,'Base stats'!B:B,'Base stats'!G:G)&lt;0.5,0.2,0.3),MROUND(_xlfn.XLOOKUP(B210,'Base stats'!B:B,'Base stats'!G:G)/(365/60),0.2)),"Unknown"))</f>
        <v>No</v>
      </c>
      <c r="AU210" s="8" t="str">
        <f t="shared" si="22"/>
        <v>No</v>
      </c>
      <c r="AV210" s="8" t="str">
        <f>IFERROR(IFERROR(MROUND(_xlfn.XLOOKUP(B210,'Base stats'!B:B,'Base stats'!J:J),0.1),"Lay eggs"),"Cannot breed")</f>
        <v>Lay eggs</v>
      </c>
      <c r="AW210" s="2" t="str">
        <f t="shared" si="23"/>
        <v>false</v>
      </c>
      <c r="AX210" s="2" t="str">
        <f>IF(_xlfn.XLOOKUP(_xlfn.XLOOKUP(Animals!B210,'Base stats'!B:B,'Base stats'!E:E),Groups!A:A,Groups!AK:AK)=1,"true","false")</f>
        <v>false</v>
      </c>
      <c r="AY210" s="25" t="str">
        <f>IF(_xlfn.XLOOKUP(B210,'Base stats'!B:B,'Base stats'!Y:Y)="Liquor","Liquor, CarnivoreAnimalStrict",IF(AND(_xlfn.XLOOKUP(B210,'Base stats'!B:B,'Base stats'!Y:Y)="Carnivore",_xlfn.XLOOKUP(_xlfn.XLOOKUP(B210,'Base stats'!B:B,'Base stats'!E:E),Groups!A:A,Groups!AJ:AJ)="Photonozoa"),"CarnivoreAnimalStrict, OvivoreAnimal",IF(_xlfn.XLOOKUP(B210,'Base stats'!B:B,'Base stats'!Y:Y)="Carnivore","CarnivoreAnimal, OvivoreAnimal",IF(_xlfn.XLOOKUP(B210,'Base stats'!B:B,'Base stats'!Y:Y)="Dendrovore","VegetarianRoughAnimal, DendrovoreAnimal",IF(_xlfn.XLOOKUP(B210,'Base stats'!B:B,'Base stats'!Y:Y)="Herbivore","VegetarianRoughAnimal",IF(_xlfn.XLOOKUP(B210,'Base stats'!B:B,'Base stats'!Y:Y)="OmnivoreRough","OmnivoreRoughAnimal, OvivoreAnimal","OmnivoreAnimal, OvivoreAnimal"))))))</f>
        <v>VegetarianRoughAnimal</v>
      </c>
      <c r="AZ210" s="2">
        <f>IF(_xlfn.XLOOKUP(_xlfn.XLOOKUP(B210,'Base stats'!B:B,'Base stats'!E:E),Groups!A:A,Groups!D:D)=1,MROUND((1-J210)*5+1,2)*IF(J210&lt;=0.4,2,1),"No")</f>
        <v>4</v>
      </c>
      <c r="BA210" s="2" t="str">
        <f>IF(AND(_xlfn.XLOOKUP(B210,'Base stats'!B:B,'Base stats'!AH:AH)="&lt;li&gt;Seal&lt;/li&gt;",G210="Odyssey"),"&lt;li&gt;AEXP_Seal&lt;/li&gt;",_xlfn.XLOOKUP(B210,'Base stats'!B:B,'Base stats'!AH:AH))</f>
        <v>&lt;li&gt;Megaspider&lt;/li&gt;</v>
      </c>
      <c r="BB210" s="2" t="str">
        <f>_xlfn.XLOOKUP(B210,'Base stats'!B:B,'Base stats'!AG:AG)</f>
        <v>No</v>
      </c>
      <c r="BC210" s="23" t="str">
        <f>_xlfn.XLOOKUP(_xlfn.XLOOKUP(B210,'Base stats'!B:B,'Base stats'!E:E),Groups!A:A,Groups!AL:AL)</f>
        <v>GooBody</v>
      </c>
      <c r="BD210" s="23">
        <f>MIN(1,MROUND(IF(AND(AO210&lt;0.5,_xlfn.XLOOKUP(B210,'Base stats'!B:B,'Base stats'!AA:AA)=0),0,IF(OR(_xlfn.XLOOKUP(Animals!B210,'Base stats'!B:B,'Base stats'!O:O)=2,_xlfn.XLOOKUP(_xlfn.XLOOKUP(B210,'Base stats'!B:B,'Base stats'!E:E),Groups!A:A,Groups!AN:AN)=0),0,_xlfn.XLOOKUP(_xlfn.XLOOKUP(B210,'Base stats'!B:B,'Base stats'!E:E),Groups!A:A,Groups!AN:AN)/IF(_xlfn.XLOOKUP(Animals!B210,'Base stats'!B:B,'Base stats'!O:O)=1,2,1)))+_xlfn.XLOOKUP(B210,'Base stats'!B:B,'Base stats'!AC:AC),0.005))</f>
        <v>0</v>
      </c>
      <c r="BE210" s="23">
        <f>MIN(1,MROUND(IF(AND(AO210&lt;0.5,_xlfn.XLOOKUP(B210,'Base stats'!B:B,'Base stats'!AA:AA)=0),0,IF(_xlfn.XLOOKUP(_xlfn.XLOOKUP(B210,'Base stats'!B:B,'Base stats'!E:E),Groups!A:A,Groups!AO:AO)=0,0,_xlfn.XLOOKUP(_xlfn.XLOOKUP(B210,'Base stats'!B:B,'Base stats'!E:E),Groups!A:A,Groups!AO:AO)/IF(_xlfn.XLOOKUP(Animals!B210,'Base stats'!B:B,'Base stats'!O:O)=2,3,1)))+_xlfn.XLOOKUP(B210,'Base stats'!B:B,'Base stats'!AD:AD),0.005))</f>
        <v>0</v>
      </c>
      <c r="BF210" s="2" t="str">
        <f>IF(J210&gt;0.3,"No",_xlfn.XLOOKUP(_xlfn.XLOOKUP(Animals!B210,'Base stats'!B:B,'Base stats'!E:E),Groups!A:A,Groups!AP:AP))</f>
        <v>No</v>
      </c>
      <c r="BG210" s="2" t="str">
        <f>IF(AND(J210&lt;=0.65,_xlfn.XLOOKUP(_xlfn.XLOOKUP(Animals!B210,'Base stats'!B:B,'Base stats'!E:E),Groups!A:A,Groups!AP:AP)&lt;&gt;"No",_xlfn.XLOOKUP(_xlfn.XLOOKUP(B210,'Base stats'!B:B,'Base stats'!E:E),Groups!A:A,Groups!D:D)=0),MROUND((80/3)*IF(_xlfn.XLOOKUP(B210,'Base stats'!B:B,'Base stats'!O:O)=2,0.2,AO210) + 24*(1-IF(BF210="No",0,BF210)) + 16/3, 12),"No")</f>
        <v>No</v>
      </c>
      <c r="BH210" s="2">
        <f>IF(AND(_xlfn.XLOOKUP(_xlfn.XLOOKUP(B210,'Base stats'!B:B,'Base stats'!E:E),Groups!A:A,Groups!AQ:AQ)=1,AO210&lt;=0.35),8,12)</f>
        <v>12</v>
      </c>
      <c r="BI210" s="2" t="str">
        <f>IF(_xlfn.XLOOKUP(_xlfn.XLOOKUP(B210,'Base stats'!B:B,'Base stats'!E:E),Groups!A:A,Groups!D:D)=0,_xlfn.XLOOKUP(_xlfn.XLOOKUP(B210,'Base stats'!B:B,'Base stats'!E:E),Groups!A:A,Groups!AR:AR),"None")</f>
        <v>None</v>
      </c>
      <c r="BJ210" s="2" t="str">
        <f>IF(AND(_xlfn.XLOOKUP(_xlfn.XLOOKUP(B210,'Base stats'!B:B,'Base stats'!E:E),Groups!A:A,Groups!AS:AS)=1,OR(_xlfn.XLOOKUP(B210,'Base stats'!B:B,'Base stats'!Y:Y)="Carnivore",_xlfn.XLOOKUP(B210,'Base stats'!B:B,'Base stats'!Y:Y)="Omnivore")),"true","false")</f>
        <v>false</v>
      </c>
      <c r="BK210" s="2" t="str">
        <f>IF(BJ210="true",MROUND(IF(AND(AO210&gt;0.5,OR(_xlfn.XLOOKUP(_xlfn.XLOOKUP(B210,'Base stats'!B:B,'Base stats'!E:E),Groups!A:A,Groups!AJ:AJ)="Photonozoa",_xlfn.XLOOKUP(_xlfn.XLOOKUP(B210,'Base stats'!B:B,'Base stats'!E:E),Groups!A:A,Groups!AJ:AJ)="Mammal")),Animals!AO210*1.75*IF(AW210="true",1.5,1),IF(AO210&lt;0.5,Animals!AO210*0.5,Animals!AO210)),IF(AO210&gt;2,0.5,IF(AO210&gt;0.5,0.25,0.1))),"No")</f>
        <v>No</v>
      </c>
      <c r="BL210" s="2">
        <f t="shared" si="24"/>
        <v>0</v>
      </c>
      <c r="BM210" s="25" t="str">
        <f>IF(_xlfn.XLOOKUP(B210,'Base stats'!B:B,'Base stats'!AN:AN)="Standard","No",MROUND((_xlfn.XLOOKUP(B210,'Base stats'!B:B,'Base stats'!AN:AN)/3.6)/I210,0.1))</f>
        <v>No</v>
      </c>
      <c r="BN210" s="25" t="str">
        <f t="shared" si="25"/>
        <v>false</v>
      </c>
      <c r="BO210" s="25" t="str">
        <f>IF(AND(OR(_xlfn.XLOOKUP(B210,'Base stats'!B:B,'Base stats'!Y:Y)="Carnivore",_xlfn.XLOOKUP(B210,'Base stats'!B:B,'Base stats'!Y:Y)="Omnivore",_xlfn.XLOOKUP(B210,'Base stats'!B:B,'Base stats'!Y:Y)="OmnivoreRough"),_xlfn.XLOOKUP(_xlfn.XLOOKUP(B210,'Base stats'!B:B,'Base stats'!E:E),Groups!A:A,Groups!AT:AT)=1),"true","false")</f>
        <v>false</v>
      </c>
      <c r="BP210" s="25" t="str" cm="1">
        <f t="array" ref="BP210">IF(
  _xlfn.TEXTJOIN(", ",TRUE,
    IF(AND(BJ210="true",AO210&gt;0.5,BI210&lt;&gt;"None"),"AttackTarget",""),
    IF(AND(_xlfn.XLOOKUP(_xlfn.XLOOKUP(B210,'Base stats'!B:B,'Base stats'!E:E),Groups!A:A,Groups!AJ:AJ="Mammal"),OR(_xlfn.XLOOKUP(B210,'Base stats'!B:B,'Base stats'!Y:Y)="Omnivore",_xlfn.XLOOKUP(B210,'Base stats'!B:B,'Base stats'!Y:Y)="OmnivoreRough")),"Forage",""),
    IF(BG210&lt;=36,"Comfort",""),
    IF(_xlfn.XLOOKUP(B210,'Base stats'!B:B,'Base stats'!AE:AE)&lt;&gt;"No",_xlfn.XLOOKUP(B210,'Base stats'!B:B,'Base stats'!AE:AE),"")
  ) = "",
  "No",
  _xlfn.TEXTJOIN(", ",TRUE,
    IF(AND(BJ210="true",AO210&gt;0.5,BI210&lt;&gt;"None"),"AttackTarget",""),
    IF(AND(_xlfn.XLOOKUP(_xlfn.XLOOKUP(B210,'Base stats'!B:B,'Base stats'!E:E),Groups!A:A,Groups!AJ:AJ="Mammal"),OR(_xlfn.XLOOKUP(B210,'Base stats'!B:B,'Base stats'!Y:Y)="Omnivore",_xlfn.XLOOKUP(B210,'Base stats'!B:B,'Base stats'!Y:Y)="OmnivoreRough")),"Forage",""),
    IF(BG210&lt;=36,"Comfort",""),
    IF(_xlfn.XLOOKUP(B210,'Base stats'!B:B,'Base stats'!AE:AE)&lt;&gt;"No",_xlfn.XLOOKUP(B210,'Base stats'!B:B,'Base stats'!AE:AE),"")
  )
)</f>
        <v>No</v>
      </c>
      <c r="BQ210" s="25" t="str">
        <f>IF(
   AND(
      'Base stats'!AN210="Standard",_xlfn.XLOOKUP(_xlfn.XLOOKUP(B210,'Base stats'!B:B,'Base stats'!E:E),Groups!A:A,Groups!AU:AU)=0,
      OR(
      BO210="True"
      )
   ),
   10,
   IF(
       OR(BM210&lt;&gt;"No",_xlfn.XLOOKUP(_xlfn.XLOOKUP(B210,'Base stats'!B:B,'Base stats'!E:E),Groups!A:A,Groups!AU:AU)=1),
      1,
      "No"
   )
)</f>
        <v>No</v>
      </c>
      <c r="BR210" s="9">
        <f>MROUND((1 + ((0.2*IF(OR(Q210="No",R210="No",R210=0),0,Q210/R210)
+IF(OR(V210="No",S210="No",T210="No"),0,S210/T210*(LEN(V210)-LEN(SUBSTITUTE(V210,",",""))+1))
+IF(OR(X210="No",Y210="No"),0,X210/Y210)
+IF(OR(AD210="No",AE210="No"),0,AD210/AE210)
+IF(OR(AL210="No",AI210="No",AJ210="No"),0,AI210/AJ210*(LEN(AL210)-LEN(SUBSTITUTE(AL210,",",""))+1))
)/(0.2*IF(OR(Q210="No",R210="No",R210=0),0,1)
+IF(OR(V210="No",S210="No",T210="No"),0,LEN(V210)-LEN(SUBSTITUTE(V210,",",""))+1)
+IF(OR(X210="No",Y210="No"),0,1)
+IF(OR(AD210="No",AE210="No"),0,1)
+IF(OR(AL210="No",AI210="No",AJ210="No"),0,LEN(AL210)-LEN(SUBSTITUTE(AL210,",",""))+1))*62%)* 2)*(1 + (AP210 / (IF(_xlfn.XLOOKUP(_xlfn.XLOOKUP(B210,'Base stats'!B:B,'Base stats'!E:E),Groups!A:A,Groups!AJ:AJ)="Photonozoa",0.3,1)) + _xlfn.XLOOKUP(B210,'Base stats'!B:B,'Base stats'!AV:AV) * 1.8) * 2) * 2.5 + 10 + I210 * 2,5)+IF(_xlfn.XLOOKUP(B210,'Base stats'!B:B,'Base stats'!AK:AK)=1,50,0)</f>
        <v>45</v>
      </c>
      <c r="BS210" s="8">
        <f t="shared" si="26"/>
        <v>0.2</v>
      </c>
      <c r="BT210" s="8" t="str">
        <f>_xlfn.XLOOKUP(B210,'Base stats'!B:B,'Base stats'!AF:AF)</f>
        <v>No</v>
      </c>
      <c r="BU210" s="2" t="str">
        <f>IF(AND(J210&lt;=0.95,OR(_xlfn.XLOOKUP(B210,'Base stats'!B:B,'Base stats'!AK:AK)=1,_xlfn.XLOOKUP(B210,'Base stats'!B:B,'Base stats'!Y:Y)="Carnivore",_xlfn.XLOOKUP(B210,'Base stats'!B:B,'Base stats'!Y:Y)="Omnivore",BE210&gt;0.1)),"true","false")</f>
        <v>false</v>
      </c>
      <c r="BV210" s="2" t="str">
        <f>IF(_xlfn.XLOOKUP(B210,'Base stats'!B:B,'Base stats'!AI:AI)=1,"true","false")</f>
        <v>false</v>
      </c>
      <c r="BW210" s="25" t="str">
        <f>IF(E210="BaseInsect","AnimalInsect",
IF(J210&gt;0.95,"AnimalExotic",
_xlfn.TEXTJOIN(", ",TRUE,
IF(OR(_xlfn.XLOOKUP(B210,'Base stats'!B:B,'Base stats'!AM:AM)=1,AND(_xlfn.XLOOKUP(B210,'Base stats'!B:B,'Base stats'!O:O)=0,_xlfn.XLOOKUP(_xlfn.XLOOKUP(B210,'Base stats'!B:B,'Base stats'!E:E),Groups!A:A,Groups!B:B)&gt;0)),"AnimalUncommon","AnimalCommon"),
IF(AND(_xlfn.XLOOKUP(B210,'Base stats'!B:B,'Base stats'!O:O)=2,_xlfn.XLOOKUP(_xlfn.XLOOKUP(B210,'Base stats'!B:B,'Base stats'!E:E),Groups!A:A,Groups!D:D)=0),"AnimalPet",IF(AND(_xlfn.XLOOKUP(B210,'Base stats'!B:B,'Base stats'!O:O)&lt;&gt;0,_xlfn.XLOOKUP(_xlfn.XLOOKUP(B210,'Base stats'!B:B,'Base stats'!E:E),Groups!A:A,Groups!D:D)&lt;&gt;0),"AnimalFarm","")),
IF(OR(_xlfn.XLOOKUP(B210,'Base stats'!B:B,'Base stats'!AK:AK)=1,AND(BI210&lt;&gt;"None",BR210&gt;=60),ISNUMBER(SEARCH("Attack target",BP210))),"AnimalFighter","")
)))</f>
        <v>AnimalUncommon</v>
      </c>
      <c r="BX210" s="25" t="str">
        <f>IF(G210="None",TRIM(
SUBSTITUTE(
IF(COUNTIF(Biomes!B$2:B$259,"="&amp;$C210)&gt;0,Biomes!B$1&amp;", ","")&amp;
IF(COUNTIF(Biomes!C$2:C$259,"="&amp;$C210)&gt;0,Biomes!C$1&amp;", ","")&amp;
IF(COUNTIF(Biomes!D$2:D$259,"="&amp;$C210)&gt;0,Biomes!D$1&amp;", ","")&amp;
IF(COUNTIF(Biomes!F$2:F$259,"="&amp;$C210)&gt;0,Biomes!F$1&amp;", ","")&amp;
IF(COUNTIF(Biomes!G$2:G$259,"="&amp;$C210)&gt;0,Biomes!G$1&amp;", ","")&amp;
IF(COUNTIF(Biomes!H$2:H$259,"="&amp;$C210)&gt;0,Biomes!H$1&amp;", ","")&amp;
IF(COUNTIF(Biomes!I$2:I$259,"="&amp;$C210)&gt;0,Biomes!I$1&amp;", ","")&amp;
IF(COUNTIF(Biomes!J$2:J$259,"="&amp;$C210)&gt;0,Biomes!J$1&amp;", ","")&amp;
IF(COUNTIF(Biomes!M$2:M$259,"="&amp;$C210)&gt;0,Biomes!M$1&amp;", ","")&amp;
IF(COUNTIF(Biomes!N$2:N$259,"="&amp;$C210)&gt;0,Biomes!N$1&amp;", ","")&amp;
IF(COUNTIF(Biomes!O$2:O$259,"="&amp;$C210)&gt;0,Biomes!O$1&amp;", ","")&amp;
IF(COUNTIF(Biomes!P$2:P$259,"="&amp;$C210)&gt;0,Biomes!P$1&amp;", ","")&amp;
IF(COUNTIF(Biomes!K$2:K$259,"="&amp;$C210)&gt;0,Biomes!K$1&amp;", ","")&amp;
IF(COUNTIF(Biomes!Q$3:Q$259,"="&amp;$C210)&gt;0,Biomes!Q$1&amp;", ","")&amp;
IF(COUNTIF(Biomes!L$2:L$259,"="&amp;$C210)&gt;0,Biomes!L$1&amp;", ","")&amp;
IF(COUNTIF(Biomes!E$2:E$259,"="&amp;$C210)&gt;0,Biomes!E$1&amp;", ","")&amp;IF(COUNTIF(Biomes!S$2:S$259,"="&amp;$C210)&gt;0,Biomes!S$1&amp;", ","")&amp;
IF(COUNTIF(Biomes!R$2:R$259,"="&amp;$C210)&gt;0,Biomes!R$1&amp;", ",""),", ","")
),_xlfn.XLOOKUP(B210,B:B,BX:BX))</f>
        <v>TropicalRainforest TropicalSwamp Glowforest Scarlands</v>
      </c>
      <c r="BY210" s="25" t="str">
        <f>IF(_xlfn.XLOOKUP(B210,'Base stats'!B:B,'Base stats'!AJ:AJ)=1,"true","false")</f>
        <v>false</v>
      </c>
      <c r="BZ210" s="25">
        <f>IF(_xlfn.XLOOKUP(B210,'Base stats'!B:B,'Base stats'!N:N)=1,"No",MAX(0.001,MIN(MROUND(IF(AND(BJ210="True",CC210="False"),POWER(10,3.47*LOG10(_xlfn.XLOOKUP(B210,'Base stats'!B:B,'Base stats'!C:C)*1000)^-0.96),POWER(10,4.15*LOG10(_xlfn.XLOOKUP(B210,'Base stats'!B:B,'Base stats'!C:C)*1000)^-0.73))*IF(_xlfn.XLOOKUP(B210,'Base stats'!B:B,'Base stats'!AK:AK)=1,0.5,1)*IF(_xlfn.XLOOKUP(B210,'Base stats'!B:B,'Base stats'!AM:AM)=1,0.1,1)/100,IF(_xlfn.XLOOKUP(B210,'Base stats'!B:B,'Base stats'!AM:AM)=1,0.001,0.025)),0.5)))</f>
        <v>2.9000000000000001E-2</v>
      </c>
      <c r="CA210" s="25" t="str">
        <f>IF(P210="Standard","No",MAX(0.001,MIN(MROUND(IF(AND(BJ210="True",CC210="False"),POWER(10,3.47*LOG10(_xlfn.XLOOKUP(B210,'Base stats'!B:B,'Base stats'!C:C)*1000)^-0.96),POWER(10,4.15*LOG10(_xlfn.XLOOKUP(B210,'Base stats'!B:B,'Base stats'!C:C)*1000)^-0.73))*IF(_xlfn.XLOOKUP(B210,'Base stats'!B:B,'Base stats'!AM:AM)=1,0.1,1)*_xlfn.XLOOKUP(B210,'Base stats'!B:B,'Base stats'!R:R)/100,IF(_xlfn.XLOOKUP(B210,'Base stats'!B:B,'Base stats'!AM:AM)=1,0.001,0.025)),0.5)))</f>
        <v>No</v>
      </c>
      <c r="CB210" s="25" t="str">
        <f>IF(_xlfn.XLOOKUP(_xlfn.XLOOKUP(B210,'Base stats'!B:B,'Base stats'!E:E),Groups!A:A,Groups!AJ:AJ)="Mammal","True","False")</f>
        <v>False</v>
      </c>
      <c r="CC210" s="25" t="str">
        <f>IF(OR(_xlfn.XLOOKUP(_xlfn.XLOOKUP(B210,'Base stats'!B:B,'Base stats'!E:E),Groups!A:A,Groups!AJ:AJ)="Reptile",_xlfn.XLOOKUP(_xlfn.XLOOKUP(B210,'Base stats'!B:B,'Base stats'!E:E),Groups!A:A,Groups!AJ:AJ)="Amphibian",_xlfn.XLOOKUP(_xlfn.XLOOKUP(B210,'Base stats'!B:B,'Base stats'!E:E),Groups!A:A,Groups!AJ:AJ)="Invertebrate"),"True","False")</f>
        <v>True</v>
      </c>
      <c r="CD210" s="25" t="str">
        <f t="shared" si="27"/>
        <v>False</v>
      </c>
      <c r="CE210" s="25" t="str">
        <f>IF(_xlfn.XLOOKUP(_xlfn.XLOOKUP(B210,'Base stats'!B:B,'Base stats'!E:E),Groups!A:A,Groups!AX:AX),"True","False")</f>
        <v>True</v>
      </c>
      <c r="CF210" s="25" t="str">
        <f>IF(_xlfn.XLOOKUP(_xlfn.XLOOKUP(B210,'Base stats'!B:B,'Base stats'!E:E),Groups!A:A,Groups!AY:AY),"True","False")</f>
        <v>False</v>
      </c>
      <c r="CG210" s="25" t="str">
        <f>IF(_xlfn.XLOOKUP(_xlfn.XLOOKUP(B210,'Base stats'!B:B,'Base stats'!E:E),Groups!A:A,Groups!AW:AW),"True","False")</f>
        <v>True</v>
      </c>
      <c r="CH210" s="25" t="str">
        <f>IF(
OR(
_xlfn.XLOOKUP(_xlfn.XLOOKUP(B210,'Base stats'!B:B,'Base stats'!E:E),Groups!A:A,Groups!AZ:AZ)=0,
AND(
_xlfn.XLOOKUP(B210,'Base stats'!B:B,'Base stats'!Y:Y)&lt;&gt;"Carnivore",
_xlfn.XLOOKUP(B210,'Base stats'!B:B,'Base stats'!Y:Y)&lt;&gt;"Omnivore",
_xlfn.XLOOKUP(B210,'Base stats'!B:B,'Base stats'!Y:Y)&lt;&gt;"OmnivoreRough"
)
),
"No",
IF(
_xlfn.XLOOKUP(_xlfn.XLOOKUP(B210,'Base stats'!B:B,'Base stats'!E:E),Groups!A:A,Groups!AZ:AZ)=1,
"Flesh",
IF(
_xlfn.XLOOKUP(_xlfn.XLOOKUP(B210,'Base stats'!B:B,'Base stats'!E:E),Groups!A:A,Groups!AZ:AZ)=2,
"Bone",
""
)
)
)</f>
        <v>No</v>
      </c>
      <c r="CI210" s="25" t="str">
        <f>IF(_xlfn.XLOOKUP(_xlfn.XLOOKUP(B210,'Base stats'!B:B,'Base stats'!E:E),Groups!A:A,Groups!BB:BB),"True","False")</f>
        <v>False</v>
      </c>
      <c r="CJ210" s="25" t="str">
        <f>IF(_xlfn.XLOOKUP(_xlfn.XLOOKUP(B210,'Base stats'!B:B,'Base stats'!E:E),Groups!A:A,Groups!BA:BA),"True","False")</f>
        <v>False</v>
      </c>
    </row>
    <row r="211" spans="1:88" ht="16.5" thickTop="1" thickBot="1" x14ac:dyDescent="0.3">
      <c r="A211" s="26" t="s">
        <v>1332</v>
      </c>
      <c r="B211" s="6" t="str">
        <f>_xlfn.XLOOKUP(A211,'Base stats'!A:A,'Base stats'!B:B)</f>
        <v>Acanthamoeba gigantea (large)</v>
      </c>
      <c r="C211" s="28" t="s">
        <v>1329</v>
      </c>
      <c r="D211" s="28" t="s">
        <v>1341</v>
      </c>
      <c r="E211" s="28" t="s">
        <v>673</v>
      </c>
      <c r="F211" s="28" t="s">
        <v>673</v>
      </c>
      <c r="G211" s="28" t="s">
        <v>673</v>
      </c>
      <c r="H211" s="2">
        <f>MROUND((
  (IF(AND(_xlfn.XLOOKUP(B211,'Base stats'!B:B,'Base stats'!AL:AL)=0,BI211="None",_xlfn.XLOOKUP(_xlfn.XLOOKUP(B211,'Base stats'!B:B,'Base stats'!E:E),Groups!A:A,Groups!B:B)=0), (18 + BR211 * 2.7) * 0.5,
    IF(AND(_xlfn.XLOOKUP(B211,'Base stats'!B:B,'Base stats'!AL:AL)=0,OR(AO211&lt;0.55,AND(BI211="Intermediate",_xlfn.XLOOKUP(_xlfn.XLOOKUP(B211,'Base stats'!B:B,'Base stats'!E:E),Groups!A:A,Groups!B:B)&lt;2))), (18 + BR211 * 2.7),
      IF(OR(BI211="Advanced",_xlfn.XLOOKUP(B211,'Base stats'!B:B,'Base stats'!AL:AL)=1,_xlfn.XLOOKUP(_xlfn.XLOOKUP(B211,'Base stats'!B:B,'Base stats'!E:E),Groups!A:A,Groups!B:B)=2), (18 + BR211 * 2.7) + 250, (18 + BR211 * 2.7))
    )
  ))
  + AO211 * 80
  + IF(COUNTIF(EggMilk!K$2:K$998, A211) &gt; 0, 125, 0)
  + IF(COUNTIF(EggMilk!P$2:P$998, A211) &gt; 0, 90, 0)
  + IF(COUNTIF(EggMilk!A$2:A$998, A211) &gt; 0, 90, 0)
)
* (0.8 + 0.4 * J211)
* 0.75,25)</f>
        <v>200</v>
      </c>
      <c r="I211" s="2">
        <f>MROUND(ROUNDDOWN(_xlfn.XLOOKUP(B211,'Base stats'!B:B,'Base stats'!L:L)/3.6/(23.3/11),1),0.5)</f>
        <v>1.5</v>
      </c>
      <c r="J211" s="2">
        <f>IF(OR(_xlfn.XLOOKUP(B211,'Base stats'!B:B,'Base stats'!AB:AB)=1,_xlfn.XLOOKUP(_xlfn.XLOOKUP(B211,'Base stats'!B:B,'Base stats'!E:E),Groups!A:A,Groups!C:C)="Untamable"),1,IF(_xlfn.XLOOKUP(B211,'Base stats'!B:B,'Base stats'!AL:AL)=1,0.99,MIN(MROUND((1-0.6282*EXP(-0.459*AO211))*_xlfn.XLOOKUP(_xlfn.XLOOKUP(B211,'Base stats'!B:B,'Base stats'!E:E),Groups!A:A,Groups!C:C)*IF(_xlfn.XLOOKUP(B211,'Base stats'!B:B,'Base stats'!O:O)=1,0.5,IF(_xlfn.XLOOKUP(B211,'Base stats'!B:B,'Base stats'!O:O)=2,0,1)),0.05),IF(AO211&gt;3.5,0.985,0.95))))</f>
        <v>0.55000000000000004</v>
      </c>
      <c r="K211" s="2">
        <f>ROUNDUP(AO211*_xlfn.XLOOKUP(_xlfn.XLOOKUP(B211,'Base stats'!B:B,'Base stats'!E:E),Groups!A:A,Groups!E:E),0)</f>
        <v>1</v>
      </c>
      <c r="L211" s="2">
        <f>IF(OR(_xlfn.XLOOKUP(_xlfn.XLOOKUP(B211,'Base stats'!B:B,'Base stats'!E:E),Groups!A:A,Groups!F:F)=2,ISNUMBER(SEARCH("SeaIce",BX211)),ISNUMBER(SEARCH("IceSheet",BX211))),-50,IF(OR(ISNUMBER(SEARCH("GlacialPlain",BX211)),ISNUMBER(SEARCH("Tundra",BX211))),-40,IF(OR(ISNUMBER(SEARCH("Alpine",BX211)),ISNUMBER(SEARCH("BorealForest",BX211)),ISNUMBER(SEARCH("ColdBog",BX211))),-30,IF(OR(ISNUMBER(SEARCH("TemperateForest",BX211)),ISNUMBER(SEARCH("TemperateSwamp",BX211))),-20,IF(_xlfn.XLOOKUP(_xlfn.XLOOKUP(B211,'Base stats'!B:B,'Base stats'!E:E),Groups!A:A,Groups!F:F)=1,-15,IF(OR(ISNUMBER(SEARCH("Desert",BX211)),ISNUMBER(SEARCH("ExtremeDesert",BX211))),-10,IF(OR(ISNUMBER(SEARCH("Grasslands",BX211)),ISNUMBER(SEARCH("TropicalRainforest",BX211)),ISNUMBER(SEARCH("TropicalSwamp",BX211))),10,0)))))))-IF(CC211="False",MIN(IFERROR(MAX(MROUND(LOG10(_xlfn.XLOOKUP(B211,'Base stats'!B:B,'Base stats'!C:C)^(2/3))*10,5),5),5),30))-_xlfn.XLOOKUP(B211,'Base stats'!B:B,'Base stats'!P:P)+IF(CC211="True",5,0)</f>
        <v>5</v>
      </c>
      <c r="M211" s="2">
        <f>IF(OR(_xlfn.XLOOKUP(_xlfn.XLOOKUP(B211,'Base stats'!B:B,'Base stats'!E:E),Groups!A:A,Groups!G:G)=2,ISNUMBER(SEARCH("Desert",BX211)),ISNUMBER(SEARCH("ExtremeDesert",BX211)),ISNUMBER(SEARCH("LavaField",BX211))),50,IF(ISNUMBER(SEARCH("Grasslands",BX211)),45,IF(OR(_xlfn.XLOOKUP(_xlfn.XLOOKUP(B211,'Base stats'!B:B,'Base stats'!E:E),Groups!A:A,Groups!G:G)=1,ISNUMBER(SEARCH("TropicalRainforest",BX211)),ISNUMBER(SEARCH("TropicalSwamp",BX211))),40,IF(OR(ISNUMBER(SEARCH("TemperateForest",BX211)),ISNUMBER(SEARCH("TemperateSwamp",BX211))),35,IF(OR(ISNUMBER(SEARCH("Alpine",BX211)),ISNUMBER(SEARCH("BorealForest",BX211)),ISNUMBER(SEARCH("ColdBog",BX211))),30,IF(ISNUMBER(OR(ISNUMBER(SEARCH("GlacialPlain",BX211)),SEARCH("Tundra",BX211))),25,IF(OR(ISNUMBER(SEARCH("SeaIce",BX211)),ISNUMBER(SEARCH("IceSheet",BX211)),ISNUMBER(SEARCH("TropicalSwamp",BX211))),10,35)))))))+_xlfn.XLOOKUP(B211,'Base stats'!B:B,'Base stats'!Q:Q)</f>
        <v>35</v>
      </c>
      <c r="N211" s="8" t="str">
        <f>IF(
_xlfn.XLOOKUP(
_xlfn.XLOOKUP(B211,'Base stats'!B:B,'Base stats'!E:E),
Groups!A:A,
Groups!L:L
)=1,
MIN(
MROUND(
IF(
_xlfn.XLOOKUP(B211,'Animals CE'!B:B,'Animals CE'!Z:Z)&lt;=1.5,
_xlfn.XLOOKUP(B211,'Animals CE'!B:B,'Animals CE'!Z:Z)/2+0.05,
0.8+
(_xlfn.XLOOKUP(B211,'Animals CE'!B:B,'Animals CE'!Z:Z)-1.5)
*0.02
),
0.05
),
200%
),
"No"
)</f>
        <v>No</v>
      </c>
      <c r="O211" s="8" t="str">
        <f>IF(
_xlfn.XLOOKUP(
_xlfn.XLOOKUP(B211,'Base stats'!B:B,'Base stats'!E:E),
Groups!A:A,
Groups!L:L
)=1,
MIN(
MROUND(
IF(
_xlfn.XLOOKUP(B211,'Animals CE'!B:B,'Animals CE'!AA:AA)&lt;=1.5,
_xlfn.XLOOKUP(B211,'Animals CE'!B:B,'Animals CE'!AA:AA)/2+0.05,
0.8+
(_xlfn.XLOOKUP(B211,'Animals CE'!B:B,'Animals CE'!AA:AA)-1.5)
*0.02
),
0.05
),
200%
),
"No"
)</f>
        <v>No</v>
      </c>
      <c r="P211" s="2" t="str">
        <f>_xlfn.XLOOKUP(B211,'Base stats'!B:B,'Base stats'!R:R)</f>
        <v>Standard</v>
      </c>
      <c r="Q211" s="13">
        <f>MROUND((LOG10(_xlfn.XLOOKUP(B211,'Base stats'!B:B,'Base stats'!AR:AR))*(AO211^0.5)+(_xlfn.XLOOKUP(B211,'Base stats'!B:B,'Base stats'!AR:AR)/1000)^(2/3)+_xlfn.XLOOKUP(B211,'Base stats'!B:B,'Base stats'!BA:BA)/2)+0.5,0.5)</f>
        <v>6.5</v>
      </c>
      <c r="R211" s="7">
        <f>IF(Q211="No","No",MAX(1,MROUND(_xlfn.XLOOKUP(B211,'Base stats'!B:B,'Base stats'!C:C)^0.165,0.05)))</f>
        <v>1.9000000000000001</v>
      </c>
      <c r="S211" s="13" t="str">
        <f>IF(_xlfn.XLOOKUP(_xlfn.XLOOKUP(B211,'Base stats'!B:B,'Base stats'!E:E),Groups!A:A,Groups!P:P)=0,"No",MROUND((LOG10(_xlfn.XLOOKUP(B211,'Base stats'!B:B,'Base stats'!AS:AS))*(AO211^0.5)+(_xlfn.XLOOKUP(B211,'Base stats'!B:B,'Base stats'!AS:AS)/1000)^(2/3)+_xlfn.XLOOKUP(B211,'Base stats'!B:B,'Base stats'!BA:BA))+_xlfn.XLOOKUP(B211,'Base stats'!B:B,'Base stats'!AY:AY)+0.5,0.5))</f>
        <v>No</v>
      </c>
      <c r="T211" s="7" t="str">
        <f>IF(S211="No","No",MAX(_xlfn.XLOOKUP(_xlfn.XLOOKUP(B211,'Base stats'!B:B,'Base stats'!E:E),Groups!A:A,Groups!Q:Q),MROUND(_xlfn.XLOOKUP(_xlfn.XLOOKUP(B211,'Base stats'!B:B,'Base stats'!E:E),Groups!A:A,Groups!Q:Q)*_xlfn.XLOOKUP(B211,'Base stats'!B:B,'Base stats'!C:C)^0.165,0.05)))</f>
        <v>No</v>
      </c>
      <c r="U211" s="7" t="str">
        <f>IF(S211="No","No",_xlfn.XLOOKUP(_xlfn.XLOOKUP(B211,'Base stats'!B:B,'Base stats'!E:E),Groups!A:A,Groups!R:R))</f>
        <v>No</v>
      </c>
      <c r="V211" s="7" t="str">
        <f>IF(S211="No","No",_xlfn.XLOOKUP(_xlfn.XLOOKUP(B211,'Base stats'!B:B,'Base stats'!E:E),Groups!A:A,Groups!S:S))</f>
        <v>No</v>
      </c>
      <c r="W211" s="7" t="str">
        <f>IF(S211="No","No",_xlfn.XLOOKUP(_xlfn.XLOOKUP(B211,'Base stats'!B:B,'Base stats'!E:E),Groups!A:A,Groups!T:T))</f>
        <v>No</v>
      </c>
      <c r="X211" s="13" t="str">
        <f>IF(_xlfn.XLOOKUP(B211,'Base stats'!B:B,'Base stats'!W:W)="No","No",MROUND((LOG10(_xlfn.XLOOKUP(B211,'Base stats'!B:B,'Base stats'!AU:AU))*(AO211^0.5)+(_xlfn.XLOOKUP(B211,'Base stats'!B:B,'Base stats'!AU:AU)/1000)^(2/3)+_xlfn.XLOOKUP(B211,'Base stats'!B:B,'Base stats'!AZ:AZ))+0.5+IF(_xlfn.XLOOKUP(_xlfn.XLOOKUP(B211,'Base stats'!B:B,'Base stats'!E:E),Groups!A:A,Groups!U:U)&lt;&gt;3,_xlfn.XLOOKUP(B211,'Base stats'!B:B,'Base stats'!BA:BA),0),0.5))</f>
        <v>No</v>
      </c>
      <c r="Y211" s="7" t="str">
        <f>IF(X211="No","No",MAX(_xlfn.XLOOKUP(_xlfn.XLOOKUP(B211,'Base stats'!B:B,'Base stats'!E:E),Groups!A:A,Groups!V:V),MROUND(_xlfn.XLOOKUP(_xlfn.XLOOKUP(B211,'Base stats'!B:B,'Base stats'!E:E),Groups!A:A,Groups!V:V)*_xlfn.XLOOKUP(B211,'Base stats'!B:B,'Base stats'!C:C)^0.165,0.05)))</f>
        <v>No</v>
      </c>
      <c r="Z211" s="7" t="str">
        <f>IF(X211="No","No",_xlfn.XLOOKUP(_xlfn.XLOOKUP(B211,'Base stats'!B:B,'Base stats'!E:E),Groups!A:A,Groups!W:W))</f>
        <v>No</v>
      </c>
      <c r="AA211" s="7" t="str">
        <f>IF(X211="No","No",_xlfn.XLOOKUP(_xlfn.XLOOKUP(B211,'Base stats'!B:B,'Base stats'!E:E),Groups!A:A,Groups!X:X))</f>
        <v>No</v>
      </c>
      <c r="AB211" s="7" t="str">
        <f>IF(X211="No","No",_xlfn.XLOOKUP(_xlfn.XLOOKUP(B211,'Base stats'!B:B,'Base stats'!E:E),Groups!A:A,Groups!Y:Y))</f>
        <v>No</v>
      </c>
      <c r="AC211" s="7" t="str">
        <f>_xlfn.XLOOKUP(Animals!B211,'Base stats'!B:B,'Base stats'!X:X)</f>
        <v>False</v>
      </c>
      <c r="AD211" s="13" t="str">
        <f>IF(_xlfn.XLOOKUP(B211,'Base stats'!B:B,'Base stats'!AT:AT)="No","No",MROUND((LOG10(_xlfn.XLOOKUP(B211,'Base stats'!B:B,'Base stats'!AT:AT))*(AO211^0.75)+(_xlfn.XLOOKUP(B211,'Base stats'!B:B,'Base stats'!AT:AT)/1000)^(2/3)+_xlfn.XLOOKUP(B211,'Base stats'!B:B,'Base stats'!AX:AX)+_xlfn.XLOOKUP(B211,'Base stats'!B:B,'Base stats'!BA:BA))+0.5,0.5))</f>
        <v>No</v>
      </c>
      <c r="AE211" s="7" t="str">
        <f>IF(AD211="No","No",MAX(_xlfn.XLOOKUP(_xlfn.XLOOKUP(B211,'Base stats'!B:B,'Base stats'!E:E),Groups!A:A,Groups!Z:Z),MROUND(_xlfn.XLOOKUP(_xlfn.XLOOKUP(B211,'Base stats'!B:B,'Base stats'!E:E),Groups!A:A,Groups!Z:Z)*_xlfn.XLOOKUP(B211,'Base stats'!B:B,'Base stats'!C:C)^0.165,0.05)))</f>
        <v>No</v>
      </c>
      <c r="AF211" s="7" t="str">
        <f>IF(AD211="No","No",_xlfn.XLOOKUP(_xlfn.XLOOKUP(B211,'Base stats'!B:B,'Base stats'!E:E),Groups!A:A,Groups!AA:AA))</f>
        <v>No</v>
      </c>
      <c r="AG211" s="7" t="str">
        <f>IF(AD211="No","No",_xlfn.XLOOKUP(_xlfn.XLOOKUP(B211,'Base stats'!B:B,'Base stats'!E:E),Groups!A:A,Groups!AB:AB))</f>
        <v>No</v>
      </c>
      <c r="AH211" s="7" t="str">
        <f>IF(AD211="No","No",_xlfn.XLOOKUP(_xlfn.XLOOKUP(B211,'Base stats'!B:B,'Base stats'!E:E),Groups!A:A,Groups!AC:AC))</f>
        <v>No</v>
      </c>
      <c r="AI211" s="13">
        <f>IF(_xlfn.XLOOKUP(_xlfn.XLOOKUP(B211,'Base stats'!B:B,'Base stats'!E:E),Groups!A:A,Groups!AD:AD)=0,"No",MROUND((LOG10(_xlfn.XLOOKUP(B211,'Base stats'!B:B,'Base stats'!AS:AS))*(AO211^0.75)+(_xlfn.XLOOKUP(B211,'Base stats'!B:B,'Base stats'!AS:AS)/1000)^(2/3)+_xlfn.XLOOKUP(B211,'Base stats'!B:B,'Base stats'!AY:AY)+_xlfn.XLOOKUP(B211,'Base stats'!B:B,'Base stats'!BA:BA))+0.5,0.5))</f>
        <v>8</v>
      </c>
      <c r="AJ211" s="7">
        <f>IF(AI211="No","No",MAX(_xlfn.XLOOKUP(_xlfn.XLOOKUP(B211,'Base stats'!B:B,'Base stats'!E:E),Groups!A:A,Groups!AE:AE),MROUND(_xlfn.XLOOKUP(_xlfn.XLOOKUP(B211,'Base stats'!B:B,'Base stats'!E:E),Groups!A:A,Groups!AE:AE)*IF(_xlfn.XLOOKUP(_xlfn.XLOOKUP(B211,'Base stats'!B:B,'Base stats'!E:E),Groups!A:A,Groups!AJ:AJ)="Photonozoa",0.6,1)*_xlfn.XLOOKUP(B211,'Base stats'!B:B,'Base stats'!C:C)^0.165,0.05)))</f>
        <v>1.4500000000000002</v>
      </c>
      <c r="AK211" s="7" t="str">
        <f>IF(AI211="No","No",_xlfn.XLOOKUP(_xlfn.XLOOKUP(B211,'Base stats'!B:B,'Base stats'!E:E),Groups!A:A,Groups!AF:AF))</f>
        <v>Arms</v>
      </c>
      <c r="AL211" s="7" t="str">
        <f>IF(AI211="No","No",_xlfn.XLOOKUP(_xlfn.XLOOKUP(B211,'Base stats'!B:B,'Base stats'!E:E),Groups!A:A,Groups!AG:AG))</f>
        <v>arms</v>
      </c>
      <c r="AM211" s="7" t="str">
        <f>IF(AI211="No","No",_xlfn.XLOOKUP(_xlfn.XLOOKUP(B211,'Base stats'!B:B,'Base stats'!E:E),Groups!A:A,Groups!AH:AH))</f>
        <v>Blunt</v>
      </c>
      <c r="AN211" s="2" t="str">
        <f t="shared" si="21"/>
        <v>No</v>
      </c>
      <c r="AO211" s="2">
        <f>MROUND(IF(AND(_xlfn.XLOOKUP(B211,'Base stats'!B:B,'Base stats'!C:C)&gt;=0.5,_xlfn.XLOOKUP(B211,'Base stats'!B:B,'Base stats'!C:C)&lt;=0.8),
IF(_xlfn.XLOOKUP(B211,'Base stats'!B:B,'Base stats'!C:C)&lt;0.1,0.05,IF(_xlfn.XLOOKUP(B211,'Base stats'!B:B,'Base stats'!C:C)&lt;=70,(_xlfn.XLOOKUP(B211,'Base stats'!B:B,'Base stats'!C:C)/70)^0.426489913056526,IF(_xlfn.XLOOKUP(B211,'Base stats'!B:B,'Base stats'!C:C)&lt;=400,(_xlfn.XLOOKUP(B211,'Base stats'!B:B,'Base stats'!C:C)/70)^0.572811455315093,IF(_xlfn.XLOOKUP(B211,'Base stats'!B:B,'Base stats'!C:C)&lt;=2000,2.71391647193063*(_xlfn.XLOOKUP(B211,'Base stats'!B:B,'Base stats'!C:C)/400)^0.252459582904293,3.74314280240376*(_xlfn.XLOOKUP(B211,'Base stats'!B:B,'Base stats'!C:C)/2000)^0.357012633876913)))),
IF(_xlfn.XLOOKUP(B211,'Base stats'!B:B,'Base stats'!C:C)&lt;0.1,0.05,IF(_xlfn.XLOOKUP(B211,'Base stats'!B:B,'Base stats'!C:C)&lt;0.4,0.1,IF(_xlfn.XLOOKUP(B211,'Base stats'!B:B,'Base stats'!C:C)&lt;=70,(_xlfn.XLOOKUP(B211,'Base stats'!B:B,'Base stats'!C:C)/70)^0.445823913056526,IF(_xlfn.XLOOKUP(B211,'Base stats'!B:B,'Base stats'!C:C)&lt;=400,(_xlfn.XLOOKUP(B211,'Base stats'!B:B,'Base stats'!C:C)/70)^0.572811455315093,IF(_xlfn.XLOOKUP(B211,'Base stats'!B:B,'Base stats'!C:C)&lt;=2000,2.71391647193063*(_xlfn.XLOOKUP(B211,'Base stats'!B:B,'Base stats'!C:C)/400)^0.252459582904293,3.74314280240376*(_xlfn.XLOOKUP(B211,'Base stats'!B:B,'Base stats'!C:C)/2000)^0.357012633876913)))))),
IF(_xlfn.XLOOKUP(B211,'Base stats'!B:B,'Base stats'!C:C)&lt;0.1,0.05,IF(_xlfn.XLOOKUP(B211,'Base stats'!B:B,'Base stats'!C:C)&lt;=100,0.05,IF(_xlfn.XLOOKUP(B211,'Base stats'!B:B,'Base stats'!C:C)&lt;=250,0.1,IF(_xlfn.XLOOKUP(B211,'Base stats'!B:B,'Base stats'!C:C)&lt;=4000,0.25,0.5)))))</f>
        <v>0.85000000000000009</v>
      </c>
      <c r="AP211" s="8">
        <f>MROUND(AO211*_xlfn.XLOOKUP(_xlfn.XLOOKUP(B211,'Base stats'!B:B,'Base stats'!E:E),Groups!A:A,Groups!AI:AI)*_xlfn.XLOOKUP(B211,'Base stats'!B:B,'Base stats'!Z:Z),0.05)</f>
        <v>0.85000000000000009</v>
      </c>
      <c r="AQ211" s="8">
        <f>MAX(0.01,MROUND(IF(CC211="True",0.196*(AO211*100*1000)^0.889,IF(_xlfn.XLOOKUP(_xlfn.XLOOKUP(B211,'Base stats'!B:B,'Base stats'!E:E),Groups!A:A,Groups!AJ:AJ)="Bird",10.5*(AO211*100*1000)^0.681,4.82*(AO211*100*1000)^0.734))/(4.82*(1*100*1000)^0.734)/IF(AO211&lt;3.5,2,IF(AO211=3.5,1.5,1.25))*(1+0.132282374779864/(AO211^0.994035016789033+0.00905238001496948)),0.05))</f>
        <v>0.1</v>
      </c>
      <c r="AR211" s="9">
        <f>IFERROR(MROUND(_xlfn.XLOOKUP(B211,'Base stats'!B:B,'Base stats'!H:H)/IF(_xlfn.XLOOKUP(B211,'Base stats'!B:B,'Base stats'!I:I)&lt;&gt;1,(122.5/70),1.2),IF(_xlfn.XLOOKUP(B211,'Base stats'!B:B,'Base stats'!H:H)&gt;=30,5,IF(_xlfn.XLOOKUP(B211,'Base stats'!B:B,'Base stats'!H:H)&gt;=15,3,IF(_xlfn.XLOOKUP(B211,'Base stats'!B:B,'Base stats'!H:H)&gt;=10,2,1)))),"Immortal")</f>
        <v>3</v>
      </c>
      <c r="AS211" s="35" t="str">
        <f>IFERROR(IF(OR(_xlfn.XLOOKUP(B211,'Base stats'!B:B,'Base stats'!F:F)="Atypical reproduction",_xlfn.XLOOKUP(B211,'Base stats'!B:B,'Base stats'!F:F)="Lay eggs"),"Lay eggs",MIN(20,MAX(5.5,ROUND(((_xlfn.XLOOKUP(B211,'Base stats'!B:B,'Base stats'!F:F)-25)*(14.5/615) + 5.5)*2,0)/2))),"Unknown")</f>
        <v>Lay eggs</v>
      </c>
      <c r="AT211" s="8" t="str">
        <f>IF(_xlfn.XLOOKUP(B211,'Base stats'!B:B,'Base stats'!G:G)="Atypical reproduction","No",IFERROR(MAX(IF(_xlfn.XLOOKUP(B211,'Base stats'!B:B,'Base stats'!G:G)&lt;0.5,0.2,0.3),MROUND(_xlfn.XLOOKUP(B211,'Base stats'!B:B,'Base stats'!G:G)/(365/60),0.2)),"Unknown"))</f>
        <v>No</v>
      </c>
      <c r="AU211" s="8" t="str">
        <f t="shared" si="22"/>
        <v>No</v>
      </c>
      <c r="AV211" s="8" t="str">
        <f>IFERROR(IFERROR(MROUND(_xlfn.XLOOKUP(B211,'Base stats'!B:B,'Base stats'!J:J),0.1),"Lay eggs"),"Cannot breed")</f>
        <v>Lay eggs</v>
      </c>
      <c r="AW211" s="2" t="str">
        <f t="shared" si="23"/>
        <v>false</v>
      </c>
      <c r="AX211" s="2" t="str">
        <f>IF(_xlfn.XLOOKUP(_xlfn.XLOOKUP(Animals!B211,'Base stats'!B:B,'Base stats'!E:E),Groups!A:A,Groups!AK:AK)=1,"true","false")</f>
        <v>false</v>
      </c>
      <c r="AY211" s="25" t="str">
        <f>IF(_xlfn.XLOOKUP(B211,'Base stats'!B:B,'Base stats'!Y:Y)="Liquor","Liquor, CarnivoreAnimalStrict",IF(AND(_xlfn.XLOOKUP(B211,'Base stats'!B:B,'Base stats'!Y:Y)="Carnivore",_xlfn.XLOOKUP(_xlfn.XLOOKUP(B211,'Base stats'!B:B,'Base stats'!E:E),Groups!A:A,Groups!AJ:AJ)="Photonozoa"),"CarnivoreAnimalStrict, OvivoreAnimal",IF(_xlfn.XLOOKUP(B211,'Base stats'!B:B,'Base stats'!Y:Y)="Carnivore","CarnivoreAnimal, OvivoreAnimal",IF(_xlfn.XLOOKUP(B211,'Base stats'!B:B,'Base stats'!Y:Y)="Dendrovore","VegetarianRoughAnimal, DendrovoreAnimal",IF(_xlfn.XLOOKUP(B211,'Base stats'!B:B,'Base stats'!Y:Y)="Herbivore","VegetarianRoughAnimal",IF(_xlfn.XLOOKUP(B211,'Base stats'!B:B,'Base stats'!Y:Y)="OmnivoreRough","OmnivoreRoughAnimal, OvivoreAnimal","OmnivoreAnimal, OvivoreAnimal"))))))</f>
        <v>VegetarianRoughAnimal</v>
      </c>
      <c r="AZ211" s="2">
        <f>IF(_xlfn.XLOOKUP(_xlfn.XLOOKUP(B211,'Base stats'!B:B,'Base stats'!E:E),Groups!A:A,Groups!D:D)=1,MROUND((1-J211)*5+1,2)*IF(J211&lt;=0.4,2,1),"No")</f>
        <v>4</v>
      </c>
      <c r="BA211" s="2" t="str">
        <f>IF(AND(_xlfn.XLOOKUP(B211,'Base stats'!B:B,'Base stats'!AH:AH)="&lt;li&gt;Seal&lt;/li&gt;",G211="Odyssey"),"&lt;li&gt;AEXP_Seal&lt;/li&gt;",_xlfn.XLOOKUP(B211,'Base stats'!B:B,'Base stats'!AH:AH))</f>
        <v>&lt;li&gt;Megaspider&lt;/li&gt;</v>
      </c>
      <c r="BB211" s="2" t="str">
        <f>_xlfn.XLOOKUP(B211,'Base stats'!B:B,'Base stats'!AG:AG)</f>
        <v>No</v>
      </c>
      <c r="BC211" s="23" t="str">
        <f>_xlfn.XLOOKUP(_xlfn.XLOOKUP(B211,'Base stats'!B:B,'Base stats'!E:E),Groups!A:A,Groups!AL:AL)</f>
        <v>GooBody</v>
      </c>
      <c r="BD211" s="23">
        <f>MIN(1,MROUND(IF(AND(AO211&lt;0.5,_xlfn.XLOOKUP(B211,'Base stats'!B:B,'Base stats'!AA:AA)=0),0,IF(OR(_xlfn.XLOOKUP(Animals!B211,'Base stats'!B:B,'Base stats'!O:O)=2,_xlfn.XLOOKUP(_xlfn.XLOOKUP(B211,'Base stats'!B:B,'Base stats'!E:E),Groups!A:A,Groups!AN:AN)=0),0,_xlfn.XLOOKUP(_xlfn.XLOOKUP(B211,'Base stats'!B:B,'Base stats'!E:E),Groups!A:A,Groups!AN:AN)/IF(_xlfn.XLOOKUP(Animals!B211,'Base stats'!B:B,'Base stats'!O:O)=1,2,1)))+_xlfn.XLOOKUP(B211,'Base stats'!B:B,'Base stats'!AC:AC),0.005))</f>
        <v>0</v>
      </c>
      <c r="BE211" s="23">
        <f>MIN(1,MROUND(IF(AND(AO211&lt;0.5,_xlfn.XLOOKUP(B211,'Base stats'!B:B,'Base stats'!AA:AA)=0),0,IF(_xlfn.XLOOKUP(_xlfn.XLOOKUP(B211,'Base stats'!B:B,'Base stats'!E:E),Groups!A:A,Groups!AO:AO)=0,0,_xlfn.XLOOKUP(_xlfn.XLOOKUP(B211,'Base stats'!B:B,'Base stats'!E:E),Groups!A:A,Groups!AO:AO)/IF(_xlfn.XLOOKUP(Animals!B211,'Base stats'!B:B,'Base stats'!O:O)=2,3,1)))+_xlfn.XLOOKUP(B211,'Base stats'!B:B,'Base stats'!AD:AD),0.005))</f>
        <v>0</v>
      </c>
      <c r="BF211" s="2" t="str">
        <f>IF(J211&gt;0.3,"No",_xlfn.XLOOKUP(_xlfn.XLOOKUP(Animals!B211,'Base stats'!B:B,'Base stats'!E:E),Groups!A:A,Groups!AP:AP))</f>
        <v>No</v>
      </c>
      <c r="BG211" s="2" t="str">
        <f>IF(AND(J211&lt;=0.65,_xlfn.XLOOKUP(_xlfn.XLOOKUP(Animals!B211,'Base stats'!B:B,'Base stats'!E:E),Groups!A:A,Groups!AP:AP)&lt;&gt;"No",_xlfn.XLOOKUP(_xlfn.XLOOKUP(B211,'Base stats'!B:B,'Base stats'!E:E),Groups!A:A,Groups!D:D)=0),MROUND((80/3)*IF(_xlfn.XLOOKUP(B211,'Base stats'!B:B,'Base stats'!O:O)=2,0.2,AO211) + 24*(1-IF(BF211="No",0,BF211)) + 16/3, 12),"No")</f>
        <v>No</v>
      </c>
      <c r="BH211" s="2">
        <f>IF(AND(_xlfn.XLOOKUP(_xlfn.XLOOKUP(B211,'Base stats'!B:B,'Base stats'!E:E),Groups!A:A,Groups!AQ:AQ)=1,AO211&lt;=0.35),8,12)</f>
        <v>12</v>
      </c>
      <c r="BI211" s="2" t="str">
        <f>IF(_xlfn.XLOOKUP(_xlfn.XLOOKUP(B211,'Base stats'!B:B,'Base stats'!E:E),Groups!A:A,Groups!D:D)=0,_xlfn.XLOOKUP(_xlfn.XLOOKUP(B211,'Base stats'!B:B,'Base stats'!E:E),Groups!A:A,Groups!AR:AR),"None")</f>
        <v>None</v>
      </c>
      <c r="BJ211" s="2" t="str">
        <f>IF(AND(_xlfn.XLOOKUP(_xlfn.XLOOKUP(B211,'Base stats'!B:B,'Base stats'!E:E),Groups!A:A,Groups!AS:AS)=1,OR(_xlfn.XLOOKUP(B211,'Base stats'!B:B,'Base stats'!Y:Y)="Carnivore",_xlfn.XLOOKUP(B211,'Base stats'!B:B,'Base stats'!Y:Y)="Omnivore")),"true","false")</f>
        <v>false</v>
      </c>
      <c r="BK211" s="2" t="str">
        <f>IF(BJ211="true",MROUND(IF(AND(AO211&gt;0.5,OR(_xlfn.XLOOKUP(_xlfn.XLOOKUP(B211,'Base stats'!B:B,'Base stats'!E:E),Groups!A:A,Groups!AJ:AJ)="Photonozoa",_xlfn.XLOOKUP(_xlfn.XLOOKUP(B211,'Base stats'!B:B,'Base stats'!E:E),Groups!A:A,Groups!AJ:AJ)="Mammal")),Animals!AO211*1.75*IF(AW211="true",1.5,1),IF(AO211&lt;0.5,Animals!AO211*0.5,Animals!AO211)),IF(AO211&gt;2,0.5,IF(AO211&gt;0.5,0.25,0.1))),"No")</f>
        <v>No</v>
      </c>
      <c r="BL211" s="2">
        <f t="shared" si="24"/>
        <v>0</v>
      </c>
      <c r="BM211" s="25" t="str">
        <f>IF(_xlfn.XLOOKUP(B211,'Base stats'!B:B,'Base stats'!AN:AN)="Standard","No",MROUND((_xlfn.XLOOKUP(B211,'Base stats'!B:B,'Base stats'!AN:AN)/3.6)/I211,0.1))</f>
        <v>No</v>
      </c>
      <c r="BN211" s="25" t="str">
        <f t="shared" si="25"/>
        <v>false</v>
      </c>
      <c r="BO211" s="25" t="str">
        <f>IF(AND(OR(_xlfn.XLOOKUP(B211,'Base stats'!B:B,'Base stats'!Y:Y)="Carnivore",_xlfn.XLOOKUP(B211,'Base stats'!B:B,'Base stats'!Y:Y)="Omnivore",_xlfn.XLOOKUP(B211,'Base stats'!B:B,'Base stats'!Y:Y)="OmnivoreRough"),_xlfn.XLOOKUP(_xlfn.XLOOKUP(B211,'Base stats'!B:B,'Base stats'!E:E),Groups!A:A,Groups!AT:AT)=1),"true","false")</f>
        <v>false</v>
      </c>
      <c r="BP211" s="25" t="str" cm="1">
        <f t="array" ref="BP211">IF(
  _xlfn.TEXTJOIN(", ",TRUE,
    IF(AND(BJ211="true",AO211&gt;0.5,BI211&lt;&gt;"None"),"AttackTarget",""),
    IF(AND(_xlfn.XLOOKUP(_xlfn.XLOOKUP(B211,'Base stats'!B:B,'Base stats'!E:E),Groups!A:A,Groups!AJ:AJ="Mammal"),OR(_xlfn.XLOOKUP(B211,'Base stats'!B:B,'Base stats'!Y:Y)="Omnivore",_xlfn.XLOOKUP(B211,'Base stats'!B:B,'Base stats'!Y:Y)="OmnivoreRough")),"Forage",""),
    IF(BG211&lt;=36,"Comfort",""),
    IF(_xlfn.XLOOKUP(B211,'Base stats'!B:B,'Base stats'!AE:AE)&lt;&gt;"No",_xlfn.XLOOKUP(B211,'Base stats'!B:B,'Base stats'!AE:AE),"")
  ) = "",
  "No",
  _xlfn.TEXTJOIN(", ",TRUE,
    IF(AND(BJ211="true",AO211&gt;0.5,BI211&lt;&gt;"None"),"AttackTarget",""),
    IF(AND(_xlfn.XLOOKUP(_xlfn.XLOOKUP(B211,'Base stats'!B:B,'Base stats'!E:E),Groups!A:A,Groups!AJ:AJ="Mammal"),OR(_xlfn.XLOOKUP(B211,'Base stats'!B:B,'Base stats'!Y:Y)="Omnivore",_xlfn.XLOOKUP(B211,'Base stats'!B:B,'Base stats'!Y:Y)="OmnivoreRough")),"Forage",""),
    IF(BG211&lt;=36,"Comfort",""),
    IF(_xlfn.XLOOKUP(B211,'Base stats'!B:B,'Base stats'!AE:AE)&lt;&gt;"No",_xlfn.XLOOKUP(B211,'Base stats'!B:B,'Base stats'!AE:AE),"")
  )
)</f>
        <v>No</v>
      </c>
      <c r="BQ211" s="25" t="str">
        <f>IF(
   AND(
      'Base stats'!AN211="Standard",_xlfn.XLOOKUP(_xlfn.XLOOKUP(B211,'Base stats'!B:B,'Base stats'!E:E),Groups!A:A,Groups!AU:AU)=0,
      OR(
      BO211="True"
      )
   ),
   10,
   IF(
       OR(BM211&lt;&gt;"No",_xlfn.XLOOKUP(_xlfn.XLOOKUP(B211,'Base stats'!B:B,'Base stats'!E:E),Groups!A:A,Groups!AU:AU)=1),
      1,
      "No"
   )
)</f>
        <v>No</v>
      </c>
      <c r="BR211" s="9">
        <f>MROUND((1 + ((0.2*IF(OR(Q211="No",R211="No",R211=0),0,Q211/R211)
+IF(OR(V211="No",S211="No",T211="No"),0,S211/T211*(LEN(V211)-LEN(SUBSTITUTE(V211,",",""))+1))
+IF(OR(X211="No",Y211="No"),0,X211/Y211)
+IF(OR(AD211="No",AE211="No"),0,AD211/AE211)
+IF(OR(AL211="No",AI211="No",AJ211="No"),0,AI211/AJ211*(LEN(AL211)-LEN(SUBSTITUTE(AL211,",",""))+1))
)/(0.2*IF(OR(Q211="No",R211="No",R211=0),0,1)
+IF(OR(V211="No",S211="No",T211="No"),0,LEN(V211)-LEN(SUBSTITUTE(V211,",",""))+1)
+IF(OR(X211="No",Y211="No"),0,1)
+IF(OR(AD211="No",AE211="No"),0,1)
+IF(OR(AL211="No",AI211="No",AJ211="No"),0,LEN(AL211)-LEN(SUBSTITUTE(AL211,",",""))+1))*62%)* 2)*(1 + (AP211 / (IF(_xlfn.XLOOKUP(_xlfn.XLOOKUP(B211,'Base stats'!B:B,'Base stats'!E:E),Groups!A:A,Groups!AJ:AJ)="Photonozoa",0.3,1)) + _xlfn.XLOOKUP(B211,'Base stats'!B:B,'Base stats'!AV:AV) * 1.8) * 2) * 2.5 + 10 + I211 * 2,5)+IF(_xlfn.XLOOKUP(B211,'Base stats'!B:B,'Base stats'!AK:AK)=1,50,0)</f>
        <v>65</v>
      </c>
      <c r="BS211" s="8">
        <f t="shared" si="26"/>
        <v>0.25</v>
      </c>
      <c r="BT211" s="8" t="str">
        <f>_xlfn.XLOOKUP(B211,'Base stats'!B:B,'Base stats'!AF:AF)</f>
        <v>No</v>
      </c>
      <c r="BU211" s="2" t="str">
        <f>IF(AND(J211&lt;=0.95,OR(_xlfn.XLOOKUP(B211,'Base stats'!B:B,'Base stats'!AK:AK)=1,_xlfn.XLOOKUP(B211,'Base stats'!B:B,'Base stats'!Y:Y)="Carnivore",_xlfn.XLOOKUP(B211,'Base stats'!B:B,'Base stats'!Y:Y)="Omnivore",BE211&gt;0.1)),"true","false")</f>
        <v>false</v>
      </c>
      <c r="BV211" s="2" t="str">
        <f>IF(_xlfn.XLOOKUP(B211,'Base stats'!B:B,'Base stats'!AI:AI)=1,"true","false")</f>
        <v>false</v>
      </c>
      <c r="BW211" s="25" t="str">
        <f>IF(E211="BaseInsect","AnimalInsect",
IF(J211&gt;0.95,"AnimalExotic",
_xlfn.TEXTJOIN(", ",TRUE,
IF(OR(_xlfn.XLOOKUP(B211,'Base stats'!B:B,'Base stats'!AM:AM)=1,AND(_xlfn.XLOOKUP(B211,'Base stats'!B:B,'Base stats'!O:O)=0,_xlfn.XLOOKUP(_xlfn.XLOOKUP(B211,'Base stats'!B:B,'Base stats'!E:E),Groups!A:A,Groups!B:B)&gt;0)),"AnimalUncommon","AnimalCommon"),
IF(AND(_xlfn.XLOOKUP(B211,'Base stats'!B:B,'Base stats'!O:O)=2,_xlfn.XLOOKUP(_xlfn.XLOOKUP(B211,'Base stats'!B:B,'Base stats'!E:E),Groups!A:A,Groups!D:D)=0),"AnimalPet",IF(AND(_xlfn.XLOOKUP(B211,'Base stats'!B:B,'Base stats'!O:O)&lt;&gt;0,_xlfn.XLOOKUP(_xlfn.XLOOKUP(B211,'Base stats'!B:B,'Base stats'!E:E),Groups!A:A,Groups!D:D)&lt;&gt;0),"AnimalFarm","")),
IF(OR(_xlfn.XLOOKUP(B211,'Base stats'!B:B,'Base stats'!AK:AK)=1,AND(BI211&lt;&gt;"None",BR211&gt;=60),ISNUMBER(SEARCH("Attack target",BP211))),"AnimalFighter","")
)))</f>
        <v>AnimalUncommon</v>
      </c>
      <c r="BX211" s="25" t="str">
        <f>IF(G211="None",TRIM(
SUBSTITUTE(
IF(COUNTIF(Biomes!B$2:B$259,"="&amp;$C211)&gt;0,Biomes!B$1&amp;", ","")&amp;
IF(COUNTIF(Biomes!C$2:C$259,"="&amp;$C211)&gt;0,Biomes!C$1&amp;", ","")&amp;
IF(COUNTIF(Biomes!D$2:D$259,"="&amp;$C211)&gt;0,Biomes!D$1&amp;", ","")&amp;
IF(COUNTIF(Biomes!F$2:F$259,"="&amp;$C211)&gt;0,Biomes!F$1&amp;", ","")&amp;
IF(COUNTIF(Biomes!G$2:G$259,"="&amp;$C211)&gt;0,Biomes!G$1&amp;", ","")&amp;
IF(COUNTIF(Biomes!H$2:H$259,"="&amp;$C211)&gt;0,Biomes!H$1&amp;", ","")&amp;
IF(COUNTIF(Biomes!I$2:I$259,"="&amp;$C211)&gt;0,Biomes!I$1&amp;", ","")&amp;
IF(COUNTIF(Biomes!J$2:J$259,"="&amp;$C211)&gt;0,Biomes!J$1&amp;", ","")&amp;
IF(COUNTIF(Biomes!M$2:M$259,"="&amp;$C211)&gt;0,Biomes!M$1&amp;", ","")&amp;
IF(COUNTIF(Biomes!N$2:N$259,"="&amp;$C211)&gt;0,Biomes!N$1&amp;", ","")&amp;
IF(COUNTIF(Biomes!O$2:O$259,"="&amp;$C211)&gt;0,Biomes!O$1&amp;", ","")&amp;
IF(COUNTIF(Biomes!P$2:P$259,"="&amp;$C211)&gt;0,Biomes!P$1&amp;", ","")&amp;
IF(COUNTIF(Biomes!K$2:K$259,"="&amp;$C211)&gt;0,Biomes!K$1&amp;", ","")&amp;
IF(COUNTIF(Biomes!Q$3:Q$259,"="&amp;$C211)&gt;0,Biomes!Q$1&amp;", ","")&amp;
IF(COUNTIF(Biomes!L$2:L$259,"="&amp;$C211)&gt;0,Biomes!L$1&amp;", ","")&amp;
IF(COUNTIF(Biomes!E$2:E$259,"="&amp;$C211)&gt;0,Biomes!E$1&amp;", ","")&amp;IF(COUNTIF(Biomes!S$2:S$259,"="&amp;$C211)&gt;0,Biomes!S$1&amp;", ","")&amp;
IF(COUNTIF(Biomes!R$2:R$259,"="&amp;$C211)&gt;0,Biomes!R$1&amp;", ",""),", ","")
),_xlfn.XLOOKUP(B211,B:B,BX:BX))</f>
        <v/>
      </c>
      <c r="BY211" s="25" t="str">
        <f>IF(_xlfn.XLOOKUP(B211,'Base stats'!B:B,'Base stats'!AJ:AJ)=1,"true","false")</f>
        <v>false</v>
      </c>
      <c r="BZ211" s="25">
        <f>IF(_xlfn.XLOOKUP(B211,'Base stats'!B:B,'Base stats'!N:N)=1,"No",MAX(0.001,MIN(MROUND(IF(AND(BJ211="True",CC211="False"),POWER(10,3.47*LOG10(_xlfn.XLOOKUP(B211,'Base stats'!B:B,'Base stats'!C:C)*1000)^-0.96),POWER(10,4.15*LOG10(_xlfn.XLOOKUP(B211,'Base stats'!B:B,'Base stats'!C:C)*1000)^-0.73))*IF(_xlfn.XLOOKUP(B211,'Base stats'!B:B,'Base stats'!AK:AK)=1,0.5,1)*IF(_xlfn.XLOOKUP(B211,'Base stats'!B:B,'Base stats'!AM:AM)=1,0.1,1)/100,IF(_xlfn.XLOOKUP(B211,'Base stats'!B:B,'Base stats'!AM:AM)=1,0.001,0.025)),0.5)))</f>
        <v>2.1999999999999999E-2</v>
      </c>
      <c r="CA211" s="25" t="str">
        <f>IF(P211="Standard","No",MAX(0.001,MIN(MROUND(IF(AND(BJ211="True",CC211="False"),POWER(10,3.47*LOG10(_xlfn.XLOOKUP(B211,'Base stats'!B:B,'Base stats'!C:C)*1000)^-0.96),POWER(10,4.15*LOG10(_xlfn.XLOOKUP(B211,'Base stats'!B:B,'Base stats'!C:C)*1000)^-0.73))*IF(_xlfn.XLOOKUP(B211,'Base stats'!B:B,'Base stats'!AM:AM)=1,0.1,1)*_xlfn.XLOOKUP(B211,'Base stats'!B:B,'Base stats'!R:R)/100,IF(_xlfn.XLOOKUP(B211,'Base stats'!B:B,'Base stats'!AM:AM)=1,0.001,0.025)),0.5)))</f>
        <v>No</v>
      </c>
      <c r="CB211" s="25" t="str">
        <f>IF(_xlfn.XLOOKUP(_xlfn.XLOOKUP(B211,'Base stats'!B:B,'Base stats'!E:E),Groups!A:A,Groups!AJ:AJ)="Mammal","True","False")</f>
        <v>False</v>
      </c>
      <c r="CC211" s="25" t="str">
        <f>IF(OR(_xlfn.XLOOKUP(_xlfn.XLOOKUP(B211,'Base stats'!B:B,'Base stats'!E:E),Groups!A:A,Groups!AJ:AJ)="Reptile",_xlfn.XLOOKUP(_xlfn.XLOOKUP(B211,'Base stats'!B:B,'Base stats'!E:E),Groups!A:A,Groups!AJ:AJ)="Amphibian",_xlfn.XLOOKUP(_xlfn.XLOOKUP(B211,'Base stats'!B:B,'Base stats'!E:E),Groups!A:A,Groups!AJ:AJ)="Invertebrate"),"True","False")</f>
        <v>True</v>
      </c>
      <c r="CD211" s="25" t="str">
        <f t="shared" si="27"/>
        <v>False</v>
      </c>
      <c r="CE211" s="25" t="str">
        <f>IF(_xlfn.XLOOKUP(_xlfn.XLOOKUP(B211,'Base stats'!B:B,'Base stats'!E:E),Groups!A:A,Groups!AX:AX),"True","False")</f>
        <v>True</v>
      </c>
      <c r="CF211" s="25" t="str">
        <f>IF(_xlfn.XLOOKUP(_xlfn.XLOOKUP(B211,'Base stats'!B:B,'Base stats'!E:E),Groups!A:A,Groups!AY:AY),"True","False")</f>
        <v>False</v>
      </c>
      <c r="CG211" s="25" t="str">
        <f>IF(_xlfn.XLOOKUP(_xlfn.XLOOKUP(B211,'Base stats'!B:B,'Base stats'!E:E),Groups!A:A,Groups!AW:AW),"True","False")</f>
        <v>True</v>
      </c>
      <c r="CH211" s="25" t="str">
        <f>IF(
OR(
_xlfn.XLOOKUP(_xlfn.XLOOKUP(B211,'Base stats'!B:B,'Base stats'!E:E),Groups!A:A,Groups!AZ:AZ)=0,
AND(
_xlfn.XLOOKUP(B211,'Base stats'!B:B,'Base stats'!Y:Y)&lt;&gt;"Carnivore",
_xlfn.XLOOKUP(B211,'Base stats'!B:B,'Base stats'!Y:Y)&lt;&gt;"Omnivore",
_xlfn.XLOOKUP(B211,'Base stats'!B:B,'Base stats'!Y:Y)&lt;&gt;"OmnivoreRough"
)
),
"No",
IF(
_xlfn.XLOOKUP(_xlfn.XLOOKUP(B211,'Base stats'!B:B,'Base stats'!E:E),Groups!A:A,Groups!AZ:AZ)=1,
"Flesh",
IF(
_xlfn.XLOOKUP(_xlfn.XLOOKUP(B211,'Base stats'!B:B,'Base stats'!E:E),Groups!A:A,Groups!AZ:AZ)=2,
"Bone",
""
)
)
)</f>
        <v>No</v>
      </c>
      <c r="CI211" s="25" t="str">
        <f>IF(_xlfn.XLOOKUP(_xlfn.XLOOKUP(B211,'Base stats'!B:B,'Base stats'!E:E),Groups!A:A,Groups!BB:BB),"True","False")</f>
        <v>False</v>
      </c>
      <c r="CJ211" s="25" t="str">
        <f>IF(_xlfn.XLOOKUP(_xlfn.XLOOKUP(B211,'Base stats'!B:B,'Base stats'!E:E),Groups!A:A,Groups!BA:BA),"True","False")</f>
        <v>False</v>
      </c>
    </row>
    <row r="212" spans="1:88" ht="16.5" thickTop="1" thickBot="1" x14ac:dyDescent="0.3">
      <c r="A212" s="26" t="s">
        <v>1333</v>
      </c>
      <c r="B212" s="6" t="str">
        <f>_xlfn.XLOOKUP(A212,'Base stats'!A:A,'Base stats'!B:B)</f>
        <v>Acanthamoeba gigantea (huge)</v>
      </c>
      <c r="C212" s="28" t="s">
        <v>1330</v>
      </c>
      <c r="D212" s="28" t="s">
        <v>1341</v>
      </c>
      <c r="E212" s="28" t="s">
        <v>673</v>
      </c>
      <c r="F212" s="28" t="s">
        <v>673</v>
      </c>
      <c r="G212" s="28" t="s">
        <v>673</v>
      </c>
      <c r="H212" s="2">
        <f>MROUND((
  (IF(AND(_xlfn.XLOOKUP(B212,'Base stats'!B:B,'Base stats'!AL:AL)=0,BI212="None",_xlfn.XLOOKUP(_xlfn.XLOOKUP(B212,'Base stats'!B:B,'Base stats'!E:E),Groups!A:A,Groups!B:B)=0), (18 + BR212 * 2.7) * 0.5,
    IF(AND(_xlfn.XLOOKUP(B212,'Base stats'!B:B,'Base stats'!AL:AL)=0,OR(AO212&lt;0.55,AND(BI212="Intermediate",_xlfn.XLOOKUP(_xlfn.XLOOKUP(B212,'Base stats'!B:B,'Base stats'!E:E),Groups!A:A,Groups!B:B)&lt;2))), (18 + BR212 * 2.7),
      IF(OR(BI212="Advanced",_xlfn.XLOOKUP(B212,'Base stats'!B:B,'Base stats'!AL:AL)=1,_xlfn.XLOOKUP(_xlfn.XLOOKUP(B212,'Base stats'!B:B,'Base stats'!E:E),Groups!A:A,Groups!B:B)=2), (18 + BR212 * 2.7) + 250, (18 + BR212 * 2.7))
    )
  ))
  + AO212 * 80
  + IF(COUNTIF(EggMilk!K$2:K$998, A212) &gt; 0, 125, 0)
  + IF(COUNTIF(EggMilk!P$2:P$998, A212) &gt; 0, 90, 0)
  + IF(COUNTIF(EggMilk!A$2:A$998, A212) &gt; 0, 90, 0)
)
* (0.8 + 0.4 * J212)
* 0.75,25)</f>
        <v>625</v>
      </c>
      <c r="I212" s="2">
        <f>MROUND(ROUNDDOWN(_xlfn.XLOOKUP(B212,'Base stats'!B:B,'Base stats'!L:L)/3.6/(23.3/11),1),0.5)</f>
        <v>1.5</v>
      </c>
      <c r="J212" s="2">
        <f>IF(OR(_xlfn.XLOOKUP(B212,'Base stats'!B:B,'Base stats'!AB:AB)=1,_xlfn.XLOOKUP(_xlfn.XLOOKUP(B212,'Base stats'!B:B,'Base stats'!E:E),Groups!A:A,Groups!C:C)="Untamable"),1,IF(_xlfn.XLOOKUP(B212,'Base stats'!B:B,'Base stats'!AL:AL)=1,0.99,MIN(MROUND((1-0.6282*EXP(-0.459*AO212))*_xlfn.XLOOKUP(_xlfn.XLOOKUP(B212,'Base stats'!B:B,'Base stats'!E:E),Groups!A:A,Groups!C:C)*IF(_xlfn.XLOOKUP(B212,'Base stats'!B:B,'Base stats'!O:O)=1,0.5,IF(_xlfn.XLOOKUP(B212,'Base stats'!B:B,'Base stats'!O:O)=2,0,1)),0.05),IF(AO212&gt;3.5,0.985,0.95))))</f>
        <v>0.8</v>
      </c>
      <c r="K212" s="2">
        <f>ROUNDUP(AO212*_xlfn.XLOOKUP(_xlfn.XLOOKUP(B212,'Base stats'!B:B,'Base stats'!E:E),Groups!A:A,Groups!E:E),0)</f>
        <v>3</v>
      </c>
      <c r="L212" s="2">
        <f>IF(OR(_xlfn.XLOOKUP(_xlfn.XLOOKUP(B212,'Base stats'!B:B,'Base stats'!E:E),Groups!A:A,Groups!F:F)=2,ISNUMBER(SEARCH("SeaIce",BX212)),ISNUMBER(SEARCH("IceSheet",BX212))),-50,IF(OR(ISNUMBER(SEARCH("GlacialPlain",BX212)),ISNUMBER(SEARCH("Tundra",BX212))),-40,IF(OR(ISNUMBER(SEARCH("Alpine",BX212)),ISNUMBER(SEARCH("BorealForest",BX212)),ISNUMBER(SEARCH("ColdBog",BX212))),-30,IF(OR(ISNUMBER(SEARCH("TemperateForest",BX212)),ISNUMBER(SEARCH("TemperateSwamp",BX212))),-20,IF(_xlfn.XLOOKUP(_xlfn.XLOOKUP(B212,'Base stats'!B:B,'Base stats'!E:E),Groups!A:A,Groups!F:F)=1,-15,IF(OR(ISNUMBER(SEARCH("Desert",BX212)),ISNUMBER(SEARCH("ExtremeDesert",BX212))),-10,IF(OR(ISNUMBER(SEARCH("Grasslands",BX212)),ISNUMBER(SEARCH("TropicalRainforest",BX212)),ISNUMBER(SEARCH("TropicalSwamp",BX212))),10,0)))))))-IF(CC212="False",MIN(IFERROR(MAX(MROUND(LOG10(_xlfn.XLOOKUP(B212,'Base stats'!B:B,'Base stats'!C:C)^(2/3))*10,5),5),5),30))-_xlfn.XLOOKUP(B212,'Base stats'!B:B,'Base stats'!P:P)+IF(CC212="True",5,0)</f>
        <v>5</v>
      </c>
      <c r="M212" s="2">
        <f>IF(OR(_xlfn.XLOOKUP(_xlfn.XLOOKUP(B212,'Base stats'!B:B,'Base stats'!E:E),Groups!A:A,Groups!G:G)=2,ISNUMBER(SEARCH("Desert",BX212)),ISNUMBER(SEARCH("ExtremeDesert",BX212)),ISNUMBER(SEARCH("LavaField",BX212))),50,IF(ISNUMBER(SEARCH("Grasslands",BX212)),45,IF(OR(_xlfn.XLOOKUP(_xlfn.XLOOKUP(B212,'Base stats'!B:B,'Base stats'!E:E),Groups!A:A,Groups!G:G)=1,ISNUMBER(SEARCH("TropicalRainforest",BX212)),ISNUMBER(SEARCH("TropicalSwamp",BX212))),40,IF(OR(ISNUMBER(SEARCH("TemperateForest",BX212)),ISNUMBER(SEARCH("TemperateSwamp",BX212))),35,IF(OR(ISNUMBER(SEARCH("Alpine",BX212)),ISNUMBER(SEARCH("BorealForest",BX212)),ISNUMBER(SEARCH("ColdBog",BX212))),30,IF(ISNUMBER(OR(ISNUMBER(SEARCH("GlacialPlain",BX212)),SEARCH("Tundra",BX212))),25,IF(OR(ISNUMBER(SEARCH("SeaIce",BX212)),ISNUMBER(SEARCH("IceSheet",BX212)),ISNUMBER(SEARCH("TropicalSwamp",BX212))),10,35)))))))+_xlfn.XLOOKUP(B212,'Base stats'!B:B,'Base stats'!Q:Q)</f>
        <v>35</v>
      </c>
      <c r="N212" s="8" t="str">
        <f>IF(
_xlfn.XLOOKUP(
_xlfn.XLOOKUP(B212,'Base stats'!B:B,'Base stats'!E:E),
Groups!A:A,
Groups!L:L
)=1,
MIN(
MROUND(
IF(
_xlfn.XLOOKUP(B212,'Animals CE'!B:B,'Animals CE'!Z:Z)&lt;=1.5,
_xlfn.XLOOKUP(B212,'Animals CE'!B:B,'Animals CE'!Z:Z)/2+0.05,
0.8+
(_xlfn.XLOOKUP(B212,'Animals CE'!B:B,'Animals CE'!Z:Z)-1.5)
*0.02
),
0.05
),
200%
),
"No"
)</f>
        <v>No</v>
      </c>
      <c r="O212" s="8" t="str">
        <f>IF(
_xlfn.XLOOKUP(
_xlfn.XLOOKUP(B212,'Base stats'!B:B,'Base stats'!E:E),
Groups!A:A,
Groups!L:L
)=1,
MIN(
MROUND(
IF(
_xlfn.XLOOKUP(B212,'Animals CE'!B:B,'Animals CE'!AA:AA)&lt;=1.5,
_xlfn.XLOOKUP(B212,'Animals CE'!B:B,'Animals CE'!AA:AA)/2+0.05,
0.8+
(_xlfn.XLOOKUP(B212,'Animals CE'!B:B,'Animals CE'!AA:AA)-1.5)
*0.02
),
0.05
),
200%
),
"No"
)</f>
        <v>No</v>
      </c>
      <c r="P212" s="2" t="str">
        <f>_xlfn.XLOOKUP(B212,'Base stats'!B:B,'Base stats'!R:R)</f>
        <v>Standard</v>
      </c>
      <c r="Q212" s="13">
        <f>MROUND((LOG10(_xlfn.XLOOKUP(B212,'Base stats'!B:B,'Base stats'!AR:AR))*(AO212^0.5)+(_xlfn.XLOOKUP(B212,'Base stats'!B:B,'Base stats'!AR:AR)/1000)^(2/3)+_xlfn.XLOOKUP(B212,'Base stats'!B:B,'Base stats'!BA:BA)/2)+0.5,0.5)</f>
        <v>14</v>
      </c>
      <c r="R212" s="7">
        <f>IF(Q212="No","No",MAX(1,MROUND(_xlfn.XLOOKUP(B212,'Base stats'!B:B,'Base stats'!C:C)^0.165,0.05)))</f>
        <v>2.6500000000000004</v>
      </c>
      <c r="S212" s="13" t="str">
        <f>IF(_xlfn.XLOOKUP(_xlfn.XLOOKUP(B212,'Base stats'!B:B,'Base stats'!E:E),Groups!A:A,Groups!P:P)=0,"No",MROUND((LOG10(_xlfn.XLOOKUP(B212,'Base stats'!B:B,'Base stats'!AS:AS))*(AO212^0.5)+(_xlfn.XLOOKUP(B212,'Base stats'!B:B,'Base stats'!AS:AS)/1000)^(2/3)+_xlfn.XLOOKUP(B212,'Base stats'!B:B,'Base stats'!BA:BA))+_xlfn.XLOOKUP(B212,'Base stats'!B:B,'Base stats'!AY:AY)+0.5,0.5))</f>
        <v>No</v>
      </c>
      <c r="T212" s="7" t="str">
        <f>IF(S212="No","No",MAX(_xlfn.XLOOKUP(_xlfn.XLOOKUP(B212,'Base stats'!B:B,'Base stats'!E:E),Groups!A:A,Groups!Q:Q),MROUND(_xlfn.XLOOKUP(_xlfn.XLOOKUP(B212,'Base stats'!B:B,'Base stats'!E:E),Groups!A:A,Groups!Q:Q)*_xlfn.XLOOKUP(B212,'Base stats'!B:B,'Base stats'!C:C)^0.165,0.05)))</f>
        <v>No</v>
      </c>
      <c r="U212" s="7" t="str">
        <f>IF(S212="No","No",_xlfn.XLOOKUP(_xlfn.XLOOKUP(B212,'Base stats'!B:B,'Base stats'!E:E),Groups!A:A,Groups!R:R))</f>
        <v>No</v>
      </c>
      <c r="V212" s="7" t="str">
        <f>IF(S212="No","No",_xlfn.XLOOKUP(_xlfn.XLOOKUP(B212,'Base stats'!B:B,'Base stats'!E:E),Groups!A:A,Groups!S:S))</f>
        <v>No</v>
      </c>
      <c r="W212" s="7" t="str">
        <f>IF(S212="No","No",_xlfn.XLOOKUP(_xlfn.XLOOKUP(B212,'Base stats'!B:B,'Base stats'!E:E),Groups!A:A,Groups!T:T))</f>
        <v>No</v>
      </c>
      <c r="X212" s="13" t="str">
        <f>IF(_xlfn.XLOOKUP(B212,'Base stats'!B:B,'Base stats'!W:W)="No","No",MROUND((LOG10(_xlfn.XLOOKUP(B212,'Base stats'!B:B,'Base stats'!AU:AU))*(AO212^0.5)+(_xlfn.XLOOKUP(B212,'Base stats'!B:B,'Base stats'!AU:AU)/1000)^(2/3)+_xlfn.XLOOKUP(B212,'Base stats'!B:B,'Base stats'!AZ:AZ))+0.5+IF(_xlfn.XLOOKUP(_xlfn.XLOOKUP(B212,'Base stats'!B:B,'Base stats'!E:E),Groups!A:A,Groups!U:U)&lt;&gt;3,_xlfn.XLOOKUP(B212,'Base stats'!B:B,'Base stats'!BA:BA),0),0.5))</f>
        <v>No</v>
      </c>
      <c r="Y212" s="7" t="str">
        <f>IF(X212="No","No",MAX(_xlfn.XLOOKUP(_xlfn.XLOOKUP(B212,'Base stats'!B:B,'Base stats'!E:E),Groups!A:A,Groups!V:V),MROUND(_xlfn.XLOOKUP(_xlfn.XLOOKUP(B212,'Base stats'!B:B,'Base stats'!E:E),Groups!A:A,Groups!V:V)*_xlfn.XLOOKUP(B212,'Base stats'!B:B,'Base stats'!C:C)^0.165,0.05)))</f>
        <v>No</v>
      </c>
      <c r="Z212" s="7" t="str">
        <f>IF(X212="No","No",_xlfn.XLOOKUP(_xlfn.XLOOKUP(B212,'Base stats'!B:B,'Base stats'!E:E),Groups!A:A,Groups!W:W))</f>
        <v>No</v>
      </c>
      <c r="AA212" s="7" t="str">
        <f>IF(X212="No","No",_xlfn.XLOOKUP(_xlfn.XLOOKUP(B212,'Base stats'!B:B,'Base stats'!E:E),Groups!A:A,Groups!X:X))</f>
        <v>No</v>
      </c>
      <c r="AB212" s="7" t="str">
        <f>IF(X212="No","No",_xlfn.XLOOKUP(_xlfn.XLOOKUP(B212,'Base stats'!B:B,'Base stats'!E:E),Groups!A:A,Groups!Y:Y))</f>
        <v>No</v>
      </c>
      <c r="AC212" s="7" t="str">
        <f>_xlfn.XLOOKUP(Animals!B212,'Base stats'!B:B,'Base stats'!X:X)</f>
        <v>False</v>
      </c>
      <c r="AD212" s="13" t="str">
        <f>IF(_xlfn.XLOOKUP(B212,'Base stats'!B:B,'Base stats'!AT:AT)="No","No",MROUND((LOG10(_xlfn.XLOOKUP(B212,'Base stats'!B:B,'Base stats'!AT:AT))*(AO212^0.75)+(_xlfn.XLOOKUP(B212,'Base stats'!B:B,'Base stats'!AT:AT)/1000)^(2/3)+_xlfn.XLOOKUP(B212,'Base stats'!B:B,'Base stats'!AX:AX)+_xlfn.XLOOKUP(B212,'Base stats'!B:B,'Base stats'!BA:BA))+0.5,0.5))</f>
        <v>No</v>
      </c>
      <c r="AE212" s="7" t="str">
        <f>IF(AD212="No","No",MAX(_xlfn.XLOOKUP(_xlfn.XLOOKUP(B212,'Base stats'!B:B,'Base stats'!E:E),Groups!A:A,Groups!Z:Z),MROUND(_xlfn.XLOOKUP(_xlfn.XLOOKUP(B212,'Base stats'!B:B,'Base stats'!E:E),Groups!A:A,Groups!Z:Z)*_xlfn.XLOOKUP(B212,'Base stats'!B:B,'Base stats'!C:C)^0.165,0.05)))</f>
        <v>No</v>
      </c>
      <c r="AF212" s="7" t="str">
        <f>IF(AD212="No","No",_xlfn.XLOOKUP(_xlfn.XLOOKUP(B212,'Base stats'!B:B,'Base stats'!E:E),Groups!A:A,Groups!AA:AA))</f>
        <v>No</v>
      </c>
      <c r="AG212" s="7" t="str">
        <f>IF(AD212="No","No",_xlfn.XLOOKUP(_xlfn.XLOOKUP(B212,'Base stats'!B:B,'Base stats'!E:E),Groups!A:A,Groups!AB:AB))</f>
        <v>No</v>
      </c>
      <c r="AH212" s="7" t="str">
        <f>IF(AD212="No","No",_xlfn.XLOOKUP(_xlfn.XLOOKUP(B212,'Base stats'!B:B,'Base stats'!E:E),Groups!A:A,Groups!AC:AC))</f>
        <v>No</v>
      </c>
      <c r="AI212" s="13">
        <f>IF(_xlfn.XLOOKUP(_xlfn.XLOOKUP(B212,'Base stats'!B:B,'Base stats'!E:E),Groups!A:A,Groups!AD:AD)=0,"No",MROUND((LOG10(_xlfn.XLOOKUP(B212,'Base stats'!B:B,'Base stats'!AS:AS))*(AO212^0.75)+(_xlfn.XLOOKUP(B212,'Base stats'!B:B,'Base stats'!AS:AS)/1000)^(2/3)+_xlfn.XLOOKUP(B212,'Base stats'!B:B,'Base stats'!AY:AY)+_xlfn.XLOOKUP(B212,'Base stats'!B:B,'Base stats'!BA:BA))+0.5,0.5))</f>
        <v>18.5</v>
      </c>
      <c r="AJ212" s="7">
        <f>IF(AI212="No","No",MAX(_xlfn.XLOOKUP(_xlfn.XLOOKUP(B212,'Base stats'!B:B,'Base stats'!E:E),Groups!A:A,Groups!AE:AE),MROUND(_xlfn.XLOOKUP(_xlfn.XLOOKUP(B212,'Base stats'!B:B,'Base stats'!E:E),Groups!A:A,Groups!AE:AE)*IF(_xlfn.XLOOKUP(_xlfn.XLOOKUP(B212,'Base stats'!B:B,'Base stats'!E:E),Groups!A:A,Groups!AJ:AJ)="Photonozoa",0.6,1)*_xlfn.XLOOKUP(B212,'Base stats'!B:B,'Base stats'!C:C)^0.165,0.05)))</f>
        <v>1.9500000000000002</v>
      </c>
      <c r="AK212" s="7" t="str">
        <f>IF(AI212="No","No",_xlfn.XLOOKUP(_xlfn.XLOOKUP(B212,'Base stats'!B:B,'Base stats'!E:E),Groups!A:A,Groups!AF:AF))</f>
        <v>Arms</v>
      </c>
      <c r="AL212" s="7" t="str">
        <f>IF(AI212="No","No",_xlfn.XLOOKUP(_xlfn.XLOOKUP(B212,'Base stats'!B:B,'Base stats'!E:E),Groups!A:A,Groups!AG:AG))</f>
        <v>arms</v>
      </c>
      <c r="AM212" s="7" t="str">
        <f>IF(AI212="No","No",_xlfn.XLOOKUP(_xlfn.XLOOKUP(B212,'Base stats'!B:B,'Base stats'!E:E),Groups!A:A,Groups!AH:AH))</f>
        <v>Blunt</v>
      </c>
      <c r="AN212" s="2" t="str">
        <f t="shared" si="21"/>
        <v>No</v>
      </c>
      <c r="AO212" s="2">
        <f>MROUND(IF(AND(_xlfn.XLOOKUP(B212,'Base stats'!B:B,'Base stats'!C:C)&gt;=0.5,_xlfn.XLOOKUP(B212,'Base stats'!B:B,'Base stats'!C:C)&lt;=0.8),
IF(_xlfn.XLOOKUP(B212,'Base stats'!B:B,'Base stats'!C:C)&lt;0.1,0.05,IF(_xlfn.XLOOKUP(B212,'Base stats'!B:B,'Base stats'!C:C)&lt;=70,(_xlfn.XLOOKUP(B212,'Base stats'!B:B,'Base stats'!C:C)/70)^0.426489913056526,IF(_xlfn.XLOOKUP(B212,'Base stats'!B:B,'Base stats'!C:C)&lt;=400,(_xlfn.XLOOKUP(B212,'Base stats'!B:B,'Base stats'!C:C)/70)^0.572811455315093,IF(_xlfn.XLOOKUP(B212,'Base stats'!B:B,'Base stats'!C:C)&lt;=2000,2.71391647193063*(_xlfn.XLOOKUP(B212,'Base stats'!B:B,'Base stats'!C:C)/400)^0.252459582904293,3.74314280240376*(_xlfn.XLOOKUP(B212,'Base stats'!B:B,'Base stats'!C:C)/2000)^0.357012633876913)))),
IF(_xlfn.XLOOKUP(B212,'Base stats'!B:B,'Base stats'!C:C)&lt;0.1,0.05,IF(_xlfn.XLOOKUP(B212,'Base stats'!B:B,'Base stats'!C:C)&lt;0.4,0.1,IF(_xlfn.XLOOKUP(B212,'Base stats'!B:B,'Base stats'!C:C)&lt;=70,(_xlfn.XLOOKUP(B212,'Base stats'!B:B,'Base stats'!C:C)/70)^0.445823913056526,IF(_xlfn.XLOOKUP(B212,'Base stats'!B:B,'Base stats'!C:C)&lt;=400,(_xlfn.XLOOKUP(B212,'Base stats'!B:B,'Base stats'!C:C)/70)^0.572811455315093,IF(_xlfn.XLOOKUP(B212,'Base stats'!B:B,'Base stats'!C:C)&lt;=2000,2.71391647193063*(_xlfn.XLOOKUP(B212,'Base stats'!B:B,'Base stats'!C:C)/400)^0.252459582904293,3.74314280240376*(_xlfn.XLOOKUP(B212,'Base stats'!B:B,'Base stats'!C:C)/2000)^0.357012633876913)))))),
IF(_xlfn.XLOOKUP(B212,'Base stats'!B:B,'Base stats'!C:C)&lt;0.1,0.05,IF(_xlfn.XLOOKUP(B212,'Base stats'!B:B,'Base stats'!C:C)&lt;=100,0.05,IF(_xlfn.XLOOKUP(B212,'Base stats'!B:B,'Base stats'!C:C)&lt;=250,0.1,IF(_xlfn.XLOOKUP(B212,'Base stats'!B:B,'Base stats'!C:C)&lt;=4000,0.25,0.5)))))</f>
        <v>2.5</v>
      </c>
      <c r="AP212" s="8">
        <f>MROUND(AO212*_xlfn.XLOOKUP(_xlfn.XLOOKUP(B212,'Base stats'!B:B,'Base stats'!E:E),Groups!A:A,Groups!AI:AI)*_xlfn.XLOOKUP(B212,'Base stats'!B:B,'Base stats'!Z:Z),0.05)</f>
        <v>2.5</v>
      </c>
      <c r="AQ212" s="8">
        <f>MAX(0.01,MROUND(IF(CC212="True",0.196*(AO212*100*1000)^0.889,IF(_xlfn.XLOOKUP(_xlfn.XLOOKUP(B212,'Base stats'!B:B,'Base stats'!E:E),Groups!A:A,Groups!AJ:AJ)="Bird",10.5*(AO212*100*1000)^0.681,4.82*(AO212*100*1000)^0.734))/(4.82*(1*100*1000)^0.734)/IF(AO212&lt;3.5,2,IF(AO212=3.5,1.5,1.25))*(1+0.132282374779864/(AO212^0.994035016789033+0.00905238001496948)),0.05))</f>
        <v>0.30000000000000004</v>
      </c>
      <c r="AR212" s="9">
        <f>IFERROR(MROUND(_xlfn.XLOOKUP(B212,'Base stats'!B:B,'Base stats'!H:H)/IF(_xlfn.XLOOKUP(B212,'Base stats'!B:B,'Base stats'!I:I)&lt;&gt;1,(122.5/70),1.2),IF(_xlfn.XLOOKUP(B212,'Base stats'!B:B,'Base stats'!H:H)&gt;=30,5,IF(_xlfn.XLOOKUP(B212,'Base stats'!B:B,'Base stats'!H:H)&gt;=15,3,IF(_xlfn.XLOOKUP(B212,'Base stats'!B:B,'Base stats'!H:H)&gt;=10,2,1)))),"Immortal")</f>
        <v>3</v>
      </c>
      <c r="AS212" s="35" t="str">
        <f>IFERROR(IF(OR(_xlfn.XLOOKUP(B212,'Base stats'!B:B,'Base stats'!F:F)="Atypical reproduction",_xlfn.XLOOKUP(B212,'Base stats'!B:B,'Base stats'!F:F)="Lay eggs"),"Lay eggs",MIN(20,MAX(5.5,ROUND(((_xlfn.XLOOKUP(B212,'Base stats'!B:B,'Base stats'!F:F)-25)*(14.5/615) + 5.5)*2,0)/2))),"Unknown")</f>
        <v>Lay eggs</v>
      </c>
      <c r="AT212" s="8" t="str">
        <f>IF(_xlfn.XLOOKUP(B212,'Base stats'!B:B,'Base stats'!G:G)="Atypical reproduction","No",IFERROR(MAX(IF(_xlfn.XLOOKUP(B212,'Base stats'!B:B,'Base stats'!G:G)&lt;0.5,0.2,0.3),MROUND(_xlfn.XLOOKUP(B212,'Base stats'!B:B,'Base stats'!G:G)/(365/60),0.2)),"Unknown"))</f>
        <v>No</v>
      </c>
      <c r="AU212" s="8" t="str">
        <f t="shared" si="22"/>
        <v>No</v>
      </c>
      <c r="AV212" s="8" t="str">
        <f>IFERROR(IFERROR(MROUND(_xlfn.XLOOKUP(B212,'Base stats'!B:B,'Base stats'!J:J),0.1),"Lay eggs"),"Cannot breed")</f>
        <v>Lay eggs</v>
      </c>
      <c r="AW212" s="2" t="str">
        <f t="shared" si="23"/>
        <v>false</v>
      </c>
      <c r="AX212" s="2" t="str">
        <f>IF(_xlfn.XLOOKUP(_xlfn.XLOOKUP(Animals!B212,'Base stats'!B:B,'Base stats'!E:E),Groups!A:A,Groups!AK:AK)=1,"true","false")</f>
        <v>false</v>
      </c>
      <c r="AY212" s="25" t="str">
        <f>IF(_xlfn.XLOOKUP(B212,'Base stats'!B:B,'Base stats'!Y:Y)="Liquor","Liquor, CarnivoreAnimalStrict",IF(AND(_xlfn.XLOOKUP(B212,'Base stats'!B:B,'Base stats'!Y:Y)="Carnivore",_xlfn.XLOOKUP(_xlfn.XLOOKUP(B212,'Base stats'!B:B,'Base stats'!E:E),Groups!A:A,Groups!AJ:AJ)="Photonozoa"),"CarnivoreAnimalStrict, OvivoreAnimal",IF(_xlfn.XLOOKUP(B212,'Base stats'!B:B,'Base stats'!Y:Y)="Carnivore","CarnivoreAnimal, OvivoreAnimal",IF(_xlfn.XLOOKUP(B212,'Base stats'!B:B,'Base stats'!Y:Y)="Dendrovore","VegetarianRoughAnimal, DendrovoreAnimal",IF(_xlfn.XLOOKUP(B212,'Base stats'!B:B,'Base stats'!Y:Y)="Herbivore","VegetarianRoughAnimal",IF(_xlfn.XLOOKUP(B212,'Base stats'!B:B,'Base stats'!Y:Y)="OmnivoreRough","OmnivoreRoughAnimal, OvivoreAnimal","OmnivoreAnimal, OvivoreAnimal"))))))</f>
        <v>VegetarianRoughAnimal</v>
      </c>
      <c r="AZ212" s="2">
        <f>IF(_xlfn.XLOOKUP(_xlfn.XLOOKUP(B212,'Base stats'!B:B,'Base stats'!E:E),Groups!A:A,Groups!D:D)=1,MROUND((1-J212)*5+1,2)*IF(J212&lt;=0.4,2,1),"No")</f>
        <v>2</v>
      </c>
      <c r="BA212" s="2" t="str">
        <f>IF(AND(_xlfn.XLOOKUP(B212,'Base stats'!B:B,'Base stats'!AH:AH)="&lt;li&gt;Seal&lt;/li&gt;",G212="Odyssey"),"&lt;li&gt;AEXP_Seal&lt;/li&gt;",_xlfn.XLOOKUP(B212,'Base stats'!B:B,'Base stats'!AH:AH))</f>
        <v>&lt;li&gt;Megaspider&lt;/li&gt;</v>
      </c>
      <c r="BB212" s="2" t="str">
        <f>_xlfn.XLOOKUP(B212,'Base stats'!B:B,'Base stats'!AG:AG)</f>
        <v>No</v>
      </c>
      <c r="BC212" s="23" t="str">
        <f>_xlfn.XLOOKUP(_xlfn.XLOOKUP(B212,'Base stats'!B:B,'Base stats'!E:E),Groups!A:A,Groups!AL:AL)</f>
        <v>GooBody</v>
      </c>
      <c r="BD212" s="23">
        <f>MIN(1,MROUND(IF(AND(AO212&lt;0.5,_xlfn.XLOOKUP(B212,'Base stats'!B:B,'Base stats'!AA:AA)=0),0,IF(OR(_xlfn.XLOOKUP(Animals!B212,'Base stats'!B:B,'Base stats'!O:O)=2,_xlfn.XLOOKUP(_xlfn.XLOOKUP(B212,'Base stats'!B:B,'Base stats'!E:E),Groups!A:A,Groups!AN:AN)=0),0,_xlfn.XLOOKUP(_xlfn.XLOOKUP(B212,'Base stats'!B:B,'Base stats'!E:E),Groups!A:A,Groups!AN:AN)/IF(_xlfn.XLOOKUP(Animals!B212,'Base stats'!B:B,'Base stats'!O:O)=1,2,1)))+_xlfn.XLOOKUP(B212,'Base stats'!B:B,'Base stats'!AC:AC),0.005))</f>
        <v>0</v>
      </c>
      <c r="BE212" s="23">
        <f>MIN(1,MROUND(IF(AND(AO212&lt;0.5,_xlfn.XLOOKUP(B212,'Base stats'!B:B,'Base stats'!AA:AA)=0),0,IF(_xlfn.XLOOKUP(_xlfn.XLOOKUP(B212,'Base stats'!B:B,'Base stats'!E:E),Groups!A:A,Groups!AO:AO)=0,0,_xlfn.XLOOKUP(_xlfn.XLOOKUP(B212,'Base stats'!B:B,'Base stats'!E:E),Groups!A:A,Groups!AO:AO)/IF(_xlfn.XLOOKUP(Animals!B212,'Base stats'!B:B,'Base stats'!O:O)=2,3,1)))+_xlfn.XLOOKUP(B212,'Base stats'!B:B,'Base stats'!AD:AD),0.005))</f>
        <v>0</v>
      </c>
      <c r="BF212" s="2" t="str">
        <f>IF(J212&gt;0.3,"No",_xlfn.XLOOKUP(_xlfn.XLOOKUP(Animals!B212,'Base stats'!B:B,'Base stats'!E:E),Groups!A:A,Groups!AP:AP))</f>
        <v>No</v>
      </c>
      <c r="BG212" s="2" t="str">
        <f>IF(AND(J212&lt;=0.65,_xlfn.XLOOKUP(_xlfn.XLOOKUP(Animals!B212,'Base stats'!B:B,'Base stats'!E:E),Groups!A:A,Groups!AP:AP)&lt;&gt;"No",_xlfn.XLOOKUP(_xlfn.XLOOKUP(B212,'Base stats'!B:B,'Base stats'!E:E),Groups!A:A,Groups!D:D)=0),MROUND((80/3)*IF(_xlfn.XLOOKUP(B212,'Base stats'!B:B,'Base stats'!O:O)=2,0.2,AO212) + 24*(1-IF(BF212="No",0,BF212)) + 16/3, 12),"No")</f>
        <v>No</v>
      </c>
      <c r="BH212" s="2">
        <f>IF(AND(_xlfn.XLOOKUP(_xlfn.XLOOKUP(B212,'Base stats'!B:B,'Base stats'!E:E),Groups!A:A,Groups!AQ:AQ)=1,AO212&lt;=0.35),8,12)</f>
        <v>12</v>
      </c>
      <c r="BI212" s="2" t="str">
        <f>IF(_xlfn.XLOOKUP(_xlfn.XLOOKUP(B212,'Base stats'!B:B,'Base stats'!E:E),Groups!A:A,Groups!D:D)=0,_xlfn.XLOOKUP(_xlfn.XLOOKUP(B212,'Base stats'!B:B,'Base stats'!E:E),Groups!A:A,Groups!AR:AR),"None")</f>
        <v>None</v>
      </c>
      <c r="BJ212" s="2" t="str">
        <f>IF(AND(_xlfn.XLOOKUP(_xlfn.XLOOKUP(B212,'Base stats'!B:B,'Base stats'!E:E),Groups!A:A,Groups!AS:AS)=1,OR(_xlfn.XLOOKUP(B212,'Base stats'!B:B,'Base stats'!Y:Y)="Carnivore",_xlfn.XLOOKUP(B212,'Base stats'!B:B,'Base stats'!Y:Y)="Omnivore")),"true","false")</f>
        <v>false</v>
      </c>
      <c r="BK212" s="2" t="str">
        <f>IF(BJ212="true",MROUND(IF(AND(AO212&gt;0.5,OR(_xlfn.XLOOKUP(_xlfn.XLOOKUP(B212,'Base stats'!B:B,'Base stats'!E:E),Groups!A:A,Groups!AJ:AJ)="Photonozoa",_xlfn.XLOOKUP(_xlfn.XLOOKUP(B212,'Base stats'!B:B,'Base stats'!E:E),Groups!A:A,Groups!AJ:AJ)="Mammal")),Animals!AO212*1.75*IF(AW212="true",1.5,1),IF(AO212&lt;0.5,Animals!AO212*0.5,Animals!AO212)),IF(AO212&gt;2,0.5,IF(AO212&gt;0.5,0.25,0.1))),"No")</f>
        <v>No</v>
      </c>
      <c r="BL212" s="2">
        <f t="shared" si="24"/>
        <v>0</v>
      </c>
      <c r="BM212" s="25" t="str">
        <f>IF(_xlfn.XLOOKUP(B212,'Base stats'!B:B,'Base stats'!AN:AN)="Standard","No",MROUND((_xlfn.XLOOKUP(B212,'Base stats'!B:B,'Base stats'!AN:AN)/3.6)/I212,0.1))</f>
        <v>No</v>
      </c>
      <c r="BN212" s="25" t="str">
        <f t="shared" si="25"/>
        <v>false</v>
      </c>
      <c r="BO212" s="25" t="str">
        <f>IF(AND(OR(_xlfn.XLOOKUP(B212,'Base stats'!B:B,'Base stats'!Y:Y)="Carnivore",_xlfn.XLOOKUP(B212,'Base stats'!B:B,'Base stats'!Y:Y)="Omnivore",_xlfn.XLOOKUP(B212,'Base stats'!B:B,'Base stats'!Y:Y)="OmnivoreRough"),_xlfn.XLOOKUP(_xlfn.XLOOKUP(B212,'Base stats'!B:B,'Base stats'!E:E),Groups!A:A,Groups!AT:AT)=1),"true","false")</f>
        <v>false</v>
      </c>
      <c r="BP212" s="25" t="str" cm="1">
        <f t="array" ref="BP212">IF(
  _xlfn.TEXTJOIN(", ",TRUE,
    IF(AND(BJ212="true",AO212&gt;0.5,BI212&lt;&gt;"None"),"AttackTarget",""),
    IF(AND(_xlfn.XLOOKUP(_xlfn.XLOOKUP(B212,'Base stats'!B:B,'Base stats'!E:E),Groups!A:A,Groups!AJ:AJ="Mammal"),OR(_xlfn.XLOOKUP(B212,'Base stats'!B:B,'Base stats'!Y:Y)="Omnivore",_xlfn.XLOOKUP(B212,'Base stats'!B:B,'Base stats'!Y:Y)="OmnivoreRough")),"Forage",""),
    IF(BG212&lt;=36,"Comfort",""),
    IF(_xlfn.XLOOKUP(B212,'Base stats'!B:B,'Base stats'!AE:AE)&lt;&gt;"No",_xlfn.XLOOKUP(B212,'Base stats'!B:B,'Base stats'!AE:AE),"")
  ) = "",
  "No",
  _xlfn.TEXTJOIN(", ",TRUE,
    IF(AND(BJ212="true",AO212&gt;0.5,BI212&lt;&gt;"None"),"AttackTarget",""),
    IF(AND(_xlfn.XLOOKUP(_xlfn.XLOOKUP(B212,'Base stats'!B:B,'Base stats'!E:E),Groups!A:A,Groups!AJ:AJ="Mammal"),OR(_xlfn.XLOOKUP(B212,'Base stats'!B:B,'Base stats'!Y:Y)="Omnivore",_xlfn.XLOOKUP(B212,'Base stats'!B:B,'Base stats'!Y:Y)="OmnivoreRough")),"Forage",""),
    IF(BG212&lt;=36,"Comfort",""),
    IF(_xlfn.XLOOKUP(B212,'Base stats'!B:B,'Base stats'!AE:AE)&lt;&gt;"No",_xlfn.XLOOKUP(B212,'Base stats'!B:B,'Base stats'!AE:AE),"")
  )
)</f>
        <v>No</v>
      </c>
      <c r="BQ212" s="25" t="str">
        <f>IF(
   AND(
      'Base stats'!AN212="Standard",_xlfn.XLOOKUP(_xlfn.XLOOKUP(B212,'Base stats'!B:B,'Base stats'!E:E),Groups!A:A,Groups!AU:AU)=0,
      OR(
      BO212="True"
      )
   ),
   10,
   IF(
       OR(BM212&lt;&gt;"No",_xlfn.XLOOKUP(_xlfn.XLOOKUP(B212,'Base stats'!B:B,'Base stats'!E:E),Groups!A:A,Groups!AU:AU)=1),
      1,
      "No"
   )
)</f>
        <v>No</v>
      </c>
      <c r="BR212" s="9">
        <f>MROUND((1 + ((0.2*IF(OR(Q212="No",R212="No",R212=0),0,Q212/R212)
+IF(OR(V212="No",S212="No",T212="No"),0,S212/T212*(LEN(V212)-LEN(SUBSTITUTE(V212,",",""))+1))
+IF(OR(X212="No",Y212="No"),0,X212/Y212)
+IF(OR(AD212="No",AE212="No"),0,AD212/AE212)
+IF(OR(AL212="No",AI212="No",AJ212="No"),0,AI212/AJ212*(LEN(AL212)-LEN(SUBSTITUTE(AL212,",",""))+1))
)/(0.2*IF(OR(Q212="No",R212="No",R212=0),0,1)
+IF(OR(V212="No",S212="No",T212="No"),0,LEN(V212)-LEN(SUBSTITUTE(V212,",",""))+1)
+IF(OR(X212="No",Y212="No"),0,1)
+IF(OR(AD212="No",AE212="No"),0,1)
+IF(OR(AL212="No",AI212="No",AJ212="No"),0,LEN(AL212)-LEN(SUBSTITUTE(AL212,",",""))+1))*62%)* 2)*(1 + (AP212 / (IF(_xlfn.XLOOKUP(_xlfn.XLOOKUP(B212,'Base stats'!B:B,'Base stats'!E:E),Groups!A:A,Groups!AJ:AJ)="Photonozoa",0.3,1)) + _xlfn.XLOOKUP(B212,'Base stats'!B:B,'Base stats'!AV:AV) * 1.8) * 2) * 2.5 + 10 + I212 * 2,5)+IF(_xlfn.XLOOKUP(B212,'Base stats'!B:B,'Base stats'!AK:AK)=1,50,0)</f>
        <v>190</v>
      </c>
      <c r="BS212" s="8">
        <f t="shared" si="26"/>
        <v>0.75</v>
      </c>
      <c r="BT212" s="8" t="str">
        <f>_xlfn.XLOOKUP(B212,'Base stats'!B:B,'Base stats'!AF:AF)</f>
        <v>No</v>
      </c>
      <c r="BU212" s="2" t="str">
        <f>IF(AND(J212&lt;=0.95,OR(_xlfn.XLOOKUP(B212,'Base stats'!B:B,'Base stats'!AK:AK)=1,_xlfn.XLOOKUP(B212,'Base stats'!B:B,'Base stats'!Y:Y)="Carnivore",_xlfn.XLOOKUP(B212,'Base stats'!B:B,'Base stats'!Y:Y)="Omnivore",BE212&gt;0.1)),"true","false")</f>
        <v>false</v>
      </c>
      <c r="BV212" s="2" t="str">
        <f>IF(_xlfn.XLOOKUP(B212,'Base stats'!B:B,'Base stats'!AI:AI)=1,"true","false")</f>
        <v>false</v>
      </c>
      <c r="BW212" s="25" t="str">
        <f>IF(E212="BaseInsect","AnimalInsect",
IF(J212&gt;0.95,"AnimalExotic",
_xlfn.TEXTJOIN(", ",TRUE,
IF(OR(_xlfn.XLOOKUP(B212,'Base stats'!B:B,'Base stats'!AM:AM)=1,AND(_xlfn.XLOOKUP(B212,'Base stats'!B:B,'Base stats'!O:O)=0,_xlfn.XLOOKUP(_xlfn.XLOOKUP(B212,'Base stats'!B:B,'Base stats'!E:E),Groups!A:A,Groups!B:B)&gt;0)),"AnimalUncommon","AnimalCommon"),
IF(AND(_xlfn.XLOOKUP(B212,'Base stats'!B:B,'Base stats'!O:O)=2,_xlfn.XLOOKUP(_xlfn.XLOOKUP(B212,'Base stats'!B:B,'Base stats'!E:E),Groups!A:A,Groups!D:D)=0),"AnimalPet",IF(AND(_xlfn.XLOOKUP(B212,'Base stats'!B:B,'Base stats'!O:O)&lt;&gt;0,_xlfn.XLOOKUP(_xlfn.XLOOKUP(B212,'Base stats'!B:B,'Base stats'!E:E),Groups!A:A,Groups!D:D)&lt;&gt;0),"AnimalFarm","")),
IF(OR(_xlfn.XLOOKUP(B212,'Base stats'!B:B,'Base stats'!AK:AK)=1,AND(BI212&lt;&gt;"None",BR212&gt;=60),ISNUMBER(SEARCH("Attack target",BP212))),"AnimalFighter","")
)))</f>
        <v>AnimalUncommon</v>
      </c>
      <c r="BX212" s="25" t="str">
        <f>IF(G212="None",TRIM(
SUBSTITUTE(
IF(COUNTIF(Biomes!B$2:B$259,"="&amp;$C212)&gt;0,Biomes!B$1&amp;", ","")&amp;
IF(COUNTIF(Biomes!C$2:C$259,"="&amp;$C212)&gt;0,Biomes!C$1&amp;", ","")&amp;
IF(COUNTIF(Biomes!D$2:D$259,"="&amp;$C212)&gt;0,Biomes!D$1&amp;", ","")&amp;
IF(COUNTIF(Biomes!F$2:F$259,"="&amp;$C212)&gt;0,Biomes!F$1&amp;", ","")&amp;
IF(COUNTIF(Biomes!G$2:G$259,"="&amp;$C212)&gt;0,Biomes!G$1&amp;", ","")&amp;
IF(COUNTIF(Biomes!H$2:H$259,"="&amp;$C212)&gt;0,Biomes!H$1&amp;", ","")&amp;
IF(COUNTIF(Biomes!I$2:I$259,"="&amp;$C212)&gt;0,Biomes!I$1&amp;", ","")&amp;
IF(COUNTIF(Biomes!J$2:J$259,"="&amp;$C212)&gt;0,Biomes!J$1&amp;", ","")&amp;
IF(COUNTIF(Biomes!M$2:M$259,"="&amp;$C212)&gt;0,Biomes!M$1&amp;", ","")&amp;
IF(COUNTIF(Biomes!N$2:N$259,"="&amp;$C212)&gt;0,Biomes!N$1&amp;", ","")&amp;
IF(COUNTIF(Biomes!O$2:O$259,"="&amp;$C212)&gt;0,Biomes!O$1&amp;", ","")&amp;
IF(COUNTIF(Biomes!P$2:P$259,"="&amp;$C212)&gt;0,Biomes!P$1&amp;", ","")&amp;
IF(COUNTIF(Biomes!K$2:K$259,"="&amp;$C212)&gt;0,Biomes!K$1&amp;", ","")&amp;
IF(COUNTIF(Biomes!Q$3:Q$259,"="&amp;$C212)&gt;0,Biomes!Q$1&amp;", ","")&amp;
IF(COUNTIF(Biomes!L$2:L$259,"="&amp;$C212)&gt;0,Biomes!L$1&amp;", ","")&amp;
IF(COUNTIF(Biomes!E$2:E$259,"="&amp;$C212)&gt;0,Biomes!E$1&amp;", ","")&amp;IF(COUNTIF(Biomes!S$2:S$259,"="&amp;$C212)&gt;0,Biomes!S$1&amp;", ","")&amp;
IF(COUNTIF(Biomes!R$2:R$259,"="&amp;$C212)&gt;0,Biomes!R$1&amp;", ",""),", ","")
),_xlfn.XLOOKUP(B212,B:B,BX:BX))</f>
        <v/>
      </c>
      <c r="BY212" s="25" t="str">
        <f>IF(_xlfn.XLOOKUP(B212,'Base stats'!B:B,'Base stats'!AJ:AJ)=1,"true","false")</f>
        <v>false</v>
      </c>
      <c r="BZ212" s="25">
        <f>IF(_xlfn.XLOOKUP(B212,'Base stats'!B:B,'Base stats'!N:N)=1,"No",MAX(0.001,MIN(MROUND(IF(AND(BJ212="True",CC212="False"),POWER(10,3.47*LOG10(_xlfn.XLOOKUP(B212,'Base stats'!B:B,'Base stats'!C:C)*1000)^-0.96),POWER(10,4.15*LOG10(_xlfn.XLOOKUP(B212,'Base stats'!B:B,'Base stats'!C:C)*1000)^-0.73))*IF(_xlfn.XLOOKUP(B212,'Base stats'!B:B,'Base stats'!AK:AK)=1,0.5,1)*IF(_xlfn.XLOOKUP(B212,'Base stats'!B:B,'Base stats'!AM:AM)=1,0.1,1)/100,IF(_xlfn.XLOOKUP(B212,'Base stats'!B:B,'Base stats'!AM:AM)=1,0.001,0.025)),0.5)))</f>
        <v>1.4999999999999999E-2</v>
      </c>
      <c r="CA212" s="25" t="str">
        <f>IF(P212="Standard","No",MAX(0.001,MIN(MROUND(IF(AND(BJ212="True",CC212="False"),POWER(10,3.47*LOG10(_xlfn.XLOOKUP(B212,'Base stats'!B:B,'Base stats'!C:C)*1000)^-0.96),POWER(10,4.15*LOG10(_xlfn.XLOOKUP(B212,'Base stats'!B:B,'Base stats'!C:C)*1000)^-0.73))*IF(_xlfn.XLOOKUP(B212,'Base stats'!B:B,'Base stats'!AM:AM)=1,0.1,1)*_xlfn.XLOOKUP(B212,'Base stats'!B:B,'Base stats'!R:R)/100,IF(_xlfn.XLOOKUP(B212,'Base stats'!B:B,'Base stats'!AM:AM)=1,0.001,0.025)),0.5)))</f>
        <v>No</v>
      </c>
      <c r="CB212" s="25" t="str">
        <f>IF(_xlfn.XLOOKUP(_xlfn.XLOOKUP(B212,'Base stats'!B:B,'Base stats'!E:E),Groups!A:A,Groups!AJ:AJ)="Mammal","True","False")</f>
        <v>False</v>
      </c>
      <c r="CC212" s="25" t="str">
        <f>IF(OR(_xlfn.XLOOKUP(_xlfn.XLOOKUP(B212,'Base stats'!B:B,'Base stats'!E:E),Groups!A:A,Groups!AJ:AJ)="Reptile",_xlfn.XLOOKUP(_xlfn.XLOOKUP(B212,'Base stats'!B:B,'Base stats'!E:E),Groups!A:A,Groups!AJ:AJ)="Amphibian",_xlfn.XLOOKUP(_xlfn.XLOOKUP(B212,'Base stats'!B:B,'Base stats'!E:E),Groups!A:A,Groups!AJ:AJ)="Invertebrate"),"True","False")</f>
        <v>True</v>
      </c>
      <c r="CD212" s="25" t="str">
        <f t="shared" si="27"/>
        <v>False</v>
      </c>
      <c r="CE212" s="25" t="str">
        <f>IF(_xlfn.XLOOKUP(_xlfn.XLOOKUP(B212,'Base stats'!B:B,'Base stats'!E:E),Groups!A:A,Groups!AX:AX),"True","False")</f>
        <v>True</v>
      </c>
      <c r="CF212" s="25" t="str">
        <f>IF(_xlfn.XLOOKUP(_xlfn.XLOOKUP(B212,'Base stats'!B:B,'Base stats'!E:E),Groups!A:A,Groups!AY:AY),"True","False")</f>
        <v>False</v>
      </c>
      <c r="CG212" s="25" t="str">
        <f>IF(_xlfn.XLOOKUP(_xlfn.XLOOKUP(B212,'Base stats'!B:B,'Base stats'!E:E),Groups!A:A,Groups!AW:AW),"True","False")</f>
        <v>True</v>
      </c>
      <c r="CH212" s="25" t="str">
        <f>IF(
OR(
_xlfn.XLOOKUP(_xlfn.XLOOKUP(B212,'Base stats'!B:B,'Base stats'!E:E),Groups!A:A,Groups!AZ:AZ)=0,
AND(
_xlfn.XLOOKUP(B212,'Base stats'!B:B,'Base stats'!Y:Y)&lt;&gt;"Carnivore",
_xlfn.XLOOKUP(B212,'Base stats'!B:B,'Base stats'!Y:Y)&lt;&gt;"Omnivore",
_xlfn.XLOOKUP(B212,'Base stats'!B:B,'Base stats'!Y:Y)&lt;&gt;"OmnivoreRough"
)
),
"No",
IF(
_xlfn.XLOOKUP(_xlfn.XLOOKUP(B212,'Base stats'!B:B,'Base stats'!E:E),Groups!A:A,Groups!AZ:AZ)=1,
"Flesh",
IF(
_xlfn.XLOOKUP(_xlfn.XLOOKUP(B212,'Base stats'!B:B,'Base stats'!E:E),Groups!A:A,Groups!AZ:AZ)=2,
"Bone",
""
)
)
)</f>
        <v>No</v>
      </c>
      <c r="CI212" s="25" t="str">
        <f>IF(_xlfn.XLOOKUP(_xlfn.XLOOKUP(B212,'Base stats'!B:B,'Base stats'!E:E),Groups!A:A,Groups!BB:BB),"True","False")</f>
        <v>False</v>
      </c>
      <c r="CJ212" s="25" t="str">
        <f>IF(_xlfn.XLOOKUP(_xlfn.XLOOKUP(B212,'Base stats'!B:B,'Base stats'!E:E),Groups!A:A,Groups!BA:BA),"True","False")</f>
        <v>False</v>
      </c>
    </row>
    <row r="213" spans="1:88" ht="16.5" thickTop="1" thickBot="1" x14ac:dyDescent="0.3">
      <c r="A213" s="26" t="s">
        <v>1337</v>
      </c>
      <c r="B213" s="6" t="str">
        <f>_xlfn.XLOOKUP(A213,'Base stats'!A:A,'Base stats'!B:B)</f>
        <v>Pterodyna aeria</v>
      </c>
      <c r="C213" s="28" t="s">
        <v>1340</v>
      </c>
      <c r="D213" s="28" t="s">
        <v>1341</v>
      </c>
      <c r="E213" s="28" t="s">
        <v>673</v>
      </c>
      <c r="F213" s="28" t="s">
        <v>673</v>
      </c>
      <c r="G213" s="28" t="s">
        <v>673</v>
      </c>
      <c r="H213" s="2">
        <f>MROUND((
  (IF(AND(_xlfn.XLOOKUP(B213,'Base stats'!B:B,'Base stats'!AL:AL)=0,BI213="None",_xlfn.XLOOKUP(_xlfn.XLOOKUP(B213,'Base stats'!B:B,'Base stats'!E:E),Groups!A:A,Groups!B:B)=0), (18 + BR213 * 2.7) * 0.5,
    IF(AND(_xlfn.XLOOKUP(B213,'Base stats'!B:B,'Base stats'!AL:AL)=0,OR(AO213&lt;0.55,AND(BI213="Intermediate",_xlfn.XLOOKUP(_xlfn.XLOOKUP(B213,'Base stats'!B:B,'Base stats'!E:E),Groups!A:A,Groups!B:B)&lt;2))), (18 + BR213 * 2.7),
      IF(OR(BI213="Advanced",_xlfn.XLOOKUP(B213,'Base stats'!B:B,'Base stats'!AL:AL)=1,_xlfn.XLOOKUP(_xlfn.XLOOKUP(B213,'Base stats'!B:B,'Base stats'!E:E),Groups!A:A,Groups!B:B)=2), (18 + BR213 * 2.7) + 250, (18 + BR213 * 2.7))
    )
  ))
  + AO213 * 80
  + IF(COUNTIF(EggMilk!K$2:K$998, A213) &gt; 0, 125, 0)
  + IF(COUNTIF(EggMilk!P$2:P$998, A213) &gt; 0, 90, 0)
  + IF(COUNTIF(EggMilk!A$2:A$998, A213) &gt; 0, 90, 0)
)
* (0.8 + 0.4 * J213)
* 0.75,25)</f>
        <v>200</v>
      </c>
      <c r="I213" s="2">
        <f>MROUND(ROUNDDOWN(_xlfn.XLOOKUP(B213,'Base stats'!B:B,'Base stats'!L:L)/3.6/(23.3/11),1),0.5)</f>
        <v>3</v>
      </c>
      <c r="J213" s="2">
        <f>IF(OR(_xlfn.XLOOKUP(B213,'Base stats'!B:B,'Base stats'!AB:AB)=1,_xlfn.XLOOKUP(_xlfn.XLOOKUP(B213,'Base stats'!B:B,'Base stats'!E:E),Groups!A:A,Groups!C:C)="Untamable"),1,IF(_xlfn.XLOOKUP(B213,'Base stats'!B:B,'Base stats'!AL:AL)=1,0.99,MIN(MROUND((1-0.6282*EXP(-0.459*AO213))*_xlfn.XLOOKUP(_xlfn.XLOOKUP(B213,'Base stats'!B:B,'Base stats'!E:E),Groups!A:A,Groups!C:C)*IF(_xlfn.XLOOKUP(B213,'Base stats'!B:B,'Base stats'!O:O)=1,0.5,IF(_xlfn.XLOOKUP(B213,'Base stats'!B:B,'Base stats'!O:O)=2,0,1)),0.05),IF(AO213&gt;3.5,0.985,0.95))))</f>
        <v>0.45</v>
      </c>
      <c r="K213" s="2">
        <f>ROUNDUP(AO213*_xlfn.XLOOKUP(_xlfn.XLOOKUP(B213,'Base stats'!B:B,'Base stats'!E:E),Groups!A:A,Groups!E:E),0)</f>
        <v>1</v>
      </c>
      <c r="L213" s="2">
        <f>IF(OR(_xlfn.XLOOKUP(_xlfn.XLOOKUP(B213,'Base stats'!B:B,'Base stats'!E:E),Groups!A:A,Groups!F:F)=2,ISNUMBER(SEARCH("SeaIce",BX213)),ISNUMBER(SEARCH("IceSheet",BX213))),-50,IF(OR(ISNUMBER(SEARCH("GlacialPlain",BX213)),ISNUMBER(SEARCH("Tundra",BX213))),-40,IF(OR(ISNUMBER(SEARCH("Alpine",BX213)),ISNUMBER(SEARCH("BorealForest",BX213)),ISNUMBER(SEARCH("ColdBog",BX213))),-30,IF(OR(ISNUMBER(SEARCH("TemperateForest",BX213)),ISNUMBER(SEARCH("TemperateSwamp",BX213))),-20,IF(_xlfn.XLOOKUP(_xlfn.XLOOKUP(B213,'Base stats'!B:B,'Base stats'!E:E),Groups!A:A,Groups!F:F)=1,-15,IF(OR(ISNUMBER(SEARCH("Desert",BX213)),ISNUMBER(SEARCH("ExtremeDesert",BX213))),-10,IF(OR(ISNUMBER(SEARCH("Grasslands",BX213)),ISNUMBER(SEARCH("TropicalRainforest",BX213)),ISNUMBER(SEARCH("TropicalSwamp",BX213))),10,0)))))))-IF(CC213="False",MIN(IFERROR(MAX(MROUND(LOG10(_xlfn.XLOOKUP(B213,'Base stats'!B:B,'Base stats'!C:C)^(2/3))*10,5),5),5),30))-_xlfn.XLOOKUP(B213,'Base stats'!B:B,'Base stats'!P:P)+IF(CC213="True",5,0)</f>
        <v>-15</v>
      </c>
      <c r="M213" s="2">
        <f>IF(OR(_xlfn.XLOOKUP(_xlfn.XLOOKUP(B213,'Base stats'!B:B,'Base stats'!E:E),Groups!A:A,Groups!G:G)=2,ISNUMBER(SEARCH("Desert",BX213)),ISNUMBER(SEARCH("ExtremeDesert",BX213)),ISNUMBER(SEARCH("LavaField",BX213))),50,IF(ISNUMBER(SEARCH("Grasslands",BX213)),45,IF(OR(_xlfn.XLOOKUP(_xlfn.XLOOKUP(B213,'Base stats'!B:B,'Base stats'!E:E),Groups!A:A,Groups!G:G)=1,ISNUMBER(SEARCH("TropicalRainforest",BX213)),ISNUMBER(SEARCH("TropicalSwamp",BX213))),40,IF(OR(ISNUMBER(SEARCH("TemperateForest",BX213)),ISNUMBER(SEARCH("TemperateSwamp",BX213))),35,IF(OR(ISNUMBER(SEARCH("Alpine",BX213)),ISNUMBER(SEARCH("BorealForest",BX213)),ISNUMBER(SEARCH("ColdBog",BX213))),30,IF(ISNUMBER(OR(ISNUMBER(SEARCH("GlacialPlain",BX213)),SEARCH("Tundra",BX213))),25,IF(OR(ISNUMBER(SEARCH("SeaIce",BX213)),ISNUMBER(SEARCH("IceSheet",BX213)),ISNUMBER(SEARCH("TropicalSwamp",BX213))),10,35)))))))+_xlfn.XLOOKUP(B213,'Base stats'!B:B,'Base stats'!Q:Q)</f>
        <v>50</v>
      </c>
      <c r="N213" s="8" t="str">
        <f>IF(
_xlfn.XLOOKUP(
_xlfn.XLOOKUP(B213,'Base stats'!B:B,'Base stats'!E:E),
Groups!A:A,
Groups!L:L
)=1,
MIN(
MROUND(
IF(
_xlfn.XLOOKUP(B213,'Animals CE'!B:B,'Animals CE'!Z:Z)&lt;=1.5,
_xlfn.XLOOKUP(B213,'Animals CE'!B:B,'Animals CE'!Z:Z)/2+0.05,
0.8+
(_xlfn.XLOOKUP(B213,'Animals CE'!B:B,'Animals CE'!Z:Z)-1.5)
*0.02
),
0.05
),
200%
),
"No"
)</f>
        <v>No</v>
      </c>
      <c r="O213" s="8" t="str">
        <f>IF(
_xlfn.XLOOKUP(
_xlfn.XLOOKUP(B213,'Base stats'!B:B,'Base stats'!E:E),
Groups!A:A,
Groups!L:L
)=1,
MIN(
MROUND(
IF(
_xlfn.XLOOKUP(B213,'Animals CE'!B:B,'Animals CE'!AA:AA)&lt;=1.5,
_xlfn.XLOOKUP(B213,'Animals CE'!B:B,'Animals CE'!AA:AA)/2+0.05,
0.8+
(_xlfn.XLOOKUP(B213,'Animals CE'!B:B,'Animals CE'!AA:AA)-1.5)
*0.02
),
0.05
),
200%
),
"No"
)</f>
        <v>No</v>
      </c>
      <c r="P213" s="2" t="str">
        <f>_xlfn.XLOOKUP(B213,'Base stats'!B:B,'Base stats'!R:R)</f>
        <v>Standard</v>
      </c>
      <c r="Q213" s="13">
        <f>MROUND((LOG10(_xlfn.XLOOKUP(B213,'Base stats'!B:B,'Base stats'!AR:AR))*(AO213^0.5)+(_xlfn.XLOOKUP(B213,'Base stats'!B:B,'Base stats'!AR:AR)/1000)^(2/3)+_xlfn.XLOOKUP(B213,'Base stats'!B:B,'Base stats'!BA:BA)/2)+0.5,0.5)</f>
        <v>2.5</v>
      </c>
      <c r="R213" s="7">
        <f>IF(Q213="No","No",MAX(1,MROUND(_xlfn.XLOOKUP(B213,'Base stats'!B:B,'Base stats'!C:C)^0.165,0.05)))</f>
        <v>1.3</v>
      </c>
      <c r="S213" s="13" t="str">
        <f>IF(_xlfn.XLOOKUP(_xlfn.XLOOKUP(B213,'Base stats'!B:B,'Base stats'!E:E),Groups!A:A,Groups!P:P)=0,"No",MROUND((LOG10(_xlfn.XLOOKUP(B213,'Base stats'!B:B,'Base stats'!AS:AS))*(AO213^0.5)+(_xlfn.XLOOKUP(B213,'Base stats'!B:B,'Base stats'!AS:AS)/1000)^(2/3)+_xlfn.XLOOKUP(B213,'Base stats'!B:B,'Base stats'!BA:BA))+_xlfn.XLOOKUP(B213,'Base stats'!B:B,'Base stats'!AY:AY)+0.5,0.5))</f>
        <v>No</v>
      </c>
      <c r="T213" s="7" t="str">
        <f>IF(S213="No","No",MAX(_xlfn.XLOOKUP(_xlfn.XLOOKUP(B213,'Base stats'!B:B,'Base stats'!E:E),Groups!A:A,Groups!Q:Q),MROUND(_xlfn.XLOOKUP(_xlfn.XLOOKUP(B213,'Base stats'!B:B,'Base stats'!E:E),Groups!A:A,Groups!Q:Q)*_xlfn.XLOOKUP(B213,'Base stats'!B:B,'Base stats'!C:C)^0.165,0.05)))</f>
        <v>No</v>
      </c>
      <c r="U213" s="7" t="str">
        <f>IF(S213="No","No",_xlfn.XLOOKUP(_xlfn.XLOOKUP(B213,'Base stats'!B:B,'Base stats'!E:E),Groups!A:A,Groups!R:R))</f>
        <v>No</v>
      </c>
      <c r="V213" s="7" t="str">
        <f>IF(S213="No","No",_xlfn.XLOOKUP(_xlfn.XLOOKUP(B213,'Base stats'!B:B,'Base stats'!E:E),Groups!A:A,Groups!S:S))</f>
        <v>No</v>
      </c>
      <c r="W213" s="7" t="str">
        <f>IF(S213="No","No",_xlfn.XLOOKUP(_xlfn.XLOOKUP(B213,'Base stats'!B:B,'Base stats'!E:E),Groups!A:A,Groups!T:T))</f>
        <v>No</v>
      </c>
      <c r="X213" s="13" t="str">
        <f>IF(_xlfn.XLOOKUP(B213,'Base stats'!B:B,'Base stats'!W:W)="No","No",MROUND((LOG10(_xlfn.XLOOKUP(B213,'Base stats'!B:B,'Base stats'!AU:AU))*(AO213^0.5)+(_xlfn.XLOOKUP(B213,'Base stats'!B:B,'Base stats'!AU:AU)/1000)^(2/3)+_xlfn.XLOOKUP(B213,'Base stats'!B:B,'Base stats'!AZ:AZ))+0.5+IF(_xlfn.XLOOKUP(_xlfn.XLOOKUP(B213,'Base stats'!B:B,'Base stats'!E:E),Groups!A:A,Groups!U:U)&lt;&gt;3,_xlfn.XLOOKUP(B213,'Base stats'!B:B,'Base stats'!BA:BA),0),0.5))</f>
        <v>No</v>
      </c>
      <c r="Y213" s="7" t="str">
        <f>IF(X213="No","No",MAX(_xlfn.XLOOKUP(_xlfn.XLOOKUP(B213,'Base stats'!B:B,'Base stats'!E:E),Groups!A:A,Groups!V:V),MROUND(_xlfn.XLOOKUP(_xlfn.XLOOKUP(B213,'Base stats'!B:B,'Base stats'!E:E),Groups!A:A,Groups!V:V)*_xlfn.XLOOKUP(B213,'Base stats'!B:B,'Base stats'!C:C)^0.165,0.05)))</f>
        <v>No</v>
      </c>
      <c r="Z213" s="7" t="str">
        <f>IF(X213="No","No",_xlfn.XLOOKUP(_xlfn.XLOOKUP(B213,'Base stats'!B:B,'Base stats'!E:E),Groups!A:A,Groups!W:W))</f>
        <v>No</v>
      </c>
      <c r="AA213" s="7" t="str">
        <f>IF(X213="No","No",_xlfn.XLOOKUP(_xlfn.XLOOKUP(B213,'Base stats'!B:B,'Base stats'!E:E),Groups!A:A,Groups!X:X))</f>
        <v>No</v>
      </c>
      <c r="AB213" s="7" t="str">
        <f>IF(X213="No","No",_xlfn.XLOOKUP(_xlfn.XLOOKUP(B213,'Base stats'!B:B,'Base stats'!E:E),Groups!A:A,Groups!Y:Y))</f>
        <v>No</v>
      </c>
      <c r="AC213" s="7" t="str">
        <f>_xlfn.XLOOKUP(Animals!B213,'Base stats'!B:B,'Base stats'!X:X)</f>
        <v>False</v>
      </c>
      <c r="AD213" s="13" t="str">
        <f>IF(_xlfn.XLOOKUP(B213,'Base stats'!B:B,'Base stats'!AT:AT)="No","No",MROUND((LOG10(_xlfn.XLOOKUP(B213,'Base stats'!B:B,'Base stats'!AT:AT))*(AO213^0.75)+(_xlfn.XLOOKUP(B213,'Base stats'!B:B,'Base stats'!AT:AT)/1000)^(2/3)+_xlfn.XLOOKUP(B213,'Base stats'!B:B,'Base stats'!AX:AX)+_xlfn.XLOOKUP(B213,'Base stats'!B:B,'Base stats'!BA:BA))+0.5,0.5))</f>
        <v>No</v>
      </c>
      <c r="AE213" s="7" t="str">
        <f>IF(AD213="No","No",MAX(_xlfn.XLOOKUP(_xlfn.XLOOKUP(B213,'Base stats'!B:B,'Base stats'!E:E),Groups!A:A,Groups!Z:Z),MROUND(_xlfn.XLOOKUP(_xlfn.XLOOKUP(B213,'Base stats'!B:B,'Base stats'!E:E),Groups!A:A,Groups!Z:Z)*_xlfn.XLOOKUP(B213,'Base stats'!B:B,'Base stats'!C:C)^0.165,0.05)))</f>
        <v>No</v>
      </c>
      <c r="AF213" s="7" t="str">
        <f>IF(AD213="No","No",_xlfn.XLOOKUP(_xlfn.XLOOKUP(B213,'Base stats'!B:B,'Base stats'!E:E),Groups!A:A,Groups!AA:AA))</f>
        <v>No</v>
      </c>
      <c r="AG213" s="7" t="str">
        <f>IF(AD213="No","No",_xlfn.XLOOKUP(_xlfn.XLOOKUP(B213,'Base stats'!B:B,'Base stats'!E:E),Groups!A:A,Groups!AB:AB))</f>
        <v>No</v>
      </c>
      <c r="AH213" s="7" t="str">
        <f>IF(AD213="No","No",_xlfn.XLOOKUP(_xlfn.XLOOKUP(B213,'Base stats'!B:B,'Base stats'!E:E),Groups!A:A,Groups!AC:AC))</f>
        <v>No</v>
      </c>
      <c r="AI213" s="13">
        <f>IF(_xlfn.XLOOKUP(_xlfn.XLOOKUP(B213,'Base stats'!B:B,'Base stats'!E:E),Groups!A:A,Groups!AD:AD)=0,"No",MROUND((LOG10(_xlfn.XLOOKUP(B213,'Base stats'!B:B,'Base stats'!AS:AS))*(AO213^0.75)+(_xlfn.XLOOKUP(B213,'Base stats'!B:B,'Base stats'!AS:AS)/1000)^(2/3)+_xlfn.XLOOKUP(B213,'Base stats'!B:B,'Base stats'!AY:AY)+_xlfn.XLOOKUP(B213,'Base stats'!B:B,'Base stats'!BA:BA))+0.5,0.5))</f>
        <v>3</v>
      </c>
      <c r="AJ213" s="7">
        <f>IF(AI213="No","No",MAX(_xlfn.XLOOKUP(_xlfn.XLOOKUP(B213,'Base stats'!B:B,'Base stats'!E:E),Groups!A:A,Groups!AE:AE),MROUND(_xlfn.XLOOKUP(_xlfn.XLOOKUP(B213,'Base stats'!B:B,'Base stats'!E:E),Groups!A:A,Groups!AE:AE)*IF(_xlfn.XLOOKUP(_xlfn.XLOOKUP(B213,'Base stats'!B:B,'Base stats'!E:E),Groups!A:A,Groups!AJ:AJ)="Photonozoa",0.6,1)*_xlfn.XLOOKUP(B213,'Base stats'!B:B,'Base stats'!C:C)^0.165,0.05)))</f>
        <v>1</v>
      </c>
      <c r="AK213" s="7" t="str">
        <f>IF(AI213="No","No",_xlfn.XLOOKUP(_xlfn.XLOOKUP(B213,'Base stats'!B:B,'Base stats'!E:E),Groups!A:A,Groups!AF:AF))</f>
        <v>Arms</v>
      </c>
      <c r="AL213" s="7" t="str">
        <f>IF(AI213="No","No",_xlfn.XLOOKUP(_xlfn.XLOOKUP(B213,'Base stats'!B:B,'Base stats'!E:E),Groups!A:A,Groups!AG:AG))</f>
        <v>tentacles</v>
      </c>
      <c r="AM213" s="7" t="str">
        <f>IF(AI213="No","No",_xlfn.XLOOKUP(_xlfn.XLOOKUP(B213,'Base stats'!B:B,'Base stats'!E:E),Groups!A:A,Groups!AH:AH))</f>
        <v>Blunt</v>
      </c>
      <c r="AN213" s="2" t="str">
        <f t="shared" si="21"/>
        <v>No</v>
      </c>
      <c r="AO213" s="2">
        <f>MROUND(IF(AND(_xlfn.XLOOKUP(B213,'Base stats'!B:B,'Base stats'!C:C)&gt;=0.5,_xlfn.XLOOKUP(B213,'Base stats'!B:B,'Base stats'!C:C)&lt;=0.8),
IF(_xlfn.XLOOKUP(B213,'Base stats'!B:B,'Base stats'!C:C)&lt;0.1,0.05,IF(_xlfn.XLOOKUP(B213,'Base stats'!B:B,'Base stats'!C:C)&lt;=70,(_xlfn.XLOOKUP(B213,'Base stats'!B:B,'Base stats'!C:C)/70)^0.426489913056526,IF(_xlfn.XLOOKUP(B213,'Base stats'!B:B,'Base stats'!C:C)&lt;=400,(_xlfn.XLOOKUP(B213,'Base stats'!B:B,'Base stats'!C:C)/70)^0.572811455315093,IF(_xlfn.XLOOKUP(B213,'Base stats'!B:B,'Base stats'!C:C)&lt;=2000,2.71391647193063*(_xlfn.XLOOKUP(B213,'Base stats'!B:B,'Base stats'!C:C)/400)^0.252459582904293,3.74314280240376*(_xlfn.XLOOKUP(B213,'Base stats'!B:B,'Base stats'!C:C)/2000)^0.357012633876913)))),
IF(_xlfn.XLOOKUP(B213,'Base stats'!B:B,'Base stats'!C:C)&lt;0.1,0.05,IF(_xlfn.XLOOKUP(B213,'Base stats'!B:B,'Base stats'!C:C)&lt;0.4,0.1,IF(_xlfn.XLOOKUP(B213,'Base stats'!B:B,'Base stats'!C:C)&lt;=70,(_xlfn.XLOOKUP(B213,'Base stats'!B:B,'Base stats'!C:C)/70)^0.445823913056526,IF(_xlfn.XLOOKUP(B213,'Base stats'!B:B,'Base stats'!C:C)&lt;=400,(_xlfn.XLOOKUP(B213,'Base stats'!B:B,'Base stats'!C:C)/70)^0.572811455315093,IF(_xlfn.XLOOKUP(B213,'Base stats'!B:B,'Base stats'!C:C)&lt;=2000,2.71391647193063*(_xlfn.XLOOKUP(B213,'Base stats'!B:B,'Base stats'!C:C)/400)^0.252459582904293,3.74314280240376*(_xlfn.XLOOKUP(B213,'Base stats'!B:B,'Base stats'!C:C)/2000)^0.357012633876913)))))),
IF(_xlfn.XLOOKUP(B213,'Base stats'!B:B,'Base stats'!C:C)&lt;0.1,0.05,IF(_xlfn.XLOOKUP(B213,'Base stats'!B:B,'Base stats'!C:C)&lt;=100,0.05,IF(_xlfn.XLOOKUP(B213,'Base stats'!B:B,'Base stats'!C:C)&lt;=250,0.1,IF(_xlfn.XLOOKUP(B213,'Base stats'!B:B,'Base stats'!C:C)&lt;=4000,0.25,0.5)))))</f>
        <v>0.30000000000000004</v>
      </c>
      <c r="AP213" s="8">
        <f>MROUND(AO213*_xlfn.XLOOKUP(_xlfn.XLOOKUP(B213,'Base stats'!B:B,'Base stats'!E:E),Groups!A:A,Groups!AI:AI)*_xlfn.XLOOKUP(B213,'Base stats'!B:B,'Base stats'!Z:Z),0.05)</f>
        <v>0.30000000000000004</v>
      </c>
      <c r="AQ213" s="8">
        <f>MAX(0.01,MROUND(IF(CC213="True",0.196*(AO213*100*1000)^0.889,IF(_xlfn.XLOOKUP(_xlfn.XLOOKUP(B213,'Base stats'!B:B,'Base stats'!E:E),Groups!A:A,Groups!AJ:AJ)="Bird",10.5*(AO213*100*1000)^0.681,4.82*(AO213*100*1000)^0.734))/(4.82*(1*100*1000)^0.734)/IF(AO213&lt;3.5,2,IF(AO213=3.5,1.5,1.25))*(1+0.132282374779864/(AO213^0.994035016789033+0.00905238001496948)),0.05))</f>
        <v>0.05</v>
      </c>
      <c r="AR213" s="9">
        <f>IFERROR(MROUND(_xlfn.XLOOKUP(B213,'Base stats'!B:B,'Base stats'!H:H)/IF(_xlfn.XLOOKUP(B213,'Base stats'!B:B,'Base stats'!I:I)&lt;&gt;1,(122.5/70),1.2),IF(_xlfn.XLOOKUP(B213,'Base stats'!B:B,'Base stats'!H:H)&gt;=30,5,IF(_xlfn.XLOOKUP(B213,'Base stats'!B:B,'Base stats'!H:H)&gt;=15,3,IF(_xlfn.XLOOKUP(B213,'Base stats'!B:B,'Base stats'!H:H)&gt;=10,2,1)))),"Immortal")</f>
        <v>8</v>
      </c>
      <c r="AS213" s="35" t="str">
        <f>IFERROR(IF(OR(_xlfn.XLOOKUP(B213,'Base stats'!B:B,'Base stats'!F:F)="Atypical reproduction",_xlfn.XLOOKUP(B213,'Base stats'!B:B,'Base stats'!F:F)="Lay eggs"),"Lay eggs",MIN(20,MAX(5.5,ROUND(((_xlfn.XLOOKUP(B213,'Base stats'!B:B,'Base stats'!F:F)-25)*(14.5/615) + 5.5)*2,0)/2))),"Unknown")</f>
        <v>Lay eggs</v>
      </c>
      <c r="AT213" s="8">
        <f>IF(_xlfn.XLOOKUP(B213,'Base stats'!B:B,'Base stats'!G:G)="Atypical reproduction","No",IFERROR(MAX(IF(_xlfn.XLOOKUP(B213,'Base stats'!B:B,'Base stats'!G:G)&lt;0.5,0.2,0.3),MROUND(_xlfn.XLOOKUP(B213,'Base stats'!B:B,'Base stats'!G:G)/(365/60),0.2)),"Unknown"))</f>
        <v>0.3</v>
      </c>
      <c r="AU213" s="8">
        <f t="shared" si="22"/>
        <v>0.15000000000000002</v>
      </c>
      <c r="AV213" s="8" t="str">
        <f>IFERROR(IFERROR(MROUND(_xlfn.XLOOKUP(B213,'Base stats'!B:B,'Base stats'!J:J),0.1),"Lay eggs"),"Cannot breed")</f>
        <v>Lay eggs</v>
      </c>
      <c r="AW213" s="2" t="str">
        <f t="shared" si="23"/>
        <v>true</v>
      </c>
      <c r="AX213" s="2" t="str">
        <f>IF(_xlfn.XLOOKUP(_xlfn.XLOOKUP(Animals!B213,'Base stats'!B:B,'Base stats'!E:E),Groups!A:A,Groups!AK:AK)=1,"true","false")</f>
        <v>false</v>
      </c>
      <c r="AY213" s="25" t="str">
        <f>IF(_xlfn.XLOOKUP(B213,'Base stats'!B:B,'Base stats'!Y:Y)="Liquor","Liquor, CarnivoreAnimalStrict",IF(AND(_xlfn.XLOOKUP(B213,'Base stats'!B:B,'Base stats'!Y:Y)="Carnivore",_xlfn.XLOOKUP(_xlfn.XLOOKUP(B213,'Base stats'!B:B,'Base stats'!E:E),Groups!A:A,Groups!AJ:AJ)="Photonozoa"),"CarnivoreAnimalStrict, OvivoreAnimal",IF(_xlfn.XLOOKUP(B213,'Base stats'!B:B,'Base stats'!Y:Y)="Carnivore","CarnivoreAnimal, OvivoreAnimal",IF(_xlfn.XLOOKUP(B213,'Base stats'!B:B,'Base stats'!Y:Y)="Dendrovore","VegetarianRoughAnimal, DendrovoreAnimal",IF(_xlfn.XLOOKUP(B213,'Base stats'!B:B,'Base stats'!Y:Y)="Herbivore","VegetarianRoughAnimal",IF(_xlfn.XLOOKUP(B213,'Base stats'!B:B,'Base stats'!Y:Y)="OmnivoreRough","OmnivoreRoughAnimal, OvivoreAnimal","OmnivoreAnimal, OvivoreAnimal"))))))</f>
        <v>VegetarianRoughAnimal</v>
      </c>
      <c r="AZ213" s="2">
        <f>IF(_xlfn.XLOOKUP(_xlfn.XLOOKUP(B213,'Base stats'!B:B,'Base stats'!E:E),Groups!A:A,Groups!D:D)=1,MROUND((1-J213)*5+1,2)*IF(J213&lt;=0.4,2,1),"No")</f>
        <v>4</v>
      </c>
      <c r="BA213" s="2" t="str">
        <f>IF(AND(_xlfn.XLOOKUP(B213,'Base stats'!B:B,'Base stats'!AH:AH)="&lt;li&gt;Seal&lt;/li&gt;",G213="Odyssey"),"&lt;li&gt;AEXP_Seal&lt;/li&gt;",_xlfn.XLOOKUP(B213,'Base stats'!B:B,'Base stats'!AH:AH))</f>
        <v>No</v>
      </c>
      <c r="BB213" s="2" t="str">
        <f>_xlfn.XLOOKUP(B213,'Base stats'!B:B,'Base stats'!AG:AG)</f>
        <v>No</v>
      </c>
      <c r="BC213" s="23" t="str">
        <f>_xlfn.XLOOKUP(_xlfn.XLOOKUP(B213,'Base stats'!B:B,'Base stats'!E:E),Groups!A:A,Groups!AL:AL)</f>
        <v>Jellyfish</v>
      </c>
      <c r="BD213" s="23">
        <f>MIN(1,MROUND(IF(AND(AO213&lt;0.5,_xlfn.XLOOKUP(B213,'Base stats'!B:B,'Base stats'!AA:AA)=0),0,IF(OR(_xlfn.XLOOKUP(Animals!B213,'Base stats'!B:B,'Base stats'!O:O)=2,_xlfn.XLOOKUP(_xlfn.XLOOKUP(B213,'Base stats'!B:B,'Base stats'!E:E),Groups!A:A,Groups!AN:AN)=0),0,_xlfn.XLOOKUP(_xlfn.XLOOKUP(B213,'Base stats'!B:B,'Base stats'!E:E),Groups!A:A,Groups!AN:AN)/IF(_xlfn.XLOOKUP(Animals!B213,'Base stats'!B:B,'Base stats'!O:O)=1,2,1)))+_xlfn.XLOOKUP(B213,'Base stats'!B:B,'Base stats'!AC:AC),0.005))</f>
        <v>0</v>
      </c>
      <c r="BE213" s="23">
        <f>MIN(1,MROUND(IF(AND(AO213&lt;0.5,_xlfn.XLOOKUP(B213,'Base stats'!B:B,'Base stats'!AA:AA)=0),0,IF(_xlfn.XLOOKUP(_xlfn.XLOOKUP(B213,'Base stats'!B:B,'Base stats'!E:E),Groups!A:A,Groups!AO:AO)=0,0,_xlfn.XLOOKUP(_xlfn.XLOOKUP(B213,'Base stats'!B:B,'Base stats'!E:E),Groups!A:A,Groups!AO:AO)/IF(_xlfn.XLOOKUP(Animals!B213,'Base stats'!B:B,'Base stats'!O:O)=2,3,1)))+_xlfn.XLOOKUP(B213,'Base stats'!B:B,'Base stats'!AD:AD),0.005))</f>
        <v>0</v>
      </c>
      <c r="BF213" s="2" t="str">
        <f>IF(J213&gt;0.3,"No",_xlfn.XLOOKUP(_xlfn.XLOOKUP(Animals!B213,'Base stats'!B:B,'Base stats'!E:E),Groups!A:A,Groups!AP:AP))</f>
        <v>No</v>
      </c>
      <c r="BG213" s="2" t="str">
        <f>IF(AND(J213&lt;=0.65,_xlfn.XLOOKUP(_xlfn.XLOOKUP(Animals!B213,'Base stats'!B:B,'Base stats'!E:E),Groups!A:A,Groups!AP:AP)&lt;&gt;"No",_xlfn.XLOOKUP(_xlfn.XLOOKUP(B213,'Base stats'!B:B,'Base stats'!E:E),Groups!A:A,Groups!D:D)=0),MROUND((80/3)*IF(_xlfn.XLOOKUP(B213,'Base stats'!B:B,'Base stats'!O:O)=2,0.2,AO213) + 24*(1-IF(BF213="No",0,BF213)) + 16/3, 12),"No")</f>
        <v>No</v>
      </c>
      <c r="BH213" s="2">
        <f>IF(AND(_xlfn.XLOOKUP(_xlfn.XLOOKUP(B213,'Base stats'!B:B,'Base stats'!E:E),Groups!A:A,Groups!AQ:AQ)=1,AO213&lt;=0.35),8,12)</f>
        <v>12</v>
      </c>
      <c r="BI213" s="2" t="str">
        <f>IF(_xlfn.XLOOKUP(_xlfn.XLOOKUP(B213,'Base stats'!B:B,'Base stats'!E:E),Groups!A:A,Groups!D:D)=0,_xlfn.XLOOKUP(_xlfn.XLOOKUP(B213,'Base stats'!B:B,'Base stats'!E:E),Groups!A:A,Groups!AR:AR),"None")</f>
        <v>None</v>
      </c>
      <c r="BJ213" s="2" t="str">
        <f>IF(AND(_xlfn.XLOOKUP(_xlfn.XLOOKUP(B213,'Base stats'!B:B,'Base stats'!E:E),Groups!A:A,Groups!AS:AS)=1,OR(_xlfn.XLOOKUP(B213,'Base stats'!B:B,'Base stats'!Y:Y)="Carnivore",_xlfn.XLOOKUP(B213,'Base stats'!B:B,'Base stats'!Y:Y)="Omnivore")),"true","false")</f>
        <v>false</v>
      </c>
      <c r="BK213" s="2" t="str">
        <f>IF(BJ213="true",MROUND(IF(AND(AO213&gt;0.5,OR(_xlfn.XLOOKUP(_xlfn.XLOOKUP(B213,'Base stats'!B:B,'Base stats'!E:E),Groups!A:A,Groups!AJ:AJ)="Photonozoa",_xlfn.XLOOKUP(_xlfn.XLOOKUP(B213,'Base stats'!B:B,'Base stats'!E:E),Groups!A:A,Groups!AJ:AJ)="Mammal")),Animals!AO213*1.75*IF(AW213="true",1.5,1),IF(AO213&lt;0.5,Animals!AO213*0.5,Animals!AO213)),IF(AO213&gt;2,0.5,IF(AO213&gt;0.5,0.25,0.1))),"No")</f>
        <v>No</v>
      </c>
      <c r="BL213" s="2">
        <f t="shared" si="24"/>
        <v>0</v>
      </c>
      <c r="BM213" s="25" t="str">
        <f>IF(_xlfn.XLOOKUP(B213,'Base stats'!B:B,'Base stats'!AN:AN)="Standard","No",MROUND((_xlfn.XLOOKUP(B213,'Base stats'!B:B,'Base stats'!AN:AN)/3.6)/I213,0.1))</f>
        <v>No</v>
      </c>
      <c r="BN213" s="25" t="str">
        <f t="shared" si="25"/>
        <v>false</v>
      </c>
      <c r="BO213" s="25" t="str">
        <f>IF(AND(OR(_xlfn.XLOOKUP(B213,'Base stats'!B:B,'Base stats'!Y:Y)="Carnivore",_xlfn.XLOOKUP(B213,'Base stats'!B:B,'Base stats'!Y:Y)="Omnivore",_xlfn.XLOOKUP(B213,'Base stats'!B:B,'Base stats'!Y:Y)="OmnivoreRough"),_xlfn.XLOOKUP(_xlfn.XLOOKUP(B213,'Base stats'!B:B,'Base stats'!E:E),Groups!A:A,Groups!AT:AT)=1),"true","false")</f>
        <v>false</v>
      </c>
      <c r="BP213" s="25" t="str" cm="1">
        <f t="array" ref="BP213">IF(
  _xlfn.TEXTJOIN(", ",TRUE,
    IF(AND(BJ213="true",AO213&gt;0.5,BI213&lt;&gt;"None"),"AttackTarget",""),
    IF(AND(_xlfn.XLOOKUP(_xlfn.XLOOKUP(B213,'Base stats'!B:B,'Base stats'!E:E),Groups!A:A,Groups!AJ:AJ="Mammal"),OR(_xlfn.XLOOKUP(B213,'Base stats'!B:B,'Base stats'!Y:Y)="Omnivore",_xlfn.XLOOKUP(B213,'Base stats'!B:B,'Base stats'!Y:Y)="OmnivoreRough")),"Forage",""),
    IF(BG213&lt;=36,"Comfort",""),
    IF(_xlfn.XLOOKUP(B213,'Base stats'!B:B,'Base stats'!AE:AE)&lt;&gt;"No",_xlfn.XLOOKUP(B213,'Base stats'!B:B,'Base stats'!AE:AE),"")
  ) = "",
  "No",
  _xlfn.TEXTJOIN(", ",TRUE,
    IF(AND(BJ213="true",AO213&gt;0.5,BI213&lt;&gt;"None"),"AttackTarget",""),
    IF(AND(_xlfn.XLOOKUP(_xlfn.XLOOKUP(B213,'Base stats'!B:B,'Base stats'!E:E),Groups!A:A,Groups!AJ:AJ="Mammal"),OR(_xlfn.XLOOKUP(B213,'Base stats'!B:B,'Base stats'!Y:Y)="Omnivore",_xlfn.XLOOKUP(B213,'Base stats'!B:B,'Base stats'!Y:Y)="OmnivoreRough")),"Forage",""),
    IF(BG213&lt;=36,"Comfort",""),
    IF(_xlfn.XLOOKUP(B213,'Base stats'!B:B,'Base stats'!AE:AE)&lt;&gt;"No",_xlfn.XLOOKUP(B213,'Base stats'!B:B,'Base stats'!AE:AE),"")
  )
)</f>
        <v>No</v>
      </c>
      <c r="BQ213" s="25" t="str">
        <f>IF(
   AND(
      'Base stats'!AN213="Standard",_xlfn.XLOOKUP(_xlfn.XLOOKUP(B213,'Base stats'!B:B,'Base stats'!E:E),Groups!A:A,Groups!AU:AU)=0,
      OR(
      BO213="True"
      )
   ),
   10,
   IF(
       OR(BM213&lt;&gt;"No",_xlfn.XLOOKUP(_xlfn.XLOOKUP(B213,'Base stats'!B:B,'Base stats'!E:E),Groups!A:A,Groups!AU:AU)=1),
      1,
      "No"
   )
)</f>
        <v>No</v>
      </c>
      <c r="BR213" s="9">
        <f>MROUND((1 + ((0.2*IF(OR(Q213="No",R213="No",R213=0),0,Q213/R213)
+IF(OR(V213="No",S213="No",T213="No"),0,S213/T213*(LEN(V213)-LEN(SUBSTITUTE(V213,",",""))+1))
+IF(OR(X213="No",Y213="No"),0,X213/Y213)
+IF(OR(AD213="No",AE213="No"),0,AD213/AE213)
+IF(OR(AL213="No",AI213="No",AJ213="No"),0,AI213/AJ213*(LEN(AL213)-LEN(SUBSTITUTE(AL213,",",""))+1))
)/(0.2*IF(OR(Q213="No",R213="No",R213=0),0,1)
+IF(OR(V213="No",S213="No",T213="No"),0,LEN(V213)-LEN(SUBSTITUTE(V213,",",""))+1)
+IF(OR(X213="No",Y213="No"),0,1)
+IF(OR(AD213="No",AE213="No"),0,1)
+IF(OR(AL213="No",AI213="No",AJ213="No"),0,LEN(AL213)-LEN(SUBSTITUTE(AL213,",",""))+1))*62%)* 2)*(1 + (AP213 / (IF(_xlfn.XLOOKUP(_xlfn.XLOOKUP(B213,'Base stats'!B:B,'Base stats'!E:E),Groups!A:A,Groups!AJ:AJ)="Photonozoa",0.3,1)) + _xlfn.XLOOKUP(B213,'Base stats'!B:B,'Base stats'!AV:AV) * 1.8) * 2) * 2.5 + 10 + I213 * 2,5)+IF(_xlfn.XLOOKUP(B213,'Base stats'!B:B,'Base stats'!AK:AK)=1,50,0)</f>
        <v>85</v>
      </c>
      <c r="BS213" s="8">
        <f t="shared" si="26"/>
        <v>0.1</v>
      </c>
      <c r="BT213" s="8" t="str">
        <f>_xlfn.XLOOKUP(B213,'Base stats'!B:B,'Base stats'!AF:AF)</f>
        <v>3~8</v>
      </c>
      <c r="BU213" s="2" t="str">
        <f>IF(AND(J213&lt;=0.95,OR(_xlfn.XLOOKUP(B213,'Base stats'!B:B,'Base stats'!AK:AK)=1,_xlfn.XLOOKUP(B213,'Base stats'!B:B,'Base stats'!Y:Y)="Carnivore",_xlfn.XLOOKUP(B213,'Base stats'!B:B,'Base stats'!Y:Y)="Omnivore",BE213&gt;0.1)),"true","false")</f>
        <v>true</v>
      </c>
      <c r="BV213" s="2" t="str">
        <f>IF(_xlfn.XLOOKUP(B213,'Base stats'!B:B,'Base stats'!AI:AI)=1,"true","false")</f>
        <v>false</v>
      </c>
      <c r="BW213" s="25" t="str">
        <f>IF(E213="BaseInsect","AnimalInsect",
IF(J213&gt;0.95,"AnimalExotic",
_xlfn.TEXTJOIN(", ",TRUE,
IF(OR(_xlfn.XLOOKUP(B213,'Base stats'!B:B,'Base stats'!AM:AM)=1,AND(_xlfn.XLOOKUP(B213,'Base stats'!B:B,'Base stats'!O:O)=0,_xlfn.XLOOKUP(_xlfn.XLOOKUP(B213,'Base stats'!B:B,'Base stats'!E:E),Groups!A:A,Groups!B:B)&gt;0)),"AnimalUncommon","AnimalCommon"),
IF(AND(_xlfn.XLOOKUP(B213,'Base stats'!B:B,'Base stats'!O:O)=2,_xlfn.XLOOKUP(_xlfn.XLOOKUP(B213,'Base stats'!B:B,'Base stats'!E:E),Groups!A:A,Groups!D:D)=0),"AnimalPet",IF(AND(_xlfn.XLOOKUP(B213,'Base stats'!B:B,'Base stats'!O:O)&lt;&gt;0,_xlfn.XLOOKUP(_xlfn.XLOOKUP(B213,'Base stats'!B:B,'Base stats'!E:E),Groups!A:A,Groups!D:D)&lt;&gt;0),"AnimalFarm","")),
IF(OR(_xlfn.XLOOKUP(B213,'Base stats'!B:B,'Base stats'!AK:AK)=1,AND(BI213&lt;&gt;"None",BR213&gt;=60),ISNUMBER(SEARCH("Attack target",BP213))),"AnimalFighter","")
)))</f>
        <v>AnimalUncommon, AnimalFighter</v>
      </c>
      <c r="BX213" s="25" t="str">
        <f>IF(G213="None",TRIM(
SUBSTITUTE(
IF(COUNTIF(Biomes!B$2:B$259,"="&amp;$C213)&gt;0,Biomes!B$1&amp;", ","")&amp;
IF(COUNTIF(Biomes!C$2:C$259,"="&amp;$C213)&gt;0,Biomes!C$1&amp;", ","")&amp;
IF(COUNTIF(Biomes!D$2:D$259,"="&amp;$C213)&gt;0,Biomes!D$1&amp;", ","")&amp;
IF(COUNTIF(Biomes!F$2:F$259,"="&amp;$C213)&gt;0,Biomes!F$1&amp;", ","")&amp;
IF(COUNTIF(Biomes!G$2:G$259,"="&amp;$C213)&gt;0,Biomes!G$1&amp;", ","")&amp;
IF(COUNTIF(Biomes!H$2:H$259,"="&amp;$C213)&gt;0,Biomes!H$1&amp;", ","")&amp;
IF(COUNTIF(Biomes!I$2:I$259,"="&amp;$C213)&gt;0,Biomes!I$1&amp;", ","")&amp;
IF(COUNTIF(Biomes!J$2:J$259,"="&amp;$C213)&gt;0,Biomes!J$1&amp;", ","")&amp;
IF(COUNTIF(Biomes!M$2:M$259,"="&amp;$C213)&gt;0,Biomes!M$1&amp;", ","")&amp;
IF(COUNTIF(Biomes!N$2:N$259,"="&amp;$C213)&gt;0,Biomes!N$1&amp;", ","")&amp;
IF(COUNTIF(Biomes!O$2:O$259,"="&amp;$C213)&gt;0,Biomes!O$1&amp;", ","")&amp;
IF(COUNTIF(Biomes!P$2:P$259,"="&amp;$C213)&gt;0,Biomes!P$1&amp;", ","")&amp;
IF(COUNTIF(Biomes!K$2:K$259,"="&amp;$C213)&gt;0,Biomes!K$1&amp;", ","")&amp;
IF(COUNTIF(Biomes!Q$3:Q$259,"="&amp;$C213)&gt;0,Biomes!Q$1&amp;", ","")&amp;
IF(COUNTIF(Biomes!L$2:L$259,"="&amp;$C213)&gt;0,Biomes!L$1&amp;", ","")&amp;
IF(COUNTIF(Biomes!E$2:E$259,"="&amp;$C213)&gt;0,Biomes!E$1&amp;", ","")&amp;IF(COUNTIF(Biomes!S$2:S$259,"="&amp;$C213)&gt;0,Biomes!S$1&amp;", ","")&amp;
IF(COUNTIF(Biomes!R$2:R$259,"="&amp;$C213)&gt;0,Biomes!R$1&amp;", ",""),", ","")
),_xlfn.XLOOKUP(B213,B:B,BX:BX))</f>
        <v>TemperateForest TemperateSwamp AridShrubland Desert TropicalRainforest TropicalSwamp Grasslands Glowforest LavaField Scarlands</v>
      </c>
      <c r="BY213" s="25" t="str">
        <f>IF(_xlfn.XLOOKUP(B213,'Base stats'!B:B,'Base stats'!AJ:AJ)=1,"true","false")</f>
        <v>false</v>
      </c>
      <c r="BZ213" s="25">
        <f>IF(_xlfn.XLOOKUP(B213,'Base stats'!B:B,'Base stats'!N:N)=1,"No",MAX(0.001,MIN(MROUND(IF(AND(BJ213="True",CC213="False"),POWER(10,3.47*LOG10(_xlfn.XLOOKUP(B213,'Base stats'!B:B,'Base stats'!C:C)*1000)^-0.96),POWER(10,4.15*LOG10(_xlfn.XLOOKUP(B213,'Base stats'!B:B,'Base stats'!C:C)*1000)^-0.73))*IF(_xlfn.XLOOKUP(B213,'Base stats'!B:B,'Base stats'!AK:AK)=1,0.5,1)*IF(_xlfn.XLOOKUP(B213,'Base stats'!B:B,'Base stats'!AM:AM)=1,0.1,1)/100,IF(_xlfn.XLOOKUP(B213,'Base stats'!B:B,'Base stats'!AM:AM)=1,0.001,0.025)),0.5)))</f>
        <v>0.02</v>
      </c>
      <c r="CA213" s="25" t="str">
        <f>IF(P213="Standard","No",MAX(0.001,MIN(MROUND(IF(AND(BJ213="True",CC213="False"),POWER(10,3.47*LOG10(_xlfn.XLOOKUP(B213,'Base stats'!B:B,'Base stats'!C:C)*1000)^-0.96),POWER(10,4.15*LOG10(_xlfn.XLOOKUP(B213,'Base stats'!B:B,'Base stats'!C:C)*1000)^-0.73))*IF(_xlfn.XLOOKUP(B213,'Base stats'!B:B,'Base stats'!AM:AM)=1,0.1,1)*_xlfn.XLOOKUP(B213,'Base stats'!B:B,'Base stats'!R:R)/100,IF(_xlfn.XLOOKUP(B213,'Base stats'!B:B,'Base stats'!AM:AM)=1,0.001,0.025)),0.5)))</f>
        <v>No</v>
      </c>
      <c r="CB213" s="25" t="str">
        <f>IF(_xlfn.XLOOKUP(_xlfn.XLOOKUP(B213,'Base stats'!B:B,'Base stats'!E:E),Groups!A:A,Groups!AJ:AJ)="Mammal","True","False")</f>
        <v>False</v>
      </c>
      <c r="CC213" s="25" t="str">
        <f>IF(OR(_xlfn.XLOOKUP(_xlfn.XLOOKUP(B213,'Base stats'!B:B,'Base stats'!E:E),Groups!A:A,Groups!AJ:AJ)="Reptile",_xlfn.XLOOKUP(_xlfn.XLOOKUP(B213,'Base stats'!B:B,'Base stats'!E:E),Groups!A:A,Groups!AJ:AJ)="Amphibian",_xlfn.XLOOKUP(_xlfn.XLOOKUP(B213,'Base stats'!B:B,'Base stats'!E:E),Groups!A:A,Groups!AJ:AJ)="Invertebrate"),"True","False")</f>
        <v>True</v>
      </c>
      <c r="CD213" s="25" t="str">
        <f t="shared" si="27"/>
        <v>False</v>
      </c>
      <c r="CE213" s="25" t="str">
        <f>IF(_xlfn.XLOOKUP(_xlfn.XLOOKUP(B213,'Base stats'!B:B,'Base stats'!E:E),Groups!A:A,Groups!AX:AX),"True","False")</f>
        <v>False</v>
      </c>
      <c r="CF213" s="25" t="str">
        <f>IF(_xlfn.XLOOKUP(_xlfn.XLOOKUP(B213,'Base stats'!B:B,'Base stats'!E:E),Groups!A:A,Groups!AY:AY),"True","False")</f>
        <v>False</v>
      </c>
      <c r="CG213" s="25" t="str">
        <f>IF(_xlfn.XLOOKUP(_xlfn.XLOOKUP(B213,'Base stats'!B:B,'Base stats'!E:E),Groups!A:A,Groups!AW:AW),"True","False")</f>
        <v>False</v>
      </c>
      <c r="CH213" s="25" t="str">
        <f>IF(
OR(
_xlfn.XLOOKUP(_xlfn.XLOOKUP(B213,'Base stats'!B:B,'Base stats'!E:E),Groups!A:A,Groups!AZ:AZ)=0,
AND(
_xlfn.XLOOKUP(B213,'Base stats'!B:B,'Base stats'!Y:Y)&lt;&gt;"Carnivore",
_xlfn.XLOOKUP(B213,'Base stats'!B:B,'Base stats'!Y:Y)&lt;&gt;"Omnivore",
_xlfn.XLOOKUP(B213,'Base stats'!B:B,'Base stats'!Y:Y)&lt;&gt;"OmnivoreRough"
)
),
"No",
IF(
_xlfn.XLOOKUP(_xlfn.XLOOKUP(B213,'Base stats'!B:B,'Base stats'!E:E),Groups!A:A,Groups!AZ:AZ)=1,
"Flesh",
IF(
_xlfn.XLOOKUP(_xlfn.XLOOKUP(B213,'Base stats'!B:B,'Base stats'!E:E),Groups!A:A,Groups!AZ:AZ)=2,
"Bone",
""
)
)
)</f>
        <v>No</v>
      </c>
      <c r="CI213" s="25" t="str">
        <f>IF(_xlfn.XLOOKUP(_xlfn.XLOOKUP(B213,'Base stats'!B:B,'Base stats'!E:E),Groups!A:A,Groups!BB:BB),"True","False")</f>
        <v>False</v>
      </c>
      <c r="CJ213" s="25" t="str">
        <f>IF(_xlfn.XLOOKUP(_xlfn.XLOOKUP(B213,'Base stats'!B:B,'Base stats'!E:E),Groups!A:A,Groups!BA:BA),"True","False")</f>
        <v>False</v>
      </c>
    </row>
    <row r="214" spans="1:88" ht="16.5" thickTop="1" thickBot="1" x14ac:dyDescent="0.3">
      <c r="A214" s="26" t="s">
        <v>1338</v>
      </c>
      <c r="B214" s="6" t="str">
        <f>_xlfn.XLOOKUP(A214,'Base stats'!A:A,'Base stats'!B:B)</f>
        <v>Pterodyna aeria (colossal)</v>
      </c>
      <c r="C214" s="28" t="s">
        <v>1339</v>
      </c>
      <c r="D214" s="28" t="s">
        <v>1341</v>
      </c>
      <c r="E214" s="28" t="s">
        <v>673</v>
      </c>
      <c r="F214" s="28" t="s">
        <v>673</v>
      </c>
      <c r="G214" s="28" t="s">
        <v>673</v>
      </c>
      <c r="H214" s="2">
        <f>MROUND((
  (IF(AND(_xlfn.XLOOKUP(B214,'Base stats'!B:B,'Base stats'!AL:AL)=0,BI214="None",_xlfn.XLOOKUP(_xlfn.XLOOKUP(B214,'Base stats'!B:B,'Base stats'!E:E),Groups!A:A,Groups!B:B)=0), (18 + BR214 * 2.7) * 0.5,
    IF(AND(_xlfn.XLOOKUP(B214,'Base stats'!B:B,'Base stats'!AL:AL)=0,OR(AO214&lt;0.55,AND(BI214="Intermediate",_xlfn.XLOOKUP(_xlfn.XLOOKUP(B214,'Base stats'!B:B,'Base stats'!E:E),Groups!A:A,Groups!B:B)&lt;2))), (18 + BR214 * 2.7),
      IF(OR(BI214="Advanced",_xlfn.XLOOKUP(B214,'Base stats'!B:B,'Base stats'!AL:AL)=1,_xlfn.XLOOKUP(_xlfn.XLOOKUP(B214,'Base stats'!B:B,'Base stats'!E:E),Groups!A:A,Groups!B:B)=2), (18 + BR214 * 2.7) + 250, (18 + BR214 * 2.7))
    )
  ))
  + AO214 * 80
  + IF(COUNTIF(EggMilk!K$2:K$998, A214) &gt; 0, 125, 0)
  + IF(COUNTIF(EggMilk!P$2:P$998, A214) &gt; 0, 90, 0)
  + IF(COUNTIF(EggMilk!A$2:A$998, A214) &gt; 0, 90, 0)
)
* (0.8 + 0.4 * J214)
* 0.75,25)</f>
        <v>450</v>
      </c>
      <c r="I214" s="2">
        <f>MROUND(ROUNDDOWN(_xlfn.XLOOKUP(B214,'Base stats'!B:B,'Base stats'!L:L)/3.6/(23.3/11),1),0.5)</f>
        <v>3</v>
      </c>
      <c r="J214" s="2">
        <f>IF(OR(_xlfn.XLOOKUP(B214,'Base stats'!B:B,'Base stats'!AB:AB)=1,_xlfn.XLOOKUP(_xlfn.XLOOKUP(B214,'Base stats'!B:B,'Base stats'!E:E),Groups!A:A,Groups!C:C)="Untamable"),1,IF(_xlfn.XLOOKUP(B214,'Base stats'!B:B,'Base stats'!AL:AL)=1,0.99,MIN(MROUND((1-0.6282*EXP(-0.459*AO214))*_xlfn.XLOOKUP(_xlfn.XLOOKUP(B214,'Base stats'!B:B,'Base stats'!E:E),Groups!A:A,Groups!C:C)*IF(_xlfn.XLOOKUP(B214,'Base stats'!B:B,'Base stats'!O:O)=1,0.5,IF(_xlfn.XLOOKUP(B214,'Base stats'!B:B,'Base stats'!O:O)=2,0,1)),0.05),IF(AO214&gt;3.5,0.985,0.95))))</f>
        <v>0.70000000000000007</v>
      </c>
      <c r="K214" s="2">
        <f>ROUNDUP(AO214*_xlfn.XLOOKUP(_xlfn.XLOOKUP(B214,'Base stats'!B:B,'Base stats'!E:E),Groups!A:A,Groups!E:E),0)</f>
        <v>2</v>
      </c>
      <c r="L214" s="2">
        <f>IF(OR(_xlfn.XLOOKUP(_xlfn.XLOOKUP(B214,'Base stats'!B:B,'Base stats'!E:E),Groups!A:A,Groups!F:F)=2,ISNUMBER(SEARCH("SeaIce",BX214)),ISNUMBER(SEARCH("IceSheet",BX214))),-50,IF(OR(ISNUMBER(SEARCH("GlacialPlain",BX214)),ISNUMBER(SEARCH("Tundra",BX214))),-40,IF(OR(ISNUMBER(SEARCH("Alpine",BX214)),ISNUMBER(SEARCH("BorealForest",BX214)),ISNUMBER(SEARCH("ColdBog",BX214))),-30,IF(OR(ISNUMBER(SEARCH("TemperateForest",BX214)),ISNUMBER(SEARCH("TemperateSwamp",BX214))),-20,IF(_xlfn.XLOOKUP(_xlfn.XLOOKUP(B214,'Base stats'!B:B,'Base stats'!E:E),Groups!A:A,Groups!F:F)=1,-15,IF(OR(ISNUMBER(SEARCH("Desert",BX214)),ISNUMBER(SEARCH("ExtremeDesert",BX214))),-10,IF(OR(ISNUMBER(SEARCH("Grasslands",BX214)),ISNUMBER(SEARCH("TropicalRainforest",BX214)),ISNUMBER(SEARCH("TropicalSwamp",BX214))),10,0)))))))-IF(CC214="False",MIN(IFERROR(MAX(MROUND(LOG10(_xlfn.XLOOKUP(B214,'Base stats'!B:B,'Base stats'!C:C)^(2/3))*10,5),5),5),30))-_xlfn.XLOOKUP(B214,'Base stats'!B:B,'Base stats'!P:P)+IF(CC214="True",5,0)</f>
        <v>5</v>
      </c>
      <c r="M214" s="2">
        <f>IF(OR(_xlfn.XLOOKUP(_xlfn.XLOOKUP(B214,'Base stats'!B:B,'Base stats'!E:E),Groups!A:A,Groups!G:G)=2,ISNUMBER(SEARCH("Desert",BX214)),ISNUMBER(SEARCH("ExtremeDesert",BX214)),ISNUMBER(SEARCH("LavaField",BX214))),50,IF(ISNUMBER(SEARCH("Grasslands",BX214)),45,IF(OR(_xlfn.XLOOKUP(_xlfn.XLOOKUP(B214,'Base stats'!B:B,'Base stats'!E:E),Groups!A:A,Groups!G:G)=1,ISNUMBER(SEARCH("TropicalRainforest",BX214)),ISNUMBER(SEARCH("TropicalSwamp",BX214))),40,IF(OR(ISNUMBER(SEARCH("TemperateForest",BX214)),ISNUMBER(SEARCH("TemperateSwamp",BX214))),35,IF(OR(ISNUMBER(SEARCH("Alpine",BX214)),ISNUMBER(SEARCH("BorealForest",BX214)),ISNUMBER(SEARCH("ColdBog",BX214))),30,IF(ISNUMBER(OR(ISNUMBER(SEARCH("GlacialPlain",BX214)),SEARCH("Tundra",BX214))),25,IF(OR(ISNUMBER(SEARCH("SeaIce",BX214)),ISNUMBER(SEARCH("IceSheet",BX214)),ISNUMBER(SEARCH("TropicalSwamp",BX214))),10,35)))))))+_xlfn.XLOOKUP(B214,'Base stats'!B:B,'Base stats'!Q:Q)</f>
        <v>35</v>
      </c>
      <c r="N214" s="8" t="str">
        <f>IF(
_xlfn.XLOOKUP(
_xlfn.XLOOKUP(B214,'Base stats'!B:B,'Base stats'!E:E),
Groups!A:A,
Groups!L:L
)=1,
MIN(
MROUND(
IF(
_xlfn.XLOOKUP(B214,'Animals CE'!B:B,'Animals CE'!Z:Z)&lt;=1.5,
_xlfn.XLOOKUP(B214,'Animals CE'!B:B,'Animals CE'!Z:Z)/2+0.05,
0.8+
(_xlfn.XLOOKUP(B214,'Animals CE'!B:B,'Animals CE'!Z:Z)-1.5)
*0.02
),
0.05
),
200%
),
"No"
)</f>
        <v>No</v>
      </c>
      <c r="O214" s="8" t="str">
        <f>IF(
_xlfn.XLOOKUP(
_xlfn.XLOOKUP(B214,'Base stats'!B:B,'Base stats'!E:E),
Groups!A:A,
Groups!L:L
)=1,
MIN(
MROUND(
IF(
_xlfn.XLOOKUP(B214,'Animals CE'!B:B,'Animals CE'!AA:AA)&lt;=1.5,
_xlfn.XLOOKUP(B214,'Animals CE'!B:B,'Animals CE'!AA:AA)/2+0.05,
0.8+
(_xlfn.XLOOKUP(B214,'Animals CE'!B:B,'Animals CE'!AA:AA)-1.5)
*0.02
),
0.05
),
200%
),
"No"
)</f>
        <v>No</v>
      </c>
      <c r="P214" s="2" t="str">
        <f>_xlfn.XLOOKUP(B214,'Base stats'!B:B,'Base stats'!R:R)</f>
        <v>Standard</v>
      </c>
      <c r="Q214" s="13">
        <f>MROUND((LOG10(_xlfn.XLOOKUP(B214,'Base stats'!B:B,'Base stats'!AR:AR))*(AO214^0.5)+(_xlfn.XLOOKUP(B214,'Base stats'!B:B,'Base stats'!AR:AR)/1000)^(2/3)+_xlfn.XLOOKUP(B214,'Base stats'!B:B,'Base stats'!BA:BA)/2)+0.5,0.5)</f>
        <v>9.5</v>
      </c>
      <c r="R214" s="7">
        <f>IF(Q214="No","No",MAX(1,MROUND(_xlfn.XLOOKUP(B214,'Base stats'!B:B,'Base stats'!C:C)^0.165,0.05)))</f>
        <v>2.3000000000000003</v>
      </c>
      <c r="S214" s="13" t="str">
        <f>IF(_xlfn.XLOOKUP(_xlfn.XLOOKUP(B214,'Base stats'!B:B,'Base stats'!E:E),Groups!A:A,Groups!P:P)=0,"No",MROUND((LOG10(_xlfn.XLOOKUP(B214,'Base stats'!B:B,'Base stats'!AS:AS))*(AO214^0.5)+(_xlfn.XLOOKUP(B214,'Base stats'!B:B,'Base stats'!AS:AS)/1000)^(2/3)+_xlfn.XLOOKUP(B214,'Base stats'!B:B,'Base stats'!BA:BA))+_xlfn.XLOOKUP(B214,'Base stats'!B:B,'Base stats'!AY:AY)+0.5,0.5))</f>
        <v>No</v>
      </c>
      <c r="T214" s="7" t="str">
        <f>IF(S214="No","No",MAX(_xlfn.XLOOKUP(_xlfn.XLOOKUP(B214,'Base stats'!B:B,'Base stats'!E:E),Groups!A:A,Groups!Q:Q),MROUND(_xlfn.XLOOKUP(_xlfn.XLOOKUP(B214,'Base stats'!B:B,'Base stats'!E:E),Groups!A:A,Groups!Q:Q)*_xlfn.XLOOKUP(B214,'Base stats'!B:B,'Base stats'!C:C)^0.165,0.05)))</f>
        <v>No</v>
      </c>
      <c r="U214" s="7" t="str">
        <f>IF(S214="No","No",_xlfn.XLOOKUP(_xlfn.XLOOKUP(B214,'Base stats'!B:B,'Base stats'!E:E),Groups!A:A,Groups!R:R))</f>
        <v>No</v>
      </c>
      <c r="V214" s="7" t="str">
        <f>IF(S214="No","No",_xlfn.XLOOKUP(_xlfn.XLOOKUP(B214,'Base stats'!B:B,'Base stats'!E:E),Groups!A:A,Groups!S:S))</f>
        <v>No</v>
      </c>
      <c r="W214" s="7" t="str">
        <f>IF(S214="No","No",_xlfn.XLOOKUP(_xlfn.XLOOKUP(B214,'Base stats'!B:B,'Base stats'!E:E),Groups!A:A,Groups!T:T))</f>
        <v>No</v>
      </c>
      <c r="X214" s="13" t="str">
        <f>IF(_xlfn.XLOOKUP(B214,'Base stats'!B:B,'Base stats'!W:W)="No","No",MROUND((LOG10(_xlfn.XLOOKUP(B214,'Base stats'!B:B,'Base stats'!AU:AU))*(AO214^0.5)+(_xlfn.XLOOKUP(B214,'Base stats'!B:B,'Base stats'!AU:AU)/1000)^(2/3)+_xlfn.XLOOKUP(B214,'Base stats'!B:B,'Base stats'!AZ:AZ))+0.5+IF(_xlfn.XLOOKUP(_xlfn.XLOOKUP(B214,'Base stats'!B:B,'Base stats'!E:E),Groups!A:A,Groups!U:U)&lt;&gt;3,_xlfn.XLOOKUP(B214,'Base stats'!B:B,'Base stats'!BA:BA),0),0.5))</f>
        <v>No</v>
      </c>
      <c r="Y214" s="7" t="str">
        <f>IF(X214="No","No",MAX(_xlfn.XLOOKUP(_xlfn.XLOOKUP(B214,'Base stats'!B:B,'Base stats'!E:E),Groups!A:A,Groups!V:V),MROUND(_xlfn.XLOOKUP(_xlfn.XLOOKUP(B214,'Base stats'!B:B,'Base stats'!E:E),Groups!A:A,Groups!V:V)*_xlfn.XLOOKUP(B214,'Base stats'!B:B,'Base stats'!C:C)^0.165,0.05)))</f>
        <v>No</v>
      </c>
      <c r="Z214" s="7" t="str">
        <f>IF(X214="No","No",_xlfn.XLOOKUP(_xlfn.XLOOKUP(B214,'Base stats'!B:B,'Base stats'!E:E),Groups!A:A,Groups!W:W))</f>
        <v>No</v>
      </c>
      <c r="AA214" s="7" t="str">
        <f>IF(X214="No","No",_xlfn.XLOOKUP(_xlfn.XLOOKUP(B214,'Base stats'!B:B,'Base stats'!E:E),Groups!A:A,Groups!X:X))</f>
        <v>No</v>
      </c>
      <c r="AB214" s="7" t="str">
        <f>IF(X214="No","No",_xlfn.XLOOKUP(_xlfn.XLOOKUP(B214,'Base stats'!B:B,'Base stats'!E:E),Groups!A:A,Groups!Y:Y))</f>
        <v>No</v>
      </c>
      <c r="AC214" s="7" t="str">
        <f>_xlfn.XLOOKUP(Animals!B214,'Base stats'!B:B,'Base stats'!X:X)</f>
        <v>False</v>
      </c>
      <c r="AD214" s="13" t="str">
        <f>IF(_xlfn.XLOOKUP(B214,'Base stats'!B:B,'Base stats'!AT:AT)="No","No",MROUND((LOG10(_xlfn.XLOOKUP(B214,'Base stats'!B:B,'Base stats'!AT:AT))*(AO214^0.75)+(_xlfn.XLOOKUP(B214,'Base stats'!B:B,'Base stats'!AT:AT)/1000)^(2/3)+_xlfn.XLOOKUP(B214,'Base stats'!B:B,'Base stats'!AX:AX)+_xlfn.XLOOKUP(B214,'Base stats'!B:B,'Base stats'!BA:BA))+0.5,0.5))</f>
        <v>No</v>
      </c>
      <c r="AE214" s="7" t="str">
        <f>IF(AD214="No","No",MAX(_xlfn.XLOOKUP(_xlfn.XLOOKUP(B214,'Base stats'!B:B,'Base stats'!E:E),Groups!A:A,Groups!Z:Z),MROUND(_xlfn.XLOOKUP(_xlfn.XLOOKUP(B214,'Base stats'!B:B,'Base stats'!E:E),Groups!A:A,Groups!Z:Z)*_xlfn.XLOOKUP(B214,'Base stats'!B:B,'Base stats'!C:C)^0.165,0.05)))</f>
        <v>No</v>
      </c>
      <c r="AF214" s="7" t="str">
        <f>IF(AD214="No","No",_xlfn.XLOOKUP(_xlfn.XLOOKUP(B214,'Base stats'!B:B,'Base stats'!E:E),Groups!A:A,Groups!AA:AA))</f>
        <v>No</v>
      </c>
      <c r="AG214" s="7" t="str">
        <f>IF(AD214="No","No",_xlfn.XLOOKUP(_xlfn.XLOOKUP(B214,'Base stats'!B:B,'Base stats'!E:E),Groups!A:A,Groups!AB:AB))</f>
        <v>No</v>
      </c>
      <c r="AH214" s="7" t="str">
        <f>IF(AD214="No","No",_xlfn.XLOOKUP(_xlfn.XLOOKUP(B214,'Base stats'!B:B,'Base stats'!E:E),Groups!A:A,Groups!AC:AC))</f>
        <v>No</v>
      </c>
      <c r="AI214" s="13">
        <f>IF(_xlfn.XLOOKUP(_xlfn.XLOOKUP(B214,'Base stats'!B:B,'Base stats'!E:E),Groups!A:A,Groups!AD:AD)=0,"No",MROUND((LOG10(_xlfn.XLOOKUP(B214,'Base stats'!B:B,'Base stats'!AS:AS))*(AO214^0.75)+(_xlfn.XLOOKUP(B214,'Base stats'!B:B,'Base stats'!AS:AS)/1000)^(2/3)+_xlfn.XLOOKUP(B214,'Base stats'!B:B,'Base stats'!AY:AY)+_xlfn.XLOOKUP(B214,'Base stats'!B:B,'Base stats'!BA:BA))+0.5,0.5))</f>
        <v>12.5</v>
      </c>
      <c r="AJ214" s="7">
        <f>IF(AI214="No","No",MAX(_xlfn.XLOOKUP(_xlfn.XLOOKUP(B214,'Base stats'!B:B,'Base stats'!E:E),Groups!A:A,Groups!AE:AE),MROUND(_xlfn.XLOOKUP(_xlfn.XLOOKUP(B214,'Base stats'!B:B,'Base stats'!E:E),Groups!A:A,Groups!AE:AE)*IF(_xlfn.XLOOKUP(_xlfn.XLOOKUP(B214,'Base stats'!B:B,'Base stats'!E:E),Groups!A:A,Groups!AJ:AJ)="Photonozoa",0.6,1)*_xlfn.XLOOKUP(B214,'Base stats'!B:B,'Base stats'!C:C)^0.165,0.05)))</f>
        <v>1.7000000000000002</v>
      </c>
      <c r="AK214" s="7" t="str">
        <f>IF(AI214="No","No",_xlfn.XLOOKUP(_xlfn.XLOOKUP(B214,'Base stats'!B:B,'Base stats'!E:E),Groups!A:A,Groups!AF:AF))</f>
        <v>Arms</v>
      </c>
      <c r="AL214" s="7" t="str">
        <f>IF(AI214="No","No",_xlfn.XLOOKUP(_xlfn.XLOOKUP(B214,'Base stats'!B:B,'Base stats'!E:E),Groups!A:A,Groups!AG:AG))</f>
        <v>tentacles</v>
      </c>
      <c r="AM214" s="7" t="str">
        <f>IF(AI214="No","No",_xlfn.XLOOKUP(_xlfn.XLOOKUP(B214,'Base stats'!B:B,'Base stats'!E:E),Groups!A:A,Groups!AH:AH))</f>
        <v>Blunt</v>
      </c>
      <c r="AN214" s="2" t="str">
        <f t="shared" si="21"/>
        <v>No</v>
      </c>
      <c r="AO214" s="2">
        <f>MROUND(IF(AND(_xlfn.XLOOKUP(B214,'Base stats'!B:B,'Base stats'!C:C)&gt;=0.5,_xlfn.XLOOKUP(B214,'Base stats'!B:B,'Base stats'!C:C)&lt;=0.8),
IF(_xlfn.XLOOKUP(B214,'Base stats'!B:B,'Base stats'!C:C)&lt;0.1,0.05,IF(_xlfn.XLOOKUP(B214,'Base stats'!B:B,'Base stats'!C:C)&lt;=70,(_xlfn.XLOOKUP(B214,'Base stats'!B:B,'Base stats'!C:C)/70)^0.426489913056526,IF(_xlfn.XLOOKUP(B214,'Base stats'!B:B,'Base stats'!C:C)&lt;=400,(_xlfn.XLOOKUP(B214,'Base stats'!B:B,'Base stats'!C:C)/70)^0.572811455315093,IF(_xlfn.XLOOKUP(B214,'Base stats'!B:B,'Base stats'!C:C)&lt;=2000,2.71391647193063*(_xlfn.XLOOKUP(B214,'Base stats'!B:B,'Base stats'!C:C)/400)^0.252459582904293,3.74314280240376*(_xlfn.XLOOKUP(B214,'Base stats'!B:B,'Base stats'!C:C)/2000)^0.357012633876913)))),
IF(_xlfn.XLOOKUP(B214,'Base stats'!B:B,'Base stats'!C:C)&lt;0.1,0.05,IF(_xlfn.XLOOKUP(B214,'Base stats'!B:B,'Base stats'!C:C)&lt;0.4,0.1,IF(_xlfn.XLOOKUP(B214,'Base stats'!B:B,'Base stats'!C:C)&lt;=70,(_xlfn.XLOOKUP(B214,'Base stats'!B:B,'Base stats'!C:C)/70)^0.445823913056526,IF(_xlfn.XLOOKUP(B214,'Base stats'!B:B,'Base stats'!C:C)&lt;=400,(_xlfn.XLOOKUP(B214,'Base stats'!B:B,'Base stats'!C:C)/70)^0.572811455315093,IF(_xlfn.XLOOKUP(B214,'Base stats'!B:B,'Base stats'!C:C)&lt;=2000,2.71391647193063*(_xlfn.XLOOKUP(B214,'Base stats'!B:B,'Base stats'!C:C)/400)^0.252459582904293,3.74314280240376*(_xlfn.XLOOKUP(B214,'Base stats'!B:B,'Base stats'!C:C)/2000)^0.357012633876913)))))),
IF(_xlfn.XLOOKUP(B214,'Base stats'!B:B,'Base stats'!C:C)&lt;0.1,0.05,IF(_xlfn.XLOOKUP(B214,'Base stats'!B:B,'Base stats'!C:C)&lt;=100,0.05,IF(_xlfn.XLOOKUP(B214,'Base stats'!B:B,'Base stats'!C:C)&lt;=250,0.1,IF(_xlfn.XLOOKUP(B214,'Base stats'!B:B,'Base stats'!C:C)&lt;=4000,0.25,0.5)))))</f>
        <v>1.5</v>
      </c>
      <c r="AP214" s="8">
        <f>MROUND(AO214*_xlfn.XLOOKUP(_xlfn.XLOOKUP(B214,'Base stats'!B:B,'Base stats'!E:E),Groups!A:A,Groups!AI:AI)*_xlfn.XLOOKUP(B214,'Base stats'!B:B,'Base stats'!Z:Z),0.05)</f>
        <v>1.5</v>
      </c>
      <c r="AQ214" s="8">
        <f>MAX(0.01,MROUND(IF(CC214="True",0.196*(AO214*100*1000)^0.889,IF(_xlfn.XLOOKUP(_xlfn.XLOOKUP(B214,'Base stats'!B:B,'Base stats'!E:E),Groups!A:A,Groups!AJ:AJ)="Bird",10.5*(AO214*100*1000)^0.681,4.82*(AO214*100*1000)^0.734))/(4.82*(1*100*1000)^0.734)/IF(AO214&lt;3.5,2,IF(AO214=3.5,1.5,1.25))*(1+0.132282374779864/(AO214^0.994035016789033+0.00905238001496948)),0.05))</f>
        <v>0.2</v>
      </c>
      <c r="AR214" s="9">
        <f>IFERROR(MROUND(_xlfn.XLOOKUP(B214,'Base stats'!B:B,'Base stats'!H:H)/IF(_xlfn.XLOOKUP(B214,'Base stats'!B:B,'Base stats'!I:I)&lt;&gt;1,(122.5/70),1.2),IF(_xlfn.XLOOKUP(B214,'Base stats'!B:B,'Base stats'!H:H)&gt;=30,5,IF(_xlfn.XLOOKUP(B214,'Base stats'!B:B,'Base stats'!H:H)&gt;=15,3,IF(_xlfn.XLOOKUP(B214,'Base stats'!B:B,'Base stats'!H:H)&gt;=10,2,1)))),"Immortal")</f>
        <v>90</v>
      </c>
      <c r="AS214" s="35" t="str">
        <f>IFERROR(IF(OR(_xlfn.XLOOKUP(B214,'Base stats'!B:B,'Base stats'!F:F)="Atypical reproduction",_xlfn.XLOOKUP(B214,'Base stats'!B:B,'Base stats'!F:F)="Lay eggs"),"Lay eggs",MIN(20,MAX(5.5,ROUND(((_xlfn.XLOOKUP(B214,'Base stats'!B:B,'Base stats'!F:F)-25)*(14.5/615) + 5.5)*2,0)/2))),"Unknown")</f>
        <v>Lay eggs</v>
      </c>
      <c r="AT214" s="8" t="str">
        <f>IF(_xlfn.XLOOKUP(B214,'Base stats'!B:B,'Base stats'!G:G)="Atypical reproduction","No",IFERROR(MAX(IF(_xlfn.XLOOKUP(B214,'Base stats'!B:B,'Base stats'!G:G)&lt;0.5,0.2,0.3),MROUND(_xlfn.XLOOKUP(B214,'Base stats'!B:B,'Base stats'!G:G)/(365/60),0.2)),"Unknown"))</f>
        <v>No</v>
      </c>
      <c r="AU214" s="8" t="str">
        <f t="shared" si="22"/>
        <v>No</v>
      </c>
      <c r="AV214" s="8" t="str">
        <f>IFERROR(IFERROR(MROUND(_xlfn.XLOOKUP(B214,'Base stats'!B:B,'Base stats'!J:J),0.1),"Lay eggs"),"Cannot breed")</f>
        <v>Lay eggs</v>
      </c>
      <c r="AW214" s="2" t="str">
        <f t="shared" si="23"/>
        <v>false</v>
      </c>
      <c r="AX214" s="2" t="str">
        <f>IF(_xlfn.XLOOKUP(_xlfn.XLOOKUP(Animals!B214,'Base stats'!B:B,'Base stats'!E:E),Groups!A:A,Groups!AK:AK)=1,"true","false")</f>
        <v>false</v>
      </c>
      <c r="AY214" s="25" t="str">
        <f>IF(_xlfn.XLOOKUP(B214,'Base stats'!B:B,'Base stats'!Y:Y)="Liquor","Liquor, CarnivoreAnimalStrict",IF(AND(_xlfn.XLOOKUP(B214,'Base stats'!B:B,'Base stats'!Y:Y)="Carnivore",_xlfn.XLOOKUP(_xlfn.XLOOKUP(B214,'Base stats'!B:B,'Base stats'!E:E),Groups!A:A,Groups!AJ:AJ)="Photonozoa"),"CarnivoreAnimalStrict, OvivoreAnimal",IF(_xlfn.XLOOKUP(B214,'Base stats'!B:B,'Base stats'!Y:Y)="Carnivore","CarnivoreAnimal, OvivoreAnimal",IF(_xlfn.XLOOKUP(B214,'Base stats'!B:B,'Base stats'!Y:Y)="Dendrovore","VegetarianRoughAnimal, DendrovoreAnimal",IF(_xlfn.XLOOKUP(B214,'Base stats'!B:B,'Base stats'!Y:Y)="Herbivore","VegetarianRoughAnimal",IF(_xlfn.XLOOKUP(B214,'Base stats'!B:B,'Base stats'!Y:Y)="OmnivoreRough","OmnivoreRoughAnimal, OvivoreAnimal","OmnivoreAnimal, OvivoreAnimal"))))))</f>
        <v>VegetarianRoughAnimal</v>
      </c>
      <c r="AZ214" s="2">
        <f>IF(_xlfn.XLOOKUP(_xlfn.XLOOKUP(B214,'Base stats'!B:B,'Base stats'!E:E),Groups!A:A,Groups!D:D)=1,MROUND((1-J214)*5+1,2)*IF(J214&lt;=0.4,2,1),"No")</f>
        <v>2</v>
      </c>
      <c r="BA214" s="2" t="str">
        <f>IF(AND(_xlfn.XLOOKUP(B214,'Base stats'!B:B,'Base stats'!AH:AH)="&lt;li&gt;Seal&lt;/li&gt;",G214="Odyssey"),"&lt;li&gt;AEXP_Seal&lt;/li&gt;",_xlfn.XLOOKUP(B214,'Base stats'!B:B,'Base stats'!AH:AH))</f>
        <v>No</v>
      </c>
      <c r="BB214" s="2" t="str">
        <f>_xlfn.XLOOKUP(B214,'Base stats'!B:B,'Base stats'!AG:AG)</f>
        <v>No</v>
      </c>
      <c r="BC214" s="23" t="str">
        <f>_xlfn.XLOOKUP(_xlfn.XLOOKUP(B214,'Base stats'!B:B,'Base stats'!E:E),Groups!A:A,Groups!AL:AL)</f>
        <v>Jellyfish</v>
      </c>
      <c r="BD214" s="23">
        <f>MIN(1,MROUND(IF(AND(AO214&lt;0.5,_xlfn.XLOOKUP(B214,'Base stats'!B:B,'Base stats'!AA:AA)=0),0,IF(OR(_xlfn.XLOOKUP(Animals!B214,'Base stats'!B:B,'Base stats'!O:O)=2,_xlfn.XLOOKUP(_xlfn.XLOOKUP(B214,'Base stats'!B:B,'Base stats'!E:E),Groups!A:A,Groups!AN:AN)=0),0,_xlfn.XLOOKUP(_xlfn.XLOOKUP(B214,'Base stats'!B:B,'Base stats'!E:E),Groups!A:A,Groups!AN:AN)/IF(_xlfn.XLOOKUP(Animals!B214,'Base stats'!B:B,'Base stats'!O:O)=1,2,1)))+_xlfn.XLOOKUP(B214,'Base stats'!B:B,'Base stats'!AC:AC),0.005))</f>
        <v>0</v>
      </c>
      <c r="BE214" s="23">
        <f>MIN(1,MROUND(IF(AND(AO214&lt;0.5,_xlfn.XLOOKUP(B214,'Base stats'!B:B,'Base stats'!AA:AA)=0),0,IF(_xlfn.XLOOKUP(_xlfn.XLOOKUP(B214,'Base stats'!B:B,'Base stats'!E:E),Groups!A:A,Groups!AO:AO)=0,0,_xlfn.XLOOKUP(_xlfn.XLOOKUP(B214,'Base stats'!B:B,'Base stats'!E:E),Groups!A:A,Groups!AO:AO)/IF(_xlfn.XLOOKUP(Animals!B214,'Base stats'!B:B,'Base stats'!O:O)=2,3,1)))+_xlfn.XLOOKUP(B214,'Base stats'!B:B,'Base stats'!AD:AD),0.005))</f>
        <v>0</v>
      </c>
      <c r="BF214" s="2" t="str">
        <f>IF(J214&gt;0.3,"No",_xlfn.XLOOKUP(_xlfn.XLOOKUP(Animals!B214,'Base stats'!B:B,'Base stats'!E:E),Groups!A:A,Groups!AP:AP))</f>
        <v>No</v>
      </c>
      <c r="BG214" s="2" t="str">
        <f>IF(AND(J214&lt;=0.65,_xlfn.XLOOKUP(_xlfn.XLOOKUP(Animals!B214,'Base stats'!B:B,'Base stats'!E:E),Groups!A:A,Groups!AP:AP)&lt;&gt;"No",_xlfn.XLOOKUP(_xlfn.XLOOKUP(B214,'Base stats'!B:B,'Base stats'!E:E),Groups!A:A,Groups!D:D)=0),MROUND((80/3)*IF(_xlfn.XLOOKUP(B214,'Base stats'!B:B,'Base stats'!O:O)=2,0.2,AO214) + 24*(1-IF(BF214="No",0,BF214)) + 16/3, 12),"No")</f>
        <v>No</v>
      </c>
      <c r="BH214" s="2">
        <f>IF(AND(_xlfn.XLOOKUP(_xlfn.XLOOKUP(B214,'Base stats'!B:B,'Base stats'!E:E),Groups!A:A,Groups!AQ:AQ)=1,AO214&lt;=0.35),8,12)</f>
        <v>12</v>
      </c>
      <c r="BI214" s="2" t="str">
        <f>IF(_xlfn.XLOOKUP(_xlfn.XLOOKUP(B214,'Base stats'!B:B,'Base stats'!E:E),Groups!A:A,Groups!D:D)=0,_xlfn.XLOOKUP(_xlfn.XLOOKUP(B214,'Base stats'!B:B,'Base stats'!E:E),Groups!A:A,Groups!AR:AR),"None")</f>
        <v>None</v>
      </c>
      <c r="BJ214" s="2" t="str">
        <f>IF(AND(_xlfn.XLOOKUP(_xlfn.XLOOKUP(B214,'Base stats'!B:B,'Base stats'!E:E),Groups!A:A,Groups!AS:AS)=1,OR(_xlfn.XLOOKUP(B214,'Base stats'!B:B,'Base stats'!Y:Y)="Carnivore",_xlfn.XLOOKUP(B214,'Base stats'!B:B,'Base stats'!Y:Y)="Omnivore")),"true","false")</f>
        <v>false</v>
      </c>
      <c r="BK214" s="2" t="str">
        <f>IF(BJ214="true",MROUND(IF(AND(AO214&gt;0.5,OR(_xlfn.XLOOKUP(_xlfn.XLOOKUP(B214,'Base stats'!B:B,'Base stats'!E:E),Groups!A:A,Groups!AJ:AJ)="Photonozoa",_xlfn.XLOOKUP(_xlfn.XLOOKUP(B214,'Base stats'!B:B,'Base stats'!E:E),Groups!A:A,Groups!AJ:AJ)="Mammal")),Animals!AO214*1.75*IF(AW214="true",1.5,1),IF(AO214&lt;0.5,Animals!AO214*0.5,Animals!AO214)),IF(AO214&gt;2,0.5,IF(AO214&gt;0.5,0.25,0.1))),"No")</f>
        <v>No</v>
      </c>
      <c r="BL214" s="2">
        <f t="shared" si="24"/>
        <v>0</v>
      </c>
      <c r="BM214" s="25" t="str">
        <f>IF(_xlfn.XLOOKUP(B214,'Base stats'!B:B,'Base stats'!AN:AN)="Standard","No",MROUND((_xlfn.XLOOKUP(B214,'Base stats'!B:B,'Base stats'!AN:AN)/3.6)/I214,0.1))</f>
        <v>No</v>
      </c>
      <c r="BN214" s="25" t="str">
        <f t="shared" si="25"/>
        <v>false</v>
      </c>
      <c r="BO214" s="25" t="str">
        <f>IF(AND(OR(_xlfn.XLOOKUP(B214,'Base stats'!B:B,'Base stats'!Y:Y)="Carnivore",_xlfn.XLOOKUP(B214,'Base stats'!B:B,'Base stats'!Y:Y)="Omnivore",_xlfn.XLOOKUP(B214,'Base stats'!B:B,'Base stats'!Y:Y)="OmnivoreRough"),_xlfn.XLOOKUP(_xlfn.XLOOKUP(B214,'Base stats'!B:B,'Base stats'!E:E),Groups!A:A,Groups!AT:AT)=1),"true","false")</f>
        <v>false</v>
      </c>
      <c r="BP214" s="25" t="str" cm="1">
        <f t="array" ref="BP214">IF(
  _xlfn.TEXTJOIN(", ",TRUE,
    IF(AND(BJ214="true",AO214&gt;0.5,BI214&lt;&gt;"None"),"AttackTarget",""),
    IF(AND(_xlfn.XLOOKUP(_xlfn.XLOOKUP(B214,'Base stats'!B:B,'Base stats'!E:E),Groups!A:A,Groups!AJ:AJ="Mammal"),OR(_xlfn.XLOOKUP(B214,'Base stats'!B:B,'Base stats'!Y:Y)="Omnivore",_xlfn.XLOOKUP(B214,'Base stats'!B:B,'Base stats'!Y:Y)="OmnivoreRough")),"Forage",""),
    IF(BG214&lt;=36,"Comfort",""),
    IF(_xlfn.XLOOKUP(B214,'Base stats'!B:B,'Base stats'!AE:AE)&lt;&gt;"No",_xlfn.XLOOKUP(B214,'Base stats'!B:B,'Base stats'!AE:AE),"")
  ) = "",
  "No",
  _xlfn.TEXTJOIN(", ",TRUE,
    IF(AND(BJ214="true",AO214&gt;0.5,BI214&lt;&gt;"None"),"AttackTarget",""),
    IF(AND(_xlfn.XLOOKUP(_xlfn.XLOOKUP(B214,'Base stats'!B:B,'Base stats'!E:E),Groups!A:A,Groups!AJ:AJ="Mammal"),OR(_xlfn.XLOOKUP(B214,'Base stats'!B:B,'Base stats'!Y:Y)="Omnivore",_xlfn.XLOOKUP(B214,'Base stats'!B:B,'Base stats'!Y:Y)="OmnivoreRough")),"Forage",""),
    IF(BG214&lt;=36,"Comfort",""),
    IF(_xlfn.XLOOKUP(B214,'Base stats'!B:B,'Base stats'!AE:AE)&lt;&gt;"No",_xlfn.XLOOKUP(B214,'Base stats'!B:B,'Base stats'!AE:AE),"")
  )
)</f>
        <v>No</v>
      </c>
      <c r="BQ214" s="25" t="str">
        <f>IF(
   AND(
      'Base stats'!AN214="Standard",_xlfn.XLOOKUP(_xlfn.XLOOKUP(B214,'Base stats'!B:B,'Base stats'!E:E),Groups!A:A,Groups!AU:AU)=0,
      OR(
      BO214="True"
      )
   ),
   10,
   IF(
       OR(BM214&lt;&gt;"No",_xlfn.XLOOKUP(_xlfn.XLOOKUP(B214,'Base stats'!B:B,'Base stats'!E:E),Groups!A:A,Groups!AU:AU)=1),
      1,
      "No"
   )
)</f>
        <v>No</v>
      </c>
      <c r="BR214" s="9">
        <f>MROUND((1 + ((0.2*IF(OR(Q214="No",R214="No",R214=0),0,Q214/R214)
+IF(OR(V214="No",S214="No",T214="No"),0,S214/T214*(LEN(V214)-LEN(SUBSTITUTE(V214,",",""))+1))
+IF(OR(X214="No",Y214="No"),0,X214/Y214)
+IF(OR(AD214="No",AE214="No"),0,AD214/AE214)
+IF(OR(AL214="No",AI214="No",AJ214="No"),0,AI214/AJ214*(LEN(AL214)-LEN(SUBSTITUTE(AL214,",",""))+1))
)/(0.2*IF(OR(Q214="No",R214="No",R214=0),0,1)
+IF(OR(V214="No",S214="No",T214="No"),0,LEN(V214)-LEN(SUBSTITUTE(V214,",",""))+1)
+IF(OR(X214="No",Y214="No"),0,1)
+IF(OR(AD214="No",AE214="No"),0,1)
+IF(OR(AL214="No",AI214="No",AJ214="No"),0,LEN(AL214)-LEN(SUBSTITUTE(AL214,",",""))+1))*62%)* 2)*(1 + (AP214 / (IF(_xlfn.XLOOKUP(_xlfn.XLOOKUP(B214,'Base stats'!B:B,'Base stats'!E:E),Groups!A:A,Groups!AJ:AJ)="Photonozoa",0.3,1)) + _xlfn.XLOOKUP(B214,'Base stats'!B:B,'Base stats'!AV:AV) * 1.8) * 2) * 2.5 + 10 + I214 * 2,5)+IF(_xlfn.XLOOKUP(B214,'Base stats'!B:B,'Base stats'!AK:AK)=1,50,0)</f>
        <v>160</v>
      </c>
      <c r="BS214" s="8">
        <f t="shared" si="26"/>
        <v>0.45</v>
      </c>
      <c r="BT214" s="8" t="str">
        <f>_xlfn.XLOOKUP(B214,'Base stats'!B:B,'Base stats'!AF:AF)</f>
        <v>No</v>
      </c>
      <c r="BU214" s="2" t="str">
        <f>IF(AND(J214&lt;=0.95,OR(_xlfn.XLOOKUP(B214,'Base stats'!B:B,'Base stats'!AK:AK)=1,_xlfn.XLOOKUP(B214,'Base stats'!B:B,'Base stats'!Y:Y)="Carnivore",_xlfn.XLOOKUP(B214,'Base stats'!B:B,'Base stats'!Y:Y)="Omnivore",BE214&gt;0.1)),"true","false")</f>
        <v>true</v>
      </c>
      <c r="BV214" s="2" t="str">
        <f>IF(_xlfn.XLOOKUP(B214,'Base stats'!B:B,'Base stats'!AI:AI)=1,"true","false")</f>
        <v>false</v>
      </c>
      <c r="BW214" s="25" t="str">
        <f>IF(E214="BaseInsect","AnimalInsect",
IF(J214&gt;0.95,"AnimalExotic",
_xlfn.TEXTJOIN(", ",TRUE,
IF(OR(_xlfn.XLOOKUP(B214,'Base stats'!B:B,'Base stats'!AM:AM)=1,AND(_xlfn.XLOOKUP(B214,'Base stats'!B:B,'Base stats'!O:O)=0,_xlfn.XLOOKUP(_xlfn.XLOOKUP(B214,'Base stats'!B:B,'Base stats'!E:E),Groups!A:A,Groups!B:B)&gt;0)),"AnimalUncommon","AnimalCommon"),
IF(AND(_xlfn.XLOOKUP(B214,'Base stats'!B:B,'Base stats'!O:O)=2,_xlfn.XLOOKUP(_xlfn.XLOOKUP(B214,'Base stats'!B:B,'Base stats'!E:E),Groups!A:A,Groups!D:D)=0),"AnimalPet",IF(AND(_xlfn.XLOOKUP(B214,'Base stats'!B:B,'Base stats'!O:O)&lt;&gt;0,_xlfn.XLOOKUP(_xlfn.XLOOKUP(B214,'Base stats'!B:B,'Base stats'!E:E),Groups!A:A,Groups!D:D)&lt;&gt;0),"AnimalFarm","")),
IF(OR(_xlfn.XLOOKUP(B214,'Base stats'!B:B,'Base stats'!AK:AK)=1,AND(BI214&lt;&gt;"None",BR214&gt;=60),ISNUMBER(SEARCH("Attack target",BP214))),"AnimalFighter","")
)))</f>
        <v>AnimalUncommon, AnimalFighter</v>
      </c>
      <c r="BX214" s="25" t="str">
        <f>IF(G214="None",TRIM(
SUBSTITUTE(
IF(COUNTIF(Biomes!B$2:B$259,"="&amp;$C214)&gt;0,Biomes!B$1&amp;", ","")&amp;
IF(COUNTIF(Biomes!C$2:C$259,"="&amp;$C214)&gt;0,Biomes!C$1&amp;", ","")&amp;
IF(COUNTIF(Biomes!D$2:D$259,"="&amp;$C214)&gt;0,Biomes!D$1&amp;", ","")&amp;
IF(COUNTIF(Biomes!F$2:F$259,"="&amp;$C214)&gt;0,Biomes!F$1&amp;", ","")&amp;
IF(COUNTIF(Biomes!G$2:G$259,"="&amp;$C214)&gt;0,Biomes!G$1&amp;", ","")&amp;
IF(COUNTIF(Biomes!H$2:H$259,"="&amp;$C214)&gt;0,Biomes!H$1&amp;", ","")&amp;
IF(COUNTIF(Biomes!I$2:I$259,"="&amp;$C214)&gt;0,Biomes!I$1&amp;", ","")&amp;
IF(COUNTIF(Biomes!J$2:J$259,"="&amp;$C214)&gt;0,Biomes!J$1&amp;", ","")&amp;
IF(COUNTIF(Biomes!M$2:M$259,"="&amp;$C214)&gt;0,Biomes!M$1&amp;", ","")&amp;
IF(COUNTIF(Biomes!N$2:N$259,"="&amp;$C214)&gt;0,Biomes!N$1&amp;", ","")&amp;
IF(COUNTIF(Biomes!O$2:O$259,"="&amp;$C214)&gt;0,Biomes!O$1&amp;", ","")&amp;
IF(COUNTIF(Biomes!P$2:P$259,"="&amp;$C214)&gt;0,Biomes!P$1&amp;", ","")&amp;
IF(COUNTIF(Biomes!K$2:K$259,"="&amp;$C214)&gt;0,Biomes!K$1&amp;", ","")&amp;
IF(COUNTIF(Biomes!Q$3:Q$259,"="&amp;$C214)&gt;0,Biomes!Q$1&amp;", ","")&amp;
IF(COUNTIF(Biomes!L$2:L$259,"="&amp;$C214)&gt;0,Biomes!L$1&amp;", ","")&amp;
IF(COUNTIF(Biomes!E$2:E$259,"="&amp;$C214)&gt;0,Biomes!E$1&amp;", ","")&amp;IF(COUNTIF(Biomes!S$2:S$259,"="&amp;$C214)&gt;0,Biomes!S$1&amp;", ","")&amp;
IF(COUNTIF(Biomes!R$2:R$259,"="&amp;$C214)&gt;0,Biomes!R$1&amp;", ",""),", ","")
),_xlfn.XLOOKUP(B214,B:B,BX:BX))</f>
        <v/>
      </c>
      <c r="BY214" s="25" t="str">
        <f>IF(_xlfn.XLOOKUP(B214,'Base stats'!B:B,'Base stats'!AJ:AJ)=1,"true","false")</f>
        <v>false</v>
      </c>
      <c r="BZ214" s="25">
        <f>IF(_xlfn.XLOOKUP(B214,'Base stats'!B:B,'Base stats'!N:N)=1,"No",MAX(0.001,MIN(MROUND(IF(AND(BJ214="True",CC214="False"),POWER(10,3.47*LOG10(_xlfn.XLOOKUP(B214,'Base stats'!B:B,'Base stats'!C:C)*1000)^-0.96),POWER(10,4.15*LOG10(_xlfn.XLOOKUP(B214,'Base stats'!B:B,'Base stats'!C:C)*1000)^-0.73))*IF(_xlfn.XLOOKUP(B214,'Base stats'!B:B,'Base stats'!AK:AK)=1,0.5,1)*IF(_xlfn.XLOOKUP(B214,'Base stats'!B:B,'Base stats'!AM:AM)=1,0.1,1)/100,IF(_xlfn.XLOOKUP(B214,'Base stats'!B:B,'Base stats'!AM:AM)=1,0.001,0.025)),0.5)))</f>
        <v>9.0000000000000011E-3</v>
      </c>
      <c r="CA214" s="25" t="str">
        <f>IF(P214="Standard","No",MAX(0.001,MIN(MROUND(IF(AND(BJ214="True",CC214="False"),POWER(10,3.47*LOG10(_xlfn.XLOOKUP(B214,'Base stats'!B:B,'Base stats'!C:C)*1000)^-0.96),POWER(10,4.15*LOG10(_xlfn.XLOOKUP(B214,'Base stats'!B:B,'Base stats'!C:C)*1000)^-0.73))*IF(_xlfn.XLOOKUP(B214,'Base stats'!B:B,'Base stats'!AM:AM)=1,0.1,1)*_xlfn.XLOOKUP(B214,'Base stats'!B:B,'Base stats'!R:R)/100,IF(_xlfn.XLOOKUP(B214,'Base stats'!B:B,'Base stats'!AM:AM)=1,0.001,0.025)),0.5)))</f>
        <v>No</v>
      </c>
      <c r="CB214" s="25" t="str">
        <f>IF(_xlfn.XLOOKUP(_xlfn.XLOOKUP(B214,'Base stats'!B:B,'Base stats'!E:E),Groups!A:A,Groups!AJ:AJ)="Mammal","True","False")</f>
        <v>False</v>
      </c>
      <c r="CC214" s="25" t="str">
        <f>IF(OR(_xlfn.XLOOKUP(_xlfn.XLOOKUP(B214,'Base stats'!B:B,'Base stats'!E:E),Groups!A:A,Groups!AJ:AJ)="Reptile",_xlfn.XLOOKUP(_xlfn.XLOOKUP(B214,'Base stats'!B:B,'Base stats'!E:E),Groups!A:A,Groups!AJ:AJ)="Amphibian",_xlfn.XLOOKUP(_xlfn.XLOOKUP(B214,'Base stats'!B:B,'Base stats'!E:E),Groups!A:A,Groups!AJ:AJ)="Invertebrate"),"True","False")</f>
        <v>True</v>
      </c>
      <c r="CD214" s="25" t="str">
        <f t="shared" si="27"/>
        <v>False</v>
      </c>
      <c r="CE214" s="25" t="str">
        <f>IF(_xlfn.XLOOKUP(_xlfn.XLOOKUP(B214,'Base stats'!B:B,'Base stats'!E:E),Groups!A:A,Groups!AX:AX),"True","False")</f>
        <v>False</v>
      </c>
      <c r="CF214" s="25" t="str">
        <f>IF(_xlfn.XLOOKUP(_xlfn.XLOOKUP(B214,'Base stats'!B:B,'Base stats'!E:E),Groups!A:A,Groups!AY:AY),"True","False")</f>
        <v>False</v>
      </c>
      <c r="CG214" s="25" t="str">
        <f>IF(_xlfn.XLOOKUP(_xlfn.XLOOKUP(B214,'Base stats'!B:B,'Base stats'!E:E),Groups!A:A,Groups!AW:AW),"True","False")</f>
        <v>False</v>
      </c>
      <c r="CH214" s="25" t="str">
        <f>IF(
OR(
_xlfn.XLOOKUP(_xlfn.XLOOKUP(B214,'Base stats'!B:B,'Base stats'!E:E),Groups!A:A,Groups!AZ:AZ)=0,
AND(
_xlfn.XLOOKUP(B214,'Base stats'!B:B,'Base stats'!Y:Y)&lt;&gt;"Carnivore",
_xlfn.XLOOKUP(B214,'Base stats'!B:B,'Base stats'!Y:Y)&lt;&gt;"Omnivore",
_xlfn.XLOOKUP(B214,'Base stats'!B:B,'Base stats'!Y:Y)&lt;&gt;"OmnivoreRough"
)
),
"No",
IF(
_xlfn.XLOOKUP(_xlfn.XLOOKUP(B214,'Base stats'!B:B,'Base stats'!E:E),Groups!A:A,Groups!AZ:AZ)=1,
"Flesh",
IF(
_xlfn.XLOOKUP(_xlfn.XLOOKUP(B214,'Base stats'!B:B,'Base stats'!E:E),Groups!A:A,Groups!AZ:AZ)=2,
"Bone",
""
)
)
)</f>
        <v>No</v>
      </c>
      <c r="CI214" s="25" t="str">
        <f>IF(_xlfn.XLOOKUP(_xlfn.XLOOKUP(B214,'Base stats'!B:B,'Base stats'!E:E),Groups!A:A,Groups!BB:BB),"True","False")</f>
        <v>False</v>
      </c>
      <c r="CJ214" s="25" t="str">
        <f>IF(_xlfn.XLOOKUP(_xlfn.XLOOKUP(B214,'Base stats'!B:B,'Base stats'!E:E),Groups!A:A,Groups!BA:BA),"True","False")</f>
        <v>False</v>
      </c>
    </row>
    <row r="215" spans="1:88" ht="16.5" thickTop="1" thickBot="1" x14ac:dyDescent="0.3">
      <c r="A215" s="26" t="s">
        <v>1484</v>
      </c>
      <c r="B215" s="6" t="str">
        <f>_xlfn.XLOOKUP(A215,'Base stats'!A:A,'Base stats'!B:B)</f>
        <v>Pterodyna aeria (infected)</v>
      </c>
      <c r="C215" s="28" t="s">
        <v>1485</v>
      </c>
      <c r="D215" s="28" t="s">
        <v>1341</v>
      </c>
      <c r="E215" s="28" t="s">
        <v>673</v>
      </c>
      <c r="F215" s="28" t="s">
        <v>673</v>
      </c>
      <c r="G215" s="28" t="s">
        <v>673</v>
      </c>
      <c r="H215" s="2">
        <f>MROUND((
  (IF(AND(_xlfn.XLOOKUP(B215,'Base stats'!B:B,'Base stats'!AL:AL)=0,BI215="None",_xlfn.XLOOKUP(_xlfn.XLOOKUP(B215,'Base stats'!B:B,'Base stats'!E:E),Groups!A:A,Groups!B:B)=0), (18 + BR215 * 2.7) * 0.5,
    IF(AND(_xlfn.XLOOKUP(B215,'Base stats'!B:B,'Base stats'!AL:AL)=0,OR(AO215&lt;0.55,AND(BI215="Intermediate",_xlfn.XLOOKUP(_xlfn.XLOOKUP(B215,'Base stats'!B:B,'Base stats'!E:E),Groups!A:A,Groups!B:B)&lt;2))), (18 + BR215 * 2.7),
      IF(OR(BI215="Advanced",_xlfn.XLOOKUP(B215,'Base stats'!B:B,'Base stats'!AL:AL)=1,_xlfn.XLOOKUP(_xlfn.XLOOKUP(B215,'Base stats'!B:B,'Base stats'!E:E),Groups!A:A,Groups!B:B)=2), (18 + BR215 * 2.7) + 250, (18 + BR215 * 2.7))
    )
  ))
  + AO215 * 80
  + IF(COUNTIF(EggMilk!K$2:K$998, A215) &gt; 0, 125, 0)
  + IF(COUNTIF(EggMilk!P$2:P$998, A215) &gt; 0, 90, 0)
  + IF(COUNTIF(EggMilk!A$2:A$998, A215) &gt; 0, 90, 0)
)
* (0.8 + 0.4 * J215)
* 0.75,25)</f>
        <v>200</v>
      </c>
      <c r="I215" s="2">
        <f>MROUND(ROUNDDOWN(_xlfn.XLOOKUP(B215,'Base stats'!B:B,'Base stats'!L:L)/3.6/(23.3/11),1),0.5)</f>
        <v>3</v>
      </c>
      <c r="J215" s="2">
        <f>IF(OR(_xlfn.XLOOKUP(B215,'Base stats'!B:B,'Base stats'!AB:AB)=1,_xlfn.XLOOKUP(_xlfn.XLOOKUP(B215,'Base stats'!B:B,'Base stats'!E:E),Groups!A:A,Groups!C:C)="Untamable"),1,IF(_xlfn.XLOOKUP(B215,'Base stats'!B:B,'Base stats'!AL:AL)=1,0.99,MIN(MROUND((1-0.6282*EXP(-0.459*AO215))*_xlfn.XLOOKUP(_xlfn.XLOOKUP(B215,'Base stats'!B:B,'Base stats'!E:E),Groups!A:A,Groups!C:C)*IF(_xlfn.XLOOKUP(B215,'Base stats'!B:B,'Base stats'!O:O)=1,0.5,IF(_xlfn.XLOOKUP(B215,'Base stats'!B:B,'Base stats'!O:O)=2,0,1)),0.05),IF(AO215&gt;3.5,0.985,0.95))))</f>
        <v>0.45</v>
      </c>
      <c r="K215" s="2">
        <f>ROUNDUP(AO215*_xlfn.XLOOKUP(_xlfn.XLOOKUP(B215,'Base stats'!B:B,'Base stats'!E:E),Groups!A:A,Groups!E:E),0)</f>
        <v>1</v>
      </c>
      <c r="L215" s="2">
        <f>IF(OR(_xlfn.XLOOKUP(_xlfn.XLOOKUP(B215,'Base stats'!B:B,'Base stats'!E:E),Groups!A:A,Groups!F:F)=2,ISNUMBER(SEARCH("SeaIce",BX215)),ISNUMBER(SEARCH("IceSheet",BX215))),-50,IF(OR(ISNUMBER(SEARCH("GlacialPlain",BX215)),ISNUMBER(SEARCH("Tundra",BX215))),-40,IF(OR(ISNUMBER(SEARCH("Alpine",BX215)),ISNUMBER(SEARCH("BorealForest",BX215)),ISNUMBER(SEARCH("ColdBog",BX215))),-30,IF(OR(ISNUMBER(SEARCH("TemperateForest",BX215)),ISNUMBER(SEARCH("TemperateSwamp",BX215))),-20,IF(_xlfn.XLOOKUP(_xlfn.XLOOKUP(B215,'Base stats'!B:B,'Base stats'!E:E),Groups!A:A,Groups!F:F)=1,-15,IF(OR(ISNUMBER(SEARCH("Desert",BX215)),ISNUMBER(SEARCH("ExtremeDesert",BX215))),-10,IF(OR(ISNUMBER(SEARCH("Grasslands",BX215)),ISNUMBER(SEARCH("TropicalRainforest",BX215)),ISNUMBER(SEARCH("TropicalSwamp",BX215))),10,0)))))))-IF(CC215="False",MIN(IFERROR(MAX(MROUND(LOG10(_xlfn.XLOOKUP(B215,'Base stats'!B:B,'Base stats'!C:C)^(2/3))*10,5),5),5),30))-_xlfn.XLOOKUP(B215,'Base stats'!B:B,'Base stats'!P:P)+IF(CC215="True",5,0)</f>
        <v>5</v>
      </c>
      <c r="M215" s="2">
        <f>IF(OR(_xlfn.XLOOKUP(_xlfn.XLOOKUP(B215,'Base stats'!B:B,'Base stats'!E:E),Groups!A:A,Groups!G:G)=2,ISNUMBER(SEARCH("Desert",BX215)),ISNUMBER(SEARCH("ExtremeDesert",BX215)),ISNUMBER(SEARCH("LavaField",BX215))),50,IF(ISNUMBER(SEARCH("Grasslands",BX215)),45,IF(OR(_xlfn.XLOOKUP(_xlfn.XLOOKUP(B215,'Base stats'!B:B,'Base stats'!E:E),Groups!A:A,Groups!G:G)=1,ISNUMBER(SEARCH("TropicalRainforest",BX215)),ISNUMBER(SEARCH("TropicalSwamp",BX215))),40,IF(OR(ISNUMBER(SEARCH("TemperateForest",BX215)),ISNUMBER(SEARCH("TemperateSwamp",BX215))),35,IF(OR(ISNUMBER(SEARCH("Alpine",BX215)),ISNUMBER(SEARCH("BorealForest",BX215)),ISNUMBER(SEARCH("ColdBog",BX215))),30,IF(ISNUMBER(OR(ISNUMBER(SEARCH("GlacialPlain",BX215)),SEARCH("Tundra",BX215))),25,IF(OR(ISNUMBER(SEARCH("SeaIce",BX215)),ISNUMBER(SEARCH("IceSheet",BX215)),ISNUMBER(SEARCH("TropicalSwamp",BX215))),10,35)))))))+_xlfn.XLOOKUP(B215,'Base stats'!B:B,'Base stats'!Q:Q)</f>
        <v>35</v>
      </c>
      <c r="N215" s="8" t="str">
        <f>IF(
_xlfn.XLOOKUP(
_xlfn.XLOOKUP(B215,'Base stats'!B:B,'Base stats'!E:E),
Groups!A:A,
Groups!L:L
)=1,
MIN(
MROUND(
IF(
_xlfn.XLOOKUP(B215,'Animals CE'!B:B,'Animals CE'!Z:Z)&lt;=1.5,
_xlfn.XLOOKUP(B215,'Animals CE'!B:B,'Animals CE'!Z:Z)/2+0.05,
0.8+
(_xlfn.XLOOKUP(B215,'Animals CE'!B:B,'Animals CE'!Z:Z)-1.5)
*0.02
),
0.05
),
200%
),
"No"
)</f>
        <v>No</v>
      </c>
      <c r="O215" s="8" t="str">
        <f>IF(
_xlfn.XLOOKUP(
_xlfn.XLOOKUP(B215,'Base stats'!B:B,'Base stats'!E:E),
Groups!A:A,
Groups!L:L
)=1,
MIN(
MROUND(
IF(
_xlfn.XLOOKUP(B215,'Animals CE'!B:B,'Animals CE'!AA:AA)&lt;=1.5,
_xlfn.XLOOKUP(B215,'Animals CE'!B:B,'Animals CE'!AA:AA)/2+0.05,
0.8+
(_xlfn.XLOOKUP(B215,'Animals CE'!B:B,'Animals CE'!AA:AA)-1.5)
*0.02
),
0.05
),
200%
),
"No"
)</f>
        <v>No</v>
      </c>
      <c r="P215" s="2" t="str">
        <f>_xlfn.XLOOKUP(B215,'Base stats'!B:B,'Base stats'!R:R)</f>
        <v>Standard</v>
      </c>
      <c r="Q215" s="13">
        <f>MROUND((LOG10(_xlfn.XLOOKUP(B215,'Base stats'!B:B,'Base stats'!AR:AR))*(AO215^0.5)+(_xlfn.XLOOKUP(B215,'Base stats'!B:B,'Base stats'!AR:AR)/1000)^(2/3)+_xlfn.XLOOKUP(B215,'Base stats'!B:B,'Base stats'!BA:BA)/2)+0.5,0.5)</f>
        <v>2.5</v>
      </c>
      <c r="R215" s="7">
        <f>IF(Q215="No","No",MAX(1,MROUND(_xlfn.XLOOKUP(B215,'Base stats'!B:B,'Base stats'!C:C)^0.165,0.05)))</f>
        <v>1.3</v>
      </c>
      <c r="S215" s="13" t="str">
        <f>IF(_xlfn.XLOOKUP(_xlfn.XLOOKUP(B215,'Base stats'!B:B,'Base stats'!E:E),Groups!A:A,Groups!P:P)=0,"No",MROUND((LOG10(_xlfn.XLOOKUP(B215,'Base stats'!B:B,'Base stats'!AS:AS))*(AO215^0.5)+(_xlfn.XLOOKUP(B215,'Base stats'!B:B,'Base stats'!AS:AS)/1000)^(2/3)+_xlfn.XLOOKUP(B215,'Base stats'!B:B,'Base stats'!BA:BA))+_xlfn.XLOOKUP(B215,'Base stats'!B:B,'Base stats'!AY:AY)+0.5,0.5))</f>
        <v>No</v>
      </c>
      <c r="T215" s="7" t="str">
        <f>IF(S215="No","No",MAX(_xlfn.XLOOKUP(_xlfn.XLOOKUP(B215,'Base stats'!B:B,'Base stats'!E:E),Groups!A:A,Groups!Q:Q),MROUND(_xlfn.XLOOKUP(_xlfn.XLOOKUP(B215,'Base stats'!B:B,'Base stats'!E:E),Groups!A:A,Groups!Q:Q)*_xlfn.XLOOKUP(B215,'Base stats'!B:B,'Base stats'!C:C)^0.165,0.05)))</f>
        <v>No</v>
      </c>
      <c r="U215" s="7" t="str">
        <f>IF(S215="No","No",_xlfn.XLOOKUP(_xlfn.XLOOKUP(B215,'Base stats'!B:B,'Base stats'!E:E),Groups!A:A,Groups!R:R))</f>
        <v>No</v>
      </c>
      <c r="V215" s="7" t="str">
        <f>IF(S215="No","No",_xlfn.XLOOKUP(_xlfn.XLOOKUP(B215,'Base stats'!B:B,'Base stats'!E:E),Groups!A:A,Groups!S:S))</f>
        <v>No</v>
      </c>
      <c r="W215" s="7" t="str">
        <f>IF(S215="No","No",_xlfn.XLOOKUP(_xlfn.XLOOKUP(B215,'Base stats'!B:B,'Base stats'!E:E),Groups!A:A,Groups!T:T))</f>
        <v>No</v>
      </c>
      <c r="X215" s="13" t="str">
        <f>IF(_xlfn.XLOOKUP(B215,'Base stats'!B:B,'Base stats'!W:W)="No","No",MROUND((LOG10(_xlfn.XLOOKUP(B215,'Base stats'!B:B,'Base stats'!AU:AU))*(AO215^0.5)+(_xlfn.XLOOKUP(B215,'Base stats'!B:B,'Base stats'!AU:AU)/1000)^(2/3)+_xlfn.XLOOKUP(B215,'Base stats'!B:B,'Base stats'!AZ:AZ))+0.5+IF(_xlfn.XLOOKUP(_xlfn.XLOOKUP(B215,'Base stats'!B:B,'Base stats'!E:E),Groups!A:A,Groups!U:U)&lt;&gt;3,_xlfn.XLOOKUP(B215,'Base stats'!B:B,'Base stats'!BA:BA),0),0.5))</f>
        <v>No</v>
      </c>
      <c r="Y215" s="7" t="str">
        <f>IF(X215="No","No",MAX(_xlfn.XLOOKUP(_xlfn.XLOOKUP(B215,'Base stats'!B:B,'Base stats'!E:E),Groups!A:A,Groups!V:V),MROUND(_xlfn.XLOOKUP(_xlfn.XLOOKUP(B215,'Base stats'!B:B,'Base stats'!E:E),Groups!A:A,Groups!V:V)*_xlfn.XLOOKUP(B215,'Base stats'!B:B,'Base stats'!C:C)^0.165,0.05)))</f>
        <v>No</v>
      </c>
      <c r="Z215" s="7" t="str">
        <f>IF(X215="No","No",_xlfn.XLOOKUP(_xlfn.XLOOKUP(B215,'Base stats'!B:B,'Base stats'!E:E),Groups!A:A,Groups!W:W))</f>
        <v>No</v>
      </c>
      <c r="AA215" s="7" t="str">
        <f>IF(X215="No","No",_xlfn.XLOOKUP(_xlfn.XLOOKUP(B215,'Base stats'!B:B,'Base stats'!E:E),Groups!A:A,Groups!X:X))</f>
        <v>No</v>
      </c>
      <c r="AB215" s="7" t="str">
        <f>IF(X215="No","No",_xlfn.XLOOKUP(_xlfn.XLOOKUP(B215,'Base stats'!B:B,'Base stats'!E:E),Groups!A:A,Groups!Y:Y))</f>
        <v>No</v>
      </c>
      <c r="AC215" s="7" t="str">
        <f>_xlfn.XLOOKUP(Animals!B215,'Base stats'!B:B,'Base stats'!X:X)</f>
        <v>False</v>
      </c>
      <c r="AD215" s="13" t="str">
        <f>IF(_xlfn.XLOOKUP(B215,'Base stats'!B:B,'Base stats'!AT:AT)="No","No",MROUND((LOG10(_xlfn.XLOOKUP(B215,'Base stats'!B:B,'Base stats'!AT:AT))*(AO215^0.75)+(_xlfn.XLOOKUP(B215,'Base stats'!B:B,'Base stats'!AT:AT)/1000)^(2/3)+_xlfn.XLOOKUP(B215,'Base stats'!B:B,'Base stats'!AX:AX)+_xlfn.XLOOKUP(B215,'Base stats'!B:B,'Base stats'!BA:BA))+0.5,0.5))</f>
        <v>No</v>
      </c>
      <c r="AE215" s="7" t="str">
        <f>IF(AD215="No","No",MAX(_xlfn.XLOOKUP(_xlfn.XLOOKUP(B215,'Base stats'!B:B,'Base stats'!E:E),Groups!A:A,Groups!Z:Z),MROUND(_xlfn.XLOOKUP(_xlfn.XLOOKUP(B215,'Base stats'!B:B,'Base stats'!E:E),Groups!A:A,Groups!Z:Z)*_xlfn.XLOOKUP(B215,'Base stats'!B:B,'Base stats'!C:C)^0.165,0.05)))</f>
        <v>No</v>
      </c>
      <c r="AF215" s="7" t="str">
        <f>IF(AD215="No","No",_xlfn.XLOOKUP(_xlfn.XLOOKUP(B215,'Base stats'!B:B,'Base stats'!E:E),Groups!A:A,Groups!AA:AA))</f>
        <v>No</v>
      </c>
      <c r="AG215" s="7" t="str">
        <f>IF(AD215="No","No",_xlfn.XLOOKUP(_xlfn.XLOOKUP(B215,'Base stats'!B:B,'Base stats'!E:E),Groups!A:A,Groups!AB:AB))</f>
        <v>No</v>
      </c>
      <c r="AH215" s="7" t="str">
        <f>IF(AD215="No","No",_xlfn.XLOOKUP(_xlfn.XLOOKUP(B215,'Base stats'!B:B,'Base stats'!E:E),Groups!A:A,Groups!AC:AC))</f>
        <v>No</v>
      </c>
      <c r="AI215" s="13">
        <f>IF(_xlfn.XLOOKUP(_xlfn.XLOOKUP(B215,'Base stats'!B:B,'Base stats'!E:E),Groups!A:A,Groups!AD:AD)=0,"No",MROUND((LOG10(_xlfn.XLOOKUP(B215,'Base stats'!B:B,'Base stats'!AS:AS))*(AO215^0.75)+(_xlfn.XLOOKUP(B215,'Base stats'!B:B,'Base stats'!AS:AS)/1000)^(2/3)+_xlfn.XLOOKUP(B215,'Base stats'!B:B,'Base stats'!AY:AY)+_xlfn.XLOOKUP(B215,'Base stats'!B:B,'Base stats'!BA:BA))+0.5,0.5))</f>
        <v>3</v>
      </c>
      <c r="AJ215" s="7">
        <f>IF(AI215="No","No",MAX(_xlfn.XLOOKUP(_xlfn.XLOOKUP(B215,'Base stats'!B:B,'Base stats'!E:E),Groups!A:A,Groups!AE:AE),MROUND(_xlfn.XLOOKUP(_xlfn.XLOOKUP(B215,'Base stats'!B:B,'Base stats'!E:E),Groups!A:A,Groups!AE:AE)*IF(_xlfn.XLOOKUP(_xlfn.XLOOKUP(B215,'Base stats'!B:B,'Base stats'!E:E),Groups!A:A,Groups!AJ:AJ)="Photonozoa",0.6,1)*_xlfn.XLOOKUP(B215,'Base stats'!B:B,'Base stats'!C:C)^0.165,0.05)))</f>
        <v>1</v>
      </c>
      <c r="AK215" s="7" t="str">
        <f>IF(AI215="No","No",_xlfn.XLOOKUP(_xlfn.XLOOKUP(B215,'Base stats'!B:B,'Base stats'!E:E),Groups!A:A,Groups!AF:AF))</f>
        <v>Arms</v>
      </c>
      <c r="AL215" s="7" t="str">
        <f>IF(AI215="No","No",_xlfn.XLOOKUP(_xlfn.XLOOKUP(B215,'Base stats'!B:B,'Base stats'!E:E),Groups!A:A,Groups!AG:AG))</f>
        <v>tentacles</v>
      </c>
      <c r="AM215" s="7" t="str">
        <f>IF(AI215="No","No",_xlfn.XLOOKUP(_xlfn.XLOOKUP(B215,'Base stats'!B:B,'Base stats'!E:E),Groups!A:A,Groups!AH:AH))</f>
        <v>Blunt</v>
      </c>
      <c r="AN215" s="2" t="str">
        <f t="shared" si="21"/>
        <v>No</v>
      </c>
      <c r="AO215" s="2">
        <f>MROUND(IF(AND(_xlfn.XLOOKUP(B215,'Base stats'!B:B,'Base stats'!C:C)&gt;=0.5,_xlfn.XLOOKUP(B215,'Base stats'!B:B,'Base stats'!C:C)&lt;=0.8),
IF(_xlfn.XLOOKUP(B215,'Base stats'!B:B,'Base stats'!C:C)&lt;0.1,0.05,IF(_xlfn.XLOOKUP(B215,'Base stats'!B:B,'Base stats'!C:C)&lt;=70,(_xlfn.XLOOKUP(B215,'Base stats'!B:B,'Base stats'!C:C)/70)^0.426489913056526,IF(_xlfn.XLOOKUP(B215,'Base stats'!B:B,'Base stats'!C:C)&lt;=400,(_xlfn.XLOOKUP(B215,'Base stats'!B:B,'Base stats'!C:C)/70)^0.572811455315093,IF(_xlfn.XLOOKUP(B215,'Base stats'!B:B,'Base stats'!C:C)&lt;=2000,2.71391647193063*(_xlfn.XLOOKUP(B215,'Base stats'!B:B,'Base stats'!C:C)/400)^0.252459582904293,3.74314280240376*(_xlfn.XLOOKUP(B215,'Base stats'!B:B,'Base stats'!C:C)/2000)^0.357012633876913)))),
IF(_xlfn.XLOOKUP(B215,'Base stats'!B:B,'Base stats'!C:C)&lt;0.1,0.05,IF(_xlfn.XLOOKUP(B215,'Base stats'!B:B,'Base stats'!C:C)&lt;0.4,0.1,IF(_xlfn.XLOOKUP(B215,'Base stats'!B:B,'Base stats'!C:C)&lt;=70,(_xlfn.XLOOKUP(B215,'Base stats'!B:B,'Base stats'!C:C)/70)^0.445823913056526,IF(_xlfn.XLOOKUP(B215,'Base stats'!B:B,'Base stats'!C:C)&lt;=400,(_xlfn.XLOOKUP(B215,'Base stats'!B:B,'Base stats'!C:C)/70)^0.572811455315093,IF(_xlfn.XLOOKUP(B215,'Base stats'!B:B,'Base stats'!C:C)&lt;=2000,2.71391647193063*(_xlfn.XLOOKUP(B215,'Base stats'!B:B,'Base stats'!C:C)/400)^0.252459582904293,3.74314280240376*(_xlfn.XLOOKUP(B215,'Base stats'!B:B,'Base stats'!C:C)/2000)^0.357012633876913)))))),
IF(_xlfn.XLOOKUP(B215,'Base stats'!B:B,'Base stats'!C:C)&lt;0.1,0.05,IF(_xlfn.XLOOKUP(B215,'Base stats'!B:B,'Base stats'!C:C)&lt;=100,0.05,IF(_xlfn.XLOOKUP(B215,'Base stats'!B:B,'Base stats'!C:C)&lt;=250,0.1,IF(_xlfn.XLOOKUP(B215,'Base stats'!B:B,'Base stats'!C:C)&lt;=4000,0.25,0.5)))))</f>
        <v>0.30000000000000004</v>
      </c>
      <c r="AP215" s="8">
        <f>MROUND(AO215*_xlfn.XLOOKUP(_xlfn.XLOOKUP(B215,'Base stats'!B:B,'Base stats'!E:E),Groups!A:A,Groups!AI:AI)*_xlfn.XLOOKUP(B215,'Base stats'!B:B,'Base stats'!Z:Z),0.05)</f>
        <v>0.30000000000000004</v>
      </c>
      <c r="AQ215" s="8">
        <f>MAX(0.01,MROUND(IF(CC215="True",0.196*(AO215*100*1000)^0.889,IF(_xlfn.XLOOKUP(_xlfn.XLOOKUP(B215,'Base stats'!B:B,'Base stats'!E:E),Groups!A:A,Groups!AJ:AJ)="Bird",10.5*(AO215*100*1000)^0.681,4.82*(AO215*100*1000)^0.734))/(4.82*(1*100*1000)^0.734)/IF(AO215&lt;3.5,2,IF(AO215=3.5,1.5,1.25))*(1+0.132282374779864/(AO215^0.994035016789033+0.00905238001496948)),0.05))</f>
        <v>0.05</v>
      </c>
      <c r="AR215" s="9">
        <f>IFERROR(MROUND(_xlfn.XLOOKUP(B215,'Base stats'!B:B,'Base stats'!H:H)/IF(_xlfn.XLOOKUP(B215,'Base stats'!B:B,'Base stats'!I:I)&lt;&gt;1,(122.5/70),1.2),IF(_xlfn.XLOOKUP(B215,'Base stats'!B:B,'Base stats'!H:H)&gt;=30,5,IF(_xlfn.XLOOKUP(B215,'Base stats'!B:B,'Base stats'!H:H)&gt;=15,3,IF(_xlfn.XLOOKUP(B215,'Base stats'!B:B,'Base stats'!H:H)&gt;=10,2,1)))),"Immortal")</f>
        <v>8</v>
      </c>
      <c r="AS215" s="35" t="str">
        <f>IFERROR(IF(OR(_xlfn.XLOOKUP(B215,'Base stats'!B:B,'Base stats'!F:F)="Atypical reproduction",_xlfn.XLOOKUP(B215,'Base stats'!B:B,'Base stats'!F:F)="Lay eggs"),"Lay eggs",MIN(20,MAX(5.5,ROUND(((_xlfn.XLOOKUP(B215,'Base stats'!B:B,'Base stats'!F:F)-25)*(14.5/615) + 5.5)*2,0)/2))),"Unknown")</f>
        <v>Lay eggs</v>
      </c>
      <c r="AT215" s="8">
        <f>IF(_xlfn.XLOOKUP(B215,'Base stats'!B:B,'Base stats'!G:G)="Atypical reproduction","No",IFERROR(MAX(IF(_xlfn.XLOOKUP(B215,'Base stats'!B:B,'Base stats'!G:G)&lt;0.5,0.2,0.3),MROUND(_xlfn.XLOOKUP(B215,'Base stats'!B:B,'Base stats'!G:G)/(365/60),0.2)),"Unknown"))</f>
        <v>0.3</v>
      </c>
      <c r="AU215" s="8">
        <f t="shared" si="22"/>
        <v>0.15000000000000002</v>
      </c>
      <c r="AV215" s="8" t="str">
        <f>IFERROR(IFERROR(MROUND(_xlfn.XLOOKUP(B215,'Base stats'!B:B,'Base stats'!J:J),0.1),"Lay eggs"),"Cannot breed")</f>
        <v>Lay eggs</v>
      </c>
      <c r="AW215" s="2" t="str">
        <f t="shared" si="23"/>
        <v>true</v>
      </c>
      <c r="AX215" s="2" t="str">
        <f>IF(_xlfn.XLOOKUP(_xlfn.XLOOKUP(Animals!B215,'Base stats'!B:B,'Base stats'!E:E),Groups!A:A,Groups!AK:AK)=1,"true","false")</f>
        <v>false</v>
      </c>
      <c r="AY215" s="25" t="str">
        <f>IF(_xlfn.XLOOKUP(B215,'Base stats'!B:B,'Base stats'!Y:Y)="Liquor","Liquor, CarnivoreAnimalStrict",IF(AND(_xlfn.XLOOKUP(B215,'Base stats'!B:B,'Base stats'!Y:Y)="Carnivore",_xlfn.XLOOKUP(_xlfn.XLOOKUP(B215,'Base stats'!B:B,'Base stats'!E:E),Groups!A:A,Groups!AJ:AJ)="Photonozoa"),"CarnivoreAnimalStrict, OvivoreAnimal",IF(_xlfn.XLOOKUP(B215,'Base stats'!B:B,'Base stats'!Y:Y)="Carnivore","CarnivoreAnimal, OvivoreAnimal",IF(_xlfn.XLOOKUP(B215,'Base stats'!B:B,'Base stats'!Y:Y)="Dendrovore","VegetarianRoughAnimal, DendrovoreAnimal",IF(_xlfn.XLOOKUP(B215,'Base stats'!B:B,'Base stats'!Y:Y)="Herbivore","VegetarianRoughAnimal",IF(_xlfn.XLOOKUP(B215,'Base stats'!B:B,'Base stats'!Y:Y)="OmnivoreRough","OmnivoreRoughAnimal, OvivoreAnimal","OmnivoreAnimal, OvivoreAnimal"))))))</f>
        <v>VegetarianRoughAnimal</v>
      </c>
      <c r="AZ215" s="2">
        <f>IF(_xlfn.XLOOKUP(_xlfn.XLOOKUP(B215,'Base stats'!B:B,'Base stats'!E:E),Groups!A:A,Groups!D:D)=1,MROUND((1-J215)*5+1,2)*IF(J215&lt;=0.4,2,1),"No")</f>
        <v>4</v>
      </c>
      <c r="BA215" s="2" t="str">
        <f>IF(AND(_xlfn.XLOOKUP(B215,'Base stats'!B:B,'Base stats'!AH:AH)="&lt;li&gt;Seal&lt;/li&gt;",G215="Odyssey"),"&lt;li&gt;AEXP_Seal&lt;/li&gt;",_xlfn.XLOOKUP(B215,'Base stats'!B:B,'Base stats'!AH:AH))</f>
        <v>No</v>
      </c>
      <c r="BB215" s="2" t="str">
        <f>_xlfn.XLOOKUP(B215,'Base stats'!B:B,'Base stats'!AG:AG)</f>
        <v>No</v>
      </c>
      <c r="BC215" s="23" t="str">
        <f>_xlfn.XLOOKUP(_xlfn.XLOOKUP(B215,'Base stats'!B:B,'Base stats'!E:E),Groups!A:A,Groups!AL:AL)</f>
        <v>Jellyfish</v>
      </c>
      <c r="BD215" s="23">
        <f>MIN(1,MROUND(IF(AND(AO215&lt;0.5,_xlfn.XLOOKUP(B215,'Base stats'!B:B,'Base stats'!AA:AA)=0),0,IF(OR(_xlfn.XLOOKUP(Animals!B215,'Base stats'!B:B,'Base stats'!O:O)=2,_xlfn.XLOOKUP(_xlfn.XLOOKUP(B215,'Base stats'!B:B,'Base stats'!E:E),Groups!A:A,Groups!AN:AN)=0),0,_xlfn.XLOOKUP(_xlfn.XLOOKUP(B215,'Base stats'!B:B,'Base stats'!E:E),Groups!A:A,Groups!AN:AN)/IF(_xlfn.XLOOKUP(Animals!B215,'Base stats'!B:B,'Base stats'!O:O)=1,2,1)))+_xlfn.XLOOKUP(B215,'Base stats'!B:B,'Base stats'!AC:AC),0.005))</f>
        <v>0</v>
      </c>
      <c r="BE215" s="23">
        <f>MIN(1,MROUND(IF(AND(AO215&lt;0.5,_xlfn.XLOOKUP(B215,'Base stats'!B:B,'Base stats'!AA:AA)=0),0,IF(_xlfn.XLOOKUP(_xlfn.XLOOKUP(B215,'Base stats'!B:B,'Base stats'!E:E),Groups!A:A,Groups!AO:AO)=0,0,_xlfn.XLOOKUP(_xlfn.XLOOKUP(B215,'Base stats'!B:B,'Base stats'!E:E),Groups!A:A,Groups!AO:AO)/IF(_xlfn.XLOOKUP(Animals!B215,'Base stats'!B:B,'Base stats'!O:O)=2,3,1)))+_xlfn.XLOOKUP(B215,'Base stats'!B:B,'Base stats'!AD:AD),0.005))</f>
        <v>0</v>
      </c>
      <c r="BF215" s="2" t="str">
        <f>IF(J215&gt;0.3,"No",_xlfn.XLOOKUP(_xlfn.XLOOKUP(Animals!B215,'Base stats'!B:B,'Base stats'!E:E),Groups!A:A,Groups!AP:AP))</f>
        <v>No</v>
      </c>
      <c r="BG215" s="2" t="str">
        <f>IF(AND(J215&lt;=0.65,_xlfn.XLOOKUP(_xlfn.XLOOKUP(Animals!B215,'Base stats'!B:B,'Base stats'!E:E),Groups!A:A,Groups!AP:AP)&lt;&gt;"No",_xlfn.XLOOKUP(_xlfn.XLOOKUP(B215,'Base stats'!B:B,'Base stats'!E:E),Groups!A:A,Groups!D:D)=0),MROUND((80/3)*IF(_xlfn.XLOOKUP(B215,'Base stats'!B:B,'Base stats'!O:O)=2,0.2,AO215) + 24*(1-IF(BF215="No",0,BF215)) + 16/3, 12),"No")</f>
        <v>No</v>
      </c>
      <c r="BH215" s="2">
        <f>IF(AND(_xlfn.XLOOKUP(_xlfn.XLOOKUP(B215,'Base stats'!B:B,'Base stats'!E:E),Groups!A:A,Groups!AQ:AQ)=1,AO215&lt;=0.35),8,12)</f>
        <v>12</v>
      </c>
      <c r="BI215" s="2" t="str">
        <f>IF(_xlfn.XLOOKUP(_xlfn.XLOOKUP(B215,'Base stats'!B:B,'Base stats'!E:E),Groups!A:A,Groups!D:D)=0,_xlfn.XLOOKUP(_xlfn.XLOOKUP(B215,'Base stats'!B:B,'Base stats'!E:E),Groups!A:A,Groups!AR:AR),"None")</f>
        <v>None</v>
      </c>
      <c r="BJ215" s="2" t="str">
        <f>IF(AND(_xlfn.XLOOKUP(_xlfn.XLOOKUP(B215,'Base stats'!B:B,'Base stats'!E:E),Groups!A:A,Groups!AS:AS)=1,OR(_xlfn.XLOOKUP(B215,'Base stats'!B:B,'Base stats'!Y:Y)="Carnivore",_xlfn.XLOOKUP(B215,'Base stats'!B:B,'Base stats'!Y:Y)="Omnivore")),"true","false")</f>
        <v>false</v>
      </c>
      <c r="BK215" s="2" t="str">
        <f>IF(BJ215="true",MROUND(IF(AND(AO215&gt;0.5,OR(_xlfn.XLOOKUP(_xlfn.XLOOKUP(B215,'Base stats'!B:B,'Base stats'!E:E),Groups!A:A,Groups!AJ:AJ)="Photonozoa",_xlfn.XLOOKUP(_xlfn.XLOOKUP(B215,'Base stats'!B:B,'Base stats'!E:E),Groups!A:A,Groups!AJ:AJ)="Mammal")),Animals!AO215*1.75*IF(AW215="true",1.5,1),IF(AO215&lt;0.5,Animals!AO215*0.5,Animals!AO215)),IF(AO215&gt;2,0.5,IF(AO215&gt;0.5,0.25,0.1))),"No")</f>
        <v>No</v>
      </c>
      <c r="BL215" s="2">
        <f t="shared" si="24"/>
        <v>0</v>
      </c>
      <c r="BM215" s="25" t="str">
        <f>IF(_xlfn.XLOOKUP(B215,'Base stats'!B:B,'Base stats'!AN:AN)="Standard","No",MROUND((_xlfn.XLOOKUP(B215,'Base stats'!B:B,'Base stats'!AN:AN)/3.6)/I215,0.1))</f>
        <v>No</v>
      </c>
      <c r="BN215" s="25" t="str">
        <f t="shared" si="25"/>
        <v>false</v>
      </c>
      <c r="BO215" s="25" t="str">
        <f>IF(AND(OR(_xlfn.XLOOKUP(B215,'Base stats'!B:B,'Base stats'!Y:Y)="Carnivore",_xlfn.XLOOKUP(B215,'Base stats'!B:B,'Base stats'!Y:Y)="Omnivore",_xlfn.XLOOKUP(B215,'Base stats'!B:B,'Base stats'!Y:Y)="OmnivoreRough"),_xlfn.XLOOKUP(_xlfn.XLOOKUP(B215,'Base stats'!B:B,'Base stats'!E:E),Groups!A:A,Groups!AT:AT)=1),"true","false")</f>
        <v>false</v>
      </c>
      <c r="BP215" s="25" t="str" cm="1">
        <f t="array" ref="BP215">IF(
  _xlfn.TEXTJOIN(", ",TRUE,
    IF(AND(BJ215="true",AO215&gt;0.5,BI215&lt;&gt;"None"),"AttackTarget",""),
    IF(AND(_xlfn.XLOOKUP(_xlfn.XLOOKUP(B215,'Base stats'!B:B,'Base stats'!E:E),Groups!A:A,Groups!AJ:AJ="Mammal"),OR(_xlfn.XLOOKUP(B215,'Base stats'!B:B,'Base stats'!Y:Y)="Omnivore",_xlfn.XLOOKUP(B215,'Base stats'!B:B,'Base stats'!Y:Y)="OmnivoreRough")),"Forage",""),
    IF(BG215&lt;=36,"Comfort",""),
    IF(_xlfn.XLOOKUP(B215,'Base stats'!B:B,'Base stats'!AE:AE)&lt;&gt;"No",_xlfn.XLOOKUP(B215,'Base stats'!B:B,'Base stats'!AE:AE),"")
  ) = "",
  "No",
  _xlfn.TEXTJOIN(", ",TRUE,
    IF(AND(BJ215="true",AO215&gt;0.5,BI215&lt;&gt;"None"),"AttackTarget",""),
    IF(AND(_xlfn.XLOOKUP(_xlfn.XLOOKUP(B215,'Base stats'!B:B,'Base stats'!E:E),Groups!A:A,Groups!AJ:AJ="Mammal"),OR(_xlfn.XLOOKUP(B215,'Base stats'!B:B,'Base stats'!Y:Y)="Omnivore",_xlfn.XLOOKUP(B215,'Base stats'!B:B,'Base stats'!Y:Y)="OmnivoreRough")),"Forage",""),
    IF(BG215&lt;=36,"Comfort",""),
    IF(_xlfn.XLOOKUP(B215,'Base stats'!B:B,'Base stats'!AE:AE)&lt;&gt;"No",_xlfn.XLOOKUP(B215,'Base stats'!B:B,'Base stats'!AE:AE),"")
  )
)</f>
        <v>No</v>
      </c>
      <c r="BQ215" s="25" t="str">
        <f>IF(
   AND(
      'Base stats'!AN215="Standard",_xlfn.XLOOKUP(_xlfn.XLOOKUP(B215,'Base stats'!B:B,'Base stats'!E:E),Groups!A:A,Groups!AU:AU)=0,
      OR(
      BO215="True"
      )
   ),
   10,
   IF(
       OR(BM215&lt;&gt;"No",_xlfn.XLOOKUP(_xlfn.XLOOKUP(B215,'Base stats'!B:B,'Base stats'!E:E),Groups!A:A,Groups!AU:AU)=1),
      1,
      "No"
   )
)</f>
        <v>No</v>
      </c>
      <c r="BR215" s="9">
        <f>MROUND((1 + ((0.2*IF(OR(Q215="No",R215="No",R215=0),0,Q215/R215)
+IF(OR(V215="No",S215="No",T215="No"),0,S215/T215*(LEN(V215)-LEN(SUBSTITUTE(V215,",",""))+1))
+IF(OR(X215="No",Y215="No"),0,X215/Y215)
+IF(OR(AD215="No",AE215="No"),0,AD215/AE215)
+IF(OR(AL215="No",AI215="No",AJ215="No"),0,AI215/AJ215*(LEN(AL215)-LEN(SUBSTITUTE(AL215,",",""))+1))
)/(0.2*IF(OR(Q215="No",R215="No",R215=0),0,1)
+IF(OR(V215="No",S215="No",T215="No"),0,LEN(V215)-LEN(SUBSTITUTE(V215,",",""))+1)
+IF(OR(X215="No",Y215="No"),0,1)
+IF(OR(AD215="No",AE215="No"),0,1)
+IF(OR(AL215="No",AI215="No",AJ215="No"),0,LEN(AL215)-LEN(SUBSTITUTE(AL215,",",""))+1))*62%)* 2)*(1 + (AP215 / (IF(_xlfn.XLOOKUP(_xlfn.XLOOKUP(B215,'Base stats'!B:B,'Base stats'!E:E),Groups!A:A,Groups!AJ:AJ)="Photonozoa",0.3,1)) + _xlfn.XLOOKUP(B215,'Base stats'!B:B,'Base stats'!AV:AV) * 1.8) * 2) * 2.5 + 10 + I215 * 2,5)+IF(_xlfn.XLOOKUP(B215,'Base stats'!B:B,'Base stats'!AK:AK)=1,50,0)</f>
        <v>85</v>
      </c>
      <c r="BS215" s="8">
        <f t="shared" si="26"/>
        <v>0.1</v>
      </c>
      <c r="BT215" s="8" t="str">
        <f>_xlfn.XLOOKUP(B215,'Base stats'!B:B,'Base stats'!AF:AF)</f>
        <v>3~8</v>
      </c>
      <c r="BU215" s="2" t="str">
        <f>IF(AND(J215&lt;=0.95,OR(_xlfn.XLOOKUP(B215,'Base stats'!B:B,'Base stats'!AK:AK)=1,_xlfn.XLOOKUP(B215,'Base stats'!B:B,'Base stats'!Y:Y)="Carnivore",_xlfn.XLOOKUP(B215,'Base stats'!B:B,'Base stats'!Y:Y)="Omnivore",BE215&gt;0.1)),"true","false")</f>
        <v>true</v>
      </c>
      <c r="BV215" s="2" t="str">
        <f>IF(_xlfn.XLOOKUP(B215,'Base stats'!B:B,'Base stats'!AI:AI)=1,"true","false")</f>
        <v>false</v>
      </c>
      <c r="BW215" s="25" t="str">
        <f>IF(E215="BaseInsect","AnimalInsect",
IF(J215&gt;0.95,"AnimalExotic",
_xlfn.TEXTJOIN(", ",TRUE,
IF(OR(_xlfn.XLOOKUP(B215,'Base stats'!B:B,'Base stats'!AM:AM)=1,AND(_xlfn.XLOOKUP(B215,'Base stats'!B:B,'Base stats'!O:O)=0,_xlfn.XLOOKUP(_xlfn.XLOOKUP(B215,'Base stats'!B:B,'Base stats'!E:E),Groups!A:A,Groups!B:B)&gt;0)),"AnimalUncommon","AnimalCommon"),
IF(AND(_xlfn.XLOOKUP(B215,'Base stats'!B:B,'Base stats'!O:O)=2,_xlfn.XLOOKUP(_xlfn.XLOOKUP(B215,'Base stats'!B:B,'Base stats'!E:E),Groups!A:A,Groups!D:D)=0),"AnimalPet",IF(AND(_xlfn.XLOOKUP(B215,'Base stats'!B:B,'Base stats'!O:O)&lt;&gt;0,_xlfn.XLOOKUP(_xlfn.XLOOKUP(B215,'Base stats'!B:B,'Base stats'!E:E),Groups!A:A,Groups!D:D)&lt;&gt;0),"AnimalFarm","")),
IF(OR(_xlfn.XLOOKUP(B215,'Base stats'!B:B,'Base stats'!AK:AK)=1,AND(BI215&lt;&gt;"None",BR215&gt;=60),ISNUMBER(SEARCH("Attack target",BP215))),"AnimalFighter","")
)))</f>
        <v>AnimalUncommon, AnimalFighter</v>
      </c>
      <c r="BX215" s="25" t="str">
        <f>IF(G215="None",TRIM(
SUBSTITUTE(
IF(COUNTIF(Biomes!B$2:B$259,"="&amp;$C215)&gt;0,Biomes!B$1&amp;", ","")&amp;
IF(COUNTIF(Biomes!C$2:C$259,"="&amp;$C215)&gt;0,Biomes!C$1&amp;", ","")&amp;
IF(COUNTIF(Biomes!D$2:D$259,"="&amp;$C215)&gt;0,Biomes!D$1&amp;", ","")&amp;
IF(COUNTIF(Biomes!F$2:F$259,"="&amp;$C215)&gt;0,Biomes!F$1&amp;", ","")&amp;
IF(COUNTIF(Biomes!G$2:G$259,"="&amp;$C215)&gt;0,Biomes!G$1&amp;", ","")&amp;
IF(COUNTIF(Biomes!H$2:H$259,"="&amp;$C215)&gt;0,Biomes!H$1&amp;", ","")&amp;
IF(COUNTIF(Biomes!I$2:I$259,"="&amp;$C215)&gt;0,Biomes!I$1&amp;", ","")&amp;
IF(COUNTIF(Biomes!J$2:J$259,"="&amp;$C215)&gt;0,Biomes!J$1&amp;", ","")&amp;
IF(COUNTIF(Biomes!M$2:M$259,"="&amp;$C215)&gt;0,Biomes!M$1&amp;", ","")&amp;
IF(COUNTIF(Biomes!N$2:N$259,"="&amp;$C215)&gt;0,Biomes!N$1&amp;", ","")&amp;
IF(COUNTIF(Biomes!O$2:O$259,"="&amp;$C215)&gt;0,Biomes!O$1&amp;", ","")&amp;
IF(COUNTIF(Biomes!P$2:P$259,"="&amp;$C215)&gt;0,Biomes!P$1&amp;", ","")&amp;
IF(COUNTIF(Biomes!K$2:K$259,"="&amp;$C215)&gt;0,Biomes!K$1&amp;", ","")&amp;
IF(COUNTIF(Biomes!Q$3:Q$259,"="&amp;$C215)&gt;0,Biomes!Q$1&amp;", ","")&amp;
IF(COUNTIF(Biomes!L$2:L$259,"="&amp;$C215)&gt;0,Biomes!L$1&amp;", ","")&amp;
IF(COUNTIF(Biomes!E$2:E$259,"="&amp;$C215)&gt;0,Biomes!E$1&amp;", ","")&amp;IF(COUNTIF(Biomes!S$2:S$259,"="&amp;$C215)&gt;0,Biomes!S$1&amp;", ","")&amp;
IF(COUNTIF(Biomes!R$2:R$259,"="&amp;$C215)&gt;0,Biomes!R$1&amp;", ",""),", ","")
),_xlfn.XLOOKUP(B215,B:B,BX:BX))</f>
        <v/>
      </c>
      <c r="BY215" s="25" t="str">
        <f>IF(_xlfn.XLOOKUP(B215,'Base stats'!B:B,'Base stats'!AJ:AJ)=1,"true","false")</f>
        <v>false</v>
      </c>
      <c r="BZ215" s="25">
        <f>IF(_xlfn.XLOOKUP(B215,'Base stats'!B:B,'Base stats'!N:N)=1,"No",MAX(0.001,MIN(MROUND(IF(AND(BJ215="True",CC215="False"),POWER(10,3.47*LOG10(_xlfn.XLOOKUP(B215,'Base stats'!B:B,'Base stats'!C:C)*1000)^-0.96),POWER(10,4.15*LOG10(_xlfn.XLOOKUP(B215,'Base stats'!B:B,'Base stats'!C:C)*1000)^-0.73))*IF(_xlfn.XLOOKUP(B215,'Base stats'!B:B,'Base stats'!AK:AK)=1,0.5,1)*IF(_xlfn.XLOOKUP(B215,'Base stats'!B:B,'Base stats'!AM:AM)=1,0.1,1)/100,IF(_xlfn.XLOOKUP(B215,'Base stats'!B:B,'Base stats'!AM:AM)=1,0.001,0.025)),0.5)))</f>
        <v>0.02</v>
      </c>
      <c r="CA215" s="25" t="str">
        <f>IF(P215="Standard","No",MAX(0.001,MIN(MROUND(IF(AND(BJ215="True",CC215="False"),POWER(10,3.47*LOG10(_xlfn.XLOOKUP(B215,'Base stats'!B:B,'Base stats'!C:C)*1000)^-0.96),POWER(10,4.15*LOG10(_xlfn.XLOOKUP(B215,'Base stats'!B:B,'Base stats'!C:C)*1000)^-0.73))*IF(_xlfn.XLOOKUP(B215,'Base stats'!B:B,'Base stats'!AM:AM)=1,0.1,1)*_xlfn.XLOOKUP(B215,'Base stats'!B:B,'Base stats'!R:R)/100,IF(_xlfn.XLOOKUP(B215,'Base stats'!B:B,'Base stats'!AM:AM)=1,0.001,0.025)),0.5)))</f>
        <v>No</v>
      </c>
      <c r="CB215" s="25" t="str">
        <f>IF(_xlfn.XLOOKUP(_xlfn.XLOOKUP(B215,'Base stats'!B:B,'Base stats'!E:E),Groups!A:A,Groups!AJ:AJ)="Mammal","True","False")</f>
        <v>False</v>
      </c>
      <c r="CC215" s="25" t="str">
        <f>IF(OR(_xlfn.XLOOKUP(_xlfn.XLOOKUP(B215,'Base stats'!B:B,'Base stats'!E:E),Groups!A:A,Groups!AJ:AJ)="Reptile",_xlfn.XLOOKUP(_xlfn.XLOOKUP(B215,'Base stats'!B:B,'Base stats'!E:E),Groups!A:A,Groups!AJ:AJ)="Amphibian",_xlfn.XLOOKUP(_xlfn.XLOOKUP(B215,'Base stats'!B:B,'Base stats'!E:E),Groups!A:A,Groups!AJ:AJ)="Invertebrate"),"True","False")</f>
        <v>True</v>
      </c>
      <c r="CD215" s="25" t="str">
        <f t="shared" si="27"/>
        <v>False</v>
      </c>
      <c r="CE215" s="25" t="str">
        <f>IF(_xlfn.XLOOKUP(_xlfn.XLOOKUP(B215,'Base stats'!B:B,'Base stats'!E:E),Groups!A:A,Groups!AX:AX),"True","False")</f>
        <v>False</v>
      </c>
      <c r="CF215" s="25" t="str">
        <f>IF(_xlfn.XLOOKUP(_xlfn.XLOOKUP(B215,'Base stats'!B:B,'Base stats'!E:E),Groups!A:A,Groups!AY:AY),"True","False")</f>
        <v>False</v>
      </c>
      <c r="CG215" s="25" t="str">
        <f>IF(_xlfn.XLOOKUP(_xlfn.XLOOKUP(B215,'Base stats'!B:B,'Base stats'!E:E),Groups!A:A,Groups!AW:AW),"True","False")</f>
        <v>False</v>
      </c>
      <c r="CH215" s="25" t="str">
        <f>IF(
OR(
_xlfn.XLOOKUP(_xlfn.XLOOKUP(B215,'Base stats'!B:B,'Base stats'!E:E),Groups!A:A,Groups!AZ:AZ)=0,
AND(
_xlfn.XLOOKUP(B215,'Base stats'!B:B,'Base stats'!Y:Y)&lt;&gt;"Carnivore",
_xlfn.XLOOKUP(B215,'Base stats'!B:B,'Base stats'!Y:Y)&lt;&gt;"Omnivore",
_xlfn.XLOOKUP(B215,'Base stats'!B:B,'Base stats'!Y:Y)&lt;&gt;"OmnivoreRough"
)
),
"No",
IF(
_xlfn.XLOOKUP(_xlfn.XLOOKUP(B215,'Base stats'!B:B,'Base stats'!E:E),Groups!A:A,Groups!AZ:AZ)=1,
"Flesh",
IF(
_xlfn.XLOOKUP(_xlfn.XLOOKUP(B215,'Base stats'!B:B,'Base stats'!E:E),Groups!A:A,Groups!AZ:AZ)=2,
"Bone",
""
)
)
)</f>
        <v>No</v>
      </c>
      <c r="CI215" s="25" t="str">
        <f>IF(_xlfn.XLOOKUP(_xlfn.XLOOKUP(B215,'Base stats'!B:B,'Base stats'!E:E),Groups!A:A,Groups!BB:BB),"True","False")</f>
        <v>False</v>
      </c>
      <c r="CJ215" s="25" t="str">
        <f>IF(_xlfn.XLOOKUP(_xlfn.XLOOKUP(B215,'Base stats'!B:B,'Base stats'!E:E),Groups!A:A,Groups!BA:BA),"True","False")</f>
        <v>False</v>
      </c>
    </row>
    <row r="216" spans="1:88" ht="16.5" thickTop="1" thickBot="1" x14ac:dyDescent="0.3">
      <c r="A216" s="26" t="s">
        <v>1343</v>
      </c>
      <c r="B216" s="6" t="str">
        <f>_xlfn.XLOOKUP(A216,'Base stats'!A:A,'Base stats'!B:B)</f>
        <v>Mycopion sylvestris</v>
      </c>
      <c r="C216" s="28" t="s">
        <v>1342</v>
      </c>
      <c r="D216" s="28" t="s">
        <v>1341</v>
      </c>
      <c r="E216" s="28" t="s">
        <v>673</v>
      </c>
      <c r="F216" s="28" t="s">
        <v>673</v>
      </c>
      <c r="G216" s="28" t="s">
        <v>673</v>
      </c>
      <c r="H216" s="2">
        <f>MROUND((
  (IF(AND(_xlfn.XLOOKUP(B216,'Base stats'!B:B,'Base stats'!AL:AL)=0,BI216="None",_xlfn.XLOOKUP(_xlfn.XLOOKUP(B216,'Base stats'!B:B,'Base stats'!E:E),Groups!A:A,Groups!B:B)=0), (18 + BR216 * 2.7) * 0.5,
    IF(AND(_xlfn.XLOOKUP(B216,'Base stats'!B:B,'Base stats'!AL:AL)=0,OR(AO216&lt;0.55,AND(BI216="Intermediate",_xlfn.XLOOKUP(_xlfn.XLOOKUP(B216,'Base stats'!B:B,'Base stats'!E:E),Groups!A:A,Groups!B:B)&lt;2))), (18 + BR216 * 2.7),
      IF(OR(BI216="Advanced",_xlfn.XLOOKUP(B216,'Base stats'!B:B,'Base stats'!AL:AL)=1,_xlfn.XLOOKUP(_xlfn.XLOOKUP(B216,'Base stats'!B:B,'Base stats'!E:E),Groups!A:A,Groups!B:B)=2), (18 + BR216 * 2.7) + 250, (18 + BR216 * 2.7))
    )
  ))
  + AO216 * 80
  + IF(COUNTIF(EggMilk!K$2:K$998, A216) &gt; 0, 125, 0)
  + IF(COUNTIF(EggMilk!P$2:P$998, A216) &gt; 0, 90, 0)
  + IF(COUNTIF(EggMilk!A$2:A$998, A216) &gt; 0, 90, 0)
)
* (0.8 + 0.4 * J216)
* 0.75,25)</f>
        <v>475</v>
      </c>
      <c r="I216" s="2">
        <f>MROUND(ROUNDDOWN(_xlfn.XLOOKUP(B216,'Base stats'!B:B,'Base stats'!L:L)/3.6/(23.3/11),1),0.5)</f>
        <v>3.5</v>
      </c>
      <c r="J216" s="2">
        <f>IF(OR(_xlfn.XLOOKUP(B216,'Base stats'!B:B,'Base stats'!AB:AB)=1,_xlfn.XLOOKUP(_xlfn.XLOOKUP(B216,'Base stats'!B:B,'Base stats'!E:E),Groups!A:A,Groups!C:C)="Untamable"),1,IF(_xlfn.XLOOKUP(B216,'Base stats'!B:B,'Base stats'!AL:AL)=1,0.99,MIN(MROUND((1-0.6282*EXP(-0.459*AO216))*_xlfn.XLOOKUP(_xlfn.XLOOKUP(B216,'Base stats'!B:B,'Base stats'!E:E),Groups!A:A,Groups!C:C)*IF(_xlfn.XLOOKUP(B216,'Base stats'!B:B,'Base stats'!O:O)=1,0.5,IF(_xlfn.XLOOKUP(B216,'Base stats'!B:B,'Base stats'!O:O)=2,0,1)),0.05),IF(AO216&gt;3.5,0.985,0.95))))</f>
        <v>0.5</v>
      </c>
      <c r="K216" s="2">
        <f>ROUNDUP(AO216*_xlfn.XLOOKUP(_xlfn.XLOOKUP(B216,'Base stats'!B:B,'Base stats'!E:E),Groups!A:A,Groups!E:E),0)</f>
        <v>1</v>
      </c>
      <c r="L216" s="2">
        <f>IF(OR(_xlfn.XLOOKUP(_xlfn.XLOOKUP(B216,'Base stats'!B:B,'Base stats'!E:E),Groups!A:A,Groups!F:F)=2,ISNUMBER(SEARCH("SeaIce",BX216)),ISNUMBER(SEARCH("IceSheet",BX216))),-50,IF(OR(ISNUMBER(SEARCH("GlacialPlain",BX216)),ISNUMBER(SEARCH("Tundra",BX216))),-40,IF(OR(ISNUMBER(SEARCH("Alpine",BX216)),ISNUMBER(SEARCH("BorealForest",BX216)),ISNUMBER(SEARCH("ColdBog",BX216))),-30,IF(OR(ISNUMBER(SEARCH("TemperateForest",BX216)),ISNUMBER(SEARCH("TemperateSwamp",BX216))),-20,IF(_xlfn.XLOOKUP(_xlfn.XLOOKUP(B216,'Base stats'!B:B,'Base stats'!E:E),Groups!A:A,Groups!F:F)=1,-15,IF(OR(ISNUMBER(SEARCH("Desert",BX216)),ISNUMBER(SEARCH("ExtremeDesert",BX216))),-10,IF(OR(ISNUMBER(SEARCH("Grasslands",BX216)),ISNUMBER(SEARCH("TropicalRainforest",BX216)),ISNUMBER(SEARCH("TropicalSwamp",BX216))),10,0)))))))-IF(CC216="False",MIN(IFERROR(MAX(MROUND(LOG10(_xlfn.XLOOKUP(B216,'Base stats'!B:B,'Base stats'!C:C)^(2/3))*10,5),5),5),30))-_xlfn.XLOOKUP(B216,'Base stats'!B:B,'Base stats'!P:P)+IF(CC216="True",5,0)</f>
        <v>-10</v>
      </c>
      <c r="M216" s="2">
        <f>IF(OR(_xlfn.XLOOKUP(_xlfn.XLOOKUP(B216,'Base stats'!B:B,'Base stats'!E:E),Groups!A:A,Groups!G:G)=2,ISNUMBER(SEARCH("Desert",BX216)),ISNUMBER(SEARCH("ExtremeDesert",BX216)),ISNUMBER(SEARCH("LavaField",BX216))),50,IF(ISNUMBER(SEARCH("Grasslands",BX216)),45,IF(OR(_xlfn.XLOOKUP(_xlfn.XLOOKUP(B216,'Base stats'!B:B,'Base stats'!E:E),Groups!A:A,Groups!G:G)=1,ISNUMBER(SEARCH("TropicalRainforest",BX216)),ISNUMBER(SEARCH("TropicalSwamp",BX216))),40,IF(OR(ISNUMBER(SEARCH("TemperateForest",BX216)),ISNUMBER(SEARCH("TemperateSwamp",BX216))),35,IF(OR(ISNUMBER(SEARCH("Alpine",BX216)),ISNUMBER(SEARCH("BorealForest",BX216)),ISNUMBER(SEARCH("ColdBog",BX216))),30,IF(ISNUMBER(OR(ISNUMBER(SEARCH("GlacialPlain",BX216)),SEARCH("Tundra",BX216))),25,IF(OR(ISNUMBER(SEARCH("SeaIce",BX216)),ISNUMBER(SEARCH("IceSheet",BX216)),ISNUMBER(SEARCH("TropicalSwamp",BX216))),10,35)))))))+_xlfn.XLOOKUP(B216,'Base stats'!B:B,'Base stats'!Q:Q)</f>
        <v>35</v>
      </c>
      <c r="N216" s="8">
        <f>IF(
_xlfn.XLOOKUP(
_xlfn.XLOOKUP(B216,'Base stats'!B:B,'Base stats'!E:E),
Groups!A:A,
Groups!L:L
)=1,
MIN(
MROUND(
IF(
_xlfn.XLOOKUP(B216,'Animals CE'!B:B,'Animals CE'!Z:Z)&lt;=1.5,
_xlfn.XLOOKUP(B216,'Animals CE'!B:B,'Animals CE'!Z:Z)/2+0.05,
0.8+
(_xlfn.XLOOKUP(B216,'Animals CE'!B:B,'Animals CE'!Z:Z)-1.5)
*0.02
),
0.05
),
200%
),
"No"
)</f>
        <v>0.8</v>
      </c>
      <c r="O216" s="8">
        <f>IF(
_xlfn.XLOOKUP(
_xlfn.XLOOKUP(B216,'Base stats'!B:B,'Base stats'!E:E),
Groups!A:A,
Groups!L:L
)=1,
MIN(
MROUND(
IF(
_xlfn.XLOOKUP(B216,'Animals CE'!B:B,'Animals CE'!AA:AA)&lt;=1.5,
_xlfn.XLOOKUP(B216,'Animals CE'!B:B,'Animals CE'!AA:AA)/2+0.05,
0.8+
(_xlfn.XLOOKUP(B216,'Animals CE'!B:B,'Animals CE'!AA:AA)-1.5)
*0.02
),
0.05
),
200%
),
"No"
)</f>
        <v>1.1500000000000001</v>
      </c>
      <c r="P216" s="2" t="str">
        <f>_xlfn.XLOOKUP(B216,'Base stats'!B:B,'Base stats'!R:R)</f>
        <v>Standard</v>
      </c>
      <c r="Q216" s="13">
        <f>MROUND((LOG10(_xlfn.XLOOKUP(B216,'Base stats'!B:B,'Base stats'!AR:AR))*(AO216^0.5)+(_xlfn.XLOOKUP(B216,'Base stats'!B:B,'Base stats'!AR:AR)/1000)^(2/3)+_xlfn.XLOOKUP(B216,'Base stats'!B:B,'Base stats'!BA:BA)/2)+0.5,0.5)</f>
        <v>4.5</v>
      </c>
      <c r="R216" s="7">
        <f>IF(Q216="No","No",MAX(1,MROUND(_xlfn.XLOOKUP(B216,'Base stats'!B:B,'Base stats'!C:C)^0.165,0.05)))</f>
        <v>1.6500000000000001</v>
      </c>
      <c r="S216" s="13" t="str">
        <f>IF(_xlfn.XLOOKUP(_xlfn.XLOOKUP(B216,'Base stats'!B:B,'Base stats'!E:E),Groups!A:A,Groups!P:P)=0,"No",MROUND((LOG10(_xlfn.XLOOKUP(B216,'Base stats'!B:B,'Base stats'!AS:AS))*(AO216^0.5)+(_xlfn.XLOOKUP(B216,'Base stats'!B:B,'Base stats'!AS:AS)/1000)^(2/3)+_xlfn.XLOOKUP(B216,'Base stats'!B:B,'Base stats'!BA:BA))+_xlfn.XLOOKUP(B216,'Base stats'!B:B,'Base stats'!AY:AY)+0.5,0.5))</f>
        <v>No</v>
      </c>
      <c r="T216" s="7" t="str">
        <f>IF(S216="No","No",MAX(_xlfn.XLOOKUP(_xlfn.XLOOKUP(B216,'Base stats'!B:B,'Base stats'!E:E),Groups!A:A,Groups!Q:Q),MROUND(_xlfn.XLOOKUP(_xlfn.XLOOKUP(B216,'Base stats'!B:B,'Base stats'!E:E),Groups!A:A,Groups!Q:Q)*_xlfn.XLOOKUP(B216,'Base stats'!B:B,'Base stats'!C:C)^0.165,0.05)))</f>
        <v>No</v>
      </c>
      <c r="U216" s="7" t="str">
        <f>IF(S216="No","No",_xlfn.XLOOKUP(_xlfn.XLOOKUP(B216,'Base stats'!B:B,'Base stats'!E:E),Groups!A:A,Groups!R:R))</f>
        <v>No</v>
      </c>
      <c r="V216" s="7" t="str">
        <f>IF(S216="No","No",_xlfn.XLOOKUP(_xlfn.XLOOKUP(B216,'Base stats'!B:B,'Base stats'!E:E),Groups!A:A,Groups!S:S))</f>
        <v>No</v>
      </c>
      <c r="W216" s="7" t="str">
        <f>IF(S216="No","No",_xlfn.XLOOKUP(_xlfn.XLOOKUP(B216,'Base stats'!B:B,'Base stats'!E:E),Groups!A:A,Groups!T:T))</f>
        <v>No</v>
      </c>
      <c r="X216" s="13" t="str">
        <f>IF(_xlfn.XLOOKUP(B216,'Base stats'!B:B,'Base stats'!W:W)="No","No",MROUND((LOG10(_xlfn.XLOOKUP(B216,'Base stats'!B:B,'Base stats'!AU:AU))*(AO216^0.5)+(_xlfn.XLOOKUP(B216,'Base stats'!B:B,'Base stats'!AU:AU)/1000)^(2/3)+_xlfn.XLOOKUP(B216,'Base stats'!B:B,'Base stats'!AZ:AZ))+0.5+IF(_xlfn.XLOOKUP(_xlfn.XLOOKUP(B216,'Base stats'!B:B,'Base stats'!E:E),Groups!A:A,Groups!U:U)&lt;&gt;3,_xlfn.XLOOKUP(B216,'Base stats'!B:B,'Base stats'!BA:BA),0),0.5))</f>
        <v>No</v>
      </c>
      <c r="Y216" s="7" t="str">
        <f>IF(X216="No","No",MAX(_xlfn.XLOOKUP(_xlfn.XLOOKUP(B216,'Base stats'!B:B,'Base stats'!E:E),Groups!A:A,Groups!V:V),MROUND(_xlfn.XLOOKUP(_xlfn.XLOOKUP(B216,'Base stats'!B:B,'Base stats'!E:E),Groups!A:A,Groups!V:V)*_xlfn.XLOOKUP(B216,'Base stats'!B:B,'Base stats'!C:C)^0.165,0.05)))</f>
        <v>No</v>
      </c>
      <c r="Z216" s="7" t="str">
        <f>IF(X216="No","No",_xlfn.XLOOKUP(_xlfn.XLOOKUP(B216,'Base stats'!B:B,'Base stats'!E:E),Groups!A:A,Groups!W:W))</f>
        <v>No</v>
      </c>
      <c r="AA216" s="7" t="str">
        <f>IF(X216="No","No",_xlfn.XLOOKUP(_xlfn.XLOOKUP(B216,'Base stats'!B:B,'Base stats'!E:E),Groups!A:A,Groups!X:X))</f>
        <v>No</v>
      </c>
      <c r="AB216" s="7" t="str">
        <f>IF(X216="No","No",_xlfn.XLOOKUP(_xlfn.XLOOKUP(B216,'Base stats'!B:B,'Base stats'!E:E),Groups!A:A,Groups!Y:Y))</f>
        <v>No</v>
      </c>
      <c r="AC216" s="7" t="str">
        <f>_xlfn.XLOOKUP(Animals!B216,'Base stats'!B:B,'Base stats'!X:X)</f>
        <v>False</v>
      </c>
      <c r="AD216" s="13">
        <f>IF(_xlfn.XLOOKUP(B216,'Base stats'!B:B,'Base stats'!AT:AT)="No","No",MROUND((LOG10(_xlfn.XLOOKUP(B216,'Base stats'!B:B,'Base stats'!AT:AT))*(AO216^0.75)+(_xlfn.XLOOKUP(B216,'Base stats'!B:B,'Base stats'!AT:AT)/1000)^(2/3)+_xlfn.XLOOKUP(B216,'Base stats'!B:B,'Base stats'!AX:AX)+_xlfn.XLOOKUP(B216,'Base stats'!B:B,'Base stats'!BA:BA))+0.5,0.5))</f>
        <v>7.5</v>
      </c>
      <c r="AE216" s="7">
        <f>IF(AD216="No","No",MAX(_xlfn.XLOOKUP(_xlfn.XLOOKUP(B216,'Base stats'!B:B,'Base stats'!E:E),Groups!A:A,Groups!Z:Z),MROUND(_xlfn.XLOOKUP(_xlfn.XLOOKUP(B216,'Base stats'!B:B,'Base stats'!E:E),Groups!A:A,Groups!Z:Z)*_xlfn.XLOOKUP(B216,'Base stats'!B:B,'Base stats'!C:C)^0.165,0.05)))</f>
        <v>1.6500000000000001</v>
      </c>
      <c r="AF216" s="7" t="str">
        <f>IF(AD216="No","No",_xlfn.XLOOKUP(_xlfn.XLOOKUP(B216,'Base stats'!B:B,'Base stats'!E:E),Groups!A:A,Groups!AA:AA))</f>
        <v>Teeth</v>
      </c>
      <c r="AG216" s="7" t="str">
        <f>IF(AD216="No","No",_xlfn.XLOOKUP(_xlfn.XLOOKUP(B216,'Base stats'!B:B,'Base stats'!E:E),Groups!A:A,Groups!AB:AB))</f>
        <v>teeth</v>
      </c>
      <c r="AH216" s="7" t="str">
        <f>IF(AD216="No","No",_xlfn.XLOOKUP(_xlfn.XLOOKUP(B216,'Base stats'!B:B,'Base stats'!E:E),Groups!A:A,Groups!AC:AC))</f>
        <v>ToxicBite</v>
      </c>
      <c r="AI216" s="13">
        <f>IF(_xlfn.XLOOKUP(_xlfn.XLOOKUP(B216,'Base stats'!B:B,'Base stats'!E:E),Groups!A:A,Groups!AD:AD)=0,"No",MROUND((LOG10(_xlfn.XLOOKUP(B216,'Base stats'!B:B,'Base stats'!AS:AS))*(AO216^0.75)+(_xlfn.XLOOKUP(B216,'Base stats'!B:B,'Base stats'!AS:AS)/1000)^(2/3)+_xlfn.XLOOKUP(B216,'Base stats'!B:B,'Base stats'!AY:AY)+_xlfn.XLOOKUP(B216,'Base stats'!B:B,'Base stats'!BA:BA))+0.5,0.5))</f>
        <v>7</v>
      </c>
      <c r="AJ216" s="7">
        <f>IF(AI216="No","No",MAX(_xlfn.XLOOKUP(_xlfn.XLOOKUP(B216,'Base stats'!B:B,'Base stats'!E:E),Groups!A:A,Groups!AE:AE),MROUND(_xlfn.XLOOKUP(_xlfn.XLOOKUP(B216,'Base stats'!B:B,'Base stats'!E:E),Groups!A:A,Groups!AE:AE)*IF(_xlfn.XLOOKUP(_xlfn.XLOOKUP(B216,'Base stats'!B:B,'Base stats'!E:E),Groups!A:A,Groups!AJ:AJ)="Photonozoa",0.6,1)*_xlfn.XLOOKUP(B216,'Base stats'!B:B,'Base stats'!C:C)^0.165,0.05)))</f>
        <v>1.1500000000000001</v>
      </c>
      <c r="AK216" s="7" t="str">
        <f>IF(AI216="No","No",_xlfn.XLOOKUP(_xlfn.XLOOKUP(B216,'Base stats'!B:B,'Base stats'!E:E),Groups!A:A,Groups!AF:AF))</f>
        <v>FrontLeftPaw, FrontRightPaw</v>
      </c>
      <c r="AL216" s="7" t="str">
        <f>IF(AI216="No","No",_xlfn.XLOOKUP(_xlfn.XLOOKUP(B216,'Base stats'!B:B,'Base stats'!E:E),Groups!A:A,Groups!AG:AG))</f>
        <v>left claw, right claw</v>
      </c>
      <c r="AM216" s="7" t="str">
        <f>IF(AI216="No","No",_xlfn.XLOOKUP(_xlfn.XLOOKUP(B216,'Base stats'!B:B,'Base stats'!E:E),Groups!A:A,Groups!AH:AH))</f>
        <v>Scratch</v>
      </c>
      <c r="AN216" s="2" t="str">
        <f t="shared" si="21"/>
        <v>No</v>
      </c>
      <c r="AO216" s="2">
        <f>MROUND(IF(AND(_xlfn.XLOOKUP(B216,'Base stats'!B:B,'Base stats'!C:C)&gt;=0.5,_xlfn.XLOOKUP(B216,'Base stats'!B:B,'Base stats'!C:C)&lt;=0.8),
IF(_xlfn.XLOOKUP(B216,'Base stats'!B:B,'Base stats'!C:C)&lt;0.1,0.05,IF(_xlfn.XLOOKUP(B216,'Base stats'!B:B,'Base stats'!C:C)&lt;=70,(_xlfn.XLOOKUP(B216,'Base stats'!B:B,'Base stats'!C:C)/70)^0.426489913056526,IF(_xlfn.XLOOKUP(B216,'Base stats'!B:B,'Base stats'!C:C)&lt;=400,(_xlfn.XLOOKUP(B216,'Base stats'!B:B,'Base stats'!C:C)/70)^0.572811455315093,IF(_xlfn.XLOOKUP(B216,'Base stats'!B:B,'Base stats'!C:C)&lt;=2000,2.71391647193063*(_xlfn.XLOOKUP(B216,'Base stats'!B:B,'Base stats'!C:C)/400)^0.252459582904293,3.74314280240376*(_xlfn.XLOOKUP(B216,'Base stats'!B:B,'Base stats'!C:C)/2000)^0.357012633876913)))),
IF(_xlfn.XLOOKUP(B216,'Base stats'!B:B,'Base stats'!C:C)&lt;0.1,0.05,IF(_xlfn.XLOOKUP(B216,'Base stats'!B:B,'Base stats'!C:C)&lt;0.4,0.1,IF(_xlfn.XLOOKUP(B216,'Base stats'!B:B,'Base stats'!C:C)&lt;=70,(_xlfn.XLOOKUP(B216,'Base stats'!B:B,'Base stats'!C:C)/70)^0.445823913056526,IF(_xlfn.XLOOKUP(B216,'Base stats'!B:B,'Base stats'!C:C)&lt;=400,(_xlfn.XLOOKUP(B216,'Base stats'!B:B,'Base stats'!C:C)/70)^0.572811455315093,IF(_xlfn.XLOOKUP(B216,'Base stats'!B:B,'Base stats'!C:C)&lt;=2000,2.71391647193063*(_xlfn.XLOOKUP(B216,'Base stats'!B:B,'Base stats'!C:C)/400)^0.252459582904293,3.74314280240376*(_xlfn.XLOOKUP(B216,'Base stats'!B:B,'Base stats'!C:C)/2000)^0.357012633876913)))))),
IF(_xlfn.XLOOKUP(B216,'Base stats'!B:B,'Base stats'!C:C)&lt;0.1,0.05,IF(_xlfn.XLOOKUP(B216,'Base stats'!B:B,'Base stats'!C:C)&lt;=100,0.05,IF(_xlfn.XLOOKUP(B216,'Base stats'!B:B,'Base stats'!C:C)&lt;=250,0.1,IF(_xlfn.XLOOKUP(B216,'Base stats'!B:B,'Base stats'!C:C)&lt;=4000,0.25,0.5)))))</f>
        <v>0.55000000000000004</v>
      </c>
      <c r="AP216" s="8">
        <f>MROUND(AO216*_xlfn.XLOOKUP(_xlfn.XLOOKUP(B216,'Base stats'!B:B,'Base stats'!E:E),Groups!A:A,Groups!AI:AI)*_xlfn.XLOOKUP(B216,'Base stats'!B:B,'Base stats'!Z:Z),0.05)</f>
        <v>0.55000000000000004</v>
      </c>
      <c r="AQ216" s="8">
        <f>MAX(0.01,MROUND(IF(CC216="True",0.196*(AO216*100*1000)^0.889,IF(_xlfn.XLOOKUP(_xlfn.XLOOKUP(B216,'Base stats'!B:B,'Base stats'!E:E),Groups!A:A,Groups!AJ:AJ)="Bird",10.5*(AO216*100*1000)^0.681,4.82*(AO216*100*1000)^0.734))/(4.82*(1*100*1000)^0.734)/IF(AO216&lt;3.5,2,IF(AO216=3.5,1.5,1.25))*(1+0.132282374779864/(AO216^0.994035016789033+0.00905238001496948)),0.05))</f>
        <v>0.4</v>
      </c>
      <c r="AR216" s="9">
        <f>IFERROR(MROUND(_xlfn.XLOOKUP(B216,'Base stats'!B:B,'Base stats'!H:H)/IF(_xlfn.XLOOKUP(B216,'Base stats'!B:B,'Base stats'!I:I)&lt;&gt;1,(122.5/70),1.2),IF(_xlfn.XLOOKUP(B216,'Base stats'!B:B,'Base stats'!H:H)&gt;=30,5,IF(_xlfn.XLOOKUP(B216,'Base stats'!B:B,'Base stats'!H:H)&gt;=15,3,IF(_xlfn.XLOOKUP(B216,'Base stats'!B:B,'Base stats'!H:H)&gt;=10,2,1)))),"Immortal")</f>
        <v>30</v>
      </c>
      <c r="AS216" s="35" t="str">
        <f>IFERROR(IF(OR(_xlfn.XLOOKUP(B216,'Base stats'!B:B,'Base stats'!F:F)="Atypical reproduction",_xlfn.XLOOKUP(B216,'Base stats'!B:B,'Base stats'!F:F)="Lay eggs"),"Lay eggs",MIN(20,MAX(5.5,ROUND(((_xlfn.XLOOKUP(B216,'Base stats'!B:B,'Base stats'!F:F)-25)*(14.5/615) + 5.5)*2,0)/2))),"Unknown")</f>
        <v>Lay eggs</v>
      </c>
      <c r="AT216" s="8">
        <f>IF(_xlfn.XLOOKUP(B216,'Base stats'!B:B,'Base stats'!G:G)="Atypical reproduction","No",IFERROR(MAX(IF(_xlfn.XLOOKUP(B216,'Base stats'!B:B,'Base stats'!G:G)&lt;0.5,0.2,0.3),MROUND(_xlfn.XLOOKUP(B216,'Base stats'!B:B,'Base stats'!G:G)/(365/60),0.2)),"Unknown"))</f>
        <v>0.4</v>
      </c>
      <c r="AU216" s="8">
        <f t="shared" si="22"/>
        <v>0.2</v>
      </c>
      <c r="AV216" s="8" t="str">
        <f>IFERROR(IFERROR(MROUND(_xlfn.XLOOKUP(B216,'Base stats'!B:B,'Base stats'!J:J),0.1),"Lay eggs"),"Cannot breed")</f>
        <v>Lay eggs</v>
      </c>
      <c r="AW216" s="2" t="str">
        <f t="shared" si="23"/>
        <v>true</v>
      </c>
      <c r="AX216" s="2" t="str">
        <f>IF(_xlfn.XLOOKUP(_xlfn.XLOOKUP(Animals!B216,'Base stats'!B:B,'Base stats'!E:E),Groups!A:A,Groups!AK:AK)=1,"true","false")</f>
        <v>false</v>
      </c>
      <c r="AY216" s="25" t="str">
        <f>IF(_xlfn.XLOOKUP(B216,'Base stats'!B:B,'Base stats'!Y:Y)="Liquor","Liquor, CarnivoreAnimalStrict",IF(AND(_xlfn.XLOOKUP(B216,'Base stats'!B:B,'Base stats'!Y:Y)="Carnivore",_xlfn.XLOOKUP(_xlfn.XLOOKUP(B216,'Base stats'!B:B,'Base stats'!E:E),Groups!A:A,Groups!AJ:AJ)="Photonozoa"),"CarnivoreAnimalStrict, OvivoreAnimal",IF(_xlfn.XLOOKUP(B216,'Base stats'!B:B,'Base stats'!Y:Y)="Carnivore","CarnivoreAnimal, OvivoreAnimal",IF(_xlfn.XLOOKUP(B216,'Base stats'!B:B,'Base stats'!Y:Y)="Dendrovore","VegetarianRoughAnimal, DendrovoreAnimal",IF(_xlfn.XLOOKUP(B216,'Base stats'!B:B,'Base stats'!Y:Y)="Herbivore","VegetarianRoughAnimal",IF(_xlfn.XLOOKUP(B216,'Base stats'!B:B,'Base stats'!Y:Y)="OmnivoreRough","OmnivoreRoughAnimal, OvivoreAnimal","OmnivoreAnimal, OvivoreAnimal"))))))</f>
        <v>VegetarianRoughAnimal</v>
      </c>
      <c r="AZ216" s="2" t="str">
        <f>IF(_xlfn.XLOOKUP(_xlfn.XLOOKUP(B216,'Base stats'!B:B,'Base stats'!E:E),Groups!A:A,Groups!D:D)=1,MROUND((1-J216)*5+1,2)*IF(J216&lt;=0.4,2,1),"No")</f>
        <v>No</v>
      </c>
      <c r="BA216" s="2" t="str">
        <f>IF(AND(_xlfn.XLOOKUP(B216,'Base stats'!B:B,'Base stats'!AH:AH)="&lt;li&gt;Seal&lt;/li&gt;",G216="Odyssey"),"&lt;li&gt;AEXP_Seal&lt;/li&gt;",_xlfn.XLOOKUP(B216,'Base stats'!B:B,'Base stats'!AH:AH))</f>
        <v>No</v>
      </c>
      <c r="BB216" s="2" t="str">
        <f>_xlfn.XLOOKUP(B216,'Base stats'!B:B,'Base stats'!AG:AG)</f>
        <v>No</v>
      </c>
      <c r="BC216" s="23" t="str">
        <f>_xlfn.XLOOKUP(_xlfn.XLOOKUP(B216,'Base stats'!B:B,'Base stats'!E:E),Groups!A:A,Groups!AL:AL)</f>
        <v>QuadrupedAnimalWithPaws</v>
      </c>
      <c r="BD216" s="23">
        <f>MIN(1,MROUND(IF(AND(AO216&lt;0.5,_xlfn.XLOOKUP(B216,'Base stats'!B:B,'Base stats'!AA:AA)=0),0,IF(OR(_xlfn.XLOOKUP(Animals!B216,'Base stats'!B:B,'Base stats'!O:O)=2,_xlfn.XLOOKUP(_xlfn.XLOOKUP(B216,'Base stats'!B:B,'Base stats'!E:E),Groups!A:A,Groups!AN:AN)=0),0,_xlfn.XLOOKUP(_xlfn.XLOOKUP(B216,'Base stats'!B:B,'Base stats'!E:E),Groups!A:A,Groups!AN:AN)/IF(_xlfn.XLOOKUP(Animals!B216,'Base stats'!B:B,'Base stats'!O:O)=1,2,1)))+_xlfn.XLOOKUP(B216,'Base stats'!B:B,'Base stats'!AC:AC),0.005))</f>
        <v>0.1</v>
      </c>
      <c r="BE216" s="23">
        <f>MIN(1,MROUND(IF(AND(AO216&lt;0.5,_xlfn.XLOOKUP(B216,'Base stats'!B:B,'Base stats'!AA:AA)=0),0,IF(_xlfn.XLOOKUP(_xlfn.XLOOKUP(B216,'Base stats'!B:B,'Base stats'!E:E),Groups!A:A,Groups!AO:AO)=0,0,_xlfn.XLOOKUP(_xlfn.XLOOKUP(B216,'Base stats'!B:B,'Base stats'!E:E),Groups!A:A,Groups!AO:AO)/IF(_xlfn.XLOOKUP(Animals!B216,'Base stats'!B:B,'Base stats'!O:O)=2,3,1)))+_xlfn.XLOOKUP(B216,'Base stats'!B:B,'Base stats'!AD:AD),0.005))</f>
        <v>0.3</v>
      </c>
      <c r="BF216" s="2" t="str">
        <f>IF(J216&gt;0.3,"No",_xlfn.XLOOKUP(_xlfn.XLOOKUP(Animals!B216,'Base stats'!B:B,'Base stats'!E:E),Groups!A:A,Groups!AP:AP))</f>
        <v>No</v>
      </c>
      <c r="BG216" s="2" t="str">
        <f>IF(AND(J216&lt;=0.65,_xlfn.XLOOKUP(_xlfn.XLOOKUP(Animals!B216,'Base stats'!B:B,'Base stats'!E:E),Groups!A:A,Groups!AP:AP)&lt;&gt;"No",_xlfn.XLOOKUP(_xlfn.XLOOKUP(B216,'Base stats'!B:B,'Base stats'!E:E),Groups!A:A,Groups!D:D)=0),MROUND((80/3)*IF(_xlfn.XLOOKUP(B216,'Base stats'!B:B,'Base stats'!O:O)=2,0.2,AO216) + 24*(1-IF(BF216="No",0,BF216)) + 16/3, 12),"No")</f>
        <v>No</v>
      </c>
      <c r="BH216" s="2">
        <f>IF(AND(_xlfn.XLOOKUP(_xlfn.XLOOKUP(B216,'Base stats'!B:B,'Base stats'!E:E),Groups!A:A,Groups!AQ:AQ)=1,AO216&lt;=0.35),8,12)</f>
        <v>12</v>
      </c>
      <c r="BI216" s="2" t="str">
        <f>IF(_xlfn.XLOOKUP(_xlfn.XLOOKUP(B216,'Base stats'!B:B,'Base stats'!E:E),Groups!A:A,Groups!D:D)=0,_xlfn.XLOOKUP(_xlfn.XLOOKUP(B216,'Base stats'!B:B,'Base stats'!E:E),Groups!A:A,Groups!AR:AR),"None")</f>
        <v>Intermediate</v>
      </c>
      <c r="BJ216" s="2" t="str">
        <f>IF(AND(_xlfn.XLOOKUP(_xlfn.XLOOKUP(B216,'Base stats'!B:B,'Base stats'!E:E),Groups!A:A,Groups!AS:AS)=1,OR(_xlfn.XLOOKUP(B216,'Base stats'!B:B,'Base stats'!Y:Y)="Carnivore",_xlfn.XLOOKUP(B216,'Base stats'!B:B,'Base stats'!Y:Y)="Omnivore")),"true","false")</f>
        <v>false</v>
      </c>
      <c r="BK216" s="2" t="str">
        <f>IF(BJ216="true",MROUND(IF(AND(AO216&gt;0.5,OR(_xlfn.XLOOKUP(_xlfn.XLOOKUP(B216,'Base stats'!B:B,'Base stats'!E:E),Groups!A:A,Groups!AJ:AJ)="Photonozoa",_xlfn.XLOOKUP(_xlfn.XLOOKUP(B216,'Base stats'!B:B,'Base stats'!E:E),Groups!A:A,Groups!AJ:AJ)="Mammal")),Animals!AO216*1.75*IF(AW216="true",1.5,1),IF(AO216&lt;0.5,Animals!AO216*0.5,Animals!AO216)),IF(AO216&gt;2,0.5,IF(AO216&gt;0.5,0.25,0.1))),"No")</f>
        <v>No</v>
      </c>
      <c r="BL216" s="2">
        <f t="shared" si="24"/>
        <v>1</v>
      </c>
      <c r="BM216" s="25" t="str">
        <f>IF(_xlfn.XLOOKUP(B216,'Base stats'!B:B,'Base stats'!AN:AN)="Standard","No",MROUND((_xlfn.XLOOKUP(B216,'Base stats'!B:B,'Base stats'!AN:AN)/3.6)/I216,0.1))</f>
        <v>No</v>
      </c>
      <c r="BN216" s="25" t="str">
        <f t="shared" si="25"/>
        <v>false</v>
      </c>
      <c r="BO216" s="25" t="str">
        <f>IF(AND(OR(_xlfn.XLOOKUP(B216,'Base stats'!B:B,'Base stats'!Y:Y)="Carnivore",_xlfn.XLOOKUP(B216,'Base stats'!B:B,'Base stats'!Y:Y)="Omnivore",_xlfn.XLOOKUP(B216,'Base stats'!B:B,'Base stats'!Y:Y)="OmnivoreRough"),_xlfn.XLOOKUP(_xlfn.XLOOKUP(B216,'Base stats'!B:B,'Base stats'!E:E),Groups!A:A,Groups!AT:AT)=1),"true","false")</f>
        <v>false</v>
      </c>
      <c r="BP216" s="25" t="str" cm="1">
        <f t="array" ref="BP216">IF(
  _xlfn.TEXTJOIN(", ",TRUE,
    IF(AND(BJ216="true",AO216&gt;0.5,BI216&lt;&gt;"None"),"AttackTarget",""),
    IF(AND(_xlfn.XLOOKUP(_xlfn.XLOOKUP(B216,'Base stats'!B:B,'Base stats'!E:E),Groups!A:A,Groups!AJ:AJ="Mammal"),OR(_xlfn.XLOOKUP(B216,'Base stats'!B:B,'Base stats'!Y:Y)="Omnivore",_xlfn.XLOOKUP(B216,'Base stats'!B:B,'Base stats'!Y:Y)="OmnivoreRough")),"Forage",""),
    IF(BG216&lt;=36,"Comfort",""),
    IF(_xlfn.XLOOKUP(B216,'Base stats'!B:B,'Base stats'!AE:AE)&lt;&gt;"No",_xlfn.XLOOKUP(B216,'Base stats'!B:B,'Base stats'!AE:AE),"")
  ) = "",
  "No",
  _xlfn.TEXTJOIN(", ",TRUE,
    IF(AND(BJ216="true",AO216&gt;0.5,BI216&lt;&gt;"None"),"AttackTarget",""),
    IF(AND(_xlfn.XLOOKUP(_xlfn.XLOOKUP(B216,'Base stats'!B:B,'Base stats'!E:E),Groups!A:A,Groups!AJ:AJ="Mammal"),OR(_xlfn.XLOOKUP(B216,'Base stats'!B:B,'Base stats'!Y:Y)="Omnivore",_xlfn.XLOOKUP(B216,'Base stats'!B:B,'Base stats'!Y:Y)="OmnivoreRough")),"Forage",""),
    IF(BG216&lt;=36,"Comfort",""),
    IF(_xlfn.XLOOKUP(B216,'Base stats'!B:B,'Base stats'!AE:AE)&lt;&gt;"No",_xlfn.XLOOKUP(B216,'Base stats'!B:B,'Base stats'!AE:AE),"")
  )
)</f>
        <v>No</v>
      </c>
      <c r="BQ216" s="25" t="str">
        <f>IF(
   AND(
      'Base stats'!AN216="Standard",_xlfn.XLOOKUP(_xlfn.XLOOKUP(B216,'Base stats'!B:B,'Base stats'!E:E),Groups!A:A,Groups!AU:AU)=0,
      OR(
      BO216="True"
      )
   ),
   10,
   IF(
       OR(BM216&lt;&gt;"No",_xlfn.XLOOKUP(_xlfn.XLOOKUP(B216,'Base stats'!B:B,'Base stats'!E:E),Groups!A:A,Groups!AU:AU)=1),
      1,
      "No"
   )
)</f>
        <v>No</v>
      </c>
      <c r="BR216" s="9">
        <f>MROUND((1 + ((0.2*IF(OR(Q216="No",R216="No",R216=0),0,Q216/R216)
+IF(OR(V216="No",S216="No",T216="No"),0,S216/T216*(LEN(V216)-LEN(SUBSTITUTE(V216,",",""))+1))
+IF(OR(X216="No",Y216="No"),0,X216/Y216)
+IF(OR(AD216="No",AE216="No"),0,AD216/AE216)
+IF(OR(AL216="No",AI216="No",AJ216="No"),0,AI216/AJ216*(LEN(AL216)-LEN(SUBSTITUTE(AL216,",",""))+1))
)/(0.2*IF(OR(Q216="No",R216="No",R216=0),0,1)
+IF(OR(V216="No",S216="No",T216="No"),0,LEN(V216)-LEN(SUBSTITUTE(V216,",",""))+1)
+IF(OR(X216="No",Y216="No"),0,1)
+IF(OR(AD216="No",AE216="No"),0,1)
+IF(OR(AL216="No",AI216="No",AJ216="No"),0,LEN(AL216)-LEN(SUBSTITUTE(AL216,",",""))+1))*62%)* 2)*(1 + (AP216 / (IF(_xlfn.XLOOKUP(_xlfn.XLOOKUP(B216,'Base stats'!B:B,'Base stats'!E:E),Groups!A:A,Groups!AJ:AJ)="Photonozoa",0.3,1)) + _xlfn.XLOOKUP(B216,'Base stats'!B:B,'Base stats'!AV:AV) * 1.8) * 2) * 2.5 + 10 + I216 * 2,5)+IF(_xlfn.XLOOKUP(B216,'Base stats'!B:B,'Base stats'!AK:AK)=1,50,0)</f>
        <v>125</v>
      </c>
      <c r="BS216" s="8">
        <f t="shared" si="26"/>
        <v>0.45</v>
      </c>
      <c r="BT216" s="8" t="str">
        <f>_xlfn.XLOOKUP(B216,'Base stats'!B:B,'Base stats'!AF:AF)</f>
        <v>1~3</v>
      </c>
      <c r="BU216" s="2" t="str">
        <f>IF(AND(J216&lt;=0.95,OR(_xlfn.XLOOKUP(B216,'Base stats'!B:B,'Base stats'!AK:AK)=1,_xlfn.XLOOKUP(B216,'Base stats'!B:B,'Base stats'!Y:Y)="Carnivore",_xlfn.XLOOKUP(B216,'Base stats'!B:B,'Base stats'!Y:Y)="Omnivore",BE216&gt;0.1)),"true","false")</f>
        <v>true</v>
      </c>
      <c r="BV216" s="2" t="str">
        <f>IF(_xlfn.XLOOKUP(B216,'Base stats'!B:B,'Base stats'!AI:AI)=1,"true","false")</f>
        <v>false</v>
      </c>
      <c r="BW216" s="25" t="str">
        <f>IF(E216="BaseInsect","AnimalInsect",
IF(J216&gt;0.95,"AnimalExotic",
_xlfn.TEXTJOIN(", ",TRUE,
IF(OR(_xlfn.XLOOKUP(B216,'Base stats'!B:B,'Base stats'!AM:AM)=1,AND(_xlfn.XLOOKUP(B216,'Base stats'!B:B,'Base stats'!O:O)=0,_xlfn.XLOOKUP(_xlfn.XLOOKUP(B216,'Base stats'!B:B,'Base stats'!E:E),Groups!A:A,Groups!B:B)&gt;0)),"AnimalUncommon","AnimalCommon"),
IF(AND(_xlfn.XLOOKUP(B216,'Base stats'!B:B,'Base stats'!O:O)=2,_xlfn.XLOOKUP(_xlfn.XLOOKUP(B216,'Base stats'!B:B,'Base stats'!E:E),Groups!A:A,Groups!D:D)=0),"AnimalPet",IF(AND(_xlfn.XLOOKUP(B216,'Base stats'!B:B,'Base stats'!O:O)&lt;&gt;0,_xlfn.XLOOKUP(_xlfn.XLOOKUP(B216,'Base stats'!B:B,'Base stats'!E:E),Groups!A:A,Groups!D:D)&lt;&gt;0),"AnimalFarm","")),
IF(OR(_xlfn.XLOOKUP(B216,'Base stats'!B:B,'Base stats'!AK:AK)=1,AND(BI216&lt;&gt;"None",BR216&gt;=60),ISNUMBER(SEARCH("Attack target",BP216))),"AnimalFighter","")
)))</f>
        <v>AnimalUncommon, AnimalFighter</v>
      </c>
      <c r="BX216" s="25" t="str">
        <f>IF(G216="None",TRIM(
SUBSTITUTE(
IF(COUNTIF(Biomes!B$2:B$259,"="&amp;$C216)&gt;0,Biomes!B$1&amp;", ","")&amp;
IF(COUNTIF(Biomes!C$2:C$259,"="&amp;$C216)&gt;0,Biomes!C$1&amp;", ","")&amp;
IF(COUNTIF(Biomes!D$2:D$259,"="&amp;$C216)&gt;0,Biomes!D$1&amp;", ","")&amp;
IF(COUNTIF(Biomes!F$2:F$259,"="&amp;$C216)&gt;0,Biomes!F$1&amp;", ","")&amp;
IF(COUNTIF(Biomes!G$2:G$259,"="&amp;$C216)&gt;0,Biomes!G$1&amp;", ","")&amp;
IF(COUNTIF(Biomes!H$2:H$259,"="&amp;$C216)&gt;0,Biomes!H$1&amp;", ","")&amp;
IF(COUNTIF(Biomes!I$2:I$259,"="&amp;$C216)&gt;0,Biomes!I$1&amp;", ","")&amp;
IF(COUNTIF(Biomes!J$2:J$259,"="&amp;$C216)&gt;0,Biomes!J$1&amp;", ","")&amp;
IF(COUNTIF(Biomes!M$2:M$259,"="&amp;$C216)&gt;0,Biomes!M$1&amp;", ","")&amp;
IF(COUNTIF(Biomes!N$2:N$259,"="&amp;$C216)&gt;0,Biomes!N$1&amp;", ","")&amp;
IF(COUNTIF(Biomes!O$2:O$259,"="&amp;$C216)&gt;0,Biomes!O$1&amp;", ","")&amp;
IF(COUNTIF(Biomes!P$2:P$259,"="&amp;$C216)&gt;0,Biomes!P$1&amp;", ","")&amp;
IF(COUNTIF(Biomes!K$2:K$259,"="&amp;$C216)&gt;0,Biomes!K$1&amp;", ","")&amp;
IF(COUNTIF(Biomes!Q$3:Q$259,"="&amp;$C216)&gt;0,Biomes!Q$1&amp;", ","")&amp;
IF(COUNTIF(Biomes!L$2:L$259,"="&amp;$C216)&gt;0,Biomes!L$1&amp;", ","")&amp;
IF(COUNTIF(Biomes!E$2:E$259,"="&amp;$C216)&gt;0,Biomes!E$1&amp;", ","")&amp;IF(COUNTIF(Biomes!S$2:S$259,"="&amp;$C216)&gt;0,Biomes!S$1&amp;", ","")&amp;
IF(COUNTIF(Biomes!R$2:R$259,"="&amp;$C216)&gt;0,Biomes!R$1&amp;", ",""),", ","")
),_xlfn.XLOOKUP(B216,B:B,BX:BX))</f>
        <v>Glowforest</v>
      </c>
      <c r="BY216" s="25" t="str">
        <f>IF(_xlfn.XLOOKUP(B216,'Base stats'!B:B,'Base stats'!AJ:AJ)=1,"true","false")</f>
        <v>false</v>
      </c>
      <c r="BZ216" s="25">
        <f>IF(_xlfn.XLOOKUP(B216,'Base stats'!B:B,'Base stats'!N:N)=1,"No",MAX(0.001,MIN(MROUND(IF(AND(BJ216="True",CC216="False"),POWER(10,3.47*LOG10(_xlfn.XLOOKUP(B216,'Base stats'!B:B,'Base stats'!C:C)*1000)^-0.96),POWER(10,4.15*LOG10(_xlfn.XLOOKUP(B216,'Base stats'!B:B,'Base stats'!C:C)*1000)^-0.73))*IF(_xlfn.XLOOKUP(B216,'Base stats'!B:B,'Base stats'!AK:AK)=1,0.5,1)*IF(_xlfn.XLOOKUP(B216,'Base stats'!B:B,'Base stats'!AM:AM)=1,0.1,1)/100,IF(_xlfn.XLOOKUP(B216,'Base stats'!B:B,'Base stats'!AM:AM)=1,0.001,0.025)),0.5)))</f>
        <v>0.27500000000000002</v>
      </c>
      <c r="CA216" s="25" t="str">
        <f>IF(P216="Standard","No",MAX(0.001,MIN(MROUND(IF(AND(BJ216="True",CC216="False"),POWER(10,3.47*LOG10(_xlfn.XLOOKUP(B216,'Base stats'!B:B,'Base stats'!C:C)*1000)^-0.96),POWER(10,4.15*LOG10(_xlfn.XLOOKUP(B216,'Base stats'!B:B,'Base stats'!C:C)*1000)^-0.73))*IF(_xlfn.XLOOKUP(B216,'Base stats'!B:B,'Base stats'!AM:AM)=1,0.1,1)*_xlfn.XLOOKUP(B216,'Base stats'!B:B,'Base stats'!R:R)/100,IF(_xlfn.XLOOKUP(B216,'Base stats'!B:B,'Base stats'!AM:AM)=1,0.001,0.025)),0.5)))</f>
        <v>No</v>
      </c>
      <c r="CB216" s="25" t="str">
        <f>IF(_xlfn.XLOOKUP(_xlfn.XLOOKUP(B216,'Base stats'!B:B,'Base stats'!E:E),Groups!A:A,Groups!AJ:AJ)="Mammal","True","False")</f>
        <v>False</v>
      </c>
      <c r="CC216" s="25" t="str">
        <f>IF(OR(_xlfn.XLOOKUP(_xlfn.XLOOKUP(B216,'Base stats'!B:B,'Base stats'!E:E),Groups!A:A,Groups!AJ:AJ)="Reptile",_xlfn.XLOOKUP(_xlfn.XLOOKUP(B216,'Base stats'!B:B,'Base stats'!E:E),Groups!A:A,Groups!AJ:AJ)="Amphibian",_xlfn.XLOOKUP(_xlfn.XLOOKUP(B216,'Base stats'!B:B,'Base stats'!E:E),Groups!A:A,Groups!AJ:AJ)="Invertebrate"),"True","False")</f>
        <v>False</v>
      </c>
      <c r="CD216" s="25" t="str">
        <f t="shared" si="27"/>
        <v>False</v>
      </c>
      <c r="CE216" s="25" t="str">
        <f>IF(_xlfn.XLOOKUP(_xlfn.XLOOKUP(B216,'Base stats'!B:B,'Base stats'!E:E),Groups!A:A,Groups!AX:AX),"True","False")</f>
        <v>True</v>
      </c>
      <c r="CF216" s="25" t="str">
        <f>IF(_xlfn.XLOOKUP(_xlfn.XLOOKUP(B216,'Base stats'!B:B,'Base stats'!E:E),Groups!A:A,Groups!AY:AY),"True","False")</f>
        <v>True</v>
      </c>
      <c r="CG216" s="25" t="str">
        <f>IF(_xlfn.XLOOKUP(_xlfn.XLOOKUP(B216,'Base stats'!B:B,'Base stats'!E:E),Groups!A:A,Groups!AW:AW),"True","False")</f>
        <v>False</v>
      </c>
      <c r="CH216" s="25" t="str">
        <f>IF(
OR(
_xlfn.XLOOKUP(_xlfn.XLOOKUP(B216,'Base stats'!B:B,'Base stats'!E:E),Groups!A:A,Groups!AZ:AZ)=0,
AND(
_xlfn.XLOOKUP(B216,'Base stats'!B:B,'Base stats'!Y:Y)&lt;&gt;"Carnivore",
_xlfn.XLOOKUP(B216,'Base stats'!B:B,'Base stats'!Y:Y)&lt;&gt;"Omnivore",
_xlfn.XLOOKUP(B216,'Base stats'!B:B,'Base stats'!Y:Y)&lt;&gt;"OmnivoreRough"
)
),
"No",
IF(
_xlfn.XLOOKUP(_xlfn.XLOOKUP(B216,'Base stats'!B:B,'Base stats'!E:E),Groups!A:A,Groups!AZ:AZ)=1,
"Flesh",
IF(
_xlfn.XLOOKUP(_xlfn.XLOOKUP(B216,'Base stats'!B:B,'Base stats'!E:E),Groups!A:A,Groups!AZ:AZ)=2,
"Bone",
""
)
)
)</f>
        <v>No</v>
      </c>
      <c r="CI216" s="25" t="str">
        <f>IF(_xlfn.XLOOKUP(_xlfn.XLOOKUP(B216,'Base stats'!B:B,'Base stats'!E:E),Groups!A:A,Groups!BB:BB),"True","False")</f>
        <v>False</v>
      </c>
      <c r="CJ216" s="25" t="str">
        <f>IF(_xlfn.XLOOKUP(_xlfn.XLOOKUP(B216,'Base stats'!B:B,'Base stats'!E:E),Groups!A:A,Groups!BA:BA),"True","False")</f>
        <v>False</v>
      </c>
    </row>
    <row r="217" spans="1:88" ht="16.5" thickTop="1" thickBot="1" x14ac:dyDescent="0.3">
      <c r="A217" s="26" t="s">
        <v>1345</v>
      </c>
      <c r="B217" s="6" t="str">
        <f>_xlfn.XLOOKUP(A217,'Base stats'!A:A,'Base stats'!B:B)</f>
        <v>Mycopodium sylvestris</v>
      </c>
      <c r="C217" s="28" t="s">
        <v>1344</v>
      </c>
      <c r="D217" s="28" t="s">
        <v>1341</v>
      </c>
      <c r="E217" s="28" t="s">
        <v>673</v>
      </c>
      <c r="F217" s="28" t="s">
        <v>673</v>
      </c>
      <c r="G217" s="28" t="s">
        <v>673</v>
      </c>
      <c r="H217" s="2">
        <f>MROUND((
  (IF(AND(_xlfn.XLOOKUP(B217,'Base stats'!B:B,'Base stats'!AL:AL)=0,BI217="None",_xlfn.XLOOKUP(_xlfn.XLOOKUP(B217,'Base stats'!B:B,'Base stats'!E:E),Groups!A:A,Groups!B:B)=0), (18 + BR217 * 2.7) * 0.5,
    IF(AND(_xlfn.XLOOKUP(B217,'Base stats'!B:B,'Base stats'!AL:AL)=0,OR(AO217&lt;0.55,AND(BI217="Intermediate",_xlfn.XLOOKUP(_xlfn.XLOOKUP(B217,'Base stats'!B:B,'Base stats'!E:E),Groups!A:A,Groups!B:B)&lt;2))), (18 + BR217 * 2.7),
      IF(OR(BI217="Advanced",_xlfn.XLOOKUP(B217,'Base stats'!B:B,'Base stats'!AL:AL)=1,_xlfn.XLOOKUP(_xlfn.XLOOKUP(B217,'Base stats'!B:B,'Base stats'!E:E),Groups!A:A,Groups!B:B)=2), (18 + BR217 * 2.7) + 250, (18 + BR217 * 2.7))
    )
  ))
  + AO217 * 80
  + IF(COUNTIF(EggMilk!K$2:K$998, A217) &gt; 0, 125, 0)
  + IF(COUNTIF(EggMilk!P$2:P$998, A217) &gt; 0, 90, 0)
  + IF(COUNTIF(EggMilk!A$2:A$998, A217) &gt; 0, 90, 0)
)
* (0.8 + 0.4 * J217)
* 0.75,25)</f>
        <v>2725</v>
      </c>
      <c r="I217" s="2">
        <f>MROUND(ROUNDDOWN(_xlfn.XLOOKUP(B217,'Base stats'!B:B,'Base stats'!L:L)/3.6/(23.3/11),1),0.5)</f>
        <v>2.5</v>
      </c>
      <c r="J217" s="2">
        <f>IF(OR(_xlfn.XLOOKUP(B217,'Base stats'!B:B,'Base stats'!AB:AB)=1,_xlfn.XLOOKUP(_xlfn.XLOOKUP(B217,'Base stats'!B:B,'Base stats'!E:E),Groups!A:A,Groups!C:C)="Untamable"),1,IF(_xlfn.XLOOKUP(B217,'Base stats'!B:B,'Base stats'!AL:AL)=1,0.99,MIN(MROUND((1-0.6282*EXP(-0.459*AO217))*_xlfn.XLOOKUP(_xlfn.XLOOKUP(B217,'Base stats'!B:B,'Base stats'!E:E),Groups!A:A,Groups!C:C)*IF(_xlfn.XLOOKUP(B217,'Base stats'!B:B,'Base stats'!O:O)=1,0.5,IF(_xlfn.XLOOKUP(B217,'Base stats'!B:B,'Base stats'!O:O)=2,0,1)),0.05),IF(AO217&gt;3.5,0.985,0.95))))</f>
        <v>0.95000000000000007</v>
      </c>
      <c r="K217" s="2">
        <f>ROUNDUP(AO217*_xlfn.XLOOKUP(_xlfn.XLOOKUP(B217,'Base stats'!B:B,'Base stats'!E:E),Groups!A:A,Groups!E:E),0)</f>
        <v>5</v>
      </c>
      <c r="L217" s="2">
        <f>IF(OR(_xlfn.XLOOKUP(_xlfn.XLOOKUP(B217,'Base stats'!B:B,'Base stats'!E:E),Groups!A:A,Groups!F:F)=2,ISNUMBER(SEARCH("SeaIce",BX217)),ISNUMBER(SEARCH("IceSheet",BX217))),-50,IF(OR(ISNUMBER(SEARCH("GlacialPlain",BX217)),ISNUMBER(SEARCH("Tundra",BX217))),-40,IF(OR(ISNUMBER(SEARCH("Alpine",BX217)),ISNUMBER(SEARCH("BorealForest",BX217)),ISNUMBER(SEARCH("ColdBog",BX217))),-30,IF(OR(ISNUMBER(SEARCH("TemperateForest",BX217)),ISNUMBER(SEARCH("TemperateSwamp",BX217))),-20,IF(_xlfn.XLOOKUP(_xlfn.XLOOKUP(B217,'Base stats'!B:B,'Base stats'!E:E),Groups!A:A,Groups!F:F)=1,-15,IF(OR(ISNUMBER(SEARCH("Desert",BX217)),ISNUMBER(SEARCH("ExtremeDesert",BX217))),-10,IF(OR(ISNUMBER(SEARCH("Grasslands",BX217)),ISNUMBER(SEARCH("TropicalRainforest",BX217)),ISNUMBER(SEARCH("TropicalSwamp",BX217))),10,0)))))))-IF(CC217="False",MIN(IFERROR(MAX(MROUND(LOG10(_xlfn.XLOOKUP(B217,'Base stats'!B:B,'Base stats'!C:C)^(2/3))*10,5),5),5),30))-_xlfn.XLOOKUP(B217,'Base stats'!B:B,'Base stats'!P:P)+IF(CC217="True",5,0)</f>
        <v>-25</v>
      </c>
      <c r="M217" s="2">
        <f>IF(OR(_xlfn.XLOOKUP(_xlfn.XLOOKUP(B217,'Base stats'!B:B,'Base stats'!E:E),Groups!A:A,Groups!G:G)=2,ISNUMBER(SEARCH("Desert",BX217)),ISNUMBER(SEARCH("ExtremeDesert",BX217)),ISNUMBER(SEARCH("LavaField",BX217))),50,IF(ISNUMBER(SEARCH("Grasslands",BX217)),45,IF(OR(_xlfn.XLOOKUP(_xlfn.XLOOKUP(B217,'Base stats'!B:B,'Base stats'!E:E),Groups!A:A,Groups!G:G)=1,ISNUMBER(SEARCH("TropicalRainforest",BX217)),ISNUMBER(SEARCH("TropicalSwamp",BX217))),40,IF(OR(ISNUMBER(SEARCH("TemperateForest",BX217)),ISNUMBER(SEARCH("TemperateSwamp",BX217))),35,IF(OR(ISNUMBER(SEARCH("Alpine",BX217)),ISNUMBER(SEARCH("BorealForest",BX217)),ISNUMBER(SEARCH("ColdBog",BX217))),30,IF(ISNUMBER(OR(ISNUMBER(SEARCH("GlacialPlain",BX217)),SEARCH("Tundra",BX217))),25,IF(OR(ISNUMBER(SEARCH("SeaIce",BX217)),ISNUMBER(SEARCH("IceSheet",BX217)),ISNUMBER(SEARCH("TropicalSwamp",BX217))),10,35)))))))+_xlfn.XLOOKUP(B217,'Base stats'!B:B,'Base stats'!Q:Q)</f>
        <v>35</v>
      </c>
      <c r="N217" s="8">
        <f>IF(
_xlfn.XLOOKUP(
_xlfn.XLOOKUP(B217,'Base stats'!B:B,'Base stats'!E:E),
Groups!A:A,
Groups!L:L
)=1,
MIN(
MROUND(
IF(
_xlfn.XLOOKUP(B217,'Animals CE'!B:B,'Animals CE'!Z:Z)&lt;=1.5,
_xlfn.XLOOKUP(B217,'Animals CE'!B:B,'Animals CE'!Z:Z)/2+0.05,
0.8+
(_xlfn.XLOOKUP(B217,'Animals CE'!B:B,'Animals CE'!Z:Z)-1.5)
*0.02
),
0.05
),
200%
),
"No"
)</f>
        <v>1.05</v>
      </c>
      <c r="O217" s="8">
        <f>IF(
_xlfn.XLOOKUP(
_xlfn.XLOOKUP(B217,'Base stats'!B:B,'Base stats'!E:E),
Groups!A:A,
Groups!L:L
)=1,
MIN(
MROUND(
IF(
_xlfn.XLOOKUP(B217,'Animals CE'!B:B,'Animals CE'!AA:AA)&lt;=1.5,
_xlfn.XLOOKUP(B217,'Animals CE'!B:B,'Animals CE'!AA:AA)/2+0.05,
0.8+
(_xlfn.XLOOKUP(B217,'Animals CE'!B:B,'Animals CE'!AA:AA)-1.5)
*0.02
),
0.05
),
200%
),
"No"
)</f>
        <v>2</v>
      </c>
      <c r="P217" s="2" t="str">
        <f>_xlfn.XLOOKUP(B217,'Base stats'!B:B,'Base stats'!R:R)</f>
        <v>Standard</v>
      </c>
      <c r="Q217" s="13">
        <f>MROUND((LOG10(_xlfn.XLOOKUP(B217,'Base stats'!B:B,'Base stats'!AR:AR))*(AO217^0.5)+(_xlfn.XLOOKUP(B217,'Base stats'!B:B,'Base stats'!AR:AR)/1000)^(2/3)+_xlfn.XLOOKUP(B217,'Base stats'!B:B,'Base stats'!BA:BA)/2)+0.5,0.5)</f>
        <v>37</v>
      </c>
      <c r="R217" s="7">
        <f>IF(Q217="No","No",MAX(1,MROUND(_xlfn.XLOOKUP(B217,'Base stats'!B:B,'Base stats'!C:C)^0.165,0.05)))</f>
        <v>4.1000000000000005</v>
      </c>
      <c r="S217" s="13" t="str">
        <f>IF(_xlfn.XLOOKUP(_xlfn.XLOOKUP(B217,'Base stats'!B:B,'Base stats'!E:E),Groups!A:A,Groups!P:P)=0,"No",MROUND((LOG10(_xlfn.XLOOKUP(B217,'Base stats'!B:B,'Base stats'!AS:AS))*(AO217^0.5)+(_xlfn.XLOOKUP(B217,'Base stats'!B:B,'Base stats'!AS:AS)/1000)^(2/3)+_xlfn.XLOOKUP(B217,'Base stats'!B:B,'Base stats'!BA:BA))+_xlfn.XLOOKUP(B217,'Base stats'!B:B,'Base stats'!AY:AY)+0.5,0.5))</f>
        <v>No</v>
      </c>
      <c r="T217" s="7" t="str">
        <f>IF(S217="No","No",MAX(_xlfn.XLOOKUP(_xlfn.XLOOKUP(B217,'Base stats'!B:B,'Base stats'!E:E),Groups!A:A,Groups!Q:Q),MROUND(_xlfn.XLOOKUP(_xlfn.XLOOKUP(B217,'Base stats'!B:B,'Base stats'!E:E),Groups!A:A,Groups!Q:Q)*_xlfn.XLOOKUP(B217,'Base stats'!B:B,'Base stats'!C:C)^0.165,0.05)))</f>
        <v>No</v>
      </c>
      <c r="U217" s="7" t="str">
        <f>IF(S217="No","No",_xlfn.XLOOKUP(_xlfn.XLOOKUP(B217,'Base stats'!B:B,'Base stats'!E:E),Groups!A:A,Groups!R:R))</f>
        <v>No</v>
      </c>
      <c r="V217" s="7" t="str">
        <f>IF(S217="No","No",_xlfn.XLOOKUP(_xlfn.XLOOKUP(B217,'Base stats'!B:B,'Base stats'!E:E),Groups!A:A,Groups!S:S))</f>
        <v>No</v>
      </c>
      <c r="W217" s="7" t="str">
        <f>IF(S217="No","No",_xlfn.XLOOKUP(_xlfn.XLOOKUP(B217,'Base stats'!B:B,'Base stats'!E:E),Groups!A:A,Groups!T:T))</f>
        <v>No</v>
      </c>
      <c r="X217" s="13" t="str">
        <f>IF(_xlfn.XLOOKUP(B217,'Base stats'!B:B,'Base stats'!W:W)="No","No",MROUND((LOG10(_xlfn.XLOOKUP(B217,'Base stats'!B:B,'Base stats'!AU:AU))*(AO217^0.5)+(_xlfn.XLOOKUP(B217,'Base stats'!B:B,'Base stats'!AU:AU)/1000)^(2/3)+_xlfn.XLOOKUP(B217,'Base stats'!B:B,'Base stats'!AZ:AZ))+0.5+IF(_xlfn.XLOOKUP(_xlfn.XLOOKUP(B217,'Base stats'!B:B,'Base stats'!E:E),Groups!A:A,Groups!U:U)&lt;&gt;3,_xlfn.XLOOKUP(B217,'Base stats'!B:B,'Base stats'!BA:BA),0),0.5))</f>
        <v>No</v>
      </c>
      <c r="Y217" s="7" t="str">
        <f>IF(X217="No","No",MAX(_xlfn.XLOOKUP(_xlfn.XLOOKUP(B217,'Base stats'!B:B,'Base stats'!E:E),Groups!A:A,Groups!V:V),MROUND(_xlfn.XLOOKUP(_xlfn.XLOOKUP(B217,'Base stats'!B:B,'Base stats'!E:E),Groups!A:A,Groups!V:V)*_xlfn.XLOOKUP(B217,'Base stats'!B:B,'Base stats'!C:C)^0.165,0.05)))</f>
        <v>No</v>
      </c>
      <c r="Z217" s="7" t="str">
        <f>IF(X217="No","No",_xlfn.XLOOKUP(_xlfn.XLOOKUP(B217,'Base stats'!B:B,'Base stats'!E:E),Groups!A:A,Groups!W:W))</f>
        <v>No</v>
      </c>
      <c r="AA217" s="7" t="str">
        <f>IF(X217="No","No",_xlfn.XLOOKUP(_xlfn.XLOOKUP(B217,'Base stats'!B:B,'Base stats'!E:E),Groups!A:A,Groups!X:X))</f>
        <v>No</v>
      </c>
      <c r="AB217" s="7" t="str">
        <f>IF(X217="No","No",_xlfn.XLOOKUP(_xlfn.XLOOKUP(B217,'Base stats'!B:B,'Base stats'!E:E),Groups!A:A,Groups!Y:Y))</f>
        <v>No</v>
      </c>
      <c r="AC217" s="7" t="str">
        <f>_xlfn.XLOOKUP(Animals!B217,'Base stats'!B:B,'Base stats'!X:X)</f>
        <v>False</v>
      </c>
      <c r="AD217" s="13">
        <f>IF(_xlfn.XLOOKUP(B217,'Base stats'!B:B,'Base stats'!AT:AT)="No","No",MROUND((LOG10(_xlfn.XLOOKUP(B217,'Base stats'!B:B,'Base stats'!AT:AT))*(AO217^0.75)+(_xlfn.XLOOKUP(B217,'Base stats'!B:B,'Base stats'!AT:AT)/1000)^(2/3)+_xlfn.XLOOKUP(B217,'Base stats'!B:B,'Base stats'!AX:AX)+_xlfn.XLOOKUP(B217,'Base stats'!B:B,'Base stats'!BA:BA))+0.5,0.5))</f>
        <v>52.5</v>
      </c>
      <c r="AE217" s="7">
        <f>IF(AD217="No","No",MAX(_xlfn.XLOOKUP(_xlfn.XLOOKUP(B217,'Base stats'!B:B,'Base stats'!E:E),Groups!A:A,Groups!Z:Z),MROUND(_xlfn.XLOOKUP(_xlfn.XLOOKUP(B217,'Base stats'!B:B,'Base stats'!E:E),Groups!A:A,Groups!Z:Z)*_xlfn.XLOOKUP(B217,'Base stats'!B:B,'Base stats'!C:C)^0.165,0.05)))</f>
        <v>4.1000000000000005</v>
      </c>
      <c r="AF217" s="7" t="str">
        <f>IF(AD217="No","No",_xlfn.XLOOKUP(_xlfn.XLOOKUP(B217,'Base stats'!B:B,'Base stats'!E:E),Groups!A:A,Groups!AA:AA))</f>
        <v>Teeth</v>
      </c>
      <c r="AG217" s="7" t="str">
        <f>IF(AD217="No","No",_xlfn.XLOOKUP(_xlfn.XLOOKUP(B217,'Base stats'!B:B,'Base stats'!E:E),Groups!A:A,Groups!AB:AB))</f>
        <v>teeth</v>
      </c>
      <c r="AH217" s="7" t="str">
        <f>IF(AD217="No","No",_xlfn.XLOOKUP(_xlfn.XLOOKUP(B217,'Base stats'!B:B,'Base stats'!E:E),Groups!A:A,Groups!AC:AC))</f>
        <v>ToxicBite</v>
      </c>
      <c r="AI217" s="13">
        <f>IF(_xlfn.XLOOKUP(_xlfn.XLOOKUP(B217,'Base stats'!B:B,'Base stats'!E:E),Groups!A:A,Groups!AD:AD)=0,"No",MROUND((LOG10(_xlfn.XLOOKUP(B217,'Base stats'!B:B,'Base stats'!AS:AS))*(AO217^0.75)+(_xlfn.XLOOKUP(B217,'Base stats'!B:B,'Base stats'!AS:AS)/1000)^(2/3)+_xlfn.XLOOKUP(B217,'Base stats'!B:B,'Base stats'!AY:AY)+_xlfn.XLOOKUP(B217,'Base stats'!B:B,'Base stats'!BA:BA))+0.5,0.5))</f>
        <v>53.5</v>
      </c>
      <c r="AJ217" s="7">
        <f>IF(AI217="No","No",MAX(_xlfn.XLOOKUP(_xlfn.XLOOKUP(B217,'Base stats'!B:B,'Base stats'!E:E),Groups!A:A,Groups!AE:AE),MROUND(_xlfn.XLOOKUP(_xlfn.XLOOKUP(B217,'Base stats'!B:B,'Base stats'!E:E),Groups!A:A,Groups!AE:AE)*IF(_xlfn.XLOOKUP(_xlfn.XLOOKUP(B217,'Base stats'!B:B,'Base stats'!E:E),Groups!A:A,Groups!AJ:AJ)="Photonozoa",0.6,1)*_xlfn.XLOOKUP(B217,'Base stats'!B:B,'Base stats'!C:C)^0.165,0.05)))</f>
        <v>2.85</v>
      </c>
      <c r="AK217" s="7" t="str">
        <f>IF(AI217="No","No",_xlfn.XLOOKUP(_xlfn.XLOOKUP(B217,'Base stats'!B:B,'Base stats'!E:E),Groups!A:A,Groups!AF:AF))</f>
        <v>FrontLeftPaw, FrontRightPaw</v>
      </c>
      <c r="AL217" s="7" t="str">
        <f>IF(AI217="No","No",_xlfn.XLOOKUP(_xlfn.XLOOKUP(B217,'Base stats'!B:B,'Base stats'!E:E),Groups!A:A,Groups!AG:AG))</f>
        <v>left claw, right claw</v>
      </c>
      <c r="AM217" s="7" t="str">
        <f>IF(AI217="No","No",_xlfn.XLOOKUP(_xlfn.XLOOKUP(B217,'Base stats'!B:B,'Base stats'!E:E),Groups!A:A,Groups!AH:AH))</f>
        <v>Scratch</v>
      </c>
      <c r="AN217" s="2" t="str">
        <f t="shared" si="21"/>
        <v>No</v>
      </c>
      <c r="AO217" s="2">
        <f>MROUND(IF(AND(_xlfn.XLOOKUP(B217,'Base stats'!B:B,'Base stats'!C:C)&gt;=0.5,_xlfn.XLOOKUP(B217,'Base stats'!B:B,'Base stats'!C:C)&lt;=0.8),
IF(_xlfn.XLOOKUP(B217,'Base stats'!B:B,'Base stats'!C:C)&lt;0.1,0.05,IF(_xlfn.XLOOKUP(B217,'Base stats'!B:B,'Base stats'!C:C)&lt;=70,(_xlfn.XLOOKUP(B217,'Base stats'!B:B,'Base stats'!C:C)/70)^0.426489913056526,IF(_xlfn.XLOOKUP(B217,'Base stats'!B:B,'Base stats'!C:C)&lt;=400,(_xlfn.XLOOKUP(B217,'Base stats'!B:B,'Base stats'!C:C)/70)^0.572811455315093,IF(_xlfn.XLOOKUP(B217,'Base stats'!B:B,'Base stats'!C:C)&lt;=2000,2.71391647193063*(_xlfn.XLOOKUP(B217,'Base stats'!B:B,'Base stats'!C:C)/400)^0.252459582904293,3.74314280240376*(_xlfn.XLOOKUP(B217,'Base stats'!B:B,'Base stats'!C:C)/2000)^0.357012633876913)))),
IF(_xlfn.XLOOKUP(B217,'Base stats'!B:B,'Base stats'!C:C)&lt;0.1,0.05,IF(_xlfn.XLOOKUP(B217,'Base stats'!B:B,'Base stats'!C:C)&lt;0.4,0.1,IF(_xlfn.XLOOKUP(B217,'Base stats'!B:B,'Base stats'!C:C)&lt;=70,(_xlfn.XLOOKUP(B217,'Base stats'!B:B,'Base stats'!C:C)/70)^0.445823913056526,IF(_xlfn.XLOOKUP(B217,'Base stats'!B:B,'Base stats'!C:C)&lt;=400,(_xlfn.XLOOKUP(B217,'Base stats'!B:B,'Base stats'!C:C)/70)^0.572811455315093,IF(_xlfn.XLOOKUP(B217,'Base stats'!B:B,'Base stats'!C:C)&lt;=2000,2.71391647193063*(_xlfn.XLOOKUP(B217,'Base stats'!B:B,'Base stats'!C:C)/400)^0.252459582904293,3.74314280240376*(_xlfn.XLOOKUP(B217,'Base stats'!B:B,'Base stats'!C:C)/2000)^0.357012633876913)))))),
IF(_xlfn.XLOOKUP(B217,'Base stats'!B:B,'Base stats'!C:C)&lt;0.1,0.05,IF(_xlfn.XLOOKUP(B217,'Base stats'!B:B,'Base stats'!C:C)&lt;=100,0.05,IF(_xlfn.XLOOKUP(B217,'Base stats'!B:B,'Base stats'!C:C)&lt;=250,0.1,IF(_xlfn.XLOOKUP(B217,'Base stats'!B:B,'Base stats'!C:C)&lt;=4000,0.25,0.5)))))</f>
        <v>5</v>
      </c>
      <c r="AP217" s="8">
        <f>MROUND(AO217*_xlfn.XLOOKUP(_xlfn.XLOOKUP(B217,'Base stats'!B:B,'Base stats'!E:E),Groups!A:A,Groups!AI:AI)*_xlfn.XLOOKUP(B217,'Base stats'!B:B,'Base stats'!Z:Z),0.05)</f>
        <v>5</v>
      </c>
      <c r="AQ217" s="8">
        <f>MAX(0.01,MROUND(IF(CC217="True",0.196*(AO217*100*1000)^0.889,IF(_xlfn.XLOOKUP(_xlfn.XLOOKUP(B217,'Base stats'!B:B,'Base stats'!E:E),Groups!A:A,Groups!AJ:AJ)="Bird",10.5*(AO217*100*1000)^0.681,4.82*(AO217*100*1000)^0.734))/(4.82*(1*100*1000)^0.734)/IF(AO217&lt;3.5,2,IF(AO217=3.5,1.5,1.25))*(1+0.132282374779864/(AO217^0.994035016789033+0.00905238001496948)),0.05))</f>
        <v>2.7</v>
      </c>
      <c r="AR217" s="9">
        <f>IFERROR(MROUND(_xlfn.XLOOKUP(B217,'Base stats'!B:B,'Base stats'!H:H)/IF(_xlfn.XLOOKUP(B217,'Base stats'!B:B,'Base stats'!I:I)&lt;&gt;1,(122.5/70),1.2),IF(_xlfn.XLOOKUP(B217,'Base stats'!B:B,'Base stats'!H:H)&gt;=30,5,IF(_xlfn.XLOOKUP(B217,'Base stats'!B:B,'Base stats'!H:H)&gt;=15,3,IF(_xlfn.XLOOKUP(B217,'Base stats'!B:B,'Base stats'!H:H)&gt;=10,2,1)))),"Immortal")</f>
        <v>60</v>
      </c>
      <c r="AS217" s="35" t="str">
        <f>IFERROR(IF(OR(_xlfn.XLOOKUP(B217,'Base stats'!B:B,'Base stats'!F:F)="Atypical reproduction",_xlfn.XLOOKUP(B217,'Base stats'!B:B,'Base stats'!F:F)="Lay eggs"),"Lay eggs",MIN(20,MAX(5.5,ROUND(((_xlfn.XLOOKUP(B217,'Base stats'!B:B,'Base stats'!F:F)-25)*(14.5/615) + 5.5)*2,0)/2))),"Unknown")</f>
        <v>Lay eggs</v>
      </c>
      <c r="AT217" s="8">
        <f>IF(_xlfn.XLOOKUP(B217,'Base stats'!B:B,'Base stats'!G:G)="Atypical reproduction","No",IFERROR(MAX(IF(_xlfn.XLOOKUP(B217,'Base stats'!B:B,'Base stats'!G:G)&lt;0.5,0.2,0.3),MROUND(_xlfn.XLOOKUP(B217,'Base stats'!B:B,'Base stats'!G:G)/(365/60),0.2)),"Unknown"))</f>
        <v>1</v>
      </c>
      <c r="AU217" s="8">
        <f t="shared" si="22"/>
        <v>0.5</v>
      </c>
      <c r="AV217" s="8" t="str">
        <f>IFERROR(IFERROR(MROUND(_xlfn.XLOOKUP(B217,'Base stats'!B:B,'Base stats'!J:J),0.1),"Lay eggs"),"Cannot breed")</f>
        <v>Lay eggs</v>
      </c>
      <c r="AW217" s="2" t="str">
        <f t="shared" si="23"/>
        <v>false</v>
      </c>
      <c r="AX217" s="2" t="str">
        <f>IF(_xlfn.XLOOKUP(_xlfn.XLOOKUP(Animals!B217,'Base stats'!B:B,'Base stats'!E:E),Groups!A:A,Groups!AK:AK)=1,"true","false")</f>
        <v>false</v>
      </c>
      <c r="AY217" s="25" t="str">
        <f>IF(_xlfn.XLOOKUP(B217,'Base stats'!B:B,'Base stats'!Y:Y)="Liquor","Liquor, CarnivoreAnimalStrict",IF(AND(_xlfn.XLOOKUP(B217,'Base stats'!B:B,'Base stats'!Y:Y)="Carnivore",_xlfn.XLOOKUP(_xlfn.XLOOKUP(B217,'Base stats'!B:B,'Base stats'!E:E),Groups!A:A,Groups!AJ:AJ)="Photonozoa"),"CarnivoreAnimalStrict, OvivoreAnimal",IF(_xlfn.XLOOKUP(B217,'Base stats'!B:B,'Base stats'!Y:Y)="Carnivore","CarnivoreAnimal, OvivoreAnimal",IF(_xlfn.XLOOKUP(B217,'Base stats'!B:B,'Base stats'!Y:Y)="Dendrovore","VegetarianRoughAnimal, DendrovoreAnimal",IF(_xlfn.XLOOKUP(B217,'Base stats'!B:B,'Base stats'!Y:Y)="Herbivore","VegetarianRoughAnimal",IF(_xlfn.XLOOKUP(B217,'Base stats'!B:B,'Base stats'!Y:Y)="OmnivoreRough","OmnivoreRoughAnimal, OvivoreAnimal","OmnivoreAnimal, OvivoreAnimal"))))))</f>
        <v>VegetarianRoughAnimal</v>
      </c>
      <c r="AZ217" s="2" t="str">
        <f>IF(_xlfn.XLOOKUP(_xlfn.XLOOKUP(B217,'Base stats'!B:B,'Base stats'!E:E),Groups!A:A,Groups!D:D)=1,MROUND((1-J217)*5+1,2)*IF(J217&lt;=0.4,2,1),"No")</f>
        <v>No</v>
      </c>
      <c r="BA217" s="2" t="str">
        <f>IF(AND(_xlfn.XLOOKUP(B217,'Base stats'!B:B,'Base stats'!AH:AH)="&lt;li&gt;Seal&lt;/li&gt;",G217="Odyssey"),"&lt;li&gt;AEXP_Seal&lt;/li&gt;",_xlfn.XLOOKUP(B217,'Base stats'!B:B,'Base stats'!AH:AH))</f>
        <v>No</v>
      </c>
      <c r="BB217" s="2" t="str">
        <f>_xlfn.XLOOKUP(B217,'Base stats'!B:B,'Base stats'!AG:AG)</f>
        <v>No</v>
      </c>
      <c r="BC217" s="23" t="str">
        <f>_xlfn.XLOOKUP(_xlfn.XLOOKUP(B217,'Base stats'!B:B,'Base stats'!E:E),Groups!A:A,Groups!AL:AL)</f>
        <v>QuadrupedAnimalWithPaws</v>
      </c>
      <c r="BD217" s="23">
        <f>MIN(1,MROUND(IF(AND(AO217&lt;0.5,_xlfn.XLOOKUP(B217,'Base stats'!B:B,'Base stats'!AA:AA)=0),0,IF(OR(_xlfn.XLOOKUP(Animals!B217,'Base stats'!B:B,'Base stats'!O:O)=2,_xlfn.XLOOKUP(_xlfn.XLOOKUP(B217,'Base stats'!B:B,'Base stats'!E:E),Groups!A:A,Groups!AN:AN)=0),0,_xlfn.XLOOKUP(_xlfn.XLOOKUP(B217,'Base stats'!B:B,'Base stats'!E:E),Groups!A:A,Groups!AN:AN)/IF(_xlfn.XLOOKUP(Animals!B217,'Base stats'!B:B,'Base stats'!O:O)=1,2,1)))+_xlfn.XLOOKUP(B217,'Base stats'!B:B,'Base stats'!AC:AC),0.005))</f>
        <v>0.1</v>
      </c>
      <c r="BE217" s="23">
        <f>MIN(1,MROUND(IF(AND(AO217&lt;0.5,_xlfn.XLOOKUP(B217,'Base stats'!B:B,'Base stats'!AA:AA)=0),0,IF(_xlfn.XLOOKUP(_xlfn.XLOOKUP(B217,'Base stats'!B:B,'Base stats'!E:E),Groups!A:A,Groups!AO:AO)=0,0,_xlfn.XLOOKUP(_xlfn.XLOOKUP(B217,'Base stats'!B:B,'Base stats'!E:E),Groups!A:A,Groups!AO:AO)/IF(_xlfn.XLOOKUP(Animals!B217,'Base stats'!B:B,'Base stats'!O:O)=2,3,1)))+_xlfn.XLOOKUP(B217,'Base stats'!B:B,'Base stats'!AD:AD),0.005))</f>
        <v>0.3</v>
      </c>
      <c r="BF217" s="2" t="str">
        <f>IF(J217&gt;0.3,"No",_xlfn.XLOOKUP(_xlfn.XLOOKUP(Animals!B217,'Base stats'!B:B,'Base stats'!E:E),Groups!A:A,Groups!AP:AP))</f>
        <v>No</v>
      </c>
      <c r="BG217" s="2" t="str">
        <f>IF(AND(J217&lt;=0.65,_xlfn.XLOOKUP(_xlfn.XLOOKUP(Animals!B217,'Base stats'!B:B,'Base stats'!E:E),Groups!A:A,Groups!AP:AP)&lt;&gt;"No",_xlfn.XLOOKUP(_xlfn.XLOOKUP(B217,'Base stats'!B:B,'Base stats'!E:E),Groups!A:A,Groups!D:D)=0),MROUND((80/3)*IF(_xlfn.XLOOKUP(B217,'Base stats'!B:B,'Base stats'!O:O)=2,0.2,AO217) + 24*(1-IF(BF217="No",0,BF217)) + 16/3, 12),"No")</f>
        <v>No</v>
      </c>
      <c r="BH217" s="2">
        <f>IF(AND(_xlfn.XLOOKUP(_xlfn.XLOOKUP(B217,'Base stats'!B:B,'Base stats'!E:E),Groups!A:A,Groups!AQ:AQ)=1,AO217&lt;=0.35),8,12)</f>
        <v>12</v>
      </c>
      <c r="BI217" s="2" t="str">
        <f>IF(_xlfn.XLOOKUP(_xlfn.XLOOKUP(B217,'Base stats'!B:B,'Base stats'!E:E),Groups!A:A,Groups!D:D)=0,_xlfn.XLOOKUP(_xlfn.XLOOKUP(B217,'Base stats'!B:B,'Base stats'!E:E),Groups!A:A,Groups!AR:AR),"None")</f>
        <v>Intermediate</v>
      </c>
      <c r="BJ217" s="2" t="str">
        <f>IF(AND(_xlfn.XLOOKUP(_xlfn.XLOOKUP(B217,'Base stats'!B:B,'Base stats'!E:E),Groups!A:A,Groups!AS:AS)=1,OR(_xlfn.XLOOKUP(B217,'Base stats'!B:B,'Base stats'!Y:Y)="Carnivore",_xlfn.XLOOKUP(B217,'Base stats'!B:B,'Base stats'!Y:Y)="Omnivore")),"true","false")</f>
        <v>false</v>
      </c>
      <c r="BK217" s="2" t="str">
        <f>IF(BJ217="true",MROUND(IF(AND(AO217&gt;0.5,OR(_xlfn.XLOOKUP(_xlfn.XLOOKUP(B217,'Base stats'!B:B,'Base stats'!E:E),Groups!A:A,Groups!AJ:AJ)="Photonozoa",_xlfn.XLOOKUP(_xlfn.XLOOKUP(B217,'Base stats'!B:B,'Base stats'!E:E),Groups!A:A,Groups!AJ:AJ)="Mammal")),Animals!AO217*1.75*IF(AW217="true",1.5,1),IF(AO217&lt;0.5,Animals!AO217*0.5,Animals!AO217)),IF(AO217&gt;2,0.5,IF(AO217&gt;0.5,0.25,0.1))),"No")</f>
        <v>No</v>
      </c>
      <c r="BL217" s="2">
        <f t="shared" si="24"/>
        <v>1</v>
      </c>
      <c r="BM217" s="25" t="str">
        <f>IF(_xlfn.XLOOKUP(B217,'Base stats'!B:B,'Base stats'!AN:AN)="Standard","No",MROUND((_xlfn.XLOOKUP(B217,'Base stats'!B:B,'Base stats'!AN:AN)/3.6)/I217,0.1))</f>
        <v>No</v>
      </c>
      <c r="BN217" s="25" t="str">
        <f t="shared" si="25"/>
        <v>false</v>
      </c>
      <c r="BO217" s="25" t="str">
        <f>IF(AND(OR(_xlfn.XLOOKUP(B217,'Base stats'!B:B,'Base stats'!Y:Y)="Carnivore",_xlfn.XLOOKUP(B217,'Base stats'!B:B,'Base stats'!Y:Y)="Omnivore",_xlfn.XLOOKUP(B217,'Base stats'!B:B,'Base stats'!Y:Y)="OmnivoreRough"),_xlfn.XLOOKUP(_xlfn.XLOOKUP(B217,'Base stats'!B:B,'Base stats'!E:E),Groups!A:A,Groups!AT:AT)=1),"true","false")</f>
        <v>false</v>
      </c>
      <c r="BP217" s="25" t="str" cm="1">
        <f t="array" ref="BP217">IF(
  _xlfn.TEXTJOIN(", ",TRUE,
    IF(AND(BJ217="true",AO217&gt;0.5,BI217&lt;&gt;"None"),"AttackTarget",""),
    IF(AND(_xlfn.XLOOKUP(_xlfn.XLOOKUP(B217,'Base stats'!B:B,'Base stats'!E:E),Groups!A:A,Groups!AJ:AJ="Mammal"),OR(_xlfn.XLOOKUP(B217,'Base stats'!B:B,'Base stats'!Y:Y)="Omnivore",_xlfn.XLOOKUP(B217,'Base stats'!B:B,'Base stats'!Y:Y)="OmnivoreRough")),"Forage",""),
    IF(BG217&lt;=36,"Comfort",""),
    IF(_xlfn.XLOOKUP(B217,'Base stats'!B:B,'Base stats'!AE:AE)&lt;&gt;"No",_xlfn.XLOOKUP(B217,'Base stats'!B:B,'Base stats'!AE:AE),"")
  ) = "",
  "No",
  _xlfn.TEXTJOIN(", ",TRUE,
    IF(AND(BJ217="true",AO217&gt;0.5,BI217&lt;&gt;"None"),"AttackTarget",""),
    IF(AND(_xlfn.XLOOKUP(_xlfn.XLOOKUP(B217,'Base stats'!B:B,'Base stats'!E:E),Groups!A:A,Groups!AJ:AJ="Mammal"),OR(_xlfn.XLOOKUP(B217,'Base stats'!B:B,'Base stats'!Y:Y)="Omnivore",_xlfn.XLOOKUP(B217,'Base stats'!B:B,'Base stats'!Y:Y)="OmnivoreRough")),"Forage",""),
    IF(BG217&lt;=36,"Comfort",""),
    IF(_xlfn.XLOOKUP(B217,'Base stats'!B:B,'Base stats'!AE:AE)&lt;&gt;"No",_xlfn.XLOOKUP(B217,'Base stats'!B:B,'Base stats'!AE:AE),"")
  )
)</f>
        <v>No</v>
      </c>
      <c r="BQ217" s="25" t="str">
        <f>IF(
   AND(
      'Base stats'!AN217="Standard",_xlfn.XLOOKUP(_xlfn.XLOOKUP(B217,'Base stats'!B:B,'Base stats'!E:E),Groups!A:A,Groups!AU:AU)=0,
      OR(
      BO217="True"
      )
   ),
   10,
   IF(
       OR(BM217&lt;&gt;"No",_xlfn.XLOOKUP(_xlfn.XLOOKUP(B217,'Base stats'!B:B,'Base stats'!E:E),Groups!A:A,Groups!AU:AU)=1),
      1,
      "No"
   )
)</f>
        <v>No</v>
      </c>
      <c r="BR217" s="9">
        <f>MROUND((1 + ((0.2*IF(OR(Q217="No",R217="No",R217=0),0,Q217/R217)
+IF(OR(V217="No",S217="No",T217="No"),0,S217/T217*(LEN(V217)-LEN(SUBSTITUTE(V217,",",""))+1))
+IF(OR(X217="No",Y217="No"),0,X217/Y217)
+IF(OR(AD217="No",AE217="No"),0,AD217/AE217)
+IF(OR(AL217="No",AI217="No",AJ217="No"),0,AI217/AJ217*(LEN(AL217)-LEN(SUBSTITUTE(AL217,",",""))+1))
)/(0.2*IF(OR(Q217="No",R217="No",R217=0),0,1)
+IF(OR(V217="No",S217="No",T217="No"),0,LEN(V217)-LEN(SUBSTITUTE(V217,",",""))+1)
+IF(OR(X217="No",Y217="No"),0,1)
+IF(OR(AD217="No",AE217="No"),0,1)
+IF(OR(AL217="No",AI217="No",AJ217="No"),0,LEN(AL217)-LEN(SUBSTITUTE(AL217,",",""))+1))*62%)* 2)*(1 + (AP217 / (IF(_xlfn.XLOOKUP(_xlfn.XLOOKUP(B217,'Base stats'!B:B,'Base stats'!E:E),Groups!A:A,Groups!AJ:AJ)="Photonozoa",0.3,1)) + _xlfn.XLOOKUP(B217,'Base stats'!B:B,'Base stats'!AV:AV) * 1.8) * 2) * 2.5 + 10 + I217 * 2,5)+IF(_xlfn.XLOOKUP(B217,'Base stats'!B:B,'Base stats'!AK:AK)=1,50,0)</f>
        <v>890</v>
      </c>
      <c r="BS217" s="8">
        <f t="shared" si="26"/>
        <v>3.1500000000000004</v>
      </c>
      <c r="BT217" s="8" t="str">
        <f>_xlfn.XLOOKUP(B217,'Base stats'!B:B,'Base stats'!AF:AF)</f>
        <v>No</v>
      </c>
      <c r="BU217" s="2" t="str">
        <f>IF(AND(J217&lt;=0.95,OR(_xlfn.XLOOKUP(B217,'Base stats'!B:B,'Base stats'!AK:AK)=1,_xlfn.XLOOKUP(B217,'Base stats'!B:B,'Base stats'!Y:Y)="Carnivore",_xlfn.XLOOKUP(B217,'Base stats'!B:B,'Base stats'!Y:Y)="Omnivore",BE217&gt;0.1)),"true","false")</f>
        <v>true</v>
      </c>
      <c r="BV217" s="2" t="str">
        <f>IF(_xlfn.XLOOKUP(B217,'Base stats'!B:B,'Base stats'!AI:AI)=1,"true","false")</f>
        <v>false</v>
      </c>
      <c r="BW217" s="25" t="str">
        <f>IF(E217="BaseInsect","AnimalInsect",
IF(J217&gt;0.95,"AnimalExotic",
_xlfn.TEXTJOIN(", ",TRUE,
IF(OR(_xlfn.XLOOKUP(B217,'Base stats'!B:B,'Base stats'!AM:AM)=1,AND(_xlfn.XLOOKUP(B217,'Base stats'!B:B,'Base stats'!O:O)=0,_xlfn.XLOOKUP(_xlfn.XLOOKUP(B217,'Base stats'!B:B,'Base stats'!E:E),Groups!A:A,Groups!B:B)&gt;0)),"AnimalUncommon","AnimalCommon"),
IF(AND(_xlfn.XLOOKUP(B217,'Base stats'!B:B,'Base stats'!O:O)=2,_xlfn.XLOOKUP(_xlfn.XLOOKUP(B217,'Base stats'!B:B,'Base stats'!E:E),Groups!A:A,Groups!D:D)=0),"AnimalPet",IF(AND(_xlfn.XLOOKUP(B217,'Base stats'!B:B,'Base stats'!O:O)&lt;&gt;0,_xlfn.XLOOKUP(_xlfn.XLOOKUP(B217,'Base stats'!B:B,'Base stats'!E:E),Groups!A:A,Groups!D:D)&lt;&gt;0),"AnimalFarm","")),
IF(OR(_xlfn.XLOOKUP(B217,'Base stats'!B:B,'Base stats'!AK:AK)=1,AND(BI217&lt;&gt;"None",BR217&gt;=60),ISNUMBER(SEARCH("Attack target",BP217))),"AnimalFighter","")
)))</f>
        <v>AnimalUncommon, AnimalFighter</v>
      </c>
      <c r="BX217" s="25" t="str">
        <f>IF(G217="None",TRIM(
SUBSTITUTE(
IF(COUNTIF(Biomes!B$2:B$259,"="&amp;$C217)&gt;0,Biomes!B$1&amp;", ","")&amp;
IF(COUNTIF(Biomes!C$2:C$259,"="&amp;$C217)&gt;0,Biomes!C$1&amp;", ","")&amp;
IF(COUNTIF(Biomes!D$2:D$259,"="&amp;$C217)&gt;0,Biomes!D$1&amp;", ","")&amp;
IF(COUNTIF(Biomes!F$2:F$259,"="&amp;$C217)&gt;0,Biomes!F$1&amp;", ","")&amp;
IF(COUNTIF(Biomes!G$2:G$259,"="&amp;$C217)&gt;0,Biomes!G$1&amp;", ","")&amp;
IF(COUNTIF(Biomes!H$2:H$259,"="&amp;$C217)&gt;0,Biomes!H$1&amp;", ","")&amp;
IF(COUNTIF(Biomes!I$2:I$259,"="&amp;$C217)&gt;0,Biomes!I$1&amp;", ","")&amp;
IF(COUNTIF(Biomes!J$2:J$259,"="&amp;$C217)&gt;0,Biomes!J$1&amp;", ","")&amp;
IF(COUNTIF(Biomes!M$2:M$259,"="&amp;$C217)&gt;0,Biomes!M$1&amp;", ","")&amp;
IF(COUNTIF(Biomes!N$2:N$259,"="&amp;$C217)&gt;0,Biomes!N$1&amp;", ","")&amp;
IF(COUNTIF(Biomes!O$2:O$259,"="&amp;$C217)&gt;0,Biomes!O$1&amp;", ","")&amp;
IF(COUNTIF(Biomes!P$2:P$259,"="&amp;$C217)&gt;0,Biomes!P$1&amp;", ","")&amp;
IF(COUNTIF(Biomes!K$2:K$259,"="&amp;$C217)&gt;0,Biomes!K$1&amp;", ","")&amp;
IF(COUNTIF(Biomes!Q$3:Q$259,"="&amp;$C217)&gt;0,Biomes!Q$1&amp;", ","")&amp;
IF(COUNTIF(Biomes!L$2:L$259,"="&amp;$C217)&gt;0,Biomes!L$1&amp;", ","")&amp;
IF(COUNTIF(Biomes!E$2:E$259,"="&amp;$C217)&gt;0,Biomes!E$1&amp;", ","")&amp;IF(COUNTIF(Biomes!S$2:S$259,"="&amp;$C217)&gt;0,Biomes!S$1&amp;", ","")&amp;
IF(COUNTIF(Biomes!R$2:R$259,"="&amp;$C217)&gt;0,Biomes!R$1&amp;", ",""),", ","")
),_xlfn.XLOOKUP(B217,B:B,BX:BX))</f>
        <v>Glowforest</v>
      </c>
      <c r="BY217" s="25" t="str">
        <f>IF(_xlfn.XLOOKUP(B217,'Base stats'!B:B,'Base stats'!AJ:AJ)=1,"true","false")</f>
        <v>false</v>
      </c>
      <c r="BZ217" s="25">
        <f>IF(_xlfn.XLOOKUP(B217,'Base stats'!B:B,'Base stats'!N:N)=1,"No",MAX(0.001,MIN(MROUND(IF(AND(BJ217="True",CC217="False"),POWER(10,3.47*LOG10(_xlfn.XLOOKUP(B217,'Base stats'!B:B,'Base stats'!C:C)*1000)^-0.96),POWER(10,4.15*LOG10(_xlfn.XLOOKUP(B217,'Base stats'!B:B,'Base stats'!C:C)*1000)^-0.73))*IF(_xlfn.XLOOKUP(B217,'Base stats'!B:B,'Base stats'!AK:AK)=1,0.5,1)*IF(_xlfn.XLOOKUP(B217,'Base stats'!B:B,'Base stats'!AM:AM)=1,0.1,1)/100,IF(_xlfn.XLOOKUP(B217,'Base stats'!B:B,'Base stats'!AM:AM)=1,0.001,0.025)),0.5)))</f>
        <v>0.1</v>
      </c>
      <c r="CA217" s="25" t="str">
        <f>IF(P217="Standard","No",MAX(0.001,MIN(MROUND(IF(AND(BJ217="True",CC217="False"),POWER(10,3.47*LOG10(_xlfn.XLOOKUP(B217,'Base stats'!B:B,'Base stats'!C:C)*1000)^-0.96),POWER(10,4.15*LOG10(_xlfn.XLOOKUP(B217,'Base stats'!B:B,'Base stats'!C:C)*1000)^-0.73))*IF(_xlfn.XLOOKUP(B217,'Base stats'!B:B,'Base stats'!AM:AM)=1,0.1,1)*_xlfn.XLOOKUP(B217,'Base stats'!B:B,'Base stats'!R:R)/100,IF(_xlfn.XLOOKUP(B217,'Base stats'!B:B,'Base stats'!AM:AM)=1,0.001,0.025)),0.5)))</f>
        <v>No</v>
      </c>
      <c r="CB217" s="25" t="str">
        <f>IF(_xlfn.XLOOKUP(_xlfn.XLOOKUP(B217,'Base stats'!B:B,'Base stats'!E:E),Groups!A:A,Groups!AJ:AJ)="Mammal","True","False")</f>
        <v>False</v>
      </c>
      <c r="CC217" s="25" t="str">
        <f>IF(OR(_xlfn.XLOOKUP(_xlfn.XLOOKUP(B217,'Base stats'!B:B,'Base stats'!E:E),Groups!A:A,Groups!AJ:AJ)="Reptile",_xlfn.XLOOKUP(_xlfn.XLOOKUP(B217,'Base stats'!B:B,'Base stats'!E:E),Groups!A:A,Groups!AJ:AJ)="Amphibian",_xlfn.XLOOKUP(_xlfn.XLOOKUP(B217,'Base stats'!B:B,'Base stats'!E:E),Groups!A:A,Groups!AJ:AJ)="Invertebrate"),"True","False")</f>
        <v>False</v>
      </c>
      <c r="CD217" s="25" t="str">
        <f t="shared" si="27"/>
        <v>False</v>
      </c>
      <c r="CE217" s="25" t="str">
        <f>IF(_xlfn.XLOOKUP(_xlfn.XLOOKUP(B217,'Base stats'!B:B,'Base stats'!E:E),Groups!A:A,Groups!AX:AX),"True","False")</f>
        <v>True</v>
      </c>
      <c r="CF217" s="25" t="str">
        <f>IF(_xlfn.XLOOKUP(_xlfn.XLOOKUP(B217,'Base stats'!B:B,'Base stats'!E:E),Groups!A:A,Groups!AY:AY),"True","False")</f>
        <v>True</v>
      </c>
      <c r="CG217" s="25" t="str">
        <f>IF(_xlfn.XLOOKUP(_xlfn.XLOOKUP(B217,'Base stats'!B:B,'Base stats'!E:E),Groups!A:A,Groups!AW:AW),"True","False")</f>
        <v>False</v>
      </c>
      <c r="CH217" s="25" t="str">
        <f>IF(
OR(
_xlfn.XLOOKUP(_xlfn.XLOOKUP(B217,'Base stats'!B:B,'Base stats'!E:E),Groups!A:A,Groups!AZ:AZ)=0,
AND(
_xlfn.XLOOKUP(B217,'Base stats'!B:B,'Base stats'!Y:Y)&lt;&gt;"Carnivore",
_xlfn.XLOOKUP(B217,'Base stats'!B:B,'Base stats'!Y:Y)&lt;&gt;"Omnivore",
_xlfn.XLOOKUP(B217,'Base stats'!B:B,'Base stats'!Y:Y)&lt;&gt;"OmnivoreRough"
)
),
"No",
IF(
_xlfn.XLOOKUP(_xlfn.XLOOKUP(B217,'Base stats'!B:B,'Base stats'!E:E),Groups!A:A,Groups!AZ:AZ)=1,
"Flesh",
IF(
_xlfn.XLOOKUP(_xlfn.XLOOKUP(B217,'Base stats'!B:B,'Base stats'!E:E),Groups!A:A,Groups!AZ:AZ)=2,
"Bone",
""
)
)
)</f>
        <v>No</v>
      </c>
      <c r="CI217" s="25" t="str">
        <f>IF(_xlfn.XLOOKUP(_xlfn.XLOOKUP(B217,'Base stats'!B:B,'Base stats'!E:E),Groups!A:A,Groups!BB:BB),"True","False")</f>
        <v>False</v>
      </c>
      <c r="CJ217" s="25" t="str">
        <f>IF(_xlfn.XLOOKUP(_xlfn.XLOOKUP(B217,'Base stats'!B:B,'Base stats'!E:E),Groups!A:A,Groups!BA:BA),"True","False")</f>
        <v>False</v>
      </c>
    </row>
    <row r="218" spans="1:88" ht="16.5" thickTop="1" thickBot="1" x14ac:dyDescent="0.3">
      <c r="A218" s="26" t="s">
        <v>1347</v>
      </c>
      <c r="B218" s="6" t="str">
        <f>_xlfn.XLOOKUP(A218,'Base stats'!A:A,'Base stats'!B:B)</f>
        <v>Angelis luminata</v>
      </c>
      <c r="C218" s="28" t="s">
        <v>1348</v>
      </c>
      <c r="D218" s="28" t="s">
        <v>1341</v>
      </c>
      <c r="E218" s="28" t="s">
        <v>1747</v>
      </c>
      <c r="F218" s="28" t="s">
        <v>673</v>
      </c>
      <c r="G218" s="28" t="s">
        <v>673</v>
      </c>
      <c r="H218" s="2">
        <f>MROUND((
  (IF(AND(_xlfn.XLOOKUP(B218,'Base stats'!B:B,'Base stats'!AL:AL)=0,BI218="None",_xlfn.XLOOKUP(_xlfn.XLOOKUP(B218,'Base stats'!B:B,'Base stats'!E:E),Groups!A:A,Groups!B:B)=0), (18 + BR218 * 2.7) * 0.5,
    IF(AND(_xlfn.XLOOKUP(B218,'Base stats'!B:B,'Base stats'!AL:AL)=0,OR(AO218&lt;0.55,AND(BI218="Intermediate",_xlfn.XLOOKUP(_xlfn.XLOOKUP(B218,'Base stats'!B:B,'Base stats'!E:E),Groups!A:A,Groups!B:B)&lt;2))), (18 + BR218 * 2.7),
      IF(OR(BI218="Advanced",_xlfn.XLOOKUP(B218,'Base stats'!B:B,'Base stats'!AL:AL)=1,_xlfn.XLOOKUP(_xlfn.XLOOKUP(B218,'Base stats'!B:B,'Base stats'!E:E),Groups!A:A,Groups!B:B)=2), (18 + BR218 * 2.7) + 250, (18 + BR218 * 2.7))
    )
  ))
  + AO218 * 80
  + IF(COUNTIF(EggMilk!K$2:K$998, A218) &gt; 0, 125, 0)
  + IF(COUNTIF(EggMilk!P$2:P$998, A218) &gt; 0, 90, 0)
  + IF(COUNTIF(EggMilk!A$2:A$998, A218) &gt; 0, 90, 0)
)
* (0.8 + 0.4 * J218)
* 0.75,25)</f>
        <v>175</v>
      </c>
      <c r="I218" s="2">
        <f>MROUND(ROUNDDOWN(_xlfn.XLOOKUP(B218,'Base stats'!B:B,'Base stats'!L:L)/3.6/(23.3/11),1),0.5)</f>
        <v>3.5</v>
      </c>
      <c r="J218" s="2">
        <f>IF(OR(_xlfn.XLOOKUP(B218,'Base stats'!B:B,'Base stats'!AB:AB)=1,_xlfn.XLOOKUP(_xlfn.XLOOKUP(B218,'Base stats'!B:B,'Base stats'!E:E),Groups!A:A,Groups!C:C)="Untamable"),1,IF(_xlfn.XLOOKUP(B218,'Base stats'!B:B,'Base stats'!AL:AL)=1,0.99,MIN(MROUND((1-0.6282*EXP(-0.459*AO218))*_xlfn.XLOOKUP(_xlfn.XLOOKUP(B218,'Base stats'!B:B,'Base stats'!E:E),Groups!A:A,Groups!C:C)*IF(_xlfn.XLOOKUP(B218,'Base stats'!B:B,'Base stats'!O:O)=1,0.5,IF(_xlfn.XLOOKUP(B218,'Base stats'!B:B,'Base stats'!O:O)=2,0,1)),0.05),IF(AO218&gt;3.5,0.985,0.95))))</f>
        <v>0.55000000000000004</v>
      </c>
      <c r="K218" s="2">
        <f>ROUNDUP(AO218*_xlfn.XLOOKUP(_xlfn.XLOOKUP(B218,'Base stats'!B:B,'Base stats'!E:E),Groups!A:A,Groups!E:E),0)</f>
        <v>1</v>
      </c>
      <c r="L218" s="2">
        <f>IF(OR(_xlfn.XLOOKUP(_xlfn.XLOOKUP(B218,'Base stats'!B:B,'Base stats'!E:E),Groups!A:A,Groups!F:F)=2,ISNUMBER(SEARCH("SeaIce",BX218)),ISNUMBER(SEARCH("IceSheet",BX218))),-50,IF(OR(ISNUMBER(SEARCH("GlacialPlain",BX218)),ISNUMBER(SEARCH("Tundra",BX218))),-40,IF(OR(ISNUMBER(SEARCH("Alpine",BX218)),ISNUMBER(SEARCH("BorealForest",BX218)),ISNUMBER(SEARCH("ColdBog",BX218))),-30,IF(OR(ISNUMBER(SEARCH("TemperateForest",BX218)),ISNUMBER(SEARCH("TemperateSwamp",BX218))),-20,IF(_xlfn.XLOOKUP(_xlfn.XLOOKUP(B218,'Base stats'!B:B,'Base stats'!E:E),Groups!A:A,Groups!F:F)=1,-15,IF(OR(ISNUMBER(SEARCH("Desert",BX218)),ISNUMBER(SEARCH("ExtremeDesert",BX218))),-10,IF(OR(ISNUMBER(SEARCH("Grasslands",BX218)),ISNUMBER(SEARCH("TropicalRainforest",BX218)),ISNUMBER(SEARCH("TropicalSwamp",BX218))),10,0)))))))-IF(CC218="False",MIN(IFERROR(MAX(MROUND(LOG10(_xlfn.XLOOKUP(B218,'Base stats'!B:B,'Base stats'!C:C)^(2/3))*10,5),5),5),30))-_xlfn.XLOOKUP(B218,'Base stats'!B:B,'Base stats'!P:P)+IF(CC218="True",5,0)</f>
        <v>-15</v>
      </c>
      <c r="M218" s="2">
        <f>IF(OR(_xlfn.XLOOKUP(_xlfn.XLOOKUP(B218,'Base stats'!B:B,'Base stats'!E:E),Groups!A:A,Groups!G:G)=2,ISNUMBER(SEARCH("Desert",BX218)),ISNUMBER(SEARCH("ExtremeDesert",BX218)),ISNUMBER(SEARCH("LavaField",BX218))),50,IF(ISNUMBER(SEARCH("Grasslands",BX218)),45,IF(OR(_xlfn.XLOOKUP(_xlfn.XLOOKUP(B218,'Base stats'!B:B,'Base stats'!E:E),Groups!A:A,Groups!G:G)=1,ISNUMBER(SEARCH("TropicalRainforest",BX218)),ISNUMBER(SEARCH("TropicalSwamp",BX218))),40,IF(OR(ISNUMBER(SEARCH("TemperateForest",BX218)),ISNUMBER(SEARCH("TemperateSwamp",BX218))),35,IF(OR(ISNUMBER(SEARCH("Alpine",BX218)),ISNUMBER(SEARCH("BorealForest",BX218)),ISNUMBER(SEARCH("ColdBog",BX218))),30,IF(ISNUMBER(OR(ISNUMBER(SEARCH("GlacialPlain",BX218)),SEARCH("Tundra",BX218))),25,IF(OR(ISNUMBER(SEARCH("SeaIce",BX218)),ISNUMBER(SEARCH("IceSheet",BX218)),ISNUMBER(SEARCH("TropicalSwamp",BX218))),10,35)))))))+_xlfn.XLOOKUP(B218,'Base stats'!B:B,'Base stats'!Q:Q)</f>
        <v>50</v>
      </c>
      <c r="N218" s="8">
        <f>IF(
_xlfn.XLOOKUP(
_xlfn.XLOOKUP(B218,'Base stats'!B:B,'Base stats'!E:E),
Groups!A:A,
Groups!L:L
)=1,
MIN(
MROUND(
IF(
_xlfn.XLOOKUP(B218,'Animals CE'!B:B,'Animals CE'!Z:Z)&lt;=1.5,
_xlfn.XLOOKUP(B218,'Animals CE'!B:B,'Animals CE'!Z:Z)/2+0.05,
0.8+
(_xlfn.XLOOKUP(B218,'Animals CE'!B:B,'Animals CE'!Z:Z)-1.5)
*0.02
),
0.05
),
200%
),
"No"
)</f>
        <v>0.45</v>
      </c>
      <c r="O218" s="8">
        <f>IF(
_xlfn.XLOOKUP(
_xlfn.XLOOKUP(B218,'Base stats'!B:B,'Base stats'!E:E),
Groups!A:A,
Groups!L:L
)=1,
MIN(
MROUND(
IF(
_xlfn.XLOOKUP(B218,'Animals CE'!B:B,'Animals CE'!AA:AA)&lt;=1.5,
_xlfn.XLOOKUP(B218,'Animals CE'!B:B,'Animals CE'!AA:AA)/2+0.05,
0.8+
(_xlfn.XLOOKUP(B218,'Animals CE'!B:B,'Animals CE'!AA:AA)-1.5)
*0.02
),
0.05
),
200%
),
"No"
)</f>
        <v>0.1</v>
      </c>
      <c r="P218" s="2" t="str">
        <f>_xlfn.XLOOKUP(B218,'Base stats'!B:B,'Base stats'!R:R)</f>
        <v>Standard</v>
      </c>
      <c r="Q218" s="13">
        <f>MROUND((LOG10(_xlfn.XLOOKUP(B218,'Base stats'!B:B,'Base stats'!AR:AR))*(AO218^0.5)+(_xlfn.XLOOKUP(B218,'Base stats'!B:B,'Base stats'!AR:AR)/1000)^(2/3)+_xlfn.XLOOKUP(B218,'Base stats'!B:B,'Base stats'!BA:BA)/2)+0.5,0.5)</f>
        <v>5.5</v>
      </c>
      <c r="R218" s="7">
        <f>IF(Q218="No","No",MAX(1,MROUND(_xlfn.XLOOKUP(B218,'Base stats'!B:B,'Base stats'!C:C)^0.165,0.05)))</f>
        <v>1.8</v>
      </c>
      <c r="S218" s="13" t="str">
        <f>IF(_xlfn.XLOOKUP(_xlfn.XLOOKUP(B218,'Base stats'!B:B,'Base stats'!E:E),Groups!A:A,Groups!P:P)=0,"No",MROUND((LOG10(_xlfn.XLOOKUP(B218,'Base stats'!B:B,'Base stats'!AS:AS))*(AO218^0.5)+(_xlfn.XLOOKUP(B218,'Base stats'!B:B,'Base stats'!AS:AS)/1000)^(2/3)+_xlfn.XLOOKUP(B218,'Base stats'!B:B,'Base stats'!BA:BA))+_xlfn.XLOOKUP(B218,'Base stats'!B:B,'Base stats'!AY:AY)+0.5,0.5))</f>
        <v>No</v>
      </c>
      <c r="T218" s="7" t="str">
        <f>IF(S218="No","No",MAX(_xlfn.XLOOKUP(_xlfn.XLOOKUP(B218,'Base stats'!B:B,'Base stats'!E:E),Groups!A:A,Groups!Q:Q),MROUND(_xlfn.XLOOKUP(_xlfn.XLOOKUP(B218,'Base stats'!B:B,'Base stats'!E:E),Groups!A:A,Groups!Q:Q)*_xlfn.XLOOKUP(B218,'Base stats'!B:B,'Base stats'!C:C)^0.165,0.05)))</f>
        <v>No</v>
      </c>
      <c r="U218" s="7" t="str">
        <f>IF(S218="No","No",_xlfn.XLOOKUP(_xlfn.XLOOKUP(B218,'Base stats'!B:B,'Base stats'!E:E),Groups!A:A,Groups!R:R))</f>
        <v>No</v>
      </c>
      <c r="V218" s="7" t="str">
        <f>IF(S218="No","No",_xlfn.XLOOKUP(_xlfn.XLOOKUP(B218,'Base stats'!B:B,'Base stats'!E:E),Groups!A:A,Groups!S:S))</f>
        <v>No</v>
      </c>
      <c r="W218" s="7" t="str">
        <f>IF(S218="No","No",_xlfn.XLOOKUP(_xlfn.XLOOKUP(B218,'Base stats'!B:B,'Base stats'!E:E),Groups!A:A,Groups!T:T))</f>
        <v>No</v>
      </c>
      <c r="X218" s="13" t="str">
        <f>IF(_xlfn.XLOOKUP(B218,'Base stats'!B:B,'Base stats'!W:W)="No","No",MROUND((LOG10(_xlfn.XLOOKUP(B218,'Base stats'!B:B,'Base stats'!AU:AU))*(AO218^0.5)+(_xlfn.XLOOKUP(B218,'Base stats'!B:B,'Base stats'!AU:AU)/1000)^(2/3)+_xlfn.XLOOKUP(B218,'Base stats'!B:B,'Base stats'!AZ:AZ))+0.5+IF(_xlfn.XLOOKUP(_xlfn.XLOOKUP(B218,'Base stats'!B:B,'Base stats'!E:E),Groups!A:A,Groups!U:U)&lt;&gt;3,_xlfn.XLOOKUP(B218,'Base stats'!B:B,'Base stats'!BA:BA),0),0.5))</f>
        <v>No</v>
      </c>
      <c r="Y218" s="7" t="str">
        <f>IF(X218="No","No",MAX(_xlfn.XLOOKUP(_xlfn.XLOOKUP(B218,'Base stats'!B:B,'Base stats'!E:E),Groups!A:A,Groups!V:V),MROUND(_xlfn.XLOOKUP(_xlfn.XLOOKUP(B218,'Base stats'!B:B,'Base stats'!E:E),Groups!A:A,Groups!V:V)*_xlfn.XLOOKUP(B218,'Base stats'!B:B,'Base stats'!C:C)^0.165,0.05)))</f>
        <v>No</v>
      </c>
      <c r="Z218" s="7" t="str">
        <f>IF(X218="No","No",_xlfn.XLOOKUP(_xlfn.XLOOKUP(B218,'Base stats'!B:B,'Base stats'!E:E),Groups!A:A,Groups!W:W))</f>
        <v>No</v>
      </c>
      <c r="AA218" s="7" t="str">
        <f>IF(X218="No","No",_xlfn.XLOOKUP(_xlfn.XLOOKUP(B218,'Base stats'!B:B,'Base stats'!E:E),Groups!A:A,Groups!X:X))</f>
        <v>No</v>
      </c>
      <c r="AB218" s="7" t="str">
        <f>IF(X218="No","No",_xlfn.XLOOKUP(_xlfn.XLOOKUP(B218,'Base stats'!B:B,'Base stats'!E:E),Groups!A:A,Groups!Y:Y))</f>
        <v>No</v>
      </c>
      <c r="AC218" s="7" t="str">
        <f>_xlfn.XLOOKUP(Animals!B218,'Base stats'!B:B,'Base stats'!X:X)</f>
        <v>False</v>
      </c>
      <c r="AD218" s="13" t="str">
        <f>IF(_xlfn.XLOOKUP(B218,'Base stats'!B:B,'Base stats'!AT:AT)="No","No",MROUND((LOG10(_xlfn.XLOOKUP(B218,'Base stats'!B:B,'Base stats'!AT:AT))*(AO218^0.75)+(_xlfn.XLOOKUP(B218,'Base stats'!B:B,'Base stats'!AT:AT)/1000)^(2/3)+_xlfn.XLOOKUP(B218,'Base stats'!B:B,'Base stats'!AX:AX)+_xlfn.XLOOKUP(B218,'Base stats'!B:B,'Base stats'!BA:BA))+0.5,0.5))</f>
        <v>No</v>
      </c>
      <c r="AE218" s="7" t="str">
        <f>IF(AD218="No","No",MAX(_xlfn.XLOOKUP(_xlfn.XLOOKUP(B218,'Base stats'!B:B,'Base stats'!E:E),Groups!A:A,Groups!Z:Z),MROUND(_xlfn.XLOOKUP(_xlfn.XLOOKUP(B218,'Base stats'!B:B,'Base stats'!E:E),Groups!A:A,Groups!Z:Z)*_xlfn.XLOOKUP(B218,'Base stats'!B:B,'Base stats'!C:C)^0.165,0.05)))</f>
        <v>No</v>
      </c>
      <c r="AF218" s="7" t="str">
        <f>IF(AD218="No","No",_xlfn.XLOOKUP(_xlfn.XLOOKUP(B218,'Base stats'!B:B,'Base stats'!E:E),Groups!A:A,Groups!AA:AA))</f>
        <v>No</v>
      </c>
      <c r="AG218" s="7" t="str">
        <f>IF(AD218="No","No",_xlfn.XLOOKUP(_xlfn.XLOOKUP(B218,'Base stats'!B:B,'Base stats'!E:E),Groups!A:A,Groups!AB:AB))</f>
        <v>No</v>
      </c>
      <c r="AH218" s="7" t="str">
        <f>IF(AD218="No","No",_xlfn.XLOOKUP(_xlfn.XLOOKUP(B218,'Base stats'!B:B,'Base stats'!E:E),Groups!A:A,Groups!AC:AC))</f>
        <v>No</v>
      </c>
      <c r="AI218" s="13" t="str">
        <f>IF(_xlfn.XLOOKUP(_xlfn.XLOOKUP(B218,'Base stats'!B:B,'Base stats'!E:E),Groups!A:A,Groups!AD:AD)=0,"No",MROUND((LOG10(_xlfn.XLOOKUP(B218,'Base stats'!B:B,'Base stats'!AS:AS))*(AO218^0.75)+(_xlfn.XLOOKUP(B218,'Base stats'!B:B,'Base stats'!AS:AS)/1000)^(2/3)+_xlfn.XLOOKUP(B218,'Base stats'!B:B,'Base stats'!AY:AY)+_xlfn.XLOOKUP(B218,'Base stats'!B:B,'Base stats'!BA:BA))+0.5,0.5))</f>
        <v>No</v>
      </c>
      <c r="AJ218" s="7" t="str">
        <f>IF(AI218="No","No",MAX(_xlfn.XLOOKUP(_xlfn.XLOOKUP(B218,'Base stats'!B:B,'Base stats'!E:E),Groups!A:A,Groups!AE:AE),MROUND(_xlfn.XLOOKUP(_xlfn.XLOOKUP(B218,'Base stats'!B:B,'Base stats'!E:E),Groups!A:A,Groups!AE:AE)*IF(_xlfn.XLOOKUP(_xlfn.XLOOKUP(B218,'Base stats'!B:B,'Base stats'!E:E),Groups!A:A,Groups!AJ:AJ)="Photonozoa",0.6,1)*_xlfn.XLOOKUP(B218,'Base stats'!B:B,'Base stats'!C:C)^0.165,0.05)))</f>
        <v>No</v>
      </c>
      <c r="AK218" s="7" t="str">
        <f>IF(AI218="No","No",_xlfn.XLOOKUP(_xlfn.XLOOKUP(B218,'Base stats'!B:B,'Base stats'!E:E),Groups!A:A,Groups!AF:AF))</f>
        <v>No</v>
      </c>
      <c r="AL218" s="7" t="str">
        <f>IF(AI218="No","No",_xlfn.XLOOKUP(_xlfn.XLOOKUP(B218,'Base stats'!B:B,'Base stats'!E:E),Groups!A:A,Groups!AG:AG))</f>
        <v>No</v>
      </c>
      <c r="AM218" s="7" t="str">
        <f>IF(AI218="No","No",_xlfn.XLOOKUP(_xlfn.XLOOKUP(B218,'Base stats'!B:B,'Base stats'!E:E),Groups!A:A,Groups!AH:AH))</f>
        <v>No</v>
      </c>
      <c r="AN218" s="2" t="str">
        <f t="shared" si="21"/>
        <v>No</v>
      </c>
      <c r="AO218" s="2">
        <f>MROUND(IF(AND(_xlfn.XLOOKUP(B218,'Base stats'!B:B,'Base stats'!C:C)&gt;=0.5,_xlfn.XLOOKUP(B218,'Base stats'!B:B,'Base stats'!C:C)&lt;=0.8),
IF(_xlfn.XLOOKUP(B218,'Base stats'!B:B,'Base stats'!C:C)&lt;0.1,0.05,IF(_xlfn.XLOOKUP(B218,'Base stats'!B:B,'Base stats'!C:C)&lt;=70,(_xlfn.XLOOKUP(B218,'Base stats'!B:B,'Base stats'!C:C)/70)^0.426489913056526,IF(_xlfn.XLOOKUP(B218,'Base stats'!B:B,'Base stats'!C:C)&lt;=400,(_xlfn.XLOOKUP(B218,'Base stats'!B:B,'Base stats'!C:C)/70)^0.572811455315093,IF(_xlfn.XLOOKUP(B218,'Base stats'!B:B,'Base stats'!C:C)&lt;=2000,2.71391647193063*(_xlfn.XLOOKUP(B218,'Base stats'!B:B,'Base stats'!C:C)/400)^0.252459582904293,3.74314280240376*(_xlfn.XLOOKUP(B218,'Base stats'!B:B,'Base stats'!C:C)/2000)^0.357012633876913)))),
IF(_xlfn.XLOOKUP(B218,'Base stats'!B:B,'Base stats'!C:C)&lt;0.1,0.05,IF(_xlfn.XLOOKUP(B218,'Base stats'!B:B,'Base stats'!C:C)&lt;0.4,0.1,IF(_xlfn.XLOOKUP(B218,'Base stats'!B:B,'Base stats'!C:C)&lt;=70,(_xlfn.XLOOKUP(B218,'Base stats'!B:B,'Base stats'!C:C)/70)^0.445823913056526,IF(_xlfn.XLOOKUP(B218,'Base stats'!B:B,'Base stats'!C:C)&lt;=400,(_xlfn.XLOOKUP(B218,'Base stats'!B:B,'Base stats'!C:C)/70)^0.572811455315093,IF(_xlfn.XLOOKUP(B218,'Base stats'!B:B,'Base stats'!C:C)&lt;=2000,2.71391647193063*(_xlfn.XLOOKUP(B218,'Base stats'!B:B,'Base stats'!C:C)/400)^0.252459582904293,3.74314280240376*(_xlfn.XLOOKUP(B218,'Base stats'!B:B,'Base stats'!C:C)/2000)^0.357012633876913)))))),
IF(_xlfn.XLOOKUP(B218,'Base stats'!B:B,'Base stats'!C:C)&lt;0.1,0.05,IF(_xlfn.XLOOKUP(B218,'Base stats'!B:B,'Base stats'!C:C)&lt;=100,0.05,IF(_xlfn.XLOOKUP(B218,'Base stats'!B:B,'Base stats'!C:C)&lt;=250,0.1,IF(_xlfn.XLOOKUP(B218,'Base stats'!B:B,'Base stats'!C:C)&lt;=4000,0.25,0.5)))))</f>
        <v>0.75</v>
      </c>
      <c r="AP218" s="8">
        <f>MROUND(AO218*_xlfn.XLOOKUP(_xlfn.XLOOKUP(B218,'Base stats'!B:B,'Base stats'!E:E),Groups!A:A,Groups!AI:AI)*_xlfn.XLOOKUP(B218,'Base stats'!B:B,'Base stats'!Z:Z),0.05)</f>
        <v>0.75</v>
      </c>
      <c r="AQ218" s="8">
        <f>MAX(0.01,MROUND(IF(CC218="True",0.196*(AO218*100*1000)^0.889,IF(_xlfn.XLOOKUP(_xlfn.XLOOKUP(B218,'Base stats'!B:B,'Base stats'!E:E),Groups!A:A,Groups!AJ:AJ)="Bird",10.5*(AO218*100*1000)^0.681,4.82*(AO218*100*1000)^0.734))/(4.82*(1*100*1000)^0.734)/IF(AO218&lt;3.5,2,IF(AO218=3.5,1.5,1.25))*(1+0.132282374779864/(AO218^0.994035016789033+0.00905238001496948)),0.05))</f>
        <v>0.1</v>
      </c>
      <c r="AR218" s="9">
        <f>IFERROR(MROUND(_xlfn.XLOOKUP(B218,'Base stats'!B:B,'Base stats'!H:H)/IF(_xlfn.XLOOKUP(B218,'Base stats'!B:B,'Base stats'!I:I)&lt;&gt;1,(122.5/70),1.2),IF(_xlfn.XLOOKUP(B218,'Base stats'!B:B,'Base stats'!H:H)&gt;=30,5,IF(_xlfn.XLOOKUP(B218,'Base stats'!B:B,'Base stats'!H:H)&gt;=15,3,IF(_xlfn.XLOOKUP(B218,'Base stats'!B:B,'Base stats'!H:H)&gt;=10,2,1)))),"Immortal")</f>
        <v>2</v>
      </c>
      <c r="AS218" s="35" t="str">
        <f>IFERROR(IF(OR(_xlfn.XLOOKUP(B218,'Base stats'!B:B,'Base stats'!F:F)="Atypical reproduction",_xlfn.XLOOKUP(B218,'Base stats'!B:B,'Base stats'!F:F)="Lay eggs"),"Lay eggs",MIN(20,MAX(5.5,ROUND(((_xlfn.XLOOKUP(B218,'Base stats'!B:B,'Base stats'!F:F)-25)*(14.5/615) + 5.5)*2,0)/2))),"Unknown")</f>
        <v>Lay eggs</v>
      </c>
      <c r="AT218" s="8" t="str">
        <f>IF(_xlfn.XLOOKUP(B218,'Base stats'!B:B,'Base stats'!G:G)="Atypical reproduction","No",IFERROR(MAX(IF(_xlfn.XLOOKUP(B218,'Base stats'!B:B,'Base stats'!G:G)&lt;0.5,0.2,0.3),MROUND(_xlfn.XLOOKUP(B218,'Base stats'!B:B,'Base stats'!G:G)/(365/60),0.2)),"Unknown"))</f>
        <v>No</v>
      </c>
      <c r="AU218" s="8" t="str">
        <f t="shared" si="22"/>
        <v>No</v>
      </c>
      <c r="AV218" s="8" t="str">
        <f>IFERROR(IFERROR(MROUND(_xlfn.XLOOKUP(B218,'Base stats'!B:B,'Base stats'!J:J),0.1),"Lay eggs"),"Cannot breed")</f>
        <v>Lay eggs</v>
      </c>
      <c r="AW218" s="2" t="str">
        <f t="shared" si="23"/>
        <v>false</v>
      </c>
      <c r="AX218" s="2" t="str">
        <f>IF(_xlfn.XLOOKUP(_xlfn.XLOOKUP(Animals!B218,'Base stats'!B:B,'Base stats'!E:E),Groups!A:A,Groups!AK:AK)=1,"true","false")</f>
        <v>false</v>
      </c>
      <c r="AY218" s="25" t="str">
        <f>IF(_xlfn.XLOOKUP(B218,'Base stats'!B:B,'Base stats'!Y:Y)="Liquor","Liquor, CarnivoreAnimalStrict",IF(AND(_xlfn.XLOOKUP(B218,'Base stats'!B:B,'Base stats'!Y:Y)="Carnivore",_xlfn.XLOOKUP(_xlfn.XLOOKUP(B218,'Base stats'!B:B,'Base stats'!E:E),Groups!A:A,Groups!AJ:AJ)="Photonozoa"),"CarnivoreAnimalStrict, OvivoreAnimal",IF(_xlfn.XLOOKUP(B218,'Base stats'!B:B,'Base stats'!Y:Y)="Carnivore","CarnivoreAnimal, OvivoreAnimal",IF(_xlfn.XLOOKUP(B218,'Base stats'!B:B,'Base stats'!Y:Y)="Dendrovore","VegetarianRoughAnimal, DendrovoreAnimal",IF(_xlfn.XLOOKUP(B218,'Base stats'!B:B,'Base stats'!Y:Y)="Herbivore","VegetarianRoughAnimal",IF(_xlfn.XLOOKUP(B218,'Base stats'!B:B,'Base stats'!Y:Y)="OmnivoreRough","OmnivoreRoughAnimal, OvivoreAnimal","OmnivoreAnimal, OvivoreAnimal"))))))</f>
        <v>VegetarianRoughAnimal</v>
      </c>
      <c r="AZ218" s="2">
        <f>IF(_xlfn.XLOOKUP(_xlfn.XLOOKUP(B218,'Base stats'!B:B,'Base stats'!E:E),Groups!A:A,Groups!D:D)=1,MROUND((1-J218)*5+1,2)*IF(J218&lt;=0.4,2,1),"No")</f>
        <v>4</v>
      </c>
      <c r="BA218" s="2" t="str">
        <f>IF(AND(_xlfn.XLOOKUP(B218,'Base stats'!B:B,'Base stats'!AH:AH)="&lt;li&gt;Seal&lt;/li&gt;",G218="Odyssey"),"&lt;li&gt;AEXP_Seal&lt;/li&gt;",_xlfn.XLOOKUP(B218,'Base stats'!B:B,'Base stats'!AH:AH))</f>
        <v>&lt;li&gt;Megaspider&lt;/li&gt;</v>
      </c>
      <c r="BB218" s="2" t="str">
        <f>_xlfn.XLOOKUP(B218,'Base stats'!B:B,'Base stats'!AG:AG)</f>
        <v>Leather_Chitin</v>
      </c>
      <c r="BC218" s="23" t="str">
        <f>_xlfn.XLOOKUP(_xlfn.XLOOKUP(B218,'Base stats'!B:B,'Base stats'!E:E),Groups!A:A,Groups!AL:AL)</f>
        <v>BeetleLike</v>
      </c>
      <c r="BD218" s="23">
        <f>MIN(1,MROUND(IF(AND(AO218&lt;0.5,_xlfn.XLOOKUP(B218,'Base stats'!B:B,'Base stats'!AA:AA)=0),0,IF(OR(_xlfn.XLOOKUP(Animals!B218,'Base stats'!B:B,'Base stats'!O:O)=2,_xlfn.XLOOKUP(_xlfn.XLOOKUP(B218,'Base stats'!B:B,'Base stats'!E:E),Groups!A:A,Groups!AN:AN)=0),0,_xlfn.XLOOKUP(_xlfn.XLOOKUP(B218,'Base stats'!B:B,'Base stats'!E:E),Groups!A:A,Groups!AN:AN)/IF(_xlfn.XLOOKUP(Animals!B218,'Base stats'!B:B,'Base stats'!O:O)=1,2,1)))+_xlfn.XLOOKUP(B218,'Base stats'!B:B,'Base stats'!AC:AC),0.005))</f>
        <v>0</v>
      </c>
      <c r="BE218" s="23">
        <f>MIN(1,MROUND(IF(AND(AO218&lt;0.5,_xlfn.XLOOKUP(B218,'Base stats'!B:B,'Base stats'!AA:AA)=0),0,IF(_xlfn.XLOOKUP(_xlfn.XLOOKUP(B218,'Base stats'!B:B,'Base stats'!E:E),Groups!A:A,Groups!AO:AO)=0,0,_xlfn.XLOOKUP(_xlfn.XLOOKUP(B218,'Base stats'!B:B,'Base stats'!E:E),Groups!A:A,Groups!AO:AO)/IF(_xlfn.XLOOKUP(Animals!B218,'Base stats'!B:B,'Base stats'!O:O)=2,3,1)))+_xlfn.XLOOKUP(B218,'Base stats'!B:B,'Base stats'!AD:AD),0.005))</f>
        <v>0</v>
      </c>
      <c r="BF218" s="2" t="str">
        <f>IF(J218&gt;0.3,"No",_xlfn.XLOOKUP(_xlfn.XLOOKUP(Animals!B218,'Base stats'!B:B,'Base stats'!E:E),Groups!A:A,Groups!AP:AP))</f>
        <v>No</v>
      </c>
      <c r="BG218" s="2" t="str">
        <f>IF(AND(J218&lt;=0.65,_xlfn.XLOOKUP(_xlfn.XLOOKUP(Animals!B218,'Base stats'!B:B,'Base stats'!E:E),Groups!A:A,Groups!AP:AP)&lt;&gt;"No",_xlfn.XLOOKUP(_xlfn.XLOOKUP(B218,'Base stats'!B:B,'Base stats'!E:E),Groups!A:A,Groups!D:D)=0),MROUND((80/3)*IF(_xlfn.XLOOKUP(B218,'Base stats'!B:B,'Base stats'!O:O)=2,0.2,AO218) + 24*(1-IF(BF218="No",0,BF218)) + 16/3, 12),"No")</f>
        <v>No</v>
      </c>
      <c r="BH218" s="2">
        <f>IF(AND(_xlfn.XLOOKUP(_xlfn.XLOOKUP(B218,'Base stats'!B:B,'Base stats'!E:E),Groups!A:A,Groups!AQ:AQ)=1,AO218&lt;=0.35),8,12)</f>
        <v>12</v>
      </c>
      <c r="BI218" s="2" t="str">
        <f>IF(_xlfn.XLOOKUP(_xlfn.XLOOKUP(B218,'Base stats'!B:B,'Base stats'!E:E),Groups!A:A,Groups!D:D)=0,_xlfn.XLOOKUP(_xlfn.XLOOKUP(B218,'Base stats'!B:B,'Base stats'!E:E),Groups!A:A,Groups!AR:AR),"None")</f>
        <v>None</v>
      </c>
      <c r="BJ218" s="2" t="str">
        <f>IF(AND(_xlfn.XLOOKUP(_xlfn.XLOOKUP(B218,'Base stats'!B:B,'Base stats'!E:E),Groups!A:A,Groups!AS:AS)=1,OR(_xlfn.XLOOKUP(B218,'Base stats'!B:B,'Base stats'!Y:Y)="Carnivore",_xlfn.XLOOKUP(B218,'Base stats'!B:B,'Base stats'!Y:Y)="Omnivore")),"true","false")</f>
        <v>false</v>
      </c>
      <c r="BK218" s="2" t="str">
        <f>IF(BJ218="true",MROUND(IF(AND(AO218&gt;0.5,OR(_xlfn.XLOOKUP(_xlfn.XLOOKUP(B218,'Base stats'!B:B,'Base stats'!E:E),Groups!A:A,Groups!AJ:AJ)="Photonozoa",_xlfn.XLOOKUP(_xlfn.XLOOKUP(B218,'Base stats'!B:B,'Base stats'!E:E),Groups!A:A,Groups!AJ:AJ)="Mammal")),Animals!AO218*1.75*IF(AW218="true",1.5,1),IF(AO218&lt;0.5,Animals!AO218*0.5,Animals!AO218)),IF(AO218&gt;2,0.5,IF(AO218&gt;0.5,0.25,0.1))),"No")</f>
        <v>No</v>
      </c>
      <c r="BL218" s="2">
        <f t="shared" si="24"/>
        <v>0</v>
      </c>
      <c r="BM218" s="25" t="str">
        <f>IF(_xlfn.XLOOKUP(B218,'Base stats'!B:B,'Base stats'!AN:AN)="Standard","No",MROUND((_xlfn.XLOOKUP(B218,'Base stats'!B:B,'Base stats'!AN:AN)/3.6)/I218,0.1))</f>
        <v>No</v>
      </c>
      <c r="BN218" s="25" t="str">
        <f t="shared" si="25"/>
        <v>false</v>
      </c>
      <c r="BO218" s="25" t="str">
        <f>IF(AND(OR(_xlfn.XLOOKUP(B218,'Base stats'!B:B,'Base stats'!Y:Y)="Carnivore",_xlfn.XLOOKUP(B218,'Base stats'!B:B,'Base stats'!Y:Y)="Omnivore",_xlfn.XLOOKUP(B218,'Base stats'!B:B,'Base stats'!Y:Y)="OmnivoreRough"),_xlfn.XLOOKUP(_xlfn.XLOOKUP(B218,'Base stats'!B:B,'Base stats'!E:E),Groups!A:A,Groups!AT:AT)=1),"true","false")</f>
        <v>false</v>
      </c>
      <c r="BP218" s="25" t="str" cm="1">
        <f t="array" ref="BP218">IF(
  _xlfn.TEXTJOIN(", ",TRUE,
    IF(AND(BJ218="true",AO218&gt;0.5,BI218&lt;&gt;"None"),"AttackTarget",""),
    IF(AND(_xlfn.XLOOKUP(_xlfn.XLOOKUP(B218,'Base stats'!B:B,'Base stats'!E:E),Groups!A:A,Groups!AJ:AJ="Mammal"),OR(_xlfn.XLOOKUP(B218,'Base stats'!B:B,'Base stats'!Y:Y)="Omnivore",_xlfn.XLOOKUP(B218,'Base stats'!B:B,'Base stats'!Y:Y)="OmnivoreRough")),"Forage",""),
    IF(BG218&lt;=36,"Comfort",""),
    IF(_xlfn.XLOOKUP(B218,'Base stats'!B:B,'Base stats'!AE:AE)&lt;&gt;"No",_xlfn.XLOOKUP(B218,'Base stats'!B:B,'Base stats'!AE:AE),"")
  ) = "",
  "No",
  _xlfn.TEXTJOIN(", ",TRUE,
    IF(AND(BJ218="true",AO218&gt;0.5,BI218&lt;&gt;"None"),"AttackTarget",""),
    IF(AND(_xlfn.XLOOKUP(_xlfn.XLOOKUP(B218,'Base stats'!B:B,'Base stats'!E:E),Groups!A:A,Groups!AJ:AJ="Mammal"),OR(_xlfn.XLOOKUP(B218,'Base stats'!B:B,'Base stats'!Y:Y)="Omnivore",_xlfn.XLOOKUP(B218,'Base stats'!B:B,'Base stats'!Y:Y)="OmnivoreRough")),"Forage",""),
    IF(BG218&lt;=36,"Comfort",""),
    IF(_xlfn.XLOOKUP(B218,'Base stats'!B:B,'Base stats'!AE:AE)&lt;&gt;"No",_xlfn.XLOOKUP(B218,'Base stats'!B:B,'Base stats'!AE:AE),"")
  )
)</f>
        <v>No</v>
      </c>
      <c r="BQ218" s="25" t="str">
        <f>IF(
   AND(
      'Base stats'!AN218="Standard",_xlfn.XLOOKUP(_xlfn.XLOOKUP(B218,'Base stats'!B:B,'Base stats'!E:E),Groups!A:A,Groups!AU:AU)=0,
      OR(
      BO218="True"
      )
   ),
   10,
   IF(
       OR(BM218&lt;&gt;"No",_xlfn.XLOOKUP(_xlfn.XLOOKUP(B218,'Base stats'!B:B,'Base stats'!E:E),Groups!A:A,Groups!AU:AU)=1),
      1,
      "No"
   )
)</f>
        <v>No</v>
      </c>
      <c r="BR218" s="9">
        <f>MROUND((1 + ((0.2*IF(OR(Q218="No",R218="No",R218=0),0,Q218/R218)
+IF(OR(V218="No",S218="No",T218="No"),0,S218/T218*(LEN(V218)-LEN(SUBSTITUTE(V218,",",""))+1))
+IF(OR(X218="No",Y218="No"),0,X218/Y218)
+IF(OR(AD218="No",AE218="No"),0,AD218/AE218)
+IF(OR(AL218="No",AI218="No",AJ218="No"),0,AI218/AJ218*(LEN(AL218)-LEN(SUBSTITUTE(AL218,",",""))+1))
)/(0.2*IF(OR(Q218="No",R218="No",R218=0),0,1)
+IF(OR(V218="No",S218="No",T218="No"),0,LEN(V218)-LEN(SUBSTITUTE(V218,",",""))+1)
+IF(OR(X218="No",Y218="No"),0,1)
+IF(OR(AD218="No",AE218="No"),0,1)
+IF(OR(AL218="No",AI218="No",AJ218="No"),0,LEN(AL218)-LEN(SUBSTITUTE(AL218,",",""))+1))*62%)* 2)*(1 + (AP218 / (IF(_xlfn.XLOOKUP(_xlfn.XLOOKUP(B218,'Base stats'!B:B,'Base stats'!E:E),Groups!A:A,Groups!AJ:AJ)="Photonozoa",0.3,1)) + _xlfn.XLOOKUP(B218,'Base stats'!B:B,'Base stats'!AV:AV) * 1.8) * 2) * 2.5 + 10 + I218 * 2,5)+IF(_xlfn.XLOOKUP(B218,'Base stats'!B:B,'Base stats'!AK:AK)=1,50,0)</f>
        <v>60</v>
      </c>
      <c r="BS218" s="8">
        <f t="shared" si="26"/>
        <v>0.25</v>
      </c>
      <c r="BT218" s="8" t="str">
        <f>_xlfn.XLOOKUP(B218,'Base stats'!B:B,'Base stats'!AF:AF)</f>
        <v>No</v>
      </c>
      <c r="BU218" s="2" t="str">
        <f>IF(AND(J218&lt;=0.95,OR(_xlfn.XLOOKUP(B218,'Base stats'!B:B,'Base stats'!AK:AK)=1,_xlfn.XLOOKUP(B218,'Base stats'!B:B,'Base stats'!Y:Y)="Carnivore",_xlfn.XLOOKUP(B218,'Base stats'!B:B,'Base stats'!Y:Y)="Omnivore",BE218&gt;0.1)),"true","false")</f>
        <v>false</v>
      </c>
      <c r="BV218" s="2" t="str">
        <f>IF(_xlfn.XLOOKUP(B218,'Base stats'!B:B,'Base stats'!AI:AI)=1,"true","false")</f>
        <v>false</v>
      </c>
      <c r="BW218" s="25" t="str">
        <f>IF(E218="BaseInsect","AnimalInsect",
IF(J218&gt;0.95,"AnimalExotic",
_xlfn.TEXTJOIN(", ",TRUE,
IF(OR(_xlfn.XLOOKUP(B218,'Base stats'!B:B,'Base stats'!AM:AM)=1,AND(_xlfn.XLOOKUP(B218,'Base stats'!B:B,'Base stats'!O:O)=0,_xlfn.XLOOKUP(_xlfn.XLOOKUP(B218,'Base stats'!B:B,'Base stats'!E:E),Groups!A:A,Groups!B:B)&gt;0)),"AnimalUncommon","AnimalCommon"),
IF(AND(_xlfn.XLOOKUP(B218,'Base stats'!B:B,'Base stats'!O:O)=2,_xlfn.XLOOKUP(_xlfn.XLOOKUP(B218,'Base stats'!B:B,'Base stats'!E:E),Groups!A:A,Groups!D:D)=0),"AnimalPet",IF(AND(_xlfn.XLOOKUP(B218,'Base stats'!B:B,'Base stats'!O:O)&lt;&gt;0,_xlfn.XLOOKUP(_xlfn.XLOOKUP(B218,'Base stats'!B:B,'Base stats'!E:E),Groups!A:A,Groups!D:D)&lt;&gt;0),"AnimalFarm","")),
IF(OR(_xlfn.XLOOKUP(B218,'Base stats'!B:B,'Base stats'!AK:AK)=1,AND(BI218&lt;&gt;"None",BR218&gt;=60),ISNUMBER(SEARCH("Attack target",BP218))),"AnimalFighter","")
)))</f>
        <v>AnimalUncommon</v>
      </c>
      <c r="BX218" s="25" t="str">
        <f>IF(G218="None",TRIM(
SUBSTITUTE(
IF(COUNTIF(Biomes!B$2:B$259,"="&amp;$C218)&gt;0,Biomes!B$1&amp;", ","")&amp;
IF(COUNTIF(Biomes!C$2:C$259,"="&amp;$C218)&gt;0,Biomes!C$1&amp;", ","")&amp;
IF(COUNTIF(Biomes!D$2:D$259,"="&amp;$C218)&gt;0,Biomes!D$1&amp;", ","")&amp;
IF(COUNTIF(Biomes!F$2:F$259,"="&amp;$C218)&gt;0,Biomes!F$1&amp;", ","")&amp;
IF(COUNTIF(Biomes!G$2:G$259,"="&amp;$C218)&gt;0,Biomes!G$1&amp;", ","")&amp;
IF(COUNTIF(Biomes!H$2:H$259,"="&amp;$C218)&gt;0,Biomes!H$1&amp;", ","")&amp;
IF(COUNTIF(Biomes!I$2:I$259,"="&amp;$C218)&gt;0,Biomes!I$1&amp;", ","")&amp;
IF(COUNTIF(Biomes!J$2:J$259,"="&amp;$C218)&gt;0,Biomes!J$1&amp;", ","")&amp;
IF(COUNTIF(Biomes!M$2:M$259,"="&amp;$C218)&gt;0,Biomes!M$1&amp;", ","")&amp;
IF(COUNTIF(Biomes!N$2:N$259,"="&amp;$C218)&gt;0,Biomes!N$1&amp;", ","")&amp;
IF(COUNTIF(Biomes!O$2:O$259,"="&amp;$C218)&gt;0,Biomes!O$1&amp;", ","")&amp;
IF(COUNTIF(Biomes!P$2:P$259,"="&amp;$C218)&gt;0,Biomes!P$1&amp;", ","")&amp;
IF(COUNTIF(Biomes!K$2:K$259,"="&amp;$C218)&gt;0,Biomes!K$1&amp;", ","")&amp;
IF(COUNTIF(Biomes!Q$3:Q$259,"="&amp;$C218)&gt;0,Biomes!Q$1&amp;", ","")&amp;
IF(COUNTIF(Biomes!L$2:L$259,"="&amp;$C218)&gt;0,Biomes!L$1&amp;", ","")&amp;
IF(COUNTIF(Biomes!E$2:E$259,"="&amp;$C218)&gt;0,Biomes!E$1&amp;", ","")&amp;IF(COUNTIF(Biomes!S$2:S$259,"="&amp;$C218)&gt;0,Biomes!S$1&amp;", ","")&amp;
IF(COUNTIF(Biomes!R$2:R$259,"="&amp;$C218)&gt;0,Biomes!R$1&amp;", ",""),", ","")
),_xlfn.XLOOKUP(B218,B:B,BX:BX))</f>
        <v>TemperateForest TemperateSwamp AridShrubland Desert TropicalRainforest TropicalSwamp Grasslands Glowforest LavaField Scarlands</v>
      </c>
      <c r="BY218" s="25" t="str">
        <f>IF(_xlfn.XLOOKUP(B218,'Base stats'!B:B,'Base stats'!AJ:AJ)=1,"true","false")</f>
        <v>false</v>
      </c>
      <c r="BZ218" s="25">
        <f>IF(_xlfn.XLOOKUP(B218,'Base stats'!B:B,'Base stats'!N:N)=1,"No",MAX(0.001,MIN(MROUND(IF(AND(BJ218="True",CC218="False"),POWER(10,3.47*LOG10(_xlfn.XLOOKUP(B218,'Base stats'!B:B,'Base stats'!C:C)*1000)^-0.96),POWER(10,4.15*LOG10(_xlfn.XLOOKUP(B218,'Base stats'!B:B,'Base stats'!C:C)*1000)^-0.73))*IF(_xlfn.XLOOKUP(B218,'Base stats'!B:B,'Base stats'!AK:AK)=1,0.5,1)*IF(_xlfn.XLOOKUP(B218,'Base stats'!B:B,'Base stats'!AM:AM)=1,0.1,1)/100,IF(_xlfn.XLOOKUP(B218,'Base stats'!B:B,'Base stats'!AM:AM)=1,0.001,0.025)),0.5)))</f>
        <v>2.4E-2</v>
      </c>
      <c r="CA218" s="25" t="str">
        <f>IF(P218="Standard","No",MAX(0.001,MIN(MROUND(IF(AND(BJ218="True",CC218="False"),POWER(10,3.47*LOG10(_xlfn.XLOOKUP(B218,'Base stats'!B:B,'Base stats'!C:C)*1000)^-0.96),POWER(10,4.15*LOG10(_xlfn.XLOOKUP(B218,'Base stats'!B:B,'Base stats'!C:C)*1000)^-0.73))*IF(_xlfn.XLOOKUP(B218,'Base stats'!B:B,'Base stats'!AM:AM)=1,0.1,1)*_xlfn.XLOOKUP(B218,'Base stats'!B:B,'Base stats'!R:R)/100,IF(_xlfn.XLOOKUP(B218,'Base stats'!B:B,'Base stats'!AM:AM)=1,0.001,0.025)),0.5)))</f>
        <v>No</v>
      </c>
      <c r="CB218" s="25" t="str">
        <f>IF(_xlfn.XLOOKUP(_xlfn.XLOOKUP(B218,'Base stats'!B:B,'Base stats'!E:E),Groups!A:A,Groups!AJ:AJ)="Mammal","True","False")</f>
        <v>False</v>
      </c>
      <c r="CC218" s="25" t="str">
        <f>IF(OR(_xlfn.XLOOKUP(_xlfn.XLOOKUP(B218,'Base stats'!B:B,'Base stats'!E:E),Groups!A:A,Groups!AJ:AJ)="Reptile",_xlfn.XLOOKUP(_xlfn.XLOOKUP(B218,'Base stats'!B:B,'Base stats'!E:E),Groups!A:A,Groups!AJ:AJ)="Amphibian",_xlfn.XLOOKUP(_xlfn.XLOOKUP(B218,'Base stats'!B:B,'Base stats'!E:E),Groups!A:A,Groups!AJ:AJ)="Invertebrate"),"True","False")</f>
        <v>True</v>
      </c>
      <c r="CD218" s="25" t="str">
        <f t="shared" si="27"/>
        <v>False</v>
      </c>
      <c r="CE218" s="25" t="str">
        <f>IF(_xlfn.XLOOKUP(_xlfn.XLOOKUP(B218,'Base stats'!B:B,'Base stats'!E:E),Groups!A:A,Groups!AX:AX),"True","False")</f>
        <v>False</v>
      </c>
      <c r="CF218" s="25" t="str">
        <f>IF(_xlfn.XLOOKUP(_xlfn.XLOOKUP(B218,'Base stats'!B:B,'Base stats'!E:E),Groups!A:A,Groups!AY:AY),"True","False")</f>
        <v>False</v>
      </c>
      <c r="CG218" s="25" t="str">
        <f>IF(_xlfn.XLOOKUP(_xlfn.XLOOKUP(B218,'Base stats'!B:B,'Base stats'!E:E),Groups!A:A,Groups!AW:AW),"True","False")</f>
        <v>False</v>
      </c>
      <c r="CH218" s="25" t="str">
        <f>IF(
OR(
_xlfn.XLOOKUP(_xlfn.XLOOKUP(B218,'Base stats'!B:B,'Base stats'!E:E),Groups!A:A,Groups!AZ:AZ)=0,
AND(
_xlfn.XLOOKUP(B218,'Base stats'!B:B,'Base stats'!Y:Y)&lt;&gt;"Carnivore",
_xlfn.XLOOKUP(B218,'Base stats'!B:B,'Base stats'!Y:Y)&lt;&gt;"Omnivore",
_xlfn.XLOOKUP(B218,'Base stats'!B:B,'Base stats'!Y:Y)&lt;&gt;"OmnivoreRough"
)
),
"No",
IF(
_xlfn.XLOOKUP(_xlfn.XLOOKUP(B218,'Base stats'!B:B,'Base stats'!E:E),Groups!A:A,Groups!AZ:AZ)=1,
"Flesh",
IF(
_xlfn.XLOOKUP(_xlfn.XLOOKUP(B218,'Base stats'!B:B,'Base stats'!E:E),Groups!A:A,Groups!AZ:AZ)=2,
"Bone",
""
)
)
)</f>
        <v>No</v>
      </c>
      <c r="CI218" s="25" t="str">
        <f>IF(_xlfn.XLOOKUP(_xlfn.XLOOKUP(B218,'Base stats'!B:B,'Base stats'!E:E),Groups!A:A,Groups!BB:BB),"True","False")</f>
        <v>False</v>
      </c>
      <c r="CJ218" s="25" t="str">
        <f>IF(_xlfn.XLOOKUP(_xlfn.XLOOKUP(B218,'Base stats'!B:B,'Base stats'!E:E),Groups!A:A,Groups!BA:BA),"True","False")</f>
        <v>False</v>
      </c>
    </row>
    <row r="219" spans="1:88" ht="16.5" thickTop="1" thickBot="1" x14ac:dyDescent="0.3">
      <c r="A219" s="26" t="s">
        <v>1346</v>
      </c>
      <c r="B219" s="6" t="str">
        <f>_xlfn.XLOOKUP(A219,'Base stats'!A:A,'Base stats'!B:B)</f>
        <v>Angelis luminata (larva)</v>
      </c>
      <c r="C219" s="28" t="s">
        <v>1349</v>
      </c>
      <c r="D219" s="28" t="s">
        <v>1341</v>
      </c>
      <c r="E219" s="28" t="s">
        <v>1747</v>
      </c>
      <c r="F219" s="28" t="s">
        <v>673</v>
      </c>
      <c r="G219" s="28" t="s">
        <v>673</v>
      </c>
      <c r="H219" s="2">
        <f>MROUND((
  (IF(AND(_xlfn.XLOOKUP(B219,'Base stats'!B:B,'Base stats'!AL:AL)=0,BI219="None",_xlfn.XLOOKUP(_xlfn.XLOOKUP(B219,'Base stats'!B:B,'Base stats'!E:E),Groups!A:A,Groups!B:B)=0), (18 + BR219 * 2.7) * 0.5,
    IF(AND(_xlfn.XLOOKUP(B219,'Base stats'!B:B,'Base stats'!AL:AL)=0,OR(AO219&lt;0.55,AND(BI219="Intermediate",_xlfn.XLOOKUP(_xlfn.XLOOKUP(B219,'Base stats'!B:B,'Base stats'!E:E),Groups!A:A,Groups!B:B)&lt;2))), (18 + BR219 * 2.7),
      IF(OR(BI219="Advanced",_xlfn.XLOOKUP(B219,'Base stats'!B:B,'Base stats'!AL:AL)=1,_xlfn.XLOOKUP(_xlfn.XLOOKUP(B219,'Base stats'!B:B,'Base stats'!E:E),Groups!A:A,Groups!B:B)=2), (18 + BR219 * 2.7) + 250, (18 + BR219 * 2.7))
    )
  ))
  + AO219 * 80
  + IF(COUNTIF(EggMilk!K$2:K$998, A219) &gt; 0, 125, 0)
  + IF(COUNTIF(EggMilk!P$2:P$998, A219) &gt; 0, 90, 0)
  + IF(COUNTIF(EggMilk!A$2:A$998, A219) &gt; 0, 90, 0)
)
* (0.8 + 0.4 * J219)
* 0.75,25)</f>
        <v>75</v>
      </c>
      <c r="I219" s="2">
        <f>MROUND(ROUNDDOWN(_xlfn.XLOOKUP(B219,'Base stats'!B:B,'Base stats'!L:L)/3.6/(23.3/11),1),0.5)</f>
        <v>2</v>
      </c>
      <c r="J219" s="2">
        <f>IF(OR(_xlfn.XLOOKUP(B219,'Base stats'!B:B,'Base stats'!AB:AB)=1,_xlfn.XLOOKUP(_xlfn.XLOOKUP(B219,'Base stats'!B:B,'Base stats'!E:E),Groups!A:A,Groups!C:C)="Untamable"),1,IF(_xlfn.XLOOKUP(B219,'Base stats'!B:B,'Base stats'!AL:AL)=1,0.99,MIN(MROUND((1-0.6282*EXP(-0.459*AO219))*_xlfn.XLOOKUP(_xlfn.XLOOKUP(B219,'Base stats'!B:B,'Base stats'!E:E),Groups!A:A,Groups!C:C)*IF(_xlfn.XLOOKUP(B219,'Base stats'!B:B,'Base stats'!O:O)=1,0.5,IF(_xlfn.XLOOKUP(B219,'Base stats'!B:B,'Base stats'!O:O)=2,0,1)),0.05),IF(AO219&gt;3.5,0.985,0.95))))</f>
        <v>0.45</v>
      </c>
      <c r="K219" s="2">
        <f>ROUNDUP(AO219*_xlfn.XLOOKUP(_xlfn.XLOOKUP(B219,'Base stats'!B:B,'Base stats'!E:E),Groups!A:A,Groups!E:E),0)</f>
        <v>1</v>
      </c>
      <c r="L219" s="2">
        <f>IF(OR(_xlfn.XLOOKUP(_xlfn.XLOOKUP(B219,'Base stats'!B:B,'Base stats'!E:E),Groups!A:A,Groups!F:F)=2,ISNUMBER(SEARCH("SeaIce",BX219)),ISNUMBER(SEARCH("IceSheet",BX219))),-50,IF(OR(ISNUMBER(SEARCH("GlacialPlain",BX219)),ISNUMBER(SEARCH("Tundra",BX219))),-40,IF(OR(ISNUMBER(SEARCH("Alpine",BX219)),ISNUMBER(SEARCH("BorealForest",BX219)),ISNUMBER(SEARCH("ColdBog",BX219))),-30,IF(OR(ISNUMBER(SEARCH("TemperateForest",BX219)),ISNUMBER(SEARCH("TemperateSwamp",BX219))),-20,IF(_xlfn.XLOOKUP(_xlfn.XLOOKUP(B219,'Base stats'!B:B,'Base stats'!E:E),Groups!A:A,Groups!F:F)=1,-15,IF(OR(ISNUMBER(SEARCH("Desert",BX219)),ISNUMBER(SEARCH("ExtremeDesert",BX219))),-10,IF(OR(ISNUMBER(SEARCH("Grasslands",BX219)),ISNUMBER(SEARCH("TropicalRainforest",BX219)),ISNUMBER(SEARCH("TropicalSwamp",BX219))),10,0)))))))-IF(CC219="False",MIN(IFERROR(MAX(MROUND(LOG10(_xlfn.XLOOKUP(B219,'Base stats'!B:B,'Base stats'!C:C)^(2/3))*10,5),5),5),30))-_xlfn.XLOOKUP(B219,'Base stats'!B:B,'Base stats'!P:P)+IF(CC219="True",5,0)</f>
        <v>-15</v>
      </c>
      <c r="M219" s="2">
        <f>IF(OR(_xlfn.XLOOKUP(_xlfn.XLOOKUP(B219,'Base stats'!B:B,'Base stats'!E:E),Groups!A:A,Groups!G:G)=2,ISNUMBER(SEARCH("Desert",BX219)),ISNUMBER(SEARCH("ExtremeDesert",BX219)),ISNUMBER(SEARCH("LavaField",BX219))),50,IF(ISNUMBER(SEARCH("Grasslands",BX219)),45,IF(OR(_xlfn.XLOOKUP(_xlfn.XLOOKUP(B219,'Base stats'!B:B,'Base stats'!E:E),Groups!A:A,Groups!G:G)=1,ISNUMBER(SEARCH("TropicalRainforest",BX219)),ISNUMBER(SEARCH("TropicalSwamp",BX219))),40,IF(OR(ISNUMBER(SEARCH("TemperateForest",BX219)),ISNUMBER(SEARCH("TemperateSwamp",BX219))),35,IF(OR(ISNUMBER(SEARCH("Alpine",BX219)),ISNUMBER(SEARCH("BorealForest",BX219)),ISNUMBER(SEARCH("ColdBog",BX219))),30,IF(ISNUMBER(OR(ISNUMBER(SEARCH("GlacialPlain",BX219)),SEARCH("Tundra",BX219))),25,IF(OR(ISNUMBER(SEARCH("SeaIce",BX219)),ISNUMBER(SEARCH("IceSheet",BX219)),ISNUMBER(SEARCH("TropicalSwamp",BX219))),10,35)))))))+_xlfn.XLOOKUP(B219,'Base stats'!B:B,'Base stats'!Q:Q)</f>
        <v>50</v>
      </c>
      <c r="N219" s="8">
        <f>IF(
_xlfn.XLOOKUP(
_xlfn.XLOOKUP(B219,'Base stats'!B:B,'Base stats'!E:E),
Groups!A:A,
Groups!L:L
)=1,
MIN(
MROUND(
IF(
_xlfn.XLOOKUP(B219,'Animals CE'!B:B,'Animals CE'!Z:Z)&lt;=1.5,
_xlfn.XLOOKUP(B219,'Animals CE'!B:B,'Animals CE'!Z:Z)/2+0.05,
0.8+
(_xlfn.XLOOKUP(B219,'Animals CE'!B:B,'Animals CE'!Z:Z)-1.5)
*0.02
),
0.05
),
200%
),
"No"
)</f>
        <v>0.15000000000000002</v>
      </c>
      <c r="O219" s="8">
        <f>IF(
_xlfn.XLOOKUP(
_xlfn.XLOOKUP(B219,'Base stats'!B:B,'Base stats'!E:E),
Groups!A:A,
Groups!L:L
)=1,
MIN(
MROUND(
IF(
_xlfn.XLOOKUP(B219,'Animals CE'!B:B,'Animals CE'!AA:AA)&lt;=1.5,
_xlfn.XLOOKUP(B219,'Animals CE'!B:B,'Animals CE'!AA:AA)/2+0.05,
0.8+
(_xlfn.XLOOKUP(B219,'Animals CE'!B:B,'Animals CE'!AA:AA)-1.5)
*0.02
),
0.05
),
200%
),
"No"
)</f>
        <v>0.05</v>
      </c>
      <c r="P219" s="2" t="str">
        <f>_xlfn.XLOOKUP(B219,'Base stats'!B:B,'Base stats'!R:R)</f>
        <v>Standard</v>
      </c>
      <c r="Q219" s="13">
        <f>MROUND((LOG10(_xlfn.XLOOKUP(B219,'Base stats'!B:B,'Base stats'!AR:AR))*(AO219^0.5)+(_xlfn.XLOOKUP(B219,'Base stats'!B:B,'Base stats'!AR:AR)/1000)^(2/3)+_xlfn.XLOOKUP(B219,'Base stats'!B:B,'Base stats'!BA:BA)/2)+0.5,0.5)</f>
        <v>1.5</v>
      </c>
      <c r="R219" s="7">
        <f>IF(Q219="No","No",MAX(1,MROUND(_xlfn.XLOOKUP(B219,'Base stats'!B:B,'Base stats'!C:C)^0.165,0.05)))</f>
        <v>1</v>
      </c>
      <c r="S219" s="13" t="str">
        <f>IF(_xlfn.XLOOKUP(_xlfn.XLOOKUP(B219,'Base stats'!B:B,'Base stats'!E:E),Groups!A:A,Groups!P:P)=0,"No",MROUND((LOG10(_xlfn.XLOOKUP(B219,'Base stats'!B:B,'Base stats'!AS:AS))*(AO219^0.5)+(_xlfn.XLOOKUP(B219,'Base stats'!B:B,'Base stats'!AS:AS)/1000)^(2/3)+_xlfn.XLOOKUP(B219,'Base stats'!B:B,'Base stats'!BA:BA))+_xlfn.XLOOKUP(B219,'Base stats'!B:B,'Base stats'!AY:AY)+0.5,0.5))</f>
        <v>No</v>
      </c>
      <c r="T219" s="7" t="str">
        <f>IF(S219="No","No",MAX(_xlfn.XLOOKUP(_xlfn.XLOOKUP(B219,'Base stats'!B:B,'Base stats'!E:E),Groups!A:A,Groups!Q:Q),MROUND(_xlfn.XLOOKUP(_xlfn.XLOOKUP(B219,'Base stats'!B:B,'Base stats'!E:E),Groups!A:A,Groups!Q:Q)*_xlfn.XLOOKUP(B219,'Base stats'!B:B,'Base stats'!C:C)^0.165,0.05)))</f>
        <v>No</v>
      </c>
      <c r="U219" s="7" t="str">
        <f>IF(S219="No","No",_xlfn.XLOOKUP(_xlfn.XLOOKUP(B219,'Base stats'!B:B,'Base stats'!E:E),Groups!A:A,Groups!R:R))</f>
        <v>No</v>
      </c>
      <c r="V219" s="7" t="str">
        <f>IF(S219="No","No",_xlfn.XLOOKUP(_xlfn.XLOOKUP(B219,'Base stats'!B:B,'Base stats'!E:E),Groups!A:A,Groups!S:S))</f>
        <v>No</v>
      </c>
      <c r="W219" s="7" t="str">
        <f>IF(S219="No","No",_xlfn.XLOOKUP(_xlfn.XLOOKUP(B219,'Base stats'!B:B,'Base stats'!E:E),Groups!A:A,Groups!T:T))</f>
        <v>No</v>
      </c>
      <c r="X219" s="13" t="str">
        <f>IF(_xlfn.XLOOKUP(B219,'Base stats'!B:B,'Base stats'!W:W)="No","No",MROUND((LOG10(_xlfn.XLOOKUP(B219,'Base stats'!B:B,'Base stats'!AU:AU))*(AO219^0.5)+(_xlfn.XLOOKUP(B219,'Base stats'!B:B,'Base stats'!AU:AU)/1000)^(2/3)+_xlfn.XLOOKUP(B219,'Base stats'!B:B,'Base stats'!AZ:AZ))+0.5+IF(_xlfn.XLOOKUP(_xlfn.XLOOKUP(B219,'Base stats'!B:B,'Base stats'!E:E),Groups!A:A,Groups!U:U)&lt;&gt;3,_xlfn.XLOOKUP(B219,'Base stats'!B:B,'Base stats'!BA:BA),0),0.5))</f>
        <v>No</v>
      </c>
      <c r="Y219" s="7" t="str">
        <f>IF(X219="No","No",MAX(_xlfn.XLOOKUP(_xlfn.XLOOKUP(B219,'Base stats'!B:B,'Base stats'!E:E),Groups!A:A,Groups!V:V),MROUND(_xlfn.XLOOKUP(_xlfn.XLOOKUP(B219,'Base stats'!B:B,'Base stats'!E:E),Groups!A:A,Groups!V:V)*_xlfn.XLOOKUP(B219,'Base stats'!B:B,'Base stats'!C:C)^0.165,0.05)))</f>
        <v>No</v>
      </c>
      <c r="Z219" s="7" t="str">
        <f>IF(X219="No","No",_xlfn.XLOOKUP(_xlfn.XLOOKUP(B219,'Base stats'!B:B,'Base stats'!E:E),Groups!A:A,Groups!W:W))</f>
        <v>No</v>
      </c>
      <c r="AA219" s="7" t="str">
        <f>IF(X219="No","No",_xlfn.XLOOKUP(_xlfn.XLOOKUP(B219,'Base stats'!B:B,'Base stats'!E:E),Groups!A:A,Groups!X:X))</f>
        <v>No</v>
      </c>
      <c r="AB219" s="7" t="str">
        <f>IF(X219="No","No",_xlfn.XLOOKUP(_xlfn.XLOOKUP(B219,'Base stats'!B:B,'Base stats'!E:E),Groups!A:A,Groups!Y:Y))</f>
        <v>No</v>
      </c>
      <c r="AC219" s="7" t="str">
        <f>_xlfn.XLOOKUP(Animals!B219,'Base stats'!B:B,'Base stats'!X:X)</f>
        <v>False</v>
      </c>
      <c r="AD219" s="13">
        <f>IF(_xlfn.XLOOKUP(B219,'Base stats'!B:B,'Base stats'!AT:AT)="No","No",MROUND((LOG10(_xlfn.XLOOKUP(B219,'Base stats'!B:B,'Base stats'!AT:AT))*(AO219^0.75)+(_xlfn.XLOOKUP(B219,'Base stats'!B:B,'Base stats'!AT:AT)/1000)^(2/3)+_xlfn.XLOOKUP(B219,'Base stats'!B:B,'Base stats'!AX:AX)+_xlfn.XLOOKUP(B219,'Base stats'!B:B,'Base stats'!BA:BA))+0.5,0.5))</f>
        <v>2</v>
      </c>
      <c r="AE219" s="7">
        <f>IF(AD219="No","No",MAX(_xlfn.XLOOKUP(_xlfn.XLOOKUP(B219,'Base stats'!B:B,'Base stats'!E:E),Groups!A:A,Groups!Z:Z),MROUND(_xlfn.XLOOKUP(_xlfn.XLOOKUP(B219,'Base stats'!B:B,'Base stats'!E:E),Groups!A:A,Groups!Z:Z)*_xlfn.XLOOKUP(B219,'Base stats'!B:B,'Base stats'!C:C)^0.165,0.05)))</f>
        <v>1.2</v>
      </c>
      <c r="AF219" s="7" t="str">
        <f>IF(AD219="No","No",_xlfn.XLOOKUP(_xlfn.XLOOKUP(B219,'Base stats'!B:B,'Base stats'!E:E),Groups!A:A,Groups!AA:AA))</f>
        <v>Mouth</v>
      </c>
      <c r="AG219" s="7" t="str">
        <f>IF(AD219="No","No",_xlfn.XLOOKUP(_xlfn.XLOOKUP(B219,'Base stats'!B:B,'Base stats'!E:E),Groups!A:A,Groups!AB:AB))</f>
        <v>mandibles</v>
      </c>
      <c r="AH219" s="7" t="str">
        <f>IF(AD219="No","No",_xlfn.XLOOKUP(_xlfn.XLOOKUP(B219,'Base stats'!B:B,'Base stats'!E:E),Groups!A:A,Groups!AC:AC))</f>
        <v>Bite</v>
      </c>
      <c r="AI219" s="13" t="str">
        <f>IF(_xlfn.XLOOKUP(_xlfn.XLOOKUP(B219,'Base stats'!B:B,'Base stats'!E:E),Groups!A:A,Groups!AD:AD)=0,"No",MROUND((LOG10(_xlfn.XLOOKUP(B219,'Base stats'!B:B,'Base stats'!AS:AS))*(AO219^0.75)+(_xlfn.XLOOKUP(B219,'Base stats'!B:B,'Base stats'!AS:AS)/1000)^(2/3)+_xlfn.XLOOKUP(B219,'Base stats'!B:B,'Base stats'!AY:AY)+_xlfn.XLOOKUP(B219,'Base stats'!B:B,'Base stats'!BA:BA))+0.5,0.5))</f>
        <v>No</v>
      </c>
      <c r="AJ219" s="7" t="str">
        <f>IF(AI219="No","No",MAX(_xlfn.XLOOKUP(_xlfn.XLOOKUP(B219,'Base stats'!B:B,'Base stats'!E:E),Groups!A:A,Groups!AE:AE),MROUND(_xlfn.XLOOKUP(_xlfn.XLOOKUP(B219,'Base stats'!B:B,'Base stats'!E:E),Groups!A:A,Groups!AE:AE)*IF(_xlfn.XLOOKUP(_xlfn.XLOOKUP(B219,'Base stats'!B:B,'Base stats'!E:E),Groups!A:A,Groups!AJ:AJ)="Photonozoa",0.6,1)*_xlfn.XLOOKUP(B219,'Base stats'!B:B,'Base stats'!C:C)^0.165,0.05)))</f>
        <v>No</v>
      </c>
      <c r="AK219" s="7" t="str">
        <f>IF(AI219="No","No",_xlfn.XLOOKUP(_xlfn.XLOOKUP(B219,'Base stats'!B:B,'Base stats'!E:E),Groups!A:A,Groups!AF:AF))</f>
        <v>No</v>
      </c>
      <c r="AL219" s="7" t="str">
        <f>IF(AI219="No","No",_xlfn.XLOOKUP(_xlfn.XLOOKUP(B219,'Base stats'!B:B,'Base stats'!E:E),Groups!A:A,Groups!AG:AG))</f>
        <v>No</v>
      </c>
      <c r="AM219" s="7" t="str">
        <f>IF(AI219="No","No",_xlfn.XLOOKUP(_xlfn.XLOOKUP(B219,'Base stats'!B:B,'Base stats'!E:E),Groups!A:A,Groups!AH:AH))</f>
        <v>No</v>
      </c>
      <c r="AN219" s="2" t="str">
        <f t="shared" si="21"/>
        <v>No</v>
      </c>
      <c r="AO219" s="2">
        <f>MROUND(IF(AND(_xlfn.XLOOKUP(B219,'Base stats'!B:B,'Base stats'!C:C)&gt;=0.5,_xlfn.XLOOKUP(B219,'Base stats'!B:B,'Base stats'!C:C)&lt;=0.8),
IF(_xlfn.XLOOKUP(B219,'Base stats'!B:B,'Base stats'!C:C)&lt;0.1,0.05,IF(_xlfn.XLOOKUP(B219,'Base stats'!B:B,'Base stats'!C:C)&lt;=70,(_xlfn.XLOOKUP(B219,'Base stats'!B:B,'Base stats'!C:C)/70)^0.426489913056526,IF(_xlfn.XLOOKUP(B219,'Base stats'!B:B,'Base stats'!C:C)&lt;=400,(_xlfn.XLOOKUP(B219,'Base stats'!B:B,'Base stats'!C:C)/70)^0.572811455315093,IF(_xlfn.XLOOKUP(B219,'Base stats'!B:B,'Base stats'!C:C)&lt;=2000,2.71391647193063*(_xlfn.XLOOKUP(B219,'Base stats'!B:B,'Base stats'!C:C)/400)^0.252459582904293,3.74314280240376*(_xlfn.XLOOKUP(B219,'Base stats'!B:B,'Base stats'!C:C)/2000)^0.357012633876913)))),
IF(_xlfn.XLOOKUP(B219,'Base stats'!B:B,'Base stats'!C:C)&lt;0.1,0.05,IF(_xlfn.XLOOKUP(B219,'Base stats'!B:B,'Base stats'!C:C)&lt;0.4,0.1,IF(_xlfn.XLOOKUP(B219,'Base stats'!B:B,'Base stats'!C:C)&lt;=70,(_xlfn.XLOOKUP(B219,'Base stats'!B:B,'Base stats'!C:C)/70)^0.445823913056526,IF(_xlfn.XLOOKUP(B219,'Base stats'!B:B,'Base stats'!C:C)&lt;=400,(_xlfn.XLOOKUP(B219,'Base stats'!B:B,'Base stats'!C:C)/70)^0.572811455315093,IF(_xlfn.XLOOKUP(B219,'Base stats'!B:B,'Base stats'!C:C)&lt;=2000,2.71391647193063*(_xlfn.XLOOKUP(B219,'Base stats'!B:B,'Base stats'!C:C)/400)^0.252459582904293,3.74314280240376*(_xlfn.XLOOKUP(B219,'Base stats'!B:B,'Base stats'!C:C)/2000)^0.357012633876913)))))),
IF(_xlfn.XLOOKUP(B219,'Base stats'!B:B,'Base stats'!C:C)&lt;0.1,0.05,IF(_xlfn.XLOOKUP(B219,'Base stats'!B:B,'Base stats'!C:C)&lt;=100,0.05,IF(_xlfn.XLOOKUP(B219,'Base stats'!B:B,'Base stats'!C:C)&lt;=250,0.1,IF(_xlfn.XLOOKUP(B219,'Base stats'!B:B,'Base stats'!C:C)&lt;=4000,0.25,0.5)))))</f>
        <v>0.1</v>
      </c>
      <c r="AP219" s="8">
        <f>MROUND(AO219*_xlfn.XLOOKUP(_xlfn.XLOOKUP(B219,'Base stats'!B:B,'Base stats'!E:E),Groups!A:A,Groups!AI:AI)*_xlfn.XLOOKUP(B219,'Base stats'!B:B,'Base stats'!Z:Z),0.05)</f>
        <v>0.1</v>
      </c>
      <c r="AQ219" s="8">
        <f>MAX(0.01,MROUND(IF(CC219="True",0.196*(AO219*100*1000)^0.889,IF(_xlfn.XLOOKUP(_xlfn.XLOOKUP(B219,'Base stats'!B:B,'Base stats'!E:E),Groups!A:A,Groups!AJ:AJ)="Bird",10.5*(AO219*100*1000)^0.681,4.82*(AO219*100*1000)^0.734))/(4.82*(1*100*1000)^0.734)/IF(AO219&lt;3.5,2,IF(AO219=3.5,1.5,1.25))*(1+0.132282374779864/(AO219^0.994035016789033+0.00905238001496948)),0.05))</f>
        <v>0.05</v>
      </c>
      <c r="AR219" s="9">
        <f>IFERROR(MROUND(_xlfn.XLOOKUP(B219,'Base stats'!B:B,'Base stats'!H:H)/IF(_xlfn.XLOOKUP(B219,'Base stats'!B:B,'Base stats'!I:I)&lt;&gt;1,(122.5/70),1.2),IF(_xlfn.XLOOKUP(B219,'Base stats'!B:B,'Base stats'!H:H)&gt;=30,5,IF(_xlfn.XLOOKUP(B219,'Base stats'!B:B,'Base stats'!H:H)&gt;=15,3,IF(_xlfn.XLOOKUP(B219,'Base stats'!B:B,'Base stats'!H:H)&gt;=10,2,1)))),"Immortal")</f>
        <v>1</v>
      </c>
      <c r="AS219" s="35" t="str">
        <f>IFERROR(IF(OR(_xlfn.XLOOKUP(B219,'Base stats'!B:B,'Base stats'!F:F)="Atypical reproduction",_xlfn.XLOOKUP(B219,'Base stats'!B:B,'Base stats'!F:F)="Lay eggs"),"Lay eggs",MIN(20,MAX(5.5,ROUND(((_xlfn.XLOOKUP(B219,'Base stats'!B:B,'Base stats'!F:F)-25)*(14.5/615) + 5.5)*2,0)/2))),"Unknown")</f>
        <v>Lay eggs</v>
      </c>
      <c r="AT219" s="8" t="str">
        <f>IF(_xlfn.XLOOKUP(B219,'Base stats'!B:B,'Base stats'!G:G)="Atypical reproduction","No",IFERROR(MAX(IF(_xlfn.XLOOKUP(B219,'Base stats'!B:B,'Base stats'!G:G)&lt;0.5,0.2,0.3),MROUND(_xlfn.XLOOKUP(B219,'Base stats'!B:B,'Base stats'!G:G)/(365/60),0.2)),"Unknown"))</f>
        <v>No</v>
      </c>
      <c r="AU219" s="8" t="str">
        <f t="shared" si="22"/>
        <v>No</v>
      </c>
      <c r="AV219" s="8" t="str">
        <f>IFERROR(IFERROR(MROUND(_xlfn.XLOOKUP(B219,'Base stats'!B:B,'Base stats'!J:J),0.1),"Lay eggs"),"Cannot breed")</f>
        <v>Lay eggs</v>
      </c>
      <c r="AW219" s="2" t="str">
        <f t="shared" si="23"/>
        <v>true</v>
      </c>
      <c r="AX219" s="2" t="str">
        <f>IF(_xlfn.XLOOKUP(_xlfn.XLOOKUP(Animals!B219,'Base stats'!B:B,'Base stats'!E:E),Groups!A:A,Groups!AK:AK)=1,"true","false")</f>
        <v>false</v>
      </c>
      <c r="AY219" s="25" t="str">
        <f>IF(_xlfn.XLOOKUP(B219,'Base stats'!B:B,'Base stats'!Y:Y)="Liquor","Liquor, CarnivoreAnimalStrict",IF(AND(_xlfn.XLOOKUP(B219,'Base stats'!B:B,'Base stats'!Y:Y)="Carnivore",_xlfn.XLOOKUP(_xlfn.XLOOKUP(B219,'Base stats'!B:B,'Base stats'!E:E),Groups!A:A,Groups!AJ:AJ)="Photonozoa"),"CarnivoreAnimalStrict, OvivoreAnimal",IF(_xlfn.XLOOKUP(B219,'Base stats'!B:B,'Base stats'!Y:Y)="Carnivore","CarnivoreAnimal, OvivoreAnimal",IF(_xlfn.XLOOKUP(B219,'Base stats'!B:B,'Base stats'!Y:Y)="Dendrovore","VegetarianRoughAnimal, DendrovoreAnimal",IF(_xlfn.XLOOKUP(B219,'Base stats'!B:B,'Base stats'!Y:Y)="Herbivore","VegetarianRoughAnimal",IF(_xlfn.XLOOKUP(B219,'Base stats'!B:B,'Base stats'!Y:Y)="OmnivoreRough","OmnivoreRoughAnimal, OvivoreAnimal","OmnivoreAnimal, OvivoreAnimal"))))))</f>
        <v>VegetarianRoughAnimal</v>
      </c>
      <c r="AZ219" s="2" t="str">
        <f>IF(_xlfn.XLOOKUP(_xlfn.XLOOKUP(B219,'Base stats'!B:B,'Base stats'!E:E),Groups!A:A,Groups!D:D)=1,MROUND((1-J219)*5+1,2)*IF(J219&lt;=0.4,2,1),"No")</f>
        <v>No</v>
      </c>
      <c r="BA219" s="2" t="str">
        <f>IF(AND(_xlfn.XLOOKUP(B219,'Base stats'!B:B,'Base stats'!AH:AH)="&lt;li&gt;Seal&lt;/li&gt;",G219="Odyssey"),"&lt;li&gt;AEXP_Seal&lt;/li&gt;",_xlfn.XLOOKUP(B219,'Base stats'!B:B,'Base stats'!AH:AH))</f>
        <v>&lt;li&gt;Megaspider&lt;/li&gt;</v>
      </c>
      <c r="BB219" s="2" t="str">
        <f>_xlfn.XLOOKUP(B219,'Base stats'!B:B,'Base stats'!AG:AG)</f>
        <v>Leather_Chitin</v>
      </c>
      <c r="BC219" s="23" t="str">
        <f>_xlfn.XLOOKUP(_xlfn.XLOOKUP(B219,'Base stats'!B:B,'Base stats'!E:E),Groups!A:A,Groups!AL:AL)</f>
        <v>Larva</v>
      </c>
      <c r="BD219" s="23">
        <f>MIN(1,MROUND(IF(AND(AO219&lt;0.5,_xlfn.XLOOKUP(B219,'Base stats'!B:B,'Base stats'!AA:AA)=0),0,IF(OR(_xlfn.XLOOKUP(Animals!B219,'Base stats'!B:B,'Base stats'!O:O)=2,_xlfn.XLOOKUP(_xlfn.XLOOKUP(B219,'Base stats'!B:B,'Base stats'!E:E),Groups!A:A,Groups!AN:AN)=0),0,_xlfn.XLOOKUP(_xlfn.XLOOKUP(B219,'Base stats'!B:B,'Base stats'!E:E),Groups!A:A,Groups!AN:AN)/IF(_xlfn.XLOOKUP(Animals!B219,'Base stats'!B:B,'Base stats'!O:O)=1,2,1)))+_xlfn.XLOOKUP(B219,'Base stats'!B:B,'Base stats'!AC:AC),0.005))</f>
        <v>0</v>
      </c>
      <c r="BE219" s="23">
        <f>MIN(1,MROUND(IF(AND(AO219&lt;0.5,_xlfn.XLOOKUP(B219,'Base stats'!B:B,'Base stats'!AA:AA)=0),0,IF(_xlfn.XLOOKUP(_xlfn.XLOOKUP(B219,'Base stats'!B:B,'Base stats'!E:E),Groups!A:A,Groups!AO:AO)=0,0,_xlfn.XLOOKUP(_xlfn.XLOOKUP(B219,'Base stats'!B:B,'Base stats'!E:E),Groups!A:A,Groups!AO:AO)/IF(_xlfn.XLOOKUP(Animals!B219,'Base stats'!B:B,'Base stats'!O:O)=2,3,1)))+_xlfn.XLOOKUP(B219,'Base stats'!B:B,'Base stats'!AD:AD),0.005))</f>
        <v>0</v>
      </c>
      <c r="BF219" s="2" t="str">
        <f>IF(J219&gt;0.3,"No",_xlfn.XLOOKUP(_xlfn.XLOOKUP(Animals!B219,'Base stats'!B:B,'Base stats'!E:E),Groups!A:A,Groups!AP:AP))</f>
        <v>No</v>
      </c>
      <c r="BG219" s="2" t="str">
        <f>IF(AND(J219&lt;=0.65,_xlfn.XLOOKUP(_xlfn.XLOOKUP(Animals!B219,'Base stats'!B:B,'Base stats'!E:E),Groups!A:A,Groups!AP:AP)&lt;&gt;"No",_xlfn.XLOOKUP(_xlfn.XLOOKUP(B219,'Base stats'!B:B,'Base stats'!E:E),Groups!A:A,Groups!D:D)=0),MROUND((80/3)*IF(_xlfn.XLOOKUP(B219,'Base stats'!B:B,'Base stats'!O:O)=2,0.2,AO219) + 24*(1-IF(BF219="No",0,BF219)) + 16/3, 12),"No")</f>
        <v>No</v>
      </c>
      <c r="BH219" s="2">
        <f>IF(AND(_xlfn.XLOOKUP(_xlfn.XLOOKUP(B219,'Base stats'!B:B,'Base stats'!E:E),Groups!A:A,Groups!AQ:AQ)=1,AO219&lt;=0.35),8,12)</f>
        <v>12</v>
      </c>
      <c r="BI219" s="2" t="str">
        <f>IF(_xlfn.XLOOKUP(_xlfn.XLOOKUP(B219,'Base stats'!B:B,'Base stats'!E:E),Groups!A:A,Groups!D:D)=0,_xlfn.XLOOKUP(_xlfn.XLOOKUP(B219,'Base stats'!B:B,'Base stats'!E:E),Groups!A:A,Groups!AR:AR),"None")</f>
        <v>Intermediate</v>
      </c>
      <c r="BJ219" s="2" t="str">
        <f>IF(AND(_xlfn.XLOOKUP(_xlfn.XLOOKUP(B219,'Base stats'!B:B,'Base stats'!E:E),Groups!A:A,Groups!AS:AS)=1,OR(_xlfn.XLOOKUP(B219,'Base stats'!B:B,'Base stats'!Y:Y)="Carnivore",_xlfn.XLOOKUP(B219,'Base stats'!B:B,'Base stats'!Y:Y)="Omnivore")),"true","false")</f>
        <v>false</v>
      </c>
      <c r="BK219" s="2" t="str">
        <f>IF(BJ219="true",MROUND(IF(AND(AO219&gt;0.5,OR(_xlfn.XLOOKUP(_xlfn.XLOOKUP(B219,'Base stats'!B:B,'Base stats'!E:E),Groups!A:A,Groups!AJ:AJ)="Photonozoa",_xlfn.XLOOKUP(_xlfn.XLOOKUP(B219,'Base stats'!B:B,'Base stats'!E:E),Groups!A:A,Groups!AJ:AJ)="Mammal")),Animals!AO219*1.75*IF(AW219="true",1.5,1),IF(AO219&lt;0.5,Animals!AO219*0.5,Animals!AO219)),IF(AO219&gt;2,0.5,IF(AO219&gt;0.5,0.25,0.1))),"No")</f>
        <v>No</v>
      </c>
      <c r="BL219" s="2">
        <f t="shared" si="24"/>
        <v>1</v>
      </c>
      <c r="BM219" s="25" t="str">
        <f>IF(_xlfn.XLOOKUP(B219,'Base stats'!B:B,'Base stats'!AN:AN)="Standard","No",MROUND((_xlfn.XLOOKUP(B219,'Base stats'!B:B,'Base stats'!AN:AN)/3.6)/I219,0.1))</f>
        <v>No</v>
      </c>
      <c r="BN219" s="25" t="str">
        <f t="shared" si="25"/>
        <v>false</v>
      </c>
      <c r="BO219" s="25" t="str">
        <f>IF(AND(OR(_xlfn.XLOOKUP(B219,'Base stats'!B:B,'Base stats'!Y:Y)="Carnivore",_xlfn.XLOOKUP(B219,'Base stats'!B:B,'Base stats'!Y:Y)="Omnivore",_xlfn.XLOOKUP(B219,'Base stats'!B:B,'Base stats'!Y:Y)="OmnivoreRough"),_xlfn.XLOOKUP(_xlfn.XLOOKUP(B219,'Base stats'!B:B,'Base stats'!E:E),Groups!A:A,Groups!AT:AT)=1),"true","false")</f>
        <v>false</v>
      </c>
      <c r="BP219" s="25" t="str" cm="1">
        <f t="array" ref="BP219">IF(
  _xlfn.TEXTJOIN(", ",TRUE,
    IF(AND(BJ219="true",AO219&gt;0.5,BI219&lt;&gt;"None"),"AttackTarget",""),
    IF(AND(_xlfn.XLOOKUP(_xlfn.XLOOKUP(B219,'Base stats'!B:B,'Base stats'!E:E),Groups!A:A,Groups!AJ:AJ="Mammal"),OR(_xlfn.XLOOKUP(B219,'Base stats'!B:B,'Base stats'!Y:Y)="Omnivore",_xlfn.XLOOKUP(B219,'Base stats'!B:B,'Base stats'!Y:Y)="OmnivoreRough")),"Forage",""),
    IF(BG219&lt;=36,"Comfort",""),
    IF(_xlfn.XLOOKUP(B219,'Base stats'!B:B,'Base stats'!AE:AE)&lt;&gt;"No",_xlfn.XLOOKUP(B219,'Base stats'!B:B,'Base stats'!AE:AE),"")
  ) = "",
  "No",
  _xlfn.TEXTJOIN(", ",TRUE,
    IF(AND(BJ219="true",AO219&gt;0.5,BI219&lt;&gt;"None"),"AttackTarget",""),
    IF(AND(_xlfn.XLOOKUP(_xlfn.XLOOKUP(B219,'Base stats'!B:B,'Base stats'!E:E),Groups!A:A,Groups!AJ:AJ="Mammal"),OR(_xlfn.XLOOKUP(B219,'Base stats'!B:B,'Base stats'!Y:Y)="Omnivore",_xlfn.XLOOKUP(B219,'Base stats'!B:B,'Base stats'!Y:Y)="OmnivoreRough")),"Forage",""),
    IF(BG219&lt;=36,"Comfort",""),
    IF(_xlfn.XLOOKUP(B219,'Base stats'!B:B,'Base stats'!AE:AE)&lt;&gt;"No",_xlfn.XLOOKUP(B219,'Base stats'!B:B,'Base stats'!AE:AE),"")
  )
)</f>
        <v>No</v>
      </c>
      <c r="BQ219" s="25" t="str">
        <f>IF(
   AND(
      'Base stats'!AN219="Standard",_xlfn.XLOOKUP(_xlfn.XLOOKUP(B219,'Base stats'!B:B,'Base stats'!E:E),Groups!A:A,Groups!AU:AU)=0,
      OR(
      BO219="True"
      )
   ),
   10,
   IF(
       OR(BM219&lt;&gt;"No",_xlfn.XLOOKUP(_xlfn.XLOOKUP(B219,'Base stats'!B:B,'Base stats'!E:E),Groups!A:A,Groups!AU:AU)=1),
      1,
      "No"
   )
)</f>
        <v>No</v>
      </c>
      <c r="BR219" s="9">
        <f>MROUND((1 + ((0.2*IF(OR(Q219="No",R219="No",R219=0),0,Q219/R219)
+IF(OR(V219="No",S219="No",T219="No"),0,S219/T219*(LEN(V219)-LEN(SUBSTITUTE(V219,",",""))+1))
+IF(OR(X219="No",Y219="No"),0,X219/Y219)
+IF(OR(AD219="No",AE219="No"),0,AD219/AE219)
+IF(OR(AL219="No",AI219="No",AJ219="No"),0,AI219/AJ219*(LEN(AL219)-LEN(SUBSTITUTE(AL219,",",""))+1))
)/(0.2*IF(OR(Q219="No",R219="No",R219=0),0,1)
+IF(OR(V219="No",S219="No",T219="No"),0,LEN(V219)-LEN(SUBSTITUTE(V219,",",""))+1)
+IF(OR(X219="No",Y219="No"),0,1)
+IF(OR(AD219="No",AE219="No"),0,1)
+IF(OR(AL219="No",AI219="No",AJ219="No"),0,LEN(AL219)-LEN(SUBSTITUTE(AL219,",",""))+1))*62%)* 2)*(1 + (AP219 / (IF(_xlfn.XLOOKUP(_xlfn.XLOOKUP(B219,'Base stats'!B:B,'Base stats'!E:E),Groups!A:A,Groups!AJ:AJ)="Photonozoa",0.3,1)) + _xlfn.XLOOKUP(B219,'Base stats'!B:B,'Base stats'!AV:AV) * 1.8) * 2) * 2.5 + 10 + I219 * 2,5)+IF(_xlfn.XLOOKUP(B219,'Base stats'!B:B,'Base stats'!AK:AK)=1,50,0)</f>
        <v>25</v>
      </c>
      <c r="BS219" s="8">
        <f t="shared" si="26"/>
        <v>0.05</v>
      </c>
      <c r="BT219" s="8" t="str">
        <f>_xlfn.XLOOKUP(B219,'Base stats'!B:B,'Base stats'!AF:AF)</f>
        <v>2~6</v>
      </c>
      <c r="BU219" s="2" t="str">
        <f>IF(AND(J219&lt;=0.95,OR(_xlfn.XLOOKUP(B219,'Base stats'!B:B,'Base stats'!AK:AK)=1,_xlfn.XLOOKUP(B219,'Base stats'!B:B,'Base stats'!Y:Y)="Carnivore",_xlfn.XLOOKUP(B219,'Base stats'!B:B,'Base stats'!Y:Y)="Omnivore",BE219&gt;0.1)),"true","false")</f>
        <v>false</v>
      </c>
      <c r="BV219" s="2" t="str">
        <f>IF(_xlfn.XLOOKUP(B219,'Base stats'!B:B,'Base stats'!AI:AI)=1,"true","false")</f>
        <v>false</v>
      </c>
      <c r="BW219" s="25" t="str">
        <f>IF(E219="BaseInsect","AnimalInsect",
IF(J219&gt;0.95,"AnimalExotic",
_xlfn.TEXTJOIN(", ",TRUE,
IF(OR(_xlfn.XLOOKUP(B219,'Base stats'!B:B,'Base stats'!AM:AM)=1,AND(_xlfn.XLOOKUP(B219,'Base stats'!B:B,'Base stats'!O:O)=0,_xlfn.XLOOKUP(_xlfn.XLOOKUP(B219,'Base stats'!B:B,'Base stats'!E:E),Groups!A:A,Groups!B:B)&gt;0)),"AnimalUncommon","AnimalCommon"),
IF(AND(_xlfn.XLOOKUP(B219,'Base stats'!B:B,'Base stats'!O:O)=2,_xlfn.XLOOKUP(_xlfn.XLOOKUP(B219,'Base stats'!B:B,'Base stats'!E:E),Groups!A:A,Groups!D:D)=0),"AnimalPet",IF(AND(_xlfn.XLOOKUP(B219,'Base stats'!B:B,'Base stats'!O:O)&lt;&gt;0,_xlfn.XLOOKUP(_xlfn.XLOOKUP(B219,'Base stats'!B:B,'Base stats'!E:E),Groups!A:A,Groups!D:D)&lt;&gt;0),"AnimalFarm","")),
IF(OR(_xlfn.XLOOKUP(B219,'Base stats'!B:B,'Base stats'!AK:AK)=1,AND(BI219&lt;&gt;"None",BR219&gt;=60),ISNUMBER(SEARCH("Attack target",BP219))),"AnimalFighter","")
)))</f>
        <v>AnimalUncommon</v>
      </c>
      <c r="BX219" s="25" t="str">
        <f>IF(G219="None",TRIM(
SUBSTITUTE(
IF(COUNTIF(Biomes!B$2:B$259,"="&amp;$C219)&gt;0,Biomes!B$1&amp;", ","")&amp;
IF(COUNTIF(Biomes!C$2:C$259,"="&amp;$C219)&gt;0,Biomes!C$1&amp;", ","")&amp;
IF(COUNTIF(Biomes!D$2:D$259,"="&amp;$C219)&gt;0,Biomes!D$1&amp;", ","")&amp;
IF(COUNTIF(Biomes!F$2:F$259,"="&amp;$C219)&gt;0,Biomes!F$1&amp;", ","")&amp;
IF(COUNTIF(Biomes!G$2:G$259,"="&amp;$C219)&gt;0,Biomes!G$1&amp;", ","")&amp;
IF(COUNTIF(Biomes!H$2:H$259,"="&amp;$C219)&gt;0,Biomes!H$1&amp;", ","")&amp;
IF(COUNTIF(Biomes!I$2:I$259,"="&amp;$C219)&gt;0,Biomes!I$1&amp;", ","")&amp;
IF(COUNTIF(Biomes!J$2:J$259,"="&amp;$C219)&gt;0,Biomes!J$1&amp;", ","")&amp;
IF(COUNTIF(Biomes!M$2:M$259,"="&amp;$C219)&gt;0,Biomes!M$1&amp;", ","")&amp;
IF(COUNTIF(Biomes!N$2:N$259,"="&amp;$C219)&gt;0,Biomes!N$1&amp;", ","")&amp;
IF(COUNTIF(Biomes!O$2:O$259,"="&amp;$C219)&gt;0,Biomes!O$1&amp;", ","")&amp;
IF(COUNTIF(Biomes!P$2:P$259,"="&amp;$C219)&gt;0,Biomes!P$1&amp;", ","")&amp;
IF(COUNTIF(Biomes!K$2:K$259,"="&amp;$C219)&gt;0,Biomes!K$1&amp;", ","")&amp;
IF(COUNTIF(Biomes!Q$3:Q$259,"="&amp;$C219)&gt;0,Biomes!Q$1&amp;", ","")&amp;
IF(COUNTIF(Biomes!L$2:L$259,"="&amp;$C219)&gt;0,Biomes!L$1&amp;", ","")&amp;
IF(COUNTIF(Biomes!E$2:E$259,"="&amp;$C219)&gt;0,Biomes!E$1&amp;", ","")&amp;IF(COUNTIF(Biomes!S$2:S$259,"="&amp;$C219)&gt;0,Biomes!S$1&amp;", ","")&amp;
IF(COUNTIF(Biomes!R$2:R$259,"="&amp;$C219)&gt;0,Biomes!R$1&amp;", ",""),", ","")
),_xlfn.XLOOKUP(B219,B:B,BX:BX))</f>
        <v>TemperateForest TemperateSwamp AridShrubland Desert TropicalRainforest TropicalSwamp Grasslands Glowforest LavaField Scarlands</v>
      </c>
      <c r="BY219" s="25" t="str">
        <f>IF(_xlfn.XLOOKUP(B219,'Base stats'!B:B,'Base stats'!AJ:AJ)=1,"true","false")</f>
        <v>false</v>
      </c>
      <c r="BZ219" s="25">
        <f>IF(_xlfn.XLOOKUP(B219,'Base stats'!B:B,'Base stats'!N:N)=1,"No",MAX(0.001,MIN(MROUND(IF(AND(BJ219="True",CC219="False"),POWER(10,3.47*LOG10(_xlfn.XLOOKUP(B219,'Base stats'!B:B,'Base stats'!C:C)*1000)^-0.96),POWER(10,4.15*LOG10(_xlfn.XLOOKUP(B219,'Base stats'!B:B,'Base stats'!C:C)*1000)^-0.73))*IF(_xlfn.XLOOKUP(B219,'Base stats'!B:B,'Base stats'!AK:AK)=1,0.5,1)*IF(_xlfn.XLOOKUP(B219,'Base stats'!B:B,'Base stats'!AM:AM)=1,0.1,1)/100,IF(_xlfn.XLOOKUP(B219,'Base stats'!B:B,'Base stats'!AM:AM)=1,0.001,0.025)),0.5)))</f>
        <v>0.10200000000000001</v>
      </c>
      <c r="CA219" s="25" t="str">
        <f>IF(P219="Standard","No",MAX(0.001,MIN(MROUND(IF(AND(BJ219="True",CC219="False"),POWER(10,3.47*LOG10(_xlfn.XLOOKUP(B219,'Base stats'!B:B,'Base stats'!C:C)*1000)^-0.96),POWER(10,4.15*LOG10(_xlfn.XLOOKUP(B219,'Base stats'!B:B,'Base stats'!C:C)*1000)^-0.73))*IF(_xlfn.XLOOKUP(B219,'Base stats'!B:B,'Base stats'!AM:AM)=1,0.1,1)*_xlfn.XLOOKUP(B219,'Base stats'!B:B,'Base stats'!R:R)/100,IF(_xlfn.XLOOKUP(B219,'Base stats'!B:B,'Base stats'!AM:AM)=1,0.001,0.025)),0.5)))</f>
        <v>No</v>
      </c>
      <c r="CB219" s="25" t="str">
        <f>IF(_xlfn.XLOOKUP(_xlfn.XLOOKUP(B219,'Base stats'!B:B,'Base stats'!E:E),Groups!A:A,Groups!AJ:AJ)="Mammal","True","False")</f>
        <v>False</v>
      </c>
      <c r="CC219" s="25" t="str">
        <f>IF(OR(_xlfn.XLOOKUP(_xlfn.XLOOKUP(B219,'Base stats'!B:B,'Base stats'!E:E),Groups!A:A,Groups!AJ:AJ)="Reptile",_xlfn.XLOOKUP(_xlfn.XLOOKUP(B219,'Base stats'!B:B,'Base stats'!E:E),Groups!A:A,Groups!AJ:AJ)="Amphibian",_xlfn.XLOOKUP(_xlfn.XLOOKUP(B219,'Base stats'!B:B,'Base stats'!E:E),Groups!A:A,Groups!AJ:AJ)="Invertebrate"),"True","False")</f>
        <v>True</v>
      </c>
      <c r="CD219" s="25" t="str">
        <f t="shared" si="27"/>
        <v>False</v>
      </c>
      <c r="CE219" s="25" t="str">
        <f>IF(_xlfn.XLOOKUP(_xlfn.XLOOKUP(B219,'Base stats'!B:B,'Base stats'!E:E),Groups!A:A,Groups!AX:AX),"True","False")</f>
        <v>False</v>
      </c>
      <c r="CF219" s="25" t="str">
        <f>IF(_xlfn.XLOOKUP(_xlfn.XLOOKUP(B219,'Base stats'!B:B,'Base stats'!E:E),Groups!A:A,Groups!AY:AY),"True","False")</f>
        <v>False</v>
      </c>
      <c r="CG219" s="25" t="str">
        <f>IF(_xlfn.XLOOKUP(_xlfn.XLOOKUP(B219,'Base stats'!B:B,'Base stats'!E:E),Groups!A:A,Groups!AW:AW),"True","False")</f>
        <v>False</v>
      </c>
      <c r="CH219" s="25" t="str">
        <f>IF(
OR(
_xlfn.XLOOKUP(_xlfn.XLOOKUP(B219,'Base stats'!B:B,'Base stats'!E:E),Groups!A:A,Groups!AZ:AZ)=0,
AND(
_xlfn.XLOOKUP(B219,'Base stats'!B:B,'Base stats'!Y:Y)&lt;&gt;"Carnivore",
_xlfn.XLOOKUP(B219,'Base stats'!B:B,'Base stats'!Y:Y)&lt;&gt;"Omnivore",
_xlfn.XLOOKUP(B219,'Base stats'!B:B,'Base stats'!Y:Y)&lt;&gt;"OmnivoreRough"
)
),
"No",
IF(
_xlfn.XLOOKUP(_xlfn.XLOOKUP(B219,'Base stats'!B:B,'Base stats'!E:E),Groups!A:A,Groups!AZ:AZ)=1,
"Flesh",
IF(
_xlfn.XLOOKUP(_xlfn.XLOOKUP(B219,'Base stats'!B:B,'Base stats'!E:E),Groups!A:A,Groups!AZ:AZ)=2,
"Bone",
""
)
)
)</f>
        <v>No</v>
      </c>
      <c r="CI219" s="25" t="str">
        <f>IF(_xlfn.XLOOKUP(_xlfn.XLOOKUP(B219,'Base stats'!B:B,'Base stats'!E:E),Groups!A:A,Groups!BB:BB),"True","False")</f>
        <v>False</v>
      </c>
      <c r="CJ219" s="25" t="str">
        <f>IF(_xlfn.XLOOKUP(_xlfn.XLOOKUP(B219,'Base stats'!B:B,'Base stats'!E:E),Groups!A:A,Groups!BA:BA),"True","False")</f>
        <v>False</v>
      </c>
    </row>
    <row r="220" spans="1:88" ht="16.5" thickTop="1" thickBot="1" x14ac:dyDescent="0.3">
      <c r="A220" s="26" t="s">
        <v>1351</v>
      </c>
      <c r="B220" s="6" t="str">
        <f>_xlfn.XLOOKUP(A220,'Base stats'!A:A,'Base stats'!B:B)</f>
        <v>Colossus animae</v>
      </c>
      <c r="C220" s="28" t="s">
        <v>1350</v>
      </c>
      <c r="D220" s="28" t="s">
        <v>1341</v>
      </c>
      <c r="E220" s="28" t="s">
        <v>673</v>
      </c>
      <c r="F220" s="28" t="s">
        <v>673</v>
      </c>
      <c r="G220" s="28" t="s">
        <v>673</v>
      </c>
      <c r="H220" s="2">
        <f>MROUND((
  (IF(AND(_xlfn.XLOOKUP(B220,'Base stats'!B:B,'Base stats'!AL:AL)=0,BI220="None",_xlfn.XLOOKUP(_xlfn.XLOOKUP(B220,'Base stats'!B:B,'Base stats'!E:E),Groups!A:A,Groups!B:B)=0), (18 + BR220 * 2.7) * 0.5,
    IF(AND(_xlfn.XLOOKUP(B220,'Base stats'!B:B,'Base stats'!AL:AL)=0,OR(AO220&lt;0.55,AND(BI220="Intermediate",_xlfn.XLOOKUP(_xlfn.XLOOKUP(B220,'Base stats'!B:B,'Base stats'!E:E),Groups!A:A,Groups!B:B)&lt;2))), (18 + BR220 * 2.7),
      IF(OR(BI220="Advanced",_xlfn.XLOOKUP(B220,'Base stats'!B:B,'Base stats'!AL:AL)=1,_xlfn.XLOOKUP(_xlfn.XLOOKUP(B220,'Base stats'!B:B,'Base stats'!E:E),Groups!A:A,Groups!B:B)=2), (18 + BR220 * 2.7) + 250, (18 + BR220 * 2.7))
    )
  ))
  + AO220 * 80
  + IF(COUNTIF(EggMilk!K$2:K$998, A220) &gt; 0, 125, 0)
  + IF(COUNTIF(EggMilk!P$2:P$998, A220) &gt; 0, 90, 0)
  + IF(COUNTIF(EggMilk!A$2:A$998, A220) &gt; 0, 90, 0)
)
* (0.8 + 0.4 * J220)
* 0.75,25)</f>
        <v>3025</v>
      </c>
      <c r="I220" s="2">
        <f>MROUND(ROUNDDOWN(_xlfn.XLOOKUP(B220,'Base stats'!B:B,'Base stats'!L:L)/3.6/(23.3/11),1),0.5)</f>
        <v>2</v>
      </c>
      <c r="J220" s="2">
        <f>IF(OR(_xlfn.XLOOKUP(B220,'Base stats'!B:B,'Base stats'!AB:AB)=1,_xlfn.XLOOKUP(_xlfn.XLOOKUP(B220,'Base stats'!B:B,'Base stats'!E:E),Groups!A:A,Groups!C:C)="Untamable"),1,IF(_xlfn.XLOOKUP(B220,'Base stats'!B:B,'Base stats'!AL:AL)=1,0.99,MIN(MROUND((1-0.6282*EXP(-0.459*AO220))*_xlfn.XLOOKUP(_xlfn.XLOOKUP(B220,'Base stats'!B:B,'Base stats'!E:E),Groups!A:A,Groups!C:C)*IF(_xlfn.XLOOKUP(B220,'Base stats'!B:B,'Base stats'!O:O)=1,0.5,IF(_xlfn.XLOOKUP(B220,'Base stats'!B:B,'Base stats'!O:O)=2,0,1)),0.05),IF(AO220&gt;3.5,0.985,0.95))))</f>
        <v>0.98499999999999999</v>
      </c>
      <c r="K220" s="2">
        <f>ROUNDUP(AO220*_xlfn.XLOOKUP(_xlfn.XLOOKUP(B220,'Base stats'!B:B,'Base stats'!E:E),Groups!A:A,Groups!E:E),0)</f>
        <v>33</v>
      </c>
      <c r="L220" s="2">
        <f>IF(OR(_xlfn.XLOOKUP(_xlfn.XLOOKUP(B220,'Base stats'!B:B,'Base stats'!E:E),Groups!A:A,Groups!F:F)=2,ISNUMBER(SEARCH("SeaIce",BX220)),ISNUMBER(SEARCH("IceSheet",BX220))),-50,IF(OR(ISNUMBER(SEARCH("GlacialPlain",BX220)),ISNUMBER(SEARCH("Tundra",BX220))),-40,IF(OR(ISNUMBER(SEARCH("Alpine",BX220)),ISNUMBER(SEARCH("BorealForest",BX220)),ISNUMBER(SEARCH("ColdBog",BX220))),-30,IF(OR(ISNUMBER(SEARCH("TemperateForest",BX220)),ISNUMBER(SEARCH("TemperateSwamp",BX220))),-20,IF(_xlfn.XLOOKUP(_xlfn.XLOOKUP(B220,'Base stats'!B:B,'Base stats'!E:E),Groups!A:A,Groups!F:F)=1,-15,IF(OR(ISNUMBER(SEARCH("Desert",BX220)),ISNUMBER(SEARCH("ExtremeDesert",BX220))),-10,IF(OR(ISNUMBER(SEARCH("Grasslands",BX220)),ISNUMBER(SEARCH("TropicalRainforest",BX220)),ISNUMBER(SEARCH("TropicalSwamp",BX220))),10,0)))))))-IF(CC220="False",MIN(IFERROR(MAX(MROUND(LOG10(_xlfn.XLOOKUP(B220,'Base stats'!B:B,'Base stats'!C:C)^(2/3))*10,5),5),5),30))-_xlfn.XLOOKUP(B220,'Base stats'!B:B,'Base stats'!P:P)+IF(CC220="True",5,0)</f>
        <v>-25</v>
      </c>
      <c r="M220" s="2">
        <f>IF(OR(_xlfn.XLOOKUP(_xlfn.XLOOKUP(B220,'Base stats'!B:B,'Base stats'!E:E),Groups!A:A,Groups!G:G)=2,ISNUMBER(SEARCH("Desert",BX220)),ISNUMBER(SEARCH("ExtremeDesert",BX220)),ISNUMBER(SEARCH("LavaField",BX220))),50,IF(ISNUMBER(SEARCH("Grasslands",BX220)),45,IF(OR(_xlfn.XLOOKUP(_xlfn.XLOOKUP(B220,'Base stats'!B:B,'Base stats'!E:E),Groups!A:A,Groups!G:G)=1,ISNUMBER(SEARCH("TropicalRainforest",BX220)),ISNUMBER(SEARCH("TropicalSwamp",BX220))),40,IF(OR(ISNUMBER(SEARCH("TemperateForest",BX220)),ISNUMBER(SEARCH("TemperateSwamp",BX220))),35,IF(OR(ISNUMBER(SEARCH("Alpine",BX220)),ISNUMBER(SEARCH("BorealForest",BX220)),ISNUMBER(SEARCH("ColdBog",BX220))),30,IF(ISNUMBER(OR(ISNUMBER(SEARCH("GlacialPlain",BX220)),SEARCH("Tundra",BX220))),25,IF(OR(ISNUMBER(SEARCH("SeaIce",BX220)),ISNUMBER(SEARCH("IceSheet",BX220)),ISNUMBER(SEARCH("TropicalSwamp",BX220))),10,35)))))))+_xlfn.XLOOKUP(B220,'Base stats'!B:B,'Base stats'!Q:Q)</f>
        <v>40</v>
      </c>
      <c r="N220" s="8">
        <f>IF(
_xlfn.XLOOKUP(
_xlfn.XLOOKUP(B220,'Base stats'!B:B,'Base stats'!E:E),
Groups!A:A,
Groups!L:L
)=1,
MIN(
MROUND(
IF(
_xlfn.XLOOKUP(B220,'Animals CE'!B:B,'Animals CE'!Z:Z)&lt;=1.5,
_xlfn.XLOOKUP(B220,'Animals CE'!B:B,'Animals CE'!Z:Z)/2+0.05,
0.8+
(_xlfn.XLOOKUP(B220,'Animals CE'!B:B,'Animals CE'!Z:Z)-1.5)
*0.02
),
0.05
),
200%
),
"No"
)</f>
        <v>1</v>
      </c>
      <c r="O220" s="8">
        <f>IF(
_xlfn.XLOOKUP(
_xlfn.XLOOKUP(B220,'Base stats'!B:B,'Base stats'!E:E),
Groups!A:A,
Groups!L:L
)=1,
MIN(
MROUND(
IF(
_xlfn.XLOOKUP(B220,'Animals CE'!B:B,'Animals CE'!AA:AA)&lt;=1.5,
_xlfn.XLOOKUP(B220,'Animals CE'!B:B,'Animals CE'!AA:AA)/2+0.05,
0.8+
(_xlfn.XLOOKUP(B220,'Animals CE'!B:B,'Animals CE'!AA:AA)-1.5)
*0.02
),
0.05
),
200%
),
"No"
)</f>
        <v>1.1000000000000001</v>
      </c>
      <c r="P220" s="2" t="str">
        <f>_xlfn.XLOOKUP(B220,'Base stats'!B:B,'Base stats'!R:R)</f>
        <v>Standard</v>
      </c>
      <c r="Q220" s="13">
        <f>MROUND((LOG10(_xlfn.XLOOKUP(B220,'Base stats'!B:B,'Base stats'!AR:AR))*(AO220^0.5)+(_xlfn.XLOOKUP(B220,'Base stats'!B:B,'Base stats'!AR:AR)/1000)^(2/3)+_xlfn.XLOOKUP(B220,'Base stats'!B:B,'Base stats'!BA:BA)/2)+0.5,0.5)</f>
        <v>50</v>
      </c>
      <c r="R220" s="7">
        <f>IF(Q220="No","No",MAX(1,MROUND(_xlfn.XLOOKUP(B220,'Base stats'!B:B,'Base stats'!C:C)^0.165,0.05)))</f>
        <v>4.55</v>
      </c>
      <c r="S220" s="13" t="str">
        <f>IF(_xlfn.XLOOKUP(_xlfn.XLOOKUP(B220,'Base stats'!B:B,'Base stats'!E:E),Groups!A:A,Groups!P:P)=0,"No",MROUND((LOG10(_xlfn.XLOOKUP(B220,'Base stats'!B:B,'Base stats'!AS:AS))*(AO220^0.5)+(_xlfn.XLOOKUP(B220,'Base stats'!B:B,'Base stats'!AS:AS)/1000)^(2/3)+_xlfn.XLOOKUP(B220,'Base stats'!B:B,'Base stats'!BA:BA))+_xlfn.XLOOKUP(B220,'Base stats'!B:B,'Base stats'!AY:AY)+0.5,0.5))</f>
        <v>No</v>
      </c>
      <c r="T220" s="7" t="str">
        <f>IF(S220="No","No",MAX(_xlfn.XLOOKUP(_xlfn.XLOOKUP(B220,'Base stats'!B:B,'Base stats'!E:E),Groups!A:A,Groups!Q:Q),MROUND(_xlfn.XLOOKUP(_xlfn.XLOOKUP(B220,'Base stats'!B:B,'Base stats'!E:E),Groups!A:A,Groups!Q:Q)*_xlfn.XLOOKUP(B220,'Base stats'!B:B,'Base stats'!C:C)^0.165,0.05)))</f>
        <v>No</v>
      </c>
      <c r="U220" s="7" t="str">
        <f>IF(S220="No","No",_xlfn.XLOOKUP(_xlfn.XLOOKUP(B220,'Base stats'!B:B,'Base stats'!E:E),Groups!A:A,Groups!R:R))</f>
        <v>No</v>
      </c>
      <c r="V220" s="7" t="str">
        <f>IF(S220="No","No",_xlfn.XLOOKUP(_xlfn.XLOOKUP(B220,'Base stats'!B:B,'Base stats'!E:E),Groups!A:A,Groups!S:S))</f>
        <v>No</v>
      </c>
      <c r="W220" s="7" t="str">
        <f>IF(S220="No","No",_xlfn.XLOOKUP(_xlfn.XLOOKUP(B220,'Base stats'!B:B,'Base stats'!E:E),Groups!A:A,Groups!T:T))</f>
        <v>No</v>
      </c>
      <c r="X220" s="13" t="str">
        <f>IF(_xlfn.XLOOKUP(B220,'Base stats'!B:B,'Base stats'!W:W)="No","No",MROUND((LOG10(_xlfn.XLOOKUP(B220,'Base stats'!B:B,'Base stats'!AU:AU))*(AO220^0.5)+(_xlfn.XLOOKUP(B220,'Base stats'!B:B,'Base stats'!AU:AU)/1000)^(2/3)+_xlfn.XLOOKUP(B220,'Base stats'!B:B,'Base stats'!AZ:AZ))+0.5+IF(_xlfn.XLOOKUP(_xlfn.XLOOKUP(B220,'Base stats'!B:B,'Base stats'!E:E),Groups!A:A,Groups!U:U)&lt;&gt;3,_xlfn.XLOOKUP(B220,'Base stats'!B:B,'Base stats'!BA:BA),0),0.5))</f>
        <v>No</v>
      </c>
      <c r="Y220" s="7" t="str">
        <f>IF(X220="No","No",MAX(_xlfn.XLOOKUP(_xlfn.XLOOKUP(B220,'Base stats'!B:B,'Base stats'!E:E),Groups!A:A,Groups!V:V),MROUND(_xlfn.XLOOKUP(_xlfn.XLOOKUP(B220,'Base stats'!B:B,'Base stats'!E:E),Groups!A:A,Groups!V:V)*_xlfn.XLOOKUP(B220,'Base stats'!B:B,'Base stats'!C:C)^0.165,0.05)))</f>
        <v>No</v>
      </c>
      <c r="Z220" s="7" t="str">
        <f>IF(X220="No","No",_xlfn.XLOOKUP(_xlfn.XLOOKUP(B220,'Base stats'!B:B,'Base stats'!E:E),Groups!A:A,Groups!W:W))</f>
        <v>No</v>
      </c>
      <c r="AA220" s="7" t="str">
        <f>IF(X220="No","No",_xlfn.XLOOKUP(_xlfn.XLOOKUP(B220,'Base stats'!B:B,'Base stats'!E:E),Groups!A:A,Groups!X:X))</f>
        <v>No</v>
      </c>
      <c r="AB220" s="7" t="str">
        <f>IF(X220="No","No",_xlfn.XLOOKUP(_xlfn.XLOOKUP(B220,'Base stats'!B:B,'Base stats'!E:E),Groups!A:A,Groups!Y:Y))</f>
        <v>No</v>
      </c>
      <c r="AC220" s="7" t="str">
        <f>_xlfn.XLOOKUP(Animals!B220,'Base stats'!B:B,'Base stats'!X:X)</f>
        <v>False</v>
      </c>
      <c r="AD220" s="13">
        <f>IF(_xlfn.XLOOKUP(B220,'Base stats'!B:B,'Base stats'!AT:AT)="No","No",MROUND((LOG10(_xlfn.XLOOKUP(B220,'Base stats'!B:B,'Base stats'!AT:AT))*(AO220^0.75)+(_xlfn.XLOOKUP(B220,'Base stats'!B:B,'Base stats'!AT:AT)/1000)^(2/3)+_xlfn.XLOOKUP(B220,'Base stats'!B:B,'Base stats'!AX:AX)+_xlfn.XLOOKUP(B220,'Base stats'!B:B,'Base stats'!BA:BA))+0.5,0.5))</f>
        <v>54</v>
      </c>
      <c r="AE220" s="7">
        <f>IF(AD220="No","No",MAX(_xlfn.XLOOKUP(_xlfn.XLOOKUP(B220,'Base stats'!B:B,'Base stats'!E:E),Groups!A:A,Groups!Z:Z),MROUND(_xlfn.XLOOKUP(_xlfn.XLOOKUP(B220,'Base stats'!B:B,'Base stats'!E:E),Groups!A:A,Groups!Z:Z)*_xlfn.XLOOKUP(B220,'Base stats'!B:B,'Base stats'!C:C)^0.165,0.05)))</f>
        <v>4.55</v>
      </c>
      <c r="AF220" s="7" t="str">
        <f>IF(AD220="No","No",_xlfn.XLOOKUP(_xlfn.XLOOKUP(B220,'Base stats'!B:B,'Base stats'!E:E),Groups!A:A,Groups!AA:AA))</f>
        <v>Teeth</v>
      </c>
      <c r="AG220" s="7" t="str">
        <f>IF(AD220="No","No",_xlfn.XLOOKUP(_xlfn.XLOOKUP(B220,'Base stats'!B:B,'Base stats'!E:E),Groups!A:A,Groups!AB:AB))</f>
        <v>teeth</v>
      </c>
      <c r="AH220" s="7" t="str">
        <f>IF(AD220="No","No",_xlfn.XLOOKUP(_xlfn.XLOOKUP(B220,'Base stats'!B:B,'Base stats'!E:E),Groups!A:A,Groups!AC:AC))</f>
        <v>Bite</v>
      </c>
      <c r="AI220" s="13" t="str">
        <f>IF(_xlfn.XLOOKUP(_xlfn.XLOOKUP(B220,'Base stats'!B:B,'Base stats'!E:E),Groups!A:A,Groups!AD:AD)=0,"No",MROUND((LOG10(_xlfn.XLOOKUP(B220,'Base stats'!B:B,'Base stats'!AS:AS))*(AO220^0.75)+(_xlfn.XLOOKUP(B220,'Base stats'!B:B,'Base stats'!AS:AS)/1000)^(2/3)+_xlfn.XLOOKUP(B220,'Base stats'!B:B,'Base stats'!AY:AY)+_xlfn.XLOOKUP(B220,'Base stats'!B:B,'Base stats'!BA:BA))+0.5,0.5))</f>
        <v>No</v>
      </c>
      <c r="AJ220" s="7" t="str">
        <f>IF(AI220="No","No",MAX(_xlfn.XLOOKUP(_xlfn.XLOOKUP(B220,'Base stats'!B:B,'Base stats'!E:E),Groups!A:A,Groups!AE:AE),MROUND(_xlfn.XLOOKUP(_xlfn.XLOOKUP(B220,'Base stats'!B:B,'Base stats'!E:E),Groups!A:A,Groups!AE:AE)*IF(_xlfn.XLOOKUP(_xlfn.XLOOKUP(B220,'Base stats'!B:B,'Base stats'!E:E),Groups!A:A,Groups!AJ:AJ)="Photonozoa",0.6,1)*_xlfn.XLOOKUP(B220,'Base stats'!B:B,'Base stats'!C:C)^0.165,0.05)))</f>
        <v>No</v>
      </c>
      <c r="AK220" s="7" t="str">
        <f>IF(AI220="No","No",_xlfn.XLOOKUP(_xlfn.XLOOKUP(B220,'Base stats'!B:B,'Base stats'!E:E),Groups!A:A,Groups!AF:AF))</f>
        <v>No</v>
      </c>
      <c r="AL220" s="7" t="str">
        <f>IF(AI220="No","No",_xlfn.XLOOKUP(_xlfn.XLOOKUP(B220,'Base stats'!B:B,'Base stats'!E:E),Groups!A:A,Groups!AG:AG))</f>
        <v>No</v>
      </c>
      <c r="AM220" s="7" t="str">
        <f>IF(AI220="No","No",_xlfn.XLOOKUP(_xlfn.XLOOKUP(B220,'Base stats'!B:B,'Base stats'!E:E),Groups!A:A,Groups!AH:AH))</f>
        <v>No</v>
      </c>
      <c r="AN220" s="2" t="str">
        <f t="shared" si="21"/>
        <v>No</v>
      </c>
      <c r="AO220" s="2">
        <f>MROUND(IF(AND(_xlfn.XLOOKUP(B220,'Base stats'!B:B,'Base stats'!C:C)&gt;=0.5,_xlfn.XLOOKUP(B220,'Base stats'!B:B,'Base stats'!C:C)&lt;=0.8),
IF(_xlfn.XLOOKUP(B220,'Base stats'!B:B,'Base stats'!C:C)&lt;0.1,0.05,IF(_xlfn.XLOOKUP(B220,'Base stats'!B:B,'Base stats'!C:C)&lt;=70,(_xlfn.XLOOKUP(B220,'Base stats'!B:B,'Base stats'!C:C)/70)^0.426489913056526,IF(_xlfn.XLOOKUP(B220,'Base stats'!B:B,'Base stats'!C:C)&lt;=400,(_xlfn.XLOOKUP(B220,'Base stats'!B:B,'Base stats'!C:C)/70)^0.572811455315093,IF(_xlfn.XLOOKUP(B220,'Base stats'!B:B,'Base stats'!C:C)&lt;=2000,2.71391647193063*(_xlfn.XLOOKUP(B220,'Base stats'!B:B,'Base stats'!C:C)/400)^0.252459582904293,3.74314280240376*(_xlfn.XLOOKUP(B220,'Base stats'!B:B,'Base stats'!C:C)/2000)^0.357012633876913)))),
IF(_xlfn.XLOOKUP(B220,'Base stats'!B:B,'Base stats'!C:C)&lt;0.1,0.05,IF(_xlfn.XLOOKUP(B220,'Base stats'!B:B,'Base stats'!C:C)&lt;0.4,0.1,IF(_xlfn.XLOOKUP(B220,'Base stats'!B:B,'Base stats'!C:C)&lt;=70,(_xlfn.XLOOKUP(B220,'Base stats'!B:B,'Base stats'!C:C)/70)^0.445823913056526,IF(_xlfn.XLOOKUP(B220,'Base stats'!B:B,'Base stats'!C:C)&lt;=400,(_xlfn.XLOOKUP(B220,'Base stats'!B:B,'Base stats'!C:C)/70)^0.572811455315093,IF(_xlfn.XLOOKUP(B220,'Base stats'!B:B,'Base stats'!C:C)&lt;=2000,2.71391647193063*(_xlfn.XLOOKUP(B220,'Base stats'!B:B,'Base stats'!C:C)/400)^0.252459582904293,3.74314280240376*(_xlfn.XLOOKUP(B220,'Base stats'!B:B,'Base stats'!C:C)/2000)^0.357012633876913)))))),
IF(_xlfn.XLOOKUP(B220,'Base stats'!B:B,'Base stats'!C:C)&lt;0.1,0.05,IF(_xlfn.XLOOKUP(B220,'Base stats'!B:B,'Base stats'!C:C)&lt;=100,0.05,IF(_xlfn.XLOOKUP(B220,'Base stats'!B:B,'Base stats'!C:C)&lt;=250,0.1,IF(_xlfn.XLOOKUP(B220,'Base stats'!B:B,'Base stats'!C:C)&lt;=4000,0.25,0.5)))))</f>
        <v>6.5</v>
      </c>
      <c r="AP220" s="8">
        <f>MROUND(AO220*_xlfn.XLOOKUP(_xlfn.XLOOKUP(B220,'Base stats'!B:B,'Base stats'!E:E),Groups!A:A,Groups!AI:AI)*_xlfn.XLOOKUP(B220,'Base stats'!B:B,'Base stats'!Z:Z),0.05)</f>
        <v>9.75</v>
      </c>
      <c r="AQ220" s="8">
        <f>MAX(0.01,MROUND(IF(CC220="True",0.196*(AO220*100*1000)^0.889,IF(_xlfn.XLOOKUP(_xlfn.XLOOKUP(B220,'Base stats'!B:B,'Base stats'!E:E),Groups!A:A,Groups!AJ:AJ)="Bird",10.5*(AO220*100*1000)^0.681,4.82*(AO220*100*1000)^0.734))/(4.82*(1*100*1000)^0.734)/IF(AO220&lt;3.5,2,IF(AO220=3.5,1.5,1.25))*(1+0.132282374779864/(AO220^0.994035016789033+0.00905238001496948)),0.05))</f>
        <v>1.05</v>
      </c>
      <c r="AR220" s="9">
        <f>IFERROR(MROUND(_xlfn.XLOOKUP(B220,'Base stats'!B:B,'Base stats'!H:H)/IF(_xlfn.XLOOKUP(B220,'Base stats'!B:B,'Base stats'!I:I)&lt;&gt;1,(122.5/70),1.2),IF(_xlfn.XLOOKUP(B220,'Base stats'!B:B,'Base stats'!H:H)&gt;=30,5,IF(_xlfn.XLOOKUP(B220,'Base stats'!B:B,'Base stats'!H:H)&gt;=15,3,IF(_xlfn.XLOOKUP(B220,'Base stats'!B:B,'Base stats'!H:H)&gt;=10,2,1)))),"Immortal")</f>
        <v>585</v>
      </c>
      <c r="AS220" s="35">
        <f>IFERROR(IF(OR(_xlfn.XLOOKUP(B220,'Base stats'!B:B,'Base stats'!F:F)="Atypical reproduction",_xlfn.XLOOKUP(B220,'Base stats'!B:B,'Base stats'!F:F)="Lay eggs"),"Lay eggs",MIN(20,MAX(5.5,ROUND(((_xlfn.XLOOKUP(B220,'Base stats'!B:B,'Base stats'!F:F)-25)*(14.5/615) + 5.5)*2,0)/2))),"Unknown")</f>
        <v>20</v>
      </c>
      <c r="AT220" s="8">
        <f>IF(_xlfn.XLOOKUP(B220,'Base stats'!B:B,'Base stats'!G:G)="Atypical reproduction","No",IFERROR(MAX(IF(_xlfn.XLOOKUP(B220,'Base stats'!B:B,'Base stats'!G:G)&lt;0.5,0.2,0.3),MROUND(_xlfn.XLOOKUP(B220,'Base stats'!B:B,'Base stats'!G:G)/(365/60),0.2)),"Unknown"))</f>
        <v>2.4000000000000004</v>
      </c>
      <c r="AU220" s="8">
        <f t="shared" si="22"/>
        <v>1.2000000000000002</v>
      </c>
      <c r="AV220" s="8">
        <f>IFERROR(IFERROR(MROUND(_xlfn.XLOOKUP(B220,'Base stats'!B:B,'Base stats'!J:J),0.1),"Lay eggs"),"Cannot breed")</f>
        <v>1</v>
      </c>
      <c r="AW220" s="2" t="str">
        <f t="shared" si="23"/>
        <v>false</v>
      </c>
      <c r="AX220" s="2" t="str">
        <f>IF(_xlfn.XLOOKUP(_xlfn.XLOOKUP(Animals!B220,'Base stats'!B:B,'Base stats'!E:E),Groups!A:A,Groups!AK:AK)=1,"true","false")</f>
        <v>false</v>
      </c>
      <c r="AY220" s="25" t="str">
        <f>IF(_xlfn.XLOOKUP(B220,'Base stats'!B:B,'Base stats'!Y:Y)="Liquor","Liquor, CarnivoreAnimalStrict",IF(AND(_xlfn.XLOOKUP(B220,'Base stats'!B:B,'Base stats'!Y:Y)="Carnivore",_xlfn.XLOOKUP(_xlfn.XLOOKUP(B220,'Base stats'!B:B,'Base stats'!E:E),Groups!A:A,Groups!AJ:AJ)="Photonozoa"),"CarnivoreAnimalStrict, OvivoreAnimal",IF(_xlfn.XLOOKUP(B220,'Base stats'!B:B,'Base stats'!Y:Y)="Carnivore","CarnivoreAnimal, OvivoreAnimal",IF(_xlfn.XLOOKUP(B220,'Base stats'!B:B,'Base stats'!Y:Y)="Dendrovore","VegetarianRoughAnimal, DendrovoreAnimal",IF(_xlfn.XLOOKUP(B220,'Base stats'!B:B,'Base stats'!Y:Y)="Herbivore","VegetarianRoughAnimal",IF(_xlfn.XLOOKUP(B220,'Base stats'!B:B,'Base stats'!Y:Y)="OmnivoreRough","OmnivoreRoughAnimal, OvivoreAnimal","OmnivoreAnimal, OvivoreAnimal"))))))</f>
        <v>VegetarianRoughAnimal, DendrovoreAnimal</v>
      </c>
      <c r="AZ220" s="2" t="str">
        <f>IF(_xlfn.XLOOKUP(_xlfn.XLOOKUP(B220,'Base stats'!B:B,'Base stats'!E:E),Groups!A:A,Groups!D:D)=1,MROUND((1-J220)*5+1,2)*IF(J220&lt;=0.4,2,1),"No")</f>
        <v>No</v>
      </c>
      <c r="BA220" s="2" t="str">
        <f>IF(AND(_xlfn.XLOOKUP(B220,'Base stats'!B:B,'Base stats'!AH:AH)="&lt;li&gt;Seal&lt;/li&gt;",G220="Odyssey"),"&lt;li&gt;AEXP_Seal&lt;/li&gt;",_xlfn.XLOOKUP(B220,'Base stats'!B:B,'Base stats'!AH:AH))</f>
        <v>&lt;li&gt;AA_OvergrownColossus&lt;/li&gt;</v>
      </c>
      <c r="BB220" s="2" t="str">
        <f>_xlfn.XLOOKUP(B220,'Base stats'!B:B,'Base stats'!AG:AG)</f>
        <v>Leather_Lizard</v>
      </c>
      <c r="BC220" s="23" t="str">
        <f>_xlfn.XLOOKUP(_xlfn.XLOOKUP(B220,'Base stats'!B:B,'Base stats'!E:E),Groups!A:A,Groups!AL:AL)</f>
        <v>Hexapod</v>
      </c>
      <c r="BD220" s="23">
        <f>MIN(1,MROUND(IF(AND(AO220&lt;0.5,_xlfn.XLOOKUP(B220,'Base stats'!B:B,'Base stats'!AA:AA)=0),0,IF(OR(_xlfn.XLOOKUP(Animals!B220,'Base stats'!B:B,'Base stats'!O:O)=2,_xlfn.XLOOKUP(_xlfn.XLOOKUP(B220,'Base stats'!B:B,'Base stats'!E:E),Groups!A:A,Groups!AN:AN)=0),0,_xlfn.XLOOKUP(_xlfn.XLOOKUP(B220,'Base stats'!B:B,'Base stats'!E:E),Groups!A:A,Groups!AN:AN)/IF(_xlfn.XLOOKUP(Animals!B220,'Base stats'!B:B,'Base stats'!O:O)=1,2,1)))+_xlfn.XLOOKUP(B220,'Base stats'!B:B,'Base stats'!AC:AC),0.005))</f>
        <v>0</v>
      </c>
      <c r="BE220" s="23">
        <f>MIN(1,MROUND(IF(AND(AO220&lt;0.5,_xlfn.XLOOKUP(B220,'Base stats'!B:B,'Base stats'!AA:AA)=0),0,IF(_xlfn.XLOOKUP(_xlfn.XLOOKUP(B220,'Base stats'!B:B,'Base stats'!E:E),Groups!A:A,Groups!AO:AO)=0,0,_xlfn.XLOOKUP(_xlfn.XLOOKUP(B220,'Base stats'!B:B,'Base stats'!E:E),Groups!A:A,Groups!AO:AO)/IF(_xlfn.XLOOKUP(Animals!B220,'Base stats'!B:B,'Base stats'!O:O)=2,3,1)))+_xlfn.XLOOKUP(B220,'Base stats'!B:B,'Base stats'!AD:AD),0.005))</f>
        <v>0.1</v>
      </c>
      <c r="BF220" s="2" t="str">
        <f>IF(J220&gt;0.3,"No",_xlfn.XLOOKUP(_xlfn.XLOOKUP(Animals!B220,'Base stats'!B:B,'Base stats'!E:E),Groups!A:A,Groups!AP:AP))</f>
        <v>No</v>
      </c>
      <c r="BG220" s="2" t="str">
        <f>IF(AND(J220&lt;=0.65,_xlfn.XLOOKUP(_xlfn.XLOOKUP(Animals!B220,'Base stats'!B:B,'Base stats'!E:E),Groups!A:A,Groups!AP:AP)&lt;&gt;"No",_xlfn.XLOOKUP(_xlfn.XLOOKUP(B220,'Base stats'!B:B,'Base stats'!E:E),Groups!A:A,Groups!D:D)=0),MROUND((80/3)*IF(_xlfn.XLOOKUP(B220,'Base stats'!B:B,'Base stats'!O:O)=2,0.2,AO220) + 24*(1-IF(BF220="No",0,BF220)) + 16/3, 12),"No")</f>
        <v>No</v>
      </c>
      <c r="BH220" s="2">
        <f>IF(AND(_xlfn.XLOOKUP(_xlfn.XLOOKUP(B220,'Base stats'!B:B,'Base stats'!E:E),Groups!A:A,Groups!AQ:AQ)=1,AO220&lt;=0.35),8,12)</f>
        <v>12</v>
      </c>
      <c r="BI220" s="2" t="str">
        <f>IF(_xlfn.XLOOKUP(_xlfn.XLOOKUP(B220,'Base stats'!B:B,'Base stats'!E:E),Groups!A:A,Groups!D:D)=0,_xlfn.XLOOKUP(_xlfn.XLOOKUP(B220,'Base stats'!B:B,'Base stats'!E:E),Groups!A:A,Groups!AR:AR),"None")</f>
        <v>Intermediate</v>
      </c>
      <c r="BJ220" s="2" t="str">
        <f>IF(AND(_xlfn.XLOOKUP(_xlfn.XLOOKUP(B220,'Base stats'!B:B,'Base stats'!E:E),Groups!A:A,Groups!AS:AS)=1,OR(_xlfn.XLOOKUP(B220,'Base stats'!B:B,'Base stats'!Y:Y)="Carnivore",_xlfn.XLOOKUP(B220,'Base stats'!B:B,'Base stats'!Y:Y)="Omnivore")),"true","false")</f>
        <v>false</v>
      </c>
      <c r="BK220" s="2" t="str">
        <f>IF(BJ220="true",MROUND(IF(AND(AO220&gt;0.5,OR(_xlfn.XLOOKUP(_xlfn.XLOOKUP(B220,'Base stats'!B:B,'Base stats'!E:E),Groups!A:A,Groups!AJ:AJ)="Photonozoa",_xlfn.XLOOKUP(_xlfn.XLOOKUP(B220,'Base stats'!B:B,'Base stats'!E:E),Groups!A:A,Groups!AJ:AJ)="Mammal")),Animals!AO220*1.75*IF(AW220="true",1.5,1),IF(AO220&lt;0.5,Animals!AO220*0.5,Animals!AO220)),IF(AO220&gt;2,0.5,IF(AO220&gt;0.5,0.25,0.1))),"No")</f>
        <v>No</v>
      </c>
      <c r="BL220" s="2">
        <f t="shared" si="24"/>
        <v>1</v>
      </c>
      <c r="BM220" s="25" t="str">
        <f>IF(_xlfn.XLOOKUP(B220,'Base stats'!B:B,'Base stats'!AN:AN)="Standard","No",MROUND((_xlfn.XLOOKUP(B220,'Base stats'!B:B,'Base stats'!AN:AN)/3.6)/I220,0.1))</f>
        <v>No</v>
      </c>
      <c r="BN220" s="25" t="str">
        <f t="shared" si="25"/>
        <v>false</v>
      </c>
      <c r="BO220" s="25" t="str">
        <f>IF(AND(OR(_xlfn.XLOOKUP(B220,'Base stats'!B:B,'Base stats'!Y:Y)="Carnivore",_xlfn.XLOOKUP(B220,'Base stats'!B:B,'Base stats'!Y:Y)="Omnivore",_xlfn.XLOOKUP(B220,'Base stats'!B:B,'Base stats'!Y:Y)="OmnivoreRough"),_xlfn.XLOOKUP(_xlfn.XLOOKUP(B220,'Base stats'!B:B,'Base stats'!E:E),Groups!A:A,Groups!AT:AT)=1),"true","false")</f>
        <v>false</v>
      </c>
      <c r="BP220" s="25" t="str" cm="1">
        <f t="array" ref="BP220">IF(
  _xlfn.TEXTJOIN(", ",TRUE,
    IF(AND(BJ220="true",AO220&gt;0.5,BI220&lt;&gt;"None"),"AttackTarget",""),
    IF(AND(_xlfn.XLOOKUP(_xlfn.XLOOKUP(B220,'Base stats'!B:B,'Base stats'!E:E),Groups!A:A,Groups!AJ:AJ="Mammal"),OR(_xlfn.XLOOKUP(B220,'Base stats'!B:B,'Base stats'!Y:Y)="Omnivore",_xlfn.XLOOKUP(B220,'Base stats'!B:B,'Base stats'!Y:Y)="OmnivoreRough")),"Forage",""),
    IF(BG220&lt;=36,"Comfort",""),
    IF(_xlfn.XLOOKUP(B220,'Base stats'!B:B,'Base stats'!AE:AE)&lt;&gt;"No",_xlfn.XLOOKUP(B220,'Base stats'!B:B,'Base stats'!AE:AE),"")
  ) = "",
  "No",
  _xlfn.TEXTJOIN(", ",TRUE,
    IF(AND(BJ220="true",AO220&gt;0.5,BI220&lt;&gt;"None"),"AttackTarget",""),
    IF(AND(_xlfn.XLOOKUP(_xlfn.XLOOKUP(B220,'Base stats'!B:B,'Base stats'!E:E),Groups!A:A,Groups!AJ:AJ="Mammal"),OR(_xlfn.XLOOKUP(B220,'Base stats'!B:B,'Base stats'!Y:Y)="Omnivore",_xlfn.XLOOKUP(B220,'Base stats'!B:B,'Base stats'!Y:Y)="OmnivoreRough")),"Forage",""),
    IF(BG220&lt;=36,"Comfort",""),
    IF(_xlfn.XLOOKUP(B220,'Base stats'!B:B,'Base stats'!AE:AE)&lt;&gt;"No",_xlfn.XLOOKUP(B220,'Base stats'!B:B,'Base stats'!AE:AE),"")
  )
)</f>
        <v>No</v>
      </c>
      <c r="BQ220" s="25" t="str">
        <f>IF(
   AND(
      'Base stats'!AN220="Standard",_xlfn.XLOOKUP(_xlfn.XLOOKUP(B220,'Base stats'!B:B,'Base stats'!E:E),Groups!A:A,Groups!AU:AU)=0,
      OR(
      BO220="True"
      )
   ),
   10,
   IF(
       OR(BM220&lt;&gt;"No",_xlfn.XLOOKUP(_xlfn.XLOOKUP(B220,'Base stats'!B:B,'Base stats'!E:E),Groups!A:A,Groups!AU:AU)=1),
      1,
      "No"
   )
)</f>
        <v>No</v>
      </c>
      <c r="BR220" s="9">
        <f>MROUND((1 + ((0.2*IF(OR(Q220="No",R220="No",R220=0),0,Q220/R220)
+IF(OR(V220="No",S220="No",T220="No"),0,S220/T220*(LEN(V220)-LEN(SUBSTITUTE(V220,",",""))+1))
+IF(OR(X220="No",Y220="No"),0,X220/Y220)
+IF(OR(AD220="No",AE220="No"),0,AD220/AE220)
+IF(OR(AL220="No",AI220="No",AJ220="No"),0,AI220/AJ220*(LEN(AL220)-LEN(SUBSTITUTE(AL220,",",""))+1))
)/(0.2*IF(OR(Q220="No",R220="No",R220=0),0,1)
+IF(OR(V220="No",S220="No",T220="No"),0,LEN(V220)-LEN(SUBSTITUTE(V220,",",""))+1)
+IF(OR(X220="No",Y220="No"),0,1)
+IF(OR(AD220="No",AE220="No"),0,1)
+IF(OR(AL220="No",AI220="No",AJ220="No"),0,LEN(AL220)-LEN(SUBSTITUTE(AL220,",",""))+1))*62%)* 2)*(1 + (AP220 / (IF(_xlfn.XLOOKUP(_xlfn.XLOOKUP(B220,'Base stats'!B:B,'Base stats'!E:E),Groups!A:A,Groups!AJ:AJ)="Photonozoa",0.3,1)) + _xlfn.XLOOKUP(B220,'Base stats'!B:B,'Base stats'!AV:AV) * 1.8) * 2) * 2.5 + 10 + I220 * 2,5)+IF(_xlfn.XLOOKUP(B220,'Base stats'!B:B,'Base stats'!AK:AK)=1,50,0)</f>
        <v>955</v>
      </c>
      <c r="BS220" s="8">
        <f t="shared" si="26"/>
        <v>2.15</v>
      </c>
      <c r="BT220" s="8" t="str">
        <f>_xlfn.XLOOKUP(B220,'Base stats'!B:B,'Base stats'!AF:AF)</f>
        <v>No</v>
      </c>
      <c r="BU220" s="2" t="str">
        <f>IF(AND(J220&lt;=0.95,OR(_xlfn.XLOOKUP(B220,'Base stats'!B:B,'Base stats'!AK:AK)=1,_xlfn.XLOOKUP(B220,'Base stats'!B:B,'Base stats'!Y:Y)="Carnivore",_xlfn.XLOOKUP(B220,'Base stats'!B:B,'Base stats'!Y:Y)="Omnivore",BE220&gt;0.1)),"true","false")</f>
        <v>false</v>
      </c>
      <c r="BV220" s="2" t="str">
        <f>IF(_xlfn.XLOOKUP(B220,'Base stats'!B:B,'Base stats'!AI:AI)=1,"true","false")</f>
        <v>false</v>
      </c>
      <c r="BW220" s="25" t="str">
        <f>IF(E220="BaseInsect","AnimalInsect",
IF(J220&gt;0.95,"AnimalExotic",
_xlfn.TEXTJOIN(", ",TRUE,
IF(OR(_xlfn.XLOOKUP(B220,'Base stats'!B:B,'Base stats'!AM:AM)=1,AND(_xlfn.XLOOKUP(B220,'Base stats'!B:B,'Base stats'!O:O)=0,_xlfn.XLOOKUP(_xlfn.XLOOKUP(B220,'Base stats'!B:B,'Base stats'!E:E),Groups!A:A,Groups!B:B)&gt;0)),"AnimalUncommon","AnimalCommon"),
IF(AND(_xlfn.XLOOKUP(B220,'Base stats'!B:B,'Base stats'!O:O)=2,_xlfn.XLOOKUP(_xlfn.XLOOKUP(B220,'Base stats'!B:B,'Base stats'!E:E),Groups!A:A,Groups!D:D)=0),"AnimalPet",IF(AND(_xlfn.XLOOKUP(B220,'Base stats'!B:B,'Base stats'!O:O)&lt;&gt;0,_xlfn.XLOOKUP(_xlfn.XLOOKUP(B220,'Base stats'!B:B,'Base stats'!E:E),Groups!A:A,Groups!D:D)&lt;&gt;0),"AnimalFarm","")),
IF(OR(_xlfn.XLOOKUP(B220,'Base stats'!B:B,'Base stats'!AK:AK)=1,AND(BI220&lt;&gt;"None",BR220&gt;=60),ISNUMBER(SEARCH("Attack target",BP220))),"AnimalFighter","")
)))</f>
        <v>AnimalExotic</v>
      </c>
      <c r="BX220" s="25" t="str">
        <f>IF(G220="None",TRIM(
SUBSTITUTE(
IF(COUNTIF(Biomes!B$2:B$259,"="&amp;$C220)&gt;0,Biomes!B$1&amp;", ","")&amp;
IF(COUNTIF(Biomes!C$2:C$259,"="&amp;$C220)&gt;0,Biomes!C$1&amp;", ","")&amp;
IF(COUNTIF(Biomes!D$2:D$259,"="&amp;$C220)&gt;0,Biomes!D$1&amp;", ","")&amp;
IF(COUNTIF(Biomes!F$2:F$259,"="&amp;$C220)&gt;0,Biomes!F$1&amp;", ","")&amp;
IF(COUNTIF(Biomes!G$2:G$259,"="&amp;$C220)&gt;0,Biomes!G$1&amp;", ","")&amp;
IF(COUNTIF(Biomes!H$2:H$259,"="&amp;$C220)&gt;0,Biomes!H$1&amp;", ","")&amp;
IF(COUNTIF(Biomes!I$2:I$259,"="&amp;$C220)&gt;0,Biomes!I$1&amp;", ","")&amp;
IF(COUNTIF(Biomes!J$2:J$259,"="&amp;$C220)&gt;0,Biomes!J$1&amp;", ","")&amp;
IF(COUNTIF(Biomes!M$2:M$259,"="&amp;$C220)&gt;0,Biomes!M$1&amp;", ","")&amp;
IF(COUNTIF(Biomes!N$2:N$259,"="&amp;$C220)&gt;0,Biomes!N$1&amp;", ","")&amp;
IF(COUNTIF(Biomes!O$2:O$259,"="&amp;$C220)&gt;0,Biomes!O$1&amp;", ","")&amp;
IF(COUNTIF(Biomes!P$2:P$259,"="&amp;$C220)&gt;0,Biomes!P$1&amp;", ","")&amp;
IF(COUNTIF(Biomes!K$2:K$259,"="&amp;$C220)&gt;0,Biomes!K$1&amp;", ","")&amp;
IF(COUNTIF(Biomes!Q$3:Q$259,"="&amp;$C220)&gt;0,Biomes!Q$1&amp;", ","")&amp;
IF(COUNTIF(Biomes!L$2:L$259,"="&amp;$C220)&gt;0,Biomes!L$1&amp;", ","")&amp;
IF(COUNTIF(Biomes!E$2:E$259,"="&amp;$C220)&gt;0,Biomes!E$1&amp;", ","")&amp;IF(COUNTIF(Biomes!S$2:S$259,"="&amp;$C220)&gt;0,Biomes!S$1&amp;", ","")&amp;
IF(COUNTIF(Biomes!R$2:R$259,"="&amp;$C220)&gt;0,Biomes!R$1&amp;", ",""),", ","")
),_xlfn.XLOOKUP(B220,B:B,BX:BX))</f>
        <v>BorealForest ColdBog TemperateForest TemperateSwamp TropicalRainforest TropicalSwamp Glowforest</v>
      </c>
      <c r="BY220" s="25" t="str">
        <f>IF(_xlfn.XLOOKUP(B220,'Base stats'!B:B,'Base stats'!AJ:AJ)=1,"true","false")</f>
        <v>false</v>
      </c>
      <c r="BZ220" s="25">
        <f>IF(_xlfn.XLOOKUP(B220,'Base stats'!B:B,'Base stats'!N:N)=1,"No",MAX(0.001,MIN(MROUND(IF(AND(BJ220="True",CC220="False"),POWER(10,3.47*LOG10(_xlfn.XLOOKUP(B220,'Base stats'!B:B,'Base stats'!C:C)*1000)^-0.96),POWER(10,4.15*LOG10(_xlfn.XLOOKUP(B220,'Base stats'!B:B,'Base stats'!C:C)*1000)^-0.73))*IF(_xlfn.XLOOKUP(B220,'Base stats'!B:B,'Base stats'!AK:AK)=1,0.5,1)*IF(_xlfn.XLOOKUP(B220,'Base stats'!B:B,'Base stats'!AM:AM)=1,0.1,1)/100,IF(_xlfn.XLOOKUP(B220,'Base stats'!B:B,'Base stats'!AM:AM)=1,0.001,0.025)),0.5)))</f>
        <v>0.01</v>
      </c>
      <c r="CA220" s="25" t="str">
        <f>IF(P220="Standard","No",MAX(0.001,MIN(MROUND(IF(AND(BJ220="True",CC220="False"),POWER(10,3.47*LOG10(_xlfn.XLOOKUP(B220,'Base stats'!B:B,'Base stats'!C:C)*1000)^-0.96),POWER(10,4.15*LOG10(_xlfn.XLOOKUP(B220,'Base stats'!B:B,'Base stats'!C:C)*1000)^-0.73))*IF(_xlfn.XLOOKUP(B220,'Base stats'!B:B,'Base stats'!AM:AM)=1,0.1,1)*_xlfn.XLOOKUP(B220,'Base stats'!B:B,'Base stats'!R:R)/100,IF(_xlfn.XLOOKUP(B220,'Base stats'!B:B,'Base stats'!AM:AM)=1,0.001,0.025)),0.5)))</f>
        <v>No</v>
      </c>
      <c r="CB220" s="25" t="str">
        <f>IF(_xlfn.XLOOKUP(_xlfn.XLOOKUP(B220,'Base stats'!B:B,'Base stats'!E:E),Groups!A:A,Groups!AJ:AJ)="Mammal","True","False")</f>
        <v>False</v>
      </c>
      <c r="CC220" s="25" t="str">
        <f>IF(OR(_xlfn.XLOOKUP(_xlfn.XLOOKUP(B220,'Base stats'!B:B,'Base stats'!E:E),Groups!A:A,Groups!AJ:AJ)="Reptile",_xlfn.XLOOKUP(_xlfn.XLOOKUP(B220,'Base stats'!B:B,'Base stats'!E:E),Groups!A:A,Groups!AJ:AJ)="Amphibian",_xlfn.XLOOKUP(_xlfn.XLOOKUP(B220,'Base stats'!B:B,'Base stats'!E:E),Groups!A:A,Groups!AJ:AJ)="Invertebrate"),"True","False")</f>
        <v>True</v>
      </c>
      <c r="CD220" s="25" t="str">
        <f t="shared" si="27"/>
        <v>True</v>
      </c>
      <c r="CE220" s="25" t="str">
        <f>IF(_xlfn.XLOOKUP(_xlfn.XLOOKUP(B220,'Base stats'!B:B,'Base stats'!E:E),Groups!A:A,Groups!AX:AX),"True","False")</f>
        <v>False</v>
      </c>
      <c r="CF220" s="25" t="str">
        <f>IF(_xlfn.XLOOKUP(_xlfn.XLOOKUP(B220,'Base stats'!B:B,'Base stats'!E:E),Groups!A:A,Groups!AY:AY),"True","False")</f>
        <v>False</v>
      </c>
      <c r="CG220" s="25" t="str">
        <f>IF(_xlfn.XLOOKUP(_xlfn.XLOOKUP(B220,'Base stats'!B:B,'Base stats'!E:E),Groups!A:A,Groups!AW:AW),"True","False")</f>
        <v>False</v>
      </c>
      <c r="CH220" s="25" t="str">
        <f>IF(
OR(
_xlfn.XLOOKUP(_xlfn.XLOOKUP(B220,'Base stats'!B:B,'Base stats'!E:E),Groups!A:A,Groups!AZ:AZ)=0,
AND(
_xlfn.XLOOKUP(B220,'Base stats'!B:B,'Base stats'!Y:Y)&lt;&gt;"Carnivore",
_xlfn.XLOOKUP(B220,'Base stats'!B:B,'Base stats'!Y:Y)&lt;&gt;"Omnivore",
_xlfn.XLOOKUP(B220,'Base stats'!B:B,'Base stats'!Y:Y)&lt;&gt;"OmnivoreRough"
)
),
"No",
IF(
_xlfn.XLOOKUP(_xlfn.XLOOKUP(B220,'Base stats'!B:B,'Base stats'!E:E),Groups!A:A,Groups!AZ:AZ)=1,
"Flesh",
IF(
_xlfn.XLOOKUP(_xlfn.XLOOKUP(B220,'Base stats'!B:B,'Base stats'!E:E),Groups!A:A,Groups!AZ:AZ)=2,
"Bone",
""
)
)
)</f>
        <v>No</v>
      </c>
      <c r="CI220" s="25" t="str">
        <f>IF(_xlfn.XLOOKUP(_xlfn.XLOOKUP(B220,'Base stats'!B:B,'Base stats'!E:E),Groups!A:A,Groups!BB:BB),"True","False")</f>
        <v>True</v>
      </c>
      <c r="CJ220" s="25" t="str">
        <f>IF(_xlfn.XLOOKUP(_xlfn.XLOOKUP(B220,'Base stats'!B:B,'Base stats'!E:E),Groups!A:A,Groups!BA:BA),"True","False")</f>
        <v>False</v>
      </c>
    </row>
    <row r="221" spans="1:88" ht="16.5" thickTop="1" thickBot="1" x14ac:dyDescent="0.3">
      <c r="A221" s="26" t="s">
        <v>1353</v>
      </c>
      <c r="B221" s="6" t="str">
        <f>_xlfn.XLOOKUP(A221,'Base stats'!A:A,'Base stats'!B:B)</f>
        <v>Araneodraco animalis</v>
      </c>
      <c r="C221" s="28" t="s">
        <v>1352</v>
      </c>
      <c r="D221" s="28" t="s">
        <v>1341</v>
      </c>
      <c r="E221" s="28" t="s">
        <v>1747</v>
      </c>
      <c r="F221" s="28" t="s">
        <v>673</v>
      </c>
      <c r="G221" s="28" t="s">
        <v>673</v>
      </c>
      <c r="H221" s="2">
        <f>MROUND((
  (IF(AND(_xlfn.XLOOKUP(B221,'Base stats'!B:B,'Base stats'!AL:AL)=0,BI221="None",_xlfn.XLOOKUP(_xlfn.XLOOKUP(B221,'Base stats'!B:B,'Base stats'!E:E),Groups!A:A,Groups!B:B)=0), (18 + BR221 * 2.7) * 0.5,
    IF(AND(_xlfn.XLOOKUP(B221,'Base stats'!B:B,'Base stats'!AL:AL)=0,OR(AO221&lt;0.55,AND(BI221="Intermediate",_xlfn.XLOOKUP(_xlfn.XLOOKUP(B221,'Base stats'!B:B,'Base stats'!E:E),Groups!A:A,Groups!B:B)&lt;2))), (18 + BR221 * 2.7),
      IF(OR(BI221="Advanced",_xlfn.XLOOKUP(B221,'Base stats'!B:B,'Base stats'!AL:AL)=1,_xlfn.XLOOKUP(_xlfn.XLOOKUP(B221,'Base stats'!B:B,'Base stats'!E:E),Groups!A:A,Groups!B:B)=2), (18 + BR221 * 2.7) + 250, (18 + BR221 * 2.7))
    )
  ))
  + AO221 * 80
  + IF(COUNTIF(EggMilk!K$2:K$998, A221) &gt; 0, 125, 0)
  + IF(COUNTIF(EggMilk!P$2:P$998, A221) &gt; 0, 90, 0)
  + IF(COUNTIF(EggMilk!A$2:A$998, A221) &gt; 0, 90, 0)
)
* (0.8 + 0.4 * J221)
* 0.75,25)</f>
        <v>925</v>
      </c>
      <c r="I221" s="2">
        <f>MROUND(ROUNDDOWN(_xlfn.XLOOKUP(B221,'Base stats'!B:B,'Base stats'!L:L)/3.6/(23.3/11),1),0.5)</f>
        <v>4</v>
      </c>
      <c r="J221" s="2">
        <f>IF(OR(_xlfn.XLOOKUP(B221,'Base stats'!B:B,'Base stats'!AB:AB)=1,_xlfn.XLOOKUP(_xlfn.XLOOKUP(B221,'Base stats'!B:B,'Base stats'!E:E),Groups!A:A,Groups!C:C)="Untamable"),1,IF(_xlfn.XLOOKUP(B221,'Base stats'!B:B,'Base stats'!AL:AL)=1,0.99,MIN(MROUND((1-0.6282*EXP(-0.459*AO221))*_xlfn.XLOOKUP(_xlfn.XLOOKUP(B221,'Base stats'!B:B,'Base stats'!E:E),Groups!A:A,Groups!C:C)*IF(_xlfn.XLOOKUP(B221,'Base stats'!B:B,'Base stats'!O:O)=1,0.5,IF(_xlfn.XLOOKUP(B221,'Base stats'!B:B,'Base stats'!O:O)=2,0,1)),0.05),IF(AO221&gt;3.5,0.985,0.95))))</f>
        <v>0.9</v>
      </c>
      <c r="K221" s="2">
        <f>ROUNDUP(AO221*_xlfn.XLOOKUP(_xlfn.XLOOKUP(B221,'Base stats'!B:B,'Base stats'!E:E),Groups!A:A,Groups!E:E),0)</f>
        <v>3</v>
      </c>
      <c r="L221" s="2">
        <f>IF(OR(_xlfn.XLOOKUP(_xlfn.XLOOKUP(B221,'Base stats'!B:B,'Base stats'!E:E),Groups!A:A,Groups!F:F)=2,ISNUMBER(SEARCH("SeaIce",BX221)),ISNUMBER(SEARCH("IceSheet",BX221))),-50,IF(OR(ISNUMBER(SEARCH("GlacialPlain",BX221)),ISNUMBER(SEARCH("Tundra",BX221))),-40,IF(OR(ISNUMBER(SEARCH("Alpine",BX221)),ISNUMBER(SEARCH("BorealForest",BX221)),ISNUMBER(SEARCH("ColdBog",BX221))),-30,IF(OR(ISNUMBER(SEARCH("TemperateForest",BX221)),ISNUMBER(SEARCH("TemperateSwamp",BX221))),-20,IF(_xlfn.XLOOKUP(_xlfn.XLOOKUP(B221,'Base stats'!B:B,'Base stats'!E:E),Groups!A:A,Groups!F:F)=1,-15,IF(OR(ISNUMBER(SEARCH("Desert",BX221)),ISNUMBER(SEARCH("ExtremeDesert",BX221))),-10,IF(OR(ISNUMBER(SEARCH("Grasslands",BX221)),ISNUMBER(SEARCH("TropicalRainforest",BX221)),ISNUMBER(SEARCH("TropicalSwamp",BX221))),10,0)))))))-IF(CC221="False",MIN(IFERROR(MAX(MROUND(LOG10(_xlfn.XLOOKUP(B221,'Base stats'!B:B,'Base stats'!C:C)^(2/3))*10,5),5),5),30))-_xlfn.XLOOKUP(B221,'Base stats'!B:B,'Base stats'!P:P)+IF(CC221="True",5,0)</f>
        <v>5</v>
      </c>
      <c r="M221" s="2">
        <f>IF(OR(_xlfn.XLOOKUP(_xlfn.XLOOKUP(B221,'Base stats'!B:B,'Base stats'!E:E),Groups!A:A,Groups!G:G)=2,ISNUMBER(SEARCH("Desert",BX221)),ISNUMBER(SEARCH("ExtremeDesert",BX221)),ISNUMBER(SEARCH("LavaField",BX221))),50,IF(ISNUMBER(SEARCH("Grasslands",BX221)),45,IF(OR(_xlfn.XLOOKUP(_xlfn.XLOOKUP(B221,'Base stats'!B:B,'Base stats'!E:E),Groups!A:A,Groups!G:G)=1,ISNUMBER(SEARCH("TropicalRainforest",BX221)),ISNUMBER(SEARCH("TropicalSwamp",BX221))),40,IF(OR(ISNUMBER(SEARCH("TemperateForest",BX221)),ISNUMBER(SEARCH("TemperateSwamp",BX221))),35,IF(OR(ISNUMBER(SEARCH("Alpine",BX221)),ISNUMBER(SEARCH("BorealForest",BX221)),ISNUMBER(SEARCH("ColdBog",BX221))),30,IF(ISNUMBER(OR(ISNUMBER(SEARCH("GlacialPlain",BX221)),SEARCH("Tundra",BX221))),25,IF(OR(ISNUMBER(SEARCH("SeaIce",BX221)),ISNUMBER(SEARCH("IceSheet",BX221)),ISNUMBER(SEARCH("TropicalSwamp",BX221))),10,35)))))))+_xlfn.XLOOKUP(B221,'Base stats'!B:B,'Base stats'!Q:Q)</f>
        <v>35</v>
      </c>
      <c r="N221" s="8">
        <f>IF(
_xlfn.XLOOKUP(
_xlfn.XLOOKUP(B221,'Base stats'!B:B,'Base stats'!E:E),
Groups!A:A,
Groups!L:L
)=1,
MIN(
MROUND(
IF(
_xlfn.XLOOKUP(B221,'Animals CE'!B:B,'Animals CE'!Z:Z)&lt;=1.5,
_xlfn.XLOOKUP(B221,'Animals CE'!B:B,'Animals CE'!Z:Z)/2+0.05,
0.8+
(_xlfn.XLOOKUP(B221,'Animals CE'!B:B,'Animals CE'!Z:Z)-1.5)
*0.02
),
0.05
),
200%
),
"No"
)</f>
        <v>0.8</v>
      </c>
      <c r="O221" s="8">
        <f>IF(
_xlfn.XLOOKUP(
_xlfn.XLOOKUP(B221,'Base stats'!B:B,'Base stats'!E:E),
Groups!A:A,
Groups!L:L
)=1,
MIN(
MROUND(
IF(
_xlfn.XLOOKUP(B221,'Animals CE'!B:B,'Animals CE'!AA:AA)&lt;=1.5,
_xlfn.XLOOKUP(B221,'Animals CE'!B:B,'Animals CE'!AA:AA)/2+0.05,
0.8+
(_xlfn.XLOOKUP(B221,'Animals CE'!B:B,'Animals CE'!AA:AA)-1.5)
*0.02
),
0.05
),
200%
),
"No"
)</f>
        <v>0.15000000000000002</v>
      </c>
      <c r="P221" s="2" t="str">
        <f>_xlfn.XLOOKUP(B221,'Base stats'!B:B,'Base stats'!R:R)</f>
        <v>Standard</v>
      </c>
      <c r="Q221" s="13">
        <f>MROUND((LOG10(_xlfn.XLOOKUP(B221,'Base stats'!B:B,'Base stats'!AR:AR))*(AO221^0.5)+(_xlfn.XLOOKUP(B221,'Base stats'!B:B,'Base stats'!AR:AR)/1000)^(2/3)+_xlfn.XLOOKUP(B221,'Base stats'!B:B,'Base stats'!BA:BA)/2)+0.5,0.5)</f>
        <v>14.5</v>
      </c>
      <c r="R221" s="7">
        <f>IF(Q221="No","No",MAX(1,MROUND(_xlfn.XLOOKUP(B221,'Base stats'!B:B,'Base stats'!C:C)^0.165,0.05)))</f>
        <v>2.7</v>
      </c>
      <c r="S221" s="13" t="str">
        <f>IF(_xlfn.XLOOKUP(_xlfn.XLOOKUP(B221,'Base stats'!B:B,'Base stats'!E:E),Groups!A:A,Groups!P:P)=0,"No",MROUND((LOG10(_xlfn.XLOOKUP(B221,'Base stats'!B:B,'Base stats'!AS:AS))*(AO221^0.5)+(_xlfn.XLOOKUP(B221,'Base stats'!B:B,'Base stats'!AS:AS)/1000)^(2/3)+_xlfn.XLOOKUP(B221,'Base stats'!B:B,'Base stats'!BA:BA))+_xlfn.XLOOKUP(B221,'Base stats'!B:B,'Base stats'!AY:AY)+0.5,0.5))</f>
        <v>No</v>
      </c>
      <c r="T221" s="7" t="str">
        <f>IF(S221="No","No",MAX(_xlfn.XLOOKUP(_xlfn.XLOOKUP(B221,'Base stats'!B:B,'Base stats'!E:E),Groups!A:A,Groups!Q:Q),MROUND(_xlfn.XLOOKUP(_xlfn.XLOOKUP(B221,'Base stats'!B:B,'Base stats'!E:E),Groups!A:A,Groups!Q:Q)*_xlfn.XLOOKUP(B221,'Base stats'!B:B,'Base stats'!C:C)^0.165,0.05)))</f>
        <v>No</v>
      </c>
      <c r="U221" s="7" t="str">
        <f>IF(S221="No","No",_xlfn.XLOOKUP(_xlfn.XLOOKUP(B221,'Base stats'!B:B,'Base stats'!E:E),Groups!A:A,Groups!R:R))</f>
        <v>No</v>
      </c>
      <c r="V221" s="7" t="str">
        <f>IF(S221="No","No",_xlfn.XLOOKUP(_xlfn.XLOOKUP(B221,'Base stats'!B:B,'Base stats'!E:E),Groups!A:A,Groups!S:S))</f>
        <v>No</v>
      </c>
      <c r="W221" s="7" t="str">
        <f>IF(S221="No","No",_xlfn.XLOOKUP(_xlfn.XLOOKUP(B221,'Base stats'!B:B,'Base stats'!E:E),Groups!A:A,Groups!T:T))</f>
        <v>No</v>
      </c>
      <c r="X221" s="13" t="str">
        <f>IF(_xlfn.XLOOKUP(B221,'Base stats'!B:B,'Base stats'!W:W)="No","No",MROUND((LOG10(_xlfn.XLOOKUP(B221,'Base stats'!B:B,'Base stats'!AU:AU))*(AO221^0.5)+(_xlfn.XLOOKUP(B221,'Base stats'!B:B,'Base stats'!AU:AU)/1000)^(2/3)+_xlfn.XLOOKUP(B221,'Base stats'!B:B,'Base stats'!AZ:AZ))+0.5+IF(_xlfn.XLOOKUP(_xlfn.XLOOKUP(B221,'Base stats'!B:B,'Base stats'!E:E),Groups!A:A,Groups!U:U)&lt;&gt;3,_xlfn.XLOOKUP(B221,'Base stats'!B:B,'Base stats'!BA:BA),0),0.5))</f>
        <v>No</v>
      </c>
      <c r="Y221" s="7" t="str">
        <f>IF(X221="No","No",MAX(_xlfn.XLOOKUP(_xlfn.XLOOKUP(B221,'Base stats'!B:B,'Base stats'!E:E),Groups!A:A,Groups!V:V),MROUND(_xlfn.XLOOKUP(_xlfn.XLOOKUP(B221,'Base stats'!B:B,'Base stats'!E:E),Groups!A:A,Groups!V:V)*_xlfn.XLOOKUP(B221,'Base stats'!B:B,'Base stats'!C:C)^0.165,0.05)))</f>
        <v>No</v>
      </c>
      <c r="Z221" s="7" t="str">
        <f>IF(X221="No","No",_xlfn.XLOOKUP(_xlfn.XLOOKUP(B221,'Base stats'!B:B,'Base stats'!E:E),Groups!A:A,Groups!W:W))</f>
        <v>No</v>
      </c>
      <c r="AA221" s="7" t="str">
        <f>IF(X221="No","No",_xlfn.XLOOKUP(_xlfn.XLOOKUP(B221,'Base stats'!B:B,'Base stats'!E:E),Groups!A:A,Groups!X:X))</f>
        <v>No</v>
      </c>
      <c r="AB221" s="7" t="str">
        <f>IF(X221="No","No",_xlfn.XLOOKUP(_xlfn.XLOOKUP(B221,'Base stats'!B:B,'Base stats'!E:E),Groups!A:A,Groups!Y:Y))</f>
        <v>No</v>
      </c>
      <c r="AC221" s="7" t="str">
        <f>_xlfn.XLOOKUP(Animals!B221,'Base stats'!B:B,'Base stats'!X:X)</f>
        <v>False</v>
      </c>
      <c r="AD221" s="13">
        <f>IF(_xlfn.XLOOKUP(B221,'Base stats'!B:B,'Base stats'!AT:AT)="No","No",MROUND((LOG10(_xlfn.XLOOKUP(B221,'Base stats'!B:B,'Base stats'!AT:AT))*(AO221^0.75)+(_xlfn.XLOOKUP(B221,'Base stats'!B:B,'Base stats'!AT:AT)/1000)^(2/3)+_xlfn.XLOOKUP(B221,'Base stats'!B:B,'Base stats'!AX:AX)+_xlfn.XLOOKUP(B221,'Base stats'!B:B,'Base stats'!BA:BA))+0.5,0.5))</f>
        <v>36.5</v>
      </c>
      <c r="AE221" s="7">
        <f>IF(AD221="No","No",MAX(_xlfn.XLOOKUP(_xlfn.XLOOKUP(B221,'Base stats'!B:B,'Base stats'!E:E),Groups!A:A,Groups!Z:Z),MROUND(_xlfn.XLOOKUP(_xlfn.XLOOKUP(B221,'Base stats'!B:B,'Base stats'!E:E),Groups!A:A,Groups!Z:Z)*_xlfn.XLOOKUP(B221,'Base stats'!B:B,'Base stats'!C:C)^0.165,0.05)))</f>
        <v>3.2</v>
      </c>
      <c r="AF221" s="7" t="str">
        <f>IF(AD221="No","No",_xlfn.XLOOKUP(_xlfn.XLOOKUP(B221,'Base stats'!B:B,'Base stats'!E:E),Groups!A:A,Groups!AA:AA))</f>
        <v>Mouth</v>
      </c>
      <c r="AG221" s="7" t="str">
        <f>IF(AD221="No","No",_xlfn.XLOOKUP(_xlfn.XLOOKUP(B221,'Base stats'!B:B,'Base stats'!E:E),Groups!A:A,Groups!AB:AB))</f>
        <v>chelicerae</v>
      </c>
      <c r="AH221" s="7" t="str">
        <f>IF(AD221="No","No",_xlfn.XLOOKUP(_xlfn.XLOOKUP(B221,'Base stats'!B:B,'Base stats'!E:E),Groups!A:A,Groups!AC:AC))</f>
        <v>ToxicBite</v>
      </c>
      <c r="AI221" s="13" t="str">
        <f>IF(_xlfn.XLOOKUP(_xlfn.XLOOKUP(B221,'Base stats'!B:B,'Base stats'!E:E),Groups!A:A,Groups!AD:AD)=0,"No",MROUND((LOG10(_xlfn.XLOOKUP(B221,'Base stats'!B:B,'Base stats'!AS:AS))*(AO221^0.75)+(_xlfn.XLOOKUP(B221,'Base stats'!B:B,'Base stats'!AS:AS)/1000)^(2/3)+_xlfn.XLOOKUP(B221,'Base stats'!B:B,'Base stats'!AY:AY)+_xlfn.XLOOKUP(B221,'Base stats'!B:B,'Base stats'!BA:BA))+0.5,0.5))</f>
        <v>No</v>
      </c>
      <c r="AJ221" s="7" t="str">
        <f>IF(AI221="No","No",MAX(_xlfn.XLOOKUP(_xlfn.XLOOKUP(B221,'Base stats'!B:B,'Base stats'!E:E),Groups!A:A,Groups!AE:AE),MROUND(_xlfn.XLOOKUP(_xlfn.XLOOKUP(B221,'Base stats'!B:B,'Base stats'!E:E),Groups!A:A,Groups!AE:AE)*IF(_xlfn.XLOOKUP(_xlfn.XLOOKUP(B221,'Base stats'!B:B,'Base stats'!E:E),Groups!A:A,Groups!AJ:AJ)="Photonozoa",0.6,1)*_xlfn.XLOOKUP(B221,'Base stats'!B:B,'Base stats'!C:C)^0.165,0.05)))</f>
        <v>No</v>
      </c>
      <c r="AK221" s="7" t="str">
        <f>IF(AI221="No","No",_xlfn.XLOOKUP(_xlfn.XLOOKUP(B221,'Base stats'!B:B,'Base stats'!E:E),Groups!A:A,Groups!AF:AF))</f>
        <v>No</v>
      </c>
      <c r="AL221" s="7" t="str">
        <f>IF(AI221="No","No",_xlfn.XLOOKUP(_xlfn.XLOOKUP(B221,'Base stats'!B:B,'Base stats'!E:E),Groups!A:A,Groups!AG:AG))</f>
        <v>No</v>
      </c>
      <c r="AM221" s="7" t="str">
        <f>IF(AI221="No","No",_xlfn.XLOOKUP(_xlfn.XLOOKUP(B221,'Base stats'!B:B,'Base stats'!E:E),Groups!A:A,Groups!AH:AH))</f>
        <v>No</v>
      </c>
      <c r="AN221" s="2" t="str">
        <f t="shared" si="21"/>
        <v>No</v>
      </c>
      <c r="AO221" s="2">
        <f>MROUND(IF(AND(_xlfn.XLOOKUP(B221,'Base stats'!B:B,'Base stats'!C:C)&gt;=0.5,_xlfn.XLOOKUP(B221,'Base stats'!B:B,'Base stats'!C:C)&lt;=0.8),
IF(_xlfn.XLOOKUP(B221,'Base stats'!B:B,'Base stats'!C:C)&lt;0.1,0.05,IF(_xlfn.XLOOKUP(B221,'Base stats'!B:B,'Base stats'!C:C)&lt;=70,(_xlfn.XLOOKUP(B221,'Base stats'!B:B,'Base stats'!C:C)/70)^0.426489913056526,IF(_xlfn.XLOOKUP(B221,'Base stats'!B:B,'Base stats'!C:C)&lt;=400,(_xlfn.XLOOKUP(B221,'Base stats'!B:B,'Base stats'!C:C)/70)^0.572811455315093,IF(_xlfn.XLOOKUP(B221,'Base stats'!B:B,'Base stats'!C:C)&lt;=2000,2.71391647193063*(_xlfn.XLOOKUP(B221,'Base stats'!B:B,'Base stats'!C:C)/400)^0.252459582904293,3.74314280240376*(_xlfn.XLOOKUP(B221,'Base stats'!B:B,'Base stats'!C:C)/2000)^0.357012633876913)))),
IF(_xlfn.XLOOKUP(B221,'Base stats'!B:B,'Base stats'!C:C)&lt;0.1,0.05,IF(_xlfn.XLOOKUP(B221,'Base stats'!B:B,'Base stats'!C:C)&lt;0.4,0.1,IF(_xlfn.XLOOKUP(B221,'Base stats'!B:B,'Base stats'!C:C)&lt;=70,(_xlfn.XLOOKUP(B221,'Base stats'!B:B,'Base stats'!C:C)/70)^0.445823913056526,IF(_xlfn.XLOOKUP(B221,'Base stats'!B:B,'Base stats'!C:C)&lt;=400,(_xlfn.XLOOKUP(B221,'Base stats'!B:B,'Base stats'!C:C)/70)^0.572811455315093,IF(_xlfn.XLOOKUP(B221,'Base stats'!B:B,'Base stats'!C:C)&lt;=2000,2.71391647193063*(_xlfn.XLOOKUP(B221,'Base stats'!B:B,'Base stats'!C:C)/400)^0.252459582904293,3.74314280240376*(_xlfn.XLOOKUP(B221,'Base stats'!B:B,'Base stats'!C:C)/2000)^0.357012633876913)))))),
IF(_xlfn.XLOOKUP(B221,'Base stats'!B:B,'Base stats'!C:C)&lt;0.1,0.05,IF(_xlfn.XLOOKUP(B221,'Base stats'!B:B,'Base stats'!C:C)&lt;=100,0.05,IF(_xlfn.XLOOKUP(B221,'Base stats'!B:B,'Base stats'!C:C)&lt;=250,0.1,IF(_xlfn.XLOOKUP(B221,'Base stats'!B:B,'Base stats'!C:C)&lt;=4000,0.25,0.5)))))</f>
        <v>2.75</v>
      </c>
      <c r="AP221" s="8">
        <f>MROUND(AO221*_xlfn.XLOOKUP(_xlfn.XLOOKUP(B221,'Base stats'!B:B,'Base stats'!E:E),Groups!A:A,Groups!AI:AI)*_xlfn.XLOOKUP(B221,'Base stats'!B:B,'Base stats'!Z:Z),0.05)</f>
        <v>2.75</v>
      </c>
      <c r="AQ221" s="8">
        <f>MAX(0.01,MROUND(IF(CC221="True",0.196*(AO221*100*1000)^0.889,IF(_xlfn.XLOOKUP(_xlfn.XLOOKUP(B221,'Base stats'!B:B,'Base stats'!E:E),Groups!A:A,Groups!AJ:AJ)="Bird",10.5*(AO221*100*1000)^0.681,4.82*(AO221*100*1000)^0.734))/(4.82*(1*100*1000)^0.734)/IF(AO221&lt;3.5,2,IF(AO221=3.5,1.5,1.25))*(1+0.132282374779864/(AO221^0.994035016789033+0.00905238001496948)),0.05))</f>
        <v>0.30000000000000004</v>
      </c>
      <c r="AR221" s="9">
        <f>IFERROR(MROUND(_xlfn.XLOOKUP(B221,'Base stats'!B:B,'Base stats'!H:H)/IF(_xlfn.XLOOKUP(B221,'Base stats'!B:B,'Base stats'!I:I)&lt;&gt;1,(122.5/70),1.2),IF(_xlfn.XLOOKUP(B221,'Base stats'!B:B,'Base stats'!H:H)&gt;=30,5,IF(_xlfn.XLOOKUP(B221,'Base stats'!B:B,'Base stats'!H:H)&gt;=15,3,IF(_xlfn.XLOOKUP(B221,'Base stats'!B:B,'Base stats'!H:H)&gt;=10,2,1)))),"Immortal")</f>
        <v>12</v>
      </c>
      <c r="AS221" s="35" t="str">
        <f>IFERROR(IF(OR(_xlfn.XLOOKUP(B221,'Base stats'!B:B,'Base stats'!F:F)="Atypical reproduction",_xlfn.XLOOKUP(B221,'Base stats'!B:B,'Base stats'!F:F)="Lay eggs"),"Lay eggs",MIN(20,MAX(5.5,ROUND(((_xlfn.XLOOKUP(B221,'Base stats'!B:B,'Base stats'!F:F)-25)*(14.5/615) + 5.5)*2,0)/2))),"Unknown")</f>
        <v>Lay eggs</v>
      </c>
      <c r="AT221" s="8">
        <f>IF(_xlfn.XLOOKUP(B221,'Base stats'!B:B,'Base stats'!G:G)="Atypical reproduction","No",IFERROR(MAX(IF(_xlfn.XLOOKUP(B221,'Base stats'!B:B,'Base stats'!G:G)&lt;0.5,0.2,0.3),MROUND(_xlfn.XLOOKUP(B221,'Base stats'!B:B,'Base stats'!G:G)/(365/60),0.2)),"Unknown"))</f>
        <v>0.8</v>
      </c>
      <c r="AU221" s="8">
        <f t="shared" si="22"/>
        <v>0.4</v>
      </c>
      <c r="AV221" s="8" t="str">
        <f>IFERROR(IFERROR(MROUND(_xlfn.XLOOKUP(B221,'Base stats'!B:B,'Base stats'!J:J),0.1),"Lay eggs"),"Cannot breed")</f>
        <v>Lay eggs</v>
      </c>
      <c r="AW221" s="2" t="str">
        <f t="shared" si="23"/>
        <v>false</v>
      </c>
      <c r="AX221" s="2" t="str">
        <f>IF(_xlfn.XLOOKUP(_xlfn.XLOOKUP(Animals!B221,'Base stats'!B:B,'Base stats'!E:E),Groups!A:A,Groups!AK:AK)=1,"true","false")</f>
        <v>false</v>
      </c>
      <c r="AY221" s="25" t="str">
        <f>IF(_xlfn.XLOOKUP(B221,'Base stats'!B:B,'Base stats'!Y:Y)="Liquor","Liquor, CarnivoreAnimalStrict",IF(AND(_xlfn.XLOOKUP(B221,'Base stats'!B:B,'Base stats'!Y:Y)="Carnivore",_xlfn.XLOOKUP(_xlfn.XLOOKUP(B221,'Base stats'!B:B,'Base stats'!E:E),Groups!A:A,Groups!AJ:AJ)="Photonozoa"),"CarnivoreAnimalStrict, OvivoreAnimal",IF(_xlfn.XLOOKUP(B221,'Base stats'!B:B,'Base stats'!Y:Y)="Carnivore","CarnivoreAnimal, OvivoreAnimal",IF(_xlfn.XLOOKUP(B221,'Base stats'!B:B,'Base stats'!Y:Y)="Dendrovore","VegetarianRoughAnimal, DendrovoreAnimal",IF(_xlfn.XLOOKUP(B221,'Base stats'!B:B,'Base stats'!Y:Y)="Herbivore","VegetarianRoughAnimal",IF(_xlfn.XLOOKUP(B221,'Base stats'!B:B,'Base stats'!Y:Y)="OmnivoreRough","OmnivoreRoughAnimal, OvivoreAnimal","OmnivoreAnimal, OvivoreAnimal"))))))</f>
        <v>VegetarianRoughAnimal</v>
      </c>
      <c r="AZ221" s="2" t="str">
        <f>IF(_xlfn.XLOOKUP(_xlfn.XLOOKUP(B221,'Base stats'!B:B,'Base stats'!E:E),Groups!A:A,Groups!D:D)=1,MROUND((1-J221)*5+1,2)*IF(J221&lt;=0.4,2,1),"No")</f>
        <v>No</v>
      </c>
      <c r="BA221" s="2" t="str">
        <f>IF(AND(_xlfn.XLOOKUP(B221,'Base stats'!B:B,'Base stats'!AH:AH)="&lt;li&gt;Seal&lt;/li&gt;",G221="Odyssey"),"&lt;li&gt;AEXP_Seal&lt;/li&gt;",_xlfn.XLOOKUP(B221,'Base stats'!B:B,'Base stats'!AH:AH))</f>
        <v>&lt;li&gt;Megaspider&lt;/li&gt;</v>
      </c>
      <c r="BB221" s="2" t="str">
        <f>_xlfn.XLOOKUP(B221,'Base stats'!B:B,'Base stats'!AG:AG)</f>
        <v>Leather_Chitin</v>
      </c>
      <c r="BC221" s="23" t="str">
        <f>_xlfn.XLOOKUP(_xlfn.XLOOKUP(B221,'Base stats'!B:B,'Base stats'!E:E),Groups!A:A,Groups!AL:AL)</f>
        <v>Arachnid</v>
      </c>
      <c r="BD221" s="23">
        <f>MIN(1,MROUND(IF(AND(AO221&lt;0.5,_xlfn.XLOOKUP(B221,'Base stats'!B:B,'Base stats'!AA:AA)=0),0,IF(OR(_xlfn.XLOOKUP(Animals!B221,'Base stats'!B:B,'Base stats'!O:O)=2,_xlfn.XLOOKUP(_xlfn.XLOOKUP(B221,'Base stats'!B:B,'Base stats'!E:E),Groups!A:A,Groups!AN:AN)=0),0,_xlfn.XLOOKUP(_xlfn.XLOOKUP(B221,'Base stats'!B:B,'Base stats'!E:E),Groups!A:A,Groups!AN:AN)/IF(_xlfn.XLOOKUP(Animals!B221,'Base stats'!B:B,'Base stats'!O:O)=1,2,1)))+_xlfn.XLOOKUP(B221,'Base stats'!B:B,'Base stats'!AC:AC),0.005))</f>
        <v>0.1</v>
      </c>
      <c r="BE221" s="23">
        <f>MIN(1,MROUND(IF(AND(AO221&lt;0.5,_xlfn.XLOOKUP(B221,'Base stats'!B:B,'Base stats'!AA:AA)=0),0,IF(_xlfn.XLOOKUP(_xlfn.XLOOKUP(B221,'Base stats'!B:B,'Base stats'!E:E),Groups!A:A,Groups!AO:AO)=0,0,_xlfn.XLOOKUP(_xlfn.XLOOKUP(B221,'Base stats'!B:B,'Base stats'!E:E),Groups!A:A,Groups!AO:AO)/IF(_xlfn.XLOOKUP(Animals!B221,'Base stats'!B:B,'Base stats'!O:O)=2,3,1)))+_xlfn.XLOOKUP(B221,'Base stats'!B:B,'Base stats'!AD:AD),0.005))</f>
        <v>1</v>
      </c>
      <c r="BF221" s="2" t="str">
        <f>IF(J221&gt;0.3,"No",_xlfn.XLOOKUP(_xlfn.XLOOKUP(Animals!B221,'Base stats'!B:B,'Base stats'!E:E),Groups!A:A,Groups!AP:AP))</f>
        <v>No</v>
      </c>
      <c r="BG221" s="2" t="str">
        <f>IF(AND(J221&lt;=0.65,_xlfn.XLOOKUP(_xlfn.XLOOKUP(Animals!B221,'Base stats'!B:B,'Base stats'!E:E),Groups!A:A,Groups!AP:AP)&lt;&gt;"No",_xlfn.XLOOKUP(_xlfn.XLOOKUP(B221,'Base stats'!B:B,'Base stats'!E:E),Groups!A:A,Groups!D:D)=0),MROUND((80/3)*IF(_xlfn.XLOOKUP(B221,'Base stats'!B:B,'Base stats'!O:O)=2,0.2,AO221) + 24*(1-IF(BF221="No",0,BF221)) + 16/3, 12),"No")</f>
        <v>No</v>
      </c>
      <c r="BH221" s="2">
        <f>IF(AND(_xlfn.XLOOKUP(_xlfn.XLOOKUP(B221,'Base stats'!B:B,'Base stats'!E:E),Groups!A:A,Groups!AQ:AQ)=1,AO221&lt;=0.35),8,12)</f>
        <v>12</v>
      </c>
      <c r="BI221" s="2" t="str">
        <f>IF(_xlfn.XLOOKUP(_xlfn.XLOOKUP(B221,'Base stats'!B:B,'Base stats'!E:E),Groups!A:A,Groups!D:D)=0,_xlfn.XLOOKUP(_xlfn.XLOOKUP(B221,'Base stats'!B:B,'Base stats'!E:E),Groups!A:A,Groups!AR:AR),"None")</f>
        <v>Intermediate</v>
      </c>
      <c r="BJ221" s="2" t="str">
        <f>IF(AND(_xlfn.XLOOKUP(_xlfn.XLOOKUP(B221,'Base stats'!B:B,'Base stats'!E:E),Groups!A:A,Groups!AS:AS)=1,OR(_xlfn.XLOOKUP(B221,'Base stats'!B:B,'Base stats'!Y:Y)="Carnivore",_xlfn.XLOOKUP(B221,'Base stats'!B:B,'Base stats'!Y:Y)="Omnivore")),"true","false")</f>
        <v>false</v>
      </c>
      <c r="BK221" s="2" t="str">
        <f>IF(BJ221="true",MROUND(IF(AND(AO221&gt;0.5,OR(_xlfn.XLOOKUP(_xlfn.XLOOKUP(B221,'Base stats'!B:B,'Base stats'!E:E),Groups!A:A,Groups!AJ:AJ)="Photonozoa",_xlfn.XLOOKUP(_xlfn.XLOOKUP(B221,'Base stats'!B:B,'Base stats'!E:E),Groups!A:A,Groups!AJ:AJ)="Mammal")),Animals!AO221*1.75*IF(AW221="true",1.5,1),IF(AO221&lt;0.5,Animals!AO221*0.5,Animals!AO221)),IF(AO221&gt;2,0.5,IF(AO221&gt;0.5,0.25,0.1))),"No")</f>
        <v>No</v>
      </c>
      <c r="BL221" s="2">
        <f t="shared" si="24"/>
        <v>1</v>
      </c>
      <c r="BM221" s="25" t="str">
        <f>IF(_xlfn.XLOOKUP(B221,'Base stats'!B:B,'Base stats'!AN:AN)="Standard","No",MROUND((_xlfn.XLOOKUP(B221,'Base stats'!B:B,'Base stats'!AN:AN)/3.6)/I221,0.1))</f>
        <v>No</v>
      </c>
      <c r="BN221" s="25" t="str">
        <f t="shared" si="25"/>
        <v>false</v>
      </c>
      <c r="BO221" s="25" t="str">
        <f>IF(AND(OR(_xlfn.XLOOKUP(B221,'Base stats'!B:B,'Base stats'!Y:Y)="Carnivore",_xlfn.XLOOKUP(B221,'Base stats'!B:B,'Base stats'!Y:Y)="Omnivore",_xlfn.XLOOKUP(B221,'Base stats'!B:B,'Base stats'!Y:Y)="OmnivoreRough"),_xlfn.XLOOKUP(_xlfn.XLOOKUP(B221,'Base stats'!B:B,'Base stats'!E:E),Groups!A:A,Groups!AT:AT)=1),"true","false")</f>
        <v>false</v>
      </c>
      <c r="BP221" s="25" t="str" cm="1">
        <f t="array" ref="BP221">IF(
  _xlfn.TEXTJOIN(", ",TRUE,
    IF(AND(BJ221="true",AO221&gt;0.5,BI221&lt;&gt;"None"),"AttackTarget",""),
    IF(AND(_xlfn.XLOOKUP(_xlfn.XLOOKUP(B221,'Base stats'!B:B,'Base stats'!E:E),Groups!A:A,Groups!AJ:AJ="Mammal"),OR(_xlfn.XLOOKUP(B221,'Base stats'!B:B,'Base stats'!Y:Y)="Omnivore",_xlfn.XLOOKUP(B221,'Base stats'!B:B,'Base stats'!Y:Y)="OmnivoreRough")),"Forage",""),
    IF(BG221&lt;=36,"Comfort",""),
    IF(_xlfn.XLOOKUP(B221,'Base stats'!B:B,'Base stats'!AE:AE)&lt;&gt;"No",_xlfn.XLOOKUP(B221,'Base stats'!B:B,'Base stats'!AE:AE),"")
  ) = "",
  "No",
  _xlfn.TEXTJOIN(", ",TRUE,
    IF(AND(BJ221="true",AO221&gt;0.5,BI221&lt;&gt;"None"),"AttackTarget",""),
    IF(AND(_xlfn.XLOOKUP(_xlfn.XLOOKUP(B221,'Base stats'!B:B,'Base stats'!E:E),Groups!A:A,Groups!AJ:AJ="Mammal"),OR(_xlfn.XLOOKUP(B221,'Base stats'!B:B,'Base stats'!Y:Y)="Omnivore",_xlfn.XLOOKUP(B221,'Base stats'!B:B,'Base stats'!Y:Y)="OmnivoreRough")),"Forage",""),
    IF(BG221&lt;=36,"Comfort",""),
    IF(_xlfn.XLOOKUP(B221,'Base stats'!B:B,'Base stats'!AE:AE)&lt;&gt;"No",_xlfn.XLOOKUP(B221,'Base stats'!B:B,'Base stats'!AE:AE),"")
  )
)</f>
        <v>No</v>
      </c>
      <c r="BQ221" s="25" t="str">
        <f>IF(
   AND(
      'Base stats'!AN221="Standard",_xlfn.XLOOKUP(_xlfn.XLOOKUP(B221,'Base stats'!B:B,'Base stats'!E:E),Groups!A:A,Groups!AU:AU)=0,
      OR(
      BO221="True"
      )
   ),
   10,
   IF(
       OR(BM221&lt;&gt;"No",_xlfn.XLOOKUP(_xlfn.XLOOKUP(B221,'Base stats'!B:B,'Base stats'!E:E),Groups!A:A,Groups!AU:AU)=1),
      1,
      "No"
   )
)</f>
        <v>No</v>
      </c>
      <c r="BR221" s="9">
        <f>MROUND((1 + ((0.2*IF(OR(Q221="No",R221="No",R221=0),0,Q221/R221)
+IF(OR(V221="No",S221="No",T221="No"),0,S221/T221*(LEN(V221)-LEN(SUBSTITUTE(V221,",",""))+1))
+IF(OR(X221="No",Y221="No"),0,X221/Y221)
+IF(OR(AD221="No",AE221="No"),0,AD221/AE221)
+IF(OR(AL221="No",AI221="No",AJ221="No"),0,AI221/AJ221*(LEN(AL221)-LEN(SUBSTITUTE(AL221,",",""))+1))
)/(0.2*IF(OR(Q221="No",R221="No",R221=0),0,1)
+IF(OR(V221="No",S221="No",T221="No"),0,LEN(V221)-LEN(SUBSTITUTE(V221,",",""))+1)
+IF(OR(X221="No",Y221="No"),0,1)
+IF(OR(AD221="No",AE221="No"),0,1)
+IF(OR(AL221="No",AI221="No",AJ221="No"),0,LEN(AL221)-LEN(SUBSTITUTE(AL221,",",""))+1))*62%)* 2)*(1 + (AP221 / (IF(_xlfn.XLOOKUP(_xlfn.XLOOKUP(B221,'Base stats'!B:B,'Base stats'!E:E),Groups!A:A,Groups!AJ:AJ)="Photonozoa",0.3,1)) + _xlfn.XLOOKUP(B221,'Base stats'!B:B,'Base stats'!AV:AV) * 1.8) * 2) * 2.5 + 10 + I221 * 2,5)+IF(_xlfn.XLOOKUP(B221,'Base stats'!B:B,'Base stats'!AK:AK)=1,50,0)</f>
        <v>305</v>
      </c>
      <c r="BS221" s="8">
        <f t="shared" si="26"/>
        <v>0.8</v>
      </c>
      <c r="BT221" s="8" t="str">
        <f>_xlfn.XLOOKUP(B221,'Base stats'!B:B,'Base stats'!AF:AF)</f>
        <v>No</v>
      </c>
      <c r="BU221" s="2" t="str">
        <f>IF(AND(J221&lt;=0.95,OR(_xlfn.XLOOKUP(B221,'Base stats'!B:B,'Base stats'!AK:AK)=1,_xlfn.XLOOKUP(B221,'Base stats'!B:B,'Base stats'!Y:Y)="Carnivore",_xlfn.XLOOKUP(B221,'Base stats'!B:B,'Base stats'!Y:Y)="Omnivore",BE221&gt;0.1)),"true","false")</f>
        <v>true</v>
      </c>
      <c r="BV221" s="2" t="str">
        <f>IF(_xlfn.XLOOKUP(B221,'Base stats'!B:B,'Base stats'!AI:AI)=1,"true","false")</f>
        <v>false</v>
      </c>
      <c r="BW221" s="25" t="str">
        <f>IF(E221="BaseInsect","AnimalInsect",
IF(J221&gt;0.95,"AnimalExotic",
_xlfn.TEXTJOIN(", ",TRUE,
IF(OR(_xlfn.XLOOKUP(B221,'Base stats'!B:B,'Base stats'!AM:AM)=1,AND(_xlfn.XLOOKUP(B221,'Base stats'!B:B,'Base stats'!O:O)=0,_xlfn.XLOOKUP(_xlfn.XLOOKUP(B221,'Base stats'!B:B,'Base stats'!E:E),Groups!A:A,Groups!B:B)&gt;0)),"AnimalUncommon","AnimalCommon"),
IF(AND(_xlfn.XLOOKUP(B221,'Base stats'!B:B,'Base stats'!O:O)=2,_xlfn.XLOOKUP(_xlfn.XLOOKUP(B221,'Base stats'!B:B,'Base stats'!E:E),Groups!A:A,Groups!D:D)=0),"AnimalPet",IF(AND(_xlfn.XLOOKUP(B221,'Base stats'!B:B,'Base stats'!O:O)&lt;&gt;0,_xlfn.XLOOKUP(_xlfn.XLOOKUP(B221,'Base stats'!B:B,'Base stats'!E:E),Groups!A:A,Groups!D:D)&lt;&gt;0),"AnimalFarm","")),
IF(OR(_xlfn.XLOOKUP(B221,'Base stats'!B:B,'Base stats'!AK:AK)=1,AND(BI221&lt;&gt;"None",BR221&gt;=60),ISNUMBER(SEARCH("Attack target",BP221))),"AnimalFighter","")
)))</f>
        <v>AnimalUncommon, AnimalFighter</v>
      </c>
      <c r="BX221" s="25" t="str">
        <f>IF(G221="None",TRIM(
SUBSTITUTE(
IF(COUNTIF(Biomes!B$2:B$259,"="&amp;$C221)&gt;0,Biomes!B$1&amp;", ","")&amp;
IF(COUNTIF(Biomes!C$2:C$259,"="&amp;$C221)&gt;0,Biomes!C$1&amp;", ","")&amp;
IF(COUNTIF(Biomes!D$2:D$259,"="&amp;$C221)&gt;0,Biomes!D$1&amp;", ","")&amp;
IF(COUNTIF(Biomes!F$2:F$259,"="&amp;$C221)&gt;0,Biomes!F$1&amp;", ","")&amp;
IF(COUNTIF(Biomes!G$2:G$259,"="&amp;$C221)&gt;0,Biomes!G$1&amp;", ","")&amp;
IF(COUNTIF(Biomes!H$2:H$259,"="&amp;$C221)&gt;0,Biomes!H$1&amp;", ","")&amp;
IF(COUNTIF(Biomes!I$2:I$259,"="&amp;$C221)&gt;0,Biomes!I$1&amp;", ","")&amp;
IF(COUNTIF(Biomes!J$2:J$259,"="&amp;$C221)&gt;0,Biomes!J$1&amp;", ","")&amp;
IF(COUNTIF(Biomes!M$2:M$259,"="&amp;$C221)&gt;0,Biomes!M$1&amp;", ","")&amp;
IF(COUNTIF(Biomes!N$2:N$259,"="&amp;$C221)&gt;0,Biomes!N$1&amp;", ","")&amp;
IF(COUNTIF(Biomes!O$2:O$259,"="&amp;$C221)&gt;0,Biomes!O$1&amp;", ","")&amp;
IF(COUNTIF(Biomes!P$2:P$259,"="&amp;$C221)&gt;0,Biomes!P$1&amp;", ","")&amp;
IF(COUNTIF(Biomes!K$2:K$259,"="&amp;$C221)&gt;0,Biomes!K$1&amp;", ","")&amp;
IF(COUNTIF(Biomes!Q$3:Q$259,"="&amp;$C221)&gt;0,Biomes!Q$1&amp;", ","")&amp;
IF(COUNTIF(Biomes!L$2:L$259,"="&amp;$C221)&gt;0,Biomes!L$1&amp;", ","")&amp;
IF(COUNTIF(Biomes!E$2:E$259,"="&amp;$C221)&gt;0,Biomes!E$1&amp;", ","")&amp;IF(COUNTIF(Biomes!S$2:S$259,"="&amp;$C221)&gt;0,Biomes!S$1&amp;", ","")&amp;
IF(COUNTIF(Biomes!R$2:R$259,"="&amp;$C221)&gt;0,Biomes!R$1&amp;", ",""),", ","")
),_xlfn.XLOOKUP(B221,B:B,BX:BX))</f>
        <v/>
      </c>
      <c r="BY221" s="25" t="str">
        <f>IF(_xlfn.XLOOKUP(B221,'Base stats'!B:B,'Base stats'!AJ:AJ)=1,"true","false")</f>
        <v>false</v>
      </c>
      <c r="BZ221" s="25">
        <f>IF(_xlfn.XLOOKUP(B221,'Base stats'!B:B,'Base stats'!N:N)=1,"No",MAX(0.001,MIN(MROUND(IF(AND(BJ221="True",CC221="False"),POWER(10,3.47*LOG10(_xlfn.XLOOKUP(B221,'Base stats'!B:B,'Base stats'!C:C)*1000)^-0.96),POWER(10,4.15*LOG10(_xlfn.XLOOKUP(B221,'Base stats'!B:B,'Base stats'!C:C)*1000)^-0.73))*IF(_xlfn.XLOOKUP(B221,'Base stats'!B:B,'Base stats'!AK:AK)=1,0.5,1)*IF(_xlfn.XLOOKUP(B221,'Base stats'!B:B,'Base stats'!AM:AM)=1,0.1,1)/100,IF(_xlfn.XLOOKUP(B221,'Base stats'!B:B,'Base stats'!AM:AM)=1,0.001,0.025)),0.5)))</f>
        <v>1.4999999999999999E-2</v>
      </c>
      <c r="CA221" s="25" t="str">
        <f>IF(P221="Standard","No",MAX(0.001,MIN(MROUND(IF(AND(BJ221="True",CC221="False"),POWER(10,3.47*LOG10(_xlfn.XLOOKUP(B221,'Base stats'!B:B,'Base stats'!C:C)*1000)^-0.96),POWER(10,4.15*LOG10(_xlfn.XLOOKUP(B221,'Base stats'!B:B,'Base stats'!C:C)*1000)^-0.73))*IF(_xlfn.XLOOKUP(B221,'Base stats'!B:B,'Base stats'!AM:AM)=1,0.1,1)*_xlfn.XLOOKUP(B221,'Base stats'!B:B,'Base stats'!R:R)/100,IF(_xlfn.XLOOKUP(B221,'Base stats'!B:B,'Base stats'!AM:AM)=1,0.001,0.025)),0.5)))</f>
        <v>No</v>
      </c>
      <c r="CB221" s="25" t="str">
        <f>IF(_xlfn.XLOOKUP(_xlfn.XLOOKUP(B221,'Base stats'!B:B,'Base stats'!E:E),Groups!A:A,Groups!AJ:AJ)="Mammal","True","False")</f>
        <v>False</v>
      </c>
      <c r="CC221" s="25" t="str">
        <f>IF(OR(_xlfn.XLOOKUP(_xlfn.XLOOKUP(B221,'Base stats'!B:B,'Base stats'!E:E),Groups!A:A,Groups!AJ:AJ)="Reptile",_xlfn.XLOOKUP(_xlfn.XLOOKUP(B221,'Base stats'!B:B,'Base stats'!E:E),Groups!A:A,Groups!AJ:AJ)="Amphibian",_xlfn.XLOOKUP(_xlfn.XLOOKUP(B221,'Base stats'!B:B,'Base stats'!E:E),Groups!A:A,Groups!AJ:AJ)="Invertebrate"),"True","False")</f>
        <v>True</v>
      </c>
      <c r="CD221" s="25" t="str">
        <f t="shared" si="27"/>
        <v>False</v>
      </c>
      <c r="CE221" s="25" t="str">
        <f>IF(_xlfn.XLOOKUP(_xlfn.XLOOKUP(B221,'Base stats'!B:B,'Base stats'!E:E),Groups!A:A,Groups!AX:AX),"True","False")</f>
        <v>False</v>
      </c>
      <c r="CF221" s="25" t="str">
        <f>IF(_xlfn.XLOOKUP(_xlfn.XLOOKUP(B221,'Base stats'!B:B,'Base stats'!E:E),Groups!A:A,Groups!AY:AY),"True","False")</f>
        <v>False</v>
      </c>
      <c r="CG221" s="25" t="str">
        <f>IF(_xlfn.XLOOKUP(_xlfn.XLOOKUP(B221,'Base stats'!B:B,'Base stats'!E:E),Groups!A:A,Groups!AW:AW),"True","False")</f>
        <v>False</v>
      </c>
      <c r="CH221" s="25" t="str">
        <f>IF(
OR(
_xlfn.XLOOKUP(_xlfn.XLOOKUP(B221,'Base stats'!B:B,'Base stats'!E:E),Groups!A:A,Groups!AZ:AZ)=0,
AND(
_xlfn.XLOOKUP(B221,'Base stats'!B:B,'Base stats'!Y:Y)&lt;&gt;"Carnivore",
_xlfn.XLOOKUP(B221,'Base stats'!B:B,'Base stats'!Y:Y)&lt;&gt;"Omnivore",
_xlfn.XLOOKUP(B221,'Base stats'!B:B,'Base stats'!Y:Y)&lt;&gt;"OmnivoreRough"
)
),
"No",
IF(
_xlfn.XLOOKUP(_xlfn.XLOOKUP(B221,'Base stats'!B:B,'Base stats'!E:E),Groups!A:A,Groups!AZ:AZ)=1,
"Flesh",
IF(
_xlfn.XLOOKUP(_xlfn.XLOOKUP(B221,'Base stats'!B:B,'Base stats'!E:E),Groups!A:A,Groups!AZ:AZ)=2,
"Bone",
""
)
)
)</f>
        <v>No</v>
      </c>
      <c r="CI221" s="25" t="str">
        <f>IF(_xlfn.XLOOKUP(_xlfn.XLOOKUP(B221,'Base stats'!B:B,'Base stats'!E:E),Groups!A:A,Groups!BB:BB),"True","False")</f>
        <v>False</v>
      </c>
      <c r="CJ221" s="25" t="str">
        <f>IF(_xlfn.XLOOKUP(_xlfn.XLOOKUP(B221,'Base stats'!B:B,'Base stats'!E:E),Groups!A:A,Groups!BA:BA),"True","False")</f>
        <v>False</v>
      </c>
    </row>
    <row r="222" spans="1:88" ht="16.5" thickTop="1" thickBot="1" x14ac:dyDescent="0.3">
      <c r="A222" s="26" t="s">
        <v>1354</v>
      </c>
      <c r="B222" s="6" t="str">
        <f>_xlfn.XLOOKUP(A222,'Base stats'!A:A,'Base stats'!B:B)</f>
        <v>Vulpes animalis</v>
      </c>
      <c r="C222" s="28" t="s">
        <v>1355</v>
      </c>
      <c r="D222" s="28" t="s">
        <v>1341</v>
      </c>
      <c r="E222" s="28" t="s">
        <v>673</v>
      </c>
      <c r="F222" s="28" t="s">
        <v>737</v>
      </c>
      <c r="G222" s="28" t="s">
        <v>673</v>
      </c>
      <c r="H222" s="2">
        <f>MROUND((
  (IF(AND(_xlfn.XLOOKUP(B222,'Base stats'!B:B,'Base stats'!AL:AL)=0,BI222="None",_xlfn.XLOOKUP(_xlfn.XLOOKUP(B222,'Base stats'!B:B,'Base stats'!E:E),Groups!A:A,Groups!B:B)=0), (18 + BR222 * 2.7) * 0.5,
    IF(AND(_xlfn.XLOOKUP(B222,'Base stats'!B:B,'Base stats'!AL:AL)=0,OR(AO222&lt;0.55,AND(BI222="Intermediate",_xlfn.XLOOKUP(_xlfn.XLOOKUP(B222,'Base stats'!B:B,'Base stats'!E:E),Groups!A:A,Groups!B:B)&lt;2))), (18 + BR222 * 2.7),
      IF(OR(BI222="Advanced",_xlfn.XLOOKUP(B222,'Base stats'!B:B,'Base stats'!AL:AL)=1,_xlfn.XLOOKUP(_xlfn.XLOOKUP(B222,'Base stats'!B:B,'Base stats'!E:E),Groups!A:A,Groups!B:B)=2), (18 + BR222 * 2.7) + 250, (18 + BR222 * 2.7))
    )
  ))
  + AO222 * 80
  + IF(COUNTIF(EggMilk!K$2:K$998, A222) &gt; 0, 125, 0)
  + IF(COUNTIF(EggMilk!P$2:P$998, A222) &gt; 0, 90, 0)
  + IF(COUNTIF(EggMilk!A$2:A$998, A222) &gt; 0, 90, 0)
)
* (0.8 + 0.4 * J222)
* 0.75,25)</f>
        <v>150</v>
      </c>
      <c r="I222" s="2">
        <f>MROUND(ROUNDDOWN(_xlfn.XLOOKUP(B222,'Base stats'!B:B,'Base stats'!L:L)/3.6/(23.3/11),1),0.5)</f>
        <v>6</v>
      </c>
      <c r="J222" s="2">
        <f>IF(OR(_xlfn.XLOOKUP(B222,'Base stats'!B:B,'Base stats'!AB:AB)=1,_xlfn.XLOOKUP(_xlfn.XLOOKUP(B222,'Base stats'!B:B,'Base stats'!E:E),Groups!A:A,Groups!C:C)="Untamable"),1,IF(_xlfn.XLOOKUP(B222,'Base stats'!B:B,'Base stats'!AL:AL)=1,0.99,MIN(MROUND((1-0.6282*EXP(-0.459*AO222))*_xlfn.XLOOKUP(_xlfn.XLOOKUP(B222,'Base stats'!B:B,'Base stats'!E:E),Groups!A:A,Groups!C:C)*IF(_xlfn.XLOOKUP(B222,'Base stats'!B:B,'Base stats'!O:O)=1,0.5,IF(_xlfn.XLOOKUP(B222,'Base stats'!B:B,'Base stats'!O:O)=2,0,1)),0.05),IF(AO222&gt;3.5,0.985,0.95))))</f>
        <v>0.30000000000000004</v>
      </c>
      <c r="K222" s="2">
        <f>ROUNDUP(AO222*_xlfn.XLOOKUP(_xlfn.XLOOKUP(B222,'Base stats'!B:B,'Base stats'!E:E),Groups!A:A,Groups!E:E),0)</f>
        <v>1</v>
      </c>
      <c r="L222" s="2">
        <f>IF(OR(_xlfn.XLOOKUP(_xlfn.XLOOKUP(B222,'Base stats'!B:B,'Base stats'!E:E),Groups!A:A,Groups!F:F)=2,ISNUMBER(SEARCH("SeaIce",BX222)),ISNUMBER(SEARCH("IceSheet",BX222))),-50,IF(OR(ISNUMBER(SEARCH("GlacialPlain",BX222)),ISNUMBER(SEARCH("Tundra",BX222))),-40,IF(OR(ISNUMBER(SEARCH("Alpine",BX222)),ISNUMBER(SEARCH("BorealForest",BX222)),ISNUMBER(SEARCH("ColdBog",BX222))),-30,IF(OR(ISNUMBER(SEARCH("TemperateForest",BX222)),ISNUMBER(SEARCH("TemperateSwamp",BX222))),-20,IF(_xlfn.XLOOKUP(_xlfn.XLOOKUP(B222,'Base stats'!B:B,'Base stats'!E:E),Groups!A:A,Groups!F:F)=1,-15,IF(OR(ISNUMBER(SEARCH("Desert",BX222)),ISNUMBER(SEARCH("ExtremeDesert",BX222))),-10,IF(OR(ISNUMBER(SEARCH("Grasslands",BX222)),ISNUMBER(SEARCH("TropicalRainforest",BX222)),ISNUMBER(SEARCH("TropicalSwamp",BX222))),10,0)))))))-IF(CC222="False",MIN(IFERROR(MAX(MROUND(LOG10(_xlfn.XLOOKUP(B222,'Base stats'!B:B,'Base stats'!C:C)^(2/3))*10,5),5),5),30))-_xlfn.XLOOKUP(B222,'Base stats'!B:B,'Base stats'!P:P)+IF(CC222="True",5,0)</f>
        <v>-45</v>
      </c>
      <c r="M222" s="2">
        <f>IF(OR(_xlfn.XLOOKUP(_xlfn.XLOOKUP(B222,'Base stats'!B:B,'Base stats'!E:E),Groups!A:A,Groups!G:G)=2,ISNUMBER(SEARCH("Desert",BX222)),ISNUMBER(SEARCH("ExtremeDesert",BX222)),ISNUMBER(SEARCH("LavaField",BX222))),50,IF(ISNUMBER(SEARCH("Grasslands",BX222)),45,IF(OR(_xlfn.XLOOKUP(_xlfn.XLOOKUP(B222,'Base stats'!B:B,'Base stats'!E:E),Groups!A:A,Groups!G:G)=1,ISNUMBER(SEARCH("TropicalRainforest",BX222)),ISNUMBER(SEARCH("TropicalSwamp",BX222))),40,IF(OR(ISNUMBER(SEARCH("TemperateForest",BX222)),ISNUMBER(SEARCH("TemperateSwamp",BX222))),35,IF(OR(ISNUMBER(SEARCH("Alpine",BX222)),ISNUMBER(SEARCH("BorealForest",BX222)),ISNUMBER(SEARCH("ColdBog",BX222))),30,IF(ISNUMBER(OR(ISNUMBER(SEARCH("GlacialPlain",BX222)),SEARCH("Tundra",BX222))),25,IF(OR(ISNUMBER(SEARCH("SeaIce",BX222)),ISNUMBER(SEARCH("IceSheet",BX222)),ISNUMBER(SEARCH("TropicalSwamp",BX222))),10,35)))))))+_xlfn.XLOOKUP(B222,'Base stats'!B:B,'Base stats'!Q:Q)</f>
        <v>35</v>
      </c>
      <c r="N222" s="8" t="str">
        <f>IF(
_xlfn.XLOOKUP(
_xlfn.XLOOKUP(B222,'Base stats'!B:B,'Base stats'!E:E),
Groups!A:A,
Groups!L:L
)=1,
MIN(
MROUND(
IF(
_xlfn.XLOOKUP(B222,'Animals CE'!B:B,'Animals CE'!Z:Z)&lt;=1.5,
_xlfn.XLOOKUP(B222,'Animals CE'!B:B,'Animals CE'!Z:Z)/2+0.05,
0.8+
(_xlfn.XLOOKUP(B222,'Animals CE'!B:B,'Animals CE'!Z:Z)-1.5)
*0.02
),
0.05
),
200%
),
"No"
)</f>
        <v>No</v>
      </c>
      <c r="O222" s="8" t="str">
        <f>IF(
_xlfn.XLOOKUP(
_xlfn.XLOOKUP(B222,'Base stats'!B:B,'Base stats'!E:E),
Groups!A:A,
Groups!L:L
)=1,
MIN(
MROUND(
IF(
_xlfn.XLOOKUP(B222,'Animals CE'!B:B,'Animals CE'!AA:AA)&lt;=1.5,
_xlfn.XLOOKUP(B222,'Animals CE'!B:B,'Animals CE'!AA:AA)/2+0.05,
0.8+
(_xlfn.XLOOKUP(B222,'Animals CE'!B:B,'Animals CE'!AA:AA)-1.5)
*0.02
),
0.05
),
200%
),
"No"
)</f>
        <v>No</v>
      </c>
      <c r="P222" s="2" t="str">
        <f>_xlfn.XLOOKUP(B222,'Base stats'!B:B,'Base stats'!R:R)</f>
        <v>Standard</v>
      </c>
      <c r="Q222" s="13">
        <f>MROUND((LOG10(_xlfn.XLOOKUP(B222,'Base stats'!B:B,'Base stats'!AR:AR))*(AO222^0.5)+(_xlfn.XLOOKUP(B222,'Base stats'!B:B,'Base stats'!AR:AR)/1000)^(2/3)+_xlfn.XLOOKUP(B222,'Base stats'!B:B,'Base stats'!BA:BA)/2)+0.5,0.5)</f>
        <v>3.5</v>
      </c>
      <c r="R222" s="7">
        <f>IF(Q222="No","No",MAX(1,MROUND(_xlfn.XLOOKUP(B222,'Base stats'!B:B,'Base stats'!C:C)^0.165,0.05)))</f>
        <v>1.4500000000000002</v>
      </c>
      <c r="S222" s="13" t="str">
        <f>IF(_xlfn.XLOOKUP(_xlfn.XLOOKUP(B222,'Base stats'!B:B,'Base stats'!E:E),Groups!A:A,Groups!P:P)=0,"No",MROUND((LOG10(_xlfn.XLOOKUP(B222,'Base stats'!B:B,'Base stats'!AS:AS))*(AO222^0.5)+(_xlfn.XLOOKUP(B222,'Base stats'!B:B,'Base stats'!AS:AS)/1000)^(2/3)+_xlfn.XLOOKUP(B222,'Base stats'!B:B,'Base stats'!BA:BA))+_xlfn.XLOOKUP(B222,'Base stats'!B:B,'Base stats'!AY:AY)+0.5,0.5))</f>
        <v>No</v>
      </c>
      <c r="T222" s="7" t="str">
        <f>IF(S222="No","No",MAX(_xlfn.XLOOKUP(_xlfn.XLOOKUP(B222,'Base stats'!B:B,'Base stats'!E:E),Groups!A:A,Groups!Q:Q),MROUND(_xlfn.XLOOKUP(_xlfn.XLOOKUP(B222,'Base stats'!B:B,'Base stats'!E:E),Groups!A:A,Groups!Q:Q)*_xlfn.XLOOKUP(B222,'Base stats'!B:B,'Base stats'!C:C)^0.165,0.05)))</f>
        <v>No</v>
      </c>
      <c r="U222" s="7" t="str">
        <f>IF(S222="No","No",_xlfn.XLOOKUP(_xlfn.XLOOKUP(B222,'Base stats'!B:B,'Base stats'!E:E),Groups!A:A,Groups!R:R))</f>
        <v>No</v>
      </c>
      <c r="V222" s="7" t="str">
        <f>IF(S222="No","No",_xlfn.XLOOKUP(_xlfn.XLOOKUP(B222,'Base stats'!B:B,'Base stats'!E:E),Groups!A:A,Groups!S:S))</f>
        <v>No</v>
      </c>
      <c r="W222" s="7" t="str">
        <f>IF(S222="No","No",_xlfn.XLOOKUP(_xlfn.XLOOKUP(B222,'Base stats'!B:B,'Base stats'!E:E),Groups!A:A,Groups!T:T))</f>
        <v>No</v>
      </c>
      <c r="X222" s="13" t="str">
        <f>IF(_xlfn.XLOOKUP(B222,'Base stats'!B:B,'Base stats'!W:W)="No","No",MROUND((LOG10(_xlfn.XLOOKUP(B222,'Base stats'!B:B,'Base stats'!AU:AU))*(AO222^0.5)+(_xlfn.XLOOKUP(B222,'Base stats'!B:B,'Base stats'!AU:AU)/1000)^(2/3)+_xlfn.XLOOKUP(B222,'Base stats'!B:B,'Base stats'!AZ:AZ))+0.5+IF(_xlfn.XLOOKUP(_xlfn.XLOOKUP(B222,'Base stats'!B:B,'Base stats'!E:E),Groups!A:A,Groups!U:U)&lt;&gt;3,_xlfn.XLOOKUP(B222,'Base stats'!B:B,'Base stats'!BA:BA),0),0.5))</f>
        <v>No</v>
      </c>
      <c r="Y222" s="7" t="str">
        <f>IF(X222="No","No",MAX(_xlfn.XLOOKUP(_xlfn.XLOOKUP(B222,'Base stats'!B:B,'Base stats'!E:E),Groups!A:A,Groups!V:V),MROUND(_xlfn.XLOOKUP(_xlfn.XLOOKUP(B222,'Base stats'!B:B,'Base stats'!E:E),Groups!A:A,Groups!V:V)*_xlfn.XLOOKUP(B222,'Base stats'!B:B,'Base stats'!C:C)^0.165,0.05)))</f>
        <v>No</v>
      </c>
      <c r="Z222" s="7" t="str">
        <f>IF(X222="No","No",_xlfn.XLOOKUP(_xlfn.XLOOKUP(B222,'Base stats'!B:B,'Base stats'!E:E),Groups!A:A,Groups!W:W))</f>
        <v>No</v>
      </c>
      <c r="AA222" s="7" t="str">
        <f>IF(X222="No","No",_xlfn.XLOOKUP(_xlfn.XLOOKUP(B222,'Base stats'!B:B,'Base stats'!E:E),Groups!A:A,Groups!X:X))</f>
        <v>No</v>
      </c>
      <c r="AB222" s="7" t="str">
        <f>IF(X222="No","No",_xlfn.XLOOKUP(_xlfn.XLOOKUP(B222,'Base stats'!B:B,'Base stats'!E:E),Groups!A:A,Groups!Y:Y))</f>
        <v>No</v>
      </c>
      <c r="AC222" s="7" t="str">
        <f>_xlfn.XLOOKUP(Animals!B222,'Base stats'!B:B,'Base stats'!X:X)</f>
        <v>False</v>
      </c>
      <c r="AD222" s="13">
        <f>IF(_xlfn.XLOOKUP(B222,'Base stats'!B:B,'Base stats'!AT:AT)="No","No",MROUND((LOG10(_xlfn.XLOOKUP(B222,'Base stats'!B:B,'Base stats'!AT:AT))*(AO222^0.75)+(_xlfn.XLOOKUP(B222,'Base stats'!B:B,'Base stats'!AT:AT)/1000)^(2/3)+_xlfn.XLOOKUP(B222,'Base stats'!B:B,'Base stats'!AX:AX)+_xlfn.XLOOKUP(B222,'Base stats'!B:B,'Base stats'!BA:BA))+0.5,0.5))</f>
        <v>6.5</v>
      </c>
      <c r="AE222" s="7">
        <f>IF(AD222="No","No",MAX(_xlfn.XLOOKUP(_xlfn.XLOOKUP(B222,'Base stats'!B:B,'Base stats'!E:E),Groups!A:A,Groups!Z:Z),MROUND(_xlfn.XLOOKUP(_xlfn.XLOOKUP(B222,'Base stats'!B:B,'Base stats'!E:E),Groups!A:A,Groups!Z:Z)*_xlfn.XLOOKUP(B222,'Base stats'!B:B,'Base stats'!C:C)^0.165,0.05)))</f>
        <v>1.1500000000000001</v>
      </c>
      <c r="AF222" s="7" t="str">
        <f>IF(AD222="No","No",_xlfn.XLOOKUP(_xlfn.XLOOKUP(B222,'Base stats'!B:B,'Base stats'!E:E),Groups!A:A,Groups!AA:AA))</f>
        <v>Teeth</v>
      </c>
      <c r="AG222" s="7" t="str">
        <f>IF(AD222="No","No",_xlfn.XLOOKUP(_xlfn.XLOOKUP(B222,'Base stats'!B:B,'Base stats'!E:E),Groups!A:A,Groups!AB:AB))</f>
        <v>canines</v>
      </c>
      <c r="AH222" s="7" t="str">
        <f>IF(AD222="No","No",_xlfn.XLOOKUP(_xlfn.XLOOKUP(B222,'Base stats'!B:B,'Base stats'!E:E),Groups!A:A,Groups!AC:AC))</f>
        <v>Bite</v>
      </c>
      <c r="AI222" s="13" t="str">
        <f>IF(_xlfn.XLOOKUP(_xlfn.XLOOKUP(B222,'Base stats'!B:B,'Base stats'!E:E),Groups!A:A,Groups!AD:AD)=0,"No",MROUND((LOG10(_xlfn.XLOOKUP(B222,'Base stats'!B:B,'Base stats'!AS:AS))*(AO222^0.75)+(_xlfn.XLOOKUP(B222,'Base stats'!B:B,'Base stats'!AS:AS)/1000)^(2/3)+_xlfn.XLOOKUP(B222,'Base stats'!B:B,'Base stats'!AY:AY)+_xlfn.XLOOKUP(B222,'Base stats'!B:B,'Base stats'!BA:BA))+0.5,0.5))</f>
        <v>No</v>
      </c>
      <c r="AJ222" s="7" t="str">
        <f>IF(AI222="No","No",MAX(_xlfn.XLOOKUP(_xlfn.XLOOKUP(B222,'Base stats'!B:B,'Base stats'!E:E),Groups!A:A,Groups!AE:AE),MROUND(_xlfn.XLOOKUP(_xlfn.XLOOKUP(B222,'Base stats'!B:B,'Base stats'!E:E),Groups!A:A,Groups!AE:AE)*IF(_xlfn.XLOOKUP(_xlfn.XLOOKUP(B222,'Base stats'!B:B,'Base stats'!E:E),Groups!A:A,Groups!AJ:AJ)="Photonozoa",0.6,1)*_xlfn.XLOOKUP(B222,'Base stats'!B:B,'Base stats'!C:C)^0.165,0.05)))</f>
        <v>No</v>
      </c>
      <c r="AK222" s="7" t="str">
        <f>IF(AI222="No","No",_xlfn.XLOOKUP(_xlfn.XLOOKUP(B222,'Base stats'!B:B,'Base stats'!E:E),Groups!A:A,Groups!AF:AF))</f>
        <v>No</v>
      </c>
      <c r="AL222" s="7" t="str">
        <f>IF(AI222="No","No",_xlfn.XLOOKUP(_xlfn.XLOOKUP(B222,'Base stats'!B:B,'Base stats'!E:E),Groups!A:A,Groups!AG:AG))</f>
        <v>No</v>
      </c>
      <c r="AM222" s="7" t="str">
        <f>IF(AI222="No","No",_xlfn.XLOOKUP(_xlfn.XLOOKUP(B222,'Base stats'!B:B,'Base stats'!E:E),Groups!A:A,Groups!AH:AH))</f>
        <v>No</v>
      </c>
      <c r="AN222" s="2">
        <f t="shared" si="21"/>
        <v>15</v>
      </c>
      <c r="AO222" s="2">
        <f>MROUND(IF(AND(_xlfn.XLOOKUP(B222,'Base stats'!B:B,'Base stats'!C:C)&gt;=0.5,_xlfn.XLOOKUP(B222,'Base stats'!B:B,'Base stats'!C:C)&lt;=0.8),
IF(_xlfn.XLOOKUP(B222,'Base stats'!B:B,'Base stats'!C:C)&lt;0.1,0.05,IF(_xlfn.XLOOKUP(B222,'Base stats'!B:B,'Base stats'!C:C)&lt;=70,(_xlfn.XLOOKUP(B222,'Base stats'!B:B,'Base stats'!C:C)/70)^0.426489913056526,IF(_xlfn.XLOOKUP(B222,'Base stats'!B:B,'Base stats'!C:C)&lt;=400,(_xlfn.XLOOKUP(B222,'Base stats'!B:B,'Base stats'!C:C)/70)^0.572811455315093,IF(_xlfn.XLOOKUP(B222,'Base stats'!B:B,'Base stats'!C:C)&lt;=2000,2.71391647193063*(_xlfn.XLOOKUP(B222,'Base stats'!B:B,'Base stats'!C:C)/400)^0.252459582904293,3.74314280240376*(_xlfn.XLOOKUP(B222,'Base stats'!B:B,'Base stats'!C:C)/2000)^0.357012633876913)))),
IF(_xlfn.XLOOKUP(B222,'Base stats'!B:B,'Base stats'!C:C)&lt;0.1,0.05,IF(_xlfn.XLOOKUP(B222,'Base stats'!B:B,'Base stats'!C:C)&lt;0.4,0.1,IF(_xlfn.XLOOKUP(B222,'Base stats'!B:B,'Base stats'!C:C)&lt;=70,(_xlfn.XLOOKUP(B222,'Base stats'!B:B,'Base stats'!C:C)/70)^0.445823913056526,IF(_xlfn.XLOOKUP(B222,'Base stats'!B:B,'Base stats'!C:C)&lt;=400,(_xlfn.XLOOKUP(B222,'Base stats'!B:B,'Base stats'!C:C)/70)^0.572811455315093,IF(_xlfn.XLOOKUP(B222,'Base stats'!B:B,'Base stats'!C:C)&lt;=2000,2.71391647193063*(_xlfn.XLOOKUP(B222,'Base stats'!B:B,'Base stats'!C:C)/400)^0.252459582904293,3.74314280240376*(_xlfn.XLOOKUP(B222,'Base stats'!B:B,'Base stats'!C:C)/2000)^0.357012633876913)))))),
IF(_xlfn.XLOOKUP(B222,'Base stats'!B:B,'Base stats'!C:C)&lt;0.1,0.05,IF(_xlfn.XLOOKUP(B222,'Base stats'!B:B,'Base stats'!C:C)&lt;=100,0.05,IF(_xlfn.XLOOKUP(B222,'Base stats'!B:B,'Base stats'!C:C)&lt;=250,0.1,IF(_xlfn.XLOOKUP(B222,'Base stats'!B:B,'Base stats'!C:C)&lt;=4000,0.25,0.5)))))</f>
        <v>0.4</v>
      </c>
      <c r="AP222" s="8">
        <f>MROUND(AO222*_xlfn.XLOOKUP(_xlfn.XLOOKUP(B222,'Base stats'!B:B,'Base stats'!E:E),Groups!A:A,Groups!AI:AI)*_xlfn.XLOOKUP(B222,'Base stats'!B:B,'Base stats'!Z:Z),0.05)</f>
        <v>0.5</v>
      </c>
      <c r="AQ222" s="8">
        <f>MAX(0.01,MROUND(IF(CC222="True",0.196*(AO222*100*1000)^0.889,IF(_xlfn.XLOOKUP(_xlfn.XLOOKUP(B222,'Base stats'!B:B,'Base stats'!E:E),Groups!A:A,Groups!AJ:AJ)="Bird",10.5*(AO222*100*1000)^0.681,4.82*(AO222*100*1000)^0.734))/(4.82*(1*100*1000)^0.734)/IF(AO222&lt;3.5,2,IF(AO222=3.5,1.5,1.25))*(1+0.132282374779864/(AO222^0.994035016789033+0.00905238001496948)),0.05))</f>
        <v>0.35000000000000003</v>
      </c>
      <c r="AR222" s="9">
        <f>IFERROR(MROUND(_xlfn.XLOOKUP(B222,'Base stats'!B:B,'Base stats'!H:H)/IF(_xlfn.XLOOKUP(B222,'Base stats'!B:B,'Base stats'!I:I)&lt;&gt;1,(122.5/70),1.2),IF(_xlfn.XLOOKUP(B222,'Base stats'!B:B,'Base stats'!H:H)&gt;=30,5,IF(_xlfn.XLOOKUP(B222,'Base stats'!B:B,'Base stats'!H:H)&gt;=15,3,IF(_xlfn.XLOOKUP(B222,'Base stats'!B:B,'Base stats'!H:H)&gt;=10,2,1)))),"Immortal")</f>
        <v>12</v>
      </c>
      <c r="AS222" s="35">
        <f>IFERROR(IF(OR(_xlfn.XLOOKUP(B222,'Base stats'!B:B,'Base stats'!F:F)="Atypical reproduction",_xlfn.XLOOKUP(B222,'Base stats'!B:B,'Base stats'!F:F)="Lay eggs"),"Lay eggs",MIN(20,MAX(5.5,ROUND(((_xlfn.XLOOKUP(B222,'Base stats'!B:B,'Base stats'!F:F)-25)*(14.5/615) + 5.5)*2,0)/2))),"Unknown")</f>
        <v>6</v>
      </c>
      <c r="AT222" s="8">
        <f>IF(_xlfn.XLOOKUP(B222,'Base stats'!B:B,'Base stats'!G:G)="Atypical reproduction","No",IFERROR(MAX(IF(_xlfn.XLOOKUP(B222,'Base stats'!B:B,'Base stats'!G:G)&lt;0.5,0.2,0.3),MROUND(_xlfn.XLOOKUP(B222,'Base stats'!B:B,'Base stats'!G:G)/(365/60),0.2)),"Unknown"))</f>
        <v>0.3</v>
      </c>
      <c r="AU222" s="8">
        <f t="shared" si="22"/>
        <v>0.15000000000000002</v>
      </c>
      <c r="AV222" s="8">
        <f>IFERROR(IFERROR(MROUND(_xlfn.XLOOKUP(B222,'Base stats'!B:B,'Base stats'!J:J),0.1),"Lay eggs"),"Cannot breed")</f>
        <v>5</v>
      </c>
      <c r="AW222" s="2" t="str">
        <f t="shared" si="23"/>
        <v>false</v>
      </c>
      <c r="AX222" s="2" t="str">
        <f>IF(_xlfn.XLOOKUP(_xlfn.XLOOKUP(Animals!B222,'Base stats'!B:B,'Base stats'!E:E),Groups!A:A,Groups!AK:AK)=1,"true","false")</f>
        <v>false</v>
      </c>
      <c r="AY222" s="25" t="str">
        <f>IF(_xlfn.XLOOKUP(B222,'Base stats'!B:B,'Base stats'!Y:Y)="Liquor","Liquor, CarnivoreAnimalStrict",IF(AND(_xlfn.XLOOKUP(B222,'Base stats'!B:B,'Base stats'!Y:Y)="Carnivore",_xlfn.XLOOKUP(_xlfn.XLOOKUP(B222,'Base stats'!B:B,'Base stats'!E:E),Groups!A:A,Groups!AJ:AJ)="Photonozoa"),"CarnivoreAnimalStrict, OvivoreAnimal",IF(_xlfn.XLOOKUP(B222,'Base stats'!B:B,'Base stats'!Y:Y)="Carnivore","CarnivoreAnimal, OvivoreAnimal",IF(_xlfn.XLOOKUP(B222,'Base stats'!B:B,'Base stats'!Y:Y)="Dendrovore","VegetarianRoughAnimal, DendrovoreAnimal",IF(_xlfn.XLOOKUP(B222,'Base stats'!B:B,'Base stats'!Y:Y)="Herbivore","VegetarianRoughAnimal",IF(_xlfn.XLOOKUP(B222,'Base stats'!B:B,'Base stats'!Y:Y)="OmnivoreRough","OmnivoreRoughAnimal, OvivoreAnimal","OmnivoreAnimal, OvivoreAnimal"))))))</f>
        <v>CarnivoreAnimal, OvivoreAnimal</v>
      </c>
      <c r="AZ222" s="2" t="str">
        <f>IF(_xlfn.XLOOKUP(_xlfn.XLOOKUP(B222,'Base stats'!B:B,'Base stats'!E:E),Groups!A:A,Groups!D:D)=1,MROUND((1-J222)*5+1,2)*IF(J222&lt;=0.4,2,1),"No")</f>
        <v>No</v>
      </c>
      <c r="BA222" s="2" t="str">
        <f>IF(AND(_xlfn.XLOOKUP(B222,'Base stats'!B:B,'Base stats'!AH:AH)="&lt;li&gt;Seal&lt;/li&gt;",G222="Odyssey"),"&lt;li&gt;AEXP_Seal&lt;/li&gt;",_xlfn.XLOOKUP(B222,'Base stats'!B:B,'Base stats'!AH:AH))</f>
        <v xml:space="preserve">&lt;li&gt;Fox_Fennec&lt;/li&gt; </v>
      </c>
      <c r="BB222" s="2" t="str">
        <f>_xlfn.XLOOKUP(B222,'Base stats'!B:B,'Base stats'!AG:AG)</f>
        <v>Leather_Fox</v>
      </c>
      <c r="BC222" s="23" t="str">
        <f>_xlfn.XLOOKUP(_xlfn.XLOOKUP(B222,'Base stats'!B:B,'Base stats'!E:E),Groups!A:A,Groups!AL:AL)</f>
        <v>QuadrupedAnimalWithPawsAndTail</v>
      </c>
      <c r="BD222" s="23">
        <f>MIN(1,MROUND(IF(AND(AO222&lt;0.5,_xlfn.XLOOKUP(B222,'Base stats'!B:B,'Base stats'!AA:AA)=0),0,IF(OR(_xlfn.XLOOKUP(Animals!B222,'Base stats'!B:B,'Base stats'!O:O)=2,_xlfn.XLOOKUP(_xlfn.XLOOKUP(B222,'Base stats'!B:B,'Base stats'!E:E),Groups!A:A,Groups!AN:AN)=0),0,_xlfn.XLOOKUP(_xlfn.XLOOKUP(B222,'Base stats'!B:B,'Base stats'!E:E),Groups!A:A,Groups!AN:AN)/IF(_xlfn.XLOOKUP(Animals!B222,'Base stats'!B:B,'Base stats'!O:O)=1,2,1)))+_xlfn.XLOOKUP(B222,'Base stats'!B:B,'Base stats'!AC:AC),0.005))</f>
        <v>0</v>
      </c>
      <c r="BE222" s="23">
        <f>MIN(1,MROUND(IF(AND(AO222&lt;0.5,_xlfn.XLOOKUP(B222,'Base stats'!B:B,'Base stats'!AA:AA)=0),0,IF(_xlfn.XLOOKUP(_xlfn.XLOOKUP(B222,'Base stats'!B:B,'Base stats'!E:E),Groups!A:A,Groups!AO:AO)=0,0,_xlfn.XLOOKUP(_xlfn.XLOOKUP(B222,'Base stats'!B:B,'Base stats'!E:E),Groups!A:A,Groups!AO:AO)/IF(_xlfn.XLOOKUP(Animals!B222,'Base stats'!B:B,'Base stats'!O:O)=2,3,1)))+_xlfn.XLOOKUP(B222,'Base stats'!B:B,'Base stats'!AD:AD),0.005))</f>
        <v>0</v>
      </c>
      <c r="BF222" s="2">
        <f>IF(J222&gt;0.3,"No",_xlfn.XLOOKUP(_xlfn.XLOOKUP(Animals!B222,'Base stats'!B:B,'Base stats'!E:E),Groups!A:A,Groups!AP:AP))</f>
        <v>1</v>
      </c>
      <c r="BG222" s="2">
        <f>IF(AND(J222&lt;=0.65,_xlfn.XLOOKUP(_xlfn.XLOOKUP(Animals!B222,'Base stats'!B:B,'Base stats'!E:E),Groups!A:A,Groups!AP:AP)&lt;&gt;"No",_xlfn.XLOOKUP(_xlfn.XLOOKUP(B222,'Base stats'!B:B,'Base stats'!E:E),Groups!A:A,Groups!D:D)=0),MROUND((80/3)*IF(_xlfn.XLOOKUP(B222,'Base stats'!B:B,'Base stats'!O:O)=2,0.2,AO222) + 24*(1-IF(BF222="No",0,BF222)) + 16/3, 12),"No")</f>
        <v>12</v>
      </c>
      <c r="BH222" s="2">
        <f>IF(AND(_xlfn.XLOOKUP(_xlfn.XLOOKUP(B222,'Base stats'!B:B,'Base stats'!E:E),Groups!A:A,Groups!AQ:AQ)=1,AO222&lt;=0.35),8,12)</f>
        <v>12</v>
      </c>
      <c r="BI222" s="2" t="str">
        <f>IF(_xlfn.XLOOKUP(_xlfn.XLOOKUP(B222,'Base stats'!B:B,'Base stats'!E:E),Groups!A:A,Groups!D:D)=0,_xlfn.XLOOKUP(_xlfn.XLOOKUP(B222,'Base stats'!B:B,'Base stats'!E:E),Groups!A:A,Groups!AR:AR),"None")</f>
        <v>Advanced</v>
      </c>
      <c r="BJ222" s="2" t="str">
        <f>IF(AND(_xlfn.XLOOKUP(_xlfn.XLOOKUP(B222,'Base stats'!B:B,'Base stats'!E:E),Groups!A:A,Groups!AS:AS)=1,OR(_xlfn.XLOOKUP(B222,'Base stats'!B:B,'Base stats'!Y:Y)="Carnivore",_xlfn.XLOOKUP(B222,'Base stats'!B:B,'Base stats'!Y:Y)="Omnivore")),"true","false")</f>
        <v>true</v>
      </c>
      <c r="BK222" s="2">
        <f>IF(BJ222="true",MROUND(IF(AND(AO222&gt;0.5,OR(_xlfn.XLOOKUP(_xlfn.XLOOKUP(B222,'Base stats'!B:B,'Base stats'!E:E),Groups!A:A,Groups!AJ:AJ)="Photonozoa",_xlfn.XLOOKUP(_xlfn.XLOOKUP(B222,'Base stats'!B:B,'Base stats'!E:E),Groups!A:A,Groups!AJ:AJ)="Mammal")),Animals!AO222*1.75*IF(AW222="true",1.5,1),IF(AO222&lt;0.5,Animals!AO222*0.5,Animals!AO222)),IF(AO222&gt;2,0.5,IF(AO222&gt;0.5,0.25,0.1))),"No")</f>
        <v>0.2</v>
      </c>
      <c r="BL222" s="2">
        <f t="shared" si="24"/>
        <v>1</v>
      </c>
      <c r="BM222" s="25" t="str">
        <f>IF(_xlfn.XLOOKUP(B222,'Base stats'!B:B,'Base stats'!AN:AN)="Standard","No",MROUND((_xlfn.XLOOKUP(B222,'Base stats'!B:B,'Base stats'!AN:AN)/3.6)/I222,0.1))</f>
        <v>No</v>
      </c>
      <c r="BN222" s="25" t="str">
        <f t="shared" si="25"/>
        <v>false</v>
      </c>
      <c r="BO222" s="25" t="str">
        <f>IF(AND(OR(_xlfn.XLOOKUP(B222,'Base stats'!B:B,'Base stats'!Y:Y)="Carnivore",_xlfn.XLOOKUP(B222,'Base stats'!B:B,'Base stats'!Y:Y)="Omnivore",_xlfn.XLOOKUP(B222,'Base stats'!B:B,'Base stats'!Y:Y)="OmnivoreRough"),_xlfn.XLOOKUP(_xlfn.XLOOKUP(B222,'Base stats'!B:B,'Base stats'!E:E),Groups!A:A,Groups!AT:AT)=1),"true","false")</f>
        <v>false</v>
      </c>
      <c r="BP222" s="25" t="str" cm="1">
        <f t="array" ref="BP222">IF(
  _xlfn.TEXTJOIN(", ",TRUE,
    IF(AND(BJ222="true",AO222&gt;0.5,BI222&lt;&gt;"None"),"AttackTarget",""),
    IF(AND(_xlfn.XLOOKUP(_xlfn.XLOOKUP(B222,'Base stats'!B:B,'Base stats'!E:E),Groups!A:A,Groups!AJ:AJ="Mammal"),OR(_xlfn.XLOOKUP(B222,'Base stats'!B:B,'Base stats'!Y:Y)="Omnivore",_xlfn.XLOOKUP(B222,'Base stats'!B:B,'Base stats'!Y:Y)="OmnivoreRough")),"Forage",""),
    IF(BG222&lt;=36,"Comfort",""),
    IF(_xlfn.XLOOKUP(B222,'Base stats'!B:B,'Base stats'!AE:AE)&lt;&gt;"No",_xlfn.XLOOKUP(B222,'Base stats'!B:B,'Base stats'!AE:AE),"")
  ) = "",
  "No",
  _xlfn.TEXTJOIN(", ",TRUE,
    IF(AND(BJ222="true",AO222&gt;0.5,BI222&lt;&gt;"None"),"AttackTarget",""),
    IF(AND(_xlfn.XLOOKUP(_xlfn.XLOOKUP(B222,'Base stats'!B:B,'Base stats'!E:E),Groups!A:A,Groups!AJ:AJ="Mammal"),OR(_xlfn.XLOOKUP(B222,'Base stats'!B:B,'Base stats'!Y:Y)="Omnivore",_xlfn.XLOOKUP(B222,'Base stats'!B:B,'Base stats'!Y:Y)="OmnivoreRough")),"Forage",""),
    IF(BG222&lt;=36,"Comfort",""),
    IF(_xlfn.XLOOKUP(B222,'Base stats'!B:B,'Base stats'!AE:AE)&lt;&gt;"No",_xlfn.XLOOKUP(B222,'Base stats'!B:B,'Base stats'!AE:AE),"")
  )
)</f>
        <v>Comfort</v>
      </c>
      <c r="BQ222" s="25" t="str">
        <f>IF(
   AND(
      'Base stats'!AN222="Standard",_xlfn.XLOOKUP(_xlfn.XLOOKUP(B222,'Base stats'!B:B,'Base stats'!E:E),Groups!A:A,Groups!AU:AU)=0,
      OR(
      BO222="True"
      )
   ),
   10,
   IF(
       OR(BM222&lt;&gt;"No",_xlfn.XLOOKUP(_xlfn.XLOOKUP(B222,'Base stats'!B:B,'Base stats'!E:E),Groups!A:A,Groups!AU:AU)=1),
      1,
      "No"
   )
)</f>
        <v>No</v>
      </c>
      <c r="BR222" s="9">
        <f>MROUND((1 + ((0.2*IF(OR(Q222="No",R222="No",R222=0),0,Q222/R222)
+IF(OR(V222="No",S222="No",T222="No"),0,S222/T222*(LEN(V222)-LEN(SUBSTITUTE(V222,",",""))+1))
+IF(OR(X222="No",Y222="No"),0,X222/Y222)
+IF(OR(AD222="No",AE222="No"),0,AD222/AE222)
+IF(OR(AL222="No",AI222="No",AJ222="No"),0,AI222/AJ222*(LEN(AL222)-LEN(SUBSTITUTE(AL222,",",""))+1))
)/(0.2*IF(OR(Q222="No",R222="No",R222=0),0,1)
+IF(OR(V222="No",S222="No",T222="No"),0,LEN(V222)-LEN(SUBSTITUTE(V222,",",""))+1)
+IF(OR(X222="No",Y222="No"),0,1)
+IF(OR(AD222="No",AE222="No"),0,1)
+IF(OR(AL222="No",AI222="No",AJ222="No"),0,LEN(AL222)-LEN(SUBSTITUTE(AL222,",",""))+1))*62%)* 2)*(1 + (AP222 / (IF(_xlfn.XLOOKUP(_xlfn.XLOOKUP(B222,'Base stats'!B:B,'Base stats'!E:E),Groups!A:A,Groups!AJ:AJ)="Photonozoa",0.3,1)) + _xlfn.XLOOKUP(B222,'Base stats'!B:B,'Base stats'!AV:AV) * 1.8) * 2) * 2.5 + 10 + I222 * 2,5)+IF(_xlfn.XLOOKUP(B222,'Base stats'!B:B,'Base stats'!AK:AK)=1,50,0)</f>
        <v>60</v>
      </c>
      <c r="BS222" s="8">
        <f t="shared" si="26"/>
        <v>0.35000000000000003</v>
      </c>
      <c r="BT222" s="8" t="str">
        <f>_xlfn.XLOOKUP(B222,'Base stats'!B:B,'Base stats'!AF:AF)</f>
        <v>No</v>
      </c>
      <c r="BU222" s="2" t="str">
        <f>IF(AND(J222&lt;=0.95,OR(_xlfn.XLOOKUP(B222,'Base stats'!B:B,'Base stats'!AK:AK)=1,_xlfn.XLOOKUP(B222,'Base stats'!B:B,'Base stats'!Y:Y)="Carnivore",_xlfn.XLOOKUP(B222,'Base stats'!B:B,'Base stats'!Y:Y)="Omnivore",BE222&gt;0.1)),"true","false")</f>
        <v>true</v>
      </c>
      <c r="BV222" s="2" t="str">
        <f>IF(_xlfn.XLOOKUP(B222,'Base stats'!B:B,'Base stats'!AI:AI)=1,"true","false")</f>
        <v>false</v>
      </c>
      <c r="BW222" s="25" t="str">
        <f>IF(E222="BaseInsect","AnimalInsect",
IF(J222&gt;0.95,"AnimalExotic",
_xlfn.TEXTJOIN(", ",TRUE,
IF(OR(_xlfn.XLOOKUP(B222,'Base stats'!B:B,'Base stats'!AM:AM)=1,AND(_xlfn.XLOOKUP(B222,'Base stats'!B:B,'Base stats'!O:O)=0,_xlfn.XLOOKUP(_xlfn.XLOOKUP(B222,'Base stats'!B:B,'Base stats'!E:E),Groups!A:A,Groups!B:B)&gt;0)),"AnimalUncommon","AnimalCommon"),
IF(AND(_xlfn.XLOOKUP(B222,'Base stats'!B:B,'Base stats'!O:O)=2,_xlfn.XLOOKUP(_xlfn.XLOOKUP(B222,'Base stats'!B:B,'Base stats'!E:E),Groups!A:A,Groups!D:D)=0),"AnimalPet",IF(AND(_xlfn.XLOOKUP(B222,'Base stats'!B:B,'Base stats'!O:O)&lt;&gt;0,_xlfn.XLOOKUP(_xlfn.XLOOKUP(B222,'Base stats'!B:B,'Base stats'!E:E),Groups!A:A,Groups!D:D)&lt;&gt;0),"AnimalFarm","")),
IF(OR(_xlfn.XLOOKUP(B222,'Base stats'!B:B,'Base stats'!AK:AK)=1,AND(BI222&lt;&gt;"None",BR222&gt;=60),ISNUMBER(SEARCH("Attack target",BP222))),"AnimalFighter","")
)))</f>
        <v>AnimalUncommon, AnimalFighter</v>
      </c>
      <c r="BX222" s="25" t="str">
        <f>IF(G222="None",TRIM(
SUBSTITUTE(
IF(COUNTIF(Biomes!B$2:B$259,"="&amp;$C222)&gt;0,Biomes!B$1&amp;", ","")&amp;
IF(COUNTIF(Biomes!C$2:C$259,"="&amp;$C222)&gt;0,Biomes!C$1&amp;", ","")&amp;
IF(COUNTIF(Biomes!D$2:D$259,"="&amp;$C222)&gt;0,Biomes!D$1&amp;", ","")&amp;
IF(COUNTIF(Biomes!F$2:F$259,"="&amp;$C222)&gt;0,Biomes!F$1&amp;", ","")&amp;
IF(COUNTIF(Biomes!G$2:G$259,"="&amp;$C222)&gt;0,Biomes!G$1&amp;", ","")&amp;
IF(COUNTIF(Biomes!H$2:H$259,"="&amp;$C222)&gt;0,Biomes!H$1&amp;", ","")&amp;
IF(COUNTIF(Biomes!I$2:I$259,"="&amp;$C222)&gt;0,Biomes!I$1&amp;", ","")&amp;
IF(COUNTIF(Biomes!J$2:J$259,"="&amp;$C222)&gt;0,Biomes!J$1&amp;", ","")&amp;
IF(COUNTIF(Biomes!M$2:M$259,"="&amp;$C222)&gt;0,Biomes!M$1&amp;", ","")&amp;
IF(COUNTIF(Biomes!N$2:N$259,"="&amp;$C222)&gt;0,Biomes!N$1&amp;", ","")&amp;
IF(COUNTIF(Biomes!O$2:O$259,"="&amp;$C222)&gt;0,Biomes!O$1&amp;", ","")&amp;
IF(COUNTIF(Biomes!P$2:P$259,"="&amp;$C222)&gt;0,Biomes!P$1&amp;", ","")&amp;
IF(COUNTIF(Biomes!K$2:K$259,"="&amp;$C222)&gt;0,Biomes!K$1&amp;", ","")&amp;
IF(COUNTIF(Biomes!Q$3:Q$259,"="&amp;$C222)&gt;0,Biomes!Q$1&amp;", ","")&amp;
IF(COUNTIF(Biomes!L$2:L$259,"="&amp;$C222)&gt;0,Biomes!L$1&amp;", ","")&amp;
IF(COUNTIF(Biomes!E$2:E$259,"="&amp;$C222)&gt;0,Biomes!E$1&amp;", ","")&amp;IF(COUNTIF(Biomes!S$2:S$259,"="&amp;$C222)&gt;0,Biomes!S$1&amp;", ","")&amp;
IF(COUNTIF(Biomes!R$2:R$259,"="&amp;$C222)&gt;0,Biomes!R$1&amp;", ",""),", ","")
),_xlfn.XLOOKUP(B222,B:B,BX:BX))</f>
        <v>Tundra BorealForest ColdBog TemperateForest TemperateSwamp GlacialPlain</v>
      </c>
      <c r="BY222" s="25" t="str">
        <f>IF(_xlfn.XLOOKUP(B222,'Base stats'!B:B,'Base stats'!AJ:AJ)=1,"true","false")</f>
        <v>false</v>
      </c>
      <c r="BZ222" s="25">
        <f>IF(_xlfn.XLOOKUP(B222,'Base stats'!B:B,'Base stats'!N:N)=1,"No",MAX(0.001,MIN(MROUND(IF(AND(BJ222="True",CC222="False"),POWER(10,3.47*LOG10(_xlfn.XLOOKUP(B222,'Base stats'!B:B,'Base stats'!C:C)*1000)^-0.96),POWER(10,4.15*LOG10(_xlfn.XLOOKUP(B222,'Base stats'!B:B,'Base stats'!C:C)*1000)^-0.73))*IF(_xlfn.XLOOKUP(B222,'Base stats'!B:B,'Base stats'!AK:AK)=1,0.5,1)*IF(_xlfn.XLOOKUP(B222,'Base stats'!B:B,'Base stats'!AM:AM)=1,0.1,1)/100,IF(_xlfn.XLOOKUP(B222,'Base stats'!B:B,'Base stats'!AM:AM)=1,0.001,0.025)),0.5)))</f>
        <v>8.0000000000000002E-3</v>
      </c>
      <c r="CA222" s="25" t="str">
        <f>IF(P222="Standard","No",MAX(0.001,MIN(MROUND(IF(AND(BJ222="True",CC222="False"),POWER(10,3.47*LOG10(_xlfn.XLOOKUP(B222,'Base stats'!B:B,'Base stats'!C:C)*1000)^-0.96),POWER(10,4.15*LOG10(_xlfn.XLOOKUP(B222,'Base stats'!B:B,'Base stats'!C:C)*1000)^-0.73))*IF(_xlfn.XLOOKUP(B222,'Base stats'!B:B,'Base stats'!AM:AM)=1,0.1,1)*_xlfn.XLOOKUP(B222,'Base stats'!B:B,'Base stats'!R:R)/100,IF(_xlfn.XLOOKUP(B222,'Base stats'!B:B,'Base stats'!AM:AM)=1,0.001,0.025)),0.5)))</f>
        <v>No</v>
      </c>
      <c r="CB222" s="25" t="str">
        <f>IF(_xlfn.XLOOKUP(_xlfn.XLOOKUP(B222,'Base stats'!B:B,'Base stats'!E:E),Groups!A:A,Groups!AJ:AJ)="Mammal","True","False")</f>
        <v>True</v>
      </c>
      <c r="CC222" s="25" t="str">
        <f>IF(OR(_xlfn.XLOOKUP(_xlfn.XLOOKUP(B222,'Base stats'!B:B,'Base stats'!E:E),Groups!A:A,Groups!AJ:AJ)="Reptile",_xlfn.XLOOKUP(_xlfn.XLOOKUP(B222,'Base stats'!B:B,'Base stats'!E:E),Groups!A:A,Groups!AJ:AJ)="Amphibian",_xlfn.XLOOKUP(_xlfn.XLOOKUP(B222,'Base stats'!B:B,'Base stats'!E:E),Groups!A:A,Groups!AJ:AJ)="Invertebrate"),"True","False")</f>
        <v>False</v>
      </c>
      <c r="CD222" s="25" t="str">
        <f t="shared" si="27"/>
        <v>False</v>
      </c>
      <c r="CE222" s="25" t="str">
        <f>IF(_xlfn.XLOOKUP(_xlfn.XLOOKUP(B222,'Base stats'!B:B,'Base stats'!E:E),Groups!A:A,Groups!AX:AX),"True","False")</f>
        <v>False</v>
      </c>
      <c r="CF222" s="25" t="str">
        <f>IF(_xlfn.XLOOKUP(_xlfn.XLOOKUP(B222,'Base stats'!B:B,'Base stats'!E:E),Groups!A:A,Groups!AY:AY),"True","False")</f>
        <v>False</v>
      </c>
      <c r="CG222" s="25" t="str">
        <f>IF(_xlfn.XLOOKUP(_xlfn.XLOOKUP(B222,'Base stats'!B:B,'Base stats'!E:E),Groups!A:A,Groups!AW:AW),"True","False")</f>
        <v>False</v>
      </c>
      <c r="CH222" s="25" t="str">
        <f>IF(
OR(
_xlfn.XLOOKUP(_xlfn.XLOOKUP(B222,'Base stats'!B:B,'Base stats'!E:E),Groups!A:A,Groups!AZ:AZ)=0,
AND(
_xlfn.XLOOKUP(B222,'Base stats'!B:B,'Base stats'!Y:Y)&lt;&gt;"Carnivore",
_xlfn.XLOOKUP(B222,'Base stats'!B:B,'Base stats'!Y:Y)&lt;&gt;"Omnivore",
_xlfn.XLOOKUP(B222,'Base stats'!B:B,'Base stats'!Y:Y)&lt;&gt;"OmnivoreRough"
)
),
"No",
IF(
_xlfn.XLOOKUP(_xlfn.XLOOKUP(B222,'Base stats'!B:B,'Base stats'!E:E),Groups!A:A,Groups!AZ:AZ)=1,
"Flesh",
IF(
_xlfn.XLOOKUP(_xlfn.XLOOKUP(B222,'Base stats'!B:B,'Base stats'!E:E),Groups!A:A,Groups!AZ:AZ)=2,
"Bone",
""
)
)
)</f>
        <v>No</v>
      </c>
      <c r="CI222" s="25" t="str">
        <f>IF(_xlfn.XLOOKUP(_xlfn.XLOOKUP(B222,'Base stats'!B:B,'Base stats'!E:E),Groups!A:A,Groups!BB:BB),"True","False")</f>
        <v>True</v>
      </c>
      <c r="CJ222" s="25" t="str">
        <f>IF(_xlfn.XLOOKUP(_xlfn.XLOOKUP(B222,'Base stats'!B:B,'Base stats'!E:E),Groups!A:A,Groups!BA:BA),"True","False")</f>
        <v>False</v>
      </c>
    </row>
    <row r="223" spans="1:88" ht="16.5" thickTop="1" thickBot="1" x14ac:dyDescent="0.3">
      <c r="A223" s="26" t="s">
        <v>1356</v>
      </c>
      <c r="B223" s="6" t="str">
        <f>_xlfn.XLOOKUP(A223,'Base stats'!A:A,'Base stats'!B:B)</f>
        <v>Panthera glacialis</v>
      </c>
      <c r="C223" s="28" t="s">
        <v>1357</v>
      </c>
      <c r="D223" s="28" t="s">
        <v>1341</v>
      </c>
      <c r="E223" s="28" t="s">
        <v>673</v>
      </c>
      <c r="F223" s="28" t="s">
        <v>673</v>
      </c>
      <c r="G223" s="28" t="s">
        <v>673</v>
      </c>
      <c r="H223" s="2">
        <f>MROUND((
  (IF(AND(_xlfn.XLOOKUP(B223,'Base stats'!B:B,'Base stats'!AL:AL)=0,BI223="None",_xlfn.XLOOKUP(_xlfn.XLOOKUP(B223,'Base stats'!B:B,'Base stats'!E:E),Groups!A:A,Groups!B:B)=0), (18 + BR223 * 2.7) * 0.5,
    IF(AND(_xlfn.XLOOKUP(B223,'Base stats'!B:B,'Base stats'!AL:AL)=0,OR(AO223&lt;0.55,AND(BI223="Intermediate",_xlfn.XLOOKUP(_xlfn.XLOOKUP(B223,'Base stats'!B:B,'Base stats'!E:E),Groups!A:A,Groups!B:B)&lt;2))), (18 + BR223 * 2.7),
      IF(OR(BI223="Advanced",_xlfn.XLOOKUP(B223,'Base stats'!B:B,'Base stats'!AL:AL)=1,_xlfn.XLOOKUP(_xlfn.XLOOKUP(B223,'Base stats'!B:B,'Base stats'!E:E),Groups!A:A,Groups!B:B)=2), (18 + BR223 * 2.7) + 250, (18 + BR223 * 2.7))
    )
  ))
  + AO223 * 80
  + IF(COUNTIF(EggMilk!K$2:K$998, A223) &gt; 0, 125, 0)
  + IF(COUNTIF(EggMilk!P$2:P$998, A223) &gt; 0, 90, 0)
  + IF(COUNTIF(EggMilk!A$2:A$998, A223) &gt; 0, 90, 0)
)
* (0.8 + 0.4 * J223)
* 0.75,25)</f>
        <v>1075</v>
      </c>
      <c r="I223" s="2">
        <f>MROUND(ROUNDDOWN(_xlfn.XLOOKUP(B223,'Base stats'!B:B,'Base stats'!L:L)/3.6/(23.3/11),1),0.5)</f>
        <v>7.5</v>
      </c>
      <c r="J223" s="2">
        <f>IF(OR(_xlfn.XLOOKUP(B223,'Base stats'!B:B,'Base stats'!AB:AB)=1,_xlfn.XLOOKUP(_xlfn.XLOOKUP(B223,'Base stats'!B:B,'Base stats'!E:E),Groups!A:A,Groups!C:C)="Untamable"),1,IF(_xlfn.XLOOKUP(B223,'Base stats'!B:B,'Base stats'!AL:AL)=1,0.99,MIN(MROUND((1-0.6282*EXP(-0.459*AO223))*_xlfn.XLOOKUP(_xlfn.XLOOKUP(B223,'Base stats'!B:B,'Base stats'!E:E),Groups!A:A,Groups!C:C)*IF(_xlfn.XLOOKUP(B223,'Base stats'!B:B,'Base stats'!O:O)=1,0.5,IF(_xlfn.XLOOKUP(B223,'Base stats'!B:B,'Base stats'!O:O)=2,0,1)),0.05),IF(AO223&gt;3.5,0.985,0.95))))</f>
        <v>0.95</v>
      </c>
      <c r="K223" s="2">
        <f>ROUNDUP(AO223*_xlfn.XLOOKUP(_xlfn.XLOOKUP(B223,'Base stats'!B:B,'Base stats'!E:E),Groups!A:A,Groups!E:E),0)</f>
        <v>3</v>
      </c>
      <c r="L223" s="2">
        <f>IF(OR(_xlfn.XLOOKUP(_xlfn.XLOOKUP(B223,'Base stats'!B:B,'Base stats'!E:E),Groups!A:A,Groups!F:F)=2,ISNUMBER(SEARCH("SeaIce",BX223)),ISNUMBER(SEARCH("IceSheet",BX223))),-50,IF(OR(ISNUMBER(SEARCH("GlacialPlain",BX223)),ISNUMBER(SEARCH("Tundra",BX223))),-40,IF(OR(ISNUMBER(SEARCH("Alpine",BX223)),ISNUMBER(SEARCH("BorealForest",BX223)),ISNUMBER(SEARCH("ColdBog",BX223))),-30,IF(OR(ISNUMBER(SEARCH("TemperateForest",BX223)),ISNUMBER(SEARCH("TemperateSwamp",BX223))),-20,IF(_xlfn.XLOOKUP(_xlfn.XLOOKUP(B223,'Base stats'!B:B,'Base stats'!E:E),Groups!A:A,Groups!F:F)=1,-15,IF(OR(ISNUMBER(SEARCH("Desert",BX223)),ISNUMBER(SEARCH("ExtremeDesert",BX223))),-10,IF(OR(ISNUMBER(SEARCH("Grasslands",BX223)),ISNUMBER(SEARCH("TropicalRainforest",BX223)),ISNUMBER(SEARCH("TropicalSwamp",BX223))),10,0)))))))-IF(CC223="False",MIN(IFERROR(MAX(MROUND(LOG10(_xlfn.XLOOKUP(B223,'Base stats'!B:B,'Base stats'!C:C)^(2/3))*10,5),5),5),30))-_xlfn.XLOOKUP(B223,'Base stats'!B:B,'Base stats'!P:P)+IF(CC223="True",5,0)</f>
        <v>-65</v>
      </c>
      <c r="M223" s="2">
        <f>IF(OR(_xlfn.XLOOKUP(_xlfn.XLOOKUP(B223,'Base stats'!B:B,'Base stats'!E:E),Groups!A:A,Groups!G:G)=2,ISNUMBER(SEARCH("Desert",BX223)),ISNUMBER(SEARCH("ExtremeDesert",BX223)),ISNUMBER(SEARCH("LavaField",BX223))),50,IF(ISNUMBER(SEARCH("Grasslands",BX223)),45,IF(OR(_xlfn.XLOOKUP(_xlfn.XLOOKUP(B223,'Base stats'!B:B,'Base stats'!E:E),Groups!A:A,Groups!G:G)=1,ISNUMBER(SEARCH("TropicalRainforest",BX223)),ISNUMBER(SEARCH("TropicalSwamp",BX223))),40,IF(OR(ISNUMBER(SEARCH("TemperateForest",BX223)),ISNUMBER(SEARCH("TemperateSwamp",BX223))),35,IF(OR(ISNUMBER(SEARCH("Alpine",BX223)),ISNUMBER(SEARCH("BorealForest",BX223)),ISNUMBER(SEARCH("ColdBog",BX223))),30,IF(ISNUMBER(OR(ISNUMBER(SEARCH("GlacialPlain",BX223)),SEARCH("Tundra",BX223))),25,IF(OR(ISNUMBER(SEARCH("SeaIce",BX223)),ISNUMBER(SEARCH("IceSheet",BX223)),ISNUMBER(SEARCH("TropicalSwamp",BX223))),10,35)))))))+_xlfn.XLOOKUP(B223,'Base stats'!B:B,'Base stats'!Q:Q)</f>
        <v>40</v>
      </c>
      <c r="N223" s="8" t="str">
        <f>IF(
_xlfn.XLOOKUP(
_xlfn.XLOOKUP(B223,'Base stats'!B:B,'Base stats'!E:E),
Groups!A:A,
Groups!L:L
)=1,
MIN(
MROUND(
IF(
_xlfn.XLOOKUP(B223,'Animals CE'!B:B,'Animals CE'!Z:Z)&lt;=1.5,
_xlfn.XLOOKUP(B223,'Animals CE'!B:B,'Animals CE'!Z:Z)/2+0.05,
0.8+
(_xlfn.XLOOKUP(B223,'Animals CE'!B:B,'Animals CE'!Z:Z)-1.5)
*0.02
),
0.05
),
200%
),
"No"
)</f>
        <v>No</v>
      </c>
      <c r="O223" s="8" t="str">
        <f>IF(
_xlfn.XLOOKUP(
_xlfn.XLOOKUP(B223,'Base stats'!B:B,'Base stats'!E:E),
Groups!A:A,
Groups!L:L
)=1,
MIN(
MROUND(
IF(
_xlfn.XLOOKUP(B223,'Animals CE'!B:B,'Animals CE'!AA:AA)&lt;=1.5,
_xlfn.XLOOKUP(B223,'Animals CE'!B:B,'Animals CE'!AA:AA)/2+0.05,
0.8+
(_xlfn.XLOOKUP(B223,'Animals CE'!B:B,'Animals CE'!AA:AA)-1.5)
*0.02
),
0.05
),
200%
),
"No"
)</f>
        <v>No</v>
      </c>
      <c r="P223" s="2" t="str">
        <f>_xlfn.XLOOKUP(B223,'Base stats'!B:B,'Base stats'!R:R)</f>
        <v>Standard</v>
      </c>
      <c r="Q223" s="13">
        <f>MROUND((LOG10(_xlfn.XLOOKUP(B223,'Base stats'!B:B,'Base stats'!AR:AR))*(AO223^0.5)+(_xlfn.XLOOKUP(B223,'Base stats'!B:B,'Base stats'!AR:AR)/1000)^(2/3)+_xlfn.XLOOKUP(B223,'Base stats'!B:B,'Base stats'!BA:BA)/2)+0.5,0.5)</f>
        <v>13</v>
      </c>
      <c r="R223" s="7">
        <f>IF(Q223="No","No",MAX(1,MROUND(_xlfn.XLOOKUP(B223,'Base stats'!B:B,'Base stats'!C:C)^0.165,0.05)))</f>
        <v>2.5500000000000003</v>
      </c>
      <c r="S223" s="13" t="str">
        <f>IF(_xlfn.XLOOKUP(_xlfn.XLOOKUP(B223,'Base stats'!B:B,'Base stats'!E:E),Groups!A:A,Groups!P:P)=0,"No",MROUND((LOG10(_xlfn.XLOOKUP(B223,'Base stats'!B:B,'Base stats'!AS:AS))*(AO223^0.5)+(_xlfn.XLOOKUP(B223,'Base stats'!B:B,'Base stats'!AS:AS)/1000)^(2/3)+_xlfn.XLOOKUP(B223,'Base stats'!B:B,'Base stats'!BA:BA))+_xlfn.XLOOKUP(B223,'Base stats'!B:B,'Base stats'!AY:AY)+0.5,0.5))</f>
        <v>No</v>
      </c>
      <c r="T223" s="7" t="str">
        <f>IF(S223="No","No",MAX(_xlfn.XLOOKUP(_xlfn.XLOOKUP(B223,'Base stats'!B:B,'Base stats'!E:E),Groups!A:A,Groups!Q:Q),MROUND(_xlfn.XLOOKUP(_xlfn.XLOOKUP(B223,'Base stats'!B:B,'Base stats'!E:E),Groups!A:A,Groups!Q:Q)*_xlfn.XLOOKUP(B223,'Base stats'!B:B,'Base stats'!C:C)^0.165,0.05)))</f>
        <v>No</v>
      </c>
      <c r="U223" s="7" t="str">
        <f>IF(S223="No","No",_xlfn.XLOOKUP(_xlfn.XLOOKUP(B223,'Base stats'!B:B,'Base stats'!E:E),Groups!A:A,Groups!R:R))</f>
        <v>No</v>
      </c>
      <c r="V223" s="7" t="str">
        <f>IF(S223="No","No",_xlfn.XLOOKUP(_xlfn.XLOOKUP(B223,'Base stats'!B:B,'Base stats'!E:E),Groups!A:A,Groups!S:S))</f>
        <v>No</v>
      </c>
      <c r="W223" s="7" t="str">
        <f>IF(S223="No","No",_xlfn.XLOOKUP(_xlfn.XLOOKUP(B223,'Base stats'!B:B,'Base stats'!E:E),Groups!A:A,Groups!T:T))</f>
        <v>No</v>
      </c>
      <c r="X223" s="13" t="str">
        <f>IF(_xlfn.XLOOKUP(B223,'Base stats'!B:B,'Base stats'!W:W)="No","No",MROUND((LOG10(_xlfn.XLOOKUP(B223,'Base stats'!B:B,'Base stats'!AU:AU))*(AO223^0.5)+(_xlfn.XLOOKUP(B223,'Base stats'!B:B,'Base stats'!AU:AU)/1000)^(2/3)+_xlfn.XLOOKUP(B223,'Base stats'!B:B,'Base stats'!AZ:AZ))+0.5+IF(_xlfn.XLOOKUP(_xlfn.XLOOKUP(B223,'Base stats'!B:B,'Base stats'!E:E),Groups!A:A,Groups!U:U)&lt;&gt;3,_xlfn.XLOOKUP(B223,'Base stats'!B:B,'Base stats'!BA:BA),0),0.5))</f>
        <v>No</v>
      </c>
      <c r="Y223" s="7" t="str">
        <f>IF(X223="No","No",MAX(_xlfn.XLOOKUP(_xlfn.XLOOKUP(B223,'Base stats'!B:B,'Base stats'!E:E),Groups!A:A,Groups!V:V),MROUND(_xlfn.XLOOKUP(_xlfn.XLOOKUP(B223,'Base stats'!B:B,'Base stats'!E:E),Groups!A:A,Groups!V:V)*_xlfn.XLOOKUP(B223,'Base stats'!B:B,'Base stats'!C:C)^0.165,0.05)))</f>
        <v>No</v>
      </c>
      <c r="Z223" s="7" t="str">
        <f>IF(X223="No","No",_xlfn.XLOOKUP(_xlfn.XLOOKUP(B223,'Base stats'!B:B,'Base stats'!E:E),Groups!A:A,Groups!W:W))</f>
        <v>No</v>
      </c>
      <c r="AA223" s="7" t="str">
        <f>IF(X223="No","No",_xlfn.XLOOKUP(_xlfn.XLOOKUP(B223,'Base stats'!B:B,'Base stats'!E:E),Groups!A:A,Groups!X:X))</f>
        <v>No</v>
      </c>
      <c r="AB223" s="7" t="str">
        <f>IF(X223="No","No",_xlfn.XLOOKUP(_xlfn.XLOOKUP(B223,'Base stats'!B:B,'Base stats'!E:E),Groups!A:A,Groups!Y:Y))</f>
        <v>No</v>
      </c>
      <c r="AC223" s="7" t="str">
        <f>_xlfn.XLOOKUP(Animals!B223,'Base stats'!B:B,'Base stats'!X:X)</f>
        <v>False</v>
      </c>
      <c r="AD223" s="13">
        <f>IF(_xlfn.XLOOKUP(B223,'Base stats'!B:B,'Base stats'!AT:AT)="No","No",MROUND((LOG10(_xlfn.XLOOKUP(B223,'Base stats'!B:B,'Base stats'!AT:AT))*(AO223^0.75)+(_xlfn.XLOOKUP(B223,'Base stats'!B:B,'Base stats'!AT:AT)/1000)^(2/3)+_xlfn.XLOOKUP(B223,'Base stats'!B:B,'Base stats'!AX:AX)+_xlfn.XLOOKUP(B223,'Base stats'!B:B,'Base stats'!BA:BA))+0.5,0.5))</f>
        <v>23.5</v>
      </c>
      <c r="AE223" s="7">
        <f>IF(AD223="No","No",MAX(_xlfn.XLOOKUP(_xlfn.XLOOKUP(B223,'Base stats'!B:B,'Base stats'!E:E),Groups!A:A,Groups!Z:Z),MROUND(_xlfn.XLOOKUP(_xlfn.XLOOKUP(B223,'Base stats'!B:B,'Base stats'!E:E),Groups!A:A,Groups!Z:Z)*_xlfn.XLOOKUP(B223,'Base stats'!B:B,'Base stats'!C:C)^0.165,0.05)))</f>
        <v>1.8</v>
      </c>
      <c r="AF223" s="7" t="str">
        <f>IF(AD223="No","No",_xlfn.XLOOKUP(_xlfn.XLOOKUP(B223,'Base stats'!B:B,'Base stats'!E:E),Groups!A:A,Groups!AA:AA))</f>
        <v>Teeth</v>
      </c>
      <c r="AG223" s="7" t="str">
        <f>IF(AD223="No","No",_xlfn.XLOOKUP(_xlfn.XLOOKUP(B223,'Base stats'!B:B,'Base stats'!E:E),Groups!A:A,Groups!AB:AB))</f>
        <v>canines</v>
      </c>
      <c r="AH223" s="7" t="str">
        <f>IF(AD223="No","No",_xlfn.XLOOKUP(_xlfn.XLOOKUP(B223,'Base stats'!B:B,'Base stats'!E:E),Groups!A:A,Groups!AC:AC))</f>
        <v>Bite</v>
      </c>
      <c r="AI223" s="13">
        <f>IF(_xlfn.XLOOKUP(_xlfn.XLOOKUP(B223,'Base stats'!B:B,'Base stats'!E:E),Groups!A:A,Groups!AD:AD)=0,"No",MROUND((LOG10(_xlfn.XLOOKUP(B223,'Base stats'!B:B,'Base stats'!AS:AS))*(AO223^0.75)+(_xlfn.XLOOKUP(B223,'Base stats'!B:B,'Base stats'!AS:AS)/1000)^(2/3)+_xlfn.XLOOKUP(B223,'Base stats'!B:B,'Base stats'!AY:AY)+_xlfn.XLOOKUP(B223,'Base stats'!B:B,'Base stats'!BA:BA))+0.5,0.5))</f>
        <v>20.5</v>
      </c>
      <c r="AJ223" s="7">
        <f>IF(AI223="No","No",MAX(_xlfn.XLOOKUP(_xlfn.XLOOKUP(B223,'Base stats'!B:B,'Base stats'!E:E),Groups!A:A,Groups!AE:AE),MROUND(_xlfn.XLOOKUP(_xlfn.XLOOKUP(B223,'Base stats'!B:B,'Base stats'!E:E),Groups!A:A,Groups!AE:AE)*IF(_xlfn.XLOOKUP(_xlfn.XLOOKUP(B223,'Base stats'!B:B,'Base stats'!E:E),Groups!A:A,Groups!AJ:AJ)="Photonozoa",0.6,1)*_xlfn.XLOOKUP(B223,'Base stats'!B:B,'Base stats'!C:C)^0.165,0.05)))</f>
        <v>1.6500000000000001</v>
      </c>
      <c r="AK223" s="7" t="str">
        <f>IF(AI223="No","No",_xlfn.XLOOKUP(_xlfn.XLOOKUP(B223,'Base stats'!B:B,'Base stats'!E:E),Groups!A:A,Groups!AF:AF))</f>
        <v>FrontLeftPaw, FrontRightPaw</v>
      </c>
      <c r="AL223" s="7" t="str">
        <f>IF(AI223="No","No",_xlfn.XLOOKUP(_xlfn.XLOOKUP(B223,'Base stats'!B:B,'Base stats'!E:E),Groups!A:A,Groups!AG:AG))</f>
        <v>left claw, right claw</v>
      </c>
      <c r="AM223" s="7" t="str">
        <f>IF(AI223="No","No",_xlfn.XLOOKUP(_xlfn.XLOOKUP(B223,'Base stats'!B:B,'Base stats'!E:E),Groups!A:A,Groups!AH:AH))</f>
        <v>Scratch</v>
      </c>
      <c r="AN223" s="2">
        <f t="shared" si="21"/>
        <v>25</v>
      </c>
      <c r="AO223" s="2">
        <f>MROUND(IF(AND(_xlfn.XLOOKUP(B223,'Base stats'!B:B,'Base stats'!C:C)&gt;=0.5,_xlfn.XLOOKUP(B223,'Base stats'!B:B,'Base stats'!C:C)&lt;=0.8),
IF(_xlfn.XLOOKUP(B223,'Base stats'!B:B,'Base stats'!C:C)&lt;0.1,0.05,IF(_xlfn.XLOOKUP(B223,'Base stats'!B:B,'Base stats'!C:C)&lt;=70,(_xlfn.XLOOKUP(B223,'Base stats'!B:B,'Base stats'!C:C)/70)^0.426489913056526,IF(_xlfn.XLOOKUP(B223,'Base stats'!B:B,'Base stats'!C:C)&lt;=400,(_xlfn.XLOOKUP(B223,'Base stats'!B:B,'Base stats'!C:C)/70)^0.572811455315093,IF(_xlfn.XLOOKUP(B223,'Base stats'!B:B,'Base stats'!C:C)&lt;=2000,2.71391647193063*(_xlfn.XLOOKUP(B223,'Base stats'!B:B,'Base stats'!C:C)/400)^0.252459582904293,3.74314280240376*(_xlfn.XLOOKUP(B223,'Base stats'!B:B,'Base stats'!C:C)/2000)^0.357012633876913)))),
IF(_xlfn.XLOOKUP(B223,'Base stats'!B:B,'Base stats'!C:C)&lt;0.1,0.05,IF(_xlfn.XLOOKUP(B223,'Base stats'!B:B,'Base stats'!C:C)&lt;0.4,0.1,IF(_xlfn.XLOOKUP(B223,'Base stats'!B:B,'Base stats'!C:C)&lt;=70,(_xlfn.XLOOKUP(B223,'Base stats'!B:B,'Base stats'!C:C)/70)^0.445823913056526,IF(_xlfn.XLOOKUP(B223,'Base stats'!B:B,'Base stats'!C:C)&lt;=400,(_xlfn.XLOOKUP(B223,'Base stats'!B:B,'Base stats'!C:C)/70)^0.572811455315093,IF(_xlfn.XLOOKUP(B223,'Base stats'!B:B,'Base stats'!C:C)&lt;=2000,2.71391647193063*(_xlfn.XLOOKUP(B223,'Base stats'!B:B,'Base stats'!C:C)/400)^0.252459582904293,3.74314280240376*(_xlfn.XLOOKUP(B223,'Base stats'!B:B,'Base stats'!C:C)/2000)^0.357012633876913)))))),
IF(_xlfn.XLOOKUP(B223,'Base stats'!B:B,'Base stats'!C:C)&lt;0.1,0.05,IF(_xlfn.XLOOKUP(B223,'Base stats'!B:B,'Base stats'!C:C)&lt;=100,0.05,IF(_xlfn.XLOOKUP(B223,'Base stats'!B:B,'Base stats'!C:C)&lt;=250,0.1,IF(_xlfn.XLOOKUP(B223,'Base stats'!B:B,'Base stats'!C:C)&lt;=4000,0.25,0.5)))))</f>
        <v>2.25</v>
      </c>
      <c r="AP223" s="8">
        <f>MROUND(AO223*_xlfn.XLOOKUP(_xlfn.XLOOKUP(B223,'Base stats'!B:B,'Base stats'!E:E),Groups!A:A,Groups!AI:AI)*_xlfn.XLOOKUP(B223,'Base stats'!B:B,'Base stats'!Z:Z),0.05)</f>
        <v>2.7</v>
      </c>
      <c r="AQ223" s="8">
        <f>MAX(0.01,MROUND(IF(CC223="True",0.196*(AO223*100*1000)^0.889,IF(_xlfn.XLOOKUP(_xlfn.XLOOKUP(B223,'Base stats'!B:B,'Base stats'!E:E),Groups!A:A,Groups!AJ:AJ)="Bird",10.5*(AO223*100*1000)^0.681,4.82*(AO223*100*1000)^0.734))/(4.82*(1*100*1000)^0.734)/IF(AO223&lt;3.5,2,IF(AO223=3.5,1.5,1.25))*(1+0.132282374779864/(AO223^0.994035016789033+0.00905238001496948)),0.05))</f>
        <v>0.95000000000000007</v>
      </c>
      <c r="AR223" s="9">
        <f>IFERROR(MROUND(_xlfn.XLOOKUP(B223,'Base stats'!B:B,'Base stats'!H:H)/IF(_xlfn.XLOOKUP(B223,'Base stats'!B:B,'Base stats'!I:I)&lt;&gt;1,(122.5/70),1.2),IF(_xlfn.XLOOKUP(B223,'Base stats'!B:B,'Base stats'!H:H)&gt;=30,5,IF(_xlfn.XLOOKUP(B223,'Base stats'!B:B,'Base stats'!H:H)&gt;=15,3,IF(_xlfn.XLOOKUP(B223,'Base stats'!B:B,'Base stats'!H:H)&gt;=10,2,1)))),"Immortal")</f>
        <v>15</v>
      </c>
      <c r="AS223" s="35">
        <f>IFERROR(IF(OR(_xlfn.XLOOKUP(B223,'Base stats'!B:B,'Base stats'!F:F)="Atypical reproduction",_xlfn.XLOOKUP(B223,'Base stats'!B:B,'Base stats'!F:F)="Lay eggs"),"Lay eggs",MIN(20,MAX(5.5,ROUND(((_xlfn.XLOOKUP(B223,'Base stats'!B:B,'Base stats'!F:F)-25)*(14.5/615) + 5.5)*2,0)/2))),"Unknown")</f>
        <v>7.5</v>
      </c>
      <c r="AT223" s="8">
        <f>IF(_xlfn.XLOOKUP(B223,'Base stats'!B:B,'Base stats'!G:G)="Atypical reproduction","No",IFERROR(MAX(IF(_xlfn.XLOOKUP(B223,'Base stats'!B:B,'Base stats'!G:G)&lt;0.5,0.2,0.3),MROUND(_xlfn.XLOOKUP(B223,'Base stats'!B:B,'Base stats'!G:G)/(365/60),0.2)),"Unknown"))</f>
        <v>0.4</v>
      </c>
      <c r="AU223" s="8">
        <f t="shared" si="22"/>
        <v>0.2</v>
      </c>
      <c r="AV223" s="8">
        <f>IFERROR(IFERROR(MROUND(_xlfn.XLOOKUP(B223,'Base stats'!B:B,'Base stats'!J:J),0.1),"Lay eggs"),"Cannot breed")</f>
        <v>3</v>
      </c>
      <c r="AW223" s="2" t="str">
        <f t="shared" si="23"/>
        <v>false</v>
      </c>
      <c r="AX223" s="2" t="str">
        <f>IF(_xlfn.XLOOKUP(_xlfn.XLOOKUP(Animals!B223,'Base stats'!B:B,'Base stats'!E:E),Groups!A:A,Groups!AK:AK)=1,"true","false")</f>
        <v>false</v>
      </c>
      <c r="AY223" s="25" t="str">
        <f>IF(_xlfn.XLOOKUP(B223,'Base stats'!B:B,'Base stats'!Y:Y)="Liquor","Liquor, CarnivoreAnimalStrict",IF(AND(_xlfn.XLOOKUP(B223,'Base stats'!B:B,'Base stats'!Y:Y)="Carnivore",_xlfn.XLOOKUP(_xlfn.XLOOKUP(B223,'Base stats'!B:B,'Base stats'!E:E),Groups!A:A,Groups!AJ:AJ)="Photonozoa"),"CarnivoreAnimalStrict, OvivoreAnimal",IF(_xlfn.XLOOKUP(B223,'Base stats'!B:B,'Base stats'!Y:Y)="Carnivore","CarnivoreAnimal, OvivoreAnimal",IF(_xlfn.XLOOKUP(B223,'Base stats'!B:B,'Base stats'!Y:Y)="Dendrovore","VegetarianRoughAnimal, DendrovoreAnimal",IF(_xlfn.XLOOKUP(B223,'Base stats'!B:B,'Base stats'!Y:Y)="Herbivore","VegetarianRoughAnimal",IF(_xlfn.XLOOKUP(B223,'Base stats'!B:B,'Base stats'!Y:Y)="OmnivoreRough","OmnivoreRoughAnimal, OvivoreAnimal","OmnivoreAnimal, OvivoreAnimal"))))))</f>
        <v>CarnivoreAnimal, OvivoreAnimal</v>
      </c>
      <c r="AZ223" s="2" t="str">
        <f>IF(_xlfn.XLOOKUP(_xlfn.XLOOKUP(B223,'Base stats'!B:B,'Base stats'!E:E),Groups!A:A,Groups!D:D)=1,MROUND((1-J223)*5+1,2)*IF(J223&lt;=0.4,2,1),"No")</f>
        <v>No</v>
      </c>
      <c r="BA223" s="2" t="str">
        <f>IF(AND(_xlfn.XLOOKUP(B223,'Base stats'!B:B,'Base stats'!AH:AH)="&lt;li&gt;Seal&lt;/li&gt;",G223="Odyssey"),"&lt;li&gt;AEXP_Seal&lt;/li&gt;",_xlfn.XLOOKUP(B223,'Base stats'!B:B,'Base stats'!AH:AH))</f>
        <v>No</v>
      </c>
      <c r="BB223" s="2" t="str">
        <f>_xlfn.XLOOKUP(B223,'Base stats'!B:B,'Base stats'!AG:AG)</f>
        <v>AA_ArcticLion_Leather</v>
      </c>
      <c r="BC223" s="23" t="str">
        <f>_xlfn.XLOOKUP(_xlfn.XLOOKUP(B223,'Base stats'!B:B,'Base stats'!E:E),Groups!A:A,Groups!AL:AL)</f>
        <v>QuadrupedAnimalWithPawsAndTail</v>
      </c>
      <c r="BD223" s="23">
        <f>MIN(1,MROUND(IF(AND(AO223&lt;0.5,_xlfn.XLOOKUP(B223,'Base stats'!B:B,'Base stats'!AA:AA)=0),0,IF(OR(_xlfn.XLOOKUP(Animals!B223,'Base stats'!B:B,'Base stats'!O:O)=2,_xlfn.XLOOKUP(_xlfn.XLOOKUP(B223,'Base stats'!B:B,'Base stats'!E:E),Groups!A:A,Groups!AN:AN)=0),0,_xlfn.XLOOKUP(_xlfn.XLOOKUP(B223,'Base stats'!B:B,'Base stats'!E:E),Groups!A:A,Groups!AN:AN)/IF(_xlfn.XLOOKUP(Animals!B223,'Base stats'!B:B,'Base stats'!O:O)=1,2,1)))+_xlfn.XLOOKUP(B223,'Base stats'!B:B,'Base stats'!AC:AC),0.005))</f>
        <v>0.1</v>
      </c>
      <c r="BE223" s="23">
        <f>MIN(1,MROUND(IF(AND(AO223&lt;0.5,_xlfn.XLOOKUP(B223,'Base stats'!B:B,'Base stats'!AA:AA)=0),0,IF(_xlfn.XLOOKUP(_xlfn.XLOOKUP(B223,'Base stats'!B:B,'Base stats'!E:E),Groups!A:A,Groups!AO:AO)=0,0,_xlfn.XLOOKUP(_xlfn.XLOOKUP(B223,'Base stats'!B:B,'Base stats'!E:E),Groups!A:A,Groups!AO:AO)/IF(_xlfn.XLOOKUP(Animals!B223,'Base stats'!B:B,'Base stats'!O:O)=2,3,1)))+_xlfn.XLOOKUP(B223,'Base stats'!B:B,'Base stats'!AD:AD),0.005))</f>
        <v>0.3</v>
      </c>
      <c r="BF223" s="2" t="str">
        <f>IF(J223&gt;0.3,"No",_xlfn.XLOOKUP(_xlfn.XLOOKUP(Animals!B223,'Base stats'!B:B,'Base stats'!E:E),Groups!A:A,Groups!AP:AP))</f>
        <v>No</v>
      </c>
      <c r="BG223" s="2" t="str">
        <f>IF(AND(J223&lt;=0.65,_xlfn.XLOOKUP(_xlfn.XLOOKUP(Animals!B223,'Base stats'!B:B,'Base stats'!E:E),Groups!A:A,Groups!AP:AP)&lt;&gt;"No",_xlfn.XLOOKUP(_xlfn.XLOOKUP(B223,'Base stats'!B:B,'Base stats'!E:E),Groups!A:A,Groups!D:D)=0),MROUND((80/3)*IF(_xlfn.XLOOKUP(B223,'Base stats'!B:B,'Base stats'!O:O)=2,0.2,AO223) + 24*(1-IF(BF223="No",0,BF223)) + 16/3, 12),"No")</f>
        <v>No</v>
      </c>
      <c r="BH223" s="2">
        <f>IF(AND(_xlfn.XLOOKUP(_xlfn.XLOOKUP(B223,'Base stats'!B:B,'Base stats'!E:E),Groups!A:A,Groups!AQ:AQ)=1,AO223&lt;=0.35),8,12)</f>
        <v>12</v>
      </c>
      <c r="BI223" s="2" t="str">
        <f>IF(_xlfn.XLOOKUP(_xlfn.XLOOKUP(B223,'Base stats'!B:B,'Base stats'!E:E),Groups!A:A,Groups!D:D)=0,_xlfn.XLOOKUP(_xlfn.XLOOKUP(B223,'Base stats'!B:B,'Base stats'!E:E),Groups!A:A,Groups!AR:AR),"None")</f>
        <v>Intermediate</v>
      </c>
      <c r="BJ223" s="2" t="str">
        <f>IF(AND(_xlfn.XLOOKUP(_xlfn.XLOOKUP(B223,'Base stats'!B:B,'Base stats'!E:E),Groups!A:A,Groups!AS:AS)=1,OR(_xlfn.XLOOKUP(B223,'Base stats'!B:B,'Base stats'!Y:Y)="Carnivore",_xlfn.XLOOKUP(B223,'Base stats'!B:B,'Base stats'!Y:Y)="Omnivore")),"true","false")</f>
        <v>true</v>
      </c>
      <c r="BK223" s="2">
        <f>IF(BJ223="true",MROUND(IF(AND(AO223&gt;0.5,OR(_xlfn.XLOOKUP(_xlfn.XLOOKUP(B223,'Base stats'!B:B,'Base stats'!E:E),Groups!A:A,Groups!AJ:AJ)="Photonozoa",_xlfn.XLOOKUP(_xlfn.XLOOKUP(B223,'Base stats'!B:B,'Base stats'!E:E),Groups!A:A,Groups!AJ:AJ)="Mammal")),Animals!AO223*1.75*IF(AW223="true",1.5,1),IF(AO223&lt;0.5,Animals!AO223*0.5,Animals!AO223)),IF(AO223&gt;2,0.5,IF(AO223&gt;0.5,0.25,0.1))),"No")</f>
        <v>4</v>
      </c>
      <c r="BL223" s="2">
        <f t="shared" si="24"/>
        <v>1</v>
      </c>
      <c r="BM223" s="25" t="str">
        <f>IF(_xlfn.XLOOKUP(B223,'Base stats'!B:B,'Base stats'!AN:AN)="Standard","No",MROUND((_xlfn.XLOOKUP(B223,'Base stats'!B:B,'Base stats'!AN:AN)/3.6)/I223,0.1))</f>
        <v>No</v>
      </c>
      <c r="BN223" s="25" t="str">
        <f t="shared" si="25"/>
        <v>false</v>
      </c>
      <c r="BO223" s="25" t="str">
        <f>IF(AND(OR(_xlfn.XLOOKUP(B223,'Base stats'!B:B,'Base stats'!Y:Y)="Carnivore",_xlfn.XLOOKUP(B223,'Base stats'!B:B,'Base stats'!Y:Y)="Omnivore",_xlfn.XLOOKUP(B223,'Base stats'!B:B,'Base stats'!Y:Y)="OmnivoreRough"),_xlfn.XLOOKUP(_xlfn.XLOOKUP(B223,'Base stats'!B:B,'Base stats'!E:E),Groups!A:A,Groups!AT:AT)=1),"true","false")</f>
        <v>false</v>
      </c>
      <c r="BP223" s="25" t="str" cm="1">
        <f t="array" ref="BP223">IF(
  _xlfn.TEXTJOIN(", ",TRUE,
    IF(AND(BJ223="true",AO223&gt;0.5,BI223&lt;&gt;"None"),"AttackTarget",""),
    IF(AND(_xlfn.XLOOKUP(_xlfn.XLOOKUP(B223,'Base stats'!B:B,'Base stats'!E:E),Groups!A:A,Groups!AJ:AJ="Mammal"),OR(_xlfn.XLOOKUP(B223,'Base stats'!B:B,'Base stats'!Y:Y)="Omnivore",_xlfn.XLOOKUP(B223,'Base stats'!B:B,'Base stats'!Y:Y)="OmnivoreRough")),"Forage",""),
    IF(BG223&lt;=36,"Comfort",""),
    IF(_xlfn.XLOOKUP(B223,'Base stats'!B:B,'Base stats'!AE:AE)&lt;&gt;"No",_xlfn.XLOOKUP(B223,'Base stats'!B:B,'Base stats'!AE:AE),"")
  ) = "",
  "No",
  _xlfn.TEXTJOIN(", ",TRUE,
    IF(AND(BJ223="true",AO223&gt;0.5,BI223&lt;&gt;"None"),"AttackTarget",""),
    IF(AND(_xlfn.XLOOKUP(_xlfn.XLOOKUP(B223,'Base stats'!B:B,'Base stats'!E:E),Groups!A:A,Groups!AJ:AJ="Mammal"),OR(_xlfn.XLOOKUP(B223,'Base stats'!B:B,'Base stats'!Y:Y)="Omnivore",_xlfn.XLOOKUP(B223,'Base stats'!B:B,'Base stats'!Y:Y)="OmnivoreRough")),"Forage",""),
    IF(BG223&lt;=36,"Comfort",""),
    IF(_xlfn.XLOOKUP(B223,'Base stats'!B:B,'Base stats'!AE:AE)&lt;&gt;"No",_xlfn.XLOOKUP(B223,'Base stats'!B:B,'Base stats'!AE:AE),"")
  )
)</f>
        <v>AttackTarget</v>
      </c>
      <c r="BQ223" s="25" t="str">
        <f>IF(
   AND(
      'Base stats'!AN223="Standard",_xlfn.XLOOKUP(_xlfn.XLOOKUP(B223,'Base stats'!B:B,'Base stats'!E:E),Groups!A:A,Groups!AU:AU)=0,
      OR(
      BO223="True"
      )
   ),
   10,
   IF(
       OR(BM223&lt;&gt;"No",_xlfn.XLOOKUP(_xlfn.XLOOKUP(B223,'Base stats'!B:B,'Base stats'!E:E),Groups!A:A,Groups!AU:AU)=1),
      1,
      "No"
   )
)</f>
        <v>No</v>
      </c>
      <c r="BR223" s="9">
        <f>MROUND((1 + ((0.2*IF(OR(Q223="No",R223="No",R223=0),0,Q223/R223)
+IF(OR(V223="No",S223="No",T223="No"),0,S223/T223*(LEN(V223)-LEN(SUBSTITUTE(V223,",",""))+1))
+IF(OR(X223="No",Y223="No"),0,X223/Y223)
+IF(OR(AD223="No",AE223="No"),0,AD223/AE223)
+IF(OR(AL223="No",AI223="No",AJ223="No"),0,AI223/AJ223*(LEN(AL223)-LEN(SUBSTITUTE(AL223,",",""))+1))
)/(0.2*IF(OR(Q223="No",R223="No",R223=0),0,1)
+IF(OR(V223="No",S223="No",T223="No"),0,LEN(V223)-LEN(SUBSTITUTE(V223,",",""))+1)
+IF(OR(X223="No",Y223="No"),0,1)
+IF(OR(AD223="No",AE223="No"),0,1)
+IF(OR(AL223="No",AI223="No",AJ223="No"),0,LEN(AL223)-LEN(SUBSTITUTE(AL223,",",""))+1))*62%)* 2)*(1 + (AP223 / (IF(_xlfn.XLOOKUP(_xlfn.XLOOKUP(B223,'Base stats'!B:B,'Base stats'!E:E),Groups!A:A,Groups!AJ:AJ)="Photonozoa",0.3,1)) + _xlfn.XLOOKUP(B223,'Base stats'!B:B,'Base stats'!AV:AV) * 1.8) * 2) * 2.5 + 10 + I223 * 2,5)+IF(_xlfn.XLOOKUP(B223,'Base stats'!B:B,'Base stats'!AK:AK)=1,50,0)</f>
        <v>280</v>
      </c>
      <c r="BS223" s="8">
        <f t="shared" si="26"/>
        <v>1.2000000000000002</v>
      </c>
      <c r="BT223" s="8" t="str">
        <f>_xlfn.XLOOKUP(B223,'Base stats'!B:B,'Base stats'!AF:AF)</f>
        <v>No</v>
      </c>
      <c r="BU223" s="2" t="str">
        <f>IF(AND(J223&lt;=0.95,OR(_xlfn.XLOOKUP(B223,'Base stats'!B:B,'Base stats'!AK:AK)=1,_xlfn.XLOOKUP(B223,'Base stats'!B:B,'Base stats'!Y:Y)="Carnivore",_xlfn.XLOOKUP(B223,'Base stats'!B:B,'Base stats'!Y:Y)="Omnivore",BE223&gt;0.1)),"true","false")</f>
        <v>true</v>
      </c>
      <c r="BV223" s="2" t="str">
        <f>IF(_xlfn.XLOOKUP(B223,'Base stats'!B:B,'Base stats'!AI:AI)=1,"true","false")</f>
        <v>false</v>
      </c>
      <c r="BW223" s="25" t="str">
        <f>IF(E223="BaseInsect","AnimalInsect",
IF(J223&gt;0.95,"AnimalExotic",
_xlfn.TEXTJOIN(", ",TRUE,
IF(OR(_xlfn.XLOOKUP(B223,'Base stats'!B:B,'Base stats'!AM:AM)=1,AND(_xlfn.XLOOKUP(B223,'Base stats'!B:B,'Base stats'!O:O)=0,_xlfn.XLOOKUP(_xlfn.XLOOKUP(B223,'Base stats'!B:B,'Base stats'!E:E),Groups!A:A,Groups!B:B)&gt;0)),"AnimalUncommon","AnimalCommon"),
IF(AND(_xlfn.XLOOKUP(B223,'Base stats'!B:B,'Base stats'!O:O)=2,_xlfn.XLOOKUP(_xlfn.XLOOKUP(B223,'Base stats'!B:B,'Base stats'!E:E),Groups!A:A,Groups!D:D)=0),"AnimalPet",IF(AND(_xlfn.XLOOKUP(B223,'Base stats'!B:B,'Base stats'!O:O)&lt;&gt;0,_xlfn.XLOOKUP(_xlfn.XLOOKUP(B223,'Base stats'!B:B,'Base stats'!E:E),Groups!A:A,Groups!D:D)&lt;&gt;0),"AnimalFarm","")),
IF(OR(_xlfn.XLOOKUP(B223,'Base stats'!B:B,'Base stats'!AK:AK)=1,AND(BI223&lt;&gt;"None",BR223&gt;=60),ISNUMBER(SEARCH("Attack target",BP223))),"AnimalFighter","")
)))</f>
        <v>AnimalUncommon, AnimalFighter</v>
      </c>
      <c r="BX223" s="25" t="str">
        <f>IF(G223="None",TRIM(
SUBSTITUTE(
IF(COUNTIF(Biomes!B$2:B$259,"="&amp;$C223)&gt;0,Biomes!B$1&amp;", ","")&amp;
IF(COUNTIF(Biomes!C$2:C$259,"="&amp;$C223)&gt;0,Biomes!C$1&amp;", ","")&amp;
IF(COUNTIF(Biomes!D$2:D$259,"="&amp;$C223)&gt;0,Biomes!D$1&amp;", ","")&amp;
IF(COUNTIF(Biomes!F$2:F$259,"="&amp;$C223)&gt;0,Biomes!F$1&amp;", ","")&amp;
IF(COUNTIF(Biomes!G$2:G$259,"="&amp;$C223)&gt;0,Biomes!G$1&amp;", ","")&amp;
IF(COUNTIF(Biomes!H$2:H$259,"="&amp;$C223)&gt;0,Biomes!H$1&amp;", ","")&amp;
IF(COUNTIF(Biomes!I$2:I$259,"="&amp;$C223)&gt;0,Biomes!I$1&amp;", ","")&amp;
IF(COUNTIF(Biomes!J$2:J$259,"="&amp;$C223)&gt;0,Biomes!J$1&amp;", ","")&amp;
IF(COUNTIF(Biomes!M$2:M$259,"="&amp;$C223)&gt;0,Biomes!M$1&amp;", ","")&amp;
IF(COUNTIF(Biomes!N$2:N$259,"="&amp;$C223)&gt;0,Biomes!N$1&amp;", ","")&amp;
IF(COUNTIF(Biomes!O$2:O$259,"="&amp;$C223)&gt;0,Biomes!O$1&amp;", ","")&amp;
IF(COUNTIF(Biomes!P$2:P$259,"="&amp;$C223)&gt;0,Biomes!P$1&amp;", ","")&amp;
IF(COUNTIF(Biomes!K$2:K$259,"="&amp;$C223)&gt;0,Biomes!K$1&amp;", ","")&amp;
IF(COUNTIF(Biomes!Q$3:Q$259,"="&amp;$C223)&gt;0,Biomes!Q$1&amp;", ","")&amp;
IF(COUNTIF(Biomes!L$2:L$259,"="&amp;$C223)&gt;0,Biomes!L$1&amp;", ","")&amp;
IF(COUNTIF(Biomes!E$2:E$259,"="&amp;$C223)&gt;0,Biomes!E$1&amp;", ","")&amp;IF(COUNTIF(Biomes!S$2:S$259,"="&amp;$C223)&gt;0,Biomes!S$1&amp;", ","")&amp;
IF(COUNTIF(Biomes!R$2:R$259,"="&amp;$C223)&gt;0,Biomes!R$1&amp;", ",""),", ","")
),_xlfn.XLOOKUP(B223,B:B,BX:BX))</f>
        <v>SeaIce IceSheet Tundra BorealForest ColdBog GlacialPlain</v>
      </c>
      <c r="BY223" s="25" t="str">
        <f>IF(_xlfn.XLOOKUP(B223,'Base stats'!B:B,'Base stats'!AJ:AJ)=1,"true","false")</f>
        <v>false</v>
      </c>
      <c r="BZ223" s="25">
        <f>IF(_xlfn.XLOOKUP(B223,'Base stats'!B:B,'Base stats'!N:N)=1,"No",MAX(0.001,MIN(MROUND(IF(AND(BJ223="True",CC223="False"),POWER(10,3.47*LOG10(_xlfn.XLOOKUP(B223,'Base stats'!B:B,'Base stats'!C:C)*1000)^-0.96),POWER(10,4.15*LOG10(_xlfn.XLOOKUP(B223,'Base stats'!B:B,'Base stats'!C:C)*1000)^-0.73))*IF(_xlfn.XLOOKUP(B223,'Base stats'!B:B,'Base stats'!AK:AK)=1,0.5,1)*IF(_xlfn.XLOOKUP(B223,'Base stats'!B:B,'Base stats'!AM:AM)=1,0.1,1)/100,IF(_xlfn.XLOOKUP(B223,'Base stats'!B:B,'Base stats'!AM:AM)=1,0.001,0.025)),0.5)))</f>
        <v>5.0000000000000001E-3</v>
      </c>
      <c r="CA223" s="25" t="str">
        <f>IF(P223="Standard","No",MAX(0.001,MIN(MROUND(IF(AND(BJ223="True",CC223="False"),POWER(10,3.47*LOG10(_xlfn.XLOOKUP(B223,'Base stats'!B:B,'Base stats'!C:C)*1000)^-0.96),POWER(10,4.15*LOG10(_xlfn.XLOOKUP(B223,'Base stats'!B:B,'Base stats'!C:C)*1000)^-0.73))*IF(_xlfn.XLOOKUP(B223,'Base stats'!B:B,'Base stats'!AM:AM)=1,0.1,1)*_xlfn.XLOOKUP(B223,'Base stats'!B:B,'Base stats'!R:R)/100,IF(_xlfn.XLOOKUP(B223,'Base stats'!B:B,'Base stats'!AM:AM)=1,0.001,0.025)),0.5)))</f>
        <v>No</v>
      </c>
      <c r="CB223" s="25" t="str">
        <f>IF(_xlfn.XLOOKUP(_xlfn.XLOOKUP(B223,'Base stats'!B:B,'Base stats'!E:E),Groups!A:A,Groups!AJ:AJ)="Mammal","True","False")</f>
        <v>True</v>
      </c>
      <c r="CC223" s="25" t="str">
        <f>IF(OR(_xlfn.XLOOKUP(_xlfn.XLOOKUP(B223,'Base stats'!B:B,'Base stats'!E:E),Groups!A:A,Groups!AJ:AJ)="Reptile",_xlfn.XLOOKUP(_xlfn.XLOOKUP(B223,'Base stats'!B:B,'Base stats'!E:E),Groups!A:A,Groups!AJ:AJ)="Amphibian",_xlfn.XLOOKUP(_xlfn.XLOOKUP(B223,'Base stats'!B:B,'Base stats'!E:E),Groups!A:A,Groups!AJ:AJ)="Invertebrate"),"True","False")</f>
        <v>False</v>
      </c>
      <c r="CD223" s="25" t="str">
        <f t="shared" si="27"/>
        <v>False</v>
      </c>
      <c r="CE223" s="25" t="str">
        <f>IF(_xlfn.XLOOKUP(_xlfn.XLOOKUP(B223,'Base stats'!B:B,'Base stats'!E:E),Groups!A:A,Groups!AX:AX),"True","False")</f>
        <v>False</v>
      </c>
      <c r="CF223" s="25" t="str">
        <f>IF(_xlfn.XLOOKUP(_xlfn.XLOOKUP(B223,'Base stats'!B:B,'Base stats'!E:E),Groups!A:A,Groups!AY:AY),"True","False")</f>
        <v>False</v>
      </c>
      <c r="CG223" s="25" t="str">
        <f>IF(_xlfn.XLOOKUP(_xlfn.XLOOKUP(B223,'Base stats'!B:B,'Base stats'!E:E),Groups!A:A,Groups!AW:AW),"True","False")</f>
        <v>False</v>
      </c>
      <c r="CH223" s="25" t="str">
        <f>IF(
OR(
_xlfn.XLOOKUP(_xlfn.XLOOKUP(B223,'Base stats'!B:B,'Base stats'!E:E),Groups!A:A,Groups!AZ:AZ)=0,
AND(
_xlfn.XLOOKUP(B223,'Base stats'!B:B,'Base stats'!Y:Y)&lt;&gt;"Carnivore",
_xlfn.XLOOKUP(B223,'Base stats'!B:B,'Base stats'!Y:Y)&lt;&gt;"Omnivore",
_xlfn.XLOOKUP(B223,'Base stats'!B:B,'Base stats'!Y:Y)&lt;&gt;"OmnivoreRough"
)
),
"No",
IF(
_xlfn.XLOOKUP(_xlfn.XLOOKUP(B223,'Base stats'!B:B,'Base stats'!E:E),Groups!A:A,Groups!AZ:AZ)=1,
"Flesh",
IF(
_xlfn.XLOOKUP(_xlfn.XLOOKUP(B223,'Base stats'!B:B,'Base stats'!E:E),Groups!A:A,Groups!AZ:AZ)=2,
"Bone",
""
)
)
)</f>
        <v>No</v>
      </c>
      <c r="CI223" s="25" t="str">
        <f>IF(_xlfn.XLOOKUP(_xlfn.XLOOKUP(B223,'Base stats'!B:B,'Base stats'!E:E),Groups!A:A,Groups!BB:BB),"True","False")</f>
        <v>True</v>
      </c>
      <c r="CJ223" s="25" t="str">
        <f>IF(_xlfn.XLOOKUP(_xlfn.XLOOKUP(B223,'Base stats'!B:B,'Base stats'!E:E),Groups!A:A,Groups!BA:BA),"True","False")</f>
        <v>False</v>
      </c>
    </row>
    <row r="224" spans="1:88" ht="16.5" thickTop="1" thickBot="1" x14ac:dyDescent="0.3">
      <c r="A224" s="26" t="s">
        <v>1358</v>
      </c>
      <c r="B224" s="6" t="str">
        <f>_xlfn.XLOOKUP(A224,'Base stats'!A:A,'Base stats'!B:B)</f>
        <v>Speculum vividum</v>
      </c>
      <c r="C224" s="28" t="s">
        <v>1359</v>
      </c>
      <c r="D224" s="28" t="s">
        <v>1341</v>
      </c>
      <c r="E224" s="28" t="s">
        <v>1747</v>
      </c>
      <c r="F224" s="28" t="s">
        <v>673</v>
      </c>
      <c r="G224" s="28" t="s">
        <v>673</v>
      </c>
      <c r="H224" s="2">
        <f>MROUND((
  (IF(AND(_xlfn.XLOOKUP(B224,'Base stats'!B:B,'Base stats'!AL:AL)=0,BI224="None",_xlfn.XLOOKUP(_xlfn.XLOOKUP(B224,'Base stats'!B:B,'Base stats'!E:E),Groups!A:A,Groups!B:B)=0), (18 + BR224 * 2.7) * 0.5,
    IF(AND(_xlfn.XLOOKUP(B224,'Base stats'!B:B,'Base stats'!AL:AL)=0,OR(AO224&lt;0.55,AND(BI224="Intermediate",_xlfn.XLOOKUP(_xlfn.XLOOKUP(B224,'Base stats'!B:B,'Base stats'!E:E),Groups!A:A,Groups!B:B)&lt;2))), (18 + BR224 * 2.7),
      IF(OR(BI224="Advanced",_xlfn.XLOOKUP(B224,'Base stats'!B:B,'Base stats'!AL:AL)=1,_xlfn.XLOOKUP(_xlfn.XLOOKUP(B224,'Base stats'!B:B,'Base stats'!E:E),Groups!A:A,Groups!B:B)=2), (18 + BR224 * 2.7) + 250, (18 + BR224 * 2.7))
    )
  ))
  + AO224 * 80
  + IF(COUNTIF(EggMilk!K$2:K$998, A224) &gt; 0, 125, 0)
  + IF(COUNTIF(EggMilk!P$2:P$998, A224) &gt; 0, 90, 0)
  + IF(COUNTIF(EggMilk!A$2:A$998, A224) &gt; 0, 90, 0)
)
* (0.8 + 0.4 * J224)
* 0.75,25)</f>
        <v>2350</v>
      </c>
      <c r="I224" s="2">
        <f>MROUND(ROUNDDOWN(_xlfn.XLOOKUP(B224,'Base stats'!B:B,'Base stats'!L:L)/3.6/(23.3/11),1),0.5)</f>
        <v>3</v>
      </c>
      <c r="J224" s="2">
        <f>IF(OR(_xlfn.XLOOKUP(B224,'Base stats'!B:B,'Base stats'!AB:AB)=1,_xlfn.XLOOKUP(_xlfn.XLOOKUP(B224,'Base stats'!B:B,'Base stats'!E:E),Groups!A:A,Groups!C:C)="Untamable"),1,IF(_xlfn.XLOOKUP(B224,'Base stats'!B:B,'Base stats'!AL:AL)=1,0.99,MIN(MROUND((1-0.6282*EXP(-0.459*AO224))*_xlfn.XLOOKUP(_xlfn.XLOOKUP(B224,'Base stats'!B:B,'Base stats'!E:E),Groups!A:A,Groups!C:C)*IF(_xlfn.XLOOKUP(B224,'Base stats'!B:B,'Base stats'!O:O)=1,0.5,IF(_xlfn.XLOOKUP(B224,'Base stats'!B:B,'Base stats'!O:O)=2,0,1)),0.05),IF(AO224&gt;3.5,0.985,0.95))))</f>
        <v>0.98499999999999999</v>
      </c>
      <c r="K224" s="2">
        <f>ROUNDUP(AO224*_xlfn.XLOOKUP(_xlfn.XLOOKUP(B224,'Base stats'!B:B,'Base stats'!E:E),Groups!A:A,Groups!E:E),0)</f>
        <v>5</v>
      </c>
      <c r="L224" s="2">
        <f>IF(OR(_xlfn.XLOOKUP(_xlfn.XLOOKUP(B224,'Base stats'!B:B,'Base stats'!E:E),Groups!A:A,Groups!F:F)=2,ISNUMBER(SEARCH("SeaIce",BX224)),ISNUMBER(SEARCH("IceSheet",BX224))),-50,IF(OR(ISNUMBER(SEARCH("GlacialPlain",BX224)),ISNUMBER(SEARCH("Tundra",BX224))),-40,IF(OR(ISNUMBER(SEARCH("Alpine",BX224)),ISNUMBER(SEARCH("BorealForest",BX224)),ISNUMBER(SEARCH("ColdBog",BX224))),-30,IF(OR(ISNUMBER(SEARCH("TemperateForest",BX224)),ISNUMBER(SEARCH("TemperateSwamp",BX224))),-20,IF(_xlfn.XLOOKUP(_xlfn.XLOOKUP(B224,'Base stats'!B:B,'Base stats'!E:E),Groups!A:A,Groups!F:F)=1,-15,IF(OR(ISNUMBER(SEARCH("Desert",BX224)),ISNUMBER(SEARCH("ExtremeDesert",BX224))),-10,IF(OR(ISNUMBER(SEARCH("Grasslands",BX224)),ISNUMBER(SEARCH("TropicalRainforest",BX224)),ISNUMBER(SEARCH("TropicalSwamp",BX224))),10,0)))))))-IF(CC224="False",MIN(IFERROR(MAX(MROUND(LOG10(_xlfn.XLOOKUP(B224,'Base stats'!B:B,'Base stats'!C:C)^(2/3))*10,5),5),5),30))-_xlfn.XLOOKUP(B224,'Base stats'!B:B,'Base stats'!P:P)+IF(CC224="True",5,0)</f>
        <v>5</v>
      </c>
      <c r="M224" s="2">
        <f>IF(OR(_xlfn.XLOOKUP(_xlfn.XLOOKUP(B224,'Base stats'!B:B,'Base stats'!E:E),Groups!A:A,Groups!G:G)=2,ISNUMBER(SEARCH("Desert",BX224)),ISNUMBER(SEARCH("ExtremeDesert",BX224)),ISNUMBER(SEARCH("LavaField",BX224))),50,IF(ISNUMBER(SEARCH("Grasslands",BX224)),45,IF(OR(_xlfn.XLOOKUP(_xlfn.XLOOKUP(B224,'Base stats'!B:B,'Base stats'!E:E),Groups!A:A,Groups!G:G)=1,ISNUMBER(SEARCH("TropicalRainforest",BX224)),ISNUMBER(SEARCH("TropicalSwamp",BX224))),40,IF(OR(ISNUMBER(SEARCH("TemperateForest",BX224)),ISNUMBER(SEARCH("TemperateSwamp",BX224))),35,IF(OR(ISNUMBER(SEARCH("Alpine",BX224)),ISNUMBER(SEARCH("BorealForest",BX224)),ISNUMBER(SEARCH("ColdBog",BX224))),30,IF(ISNUMBER(OR(ISNUMBER(SEARCH("GlacialPlain",BX224)),SEARCH("Tundra",BX224))),25,IF(OR(ISNUMBER(SEARCH("SeaIce",BX224)),ISNUMBER(SEARCH("IceSheet",BX224)),ISNUMBER(SEARCH("TropicalSwamp",BX224))),10,35)))))))+_xlfn.XLOOKUP(B224,'Base stats'!B:B,'Base stats'!Q:Q)</f>
        <v>35</v>
      </c>
      <c r="N224" s="8">
        <f>IF(
_xlfn.XLOOKUP(
_xlfn.XLOOKUP(B224,'Base stats'!B:B,'Base stats'!E:E),
Groups!A:A,
Groups!L:L
)=1,
MIN(
MROUND(
IF(
_xlfn.XLOOKUP(B224,'Animals CE'!B:B,'Animals CE'!Z:Z)&lt;=1.5,
_xlfn.XLOOKUP(B224,'Animals CE'!B:B,'Animals CE'!Z:Z)/2+0.05,
0.8+
(_xlfn.XLOOKUP(B224,'Animals CE'!B:B,'Animals CE'!Z:Z)-1.5)
*0.02
),
0.05
),
200%
),
"No"
)</f>
        <v>1</v>
      </c>
      <c r="O224" s="8">
        <f>IF(
_xlfn.XLOOKUP(
_xlfn.XLOOKUP(B224,'Base stats'!B:B,'Base stats'!E:E),
Groups!A:A,
Groups!L:L
)=1,
MIN(
MROUND(
IF(
_xlfn.XLOOKUP(B224,'Animals CE'!B:B,'Animals CE'!AA:AA)&lt;=1.5,
_xlfn.XLOOKUP(B224,'Animals CE'!B:B,'Animals CE'!AA:AA)/2+0.05,
0.8+
(_xlfn.XLOOKUP(B224,'Animals CE'!B:B,'Animals CE'!AA:AA)-1.5)
*0.02
),
0.05
),
200%
),
"No"
)</f>
        <v>0.9</v>
      </c>
      <c r="P224" s="2" t="str">
        <f>_xlfn.XLOOKUP(B224,'Base stats'!B:B,'Base stats'!R:R)</f>
        <v>Standard</v>
      </c>
      <c r="Q224" s="13">
        <f>MROUND((LOG10(_xlfn.XLOOKUP(B224,'Base stats'!B:B,'Base stats'!AR:AR))*(AO224^0.5)+(_xlfn.XLOOKUP(B224,'Base stats'!B:B,'Base stats'!AR:AR)/1000)^(2/3)+_xlfn.XLOOKUP(B224,'Base stats'!B:B,'Base stats'!BA:BA)/2)+0.5,0.5)</f>
        <v>34</v>
      </c>
      <c r="R224" s="7">
        <f>IF(Q224="No","No",MAX(1,MROUND(_xlfn.XLOOKUP(B224,'Base stats'!B:B,'Base stats'!C:C)^0.165,0.05)))</f>
        <v>3.95</v>
      </c>
      <c r="S224" s="13" t="str">
        <f>IF(_xlfn.XLOOKUP(_xlfn.XLOOKUP(B224,'Base stats'!B:B,'Base stats'!E:E),Groups!A:A,Groups!P:P)=0,"No",MROUND((LOG10(_xlfn.XLOOKUP(B224,'Base stats'!B:B,'Base stats'!AS:AS))*(AO224^0.5)+(_xlfn.XLOOKUP(B224,'Base stats'!B:B,'Base stats'!AS:AS)/1000)^(2/3)+_xlfn.XLOOKUP(B224,'Base stats'!B:B,'Base stats'!BA:BA))+_xlfn.XLOOKUP(B224,'Base stats'!B:B,'Base stats'!AY:AY)+0.5,0.5))</f>
        <v>No</v>
      </c>
      <c r="T224" s="7" t="str">
        <f>IF(S224="No","No",MAX(_xlfn.XLOOKUP(_xlfn.XLOOKUP(B224,'Base stats'!B:B,'Base stats'!E:E),Groups!A:A,Groups!Q:Q),MROUND(_xlfn.XLOOKUP(_xlfn.XLOOKUP(B224,'Base stats'!B:B,'Base stats'!E:E),Groups!A:A,Groups!Q:Q)*_xlfn.XLOOKUP(B224,'Base stats'!B:B,'Base stats'!C:C)^0.165,0.05)))</f>
        <v>No</v>
      </c>
      <c r="U224" s="7" t="str">
        <f>IF(S224="No","No",_xlfn.XLOOKUP(_xlfn.XLOOKUP(B224,'Base stats'!B:B,'Base stats'!E:E),Groups!A:A,Groups!R:R))</f>
        <v>No</v>
      </c>
      <c r="V224" s="7" t="str">
        <f>IF(S224="No","No",_xlfn.XLOOKUP(_xlfn.XLOOKUP(B224,'Base stats'!B:B,'Base stats'!E:E),Groups!A:A,Groups!S:S))</f>
        <v>No</v>
      </c>
      <c r="W224" s="7" t="str">
        <f>IF(S224="No","No",_xlfn.XLOOKUP(_xlfn.XLOOKUP(B224,'Base stats'!B:B,'Base stats'!E:E),Groups!A:A,Groups!T:T))</f>
        <v>No</v>
      </c>
      <c r="X224" s="13">
        <f>IF(_xlfn.XLOOKUP(B224,'Base stats'!B:B,'Base stats'!W:W)="No","No",MROUND((LOG10(_xlfn.XLOOKUP(B224,'Base stats'!B:B,'Base stats'!AU:AU))*(AO224^0.5)+(_xlfn.XLOOKUP(B224,'Base stats'!B:B,'Base stats'!AU:AU)/1000)^(2/3)+_xlfn.XLOOKUP(B224,'Base stats'!B:B,'Base stats'!AZ:AZ))+0.5+IF(_xlfn.XLOOKUP(_xlfn.XLOOKUP(B224,'Base stats'!B:B,'Base stats'!E:E),Groups!A:A,Groups!U:U)&lt;&gt;3,_xlfn.XLOOKUP(B224,'Base stats'!B:B,'Base stats'!BA:BA),0),0.5))</f>
        <v>65.5</v>
      </c>
      <c r="Y224" s="7">
        <f>IF(X224="No","No",MAX(_xlfn.XLOOKUP(_xlfn.XLOOKUP(B224,'Base stats'!B:B,'Base stats'!E:E),Groups!A:A,Groups!V:V),MROUND(_xlfn.XLOOKUP(_xlfn.XLOOKUP(B224,'Base stats'!B:B,'Base stats'!E:E),Groups!A:A,Groups!V:V)*_xlfn.XLOOKUP(B224,'Base stats'!B:B,'Base stats'!C:C)^0.165,0.05)))</f>
        <v>5.1000000000000005</v>
      </c>
      <c r="Z224" s="7" t="str">
        <f>IF(X224="No","No",_xlfn.XLOOKUP(_xlfn.XLOOKUP(B224,'Base stats'!B:B,'Base stats'!E:E),Groups!A:A,Groups!W:W))</f>
        <v>Sting</v>
      </c>
      <c r="AA224" s="7" t="str">
        <f>IF(X224="No","No",_xlfn.XLOOKUP(_xlfn.XLOOKUP(B224,'Base stats'!B:B,'Base stats'!E:E),Groups!A:A,Groups!X:X))</f>
        <v>stinger</v>
      </c>
      <c r="AB224" s="7" t="str">
        <f>IF(X224="No","No",_xlfn.XLOOKUP(_xlfn.XLOOKUP(B224,'Base stats'!B:B,'Base stats'!E:E),Groups!A:A,Groups!Y:Y))</f>
        <v>Sting</v>
      </c>
      <c r="AC224" s="7" t="str">
        <f>_xlfn.XLOOKUP(Animals!B224,'Base stats'!B:B,'Base stats'!X:X)</f>
        <v>False</v>
      </c>
      <c r="AD224" s="13">
        <f>IF(_xlfn.XLOOKUP(B224,'Base stats'!B:B,'Base stats'!AT:AT)="No","No",MROUND((LOG10(_xlfn.XLOOKUP(B224,'Base stats'!B:B,'Base stats'!AT:AT))*(AO224^0.75)+(_xlfn.XLOOKUP(B224,'Base stats'!B:B,'Base stats'!AT:AT)/1000)^(2/3)+_xlfn.XLOOKUP(B224,'Base stats'!B:B,'Base stats'!AX:AX)+_xlfn.XLOOKUP(B224,'Base stats'!B:B,'Base stats'!BA:BA))+0.5,0.5))</f>
        <v>89.5</v>
      </c>
      <c r="AE224" s="7">
        <f>IF(AD224="No","No",MAX(_xlfn.XLOOKUP(_xlfn.XLOOKUP(B224,'Base stats'!B:B,'Base stats'!E:E),Groups!A:A,Groups!Z:Z),MROUND(_xlfn.XLOOKUP(_xlfn.XLOOKUP(B224,'Base stats'!B:B,'Base stats'!E:E),Groups!A:A,Groups!Z:Z)*_xlfn.XLOOKUP(B224,'Base stats'!B:B,'Base stats'!C:C)^0.165,0.05)))</f>
        <v>4.7</v>
      </c>
      <c r="AF224" s="7" t="str">
        <f>IF(AD224="No","No",_xlfn.XLOOKUP(_xlfn.XLOOKUP(B224,'Base stats'!B:B,'Base stats'!E:E),Groups!A:A,Groups!AA:AA))</f>
        <v>Mouth</v>
      </c>
      <c r="AG224" s="7" t="str">
        <f>IF(AD224="No","No",_xlfn.XLOOKUP(_xlfn.XLOOKUP(B224,'Base stats'!B:B,'Base stats'!E:E),Groups!A:A,Groups!AB:AB))</f>
        <v>mandibles</v>
      </c>
      <c r="AH224" s="7" t="str">
        <f>IF(AD224="No","No",_xlfn.XLOOKUP(_xlfn.XLOOKUP(B224,'Base stats'!B:B,'Base stats'!E:E),Groups!A:A,Groups!AC:AC))</f>
        <v>Bite</v>
      </c>
      <c r="AI224" s="13">
        <f>IF(_xlfn.XLOOKUP(_xlfn.XLOOKUP(B224,'Base stats'!B:B,'Base stats'!E:E),Groups!A:A,Groups!AD:AD)=0,"No",MROUND((LOG10(_xlfn.XLOOKUP(B224,'Base stats'!B:B,'Base stats'!AS:AS))*(AO224^0.75)+(_xlfn.XLOOKUP(B224,'Base stats'!B:B,'Base stats'!AS:AS)/1000)^(2/3)+_xlfn.XLOOKUP(B224,'Base stats'!B:B,'Base stats'!AY:AY)+_xlfn.XLOOKUP(B224,'Base stats'!B:B,'Base stats'!BA:BA))+0.5,0.5))</f>
        <v>88.5</v>
      </c>
      <c r="AJ224" s="7">
        <f>IF(AI224="No","No",MAX(_xlfn.XLOOKUP(_xlfn.XLOOKUP(B224,'Base stats'!B:B,'Base stats'!E:E),Groups!A:A,Groups!AE:AE),MROUND(_xlfn.XLOOKUP(_xlfn.XLOOKUP(B224,'Base stats'!B:B,'Base stats'!E:E),Groups!A:A,Groups!AE:AE)*IF(_xlfn.XLOOKUP(_xlfn.XLOOKUP(B224,'Base stats'!B:B,'Base stats'!E:E),Groups!A:A,Groups!AJ:AJ)="Photonozoa",0.6,1)*_xlfn.XLOOKUP(B224,'Base stats'!B:B,'Base stats'!C:C)^0.165,0.05)))</f>
        <v>4.3</v>
      </c>
      <c r="AK224" s="7" t="str">
        <f>IF(AI224="No","No",_xlfn.XLOOKUP(_xlfn.XLOOKUP(B224,'Base stats'!B:B,'Base stats'!E:E),Groups!A:A,Groups!AF:AF))</f>
        <v>LeftPincer, RightPincer</v>
      </c>
      <c r="AL224" s="7" t="str">
        <f>IF(AI224="No","No",_xlfn.XLOOKUP(_xlfn.XLOOKUP(B224,'Base stats'!B:B,'Base stats'!E:E),Groups!A:A,Groups!AG:AG))</f>
        <v>left claw, right claw</v>
      </c>
      <c r="AM224" s="7" t="str">
        <f>IF(AI224="No","No",_xlfn.XLOOKUP(_xlfn.XLOOKUP(B224,'Base stats'!B:B,'Base stats'!E:E),Groups!A:A,Groups!AH:AH))</f>
        <v>Scratch</v>
      </c>
      <c r="AN224" s="2">
        <f t="shared" si="21"/>
        <v>40</v>
      </c>
      <c r="AO224" s="2">
        <f>MROUND(IF(AND(_xlfn.XLOOKUP(B224,'Base stats'!B:B,'Base stats'!C:C)&gt;=0.5,_xlfn.XLOOKUP(B224,'Base stats'!B:B,'Base stats'!C:C)&lt;=0.8),
IF(_xlfn.XLOOKUP(B224,'Base stats'!B:B,'Base stats'!C:C)&lt;0.1,0.05,IF(_xlfn.XLOOKUP(B224,'Base stats'!B:B,'Base stats'!C:C)&lt;=70,(_xlfn.XLOOKUP(B224,'Base stats'!B:B,'Base stats'!C:C)/70)^0.426489913056526,IF(_xlfn.XLOOKUP(B224,'Base stats'!B:B,'Base stats'!C:C)&lt;=400,(_xlfn.XLOOKUP(B224,'Base stats'!B:B,'Base stats'!C:C)/70)^0.572811455315093,IF(_xlfn.XLOOKUP(B224,'Base stats'!B:B,'Base stats'!C:C)&lt;=2000,2.71391647193063*(_xlfn.XLOOKUP(B224,'Base stats'!B:B,'Base stats'!C:C)/400)^0.252459582904293,3.74314280240376*(_xlfn.XLOOKUP(B224,'Base stats'!B:B,'Base stats'!C:C)/2000)^0.357012633876913)))),
IF(_xlfn.XLOOKUP(B224,'Base stats'!B:B,'Base stats'!C:C)&lt;0.1,0.05,IF(_xlfn.XLOOKUP(B224,'Base stats'!B:B,'Base stats'!C:C)&lt;0.4,0.1,IF(_xlfn.XLOOKUP(B224,'Base stats'!B:B,'Base stats'!C:C)&lt;=70,(_xlfn.XLOOKUP(B224,'Base stats'!B:B,'Base stats'!C:C)/70)^0.445823913056526,IF(_xlfn.XLOOKUP(B224,'Base stats'!B:B,'Base stats'!C:C)&lt;=400,(_xlfn.XLOOKUP(B224,'Base stats'!B:B,'Base stats'!C:C)/70)^0.572811455315093,IF(_xlfn.XLOOKUP(B224,'Base stats'!B:B,'Base stats'!C:C)&lt;=2000,2.71391647193063*(_xlfn.XLOOKUP(B224,'Base stats'!B:B,'Base stats'!C:C)/400)^0.252459582904293,3.74314280240376*(_xlfn.XLOOKUP(B224,'Base stats'!B:B,'Base stats'!C:C)/2000)^0.357012633876913)))))),
IF(_xlfn.XLOOKUP(B224,'Base stats'!B:B,'Base stats'!C:C)&lt;0.1,0.05,IF(_xlfn.XLOOKUP(B224,'Base stats'!B:B,'Base stats'!C:C)&lt;=100,0.05,IF(_xlfn.XLOOKUP(B224,'Base stats'!B:B,'Base stats'!C:C)&lt;=250,0.1,IF(_xlfn.XLOOKUP(B224,'Base stats'!B:B,'Base stats'!C:C)&lt;=4000,0.25,0.5)))))</f>
        <v>4.75</v>
      </c>
      <c r="AP224" s="8">
        <f>MROUND(AO224*_xlfn.XLOOKUP(_xlfn.XLOOKUP(B224,'Base stats'!B:B,'Base stats'!E:E),Groups!A:A,Groups!AI:AI)*_xlfn.XLOOKUP(B224,'Base stats'!B:B,'Base stats'!Z:Z),0.05)</f>
        <v>4.75</v>
      </c>
      <c r="AQ224" s="8">
        <f>MAX(0.01,MROUND(IF(CC224="True",0.196*(AO224*100*1000)^0.889,IF(_xlfn.XLOOKUP(_xlfn.XLOOKUP(B224,'Base stats'!B:B,'Base stats'!E:E),Groups!A:A,Groups!AJ:AJ)="Bird",10.5*(AO224*100*1000)^0.681,4.82*(AO224*100*1000)^0.734))/(4.82*(1*100*1000)^0.734)/IF(AO224&lt;3.5,2,IF(AO224=3.5,1.5,1.25))*(1+0.132282374779864/(AO224^0.994035016789033+0.00905238001496948)),0.05))</f>
        <v>0.8</v>
      </c>
      <c r="AR224" s="9">
        <f>IFERROR(MROUND(_xlfn.XLOOKUP(B224,'Base stats'!B:B,'Base stats'!H:H)/IF(_xlfn.XLOOKUP(B224,'Base stats'!B:B,'Base stats'!I:I)&lt;&gt;1,(122.5/70),1.2),IF(_xlfn.XLOOKUP(B224,'Base stats'!B:B,'Base stats'!H:H)&gt;=30,5,IF(_xlfn.XLOOKUP(B224,'Base stats'!B:B,'Base stats'!H:H)&gt;=15,3,IF(_xlfn.XLOOKUP(B224,'Base stats'!B:B,'Base stats'!H:H)&gt;=10,2,1)))),"Immortal")</f>
        <v>85</v>
      </c>
      <c r="AS224" s="35" t="str">
        <f>IFERROR(IF(OR(_xlfn.XLOOKUP(B224,'Base stats'!B:B,'Base stats'!F:F)="Atypical reproduction",_xlfn.XLOOKUP(B224,'Base stats'!B:B,'Base stats'!F:F)="Lay eggs"),"Lay eggs",MIN(20,MAX(5.5,ROUND(((_xlfn.XLOOKUP(B224,'Base stats'!B:B,'Base stats'!F:F)-25)*(14.5/615) + 5.5)*2,0)/2))),"Unknown")</f>
        <v>Lay eggs</v>
      </c>
      <c r="AT224" s="8" t="str">
        <f>IF(_xlfn.XLOOKUP(B224,'Base stats'!B:B,'Base stats'!G:G)="Atypical reproduction","No",IFERROR(MAX(IF(_xlfn.XLOOKUP(B224,'Base stats'!B:B,'Base stats'!G:G)&lt;0.5,0.2,0.3),MROUND(_xlfn.XLOOKUP(B224,'Base stats'!B:B,'Base stats'!G:G)/(365/60),0.2)),"Unknown"))</f>
        <v>No</v>
      </c>
      <c r="AU224" s="8" t="str">
        <f t="shared" si="22"/>
        <v>No</v>
      </c>
      <c r="AV224" s="8" t="str">
        <f>IFERROR(IFERROR(MROUND(_xlfn.XLOOKUP(B224,'Base stats'!B:B,'Base stats'!J:J),0.1),"Lay eggs"),"Cannot breed")</f>
        <v>Lay eggs</v>
      </c>
      <c r="AW224" s="2" t="str">
        <f t="shared" si="23"/>
        <v>false</v>
      </c>
      <c r="AX224" s="2" t="str">
        <f>IF(_xlfn.XLOOKUP(_xlfn.XLOOKUP(Animals!B224,'Base stats'!B:B,'Base stats'!E:E),Groups!A:A,Groups!AK:AK)=1,"true","false")</f>
        <v>false</v>
      </c>
      <c r="AY224" s="25" t="str">
        <f>IF(_xlfn.XLOOKUP(B224,'Base stats'!B:B,'Base stats'!Y:Y)="Liquor","Liquor, CarnivoreAnimalStrict",IF(AND(_xlfn.XLOOKUP(B224,'Base stats'!B:B,'Base stats'!Y:Y)="Carnivore",_xlfn.XLOOKUP(_xlfn.XLOOKUP(B224,'Base stats'!B:B,'Base stats'!E:E),Groups!A:A,Groups!AJ:AJ)="Photonozoa"),"CarnivoreAnimalStrict, OvivoreAnimal",IF(_xlfn.XLOOKUP(B224,'Base stats'!B:B,'Base stats'!Y:Y)="Carnivore","CarnivoreAnimal, OvivoreAnimal",IF(_xlfn.XLOOKUP(B224,'Base stats'!B:B,'Base stats'!Y:Y)="Dendrovore","VegetarianRoughAnimal, DendrovoreAnimal",IF(_xlfn.XLOOKUP(B224,'Base stats'!B:B,'Base stats'!Y:Y)="Herbivore","VegetarianRoughAnimal",IF(_xlfn.XLOOKUP(B224,'Base stats'!B:B,'Base stats'!Y:Y)="OmnivoreRough","OmnivoreRoughAnimal, OvivoreAnimal","OmnivoreAnimal, OvivoreAnimal"))))))</f>
        <v>CarnivoreAnimal, OvivoreAnimal</v>
      </c>
      <c r="AZ224" s="2" t="str">
        <f>IF(_xlfn.XLOOKUP(_xlfn.XLOOKUP(B224,'Base stats'!B:B,'Base stats'!E:E),Groups!A:A,Groups!D:D)=1,MROUND((1-J224)*5+1,2)*IF(J224&lt;=0.4,2,1),"No")</f>
        <v>No</v>
      </c>
      <c r="BA224" s="2" t="str">
        <f>IF(AND(_xlfn.XLOOKUP(B224,'Base stats'!B:B,'Base stats'!AH:AH)="&lt;li&gt;Seal&lt;/li&gt;",G224="Odyssey"),"&lt;li&gt;AEXP_Seal&lt;/li&gt;",_xlfn.XLOOKUP(B224,'Base stats'!B:B,'Base stats'!AH:AH))</f>
        <v>&lt;li&gt;Megaspider&lt;/li&gt;</v>
      </c>
      <c r="BB224" s="2" t="str">
        <f>_xlfn.XLOOKUP(B224,'Base stats'!B:B,'Base stats'!AG:AG)</f>
        <v>Leather_Chitin</v>
      </c>
      <c r="BC224" s="23" t="str">
        <f>_xlfn.XLOOKUP(_xlfn.XLOOKUP(B224,'Base stats'!B:B,'Base stats'!E:E),Groups!A:A,Groups!AL:AL)</f>
        <v>ScorpionLike</v>
      </c>
      <c r="BD224" s="23">
        <f>MIN(1,MROUND(IF(AND(AO224&lt;0.5,_xlfn.XLOOKUP(B224,'Base stats'!B:B,'Base stats'!AA:AA)=0),0,IF(OR(_xlfn.XLOOKUP(Animals!B224,'Base stats'!B:B,'Base stats'!O:O)=2,_xlfn.XLOOKUP(_xlfn.XLOOKUP(B224,'Base stats'!B:B,'Base stats'!E:E),Groups!A:A,Groups!AN:AN)=0),0,_xlfn.XLOOKUP(_xlfn.XLOOKUP(B224,'Base stats'!B:B,'Base stats'!E:E),Groups!A:A,Groups!AN:AN)/IF(_xlfn.XLOOKUP(Animals!B224,'Base stats'!B:B,'Base stats'!O:O)=1,2,1)))+_xlfn.XLOOKUP(B224,'Base stats'!B:B,'Base stats'!AC:AC),0.005))</f>
        <v>0.1</v>
      </c>
      <c r="BE224" s="23">
        <f>MIN(1,MROUND(IF(AND(AO224&lt;0.5,_xlfn.XLOOKUP(B224,'Base stats'!B:B,'Base stats'!AA:AA)=0),0,IF(_xlfn.XLOOKUP(_xlfn.XLOOKUP(B224,'Base stats'!B:B,'Base stats'!E:E),Groups!A:A,Groups!AO:AO)=0,0,_xlfn.XLOOKUP(_xlfn.XLOOKUP(B224,'Base stats'!B:B,'Base stats'!E:E),Groups!A:A,Groups!AO:AO)/IF(_xlfn.XLOOKUP(Animals!B224,'Base stats'!B:B,'Base stats'!O:O)=2,3,1)))+_xlfn.XLOOKUP(B224,'Base stats'!B:B,'Base stats'!AD:AD),0.005))</f>
        <v>1</v>
      </c>
      <c r="BF224" s="2" t="str">
        <f>IF(J224&gt;0.3,"No",_xlfn.XLOOKUP(_xlfn.XLOOKUP(Animals!B224,'Base stats'!B:B,'Base stats'!E:E),Groups!A:A,Groups!AP:AP))</f>
        <v>No</v>
      </c>
      <c r="BG224" s="2" t="str">
        <f>IF(AND(J224&lt;=0.65,_xlfn.XLOOKUP(_xlfn.XLOOKUP(Animals!B224,'Base stats'!B:B,'Base stats'!E:E),Groups!A:A,Groups!AP:AP)&lt;&gt;"No",_xlfn.XLOOKUP(_xlfn.XLOOKUP(B224,'Base stats'!B:B,'Base stats'!E:E),Groups!A:A,Groups!D:D)=0),MROUND((80/3)*IF(_xlfn.XLOOKUP(B224,'Base stats'!B:B,'Base stats'!O:O)=2,0.2,AO224) + 24*(1-IF(BF224="No",0,BF224)) + 16/3, 12),"No")</f>
        <v>No</v>
      </c>
      <c r="BH224" s="2">
        <f>IF(AND(_xlfn.XLOOKUP(_xlfn.XLOOKUP(B224,'Base stats'!B:B,'Base stats'!E:E),Groups!A:A,Groups!AQ:AQ)=1,AO224&lt;=0.35),8,12)</f>
        <v>12</v>
      </c>
      <c r="BI224" s="2" t="str">
        <f>IF(_xlfn.XLOOKUP(_xlfn.XLOOKUP(B224,'Base stats'!B:B,'Base stats'!E:E),Groups!A:A,Groups!D:D)=0,_xlfn.XLOOKUP(_xlfn.XLOOKUP(B224,'Base stats'!B:B,'Base stats'!E:E),Groups!A:A,Groups!AR:AR),"None")</f>
        <v>Intermediate</v>
      </c>
      <c r="BJ224" s="2" t="str">
        <f>IF(AND(_xlfn.XLOOKUP(_xlfn.XLOOKUP(B224,'Base stats'!B:B,'Base stats'!E:E),Groups!A:A,Groups!AS:AS)=1,OR(_xlfn.XLOOKUP(B224,'Base stats'!B:B,'Base stats'!Y:Y)="Carnivore",_xlfn.XLOOKUP(B224,'Base stats'!B:B,'Base stats'!Y:Y)="Omnivore")),"true","false")</f>
        <v>true</v>
      </c>
      <c r="BK224" s="2">
        <f>IF(BJ224="true",MROUND(IF(AND(AO224&gt;0.5,OR(_xlfn.XLOOKUP(_xlfn.XLOOKUP(B224,'Base stats'!B:B,'Base stats'!E:E),Groups!A:A,Groups!AJ:AJ)="Photonozoa",_xlfn.XLOOKUP(_xlfn.XLOOKUP(B224,'Base stats'!B:B,'Base stats'!E:E),Groups!A:A,Groups!AJ:AJ)="Mammal")),Animals!AO224*1.75*IF(AW224="true",1.5,1),IF(AO224&lt;0.5,Animals!AO224*0.5,Animals!AO224)),IF(AO224&gt;2,0.5,IF(AO224&gt;0.5,0.25,0.1))),"No")</f>
        <v>5</v>
      </c>
      <c r="BL224" s="2">
        <f t="shared" si="24"/>
        <v>1</v>
      </c>
      <c r="BM224" s="25" t="str">
        <f>IF(_xlfn.XLOOKUP(B224,'Base stats'!B:B,'Base stats'!AN:AN)="Standard","No",MROUND((_xlfn.XLOOKUP(B224,'Base stats'!B:B,'Base stats'!AN:AN)/3.6)/I224,0.1))</f>
        <v>No</v>
      </c>
      <c r="BN224" s="25" t="str">
        <f t="shared" si="25"/>
        <v>false</v>
      </c>
      <c r="BO224" s="25" t="str">
        <f>IF(AND(OR(_xlfn.XLOOKUP(B224,'Base stats'!B:B,'Base stats'!Y:Y)="Carnivore",_xlfn.XLOOKUP(B224,'Base stats'!B:B,'Base stats'!Y:Y)="Omnivore",_xlfn.XLOOKUP(B224,'Base stats'!B:B,'Base stats'!Y:Y)="OmnivoreRough"),_xlfn.XLOOKUP(_xlfn.XLOOKUP(B224,'Base stats'!B:B,'Base stats'!E:E),Groups!A:A,Groups!AT:AT)=1),"true","false")</f>
        <v>false</v>
      </c>
      <c r="BP224" s="25" t="str" cm="1">
        <f t="array" ref="BP224">IF(
  _xlfn.TEXTJOIN(", ",TRUE,
    IF(AND(BJ224="true",AO224&gt;0.5,BI224&lt;&gt;"None"),"AttackTarget",""),
    IF(AND(_xlfn.XLOOKUP(_xlfn.XLOOKUP(B224,'Base stats'!B:B,'Base stats'!E:E),Groups!A:A,Groups!AJ:AJ="Mammal"),OR(_xlfn.XLOOKUP(B224,'Base stats'!B:B,'Base stats'!Y:Y)="Omnivore",_xlfn.XLOOKUP(B224,'Base stats'!B:B,'Base stats'!Y:Y)="OmnivoreRough")),"Forage",""),
    IF(BG224&lt;=36,"Comfort",""),
    IF(_xlfn.XLOOKUP(B224,'Base stats'!B:B,'Base stats'!AE:AE)&lt;&gt;"No",_xlfn.XLOOKUP(B224,'Base stats'!B:B,'Base stats'!AE:AE),"")
  ) = "",
  "No",
  _xlfn.TEXTJOIN(", ",TRUE,
    IF(AND(BJ224="true",AO224&gt;0.5,BI224&lt;&gt;"None"),"AttackTarget",""),
    IF(AND(_xlfn.XLOOKUP(_xlfn.XLOOKUP(B224,'Base stats'!B:B,'Base stats'!E:E),Groups!A:A,Groups!AJ:AJ="Mammal"),OR(_xlfn.XLOOKUP(B224,'Base stats'!B:B,'Base stats'!Y:Y)="Omnivore",_xlfn.XLOOKUP(B224,'Base stats'!B:B,'Base stats'!Y:Y)="OmnivoreRough")),"Forage",""),
    IF(BG224&lt;=36,"Comfort",""),
    IF(_xlfn.XLOOKUP(B224,'Base stats'!B:B,'Base stats'!AE:AE)&lt;&gt;"No",_xlfn.XLOOKUP(B224,'Base stats'!B:B,'Base stats'!AE:AE),"")
  )
)</f>
        <v>AttackTarget</v>
      </c>
      <c r="BQ224" s="25" t="str">
        <f>IF(
   AND(
      'Base stats'!AN224="Standard",_xlfn.XLOOKUP(_xlfn.XLOOKUP(B224,'Base stats'!B:B,'Base stats'!E:E),Groups!A:A,Groups!AU:AU)=0,
      OR(
      BO224="True"
      )
   ),
   10,
   IF(
       OR(BM224&lt;&gt;"No",_xlfn.XLOOKUP(_xlfn.XLOOKUP(B224,'Base stats'!B:B,'Base stats'!E:E),Groups!A:A,Groups!AU:AU)=1),
      1,
      "No"
   )
)</f>
        <v>No</v>
      </c>
      <c r="BR224" s="9">
        <f>MROUND((1 + ((0.2*IF(OR(Q224="No",R224="No",R224=0),0,Q224/R224)
+IF(OR(V224="No",S224="No",T224="No"),0,S224/T224*(LEN(V224)-LEN(SUBSTITUTE(V224,",",""))+1))
+IF(OR(X224="No",Y224="No"),0,X224/Y224)
+IF(OR(AD224="No",AE224="No"),0,AD224/AE224)
+IF(OR(AL224="No",AI224="No",AJ224="No"),0,AI224/AJ224*(LEN(AL224)-LEN(SUBSTITUTE(AL224,",",""))+1))
)/(0.2*IF(OR(Q224="No",R224="No",R224=0),0,1)
+IF(OR(V224="No",S224="No",T224="No"),0,LEN(V224)-LEN(SUBSTITUTE(V224,",",""))+1)
+IF(OR(X224="No",Y224="No"),0,1)
+IF(OR(AD224="No",AE224="No"),0,1)
+IF(OR(AL224="No",AI224="No",AJ224="No"),0,LEN(AL224)-LEN(SUBSTITUTE(AL224,",",""))+1))*62%)* 2)*(1 + (AP224 / (IF(_xlfn.XLOOKUP(_xlfn.XLOOKUP(B224,'Base stats'!B:B,'Base stats'!E:E),Groups!A:A,Groups!AJ:AJ)="Photonozoa",0.3,1)) + _xlfn.XLOOKUP(B224,'Base stats'!B:B,'Base stats'!AV:AV) * 1.8) * 2) * 2.5 + 10 + I224 * 2,5)+IF(_xlfn.XLOOKUP(B224,'Base stats'!B:B,'Base stats'!AK:AK)=1,50,0)</f>
        <v>820</v>
      </c>
      <c r="BS224" s="8">
        <f t="shared" si="26"/>
        <v>1.6</v>
      </c>
      <c r="BT224" s="8" t="str">
        <f>_xlfn.XLOOKUP(B224,'Base stats'!B:B,'Base stats'!AF:AF)</f>
        <v>No</v>
      </c>
      <c r="BU224" s="2" t="str">
        <f>IF(AND(J224&lt;=0.95,OR(_xlfn.XLOOKUP(B224,'Base stats'!B:B,'Base stats'!AK:AK)=1,_xlfn.XLOOKUP(B224,'Base stats'!B:B,'Base stats'!Y:Y)="Carnivore",_xlfn.XLOOKUP(B224,'Base stats'!B:B,'Base stats'!Y:Y)="Omnivore",BE224&gt;0.1)),"true","false")</f>
        <v>false</v>
      </c>
      <c r="BV224" s="2" t="str">
        <f>IF(_xlfn.XLOOKUP(B224,'Base stats'!B:B,'Base stats'!AI:AI)=1,"true","false")</f>
        <v>false</v>
      </c>
      <c r="BW224" s="25" t="str">
        <f>IF(E224="BaseInsect","AnimalInsect",
IF(J224&gt;0.95,"AnimalExotic",
_xlfn.TEXTJOIN(", ",TRUE,
IF(OR(_xlfn.XLOOKUP(B224,'Base stats'!B:B,'Base stats'!AM:AM)=1,AND(_xlfn.XLOOKUP(B224,'Base stats'!B:B,'Base stats'!O:O)=0,_xlfn.XLOOKUP(_xlfn.XLOOKUP(B224,'Base stats'!B:B,'Base stats'!E:E),Groups!A:A,Groups!B:B)&gt;0)),"AnimalUncommon","AnimalCommon"),
IF(AND(_xlfn.XLOOKUP(B224,'Base stats'!B:B,'Base stats'!O:O)=2,_xlfn.XLOOKUP(_xlfn.XLOOKUP(B224,'Base stats'!B:B,'Base stats'!E:E),Groups!A:A,Groups!D:D)=0),"AnimalPet",IF(AND(_xlfn.XLOOKUP(B224,'Base stats'!B:B,'Base stats'!O:O)&lt;&gt;0,_xlfn.XLOOKUP(_xlfn.XLOOKUP(B224,'Base stats'!B:B,'Base stats'!E:E),Groups!A:A,Groups!D:D)&lt;&gt;0),"AnimalFarm","")),
IF(OR(_xlfn.XLOOKUP(B224,'Base stats'!B:B,'Base stats'!AK:AK)=1,AND(BI224&lt;&gt;"None",BR224&gt;=60),ISNUMBER(SEARCH("Attack target",BP224))),"AnimalFighter","")
)))</f>
        <v>AnimalExotic</v>
      </c>
      <c r="BX224" s="25" t="str">
        <f>IF(G224="None",TRIM(
SUBSTITUTE(
IF(COUNTIF(Biomes!B$2:B$259,"="&amp;$C224)&gt;0,Biomes!B$1&amp;", ","")&amp;
IF(COUNTIF(Biomes!C$2:C$259,"="&amp;$C224)&gt;0,Biomes!C$1&amp;", ","")&amp;
IF(COUNTIF(Biomes!D$2:D$259,"="&amp;$C224)&gt;0,Biomes!D$1&amp;", ","")&amp;
IF(COUNTIF(Biomes!F$2:F$259,"="&amp;$C224)&gt;0,Biomes!F$1&amp;", ","")&amp;
IF(COUNTIF(Biomes!G$2:G$259,"="&amp;$C224)&gt;0,Biomes!G$1&amp;", ","")&amp;
IF(COUNTIF(Biomes!H$2:H$259,"="&amp;$C224)&gt;0,Biomes!H$1&amp;", ","")&amp;
IF(COUNTIF(Biomes!I$2:I$259,"="&amp;$C224)&gt;0,Biomes!I$1&amp;", ","")&amp;
IF(COUNTIF(Biomes!J$2:J$259,"="&amp;$C224)&gt;0,Biomes!J$1&amp;", ","")&amp;
IF(COUNTIF(Biomes!M$2:M$259,"="&amp;$C224)&gt;0,Biomes!M$1&amp;", ","")&amp;
IF(COUNTIF(Biomes!N$2:N$259,"="&amp;$C224)&gt;0,Biomes!N$1&amp;", ","")&amp;
IF(COUNTIF(Biomes!O$2:O$259,"="&amp;$C224)&gt;0,Biomes!O$1&amp;", ","")&amp;
IF(COUNTIF(Biomes!P$2:P$259,"="&amp;$C224)&gt;0,Biomes!P$1&amp;", ","")&amp;
IF(COUNTIF(Biomes!K$2:K$259,"="&amp;$C224)&gt;0,Biomes!K$1&amp;", ","")&amp;
IF(COUNTIF(Biomes!Q$3:Q$259,"="&amp;$C224)&gt;0,Biomes!Q$1&amp;", ","")&amp;
IF(COUNTIF(Biomes!L$2:L$259,"="&amp;$C224)&gt;0,Biomes!L$1&amp;", ","")&amp;
IF(COUNTIF(Biomes!E$2:E$259,"="&amp;$C224)&gt;0,Biomes!E$1&amp;", ","")&amp;IF(COUNTIF(Biomes!S$2:S$259,"="&amp;$C224)&gt;0,Biomes!S$1&amp;", ","")&amp;
IF(COUNTIF(Biomes!R$2:R$259,"="&amp;$C224)&gt;0,Biomes!R$1&amp;", ",""),", ","")
),_xlfn.XLOOKUP(B224,B:B,BX:BX))</f>
        <v/>
      </c>
      <c r="BY224" s="25" t="str">
        <f>IF(_xlfn.XLOOKUP(B224,'Base stats'!B:B,'Base stats'!AJ:AJ)=1,"true","false")</f>
        <v>false</v>
      </c>
      <c r="BZ224" s="25">
        <f>IF(_xlfn.XLOOKUP(B224,'Base stats'!B:B,'Base stats'!N:N)=1,"No",MAX(0.001,MIN(MROUND(IF(AND(BJ224="True",CC224="False"),POWER(10,3.47*LOG10(_xlfn.XLOOKUP(B224,'Base stats'!B:B,'Base stats'!C:C)*1000)^-0.96),POWER(10,4.15*LOG10(_xlfn.XLOOKUP(B224,'Base stats'!B:B,'Base stats'!C:C)*1000)^-0.73))*IF(_xlfn.XLOOKUP(B224,'Base stats'!B:B,'Base stats'!AK:AK)=1,0.5,1)*IF(_xlfn.XLOOKUP(B224,'Base stats'!B:B,'Base stats'!AM:AM)=1,0.1,1)/100,IF(_xlfn.XLOOKUP(B224,'Base stats'!B:B,'Base stats'!AM:AM)=1,0.001,0.025)),0.5)))</f>
        <v>1.0999999999999999E-2</v>
      </c>
      <c r="CA224" s="25" t="str">
        <f>IF(P224="Standard","No",MAX(0.001,MIN(MROUND(IF(AND(BJ224="True",CC224="False"),POWER(10,3.47*LOG10(_xlfn.XLOOKUP(B224,'Base stats'!B:B,'Base stats'!C:C)*1000)^-0.96),POWER(10,4.15*LOG10(_xlfn.XLOOKUP(B224,'Base stats'!B:B,'Base stats'!C:C)*1000)^-0.73))*IF(_xlfn.XLOOKUP(B224,'Base stats'!B:B,'Base stats'!AM:AM)=1,0.1,1)*_xlfn.XLOOKUP(B224,'Base stats'!B:B,'Base stats'!R:R)/100,IF(_xlfn.XLOOKUP(B224,'Base stats'!B:B,'Base stats'!AM:AM)=1,0.001,0.025)),0.5)))</f>
        <v>No</v>
      </c>
      <c r="CB224" s="25" t="str">
        <f>IF(_xlfn.XLOOKUP(_xlfn.XLOOKUP(B224,'Base stats'!B:B,'Base stats'!E:E),Groups!A:A,Groups!AJ:AJ)="Mammal","True","False")</f>
        <v>False</v>
      </c>
      <c r="CC224" s="25" t="str">
        <f>IF(OR(_xlfn.XLOOKUP(_xlfn.XLOOKUP(B224,'Base stats'!B:B,'Base stats'!E:E),Groups!A:A,Groups!AJ:AJ)="Reptile",_xlfn.XLOOKUP(_xlfn.XLOOKUP(B224,'Base stats'!B:B,'Base stats'!E:E),Groups!A:A,Groups!AJ:AJ)="Amphibian",_xlfn.XLOOKUP(_xlfn.XLOOKUP(B224,'Base stats'!B:B,'Base stats'!E:E),Groups!A:A,Groups!AJ:AJ)="Invertebrate"),"True","False")</f>
        <v>True</v>
      </c>
      <c r="CD224" s="25" t="str">
        <f t="shared" si="27"/>
        <v>True</v>
      </c>
      <c r="CE224" s="25" t="str">
        <f>IF(_xlfn.XLOOKUP(_xlfn.XLOOKUP(B224,'Base stats'!B:B,'Base stats'!E:E),Groups!A:A,Groups!AX:AX),"True","False")</f>
        <v>False</v>
      </c>
      <c r="CF224" s="25" t="str">
        <f>IF(_xlfn.XLOOKUP(_xlfn.XLOOKUP(B224,'Base stats'!B:B,'Base stats'!E:E),Groups!A:A,Groups!AY:AY),"True","False")</f>
        <v>False</v>
      </c>
      <c r="CG224" s="25" t="str">
        <f>IF(_xlfn.XLOOKUP(_xlfn.XLOOKUP(B224,'Base stats'!B:B,'Base stats'!E:E),Groups!A:A,Groups!AW:AW),"True","False")</f>
        <v>False</v>
      </c>
      <c r="CH224" s="25" t="str">
        <f>IF(
OR(
_xlfn.XLOOKUP(_xlfn.XLOOKUP(B224,'Base stats'!B:B,'Base stats'!E:E),Groups!A:A,Groups!AZ:AZ)=0,
AND(
_xlfn.XLOOKUP(B224,'Base stats'!B:B,'Base stats'!Y:Y)&lt;&gt;"Carnivore",
_xlfn.XLOOKUP(B224,'Base stats'!B:B,'Base stats'!Y:Y)&lt;&gt;"Omnivore",
_xlfn.XLOOKUP(B224,'Base stats'!B:B,'Base stats'!Y:Y)&lt;&gt;"OmnivoreRough"
)
),
"No",
IF(
_xlfn.XLOOKUP(_xlfn.XLOOKUP(B224,'Base stats'!B:B,'Base stats'!E:E),Groups!A:A,Groups!AZ:AZ)=1,
"Flesh",
IF(
_xlfn.XLOOKUP(_xlfn.XLOOKUP(B224,'Base stats'!B:B,'Base stats'!E:E),Groups!A:A,Groups!AZ:AZ)=2,
"Bone",
""
)
)
)</f>
        <v>No</v>
      </c>
      <c r="CI224" s="25" t="str">
        <f>IF(_xlfn.XLOOKUP(_xlfn.XLOOKUP(B224,'Base stats'!B:B,'Base stats'!E:E),Groups!A:A,Groups!BB:BB),"True","False")</f>
        <v>False</v>
      </c>
      <c r="CJ224" s="25" t="str">
        <f>IF(_xlfn.XLOOKUP(_xlfn.XLOOKUP(B224,'Base stats'!B:B,'Base stats'!E:E),Groups!A:A,Groups!BA:BA),"True","False")</f>
        <v>False</v>
      </c>
    </row>
    <row r="225" spans="1:88" ht="16.5" thickTop="1" thickBot="1" x14ac:dyDescent="0.3">
      <c r="A225" s="26" t="s">
        <v>1490</v>
      </c>
      <c r="B225" s="6" t="str">
        <f>_xlfn.XLOOKUP(A225,'Base stats'!A:A,'Base stats'!B:B)</f>
        <v>Speculum vividum (larva)</v>
      </c>
      <c r="C225" s="28" t="s">
        <v>1491</v>
      </c>
      <c r="D225" s="28" t="s">
        <v>1341</v>
      </c>
      <c r="E225" s="28" t="s">
        <v>1747</v>
      </c>
      <c r="F225" s="28" t="s">
        <v>673</v>
      </c>
      <c r="G225" s="28" t="s">
        <v>673</v>
      </c>
      <c r="H225" s="2">
        <f>MROUND((
  (IF(AND(_xlfn.XLOOKUP(B225,'Base stats'!B:B,'Base stats'!AL:AL)=0,BI225="None",_xlfn.XLOOKUP(_xlfn.XLOOKUP(B225,'Base stats'!B:B,'Base stats'!E:E),Groups!A:A,Groups!B:B)=0), (18 + BR225 * 2.7) * 0.5,
    IF(AND(_xlfn.XLOOKUP(B225,'Base stats'!B:B,'Base stats'!AL:AL)=0,OR(AO225&lt;0.55,AND(BI225="Intermediate",_xlfn.XLOOKUP(_xlfn.XLOOKUP(B225,'Base stats'!B:B,'Base stats'!E:E),Groups!A:A,Groups!B:B)&lt;2))), (18 + BR225 * 2.7),
      IF(OR(BI225="Advanced",_xlfn.XLOOKUP(B225,'Base stats'!B:B,'Base stats'!AL:AL)=1,_xlfn.XLOOKUP(_xlfn.XLOOKUP(B225,'Base stats'!B:B,'Base stats'!E:E),Groups!A:A,Groups!B:B)=2), (18 + BR225 * 2.7) + 250, (18 + BR225 * 2.7))
    )
  ))
  + AO225 * 80
  + IF(COUNTIF(EggMilk!K$2:K$998, A225) &gt; 0, 125, 0)
  + IF(COUNTIF(EggMilk!P$2:P$998, A225) &gt; 0, 90, 0)
  + IF(COUNTIF(EggMilk!A$2:A$998, A225) &gt; 0, 90, 0)
)
* (0.8 + 0.4 * J225)
* 0.75,25)</f>
        <v>150</v>
      </c>
      <c r="I225" s="2">
        <f>MROUND(ROUNDDOWN(_xlfn.XLOOKUP(B225,'Base stats'!B:B,'Base stats'!L:L)/3.6/(23.3/11),1),0.5)</f>
        <v>2</v>
      </c>
      <c r="J225" s="2">
        <f>IF(OR(_xlfn.XLOOKUP(B225,'Base stats'!B:B,'Base stats'!AB:AB)=1,_xlfn.XLOOKUP(_xlfn.XLOOKUP(B225,'Base stats'!B:B,'Base stats'!E:E),Groups!A:A,Groups!C:C)="Untamable"),1,IF(_xlfn.XLOOKUP(B225,'Base stats'!B:B,'Base stats'!AL:AL)=1,0.99,MIN(MROUND((1-0.6282*EXP(-0.459*AO225))*_xlfn.XLOOKUP(_xlfn.XLOOKUP(B225,'Base stats'!B:B,'Base stats'!E:E),Groups!A:A,Groups!C:C)*IF(_xlfn.XLOOKUP(B225,'Base stats'!B:B,'Base stats'!O:O)=1,0.5,IF(_xlfn.XLOOKUP(B225,'Base stats'!B:B,'Base stats'!O:O)=2,0,1)),0.05),IF(AO225&gt;3.5,0.985,0.95))))</f>
        <v>0.5</v>
      </c>
      <c r="K225" s="2">
        <f>ROUNDUP(AO225*_xlfn.XLOOKUP(_xlfn.XLOOKUP(B225,'Base stats'!B:B,'Base stats'!E:E),Groups!A:A,Groups!E:E),0)</f>
        <v>1</v>
      </c>
      <c r="L225" s="2">
        <f>IF(OR(_xlfn.XLOOKUP(_xlfn.XLOOKUP(B225,'Base stats'!B:B,'Base stats'!E:E),Groups!A:A,Groups!F:F)=2,ISNUMBER(SEARCH("SeaIce",BX225)),ISNUMBER(SEARCH("IceSheet",BX225))),-50,IF(OR(ISNUMBER(SEARCH("GlacialPlain",BX225)),ISNUMBER(SEARCH("Tundra",BX225))),-40,IF(OR(ISNUMBER(SEARCH("Alpine",BX225)),ISNUMBER(SEARCH("BorealForest",BX225)),ISNUMBER(SEARCH("ColdBog",BX225))),-30,IF(OR(ISNUMBER(SEARCH("TemperateForest",BX225)),ISNUMBER(SEARCH("TemperateSwamp",BX225))),-20,IF(_xlfn.XLOOKUP(_xlfn.XLOOKUP(B225,'Base stats'!B:B,'Base stats'!E:E),Groups!A:A,Groups!F:F)=1,-15,IF(OR(ISNUMBER(SEARCH("Desert",BX225)),ISNUMBER(SEARCH("ExtremeDesert",BX225))),-10,IF(OR(ISNUMBER(SEARCH("Grasslands",BX225)),ISNUMBER(SEARCH("TropicalRainforest",BX225)),ISNUMBER(SEARCH("TropicalSwamp",BX225))),10,0)))))))-IF(CC225="False",MIN(IFERROR(MAX(MROUND(LOG10(_xlfn.XLOOKUP(B225,'Base stats'!B:B,'Base stats'!C:C)^(2/3))*10,5),5),5),30))-_xlfn.XLOOKUP(B225,'Base stats'!B:B,'Base stats'!P:P)+IF(CC225="True",5,0)</f>
        <v>-5</v>
      </c>
      <c r="M225" s="2">
        <f>IF(OR(_xlfn.XLOOKUP(_xlfn.XLOOKUP(B225,'Base stats'!B:B,'Base stats'!E:E),Groups!A:A,Groups!G:G)=2,ISNUMBER(SEARCH("Desert",BX225)),ISNUMBER(SEARCH("ExtremeDesert",BX225)),ISNUMBER(SEARCH("LavaField",BX225))),50,IF(ISNUMBER(SEARCH("Grasslands",BX225)),45,IF(OR(_xlfn.XLOOKUP(_xlfn.XLOOKUP(B225,'Base stats'!B:B,'Base stats'!E:E),Groups!A:A,Groups!G:G)=1,ISNUMBER(SEARCH("TropicalRainforest",BX225)),ISNUMBER(SEARCH("TropicalSwamp",BX225))),40,IF(OR(ISNUMBER(SEARCH("TemperateForest",BX225)),ISNUMBER(SEARCH("TemperateSwamp",BX225))),35,IF(OR(ISNUMBER(SEARCH("Alpine",BX225)),ISNUMBER(SEARCH("BorealForest",BX225)),ISNUMBER(SEARCH("ColdBog",BX225))),30,IF(ISNUMBER(OR(ISNUMBER(SEARCH("GlacialPlain",BX225)),SEARCH("Tundra",BX225))),25,IF(OR(ISNUMBER(SEARCH("SeaIce",BX225)),ISNUMBER(SEARCH("IceSheet",BX225)),ISNUMBER(SEARCH("TropicalSwamp",BX225))),10,35)))))))+_xlfn.XLOOKUP(B225,'Base stats'!B:B,'Base stats'!Q:Q)</f>
        <v>50</v>
      </c>
      <c r="N225" s="8">
        <f>IF(
_xlfn.XLOOKUP(
_xlfn.XLOOKUP(B225,'Base stats'!B:B,'Base stats'!E:E),
Groups!A:A,
Groups!L:L
)=1,
MIN(
MROUND(
IF(
_xlfn.XLOOKUP(B225,'Animals CE'!B:B,'Animals CE'!Z:Z)&lt;=1.5,
_xlfn.XLOOKUP(B225,'Animals CE'!B:B,'Animals CE'!Z:Z)/2+0.05,
0.8+
(_xlfn.XLOOKUP(B225,'Animals CE'!B:B,'Animals CE'!Z:Z)-1.5)
*0.02
),
0.05
),
200%
),
"No"
)</f>
        <v>0.30000000000000004</v>
      </c>
      <c r="O225" s="8">
        <f>IF(
_xlfn.XLOOKUP(
_xlfn.XLOOKUP(B225,'Base stats'!B:B,'Base stats'!E:E),
Groups!A:A,
Groups!L:L
)=1,
MIN(
MROUND(
IF(
_xlfn.XLOOKUP(B225,'Animals CE'!B:B,'Animals CE'!AA:AA)&lt;=1.5,
_xlfn.XLOOKUP(B225,'Animals CE'!B:B,'Animals CE'!AA:AA)/2+0.05,
0.8+
(_xlfn.XLOOKUP(B225,'Animals CE'!B:B,'Animals CE'!AA:AA)-1.5)
*0.02
),
0.05
),
200%
),
"No"
)</f>
        <v>0.1</v>
      </c>
      <c r="P225" s="2" t="str">
        <f>_xlfn.XLOOKUP(B225,'Base stats'!B:B,'Base stats'!R:R)</f>
        <v>Standard</v>
      </c>
      <c r="Q225" s="13">
        <f>MROUND((LOG10(_xlfn.XLOOKUP(B225,'Base stats'!B:B,'Base stats'!AR:AR))*(AO225^0.5)+(_xlfn.XLOOKUP(B225,'Base stats'!B:B,'Base stats'!AR:AR)/1000)^(2/3)+_xlfn.XLOOKUP(B225,'Base stats'!B:B,'Base stats'!BA:BA)/2)+0.5,0.5)</f>
        <v>3.5</v>
      </c>
      <c r="R225" s="7">
        <f>IF(Q225="No","No",MAX(1,MROUND(_xlfn.XLOOKUP(B225,'Base stats'!B:B,'Base stats'!C:C)^0.165,0.05)))</f>
        <v>1.4500000000000002</v>
      </c>
      <c r="S225" s="13" t="str">
        <f>IF(_xlfn.XLOOKUP(_xlfn.XLOOKUP(B225,'Base stats'!B:B,'Base stats'!E:E),Groups!A:A,Groups!P:P)=0,"No",MROUND((LOG10(_xlfn.XLOOKUP(B225,'Base stats'!B:B,'Base stats'!AS:AS))*(AO225^0.5)+(_xlfn.XLOOKUP(B225,'Base stats'!B:B,'Base stats'!AS:AS)/1000)^(2/3)+_xlfn.XLOOKUP(B225,'Base stats'!B:B,'Base stats'!BA:BA))+_xlfn.XLOOKUP(B225,'Base stats'!B:B,'Base stats'!AY:AY)+0.5,0.5))</f>
        <v>No</v>
      </c>
      <c r="T225" s="7" t="str">
        <f>IF(S225="No","No",MAX(_xlfn.XLOOKUP(_xlfn.XLOOKUP(B225,'Base stats'!B:B,'Base stats'!E:E),Groups!A:A,Groups!Q:Q),MROUND(_xlfn.XLOOKUP(_xlfn.XLOOKUP(B225,'Base stats'!B:B,'Base stats'!E:E),Groups!A:A,Groups!Q:Q)*_xlfn.XLOOKUP(B225,'Base stats'!B:B,'Base stats'!C:C)^0.165,0.05)))</f>
        <v>No</v>
      </c>
      <c r="U225" s="7" t="str">
        <f>IF(S225="No","No",_xlfn.XLOOKUP(_xlfn.XLOOKUP(B225,'Base stats'!B:B,'Base stats'!E:E),Groups!A:A,Groups!R:R))</f>
        <v>No</v>
      </c>
      <c r="V225" s="7" t="str">
        <f>IF(S225="No","No",_xlfn.XLOOKUP(_xlfn.XLOOKUP(B225,'Base stats'!B:B,'Base stats'!E:E),Groups!A:A,Groups!S:S))</f>
        <v>No</v>
      </c>
      <c r="W225" s="7" t="str">
        <f>IF(S225="No","No",_xlfn.XLOOKUP(_xlfn.XLOOKUP(B225,'Base stats'!B:B,'Base stats'!E:E),Groups!A:A,Groups!T:T))</f>
        <v>No</v>
      </c>
      <c r="X225" s="13" t="str">
        <f>IF(_xlfn.XLOOKUP(B225,'Base stats'!B:B,'Base stats'!W:W)="No","No",MROUND((LOG10(_xlfn.XLOOKUP(B225,'Base stats'!B:B,'Base stats'!AU:AU))*(AO225^0.5)+(_xlfn.XLOOKUP(B225,'Base stats'!B:B,'Base stats'!AU:AU)/1000)^(2/3)+_xlfn.XLOOKUP(B225,'Base stats'!B:B,'Base stats'!AZ:AZ))+0.5+IF(_xlfn.XLOOKUP(_xlfn.XLOOKUP(B225,'Base stats'!B:B,'Base stats'!E:E),Groups!A:A,Groups!U:U)&lt;&gt;3,_xlfn.XLOOKUP(B225,'Base stats'!B:B,'Base stats'!BA:BA),0),0.5))</f>
        <v>No</v>
      </c>
      <c r="Y225" s="7" t="str">
        <f>IF(X225="No","No",MAX(_xlfn.XLOOKUP(_xlfn.XLOOKUP(B225,'Base stats'!B:B,'Base stats'!E:E),Groups!A:A,Groups!V:V),MROUND(_xlfn.XLOOKUP(_xlfn.XLOOKUP(B225,'Base stats'!B:B,'Base stats'!E:E),Groups!A:A,Groups!V:V)*_xlfn.XLOOKUP(B225,'Base stats'!B:B,'Base stats'!C:C)^0.165,0.05)))</f>
        <v>No</v>
      </c>
      <c r="Z225" s="7" t="str">
        <f>IF(X225="No","No",_xlfn.XLOOKUP(_xlfn.XLOOKUP(B225,'Base stats'!B:B,'Base stats'!E:E),Groups!A:A,Groups!W:W))</f>
        <v>No</v>
      </c>
      <c r="AA225" s="7" t="str">
        <f>IF(X225="No","No",_xlfn.XLOOKUP(_xlfn.XLOOKUP(B225,'Base stats'!B:B,'Base stats'!E:E),Groups!A:A,Groups!X:X))</f>
        <v>No</v>
      </c>
      <c r="AB225" s="7" t="str">
        <f>IF(X225="No","No",_xlfn.XLOOKUP(_xlfn.XLOOKUP(B225,'Base stats'!B:B,'Base stats'!E:E),Groups!A:A,Groups!Y:Y))</f>
        <v>No</v>
      </c>
      <c r="AC225" s="7" t="str">
        <f>_xlfn.XLOOKUP(Animals!B225,'Base stats'!B:B,'Base stats'!X:X)</f>
        <v>False</v>
      </c>
      <c r="AD225" s="13">
        <f>IF(_xlfn.XLOOKUP(B225,'Base stats'!B:B,'Base stats'!AT:AT)="No","No",MROUND((LOG10(_xlfn.XLOOKUP(B225,'Base stats'!B:B,'Base stats'!AT:AT))*(AO225^0.75)+(_xlfn.XLOOKUP(B225,'Base stats'!B:B,'Base stats'!AT:AT)/1000)^(2/3)+_xlfn.XLOOKUP(B225,'Base stats'!B:B,'Base stats'!AX:AX)+_xlfn.XLOOKUP(B225,'Base stats'!B:B,'Base stats'!BA:BA))+0.5,0.5))</f>
        <v>6.5</v>
      </c>
      <c r="AE225" s="7">
        <f>IF(AD225="No","No",MAX(_xlfn.XLOOKUP(_xlfn.XLOOKUP(B225,'Base stats'!B:B,'Base stats'!E:E),Groups!A:A,Groups!Z:Z),MROUND(_xlfn.XLOOKUP(_xlfn.XLOOKUP(B225,'Base stats'!B:B,'Base stats'!E:E),Groups!A:A,Groups!Z:Z)*_xlfn.XLOOKUP(B225,'Base stats'!B:B,'Base stats'!C:C)^0.165,0.05)))</f>
        <v>1.75</v>
      </c>
      <c r="AF225" s="7" t="str">
        <f>IF(AD225="No","No",_xlfn.XLOOKUP(_xlfn.XLOOKUP(B225,'Base stats'!B:B,'Base stats'!E:E),Groups!A:A,Groups!AA:AA))</f>
        <v>Mouth</v>
      </c>
      <c r="AG225" s="7" t="str">
        <f>IF(AD225="No","No",_xlfn.XLOOKUP(_xlfn.XLOOKUP(B225,'Base stats'!B:B,'Base stats'!E:E),Groups!A:A,Groups!AB:AB))</f>
        <v>mandibles</v>
      </c>
      <c r="AH225" s="7" t="str">
        <f>IF(AD225="No","No",_xlfn.XLOOKUP(_xlfn.XLOOKUP(B225,'Base stats'!B:B,'Base stats'!E:E),Groups!A:A,Groups!AC:AC))</f>
        <v>Bite</v>
      </c>
      <c r="AI225" s="13" t="str">
        <f>IF(_xlfn.XLOOKUP(_xlfn.XLOOKUP(B225,'Base stats'!B:B,'Base stats'!E:E),Groups!A:A,Groups!AD:AD)=0,"No",MROUND((LOG10(_xlfn.XLOOKUP(B225,'Base stats'!B:B,'Base stats'!AS:AS))*(AO225^0.75)+(_xlfn.XLOOKUP(B225,'Base stats'!B:B,'Base stats'!AS:AS)/1000)^(2/3)+_xlfn.XLOOKUP(B225,'Base stats'!B:B,'Base stats'!AY:AY)+_xlfn.XLOOKUP(B225,'Base stats'!B:B,'Base stats'!BA:BA))+0.5,0.5))</f>
        <v>No</v>
      </c>
      <c r="AJ225" s="7" t="str">
        <f>IF(AI225="No","No",MAX(_xlfn.XLOOKUP(_xlfn.XLOOKUP(B225,'Base stats'!B:B,'Base stats'!E:E),Groups!A:A,Groups!AE:AE),MROUND(_xlfn.XLOOKUP(_xlfn.XLOOKUP(B225,'Base stats'!B:B,'Base stats'!E:E),Groups!A:A,Groups!AE:AE)*IF(_xlfn.XLOOKUP(_xlfn.XLOOKUP(B225,'Base stats'!B:B,'Base stats'!E:E),Groups!A:A,Groups!AJ:AJ)="Photonozoa",0.6,1)*_xlfn.XLOOKUP(B225,'Base stats'!B:B,'Base stats'!C:C)^0.165,0.05)))</f>
        <v>No</v>
      </c>
      <c r="AK225" s="7" t="str">
        <f>IF(AI225="No","No",_xlfn.XLOOKUP(_xlfn.XLOOKUP(B225,'Base stats'!B:B,'Base stats'!E:E),Groups!A:A,Groups!AF:AF))</f>
        <v>No</v>
      </c>
      <c r="AL225" s="7" t="str">
        <f>IF(AI225="No","No",_xlfn.XLOOKUP(_xlfn.XLOOKUP(B225,'Base stats'!B:B,'Base stats'!E:E),Groups!A:A,Groups!AG:AG))</f>
        <v>No</v>
      </c>
      <c r="AM225" s="7" t="str">
        <f>IF(AI225="No","No",_xlfn.XLOOKUP(_xlfn.XLOOKUP(B225,'Base stats'!B:B,'Base stats'!E:E),Groups!A:A,Groups!AH:AH))</f>
        <v>No</v>
      </c>
      <c r="AN225" s="2" t="str">
        <f t="shared" si="21"/>
        <v>No</v>
      </c>
      <c r="AO225" s="2">
        <f>MROUND(IF(AND(_xlfn.XLOOKUP(B225,'Base stats'!B:B,'Base stats'!C:C)&gt;=0.5,_xlfn.XLOOKUP(B225,'Base stats'!B:B,'Base stats'!C:C)&lt;=0.8),
IF(_xlfn.XLOOKUP(B225,'Base stats'!B:B,'Base stats'!C:C)&lt;0.1,0.05,IF(_xlfn.XLOOKUP(B225,'Base stats'!B:B,'Base stats'!C:C)&lt;=70,(_xlfn.XLOOKUP(B225,'Base stats'!B:B,'Base stats'!C:C)/70)^0.426489913056526,IF(_xlfn.XLOOKUP(B225,'Base stats'!B:B,'Base stats'!C:C)&lt;=400,(_xlfn.XLOOKUP(B225,'Base stats'!B:B,'Base stats'!C:C)/70)^0.572811455315093,IF(_xlfn.XLOOKUP(B225,'Base stats'!B:B,'Base stats'!C:C)&lt;=2000,2.71391647193063*(_xlfn.XLOOKUP(B225,'Base stats'!B:B,'Base stats'!C:C)/400)^0.252459582904293,3.74314280240376*(_xlfn.XLOOKUP(B225,'Base stats'!B:B,'Base stats'!C:C)/2000)^0.357012633876913)))),
IF(_xlfn.XLOOKUP(B225,'Base stats'!B:B,'Base stats'!C:C)&lt;0.1,0.05,IF(_xlfn.XLOOKUP(B225,'Base stats'!B:B,'Base stats'!C:C)&lt;0.4,0.1,IF(_xlfn.XLOOKUP(B225,'Base stats'!B:B,'Base stats'!C:C)&lt;=70,(_xlfn.XLOOKUP(B225,'Base stats'!B:B,'Base stats'!C:C)/70)^0.445823913056526,IF(_xlfn.XLOOKUP(B225,'Base stats'!B:B,'Base stats'!C:C)&lt;=400,(_xlfn.XLOOKUP(B225,'Base stats'!B:B,'Base stats'!C:C)/70)^0.572811455315093,IF(_xlfn.XLOOKUP(B225,'Base stats'!B:B,'Base stats'!C:C)&lt;=2000,2.71391647193063*(_xlfn.XLOOKUP(B225,'Base stats'!B:B,'Base stats'!C:C)/400)^0.252459582904293,3.74314280240376*(_xlfn.XLOOKUP(B225,'Base stats'!B:B,'Base stats'!C:C)/2000)^0.357012633876913)))))),
IF(_xlfn.XLOOKUP(B225,'Base stats'!B:B,'Base stats'!C:C)&lt;0.1,0.05,IF(_xlfn.XLOOKUP(B225,'Base stats'!B:B,'Base stats'!C:C)&lt;=100,0.05,IF(_xlfn.XLOOKUP(B225,'Base stats'!B:B,'Base stats'!C:C)&lt;=250,0.1,IF(_xlfn.XLOOKUP(B225,'Base stats'!B:B,'Base stats'!C:C)&lt;=4000,0.25,0.5)))))</f>
        <v>0.4</v>
      </c>
      <c r="AP225" s="8">
        <f>MROUND(AO225*_xlfn.XLOOKUP(_xlfn.XLOOKUP(B225,'Base stats'!B:B,'Base stats'!E:E),Groups!A:A,Groups!AI:AI)*_xlfn.XLOOKUP(B225,'Base stats'!B:B,'Base stats'!Z:Z),0.05)</f>
        <v>0.4</v>
      </c>
      <c r="AQ225" s="8">
        <f>MAX(0.01,MROUND(IF(CC225="True",0.196*(AO225*100*1000)^0.889,IF(_xlfn.XLOOKUP(_xlfn.XLOOKUP(B225,'Base stats'!B:B,'Base stats'!E:E),Groups!A:A,Groups!AJ:AJ)="Bird",10.5*(AO225*100*1000)^0.681,4.82*(AO225*100*1000)^0.734))/(4.82*(1*100*1000)^0.734)/IF(AO225&lt;3.5,2,IF(AO225=3.5,1.5,1.25))*(1+0.132282374779864/(AO225^0.994035016789033+0.00905238001496948)),0.05))</f>
        <v>0.05</v>
      </c>
      <c r="AR225" s="9">
        <f>IFERROR(MROUND(_xlfn.XLOOKUP(B225,'Base stats'!B:B,'Base stats'!H:H)/IF(_xlfn.XLOOKUP(B225,'Base stats'!B:B,'Base stats'!I:I)&lt;&gt;1,(122.5/70),1.2),IF(_xlfn.XLOOKUP(B225,'Base stats'!B:B,'Base stats'!H:H)&gt;=30,5,IF(_xlfn.XLOOKUP(B225,'Base stats'!B:B,'Base stats'!H:H)&gt;=15,3,IF(_xlfn.XLOOKUP(B225,'Base stats'!B:B,'Base stats'!H:H)&gt;=10,2,1)))),"Immortal")</f>
        <v>1</v>
      </c>
      <c r="AS225" s="35" t="str">
        <f>IFERROR(IF(OR(_xlfn.XLOOKUP(B225,'Base stats'!B:B,'Base stats'!F:F)="Atypical reproduction",_xlfn.XLOOKUP(B225,'Base stats'!B:B,'Base stats'!F:F)="Lay eggs"),"Lay eggs",MIN(20,MAX(5.5,ROUND(((_xlfn.XLOOKUP(B225,'Base stats'!B:B,'Base stats'!F:F)-25)*(14.5/615) + 5.5)*2,0)/2))),"Unknown")</f>
        <v>Lay eggs</v>
      </c>
      <c r="AT225" s="8" t="str">
        <f>IF(_xlfn.XLOOKUP(B225,'Base stats'!B:B,'Base stats'!G:G)="Atypical reproduction","No",IFERROR(MAX(IF(_xlfn.XLOOKUP(B225,'Base stats'!B:B,'Base stats'!G:G)&lt;0.5,0.2,0.3),MROUND(_xlfn.XLOOKUP(B225,'Base stats'!B:B,'Base stats'!G:G)/(365/60),0.2)),"Unknown"))</f>
        <v>No</v>
      </c>
      <c r="AU225" s="8" t="str">
        <f t="shared" si="22"/>
        <v>No</v>
      </c>
      <c r="AV225" s="8" t="str">
        <f>IFERROR(IFERROR(MROUND(_xlfn.XLOOKUP(B225,'Base stats'!B:B,'Base stats'!J:J),0.1),"Lay eggs"),"Cannot breed")</f>
        <v>Lay eggs</v>
      </c>
      <c r="AW225" s="2" t="str">
        <f t="shared" si="23"/>
        <v>true</v>
      </c>
      <c r="AX225" s="2" t="str">
        <f>IF(_xlfn.XLOOKUP(_xlfn.XLOOKUP(Animals!B225,'Base stats'!B:B,'Base stats'!E:E),Groups!A:A,Groups!AK:AK)=1,"true","false")</f>
        <v>false</v>
      </c>
      <c r="AY225" s="25" t="str">
        <f>IF(_xlfn.XLOOKUP(B225,'Base stats'!B:B,'Base stats'!Y:Y)="Liquor","Liquor, CarnivoreAnimalStrict",IF(AND(_xlfn.XLOOKUP(B225,'Base stats'!B:B,'Base stats'!Y:Y)="Carnivore",_xlfn.XLOOKUP(_xlfn.XLOOKUP(B225,'Base stats'!B:B,'Base stats'!E:E),Groups!A:A,Groups!AJ:AJ)="Photonozoa"),"CarnivoreAnimalStrict, OvivoreAnimal",IF(_xlfn.XLOOKUP(B225,'Base stats'!B:B,'Base stats'!Y:Y)="Carnivore","CarnivoreAnimal, OvivoreAnimal",IF(_xlfn.XLOOKUP(B225,'Base stats'!B:B,'Base stats'!Y:Y)="Dendrovore","VegetarianRoughAnimal, DendrovoreAnimal",IF(_xlfn.XLOOKUP(B225,'Base stats'!B:B,'Base stats'!Y:Y)="Herbivore","VegetarianRoughAnimal",IF(_xlfn.XLOOKUP(B225,'Base stats'!B:B,'Base stats'!Y:Y)="OmnivoreRough","OmnivoreRoughAnimal, OvivoreAnimal","OmnivoreAnimal, OvivoreAnimal"))))))</f>
        <v>VegetarianRoughAnimal</v>
      </c>
      <c r="AZ225" s="2" t="str">
        <f>IF(_xlfn.XLOOKUP(_xlfn.XLOOKUP(B225,'Base stats'!B:B,'Base stats'!E:E),Groups!A:A,Groups!D:D)=1,MROUND((1-J225)*5+1,2)*IF(J225&lt;=0.4,2,1),"No")</f>
        <v>No</v>
      </c>
      <c r="BA225" s="2" t="str">
        <f>IF(AND(_xlfn.XLOOKUP(B225,'Base stats'!B:B,'Base stats'!AH:AH)="&lt;li&gt;Seal&lt;/li&gt;",G225="Odyssey"),"&lt;li&gt;AEXP_Seal&lt;/li&gt;",_xlfn.XLOOKUP(B225,'Base stats'!B:B,'Base stats'!AH:AH))</f>
        <v>&lt;li&gt;Megaspider&lt;/li&gt;</v>
      </c>
      <c r="BB225" s="2" t="str">
        <f>_xlfn.XLOOKUP(B225,'Base stats'!B:B,'Base stats'!AG:AG)</f>
        <v>Leather_Chitin</v>
      </c>
      <c r="BC225" s="23" t="str">
        <f>_xlfn.XLOOKUP(_xlfn.XLOOKUP(B225,'Base stats'!B:B,'Base stats'!E:E),Groups!A:A,Groups!AL:AL)</f>
        <v>Larva</v>
      </c>
      <c r="BD225" s="23">
        <f>MIN(1,MROUND(IF(AND(AO225&lt;0.5,_xlfn.XLOOKUP(B225,'Base stats'!B:B,'Base stats'!AA:AA)=0),0,IF(OR(_xlfn.XLOOKUP(Animals!B225,'Base stats'!B:B,'Base stats'!O:O)=2,_xlfn.XLOOKUP(_xlfn.XLOOKUP(B225,'Base stats'!B:B,'Base stats'!E:E),Groups!A:A,Groups!AN:AN)=0),0,_xlfn.XLOOKUP(_xlfn.XLOOKUP(B225,'Base stats'!B:B,'Base stats'!E:E),Groups!A:A,Groups!AN:AN)/IF(_xlfn.XLOOKUP(Animals!B225,'Base stats'!B:B,'Base stats'!O:O)=1,2,1)))+_xlfn.XLOOKUP(B225,'Base stats'!B:B,'Base stats'!AC:AC),0.005))</f>
        <v>0</v>
      </c>
      <c r="BE225" s="23">
        <f>MIN(1,MROUND(IF(AND(AO225&lt;0.5,_xlfn.XLOOKUP(B225,'Base stats'!B:B,'Base stats'!AA:AA)=0),0,IF(_xlfn.XLOOKUP(_xlfn.XLOOKUP(B225,'Base stats'!B:B,'Base stats'!E:E),Groups!A:A,Groups!AO:AO)=0,0,_xlfn.XLOOKUP(_xlfn.XLOOKUP(B225,'Base stats'!B:B,'Base stats'!E:E),Groups!A:A,Groups!AO:AO)/IF(_xlfn.XLOOKUP(Animals!B225,'Base stats'!B:B,'Base stats'!O:O)=2,3,1)))+_xlfn.XLOOKUP(B225,'Base stats'!B:B,'Base stats'!AD:AD),0.005))</f>
        <v>0</v>
      </c>
      <c r="BF225" s="2" t="str">
        <f>IF(J225&gt;0.3,"No",_xlfn.XLOOKUP(_xlfn.XLOOKUP(Animals!B225,'Base stats'!B:B,'Base stats'!E:E),Groups!A:A,Groups!AP:AP))</f>
        <v>No</v>
      </c>
      <c r="BG225" s="2" t="str">
        <f>IF(AND(J225&lt;=0.65,_xlfn.XLOOKUP(_xlfn.XLOOKUP(Animals!B225,'Base stats'!B:B,'Base stats'!E:E),Groups!A:A,Groups!AP:AP)&lt;&gt;"No",_xlfn.XLOOKUP(_xlfn.XLOOKUP(B225,'Base stats'!B:B,'Base stats'!E:E),Groups!A:A,Groups!D:D)=0),MROUND((80/3)*IF(_xlfn.XLOOKUP(B225,'Base stats'!B:B,'Base stats'!O:O)=2,0.2,AO225) + 24*(1-IF(BF225="No",0,BF225)) + 16/3, 12),"No")</f>
        <v>No</v>
      </c>
      <c r="BH225" s="2">
        <f>IF(AND(_xlfn.XLOOKUP(_xlfn.XLOOKUP(B225,'Base stats'!B:B,'Base stats'!E:E),Groups!A:A,Groups!AQ:AQ)=1,AO225&lt;=0.35),8,12)</f>
        <v>12</v>
      </c>
      <c r="BI225" s="2" t="str">
        <f>IF(_xlfn.XLOOKUP(_xlfn.XLOOKUP(B225,'Base stats'!B:B,'Base stats'!E:E),Groups!A:A,Groups!D:D)=0,_xlfn.XLOOKUP(_xlfn.XLOOKUP(B225,'Base stats'!B:B,'Base stats'!E:E),Groups!A:A,Groups!AR:AR),"None")</f>
        <v>Intermediate</v>
      </c>
      <c r="BJ225" s="2" t="str">
        <f>IF(AND(_xlfn.XLOOKUP(_xlfn.XLOOKUP(B225,'Base stats'!B:B,'Base stats'!E:E),Groups!A:A,Groups!AS:AS)=1,OR(_xlfn.XLOOKUP(B225,'Base stats'!B:B,'Base stats'!Y:Y)="Carnivore",_xlfn.XLOOKUP(B225,'Base stats'!B:B,'Base stats'!Y:Y)="Omnivore")),"true","false")</f>
        <v>false</v>
      </c>
      <c r="BK225" s="2" t="str">
        <f>IF(BJ225="true",MROUND(IF(AND(AO225&gt;0.5,OR(_xlfn.XLOOKUP(_xlfn.XLOOKUP(B225,'Base stats'!B:B,'Base stats'!E:E),Groups!A:A,Groups!AJ:AJ)="Photonozoa",_xlfn.XLOOKUP(_xlfn.XLOOKUP(B225,'Base stats'!B:B,'Base stats'!E:E),Groups!A:A,Groups!AJ:AJ)="Mammal")),Animals!AO225*1.75*IF(AW225="true",1.5,1),IF(AO225&lt;0.5,Animals!AO225*0.5,Animals!AO225)),IF(AO225&gt;2,0.5,IF(AO225&gt;0.5,0.25,0.1))),"No")</f>
        <v>No</v>
      </c>
      <c r="BL225" s="2">
        <f t="shared" si="24"/>
        <v>1</v>
      </c>
      <c r="BM225" s="25" t="str">
        <f>IF(_xlfn.XLOOKUP(B225,'Base stats'!B:B,'Base stats'!AN:AN)="Standard","No",MROUND((_xlfn.XLOOKUP(B225,'Base stats'!B:B,'Base stats'!AN:AN)/3.6)/I225,0.1))</f>
        <v>No</v>
      </c>
      <c r="BN225" s="25" t="str">
        <f t="shared" si="25"/>
        <v>false</v>
      </c>
      <c r="BO225" s="25" t="str">
        <f>IF(AND(OR(_xlfn.XLOOKUP(B225,'Base stats'!B:B,'Base stats'!Y:Y)="Carnivore",_xlfn.XLOOKUP(B225,'Base stats'!B:B,'Base stats'!Y:Y)="Omnivore",_xlfn.XLOOKUP(B225,'Base stats'!B:B,'Base stats'!Y:Y)="OmnivoreRough"),_xlfn.XLOOKUP(_xlfn.XLOOKUP(B225,'Base stats'!B:B,'Base stats'!E:E),Groups!A:A,Groups!AT:AT)=1),"true","false")</f>
        <v>false</v>
      </c>
      <c r="BP225" s="25" t="str" cm="1">
        <f t="array" ref="BP225">IF(
  _xlfn.TEXTJOIN(", ",TRUE,
    IF(AND(BJ225="true",AO225&gt;0.5,BI225&lt;&gt;"None"),"AttackTarget",""),
    IF(AND(_xlfn.XLOOKUP(_xlfn.XLOOKUP(B225,'Base stats'!B:B,'Base stats'!E:E),Groups!A:A,Groups!AJ:AJ="Mammal"),OR(_xlfn.XLOOKUP(B225,'Base stats'!B:B,'Base stats'!Y:Y)="Omnivore",_xlfn.XLOOKUP(B225,'Base stats'!B:B,'Base stats'!Y:Y)="OmnivoreRough")),"Forage",""),
    IF(BG225&lt;=36,"Comfort",""),
    IF(_xlfn.XLOOKUP(B225,'Base stats'!B:B,'Base stats'!AE:AE)&lt;&gt;"No",_xlfn.XLOOKUP(B225,'Base stats'!B:B,'Base stats'!AE:AE),"")
  ) = "",
  "No",
  _xlfn.TEXTJOIN(", ",TRUE,
    IF(AND(BJ225="true",AO225&gt;0.5,BI225&lt;&gt;"None"),"AttackTarget",""),
    IF(AND(_xlfn.XLOOKUP(_xlfn.XLOOKUP(B225,'Base stats'!B:B,'Base stats'!E:E),Groups!A:A,Groups!AJ:AJ="Mammal"),OR(_xlfn.XLOOKUP(B225,'Base stats'!B:B,'Base stats'!Y:Y)="Omnivore",_xlfn.XLOOKUP(B225,'Base stats'!B:B,'Base stats'!Y:Y)="OmnivoreRough")),"Forage",""),
    IF(BG225&lt;=36,"Comfort",""),
    IF(_xlfn.XLOOKUP(B225,'Base stats'!B:B,'Base stats'!AE:AE)&lt;&gt;"No",_xlfn.XLOOKUP(B225,'Base stats'!B:B,'Base stats'!AE:AE),"")
  )
)</f>
        <v>No</v>
      </c>
      <c r="BQ225" s="25" t="str">
        <f>IF(
   AND(
      'Base stats'!AN225="Standard",_xlfn.XLOOKUP(_xlfn.XLOOKUP(B225,'Base stats'!B:B,'Base stats'!E:E),Groups!A:A,Groups!AU:AU)=0,
      OR(
      BO225="True"
      )
   ),
   10,
   IF(
       OR(BM225&lt;&gt;"No",_xlfn.XLOOKUP(_xlfn.XLOOKUP(B225,'Base stats'!B:B,'Base stats'!E:E),Groups!A:A,Groups!AU:AU)=1),
      1,
      "No"
   )
)</f>
        <v>No</v>
      </c>
      <c r="BR225" s="9">
        <f>MROUND((1 + ((0.2*IF(OR(Q225="No",R225="No",R225=0),0,Q225/R225)
+IF(OR(V225="No",S225="No",T225="No"),0,S225/T225*(LEN(V225)-LEN(SUBSTITUTE(V225,",",""))+1))
+IF(OR(X225="No",Y225="No"),0,X225/Y225)
+IF(OR(AD225="No",AE225="No"),0,AD225/AE225)
+IF(OR(AL225="No",AI225="No",AJ225="No"),0,AI225/AJ225*(LEN(AL225)-LEN(SUBSTITUTE(AL225,",",""))+1))
)/(0.2*IF(OR(Q225="No",R225="No",R225=0),0,1)
+IF(OR(V225="No",S225="No",T225="No"),0,LEN(V225)-LEN(SUBSTITUTE(V225,",",""))+1)
+IF(OR(X225="No",Y225="No"),0,1)
+IF(OR(AD225="No",AE225="No"),0,1)
+IF(OR(AL225="No",AI225="No",AJ225="No"),0,LEN(AL225)-LEN(SUBSTITUTE(AL225,",",""))+1))*62%)* 2)*(1 + (AP225 / (IF(_xlfn.XLOOKUP(_xlfn.XLOOKUP(B225,'Base stats'!B:B,'Base stats'!E:E),Groups!A:A,Groups!AJ:AJ)="Photonozoa",0.3,1)) + _xlfn.XLOOKUP(B225,'Base stats'!B:B,'Base stats'!AV:AV) * 1.8) * 2) * 2.5 + 10 + I225 * 2,5)+IF(_xlfn.XLOOKUP(B225,'Base stats'!B:B,'Base stats'!AK:AK)=1,50,0)</f>
        <v>50</v>
      </c>
      <c r="BS225" s="8">
        <f t="shared" si="26"/>
        <v>0.1</v>
      </c>
      <c r="BT225" s="8" t="str">
        <f>_xlfn.XLOOKUP(B225,'Base stats'!B:B,'Base stats'!AF:AF)</f>
        <v>3~8</v>
      </c>
      <c r="BU225" s="2" t="str">
        <f>IF(AND(J225&lt;=0.95,OR(_xlfn.XLOOKUP(B225,'Base stats'!B:B,'Base stats'!AK:AK)=1,_xlfn.XLOOKUP(B225,'Base stats'!B:B,'Base stats'!Y:Y)="Carnivore",_xlfn.XLOOKUP(B225,'Base stats'!B:B,'Base stats'!Y:Y)="Omnivore",BE225&gt;0.1)),"true","false")</f>
        <v>false</v>
      </c>
      <c r="BV225" s="2" t="str">
        <f>IF(_xlfn.XLOOKUP(B225,'Base stats'!B:B,'Base stats'!AI:AI)=1,"true","false")</f>
        <v>false</v>
      </c>
      <c r="BW225" s="25" t="str">
        <f>IF(E225="BaseInsect","AnimalInsect",
IF(J225&gt;0.95,"AnimalExotic",
_xlfn.TEXTJOIN(", ",TRUE,
IF(OR(_xlfn.XLOOKUP(B225,'Base stats'!B:B,'Base stats'!AM:AM)=1,AND(_xlfn.XLOOKUP(B225,'Base stats'!B:B,'Base stats'!O:O)=0,_xlfn.XLOOKUP(_xlfn.XLOOKUP(B225,'Base stats'!B:B,'Base stats'!E:E),Groups!A:A,Groups!B:B)&gt;0)),"AnimalUncommon","AnimalCommon"),
IF(AND(_xlfn.XLOOKUP(B225,'Base stats'!B:B,'Base stats'!O:O)=2,_xlfn.XLOOKUP(_xlfn.XLOOKUP(B225,'Base stats'!B:B,'Base stats'!E:E),Groups!A:A,Groups!D:D)=0),"AnimalPet",IF(AND(_xlfn.XLOOKUP(B225,'Base stats'!B:B,'Base stats'!O:O)&lt;&gt;0,_xlfn.XLOOKUP(_xlfn.XLOOKUP(B225,'Base stats'!B:B,'Base stats'!E:E),Groups!A:A,Groups!D:D)&lt;&gt;0),"AnimalFarm","")),
IF(OR(_xlfn.XLOOKUP(B225,'Base stats'!B:B,'Base stats'!AK:AK)=1,AND(BI225&lt;&gt;"None",BR225&gt;=60),ISNUMBER(SEARCH("Attack target",BP225))),"AnimalFighter","")
)))</f>
        <v>AnimalUncommon</v>
      </c>
      <c r="BX225" s="25" t="str">
        <f>IF(G225="None",TRIM(
SUBSTITUTE(
IF(COUNTIF(Biomes!B$2:B$259,"="&amp;$C225)&gt;0,Biomes!B$1&amp;", ","")&amp;
IF(COUNTIF(Biomes!C$2:C$259,"="&amp;$C225)&gt;0,Biomes!C$1&amp;", ","")&amp;
IF(COUNTIF(Biomes!D$2:D$259,"="&amp;$C225)&gt;0,Biomes!D$1&amp;", ","")&amp;
IF(COUNTIF(Biomes!F$2:F$259,"="&amp;$C225)&gt;0,Biomes!F$1&amp;", ","")&amp;
IF(COUNTIF(Biomes!G$2:G$259,"="&amp;$C225)&gt;0,Biomes!G$1&amp;", ","")&amp;
IF(COUNTIF(Biomes!H$2:H$259,"="&amp;$C225)&gt;0,Biomes!H$1&amp;", ","")&amp;
IF(COUNTIF(Biomes!I$2:I$259,"="&amp;$C225)&gt;0,Biomes!I$1&amp;", ","")&amp;
IF(COUNTIF(Biomes!J$2:J$259,"="&amp;$C225)&gt;0,Biomes!J$1&amp;", ","")&amp;
IF(COUNTIF(Biomes!M$2:M$259,"="&amp;$C225)&gt;0,Biomes!M$1&amp;", ","")&amp;
IF(COUNTIF(Biomes!N$2:N$259,"="&amp;$C225)&gt;0,Biomes!N$1&amp;", ","")&amp;
IF(COUNTIF(Biomes!O$2:O$259,"="&amp;$C225)&gt;0,Biomes!O$1&amp;", ","")&amp;
IF(COUNTIF(Biomes!P$2:P$259,"="&amp;$C225)&gt;0,Biomes!P$1&amp;", ","")&amp;
IF(COUNTIF(Biomes!K$2:K$259,"="&amp;$C225)&gt;0,Biomes!K$1&amp;", ","")&amp;
IF(COUNTIF(Biomes!Q$3:Q$259,"="&amp;$C225)&gt;0,Biomes!Q$1&amp;", ","")&amp;
IF(COUNTIF(Biomes!L$2:L$259,"="&amp;$C225)&gt;0,Biomes!L$1&amp;", ","")&amp;
IF(COUNTIF(Biomes!E$2:E$259,"="&amp;$C225)&gt;0,Biomes!E$1&amp;", ","")&amp;IF(COUNTIF(Biomes!S$2:S$259,"="&amp;$C225)&gt;0,Biomes!S$1&amp;", ","")&amp;
IF(COUNTIF(Biomes!R$2:R$259,"="&amp;$C225)&gt;0,Biomes!R$1&amp;", ",""),", ","")
),_xlfn.XLOOKUP(B225,B:B,BX:BX))</f>
        <v>AridShrubland Desert Grasslands LavaField</v>
      </c>
      <c r="BY225" s="25" t="str">
        <f>IF(_xlfn.XLOOKUP(B225,'Base stats'!B:B,'Base stats'!AJ:AJ)=1,"true","false")</f>
        <v>false</v>
      </c>
      <c r="BZ225" s="25">
        <f>IF(_xlfn.XLOOKUP(B225,'Base stats'!B:B,'Base stats'!N:N)=1,"No",MAX(0.001,MIN(MROUND(IF(AND(BJ225="True",CC225="False"),POWER(10,3.47*LOG10(_xlfn.XLOOKUP(B225,'Base stats'!B:B,'Base stats'!C:C)*1000)^-0.96),POWER(10,4.15*LOG10(_xlfn.XLOOKUP(B225,'Base stats'!B:B,'Base stats'!C:C)*1000)^-0.73))*IF(_xlfn.XLOOKUP(B225,'Base stats'!B:B,'Base stats'!AK:AK)=1,0.5,1)*IF(_xlfn.XLOOKUP(B225,'Base stats'!B:B,'Base stats'!AM:AM)=1,0.1,1)/100,IF(_xlfn.XLOOKUP(B225,'Base stats'!B:B,'Base stats'!AM:AM)=1,0.001,0.025)),0.5)))</f>
        <v>3.2000000000000001E-2</v>
      </c>
      <c r="CA225" s="25" t="str">
        <f>IF(P225="Standard","No",MAX(0.001,MIN(MROUND(IF(AND(BJ225="True",CC225="False"),POWER(10,3.47*LOG10(_xlfn.XLOOKUP(B225,'Base stats'!B:B,'Base stats'!C:C)*1000)^-0.96),POWER(10,4.15*LOG10(_xlfn.XLOOKUP(B225,'Base stats'!B:B,'Base stats'!C:C)*1000)^-0.73))*IF(_xlfn.XLOOKUP(B225,'Base stats'!B:B,'Base stats'!AM:AM)=1,0.1,1)*_xlfn.XLOOKUP(B225,'Base stats'!B:B,'Base stats'!R:R)/100,IF(_xlfn.XLOOKUP(B225,'Base stats'!B:B,'Base stats'!AM:AM)=1,0.001,0.025)),0.5)))</f>
        <v>No</v>
      </c>
      <c r="CB225" s="25" t="str">
        <f>IF(_xlfn.XLOOKUP(_xlfn.XLOOKUP(B225,'Base stats'!B:B,'Base stats'!E:E),Groups!A:A,Groups!AJ:AJ)="Mammal","True","False")</f>
        <v>False</v>
      </c>
      <c r="CC225" s="25" t="str">
        <f>IF(OR(_xlfn.XLOOKUP(_xlfn.XLOOKUP(B225,'Base stats'!B:B,'Base stats'!E:E),Groups!A:A,Groups!AJ:AJ)="Reptile",_xlfn.XLOOKUP(_xlfn.XLOOKUP(B225,'Base stats'!B:B,'Base stats'!E:E),Groups!A:A,Groups!AJ:AJ)="Amphibian",_xlfn.XLOOKUP(_xlfn.XLOOKUP(B225,'Base stats'!B:B,'Base stats'!E:E),Groups!A:A,Groups!AJ:AJ)="Invertebrate"),"True","False")</f>
        <v>True</v>
      </c>
      <c r="CD225" s="25" t="str">
        <f t="shared" si="27"/>
        <v>False</v>
      </c>
      <c r="CE225" s="25" t="str">
        <f>IF(_xlfn.XLOOKUP(_xlfn.XLOOKUP(B225,'Base stats'!B:B,'Base stats'!E:E),Groups!A:A,Groups!AX:AX),"True","False")</f>
        <v>False</v>
      </c>
      <c r="CF225" s="25" t="str">
        <f>IF(_xlfn.XLOOKUP(_xlfn.XLOOKUP(B225,'Base stats'!B:B,'Base stats'!E:E),Groups!A:A,Groups!AY:AY),"True","False")</f>
        <v>False</v>
      </c>
      <c r="CG225" s="25" t="str">
        <f>IF(_xlfn.XLOOKUP(_xlfn.XLOOKUP(B225,'Base stats'!B:B,'Base stats'!E:E),Groups!A:A,Groups!AW:AW),"True","False")</f>
        <v>False</v>
      </c>
      <c r="CH225" s="25" t="str">
        <f>IF(
OR(
_xlfn.XLOOKUP(_xlfn.XLOOKUP(B225,'Base stats'!B:B,'Base stats'!E:E),Groups!A:A,Groups!AZ:AZ)=0,
AND(
_xlfn.XLOOKUP(B225,'Base stats'!B:B,'Base stats'!Y:Y)&lt;&gt;"Carnivore",
_xlfn.XLOOKUP(B225,'Base stats'!B:B,'Base stats'!Y:Y)&lt;&gt;"Omnivore",
_xlfn.XLOOKUP(B225,'Base stats'!B:B,'Base stats'!Y:Y)&lt;&gt;"OmnivoreRough"
)
),
"No",
IF(
_xlfn.XLOOKUP(_xlfn.XLOOKUP(B225,'Base stats'!B:B,'Base stats'!E:E),Groups!A:A,Groups!AZ:AZ)=1,
"Flesh",
IF(
_xlfn.XLOOKUP(_xlfn.XLOOKUP(B225,'Base stats'!B:B,'Base stats'!E:E),Groups!A:A,Groups!AZ:AZ)=2,
"Bone",
""
)
)
)</f>
        <v>No</v>
      </c>
      <c r="CI225" s="25" t="str">
        <f>IF(_xlfn.XLOOKUP(_xlfn.XLOOKUP(B225,'Base stats'!B:B,'Base stats'!E:E),Groups!A:A,Groups!BB:BB),"True","False")</f>
        <v>False</v>
      </c>
      <c r="CJ225" s="25" t="str">
        <f>IF(_xlfn.XLOOKUP(_xlfn.XLOOKUP(B225,'Base stats'!B:B,'Base stats'!E:E),Groups!A:A,Groups!BA:BA),"True","False")</f>
        <v>False</v>
      </c>
    </row>
    <row r="226" spans="1:88" ht="16.5" thickTop="1" thickBot="1" x14ac:dyDescent="0.3">
      <c r="A226" s="26" t="s">
        <v>1360</v>
      </c>
      <c r="B226" s="6" t="str">
        <f>_xlfn.XLOOKUP(A226,'Base stats'!A:A,'Base stats'!B:B)</f>
        <v>Sylphalis borealis</v>
      </c>
      <c r="C226" s="28" t="s">
        <v>1361</v>
      </c>
      <c r="D226" s="28" t="s">
        <v>1341</v>
      </c>
      <c r="E226" s="28" t="s">
        <v>673</v>
      </c>
      <c r="F226" s="28" t="s">
        <v>673</v>
      </c>
      <c r="G226" s="28" t="s">
        <v>673</v>
      </c>
      <c r="H226" s="2">
        <f>MROUND((
  (IF(AND(_xlfn.XLOOKUP(B226,'Base stats'!B:B,'Base stats'!AL:AL)=0,BI226="None",_xlfn.XLOOKUP(_xlfn.XLOOKUP(B226,'Base stats'!B:B,'Base stats'!E:E),Groups!A:A,Groups!B:B)=0), (18 + BR226 * 2.7) * 0.5,
    IF(AND(_xlfn.XLOOKUP(B226,'Base stats'!B:B,'Base stats'!AL:AL)=0,OR(AO226&lt;0.55,AND(BI226="Intermediate",_xlfn.XLOOKUP(_xlfn.XLOOKUP(B226,'Base stats'!B:B,'Base stats'!E:E),Groups!A:A,Groups!B:B)&lt;2))), (18 + BR226 * 2.7),
      IF(OR(BI226="Advanced",_xlfn.XLOOKUP(B226,'Base stats'!B:B,'Base stats'!AL:AL)=1,_xlfn.XLOOKUP(_xlfn.XLOOKUP(B226,'Base stats'!B:B,'Base stats'!E:E),Groups!A:A,Groups!B:B)=2), (18 + BR226 * 2.7) + 250, (18 + BR226 * 2.7))
    )
  ))
  + AO226 * 80
  + IF(COUNTIF(EggMilk!K$2:K$998, A226) &gt; 0, 125, 0)
  + IF(COUNTIF(EggMilk!P$2:P$998, A226) &gt; 0, 90, 0)
  + IF(COUNTIF(EggMilk!A$2:A$998, A226) &gt; 0, 90, 0)
)
* (0.8 + 0.4 * J226)
* 0.75,25)</f>
        <v>225</v>
      </c>
      <c r="I226" s="2">
        <f>MROUND(ROUNDDOWN(_xlfn.XLOOKUP(B226,'Base stats'!B:B,'Base stats'!L:L)/3.6/(23.3/11),1),0.5)</f>
        <v>3.5</v>
      </c>
      <c r="J226" s="2">
        <f>IF(OR(_xlfn.XLOOKUP(B226,'Base stats'!B:B,'Base stats'!AB:AB)=1,_xlfn.XLOOKUP(_xlfn.XLOOKUP(B226,'Base stats'!B:B,'Base stats'!E:E),Groups!A:A,Groups!C:C)="Untamable"),1,IF(_xlfn.XLOOKUP(B226,'Base stats'!B:B,'Base stats'!AL:AL)=1,0.99,MIN(MROUND((1-0.6282*EXP(-0.459*AO226))*_xlfn.XLOOKUP(_xlfn.XLOOKUP(B226,'Base stats'!B:B,'Base stats'!E:E),Groups!A:A,Groups!C:C)*IF(_xlfn.XLOOKUP(B226,'Base stats'!B:B,'Base stats'!O:O)=1,0.5,IF(_xlfn.XLOOKUP(B226,'Base stats'!B:B,'Base stats'!O:O)=2,0,1)),0.05),IF(AO226&gt;3.5,0.985,0.95))))</f>
        <v>0.60000000000000009</v>
      </c>
      <c r="K226" s="2">
        <f>ROUNDUP(AO226*_xlfn.XLOOKUP(_xlfn.XLOOKUP(B226,'Base stats'!B:B,'Base stats'!E:E),Groups!A:A,Groups!E:E),0)</f>
        <v>1</v>
      </c>
      <c r="L226" s="2">
        <f>IF(OR(_xlfn.XLOOKUP(_xlfn.XLOOKUP(B226,'Base stats'!B:B,'Base stats'!E:E),Groups!A:A,Groups!F:F)=2,ISNUMBER(SEARCH("SeaIce",BX226)),ISNUMBER(SEARCH("IceSheet",BX226))),-50,IF(OR(ISNUMBER(SEARCH("GlacialPlain",BX226)),ISNUMBER(SEARCH("Tundra",BX226))),-40,IF(OR(ISNUMBER(SEARCH("Alpine",BX226)),ISNUMBER(SEARCH("BorealForest",BX226)),ISNUMBER(SEARCH("ColdBog",BX226))),-30,IF(OR(ISNUMBER(SEARCH("TemperateForest",BX226)),ISNUMBER(SEARCH("TemperateSwamp",BX226))),-20,IF(_xlfn.XLOOKUP(_xlfn.XLOOKUP(B226,'Base stats'!B:B,'Base stats'!E:E),Groups!A:A,Groups!F:F)=1,-15,IF(OR(ISNUMBER(SEARCH("Desert",BX226)),ISNUMBER(SEARCH("ExtremeDesert",BX226))),-10,IF(OR(ISNUMBER(SEARCH("Grasslands",BX226)),ISNUMBER(SEARCH("TropicalRainforest",BX226)),ISNUMBER(SEARCH("TropicalSwamp",BX226))),10,0)))))))-IF(CC226="False",MIN(IFERROR(MAX(MROUND(LOG10(_xlfn.XLOOKUP(B226,'Base stats'!B:B,'Base stats'!C:C)^(2/3))*10,5),5),5),30))-_xlfn.XLOOKUP(B226,'Base stats'!B:B,'Base stats'!P:P)+IF(CC226="True",5,0)</f>
        <v>-95</v>
      </c>
      <c r="M226" s="2">
        <f>IF(OR(_xlfn.XLOOKUP(_xlfn.XLOOKUP(B226,'Base stats'!B:B,'Base stats'!E:E),Groups!A:A,Groups!G:G)=2,ISNUMBER(SEARCH("Desert",BX226)),ISNUMBER(SEARCH("ExtremeDesert",BX226)),ISNUMBER(SEARCH("LavaField",BX226))),50,IF(ISNUMBER(SEARCH("Grasslands",BX226)),45,IF(OR(_xlfn.XLOOKUP(_xlfn.XLOOKUP(B226,'Base stats'!B:B,'Base stats'!E:E),Groups!A:A,Groups!G:G)=1,ISNUMBER(SEARCH("TropicalRainforest",BX226)),ISNUMBER(SEARCH("TropicalSwamp",BX226))),40,IF(OR(ISNUMBER(SEARCH("TemperateForest",BX226)),ISNUMBER(SEARCH("TemperateSwamp",BX226))),35,IF(OR(ISNUMBER(SEARCH("Alpine",BX226)),ISNUMBER(SEARCH("BorealForest",BX226)),ISNUMBER(SEARCH("ColdBog",BX226))),30,IF(ISNUMBER(OR(ISNUMBER(SEARCH("GlacialPlain",BX226)),SEARCH("Tundra",BX226))),25,IF(OR(ISNUMBER(SEARCH("SeaIce",BX226)),ISNUMBER(SEARCH("IceSheet",BX226)),ISNUMBER(SEARCH("TropicalSwamp",BX226))),10,35)))))))+_xlfn.XLOOKUP(B226,'Base stats'!B:B,'Base stats'!Q:Q)</f>
        <v>535</v>
      </c>
      <c r="N226" s="8">
        <f>IF(
_xlfn.XLOOKUP(
_xlfn.XLOOKUP(B226,'Base stats'!B:B,'Base stats'!E:E),
Groups!A:A,
Groups!L:L
)=1,
MIN(
MROUND(
IF(
_xlfn.XLOOKUP(B226,'Animals CE'!B:B,'Animals CE'!Z:Z)&lt;=1.5,
_xlfn.XLOOKUP(B226,'Animals CE'!B:B,'Animals CE'!Z:Z)/2+0.05,
0.8+
(_xlfn.XLOOKUP(B226,'Animals CE'!B:B,'Animals CE'!Z:Z)-1.5)
*0.02
),
0.05
),
200%
),
"No"
)</f>
        <v>0.55000000000000004</v>
      </c>
      <c r="O226" s="8">
        <f>IF(
_xlfn.XLOOKUP(
_xlfn.XLOOKUP(B226,'Base stats'!B:B,'Base stats'!E:E),
Groups!A:A,
Groups!L:L
)=1,
MIN(
MROUND(
IF(
_xlfn.XLOOKUP(B226,'Animals CE'!B:B,'Animals CE'!AA:AA)&lt;=1.5,
_xlfn.XLOOKUP(B226,'Animals CE'!B:B,'Animals CE'!AA:AA)/2+0.05,
0.8+
(_xlfn.XLOOKUP(B226,'Animals CE'!B:B,'Animals CE'!AA:AA)-1.5)
*0.02
),
0.05
),
200%
),
"No"
)</f>
        <v>0.1</v>
      </c>
      <c r="P226" s="2" t="str">
        <f>_xlfn.XLOOKUP(B226,'Base stats'!B:B,'Base stats'!R:R)</f>
        <v>Standard</v>
      </c>
      <c r="Q226" s="13">
        <f>MROUND((LOG10(_xlfn.XLOOKUP(B226,'Base stats'!B:B,'Base stats'!AR:AR))*(AO226^0.5)+(_xlfn.XLOOKUP(B226,'Base stats'!B:B,'Base stats'!AR:AR)/1000)^(2/3)+_xlfn.XLOOKUP(B226,'Base stats'!B:B,'Base stats'!BA:BA)/2)+0.5,0.5)</f>
        <v>7</v>
      </c>
      <c r="R226" s="7">
        <f>IF(Q226="No","No",MAX(1,MROUND(_xlfn.XLOOKUP(B226,'Base stats'!B:B,'Base stats'!C:C)^0.165,0.05)))</f>
        <v>2</v>
      </c>
      <c r="S226" s="13" t="str">
        <f>IF(_xlfn.XLOOKUP(_xlfn.XLOOKUP(B226,'Base stats'!B:B,'Base stats'!E:E),Groups!A:A,Groups!P:P)=0,"No",MROUND((LOG10(_xlfn.XLOOKUP(B226,'Base stats'!B:B,'Base stats'!AS:AS))*(AO226^0.5)+(_xlfn.XLOOKUP(B226,'Base stats'!B:B,'Base stats'!AS:AS)/1000)^(2/3)+_xlfn.XLOOKUP(B226,'Base stats'!B:B,'Base stats'!BA:BA))+_xlfn.XLOOKUP(B226,'Base stats'!B:B,'Base stats'!AY:AY)+0.5,0.5))</f>
        <v>No</v>
      </c>
      <c r="T226" s="7" t="str">
        <f>IF(S226="No","No",MAX(_xlfn.XLOOKUP(_xlfn.XLOOKUP(B226,'Base stats'!B:B,'Base stats'!E:E),Groups!A:A,Groups!Q:Q),MROUND(_xlfn.XLOOKUP(_xlfn.XLOOKUP(B226,'Base stats'!B:B,'Base stats'!E:E),Groups!A:A,Groups!Q:Q)*_xlfn.XLOOKUP(B226,'Base stats'!B:B,'Base stats'!C:C)^0.165,0.05)))</f>
        <v>No</v>
      </c>
      <c r="U226" s="7" t="str">
        <f>IF(S226="No","No",_xlfn.XLOOKUP(_xlfn.XLOOKUP(B226,'Base stats'!B:B,'Base stats'!E:E),Groups!A:A,Groups!R:R))</f>
        <v>No</v>
      </c>
      <c r="V226" s="7" t="str">
        <f>IF(S226="No","No",_xlfn.XLOOKUP(_xlfn.XLOOKUP(B226,'Base stats'!B:B,'Base stats'!E:E),Groups!A:A,Groups!S:S))</f>
        <v>No</v>
      </c>
      <c r="W226" s="7" t="str">
        <f>IF(S226="No","No",_xlfn.XLOOKUP(_xlfn.XLOOKUP(B226,'Base stats'!B:B,'Base stats'!E:E),Groups!A:A,Groups!T:T))</f>
        <v>No</v>
      </c>
      <c r="X226" s="13" t="str">
        <f>IF(_xlfn.XLOOKUP(B226,'Base stats'!B:B,'Base stats'!W:W)="No","No",MROUND((LOG10(_xlfn.XLOOKUP(B226,'Base stats'!B:B,'Base stats'!AU:AU))*(AO226^0.5)+(_xlfn.XLOOKUP(B226,'Base stats'!B:B,'Base stats'!AU:AU)/1000)^(2/3)+_xlfn.XLOOKUP(B226,'Base stats'!B:B,'Base stats'!AZ:AZ))+0.5+IF(_xlfn.XLOOKUP(_xlfn.XLOOKUP(B226,'Base stats'!B:B,'Base stats'!E:E),Groups!A:A,Groups!U:U)&lt;&gt;3,_xlfn.XLOOKUP(B226,'Base stats'!B:B,'Base stats'!BA:BA),0),0.5))</f>
        <v>No</v>
      </c>
      <c r="Y226" s="7" t="str">
        <f>IF(X226="No","No",MAX(_xlfn.XLOOKUP(_xlfn.XLOOKUP(B226,'Base stats'!B:B,'Base stats'!E:E),Groups!A:A,Groups!V:V),MROUND(_xlfn.XLOOKUP(_xlfn.XLOOKUP(B226,'Base stats'!B:B,'Base stats'!E:E),Groups!A:A,Groups!V:V)*_xlfn.XLOOKUP(B226,'Base stats'!B:B,'Base stats'!C:C)^0.165,0.05)))</f>
        <v>No</v>
      </c>
      <c r="Z226" s="7" t="str">
        <f>IF(X226="No","No",_xlfn.XLOOKUP(_xlfn.XLOOKUP(B226,'Base stats'!B:B,'Base stats'!E:E),Groups!A:A,Groups!W:W))</f>
        <v>No</v>
      </c>
      <c r="AA226" s="7" t="str">
        <f>IF(X226="No","No",_xlfn.XLOOKUP(_xlfn.XLOOKUP(B226,'Base stats'!B:B,'Base stats'!E:E),Groups!A:A,Groups!X:X))</f>
        <v>No</v>
      </c>
      <c r="AB226" s="7" t="str">
        <f>IF(X226="No","No",_xlfn.XLOOKUP(_xlfn.XLOOKUP(B226,'Base stats'!B:B,'Base stats'!E:E),Groups!A:A,Groups!Y:Y))</f>
        <v>No</v>
      </c>
      <c r="AC226" s="7" t="str">
        <f>_xlfn.XLOOKUP(Animals!B226,'Base stats'!B:B,'Base stats'!X:X)</f>
        <v>False</v>
      </c>
      <c r="AD226" s="13" t="str">
        <f>IF(_xlfn.XLOOKUP(B226,'Base stats'!B:B,'Base stats'!AT:AT)="No","No",MROUND((LOG10(_xlfn.XLOOKUP(B226,'Base stats'!B:B,'Base stats'!AT:AT))*(AO226^0.75)+(_xlfn.XLOOKUP(B226,'Base stats'!B:B,'Base stats'!AT:AT)/1000)^(2/3)+_xlfn.XLOOKUP(B226,'Base stats'!B:B,'Base stats'!AX:AX)+_xlfn.XLOOKUP(B226,'Base stats'!B:B,'Base stats'!BA:BA))+0.5,0.5))</f>
        <v>No</v>
      </c>
      <c r="AE226" s="7" t="str">
        <f>IF(AD226="No","No",MAX(_xlfn.XLOOKUP(_xlfn.XLOOKUP(B226,'Base stats'!B:B,'Base stats'!E:E),Groups!A:A,Groups!Z:Z),MROUND(_xlfn.XLOOKUP(_xlfn.XLOOKUP(B226,'Base stats'!B:B,'Base stats'!E:E),Groups!A:A,Groups!Z:Z)*_xlfn.XLOOKUP(B226,'Base stats'!B:B,'Base stats'!C:C)^0.165,0.05)))</f>
        <v>No</v>
      </c>
      <c r="AF226" s="7" t="str">
        <f>IF(AD226="No","No",_xlfn.XLOOKUP(_xlfn.XLOOKUP(B226,'Base stats'!B:B,'Base stats'!E:E),Groups!A:A,Groups!AA:AA))</f>
        <v>No</v>
      </c>
      <c r="AG226" s="7" t="str">
        <f>IF(AD226="No","No",_xlfn.XLOOKUP(_xlfn.XLOOKUP(B226,'Base stats'!B:B,'Base stats'!E:E),Groups!A:A,Groups!AB:AB))</f>
        <v>No</v>
      </c>
      <c r="AH226" s="7" t="str">
        <f>IF(AD226="No","No",_xlfn.XLOOKUP(_xlfn.XLOOKUP(B226,'Base stats'!B:B,'Base stats'!E:E),Groups!A:A,Groups!AC:AC))</f>
        <v>No</v>
      </c>
      <c r="AI226" s="13" t="str">
        <f>IF(_xlfn.XLOOKUP(_xlfn.XLOOKUP(B226,'Base stats'!B:B,'Base stats'!E:E),Groups!A:A,Groups!AD:AD)=0,"No",MROUND((LOG10(_xlfn.XLOOKUP(B226,'Base stats'!B:B,'Base stats'!AS:AS))*(AO226^0.75)+(_xlfn.XLOOKUP(B226,'Base stats'!B:B,'Base stats'!AS:AS)/1000)^(2/3)+_xlfn.XLOOKUP(B226,'Base stats'!B:B,'Base stats'!AY:AY)+_xlfn.XLOOKUP(B226,'Base stats'!B:B,'Base stats'!BA:BA))+0.5,0.5))</f>
        <v>No</v>
      </c>
      <c r="AJ226" s="7" t="str">
        <f>IF(AI226="No","No",MAX(_xlfn.XLOOKUP(_xlfn.XLOOKUP(B226,'Base stats'!B:B,'Base stats'!E:E),Groups!A:A,Groups!AE:AE),MROUND(_xlfn.XLOOKUP(_xlfn.XLOOKUP(B226,'Base stats'!B:B,'Base stats'!E:E),Groups!A:A,Groups!AE:AE)*IF(_xlfn.XLOOKUP(_xlfn.XLOOKUP(B226,'Base stats'!B:B,'Base stats'!E:E),Groups!A:A,Groups!AJ:AJ)="Photonozoa",0.6,1)*_xlfn.XLOOKUP(B226,'Base stats'!B:B,'Base stats'!C:C)^0.165,0.05)))</f>
        <v>No</v>
      </c>
      <c r="AK226" s="7" t="str">
        <f>IF(AI226="No","No",_xlfn.XLOOKUP(_xlfn.XLOOKUP(B226,'Base stats'!B:B,'Base stats'!E:E),Groups!A:A,Groups!AF:AF))</f>
        <v>No</v>
      </c>
      <c r="AL226" s="7" t="str">
        <f>IF(AI226="No","No",_xlfn.XLOOKUP(_xlfn.XLOOKUP(B226,'Base stats'!B:B,'Base stats'!E:E),Groups!A:A,Groups!AG:AG))</f>
        <v>No</v>
      </c>
      <c r="AM226" s="7" t="str">
        <f>IF(AI226="No","No",_xlfn.XLOOKUP(_xlfn.XLOOKUP(B226,'Base stats'!B:B,'Base stats'!E:E),Groups!A:A,Groups!AH:AH))</f>
        <v>No</v>
      </c>
      <c r="AN226" s="2" t="str">
        <f t="shared" si="21"/>
        <v>No</v>
      </c>
      <c r="AO226" s="2">
        <f>MROUND(IF(AND(_xlfn.XLOOKUP(B226,'Base stats'!B:B,'Base stats'!C:C)&gt;=0.5,_xlfn.XLOOKUP(B226,'Base stats'!B:B,'Base stats'!C:C)&lt;=0.8),
IF(_xlfn.XLOOKUP(B226,'Base stats'!B:B,'Base stats'!C:C)&lt;0.1,0.05,IF(_xlfn.XLOOKUP(B226,'Base stats'!B:B,'Base stats'!C:C)&lt;=70,(_xlfn.XLOOKUP(B226,'Base stats'!B:B,'Base stats'!C:C)/70)^0.426489913056526,IF(_xlfn.XLOOKUP(B226,'Base stats'!B:B,'Base stats'!C:C)&lt;=400,(_xlfn.XLOOKUP(B226,'Base stats'!B:B,'Base stats'!C:C)/70)^0.572811455315093,IF(_xlfn.XLOOKUP(B226,'Base stats'!B:B,'Base stats'!C:C)&lt;=2000,2.71391647193063*(_xlfn.XLOOKUP(B226,'Base stats'!B:B,'Base stats'!C:C)/400)^0.252459582904293,3.74314280240376*(_xlfn.XLOOKUP(B226,'Base stats'!B:B,'Base stats'!C:C)/2000)^0.357012633876913)))),
IF(_xlfn.XLOOKUP(B226,'Base stats'!B:B,'Base stats'!C:C)&lt;0.1,0.05,IF(_xlfn.XLOOKUP(B226,'Base stats'!B:B,'Base stats'!C:C)&lt;0.4,0.1,IF(_xlfn.XLOOKUP(B226,'Base stats'!B:B,'Base stats'!C:C)&lt;=70,(_xlfn.XLOOKUP(B226,'Base stats'!B:B,'Base stats'!C:C)/70)^0.445823913056526,IF(_xlfn.XLOOKUP(B226,'Base stats'!B:B,'Base stats'!C:C)&lt;=400,(_xlfn.XLOOKUP(B226,'Base stats'!B:B,'Base stats'!C:C)/70)^0.572811455315093,IF(_xlfn.XLOOKUP(B226,'Base stats'!B:B,'Base stats'!C:C)&lt;=2000,2.71391647193063*(_xlfn.XLOOKUP(B226,'Base stats'!B:B,'Base stats'!C:C)/400)^0.252459582904293,3.74314280240376*(_xlfn.XLOOKUP(B226,'Base stats'!B:B,'Base stats'!C:C)/2000)^0.357012633876913)))))),
IF(_xlfn.XLOOKUP(B226,'Base stats'!B:B,'Base stats'!C:C)&lt;0.1,0.05,IF(_xlfn.XLOOKUP(B226,'Base stats'!B:B,'Base stats'!C:C)&lt;=100,0.05,IF(_xlfn.XLOOKUP(B226,'Base stats'!B:B,'Base stats'!C:C)&lt;=250,0.1,IF(_xlfn.XLOOKUP(B226,'Base stats'!B:B,'Base stats'!C:C)&lt;=4000,0.25,0.5)))))</f>
        <v>1</v>
      </c>
      <c r="AP226" s="8">
        <f>MROUND(AO226*_xlfn.XLOOKUP(_xlfn.XLOOKUP(B226,'Base stats'!B:B,'Base stats'!E:E),Groups!A:A,Groups!AI:AI)*_xlfn.XLOOKUP(B226,'Base stats'!B:B,'Base stats'!Z:Z),0.05)</f>
        <v>1</v>
      </c>
      <c r="AQ226" s="8">
        <f>MAX(0.01,MROUND(IF(CC226="True",0.196*(AO226*100*1000)^0.889,IF(_xlfn.XLOOKUP(_xlfn.XLOOKUP(B226,'Base stats'!B:B,'Base stats'!E:E),Groups!A:A,Groups!AJ:AJ)="Bird",10.5*(AO226*100*1000)^0.681,4.82*(AO226*100*1000)^0.734))/(4.82*(1*100*1000)^0.734)/IF(AO226&lt;3.5,2,IF(AO226=3.5,1.5,1.25))*(1+0.132282374779864/(AO226^0.994035016789033+0.00905238001496948)),0.05))</f>
        <v>0.15000000000000002</v>
      </c>
      <c r="AR226" s="9">
        <f>IFERROR(MROUND(_xlfn.XLOOKUP(B226,'Base stats'!B:B,'Base stats'!H:H)/IF(_xlfn.XLOOKUP(B226,'Base stats'!B:B,'Base stats'!I:I)&lt;&gt;1,(122.5/70),1.2),IF(_xlfn.XLOOKUP(B226,'Base stats'!B:B,'Base stats'!H:H)&gt;=30,5,IF(_xlfn.XLOOKUP(B226,'Base stats'!B:B,'Base stats'!H:H)&gt;=15,3,IF(_xlfn.XLOOKUP(B226,'Base stats'!B:B,'Base stats'!H:H)&gt;=10,2,1)))),"Immortal")</f>
        <v>7</v>
      </c>
      <c r="AS226" s="35" t="str">
        <f>IFERROR(IF(OR(_xlfn.XLOOKUP(B226,'Base stats'!B:B,'Base stats'!F:F)="Atypical reproduction",_xlfn.XLOOKUP(B226,'Base stats'!B:B,'Base stats'!F:F)="Lay eggs"),"Lay eggs",MIN(20,MAX(5.5,ROUND(((_xlfn.XLOOKUP(B226,'Base stats'!B:B,'Base stats'!F:F)-25)*(14.5/615) + 5.5)*2,0)/2))),"Unknown")</f>
        <v>Lay eggs</v>
      </c>
      <c r="AT226" s="8" t="str">
        <f>IF(_xlfn.XLOOKUP(B226,'Base stats'!B:B,'Base stats'!G:G)="Atypical reproduction","No",IFERROR(MAX(IF(_xlfn.XLOOKUP(B226,'Base stats'!B:B,'Base stats'!G:G)&lt;0.5,0.2,0.3),MROUND(_xlfn.XLOOKUP(B226,'Base stats'!B:B,'Base stats'!G:G)/(365/60),0.2)),"Unknown"))</f>
        <v>No</v>
      </c>
      <c r="AU226" s="8" t="str">
        <f t="shared" si="22"/>
        <v>No</v>
      </c>
      <c r="AV226" s="8" t="str">
        <f>IFERROR(IFERROR(MROUND(_xlfn.XLOOKUP(B226,'Base stats'!B:B,'Base stats'!J:J),0.1),"Lay eggs"),"Cannot breed")</f>
        <v>Lay eggs</v>
      </c>
      <c r="AW226" s="2" t="str">
        <f t="shared" si="23"/>
        <v>false</v>
      </c>
      <c r="AX226" s="2" t="str">
        <f>IF(_xlfn.XLOOKUP(_xlfn.XLOOKUP(Animals!B226,'Base stats'!B:B,'Base stats'!E:E),Groups!A:A,Groups!AK:AK)=1,"true","false")</f>
        <v>false</v>
      </c>
      <c r="AY226" s="25" t="str">
        <f>IF(_xlfn.XLOOKUP(B226,'Base stats'!B:B,'Base stats'!Y:Y)="Liquor","Liquor, CarnivoreAnimalStrict",IF(AND(_xlfn.XLOOKUP(B226,'Base stats'!B:B,'Base stats'!Y:Y)="Carnivore",_xlfn.XLOOKUP(_xlfn.XLOOKUP(B226,'Base stats'!B:B,'Base stats'!E:E),Groups!A:A,Groups!AJ:AJ)="Photonozoa"),"CarnivoreAnimalStrict, OvivoreAnimal",IF(_xlfn.XLOOKUP(B226,'Base stats'!B:B,'Base stats'!Y:Y)="Carnivore","CarnivoreAnimal, OvivoreAnimal",IF(_xlfn.XLOOKUP(B226,'Base stats'!B:B,'Base stats'!Y:Y)="Dendrovore","VegetarianRoughAnimal, DendrovoreAnimal",IF(_xlfn.XLOOKUP(B226,'Base stats'!B:B,'Base stats'!Y:Y)="Herbivore","VegetarianRoughAnimal",IF(_xlfn.XLOOKUP(B226,'Base stats'!B:B,'Base stats'!Y:Y)="OmnivoreRough","OmnivoreRoughAnimal, OvivoreAnimal","OmnivoreAnimal, OvivoreAnimal"))))))</f>
        <v>VegetarianRoughAnimal</v>
      </c>
      <c r="AZ226" s="2">
        <f>IF(_xlfn.XLOOKUP(_xlfn.XLOOKUP(B226,'Base stats'!B:B,'Base stats'!E:E),Groups!A:A,Groups!D:D)=1,MROUND((1-J226)*5+1,2)*IF(J226&lt;=0.4,2,1),"No")</f>
        <v>4</v>
      </c>
      <c r="BA226" s="2" t="str">
        <f>IF(AND(_xlfn.XLOOKUP(B226,'Base stats'!B:B,'Base stats'!AH:AH)="&lt;li&gt;Seal&lt;/li&gt;",G226="Odyssey"),"&lt;li&gt;AEXP_Seal&lt;/li&gt;",_xlfn.XLOOKUP(B226,'Base stats'!B:B,'Base stats'!AH:AH))</f>
        <v>&lt;li&gt;Megaspider&lt;/li&gt;</v>
      </c>
      <c r="BB226" s="2" t="str">
        <f>_xlfn.XLOOKUP(B226,'Base stats'!B:B,'Base stats'!AG:AG)</f>
        <v>Leather_Chitin</v>
      </c>
      <c r="BC226" s="23" t="str">
        <f>_xlfn.XLOOKUP(_xlfn.XLOOKUP(B226,'Base stats'!B:B,'Base stats'!E:E),Groups!A:A,Groups!AL:AL)</f>
        <v>BeetleLike</v>
      </c>
      <c r="BD226" s="23">
        <f>MIN(1,MROUND(IF(AND(AO226&lt;0.5,_xlfn.XLOOKUP(B226,'Base stats'!B:B,'Base stats'!AA:AA)=0),0,IF(OR(_xlfn.XLOOKUP(Animals!B226,'Base stats'!B:B,'Base stats'!O:O)=2,_xlfn.XLOOKUP(_xlfn.XLOOKUP(B226,'Base stats'!B:B,'Base stats'!E:E),Groups!A:A,Groups!AN:AN)=0),0,_xlfn.XLOOKUP(_xlfn.XLOOKUP(B226,'Base stats'!B:B,'Base stats'!E:E),Groups!A:A,Groups!AN:AN)/IF(_xlfn.XLOOKUP(Animals!B226,'Base stats'!B:B,'Base stats'!O:O)=1,2,1)))+_xlfn.XLOOKUP(B226,'Base stats'!B:B,'Base stats'!AC:AC),0.005))</f>
        <v>0</v>
      </c>
      <c r="BE226" s="23">
        <f>MIN(1,MROUND(IF(AND(AO226&lt;0.5,_xlfn.XLOOKUP(B226,'Base stats'!B:B,'Base stats'!AA:AA)=0),0,IF(_xlfn.XLOOKUP(_xlfn.XLOOKUP(B226,'Base stats'!B:B,'Base stats'!E:E),Groups!A:A,Groups!AO:AO)=0,0,_xlfn.XLOOKUP(_xlfn.XLOOKUP(B226,'Base stats'!B:B,'Base stats'!E:E),Groups!A:A,Groups!AO:AO)/IF(_xlfn.XLOOKUP(Animals!B226,'Base stats'!B:B,'Base stats'!O:O)=2,3,1)))+_xlfn.XLOOKUP(B226,'Base stats'!B:B,'Base stats'!AD:AD),0.005))</f>
        <v>0</v>
      </c>
      <c r="BF226" s="2" t="str">
        <f>IF(J226&gt;0.3,"No",_xlfn.XLOOKUP(_xlfn.XLOOKUP(Animals!B226,'Base stats'!B:B,'Base stats'!E:E),Groups!A:A,Groups!AP:AP))</f>
        <v>No</v>
      </c>
      <c r="BG226" s="2" t="str">
        <f>IF(AND(J226&lt;=0.65,_xlfn.XLOOKUP(_xlfn.XLOOKUP(Animals!B226,'Base stats'!B:B,'Base stats'!E:E),Groups!A:A,Groups!AP:AP)&lt;&gt;"No",_xlfn.XLOOKUP(_xlfn.XLOOKUP(B226,'Base stats'!B:B,'Base stats'!E:E),Groups!A:A,Groups!D:D)=0),MROUND((80/3)*IF(_xlfn.XLOOKUP(B226,'Base stats'!B:B,'Base stats'!O:O)=2,0.2,AO226) + 24*(1-IF(BF226="No",0,BF226)) + 16/3, 12),"No")</f>
        <v>No</v>
      </c>
      <c r="BH226" s="2">
        <f>IF(AND(_xlfn.XLOOKUP(_xlfn.XLOOKUP(B226,'Base stats'!B:B,'Base stats'!E:E),Groups!A:A,Groups!AQ:AQ)=1,AO226&lt;=0.35),8,12)</f>
        <v>12</v>
      </c>
      <c r="BI226" s="2" t="str">
        <f>IF(_xlfn.XLOOKUP(_xlfn.XLOOKUP(B226,'Base stats'!B:B,'Base stats'!E:E),Groups!A:A,Groups!D:D)=0,_xlfn.XLOOKUP(_xlfn.XLOOKUP(B226,'Base stats'!B:B,'Base stats'!E:E),Groups!A:A,Groups!AR:AR),"None")</f>
        <v>None</v>
      </c>
      <c r="BJ226" s="2" t="str">
        <f>IF(AND(_xlfn.XLOOKUP(_xlfn.XLOOKUP(B226,'Base stats'!B:B,'Base stats'!E:E),Groups!A:A,Groups!AS:AS)=1,OR(_xlfn.XLOOKUP(B226,'Base stats'!B:B,'Base stats'!Y:Y)="Carnivore",_xlfn.XLOOKUP(B226,'Base stats'!B:B,'Base stats'!Y:Y)="Omnivore")),"true","false")</f>
        <v>false</v>
      </c>
      <c r="BK226" s="2" t="str">
        <f>IF(BJ226="true",MROUND(IF(AND(AO226&gt;0.5,OR(_xlfn.XLOOKUP(_xlfn.XLOOKUP(B226,'Base stats'!B:B,'Base stats'!E:E),Groups!A:A,Groups!AJ:AJ)="Photonozoa",_xlfn.XLOOKUP(_xlfn.XLOOKUP(B226,'Base stats'!B:B,'Base stats'!E:E),Groups!A:A,Groups!AJ:AJ)="Mammal")),Animals!AO226*1.75*IF(AW226="true",1.5,1),IF(AO226&lt;0.5,Animals!AO226*0.5,Animals!AO226)),IF(AO226&gt;2,0.5,IF(AO226&gt;0.5,0.25,0.1))),"No")</f>
        <v>No</v>
      </c>
      <c r="BL226" s="2">
        <f t="shared" si="24"/>
        <v>0</v>
      </c>
      <c r="BM226" s="25" t="str">
        <f>IF(_xlfn.XLOOKUP(B226,'Base stats'!B:B,'Base stats'!AN:AN)="Standard","No",MROUND((_xlfn.XLOOKUP(B226,'Base stats'!B:B,'Base stats'!AN:AN)/3.6)/I226,0.1))</f>
        <v>No</v>
      </c>
      <c r="BN226" s="25" t="str">
        <f t="shared" si="25"/>
        <v>false</v>
      </c>
      <c r="BO226" s="25" t="str">
        <f>IF(AND(OR(_xlfn.XLOOKUP(B226,'Base stats'!B:B,'Base stats'!Y:Y)="Carnivore",_xlfn.XLOOKUP(B226,'Base stats'!B:B,'Base stats'!Y:Y)="Omnivore",_xlfn.XLOOKUP(B226,'Base stats'!B:B,'Base stats'!Y:Y)="OmnivoreRough"),_xlfn.XLOOKUP(_xlfn.XLOOKUP(B226,'Base stats'!B:B,'Base stats'!E:E),Groups!A:A,Groups!AT:AT)=1),"true","false")</f>
        <v>false</v>
      </c>
      <c r="BP226" s="25" t="str" cm="1">
        <f t="array" ref="BP226">IF(
  _xlfn.TEXTJOIN(", ",TRUE,
    IF(AND(BJ226="true",AO226&gt;0.5,BI226&lt;&gt;"None"),"AttackTarget",""),
    IF(AND(_xlfn.XLOOKUP(_xlfn.XLOOKUP(B226,'Base stats'!B:B,'Base stats'!E:E),Groups!A:A,Groups!AJ:AJ="Mammal"),OR(_xlfn.XLOOKUP(B226,'Base stats'!B:B,'Base stats'!Y:Y)="Omnivore",_xlfn.XLOOKUP(B226,'Base stats'!B:B,'Base stats'!Y:Y)="OmnivoreRough")),"Forage",""),
    IF(BG226&lt;=36,"Comfort",""),
    IF(_xlfn.XLOOKUP(B226,'Base stats'!B:B,'Base stats'!AE:AE)&lt;&gt;"No",_xlfn.XLOOKUP(B226,'Base stats'!B:B,'Base stats'!AE:AE),"")
  ) = "",
  "No",
  _xlfn.TEXTJOIN(", ",TRUE,
    IF(AND(BJ226="true",AO226&gt;0.5,BI226&lt;&gt;"None"),"AttackTarget",""),
    IF(AND(_xlfn.XLOOKUP(_xlfn.XLOOKUP(B226,'Base stats'!B:B,'Base stats'!E:E),Groups!A:A,Groups!AJ:AJ="Mammal"),OR(_xlfn.XLOOKUP(B226,'Base stats'!B:B,'Base stats'!Y:Y)="Omnivore",_xlfn.XLOOKUP(B226,'Base stats'!B:B,'Base stats'!Y:Y)="OmnivoreRough")),"Forage",""),
    IF(BG226&lt;=36,"Comfort",""),
    IF(_xlfn.XLOOKUP(B226,'Base stats'!B:B,'Base stats'!AE:AE)&lt;&gt;"No",_xlfn.XLOOKUP(B226,'Base stats'!B:B,'Base stats'!AE:AE),"")
  )
)</f>
        <v>No</v>
      </c>
      <c r="BQ226" s="25" t="str">
        <f>IF(
   AND(
      'Base stats'!AN226="Standard",_xlfn.XLOOKUP(_xlfn.XLOOKUP(B226,'Base stats'!B:B,'Base stats'!E:E),Groups!A:A,Groups!AU:AU)=0,
      OR(
      BO226="True"
      )
   ),
   10,
   IF(
       OR(BM226&lt;&gt;"No",_xlfn.XLOOKUP(_xlfn.XLOOKUP(B226,'Base stats'!B:B,'Base stats'!E:E),Groups!A:A,Groups!AU:AU)=1),
      1,
      "No"
   )
)</f>
        <v>No</v>
      </c>
      <c r="BR226" s="9">
        <f>MROUND((1 + ((0.2*IF(OR(Q226="No",R226="No",R226=0),0,Q226/R226)
+IF(OR(V226="No",S226="No",T226="No"),0,S226/T226*(LEN(V226)-LEN(SUBSTITUTE(V226,",",""))+1))
+IF(OR(X226="No",Y226="No"),0,X226/Y226)
+IF(OR(AD226="No",AE226="No"),0,AD226/AE226)
+IF(OR(AL226="No",AI226="No",AJ226="No"),0,AI226/AJ226*(LEN(AL226)-LEN(SUBSTITUTE(AL226,",",""))+1))
)/(0.2*IF(OR(Q226="No",R226="No",R226=0),0,1)
+IF(OR(V226="No",S226="No",T226="No"),0,LEN(V226)-LEN(SUBSTITUTE(V226,",",""))+1)
+IF(OR(X226="No",Y226="No"),0,1)
+IF(OR(AD226="No",AE226="No"),0,1)
+IF(OR(AL226="No",AI226="No",AJ226="No"),0,LEN(AL226)-LEN(SUBSTITUTE(AL226,",",""))+1))*62%)* 2)*(1 + (AP226 / (IF(_xlfn.XLOOKUP(_xlfn.XLOOKUP(B226,'Base stats'!B:B,'Base stats'!E:E),Groups!A:A,Groups!AJ:AJ)="Photonozoa",0.3,1)) + _xlfn.XLOOKUP(B226,'Base stats'!B:B,'Base stats'!AV:AV) * 1.8) * 2) * 2.5 + 10 + I226 * 2,5)+IF(_xlfn.XLOOKUP(B226,'Base stats'!B:B,'Base stats'!AK:AK)=1,50,0)</f>
        <v>75</v>
      </c>
      <c r="BS226" s="8">
        <f t="shared" si="26"/>
        <v>0.30000000000000004</v>
      </c>
      <c r="BT226" s="8" t="str">
        <f>_xlfn.XLOOKUP(B226,'Base stats'!B:B,'Base stats'!AF:AF)</f>
        <v>No</v>
      </c>
      <c r="BU226" s="2" t="str">
        <f>IF(AND(J226&lt;=0.95,OR(_xlfn.XLOOKUP(B226,'Base stats'!B:B,'Base stats'!AK:AK)=1,_xlfn.XLOOKUP(B226,'Base stats'!B:B,'Base stats'!Y:Y)="Carnivore",_xlfn.XLOOKUP(B226,'Base stats'!B:B,'Base stats'!Y:Y)="Omnivore",BE226&gt;0.1)),"true","false")</f>
        <v>false</v>
      </c>
      <c r="BV226" s="2" t="str">
        <f>IF(_xlfn.XLOOKUP(B226,'Base stats'!B:B,'Base stats'!AI:AI)=1,"true","false")</f>
        <v>false</v>
      </c>
      <c r="BW226" s="25" t="str">
        <f>IF(E226="BaseInsect","AnimalInsect",
IF(J226&gt;0.95,"AnimalExotic",
_xlfn.TEXTJOIN(", ",TRUE,
IF(OR(_xlfn.XLOOKUP(B226,'Base stats'!B:B,'Base stats'!AM:AM)=1,AND(_xlfn.XLOOKUP(B226,'Base stats'!B:B,'Base stats'!O:O)=0,_xlfn.XLOOKUP(_xlfn.XLOOKUP(B226,'Base stats'!B:B,'Base stats'!E:E),Groups!A:A,Groups!B:B)&gt;0)),"AnimalUncommon","AnimalCommon"),
IF(AND(_xlfn.XLOOKUP(B226,'Base stats'!B:B,'Base stats'!O:O)=2,_xlfn.XLOOKUP(_xlfn.XLOOKUP(B226,'Base stats'!B:B,'Base stats'!E:E),Groups!A:A,Groups!D:D)=0),"AnimalPet",IF(AND(_xlfn.XLOOKUP(B226,'Base stats'!B:B,'Base stats'!O:O)&lt;&gt;0,_xlfn.XLOOKUP(_xlfn.XLOOKUP(B226,'Base stats'!B:B,'Base stats'!E:E),Groups!A:A,Groups!D:D)&lt;&gt;0),"AnimalFarm","")),
IF(OR(_xlfn.XLOOKUP(B226,'Base stats'!B:B,'Base stats'!AK:AK)=1,AND(BI226&lt;&gt;"None",BR226&gt;=60),ISNUMBER(SEARCH("Attack target",BP226))),"AnimalFighter","")
)))</f>
        <v>AnimalUncommon</v>
      </c>
      <c r="BX226" s="25" t="str">
        <f>IF(G226="None",TRIM(
SUBSTITUTE(
IF(COUNTIF(Biomes!B$2:B$259,"="&amp;$C226)&gt;0,Biomes!B$1&amp;", ","")&amp;
IF(COUNTIF(Biomes!C$2:C$259,"="&amp;$C226)&gt;0,Biomes!C$1&amp;", ","")&amp;
IF(COUNTIF(Biomes!D$2:D$259,"="&amp;$C226)&gt;0,Biomes!D$1&amp;", ","")&amp;
IF(COUNTIF(Biomes!F$2:F$259,"="&amp;$C226)&gt;0,Biomes!F$1&amp;", ","")&amp;
IF(COUNTIF(Biomes!G$2:G$259,"="&amp;$C226)&gt;0,Biomes!G$1&amp;", ","")&amp;
IF(COUNTIF(Biomes!H$2:H$259,"="&amp;$C226)&gt;0,Biomes!H$1&amp;", ","")&amp;
IF(COUNTIF(Biomes!I$2:I$259,"="&amp;$C226)&gt;0,Biomes!I$1&amp;", ","")&amp;
IF(COUNTIF(Biomes!J$2:J$259,"="&amp;$C226)&gt;0,Biomes!J$1&amp;", ","")&amp;
IF(COUNTIF(Biomes!M$2:M$259,"="&amp;$C226)&gt;0,Biomes!M$1&amp;", ","")&amp;
IF(COUNTIF(Biomes!N$2:N$259,"="&amp;$C226)&gt;0,Biomes!N$1&amp;", ","")&amp;
IF(COUNTIF(Biomes!O$2:O$259,"="&amp;$C226)&gt;0,Biomes!O$1&amp;", ","")&amp;
IF(COUNTIF(Biomes!P$2:P$259,"="&amp;$C226)&gt;0,Biomes!P$1&amp;", ","")&amp;
IF(COUNTIF(Biomes!K$2:K$259,"="&amp;$C226)&gt;0,Biomes!K$1&amp;", ","")&amp;
IF(COUNTIF(Biomes!Q$3:Q$259,"="&amp;$C226)&gt;0,Biomes!Q$1&amp;", ","")&amp;
IF(COUNTIF(Biomes!L$2:L$259,"="&amp;$C226)&gt;0,Biomes!L$1&amp;", ","")&amp;
IF(COUNTIF(Biomes!E$2:E$259,"="&amp;$C226)&gt;0,Biomes!E$1&amp;", ","")&amp;IF(COUNTIF(Biomes!S$2:S$259,"="&amp;$C226)&gt;0,Biomes!S$1&amp;", ","")&amp;
IF(COUNTIF(Biomes!R$2:R$259,"="&amp;$C226)&gt;0,Biomes!R$1&amp;", ",""),", ","")
),_xlfn.XLOOKUP(B226,B:B,BX:BX))</f>
        <v/>
      </c>
      <c r="BY226" s="25" t="str">
        <f>IF(_xlfn.XLOOKUP(B226,'Base stats'!B:B,'Base stats'!AJ:AJ)=1,"true","false")</f>
        <v>false</v>
      </c>
      <c r="BZ226" s="25">
        <f>IF(_xlfn.XLOOKUP(B226,'Base stats'!B:B,'Base stats'!N:N)=1,"No",MAX(0.001,MIN(MROUND(IF(AND(BJ226="True",CC226="False"),POWER(10,3.47*LOG10(_xlfn.XLOOKUP(B226,'Base stats'!B:B,'Base stats'!C:C)*1000)^-0.96),POWER(10,4.15*LOG10(_xlfn.XLOOKUP(B226,'Base stats'!B:B,'Base stats'!C:C)*1000)^-0.73))*IF(_xlfn.XLOOKUP(B226,'Base stats'!B:B,'Base stats'!AK:AK)=1,0.5,1)*IF(_xlfn.XLOOKUP(B226,'Base stats'!B:B,'Base stats'!AM:AM)=1,0.1,1)/100,IF(_xlfn.XLOOKUP(B226,'Base stats'!B:B,'Base stats'!AM:AM)=1,0.001,0.025)),0.5)))</f>
        <v>0.02</v>
      </c>
      <c r="CA226" s="25" t="str">
        <f>IF(P226="Standard","No",MAX(0.001,MIN(MROUND(IF(AND(BJ226="True",CC226="False"),POWER(10,3.47*LOG10(_xlfn.XLOOKUP(B226,'Base stats'!B:B,'Base stats'!C:C)*1000)^-0.96),POWER(10,4.15*LOG10(_xlfn.XLOOKUP(B226,'Base stats'!B:B,'Base stats'!C:C)*1000)^-0.73))*IF(_xlfn.XLOOKUP(B226,'Base stats'!B:B,'Base stats'!AM:AM)=1,0.1,1)*_xlfn.XLOOKUP(B226,'Base stats'!B:B,'Base stats'!R:R)/100,IF(_xlfn.XLOOKUP(B226,'Base stats'!B:B,'Base stats'!AM:AM)=1,0.001,0.025)),0.5)))</f>
        <v>No</v>
      </c>
      <c r="CB226" s="25" t="str">
        <f>IF(_xlfn.XLOOKUP(_xlfn.XLOOKUP(B226,'Base stats'!B:B,'Base stats'!E:E),Groups!A:A,Groups!AJ:AJ)="Mammal","True","False")</f>
        <v>False</v>
      </c>
      <c r="CC226" s="25" t="str">
        <f>IF(OR(_xlfn.XLOOKUP(_xlfn.XLOOKUP(B226,'Base stats'!B:B,'Base stats'!E:E),Groups!A:A,Groups!AJ:AJ)="Reptile",_xlfn.XLOOKUP(_xlfn.XLOOKUP(B226,'Base stats'!B:B,'Base stats'!E:E),Groups!A:A,Groups!AJ:AJ)="Amphibian",_xlfn.XLOOKUP(_xlfn.XLOOKUP(B226,'Base stats'!B:B,'Base stats'!E:E),Groups!A:A,Groups!AJ:AJ)="Invertebrate"),"True","False")</f>
        <v>True</v>
      </c>
      <c r="CD226" s="25" t="str">
        <f t="shared" si="27"/>
        <v>False</v>
      </c>
      <c r="CE226" s="25" t="str">
        <f>IF(_xlfn.XLOOKUP(_xlfn.XLOOKUP(B226,'Base stats'!B:B,'Base stats'!E:E),Groups!A:A,Groups!AX:AX),"True","False")</f>
        <v>False</v>
      </c>
      <c r="CF226" s="25" t="str">
        <f>IF(_xlfn.XLOOKUP(_xlfn.XLOOKUP(B226,'Base stats'!B:B,'Base stats'!E:E),Groups!A:A,Groups!AY:AY),"True","False")</f>
        <v>False</v>
      </c>
      <c r="CG226" s="25" t="str">
        <f>IF(_xlfn.XLOOKUP(_xlfn.XLOOKUP(B226,'Base stats'!B:B,'Base stats'!E:E),Groups!A:A,Groups!AW:AW),"True","False")</f>
        <v>False</v>
      </c>
      <c r="CH226" s="25" t="str">
        <f>IF(
OR(
_xlfn.XLOOKUP(_xlfn.XLOOKUP(B226,'Base stats'!B:B,'Base stats'!E:E),Groups!A:A,Groups!AZ:AZ)=0,
AND(
_xlfn.XLOOKUP(B226,'Base stats'!B:B,'Base stats'!Y:Y)&lt;&gt;"Carnivore",
_xlfn.XLOOKUP(B226,'Base stats'!B:B,'Base stats'!Y:Y)&lt;&gt;"Omnivore",
_xlfn.XLOOKUP(B226,'Base stats'!B:B,'Base stats'!Y:Y)&lt;&gt;"OmnivoreRough"
)
),
"No",
IF(
_xlfn.XLOOKUP(_xlfn.XLOOKUP(B226,'Base stats'!B:B,'Base stats'!E:E),Groups!A:A,Groups!AZ:AZ)=1,
"Flesh",
IF(
_xlfn.XLOOKUP(_xlfn.XLOOKUP(B226,'Base stats'!B:B,'Base stats'!E:E),Groups!A:A,Groups!AZ:AZ)=2,
"Bone",
""
)
)
)</f>
        <v>No</v>
      </c>
      <c r="CI226" s="25" t="str">
        <f>IF(_xlfn.XLOOKUP(_xlfn.XLOOKUP(B226,'Base stats'!B:B,'Base stats'!E:E),Groups!A:A,Groups!BB:BB),"True","False")</f>
        <v>False</v>
      </c>
      <c r="CJ226" s="25" t="str">
        <f>IF(_xlfn.XLOOKUP(_xlfn.XLOOKUP(B226,'Base stats'!B:B,'Base stats'!E:E),Groups!A:A,Groups!BA:BA),"True","False")</f>
        <v>False</v>
      </c>
    </row>
    <row r="227" spans="1:88" ht="16.5" thickTop="1" thickBot="1" x14ac:dyDescent="0.3">
      <c r="A227" s="26" t="s">
        <v>1362</v>
      </c>
      <c r="B227" s="6" t="str">
        <f>_xlfn.XLOOKUP(A227,'Base stats'!A:A,'Base stats'!B:B)</f>
        <v>Echidna projectilis</v>
      </c>
      <c r="C227" s="28" t="s">
        <v>1363</v>
      </c>
      <c r="D227" s="28" t="s">
        <v>1341</v>
      </c>
      <c r="E227" s="28" t="s">
        <v>1747</v>
      </c>
      <c r="F227" s="28" t="s">
        <v>673</v>
      </c>
      <c r="G227" s="28" t="s">
        <v>673</v>
      </c>
      <c r="H227" s="2">
        <f>MROUND((
  (IF(AND(_xlfn.XLOOKUP(B227,'Base stats'!B:B,'Base stats'!AL:AL)=0,BI227="None",_xlfn.XLOOKUP(_xlfn.XLOOKUP(B227,'Base stats'!B:B,'Base stats'!E:E),Groups!A:A,Groups!B:B)=0), (18 + BR227 * 2.7) * 0.5,
    IF(AND(_xlfn.XLOOKUP(B227,'Base stats'!B:B,'Base stats'!AL:AL)=0,OR(AO227&lt;0.55,AND(BI227="Intermediate",_xlfn.XLOOKUP(_xlfn.XLOOKUP(B227,'Base stats'!B:B,'Base stats'!E:E),Groups!A:A,Groups!B:B)&lt;2))), (18 + BR227 * 2.7),
      IF(OR(BI227="Advanced",_xlfn.XLOOKUP(B227,'Base stats'!B:B,'Base stats'!AL:AL)=1,_xlfn.XLOOKUP(_xlfn.XLOOKUP(B227,'Base stats'!B:B,'Base stats'!E:E),Groups!A:A,Groups!B:B)=2), (18 + BR227 * 2.7) + 250, (18 + BR227 * 2.7))
    )
  ))
  + AO227 * 80
  + IF(COUNTIF(EggMilk!K$2:K$998, A227) &gt; 0, 125, 0)
  + IF(COUNTIF(EggMilk!P$2:P$998, A227) &gt; 0, 90, 0)
  + IF(COUNTIF(EggMilk!A$2:A$998, A227) &gt; 0, 90, 0)
)
* (0.8 + 0.4 * J227)
* 0.75,25)</f>
        <v>350</v>
      </c>
      <c r="I227" s="2">
        <f>MROUND(ROUNDDOWN(_xlfn.XLOOKUP(B227,'Base stats'!B:B,'Base stats'!L:L)/3.6/(23.3/11),1),0.5)</f>
        <v>3</v>
      </c>
      <c r="J227" s="2">
        <f>IF(OR(_xlfn.XLOOKUP(B227,'Base stats'!B:B,'Base stats'!AB:AB)=1,_xlfn.XLOOKUP(_xlfn.XLOOKUP(B227,'Base stats'!B:B,'Base stats'!E:E),Groups!A:A,Groups!C:C)="Untamable"),1,IF(_xlfn.XLOOKUP(B227,'Base stats'!B:B,'Base stats'!AL:AL)=1,0.99,MIN(MROUND((1-0.6282*EXP(-0.459*AO227))*_xlfn.XLOOKUP(_xlfn.XLOOKUP(B227,'Base stats'!B:B,'Base stats'!E:E),Groups!A:A,Groups!C:C)*IF(_xlfn.XLOOKUP(B227,'Base stats'!B:B,'Base stats'!O:O)=1,0.5,IF(_xlfn.XLOOKUP(B227,'Base stats'!B:B,'Base stats'!O:O)=2,0,1)),0.05),IF(AO227&gt;3.5,0.985,0.95))))</f>
        <v>0.65</v>
      </c>
      <c r="K227" s="2">
        <f>ROUNDUP(AO227*_xlfn.XLOOKUP(_xlfn.XLOOKUP(B227,'Base stats'!B:B,'Base stats'!E:E),Groups!A:A,Groups!E:E),0)</f>
        <v>2</v>
      </c>
      <c r="L227" s="2">
        <f>IF(OR(_xlfn.XLOOKUP(_xlfn.XLOOKUP(B227,'Base stats'!B:B,'Base stats'!E:E),Groups!A:A,Groups!F:F)=2,ISNUMBER(SEARCH("SeaIce",BX227)),ISNUMBER(SEARCH("IceSheet",BX227))),-50,IF(OR(ISNUMBER(SEARCH("GlacialPlain",BX227)),ISNUMBER(SEARCH("Tundra",BX227))),-40,IF(OR(ISNUMBER(SEARCH("Alpine",BX227)),ISNUMBER(SEARCH("BorealForest",BX227)),ISNUMBER(SEARCH("ColdBog",BX227))),-30,IF(OR(ISNUMBER(SEARCH("TemperateForest",BX227)),ISNUMBER(SEARCH("TemperateSwamp",BX227))),-20,IF(_xlfn.XLOOKUP(_xlfn.XLOOKUP(B227,'Base stats'!B:B,'Base stats'!E:E),Groups!A:A,Groups!F:F)=1,-15,IF(OR(ISNUMBER(SEARCH("Desert",BX227)),ISNUMBER(SEARCH("ExtremeDesert",BX227))),-10,IF(OR(ISNUMBER(SEARCH("Grasslands",BX227)),ISNUMBER(SEARCH("TropicalRainforest",BX227)),ISNUMBER(SEARCH("TropicalSwamp",BX227))),10,0)))))))-IF(CC227="False",MIN(IFERROR(MAX(MROUND(LOG10(_xlfn.XLOOKUP(B227,'Base stats'!B:B,'Base stats'!C:C)^(2/3))*10,5),5),5),30))-_xlfn.XLOOKUP(B227,'Base stats'!B:B,'Base stats'!P:P)+IF(CC227="True",5,0)</f>
        <v>-5</v>
      </c>
      <c r="M227" s="2">
        <f>IF(OR(_xlfn.XLOOKUP(_xlfn.XLOOKUP(B227,'Base stats'!B:B,'Base stats'!E:E),Groups!A:A,Groups!G:G)=2,ISNUMBER(SEARCH("Desert",BX227)),ISNUMBER(SEARCH("ExtremeDesert",BX227)),ISNUMBER(SEARCH("LavaField",BX227))),50,IF(ISNUMBER(SEARCH("Grasslands",BX227)),45,IF(OR(_xlfn.XLOOKUP(_xlfn.XLOOKUP(B227,'Base stats'!B:B,'Base stats'!E:E),Groups!A:A,Groups!G:G)=1,ISNUMBER(SEARCH("TropicalRainforest",BX227)),ISNUMBER(SEARCH("TropicalSwamp",BX227))),40,IF(OR(ISNUMBER(SEARCH("TemperateForest",BX227)),ISNUMBER(SEARCH("TemperateSwamp",BX227))),35,IF(OR(ISNUMBER(SEARCH("Alpine",BX227)),ISNUMBER(SEARCH("BorealForest",BX227)),ISNUMBER(SEARCH("ColdBog",BX227))),30,IF(ISNUMBER(OR(ISNUMBER(SEARCH("GlacialPlain",BX227)),SEARCH("Tundra",BX227))),25,IF(OR(ISNUMBER(SEARCH("SeaIce",BX227)),ISNUMBER(SEARCH("IceSheet",BX227)),ISNUMBER(SEARCH("TropicalSwamp",BX227))),10,35)))))))+_xlfn.XLOOKUP(B227,'Base stats'!B:B,'Base stats'!Q:Q)</f>
        <v>50</v>
      </c>
      <c r="N227" s="8">
        <f>IF(
_xlfn.XLOOKUP(
_xlfn.XLOOKUP(B227,'Base stats'!B:B,'Base stats'!E:E),
Groups!A:A,
Groups!L:L
)=1,
MIN(
MROUND(
IF(
_xlfn.XLOOKUP(B227,'Animals CE'!B:B,'Animals CE'!Z:Z)&lt;=1.5,
_xlfn.XLOOKUP(B227,'Animals CE'!B:B,'Animals CE'!Z:Z)/2+0.05,
0.8+
(_xlfn.XLOOKUP(B227,'Animals CE'!B:B,'Animals CE'!Z:Z)-1.5)
*0.02
),
0.05
),
200%
),
"No"
)</f>
        <v>0.60000000000000009</v>
      </c>
      <c r="O227" s="8">
        <f>IF(
_xlfn.XLOOKUP(
_xlfn.XLOOKUP(B227,'Base stats'!B:B,'Base stats'!E:E),
Groups!A:A,
Groups!L:L
)=1,
MIN(
MROUND(
IF(
_xlfn.XLOOKUP(B227,'Animals CE'!B:B,'Animals CE'!AA:AA)&lt;=1.5,
_xlfn.XLOOKUP(B227,'Animals CE'!B:B,'Animals CE'!AA:AA)/2+0.05,
0.8+
(_xlfn.XLOOKUP(B227,'Animals CE'!B:B,'Animals CE'!AA:AA)-1.5)
*0.02
),
0.05
),
200%
),
"No"
)</f>
        <v>0.1</v>
      </c>
      <c r="P227" s="2" t="str">
        <f>_xlfn.XLOOKUP(B227,'Base stats'!B:B,'Base stats'!R:R)</f>
        <v>Standard</v>
      </c>
      <c r="Q227" s="13">
        <f>MROUND((LOG10(_xlfn.XLOOKUP(B227,'Base stats'!B:B,'Base stats'!AR:AR))*(AO227^0.5)+(_xlfn.XLOOKUP(B227,'Base stats'!B:B,'Base stats'!AR:AR)/1000)^(2/3)+_xlfn.XLOOKUP(B227,'Base stats'!B:B,'Base stats'!BA:BA)/2)+0.5,0.5)</f>
        <v>7.5</v>
      </c>
      <c r="R227" s="7">
        <f>IF(Q227="No","No",MAX(1,MROUND(_xlfn.XLOOKUP(B227,'Base stats'!B:B,'Base stats'!C:C)^0.165,0.05)))</f>
        <v>2.0500000000000003</v>
      </c>
      <c r="S227" s="13" t="str">
        <f>IF(_xlfn.XLOOKUP(_xlfn.XLOOKUP(B227,'Base stats'!B:B,'Base stats'!E:E),Groups!A:A,Groups!P:P)=0,"No",MROUND((LOG10(_xlfn.XLOOKUP(B227,'Base stats'!B:B,'Base stats'!AS:AS))*(AO227^0.5)+(_xlfn.XLOOKUP(B227,'Base stats'!B:B,'Base stats'!AS:AS)/1000)^(2/3)+_xlfn.XLOOKUP(B227,'Base stats'!B:B,'Base stats'!BA:BA))+_xlfn.XLOOKUP(B227,'Base stats'!B:B,'Base stats'!AY:AY)+0.5,0.5))</f>
        <v>No</v>
      </c>
      <c r="T227" s="7" t="str">
        <f>IF(S227="No","No",MAX(_xlfn.XLOOKUP(_xlfn.XLOOKUP(B227,'Base stats'!B:B,'Base stats'!E:E),Groups!A:A,Groups!Q:Q),MROUND(_xlfn.XLOOKUP(_xlfn.XLOOKUP(B227,'Base stats'!B:B,'Base stats'!E:E),Groups!A:A,Groups!Q:Q)*_xlfn.XLOOKUP(B227,'Base stats'!B:B,'Base stats'!C:C)^0.165,0.05)))</f>
        <v>No</v>
      </c>
      <c r="U227" s="7" t="str">
        <f>IF(S227="No","No",_xlfn.XLOOKUP(_xlfn.XLOOKUP(B227,'Base stats'!B:B,'Base stats'!E:E),Groups!A:A,Groups!R:R))</f>
        <v>No</v>
      </c>
      <c r="V227" s="7" t="str">
        <f>IF(S227="No","No",_xlfn.XLOOKUP(_xlfn.XLOOKUP(B227,'Base stats'!B:B,'Base stats'!E:E),Groups!A:A,Groups!S:S))</f>
        <v>No</v>
      </c>
      <c r="W227" s="7" t="str">
        <f>IF(S227="No","No",_xlfn.XLOOKUP(_xlfn.XLOOKUP(B227,'Base stats'!B:B,'Base stats'!E:E),Groups!A:A,Groups!T:T))</f>
        <v>No</v>
      </c>
      <c r="X227" s="13">
        <f>IF(_xlfn.XLOOKUP(B227,'Base stats'!B:B,'Base stats'!W:W)="No","No",MROUND((LOG10(_xlfn.XLOOKUP(B227,'Base stats'!B:B,'Base stats'!AU:AU))*(AO227^0.5)+(_xlfn.XLOOKUP(B227,'Base stats'!B:B,'Base stats'!AU:AU)/1000)^(2/3)+_xlfn.XLOOKUP(B227,'Base stats'!B:B,'Base stats'!AZ:AZ))+0.5+IF(_xlfn.XLOOKUP(_xlfn.XLOOKUP(B227,'Base stats'!B:B,'Base stats'!E:E),Groups!A:A,Groups!U:U)&lt;&gt;3,_xlfn.XLOOKUP(B227,'Base stats'!B:B,'Base stats'!BA:BA),0),0.5))</f>
        <v>14.5</v>
      </c>
      <c r="Y227" s="7">
        <f>IF(X227="No","No",MAX(_xlfn.XLOOKUP(_xlfn.XLOOKUP(B227,'Base stats'!B:B,'Base stats'!E:E),Groups!A:A,Groups!V:V),MROUND(_xlfn.XLOOKUP(_xlfn.XLOOKUP(B227,'Base stats'!B:B,'Base stats'!E:E),Groups!A:A,Groups!V:V)*_xlfn.XLOOKUP(B227,'Base stats'!B:B,'Base stats'!C:C)^0.165,0.05)))</f>
        <v>2.6500000000000004</v>
      </c>
      <c r="Z227" s="7" t="str">
        <f>IF(X227="No","No",_xlfn.XLOOKUP(_xlfn.XLOOKUP(B227,'Base stats'!B:B,'Base stats'!E:E),Groups!A:A,Groups!W:W))</f>
        <v>Sting</v>
      </c>
      <c r="AA227" s="7" t="str">
        <f>IF(X227="No","No",_xlfn.XLOOKUP(_xlfn.XLOOKUP(B227,'Base stats'!B:B,'Base stats'!E:E),Groups!A:A,Groups!X:X))</f>
        <v>stinger</v>
      </c>
      <c r="AB227" s="7" t="str">
        <f>IF(X227="No","No",_xlfn.XLOOKUP(_xlfn.XLOOKUP(B227,'Base stats'!B:B,'Base stats'!E:E),Groups!A:A,Groups!Y:Y))</f>
        <v>Sting</v>
      </c>
      <c r="AC227" s="7" t="str">
        <f>_xlfn.XLOOKUP(Animals!B227,'Base stats'!B:B,'Base stats'!X:X)</f>
        <v>False</v>
      </c>
      <c r="AD227" s="13">
        <f>IF(_xlfn.XLOOKUP(B227,'Base stats'!B:B,'Base stats'!AT:AT)="No","No",MROUND((LOG10(_xlfn.XLOOKUP(B227,'Base stats'!B:B,'Base stats'!AT:AT))*(AO227^0.75)+(_xlfn.XLOOKUP(B227,'Base stats'!B:B,'Base stats'!AT:AT)/1000)^(2/3)+_xlfn.XLOOKUP(B227,'Base stats'!B:B,'Base stats'!AX:AX)+_xlfn.XLOOKUP(B227,'Base stats'!B:B,'Base stats'!BA:BA))+0.5,0.5))</f>
        <v>18.5</v>
      </c>
      <c r="AE227" s="7">
        <f>IF(AD227="No","No",MAX(_xlfn.XLOOKUP(_xlfn.XLOOKUP(B227,'Base stats'!B:B,'Base stats'!E:E),Groups!A:A,Groups!Z:Z),MROUND(_xlfn.XLOOKUP(_xlfn.XLOOKUP(B227,'Base stats'!B:B,'Base stats'!E:E),Groups!A:A,Groups!Z:Z)*_xlfn.XLOOKUP(B227,'Base stats'!B:B,'Base stats'!C:C)^0.165,0.05)))</f>
        <v>2.4500000000000002</v>
      </c>
      <c r="AF227" s="7" t="str">
        <f>IF(AD227="No","No",_xlfn.XLOOKUP(_xlfn.XLOOKUP(B227,'Base stats'!B:B,'Base stats'!E:E),Groups!A:A,Groups!AA:AA))</f>
        <v>Mouth</v>
      </c>
      <c r="AG227" s="7" t="str">
        <f>IF(AD227="No","No",_xlfn.XLOOKUP(_xlfn.XLOOKUP(B227,'Base stats'!B:B,'Base stats'!E:E),Groups!A:A,Groups!AB:AB))</f>
        <v>chelicerae</v>
      </c>
      <c r="AH227" s="7" t="str">
        <f>IF(AD227="No","No",_xlfn.XLOOKUP(_xlfn.XLOOKUP(B227,'Base stats'!B:B,'Base stats'!E:E),Groups!A:A,Groups!AC:AC))</f>
        <v>Bite</v>
      </c>
      <c r="AI227" s="13">
        <f>IF(_xlfn.XLOOKUP(_xlfn.XLOOKUP(B227,'Base stats'!B:B,'Base stats'!E:E),Groups!A:A,Groups!AD:AD)=0,"No",MROUND((LOG10(_xlfn.XLOOKUP(B227,'Base stats'!B:B,'Base stats'!AS:AS))*(AO227^0.75)+(_xlfn.XLOOKUP(B227,'Base stats'!B:B,'Base stats'!AS:AS)/1000)^(2/3)+_xlfn.XLOOKUP(B227,'Base stats'!B:B,'Base stats'!AY:AY)+_xlfn.XLOOKUP(B227,'Base stats'!B:B,'Base stats'!BA:BA))+0.5,0.5))</f>
        <v>18.5</v>
      </c>
      <c r="AJ227" s="7">
        <f>IF(AI227="No","No",MAX(_xlfn.XLOOKUP(_xlfn.XLOOKUP(B227,'Base stats'!B:B,'Base stats'!E:E),Groups!A:A,Groups!AE:AE),MROUND(_xlfn.XLOOKUP(_xlfn.XLOOKUP(B227,'Base stats'!B:B,'Base stats'!E:E),Groups!A:A,Groups!AE:AE)*IF(_xlfn.XLOOKUP(_xlfn.XLOOKUP(B227,'Base stats'!B:B,'Base stats'!E:E),Groups!A:A,Groups!AJ:AJ)="Photonozoa",0.6,1)*_xlfn.XLOOKUP(B227,'Base stats'!B:B,'Base stats'!C:C)^0.165,0.05)))</f>
        <v>2.25</v>
      </c>
      <c r="AK227" s="7" t="str">
        <f>IF(AI227="No","No",_xlfn.XLOOKUP(_xlfn.XLOOKUP(B227,'Base stats'!B:B,'Base stats'!E:E),Groups!A:A,Groups!AF:AF))</f>
        <v>LeftPincer, RightPincer</v>
      </c>
      <c r="AL227" s="7" t="str">
        <f>IF(AI227="No","No",_xlfn.XLOOKUP(_xlfn.XLOOKUP(B227,'Base stats'!B:B,'Base stats'!E:E),Groups!A:A,Groups!AG:AG))</f>
        <v>left pincer, right pincer</v>
      </c>
      <c r="AM227" s="7" t="str">
        <f>IF(AI227="No","No",_xlfn.XLOOKUP(_xlfn.XLOOKUP(B227,'Base stats'!B:B,'Base stats'!E:E),Groups!A:A,Groups!AH:AH))</f>
        <v>Scratch</v>
      </c>
      <c r="AN227" s="2">
        <f t="shared" si="21"/>
        <v>20</v>
      </c>
      <c r="AO227" s="2">
        <f>MROUND(IF(AND(_xlfn.XLOOKUP(B227,'Base stats'!B:B,'Base stats'!C:C)&gt;=0.5,_xlfn.XLOOKUP(B227,'Base stats'!B:B,'Base stats'!C:C)&lt;=0.8),
IF(_xlfn.XLOOKUP(B227,'Base stats'!B:B,'Base stats'!C:C)&lt;0.1,0.05,IF(_xlfn.XLOOKUP(B227,'Base stats'!B:B,'Base stats'!C:C)&lt;=70,(_xlfn.XLOOKUP(B227,'Base stats'!B:B,'Base stats'!C:C)/70)^0.426489913056526,IF(_xlfn.XLOOKUP(B227,'Base stats'!B:B,'Base stats'!C:C)&lt;=400,(_xlfn.XLOOKUP(B227,'Base stats'!B:B,'Base stats'!C:C)/70)^0.572811455315093,IF(_xlfn.XLOOKUP(B227,'Base stats'!B:B,'Base stats'!C:C)&lt;=2000,2.71391647193063*(_xlfn.XLOOKUP(B227,'Base stats'!B:B,'Base stats'!C:C)/400)^0.252459582904293,3.74314280240376*(_xlfn.XLOOKUP(B227,'Base stats'!B:B,'Base stats'!C:C)/2000)^0.357012633876913)))),
IF(_xlfn.XLOOKUP(B227,'Base stats'!B:B,'Base stats'!C:C)&lt;0.1,0.05,IF(_xlfn.XLOOKUP(B227,'Base stats'!B:B,'Base stats'!C:C)&lt;0.4,0.1,IF(_xlfn.XLOOKUP(B227,'Base stats'!B:B,'Base stats'!C:C)&lt;=70,(_xlfn.XLOOKUP(B227,'Base stats'!B:B,'Base stats'!C:C)/70)^0.445823913056526,IF(_xlfn.XLOOKUP(B227,'Base stats'!B:B,'Base stats'!C:C)&lt;=400,(_xlfn.XLOOKUP(B227,'Base stats'!B:B,'Base stats'!C:C)/70)^0.572811455315093,IF(_xlfn.XLOOKUP(B227,'Base stats'!B:B,'Base stats'!C:C)&lt;=2000,2.71391647193063*(_xlfn.XLOOKUP(B227,'Base stats'!B:B,'Base stats'!C:C)/400)^0.252459582904293,3.74314280240376*(_xlfn.XLOOKUP(B227,'Base stats'!B:B,'Base stats'!C:C)/2000)^0.357012633876913)))))),
IF(_xlfn.XLOOKUP(B227,'Base stats'!B:B,'Base stats'!C:C)&lt;0.1,0.05,IF(_xlfn.XLOOKUP(B227,'Base stats'!B:B,'Base stats'!C:C)&lt;=100,0.05,IF(_xlfn.XLOOKUP(B227,'Base stats'!B:B,'Base stats'!C:C)&lt;=250,0.1,IF(_xlfn.XLOOKUP(B227,'Base stats'!B:B,'Base stats'!C:C)&lt;=4000,0.25,0.5)))))</f>
        <v>1.05</v>
      </c>
      <c r="AP227" s="8">
        <f>MROUND(AO227*_xlfn.XLOOKUP(_xlfn.XLOOKUP(B227,'Base stats'!B:B,'Base stats'!E:E),Groups!A:A,Groups!AI:AI)*_xlfn.XLOOKUP(B227,'Base stats'!B:B,'Base stats'!Z:Z),0.05)</f>
        <v>1.05</v>
      </c>
      <c r="AQ227" s="8">
        <f>MAX(0.01,MROUND(IF(CC227="True",0.196*(AO227*100*1000)^0.889,IF(_xlfn.XLOOKUP(_xlfn.XLOOKUP(B227,'Base stats'!B:B,'Base stats'!E:E),Groups!A:A,Groups!AJ:AJ)="Bird",10.5*(AO227*100*1000)^0.681,4.82*(AO227*100*1000)^0.734))/(4.82*(1*100*1000)^0.734)/IF(AO227&lt;3.5,2,IF(AO227=3.5,1.5,1.25))*(1+0.132282374779864/(AO227^0.994035016789033+0.00905238001496948)),0.05))</f>
        <v>0.15000000000000002</v>
      </c>
      <c r="AR227" s="9">
        <f>IFERROR(MROUND(_xlfn.XLOOKUP(B227,'Base stats'!B:B,'Base stats'!H:H)/IF(_xlfn.XLOOKUP(B227,'Base stats'!B:B,'Base stats'!I:I)&lt;&gt;1,(122.5/70),1.2),IF(_xlfn.XLOOKUP(B227,'Base stats'!B:B,'Base stats'!H:H)&gt;=30,5,IF(_xlfn.XLOOKUP(B227,'Base stats'!B:B,'Base stats'!H:H)&gt;=15,3,IF(_xlfn.XLOOKUP(B227,'Base stats'!B:B,'Base stats'!H:H)&gt;=10,2,1)))),"Immortal")</f>
        <v>6</v>
      </c>
      <c r="AS227" s="35">
        <f>IFERROR(IF(OR(_xlfn.XLOOKUP(B227,'Base stats'!B:B,'Base stats'!F:F)="Atypical reproduction",_xlfn.XLOOKUP(B227,'Base stats'!B:B,'Base stats'!F:F)="Lay eggs"),"Lay eggs",MIN(20,MAX(5.5,ROUND(((_xlfn.XLOOKUP(B227,'Base stats'!B:B,'Base stats'!F:F)-25)*(14.5/615) + 5.5)*2,0)/2))),"Unknown")</f>
        <v>6.5</v>
      </c>
      <c r="AT227" s="8">
        <f>IF(_xlfn.XLOOKUP(B227,'Base stats'!B:B,'Base stats'!G:G)="Atypical reproduction","No",IFERROR(MAX(IF(_xlfn.XLOOKUP(B227,'Base stats'!B:B,'Base stats'!G:G)&lt;0.5,0.2,0.3),MROUND(_xlfn.XLOOKUP(B227,'Base stats'!B:B,'Base stats'!G:G)/(365/60),0.2)),"Unknown"))</f>
        <v>0.4</v>
      </c>
      <c r="AU227" s="8">
        <f t="shared" si="22"/>
        <v>0.2</v>
      </c>
      <c r="AV227" s="8">
        <f>IFERROR(IFERROR(MROUND(_xlfn.XLOOKUP(B227,'Base stats'!B:B,'Base stats'!J:J),0.1),"Lay eggs"),"Cannot breed")</f>
        <v>5</v>
      </c>
      <c r="AW227" s="2" t="str">
        <f t="shared" si="23"/>
        <v>false</v>
      </c>
      <c r="AX227" s="2" t="str">
        <f>IF(_xlfn.XLOOKUP(_xlfn.XLOOKUP(Animals!B227,'Base stats'!B:B,'Base stats'!E:E),Groups!A:A,Groups!AK:AK)=1,"true","false")</f>
        <v>false</v>
      </c>
      <c r="AY227" s="25" t="str">
        <f>IF(_xlfn.XLOOKUP(B227,'Base stats'!B:B,'Base stats'!Y:Y)="Liquor","Liquor, CarnivoreAnimalStrict",IF(AND(_xlfn.XLOOKUP(B227,'Base stats'!B:B,'Base stats'!Y:Y)="Carnivore",_xlfn.XLOOKUP(_xlfn.XLOOKUP(B227,'Base stats'!B:B,'Base stats'!E:E),Groups!A:A,Groups!AJ:AJ)="Photonozoa"),"CarnivoreAnimalStrict, OvivoreAnimal",IF(_xlfn.XLOOKUP(B227,'Base stats'!B:B,'Base stats'!Y:Y)="Carnivore","CarnivoreAnimal, OvivoreAnimal",IF(_xlfn.XLOOKUP(B227,'Base stats'!B:B,'Base stats'!Y:Y)="Dendrovore","VegetarianRoughAnimal, DendrovoreAnimal",IF(_xlfn.XLOOKUP(B227,'Base stats'!B:B,'Base stats'!Y:Y)="Herbivore","VegetarianRoughAnimal",IF(_xlfn.XLOOKUP(B227,'Base stats'!B:B,'Base stats'!Y:Y)="OmnivoreRough","OmnivoreRoughAnimal, OvivoreAnimal","OmnivoreAnimal, OvivoreAnimal"))))))</f>
        <v>CarnivoreAnimal, OvivoreAnimal</v>
      </c>
      <c r="AZ227" s="2" t="str">
        <f>IF(_xlfn.XLOOKUP(_xlfn.XLOOKUP(B227,'Base stats'!B:B,'Base stats'!E:E),Groups!A:A,Groups!D:D)=1,MROUND((1-J227)*5+1,2)*IF(J227&lt;=0.4,2,1),"No")</f>
        <v>No</v>
      </c>
      <c r="BA227" s="2" t="str">
        <f>IF(AND(_xlfn.XLOOKUP(B227,'Base stats'!B:B,'Base stats'!AH:AH)="&lt;li&gt;Seal&lt;/li&gt;",G227="Odyssey"),"&lt;li&gt;AEXP_Seal&lt;/li&gt;",_xlfn.XLOOKUP(B227,'Base stats'!B:B,'Base stats'!AH:AH))</f>
        <v>&lt;li&gt;Megaspider&lt;/li&gt;</v>
      </c>
      <c r="BB227" s="2" t="str">
        <f>_xlfn.XLOOKUP(B227,'Base stats'!B:B,'Base stats'!AG:AG)</f>
        <v>Leather_Chitin</v>
      </c>
      <c r="BC227" s="23" t="str">
        <f>_xlfn.XLOOKUP(_xlfn.XLOOKUP(B227,'Base stats'!B:B,'Base stats'!E:E),Groups!A:A,Groups!AL:AL)</f>
        <v>ScorpionLike</v>
      </c>
      <c r="BD227" s="23">
        <f>MIN(1,MROUND(IF(AND(AO227&lt;0.5,_xlfn.XLOOKUP(B227,'Base stats'!B:B,'Base stats'!AA:AA)=0),0,IF(OR(_xlfn.XLOOKUP(Animals!B227,'Base stats'!B:B,'Base stats'!O:O)=2,_xlfn.XLOOKUP(_xlfn.XLOOKUP(B227,'Base stats'!B:B,'Base stats'!E:E),Groups!A:A,Groups!AN:AN)=0),0,_xlfn.XLOOKUP(_xlfn.XLOOKUP(B227,'Base stats'!B:B,'Base stats'!E:E),Groups!A:A,Groups!AN:AN)/IF(_xlfn.XLOOKUP(Animals!B227,'Base stats'!B:B,'Base stats'!O:O)=1,2,1)))+_xlfn.XLOOKUP(B227,'Base stats'!B:B,'Base stats'!AC:AC),0.005))</f>
        <v>0.1</v>
      </c>
      <c r="BE227" s="23">
        <f>MIN(1,MROUND(IF(AND(AO227&lt;0.5,_xlfn.XLOOKUP(B227,'Base stats'!B:B,'Base stats'!AA:AA)=0),0,IF(_xlfn.XLOOKUP(_xlfn.XLOOKUP(B227,'Base stats'!B:B,'Base stats'!E:E),Groups!A:A,Groups!AO:AO)=0,0,_xlfn.XLOOKUP(_xlfn.XLOOKUP(B227,'Base stats'!B:B,'Base stats'!E:E),Groups!A:A,Groups!AO:AO)/IF(_xlfn.XLOOKUP(Animals!B227,'Base stats'!B:B,'Base stats'!O:O)=2,3,1)))+_xlfn.XLOOKUP(B227,'Base stats'!B:B,'Base stats'!AD:AD),0.005))</f>
        <v>1</v>
      </c>
      <c r="BF227" s="2" t="str">
        <f>IF(J227&gt;0.3,"No",_xlfn.XLOOKUP(_xlfn.XLOOKUP(Animals!B227,'Base stats'!B:B,'Base stats'!E:E),Groups!A:A,Groups!AP:AP))</f>
        <v>No</v>
      </c>
      <c r="BG227" s="2" t="str">
        <f>IF(AND(J227&lt;=0.65,_xlfn.XLOOKUP(_xlfn.XLOOKUP(Animals!B227,'Base stats'!B:B,'Base stats'!E:E),Groups!A:A,Groups!AP:AP)&lt;&gt;"No",_xlfn.XLOOKUP(_xlfn.XLOOKUP(B227,'Base stats'!B:B,'Base stats'!E:E),Groups!A:A,Groups!D:D)=0),MROUND((80/3)*IF(_xlfn.XLOOKUP(B227,'Base stats'!B:B,'Base stats'!O:O)=2,0.2,AO227) + 24*(1-IF(BF227="No",0,BF227)) + 16/3, 12),"No")</f>
        <v>No</v>
      </c>
      <c r="BH227" s="2">
        <f>IF(AND(_xlfn.XLOOKUP(_xlfn.XLOOKUP(B227,'Base stats'!B:B,'Base stats'!E:E),Groups!A:A,Groups!AQ:AQ)=1,AO227&lt;=0.35),8,12)</f>
        <v>12</v>
      </c>
      <c r="BI227" s="2" t="str">
        <f>IF(_xlfn.XLOOKUP(_xlfn.XLOOKUP(B227,'Base stats'!B:B,'Base stats'!E:E),Groups!A:A,Groups!D:D)=0,_xlfn.XLOOKUP(_xlfn.XLOOKUP(B227,'Base stats'!B:B,'Base stats'!E:E),Groups!A:A,Groups!AR:AR),"None")</f>
        <v>Intermediate</v>
      </c>
      <c r="BJ227" s="2" t="str">
        <f>IF(AND(_xlfn.XLOOKUP(_xlfn.XLOOKUP(B227,'Base stats'!B:B,'Base stats'!E:E),Groups!A:A,Groups!AS:AS)=1,OR(_xlfn.XLOOKUP(B227,'Base stats'!B:B,'Base stats'!Y:Y)="Carnivore",_xlfn.XLOOKUP(B227,'Base stats'!B:B,'Base stats'!Y:Y)="Omnivore")),"true","false")</f>
        <v>true</v>
      </c>
      <c r="BK227" s="2">
        <f>IF(BJ227="true",MROUND(IF(AND(AO227&gt;0.5,OR(_xlfn.XLOOKUP(_xlfn.XLOOKUP(B227,'Base stats'!B:B,'Base stats'!E:E),Groups!A:A,Groups!AJ:AJ)="Photonozoa",_xlfn.XLOOKUP(_xlfn.XLOOKUP(B227,'Base stats'!B:B,'Base stats'!E:E),Groups!A:A,Groups!AJ:AJ)="Mammal")),Animals!AO227*1.75*IF(AW227="true",1.5,1),IF(AO227&lt;0.5,Animals!AO227*0.5,Animals!AO227)),IF(AO227&gt;2,0.5,IF(AO227&gt;0.5,0.25,0.1))),"No")</f>
        <v>1</v>
      </c>
      <c r="BL227" s="2">
        <f t="shared" si="24"/>
        <v>1</v>
      </c>
      <c r="BM227" s="25" t="str">
        <f>IF(_xlfn.XLOOKUP(B227,'Base stats'!B:B,'Base stats'!AN:AN)="Standard","No",MROUND((_xlfn.XLOOKUP(B227,'Base stats'!B:B,'Base stats'!AN:AN)/3.6)/I227,0.1))</f>
        <v>No</v>
      </c>
      <c r="BN227" s="25" t="str">
        <f t="shared" si="25"/>
        <v>false</v>
      </c>
      <c r="BO227" s="25" t="str">
        <f>IF(AND(OR(_xlfn.XLOOKUP(B227,'Base stats'!B:B,'Base stats'!Y:Y)="Carnivore",_xlfn.XLOOKUP(B227,'Base stats'!B:B,'Base stats'!Y:Y)="Omnivore",_xlfn.XLOOKUP(B227,'Base stats'!B:B,'Base stats'!Y:Y)="OmnivoreRough"),_xlfn.XLOOKUP(_xlfn.XLOOKUP(B227,'Base stats'!B:B,'Base stats'!E:E),Groups!A:A,Groups!AT:AT)=1),"true","false")</f>
        <v>false</v>
      </c>
      <c r="BP227" s="25" t="str" cm="1">
        <f t="array" ref="BP227">IF(
  _xlfn.TEXTJOIN(", ",TRUE,
    IF(AND(BJ227="true",AO227&gt;0.5,BI227&lt;&gt;"None"),"AttackTarget",""),
    IF(AND(_xlfn.XLOOKUP(_xlfn.XLOOKUP(B227,'Base stats'!B:B,'Base stats'!E:E),Groups!A:A,Groups!AJ:AJ="Mammal"),OR(_xlfn.XLOOKUP(B227,'Base stats'!B:B,'Base stats'!Y:Y)="Omnivore",_xlfn.XLOOKUP(B227,'Base stats'!B:B,'Base stats'!Y:Y)="OmnivoreRough")),"Forage",""),
    IF(BG227&lt;=36,"Comfort",""),
    IF(_xlfn.XLOOKUP(B227,'Base stats'!B:B,'Base stats'!AE:AE)&lt;&gt;"No",_xlfn.XLOOKUP(B227,'Base stats'!B:B,'Base stats'!AE:AE),"")
  ) = "",
  "No",
  _xlfn.TEXTJOIN(", ",TRUE,
    IF(AND(BJ227="true",AO227&gt;0.5,BI227&lt;&gt;"None"),"AttackTarget",""),
    IF(AND(_xlfn.XLOOKUP(_xlfn.XLOOKUP(B227,'Base stats'!B:B,'Base stats'!E:E),Groups!A:A,Groups!AJ:AJ="Mammal"),OR(_xlfn.XLOOKUP(B227,'Base stats'!B:B,'Base stats'!Y:Y)="Omnivore",_xlfn.XLOOKUP(B227,'Base stats'!B:B,'Base stats'!Y:Y)="OmnivoreRough")),"Forage",""),
    IF(BG227&lt;=36,"Comfort",""),
    IF(_xlfn.XLOOKUP(B227,'Base stats'!B:B,'Base stats'!AE:AE)&lt;&gt;"No",_xlfn.XLOOKUP(B227,'Base stats'!B:B,'Base stats'!AE:AE),"")
  )
)</f>
        <v>AttackTarget</v>
      </c>
      <c r="BQ227" s="25" t="str">
        <f>IF(
   AND(
      'Base stats'!AN227="Standard",_xlfn.XLOOKUP(_xlfn.XLOOKUP(B227,'Base stats'!B:B,'Base stats'!E:E),Groups!A:A,Groups!AU:AU)=0,
      OR(
      BO227="True"
      )
   ),
   10,
   IF(
       OR(BM227&lt;&gt;"No",_xlfn.XLOOKUP(_xlfn.XLOOKUP(B227,'Base stats'!B:B,'Base stats'!E:E),Groups!A:A,Groups!AU:AU)=1),
      1,
      "No"
   )
)</f>
        <v>No</v>
      </c>
      <c r="BR227" s="9">
        <f>MROUND((1 + ((0.2*IF(OR(Q227="No",R227="No",R227=0),0,Q227/R227)
+IF(OR(V227="No",S227="No",T227="No"),0,S227/T227*(LEN(V227)-LEN(SUBSTITUTE(V227,",",""))+1))
+IF(OR(X227="No",Y227="No"),0,X227/Y227)
+IF(OR(AD227="No",AE227="No"),0,AD227/AE227)
+IF(OR(AL227="No",AI227="No",AJ227="No"),0,AI227/AJ227*(LEN(AL227)-LEN(SUBSTITUTE(AL227,",",""))+1))
)/(0.2*IF(OR(Q227="No",R227="No",R227=0),0,1)
+IF(OR(V227="No",S227="No",T227="No"),0,LEN(V227)-LEN(SUBSTITUTE(V227,",",""))+1)
+IF(OR(X227="No",Y227="No"),0,1)
+IF(OR(AD227="No",AE227="No"),0,1)
+IF(OR(AL227="No",AI227="No",AJ227="No"),0,LEN(AL227)-LEN(SUBSTITUTE(AL227,",",""))+1))*62%)* 2)*(1 + (AP227 / (IF(_xlfn.XLOOKUP(_xlfn.XLOOKUP(B227,'Base stats'!B:B,'Base stats'!E:E),Groups!A:A,Groups!AJ:AJ)="Photonozoa",0.3,1)) + _xlfn.XLOOKUP(B227,'Base stats'!B:B,'Base stats'!AV:AV) * 1.8) * 2) * 2.5 + 10 + I227 * 2,5)+IF(_xlfn.XLOOKUP(B227,'Base stats'!B:B,'Base stats'!AK:AK)=1,50,0)</f>
        <v>125</v>
      </c>
      <c r="BS227" s="8">
        <f t="shared" si="26"/>
        <v>0.35000000000000003</v>
      </c>
      <c r="BT227" s="8" t="str">
        <f>_xlfn.XLOOKUP(B227,'Base stats'!B:B,'Base stats'!AF:AF)</f>
        <v>No</v>
      </c>
      <c r="BU227" s="2" t="str">
        <f>IF(AND(J227&lt;=0.95,OR(_xlfn.XLOOKUP(B227,'Base stats'!B:B,'Base stats'!AK:AK)=1,_xlfn.XLOOKUP(B227,'Base stats'!B:B,'Base stats'!Y:Y)="Carnivore",_xlfn.XLOOKUP(B227,'Base stats'!B:B,'Base stats'!Y:Y)="Omnivore",BE227&gt;0.1)),"true","false")</f>
        <v>true</v>
      </c>
      <c r="BV227" s="2" t="str">
        <f>IF(_xlfn.XLOOKUP(B227,'Base stats'!B:B,'Base stats'!AI:AI)=1,"true","false")</f>
        <v>false</v>
      </c>
      <c r="BW227" s="25" t="str">
        <f>IF(E227="BaseInsect","AnimalInsect",
IF(J227&gt;0.95,"AnimalExotic",
_xlfn.TEXTJOIN(", ",TRUE,
IF(OR(_xlfn.XLOOKUP(B227,'Base stats'!B:B,'Base stats'!AM:AM)=1,AND(_xlfn.XLOOKUP(B227,'Base stats'!B:B,'Base stats'!O:O)=0,_xlfn.XLOOKUP(_xlfn.XLOOKUP(B227,'Base stats'!B:B,'Base stats'!E:E),Groups!A:A,Groups!B:B)&gt;0)),"AnimalUncommon","AnimalCommon"),
IF(AND(_xlfn.XLOOKUP(B227,'Base stats'!B:B,'Base stats'!O:O)=2,_xlfn.XLOOKUP(_xlfn.XLOOKUP(B227,'Base stats'!B:B,'Base stats'!E:E),Groups!A:A,Groups!D:D)=0),"AnimalPet",IF(AND(_xlfn.XLOOKUP(B227,'Base stats'!B:B,'Base stats'!O:O)&lt;&gt;0,_xlfn.XLOOKUP(_xlfn.XLOOKUP(B227,'Base stats'!B:B,'Base stats'!E:E),Groups!A:A,Groups!D:D)&lt;&gt;0),"AnimalFarm","")),
IF(OR(_xlfn.XLOOKUP(B227,'Base stats'!B:B,'Base stats'!AK:AK)=1,AND(BI227&lt;&gt;"None",BR227&gt;=60),ISNUMBER(SEARCH("Attack target",BP227))),"AnimalFighter","")
)))</f>
        <v>AnimalUncommon, AnimalFighter</v>
      </c>
      <c r="BX227" s="25" t="str">
        <f>IF(G227="None",TRIM(
SUBSTITUTE(
IF(COUNTIF(Biomes!B$2:B$259,"="&amp;$C227)&gt;0,Biomes!B$1&amp;", ","")&amp;
IF(COUNTIF(Biomes!C$2:C$259,"="&amp;$C227)&gt;0,Biomes!C$1&amp;", ","")&amp;
IF(COUNTIF(Biomes!D$2:D$259,"="&amp;$C227)&gt;0,Biomes!D$1&amp;", ","")&amp;
IF(COUNTIF(Biomes!F$2:F$259,"="&amp;$C227)&gt;0,Biomes!F$1&amp;", ","")&amp;
IF(COUNTIF(Biomes!G$2:G$259,"="&amp;$C227)&gt;0,Biomes!G$1&amp;", ","")&amp;
IF(COUNTIF(Biomes!H$2:H$259,"="&amp;$C227)&gt;0,Biomes!H$1&amp;", ","")&amp;
IF(COUNTIF(Biomes!I$2:I$259,"="&amp;$C227)&gt;0,Biomes!I$1&amp;", ","")&amp;
IF(COUNTIF(Biomes!J$2:J$259,"="&amp;$C227)&gt;0,Biomes!J$1&amp;", ","")&amp;
IF(COUNTIF(Biomes!M$2:M$259,"="&amp;$C227)&gt;0,Biomes!M$1&amp;", ","")&amp;
IF(COUNTIF(Biomes!N$2:N$259,"="&amp;$C227)&gt;0,Biomes!N$1&amp;", ","")&amp;
IF(COUNTIF(Biomes!O$2:O$259,"="&amp;$C227)&gt;0,Biomes!O$1&amp;", ","")&amp;
IF(COUNTIF(Biomes!P$2:P$259,"="&amp;$C227)&gt;0,Biomes!P$1&amp;", ","")&amp;
IF(COUNTIF(Biomes!K$2:K$259,"="&amp;$C227)&gt;0,Biomes!K$1&amp;", ","")&amp;
IF(COUNTIF(Biomes!Q$3:Q$259,"="&amp;$C227)&gt;0,Biomes!Q$1&amp;", ","")&amp;
IF(COUNTIF(Biomes!L$2:L$259,"="&amp;$C227)&gt;0,Biomes!L$1&amp;", ","")&amp;
IF(COUNTIF(Biomes!E$2:E$259,"="&amp;$C227)&gt;0,Biomes!E$1&amp;", ","")&amp;IF(COUNTIF(Biomes!S$2:S$259,"="&amp;$C227)&gt;0,Biomes!S$1&amp;", ","")&amp;
IF(COUNTIF(Biomes!R$2:R$259,"="&amp;$C227)&gt;0,Biomes!R$1&amp;", ",""),", ","")
),_xlfn.XLOOKUP(B227,B:B,BX:BX))</f>
        <v>Desert ExtremeDesert</v>
      </c>
      <c r="BY227" s="25" t="str">
        <f>IF(_xlfn.XLOOKUP(B227,'Base stats'!B:B,'Base stats'!AJ:AJ)=1,"true","false")</f>
        <v>false</v>
      </c>
      <c r="BZ227" s="25">
        <f>IF(_xlfn.XLOOKUP(B227,'Base stats'!B:B,'Base stats'!N:N)=1,"No",MAX(0.001,MIN(MROUND(IF(AND(BJ227="True",CC227="False"),POWER(10,3.47*LOG10(_xlfn.XLOOKUP(B227,'Base stats'!B:B,'Base stats'!C:C)*1000)^-0.96),POWER(10,4.15*LOG10(_xlfn.XLOOKUP(B227,'Base stats'!B:B,'Base stats'!C:C)*1000)^-0.73))*IF(_xlfn.XLOOKUP(B227,'Base stats'!B:B,'Base stats'!AK:AK)=1,0.5,1)*IF(_xlfn.XLOOKUP(B227,'Base stats'!B:B,'Base stats'!AM:AM)=1,0.1,1)/100,IF(_xlfn.XLOOKUP(B227,'Base stats'!B:B,'Base stats'!AM:AM)=1,0.001,0.025)),0.5)))</f>
        <v>0.2</v>
      </c>
      <c r="CA227" s="25" t="str">
        <f>IF(P227="Standard","No",MAX(0.001,MIN(MROUND(IF(AND(BJ227="True",CC227="False"),POWER(10,3.47*LOG10(_xlfn.XLOOKUP(B227,'Base stats'!B:B,'Base stats'!C:C)*1000)^-0.96),POWER(10,4.15*LOG10(_xlfn.XLOOKUP(B227,'Base stats'!B:B,'Base stats'!C:C)*1000)^-0.73))*IF(_xlfn.XLOOKUP(B227,'Base stats'!B:B,'Base stats'!AM:AM)=1,0.1,1)*_xlfn.XLOOKUP(B227,'Base stats'!B:B,'Base stats'!R:R)/100,IF(_xlfn.XLOOKUP(B227,'Base stats'!B:B,'Base stats'!AM:AM)=1,0.001,0.025)),0.5)))</f>
        <v>No</v>
      </c>
      <c r="CB227" s="25" t="str">
        <f>IF(_xlfn.XLOOKUP(_xlfn.XLOOKUP(B227,'Base stats'!B:B,'Base stats'!E:E),Groups!A:A,Groups!AJ:AJ)="Mammal","True","False")</f>
        <v>False</v>
      </c>
      <c r="CC227" s="25" t="str">
        <f>IF(OR(_xlfn.XLOOKUP(_xlfn.XLOOKUP(B227,'Base stats'!B:B,'Base stats'!E:E),Groups!A:A,Groups!AJ:AJ)="Reptile",_xlfn.XLOOKUP(_xlfn.XLOOKUP(B227,'Base stats'!B:B,'Base stats'!E:E),Groups!A:A,Groups!AJ:AJ)="Amphibian",_xlfn.XLOOKUP(_xlfn.XLOOKUP(B227,'Base stats'!B:B,'Base stats'!E:E),Groups!A:A,Groups!AJ:AJ)="Invertebrate"),"True","False")</f>
        <v>True</v>
      </c>
      <c r="CD227" s="25" t="str">
        <f t="shared" si="27"/>
        <v>False</v>
      </c>
      <c r="CE227" s="25" t="str">
        <f>IF(_xlfn.XLOOKUP(_xlfn.XLOOKUP(B227,'Base stats'!B:B,'Base stats'!E:E),Groups!A:A,Groups!AX:AX),"True","False")</f>
        <v>False</v>
      </c>
      <c r="CF227" s="25" t="str">
        <f>IF(_xlfn.XLOOKUP(_xlfn.XLOOKUP(B227,'Base stats'!B:B,'Base stats'!E:E),Groups!A:A,Groups!AY:AY),"True","False")</f>
        <v>False</v>
      </c>
      <c r="CG227" s="25" t="str">
        <f>IF(_xlfn.XLOOKUP(_xlfn.XLOOKUP(B227,'Base stats'!B:B,'Base stats'!E:E),Groups!A:A,Groups!AW:AW),"True","False")</f>
        <v>False</v>
      </c>
      <c r="CH227" s="25" t="str">
        <f>IF(
OR(
_xlfn.XLOOKUP(_xlfn.XLOOKUP(B227,'Base stats'!B:B,'Base stats'!E:E),Groups!A:A,Groups!AZ:AZ)=0,
AND(
_xlfn.XLOOKUP(B227,'Base stats'!B:B,'Base stats'!Y:Y)&lt;&gt;"Carnivore",
_xlfn.XLOOKUP(B227,'Base stats'!B:B,'Base stats'!Y:Y)&lt;&gt;"Omnivore",
_xlfn.XLOOKUP(B227,'Base stats'!B:B,'Base stats'!Y:Y)&lt;&gt;"OmnivoreRough"
)
),
"No",
IF(
_xlfn.XLOOKUP(_xlfn.XLOOKUP(B227,'Base stats'!B:B,'Base stats'!E:E),Groups!A:A,Groups!AZ:AZ)=1,
"Flesh",
IF(
_xlfn.XLOOKUP(_xlfn.XLOOKUP(B227,'Base stats'!B:B,'Base stats'!E:E),Groups!A:A,Groups!AZ:AZ)=2,
"Bone",
""
)
)
)</f>
        <v>No</v>
      </c>
      <c r="CI227" s="25" t="str">
        <f>IF(_xlfn.XLOOKUP(_xlfn.XLOOKUP(B227,'Base stats'!B:B,'Base stats'!E:E),Groups!A:A,Groups!BB:BB),"True","False")</f>
        <v>False</v>
      </c>
      <c r="CJ227" s="25" t="str">
        <f>IF(_xlfn.XLOOKUP(_xlfn.XLOOKUP(B227,'Base stats'!B:B,'Base stats'!E:E),Groups!A:A,Groups!BA:BA),"True","False")</f>
        <v>False</v>
      </c>
    </row>
    <row r="228" spans="1:88" ht="16.5" thickTop="1" thickBot="1" x14ac:dyDescent="0.3">
      <c r="A228" s="26" t="s">
        <v>1364</v>
      </c>
      <c r="B228" s="6" t="str">
        <f>_xlfn.XLOOKUP(A228,'Base stats'!A:A,'Base stats'!B:B)</f>
        <v>Cimex titanus</v>
      </c>
      <c r="C228" s="28" t="s">
        <v>1365</v>
      </c>
      <c r="D228" s="28" t="s">
        <v>1341</v>
      </c>
      <c r="E228" s="28" t="s">
        <v>1747</v>
      </c>
      <c r="F228" s="28" t="s">
        <v>673</v>
      </c>
      <c r="G228" s="28" t="s">
        <v>673</v>
      </c>
      <c r="H228" s="2">
        <f>MROUND((
  (IF(AND(_xlfn.XLOOKUP(B228,'Base stats'!B:B,'Base stats'!AL:AL)=0,BI228="None",_xlfn.XLOOKUP(_xlfn.XLOOKUP(B228,'Base stats'!B:B,'Base stats'!E:E),Groups!A:A,Groups!B:B)=0), (18 + BR228 * 2.7) * 0.5,
    IF(AND(_xlfn.XLOOKUP(B228,'Base stats'!B:B,'Base stats'!AL:AL)=0,OR(AO228&lt;0.55,AND(BI228="Intermediate",_xlfn.XLOOKUP(_xlfn.XLOOKUP(B228,'Base stats'!B:B,'Base stats'!E:E),Groups!A:A,Groups!B:B)&lt;2))), (18 + BR228 * 2.7),
      IF(OR(BI228="Advanced",_xlfn.XLOOKUP(B228,'Base stats'!B:B,'Base stats'!AL:AL)=1,_xlfn.XLOOKUP(_xlfn.XLOOKUP(B228,'Base stats'!B:B,'Base stats'!E:E),Groups!A:A,Groups!B:B)=2), (18 + BR228 * 2.7) + 250, (18 + BR228 * 2.7))
    )
  ))
  + AO228 * 80
  + IF(COUNTIF(EggMilk!K$2:K$998, A228) &gt; 0, 125, 0)
  + IF(COUNTIF(EggMilk!P$2:P$998, A228) &gt; 0, 90, 0)
  + IF(COUNTIF(EggMilk!A$2:A$998, A228) &gt; 0, 90, 0)
)
* (0.8 + 0.4 * J228)
* 0.75,25)</f>
        <v>275</v>
      </c>
      <c r="I228" s="2">
        <f>MROUND(ROUNDDOWN(_xlfn.XLOOKUP(B228,'Base stats'!B:B,'Base stats'!L:L)/3.6/(23.3/11),1),0.5)</f>
        <v>3</v>
      </c>
      <c r="J228" s="2">
        <f>IF(OR(_xlfn.XLOOKUP(B228,'Base stats'!B:B,'Base stats'!AB:AB)=1,_xlfn.XLOOKUP(_xlfn.XLOOKUP(B228,'Base stats'!B:B,'Base stats'!E:E),Groups!A:A,Groups!C:C)="Untamable"),1,IF(_xlfn.XLOOKUP(B228,'Base stats'!B:B,'Base stats'!AL:AL)=1,0.99,MIN(MROUND((1-0.6282*EXP(-0.459*AO228))*_xlfn.XLOOKUP(_xlfn.XLOOKUP(B228,'Base stats'!B:B,'Base stats'!E:E),Groups!A:A,Groups!C:C)*IF(_xlfn.XLOOKUP(B228,'Base stats'!B:B,'Base stats'!O:O)=1,0.5,IF(_xlfn.XLOOKUP(B228,'Base stats'!B:B,'Base stats'!O:O)=2,0,1)),0.05),IF(AO228&gt;3.5,0.985,0.95))))</f>
        <v>0.60000000000000009</v>
      </c>
      <c r="K228" s="2">
        <f>ROUNDUP(AO228*_xlfn.XLOOKUP(_xlfn.XLOOKUP(B228,'Base stats'!B:B,'Base stats'!E:E),Groups!A:A,Groups!E:E),0)</f>
        <v>1</v>
      </c>
      <c r="L228" s="2">
        <f>IF(OR(_xlfn.XLOOKUP(_xlfn.XLOOKUP(B228,'Base stats'!B:B,'Base stats'!E:E),Groups!A:A,Groups!F:F)=2,ISNUMBER(SEARCH("SeaIce",BX228)),ISNUMBER(SEARCH("IceSheet",BX228))),-50,IF(OR(ISNUMBER(SEARCH("GlacialPlain",BX228)),ISNUMBER(SEARCH("Tundra",BX228))),-40,IF(OR(ISNUMBER(SEARCH("Alpine",BX228)),ISNUMBER(SEARCH("BorealForest",BX228)),ISNUMBER(SEARCH("ColdBog",BX228))),-30,IF(OR(ISNUMBER(SEARCH("TemperateForest",BX228)),ISNUMBER(SEARCH("TemperateSwamp",BX228))),-20,IF(_xlfn.XLOOKUP(_xlfn.XLOOKUP(B228,'Base stats'!B:B,'Base stats'!E:E),Groups!A:A,Groups!F:F)=1,-15,IF(OR(ISNUMBER(SEARCH("Desert",BX228)),ISNUMBER(SEARCH("ExtremeDesert",BX228))),-10,IF(OR(ISNUMBER(SEARCH("Grasslands",BX228)),ISNUMBER(SEARCH("TropicalRainforest",BX228)),ISNUMBER(SEARCH("TropicalSwamp",BX228))),10,0)))))))-IF(CC228="False",MIN(IFERROR(MAX(MROUND(LOG10(_xlfn.XLOOKUP(B228,'Base stats'!B:B,'Base stats'!C:C)^(2/3))*10,5),5),5),30))-_xlfn.XLOOKUP(B228,'Base stats'!B:B,'Base stats'!P:P)+IF(CC228="True",5,0)</f>
        <v>-15</v>
      </c>
      <c r="M228" s="2">
        <f>IF(OR(_xlfn.XLOOKUP(_xlfn.XLOOKUP(B228,'Base stats'!B:B,'Base stats'!E:E),Groups!A:A,Groups!G:G)=2,ISNUMBER(SEARCH("Desert",BX228)),ISNUMBER(SEARCH("ExtremeDesert",BX228)),ISNUMBER(SEARCH("LavaField",BX228))),50,IF(ISNUMBER(SEARCH("Grasslands",BX228)),45,IF(OR(_xlfn.XLOOKUP(_xlfn.XLOOKUP(B228,'Base stats'!B:B,'Base stats'!E:E),Groups!A:A,Groups!G:G)=1,ISNUMBER(SEARCH("TropicalRainforest",BX228)),ISNUMBER(SEARCH("TropicalSwamp",BX228))),40,IF(OR(ISNUMBER(SEARCH("TemperateForest",BX228)),ISNUMBER(SEARCH("TemperateSwamp",BX228))),35,IF(OR(ISNUMBER(SEARCH("Alpine",BX228)),ISNUMBER(SEARCH("BorealForest",BX228)),ISNUMBER(SEARCH("ColdBog",BX228))),30,IF(ISNUMBER(OR(ISNUMBER(SEARCH("GlacialPlain",BX228)),SEARCH("Tundra",BX228))),25,IF(OR(ISNUMBER(SEARCH("SeaIce",BX228)),ISNUMBER(SEARCH("IceSheet",BX228)),ISNUMBER(SEARCH("TropicalSwamp",BX228))),10,35)))))))+_xlfn.XLOOKUP(B228,'Base stats'!B:B,'Base stats'!Q:Q)</f>
        <v>50</v>
      </c>
      <c r="N228" s="8">
        <f>IF(
_xlfn.XLOOKUP(
_xlfn.XLOOKUP(B228,'Base stats'!B:B,'Base stats'!E:E),
Groups!A:A,
Groups!L:L
)=1,
MIN(
MROUND(
IF(
_xlfn.XLOOKUP(B228,'Animals CE'!B:B,'Animals CE'!Z:Z)&lt;=1.5,
_xlfn.XLOOKUP(B228,'Animals CE'!B:B,'Animals CE'!Z:Z)/2+0.05,
0.8+
(_xlfn.XLOOKUP(B228,'Animals CE'!B:B,'Animals CE'!Z:Z)-1.5)
*0.02
),
0.05
),
200%
),
"No"
)</f>
        <v>0.45</v>
      </c>
      <c r="O228" s="8">
        <f>IF(
_xlfn.XLOOKUP(
_xlfn.XLOOKUP(B228,'Base stats'!B:B,'Base stats'!E:E),
Groups!A:A,
Groups!L:L
)=1,
MIN(
MROUND(
IF(
_xlfn.XLOOKUP(B228,'Animals CE'!B:B,'Animals CE'!AA:AA)&lt;=1.5,
_xlfn.XLOOKUP(B228,'Animals CE'!B:B,'Animals CE'!AA:AA)/2+0.05,
0.8+
(_xlfn.XLOOKUP(B228,'Animals CE'!B:B,'Animals CE'!AA:AA)-1.5)
*0.02
),
0.05
),
200%
),
"No"
)</f>
        <v>0.1</v>
      </c>
      <c r="P228" s="2">
        <f>_xlfn.XLOOKUP(B228,'Base stats'!B:B,'Base stats'!R:R)</f>
        <v>0.8</v>
      </c>
      <c r="Q228" s="13">
        <f>MROUND((LOG10(_xlfn.XLOOKUP(B228,'Base stats'!B:B,'Base stats'!AR:AR))*(AO228^0.5)+(_xlfn.XLOOKUP(B228,'Base stats'!B:B,'Base stats'!AR:AR)/1000)^(2/3)+_xlfn.XLOOKUP(B228,'Base stats'!B:B,'Base stats'!BA:BA)/2)+0.5,0.5)</f>
        <v>6</v>
      </c>
      <c r="R228" s="7">
        <f>IF(Q228="No","No",MAX(1,MROUND(_xlfn.XLOOKUP(B228,'Base stats'!B:B,'Base stats'!C:C)^0.165,0.05)))</f>
        <v>1.85</v>
      </c>
      <c r="S228" s="13" t="str">
        <f>IF(_xlfn.XLOOKUP(_xlfn.XLOOKUP(B228,'Base stats'!B:B,'Base stats'!E:E),Groups!A:A,Groups!P:P)=0,"No",MROUND((LOG10(_xlfn.XLOOKUP(B228,'Base stats'!B:B,'Base stats'!AS:AS))*(AO228^0.5)+(_xlfn.XLOOKUP(B228,'Base stats'!B:B,'Base stats'!AS:AS)/1000)^(2/3)+_xlfn.XLOOKUP(B228,'Base stats'!B:B,'Base stats'!BA:BA))+_xlfn.XLOOKUP(B228,'Base stats'!B:B,'Base stats'!AY:AY)+0.5,0.5))</f>
        <v>No</v>
      </c>
      <c r="T228" s="7" t="str">
        <f>IF(S228="No","No",MAX(_xlfn.XLOOKUP(_xlfn.XLOOKUP(B228,'Base stats'!B:B,'Base stats'!E:E),Groups!A:A,Groups!Q:Q),MROUND(_xlfn.XLOOKUP(_xlfn.XLOOKUP(B228,'Base stats'!B:B,'Base stats'!E:E),Groups!A:A,Groups!Q:Q)*_xlfn.XLOOKUP(B228,'Base stats'!B:B,'Base stats'!C:C)^0.165,0.05)))</f>
        <v>No</v>
      </c>
      <c r="U228" s="7" t="str">
        <f>IF(S228="No","No",_xlfn.XLOOKUP(_xlfn.XLOOKUP(B228,'Base stats'!B:B,'Base stats'!E:E),Groups!A:A,Groups!R:R))</f>
        <v>No</v>
      </c>
      <c r="V228" s="7" t="str">
        <f>IF(S228="No","No",_xlfn.XLOOKUP(_xlfn.XLOOKUP(B228,'Base stats'!B:B,'Base stats'!E:E),Groups!A:A,Groups!S:S))</f>
        <v>No</v>
      </c>
      <c r="W228" s="7" t="str">
        <f>IF(S228="No","No",_xlfn.XLOOKUP(_xlfn.XLOOKUP(B228,'Base stats'!B:B,'Base stats'!E:E),Groups!A:A,Groups!T:T))</f>
        <v>No</v>
      </c>
      <c r="X228" s="13" t="str">
        <f>IF(_xlfn.XLOOKUP(B228,'Base stats'!B:B,'Base stats'!W:W)="No","No",MROUND((LOG10(_xlfn.XLOOKUP(B228,'Base stats'!B:B,'Base stats'!AU:AU))*(AO228^0.5)+(_xlfn.XLOOKUP(B228,'Base stats'!B:B,'Base stats'!AU:AU)/1000)^(2/3)+_xlfn.XLOOKUP(B228,'Base stats'!B:B,'Base stats'!AZ:AZ))+0.5+IF(_xlfn.XLOOKUP(_xlfn.XLOOKUP(B228,'Base stats'!B:B,'Base stats'!E:E),Groups!A:A,Groups!U:U)&lt;&gt;3,_xlfn.XLOOKUP(B228,'Base stats'!B:B,'Base stats'!BA:BA),0),0.5))</f>
        <v>No</v>
      </c>
      <c r="Y228" s="7" t="str">
        <f>IF(X228="No","No",MAX(_xlfn.XLOOKUP(_xlfn.XLOOKUP(B228,'Base stats'!B:B,'Base stats'!E:E),Groups!A:A,Groups!V:V),MROUND(_xlfn.XLOOKUP(_xlfn.XLOOKUP(B228,'Base stats'!B:B,'Base stats'!E:E),Groups!A:A,Groups!V:V)*_xlfn.XLOOKUP(B228,'Base stats'!B:B,'Base stats'!C:C)^0.165,0.05)))</f>
        <v>No</v>
      </c>
      <c r="Z228" s="7" t="str">
        <f>IF(X228="No","No",_xlfn.XLOOKUP(_xlfn.XLOOKUP(B228,'Base stats'!B:B,'Base stats'!E:E),Groups!A:A,Groups!W:W))</f>
        <v>No</v>
      </c>
      <c r="AA228" s="7" t="str">
        <f>IF(X228="No","No",_xlfn.XLOOKUP(_xlfn.XLOOKUP(B228,'Base stats'!B:B,'Base stats'!E:E),Groups!A:A,Groups!X:X))</f>
        <v>No</v>
      </c>
      <c r="AB228" s="7" t="str">
        <f>IF(X228="No","No",_xlfn.XLOOKUP(_xlfn.XLOOKUP(B228,'Base stats'!B:B,'Base stats'!E:E),Groups!A:A,Groups!Y:Y))</f>
        <v>No</v>
      </c>
      <c r="AC228" s="7" t="str">
        <f>_xlfn.XLOOKUP(Animals!B228,'Base stats'!B:B,'Base stats'!X:X)</f>
        <v>False</v>
      </c>
      <c r="AD228" s="13">
        <f>IF(_xlfn.XLOOKUP(B228,'Base stats'!B:B,'Base stats'!AT:AT)="No","No",MROUND((LOG10(_xlfn.XLOOKUP(B228,'Base stats'!B:B,'Base stats'!AT:AT))*(AO228^0.75)+(_xlfn.XLOOKUP(B228,'Base stats'!B:B,'Base stats'!AT:AT)/1000)^(2/3)+_xlfn.XLOOKUP(B228,'Base stats'!B:B,'Base stats'!AX:AX)+_xlfn.XLOOKUP(B228,'Base stats'!B:B,'Base stats'!BA:BA))+0.5,0.5))</f>
        <v>15.5</v>
      </c>
      <c r="AE228" s="7">
        <f>IF(AD228="No","No",MAX(_xlfn.XLOOKUP(_xlfn.XLOOKUP(B228,'Base stats'!B:B,'Base stats'!E:E),Groups!A:A,Groups!Z:Z),MROUND(_xlfn.XLOOKUP(_xlfn.XLOOKUP(B228,'Base stats'!B:B,'Base stats'!E:E),Groups!A:A,Groups!Z:Z)*_xlfn.XLOOKUP(B228,'Base stats'!B:B,'Base stats'!C:C)^0.165,0.05)))</f>
        <v>2.2000000000000002</v>
      </c>
      <c r="AF228" s="7" t="str">
        <f>IF(AD228="No","No",_xlfn.XLOOKUP(_xlfn.XLOOKUP(B228,'Base stats'!B:B,'Base stats'!E:E),Groups!A:A,Groups!AA:AA))</f>
        <v>Mouth</v>
      </c>
      <c r="AG228" s="7" t="str">
        <f>IF(AD228="No","No",_xlfn.XLOOKUP(_xlfn.XLOOKUP(B228,'Base stats'!B:B,'Base stats'!E:E),Groups!A:A,Groups!AB:AB))</f>
        <v>mandibles</v>
      </c>
      <c r="AH228" s="7" t="str">
        <f>IF(AD228="No","No",_xlfn.XLOOKUP(_xlfn.XLOOKUP(B228,'Base stats'!B:B,'Base stats'!E:E),Groups!A:A,Groups!AC:AC))</f>
        <v>AA_ParalysingBite</v>
      </c>
      <c r="AI228" s="13" t="str">
        <f>IF(_xlfn.XLOOKUP(_xlfn.XLOOKUP(B228,'Base stats'!B:B,'Base stats'!E:E),Groups!A:A,Groups!AD:AD)=0,"No",MROUND((LOG10(_xlfn.XLOOKUP(B228,'Base stats'!B:B,'Base stats'!AS:AS))*(AO228^0.75)+(_xlfn.XLOOKUP(B228,'Base stats'!B:B,'Base stats'!AS:AS)/1000)^(2/3)+_xlfn.XLOOKUP(B228,'Base stats'!B:B,'Base stats'!AY:AY)+_xlfn.XLOOKUP(B228,'Base stats'!B:B,'Base stats'!BA:BA))+0.5,0.5))</f>
        <v>No</v>
      </c>
      <c r="AJ228" s="7" t="str">
        <f>IF(AI228="No","No",MAX(_xlfn.XLOOKUP(_xlfn.XLOOKUP(B228,'Base stats'!B:B,'Base stats'!E:E),Groups!A:A,Groups!AE:AE),MROUND(_xlfn.XLOOKUP(_xlfn.XLOOKUP(B228,'Base stats'!B:B,'Base stats'!E:E),Groups!A:A,Groups!AE:AE)*IF(_xlfn.XLOOKUP(_xlfn.XLOOKUP(B228,'Base stats'!B:B,'Base stats'!E:E),Groups!A:A,Groups!AJ:AJ)="Photonozoa",0.6,1)*_xlfn.XLOOKUP(B228,'Base stats'!B:B,'Base stats'!C:C)^0.165,0.05)))</f>
        <v>No</v>
      </c>
      <c r="AK228" s="7" t="str">
        <f>IF(AI228="No","No",_xlfn.XLOOKUP(_xlfn.XLOOKUP(B228,'Base stats'!B:B,'Base stats'!E:E),Groups!A:A,Groups!AF:AF))</f>
        <v>No</v>
      </c>
      <c r="AL228" s="7" t="str">
        <f>IF(AI228="No","No",_xlfn.XLOOKUP(_xlfn.XLOOKUP(B228,'Base stats'!B:B,'Base stats'!E:E),Groups!A:A,Groups!AG:AG))</f>
        <v>No</v>
      </c>
      <c r="AM228" s="7" t="str">
        <f>IF(AI228="No","No",_xlfn.XLOOKUP(_xlfn.XLOOKUP(B228,'Base stats'!B:B,'Base stats'!E:E),Groups!A:A,Groups!AH:AH))</f>
        <v>No</v>
      </c>
      <c r="AN228" s="2">
        <f t="shared" si="21"/>
        <v>20</v>
      </c>
      <c r="AO228" s="2">
        <f>MROUND(IF(AND(_xlfn.XLOOKUP(B228,'Base stats'!B:B,'Base stats'!C:C)&gt;=0.5,_xlfn.XLOOKUP(B228,'Base stats'!B:B,'Base stats'!C:C)&lt;=0.8),
IF(_xlfn.XLOOKUP(B228,'Base stats'!B:B,'Base stats'!C:C)&lt;0.1,0.05,IF(_xlfn.XLOOKUP(B228,'Base stats'!B:B,'Base stats'!C:C)&lt;=70,(_xlfn.XLOOKUP(B228,'Base stats'!B:B,'Base stats'!C:C)/70)^0.426489913056526,IF(_xlfn.XLOOKUP(B228,'Base stats'!B:B,'Base stats'!C:C)&lt;=400,(_xlfn.XLOOKUP(B228,'Base stats'!B:B,'Base stats'!C:C)/70)^0.572811455315093,IF(_xlfn.XLOOKUP(B228,'Base stats'!B:B,'Base stats'!C:C)&lt;=2000,2.71391647193063*(_xlfn.XLOOKUP(B228,'Base stats'!B:B,'Base stats'!C:C)/400)^0.252459582904293,3.74314280240376*(_xlfn.XLOOKUP(B228,'Base stats'!B:B,'Base stats'!C:C)/2000)^0.357012633876913)))),
IF(_xlfn.XLOOKUP(B228,'Base stats'!B:B,'Base stats'!C:C)&lt;0.1,0.05,IF(_xlfn.XLOOKUP(B228,'Base stats'!B:B,'Base stats'!C:C)&lt;0.4,0.1,IF(_xlfn.XLOOKUP(B228,'Base stats'!B:B,'Base stats'!C:C)&lt;=70,(_xlfn.XLOOKUP(B228,'Base stats'!B:B,'Base stats'!C:C)/70)^0.445823913056526,IF(_xlfn.XLOOKUP(B228,'Base stats'!B:B,'Base stats'!C:C)&lt;=400,(_xlfn.XLOOKUP(B228,'Base stats'!B:B,'Base stats'!C:C)/70)^0.572811455315093,IF(_xlfn.XLOOKUP(B228,'Base stats'!B:B,'Base stats'!C:C)&lt;=2000,2.71391647193063*(_xlfn.XLOOKUP(B228,'Base stats'!B:B,'Base stats'!C:C)/400)^0.252459582904293,3.74314280240376*(_xlfn.XLOOKUP(B228,'Base stats'!B:B,'Base stats'!C:C)/2000)^0.357012633876913)))))),
IF(_xlfn.XLOOKUP(B228,'Base stats'!B:B,'Base stats'!C:C)&lt;0.1,0.05,IF(_xlfn.XLOOKUP(B228,'Base stats'!B:B,'Base stats'!C:C)&lt;=100,0.05,IF(_xlfn.XLOOKUP(B228,'Base stats'!B:B,'Base stats'!C:C)&lt;=250,0.1,IF(_xlfn.XLOOKUP(B228,'Base stats'!B:B,'Base stats'!C:C)&lt;=4000,0.25,0.5)))))</f>
        <v>0.8</v>
      </c>
      <c r="AP228" s="8">
        <f>MROUND(AO228*_xlfn.XLOOKUP(_xlfn.XLOOKUP(B228,'Base stats'!B:B,'Base stats'!E:E),Groups!A:A,Groups!AI:AI)*_xlfn.XLOOKUP(B228,'Base stats'!B:B,'Base stats'!Z:Z),0.05)</f>
        <v>0.8</v>
      </c>
      <c r="AQ228" s="8">
        <f>MAX(0.01,MROUND(IF(CC228="True",0.196*(AO228*100*1000)^0.889,IF(_xlfn.XLOOKUP(_xlfn.XLOOKUP(B228,'Base stats'!B:B,'Base stats'!E:E),Groups!A:A,Groups!AJ:AJ)="Bird",10.5*(AO228*100*1000)^0.681,4.82*(AO228*100*1000)^0.734))/(4.82*(1*100*1000)^0.734)/IF(AO228&lt;3.5,2,IF(AO228=3.5,1.5,1.25))*(1+0.132282374779864/(AO228^0.994035016789033+0.00905238001496948)),0.05))</f>
        <v>0.1</v>
      </c>
      <c r="AR228" s="9">
        <f>IFERROR(MROUND(_xlfn.XLOOKUP(B228,'Base stats'!B:B,'Base stats'!H:H)/IF(_xlfn.XLOOKUP(B228,'Base stats'!B:B,'Base stats'!I:I)&lt;&gt;1,(122.5/70),1.2),IF(_xlfn.XLOOKUP(B228,'Base stats'!B:B,'Base stats'!H:H)&gt;=30,5,IF(_xlfn.XLOOKUP(B228,'Base stats'!B:B,'Base stats'!H:H)&gt;=15,3,IF(_xlfn.XLOOKUP(B228,'Base stats'!B:B,'Base stats'!H:H)&gt;=10,2,1)))),"Immortal")</f>
        <v>6</v>
      </c>
      <c r="AS228" s="35" t="str">
        <f>IFERROR(IF(OR(_xlfn.XLOOKUP(B228,'Base stats'!B:B,'Base stats'!F:F)="Atypical reproduction",_xlfn.XLOOKUP(B228,'Base stats'!B:B,'Base stats'!F:F)="Lay eggs"),"Lay eggs",MIN(20,MAX(5.5,ROUND(((_xlfn.XLOOKUP(B228,'Base stats'!B:B,'Base stats'!F:F)-25)*(14.5/615) + 5.5)*2,0)/2))),"Unknown")</f>
        <v>Lay eggs</v>
      </c>
      <c r="AT228" s="8">
        <f>IF(_xlfn.XLOOKUP(B228,'Base stats'!B:B,'Base stats'!G:G)="Atypical reproduction","No",IFERROR(MAX(IF(_xlfn.XLOOKUP(B228,'Base stats'!B:B,'Base stats'!G:G)&lt;0.5,0.2,0.3),MROUND(_xlfn.XLOOKUP(B228,'Base stats'!B:B,'Base stats'!G:G)/(365/60),0.2)),"Unknown"))</f>
        <v>0.4</v>
      </c>
      <c r="AU228" s="8">
        <f t="shared" si="22"/>
        <v>0.2</v>
      </c>
      <c r="AV228" s="8" t="str">
        <f>IFERROR(IFERROR(MROUND(_xlfn.XLOOKUP(B228,'Base stats'!B:B,'Base stats'!J:J),0.1),"Lay eggs"),"Cannot breed")</f>
        <v>Lay eggs</v>
      </c>
      <c r="AW228" s="2" t="str">
        <f t="shared" si="23"/>
        <v>false</v>
      </c>
      <c r="AX228" s="2" t="str">
        <f>IF(_xlfn.XLOOKUP(_xlfn.XLOOKUP(Animals!B228,'Base stats'!B:B,'Base stats'!E:E),Groups!A:A,Groups!AK:AK)=1,"true","false")</f>
        <v>false</v>
      </c>
      <c r="AY228" s="25" t="str">
        <f>IF(_xlfn.XLOOKUP(B228,'Base stats'!B:B,'Base stats'!Y:Y)="Liquor","Liquor, CarnivoreAnimalStrict",IF(AND(_xlfn.XLOOKUP(B228,'Base stats'!B:B,'Base stats'!Y:Y)="Carnivore",_xlfn.XLOOKUP(_xlfn.XLOOKUP(B228,'Base stats'!B:B,'Base stats'!E:E),Groups!A:A,Groups!AJ:AJ)="Photonozoa"),"CarnivoreAnimalStrict, OvivoreAnimal",IF(_xlfn.XLOOKUP(B228,'Base stats'!B:B,'Base stats'!Y:Y)="Carnivore","CarnivoreAnimal, OvivoreAnimal",IF(_xlfn.XLOOKUP(B228,'Base stats'!B:B,'Base stats'!Y:Y)="Dendrovore","VegetarianRoughAnimal, DendrovoreAnimal",IF(_xlfn.XLOOKUP(B228,'Base stats'!B:B,'Base stats'!Y:Y)="Herbivore","VegetarianRoughAnimal",IF(_xlfn.XLOOKUP(B228,'Base stats'!B:B,'Base stats'!Y:Y)="OmnivoreRough","OmnivoreRoughAnimal, OvivoreAnimal","OmnivoreAnimal, OvivoreAnimal"))))))</f>
        <v>OmnivoreAnimal, OvivoreAnimal</v>
      </c>
      <c r="AZ228" s="2" t="str">
        <f>IF(_xlfn.XLOOKUP(_xlfn.XLOOKUP(B228,'Base stats'!B:B,'Base stats'!E:E),Groups!A:A,Groups!D:D)=1,MROUND((1-J228)*5+1,2)*IF(J228&lt;=0.4,2,1),"No")</f>
        <v>No</v>
      </c>
      <c r="BA228" s="2" t="str">
        <f>IF(AND(_xlfn.XLOOKUP(B228,'Base stats'!B:B,'Base stats'!AH:AH)="&lt;li&gt;Seal&lt;/li&gt;",G228="Odyssey"),"&lt;li&gt;AEXP_Seal&lt;/li&gt;",_xlfn.XLOOKUP(B228,'Base stats'!B:B,'Base stats'!AH:AH))</f>
        <v>&lt;li&gt;Megaspider&lt;/li&gt;</v>
      </c>
      <c r="BB228" s="2" t="str">
        <f>_xlfn.XLOOKUP(B228,'Base stats'!B:B,'Base stats'!AG:AG)</f>
        <v>Leather_Chitin</v>
      </c>
      <c r="BC228" s="23" t="str">
        <f>_xlfn.XLOOKUP(_xlfn.XLOOKUP(B228,'Base stats'!B:B,'Base stats'!E:E),Groups!A:A,Groups!AL:AL)</f>
        <v>BeetleLike</v>
      </c>
      <c r="BD228" s="23">
        <f>MIN(1,MROUND(IF(AND(AO228&lt;0.5,_xlfn.XLOOKUP(B228,'Base stats'!B:B,'Base stats'!AA:AA)=0),0,IF(OR(_xlfn.XLOOKUP(Animals!B228,'Base stats'!B:B,'Base stats'!O:O)=2,_xlfn.XLOOKUP(_xlfn.XLOOKUP(B228,'Base stats'!B:B,'Base stats'!E:E),Groups!A:A,Groups!AN:AN)=0),0,_xlfn.XLOOKUP(_xlfn.XLOOKUP(B228,'Base stats'!B:B,'Base stats'!E:E),Groups!A:A,Groups!AN:AN)/IF(_xlfn.XLOOKUP(Animals!B228,'Base stats'!B:B,'Base stats'!O:O)=1,2,1)))+_xlfn.XLOOKUP(B228,'Base stats'!B:B,'Base stats'!AC:AC),0.005))</f>
        <v>0.1</v>
      </c>
      <c r="BE228" s="23">
        <f>MIN(1,MROUND(IF(AND(AO228&lt;0.5,_xlfn.XLOOKUP(B228,'Base stats'!B:B,'Base stats'!AA:AA)=0),0,IF(_xlfn.XLOOKUP(_xlfn.XLOOKUP(B228,'Base stats'!B:B,'Base stats'!E:E),Groups!A:A,Groups!AO:AO)=0,0,_xlfn.XLOOKUP(_xlfn.XLOOKUP(B228,'Base stats'!B:B,'Base stats'!E:E),Groups!A:A,Groups!AO:AO)/IF(_xlfn.XLOOKUP(Animals!B228,'Base stats'!B:B,'Base stats'!O:O)=2,3,1)))+_xlfn.XLOOKUP(B228,'Base stats'!B:B,'Base stats'!AD:AD),0.005))</f>
        <v>0.3</v>
      </c>
      <c r="BF228" s="2" t="str">
        <f>IF(J228&gt;0.3,"No",_xlfn.XLOOKUP(_xlfn.XLOOKUP(Animals!B228,'Base stats'!B:B,'Base stats'!E:E),Groups!A:A,Groups!AP:AP))</f>
        <v>No</v>
      </c>
      <c r="BG228" s="2" t="str">
        <f>IF(AND(J228&lt;=0.65,_xlfn.XLOOKUP(_xlfn.XLOOKUP(Animals!B228,'Base stats'!B:B,'Base stats'!E:E),Groups!A:A,Groups!AP:AP)&lt;&gt;"No",_xlfn.XLOOKUP(_xlfn.XLOOKUP(B228,'Base stats'!B:B,'Base stats'!E:E),Groups!A:A,Groups!D:D)=0),MROUND((80/3)*IF(_xlfn.XLOOKUP(B228,'Base stats'!B:B,'Base stats'!O:O)=2,0.2,AO228) + 24*(1-IF(BF228="No",0,BF228)) + 16/3, 12),"No")</f>
        <v>No</v>
      </c>
      <c r="BH228" s="2">
        <f>IF(AND(_xlfn.XLOOKUP(_xlfn.XLOOKUP(B228,'Base stats'!B:B,'Base stats'!E:E),Groups!A:A,Groups!AQ:AQ)=1,AO228&lt;=0.35),8,12)</f>
        <v>12</v>
      </c>
      <c r="BI228" s="2" t="str">
        <f>IF(_xlfn.XLOOKUP(_xlfn.XLOOKUP(B228,'Base stats'!B:B,'Base stats'!E:E),Groups!A:A,Groups!D:D)=0,_xlfn.XLOOKUP(_xlfn.XLOOKUP(B228,'Base stats'!B:B,'Base stats'!E:E),Groups!A:A,Groups!AR:AR),"None")</f>
        <v>None</v>
      </c>
      <c r="BJ228" s="2" t="str">
        <f>IF(AND(_xlfn.XLOOKUP(_xlfn.XLOOKUP(B228,'Base stats'!B:B,'Base stats'!E:E),Groups!A:A,Groups!AS:AS)=1,OR(_xlfn.XLOOKUP(B228,'Base stats'!B:B,'Base stats'!Y:Y)="Carnivore",_xlfn.XLOOKUP(B228,'Base stats'!B:B,'Base stats'!Y:Y)="Omnivore")),"true","false")</f>
        <v>true</v>
      </c>
      <c r="BK228" s="2">
        <f>IF(BJ228="true",MROUND(IF(AND(AO228&gt;0.5,OR(_xlfn.XLOOKUP(_xlfn.XLOOKUP(B228,'Base stats'!B:B,'Base stats'!E:E),Groups!A:A,Groups!AJ:AJ)="Photonozoa",_xlfn.XLOOKUP(_xlfn.XLOOKUP(B228,'Base stats'!B:B,'Base stats'!E:E),Groups!A:A,Groups!AJ:AJ)="Mammal")),Animals!AO228*1.75*IF(AW228="true",1.5,1),IF(AO228&lt;0.5,Animals!AO228*0.5,Animals!AO228)),IF(AO228&gt;2,0.5,IF(AO228&gt;0.5,0.25,0.1))),"No")</f>
        <v>0.75</v>
      </c>
      <c r="BL228" s="2">
        <f t="shared" si="24"/>
        <v>0</v>
      </c>
      <c r="BM228" s="25" t="str">
        <f>IF(_xlfn.XLOOKUP(B228,'Base stats'!B:B,'Base stats'!AN:AN)="Standard","No",MROUND((_xlfn.XLOOKUP(B228,'Base stats'!B:B,'Base stats'!AN:AN)/3.6)/I228,0.1))</f>
        <v>No</v>
      </c>
      <c r="BN228" s="25" t="str">
        <f t="shared" si="25"/>
        <v>false</v>
      </c>
      <c r="BO228" s="25" t="str">
        <f>IF(AND(OR(_xlfn.XLOOKUP(B228,'Base stats'!B:B,'Base stats'!Y:Y)="Carnivore",_xlfn.XLOOKUP(B228,'Base stats'!B:B,'Base stats'!Y:Y)="Omnivore",_xlfn.XLOOKUP(B228,'Base stats'!B:B,'Base stats'!Y:Y)="OmnivoreRough"),_xlfn.XLOOKUP(_xlfn.XLOOKUP(B228,'Base stats'!B:B,'Base stats'!E:E),Groups!A:A,Groups!AT:AT)=1),"true","false")</f>
        <v>false</v>
      </c>
      <c r="BP228" s="25" t="str" cm="1">
        <f t="array" ref="BP228">IF(
  _xlfn.TEXTJOIN(", ",TRUE,
    IF(AND(BJ228="true",AO228&gt;0.5,BI228&lt;&gt;"None"),"AttackTarget",""),
    IF(AND(_xlfn.XLOOKUP(_xlfn.XLOOKUP(B228,'Base stats'!B:B,'Base stats'!E:E),Groups!A:A,Groups!AJ:AJ="Mammal"),OR(_xlfn.XLOOKUP(B228,'Base stats'!B:B,'Base stats'!Y:Y)="Omnivore",_xlfn.XLOOKUP(B228,'Base stats'!B:B,'Base stats'!Y:Y)="OmnivoreRough")),"Forage",""),
    IF(BG228&lt;=36,"Comfort",""),
    IF(_xlfn.XLOOKUP(B228,'Base stats'!B:B,'Base stats'!AE:AE)&lt;&gt;"No",_xlfn.XLOOKUP(B228,'Base stats'!B:B,'Base stats'!AE:AE),"")
  ) = "",
  "No",
  _xlfn.TEXTJOIN(", ",TRUE,
    IF(AND(BJ228="true",AO228&gt;0.5,BI228&lt;&gt;"None"),"AttackTarget",""),
    IF(AND(_xlfn.XLOOKUP(_xlfn.XLOOKUP(B228,'Base stats'!B:B,'Base stats'!E:E),Groups!A:A,Groups!AJ:AJ="Mammal"),OR(_xlfn.XLOOKUP(B228,'Base stats'!B:B,'Base stats'!Y:Y)="Omnivore",_xlfn.XLOOKUP(B228,'Base stats'!B:B,'Base stats'!Y:Y)="OmnivoreRough")),"Forage",""),
    IF(BG228&lt;=36,"Comfort",""),
    IF(_xlfn.XLOOKUP(B228,'Base stats'!B:B,'Base stats'!AE:AE)&lt;&gt;"No",_xlfn.XLOOKUP(B228,'Base stats'!B:B,'Base stats'!AE:AE),"")
  )
)</f>
        <v>No</v>
      </c>
      <c r="BQ228" s="25" t="str">
        <f>IF(
   AND(
      'Base stats'!AN228="Standard",_xlfn.XLOOKUP(_xlfn.XLOOKUP(B228,'Base stats'!B:B,'Base stats'!E:E),Groups!A:A,Groups!AU:AU)=0,
      OR(
      BO228="True"
      )
   ),
   10,
   IF(
       OR(BM228&lt;&gt;"No",_xlfn.XLOOKUP(_xlfn.XLOOKUP(B228,'Base stats'!B:B,'Base stats'!E:E),Groups!A:A,Groups!AU:AU)=1),
      1,
      "No"
   )
)</f>
        <v>No</v>
      </c>
      <c r="BR228" s="9">
        <f>MROUND((1 + ((0.2*IF(OR(Q228="No",R228="No",R228=0),0,Q228/R228)
+IF(OR(V228="No",S228="No",T228="No"),0,S228/T228*(LEN(V228)-LEN(SUBSTITUTE(V228,",",""))+1))
+IF(OR(X228="No",Y228="No"),0,X228/Y228)
+IF(OR(AD228="No",AE228="No"),0,AD228/AE228)
+IF(OR(AL228="No",AI228="No",AJ228="No"),0,AI228/AJ228*(LEN(AL228)-LEN(SUBSTITUTE(AL228,",",""))+1))
)/(0.2*IF(OR(Q228="No",R228="No",R228=0),0,1)
+IF(OR(V228="No",S228="No",T228="No"),0,LEN(V228)-LEN(SUBSTITUTE(V228,",",""))+1)
+IF(OR(X228="No",Y228="No"),0,1)
+IF(OR(AD228="No",AE228="No"),0,1)
+IF(OR(AL228="No",AI228="No",AJ228="No"),0,LEN(AL228)-LEN(SUBSTITUTE(AL228,",",""))+1))*62%)* 2)*(1 + (AP228 / (IF(_xlfn.XLOOKUP(_xlfn.XLOOKUP(B228,'Base stats'!B:B,'Base stats'!E:E),Groups!A:A,Groups!AJ:AJ)="Photonozoa",0.3,1)) + _xlfn.XLOOKUP(B228,'Base stats'!B:B,'Base stats'!AV:AV) * 1.8) * 2) * 2.5 + 10 + I228 * 2,5)+IF(_xlfn.XLOOKUP(B228,'Base stats'!B:B,'Base stats'!AK:AK)=1,50,0)</f>
        <v>95</v>
      </c>
      <c r="BS228" s="8">
        <f t="shared" si="26"/>
        <v>0.25</v>
      </c>
      <c r="BT228" s="8" t="str">
        <f>_xlfn.XLOOKUP(B228,'Base stats'!B:B,'Base stats'!AF:AF)</f>
        <v>No</v>
      </c>
      <c r="BU228" s="2" t="str">
        <f>IF(AND(J228&lt;=0.95,OR(_xlfn.XLOOKUP(B228,'Base stats'!B:B,'Base stats'!AK:AK)=1,_xlfn.XLOOKUP(B228,'Base stats'!B:B,'Base stats'!Y:Y)="Carnivore",_xlfn.XLOOKUP(B228,'Base stats'!B:B,'Base stats'!Y:Y)="Omnivore",BE228&gt;0.1)),"true","false")</f>
        <v>true</v>
      </c>
      <c r="BV228" s="2" t="str">
        <f>IF(_xlfn.XLOOKUP(B228,'Base stats'!B:B,'Base stats'!AI:AI)=1,"true","false")</f>
        <v>false</v>
      </c>
      <c r="BW228" s="25" t="str">
        <f>IF(E228="BaseInsect","AnimalInsect",
IF(J228&gt;0.95,"AnimalExotic",
_xlfn.TEXTJOIN(", ",TRUE,
IF(OR(_xlfn.XLOOKUP(B228,'Base stats'!B:B,'Base stats'!AM:AM)=1,AND(_xlfn.XLOOKUP(B228,'Base stats'!B:B,'Base stats'!O:O)=0,_xlfn.XLOOKUP(_xlfn.XLOOKUP(B228,'Base stats'!B:B,'Base stats'!E:E),Groups!A:A,Groups!B:B)&gt;0)),"AnimalUncommon","AnimalCommon"),
IF(AND(_xlfn.XLOOKUP(B228,'Base stats'!B:B,'Base stats'!O:O)=2,_xlfn.XLOOKUP(_xlfn.XLOOKUP(B228,'Base stats'!B:B,'Base stats'!E:E),Groups!A:A,Groups!D:D)=0),"AnimalPet",IF(AND(_xlfn.XLOOKUP(B228,'Base stats'!B:B,'Base stats'!O:O)&lt;&gt;0,_xlfn.XLOOKUP(_xlfn.XLOOKUP(B228,'Base stats'!B:B,'Base stats'!E:E),Groups!A:A,Groups!D:D)&lt;&gt;0),"AnimalFarm","")),
IF(OR(_xlfn.XLOOKUP(B228,'Base stats'!B:B,'Base stats'!AK:AK)=1,AND(BI228&lt;&gt;"None",BR228&gt;=60),ISNUMBER(SEARCH("Attack target",BP228))),"AnimalFighter","")
)))</f>
        <v>AnimalUncommon</v>
      </c>
      <c r="BX228" s="25" t="str">
        <f>IF(G228="None",TRIM(
SUBSTITUTE(
IF(COUNTIF(Biomes!B$2:B$259,"="&amp;$C228)&gt;0,Biomes!B$1&amp;", ","")&amp;
IF(COUNTIF(Biomes!C$2:C$259,"="&amp;$C228)&gt;0,Biomes!C$1&amp;", ","")&amp;
IF(COUNTIF(Biomes!D$2:D$259,"="&amp;$C228)&gt;0,Biomes!D$1&amp;", ","")&amp;
IF(COUNTIF(Biomes!F$2:F$259,"="&amp;$C228)&gt;0,Biomes!F$1&amp;", ","")&amp;
IF(COUNTIF(Biomes!G$2:G$259,"="&amp;$C228)&gt;0,Biomes!G$1&amp;", ","")&amp;
IF(COUNTIF(Biomes!H$2:H$259,"="&amp;$C228)&gt;0,Biomes!H$1&amp;", ","")&amp;
IF(COUNTIF(Biomes!I$2:I$259,"="&amp;$C228)&gt;0,Biomes!I$1&amp;", ","")&amp;
IF(COUNTIF(Biomes!J$2:J$259,"="&amp;$C228)&gt;0,Biomes!J$1&amp;", ","")&amp;
IF(COUNTIF(Biomes!M$2:M$259,"="&amp;$C228)&gt;0,Biomes!M$1&amp;", ","")&amp;
IF(COUNTIF(Biomes!N$2:N$259,"="&amp;$C228)&gt;0,Biomes!N$1&amp;", ","")&amp;
IF(COUNTIF(Biomes!O$2:O$259,"="&amp;$C228)&gt;0,Biomes!O$1&amp;", ","")&amp;
IF(COUNTIF(Biomes!P$2:P$259,"="&amp;$C228)&gt;0,Biomes!P$1&amp;", ","")&amp;
IF(COUNTIF(Biomes!K$2:K$259,"="&amp;$C228)&gt;0,Biomes!K$1&amp;", ","")&amp;
IF(COUNTIF(Biomes!Q$3:Q$259,"="&amp;$C228)&gt;0,Biomes!Q$1&amp;", ","")&amp;
IF(COUNTIF(Biomes!L$2:L$259,"="&amp;$C228)&gt;0,Biomes!L$1&amp;", ","")&amp;
IF(COUNTIF(Biomes!E$2:E$259,"="&amp;$C228)&gt;0,Biomes!E$1&amp;", ","")&amp;IF(COUNTIF(Biomes!S$2:S$259,"="&amp;$C228)&gt;0,Biomes!S$1&amp;", ","")&amp;
IF(COUNTIF(Biomes!R$2:R$259,"="&amp;$C228)&gt;0,Biomes!R$1&amp;", ",""),", ","")
),_xlfn.XLOOKUP(B228,B:B,BX:BX))</f>
        <v>TemperateForest TemperateSwamp AridShrubland Desert TropicalRainforest TropicalSwamp Grasslands Glowforest LavaField Scarlands</v>
      </c>
      <c r="BY228" s="25" t="str">
        <f>IF(_xlfn.XLOOKUP(B228,'Base stats'!B:B,'Base stats'!AJ:AJ)=1,"true","false")</f>
        <v>false</v>
      </c>
      <c r="BZ228" s="25">
        <f>IF(_xlfn.XLOOKUP(B228,'Base stats'!B:B,'Base stats'!N:N)=1,"No",MAX(0.001,MIN(MROUND(IF(AND(BJ228="True",CC228="False"),POWER(10,3.47*LOG10(_xlfn.XLOOKUP(B228,'Base stats'!B:B,'Base stats'!C:C)*1000)^-0.96),POWER(10,4.15*LOG10(_xlfn.XLOOKUP(B228,'Base stats'!B:B,'Base stats'!C:C)*1000)^-0.73))*IF(_xlfn.XLOOKUP(B228,'Base stats'!B:B,'Base stats'!AK:AK)=1,0.5,1)*IF(_xlfn.XLOOKUP(B228,'Base stats'!B:B,'Base stats'!AM:AM)=1,0.1,1)/100,IF(_xlfn.XLOOKUP(B228,'Base stats'!B:B,'Base stats'!AM:AM)=1,0.001,0.025)),0.5)))</f>
        <v>2.3E-2</v>
      </c>
      <c r="CA228" s="25">
        <f>IF(P228="Standard","No",MAX(0.001,MIN(MROUND(IF(AND(BJ228="True",CC228="False"),POWER(10,3.47*LOG10(_xlfn.XLOOKUP(B228,'Base stats'!B:B,'Base stats'!C:C)*1000)^-0.96),POWER(10,4.15*LOG10(_xlfn.XLOOKUP(B228,'Base stats'!B:B,'Base stats'!C:C)*1000)^-0.73))*IF(_xlfn.XLOOKUP(B228,'Base stats'!B:B,'Base stats'!AM:AM)=1,0.1,1)*_xlfn.XLOOKUP(B228,'Base stats'!B:B,'Base stats'!R:R)/100,IF(_xlfn.XLOOKUP(B228,'Base stats'!B:B,'Base stats'!AM:AM)=1,0.001,0.025)),0.5)))</f>
        <v>1.8000000000000002E-2</v>
      </c>
      <c r="CB228" s="25" t="str">
        <f>IF(_xlfn.XLOOKUP(_xlfn.XLOOKUP(B228,'Base stats'!B:B,'Base stats'!E:E),Groups!A:A,Groups!AJ:AJ)="Mammal","True","False")</f>
        <v>False</v>
      </c>
      <c r="CC228" s="25" t="str">
        <f>IF(OR(_xlfn.XLOOKUP(_xlfn.XLOOKUP(B228,'Base stats'!B:B,'Base stats'!E:E),Groups!A:A,Groups!AJ:AJ)="Reptile",_xlfn.XLOOKUP(_xlfn.XLOOKUP(B228,'Base stats'!B:B,'Base stats'!E:E),Groups!A:A,Groups!AJ:AJ)="Amphibian",_xlfn.XLOOKUP(_xlfn.XLOOKUP(B228,'Base stats'!B:B,'Base stats'!E:E),Groups!A:A,Groups!AJ:AJ)="Invertebrate"),"True","False")</f>
        <v>True</v>
      </c>
      <c r="CD228" s="25" t="str">
        <f t="shared" si="27"/>
        <v>False</v>
      </c>
      <c r="CE228" s="25" t="str">
        <f>IF(_xlfn.XLOOKUP(_xlfn.XLOOKUP(B228,'Base stats'!B:B,'Base stats'!E:E),Groups!A:A,Groups!AX:AX),"True","False")</f>
        <v>False</v>
      </c>
      <c r="CF228" s="25" t="str">
        <f>IF(_xlfn.XLOOKUP(_xlfn.XLOOKUP(B228,'Base stats'!B:B,'Base stats'!E:E),Groups!A:A,Groups!AY:AY),"True","False")</f>
        <v>False</v>
      </c>
      <c r="CG228" s="25" t="str">
        <f>IF(_xlfn.XLOOKUP(_xlfn.XLOOKUP(B228,'Base stats'!B:B,'Base stats'!E:E),Groups!A:A,Groups!AW:AW),"True","False")</f>
        <v>False</v>
      </c>
      <c r="CH228" s="25" t="str">
        <f>IF(
OR(
_xlfn.XLOOKUP(_xlfn.XLOOKUP(B228,'Base stats'!B:B,'Base stats'!E:E),Groups!A:A,Groups!AZ:AZ)=0,
AND(
_xlfn.XLOOKUP(B228,'Base stats'!B:B,'Base stats'!Y:Y)&lt;&gt;"Carnivore",
_xlfn.XLOOKUP(B228,'Base stats'!B:B,'Base stats'!Y:Y)&lt;&gt;"Omnivore",
_xlfn.XLOOKUP(B228,'Base stats'!B:B,'Base stats'!Y:Y)&lt;&gt;"OmnivoreRough"
)
),
"No",
IF(
_xlfn.XLOOKUP(_xlfn.XLOOKUP(B228,'Base stats'!B:B,'Base stats'!E:E),Groups!A:A,Groups!AZ:AZ)=1,
"Flesh",
IF(
_xlfn.XLOOKUP(_xlfn.XLOOKUP(B228,'Base stats'!B:B,'Base stats'!E:E),Groups!A:A,Groups!AZ:AZ)=2,
"Bone",
""
)
)
)</f>
        <v>Bone</v>
      </c>
      <c r="CI228" s="25" t="str">
        <f>IF(_xlfn.XLOOKUP(_xlfn.XLOOKUP(B228,'Base stats'!B:B,'Base stats'!E:E),Groups!A:A,Groups!BB:BB),"True","False")</f>
        <v>False</v>
      </c>
      <c r="CJ228" s="25" t="str">
        <f>IF(_xlfn.XLOOKUP(_xlfn.XLOOKUP(B228,'Base stats'!B:B,'Base stats'!E:E),Groups!A:A,Groups!BA:BA),"True","False")</f>
        <v>False</v>
      </c>
    </row>
    <row r="229" spans="1:88" ht="16.5" thickTop="1" thickBot="1" x14ac:dyDescent="0.3">
      <c r="A229" s="26" t="s">
        <v>1366</v>
      </c>
      <c r="B229" s="6" t="str">
        <f>_xlfn.XLOOKUP(A229,'Base stats'!A:A,'Base stats'!B:B)</f>
        <v>Behemoth giganteus</v>
      </c>
      <c r="C229" s="28" t="s">
        <v>1367</v>
      </c>
      <c r="D229" s="28" t="s">
        <v>1341</v>
      </c>
      <c r="E229" s="28" t="s">
        <v>673</v>
      </c>
      <c r="F229" s="28" t="s">
        <v>673</v>
      </c>
      <c r="G229" s="28" t="s">
        <v>673</v>
      </c>
      <c r="H229" s="2">
        <f>MROUND((
  (IF(AND(_xlfn.XLOOKUP(B229,'Base stats'!B:B,'Base stats'!AL:AL)=0,BI229="None",_xlfn.XLOOKUP(_xlfn.XLOOKUP(B229,'Base stats'!B:B,'Base stats'!E:E),Groups!A:A,Groups!B:B)=0), (18 + BR229 * 2.7) * 0.5,
    IF(AND(_xlfn.XLOOKUP(B229,'Base stats'!B:B,'Base stats'!AL:AL)=0,OR(AO229&lt;0.55,AND(BI229="Intermediate",_xlfn.XLOOKUP(_xlfn.XLOOKUP(B229,'Base stats'!B:B,'Base stats'!E:E),Groups!A:A,Groups!B:B)&lt;2))), (18 + BR229 * 2.7),
      IF(OR(BI229="Advanced",_xlfn.XLOOKUP(B229,'Base stats'!B:B,'Base stats'!AL:AL)=1,_xlfn.XLOOKUP(_xlfn.XLOOKUP(B229,'Base stats'!B:B,'Base stats'!E:E),Groups!A:A,Groups!B:B)=2), (18 + BR229 * 2.7) + 250, (18 + BR229 * 2.7))
    )
  ))
  + AO229 * 80
  + IF(COUNTIF(EggMilk!K$2:K$998, A229) &gt; 0, 125, 0)
  + IF(COUNTIF(EggMilk!P$2:P$998, A229) &gt; 0, 90, 0)
  + IF(COUNTIF(EggMilk!A$2:A$998, A229) &gt; 0, 90, 0)
)
* (0.8 + 0.4 * J229)
* 0.75,25)</f>
        <v>3875</v>
      </c>
      <c r="I229" s="2">
        <f>MROUND(ROUNDDOWN(_xlfn.XLOOKUP(B229,'Base stats'!B:B,'Base stats'!L:L)/3.6/(23.3/11),1),0.5)</f>
        <v>4</v>
      </c>
      <c r="J229" s="2">
        <f>IF(OR(_xlfn.XLOOKUP(B229,'Base stats'!B:B,'Base stats'!AB:AB)=1,_xlfn.XLOOKUP(_xlfn.XLOOKUP(B229,'Base stats'!B:B,'Base stats'!E:E),Groups!A:A,Groups!C:C)="Untamable"),1,IF(_xlfn.XLOOKUP(B229,'Base stats'!B:B,'Base stats'!AL:AL)=1,0.99,MIN(MROUND((1-0.6282*EXP(-0.459*AO229))*_xlfn.XLOOKUP(_xlfn.XLOOKUP(B229,'Base stats'!B:B,'Base stats'!E:E),Groups!A:A,Groups!C:C)*IF(_xlfn.XLOOKUP(B229,'Base stats'!B:B,'Base stats'!O:O)=1,0.5,IF(_xlfn.XLOOKUP(B229,'Base stats'!B:B,'Base stats'!O:O)=2,0,1)),0.05),IF(AO229&gt;3.5,0.985,0.95))))</f>
        <v>0.99</v>
      </c>
      <c r="K229" s="2">
        <f>ROUNDUP(AO229*_xlfn.XLOOKUP(_xlfn.XLOOKUP(B229,'Base stats'!B:B,'Base stats'!E:E),Groups!A:A,Groups!E:E),0)</f>
        <v>6</v>
      </c>
      <c r="L229" s="2">
        <f>IF(OR(_xlfn.XLOOKUP(_xlfn.XLOOKUP(B229,'Base stats'!B:B,'Base stats'!E:E),Groups!A:A,Groups!F:F)=2,ISNUMBER(SEARCH("SeaIce",BX229)),ISNUMBER(SEARCH("IceSheet",BX229))),-50,IF(OR(ISNUMBER(SEARCH("GlacialPlain",BX229)),ISNUMBER(SEARCH("Tundra",BX229))),-40,IF(OR(ISNUMBER(SEARCH("Alpine",BX229)),ISNUMBER(SEARCH("BorealForest",BX229)),ISNUMBER(SEARCH("ColdBog",BX229))),-30,IF(OR(ISNUMBER(SEARCH("TemperateForest",BX229)),ISNUMBER(SEARCH("TemperateSwamp",BX229))),-20,IF(_xlfn.XLOOKUP(_xlfn.XLOOKUP(B229,'Base stats'!B:B,'Base stats'!E:E),Groups!A:A,Groups!F:F)=1,-15,IF(OR(ISNUMBER(SEARCH("Desert",BX229)),ISNUMBER(SEARCH("ExtremeDesert",BX229))),-10,IF(OR(ISNUMBER(SEARCH("Grasslands",BX229)),ISNUMBER(SEARCH("TropicalRainforest",BX229)),ISNUMBER(SEARCH("TropicalSwamp",BX229))),10,0)))))))-IF(CC229="False",MIN(IFERROR(MAX(MROUND(LOG10(_xlfn.XLOOKUP(B229,'Base stats'!B:B,'Base stats'!C:C)^(2/3))*10,5),5),5),30))-_xlfn.XLOOKUP(B229,'Base stats'!B:B,'Base stats'!P:P)+IF(CC229="True",5,0)</f>
        <v>-25</v>
      </c>
      <c r="M229" s="2">
        <f>IF(OR(_xlfn.XLOOKUP(_xlfn.XLOOKUP(B229,'Base stats'!B:B,'Base stats'!E:E),Groups!A:A,Groups!G:G)=2,ISNUMBER(SEARCH("Desert",BX229)),ISNUMBER(SEARCH("ExtremeDesert",BX229)),ISNUMBER(SEARCH("LavaField",BX229))),50,IF(ISNUMBER(SEARCH("Grasslands",BX229)),45,IF(OR(_xlfn.XLOOKUP(_xlfn.XLOOKUP(B229,'Base stats'!B:B,'Base stats'!E:E),Groups!A:A,Groups!G:G)=1,ISNUMBER(SEARCH("TropicalRainforest",BX229)),ISNUMBER(SEARCH("TropicalSwamp",BX229))),40,IF(OR(ISNUMBER(SEARCH("TemperateForest",BX229)),ISNUMBER(SEARCH("TemperateSwamp",BX229))),35,IF(OR(ISNUMBER(SEARCH("Alpine",BX229)),ISNUMBER(SEARCH("BorealForest",BX229)),ISNUMBER(SEARCH("ColdBog",BX229))),30,IF(ISNUMBER(OR(ISNUMBER(SEARCH("GlacialPlain",BX229)),SEARCH("Tundra",BX229))),25,IF(OR(ISNUMBER(SEARCH("SeaIce",BX229)),ISNUMBER(SEARCH("IceSheet",BX229)),ISNUMBER(SEARCH("TropicalSwamp",BX229))),10,35)))))))+_xlfn.XLOOKUP(B229,'Base stats'!B:B,'Base stats'!Q:Q)</f>
        <v>35</v>
      </c>
      <c r="N229" s="8">
        <f>IF(
_xlfn.XLOOKUP(
_xlfn.XLOOKUP(B229,'Base stats'!B:B,'Base stats'!E:E),
Groups!A:A,
Groups!L:L
)=1,
MIN(
MROUND(
IF(
_xlfn.XLOOKUP(B229,'Animals CE'!B:B,'Animals CE'!Z:Z)&lt;=1.5,
_xlfn.XLOOKUP(B229,'Animals CE'!B:B,'Animals CE'!Z:Z)/2+0.05,
0.8+
(_xlfn.XLOOKUP(B229,'Animals CE'!B:B,'Animals CE'!Z:Z)-1.5)
*0.02
),
0.05
),
200%
),
"No"
)</f>
        <v>0.95000000000000007</v>
      </c>
      <c r="O229" s="8">
        <f>IF(
_xlfn.XLOOKUP(
_xlfn.XLOOKUP(B229,'Base stats'!B:B,'Base stats'!E:E),
Groups!A:A,
Groups!L:L
)=1,
MIN(
MROUND(
IF(
_xlfn.XLOOKUP(B229,'Animals CE'!B:B,'Animals CE'!AA:AA)&lt;=1.5,
_xlfn.XLOOKUP(B229,'Animals CE'!B:B,'Animals CE'!AA:AA)/2+0.05,
0.8+
(_xlfn.XLOOKUP(B229,'Animals CE'!B:B,'Animals CE'!AA:AA)-1.5)
*0.02
),
0.05
),
200%
),
"No"
)</f>
        <v>1.05</v>
      </c>
      <c r="P229" s="2" t="str">
        <f>_xlfn.XLOOKUP(B229,'Base stats'!B:B,'Base stats'!R:R)</f>
        <v>Standard</v>
      </c>
      <c r="Q229" s="13">
        <f>MROUND((LOG10(_xlfn.XLOOKUP(B229,'Base stats'!B:B,'Base stats'!AR:AR))*(AO229^0.5)+(_xlfn.XLOOKUP(B229,'Base stats'!B:B,'Base stats'!AR:AR)/1000)^(2/3)+_xlfn.XLOOKUP(B229,'Base stats'!B:B,'Base stats'!BA:BA)/2)+0.5,0.5)</f>
        <v>45.5</v>
      </c>
      <c r="R229" s="7">
        <f>IF(Q229="No","No",MAX(1,MROUND(_xlfn.XLOOKUP(B229,'Base stats'!B:B,'Base stats'!C:C)^0.165,0.05)))</f>
        <v>4.4000000000000004</v>
      </c>
      <c r="S229" s="13" t="str">
        <f>IF(_xlfn.XLOOKUP(_xlfn.XLOOKUP(B229,'Base stats'!B:B,'Base stats'!E:E),Groups!A:A,Groups!P:P)=0,"No",MROUND((LOG10(_xlfn.XLOOKUP(B229,'Base stats'!B:B,'Base stats'!AS:AS))*(AO229^0.5)+(_xlfn.XLOOKUP(B229,'Base stats'!B:B,'Base stats'!AS:AS)/1000)^(2/3)+_xlfn.XLOOKUP(B229,'Base stats'!B:B,'Base stats'!BA:BA))+_xlfn.XLOOKUP(B229,'Base stats'!B:B,'Base stats'!AY:AY)+0.5,0.5))</f>
        <v>No</v>
      </c>
      <c r="T229" s="7" t="str">
        <f>IF(S229="No","No",MAX(_xlfn.XLOOKUP(_xlfn.XLOOKUP(B229,'Base stats'!B:B,'Base stats'!E:E),Groups!A:A,Groups!Q:Q),MROUND(_xlfn.XLOOKUP(_xlfn.XLOOKUP(B229,'Base stats'!B:B,'Base stats'!E:E),Groups!A:A,Groups!Q:Q)*_xlfn.XLOOKUP(B229,'Base stats'!B:B,'Base stats'!C:C)^0.165,0.05)))</f>
        <v>No</v>
      </c>
      <c r="U229" s="7" t="str">
        <f>IF(S229="No","No",_xlfn.XLOOKUP(_xlfn.XLOOKUP(B229,'Base stats'!B:B,'Base stats'!E:E),Groups!A:A,Groups!R:R))</f>
        <v>No</v>
      </c>
      <c r="V229" s="7" t="str">
        <f>IF(S229="No","No",_xlfn.XLOOKUP(_xlfn.XLOOKUP(B229,'Base stats'!B:B,'Base stats'!E:E),Groups!A:A,Groups!S:S))</f>
        <v>No</v>
      </c>
      <c r="W229" s="7" t="str">
        <f>IF(S229="No","No",_xlfn.XLOOKUP(_xlfn.XLOOKUP(B229,'Base stats'!B:B,'Base stats'!E:E),Groups!A:A,Groups!T:T))</f>
        <v>No</v>
      </c>
      <c r="X229" s="13" t="str">
        <f>IF(_xlfn.XLOOKUP(B229,'Base stats'!B:B,'Base stats'!W:W)="No","No",MROUND((LOG10(_xlfn.XLOOKUP(B229,'Base stats'!B:B,'Base stats'!AU:AU))*(AO229^0.5)+(_xlfn.XLOOKUP(B229,'Base stats'!B:B,'Base stats'!AU:AU)/1000)^(2/3)+_xlfn.XLOOKUP(B229,'Base stats'!B:B,'Base stats'!AZ:AZ))+0.5+IF(_xlfn.XLOOKUP(_xlfn.XLOOKUP(B229,'Base stats'!B:B,'Base stats'!E:E),Groups!A:A,Groups!U:U)&lt;&gt;3,_xlfn.XLOOKUP(B229,'Base stats'!B:B,'Base stats'!BA:BA),0),0.5))</f>
        <v>No</v>
      </c>
      <c r="Y229" s="7" t="str">
        <f>IF(X229="No","No",MAX(_xlfn.XLOOKUP(_xlfn.XLOOKUP(B229,'Base stats'!B:B,'Base stats'!E:E),Groups!A:A,Groups!V:V),MROUND(_xlfn.XLOOKUP(_xlfn.XLOOKUP(B229,'Base stats'!B:B,'Base stats'!E:E),Groups!A:A,Groups!V:V)*_xlfn.XLOOKUP(B229,'Base stats'!B:B,'Base stats'!C:C)^0.165,0.05)))</f>
        <v>No</v>
      </c>
      <c r="Z229" s="7" t="str">
        <f>IF(X229="No","No",_xlfn.XLOOKUP(_xlfn.XLOOKUP(B229,'Base stats'!B:B,'Base stats'!E:E),Groups!A:A,Groups!W:W))</f>
        <v>No</v>
      </c>
      <c r="AA229" s="7" t="str">
        <f>IF(X229="No","No",_xlfn.XLOOKUP(_xlfn.XLOOKUP(B229,'Base stats'!B:B,'Base stats'!E:E),Groups!A:A,Groups!X:X))</f>
        <v>No</v>
      </c>
      <c r="AB229" s="7" t="str">
        <f>IF(X229="No","No",_xlfn.XLOOKUP(_xlfn.XLOOKUP(B229,'Base stats'!B:B,'Base stats'!E:E),Groups!A:A,Groups!Y:Y))</f>
        <v>No</v>
      </c>
      <c r="AC229" s="7" t="str">
        <f>_xlfn.XLOOKUP(Animals!B229,'Base stats'!B:B,'Base stats'!X:X)</f>
        <v>False</v>
      </c>
      <c r="AD229" s="13">
        <f>IF(_xlfn.XLOOKUP(B229,'Base stats'!B:B,'Base stats'!AT:AT)="No","No",MROUND((LOG10(_xlfn.XLOOKUP(B229,'Base stats'!B:B,'Base stats'!AT:AT))*(AO229^0.75)+(_xlfn.XLOOKUP(B229,'Base stats'!B:B,'Base stats'!AT:AT)/1000)^(2/3)+_xlfn.XLOOKUP(B229,'Base stats'!B:B,'Base stats'!AX:AX)+_xlfn.XLOOKUP(B229,'Base stats'!B:B,'Base stats'!BA:BA))+0.5,0.5))</f>
        <v>75</v>
      </c>
      <c r="AE229" s="7">
        <f>IF(AD229="No","No",MAX(_xlfn.XLOOKUP(_xlfn.XLOOKUP(B229,'Base stats'!B:B,'Base stats'!E:E),Groups!A:A,Groups!Z:Z),MROUND(_xlfn.XLOOKUP(_xlfn.XLOOKUP(B229,'Base stats'!B:B,'Base stats'!E:E),Groups!A:A,Groups!Z:Z)*_xlfn.XLOOKUP(B229,'Base stats'!B:B,'Base stats'!C:C)^0.165,0.05)))</f>
        <v>3.5</v>
      </c>
      <c r="AF229" s="7" t="str">
        <f>IF(AD229="No","No",_xlfn.XLOOKUP(_xlfn.XLOOKUP(B229,'Base stats'!B:B,'Base stats'!E:E),Groups!A:A,Groups!AA:AA))</f>
        <v>Teeth</v>
      </c>
      <c r="AG229" s="7" t="str">
        <f>IF(AD229="No","No",_xlfn.XLOOKUP(_xlfn.XLOOKUP(B229,'Base stats'!B:B,'Base stats'!E:E),Groups!A:A,Groups!AB:AB))</f>
        <v>teeth</v>
      </c>
      <c r="AH229" s="7" t="str">
        <f>IF(AD229="No","No",_xlfn.XLOOKUP(_xlfn.XLOOKUP(B229,'Base stats'!B:B,'Base stats'!E:E),Groups!A:A,Groups!AC:AC))</f>
        <v>Bite</v>
      </c>
      <c r="AI229" s="13">
        <f>IF(_xlfn.XLOOKUP(_xlfn.XLOOKUP(B229,'Base stats'!B:B,'Base stats'!E:E),Groups!A:A,Groups!AD:AD)=0,"No",MROUND((LOG10(_xlfn.XLOOKUP(B229,'Base stats'!B:B,'Base stats'!AS:AS))*(AO229^0.75)+(_xlfn.XLOOKUP(B229,'Base stats'!B:B,'Base stats'!AS:AS)/1000)^(2/3)+_xlfn.XLOOKUP(B229,'Base stats'!B:B,'Base stats'!AY:AY)+_xlfn.XLOOKUP(B229,'Base stats'!B:B,'Base stats'!BA:BA))+0.5,0.5))</f>
        <v>63.5</v>
      </c>
      <c r="AJ229" s="7">
        <f>IF(AI229="No","No",MAX(_xlfn.XLOOKUP(_xlfn.XLOOKUP(B229,'Base stats'!B:B,'Base stats'!E:E),Groups!A:A,Groups!AE:AE),MROUND(_xlfn.XLOOKUP(_xlfn.XLOOKUP(B229,'Base stats'!B:B,'Base stats'!E:E),Groups!A:A,Groups!AE:AE)*IF(_xlfn.XLOOKUP(_xlfn.XLOOKUP(B229,'Base stats'!B:B,'Base stats'!E:E),Groups!A:A,Groups!AJ:AJ)="Photonozoa",0.6,1)*_xlfn.XLOOKUP(B229,'Base stats'!B:B,'Base stats'!C:C)^0.165,0.05)))</f>
        <v>2.85</v>
      </c>
      <c r="AK229" s="7" t="str">
        <f>IF(AI229="No","No",_xlfn.XLOOKUP(_xlfn.XLOOKUP(B229,'Base stats'!B:B,'Base stats'!E:E),Groups!A:A,Groups!AF:AF))</f>
        <v>FrontLeftClaws, FrontRightClaws</v>
      </c>
      <c r="AL229" s="7" t="str">
        <f>IF(AI229="No","No",_xlfn.XLOOKUP(_xlfn.XLOOKUP(B229,'Base stats'!B:B,'Base stats'!E:E),Groups!A:A,Groups!AG:AG))</f>
        <v>left dragonclaw, right dragonclaw</v>
      </c>
      <c r="AM229" s="7" t="str">
        <f>IF(AI229="No","No",_xlfn.XLOOKUP(_xlfn.XLOOKUP(B229,'Base stats'!B:B,'Base stats'!E:E),Groups!A:A,Groups!AH:AH))</f>
        <v>Scratch</v>
      </c>
      <c r="AN229" s="2">
        <f t="shared" si="21"/>
        <v>45</v>
      </c>
      <c r="AO229" s="2">
        <f>MROUND(IF(AND(_xlfn.XLOOKUP(B229,'Base stats'!B:B,'Base stats'!C:C)&gt;=0.5,_xlfn.XLOOKUP(B229,'Base stats'!B:B,'Base stats'!C:C)&lt;=0.8),
IF(_xlfn.XLOOKUP(B229,'Base stats'!B:B,'Base stats'!C:C)&lt;0.1,0.05,IF(_xlfn.XLOOKUP(B229,'Base stats'!B:B,'Base stats'!C:C)&lt;=70,(_xlfn.XLOOKUP(B229,'Base stats'!B:B,'Base stats'!C:C)/70)^0.426489913056526,IF(_xlfn.XLOOKUP(B229,'Base stats'!B:B,'Base stats'!C:C)&lt;=400,(_xlfn.XLOOKUP(B229,'Base stats'!B:B,'Base stats'!C:C)/70)^0.572811455315093,IF(_xlfn.XLOOKUP(B229,'Base stats'!B:B,'Base stats'!C:C)&lt;=2000,2.71391647193063*(_xlfn.XLOOKUP(B229,'Base stats'!B:B,'Base stats'!C:C)/400)^0.252459582904293,3.74314280240376*(_xlfn.XLOOKUP(B229,'Base stats'!B:B,'Base stats'!C:C)/2000)^0.357012633876913)))),
IF(_xlfn.XLOOKUP(B229,'Base stats'!B:B,'Base stats'!C:C)&lt;0.1,0.05,IF(_xlfn.XLOOKUP(B229,'Base stats'!B:B,'Base stats'!C:C)&lt;0.4,0.1,IF(_xlfn.XLOOKUP(B229,'Base stats'!B:B,'Base stats'!C:C)&lt;=70,(_xlfn.XLOOKUP(B229,'Base stats'!B:B,'Base stats'!C:C)/70)^0.445823913056526,IF(_xlfn.XLOOKUP(B229,'Base stats'!B:B,'Base stats'!C:C)&lt;=400,(_xlfn.XLOOKUP(B229,'Base stats'!B:B,'Base stats'!C:C)/70)^0.572811455315093,IF(_xlfn.XLOOKUP(B229,'Base stats'!B:B,'Base stats'!C:C)&lt;=2000,2.71391647193063*(_xlfn.XLOOKUP(B229,'Base stats'!B:B,'Base stats'!C:C)/400)^0.252459582904293,3.74314280240376*(_xlfn.XLOOKUP(B229,'Base stats'!B:B,'Base stats'!C:C)/2000)^0.357012633876913)))))),
IF(_xlfn.XLOOKUP(B229,'Base stats'!B:B,'Base stats'!C:C)&lt;0.1,0.05,IF(_xlfn.XLOOKUP(B229,'Base stats'!B:B,'Base stats'!C:C)&lt;=100,0.05,IF(_xlfn.XLOOKUP(B229,'Base stats'!B:B,'Base stats'!C:C)&lt;=250,0.1,IF(_xlfn.XLOOKUP(B229,'Base stats'!B:B,'Base stats'!C:C)&lt;=4000,0.25,0.5)))))</f>
        <v>6</v>
      </c>
      <c r="AP229" s="8">
        <f>MROUND(AO229*_xlfn.XLOOKUP(_xlfn.XLOOKUP(B229,'Base stats'!B:B,'Base stats'!E:E),Groups!A:A,Groups!AI:AI)*_xlfn.XLOOKUP(B229,'Base stats'!B:B,'Base stats'!Z:Z),0.05)</f>
        <v>7.2</v>
      </c>
      <c r="AQ229" s="8">
        <f>MAX(0.01,MROUND(IF(CC229="True",0.196*(AO229*100*1000)^0.889,IF(_xlfn.XLOOKUP(_xlfn.XLOOKUP(B229,'Base stats'!B:B,'Base stats'!E:E),Groups!A:A,Groups!AJ:AJ)="Bird",10.5*(AO229*100*1000)^0.681,4.82*(AO229*100*1000)^0.734))/(4.82*(1*100*1000)^0.734)/IF(AO229&lt;3.5,2,IF(AO229=3.5,1.5,1.25))*(1+0.132282374779864/(AO229^0.994035016789033+0.00905238001496948)),0.05))</f>
        <v>3.0500000000000003</v>
      </c>
      <c r="AR229" s="9">
        <f>IFERROR(MROUND(_xlfn.XLOOKUP(B229,'Base stats'!B:B,'Base stats'!H:H)/IF(_xlfn.XLOOKUP(B229,'Base stats'!B:B,'Base stats'!I:I)&lt;&gt;1,(122.5/70),1.2),IF(_xlfn.XLOOKUP(B229,'Base stats'!B:B,'Base stats'!H:H)&gt;=30,5,IF(_xlfn.XLOOKUP(B229,'Base stats'!B:B,'Base stats'!H:H)&gt;=15,3,IF(_xlfn.XLOOKUP(B229,'Base stats'!B:B,'Base stats'!H:H)&gt;=10,2,1)))),"Immortal")</f>
        <v>250</v>
      </c>
      <c r="AS229" s="35">
        <f>IFERROR(IF(OR(_xlfn.XLOOKUP(B229,'Base stats'!B:B,'Base stats'!F:F)="Atypical reproduction",_xlfn.XLOOKUP(B229,'Base stats'!B:B,'Base stats'!F:F)="Lay eggs"),"Lay eggs",MIN(20,MAX(5.5,ROUND(((_xlfn.XLOOKUP(B229,'Base stats'!B:B,'Base stats'!F:F)-25)*(14.5/615) + 5.5)*2,0)/2))),"Unknown")</f>
        <v>20</v>
      </c>
      <c r="AT229" s="8">
        <f>IF(_xlfn.XLOOKUP(B229,'Base stats'!B:B,'Base stats'!G:G)="Atypical reproduction","No",IFERROR(MAX(IF(_xlfn.XLOOKUP(B229,'Base stats'!B:B,'Base stats'!G:G)&lt;0.5,0.2,0.3),MROUND(_xlfn.XLOOKUP(B229,'Base stats'!B:B,'Base stats'!G:G)/(365/60),0.2)),"Unknown"))</f>
        <v>2.4000000000000004</v>
      </c>
      <c r="AU229" s="8">
        <f t="shared" si="22"/>
        <v>1.2000000000000002</v>
      </c>
      <c r="AV229" s="8">
        <f>IFERROR(IFERROR(MROUND(_xlfn.XLOOKUP(B229,'Base stats'!B:B,'Base stats'!J:J),0.1),"Lay eggs"),"Cannot breed")</f>
        <v>1</v>
      </c>
      <c r="AW229" s="2" t="str">
        <f t="shared" si="23"/>
        <v>false</v>
      </c>
      <c r="AX229" s="2" t="str">
        <f>IF(_xlfn.XLOOKUP(_xlfn.XLOOKUP(Animals!B229,'Base stats'!B:B,'Base stats'!E:E),Groups!A:A,Groups!AK:AK)=1,"true","false")</f>
        <v>false</v>
      </c>
      <c r="AY229" s="25" t="str">
        <f>IF(_xlfn.XLOOKUP(B229,'Base stats'!B:B,'Base stats'!Y:Y)="Liquor","Liquor, CarnivoreAnimalStrict",IF(AND(_xlfn.XLOOKUP(B229,'Base stats'!B:B,'Base stats'!Y:Y)="Carnivore",_xlfn.XLOOKUP(_xlfn.XLOOKUP(B229,'Base stats'!B:B,'Base stats'!E:E),Groups!A:A,Groups!AJ:AJ)="Photonozoa"),"CarnivoreAnimalStrict, OvivoreAnimal",IF(_xlfn.XLOOKUP(B229,'Base stats'!B:B,'Base stats'!Y:Y)="Carnivore","CarnivoreAnimal, OvivoreAnimal",IF(_xlfn.XLOOKUP(B229,'Base stats'!B:B,'Base stats'!Y:Y)="Dendrovore","VegetarianRoughAnimal, DendrovoreAnimal",IF(_xlfn.XLOOKUP(B229,'Base stats'!B:B,'Base stats'!Y:Y)="Herbivore","VegetarianRoughAnimal",IF(_xlfn.XLOOKUP(B229,'Base stats'!B:B,'Base stats'!Y:Y)="OmnivoreRough","OmnivoreRoughAnimal, OvivoreAnimal","OmnivoreAnimal, OvivoreAnimal"))))))</f>
        <v>CarnivoreAnimal, OvivoreAnimal</v>
      </c>
      <c r="AZ229" s="2" t="str">
        <f>IF(_xlfn.XLOOKUP(_xlfn.XLOOKUP(B229,'Base stats'!B:B,'Base stats'!E:E),Groups!A:A,Groups!D:D)=1,MROUND((1-J229)*5+1,2)*IF(J229&lt;=0.4,2,1),"No")</f>
        <v>No</v>
      </c>
      <c r="BA229" s="2" t="str">
        <f>IF(AND(_xlfn.XLOOKUP(B229,'Base stats'!B:B,'Base stats'!AH:AH)="&lt;li&gt;Seal&lt;/li&gt;",G229="Odyssey"),"&lt;li&gt;AEXP_Seal&lt;/li&gt;",_xlfn.XLOOKUP(B229,'Base stats'!B:B,'Base stats'!AH:AH))</f>
        <v>&lt;li&gt;Iguana&lt;/li&gt;</v>
      </c>
      <c r="BB229" s="2" t="str">
        <f>_xlfn.XLOOKUP(B229,'Base stats'!B:B,'Base stats'!AG:AG)</f>
        <v>AA_Leather_Behemoth</v>
      </c>
      <c r="BC229" s="23" t="str">
        <f>_xlfn.XLOOKUP(_xlfn.XLOOKUP(B229,'Base stats'!B:B,'Base stats'!E:E),Groups!A:A,Groups!AL:AL)</f>
        <v>QuadrupedAnimalWithClawsTailAndJowl</v>
      </c>
      <c r="BD229" s="23">
        <f>MIN(1,MROUND(IF(AND(AO229&lt;0.5,_xlfn.XLOOKUP(B229,'Base stats'!B:B,'Base stats'!AA:AA)=0),0,IF(OR(_xlfn.XLOOKUP(Animals!B229,'Base stats'!B:B,'Base stats'!O:O)=2,_xlfn.XLOOKUP(_xlfn.XLOOKUP(B229,'Base stats'!B:B,'Base stats'!E:E),Groups!A:A,Groups!AN:AN)=0),0,_xlfn.XLOOKUP(_xlfn.XLOOKUP(B229,'Base stats'!B:B,'Base stats'!E:E),Groups!A:A,Groups!AN:AN)/IF(_xlfn.XLOOKUP(Animals!B229,'Base stats'!B:B,'Base stats'!O:O)=1,2,1)))+_xlfn.XLOOKUP(B229,'Base stats'!B:B,'Base stats'!AC:AC),0.005))</f>
        <v>0.1</v>
      </c>
      <c r="BE229" s="23">
        <f>MIN(1,MROUND(IF(AND(AO229&lt;0.5,_xlfn.XLOOKUP(B229,'Base stats'!B:B,'Base stats'!AA:AA)=0),0,IF(_xlfn.XLOOKUP(_xlfn.XLOOKUP(B229,'Base stats'!B:B,'Base stats'!E:E),Groups!A:A,Groups!AO:AO)=0,0,_xlfn.XLOOKUP(_xlfn.XLOOKUP(B229,'Base stats'!B:B,'Base stats'!E:E),Groups!A:A,Groups!AO:AO)/IF(_xlfn.XLOOKUP(Animals!B229,'Base stats'!B:B,'Base stats'!O:O)=2,3,1)))+_xlfn.XLOOKUP(B229,'Base stats'!B:B,'Base stats'!AD:AD),0.005))</f>
        <v>1</v>
      </c>
      <c r="BF229" s="2" t="str">
        <f>IF(J229&gt;0.3,"No",_xlfn.XLOOKUP(_xlfn.XLOOKUP(Animals!B229,'Base stats'!B:B,'Base stats'!E:E),Groups!A:A,Groups!AP:AP))</f>
        <v>No</v>
      </c>
      <c r="BG229" s="2" t="str">
        <f>IF(AND(J229&lt;=0.65,_xlfn.XLOOKUP(_xlfn.XLOOKUP(Animals!B229,'Base stats'!B:B,'Base stats'!E:E),Groups!A:A,Groups!AP:AP)&lt;&gt;"No",_xlfn.XLOOKUP(_xlfn.XLOOKUP(B229,'Base stats'!B:B,'Base stats'!E:E),Groups!A:A,Groups!D:D)=0),MROUND((80/3)*IF(_xlfn.XLOOKUP(B229,'Base stats'!B:B,'Base stats'!O:O)=2,0.2,AO229) + 24*(1-IF(BF229="No",0,BF229)) + 16/3, 12),"No")</f>
        <v>No</v>
      </c>
      <c r="BH229" s="2">
        <f>IF(AND(_xlfn.XLOOKUP(_xlfn.XLOOKUP(B229,'Base stats'!B:B,'Base stats'!E:E),Groups!A:A,Groups!AQ:AQ)=1,AO229&lt;=0.35),8,12)</f>
        <v>12</v>
      </c>
      <c r="BI229" s="2" t="str">
        <f>IF(_xlfn.XLOOKUP(_xlfn.XLOOKUP(B229,'Base stats'!B:B,'Base stats'!E:E),Groups!A:A,Groups!D:D)=0,_xlfn.XLOOKUP(_xlfn.XLOOKUP(B229,'Base stats'!B:B,'Base stats'!E:E),Groups!A:A,Groups!AR:AR),"None")</f>
        <v>Advanced</v>
      </c>
      <c r="BJ229" s="2" t="str">
        <f>IF(AND(_xlfn.XLOOKUP(_xlfn.XLOOKUP(B229,'Base stats'!B:B,'Base stats'!E:E),Groups!A:A,Groups!AS:AS)=1,OR(_xlfn.XLOOKUP(B229,'Base stats'!B:B,'Base stats'!Y:Y)="Carnivore",_xlfn.XLOOKUP(B229,'Base stats'!B:B,'Base stats'!Y:Y)="Omnivore")),"true","false")</f>
        <v>true</v>
      </c>
      <c r="BK229" s="2">
        <f>IF(BJ229="true",MROUND(IF(AND(AO229&gt;0.5,OR(_xlfn.XLOOKUP(_xlfn.XLOOKUP(B229,'Base stats'!B:B,'Base stats'!E:E),Groups!A:A,Groups!AJ:AJ)="Photonozoa",_xlfn.XLOOKUP(_xlfn.XLOOKUP(B229,'Base stats'!B:B,'Base stats'!E:E),Groups!A:A,Groups!AJ:AJ)="Mammal")),Animals!AO229*1.75*IF(AW229="true",1.5,1),IF(AO229&lt;0.5,Animals!AO229*0.5,Animals!AO229)),IF(AO229&gt;2,0.5,IF(AO229&gt;0.5,0.25,0.1))),"No")</f>
        <v>6</v>
      </c>
      <c r="BL229" s="2">
        <f t="shared" si="24"/>
        <v>1</v>
      </c>
      <c r="BM229" s="25" t="str">
        <f>IF(_xlfn.XLOOKUP(B229,'Base stats'!B:B,'Base stats'!AN:AN)="Standard","No",MROUND((_xlfn.XLOOKUP(B229,'Base stats'!B:B,'Base stats'!AN:AN)/3.6)/I229,0.1))</f>
        <v>No</v>
      </c>
      <c r="BN229" s="25" t="str">
        <f t="shared" si="25"/>
        <v>false</v>
      </c>
      <c r="BO229" s="25" t="str">
        <f>IF(AND(OR(_xlfn.XLOOKUP(B229,'Base stats'!B:B,'Base stats'!Y:Y)="Carnivore",_xlfn.XLOOKUP(B229,'Base stats'!B:B,'Base stats'!Y:Y)="Omnivore",_xlfn.XLOOKUP(B229,'Base stats'!B:B,'Base stats'!Y:Y)="OmnivoreRough"),_xlfn.XLOOKUP(_xlfn.XLOOKUP(B229,'Base stats'!B:B,'Base stats'!E:E),Groups!A:A,Groups!AT:AT)=1),"true","false")</f>
        <v>false</v>
      </c>
      <c r="BP229" s="25" t="str" cm="1">
        <f t="array" ref="BP229">IF(
  _xlfn.TEXTJOIN(", ",TRUE,
    IF(AND(BJ229="true",AO229&gt;0.5,BI229&lt;&gt;"None"),"AttackTarget",""),
    IF(AND(_xlfn.XLOOKUP(_xlfn.XLOOKUP(B229,'Base stats'!B:B,'Base stats'!E:E),Groups!A:A,Groups!AJ:AJ="Mammal"),OR(_xlfn.XLOOKUP(B229,'Base stats'!B:B,'Base stats'!Y:Y)="Omnivore",_xlfn.XLOOKUP(B229,'Base stats'!B:B,'Base stats'!Y:Y)="OmnivoreRough")),"Forage",""),
    IF(BG229&lt;=36,"Comfort",""),
    IF(_xlfn.XLOOKUP(B229,'Base stats'!B:B,'Base stats'!AE:AE)&lt;&gt;"No",_xlfn.XLOOKUP(B229,'Base stats'!B:B,'Base stats'!AE:AE),"")
  ) = "",
  "No",
  _xlfn.TEXTJOIN(", ",TRUE,
    IF(AND(BJ229="true",AO229&gt;0.5,BI229&lt;&gt;"None"),"AttackTarget",""),
    IF(AND(_xlfn.XLOOKUP(_xlfn.XLOOKUP(B229,'Base stats'!B:B,'Base stats'!E:E),Groups!A:A,Groups!AJ:AJ="Mammal"),OR(_xlfn.XLOOKUP(B229,'Base stats'!B:B,'Base stats'!Y:Y)="Omnivore",_xlfn.XLOOKUP(B229,'Base stats'!B:B,'Base stats'!Y:Y)="OmnivoreRough")),"Forage",""),
    IF(BG229&lt;=36,"Comfort",""),
    IF(_xlfn.XLOOKUP(B229,'Base stats'!B:B,'Base stats'!AE:AE)&lt;&gt;"No",_xlfn.XLOOKUP(B229,'Base stats'!B:B,'Base stats'!AE:AE),"")
  )
)</f>
        <v>AttackTarget</v>
      </c>
      <c r="BQ229" s="25" t="str">
        <f>IF(
   AND(
      'Base stats'!AN229="Standard",_xlfn.XLOOKUP(_xlfn.XLOOKUP(B229,'Base stats'!B:B,'Base stats'!E:E),Groups!A:A,Groups!AU:AU)=0,
      OR(
      BO229="True"
      )
   ),
   10,
   IF(
       OR(BM229&lt;&gt;"No",_xlfn.XLOOKUP(_xlfn.XLOOKUP(B229,'Base stats'!B:B,'Base stats'!E:E),Groups!A:A,Groups!AU:AU)=1),
      1,
      "No"
   )
)</f>
        <v>No</v>
      </c>
      <c r="BR229" s="9">
        <f>MROUND((1 + ((0.2*IF(OR(Q229="No",R229="No",R229=0),0,Q229/R229)
+IF(OR(V229="No",S229="No",T229="No"),0,S229/T229*(LEN(V229)-LEN(SUBSTITUTE(V229,",",""))+1))
+IF(OR(X229="No",Y229="No"),0,X229/Y229)
+IF(OR(AD229="No",AE229="No"),0,AD229/AE229)
+IF(OR(AL229="No",AI229="No",AJ229="No"),0,AI229/AJ229*(LEN(AL229)-LEN(SUBSTITUTE(AL229,",",""))+1))
)/(0.2*IF(OR(Q229="No",R229="No",R229=0),0,1)
+IF(OR(V229="No",S229="No",T229="No"),0,LEN(V229)-LEN(SUBSTITUTE(V229,",",""))+1)
+IF(OR(X229="No",Y229="No"),0,1)
+IF(OR(AD229="No",AE229="No"),0,1)
+IF(OR(AL229="No",AI229="No",AJ229="No"),0,LEN(AL229)-LEN(SUBSTITUTE(AL229,",",""))+1))*62%)* 2)*(1 + (AP229 / (IF(_xlfn.XLOOKUP(_xlfn.XLOOKUP(B229,'Base stats'!B:B,'Base stats'!E:E),Groups!A:A,Groups!AJ:AJ)="Photonozoa",0.3,1)) + _xlfn.XLOOKUP(B229,'Base stats'!B:B,'Base stats'!AV:AV) * 1.8) * 2) * 2.5 + 10 + I229 * 2,5)+IF(_xlfn.XLOOKUP(B229,'Base stats'!B:B,'Base stats'!AK:AK)=1,50,0)</f>
        <v>1320</v>
      </c>
      <c r="BS229" s="8">
        <f t="shared" si="26"/>
        <v>3.6500000000000004</v>
      </c>
      <c r="BT229" s="8" t="str">
        <f>_xlfn.XLOOKUP(B229,'Base stats'!B:B,'Base stats'!AF:AF)</f>
        <v>No</v>
      </c>
      <c r="BU229" s="2" t="str">
        <f>IF(AND(J229&lt;=0.95,OR(_xlfn.XLOOKUP(B229,'Base stats'!B:B,'Base stats'!AK:AK)=1,_xlfn.XLOOKUP(B229,'Base stats'!B:B,'Base stats'!Y:Y)="Carnivore",_xlfn.XLOOKUP(B229,'Base stats'!B:B,'Base stats'!Y:Y)="Omnivore",BE229&gt;0.1)),"true","false")</f>
        <v>false</v>
      </c>
      <c r="BV229" s="2" t="str">
        <f>IF(_xlfn.XLOOKUP(B229,'Base stats'!B:B,'Base stats'!AI:AI)=1,"true","false")</f>
        <v>true</v>
      </c>
      <c r="BW229" s="25" t="str">
        <f>IF(E229="BaseInsect","AnimalInsect",
IF(J229&gt;0.95,"AnimalExotic",
_xlfn.TEXTJOIN(", ",TRUE,
IF(OR(_xlfn.XLOOKUP(B229,'Base stats'!B:B,'Base stats'!AM:AM)=1,AND(_xlfn.XLOOKUP(B229,'Base stats'!B:B,'Base stats'!O:O)=0,_xlfn.XLOOKUP(_xlfn.XLOOKUP(B229,'Base stats'!B:B,'Base stats'!E:E),Groups!A:A,Groups!B:B)&gt;0)),"AnimalUncommon","AnimalCommon"),
IF(AND(_xlfn.XLOOKUP(B229,'Base stats'!B:B,'Base stats'!O:O)=2,_xlfn.XLOOKUP(_xlfn.XLOOKUP(B229,'Base stats'!B:B,'Base stats'!E:E),Groups!A:A,Groups!D:D)=0),"AnimalPet",IF(AND(_xlfn.XLOOKUP(B229,'Base stats'!B:B,'Base stats'!O:O)&lt;&gt;0,_xlfn.XLOOKUP(_xlfn.XLOOKUP(B229,'Base stats'!B:B,'Base stats'!E:E),Groups!A:A,Groups!D:D)&lt;&gt;0),"AnimalFarm","")),
IF(OR(_xlfn.XLOOKUP(B229,'Base stats'!B:B,'Base stats'!AK:AK)=1,AND(BI229&lt;&gt;"None",BR229&gt;=60),ISNUMBER(SEARCH("Attack target",BP229))),"AnimalFighter","")
)))</f>
        <v>AnimalExotic</v>
      </c>
      <c r="BX229" s="25" t="str">
        <f>IF(G229="None",TRIM(
SUBSTITUTE(
IF(COUNTIF(Biomes!B$2:B$259,"="&amp;$C229)&gt;0,Biomes!B$1&amp;", ","")&amp;
IF(COUNTIF(Biomes!C$2:C$259,"="&amp;$C229)&gt;0,Biomes!C$1&amp;", ","")&amp;
IF(COUNTIF(Biomes!D$2:D$259,"="&amp;$C229)&gt;0,Biomes!D$1&amp;", ","")&amp;
IF(COUNTIF(Biomes!F$2:F$259,"="&amp;$C229)&gt;0,Biomes!F$1&amp;", ","")&amp;
IF(COUNTIF(Biomes!G$2:G$259,"="&amp;$C229)&gt;0,Biomes!G$1&amp;", ","")&amp;
IF(COUNTIF(Biomes!H$2:H$259,"="&amp;$C229)&gt;0,Biomes!H$1&amp;", ","")&amp;
IF(COUNTIF(Biomes!I$2:I$259,"="&amp;$C229)&gt;0,Biomes!I$1&amp;", ","")&amp;
IF(COUNTIF(Biomes!J$2:J$259,"="&amp;$C229)&gt;0,Biomes!J$1&amp;", ","")&amp;
IF(COUNTIF(Biomes!M$2:M$259,"="&amp;$C229)&gt;0,Biomes!M$1&amp;", ","")&amp;
IF(COUNTIF(Biomes!N$2:N$259,"="&amp;$C229)&gt;0,Biomes!N$1&amp;", ","")&amp;
IF(COUNTIF(Biomes!O$2:O$259,"="&amp;$C229)&gt;0,Biomes!O$1&amp;", ","")&amp;
IF(COUNTIF(Biomes!P$2:P$259,"="&amp;$C229)&gt;0,Biomes!P$1&amp;", ","")&amp;
IF(COUNTIF(Biomes!K$2:K$259,"="&amp;$C229)&gt;0,Biomes!K$1&amp;", ","")&amp;
IF(COUNTIF(Biomes!Q$3:Q$259,"="&amp;$C229)&gt;0,Biomes!Q$1&amp;", ","")&amp;
IF(COUNTIF(Biomes!L$2:L$259,"="&amp;$C229)&gt;0,Biomes!L$1&amp;", ","")&amp;
IF(COUNTIF(Biomes!E$2:E$259,"="&amp;$C229)&gt;0,Biomes!E$1&amp;", ","")&amp;IF(COUNTIF(Biomes!S$2:S$259,"="&amp;$C229)&gt;0,Biomes!S$1&amp;", ","")&amp;
IF(COUNTIF(Biomes!R$2:R$259,"="&amp;$C229)&gt;0,Biomes!R$1&amp;", ",""),", ","")
),_xlfn.XLOOKUP(B229,B:B,BX:BX))</f>
        <v>Glowforest</v>
      </c>
      <c r="BY229" s="25" t="str">
        <f>IF(_xlfn.XLOOKUP(B229,'Base stats'!B:B,'Base stats'!AJ:AJ)=1,"true","false")</f>
        <v>false</v>
      </c>
      <c r="BZ229" s="25">
        <f>IF(_xlfn.XLOOKUP(B229,'Base stats'!B:B,'Base stats'!N:N)=1,"No",MAX(0.001,MIN(MROUND(IF(AND(BJ229="True",CC229="False"),POWER(10,3.47*LOG10(_xlfn.XLOOKUP(B229,'Base stats'!B:B,'Base stats'!C:C)*1000)^-0.96),POWER(10,4.15*LOG10(_xlfn.XLOOKUP(B229,'Base stats'!B:B,'Base stats'!C:C)*1000)^-0.73))*IF(_xlfn.XLOOKUP(B229,'Base stats'!B:B,'Base stats'!AK:AK)=1,0.5,1)*IF(_xlfn.XLOOKUP(B229,'Base stats'!B:B,'Base stats'!AM:AM)=1,0.1,1)/100,IF(_xlfn.XLOOKUP(B229,'Base stats'!B:B,'Base stats'!AM:AM)=1,0.001,0.025)),0.5)))</f>
        <v>3.0000000000000001E-3</v>
      </c>
      <c r="CA229" s="25" t="str">
        <f>IF(P229="Standard","No",MAX(0.001,MIN(MROUND(IF(AND(BJ229="True",CC229="False"),POWER(10,3.47*LOG10(_xlfn.XLOOKUP(B229,'Base stats'!B:B,'Base stats'!C:C)*1000)^-0.96),POWER(10,4.15*LOG10(_xlfn.XLOOKUP(B229,'Base stats'!B:B,'Base stats'!C:C)*1000)^-0.73))*IF(_xlfn.XLOOKUP(B229,'Base stats'!B:B,'Base stats'!AM:AM)=1,0.1,1)*_xlfn.XLOOKUP(B229,'Base stats'!B:B,'Base stats'!R:R)/100,IF(_xlfn.XLOOKUP(B229,'Base stats'!B:B,'Base stats'!AM:AM)=1,0.001,0.025)),0.5)))</f>
        <v>No</v>
      </c>
      <c r="CB229" s="25" t="str">
        <f>IF(_xlfn.XLOOKUP(_xlfn.XLOOKUP(B229,'Base stats'!B:B,'Base stats'!E:E),Groups!A:A,Groups!AJ:AJ)="Mammal","True","False")</f>
        <v>False</v>
      </c>
      <c r="CC229" s="25" t="str">
        <f>IF(OR(_xlfn.XLOOKUP(_xlfn.XLOOKUP(B229,'Base stats'!B:B,'Base stats'!E:E),Groups!A:A,Groups!AJ:AJ)="Reptile",_xlfn.XLOOKUP(_xlfn.XLOOKUP(B229,'Base stats'!B:B,'Base stats'!E:E),Groups!A:A,Groups!AJ:AJ)="Amphibian",_xlfn.XLOOKUP(_xlfn.XLOOKUP(B229,'Base stats'!B:B,'Base stats'!E:E),Groups!A:A,Groups!AJ:AJ)="Invertebrate"),"True","False")</f>
        <v>False</v>
      </c>
      <c r="CD229" s="25" t="str">
        <f t="shared" si="27"/>
        <v>True</v>
      </c>
      <c r="CE229" s="25" t="str">
        <f>IF(_xlfn.XLOOKUP(_xlfn.XLOOKUP(B229,'Base stats'!B:B,'Base stats'!E:E),Groups!A:A,Groups!AX:AX),"True","False")</f>
        <v>False</v>
      </c>
      <c r="CF229" s="25" t="str">
        <f>IF(_xlfn.XLOOKUP(_xlfn.XLOOKUP(B229,'Base stats'!B:B,'Base stats'!E:E),Groups!A:A,Groups!AY:AY),"True","False")</f>
        <v>True</v>
      </c>
      <c r="CG229" s="25" t="str">
        <f>IF(_xlfn.XLOOKUP(_xlfn.XLOOKUP(B229,'Base stats'!B:B,'Base stats'!E:E),Groups!A:A,Groups!AW:AW),"True","False")</f>
        <v>True</v>
      </c>
      <c r="CH229" s="25" t="str">
        <f>IF(
OR(
_xlfn.XLOOKUP(_xlfn.XLOOKUP(B229,'Base stats'!B:B,'Base stats'!E:E),Groups!A:A,Groups!AZ:AZ)=0,
AND(
_xlfn.XLOOKUP(B229,'Base stats'!B:B,'Base stats'!Y:Y)&lt;&gt;"Carnivore",
_xlfn.XLOOKUP(B229,'Base stats'!B:B,'Base stats'!Y:Y)&lt;&gt;"Omnivore",
_xlfn.XLOOKUP(B229,'Base stats'!B:B,'Base stats'!Y:Y)&lt;&gt;"OmnivoreRough"
)
),
"No",
IF(
_xlfn.XLOOKUP(_xlfn.XLOOKUP(B229,'Base stats'!B:B,'Base stats'!E:E),Groups!A:A,Groups!AZ:AZ)=1,
"Flesh",
IF(
_xlfn.XLOOKUP(_xlfn.XLOOKUP(B229,'Base stats'!B:B,'Base stats'!E:E),Groups!A:A,Groups!AZ:AZ)=2,
"Bone",
""
)
)
)</f>
        <v>No</v>
      </c>
      <c r="CI229" s="25" t="str">
        <f>IF(_xlfn.XLOOKUP(_xlfn.XLOOKUP(B229,'Base stats'!B:B,'Base stats'!E:E),Groups!A:A,Groups!BB:BB),"True","False")</f>
        <v>False</v>
      </c>
      <c r="CJ229" s="25" t="str">
        <f>IF(_xlfn.XLOOKUP(_xlfn.XLOOKUP(B229,'Base stats'!B:B,'Base stats'!E:E),Groups!A:A,Groups!BA:BA),"True","False")</f>
        <v>False</v>
      </c>
    </row>
    <row r="230" spans="1:88" ht="16.5" thickTop="1" thickBot="1" x14ac:dyDescent="0.3">
      <c r="A230" s="26" t="s">
        <v>1456</v>
      </c>
      <c r="B230" s="6" t="str">
        <f>_xlfn.XLOOKUP(A230,'Base stats'!A:A,'Base stats'!B:B)</f>
        <v>Arthrocolossus behemoth</v>
      </c>
      <c r="C230" s="28" t="s">
        <v>1457</v>
      </c>
      <c r="D230" s="28" t="s">
        <v>1341</v>
      </c>
      <c r="E230" s="28" t="s">
        <v>673</v>
      </c>
      <c r="F230" s="28" t="s">
        <v>673</v>
      </c>
      <c r="G230" s="28" t="s">
        <v>673</v>
      </c>
      <c r="H230" s="2">
        <f>MROUND((
  (IF(AND(_xlfn.XLOOKUP(B230,'Base stats'!B:B,'Base stats'!AL:AL)=0,BI230="None",_xlfn.XLOOKUP(_xlfn.XLOOKUP(B230,'Base stats'!B:B,'Base stats'!E:E),Groups!A:A,Groups!B:B)=0), (18 + BR230 * 2.7) * 0.5,
    IF(AND(_xlfn.XLOOKUP(B230,'Base stats'!B:B,'Base stats'!AL:AL)=0,OR(AO230&lt;0.55,AND(BI230="Intermediate",_xlfn.XLOOKUP(_xlfn.XLOOKUP(B230,'Base stats'!B:B,'Base stats'!E:E),Groups!A:A,Groups!B:B)&lt;2))), (18 + BR230 * 2.7),
      IF(OR(BI230="Advanced",_xlfn.XLOOKUP(B230,'Base stats'!B:B,'Base stats'!AL:AL)=1,_xlfn.XLOOKUP(_xlfn.XLOOKUP(B230,'Base stats'!B:B,'Base stats'!E:E),Groups!A:A,Groups!B:B)=2), (18 + BR230 * 2.7) + 250, (18 + BR230 * 2.7))
    )
  ))
  + AO230 * 80
  + IF(COUNTIF(EggMilk!K$2:K$998, A230) &gt; 0, 125, 0)
  + IF(COUNTIF(EggMilk!P$2:P$998, A230) &gt; 0, 90, 0)
  + IF(COUNTIF(EggMilk!A$2:A$998, A230) &gt; 0, 90, 0)
)
* (0.8 + 0.4 * J230)
* 0.75,25)</f>
        <v>1500</v>
      </c>
      <c r="I230" s="2">
        <f>MROUND(ROUNDDOWN(_xlfn.XLOOKUP(B230,'Base stats'!B:B,'Base stats'!L:L)/3.6/(23.3/11),1),0.5)</f>
        <v>2</v>
      </c>
      <c r="J230" s="2">
        <f>IF(OR(_xlfn.XLOOKUP(B230,'Base stats'!B:B,'Base stats'!AB:AB)=1,_xlfn.XLOOKUP(_xlfn.XLOOKUP(B230,'Base stats'!B:B,'Base stats'!E:E),Groups!A:A,Groups!C:C)="Untamable"),1,IF(_xlfn.XLOOKUP(B230,'Base stats'!B:B,'Base stats'!AL:AL)=1,0.99,MIN(MROUND((1-0.6282*EXP(-0.459*AO230))*_xlfn.XLOOKUP(_xlfn.XLOOKUP(B230,'Base stats'!B:B,'Base stats'!E:E),Groups!A:A,Groups!C:C)*IF(_xlfn.XLOOKUP(B230,'Base stats'!B:B,'Base stats'!O:O)=1,0.5,IF(_xlfn.XLOOKUP(B230,'Base stats'!B:B,'Base stats'!O:O)=2,0,1)),0.05),IF(AO230&gt;3.5,0.985,0.95))))</f>
        <v>0.9</v>
      </c>
      <c r="K230" s="2">
        <f>ROUNDUP(AO230*_xlfn.XLOOKUP(_xlfn.XLOOKUP(B230,'Base stats'!B:B,'Base stats'!E:E),Groups!A:A,Groups!E:E),0)</f>
        <v>4</v>
      </c>
      <c r="L230" s="2">
        <f>IF(OR(_xlfn.XLOOKUP(_xlfn.XLOOKUP(B230,'Base stats'!B:B,'Base stats'!E:E),Groups!A:A,Groups!F:F)=2,ISNUMBER(SEARCH("SeaIce",BX230)),ISNUMBER(SEARCH("IceSheet",BX230))),-50,IF(OR(ISNUMBER(SEARCH("GlacialPlain",BX230)),ISNUMBER(SEARCH("Tundra",BX230))),-40,IF(OR(ISNUMBER(SEARCH("Alpine",BX230)),ISNUMBER(SEARCH("BorealForest",BX230)),ISNUMBER(SEARCH("ColdBog",BX230))),-30,IF(OR(ISNUMBER(SEARCH("TemperateForest",BX230)),ISNUMBER(SEARCH("TemperateSwamp",BX230))),-20,IF(_xlfn.XLOOKUP(_xlfn.XLOOKUP(B230,'Base stats'!B:B,'Base stats'!E:E),Groups!A:A,Groups!F:F)=1,-15,IF(OR(ISNUMBER(SEARCH("Desert",BX230)),ISNUMBER(SEARCH("ExtremeDesert",BX230))),-10,IF(OR(ISNUMBER(SEARCH("Grasslands",BX230)),ISNUMBER(SEARCH("TropicalRainforest",BX230)),ISNUMBER(SEARCH("TropicalSwamp",BX230))),10,0)))))))-IF(CC230="False",MIN(IFERROR(MAX(MROUND(LOG10(_xlfn.XLOOKUP(B230,'Base stats'!B:B,'Base stats'!C:C)^(2/3))*10,5),5),5),30))-_xlfn.XLOOKUP(B230,'Base stats'!B:B,'Base stats'!P:P)+IF(CC230="True",5,0)</f>
        <v>-45</v>
      </c>
      <c r="M230" s="2">
        <f>IF(OR(_xlfn.XLOOKUP(_xlfn.XLOOKUP(B230,'Base stats'!B:B,'Base stats'!E:E),Groups!A:A,Groups!G:G)=2,ISNUMBER(SEARCH("Desert",BX230)),ISNUMBER(SEARCH("ExtremeDesert",BX230)),ISNUMBER(SEARCH("LavaField",BX230))),50,IF(ISNUMBER(SEARCH("Grasslands",BX230)),45,IF(OR(_xlfn.XLOOKUP(_xlfn.XLOOKUP(B230,'Base stats'!B:B,'Base stats'!E:E),Groups!A:A,Groups!G:G)=1,ISNUMBER(SEARCH("TropicalRainforest",BX230)),ISNUMBER(SEARCH("TropicalSwamp",BX230))),40,IF(OR(ISNUMBER(SEARCH("TemperateForest",BX230)),ISNUMBER(SEARCH("TemperateSwamp",BX230))),35,IF(OR(ISNUMBER(SEARCH("Alpine",BX230)),ISNUMBER(SEARCH("BorealForest",BX230)),ISNUMBER(SEARCH("ColdBog",BX230))),30,IF(ISNUMBER(OR(ISNUMBER(SEARCH("GlacialPlain",BX230)),SEARCH("Tundra",BX230))),25,IF(OR(ISNUMBER(SEARCH("SeaIce",BX230)),ISNUMBER(SEARCH("IceSheet",BX230)),ISNUMBER(SEARCH("TropicalSwamp",BX230))),10,35)))))))+_xlfn.XLOOKUP(B230,'Base stats'!B:B,'Base stats'!Q:Q)</f>
        <v>30</v>
      </c>
      <c r="N230" s="8">
        <f>IF(
_xlfn.XLOOKUP(
_xlfn.XLOOKUP(B230,'Base stats'!B:B,'Base stats'!E:E),
Groups!A:A,
Groups!L:L
)=1,
MIN(
MROUND(
IF(
_xlfn.XLOOKUP(B230,'Animals CE'!B:B,'Animals CE'!Z:Z)&lt;=1.5,
_xlfn.XLOOKUP(B230,'Animals CE'!B:B,'Animals CE'!Z:Z)/2+0.05,
0.8+
(_xlfn.XLOOKUP(B230,'Animals CE'!B:B,'Animals CE'!Z:Z)-1.5)
*0.02
),
0.05
),
200%
),
"No"
)</f>
        <v>0.9</v>
      </c>
      <c r="O230" s="8">
        <f>IF(
_xlfn.XLOOKUP(
_xlfn.XLOOKUP(B230,'Base stats'!B:B,'Base stats'!E:E),
Groups!A:A,
Groups!L:L
)=1,
MIN(
MROUND(
IF(
_xlfn.XLOOKUP(B230,'Animals CE'!B:B,'Animals CE'!AA:AA)&lt;=1.5,
_xlfn.XLOOKUP(B230,'Animals CE'!B:B,'Animals CE'!AA:AA)/2+0.05,
0.8+
(_xlfn.XLOOKUP(B230,'Animals CE'!B:B,'Animals CE'!AA:AA)-1.5)
*0.02
),
0.05
),
200%
),
"No"
)</f>
        <v>0.85000000000000009</v>
      </c>
      <c r="P230" s="2" t="str">
        <f>_xlfn.XLOOKUP(B230,'Base stats'!B:B,'Base stats'!R:R)</f>
        <v>Standard</v>
      </c>
      <c r="Q230" s="13">
        <f>MROUND((LOG10(_xlfn.XLOOKUP(B230,'Base stats'!B:B,'Base stats'!AR:AR))*(AO230^0.5)+(_xlfn.XLOOKUP(B230,'Base stats'!B:B,'Base stats'!AR:AR)/1000)^(2/3)+_xlfn.XLOOKUP(B230,'Base stats'!B:B,'Base stats'!BA:BA)/2)+0.5,0.5)</f>
        <v>23.5</v>
      </c>
      <c r="R230" s="7">
        <f>IF(Q230="No","No",MAX(1,MROUND(_xlfn.XLOOKUP(B230,'Base stats'!B:B,'Base stats'!C:C)^0.165,0.05)))</f>
        <v>3.35</v>
      </c>
      <c r="S230" s="13" t="str">
        <f>IF(_xlfn.XLOOKUP(_xlfn.XLOOKUP(B230,'Base stats'!B:B,'Base stats'!E:E),Groups!A:A,Groups!P:P)=0,"No",MROUND((LOG10(_xlfn.XLOOKUP(B230,'Base stats'!B:B,'Base stats'!AS:AS))*(AO230^0.5)+(_xlfn.XLOOKUP(B230,'Base stats'!B:B,'Base stats'!AS:AS)/1000)^(2/3)+_xlfn.XLOOKUP(B230,'Base stats'!B:B,'Base stats'!BA:BA))+_xlfn.XLOOKUP(B230,'Base stats'!B:B,'Base stats'!AY:AY)+0.5,0.5))</f>
        <v>No</v>
      </c>
      <c r="T230" s="7" t="str">
        <f>IF(S230="No","No",MAX(_xlfn.XLOOKUP(_xlfn.XLOOKUP(B230,'Base stats'!B:B,'Base stats'!E:E),Groups!A:A,Groups!Q:Q),MROUND(_xlfn.XLOOKUP(_xlfn.XLOOKUP(B230,'Base stats'!B:B,'Base stats'!E:E),Groups!A:A,Groups!Q:Q)*_xlfn.XLOOKUP(B230,'Base stats'!B:B,'Base stats'!C:C)^0.165,0.05)))</f>
        <v>No</v>
      </c>
      <c r="U230" s="7" t="str">
        <f>IF(S230="No","No",_xlfn.XLOOKUP(_xlfn.XLOOKUP(B230,'Base stats'!B:B,'Base stats'!E:E),Groups!A:A,Groups!R:R))</f>
        <v>No</v>
      </c>
      <c r="V230" s="7" t="str">
        <f>IF(S230="No","No",_xlfn.XLOOKUP(_xlfn.XLOOKUP(B230,'Base stats'!B:B,'Base stats'!E:E),Groups!A:A,Groups!S:S))</f>
        <v>No</v>
      </c>
      <c r="W230" s="7" t="str">
        <f>IF(S230="No","No",_xlfn.XLOOKUP(_xlfn.XLOOKUP(B230,'Base stats'!B:B,'Base stats'!E:E),Groups!A:A,Groups!T:T))</f>
        <v>No</v>
      </c>
      <c r="X230" s="13" t="str">
        <f>IF(_xlfn.XLOOKUP(B230,'Base stats'!B:B,'Base stats'!W:W)="No","No",MROUND((LOG10(_xlfn.XLOOKUP(B230,'Base stats'!B:B,'Base stats'!AU:AU))*(AO230^0.5)+(_xlfn.XLOOKUP(B230,'Base stats'!B:B,'Base stats'!AU:AU)/1000)^(2/3)+_xlfn.XLOOKUP(B230,'Base stats'!B:B,'Base stats'!AZ:AZ))+0.5+IF(_xlfn.XLOOKUP(_xlfn.XLOOKUP(B230,'Base stats'!B:B,'Base stats'!E:E),Groups!A:A,Groups!U:U)&lt;&gt;3,_xlfn.XLOOKUP(B230,'Base stats'!B:B,'Base stats'!BA:BA),0),0.5))</f>
        <v>No</v>
      </c>
      <c r="Y230" s="7" t="str">
        <f>IF(X230="No","No",MAX(_xlfn.XLOOKUP(_xlfn.XLOOKUP(B230,'Base stats'!B:B,'Base stats'!E:E),Groups!A:A,Groups!V:V),MROUND(_xlfn.XLOOKUP(_xlfn.XLOOKUP(B230,'Base stats'!B:B,'Base stats'!E:E),Groups!A:A,Groups!V:V)*_xlfn.XLOOKUP(B230,'Base stats'!B:B,'Base stats'!C:C)^0.165,0.05)))</f>
        <v>No</v>
      </c>
      <c r="Z230" s="7" t="str">
        <f>IF(X230="No","No",_xlfn.XLOOKUP(_xlfn.XLOOKUP(B230,'Base stats'!B:B,'Base stats'!E:E),Groups!A:A,Groups!W:W))</f>
        <v>No</v>
      </c>
      <c r="AA230" s="7" t="str">
        <f>IF(X230="No","No",_xlfn.XLOOKUP(_xlfn.XLOOKUP(B230,'Base stats'!B:B,'Base stats'!E:E),Groups!A:A,Groups!X:X))</f>
        <v>No</v>
      </c>
      <c r="AB230" s="7" t="str">
        <f>IF(X230="No","No",_xlfn.XLOOKUP(_xlfn.XLOOKUP(B230,'Base stats'!B:B,'Base stats'!E:E),Groups!A:A,Groups!Y:Y))</f>
        <v>No</v>
      </c>
      <c r="AC230" s="7" t="str">
        <f>_xlfn.XLOOKUP(Animals!B230,'Base stats'!B:B,'Base stats'!X:X)</f>
        <v>False</v>
      </c>
      <c r="AD230" s="13">
        <f>IF(_xlfn.XLOOKUP(B230,'Base stats'!B:B,'Base stats'!AT:AT)="No","No",MROUND((LOG10(_xlfn.XLOOKUP(B230,'Base stats'!B:B,'Base stats'!AT:AT))*(AO230^0.75)+(_xlfn.XLOOKUP(B230,'Base stats'!B:B,'Base stats'!AT:AT)/1000)^(2/3)+_xlfn.XLOOKUP(B230,'Base stats'!B:B,'Base stats'!AX:AX)+_xlfn.XLOOKUP(B230,'Base stats'!B:B,'Base stats'!BA:BA))+0.5,0.5))</f>
        <v>63.5</v>
      </c>
      <c r="AE230" s="7">
        <f>IF(AD230="No","No",MAX(_xlfn.XLOOKUP(_xlfn.XLOOKUP(B230,'Base stats'!B:B,'Base stats'!E:E),Groups!A:A,Groups!Z:Z),MROUND(_xlfn.XLOOKUP(_xlfn.XLOOKUP(B230,'Base stats'!B:B,'Base stats'!E:E),Groups!A:A,Groups!Z:Z)*_xlfn.XLOOKUP(B230,'Base stats'!B:B,'Base stats'!C:C)^0.165,0.05)))</f>
        <v>4.3500000000000005</v>
      </c>
      <c r="AF230" s="7" t="str">
        <f>IF(AD230="No","No",_xlfn.XLOOKUP(_xlfn.XLOOKUP(B230,'Base stats'!B:B,'Base stats'!E:E),Groups!A:A,Groups!AA:AA))</f>
        <v>Mouth</v>
      </c>
      <c r="AG230" s="7" t="str">
        <f>IF(AD230="No","No",_xlfn.XLOOKUP(_xlfn.XLOOKUP(B230,'Base stats'!B:B,'Base stats'!E:E),Groups!A:A,Groups!AB:AB))</f>
        <v>mandibles</v>
      </c>
      <c r="AH230" s="7" t="str">
        <f>IF(AD230="No","No",_xlfn.XLOOKUP(_xlfn.XLOOKUP(B230,'Base stats'!B:B,'Base stats'!E:E),Groups!A:A,Groups!AC:AC))</f>
        <v>Bite</v>
      </c>
      <c r="AI230" s="13" t="str">
        <f>IF(_xlfn.XLOOKUP(_xlfn.XLOOKUP(B230,'Base stats'!B:B,'Base stats'!E:E),Groups!A:A,Groups!AD:AD)=0,"No",MROUND((LOG10(_xlfn.XLOOKUP(B230,'Base stats'!B:B,'Base stats'!AS:AS))*(AO230^0.75)+(_xlfn.XLOOKUP(B230,'Base stats'!B:B,'Base stats'!AS:AS)/1000)^(2/3)+_xlfn.XLOOKUP(B230,'Base stats'!B:B,'Base stats'!AY:AY)+_xlfn.XLOOKUP(B230,'Base stats'!B:B,'Base stats'!BA:BA))+0.5,0.5))</f>
        <v>No</v>
      </c>
      <c r="AJ230" s="7" t="str">
        <f>IF(AI230="No","No",MAX(_xlfn.XLOOKUP(_xlfn.XLOOKUP(B230,'Base stats'!B:B,'Base stats'!E:E),Groups!A:A,Groups!AE:AE),MROUND(_xlfn.XLOOKUP(_xlfn.XLOOKUP(B230,'Base stats'!B:B,'Base stats'!E:E),Groups!A:A,Groups!AE:AE)*IF(_xlfn.XLOOKUP(_xlfn.XLOOKUP(B230,'Base stats'!B:B,'Base stats'!E:E),Groups!A:A,Groups!AJ:AJ)="Photonozoa",0.6,1)*_xlfn.XLOOKUP(B230,'Base stats'!B:B,'Base stats'!C:C)^0.165,0.05)))</f>
        <v>No</v>
      </c>
      <c r="AK230" s="7" t="str">
        <f>IF(AI230="No","No",_xlfn.XLOOKUP(_xlfn.XLOOKUP(B230,'Base stats'!B:B,'Base stats'!E:E),Groups!A:A,Groups!AF:AF))</f>
        <v>No</v>
      </c>
      <c r="AL230" s="7" t="str">
        <f>IF(AI230="No","No",_xlfn.XLOOKUP(_xlfn.XLOOKUP(B230,'Base stats'!B:B,'Base stats'!E:E),Groups!A:A,Groups!AG:AG))</f>
        <v>No</v>
      </c>
      <c r="AM230" s="7" t="str">
        <f>IF(AI230="No","No",_xlfn.XLOOKUP(_xlfn.XLOOKUP(B230,'Base stats'!B:B,'Base stats'!E:E),Groups!A:A,Groups!AH:AH))</f>
        <v>No</v>
      </c>
      <c r="AN230" s="2" t="str">
        <f t="shared" si="21"/>
        <v>No</v>
      </c>
      <c r="AO230" s="2">
        <f>MROUND(IF(AND(_xlfn.XLOOKUP(B230,'Base stats'!B:B,'Base stats'!C:C)&gt;=0.5,_xlfn.XLOOKUP(B230,'Base stats'!B:B,'Base stats'!C:C)&lt;=0.8),
IF(_xlfn.XLOOKUP(B230,'Base stats'!B:B,'Base stats'!C:C)&lt;0.1,0.05,IF(_xlfn.XLOOKUP(B230,'Base stats'!B:B,'Base stats'!C:C)&lt;=70,(_xlfn.XLOOKUP(B230,'Base stats'!B:B,'Base stats'!C:C)/70)^0.426489913056526,IF(_xlfn.XLOOKUP(B230,'Base stats'!B:B,'Base stats'!C:C)&lt;=400,(_xlfn.XLOOKUP(B230,'Base stats'!B:B,'Base stats'!C:C)/70)^0.572811455315093,IF(_xlfn.XLOOKUP(B230,'Base stats'!B:B,'Base stats'!C:C)&lt;=2000,2.71391647193063*(_xlfn.XLOOKUP(B230,'Base stats'!B:B,'Base stats'!C:C)/400)^0.252459582904293,3.74314280240376*(_xlfn.XLOOKUP(B230,'Base stats'!B:B,'Base stats'!C:C)/2000)^0.357012633876913)))),
IF(_xlfn.XLOOKUP(B230,'Base stats'!B:B,'Base stats'!C:C)&lt;0.1,0.05,IF(_xlfn.XLOOKUP(B230,'Base stats'!B:B,'Base stats'!C:C)&lt;0.4,0.1,IF(_xlfn.XLOOKUP(B230,'Base stats'!B:B,'Base stats'!C:C)&lt;=70,(_xlfn.XLOOKUP(B230,'Base stats'!B:B,'Base stats'!C:C)/70)^0.445823913056526,IF(_xlfn.XLOOKUP(B230,'Base stats'!B:B,'Base stats'!C:C)&lt;=400,(_xlfn.XLOOKUP(B230,'Base stats'!B:B,'Base stats'!C:C)/70)^0.572811455315093,IF(_xlfn.XLOOKUP(B230,'Base stats'!B:B,'Base stats'!C:C)&lt;=2000,2.71391647193063*(_xlfn.XLOOKUP(B230,'Base stats'!B:B,'Base stats'!C:C)/400)^0.252459582904293,3.74314280240376*(_xlfn.XLOOKUP(B230,'Base stats'!B:B,'Base stats'!C:C)/2000)^0.357012633876913)))))),
IF(_xlfn.XLOOKUP(B230,'Base stats'!B:B,'Base stats'!C:C)&lt;0.1,0.05,IF(_xlfn.XLOOKUP(B230,'Base stats'!B:B,'Base stats'!C:C)&lt;=100,0.05,IF(_xlfn.XLOOKUP(B230,'Base stats'!B:B,'Base stats'!C:C)&lt;=250,0.1,IF(_xlfn.XLOOKUP(B230,'Base stats'!B:B,'Base stats'!C:C)&lt;=4000,0.25,0.5)))))</f>
        <v>3.75</v>
      </c>
      <c r="AP230" s="8">
        <f>MROUND(AO230*_xlfn.XLOOKUP(_xlfn.XLOOKUP(B230,'Base stats'!B:B,'Base stats'!E:E),Groups!A:A,Groups!AI:AI)*_xlfn.XLOOKUP(B230,'Base stats'!B:B,'Base stats'!Z:Z),0.05)</f>
        <v>3.75</v>
      </c>
      <c r="AQ230" s="8">
        <f>MAX(0.01,MROUND(IF(CC230="True",0.196*(AO230*100*1000)^0.889,IF(_xlfn.XLOOKUP(_xlfn.XLOOKUP(B230,'Base stats'!B:B,'Base stats'!E:E),Groups!A:A,Groups!AJ:AJ)="Bird",10.5*(AO230*100*1000)^0.681,4.82*(AO230*100*1000)^0.734))/(4.82*(1*100*1000)^0.734)/IF(AO230&lt;3.5,2,IF(AO230=3.5,1.5,1.25))*(1+0.132282374779864/(AO230^0.994035016789033+0.00905238001496948)),0.05))</f>
        <v>0.65</v>
      </c>
      <c r="AR230" s="9">
        <f>IFERROR(MROUND(_xlfn.XLOOKUP(B230,'Base stats'!B:B,'Base stats'!H:H)/IF(_xlfn.XLOOKUP(B230,'Base stats'!B:B,'Base stats'!I:I)&lt;&gt;1,(122.5/70),1.2),IF(_xlfn.XLOOKUP(B230,'Base stats'!B:B,'Base stats'!H:H)&gt;=30,5,IF(_xlfn.XLOOKUP(B230,'Base stats'!B:B,'Base stats'!H:H)&gt;=15,3,IF(_xlfn.XLOOKUP(B230,'Base stats'!B:B,'Base stats'!H:H)&gt;=10,2,1)))),"Immortal")</f>
        <v>25</v>
      </c>
      <c r="AS230" s="35">
        <f>IFERROR(IF(OR(_xlfn.XLOOKUP(B230,'Base stats'!B:B,'Base stats'!F:F)="Atypical reproduction",_xlfn.XLOOKUP(B230,'Base stats'!B:B,'Base stats'!F:F)="Lay eggs"),"Lay eggs",MIN(20,MAX(5.5,ROUND(((_xlfn.XLOOKUP(B230,'Base stats'!B:B,'Base stats'!F:F)-25)*(14.5/615) + 5.5)*2,0)/2))),"Unknown")</f>
        <v>13</v>
      </c>
      <c r="AT230" s="8">
        <f>IF(_xlfn.XLOOKUP(B230,'Base stats'!B:B,'Base stats'!G:G)="Atypical reproduction","No",IFERROR(MAX(IF(_xlfn.XLOOKUP(B230,'Base stats'!B:B,'Base stats'!G:G)&lt;0.5,0.2,0.3),MROUND(_xlfn.XLOOKUP(B230,'Base stats'!B:B,'Base stats'!G:G)/(365/60),0.2)),"Unknown"))</f>
        <v>0.8</v>
      </c>
      <c r="AU230" s="8">
        <f t="shared" si="22"/>
        <v>0.4</v>
      </c>
      <c r="AV230" s="8">
        <f>IFERROR(IFERROR(MROUND(_xlfn.XLOOKUP(B230,'Base stats'!B:B,'Base stats'!J:J),0.1),"Lay eggs"),"Cannot breed")</f>
        <v>1</v>
      </c>
      <c r="AW230" s="2" t="str">
        <f t="shared" si="23"/>
        <v>true</v>
      </c>
      <c r="AX230" s="2" t="str">
        <f>IF(_xlfn.XLOOKUP(_xlfn.XLOOKUP(Animals!B230,'Base stats'!B:B,'Base stats'!E:E),Groups!A:A,Groups!AK:AK)=1,"true","false")</f>
        <v>false</v>
      </c>
      <c r="AY230" s="25" t="str">
        <f>IF(_xlfn.XLOOKUP(B230,'Base stats'!B:B,'Base stats'!Y:Y)="Liquor","Liquor, CarnivoreAnimalStrict",IF(AND(_xlfn.XLOOKUP(B230,'Base stats'!B:B,'Base stats'!Y:Y)="Carnivore",_xlfn.XLOOKUP(_xlfn.XLOOKUP(B230,'Base stats'!B:B,'Base stats'!E:E),Groups!A:A,Groups!AJ:AJ)="Photonozoa"),"CarnivoreAnimalStrict, OvivoreAnimal",IF(_xlfn.XLOOKUP(B230,'Base stats'!B:B,'Base stats'!Y:Y)="Carnivore","CarnivoreAnimal, OvivoreAnimal",IF(_xlfn.XLOOKUP(B230,'Base stats'!B:B,'Base stats'!Y:Y)="Dendrovore","VegetarianRoughAnimal, DendrovoreAnimal",IF(_xlfn.XLOOKUP(B230,'Base stats'!B:B,'Base stats'!Y:Y)="Herbivore","VegetarianRoughAnimal",IF(_xlfn.XLOOKUP(B230,'Base stats'!B:B,'Base stats'!Y:Y)="OmnivoreRough","OmnivoreRoughAnimal, OvivoreAnimal","OmnivoreAnimal, OvivoreAnimal"))))))</f>
        <v>VegetarianRoughAnimal</v>
      </c>
      <c r="AZ230" s="2">
        <f>IF(_xlfn.XLOOKUP(_xlfn.XLOOKUP(B230,'Base stats'!B:B,'Base stats'!E:E),Groups!A:A,Groups!D:D)=1,MROUND((1-J230)*5+1,2)*IF(J230&lt;=0.4,2,1),"No")</f>
        <v>2</v>
      </c>
      <c r="BA230" s="2" t="str">
        <f>IF(AND(_xlfn.XLOOKUP(B230,'Base stats'!B:B,'Base stats'!AH:AH)="&lt;li&gt;Seal&lt;/li&gt;",G230="Odyssey"),"&lt;li&gt;AEXP_Seal&lt;/li&gt;",_xlfn.XLOOKUP(B230,'Base stats'!B:B,'Base stats'!AH:AH))</f>
        <v>&lt;li&gt;Megaspider&lt;/li&gt;</v>
      </c>
      <c r="BB230" s="2" t="str">
        <f>_xlfn.XLOOKUP(B230,'Base stats'!B:B,'Base stats'!AG:AG)</f>
        <v>Leather_Chitin</v>
      </c>
      <c r="BC230" s="23" t="str">
        <f>_xlfn.XLOOKUP(_xlfn.XLOOKUP(B230,'Base stats'!B:B,'Base stats'!E:E),Groups!A:A,Groups!AL:AL)</f>
        <v>Larva</v>
      </c>
      <c r="BD230" s="23">
        <f>MIN(1,MROUND(IF(AND(AO230&lt;0.5,_xlfn.XLOOKUP(B230,'Base stats'!B:B,'Base stats'!AA:AA)=0),0,IF(OR(_xlfn.XLOOKUP(Animals!B230,'Base stats'!B:B,'Base stats'!O:O)=2,_xlfn.XLOOKUP(_xlfn.XLOOKUP(B230,'Base stats'!B:B,'Base stats'!E:E),Groups!A:A,Groups!AN:AN)=0),0,_xlfn.XLOOKUP(_xlfn.XLOOKUP(B230,'Base stats'!B:B,'Base stats'!E:E),Groups!A:A,Groups!AN:AN)/IF(_xlfn.XLOOKUP(Animals!B230,'Base stats'!B:B,'Base stats'!O:O)=1,2,1)))+_xlfn.XLOOKUP(B230,'Base stats'!B:B,'Base stats'!AC:AC),0.005))</f>
        <v>0.1</v>
      </c>
      <c r="BE230" s="23">
        <f>MIN(1,MROUND(IF(AND(AO230&lt;0.5,_xlfn.XLOOKUP(B230,'Base stats'!B:B,'Base stats'!AA:AA)=0),0,IF(_xlfn.XLOOKUP(_xlfn.XLOOKUP(B230,'Base stats'!B:B,'Base stats'!E:E),Groups!A:A,Groups!AO:AO)=0,0,_xlfn.XLOOKUP(_xlfn.XLOOKUP(B230,'Base stats'!B:B,'Base stats'!E:E),Groups!A:A,Groups!AO:AO)/IF(_xlfn.XLOOKUP(Animals!B230,'Base stats'!B:B,'Base stats'!O:O)=2,3,1)))+_xlfn.XLOOKUP(B230,'Base stats'!B:B,'Base stats'!AD:AD),0.005))</f>
        <v>0.3</v>
      </c>
      <c r="BF230" s="2" t="str">
        <f>IF(J230&gt;0.3,"No",_xlfn.XLOOKUP(_xlfn.XLOOKUP(Animals!B230,'Base stats'!B:B,'Base stats'!E:E),Groups!A:A,Groups!AP:AP))</f>
        <v>No</v>
      </c>
      <c r="BG230" s="2" t="str">
        <f>IF(AND(J230&lt;=0.65,_xlfn.XLOOKUP(_xlfn.XLOOKUP(Animals!B230,'Base stats'!B:B,'Base stats'!E:E),Groups!A:A,Groups!AP:AP)&lt;&gt;"No",_xlfn.XLOOKUP(_xlfn.XLOOKUP(B230,'Base stats'!B:B,'Base stats'!E:E),Groups!A:A,Groups!D:D)=0),MROUND((80/3)*IF(_xlfn.XLOOKUP(B230,'Base stats'!B:B,'Base stats'!O:O)=2,0.2,AO230) + 24*(1-IF(BF230="No",0,BF230)) + 16/3, 12),"No")</f>
        <v>No</v>
      </c>
      <c r="BH230" s="2">
        <f>IF(AND(_xlfn.XLOOKUP(_xlfn.XLOOKUP(B230,'Base stats'!B:B,'Base stats'!E:E),Groups!A:A,Groups!AQ:AQ)=1,AO230&lt;=0.35),8,12)</f>
        <v>12</v>
      </c>
      <c r="BI230" s="2" t="str">
        <f>IF(_xlfn.XLOOKUP(_xlfn.XLOOKUP(B230,'Base stats'!B:B,'Base stats'!E:E),Groups!A:A,Groups!D:D)=0,_xlfn.XLOOKUP(_xlfn.XLOOKUP(B230,'Base stats'!B:B,'Base stats'!E:E),Groups!A:A,Groups!AR:AR),"None")</f>
        <v>None</v>
      </c>
      <c r="BJ230" s="2" t="str">
        <f>IF(AND(_xlfn.XLOOKUP(_xlfn.XLOOKUP(B230,'Base stats'!B:B,'Base stats'!E:E),Groups!A:A,Groups!AS:AS)=1,OR(_xlfn.XLOOKUP(B230,'Base stats'!B:B,'Base stats'!Y:Y)="Carnivore",_xlfn.XLOOKUP(B230,'Base stats'!B:B,'Base stats'!Y:Y)="Omnivore")),"true","false")</f>
        <v>false</v>
      </c>
      <c r="BK230" s="2" t="str">
        <f>IF(BJ230="true",MROUND(IF(AND(AO230&gt;0.5,OR(_xlfn.XLOOKUP(_xlfn.XLOOKUP(B230,'Base stats'!B:B,'Base stats'!E:E),Groups!A:A,Groups!AJ:AJ)="Photonozoa",_xlfn.XLOOKUP(_xlfn.XLOOKUP(B230,'Base stats'!B:B,'Base stats'!E:E),Groups!A:A,Groups!AJ:AJ)="Mammal")),Animals!AO230*1.75*IF(AW230="true",1.5,1),IF(AO230&lt;0.5,Animals!AO230*0.5,Animals!AO230)),IF(AO230&gt;2,0.5,IF(AO230&gt;0.5,0.25,0.1))),"No")</f>
        <v>No</v>
      </c>
      <c r="BL230" s="2">
        <f t="shared" si="24"/>
        <v>0</v>
      </c>
      <c r="BM230" s="25" t="str">
        <f>IF(_xlfn.XLOOKUP(B230,'Base stats'!B:B,'Base stats'!AN:AN)="Standard","No",MROUND((_xlfn.XLOOKUP(B230,'Base stats'!B:B,'Base stats'!AN:AN)/3.6)/I230,0.1))</f>
        <v>No</v>
      </c>
      <c r="BN230" s="25" t="str">
        <f t="shared" si="25"/>
        <v>false</v>
      </c>
      <c r="BO230" s="25" t="str">
        <f>IF(AND(OR(_xlfn.XLOOKUP(B230,'Base stats'!B:B,'Base stats'!Y:Y)="Carnivore",_xlfn.XLOOKUP(B230,'Base stats'!B:B,'Base stats'!Y:Y)="Omnivore",_xlfn.XLOOKUP(B230,'Base stats'!B:B,'Base stats'!Y:Y)="OmnivoreRough"),_xlfn.XLOOKUP(_xlfn.XLOOKUP(B230,'Base stats'!B:B,'Base stats'!E:E),Groups!A:A,Groups!AT:AT)=1),"true","false")</f>
        <v>false</v>
      </c>
      <c r="BP230" s="25" t="str" cm="1">
        <f t="array" ref="BP230">IF(
  _xlfn.TEXTJOIN(", ",TRUE,
    IF(AND(BJ230="true",AO230&gt;0.5,BI230&lt;&gt;"None"),"AttackTarget",""),
    IF(AND(_xlfn.XLOOKUP(_xlfn.XLOOKUP(B230,'Base stats'!B:B,'Base stats'!E:E),Groups!A:A,Groups!AJ:AJ="Mammal"),OR(_xlfn.XLOOKUP(B230,'Base stats'!B:B,'Base stats'!Y:Y)="Omnivore",_xlfn.XLOOKUP(B230,'Base stats'!B:B,'Base stats'!Y:Y)="OmnivoreRough")),"Forage",""),
    IF(BG230&lt;=36,"Comfort",""),
    IF(_xlfn.XLOOKUP(B230,'Base stats'!B:B,'Base stats'!AE:AE)&lt;&gt;"No",_xlfn.XLOOKUP(B230,'Base stats'!B:B,'Base stats'!AE:AE),"")
  ) = "",
  "No",
  _xlfn.TEXTJOIN(", ",TRUE,
    IF(AND(BJ230="true",AO230&gt;0.5,BI230&lt;&gt;"None"),"AttackTarget",""),
    IF(AND(_xlfn.XLOOKUP(_xlfn.XLOOKUP(B230,'Base stats'!B:B,'Base stats'!E:E),Groups!A:A,Groups!AJ:AJ="Mammal"),OR(_xlfn.XLOOKUP(B230,'Base stats'!B:B,'Base stats'!Y:Y)="Omnivore",_xlfn.XLOOKUP(B230,'Base stats'!B:B,'Base stats'!Y:Y)="OmnivoreRough")),"Forage",""),
    IF(BG230&lt;=36,"Comfort",""),
    IF(_xlfn.XLOOKUP(B230,'Base stats'!B:B,'Base stats'!AE:AE)&lt;&gt;"No",_xlfn.XLOOKUP(B230,'Base stats'!B:B,'Base stats'!AE:AE),"")
  )
)</f>
        <v>No</v>
      </c>
      <c r="BQ230" s="25" t="str">
        <f>IF(
   AND(
      'Base stats'!AN230="Standard",_xlfn.XLOOKUP(_xlfn.XLOOKUP(B230,'Base stats'!B:B,'Base stats'!E:E),Groups!A:A,Groups!AU:AU)=0,
      OR(
      BO230="True"
      )
   ),
   10,
   IF(
       OR(BM230&lt;&gt;"No",_xlfn.XLOOKUP(_xlfn.XLOOKUP(B230,'Base stats'!B:B,'Base stats'!E:E),Groups!A:A,Groups!AU:AU)=1),
      1,
      "No"
   )
)</f>
        <v>No</v>
      </c>
      <c r="BR230" s="9">
        <f>MROUND((1 + ((0.2*IF(OR(Q230="No",R230="No",R230=0),0,Q230/R230)
+IF(OR(V230="No",S230="No",T230="No"),0,S230/T230*(LEN(V230)-LEN(SUBSTITUTE(V230,",",""))+1))
+IF(OR(X230="No",Y230="No"),0,X230/Y230)
+IF(OR(AD230="No",AE230="No"),0,AD230/AE230)
+IF(OR(AL230="No",AI230="No",AJ230="No"),0,AI230/AJ230*(LEN(AL230)-LEN(SUBSTITUTE(AL230,",",""))+1))
)/(0.2*IF(OR(Q230="No",R230="No",R230=0),0,1)
+IF(OR(V230="No",S230="No",T230="No"),0,LEN(V230)-LEN(SUBSTITUTE(V230,",",""))+1)
+IF(OR(X230="No",Y230="No"),0,1)
+IF(OR(AD230="No",AE230="No"),0,1)
+IF(OR(AL230="No",AI230="No",AJ230="No"),0,LEN(AL230)-LEN(SUBSTITUTE(AL230,",",""))+1))*62%)* 2)*(1 + (AP230 / (IF(_xlfn.XLOOKUP(_xlfn.XLOOKUP(B230,'Base stats'!B:B,'Base stats'!E:E),Groups!A:A,Groups!AJ:AJ)="Photonozoa",0.3,1)) + _xlfn.XLOOKUP(B230,'Base stats'!B:B,'Base stats'!AV:AV) * 1.8) * 2) * 2.5 + 10 + I230 * 2,5)+IF(_xlfn.XLOOKUP(B230,'Base stats'!B:B,'Base stats'!AK:AK)=1,50,0)</f>
        <v>525</v>
      </c>
      <c r="BS230" s="8">
        <f t="shared" si="26"/>
        <v>1.25</v>
      </c>
      <c r="BT230" s="8" t="str">
        <f>_xlfn.XLOOKUP(B230,'Base stats'!B:B,'Base stats'!AF:AF)</f>
        <v>2~6</v>
      </c>
      <c r="BU230" s="2" t="str">
        <f>IF(AND(J230&lt;=0.95,OR(_xlfn.XLOOKUP(B230,'Base stats'!B:B,'Base stats'!AK:AK)=1,_xlfn.XLOOKUP(B230,'Base stats'!B:B,'Base stats'!Y:Y)="Carnivore",_xlfn.XLOOKUP(B230,'Base stats'!B:B,'Base stats'!Y:Y)="Omnivore",BE230&gt;0.1)),"true","false")</f>
        <v>true</v>
      </c>
      <c r="BV230" s="2" t="str">
        <f>IF(_xlfn.XLOOKUP(B230,'Base stats'!B:B,'Base stats'!AI:AI)=1,"true","false")</f>
        <v>false</v>
      </c>
      <c r="BW230" s="25" t="str">
        <f>IF(E230="BaseInsect","AnimalInsect",
IF(J230&gt;0.95,"AnimalExotic",
_xlfn.TEXTJOIN(", ",TRUE,
IF(OR(_xlfn.XLOOKUP(B230,'Base stats'!B:B,'Base stats'!AM:AM)=1,AND(_xlfn.XLOOKUP(B230,'Base stats'!B:B,'Base stats'!O:O)=0,_xlfn.XLOOKUP(_xlfn.XLOOKUP(B230,'Base stats'!B:B,'Base stats'!E:E),Groups!A:A,Groups!B:B)&gt;0)),"AnimalUncommon","AnimalCommon"),
IF(AND(_xlfn.XLOOKUP(B230,'Base stats'!B:B,'Base stats'!O:O)=2,_xlfn.XLOOKUP(_xlfn.XLOOKUP(B230,'Base stats'!B:B,'Base stats'!E:E),Groups!A:A,Groups!D:D)=0),"AnimalPet",IF(AND(_xlfn.XLOOKUP(B230,'Base stats'!B:B,'Base stats'!O:O)&lt;&gt;0,_xlfn.XLOOKUP(_xlfn.XLOOKUP(B230,'Base stats'!B:B,'Base stats'!E:E),Groups!A:A,Groups!D:D)&lt;&gt;0),"AnimalFarm","")),
IF(OR(_xlfn.XLOOKUP(B230,'Base stats'!B:B,'Base stats'!AK:AK)=1,AND(BI230&lt;&gt;"None",BR230&gt;=60),ISNUMBER(SEARCH("Attack target",BP230))),"AnimalFighter","")
)))</f>
        <v>AnimalUncommon</v>
      </c>
      <c r="BX230" s="25" t="str">
        <f>IF(G230="None",TRIM(
SUBSTITUTE(
IF(COUNTIF(Biomes!B$2:B$259,"="&amp;$C230)&gt;0,Biomes!B$1&amp;", ","")&amp;
IF(COUNTIF(Biomes!C$2:C$259,"="&amp;$C230)&gt;0,Biomes!C$1&amp;", ","")&amp;
IF(COUNTIF(Biomes!D$2:D$259,"="&amp;$C230)&gt;0,Biomes!D$1&amp;", ","")&amp;
IF(COUNTIF(Biomes!F$2:F$259,"="&amp;$C230)&gt;0,Biomes!F$1&amp;", ","")&amp;
IF(COUNTIF(Biomes!G$2:G$259,"="&amp;$C230)&gt;0,Biomes!G$1&amp;", ","")&amp;
IF(COUNTIF(Biomes!H$2:H$259,"="&amp;$C230)&gt;0,Biomes!H$1&amp;", ","")&amp;
IF(COUNTIF(Biomes!I$2:I$259,"="&amp;$C230)&gt;0,Biomes!I$1&amp;", ","")&amp;
IF(COUNTIF(Biomes!J$2:J$259,"="&amp;$C230)&gt;0,Biomes!J$1&amp;", ","")&amp;
IF(COUNTIF(Biomes!M$2:M$259,"="&amp;$C230)&gt;0,Biomes!M$1&amp;", ","")&amp;
IF(COUNTIF(Biomes!N$2:N$259,"="&amp;$C230)&gt;0,Biomes!N$1&amp;", ","")&amp;
IF(COUNTIF(Biomes!O$2:O$259,"="&amp;$C230)&gt;0,Biomes!O$1&amp;", ","")&amp;
IF(COUNTIF(Biomes!P$2:P$259,"="&amp;$C230)&gt;0,Biomes!P$1&amp;", ","")&amp;
IF(COUNTIF(Biomes!K$2:K$259,"="&amp;$C230)&gt;0,Biomes!K$1&amp;", ","")&amp;
IF(COUNTIF(Biomes!Q$3:Q$259,"="&amp;$C230)&gt;0,Biomes!Q$1&amp;", ","")&amp;
IF(COUNTIF(Biomes!L$2:L$259,"="&amp;$C230)&gt;0,Biomes!L$1&amp;", ","")&amp;
IF(COUNTIF(Biomes!E$2:E$259,"="&amp;$C230)&gt;0,Biomes!E$1&amp;", ","")&amp;IF(COUNTIF(Biomes!S$2:S$259,"="&amp;$C230)&gt;0,Biomes!S$1&amp;", ","")&amp;
IF(COUNTIF(Biomes!R$2:R$259,"="&amp;$C230)&gt;0,Biomes!R$1&amp;", ",""),", ","")
),_xlfn.XLOOKUP(B230,B:B,BX:BX))</f>
        <v>SeaIce IceSheet Tundra BorealForest ColdBog GlacialPlain</v>
      </c>
      <c r="BY230" s="25" t="str">
        <f>IF(_xlfn.XLOOKUP(B230,'Base stats'!B:B,'Base stats'!AJ:AJ)=1,"true","false")</f>
        <v>false</v>
      </c>
      <c r="BZ230" s="25">
        <f>IF(_xlfn.XLOOKUP(B230,'Base stats'!B:B,'Base stats'!N:N)=1,"No",MAX(0.001,MIN(MROUND(IF(AND(BJ230="True",CC230="False"),POWER(10,3.47*LOG10(_xlfn.XLOOKUP(B230,'Base stats'!B:B,'Base stats'!C:C)*1000)^-0.96),POWER(10,4.15*LOG10(_xlfn.XLOOKUP(B230,'Base stats'!B:B,'Base stats'!C:C)*1000)^-0.73))*IF(_xlfn.XLOOKUP(B230,'Base stats'!B:B,'Base stats'!AK:AK)=1,0.5,1)*IF(_xlfn.XLOOKUP(B230,'Base stats'!B:B,'Base stats'!AM:AM)=1,0.1,1)/100,IF(_xlfn.XLOOKUP(B230,'Base stats'!B:B,'Base stats'!AM:AM)=1,0.001,0.025)),0.5)))</f>
        <v>1.3000000000000001E-2</v>
      </c>
      <c r="CA230" s="25" t="str">
        <f>IF(P230="Standard","No",MAX(0.001,MIN(MROUND(IF(AND(BJ230="True",CC230="False"),POWER(10,3.47*LOG10(_xlfn.XLOOKUP(B230,'Base stats'!B:B,'Base stats'!C:C)*1000)^-0.96),POWER(10,4.15*LOG10(_xlfn.XLOOKUP(B230,'Base stats'!B:B,'Base stats'!C:C)*1000)^-0.73))*IF(_xlfn.XLOOKUP(B230,'Base stats'!B:B,'Base stats'!AM:AM)=1,0.1,1)*_xlfn.XLOOKUP(B230,'Base stats'!B:B,'Base stats'!R:R)/100,IF(_xlfn.XLOOKUP(B230,'Base stats'!B:B,'Base stats'!AM:AM)=1,0.001,0.025)),0.5)))</f>
        <v>No</v>
      </c>
      <c r="CB230" s="25" t="str">
        <f>IF(_xlfn.XLOOKUP(_xlfn.XLOOKUP(B230,'Base stats'!B:B,'Base stats'!E:E),Groups!A:A,Groups!AJ:AJ)="Mammal","True","False")</f>
        <v>False</v>
      </c>
      <c r="CC230" s="25" t="str">
        <f>IF(OR(_xlfn.XLOOKUP(_xlfn.XLOOKUP(B230,'Base stats'!B:B,'Base stats'!E:E),Groups!A:A,Groups!AJ:AJ)="Reptile",_xlfn.XLOOKUP(_xlfn.XLOOKUP(B230,'Base stats'!B:B,'Base stats'!E:E),Groups!A:A,Groups!AJ:AJ)="Amphibian",_xlfn.XLOOKUP(_xlfn.XLOOKUP(B230,'Base stats'!B:B,'Base stats'!E:E),Groups!A:A,Groups!AJ:AJ)="Invertebrate"),"True","False")</f>
        <v>True</v>
      </c>
      <c r="CD230" s="25" t="str">
        <f t="shared" si="27"/>
        <v>False</v>
      </c>
      <c r="CE230" s="25" t="str">
        <f>IF(_xlfn.XLOOKUP(_xlfn.XLOOKUP(B230,'Base stats'!B:B,'Base stats'!E:E),Groups!A:A,Groups!AX:AX),"True","False")</f>
        <v>False</v>
      </c>
      <c r="CF230" s="25" t="str">
        <f>IF(_xlfn.XLOOKUP(_xlfn.XLOOKUP(B230,'Base stats'!B:B,'Base stats'!E:E),Groups!A:A,Groups!AY:AY),"True","False")</f>
        <v>False</v>
      </c>
      <c r="CG230" s="25" t="str">
        <f>IF(_xlfn.XLOOKUP(_xlfn.XLOOKUP(B230,'Base stats'!B:B,'Base stats'!E:E),Groups!A:A,Groups!AW:AW),"True","False")</f>
        <v>False</v>
      </c>
      <c r="CH230" s="25" t="str">
        <f>IF(
OR(
_xlfn.XLOOKUP(_xlfn.XLOOKUP(B230,'Base stats'!B:B,'Base stats'!E:E),Groups!A:A,Groups!AZ:AZ)=0,
AND(
_xlfn.XLOOKUP(B230,'Base stats'!B:B,'Base stats'!Y:Y)&lt;&gt;"Carnivore",
_xlfn.XLOOKUP(B230,'Base stats'!B:B,'Base stats'!Y:Y)&lt;&gt;"Omnivore",
_xlfn.XLOOKUP(B230,'Base stats'!B:B,'Base stats'!Y:Y)&lt;&gt;"OmnivoreRough"
)
),
"No",
IF(
_xlfn.XLOOKUP(_xlfn.XLOOKUP(B230,'Base stats'!B:B,'Base stats'!E:E),Groups!A:A,Groups!AZ:AZ)=1,
"Flesh",
IF(
_xlfn.XLOOKUP(_xlfn.XLOOKUP(B230,'Base stats'!B:B,'Base stats'!E:E),Groups!A:A,Groups!AZ:AZ)=2,
"Bone",
""
)
)
)</f>
        <v>No</v>
      </c>
      <c r="CI230" s="25" t="str">
        <f>IF(_xlfn.XLOOKUP(_xlfn.XLOOKUP(B230,'Base stats'!B:B,'Base stats'!E:E),Groups!A:A,Groups!BB:BB),"True","False")</f>
        <v>False</v>
      </c>
      <c r="CJ230" s="25" t="str">
        <f>IF(_xlfn.XLOOKUP(_xlfn.XLOOKUP(B230,'Base stats'!B:B,'Base stats'!E:E),Groups!A:A,Groups!BA:BA),"True","False")</f>
        <v>False</v>
      </c>
    </row>
    <row r="231" spans="1:88" ht="16.5" thickTop="1" thickBot="1" x14ac:dyDescent="0.3">
      <c r="A231" s="26" t="s">
        <v>1368</v>
      </c>
      <c r="B231" s="6" t="str">
        <f>_xlfn.XLOOKUP(A231,'Base stats'!A:A,'Base stats'!B:B)</f>
        <v>Titanocoleus niger</v>
      </c>
      <c r="C231" s="28" t="s">
        <v>1369</v>
      </c>
      <c r="D231" s="28" t="s">
        <v>1341</v>
      </c>
      <c r="E231" s="28" t="s">
        <v>1748</v>
      </c>
      <c r="F231" s="28" t="s">
        <v>673</v>
      </c>
      <c r="G231" s="28" t="s">
        <v>673</v>
      </c>
      <c r="H231" s="2">
        <f>MROUND((
  (IF(AND(_xlfn.XLOOKUP(B231,'Base stats'!B:B,'Base stats'!AL:AL)=0,BI231="None",_xlfn.XLOOKUP(_xlfn.XLOOKUP(B231,'Base stats'!B:B,'Base stats'!E:E),Groups!A:A,Groups!B:B)=0), (18 + BR231 * 2.7) * 0.5,
    IF(AND(_xlfn.XLOOKUP(B231,'Base stats'!B:B,'Base stats'!AL:AL)=0,OR(AO231&lt;0.55,AND(BI231="Intermediate",_xlfn.XLOOKUP(_xlfn.XLOOKUP(B231,'Base stats'!B:B,'Base stats'!E:E),Groups!A:A,Groups!B:B)&lt;2))), (18 + BR231 * 2.7),
      IF(OR(BI231="Advanced",_xlfn.XLOOKUP(B231,'Base stats'!B:B,'Base stats'!AL:AL)=1,_xlfn.XLOOKUP(_xlfn.XLOOKUP(B231,'Base stats'!B:B,'Base stats'!E:E),Groups!A:A,Groups!B:B)=2), (18 + BR231 * 2.7) + 250, (18 + BR231 * 2.7))
    )
  ))
  + AO231 * 80
  + IF(COUNTIF(EggMilk!K$2:K$998, A231) &gt; 0, 125, 0)
  + IF(COUNTIF(EggMilk!P$2:P$998, A231) &gt; 0, 90, 0)
  + IF(COUNTIF(EggMilk!A$2:A$998, A231) &gt; 0, 90, 0)
)
* (0.8 + 0.4 * J231)
* 0.75,25)</f>
        <v>250</v>
      </c>
      <c r="I231" s="2">
        <f>MROUND(ROUNDDOWN(_xlfn.XLOOKUP(B231,'Base stats'!B:B,'Base stats'!L:L)/3.6/(23.3/11),1),0.5)</f>
        <v>3</v>
      </c>
      <c r="J231" s="2">
        <f>IF(OR(_xlfn.XLOOKUP(B231,'Base stats'!B:B,'Base stats'!AB:AB)=1,_xlfn.XLOOKUP(_xlfn.XLOOKUP(B231,'Base stats'!B:B,'Base stats'!E:E),Groups!A:A,Groups!C:C)="Untamable"),1,IF(_xlfn.XLOOKUP(B231,'Base stats'!B:B,'Base stats'!AL:AL)=1,0.99,MIN(MROUND((1-0.6282*EXP(-0.459*AO231))*_xlfn.XLOOKUP(_xlfn.XLOOKUP(B231,'Base stats'!B:B,'Base stats'!E:E),Groups!A:A,Groups!C:C)*IF(_xlfn.XLOOKUP(B231,'Base stats'!B:B,'Base stats'!O:O)=1,0.5,IF(_xlfn.XLOOKUP(B231,'Base stats'!B:B,'Base stats'!O:O)=2,0,1)),0.05),IF(AO231&gt;3.5,0.985,0.95))))</f>
        <v>0.55000000000000004</v>
      </c>
      <c r="K231" s="2">
        <f>ROUNDUP(AO231*_xlfn.XLOOKUP(_xlfn.XLOOKUP(B231,'Base stats'!B:B,'Base stats'!E:E),Groups!A:A,Groups!E:E),0)</f>
        <v>1</v>
      </c>
      <c r="L231" s="2">
        <f>IF(OR(_xlfn.XLOOKUP(_xlfn.XLOOKUP(B231,'Base stats'!B:B,'Base stats'!E:E),Groups!A:A,Groups!F:F)=2,ISNUMBER(SEARCH("SeaIce",BX231)),ISNUMBER(SEARCH("IceSheet",BX231))),-50,IF(OR(ISNUMBER(SEARCH("GlacialPlain",BX231)),ISNUMBER(SEARCH("Tundra",BX231))),-40,IF(OR(ISNUMBER(SEARCH("Alpine",BX231)),ISNUMBER(SEARCH("BorealForest",BX231)),ISNUMBER(SEARCH("ColdBog",BX231))),-30,IF(OR(ISNUMBER(SEARCH("TemperateForest",BX231)),ISNUMBER(SEARCH("TemperateSwamp",BX231))),-20,IF(_xlfn.XLOOKUP(_xlfn.XLOOKUP(B231,'Base stats'!B:B,'Base stats'!E:E),Groups!A:A,Groups!F:F)=1,-15,IF(OR(ISNUMBER(SEARCH("Desert",BX231)),ISNUMBER(SEARCH("ExtremeDesert",BX231))),-10,IF(OR(ISNUMBER(SEARCH("Grasslands",BX231)),ISNUMBER(SEARCH("TropicalRainforest",BX231)),ISNUMBER(SEARCH("TropicalSwamp",BX231))),10,0)))))))-IF(CC231="False",MIN(IFERROR(MAX(MROUND(LOG10(_xlfn.XLOOKUP(B231,'Base stats'!B:B,'Base stats'!C:C)^(2/3))*10,5),5),5),30))-_xlfn.XLOOKUP(B231,'Base stats'!B:B,'Base stats'!P:P)+IF(CC231="True",5,0)</f>
        <v>5</v>
      </c>
      <c r="M231" s="2">
        <f>IF(OR(_xlfn.XLOOKUP(_xlfn.XLOOKUP(B231,'Base stats'!B:B,'Base stats'!E:E),Groups!A:A,Groups!G:G)=2,ISNUMBER(SEARCH("Desert",BX231)),ISNUMBER(SEARCH("ExtremeDesert",BX231)),ISNUMBER(SEARCH("LavaField",BX231))),50,IF(ISNUMBER(SEARCH("Grasslands",BX231)),45,IF(OR(_xlfn.XLOOKUP(_xlfn.XLOOKUP(B231,'Base stats'!B:B,'Base stats'!E:E),Groups!A:A,Groups!G:G)=1,ISNUMBER(SEARCH("TropicalRainforest",BX231)),ISNUMBER(SEARCH("TropicalSwamp",BX231))),40,IF(OR(ISNUMBER(SEARCH("TemperateForest",BX231)),ISNUMBER(SEARCH("TemperateSwamp",BX231))),35,IF(OR(ISNUMBER(SEARCH("Alpine",BX231)),ISNUMBER(SEARCH("BorealForest",BX231)),ISNUMBER(SEARCH("ColdBog",BX231))),30,IF(ISNUMBER(OR(ISNUMBER(SEARCH("GlacialPlain",BX231)),SEARCH("Tundra",BX231))),25,IF(OR(ISNUMBER(SEARCH("SeaIce",BX231)),ISNUMBER(SEARCH("IceSheet",BX231)),ISNUMBER(SEARCH("TropicalSwamp",BX231))),10,35)))))))+_xlfn.XLOOKUP(B231,'Base stats'!B:B,'Base stats'!Q:Q)</f>
        <v>50</v>
      </c>
      <c r="N231" s="8">
        <f>IF(
_xlfn.XLOOKUP(
_xlfn.XLOOKUP(B231,'Base stats'!B:B,'Base stats'!E:E),
Groups!A:A,
Groups!L:L
)=1,
MIN(
MROUND(
IF(
_xlfn.XLOOKUP(B231,'Animals CE'!B:B,'Animals CE'!Z:Z)&lt;=1.5,
_xlfn.XLOOKUP(B231,'Animals CE'!B:B,'Animals CE'!Z:Z)/2+0.05,
0.8+
(_xlfn.XLOOKUP(B231,'Animals CE'!B:B,'Animals CE'!Z:Z)-1.5)
*0.02
),
0.05
),
200%
),
"No"
)</f>
        <v>0.8</v>
      </c>
      <c r="O231" s="8">
        <f>IF(
_xlfn.XLOOKUP(
_xlfn.XLOOKUP(B231,'Base stats'!B:B,'Base stats'!E:E),
Groups!A:A,
Groups!L:L
)=1,
MIN(
MROUND(
IF(
_xlfn.XLOOKUP(B231,'Animals CE'!B:B,'Animals CE'!AA:AA)&lt;=1.5,
_xlfn.XLOOKUP(B231,'Animals CE'!B:B,'Animals CE'!AA:AA)/2+0.05,
0.8+
(_xlfn.XLOOKUP(B231,'Animals CE'!B:B,'Animals CE'!AA:AA)-1.5)
*0.02
),
0.05
),
200%
),
"No"
)</f>
        <v>0.55000000000000004</v>
      </c>
      <c r="P231" s="2">
        <f>_xlfn.XLOOKUP(B231,'Base stats'!B:B,'Base stats'!R:R)</f>
        <v>1</v>
      </c>
      <c r="Q231" s="13">
        <f>MROUND((LOG10(_xlfn.XLOOKUP(B231,'Base stats'!B:B,'Base stats'!AR:AR))*(AO231^0.5)+(_xlfn.XLOOKUP(B231,'Base stats'!B:B,'Base stats'!AR:AR)/1000)^(2/3)+_xlfn.XLOOKUP(B231,'Base stats'!B:B,'Base stats'!BA:BA)/2)+0.5,0.5)</f>
        <v>4</v>
      </c>
      <c r="R231" s="7">
        <f>IF(Q231="No","No",MAX(1,MROUND(_xlfn.XLOOKUP(B231,'Base stats'!B:B,'Base stats'!C:C)^0.165,0.05)))</f>
        <v>1.55</v>
      </c>
      <c r="S231" s="13" t="str">
        <f>IF(_xlfn.XLOOKUP(_xlfn.XLOOKUP(B231,'Base stats'!B:B,'Base stats'!E:E),Groups!A:A,Groups!P:P)=0,"No",MROUND((LOG10(_xlfn.XLOOKUP(B231,'Base stats'!B:B,'Base stats'!AS:AS))*(AO231^0.5)+(_xlfn.XLOOKUP(B231,'Base stats'!B:B,'Base stats'!AS:AS)/1000)^(2/3)+_xlfn.XLOOKUP(B231,'Base stats'!B:B,'Base stats'!BA:BA))+_xlfn.XLOOKUP(B231,'Base stats'!B:B,'Base stats'!AY:AY)+0.5,0.5))</f>
        <v>No</v>
      </c>
      <c r="T231" s="7" t="str">
        <f>IF(S231="No","No",MAX(_xlfn.XLOOKUP(_xlfn.XLOOKUP(B231,'Base stats'!B:B,'Base stats'!E:E),Groups!A:A,Groups!Q:Q),MROUND(_xlfn.XLOOKUP(_xlfn.XLOOKUP(B231,'Base stats'!B:B,'Base stats'!E:E),Groups!A:A,Groups!Q:Q)*_xlfn.XLOOKUP(B231,'Base stats'!B:B,'Base stats'!C:C)^0.165,0.05)))</f>
        <v>No</v>
      </c>
      <c r="U231" s="7" t="str">
        <f>IF(S231="No","No",_xlfn.XLOOKUP(_xlfn.XLOOKUP(B231,'Base stats'!B:B,'Base stats'!E:E),Groups!A:A,Groups!R:R))</f>
        <v>No</v>
      </c>
      <c r="V231" s="7" t="str">
        <f>IF(S231="No","No",_xlfn.XLOOKUP(_xlfn.XLOOKUP(B231,'Base stats'!B:B,'Base stats'!E:E),Groups!A:A,Groups!S:S))</f>
        <v>No</v>
      </c>
      <c r="W231" s="7" t="str">
        <f>IF(S231="No","No",_xlfn.XLOOKUP(_xlfn.XLOOKUP(B231,'Base stats'!B:B,'Base stats'!E:E),Groups!A:A,Groups!T:T))</f>
        <v>No</v>
      </c>
      <c r="X231" s="13" t="str">
        <f>IF(_xlfn.XLOOKUP(B231,'Base stats'!B:B,'Base stats'!W:W)="No","No",MROUND((LOG10(_xlfn.XLOOKUP(B231,'Base stats'!B:B,'Base stats'!AU:AU))*(AO231^0.5)+(_xlfn.XLOOKUP(B231,'Base stats'!B:B,'Base stats'!AU:AU)/1000)^(2/3)+_xlfn.XLOOKUP(B231,'Base stats'!B:B,'Base stats'!AZ:AZ))+0.5+IF(_xlfn.XLOOKUP(_xlfn.XLOOKUP(B231,'Base stats'!B:B,'Base stats'!E:E),Groups!A:A,Groups!U:U)&lt;&gt;3,_xlfn.XLOOKUP(B231,'Base stats'!B:B,'Base stats'!BA:BA),0),0.5))</f>
        <v>No</v>
      </c>
      <c r="Y231" s="7" t="str">
        <f>IF(X231="No","No",MAX(_xlfn.XLOOKUP(_xlfn.XLOOKUP(B231,'Base stats'!B:B,'Base stats'!E:E),Groups!A:A,Groups!V:V),MROUND(_xlfn.XLOOKUP(_xlfn.XLOOKUP(B231,'Base stats'!B:B,'Base stats'!E:E),Groups!A:A,Groups!V:V)*_xlfn.XLOOKUP(B231,'Base stats'!B:B,'Base stats'!C:C)^0.165,0.05)))</f>
        <v>No</v>
      </c>
      <c r="Z231" s="7" t="str">
        <f>IF(X231="No","No",_xlfn.XLOOKUP(_xlfn.XLOOKUP(B231,'Base stats'!B:B,'Base stats'!E:E),Groups!A:A,Groups!W:W))</f>
        <v>No</v>
      </c>
      <c r="AA231" s="7" t="str">
        <f>IF(X231="No","No",_xlfn.XLOOKUP(_xlfn.XLOOKUP(B231,'Base stats'!B:B,'Base stats'!E:E),Groups!A:A,Groups!X:X))</f>
        <v>No</v>
      </c>
      <c r="AB231" s="7" t="str">
        <f>IF(X231="No","No",_xlfn.XLOOKUP(_xlfn.XLOOKUP(B231,'Base stats'!B:B,'Base stats'!E:E),Groups!A:A,Groups!Y:Y))</f>
        <v>No</v>
      </c>
      <c r="AC231" s="7" t="str">
        <f>_xlfn.XLOOKUP(Animals!B231,'Base stats'!B:B,'Base stats'!X:X)</f>
        <v>False</v>
      </c>
      <c r="AD231" s="13">
        <f>IF(_xlfn.XLOOKUP(B231,'Base stats'!B:B,'Base stats'!AT:AT)="No","No",MROUND((LOG10(_xlfn.XLOOKUP(B231,'Base stats'!B:B,'Base stats'!AT:AT))*(AO231^0.75)+(_xlfn.XLOOKUP(B231,'Base stats'!B:B,'Base stats'!AT:AT)/1000)^(2/3)+_xlfn.XLOOKUP(B231,'Base stats'!B:B,'Base stats'!AX:AX)+_xlfn.XLOOKUP(B231,'Base stats'!B:B,'Base stats'!BA:BA))+0.5,0.5))</f>
        <v>12</v>
      </c>
      <c r="AE231" s="7">
        <f>IF(AD231="No","No",MAX(_xlfn.XLOOKUP(_xlfn.XLOOKUP(B231,'Base stats'!B:B,'Base stats'!E:E),Groups!A:A,Groups!Z:Z),MROUND(_xlfn.XLOOKUP(_xlfn.XLOOKUP(B231,'Base stats'!B:B,'Base stats'!E:E),Groups!A:A,Groups!Z:Z)*_xlfn.XLOOKUP(B231,'Base stats'!B:B,'Base stats'!C:C)^0.165,0.05)))</f>
        <v>1.9000000000000001</v>
      </c>
      <c r="AF231" s="7" t="str">
        <f>IF(AD231="No","No",_xlfn.XLOOKUP(_xlfn.XLOOKUP(B231,'Base stats'!B:B,'Base stats'!E:E),Groups!A:A,Groups!AA:AA))</f>
        <v>Mouth</v>
      </c>
      <c r="AG231" s="7" t="str">
        <f>IF(AD231="No","No",_xlfn.XLOOKUP(_xlfn.XLOOKUP(B231,'Base stats'!B:B,'Base stats'!E:E),Groups!A:A,Groups!AB:AB))</f>
        <v>mandibles</v>
      </c>
      <c r="AH231" s="7" t="str">
        <f>IF(AD231="No","No",_xlfn.XLOOKUP(_xlfn.XLOOKUP(B231,'Base stats'!B:B,'Base stats'!E:E),Groups!A:A,Groups!AC:AC))</f>
        <v>Bite</v>
      </c>
      <c r="AI231" s="13" t="str">
        <f>IF(_xlfn.XLOOKUP(_xlfn.XLOOKUP(B231,'Base stats'!B:B,'Base stats'!E:E),Groups!A:A,Groups!AD:AD)=0,"No",MROUND((LOG10(_xlfn.XLOOKUP(B231,'Base stats'!B:B,'Base stats'!AS:AS))*(AO231^0.75)+(_xlfn.XLOOKUP(B231,'Base stats'!B:B,'Base stats'!AS:AS)/1000)^(2/3)+_xlfn.XLOOKUP(B231,'Base stats'!B:B,'Base stats'!AY:AY)+_xlfn.XLOOKUP(B231,'Base stats'!B:B,'Base stats'!BA:BA))+0.5,0.5))</f>
        <v>No</v>
      </c>
      <c r="AJ231" s="7" t="str">
        <f>IF(AI231="No","No",MAX(_xlfn.XLOOKUP(_xlfn.XLOOKUP(B231,'Base stats'!B:B,'Base stats'!E:E),Groups!A:A,Groups!AE:AE),MROUND(_xlfn.XLOOKUP(_xlfn.XLOOKUP(B231,'Base stats'!B:B,'Base stats'!E:E),Groups!A:A,Groups!AE:AE)*IF(_xlfn.XLOOKUP(_xlfn.XLOOKUP(B231,'Base stats'!B:B,'Base stats'!E:E),Groups!A:A,Groups!AJ:AJ)="Photonozoa",0.6,1)*_xlfn.XLOOKUP(B231,'Base stats'!B:B,'Base stats'!C:C)^0.165,0.05)))</f>
        <v>No</v>
      </c>
      <c r="AK231" s="7" t="str">
        <f>IF(AI231="No","No",_xlfn.XLOOKUP(_xlfn.XLOOKUP(B231,'Base stats'!B:B,'Base stats'!E:E),Groups!A:A,Groups!AF:AF))</f>
        <v>No</v>
      </c>
      <c r="AL231" s="7" t="str">
        <f>IF(AI231="No","No",_xlfn.XLOOKUP(_xlfn.XLOOKUP(B231,'Base stats'!B:B,'Base stats'!E:E),Groups!A:A,Groups!AG:AG))</f>
        <v>No</v>
      </c>
      <c r="AM231" s="7" t="str">
        <f>IF(AI231="No","No",_xlfn.XLOOKUP(_xlfn.XLOOKUP(B231,'Base stats'!B:B,'Base stats'!E:E),Groups!A:A,Groups!AH:AH))</f>
        <v>No</v>
      </c>
      <c r="AN231" s="2">
        <f t="shared" si="21"/>
        <v>20</v>
      </c>
      <c r="AO231" s="2">
        <f>MROUND(IF(AND(_xlfn.XLOOKUP(B231,'Base stats'!B:B,'Base stats'!C:C)&gt;=0.5,_xlfn.XLOOKUP(B231,'Base stats'!B:B,'Base stats'!C:C)&lt;=0.8),
IF(_xlfn.XLOOKUP(B231,'Base stats'!B:B,'Base stats'!C:C)&lt;0.1,0.05,IF(_xlfn.XLOOKUP(B231,'Base stats'!B:B,'Base stats'!C:C)&lt;=70,(_xlfn.XLOOKUP(B231,'Base stats'!B:B,'Base stats'!C:C)/70)^0.426489913056526,IF(_xlfn.XLOOKUP(B231,'Base stats'!B:B,'Base stats'!C:C)&lt;=400,(_xlfn.XLOOKUP(B231,'Base stats'!B:B,'Base stats'!C:C)/70)^0.572811455315093,IF(_xlfn.XLOOKUP(B231,'Base stats'!B:B,'Base stats'!C:C)&lt;=2000,2.71391647193063*(_xlfn.XLOOKUP(B231,'Base stats'!B:B,'Base stats'!C:C)/400)^0.252459582904293,3.74314280240376*(_xlfn.XLOOKUP(B231,'Base stats'!B:B,'Base stats'!C:C)/2000)^0.357012633876913)))),
IF(_xlfn.XLOOKUP(B231,'Base stats'!B:B,'Base stats'!C:C)&lt;0.1,0.05,IF(_xlfn.XLOOKUP(B231,'Base stats'!B:B,'Base stats'!C:C)&lt;0.4,0.1,IF(_xlfn.XLOOKUP(B231,'Base stats'!B:B,'Base stats'!C:C)&lt;=70,(_xlfn.XLOOKUP(B231,'Base stats'!B:B,'Base stats'!C:C)/70)^0.445823913056526,IF(_xlfn.XLOOKUP(B231,'Base stats'!B:B,'Base stats'!C:C)&lt;=400,(_xlfn.XLOOKUP(B231,'Base stats'!B:B,'Base stats'!C:C)/70)^0.572811455315093,IF(_xlfn.XLOOKUP(B231,'Base stats'!B:B,'Base stats'!C:C)&lt;=2000,2.71391647193063*(_xlfn.XLOOKUP(B231,'Base stats'!B:B,'Base stats'!C:C)/400)^0.252459582904293,3.74314280240376*(_xlfn.XLOOKUP(B231,'Base stats'!B:B,'Base stats'!C:C)/2000)^0.357012633876913)))))),
IF(_xlfn.XLOOKUP(B231,'Base stats'!B:B,'Base stats'!C:C)&lt;0.1,0.05,IF(_xlfn.XLOOKUP(B231,'Base stats'!B:B,'Base stats'!C:C)&lt;=100,0.05,IF(_xlfn.XLOOKUP(B231,'Base stats'!B:B,'Base stats'!C:C)&lt;=250,0.1,IF(_xlfn.XLOOKUP(B231,'Base stats'!B:B,'Base stats'!C:C)&lt;=4000,0.25,0.5)))))</f>
        <v>0.5</v>
      </c>
      <c r="AP231" s="8">
        <f>MROUND(AO231*_xlfn.XLOOKUP(_xlfn.XLOOKUP(B231,'Base stats'!B:B,'Base stats'!E:E),Groups!A:A,Groups!AI:AI)*_xlfn.XLOOKUP(B231,'Base stats'!B:B,'Base stats'!Z:Z),0.05)</f>
        <v>0.5</v>
      </c>
      <c r="AQ231" s="8">
        <f>MAX(0.01,MROUND(IF(CC231="True",0.196*(AO231*100*1000)^0.889,IF(_xlfn.XLOOKUP(_xlfn.XLOOKUP(B231,'Base stats'!B:B,'Base stats'!E:E),Groups!A:A,Groups!AJ:AJ)="Bird",10.5*(AO231*100*1000)^0.681,4.82*(AO231*100*1000)^0.734))/(4.82*(1*100*1000)^0.734)/IF(AO231&lt;3.5,2,IF(AO231=3.5,1.5,1.25))*(1+0.132282374779864/(AO231^0.994035016789033+0.00905238001496948)),0.05))</f>
        <v>0.1</v>
      </c>
      <c r="AR231" s="9">
        <f>IFERROR(MROUND(_xlfn.XLOOKUP(B231,'Base stats'!B:B,'Base stats'!H:H)/IF(_xlfn.XLOOKUP(B231,'Base stats'!B:B,'Base stats'!I:I)&lt;&gt;1,(122.5/70),1.2),IF(_xlfn.XLOOKUP(B231,'Base stats'!B:B,'Base stats'!H:H)&gt;=30,5,IF(_xlfn.XLOOKUP(B231,'Base stats'!B:B,'Base stats'!H:H)&gt;=15,3,IF(_xlfn.XLOOKUP(B231,'Base stats'!B:B,'Base stats'!H:H)&gt;=10,2,1)))),"Immortal")</f>
        <v>6</v>
      </c>
      <c r="AS231" s="35" t="str">
        <f>IFERROR(IF(OR(_xlfn.XLOOKUP(B231,'Base stats'!B:B,'Base stats'!F:F)="Atypical reproduction",_xlfn.XLOOKUP(B231,'Base stats'!B:B,'Base stats'!F:F)="Lay eggs"),"Lay eggs",MIN(20,MAX(5.5,ROUND(((_xlfn.XLOOKUP(B231,'Base stats'!B:B,'Base stats'!F:F)-25)*(14.5/615) + 5.5)*2,0)/2))),"Unknown")</f>
        <v>Lay eggs</v>
      </c>
      <c r="AT231" s="8">
        <f>IF(_xlfn.XLOOKUP(B231,'Base stats'!B:B,'Base stats'!G:G)="Atypical reproduction","No",IFERROR(MAX(IF(_xlfn.XLOOKUP(B231,'Base stats'!B:B,'Base stats'!G:G)&lt;0.5,0.2,0.3),MROUND(_xlfn.XLOOKUP(B231,'Base stats'!B:B,'Base stats'!G:G)/(365/60),0.2)),"Unknown"))</f>
        <v>0.3</v>
      </c>
      <c r="AU231" s="8">
        <f t="shared" si="22"/>
        <v>0.15000000000000002</v>
      </c>
      <c r="AV231" s="8" t="str">
        <f>IFERROR(IFERROR(MROUND(_xlfn.XLOOKUP(B231,'Base stats'!B:B,'Base stats'!J:J),0.1),"Lay eggs"),"Cannot breed")</f>
        <v>Lay eggs</v>
      </c>
      <c r="AW231" s="2" t="str">
        <f t="shared" si="23"/>
        <v>false</v>
      </c>
      <c r="AX231" s="2" t="str">
        <f>IF(_xlfn.XLOOKUP(_xlfn.XLOOKUP(Animals!B231,'Base stats'!B:B,'Base stats'!E:E),Groups!A:A,Groups!AK:AK)=1,"true","false")</f>
        <v>false</v>
      </c>
      <c r="AY231" s="25" t="str">
        <f>IF(_xlfn.XLOOKUP(B231,'Base stats'!B:B,'Base stats'!Y:Y)="Liquor","Liquor, CarnivoreAnimalStrict",IF(AND(_xlfn.XLOOKUP(B231,'Base stats'!B:B,'Base stats'!Y:Y)="Carnivore",_xlfn.XLOOKUP(_xlfn.XLOOKUP(B231,'Base stats'!B:B,'Base stats'!E:E),Groups!A:A,Groups!AJ:AJ)="Photonozoa"),"CarnivoreAnimalStrict, OvivoreAnimal",IF(_xlfn.XLOOKUP(B231,'Base stats'!B:B,'Base stats'!Y:Y)="Carnivore","CarnivoreAnimal, OvivoreAnimal",IF(_xlfn.XLOOKUP(B231,'Base stats'!B:B,'Base stats'!Y:Y)="Dendrovore","VegetarianRoughAnimal, DendrovoreAnimal",IF(_xlfn.XLOOKUP(B231,'Base stats'!B:B,'Base stats'!Y:Y)="Herbivore","VegetarianRoughAnimal",IF(_xlfn.XLOOKUP(B231,'Base stats'!B:B,'Base stats'!Y:Y)="OmnivoreRough","OmnivoreRoughAnimal, OvivoreAnimal","OmnivoreAnimal, OvivoreAnimal"))))))</f>
        <v>OmnivoreAnimal, OvivoreAnimal</v>
      </c>
      <c r="AZ231" s="2" t="str">
        <f>IF(_xlfn.XLOOKUP(_xlfn.XLOOKUP(B231,'Base stats'!B:B,'Base stats'!E:E),Groups!A:A,Groups!D:D)=1,MROUND((1-J231)*5+1,2)*IF(J231&lt;=0.4,2,1),"No")</f>
        <v>No</v>
      </c>
      <c r="BA231" s="2" t="str">
        <f>IF(AND(_xlfn.XLOOKUP(B231,'Base stats'!B:B,'Base stats'!AH:AH)="&lt;li&gt;Seal&lt;/li&gt;",G231="Odyssey"),"&lt;li&gt;AEXP_Seal&lt;/li&gt;",_xlfn.XLOOKUP(B231,'Base stats'!B:B,'Base stats'!AH:AH))</f>
        <v>&lt;li&gt;Megaspider&lt;/li&gt;</v>
      </c>
      <c r="BB231" s="2" t="str">
        <f>_xlfn.XLOOKUP(B231,'Base stats'!B:B,'Base stats'!AG:AG)</f>
        <v>Leather_BlackChitin</v>
      </c>
      <c r="BC231" s="23" t="str">
        <f>_xlfn.XLOOKUP(_xlfn.XLOOKUP(B231,'Base stats'!B:B,'Base stats'!E:E),Groups!A:A,Groups!AL:AL)</f>
        <v>BeetleLike</v>
      </c>
      <c r="BD231" s="23">
        <f>MIN(1,MROUND(IF(AND(AO231&lt;0.5,_xlfn.XLOOKUP(B231,'Base stats'!B:B,'Base stats'!AA:AA)=0),0,IF(OR(_xlfn.XLOOKUP(Animals!B231,'Base stats'!B:B,'Base stats'!O:O)=2,_xlfn.XLOOKUP(_xlfn.XLOOKUP(B231,'Base stats'!B:B,'Base stats'!E:E),Groups!A:A,Groups!AN:AN)=0),0,_xlfn.XLOOKUP(_xlfn.XLOOKUP(B231,'Base stats'!B:B,'Base stats'!E:E),Groups!A:A,Groups!AN:AN)/IF(_xlfn.XLOOKUP(Animals!B231,'Base stats'!B:B,'Base stats'!O:O)=1,2,1)))+_xlfn.XLOOKUP(B231,'Base stats'!B:B,'Base stats'!AC:AC),0.005))</f>
        <v>0.1</v>
      </c>
      <c r="BE231" s="23">
        <f>MIN(1,MROUND(IF(AND(AO231&lt;0.5,_xlfn.XLOOKUP(B231,'Base stats'!B:B,'Base stats'!AA:AA)=0),0,IF(_xlfn.XLOOKUP(_xlfn.XLOOKUP(B231,'Base stats'!B:B,'Base stats'!E:E),Groups!A:A,Groups!AO:AO)=0,0,_xlfn.XLOOKUP(_xlfn.XLOOKUP(B231,'Base stats'!B:B,'Base stats'!E:E),Groups!A:A,Groups!AO:AO)/IF(_xlfn.XLOOKUP(Animals!B231,'Base stats'!B:B,'Base stats'!O:O)=2,3,1)))+_xlfn.XLOOKUP(B231,'Base stats'!B:B,'Base stats'!AD:AD),0.005))</f>
        <v>1</v>
      </c>
      <c r="BF231" s="2" t="str">
        <f>IF(J231&gt;0.3,"No",_xlfn.XLOOKUP(_xlfn.XLOOKUP(Animals!B231,'Base stats'!B:B,'Base stats'!E:E),Groups!A:A,Groups!AP:AP))</f>
        <v>No</v>
      </c>
      <c r="BG231" s="2" t="str">
        <f>IF(AND(J231&lt;=0.65,_xlfn.XLOOKUP(_xlfn.XLOOKUP(Animals!B231,'Base stats'!B:B,'Base stats'!E:E),Groups!A:A,Groups!AP:AP)&lt;&gt;"No",_xlfn.XLOOKUP(_xlfn.XLOOKUP(B231,'Base stats'!B:B,'Base stats'!E:E),Groups!A:A,Groups!D:D)=0),MROUND((80/3)*IF(_xlfn.XLOOKUP(B231,'Base stats'!B:B,'Base stats'!O:O)=2,0.2,AO231) + 24*(1-IF(BF231="No",0,BF231)) + 16/3, 12),"No")</f>
        <v>No</v>
      </c>
      <c r="BH231" s="2">
        <f>IF(AND(_xlfn.XLOOKUP(_xlfn.XLOOKUP(B231,'Base stats'!B:B,'Base stats'!E:E),Groups!A:A,Groups!AQ:AQ)=1,AO231&lt;=0.35),8,12)</f>
        <v>12</v>
      </c>
      <c r="BI231" s="2" t="str">
        <f>IF(_xlfn.XLOOKUP(_xlfn.XLOOKUP(B231,'Base stats'!B:B,'Base stats'!E:E),Groups!A:A,Groups!D:D)=0,_xlfn.XLOOKUP(_xlfn.XLOOKUP(B231,'Base stats'!B:B,'Base stats'!E:E),Groups!A:A,Groups!AR:AR),"None")</f>
        <v>Advanced</v>
      </c>
      <c r="BJ231" s="2" t="str">
        <f>IF(AND(_xlfn.XLOOKUP(_xlfn.XLOOKUP(B231,'Base stats'!B:B,'Base stats'!E:E),Groups!A:A,Groups!AS:AS)=1,OR(_xlfn.XLOOKUP(B231,'Base stats'!B:B,'Base stats'!Y:Y)="Carnivore",_xlfn.XLOOKUP(B231,'Base stats'!B:B,'Base stats'!Y:Y)="Omnivore")),"true","false")</f>
        <v>true</v>
      </c>
      <c r="BK231" s="2">
        <f>IF(BJ231="true",MROUND(IF(AND(AO231&gt;0.5,OR(_xlfn.XLOOKUP(_xlfn.XLOOKUP(B231,'Base stats'!B:B,'Base stats'!E:E),Groups!A:A,Groups!AJ:AJ)="Photonozoa",_xlfn.XLOOKUP(_xlfn.XLOOKUP(B231,'Base stats'!B:B,'Base stats'!E:E),Groups!A:A,Groups!AJ:AJ)="Mammal")),Animals!AO231*1.75*IF(AW231="true",1.5,1),IF(AO231&lt;0.5,Animals!AO231*0.5,Animals!AO231)),IF(AO231&gt;2,0.5,IF(AO231&gt;0.5,0.25,0.1))),"No")</f>
        <v>0.5</v>
      </c>
      <c r="BL231" s="2">
        <f t="shared" si="24"/>
        <v>1</v>
      </c>
      <c r="BM231" s="25" t="str">
        <f>IF(_xlfn.XLOOKUP(B231,'Base stats'!B:B,'Base stats'!AN:AN)="Standard","No",MROUND((_xlfn.XLOOKUP(B231,'Base stats'!B:B,'Base stats'!AN:AN)/3.6)/I231,0.1))</f>
        <v>No</v>
      </c>
      <c r="BN231" s="25" t="str">
        <f t="shared" si="25"/>
        <v>false</v>
      </c>
      <c r="BO231" s="25" t="str">
        <f>IF(AND(OR(_xlfn.XLOOKUP(B231,'Base stats'!B:B,'Base stats'!Y:Y)="Carnivore",_xlfn.XLOOKUP(B231,'Base stats'!B:B,'Base stats'!Y:Y)="Omnivore",_xlfn.XLOOKUP(B231,'Base stats'!B:B,'Base stats'!Y:Y)="OmnivoreRough"),_xlfn.XLOOKUP(_xlfn.XLOOKUP(B231,'Base stats'!B:B,'Base stats'!E:E),Groups!A:A,Groups!AT:AT)=1),"true","false")</f>
        <v>false</v>
      </c>
      <c r="BP231" s="25" t="str" cm="1">
        <f t="array" ref="BP231">IF(
  _xlfn.TEXTJOIN(", ",TRUE,
    IF(AND(BJ231="true",AO231&gt;0.5,BI231&lt;&gt;"None"),"AttackTarget",""),
    IF(AND(_xlfn.XLOOKUP(_xlfn.XLOOKUP(B231,'Base stats'!B:B,'Base stats'!E:E),Groups!A:A,Groups!AJ:AJ="Mammal"),OR(_xlfn.XLOOKUP(B231,'Base stats'!B:B,'Base stats'!Y:Y)="Omnivore",_xlfn.XLOOKUP(B231,'Base stats'!B:B,'Base stats'!Y:Y)="OmnivoreRough")),"Forage",""),
    IF(BG231&lt;=36,"Comfort",""),
    IF(_xlfn.XLOOKUP(B231,'Base stats'!B:B,'Base stats'!AE:AE)&lt;&gt;"No",_xlfn.XLOOKUP(B231,'Base stats'!B:B,'Base stats'!AE:AE),"")
  ) = "",
  "No",
  _xlfn.TEXTJOIN(", ",TRUE,
    IF(AND(BJ231="true",AO231&gt;0.5,BI231&lt;&gt;"None"),"AttackTarget",""),
    IF(AND(_xlfn.XLOOKUP(_xlfn.XLOOKUP(B231,'Base stats'!B:B,'Base stats'!E:E),Groups!A:A,Groups!AJ:AJ="Mammal"),OR(_xlfn.XLOOKUP(B231,'Base stats'!B:B,'Base stats'!Y:Y)="Omnivore",_xlfn.XLOOKUP(B231,'Base stats'!B:B,'Base stats'!Y:Y)="OmnivoreRough")),"Forage",""),
    IF(BG231&lt;=36,"Comfort",""),
    IF(_xlfn.XLOOKUP(B231,'Base stats'!B:B,'Base stats'!AE:AE)&lt;&gt;"No",_xlfn.XLOOKUP(B231,'Base stats'!B:B,'Base stats'!AE:AE),"")
  )
)</f>
        <v>Forage</v>
      </c>
      <c r="BQ231" s="25" t="str">
        <f>IF(
   AND(
      'Base stats'!AN231="Standard",_xlfn.XLOOKUP(_xlfn.XLOOKUP(B231,'Base stats'!B:B,'Base stats'!E:E),Groups!A:A,Groups!AU:AU)=0,
      OR(
      BO231="True"
      )
   ),
   10,
   IF(
       OR(BM231&lt;&gt;"No",_xlfn.XLOOKUP(_xlfn.XLOOKUP(B231,'Base stats'!B:B,'Base stats'!E:E),Groups!A:A,Groups!AU:AU)=1),
      1,
      "No"
   )
)</f>
        <v>No</v>
      </c>
      <c r="BR231" s="9">
        <f>MROUND((1 + ((0.2*IF(OR(Q231="No",R231="No",R231=0),0,Q231/R231)
+IF(OR(V231="No",S231="No",T231="No"),0,S231/T231*(LEN(V231)-LEN(SUBSTITUTE(V231,",",""))+1))
+IF(OR(X231="No",Y231="No"),0,X231/Y231)
+IF(OR(AD231="No",AE231="No"),0,AD231/AE231)
+IF(OR(AL231="No",AI231="No",AJ231="No"),0,AI231/AJ231*(LEN(AL231)-LEN(SUBSTITUTE(AL231,",",""))+1))
)/(0.2*IF(OR(Q231="No",R231="No",R231=0),0,1)
+IF(OR(V231="No",S231="No",T231="No"),0,LEN(V231)-LEN(SUBSTITUTE(V231,",",""))+1)
+IF(OR(X231="No",Y231="No"),0,1)
+IF(OR(AD231="No",AE231="No"),0,1)
+IF(OR(AL231="No",AI231="No",AJ231="No"),0,LEN(AL231)-LEN(SUBSTITUTE(AL231,",",""))+1))*62%)* 2)*(1 + (AP231 / (IF(_xlfn.XLOOKUP(_xlfn.XLOOKUP(B231,'Base stats'!B:B,'Base stats'!E:E),Groups!A:A,Groups!AJ:AJ)="Photonozoa",0.3,1)) + _xlfn.XLOOKUP(B231,'Base stats'!B:B,'Base stats'!AV:AV) * 1.8) * 2) * 2.5 + 10 + I231 * 2,5)+IF(_xlfn.XLOOKUP(B231,'Base stats'!B:B,'Base stats'!AK:AK)=1,50,0)</f>
        <v>105</v>
      </c>
      <c r="BS231" s="8">
        <f t="shared" si="26"/>
        <v>0.2</v>
      </c>
      <c r="BT231" s="8" t="str">
        <f>_xlfn.XLOOKUP(B231,'Base stats'!B:B,'Base stats'!AF:AF)</f>
        <v>No</v>
      </c>
      <c r="BU231" s="2" t="str">
        <f>IF(AND(J231&lt;=0.95,OR(_xlfn.XLOOKUP(B231,'Base stats'!B:B,'Base stats'!AK:AK)=1,_xlfn.XLOOKUP(B231,'Base stats'!B:B,'Base stats'!Y:Y)="Carnivore",_xlfn.XLOOKUP(B231,'Base stats'!B:B,'Base stats'!Y:Y)="Omnivore",BE231&gt;0.1)),"true","false")</f>
        <v>true</v>
      </c>
      <c r="BV231" s="2" t="str">
        <f>IF(_xlfn.XLOOKUP(B231,'Base stats'!B:B,'Base stats'!AI:AI)=1,"true","false")</f>
        <v>false</v>
      </c>
      <c r="BW231" s="25" t="str">
        <f>IF(E231="BaseInsect","AnimalInsect",
IF(J231&gt;0.95,"AnimalExotic",
_xlfn.TEXTJOIN(", ",TRUE,
IF(OR(_xlfn.XLOOKUP(B231,'Base stats'!B:B,'Base stats'!AM:AM)=1,AND(_xlfn.XLOOKUP(B231,'Base stats'!B:B,'Base stats'!O:O)=0,_xlfn.XLOOKUP(_xlfn.XLOOKUP(B231,'Base stats'!B:B,'Base stats'!E:E),Groups!A:A,Groups!B:B)&gt;0)),"AnimalUncommon","AnimalCommon"),
IF(AND(_xlfn.XLOOKUP(B231,'Base stats'!B:B,'Base stats'!O:O)=2,_xlfn.XLOOKUP(_xlfn.XLOOKUP(B231,'Base stats'!B:B,'Base stats'!E:E),Groups!A:A,Groups!D:D)=0),"AnimalPet",IF(AND(_xlfn.XLOOKUP(B231,'Base stats'!B:B,'Base stats'!O:O)&lt;&gt;0,_xlfn.XLOOKUP(_xlfn.XLOOKUP(B231,'Base stats'!B:B,'Base stats'!E:E),Groups!A:A,Groups!D:D)&lt;&gt;0),"AnimalFarm","")),
IF(OR(_xlfn.XLOOKUP(B231,'Base stats'!B:B,'Base stats'!AK:AK)=1,AND(BI231&lt;&gt;"None",BR231&gt;=60),ISNUMBER(SEARCH("Attack target",BP231))),"AnimalFighter","")
)))</f>
        <v>AnimalUncommon, AnimalFighter</v>
      </c>
      <c r="BX231" s="25" t="str">
        <f>IF(G231="None",TRIM(
SUBSTITUTE(
IF(COUNTIF(Biomes!B$2:B$259,"="&amp;$C231)&gt;0,Biomes!B$1&amp;", ","")&amp;
IF(COUNTIF(Biomes!C$2:C$259,"="&amp;$C231)&gt;0,Biomes!C$1&amp;", ","")&amp;
IF(COUNTIF(Biomes!D$2:D$259,"="&amp;$C231)&gt;0,Biomes!D$1&amp;", ","")&amp;
IF(COUNTIF(Biomes!F$2:F$259,"="&amp;$C231)&gt;0,Biomes!F$1&amp;", ","")&amp;
IF(COUNTIF(Biomes!G$2:G$259,"="&amp;$C231)&gt;0,Biomes!G$1&amp;", ","")&amp;
IF(COUNTIF(Biomes!H$2:H$259,"="&amp;$C231)&gt;0,Biomes!H$1&amp;", ","")&amp;
IF(COUNTIF(Biomes!I$2:I$259,"="&amp;$C231)&gt;0,Biomes!I$1&amp;", ","")&amp;
IF(COUNTIF(Biomes!J$2:J$259,"="&amp;$C231)&gt;0,Biomes!J$1&amp;", ","")&amp;
IF(COUNTIF(Biomes!M$2:M$259,"="&amp;$C231)&gt;0,Biomes!M$1&amp;", ","")&amp;
IF(COUNTIF(Biomes!N$2:N$259,"="&amp;$C231)&gt;0,Biomes!N$1&amp;", ","")&amp;
IF(COUNTIF(Biomes!O$2:O$259,"="&amp;$C231)&gt;0,Biomes!O$1&amp;", ","")&amp;
IF(COUNTIF(Biomes!P$2:P$259,"="&amp;$C231)&gt;0,Biomes!P$1&amp;", ","")&amp;
IF(COUNTIF(Biomes!K$2:K$259,"="&amp;$C231)&gt;0,Biomes!K$1&amp;", ","")&amp;
IF(COUNTIF(Biomes!Q$3:Q$259,"="&amp;$C231)&gt;0,Biomes!Q$1&amp;", ","")&amp;
IF(COUNTIF(Biomes!L$2:L$259,"="&amp;$C231)&gt;0,Biomes!L$1&amp;", ","")&amp;
IF(COUNTIF(Biomes!E$2:E$259,"="&amp;$C231)&gt;0,Biomes!E$1&amp;", ","")&amp;IF(COUNTIF(Biomes!S$2:S$259,"="&amp;$C231)&gt;0,Biomes!S$1&amp;", ","")&amp;
IF(COUNTIF(Biomes!R$2:R$259,"="&amp;$C231)&gt;0,Biomes!R$1&amp;", ",""),", ","")
),_xlfn.XLOOKUP(B231,B:B,BX:BX))</f>
        <v/>
      </c>
      <c r="BY231" s="25" t="str">
        <f>IF(_xlfn.XLOOKUP(B231,'Base stats'!B:B,'Base stats'!AJ:AJ)=1,"true","false")</f>
        <v>false</v>
      </c>
      <c r="BZ231" s="25">
        <f>IF(_xlfn.XLOOKUP(B231,'Base stats'!B:B,'Base stats'!N:N)=1,"No",MAX(0.001,MIN(MROUND(IF(AND(BJ231="True",CC231="False"),POWER(10,3.47*LOG10(_xlfn.XLOOKUP(B231,'Base stats'!B:B,'Base stats'!C:C)*1000)^-0.96),POWER(10,4.15*LOG10(_xlfn.XLOOKUP(B231,'Base stats'!B:B,'Base stats'!C:C)*1000)^-0.73))*IF(_xlfn.XLOOKUP(B231,'Base stats'!B:B,'Base stats'!AK:AK)=1,0.5,1)*IF(_xlfn.XLOOKUP(B231,'Base stats'!B:B,'Base stats'!AM:AM)=1,0.1,1)/100,IF(_xlfn.XLOOKUP(B231,'Base stats'!B:B,'Base stats'!AM:AM)=1,0.001,0.025)),0.5)))</f>
        <v>2.9000000000000001E-2</v>
      </c>
      <c r="CA231" s="25">
        <f>IF(P231="Standard","No",MAX(0.001,MIN(MROUND(IF(AND(BJ231="True",CC231="False"),POWER(10,3.47*LOG10(_xlfn.XLOOKUP(B231,'Base stats'!B:B,'Base stats'!C:C)*1000)^-0.96),POWER(10,4.15*LOG10(_xlfn.XLOOKUP(B231,'Base stats'!B:B,'Base stats'!C:C)*1000)^-0.73))*IF(_xlfn.XLOOKUP(B231,'Base stats'!B:B,'Base stats'!AM:AM)=1,0.1,1)*_xlfn.XLOOKUP(B231,'Base stats'!B:B,'Base stats'!R:R)/100,IF(_xlfn.XLOOKUP(B231,'Base stats'!B:B,'Base stats'!AM:AM)=1,0.001,0.025)),0.5)))</f>
        <v>2.9000000000000001E-2</v>
      </c>
      <c r="CB231" s="25" t="str">
        <f>IF(_xlfn.XLOOKUP(_xlfn.XLOOKUP(B231,'Base stats'!B:B,'Base stats'!E:E),Groups!A:A,Groups!AJ:AJ)="Mammal","True","False")</f>
        <v>False</v>
      </c>
      <c r="CC231" s="25" t="str">
        <f>IF(OR(_xlfn.XLOOKUP(_xlfn.XLOOKUP(B231,'Base stats'!B:B,'Base stats'!E:E),Groups!A:A,Groups!AJ:AJ)="Reptile",_xlfn.XLOOKUP(_xlfn.XLOOKUP(B231,'Base stats'!B:B,'Base stats'!E:E),Groups!A:A,Groups!AJ:AJ)="Amphibian",_xlfn.XLOOKUP(_xlfn.XLOOKUP(B231,'Base stats'!B:B,'Base stats'!E:E),Groups!A:A,Groups!AJ:AJ)="Invertebrate"),"True","False")</f>
        <v>True</v>
      </c>
      <c r="CD231" s="25" t="str">
        <f t="shared" si="27"/>
        <v>False</v>
      </c>
      <c r="CE231" s="25" t="str">
        <f>IF(_xlfn.XLOOKUP(_xlfn.XLOOKUP(B231,'Base stats'!B:B,'Base stats'!E:E),Groups!A:A,Groups!AX:AX),"True","False")</f>
        <v>False</v>
      </c>
      <c r="CF231" s="25" t="str">
        <f>IF(_xlfn.XLOOKUP(_xlfn.XLOOKUP(B231,'Base stats'!B:B,'Base stats'!E:E),Groups!A:A,Groups!AY:AY),"True","False")</f>
        <v>False</v>
      </c>
      <c r="CG231" s="25" t="str">
        <f>IF(_xlfn.XLOOKUP(_xlfn.XLOOKUP(B231,'Base stats'!B:B,'Base stats'!E:E),Groups!A:A,Groups!AW:AW),"True","False")</f>
        <v>False</v>
      </c>
      <c r="CH231" s="25" t="str">
        <f>IF(
OR(
_xlfn.XLOOKUP(_xlfn.XLOOKUP(B231,'Base stats'!B:B,'Base stats'!E:E),Groups!A:A,Groups!AZ:AZ)=0,
AND(
_xlfn.XLOOKUP(B231,'Base stats'!B:B,'Base stats'!Y:Y)&lt;&gt;"Carnivore",
_xlfn.XLOOKUP(B231,'Base stats'!B:B,'Base stats'!Y:Y)&lt;&gt;"Omnivore",
_xlfn.XLOOKUP(B231,'Base stats'!B:B,'Base stats'!Y:Y)&lt;&gt;"OmnivoreRough"
)
),
"No",
IF(
_xlfn.XLOOKUP(_xlfn.XLOOKUP(B231,'Base stats'!B:B,'Base stats'!E:E),Groups!A:A,Groups!AZ:AZ)=1,
"Flesh",
IF(
_xlfn.XLOOKUP(_xlfn.XLOOKUP(B231,'Base stats'!B:B,'Base stats'!E:E),Groups!A:A,Groups!AZ:AZ)=2,
"Bone",
""
)
)
)</f>
        <v>Bone</v>
      </c>
      <c r="CI231" s="25" t="str">
        <f>IF(_xlfn.XLOOKUP(_xlfn.XLOOKUP(B231,'Base stats'!B:B,'Base stats'!E:E),Groups!A:A,Groups!BB:BB),"True","False")</f>
        <v>False</v>
      </c>
      <c r="CJ231" s="25" t="str">
        <f>IF(_xlfn.XLOOKUP(_xlfn.XLOOKUP(B231,'Base stats'!B:B,'Base stats'!E:E),Groups!A:A,Groups!BA:BA),"True","False")</f>
        <v>False</v>
      </c>
    </row>
    <row r="232" spans="1:88" ht="16.5" thickTop="1" thickBot="1" x14ac:dyDescent="0.3">
      <c r="A232" s="26" t="s">
        <v>1370</v>
      </c>
      <c r="B232" s="6" t="str">
        <f>_xlfn.XLOOKUP(A232,'Base stats'!A:A,'Base stats'!B:B)</f>
        <v>Cryptomorphus niger</v>
      </c>
      <c r="C232" s="28" t="s">
        <v>1371</v>
      </c>
      <c r="D232" s="28" t="s">
        <v>1341</v>
      </c>
      <c r="E232" s="28" t="s">
        <v>1748</v>
      </c>
      <c r="F232" s="28" t="s">
        <v>673</v>
      </c>
      <c r="G232" s="28" t="s">
        <v>673</v>
      </c>
      <c r="H232" s="2">
        <f>MROUND((
  (IF(AND(_xlfn.XLOOKUP(B232,'Base stats'!B:B,'Base stats'!AL:AL)=0,BI232="None",_xlfn.XLOOKUP(_xlfn.XLOOKUP(B232,'Base stats'!B:B,'Base stats'!E:E),Groups!A:A,Groups!B:B)=0), (18 + BR232 * 2.7) * 0.5,
    IF(AND(_xlfn.XLOOKUP(B232,'Base stats'!B:B,'Base stats'!AL:AL)=0,OR(AO232&lt;0.55,AND(BI232="Intermediate",_xlfn.XLOOKUP(_xlfn.XLOOKUP(B232,'Base stats'!B:B,'Base stats'!E:E),Groups!A:A,Groups!B:B)&lt;2))), (18 + BR232 * 2.7),
      IF(OR(BI232="Advanced",_xlfn.XLOOKUP(B232,'Base stats'!B:B,'Base stats'!AL:AL)=1,_xlfn.XLOOKUP(_xlfn.XLOOKUP(B232,'Base stats'!B:B,'Base stats'!E:E),Groups!A:A,Groups!B:B)=2), (18 + BR232 * 2.7) + 250, (18 + BR232 * 2.7))
    )
  ))
  + AO232 * 80
  + IF(COUNTIF(EggMilk!K$2:K$998, A232) &gt; 0, 125, 0)
  + IF(COUNTIF(EggMilk!P$2:P$998, A232) &gt; 0, 90, 0)
  + IF(COUNTIF(EggMilk!A$2:A$998, A232) &gt; 0, 90, 0)
)
* (0.8 + 0.4 * J232)
* 0.75,25)</f>
        <v>950</v>
      </c>
      <c r="I232" s="2">
        <f>MROUND(ROUNDDOWN(_xlfn.XLOOKUP(B232,'Base stats'!B:B,'Base stats'!L:L)/3.6/(23.3/11),1),0.5)</f>
        <v>3.5</v>
      </c>
      <c r="J232" s="2">
        <f>IF(OR(_xlfn.XLOOKUP(B232,'Base stats'!B:B,'Base stats'!AB:AB)=1,_xlfn.XLOOKUP(_xlfn.XLOOKUP(B232,'Base stats'!B:B,'Base stats'!E:E),Groups!A:A,Groups!C:C)="Untamable"),1,IF(_xlfn.XLOOKUP(B232,'Base stats'!B:B,'Base stats'!AL:AL)=1,0.99,MIN(MROUND((1-0.6282*EXP(-0.459*AO232))*_xlfn.XLOOKUP(_xlfn.XLOOKUP(B232,'Base stats'!B:B,'Base stats'!E:E),Groups!A:A,Groups!C:C)*IF(_xlfn.XLOOKUP(B232,'Base stats'!B:B,'Base stats'!O:O)=1,0.5,IF(_xlfn.XLOOKUP(B232,'Base stats'!B:B,'Base stats'!O:O)=2,0,1)),0.05),IF(AO232&gt;3.5,0.985,0.95))))</f>
        <v>0.8</v>
      </c>
      <c r="K232" s="2">
        <f>ROUNDUP(AO232*_xlfn.XLOOKUP(_xlfn.XLOOKUP(B232,'Base stats'!B:B,'Base stats'!E:E),Groups!A:A,Groups!E:E),0)</f>
        <v>2</v>
      </c>
      <c r="L232" s="2">
        <f>IF(OR(_xlfn.XLOOKUP(_xlfn.XLOOKUP(B232,'Base stats'!B:B,'Base stats'!E:E),Groups!A:A,Groups!F:F)=2,ISNUMBER(SEARCH("SeaIce",BX232)),ISNUMBER(SEARCH("IceSheet",BX232))),-50,IF(OR(ISNUMBER(SEARCH("GlacialPlain",BX232)),ISNUMBER(SEARCH("Tundra",BX232))),-40,IF(OR(ISNUMBER(SEARCH("Alpine",BX232)),ISNUMBER(SEARCH("BorealForest",BX232)),ISNUMBER(SEARCH("ColdBog",BX232))),-30,IF(OR(ISNUMBER(SEARCH("TemperateForest",BX232)),ISNUMBER(SEARCH("TemperateSwamp",BX232))),-20,IF(_xlfn.XLOOKUP(_xlfn.XLOOKUP(B232,'Base stats'!B:B,'Base stats'!E:E),Groups!A:A,Groups!F:F)=1,-15,IF(OR(ISNUMBER(SEARCH("Desert",BX232)),ISNUMBER(SEARCH("ExtremeDesert",BX232))),-10,IF(OR(ISNUMBER(SEARCH("Grasslands",BX232)),ISNUMBER(SEARCH("TropicalRainforest",BX232)),ISNUMBER(SEARCH("TropicalSwamp",BX232))),10,0)))))))-IF(CC232="False",MIN(IFERROR(MAX(MROUND(LOG10(_xlfn.XLOOKUP(B232,'Base stats'!B:B,'Base stats'!C:C)^(2/3))*10,5),5),5),30))-_xlfn.XLOOKUP(B232,'Base stats'!B:B,'Base stats'!P:P)+IF(CC232="True",5,0)</f>
        <v>5</v>
      </c>
      <c r="M232" s="2">
        <f>IF(OR(_xlfn.XLOOKUP(_xlfn.XLOOKUP(B232,'Base stats'!B:B,'Base stats'!E:E),Groups!A:A,Groups!G:G)=2,ISNUMBER(SEARCH("Desert",BX232)),ISNUMBER(SEARCH("ExtremeDesert",BX232)),ISNUMBER(SEARCH("LavaField",BX232))),50,IF(ISNUMBER(SEARCH("Grasslands",BX232)),45,IF(OR(_xlfn.XLOOKUP(_xlfn.XLOOKUP(B232,'Base stats'!B:B,'Base stats'!E:E),Groups!A:A,Groups!G:G)=1,ISNUMBER(SEARCH("TropicalRainforest",BX232)),ISNUMBER(SEARCH("TropicalSwamp",BX232))),40,IF(OR(ISNUMBER(SEARCH("TemperateForest",BX232)),ISNUMBER(SEARCH("TemperateSwamp",BX232))),35,IF(OR(ISNUMBER(SEARCH("Alpine",BX232)),ISNUMBER(SEARCH("BorealForest",BX232)),ISNUMBER(SEARCH("ColdBog",BX232))),30,IF(ISNUMBER(OR(ISNUMBER(SEARCH("GlacialPlain",BX232)),SEARCH("Tundra",BX232))),25,IF(OR(ISNUMBER(SEARCH("SeaIce",BX232)),ISNUMBER(SEARCH("IceSheet",BX232)),ISNUMBER(SEARCH("TropicalSwamp",BX232))),10,35)))))))+_xlfn.XLOOKUP(B232,'Base stats'!B:B,'Base stats'!Q:Q)</f>
        <v>50</v>
      </c>
      <c r="N232" s="8">
        <f>IF(
_xlfn.XLOOKUP(
_xlfn.XLOOKUP(B232,'Base stats'!B:B,'Base stats'!E:E),
Groups!A:A,
Groups!L:L
)=1,
MIN(
MROUND(
IF(
_xlfn.XLOOKUP(B232,'Animals CE'!B:B,'Animals CE'!Z:Z)&lt;=1.5,
_xlfn.XLOOKUP(B232,'Animals CE'!B:B,'Animals CE'!Z:Z)/2+0.05,
0.8+
(_xlfn.XLOOKUP(B232,'Animals CE'!B:B,'Animals CE'!Z:Z)-1.5)
*0.02
),
0.05
),
200%
),
"No"
)</f>
        <v>0.85000000000000009</v>
      </c>
      <c r="O232" s="8">
        <f>IF(
_xlfn.XLOOKUP(
_xlfn.XLOOKUP(B232,'Base stats'!B:B,'Base stats'!E:E),
Groups!A:A,
Groups!L:L
)=1,
MIN(
MROUND(
IF(
_xlfn.XLOOKUP(B232,'Animals CE'!B:B,'Animals CE'!AA:AA)&lt;=1.5,
_xlfn.XLOOKUP(B232,'Animals CE'!B:B,'Animals CE'!AA:AA)/2+0.05,
0.8+
(_xlfn.XLOOKUP(B232,'Animals CE'!B:B,'Animals CE'!AA:AA)-1.5)
*0.02
),
0.05
),
200%
),
"No"
)</f>
        <v>0.8</v>
      </c>
      <c r="P232" s="2">
        <f>_xlfn.XLOOKUP(B232,'Base stats'!B:B,'Base stats'!R:R)</f>
        <v>1</v>
      </c>
      <c r="Q232" s="13">
        <f>MROUND((LOG10(_xlfn.XLOOKUP(B232,'Base stats'!B:B,'Base stats'!AR:AR))*(AO232^0.5)+(_xlfn.XLOOKUP(B232,'Base stats'!B:B,'Base stats'!AR:AR)/1000)^(2/3)+_xlfn.XLOOKUP(B232,'Base stats'!B:B,'Base stats'!BA:BA)/2)+0.5,0.5)</f>
        <v>11</v>
      </c>
      <c r="R232" s="7">
        <f>IF(Q232="No","No",MAX(1,MROUND(_xlfn.XLOOKUP(B232,'Base stats'!B:B,'Base stats'!C:C)^0.165,0.05)))</f>
        <v>2.4000000000000004</v>
      </c>
      <c r="S232" s="13" t="str">
        <f>IF(_xlfn.XLOOKUP(_xlfn.XLOOKUP(B232,'Base stats'!B:B,'Base stats'!E:E),Groups!A:A,Groups!P:P)=0,"No",MROUND((LOG10(_xlfn.XLOOKUP(B232,'Base stats'!B:B,'Base stats'!AS:AS))*(AO232^0.5)+(_xlfn.XLOOKUP(B232,'Base stats'!B:B,'Base stats'!AS:AS)/1000)^(2/3)+_xlfn.XLOOKUP(B232,'Base stats'!B:B,'Base stats'!BA:BA))+_xlfn.XLOOKUP(B232,'Base stats'!B:B,'Base stats'!AY:AY)+0.5,0.5))</f>
        <v>No</v>
      </c>
      <c r="T232" s="7" t="str">
        <f>IF(S232="No","No",MAX(_xlfn.XLOOKUP(_xlfn.XLOOKUP(B232,'Base stats'!B:B,'Base stats'!E:E),Groups!A:A,Groups!Q:Q),MROUND(_xlfn.XLOOKUP(_xlfn.XLOOKUP(B232,'Base stats'!B:B,'Base stats'!E:E),Groups!A:A,Groups!Q:Q)*_xlfn.XLOOKUP(B232,'Base stats'!B:B,'Base stats'!C:C)^0.165,0.05)))</f>
        <v>No</v>
      </c>
      <c r="U232" s="7" t="str">
        <f>IF(S232="No","No",_xlfn.XLOOKUP(_xlfn.XLOOKUP(B232,'Base stats'!B:B,'Base stats'!E:E),Groups!A:A,Groups!R:R))</f>
        <v>No</v>
      </c>
      <c r="V232" s="7" t="str">
        <f>IF(S232="No","No",_xlfn.XLOOKUP(_xlfn.XLOOKUP(B232,'Base stats'!B:B,'Base stats'!E:E),Groups!A:A,Groups!S:S))</f>
        <v>No</v>
      </c>
      <c r="W232" s="7" t="str">
        <f>IF(S232="No","No",_xlfn.XLOOKUP(_xlfn.XLOOKUP(B232,'Base stats'!B:B,'Base stats'!E:E),Groups!A:A,Groups!T:T))</f>
        <v>No</v>
      </c>
      <c r="X232" s="13" t="str">
        <f>IF(_xlfn.XLOOKUP(B232,'Base stats'!B:B,'Base stats'!W:W)="No","No",MROUND((LOG10(_xlfn.XLOOKUP(B232,'Base stats'!B:B,'Base stats'!AU:AU))*(AO232^0.5)+(_xlfn.XLOOKUP(B232,'Base stats'!B:B,'Base stats'!AU:AU)/1000)^(2/3)+_xlfn.XLOOKUP(B232,'Base stats'!B:B,'Base stats'!AZ:AZ))+0.5+IF(_xlfn.XLOOKUP(_xlfn.XLOOKUP(B232,'Base stats'!B:B,'Base stats'!E:E),Groups!A:A,Groups!U:U)&lt;&gt;3,_xlfn.XLOOKUP(B232,'Base stats'!B:B,'Base stats'!BA:BA),0),0.5))</f>
        <v>No</v>
      </c>
      <c r="Y232" s="7" t="str">
        <f>IF(X232="No","No",MAX(_xlfn.XLOOKUP(_xlfn.XLOOKUP(B232,'Base stats'!B:B,'Base stats'!E:E),Groups!A:A,Groups!V:V),MROUND(_xlfn.XLOOKUP(_xlfn.XLOOKUP(B232,'Base stats'!B:B,'Base stats'!E:E),Groups!A:A,Groups!V:V)*_xlfn.XLOOKUP(B232,'Base stats'!B:B,'Base stats'!C:C)^0.165,0.05)))</f>
        <v>No</v>
      </c>
      <c r="Z232" s="7" t="str">
        <f>IF(X232="No","No",_xlfn.XLOOKUP(_xlfn.XLOOKUP(B232,'Base stats'!B:B,'Base stats'!E:E),Groups!A:A,Groups!W:W))</f>
        <v>No</v>
      </c>
      <c r="AA232" s="7" t="str">
        <f>IF(X232="No","No",_xlfn.XLOOKUP(_xlfn.XLOOKUP(B232,'Base stats'!B:B,'Base stats'!E:E),Groups!A:A,Groups!X:X))</f>
        <v>No</v>
      </c>
      <c r="AB232" s="7" t="str">
        <f>IF(X232="No","No",_xlfn.XLOOKUP(_xlfn.XLOOKUP(B232,'Base stats'!B:B,'Base stats'!E:E),Groups!A:A,Groups!Y:Y))</f>
        <v>No</v>
      </c>
      <c r="AC232" s="7" t="str">
        <f>_xlfn.XLOOKUP(Animals!B232,'Base stats'!B:B,'Base stats'!X:X)</f>
        <v>False</v>
      </c>
      <c r="AD232" s="13">
        <f>IF(_xlfn.XLOOKUP(B232,'Base stats'!B:B,'Base stats'!AT:AT)="No","No",MROUND((LOG10(_xlfn.XLOOKUP(B232,'Base stats'!B:B,'Base stats'!AT:AT))*(AO232^0.75)+(_xlfn.XLOOKUP(B232,'Base stats'!B:B,'Base stats'!AT:AT)/1000)^(2/3)+_xlfn.XLOOKUP(B232,'Base stats'!B:B,'Base stats'!AX:AX)+_xlfn.XLOOKUP(B232,'Base stats'!B:B,'Base stats'!BA:BA))+0.5,0.5))</f>
        <v>31.5</v>
      </c>
      <c r="AE232" s="7">
        <f>IF(AD232="No","No",MAX(_xlfn.XLOOKUP(_xlfn.XLOOKUP(B232,'Base stats'!B:B,'Base stats'!E:E),Groups!A:A,Groups!Z:Z),MROUND(_xlfn.XLOOKUP(_xlfn.XLOOKUP(B232,'Base stats'!B:B,'Base stats'!E:E),Groups!A:A,Groups!Z:Z)*_xlfn.XLOOKUP(B232,'Base stats'!B:B,'Base stats'!C:C)^0.165,0.05)))</f>
        <v>2.9000000000000004</v>
      </c>
      <c r="AF232" s="7" t="str">
        <f>IF(AD232="No","No",_xlfn.XLOOKUP(_xlfn.XLOOKUP(B232,'Base stats'!B:B,'Base stats'!E:E),Groups!A:A,Groups!AA:AA))</f>
        <v>Mouth</v>
      </c>
      <c r="AG232" s="7" t="str">
        <f>IF(AD232="No","No",_xlfn.XLOOKUP(_xlfn.XLOOKUP(B232,'Base stats'!B:B,'Base stats'!E:E),Groups!A:A,Groups!AB:AB))</f>
        <v>mandibles</v>
      </c>
      <c r="AH232" s="7" t="str">
        <f>IF(AD232="No","No",_xlfn.XLOOKUP(_xlfn.XLOOKUP(B232,'Base stats'!B:B,'Base stats'!E:E),Groups!A:A,Groups!AC:AC))</f>
        <v>Bite</v>
      </c>
      <c r="AI232" s="13">
        <f>IF(_xlfn.XLOOKUP(_xlfn.XLOOKUP(B232,'Base stats'!B:B,'Base stats'!E:E),Groups!A:A,Groups!AD:AD)=0,"No",MROUND((LOG10(_xlfn.XLOOKUP(B232,'Base stats'!B:B,'Base stats'!AS:AS))*(AO232^0.75)+(_xlfn.XLOOKUP(B232,'Base stats'!B:B,'Base stats'!AS:AS)/1000)^(2/3)+_xlfn.XLOOKUP(B232,'Base stats'!B:B,'Base stats'!AY:AY)+_xlfn.XLOOKUP(B232,'Base stats'!B:B,'Base stats'!BA:BA))+0.5,0.5))</f>
        <v>26.5</v>
      </c>
      <c r="AJ232" s="7">
        <f>IF(AI232="No","No",MAX(_xlfn.XLOOKUP(_xlfn.XLOOKUP(B232,'Base stats'!B:B,'Base stats'!E:E),Groups!A:A,Groups!AE:AE),MROUND(_xlfn.XLOOKUP(_xlfn.XLOOKUP(B232,'Base stats'!B:B,'Base stats'!E:E),Groups!A:A,Groups!AE:AE)*IF(_xlfn.XLOOKUP(_xlfn.XLOOKUP(B232,'Base stats'!B:B,'Base stats'!E:E),Groups!A:A,Groups!AJ:AJ)="Photonozoa",0.6,1)*_xlfn.XLOOKUP(B232,'Base stats'!B:B,'Base stats'!C:C)^0.165,0.05)))</f>
        <v>2.6500000000000004</v>
      </c>
      <c r="AK232" s="7" t="str">
        <f>IF(AI232="No","No",_xlfn.XLOOKUP(_xlfn.XLOOKUP(B232,'Base stats'!B:B,'Base stats'!E:E),Groups!A:A,Groups!AF:AF))</f>
        <v>HeadClaw</v>
      </c>
      <c r="AL232" s="7" t="str">
        <f>IF(AI232="No","No",_xlfn.XLOOKUP(_xlfn.XLOOKUP(B232,'Base stats'!B:B,'Base stats'!E:E),Groups!A:A,Groups!AG:AG))</f>
        <v>head claw</v>
      </c>
      <c r="AM232" s="7" t="str">
        <f>IF(AI232="No","No",_xlfn.XLOOKUP(_xlfn.XLOOKUP(B232,'Base stats'!B:B,'Base stats'!E:E),Groups!A:A,Groups!AH:AH))</f>
        <v>Scratch</v>
      </c>
      <c r="AN232" s="2">
        <f t="shared" si="21"/>
        <v>25</v>
      </c>
      <c r="AO232" s="2">
        <f>MROUND(IF(AND(_xlfn.XLOOKUP(B232,'Base stats'!B:B,'Base stats'!C:C)&gt;=0.5,_xlfn.XLOOKUP(B232,'Base stats'!B:B,'Base stats'!C:C)&lt;=0.8),
IF(_xlfn.XLOOKUP(B232,'Base stats'!B:B,'Base stats'!C:C)&lt;0.1,0.05,IF(_xlfn.XLOOKUP(B232,'Base stats'!B:B,'Base stats'!C:C)&lt;=70,(_xlfn.XLOOKUP(B232,'Base stats'!B:B,'Base stats'!C:C)/70)^0.426489913056526,IF(_xlfn.XLOOKUP(B232,'Base stats'!B:B,'Base stats'!C:C)&lt;=400,(_xlfn.XLOOKUP(B232,'Base stats'!B:B,'Base stats'!C:C)/70)^0.572811455315093,IF(_xlfn.XLOOKUP(B232,'Base stats'!B:B,'Base stats'!C:C)&lt;=2000,2.71391647193063*(_xlfn.XLOOKUP(B232,'Base stats'!B:B,'Base stats'!C:C)/400)^0.252459582904293,3.74314280240376*(_xlfn.XLOOKUP(B232,'Base stats'!B:B,'Base stats'!C:C)/2000)^0.357012633876913)))),
IF(_xlfn.XLOOKUP(B232,'Base stats'!B:B,'Base stats'!C:C)&lt;0.1,0.05,IF(_xlfn.XLOOKUP(B232,'Base stats'!B:B,'Base stats'!C:C)&lt;0.4,0.1,IF(_xlfn.XLOOKUP(B232,'Base stats'!B:B,'Base stats'!C:C)&lt;=70,(_xlfn.XLOOKUP(B232,'Base stats'!B:B,'Base stats'!C:C)/70)^0.445823913056526,IF(_xlfn.XLOOKUP(B232,'Base stats'!B:B,'Base stats'!C:C)&lt;=400,(_xlfn.XLOOKUP(B232,'Base stats'!B:B,'Base stats'!C:C)/70)^0.572811455315093,IF(_xlfn.XLOOKUP(B232,'Base stats'!B:B,'Base stats'!C:C)&lt;=2000,2.71391647193063*(_xlfn.XLOOKUP(B232,'Base stats'!B:B,'Base stats'!C:C)/400)^0.252459582904293,3.74314280240376*(_xlfn.XLOOKUP(B232,'Base stats'!B:B,'Base stats'!C:C)/2000)^0.357012633876913)))))),
IF(_xlfn.XLOOKUP(B232,'Base stats'!B:B,'Base stats'!C:C)&lt;0.1,0.05,IF(_xlfn.XLOOKUP(B232,'Base stats'!B:B,'Base stats'!C:C)&lt;=100,0.05,IF(_xlfn.XLOOKUP(B232,'Base stats'!B:B,'Base stats'!C:C)&lt;=250,0.1,IF(_xlfn.XLOOKUP(B232,'Base stats'!B:B,'Base stats'!C:C)&lt;=4000,0.25,0.5)))))</f>
        <v>1.8</v>
      </c>
      <c r="AP232" s="8">
        <f>MROUND(AO232*_xlfn.XLOOKUP(_xlfn.XLOOKUP(B232,'Base stats'!B:B,'Base stats'!E:E),Groups!A:A,Groups!AI:AI)*_xlfn.XLOOKUP(B232,'Base stats'!B:B,'Base stats'!Z:Z),0.05)</f>
        <v>1.8</v>
      </c>
      <c r="AQ232" s="8">
        <f>MAX(0.01,MROUND(IF(CC232="True",0.196*(AO232*100*1000)^0.889,IF(_xlfn.XLOOKUP(_xlfn.XLOOKUP(B232,'Base stats'!B:B,'Base stats'!E:E),Groups!A:A,Groups!AJ:AJ)="Bird",10.5*(AO232*100*1000)^0.681,4.82*(AO232*100*1000)^0.734))/(4.82*(1*100*1000)^0.734)/IF(AO232&lt;3.5,2,IF(AO232=3.5,1.5,1.25))*(1+0.132282374779864/(AO232^0.994035016789033+0.00905238001496948)),0.05))</f>
        <v>0.2</v>
      </c>
      <c r="AR232" s="9">
        <f>IFERROR(MROUND(_xlfn.XLOOKUP(B232,'Base stats'!B:B,'Base stats'!H:H)/IF(_xlfn.XLOOKUP(B232,'Base stats'!B:B,'Base stats'!I:I)&lt;&gt;1,(122.5/70),1.2),IF(_xlfn.XLOOKUP(B232,'Base stats'!B:B,'Base stats'!H:H)&gt;=30,5,IF(_xlfn.XLOOKUP(B232,'Base stats'!B:B,'Base stats'!H:H)&gt;=15,3,IF(_xlfn.XLOOKUP(B232,'Base stats'!B:B,'Base stats'!H:H)&gt;=10,2,1)))),"Immortal")</f>
        <v>9</v>
      </c>
      <c r="AS232" s="35" t="str">
        <f>IFERROR(IF(OR(_xlfn.XLOOKUP(B232,'Base stats'!B:B,'Base stats'!F:F)="Atypical reproduction",_xlfn.XLOOKUP(B232,'Base stats'!B:B,'Base stats'!F:F)="Lay eggs"),"Lay eggs",MIN(20,MAX(5.5,ROUND(((_xlfn.XLOOKUP(B232,'Base stats'!B:B,'Base stats'!F:F)-25)*(14.5/615) + 5.5)*2,0)/2))),"Unknown")</f>
        <v>Lay eggs</v>
      </c>
      <c r="AT232" s="8">
        <f>IF(_xlfn.XLOOKUP(B232,'Base stats'!B:B,'Base stats'!G:G)="Atypical reproduction","No",IFERROR(MAX(IF(_xlfn.XLOOKUP(B232,'Base stats'!B:B,'Base stats'!G:G)&lt;0.5,0.2,0.3),MROUND(_xlfn.XLOOKUP(B232,'Base stats'!B:B,'Base stats'!G:G)/(365/60),0.2)),"Unknown"))</f>
        <v>0.3</v>
      </c>
      <c r="AU232" s="8">
        <f t="shared" si="22"/>
        <v>0.15000000000000002</v>
      </c>
      <c r="AV232" s="8" t="str">
        <f>IFERROR(IFERROR(MROUND(_xlfn.XLOOKUP(B232,'Base stats'!B:B,'Base stats'!J:J),0.1),"Lay eggs"),"Cannot breed")</f>
        <v>Lay eggs</v>
      </c>
      <c r="AW232" s="2" t="str">
        <f t="shared" si="23"/>
        <v>false</v>
      </c>
      <c r="AX232" s="2" t="str">
        <f>IF(_xlfn.XLOOKUP(_xlfn.XLOOKUP(Animals!B232,'Base stats'!B:B,'Base stats'!E:E),Groups!A:A,Groups!AK:AK)=1,"true","false")</f>
        <v>false</v>
      </c>
      <c r="AY232" s="25" t="str">
        <f>IF(_xlfn.XLOOKUP(B232,'Base stats'!B:B,'Base stats'!Y:Y)="Liquor","Liquor, CarnivoreAnimalStrict",IF(AND(_xlfn.XLOOKUP(B232,'Base stats'!B:B,'Base stats'!Y:Y)="Carnivore",_xlfn.XLOOKUP(_xlfn.XLOOKUP(B232,'Base stats'!B:B,'Base stats'!E:E),Groups!A:A,Groups!AJ:AJ)="Photonozoa"),"CarnivoreAnimalStrict, OvivoreAnimal",IF(_xlfn.XLOOKUP(B232,'Base stats'!B:B,'Base stats'!Y:Y)="Carnivore","CarnivoreAnimal, OvivoreAnimal",IF(_xlfn.XLOOKUP(B232,'Base stats'!B:B,'Base stats'!Y:Y)="Dendrovore","VegetarianRoughAnimal, DendrovoreAnimal",IF(_xlfn.XLOOKUP(B232,'Base stats'!B:B,'Base stats'!Y:Y)="Herbivore","VegetarianRoughAnimal",IF(_xlfn.XLOOKUP(B232,'Base stats'!B:B,'Base stats'!Y:Y)="OmnivoreRough","OmnivoreRoughAnimal, OvivoreAnimal","OmnivoreAnimal, OvivoreAnimal"))))))</f>
        <v>OmnivoreAnimal, OvivoreAnimal</v>
      </c>
      <c r="AZ232" s="2" t="str">
        <f>IF(_xlfn.XLOOKUP(_xlfn.XLOOKUP(B232,'Base stats'!B:B,'Base stats'!E:E),Groups!A:A,Groups!D:D)=1,MROUND((1-J232)*5+1,2)*IF(J232&lt;=0.4,2,1),"No")</f>
        <v>No</v>
      </c>
      <c r="BA232" s="2" t="str">
        <f>IF(AND(_xlfn.XLOOKUP(B232,'Base stats'!B:B,'Base stats'!AH:AH)="&lt;li&gt;Seal&lt;/li&gt;",G232="Odyssey"),"&lt;li&gt;AEXP_Seal&lt;/li&gt;",_xlfn.XLOOKUP(B232,'Base stats'!B:B,'Base stats'!AH:AH))</f>
        <v>&lt;li&gt;Megaspider&lt;/li&gt;</v>
      </c>
      <c r="BB232" s="2" t="str">
        <f>_xlfn.XLOOKUP(B232,'Base stats'!B:B,'Base stats'!AG:AG)</f>
        <v>Leather_BlackChitin</v>
      </c>
      <c r="BC232" s="23" t="str">
        <f>_xlfn.XLOOKUP(_xlfn.XLOOKUP(B232,'Base stats'!B:B,'Base stats'!E:E),Groups!A:A,Groups!AL:AL)</f>
        <v>BeetleLikeWithClaw</v>
      </c>
      <c r="BD232" s="23">
        <f>MIN(1,MROUND(IF(AND(AO232&lt;0.5,_xlfn.XLOOKUP(B232,'Base stats'!B:B,'Base stats'!AA:AA)=0),0,IF(OR(_xlfn.XLOOKUP(Animals!B232,'Base stats'!B:B,'Base stats'!O:O)=2,_xlfn.XLOOKUP(_xlfn.XLOOKUP(B232,'Base stats'!B:B,'Base stats'!E:E),Groups!A:A,Groups!AN:AN)=0),0,_xlfn.XLOOKUP(_xlfn.XLOOKUP(B232,'Base stats'!B:B,'Base stats'!E:E),Groups!A:A,Groups!AN:AN)/IF(_xlfn.XLOOKUP(Animals!B232,'Base stats'!B:B,'Base stats'!O:O)=1,2,1)))+_xlfn.XLOOKUP(B232,'Base stats'!B:B,'Base stats'!AC:AC),0.005))</f>
        <v>0.1</v>
      </c>
      <c r="BE232" s="23">
        <f>MIN(1,MROUND(IF(AND(AO232&lt;0.5,_xlfn.XLOOKUP(B232,'Base stats'!B:B,'Base stats'!AA:AA)=0),0,IF(_xlfn.XLOOKUP(_xlfn.XLOOKUP(B232,'Base stats'!B:B,'Base stats'!E:E),Groups!A:A,Groups!AO:AO)=0,0,_xlfn.XLOOKUP(_xlfn.XLOOKUP(B232,'Base stats'!B:B,'Base stats'!E:E),Groups!A:A,Groups!AO:AO)/IF(_xlfn.XLOOKUP(Animals!B232,'Base stats'!B:B,'Base stats'!O:O)=2,3,1)))+_xlfn.XLOOKUP(B232,'Base stats'!B:B,'Base stats'!AD:AD),0.005))</f>
        <v>1</v>
      </c>
      <c r="BF232" s="2" t="str">
        <f>IF(J232&gt;0.3,"No",_xlfn.XLOOKUP(_xlfn.XLOOKUP(Animals!B232,'Base stats'!B:B,'Base stats'!E:E),Groups!A:A,Groups!AP:AP))</f>
        <v>No</v>
      </c>
      <c r="BG232" s="2" t="str">
        <f>IF(AND(J232&lt;=0.65,_xlfn.XLOOKUP(_xlfn.XLOOKUP(Animals!B232,'Base stats'!B:B,'Base stats'!E:E),Groups!A:A,Groups!AP:AP)&lt;&gt;"No",_xlfn.XLOOKUP(_xlfn.XLOOKUP(B232,'Base stats'!B:B,'Base stats'!E:E),Groups!A:A,Groups!D:D)=0),MROUND((80/3)*IF(_xlfn.XLOOKUP(B232,'Base stats'!B:B,'Base stats'!O:O)=2,0.2,AO232) + 24*(1-IF(BF232="No",0,BF232)) + 16/3, 12),"No")</f>
        <v>No</v>
      </c>
      <c r="BH232" s="2">
        <f>IF(AND(_xlfn.XLOOKUP(_xlfn.XLOOKUP(B232,'Base stats'!B:B,'Base stats'!E:E),Groups!A:A,Groups!AQ:AQ)=1,AO232&lt;=0.35),8,12)</f>
        <v>12</v>
      </c>
      <c r="BI232" s="2" t="str">
        <f>IF(_xlfn.XLOOKUP(_xlfn.XLOOKUP(B232,'Base stats'!B:B,'Base stats'!E:E),Groups!A:A,Groups!D:D)=0,_xlfn.XLOOKUP(_xlfn.XLOOKUP(B232,'Base stats'!B:B,'Base stats'!E:E),Groups!A:A,Groups!AR:AR),"None")</f>
        <v>Advanced</v>
      </c>
      <c r="BJ232" s="2" t="str">
        <f>IF(AND(_xlfn.XLOOKUP(_xlfn.XLOOKUP(B232,'Base stats'!B:B,'Base stats'!E:E),Groups!A:A,Groups!AS:AS)=1,OR(_xlfn.XLOOKUP(B232,'Base stats'!B:B,'Base stats'!Y:Y)="Carnivore",_xlfn.XLOOKUP(B232,'Base stats'!B:B,'Base stats'!Y:Y)="Omnivore")),"true","false")</f>
        <v>true</v>
      </c>
      <c r="BK232" s="2">
        <f>IF(BJ232="true",MROUND(IF(AND(AO232&gt;0.5,OR(_xlfn.XLOOKUP(_xlfn.XLOOKUP(B232,'Base stats'!B:B,'Base stats'!E:E),Groups!A:A,Groups!AJ:AJ)="Photonozoa",_xlfn.XLOOKUP(_xlfn.XLOOKUP(B232,'Base stats'!B:B,'Base stats'!E:E),Groups!A:A,Groups!AJ:AJ)="Mammal")),Animals!AO232*1.75*IF(AW232="true",1.5,1),IF(AO232&lt;0.5,Animals!AO232*0.5,Animals!AO232)),IF(AO232&gt;2,0.5,IF(AO232&gt;0.5,0.25,0.1))),"No")</f>
        <v>1.75</v>
      </c>
      <c r="BL232" s="2">
        <f t="shared" si="24"/>
        <v>1</v>
      </c>
      <c r="BM232" s="25" t="str">
        <f>IF(_xlfn.XLOOKUP(B232,'Base stats'!B:B,'Base stats'!AN:AN)="Standard","No",MROUND((_xlfn.XLOOKUP(B232,'Base stats'!B:B,'Base stats'!AN:AN)/3.6)/I232,0.1))</f>
        <v>No</v>
      </c>
      <c r="BN232" s="25" t="str">
        <f t="shared" si="25"/>
        <v>false</v>
      </c>
      <c r="BO232" s="25" t="str">
        <f>IF(AND(OR(_xlfn.XLOOKUP(B232,'Base stats'!B:B,'Base stats'!Y:Y)="Carnivore",_xlfn.XLOOKUP(B232,'Base stats'!B:B,'Base stats'!Y:Y)="Omnivore",_xlfn.XLOOKUP(B232,'Base stats'!B:B,'Base stats'!Y:Y)="OmnivoreRough"),_xlfn.XLOOKUP(_xlfn.XLOOKUP(B232,'Base stats'!B:B,'Base stats'!E:E),Groups!A:A,Groups!AT:AT)=1),"true","false")</f>
        <v>false</v>
      </c>
      <c r="BP232" s="25" t="str" cm="1">
        <f t="array" ref="BP232">IF(
  _xlfn.TEXTJOIN(", ",TRUE,
    IF(AND(BJ232="true",AO232&gt;0.5,BI232&lt;&gt;"None"),"AttackTarget",""),
    IF(AND(_xlfn.XLOOKUP(_xlfn.XLOOKUP(B232,'Base stats'!B:B,'Base stats'!E:E),Groups!A:A,Groups!AJ:AJ="Mammal"),OR(_xlfn.XLOOKUP(B232,'Base stats'!B:B,'Base stats'!Y:Y)="Omnivore",_xlfn.XLOOKUP(B232,'Base stats'!B:B,'Base stats'!Y:Y)="OmnivoreRough")),"Forage",""),
    IF(BG232&lt;=36,"Comfort",""),
    IF(_xlfn.XLOOKUP(B232,'Base stats'!B:B,'Base stats'!AE:AE)&lt;&gt;"No",_xlfn.XLOOKUP(B232,'Base stats'!B:B,'Base stats'!AE:AE),"")
  ) = "",
  "No",
  _xlfn.TEXTJOIN(", ",TRUE,
    IF(AND(BJ232="true",AO232&gt;0.5,BI232&lt;&gt;"None"),"AttackTarget",""),
    IF(AND(_xlfn.XLOOKUP(_xlfn.XLOOKUP(B232,'Base stats'!B:B,'Base stats'!E:E),Groups!A:A,Groups!AJ:AJ="Mammal"),OR(_xlfn.XLOOKUP(B232,'Base stats'!B:B,'Base stats'!Y:Y)="Omnivore",_xlfn.XLOOKUP(B232,'Base stats'!B:B,'Base stats'!Y:Y)="OmnivoreRough")),"Forage",""),
    IF(BG232&lt;=36,"Comfort",""),
    IF(_xlfn.XLOOKUP(B232,'Base stats'!B:B,'Base stats'!AE:AE)&lt;&gt;"No",_xlfn.XLOOKUP(B232,'Base stats'!B:B,'Base stats'!AE:AE),"")
  )
)</f>
        <v>AttackTarget, Dig</v>
      </c>
      <c r="BQ232" s="25" t="str">
        <f>IF(
   AND(
      'Base stats'!AN232="Standard",_xlfn.XLOOKUP(_xlfn.XLOOKUP(B232,'Base stats'!B:B,'Base stats'!E:E),Groups!A:A,Groups!AU:AU)=0,
      OR(
      BO232="True"
      )
   ),
   10,
   IF(
       OR(BM232&lt;&gt;"No",_xlfn.XLOOKUP(_xlfn.XLOOKUP(B232,'Base stats'!B:B,'Base stats'!E:E),Groups!A:A,Groups!AU:AU)=1),
      1,
      "No"
   )
)</f>
        <v>No</v>
      </c>
      <c r="BR232" s="9">
        <f>MROUND((1 + ((0.2*IF(OR(Q232="No",R232="No",R232=0),0,Q232/R232)
+IF(OR(V232="No",S232="No",T232="No"),0,S232/T232*(LEN(V232)-LEN(SUBSTITUTE(V232,",",""))+1))
+IF(OR(X232="No",Y232="No"),0,X232/Y232)
+IF(OR(AD232="No",AE232="No"),0,AD232/AE232)
+IF(OR(AL232="No",AI232="No",AJ232="No"),0,AI232/AJ232*(LEN(AL232)-LEN(SUBSTITUTE(AL232,",",""))+1))
)/(0.2*IF(OR(Q232="No",R232="No",R232=0),0,1)
+IF(OR(V232="No",S232="No",T232="No"),0,LEN(V232)-LEN(SUBSTITUTE(V232,",",""))+1)
+IF(OR(X232="No",Y232="No"),0,1)
+IF(OR(AD232="No",AE232="No"),0,1)
+IF(OR(AL232="No",AI232="No",AJ232="No"),0,LEN(AL232)-LEN(SUBSTITUTE(AL232,",",""))+1))*62%)* 2)*(1 + (AP232 / (IF(_xlfn.XLOOKUP(_xlfn.XLOOKUP(B232,'Base stats'!B:B,'Base stats'!E:E),Groups!A:A,Groups!AJ:AJ)="Photonozoa",0.3,1)) + _xlfn.XLOOKUP(B232,'Base stats'!B:B,'Base stats'!AV:AV) * 1.8) * 2) * 2.5 + 10 + I232 * 2,5)+IF(_xlfn.XLOOKUP(B232,'Base stats'!B:B,'Base stats'!AK:AK)=1,50,0)</f>
        <v>270</v>
      </c>
      <c r="BS232" s="8">
        <f t="shared" si="26"/>
        <v>0.5</v>
      </c>
      <c r="BT232" s="8" t="str">
        <f>_xlfn.XLOOKUP(B232,'Base stats'!B:B,'Base stats'!AF:AF)</f>
        <v>No</v>
      </c>
      <c r="BU232" s="2" t="str">
        <f>IF(AND(J232&lt;=0.95,OR(_xlfn.XLOOKUP(B232,'Base stats'!B:B,'Base stats'!AK:AK)=1,_xlfn.XLOOKUP(B232,'Base stats'!B:B,'Base stats'!Y:Y)="Carnivore",_xlfn.XLOOKUP(B232,'Base stats'!B:B,'Base stats'!Y:Y)="Omnivore",BE232&gt;0.1)),"true","false")</f>
        <v>true</v>
      </c>
      <c r="BV232" s="2" t="str">
        <f>IF(_xlfn.XLOOKUP(B232,'Base stats'!B:B,'Base stats'!AI:AI)=1,"true","false")</f>
        <v>false</v>
      </c>
      <c r="BW232" s="25" t="str">
        <f>IF(E232="BaseInsect","AnimalInsect",
IF(J232&gt;0.95,"AnimalExotic",
_xlfn.TEXTJOIN(", ",TRUE,
IF(OR(_xlfn.XLOOKUP(B232,'Base stats'!B:B,'Base stats'!AM:AM)=1,AND(_xlfn.XLOOKUP(B232,'Base stats'!B:B,'Base stats'!O:O)=0,_xlfn.XLOOKUP(_xlfn.XLOOKUP(B232,'Base stats'!B:B,'Base stats'!E:E),Groups!A:A,Groups!B:B)&gt;0)),"AnimalUncommon","AnimalCommon"),
IF(AND(_xlfn.XLOOKUP(B232,'Base stats'!B:B,'Base stats'!O:O)=2,_xlfn.XLOOKUP(_xlfn.XLOOKUP(B232,'Base stats'!B:B,'Base stats'!E:E),Groups!A:A,Groups!D:D)=0),"AnimalPet",IF(AND(_xlfn.XLOOKUP(B232,'Base stats'!B:B,'Base stats'!O:O)&lt;&gt;0,_xlfn.XLOOKUP(_xlfn.XLOOKUP(B232,'Base stats'!B:B,'Base stats'!E:E),Groups!A:A,Groups!D:D)&lt;&gt;0),"AnimalFarm","")),
IF(OR(_xlfn.XLOOKUP(B232,'Base stats'!B:B,'Base stats'!AK:AK)=1,AND(BI232&lt;&gt;"None",BR232&gt;=60),ISNUMBER(SEARCH("Attack target",BP232))),"AnimalFighter","")
)))</f>
        <v>AnimalUncommon, AnimalFighter</v>
      </c>
      <c r="BX232" s="25" t="str">
        <f>IF(G232="None",TRIM(
SUBSTITUTE(
IF(COUNTIF(Biomes!B$2:B$259,"="&amp;$C232)&gt;0,Biomes!B$1&amp;", ","")&amp;
IF(COUNTIF(Biomes!C$2:C$259,"="&amp;$C232)&gt;0,Biomes!C$1&amp;", ","")&amp;
IF(COUNTIF(Biomes!D$2:D$259,"="&amp;$C232)&gt;0,Biomes!D$1&amp;", ","")&amp;
IF(COUNTIF(Biomes!F$2:F$259,"="&amp;$C232)&gt;0,Biomes!F$1&amp;", ","")&amp;
IF(COUNTIF(Biomes!G$2:G$259,"="&amp;$C232)&gt;0,Biomes!G$1&amp;", ","")&amp;
IF(COUNTIF(Biomes!H$2:H$259,"="&amp;$C232)&gt;0,Biomes!H$1&amp;", ","")&amp;
IF(COUNTIF(Biomes!I$2:I$259,"="&amp;$C232)&gt;0,Biomes!I$1&amp;", ","")&amp;
IF(COUNTIF(Biomes!J$2:J$259,"="&amp;$C232)&gt;0,Biomes!J$1&amp;", ","")&amp;
IF(COUNTIF(Biomes!M$2:M$259,"="&amp;$C232)&gt;0,Biomes!M$1&amp;", ","")&amp;
IF(COUNTIF(Biomes!N$2:N$259,"="&amp;$C232)&gt;0,Biomes!N$1&amp;", ","")&amp;
IF(COUNTIF(Biomes!O$2:O$259,"="&amp;$C232)&gt;0,Biomes!O$1&amp;", ","")&amp;
IF(COUNTIF(Biomes!P$2:P$259,"="&amp;$C232)&gt;0,Biomes!P$1&amp;", ","")&amp;
IF(COUNTIF(Biomes!K$2:K$259,"="&amp;$C232)&gt;0,Biomes!K$1&amp;", ","")&amp;
IF(COUNTIF(Biomes!Q$3:Q$259,"="&amp;$C232)&gt;0,Biomes!Q$1&amp;", ","")&amp;
IF(COUNTIF(Biomes!L$2:L$259,"="&amp;$C232)&gt;0,Biomes!L$1&amp;", ","")&amp;
IF(COUNTIF(Biomes!E$2:E$259,"="&amp;$C232)&gt;0,Biomes!E$1&amp;", ","")&amp;IF(COUNTIF(Biomes!S$2:S$259,"="&amp;$C232)&gt;0,Biomes!S$1&amp;", ","")&amp;
IF(COUNTIF(Biomes!R$2:R$259,"="&amp;$C232)&gt;0,Biomes!R$1&amp;", ",""),", ","")
),_xlfn.XLOOKUP(B232,B:B,BX:BX))</f>
        <v/>
      </c>
      <c r="BY232" s="25" t="str">
        <f>IF(_xlfn.XLOOKUP(B232,'Base stats'!B:B,'Base stats'!AJ:AJ)=1,"true","false")</f>
        <v>false</v>
      </c>
      <c r="BZ232" s="25">
        <f>IF(_xlfn.XLOOKUP(B232,'Base stats'!B:B,'Base stats'!N:N)=1,"No",MAX(0.001,MIN(MROUND(IF(AND(BJ232="True",CC232="False"),POWER(10,3.47*LOG10(_xlfn.XLOOKUP(B232,'Base stats'!B:B,'Base stats'!C:C)*1000)^-0.96),POWER(10,4.15*LOG10(_xlfn.XLOOKUP(B232,'Base stats'!B:B,'Base stats'!C:C)*1000)^-0.73))*IF(_xlfn.XLOOKUP(B232,'Base stats'!B:B,'Base stats'!AK:AK)=1,0.5,1)*IF(_xlfn.XLOOKUP(B232,'Base stats'!B:B,'Base stats'!AM:AM)=1,0.1,1)/100,IF(_xlfn.XLOOKUP(B232,'Base stats'!B:B,'Base stats'!AM:AM)=1,0.001,0.025)),0.5)))</f>
        <v>1.7000000000000001E-2</v>
      </c>
      <c r="CA232" s="25">
        <f>IF(P232="Standard","No",MAX(0.001,MIN(MROUND(IF(AND(BJ232="True",CC232="False"),POWER(10,3.47*LOG10(_xlfn.XLOOKUP(B232,'Base stats'!B:B,'Base stats'!C:C)*1000)^-0.96),POWER(10,4.15*LOG10(_xlfn.XLOOKUP(B232,'Base stats'!B:B,'Base stats'!C:C)*1000)^-0.73))*IF(_xlfn.XLOOKUP(B232,'Base stats'!B:B,'Base stats'!AM:AM)=1,0.1,1)*_xlfn.XLOOKUP(B232,'Base stats'!B:B,'Base stats'!R:R)/100,IF(_xlfn.XLOOKUP(B232,'Base stats'!B:B,'Base stats'!AM:AM)=1,0.001,0.025)),0.5)))</f>
        <v>1.7000000000000001E-2</v>
      </c>
      <c r="CB232" s="25" t="str">
        <f>IF(_xlfn.XLOOKUP(_xlfn.XLOOKUP(B232,'Base stats'!B:B,'Base stats'!E:E),Groups!A:A,Groups!AJ:AJ)="Mammal","True","False")</f>
        <v>False</v>
      </c>
      <c r="CC232" s="25" t="str">
        <f>IF(OR(_xlfn.XLOOKUP(_xlfn.XLOOKUP(B232,'Base stats'!B:B,'Base stats'!E:E),Groups!A:A,Groups!AJ:AJ)="Reptile",_xlfn.XLOOKUP(_xlfn.XLOOKUP(B232,'Base stats'!B:B,'Base stats'!E:E),Groups!A:A,Groups!AJ:AJ)="Amphibian",_xlfn.XLOOKUP(_xlfn.XLOOKUP(B232,'Base stats'!B:B,'Base stats'!E:E),Groups!A:A,Groups!AJ:AJ)="Invertebrate"),"True","False")</f>
        <v>True</v>
      </c>
      <c r="CD232" s="25" t="str">
        <f t="shared" si="27"/>
        <v>False</v>
      </c>
      <c r="CE232" s="25" t="str">
        <f>IF(_xlfn.XLOOKUP(_xlfn.XLOOKUP(B232,'Base stats'!B:B,'Base stats'!E:E),Groups!A:A,Groups!AX:AX),"True","False")</f>
        <v>False</v>
      </c>
      <c r="CF232" s="25" t="str">
        <f>IF(_xlfn.XLOOKUP(_xlfn.XLOOKUP(B232,'Base stats'!B:B,'Base stats'!E:E),Groups!A:A,Groups!AY:AY),"True","False")</f>
        <v>False</v>
      </c>
      <c r="CG232" s="25" t="str">
        <f>IF(_xlfn.XLOOKUP(_xlfn.XLOOKUP(B232,'Base stats'!B:B,'Base stats'!E:E),Groups!A:A,Groups!AW:AW),"True","False")</f>
        <v>False</v>
      </c>
      <c r="CH232" s="25" t="str">
        <f>IF(
OR(
_xlfn.XLOOKUP(_xlfn.XLOOKUP(B232,'Base stats'!B:B,'Base stats'!E:E),Groups!A:A,Groups!AZ:AZ)=0,
AND(
_xlfn.XLOOKUP(B232,'Base stats'!B:B,'Base stats'!Y:Y)&lt;&gt;"Carnivore",
_xlfn.XLOOKUP(B232,'Base stats'!B:B,'Base stats'!Y:Y)&lt;&gt;"Omnivore",
_xlfn.XLOOKUP(B232,'Base stats'!B:B,'Base stats'!Y:Y)&lt;&gt;"OmnivoreRough"
)
),
"No",
IF(
_xlfn.XLOOKUP(_xlfn.XLOOKUP(B232,'Base stats'!B:B,'Base stats'!E:E),Groups!A:A,Groups!AZ:AZ)=1,
"Flesh",
IF(
_xlfn.XLOOKUP(_xlfn.XLOOKUP(B232,'Base stats'!B:B,'Base stats'!E:E),Groups!A:A,Groups!AZ:AZ)=2,
"Bone",
""
)
)
)</f>
        <v>Bone</v>
      </c>
      <c r="CI232" s="25" t="str">
        <f>IF(_xlfn.XLOOKUP(_xlfn.XLOOKUP(B232,'Base stats'!B:B,'Base stats'!E:E),Groups!A:A,Groups!BB:BB),"True","False")</f>
        <v>False</v>
      </c>
      <c r="CJ232" s="25" t="str">
        <f>IF(_xlfn.XLOOKUP(_xlfn.XLOOKUP(B232,'Base stats'!B:B,'Base stats'!E:E),Groups!A:A,Groups!BA:BA),"True","False")</f>
        <v>False</v>
      </c>
    </row>
    <row r="233" spans="1:88" ht="16.5" thickTop="1" thickBot="1" x14ac:dyDescent="0.3">
      <c r="A233" s="26" t="s">
        <v>1372</v>
      </c>
      <c r="B233" s="6" t="str">
        <f>_xlfn.XLOOKUP(A233,'Base stats'!A:A,'Base stats'!B:B)</f>
        <v>Gigarachne niger</v>
      </c>
      <c r="C233" s="28" t="s">
        <v>1373</v>
      </c>
      <c r="D233" s="28" t="s">
        <v>1341</v>
      </c>
      <c r="E233" s="28" t="s">
        <v>1748</v>
      </c>
      <c r="F233" s="28" t="s">
        <v>673</v>
      </c>
      <c r="G233" s="28" t="s">
        <v>673</v>
      </c>
      <c r="H233" s="2">
        <f>MROUND((
  (IF(AND(_xlfn.XLOOKUP(B233,'Base stats'!B:B,'Base stats'!AL:AL)=0,BI233="None",_xlfn.XLOOKUP(_xlfn.XLOOKUP(B233,'Base stats'!B:B,'Base stats'!E:E),Groups!A:A,Groups!B:B)=0), (18 + BR233 * 2.7) * 0.5,
    IF(AND(_xlfn.XLOOKUP(B233,'Base stats'!B:B,'Base stats'!AL:AL)=0,OR(AO233&lt;0.55,AND(BI233="Intermediate",_xlfn.XLOOKUP(_xlfn.XLOOKUP(B233,'Base stats'!B:B,'Base stats'!E:E),Groups!A:A,Groups!B:B)&lt;2))), (18 + BR233 * 2.7),
      IF(OR(BI233="Advanced",_xlfn.XLOOKUP(B233,'Base stats'!B:B,'Base stats'!AL:AL)=1,_xlfn.XLOOKUP(_xlfn.XLOOKUP(B233,'Base stats'!B:B,'Base stats'!E:E),Groups!A:A,Groups!B:B)=2), (18 + BR233 * 2.7) + 250, (18 + BR233 * 2.7))
    )
  ))
  + AO233 * 80
  + IF(COUNTIF(EggMilk!K$2:K$998, A233) &gt; 0, 125, 0)
  + IF(COUNTIF(EggMilk!P$2:P$998, A233) &gt; 0, 90, 0)
  + IF(COUNTIF(EggMilk!A$2:A$998, A233) &gt; 0, 90, 0)
)
* (0.8 + 0.4 * J233)
* 0.75,25)</f>
        <v>1350</v>
      </c>
      <c r="I233" s="2">
        <f>MROUND(ROUNDDOWN(_xlfn.XLOOKUP(B233,'Base stats'!B:B,'Base stats'!L:L)/3.6/(23.3/11),1),0.5)</f>
        <v>2.5</v>
      </c>
      <c r="J233" s="2">
        <f>IF(OR(_xlfn.XLOOKUP(B233,'Base stats'!B:B,'Base stats'!AB:AB)=1,_xlfn.XLOOKUP(_xlfn.XLOOKUP(B233,'Base stats'!B:B,'Base stats'!E:E),Groups!A:A,Groups!C:C)="Untamable"),1,IF(_xlfn.XLOOKUP(B233,'Base stats'!B:B,'Base stats'!AL:AL)=1,0.99,MIN(MROUND((1-0.6282*EXP(-0.459*AO233))*_xlfn.XLOOKUP(_xlfn.XLOOKUP(B233,'Base stats'!B:B,'Base stats'!E:E),Groups!A:A,Groups!C:C)*IF(_xlfn.XLOOKUP(B233,'Base stats'!B:B,'Base stats'!O:O)=1,0.5,IF(_xlfn.XLOOKUP(B233,'Base stats'!B:B,'Base stats'!O:O)=2,0,1)),0.05),IF(AO233&gt;3.5,0.985,0.95))))</f>
        <v>0.9</v>
      </c>
      <c r="K233" s="2">
        <f>ROUNDUP(AO233*_xlfn.XLOOKUP(_xlfn.XLOOKUP(B233,'Base stats'!B:B,'Base stats'!E:E),Groups!A:A,Groups!E:E),0)</f>
        <v>3</v>
      </c>
      <c r="L233" s="2">
        <f>IF(OR(_xlfn.XLOOKUP(_xlfn.XLOOKUP(B233,'Base stats'!B:B,'Base stats'!E:E),Groups!A:A,Groups!F:F)=2,ISNUMBER(SEARCH("SeaIce",BX233)),ISNUMBER(SEARCH("IceSheet",BX233))),-50,IF(OR(ISNUMBER(SEARCH("GlacialPlain",BX233)),ISNUMBER(SEARCH("Tundra",BX233))),-40,IF(OR(ISNUMBER(SEARCH("Alpine",BX233)),ISNUMBER(SEARCH("BorealForest",BX233)),ISNUMBER(SEARCH("ColdBog",BX233))),-30,IF(OR(ISNUMBER(SEARCH("TemperateForest",BX233)),ISNUMBER(SEARCH("TemperateSwamp",BX233))),-20,IF(_xlfn.XLOOKUP(_xlfn.XLOOKUP(B233,'Base stats'!B:B,'Base stats'!E:E),Groups!A:A,Groups!F:F)=1,-15,IF(OR(ISNUMBER(SEARCH("Desert",BX233)),ISNUMBER(SEARCH("ExtremeDesert",BX233))),-10,IF(OR(ISNUMBER(SEARCH("Grasslands",BX233)),ISNUMBER(SEARCH("TropicalRainforest",BX233)),ISNUMBER(SEARCH("TropicalSwamp",BX233))),10,0)))))))-IF(CC233="False",MIN(IFERROR(MAX(MROUND(LOG10(_xlfn.XLOOKUP(B233,'Base stats'!B:B,'Base stats'!C:C)^(2/3))*10,5),5),5),30))-_xlfn.XLOOKUP(B233,'Base stats'!B:B,'Base stats'!P:P)+IF(CC233="True",5,0)</f>
        <v>5</v>
      </c>
      <c r="M233" s="2">
        <f>IF(OR(_xlfn.XLOOKUP(_xlfn.XLOOKUP(B233,'Base stats'!B:B,'Base stats'!E:E),Groups!A:A,Groups!G:G)=2,ISNUMBER(SEARCH("Desert",BX233)),ISNUMBER(SEARCH("ExtremeDesert",BX233)),ISNUMBER(SEARCH("LavaField",BX233))),50,IF(ISNUMBER(SEARCH("Grasslands",BX233)),45,IF(OR(_xlfn.XLOOKUP(_xlfn.XLOOKUP(B233,'Base stats'!B:B,'Base stats'!E:E),Groups!A:A,Groups!G:G)=1,ISNUMBER(SEARCH("TropicalRainforest",BX233)),ISNUMBER(SEARCH("TropicalSwamp",BX233))),40,IF(OR(ISNUMBER(SEARCH("TemperateForest",BX233)),ISNUMBER(SEARCH("TemperateSwamp",BX233))),35,IF(OR(ISNUMBER(SEARCH("Alpine",BX233)),ISNUMBER(SEARCH("BorealForest",BX233)),ISNUMBER(SEARCH("ColdBog",BX233))),30,IF(ISNUMBER(OR(ISNUMBER(SEARCH("GlacialPlain",BX233)),SEARCH("Tundra",BX233))),25,IF(OR(ISNUMBER(SEARCH("SeaIce",BX233)),ISNUMBER(SEARCH("IceSheet",BX233)),ISNUMBER(SEARCH("TropicalSwamp",BX233))),10,35)))))))+_xlfn.XLOOKUP(B233,'Base stats'!B:B,'Base stats'!Q:Q)</f>
        <v>50</v>
      </c>
      <c r="N233" s="8">
        <f>IF(
_xlfn.XLOOKUP(
_xlfn.XLOOKUP(B233,'Base stats'!B:B,'Base stats'!E:E),
Groups!A:A,
Groups!L:L
)=1,
MIN(
MROUND(
IF(
_xlfn.XLOOKUP(B233,'Animals CE'!B:B,'Animals CE'!Z:Z)&lt;=1.5,
_xlfn.XLOOKUP(B233,'Animals CE'!B:B,'Animals CE'!Z:Z)/2+0.05,
0.8+
(_xlfn.XLOOKUP(B233,'Animals CE'!B:B,'Animals CE'!Z:Z)-1.5)
*0.02
),
0.05
),
200%
),
"No"
)</f>
        <v>0.85000000000000009</v>
      </c>
      <c r="O233" s="8">
        <f>IF(
_xlfn.XLOOKUP(
_xlfn.XLOOKUP(B233,'Base stats'!B:B,'Base stats'!E:E),
Groups!A:A,
Groups!L:L
)=1,
MIN(
MROUND(
IF(
_xlfn.XLOOKUP(B233,'Animals CE'!B:B,'Animals CE'!AA:AA)&lt;=1.5,
_xlfn.XLOOKUP(B233,'Animals CE'!B:B,'Animals CE'!AA:AA)/2+0.05,
0.8+
(_xlfn.XLOOKUP(B233,'Animals CE'!B:B,'Animals CE'!AA:AA)-1.5)
*0.02
),
0.05
),
200%
),
"No"
)</f>
        <v>0.85000000000000009</v>
      </c>
      <c r="P233" s="2">
        <f>_xlfn.XLOOKUP(B233,'Base stats'!B:B,'Base stats'!R:R)</f>
        <v>1</v>
      </c>
      <c r="Q233" s="13">
        <f>MROUND((LOG10(_xlfn.XLOOKUP(B233,'Base stats'!B:B,'Base stats'!AR:AR))*(AO233^0.5)+(_xlfn.XLOOKUP(B233,'Base stats'!B:B,'Base stats'!AR:AR)/1000)^(2/3)+_xlfn.XLOOKUP(B233,'Base stats'!B:B,'Base stats'!BA:BA)/2)+0.5,0.5)</f>
        <v>14.5</v>
      </c>
      <c r="R233" s="7">
        <f>IF(Q233="No","No",MAX(1,MROUND(_xlfn.XLOOKUP(B233,'Base stats'!B:B,'Base stats'!C:C)^0.165,0.05)))</f>
        <v>2.7</v>
      </c>
      <c r="S233" s="13" t="str">
        <f>IF(_xlfn.XLOOKUP(_xlfn.XLOOKUP(B233,'Base stats'!B:B,'Base stats'!E:E),Groups!A:A,Groups!P:P)=0,"No",MROUND((LOG10(_xlfn.XLOOKUP(B233,'Base stats'!B:B,'Base stats'!AS:AS))*(AO233^0.5)+(_xlfn.XLOOKUP(B233,'Base stats'!B:B,'Base stats'!AS:AS)/1000)^(2/3)+_xlfn.XLOOKUP(B233,'Base stats'!B:B,'Base stats'!BA:BA))+_xlfn.XLOOKUP(B233,'Base stats'!B:B,'Base stats'!AY:AY)+0.5,0.5))</f>
        <v>No</v>
      </c>
      <c r="T233" s="7" t="str">
        <f>IF(S233="No","No",MAX(_xlfn.XLOOKUP(_xlfn.XLOOKUP(B233,'Base stats'!B:B,'Base stats'!E:E),Groups!A:A,Groups!Q:Q),MROUND(_xlfn.XLOOKUP(_xlfn.XLOOKUP(B233,'Base stats'!B:B,'Base stats'!E:E),Groups!A:A,Groups!Q:Q)*_xlfn.XLOOKUP(B233,'Base stats'!B:B,'Base stats'!C:C)^0.165,0.05)))</f>
        <v>No</v>
      </c>
      <c r="U233" s="7" t="str">
        <f>IF(S233="No","No",_xlfn.XLOOKUP(_xlfn.XLOOKUP(B233,'Base stats'!B:B,'Base stats'!E:E),Groups!A:A,Groups!R:R))</f>
        <v>No</v>
      </c>
      <c r="V233" s="7" t="str">
        <f>IF(S233="No","No",_xlfn.XLOOKUP(_xlfn.XLOOKUP(B233,'Base stats'!B:B,'Base stats'!E:E),Groups!A:A,Groups!S:S))</f>
        <v>No</v>
      </c>
      <c r="W233" s="7" t="str">
        <f>IF(S233="No","No",_xlfn.XLOOKUP(_xlfn.XLOOKUP(B233,'Base stats'!B:B,'Base stats'!E:E),Groups!A:A,Groups!T:T))</f>
        <v>No</v>
      </c>
      <c r="X233" s="13" t="str">
        <f>IF(_xlfn.XLOOKUP(B233,'Base stats'!B:B,'Base stats'!W:W)="No","No",MROUND((LOG10(_xlfn.XLOOKUP(B233,'Base stats'!B:B,'Base stats'!AU:AU))*(AO233^0.5)+(_xlfn.XLOOKUP(B233,'Base stats'!B:B,'Base stats'!AU:AU)/1000)^(2/3)+_xlfn.XLOOKUP(B233,'Base stats'!B:B,'Base stats'!AZ:AZ))+0.5+IF(_xlfn.XLOOKUP(_xlfn.XLOOKUP(B233,'Base stats'!B:B,'Base stats'!E:E),Groups!A:A,Groups!U:U)&lt;&gt;3,_xlfn.XLOOKUP(B233,'Base stats'!B:B,'Base stats'!BA:BA),0),0.5))</f>
        <v>No</v>
      </c>
      <c r="Y233" s="7" t="str">
        <f>IF(X233="No","No",MAX(_xlfn.XLOOKUP(_xlfn.XLOOKUP(B233,'Base stats'!B:B,'Base stats'!E:E),Groups!A:A,Groups!V:V),MROUND(_xlfn.XLOOKUP(_xlfn.XLOOKUP(B233,'Base stats'!B:B,'Base stats'!E:E),Groups!A:A,Groups!V:V)*_xlfn.XLOOKUP(B233,'Base stats'!B:B,'Base stats'!C:C)^0.165,0.05)))</f>
        <v>No</v>
      </c>
      <c r="Z233" s="7" t="str">
        <f>IF(X233="No","No",_xlfn.XLOOKUP(_xlfn.XLOOKUP(B233,'Base stats'!B:B,'Base stats'!E:E),Groups!A:A,Groups!W:W))</f>
        <v>No</v>
      </c>
      <c r="AA233" s="7" t="str">
        <f>IF(X233="No","No",_xlfn.XLOOKUP(_xlfn.XLOOKUP(B233,'Base stats'!B:B,'Base stats'!E:E),Groups!A:A,Groups!X:X))</f>
        <v>No</v>
      </c>
      <c r="AB233" s="7" t="str">
        <f>IF(X233="No","No",_xlfn.XLOOKUP(_xlfn.XLOOKUP(B233,'Base stats'!B:B,'Base stats'!E:E),Groups!A:A,Groups!Y:Y))</f>
        <v>No</v>
      </c>
      <c r="AC233" s="7" t="str">
        <f>_xlfn.XLOOKUP(Animals!B233,'Base stats'!B:B,'Base stats'!X:X)</f>
        <v>False</v>
      </c>
      <c r="AD233" s="13">
        <f>IF(_xlfn.XLOOKUP(B233,'Base stats'!B:B,'Base stats'!AT:AT)="No","No",MROUND((LOG10(_xlfn.XLOOKUP(B233,'Base stats'!B:B,'Base stats'!AT:AT))*(AO233^0.75)+(_xlfn.XLOOKUP(B233,'Base stats'!B:B,'Base stats'!AT:AT)/1000)^(2/3)+_xlfn.XLOOKUP(B233,'Base stats'!B:B,'Base stats'!AX:AX)+_xlfn.XLOOKUP(B233,'Base stats'!B:B,'Base stats'!BA:BA))+0.5,0.5))</f>
        <v>42.5</v>
      </c>
      <c r="AE233" s="7">
        <f>IF(AD233="No","No",MAX(_xlfn.XLOOKUP(_xlfn.XLOOKUP(B233,'Base stats'!B:B,'Base stats'!E:E),Groups!A:A,Groups!Z:Z),MROUND(_xlfn.XLOOKUP(_xlfn.XLOOKUP(B233,'Base stats'!B:B,'Base stats'!E:E),Groups!A:A,Groups!Z:Z)*_xlfn.XLOOKUP(B233,'Base stats'!B:B,'Base stats'!C:C)^0.165,0.05)))</f>
        <v>3.2</v>
      </c>
      <c r="AF233" s="7" t="str">
        <f>IF(AD233="No","No",_xlfn.XLOOKUP(_xlfn.XLOOKUP(B233,'Base stats'!B:B,'Base stats'!E:E),Groups!A:A,Groups!AA:AA))</f>
        <v>Mouth</v>
      </c>
      <c r="AG233" s="7" t="str">
        <f>IF(AD233="No","No",_xlfn.XLOOKUP(_xlfn.XLOOKUP(B233,'Base stats'!B:B,'Base stats'!E:E),Groups!A:A,Groups!AB:AB))</f>
        <v>mandibles</v>
      </c>
      <c r="AH233" s="7" t="str">
        <f>IF(AD233="No","No",_xlfn.XLOOKUP(_xlfn.XLOOKUP(B233,'Base stats'!B:B,'Base stats'!E:E),Groups!A:A,Groups!AC:AC))</f>
        <v>Bite</v>
      </c>
      <c r="AI233" s="13">
        <f>IF(_xlfn.XLOOKUP(_xlfn.XLOOKUP(B233,'Base stats'!B:B,'Base stats'!E:E),Groups!A:A,Groups!AD:AD)=0,"No",MROUND((LOG10(_xlfn.XLOOKUP(B233,'Base stats'!B:B,'Base stats'!AS:AS))*(AO233^0.75)+(_xlfn.XLOOKUP(B233,'Base stats'!B:B,'Base stats'!AS:AS)/1000)^(2/3)+_xlfn.XLOOKUP(B233,'Base stats'!B:B,'Base stats'!AY:AY)+_xlfn.XLOOKUP(B233,'Base stats'!B:B,'Base stats'!BA:BA))+0.5,0.5))</f>
        <v>36</v>
      </c>
      <c r="AJ233" s="7">
        <f>IF(AI233="No","No",MAX(_xlfn.XLOOKUP(_xlfn.XLOOKUP(B233,'Base stats'!B:B,'Base stats'!E:E),Groups!A:A,Groups!AE:AE),MROUND(_xlfn.XLOOKUP(_xlfn.XLOOKUP(B233,'Base stats'!B:B,'Base stats'!E:E),Groups!A:A,Groups!AE:AE)*IF(_xlfn.XLOOKUP(_xlfn.XLOOKUP(B233,'Base stats'!B:B,'Base stats'!E:E),Groups!A:A,Groups!AJ:AJ)="Photonozoa",0.6,1)*_xlfn.XLOOKUP(B233,'Base stats'!B:B,'Base stats'!C:C)^0.165,0.05)))</f>
        <v>2.95</v>
      </c>
      <c r="AK233" s="7" t="str">
        <f>IF(AI233="No","No",_xlfn.XLOOKUP(_xlfn.XLOOKUP(B233,'Base stats'!B:B,'Base stats'!E:E),Groups!A:A,Groups!AF:AF))</f>
        <v>HeadClaw</v>
      </c>
      <c r="AL233" s="7" t="str">
        <f>IF(AI233="No","No",_xlfn.XLOOKUP(_xlfn.XLOOKUP(B233,'Base stats'!B:B,'Base stats'!E:E),Groups!A:A,Groups!AG:AG))</f>
        <v>head claw</v>
      </c>
      <c r="AM233" s="7" t="str">
        <f>IF(AI233="No","No",_xlfn.XLOOKUP(_xlfn.XLOOKUP(B233,'Base stats'!B:B,'Base stats'!E:E),Groups!A:A,Groups!AH:AH))</f>
        <v>Scratch</v>
      </c>
      <c r="AN233" s="2">
        <f t="shared" si="21"/>
        <v>30</v>
      </c>
      <c r="AO233" s="2">
        <f>MROUND(IF(AND(_xlfn.XLOOKUP(B233,'Base stats'!B:B,'Base stats'!C:C)&gt;=0.5,_xlfn.XLOOKUP(B233,'Base stats'!B:B,'Base stats'!C:C)&lt;=0.8),
IF(_xlfn.XLOOKUP(B233,'Base stats'!B:B,'Base stats'!C:C)&lt;0.1,0.05,IF(_xlfn.XLOOKUP(B233,'Base stats'!B:B,'Base stats'!C:C)&lt;=70,(_xlfn.XLOOKUP(B233,'Base stats'!B:B,'Base stats'!C:C)/70)^0.426489913056526,IF(_xlfn.XLOOKUP(B233,'Base stats'!B:B,'Base stats'!C:C)&lt;=400,(_xlfn.XLOOKUP(B233,'Base stats'!B:B,'Base stats'!C:C)/70)^0.572811455315093,IF(_xlfn.XLOOKUP(B233,'Base stats'!B:B,'Base stats'!C:C)&lt;=2000,2.71391647193063*(_xlfn.XLOOKUP(B233,'Base stats'!B:B,'Base stats'!C:C)/400)^0.252459582904293,3.74314280240376*(_xlfn.XLOOKUP(B233,'Base stats'!B:B,'Base stats'!C:C)/2000)^0.357012633876913)))),
IF(_xlfn.XLOOKUP(B233,'Base stats'!B:B,'Base stats'!C:C)&lt;0.1,0.05,IF(_xlfn.XLOOKUP(B233,'Base stats'!B:B,'Base stats'!C:C)&lt;0.4,0.1,IF(_xlfn.XLOOKUP(B233,'Base stats'!B:B,'Base stats'!C:C)&lt;=70,(_xlfn.XLOOKUP(B233,'Base stats'!B:B,'Base stats'!C:C)/70)^0.445823913056526,IF(_xlfn.XLOOKUP(B233,'Base stats'!B:B,'Base stats'!C:C)&lt;=400,(_xlfn.XLOOKUP(B233,'Base stats'!B:B,'Base stats'!C:C)/70)^0.572811455315093,IF(_xlfn.XLOOKUP(B233,'Base stats'!B:B,'Base stats'!C:C)&lt;=2000,2.71391647193063*(_xlfn.XLOOKUP(B233,'Base stats'!B:B,'Base stats'!C:C)/400)^0.252459582904293,3.74314280240376*(_xlfn.XLOOKUP(B233,'Base stats'!B:B,'Base stats'!C:C)/2000)^0.357012633876913)))))),
IF(_xlfn.XLOOKUP(B233,'Base stats'!B:B,'Base stats'!C:C)&lt;0.1,0.05,IF(_xlfn.XLOOKUP(B233,'Base stats'!B:B,'Base stats'!C:C)&lt;=100,0.05,IF(_xlfn.XLOOKUP(B233,'Base stats'!B:B,'Base stats'!C:C)&lt;=250,0.1,IF(_xlfn.XLOOKUP(B233,'Base stats'!B:B,'Base stats'!C:C)&lt;=4000,0.25,0.5)))))</f>
        <v>2.75</v>
      </c>
      <c r="AP233" s="8">
        <f>MROUND(AO233*_xlfn.XLOOKUP(_xlfn.XLOOKUP(B233,'Base stats'!B:B,'Base stats'!E:E),Groups!A:A,Groups!AI:AI)*_xlfn.XLOOKUP(B233,'Base stats'!B:B,'Base stats'!Z:Z),0.05)</f>
        <v>2.75</v>
      </c>
      <c r="AQ233" s="8">
        <f>MAX(0.01,MROUND(IF(CC233="True",0.196*(AO233*100*1000)^0.889,IF(_xlfn.XLOOKUP(_xlfn.XLOOKUP(B233,'Base stats'!B:B,'Base stats'!E:E),Groups!A:A,Groups!AJ:AJ)="Bird",10.5*(AO233*100*1000)^0.681,4.82*(AO233*100*1000)^0.734))/(4.82*(1*100*1000)^0.734)/IF(AO233&lt;3.5,2,IF(AO233=3.5,1.5,1.25))*(1+0.132282374779864/(AO233^0.994035016789033+0.00905238001496948)),0.05))</f>
        <v>0.30000000000000004</v>
      </c>
      <c r="AR233" s="9">
        <f>IFERROR(MROUND(_xlfn.XLOOKUP(B233,'Base stats'!B:B,'Base stats'!H:H)/IF(_xlfn.XLOOKUP(B233,'Base stats'!B:B,'Base stats'!I:I)&lt;&gt;1,(122.5/70),1.2),IF(_xlfn.XLOOKUP(B233,'Base stats'!B:B,'Base stats'!H:H)&gt;=30,5,IF(_xlfn.XLOOKUP(B233,'Base stats'!B:B,'Base stats'!H:H)&gt;=15,3,IF(_xlfn.XLOOKUP(B233,'Base stats'!B:B,'Base stats'!H:H)&gt;=10,2,1)))),"Immortal")</f>
        <v>12</v>
      </c>
      <c r="AS233" s="35" t="str">
        <f>IFERROR(IF(OR(_xlfn.XLOOKUP(B233,'Base stats'!B:B,'Base stats'!F:F)="Atypical reproduction",_xlfn.XLOOKUP(B233,'Base stats'!B:B,'Base stats'!F:F)="Lay eggs"),"Lay eggs",MIN(20,MAX(5.5,ROUND(((_xlfn.XLOOKUP(B233,'Base stats'!B:B,'Base stats'!F:F)-25)*(14.5/615) + 5.5)*2,0)/2))),"Unknown")</f>
        <v>Lay eggs</v>
      </c>
      <c r="AT233" s="8">
        <f>IF(_xlfn.XLOOKUP(B233,'Base stats'!B:B,'Base stats'!G:G)="Atypical reproduction","No",IFERROR(MAX(IF(_xlfn.XLOOKUP(B233,'Base stats'!B:B,'Base stats'!G:G)&lt;0.5,0.2,0.3),MROUND(_xlfn.XLOOKUP(B233,'Base stats'!B:B,'Base stats'!G:G)/(365/60),0.2)),"Unknown"))</f>
        <v>0.4</v>
      </c>
      <c r="AU233" s="8">
        <f t="shared" si="22"/>
        <v>0.2</v>
      </c>
      <c r="AV233" s="8" t="str">
        <f>IFERROR(IFERROR(MROUND(_xlfn.XLOOKUP(B233,'Base stats'!B:B,'Base stats'!J:J),0.1),"Lay eggs"),"Cannot breed")</f>
        <v>Lay eggs</v>
      </c>
      <c r="AW233" s="2" t="str">
        <f t="shared" si="23"/>
        <v>false</v>
      </c>
      <c r="AX233" s="2" t="str">
        <f>IF(_xlfn.XLOOKUP(_xlfn.XLOOKUP(Animals!B233,'Base stats'!B:B,'Base stats'!E:E),Groups!A:A,Groups!AK:AK)=1,"true","false")</f>
        <v>false</v>
      </c>
      <c r="AY233" s="25" t="str">
        <f>IF(_xlfn.XLOOKUP(B233,'Base stats'!B:B,'Base stats'!Y:Y)="Liquor","Liquor, CarnivoreAnimalStrict",IF(AND(_xlfn.XLOOKUP(B233,'Base stats'!B:B,'Base stats'!Y:Y)="Carnivore",_xlfn.XLOOKUP(_xlfn.XLOOKUP(B233,'Base stats'!B:B,'Base stats'!E:E),Groups!A:A,Groups!AJ:AJ)="Photonozoa"),"CarnivoreAnimalStrict, OvivoreAnimal",IF(_xlfn.XLOOKUP(B233,'Base stats'!B:B,'Base stats'!Y:Y)="Carnivore","CarnivoreAnimal, OvivoreAnimal",IF(_xlfn.XLOOKUP(B233,'Base stats'!B:B,'Base stats'!Y:Y)="Dendrovore","VegetarianRoughAnimal, DendrovoreAnimal",IF(_xlfn.XLOOKUP(B233,'Base stats'!B:B,'Base stats'!Y:Y)="Herbivore","VegetarianRoughAnimal",IF(_xlfn.XLOOKUP(B233,'Base stats'!B:B,'Base stats'!Y:Y)="OmnivoreRough","OmnivoreRoughAnimal, OvivoreAnimal","OmnivoreAnimal, OvivoreAnimal"))))))</f>
        <v>OmnivoreAnimal, OvivoreAnimal</v>
      </c>
      <c r="AZ233" s="2" t="str">
        <f>IF(_xlfn.XLOOKUP(_xlfn.XLOOKUP(B233,'Base stats'!B:B,'Base stats'!E:E),Groups!A:A,Groups!D:D)=1,MROUND((1-J233)*5+1,2)*IF(J233&lt;=0.4,2,1),"No")</f>
        <v>No</v>
      </c>
      <c r="BA233" s="2" t="str">
        <f>IF(AND(_xlfn.XLOOKUP(B233,'Base stats'!B:B,'Base stats'!AH:AH)="&lt;li&gt;Seal&lt;/li&gt;",G233="Odyssey"),"&lt;li&gt;AEXP_Seal&lt;/li&gt;",_xlfn.XLOOKUP(B233,'Base stats'!B:B,'Base stats'!AH:AH))</f>
        <v>&lt;li&gt;Megaspider&lt;/li&gt;</v>
      </c>
      <c r="BB233" s="2" t="str">
        <f>_xlfn.XLOOKUP(B233,'Base stats'!B:B,'Base stats'!AG:AG)</f>
        <v>Leather_BlackChitin</v>
      </c>
      <c r="BC233" s="23" t="str">
        <f>_xlfn.XLOOKUP(_xlfn.XLOOKUP(B233,'Base stats'!B:B,'Base stats'!E:E),Groups!A:A,Groups!AL:AL)</f>
        <v>BeetleLikeWithClaw</v>
      </c>
      <c r="BD233" s="23">
        <f>MIN(1,MROUND(IF(AND(AO233&lt;0.5,_xlfn.XLOOKUP(B233,'Base stats'!B:B,'Base stats'!AA:AA)=0),0,IF(OR(_xlfn.XLOOKUP(Animals!B233,'Base stats'!B:B,'Base stats'!O:O)=2,_xlfn.XLOOKUP(_xlfn.XLOOKUP(B233,'Base stats'!B:B,'Base stats'!E:E),Groups!A:A,Groups!AN:AN)=0),0,_xlfn.XLOOKUP(_xlfn.XLOOKUP(B233,'Base stats'!B:B,'Base stats'!E:E),Groups!A:A,Groups!AN:AN)/IF(_xlfn.XLOOKUP(Animals!B233,'Base stats'!B:B,'Base stats'!O:O)=1,2,1)))+_xlfn.XLOOKUP(B233,'Base stats'!B:B,'Base stats'!AC:AC),0.005))</f>
        <v>0.1</v>
      </c>
      <c r="BE233" s="23">
        <f>MIN(1,MROUND(IF(AND(AO233&lt;0.5,_xlfn.XLOOKUP(B233,'Base stats'!B:B,'Base stats'!AA:AA)=0),0,IF(_xlfn.XLOOKUP(_xlfn.XLOOKUP(B233,'Base stats'!B:B,'Base stats'!E:E),Groups!A:A,Groups!AO:AO)=0,0,_xlfn.XLOOKUP(_xlfn.XLOOKUP(B233,'Base stats'!B:B,'Base stats'!E:E),Groups!A:A,Groups!AO:AO)/IF(_xlfn.XLOOKUP(Animals!B233,'Base stats'!B:B,'Base stats'!O:O)=2,3,1)))+_xlfn.XLOOKUP(B233,'Base stats'!B:B,'Base stats'!AD:AD),0.005))</f>
        <v>1</v>
      </c>
      <c r="BF233" s="2" t="str">
        <f>IF(J233&gt;0.3,"No",_xlfn.XLOOKUP(_xlfn.XLOOKUP(Animals!B233,'Base stats'!B:B,'Base stats'!E:E),Groups!A:A,Groups!AP:AP))</f>
        <v>No</v>
      </c>
      <c r="BG233" s="2" t="str">
        <f>IF(AND(J233&lt;=0.65,_xlfn.XLOOKUP(_xlfn.XLOOKUP(Animals!B233,'Base stats'!B:B,'Base stats'!E:E),Groups!A:A,Groups!AP:AP)&lt;&gt;"No",_xlfn.XLOOKUP(_xlfn.XLOOKUP(B233,'Base stats'!B:B,'Base stats'!E:E),Groups!A:A,Groups!D:D)=0),MROUND((80/3)*IF(_xlfn.XLOOKUP(B233,'Base stats'!B:B,'Base stats'!O:O)=2,0.2,AO233) + 24*(1-IF(BF233="No",0,BF233)) + 16/3, 12),"No")</f>
        <v>No</v>
      </c>
      <c r="BH233" s="2">
        <f>IF(AND(_xlfn.XLOOKUP(_xlfn.XLOOKUP(B233,'Base stats'!B:B,'Base stats'!E:E),Groups!A:A,Groups!AQ:AQ)=1,AO233&lt;=0.35),8,12)</f>
        <v>12</v>
      </c>
      <c r="BI233" s="2" t="str">
        <f>IF(_xlfn.XLOOKUP(_xlfn.XLOOKUP(B233,'Base stats'!B:B,'Base stats'!E:E),Groups!A:A,Groups!D:D)=0,_xlfn.XLOOKUP(_xlfn.XLOOKUP(B233,'Base stats'!B:B,'Base stats'!E:E),Groups!A:A,Groups!AR:AR),"None")</f>
        <v>Advanced</v>
      </c>
      <c r="BJ233" s="2" t="str">
        <f>IF(AND(_xlfn.XLOOKUP(_xlfn.XLOOKUP(B233,'Base stats'!B:B,'Base stats'!E:E),Groups!A:A,Groups!AS:AS)=1,OR(_xlfn.XLOOKUP(B233,'Base stats'!B:B,'Base stats'!Y:Y)="Carnivore",_xlfn.XLOOKUP(B233,'Base stats'!B:B,'Base stats'!Y:Y)="Omnivore")),"true","false")</f>
        <v>true</v>
      </c>
      <c r="BK233" s="2">
        <f>IF(BJ233="true",MROUND(IF(AND(AO233&gt;0.5,OR(_xlfn.XLOOKUP(_xlfn.XLOOKUP(B233,'Base stats'!B:B,'Base stats'!E:E),Groups!A:A,Groups!AJ:AJ)="Photonozoa",_xlfn.XLOOKUP(_xlfn.XLOOKUP(B233,'Base stats'!B:B,'Base stats'!E:E),Groups!A:A,Groups!AJ:AJ)="Mammal")),Animals!AO233*1.75*IF(AW233="true",1.5,1),IF(AO233&lt;0.5,Animals!AO233*0.5,Animals!AO233)),IF(AO233&gt;2,0.5,IF(AO233&gt;0.5,0.25,0.1))),"No")</f>
        <v>3</v>
      </c>
      <c r="BL233" s="2">
        <f t="shared" si="24"/>
        <v>1</v>
      </c>
      <c r="BM233" s="25" t="str">
        <f>IF(_xlfn.XLOOKUP(B233,'Base stats'!B:B,'Base stats'!AN:AN)="Standard","No",MROUND((_xlfn.XLOOKUP(B233,'Base stats'!B:B,'Base stats'!AN:AN)/3.6)/I233,0.1))</f>
        <v>No</v>
      </c>
      <c r="BN233" s="25" t="str">
        <f t="shared" si="25"/>
        <v>false</v>
      </c>
      <c r="BO233" s="25" t="str">
        <f>IF(AND(OR(_xlfn.XLOOKUP(B233,'Base stats'!B:B,'Base stats'!Y:Y)="Carnivore",_xlfn.XLOOKUP(B233,'Base stats'!B:B,'Base stats'!Y:Y)="Omnivore",_xlfn.XLOOKUP(B233,'Base stats'!B:B,'Base stats'!Y:Y)="OmnivoreRough"),_xlfn.XLOOKUP(_xlfn.XLOOKUP(B233,'Base stats'!B:B,'Base stats'!E:E),Groups!A:A,Groups!AT:AT)=1),"true","false")</f>
        <v>false</v>
      </c>
      <c r="BP233" s="25" t="str" cm="1">
        <f t="array" ref="BP233">IF(
  _xlfn.TEXTJOIN(", ",TRUE,
    IF(AND(BJ233="true",AO233&gt;0.5,BI233&lt;&gt;"None"),"AttackTarget",""),
    IF(AND(_xlfn.XLOOKUP(_xlfn.XLOOKUP(B233,'Base stats'!B:B,'Base stats'!E:E),Groups!A:A,Groups!AJ:AJ="Mammal"),OR(_xlfn.XLOOKUP(B233,'Base stats'!B:B,'Base stats'!Y:Y)="Omnivore",_xlfn.XLOOKUP(B233,'Base stats'!B:B,'Base stats'!Y:Y)="OmnivoreRough")),"Forage",""),
    IF(BG233&lt;=36,"Comfort",""),
    IF(_xlfn.XLOOKUP(B233,'Base stats'!B:B,'Base stats'!AE:AE)&lt;&gt;"No",_xlfn.XLOOKUP(B233,'Base stats'!B:B,'Base stats'!AE:AE),"")
  ) = "",
  "No",
  _xlfn.TEXTJOIN(", ",TRUE,
    IF(AND(BJ233="true",AO233&gt;0.5,BI233&lt;&gt;"None"),"AttackTarget",""),
    IF(AND(_xlfn.XLOOKUP(_xlfn.XLOOKUP(B233,'Base stats'!B:B,'Base stats'!E:E),Groups!A:A,Groups!AJ:AJ="Mammal"),OR(_xlfn.XLOOKUP(B233,'Base stats'!B:B,'Base stats'!Y:Y)="Omnivore",_xlfn.XLOOKUP(B233,'Base stats'!B:B,'Base stats'!Y:Y)="OmnivoreRough")),"Forage",""),
    IF(BG233&lt;=36,"Comfort",""),
    IF(_xlfn.XLOOKUP(B233,'Base stats'!B:B,'Base stats'!AE:AE)&lt;&gt;"No",_xlfn.XLOOKUP(B233,'Base stats'!B:B,'Base stats'!AE:AE),"")
  )
)</f>
        <v>AttackTarget</v>
      </c>
      <c r="BQ233" s="25" t="str">
        <f>IF(
   AND(
      'Base stats'!AN233="Standard",_xlfn.XLOOKUP(_xlfn.XLOOKUP(B233,'Base stats'!B:B,'Base stats'!E:E),Groups!A:A,Groups!AU:AU)=0,
      OR(
      BO233="True"
      )
   ),
   10,
   IF(
       OR(BM233&lt;&gt;"No",_xlfn.XLOOKUP(_xlfn.XLOOKUP(B233,'Base stats'!B:B,'Base stats'!E:E),Groups!A:A,Groups!AU:AU)=1),
      1,
      "No"
   )
)</f>
        <v>No</v>
      </c>
      <c r="BR233" s="9">
        <f>MROUND((1 + ((0.2*IF(OR(Q233="No",R233="No",R233=0),0,Q233/R233)
+IF(OR(V233="No",S233="No",T233="No"),0,S233/T233*(LEN(V233)-LEN(SUBSTITUTE(V233,",",""))+1))
+IF(OR(X233="No",Y233="No"),0,X233/Y233)
+IF(OR(AD233="No",AE233="No"),0,AD233/AE233)
+IF(OR(AL233="No",AI233="No",AJ233="No"),0,AI233/AJ233*(LEN(AL233)-LEN(SUBSTITUTE(AL233,",",""))+1))
)/(0.2*IF(OR(Q233="No",R233="No",R233=0),0,1)
+IF(OR(V233="No",S233="No",T233="No"),0,LEN(V233)-LEN(SUBSTITUTE(V233,",",""))+1)
+IF(OR(X233="No",Y233="No"),0,1)
+IF(OR(AD233="No",AE233="No"),0,1)
+IF(OR(AL233="No",AI233="No",AJ233="No"),0,LEN(AL233)-LEN(SUBSTITUTE(AL233,",",""))+1))*62%)* 2)*(1 + (AP233 / (IF(_xlfn.XLOOKUP(_xlfn.XLOOKUP(B233,'Base stats'!B:B,'Base stats'!E:E),Groups!A:A,Groups!AJ:AJ)="Photonozoa",0.3,1)) + _xlfn.XLOOKUP(B233,'Base stats'!B:B,'Base stats'!AV:AV) * 1.8) * 2) * 2.5 + 10 + I233 * 2,5)+IF(_xlfn.XLOOKUP(B233,'Base stats'!B:B,'Base stats'!AK:AK)=1,50,0)</f>
        <v>395</v>
      </c>
      <c r="BS233" s="8">
        <f t="shared" si="26"/>
        <v>0.8</v>
      </c>
      <c r="BT233" s="8" t="str">
        <f>_xlfn.XLOOKUP(B233,'Base stats'!B:B,'Base stats'!AF:AF)</f>
        <v>No</v>
      </c>
      <c r="BU233" s="2" t="str">
        <f>IF(AND(J233&lt;=0.95,OR(_xlfn.XLOOKUP(B233,'Base stats'!B:B,'Base stats'!AK:AK)=1,_xlfn.XLOOKUP(B233,'Base stats'!B:B,'Base stats'!Y:Y)="Carnivore",_xlfn.XLOOKUP(B233,'Base stats'!B:B,'Base stats'!Y:Y)="Omnivore",BE233&gt;0.1)),"true","false")</f>
        <v>true</v>
      </c>
      <c r="BV233" s="2" t="str">
        <f>IF(_xlfn.XLOOKUP(B233,'Base stats'!B:B,'Base stats'!AI:AI)=1,"true","false")</f>
        <v>false</v>
      </c>
      <c r="BW233" s="25" t="str">
        <f>IF(E233="BaseInsect","AnimalInsect",
IF(J233&gt;0.95,"AnimalExotic",
_xlfn.TEXTJOIN(", ",TRUE,
IF(OR(_xlfn.XLOOKUP(B233,'Base stats'!B:B,'Base stats'!AM:AM)=1,AND(_xlfn.XLOOKUP(B233,'Base stats'!B:B,'Base stats'!O:O)=0,_xlfn.XLOOKUP(_xlfn.XLOOKUP(B233,'Base stats'!B:B,'Base stats'!E:E),Groups!A:A,Groups!B:B)&gt;0)),"AnimalUncommon","AnimalCommon"),
IF(AND(_xlfn.XLOOKUP(B233,'Base stats'!B:B,'Base stats'!O:O)=2,_xlfn.XLOOKUP(_xlfn.XLOOKUP(B233,'Base stats'!B:B,'Base stats'!E:E),Groups!A:A,Groups!D:D)=0),"AnimalPet",IF(AND(_xlfn.XLOOKUP(B233,'Base stats'!B:B,'Base stats'!O:O)&lt;&gt;0,_xlfn.XLOOKUP(_xlfn.XLOOKUP(B233,'Base stats'!B:B,'Base stats'!E:E),Groups!A:A,Groups!D:D)&lt;&gt;0),"AnimalFarm","")),
IF(OR(_xlfn.XLOOKUP(B233,'Base stats'!B:B,'Base stats'!AK:AK)=1,AND(BI233&lt;&gt;"None",BR233&gt;=60),ISNUMBER(SEARCH("Attack target",BP233))),"AnimalFighter","")
)))</f>
        <v>AnimalUncommon, AnimalFighter</v>
      </c>
      <c r="BX233" s="25" t="str">
        <f>IF(G233="None",TRIM(
SUBSTITUTE(
IF(COUNTIF(Biomes!B$2:B$259,"="&amp;$C233)&gt;0,Biomes!B$1&amp;", ","")&amp;
IF(COUNTIF(Biomes!C$2:C$259,"="&amp;$C233)&gt;0,Biomes!C$1&amp;", ","")&amp;
IF(COUNTIF(Biomes!D$2:D$259,"="&amp;$C233)&gt;0,Biomes!D$1&amp;", ","")&amp;
IF(COUNTIF(Biomes!F$2:F$259,"="&amp;$C233)&gt;0,Biomes!F$1&amp;", ","")&amp;
IF(COUNTIF(Biomes!G$2:G$259,"="&amp;$C233)&gt;0,Biomes!G$1&amp;", ","")&amp;
IF(COUNTIF(Biomes!H$2:H$259,"="&amp;$C233)&gt;0,Biomes!H$1&amp;", ","")&amp;
IF(COUNTIF(Biomes!I$2:I$259,"="&amp;$C233)&gt;0,Biomes!I$1&amp;", ","")&amp;
IF(COUNTIF(Biomes!J$2:J$259,"="&amp;$C233)&gt;0,Biomes!J$1&amp;", ","")&amp;
IF(COUNTIF(Biomes!M$2:M$259,"="&amp;$C233)&gt;0,Biomes!M$1&amp;", ","")&amp;
IF(COUNTIF(Biomes!N$2:N$259,"="&amp;$C233)&gt;0,Biomes!N$1&amp;", ","")&amp;
IF(COUNTIF(Biomes!O$2:O$259,"="&amp;$C233)&gt;0,Biomes!O$1&amp;", ","")&amp;
IF(COUNTIF(Biomes!P$2:P$259,"="&amp;$C233)&gt;0,Biomes!P$1&amp;", ","")&amp;
IF(COUNTIF(Biomes!K$2:K$259,"="&amp;$C233)&gt;0,Biomes!K$1&amp;", ","")&amp;
IF(COUNTIF(Biomes!Q$3:Q$259,"="&amp;$C233)&gt;0,Biomes!Q$1&amp;", ","")&amp;
IF(COUNTIF(Biomes!L$2:L$259,"="&amp;$C233)&gt;0,Biomes!L$1&amp;", ","")&amp;
IF(COUNTIF(Biomes!E$2:E$259,"="&amp;$C233)&gt;0,Biomes!E$1&amp;", ","")&amp;IF(COUNTIF(Biomes!S$2:S$259,"="&amp;$C233)&gt;0,Biomes!S$1&amp;", ","")&amp;
IF(COUNTIF(Biomes!R$2:R$259,"="&amp;$C233)&gt;0,Biomes!R$1&amp;", ",""),", ","")
),_xlfn.XLOOKUP(B233,B:B,BX:BX))</f>
        <v/>
      </c>
      <c r="BY233" s="25" t="str">
        <f>IF(_xlfn.XLOOKUP(B233,'Base stats'!B:B,'Base stats'!AJ:AJ)=1,"true","false")</f>
        <v>false</v>
      </c>
      <c r="BZ233" s="25">
        <f>IF(_xlfn.XLOOKUP(B233,'Base stats'!B:B,'Base stats'!N:N)=1,"No",MAX(0.001,MIN(MROUND(IF(AND(BJ233="True",CC233="False"),POWER(10,3.47*LOG10(_xlfn.XLOOKUP(B233,'Base stats'!B:B,'Base stats'!C:C)*1000)^-0.96),POWER(10,4.15*LOG10(_xlfn.XLOOKUP(B233,'Base stats'!B:B,'Base stats'!C:C)*1000)^-0.73))*IF(_xlfn.XLOOKUP(B233,'Base stats'!B:B,'Base stats'!AK:AK)=1,0.5,1)*IF(_xlfn.XLOOKUP(B233,'Base stats'!B:B,'Base stats'!AM:AM)=1,0.1,1)/100,IF(_xlfn.XLOOKUP(B233,'Base stats'!B:B,'Base stats'!AM:AM)=1,0.001,0.025)),0.5)))</f>
        <v>1.4999999999999999E-2</v>
      </c>
      <c r="CA233" s="25">
        <f>IF(P233="Standard","No",MAX(0.001,MIN(MROUND(IF(AND(BJ233="True",CC233="False"),POWER(10,3.47*LOG10(_xlfn.XLOOKUP(B233,'Base stats'!B:B,'Base stats'!C:C)*1000)^-0.96),POWER(10,4.15*LOG10(_xlfn.XLOOKUP(B233,'Base stats'!B:B,'Base stats'!C:C)*1000)^-0.73))*IF(_xlfn.XLOOKUP(B233,'Base stats'!B:B,'Base stats'!AM:AM)=1,0.1,1)*_xlfn.XLOOKUP(B233,'Base stats'!B:B,'Base stats'!R:R)/100,IF(_xlfn.XLOOKUP(B233,'Base stats'!B:B,'Base stats'!AM:AM)=1,0.001,0.025)),0.5)))</f>
        <v>1.4999999999999999E-2</v>
      </c>
      <c r="CB233" s="25" t="str">
        <f>IF(_xlfn.XLOOKUP(_xlfn.XLOOKUP(B233,'Base stats'!B:B,'Base stats'!E:E),Groups!A:A,Groups!AJ:AJ)="Mammal","True","False")</f>
        <v>False</v>
      </c>
      <c r="CC233" s="25" t="str">
        <f>IF(OR(_xlfn.XLOOKUP(_xlfn.XLOOKUP(B233,'Base stats'!B:B,'Base stats'!E:E),Groups!A:A,Groups!AJ:AJ)="Reptile",_xlfn.XLOOKUP(_xlfn.XLOOKUP(B233,'Base stats'!B:B,'Base stats'!E:E),Groups!A:A,Groups!AJ:AJ)="Amphibian",_xlfn.XLOOKUP(_xlfn.XLOOKUP(B233,'Base stats'!B:B,'Base stats'!E:E),Groups!A:A,Groups!AJ:AJ)="Invertebrate"),"True","False")</f>
        <v>True</v>
      </c>
      <c r="CD233" s="25" t="str">
        <f t="shared" si="27"/>
        <v>False</v>
      </c>
      <c r="CE233" s="25" t="str">
        <f>IF(_xlfn.XLOOKUP(_xlfn.XLOOKUP(B233,'Base stats'!B:B,'Base stats'!E:E),Groups!A:A,Groups!AX:AX),"True","False")</f>
        <v>False</v>
      </c>
      <c r="CF233" s="25" t="str">
        <f>IF(_xlfn.XLOOKUP(_xlfn.XLOOKUP(B233,'Base stats'!B:B,'Base stats'!E:E),Groups!A:A,Groups!AY:AY),"True","False")</f>
        <v>False</v>
      </c>
      <c r="CG233" s="25" t="str">
        <f>IF(_xlfn.XLOOKUP(_xlfn.XLOOKUP(B233,'Base stats'!B:B,'Base stats'!E:E),Groups!A:A,Groups!AW:AW),"True","False")</f>
        <v>False</v>
      </c>
      <c r="CH233" s="25" t="str">
        <f>IF(
OR(
_xlfn.XLOOKUP(_xlfn.XLOOKUP(B233,'Base stats'!B:B,'Base stats'!E:E),Groups!A:A,Groups!AZ:AZ)=0,
AND(
_xlfn.XLOOKUP(B233,'Base stats'!B:B,'Base stats'!Y:Y)&lt;&gt;"Carnivore",
_xlfn.XLOOKUP(B233,'Base stats'!B:B,'Base stats'!Y:Y)&lt;&gt;"Omnivore",
_xlfn.XLOOKUP(B233,'Base stats'!B:B,'Base stats'!Y:Y)&lt;&gt;"OmnivoreRough"
)
),
"No",
IF(
_xlfn.XLOOKUP(_xlfn.XLOOKUP(B233,'Base stats'!B:B,'Base stats'!E:E),Groups!A:A,Groups!AZ:AZ)=1,
"Flesh",
IF(
_xlfn.XLOOKUP(_xlfn.XLOOKUP(B233,'Base stats'!B:B,'Base stats'!E:E),Groups!A:A,Groups!AZ:AZ)=2,
"Bone",
""
)
)
)</f>
        <v>Bone</v>
      </c>
      <c r="CI233" s="25" t="str">
        <f>IF(_xlfn.XLOOKUP(_xlfn.XLOOKUP(B233,'Base stats'!B:B,'Base stats'!E:E),Groups!A:A,Groups!BB:BB),"True","False")</f>
        <v>False</v>
      </c>
      <c r="CJ233" s="25" t="str">
        <f>IF(_xlfn.XLOOKUP(_xlfn.XLOOKUP(B233,'Base stats'!B:B,'Base stats'!E:E),Groups!A:A,Groups!BA:BA),"True","False")</f>
        <v>False</v>
      </c>
    </row>
    <row r="234" spans="1:88" ht="16.5" thickTop="1" thickBot="1" x14ac:dyDescent="0.3">
      <c r="A234" s="26" t="s">
        <v>1374</v>
      </c>
      <c r="B234" s="6" t="str">
        <f>_xlfn.XLOOKUP(A234,'Base stats'!A:A,'Base stats'!B:B)</f>
        <v>Araneodraco glacialis</v>
      </c>
      <c r="C234" s="28" t="s">
        <v>1375</v>
      </c>
      <c r="D234" s="28" t="s">
        <v>1341</v>
      </c>
      <c r="E234" s="28" t="s">
        <v>1747</v>
      </c>
      <c r="F234" s="28" t="s">
        <v>673</v>
      </c>
      <c r="G234" s="28" t="s">
        <v>673</v>
      </c>
      <c r="H234" s="2">
        <f>MROUND((
  (IF(AND(_xlfn.XLOOKUP(B234,'Base stats'!B:B,'Base stats'!AL:AL)=0,BI234="None",_xlfn.XLOOKUP(_xlfn.XLOOKUP(B234,'Base stats'!B:B,'Base stats'!E:E),Groups!A:A,Groups!B:B)=0), (18 + BR234 * 2.7) * 0.5,
    IF(AND(_xlfn.XLOOKUP(B234,'Base stats'!B:B,'Base stats'!AL:AL)=0,OR(AO234&lt;0.55,AND(BI234="Intermediate",_xlfn.XLOOKUP(_xlfn.XLOOKUP(B234,'Base stats'!B:B,'Base stats'!E:E),Groups!A:A,Groups!B:B)&lt;2))), (18 + BR234 * 2.7),
      IF(OR(BI234="Advanced",_xlfn.XLOOKUP(B234,'Base stats'!B:B,'Base stats'!AL:AL)=1,_xlfn.XLOOKUP(_xlfn.XLOOKUP(B234,'Base stats'!B:B,'Base stats'!E:E),Groups!A:A,Groups!B:B)=2), (18 + BR234 * 2.7) + 250, (18 + BR234 * 2.7))
    )
  ))
  + AO234 * 80
  + IF(COUNTIF(EggMilk!K$2:K$998, A234) &gt; 0, 125, 0)
  + IF(COUNTIF(EggMilk!P$2:P$998, A234) &gt; 0, 90, 0)
  + IF(COUNTIF(EggMilk!A$2:A$998, A234) &gt; 0, 90, 0)
)
* (0.8 + 0.4 * J234)
* 0.75,25)</f>
        <v>750</v>
      </c>
      <c r="I234" s="2">
        <f>MROUND(ROUNDDOWN(_xlfn.XLOOKUP(B234,'Base stats'!B:B,'Base stats'!L:L)/3.6/(23.3/11),1),0.5)</f>
        <v>4</v>
      </c>
      <c r="J234" s="2">
        <f>IF(OR(_xlfn.XLOOKUP(B234,'Base stats'!B:B,'Base stats'!AB:AB)=1,_xlfn.XLOOKUP(_xlfn.XLOOKUP(B234,'Base stats'!B:B,'Base stats'!E:E),Groups!A:A,Groups!C:C)="Untamable"),1,IF(_xlfn.XLOOKUP(B234,'Base stats'!B:B,'Base stats'!AL:AL)=1,0.99,MIN(MROUND((1-0.6282*EXP(-0.459*AO234))*_xlfn.XLOOKUP(_xlfn.XLOOKUP(B234,'Base stats'!B:B,'Base stats'!E:E),Groups!A:A,Groups!C:C)*IF(_xlfn.XLOOKUP(B234,'Base stats'!B:B,'Base stats'!O:O)=1,0.5,IF(_xlfn.XLOOKUP(B234,'Base stats'!B:B,'Base stats'!O:O)=2,0,1)),0.05),IF(AO234&gt;3.5,0.985,0.95))))</f>
        <v>0.85000000000000009</v>
      </c>
      <c r="K234" s="2">
        <f>ROUNDUP(AO234*_xlfn.XLOOKUP(_xlfn.XLOOKUP(B234,'Base stats'!B:B,'Base stats'!E:E),Groups!A:A,Groups!E:E),0)</f>
        <v>3</v>
      </c>
      <c r="L234" s="2">
        <f>IF(OR(_xlfn.XLOOKUP(_xlfn.XLOOKUP(B234,'Base stats'!B:B,'Base stats'!E:E),Groups!A:A,Groups!F:F)=2,ISNUMBER(SEARCH("SeaIce",BX234)),ISNUMBER(SEARCH("IceSheet",BX234))),-50,IF(OR(ISNUMBER(SEARCH("GlacialPlain",BX234)),ISNUMBER(SEARCH("Tundra",BX234))),-40,IF(OR(ISNUMBER(SEARCH("Alpine",BX234)),ISNUMBER(SEARCH("BorealForest",BX234)),ISNUMBER(SEARCH("ColdBog",BX234))),-30,IF(OR(ISNUMBER(SEARCH("TemperateForest",BX234)),ISNUMBER(SEARCH("TemperateSwamp",BX234))),-20,IF(_xlfn.XLOOKUP(_xlfn.XLOOKUP(B234,'Base stats'!B:B,'Base stats'!E:E),Groups!A:A,Groups!F:F)=1,-15,IF(OR(ISNUMBER(SEARCH("Desert",BX234)),ISNUMBER(SEARCH("ExtremeDesert",BX234))),-10,IF(OR(ISNUMBER(SEARCH("Grasslands",BX234)),ISNUMBER(SEARCH("TropicalRainforest",BX234)),ISNUMBER(SEARCH("TropicalSwamp",BX234))),10,0)))))))-IF(CC234="False",MIN(IFERROR(MAX(MROUND(LOG10(_xlfn.XLOOKUP(B234,'Base stats'!B:B,'Base stats'!C:C)^(2/3))*10,5),5),5),30))-_xlfn.XLOOKUP(B234,'Base stats'!B:B,'Base stats'!P:P)+IF(CC234="True",5,0)</f>
        <v>-45</v>
      </c>
      <c r="M234" s="2">
        <f>IF(OR(_xlfn.XLOOKUP(_xlfn.XLOOKUP(B234,'Base stats'!B:B,'Base stats'!E:E),Groups!A:A,Groups!G:G)=2,ISNUMBER(SEARCH("Desert",BX234)),ISNUMBER(SEARCH("ExtremeDesert",BX234)),ISNUMBER(SEARCH("LavaField",BX234))),50,IF(ISNUMBER(SEARCH("Grasslands",BX234)),45,IF(OR(_xlfn.XLOOKUP(_xlfn.XLOOKUP(B234,'Base stats'!B:B,'Base stats'!E:E),Groups!A:A,Groups!G:G)=1,ISNUMBER(SEARCH("TropicalRainforest",BX234)),ISNUMBER(SEARCH("TropicalSwamp",BX234))),40,IF(OR(ISNUMBER(SEARCH("TemperateForest",BX234)),ISNUMBER(SEARCH("TemperateSwamp",BX234))),35,IF(OR(ISNUMBER(SEARCH("Alpine",BX234)),ISNUMBER(SEARCH("BorealForest",BX234)),ISNUMBER(SEARCH("ColdBog",BX234))),30,IF(ISNUMBER(OR(ISNUMBER(SEARCH("GlacialPlain",BX234)),SEARCH("Tundra",BX234))),25,IF(OR(ISNUMBER(SEARCH("SeaIce",BX234)),ISNUMBER(SEARCH("IceSheet",BX234)),ISNUMBER(SEARCH("TropicalSwamp",BX234))),10,35)))))))+_xlfn.XLOOKUP(B234,'Base stats'!B:B,'Base stats'!Q:Q)</f>
        <v>30</v>
      </c>
      <c r="N234" s="8">
        <f>IF(
_xlfn.XLOOKUP(
_xlfn.XLOOKUP(B234,'Base stats'!B:B,'Base stats'!E:E),
Groups!A:A,
Groups!L:L
)=1,
MIN(
MROUND(
IF(
_xlfn.XLOOKUP(B234,'Animals CE'!B:B,'Animals CE'!Z:Z)&lt;=1.5,
_xlfn.XLOOKUP(B234,'Animals CE'!B:B,'Animals CE'!Z:Z)/2+0.05,
0.8+
(_xlfn.XLOOKUP(B234,'Animals CE'!B:B,'Animals CE'!Z:Z)-1.5)
*0.02
),
0.05
),
200%
),
"No"
)</f>
        <v>0.8</v>
      </c>
      <c r="O234" s="8">
        <f>IF(
_xlfn.XLOOKUP(
_xlfn.XLOOKUP(B234,'Base stats'!B:B,'Base stats'!E:E),
Groups!A:A,
Groups!L:L
)=1,
MIN(
MROUND(
IF(
_xlfn.XLOOKUP(B234,'Animals CE'!B:B,'Animals CE'!AA:AA)&lt;=1.5,
_xlfn.XLOOKUP(B234,'Animals CE'!B:B,'Animals CE'!AA:AA)/2+0.05,
0.8+
(_xlfn.XLOOKUP(B234,'Animals CE'!B:B,'Animals CE'!AA:AA)-1.5)
*0.02
),
0.05
),
200%
),
"No"
)</f>
        <v>0.15000000000000002</v>
      </c>
      <c r="P234" s="2" t="str">
        <f>_xlfn.XLOOKUP(B234,'Base stats'!B:B,'Base stats'!R:R)</f>
        <v>Standard</v>
      </c>
      <c r="Q234" s="13">
        <f>MROUND((LOG10(_xlfn.XLOOKUP(B234,'Base stats'!B:B,'Base stats'!AR:AR))*(AO234^0.5)+(_xlfn.XLOOKUP(B234,'Base stats'!B:B,'Base stats'!AR:AR)/1000)^(2/3)+_xlfn.XLOOKUP(B234,'Base stats'!B:B,'Base stats'!BA:BA)/2)+0.5,0.5)</f>
        <v>13</v>
      </c>
      <c r="R234" s="7">
        <f>IF(Q234="No","No",MAX(1,MROUND(_xlfn.XLOOKUP(B234,'Base stats'!B:B,'Base stats'!C:C)^0.165,0.05)))</f>
        <v>2.5500000000000003</v>
      </c>
      <c r="S234" s="13" t="str">
        <f>IF(_xlfn.XLOOKUP(_xlfn.XLOOKUP(B234,'Base stats'!B:B,'Base stats'!E:E),Groups!A:A,Groups!P:P)=0,"No",MROUND((LOG10(_xlfn.XLOOKUP(B234,'Base stats'!B:B,'Base stats'!AS:AS))*(AO234^0.5)+(_xlfn.XLOOKUP(B234,'Base stats'!B:B,'Base stats'!AS:AS)/1000)^(2/3)+_xlfn.XLOOKUP(B234,'Base stats'!B:B,'Base stats'!BA:BA))+_xlfn.XLOOKUP(B234,'Base stats'!B:B,'Base stats'!AY:AY)+0.5,0.5))</f>
        <v>No</v>
      </c>
      <c r="T234" s="7" t="str">
        <f>IF(S234="No","No",MAX(_xlfn.XLOOKUP(_xlfn.XLOOKUP(B234,'Base stats'!B:B,'Base stats'!E:E),Groups!A:A,Groups!Q:Q),MROUND(_xlfn.XLOOKUP(_xlfn.XLOOKUP(B234,'Base stats'!B:B,'Base stats'!E:E),Groups!A:A,Groups!Q:Q)*_xlfn.XLOOKUP(B234,'Base stats'!B:B,'Base stats'!C:C)^0.165,0.05)))</f>
        <v>No</v>
      </c>
      <c r="U234" s="7" t="str">
        <f>IF(S234="No","No",_xlfn.XLOOKUP(_xlfn.XLOOKUP(B234,'Base stats'!B:B,'Base stats'!E:E),Groups!A:A,Groups!R:R))</f>
        <v>No</v>
      </c>
      <c r="V234" s="7" t="str">
        <f>IF(S234="No","No",_xlfn.XLOOKUP(_xlfn.XLOOKUP(B234,'Base stats'!B:B,'Base stats'!E:E),Groups!A:A,Groups!S:S))</f>
        <v>No</v>
      </c>
      <c r="W234" s="7" t="str">
        <f>IF(S234="No","No",_xlfn.XLOOKUP(_xlfn.XLOOKUP(B234,'Base stats'!B:B,'Base stats'!E:E),Groups!A:A,Groups!T:T))</f>
        <v>No</v>
      </c>
      <c r="X234" s="13" t="str">
        <f>IF(_xlfn.XLOOKUP(B234,'Base stats'!B:B,'Base stats'!W:W)="No","No",MROUND((LOG10(_xlfn.XLOOKUP(B234,'Base stats'!B:B,'Base stats'!AU:AU))*(AO234^0.5)+(_xlfn.XLOOKUP(B234,'Base stats'!B:B,'Base stats'!AU:AU)/1000)^(2/3)+_xlfn.XLOOKUP(B234,'Base stats'!B:B,'Base stats'!AZ:AZ))+0.5+IF(_xlfn.XLOOKUP(_xlfn.XLOOKUP(B234,'Base stats'!B:B,'Base stats'!E:E),Groups!A:A,Groups!U:U)&lt;&gt;3,_xlfn.XLOOKUP(B234,'Base stats'!B:B,'Base stats'!BA:BA),0),0.5))</f>
        <v>No</v>
      </c>
      <c r="Y234" s="7" t="str">
        <f>IF(X234="No","No",MAX(_xlfn.XLOOKUP(_xlfn.XLOOKUP(B234,'Base stats'!B:B,'Base stats'!E:E),Groups!A:A,Groups!V:V),MROUND(_xlfn.XLOOKUP(_xlfn.XLOOKUP(B234,'Base stats'!B:B,'Base stats'!E:E),Groups!A:A,Groups!V:V)*_xlfn.XLOOKUP(B234,'Base stats'!B:B,'Base stats'!C:C)^0.165,0.05)))</f>
        <v>No</v>
      </c>
      <c r="Z234" s="7" t="str">
        <f>IF(X234="No","No",_xlfn.XLOOKUP(_xlfn.XLOOKUP(B234,'Base stats'!B:B,'Base stats'!E:E),Groups!A:A,Groups!W:W))</f>
        <v>No</v>
      </c>
      <c r="AA234" s="7" t="str">
        <f>IF(X234="No","No",_xlfn.XLOOKUP(_xlfn.XLOOKUP(B234,'Base stats'!B:B,'Base stats'!E:E),Groups!A:A,Groups!X:X))</f>
        <v>No</v>
      </c>
      <c r="AB234" s="7" t="str">
        <f>IF(X234="No","No",_xlfn.XLOOKUP(_xlfn.XLOOKUP(B234,'Base stats'!B:B,'Base stats'!E:E),Groups!A:A,Groups!Y:Y))</f>
        <v>No</v>
      </c>
      <c r="AC234" s="7" t="str">
        <f>_xlfn.XLOOKUP(Animals!B234,'Base stats'!B:B,'Base stats'!X:X)</f>
        <v>False</v>
      </c>
      <c r="AD234" s="13">
        <f>IF(_xlfn.XLOOKUP(B234,'Base stats'!B:B,'Base stats'!AT:AT)="No","No",MROUND((LOG10(_xlfn.XLOOKUP(B234,'Base stats'!B:B,'Base stats'!AT:AT))*(AO234^0.75)+(_xlfn.XLOOKUP(B234,'Base stats'!B:B,'Base stats'!AT:AT)/1000)^(2/3)+_xlfn.XLOOKUP(B234,'Base stats'!B:B,'Base stats'!AX:AX)+_xlfn.XLOOKUP(B234,'Base stats'!B:B,'Base stats'!BA:BA))+0.5,0.5))</f>
        <v>32.5</v>
      </c>
      <c r="AE234" s="7">
        <f>IF(AD234="No","No",MAX(_xlfn.XLOOKUP(_xlfn.XLOOKUP(B234,'Base stats'!B:B,'Base stats'!E:E),Groups!A:A,Groups!Z:Z),MROUND(_xlfn.XLOOKUP(_xlfn.XLOOKUP(B234,'Base stats'!B:B,'Base stats'!E:E),Groups!A:A,Groups!Z:Z)*_xlfn.XLOOKUP(B234,'Base stats'!B:B,'Base stats'!C:C)^0.165,0.05)))</f>
        <v>3.1</v>
      </c>
      <c r="AF234" s="7" t="str">
        <f>IF(AD234="No","No",_xlfn.XLOOKUP(_xlfn.XLOOKUP(B234,'Base stats'!B:B,'Base stats'!E:E),Groups!A:A,Groups!AA:AA))</f>
        <v>Mouth</v>
      </c>
      <c r="AG234" s="7" t="str">
        <f>IF(AD234="No","No",_xlfn.XLOOKUP(_xlfn.XLOOKUP(B234,'Base stats'!B:B,'Base stats'!E:E),Groups!A:A,Groups!AB:AB))</f>
        <v>chelicerae</v>
      </c>
      <c r="AH234" s="7" t="str">
        <f>IF(AD234="No","No",_xlfn.XLOOKUP(_xlfn.XLOOKUP(B234,'Base stats'!B:B,'Base stats'!E:E),Groups!A:A,Groups!AC:AC))</f>
        <v>ToxicBite</v>
      </c>
      <c r="AI234" s="13" t="str">
        <f>IF(_xlfn.XLOOKUP(_xlfn.XLOOKUP(B234,'Base stats'!B:B,'Base stats'!E:E),Groups!A:A,Groups!AD:AD)=0,"No",MROUND((LOG10(_xlfn.XLOOKUP(B234,'Base stats'!B:B,'Base stats'!AS:AS))*(AO234^0.75)+(_xlfn.XLOOKUP(B234,'Base stats'!B:B,'Base stats'!AS:AS)/1000)^(2/3)+_xlfn.XLOOKUP(B234,'Base stats'!B:B,'Base stats'!AY:AY)+_xlfn.XLOOKUP(B234,'Base stats'!B:B,'Base stats'!BA:BA))+0.5,0.5))</f>
        <v>No</v>
      </c>
      <c r="AJ234" s="7" t="str">
        <f>IF(AI234="No","No",MAX(_xlfn.XLOOKUP(_xlfn.XLOOKUP(B234,'Base stats'!B:B,'Base stats'!E:E),Groups!A:A,Groups!AE:AE),MROUND(_xlfn.XLOOKUP(_xlfn.XLOOKUP(B234,'Base stats'!B:B,'Base stats'!E:E),Groups!A:A,Groups!AE:AE)*IF(_xlfn.XLOOKUP(_xlfn.XLOOKUP(B234,'Base stats'!B:B,'Base stats'!E:E),Groups!A:A,Groups!AJ:AJ)="Photonozoa",0.6,1)*_xlfn.XLOOKUP(B234,'Base stats'!B:B,'Base stats'!C:C)^0.165,0.05)))</f>
        <v>No</v>
      </c>
      <c r="AK234" s="7" t="str">
        <f>IF(AI234="No","No",_xlfn.XLOOKUP(_xlfn.XLOOKUP(B234,'Base stats'!B:B,'Base stats'!E:E),Groups!A:A,Groups!AF:AF))</f>
        <v>No</v>
      </c>
      <c r="AL234" s="7" t="str">
        <f>IF(AI234="No","No",_xlfn.XLOOKUP(_xlfn.XLOOKUP(B234,'Base stats'!B:B,'Base stats'!E:E),Groups!A:A,Groups!AG:AG))</f>
        <v>No</v>
      </c>
      <c r="AM234" s="7" t="str">
        <f>IF(AI234="No","No",_xlfn.XLOOKUP(_xlfn.XLOOKUP(B234,'Base stats'!B:B,'Base stats'!E:E),Groups!A:A,Groups!AH:AH))</f>
        <v>No</v>
      </c>
      <c r="AN234" s="2">
        <f t="shared" si="21"/>
        <v>25</v>
      </c>
      <c r="AO234" s="2">
        <f>MROUND(IF(AND(_xlfn.XLOOKUP(B234,'Base stats'!B:B,'Base stats'!C:C)&gt;=0.5,_xlfn.XLOOKUP(B234,'Base stats'!B:B,'Base stats'!C:C)&lt;=0.8),
IF(_xlfn.XLOOKUP(B234,'Base stats'!B:B,'Base stats'!C:C)&lt;0.1,0.05,IF(_xlfn.XLOOKUP(B234,'Base stats'!B:B,'Base stats'!C:C)&lt;=70,(_xlfn.XLOOKUP(B234,'Base stats'!B:B,'Base stats'!C:C)/70)^0.426489913056526,IF(_xlfn.XLOOKUP(B234,'Base stats'!B:B,'Base stats'!C:C)&lt;=400,(_xlfn.XLOOKUP(B234,'Base stats'!B:B,'Base stats'!C:C)/70)^0.572811455315093,IF(_xlfn.XLOOKUP(B234,'Base stats'!B:B,'Base stats'!C:C)&lt;=2000,2.71391647193063*(_xlfn.XLOOKUP(B234,'Base stats'!B:B,'Base stats'!C:C)/400)^0.252459582904293,3.74314280240376*(_xlfn.XLOOKUP(B234,'Base stats'!B:B,'Base stats'!C:C)/2000)^0.357012633876913)))),
IF(_xlfn.XLOOKUP(B234,'Base stats'!B:B,'Base stats'!C:C)&lt;0.1,0.05,IF(_xlfn.XLOOKUP(B234,'Base stats'!B:B,'Base stats'!C:C)&lt;0.4,0.1,IF(_xlfn.XLOOKUP(B234,'Base stats'!B:B,'Base stats'!C:C)&lt;=70,(_xlfn.XLOOKUP(B234,'Base stats'!B:B,'Base stats'!C:C)/70)^0.445823913056526,IF(_xlfn.XLOOKUP(B234,'Base stats'!B:B,'Base stats'!C:C)&lt;=400,(_xlfn.XLOOKUP(B234,'Base stats'!B:B,'Base stats'!C:C)/70)^0.572811455315093,IF(_xlfn.XLOOKUP(B234,'Base stats'!B:B,'Base stats'!C:C)&lt;=2000,2.71391647193063*(_xlfn.XLOOKUP(B234,'Base stats'!B:B,'Base stats'!C:C)/400)^0.252459582904293,3.74314280240376*(_xlfn.XLOOKUP(B234,'Base stats'!B:B,'Base stats'!C:C)/2000)^0.357012633876913)))))),
IF(_xlfn.XLOOKUP(B234,'Base stats'!B:B,'Base stats'!C:C)&lt;0.1,0.05,IF(_xlfn.XLOOKUP(B234,'Base stats'!B:B,'Base stats'!C:C)&lt;=100,0.05,IF(_xlfn.XLOOKUP(B234,'Base stats'!B:B,'Base stats'!C:C)&lt;=250,0.1,IF(_xlfn.XLOOKUP(B234,'Base stats'!B:B,'Base stats'!C:C)&lt;=4000,0.25,0.5)))))</f>
        <v>2.25</v>
      </c>
      <c r="AP234" s="8">
        <f>MROUND(AO234*_xlfn.XLOOKUP(_xlfn.XLOOKUP(B234,'Base stats'!B:B,'Base stats'!E:E),Groups!A:A,Groups!AI:AI)*_xlfn.XLOOKUP(B234,'Base stats'!B:B,'Base stats'!Z:Z),0.05)</f>
        <v>2.25</v>
      </c>
      <c r="AQ234" s="8">
        <f>MAX(0.01,MROUND(IF(CC234="True",0.196*(AO234*100*1000)^0.889,IF(_xlfn.XLOOKUP(_xlfn.XLOOKUP(B234,'Base stats'!B:B,'Base stats'!E:E),Groups!A:A,Groups!AJ:AJ)="Bird",10.5*(AO234*100*1000)^0.681,4.82*(AO234*100*1000)^0.734))/(4.82*(1*100*1000)^0.734)/IF(AO234&lt;3.5,2,IF(AO234=3.5,1.5,1.25))*(1+0.132282374779864/(AO234^0.994035016789033+0.00905238001496948)),0.05))</f>
        <v>0.25</v>
      </c>
      <c r="AR234" s="9">
        <f>IFERROR(MROUND(_xlfn.XLOOKUP(B234,'Base stats'!B:B,'Base stats'!H:H)/IF(_xlfn.XLOOKUP(B234,'Base stats'!B:B,'Base stats'!I:I)&lt;&gt;1,(122.5/70),1.2),IF(_xlfn.XLOOKUP(B234,'Base stats'!B:B,'Base stats'!H:H)&gt;=30,5,IF(_xlfn.XLOOKUP(B234,'Base stats'!B:B,'Base stats'!H:H)&gt;=15,3,IF(_xlfn.XLOOKUP(B234,'Base stats'!B:B,'Base stats'!H:H)&gt;=10,2,1)))),"Immortal")</f>
        <v>12</v>
      </c>
      <c r="AS234" s="35" t="str">
        <f>IFERROR(IF(OR(_xlfn.XLOOKUP(B234,'Base stats'!B:B,'Base stats'!F:F)="Atypical reproduction",_xlfn.XLOOKUP(B234,'Base stats'!B:B,'Base stats'!F:F)="Lay eggs"),"Lay eggs",MIN(20,MAX(5.5,ROUND(((_xlfn.XLOOKUP(B234,'Base stats'!B:B,'Base stats'!F:F)-25)*(14.5/615) + 5.5)*2,0)/2))),"Unknown")</f>
        <v>Lay eggs</v>
      </c>
      <c r="AT234" s="8">
        <f>IF(_xlfn.XLOOKUP(B234,'Base stats'!B:B,'Base stats'!G:G)="Atypical reproduction","No",IFERROR(MAX(IF(_xlfn.XLOOKUP(B234,'Base stats'!B:B,'Base stats'!G:G)&lt;0.5,0.2,0.3),MROUND(_xlfn.XLOOKUP(B234,'Base stats'!B:B,'Base stats'!G:G)/(365/60),0.2)),"Unknown"))</f>
        <v>0.8</v>
      </c>
      <c r="AU234" s="8">
        <f t="shared" si="22"/>
        <v>0.4</v>
      </c>
      <c r="AV234" s="8" t="str">
        <f>IFERROR(IFERROR(MROUND(_xlfn.XLOOKUP(B234,'Base stats'!B:B,'Base stats'!J:J),0.1),"Lay eggs"),"Cannot breed")</f>
        <v>Lay eggs</v>
      </c>
      <c r="AW234" s="2" t="str">
        <f t="shared" si="23"/>
        <v>false</v>
      </c>
      <c r="AX234" s="2" t="str">
        <f>IF(_xlfn.XLOOKUP(_xlfn.XLOOKUP(Animals!B234,'Base stats'!B:B,'Base stats'!E:E),Groups!A:A,Groups!AK:AK)=1,"true","false")</f>
        <v>false</v>
      </c>
      <c r="AY234" s="25" t="str">
        <f>IF(_xlfn.XLOOKUP(B234,'Base stats'!B:B,'Base stats'!Y:Y)="Liquor","Liquor, CarnivoreAnimalStrict",IF(AND(_xlfn.XLOOKUP(B234,'Base stats'!B:B,'Base stats'!Y:Y)="Carnivore",_xlfn.XLOOKUP(_xlfn.XLOOKUP(B234,'Base stats'!B:B,'Base stats'!E:E),Groups!A:A,Groups!AJ:AJ)="Photonozoa"),"CarnivoreAnimalStrict, OvivoreAnimal",IF(_xlfn.XLOOKUP(B234,'Base stats'!B:B,'Base stats'!Y:Y)="Carnivore","CarnivoreAnimal, OvivoreAnimal",IF(_xlfn.XLOOKUP(B234,'Base stats'!B:B,'Base stats'!Y:Y)="Dendrovore","VegetarianRoughAnimal, DendrovoreAnimal",IF(_xlfn.XLOOKUP(B234,'Base stats'!B:B,'Base stats'!Y:Y)="Herbivore","VegetarianRoughAnimal",IF(_xlfn.XLOOKUP(B234,'Base stats'!B:B,'Base stats'!Y:Y)="OmnivoreRough","OmnivoreRoughAnimal, OvivoreAnimal","OmnivoreAnimal, OvivoreAnimal"))))))</f>
        <v>CarnivoreAnimal, OvivoreAnimal</v>
      </c>
      <c r="AZ234" s="2" t="str">
        <f>IF(_xlfn.XLOOKUP(_xlfn.XLOOKUP(B234,'Base stats'!B:B,'Base stats'!E:E),Groups!A:A,Groups!D:D)=1,MROUND((1-J234)*5+1,2)*IF(J234&lt;=0.4,2,1),"No")</f>
        <v>No</v>
      </c>
      <c r="BA234" s="2" t="str">
        <f>IF(AND(_xlfn.XLOOKUP(B234,'Base stats'!B:B,'Base stats'!AH:AH)="&lt;li&gt;Seal&lt;/li&gt;",G234="Odyssey"),"&lt;li&gt;AEXP_Seal&lt;/li&gt;",_xlfn.XLOOKUP(B234,'Base stats'!B:B,'Base stats'!AH:AH))</f>
        <v>&lt;li&gt;Megaspider&lt;/li&gt;</v>
      </c>
      <c r="BB234" s="2" t="str">
        <f>_xlfn.XLOOKUP(B234,'Base stats'!B:B,'Base stats'!AG:AG)</f>
        <v>Leather_Chitin</v>
      </c>
      <c r="BC234" s="23" t="str">
        <f>_xlfn.XLOOKUP(_xlfn.XLOOKUP(B234,'Base stats'!B:B,'Base stats'!E:E),Groups!A:A,Groups!AL:AL)</f>
        <v>Arachnid</v>
      </c>
      <c r="BD234" s="23">
        <f>MIN(1,MROUND(IF(AND(AO234&lt;0.5,_xlfn.XLOOKUP(B234,'Base stats'!B:B,'Base stats'!AA:AA)=0),0,IF(OR(_xlfn.XLOOKUP(Animals!B234,'Base stats'!B:B,'Base stats'!O:O)=2,_xlfn.XLOOKUP(_xlfn.XLOOKUP(B234,'Base stats'!B:B,'Base stats'!E:E),Groups!A:A,Groups!AN:AN)=0),0,_xlfn.XLOOKUP(_xlfn.XLOOKUP(B234,'Base stats'!B:B,'Base stats'!E:E),Groups!A:A,Groups!AN:AN)/IF(_xlfn.XLOOKUP(Animals!B234,'Base stats'!B:B,'Base stats'!O:O)=1,2,1)))+_xlfn.XLOOKUP(B234,'Base stats'!B:B,'Base stats'!AC:AC),0.005))</f>
        <v>0.1</v>
      </c>
      <c r="BE234" s="23">
        <f>MIN(1,MROUND(IF(AND(AO234&lt;0.5,_xlfn.XLOOKUP(B234,'Base stats'!B:B,'Base stats'!AA:AA)=0),0,IF(_xlfn.XLOOKUP(_xlfn.XLOOKUP(B234,'Base stats'!B:B,'Base stats'!E:E),Groups!A:A,Groups!AO:AO)=0,0,_xlfn.XLOOKUP(_xlfn.XLOOKUP(B234,'Base stats'!B:B,'Base stats'!E:E),Groups!A:A,Groups!AO:AO)/IF(_xlfn.XLOOKUP(Animals!B234,'Base stats'!B:B,'Base stats'!O:O)=2,3,1)))+_xlfn.XLOOKUP(B234,'Base stats'!B:B,'Base stats'!AD:AD),0.005))</f>
        <v>1</v>
      </c>
      <c r="BF234" s="2" t="str">
        <f>IF(J234&gt;0.3,"No",_xlfn.XLOOKUP(_xlfn.XLOOKUP(Animals!B234,'Base stats'!B:B,'Base stats'!E:E),Groups!A:A,Groups!AP:AP))</f>
        <v>No</v>
      </c>
      <c r="BG234" s="2" t="str">
        <f>IF(AND(J234&lt;=0.65,_xlfn.XLOOKUP(_xlfn.XLOOKUP(Animals!B234,'Base stats'!B:B,'Base stats'!E:E),Groups!A:A,Groups!AP:AP)&lt;&gt;"No",_xlfn.XLOOKUP(_xlfn.XLOOKUP(B234,'Base stats'!B:B,'Base stats'!E:E),Groups!A:A,Groups!D:D)=0),MROUND((80/3)*IF(_xlfn.XLOOKUP(B234,'Base stats'!B:B,'Base stats'!O:O)=2,0.2,AO234) + 24*(1-IF(BF234="No",0,BF234)) + 16/3, 12),"No")</f>
        <v>No</v>
      </c>
      <c r="BH234" s="2">
        <f>IF(AND(_xlfn.XLOOKUP(_xlfn.XLOOKUP(B234,'Base stats'!B:B,'Base stats'!E:E),Groups!A:A,Groups!AQ:AQ)=1,AO234&lt;=0.35),8,12)</f>
        <v>12</v>
      </c>
      <c r="BI234" s="2" t="str">
        <f>IF(_xlfn.XLOOKUP(_xlfn.XLOOKUP(B234,'Base stats'!B:B,'Base stats'!E:E),Groups!A:A,Groups!D:D)=0,_xlfn.XLOOKUP(_xlfn.XLOOKUP(B234,'Base stats'!B:B,'Base stats'!E:E),Groups!A:A,Groups!AR:AR),"None")</f>
        <v>Intermediate</v>
      </c>
      <c r="BJ234" s="2" t="str">
        <f>IF(AND(_xlfn.XLOOKUP(_xlfn.XLOOKUP(B234,'Base stats'!B:B,'Base stats'!E:E),Groups!A:A,Groups!AS:AS)=1,OR(_xlfn.XLOOKUP(B234,'Base stats'!B:B,'Base stats'!Y:Y)="Carnivore",_xlfn.XLOOKUP(B234,'Base stats'!B:B,'Base stats'!Y:Y)="Omnivore")),"true","false")</f>
        <v>true</v>
      </c>
      <c r="BK234" s="2">
        <f>IF(BJ234="true",MROUND(IF(AND(AO234&gt;0.5,OR(_xlfn.XLOOKUP(_xlfn.XLOOKUP(B234,'Base stats'!B:B,'Base stats'!E:E),Groups!A:A,Groups!AJ:AJ)="Photonozoa",_xlfn.XLOOKUP(_xlfn.XLOOKUP(B234,'Base stats'!B:B,'Base stats'!E:E),Groups!A:A,Groups!AJ:AJ)="Mammal")),Animals!AO234*1.75*IF(AW234="true",1.5,1),IF(AO234&lt;0.5,Animals!AO234*0.5,Animals!AO234)),IF(AO234&gt;2,0.5,IF(AO234&gt;0.5,0.25,0.1))),"No")</f>
        <v>2.5</v>
      </c>
      <c r="BL234" s="2">
        <f t="shared" si="24"/>
        <v>1</v>
      </c>
      <c r="BM234" s="25" t="str">
        <f>IF(_xlfn.XLOOKUP(B234,'Base stats'!B:B,'Base stats'!AN:AN)="Standard","No",MROUND((_xlfn.XLOOKUP(B234,'Base stats'!B:B,'Base stats'!AN:AN)/3.6)/I234,0.1))</f>
        <v>No</v>
      </c>
      <c r="BN234" s="25" t="str">
        <f t="shared" si="25"/>
        <v>false</v>
      </c>
      <c r="BO234" s="25" t="str">
        <f>IF(AND(OR(_xlfn.XLOOKUP(B234,'Base stats'!B:B,'Base stats'!Y:Y)="Carnivore",_xlfn.XLOOKUP(B234,'Base stats'!B:B,'Base stats'!Y:Y)="Omnivore",_xlfn.XLOOKUP(B234,'Base stats'!B:B,'Base stats'!Y:Y)="OmnivoreRough"),_xlfn.XLOOKUP(_xlfn.XLOOKUP(B234,'Base stats'!B:B,'Base stats'!E:E),Groups!A:A,Groups!AT:AT)=1),"true","false")</f>
        <v>false</v>
      </c>
      <c r="BP234" s="25" t="str" cm="1">
        <f t="array" ref="BP234">IF(
  _xlfn.TEXTJOIN(", ",TRUE,
    IF(AND(BJ234="true",AO234&gt;0.5,BI234&lt;&gt;"None"),"AttackTarget",""),
    IF(AND(_xlfn.XLOOKUP(_xlfn.XLOOKUP(B234,'Base stats'!B:B,'Base stats'!E:E),Groups!A:A,Groups!AJ:AJ="Mammal"),OR(_xlfn.XLOOKUP(B234,'Base stats'!B:B,'Base stats'!Y:Y)="Omnivore",_xlfn.XLOOKUP(B234,'Base stats'!B:B,'Base stats'!Y:Y)="OmnivoreRough")),"Forage",""),
    IF(BG234&lt;=36,"Comfort",""),
    IF(_xlfn.XLOOKUP(B234,'Base stats'!B:B,'Base stats'!AE:AE)&lt;&gt;"No",_xlfn.XLOOKUP(B234,'Base stats'!B:B,'Base stats'!AE:AE),"")
  ) = "",
  "No",
  _xlfn.TEXTJOIN(", ",TRUE,
    IF(AND(BJ234="true",AO234&gt;0.5,BI234&lt;&gt;"None"),"AttackTarget",""),
    IF(AND(_xlfn.XLOOKUP(_xlfn.XLOOKUP(B234,'Base stats'!B:B,'Base stats'!E:E),Groups!A:A,Groups!AJ:AJ="Mammal"),OR(_xlfn.XLOOKUP(B234,'Base stats'!B:B,'Base stats'!Y:Y)="Omnivore",_xlfn.XLOOKUP(B234,'Base stats'!B:B,'Base stats'!Y:Y)="OmnivoreRough")),"Forage",""),
    IF(BG234&lt;=36,"Comfort",""),
    IF(_xlfn.XLOOKUP(B234,'Base stats'!B:B,'Base stats'!AE:AE)&lt;&gt;"No",_xlfn.XLOOKUP(B234,'Base stats'!B:B,'Base stats'!AE:AE),"")
  )
)</f>
        <v>AttackTarget</v>
      </c>
      <c r="BQ234" s="25" t="str">
        <f>IF(
   AND(
      'Base stats'!AN234="Standard",_xlfn.XLOOKUP(_xlfn.XLOOKUP(B234,'Base stats'!B:B,'Base stats'!E:E),Groups!A:A,Groups!AU:AU)=0,
      OR(
      BO234="True"
      )
   ),
   10,
   IF(
       OR(BM234&lt;&gt;"No",_xlfn.XLOOKUP(_xlfn.XLOOKUP(B234,'Base stats'!B:B,'Base stats'!E:E),Groups!A:A,Groups!AU:AU)=1),
      1,
      "No"
   )
)</f>
        <v>No</v>
      </c>
      <c r="BR234" s="9">
        <f>MROUND((1 + ((0.2*IF(OR(Q234="No",R234="No",R234=0),0,Q234/R234)
+IF(OR(V234="No",S234="No",T234="No"),0,S234/T234*(LEN(V234)-LEN(SUBSTITUTE(V234,",",""))+1))
+IF(OR(X234="No",Y234="No"),0,X234/Y234)
+IF(OR(AD234="No",AE234="No"),0,AD234/AE234)
+IF(OR(AL234="No",AI234="No",AJ234="No"),0,AI234/AJ234*(LEN(AL234)-LEN(SUBSTITUTE(AL234,",",""))+1))
)/(0.2*IF(OR(Q234="No",R234="No",R234=0),0,1)
+IF(OR(V234="No",S234="No",T234="No"),0,LEN(V234)-LEN(SUBSTITUTE(V234,",",""))+1)
+IF(OR(X234="No",Y234="No"),0,1)
+IF(OR(AD234="No",AE234="No"),0,1)
+IF(OR(AL234="No",AI234="No",AJ234="No"),0,LEN(AL234)-LEN(SUBSTITUTE(AL234,",",""))+1))*62%)* 2)*(1 + (AP234 / (IF(_xlfn.XLOOKUP(_xlfn.XLOOKUP(B234,'Base stats'!B:B,'Base stats'!E:E),Groups!A:A,Groups!AJ:AJ)="Photonozoa",0.3,1)) + _xlfn.XLOOKUP(B234,'Base stats'!B:B,'Base stats'!AV:AV) * 1.8) * 2) * 2.5 + 10 + I234 * 2,5)+IF(_xlfn.XLOOKUP(B234,'Base stats'!B:B,'Base stats'!AK:AK)=1,50,0)</f>
        <v>250</v>
      </c>
      <c r="BS234" s="8">
        <f t="shared" si="26"/>
        <v>0.65</v>
      </c>
      <c r="BT234" s="8" t="str">
        <f>_xlfn.XLOOKUP(B234,'Base stats'!B:B,'Base stats'!AF:AF)</f>
        <v>No</v>
      </c>
      <c r="BU234" s="2" t="str">
        <f>IF(AND(J234&lt;=0.95,OR(_xlfn.XLOOKUP(B234,'Base stats'!B:B,'Base stats'!AK:AK)=1,_xlfn.XLOOKUP(B234,'Base stats'!B:B,'Base stats'!Y:Y)="Carnivore",_xlfn.XLOOKUP(B234,'Base stats'!B:B,'Base stats'!Y:Y)="Omnivore",BE234&gt;0.1)),"true","false")</f>
        <v>true</v>
      </c>
      <c r="BV234" s="2" t="str">
        <f>IF(_xlfn.XLOOKUP(B234,'Base stats'!B:B,'Base stats'!AI:AI)=1,"true","false")</f>
        <v>false</v>
      </c>
      <c r="BW234" s="25" t="str">
        <f>IF(E234="BaseInsect","AnimalInsect",
IF(J234&gt;0.95,"AnimalExotic",
_xlfn.TEXTJOIN(", ",TRUE,
IF(OR(_xlfn.XLOOKUP(B234,'Base stats'!B:B,'Base stats'!AM:AM)=1,AND(_xlfn.XLOOKUP(B234,'Base stats'!B:B,'Base stats'!O:O)=0,_xlfn.XLOOKUP(_xlfn.XLOOKUP(B234,'Base stats'!B:B,'Base stats'!E:E),Groups!A:A,Groups!B:B)&gt;0)),"AnimalUncommon","AnimalCommon"),
IF(AND(_xlfn.XLOOKUP(B234,'Base stats'!B:B,'Base stats'!O:O)=2,_xlfn.XLOOKUP(_xlfn.XLOOKUP(B234,'Base stats'!B:B,'Base stats'!E:E),Groups!A:A,Groups!D:D)=0),"AnimalPet",IF(AND(_xlfn.XLOOKUP(B234,'Base stats'!B:B,'Base stats'!O:O)&lt;&gt;0,_xlfn.XLOOKUP(_xlfn.XLOOKUP(B234,'Base stats'!B:B,'Base stats'!E:E),Groups!A:A,Groups!D:D)&lt;&gt;0),"AnimalFarm","")),
IF(OR(_xlfn.XLOOKUP(B234,'Base stats'!B:B,'Base stats'!AK:AK)=1,AND(BI234&lt;&gt;"None",BR234&gt;=60),ISNUMBER(SEARCH("Attack target",BP234))),"AnimalFighter","")
)))</f>
        <v>AnimalUncommon, AnimalFighter</v>
      </c>
      <c r="BX234" s="25" t="str">
        <f>IF(G234="None",TRIM(
SUBSTITUTE(
IF(COUNTIF(Biomes!B$2:B$259,"="&amp;$C234)&gt;0,Biomes!B$1&amp;", ","")&amp;
IF(COUNTIF(Biomes!C$2:C$259,"="&amp;$C234)&gt;0,Biomes!C$1&amp;", ","")&amp;
IF(COUNTIF(Biomes!D$2:D$259,"="&amp;$C234)&gt;0,Biomes!D$1&amp;", ","")&amp;
IF(COUNTIF(Biomes!F$2:F$259,"="&amp;$C234)&gt;0,Biomes!F$1&amp;", ","")&amp;
IF(COUNTIF(Biomes!G$2:G$259,"="&amp;$C234)&gt;0,Biomes!G$1&amp;", ","")&amp;
IF(COUNTIF(Biomes!H$2:H$259,"="&amp;$C234)&gt;0,Biomes!H$1&amp;", ","")&amp;
IF(COUNTIF(Biomes!I$2:I$259,"="&amp;$C234)&gt;0,Biomes!I$1&amp;", ","")&amp;
IF(COUNTIF(Biomes!J$2:J$259,"="&amp;$C234)&gt;0,Biomes!J$1&amp;", ","")&amp;
IF(COUNTIF(Biomes!M$2:M$259,"="&amp;$C234)&gt;0,Biomes!M$1&amp;", ","")&amp;
IF(COUNTIF(Biomes!N$2:N$259,"="&amp;$C234)&gt;0,Biomes!N$1&amp;", ","")&amp;
IF(COUNTIF(Biomes!O$2:O$259,"="&amp;$C234)&gt;0,Biomes!O$1&amp;", ","")&amp;
IF(COUNTIF(Biomes!P$2:P$259,"="&amp;$C234)&gt;0,Biomes!P$1&amp;", ","")&amp;
IF(COUNTIF(Biomes!K$2:K$259,"="&amp;$C234)&gt;0,Biomes!K$1&amp;", ","")&amp;
IF(COUNTIF(Biomes!Q$3:Q$259,"="&amp;$C234)&gt;0,Biomes!Q$1&amp;", ","")&amp;
IF(COUNTIF(Biomes!L$2:L$259,"="&amp;$C234)&gt;0,Biomes!L$1&amp;", ","")&amp;
IF(COUNTIF(Biomes!E$2:E$259,"="&amp;$C234)&gt;0,Biomes!E$1&amp;", ","")&amp;IF(COUNTIF(Biomes!S$2:S$259,"="&amp;$C234)&gt;0,Biomes!S$1&amp;", ","")&amp;
IF(COUNTIF(Biomes!R$2:R$259,"="&amp;$C234)&gt;0,Biomes!R$1&amp;", ",""),", ","")
),_xlfn.XLOOKUP(B234,B:B,BX:BX))</f>
        <v>SeaIce IceSheet Tundra BorealForest ColdBog GlacialPlain</v>
      </c>
      <c r="BY234" s="25" t="str">
        <f>IF(_xlfn.XLOOKUP(B234,'Base stats'!B:B,'Base stats'!AJ:AJ)=1,"true","false")</f>
        <v>false</v>
      </c>
      <c r="BZ234" s="25">
        <f>IF(_xlfn.XLOOKUP(B234,'Base stats'!B:B,'Base stats'!N:N)=1,"No",MAX(0.001,MIN(MROUND(IF(AND(BJ234="True",CC234="False"),POWER(10,3.47*LOG10(_xlfn.XLOOKUP(B234,'Base stats'!B:B,'Base stats'!C:C)*1000)^-0.96),POWER(10,4.15*LOG10(_xlfn.XLOOKUP(B234,'Base stats'!B:B,'Base stats'!C:C)*1000)^-0.73))*IF(_xlfn.XLOOKUP(B234,'Base stats'!B:B,'Base stats'!AK:AK)=1,0.5,1)*IF(_xlfn.XLOOKUP(B234,'Base stats'!B:B,'Base stats'!AM:AM)=1,0.1,1)/100,IF(_xlfn.XLOOKUP(B234,'Base stats'!B:B,'Base stats'!AM:AM)=1,0.001,0.025)),0.5)))</f>
        <v>1.6E-2</v>
      </c>
      <c r="CA234" s="25" t="str">
        <f>IF(P234="Standard","No",MAX(0.001,MIN(MROUND(IF(AND(BJ234="True",CC234="False"),POWER(10,3.47*LOG10(_xlfn.XLOOKUP(B234,'Base stats'!B:B,'Base stats'!C:C)*1000)^-0.96),POWER(10,4.15*LOG10(_xlfn.XLOOKUP(B234,'Base stats'!B:B,'Base stats'!C:C)*1000)^-0.73))*IF(_xlfn.XLOOKUP(B234,'Base stats'!B:B,'Base stats'!AM:AM)=1,0.1,1)*_xlfn.XLOOKUP(B234,'Base stats'!B:B,'Base stats'!R:R)/100,IF(_xlfn.XLOOKUP(B234,'Base stats'!B:B,'Base stats'!AM:AM)=1,0.001,0.025)),0.5)))</f>
        <v>No</v>
      </c>
      <c r="CB234" s="25" t="str">
        <f>IF(_xlfn.XLOOKUP(_xlfn.XLOOKUP(B234,'Base stats'!B:B,'Base stats'!E:E),Groups!A:A,Groups!AJ:AJ)="Mammal","True","False")</f>
        <v>False</v>
      </c>
      <c r="CC234" s="25" t="str">
        <f>IF(OR(_xlfn.XLOOKUP(_xlfn.XLOOKUP(B234,'Base stats'!B:B,'Base stats'!E:E),Groups!A:A,Groups!AJ:AJ)="Reptile",_xlfn.XLOOKUP(_xlfn.XLOOKUP(B234,'Base stats'!B:B,'Base stats'!E:E),Groups!A:A,Groups!AJ:AJ)="Amphibian",_xlfn.XLOOKUP(_xlfn.XLOOKUP(B234,'Base stats'!B:B,'Base stats'!E:E),Groups!A:A,Groups!AJ:AJ)="Invertebrate"),"True","False")</f>
        <v>True</v>
      </c>
      <c r="CD234" s="25" t="str">
        <f t="shared" si="27"/>
        <v>False</v>
      </c>
      <c r="CE234" s="25" t="str">
        <f>IF(_xlfn.XLOOKUP(_xlfn.XLOOKUP(B234,'Base stats'!B:B,'Base stats'!E:E),Groups!A:A,Groups!AX:AX),"True","False")</f>
        <v>False</v>
      </c>
      <c r="CF234" s="25" t="str">
        <f>IF(_xlfn.XLOOKUP(_xlfn.XLOOKUP(B234,'Base stats'!B:B,'Base stats'!E:E),Groups!A:A,Groups!AY:AY),"True","False")</f>
        <v>False</v>
      </c>
      <c r="CG234" s="25" t="str">
        <f>IF(_xlfn.XLOOKUP(_xlfn.XLOOKUP(B234,'Base stats'!B:B,'Base stats'!E:E),Groups!A:A,Groups!AW:AW),"True","False")</f>
        <v>False</v>
      </c>
      <c r="CH234" s="25" t="str">
        <f>IF(
OR(
_xlfn.XLOOKUP(_xlfn.XLOOKUP(B234,'Base stats'!B:B,'Base stats'!E:E),Groups!A:A,Groups!AZ:AZ)=0,
AND(
_xlfn.XLOOKUP(B234,'Base stats'!B:B,'Base stats'!Y:Y)&lt;&gt;"Carnivore",
_xlfn.XLOOKUP(B234,'Base stats'!B:B,'Base stats'!Y:Y)&lt;&gt;"Omnivore",
_xlfn.XLOOKUP(B234,'Base stats'!B:B,'Base stats'!Y:Y)&lt;&gt;"OmnivoreRough"
)
),
"No",
IF(
_xlfn.XLOOKUP(_xlfn.XLOOKUP(B234,'Base stats'!B:B,'Base stats'!E:E),Groups!A:A,Groups!AZ:AZ)=1,
"Flesh",
IF(
_xlfn.XLOOKUP(_xlfn.XLOOKUP(B234,'Base stats'!B:B,'Base stats'!E:E),Groups!A:A,Groups!AZ:AZ)=2,
"Bone",
""
)
)
)</f>
        <v>No</v>
      </c>
      <c r="CI234" s="25" t="str">
        <f>IF(_xlfn.XLOOKUP(_xlfn.XLOOKUP(B234,'Base stats'!B:B,'Base stats'!E:E),Groups!A:A,Groups!BB:BB),"True","False")</f>
        <v>False</v>
      </c>
      <c r="CJ234" s="25" t="str">
        <f>IF(_xlfn.XLOOKUP(_xlfn.XLOOKUP(B234,'Base stats'!B:B,'Base stats'!E:E),Groups!A:A,Groups!BA:BA),"True","False")</f>
        <v>False</v>
      </c>
    </row>
    <row r="235" spans="1:88" ht="16.5" thickTop="1" thickBot="1" x14ac:dyDescent="0.3">
      <c r="A235" s="26" t="s">
        <v>1376</v>
      </c>
      <c r="B235" s="6" t="str">
        <f>_xlfn.XLOOKUP(A235,'Base stats'!A:A,'Base stats'!B:B)</f>
        <v>Araneodraco glacialis (clutch mother)</v>
      </c>
      <c r="C235" s="28" t="s">
        <v>1377</v>
      </c>
      <c r="D235" s="28" t="s">
        <v>1341</v>
      </c>
      <c r="E235" s="28" t="s">
        <v>1747</v>
      </c>
      <c r="F235" s="28" t="s">
        <v>673</v>
      </c>
      <c r="G235" s="28" t="s">
        <v>673</v>
      </c>
      <c r="H235" s="2">
        <f>MROUND((
  (IF(AND(_xlfn.XLOOKUP(B235,'Base stats'!B:B,'Base stats'!AL:AL)=0,BI235="None",_xlfn.XLOOKUP(_xlfn.XLOOKUP(B235,'Base stats'!B:B,'Base stats'!E:E),Groups!A:A,Groups!B:B)=0), (18 + BR235 * 2.7) * 0.5,
    IF(AND(_xlfn.XLOOKUP(B235,'Base stats'!B:B,'Base stats'!AL:AL)=0,OR(AO235&lt;0.55,AND(BI235="Intermediate",_xlfn.XLOOKUP(_xlfn.XLOOKUP(B235,'Base stats'!B:B,'Base stats'!E:E),Groups!A:A,Groups!B:B)&lt;2))), (18 + BR235 * 2.7),
      IF(OR(BI235="Advanced",_xlfn.XLOOKUP(B235,'Base stats'!B:B,'Base stats'!AL:AL)=1,_xlfn.XLOOKUP(_xlfn.XLOOKUP(B235,'Base stats'!B:B,'Base stats'!E:E),Groups!A:A,Groups!B:B)=2), (18 + BR235 * 2.7) + 250, (18 + BR235 * 2.7))
    )
  ))
  + AO235 * 80
  + IF(COUNTIF(EggMilk!K$2:K$998, A235) &gt; 0, 125, 0)
  + IF(COUNTIF(EggMilk!P$2:P$998, A235) &gt; 0, 90, 0)
  + IF(COUNTIF(EggMilk!A$2:A$998, A235) &gt; 0, 90, 0)
)
* (0.8 + 0.4 * J235)
* 0.75,25)</f>
        <v>1300</v>
      </c>
      <c r="I235" s="2">
        <f>MROUND(ROUNDDOWN(_xlfn.XLOOKUP(B235,'Base stats'!B:B,'Base stats'!L:L)/3.6/(23.3/11),1),0.5)</f>
        <v>4</v>
      </c>
      <c r="J235" s="2">
        <f>IF(OR(_xlfn.XLOOKUP(B235,'Base stats'!B:B,'Base stats'!AB:AB)=1,_xlfn.XLOOKUP(_xlfn.XLOOKUP(B235,'Base stats'!B:B,'Base stats'!E:E),Groups!A:A,Groups!C:C)="Untamable"),1,IF(_xlfn.XLOOKUP(B235,'Base stats'!B:B,'Base stats'!AL:AL)=1,0.99,MIN(MROUND((1-0.6282*EXP(-0.459*AO235))*_xlfn.XLOOKUP(_xlfn.XLOOKUP(B235,'Base stats'!B:B,'Base stats'!E:E),Groups!A:A,Groups!C:C)*IF(_xlfn.XLOOKUP(B235,'Base stats'!B:B,'Base stats'!O:O)=1,0.5,IF(_xlfn.XLOOKUP(B235,'Base stats'!B:B,'Base stats'!O:O)=2,0,1)),0.05),IF(AO235&gt;3.5,0.985,0.95))))</f>
        <v>1</v>
      </c>
      <c r="K235" s="2">
        <f>ROUNDUP(AO235*_xlfn.XLOOKUP(_xlfn.XLOOKUP(B235,'Base stats'!B:B,'Base stats'!E:E),Groups!A:A,Groups!E:E),0)</f>
        <v>4</v>
      </c>
      <c r="L235" s="2">
        <f>IF(OR(_xlfn.XLOOKUP(_xlfn.XLOOKUP(B235,'Base stats'!B:B,'Base stats'!E:E),Groups!A:A,Groups!F:F)=2,ISNUMBER(SEARCH("SeaIce",BX235)),ISNUMBER(SEARCH("IceSheet",BX235))),-50,IF(OR(ISNUMBER(SEARCH("GlacialPlain",BX235)),ISNUMBER(SEARCH("Tundra",BX235))),-40,IF(OR(ISNUMBER(SEARCH("Alpine",BX235)),ISNUMBER(SEARCH("BorealForest",BX235)),ISNUMBER(SEARCH("ColdBog",BX235))),-30,IF(OR(ISNUMBER(SEARCH("TemperateForest",BX235)),ISNUMBER(SEARCH("TemperateSwamp",BX235))),-20,IF(_xlfn.XLOOKUP(_xlfn.XLOOKUP(B235,'Base stats'!B:B,'Base stats'!E:E),Groups!A:A,Groups!F:F)=1,-15,IF(OR(ISNUMBER(SEARCH("Desert",BX235)),ISNUMBER(SEARCH("ExtremeDesert",BX235))),-10,IF(OR(ISNUMBER(SEARCH("Grasslands",BX235)),ISNUMBER(SEARCH("TropicalRainforest",BX235)),ISNUMBER(SEARCH("TropicalSwamp",BX235))),10,0)))))))-IF(CC235="False",MIN(IFERROR(MAX(MROUND(LOG10(_xlfn.XLOOKUP(B235,'Base stats'!B:B,'Base stats'!C:C)^(2/3))*10,5),5),5),30))-_xlfn.XLOOKUP(B235,'Base stats'!B:B,'Base stats'!P:P)+IF(CC235="True",5,0)</f>
        <v>5</v>
      </c>
      <c r="M235" s="2">
        <f>IF(OR(_xlfn.XLOOKUP(_xlfn.XLOOKUP(B235,'Base stats'!B:B,'Base stats'!E:E),Groups!A:A,Groups!G:G)=2,ISNUMBER(SEARCH("Desert",BX235)),ISNUMBER(SEARCH("ExtremeDesert",BX235)),ISNUMBER(SEARCH("LavaField",BX235))),50,IF(ISNUMBER(SEARCH("Grasslands",BX235)),45,IF(OR(_xlfn.XLOOKUP(_xlfn.XLOOKUP(B235,'Base stats'!B:B,'Base stats'!E:E),Groups!A:A,Groups!G:G)=1,ISNUMBER(SEARCH("TropicalRainforest",BX235)),ISNUMBER(SEARCH("TropicalSwamp",BX235))),40,IF(OR(ISNUMBER(SEARCH("TemperateForest",BX235)),ISNUMBER(SEARCH("TemperateSwamp",BX235))),35,IF(OR(ISNUMBER(SEARCH("Alpine",BX235)),ISNUMBER(SEARCH("BorealForest",BX235)),ISNUMBER(SEARCH("ColdBog",BX235))),30,IF(ISNUMBER(OR(ISNUMBER(SEARCH("GlacialPlain",BX235)),SEARCH("Tundra",BX235))),25,IF(OR(ISNUMBER(SEARCH("SeaIce",BX235)),ISNUMBER(SEARCH("IceSheet",BX235)),ISNUMBER(SEARCH("TropicalSwamp",BX235))),10,35)))))))+_xlfn.XLOOKUP(B235,'Base stats'!B:B,'Base stats'!Q:Q)</f>
        <v>35</v>
      </c>
      <c r="N235" s="8">
        <f>IF(
_xlfn.XLOOKUP(
_xlfn.XLOOKUP(B235,'Base stats'!B:B,'Base stats'!E:E),
Groups!A:A,
Groups!L:L
)=1,
MIN(
MROUND(
IF(
_xlfn.XLOOKUP(B235,'Animals CE'!B:B,'Animals CE'!Z:Z)&lt;=1.5,
_xlfn.XLOOKUP(B235,'Animals CE'!B:B,'Animals CE'!Z:Z)/2+0.05,
0.8+
(_xlfn.XLOOKUP(B235,'Animals CE'!B:B,'Animals CE'!Z:Z)-1.5)
*0.02
),
0.05
),
200%
),
"No"
)</f>
        <v>0.8</v>
      </c>
      <c r="O235" s="8">
        <f>IF(
_xlfn.XLOOKUP(
_xlfn.XLOOKUP(B235,'Base stats'!B:B,'Base stats'!E:E),
Groups!A:A,
Groups!L:L
)=1,
MIN(
MROUND(
IF(
_xlfn.XLOOKUP(B235,'Animals CE'!B:B,'Animals CE'!AA:AA)&lt;=1.5,
_xlfn.XLOOKUP(B235,'Animals CE'!B:B,'Animals CE'!AA:AA)/2+0.05,
0.8+
(_xlfn.XLOOKUP(B235,'Animals CE'!B:B,'Animals CE'!AA:AA)-1.5)
*0.02
),
0.05
),
200%
),
"No"
)</f>
        <v>0.2</v>
      </c>
      <c r="P235" s="2" t="str">
        <f>_xlfn.XLOOKUP(B235,'Base stats'!B:B,'Base stats'!R:R)</f>
        <v>Standard</v>
      </c>
      <c r="Q235" s="13">
        <f>MROUND((LOG10(_xlfn.XLOOKUP(B235,'Base stats'!B:B,'Base stats'!AR:AR))*(AO235^0.5)+(_xlfn.XLOOKUP(B235,'Base stats'!B:B,'Base stats'!AR:AR)/1000)^(2/3)+_xlfn.XLOOKUP(B235,'Base stats'!B:B,'Base stats'!BA:BA)/2)+0.5,0.5)</f>
        <v>20.5</v>
      </c>
      <c r="R235" s="7">
        <f>IF(Q235="No","No",MAX(1,MROUND(_xlfn.XLOOKUP(B235,'Base stats'!B:B,'Base stats'!C:C)^0.165,0.05)))</f>
        <v>3.1500000000000004</v>
      </c>
      <c r="S235" s="13" t="str">
        <f>IF(_xlfn.XLOOKUP(_xlfn.XLOOKUP(B235,'Base stats'!B:B,'Base stats'!E:E),Groups!A:A,Groups!P:P)=0,"No",MROUND((LOG10(_xlfn.XLOOKUP(B235,'Base stats'!B:B,'Base stats'!AS:AS))*(AO235^0.5)+(_xlfn.XLOOKUP(B235,'Base stats'!B:B,'Base stats'!AS:AS)/1000)^(2/3)+_xlfn.XLOOKUP(B235,'Base stats'!B:B,'Base stats'!BA:BA))+_xlfn.XLOOKUP(B235,'Base stats'!B:B,'Base stats'!AY:AY)+0.5,0.5))</f>
        <v>No</v>
      </c>
      <c r="T235" s="7" t="str">
        <f>IF(S235="No","No",MAX(_xlfn.XLOOKUP(_xlfn.XLOOKUP(B235,'Base stats'!B:B,'Base stats'!E:E),Groups!A:A,Groups!Q:Q),MROUND(_xlfn.XLOOKUP(_xlfn.XLOOKUP(B235,'Base stats'!B:B,'Base stats'!E:E),Groups!A:A,Groups!Q:Q)*_xlfn.XLOOKUP(B235,'Base stats'!B:B,'Base stats'!C:C)^0.165,0.05)))</f>
        <v>No</v>
      </c>
      <c r="U235" s="7" t="str">
        <f>IF(S235="No","No",_xlfn.XLOOKUP(_xlfn.XLOOKUP(B235,'Base stats'!B:B,'Base stats'!E:E),Groups!A:A,Groups!R:R))</f>
        <v>No</v>
      </c>
      <c r="V235" s="7" t="str">
        <f>IF(S235="No","No",_xlfn.XLOOKUP(_xlfn.XLOOKUP(B235,'Base stats'!B:B,'Base stats'!E:E),Groups!A:A,Groups!S:S))</f>
        <v>No</v>
      </c>
      <c r="W235" s="7" t="str">
        <f>IF(S235="No","No",_xlfn.XLOOKUP(_xlfn.XLOOKUP(B235,'Base stats'!B:B,'Base stats'!E:E),Groups!A:A,Groups!T:T))</f>
        <v>No</v>
      </c>
      <c r="X235" s="13" t="str">
        <f>IF(_xlfn.XLOOKUP(B235,'Base stats'!B:B,'Base stats'!W:W)="No","No",MROUND((LOG10(_xlfn.XLOOKUP(B235,'Base stats'!B:B,'Base stats'!AU:AU))*(AO235^0.5)+(_xlfn.XLOOKUP(B235,'Base stats'!B:B,'Base stats'!AU:AU)/1000)^(2/3)+_xlfn.XLOOKUP(B235,'Base stats'!B:B,'Base stats'!AZ:AZ))+0.5+IF(_xlfn.XLOOKUP(_xlfn.XLOOKUP(B235,'Base stats'!B:B,'Base stats'!E:E),Groups!A:A,Groups!U:U)&lt;&gt;3,_xlfn.XLOOKUP(B235,'Base stats'!B:B,'Base stats'!BA:BA),0),0.5))</f>
        <v>No</v>
      </c>
      <c r="Y235" s="7" t="str">
        <f>IF(X235="No","No",MAX(_xlfn.XLOOKUP(_xlfn.XLOOKUP(B235,'Base stats'!B:B,'Base stats'!E:E),Groups!A:A,Groups!V:V),MROUND(_xlfn.XLOOKUP(_xlfn.XLOOKUP(B235,'Base stats'!B:B,'Base stats'!E:E),Groups!A:A,Groups!V:V)*_xlfn.XLOOKUP(B235,'Base stats'!B:B,'Base stats'!C:C)^0.165,0.05)))</f>
        <v>No</v>
      </c>
      <c r="Z235" s="7" t="str">
        <f>IF(X235="No","No",_xlfn.XLOOKUP(_xlfn.XLOOKUP(B235,'Base stats'!B:B,'Base stats'!E:E),Groups!A:A,Groups!W:W))</f>
        <v>No</v>
      </c>
      <c r="AA235" s="7" t="str">
        <f>IF(X235="No","No",_xlfn.XLOOKUP(_xlfn.XLOOKUP(B235,'Base stats'!B:B,'Base stats'!E:E),Groups!A:A,Groups!X:X))</f>
        <v>No</v>
      </c>
      <c r="AB235" s="7" t="str">
        <f>IF(X235="No","No",_xlfn.XLOOKUP(_xlfn.XLOOKUP(B235,'Base stats'!B:B,'Base stats'!E:E),Groups!A:A,Groups!Y:Y))</f>
        <v>No</v>
      </c>
      <c r="AC235" s="7" t="str">
        <f>_xlfn.XLOOKUP(Animals!B235,'Base stats'!B:B,'Base stats'!X:X)</f>
        <v>False</v>
      </c>
      <c r="AD235" s="13">
        <f>IF(_xlfn.XLOOKUP(B235,'Base stats'!B:B,'Base stats'!AT:AT)="No","No",MROUND((LOG10(_xlfn.XLOOKUP(B235,'Base stats'!B:B,'Base stats'!AT:AT))*(AO235^0.75)+(_xlfn.XLOOKUP(B235,'Base stats'!B:B,'Base stats'!AT:AT)/1000)^(2/3)+_xlfn.XLOOKUP(B235,'Base stats'!B:B,'Base stats'!AX:AX)+_xlfn.XLOOKUP(B235,'Base stats'!B:B,'Base stats'!BA:BA))+0.5,0.5))</f>
        <v>51</v>
      </c>
      <c r="AE235" s="7">
        <f>IF(AD235="No","No",MAX(_xlfn.XLOOKUP(_xlfn.XLOOKUP(B235,'Base stats'!B:B,'Base stats'!E:E),Groups!A:A,Groups!Z:Z),MROUND(_xlfn.XLOOKUP(_xlfn.XLOOKUP(B235,'Base stats'!B:B,'Base stats'!E:E),Groups!A:A,Groups!Z:Z)*_xlfn.XLOOKUP(B235,'Base stats'!B:B,'Base stats'!C:C)^0.165,0.05)))</f>
        <v>3.75</v>
      </c>
      <c r="AF235" s="7" t="str">
        <f>IF(AD235="No","No",_xlfn.XLOOKUP(_xlfn.XLOOKUP(B235,'Base stats'!B:B,'Base stats'!E:E),Groups!A:A,Groups!AA:AA))</f>
        <v>Mouth</v>
      </c>
      <c r="AG235" s="7" t="str">
        <f>IF(AD235="No","No",_xlfn.XLOOKUP(_xlfn.XLOOKUP(B235,'Base stats'!B:B,'Base stats'!E:E),Groups!A:A,Groups!AB:AB))</f>
        <v>chelicerae</v>
      </c>
      <c r="AH235" s="7" t="str">
        <f>IF(AD235="No","No",_xlfn.XLOOKUP(_xlfn.XLOOKUP(B235,'Base stats'!B:B,'Base stats'!E:E),Groups!A:A,Groups!AC:AC))</f>
        <v>ToxicBite</v>
      </c>
      <c r="AI235" s="13" t="str">
        <f>IF(_xlfn.XLOOKUP(_xlfn.XLOOKUP(B235,'Base stats'!B:B,'Base stats'!E:E),Groups!A:A,Groups!AD:AD)=0,"No",MROUND((LOG10(_xlfn.XLOOKUP(B235,'Base stats'!B:B,'Base stats'!AS:AS))*(AO235^0.75)+(_xlfn.XLOOKUP(B235,'Base stats'!B:B,'Base stats'!AS:AS)/1000)^(2/3)+_xlfn.XLOOKUP(B235,'Base stats'!B:B,'Base stats'!AY:AY)+_xlfn.XLOOKUP(B235,'Base stats'!B:B,'Base stats'!BA:BA))+0.5,0.5))</f>
        <v>No</v>
      </c>
      <c r="AJ235" s="7" t="str">
        <f>IF(AI235="No","No",MAX(_xlfn.XLOOKUP(_xlfn.XLOOKUP(B235,'Base stats'!B:B,'Base stats'!E:E),Groups!A:A,Groups!AE:AE),MROUND(_xlfn.XLOOKUP(_xlfn.XLOOKUP(B235,'Base stats'!B:B,'Base stats'!E:E),Groups!A:A,Groups!AE:AE)*IF(_xlfn.XLOOKUP(_xlfn.XLOOKUP(B235,'Base stats'!B:B,'Base stats'!E:E),Groups!A:A,Groups!AJ:AJ)="Photonozoa",0.6,1)*_xlfn.XLOOKUP(B235,'Base stats'!B:B,'Base stats'!C:C)^0.165,0.05)))</f>
        <v>No</v>
      </c>
      <c r="AK235" s="7" t="str">
        <f>IF(AI235="No","No",_xlfn.XLOOKUP(_xlfn.XLOOKUP(B235,'Base stats'!B:B,'Base stats'!E:E),Groups!A:A,Groups!AF:AF))</f>
        <v>No</v>
      </c>
      <c r="AL235" s="7" t="str">
        <f>IF(AI235="No","No",_xlfn.XLOOKUP(_xlfn.XLOOKUP(B235,'Base stats'!B:B,'Base stats'!E:E),Groups!A:A,Groups!AG:AG))</f>
        <v>No</v>
      </c>
      <c r="AM235" s="7" t="str">
        <f>IF(AI235="No","No",_xlfn.XLOOKUP(_xlfn.XLOOKUP(B235,'Base stats'!B:B,'Base stats'!E:E),Groups!A:A,Groups!AH:AH))</f>
        <v>No</v>
      </c>
      <c r="AN235" s="2">
        <f t="shared" si="21"/>
        <v>35</v>
      </c>
      <c r="AO235" s="2">
        <f>MROUND(IF(AND(_xlfn.XLOOKUP(B235,'Base stats'!B:B,'Base stats'!C:C)&gt;=0.5,_xlfn.XLOOKUP(B235,'Base stats'!B:B,'Base stats'!C:C)&lt;=0.8),
IF(_xlfn.XLOOKUP(B235,'Base stats'!B:B,'Base stats'!C:C)&lt;0.1,0.05,IF(_xlfn.XLOOKUP(B235,'Base stats'!B:B,'Base stats'!C:C)&lt;=70,(_xlfn.XLOOKUP(B235,'Base stats'!B:B,'Base stats'!C:C)/70)^0.426489913056526,IF(_xlfn.XLOOKUP(B235,'Base stats'!B:B,'Base stats'!C:C)&lt;=400,(_xlfn.XLOOKUP(B235,'Base stats'!B:B,'Base stats'!C:C)/70)^0.572811455315093,IF(_xlfn.XLOOKUP(B235,'Base stats'!B:B,'Base stats'!C:C)&lt;=2000,2.71391647193063*(_xlfn.XLOOKUP(B235,'Base stats'!B:B,'Base stats'!C:C)/400)^0.252459582904293,3.74314280240376*(_xlfn.XLOOKUP(B235,'Base stats'!B:B,'Base stats'!C:C)/2000)^0.357012633876913)))),
IF(_xlfn.XLOOKUP(B235,'Base stats'!B:B,'Base stats'!C:C)&lt;0.1,0.05,IF(_xlfn.XLOOKUP(B235,'Base stats'!B:B,'Base stats'!C:C)&lt;0.4,0.1,IF(_xlfn.XLOOKUP(B235,'Base stats'!B:B,'Base stats'!C:C)&lt;=70,(_xlfn.XLOOKUP(B235,'Base stats'!B:B,'Base stats'!C:C)/70)^0.445823913056526,IF(_xlfn.XLOOKUP(B235,'Base stats'!B:B,'Base stats'!C:C)&lt;=400,(_xlfn.XLOOKUP(B235,'Base stats'!B:B,'Base stats'!C:C)/70)^0.572811455315093,IF(_xlfn.XLOOKUP(B235,'Base stats'!B:B,'Base stats'!C:C)&lt;=2000,2.71391647193063*(_xlfn.XLOOKUP(B235,'Base stats'!B:B,'Base stats'!C:C)/400)^0.252459582904293,3.74314280240376*(_xlfn.XLOOKUP(B235,'Base stats'!B:B,'Base stats'!C:C)/2000)^0.357012633876913)))))),
IF(_xlfn.XLOOKUP(B235,'Base stats'!B:B,'Base stats'!C:C)&lt;0.1,0.05,IF(_xlfn.XLOOKUP(B235,'Base stats'!B:B,'Base stats'!C:C)&lt;=100,0.05,IF(_xlfn.XLOOKUP(B235,'Base stats'!B:B,'Base stats'!C:C)&lt;=250,0.1,IF(_xlfn.XLOOKUP(B235,'Base stats'!B:B,'Base stats'!C:C)&lt;=4000,0.25,0.5)))))</f>
        <v>3.5</v>
      </c>
      <c r="AP235" s="8">
        <f>MROUND(AO235*_xlfn.XLOOKUP(_xlfn.XLOOKUP(B235,'Base stats'!B:B,'Base stats'!E:E),Groups!A:A,Groups!AI:AI)*_xlfn.XLOOKUP(B235,'Base stats'!B:B,'Base stats'!Z:Z),0.05)</f>
        <v>3.5</v>
      </c>
      <c r="AQ235" s="8">
        <f>MAX(0.01,MROUND(IF(CC235="True",0.196*(AO235*100*1000)^0.889,IF(_xlfn.XLOOKUP(_xlfn.XLOOKUP(B235,'Base stats'!B:B,'Base stats'!E:E),Groups!A:A,Groups!AJ:AJ)="Bird",10.5*(AO235*100*1000)^0.681,4.82*(AO235*100*1000)^0.734))/(4.82*(1*100*1000)^0.734)/IF(AO235&lt;3.5,2,IF(AO235=3.5,1.5,1.25))*(1+0.132282374779864/(AO235^0.994035016789033+0.00905238001496948)),0.05))</f>
        <v>0.5</v>
      </c>
      <c r="AR235" s="9">
        <f>IFERROR(MROUND(_xlfn.XLOOKUP(B235,'Base stats'!B:B,'Base stats'!H:H)/IF(_xlfn.XLOOKUP(B235,'Base stats'!B:B,'Base stats'!I:I)&lt;&gt;1,(122.5/70),1.2),IF(_xlfn.XLOOKUP(B235,'Base stats'!B:B,'Base stats'!H:H)&gt;=30,5,IF(_xlfn.XLOOKUP(B235,'Base stats'!B:B,'Base stats'!H:H)&gt;=15,3,IF(_xlfn.XLOOKUP(B235,'Base stats'!B:B,'Base stats'!H:H)&gt;=10,2,1)))),"Immortal")</f>
        <v>12</v>
      </c>
      <c r="AS235" s="35" t="str">
        <f>IFERROR(IF(OR(_xlfn.XLOOKUP(B235,'Base stats'!B:B,'Base stats'!F:F)="Atypical reproduction",_xlfn.XLOOKUP(B235,'Base stats'!B:B,'Base stats'!F:F)="Lay eggs"),"Lay eggs",MIN(20,MAX(5.5,ROUND(((_xlfn.XLOOKUP(B235,'Base stats'!B:B,'Base stats'!F:F)-25)*(14.5/615) + 5.5)*2,0)/2))),"Unknown")</f>
        <v>Lay eggs</v>
      </c>
      <c r="AT235" s="8" t="str">
        <f>IF(_xlfn.XLOOKUP(B235,'Base stats'!B:B,'Base stats'!G:G)="Atypical reproduction","No",IFERROR(MAX(IF(_xlfn.XLOOKUP(B235,'Base stats'!B:B,'Base stats'!G:G)&lt;0.5,0.2,0.3),MROUND(_xlfn.XLOOKUP(B235,'Base stats'!B:B,'Base stats'!G:G)/(365/60),0.2)),"Unknown"))</f>
        <v>No</v>
      </c>
      <c r="AU235" s="8" t="str">
        <f t="shared" si="22"/>
        <v>No</v>
      </c>
      <c r="AV235" s="8" t="str">
        <f>IFERROR(IFERROR(MROUND(_xlfn.XLOOKUP(B235,'Base stats'!B:B,'Base stats'!J:J),0.1),"Lay eggs"),"Cannot breed")</f>
        <v>Lay eggs</v>
      </c>
      <c r="AW235" s="2" t="str">
        <f t="shared" si="23"/>
        <v>false</v>
      </c>
      <c r="AX235" s="2" t="str">
        <f>IF(_xlfn.XLOOKUP(_xlfn.XLOOKUP(Animals!B235,'Base stats'!B:B,'Base stats'!E:E),Groups!A:A,Groups!AK:AK)=1,"true","false")</f>
        <v>false</v>
      </c>
      <c r="AY235" s="25" t="str">
        <f>IF(_xlfn.XLOOKUP(B235,'Base stats'!B:B,'Base stats'!Y:Y)="Liquor","Liquor, CarnivoreAnimalStrict",IF(AND(_xlfn.XLOOKUP(B235,'Base stats'!B:B,'Base stats'!Y:Y)="Carnivore",_xlfn.XLOOKUP(_xlfn.XLOOKUP(B235,'Base stats'!B:B,'Base stats'!E:E),Groups!A:A,Groups!AJ:AJ)="Photonozoa"),"CarnivoreAnimalStrict, OvivoreAnimal",IF(_xlfn.XLOOKUP(B235,'Base stats'!B:B,'Base stats'!Y:Y)="Carnivore","CarnivoreAnimal, OvivoreAnimal",IF(_xlfn.XLOOKUP(B235,'Base stats'!B:B,'Base stats'!Y:Y)="Dendrovore","VegetarianRoughAnimal, DendrovoreAnimal",IF(_xlfn.XLOOKUP(B235,'Base stats'!B:B,'Base stats'!Y:Y)="Herbivore","VegetarianRoughAnimal",IF(_xlfn.XLOOKUP(B235,'Base stats'!B:B,'Base stats'!Y:Y)="OmnivoreRough","OmnivoreRoughAnimal, OvivoreAnimal","OmnivoreAnimal, OvivoreAnimal"))))))</f>
        <v>CarnivoreAnimal, OvivoreAnimal</v>
      </c>
      <c r="AZ235" s="2" t="str">
        <f>IF(_xlfn.XLOOKUP(_xlfn.XLOOKUP(B235,'Base stats'!B:B,'Base stats'!E:E),Groups!A:A,Groups!D:D)=1,MROUND((1-J235)*5+1,2)*IF(J235&lt;=0.4,2,1),"No")</f>
        <v>No</v>
      </c>
      <c r="BA235" s="2" t="str">
        <f>IF(AND(_xlfn.XLOOKUP(B235,'Base stats'!B:B,'Base stats'!AH:AH)="&lt;li&gt;Seal&lt;/li&gt;",G235="Odyssey"),"&lt;li&gt;AEXP_Seal&lt;/li&gt;",_xlfn.XLOOKUP(B235,'Base stats'!B:B,'Base stats'!AH:AH))</f>
        <v>&lt;li&gt;Megaspider&lt;/li&gt;</v>
      </c>
      <c r="BB235" s="2" t="str">
        <f>_xlfn.XLOOKUP(B235,'Base stats'!B:B,'Base stats'!AG:AG)</f>
        <v>Leather_Chitin</v>
      </c>
      <c r="BC235" s="23" t="str">
        <f>_xlfn.XLOOKUP(_xlfn.XLOOKUP(B235,'Base stats'!B:B,'Base stats'!E:E),Groups!A:A,Groups!AL:AL)</f>
        <v>Arachnid</v>
      </c>
      <c r="BD235" s="23">
        <f>MIN(1,MROUND(IF(AND(AO235&lt;0.5,_xlfn.XLOOKUP(B235,'Base stats'!B:B,'Base stats'!AA:AA)=0),0,IF(OR(_xlfn.XLOOKUP(Animals!B235,'Base stats'!B:B,'Base stats'!O:O)=2,_xlfn.XLOOKUP(_xlfn.XLOOKUP(B235,'Base stats'!B:B,'Base stats'!E:E),Groups!A:A,Groups!AN:AN)=0),0,_xlfn.XLOOKUP(_xlfn.XLOOKUP(B235,'Base stats'!B:B,'Base stats'!E:E),Groups!A:A,Groups!AN:AN)/IF(_xlfn.XLOOKUP(Animals!B235,'Base stats'!B:B,'Base stats'!O:O)=1,2,1)))+_xlfn.XLOOKUP(B235,'Base stats'!B:B,'Base stats'!AC:AC),0.005))</f>
        <v>0.1</v>
      </c>
      <c r="BE235" s="23">
        <f>MIN(1,MROUND(IF(AND(AO235&lt;0.5,_xlfn.XLOOKUP(B235,'Base stats'!B:B,'Base stats'!AA:AA)=0),0,IF(_xlfn.XLOOKUP(_xlfn.XLOOKUP(B235,'Base stats'!B:B,'Base stats'!E:E),Groups!A:A,Groups!AO:AO)=0,0,_xlfn.XLOOKUP(_xlfn.XLOOKUP(B235,'Base stats'!B:B,'Base stats'!E:E),Groups!A:A,Groups!AO:AO)/IF(_xlfn.XLOOKUP(Animals!B235,'Base stats'!B:B,'Base stats'!O:O)=2,3,1)))+_xlfn.XLOOKUP(B235,'Base stats'!B:B,'Base stats'!AD:AD),0.005))</f>
        <v>1</v>
      </c>
      <c r="BF235" s="2" t="str">
        <f>IF(J235&gt;0.3,"No",_xlfn.XLOOKUP(_xlfn.XLOOKUP(Animals!B235,'Base stats'!B:B,'Base stats'!E:E),Groups!A:A,Groups!AP:AP))</f>
        <v>No</v>
      </c>
      <c r="BG235" s="2" t="str">
        <f>IF(AND(J235&lt;=0.65,_xlfn.XLOOKUP(_xlfn.XLOOKUP(Animals!B235,'Base stats'!B:B,'Base stats'!E:E),Groups!A:A,Groups!AP:AP)&lt;&gt;"No",_xlfn.XLOOKUP(_xlfn.XLOOKUP(B235,'Base stats'!B:B,'Base stats'!E:E),Groups!A:A,Groups!D:D)=0),MROUND((80/3)*IF(_xlfn.XLOOKUP(B235,'Base stats'!B:B,'Base stats'!O:O)=2,0.2,AO235) + 24*(1-IF(BF235="No",0,BF235)) + 16/3, 12),"No")</f>
        <v>No</v>
      </c>
      <c r="BH235" s="2">
        <f>IF(AND(_xlfn.XLOOKUP(_xlfn.XLOOKUP(B235,'Base stats'!B:B,'Base stats'!E:E),Groups!A:A,Groups!AQ:AQ)=1,AO235&lt;=0.35),8,12)</f>
        <v>12</v>
      </c>
      <c r="BI235" s="2" t="str">
        <f>IF(_xlfn.XLOOKUP(_xlfn.XLOOKUP(B235,'Base stats'!B:B,'Base stats'!E:E),Groups!A:A,Groups!D:D)=0,_xlfn.XLOOKUP(_xlfn.XLOOKUP(B235,'Base stats'!B:B,'Base stats'!E:E),Groups!A:A,Groups!AR:AR),"None")</f>
        <v>Intermediate</v>
      </c>
      <c r="BJ235" s="2" t="str">
        <f>IF(AND(_xlfn.XLOOKUP(_xlfn.XLOOKUP(B235,'Base stats'!B:B,'Base stats'!E:E),Groups!A:A,Groups!AS:AS)=1,OR(_xlfn.XLOOKUP(B235,'Base stats'!B:B,'Base stats'!Y:Y)="Carnivore",_xlfn.XLOOKUP(B235,'Base stats'!B:B,'Base stats'!Y:Y)="Omnivore")),"true","false")</f>
        <v>true</v>
      </c>
      <c r="BK235" s="2">
        <f>IF(BJ235="true",MROUND(IF(AND(AO235&gt;0.5,OR(_xlfn.XLOOKUP(_xlfn.XLOOKUP(B235,'Base stats'!B:B,'Base stats'!E:E),Groups!A:A,Groups!AJ:AJ)="Photonozoa",_xlfn.XLOOKUP(_xlfn.XLOOKUP(B235,'Base stats'!B:B,'Base stats'!E:E),Groups!A:A,Groups!AJ:AJ)="Mammal")),Animals!AO235*1.75*IF(AW235="true",1.5,1),IF(AO235&lt;0.5,Animals!AO235*0.5,Animals!AO235)),IF(AO235&gt;2,0.5,IF(AO235&gt;0.5,0.25,0.1))),"No")</f>
        <v>3.5</v>
      </c>
      <c r="BL235" s="2">
        <f t="shared" si="24"/>
        <v>1</v>
      </c>
      <c r="BM235" s="25" t="str">
        <f>IF(_xlfn.XLOOKUP(B235,'Base stats'!B:B,'Base stats'!AN:AN)="Standard","No",MROUND((_xlfn.XLOOKUP(B235,'Base stats'!B:B,'Base stats'!AN:AN)/3.6)/I235,0.1))</f>
        <v>No</v>
      </c>
      <c r="BN235" s="25" t="str">
        <f t="shared" si="25"/>
        <v>false</v>
      </c>
      <c r="BO235" s="25" t="str">
        <f>IF(AND(OR(_xlfn.XLOOKUP(B235,'Base stats'!B:B,'Base stats'!Y:Y)="Carnivore",_xlfn.XLOOKUP(B235,'Base stats'!B:B,'Base stats'!Y:Y)="Omnivore",_xlfn.XLOOKUP(B235,'Base stats'!B:B,'Base stats'!Y:Y)="OmnivoreRough"),_xlfn.XLOOKUP(_xlfn.XLOOKUP(B235,'Base stats'!B:B,'Base stats'!E:E),Groups!A:A,Groups!AT:AT)=1),"true","false")</f>
        <v>false</v>
      </c>
      <c r="BP235" s="25" t="str" cm="1">
        <f t="array" ref="BP235">IF(
  _xlfn.TEXTJOIN(", ",TRUE,
    IF(AND(BJ235="true",AO235&gt;0.5,BI235&lt;&gt;"None"),"AttackTarget",""),
    IF(AND(_xlfn.XLOOKUP(_xlfn.XLOOKUP(B235,'Base stats'!B:B,'Base stats'!E:E),Groups!A:A,Groups!AJ:AJ="Mammal"),OR(_xlfn.XLOOKUP(B235,'Base stats'!B:B,'Base stats'!Y:Y)="Omnivore",_xlfn.XLOOKUP(B235,'Base stats'!B:B,'Base stats'!Y:Y)="OmnivoreRough")),"Forage",""),
    IF(BG235&lt;=36,"Comfort",""),
    IF(_xlfn.XLOOKUP(B235,'Base stats'!B:B,'Base stats'!AE:AE)&lt;&gt;"No",_xlfn.XLOOKUP(B235,'Base stats'!B:B,'Base stats'!AE:AE),"")
  ) = "",
  "No",
  _xlfn.TEXTJOIN(", ",TRUE,
    IF(AND(BJ235="true",AO235&gt;0.5,BI235&lt;&gt;"None"),"AttackTarget",""),
    IF(AND(_xlfn.XLOOKUP(_xlfn.XLOOKUP(B235,'Base stats'!B:B,'Base stats'!E:E),Groups!A:A,Groups!AJ:AJ="Mammal"),OR(_xlfn.XLOOKUP(B235,'Base stats'!B:B,'Base stats'!Y:Y)="Omnivore",_xlfn.XLOOKUP(B235,'Base stats'!B:B,'Base stats'!Y:Y)="OmnivoreRough")),"Forage",""),
    IF(BG235&lt;=36,"Comfort",""),
    IF(_xlfn.XLOOKUP(B235,'Base stats'!B:B,'Base stats'!AE:AE)&lt;&gt;"No",_xlfn.XLOOKUP(B235,'Base stats'!B:B,'Base stats'!AE:AE),"")
  )
)</f>
        <v>AttackTarget</v>
      </c>
      <c r="BQ235" s="25" t="str">
        <f>IF(
   AND(
      'Base stats'!AN235="Standard",_xlfn.XLOOKUP(_xlfn.XLOOKUP(B235,'Base stats'!B:B,'Base stats'!E:E),Groups!A:A,Groups!AU:AU)=0,
      OR(
      BO235="True"
      )
   ),
   10,
   IF(
       OR(BM235&lt;&gt;"No",_xlfn.XLOOKUP(_xlfn.XLOOKUP(B235,'Base stats'!B:B,'Base stats'!E:E),Groups!A:A,Groups!AU:AU)=1),
      1,
      "No"
   )
)</f>
        <v>No</v>
      </c>
      <c r="BR235" s="9">
        <f>MROUND((1 + ((0.2*IF(OR(Q235="No",R235="No",R235=0),0,Q235/R235)
+IF(OR(V235="No",S235="No",T235="No"),0,S235/T235*(LEN(V235)-LEN(SUBSTITUTE(V235,",",""))+1))
+IF(OR(X235="No",Y235="No"),0,X235/Y235)
+IF(OR(AD235="No",AE235="No"),0,AD235/AE235)
+IF(OR(AL235="No",AI235="No",AJ235="No"),0,AI235/AJ235*(LEN(AL235)-LEN(SUBSTITUTE(AL235,",",""))+1))
)/(0.2*IF(OR(Q235="No",R235="No",R235=0),0,1)
+IF(OR(V235="No",S235="No",T235="No"),0,LEN(V235)-LEN(SUBSTITUTE(V235,",",""))+1)
+IF(OR(X235="No",Y235="No"),0,1)
+IF(OR(AD235="No",AE235="No"),0,1)
+IF(OR(AL235="No",AI235="No",AJ235="No"),0,LEN(AL235)-LEN(SUBSTITUTE(AL235,",",""))+1))*62%)* 2)*(1 + (AP235 / (IF(_xlfn.XLOOKUP(_xlfn.XLOOKUP(B235,'Base stats'!B:B,'Base stats'!E:E),Groups!A:A,Groups!AJ:AJ)="Photonozoa",0.3,1)) + _xlfn.XLOOKUP(B235,'Base stats'!B:B,'Base stats'!AV:AV) * 1.8) * 2) * 2.5 + 10 + I235 * 2,5)+IF(_xlfn.XLOOKUP(B235,'Base stats'!B:B,'Base stats'!AK:AK)=1,50,0)</f>
        <v>420</v>
      </c>
      <c r="BS235" s="8">
        <f t="shared" si="26"/>
        <v>1.1000000000000001</v>
      </c>
      <c r="BT235" s="8" t="str">
        <f>_xlfn.XLOOKUP(B235,'Base stats'!B:B,'Base stats'!AF:AF)</f>
        <v>No</v>
      </c>
      <c r="BU235" s="2" t="str">
        <f>IF(AND(J235&lt;=0.95,OR(_xlfn.XLOOKUP(B235,'Base stats'!B:B,'Base stats'!AK:AK)=1,_xlfn.XLOOKUP(B235,'Base stats'!B:B,'Base stats'!Y:Y)="Carnivore",_xlfn.XLOOKUP(B235,'Base stats'!B:B,'Base stats'!Y:Y)="Omnivore",BE235&gt;0.1)),"true","false")</f>
        <v>false</v>
      </c>
      <c r="BV235" s="2" t="str">
        <f>IF(_xlfn.XLOOKUP(B235,'Base stats'!B:B,'Base stats'!AI:AI)=1,"true","false")</f>
        <v>false</v>
      </c>
      <c r="BW235" s="25" t="str">
        <f>IF(E235="BaseInsect","AnimalInsect",
IF(J235&gt;0.95,"AnimalExotic",
_xlfn.TEXTJOIN(", ",TRUE,
IF(OR(_xlfn.XLOOKUP(B235,'Base stats'!B:B,'Base stats'!AM:AM)=1,AND(_xlfn.XLOOKUP(B235,'Base stats'!B:B,'Base stats'!O:O)=0,_xlfn.XLOOKUP(_xlfn.XLOOKUP(B235,'Base stats'!B:B,'Base stats'!E:E),Groups!A:A,Groups!B:B)&gt;0)),"AnimalUncommon","AnimalCommon"),
IF(AND(_xlfn.XLOOKUP(B235,'Base stats'!B:B,'Base stats'!O:O)=2,_xlfn.XLOOKUP(_xlfn.XLOOKUP(B235,'Base stats'!B:B,'Base stats'!E:E),Groups!A:A,Groups!D:D)=0),"AnimalPet",IF(AND(_xlfn.XLOOKUP(B235,'Base stats'!B:B,'Base stats'!O:O)&lt;&gt;0,_xlfn.XLOOKUP(_xlfn.XLOOKUP(B235,'Base stats'!B:B,'Base stats'!E:E),Groups!A:A,Groups!D:D)&lt;&gt;0),"AnimalFarm","")),
IF(OR(_xlfn.XLOOKUP(B235,'Base stats'!B:B,'Base stats'!AK:AK)=1,AND(BI235&lt;&gt;"None",BR235&gt;=60),ISNUMBER(SEARCH("Attack target",BP235))),"AnimalFighter","")
)))</f>
        <v>AnimalExotic</v>
      </c>
      <c r="BX235" s="25" t="str">
        <f>IF(G235="None",TRIM(
SUBSTITUTE(
IF(COUNTIF(Biomes!B$2:B$259,"="&amp;$C235)&gt;0,Biomes!B$1&amp;", ","")&amp;
IF(COUNTIF(Biomes!C$2:C$259,"="&amp;$C235)&gt;0,Biomes!C$1&amp;", ","")&amp;
IF(COUNTIF(Biomes!D$2:D$259,"="&amp;$C235)&gt;0,Biomes!D$1&amp;", ","")&amp;
IF(COUNTIF(Biomes!F$2:F$259,"="&amp;$C235)&gt;0,Biomes!F$1&amp;", ","")&amp;
IF(COUNTIF(Biomes!G$2:G$259,"="&amp;$C235)&gt;0,Biomes!G$1&amp;", ","")&amp;
IF(COUNTIF(Biomes!H$2:H$259,"="&amp;$C235)&gt;0,Biomes!H$1&amp;", ","")&amp;
IF(COUNTIF(Biomes!I$2:I$259,"="&amp;$C235)&gt;0,Biomes!I$1&amp;", ","")&amp;
IF(COUNTIF(Biomes!J$2:J$259,"="&amp;$C235)&gt;0,Biomes!J$1&amp;", ","")&amp;
IF(COUNTIF(Biomes!M$2:M$259,"="&amp;$C235)&gt;0,Biomes!M$1&amp;", ","")&amp;
IF(COUNTIF(Biomes!N$2:N$259,"="&amp;$C235)&gt;0,Biomes!N$1&amp;", ","")&amp;
IF(COUNTIF(Biomes!O$2:O$259,"="&amp;$C235)&gt;0,Biomes!O$1&amp;", ","")&amp;
IF(COUNTIF(Biomes!P$2:P$259,"="&amp;$C235)&gt;0,Biomes!P$1&amp;", ","")&amp;
IF(COUNTIF(Biomes!K$2:K$259,"="&amp;$C235)&gt;0,Biomes!K$1&amp;", ","")&amp;
IF(COUNTIF(Biomes!Q$3:Q$259,"="&amp;$C235)&gt;0,Biomes!Q$1&amp;", ","")&amp;
IF(COUNTIF(Biomes!L$2:L$259,"="&amp;$C235)&gt;0,Biomes!L$1&amp;", ","")&amp;
IF(COUNTIF(Biomes!E$2:E$259,"="&amp;$C235)&gt;0,Biomes!E$1&amp;", ","")&amp;IF(COUNTIF(Biomes!S$2:S$259,"="&amp;$C235)&gt;0,Biomes!S$1&amp;", ","")&amp;
IF(COUNTIF(Biomes!R$2:R$259,"="&amp;$C235)&gt;0,Biomes!R$1&amp;", ",""),", ","")
),_xlfn.XLOOKUP(B235,B:B,BX:BX))</f>
        <v/>
      </c>
      <c r="BY235" s="25" t="str">
        <f>IF(_xlfn.XLOOKUP(B235,'Base stats'!B:B,'Base stats'!AJ:AJ)=1,"true","false")</f>
        <v>false</v>
      </c>
      <c r="BZ235" s="25">
        <f>IF(_xlfn.XLOOKUP(B235,'Base stats'!B:B,'Base stats'!N:N)=1,"No",MAX(0.001,MIN(MROUND(IF(AND(BJ235="True",CC235="False"),POWER(10,3.47*LOG10(_xlfn.XLOOKUP(B235,'Base stats'!B:B,'Base stats'!C:C)*1000)^-0.96),POWER(10,4.15*LOG10(_xlfn.XLOOKUP(B235,'Base stats'!B:B,'Base stats'!C:C)*1000)^-0.73))*IF(_xlfn.XLOOKUP(B235,'Base stats'!B:B,'Base stats'!AK:AK)=1,0.5,1)*IF(_xlfn.XLOOKUP(B235,'Base stats'!B:B,'Base stats'!AM:AM)=1,0.1,1)/100,IF(_xlfn.XLOOKUP(B235,'Base stats'!B:B,'Base stats'!AM:AM)=1,0.001,0.025)),0.5)))</f>
        <v>1.3000000000000001E-2</v>
      </c>
      <c r="CA235" s="25" t="str">
        <f>IF(P235="Standard","No",MAX(0.001,MIN(MROUND(IF(AND(BJ235="True",CC235="False"),POWER(10,3.47*LOG10(_xlfn.XLOOKUP(B235,'Base stats'!B:B,'Base stats'!C:C)*1000)^-0.96),POWER(10,4.15*LOG10(_xlfn.XLOOKUP(B235,'Base stats'!B:B,'Base stats'!C:C)*1000)^-0.73))*IF(_xlfn.XLOOKUP(B235,'Base stats'!B:B,'Base stats'!AM:AM)=1,0.1,1)*_xlfn.XLOOKUP(B235,'Base stats'!B:B,'Base stats'!R:R)/100,IF(_xlfn.XLOOKUP(B235,'Base stats'!B:B,'Base stats'!AM:AM)=1,0.001,0.025)),0.5)))</f>
        <v>No</v>
      </c>
      <c r="CB235" s="25" t="str">
        <f>IF(_xlfn.XLOOKUP(_xlfn.XLOOKUP(B235,'Base stats'!B:B,'Base stats'!E:E),Groups!A:A,Groups!AJ:AJ)="Mammal","True","False")</f>
        <v>False</v>
      </c>
      <c r="CC235" s="25" t="str">
        <f>IF(OR(_xlfn.XLOOKUP(_xlfn.XLOOKUP(B235,'Base stats'!B:B,'Base stats'!E:E),Groups!A:A,Groups!AJ:AJ)="Reptile",_xlfn.XLOOKUP(_xlfn.XLOOKUP(B235,'Base stats'!B:B,'Base stats'!E:E),Groups!A:A,Groups!AJ:AJ)="Amphibian",_xlfn.XLOOKUP(_xlfn.XLOOKUP(B235,'Base stats'!B:B,'Base stats'!E:E),Groups!A:A,Groups!AJ:AJ)="Invertebrate"),"True","False")</f>
        <v>True</v>
      </c>
      <c r="CD235" s="25" t="str">
        <f t="shared" si="27"/>
        <v>True</v>
      </c>
      <c r="CE235" s="25" t="str">
        <f>IF(_xlfn.XLOOKUP(_xlfn.XLOOKUP(B235,'Base stats'!B:B,'Base stats'!E:E),Groups!A:A,Groups!AX:AX),"True","False")</f>
        <v>False</v>
      </c>
      <c r="CF235" s="25" t="str">
        <f>IF(_xlfn.XLOOKUP(_xlfn.XLOOKUP(B235,'Base stats'!B:B,'Base stats'!E:E),Groups!A:A,Groups!AY:AY),"True","False")</f>
        <v>False</v>
      </c>
      <c r="CG235" s="25" t="str">
        <f>IF(_xlfn.XLOOKUP(_xlfn.XLOOKUP(B235,'Base stats'!B:B,'Base stats'!E:E),Groups!A:A,Groups!AW:AW),"True","False")</f>
        <v>False</v>
      </c>
      <c r="CH235" s="25" t="str">
        <f>IF(
OR(
_xlfn.XLOOKUP(_xlfn.XLOOKUP(B235,'Base stats'!B:B,'Base stats'!E:E),Groups!A:A,Groups!AZ:AZ)=0,
AND(
_xlfn.XLOOKUP(B235,'Base stats'!B:B,'Base stats'!Y:Y)&lt;&gt;"Carnivore",
_xlfn.XLOOKUP(B235,'Base stats'!B:B,'Base stats'!Y:Y)&lt;&gt;"Omnivore",
_xlfn.XLOOKUP(B235,'Base stats'!B:B,'Base stats'!Y:Y)&lt;&gt;"OmnivoreRough"
)
),
"No",
IF(
_xlfn.XLOOKUP(_xlfn.XLOOKUP(B235,'Base stats'!B:B,'Base stats'!E:E),Groups!A:A,Groups!AZ:AZ)=1,
"Flesh",
IF(
_xlfn.XLOOKUP(_xlfn.XLOOKUP(B235,'Base stats'!B:B,'Base stats'!E:E),Groups!A:A,Groups!AZ:AZ)=2,
"Bone",
""
)
)
)</f>
        <v>No</v>
      </c>
      <c r="CI235" s="25" t="str">
        <f>IF(_xlfn.XLOOKUP(_xlfn.XLOOKUP(B235,'Base stats'!B:B,'Base stats'!E:E),Groups!A:A,Groups!BB:BB),"True","False")</f>
        <v>False</v>
      </c>
      <c r="CJ235" s="25" t="str">
        <f>IF(_xlfn.XLOOKUP(_xlfn.XLOOKUP(B235,'Base stats'!B:B,'Base stats'!E:E),Groups!A:A,Groups!BA:BA),"True","False")</f>
        <v>False</v>
      </c>
    </row>
    <row r="236" spans="1:88" ht="16.5" thickTop="1" thickBot="1" x14ac:dyDescent="0.3">
      <c r="A236" s="26" t="s">
        <v>1378</v>
      </c>
      <c r="B236" s="6" t="str">
        <f>_xlfn.XLOOKUP(A236,'Base stats'!A:A,'Base stats'!B:B)</f>
        <v>Caridea sanguinea</v>
      </c>
      <c r="C236" s="28" t="s">
        <v>1379</v>
      </c>
      <c r="D236" s="28" t="s">
        <v>1341</v>
      </c>
      <c r="E236" s="28" t="s">
        <v>673</v>
      </c>
      <c r="F236" s="28" t="s">
        <v>673</v>
      </c>
      <c r="G236" s="28" t="s">
        <v>673</v>
      </c>
      <c r="H236" s="2">
        <f>MROUND((
  (IF(AND(_xlfn.XLOOKUP(B236,'Base stats'!B:B,'Base stats'!AL:AL)=0,BI236="None",_xlfn.XLOOKUP(_xlfn.XLOOKUP(B236,'Base stats'!B:B,'Base stats'!E:E),Groups!A:A,Groups!B:B)=0), (18 + BR236 * 2.7) * 0.5,
    IF(AND(_xlfn.XLOOKUP(B236,'Base stats'!B:B,'Base stats'!AL:AL)=0,OR(AO236&lt;0.55,AND(BI236="Intermediate",_xlfn.XLOOKUP(_xlfn.XLOOKUP(B236,'Base stats'!B:B,'Base stats'!E:E),Groups!A:A,Groups!B:B)&lt;2))), (18 + BR236 * 2.7),
      IF(OR(BI236="Advanced",_xlfn.XLOOKUP(B236,'Base stats'!B:B,'Base stats'!AL:AL)=1,_xlfn.XLOOKUP(_xlfn.XLOOKUP(B236,'Base stats'!B:B,'Base stats'!E:E),Groups!A:A,Groups!B:B)=2), (18 + BR236 * 2.7) + 250, (18 + BR236 * 2.7))
    )
  ))
  + AO236 * 80
  + IF(COUNTIF(EggMilk!K$2:K$998, A236) &gt; 0, 125, 0)
  + IF(COUNTIF(EggMilk!P$2:P$998, A236) &gt; 0, 90, 0)
  + IF(COUNTIF(EggMilk!A$2:A$998, A236) &gt; 0, 90, 0)
)
* (0.8 + 0.4 * J236)
* 0.75,25)</f>
        <v>450</v>
      </c>
      <c r="I236" s="2">
        <f>MROUND(ROUNDDOWN(_xlfn.XLOOKUP(B236,'Base stats'!B:B,'Base stats'!L:L)/3.6/(23.3/11),1),0.5)</f>
        <v>3</v>
      </c>
      <c r="J236" s="2">
        <f>IF(OR(_xlfn.XLOOKUP(B236,'Base stats'!B:B,'Base stats'!AB:AB)=1,_xlfn.XLOOKUP(_xlfn.XLOOKUP(B236,'Base stats'!B:B,'Base stats'!E:E),Groups!A:A,Groups!C:C)="Untamable"),1,IF(_xlfn.XLOOKUP(B236,'Base stats'!B:B,'Base stats'!AL:AL)=1,0.99,MIN(MROUND((1-0.6282*EXP(-0.459*AO236))*_xlfn.XLOOKUP(_xlfn.XLOOKUP(B236,'Base stats'!B:B,'Base stats'!E:E),Groups!A:A,Groups!C:C)*IF(_xlfn.XLOOKUP(B236,'Base stats'!B:B,'Base stats'!O:O)=1,0.5,IF(_xlfn.XLOOKUP(B236,'Base stats'!B:B,'Base stats'!O:O)=2,0,1)),0.05),IF(AO236&gt;3.5,0.985,0.95))))</f>
        <v>0.65</v>
      </c>
      <c r="K236" s="2">
        <f>ROUNDUP(AO236*_xlfn.XLOOKUP(_xlfn.XLOOKUP(B236,'Base stats'!B:B,'Base stats'!E:E),Groups!A:A,Groups!E:E),0)</f>
        <v>1</v>
      </c>
      <c r="L236" s="2">
        <f>IF(OR(_xlfn.XLOOKUP(_xlfn.XLOOKUP(B236,'Base stats'!B:B,'Base stats'!E:E),Groups!A:A,Groups!F:F)=2,ISNUMBER(SEARCH("SeaIce",BX236)),ISNUMBER(SEARCH("IceSheet",BX236))),-50,IF(OR(ISNUMBER(SEARCH("GlacialPlain",BX236)),ISNUMBER(SEARCH("Tundra",BX236))),-40,IF(OR(ISNUMBER(SEARCH("Alpine",BX236)),ISNUMBER(SEARCH("BorealForest",BX236)),ISNUMBER(SEARCH("ColdBog",BX236))),-30,IF(OR(ISNUMBER(SEARCH("TemperateForest",BX236)),ISNUMBER(SEARCH("TemperateSwamp",BX236))),-20,IF(_xlfn.XLOOKUP(_xlfn.XLOOKUP(B236,'Base stats'!B:B,'Base stats'!E:E),Groups!A:A,Groups!F:F)=1,-15,IF(OR(ISNUMBER(SEARCH("Desert",BX236)),ISNUMBER(SEARCH("ExtremeDesert",BX236))),-10,IF(OR(ISNUMBER(SEARCH("Grasslands",BX236)),ISNUMBER(SEARCH("TropicalRainforest",BX236)),ISNUMBER(SEARCH("TropicalSwamp",BX236))),10,0)))))))-IF(CC236="False",MIN(IFERROR(MAX(MROUND(LOG10(_xlfn.XLOOKUP(B236,'Base stats'!B:B,'Base stats'!C:C)^(2/3))*10,5),5),5),30))-_xlfn.XLOOKUP(B236,'Base stats'!B:B,'Base stats'!P:P)+IF(CC236="True",5,0)</f>
        <v>-5</v>
      </c>
      <c r="M236" s="2">
        <f>IF(OR(_xlfn.XLOOKUP(_xlfn.XLOOKUP(B236,'Base stats'!B:B,'Base stats'!E:E),Groups!A:A,Groups!G:G)=2,ISNUMBER(SEARCH("Desert",BX236)),ISNUMBER(SEARCH("ExtremeDesert",BX236)),ISNUMBER(SEARCH("LavaField",BX236))),50,IF(ISNUMBER(SEARCH("Grasslands",BX236)),45,IF(OR(_xlfn.XLOOKUP(_xlfn.XLOOKUP(B236,'Base stats'!B:B,'Base stats'!E:E),Groups!A:A,Groups!G:G)=1,ISNUMBER(SEARCH("TropicalRainforest",BX236)),ISNUMBER(SEARCH("TropicalSwamp",BX236))),40,IF(OR(ISNUMBER(SEARCH("TemperateForest",BX236)),ISNUMBER(SEARCH("TemperateSwamp",BX236))),35,IF(OR(ISNUMBER(SEARCH("Alpine",BX236)),ISNUMBER(SEARCH("BorealForest",BX236)),ISNUMBER(SEARCH("ColdBog",BX236))),30,IF(ISNUMBER(OR(ISNUMBER(SEARCH("GlacialPlain",BX236)),SEARCH("Tundra",BX236))),25,IF(OR(ISNUMBER(SEARCH("SeaIce",BX236)),ISNUMBER(SEARCH("IceSheet",BX236)),ISNUMBER(SEARCH("TropicalSwamp",BX236))),10,35)))))))+_xlfn.XLOOKUP(B236,'Base stats'!B:B,'Base stats'!Q:Q)</f>
        <v>50</v>
      </c>
      <c r="N236" s="8">
        <f>IF(
_xlfn.XLOOKUP(
_xlfn.XLOOKUP(B236,'Base stats'!B:B,'Base stats'!E:E),
Groups!A:A,
Groups!L:L
)=1,
MIN(
MROUND(
IF(
_xlfn.XLOOKUP(B236,'Animals CE'!B:B,'Animals CE'!Z:Z)&lt;=1.5,
_xlfn.XLOOKUP(B236,'Animals CE'!B:B,'Animals CE'!Z:Z)/2+0.05,
0.8+
(_xlfn.XLOOKUP(B236,'Animals CE'!B:B,'Animals CE'!Z:Z)-1.5)
*0.02
),
0.05
),
200%
),
"No"
)</f>
        <v>0.8</v>
      </c>
      <c r="O236" s="8">
        <f>IF(
_xlfn.XLOOKUP(
_xlfn.XLOOKUP(B236,'Base stats'!B:B,'Base stats'!E:E),
Groups!A:A,
Groups!L:L
)=1,
MIN(
MROUND(
IF(
_xlfn.XLOOKUP(B236,'Animals CE'!B:B,'Animals CE'!AA:AA)&lt;=1.5,
_xlfn.XLOOKUP(B236,'Animals CE'!B:B,'Animals CE'!AA:AA)/2+0.05,
0.8+
(_xlfn.XLOOKUP(B236,'Animals CE'!B:B,'Animals CE'!AA:AA)-1.5)
*0.02
),
0.05
),
200%
),
"No"
)</f>
        <v>0.8</v>
      </c>
      <c r="P236" s="2" t="str">
        <f>_xlfn.XLOOKUP(B236,'Base stats'!B:B,'Base stats'!R:R)</f>
        <v>Standard</v>
      </c>
      <c r="Q236" s="13">
        <f>MROUND((LOG10(_xlfn.XLOOKUP(B236,'Base stats'!B:B,'Base stats'!AR:AR))*(AO236^0.5)+(_xlfn.XLOOKUP(B236,'Base stats'!B:B,'Base stats'!AR:AR)/1000)^(2/3)+_xlfn.XLOOKUP(B236,'Base stats'!B:B,'Base stats'!BA:BA)/2)+0.5,0.5)</f>
        <v>7</v>
      </c>
      <c r="R236" s="7">
        <f>IF(Q236="No","No",MAX(1,MROUND(_xlfn.XLOOKUP(B236,'Base stats'!B:B,'Base stats'!C:C)^0.165,0.05)))</f>
        <v>2</v>
      </c>
      <c r="S236" s="13" t="str">
        <f>IF(_xlfn.XLOOKUP(_xlfn.XLOOKUP(B236,'Base stats'!B:B,'Base stats'!E:E),Groups!A:A,Groups!P:P)=0,"No",MROUND((LOG10(_xlfn.XLOOKUP(B236,'Base stats'!B:B,'Base stats'!AS:AS))*(AO236^0.5)+(_xlfn.XLOOKUP(B236,'Base stats'!B:B,'Base stats'!AS:AS)/1000)^(2/3)+_xlfn.XLOOKUP(B236,'Base stats'!B:B,'Base stats'!BA:BA))+_xlfn.XLOOKUP(B236,'Base stats'!B:B,'Base stats'!AY:AY)+0.5,0.5))</f>
        <v>No</v>
      </c>
      <c r="T236" s="7" t="str">
        <f>IF(S236="No","No",MAX(_xlfn.XLOOKUP(_xlfn.XLOOKUP(B236,'Base stats'!B:B,'Base stats'!E:E),Groups!A:A,Groups!Q:Q),MROUND(_xlfn.XLOOKUP(_xlfn.XLOOKUP(B236,'Base stats'!B:B,'Base stats'!E:E),Groups!A:A,Groups!Q:Q)*_xlfn.XLOOKUP(B236,'Base stats'!B:B,'Base stats'!C:C)^0.165,0.05)))</f>
        <v>No</v>
      </c>
      <c r="U236" s="7" t="str">
        <f>IF(S236="No","No",_xlfn.XLOOKUP(_xlfn.XLOOKUP(B236,'Base stats'!B:B,'Base stats'!E:E),Groups!A:A,Groups!R:R))</f>
        <v>No</v>
      </c>
      <c r="V236" s="7" t="str">
        <f>IF(S236="No","No",_xlfn.XLOOKUP(_xlfn.XLOOKUP(B236,'Base stats'!B:B,'Base stats'!E:E),Groups!A:A,Groups!S:S))</f>
        <v>No</v>
      </c>
      <c r="W236" s="7" t="str">
        <f>IF(S236="No","No",_xlfn.XLOOKUP(_xlfn.XLOOKUP(B236,'Base stats'!B:B,'Base stats'!E:E),Groups!A:A,Groups!T:T))</f>
        <v>No</v>
      </c>
      <c r="X236" s="13" t="str">
        <f>IF(_xlfn.XLOOKUP(B236,'Base stats'!B:B,'Base stats'!W:W)="No","No",MROUND((LOG10(_xlfn.XLOOKUP(B236,'Base stats'!B:B,'Base stats'!AU:AU))*(AO236^0.5)+(_xlfn.XLOOKUP(B236,'Base stats'!B:B,'Base stats'!AU:AU)/1000)^(2/3)+_xlfn.XLOOKUP(B236,'Base stats'!B:B,'Base stats'!AZ:AZ))+0.5+IF(_xlfn.XLOOKUP(_xlfn.XLOOKUP(B236,'Base stats'!B:B,'Base stats'!E:E),Groups!A:A,Groups!U:U)&lt;&gt;3,_xlfn.XLOOKUP(B236,'Base stats'!B:B,'Base stats'!BA:BA),0),0.5))</f>
        <v>No</v>
      </c>
      <c r="Y236" s="7" t="str">
        <f>IF(X236="No","No",MAX(_xlfn.XLOOKUP(_xlfn.XLOOKUP(B236,'Base stats'!B:B,'Base stats'!E:E),Groups!A:A,Groups!V:V),MROUND(_xlfn.XLOOKUP(_xlfn.XLOOKUP(B236,'Base stats'!B:B,'Base stats'!E:E),Groups!A:A,Groups!V:V)*_xlfn.XLOOKUP(B236,'Base stats'!B:B,'Base stats'!C:C)^0.165,0.05)))</f>
        <v>No</v>
      </c>
      <c r="Z236" s="7" t="str">
        <f>IF(X236="No","No",_xlfn.XLOOKUP(_xlfn.XLOOKUP(B236,'Base stats'!B:B,'Base stats'!E:E),Groups!A:A,Groups!W:W))</f>
        <v>No</v>
      </c>
      <c r="AA236" s="7" t="str">
        <f>IF(X236="No","No",_xlfn.XLOOKUP(_xlfn.XLOOKUP(B236,'Base stats'!B:B,'Base stats'!E:E),Groups!A:A,Groups!X:X))</f>
        <v>No</v>
      </c>
      <c r="AB236" s="7" t="str">
        <f>IF(X236="No","No",_xlfn.XLOOKUP(_xlfn.XLOOKUP(B236,'Base stats'!B:B,'Base stats'!E:E),Groups!A:A,Groups!Y:Y))</f>
        <v>No</v>
      </c>
      <c r="AC236" s="7" t="str">
        <f>_xlfn.XLOOKUP(Animals!B236,'Base stats'!B:B,'Base stats'!X:X)</f>
        <v>False</v>
      </c>
      <c r="AD236" s="13">
        <f>IF(_xlfn.XLOOKUP(B236,'Base stats'!B:B,'Base stats'!AT:AT)="No","No",MROUND((LOG10(_xlfn.XLOOKUP(B236,'Base stats'!B:B,'Base stats'!AT:AT))*(AO236^0.75)+(_xlfn.XLOOKUP(B236,'Base stats'!B:B,'Base stats'!AT:AT)/1000)^(2/3)+_xlfn.XLOOKUP(B236,'Base stats'!B:B,'Base stats'!AX:AX)+_xlfn.XLOOKUP(B236,'Base stats'!B:B,'Base stats'!BA:BA))+0.5,0.5))</f>
        <v>18</v>
      </c>
      <c r="AE236" s="7">
        <f>IF(AD236="No","No",MAX(_xlfn.XLOOKUP(_xlfn.XLOOKUP(B236,'Base stats'!B:B,'Base stats'!E:E),Groups!A:A,Groups!Z:Z),MROUND(_xlfn.XLOOKUP(_xlfn.XLOOKUP(B236,'Base stats'!B:B,'Base stats'!E:E),Groups!A:A,Groups!Z:Z)*_xlfn.XLOOKUP(B236,'Base stats'!B:B,'Base stats'!C:C)^0.165,0.05)))</f>
        <v>2.4000000000000004</v>
      </c>
      <c r="AF236" s="7" t="str">
        <f>IF(AD236="No","No",_xlfn.XLOOKUP(_xlfn.XLOOKUP(B236,'Base stats'!B:B,'Base stats'!E:E),Groups!A:A,Groups!AA:AA))</f>
        <v>Mouth</v>
      </c>
      <c r="AG236" s="7" t="str">
        <f>IF(AD236="No","No",_xlfn.XLOOKUP(_xlfn.XLOOKUP(B236,'Base stats'!B:B,'Base stats'!E:E),Groups!A:A,Groups!AB:AB))</f>
        <v>mandibles</v>
      </c>
      <c r="AH236" s="7" t="str">
        <f>IF(AD236="No","No",_xlfn.XLOOKUP(_xlfn.XLOOKUP(B236,'Base stats'!B:B,'Base stats'!E:E),Groups!A:A,Groups!AC:AC))</f>
        <v>Bite</v>
      </c>
      <c r="AI236" s="13">
        <f>IF(_xlfn.XLOOKUP(_xlfn.XLOOKUP(B236,'Base stats'!B:B,'Base stats'!E:E),Groups!A:A,Groups!AD:AD)=0,"No",MROUND((LOG10(_xlfn.XLOOKUP(B236,'Base stats'!B:B,'Base stats'!AS:AS))*(AO236^0.75)+(_xlfn.XLOOKUP(B236,'Base stats'!B:B,'Base stats'!AS:AS)/1000)^(2/3)+_xlfn.XLOOKUP(B236,'Base stats'!B:B,'Base stats'!AY:AY)+_xlfn.XLOOKUP(B236,'Base stats'!B:B,'Base stats'!BA:BA))+0.5,0.5))</f>
        <v>18.5</v>
      </c>
      <c r="AJ236" s="7">
        <f>IF(AI236="No","No",MAX(_xlfn.XLOOKUP(_xlfn.XLOOKUP(B236,'Base stats'!B:B,'Base stats'!E:E),Groups!A:A,Groups!AE:AE),MROUND(_xlfn.XLOOKUP(_xlfn.XLOOKUP(B236,'Base stats'!B:B,'Base stats'!E:E),Groups!A:A,Groups!AE:AE)*IF(_xlfn.XLOOKUP(_xlfn.XLOOKUP(B236,'Base stats'!B:B,'Base stats'!E:E),Groups!A:A,Groups!AJ:AJ)="Photonozoa",0.6,1)*_xlfn.XLOOKUP(B236,'Base stats'!B:B,'Base stats'!C:C)^0.165,0.05)))</f>
        <v>2.2000000000000002</v>
      </c>
      <c r="AK236" s="7" t="str">
        <f>IF(AI236="No","No",_xlfn.XLOOKUP(_xlfn.XLOOKUP(B236,'Base stats'!B:B,'Base stats'!E:E),Groups!A:A,Groups!AF:AF))</f>
        <v>FrontLeftPaw, FrontRightPaw</v>
      </c>
      <c r="AL236" s="7" t="str">
        <f>IF(AI236="No","No",_xlfn.XLOOKUP(_xlfn.XLOOKUP(B236,'Base stats'!B:B,'Base stats'!E:E),Groups!A:A,Groups!AG:AG))</f>
        <v>left blade, right blade</v>
      </c>
      <c r="AM236" s="7" t="str">
        <f>IF(AI236="No","No",_xlfn.XLOOKUP(_xlfn.XLOOKUP(B236,'Base stats'!B:B,'Base stats'!E:E),Groups!A:A,Groups!AH:AH))</f>
        <v>AA_RegenerativePierce</v>
      </c>
      <c r="AN236" s="2">
        <f t="shared" si="21"/>
        <v>20</v>
      </c>
      <c r="AO236" s="2">
        <f>MROUND(IF(AND(_xlfn.XLOOKUP(B236,'Base stats'!B:B,'Base stats'!C:C)&gt;=0.5,_xlfn.XLOOKUP(B236,'Base stats'!B:B,'Base stats'!C:C)&lt;=0.8),
IF(_xlfn.XLOOKUP(B236,'Base stats'!B:B,'Base stats'!C:C)&lt;0.1,0.05,IF(_xlfn.XLOOKUP(B236,'Base stats'!B:B,'Base stats'!C:C)&lt;=70,(_xlfn.XLOOKUP(B236,'Base stats'!B:B,'Base stats'!C:C)/70)^0.426489913056526,IF(_xlfn.XLOOKUP(B236,'Base stats'!B:B,'Base stats'!C:C)&lt;=400,(_xlfn.XLOOKUP(B236,'Base stats'!B:B,'Base stats'!C:C)/70)^0.572811455315093,IF(_xlfn.XLOOKUP(B236,'Base stats'!B:B,'Base stats'!C:C)&lt;=2000,2.71391647193063*(_xlfn.XLOOKUP(B236,'Base stats'!B:B,'Base stats'!C:C)/400)^0.252459582904293,3.74314280240376*(_xlfn.XLOOKUP(B236,'Base stats'!B:B,'Base stats'!C:C)/2000)^0.357012633876913)))),
IF(_xlfn.XLOOKUP(B236,'Base stats'!B:B,'Base stats'!C:C)&lt;0.1,0.05,IF(_xlfn.XLOOKUP(B236,'Base stats'!B:B,'Base stats'!C:C)&lt;0.4,0.1,IF(_xlfn.XLOOKUP(B236,'Base stats'!B:B,'Base stats'!C:C)&lt;=70,(_xlfn.XLOOKUP(B236,'Base stats'!B:B,'Base stats'!C:C)/70)^0.445823913056526,IF(_xlfn.XLOOKUP(B236,'Base stats'!B:B,'Base stats'!C:C)&lt;=400,(_xlfn.XLOOKUP(B236,'Base stats'!B:B,'Base stats'!C:C)/70)^0.572811455315093,IF(_xlfn.XLOOKUP(B236,'Base stats'!B:B,'Base stats'!C:C)&lt;=2000,2.71391647193063*(_xlfn.XLOOKUP(B236,'Base stats'!B:B,'Base stats'!C:C)/400)^0.252459582904293,3.74314280240376*(_xlfn.XLOOKUP(B236,'Base stats'!B:B,'Base stats'!C:C)/2000)^0.357012633876913)))))),
IF(_xlfn.XLOOKUP(B236,'Base stats'!B:B,'Base stats'!C:C)&lt;0.1,0.05,IF(_xlfn.XLOOKUP(B236,'Base stats'!B:B,'Base stats'!C:C)&lt;=100,0.05,IF(_xlfn.XLOOKUP(B236,'Base stats'!B:B,'Base stats'!C:C)&lt;=250,0.1,IF(_xlfn.XLOOKUP(B236,'Base stats'!B:B,'Base stats'!C:C)&lt;=4000,0.25,0.5)))))</f>
        <v>1</v>
      </c>
      <c r="AP236" s="8">
        <f>MROUND(AO236*_xlfn.XLOOKUP(_xlfn.XLOOKUP(B236,'Base stats'!B:B,'Base stats'!E:E),Groups!A:A,Groups!AI:AI)*_xlfn.XLOOKUP(B236,'Base stats'!B:B,'Base stats'!Z:Z),0.05)</f>
        <v>1</v>
      </c>
      <c r="AQ236" s="8">
        <f>MAX(0.01,MROUND(IF(CC236="True",0.196*(AO236*100*1000)^0.889,IF(_xlfn.XLOOKUP(_xlfn.XLOOKUP(B236,'Base stats'!B:B,'Base stats'!E:E),Groups!A:A,Groups!AJ:AJ)="Bird",10.5*(AO236*100*1000)^0.681,4.82*(AO236*100*1000)^0.734))/(4.82*(1*100*1000)^0.734)/IF(AO236&lt;3.5,2,IF(AO236=3.5,1.5,1.25))*(1+0.132282374779864/(AO236^0.994035016789033+0.00905238001496948)),0.05))</f>
        <v>0.15000000000000002</v>
      </c>
      <c r="AR236" s="9">
        <f>IFERROR(MROUND(_xlfn.XLOOKUP(B236,'Base stats'!B:B,'Base stats'!H:H)/IF(_xlfn.XLOOKUP(B236,'Base stats'!B:B,'Base stats'!I:I)&lt;&gt;1,(122.5/70),1.2),IF(_xlfn.XLOOKUP(B236,'Base stats'!B:B,'Base stats'!H:H)&gt;=30,5,IF(_xlfn.XLOOKUP(B236,'Base stats'!B:B,'Base stats'!H:H)&gt;=15,3,IF(_xlfn.XLOOKUP(B236,'Base stats'!B:B,'Base stats'!H:H)&gt;=10,2,1)))),"Immortal")</f>
        <v>12</v>
      </c>
      <c r="AS236" s="35">
        <f>IFERROR(IF(OR(_xlfn.XLOOKUP(B236,'Base stats'!B:B,'Base stats'!F:F)="Atypical reproduction",_xlfn.XLOOKUP(B236,'Base stats'!B:B,'Base stats'!F:F)="Lay eggs"),"Lay eggs",MIN(20,MAX(5.5,ROUND(((_xlfn.XLOOKUP(B236,'Base stats'!B:B,'Base stats'!F:F)-25)*(14.5/615) + 5.5)*2,0)/2))),"Unknown")</f>
        <v>7.5</v>
      </c>
      <c r="AT236" s="8">
        <f>IF(_xlfn.XLOOKUP(B236,'Base stats'!B:B,'Base stats'!G:G)="Atypical reproduction","No",IFERROR(MAX(IF(_xlfn.XLOOKUP(B236,'Base stats'!B:B,'Base stats'!G:G)&lt;0.5,0.2,0.3),MROUND(_xlfn.XLOOKUP(B236,'Base stats'!B:B,'Base stats'!G:G)/(365/60),0.2)),"Unknown"))</f>
        <v>0.4</v>
      </c>
      <c r="AU236" s="8">
        <f t="shared" si="22"/>
        <v>0.2</v>
      </c>
      <c r="AV236" s="8">
        <f>IFERROR(IFERROR(MROUND(_xlfn.XLOOKUP(B236,'Base stats'!B:B,'Base stats'!J:J),0.1),"Lay eggs"),"Cannot breed")</f>
        <v>4</v>
      </c>
      <c r="AW236" s="2" t="str">
        <f t="shared" si="23"/>
        <v>false</v>
      </c>
      <c r="AX236" s="2" t="str">
        <f>IF(_xlfn.XLOOKUP(_xlfn.XLOOKUP(Animals!B236,'Base stats'!B:B,'Base stats'!E:E),Groups!A:A,Groups!AK:AK)=1,"true","false")</f>
        <v>false</v>
      </c>
      <c r="AY236" s="25" t="str">
        <f>IF(_xlfn.XLOOKUP(B236,'Base stats'!B:B,'Base stats'!Y:Y)="Liquor","Liquor, CarnivoreAnimalStrict",IF(AND(_xlfn.XLOOKUP(B236,'Base stats'!B:B,'Base stats'!Y:Y)="Carnivore",_xlfn.XLOOKUP(_xlfn.XLOOKUP(B236,'Base stats'!B:B,'Base stats'!E:E),Groups!A:A,Groups!AJ:AJ)="Photonozoa"),"CarnivoreAnimalStrict, OvivoreAnimal",IF(_xlfn.XLOOKUP(B236,'Base stats'!B:B,'Base stats'!Y:Y)="Carnivore","CarnivoreAnimal, OvivoreAnimal",IF(_xlfn.XLOOKUP(B236,'Base stats'!B:B,'Base stats'!Y:Y)="Dendrovore","VegetarianRoughAnimal, DendrovoreAnimal",IF(_xlfn.XLOOKUP(B236,'Base stats'!B:B,'Base stats'!Y:Y)="Herbivore","VegetarianRoughAnimal",IF(_xlfn.XLOOKUP(B236,'Base stats'!B:B,'Base stats'!Y:Y)="OmnivoreRough","OmnivoreRoughAnimal, OvivoreAnimal","OmnivoreAnimal, OvivoreAnimal"))))))</f>
        <v>CarnivoreAnimal, OvivoreAnimal</v>
      </c>
      <c r="AZ236" s="2" t="str">
        <f>IF(_xlfn.XLOOKUP(_xlfn.XLOOKUP(B236,'Base stats'!B:B,'Base stats'!E:E),Groups!A:A,Groups!D:D)=1,MROUND((1-J236)*5+1,2)*IF(J236&lt;=0.4,2,1),"No")</f>
        <v>No</v>
      </c>
      <c r="BA236" s="2" t="str">
        <f>IF(AND(_xlfn.XLOOKUP(B236,'Base stats'!B:B,'Base stats'!AH:AH)="&lt;li&gt;Seal&lt;/li&gt;",G236="Odyssey"),"&lt;li&gt;AEXP_Seal&lt;/li&gt;",_xlfn.XLOOKUP(B236,'Base stats'!B:B,'Base stats'!AH:AH))</f>
        <v>&lt;li&gt;Megaspider&lt;/li&gt;</v>
      </c>
      <c r="BB236" s="2" t="str">
        <f>_xlfn.XLOOKUP(B236,'Base stats'!B:B,'Base stats'!AG:AG)</f>
        <v>Leather_RaptorPlates</v>
      </c>
      <c r="BC236" s="23" t="str">
        <f>_xlfn.XLOOKUP(_xlfn.XLOOKUP(B236,'Base stats'!B:B,'Base stats'!E:E),Groups!A:A,Groups!AL:AL)</f>
        <v>SnakeWithTwoLimbs</v>
      </c>
      <c r="BD236" s="23">
        <f>MIN(1,MROUND(IF(AND(AO236&lt;0.5,_xlfn.XLOOKUP(B236,'Base stats'!B:B,'Base stats'!AA:AA)=0),0,IF(OR(_xlfn.XLOOKUP(Animals!B236,'Base stats'!B:B,'Base stats'!O:O)=2,_xlfn.XLOOKUP(_xlfn.XLOOKUP(B236,'Base stats'!B:B,'Base stats'!E:E),Groups!A:A,Groups!AN:AN)=0),0,_xlfn.XLOOKUP(_xlfn.XLOOKUP(B236,'Base stats'!B:B,'Base stats'!E:E),Groups!A:A,Groups!AN:AN)/IF(_xlfn.XLOOKUP(Animals!B236,'Base stats'!B:B,'Base stats'!O:O)=1,2,1)))+_xlfn.XLOOKUP(B236,'Base stats'!B:B,'Base stats'!AC:AC),0.005))</f>
        <v>0.1</v>
      </c>
      <c r="BE236" s="23">
        <f>MIN(1,MROUND(IF(AND(AO236&lt;0.5,_xlfn.XLOOKUP(B236,'Base stats'!B:B,'Base stats'!AA:AA)=0),0,IF(_xlfn.XLOOKUP(_xlfn.XLOOKUP(B236,'Base stats'!B:B,'Base stats'!E:E),Groups!A:A,Groups!AO:AO)=0,0,_xlfn.XLOOKUP(_xlfn.XLOOKUP(B236,'Base stats'!B:B,'Base stats'!E:E),Groups!A:A,Groups!AO:AO)/IF(_xlfn.XLOOKUP(Animals!B236,'Base stats'!B:B,'Base stats'!O:O)=2,3,1)))+_xlfn.XLOOKUP(B236,'Base stats'!B:B,'Base stats'!AD:AD),0.005))</f>
        <v>1</v>
      </c>
      <c r="BF236" s="2" t="str">
        <f>IF(J236&gt;0.3,"No",_xlfn.XLOOKUP(_xlfn.XLOOKUP(Animals!B236,'Base stats'!B:B,'Base stats'!E:E),Groups!A:A,Groups!AP:AP))</f>
        <v>No</v>
      </c>
      <c r="BG236" s="2" t="str">
        <f>IF(AND(J236&lt;=0.65,_xlfn.XLOOKUP(_xlfn.XLOOKUP(Animals!B236,'Base stats'!B:B,'Base stats'!E:E),Groups!A:A,Groups!AP:AP)&lt;&gt;"No",_xlfn.XLOOKUP(_xlfn.XLOOKUP(B236,'Base stats'!B:B,'Base stats'!E:E),Groups!A:A,Groups!D:D)=0),MROUND((80/3)*IF(_xlfn.XLOOKUP(B236,'Base stats'!B:B,'Base stats'!O:O)=2,0.2,AO236) + 24*(1-IF(BF236="No",0,BF236)) + 16/3, 12),"No")</f>
        <v>No</v>
      </c>
      <c r="BH236" s="2">
        <f>IF(AND(_xlfn.XLOOKUP(_xlfn.XLOOKUP(B236,'Base stats'!B:B,'Base stats'!E:E),Groups!A:A,Groups!AQ:AQ)=1,AO236&lt;=0.35),8,12)</f>
        <v>12</v>
      </c>
      <c r="BI236" s="2" t="str">
        <f>IF(_xlfn.XLOOKUP(_xlfn.XLOOKUP(B236,'Base stats'!B:B,'Base stats'!E:E),Groups!A:A,Groups!D:D)=0,_xlfn.XLOOKUP(_xlfn.XLOOKUP(B236,'Base stats'!B:B,'Base stats'!E:E),Groups!A:A,Groups!AR:AR),"None")</f>
        <v>Intermediate</v>
      </c>
      <c r="BJ236" s="2" t="str">
        <f>IF(AND(_xlfn.XLOOKUP(_xlfn.XLOOKUP(B236,'Base stats'!B:B,'Base stats'!E:E),Groups!A:A,Groups!AS:AS)=1,OR(_xlfn.XLOOKUP(B236,'Base stats'!B:B,'Base stats'!Y:Y)="Carnivore",_xlfn.XLOOKUP(B236,'Base stats'!B:B,'Base stats'!Y:Y)="Omnivore")),"true","false")</f>
        <v>true</v>
      </c>
      <c r="BK236" s="2">
        <f>IF(BJ236="true",MROUND(IF(AND(AO236&gt;0.5,OR(_xlfn.XLOOKUP(_xlfn.XLOOKUP(B236,'Base stats'!B:B,'Base stats'!E:E),Groups!A:A,Groups!AJ:AJ)="Photonozoa",_xlfn.XLOOKUP(_xlfn.XLOOKUP(B236,'Base stats'!B:B,'Base stats'!E:E),Groups!A:A,Groups!AJ:AJ)="Mammal")),Animals!AO236*1.75*IF(AW236="true",1.5,1),IF(AO236&lt;0.5,Animals!AO236*0.5,Animals!AO236)),IF(AO236&gt;2,0.5,IF(AO236&gt;0.5,0.25,0.1))),"No")</f>
        <v>1</v>
      </c>
      <c r="BL236" s="2">
        <f t="shared" si="24"/>
        <v>1</v>
      </c>
      <c r="BM236" s="25" t="str">
        <f>IF(_xlfn.XLOOKUP(B236,'Base stats'!B:B,'Base stats'!AN:AN)="Standard","No",MROUND((_xlfn.XLOOKUP(B236,'Base stats'!B:B,'Base stats'!AN:AN)/3.6)/I236,0.1))</f>
        <v>No</v>
      </c>
      <c r="BN236" s="25" t="str">
        <f t="shared" si="25"/>
        <v>false</v>
      </c>
      <c r="BO236" s="25" t="str">
        <f>IF(AND(OR(_xlfn.XLOOKUP(B236,'Base stats'!B:B,'Base stats'!Y:Y)="Carnivore",_xlfn.XLOOKUP(B236,'Base stats'!B:B,'Base stats'!Y:Y)="Omnivore",_xlfn.XLOOKUP(B236,'Base stats'!B:B,'Base stats'!Y:Y)="OmnivoreRough"),_xlfn.XLOOKUP(_xlfn.XLOOKUP(B236,'Base stats'!B:B,'Base stats'!E:E),Groups!A:A,Groups!AT:AT)=1),"true","false")</f>
        <v>false</v>
      </c>
      <c r="BP236" s="25" t="str" cm="1">
        <f t="array" ref="BP236">IF(
  _xlfn.TEXTJOIN(", ",TRUE,
    IF(AND(BJ236="true",AO236&gt;0.5,BI236&lt;&gt;"None"),"AttackTarget",""),
    IF(AND(_xlfn.XLOOKUP(_xlfn.XLOOKUP(B236,'Base stats'!B:B,'Base stats'!E:E),Groups!A:A,Groups!AJ:AJ="Mammal"),OR(_xlfn.XLOOKUP(B236,'Base stats'!B:B,'Base stats'!Y:Y)="Omnivore",_xlfn.XLOOKUP(B236,'Base stats'!B:B,'Base stats'!Y:Y)="OmnivoreRough")),"Forage",""),
    IF(BG236&lt;=36,"Comfort",""),
    IF(_xlfn.XLOOKUP(B236,'Base stats'!B:B,'Base stats'!AE:AE)&lt;&gt;"No",_xlfn.XLOOKUP(B236,'Base stats'!B:B,'Base stats'!AE:AE),"")
  ) = "",
  "No",
  _xlfn.TEXTJOIN(", ",TRUE,
    IF(AND(BJ236="true",AO236&gt;0.5,BI236&lt;&gt;"None"),"AttackTarget",""),
    IF(AND(_xlfn.XLOOKUP(_xlfn.XLOOKUP(B236,'Base stats'!B:B,'Base stats'!E:E),Groups!A:A,Groups!AJ:AJ="Mammal"),OR(_xlfn.XLOOKUP(B236,'Base stats'!B:B,'Base stats'!Y:Y)="Omnivore",_xlfn.XLOOKUP(B236,'Base stats'!B:B,'Base stats'!Y:Y)="OmnivoreRough")),"Forage",""),
    IF(BG236&lt;=36,"Comfort",""),
    IF(_xlfn.XLOOKUP(B236,'Base stats'!B:B,'Base stats'!AE:AE)&lt;&gt;"No",_xlfn.XLOOKUP(B236,'Base stats'!B:B,'Base stats'!AE:AE),"")
  )
)</f>
        <v>AttackTarget</v>
      </c>
      <c r="BQ236" s="25" t="str">
        <f>IF(
   AND(
      'Base stats'!AN236="Standard",_xlfn.XLOOKUP(_xlfn.XLOOKUP(B236,'Base stats'!B:B,'Base stats'!E:E),Groups!A:A,Groups!AU:AU)=0,
      OR(
      BO236="True"
      )
   ),
   10,
   IF(
       OR(BM236&lt;&gt;"No",_xlfn.XLOOKUP(_xlfn.XLOOKUP(B236,'Base stats'!B:B,'Base stats'!E:E),Groups!A:A,Groups!AU:AU)=1),
      1,
      "No"
   )
)</f>
        <v>No</v>
      </c>
      <c r="BR236" s="9">
        <f>MROUND((1 + ((0.2*IF(OR(Q236="No",R236="No",R236=0),0,Q236/R236)
+IF(OR(V236="No",S236="No",T236="No"),0,S236/T236*(LEN(V236)-LEN(SUBSTITUTE(V236,",",""))+1))
+IF(OR(X236="No",Y236="No"),0,X236/Y236)
+IF(OR(AD236="No",AE236="No"),0,AD236/AE236)
+IF(OR(AL236="No",AI236="No",AJ236="No"),0,AI236/AJ236*(LEN(AL236)-LEN(SUBSTITUTE(AL236,",",""))+1))
)/(0.2*IF(OR(Q236="No",R236="No",R236=0),0,1)
+IF(OR(V236="No",S236="No",T236="No"),0,LEN(V236)-LEN(SUBSTITUTE(V236,",",""))+1)
+IF(OR(X236="No",Y236="No"),0,1)
+IF(OR(AD236="No",AE236="No"),0,1)
+IF(OR(AL236="No",AI236="No",AJ236="No"),0,LEN(AL236)-LEN(SUBSTITUTE(AL236,",",""))+1))*62%)* 2)*(1 + (AP236 / (IF(_xlfn.XLOOKUP(_xlfn.XLOOKUP(B236,'Base stats'!B:B,'Base stats'!E:E),Groups!A:A,Groups!AJ:AJ)="Photonozoa",0.3,1)) + _xlfn.XLOOKUP(B236,'Base stats'!B:B,'Base stats'!AV:AV) * 1.8) * 2) * 2.5 + 10 + I236 * 2,5)+IF(_xlfn.XLOOKUP(B236,'Base stats'!B:B,'Base stats'!AK:AK)=1,50,0)</f>
        <v>175</v>
      </c>
      <c r="BS236" s="8">
        <f t="shared" si="26"/>
        <v>0.30000000000000004</v>
      </c>
      <c r="BT236" s="8" t="str">
        <f>_xlfn.XLOOKUP(B236,'Base stats'!B:B,'Base stats'!AF:AF)</f>
        <v>No</v>
      </c>
      <c r="BU236" s="2" t="str">
        <f>IF(AND(J236&lt;=0.95,OR(_xlfn.XLOOKUP(B236,'Base stats'!B:B,'Base stats'!AK:AK)=1,_xlfn.XLOOKUP(B236,'Base stats'!B:B,'Base stats'!Y:Y)="Carnivore",_xlfn.XLOOKUP(B236,'Base stats'!B:B,'Base stats'!Y:Y)="Omnivore",BE236&gt;0.1)),"true","false")</f>
        <v>true</v>
      </c>
      <c r="BV236" s="2" t="str">
        <f>IF(_xlfn.XLOOKUP(B236,'Base stats'!B:B,'Base stats'!AI:AI)=1,"true","false")</f>
        <v>false</v>
      </c>
      <c r="BW236" s="25" t="str">
        <f>IF(E236="BaseInsect","AnimalInsect",
IF(J236&gt;0.95,"AnimalExotic",
_xlfn.TEXTJOIN(", ",TRUE,
IF(OR(_xlfn.XLOOKUP(B236,'Base stats'!B:B,'Base stats'!AM:AM)=1,AND(_xlfn.XLOOKUP(B236,'Base stats'!B:B,'Base stats'!O:O)=0,_xlfn.XLOOKUP(_xlfn.XLOOKUP(B236,'Base stats'!B:B,'Base stats'!E:E),Groups!A:A,Groups!B:B)&gt;0)),"AnimalUncommon","AnimalCommon"),
IF(AND(_xlfn.XLOOKUP(B236,'Base stats'!B:B,'Base stats'!O:O)=2,_xlfn.XLOOKUP(_xlfn.XLOOKUP(B236,'Base stats'!B:B,'Base stats'!E:E),Groups!A:A,Groups!D:D)=0),"AnimalPet",IF(AND(_xlfn.XLOOKUP(B236,'Base stats'!B:B,'Base stats'!O:O)&lt;&gt;0,_xlfn.XLOOKUP(_xlfn.XLOOKUP(B236,'Base stats'!B:B,'Base stats'!E:E),Groups!A:A,Groups!D:D)&lt;&gt;0),"AnimalFarm","")),
IF(OR(_xlfn.XLOOKUP(B236,'Base stats'!B:B,'Base stats'!AK:AK)=1,AND(BI236&lt;&gt;"None",BR236&gt;=60),ISNUMBER(SEARCH("Attack target",BP236))),"AnimalFighter","")
)))</f>
        <v>AnimalUncommon, AnimalFighter</v>
      </c>
      <c r="BX236" s="25" t="str">
        <f>IF(G236="None",TRIM(
SUBSTITUTE(
IF(COUNTIF(Biomes!B$2:B$259,"="&amp;$C236)&gt;0,Biomes!B$1&amp;", ","")&amp;
IF(COUNTIF(Biomes!C$2:C$259,"="&amp;$C236)&gt;0,Biomes!C$1&amp;", ","")&amp;
IF(COUNTIF(Biomes!D$2:D$259,"="&amp;$C236)&gt;0,Biomes!D$1&amp;", ","")&amp;
IF(COUNTIF(Biomes!F$2:F$259,"="&amp;$C236)&gt;0,Biomes!F$1&amp;", ","")&amp;
IF(COUNTIF(Biomes!G$2:G$259,"="&amp;$C236)&gt;0,Biomes!G$1&amp;", ","")&amp;
IF(COUNTIF(Biomes!H$2:H$259,"="&amp;$C236)&gt;0,Biomes!H$1&amp;", ","")&amp;
IF(COUNTIF(Biomes!I$2:I$259,"="&amp;$C236)&gt;0,Biomes!I$1&amp;", ","")&amp;
IF(COUNTIF(Biomes!J$2:J$259,"="&amp;$C236)&gt;0,Biomes!J$1&amp;", ","")&amp;
IF(COUNTIF(Biomes!M$2:M$259,"="&amp;$C236)&gt;0,Biomes!M$1&amp;", ","")&amp;
IF(COUNTIF(Biomes!N$2:N$259,"="&amp;$C236)&gt;0,Biomes!N$1&amp;", ","")&amp;
IF(COUNTIF(Biomes!O$2:O$259,"="&amp;$C236)&gt;0,Biomes!O$1&amp;", ","")&amp;
IF(COUNTIF(Biomes!P$2:P$259,"="&amp;$C236)&gt;0,Biomes!P$1&amp;", ","")&amp;
IF(COUNTIF(Biomes!K$2:K$259,"="&amp;$C236)&gt;0,Biomes!K$1&amp;", ","")&amp;
IF(COUNTIF(Biomes!Q$3:Q$259,"="&amp;$C236)&gt;0,Biomes!Q$1&amp;", ","")&amp;
IF(COUNTIF(Biomes!L$2:L$259,"="&amp;$C236)&gt;0,Biomes!L$1&amp;", ","")&amp;
IF(COUNTIF(Biomes!E$2:E$259,"="&amp;$C236)&gt;0,Biomes!E$1&amp;", ","")&amp;IF(COUNTIF(Biomes!S$2:S$259,"="&amp;$C236)&gt;0,Biomes!S$1&amp;", ","")&amp;
IF(COUNTIF(Biomes!R$2:R$259,"="&amp;$C236)&gt;0,Biomes!R$1&amp;", ",""),", ","")
),_xlfn.XLOOKUP(B236,B:B,BX:BX))</f>
        <v>AridShrubland Desert TropicalRainforest TropicalSwamp Grasslands Glowforest LavaField</v>
      </c>
      <c r="BY236" s="25" t="str">
        <f>IF(_xlfn.XLOOKUP(B236,'Base stats'!B:B,'Base stats'!AJ:AJ)=1,"true","false")</f>
        <v>false</v>
      </c>
      <c r="BZ236" s="25">
        <f>IF(_xlfn.XLOOKUP(B236,'Base stats'!B:B,'Base stats'!N:N)=1,"No",MAX(0.001,MIN(MROUND(IF(AND(BJ236="True",CC236="False"),POWER(10,3.47*LOG10(_xlfn.XLOOKUP(B236,'Base stats'!B:B,'Base stats'!C:C)*1000)^-0.96),POWER(10,4.15*LOG10(_xlfn.XLOOKUP(B236,'Base stats'!B:B,'Base stats'!C:C)*1000)^-0.73))*IF(_xlfn.XLOOKUP(B236,'Base stats'!B:B,'Base stats'!AK:AK)=1,0.5,1)*IF(_xlfn.XLOOKUP(B236,'Base stats'!B:B,'Base stats'!AM:AM)=1,0.1,1)/100,IF(_xlfn.XLOOKUP(B236,'Base stats'!B:B,'Base stats'!AM:AM)=1,0.001,0.025)),0.5)))</f>
        <v>0.02</v>
      </c>
      <c r="CA236" s="25" t="str">
        <f>IF(P236="Standard","No",MAX(0.001,MIN(MROUND(IF(AND(BJ236="True",CC236="False"),POWER(10,3.47*LOG10(_xlfn.XLOOKUP(B236,'Base stats'!B:B,'Base stats'!C:C)*1000)^-0.96),POWER(10,4.15*LOG10(_xlfn.XLOOKUP(B236,'Base stats'!B:B,'Base stats'!C:C)*1000)^-0.73))*IF(_xlfn.XLOOKUP(B236,'Base stats'!B:B,'Base stats'!AM:AM)=1,0.1,1)*_xlfn.XLOOKUP(B236,'Base stats'!B:B,'Base stats'!R:R)/100,IF(_xlfn.XLOOKUP(B236,'Base stats'!B:B,'Base stats'!AM:AM)=1,0.001,0.025)),0.5)))</f>
        <v>No</v>
      </c>
      <c r="CB236" s="25" t="str">
        <f>IF(_xlfn.XLOOKUP(_xlfn.XLOOKUP(B236,'Base stats'!B:B,'Base stats'!E:E),Groups!A:A,Groups!AJ:AJ)="Mammal","True","False")</f>
        <v>False</v>
      </c>
      <c r="CC236" s="25" t="str">
        <f>IF(OR(_xlfn.XLOOKUP(_xlfn.XLOOKUP(B236,'Base stats'!B:B,'Base stats'!E:E),Groups!A:A,Groups!AJ:AJ)="Reptile",_xlfn.XLOOKUP(_xlfn.XLOOKUP(B236,'Base stats'!B:B,'Base stats'!E:E),Groups!A:A,Groups!AJ:AJ)="Amphibian",_xlfn.XLOOKUP(_xlfn.XLOOKUP(B236,'Base stats'!B:B,'Base stats'!E:E),Groups!A:A,Groups!AJ:AJ)="Invertebrate"),"True","False")</f>
        <v>True</v>
      </c>
      <c r="CD236" s="25" t="str">
        <f t="shared" si="27"/>
        <v>False</v>
      </c>
      <c r="CE236" s="25" t="str">
        <f>IF(_xlfn.XLOOKUP(_xlfn.XLOOKUP(B236,'Base stats'!B:B,'Base stats'!E:E),Groups!A:A,Groups!AX:AX),"True","False")</f>
        <v>False</v>
      </c>
      <c r="CF236" s="25" t="str">
        <f>IF(_xlfn.XLOOKUP(_xlfn.XLOOKUP(B236,'Base stats'!B:B,'Base stats'!E:E),Groups!A:A,Groups!AY:AY),"True","False")</f>
        <v>False</v>
      </c>
      <c r="CG236" s="25" t="str">
        <f>IF(_xlfn.XLOOKUP(_xlfn.XLOOKUP(B236,'Base stats'!B:B,'Base stats'!E:E),Groups!A:A,Groups!AW:AW),"True","False")</f>
        <v>False</v>
      </c>
      <c r="CH236" s="25" t="str">
        <f>IF(
OR(
_xlfn.XLOOKUP(_xlfn.XLOOKUP(B236,'Base stats'!B:B,'Base stats'!E:E),Groups!A:A,Groups!AZ:AZ)=0,
AND(
_xlfn.XLOOKUP(B236,'Base stats'!B:B,'Base stats'!Y:Y)&lt;&gt;"Carnivore",
_xlfn.XLOOKUP(B236,'Base stats'!B:B,'Base stats'!Y:Y)&lt;&gt;"Omnivore",
_xlfn.XLOOKUP(B236,'Base stats'!B:B,'Base stats'!Y:Y)&lt;&gt;"OmnivoreRough"
)
),
"No",
IF(
_xlfn.XLOOKUP(_xlfn.XLOOKUP(B236,'Base stats'!B:B,'Base stats'!E:E),Groups!A:A,Groups!AZ:AZ)=1,
"Flesh",
IF(
_xlfn.XLOOKUP(_xlfn.XLOOKUP(B236,'Base stats'!B:B,'Base stats'!E:E),Groups!A:A,Groups!AZ:AZ)=2,
"Bone",
""
)
)
)</f>
        <v>No</v>
      </c>
      <c r="CI236" s="25" t="str">
        <f>IF(_xlfn.XLOOKUP(_xlfn.XLOOKUP(B236,'Base stats'!B:B,'Base stats'!E:E),Groups!A:A,Groups!BB:BB),"True","False")</f>
        <v>False</v>
      </c>
      <c r="CJ236" s="25" t="str">
        <f>IF(_xlfn.XLOOKUP(_xlfn.XLOOKUP(B236,'Base stats'!B:B,'Base stats'!E:E),Groups!A:A,Groups!BA:BA),"True","False")</f>
        <v>False</v>
      </c>
    </row>
    <row r="237" spans="1:88" ht="16.5" thickTop="1" thickBot="1" x14ac:dyDescent="0.3">
      <c r="A237" s="26" t="s">
        <v>1380</v>
      </c>
      <c r="B237" s="6" t="str">
        <f>_xlfn.XLOOKUP(A237,'Base stats'!A:A,'Base stats'!B:B)</f>
        <v>Bombos vivificalis</v>
      </c>
      <c r="C237" s="28" t="s">
        <v>1381</v>
      </c>
      <c r="D237" s="28" t="s">
        <v>1341</v>
      </c>
      <c r="E237" s="28" t="s">
        <v>673</v>
      </c>
      <c r="F237" s="28" t="s">
        <v>673</v>
      </c>
      <c r="G237" s="28" t="s">
        <v>673</v>
      </c>
      <c r="H237" s="2">
        <f>MROUND((
  (IF(AND(_xlfn.XLOOKUP(B237,'Base stats'!B:B,'Base stats'!AL:AL)=0,BI237="None",_xlfn.XLOOKUP(_xlfn.XLOOKUP(B237,'Base stats'!B:B,'Base stats'!E:E),Groups!A:A,Groups!B:B)=0), (18 + BR237 * 2.7) * 0.5,
    IF(AND(_xlfn.XLOOKUP(B237,'Base stats'!B:B,'Base stats'!AL:AL)=0,OR(AO237&lt;0.55,AND(BI237="Intermediate",_xlfn.XLOOKUP(_xlfn.XLOOKUP(B237,'Base stats'!B:B,'Base stats'!E:E),Groups!A:A,Groups!B:B)&lt;2))), (18 + BR237 * 2.7),
      IF(OR(BI237="Advanced",_xlfn.XLOOKUP(B237,'Base stats'!B:B,'Base stats'!AL:AL)=1,_xlfn.XLOOKUP(_xlfn.XLOOKUP(B237,'Base stats'!B:B,'Base stats'!E:E),Groups!A:A,Groups!B:B)=2), (18 + BR237 * 2.7) + 250, (18 + BR237 * 2.7))
    )
  ))
  + AO237 * 80
  + IF(COUNTIF(EggMilk!K$2:K$998, A237) &gt; 0, 125, 0)
  + IF(COUNTIF(EggMilk!P$2:P$998, A237) &gt; 0, 90, 0)
  + IF(COUNTIF(EggMilk!A$2:A$998, A237) &gt; 0, 90, 0)
)
* (0.8 + 0.4 * J237)
* 0.75,25)</f>
        <v>325</v>
      </c>
      <c r="I237" s="2">
        <f>MROUND(ROUNDDOWN(_xlfn.XLOOKUP(B237,'Base stats'!B:B,'Base stats'!L:L)/3.6/(23.3/11),1),0.5)</f>
        <v>4</v>
      </c>
      <c r="J237" s="2">
        <f>IF(OR(_xlfn.XLOOKUP(B237,'Base stats'!B:B,'Base stats'!AB:AB)=1,_xlfn.XLOOKUP(_xlfn.XLOOKUP(B237,'Base stats'!B:B,'Base stats'!E:E),Groups!A:A,Groups!C:C)="Untamable"),1,IF(_xlfn.XLOOKUP(B237,'Base stats'!B:B,'Base stats'!AL:AL)=1,0.99,MIN(MROUND((1-0.6282*EXP(-0.459*AO237))*_xlfn.XLOOKUP(_xlfn.XLOOKUP(B237,'Base stats'!B:B,'Base stats'!E:E),Groups!A:A,Groups!C:C)*IF(_xlfn.XLOOKUP(B237,'Base stats'!B:B,'Base stats'!O:O)=1,0.5,IF(_xlfn.XLOOKUP(B237,'Base stats'!B:B,'Base stats'!O:O)=2,0,1)),0.05),IF(AO237&gt;3.5,0.985,0.95))))</f>
        <v>0.35000000000000003</v>
      </c>
      <c r="K237" s="2">
        <f>ROUNDUP(AO237*_xlfn.XLOOKUP(_xlfn.XLOOKUP(B237,'Base stats'!B:B,'Base stats'!E:E),Groups!A:A,Groups!E:E),0)</f>
        <v>14</v>
      </c>
      <c r="L237" s="2">
        <f>IF(OR(_xlfn.XLOOKUP(_xlfn.XLOOKUP(B237,'Base stats'!B:B,'Base stats'!E:E),Groups!A:A,Groups!F:F)=2,ISNUMBER(SEARCH("SeaIce",BX237)),ISNUMBER(SEARCH("IceSheet",BX237))),-50,IF(OR(ISNUMBER(SEARCH("GlacialPlain",BX237)),ISNUMBER(SEARCH("Tundra",BX237))),-40,IF(OR(ISNUMBER(SEARCH("Alpine",BX237)),ISNUMBER(SEARCH("BorealForest",BX237)),ISNUMBER(SEARCH("ColdBog",BX237))),-30,IF(OR(ISNUMBER(SEARCH("TemperateForest",BX237)),ISNUMBER(SEARCH("TemperateSwamp",BX237))),-20,IF(_xlfn.XLOOKUP(_xlfn.XLOOKUP(B237,'Base stats'!B:B,'Base stats'!E:E),Groups!A:A,Groups!F:F)=1,-15,IF(OR(ISNUMBER(SEARCH("Desert",BX237)),ISNUMBER(SEARCH("ExtremeDesert",BX237))),-10,IF(OR(ISNUMBER(SEARCH("Grasslands",BX237)),ISNUMBER(SEARCH("TropicalRainforest",BX237)),ISNUMBER(SEARCH("TropicalSwamp",BX237))),10,0)))))))-IF(CC237="False",MIN(IFERROR(MAX(MROUND(LOG10(_xlfn.XLOOKUP(B237,'Base stats'!B:B,'Base stats'!C:C)^(2/3))*10,5),5),5),30))-_xlfn.XLOOKUP(B237,'Base stats'!B:B,'Base stats'!P:P)+IF(CC237="True",5,0)</f>
        <v>-35</v>
      </c>
      <c r="M237" s="2">
        <f>IF(OR(_xlfn.XLOOKUP(_xlfn.XLOOKUP(B237,'Base stats'!B:B,'Base stats'!E:E),Groups!A:A,Groups!G:G)=2,ISNUMBER(SEARCH("Desert",BX237)),ISNUMBER(SEARCH("ExtremeDesert",BX237)),ISNUMBER(SEARCH("LavaField",BX237))),50,IF(ISNUMBER(SEARCH("Grasslands",BX237)),45,IF(OR(_xlfn.XLOOKUP(_xlfn.XLOOKUP(B237,'Base stats'!B:B,'Base stats'!E:E),Groups!A:A,Groups!G:G)=1,ISNUMBER(SEARCH("TropicalRainforest",BX237)),ISNUMBER(SEARCH("TropicalSwamp",BX237))),40,IF(OR(ISNUMBER(SEARCH("TemperateForest",BX237)),ISNUMBER(SEARCH("TemperateSwamp",BX237))),35,IF(OR(ISNUMBER(SEARCH("Alpine",BX237)),ISNUMBER(SEARCH("BorealForest",BX237)),ISNUMBER(SEARCH("ColdBog",BX237))),30,IF(ISNUMBER(OR(ISNUMBER(SEARCH("GlacialPlain",BX237)),SEARCH("Tundra",BX237))),25,IF(OR(ISNUMBER(SEARCH("SeaIce",BX237)),ISNUMBER(SEARCH("IceSheet",BX237)),ISNUMBER(SEARCH("TropicalSwamp",BX237))),10,35)))))))+_xlfn.XLOOKUP(B237,'Base stats'!B:B,'Base stats'!Q:Q)</f>
        <v>35</v>
      </c>
      <c r="N237" s="8" t="str">
        <f>IF(
_xlfn.XLOOKUP(
_xlfn.XLOOKUP(B237,'Base stats'!B:B,'Base stats'!E:E),
Groups!A:A,
Groups!L:L
)=1,
MIN(
MROUND(
IF(
_xlfn.XLOOKUP(B237,'Animals CE'!B:B,'Animals CE'!Z:Z)&lt;=1.5,
_xlfn.XLOOKUP(B237,'Animals CE'!B:B,'Animals CE'!Z:Z)/2+0.05,
0.8+
(_xlfn.XLOOKUP(B237,'Animals CE'!B:B,'Animals CE'!Z:Z)-1.5)
*0.02
),
0.05
),
200%
),
"No"
)</f>
        <v>No</v>
      </c>
      <c r="O237" s="8" t="str">
        <f>IF(
_xlfn.XLOOKUP(
_xlfn.XLOOKUP(B237,'Base stats'!B:B,'Base stats'!E:E),
Groups!A:A,
Groups!L:L
)=1,
MIN(
MROUND(
IF(
_xlfn.XLOOKUP(B237,'Animals CE'!B:B,'Animals CE'!AA:AA)&lt;=1.5,
_xlfn.XLOOKUP(B237,'Animals CE'!B:B,'Animals CE'!AA:AA)/2+0.05,
0.8+
(_xlfn.XLOOKUP(B237,'Animals CE'!B:B,'Animals CE'!AA:AA)-1.5)
*0.02
),
0.05
),
200%
),
"No"
)</f>
        <v>No</v>
      </c>
      <c r="P237" s="2" t="str">
        <f>_xlfn.XLOOKUP(B237,'Base stats'!B:B,'Base stats'!R:R)</f>
        <v>Standard</v>
      </c>
      <c r="Q237" s="13">
        <f>MROUND((LOG10(_xlfn.XLOOKUP(B237,'Base stats'!B:B,'Base stats'!AR:AR))*(AO237^0.5)+(_xlfn.XLOOKUP(B237,'Base stats'!B:B,'Base stats'!AR:AR)/1000)^(2/3)+_xlfn.XLOOKUP(B237,'Base stats'!B:B,'Base stats'!BA:BA)/2)+0.5,0.5)</f>
        <v>15.5</v>
      </c>
      <c r="R237" s="7">
        <f>IF(Q237="No","No",MAX(1,MROUND(_xlfn.XLOOKUP(B237,'Base stats'!B:B,'Base stats'!C:C)^0.165,0.05)))</f>
        <v>2.8000000000000003</v>
      </c>
      <c r="S237" s="13">
        <f>IF(_xlfn.XLOOKUP(_xlfn.XLOOKUP(B237,'Base stats'!B:B,'Base stats'!E:E),Groups!A:A,Groups!P:P)=0,"No",MROUND((LOG10(_xlfn.XLOOKUP(B237,'Base stats'!B:B,'Base stats'!AS:AS))*(AO237^0.5)+(_xlfn.XLOOKUP(B237,'Base stats'!B:B,'Base stats'!AS:AS)/1000)^(2/3)+_xlfn.XLOOKUP(B237,'Base stats'!B:B,'Base stats'!BA:BA))+_xlfn.XLOOKUP(B237,'Base stats'!B:B,'Base stats'!AY:AY)+0.5,0.5))</f>
        <v>19</v>
      </c>
      <c r="T237" s="7">
        <f>IF(S237="No","No",MAX(_xlfn.XLOOKUP(_xlfn.XLOOKUP(B237,'Base stats'!B:B,'Base stats'!E:E),Groups!A:A,Groups!Q:Q),MROUND(_xlfn.XLOOKUP(_xlfn.XLOOKUP(B237,'Base stats'!B:B,'Base stats'!E:E),Groups!A:A,Groups!Q:Q)*_xlfn.XLOOKUP(B237,'Base stats'!B:B,'Base stats'!C:C)^0.165,0.05)))</f>
        <v>2.8000000000000003</v>
      </c>
      <c r="U237" s="7" t="str">
        <f>IF(S237="No","No",_xlfn.XLOOKUP(_xlfn.XLOOKUP(B237,'Base stats'!B:B,'Base stats'!E:E),Groups!A:A,Groups!R:R))</f>
        <v>FrontLeftLeg, FrontRightLeg</v>
      </c>
      <c r="V237" s="7" t="str">
        <f>IF(S237="No","No",_xlfn.XLOOKUP(_xlfn.XLOOKUP(B237,'Base stats'!B:B,'Base stats'!E:E),Groups!A:A,Groups!S:S))</f>
        <v>left hoof, right hoof</v>
      </c>
      <c r="W237" s="7" t="str">
        <f>IF(S237="No","No",_xlfn.XLOOKUP(_xlfn.XLOOKUP(B237,'Base stats'!B:B,'Base stats'!E:E),Groups!A:A,Groups!T:T))</f>
        <v>Blunt</v>
      </c>
      <c r="X237" s="13">
        <f>IF(_xlfn.XLOOKUP(B237,'Base stats'!B:B,'Base stats'!W:W)="No","No",MROUND((LOG10(_xlfn.XLOOKUP(B237,'Base stats'!B:B,'Base stats'!AU:AU))*(AO237^0.5)+(_xlfn.XLOOKUP(B237,'Base stats'!B:B,'Base stats'!AU:AU)/1000)^(2/3)+_xlfn.XLOOKUP(B237,'Base stats'!B:B,'Base stats'!AZ:AZ))+0.5+IF(_xlfn.XLOOKUP(_xlfn.XLOOKUP(B237,'Base stats'!B:B,'Base stats'!E:E),Groups!A:A,Groups!U:U)&lt;&gt;3,_xlfn.XLOOKUP(B237,'Base stats'!B:B,'Base stats'!BA:BA),0),0.5))</f>
        <v>15</v>
      </c>
      <c r="Y237" s="7">
        <f>IF(X237="No","No",MAX(_xlfn.XLOOKUP(_xlfn.XLOOKUP(B237,'Base stats'!B:B,'Base stats'!E:E),Groups!A:A,Groups!V:V),MROUND(_xlfn.XLOOKUP(_xlfn.XLOOKUP(B237,'Base stats'!B:B,'Base stats'!E:E),Groups!A:A,Groups!V:V)*_xlfn.XLOOKUP(B237,'Base stats'!B:B,'Base stats'!C:C)^0.165,0.05)))</f>
        <v>2.35</v>
      </c>
      <c r="Z237" s="7" t="str">
        <f>IF(X237="No","No",_xlfn.XLOOKUP(_xlfn.XLOOKUP(B237,'Base stats'!B:B,'Base stats'!E:E),Groups!A:A,Groups!W:W))</f>
        <v>HeadAttackTool</v>
      </c>
      <c r="AA237" s="7" t="str">
        <f>IF(X237="No","No",_xlfn.XLOOKUP(_xlfn.XLOOKUP(B237,'Base stats'!B:B,'Base stats'!E:E),Groups!A:A,Groups!X:X))</f>
        <v>horn</v>
      </c>
      <c r="AB237" s="7" t="str">
        <f>IF(X237="No","No",_xlfn.XLOOKUP(_xlfn.XLOOKUP(B237,'Base stats'!B:B,'Base stats'!E:E),Groups!A:A,Groups!Y:Y))</f>
        <v>Scratch</v>
      </c>
      <c r="AC237" s="7" t="str">
        <f>_xlfn.XLOOKUP(Animals!B237,'Base stats'!B:B,'Base stats'!X:X)</f>
        <v>True</v>
      </c>
      <c r="AD237" s="13" t="str">
        <f>IF(_xlfn.XLOOKUP(B237,'Base stats'!B:B,'Base stats'!AT:AT)="No","No",MROUND((LOG10(_xlfn.XLOOKUP(B237,'Base stats'!B:B,'Base stats'!AT:AT))*(AO237^0.75)+(_xlfn.XLOOKUP(B237,'Base stats'!B:B,'Base stats'!AT:AT)/1000)^(2/3)+_xlfn.XLOOKUP(B237,'Base stats'!B:B,'Base stats'!AX:AX)+_xlfn.XLOOKUP(B237,'Base stats'!B:B,'Base stats'!BA:BA))+0.5,0.5))</f>
        <v>No</v>
      </c>
      <c r="AE237" s="7" t="str">
        <f>IF(AD237="No","No",MAX(_xlfn.XLOOKUP(_xlfn.XLOOKUP(B237,'Base stats'!B:B,'Base stats'!E:E),Groups!A:A,Groups!Z:Z),MROUND(_xlfn.XLOOKUP(_xlfn.XLOOKUP(B237,'Base stats'!B:B,'Base stats'!E:E),Groups!A:A,Groups!Z:Z)*_xlfn.XLOOKUP(B237,'Base stats'!B:B,'Base stats'!C:C)^0.165,0.05)))</f>
        <v>No</v>
      </c>
      <c r="AF237" s="7" t="str">
        <f>IF(AD237="No","No",_xlfn.XLOOKUP(_xlfn.XLOOKUP(B237,'Base stats'!B:B,'Base stats'!E:E),Groups!A:A,Groups!AA:AA))</f>
        <v>No</v>
      </c>
      <c r="AG237" s="7" t="str">
        <f>IF(AD237="No","No",_xlfn.XLOOKUP(_xlfn.XLOOKUP(B237,'Base stats'!B:B,'Base stats'!E:E),Groups!A:A,Groups!AB:AB))</f>
        <v>No</v>
      </c>
      <c r="AH237" s="7" t="str">
        <f>IF(AD237="No","No",_xlfn.XLOOKUP(_xlfn.XLOOKUP(B237,'Base stats'!B:B,'Base stats'!E:E),Groups!A:A,Groups!AC:AC))</f>
        <v>No</v>
      </c>
      <c r="AI237" s="13" t="str">
        <f>IF(_xlfn.XLOOKUP(_xlfn.XLOOKUP(B237,'Base stats'!B:B,'Base stats'!E:E),Groups!A:A,Groups!AD:AD)=0,"No",MROUND((LOG10(_xlfn.XLOOKUP(B237,'Base stats'!B:B,'Base stats'!AS:AS))*(AO237^0.75)+(_xlfn.XLOOKUP(B237,'Base stats'!B:B,'Base stats'!AS:AS)/1000)^(2/3)+_xlfn.XLOOKUP(B237,'Base stats'!B:B,'Base stats'!AY:AY)+_xlfn.XLOOKUP(B237,'Base stats'!B:B,'Base stats'!BA:BA))+0.5,0.5))</f>
        <v>No</v>
      </c>
      <c r="AJ237" s="7" t="str">
        <f>IF(AI237="No","No",MAX(_xlfn.XLOOKUP(_xlfn.XLOOKUP(B237,'Base stats'!B:B,'Base stats'!E:E),Groups!A:A,Groups!AE:AE),MROUND(_xlfn.XLOOKUP(_xlfn.XLOOKUP(B237,'Base stats'!B:B,'Base stats'!E:E),Groups!A:A,Groups!AE:AE)*IF(_xlfn.XLOOKUP(_xlfn.XLOOKUP(B237,'Base stats'!B:B,'Base stats'!E:E),Groups!A:A,Groups!AJ:AJ)="Photonozoa",0.6,1)*_xlfn.XLOOKUP(B237,'Base stats'!B:B,'Base stats'!C:C)^0.165,0.05)))</f>
        <v>No</v>
      </c>
      <c r="AK237" s="7" t="str">
        <f>IF(AI237="No","No",_xlfn.XLOOKUP(_xlfn.XLOOKUP(B237,'Base stats'!B:B,'Base stats'!E:E),Groups!A:A,Groups!AF:AF))</f>
        <v>No</v>
      </c>
      <c r="AL237" s="7" t="str">
        <f>IF(AI237="No","No",_xlfn.XLOOKUP(_xlfn.XLOOKUP(B237,'Base stats'!B:B,'Base stats'!E:E),Groups!A:A,Groups!AG:AG))</f>
        <v>No</v>
      </c>
      <c r="AM237" s="7" t="str">
        <f>IF(AI237="No","No",_xlfn.XLOOKUP(_xlfn.XLOOKUP(B237,'Base stats'!B:B,'Base stats'!E:E),Groups!A:A,Groups!AH:AH))</f>
        <v>No</v>
      </c>
      <c r="AN237" s="2" t="str">
        <f t="shared" si="21"/>
        <v>No</v>
      </c>
      <c r="AO237" s="2">
        <f>MROUND(IF(AND(_xlfn.XLOOKUP(B237,'Base stats'!B:B,'Base stats'!C:C)&gt;=0.5,_xlfn.XLOOKUP(B237,'Base stats'!B:B,'Base stats'!C:C)&lt;=0.8),
IF(_xlfn.XLOOKUP(B237,'Base stats'!B:B,'Base stats'!C:C)&lt;0.1,0.05,IF(_xlfn.XLOOKUP(B237,'Base stats'!B:B,'Base stats'!C:C)&lt;=70,(_xlfn.XLOOKUP(B237,'Base stats'!B:B,'Base stats'!C:C)/70)^0.426489913056526,IF(_xlfn.XLOOKUP(B237,'Base stats'!B:B,'Base stats'!C:C)&lt;=400,(_xlfn.XLOOKUP(B237,'Base stats'!B:B,'Base stats'!C:C)/70)^0.572811455315093,IF(_xlfn.XLOOKUP(B237,'Base stats'!B:B,'Base stats'!C:C)&lt;=2000,2.71391647193063*(_xlfn.XLOOKUP(B237,'Base stats'!B:B,'Base stats'!C:C)/400)^0.252459582904293,3.74314280240376*(_xlfn.XLOOKUP(B237,'Base stats'!B:B,'Base stats'!C:C)/2000)^0.357012633876913)))),
IF(_xlfn.XLOOKUP(B237,'Base stats'!B:B,'Base stats'!C:C)&lt;0.1,0.05,IF(_xlfn.XLOOKUP(B237,'Base stats'!B:B,'Base stats'!C:C)&lt;0.4,0.1,IF(_xlfn.XLOOKUP(B237,'Base stats'!B:B,'Base stats'!C:C)&lt;=70,(_xlfn.XLOOKUP(B237,'Base stats'!B:B,'Base stats'!C:C)/70)^0.445823913056526,IF(_xlfn.XLOOKUP(B237,'Base stats'!B:B,'Base stats'!C:C)&lt;=400,(_xlfn.XLOOKUP(B237,'Base stats'!B:B,'Base stats'!C:C)/70)^0.572811455315093,IF(_xlfn.XLOOKUP(B237,'Base stats'!B:B,'Base stats'!C:C)&lt;=2000,2.71391647193063*(_xlfn.XLOOKUP(B237,'Base stats'!B:B,'Base stats'!C:C)/400)^0.252459582904293,3.74314280240376*(_xlfn.XLOOKUP(B237,'Base stats'!B:B,'Base stats'!C:C)/2000)^0.357012633876913)))))),
IF(_xlfn.XLOOKUP(B237,'Base stats'!B:B,'Base stats'!C:C)&lt;0.1,0.05,IF(_xlfn.XLOOKUP(B237,'Base stats'!B:B,'Base stats'!C:C)&lt;=100,0.05,IF(_xlfn.XLOOKUP(B237,'Base stats'!B:B,'Base stats'!C:C)&lt;=250,0.1,IF(_xlfn.XLOOKUP(B237,'Base stats'!B:B,'Base stats'!C:C)&lt;=4000,0.25,0.5)))))</f>
        <v>2.75</v>
      </c>
      <c r="AP237" s="8">
        <f>MROUND(AO237*_xlfn.XLOOKUP(_xlfn.XLOOKUP(B237,'Base stats'!B:B,'Base stats'!E:E),Groups!A:A,Groups!AI:AI)*_xlfn.XLOOKUP(B237,'Base stats'!B:B,'Base stats'!Z:Z),0.05)</f>
        <v>2.75</v>
      </c>
      <c r="AQ237" s="8">
        <f>MAX(0.01,MROUND(IF(CC237="True",0.196*(AO237*100*1000)^0.889,IF(_xlfn.XLOOKUP(_xlfn.XLOOKUP(B237,'Base stats'!B:B,'Base stats'!E:E),Groups!A:A,Groups!AJ:AJ)="Bird",10.5*(AO237*100*1000)^0.681,4.82*(AO237*100*1000)^0.734))/(4.82*(1*100*1000)^0.734)/IF(AO237&lt;3.5,2,IF(AO237=3.5,1.5,1.25))*(1+0.132282374779864/(AO237^0.994035016789033+0.00905238001496948)),0.05))</f>
        <v>1.1000000000000001</v>
      </c>
      <c r="AR237" s="9">
        <f>IFERROR(MROUND(_xlfn.XLOOKUP(B237,'Base stats'!B:B,'Base stats'!H:H)/IF(_xlfn.XLOOKUP(B237,'Base stats'!B:B,'Base stats'!I:I)&lt;&gt;1,(122.5/70),1.2),IF(_xlfn.XLOOKUP(B237,'Base stats'!B:B,'Base stats'!H:H)&gt;=30,5,IF(_xlfn.XLOOKUP(B237,'Base stats'!B:B,'Base stats'!H:H)&gt;=15,3,IF(_xlfn.XLOOKUP(B237,'Base stats'!B:B,'Base stats'!H:H)&gt;=10,2,1)))),"Immortal")</f>
        <v>18</v>
      </c>
      <c r="AS237" s="35">
        <f>IFERROR(IF(OR(_xlfn.XLOOKUP(B237,'Base stats'!B:B,'Base stats'!F:F)="Atypical reproduction",_xlfn.XLOOKUP(B237,'Base stats'!B:B,'Base stats'!F:F)="Lay eggs"),"Lay eggs",MIN(20,MAX(5.5,ROUND(((_xlfn.XLOOKUP(B237,'Base stats'!B:B,'Base stats'!F:F)-25)*(14.5/615) + 5.5)*2,0)/2))),"Unknown")</f>
        <v>11.5</v>
      </c>
      <c r="AT237" s="8">
        <f>IF(_xlfn.XLOOKUP(B237,'Base stats'!B:B,'Base stats'!G:G)="Atypical reproduction","No",IFERROR(MAX(IF(_xlfn.XLOOKUP(B237,'Base stats'!B:B,'Base stats'!G:G)&lt;0.5,0.2,0.3),MROUND(_xlfn.XLOOKUP(B237,'Base stats'!B:B,'Base stats'!G:G)/(365/60),0.2)),"Unknown"))</f>
        <v>0.3</v>
      </c>
      <c r="AU237" s="8">
        <f t="shared" si="22"/>
        <v>0.15000000000000002</v>
      </c>
      <c r="AV237" s="8">
        <f>IFERROR(IFERROR(MROUND(_xlfn.XLOOKUP(B237,'Base stats'!B:B,'Base stats'!J:J),0.1),"Lay eggs"),"Cannot breed")</f>
        <v>1</v>
      </c>
      <c r="AW237" s="2" t="str">
        <f t="shared" si="23"/>
        <v>true</v>
      </c>
      <c r="AX237" s="2" t="str">
        <f>IF(_xlfn.XLOOKUP(_xlfn.XLOOKUP(Animals!B237,'Base stats'!B:B,'Base stats'!E:E),Groups!A:A,Groups!AK:AK)=1,"true","false")</f>
        <v>true</v>
      </c>
      <c r="AY237" s="25" t="str">
        <f>IF(_xlfn.XLOOKUP(B237,'Base stats'!B:B,'Base stats'!Y:Y)="Liquor","Liquor, CarnivoreAnimalStrict",IF(AND(_xlfn.XLOOKUP(B237,'Base stats'!B:B,'Base stats'!Y:Y)="Carnivore",_xlfn.XLOOKUP(_xlfn.XLOOKUP(B237,'Base stats'!B:B,'Base stats'!E:E),Groups!A:A,Groups!AJ:AJ)="Photonozoa"),"CarnivoreAnimalStrict, OvivoreAnimal",IF(_xlfn.XLOOKUP(B237,'Base stats'!B:B,'Base stats'!Y:Y)="Carnivore","CarnivoreAnimal, OvivoreAnimal",IF(_xlfn.XLOOKUP(B237,'Base stats'!B:B,'Base stats'!Y:Y)="Dendrovore","VegetarianRoughAnimal, DendrovoreAnimal",IF(_xlfn.XLOOKUP(B237,'Base stats'!B:B,'Base stats'!Y:Y)="Herbivore","VegetarianRoughAnimal",IF(_xlfn.XLOOKUP(B237,'Base stats'!B:B,'Base stats'!Y:Y)="OmnivoreRough","OmnivoreRoughAnimal, OvivoreAnimal","OmnivoreAnimal, OvivoreAnimal"))))))</f>
        <v>VegetarianRoughAnimal</v>
      </c>
      <c r="AZ237" s="2">
        <f>IF(_xlfn.XLOOKUP(_xlfn.XLOOKUP(B237,'Base stats'!B:B,'Base stats'!E:E),Groups!A:A,Groups!D:D)=1,MROUND((1-J237)*5+1,2)*IF(J237&lt;=0.4,2,1),"No")</f>
        <v>8</v>
      </c>
      <c r="BA237" s="2" t="str">
        <f>IF(AND(_xlfn.XLOOKUP(B237,'Base stats'!B:B,'Base stats'!AH:AH)="&lt;li&gt;Seal&lt;/li&gt;",G237="Odyssey"),"&lt;li&gt;AEXP_Seal&lt;/li&gt;",_xlfn.XLOOKUP(B237,'Base stats'!B:B,'Base stats'!AH:AH))</f>
        <v>&lt;li&gt;Cow&lt;/li&gt;</v>
      </c>
      <c r="BB237" s="2" t="str">
        <f>_xlfn.XLOOKUP(B237,'Base stats'!B:B,'Base stats'!AG:AG)</f>
        <v>Leather_Chitin</v>
      </c>
      <c r="BC237" s="23" t="str">
        <f>_xlfn.XLOOKUP(_xlfn.XLOOKUP(B237,'Base stats'!B:B,'Base stats'!E:E),Groups!A:A,Groups!AL:AL)</f>
        <v>QuadrupedAnimalWithHooves</v>
      </c>
      <c r="BD237" s="23">
        <f>MIN(1,MROUND(IF(AND(AO237&lt;0.5,_xlfn.XLOOKUP(B237,'Base stats'!B:B,'Base stats'!AA:AA)=0),0,IF(OR(_xlfn.XLOOKUP(Animals!B237,'Base stats'!B:B,'Base stats'!O:O)=2,_xlfn.XLOOKUP(_xlfn.XLOOKUP(B237,'Base stats'!B:B,'Base stats'!E:E),Groups!A:A,Groups!AN:AN)=0),0,_xlfn.XLOOKUP(_xlfn.XLOOKUP(B237,'Base stats'!B:B,'Base stats'!E:E),Groups!A:A,Groups!AN:AN)/IF(_xlfn.XLOOKUP(Animals!B237,'Base stats'!B:B,'Base stats'!O:O)=1,2,1)))+_xlfn.XLOOKUP(B237,'Base stats'!B:B,'Base stats'!AC:AC),0.005))</f>
        <v>0</v>
      </c>
      <c r="BE237" s="23">
        <f>MIN(1,MROUND(IF(AND(AO237&lt;0.5,_xlfn.XLOOKUP(B237,'Base stats'!B:B,'Base stats'!AA:AA)=0),0,IF(_xlfn.XLOOKUP(_xlfn.XLOOKUP(B237,'Base stats'!B:B,'Base stats'!E:E),Groups!A:A,Groups!AO:AO)=0,0,_xlfn.XLOOKUP(_xlfn.XLOOKUP(B237,'Base stats'!B:B,'Base stats'!E:E),Groups!A:A,Groups!AO:AO)/IF(_xlfn.XLOOKUP(Animals!B237,'Base stats'!B:B,'Base stats'!O:O)=2,3,1)))+_xlfn.XLOOKUP(B237,'Base stats'!B:B,'Base stats'!AD:AD),0.005))</f>
        <v>0</v>
      </c>
      <c r="BF237" s="2" t="str">
        <f>IF(J237&gt;0.3,"No",_xlfn.XLOOKUP(_xlfn.XLOOKUP(Animals!B237,'Base stats'!B:B,'Base stats'!E:E),Groups!A:A,Groups!AP:AP))</f>
        <v>No</v>
      </c>
      <c r="BG237" s="2" t="str">
        <f>IF(AND(J237&lt;=0.65,_xlfn.XLOOKUP(_xlfn.XLOOKUP(Animals!B237,'Base stats'!B:B,'Base stats'!E:E),Groups!A:A,Groups!AP:AP)&lt;&gt;"No",_xlfn.XLOOKUP(_xlfn.XLOOKUP(B237,'Base stats'!B:B,'Base stats'!E:E),Groups!A:A,Groups!D:D)=0),MROUND((80/3)*IF(_xlfn.XLOOKUP(B237,'Base stats'!B:B,'Base stats'!O:O)=2,0.2,AO237) + 24*(1-IF(BF237="No",0,BF237)) + 16/3, 12),"No")</f>
        <v>No</v>
      </c>
      <c r="BH237" s="2">
        <f>IF(AND(_xlfn.XLOOKUP(_xlfn.XLOOKUP(B237,'Base stats'!B:B,'Base stats'!E:E),Groups!A:A,Groups!AQ:AQ)=1,AO237&lt;=0.35),8,12)</f>
        <v>12</v>
      </c>
      <c r="BI237" s="2" t="str">
        <f>IF(_xlfn.XLOOKUP(_xlfn.XLOOKUP(B237,'Base stats'!B:B,'Base stats'!E:E),Groups!A:A,Groups!D:D)=0,_xlfn.XLOOKUP(_xlfn.XLOOKUP(B237,'Base stats'!B:B,'Base stats'!E:E),Groups!A:A,Groups!AR:AR),"None")</f>
        <v>None</v>
      </c>
      <c r="BJ237" s="2" t="str">
        <f>IF(AND(_xlfn.XLOOKUP(_xlfn.XLOOKUP(B237,'Base stats'!B:B,'Base stats'!E:E),Groups!A:A,Groups!AS:AS)=1,OR(_xlfn.XLOOKUP(B237,'Base stats'!B:B,'Base stats'!Y:Y)="Carnivore",_xlfn.XLOOKUP(B237,'Base stats'!B:B,'Base stats'!Y:Y)="Omnivore")),"true","false")</f>
        <v>false</v>
      </c>
      <c r="BK237" s="2" t="str">
        <f>IF(BJ237="true",MROUND(IF(AND(AO237&gt;0.5,OR(_xlfn.XLOOKUP(_xlfn.XLOOKUP(B237,'Base stats'!B:B,'Base stats'!E:E),Groups!A:A,Groups!AJ:AJ)="Photonozoa",_xlfn.XLOOKUP(_xlfn.XLOOKUP(B237,'Base stats'!B:B,'Base stats'!E:E),Groups!A:A,Groups!AJ:AJ)="Mammal")),Animals!AO237*1.75*IF(AW237="true",1.5,1),IF(AO237&lt;0.5,Animals!AO237*0.5,Animals!AO237)),IF(AO237&gt;2,0.5,IF(AO237&gt;0.5,0.25,0.1))),"No")</f>
        <v>No</v>
      </c>
      <c r="BL237" s="2">
        <f t="shared" si="24"/>
        <v>0</v>
      </c>
      <c r="BM237" s="25" t="str">
        <f>IF(_xlfn.XLOOKUP(B237,'Base stats'!B:B,'Base stats'!AN:AN)="Standard","No",MROUND((_xlfn.XLOOKUP(B237,'Base stats'!B:B,'Base stats'!AN:AN)/3.6)/I237,0.1))</f>
        <v>No</v>
      </c>
      <c r="BN237" s="25" t="str">
        <f t="shared" si="25"/>
        <v>false</v>
      </c>
      <c r="BO237" s="25" t="str">
        <f>IF(AND(OR(_xlfn.XLOOKUP(B237,'Base stats'!B:B,'Base stats'!Y:Y)="Carnivore",_xlfn.XLOOKUP(B237,'Base stats'!B:B,'Base stats'!Y:Y)="Omnivore",_xlfn.XLOOKUP(B237,'Base stats'!B:B,'Base stats'!Y:Y)="OmnivoreRough"),_xlfn.XLOOKUP(_xlfn.XLOOKUP(B237,'Base stats'!B:B,'Base stats'!E:E),Groups!A:A,Groups!AT:AT)=1),"true","false")</f>
        <v>false</v>
      </c>
      <c r="BP237" s="25" t="str" cm="1">
        <f t="array" ref="BP237">IF(
  _xlfn.TEXTJOIN(", ",TRUE,
    IF(AND(BJ237="true",AO237&gt;0.5,BI237&lt;&gt;"None"),"AttackTarget",""),
    IF(AND(_xlfn.XLOOKUP(_xlfn.XLOOKUP(B237,'Base stats'!B:B,'Base stats'!E:E),Groups!A:A,Groups!AJ:AJ="Mammal"),OR(_xlfn.XLOOKUP(B237,'Base stats'!B:B,'Base stats'!Y:Y)="Omnivore",_xlfn.XLOOKUP(B237,'Base stats'!B:B,'Base stats'!Y:Y)="OmnivoreRough")),"Forage",""),
    IF(BG237&lt;=36,"Comfort",""),
    IF(_xlfn.XLOOKUP(B237,'Base stats'!B:B,'Base stats'!AE:AE)&lt;&gt;"No",_xlfn.XLOOKUP(B237,'Base stats'!B:B,'Base stats'!AE:AE),"")
  ) = "",
  "No",
  _xlfn.TEXTJOIN(", ",TRUE,
    IF(AND(BJ237="true",AO237&gt;0.5,BI237&lt;&gt;"None"),"AttackTarget",""),
    IF(AND(_xlfn.XLOOKUP(_xlfn.XLOOKUP(B237,'Base stats'!B:B,'Base stats'!E:E),Groups!A:A,Groups!AJ:AJ="Mammal"),OR(_xlfn.XLOOKUP(B237,'Base stats'!B:B,'Base stats'!Y:Y)="Omnivore",_xlfn.XLOOKUP(B237,'Base stats'!B:B,'Base stats'!Y:Y)="OmnivoreRough")),"Forage",""),
    IF(BG237&lt;=36,"Comfort",""),
    IF(_xlfn.XLOOKUP(B237,'Base stats'!B:B,'Base stats'!AE:AE)&lt;&gt;"No",_xlfn.XLOOKUP(B237,'Base stats'!B:B,'Base stats'!AE:AE),"")
  )
)</f>
        <v>No</v>
      </c>
      <c r="BQ237" s="25" t="str">
        <f>IF(
   AND(
      'Base stats'!AN237="Standard",_xlfn.XLOOKUP(_xlfn.XLOOKUP(B237,'Base stats'!B:B,'Base stats'!E:E),Groups!A:A,Groups!AU:AU)=0,
      OR(
      BO237="True"
      )
   ),
   10,
   IF(
       OR(BM237&lt;&gt;"No",_xlfn.XLOOKUP(_xlfn.XLOOKUP(B237,'Base stats'!B:B,'Base stats'!E:E),Groups!A:A,Groups!AU:AU)=1),
      1,
      "No"
   )
)</f>
        <v>No</v>
      </c>
      <c r="BR237" s="9">
        <f>MROUND((1 + ((0.2*IF(OR(Q237="No",R237="No",R237=0),0,Q237/R237)
+IF(OR(V237="No",S237="No",T237="No"),0,S237/T237*(LEN(V237)-LEN(SUBSTITUTE(V237,",",""))+1))
+IF(OR(X237="No",Y237="No"),0,X237/Y237)
+IF(OR(AD237="No",AE237="No"),0,AD237/AE237)
+IF(OR(AL237="No",AI237="No",AJ237="No"),0,AI237/AJ237*(LEN(AL237)-LEN(SUBSTITUTE(AL237,",",""))+1))
)/(0.2*IF(OR(Q237="No",R237="No",R237=0),0,1)
+IF(OR(V237="No",S237="No",T237="No"),0,LEN(V237)-LEN(SUBSTITUTE(V237,",",""))+1)
+IF(OR(X237="No",Y237="No"),0,1)
+IF(OR(AD237="No",AE237="No"),0,1)
+IF(OR(AL237="No",AI237="No",AJ237="No"),0,LEN(AL237)-LEN(SUBSTITUTE(AL237,",",""))+1))*62%)* 2)*(1 + (AP237 / (IF(_xlfn.XLOOKUP(_xlfn.XLOOKUP(B237,'Base stats'!B:B,'Base stats'!E:E),Groups!A:A,Groups!AJ:AJ)="Photonozoa",0.3,1)) + _xlfn.XLOOKUP(B237,'Base stats'!B:B,'Base stats'!AV:AV) * 1.8) * 2) * 2.5 + 10 + I237 * 2,5)+IF(_xlfn.XLOOKUP(B237,'Base stats'!B:B,'Base stats'!AK:AK)=1,50,0)</f>
        <v>165</v>
      </c>
      <c r="BS237" s="8">
        <f t="shared" si="26"/>
        <v>1.4500000000000002</v>
      </c>
      <c r="BT237" s="8" t="str">
        <f>_xlfn.XLOOKUP(B237,'Base stats'!B:B,'Base stats'!AF:AF)</f>
        <v>3~10</v>
      </c>
      <c r="BU237" s="2" t="str">
        <f>IF(AND(J237&lt;=0.95,OR(_xlfn.XLOOKUP(B237,'Base stats'!B:B,'Base stats'!AK:AK)=1,_xlfn.XLOOKUP(B237,'Base stats'!B:B,'Base stats'!Y:Y)="Carnivore",_xlfn.XLOOKUP(B237,'Base stats'!B:B,'Base stats'!Y:Y)="Omnivore",BE237&gt;0.1)),"true","false")</f>
        <v>false</v>
      </c>
      <c r="BV237" s="2" t="str">
        <f>IF(_xlfn.XLOOKUP(B237,'Base stats'!B:B,'Base stats'!AI:AI)=1,"true","false")</f>
        <v>true</v>
      </c>
      <c r="BW237" s="25" t="str">
        <f>IF(E237="BaseInsect","AnimalInsect",
IF(J237&gt;0.95,"AnimalExotic",
_xlfn.TEXTJOIN(", ",TRUE,
IF(OR(_xlfn.XLOOKUP(B237,'Base stats'!B:B,'Base stats'!AM:AM)=1,AND(_xlfn.XLOOKUP(B237,'Base stats'!B:B,'Base stats'!O:O)=0,_xlfn.XLOOKUP(_xlfn.XLOOKUP(B237,'Base stats'!B:B,'Base stats'!E:E),Groups!A:A,Groups!B:B)&gt;0)),"AnimalUncommon","AnimalCommon"),
IF(AND(_xlfn.XLOOKUP(B237,'Base stats'!B:B,'Base stats'!O:O)=2,_xlfn.XLOOKUP(_xlfn.XLOOKUP(B237,'Base stats'!B:B,'Base stats'!E:E),Groups!A:A,Groups!D:D)=0),"AnimalPet",IF(AND(_xlfn.XLOOKUP(B237,'Base stats'!B:B,'Base stats'!O:O)&lt;&gt;0,_xlfn.XLOOKUP(_xlfn.XLOOKUP(B237,'Base stats'!B:B,'Base stats'!E:E),Groups!A:A,Groups!D:D)&lt;&gt;0),"AnimalFarm","")),
IF(OR(_xlfn.XLOOKUP(B237,'Base stats'!B:B,'Base stats'!AK:AK)=1,AND(BI237&lt;&gt;"None",BR237&gt;=60),ISNUMBER(SEARCH("Attack target",BP237))),"AnimalFighter","")
)))</f>
        <v>AnimalUncommon, AnimalFarm</v>
      </c>
      <c r="BX237" s="25" t="str">
        <f>IF(G237="None",TRIM(
SUBSTITUTE(
IF(COUNTIF(Biomes!B$2:B$259,"="&amp;$C237)&gt;0,Biomes!B$1&amp;", ","")&amp;
IF(COUNTIF(Biomes!C$2:C$259,"="&amp;$C237)&gt;0,Biomes!C$1&amp;", ","")&amp;
IF(COUNTIF(Biomes!D$2:D$259,"="&amp;$C237)&gt;0,Biomes!D$1&amp;", ","")&amp;
IF(COUNTIF(Biomes!F$2:F$259,"="&amp;$C237)&gt;0,Biomes!F$1&amp;", ","")&amp;
IF(COUNTIF(Biomes!G$2:G$259,"="&amp;$C237)&gt;0,Biomes!G$1&amp;", ","")&amp;
IF(COUNTIF(Biomes!H$2:H$259,"="&amp;$C237)&gt;0,Biomes!H$1&amp;", ","")&amp;
IF(COUNTIF(Biomes!I$2:I$259,"="&amp;$C237)&gt;0,Biomes!I$1&amp;", ","")&amp;
IF(COUNTIF(Biomes!J$2:J$259,"="&amp;$C237)&gt;0,Biomes!J$1&amp;", ","")&amp;
IF(COUNTIF(Biomes!M$2:M$259,"="&amp;$C237)&gt;0,Biomes!M$1&amp;", ","")&amp;
IF(COUNTIF(Biomes!N$2:N$259,"="&amp;$C237)&gt;0,Biomes!N$1&amp;", ","")&amp;
IF(COUNTIF(Biomes!O$2:O$259,"="&amp;$C237)&gt;0,Biomes!O$1&amp;", ","")&amp;
IF(COUNTIF(Biomes!P$2:P$259,"="&amp;$C237)&gt;0,Biomes!P$1&amp;", ","")&amp;
IF(COUNTIF(Biomes!K$2:K$259,"="&amp;$C237)&gt;0,Biomes!K$1&amp;", ","")&amp;
IF(COUNTIF(Biomes!Q$3:Q$259,"="&amp;$C237)&gt;0,Biomes!Q$1&amp;", ","")&amp;
IF(COUNTIF(Biomes!L$2:L$259,"="&amp;$C237)&gt;0,Biomes!L$1&amp;", ","")&amp;
IF(COUNTIF(Biomes!E$2:E$259,"="&amp;$C237)&gt;0,Biomes!E$1&amp;", ","")&amp;IF(COUNTIF(Biomes!S$2:S$259,"="&amp;$C237)&gt;0,Biomes!S$1&amp;", ","")&amp;
IF(COUNTIF(Biomes!R$2:R$259,"="&amp;$C237)&gt;0,Biomes!R$1&amp;", ",""),", ","")
),_xlfn.XLOOKUP(B237,B:B,BX:BX))</f>
        <v/>
      </c>
      <c r="BY237" s="25" t="str">
        <f>IF(_xlfn.XLOOKUP(B237,'Base stats'!B:B,'Base stats'!AJ:AJ)=1,"true","false")</f>
        <v>false</v>
      </c>
      <c r="BZ237" s="25">
        <f>IF(_xlfn.XLOOKUP(B237,'Base stats'!B:B,'Base stats'!N:N)=1,"No",MAX(0.001,MIN(MROUND(IF(AND(BJ237="True",CC237="False"),POWER(10,3.47*LOG10(_xlfn.XLOOKUP(B237,'Base stats'!B:B,'Base stats'!C:C)*1000)^-0.96),POWER(10,4.15*LOG10(_xlfn.XLOOKUP(B237,'Base stats'!B:B,'Base stats'!C:C)*1000)^-0.73))*IF(_xlfn.XLOOKUP(B237,'Base stats'!B:B,'Base stats'!AK:AK)=1,0.5,1)*IF(_xlfn.XLOOKUP(B237,'Base stats'!B:B,'Base stats'!AM:AM)=1,0.1,1)/100,IF(_xlfn.XLOOKUP(B237,'Base stats'!B:B,'Base stats'!AM:AM)=1,0.001,0.025)),0.5)))</f>
        <v>1.4999999999999999E-2</v>
      </c>
      <c r="CA237" s="25" t="str">
        <f>IF(P237="Standard","No",MAX(0.001,MIN(MROUND(IF(AND(BJ237="True",CC237="False"),POWER(10,3.47*LOG10(_xlfn.XLOOKUP(B237,'Base stats'!B:B,'Base stats'!C:C)*1000)^-0.96),POWER(10,4.15*LOG10(_xlfn.XLOOKUP(B237,'Base stats'!B:B,'Base stats'!C:C)*1000)^-0.73))*IF(_xlfn.XLOOKUP(B237,'Base stats'!B:B,'Base stats'!AM:AM)=1,0.1,1)*_xlfn.XLOOKUP(B237,'Base stats'!B:B,'Base stats'!R:R)/100,IF(_xlfn.XLOOKUP(B237,'Base stats'!B:B,'Base stats'!AM:AM)=1,0.001,0.025)),0.5)))</f>
        <v>No</v>
      </c>
      <c r="CB237" s="25" t="str">
        <f>IF(_xlfn.XLOOKUP(_xlfn.XLOOKUP(B237,'Base stats'!B:B,'Base stats'!E:E),Groups!A:A,Groups!AJ:AJ)="Mammal","True","False")</f>
        <v>True</v>
      </c>
      <c r="CC237" s="25" t="str">
        <f>IF(OR(_xlfn.XLOOKUP(_xlfn.XLOOKUP(B237,'Base stats'!B:B,'Base stats'!E:E),Groups!A:A,Groups!AJ:AJ)="Reptile",_xlfn.XLOOKUP(_xlfn.XLOOKUP(B237,'Base stats'!B:B,'Base stats'!E:E),Groups!A:A,Groups!AJ:AJ)="Amphibian",_xlfn.XLOOKUP(_xlfn.XLOOKUP(B237,'Base stats'!B:B,'Base stats'!E:E),Groups!A:A,Groups!AJ:AJ)="Invertebrate"),"True","False")</f>
        <v>False</v>
      </c>
      <c r="CD237" s="25" t="str">
        <f t="shared" si="27"/>
        <v>False</v>
      </c>
      <c r="CE237" s="25" t="str">
        <f>IF(_xlfn.XLOOKUP(_xlfn.XLOOKUP(B237,'Base stats'!B:B,'Base stats'!E:E),Groups!A:A,Groups!AX:AX),"True","False")</f>
        <v>False</v>
      </c>
      <c r="CF237" s="25" t="str">
        <f>IF(_xlfn.XLOOKUP(_xlfn.XLOOKUP(B237,'Base stats'!B:B,'Base stats'!E:E),Groups!A:A,Groups!AY:AY),"True","False")</f>
        <v>False</v>
      </c>
      <c r="CG237" s="25" t="str">
        <f>IF(_xlfn.XLOOKUP(_xlfn.XLOOKUP(B237,'Base stats'!B:B,'Base stats'!E:E),Groups!A:A,Groups!AW:AW),"True","False")</f>
        <v>False</v>
      </c>
      <c r="CH237" s="25" t="str">
        <f>IF(
OR(
_xlfn.XLOOKUP(_xlfn.XLOOKUP(B237,'Base stats'!B:B,'Base stats'!E:E),Groups!A:A,Groups!AZ:AZ)=0,
AND(
_xlfn.XLOOKUP(B237,'Base stats'!B:B,'Base stats'!Y:Y)&lt;&gt;"Carnivore",
_xlfn.XLOOKUP(B237,'Base stats'!B:B,'Base stats'!Y:Y)&lt;&gt;"Omnivore",
_xlfn.XLOOKUP(B237,'Base stats'!B:B,'Base stats'!Y:Y)&lt;&gt;"OmnivoreRough"
)
),
"No",
IF(
_xlfn.XLOOKUP(_xlfn.XLOOKUP(B237,'Base stats'!B:B,'Base stats'!E:E),Groups!A:A,Groups!AZ:AZ)=1,
"Flesh",
IF(
_xlfn.XLOOKUP(_xlfn.XLOOKUP(B237,'Base stats'!B:B,'Base stats'!E:E),Groups!A:A,Groups!AZ:AZ)=2,
"Bone",
""
)
)
)</f>
        <v>No</v>
      </c>
      <c r="CI237" s="25" t="str">
        <f>IF(_xlfn.XLOOKUP(_xlfn.XLOOKUP(B237,'Base stats'!B:B,'Base stats'!E:E),Groups!A:A,Groups!BB:BB),"True","False")</f>
        <v>True</v>
      </c>
      <c r="CJ237" s="25" t="str">
        <f>IF(_xlfn.XLOOKUP(_xlfn.XLOOKUP(B237,'Base stats'!B:B,'Base stats'!E:E),Groups!A:A,Groups!BA:BA),"True","False")</f>
        <v>False</v>
      </c>
    </row>
    <row r="238" spans="1:88" ht="16.5" thickTop="1" thickBot="1" x14ac:dyDescent="0.3">
      <c r="A238" s="26" t="s">
        <v>1382</v>
      </c>
      <c r="B238" s="6" t="str">
        <f>_xlfn.XLOOKUP(A238,'Base stats'!A:A,'Base stats'!B:B)</f>
        <v>Megacancer petreus</v>
      </c>
      <c r="C238" s="28" t="s">
        <v>1383</v>
      </c>
      <c r="D238" s="28" t="s">
        <v>1341</v>
      </c>
      <c r="E238" s="28" t="s">
        <v>673</v>
      </c>
      <c r="F238" s="28" t="s">
        <v>673</v>
      </c>
      <c r="G238" s="28" t="s">
        <v>673</v>
      </c>
      <c r="H238" s="2">
        <f>MROUND((
  (IF(AND(_xlfn.XLOOKUP(B238,'Base stats'!B:B,'Base stats'!AL:AL)=0,BI238="None",_xlfn.XLOOKUP(_xlfn.XLOOKUP(B238,'Base stats'!B:B,'Base stats'!E:E),Groups!A:A,Groups!B:B)=0), (18 + BR238 * 2.7) * 0.5,
    IF(AND(_xlfn.XLOOKUP(B238,'Base stats'!B:B,'Base stats'!AL:AL)=0,OR(AO238&lt;0.55,AND(BI238="Intermediate",_xlfn.XLOOKUP(_xlfn.XLOOKUP(B238,'Base stats'!B:B,'Base stats'!E:E),Groups!A:A,Groups!B:B)&lt;2))), (18 + BR238 * 2.7),
      IF(OR(BI238="Advanced",_xlfn.XLOOKUP(B238,'Base stats'!B:B,'Base stats'!AL:AL)=1,_xlfn.XLOOKUP(_xlfn.XLOOKUP(B238,'Base stats'!B:B,'Base stats'!E:E),Groups!A:A,Groups!B:B)=2), (18 + BR238 * 2.7) + 250, (18 + BR238 * 2.7))
    )
  ))
  + AO238 * 80
  + IF(COUNTIF(EggMilk!K$2:K$998, A238) &gt; 0, 125, 0)
  + IF(COUNTIF(EggMilk!P$2:P$998, A238) &gt; 0, 90, 0)
  + IF(COUNTIF(EggMilk!A$2:A$998, A238) &gt; 0, 90, 0)
)
* (0.8 + 0.4 * J238)
* 0.75,25)</f>
        <v>900</v>
      </c>
      <c r="I238" s="2">
        <f>MROUND(ROUNDDOWN(_xlfn.XLOOKUP(B238,'Base stats'!B:B,'Base stats'!L:L)/3.6/(23.3/11),1),0.5)</f>
        <v>1</v>
      </c>
      <c r="J238" s="2">
        <f>IF(OR(_xlfn.XLOOKUP(B238,'Base stats'!B:B,'Base stats'!AB:AB)=1,_xlfn.XLOOKUP(_xlfn.XLOOKUP(B238,'Base stats'!B:B,'Base stats'!E:E),Groups!A:A,Groups!C:C)="Untamable"),1,IF(_xlfn.XLOOKUP(B238,'Base stats'!B:B,'Base stats'!AL:AL)=1,0.99,MIN(MROUND((1-0.6282*EXP(-0.459*AO238))*_xlfn.XLOOKUP(_xlfn.XLOOKUP(B238,'Base stats'!B:B,'Base stats'!E:E),Groups!A:A,Groups!C:C)*IF(_xlfn.XLOOKUP(B238,'Base stats'!B:B,'Base stats'!O:O)=1,0.5,IF(_xlfn.XLOOKUP(B238,'Base stats'!B:B,'Base stats'!O:O)=2,0,1)),0.05),IF(AO238&gt;3.5,0.985,0.95))))</f>
        <v>0.98499999999999999</v>
      </c>
      <c r="K238" s="2">
        <f>ROUNDUP(AO238*_xlfn.XLOOKUP(_xlfn.XLOOKUP(B238,'Base stats'!B:B,'Base stats'!E:E),Groups!A:A,Groups!E:E),0)</f>
        <v>5</v>
      </c>
      <c r="L238" s="2">
        <f>IF(OR(_xlfn.XLOOKUP(_xlfn.XLOOKUP(B238,'Base stats'!B:B,'Base stats'!E:E),Groups!A:A,Groups!F:F)=2,ISNUMBER(SEARCH("SeaIce",BX238)),ISNUMBER(SEARCH("IceSheet",BX238))),-50,IF(OR(ISNUMBER(SEARCH("GlacialPlain",BX238)),ISNUMBER(SEARCH("Tundra",BX238))),-40,IF(OR(ISNUMBER(SEARCH("Alpine",BX238)),ISNUMBER(SEARCH("BorealForest",BX238)),ISNUMBER(SEARCH("ColdBog",BX238))),-30,IF(OR(ISNUMBER(SEARCH("TemperateForest",BX238)),ISNUMBER(SEARCH("TemperateSwamp",BX238))),-20,IF(_xlfn.XLOOKUP(_xlfn.XLOOKUP(B238,'Base stats'!B:B,'Base stats'!E:E),Groups!A:A,Groups!F:F)=1,-15,IF(OR(ISNUMBER(SEARCH("Desert",BX238)),ISNUMBER(SEARCH("ExtremeDesert",BX238))),-10,IF(OR(ISNUMBER(SEARCH("Grasslands",BX238)),ISNUMBER(SEARCH("TropicalRainforest",BX238)),ISNUMBER(SEARCH("TropicalSwamp",BX238))),10,0)))))))-IF(CC238="False",MIN(IFERROR(MAX(MROUND(LOG10(_xlfn.XLOOKUP(B238,'Base stats'!B:B,'Base stats'!C:C)^(2/3))*10,5),5),5),30))-_xlfn.XLOOKUP(B238,'Base stats'!B:B,'Base stats'!P:P)+IF(CC238="True",5,0)</f>
        <v>-35</v>
      </c>
      <c r="M238" s="2">
        <f>IF(OR(_xlfn.XLOOKUP(_xlfn.XLOOKUP(B238,'Base stats'!B:B,'Base stats'!E:E),Groups!A:A,Groups!G:G)=2,ISNUMBER(SEARCH("Desert",BX238)),ISNUMBER(SEARCH("ExtremeDesert",BX238)),ISNUMBER(SEARCH("LavaField",BX238))),50,IF(ISNUMBER(SEARCH("Grasslands",BX238)),45,IF(OR(_xlfn.XLOOKUP(_xlfn.XLOOKUP(B238,'Base stats'!B:B,'Base stats'!E:E),Groups!A:A,Groups!G:G)=1,ISNUMBER(SEARCH("TropicalRainforest",BX238)),ISNUMBER(SEARCH("TropicalSwamp",BX238))),40,IF(OR(ISNUMBER(SEARCH("TemperateForest",BX238)),ISNUMBER(SEARCH("TemperateSwamp",BX238))),35,IF(OR(ISNUMBER(SEARCH("Alpine",BX238)),ISNUMBER(SEARCH("BorealForest",BX238)),ISNUMBER(SEARCH("ColdBog",BX238))),30,IF(ISNUMBER(OR(ISNUMBER(SEARCH("GlacialPlain",BX238)),SEARCH("Tundra",BX238))),25,IF(OR(ISNUMBER(SEARCH("SeaIce",BX238)),ISNUMBER(SEARCH("IceSheet",BX238)),ISNUMBER(SEARCH("TropicalSwamp",BX238))),10,35)))))))+_xlfn.XLOOKUP(B238,'Base stats'!B:B,'Base stats'!Q:Q)</f>
        <v>50</v>
      </c>
      <c r="N238" s="8">
        <f>IF(
_xlfn.XLOOKUP(
_xlfn.XLOOKUP(B238,'Base stats'!B:B,'Base stats'!E:E),
Groups!A:A,
Groups!L:L
)=1,
MIN(
MROUND(
IF(
_xlfn.XLOOKUP(B238,'Animals CE'!B:B,'Animals CE'!Z:Z)&lt;=1.5,
_xlfn.XLOOKUP(B238,'Animals CE'!B:B,'Animals CE'!Z:Z)/2+0.05,
0.8+
(_xlfn.XLOOKUP(B238,'Animals CE'!B:B,'Animals CE'!Z:Z)-1.5)
*0.02
),
0.05
),
200%
),
"No"
)</f>
        <v>0.9</v>
      </c>
      <c r="O238" s="8">
        <f>IF(
_xlfn.XLOOKUP(
_xlfn.XLOOKUP(B238,'Base stats'!B:B,'Base stats'!E:E),
Groups!A:A,
Groups!L:L
)=1,
MIN(
MROUND(
IF(
_xlfn.XLOOKUP(B238,'Animals CE'!B:B,'Animals CE'!AA:AA)&lt;=1.5,
_xlfn.XLOOKUP(B238,'Animals CE'!B:B,'Animals CE'!AA:AA)/2+0.05,
0.8+
(_xlfn.XLOOKUP(B238,'Animals CE'!B:B,'Animals CE'!AA:AA)-1.5)
*0.02
),
0.05
),
200%
),
"No"
)</f>
        <v>0.15000000000000002</v>
      </c>
      <c r="P238" s="2" t="str">
        <f>_xlfn.XLOOKUP(B238,'Base stats'!B:B,'Base stats'!R:R)</f>
        <v>Standard</v>
      </c>
      <c r="Q238" s="13">
        <f>MROUND((LOG10(_xlfn.XLOOKUP(B238,'Base stats'!B:B,'Base stats'!AR:AR))*(AO238^0.5)+(_xlfn.XLOOKUP(B238,'Base stats'!B:B,'Base stats'!AR:AR)/1000)^(2/3)+_xlfn.XLOOKUP(B238,'Base stats'!B:B,'Base stats'!BA:BA)/2)+0.5,0.5)</f>
        <v>36</v>
      </c>
      <c r="R238" s="7">
        <f>IF(Q238="No","No",MAX(1,MROUND(_xlfn.XLOOKUP(B238,'Base stats'!B:B,'Base stats'!C:C)^0.165,0.05)))</f>
        <v>4</v>
      </c>
      <c r="S238" s="13" t="str">
        <f>IF(_xlfn.XLOOKUP(_xlfn.XLOOKUP(B238,'Base stats'!B:B,'Base stats'!E:E),Groups!A:A,Groups!P:P)=0,"No",MROUND((LOG10(_xlfn.XLOOKUP(B238,'Base stats'!B:B,'Base stats'!AS:AS))*(AO238^0.5)+(_xlfn.XLOOKUP(B238,'Base stats'!B:B,'Base stats'!AS:AS)/1000)^(2/3)+_xlfn.XLOOKUP(B238,'Base stats'!B:B,'Base stats'!BA:BA))+_xlfn.XLOOKUP(B238,'Base stats'!B:B,'Base stats'!AY:AY)+0.5,0.5))</f>
        <v>No</v>
      </c>
      <c r="T238" s="7" t="str">
        <f>IF(S238="No","No",MAX(_xlfn.XLOOKUP(_xlfn.XLOOKUP(B238,'Base stats'!B:B,'Base stats'!E:E),Groups!A:A,Groups!Q:Q),MROUND(_xlfn.XLOOKUP(_xlfn.XLOOKUP(B238,'Base stats'!B:B,'Base stats'!E:E),Groups!A:A,Groups!Q:Q)*_xlfn.XLOOKUP(B238,'Base stats'!B:B,'Base stats'!C:C)^0.165,0.05)))</f>
        <v>No</v>
      </c>
      <c r="U238" s="7" t="str">
        <f>IF(S238="No","No",_xlfn.XLOOKUP(_xlfn.XLOOKUP(B238,'Base stats'!B:B,'Base stats'!E:E),Groups!A:A,Groups!R:R))</f>
        <v>No</v>
      </c>
      <c r="V238" s="7" t="str">
        <f>IF(S238="No","No",_xlfn.XLOOKUP(_xlfn.XLOOKUP(B238,'Base stats'!B:B,'Base stats'!E:E),Groups!A:A,Groups!S:S))</f>
        <v>No</v>
      </c>
      <c r="W238" s="7" t="str">
        <f>IF(S238="No","No",_xlfn.XLOOKUP(_xlfn.XLOOKUP(B238,'Base stats'!B:B,'Base stats'!E:E),Groups!A:A,Groups!T:T))</f>
        <v>No</v>
      </c>
      <c r="X238" s="13" t="str">
        <f>IF(_xlfn.XLOOKUP(B238,'Base stats'!B:B,'Base stats'!W:W)="No","No",MROUND((LOG10(_xlfn.XLOOKUP(B238,'Base stats'!B:B,'Base stats'!AU:AU))*(AO238^0.5)+(_xlfn.XLOOKUP(B238,'Base stats'!B:B,'Base stats'!AU:AU)/1000)^(2/3)+_xlfn.XLOOKUP(B238,'Base stats'!B:B,'Base stats'!AZ:AZ))+0.5+IF(_xlfn.XLOOKUP(_xlfn.XLOOKUP(B238,'Base stats'!B:B,'Base stats'!E:E),Groups!A:A,Groups!U:U)&lt;&gt;3,_xlfn.XLOOKUP(B238,'Base stats'!B:B,'Base stats'!BA:BA),0),0.5))</f>
        <v>No</v>
      </c>
      <c r="Y238" s="7" t="str">
        <f>IF(X238="No","No",MAX(_xlfn.XLOOKUP(_xlfn.XLOOKUP(B238,'Base stats'!B:B,'Base stats'!E:E),Groups!A:A,Groups!V:V),MROUND(_xlfn.XLOOKUP(_xlfn.XLOOKUP(B238,'Base stats'!B:B,'Base stats'!E:E),Groups!A:A,Groups!V:V)*_xlfn.XLOOKUP(B238,'Base stats'!B:B,'Base stats'!C:C)^0.165,0.05)))</f>
        <v>No</v>
      </c>
      <c r="Z238" s="7" t="str">
        <f>IF(X238="No","No",_xlfn.XLOOKUP(_xlfn.XLOOKUP(B238,'Base stats'!B:B,'Base stats'!E:E),Groups!A:A,Groups!W:W))</f>
        <v>No</v>
      </c>
      <c r="AA238" s="7" t="str">
        <f>IF(X238="No","No",_xlfn.XLOOKUP(_xlfn.XLOOKUP(B238,'Base stats'!B:B,'Base stats'!E:E),Groups!A:A,Groups!X:X))</f>
        <v>No</v>
      </c>
      <c r="AB238" s="7" t="str">
        <f>IF(X238="No","No",_xlfn.XLOOKUP(_xlfn.XLOOKUP(B238,'Base stats'!B:B,'Base stats'!E:E),Groups!A:A,Groups!Y:Y))</f>
        <v>No</v>
      </c>
      <c r="AC238" s="7" t="str">
        <f>_xlfn.XLOOKUP(Animals!B238,'Base stats'!B:B,'Base stats'!X:X)</f>
        <v>False</v>
      </c>
      <c r="AD238" s="13" t="str">
        <f>IF(_xlfn.XLOOKUP(B238,'Base stats'!B:B,'Base stats'!AT:AT)="No","No",MROUND((LOG10(_xlfn.XLOOKUP(B238,'Base stats'!B:B,'Base stats'!AT:AT))*(AO238^0.75)+(_xlfn.XLOOKUP(B238,'Base stats'!B:B,'Base stats'!AT:AT)/1000)^(2/3)+_xlfn.XLOOKUP(B238,'Base stats'!B:B,'Base stats'!AX:AX)+_xlfn.XLOOKUP(B238,'Base stats'!B:B,'Base stats'!BA:BA))+0.5,0.5))</f>
        <v>No</v>
      </c>
      <c r="AE238" s="7" t="str">
        <f>IF(AD238="No","No",MAX(_xlfn.XLOOKUP(_xlfn.XLOOKUP(B238,'Base stats'!B:B,'Base stats'!E:E),Groups!A:A,Groups!Z:Z),MROUND(_xlfn.XLOOKUP(_xlfn.XLOOKUP(B238,'Base stats'!B:B,'Base stats'!E:E),Groups!A:A,Groups!Z:Z)*_xlfn.XLOOKUP(B238,'Base stats'!B:B,'Base stats'!C:C)^0.165,0.05)))</f>
        <v>No</v>
      </c>
      <c r="AF238" s="7" t="str">
        <f>IF(AD238="No","No",_xlfn.XLOOKUP(_xlfn.XLOOKUP(B238,'Base stats'!B:B,'Base stats'!E:E),Groups!A:A,Groups!AA:AA))</f>
        <v>No</v>
      </c>
      <c r="AG238" s="7" t="str">
        <f>IF(AD238="No","No",_xlfn.XLOOKUP(_xlfn.XLOOKUP(B238,'Base stats'!B:B,'Base stats'!E:E),Groups!A:A,Groups!AB:AB))</f>
        <v>No</v>
      </c>
      <c r="AH238" s="7" t="str">
        <f>IF(AD238="No","No",_xlfn.XLOOKUP(_xlfn.XLOOKUP(B238,'Base stats'!B:B,'Base stats'!E:E),Groups!A:A,Groups!AC:AC))</f>
        <v>No</v>
      </c>
      <c r="AI238" s="13">
        <f>IF(_xlfn.XLOOKUP(_xlfn.XLOOKUP(B238,'Base stats'!B:B,'Base stats'!E:E),Groups!A:A,Groups!AD:AD)=0,"No",MROUND((LOG10(_xlfn.XLOOKUP(B238,'Base stats'!B:B,'Base stats'!AS:AS))*(AO238^0.75)+(_xlfn.XLOOKUP(B238,'Base stats'!B:B,'Base stats'!AS:AS)/1000)^(2/3)+_xlfn.XLOOKUP(B238,'Base stats'!B:B,'Base stats'!AY:AY)+_xlfn.XLOOKUP(B238,'Base stats'!B:B,'Base stats'!BA:BA))+0.5,0.5))</f>
        <v>49.5</v>
      </c>
      <c r="AJ238" s="7">
        <f>IF(AI238="No","No",MAX(_xlfn.XLOOKUP(_xlfn.XLOOKUP(B238,'Base stats'!B:B,'Base stats'!E:E),Groups!A:A,Groups!AE:AE),MROUND(_xlfn.XLOOKUP(_xlfn.XLOOKUP(B238,'Base stats'!B:B,'Base stats'!E:E),Groups!A:A,Groups!AE:AE)*IF(_xlfn.XLOOKUP(_xlfn.XLOOKUP(B238,'Base stats'!B:B,'Base stats'!E:E),Groups!A:A,Groups!AJ:AJ)="Photonozoa",0.6,1)*_xlfn.XLOOKUP(B238,'Base stats'!B:B,'Base stats'!C:C)^0.165,0.05)))</f>
        <v>4.8000000000000007</v>
      </c>
      <c r="AK238" s="7" t="str">
        <f>IF(AI238="No","No",_xlfn.XLOOKUP(_xlfn.XLOOKUP(B238,'Base stats'!B:B,'Base stats'!E:E),Groups!A:A,Groups!AF:AF))</f>
        <v>FrontLeftClaws, FrontRightClaws</v>
      </c>
      <c r="AL238" s="7" t="str">
        <f>IF(AI238="No","No",_xlfn.XLOOKUP(_xlfn.XLOOKUP(B238,'Base stats'!B:B,'Base stats'!E:E),Groups!A:A,Groups!AG:AG))</f>
        <v>left claw, right claw</v>
      </c>
      <c r="AM238" s="7" t="str">
        <f>IF(AI238="No","No",_xlfn.XLOOKUP(_xlfn.XLOOKUP(B238,'Base stats'!B:B,'Base stats'!E:E),Groups!A:A,Groups!AH:AH))</f>
        <v>Scratch</v>
      </c>
      <c r="AN238" s="2" t="str">
        <f t="shared" si="21"/>
        <v>No</v>
      </c>
      <c r="AO238" s="2">
        <f>MROUND(IF(AND(_xlfn.XLOOKUP(B238,'Base stats'!B:B,'Base stats'!C:C)&gt;=0.5,_xlfn.XLOOKUP(B238,'Base stats'!B:B,'Base stats'!C:C)&lt;=0.8),
IF(_xlfn.XLOOKUP(B238,'Base stats'!B:B,'Base stats'!C:C)&lt;0.1,0.05,IF(_xlfn.XLOOKUP(B238,'Base stats'!B:B,'Base stats'!C:C)&lt;=70,(_xlfn.XLOOKUP(B238,'Base stats'!B:B,'Base stats'!C:C)/70)^0.426489913056526,IF(_xlfn.XLOOKUP(B238,'Base stats'!B:B,'Base stats'!C:C)&lt;=400,(_xlfn.XLOOKUP(B238,'Base stats'!B:B,'Base stats'!C:C)/70)^0.572811455315093,IF(_xlfn.XLOOKUP(B238,'Base stats'!B:B,'Base stats'!C:C)&lt;=2000,2.71391647193063*(_xlfn.XLOOKUP(B238,'Base stats'!B:B,'Base stats'!C:C)/400)^0.252459582904293,3.74314280240376*(_xlfn.XLOOKUP(B238,'Base stats'!B:B,'Base stats'!C:C)/2000)^0.357012633876913)))),
IF(_xlfn.XLOOKUP(B238,'Base stats'!B:B,'Base stats'!C:C)&lt;0.1,0.05,IF(_xlfn.XLOOKUP(B238,'Base stats'!B:B,'Base stats'!C:C)&lt;0.4,0.1,IF(_xlfn.XLOOKUP(B238,'Base stats'!B:B,'Base stats'!C:C)&lt;=70,(_xlfn.XLOOKUP(B238,'Base stats'!B:B,'Base stats'!C:C)/70)^0.445823913056526,IF(_xlfn.XLOOKUP(B238,'Base stats'!B:B,'Base stats'!C:C)&lt;=400,(_xlfn.XLOOKUP(B238,'Base stats'!B:B,'Base stats'!C:C)/70)^0.572811455315093,IF(_xlfn.XLOOKUP(B238,'Base stats'!B:B,'Base stats'!C:C)&lt;=2000,2.71391647193063*(_xlfn.XLOOKUP(B238,'Base stats'!B:B,'Base stats'!C:C)/400)^0.252459582904293,3.74314280240376*(_xlfn.XLOOKUP(B238,'Base stats'!B:B,'Base stats'!C:C)/2000)^0.357012633876913)))))),
IF(_xlfn.XLOOKUP(B238,'Base stats'!B:B,'Base stats'!C:C)&lt;0.1,0.05,IF(_xlfn.XLOOKUP(B238,'Base stats'!B:B,'Base stats'!C:C)&lt;=100,0.05,IF(_xlfn.XLOOKUP(B238,'Base stats'!B:B,'Base stats'!C:C)&lt;=250,0.1,IF(_xlfn.XLOOKUP(B238,'Base stats'!B:B,'Base stats'!C:C)&lt;=4000,0.25,0.5)))))</f>
        <v>5</v>
      </c>
      <c r="AP238" s="8">
        <f>MROUND(AO238*_xlfn.XLOOKUP(_xlfn.XLOOKUP(B238,'Base stats'!B:B,'Base stats'!E:E),Groups!A:A,Groups!AI:AI)*_xlfn.XLOOKUP(B238,'Base stats'!B:B,'Base stats'!Z:Z),0.05)</f>
        <v>5</v>
      </c>
      <c r="AQ238" s="8">
        <f>MAX(0.01,MROUND(IF(CC238="True",0.196*(AO238*100*1000)^0.889,IF(_xlfn.XLOOKUP(_xlfn.XLOOKUP(B238,'Base stats'!B:B,'Base stats'!E:E),Groups!A:A,Groups!AJ:AJ)="Bird",10.5*(AO238*100*1000)^0.681,4.82*(AO238*100*1000)^0.734))/(4.82*(1*100*1000)^0.734)/IF(AO238&lt;3.5,2,IF(AO238=3.5,1.5,1.25))*(1+0.132282374779864/(AO238^0.994035016789033+0.00905238001496948)),0.05))</f>
        <v>0.85000000000000009</v>
      </c>
      <c r="AR238" s="9">
        <f>IFERROR(MROUND(_xlfn.XLOOKUP(B238,'Base stats'!B:B,'Base stats'!H:H)/IF(_xlfn.XLOOKUP(B238,'Base stats'!B:B,'Base stats'!I:I)&lt;&gt;1,(122.5/70),1.2),IF(_xlfn.XLOOKUP(B238,'Base stats'!B:B,'Base stats'!H:H)&gt;=30,5,IF(_xlfn.XLOOKUP(B238,'Base stats'!B:B,'Base stats'!H:H)&gt;=15,3,IF(_xlfn.XLOOKUP(B238,'Base stats'!B:B,'Base stats'!H:H)&gt;=10,2,1)))),"Immortal")</f>
        <v>85</v>
      </c>
      <c r="AS238" s="35">
        <f>IFERROR(IF(OR(_xlfn.XLOOKUP(B238,'Base stats'!B:B,'Base stats'!F:F)="Atypical reproduction",_xlfn.XLOOKUP(B238,'Base stats'!B:B,'Base stats'!F:F)="Lay eggs"),"Lay eggs",MIN(20,MAX(5.5,ROUND(((_xlfn.XLOOKUP(B238,'Base stats'!B:B,'Base stats'!F:F)-25)*(14.5/615) + 5.5)*2,0)/2))),"Unknown")</f>
        <v>12</v>
      </c>
      <c r="AT238" s="8">
        <f>IF(_xlfn.XLOOKUP(B238,'Base stats'!B:B,'Base stats'!G:G)="Atypical reproduction","No",IFERROR(MAX(IF(_xlfn.XLOOKUP(B238,'Base stats'!B:B,'Base stats'!G:G)&lt;0.5,0.2,0.3),MROUND(_xlfn.XLOOKUP(B238,'Base stats'!B:B,'Base stats'!G:G)/(365/60),0.2)),"Unknown"))</f>
        <v>2.4000000000000004</v>
      </c>
      <c r="AU238" s="8">
        <f t="shared" si="22"/>
        <v>1.2000000000000002</v>
      </c>
      <c r="AV238" s="8">
        <f>IFERROR(IFERROR(MROUND(_xlfn.XLOOKUP(B238,'Base stats'!B:B,'Base stats'!J:J),0.1),"Lay eggs"),"Cannot breed")</f>
        <v>2</v>
      </c>
      <c r="AW238" s="2" t="str">
        <f t="shared" si="23"/>
        <v>false</v>
      </c>
      <c r="AX238" s="2" t="str">
        <f>IF(_xlfn.XLOOKUP(_xlfn.XLOOKUP(Animals!B238,'Base stats'!B:B,'Base stats'!E:E),Groups!A:A,Groups!AK:AK)=1,"true","false")</f>
        <v>false</v>
      </c>
      <c r="AY238" s="25" t="str">
        <f>IF(_xlfn.XLOOKUP(B238,'Base stats'!B:B,'Base stats'!Y:Y)="Liquor","Liquor, CarnivoreAnimalStrict",IF(AND(_xlfn.XLOOKUP(B238,'Base stats'!B:B,'Base stats'!Y:Y)="Carnivore",_xlfn.XLOOKUP(_xlfn.XLOOKUP(B238,'Base stats'!B:B,'Base stats'!E:E),Groups!A:A,Groups!AJ:AJ)="Photonozoa"),"CarnivoreAnimalStrict, OvivoreAnimal",IF(_xlfn.XLOOKUP(B238,'Base stats'!B:B,'Base stats'!Y:Y)="Carnivore","CarnivoreAnimal, OvivoreAnimal",IF(_xlfn.XLOOKUP(B238,'Base stats'!B:B,'Base stats'!Y:Y)="Dendrovore","VegetarianRoughAnimal, DendrovoreAnimal",IF(_xlfn.XLOOKUP(B238,'Base stats'!B:B,'Base stats'!Y:Y)="Herbivore","VegetarianRoughAnimal",IF(_xlfn.XLOOKUP(B238,'Base stats'!B:B,'Base stats'!Y:Y)="OmnivoreRough","OmnivoreRoughAnimal, OvivoreAnimal","OmnivoreAnimal, OvivoreAnimal"))))))</f>
        <v>OmnivoreRoughAnimal, OvivoreAnimal</v>
      </c>
      <c r="AZ238" s="2">
        <f>IF(_xlfn.XLOOKUP(_xlfn.XLOOKUP(B238,'Base stats'!B:B,'Base stats'!E:E),Groups!A:A,Groups!D:D)=1,MROUND((1-J238)*5+1,2)*IF(J238&lt;=0.4,2,1),"No")</f>
        <v>2</v>
      </c>
      <c r="BA238" s="2" t="str">
        <f>IF(AND(_xlfn.XLOOKUP(B238,'Base stats'!B:B,'Base stats'!AH:AH)="&lt;li&gt;Seal&lt;/li&gt;",G238="Odyssey"),"&lt;li&gt;AEXP_Seal&lt;/li&gt;",_xlfn.XLOOKUP(B238,'Base stats'!B:B,'Base stats'!AH:AH))</f>
        <v>No</v>
      </c>
      <c r="BB238" s="2" t="str">
        <f>_xlfn.XLOOKUP(B238,'Base stats'!B:B,'Base stats'!AG:AG)</f>
        <v>No</v>
      </c>
      <c r="BC238" s="23" t="str">
        <f>_xlfn.XLOOKUP(_xlfn.XLOOKUP(B238,'Base stats'!B:B,'Base stats'!E:E),Groups!A:A,Groups!AL:AL)</f>
        <v>Crab</v>
      </c>
      <c r="BD238" s="23">
        <f>MIN(1,MROUND(IF(AND(AO238&lt;0.5,_xlfn.XLOOKUP(B238,'Base stats'!B:B,'Base stats'!AA:AA)=0),0,IF(OR(_xlfn.XLOOKUP(Animals!B238,'Base stats'!B:B,'Base stats'!O:O)=2,_xlfn.XLOOKUP(_xlfn.XLOOKUP(B238,'Base stats'!B:B,'Base stats'!E:E),Groups!A:A,Groups!AN:AN)=0),0,_xlfn.XLOOKUP(_xlfn.XLOOKUP(B238,'Base stats'!B:B,'Base stats'!E:E),Groups!A:A,Groups!AN:AN)/IF(_xlfn.XLOOKUP(Animals!B238,'Base stats'!B:B,'Base stats'!O:O)=1,2,1)))+_xlfn.XLOOKUP(B238,'Base stats'!B:B,'Base stats'!AC:AC),0.005))</f>
        <v>2.5000000000000001E-2</v>
      </c>
      <c r="BE238" s="23">
        <f>MIN(1,MROUND(IF(AND(AO238&lt;0.5,_xlfn.XLOOKUP(B238,'Base stats'!B:B,'Base stats'!AA:AA)=0),0,IF(_xlfn.XLOOKUP(_xlfn.XLOOKUP(B238,'Base stats'!B:B,'Base stats'!E:E),Groups!A:A,Groups!AO:AO)=0,0,_xlfn.XLOOKUP(_xlfn.XLOOKUP(B238,'Base stats'!B:B,'Base stats'!E:E),Groups!A:A,Groups!AO:AO)/IF(_xlfn.XLOOKUP(Animals!B238,'Base stats'!B:B,'Base stats'!O:O)=2,3,1)))+_xlfn.XLOOKUP(B238,'Base stats'!B:B,'Base stats'!AD:AD),0.005))</f>
        <v>0.1</v>
      </c>
      <c r="BF238" s="2" t="str">
        <f>IF(J238&gt;0.3,"No",_xlfn.XLOOKUP(_xlfn.XLOOKUP(Animals!B238,'Base stats'!B:B,'Base stats'!E:E),Groups!A:A,Groups!AP:AP))</f>
        <v>No</v>
      </c>
      <c r="BG238" s="2" t="str">
        <f>IF(AND(J238&lt;=0.65,_xlfn.XLOOKUP(_xlfn.XLOOKUP(Animals!B238,'Base stats'!B:B,'Base stats'!E:E),Groups!A:A,Groups!AP:AP)&lt;&gt;"No",_xlfn.XLOOKUP(_xlfn.XLOOKUP(B238,'Base stats'!B:B,'Base stats'!E:E),Groups!A:A,Groups!D:D)=0),MROUND((80/3)*IF(_xlfn.XLOOKUP(B238,'Base stats'!B:B,'Base stats'!O:O)=2,0.2,AO238) + 24*(1-IF(BF238="No",0,BF238)) + 16/3, 12),"No")</f>
        <v>No</v>
      </c>
      <c r="BH238" s="2">
        <f>IF(AND(_xlfn.XLOOKUP(_xlfn.XLOOKUP(B238,'Base stats'!B:B,'Base stats'!E:E),Groups!A:A,Groups!AQ:AQ)=1,AO238&lt;=0.35),8,12)</f>
        <v>12</v>
      </c>
      <c r="BI238" s="2" t="str">
        <f>IF(_xlfn.XLOOKUP(_xlfn.XLOOKUP(B238,'Base stats'!B:B,'Base stats'!E:E),Groups!A:A,Groups!D:D)=0,_xlfn.XLOOKUP(_xlfn.XLOOKUP(B238,'Base stats'!B:B,'Base stats'!E:E),Groups!A:A,Groups!AR:AR),"None")</f>
        <v>None</v>
      </c>
      <c r="BJ238" s="2" t="str">
        <f>IF(AND(_xlfn.XLOOKUP(_xlfn.XLOOKUP(B238,'Base stats'!B:B,'Base stats'!E:E),Groups!A:A,Groups!AS:AS)=1,OR(_xlfn.XLOOKUP(B238,'Base stats'!B:B,'Base stats'!Y:Y)="Carnivore",_xlfn.XLOOKUP(B238,'Base stats'!B:B,'Base stats'!Y:Y)="Omnivore")),"true","false")</f>
        <v>false</v>
      </c>
      <c r="BK238" s="2" t="str">
        <f>IF(BJ238="true",MROUND(IF(AND(AO238&gt;0.5,OR(_xlfn.XLOOKUP(_xlfn.XLOOKUP(B238,'Base stats'!B:B,'Base stats'!E:E),Groups!A:A,Groups!AJ:AJ)="Photonozoa",_xlfn.XLOOKUP(_xlfn.XLOOKUP(B238,'Base stats'!B:B,'Base stats'!E:E),Groups!A:A,Groups!AJ:AJ)="Mammal")),Animals!AO238*1.75*IF(AW238="true",1.5,1),IF(AO238&lt;0.5,Animals!AO238*0.5,Animals!AO238)),IF(AO238&gt;2,0.5,IF(AO238&gt;0.5,0.25,0.1))),"No")</f>
        <v>No</v>
      </c>
      <c r="BL238" s="2">
        <f t="shared" si="24"/>
        <v>0</v>
      </c>
      <c r="BM238" s="25" t="str">
        <f>IF(_xlfn.XLOOKUP(B238,'Base stats'!B:B,'Base stats'!AN:AN)="Standard","No",MROUND((_xlfn.XLOOKUP(B238,'Base stats'!B:B,'Base stats'!AN:AN)/3.6)/I238,0.1))</f>
        <v>No</v>
      </c>
      <c r="BN238" s="25" t="str">
        <f t="shared" si="25"/>
        <v>true</v>
      </c>
      <c r="BO238" s="25" t="str">
        <f>IF(AND(OR(_xlfn.XLOOKUP(B238,'Base stats'!B:B,'Base stats'!Y:Y)="Carnivore",_xlfn.XLOOKUP(B238,'Base stats'!B:B,'Base stats'!Y:Y)="Omnivore",_xlfn.XLOOKUP(B238,'Base stats'!B:B,'Base stats'!Y:Y)="OmnivoreRough"),_xlfn.XLOOKUP(_xlfn.XLOOKUP(B238,'Base stats'!B:B,'Base stats'!E:E),Groups!A:A,Groups!AT:AT)=1),"true","false")</f>
        <v>false</v>
      </c>
      <c r="BP238" s="25" t="str" cm="1">
        <f t="array" ref="BP238">IF(
  _xlfn.TEXTJOIN(", ",TRUE,
    IF(AND(BJ238="true",AO238&gt;0.5,BI238&lt;&gt;"None"),"AttackTarget",""),
    IF(AND(_xlfn.XLOOKUP(_xlfn.XLOOKUP(B238,'Base stats'!B:B,'Base stats'!E:E),Groups!A:A,Groups!AJ:AJ="Mammal"),OR(_xlfn.XLOOKUP(B238,'Base stats'!B:B,'Base stats'!Y:Y)="Omnivore",_xlfn.XLOOKUP(B238,'Base stats'!B:B,'Base stats'!Y:Y)="OmnivoreRough")),"Forage",""),
    IF(BG238&lt;=36,"Comfort",""),
    IF(_xlfn.XLOOKUP(B238,'Base stats'!B:B,'Base stats'!AE:AE)&lt;&gt;"No",_xlfn.XLOOKUP(B238,'Base stats'!B:B,'Base stats'!AE:AE),"")
  ) = "",
  "No",
  _xlfn.TEXTJOIN(", ",TRUE,
    IF(AND(BJ238="true",AO238&gt;0.5,BI238&lt;&gt;"None"),"AttackTarget",""),
    IF(AND(_xlfn.XLOOKUP(_xlfn.XLOOKUP(B238,'Base stats'!B:B,'Base stats'!E:E),Groups!A:A,Groups!AJ:AJ="Mammal"),OR(_xlfn.XLOOKUP(B238,'Base stats'!B:B,'Base stats'!Y:Y)="Omnivore",_xlfn.XLOOKUP(B238,'Base stats'!B:B,'Base stats'!Y:Y)="OmnivoreRough")),"Forage",""),
    IF(BG238&lt;=36,"Comfort",""),
    IF(_xlfn.XLOOKUP(B238,'Base stats'!B:B,'Base stats'!AE:AE)&lt;&gt;"No",_xlfn.XLOOKUP(B238,'Base stats'!B:B,'Base stats'!AE:AE),"")
  )
)</f>
        <v>No</v>
      </c>
      <c r="BQ238" s="25">
        <f>IF(
   AND(
      'Base stats'!AN238="Standard",_xlfn.XLOOKUP(_xlfn.XLOOKUP(B238,'Base stats'!B:B,'Base stats'!E:E),Groups!A:A,Groups!AU:AU)=0,
      OR(
      BO238="True"
      )
   ),
   10,
   IF(
       OR(BM238&lt;&gt;"No",_xlfn.XLOOKUP(_xlfn.XLOOKUP(B238,'Base stats'!B:B,'Base stats'!E:E),Groups!A:A,Groups!AU:AU)=1),
      1,
      "No"
   )
)</f>
        <v>1</v>
      </c>
      <c r="BR238" s="9">
        <f>MROUND((1 + ((0.2*IF(OR(Q238="No",R238="No",R238=0),0,Q238/R238)
+IF(OR(V238="No",S238="No",T238="No"),0,S238/T238*(LEN(V238)-LEN(SUBSTITUTE(V238,",",""))+1))
+IF(OR(X238="No",Y238="No"),0,X238/Y238)
+IF(OR(AD238="No",AE238="No"),0,AD238/AE238)
+IF(OR(AL238="No",AI238="No",AJ238="No"),0,AI238/AJ238*(LEN(AL238)-LEN(SUBSTITUTE(AL238,",",""))+1))
)/(0.2*IF(OR(Q238="No",R238="No",R238=0),0,1)
+IF(OR(V238="No",S238="No",T238="No"),0,LEN(V238)-LEN(SUBSTITUTE(V238,",",""))+1)
+IF(OR(X238="No",Y238="No"),0,1)
+IF(OR(AD238="No",AE238="No"),0,1)
+IF(OR(AL238="No",AI238="No",AJ238="No"),0,LEN(AL238)-LEN(SUBSTITUTE(AL238,",",""))+1))*62%)* 2)*(1 + (AP238 / (IF(_xlfn.XLOOKUP(_xlfn.XLOOKUP(B238,'Base stats'!B:B,'Base stats'!E:E),Groups!A:A,Groups!AJ:AJ)="Photonozoa",0.3,1)) + _xlfn.XLOOKUP(B238,'Base stats'!B:B,'Base stats'!AV:AV) * 1.8) * 2) * 2.5 + 10 + I238 * 2,5)+IF(_xlfn.XLOOKUP(B238,'Base stats'!B:B,'Base stats'!AK:AK)=1,50,0)</f>
        <v>450</v>
      </c>
      <c r="BS238" s="8">
        <f t="shared" si="26"/>
        <v>1.7000000000000002</v>
      </c>
      <c r="BT238" s="8" t="str">
        <f>_xlfn.XLOOKUP(B238,'Base stats'!B:B,'Base stats'!AF:AF)</f>
        <v>No</v>
      </c>
      <c r="BU238" s="2" t="str">
        <f>IF(AND(J238&lt;=0.95,OR(_xlfn.XLOOKUP(B238,'Base stats'!B:B,'Base stats'!AK:AK)=1,_xlfn.XLOOKUP(B238,'Base stats'!B:B,'Base stats'!Y:Y)="Carnivore",_xlfn.XLOOKUP(B238,'Base stats'!B:B,'Base stats'!Y:Y)="Omnivore",BE238&gt;0.1)),"true","false")</f>
        <v>false</v>
      </c>
      <c r="BV238" s="2" t="str">
        <f>IF(_xlfn.XLOOKUP(B238,'Base stats'!B:B,'Base stats'!AI:AI)=1,"true","false")</f>
        <v>false</v>
      </c>
      <c r="BW238" s="25" t="str">
        <f>IF(E238="BaseInsect","AnimalInsect",
IF(J238&gt;0.95,"AnimalExotic",
_xlfn.TEXTJOIN(", ",TRUE,
IF(OR(_xlfn.XLOOKUP(B238,'Base stats'!B:B,'Base stats'!AM:AM)=1,AND(_xlfn.XLOOKUP(B238,'Base stats'!B:B,'Base stats'!O:O)=0,_xlfn.XLOOKUP(_xlfn.XLOOKUP(B238,'Base stats'!B:B,'Base stats'!E:E),Groups!A:A,Groups!B:B)&gt;0)),"AnimalUncommon","AnimalCommon"),
IF(AND(_xlfn.XLOOKUP(B238,'Base stats'!B:B,'Base stats'!O:O)=2,_xlfn.XLOOKUP(_xlfn.XLOOKUP(B238,'Base stats'!B:B,'Base stats'!E:E),Groups!A:A,Groups!D:D)=0),"AnimalPet",IF(AND(_xlfn.XLOOKUP(B238,'Base stats'!B:B,'Base stats'!O:O)&lt;&gt;0,_xlfn.XLOOKUP(_xlfn.XLOOKUP(B238,'Base stats'!B:B,'Base stats'!E:E),Groups!A:A,Groups!D:D)&lt;&gt;0),"AnimalFarm","")),
IF(OR(_xlfn.XLOOKUP(B238,'Base stats'!B:B,'Base stats'!AK:AK)=1,AND(BI238&lt;&gt;"None",BR238&gt;=60),ISNUMBER(SEARCH("Attack target",BP238))),"AnimalFighter","")
)))</f>
        <v>AnimalExotic</v>
      </c>
      <c r="BX238" s="25" t="str">
        <f>IF(G238="None",TRIM(
SUBSTITUTE(
IF(COUNTIF(Biomes!B$2:B$259,"="&amp;$C238)&gt;0,Biomes!B$1&amp;", ","")&amp;
IF(COUNTIF(Biomes!C$2:C$259,"="&amp;$C238)&gt;0,Biomes!C$1&amp;", ","")&amp;
IF(COUNTIF(Biomes!D$2:D$259,"="&amp;$C238)&gt;0,Biomes!D$1&amp;", ","")&amp;
IF(COUNTIF(Biomes!F$2:F$259,"="&amp;$C238)&gt;0,Biomes!F$1&amp;", ","")&amp;
IF(COUNTIF(Biomes!G$2:G$259,"="&amp;$C238)&gt;0,Biomes!G$1&amp;", ","")&amp;
IF(COUNTIF(Biomes!H$2:H$259,"="&amp;$C238)&gt;0,Biomes!H$1&amp;", ","")&amp;
IF(COUNTIF(Biomes!I$2:I$259,"="&amp;$C238)&gt;0,Biomes!I$1&amp;", ","")&amp;
IF(COUNTIF(Biomes!J$2:J$259,"="&amp;$C238)&gt;0,Biomes!J$1&amp;", ","")&amp;
IF(COUNTIF(Biomes!M$2:M$259,"="&amp;$C238)&gt;0,Biomes!M$1&amp;", ","")&amp;
IF(COUNTIF(Biomes!N$2:N$259,"="&amp;$C238)&gt;0,Biomes!N$1&amp;", ","")&amp;
IF(COUNTIF(Biomes!O$2:O$259,"="&amp;$C238)&gt;0,Biomes!O$1&amp;", ","")&amp;
IF(COUNTIF(Biomes!P$2:P$259,"="&amp;$C238)&gt;0,Biomes!P$1&amp;", ","")&amp;
IF(COUNTIF(Biomes!K$2:K$259,"="&amp;$C238)&gt;0,Biomes!K$1&amp;", ","")&amp;
IF(COUNTIF(Biomes!Q$3:Q$259,"="&amp;$C238)&gt;0,Biomes!Q$1&amp;", ","")&amp;
IF(COUNTIF(Biomes!L$2:L$259,"="&amp;$C238)&gt;0,Biomes!L$1&amp;", ","")&amp;
IF(COUNTIF(Biomes!E$2:E$259,"="&amp;$C238)&gt;0,Biomes!E$1&amp;", ","")&amp;IF(COUNTIF(Biomes!S$2:S$259,"="&amp;$C238)&gt;0,Biomes!S$1&amp;", ","")&amp;
IF(COUNTIF(Biomes!R$2:R$259,"="&amp;$C238)&gt;0,Biomes!R$1&amp;", ",""),", ","")
),_xlfn.XLOOKUP(B238,B:B,BX:BX))</f>
        <v>Tundra BorealForest ColdBog TemperateForest TemperateSwamp AridShrubland Desert ExtremeDesert TropicalRainforest TropicalSwamp Grasslands Glowforest LavaField GlacialPlain</v>
      </c>
      <c r="BY238" s="25" t="str">
        <f>IF(_xlfn.XLOOKUP(B238,'Base stats'!B:B,'Base stats'!AJ:AJ)=1,"true","false")</f>
        <v>false</v>
      </c>
      <c r="BZ238" s="25">
        <f>IF(_xlfn.XLOOKUP(B238,'Base stats'!B:B,'Base stats'!N:N)=1,"No",MAX(0.001,MIN(MROUND(IF(AND(BJ238="True",CC238="False"),POWER(10,3.47*LOG10(_xlfn.XLOOKUP(B238,'Base stats'!B:B,'Base stats'!C:C)*1000)^-0.96),POWER(10,4.15*LOG10(_xlfn.XLOOKUP(B238,'Base stats'!B:B,'Base stats'!C:C)*1000)^-0.73))*IF(_xlfn.XLOOKUP(B238,'Base stats'!B:B,'Base stats'!AK:AK)=1,0.5,1)*IF(_xlfn.XLOOKUP(B238,'Base stats'!B:B,'Base stats'!AM:AM)=1,0.1,1)/100,IF(_xlfn.XLOOKUP(B238,'Base stats'!B:B,'Base stats'!AM:AM)=1,0.001,0.025)),0.5)))</f>
        <v>1.0999999999999999E-2</v>
      </c>
      <c r="CA238" s="25" t="str">
        <f>IF(P238="Standard","No",MAX(0.001,MIN(MROUND(IF(AND(BJ238="True",CC238="False"),POWER(10,3.47*LOG10(_xlfn.XLOOKUP(B238,'Base stats'!B:B,'Base stats'!C:C)*1000)^-0.96),POWER(10,4.15*LOG10(_xlfn.XLOOKUP(B238,'Base stats'!B:B,'Base stats'!C:C)*1000)^-0.73))*IF(_xlfn.XLOOKUP(B238,'Base stats'!B:B,'Base stats'!AM:AM)=1,0.1,1)*_xlfn.XLOOKUP(B238,'Base stats'!B:B,'Base stats'!R:R)/100,IF(_xlfn.XLOOKUP(B238,'Base stats'!B:B,'Base stats'!AM:AM)=1,0.001,0.025)),0.5)))</f>
        <v>No</v>
      </c>
      <c r="CB238" s="25" t="str">
        <f>IF(_xlfn.XLOOKUP(_xlfn.XLOOKUP(B238,'Base stats'!B:B,'Base stats'!E:E),Groups!A:A,Groups!AJ:AJ)="Mammal","True","False")</f>
        <v>False</v>
      </c>
      <c r="CC238" s="25" t="str">
        <f>IF(OR(_xlfn.XLOOKUP(_xlfn.XLOOKUP(B238,'Base stats'!B:B,'Base stats'!E:E),Groups!A:A,Groups!AJ:AJ)="Reptile",_xlfn.XLOOKUP(_xlfn.XLOOKUP(B238,'Base stats'!B:B,'Base stats'!E:E),Groups!A:A,Groups!AJ:AJ)="Amphibian",_xlfn.XLOOKUP(_xlfn.XLOOKUP(B238,'Base stats'!B:B,'Base stats'!E:E),Groups!A:A,Groups!AJ:AJ)="Invertebrate"),"True","False")</f>
        <v>True</v>
      </c>
      <c r="CD238" s="25" t="str">
        <f t="shared" si="27"/>
        <v>True</v>
      </c>
      <c r="CE238" s="25" t="str">
        <f>IF(_xlfn.XLOOKUP(_xlfn.XLOOKUP(B238,'Base stats'!B:B,'Base stats'!E:E),Groups!A:A,Groups!AX:AX),"True","False")</f>
        <v>False</v>
      </c>
      <c r="CF238" s="25" t="str">
        <f>IF(_xlfn.XLOOKUP(_xlfn.XLOOKUP(B238,'Base stats'!B:B,'Base stats'!E:E),Groups!A:A,Groups!AY:AY),"True","False")</f>
        <v>False</v>
      </c>
      <c r="CG238" s="25" t="str">
        <f>IF(_xlfn.XLOOKUP(_xlfn.XLOOKUP(B238,'Base stats'!B:B,'Base stats'!E:E),Groups!A:A,Groups!AW:AW),"True","False")</f>
        <v>False</v>
      </c>
      <c r="CH238" s="25" t="str">
        <f>IF(
OR(
_xlfn.XLOOKUP(_xlfn.XLOOKUP(B238,'Base stats'!B:B,'Base stats'!E:E),Groups!A:A,Groups!AZ:AZ)=0,
AND(
_xlfn.XLOOKUP(B238,'Base stats'!B:B,'Base stats'!Y:Y)&lt;&gt;"Carnivore",
_xlfn.XLOOKUP(B238,'Base stats'!B:B,'Base stats'!Y:Y)&lt;&gt;"Omnivore",
_xlfn.XLOOKUP(B238,'Base stats'!B:B,'Base stats'!Y:Y)&lt;&gt;"OmnivoreRough"
)
),
"No",
IF(
_xlfn.XLOOKUP(_xlfn.XLOOKUP(B238,'Base stats'!B:B,'Base stats'!E:E),Groups!A:A,Groups!AZ:AZ)=1,
"Flesh",
IF(
_xlfn.XLOOKUP(_xlfn.XLOOKUP(B238,'Base stats'!B:B,'Base stats'!E:E),Groups!A:A,Groups!AZ:AZ)=2,
"Bone",
""
)
)
)</f>
        <v>Bone</v>
      </c>
      <c r="CI238" s="25" t="str">
        <f>IF(_xlfn.XLOOKUP(_xlfn.XLOOKUP(B238,'Base stats'!B:B,'Base stats'!E:E),Groups!A:A,Groups!BB:BB),"True","False")</f>
        <v>False</v>
      </c>
      <c r="CJ238" s="25" t="str">
        <f>IF(_xlfn.XLOOKUP(_xlfn.XLOOKUP(B238,'Base stats'!B:B,'Base stats'!E:E),Groups!A:A,Groups!BA:BA),"True","False")</f>
        <v>False</v>
      </c>
    </row>
    <row r="239" spans="1:88" ht="16.5" thickTop="1" thickBot="1" x14ac:dyDescent="0.3">
      <c r="A239" s="26" t="s">
        <v>1384</v>
      </c>
      <c r="B239" s="6" t="str">
        <f>_xlfn.XLOOKUP(A239,'Base stats'!A:A,'Base stats'!B:B)</f>
        <v>Bombus militaris</v>
      </c>
      <c r="C239" s="28" t="s">
        <v>1385</v>
      </c>
      <c r="D239" s="28" t="s">
        <v>1341</v>
      </c>
      <c r="E239" s="28" t="s">
        <v>1747</v>
      </c>
      <c r="F239" s="28" t="s">
        <v>673</v>
      </c>
      <c r="G239" s="28" t="s">
        <v>673</v>
      </c>
      <c r="H239" s="2">
        <f>MROUND((
  (IF(AND(_xlfn.XLOOKUP(B239,'Base stats'!B:B,'Base stats'!AL:AL)=0,BI239="None",_xlfn.XLOOKUP(_xlfn.XLOOKUP(B239,'Base stats'!B:B,'Base stats'!E:E),Groups!A:A,Groups!B:B)=0), (18 + BR239 * 2.7) * 0.5,
    IF(AND(_xlfn.XLOOKUP(B239,'Base stats'!B:B,'Base stats'!AL:AL)=0,OR(AO239&lt;0.55,AND(BI239="Intermediate",_xlfn.XLOOKUP(_xlfn.XLOOKUP(B239,'Base stats'!B:B,'Base stats'!E:E),Groups!A:A,Groups!B:B)&lt;2))), (18 + BR239 * 2.7),
      IF(OR(BI239="Advanced",_xlfn.XLOOKUP(B239,'Base stats'!B:B,'Base stats'!AL:AL)=1,_xlfn.XLOOKUP(_xlfn.XLOOKUP(B239,'Base stats'!B:B,'Base stats'!E:E),Groups!A:A,Groups!B:B)=2), (18 + BR239 * 2.7) + 250, (18 + BR239 * 2.7))
    )
  ))
  + AO239 * 80
  + IF(COUNTIF(EggMilk!K$2:K$998, A239) &gt; 0, 125, 0)
  + IF(COUNTIF(EggMilk!P$2:P$998, A239) &gt; 0, 90, 0)
  + IF(COUNTIF(EggMilk!A$2:A$998, A239) &gt; 0, 90, 0)
)
* (0.8 + 0.4 * J239)
* 0.75,25)</f>
        <v>250</v>
      </c>
      <c r="I239" s="2">
        <f>MROUND(ROUNDDOWN(_xlfn.XLOOKUP(B239,'Base stats'!B:B,'Base stats'!L:L)/3.6/(23.3/11),1),0.5)</f>
        <v>3</v>
      </c>
      <c r="J239" s="2">
        <f>IF(OR(_xlfn.XLOOKUP(B239,'Base stats'!B:B,'Base stats'!AB:AB)=1,_xlfn.XLOOKUP(_xlfn.XLOOKUP(B239,'Base stats'!B:B,'Base stats'!E:E),Groups!A:A,Groups!C:C)="Untamable"),1,IF(_xlfn.XLOOKUP(B239,'Base stats'!B:B,'Base stats'!AL:AL)=1,0.99,MIN(MROUND((1-0.6282*EXP(-0.459*AO239))*_xlfn.XLOOKUP(_xlfn.XLOOKUP(B239,'Base stats'!B:B,'Base stats'!E:E),Groups!A:A,Groups!C:C)*IF(_xlfn.XLOOKUP(B239,'Base stats'!B:B,'Base stats'!O:O)=1,0.5,IF(_xlfn.XLOOKUP(B239,'Base stats'!B:B,'Base stats'!O:O)=2,0,1)),0.05),IF(AO239&gt;3.5,0.985,0.95))))</f>
        <v>0.55000000000000004</v>
      </c>
      <c r="K239" s="2">
        <f>ROUNDUP(AO239*_xlfn.XLOOKUP(_xlfn.XLOOKUP(B239,'Base stats'!B:B,'Base stats'!E:E),Groups!A:A,Groups!E:E),0)</f>
        <v>1</v>
      </c>
      <c r="L239" s="2">
        <f>IF(OR(_xlfn.XLOOKUP(_xlfn.XLOOKUP(B239,'Base stats'!B:B,'Base stats'!E:E),Groups!A:A,Groups!F:F)=2,ISNUMBER(SEARCH("SeaIce",BX239)),ISNUMBER(SEARCH("IceSheet",BX239))),-50,IF(OR(ISNUMBER(SEARCH("GlacialPlain",BX239)),ISNUMBER(SEARCH("Tundra",BX239))),-40,IF(OR(ISNUMBER(SEARCH("Alpine",BX239)),ISNUMBER(SEARCH("BorealForest",BX239)),ISNUMBER(SEARCH("ColdBog",BX239))),-30,IF(OR(ISNUMBER(SEARCH("TemperateForest",BX239)),ISNUMBER(SEARCH("TemperateSwamp",BX239))),-20,IF(_xlfn.XLOOKUP(_xlfn.XLOOKUP(B239,'Base stats'!B:B,'Base stats'!E:E),Groups!A:A,Groups!F:F)=1,-15,IF(OR(ISNUMBER(SEARCH("Desert",BX239)),ISNUMBER(SEARCH("ExtremeDesert",BX239))),-10,IF(OR(ISNUMBER(SEARCH("Grasslands",BX239)),ISNUMBER(SEARCH("TropicalRainforest",BX239)),ISNUMBER(SEARCH("TropicalSwamp",BX239))),10,0)))))))-IF(CC239="False",MIN(IFERROR(MAX(MROUND(LOG10(_xlfn.XLOOKUP(B239,'Base stats'!B:B,'Base stats'!C:C)^(2/3))*10,5),5),5),30))-_xlfn.XLOOKUP(B239,'Base stats'!B:B,'Base stats'!P:P)+IF(CC239="True",5,0)</f>
        <v>-15</v>
      </c>
      <c r="M239" s="2">
        <f>IF(OR(_xlfn.XLOOKUP(_xlfn.XLOOKUP(B239,'Base stats'!B:B,'Base stats'!E:E),Groups!A:A,Groups!G:G)=2,ISNUMBER(SEARCH("Desert",BX239)),ISNUMBER(SEARCH("ExtremeDesert",BX239)),ISNUMBER(SEARCH("LavaField",BX239))),50,IF(ISNUMBER(SEARCH("Grasslands",BX239)),45,IF(OR(_xlfn.XLOOKUP(_xlfn.XLOOKUP(B239,'Base stats'!B:B,'Base stats'!E:E),Groups!A:A,Groups!G:G)=1,ISNUMBER(SEARCH("TropicalRainforest",BX239)),ISNUMBER(SEARCH("TropicalSwamp",BX239))),40,IF(OR(ISNUMBER(SEARCH("TemperateForest",BX239)),ISNUMBER(SEARCH("TemperateSwamp",BX239))),35,IF(OR(ISNUMBER(SEARCH("Alpine",BX239)),ISNUMBER(SEARCH("BorealForest",BX239)),ISNUMBER(SEARCH("ColdBog",BX239))),30,IF(ISNUMBER(OR(ISNUMBER(SEARCH("GlacialPlain",BX239)),SEARCH("Tundra",BX239))),25,IF(OR(ISNUMBER(SEARCH("SeaIce",BX239)),ISNUMBER(SEARCH("IceSheet",BX239)),ISNUMBER(SEARCH("TropicalSwamp",BX239))),10,35)))))))+_xlfn.XLOOKUP(B239,'Base stats'!B:B,'Base stats'!Q:Q)</f>
        <v>50</v>
      </c>
      <c r="N239" s="8">
        <f>IF(
_xlfn.XLOOKUP(
_xlfn.XLOOKUP(B239,'Base stats'!B:B,'Base stats'!E:E),
Groups!A:A,
Groups!L:L
)=1,
MIN(
MROUND(
IF(
_xlfn.XLOOKUP(B239,'Animals CE'!B:B,'Animals CE'!Z:Z)&lt;=1.5,
_xlfn.XLOOKUP(B239,'Animals CE'!B:B,'Animals CE'!Z:Z)/2+0.05,
0.8+
(_xlfn.XLOOKUP(B239,'Animals CE'!B:B,'Animals CE'!Z:Z)-1.5)
*0.02
),
0.05
),
200%
),
"No"
)</f>
        <v>0.8</v>
      </c>
      <c r="O239" s="8">
        <f>IF(
_xlfn.XLOOKUP(
_xlfn.XLOOKUP(B239,'Base stats'!B:B,'Base stats'!E:E),
Groups!A:A,
Groups!L:L
)=1,
MIN(
MROUND(
IF(
_xlfn.XLOOKUP(B239,'Animals CE'!B:B,'Animals CE'!AA:AA)&lt;=1.5,
_xlfn.XLOOKUP(B239,'Animals CE'!B:B,'Animals CE'!AA:AA)/2+0.05,
0.8+
(_xlfn.XLOOKUP(B239,'Animals CE'!B:B,'Animals CE'!AA:AA)-1.5)
*0.02
),
0.05
),
200%
),
"No"
)</f>
        <v>0.55000000000000004</v>
      </c>
      <c r="P239" s="2" t="str">
        <f>_xlfn.XLOOKUP(B239,'Base stats'!B:B,'Base stats'!R:R)</f>
        <v>Standard</v>
      </c>
      <c r="Q239" s="13">
        <f>MROUND((LOG10(_xlfn.XLOOKUP(B239,'Base stats'!B:B,'Base stats'!AR:AR))*(AO239^0.5)+(_xlfn.XLOOKUP(B239,'Base stats'!B:B,'Base stats'!AR:AR)/1000)^(2/3)+_xlfn.XLOOKUP(B239,'Base stats'!B:B,'Base stats'!BA:BA)/2)+0.5,0.5)</f>
        <v>4</v>
      </c>
      <c r="R239" s="7">
        <f>IF(Q239="No","No",MAX(1,MROUND(_xlfn.XLOOKUP(B239,'Base stats'!B:B,'Base stats'!C:C)^0.165,0.05)))</f>
        <v>1.55</v>
      </c>
      <c r="S239" s="13" t="str">
        <f>IF(_xlfn.XLOOKUP(_xlfn.XLOOKUP(B239,'Base stats'!B:B,'Base stats'!E:E),Groups!A:A,Groups!P:P)=0,"No",MROUND((LOG10(_xlfn.XLOOKUP(B239,'Base stats'!B:B,'Base stats'!AS:AS))*(AO239^0.5)+(_xlfn.XLOOKUP(B239,'Base stats'!B:B,'Base stats'!AS:AS)/1000)^(2/3)+_xlfn.XLOOKUP(B239,'Base stats'!B:B,'Base stats'!BA:BA))+_xlfn.XLOOKUP(B239,'Base stats'!B:B,'Base stats'!AY:AY)+0.5,0.5))</f>
        <v>No</v>
      </c>
      <c r="T239" s="7" t="str">
        <f>IF(S239="No","No",MAX(_xlfn.XLOOKUP(_xlfn.XLOOKUP(B239,'Base stats'!B:B,'Base stats'!E:E),Groups!A:A,Groups!Q:Q),MROUND(_xlfn.XLOOKUP(_xlfn.XLOOKUP(B239,'Base stats'!B:B,'Base stats'!E:E),Groups!A:A,Groups!Q:Q)*_xlfn.XLOOKUP(B239,'Base stats'!B:B,'Base stats'!C:C)^0.165,0.05)))</f>
        <v>No</v>
      </c>
      <c r="U239" s="7" t="str">
        <f>IF(S239="No","No",_xlfn.XLOOKUP(_xlfn.XLOOKUP(B239,'Base stats'!B:B,'Base stats'!E:E),Groups!A:A,Groups!R:R))</f>
        <v>No</v>
      </c>
      <c r="V239" s="7" t="str">
        <f>IF(S239="No","No",_xlfn.XLOOKUP(_xlfn.XLOOKUP(B239,'Base stats'!B:B,'Base stats'!E:E),Groups!A:A,Groups!S:S))</f>
        <v>No</v>
      </c>
      <c r="W239" s="7" t="str">
        <f>IF(S239="No","No",_xlfn.XLOOKUP(_xlfn.XLOOKUP(B239,'Base stats'!B:B,'Base stats'!E:E),Groups!A:A,Groups!T:T))</f>
        <v>No</v>
      </c>
      <c r="X239" s="13">
        <f>IF(_xlfn.XLOOKUP(B239,'Base stats'!B:B,'Base stats'!W:W)="No","No",MROUND((LOG10(_xlfn.XLOOKUP(B239,'Base stats'!B:B,'Base stats'!AU:AU))*(AO239^0.5)+(_xlfn.XLOOKUP(B239,'Base stats'!B:B,'Base stats'!AU:AU)/1000)^(2/3)+_xlfn.XLOOKUP(B239,'Base stats'!B:B,'Base stats'!AZ:AZ))+0.5+IF(_xlfn.XLOOKUP(_xlfn.XLOOKUP(B239,'Base stats'!B:B,'Base stats'!E:E),Groups!A:A,Groups!U:U)&lt;&gt;3,_xlfn.XLOOKUP(B239,'Base stats'!B:B,'Base stats'!BA:BA),0),0.5))</f>
        <v>8</v>
      </c>
      <c r="Y239" s="7">
        <f>IF(X239="No","No",MAX(_xlfn.XLOOKUP(_xlfn.XLOOKUP(B239,'Base stats'!B:B,'Base stats'!E:E),Groups!A:A,Groups!V:V),MROUND(_xlfn.XLOOKUP(_xlfn.XLOOKUP(B239,'Base stats'!B:B,'Base stats'!E:E),Groups!A:A,Groups!V:V)*_xlfn.XLOOKUP(B239,'Base stats'!B:B,'Base stats'!C:C)^0.165,0.05)))</f>
        <v>2.0500000000000003</v>
      </c>
      <c r="Z239" s="7" t="str">
        <f>IF(X239="No","No",_xlfn.XLOOKUP(_xlfn.XLOOKUP(B239,'Base stats'!B:B,'Base stats'!E:E),Groups!A:A,Groups!W:W))</f>
        <v>Sting</v>
      </c>
      <c r="AA239" s="7" t="str">
        <f>IF(X239="No","No",_xlfn.XLOOKUP(_xlfn.XLOOKUP(B239,'Base stats'!B:B,'Base stats'!E:E),Groups!A:A,Groups!X:X))</f>
        <v>stinger</v>
      </c>
      <c r="AB239" s="7" t="str">
        <f>IF(X239="No","No",_xlfn.XLOOKUP(_xlfn.XLOOKUP(B239,'Base stats'!B:B,'Base stats'!E:E),Groups!A:A,Groups!Y:Y))</f>
        <v>Sting</v>
      </c>
      <c r="AC239" s="7" t="str">
        <f>_xlfn.XLOOKUP(Animals!B239,'Base stats'!B:B,'Base stats'!X:X)</f>
        <v>False</v>
      </c>
      <c r="AD239" s="13">
        <f>IF(_xlfn.XLOOKUP(B239,'Base stats'!B:B,'Base stats'!AT:AT)="No","No",MROUND((LOG10(_xlfn.XLOOKUP(B239,'Base stats'!B:B,'Base stats'!AT:AT))*(AO239^0.75)+(_xlfn.XLOOKUP(B239,'Base stats'!B:B,'Base stats'!AT:AT)/1000)^(2/3)+_xlfn.XLOOKUP(B239,'Base stats'!B:B,'Base stats'!AX:AX)+_xlfn.XLOOKUP(B239,'Base stats'!B:B,'Base stats'!BA:BA))+0.5,0.5))</f>
        <v>10</v>
      </c>
      <c r="AE239" s="7">
        <f>IF(AD239="No","No",MAX(_xlfn.XLOOKUP(_xlfn.XLOOKUP(B239,'Base stats'!B:B,'Base stats'!E:E),Groups!A:A,Groups!Z:Z),MROUND(_xlfn.XLOOKUP(_xlfn.XLOOKUP(B239,'Base stats'!B:B,'Base stats'!E:E),Groups!A:A,Groups!Z:Z)*_xlfn.XLOOKUP(B239,'Base stats'!B:B,'Base stats'!C:C)^0.165,0.05)))</f>
        <v>1.9000000000000001</v>
      </c>
      <c r="AF239" s="7" t="str">
        <f>IF(AD239="No","No",_xlfn.XLOOKUP(_xlfn.XLOOKUP(B239,'Base stats'!B:B,'Base stats'!E:E),Groups!A:A,Groups!AA:AA))</f>
        <v>Mouth</v>
      </c>
      <c r="AG239" s="7" t="str">
        <f>IF(AD239="No","No",_xlfn.XLOOKUP(_xlfn.XLOOKUP(B239,'Base stats'!B:B,'Base stats'!E:E),Groups!A:A,Groups!AB:AB))</f>
        <v>mandibles</v>
      </c>
      <c r="AH239" s="7" t="str">
        <f>IF(AD239="No","No",_xlfn.XLOOKUP(_xlfn.XLOOKUP(B239,'Base stats'!B:B,'Base stats'!E:E),Groups!A:A,Groups!AC:AC))</f>
        <v>Bite</v>
      </c>
      <c r="AI239" s="13">
        <f>IF(_xlfn.XLOOKUP(_xlfn.XLOOKUP(B239,'Base stats'!B:B,'Base stats'!E:E),Groups!A:A,Groups!AD:AD)=0,"No",MROUND((LOG10(_xlfn.XLOOKUP(B239,'Base stats'!B:B,'Base stats'!AS:AS))*(AO239^0.75)+(_xlfn.XLOOKUP(B239,'Base stats'!B:B,'Base stats'!AS:AS)/1000)^(2/3)+_xlfn.XLOOKUP(B239,'Base stats'!B:B,'Base stats'!AY:AY)+_xlfn.XLOOKUP(B239,'Base stats'!B:B,'Base stats'!BA:BA))+0.5,0.5))</f>
        <v>9.5</v>
      </c>
      <c r="AJ239" s="7">
        <f>IF(AI239="No","No",MAX(_xlfn.XLOOKUP(_xlfn.XLOOKUP(B239,'Base stats'!B:B,'Base stats'!E:E),Groups!A:A,Groups!AE:AE),MROUND(_xlfn.XLOOKUP(_xlfn.XLOOKUP(B239,'Base stats'!B:B,'Base stats'!E:E),Groups!A:A,Groups!AE:AE)*IF(_xlfn.XLOOKUP(_xlfn.XLOOKUP(B239,'Base stats'!B:B,'Base stats'!E:E),Groups!A:A,Groups!AJ:AJ)="Photonozoa",0.6,1)*_xlfn.XLOOKUP(B239,'Base stats'!B:B,'Base stats'!C:C)^0.165,0.05)))</f>
        <v>1.7000000000000002</v>
      </c>
      <c r="AK239" s="7" t="str">
        <f>IF(AI239="No","No",_xlfn.XLOOKUP(_xlfn.XLOOKUP(B239,'Base stats'!B:B,'Base stats'!E:E),Groups!A:A,Groups!AF:AF))</f>
        <v>LeftPincer, RightPincer</v>
      </c>
      <c r="AL239" s="7" t="str">
        <f>IF(AI239="No","No",_xlfn.XLOOKUP(_xlfn.XLOOKUP(B239,'Base stats'!B:B,'Base stats'!E:E),Groups!A:A,Groups!AG:AG))</f>
        <v>left claw, right claw</v>
      </c>
      <c r="AM239" s="7" t="str">
        <f>IF(AI239="No","No",_xlfn.XLOOKUP(_xlfn.XLOOKUP(B239,'Base stats'!B:B,'Base stats'!E:E),Groups!A:A,Groups!AH:AH))</f>
        <v>Scratch</v>
      </c>
      <c r="AN239" s="2">
        <f t="shared" si="21"/>
        <v>20</v>
      </c>
      <c r="AO239" s="2">
        <f>MROUND(IF(AND(_xlfn.XLOOKUP(B239,'Base stats'!B:B,'Base stats'!C:C)&gt;=0.5,_xlfn.XLOOKUP(B239,'Base stats'!B:B,'Base stats'!C:C)&lt;=0.8),
IF(_xlfn.XLOOKUP(B239,'Base stats'!B:B,'Base stats'!C:C)&lt;0.1,0.05,IF(_xlfn.XLOOKUP(B239,'Base stats'!B:B,'Base stats'!C:C)&lt;=70,(_xlfn.XLOOKUP(B239,'Base stats'!B:B,'Base stats'!C:C)/70)^0.426489913056526,IF(_xlfn.XLOOKUP(B239,'Base stats'!B:B,'Base stats'!C:C)&lt;=400,(_xlfn.XLOOKUP(B239,'Base stats'!B:B,'Base stats'!C:C)/70)^0.572811455315093,IF(_xlfn.XLOOKUP(B239,'Base stats'!B:B,'Base stats'!C:C)&lt;=2000,2.71391647193063*(_xlfn.XLOOKUP(B239,'Base stats'!B:B,'Base stats'!C:C)/400)^0.252459582904293,3.74314280240376*(_xlfn.XLOOKUP(B239,'Base stats'!B:B,'Base stats'!C:C)/2000)^0.357012633876913)))),
IF(_xlfn.XLOOKUP(B239,'Base stats'!B:B,'Base stats'!C:C)&lt;0.1,0.05,IF(_xlfn.XLOOKUP(B239,'Base stats'!B:B,'Base stats'!C:C)&lt;0.4,0.1,IF(_xlfn.XLOOKUP(B239,'Base stats'!B:B,'Base stats'!C:C)&lt;=70,(_xlfn.XLOOKUP(B239,'Base stats'!B:B,'Base stats'!C:C)/70)^0.445823913056526,IF(_xlfn.XLOOKUP(B239,'Base stats'!B:B,'Base stats'!C:C)&lt;=400,(_xlfn.XLOOKUP(B239,'Base stats'!B:B,'Base stats'!C:C)/70)^0.572811455315093,IF(_xlfn.XLOOKUP(B239,'Base stats'!B:B,'Base stats'!C:C)&lt;=2000,2.71391647193063*(_xlfn.XLOOKUP(B239,'Base stats'!B:B,'Base stats'!C:C)/400)^0.252459582904293,3.74314280240376*(_xlfn.XLOOKUP(B239,'Base stats'!B:B,'Base stats'!C:C)/2000)^0.357012633876913)))))),
IF(_xlfn.XLOOKUP(B239,'Base stats'!B:B,'Base stats'!C:C)&lt;0.1,0.05,IF(_xlfn.XLOOKUP(B239,'Base stats'!B:B,'Base stats'!C:C)&lt;=100,0.05,IF(_xlfn.XLOOKUP(B239,'Base stats'!B:B,'Base stats'!C:C)&lt;=250,0.1,IF(_xlfn.XLOOKUP(B239,'Base stats'!B:B,'Base stats'!C:C)&lt;=4000,0.25,0.5)))))</f>
        <v>0.5</v>
      </c>
      <c r="AP239" s="8">
        <f>MROUND(AO239*_xlfn.XLOOKUP(_xlfn.XLOOKUP(B239,'Base stats'!B:B,'Base stats'!E:E),Groups!A:A,Groups!AI:AI)*_xlfn.XLOOKUP(B239,'Base stats'!B:B,'Base stats'!Z:Z),0.05)</f>
        <v>0.5</v>
      </c>
      <c r="AQ239" s="8">
        <f>MAX(0.01,MROUND(IF(CC239="True",0.196*(AO239*100*1000)^0.889,IF(_xlfn.XLOOKUP(_xlfn.XLOOKUP(B239,'Base stats'!B:B,'Base stats'!E:E),Groups!A:A,Groups!AJ:AJ)="Bird",10.5*(AO239*100*1000)^0.681,4.82*(AO239*100*1000)^0.734))/(4.82*(1*100*1000)^0.734)/IF(AO239&lt;3.5,2,IF(AO239=3.5,1.5,1.25))*(1+0.132282374779864/(AO239^0.994035016789033+0.00905238001496948)),0.05))</f>
        <v>0.1</v>
      </c>
      <c r="AR239" s="9">
        <f>IFERROR(MROUND(_xlfn.XLOOKUP(B239,'Base stats'!B:B,'Base stats'!H:H)/IF(_xlfn.XLOOKUP(B239,'Base stats'!B:B,'Base stats'!I:I)&lt;&gt;1,(122.5/70),1.2),IF(_xlfn.XLOOKUP(B239,'Base stats'!B:B,'Base stats'!H:H)&gt;=30,5,IF(_xlfn.XLOOKUP(B239,'Base stats'!B:B,'Base stats'!H:H)&gt;=15,3,IF(_xlfn.XLOOKUP(B239,'Base stats'!B:B,'Base stats'!H:H)&gt;=10,2,1)))),"Immortal")</f>
        <v>10</v>
      </c>
      <c r="AS239" s="35" t="str">
        <f>IFERROR(IF(OR(_xlfn.XLOOKUP(B239,'Base stats'!B:B,'Base stats'!F:F)="Atypical reproduction",_xlfn.XLOOKUP(B239,'Base stats'!B:B,'Base stats'!F:F)="Lay eggs"),"Lay eggs",MIN(20,MAX(5.5,ROUND(((_xlfn.XLOOKUP(B239,'Base stats'!B:B,'Base stats'!F:F)-25)*(14.5/615) + 5.5)*2,0)/2))),"Unknown")</f>
        <v>Lay eggs</v>
      </c>
      <c r="AT239" s="8">
        <f>IF(_xlfn.XLOOKUP(B239,'Base stats'!B:B,'Base stats'!G:G)="Atypical reproduction","No",IFERROR(MAX(IF(_xlfn.XLOOKUP(B239,'Base stats'!B:B,'Base stats'!G:G)&lt;0.5,0.2,0.3),MROUND(_xlfn.XLOOKUP(B239,'Base stats'!B:B,'Base stats'!G:G)/(365/60),0.2)),"Unknown"))</f>
        <v>0.3</v>
      </c>
      <c r="AU239" s="8">
        <f t="shared" si="22"/>
        <v>0.15000000000000002</v>
      </c>
      <c r="AV239" s="8" t="str">
        <f>IFERROR(IFERROR(MROUND(_xlfn.XLOOKUP(B239,'Base stats'!B:B,'Base stats'!J:J),0.1),"Lay eggs"),"Cannot breed")</f>
        <v>Lay eggs</v>
      </c>
      <c r="AW239" s="2" t="str">
        <f t="shared" si="23"/>
        <v>false</v>
      </c>
      <c r="AX239" s="2" t="str">
        <f>IF(_xlfn.XLOOKUP(_xlfn.XLOOKUP(Animals!B239,'Base stats'!B:B,'Base stats'!E:E),Groups!A:A,Groups!AK:AK)=1,"true","false")</f>
        <v>false</v>
      </c>
      <c r="AY239" s="25" t="str">
        <f>IF(_xlfn.XLOOKUP(B239,'Base stats'!B:B,'Base stats'!Y:Y)="Liquor","Liquor, CarnivoreAnimalStrict",IF(AND(_xlfn.XLOOKUP(B239,'Base stats'!B:B,'Base stats'!Y:Y)="Carnivore",_xlfn.XLOOKUP(_xlfn.XLOOKUP(B239,'Base stats'!B:B,'Base stats'!E:E),Groups!A:A,Groups!AJ:AJ)="Photonozoa"),"CarnivoreAnimalStrict, OvivoreAnimal",IF(_xlfn.XLOOKUP(B239,'Base stats'!B:B,'Base stats'!Y:Y)="Carnivore","CarnivoreAnimal, OvivoreAnimal",IF(_xlfn.XLOOKUP(B239,'Base stats'!B:B,'Base stats'!Y:Y)="Dendrovore","VegetarianRoughAnimal, DendrovoreAnimal",IF(_xlfn.XLOOKUP(B239,'Base stats'!B:B,'Base stats'!Y:Y)="Herbivore","VegetarianRoughAnimal",IF(_xlfn.XLOOKUP(B239,'Base stats'!B:B,'Base stats'!Y:Y)="OmnivoreRough","OmnivoreRoughAnimal, OvivoreAnimal","OmnivoreAnimal, OvivoreAnimal"))))))</f>
        <v>OmnivoreAnimal, OvivoreAnimal</v>
      </c>
      <c r="AZ239" s="2" t="str">
        <f>IF(_xlfn.XLOOKUP(_xlfn.XLOOKUP(B239,'Base stats'!B:B,'Base stats'!E:E),Groups!A:A,Groups!D:D)=1,MROUND((1-J239)*5+1,2)*IF(J239&lt;=0.4,2,1),"No")</f>
        <v>No</v>
      </c>
      <c r="BA239" s="2" t="str">
        <f>IF(AND(_xlfn.XLOOKUP(B239,'Base stats'!B:B,'Base stats'!AH:AH)="&lt;li&gt;Seal&lt;/li&gt;",G239="Odyssey"),"&lt;li&gt;AEXP_Seal&lt;/li&gt;",_xlfn.XLOOKUP(B239,'Base stats'!B:B,'Base stats'!AH:AH))</f>
        <v>&lt;li&gt;Megaspider&lt;/li&gt;</v>
      </c>
      <c r="BB239" s="2" t="str">
        <f>_xlfn.XLOOKUP(B239,'Base stats'!B:B,'Base stats'!AG:AG)</f>
        <v>Leather_Chitin</v>
      </c>
      <c r="BC239" s="23" t="str">
        <f>_xlfn.XLOOKUP(_xlfn.XLOOKUP(B239,'Base stats'!B:B,'Base stats'!E:E),Groups!A:A,Groups!AL:AL)</f>
        <v>ScorpionLike</v>
      </c>
      <c r="BD239" s="23">
        <f>MIN(1,MROUND(IF(AND(AO239&lt;0.5,_xlfn.XLOOKUP(B239,'Base stats'!B:B,'Base stats'!AA:AA)=0),0,IF(OR(_xlfn.XLOOKUP(Animals!B239,'Base stats'!B:B,'Base stats'!O:O)=2,_xlfn.XLOOKUP(_xlfn.XLOOKUP(B239,'Base stats'!B:B,'Base stats'!E:E),Groups!A:A,Groups!AN:AN)=0),0,_xlfn.XLOOKUP(_xlfn.XLOOKUP(B239,'Base stats'!B:B,'Base stats'!E:E),Groups!A:A,Groups!AN:AN)/IF(_xlfn.XLOOKUP(Animals!B239,'Base stats'!B:B,'Base stats'!O:O)=1,2,1)))+_xlfn.XLOOKUP(B239,'Base stats'!B:B,'Base stats'!AC:AC),0.005))</f>
        <v>0.1</v>
      </c>
      <c r="BE239" s="23">
        <f>MIN(1,MROUND(IF(AND(AO239&lt;0.5,_xlfn.XLOOKUP(B239,'Base stats'!B:B,'Base stats'!AA:AA)=0),0,IF(_xlfn.XLOOKUP(_xlfn.XLOOKUP(B239,'Base stats'!B:B,'Base stats'!E:E),Groups!A:A,Groups!AO:AO)=0,0,_xlfn.XLOOKUP(_xlfn.XLOOKUP(B239,'Base stats'!B:B,'Base stats'!E:E),Groups!A:A,Groups!AO:AO)/IF(_xlfn.XLOOKUP(Animals!B239,'Base stats'!B:B,'Base stats'!O:O)=2,3,1)))+_xlfn.XLOOKUP(B239,'Base stats'!B:B,'Base stats'!AD:AD),0.005))</f>
        <v>1</v>
      </c>
      <c r="BF239" s="2" t="str">
        <f>IF(J239&gt;0.3,"No",_xlfn.XLOOKUP(_xlfn.XLOOKUP(Animals!B239,'Base stats'!B:B,'Base stats'!E:E),Groups!A:A,Groups!AP:AP))</f>
        <v>No</v>
      </c>
      <c r="BG239" s="2" t="str">
        <f>IF(AND(J239&lt;=0.65,_xlfn.XLOOKUP(_xlfn.XLOOKUP(Animals!B239,'Base stats'!B:B,'Base stats'!E:E),Groups!A:A,Groups!AP:AP)&lt;&gt;"No",_xlfn.XLOOKUP(_xlfn.XLOOKUP(B239,'Base stats'!B:B,'Base stats'!E:E),Groups!A:A,Groups!D:D)=0),MROUND((80/3)*IF(_xlfn.XLOOKUP(B239,'Base stats'!B:B,'Base stats'!O:O)=2,0.2,AO239) + 24*(1-IF(BF239="No",0,BF239)) + 16/3, 12),"No")</f>
        <v>No</v>
      </c>
      <c r="BH239" s="2">
        <f>IF(AND(_xlfn.XLOOKUP(_xlfn.XLOOKUP(B239,'Base stats'!B:B,'Base stats'!E:E),Groups!A:A,Groups!AQ:AQ)=1,AO239&lt;=0.35),8,12)</f>
        <v>12</v>
      </c>
      <c r="BI239" s="2" t="str">
        <f>IF(_xlfn.XLOOKUP(_xlfn.XLOOKUP(B239,'Base stats'!B:B,'Base stats'!E:E),Groups!A:A,Groups!D:D)=0,_xlfn.XLOOKUP(_xlfn.XLOOKUP(B239,'Base stats'!B:B,'Base stats'!E:E),Groups!A:A,Groups!AR:AR),"None")</f>
        <v>Intermediate</v>
      </c>
      <c r="BJ239" s="2" t="str">
        <f>IF(AND(_xlfn.XLOOKUP(_xlfn.XLOOKUP(B239,'Base stats'!B:B,'Base stats'!E:E),Groups!A:A,Groups!AS:AS)=1,OR(_xlfn.XLOOKUP(B239,'Base stats'!B:B,'Base stats'!Y:Y)="Carnivore",_xlfn.XLOOKUP(B239,'Base stats'!B:B,'Base stats'!Y:Y)="Omnivore")),"true","false")</f>
        <v>true</v>
      </c>
      <c r="BK239" s="2">
        <f>IF(BJ239="true",MROUND(IF(AND(AO239&gt;0.5,OR(_xlfn.XLOOKUP(_xlfn.XLOOKUP(B239,'Base stats'!B:B,'Base stats'!E:E),Groups!A:A,Groups!AJ:AJ)="Photonozoa",_xlfn.XLOOKUP(_xlfn.XLOOKUP(B239,'Base stats'!B:B,'Base stats'!E:E),Groups!A:A,Groups!AJ:AJ)="Mammal")),Animals!AO239*1.75*IF(AW239="true",1.5,1),IF(AO239&lt;0.5,Animals!AO239*0.5,Animals!AO239)),IF(AO239&gt;2,0.5,IF(AO239&gt;0.5,0.25,0.1))),"No")</f>
        <v>0.5</v>
      </c>
      <c r="BL239" s="2">
        <f t="shared" si="24"/>
        <v>1</v>
      </c>
      <c r="BM239" s="25" t="str">
        <f>IF(_xlfn.XLOOKUP(B239,'Base stats'!B:B,'Base stats'!AN:AN)="Standard","No",MROUND((_xlfn.XLOOKUP(B239,'Base stats'!B:B,'Base stats'!AN:AN)/3.6)/I239,0.1))</f>
        <v>No</v>
      </c>
      <c r="BN239" s="25" t="str">
        <f t="shared" si="25"/>
        <v>false</v>
      </c>
      <c r="BO239" s="25" t="str">
        <f>IF(AND(OR(_xlfn.XLOOKUP(B239,'Base stats'!B:B,'Base stats'!Y:Y)="Carnivore",_xlfn.XLOOKUP(B239,'Base stats'!B:B,'Base stats'!Y:Y)="Omnivore",_xlfn.XLOOKUP(B239,'Base stats'!B:B,'Base stats'!Y:Y)="OmnivoreRough"),_xlfn.XLOOKUP(_xlfn.XLOOKUP(B239,'Base stats'!B:B,'Base stats'!E:E),Groups!A:A,Groups!AT:AT)=1),"true","false")</f>
        <v>false</v>
      </c>
      <c r="BP239" s="25" t="str" cm="1">
        <f t="array" ref="BP239">IF(
  _xlfn.TEXTJOIN(", ",TRUE,
    IF(AND(BJ239="true",AO239&gt;0.5,BI239&lt;&gt;"None"),"AttackTarget",""),
    IF(AND(_xlfn.XLOOKUP(_xlfn.XLOOKUP(B239,'Base stats'!B:B,'Base stats'!E:E),Groups!A:A,Groups!AJ:AJ="Mammal"),OR(_xlfn.XLOOKUP(B239,'Base stats'!B:B,'Base stats'!Y:Y)="Omnivore",_xlfn.XLOOKUP(B239,'Base stats'!B:B,'Base stats'!Y:Y)="OmnivoreRough")),"Forage",""),
    IF(BG239&lt;=36,"Comfort",""),
    IF(_xlfn.XLOOKUP(B239,'Base stats'!B:B,'Base stats'!AE:AE)&lt;&gt;"No",_xlfn.XLOOKUP(B239,'Base stats'!B:B,'Base stats'!AE:AE),"")
  ) = "",
  "No",
  _xlfn.TEXTJOIN(", ",TRUE,
    IF(AND(BJ239="true",AO239&gt;0.5,BI239&lt;&gt;"None"),"AttackTarget",""),
    IF(AND(_xlfn.XLOOKUP(_xlfn.XLOOKUP(B239,'Base stats'!B:B,'Base stats'!E:E),Groups!A:A,Groups!AJ:AJ="Mammal"),OR(_xlfn.XLOOKUP(B239,'Base stats'!B:B,'Base stats'!Y:Y)="Omnivore",_xlfn.XLOOKUP(B239,'Base stats'!B:B,'Base stats'!Y:Y)="OmnivoreRough")),"Forage",""),
    IF(BG239&lt;=36,"Comfort",""),
    IF(_xlfn.XLOOKUP(B239,'Base stats'!B:B,'Base stats'!AE:AE)&lt;&gt;"No",_xlfn.XLOOKUP(B239,'Base stats'!B:B,'Base stats'!AE:AE),"")
  )
)</f>
        <v>No</v>
      </c>
      <c r="BQ239" s="25" t="str">
        <f>IF(
   AND(
      'Base stats'!AN239="Standard",_xlfn.XLOOKUP(_xlfn.XLOOKUP(B239,'Base stats'!B:B,'Base stats'!E:E),Groups!A:A,Groups!AU:AU)=0,
      OR(
      BO239="True"
      )
   ),
   10,
   IF(
       OR(BM239&lt;&gt;"No",_xlfn.XLOOKUP(_xlfn.XLOOKUP(B239,'Base stats'!B:B,'Base stats'!E:E),Groups!A:A,Groups!AU:AU)=1),
      1,
      "No"
   )
)</f>
        <v>No</v>
      </c>
      <c r="BR239" s="9">
        <f>MROUND((1 + ((0.2*IF(OR(Q239="No",R239="No",R239=0),0,Q239/R239)
+IF(OR(V239="No",S239="No",T239="No"),0,S239/T239*(LEN(V239)-LEN(SUBSTITUTE(V239,",",""))+1))
+IF(OR(X239="No",Y239="No"),0,X239/Y239)
+IF(OR(AD239="No",AE239="No"),0,AD239/AE239)
+IF(OR(AL239="No",AI239="No",AJ239="No"),0,AI239/AJ239*(LEN(AL239)-LEN(SUBSTITUTE(AL239,",",""))+1))
)/(0.2*IF(OR(Q239="No",R239="No",R239=0),0,1)
+IF(OR(V239="No",S239="No",T239="No"),0,LEN(V239)-LEN(SUBSTITUTE(V239,",",""))+1)
+IF(OR(X239="No",Y239="No"),0,1)
+IF(OR(AD239="No",AE239="No"),0,1)
+IF(OR(AL239="No",AI239="No",AJ239="No"),0,LEN(AL239)-LEN(SUBSTITUTE(AL239,",",""))+1))*62%)* 2)*(1 + (AP239 / (IF(_xlfn.XLOOKUP(_xlfn.XLOOKUP(B239,'Base stats'!B:B,'Base stats'!E:E),Groups!A:A,Groups!AJ:AJ)="Photonozoa",0.3,1)) + _xlfn.XLOOKUP(B239,'Base stats'!B:B,'Base stats'!AV:AV) * 1.8) * 2) * 2.5 + 10 + I239 * 2,5)+IF(_xlfn.XLOOKUP(B239,'Base stats'!B:B,'Base stats'!AK:AK)=1,50,0)</f>
        <v>95</v>
      </c>
      <c r="BS239" s="8">
        <f t="shared" si="26"/>
        <v>0.2</v>
      </c>
      <c r="BT239" s="8" t="str">
        <f>_xlfn.XLOOKUP(B239,'Base stats'!B:B,'Base stats'!AF:AF)</f>
        <v>No</v>
      </c>
      <c r="BU239" s="2" t="str">
        <f>IF(AND(J239&lt;=0.95,OR(_xlfn.XLOOKUP(B239,'Base stats'!B:B,'Base stats'!AK:AK)=1,_xlfn.XLOOKUP(B239,'Base stats'!B:B,'Base stats'!Y:Y)="Carnivore",_xlfn.XLOOKUP(B239,'Base stats'!B:B,'Base stats'!Y:Y)="Omnivore",BE239&gt;0.1)),"true","false")</f>
        <v>true</v>
      </c>
      <c r="BV239" s="2" t="str">
        <f>IF(_xlfn.XLOOKUP(B239,'Base stats'!B:B,'Base stats'!AI:AI)=1,"true","false")</f>
        <v>false</v>
      </c>
      <c r="BW239" s="25" t="str">
        <f>IF(E239="BaseInsect","AnimalInsect",
IF(J239&gt;0.95,"AnimalExotic",
_xlfn.TEXTJOIN(", ",TRUE,
IF(OR(_xlfn.XLOOKUP(B239,'Base stats'!B:B,'Base stats'!AM:AM)=1,AND(_xlfn.XLOOKUP(B239,'Base stats'!B:B,'Base stats'!O:O)=0,_xlfn.XLOOKUP(_xlfn.XLOOKUP(B239,'Base stats'!B:B,'Base stats'!E:E),Groups!A:A,Groups!B:B)&gt;0)),"AnimalUncommon","AnimalCommon"),
IF(AND(_xlfn.XLOOKUP(B239,'Base stats'!B:B,'Base stats'!O:O)=2,_xlfn.XLOOKUP(_xlfn.XLOOKUP(B239,'Base stats'!B:B,'Base stats'!E:E),Groups!A:A,Groups!D:D)=0),"AnimalPet",IF(AND(_xlfn.XLOOKUP(B239,'Base stats'!B:B,'Base stats'!O:O)&lt;&gt;0,_xlfn.XLOOKUP(_xlfn.XLOOKUP(B239,'Base stats'!B:B,'Base stats'!E:E),Groups!A:A,Groups!D:D)&lt;&gt;0),"AnimalFarm","")),
IF(OR(_xlfn.XLOOKUP(B239,'Base stats'!B:B,'Base stats'!AK:AK)=1,AND(BI239&lt;&gt;"None",BR239&gt;=60),ISNUMBER(SEARCH("Attack target",BP239))),"AnimalFighter","")
)))</f>
        <v>AnimalUncommon, AnimalFighter</v>
      </c>
      <c r="BX239" s="25" t="str">
        <f>IF(G239="None",TRIM(
SUBSTITUTE(
IF(COUNTIF(Biomes!B$2:B$259,"="&amp;$C239)&gt;0,Biomes!B$1&amp;", ","")&amp;
IF(COUNTIF(Biomes!C$2:C$259,"="&amp;$C239)&gt;0,Biomes!C$1&amp;", ","")&amp;
IF(COUNTIF(Biomes!D$2:D$259,"="&amp;$C239)&gt;0,Biomes!D$1&amp;", ","")&amp;
IF(COUNTIF(Biomes!F$2:F$259,"="&amp;$C239)&gt;0,Biomes!F$1&amp;", ","")&amp;
IF(COUNTIF(Biomes!G$2:G$259,"="&amp;$C239)&gt;0,Biomes!G$1&amp;", ","")&amp;
IF(COUNTIF(Biomes!H$2:H$259,"="&amp;$C239)&gt;0,Biomes!H$1&amp;", ","")&amp;
IF(COUNTIF(Biomes!I$2:I$259,"="&amp;$C239)&gt;0,Biomes!I$1&amp;", ","")&amp;
IF(COUNTIF(Biomes!J$2:J$259,"="&amp;$C239)&gt;0,Biomes!J$1&amp;", ","")&amp;
IF(COUNTIF(Biomes!M$2:M$259,"="&amp;$C239)&gt;0,Biomes!M$1&amp;", ","")&amp;
IF(COUNTIF(Biomes!N$2:N$259,"="&amp;$C239)&gt;0,Biomes!N$1&amp;", ","")&amp;
IF(COUNTIF(Biomes!O$2:O$259,"="&amp;$C239)&gt;0,Biomes!O$1&amp;", ","")&amp;
IF(COUNTIF(Biomes!P$2:P$259,"="&amp;$C239)&gt;0,Biomes!P$1&amp;", ","")&amp;
IF(COUNTIF(Biomes!K$2:K$259,"="&amp;$C239)&gt;0,Biomes!K$1&amp;", ","")&amp;
IF(COUNTIF(Biomes!Q$3:Q$259,"="&amp;$C239)&gt;0,Biomes!Q$1&amp;", ","")&amp;
IF(COUNTIF(Biomes!L$2:L$259,"="&amp;$C239)&gt;0,Biomes!L$1&amp;", ","")&amp;
IF(COUNTIF(Biomes!E$2:E$259,"="&amp;$C239)&gt;0,Biomes!E$1&amp;", ","")&amp;IF(COUNTIF(Biomes!S$2:S$259,"="&amp;$C239)&gt;0,Biomes!S$1&amp;", ","")&amp;
IF(COUNTIF(Biomes!R$2:R$259,"="&amp;$C239)&gt;0,Biomes!R$1&amp;", ",""),", ","")
),_xlfn.XLOOKUP(B239,B:B,BX:BX))</f>
        <v>TemperateForest TemperateSwamp AridShrubland Desert TropicalRainforest TropicalSwamp Grasslands Glowforest LavaField</v>
      </c>
      <c r="BY239" s="25" t="str">
        <f>IF(_xlfn.XLOOKUP(B239,'Base stats'!B:B,'Base stats'!AJ:AJ)=1,"true","false")</f>
        <v>false</v>
      </c>
      <c r="BZ239" s="25">
        <f>IF(_xlfn.XLOOKUP(B239,'Base stats'!B:B,'Base stats'!N:N)=1,"No",MAX(0.001,MIN(MROUND(IF(AND(BJ239="True",CC239="False"),POWER(10,3.47*LOG10(_xlfn.XLOOKUP(B239,'Base stats'!B:B,'Base stats'!C:C)*1000)^-0.96),POWER(10,4.15*LOG10(_xlfn.XLOOKUP(B239,'Base stats'!B:B,'Base stats'!C:C)*1000)^-0.73))*IF(_xlfn.XLOOKUP(B239,'Base stats'!B:B,'Base stats'!AK:AK)=1,0.5,1)*IF(_xlfn.XLOOKUP(B239,'Base stats'!B:B,'Base stats'!AM:AM)=1,0.1,1)/100,IF(_xlfn.XLOOKUP(B239,'Base stats'!B:B,'Base stats'!AM:AM)=1,0.001,0.025)),0.5)))</f>
        <v>2.9000000000000001E-2</v>
      </c>
      <c r="CA239" s="25" t="str">
        <f>IF(P239="Standard","No",MAX(0.001,MIN(MROUND(IF(AND(BJ239="True",CC239="False"),POWER(10,3.47*LOG10(_xlfn.XLOOKUP(B239,'Base stats'!B:B,'Base stats'!C:C)*1000)^-0.96),POWER(10,4.15*LOG10(_xlfn.XLOOKUP(B239,'Base stats'!B:B,'Base stats'!C:C)*1000)^-0.73))*IF(_xlfn.XLOOKUP(B239,'Base stats'!B:B,'Base stats'!AM:AM)=1,0.1,1)*_xlfn.XLOOKUP(B239,'Base stats'!B:B,'Base stats'!R:R)/100,IF(_xlfn.XLOOKUP(B239,'Base stats'!B:B,'Base stats'!AM:AM)=1,0.001,0.025)),0.5)))</f>
        <v>No</v>
      </c>
      <c r="CB239" s="25" t="str">
        <f>IF(_xlfn.XLOOKUP(_xlfn.XLOOKUP(B239,'Base stats'!B:B,'Base stats'!E:E),Groups!A:A,Groups!AJ:AJ)="Mammal","True","False")</f>
        <v>False</v>
      </c>
      <c r="CC239" s="25" t="str">
        <f>IF(OR(_xlfn.XLOOKUP(_xlfn.XLOOKUP(B239,'Base stats'!B:B,'Base stats'!E:E),Groups!A:A,Groups!AJ:AJ)="Reptile",_xlfn.XLOOKUP(_xlfn.XLOOKUP(B239,'Base stats'!B:B,'Base stats'!E:E),Groups!A:A,Groups!AJ:AJ)="Amphibian",_xlfn.XLOOKUP(_xlfn.XLOOKUP(B239,'Base stats'!B:B,'Base stats'!E:E),Groups!A:A,Groups!AJ:AJ)="Invertebrate"),"True","False")</f>
        <v>True</v>
      </c>
      <c r="CD239" s="25" t="str">
        <f t="shared" si="27"/>
        <v>False</v>
      </c>
      <c r="CE239" s="25" t="str">
        <f>IF(_xlfn.XLOOKUP(_xlfn.XLOOKUP(B239,'Base stats'!B:B,'Base stats'!E:E),Groups!A:A,Groups!AX:AX),"True","False")</f>
        <v>False</v>
      </c>
      <c r="CF239" s="25" t="str">
        <f>IF(_xlfn.XLOOKUP(_xlfn.XLOOKUP(B239,'Base stats'!B:B,'Base stats'!E:E),Groups!A:A,Groups!AY:AY),"True","False")</f>
        <v>False</v>
      </c>
      <c r="CG239" s="25" t="str">
        <f>IF(_xlfn.XLOOKUP(_xlfn.XLOOKUP(B239,'Base stats'!B:B,'Base stats'!E:E),Groups!A:A,Groups!AW:AW),"True","False")</f>
        <v>False</v>
      </c>
      <c r="CH239" s="25" t="str">
        <f>IF(
OR(
_xlfn.XLOOKUP(_xlfn.XLOOKUP(B239,'Base stats'!B:B,'Base stats'!E:E),Groups!A:A,Groups!AZ:AZ)=0,
AND(
_xlfn.XLOOKUP(B239,'Base stats'!B:B,'Base stats'!Y:Y)&lt;&gt;"Carnivore",
_xlfn.XLOOKUP(B239,'Base stats'!B:B,'Base stats'!Y:Y)&lt;&gt;"Omnivore",
_xlfn.XLOOKUP(B239,'Base stats'!B:B,'Base stats'!Y:Y)&lt;&gt;"OmnivoreRough"
)
),
"No",
IF(
_xlfn.XLOOKUP(_xlfn.XLOOKUP(B239,'Base stats'!B:B,'Base stats'!E:E),Groups!A:A,Groups!AZ:AZ)=1,
"Flesh",
IF(
_xlfn.XLOOKUP(_xlfn.XLOOKUP(B239,'Base stats'!B:B,'Base stats'!E:E),Groups!A:A,Groups!AZ:AZ)=2,
"Bone",
""
)
)
)</f>
        <v>No</v>
      </c>
      <c r="CI239" s="25" t="str">
        <f>IF(_xlfn.XLOOKUP(_xlfn.XLOOKUP(B239,'Base stats'!B:B,'Base stats'!E:E),Groups!A:A,Groups!BB:BB),"True","False")</f>
        <v>False</v>
      </c>
      <c r="CJ239" s="25" t="str">
        <f>IF(_xlfn.XLOOKUP(_xlfn.XLOOKUP(B239,'Base stats'!B:B,'Base stats'!E:E),Groups!A:A,Groups!BA:BA),"True","False")</f>
        <v>False</v>
      </c>
    </row>
    <row r="240" spans="1:88" ht="16.5" thickTop="1" thickBot="1" x14ac:dyDescent="0.3">
      <c r="A240" s="26" t="s">
        <v>1386</v>
      </c>
      <c r="B240" s="6" t="str">
        <f>_xlfn.XLOOKUP(A240,'Base stats'!A:A,'Base stats'!B:B)</f>
        <v>Bombus militaris (hierophant)</v>
      </c>
      <c r="C240" s="28" t="s">
        <v>1387</v>
      </c>
      <c r="D240" s="28" t="s">
        <v>1341</v>
      </c>
      <c r="E240" s="28" t="s">
        <v>1747</v>
      </c>
      <c r="F240" s="28" t="s">
        <v>673</v>
      </c>
      <c r="G240" s="28" t="s">
        <v>673</v>
      </c>
      <c r="H240" s="2">
        <f>MROUND((
  (IF(AND(_xlfn.XLOOKUP(B240,'Base stats'!B:B,'Base stats'!AL:AL)=0,BI240="None",_xlfn.XLOOKUP(_xlfn.XLOOKUP(B240,'Base stats'!B:B,'Base stats'!E:E),Groups!A:A,Groups!B:B)=0), (18 + BR240 * 2.7) * 0.5,
    IF(AND(_xlfn.XLOOKUP(B240,'Base stats'!B:B,'Base stats'!AL:AL)=0,OR(AO240&lt;0.55,AND(BI240="Intermediate",_xlfn.XLOOKUP(_xlfn.XLOOKUP(B240,'Base stats'!B:B,'Base stats'!E:E),Groups!A:A,Groups!B:B)&lt;2))), (18 + BR240 * 2.7),
      IF(OR(BI240="Advanced",_xlfn.XLOOKUP(B240,'Base stats'!B:B,'Base stats'!AL:AL)=1,_xlfn.XLOOKUP(_xlfn.XLOOKUP(B240,'Base stats'!B:B,'Base stats'!E:E),Groups!A:A,Groups!B:B)=2), (18 + BR240 * 2.7) + 250, (18 + BR240 * 2.7))
    )
  ))
  + AO240 * 80
  + IF(COUNTIF(EggMilk!K$2:K$998, A240) &gt; 0, 125, 0)
  + IF(COUNTIF(EggMilk!P$2:P$998, A240) &gt; 0, 90, 0)
  + IF(COUNTIF(EggMilk!A$2:A$998, A240) &gt; 0, 90, 0)
)
* (0.8 + 0.4 * J240)
* 0.75,25)</f>
        <v>275</v>
      </c>
      <c r="I240" s="2">
        <f>MROUND(ROUNDDOWN(_xlfn.XLOOKUP(B240,'Base stats'!B:B,'Base stats'!L:L)/3.6/(23.3/11),1),0.5)</f>
        <v>3</v>
      </c>
      <c r="J240" s="2">
        <f>IF(OR(_xlfn.XLOOKUP(B240,'Base stats'!B:B,'Base stats'!AB:AB)=1,_xlfn.XLOOKUP(_xlfn.XLOOKUP(B240,'Base stats'!B:B,'Base stats'!E:E),Groups!A:A,Groups!C:C)="Untamable"),1,IF(_xlfn.XLOOKUP(B240,'Base stats'!B:B,'Base stats'!AL:AL)=1,0.99,MIN(MROUND((1-0.6282*EXP(-0.459*AO240))*_xlfn.XLOOKUP(_xlfn.XLOOKUP(B240,'Base stats'!B:B,'Base stats'!E:E),Groups!A:A,Groups!C:C)*IF(_xlfn.XLOOKUP(B240,'Base stats'!B:B,'Base stats'!O:O)=1,0.5,IF(_xlfn.XLOOKUP(B240,'Base stats'!B:B,'Base stats'!O:O)=2,0,1)),0.05),IF(AO240&gt;3.5,0.985,0.95))))</f>
        <v>0.55000000000000004</v>
      </c>
      <c r="K240" s="2">
        <f>ROUNDUP(AO240*_xlfn.XLOOKUP(_xlfn.XLOOKUP(B240,'Base stats'!B:B,'Base stats'!E:E),Groups!A:A,Groups!E:E),0)</f>
        <v>1</v>
      </c>
      <c r="L240" s="2">
        <f>IF(OR(_xlfn.XLOOKUP(_xlfn.XLOOKUP(B240,'Base stats'!B:B,'Base stats'!E:E),Groups!A:A,Groups!F:F)=2,ISNUMBER(SEARCH("SeaIce",BX240)),ISNUMBER(SEARCH("IceSheet",BX240))),-50,IF(OR(ISNUMBER(SEARCH("GlacialPlain",BX240)),ISNUMBER(SEARCH("Tundra",BX240))),-40,IF(OR(ISNUMBER(SEARCH("Alpine",BX240)),ISNUMBER(SEARCH("BorealForest",BX240)),ISNUMBER(SEARCH("ColdBog",BX240))),-30,IF(OR(ISNUMBER(SEARCH("TemperateForest",BX240)),ISNUMBER(SEARCH("TemperateSwamp",BX240))),-20,IF(_xlfn.XLOOKUP(_xlfn.XLOOKUP(B240,'Base stats'!B:B,'Base stats'!E:E),Groups!A:A,Groups!F:F)=1,-15,IF(OR(ISNUMBER(SEARCH("Desert",BX240)),ISNUMBER(SEARCH("ExtremeDesert",BX240))),-10,IF(OR(ISNUMBER(SEARCH("Grasslands",BX240)),ISNUMBER(SEARCH("TropicalRainforest",BX240)),ISNUMBER(SEARCH("TropicalSwamp",BX240))),10,0)))))))-IF(CC240="False",MIN(IFERROR(MAX(MROUND(LOG10(_xlfn.XLOOKUP(B240,'Base stats'!B:B,'Base stats'!C:C)^(2/3))*10,5),5),5),30))-_xlfn.XLOOKUP(B240,'Base stats'!B:B,'Base stats'!P:P)+IF(CC240="True",5,0)</f>
        <v>-15</v>
      </c>
      <c r="M240" s="2">
        <f>IF(OR(_xlfn.XLOOKUP(_xlfn.XLOOKUP(B240,'Base stats'!B:B,'Base stats'!E:E),Groups!A:A,Groups!G:G)=2,ISNUMBER(SEARCH("Desert",BX240)),ISNUMBER(SEARCH("ExtremeDesert",BX240)),ISNUMBER(SEARCH("LavaField",BX240))),50,IF(ISNUMBER(SEARCH("Grasslands",BX240)),45,IF(OR(_xlfn.XLOOKUP(_xlfn.XLOOKUP(B240,'Base stats'!B:B,'Base stats'!E:E),Groups!A:A,Groups!G:G)=1,ISNUMBER(SEARCH("TropicalRainforest",BX240)),ISNUMBER(SEARCH("TropicalSwamp",BX240))),40,IF(OR(ISNUMBER(SEARCH("TemperateForest",BX240)),ISNUMBER(SEARCH("TemperateSwamp",BX240))),35,IF(OR(ISNUMBER(SEARCH("Alpine",BX240)),ISNUMBER(SEARCH("BorealForest",BX240)),ISNUMBER(SEARCH("ColdBog",BX240))),30,IF(ISNUMBER(OR(ISNUMBER(SEARCH("GlacialPlain",BX240)),SEARCH("Tundra",BX240))),25,IF(OR(ISNUMBER(SEARCH("SeaIce",BX240)),ISNUMBER(SEARCH("IceSheet",BX240)),ISNUMBER(SEARCH("TropicalSwamp",BX240))),10,35)))))))+_xlfn.XLOOKUP(B240,'Base stats'!B:B,'Base stats'!Q:Q)</f>
        <v>50</v>
      </c>
      <c r="N240" s="8">
        <f>IF(
_xlfn.XLOOKUP(
_xlfn.XLOOKUP(B240,'Base stats'!B:B,'Base stats'!E:E),
Groups!A:A,
Groups!L:L
)=1,
MIN(
MROUND(
IF(
_xlfn.XLOOKUP(B240,'Animals CE'!B:B,'Animals CE'!Z:Z)&lt;=1.5,
_xlfn.XLOOKUP(B240,'Animals CE'!B:B,'Animals CE'!Z:Z)/2+0.05,
0.8+
(_xlfn.XLOOKUP(B240,'Animals CE'!B:B,'Animals CE'!Z:Z)-1.5)
*0.02
),
0.05
),
200%
),
"No"
)</f>
        <v>0.8</v>
      </c>
      <c r="O240" s="8">
        <f>IF(
_xlfn.XLOOKUP(
_xlfn.XLOOKUP(B240,'Base stats'!B:B,'Base stats'!E:E),
Groups!A:A,
Groups!L:L
)=1,
MIN(
MROUND(
IF(
_xlfn.XLOOKUP(B240,'Animals CE'!B:B,'Animals CE'!AA:AA)&lt;=1.5,
_xlfn.XLOOKUP(B240,'Animals CE'!B:B,'Animals CE'!AA:AA)/2+0.05,
0.8+
(_xlfn.XLOOKUP(B240,'Animals CE'!B:B,'Animals CE'!AA:AA)-1.5)
*0.02
),
0.05
),
200%
),
"No"
)</f>
        <v>0.60000000000000009</v>
      </c>
      <c r="P240" s="2" t="str">
        <f>_xlfn.XLOOKUP(B240,'Base stats'!B:B,'Base stats'!R:R)</f>
        <v>Standard</v>
      </c>
      <c r="Q240" s="13">
        <f>MROUND((LOG10(_xlfn.XLOOKUP(B240,'Base stats'!B:B,'Base stats'!AR:AR))*(AO240^0.5)+(_xlfn.XLOOKUP(B240,'Base stats'!B:B,'Base stats'!AR:AR)/1000)^(2/3)+_xlfn.XLOOKUP(B240,'Base stats'!B:B,'Base stats'!BA:BA)/2)+0.5,0.5)</f>
        <v>4.5</v>
      </c>
      <c r="R240" s="7">
        <f>IF(Q240="No","No",MAX(1,MROUND(_xlfn.XLOOKUP(B240,'Base stats'!B:B,'Base stats'!C:C)^0.165,0.05)))</f>
        <v>1.6500000000000001</v>
      </c>
      <c r="S240" s="13" t="str">
        <f>IF(_xlfn.XLOOKUP(_xlfn.XLOOKUP(B240,'Base stats'!B:B,'Base stats'!E:E),Groups!A:A,Groups!P:P)=0,"No",MROUND((LOG10(_xlfn.XLOOKUP(B240,'Base stats'!B:B,'Base stats'!AS:AS))*(AO240^0.5)+(_xlfn.XLOOKUP(B240,'Base stats'!B:B,'Base stats'!AS:AS)/1000)^(2/3)+_xlfn.XLOOKUP(B240,'Base stats'!B:B,'Base stats'!BA:BA))+_xlfn.XLOOKUP(B240,'Base stats'!B:B,'Base stats'!AY:AY)+0.5,0.5))</f>
        <v>No</v>
      </c>
      <c r="T240" s="7" t="str">
        <f>IF(S240="No","No",MAX(_xlfn.XLOOKUP(_xlfn.XLOOKUP(B240,'Base stats'!B:B,'Base stats'!E:E),Groups!A:A,Groups!Q:Q),MROUND(_xlfn.XLOOKUP(_xlfn.XLOOKUP(B240,'Base stats'!B:B,'Base stats'!E:E),Groups!A:A,Groups!Q:Q)*_xlfn.XLOOKUP(B240,'Base stats'!B:B,'Base stats'!C:C)^0.165,0.05)))</f>
        <v>No</v>
      </c>
      <c r="U240" s="7" t="str">
        <f>IF(S240="No","No",_xlfn.XLOOKUP(_xlfn.XLOOKUP(B240,'Base stats'!B:B,'Base stats'!E:E),Groups!A:A,Groups!R:R))</f>
        <v>No</v>
      </c>
      <c r="V240" s="7" t="str">
        <f>IF(S240="No","No",_xlfn.XLOOKUP(_xlfn.XLOOKUP(B240,'Base stats'!B:B,'Base stats'!E:E),Groups!A:A,Groups!S:S))</f>
        <v>No</v>
      </c>
      <c r="W240" s="7" t="str">
        <f>IF(S240="No","No",_xlfn.XLOOKUP(_xlfn.XLOOKUP(B240,'Base stats'!B:B,'Base stats'!E:E),Groups!A:A,Groups!T:T))</f>
        <v>No</v>
      </c>
      <c r="X240" s="13">
        <f>IF(_xlfn.XLOOKUP(B240,'Base stats'!B:B,'Base stats'!W:W)="No","No",MROUND((LOG10(_xlfn.XLOOKUP(B240,'Base stats'!B:B,'Base stats'!AU:AU))*(AO240^0.5)+(_xlfn.XLOOKUP(B240,'Base stats'!B:B,'Base stats'!AU:AU)/1000)^(2/3)+_xlfn.XLOOKUP(B240,'Base stats'!B:B,'Base stats'!AZ:AZ))+0.5+IF(_xlfn.XLOOKUP(_xlfn.XLOOKUP(B240,'Base stats'!B:B,'Base stats'!E:E),Groups!A:A,Groups!U:U)&lt;&gt;3,_xlfn.XLOOKUP(B240,'Base stats'!B:B,'Base stats'!BA:BA),0),0.5))</f>
        <v>9.5</v>
      </c>
      <c r="Y240" s="7">
        <f>IF(X240="No","No",MAX(_xlfn.XLOOKUP(_xlfn.XLOOKUP(B240,'Base stats'!B:B,'Base stats'!E:E),Groups!A:A,Groups!V:V),MROUND(_xlfn.XLOOKUP(_xlfn.XLOOKUP(B240,'Base stats'!B:B,'Base stats'!E:E),Groups!A:A,Groups!V:V)*_xlfn.XLOOKUP(B240,'Base stats'!B:B,'Base stats'!C:C)^0.165,0.05)))</f>
        <v>2.15</v>
      </c>
      <c r="Z240" s="7" t="str">
        <f>IF(X240="No","No",_xlfn.XLOOKUP(_xlfn.XLOOKUP(B240,'Base stats'!B:B,'Base stats'!E:E),Groups!A:A,Groups!W:W))</f>
        <v>Sting</v>
      </c>
      <c r="AA240" s="7" t="str">
        <f>IF(X240="No","No",_xlfn.XLOOKUP(_xlfn.XLOOKUP(B240,'Base stats'!B:B,'Base stats'!E:E),Groups!A:A,Groups!X:X))</f>
        <v>stinger</v>
      </c>
      <c r="AB240" s="7" t="str">
        <f>IF(X240="No","No",_xlfn.XLOOKUP(_xlfn.XLOOKUP(B240,'Base stats'!B:B,'Base stats'!E:E),Groups!A:A,Groups!Y:Y))</f>
        <v>Sting</v>
      </c>
      <c r="AC240" s="7" t="str">
        <f>_xlfn.XLOOKUP(Animals!B240,'Base stats'!B:B,'Base stats'!X:X)</f>
        <v>False</v>
      </c>
      <c r="AD240" s="13">
        <f>IF(_xlfn.XLOOKUP(B240,'Base stats'!B:B,'Base stats'!AT:AT)="No","No",MROUND((LOG10(_xlfn.XLOOKUP(B240,'Base stats'!B:B,'Base stats'!AT:AT))*(AO240^0.75)+(_xlfn.XLOOKUP(B240,'Base stats'!B:B,'Base stats'!AT:AT)/1000)^(2/3)+_xlfn.XLOOKUP(B240,'Base stats'!B:B,'Base stats'!AX:AX)+_xlfn.XLOOKUP(B240,'Base stats'!B:B,'Base stats'!BA:BA))+0.5,0.5))</f>
        <v>12.5</v>
      </c>
      <c r="AE240" s="7">
        <f>IF(AD240="No","No",MAX(_xlfn.XLOOKUP(_xlfn.XLOOKUP(B240,'Base stats'!B:B,'Base stats'!E:E),Groups!A:A,Groups!Z:Z),MROUND(_xlfn.XLOOKUP(_xlfn.XLOOKUP(B240,'Base stats'!B:B,'Base stats'!E:E),Groups!A:A,Groups!Z:Z)*_xlfn.XLOOKUP(B240,'Base stats'!B:B,'Base stats'!C:C)^0.165,0.05)))</f>
        <v>1.9500000000000002</v>
      </c>
      <c r="AF240" s="7" t="str">
        <f>IF(AD240="No","No",_xlfn.XLOOKUP(_xlfn.XLOOKUP(B240,'Base stats'!B:B,'Base stats'!E:E),Groups!A:A,Groups!AA:AA))</f>
        <v>Mouth</v>
      </c>
      <c r="AG240" s="7" t="str">
        <f>IF(AD240="No","No",_xlfn.XLOOKUP(_xlfn.XLOOKUP(B240,'Base stats'!B:B,'Base stats'!E:E),Groups!A:A,Groups!AB:AB))</f>
        <v>mandibles</v>
      </c>
      <c r="AH240" s="7" t="str">
        <f>IF(AD240="No","No",_xlfn.XLOOKUP(_xlfn.XLOOKUP(B240,'Base stats'!B:B,'Base stats'!E:E),Groups!A:A,Groups!AC:AC))</f>
        <v>Bite</v>
      </c>
      <c r="AI240" s="13">
        <f>IF(_xlfn.XLOOKUP(_xlfn.XLOOKUP(B240,'Base stats'!B:B,'Base stats'!E:E),Groups!A:A,Groups!AD:AD)=0,"No",MROUND((LOG10(_xlfn.XLOOKUP(B240,'Base stats'!B:B,'Base stats'!AS:AS))*(AO240^0.75)+(_xlfn.XLOOKUP(B240,'Base stats'!B:B,'Base stats'!AS:AS)/1000)^(2/3)+_xlfn.XLOOKUP(B240,'Base stats'!B:B,'Base stats'!AY:AY)+_xlfn.XLOOKUP(B240,'Base stats'!B:B,'Base stats'!BA:BA))+0.5,0.5))</f>
        <v>11</v>
      </c>
      <c r="AJ240" s="7">
        <f>IF(AI240="No","No",MAX(_xlfn.XLOOKUP(_xlfn.XLOOKUP(B240,'Base stats'!B:B,'Base stats'!E:E),Groups!A:A,Groups!AE:AE),MROUND(_xlfn.XLOOKUP(_xlfn.XLOOKUP(B240,'Base stats'!B:B,'Base stats'!E:E),Groups!A:A,Groups!AE:AE)*IF(_xlfn.XLOOKUP(_xlfn.XLOOKUP(B240,'Base stats'!B:B,'Base stats'!E:E),Groups!A:A,Groups!AJ:AJ)="Photonozoa",0.6,1)*_xlfn.XLOOKUP(B240,'Base stats'!B:B,'Base stats'!C:C)^0.165,0.05)))</f>
        <v>1.8</v>
      </c>
      <c r="AK240" s="7" t="str">
        <f>IF(AI240="No","No",_xlfn.XLOOKUP(_xlfn.XLOOKUP(B240,'Base stats'!B:B,'Base stats'!E:E),Groups!A:A,Groups!AF:AF))</f>
        <v>LeftPincer, RightPincer</v>
      </c>
      <c r="AL240" s="7" t="str">
        <f>IF(AI240="No","No",_xlfn.XLOOKUP(_xlfn.XLOOKUP(B240,'Base stats'!B:B,'Base stats'!E:E),Groups!A:A,Groups!AG:AG))</f>
        <v>left claw, right claw</v>
      </c>
      <c r="AM240" s="7" t="str">
        <f>IF(AI240="No","No",_xlfn.XLOOKUP(_xlfn.XLOOKUP(B240,'Base stats'!B:B,'Base stats'!E:E),Groups!A:A,Groups!AH:AH))</f>
        <v>Scratch</v>
      </c>
      <c r="AN240" s="2">
        <f t="shared" si="21"/>
        <v>20</v>
      </c>
      <c r="AO240" s="2">
        <f>MROUND(IF(AND(_xlfn.XLOOKUP(B240,'Base stats'!B:B,'Base stats'!C:C)&gt;=0.5,_xlfn.XLOOKUP(B240,'Base stats'!B:B,'Base stats'!C:C)&lt;=0.8),
IF(_xlfn.XLOOKUP(B240,'Base stats'!B:B,'Base stats'!C:C)&lt;0.1,0.05,IF(_xlfn.XLOOKUP(B240,'Base stats'!B:B,'Base stats'!C:C)&lt;=70,(_xlfn.XLOOKUP(B240,'Base stats'!B:B,'Base stats'!C:C)/70)^0.426489913056526,IF(_xlfn.XLOOKUP(B240,'Base stats'!B:B,'Base stats'!C:C)&lt;=400,(_xlfn.XLOOKUP(B240,'Base stats'!B:B,'Base stats'!C:C)/70)^0.572811455315093,IF(_xlfn.XLOOKUP(B240,'Base stats'!B:B,'Base stats'!C:C)&lt;=2000,2.71391647193063*(_xlfn.XLOOKUP(B240,'Base stats'!B:B,'Base stats'!C:C)/400)^0.252459582904293,3.74314280240376*(_xlfn.XLOOKUP(B240,'Base stats'!B:B,'Base stats'!C:C)/2000)^0.357012633876913)))),
IF(_xlfn.XLOOKUP(B240,'Base stats'!B:B,'Base stats'!C:C)&lt;0.1,0.05,IF(_xlfn.XLOOKUP(B240,'Base stats'!B:B,'Base stats'!C:C)&lt;0.4,0.1,IF(_xlfn.XLOOKUP(B240,'Base stats'!B:B,'Base stats'!C:C)&lt;=70,(_xlfn.XLOOKUP(B240,'Base stats'!B:B,'Base stats'!C:C)/70)^0.445823913056526,IF(_xlfn.XLOOKUP(B240,'Base stats'!B:B,'Base stats'!C:C)&lt;=400,(_xlfn.XLOOKUP(B240,'Base stats'!B:B,'Base stats'!C:C)/70)^0.572811455315093,IF(_xlfn.XLOOKUP(B240,'Base stats'!B:B,'Base stats'!C:C)&lt;=2000,2.71391647193063*(_xlfn.XLOOKUP(B240,'Base stats'!B:B,'Base stats'!C:C)/400)^0.252459582904293,3.74314280240376*(_xlfn.XLOOKUP(B240,'Base stats'!B:B,'Base stats'!C:C)/2000)^0.357012633876913)))))),
IF(_xlfn.XLOOKUP(B240,'Base stats'!B:B,'Base stats'!C:C)&lt;0.1,0.05,IF(_xlfn.XLOOKUP(B240,'Base stats'!B:B,'Base stats'!C:C)&lt;=100,0.05,IF(_xlfn.XLOOKUP(B240,'Base stats'!B:B,'Base stats'!C:C)&lt;=250,0.1,IF(_xlfn.XLOOKUP(B240,'Base stats'!B:B,'Base stats'!C:C)&lt;=4000,0.25,0.5)))))</f>
        <v>0.55000000000000004</v>
      </c>
      <c r="AP240" s="8">
        <f>MROUND(AO240*_xlfn.XLOOKUP(_xlfn.XLOOKUP(B240,'Base stats'!B:B,'Base stats'!E:E),Groups!A:A,Groups!AI:AI)*_xlfn.XLOOKUP(B240,'Base stats'!B:B,'Base stats'!Z:Z),0.05)</f>
        <v>0.55000000000000004</v>
      </c>
      <c r="AQ240" s="8">
        <f>MAX(0.01,MROUND(IF(CC240="True",0.196*(AO240*100*1000)^0.889,IF(_xlfn.XLOOKUP(_xlfn.XLOOKUP(B240,'Base stats'!B:B,'Base stats'!E:E),Groups!A:A,Groups!AJ:AJ)="Bird",10.5*(AO240*100*1000)^0.681,4.82*(AO240*100*1000)^0.734))/(4.82*(1*100*1000)^0.734)/IF(AO240&lt;3.5,2,IF(AO240=3.5,1.5,1.25))*(1+0.132282374779864/(AO240^0.994035016789033+0.00905238001496948)),0.05))</f>
        <v>0.1</v>
      </c>
      <c r="AR240" s="9">
        <f>IFERROR(MROUND(_xlfn.XLOOKUP(B240,'Base stats'!B:B,'Base stats'!H:H)/IF(_xlfn.XLOOKUP(B240,'Base stats'!B:B,'Base stats'!I:I)&lt;&gt;1,(122.5/70),1.2),IF(_xlfn.XLOOKUP(B240,'Base stats'!B:B,'Base stats'!H:H)&gt;=30,5,IF(_xlfn.XLOOKUP(B240,'Base stats'!B:B,'Base stats'!H:H)&gt;=15,3,IF(_xlfn.XLOOKUP(B240,'Base stats'!B:B,'Base stats'!H:H)&gt;=10,2,1)))),"Immortal")</f>
        <v>10</v>
      </c>
      <c r="AS240" s="35" t="str">
        <f>IFERROR(IF(OR(_xlfn.XLOOKUP(B240,'Base stats'!B:B,'Base stats'!F:F)="Atypical reproduction",_xlfn.XLOOKUP(B240,'Base stats'!B:B,'Base stats'!F:F)="Lay eggs"),"Lay eggs",MIN(20,MAX(5.5,ROUND(((_xlfn.XLOOKUP(B240,'Base stats'!B:B,'Base stats'!F:F)-25)*(14.5/615) + 5.5)*2,0)/2))),"Unknown")</f>
        <v>Lay eggs</v>
      </c>
      <c r="AT240" s="8">
        <f>IF(_xlfn.XLOOKUP(B240,'Base stats'!B:B,'Base stats'!G:G)="Atypical reproduction","No",IFERROR(MAX(IF(_xlfn.XLOOKUP(B240,'Base stats'!B:B,'Base stats'!G:G)&lt;0.5,0.2,0.3),MROUND(_xlfn.XLOOKUP(B240,'Base stats'!B:B,'Base stats'!G:G)/(365/60),0.2)),"Unknown"))</f>
        <v>0.3</v>
      </c>
      <c r="AU240" s="8">
        <f t="shared" si="22"/>
        <v>0.15000000000000002</v>
      </c>
      <c r="AV240" s="8" t="str">
        <f>IFERROR(IFERROR(MROUND(_xlfn.XLOOKUP(B240,'Base stats'!B:B,'Base stats'!J:J),0.1),"Lay eggs"),"Cannot breed")</f>
        <v>Lay eggs</v>
      </c>
      <c r="AW240" s="2" t="str">
        <f t="shared" si="23"/>
        <v>false</v>
      </c>
      <c r="AX240" s="2" t="str">
        <f>IF(_xlfn.XLOOKUP(_xlfn.XLOOKUP(Animals!B240,'Base stats'!B:B,'Base stats'!E:E),Groups!A:A,Groups!AK:AK)=1,"true","false")</f>
        <v>false</v>
      </c>
      <c r="AY240" s="25" t="str">
        <f>IF(_xlfn.XLOOKUP(B240,'Base stats'!B:B,'Base stats'!Y:Y)="Liquor","Liquor, CarnivoreAnimalStrict",IF(AND(_xlfn.XLOOKUP(B240,'Base stats'!B:B,'Base stats'!Y:Y)="Carnivore",_xlfn.XLOOKUP(_xlfn.XLOOKUP(B240,'Base stats'!B:B,'Base stats'!E:E),Groups!A:A,Groups!AJ:AJ)="Photonozoa"),"CarnivoreAnimalStrict, OvivoreAnimal",IF(_xlfn.XLOOKUP(B240,'Base stats'!B:B,'Base stats'!Y:Y)="Carnivore","CarnivoreAnimal, OvivoreAnimal",IF(_xlfn.XLOOKUP(B240,'Base stats'!B:B,'Base stats'!Y:Y)="Dendrovore","VegetarianRoughAnimal, DendrovoreAnimal",IF(_xlfn.XLOOKUP(B240,'Base stats'!B:B,'Base stats'!Y:Y)="Herbivore","VegetarianRoughAnimal",IF(_xlfn.XLOOKUP(B240,'Base stats'!B:B,'Base stats'!Y:Y)="OmnivoreRough","OmnivoreRoughAnimal, OvivoreAnimal","OmnivoreAnimal, OvivoreAnimal"))))))</f>
        <v>OmnivoreAnimal, OvivoreAnimal</v>
      </c>
      <c r="AZ240" s="2" t="str">
        <f>IF(_xlfn.XLOOKUP(_xlfn.XLOOKUP(B240,'Base stats'!B:B,'Base stats'!E:E),Groups!A:A,Groups!D:D)=1,MROUND((1-J240)*5+1,2)*IF(J240&lt;=0.4,2,1),"No")</f>
        <v>No</v>
      </c>
      <c r="BA240" s="2" t="str">
        <f>IF(AND(_xlfn.XLOOKUP(B240,'Base stats'!B:B,'Base stats'!AH:AH)="&lt;li&gt;Seal&lt;/li&gt;",G240="Odyssey"),"&lt;li&gt;AEXP_Seal&lt;/li&gt;",_xlfn.XLOOKUP(B240,'Base stats'!B:B,'Base stats'!AH:AH))</f>
        <v>&lt;li&gt;Megaspider&lt;/li&gt;</v>
      </c>
      <c r="BB240" s="2" t="str">
        <f>_xlfn.XLOOKUP(B240,'Base stats'!B:B,'Base stats'!AG:AG)</f>
        <v>Leather_Chitin</v>
      </c>
      <c r="BC240" s="23" t="str">
        <f>_xlfn.XLOOKUP(_xlfn.XLOOKUP(B240,'Base stats'!B:B,'Base stats'!E:E),Groups!A:A,Groups!AL:AL)</f>
        <v>ScorpionLike</v>
      </c>
      <c r="BD240" s="23">
        <f>MIN(1,MROUND(IF(AND(AO240&lt;0.5,_xlfn.XLOOKUP(B240,'Base stats'!B:B,'Base stats'!AA:AA)=0),0,IF(OR(_xlfn.XLOOKUP(Animals!B240,'Base stats'!B:B,'Base stats'!O:O)=2,_xlfn.XLOOKUP(_xlfn.XLOOKUP(B240,'Base stats'!B:B,'Base stats'!E:E),Groups!A:A,Groups!AN:AN)=0),0,_xlfn.XLOOKUP(_xlfn.XLOOKUP(B240,'Base stats'!B:B,'Base stats'!E:E),Groups!A:A,Groups!AN:AN)/IF(_xlfn.XLOOKUP(Animals!B240,'Base stats'!B:B,'Base stats'!O:O)=1,2,1)))+_xlfn.XLOOKUP(B240,'Base stats'!B:B,'Base stats'!AC:AC),0.005))</f>
        <v>0.1</v>
      </c>
      <c r="BE240" s="23">
        <f>MIN(1,MROUND(IF(AND(AO240&lt;0.5,_xlfn.XLOOKUP(B240,'Base stats'!B:B,'Base stats'!AA:AA)=0),0,IF(_xlfn.XLOOKUP(_xlfn.XLOOKUP(B240,'Base stats'!B:B,'Base stats'!E:E),Groups!A:A,Groups!AO:AO)=0,0,_xlfn.XLOOKUP(_xlfn.XLOOKUP(B240,'Base stats'!B:B,'Base stats'!E:E),Groups!A:A,Groups!AO:AO)/IF(_xlfn.XLOOKUP(Animals!B240,'Base stats'!B:B,'Base stats'!O:O)=2,3,1)))+_xlfn.XLOOKUP(B240,'Base stats'!B:B,'Base stats'!AD:AD),0.005))</f>
        <v>1</v>
      </c>
      <c r="BF240" s="2" t="str">
        <f>IF(J240&gt;0.3,"No",_xlfn.XLOOKUP(_xlfn.XLOOKUP(Animals!B240,'Base stats'!B:B,'Base stats'!E:E),Groups!A:A,Groups!AP:AP))</f>
        <v>No</v>
      </c>
      <c r="BG240" s="2" t="str">
        <f>IF(AND(J240&lt;=0.65,_xlfn.XLOOKUP(_xlfn.XLOOKUP(Animals!B240,'Base stats'!B:B,'Base stats'!E:E),Groups!A:A,Groups!AP:AP)&lt;&gt;"No",_xlfn.XLOOKUP(_xlfn.XLOOKUP(B240,'Base stats'!B:B,'Base stats'!E:E),Groups!A:A,Groups!D:D)=0),MROUND((80/3)*IF(_xlfn.XLOOKUP(B240,'Base stats'!B:B,'Base stats'!O:O)=2,0.2,AO240) + 24*(1-IF(BF240="No",0,BF240)) + 16/3, 12),"No")</f>
        <v>No</v>
      </c>
      <c r="BH240" s="2">
        <f>IF(AND(_xlfn.XLOOKUP(_xlfn.XLOOKUP(B240,'Base stats'!B:B,'Base stats'!E:E),Groups!A:A,Groups!AQ:AQ)=1,AO240&lt;=0.35),8,12)</f>
        <v>12</v>
      </c>
      <c r="BI240" s="2" t="str">
        <f>IF(_xlfn.XLOOKUP(_xlfn.XLOOKUP(B240,'Base stats'!B:B,'Base stats'!E:E),Groups!A:A,Groups!D:D)=0,_xlfn.XLOOKUP(_xlfn.XLOOKUP(B240,'Base stats'!B:B,'Base stats'!E:E),Groups!A:A,Groups!AR:AR),"None")</f>
        <v>Intermediate</v>
      </c>
      <c r="BJ240" s="2" t="str">
        <f>IF(AND(_xlfn.XLOOKUP(_xlfn.XLOOKUP(B240,'Base stats'!B:B,'Base stats'!E:E),Groups!A:A,Groups!AS:AS)=1,OR(_xlfn.XLOOKUP(B240,'Base stats'!B:B,'Base stats'!Y:Y)="Carnivore",_xlfn.XLOOKUP(B240,'Base stats'!B:B,'Base stats'!Y:Y)="Omnivore")),"true","false")</f>
        <v>true</v>
      </c>
      <c r="BK240" s="2">
        <f>IF(BJ240="true",MROUND(IF(AND(AO240&gt;0.5,OR(_xlfn.XLOOKUP(_xlfn.XLOOKUP(B240,'Base stats'!B:B,'Base stats'!E:E),Groups!A:A,Groups!AJ:AJ)="Photonozoa",_xlfn.XLOOKUP(_xlfn.XLOOKUP(B240,'Base stats'!B:B,'Base stats'!E:E),Groups!A:A,Groups!AJ:AJ)="Mammal")),Animals!AO240*1.75*IF(AW240="true",1.5,1),IF(AO240&lt;0.5,Animals!AO240*0.5,Animals!AO240)),IF(AO240&gt;2,0.5,IF(AO240&gt;0.5,0.25,0.1))),"No")</f>
        <v>0.5</v>
      </c>
      <c r="BL240" s="2">
        <f t="shared" si="24"/>
        <v>1</v>
      </c>
      <c r="BM240" s="25" t="str">
        <f>IF(_xlfn.XLOOKUP(B240,'Base stats'!B:B,'Base stats'!AN:AN)="Standard","No",MROUND((_xlfn.XLOOKUP(B240,'Base stats'!B:B,'Base stats'!AN:AN)/3.6)/I240,0.1))</f>
        <v>No</v>
      </c>
      <c r="BN240" s="25" t="str">
        <f t="shared" si="25"/>
        <v>false</v>
      </c>
      <c r="BO240" s="25" t="str">
        <f>IF(AND(OR(_xlfn.XLOOKUP(B240,'Base stats'!B:B,'Base stats'!Y:Y)="Carnivore",_xlfn.XLOOKUP(B240,'Base stats'!B:B,'Base stats'!Y:Y)="Omnivore",_xlfn.XLOOKUP(B240,'Base stats'!B:B,'Base stats'!Y:Y)="OmnivoreRough"),_xlfn.XLOOKUP(_xlfn.XLOOKUP(B240,'Base stats'!B:B,'Base stats'!E:E),Groups!A:A,Groups!AT:AT)=1),"true","false")</f>
        <v>false</v>
      </c>
      <c r="BP240" s="25" t="str" cm="1">
        <f t="array" ref="BP240">IF(
  _xlfn.TEXTJOIN(", ",TRUE,
    IF(AND(BJ240="true",AO240&gt;0.5,BI240&lt;&gt;"None"),"AttackTarget",""),
    IF(AND(_xlfn.XLOOKUP(_xlfn.XLOOKUP(B240,'Base stats'!B:B,'Base stats'!E:E),Groups!A:A,Groups!AJ:AJ="Mammal"),OR(_xlfn.XLOOKUP(B240,'Base stats'!B:B,'Base stats'!Y:Y)="Omnivore",_xlfn.XLOOKUP(B240,'Base stats'!B:B,'Base stats'!Y:Y)="OmnivoreRough")),"Forage",""),
    IF(BG240&lt;=36,"Comfort",""),
    IF(_xlfn.XLOOKUP(B240,'Base stats'!B:B,'Base stats'!AE:AE)&lt;&gt;"No",_xlfn.XLOOKUP(B240,'Base stats'!B:B,'Base stats'!AE:AE),"")
  ) = "",
  "No",
  _xlfn.TEXTJOIN(", ",TRUE,
    IF(AND(BJ240="true",AO240&gt;0.5,BI240&lt;&gt;"None"),"AttackTarget",""),
    IF(AND(_xlfn.XLOOKUP(_xlfn.XLOOKUP(B240,'Base stats'!B:B,'Base stats'!E:E),Groups!A:A,Groups!AJ:AJ="Mammal"),OR(_xlfn.XLOOKUP(B240,'Base stats'!B:B,'Base stats'!Y:Y)="Omnivore",_xlfn.XLOOKUP(B240,'Base stats'!B:B,'Base stats'!Y:Y)="OmnivoreRough")),"Forage",""),
    IF(BG240&lt;=36,"Comfort",""),
    IF(_xlfn.XLOOKUP(B240,'Base stats'!B:B,'Base stats'!AE:AE)&lt;&gt;"No",_xlfn.XLOOKUP(B240,'Base stats'!B:B,'Base stats'!AE:AE),"")
  )
)</f>
        <v>AttackTarget</v>
      </c>
      <c r="BQ240" s="25" t="str">
        <f>IF(
   AND(
      'Base stats'!AN240="Standard",_xlfn.XLOOKUP(_xlfn.XLOOKUP(B240,'Base stats'!B:B,'Base stats'!E:E),Groups!A:A,Groups!AU:AU)=0,
      OR(
      BO240="True"
      )
   ),
   10,
   IF(
       OR(BM240&lt;&gt;"No",_xlfn.XLOOKUP(_xlfn.XLOOKUP(B240,'Base stats'!B:B,'Base stats'!E:E),Groups!A:A,Groups!AU:AU)=1),
      1,
      "No"
   )
)</f>
        <v>No</v>
      </c>
      <c r="BR240" s="9">
        <f>MROUND((1 + ((0.2*IF(OR(Q240="No",R240="No",R240=0),0,Q240/R240)
+IF(OR(V240="No",S240="No",T240="No"),0,S240/T240*(LEN(V240)-LEN(SUBSTITUTE(V240,",",""))+1))
+IF(OR(X240="No",Y240="No"),0,X240/Y240)
+IF(OR(AD240="No",AE240="No"),0,AD240/AE240)
+IF(OR(AL240="No",AI240="No",AJ240="No"),0,AI240/AJ240*(LEN(AL240)-LEN(SUBSTITUTE(AL240,",",""))+1))
)/(0.2*IF(OR(Q240="No",R240="No",R240=0),0,1)
+IF(OR(V240="No",S240="No",T240="No"),0,LEN(V240)-LEN(SUBSTITUTE(V240,",",""))+1)
+IF(OR(X240="No",Y240="No"),0,1)
+IF(OR(AD240="No",AE240="No"),0,1)
+IF(OR(AL240="No",AI240="No",AJ240="No"),0,LEN(AL240)-LEN(SUBSTITUTE(AL240,",",""))+1))*62%)* 2)*(1 + (AP240 / (IF(_xlfn.XLOOKUP(_xlfn.XLOOKUP(B240,'Base stats'!B:B,'Base stats'!E:E),Groups!A:A,Groups!AJ:AJ)="Photonozoa",0.3,1)) + _xlfn.XLOOKUP(B240,'Base stats'!B:B,'Base stats'!AV:AV) * 1.8) * 2) * 2.5 + 10 + I240 * 2,5)+IF(_xlfn.XLOOKUP(B240,'Base stats'!B:B,'Base stats'!AK:AK)=1,50,0)</f>
        <v>110</v>
      </c>
      <c r="BS240" s="8">
        <f t="shared" si="26"/>
        <v>0.2</v>
      </c>
      <c r="BT240" s="8" t="str">
        <f>_xlfn.XLOOKUP(B240,'Base stats'!B:B,'Base stats'!AF:AF)</f>
        <v>No</v>
      </c>
      <c r="BU240" s="2" t="str">
        <f>IF(AND(J240&lt;=0.95,OR(_xlfn.XLOOKUP(B240,'Base stats'!B:B,'Base stats'!AK:AK)=1,_xlfn.XLOOKUP(B240,'Base stats'!B:B,'Base stats'!Y:Y)="Carnivore",_xlfn.XLOOKUP(B240,'Base stats'!B:B,'Base stats'!Y:Y)="Omnivore",BE240&gt;0.1)),"true","false")</f>
        <v>true</v>
      </c>
      <c r="BV240" s="2" t="str">
        <f>IF(_xlfn.XLOOKUP(B240,'Base stats'!B:B,'Base stats'!AI:AI)=1,"true","false")</f>
        <v>false</v>
      </c>
      <c r="BW240" s="25" t="str">
        <f>IF(E240="BaseInsect","AnimalInsect",
IF(J240&gt;0.95,"AnimalExotic",
_xlfn.TEXTJOIN(", ",TRUE,
IF(OR(_xlfn.XLOOKUP(B240,'Base stats'!B:B,'Base stats'!AM:AM)=1,AND(_xlfn.XLOOKUP(B240,'Base stats'!B:B,'Base stats'!O:O)=0,_xlfn.XLOOKUP(_xlfn.XLOOKUP(B240,'Base stats'!B:B,'Base stats'!E:E),Groups!A:A,Groups!B:B)&gt;0)),"AnimalUncommon","AnimalCommon"),
IF(AND(_xlfn.XLOOKUP(B240,'Base stats'!B:B,'Base stats'!O:O)=2,_xlfn.XLOOKUP(_xlfn.XLOOKUP(B240,'Base stats'!B:B,'Base stats'!E:E),Groups!A:A,Groups!D:D)=0),"AnimalPet",IF(AND(_xlfn.XLOOKUP(B240,'Base stats'!B:B,'Base stats'!O:O)&lt;&gt;0,_xlfn.XLOOKUP(_xlfn.XLOOKUP(B240,'Base stats'!B:B,'Base stats'!E:E),Groups!A:A,Groups!D:D)&lt;&gt;0),"AnimalFarm","")),
IF(OR(_xlfn.XLOOKUP(B240,'Base stats'!B:B,'Base stats'!AK:AK)=1,AND(BI240&lt;&gt;"None",BR240&gt;=60),ISNUMBER(SEARCH("Attack target",BP240))),"AnimalFighter","")
)))</f>
        <v>AnimalUncommon, AnimalFighter</v>
      </c>
      <c r="BX240" s="25" t="str">
        <f>IF(G240="None",TRIM(
SUBSTITUTE(
IF(COUNTIF(Biomes!B$2:B$259,"="&amp;$C240)&gt;0,Biomes!B$1&amp;", ","")&amp;
IF(COUNTIF(Biomes!C$2:C$259,"="&amp;$C240)&gt;0,Biomes!C$1&amp;", ","")&amp;
IF(COUNTIF(Biomes!D$2:D$259,"="&amp;$C240)&gt;0,Biomes!D$1&amp;", ","")&amp;
IF(COUNTIF(Biomes!F$2:F$259,"="&amp;$C240)&gt;0,Biomes!F$1&amp;", ","")&amp;
IF(COUNTIF(Biomes!G$2:G$259,"="&amp;$C240)&gt;0,Biomes!G$1&amp;", ","")&amp;
IF(COUNTIF(Biomes!H$2:H$259,"="&amp;$C240)&gt;0,Biomes!H$1&amp;", ","")&amp;
IF(COUNTIF(Biomes!I$2:I$259,"="&amp;$C240)&gt;0,Biomes!I$1&amp;", ","")&amp;
IF(COUNTIF(Biomes!J$2:J$259,"="&amp;$C240)&gt;0,Biomes!J$1&amp;", ","")&amp;
IF(COUNTIF(Biomes!M$2:M$259,"="&amp;$C240)&gt;0,Biomes!M$1&amp;", ","")&amp;
IF(COUNTIF(Biomes!N$2:N$259,"="&amp;$C240)&gt;0,Biomes!N$1&amp;", ","")&amp;
IF(COUNTIF(Biomes!O$2:O$259,"="&amp;$C240)&gt;0,Biomes!O$1&amp;", ","")&amp;
IF(COUNTIF(Biomes!P$2:P$259,"="&amp;$C240)&gt;0,Biomes!P$1&amp;", ","")&amp;
IF(COUNTIF(Biomes!K$2:K$259,"="&amp;$C240)&gt;0,Biomes!K$1&amp;", ","")&amp;
IF(COUNTIF(Biomes!Q$3:Q$259,"="&amp;$C240)&gt;0,Biomes!Q$1&amp;", ","")&amp;
IF(COUNTIF(Biomes!L$2:L$259,"="&amp;$C240)&gt;0,Biomes!L$1&amp;", ","")&amp;
IF(COUNTIF(Biomes!E$2:E$259,"="&amp;$C240)&gt;0,Biomes!E$1&amp;", ","")&amp;IF(COUNTIF(Biomes!S$2:S$259,"="&amp;$C240)&gt;0,Biomes!S$1&amp;", ","")&amp;
IF(COUNTIF(Biomes!R$2:R$259,"="&amp;$C240)&gt;0,Biomes!R$1&amp;", ",""),", ","")
),_xlfn.XLOOKUP(B240,B:B,BX:BX))</f>
        <v>TemperateForest TemperateSwamp AridShrubland Desert TropicalRainforest TropicalSwamp Grasslands Glowforest LavaField</v>
      </c>
      <c r="BY240" s="25" t="str">
        <f>IF(_xlfn.XLOOKUP(B240,'Base stats'!B:B,'Base stats'!AJ:AJ)=1,"true","false")</f>
        <v>false</v>
      </c>
      <c r="BZ240" s="25">
        <f>IF(_xlfn.XLOOKUP(B240,'Base stats'!B:B,'Base stats'!N:N)=1,"No",MAX(0.001,MIN(MROUND(IF(AND(BJ240="True",CC240="False"),POWER(10,3.47*LOG10(_xlfn.XLOOKUP(B240,'Base stats'!B:B,'Base stats'!C:C)*1000)^-0.96),POWER(10,4.15*LOG10(_xlfn.XLOOKUP(B240,'Base stats'!B:B,'Base stats'!C:C)*1000)^-0.73))*IF(_xlfn.XLOOKUP(B240,'Base stats'!B:B,'Base stats'!AK:AK)=1,0.5,1)*IF(_xlfn.XLOOKUP(B240,'Base stats'!B:B,'Base stats'!AM:AM)=1,0.1,1)/100,IF(_xlfn.XLOOKUP(B240,'Base stats'!B:B,'Base stats'!AM:AM)=1,0.001,0.025)),0.5)))</f>
        <v>2.7E-2</v>
      </c>
      <c r="CA240" s="25" t="str">
        <f>IF(P240="Standard","No",MAX(0.001,MIN(MROUND(IF(AND(BJ240="True",CC240="False"),POWER(10,3.47*LOG10(_xlfn.XLOOKUP(B240,'Base stats'!B:B,'Base stats'!C:C)*1000)^-0.96),POWER(10,4.15*LOG10(_xlfn.XLOOKUP(B240,'Base stats'!B:B,'Base stats'!C:C)*1000)^-0.73))*IF(_xlfn.XLOOKUP(B240,'Base stats'!B:B,'Base stats'!AM:AM)=1,0.1,1)*_xlfn.XLOOKUP(B240,'Base stats'!B:B,'Base stats'!R:R)/100,IF(_xlfn.XLOOKUP(B240,'Base stats'!B:B,'Base stats'!AM:AM)=1,0.001,0.025)),0.5)))</f>
        <v>No</v>
      </c>
      <c r="CB240" s="25" t="str">
        <f>IF(_xlfn.XLOOKUP(_xlfn.XLOOKUP(B240,'Base stats'!B:B,'Base stats'!E:E),Groups!A:A,Groups!AJ:AJ)="Mammal","True","False")</f>
        <v>False</v>
      </c>
      <c r="CC240" s="25" t="str">
        <f>IF(OR(_xlfn.XLOOKUP(_xlfn.XLOOKUP(B240,'Base stats'!B:B,'Base stats'!E:E),Groups!A:A,Groups!AJ:AJ)="Reptile",_xlfn.XLOOKUP(_xlfn.XLOOKUP(B240,'Base stats'!B:B,'Base stats'!E:E),Groups!A:A,Groups!AJ:AJ)="Amphibian",_xlfn.XLOOKUP(_xlfn.XLOOKUP(B240,'Base stats'!B:B,'Base stats'!E:E),Groups!A:A,Groups!AJ:AJ)="Invertebrate"),"True","False")</f>
        <v>True</v>
      </c>
      <c r="CD240" s="25" t="str">
        <f t="shared" si="27"/>
        <v>False</v>
      </c>
      <c r="CE240" s="25" t="str">
        <f>IF(_xlfn.XLOOKUP(_xlfn.XLOOKUP(B240,'Base stats'!B:B,'Base stats'!E:E),Groups!A:A,Groups!AX:AX),"True","False")</f>
        <v>False</v>
      </c>
      <c r="CF240" s="25" t="str">
        <f>IF(_xlfn.XLOOKUP(_xlfn.XLOOKUP(B240,'Base stats'!B:B,'Base stats'!E:E),Groups!A:A,Groups!AY:AY),"True","False")</f>
        <v>False</v>
      </c>
      <c r="CG240" s="25" t="str">
        <f>IF(_xlfn.XLOOKUP(_xlfn.XLOOKUP(B240,'Base stats'!B:B,'Base stats'!E:E),Groups!A:A,Groups!AW:AW),"True","False")</f>
        <v>False</v>
      </c>
      <c r="CH240" s="25" t="str">
        <f>IF(
OR(
_xlfn.XLOOKUP(_xlfn.XLOOKUP(B240,'Base stats'!B:B,'Base stats'!E:E),Groups!A:A,Groups!AZ:AZ)=0,
AND(
_xlfn.XLOOKUP(B240,'Base stats'!B:B,'Base stats'!Y:Y)&lt;&gt;"Carnivore",
_xlfn.XLOOKUP(B240,'Base stats'!B:B,'Base stats'!Y:Y)&lt;&gt;"Omnivore",
_xlfn.XLOOKUP(B240,'Base stats'!B:B,'Base stats'!Y:Y)&lt;&gt;"OmnivoreRough"
)
),
"No",
IF(
_xlfn.XLOOKUP(_xlfn.XLOOKUP(B240,'Base stats'!B:B,'Base stats'!E:E),Groups!A:A,Groups!AZ:AZ)=1,
"Flesh",
IF(
_xlfn.XLOOKUP(_xlfn.XLOOKUP(B240,'Base stats'!B:B,'Base stats'!E:E),Groups!A:A,Groups!AZ:AZ)=2,
"Bone",
""
)
)
)</f>
        <v>No</v>
      </c>
      <c r="CI240" s="25" t="str">
        <f>IF(_xlfn.XLOOKUP(_xlfn.XLOOKUP(B240,'Base stats'!B:B,'Base stats'!E:E),Groups!A:A,Groups!BB:BB),"True","False")</f>
        <v>False</v>
      </c>
      <c r="CJ240" s="25" t="str">
        <f>IF(_xlfn.XLOOKUP(_xlfn.XLOOKUP(B240,'Base stats'!B:B,'Base stats'!E:E),Groups!A:A,Groups!BA:BA),"True","False")</f>
        <v>False</v>
      </c>
    </row>
    <row r="241" spans="1:88" ht="16.5" thickTop="1" thickBot="1" x14ac:dyDescent="0.3">
      <c r="A241" s="26" t="s">
        <v>1388</v>
      </c>
      <c r="B241" s="6" t="str">
        <f>_xlfn.XLOOKUP(A241,'Base stats'!A:A,'Base stats'!B:B)</f>
        <v>Bombus militaris (queen)</v>
      </c>
      <c r="C241" s="28" t="s">
        <v>1389</v>
      </c>
      <c r="D241" s="28" t="s">
        <v>1341</v>
      </c>
      <c r="E241" s="28" t="s">
        <v>1747</v>
      </c>
      <c r="F241" s="28" t="s">
        <v>673</v>
      </c>
      <c r="G241" s="28" t="s">
        <v>673</v>
      </c>
      <c r="H241" s="2">
        <f>MROUND((
  (IF(AND(_xlfn.XLOOKUP(B241,'Base stats'!B:B,'Base stats'!AL:AL)=0,BI241="None",_xlfn.XLOOKUP(_xlfn.XLOOKUP(B241,'Base stats'!B:B,'Base stats'!E:E),Groups!A:A,Groups!B:B)=0), (18 + BR241 * 2.7) * 0.5,
    IF(AND(_xlfn.XLOOKUP(B241,'Base stats'!B:B,'Base stats'!AL:AL)=0,OR(AO241&lt;0.55,AND(BI241="Intermediate",_xlfn.XLOOKUP(_xlfn.XLOOKUP(B241,'Base stats'!B:B,'Base stats'!E:E),Groups!A:A,Groups!B:B)&lt;2))), (18 + BR241 * 2.7),
      IF(OR(BI241="Advanced",_xlfn.XLOOKUP(B241,'Base stats'!B:B,'Base stats'!AL:AL)=1,_xlfn.XLOOKUP(_xlfn.XLOOKUP(B241,'Base stats'!B:B,'Base stats'!E:E),Groups!A:A,Groups!B:B)=2), (18 + BR241 * 2.7) + 250, (18 + BR241 * 2.7))
    )
  ))
  + AO241 * 80
  + IF(COUNTIF(EggMilk!K$2:K$998, A241) &gt; 0, 125, 0)
  + IF(COUNTIF(EggMilk!P$2:P$998, A241) &gt; 0, 90, 0)
  + IF(COUNTIF(EggMilk!A$2:A$998, A241) &gt; 0, 90, 0)
)
* (0.8 + 0.4 * J241)
* 0.75,25)</f>
        <v>325</v>
      </c>
      <c r="I241" s="2">
        <f>MROUND(ROUNDDOWN(_xlfn.XLOOKUP(B241,'Base stats'!B:B,'Base stats'!L:L)/3.6/(23.3/11),1),0.5)</f>
        <v>3</v>
      </c>
      <c r="J241" s="2">
        <f>IF(OR(_xlfn.XLOOKUP(B241,'Base stats'!B:B,'Base stats'!AB:AB)=1,_xlfn.XLOOKUP(_xlfn.XLOOKUP(B241,'Base stats'!B:B,'Base stats'!E:E),Groups!A:A,Groups!C:C)="Untamable"),1,IF(_xlfn.XLOOKUP(B241,'Base stats'!B:B,'Base stats'!AL:AL)=1,0.99,MIN(MROUND((1-0.6282*EXP(-0.459*AO241))*_xlfn.XLOOKUP(_xlfn.XLOOKUP(B241,'Base stats'!B:B,'Base stats'!E:E),Groups!A:A,Groups!C:C)*IF(_xlfn.XLOOKUP(B241,'Base stats'!B:B,'Base stats'!O:O)=1,0.5,IF(_xlfn.XLOOKUP(B241,'Base stats'!B:B,'Base stats'!O:O)=2,0,1)),0.05),IF(AO241&gt;3.5,0.985,0.95))))</f>
        <v>0.60000000000000009</v>
      </c>
      <c r="K241" s="2">
        <f>ROUNDUP(AO241*_xlfn.XLOOKUP(_xlfn.XLOOKUP(B241,'Base stats'!B:B,'Base stats'!E:E),Groups!A:A,Groups!E:E),0)</f>
        <v>1</v>
      </c>
      <c r="L241" s="2">
        <f>IF(OR(_xlfn.XLOOKUP(_xlfn.XLOOKUP(B241,'Base stats'!B:B,'Base stats'!E:E),Groups!A:A,Groups!F:F)=2,ISNUMBER(SEARCH("SeaIce",BX241)),ISNUMBER(SEARCH("IceSheet",BX241))),-50,IF(OR(ISNUMBER(SEARCH("GlacialPlain",BX241)),ISNUMBER(SEARCH("Tundra",BX241))),-40,IF(OR(ISNUMBER(SEARCH("Alpine",BX241)),ISNUMBER(SEARCH("BorealForest",BX241)),ISNUMBER(SEARCH("ColdBog",BX241))),-30,IF(OR(ISNUMBER(SEARCH("TemperateForest",BX241)),ISNUMBER(SEARCH("TemperateSwamp",BX241))),-20,IF(_xlfn.XLOOKUP(_xlfn.XLOOKUP(B241,'Base stats'!B:B,'Base stats'!E:E),Groups!A:A,Groups!F:F)=1,-15,IF(OR(ISNUMBER(SEARCH("Desert",BX241)),ISNUMBER(SEARCH("ExtremeDesert",BX241))),-10,IF(OR(ISNUMBER(SEARCH("Grasslands",BX241)),ISNUMBER(SEARCH("TropicalRainforest",BX241)),ISNUMBER(SEARCH("TropicalSwamp",BX241))),10,0)))))))-IF(CC241="False",MIN(IFERROR(MAX(MROUND(LOG10(_xlfn.XLOOKUP(B241,'Base stats'!B:B,'Base stats'!C:C)^(2/3))*10,5),5),5),30))-_xlfn.XLOOKUP(B241,'Base stats'!B:B,'Base stats'!P:P)+IF(CC241="True",5,0)</f>
        <v>5</v>
      </c>
      <c r="M241" s="2">
        <f>IF(OR(_xlfn.XLOOKUP(_xlfn.XLOOKUP(B241,'Base stats'!B:B,'Base stats'!E:E),Groups!A:A,Groups!G:G)=2,ISNUMBER(SEARCH("Desert",BX241)),ISNUMBER(SEARCH("ExtremeDesert",BX241)),ISNUMBER(SEARCH("LavaField",BX241))),50,IF(ISNUMBER(SEARCH("Grasslands",BX241)),45,IF(OR(_xlfn.XLOOKUP(_xlfn.XLOOKUP(B241,'Base stats'!B:B,'Base stats'!E:E),Groups!A:A,Groups!G:G)=1,ISNUMBER(SEARCH("TropicalRainforest",BX241)),ISNUMBER(SEARCH("TropicalSwamp",BX241))),40,IF(OR(ISNUMBER(SEARCH("TemperateForest",BX241)),ISNUMBER(SEARCH("TemperateSwamp",BX241))),35,IF(OR(ISNUMBER(SEARCH("Alpine",BX241)),ISNUMBER(SEARCH("BorealForest",BX241)),ISNUMBER(SEARCH("ColdBog",BX241))),30,IF(ISNUMBER(OR(ISNUMBER(SEARCH("GlacialPlain",BX241)),SEARCH("Tundra",BX241))),25,IF(OR(ISNUMBER(SEARCH("SeaIce",BX241)),ISNUMBER(SEARCH("IceSheet",BX241)),ISNUMBER(SEARCH("TropicalSwamp",BX241))),10,35)))))))+_xlfn.XLOOKUP(B241,'Base stats'!B:B,'Base stats'!Q:Q)</f>
        <v>35</v>
      </c>
      <c r="N241" s="8">
        <f>IF(
_xlfn.XLOOKUP(
_xlfn.XLOOKUP(B241,'Base stats'!B:B,'Base stats'!E:E),
Groups!A:A,
Groups!L:L
)=1,
MIN(
MROUND(
IF(
_xlfn.XLOOKUP(B241,'Animals CE'!B:B,'Animals CE'!Z:Z)&lt;=1.5,
_xlfn.XLOOKUP(B241,'Animals CE'!B:B,'Animals CE'!Z:Z)/2+0.05,
0.8+
(_xlfn.XLOOKUP(B241,'Animals CE'!B:B,'Animals CE'!Z:Z)-1.5)
*0.02
),
0.05
),
200%
),
"No"
)</f>
        <v>0.8</v>
      </c>
      <c r="O241" s="8">
        <f>IF(
_xlfn.XLOOKUP(
_xlfn.XLOOKUP(B241,'Base stats'!B:B,'Base stats'!E:E),
Groups!A:A,
Groups!L:L
)=1,
MIN(
MROUND(
IF(
_xlfn.XLOOKUP(B241,'Animals CE'!B:B,'Animals CE'!AA:AA)&lt;=1.5,
_xlfn.XLOOKUP(B241,'Animals CE'!B:B,'Animals CE'!AA:AA)/2+0.05,
0.8+
(_xlfn.XLOOKUP(B241,'Animals CE'!B:B,'Animals CE'!AA:AA)-1.5)
*0.02
),
0.05
),
200%
),
"No"
)</f>
        <v>0.70000000000000007</v>
      </c>
      <c r="P241" s="2" t="str">
        <f>_xlfn.XLOOKUP(B241,'Base stats'!B:B,'Base stats'!R:R)</f>
        <v>Standard</v>
      </c>
      <c r="Q241" s="13">
        <f>MROUND((LOG10(_xlfn.XLOOKUP(B241,'Base stats'!B:B,'Base stats'!AR:AR))*(AO241^0.5)+(_xlfn.XLOOKUP(B241,'Base stats'!B:B,'Base stats'!AR:AR)/1000)^(2/3)+_xlfn.XLOOKUP(B241,'Base stats'!B:B,'Base stats'!BA:BA)/2)+0.5,0.5)</f>
        <v>5.5</v>
      </c>
      <c r="R241" s="7">
        <f>IF(Q241="No","No",MAX(1,MROUND(_xlfn.XLOOKUP(B241,'Base stats'!B:B,'Base stats'!C:C)^0.165,0.05)))</f>
        <v>1.8</v>
      </c>
      <c r="S241" s="13" t="str">
        <f>IF(_xlfn.XLOOKUP(_xlfn.XLOOKUP(B241,'Base stats'!B:B,'Base stats'!E:E),Groups!A:A,Groups!P:P)=0,"No",MROUND((LOG10(_xlfn.XLOOKUP(B241,'Base stats'!B:B,'Base stats'!AS:AS))*(AO241^0.5)+(_xlfn.XLOOKUP(B241,'Base stats'!B:B,'Base stats'!AS:AS)/1000)^(2/3)+_xlfn.XLOOKUP(B241,'Base stats'!B:B,'Base stats'!BA:BA))+_xlfn.XLOOKUP(B241,'Base stats'!B:B,'Base stats'!AY:AY)+0.5,0.5))</f>
        <v>No</v>
      </c>
      <c r="T241" s="7" t="str">
        <f>IF(S241="No","No",MAX(_xlfn.XLOOKUP(_xlfn.XLOOKUP(B241,'Base stats'!B:B,'Base stats'!E:E),Groups!A:A,Groups!Q:Q),MROUND(_xlfn.XLOOKUP(_xlfn.XLOOKUP(B241,'Base stats'!B:B,'Base stats'!E:E),Groups!A:A,Groups!Q:Q)*_xlfn.XLOOKUP(B241,'Base stats'!B:B,'Base stats'!C:C)^0.165,0.05)))</f>
        <v>No</v>
      </c>
      <c r="U241" s="7" t="str">
        <f>IF(S241="No","No",_xlfn.XLOOKUP(_xlfn.XLOOKUP(B241,'Base stats'!B:B,'Base stats'!E:E),Groups!A:A,Groups!R:R))</f>
        <v>No</v>
      </c>
      <c r="V241" s="7" t="str">
        <f>IF(S241="No","No",_xlfn.XLOOKUP(_xlfn.XLOOKUP(B241,'Base stats'!B:B,'Base stats'!E:E),Groups!A:A,Groups!S:S))</f>
        <v>No</v>
      </c>
      <c r="W241" s="7" t="str">
        <f>IF(S241="No","No",_xlfn.XLOOKUP(_xlfn.XLOOKUP(B241,'Base stats'!B:B,'Base stats'!E:E),Groups!A:A,Groups!T:T))</f>
        <v>No</v>
      </c>
      <c r="X241" s="13">
        <f>IF(_xlfn.XLOOKUP(B241,'Base stats'!B:B,'Base stats'!W:W)="No","No",MROUND((LOG10(_xlfn.XLOOKUP(B241,'Base stats'!B:B,'Base stats'!AU:AU))*(AO241^0.5)+(_xlfn.XLOOKUP(B241,'Base stats'!B:B,'Base stats'!AU:AU)/1000)^(2/3)+_xlfn.XLOOKUP(B241,'Base stats'!B:B,'Base stats'!AZ:AZ))+0.5+IF(_xlfn.XLOOKUP(_xlfn.XLOOKUP(B241,'Base stats'!B:B,'Base stats'!E:E),Groups!A:A,Groups!U:U)&lt;&gt;3,_xlfn.XLOOKUP(B241,'Base stats'!B:B,'Base stats'!BA:BA),0),0.5))</f>
        <v>11</v>
      </c>
      <c r="Y241" s="7">
        <f>IF(X241="No","No",MAX(_xlfn.XLOOKUP(_xlfn.XLOOKUP(B241,'Base stats'!B:B,'Base stats'!E:E),Groups!A:A,Groups!V:V),MROUND(_xlfn.XLOOKUP(_xlfn.XLOOKUP(B241,'Base stats'!B:B,'Base stats'!E:E),Groups!A:A,Groups!V:V)*_xlfn.XLOOKUP(B241,'Base stats'!B:B,'Base stats'!C:C)^0.165,0.05)))</f>
        <v>2.35</v>
      </c>
      <c r="Z241" s="7" t="str">
        <f>IF(X241="No","No",_xlfn.XLOOKUP(_xlfn.XLOOKUP(B241,'Base stats'!B:B,'Base stats'!E:E),Groups!A:A,Groups!W:W))</f>
        <v>Sting</v>
      </c>
      <c r="AA241" s="7" t="str">
        <f>IF(X241="No","No",_xlfn.XLOOKUP(_xlfn.XLOOKUP(B241,'Base stats'!B:B,'Base stats'!E:E),Groups!A:A,Groups!X:X))</f>
        <v>stinger</v>
      </c>
      <c r="AB241" s="7" t="str">
        <f>IF(X241="No","No",_xlfn.XLOOKUP(_xlfn.XLOOKUP(B241,'Base stats'!B:B,'Base stats'!E:E),Groups!A:A,Groups!Y:Y))</f>
        <v>Sting</v>
      </c>
      <c r="AC241" s="7" t="str">
        <f>_xlfn.XLOOKUP(Animals!B241,'Base stats'!B:B,'Base stats'!X:X)</f>
        <v>False</v>
      </c>
      <c r="AD241" s="13">
        <f>IF(_xlfn.XLOOKUP(B241,'Base stats'!B:B,'Base stats'!AT:AT)="No","No",MROUND((LOG10(_xlfn.XLOOKUP(B241,'Base stats'!B:B,'Base stats'!AT:AT))*(AO241^0.75)+(_xlfn.XLOOKUP(B241,'Base stats'!B:B,'Base stats'!AT:AT)/1000)^(2/3)+_xlfn.XLOOKUP(B241,'Base stats'!B:B,'Base stats'!AX:AX)+_xlfn.XLOOKUP(B241,'Base stats'!B:B,'Base stats'!BA:BA))+0.5,0.5))</f>
        <v>15.5</v>
      </c>
      <c r="AE241" s="7">
        <f>IF(AD241="No","No",MAX(_xlfn.XLOOKUP(_xlfn.XLOOKUP(B241,'Base stats'!B:B,'Base stats'!E:E),Groups!A:A,Groups!Z:Z),MROUND(_xlfn.XLOOKUP(_xlfn.XLOOKUP(B241,'Base stats'!B:B,'Base stats'!E:E),Groups!A:A,Groups!Z:Z)*_xlfn.XLOOKUP(B241,'Base stats'!B:B,'Base stats'!C:C)^0.165,0.05)))</f>
        <v>2.15</v>
      </c>
      <c r="AF241" s="7" t="str">
        <f>IF(AD241="No","No",_xlfn.XLOOKUP(_xlfn.XLOOKUP(B241,'Base stats'!B:B,'Base stats'!E:E),Groups!A:A,Groups!AA:AA))</f>
        <v>Mouth</v>
      </c>
      <c r="AG241" s="7" t="str">
        <f>IF(AD241="No","No",_xlfn.XLOOKUP(_xlfn.XLOOKUP(B241,'Base stats'!B:B,'Base stats'!E:E),Groups!A:A,Groups!AB:AB))</f>
        <v>mandibles</v>
      </c>
      <c r="AH241" s="7" t="str">
        <f>IF(AD241="No","No",_xlfn.XLOOKUP(_xlfn.XLOOKUP(B241,'Base stats'!B:B,'Base stats'!E:E),Groups!A:A,Groups!AC:AC))</f>
        <v>Bite</v>
      </c>
      <c r="AI241" s="13">
        <f>IF(_xlfn.XLOOKUP(_xlfn.XLOOKUP(B241,'Base stats'!B:B,'Base stats'!E:E),Groups!A:A,Groups!AD:AD)=0,"No",MROUND((LOG10(_xlfn.XLOOKUP(B241,'Base stats'!B:B,'Base stats'!AS:AS))*(AO241^0.75)+(_xlfn.XLOOKUP(B241,'Base stats'!B:B,'Base stats'!AS:AS)/1000)^(2/3)+_xlfn.XLOOKUP(B241,'Base stats'!B:B,'Base stats'!AY:AY)+_xlfn.XLOOKUP(B241,'Base stats'!B:B,'Base stats'!BA:BA))+0.5,0.5))</f>
        <v>13.5</v>
      </c>
      <c r="AJ241" s="7">
        <f>IF(AI241="No","No",MAX(_xlfn.XLOOKUP(_xlfn.XLOOKUP(B241,'Base stats'!B:B,'Base stats'!E:E),Groups!A:A,Groups!AE:AE),MROUND(_xlfn.XLOOKUP(_xlfn.XLOOKUP(B241,'Base stats'!B:B,'Base stats'!E:E),Groups!A:A,Groups!AE:AE)*IF(_xlfn.XLOOKUP(_xlfn.XLOOKUP(B241,'Base stats'!B:B,'Base stats'!E:E),Groups!A:A,Groups!AJ:AJ)="Photonozoa",0.6,1)*_xlfn.XLOOKUP(B241,'Base stats'!B:B,'Base stats'!C:C)^0.165,0.05)))</f>
        <v>2</v>
      </c>
      <c r="AK241" s="7" t="str">
        <f>IF(AI241="No","No",_xlfn.XLOOKUP(_xlfn.XLOOKUP(B241,'Base stats'!B:B,'Base stats'!E:E),Groups!A:A,Groups!AF:AF))</f>
        <v>LeftPincer, RightPincer</v>
      </c>
      <c r="AL241" s="7" t="str">
        <f>IF(AI241="No","No",_xlfn.XLOOKUP(_xlfn.XLOOKUP(B241,'Base stats'!B:B,'Base stats'!E:E),Groups!A:A,Groups!AG:AG))</f>
        <v>left claw, right claw</v>
      </c>
      <c r="AM241" s="7" t="str">
        <f>IF(AI241="No","No",_xlfn.XLOOKUP(_xlfn.XLOOKUP(B241,'Base stats'!B:B,'Base stats'!E:E),Groups!A:A,Groups!AH:AH))</f>
        <v>Scratch</v>
      </c>
      <c r="AN241" s="2">
        <f t="shared" si="21"/>
        <v>20</v>
      </c>
      <c r="AO241" s="2">
        <f>MROUND(IF(AND(_xlfn.XLOOKUP(B241,'Base stats'!B:B,'Base stats'!C:C)&gt;=0.5,_xlfn.XLOOKUP(B241,'Base stats'!B:B,'Base stats'!C:C)&lt;=0.8),
IF(_xlfn.XLOOKUP(B241,'Base stats'!B:B,'Base stats'!C:C)&lt;0.1,0.05,IF(_xlfn.XLOOKUP(B241,'Base stats'!B:B,'Base stats'!C:C)&lt;=70,(_xlfn.XLOOKUP(B241,'Base stats'!B:B,'Base stats'!C:C)/70)^0.426489913056526,IF(_xlfn.XLOOKUP(B241,'Base stats'!B:B,'Base stats'!C:C)&lt;=400,(_xlfn.XLOOKUP(B241,'Base stats'!B:B,'Base stats'!C:C)/70)^0.572811455315093,IF(_xlfn.XLOOKUP(B241,'Base stats'!B:B,'Base stats'!C:C)&lt;=2000,2.71391647193063*(_xlfn.XLOOKUP(B241,'Base stats'!B:B,'Base stats'!C:C)/400)^0.252459582904293,3.74314280240376*(_xlfn.XLOOKUP(B241,'Base stats'!B:B,'Base stats'!C:C)/2000)^0.357012633876913)))),
IF(_xlfn.XLOOKUP(B241,'Base stats'!B:B,'Base stats'!C:C)&lt;0.1,0.05,IF(_xlfn.XLOOKUP(B241,'Base stats'!B:B,'Base stats'!C:C)&lt;0.4,0.1,IF(_xlfn.XLOOKUP(B241,'Base stats'!B:B,'Base stats'!C:C)&lt;=70,(_xlfn.XLOOKUP(B241,'Base stats'!B:B,'Base stats'!C:C)/70)^0.445823913056526,IF(_xlfn.XLOOKUP(B241,'Base stats'!B:B,'Base stats'!C:C)&lt;=400,(_xlfn.XLOOKUP(B241,'Base stats'!B:B,'Base stats'!C:C)/70)^0.572811455315093,IF(_xlfn.XLOOKUP(B241,'Base stats'!B:B,'Base stats'!C:C)&lt;=2000,2.71391647193063*(_xlfn.XLOOKUP(B241,'Base stats'!B:B,'Base stats'!C:C)/400)^0.252459582904293,3.74314280240376*(_xlfn.XLOOKUP(B241,'Base stats'!B:B,'Base stats'!C:C)/2000)^0.357012633876913)))))),
IF(_xlfn.XLOOKUP(B241,'Base stats'!B:B,'Base stats'!C:C)&lt;0.1,0.05,IF(_xlfn.XLOOKUP(B241,'Base stats'!B:B,'Base stats'!C:C)&lt;=100,0.05,IF(_xlfn.XLOOKUP(B241,'Base stats'!B:B,'Base stats'!C:C)&lt;=250,0.1,IF(_xlfn.XLOOKUP(B241,'Base stats'!B:B,'Base stats'!C:C)&lt;=4000,0.25,0.5)))))</f>
        <v>0.75</v>
      </c>
      <c r="AP241" s="8">
        <f>MROUND(AO241*_xlfn.XLOOKUP(_xlfn.XLOOKUP(B241,'Base stats'!B:B,'Base stats'!E:E),Groups!A:A,Groups!AI:AI)*_xlfn.XLOOKUP(B241,'Base stats'!B:B,'Base stats'!Z:Z),0.05)</f>
        <v>0.75</v>
      </c>
      <c r="AQ241" s="8">
        <f>MAX(0.01,MROUND(IF(CC241="True",0.196*(AO241*100*1000)^0.889,IF(_xlfn.XLOOKUP(_xlfn.XLOOKUP(B241,'Base stats'!B:B,'Base stats'!E:E),Groups!A:A,Groups!AJ:AJ)="Bird",10.5*(AO241*100*1000)^0.681,4.82*(AO241*100*1000)^0.734))/(4.82*(1*100*1000)^0.734)/IF(AO241&lt;3.5,2,IF(AO241=3.5,1.5,1.25))*(1+0.132282374779864/(AO241^0.994035016789033+0.00905238001496948)),0.05))</f>
        <v>0.1</v>
      </c>
      <c r="AR241" s="9">
        <f>IFERROR(MROUND(_xlfn.XLOOKUP(B241,'Base stats'!B:B,'Base stats'!H:H)/IF(_xlfn.XLOOKUP(B241,'Base stats'!B:B,'Base stats'!I:I)&lt;&gt;1,(122.5/70),1.2),IF(_xlfn.XLOOKUP(B241,'Base stats'!B:B,'Base stats'!H:H)&gt;=30,5,IF(_xlfn.XLOOKUP(B241,'Base stats'!B:B,'Base stats'!H:H)&gt;=15,3,IF(_xlfn.XLOOKUP(B241,'Base stats'!B:B,'Base stats'!H:H)&gt;=10,2,1)))),"Immortal")</f>
        <v>10</v>
      </c>
      <c r="AS241" s="35" t="str">
        <f>IFERROR(IF(OR(_xlfn.XLOOKUP(B241,'Base stats'!B:B,'Base stats'!F:F)="Atypical reproduction",_xlfn.XLOOKUP(B241,'Base stats'!B:B,'Base stats'!F:F)="Lay eggs"),"Lay eggs",MIN(20,MAX(5.5,ROUND(((_xlfn.XLOOKUP(B241,'Base stats'!B:B,'Base stats'!F:F)-25)*(14.5/615) + 5.5)*2,0)/2))),"Unknown")</f>
        <v>Lay eggs</v>
      </c>
      <c r="AT241" s="8">
        <f>IF(_xlfn.XLOOKUP(B241,'Base stats'!B:B,'Base stats'!G:G)="Atypical reproduction","No",IFERROR(MAX(IF(_xlfn.XLOOKUP(B241,'Base stats'!B:B,'Base stats'!G:G)&lt;0.5,0.2,0.3),MROUND(_xlfn.XLOOKUP(B241,'Base stats'!B:B,'Base stats'!G:G)/(365/60),0.2)),"Unknown"))</f>
        <v>0.3</v>
      </c>
      <c r="AU241" s="8">
        <f t="shared" si="22"/>
        <v>0.15000000000000002</v>
      </c>
      <c r="AV241" s="8" t="str">
        <f>IFERROR(IFERROR(MROUND(_xlfn.XLOOKUP(B241,'Base stats'!B:B,'Base stats'!J:J),0.1),"Lay eggs"),"Cannot breed")</f>
        <v>Lay eggs</v>
      </c>
      <c r="AW241" s="2" t="str">
        <f t="shared" si="23"/>
        <v>false</v>
      </c>
      <c r="AX241" s="2" t="str">
        <f>IF(_xlfn.XLOOKUP(_xlfn.XLOOKUP(Animals!B241,'Base stats'!B:B,'Base stats'!E:E),Groups!A:A,Groups!AK:AK)=1,"true","false")</f>
        <v>false</v>
      </c>
      <c r="AY241" s="25" t="str">
        <f>IF(_xlfn.XLOOKUP(B241,'Base stats'!B:B,'Base stats'!Y:Y)="Liquor","Liquor, CarnivoreAnimalStrict",IF(AND(_xlfn.XLOOKUP(B241,'Base stats'!B:B,'Base stats'!Y:Y)="Carnivore",_xlfn.XLOOKUP(_xlfn.XLOOKUP(B241,'Base stats'!B:B,'Base stats'!E:E),Groups!A:A,Groups!AJ:AJ)="Photonozoa"),"CarnivoreAnimalStrict, OvivoreAnimal",IF(_xlfn.XLOOKUP(B241,'Base stats'!B:B,'Base stats'!Y:Y)="Carnivore","CarnivoreAnimal, OvivoreAnimal",IF(_xlfn.XLOOKUP(B241,'Base stats'!B:B,'Base stats'!Y:Y)="Dendrovore","VegetarianRoughAnimal, DendrovoreAnimal",IF(_xlfn.XLOOKUP(B241,'Base stats'!B:B,'Base stats'!Y:Y)="Herbivore","VegetarianRoughAnimal",IF(_xlfn.XLOOKUP(B241,'Base stats'!B:B,'Base stats'!Y:Y)="OmnivoreRough","OmnivoreRoughAnimal, OvivoreAnimal","OmnivoreAnimal, OvivoreAnimal"))))))</f>
        <v>OmnivoreAnimal, OvivoreAnimal</v>
      </c>
      <c r="AZ241" s="2" t="str">
        <f>IF(_xlfn.XLOOKUP(_xlfn.XLOOKUP(B241,'Base stats'!B:B,'Base stats'!E:E),Groups!A:A,Groups!D:D)=1,MROUND((1-J241)*5+1,2)*IF(J241&lt;=0.4,2,1),"No")</f>
        <v>No</v>
      </c>
      <c r="BA241" s="2" t="str">
        <f>IF(AND(_xlfn.XLOOKUP(B241,'Base stats'!B:B,'Base stats'!AH:AH)="&lt;li&gt;Seal&lt;/li&gt;",G241="Odyssey"),"&lt;li&gt;AEXP_Seal&lt;/li&gt;",_xlfn.XLOOKUP(B241,'Base stats'!B:B,'Base stats'!AH:AH))</f>
        <v>&lt;li&gt;Megaspider&lt;/li&gt;</v>
      </c>
      <c r="BB241" s="2" t="str">
        <f>_xlfn.XLOOKUP(B241,'Base stats'!B:B,'Base stats'!AG:AG)</f>
        <v>Leather_Chitin</v>
      </c>
      <c r="BC241" s="23" t="str">
        <f>_xlfn.XLOOKUP(_xlfn.XLOOKUP(B241,'Base stats'!B:B,'Base stats'!E:E),Groups!A:A,Groups!AL:AL)</f>
        <v>ScorpionLike</v>
      </c>
      <c r="BD241" s="23">
        <f>MIN(1,MROUND(IF(AND(AO241&lt;0.5,_xlfn.XLOOKUP(B241,'Base stats'!B:B,'Base stats'!AA:AA)=0),0,IF(OR(_xlfn.XLOOKUP(Animals!B241,'Base stats'!B:B,'Base stats'!O:O)=2,_xlfn.XLOOKUP(_xlfn.XLOOKUP(B241,'Base stats'!B:B,'Base stats'!E:E),Groups!A:A,Groups!AN:AN)=0),0,_xlfn.XLOOKUP(_xlfn.XLOOKUP(B241,'Base stats'!B:B,'Base stats'!E:E),Groups!A:A,Groups!AN:AN)/IF(_xlfn.XLOOKUP(Animals!B241,'Base stats'!B:B,'Base stats'!O:O)=1,2,1)))+_xlfn.XLOOKUP(B241,'Base stats'!B:B,'Base stats'!AC:AC),0.005))</f>
        <v>0.1</v>
      </c>
      <c r="BE241" s="23">
        <f>MIN(1,MROUND(IF(AND(AO241&lt;0.5,_xlfn.XLOOKUP(B241,'Base stats'!B:B,'Base stats'!AA:AA)=0),0,IF(_xlfn.XLOOKUP(_xlfn.XLOOKUP(B241,'Base stats'!B:B,'Base stats'!E:E),Groups!A:A,Groups!AO:AO)=0,0,_xlfn.XLOOKUP(_xlfn.XLOOKUP(B241,'Base stats'!B:B,'Base stats'!E:E),Groups!A:A,Groups!AO:AO)/IF(_xlfn.XLOOKUP(Animals!B241,'Base stats'!B:B,'Base stats'!O:O)=2,3,1)))+_xlfn.XLOOKUP(B241,'Base stats'!B:B,'Base stats'!AD:AD),0.005))</f>
        <v>1</v>
      </c>
      <c r="BF241" s="2" t="str">
        <f>IF(J241&gt;0.3,"No",_xlfn.XLOOKUP(_xlfn.XLOOKUP(Animals!B241,'Base stats'!B:B,'Base stats'!E:E),Groups!A:A,Groups!AP:AP))</f>
        <v>No</v>
      </c>
      <c r="BG241" s="2" t="str">
        <f>IF(AND(J241&lt;=0.65,_xlfn.XLOOKUP(_xlfn.XLOOKUP(Animals!B241,'Base stats'!B:B,'Base stats'!E:E),Groups!A:A,Groups!AP:AP)&lt;&gt;"No",_xlfn.XLOOKUP(_xlfn.XLOOKUP(B241,'Base stats'!B:B,'Base stats'!E:E),Groups!A:A,Groups!D:D)=0),MROUND((80/3)*IF(_xlfn.XLOOKUP(B241,'Base stats'!B:B,'Base stats'!O:O)=2,0.2,AO241) + 24*(1-IF(BF241="No",0,BF241)) + 16/3, 12),"No")</f>
        <v>No</v>
      </c>
      <c r="BH241" s="2">
        <f>IF(AND(_xlfn.XLOOKUP(_xlfn.XLOOKUP(B241,'Base stats'!B:B,'Base stats'!E:E),Groups!A:A,Groups!AQ:AQ)=1,AO241&lt;=0.35),8,12)</f>
        <v>12</v>
      </c>
      <c r="BI241" s="2" t="str">
        <f>IF(_xlfn.XLOOKUP(_xlfn.XLOOKUP(B241,'Base stats'!B:B,'Base stats'!E:E),Groups!A:A,Groups!D:D)=0,_xlfn.XLOOKUP(_xlfn.XLOOKUP(B241,'Base stats'!B:B,'Base stats'!E:E),Groups!A:A,Groups!AR:AR),"None")</f>
        <v>Intermediate</v>
      </c>
      <c r="BJ241" s="2" t="str">
        <f>IF(AND(_xlfn.XLOOKUP(_xlfn.XLOOKUP(B241,'Base stats'!B:B,'Base stats'!E:E),Groups!A:A,Groups!AS:AS)=1,OR(_xlfn.XLOOKUP(B241,'Base stats'!B:B,'Base stats'!Y:Y)="Carnivore",_xlfn.XLOOKUP(B241,'Base stats'!B:B,'Base stats'!Y:Y)="Omnivore")),"true","false")</f>
        <v>true</v>
      </c>
      <c r="BK241" s="2">
        <f>IF(BJ241="true",MROUND(IF(AND(AO241&gt;0.5,OR(_xlfn.XLOOKUP(_xlfn.XLOOKUP(B241,'Base stats'!B:B,'Base stats'!E:E),Groups!A:A,Groups!AJ:AJ)="Photonozoa",_xlfn.XLOOKUP(_xlfn.XLOOKUP(B241,'Base stats'!B:B,'Base stats'!E:E),Groups!A:A,Groups!AJ:AJ)="Mammal")),Animals!AO241*1.75*IF(AW241="true",1.5,1),IF(AO241&lt;0.5,Animals!AO241*0.5,Animals!AO241)),IF(AO241&gt;2,0.5,IF(AO241&gt;0.5,0.25,0.1))),"No")</f>
        <v>0.75</v>
      </c>
      <c r="BL241" s="2">
        <f t="shared" si="24"/>
        <v>1</v>
      </c>
      <c r="BM241" s="25" t="str">
        <f>IF(_xlfn.XLOOKUP(B241,'Base stats'!B:B,'Base stats'!AN:AN)="Standard","No",MROUND((_xlfn.XLOOKUP(B241,'Base stats'!B:B,'Base stats'!AN:AN)/3.6)/I241,0.1))</f>
        <v>No</v>
      </c>
      <c r="BN241" s="25" t="str">
        <f t="shared" si="25"/>
        <v>false</v>
      </c>
      <c r="BO241" s="25" t="str">
        <f>IF(AND(OR(_xlfn.XLOOKUP(B241,'Base stats'!B:B,'Base stats'!Y:Y)="Carnivore",_xlfn.XLOOKUP(B241,'Base stats'!B:B,'Base stats'!Y:Y)="Omnivore",_xlfn.XLOOKUP(B241,'Base stats'!B:B,'Base stats'!Y:Y)="OmnivoreRough"),_xlfn.XLOOKUP(_xlfn.XLOOKUP(B241,'Base stats'!B:B,'Base stats'!E:E),Groups!A:A,Groups!AT:AT)=1),"true","false")</f>
        <v>false</v>
      </c>
      <c r="BP241" s="25" t="str" cm="1">
        <f t="array" ref="BP241">IF(
  _xlfn.TEXTJOIN(", ",TRUE,
    IF(AND(BJ241="true",AO241&gt;0.5,BI241&lt;&gt;"None"),"AttackTarget",""),
    IF(AND(_xlfn.XLOOKUP(_xlfn.XLOOKUP(B241,'Base stats'!B:B,'Base stats'!E:E),Groups!A:A,Groups!AJ:AJ="Mammal"),OR(_xlfn.XLOOKUP(B241,'Base stats'!B:B,'Base stats'!Y:Y)="Omnivore",_xlfn.XLOOKUP(B241,'Base stats'!B:B,'Base stats'!Y:Y)="OmnivoreRough")),"Forage",""),
    IF(BG241&lt;=36,"Comfort",""),
    IF(_xlfn.XLOOKUP(B241,'Base stats'!B:B,'Base stats'!AE:AE)&lt;&gt;"No",_xlfn.XLOOKUP(B241,'Base stats'!B:B,'Base stats'!AE:AE),"")
  ) = "",
  "No",
  _xlfn.TEXTJOIN(", ",TRUE,
    IF(AND(BJ241="true",AO241&gt;0.5,BI241&lt;&gt;"None"),"AttackTarget",""),
    IF(AND(_xlfn.XLOOKUP(_xlfn.XLOOKUP(B241,'Base stats'!B:B,'Base stats'!E:E),Groups!A:A,Groups!AJ:AJ="Mammal"),OR(_xlfn.XLOOKUP(B241,'Base stats'!B:B,'Base stats'!Y:Y)="Omnivore",_xlfn.XLOOKUP(B241,'Base stats'!B:B,'Base stats'!Y:Y)="OmnivoreRough")),"Forage",""),
    IF(BG241&lt;=36,"Comfort",""),
    IF(_xlfn.XLOOKUP(B241,'Base stats'!B:B,'Base stats'!AE:AE)&lt;&gt;"No",_xlfn.XLOOKUP(B241,'Base stats'!B:B,'Base stats'!AE:AE),"")
  )
)</f>
        <v>AttackTarget</v>
      </c>
      <c r="BQ241" s="25" t="str">
        <f>IF(
   AND(
      'Base stats'!AN241="Standard",_xlfn.XLOOKUP(_xlfn.XLOOKUP(B241,'Base stats'!B:B,'Base stats'!E:E),Groups!A:A,Groups!AU:AU)=0,
      OR(
      BO241="True"
      )
   ),
   10,
   IF(
       OR(BM241&lt;&gt;"No",_xlfn.XLOOKUP(_xlfn.XLOOKUP(B241,'Base stats'!B:B,'Base stats'!E:E),Groups!A:A,Groups!AU:AU)=1),
      1,
      "No"
   )
)</f>
        <v>No</v>
      </c>
      <c r="BR241" s="9">
        <f>MROUND((1 + ((0.2*IF(OR(Q241="No",R241="No",R241=0),0,Q241/R241)
+IF(OR(V241="No",S241="No",T241="No"),0,S241/T241*(LEN(V241)-LEN(SUBSTITUTE(V241,",",""))+1))
+IF(OR(X241="No",Y241="No"),0,X241/Y241)
+IF(OR(AD241="No",AE241="No"),0,AD241/AE241)
+IF(OR(AL241="No",AI241="No",AJ241="No"),0,AI241/AJ241*(LEN(AL241)-LEN(SUBSTITUTE(AL241,",",""))+1))
)/(0.2*IF(OR(Q241="No",R241="No",R241=0),0,1)
+IF(OR(V241="No",S241="No",T241="No"),0,LEN(V241)-LEN(SUBSTITUTE(V241,",",""))+1)
+IF(OR(X241="No",Y241="No"),0,1)
+IF(OR(AD241="No",AE241="No"),0,1)
+IF(OR(AL241="No",AI241="No",AJ241="No"),0,LEN(AL241)-LEN(SUBSTITUTE(AL241,",",""))+1))*62%)* 2)*(1 + (AP241 / (IF(_xlfn.XLOOKUP(_xlfn.XLOOKUP(B241,'Base stats'!B:B,'Base stats'!E:E),Groups!A:A,Groups!AJ:AJ)="Photonozoa",0.3,1)) + _xlfn.XLOOKUP(B241,'Base stats'!B:B,'Base stats'!AV:AV) * 1.8) * 2) * 2.5 + 10 + I241 * 2,5)+IF(_xlfn.XLOOKUP(B241,'Base stats'!B:B,'Base stats'!AK:AK)=1,50,0)</f>
        <v>130</v>
      </c>
      <c r="BS241" s="8">
        <f t="shared" si="26"/>
        <v>0.25</v>
      </c>
      <c r="BT241" s="8" t="str">
        <f>_xlfn.XLOOKUP(B241,'Base stats'!B:B,'Base stats'!AF:AF)</f>
        <v>No</v>
      </c>
      <c r="BU241" s="2" t="str">
        <f>IF(AND(J241&lt;=0.95,OR(_xlfn.XLOOKUP(B241,'Base stats'!B:B,'Base stats'!AK:AK)=1,_xlfn.XLOOKUP(B241,'Base stats'!B:B,'Base stats'!Y:Y)="Carnivore",_xlfn.XLOOKUP(B241,'Base stats'!B:B,'Base stats'!Y:Y)="Omnivore",BE241&gt;0.1)),"true","false")</f>
        <v>true</v>
      </c>
      <c r="BV241" s="2" t="str">
        <f>IF(_xlfn.XLOOKUP(B241,'Base stats'!B:B,'Base stats'!AI:AI)=1,"true","false")</f>
        <v>false</v>
      </c>
      <c r="BW241" s="25" t="str">
        <f>IF(E241="BaseInsect","AnimalInsect",
IF(J241&gt;0.95,"AnimalExotic",
_xlfn.TEXTJOIN(", ",TRUE,
IF(OR(_xlfn.XLOOKUP(B241,'Base stats'!B:B,'Base stats'!AM:AM)=1,AND(_xlfn.XLOOKUP(B241,'Base stats'!B:B,'Base stats'!O:O)=0,_xlfn.XLOOKUP(_xlfn.XLOOKUP(B241,'Base stats'!B:B,'Base stats'!E:E),Groups!A:A,Groups!B:B)&gt;0)),"AnimalUncommon","AnimalCommon"),
IF(AND(_xlfn.XLOOKUP(B241,'Base stats'!B:B,'Base stats'!O:O)=2,_xlfn.XLOOKUP(_xlfn.XLOOKUP(B241,'Base stats'!B:B,'Base stats'!E:E),Groups!A:A,Groups!D:D)=0),"AnimalPet",IF(AND(_xlfn.XLOOKUP(B241,'Base stats'!B:B,'Base stats'!O:O)&lt;&gt;0,_xlfn.XLOOKUP(_xlfn.XLOOKUP(B241,'Base stats'!B:B,'Base stats'!E:E),Groups!A:A,Groups!D:D)&lt;&gt;0),"AnimalFarm","")),
IF(OR(_xlfn.XLOOKUP(B241,'Base stats'!B:B,'Base stats'!AK:AK)=1,AND(BI241&lt;&gt;"None",BR241&gt;=60),ISNUMBER(SEARCH("Attack target",BP241))),"AnimalFighter","")
)))</f>
        <v>AnimalUncommon, AnimalFighter</v>
      </c>
      <c r="BX241" s="25" t="str">
        <f>IF(G241="None",TRIM(
SUBSTITUTE(
IF(COUNTIF(Biomes!B$2:B$259,"="&amp;$C241)&gt;0,Biomes!B$1&amp;", ","")&amp;
IF(COUNTIF(Biomes!C$2:C$259,"="&amp;$C241)&gt;0,Biomes!C$1&amp;", ","")&amp;
IF(COUNTIF(Biomes!D$2:D$259,"="&amp;$C241)&gt;0,Biomes!D$1&amp;", ","")&amp;
IF(COUNTIF(Biomes!F$2:F$259,"="&amp;$C241)&gt;0,Biomes!F$1&amp;", ","")&amp;
IF(COUNTIF(Biomes!G$2:G$259,"="&amp;$C241)&gt;0,Biomes!G$1&amp;", ","")&amp;
IF(COUNTIF(Biomes!H$2:H$259,"="&amp;$C241)&gt;0,Biomes!H$1&amp;", ","")&amp;
IF(COUNTIF(Biomes!I$2:I$259,"="&amp;$C241)&gt;0,Biomes!I$1&amp;", ","")&amp;
IF(COUNTIF(Biomes!J$2:J$259,"="&amp;$C241)&gt;0,Biomes!J$1&amp;", ","")&amp;
IF(COUNTIF(Biomes!M$2:M$259,"="&amp;$C241)&gt;0,Biomes!M$1&amp;", ","")&amp;
IF(COUNTIF(Biomes!N$2:N$259,"="&amp;$C241)&gt;0,Biomes!N$1&amp;", ","")&amp;
IF(COUNTIF(Biomes!O$2:O$259,"="&amp;$C241)&gt;0,Biomes!O$1&amp;", ","")&amp;
IF(COUNTIF(Biomes!P$2:P$259,"="&amp;$C241)&gt;0,Biomes!P$1&amp;", ","")&amp;
IF(COUNTIF(Biomes!K$2:K$259,"="&amp;$C241)&gt;0,Biomes!K$1&amp;", ","")&amp;
IF(COUNTIF(Biomes!Q$3:Q$259,"="&amp;$C241)&gt;0,Biomes!Q$1&amp;", ","")&amp;
IF(COUNTIF(Biomes!L$2:L$259,"="&amp;$C241)&gt;0,Biomes!L$1&amp;", ","")&amp;
IF(COUNTIF(Biomes!E$2:E$259,"="&amp;$C241)&gt;0,Biomes!E$1&amp;", ","")&amp;IF(COUNTIF(Biomes!S$2:S$259,"="&amp;$C241)&gt;0,Biomes!S$1&amp;", ","")&amp;
IF(COUNTIF(Biomes!R$2:R$259,"="&amp;$C241)&gt;0,Biomes!R$1&amp;", ",""),", ","")
),_xlfn.XLOOKUP(B241,B:B,BX:BX))</f>
        <v/>
      </c>
      <c r="BY241" s="25" t="str">
        <f>IF(_xlfn.XLOOKUP(B241,'Base stats'!B:B,'Base stats'!AJ:AJ)=1,"true","false")</f>
        <v>false</v>
      </c>
      <c r="BZ241" s="25">
        <f>IF(_xlfn.XLOOKUP(B241,'Base stats'!B:B,'Base stats'!N:N)=1,"No",MAX(0.001,MIN(MROUND(IF(AND(BJ241="True",CC241="False"),POWER(10,3.47*LOG10(_xlfn.XLOOKUP(B241,'Base stats'!B:B,'Base stats'!C:C)*1000)^-0.96),POWER(10,4.15*LOG10(_xlfn.XLOOKUP(B241,'Base stats'!B:B,'Base stats'!C:C)*1000)^-0.73))*IF(_xlfn.XLOOKUP(B241,'Base stats'!B:B,'Base stats'!AK:AK)=1,0.5,1)*IF(_xlfn.XLOOKUP(B241,'Base stats'!B:B,'Base stats'!AM:AM)=1,0.1,1)/100,IF(_xlfn.XLOOKUP(B241,'Base stats'!B:B,'Base stats'!AM:AM)=1,0.001,0.025)),0.5)))</f>
        <v>2.4E-2</v>
      </c>
      <c r="CA241" s="25" t="str">
        <f>IF(P241="Standard","No",MAX(0.001,MIN(MROUND(IF(AND(BJ241="True",CC241="False"),POWER(10,3.47*LOG10(_xlfn.XLOOKUP(B241,'Base stats'!B:B,'Base stats'!C:C)*1000)^-0.96),POWER(10,4.15*LOG10(_xlfn.XLOOKUP(B241,'Base stats'!B:B,'Base stats'!C:C)*1000)^-0.73))*IF(_xlfn.XLOOKUP(B241,'Base stats'!B:B,'Base stats'!AM:AM)=1,0.1,1)*_xlfn.XLOOKUP(B241,'Base stats'!B:B,'Base stats'!R:R)/100,IF(_xlfn.XLOOKUP(B241,'Base stats'!B:B,'Base stats'!AM:AM)=1,0.001,0.025)),0.5)))</f>
        <v>No</v>
      </c>
      <c r="CB241" s="25" t="str">
        <f>IF(_xlfn.XLOOKUP(_xlfn.XLOOKUP(B241,'Base stats'!B:B,'Base stats'!E:E),Groups!A:A,Groups!AJ:AJ)="Mammal","True","False")</f>
        <v>False</v>
      </c>
      <c r="CC241" s="25" t="str">
        <f>IF(OR(_xlfn.XLOOKUP(_xlfn.XLOOKUP(B241,'Base stats'!B:B,'Base stats'!E:E),Groups!A:A,Groups!AJ:AJ)="Reptile",_xlfn.XLOOKUP(_xlfn.XLOOKUP(B241,'Base stats'!B:B,'Base stats'!E:E),Groups!A:A,Groups!AJ:AJ)="Amphibian",_xlfn.XLOOKUP(_xlfn.XLOOKUP(B241,'Base stats'!B:B,'Base stats'!E:E),Groups!A:A,Groups!AJ:AJ)="Invertebrate"),"True","False")</f>
        <v>True</v>
      </c>
      <c r="CD241" s="25" t="str">
        <f t="shared" si="27"/>
        <v>False</v>
      </c>
      <c r="CE241" s="25" t="str">
        <f>IF(_xlfn.XLOOKUP(_xlfn.XLOOKUP(B241,'Base stats'!B:B,'Base stats'!E:E),Groups!A:A,Groups!AX:AX),"True","False")</f>
        <v>False</v>
      </c>
      <c r="CF241" s="25" t="str">
        <f>IF(_xlfn.XLOOKUP(_xlfn.XLOOKUP(B241,'Base stats'!B:B,'Base stats'!E:E),Groups!A:A,Groups!AY:AY),"True","False")</f>
        <v>False</v>
      </c>
      <c r="CG241" s="25" t="str">
        <f>IF(_xlfn.XLOOKUP(_xlfn.XLOOKUP(B241,'Base stats'!B:B,'Base stats'!E:E),Groups!A:A,Groups!AW:AW),"True","False")</f>
        <v>False</v>
      </c>
      <c r="CH241" s="25" t="str">
        <f>IF(
OR(
_xlfn.XLOOKUP(_xlfn.XLOOKUP(B241,'Base stats'!B:B,'Base stats'!E:E),Groups!A:A,Groups!AZ:AZ)=0,
AND(
_xlfn.XLOOKUP(B241,'Base stats'!B:B,'Base stats'!Y:Y)&lt;&gt;"Carnivore",
_xlfn.XLOOKUP(B241,'Base stats'!B:B,'Base stats'!Y:Y)&lt;&gt;"Omnivore",
_xlfn.XLOOKUP(B241,'Base stats'!B:B,'Base stats'!Y:Y)&lt;&gt;"OmnivoreRough"
)
),
"No",
IF(
_xlfn.XLOOKUP(_xlfn.XLOOKUP(B241,'Base stats'!B:B,'Base stats'!E:E),Groups!A:A,Groups!AZ:AZ)=1,
"Flesh",
IF(
_xlfn.XLOOKUP(_xlfn.XLOOKUP(B241,'Base stats'!B:B,'Base stats'!E:E),Groups!A:A,Groups!AZ:AZ)=2,
"Bone",
""
)
)
)</f>
        <v>No</v>
      </c>
      <c r="CI241" s="25" t="str">
        <f>IF(_xlfn.XLOOKUP(_xlfn.XLOOKUP(B241,'Base stats'!B:B,'Base stats'!E:E),Groups!A:A,Groups!BB:BB),"True","False")</f>
        <v>False</v>
      </c>
      <c r="CJ241" s="25" t="str">
        <f>IF(_xlfn.XLOOKUP(_xlfn.XLOOKUP(B241,'Base stats'!B:B,'Base stats'!E:E),Groups!A:A,Groups!BA:BA),"True","False")</f>
        <v>False</v>
      </c>
    </row>
    <row r="242" spans="1:88" ht="16.5" thickTop="1" thickBot="1" x14ac:dyDescent="0.3">
      <c r="A242" s="26" t="s">
        <v>1390</v>
      </c>
      <c r="B242" s="6" t="str">
        <f>_xlfn.XLOOKUP(A242,'Base stats'!A:A,'Base stats'!B:B)</f>
        <v>Hystrix succulentis</v>
      </c>
      <c r="C242" s="28" t="s">
        <v>1391</v>
      </c>
      <c r="D242" s="28" t="s">
        <v>1341</v>
      </c>
      <c r="E242" s="28" t="s">
        <v>673</v>
      </c>
      <c r="F242" s="28" t="s">
        <v>673</v>
      </c>
      <c r="G242" s="28" t="s">
        <v>673</v>
      </c>
      <c r="H242" s="2">
        <f>MROUND((
  (IF(AND(_xlfn.XLOOKUP(B242,'Base stats'!B:B,'Base stats'!AL:AL)=0,BI242="None",_xlfn.XLOOKUP(_xlfn.XLOOKUP(B242,'Base stats'!B:B,'Base stats'!E:E),Groups!A:A,Groups!B:B)=0), (18 + BR242 * 2.7) * 0.5,
    IF(AND(_xlfn.XLOOKUP(B242,'Base stats'!B:B,'Base stats'!AL:AL)=0,OR(AO242&lt;0.55,AND(BI242="Intermediate",_xlfn.XLOOKUP(_xlfn.XLOOKUP(B242,'Base stats'!B:B,'Base stats'!E:E),Groups!A:A,Groups!B:B)&lt;2))), (18 + BR242 * 2.7),
      IF(OR(BI242="Advanced",_xlfn.XLOOKUP(B242,'Base stats'!B:B,'Base stats'!AL:AL)=1,_xlfn.XLOOKUP(_xlfn.XLOOKUP(B242,'Base stats'!B:B,'Base stats'!E:E),Groups!A:A,Groups!B:B)=2), (18 + BR242 * 2.7) + 250, (18 + BR242 * 2.7))
    )
  ))
  + AO242 * 80
  + IF(COUNTIF(EggMilk!K$2:K$998, A242) &gt; 0, 125, 0)
  + IF(COUNTIF(EggMilk!P$2:P$998, A242) &gt; 0, 90, 0)
  + IF(COUNTIF(EggMilk!A$2:A$998, A242) &gt; 0, 90, 0)
)
* (0.8 + 0.4 * J242)
* 0.75,25)</f>
        <v>75</v>
      </c>
      <c r="I242" s="2">
        <f>MROUND(ROUNDDOWN(_xlfn.XLOOKUP(B242,'Base stats'!B:B,'Base stats'!L:L)/3.6/(23.3/11),1),0.5)</f>
        <v>3.5</v>
      </c>
      <c r="J242" s="2">
        <f>IF(OR(_xlfn.XLOOKUP(B242,'Base stats'!B:B,'Base stats'!AB:AB)=1,_xlfn.XLOOKUP(_xlfn.XLOOKUP(B242,'Base stats'!B:B,'Base stats'!E:E),Groups!A:A,Groups!C:C)="Untamable"),1,IF(_xlfn.XLOOKUP(B242,'Base stats'!B:B,'Base stats'!AL:AL)=1,0.99,MIN(MROUND((1-0.6282*EXP(-0.459*AO242))*_xlfn.XLOOKUP(_xlfn.XLOOKUP(B242,'Base stats'!B:B,'Base stats'!E:E),Groups!A:A,Groups!C:C)*IF(_xlfn.XLOOKUP(B242,'Base stats'!B:B,'Base stats'!O:O)=1,0.5,IF(_xlfn.XLOOKUP(B242,'Base stats'!B:B,'Base stats'!O:O)=2,0,1)),0.05),IF(AO242&gt;3.5,0.985,0.95))))</f>
        <v>0.60000000000000009</v>
      </c>
      <c r="K242" s="2">
        <f>ROUNDUP(AO242*_xlfn.XLOOKUP(_xlfn.XLOOKUP(B242,'Base stats'!B:B,'Base stats'!E:E),Groups!A:A,Groups!E:E),0)</f>
        <v>1</v>
      </c>
      <c r="L242" s="2">
        <f>IF(OR(_xlfn.XLOOKUP(_xlfn.XLOOKUP(B242,'Base stats'!B:B,'Base stats'!E:E),Groups!A:A,Groups!F:F)=2,ISNUMBER(SEARCH("SeaIce",BX242)),ISNUMBER(SEARCH("IceSheet",BX242))),-50,IF(OR(ISNUMBER(SEARCH("GlacialPlain",BX242)),ISNUMBER(SEARCH("Tundra",BX242))),-40,IF(OR(ISNUMBER(SEARCH("Alpine",BX242)),ISNUMBER(SEARCH("BorealForest",BX242)),ISNUMBER(SEARCH("ColdBog",BX242))),-30,IF(OR(ISNUMBER(SEARCH("TemperateForest",BX242)),ISNUMBER(SEARCH("TemperateSwamp",BX242))),-20,IF(_xlfn.XLOOKUP(_xlfn.XLOOKUP(B242,'Base stats'!B:B,'Base stats'!E:E),Groups!A:A,Groups!F:F)=1,-15,IF(OR(ISNUMBER(SEARCH("Desert",BX242)),ISNUMBER(SEARCH("ExtremeDesert",BX242))),-10,IF(OR(ISNUMBER(SEARCH("Grasslands",BX242)),ISNUMBER(SEARCH("TropicalRainforest",BX242)),ISNUMBER(SEARCH("TropicalSwamp",BX242))),10,0)))))))-IF(CC242="False",MIN(IFERROR(MAX(MROUND(LOG10(_xlfn.XLOOKUP(B242,'Base stats'!B:B,'Base stats'!C:C)^(2/3))*10,5),5),5),30))-_xlfn.XLOOKUP(B242,'Base stats'!B:B,'Base stats'!P:P)+IF(CC242="True",5,0)</f>
        <v>-15</v>
      </c>
      <c r="M242" s="2">
        <f>IF(OR(_xlfn.XLOOKUP(_xlfn.XLOOKUP(B242,'Base stats'!B:B,'Base stats'!E:E),Groups!A:A,Groups!G:G)=2,ISNUMBER(SEARCH("Desert",BX242)),ISNUMBER(SEARCH("ExtremeDesert",BX242)),ISNUMBER(SEARCH("LavaField",BX242))),50,IF(ISNUMBER(SEARCH("Grasslands",BX242)),45,IF(OR(_xlfn.XLOOKUP(_xlfn.XLOOKUP(B242,'Base stats'!B:B,'Base stats'!E:E),Groups!A:A,Groups!G:G)=1,ISNUMBER(SEARCH("TropicalRainforest",BX242)),ISNUMBER(SEARCH("TropicalSwamp",BX242))),40,IF(OR(ISNUMBER(SEARCH("TemperateForest",BX242)),ISNUMBER(SEARCH("TemperateSwamp",BX242))),35,IF(OR(ISNUMBER(SEARCH("Alpine",BX242)),ISNUMBER(SEARCH("BorealForest",BX242)),ISNUMBER(SEARCH("ColdBog",BX242))),30,IF(ISNUMBER(OR(ISNUMBER(SEARCH("GlacialPlain",BX242)),SEARCH("Tundra",BX242))),25,IF(OR(ISNUMBER(SEARCH("SeaIce",BX242)),ISNUMBER(SEARCH("IceSheet",BX242)),ISNUMBER(SEARCH("TropicalSwamp",BX242))),10,35)))))))+_xlfn.XLOOKUP(B242,'Base stats'!B:B,'Base stats'!Q:Q)</f>
        <v>50</v>
      </c>
      <c r="N242" s="8" t="str">
        <f>IF(
_xlfn.XLOOKUP(
_xlfn.XLOOKUP(B242,'Base stats'!B:B,'Base stats'!E:E),
Groups!A:A,
Groups!L:L
)=1,
MIN(
MROUND(
IF(
_xlfn.XLOOKUP(B242,'Animals CE'!B:B,'Animals CE'!Z:Z)&lt;=1.5,
_xlfn.XLOOKUP(B242,'Animals CE'!B:B,'Animals CE'!Z:Z)/2+0.05,
0.8+
(_xlfn.XLOOKUP(B242,'Animals CE'!B:B,'Animals CE'!Z:Z)-1.5)
*0.02
),
0.05
),
200%
),
"No"
)</f>
        <v>No</v>
      </c>
      <c r="O242" s="8" t="str">
        <f>IF(
_xlfn.XLOOKUP(
_xlfn.XLOOKUP(B242,'Base stats'!B:B,'Base stats'!E:E),
Groups!A:A,
Groups!L:L
)=1,
MIN(
MROUND(
IF(
_xlfn.XLOOKUP(B242,'Animals CE'!B:B,'Animals CE'!AA:AA)&lt;=1.5,
_xlfn.XLOOKUP(B242,'Animals CE'!B:B,'Animals CE'!AA:AA)/2+0.05,
0.8+
(_xlfn.XLOOKUP(B242,'Animals CE'!B:B,'Animals CE'!AA:AA)-1.5)
*0.02
),
0.05
),
200%
),
"No"
)</f>
        <v>No</v>
      </c>
      <c r="P242" s="2" t="str">
        <f>_xlfn.XLOOKUP(B242,'Base stats'!B:B,'Base stats'!R:R)</f>
        <v>Standard</v>
      </c>
      <c r="Q242" s="13">
        <f>MROUND((LOG10(_xlfn.XLOOKUP(B242,'Base stats'!B:B,'Base stats'!AR:AR))*(AO242^0.5)+(_xlfn.XLOOKUP(B242,'Base stats'!B:B,'Base stats'!AR:AR)/1000)^(2/3)+_xlfn.XLOOKUP(B242,'Base stats'!B:B,'Base stats'!BA:BA)/2)+0.5,0.5)</f>
        <v>3.5</v>
      </c>
      <c r="R242" s="7">
        <f>IF(Q242="No","No",MAX(1,MROUND(_xlfn.XLOOKUP(B242,'Base stats'!B:B,'Base stats'!C:C)^0.165,0.05)))</f>
        <v>1.4500000000000002</v>
      </c>
      <c r="S242" s="13" t="str">
        <f>IF(_xlfn.XLOOKUP(_xlfn.XLOOKUP(B242,'Base stats'!B:B,'Base stats'!E:E),Groups!A:A,Groups!P:P)=0,"No",MROUND((LOG10(_xlfn.XLOOKUP(B242,'Base stats'!B:B,'Base stats'!AS:AS))*(AO242^0.5)+(_xlfn.XLOOKUP(B242,'Base stats'!B:B,'Base stats'!AS:AS)/1000)^(2/3)+_xlfn.XLOOKUP(B242,'Base stats'!B:B,'Base stats'!BA:BA))+_xlfn.XLOOKUP(B242,'Base stats'!B:B,'Base stats'!AY:AY)+0.5,0.5))</f>
        <v>No</v>
      </c>
      <c r="T242" s="7" t="str">
        <f>IF(S242="No","No",MAX(_xlfn.XLOOKUP(_xlfn.XLOOKUP(B242,'Base stats'!B:B,'Base stats'!E:E),Groups!A:A,Groups!Q:Q),MROUND(_xlfn.XLOOKUP(_xlfn.XLOOKUP(B242,'Base stats'!B:B,'Base stats'!E:E),Groups!A:A,Groups!Q:Q)*_xlfn.XLOOKUP(B242,'Base stats'!B:B,'Base stats'!C:C)^0.165,0.05)))</f>
        <v>No</v>
      </c>
      <c r="U242" s="7" t="str">
        <f>IF(S242="No","No",_xlfn.XLOOKUP(_xlfn.XLOOKUP(B242,'Base stats'!B:B,'Base stats'!E:E),Groups!A:A,Groups!R:R))</f>
        <v>No</v>
      </c>
      <c r="V242" s="7" t="str">
        <f>IF(S242="No","No",_xlfn.XLOOKUP(_xlfn.XLOOKUP(B242,'Base stats'!B:B,'Base stats'!E:E),Groups!A:A,Groups!S:S))</f>
        <v>No</v>
      </c>
      <c r="W242" s="7" t="str">
        <f>IF(S242="No","No",_xlfn.XLOOKUP(_xlfn.XLOOKUP(B242,'Base stats'!B:B,'Base stats'!E:E),Groups!A:A,Groups!T:T))</f>
        <v>No</v>
      </c>
      <c r="X242" s="13" t="str">
        <f>IF(_xlfn.XLOOKUP(B242,'Base stats'!B:B,'Base stats'!W:W)="No","No",MROUND((LOG10(_xlfn.XLOOKUP(B242,'Base stats'!B:B,'Base stats'!AU:AU))*(AO242^0.5)+(_xlfn.XLOOKUP(B242,'Base stats'!B:B,'Base stats'!AU:AU)/1000)^(2/3)+_xlfn.XLOOKUP(B242,'Base stats'!B:B,'Base stats'!AZ:AZ))+0.5+IF(_xlfn.XLOOKUP(_xlfn.XLOOKUP(B242,'Base stats'!B:B,'Base stats'!E:E),Groups!A:A,Groups!U:U)&lt;&gt;3,_xlfn.XLOOKUP(B242,'Base stats'!B:B,'Base stats'!BA:BA),0),0.5))</f>
        <v>No</v>
      </c>
      <c r="Y242" s="7" t="str">
        <f>IF(X242="No","No",MAX(_xlfn.XLOOKUP(_xlfn.XLOOKUP(B242,'Base stats'!B:B,'Base stats'!E:E),Groups!A:A,Groups!V:V),MROUND(_xlfn.XLOOKUP(_xlfn.XLOOKUP(B242,'Base stats'!B:B,'Base stats'!E:E),Groups!A:A,Groups!V:V)*_xlfn.XLOOKUP(B242,'Base stats'!B:B,'Base stats'!C:C)^0.165,0.05)))</f>
        <v>No</v>
      </c>
      <c r="Z242" s="7" t="str">
        <f>IF(X242="No","No",_xlfn.XLOOKUP(_xlfn.XLOOKUP(B242,'Base stats'!B:B,'Base stats'!E:E),Groups!A:A,Groups!W:W))</f>
        <v>No</v>
      </c>
      <c r="AA242" s="7" t="str">
        <f>IF(X242="No","No",_xlfn.XLOOKUP(_xlfn.XLOOKUP(B242,'Base stats'!B:B,'Base stats'!E:E),Groups!A:A,Groups!X:X))</f>
        <v>No</v>
      </c>
      <c r="AB242" s="7" t="str">
        <f>IF(X242="No","No",_xlfn.XLOOKUP(_xlfn.XLOOKUP(B242,'Base stats'!B:B,'Base stats'!E:E),Groups!A:A,Groups!Y:Y))</f>
        <v>No</v>
      </c>
      <c r="AC242" s="7" t="str">
        <f>_xlfn.XLOOKUP(Animals!B242,'Base stats'!B:B,'Base stats'!X:X)</f>
        <v>False</v>
      </c>
      <c r="AD242" s="13">
        <f>IF(_xlfn.XLOOKUP(B242,'Base stats'!B:B,'Base stats'!AT:AT)="No","No",MROUND((LOG10(_xlfn.XLOOKUP(B242,'Base stats'!B:B,'Base stats'!AT:AT))*(AO242^0.75)+(_xlfn.XLOOKUP(B242,'Base stats'!B:B,'Base stats'!AT:AT)/1000)^(2/3)+_xlfn.XLOOKUP(B242,'Base stats'!B:B,'Base stats'!AX:AX)+_xlfn.XLOOKUP(B242,'Base stats'!B:B,'Base stats'!BA:BA))+0.5,0.5))</f>
        <v>7.5</v>
      </c>
      <c r="AE242" s="7">
        <f>IF(AD242="No","No",MAX(_xlfn.XLOOKUP(_xlfn.XLOOKUP(B242,'Base stats'!B:B,'Base stats'!E:E),Groups!A:A,Groups!Z:Z),MROUND(_xlfn.XLOOKUP(_xlfn.XLOOKUP(B242,'Base stats'!B:B,'Base stats'!E:E),Groups!A:A,Groups!Z:Z)*_xlfn.XLOOKUP(B242,'Base stats'!B:B,'Base stats'!C:C)^0.165,0.05)))</f>
        <v>1.4500000000000002</v>
      </c>
      <c r="AF242" s="7" t="str">
        <f>IF(AD242="No","No",_xlfn.XLOOKUP(_xlfn.XLOOKUP(B242,'Base stats'!B:B,'Base stats'!E:E),Groups!A:A,Groups!AA:AA))</f>
        <v>Teeth</v>
      </c>
      <c r="AG242" s="7" t="str">
        <f>IF(AD242="No","No",_xlfn.XLOOKUP(_xlfn.XLOOKUP(B242,'Base stats'!B:B,'Base stats'!E:E),Groups!A:A,Groups!AB:AB))</f>
        <v>Incisors</v>
      </c>
      <c r="AH242" s="7" t="str">
        <f>IF(AD242="No","No",_xlfn.XLOOKUP(_xlfn.XLOOKUP(B242,'Base stats'!B:B,'Base stats'!E:E),Groups!A:A,Groups!AC:AC))</f>
        <v>Bite</v>
      </c>
      <c r="AI242" s="13" t="str">
        <f>IF(_xlfn.XLOOKUP(_xlfn.XLOOKUP(B242,'Base stats'!B:B,'Base stats'!E:E),Groups!A:A,Groups!AD:AD)=0,"No",MROUND((LOG10(_xlfn.XLOOKUP(B242,'Base stats'!B:B,'Base stats'!AS:AS))*(AO242^0.75)+(_xlfn.XLOOKUP(B242,'Base stats'!B:B,'Base stats'!AS:AS)/1000)^(2/3)+_xlfn.XLOOKUP(B242,'Base stats'!B:B,'Base stats'!AY:AY)+_xlfn.XLOOKUP(B242,'Base stats'!B:B,'Base stats'!BA:BA))+0.5,0.5))</f>
        <v>No</v>
      </c>
      <c r="AJ242" s="7" t="str">
        <f>IF(AI242="No","No",MAX(_xlfn.XLOOKUP(_xlfn.XLOOKUP(B242,'Base stats'!B:B,'Base stats'!E:E),Groups!A:A,Groups!AE:AE),MROUND(_xlfn.XLOOKUP(_xlfn.XLOOKUP(B242,'Base stats'!B:B,'Base stats'!E:E),Groups!A:A,Groups!AE:AE)*IF(_xlfn.XLOOKUP(_xlfn.XLOOKUP(B242,'Base stats'!B:B,'Base stats'!E:E),Groups!A:A,Groups!AJ:AJ)="Photonozoa",0.6,1)*_xlfn.XLOOKUP(B242,'Base stats'!B:B,'Base stats'!C:C)^0.165,0.05)))</f>
        <v>No</v>
      </c>
      <c r="AK242" s="7" t="str">
        <f>IF(AI242="No","No",_xlfn.XLOOKUP(_xlfn.XLOOKUP(B242,'Base stats'!B:B,'Base stats'!E:E),Groups!A:A,Groups!AF:AF))</f>
        <v>No</v>
      </c>
      <c r="AL242" s="7" t="str">
        <f>IF(AI242="No","No",_xlfn.XLOOKUP(_xlfn.XLOOKUP(B242,'Base stats'!B:B,'Base stats'!E:E),Groups!A:A,Groups!AG:AG))</f>
        <v>No</v>
      </c>
      <c r="AM242" s="7" t="str">
        <f>IF(AI242="No","No",_xlfn.XLOOKUP(_xlfn.XLOOKUP(B242,'Base stats'!B:B,'Base stats'!E:E),Groups!A:A,Groups!AH:AH))</f>
        <v>No</v>
      </c>
      <c r="AN242" s="2" t="str">
        <f t="shared" si="21"/>
        <v>No</v>
      </c>
      <c r="AO242" s="2">
        <f>MROUND(IF(AND(_xlfn.XLOOKUP(B242,'Base stats'!B:B,'Base stats'!C:C)&gt;=0.5,_xlfn.XLOOKUP(B242,'Base stats'!B:B,'Base stats'!C:C)&lt;=0.8),
IF(_xlfn.XLOOKUP(B242,'Base stats'!B:B,'Base stats'!C:C)&lt;0.1,0.05,IF(_xlfn.XLOOKUP(B242,'Base stats'!B:B,'Base stats'!C:C)&lt;=70,(_xlfn.XLOOKUP(B242,'Base stats'!B:B,'Base stats'!C:C)/70)^0.426489913056526,IF(_xlfn.XLOOKUP(B242,'Base stats'!B:B,'Base stats'!C:C)&lt;=400,(_xlfn.XLOOKUP(B242,'Base stats'!B:B,'Base stats'!C:C)/70)^0.572811455315093,IF(_xlfn.XLOOKUP(B242,'Base stats'!B:B,'Base stats'!C:C)&lt;=2000,2.71391647193063*(_xlfn.XLOOKUP(B242,'Base stats'!B:B,'Base stats'!C:C)/400)^0.252459582904293,3.74314280240376*(_xlfn.XLOOKUP(B242,'Base stats'!B:B,'Base stats'!C:C)/2000)^0.357012633876913)))),
IF(_xlfn.XLOOKUP(B242,'Base stats'!B:B,'Base stats'!C:C)&lt;0.1,0.05,IF(_xlfn.XLOOKUP(B242,'Base stats'!B:B,'Base stats'!C:C)&lt;0.4,0.1,IF(_xlfn.XLOOKUP(B242,'Base stats'!B:B,'Base stats'!C:C)&lt;=70,(_xlfn.XLOOKUP(B242,'Base stats'!B:B,'Base stats'!C:C)/70)^0.445823913056526,IF(_xlfn.XLOOKUP(B242,'Base stats'!B:B,'Base stats'!C:C)&lt;=400,(_xlfn.XLOOKUP(B242,'Base stats'!B:B,'Base stats'!C:C)/70)^0.572811455315093,IF(_xlfn.XLOOKUP(B242,'Base stats'!B:B,'Base stats'!C:C)&lt;=2000,2.71391647193063*(_xlfn.XLOOKUP(B242,'Base stats'!B:B,'Base stats'!C:C)/400)^0.252459582904293,3.74314280240376*(_xlfn.XLOOKUP(B242,'Base stats'!B:B,'Base stats'!C:C)/2000)^0.357012633876913)))))),
IF(_xlfn.XLOOKUP(B242,'Base stats'!B:B,'Base stats'!C:C)&lt;0.1,0.05,IF(_xlfn.XLOOKUP(B242,'Base stats'!B:B,'Base stats'!C:C)&lt;=100,0.05,IF(_xlfn.XLOOKUP(B242,'Base stats'!B:B,'Base stats'!C:C)&lt;=250,0.1,IF(_xlfn.XLOOKUP(B242,'Base stats'!B:B,'Base stats'!C:C)&lt;=4000,0.25,0.5)))))</f>
        <v>0.4</v>
      </c>
      <c r="AP242" s="8">
        <f>MROUND(AO242*_xlfn.XLOOKUP(_xlfn.XLOOKUP(B242,'Base stats'!B:B,'Base stats'!E:E),Groups!A:A,Groups!AI:AI)*_xlfn.XLOOKUP(B242,'Base stats'!B:B,'Base stats'!Z:Z),0.05)</f>
        <v>0.4</v>
      </c>
      <c r="AQ242" s="8">
        <f>MAX(0.01,MROUND(IF(CC242="True",0.196*(AO242*100*1000)^0.889,IF(_xlfn.XLOOKUP(_xlfn.XLOOKUP(B242,'Base stats'!B:B,'Base stats'!E:E),Groups!A:A,Groups!AJ:AJ)="Bird",10.5*(AO242*100*1000)^0.681,4.82*(AO242*100*1000)^0.734))/(4.82*(1*100*1000)^0.734)/IF(AO242&lt;3.5,2,IF(AO242=3.5,1.5,1.25))*(1+0.132282374779864/(AO242^0.994035016789033+0.00905238001496948)),0.05))</f>
        <v>0.35000000000000003</v>
      </c>
      <c r="AR242" s="9">
        <f>IFERROR(MROUND(_xlfn.XLOOKUP(B242,'Base stats'!B:B,'Base stats'!H:H)/IF(_xlfn.XLOOKUP(B242,'Base stats'!B:B,'Base stats'!I:I)&lt;&gt;1,(122.5/70),1.2),IF(_xlfn.XLOOKUP(B242,'Base stats'!B:B,'Base stats'!H:H)&gt;=30,5,IF(_xlfn.XLOOKUP(B242,'Base stats'!B:B,'Base stats'!H:H)&gt;=15,3,IF(_xlfn.XLOOKUP(B242,'Base stats'!B:B,'Base stats'!H:H)&gt;=10,2,1)))),"Immortal")</f>
        <v>9</v>
      </c>
      <c r="AS242" s="35">
        <f>IFERROR(IF(OR(_xlfn.XLOOKUP(B242,'Base stats'!B:B,'Base stats'!F:F)="Atypical reproduction",_xlfn.XLOOKUP(B242,'Base stats'!B:B,'Base stats'!F:F)="Lay eggs"),"Lay eggs",MIN(20,MAX(5.5,ROUND(((_xlfn.XLOOKUP(B242,'Base stats'!B:B,'Base stats'!F:F)-25)*(14.5/615) + 5.5)*2,0)/2))),"Unknown")</f>
        <v>7</v>
      </c>
      <c r="AT242" s="8">
        <f>IF(_xlfn.XLOOKUP(B242,'Base stats'!B:B,'Base stats'!G:G)="Atypical reproduction","No",IFERROR(MAX(IF(_xlfn.XLOOKUP(B242,'Base stats'!B:B,'Base stats'!G:G)&lt;0.5,0.2,0.3),MROUND(_xlfn.XLOOKUP(B242,'Base stats'!B:B,'Base stats'!G:G)/(365/60),0.2)),"Unknown"))</f>
        <v>0.3</v>
      </c>
      <c r="AU242" s="8">
        <f t="shared" si="22"/>
        <v>0.15000000000000002</v>
      </c>
      <c r="AV242" s="8">
        <f>IFERROR(IFERROR(MROUND(_xlfn.XLOOKUP(B242,'Base stats'!B:B,'Base stats'!J:J),0.1),"Lay eggs"),"Cannot breed")</f>
        <v>5</v>
      </c>
      <c r="AW242" s="2" t="str">
        <f t="shared" si="23"/>
        <v>false</v>
      </c>
      <c r="AX242" s="2" t="str">
        <f>IF(_xlfn.XLOOKUP(_xlfn.XLOOKUP(Animals!B242,'Base stats'!B:B,'Base stats'!E:E),Groups!A:A,Groups!AK:AK)=1,"true","false")</f>
        <v>false</v>
      </c>
      <c r="AY242" s="25" t="str">
        <f>IF(_xlfn.XLOOKUP(B242,'Base stats'!B:B,'Base stats'!Y:Y)="Liquor","Liquor, CarnivoreAnimalStrict",IF(AND(_xlfn.XLOOKUP(B242,'Base stats'!B:B,'Base stats'!Y:Y)="Carnivore",_xlfn.XLOOKUP(_xlfn.XLOOKUP(B242,'Base stats'!B:B,'Base stats'!E:E),Groups!A:A,Groups!AJ:AJ)="Photonozoa"),"CarnivoreAnimalStrict, OvivoreAnimal",IF(_xlfn.XLOOKUP(B242,'Base stats'!B:B,'Base stats'!Y:Y)="Carnivore","CarnivoreAnimal, OvivoreAnimal",IF(_xlfn.XLOOKUP(B242,'Base stats'!B:B,'Base stats'!Y:Y)="Dendrovore","VegetarianRoughAnimal, DendrovoreAnimal",IF(_xlfn.XLOOKUP(B242,'Base stats'!B:B,'Base stats'!Y:Y)="Herbivore","VegetarianRoughAnimal",IF(_xlfn.XLOOKUP(B242,'Base stats'!B:B,'Base stats'!Y:Y)="OmnivoreRough","OmnivoreRoughAnimal, OvivoreAnimal","OmnivoreAnimal, OvivoreAnimal"))))))</f>
        <v>OmnivoreRoughAnimal, OvivoreAnimal</v>
      </c>
      <c r="AZ242" s="2" t="str">
        <f>IF(_xlfn.XLOOKUP(_xlfn.XLOOKUP(B242,'Base stats'!B:B,'Base stats'!E:E),Groups!A:A,Groups!D:D)=1,MROUND((1-J242)*5+1,2)*IF(J242&lt;=0.4,2,1),"No")</f>
        <v>No</v>
      </c>
      <c r="BA242" s="2" t="str">
        <f>IF(AND(_xlfn.XLOOKUP(B242,'Base stats'!B:B,'Base stats'!AH:AH)="&lt;li&gt;Seal&lt;/li&gt;",G242="Odyssey"),"&lt;li&gt;AEXP_Seal&lt;/li&gt;",_xlfn.XLOOKUP(B242,'Base stats'!B:B,'Base stats'!AH:AH))</f>
        <v>No</v>
      </c>
      <c r="BB242" s="2" t="str">
        <f>_xlfn.XLOOKUP(B242,'Base stats'!B:B,'Base stats'!AG:AG)</f>
        <v>Leather_Cactus</v>
      </c>
      <c r="BC242" s="23" t="str">
        <f>_xlfn.XLOOKUP(_xlfn.XLOOKUP(B242,'Base stats'!B:B,'Base stats'!E:E),Groups!A:A,Groups!AL:AL)</f>
        <v>QuadrupedAnimalWithPaws</v>
      </c>
      <c r="BD242" s="23">
        <f>MIN(1,MROUND(IF(AND(AO242&lt;0.5,_xlfn.XLOOKUP(B242,'Base stats'!B:B,'Base stats'!AA:AA)=0),0,IF(OR(_xlfn.XLOOKUP(Animals!B242,'Base stats'!B:B,'Base stats'!O:O)=2,_xlfn.XLOOKUP(_xlfn.XLOOKUP(B242,'Base stats'!B:B,'Base stats'!E:E),Groups!A:A,Groups!AN:AN)=0),0,_xlfn.XLOOKUP(_xlfn.XLOOKUP(B242,'Base stats'!B:B,'Base stats'!E:E),Groups!A:A,Groups!AN:AN)/IF(_xlfn.XLOOKUP(Animals!B242,'Base stats'!B:B,'Base stats'!O:O)=1,2,1)))+_xlfn.XLOOKUP(B242,'Base stats'!B:B,'Base stats'!AC:AC),0.005))</f>
        <v>0</v>
      </c>
      <c r="BE242" s="23">
        <f>MIN(1,MROUND(IF(AND(AO242&lt;0.5,_xlfn.XLOOKUP(B242,'Base stats'!B:B,'Base stats'!AA:AA)=0),0,IF(_xlfn.XLOOKUP(_xlfn.XLOOKUP(B242,'Base stats'!B:B,'Base stats'!E:E),Groups!A:A,Groups!AO:AO)=0,0,_xlfn.XLOOKUP(_xlfn.XLOOKUP(B242,'Base stats'!B:B,'Base stats'!E:E),Groups!A:A,Groups!AO:AO)/IF(_xlfn.XLOOKUP(Animals!B242,'Base stats'!B:B,'Base stats'!O:O)=2,3,1)))+_xlfn.XLOOKUP(B242,'Base stats'!B:B,'Base stats'!AD:AD),0.005))</f>
        <v>0</v>
      </c>
      <c r="BF242" s="2" t="str">
        <f>IF(J242&gt;0.3,"No",_xlfn.XLOOKUP(_xlfn.XLOOKUP(Animals!B242,'Base stats'!B:B,'Base stats'!E:E),Groups!A:A,Groups!AP:AP))</f>
        <v>No</v>
      </c>
      <c r="BG242" s="2">
        <f>IF(AND(J242&lt;=0.65,_xlfn.XLOOKUP(_xlfn.XLOOKUP(Animals!B242,'Base stats'!B:B,'Base stats'!E:E),Groups!A:A,Groups!AP:AP)&lt;&gt;"No",_xlfn.XLOOKUP(_xlfn.XLOOKUP(B242,'Base stats'!B:B,'Base stats'!E:E),Groups!A:A,Groups!D:D)=0),MROUND((80/3)*IF(_xlfn.XLOOKUP(B242,'Base stats'!B:B,'Base stats'!O:O)=2,0.2,AO242) + 24*(1-IF(BF242="No",0,BF242)) + 16/3, 12),"No")</f>
        <v>36</v>
      </c>
      <c r="BH242" s="2">
        <f>IF(AND(_xlfn.XLOOKUP(_xlfn.XLOOKUP(B242,'Base stats'!B:B,'Base stats'!E:E),Groups!A:A,Groups!AQ:AQ)=1,AO242&lt;=0.35),8,12)</f>
        <v>12</v>
      </c>
      <c r="BI242" s="2" t="str">
        <f>IF(_xlfn.XLOOKUP(_xlfn.XLOOKUP(B242,'Base stats'!B:B,'Base stats'!E:E),Groups!A:A,Groups!D:D)=0,_xlfn.XLOOKUP(_xlfn.XLOOKUP(B242,'Base stats'!B:B,'Base stats'!E:E),Groups!A:A,Groups!AR:AR),"None")</f>
        <v>None</v>
      </c>
      <c r="BJ242" s="2" t="str">
        <f>IF(AND(_xlfn.XLOOKUP(_xlfn.XLOOKUP(B242,'Base stats'!B:B,'Base stats'!E:E),Groups!A:A,Groups!AS:AS)=1,OR(_xlfn.XLOOKUP(B242,'Base stats'!B:B,'Base stats'!Y:Y)="Carnivore",_xlfn.XLOOKUP(B242,'Base stats'!B:B,'Base stats'!Y:Y)="Omnivore")),"true","false")</f>
        <v>false</v>
      </c>
      <c r="BK242" s="2" t="str">
        <f>IF(BJ242="true",MROUND(IF(AND(AO242&gt;0.5,OR(_xlfn.XLOOKUP(_xlfn.XLOOKUP(B242,'Base stats'!B:B,'Base stats'!E:E),Groups!A:A,Groups!AJ:AJ)="Photonozoa",_xlfn.XLOOKUP(_xlfn.XLOOKUP(B242,'Base stats'!B:B,'Base stats'!E:E),Groups!A:A,Groups!AJ:AJ)="Mammal")),Animals!AO242*1.75*IF(AW242="true",1.5,1),IF(AO242&lt;0.5,Animals!AO242*0.5,Animals!AO242)),IF(AO242&gt;2,0.5,IF(AO242&gt;0.5,0.25,0.1))),"No")</f>
        <v>No</v>
      </c>
      <c r="BL242" s="2">
        <f t="shared" si="24"/>
        <v>0</v>
      </c>
      <c r="BM242" s="25" t="str">
        <f>IF(_xlfn.XLOOKUP(B242,'Base stats'!B:B,'Base stats'!AN:AN)="Standard","No",MROUND((_xlfn.XLOOKUP(B242,'Base stats'!B:B,'Base stats'!AN:AN)/3.6)/I242,0.1))</f>
        <v>No</v>
      </c>
      <c r="BN242" s="25" t="str">
        <f t="shared" si="25"/>
        <v>false</v>
      </c>
      <c r="BO242" s="25" t="str">
        <f>IF(AND(OR(_xlfn.XLOOKUP(B242,'Base stats'!B:B,'Base stats'!Y:Y)="Carnivore",_xlfn.XLOOKUP(B242,'Base stats'!B:B,'Base stats'!Y:Y)="Omnivore",_xlfn.XLOOKUP(B242,'Base stats'!B:B,'Base stats'!Y:Y)="OmnivoreRough"),_xlfn.XLOOKUP(_xlfn.XLOOKUP(B242,'Base stats'!B:B,'Base stats'!E:E),Groups!A:A,Groups!AT:AT)=1),"true","false")</f>
        <v>false</v>
      </c>
      <c r="BP242" s="25" t="str" cm="1">
        <f t="array" ref="BP242">IF(
  _xlfn.TEXTJOIN(", ",TRUE,
    IF(AND(BJ242="true",AO242&gt;0.5,BI242&lt;&gt;"None"),"AttackTarget",""),
    IF(AND(_xlfn.XLOOKUP(_xlfn.XLOOKUP(B242,'Base stats'!B:B,'Base stats'!E:E),Groups!A:A,Groups!AJ:AJ="Mammal"),OR(_xlfn.XLOOKUP(B242,'Base stats'!B:B,'Base stats'!Y:Y)="Omnivore",_xlfn.XLOOKUP(B242,'Base stats'!B:B,'Base stats'!Y:Y)="OmnivoreRough")),"Forage",""),
    IF(BG242&lt;=36,"Comfort",""),
    IF(_xlfn.XLOOKUP(B242,'Base stats'!B:B,'Base stats'!AE:AE)&lt;&gt;"No",_xlfn.XLOOKUP(B242,'Base stats'!B:B,'Base stats'!AE:AE),"")
  ) = "",
  "No",
  _xlfn.TEXTJOIN(", ",TRUE,
    IF(AND(BJ242="true",AO242&gt;0.5,BI242&lt;&gt;"None"),"AttackTarget",""),
    IF(AND(_xlfn.XLOOKUP(_xlfn.XLOOKUP(B242,'Base stats'!B:B,'Base stats'!E:E),Groups!A:A,Groups!AJ:AJ="Mammal"),OR(_xlfn.XLOOKUP(B242,'Base stats'!B:B,'Base stats'!Y:Y)="Omnivore",_xlfn.XLOOKUP(B242,'Base stats'!B:B,'Base stats'!Y:Y)="OmnivoreRough")),"Forage",""),
    IF(BG242&lt;=36,"Comfort",""),
    IF(_xlfn.XLOOKUP(B242,'Base stats'!B:B,'Base stats'!AE:AE)&lt;&gt;"No",_xlfn.XLOOKUP(B242,'Base stats'!B:B,'Base stats'!AE:AE),"")
  )
)</f>
        <v>Forage, Comfort</v>
      </c>
      <c r="BQ242" s="25" t="str">
        <f>IF(
   AND(
      'Base stats'!AN242="Standard",_xlfn.XLOOKUP(_xlfn.XLOOKUP(B242,'Base stats'!B:B,'Base stats'!E:E),Groups!A:A,Groups!AU:AU)=0,
      OR(
      BO242="True"
      )
   ),
   10,
   IF(
       OR(BM242&lt;&gt;"No",_xlfn.XLOOKUP(_xlfn.XLOOKUP(B242,'Base stats'!B:B,'Base stats'!E:E),Groups!A:A,Groups!AU:AU)=1),
      1,
      "No"
   )
)</f>
        <v>No</v>
      </c>
      <c r="BR242" s="9">
        <f>MROUND((1 + ((0.2*IF(OR(Q242="No",R242="No",R242=0),0,Q242/R242)
+IF(OR(V242="No",S242="No",T242="No"),0,S242/T242*(LEN(V242)-LEN(SUBSTITUTE(V242,",",""))+1))
+IF(OR(X242="No",Y242="No"),0,X242/Y242)
+IF(OR(AD242="No",AE242="No"),0,AD242/AE242)
+IF(OR(AL242="No",AI242="No",AJ242="No"),0,AI242/AJ242*(LEN(AL242)-LEN(SUBSTITUTE(AL242,",",""))+1))
)/(0.2*IF(OR(Q242="No",R242="No",R242=0),0,1)
+IF(OR(V242="No",S242="No",T242="No"),0,LEN(V242)-LEN(SUBSTITUTE(V242,",",""))+1)
+IF(OR(X242="No",Y242="No"),0,1)
+IF(OR(AD242="No",AE242="No"),0,1)
+IF(OR(AL242="No",AI242="No",AJ242="No"),0,LEN(AL242)-LEN(SUBSTITUTE(AL242,",",""))+1))*62%)* 2)*(1 + (AP242 / (IF(_xlfn.XLOOKUP(_xlfn.XLOOKUP(B242,'Base stats'!B:B,'Base stats'!E:E),Groups!A:A,Groups!AJ:AJ)="Photonozoa",0.3,1)) + _xlfn.XLOOKUP(B242,'Base stats'!B:B,'Base stats'!AV:AV) * 1.8) * 2) * 2.5 + 10 + I242 * 2,5)+IF(_xlfn.XLOOKUP(B242,'Base stats'!B:B,'Base stats'!AK:AK)=1,50,0)</f>
        <v>50</v>
      </c>
      <c r="BS242" s="8">
        <f t="shared" si="26"/>
        <v>0.35000000000000003</v>
      </c>
      <c r="BT242" s="8" t="str">
        <f>_xlfn.XLOOKUP(B242,'Base stats'!B:B,'Base stats'!AF:AF)</f>
        <v>No</v>
      </c>
      <c r="BU242" s="2" t="str">
        <f>IF(AND(J242&lt;=0.95,OR(_xlfn.XLOOKUP(B242,'Base stats'!B:B,'Base stats'!AK:AK)=1,_xlfn.XLOOKUP(B242,'Base stats'!B:B,'Base stats'!Y:Y)="Carnivore",_xlfn.XLOOKUP(B242,'Base stats'!B:B,'Base stats'!Y:Y)="Omnivore",BE242&gt;0.1)),"true","false")</f>
        <v>false</v>
      </c>
      <c r="BV242" s="2" t="str">
        <f>IF(_xlfn.XLOOKUP(B242,'Base stats'!B:B,'Base stats'!AI:AI)=1,"true","false")</f>
        <v>false</v>
      </c>
      <c r="BW242" s="25" t="str">
        <f>IF(E242="BaseInsect","AnimalInsect",
IF(J242&gt;0.95,"AnimalExotic",
_xlfn.TEXTJOIN(", ",TRUE,
IF(OR(_xlfn.XLOOKUP(B242,'Base stats'!B:B,'Base stats'!AM:AM)=1,AND(_xlfn.XLOOKUP(B242,'Base stats'!B:B,'Base stats'!O:O)=0,_xlfn.XLOOKUP(_xlfn.XLOOKUP(B242,'Base stats'!B:B,'Base stats'!E:E),Groups!A:A,Groups!B:B)&gt;0)),"AnimalUncommon","AnimalCommon"),
IF(AND(_xlfn.XLOOKUP(B242,'Base stats'!B:B,'Base stats'!O:O)=2,_xlfn.XLOOKUP(_xlfn.XLOOKUP(B242,'Base stats'!B:B,'Base stats'!E:E),Groups!A:A,Groups!D:D)=0),"AnimalPet",IF(AND(_xlfn.XLOOKUP(B242,'Base stats'!B:B,'Base stats'!O:O)&lt;&gt;0,_xlfn.XLOOKUP(_xlfn.XLOOKUP(B242,'Base stats'!B:B,'Base stats'!E:E),Groups!A:A,Groups!D:D)&lt;&gt;0),"AnimalFarm","")),
IF(OR(_xlfn.XLOOKUP(B242,'Base stats'!B:B,'Base stats'!AK:AK)=1,AND(BI242&lt;&gt;"None",BR242&gt;=60),ISNUMBER(SEARCH("Attack target",BP242))),"AnimalFighter","")
)))</f>
        <v>AnimalUncommon</v>
      </c>
      <c r="BX242" s="25" t="str">
        <f>IF(G242="None",TRIM(
SUBSTITUTE(
IF(COUNTIF(Biomes!B$2:B$259,"="&amp;$C242)&gt;0,Biomes!B$1&amp;", ","")&amp;
IF(COUNTIF(Biomes!C$2:C$259,"="&amp;$C242)&gt;0,Biomes!C$1&amp;", ","")&amp;
IF(COUNTIF(Biomes!D$2:D$259,"="&amp;$C242)&gt;0,Biomes!D$1&amp;", ","")&amp;
IF(COUNTIF(Biomes!F$2:F$259,"="&amp;$C242)&gt;0,Biomes!F$1&amp;", ","")&amp;
IF(COUNTIF(Biomes!G$2:G$259,"="&amp;$C242)&gt;0,Biomes!G$1&amp;", ","")&amp;
IF(COUNTIF(Biomes!H$2:H$259,"="&amp;$C242)&gt;0,Biomes!H$1&amp;", ","")&amp;
IF(COUNTIF(Biomes!I$2:I$259,"="&amp;$C242)&gt;0,Biomes!I$1&amp;", ","")&amp;
IF(COUNTIF(Biomes!J$2:J$259,"="&amp;$C242)&gt;0,Biomes!J$1&amp;", ","")&amp;
IF(COUNTIF(Biomes!M$2:M$259,"="&amp;$C242)&gt;0,Biomes!M$1&amp;", ","")&amp;
IF(COUNTIF(Biomes!N$2:N$259,"="&amp;$C242)&gt;0,Biomes!N$1&amp;", ","")&amp;
IF(COUNTIF(Biomes!O$2:O$259,"="&amp;$C242)&gt;0,Biomes!O$1&amp;", ","")&amp;
IF(COUNTIF(Biomes!P$2:P$259,"="&amp;$C242)&gt;0,Biomes!P$1&amp;", ","")&amp;
IF(COUNTIF(Biomes!K$2:K$259,"="&amp;$C242)&gt;0,Biomes!K$1&amp;", ","")&amp;
IF(COUNTIF(Biomes!Q$3:Q$259,"="&amp;$C242)&gt;0,Biomes!Q$1&amp;", ","")&amp;
IF(COUNTIF(Biomes!L$2:L$259,"="&amp;$C242)&gt;0,Biomes!L$1&amp;", ","")&amp;
IF(COUNTIF(Biomes!E$2:E$259,"="&amp;$C242)&gt;0,Biomes!E$1&amp;", ","")&amp;IF(COUNTIF(Biomes!S$2:S$259,"="&amp;$C242)&gt;0,Biomes!S$1&amp;", ","")&amp;
IF(COUNTIF(Biomes!R$2:R$259,"="&amp;$C242)&gt;0,Biomes!R$1&amp;", ",""),", ","")
),_xlfn.XLOOKUP(B242,B:B,BX:BX))</f>
        <v>AridShrubland Desert ExtremeDesert Grasslands LavaField</v>
      </c>
      <c r="BY242" s="25" t="str">
        <f>IF(_xlfn.XLOOKUP(B242,'Base stats'!B:B,'Base stats'!AJ:AJ)=1,"true","false")</f>
        <v>false</v>
      </c>
      <c r="BZ242" s="25">
        <f>IF(_xlfn.XLOOKUP(B242,'Base stats'!B:B,'Base stats'!N:N)=1,"No",MAX(0.001,MIN(MROUND(IF(AND(BJ242="True",CC242="False"),POWER(10,3.47*LOG10(_xlfn.XLOOKUP(B242,'Base stats'!B:B,'Base stats'!C:C)*1000)^-0.96),POWER(10,4.15*LOG10(_xlfn.XLOOKUP(B242,'Base stats'!B:B,'Base stats'!C:C)*1000)^-0.73))*IF(_xlfn.XLOOKUP(B242,'Base stats'!B:B,'Base stats'!AK:AK)=1,0.5,1)*IF(_xlfn.XLOOKUP(B242,'Base stats'!B:B,'Base stats'!AM:AM)=1,0.1,1)/100,IF(_xlfn.XLOOKUP(B242,'Base stats'!B:B,'Base stats'!AM:AM)=1,0.001,0.025)),0.5)))</f>
        <v>3.2000000000000001E-2</v>
      </c>
      <c r="CA242" s="25" t="str">
        <f>IF(P242="Standard","No",MAX(0.001,MIN(MROUND(IF(AND(BJ242="True",CC242="False"),POWER(10,3.47*LOG10(_xlfn.XLOOKUP(B242,'Base stats'!B:B,'Base stats'!C:C)*1000)^-0.96),POWER(10,4.15*LOG10(_xlfn.XLOOKUP(B242,'Base stats'!B:B,'Base stats'!C:C)*1000)^-0.73))*IF(_xlfn.XLOOKUP(B242,'Base stats'!B:B,'Base stats'!AM:AM)=1,0.1,1)*_xlfn.XLOOKUP(B242,'Base stats'!B:B,'Base stats'!R:R)/100,IF(_xlfn.XLOOKUP(B242,'Base stats'!B:B,'Base stats'!AM:AM)=1,0.001,0.025)),0.5)))</f>
        <v>No</v>
      </c>
      <c r="CB242" s="25" t="str">
        <f>IF(_xlfn.XLOOKUP(_xlfn.XLOOKUP(B242,'Base stats'!B:B,'Base stats'!E:E),Groups!A:A,Groups!AJ:AJ)="Mammal","True","False")</f>
        <v>True</v>
      </c>
      <c r="CC242" s="25" t="str">
        <f>IF(OR(_xlfn.XLOOKUP(_xlfn.XLOOKUP(B242,'Base stats'!B:B,'Base stats'!E:E),Groups!A:A,Groups!AJ:AJ)="Reptile",_xlfn.XLOOKUP(_xlfn.XLOOKUP(B242,'Base stats'!B:B,'Base stats'!E:E),Groups!A:A,Groups!AJ:AJ)="Amphibian",_xlfn.XLOOKUP(_xlfn.XLOOKUP(B242,'Base stats'!B:B,'Base stats'!E:E),Groups!A:A,Groups!AJ:AJ)="Invertebrate"),"True","False")</f>
        <v>False</v>
      </c>
      <c r="CD242" s="25" t="str">
        <f t="shared" si="27"/>
        <v>False</v>
      </c>
      <c r="CE242" s="25" t="str">
        <f>IF(_xlfn.XLOOKUP(_xlfn.XLOOKUP(B242,'Base stats'!B:B,'Base stats'!E:E),Groups!A:A,Groups!AX:AX),"True","False")</f>
        <v>False</v>
      </c>
      <c r="CF242" s="25" t="str">
        <f>IF(_xlfn.XLOOKUP(_xlfn.XLOOKUP(B242,'Base stats'!B:B,'Base stats'!E:E),Groups!A:A,Groups!AY:AY),"True","False")</f>
        <v>False</v>
      </c>
      <c r="CG242" s="25" t="str">
        <f>IF(_xlfn.XLOOKUP(_xlfn.XLOOKUP(B242,'Base stats'!B:B,'Base stats'!E:E),Groups!A:A,Groups!AW:AW),"True","False")</f>
        <v>False</v>
      </c>
      <c r="CH242" s="25" t="str">
        <f>IF(
OR(
_xlfn.XLOOKUP(_xlfn.XLOOKUP(B242,'Base stats'!B:B,'Base stats'!E:E),Groups!A:A,Groups!AZ:AZ)=0,
AND(
_xlfn.XLOOKUP(B242,'Base stats'!B:B,'Base stats'!Y:Y)&lt;&gt;"Carnivore",
_xlfn.XLOOKUP(B242,'Base stats'!B:B,'Base stats'!Y:Y)&lt;&gt;"Omnivore",
_xlfn.XLOOKUP(B242,'Base stats'!B:B,'Base stats'!Y:Y)&lt;&gt;"OmnivoreRough"
)
),
"No",
IF(
_xlfn.XLOOKUP(_xlfn.XLOOKUP(B242,'Base stats'!B:B,'Base stats'!E:E),Groups!A:A,Groups!AZ:AZ)=1,
"Flesh",
IF(
_xlfn.XLOOKUP(_xlfn.XLOOKUP(B242,'Base stats'!B:B,'Base stats'!E:E),Groups!A:A,Groups!AZ:AZ)=2,
"Bone",
""
)
)
)</f>
        <v>No</v>
      </c>
      <c r="CI242" s="25" t="str">
        <f>IF(_xlfn.XLOOKUP(_xlfn.XLOOKUP(B242,'Base stats'!B:B,'Base stats'!E:E),Groups!A:A,Groups!BB:BB),"True","False")</f>
        <v>True</v>
      </c>
      <c r="CJ242" s="25" t="str">
        <f>IF(_xlfn.XLOOKUP(_xlfn.XLOOKUP(B242,'Base stats'!B:B,'Base stats'!E:E),Groups!A:A,Groups!BA:BA),"True","False")</f>
        <v>False</v>
      </c>
    </row>
    <row r="243" spans="1:88" ht="16.5" thickTop="1" thickBot="1" x14ac:dyDescent="0.3">
      <c r="A243" s="26" t="s">
        <v>1392</v>
      </c>
      <c r="B243" s="6" t="str">
        <f>_xlfn.XLOOKUP(A243,'Base stats'!A:A,'Base stats'!B:B)</f>
        <v>Bos chamaeleon</v>
      </c>
      <c r="C243" s="28" t="s">
        <v>1393</v>
      </c>
      <c r="D243" s="28" t="s">
        <v>1341</v>
      </c>
      <c r="E243" s="28" t="s">
        <v>673</v>
      </c>
      <c r="F243" s="28" t="s">
        <v>673</v>
      </c>
      <c r="G243" s="28" t="s">
        <v>673</v>
      </c>
      <c r="H243" s="2">
        <f>MROUND((
  (IF(AND(_xlfn.XLOOKUP(B243,'Base stats'!B:B,'Base stats'!AL:AL)=0,BI243="None",_xlfn.XLOOKUP(_xlfn.XLOOKUP(B243,'Base stats'!B:B,'Base stats'!E:E),Groups!A:A,Groups!B:B)=0), (18 + BR243 * 2.7) * 0.5,
    IF(AND(_xlfn.XLOOKUP(B243,'Base stats'!B:B,'Base stats'!AL:AL)=0,OR(AO243&lt;0.55,AND(BI243="Intermediate",_xlfn.XLOOKUP(_xlfn.XLOOKUP(B243,'Base stats'!B:B,'Base stats'!E:E),Groups!A:A,Groups!B:B)&lt;2))), (18 + BR243 * 2.7),
      IF(OR(BI243="Advanced",_xlfn.XLOOKUP(B243,'Base stats'!B:B,'Base stats'!AL:AL)=1,_xlfn.XLOOKUP(_xlfn.XLOOKUP(B243,'Base stats'!B:B,'Base stats'!E:E),Groups!A:A,Groups!B:B)=2), (18 + BR243 * 2.7) + 250, (18 + BR243 * 2.7))
    )
  ))
  + AO243 * 80
  + IF(COUNTIF(EggMilk!K$2:K$998, A243) &gt; 0, 125, 0)
  + IF(COUNTIF(EggMilk!P$2:P$998, A243) &gt; 0, 90, 0)
  + IF(COUNTIF(EggMilk!A$2:A$998, A243) &gt; 0, 90, 0)
)
* (0.8 + 0.4 * J243)
* 0.75,25)</f>
        <v>400</v>
      </c>
      <c r="I243" s="2">
        <f>MROUND(ROUNDDOWN(_xlfn.XLOOKUP(B243,'Base stats'!B:B,'Base stats'!L:L)/3.6/(23.3/11),1),0.5)</f>
        <v>4</v>
      </c>
      <c r="J243" s="2">
        <f>IF(OR(_xlfn.XLOOKUP(B243,'Base stats'!B:B,'Base stats'!AB:AB)=1,_xlfn.XLOOKUP(_xlfn.XLOOKUP(B243,'Base stats'!B:B,'Base stats'!E:E),Groups!A:A,Groups!C:C)="Untamable"),1,IF(_xlfn.XLOOKUP(B243,'Base stats'!B:B,'Base stats'!AL:AL)=1,0.99,MIN(MROUND((1-0.6282*EXP(-0.459*AO243))*_xlfn.XLOOKUP(_xlfn.XLOOKUP(B243,'Base stats'!B:B,'Base stats'!E:E),Groups!A:A,Groups!C:C)*IF(_xlfn.XLOOKUP(B243,'Base stats'!B:B,'Base stats'!O:O)=1,0.5,IF(_xlfn.XLOOKUP(B243,'Base stats'!B:B,'Base stats'!O:O)=2,0,1)),0.05),IF(AO243&gt;3.5,0.985,0.95))))</f>
        <v>0.35000000000000003</v>
      </c>
      <c r="K243" s="2">
        <f>ROUNDUP(AO243*_xlfn.XLOOKUP(_xlfn.XLOOKUP(B243,'Base stats'!B:B,'Base stats'!E:E),Groups!A:A,Groups!E:E),0)</f>
        <v>17</v>
      </c>
      <c r="L243" s="2">
        <f>IF(OR(_xlfn.XLOOKUP(_xlfn.XLOOKUP(B243,'Base stats'!B:B,'Base stats'!E:E),Groups!A:A,Groups!F:F)=2,ISNUMBER(SEARCH("SeaIce",BX243)),ISNUMBER(SEARCH("IceSheet",BX243))),-50,IF(OR(ISNUMBER(SEARCH("GlacialPlain",BX243)),ISNUMBER(SEARCH("Tundra",BX243))),-40,IF(OR(ISNUMBER(SEARCH("Alpine",BX243)),ISNUMBER(SEARCH("BorealForest",BX243)),ISNUMBER(SEARCH("ColdBog",BX243))),-30,IF(OR(ISNUMBER(SEARCH("TemperateForest",BX243)),ISNUMBER(SEARCH("TemperateSwamp",BX243))),-20,IF(_xlfn.XLOOKUP(_xlfn.XLOOKUP(B243,'Base stats'!B:B,'Base stats'!E:E),Groups!A:A,Groups!F:F)=1,-15,IF(OR(ISNUMBER(SEARCH("Desert",BX243)),ISNUMBER(SEARCH("ExtremeDesert",BX243))),-10,IF(OR(ISNUMBER(SEARCH("Grasslands",BX243)),ISNUMBER(SEARCH("TropicalRainforest",BX243)),ISNUMBER(SEARCH("TropicalSwamp",BX243))),10,0)))))))-IF(CC243="False",MIN(IFERROR(MAX(MROUND(LOG10(_xlfn.XLOOKUP(B243,'Base stats'!B:B,'Base stats'!C:C)^(2/3))*10,5),5),5),30))-_xlfn.XLOOKUP(B243,'Base stats'!B:B,'Base stats'!P:P)+IF(CC243="True",5,0)</f>
        <v>-70</v>
      </c>
      <c r="M243" s="2">
        <f>IF(OR(_xlfn.XLOOKUP(_xlfn.XLOOKUP(B243,'Base stats'!B:B,'Base stats'!E:E),Groups!A:A,Groups!G:G)=2,ISNUMBER(SEARCH("Desert",BX243)),ISNUMBER(SEARCH("ExtremeDesert",BX243)),ISNUMBER(SEARCH("LavaField",BX243))),50,IF(ISNUMBER(SEARCH("Grasslands",BX243)),45,IF(OR(_xlfn.XLOOKUP(_xlfn.XLOOKUP(B243,'Base stats'!B:B,'Base stats'!E:E),Groups!A:A,Groups!G:G)=1,ISNUMBER(SEARCH("TropicalRainforest",BX243)),ISNUMBER(SEARCH("TropicalSwamp",BX243))),40,IF(OR(ISNUMBER(SEARCH("TemperateForest",BX243)),ISNUMBER(SEARCH("TemperateSwamp",BX243))),35,IF(OR(ISNUMBER(SEARCH("Alpine",BX243)),ISNUMBER(SEARCH("BorealForest",BX243)),ISNUMBER(SEARCH("ColdBog",BX243))),30,IF(ISNUMBER(OR(ISNUMBER(SEARCH("GlacialPlain",BX243)),SEARCH("Tundra",BX243))),25,IF(OR(ISNUMBER(SEARCH("SeaIce",BX243)),ISNUMBER(SEARCH("IceSheet",BX243)),ISNUMBER(SEARCH("TropicalSwamp",BX243))),10,35)))))))+_xlfn.XLOOKUP(B243,'Base stats'!B:B,'Base stats'!Q:Q)</f>
        <v>50</v>
      </c>
      <c r="N243" s="8" t="str">
        <f>IF(
_xlfn.XLOOKUP(
_xlfn.XLOOKUP(B243,'Base stats'!B:B,'Base stats'!E:E),
Groups!A:A,
Groups!L:L
)=1,
MIN(
MROUND(
IF(
_xlfn.XLOOKUP(B243,'Animals CE'!B:B,'Animals CE'!Z:Z)&lt;=1.5,
_xlfn.XLOOKUP(B243,'Animals CE'!B:B,'Animals CE'!Z:Z)/2+0.05,
0.8+
(_xlfn.XLOOKUP(B243,'Animals CE'!B:B,'Animals CE'!Z:Z)-1.5)
*0.02
),
0.05
),
200%
),
"No"
)</f>
        <v>No</v>
      </c>
      <c r="O243" s="8" t="str">
        <f>IF(
_xlfn.XLOOKUP(
_xlfn.XLOOKUP(B243,'Base stats'!B:B,'Base stats'!E:E),
Groups!A:A,
Groups!L:L
)=1,
MIN(
MROUND(
IF(
_xlfn.XLOOKUP(B243,'Animals CE'!B:B,'Animals CE'!AA:AA)&lt;=1.5,
_xlfn.XLOOKUP(B243,'Animals CE'!B:B,'Animals CE'!AA:AA)/2+0.05,
0.8+
(_xlfn.XLOOKUP(B243,'Animals CE'!B:B,'Animals CE'!AA:AA)-1.5)
*0.02
),
0.05
),
200%
),
"No"
)</f>
        <v>No</v>
      </c>
      <c r="P243" s="2" t="str">
        <f>_xlfn.XLOOKUP(B243,'Base stats'!B:B,'Base stats'!R:R)</f>
        <v>Standard</v>
      </c>
      <c r="Q243" s="13">
        <f>MROUND((LOG10(_xlfn.XLOOKUP(B243,'Base stats'!B:B,'Base stats'!AR:AR))*(AO243^0.5)+(_xlfn.XLOOKUP(B243,'Base stats'!B:B,'Base stats'!AR:AR)/1000)^(2/3)+_xlfn.XLOOKUP(B243,'Base stats'!B:B,'Base stats'!BA:BA)/2)+0.5,0.5)</f>
        <v>18</v>
      </c>
      <c r="R243" s="7">
        <f>IF(Q243="No","No",MAX(1,MROUND(_xlfn.XLOOKUP(B243,'Base stats'!B:B,'Base stats'!C:C)^0.165,0.05)))</f>
        <v>2.95</v>
      </c>
      <c r="S243" s="13">
        <f>IF(_xlfn.XLOOKUP(_xlfn.XLOOKUP(B243,'Base stats'!B:B,'Base stats'!E:E),Groups!A:A,Groups!P:P)=0,"No",MROUND((LOG10(_xlfn.XLOOKUP(B243,'Base stats'!B:B,'Base stats'!AS:AS))*(AO243^0.5)+(_xlfn.XLOOKUP(B243,'Base stats'!B:B,'Base stats'!AS:AS)/1000)^(2/3)+_xlfn.XLOOKUP(B243,'Base stats'!B:B,'Base stats'!BA:BA))+_xlfn.XLOOKUP(B243,'Base stats'!B:B,'Base stats'!AY:AY)+0.5,0.5))</f>
        <v>22</v>
      </c>
      <c r="T243" s="7">
        <f>IF(S243="No","No",MAX(_xlfn.XLOOKUP(_xlfn.XLOOKUP(B243,'Base stats'!B:B,'Base stats'!E:E),Groups!A:A,Groups!Q:Q),MROUND(_xlfn.XLOOKUP(_xlfn.XLOOKUP(B243,'Base stats'!B:B,'Base stats'!E:E),Groups!A:A,Groups!Q:Q)*_xlfn.XLOOKUP(B243,'Base stats'!B:B,'Base stats'!C:C)^0.165,0.05)))</f>
        <v>2.95</v>
      </c>
      <c r="U243" s="7" t="str">
        <f>IF(S243="No","No",_xlfn.XLOOKUP(_xlfn.XLOOKUP(B243,'Base stats'!B:B,'Base stats'!E:E),Groups!A:A,Groups!R:R))</f>
        <v>FrontLeftLeg, FrontRightLeg</v>
      </c>
      <c r="V243" s="7" t="str">
        <f>IF(S243="No","No",_xlfn.XLOOKUP(_xlfn.XLOOKUP(B243,'Base stats'!B:B,'Base stats'!E:E),Groups!A:A,Groups!S:S))</f>
        <v>left hoof, right hoof</v>
      </c>
      <c r="W243" s="7" t="str">
        <f>IF(S243="No","No",_xlfn.XLOOKUP(_xlfn.XLOOKUP(B243,'Base stats'!B:B,'Base stats'!E:E),Groups!A:A,Groups!T:T))</f>
        <v>Blunt</v>
      </c>
      <c r="X243" s="13">
        <f>IF(_xlfn.XLOOKUP(B243,'Base stats'!B:B,'Base stats'!W:W)="No","No",MROUND((LOG10(_xlfn.XLOOKUP(B243,'Base stats'!B:B,'Base stats'!AU:AU))*(AO243^0.5)+(_xlfn.XLOOKUP(B243,'Base stats'!B:B,'Base stats'!AU:AU)/1000)^(2/3)+_xlfn.XLOOKUP(B243,'Base stats'!B:B,'Base stats'!AZ:AZ))+0.5+IF(_xlfn.XLOOKUP(_xlfn.XLOOKUP(B243,'Base stats'!B:B,'Base stats'!E:E),Groups!A:A,Groups!U:U)&lt;&gt;3,_xlfn.XLOOKUP(B243,'Base stats'!B:B,'Base stats'!BA:BA),0),0.5))</f>
        <v>20</v>
      </c>
      <c r="Y243" s="7">
        <f>IF(X243="No","No",MAX(_xlfn.XLOOKUP(_xlfn.XLOOKUP(B243,'Base stats'!B:B,'Base stats'!E:E),Groups!A:A,Groups!V:V),MROUND(_xlfn.XLOOKUP(_xlfn.XLOOKUP(B243,'Base stats'!B:B,'Base stats'!E:E),Groups!A:A,Groups!V:V)*_xlfn.XLOOKUP(B243,'Base stats'!B:B,'Base stats'!C:C)^0.165,0.05)))</f>
        <v>2.5</v>
      </c>
      <c r="Z243" s="7" t="str">
        <f>IF(X243="No","No",_xlfn.XLOOKUP(_xlfn.XLOOKUP(B243,'Base stats'!B:B,'Base stats'!E:E),Groups!A:A,Groups!W:W))</f>
        <v>HeadAttackTool</v>
      </c>
      <c r="AA243" s="7" t="str">
        <f>IF(X243="No","No",_xlfn.XLOOKUP(_xlfn.XLOOKUP(B243,'Base stats'!B:B,'Base stats'!E:E),Groups!A:A,Groups!X:X))</f>
        <v>horn</v>
      </c>
      <c r="AB243" s="7" t="str">
        <f>IF(X243="No","No",_xlfn.XLOOKUP(_xlfn.XLOOKUP(B243,'Base stats'!B:B,'Base stats'!E:E),Groups!A:A,Groups!Y:Y))</f>
        <v>Scratch</v>
      </c>
      <c r="AC243" s="7" t="str">
        <f>_xlfn.XLOOKUP(Animals!B243,'Base stats'!B:B,'Base stats'!X:X)</f>
        <v>True</v>
      </c>
      <c r="AD243" s="13" t="str">
        <f>IF(_xlfn.XLOOKUP(B243,'Base stats'!B:B,'Base stats'!AT:AT)="No","No",MROUND((LOG10(_xlfn.XLOOKUP(B243,'Base stats'!B:B,'Base stats'!AT:AT))*(AO243^0.75)+(_xlfn.XLOOKUP(B243,'Base stats'!B:B,'Base stats'!AT:AT)/1000)^(2/3)+_xlfn.XLOOKUP(B243,'Base stats'!B:B,'Base stats'!AX:AX)+_xlfn.XLOOKUP(B243,'Base stats'!B:B,'Base stats'!BA:BA))+0.5,0.5))</f>
        <v>No</v>
      </c>
      <c r="AE243" s="7" t="str">
        <f>IF(AD243="No","No",MAX(_xlfn.XLOOKUP(_xlfn.XLOOKUP(B243,'Base stats'!B:B,'Base stats'!E:E),Groups!A:A,Groups!Z:Z),MROUND(_xlfn.XLOOKUP(_xlfn.XLOOKUP(B243,'Base stats'!B:B,'Base stats'!E:E),Groups!A:A,Groups!Z:Z)*_xlfn.XLOOKUP(B243,'Base stats'!B:B,'Base stats'!C:C)^0.165,0.05)))</f>
        <v>No</v>
      </c>
      <c r="AF243" s="7" t="str">
        <f>IF(AD243="No","No",_xlfn.XLOOKUP(_xlfn.XLOOKUP(B243,'Base stats'!B:B,'Base stats'!E:E),Groups!A:A,Groups!AA:AA))</f>
        <v>No</v>
      </c>
      <c r="AG243" s="7" t="str">
        <f>IF(AD243="No","No",_xlfn.XLOOKUP(_xlfn.XLOOKUP(B243,'Base stats'!B:B,'Base stats'!E:E),Groups!A:A,Groups!AB:AB))</f>
        <v>No</v>
      </c>
      <c r="AH243" s="7" t="str">
        <f>IF(AD243="No","No",_xlfn.XLOOKUP(_xlfn.XLOOKUP(B243,'Base stats'!B:B,'Base stats'!E:E),Groups!A:A,Groups!AC:AC))</f>
        <v>No</v>
      </c>
      <c r="AI243" s="13" t="str">
        <f>IF(_xlfn.XLOOKUP(_xlfn.XLOOKUP(B243,'Base stats'!B:B,'Base stats'!E:E),Groups!A:A,Groups!AD:AD)=0,"No",MROUND((LOG10(_xlfn.XLOOKUP(B243,'Base stats'!B:B,'Base stats'!AS:AS))*(AO243^0.75)+(_xlfn.XLOOKUP(B243,'Base stats'!B:B,'Base stats'!AS:AS)/1000)^(2/3)+_xlfn.XLOOKUP(B243,'Base stats'!B:B,'Base stats'!AY:AY)+_xlfn.XLOOKUP(B243,'Base stats'!B:B,'Base stats'!BA:BA))+0.5,0.5))</f>
        <v>No</v>
      </c>
      <c r="AJ243" s="7" t="str">
        <f>IF(AI243="No","No",MAX(_xlfn.XLOOKUP(_xlfn.XLOOKUP(B243,'Base stats'!B:B,'Base stats'!E:E),Groups!A:A,Groups!AE:AE),MROUND(_xlfn.XLOOKUP(_xlfn.XLOOKUP(B243,'Base stats'!B:B,'Base stats'!E:E),Groups!A:A,Groups!AE:AE)*IF(_xlfn.XLOOKUP(_xlfn.XLOOKUP(B243,'Base stats'!B:B,'Base stats'!E:E),Groups!A:A,Groups!AJ:AJ)="Photonozoa",0.6,1)*_xlfn.XLOOKUP(B243,'Base stats'!B:B,'Base stats'!C:C)^0.165,0.05)))</f>
        <v>No</v>
      </c>
      <c r="AK243" s="7" t="str">
        <f>IF(AI243="No","No",_xlfn.XLOOKUP(_xlfn.XLOOKUP(B243,'Base stats'!B:B,'Base stats'!E:E),Groups!A:A,Groups!AF:AF))</f>
        <v>No</v>
      </c>
      <c r="AL243" s="7" t="str">
        <f>IF(AI243="No","No",_xlfn.XLOOKUP(_xlfn.XLOOKUP(B243,'Base stats'!B:B,'Base stats'!E:E),Groups!A:A,Groups!AG:AG))</f>
        <v>No</v>
      </c>
      <c r="AM243" s="7" t="str">
        <f>IF(AI243="No","No",_xlfn.XLOOKUP(_xlfn.XLOOKUP(B243,'Base stats'!B:B,'Base stats'!E:E),Groups!A:A,Groups!AH:AH))</f>
        <v>No</v>
      </c>
      <c r="AN243" s="2" t="str">
        <f t="shared" si="21"/>
        <v>No</v>
      </c>
      <c r="AO243" s="2">
        <f>MROUND(IF(AND(_xlfn.XLOOKUP(B243,'Base stats'!B:B,'Base stats'!C:C)&gt;=0.5,_xlfn.XLOOKUP(B243,'Base stats'!B:B,'Base stats'!C:C)&lt;=0.8),
IF(_xlfn.XLOOKUP(B243,'Base stats'!B:B,'Base stats'!C:C)&lt;0.1,0.05,IF(_xlfn.XLOOKUP(B243,'Base stats'!B:B,'Base stats'!C:C)&lt;=70,(_xlfn.XLOOKUP(B243,'Base stats'!B:B,'Base stats'!C:C)/70)^0.426489913056526,IF(_xlfn.XLOOKUP(B243,'Base stats'!B:B,'Base stats'!C:C)&lt;=400,(_xlfn.XLOOKUP(B243,'Base stats'!B:B,'Base stats'!C:C)/70)^0.572811455315093,IF(_xlfn.XLOOKUP(B243,'Base stats'!B:B,'Base stats'!C:C)&lt;=2000,2.71391647193063*(_xlfn.XLOOKUP(B243,'Base stats'!B:B,'Base stats'!C:C)/400)^0.252459582904293,3.74314280240376*(_xlfn.XLOOKUP(B243,'Base stats'!B:B,'Base stats'!C:C)/2000)^0.357012633876913)))),
IF(_xlfn.XLOOKUP(B243,'Base stats'!B:B,'Base stats'!C:C)&lt;0.1,0.05,IF(_xlfn.XLOOKUP(B243,'Base stats'!B:B,'Base stats'!C:C)&lt;0.4,0.1,IF(_xlfn.XLOOKUP(B243,'Base stats'!B:B,'Base stats'!C:C)&lt;=70,(_xlfn.XLOOKUP(B243,'Base stats'!B:B,'Base stats'!C:C)/70)^0.445823913056526,IF(_xlfn.XLOOKUP(B243,'Base stats'!B:B,'Base stats'!C:C)&lt;=400,(_xlfn.XLOOKUP(B243,'Base stats'!B:B,'Base stats'!C:C)/70)^0.572811455315093,IF(_xlfn.XLOOKUP(B243,'Base stats'!B:B,'Base stats'!C:C)&lt;=2000,2.71391647193063*(_xlfn.XLOOKUP(B243,'Base stats'!B:B,'Base stats'!C:C)/400)^0.252459582904293,3.74314280240376*(_xlfn.XLOOKUP(B243,'Base stats'!B:B,'Base stats'!C:C)/2000)^0.357012633876913)))))),
IF(_xlfn.XLOOKUP(B243,'Base stats'!B:B,'Base stats'!C:C)&lt;0.1,0.05,IF(_xlfn.XLOOKUP(B243,'Base stats'!B:B,'Base stats'!C:C)&lt;=100,0.05,IF(_xlfn.XLOOKUP(B243,'Base stats'!B:B,'Base stats'!C:C)&lt;=250,0.1,IF(_xlfn.XLOOKUP(B243,'Base stats'!B:B,'Base stats'!C:C)&lt;=4000,0.25,0.5)))))</f>
        <v>3.25</v>
      </c>
      <c r="AP243" s="8">
        <f>MROUND(AO243*_xlfn.XLOOKUP(_xlfn.XLOOKUP(B243,'Base stats'!B:B,'Base stats'!E:E),Groups!A:A,Groups!AI:AI)*_xlfn.XLOOKUP(B243,'Base stats'!B:B,'Base stats'!Z:Z),0.05)</f>
        <v>3.25</v>
      </c>
      <c r="AQ243" s="8">
        <f>MAX(0.01,MROUND(IF(CC243="True",0.196*(AO243*100*1000)^0.889,IF(_xlfn.XLOOKUP(_xlfn.XLOOKUP(B243,'Base stats'!B:B,'Base stats'!E:E),Groups!A:A,Groups!AJ:AJ)="Bird",10.5*(AO243*100*1000)^0.681,4.82*(AO243*100*1000)^0.734))/(4.82*(1*100*1000)^0.734)/IF(AO243&lt;3.5,2,IF(AO243=3.5,1.5,1.25))*(1+0.132282374779864/(AO243^0.994035016789033+0.00905238001496948)),0.05))</f>
        <v>1.25</v>
      </c>
      <c r="AR243" s="9">
        <f>IFERROR(MROUND(_xlfn.XLOOKUP(B243,'Base stats'!B:B,'Base stats'!H:H)/IF(_xlfn.XLOOKUP(B243,'Base stats'!B:B,'Base stats'!I:I)&lt;&gt;1,(122.5/70),1.2),IF(_xlfn.XLOOKUP(B243,'Base stats'!B:B,'Base stats'!H:H)&gt;=30,5,IF(_xlfn.XLOOKUP(B243,'Base stats'!B:B,'Base stats'!H:H)&gt;=15,3,IF(_xlfn.XLOOKUP(B243,'Base stats'!B:B,'Base stats'!H:H)&gt;=10,2,1)))),"Immortal")</f>
        <v>15</v>
      </c>
      <c r="AS243" s="35">
        <f>IFERROR(IF(OR(_xlfn.XLOOKUP(B243,'Base stats'!B:B,'Base stats'!F:F)="Atypical reproduction",_xlfn.XLOOKUP(B243,'Base stats'!B:B,'Base stats'!F:F)="Lay eggs"),"Lay eggs",MIN(20,MAX(5.5,ROUND(((_xlfn.XLOOKUP(B243,'Base stats'!B:B,'Base stats'!F:F)-25)*(14.5/615) + 5.5)*2,0)/2))),"Unknown")</f>
        <v>11.5</v>
      </c>
      <c r="AT243" s="8">
        <f>IF(_xlfn.XLOOKUP(B243,'Base stats'!B:B,'Base stats'!G:G)="Atypical reproduction","No",IFERROR(MAX(IF(_xlfn.XLOOKUP(B243,'Base stats'!B:B,'Base stats'!G:G)&lt;0.5,0.2,0.3),MROUND(_xlfn.XLOOKUP(B243,'Base stats'!B:B,'Base stats'!G:G)/(365/60),0.2)),"Unknown"))</f>
        <v>0.4</v>
      </c>
      <c r="AU243" s="8">
        <f t="shared" si="22"/>
        <v>0.2</v>
      </c>
      <c r="AV243" s="8">
        <f>IFERROR(IFERROR(MROUND(_xlfn.XLOOKUP(B243,'Base stats'!B:B,'Base stats'!J:J),0.1),"Lay eggs"),"Cannot breed")</f>
        <v>1</v>
      </c>
      <c r="AW243" s="2" t="str">
        <f t="shared" si="23"/>
        <v>true</v>
      </c>
      <c r="AX243" s="2" t="str">
        <f>IF(_xlfn.XLOOKUP(_xlfn.XLOOKUP(Animals!B243,'Base stats'!B:B,'Base stats'!E:E),Groups!A:A,Groups!AK:AK)=1,"true","false")</f>
        <v>true</v>
      </c>
      <c r="AY243" s="25" t="str">
        <f>IF(_xlfn.XLOOKUP(B243,'Base stats'!B:B,'Base stats'!Y:Y)="Liquor","Liquor, CarnivoreAnimalStrict",IF(AND(_xlfn.XLOOKUP(B243,'Base stats'!B:B,'Base stats'!Y:Y)="Carnivore",_xlfn.XLOOKUP(_xlfn.XLOOKUP(B243,'Base stats'!B:B,'Base stats'!E:E),Groups!A:A,Groups!AJ:AJ)="Photonozoa"),"CarnivoreAnimalStrict, OvivoreAnimal",IF(_xlfn.XLOOKUP(B243,'Base stats'!B:B,'Base stats'!Y:Y)="Carnivore","CarnivoreAnimal, OvivoreAnimal",IF(_xlfn.XLOOKUP(B243,'Base stats'!B:B,'Base stats'!Y:Y)="Dendrovore","VegetarianRoughAnimal, DendrovoreAnimal",IF(_xlfn.XLOOKUP(B243,'Base stats'!B:B,'Base stats'!Y:Y)="Herbivore","VegetarianRoughAnimal",IF(_xlfn.XLOOKUP(B243,'Base stats'!B:B,'Base stats'!Y:Y)="OmnivoreRough","OmnivoreRoughAnimal, OvivoreAnimal","OmnivoreAnimal, OvivoreAnimal"))))))</f>
        <v>VegetarianRoughAnimal</v>
      </c>
      <c r="AZ243" s="2">
        <f>IF(_xlfn.XLOOKUP(_xlfn.XLOOKUP(B243,'Base stats'!B:B,'Base stats'!E:E),Groups!A:A,Groups!D:D)=1,MROUND((1-J243)*5+1,2)*IF(J243&lt;=0.4,2,1),"No")</f>
        <v>8</v>
      </c>
      <c r="BA243" s="2" t="str">
        <f>IF(AND(_xlfn.XLOOKUP(B243,'Base stats'!B:B,'Base stats'!AH:AH)="&lt;li&gt;Seal&lt;/li&gt;",G243="Odyssey"),"&lt;li&gt;AEXP_Seal&lt;/li&gt;",_xlfn.XLOOKUP(B243,'Base stats'!B:B,'Base stats'!AH:AH))</f>
        <v>&lt;li&gt;Yak&lt;/li&gt;</v>
      </c>
      <c r="BB243" s="2" t="str">
        <f>_xlfn.XLOOKUP(B243,'Base stats'!B:B,'Base stats'!AG:AG)</f>
        <v>Leather_Plain</v>
      </c>
      <c r="BC243" s="23" t="str">
        <f>_xlfn.XLOOKUP(_xlfn.XLOOKUP(B243,'Base stats'!B:B,'Base stats'!E:E),Groups!A:A,Groups!AL:AL)</f>
        <v>QuadrupedAnimalWithHooves</v>
      </c>
      <c r="BD243" s="23">
        <f>MIN(1,MROUND(IF(AND(AO243&lt;0.5,_xlfn.XLOOKUP(B243,'Base stats'!B:B,'Base stats'!AA:AA)=0),0,IF(OR(_xlfn.XLOOKUP(Animals!B243,'Base stats'!B:B,'Base stats'!O:O)=2,_xlfn.XLOOKUP(_xlfn.XLOOKUP(B243,'Base stats'!B:B,'Base stats'!E:E),Groups!A:A,Groups!AN:AN)=0),0,_xlfn.XLOOKUP(_xlfn.XLOOKUP(B243,'Base stats'!B:B,'Base stats'!E:E),Groups!A:A,Groups!AN:AN)/IF(_xlfn.XLOOKUP(Animals!B243,'Base stats'!B:B,'Base stats'!O:O)=1,2,1)))+_xlfn.XLOOKUP(B243,'Base stats'!B:B,'Base stats'!AC:AC),0.005))</f>
        <v>1.4999999999999999E-2</v>
      </c>
      <c r="BE243" s="23">
        <f>MIN(1,MROUND(IF(AND(AO243&lt;0.5,_xlfn.XLOOKUP(B243,'Base stats'!B:B,'Base stats'!AA:AA)=0),0,IF(_xlfn.XLOOKUP(_xlfn.XLOOKUP(B243,'Base stats'!B:B,'Base stats'!E:E),Groups!A:A,Groups!AO:AO)=0,0,_xlfn.XLOOKUP(_xlfn.XLOOKUP(B243,'Base stats'!B:B,'Base stats'!E:E),Groups!A:A,Groups!AO:AO)/IF(_xlfn.XLOOKUP(Animals!B243,'Base stats'!B:B,'Base stats'!O:O)=2,3,1)))+_xlfn.XLOOKUP(B243,'Base stats'!B:B,'Base stats'!AD:AD),0.005))</f>
        <v>0.1</v>
      </c>
      <c r="BF243" s="2" t="str">
        <f>IF(J243&gt;0.3,"No",_xlfn.XLOOKUP(_xlfn.XLOOKUP(Animals!B243,'Base stats'!B:B,'Base stats'!E:E),Groups!A:A,Groups!AP:AP))</f>
        <v>No</v>
      </c>
      <c r="BG243" s="2" t="str">
        <f>IF(AND(J243&lt;=0.65,_xlfn.XLOOKUP(_xlfn.XLOOKUP(Animals!B243,'Base stats'!B:B,'Base stats'!E:E),Groups!A:A,Groups!AP:AP)&lt;&gt;"No",_xlfn.XLOOKUP(_xlfn.XLOOKUP(B243,'Base stats'!B:B,'Base stats'!E:E),Groups!A:A,Groups!D:D)=0),MROUND((80/3)*IF(_xlfn.XLOOKUP(B243,'Base stats'!B:B,'Base stats'!O:O)=2,0.2,AO243) + 24*(1-IF(BF243="No",0,BF243)) + 16/3, 12),"No")</f>
        <v>No</v>
      </c>
      <c r="BH243" s="2">
        <f>IF(AND(_xlfn.XLOOKUP(_xlfn.XLOOKUP(B243,'Base stats'!B:B,'Base stats'!E:E),Groups!A:A,Groups!AQ:AQ)=1,AO243&lt;=0.35),8,12)</f>
        <v>12</v>
      </c>
      <c r="BI243" s="2" t="str">
        <f>IF(_xlfn.XLOOKUP(_xlfn.XLOOKUP(B243,'Base stats'!B:B,'Base stats'!E:E),Groups!A:A,Groups!D:D)=0,_xlfn.XLOOKUP(_xlfn.XLOOKUP(B243,'Base stats'!B:B,'Base stats'!E:E),Groups!A:A,Groups!AR:AR),"None")</f>
        <v>None</v>
      </c>
      <c r="BJ243" s="2" t="str">
        <f>IF(AND(_xlfn.XLOOKUP(_xlfn.XLOOKUP(B243,'Base stats'!B:B,'Base stats'!E:E),Groups!A:A,Groups!AS:AS)=1,OR(_xlfn.XLOOKUP(B243,'Base stats'!B:B,'Base stats'!Y:Y)="Carnivore",_xlfn.XLOOKUP(B243,'Base stats'!B:B,'Base stats'!Y:Y)="Omnivore")),"true","false")</f>
        <v>false</v>
      </c>
      <c r="BK243" s="2" t="str">
        <f>IF(BJ243="true",MROUND(IF(AND(AO243&gt;0.5,OR(_xlfn.XLOOKUP(_xlfn.XLOOKUP(B243,'Base stats'!B:B,'Base stats'!E:E),Groups!A:A,Groups!AJ:AJ)="Photonozoa",_xlfn.XLOOKUP(_xlfn.XLOOKUP(B243,'Base stats'!B:B,'Base stats'!E:E),Groups!A:A,Groups!AJ:AJ)="Mammal")),Animals!AO243*1.75*IF(AW243="true",1.5,1),IF(AO243&lt;0.5,Animals!AO243*0.5,Animals!AO243)),IF(AO243&gt;2,0.5,IF(AO243&gt;0.5,0.25,0.1))),"No")</f>
        <v>No</v>
      </c>
      <c r="BL243" s="2">
        <f t="shared" si="24"/>
        <v>0</v>
      </c>
      <c r="BM243" s="25" t="str">
        <f>IF(_xlfn.XLOOKUP(B243,'Base stats'!B:B,'Base stats'!AN:AN)="Standard","No",MROUND((_xlfn.XLOOKUP(B243,'Base stats'!B:B,'Base stats'!AN:AN)/3.6)/I243,0.1))</f>
        <v>No</v>
      </c>
      <c r="BN243" s="25" t="str">
        <f t="shared" si="25"/>
        <v>false</v>
      </c>
      <c r="BO243" s="25" t="str">
        <f>IF(AND(OR(_xlfn.XLOOKUP(B243,'Base stats'!B:B,'Base stats'!Y:Y)="Carnivore",_xlfn.XLOOKUP(B243,'Base stats'!B:B,'Base stats'!Y:Y)="Omnivore",_xlfn.XLOOKUP(B243,'Base stats'!B:B,'Base stats'!Y:Y)="OmnivoreRough"),_xlfn.XLOOKUP(_xlfn.XLOOKUP(B243,'Base stats'!B:B,'Base stats'!E:E),Groups!A:A,Groups!AT:AT)=1),"true","false")</f>
        <v>false</v>
      </c>
      <c r="BP243" s="25" t="str" cm="1">
        <f t="array" ref="BP243">IF(
  _xlfn.TEXTJOIN(", ",TRUE,
    IF(AND(BJ243="true",AO243&gt;0.5,BI243&lt;&gt;"None"),"AttackTarget",""),
    IF(AND(_xlfn.XLOOKUP(_xlfn.XLOOKUP(B243,'Base stats'!B:B,'Base stats'!E:E),Groups!A:A,Groups!AJ:AJ="Mammal"),OR(_xlfn.XLOOKUP(B243,'Base stats'!B:B,'Base stats'!Y:Y)="Omnivore",_xlfn.XLOOKUP(B243,'Base stats'!B:B,'Base stats'!Y:Y)="OmnivoreRough")),"Forage",""),
    IF(BG243&lt;=36,"Comfort",""),
    IF(_xlfn.XLOOKUP(B243,'Base stats'!B:B,'Base stats'!AE:AE)&lt;&gt;"No",_xlfn.XLOOKUP(B243,'Base stats'!B:B,'Base stats'!AE:AE),"")
  ) = "",
  "No",
  _xlfn.TEXTJOIN(", ",TRUE,
    IF(AND(BJ243="true",AO243&gt;0.5,BI243&lt;&gt;"None"),"AttackTarget",""),
    IF(AND(_xlfn.XLOOKUP(_xlfn.XLOOKUP(B243,'Base stats'!B:B,'Base stats'!E:E),Groups!A:A,Groups!AJ:AJ="Mammal"),OR(_xlfn.XLOOKUP(B243,'Base stats'!B:B,'Base stats'!Y:Y)="Omnivore",_xlfn.XLOOKUP(B243,'Base stats'!B:B,'Base stats'!Y:Y)="OmnivoreRough")),"Forage",""),
    IF(BG243&lt;=36,"Comfort",""),
    IF(_xlfn.XLOOKUP(B243,'Base stats'!B:B,'Base stats'!AE:AE)&lt;&gt;"No",_xlfn.XLOOKUP(B243,'Base stats'!B:B,'Base stats'!AE:AE),"")
  )
)</f>
        <v>No</v>
      </c>
      <c r="BQ243" s="25" t="str">
        <f>IF(
   AND(
      'Base stats'!AN243="Standard",_xlfn.XLOOKUP(_xlfn.XLOOKUP(B243,'Base stats'!B:B,'Base stats'!E:E),Groups!A:A,Groups!AU:AU)=0,
      OR(
      BO243="True"
      )
   ),
   10,
   IF(
       OR(BM243&lt;&gt;"No",_xlfn.XLOOKUP(_xlfn.XLOOKUP(B243,'Base stats'!B:B,'Base stats'!E:E),Groups!A:A,Groups!AU:AU)=1),
      1,
      "No"
   )
)</f>
        <v>No</v>
      </c>
      <c r="BR243" s="9">
        <f>MROUND((1 + ((0.2*IF(OR(Q243="No",R243="No",R243=0),0,Q243/R243)
+IF(OR(V243="No",S243="No",T243="No"),0,S243/T243*(LEN(V243)-LEN(SUBSTITUTE(V243,",",""))+1))
+IF(OR(X243="No",Y243="No"),0,X243/Y243)
+IF(OR(AD243="No",AE243="No"),0,AD243/AE243)
+IF(OR(AL243="No",AI243="No",AJ243="No"),0,AI243/AJ243*(LEN(AL243)-LEN(SUBSTITUTE(AL243,",",""))+1))
)/(0.2*IF(OR(Q243="No",R243="No",R243=0),0,1)
+IF(OR(V243="No",S243="No",T243="No"),0,LEN(V243)-LEN(SUBSTITUTE(V243,",",""))+1)
+IF(OR(X243="No",Y243="No"),0,1)
+IF(OR(AD243="No",AE243="No"),0,1)
+IF(OR(AL243="No",AI243="No",AJ243="No"),0,LEN(AL243)-LEN(SUBSTITUTE(AL243,",",""))+1))*62%)* 2)*(1 + (AP243 / (IF(_xlfn.XLOOKUP(_xlfn.XLOOKUP(B243,'Base stats'!B:B,'Base stats'!E:E),Groups!A:A,Groups!AJ:AJ)="Photonozoa",0.3,1)) + _xlfn.XLOOKUP(B243,'Base stats'!B:B,'Base stats'!AV:AV) * 1.8) * 2) * 2.5 + 10 + I243 * 2,5)+IF(_xlfn.XLOOKUP(B243,'Base stats'!B:B,'Base stats'!AK:AK)=1,50,0)</f>
        <v>210</v>
      </c>
      <c r="BS243" s="8">
        <f t="shared" si="26"/>
        <v>1.6500000000000001</v>
      </c>
      <c r="BT243" s="8" t="str">
        <f>_xlfn.XLOOKUP(B243,'Base stats'!B:B,'Base stats'!AF:AF)</f>
        <v>3~10</v>
      </c>
      <c r="BU243" s="2" t="str">
        <f>IF(AND(J243&lt;=0.95,OR(_xlfn.XLOOKUP(B243,'Base stats'!B:B,'Base stats'!AK:AK)=1,_xlfn.XLOOKUP(B243,'Base stats'!B:B,'Base stats'!Y:Y)="Carnivore",_xlfn.XLOOKUP(B243,'Base stats'!B:B,'Base stats'!Y:Y)="Omnivore",BE243&gt;0.1)),"true","false")</f>
        <v>false</v>
      </c>
      <c r="BV243" s="2" t="str">
        <f>IF(_xlfn.XLOOKUP(B243,'Base stats'!B:B,'Base stats'!AI:AI)=1,"true","false")</f>
        <v>true</v>
      </c>
      <c r="BW243" s="25" t="str">
        <f>IF(E243="BaseInsect","AnimalInsect",
IF(J243&gt;0.95,"AnimalExotic",
_xlfn.TEXTJOIN(", ",TRUE,
IF(OR(_xlfn.XLOOKUP(B243,'Base stats'!B:B,'Base stats'!AM:AM)=1,AND(_xlfn.XLOOKUP(B243,'Base stats'!B:B,'Base stats'!O:O)=0,_xlfn.XLOOKUP(_xlfn.XLOOKUP(B243,'Base stats'!B:B,'Base stats'!E:E),Groups!A:A,Groups!B:B)&gt;0)),"AnimalUncommon","AnimalCommon"),
IF(AND(_xlfn.XLOOKUP(B243,'Base stats'!B:B,'Base stats'!O:O)=2,_xlfn.XLOOKUP(_xlfn.XLOOKUP(B243,'Base stats'!B:B,'Base stats'!E:E),Groups!A:A,Groups!D:D)=0),"AnimalPet",IF(AND(_xlfn.XLOOKUP(B243,'Base stats'!B:B,'Base stats'!O:O)&lt;&gt;0,_xlfn.XLOOKUP(_xlfn.XLOOKUP(B243,'Base stats'!B:B,'Base stats'!E:E),Groups!A:A,Groups!D:D)&lt;&gt;0),"AnimalFarm","")),
IF(OR(_xlfn.XLOOKUP(B243,'Base stats'!B:B,'Base stats'!AK:AK)=1,AND(BI243&lt;&gt;"None",BR243&gt;=60),ISNUMBER(SEARCH("Attack target",BP243))),"AnimalFighter","")
)))</f>
        <v>AnimalUncommon, AnimalFarm</v>
      </c>
      <c r="BX243" s="25" t="str">
        <f>IF(G243="None",TRIM(
SUBSTITUTE(
IF(COUNTIF(Biomes!B$2:B$259,"="&amp;$C243)&gt;0,Biomes!B$1&amp;", ","")&amp;
IF(COUNTIF(Biomes!C$2:C$259,"="&amp;$C243)&gt;0,Biomes!C$1&amp;", ","")&amp;
IF(COUNTIF(Biomes!D$2:D$259,"="&amp;$C243)&gt;0,Biomes!D$1&amp;", ","")&amp;
IF(COUNTIF(Biomes!F$2:F$259,"="&amp;$C243)&gt;0,Biomes!F$1&amp;", ","")&amp;
IF(COUNTIF(Biomes!G$2:G$259,"="&amp;$C243)&gt;0,Biomes!G$1&amp;", ","")&amp;
IF(COUNTIF(Biomes!H$2:H$259,"="&amp;$C243)&gt;0,Biomes!H$1&amp;", ","")&amp;
IF(COUNTIF(Biomes!I$2:I$259,"="&amp;$C243)&gt;0,Biomes!I$1&amp;", ","")&amp;
IF(COUNTIF(Biomes!J$2:J$259,"="&amp;$C243)&gt;0,Biomes!J$1&amp;", ","")&amp;
IF(COUNTIF(Biomes!M$2:M$259,"="&amp;$C243)&gt;0,Biomes!M$1&amp;", ","")&amp;
IF(COUNTIF(Biomes!N$2:N$259,"="&amp;$C243)&gt;0,Biomes!N$1&amp;", ","")&amp;
IF(COUNTIF(Biomes!O$2:O$259,"="&amp;$C243)&gt;0,Biomes!O$1&amp;", ","")&amp;
IF(COUNTIF(Biomes!P$2:P$259,"="&amp;$C243)&gt;0,Biomes!P$1&amp;", ","")&amp;
IF(COUNTIF(Biomes!K$2:K$259,"="&amp;$C243)&gt;0,Biomes!K$1&amp;", ","")&amp;
IF(COUNTIF(Biomes!Q$3:Q$259,"="&amp;$C243)&gt;0,Biomes!Q$1&amp;", ","")&amp;
IF(COUNTIF(Biomes!L$2:L$259,"="&amp;$C243)&gt;0,Biomes!L$1&amp;", ","")&amp;
IF(COUNTIF(Biomes!E$2:E$259,"="&amp;$C243)&gt;0,Biomes!E$1&amp;", ","")&amp;IF(COUNTIF(Biomes!S$2:S$259,"="&amp;$C243)&gt;0,Biomes!S$1&amp;", ","")&amp;
IF(COUNTIF(Biomes!R$2:R$259,"="&amp;$C243)&gt;0,Biomes!R$1&amp;", ",""),", ","")
),_xlfn.XLOOKUP(B243,B:B,BX:BX))</f>
        <v>SeaIce IceSheet Tundra BorealForest ColdBog TemperateForest TemperateSwamp AridShrubland Desert ExtremeDesert TropicalRainforest TropicalSwamp Grasslands Glowforest LavaField GlacialPlain Scarlands</v>
      </c>
      <c r="BY243" s="25" t="str">
        <f>IF(_xlfn.XLOOKUP(B243,'Base stats'!B:B,'Base stats'!AJ:AJ)=1,"true","false")</f>
        <v>false</v>
      </c>
      <c r="BZ243" s="25">
        <f>IF(_xlfn.XLOOKUP(B243,'Base stats'!B:B,'Base stats'!N:N)=1,"No",MAX(0.001,MIN(MROUND(IF(AND(BJ243="True",CC243="False"),POWER(10,3.47*LOG10(_xlfn.XLOOKUP(B243,'Base stats'!B:B,'Base stats'!C:C)*1000)^-0.96),POWER(10,4.15*LOG10(_xlfn.XLOOKUP(B243,'Base stats'!B:B,'Base stats'!C:C)*1000)^-0.73))*IF(_xlfn.XLOOKUP(B243,'Base stats'!B:B,'Base stats'!AK:AK)=1,0.5,1)*IF(_xlfn.XLOOKUP(B243,'Base stats'!B:B,'Base stats'!AM:AM)=1,0.1,1)/100,IF(_xlfn.XLOOKUP(B243,'Base stats'!B:B,'Base stats'!AM:AM)=1,0.001,0.025)),0.5)))</f>
        <v>1.4E-2</v>
      </c>
      <c r="CA243" s="25" t="str">
        <f>IF(P243="Standard","No",MAX(0.001,MIN(MROUND(IF(AND(BJ243="True",CC243="False"),POWER(10,3.47*LOG10(_xlfn.XLOOKUP(B243,'Base stats'!B:B,'Base stats'!C:C)*1000)^-0.96),POWER(10,4.15*LOG10(_xlfn.XLOOKUP(B243,'Base stats'!B:B,'Base stats'!C:C)*1000)^-0.73))*IF(_xlfn.XLOOKUP(B243,'Base stats'!B:B,'Base stats'!AM:AM)=1,0.1,1)*_xlfn.XLOOKUP(B243,'Base stats'!B:B,'Base stats'!R:R)/100,IF(_xlfn.XLOOKUP(B243,'Base stats'!B:B,'Base stats'!AM:AM)=1,0.001,0.025)),0.5)))</f>
        <v>No</v>
      </c>
      <c r="CB243" s="25" t="str">
        <f>IF(_xlfn.XLOOKUP(_xlfn.XLOOKUP(B243,'Base stats'!B:B,'Base stats'!E:E),Groups!A:A,Groups!AJ:AJ)="Mammal","True","False")</f>
        <v>True</v>
      </c>
      <c r="CC243" s="25" t="str">
        <f>IF(OR(_xlfn.XLOOKUP(_xlfn.XLOOKUP(B243,'Base stats'!B:B,'Base stats'!E:E),Groups!A:A,Groups!AJ:AJ)="Reptile",_xlfn.XLOOKUP(_xlfn.XLOOKUP(B243,'Base stats'!B:B,'Base stats'!E:E),Groups!A:A,Groups!AJ:AJ)="Amphibian",_xlfn.XLOOKUP(_xlfn.XLOOKUP(B243,'Base stats'!B:B,'Base stats'!E:E),Groups!A:A,Groups!AJ:AJ)="Invertebrate"),"True","False")</f>
        <v>False</v>
      </c>
      <c r="CD243" s="25" t="str">
        <f t="shared" si="27"/>
        <v>False</v>
      </c>
      <c r="CE243" s="25" t="str">
        <f>IF(_xlfn.XLOOKUP(_xlfn.XLOOKUP(B243,'Base stats'!B:B,'Base stats'!E:E),Groups!A:A,Groups!AX:AX),"True","False")</f>
        <v>False</v>
      </c>
      <c r="CF243" s="25" t="str">
        <f>IF(_xlfn.XLOOKUP(_xlfn.XLOOKUP(B243,'Base stats'!B:B,'Base stats'!E:E),Groups!A:A,Groups!AY:AY),"True","False")</f>
        <v>False</v>
      </c>
      <c r="CG243" s="25" t="str">
        <f>IF(_xlfn.XLOOKUP(_xlfn.XLOOKUP(B243,'Base stats'!B:B,'Base stats'!E:E),Groups!A:A,Groups!AW:AW),"True","False")</f>
        <v>False</v>
      </c>
      <c r="CH243" s="25" t="str">
        <f>IF(
OR(
_xlfn.XLOOKUP(_xlfn.XLOOKUP(B243,'Base stats'!B:B,'Base stats'!E:E),Groups!A:A,Groups!AZ:AZ)=0,
AND(
_xlfn.XLOOKUP(B243,'Base stats'!B:B,'Base stats'!Y:Y)&lt;&gt;"Carnivore",
_xlfn.XLOOKUP(B243,'Base stats'!B:B,'Base stats'!Y:Y)&lt;&gt;"Omnivore",
_xlfn.XLOOKUP(B243,'Base stats'!B:B,'Base stats'!Y:Y)&lt;&gt;"OmnivoreRough"
)
),
"No",
IF(
_xlfn.XLOOKUP(_xlfn.XLOOKUP(B243,'Base stats'!B:B,'Base stats'!E:E),Groups!A:A,Groups!AZ:AZ)=1,
"Flesh",
IF(
_xlfn.XLOOKUP(_xlfn.XLOOKUP(B243,'Base stats'!B:B,'Base stats'!E:E),Groups!A:A,Groups!AZ:AZ)=2,
"Bone",
""
)
)
)</f>
        <v>No</v>
      </c>
      <c r="CI243" s="25" t="str">
        <f>IF(_xlfn.XLOOKUP(_xlfn.XLOOKUP(B243,'Base stats'!B:B,'Base stats'!E:E),Groups!A:A,Groups!BB:BB),"True","False")</f>
        <v>True</v>
      </c>
      <c r="CJ243" s="25" t="str">
        <f>IF(_xlfn.XLOOKUP(_xlfn.XLOOKUP(B243,'Base stats'!B:B,'Base stats'!E:E),Groups!A:A,Groups!BA:BA),"True","False")</f>
        <v>False</v>
      </c>
    </row>
    <row r="244" spans="1:88" ht="16.5" thickTop="1" thickBot="1" x14ac:dyDescent="0.3">
      <c r="A244" s="26" t="s">
        <v>1394</v>
      </c>
      <c r="B244" s="6" t="str">
        <f>_xlfn.XLOOKUP(A244,'Base stats'!A:A,'Base stats'!B:B)</f>
        <v>Formica chemurgica</v>
      </c>
      <c r="C244" s="28" t="s">
        <v>1395</v>
      </c>
      <c r="D244" s="28" t="s">
        <v>1341</v>
      </c>
      <c r="E244" s="28" t="s">
        <v>1747</v>
      </c>
      <c r="F244" s="28" t="s">
        <v>673</v>
      </c>
      <c r="G244" s="28" t="s">
        <v>673</v>
      </c>
      <c r="H244" s="2">
        <f>MROUND((
  (IF(AND(_xlfn.XLOOKUP(B244,'Base stats'!B:B,'Base stats'!AL:AL)=0,BI244="None",_xlfn.XLOOKUP(_xlfn.XLOOKUP(B244,'Base stats'!B:B,'Base stats'!E:E),Groups!A:A,Groups!B:B)=0), (18 + BR244 * 2.7) * 0.5,
    IF(AND(_xlfn.XLOOKUP(B244,'Base stats'!B:B,'Base stats'!AL:AL)=0,OR(AO244&lt;0.55,AND(BI244="Intermediate",_xlfn.XLOOKUP(_xlfn.XLOOKUP(B244,'Base stats'!B:B,'Base stats'!E:E),Groups!A:A,Groups!B:B)&lt;2))), (18 + BR244 * 2.7),
      IF(OR(BI244="Advanced",_xlfn.XLOOKUP(B244,'Base stats'!B:B,'Base stats'!AL:AL)=1,_xlfn.XLOOKUP(_xlfn.XLOOKUP(B244,'Base stats'!B:B,'Base stats'!E:E),Groups!A:A,Groups!B:B)=2), (18 + BR244 * 2.7) + 250, (18 + BR244 * 2.7))
    )
  ))
  + AO244 * 80
  + IF(COUNTIF(EggMilk!K$2:K$998, A244) &gt; 0, 125, 0)
  + IF(COUNTIF(EggMilk!P$2:P$998, A244) &gt; 0, 90, 0)
  + IF(COUNTIF(EggMilk!A$2:A$998, A244) &gt; 0, 90, 0)
)
* (0.8 + 0.4 * J244)
* 0.75,25)</f>
        <v>850</v>
      </c>
      <c r="I244" s="2">
        <f>MROUND(ROUNDDOWN(_xlfn.XLOOKUP(B244,'Base stats'!B:B,'Base stats'!L:L)/3.6/(23.3/11),1),0.5)</f>
        <v>3</v>
      </c>
      <c r="J244" s="2">
        <f>IF(OR(_xlfn.XLOOKUP(B244,'Base stats'!B:B,'Base stats'!AB:AB)=1,_xlfn.XLOOKUP(_xlfn.XLOOKUP(B244,'Base stats'!B:B,'Base stats'!E:E),Groups!A:A,Groups!C:C)="Untamable"),1,IF(_xlfn.XLOOKUP(B244,'Base stats'!B:B,'Base stats'!AL:AL)=1,0.99,MIN(MROUND((1-0.6282*EXP(-0.459*AO244))*_xlfn.XLOOKUP(_xlfn.XLOOKUP(B244,'Base stats'!B:B,'Base stats'!E:E),Groups!A:A,Groups!C:C)*IF(_xlfn.XLOOKUP(B244,'Base stats'!B:B,'Base stats'!O:O)=1,0.5,IF(_xlfn.XLOOKUP(B244,'Base stats'!B:B,'Base stats'!O:O)=2,0,1)),0.05),IF(AO244&gt;3.5,0.985,0.95))))</f>
        <v>0.85000000000000009</v>
      </c>
      <c r="K244" s="2">
        <f>ROUNDUP(AO244*_xlfn.XLOOKUP(_xlfn.XLOOKUP(B244,'Base stats'!B:B,'Base stats'!E:E),Groups!A:A,Groups!E:E),0)</f>
        <v>3</v>
      </c>
      <c r="L244" s="2">
        <f>IF(OR(_xlfn.XLOOKUP(_xlfn.XLOOKUP(B244,'Base stats'!B:B,'Base stats'!E:E),Groups!A:A,Groups!F:F)=2,ISNUMBER(SEARCH("SeaIce",BX244)),ISNUMBER(SEARCH("IceSheet",BX244))),-50,IF(OR(ISNUMBER(SEARCH("GlacialPlain",BX244)),ISNUMBER(SEARCH("Tundra",BX244))),-40,IF(OR(ISNUMBER(SEARCH("Alpine",BX244)),ISNUMBER(SEARCH("BorealForest",BX244)),ISNUMBER(SEARCH("ColdBog",BX244))),-30,IF(OR(ISNUMBER(SEARCH("TemperateForest",BX244)),ISNUMBER(SEARCH("TemperateSwamp",BX244))),-20,IF(_xlfn.XLOOKUP(_xlfn.XLOOKUP(B244,'Base stats'!B:B,'Base stats'!E:E),Groups!A:A,Groups!F:F)=1,-15,IF(OR(ISNUMBER(SEARCH("Desert",BX244)),ISNUMBER(SEARCH("ExtremeDesert",BX244))),-10,IF(OR(ISNUMBER(SEARCH("Grasslands",BX244)),ISNUMBER(SEARCH("TropicalRainforest",BX244)),ISNUMBER(SEARCH("TropicalSwamp",BX244))),10,0)))))))-IF(CC244="False",MIN(IFERROR(MAX(MROUND(LOG10(_xlfn.XLOOKUP(B244,'Base stats'!B:B,'Base stats'!C:C)^(2/3))*10,5),5),5),30))-_xlfn.XLOOKUP(B244,'Base stats'!B:B,'Base stats'!P:P)+IF(CC244="True",5,0)</f>
        <v>5</v>
      </c>
      <c r="M244" s="2">
        <f>IF(OR(_xlfn.XLOOKUP(_xlfn.XLOOKUP(B244,'Base stats'!B:B,'Base stats'!E:E),Groups!A:A,Groups!G:G)=2,ISNUMBER(SEARCH("Desert",BX244)),ISNUMBER(SEARCH("ExtremeDesert",BX244)),ISNUMBER(SEARCH("LavaField",BX244))),50,IF(ISNUMBER(SEARCH("Grasslands",BX244)),45,IF(OR(_xlfn.XLOOKUP(_xlfn.XLOOKUP(B244,'Base stats'!B:B,'Base stats'!E:E),Groups!A:A,Groups!G:G)=1,ISNUMBER(SEARCH("TropicalRainforest",BX244)),ISNUMBER(SEARCH("TropicalSwamp",BX244))),40,IF(OR(ISNUMBER(SEARCH("TemperateForest",BX244)),ISNUMBER(SEARCH("TemperateSwamp",BX244))),35,IF(OR(ISNUMBER(SEARCH("Alpine",BX244)),ISNUMBER(SEARCH("BorealForest",BX244)),ISNUMBER(SEARCH("ColdBog",BX244))),30,IF(ISNUMBER(OR(ISNUMBER(SEARCH("GlacialPlain",BX244)),SEARCH("Tundra",BX244))),25,IF(OR(ISNUMBER(SEARCH("SeaIce",BX244)),ISNUMBER(SEARCH("IceSheet",BX244)),ISNUMBER(SEARCH("TropicalSwamp",BX244))),10,35)))))))+_xlfn.XLOOKUP(B244,'Base stats'!B:B,'Base stats'!Q:Q)</f>
        <v>50</v>
      </c>
      <c r="N244" s="8">
        <f>IF(
_xlfn.XLOOKUP(
_xlfn.XLOOKUP(B244,'Base stats'!B:B,'Base stats'!E:E),
Groups!A:A,
Groups!L:L
)=1,
MIN(
MROUND(
IF(
_xlfn.XLOOKUP(B244,'Animals CE'!B:B,'Animals CE'!Z:Z)&lt;=1.5,
_xlfn.XLOOKUP(B244,'Animals CE'!B:B,'Animals CE'!Z:Z)/2+0.05,
0.8+
(_xlfn.XLOOKUP(B244,'Animals CE'!B:B,'Animals CE'!Z:Z)-1.5)
*0.02
),
0.05
),
200%
),
"No"
)</f>
        <v>0.8</v>
      </c>
      <c r="O244" s="8">
        <f>IF(
_xlfn.XLOOKUP(
_xlfn.XLOOKUP(B244,'Base stats'!B:B,'Base stats'!E:E),
Groups!A:A,
Groups!L:L
)=1,
MIN(
MROUND(
IF(
_xlfn.XLOOKUP(B244,'Animals CE'!B:B,'Animals CE'!AA:AA)&lt;=1.5,
_xlfn.XLOOKUP(B244,'Animals CE'!B:B,'Animals CE'!AA:AA)/2+0.05,
0.8+
(_xlfn.XLOOKUP(B244,'Animals CE'!B:B,'Animals CE'!AA:AA)-1.5)
*0.02
),
0.05
),
200%
),
"No"
)</f>
        <v>0.15000000000000002</v>
      </c>
      <c r="P244" s="2" t="str">
        <f>_xlfn.XLOOKUP(B244,'Base stats'!B:B,'Base stats'!R:R)</f>
        <v>Standard</v>
      </c>
      <c r="Q244" s="13">
        <f>MROUND((LOG10(_xlfn.XLOOKUP(B244,'Base stats'!B:B,'Base stats'!AR:AR))*(AO244^0.5)+(_xlfn.XLOOKUP(B244,'Base stats'!B:B,'Base stats'!AR:AR)/1000)^(2/3)+_xlfn.XLOOKUP(B244,'Base stats'!B:B,'Base stats'!BA:BA)/2)+0.5,0.5)</f>
        <v>12</v>
      </c>
      <c r="R244" s="7">
        <f>IF(Q244="No","No",MAX(1,MROUND(_xlfn.XLOOKUP(B244,'Base stats'!B:B,'Base stats'!C:C)^0.165,0.05)))</f>
        <v>2.5</v>
      </c>
      <c r="S244" s="13" t="str">
        <f>IF(_xlfn.XLOOKUP(_xlfn.XLOOKUP(B244,'Base stats'!B:B,'Base stats'!E:E),Groups!A:A,Groups!P:P)=0,"No",MROUND((LOG10(_xlfn.XLOOKUP(B244,'Base stats'!B:B,'Base stats'!AS:AS))*(AO244^0.5)+(_xlfn.XLOOKUP(B244,'Base stats'!B:B,'Base stats'!AS:AS)/1000)^(2/3)+_xlfn.XLOOKUP(B244,'Base stats'!B:B,'Base stats'!BA:BA))+_xlfn.XLOOKUP(B244,'Base stats'!B:B,'Base stats'!AY:AY)+0.5,0.5))</f>
        <v>No</v>
      </c>
      <c r="T244" s="7" t="str">
        <f>IF(S244="No","No",MAX(_xlfn.XLOOKUP(_xlfn.XLOOKUP(B244,'Base stats'!B:B,'Base stats'!E:E),Groups!A:A,Groups!Q:Q),MROUND(_xlfn.XLOOKUP(_xlfn.XLOOKUP(B244,'Base stats'!B:B,'Base stats'!E:E),Groups!A:A,Groups!Q:Q)*_xlfn.XLOOKUP(B244,'Base stats'!B:B,'Base stats'!C:C)^0.165,0.05)))</f>
        <v>No</v>
      </c>
      <c r="U244" s="7" t="str">
        <f>IF(S244="No","No",_xlfn.XLOOKUP(_xlfn.XLOOKUP(B244,'Base stats'!B:B,'Base stats'!E:E),Groups!A:A,Groups!R:R))</f>
        <v>No</v>
      </c>
      <c r="V244" s="7" t="str">
        <f>IF(S244="No","No",_xlfn.XLOOKUP(_xlfn.XLOOKUP(B244,'Base stats'!B:B,'Base stats'!E:E),Groups!A:A,Groups!S:S))</f>
        <v>No</v>
      </c>
      <c r="W244" s="7" t="str">
        <f>IF(S244="No","No",_xlfn.XLOOKUP(_xlfn.XLOOKUP(B244,'Base stats'!B:B,'Base stats'!E:E),Groups!A:A,Groups!T:T))</f>
        <v>No</v>
      </c>
      <c r="X244" s="13" t="str">
        <f>IF(_xlfn.XLOOKUP(B244,'Base stats'!B:B,'Base stats'!W:W)="No","No",MROUND((LOG10(_xlfn.XLOOKUP(B244,'Base stats'!B:B,'Base stats'!AU:AU))*(AO244^0.5)+(_xlfn.XLOOKUP(B244,'Base stats'!B:B,'Base stats'!AU:AU)/1000)^(2/3)+_xlfn.XLOOKUP(B244,'Base stats'!B:B,'Base stats'!AZ:AZ))+0.5+IF(_xlfn.XLOOKUP(_xlfn.XLOOKUP(B244,'Base stats'!B:B,'Base stats'!E:E),Groups!A:A,Groups!U:U)&lt;&gt;3,_xlfn.XLOOKUP(B244,'Base stats'!B:B,'Base stats'!BA:BA),0),0.5))</f>
        <v>No</v>
      </c>
      <c r="Y244" s="7" t="str">
        <f>IF(X244="No","No",MAX(_xlfn.XLOOKUP(_xlfn.XLOOKUP(B244,'Base stats'!B:B,'Base stats'!E:E),Groups!A:A,Groups!V:V),MROUND(_xlfn.XLOOKUP(_xlfn.XLOOKUP(B244,'Base stats'!B:B,'Base stats'!E:E),Groups!A:A,Groups!V:V)*_xlfn.XLOOKUP(B244,'Base stats'!B:B,'Base stats'!C:C)^0.165,0.05)))</f>
        <v>No</v>
      </c>
      <c r="Z244" s="7" t="str">
        <f>IF(X244="No","No",_xlfn.XLOOKUP(_xlfn.XLOOKUP(B244,'Base stats'!B:B,'Base stats'!E:E),Groups!A:A,Groups!W:W))</f>
        <v>No</v>
      </c>
      <c r="AA244" s="7" t="str">
        <f>IF(X244="No","No",_xlfn.XLOOKUP(_xlfn.XLOOKUP(B244,'Base stats'!B:B,'Base stats'!E:E),Groups!A:A,Groups!X:X))</f>
        <v>No</v>
      </c>
      <c r="AB244" s="7" t="str">
        <f>IF(X244="No","No",_xlfn.XLOOKUP(_xlfn.XLOOKUP(B244,'Base stats'!B:B,'Base stats'!E:E),Groups!A:A,Groups!Y:Y))</f>
        <v>No</v>
      </c>
      <c r="AC244" s="7" t="str">
        <f>_xlfn.XLOOKUP(Animals!B244,'Base stats'!B:B,'Base stats'!X:X)</f>
        <v>False</v>
      </c>
      <c r="AD244" s="13">
        <f>IF(_xlfn.XLOOKUP(B244,'Base stats'!B:B,'Base stats'!AT:AT)="No","No",MROUND((LOG10(_xlfn.XLOOKUP(B244,'Base stats'!B:B,'Base stats'!AT:AT))*(AO244^0.75)+(_xlfn.XLOOKUP(B244,'Base stats'!B:B,'Base stats'!AT:AT)/1000)^(2/3)+_xlfn.XLOOKUP(B244,'Base stats'!B:B,'Base stats'!AX:AX)+_xlfn.XLOOKUP(B244,'Base stats'!B:B,'Base stats'!BA:BA))+0.5,0.5))</f>
        <v>33.5</v>
      </c>
      <c r="AE244" s="7">
        <f>IF(AD244="No","No",MAX(_xlfn.XLOOKUP(_xlfn.XLOOKUP(B244,'Base stats'!B:B,'Base stats'!E:E),Groups!A:A,Groups!Z:Z),MROUND(_xlfn.XLOOKUP(_xlfn.XLOOKUP(B244,'Base stats'!B:B,'Base stats'!E:E),Groups!A:A,Groups!Z:Z)*_xlfn.XLOOKUP(B244,'Base stats'!B:B,'Base stats'!C:C)^0.165,0.05)))</f>
        <v>3</v>
      </c>
      <c r="AF244" s="7" t="str">
        <f>IF(AD244="No","No",_xlfn.XLOOKUP(_xlfn.XLOOKUP(B244,'Base stats'!B:B,'Base stats'!E:E),Groups!A:A,Groups!AA:AA))</f>
        <v>Mouth</v>
      </c>
      <c r="AG244" s="7" t="str">
        <f>IF(AD244="No","No",_xlfn.XLOOKUP(_xlfn.XLOOKUP(B244,'Base stats'!B:B,'Base stats'!E:E),Groups!A:A,Groups!AB:AB))</f>
        <v>mandibles</v>
      </c>
      <c r="AH244" s="7" t="str">
        <f>IF(AD244="No","No",_xlfn.XLOOKUP(_xlfn.XLOOKUP(B244,'Base stats'!B:B,'Base stats'!E:E),Groups!A:A,Groups!AC:AC))</f>
        <v>Bite</v>
      </c>
      <c r="AI244" s="13" t="str">
        <f>IF(_xlfn.XLOOKUP(_xlfn.XLOOKUP(B244,'Base stats'!B:B,'Base stats'!E:E),Groups!A:A,Groups!AD:AD)=0,"No",MROUND((LOG10(_xlfn.XLOOKUP(B244,'Base stats'!B:B,'Base stats'!AS:AS))*(AO244^0.75)+(_xlfn.XLOOKUP(B244,'Base stats'!B:B,'Base stats'!AS:AS)/1000)^(2/3)+_xlfn.XLOOKUP(B244,'Base stats'!B:B,'Base stats'!AY:AY)+_xlfn.XLOOKUP(B244,'Base stats'!B:B,'Base stats'!BA:BA))+0.5,0.5))</f>
        <v>No</v>
      </c>
      <c r="AJ244" s="7" t="str">
        <f>IF(AI244="No","No",MAX(_xlfn.XLOOKUP(_xlfn.XLOOKUP(B244,'Base stats'!B:B,'Base stats'!E:E),Groups!A:A,Groups!AE:AE),MROUND(_xlfn.XLOOKUP(_xlfn.XLOOKUP(B244,'Base stats'!B:B,'Base stats'!E:E),Groups!A:A,Groups!AE:AE)*IF(_xlfn.XLOOKUP(_xlfn.XLOOKUP(B244,'Base stats'!B:B,'Base stats'!E:E),Groups!A:A,Groups!AJ:AJ)="Photonozoa",0.6,1)*_xlfn.XLOOKUP(B244,'Base stats'!B:B,'Base stats'!C:C)^0.165,0.05)))</f>
        <v>No</v>
      </c>
      <c r="AK244" s="7" t="str">
        <f>IF(AI244="No","No",_xlfn.XLOOKUP(_xlfn.XLOOKUP(B244,'Base stats'!B:B,'Base stats'!E:E),Groups!A:A,Groups!AF:AF))</f>
        <v>No</v>
      </c>
      <c r="AL244" s="7" t="str">
        <f>IF(AI244="No","No",_xlfn.XLOOKUP(_xlfn.XLOOKUP(B244,'Base stats'!B:B,'Base stats'!E:E),Groups!A:A,Groups!AG:AG))</f>
        <v>No</v>
      </c>
      <c r="AM244" s="7" t="str">
        <f>IF(AI244="No","No",_xlfn.XLOOKUP(_xlfn.XLOOKUP(B244,'Base stats'!B:B,'Base stats'!E:E),Groups!A:A,Groups!AH:AH))</f>
        <v>No</v>
      </c>
      <c r="AN244" s="2" t="str">
        <f t="shared" si="21"/>
        <v>No</v>
      </c>
      <c r="AO244" s="2">
        <f>MROUND(IF(AND(_xlfn.XLOOKUP(B244,'Base stats'!B:B,'Base stats'!C:C)&gt;=0.5,_xlfn.XLOOKUP(B244,'Base stats'!B:B,'Base stats'!C:C)&lt;=0.8),
IF(_xlfn.XLOOKUP(B244,'Base stats'!B:B,'Base stats'!C:C)&lt;0.1,0.05,IF(_xlfn.XLOOKUP(B244,'Base stats'!B:B,'Base stats'!C:C)&lt;=70,(_xlfn.XLOOKUP(B244,'Base stats'!B:B,'Base stats'!C:C)/70)^0.426489913056526,IF(_xlfn.XLOOKUP(B244,'Base stats'!B:B,'Base stats'!C:C)&lt;=400,(_xlfn.XLOOKUP(B244,'Base stats'!B:B,'Base stats'!C:C)/70)^0.572811455315093,IF(_xlfn.XLOOKUP(B244,'Base stats'!B:B,'Base stats'!C:C)&lt;=2000,2.71391647193063*(_xlfn.XLOOKUP(B244,'Base stats'!B:B,'Base stats'!C:C)/400)^0.252459582904293,3.74314280240376*(_xlfn.XLOOKUP(B244,'Base stats'!B:B,'Base stats'!C:C)/2000)^0.357012633876913)))),
IF(_xlfn.XLOOKUP(B244,'Base stats'!B:B,'Base stats'!C:C)&lt;0.1,0.05,IF(_xlfn.XLOOKUP(B244,'Base stats'!B:B,'Base stats'!C:C)&lt;0.4,0.1,IF(_xlfn.XLOOKUP(B244,'Base stats'!B:B,'Base stats'!C:C)&lt;=70,(_xlfn.XLOOKUP(B244,'Base stats'!B:B,'Base stats'!C:C)/70)^0.445823913056526,IF(_xlfn.XLOOKUP(B244,'Base stats'!B:B,'Base stats'!C:C)&lt;=400,(_xlfn.XLOOKUP(B244,'Base stats'!B:B,'Base stats'!C:C)/70)^0.572811455315093,IF(_xlfn.XLOOKUP(B244,'Base stats'!B:B,'Base stats'!C:C)&lt;=2000,2.71391647193063*(_xlfn.XLOOKUP(B244,'Base stats'!B:B,'Base stats'!C:C)/400)^0.252459582904293,3.74314280240376*(_xlfn.XLOOKUP(B244,'Base stats'!B:B,'Base stats'!C:C)/2000)^0.357012633876913)))))),
IF(_xlfn.XLOOKUP(B244,'Base stats'!B:B,'Base stats'!C:C)&lt;0.1,0.05,IF(_xlfn.XLOOKUP(B244,'Base stats'!B:B,'Base stats'!C:C)&lt;=100,0.05,IF(_xlfn.XLOOKUP(B244,'Base stats'!B:B,'Base stats'!C:C)&lt;=250,0.1,IF(_xlfn.XLOOKUP(B244,'Base stats'!B:B,'Base stats'!C:C)&lt;=4000,0.25,0.5)))))</f>
        <v>2.1</v>
      </c>
      <c r="AP244" s="8">
        <f>MROUND(AO244*_xlfn.XLOOKUP(_xlfn.XLOOKUP(B244,'Base stats'!B:B,'Base stats'!E:E),Groups!A:A,Groups!AI:AI)*_xlfn.XLOOKUP(B244,'Base stats'!B:B,'Base stats'!Z:Z),0.05)</f>
        <v>2.1</v>
      </c>
      <c r="AQ244" s="8">
        <f>MAX(0.01,MROUND(IF(CC244="True",0.196*(AO244*100*1000)^0.889,IF(_xlfn.XLOOKUP(_xlfn.XLOOKUP(B244,'Base stats'!B:B,'Base stats'!E:E),Groups!A:A,Groups!AJ:AJ)="Bird",10.5*(AO244*100*1000)^0.681,4.82*(AO244*100*1000)^0.734))/(4.82*(1*100*1000)^0.734)/IF(AO244&lt;3.5,2,IF(AO244=3.5,1.5,1.25))*(1+0.132282374779864/(AO244^0.994035016789033+0.00905238001496948)),0.05))</f>
        <v>0.25</v>
      </c>
      <c r="AR244" s="9">
        <f>IFERROR(MROUND(_xlfn.XLOOKUP(B244,'Base stats'!B:B,'Base stats'!H:H)/IF(_xlfn.XLOOKUP(B244,'Base stats'!B:B,'Base stats'!I:I)&lt;&gt;1,(122.5/70),1.2),IF(_xlfn.XLOOKUP(B244,'Base stats'!B:B,'Base stats'!H:H)&gt;=30,5,IF(_xlfn.XLOOKUP(B244,'Base stats'!B:B,'Base stats'!H:H)&gt;=15,3,IF(_xlfn.XLOOKUP(B244,'Base stats'!B:B,'Base stats'!H:H)&gt;=10,2,1)))),"Immortal")</f>
        <v>8</v>
      </c>
      <c r="AS244" s="35">
        <f>IFERROR(IF(OR(_xlfn.XLOOKUP(B244,'Base stats'!B:B,'Base stats'!F:F)="Atypical reproduction",_xlfn.XLOOKUP(B244,'Base stats'!B:B,'Base stats'!F:F)="Lay eggs"),"Lay eggs",MIN(20,MAX(5.5,ROUND(((_xlfn.XLOOKUP(B244,'Base stats'!B:B,'Base stats'!F:F)-25)*(14.5/615) + 5.5)*2,0)/2))),"Unknown")</f>
        <v>8.5</v>
      </c>
      <c r="AT244" s="8">
        <f>IF(_xlfn.XLOOKUP(B244,'Base stats'!B:B,'Base stats'!G:G)="Atypical reproduction","No",IFERROR(MAX(IF(_xlfn.XLOOKUP(B244,'Base stats'!B:B,'Base stats'!G:G)&lt;0.5,0.2,0.3),MROUND(_xlfn.XLOOKUP(B244,'Base stats'!B:B,'Base stats'!G:G)/(365/60),0.2)),"Unknown"))</f>
        <v>0.60000000000000009</v>
      </c>
      <c r="AU244" s="8">
        <f t="shared" si="22"/>
        <v>0.30000000000000004</v>
      </c>
      <c r="AV244" s="8">
        <f>IFERROR(IFERROR(MROUND(_xlfn.XLOOKUP(B244,'Base stats'!B:B,'Base stats'!J:J),0.1),"Lay eggs"),"Cannot breed")</f>
        <v>1</v>
      </c>
      <c r="AW244" s="2" t="str">
        <f t="shared" si="23"/>
        <v>false</v>
      </c>
      <c r="AX244" s="2" t="str">
        <f>IF(_xlfn.XLOOKUP(_xlfn.XLOOKUP(Animals!B244,'Base stats'!B:B,'Base stats'!E:E),Groups!A:A,Groups!AK:AK)=1,"true","false")</f>
        <v>false</v>
      </c>
      <c r="AY244" s="25" t="str">
        <f>IF(_xlfn.XLOOKUP(B244,'Base stats'!B:B,'Base stats'!Y:Y)="Liquor","Liquor, CarnivoreAnimalStrict",IF(AND(_xlfn.XLOOKUP(B244,'Base stats'!B:B,'Base stats'!Y:Y)="Carnivore",_xlfn.XLOOKUP(_xlfn.XLOOKUP(B244,'Base stats'!B:B,'Base stats'!E:E),Groups!A:A,Groups!AJ:AJ)="Photonozoa"),"CarnivoreAnimalStrict, OvivoreAnimal",IF(_xlfn.XLOOKUP(B244,'Base stats'!B:B,'Base stats'!Y:Y)="Carnivore","CarnivoreAnimal, OvivoreAnimal",IF(_xlfn.XLOOKUP(B244,'Base stats'!B:B,'Base stats'!Y:Y)="Dendrovore","VegetarianRoughAnimal, DendrovoreAnimal",IF(_xlfn.XLOOKUP(B244,'Base stats'!B:B,'Base stats'!Y:Y)="Herbivore","VegetarianRoughAnimal",IF(_xlfn.XLOOKUP(B244,'Base stats'!B:B,'Base stats'!Y:Y)="OmnivoreRough","OmnivoreRoughAnimal, OvivoreAnimal","OmnivoreAnimal, OvivoreAnimal"))))))</f>
        <v>VegetarianRoughAnimal</v>
      </c>
      <c r="AZ244" s="2">
        <f>IF(_xlfn.XLOOKUP(_xlfn.XLOOKUP(B244,'Base stats'!B:B,'Base stats'!E:E),Groups!A:A,Groups!D:D)=1,MROUND((1-J244)*5+1,2)*IF(J244&lt;=0.4,2,1),"No")</f>
        <v>2</v>
      </c>
      <c r="BA244" s="2" t="str">
        <f>IF(AND(_xlfn.XLOOKUP(B244,'Base stats'!B:B,'Base stats'!AH:AH)="&lt;li&gt;Seal&lt;/li&gt;",G244="Odyssey"),"&lt;li&gt;AEXP_Seal&lt;/li&gt;",_xlfn.XLOOKUP(B244,'Base stats'!B:B,'Base stats'!AH:AH))</f>
        <v>&lt;li&gt;Megaspider&lt;/li&gt;</v>
      </c>
      <c r="BB244" s="2" t="str">
        <f>_xlfn.XLOOKUP(B244,'Base stats'!B:B,'Base stats'!AG:AG)</f>
        <v>Leather_Chitin</v>
      </c>
      <c r="BC244" s="23" t="str">
        <f>_xlfn.XLOOKUP(_xlfn.XLOOKUP(B244,'Base stats'!B:B,'Base stats'!E:E),Groups!A:A,Groups!AL:AL)</f>
        <v>BeetleLike</v>
      </c>
      <c r="BD244" s="23">
        <f>MIN(1,MROUND(IF(AND(AO244&lt;0.5,_xlfn.XLOOKUP(B244,'Base stats'!B:B,'Base stats'!AA:AA)=0),0,IF(OR(_xlfn.XLOOKUP(Animals!B244,'Base stats'!B:B,'Base stats'!O:O)=2,_xlfn.XLOOKUP(_xlfn.XLOOKUP(B244,'Base stats'!B:B,'Base stats'!E:E),Groups!A:A,Groups!AN:AN)=0),0,_xlfn.XLOOKUP(_xlfn.XLOOKUP(B244,'Base stats'!B:B,'Base stats'!E:E),Groups!A:A,Groups!AN:AN)/IF(_xlfn.XLOOKUP(Animals!B244,'Base stats'!B:B,'Base stats'!O:O)=1,2,1)))+_xlfn.XLOOKUP(B244,'Base stats'!B:B,'Base stats'!AC:AC),0.005))</f>
        <v>0.1</v>
      </c>
      <c r="BE244" s="23">
        <f>MIN(1,MROUND(IF(AND(AO244&lt;0.5,_xlfn.XLOOKUP(B244,'Base stats'!B:B,'Base stats'!AA:AA)=0),0,IF(_xlfn.XLOOKUP(_xlfn.XLOOKUP(B244,'Base stats'!B:B,'Base stats'!E:E),Groups!A:A,Groups!AO:AO)=0,0,_xlfn.XLOOKUP(_xlfn.XLOOKUP(B244,'Base stats'!B:B,'Base stats'!E:E),Groups!A:A,Groups!AO:AO)/IF(_xlfn.XLOOKUP(Animals!B244,'Base stats'!B:B,'Base stats'!O:O)=2,3,1)))+_xlfn.XLOOKUP(B244,'Base stats'!B:B,'Base stats'!AD:AD),0.005))</f>
        <v>0.3</v>
      </c>
      <c r="BF244" s="2" t="str">
        <f>IF(J244&gt;0.3,"No",_xlfn.XLOOKUP(_xlfn.XLOOKUP(Animals!B244,'Base stats'!B:B,'Base stats'!E:E),Groups!A:A,Groups!AP:AP))</f>
        <v>No</v>
      </c>
      <c r="BG244" s="2" t="str">
        <f>IF(AND(J244&lt;=0.65,_xlfn.XLOOKUP(_xlfn.XLOOKUP(Animals!B244,'Base stats'!B:B,'Base stats'!E:E),Groups!A:A,Groups!AP:AP)&lt;&gt;"No",_xlfn.XLOOKUP(_xlfn.XLOOKUP(B244,'Base stats'!B:B,'Base stats'!E:E),Groups!A:A,Groups!D:D)=0),MROUND((80/3)*IF(_xlfn.XLOOKUP(B244,'Base stats'!B:B,'Base stats'!O:O)=2,0.2,AO244) + 24*(1-IF(BF244="No",0,BF244)) + 16/3, 12),"No")</f>
        <v>No</v>
      </c>
      <c r="BH244" s="2">
        <f>IF(AND(_xlfn.XLOOKUP(_xlfn.XLOOKUP(B244,'Base stats'!B:B,'Base stats'!E:E),Groups!A:A,Groups!AQ:AQ)=1,AO244&lt;=0.35),8,12)</f>
        <v>12</v>
      </c>
      <c r="BI244" s="2" t="str">
        <f>IF(_xlfn.XLOOKUP(_xlfn.XLOOKUP(B244,'Base stats'!B:B,'Base stats'!E:E),Groups!A:A,Groups!D:D)=0,_xlfn.XLOOKUP(_xlfn.XLOOKUP(B244,'Base stats'!B:B,'Base stats'!E:E),Groups!A:A,Groups!AR:AR),"None")</f>
        <v>None</v>
      </c>
      <c r="BJ244" s="2" t="str">
        <f>IF(AND(_xlfn.XLOOKUP(_xlfn.XLOOKUP(B244,'Base stats'!B:B,'Base stats'!E:E),Groups!A:A,Groups!AS:AS)=1,OR(_xlfn.XLOOKUP(B244,'Base stats'!B:B,'Base stats'!Y:Y)="Carnivore",_xlfn.XLOOKUP(B244,'Base stats'!B:B,'Base stats'!Y:Y)="Omnivore")),"true","false")</f>
        <v>false</v>
      </c>
      <c r="BK244" s="2" t="str">
        <f>IF(BJ244="true",MROUND(IF(AND(AO244&gt;0.5,OR(_xlfn.XLOOKUP(_xlfn.XLOOKUP(B244,'Base stats'!B:B,'Base stats'!E:E),Groups!A:A,Groups!AJ:AJ)="Photonozoa",_xlfn.XLOOKUP(_xlfn.XLOOKUP(B244,'Base stats'!B:B,'Base stats'!E:E),Groups!A:A,Groups!AJ:AJ)="Mammal")),Animals!AO244*1.75*IF(AW244="true",1.5,1),IF(AO244&lt;0.5,Animals!AO244*0.5,Animals!AO244)),IF(AO244&gt;2,0.5,IF(AO244&gt;0.5,0.25,0.1))),"No")</f>
        <v>No</v>
      </c>
      <c r="BL244" s="2">
        <f t="shared" si="24"/>
        <v>0</v>
      </c>
      <c r="BM244" s="25" t="str">
        <f>IF(_xlfn.XLOOKUP(B244,'Base stats'!B:B,'Base stats'!AN:AN)="Standard","No",MROUND((_xlfn.XLOOKUP(B244,'Base stats'!B:B,'Base stats'!AN:AN)/3.6)/I244,0.1))</f>
        <v>No</v>
      </c>
      <c r="BN244" s="25" t="str">
        <f t="shared" si="25"/>
        <v>false</v>
      </c>
      <c r="BO244" s="25" t="str">
        <f>IF(AND(OR(_xlfn.XLOOKUP(B244,'Base stats'!B:B,'Base stats'!Y:Y)="Carnivore",_xlfn.XLOOKUP(B244,'Base stats'!B:B,'Base stats'!Y:Y)="Omnivore",_xlfn.XLOOKUP(B244,'Base stats'!B:B,'Base stats'!Y:Y)="OmnivoreRough"),_xlfn.XLOOKUP(_xlfn.XLOOKUP(B244,'Base stats'!B:B,'Base stats'!E:E),Groups!A:A,Groups!AT:AT)=1),"true","false")</f>
        <v>false</v>
      </c>
      <c r="BP244" s="25" t="str" cm="1">
        <f t="array" ref="BP244">IF(
  _xlfn.TEXTJOIN(", ",TRUE,
    IF(AND(BJ244="true",AO244&gt;0.5,BI244&lt;&gt;"None"),"AttackTarget",""),
    IF(AND(_xlfn.XLOOKUP(_xlfn.XLOOKUP(B244,'Base stats'!B:B,'Base stats'!E:E),Groups!A:A,Groups!AJ:AJ="Mammal"),OR(_xlfn.XLOOKUP(B244,'Base stats'!B:B,'Base stats'!Y:Y)="Omnivore",_xlfn.XLOOKUP(B244,'Base stats'!B:B,'Base stats'!Y:Y)="OmnivoreRough")),"Forage",""),
    IF(BG244&lt;=36,"Comfort",""),
    IF(_xlfn.XLOOKUP(B244,'Base stats'!B:B,'Base stats'!AE:AE)&lt;&gt;"No",_xlfn.XLOOKUP(B244,'Base stats'!B:B,'Base stats'!AE:AE),"")
  ) = "",
  "No",
  _xlfn.TEXTJOIN(", ",TRUE,
    IF(AND(BJ244="true",AO244&gt;0.5,BI244&lt;&gt;"None"),"AttackTarget",""),
    IF(AND(_xlfn.XLOOKUP(_xlfn.XLOOKUP(B244,'Base stats'!B:B,'Base stats'!E:E),Groups!A:A,Groups!AJ:AJ="Mammal"),OR(_xlfn.XLOOKUP(B244,'Base stats'!B:B,'Base stats'!Y:Y)="Omnivore",_xlfn.XLOOKUP(B244,'Base stats'!B:B,'Base stats'!Y:Y)="OmnivoreRough")),"Forage",""),
    IF(BG244&lt;=36,"Comfort",""),
    IF(_xlfn.XLOOKUP(B244,'Base stats'!B:B,'Base stats'!AE:AE)&lt;&gt;"No",_xlfn.XLOOKUP(B244,'Base stats'!B:B,'Base stats'!AE:AE),"")
  )
)</f>
        <v>No</v>
      </c>
      <c r="BQ244" s="25" t="str">
        <f>IF(
   AND(
      'Base stats'!AN244="Standard",_xlfn.XLOOKUP(_xlfn.XLOOKUP(B244,'Base stats'!B:B,'Base stats'!E:E),Groups!A:A,Groups!AU:AU)=0,
      OR(
      BO244="True"
      )
   ),
   10,
   IF(
       OR(BM244&lt;&gt;"No",_xlfn.XLOOKUP(_xlfn.XLOOKUP(B244,'Base stats'!B:B,'Base stats'!E:E),Groups!A:A,Groups!AU:AU)=1),
      1,
      "No"
   )
)</f>
        <v>No</v>
      </c>
      <c r="BR244" s="9">
        <f>MROUND((1 + ((0.2*IF(OR(Q244="No",R244="No",R244=0),0,Q244/R244)
+IF(OR(V244="No",S244="No",T244="No"),0,S244/T244*(LEN(V244)-LEN(SUBSTITUTE(V244,",",""))+1))
+IF(OR(X244="No",Y244="No"),0,X244/Y244)
+IF(OR(AD244="No",AE244="No"),0,AD244/AE244)
+IF(OR(AL244="No",AI244="No",AJ244="No"),0,AI244/AJ244*(LEN(AL244)-LEN(SUBSTITUTE(AL244,",",""))+1))
)/(0.2*IF(OR(Q244="No",R244="No",R244=0),0,1)
+IF(OR(V244="No",S244="No",T244="No"),0,LEN(V244)-LEN(SUBSTITUTE(V244,",",""))+1)
+IF(OR(X244="No",Y244="No"),0,1)
+IF(OR(AD244="No",AE244="No"),0,1)
+IF(OR(AL244="No",AI244="No",AJ244="No"),0,LEN(AL244)-LEN(SUBSTITUTE(AL244,",",""))+1))*62%)* 2)*(1 + (AP244 / (IF(_xlfn.XLOOKUP(_xlfn.XLOOKUP(B244,'Base stats'!B:B,'Base stats'!E:E),Groups!A:A,Groups!AJ:AJ)="Photonozoa",0.3,1)) + _xlfn.XLOOKUP(B244,'Base stats'!B:B,'Base stats'!AV:AV) * 1.8) * 2) * 2.5 + 10 + I244 * 2,5)+IF(_xlfn.XLOOKUP(B244,'Base stats'!B:B,'Base stats'!AK:AK)=1,50,0)</f>
        <v>300</v>
      </c>
      <c r="BS244" s="8">
        <f t="shared" si="26"/>
        <v>0.60000000000000009</v>
      </c>
      <c r="BT244" s="8" t="str">
        <f>_xlfn.XLOOKUP(B244,'Base stats'!B:B,'Base stats'!AF:AF)</f>
        <v>No</v>
      </c>
      <c r="BU244" s="2" t="str">
        <f>IF(AND(J244&lt;=0.95,OR(_xlfn.XLOOKUP(B244,'Base stats'!B:B,'Base stats'!AK:AK)=1,_xlfn.XLOOKUP(B244,'Base stats'!B:B,'Base stats'!Y:Y)="Carnivore",_xlfn.XLOOKUP(B244,'Base stats'!B:B,'Base stats'!Y:Y)="Omnivore",BE244&gt;0.1)),"true","false")</f>
        <v>true</v>
      </c>
      <c r="BV244" s="2" t="str">
        <f>IF(_xlfn.XLOOKUP(B244,'Base stats'!B:B,'Base stats'!AI:AI)=1,"true","false")</f>
        <v>false</v>
      </c>
      <c r="BW244" s="25" t="str">
        <f>IF(E244="BaseInsect","AnimalInsect",
IF(J244&gt;0.95,"AnimalExotic",
_xlfn.TEXTJOIN(", ",TRUE,
IF(OR(_xlfn.XLOOKUP(B244,'Base stats'!B:B,'Base stats'!AM:AM)=1,AND(_xlfn.XLOOKUP(B244,'Base stats'!B:B,'Base stats'!O:O)=0,_xlfn.XLOOKUP(_xlfn.XLOOKUP(B244,'Base stats'!B:B,'Base stats'!E:E),Groups!A:A,Groups!B:B)&gt;0)),"AnimalUncommon","AnimalCommon"),
IF(AND(_xlfn.XLOOKUP(B244,'Base stats'!B:B,'Base stats'!O:O)=2,_xlfn.XLOOKUP(_xlfn.XLOOKUP(B244,'Base stats'!B:B,'Base stats'!E:E),Groups!A:A,Groups!D:D)=0),"AnimalPet",IF(AND(_xlfn.XLOOKUP(B244,'Base stats'!B:B,'Base stats'!O:O)&lt;&gt;0,_xlfn.XLOOKUP(_xlfn.XLOOKUP(B244,'Base stats'!B:B,'Base stats'!E:E),Groups!A:A,Groups!D:D)&lt;&gt;0),"AnimalFarm","")),
IF(OR(_xlfn.XLOOKUP(B244,'Base stats'!B:B,'Base stats'!AK:AK)=1,AND(BI244&lt;&gt;"None",BR244&gt;=60),ISNUMBER(SEARCH("Attack target",BP244))),"AnimalFighter","")
)))</f>
        <v>AnimalUncommon, AnimalFighter</v>
      </c>
      <c r="BX244" s="25" t="str">
        <f>IF(G244="None",TRIM(
SUBSTITUTE(
IF(COUNTIF(Biomes!B$2:B$259,"="&amp;$C244)&gt;0,Biomes!B$1&amp;", ","")&amp;
IF(COUNTIF(Biomes!C$2:C$259,"="&amp;$C244)&gt;0,Biomes!C$1&amp;", ","")&amp;
IF(COUNTIF(Biomes!D$2:D$259,"="&amp;$C244)&gt;0,Biomes!D$1&amp;", ","")&amp;
IF(COUNTIF(Biomes!F$2:F$259,"="&amp;$C244)&gt;0,Biomes!F$1&amp;", ","")&amp;
IF(COUNTIF(Biomes!G$2:G$259,"="&amp;$C244)&gt;0,Biomes!G$1&amp;", ","")&amp;
IF(COUNTIF(Biomes!H$2:H$259,"="&amp;$C244)&gt;0,Biomes!H$1&amp;", ","")&amp;
IF(COUNTIF(Biomes!I$2:I$259,"="&amp;$C244)&gt;0,Biomes!I$1&amp;", ","")&amp;
IF(COUNTIF(Biomes!J$2:J$259,"="&amp;$C244)&gt;0,Biomes!J$1&amp;", ","")&amp;
IF(COUNTIF(Biomes!M$2:M$259,"="&amp;$C244)&gt;0,Biomes!M$1&amp;", ","")&amp;
IF(COUNTIF(Biomes!N$2:N$259,"="&amp;$C244)&gt;0,Biomes!N$1&amp;", ","")&amp;
IF(COUNTIF(Biomes!O$2:O$259,"="&amp;$C244)&gt;0,Biomes!O$1&amp;", ","")&amp;
IF(COUNTIF(Biomes!P$2:P$259,"="&amp;$C244)&gt;0,Biomes!P$1&amp;", ","")&amp;
IF(COUNTIF(Biomes!K$2:K$259,"="&amp;$C244)&gt;0,Biomes!K$1&amp;", ","")&amp;
IF(COUNTIF(Biomes!Q$3:Q$259,"="&amp;$C244)&gt;0,Biomes!Q$1&amp;", ","")&amp;
IF(COUNTIF(Biomes!L$2:L$259,"="&amp;$C244)&gt;0,Biomes!L$1&amp;", ","")&amp;
IF(COUNTIF(Biomes!E$2:E$259,"="&amp;$C244)&gt;0,Biomes!E$1&amp;", ","")&amp;IF(COUNTIF(Biomes!S$2:S$259,"="&amp;$C244)&gt;0,Biomes!S$1&amp;", ","")&amp;
IF(COUNTIF(Biomes!R$2:R$259,"="&amp;$C244)&gt;0,Biomes!R$1&amp;", ",""),", ","")
),_xlfn.XLOOKUP(B244,B:B,BX:BX))</f>
        <v>LavaField</v>
      </c>
      <c r="BY244" s="25" t="str">
        <f>IF(_xlfn.XLOOKUP(B244,'Base stats'!B:B,'Base stats'!AJ:AJ)=1,"true","false")</f>
        <v>false</v>
      </c>
      <c r="BZ244" s="25">
        <f>IF(_xlfn.XLOOKUP(B244,'Base stats'!B:B,'Base stats'!N:N)=1,"No",MAX(0.001,MIN(MROUND(IF(AND(BJ244="True",CC244="False"),POWER(10,3.47*LOG10(_xlfn.XLOOKUP(B244,'Base stats'!B:B,'Base stats'!C:C)*1000)^-0.96),POWER(10,4.15*LOG10(_xlfn.XLOOKUP(B244,'Base stats'!B:B,'Base stats'!C:C)*1000)^-0.73))*IF(_xlfn.XLOOKUP(B244,'Base stats'!B:B,'Base stats'!AK:AK)=1,0.5,1)*IF(_xlfn.XLOOKUP(B244,'Base stats'!B:B,'Base stats'!AM:AM)=1,0.1,1)/100,IF(_xlfn.XLOOKUP(B244,'Base stats'!B:B,'Base stats'!AM:AM)=1,0.001,0.025)),0.5)))</f>
        <v>7.5000000000000011E-2</v>
      </c>
      <c r="CA244" s="25" t="str">
        <f>IF(P244="Standard","No",MAX(0.001,MIN(MROUND(IF(AND(BJ244="True",CC244="False"),POWER(10,3.47*LOG10(_xlfn.XLOOKUP(B244,'Base stats'!B:B,'Base stats'!C:C)*1000)^-0.96),POWER(10,4.15*LOG10(_xlfn.XLOOKUP(B244,'Base stats'!B:B,'Base stats'!C:C)*1000)^-0.73))*IF(_xlfn.XLOOKUP(B244,'Base stats'!B:B,'Base stats'!AM:AM)=1,0.1,1)*_xlfn.XLOOKUP(B244,'Base stats'!B:B,'Base stats'!R:R)/100,IF(_xlfn.XLOOKUP(B244,'Base stats'!B:B,'Base stats'!AM:AM)=1,0.001,0.025)),0.5)))</f>
        <v>No</v>
      </c>
      <c r="CB244" s="25" t="str">
        <f>IF(_xlfn.XLOOKUP(_xlfn.XLOOKUP(B244,'Base stats'!B:B,'Base stats'!E:E),Groups!A:A,Groups!AJ:AJ)="Mammal","True","False")</f>
        <v>False</v>
      </c>
      <c r="CC244" s="25" t="str">
        <f>IF(OR(_xlfn.XLOOKUP(_xlfn.XLOOKUP(B244,'Base stats'!B:B,'Base stats'!E:E),Groups!A:A,Groups!AJ:AJ)="Reptile",_xlfn.XLOOKUP(_xlfn.XLOOKUP(B244,'Base stats'!B:B,'Base stats'!E:E),Groups!A:A,Groups!AJ:AJ)="Amphibian",_xlfn.XLOOKUP(_xlfn.XLOOKUP(B244,'Base stats'!B:B,'Base stats'!E:E),Groups!A:A,Groups!AJ:AJ)="Invertebrate"),"True","False")</f>
        <v>True</v>
      </c>
      <c r="CD244" s="25" t="str">
        <f t="shared" si="27"/>
        <v>False</v>
      </c>
      <c r="CE244" s="25" t="str">
        <f>IF(_xlfn.XLOOKUP(_xlfn.XLOOKUP(B244,'Base stats'!B:B,'Base stats'!E:E),Groups!A:A,Groups!AX:AX),"True","False")</f>
        <v>False</v>
      </c>
      <c r="CF244" s="25" t="str">
        <f>IF(_xlfn.XLOOKUP(_xlfn.XLOOKUP(B244,'Base stats'!B:B,'Base stats'!E:E),Groups!A:A,Groups!AY:AY),"True","False")</f>
        <v>False</v>
      </c>
      <c r="CG244" s="25" t="str">
        <f>IF(_xlfn.XLOOKUP(_xlfn.XLOOKUP(B244,'Base stats'!B:B,'Base stats'!E:E),Groups!A:A,Groups!AW:AW),"True","False")</f>
        <v>False</v>
      </c>
      <c r="CH244" s="25" t="str">
        <f>IF(
OR(
_xlfn.XLOOKUP(_xlfn.XLOOKUP(B244,'Base stats'!B:B,'Base stats'!E:E),Groups!A:A,Groups!AZ:AZ)=0,
AND(
_xlfn.XLOOKUP(B244,'Base stats'!B:B,'Base stats'!Y:Y)&lt;&gt;"Carnivore",
_xlfn.XLOOKUP(B244,'Base stats'!B:B,'Base stats'!Y:Y)&lt;&gt;"Omnivore",
_xlfn.XLOOKUP(B244,'Base stats'!B:B,'Base stats'!Y:Y)&lt;&gt;"OmnivoreRough"
)
),
"No",
IF(
_xlfn.XLOOKUP(_xlfn.XLOOKUP(B244,'Base stats'!B:B,'Base stats'!E:E),Groups!A:A,Groups!AZ:AZ)=1,
"Flesh",
IF(
_xlfn.XLOOKUP(_xlfn.XLOOKUP(B244,'Base stats'!B:B,'Base stats'!E:E),Groups!A:A,Groups!AZ:AZ)=2,
"Bone",
""
)
)
)</f>
        <v>No</v>
      </c>
      <c r="CI244" s="25" t="str">
        <f>IF(_xlfn.XLOOKUP(_xlfn.XLOOKUP(B244,'Base stats'!B:B,'Base stats'!E:E),Groups!A:A,Groups!BB:BB),"True","False")</f>
        <v>False</v>
      </c>
      <c r="CJ244" s="25" t="str">
        <f>IF(_xlfn.XLOOKUP(_xlfn.XLOOKUP(B244,'Base stats'!B:B,'Base stats'!E:E),Groups!A:A,Groups!BA:BA),"True","False")</f>
        <v>False</v>
      </c>
    </row>
    <row r="245" spans="1:88" ht="16.5" thickTop="1" thickBot="1" x14ac:dyDescent="0.3">
      <c r="A245" s="26" t="s">
        <v>1396</v>
      </c>
      <c r="B245" s="6" t="str">
        <f>_xlfn.XLOOKUP(A245,'Base stats'!A:A,'Base stats'!B:B)</f>
        <v>Araneodraco ignis</v>
      </c>
      <c r="C245" s="28" t="s">
        <v>1397</v>
      </c>
      <c r="D245" s="28" t="s">
        <v>1341</v>
      </c>
      <c r="E245" s="28" t="s">
        <v>1747</v>
      </c>
      <c r="F245" s="28" t="s">
        <v>673</v>
      </c>
      <c r="G245" s="28" t="s">
        <v>673</v>
      </c>
      <c r="H245" s="2">
        <f>MROUND((
  (IF(AND(_xlfn.XLOOKUP(B245,'Base stats'!B:B,'Base stats'!AL:AL)=0,BI245="None",_xlfn.XLOOKUP(_xlfn.XLOOKUP(B245,'Base stats'!B:B,'Base stats'!E:E),Groups!A:A,Groups!B:B)=0), (18 + BR245 * 2.7) * 0.5,
    IF(AND(_xlfn.XLOOKUP(B245,'Base stats'!B:B,'Base stats'!AL:AL)=0,OR(AO245&lt;0.55,AND(BI245="Intermediate",_xlfn.XLOOKUP(_xlfn.XLOOKUP(B245,'Base stats'!B:B,'Base stats'!E:E),Groups!A:A,Groups!B:B)&lt;2))), (18 + BR245 * 2.7),
      IF(OR(BI245="Advanced",_xlfn.XLOOKUP(B245,'Base stats'!B:B,'Base stats'!AL:AL)=1,_xlfn.XLOOKUP(_xlfn.XLOOKUP(B245,'Base stats'!B:B,'Base stats'!E:E),Groups!A:A,Groups!B:B)=2), (18 + BR245 * 2.7) + 250, (18 + BR245 * 2.7))
    )
  ))
  + AO245 * 80
  + IF(COUNTIF(EggMilk!K$2:K$998, A245) &gt; 0, 125, 0)
  + IF(COUNTIF(EggMilk!P$2:P$998, A245) &gt; 0, 90, 0)
  + IF(COUNTIF(EggMilk!A$2:A$998, A245) &gt; 0, 90, 0)
)
* (0.8 + 0.4 * J245)
* 0.75,25)</f>
        <v>825</v>
      </c>
      <c r="I245" s="2">
        <f>MROUND(ROUNDDOWN(_xlfn.XLOOKUP(B245,'Base stats'!B:B,'Base stats'!L:L)/3.6/(23.3/11),1),0.5)</f>
        <v>4</v>
      </c>
      <c r="J245" s="2">
        <f>IF(OR(_xlfn.XLOOKUP(B245,'Base stats'!B:B,'Base stats'!AB:AB)=1,_xlfn.XLOOKUP(_xlfn.XLOOKUP(B245,'Base stats'!B:B,'Base stats'!E:E),Groups!A:A,Groups!C:C)="Untamable"),1,IF(_xlfn.XLOOKUP(B245,'Base stats'!B:B,'Base stats'!AL:AL)=1,0.99,MIN(MROUND((1-0.6282*EXP(-0.459*AO245))*_xlfn.XLOOKUP(_xlfn.XLOOKUP(B245,'Base stats'!B:B,'Base stats'!E:E),Groups!A:A,Groups!C:C)*IF(_xlfn.XLOOKUP(B245,'Base stats'!B:B,'Base stats'!O:O)=1,0.5,IF(_xlfn.XLOOKUP(B245,'Base stats'!B:B,'Base stats'!O:O)=2,0,1)),0.05),IF(AO245&gt;3.5,0.985,0.95))))</f>
        <v>0.9</v>
      </c>
      <c r="K245" s="2">
        <f>ROUNDUP(AO245*_xlfn.XLOOKUP(_xlfn.XLOOKUP(B245,'Base stats'!B:B,'Base stats'!E:E),Groups!A:A,Groups!E:E),0)</f>
        <v>3</v>
      </c>
      <c r="L245" s="2">
        <f>IF(OR(_xlfn.XLOOKUP(_xlfn.XLOOKUP(B245,'Base stats'!B:B,'Base stats'!E:E),Groups!A:A,Groups!F:F)=2,ISNUMBER(SEARCH("SeaIce",BX245)),ISNUMBER(SEARCH("IceSheet",BX245))),-50,IF(OR(ISNUMBER(SEARCH("GlacialPlain",BX245)),ISNUMBER(SEARCH("Tundra",BX245))),-40,IF(OR(ISNUMBER(SEARCH("Alpine",BX245)),ISNUMBER(SEARCH("BorealForest",BX245)),ISNUMBER(SEARCH("ColdBog",BX245))),-30,IF(OR(ISNUMBER(SEARCH("TemperateForest",BX245)),ISNUMBER(SEARCH("TemperateSwamp",BX245))),-20,IF(_xlfn.XLOOKUP(_xlfn.XLOOKUP(B245,'Base stats'!B:B,'Base stats'!E:E),Groups!A:A,Groups!F:F)=1,-15,IF(OR(ISNUMBER(SEARCH("Desert",BX245)),ISNUMBER(SEARCH("ExtremeDesert",BX245))),-10,IF(OR(ISNUMBER(SEARCH("Grasslands",BX245)),ISNUMBER(SEARCH("TropicalRainforest",BX245)),ISNUMBER(SEARCH("TropicalSwamp",BX245))),10,0)))))))-IF(CC245="False",MIN(IFERROR(MAX(MROUND(LOG10(_xlfn.XLOOKUP(B245,'Base stats'!B:B,'Base stats'!C:C)^(2/3))*10,5),5),5),30))-_xlfn.XLOOKUP(B245,'Base stats'!B:B,'Base stats'!P:P)+IF(CC245="True",5,0)</f>
        <v>5</v>
      </c>
      <c r="M245" s="2">
        <f>IF(OR(_xlfn.XLOOKUP(_xlfn.XLOOKUP(B245,'Base stats'!B:B,'Base stats'!E:E),Groups!A:A,Groups!G:G)=2,ISNUMBER(SEARCH("Desert",BX245)),ISNUMBER(SEARCH("ExtremeDesert",BX245)),ISNUMBER(SEARCH("LavaField",BX245))),50,IF(ISNUMBER(SEARCH("Grasslands",BX245)),45,IF(OR(_xlfn.XLOOKUP(_xlfn.XLOOKUP(B245,'Base stats'!B:B,'Base stats'!E:E),Groups!A:A,Groups!G:G)=1,ISNUMBER(SEARCH("TropicalRainforest",BX245)),ISNUMBER(SEARCH("TropicalSwamp",BX245))),40,IF(OR(ISNUMBER(SEARCH("TemperateForest",BX245)),ISNUMBER(SEARCH("TemperateSwamp",BX245))),35,IF(OR(ISNUMBER(SEARCH("Alpine",BX245)),ISNUMBER(SEARCH("BorealForest",BX245)),ISNUMBER(SEARCH("ColdBog",BX245))),30,IF(ISNUMBER(OR(ISNUMBER(SEARCH("GlacialPlain",BX245)),SEARCH("Tundra",BX245))),25,IF(OR(ISNUMBER(SEARCH("SeaIce",BX245)),ISNUMBER(SEARCH("IceSheet",BX245)),ISNUMBER(SEARCH("TropicalSwamp",BX245))),10,35)))))))+_xlfn.XLOOKUP(B245,'Base stats'!B:B,'Base stats'!Q:Q)</f>
        <v>50</v>
      </c>
      <c r="N245" s="8">
        <f>IF(
_xlfn.XLOOKUP(
_xlfn.XLOOKUP(B245,'Base stats'!B:B,'Base stats'!E:E),
Groups!A:A,
Groups!L:L
)=1,
MIN(
MROUND(
IF(
_xlfn.XLOOKUP(B245,'Animals CE'!B:B,'Animals CE'!Z:Z)&lt;=1.5,
_xlfn.XLOOKUP(B245,'Animals CE'!B:B,'Animals CE'!Z:Z)/2+0.05,
0.8+
(_xlfn.XLOOKUP(B245,'Animals CE'!B:B,'Animals CE'!Z:Z)-1.5)
*0.02
),
0.05
),
200%
),
"No"
)</f>
        <v>0.8</v>
      </c>
      <c r="O245" s="8">
        <f>IF(
_xlfn.XLOOKUP(
_xlfn.XLOOKUP(B245,'Base stats'!B:B,'Base stats'!E:E),
Groups!A:A,
Groups!L:L
)=1,
MIN(
MROUND(
IF(
_xlfn.XLOOKUP(B245,'Animals CE'!B:B,'Animals CE'!AA:AA)&lt;=1.5,
_xlfn.XLOOKUP(B245,'Animals CE'!B:B,'Animals CE'!AA:AA)/2+0.05,
0.8+
(_xlfn.XLOOKUP(B245,'Animals CE'!B:B,'Animals CE'!AA:AA)-1.5)
*0.02
),
0.05
),
200%
),
"No"
)</f>
        <v>0.15000000000000002</v>
      </c>
      <c r="P245" s="2" t="str">
        <f>_xlfn.XLOOKUP(B245,'Base stats'!B:B,'Base stats'!R:R)</f>
        <v>Standard</v>
      </c>
      <c r="Q245" s="13">
        <f>MROUND((LOG10(_xlfn.XLOOKUP(B245,'Base stats'!B:B,'Base stats'!AR:AR))*(AO245^0.5)+(_xlfn.XLOOKUP(B245,'Base stats'!B:B,'Base stats'!AR:AR)/1000)^(2/3)+_xlfn.XLOOKUP(B245,'Base stats'!B:B,'Base stats'!BA:BA)/2)+0.5,0.5)</f>
        <v>14</v>
      </c>
      <c r="R245" s="7">
        <f>IF(Q245="No","No",MAX(1,MROUND(_xlfn.XLOOKUP(B245,'Base stats'!B:B,'Base stats'!C:C)^0.165,0.05)))</f>
        <v>2.6500000000000004</v>
      </c>
      <c r="S245" s="13" t="str">
        <f>IF(_xlfn.XLOOKUP(_xlfn.XLOOKUP(B245,'Base stats'!B:B,'Base stats'!E:E),Groups!A:A,Groups!P:P)=0,"No",MROUND((LOG10(_xlfn.XLOOKUP(B245,'Base stats'!B:B,'Base stats'!AS:AS))*(AO245^0.5)+(_xlfn.XLOOKUP(B245,'Base stats'!B:B,'Base stats'!AS:AS)/1000)^(2/3)+_xlfn.XLOOKUP(B245,'Base stats'!B:B,'Base stats'!BA:BA))+_xlfn.XLOOKUP(B245,'Base stats'!B:B,'Base stats'!AY:AY)+0.5,0.5))</f>
        <v>No</v>
      </c>
      <c r="T245" s="7" t="str">
        <f>IF(S245="No","No",MAX(_xlfn.XLOOKUP(_xlfn.XLOOKUP(B245,'Base stats'!B:B,'Base stats'!E:E),Groups!A:A,Groups!Q:Q),MROUND(_xlfn.XLOOKUP(_xlfn.XLOOKUP(B245,'Base stats'!B:B,'Base stats'!E:E),Groups!A:A,Groups!Q:Q)*_xlfn.XLOOKUP(B245,'Base stats'!B:B,'Base stats'!C:C)^0.165,0.05)))</f>
        <v>No</v>
      </c>
      <c r="U245" s="7" t="str">
        <f>IF(S245="No","No",_xlfn.XLOOKUP(_xlfn.XLOOKUP(B245,'Base stats'!B:B,'Base stats'!E:E),Groups!A:A,Groups!R:R))</f>
        <v>No</v>
      </c>
      <c r="V245" s="7" t="str">
        <f>IF(S245="No","No",_xlfn.XLOOKUP(_xlfn.XLOOKUP(B245,'Base stats'!B:B,'Base stats'!E:E),Groups!A:A,Groups!S:S))</f>
        <v>No</v>
      </c>
      <c r="W245" s="7" t="str">
        <f>IF(S245="No","No",_xlfn.XLOOKUP(_xlfn.XLOOKUP(B245,'Base stats'!B:B,'Base stats'!E:E),Groups!A:A,Groups!T:T))</f>
        <v>No</v>
      </c>
      <c r="X245" s="13" t="str">
        <f>IF(_xlfn.XLOOKUP(B245,'Base stats'!B:B,'Base stats'!W:W)="No","No",MROUND((LOG10(_xlfn.XLOOKUP(B245,'Base stats'!B:B,'Base stats'!AU:AU))*(AO245^0.5)+(_xlfn.XLOOKUP(B245,'Base stats'!B:B,'Base stats'!AU:AU)/1000)^(2/3)+_xlfn.XLOOKUP(B245,'Base stats'!B:B,'Base stats'!AZ:AZ))+0.5+IF(_xlfn.XLOOKUP(_xlfn.XLOOKUP(B245,'Base stats'!B:B,'Base stats'!E:E),Groups!A:A,Groups!U:U)&lt;&gt;3,_xlfn.XLOOKUP(B245,'Base stats'!B:B,'Base stats'!BA:BA),0),0.5))</f>
        <v>No</v>
      </c>
      <c r="Y245" s="7" t="str">
        <f>IF(X245="No","No",MAX(_xlfn.XLOOKUP(_xlfn.XLOOKUP(B245,'Base stats'!B:B,'Base stats'!E:E),Groups!A:A,Groups!V:V),MROUND(_xlfn.XLOOKUP(_xlfn.XLOOKUP(B245,'Base stats'!B:B,'Base stats'!E:E),Groups!A:A,Groups!V:V)*_xlfn.XLOOKUP(B245,'Base stats'!B:B,'Base stats'!C:C)^0.165,0.05)))</f>
        <v>No</v>
      </c>
      <c r="Z245" s="7" t="str">
        <f>IF(X245="No","No",_xlfn.XLOOKUP(_xlfn.XLOOKUP(B245,'Base stats'!B:B,'Base stats'!E:E),Groups!A:A,Groups!W:W))</f>
        <v>No</v>
      </c>
      <c r="AA245" s="7" t="str">
        <f>IF(X245="No","No",_xlfn.XLOOKUP(_xlfn.XLOOKUP(B245,'Base stats'!B:B,'Base stats'!E:E),Groups!A:A,Groups!X:X))</f>
        <v>No</v>
      </c>
      <c r="AB245" s="7" t="str">
        <f>IF(X245="No","No",_xlfn.XLOOKUP(_xlfn.XLOOKUP(B245,'Base stats'!B:B,'Base stats'!E:E),Groups!A:A,Groups!Y:Y))</f>
        <v>No</v>
      </c>
      <c r="AC245" s="7" t="str">
        <f>_xlfn.XLOOKUP(Animals!B245,'Base stats'!B:B,'Base stats'!X:X)</f>
        <v>False</v>
      </c>
      <c r="AD245" s="13">
        <f>IF(_xlfn.XLOOKUP(B245,'Base stats'!B:B,'Base stats'!AT:AT)="No","No",MROUND((LOG10(_xlfn.XLOOKUP(B245,'Base stats'!B:B,'Base stats'!AT:AT))*(AO245^0.75)+(_xlfn.XLOOKUP(B245,'Base stats'!B:B,'Base stats'!AT:AT)/1000)^(2/3)+_xlfn.XLOOKUP(B245,'Base stats'!B:B,'Base stats'!AX:AX)+_xlfn.XLOOKUP(B245,'Base stats'!B:B,'Base stats'!BA:BA))+0.5,0.5))</f>
        <v>34.5</v>
      </c>
      <c r="AE245" s="7">
        <f>IF(AD245="No","No",MAX(_xlfn.XLOOKUP(_xlfn.XLOOKUP(B245,'Base stats'!B:B,'Base stats'!E:E),Groups!A:A,Groups!Z:Z),MROUND(_xlfn.XLOOKUP(_xlfn.XLOOKUP(B245,'Base stats'!B:B,'Base stats'!E:E),Groups!A:A,Groups!Z:Z)*_xlfn.XLOOKUP(B245,'Base stats'!B:B,'Base stats'!C:C)^0.165,0.05)))</f>
        <v>3.1500000000000004</v>
      </c>
      <c r="AF245" s="7" t="str">
        <f>IF(AD245="No","No",_xlfn.XLOOKUP(_xlfn.XLOOKUP(B245,'Base stats'!B:B,'Base stats'!E:E),Groups!A:A,Groups!AA:AA))</f>
        <v>Mouth</v>
      </c>
      <c r="AG245" s="7" t="str">
        <f>IF(AD245="No","No",_xlfn.XLOOKUP(_xlfn.XLOOKUP(B245,'Base stats'!B:B,'Base stats'!E:E),Groups!A:A,Groups!AB:AB))</f>
        <v>chelicerae</v>
      </c>
      <c r="AH245" s="7" t="str">
        <f>IF(AD245="No","No",_xlfn.XLOOKUP(_xlfn.XLOOKUP(B245,'Base stats'!B:B,'Base stats'!E:E),Groups!A:A,Groups!AC:AC))</f>
        <v>ToxicBite</v>
      </c>
      <c r="AI245" s="13" t="str">
        <f>IF(_xlfn.XLOOKUP(_xlfn.XLOOKUP(B245,'Base stats'!B:B,'Base stats'!E:E),Groups!A:A,Groups!AD:AD)=0,"No",MROUND((LOG10(_xlfn.XLOOKUP(B245,'Base stats'!B:B,'Base stats'!AS:AS))*(AO245^0.75)+(_xlfn.XLOOKUP(B245,'Base stats'!B:B,'Base stats'!AS:AS)/1000)^(2/3)+_xlfn.XLOOKUP(B245,'Base stats'!B:B,'Base stats'!AY:AY)+_xlfn.XLOOKUP(B245,'Base stats'!B:B,'Base stats'!BA:BA))+0.5,0.5))</f>
        <v>No</v>
      </c>
      <c r="AJ245" s="7" t="str">
        <f>IF(AI245="No","No",MAX(_xlfn.XLOOKUP(_xlfn.XLOOKUP(B245,'Base stats'!B:B,'Base stats'!E:E),Groups!A:A,Groups!AE:AE),MROUND(_xlfn.XLOOKUP(_xlfn.XLOOKUP(B245,'Base stats'!B:B,'Base stats'!E:E),Groups!A:A,Groups!AE:AE)*IF(_xlfn.XLOOKUP(_xlfn.XLOOKUP(B245,'Base stats'!B:B,'Base stats'!E:E),Groups!A:A,Groups!AJ:AJ)="Photonozoa",0.6,1)*_xlfn.XLOOKUP(B245,'Base stats'!B:B,'Base stats'!C:C)^0.165,0.05)))</f>
        <v>No</v>
      </c>
      <c r="AK245" s="7" t="str">
        <f>IF(AI245="No","No",_xlfn.XLOOKUP(_xlfn.XLOOKUP(B245,'Base stats'!B:B,'Base stats'!E:E),Groups!A:A,Groups!AF:AF))</f>
        <v>No</v>
      </c>
      <c r="AL245" s="7" t="str">
        <f>IF(AI245="No","No",_xlfn.XLOOKUP(_xlfn.XLOOKUP(B245,'Base stats'!B:B,'Base stats'!E:E),Groups!A:A,Groups!AG:AG))</f>
        <v>No</v>
      </c>
      <c r="AM245" s="7" t="str">
        <f>IF(AI245="No","No",_xlfn.XLOOKUP(_xlfn.XLOOKUP(B245,'Base stats'!B:B,'Base stats'!E:E),Groups!A:A,Groups!AH:AH))</f>
        <v>No</v>
      </c>
      <c r="AN245" s="2">
        <f t="shared" si="21"/>
        <v>30</v>
      </c>
      <c r="AO245" s="2">
        <f>MROUND(IF(AND(_xlfn.XLOOKUP(B245,'Base stats'!B:B,'Base stats'!C:C)&gt;=0.5,_xlfn.XLOOKUP(B245,'Base stats'!B:B,'Base stats'!C:C)&lt;=0.8),
IF(_xlfn.XLOOKUP(B245,'Base stats'!B:B,'Base stats'!C:C)&lt;0.1,0.05,IF(_xlfn.XLOOKUP(B245,'Base stats'!B:B,'Base stats'!C:C)&lt;=70,(_xlfn.XLOOKUP(B245,'Base stats'!B:B,'Base stats'!C:C)/70)^0.426489913056526,IF(_xlfn.XLOOKUP(B245,'Base stats'!B:B,'Base stats'!C:C)&lt;=400,(_xlfn.XLOOKUP(B245,'Base stats'!B:B,'Base stats'!C:C)/70)^0.572811455315093,IF(_xlfn.XLOOKUP(B245,'Base stats'!B:B,'Base stats'!C:C)&lt;=2000,2.71391647193063*(_xlfn.XLOOKUP(B245,'Base stats'!B:B,'Base stats'!C:C)/400)^0.252459582904293,3.74314280240376*(_xlfn.XLOOKUP(B245,'Base stats'!B:B,'Base stats'!C:C)/2000)^0.357012633876913)))),
IF(_xlfn.XLOOKUP(B245,'Base stats'!B:B,'Base stats'!C:C)&lt;0.1,0.05,IF(_xlfn.XLOOKUP(B245,'Base stats'!B:B,'Base stats'!C:C)&lt;0.4,0.1,IF(_xlfn.XLOOKUP(B245,'Base stats'!B:B,'Base stats'!C:C)&lt;=70,(_xlfn.XLOOKUP(B245,'Base stats'!B:B,'Base stats'!C:C)/70)^0.445823913056526,IF(_xlfn.XLOOKUP(B245,'Base stats'!B:B,'Base stats'!C:C)&lt;=400,(_xlfn.XLOOKUP(B245,'Base stats'!B:B,'Base stats'!C:C)/70)^0.572811455315093,IF(_xlfn.XLOOKUP(B245,'Base stats'!B:B,'Base stats'!C:C)&lt;=2000,2.71391647193063*(_xlfn.XLOOKUP(B245,'Base stats'!B:B,'Base stats'!C:C)/400)^0.252459582904293,3.74314280240376*(_xlfn.XLOOKUP(B245,'Base stats'!B:B,'Base stats'!C:C)/2000)^0.357012633876913)))))),
IF(_xlfn.XLOOKUP(B245,'Base stats'!B:B,'Base stats'!C:C)&lt;0.1,0.05,IF(_xlfn.XLOOKUP(B245,'Base stats'!B:B,'Base stats'!C:C)&lt;=100,0.05,IF(_xlfn.XLOOKUP(B245,'Base stats'!B:B,'Base stats'!C:C)&lt;=250,0.1,IF(_xlfn.XLOOKUP(B245,'Base stats'!B:B,'Base stats'!C:C)&lt;=4000,0.25,0.5)))))</f>
        <v>2.5</v>
      </c>
      <c r="AP245" s="8">
        <f>MROUND(AO245*_xlfn.XLOOKUP(_xlfn.XLOOKUP(B245,'Base stats'!B:B,'Base stats'!E:E),Groups!A:A,Groups!AI:AI)*_xlfn.XLOOKUP(B245,'Base stats'!B:B,'Base stats'!Z:Z),0.05)</f>
        <v>2.5</v>
      </c>
      <c r="AQ245" s="8">
        <f>MAX(0.01,MROUND(IF(CC245="True",0.196*(AO245*100*1000)^0.889,IF(_xlfn.XLOOKUP(_xlfn.XLOOKUP(B245,'Base stats'!B:B,'Base stats'!E:E),Groups!A:A,Groups!AJ:AJ)="Bird",10.5*(AO245*100*1000)^0.681,4.82*(AO245*100*1000)^0.734))/(4.82*(1*100*1000)^0.734)/IF(AO245&lt;3.5,2,IF(AO245=3.5,1.5,1.25))*(1+0.132282374779864/(AO245^0.994035016789033+0.00905238001496948)),0.05))</f>
        <v>0.30000000000000004</v>
      </c>
      <c r="AR245" s="9">
        <f>IFERROR(MROUND(_xlfn.XLOOKUP(B245,'Base stats'!B:B,'Base stats'!H:H)/IF(_xlfn.XLOOKUP(B245,'Base stats'!B:B,'Base stats'!I:I)&lt;&gt;1,(122.5/70),1.2),IF(_xlfn.XLOOKUP(B245,'Base stats'!B:B,'Base stats'!H:H)&gt;=30,5,IF(_xlfn.XLOOKUP(B245,'Base stats'!B:B,'Base stats'!H:H)&gt;=15,3,IF(_xlfn.XLOOKUP(B245,'Base stats'!B:B,'Base stats'!H:H)&gt;=10,2,1)))),"Immortal")</f>
        <v>12</v>
      </c>
      <c r="AS245" s="35" t="str">
        <f>IFERROR(IF(OR(_xlfn.XLOOKUP(B245,'Base stats'!B:B,'Base stats'!F:F)="Atypical reproduction",_xlfn.XLOOKUP(B245,'Base stats'!B:B,'Base stats'!F:F)="Lay eggs"),"Lay eggs",MIN(20,MAX(5.5,ROUND(((_xlfn.XLOOKUP(B245,'Base stats'!B:B,'Base stats'!F:F)-25)*(14.5/615) + 5.5)*2,0)/2))),"Unknown")</f>
        <v>Lay eggs</v>
      </c>
      <c r="AT245" s="8">
        <f>IF(_xlfn.XLOOKUP(B245,'Base stats'!B:B,'Base stats'!G:G)="Atypical reproduction","No",IFERROR(MAX(IF(_xlfn.XLOOKUP(B245,'Base stats'!B:B,'Base stats'!G:G)&lt;0.5,0.2,0.3),MROUND(_xlfn.XLOOKUP(B245,'Base stats'!B:B,'Base stats'!G:G)/(365/60),0.2)),"Unknown"))</f>
        <v>0.8</v>
      </c>
      <c r="AU245" s="8">
        <f t="shared" si="22"/>
        <v>0.4</v>
      </c>
      <c r="AV245" s="8" t="str">
        <f>IFERROR(IFERROR(MROUND(_xlfn.XLOOKUP(B245,'Base stats'!B:B,'Base stats'!J:J),0.1),"Lay eggs"),"Cannot breed")</f>
        <v>Lay eggs</v>
      </c>
      <c r="AW245" s="2" t="str">
        <f t="shared" si="23"/>
        <v>false</v>
      </c>
      <c r="AX245" s="2" t="str">
        <f>IF(_xlfn.XLOOKUP(_xlfn.XLOOKUP(Animals!B245,'Base stats'!B:B,'Base stats'!E:E),Groups!A:A,Groups!AK:AK)=1,"true","false")</f>
        <v>false</v>
      </c>
      <c r="AY245" s="25" t="str">
        <f>IF(_xlfn.XLOOKUP(B245,'Base stats'!B:B,'Base stats'!Y:Y)="Liquor","Liquor, CarnivoreAnimalStrict",IF(AND(_xlfn.XLOOKUP(B245,'Base stats'!B:B,'Base stats'!Y:Y)="Carnivore",_xlfn.XLOOKUP(_xlfn.XLOOKUP(B245,'Base stats'!B:B,'Base stats'!E:E),Groups!A:A,Groups!AJ:AJ)="Photonozoa"),"CarnivoreAnimalStrict, OvivoreAnimal",IF(_xlfn.XLOOKUP(B245,'Base stats'!B:B,'Base stats'!Y:Y)="Carnivore","CarnivoreAnimal, OvivoreAnimal",IF(_xlfn.XLOOKUP(B245,'Base stats'!B:B,'Base stats'!Y:Y)="Dendrovore","VegetarianRoughAnimal, DendrovoreAnimal",IF(_xlfn.XLOOKUP(B245,'Base stats'!B:B,'Base stats'!Y:Y)="Herbivore","VegetarianRoughAnimal",IF(_xlfn.XLOOKUP(B245,'Base stats'!B:B,'Base stats'!Y:Y)="OmnivoreRough","OmnivoreRoughAnimal, OvivoreAnimal","OmnivoreAnimal, OvivoreAnimal"))))))</f>
        <v>CarnivoreAnimal, OvivoreAnimal</v>
      </c>
      <c r="AZ245" s="2" t="str">
        <f>IF(_xlfn.XLOOKUP(_xlfn.XLOOKUP(B245,'Base stats'!B:B,'Base stats'!E:E),Groups!A:A,Groups!D:D)=1,MROUND((1-J245)*5+1,2)*IF(J245&lt;=0.4,2,1),"No")</f>
        <v>No</v>
      </c>
      <c r="BA245" s="2" t="str">
        <f>IF(AND(_xlfn.XLOOKUP(B245,'Base stats'!B:B,'Base stats'!AH:AH)="&lt;li&gt;Seal&lt;/li&gt;",G245="Odyssey"),"&lt;li&gt;AEXP_Seal&lt;/li&gt;",_xlfn.XLOOKUP(B245,'Base stats'!B:B,'Base stats'!AH:AH))</f>
        <v>&lt;li&gt;Megaspider&lt;/li&gt;</v>
      </c>
      <c r="BB245" s="2" t="str">
        <f>_xlfn.XLOOKUP(B245,'Base stats'!B:B,'Base stats'!AG:AG)</f>
        <v>Leather_Chitin</v>
      </c>
      <c r="BC245" s="23" t="str">
        <f>_xlfn.XLOOKUP(_xlfn.XLOOKUP(B245,'Base stats'!B:B,'Base stats'!E:E),Groups!A:A,Groups!AL:AL)</f>
        <v>Arachnid</v>
      </c>
      <c r="BD245" s="23">
        <f>MIN(1,MROUND(IF(AND(AO245&lt;0.5,_xlfn.XLOOKUP(B245,'Base stats'!B:B,'Base stats'!AA:AA)=0),0,IF(OR(_xlfn.XLOOKUP(Animals!B245,'Base stats'!B:B,'Base stats'!O:O)=2,_xlfn.XLOOKUP(_xlfn.XLOOKUP(B245,'Base stats'!B:B,'Base stats'!E:E),Groups!A:A,Groups!AN:AN)=0),0,_xlfn.XLOOKUP(_xlfn.XLOOKUP(B245,'Base stats'!B:B,'Base stats'!E:E),Groups!A:A,Groups!AN:AN)/IF(_xlfn.XLOOKUP(Animals!B245,'Base stats'!B:B,'Base stats'!O:O)=1,2,1)))+_xlfn.XLOOKUP(B245,'Base stats'!B:B,'Base stats'!AC:AC),0.005))</f>
        <v>0.1</v>
      </c>
      <c r="BE245" s="23">
        <f>MIN(1,MROUND(IF(AND(AO245&lt;0.5,_xlfn.XLOOKUP(B245,'Base stats'!B:B,'Base stats'!AA:AA)=0),0,IF(_xlfn.XLOOKUP(_xlfn.XLOOKUP(B245,'Base stats'!B:B,'Base stats'!E:E),Groups!A:A,Groups!AO:AO)=0,0,_xlfn.XLOOKUP(_xlfn.XLOOKUP(B245,'Base stats'!B:B,'Base stats'!E:E),Groups!A:A,Groups!AO:AO)/IF(_xlfn.XLOOKUP(Animals!B245,'Base stats'!B:B,'Base stats'!O:O)=2,3,1)))+_xlfn.XLOOKUP(B245,'Base stats'!B:B,'Base stats'!AD:AD),0.005))</f>
        <v>1</v>
      </c>
      <c r="BF245" s="2" t="str">
        <f>IF(J245&gt;0.3,"No",_xlfn.XLOOKUP(_xlfn.XLOOKUP(Animals!B245,'Base stats'!B:B,'Base stats'!E:E),Groups!A:A,Groups!AP:AP))</f>
        <v>No</v>
      </c>
      <c r="BG245" s="2" t="str">
        <f>IF(AND(J245&lt;=0.65,_xlfn.XLOOKUP(_xlfn.XLOOKUP(Animals!B245,'Base stats'!B:B,'Base stats'!E:E),Groups!A:A,Groups!AP:AP)&lt;&gt;"No",_xlfn.XLOOKUP(_xlfn.XLOOKUP(B245,'Base stats'!B:B,'Base stats'!E:E),Groups!A:A,Groups!D:D)=0),MROUND((80/3)*IF(_xlfn.XLOOKUP(B245,'Base stats'!B:B,'Base stats'!O:O)=2,0.2,AO245) + 24*(1-IF(BF245="No",0,BF245)) + 16/3, 12),"No")</f>
        <v>No</v>
      </c>
      <c r="BH245" s="2">
        <f>IF(AND(_xlfn.XLOOKUP(_xlfn.XLOOKUP(B245,'Base stats'!B:B,'Base stats'!E:E),Groups!A:A,Groups!AQ:AQ)=1,AO245&lt;=0.35),8,12)</f>
        <v>12</v>
      </c>
      <c r="BI245" s="2" t="str">
        <f>IF(_xlfn.XLOOKUP(_xlfn.XLOOKUP(B245,'Base stats'!B:B,'Base stats'!E:E),Groups!A:A,Groups!D:D)=0,_xlfn.XLOOKUP(_xlfn.XLOOKUP(B245,'Base stats'!B:B,'Base stats'!E:E),Groups!A:A,Groups!AR:AR),"None")</f>
        <v>Intermediate</v>
      </c>
      <c r="BJ245" s="2" t="str">
        <f>IF(AND(_xlfn.XLOOKUP(_xlfn.XLOOKUP(B245,'Base stats'!B:B,'Base stats'!E:E),Groups!A:A,Groups!AS:AS)=1,OR(_xlfn.XLOOKUP(B245,'Base stats'!B:B,'Base stats'!Y:Y)="Carnivore",_xlfn.XLOOKUP(B245,'Base stats'!B:B,'Base stats'!Y:Y)="Omnivore")),"true","false")</f>
        <v>true</v>
      </c>
      <c r="BK245" s="2">
        <f>IF(BJ245="true",MROUND(IF(AND(AO245&gt;0.5,OR(_xlfn.XLOOKUP(_xlfn.XLOOKUP(B245,'Base stats'!B:B,'Base stats'!E:E),Groups!A:A,Groups!AJ:AJ)="Photonozoa",_xlfn.XLOOKUP(_xlfn.XLOOKUP(B245,'Base stats'!B:B,'Base stats'!E:E),Groups!A:A,Groups!AJ:AJ)="Mammal")),Animals!AO245*1.75*IF(AW245="true",1.5,1),IF(AO245&lt;0.5,Animals!AO245*0.5,Animals!AO245)),IF(AO245&gt;2,0.5,IF(AO245&gt;0.5,0.25,0.1))),"No")</f>
        <v>2.5</v>
      </c>
      <c r="BL245" s="2">
        <f t="shared" si="24"/>
        <v>1</v>
      </c>
      <c r="BM245" s="25" t="str">
        <f>IF(_xlfn.XLOOKUP(B245,'Base stats'!B:B,'Base stats'!AN:AN)="Standard","No",MROUND((_xlfn.XLOOKUP(B245,'Base stats'!B:B,'Base stats'!AN:AN)/3.6)/I245,0.1))</f>
        <v>No</v>
      </c>
      <c r="BN245" s="25" t="str">
        <f t="shared" si="25"/>
        <v>false</v>
      </c>
      <c r="BO245" s="25" t="str">
        <f>IF(AND(OR(_xlfn.XLOOKUP(B245,'Base stats'!B:B,'Base stats'!Y:Y)="Carnivore",_xlfn.XLOOKUP(B245,'Base stats'!B:B,'Base stats'!Y:Y)="Omnivore",_xlfn.XLOOKUP(B245,'Base stats'!B:B,'Base stats'!Y:Y)="OmnivoreRough"),_xlfn.XLOOKUP(_xlfn.XLOOKUP(B245,'Base stats'!B:B,'Base stats'!E:E),Groups!A:A,Groups!AT:AT)=1),"true","false")</f>
        <v>false</v>
      </c>
      <c r="BP245" s="25" t="str" cm="1">
        <f t="array" ref="BP245">IF(
  _xlfn.TEXTJOIN(", ",TRUE,
    IF(AND(BJ245="true",AO245&gt;0.5,BI245&lt;&gt;"None"),"AttackTarget",""),
    IF(AND(_xlfn.XLOOKUP(_xlfn.XLOOKUP(B245,'Base stats'!B:B,'Base stats'!E:E),Groups!A:A,Groups!AJ:AJ="Mammal"),OR(_xlfn.XLOOKUP(B245,'Base stats'!B:B,'Base stats'!Y:Y)="Omnivore",_xlfn.XLOOKUP(B245,'Base stats'!B:B,'Base stats'!Y:Y)="OmnivoreRough")),"Forage",""),
    IF(BG245&lt;=36,"Comfort",""),
    IF(_xlfn.XLOOKUP(B245,'Base stats'!B:B,'Base stats'!AE:AE)&lt;&gt;"No",_xlfn.XLOOKUP(B245,'Base stats'!B:B,'Base stats'!AE:AE),"")
  ) = "",
  "No",
  _xlfn.TEXTJOIN(", ",TRUE,
    IF(AND(BJ245="true",AO245&gt;0.5,BI245&lt;&gt;"None"),"AttackTarget",""),
    IF(AND(_xlfn.XLOOKUP(_xlfn.XLOOKUP(B245,'Base stats'!B:B,'Base stats'!E:E),Groups!A:A,Groups!AJ:AJ="Mammal"),OR(_xlfn.XLOOKUP(B245,'Base stats'!B:B,'Base stats'!Y:Y)="Omnivore",_xlfn.XLOOKUP(B245,'Base stats'!B:B,'Base stats'!Y:Y)="OmnivoreRough")),"Forage",""),
    IF(BG245&lt;=36,"Comfort",""),
    IF(_xlfn.XLOOKUP(B245,'Base stats'!B:B,'Base stats'!AE:AE)&lt;&gt;"No",_xlfn.XLOOKUP(B245,'Base stats'!B:B,'Base stats'!AE:AE),"")
  )
)</f>
        <v>AttackTarget</v>
      </c>
      <c r="BQ245" s="25" t="str">
        <f>IF(
   AND(
      'Base stats'!AN245="Standard",_xlfn.XLOOKUP(_xlfn.XLOOKUP(B245,'Base stats'!B:B,'Base stats'!E:E),Groups!A:A,Groups!AU:AU)=0,
      OR(
      BO245="True"
      )
   ),
   10,
   IF(
       OR(BM245&lt;&gt;"No",_xlfn.XLOOKUP(_xlfn.XLOOKUP(B245,'Base stats'!B:B,'Base stats'!E:E),Groups!A:A,Groups!AU:AU)=1),
      1,
      "No"
   )
)</f>
        <v>No</v>
      </c>
      <c r="BR245" s="9">
        <f>MROUND((1 + ((0.2*IF(OR(Q245="No",R245="No",R245=0),0,Q245/R245)
+IF(OR(V245="No",S245="No",T245="No"),0,S245/T245*(LEN(V245)-LEN(SUBSTITUTE(V245,",",""))+1))
+IF(OR(X245="No",Y245="No"),0,X245/Y245)
+IF(OR(AD245="No",AE245="No"),0,AD245/AE245)
+IF(OR(AL245="No",AI245="No",AJ245="No"),0,AI245/AJ245*(LEN(AL245)-LEN(SUBSTITUTE(AL245,",",""))+1))
)/(0.2*IF(OR(Q245="No",R245="No",R245=0),0,1)
+IF(OR(V245="No",S245="No",T245="No"),0,LEN(V245)-LEN(SUBSTITUTE(V245,",",""))+1)
+IF(OR(X245="No",Y245="No"),0,1)
+IF(OR(AD245="No",AE245="No"),0,1)
+IF(OR(AL245="No",AI245="No",AJ245="No"),0,LEN(AL245)-LEN(SUBSTITUTE(AL245,",",""))+1))*62%)* 2)*(1 + (AP245 / (IF(_xlfn.XLOOKUP(_xlfn.XLOOKUP(B245,'Base stats'!B:B,'Base stats'!E:E),Groups!A:A,Groups!AJ:AJ)="Photonozoa",0.3,1)) + _xlfn.XLOOKUP(B245,'Base stats'!B:B,'Base stats'!AV:AV) * 1.8) * 2) * 2.5 + 10 + I245 * 2,5)+IF(_xlfn.XLOOKUP(B245,'Base stats'!B:B,'Base stats'!AK:AK)=1,50,0)</f>
        <v>275</v>
      </c>
      <c r="BS245" s="8">
        <f t="shared" si="26"/>
        <v>0.75</v>
      </c>
      <c r="BT245" s="8" t="str">
        <f>_xlfn.XLOOKUP(B245,'Base stats'!B:B,'Base stats'!AF:AF)</f>
        <v>No</v>
      </c>
      <c r="BU245" s="2" t="str">
        <f>IF(AND(J245&lt;=0.95,OR(_xlfn.XLOOKUP(B245,'Base stats'!B:B,'Base stats'!AK:AK)=1,_xlfn.XLOOKUP(B245,'Base stats'!B:B,'Base stats'!Y:Y)="Carnivore",_xlfn.XLOOKUP(B245,'Base stats'!B:B,'Base stats'!Y:Y)="Omnivore",BE245&gt;0.1)),"true","false")</f>
        <v>true</v>
      </c>
      <c r="BV245" s="2" t="str">
        <f>IF(_xlfn.XLOOKUP(B245,'Base stats'!B:B,'Base stats'!AI:AI)=1,"true","false")</f>
        <v>false</v>
      </c>
      <c r="BW245" s="25" t="str">
        <f>IF(E245="BaseInsect","AnimalInsect",
IF(J245&gt;0.95,"AnimalExotic",
_xlfn.TEXTJOIN(", ",TRUE,
IF(OR(_xlfn.XLOOKUP(B245,'Base stats'!B:B,'Base stats'!AM:AM)=1,AND(_xlfn.XLOOKUP(B245,'Base stats'!B:B,'Base stats'!O:O)=0,_xlfn.XLOOKUP(_xlfn.XLOOKUP(B245,'Base stats'!B:B,'Base stats'!E:E),Groups!A:A,Groups!B:B)&gt;0)),"AnimalUncommon","AnimalCommon"),
IF(AND(_xlfn.XLOOKUP(B245,'Base stats'!B:B,'Base stats'!O:O)=2,_xlfn.XLOOKUP(_xlfn.XLOOKUP(B245,'Base stats'!B:B,'Base stats'!E:E),Groups!A:A,Groups!D:D)=0),"AnimalPet",IF(AND(_xlfn.XLOOKUP(B245,'Base stats'!B:B,'Base stats'!O:O)&lt;&gt;0,_xlfn.XLOOKUP(_xlfn.XLOOKUP(B245,'Base stats'!B:B,'Base stats'!E:E),Groups!A:A,Groups!D:D)&lt;&gt;0),"AnimalFarm","")),
IF(OR(_xlfn.XLOOKUP(B245,'Base stats'!B:B,'Base stats'!AK:AK)=1,AND(BI245&lt;&gt;"None",BR245&gt;=60),ISNUMBER(SEARCH("Attack target",BP245))),"AnimalFighter","")
)))</f>
        <v>AnimalUncommon, AnimalFighter</v>
      </c>
      <c r="BX245" s="25" t="str">
        <f>IF(G245="None",TRIM(
SUBSTITUTE(
IF(COUNTIF(Biomes!B$2:B$259,"="&amp;$C245)&gt;0,Biomes!B$1&amp;", ","")&amp;
IF(COUNTIF(Biomes!C$2:C$259,"="&amp;$C245)&gt;0,Biomes!C$1&amp;", ","")&amp;
IF(COUNTIF(Biomes!D$2:D$259,"="&amp;$C245)&gt;0,Biomes!D$1&amp;", ","")&amp;
IF(COUNTIF(Biomes!F$2:F$259,"="&amp;$C245)&gt;0,Biomes!F$1&amp;", ","")&amp;
IF(COUNTIF(Biomes!G$2:G$259,"="&amp;$C245)&gt;0,Biomes!G$1&amp;", ","")&amp;
IF(COUNTIF(Biomes!H$2:H$259,"="&amp;$C245)&gt;0,Biomes!H$1&amp;", ","")&amp;
IF(COUNTIF(Biomes!I$2:I$259,"="&amp;$C245)&gt;0,Biomes!I$1&amp;", ","")&amp;
IF(COUNTIF(Biomes!J$2:J$259,"="&amp;$C245)&gt;0,Biomes!J$1&amp;", ","")&amp;
IF(COUNTIF(Biomes!M$2:M$259,"="&amp;$C245)&gt;0,Biomes!M$1&amp;", ","")&amp;
IF(COUNTIF(Biomes!N$2:N$259,"="&amp;$C245)&gt;0,Biomes!N$1&amp;", ","")&amp;
IF(COUNTIF(Biomes!O$2:O$259,"="&amp;$C245)&gt;0,Biomes!O$1&amp;", ","")&amp;
IF(COUNTIF(Biomes!P$2:P$259,"="&amp;$C245)&gt;0,Biomes!P$1&amp;", ","")&amp;
IF(COUNTIF(Biomes!K$2:K$259,"="&amp;$C245)&gt;0,Biomes!K$1&amp;", ","")&amp;
IF(COUNTIF(Biomes!Q$3:Q$259,"="&amp;$C245)&gt;0,Biomes!Q$1&amp;", ","")&amp;
IF(COUNTIF(Biomes!L$2:L$259,"="&amp;$C245)&gt;0,Biomes!L$1&amp;", ","")&amp;
IF(COUNTIF(Biomes!E$2:E$259,"="&amp;$C245)&gt;0,Biomes!E$1&amp;", ","")&amp;IF(COUNTIF(Biomes!S$2:S$259,"="&amp;$C245)&gt;0,Biomes!S$1&amp;", ","")&amp;
IF(COUNTIF(Biomes!R$2:R$259,"="&amp;$C245)&gt;0,Biomes!R$1&amp;", ",""),", ","")
),_xlfn.XLOOKUP(B245,B:B,BX:BX))</f>
        <v>LavaField</v>
      </c>
      <c r="BY245" s="25" t="str">
        <f>IF(_xlfn.XLOOKUP(B245,'Base stats'!B:B,'Base stats'!AJ:AJ)=1,"true","false")</f>
        <v>false</v>
      </c>
      <c r="BZ245" s="25">
        <f>IF(_xlfn.XLOOKUP(B245,'Base stats'!B:B,'Base stats'!N:N)=1,"No",MAX(0.001,MIN(MROUND(IF(AND(BJ245="True",CC245="False"),POWER(10,3.47*LOG10(_xlfn.XLOOKUP(B245,'Base stats'!B:B,'Base stats'!C:C)*1000)^-0.96),POWER(10,4.15*LOG10(_xlfn.XLOOKUP(B245,'Base stats'!B:B,'Base stats'!C:C)*1000)^-0.73))*IF(_xlfn.XLOOKUP(B245,'Base stats'!B:B,'Base stats'!AK:AK)=1,0.5,1)*IF(_xlfn.XLOOKUP(B245,'Base stats'!B:B,'Base stats'!AM:AM)=1,0.1,1)/100,IF(_xlfn.XLOOKUP(B245,'Base stats'!B:B,'Base stats'!AM:AM)=1,0.001,0.025)),0.5)))</f>
        <v>0.15000000000000002</v>
      </c>
      <c r="CA245" s="25" t="str">
        <f>IF(P245="Standard","No",MAX(0.001,MIN(MROUND(IF(AND(BJ245="True",CC245="False"),POWER(10,3.47*LOG10(_xlfn.XLOOKUP(B245,'Base stats'!B:B,'Base stats'!C:C)*1000)^-0.96),POWER(10,4.15*LOG10(_xlfn.XLOOKUP(B245,'Base stats'!B:B,'Base stats'!C:C)*1000)^-0.73))*IF(_xlfn.XLOOKUP(B245,'Base stats'!B:B,'Base stats'!AM:AM)=1,0.1,1)*_xlfn.XLOOKUP(B245,'Base stats'!B:B,'Base stats'!R:R)/100,IF(_xlfn.XLOOKUP(B245,'Base stats'!B:B,'Base stats'!AM:AM)=1,0.001,0.025)),0.5)))</f>
        <v>No</v>
      </c>
      <c r="CB245" s="25" t="str">
        <f>IF(_xlfn.XLOOKUP(_xlfn.XLOOKUP(B245,'Base stats'!B:B,'Base stats'!E:E),Groups!A:A,Groups!AJ:AJ)="Mammal","True","False")</f>
        <v>False</v>
      </c>
      <c r="CC245" s="25" t="str">
        <f>IF(OR(_xlfn.XLOOKUP(_xlfn.XLOOKUP(B245,'Base stats'!B:B,'Base stats'!E:E),Groups!A:A,Groups!AJ:AJ)="Reptile",_xlfn.XLOOKUP(_xlfn.XLOOKUP(B245,'Base stats'!B:B,'Base stats'!E:E),Groups!A:A,Groups!AJ:AJ)="Amphibian",_xlfn.XLOOKUP(_xlfn.XLOOKUP(B245,'Base stats'!B:B,'Base stats'!E:E),Groups!A:A,Groups!AJ:AJ)="Invertebrate"),"True","False")</f>
        <v>True</v>
      </c>
      <c r="CD245" s="25" t="str">
        <f t="shared" si="27"/>
        <v>False</v>
      </c>
      <c r="CE245" s="25" t="str">
        <f>IF(_xlfn.XLOOKUP(_xlfn.XLOOKUP(B245,'Base stats'!B:B,'Base stats'!E:E),Groups!A:A,Groups!AX:AX),"True","False")</f>
        <v>False</v>
      </c>
      <c r="CF245" s="25" t="str">
        <f>IF(_xlfn.XLOOKUP(_xlfn.XLOOKUP(B245,'Base stats'!B:B,'Base stats'!E:E),Groups!A:A,Groups!AY:AY),"True","False")</f>
        <v>False</v>
      </c>
      <c r="CG245" s="25" t="str">
        <f>IF(_xlfn.XLOOKUP(_xlfn.XLOOKUP(B245,'Base stats'!B:B,'Base stats'!E:E),Groups!A:A,Groups!AW:AW),"True","False")</f>
        <v>False</v>
      </c>
      <c r="CH245" s="25" t="str">
        <f>IF(
OR(
_xlfn.XLOOKUP(_xlfn.XLOOKUP(B245,'Base stats'!B:B,'Base stats'!E:E),Groups!A:A,Groups!AZ:AZ)=0,
AND(
_xlfn.XLOOKUP(B245,'Base stats'!B:B,'Base stats'!Y:Y)&lt;&gt;"Carnivore",
_xlfn.XLOOKUP(B245,'Base stats'!B:B,'Base stats'!Y:Y)&lt;&gt;"Omnivore",
_xlfn.XLOOKUP(B245,'Base stats'!B:B,'Base stats'!Y:Y)&lt;&gt;"OmnivoreRough"
)
),
"No",
IF(
_xlfn.XLOOKUP(_xlfn.XLOOKUP(B245,'Base stats'!B:B,'Base stats'!E:E),Groups!A:A,Groups!AZ:AZ)=1,
"Flesh",
IF(
_xlfn.XLOOKUP(_xlfn.XLOOKUP(B245,'Base stats'!B:B,'Base stats'!E:E),Groups!A:A,Groups!AZ:AZ)=2,
"Bone",
""
)
)
)</f>
        <v>No</v>
      </c>
      <c r="CI245" s="25" t="str">
        <f>IF(_xlfn.XLOOKUP(_xlfn.XLOOKUP(B245,'Base stats'!B:B,'Base stats'!E:E),Groups!A:A,Groups!BB:BB),"True","False")</f>
        <v>False</v>
      </c>
      <c r="CJ245" s="25" t="str">
        <f>IF(_xlfn.XLOOKUP(_xlfn.XLOOKUP(B245,'Base stats'!B:B,'Base stats'!E:E),Groups!A:A,Groups!BA:BA),"True","False")</f>
        <v>False</v>
      </c>
    </row>
    <row r="246" spans="1:88" ht="16.5" thickTop="1" thickBot="1" x14ac:dyDescent="0.3">
      <c r="A246" s="26" t="s">
        <v>1398</v>
      </c>
      <c r="B246" s="6" t="str">
        <f>_xlfn.XLOOKUP(A246,'Base stats'!A:A,'Base stats'!B:B)</f>
        <v>Coleoptera crepusculi</v>
      </c>
      <c r="C246" s="28" t="s">
        <v>1399</v>
      </c>
      <c r="D246" s="28" t="s">
        <v>1341</v>
      </c>
      <c r="E246" s="28" t="s">
        <v>1747</v>
      </c>
      <c r="F246" s="28" t="s">
        <v>673</v>
      </c>
      <c r="G246" s="28" t="s">
        <v>673</v>
      </c>
      <c r="H246" s="2">
        <f>MROUND((
  (IF(AND(_xlfn.XLOOKUP(B246,'Base stats'!B:B,'Base stats'!AL:AL)=0,BI246="None",_xlfn.XLOOKUP(_xlfn.XLOOKUP(B246,'Base stats'!B:B,'Base stats'!E:E),Groups!A:A,Groups!B:B)=0), (18 + BR246 * 2.7) * 0.5,
    IF(AND(_xlfn.XLOOKUP(B246,'Base stats'!B:B,'Base stats'!AL:AL)=0,OR(AO246&lt;0.55,AND(BI246="Intermediate",_xlfn.XLOOKUP(_xlfn.XLOOKUP(B246,'Base stats'!B:B,'Base stats'!E:E),Groups!A:A,Groups!B:B)&lt;2))), (18 + BR246 * 2.7),
      IF(OR(BI246="Advanced",_xlfn.XLOOKUP(B246,'Base stats'!B:B,'Base stats'!AL:AL)=1,_xlfn.XLOOKUP(_xlfn.XLOOKUP(B246,'Base stats'!B:B,'Base stats'!E:E),Groups!A:A,Groups!B:B)=2), (18 + BR246 * 2.7) + 250, (18 + BR246 * 2.7))
    )
  ))
  + AO246 * 80
  + IF(COUNTIF(EggMilk!K$2:K$998, A246) &gt; 0, 125, 0)
  + IF(COUNTIF(EggMilk!P$2:P$998, A246) &gt; 0, 90, 0)
  + IF(COUNTIF(EggMilk!A$2:A$998, A246) &gt; 0, 90, 0)
)
* (0.8 + 0.4 * J246)
* 0.75,25)</f>
        <v>1700</v>
      </c>
      <c r="I246" s="2">
        <f>MROUND(ROUNDDOWN(_xlfn.XLOOKUP(B246,'Base stats'!B:B,'Base stats'!L:L)/3.6/(23.3/11),1),0.5)</f>
        <v>2.5</v>
      </c>
      <c r="J246" s="2">
        <f>IF(OR(_xlfn.XLOOKUP(B246,'Base stats'!B:B,'Base stats'!AB:AB)=1,_xlfn.XLOOKUP(_xlfn.XLOOKUP(B246,'Base stats'!B:B,'Base stats'!E:E),Groups!A:A,Groups!C:C)="Untamable"),1,IF(_xlfn.XLOOKUP(B246,'Base stats'!B:B,'Base stats'!AL:AL)=1,0.99,MIN(MROUND((1-0.6282*EXP(-0.459*AO246))*_xlfn.XLOOKUP(_xlfn.XLOOKUP(B246,'Base stats'!B:B,'Base stats'!E:E),Groups!A:A,Groups!C:C)*IF(_xlfn.XLOOKUP(B246,'Base stats'!B:B,'Base stats'!O:O)=1,0.5,IF(_xlfn.XLOOKUP(B246,'Base stats'!B:B,'Base stats'!O:O)=2,0,1)),0.05),IF(AO246&gt;3.5,0.985,0.95))))</f>
        <v>0.98499999999999999</v>
      </c>
      <c r="K246" s="2">
        <f>ROUNDUP(AO246*_xlfn.XLOOKUP(_xlfn.XLOOKUP(B246,'Base stats'!B:B,'Base stats'!E:E),Groups!A:A,Groups!E:E),0)</f>
        <v>4</v>
      </c>
      <c r="L246" s="2">
        <f>IF(OR(_xlfn.XLOOKUP(_xlfn.XLOOKUP(B246,'Base stats'!B:B,'Base stats'!E:E),Groups!A:A,Groups!F:F)=2,ISNUMBER(SEARCH("SeaIce",BX246)),ISNUMBER(SEARCH("IceSheet",BX246))),-50,IF(OR(ISNUMBER(SEARCH("GlacialPlain",BX246)),ISNUMBER(SEARCH("Tundra",BX246))),-40,IF(OR(ISNUMBER(SEARCH("Alpine",BX246)),ISNUMBER(SEARCH("BorealForest",BX246)),ISNUMBER(SEARCH("ColdBog",BX246))),-30,IF(OR(ISNUMBER(SEARCH("TemperateForest",BX246)),ISNUMBER(SEARCH("TemperateSwamp",BX246))),-20,IF(_xlfn.XLOOKUP(_xlfn.XLOOKUP(B246,'Base stats'!B:B,'Base stats'!E:E),Groups!A:A,Groups!F:F)=1,-15,IF(OR(ISNUMBER(SEARCH("Desert",BX246)),ISNUMBER(SEARCH("ExtremeDesert",BX246))),-10,IF(OR(ISNUMBER(SEARCH("Grasslands",BX246)),ISNUMBER(SEARCH("TropicalRainforest",BX246)),ISNUMBER(SEARCH("TropicalSwamp",BX246))),10,0)))))))-IF(CC246="False",MIN(IFERROR(MAX(MROUND(LOG10(_xlfn.XLOOKUP(B246,'Base stats'!B:B,'Base stats'!C:C)^(2/3))*10,5),5),5),30))-_xlfn.XLOOKUP(B246,'Base stats'!B:B,'Base stats'!P:P)+IF(CC246="True",5,0)</f>
        <v>5</v>
      </c>
      <c r="M246" s="2">
        <f>IF(OR(_xlfn.XLOOKUP(_xlfn.XLOOKUP(B246,'Base stats'!B:B,'Base stats'!E:E),Groups!A:A,Groups!G:G)=2,ISNUMBER(SEARCH("Desert",BX246)),ISNUMBER(SEARCH("ExtremeDesert",BX246)),ISNUMBER(SEARCH("LavaField",BX246))),50,IF(ISNUMBER(SEARCH("Grasslands",BX246)),45,IF(OR(_xlfn.XLOOKUP(_xlfn.XLOOKUP(B246,'Base stats'!B:B,'Base stats'!E:E),Groups!A:A,Groups!G:G)=1,ISNUMBER(SEARCH("TropicalRainforest",BX246)),ISNUMBER(SEARCH("TropicalSwamp",BX246))),40,IF(OR(ISNUMBER(SEARCH("TemperateForest",BX246)),ISNUMBER(SEARCH("TemperateSwamp",BX246))),35,IF(OR(ISNUMBER(SEARCH("Alpine",BX246)),ISNUMBER(SEARCH("BorealForest",BX246)),ISNUMBER(SEARCH("ColdBog",BX246))),30,IF(ISNUMBER(OR(ISNUMBER(SEARCH("GlacialPlain",BX246)),SEARCH("Tundra",BX246))),25,IF(OR(ISNUMBER(SEARCH("SeaIce",BX246)),ISNUMBER(SEARCH("IceSheet",BX246)),ISNUMBER(SEARCH("TropicalSwamp",BX246))),10,35)))))))+_xlfn.XLOOKUP(B246,'Base stats'!B:B,'Base stats'!Q:Q)</f>
        <v>50</v>
      </c>
      <c r="N246" s="8">
        <f>IF(
_xlfn.XLOOKUP(
_xlfn.XLOOKUP(B246,'Base stats'!B:B,'Base stats'!E:E),
Groups!A:A,
Groups!L:L
)=1,
MIN(
MROUND(
IF(
_xlfn.XLOOKUP(B246,'Animals CE'!B:B,'Animals CE'!Z:Z)&lt;=1.5,
_xlfn.XLOOKUP(B246,'Animals CE'!B:B,'Animals CE'!Z:Z)/2+0.05,
0.8+
(_xlfn.XLOOKUP(B246,'Animals CE'!B:B,'Animals CE'!Z:Z)-1.5)
*0.02
),
0.05
),
200%
),
"No"
)</f>
        <v>0.9</v>
      </c>
      <c r="O246" s="8">
        <f>IF(
_xlfn.XLOOKUP(
_xlfn.XLOOKUP(B246,'Base stats'!B:B,'Base stats'!E:E),
Groups!A:A,
Groups!L:L
)=1,
MIN(
MROUND(
IF(
_xlfn.XLOOKUP(B246,'Animals CE'!B:B,'Animals CE'!AA:AA)&lt;=1.5,
_xlfn.XLOOKUP(B246,'Animals CE'!B:B,'Animals CE'!AA:AA)/2+0.05,
0.8+
(_xlfn.XLOOKUP(B246,'Animals CE'!B:B,'Animals CE'!AA:AA)-1.5)
*0.02
),
0.05
),
200%
),
"No"
)</f>
        <v>0.85000000000000009</v>
      </c>
      <c r="P246" s="2" t="str">
        <f>_xlfn.XLOOKUP(B246,'Base stats'!B:B,'Base stats'!R:R)</f>
        <v>Standard</v>
      </c>
      <c r="Q246" s="13">
        <f>MROUND((LOG10(_xlfn.XLOOKUP(B246,'Base stats'!B:B,'Base stats'!AR:AR))*(AO246^0.5)+(_xlfn.XLOOKUP(B246,'Base stats'!B:B,'Base stats'!AR:AR)/1000)^(2/3)+_xlfn.XLOOKUP(B246,'Base stats'!B:B,'Base stats'!BA:BA)/2)+0.5,0.5)</f>
        <v>23.5</v>
      </c>
      <c r="R246" s="7">
        <f>IF(Q246="No","No",MAX(1,MROUND(_xlfn.XLOOKUP(B246,'Base stats'!B:B,'Base stats'!C:C)^0.165,0.05)))</f>
        <v>3.35</v>
      </c>
      <c r="S246" s="13" t="str">
        <f>IF(_xlfn.XLOOKUP(_xlfn.XLOOKUP(B246,'Base stats'!B:B,'Base stats'!E:E),Groups!A:A,Groups!P:P)=0,"No",MROUND((LOG10(_xlfn.XLOOKUP(B246,'Base stats'!B:B,'Base stats'!AS:AS))*(AO246^0.5)+(_xlfn.XLOOKUP(B246,'Base stats'!B:B,'Base stats'!AS:AS)/1000)^(2/3)+_xlfn.XLOOKUP(B246,'Base stats'!B:B,'Base stats'!BA:BA))+_xlfn.XLOOKUP(B246,'Base stats'!B:B,'Base stats'!AY:AY)+0.5,0.5))</f>
        <v>No</v>
      </c>
      <c r="T246" s="7" t="str">
        <f>IF(S246="No","No",MAX(_xlfn.XLOOKUP(_xlfn.XLOOKUP(B246,'Base stats'!B:B,'Base stats'!E:E),Groups!A:A,Groups!Q:Q),MROUND(_xlfn.XLOOKUP(_xlfn.XLOOKUP(B246,'Base stats'!B:B,'Base stats'!E:E),Groups!A:A,Groups!Q:Q)*_xlfn.XLOOKUP(B246,'Base stats'!B:B,'Base stats'!C:C)^0.165,0.05)))</f>
        <v>No</v>
      </c>
      <c r="U246" s="7" t="str">
        <f>IF(S246="No","No",_xlfn.XLOOKUP(_xlfn.XLOOKUP(B246,'Base stats'!B:B,'Base stats'!E:E),Groups!A:A,Groups!R:R))</f>
        <v>No</v>
      </c>
      <c r="V246" s="7" t="str">
        <f>IF(S246="No","No",_xlfn.XLOOKUP(_xlfn.XLOOKUP(B246,'Base stats'!B:B,'Base stats'!E:E),Groups!A:A,Groups!S:S))</f>
        <v>No</v>
      </c>
      <c r="W246" s="7" t="str">
        <f>IF(S246="No","No",_xlfn.XLOOKUP(_xlfn.XLOOKUP(B246,'Base stats'!B:B,'Base stats'!E:E),Groups!A:A,Groups!T:T))</f>
        <v>No</v>
      </c>
      <c r="X246" s="13" t="str">
        <f>IF(_xlfn.XLOOKUP(B246,'Base stats'!B:B,'Base stats'!W:W)="No","No",MROUND((LOG10(_xlfn.XLOOKUP(B246,'Base stats'!B:B,'Base stats'!AU:AU))*(AO246^0.5)+(_xlfn.XLOOKUP(B246,'Base stats'!B:B,'Base stats'!AU:AU)/1000)^(2/3)+_xlfn.XLOOKUP(B246,'Base stats'!B:B,'Base stats'!AZ:AZ))+0.5+IF(_xlfn.XLOOKUP(_xlfn.XLOOKUP(B246,'Base stats'!B:B,'Base stats'!E:E),Groups!A:A,Groups!U:U)&lt;&gt;3,_xlfn.XLOOKUP(B246,'Base stats'!B:B,'Base stats'!BA:BA),0),0.5))</f>
        <v>No</v>
      </c>
      <c r="Y246" s="7" t="str">
        <f>IF(X246="No","No",MAX(_xlfn.XLOOKUP(_xlfn.XLOOKUP(B246,'Base stats'!B:B,'Base stats'!E:E),Groups!A:A,Groups!V:V),MROUND(_xlfn.XLOOKUP(_xlfn.XLOOKUP(B246,'Base stats'!B:B,'Base stats'!E:E),Groups!A:A,Groups!V:V)*_xlfn.XLOOKUP(B246,'Base stats'!B:B,'Base stats'!C:C)^0.165,0.05)))</f>
        <v>No</v>
      </c>
      <c r="Z246" s="7" t="str">
        <f>IF(X246="No","No",_xlfn.XLOOKUP(_xlfn.XLOOKUP(B246,'Base stats'!B:B,'Base stats'!E:E),Groups!A:A,Groups!W:W))</f>
        <v>No</v>
      </c>
      <c r="AA246" s="7" t="str">
        <f>IF(X246="No","No",_xlfn.XLOOKUP(_xlfn.XLOOKUP(B246,'Base stats'!B:B,'Base stats'!E:E),Groups!A:A,Groups!X:X))</f>
        <v>No</v>
      </c>
      <c r="AB246" s="7" t="str">
        <f>IF(X246="No","No",_xlfn.XLOOKUP(_xlfn.XLOOKUP(B246,'Base stats'!B:B,'Base stats'!E:E),Groups!A:A,Groups!Y:Y))</f>
        <v>No</v>
      </c>
      <c r="AC246" s="7" t="str">
        <f>_xlfn.XLOOKUP(Animals!B246,'Base stats'!B:B,'Base stats'!X:X)</f>
        <v>False</v>
      </c>
      <c r="AD246" s="13">
        <f>IF(_xlfn.XLOOKUP(B246,'Base stats'!B:B,'Base stats'!AT:AT)="No","No",MROUND((LOG10(_xlfn.XLOOKUP(B246,'Base stats'!B:B,'Base stats'!AT:AT))*(AO246^0.75)+(_xlfn.XLOOKUP(B246,'Base stats'!B:B,'Base stats'!AT:AT)/1000)^(2/3)+_xlfn.XLOOKUP(B246,'Base stats'!B:B,'Base stats'!AX:AX)+_xlfn.XLOOKUP(B246,'Base stats'!B:B,'Base stats'!BA:BA))+0.5,0.5))</f>
        <v>66.5</v>
      </c>
      <c r="AE246" s="7">
        <f>IF(AD246="No","No",MAX(_xlfn.XLOOKUP(_xlfn.XLOOKUP(B246,'Base stats'!B:B,'Base stats'!E:E),Groups!A:A,Groups!Z:Z),MROUND(_xlfn.XLOOKUP(_xlfn.XLOOKUP(B246,'Base stats'!B:B,'Base stats'!E:E),Groups!A:A,Groups!Z:Z)*_xlfn.XLOOKUP(B246,'Base stats'!B:B,'Base stats'!C:C)^0.165,0.05)))</f>
        <v>4</v>
      </c>
      <c r="AF246" s="7" t="str">
        <f>IF(AD246="No","No",_xlfn.XLOOKUP(_xlfn.XLOOKUP(B246,'Base stats'!B:B,'Base stats'!E:E),Groups!A:A,Groups!AA:AA))</f>
        <v>Mouth</v>
      </c>
      <c r="AG246" s="7" t="str">
        <f>IF(AD246="No","No",_xlfn.XLOOKUP(_xlfn.XLOOKUP(B246,'Base stats'!B:B,'Base stats'!E:E),Groups!A:A,Groups!AB:AB))</f>
        <v>mandibles</v>
      </c>
      <c r="AH246" s="7" t="str">
        <f>IF(AD246="No","No",_xlfn.XLOOKUP(_xlfn.XLOOKUP(B246,'Base stats'!B:B,'Base stats'!E:E),Groups!A:A,Groups!AC:AC))</f>
        <v>Bite</v>
      </c>
      <c r="AI246" s="13" t="str">
        <f>IF(_xlfn.XLOOKUP(_xlfn.XLOOKUP(B246,'Base stats'!B:B,'Base stats'!E:E),Groups!A:A,Groups!AD:AD)=0,"No",MROUND((LOG10(_xlfn.XLOOKUP(B246,'Base stats'!B:B,'Base stats'!AS:AS))*(AO246^0.75)+(_xlfn.XLOOKUP(B246,'Base stats'!B:B,'Base stats'!AS:AS)/1000)^(2/3)+_xlfn.XLOOKUP(B246,'Base stats'!B:B,'Base stats'!AY:AY)+_xlfn.XLOOKUP(B246,'Base stats'!B:B,'Base stats'!BA:BA))+0.5,0.5))</f>
        <v>No</v>
      </c>
      <c r="AJ246" s="7" t="str">
        <f>IF(AI246="No","No",MAX(_xlfn.XLOOKUP(_xlfn.XLOOKUP(B246,'Base stats'!B:B,'Base stats'!E:E),Groups!A:A,Groups!AE:AE),MROUND(_xlfn.XLOOKUP(_xlfn.XLOOKUP(B246,'Base stats'!B:B,'Base stats'!E:E),Groups!A:A,Groups!AE:AE)*IF(_xlfn.XLOOKUP(_xlfn.XLOOKUP(B246,'Base stats'!B:B,'Base stats'!E:E),Groups!A:A,Groups!AJ:AJ)="Photonozoa",0.6,1)*_xlfn.XLOOKUP(B246,'Base stats'!B:B,'Base stats'!C:C)^0.165,0.05)))</f>
        <v>No</v>
      </c>
      <c r="AK246" s="7" t="str">
        <f>IF(AI246="No","No",_xlfn.XLOOKUP(_xlfn.XLOOKUP(B246,'Base stats'!B:B,'Base stats'!E:E),Groups!A:A,Groups!AF:AF))</f>
        <v>No</v>
      </c>
      <c r="AL246" s="7" t="str">
        <f>IF(AI246="No","No",_xlfn.XLOOKUP(_xlfn.XLOOKUP(B246,'Base stats'!B:B,'Base stats'!E:E),Groups!A:A,Groups!AG:AG))</f>
        <v>No</v>
      </c>
      <c r="AM246" s="7" t="str">
        <f>IF(AI246="No","No",_xlfn.XLOOKUP(_xlfn.XLOOKUP(B246,'Base stats'!B:B,'Base stats'!E:E),Groups!A:A,Groups!AH:AH))</f>
        <v>No</v>
      </c>
      <c r="AN246" s="2" t="str">
        <f t="shared" si="21"/>
        <v>No</v>
      </c>
      <c r="AO246" s="2">
        <f>MROUND(IF(AND(_xlfn.XLOOKUP(B246,'Base stats'!B:B,'Base stats'!C:C)&gt;=0.5,_xlfn.XLOOKUP(B246,'Base stats'!B:B,'Base stats'!C:C)&lt;=0.8),
IF(_xlfn.XLOOKUP(B246,'Base stats'!B:B,'Base stats'!C:C)&lt;0.1,0.05,IF(_xlfn.XLOOKUP(B246,'Base stats'!B:B,'Base stats'!C:C)&lt;=70,(_xlfn.XLOOKUP(B246,'Base stats'!B:B,'Base stats'!C:C)/70)^0.426489913056526,IF(_xlfn.XLOOKUP(B246,'Base stats'!B:B,'Base stats'!C:C)&lt;=400,(_xlfn.XLOOKUP(B246,'Base stats'!B:B,'Base stats'!C:C)/70)^0.572811455315093,IF(_xlfn.XLOOKUP(B246,'Base stats'!B:B,'Base stats'!C:C)&lt;=2000,2.71391647193063*(_xlfn.XLOOKUP(B246,'Base stats'!B:B,'Base stats'!C:C)/400)^0.252459582904293,3.74314280240376*(_xlfn.XLOOKUP(B246,'Base stats'!B:B,'Base stats'!C:C)/2000)^0.357012633876913)))),
IF(_xlfn.XLOOKUP(B246,'Base stats'!B:B,'Base stats'!C:C)&lt;0.1,0.05,IF(_xlfn.XLOOKUP(B246,'Base stats'!B:B,'Base stats'!C:C)&lt;0.4,0.1,IF(_xlfn.XLOOKUP(B246,'Base stats'!B:B,'Base stats'!C:C)&lt;=70,(_xlfn.XLOOKUP(B246,'Base stats'!B:B,'Base stats'!C:C)/70)^0.445823913056526,IF(_xlfn.XLOOKUP(B246,'Base stats'!B:B,'Base stats'!C:C)&lt;=400,(_xlfn.XLOOKUP(B246,'Base stats'!B:B,'Base stats'!C:C)/70)^0.572811455315093,IF(_xlfn.XLOOKUP(B246,'Base stats'!B:B,'Base stats'!C:C)&lt;=2000,2.71391647193063*(_xlfn.XLOOKUP(B246,'Base stats'!B:B,'Base stats'!C:C)/400)^0.252459582904293,3.74314280240376*(_xlfn.XLOOKUP(B246,'Base stats'!B:B,'Base stats'!C:C)/2000)^0.357012633876913)))))),
IF(_xlfn.XLOOKUP(B246,'Base stats'!B:B,'Base stats'!C:C)&lt;0.1,0.05,IF(_xlfn.XLOOKUP(B246,'Base stats'!B:B,'Base stats'!C:C)&lt;=100,0.05,IF(_xlfn.XLOOKUP(B246,'Base stats'!B:B,'Base stats'!C:C)&lt;=250,0.1,IF(_xlfn.XLOOKUP(B246,'Base stats'!B:B,'Base stats'!C:C)&lt;=4000,0.25,0.5)))))</f>
        <v>3.75</v>
      </c>
      <c r="AP246" s="8">
        <f>MROUND(AO246*_xlfn.XLOOKUP(_xlfn.XLOOKUP(B246,'Base stats'!B:B,'Base stats'!E:E),Groups!A:A,Groups!AI:AI)*_xlfn.XLOOKUP(B246,'Base stats'!B:B,'Base stats'!Z:Z),0.05)</f>
        <v>3.75</v>
      </c>
      <c r="AQ246" s="8">
        <f>MAX(0.01,MROUND(IF(CC246="True",0.196*(AO246*100*1000)^0.889,IF(_xlfn.XLOOKUP(_xlfn.XLOOKUP(B246,'Base stats'!B:B,'Base stats'!E:E),Groups!A:A,Groups!AJ:AJ)="Bird",10.5*(AO246*100*1000)^0.681,4.82*(AO246*100*1000)^0.734))/(4.82*(1*100*1000)^0.734)/IF(AO246&lt;3.5,2,IF(AO246=3.5,1.5,1.25))*(1+0.132282374779864/(AO246^0.994035016789033+0.00905238001496948)),0.05))</f>
        <v>0.65</v>
      </c>
      <c r="AR246" s="9">
        <f>IFERROR(MROUND(_xlfn.XLOOKUP(B246,'Base stats'!B:B,'Base stats'!H:H)/IF(_xlfn.XLOOKUP(B246,'Base stats'!B:B,'Base stats'!I:I)&lt;&gt;1,(122.5/70),1.2),IF(_xlfn.XLOOKUP(B246,'Base stats'!B:B,'Base stats'!H:H)&gt;=30,5,IF(_xlfn.XLOOKUP(B246,'Base stats'!B:B,'Base stats'!H:H)&gt;=15,3,IF(_xlfn.XLOOKUP(B246,'Base stats'!B:B,'Base stats'!H:H)&gt;=10,2,1)))),"Immortal")</f>
        <v>40</v>
      </c>
      <c r="AS246" s="35" t="str">
        <f>IFERROR(IF(OR(_xlfn.XLOOKUP(B246,'Base stats'!B:B,'Base stats'!F:F)="Atypical reproduction",_xlfn.XLOOKUP(B246,'Base stats'!B:B,'Base stats'!F:F)="Lay eggs"),"Lay eggs",MIN(20,MAX(5.5,ROUND(((_xlfn.XLOOKUP(B246,'Base stats'!B:B,'Base stats'!F:F)-25)*(14.5/615) + 5.5)*2,0)/2))),"Unknown")</f>
        <v>Lay eggs</v>
      </c>
      <c r="AT246" s="8">
        <f>IF(_xlfn.XLOOKUP(B246,'Base stats'!B:B,'Base stats'!G:G)="Atypical reproduction","No",IFERROR(MAX(IF(_xlfn.XLOOKUP(B246,'Base stats'!B:B,'Base stats'!G:G)&lt;0.5,0.2,0.3),MROUND(_xlfn.XLOOKUP(B246,'Base stats'!B:B,'Base stats'!G:G)/(365/60),0.2)),"Unknown"))</f>
        <v>0.8</v>
      </c>
      <c r="AU246" s="8">
        <f t="shared" si="22"/>
        <v>0.4</v>
      </c>
      <c r="AV246" s="8" t="str">
        <f>IFERROR(IFERROR(MROUND(_xlfn.XLOOKUP(B246,'Base stats'!B:B,'Base stats'!J:J),0.1),"Lay eggs"),"Cannot breed")</f>
        <v>Lay eggs</v>
      </c>
      <c r="AW246" s="2" t="str">
        <f t="shared" si="23"/>
        <v>false</v>
      </c>
      <c r="AX246" s="2" t="str">
        <f>IF(_xlfn.XLOOKUP(_xlfn.XLOOKUP(Animals!B246,'Base stats'!B:B,'Base stats'!E:E),Groups!A:A,Groups!AK:AK)=1,"true","false")</f>
        <v>false</v>
      </c>
      <c r="AY246" s="25" t="str">
        <f>IF(_xlfn.XLOOKUP(B246,'Base stats'!B:B,'Base stats'!Y:Y)="Liquor","Liquor, CarnivoreAnimalStrict",IF(AND(_xlfn.XLOOKUP(B246,'Base stats'!B:B,'Base stats'!Y:Y)="Carnivore",_xlfn.XLOOKUP(_xlfn.XLOOKUP(B246,'Base stats'!B:B,'Base stats'!E:E),Groups!A:A,Groups!AJ:AJ)="Photonozoa"),"CarnivoreAnimalStrict, OvivoreAnimal",IF(_xlfn.XLOOKUP(B246,'Base stats'!B:B,'Base stats'!Y:Y)="Carnivore","CarnivoreAnimal, OvivoreAnimal",IF(_xlfn.XLOOKUP(B246,'Base stats'!B:B,'Base stats'!Y:Y)="Dendrovore","VegetarianRoughAnimal, DendrovoreAnimal",IF(_xlfn.XLOOKUP(B246,'Base stats'!B:B,'Base stats'!Y:Y)="Herbivore","VegetarianRoughAnimal",IF(_xlfn.XLOOKUP(B246,'Base stats'!B:B,'Base stats'!Y:Y)="OmnivoreRough","OmnivoreRoughAnimal, OvivoreAnimal","OmnivoreAnimal, OvivoreAnimal"))))))</f>
        <v>VegetarianRoughAnimal</v>
      </c>
      <c r="AZ246" s="2">
        <f>IF(_xlfn.XLOOKUP(_xlfn.XLOOKUP(B246,'Base stats'!B:B,'Base stats'!E:E),Groups!A:A,Groups!D:D)=1,MROUND((1-J246)*5+1,2)*IF(J246&lt;=0.4,2,1),"No")</f>
        <v>2</v>
      </c>
      <c r="BA246" s="2" t="str">
        <f>IF(AND(_xlfn.XLOOKUP(B246,'Base stats'!B:B,'Base stats'!AH:AH)="&lt;li&gt;Seal&lt;/li&gt;",G246="Odyssey"),"&lt;li&gt;AEXP_Seal&lt;/li&gt;",_xlfn.XLOOKUP(B246,'Base stats'!B:B,'Base stats'!AH:AH))</f>
        <v>&lt;li&gt;Megaspider&lt;/li&gt;</v>
      </c>
      <c r="BB246" s="2" t="str">
        <f>_xlfn.XLOOKUP(B246,'Base stats'!B:B,'Base stats'!AG:AG)</f>
        <v>Leather_Chitin</v>
      </c>
      <c r="BC246" s="23" t="str">
        <f>_xlfn.XLOOKUP(_xlfn.XLOOKUP(B246,'Base stats'!B:B,'Base stats'!E:E),Groups!A:A,Groups!AL:AL)</f>
        <v>BeetleLike</v>
      </c>
      <c r="BD246" s="23">
        <f>MIN(1,MROUND(IF(AND(AO246&lt;0.5,_xlfn.XLOOKUP(B246,'Base stats'!B:B,'Base stats'!AA:AA)=0),0,IF(OR(_xlfn.XLOOKUP(Animals!B246,'Base stats'!B:B,'Base stats'!O:O)=2,_xlfn.XLOOKUP(_xlfn.XLOOKUP(B246,'Base stats'!B:B,'Base stats'!E:E),Groups!A:A,Groups!AN:AN)=0),0,_xlfn.XLOOKUP(_xlfn.XLOOKUP(B246,'Base stats'!B:B,'Base stats'!E:E),Groups!A:A,Groups!AN:AN)/IF(_xlfn.XLOOKUP(Animals!B246,'Base stats'!B:B,'Base stats'!O:O)=1,2,1)))+_xlfn.XLOOKUP(B246,'Base stats'!B:B,'Base stats'!AC:AC),0.005))</f>
        <v>0.1</v>
      </c>
      <c r="BE246" s="23">
        <f>MIN(1,MROUND(IF(AND(AO246&lt;0.5,_xlfn.XLOOKUP(B246,'Base stats'!B:B,'Base stats'!AA:AA)=0),0,IF(_xlfn.XLOOKUP(_xlfn.XLOOKUP(B246,'Base stats'!B:B,'Base stats'!E:E),Groups!A:A,Groups!AO:AO)=0,0,_xlfn.XLOOKUP(_xlfn.XLOOKUP(B246,'Base stats'!B:B,'Base stats'!E:E),Groups!A:A,Groups!AO:AO)/IF(_xlfn.XLOOKUP(Animals!B246,'Base stats'!B:B,'Base stats'!O:O)=2,3,1)))+_xlfn.XLOOKUP(B246,'Base stats'!B:B,'Base stats'!AD:AD),0.005))</f>
        <v>0.3</v>
      </c>
      <c r="BF246" s="2" t="str">
        <f>IF(J246&gt;0.3,"No",_xlfn.XLOOKUP(_xlfn.XLOOKUP(Animals!B246,'Base stats'!B:B,'Base stats'!E:E),Groups!A:A,Groups!AP:AP))</f>
        <v>No</v>
      </c>
      <c r="BG246" s="2" t="str">
        <f>IF(AND(J246&lt;=0.65,_xlfn.XLOOKUP(_xlfn.XLOOKUP(Animals!B246,'Base stats'!B:B,'Base stats'!E:E),Groups!A:A,Groups!AP:AP)&lt;&gt;"No",_xlfn.XLOOKUP(_xlfn.XLOOKUP(B246,'Base stats'!B:B,'Base stats'!E:E),Groups!A:A,Groups!D:D)=0),MROUND((80/3)*IF(_xlfn.XLOOKUP(B246,'Base stats'!B:B,'Base stats'!O:O)=2,0.2,AO246) + 24*(1-IF(BF246="No",0,BF246)) + 16/3, 12),"No")</f>
        <v>No</v>
      </c>
      <c r="BH246" s="2">
        <f>IF(AND(_xlfn.XLOOKUP(_xlfn.XLOOKUP(B246,'Base stats'!B:B,'Base stats'!E:E),Groups!A:A,Groups!AQ:AQ)=1,AO246&lt;=0.35),8,12)</f>
        <v>12</v>
      </c>
      <c r="BI246" s="2" t="str">
        <f>IF(_xlfn.XLOOKUP(_xlfn.XLOOKUP(B246,'Base stats'!B:B,'Base stats'!E:E),Groups!A:A,Groups!D:D)=0,_xlfn.XLOOKUP(_xlfn.XLOOKUP(B246,'Base stats'!B:B,'Base stats'!E:E),Groups!A:A,Groups!AR:AR),"None")</f>
        <v>None</v>
      </c>
      <c r="BJ246" s="2" t="str">
        <f>IF(AND(_xlfn.XLOOKUP(_xlfn.XLOOKUP(B246,'Base stats'!B:B,'Base stats'!E:E),Groups!A:A,Groups!AS:AS)=1,OR(_xlfn.XLOOKUP(B246,'Base stats'!B:B,'Base stats'!Y:Y)="Carnivore",_xlfn.XLOOKUP(B246,'Base stats'!B:B,'Base stats'!Y:Y)="Omnivore")),"true","false")</f>
        <v>false</v>
      </c>
      <c r="BK246" s="2" t="str">
        <f>IF(BJ246="true",MROUND(IF(AND(AO246&gt;0.5,OR(_xlfn.XLOOKUP(_xlfn.XLOOKUP(B246,'Base stats'!B:B,'Base stats'!E:E),Groups!A:A,Groups!AJ:AJ)="Photonozoa",_xlfn.XLOOKUP(_xlfn.XLOOKUP(B246,'Base stats'!B:B,'Base stats'!E:E),Groups!A:A,Groups!AJ:AJ)="Mammal")),Animals!AO246*1.75*IF(AW246="true",1.5,1),IF(AO246&lt;0.5,Animals!AO246*0.5,Animals!AO246)),IF(AO246&gt;2,0.5,IF(AO246&gt;0.5,0.25,0.1))),"No")</f>
        <v>No</v>
      </c>
      <c r="BL246" s="2">
        <f t="shared" si="24"/>
        <v>0</v>
      </c>
      <c r="BM246" s="25" t="str">
        <f>IF(_xlfn.XLOOKUP(B246,'Base stats'!B:B,'Base stats'!AN:AN)="Standard","No",MROUND((_xlfn.XLOOKUP(B246,'Base stats'!B:B,'Base stats'!AN:AN)/3.6)/I246,0.1))</f>
        <v>No</v>
      </c>
      <c r="BN246" s="25" t="str">
        <f t="shared" si="25"/>
        <v>false</v>
      </c>
      <c r="BO246" s="25" t="str">
        <f>IF(AND(OR(_xlfn.XLOOKUP(B246,'Base stats'!B:B,'Base stats'!Y:Y)="Carnivore",_xlfn.XLOOKUP(B246,'Base stats'!B:B,'Base stats'!Y:Y)="Omnivore",_xlfn.XLOOKUP(B246,'Base stats'!B:B,'Base stats'!Y:Y)="OmnivoreRough"),_xlfn.XLOOKUP(_xlfn.XLOOKUP(B246,'Base stats'!B:B,'Base stats'!E:E),Groups!A:A,Groups!AT:AT)=1),"true","false")</f>
        <v>false</v>
      </c>
      <c r="BP246" s="25" t="str" cm="1">
        <f t="array" ref="BP246">IF(
  _xlfn.TEXTJOIN(", ",TRUE,
    IF(AND(BJ246="true",AO246&gt;0.5,BI246&lt;&gt;"None"),"AttackTarget",""),
    IF(AND(_xlfn.XLOOKUP(_xlfn.XLOOKUP(B246,'Base stats'!B:B,'Base stats'!E:E),Groups!A:A,Groups!AJ:AJ="Mammal"),OR(_xlfn.XLOOKUP(B246,'Base stats'!B:B,'Base stats'!Y:Y)="Omnivore",_xlfn.XLOOKUP(B246,'Base stats'!B:B,'Base stats'!Y:Y)="OmnivoreRough")),"Forage",""),
    IF(BG246&lt;=36,"Comfort",""),
    IF(_xlfn.XLOOKUP(B246,'Base stats'!B:B,'Base stats'!AE:AE)&lt;&gt;"No",_xlfn.XLOOKUP(B246,'Base stats'!B:B,'Base stats'!AE:AE),"")
  ) = "",
  "No",
  _xlfn.TEXTJOIN(", ",TRUE,
    IF(AND(BJ246="true",AO246&gt;0.5,BI246&lt;&gt;"None"),"AttackTarget",""),
    IF(AND(_xlfn.XLOOKUP(_xlfn.XLOOKUP(B246,'Base stats'!B:B,'Base stats'!E:E),Groups!A:A,Groups!AJ:AJ="Mammal"),OR(_xlfn.XLOOKUP(B246,'Base stats'!B:B,'Base stats'!Y:Y)="Omnivore",_xlfn.XLOOKUP(B246,'Base stats'!B:B,'Base stats'!Y:Y)="OmnivoreRough")),"Forage",""),
    IF(BG246&lt;=36,"Comfort",""),
    IF(_xlfn.XLOOKUP(B246,'Base stats'!B:B,'Base stats'!AE:AE)&lt;&gt;"No",_xlfn.XLOOKUP(B246,'Base stats'!B:B,'Base stats'!AE:AE),"")
  )
)</f>
        <v>No</v>
      </c>
      <c r="BQ246" s="25" t="str">
        <f>IF(
   AND(
      'Base stats'!AN246="Standard",_xlfn.XLOOKUP(_xlfn.XLOOKUP(B246,'Base stats'!B:B,'Base stats'!E:E),Groups!A:A,Groups!AU:AU)=0,
      OR(
      BO246="True"
      )
   ),
   10,
   IF(
       OR(BM246&lt;&gt;"No",_xlfn.XLOOKUP(_xlfn.XLOOKUP(B246,'Base stats'!B:B,'Base stats'!E:E),Groups!A:A,Groups!AU:AU)=1),
      1,
      "No"
   )
)</f>
        <v>No</v>
      </c>
      <c r="BR246" s="9">
        <f>MROUND((1 + ((0.2*IF(OR(Q246="No",R246="No",R246=0),0,Q246/R246)
+IF(OR(V246="No",S246="No",T246="No"),0,S246/T246*(LEN(V246)-LEN(SUBSTITUTE(V246,",",""))+1))
+IF(OR(X246="No",Y246="No"),0,X246/Y246)
+IF(OR(AD246="No",AE246="No"),0,AD246/AE246)
+IF(OR(AL246="No",AI246="No",AJ246="No"),0,AI246/AJ246*(LEN(AL246)-LEN(SUBSTITUTE(AL246,",",""))+1))
)/(0.2*IF(OR(Q246="No",R246="No",R246=0),0,1)
+IF(OR(V246="No",S246="No",T246="No"),0,LEN(V246)-LEN(SUBSTITUTE(V246,",",""))+1)
+IF(OR(X246="No",Y246="No"),0,1)
+IF(OR(AD246="No",AE246="No"),0,1)
+IF(OR(AL246="No",AI246="No",AJ246="No"),0,LEN(AL246)-LEN(SUBSTITUTE(AL246,",",""))+1))*62%)* 2)*(1 + (AP246 / (IF(_xlfn.XLOOKUP(_xlfn.XLOOKUP(B246,'Base stats'!B:B,'Base stats'!E:E),Groups!A:A,Groups!AJ:AJ)="Photonozoa",0.3,1)) + _xlfn.XLOOKUP(B246,'Base stats'!B:B,'Base stats'!AV:AV) * 1.8) * 2) * 2.5 + 10 + I246 * 2,5)+IF(_xlfn.XLOOKUP(B246,'Base stats'!B:B,'Base stats'!AK:AK)=1,50,0)</f>
        <v>585</v>
      </c>
      <c r="BS246" s="8">
        <f t="shared" si="26"/>
        <v>1.25</v>
      </c>
      <c r="BT246" s="8" t="str">
        <f>_xlfn.XLOOKUP(B246,'Base stats'!B:B,'Base stats'!AF:AF)</f>
        <v>No</v>
      </c>
      <c r="BU246" s="2" t="str">
        <f>IF(AND(J246&lt;=0.95,OR(_xlfn.XLOOKUP(B246,'Base stats'!B:B,'Base stats'!AK:AK)=1,_xlfn.XLOOKUP(B246,'Base stats'!B:B,'Base stats'!Y:Y)="Carnivore",_xlfn.XLOOKUP(B246,'Base stats'!B:B,'Base stats'!Y:Y)="Omnivore",BE246&gt;0.1)),"true","false")</f>
        <v>false</v>
      </c>
      <c r="BV246" s="2" t="str">
        <f>IF(_xlfn.XLOOKUP(B246,'Base stats'!B:B,'Base stats'!AI:AI)=1,"true","false")</f>
        <v>true</v>
      </c>
      <c r="BW246" s="25" t="str">
        <f>IF(E246="BaseInsect","AnimalInsect",
IF(J246&gt;0.95,"AnimalExotic",
_xlfn.TEXTJOIN(", ",TRUE,
IF(OR(_xlfn.XLOOKUP(B246,'Base stats'!B:B,'Base stats'!AM:AM)=1,AND(_xlfn.XLOOKUP(B246,'Base stats'!B:B,'Base stats'!O:O)=0,_xlfn.XLOOKUP(_xlfn.XLOOKUP(B246,'Base stats'!B:B,'Base stats'!E:E),Groups!A:A,Groups!B:B)&gt;0)),"AnimalUncommon","AnimalCommon"),
IF(AND(_xlfn.XLOOKUP(B246,'Base stats'!B:B,'Base stats'!O:O)=2,_xlfn.XLOOKUP(_xlfn.XLOOKUP(B246,'Base stats'!B:B,'Base stats'!E:E),Groups!A:A,Groups!D:D)=0),"AnimalPet",IF(AND(_xlfn.XLOOKUP(B246,'Base stats'!B:B,'Base stats'!O:O)&lt;&gt;0,_xlfn.XLOOKUP(_xlfn.XLOOKUP(B246,'Base stats'!B:B,'Base stats'!E:E),Groups!A:A,Groups!D:D)&lt;&gt;0),"AnimalFarm","")),
IF(OR(_xlfn.XLOOKUP(B246,'Base stats'!B:B,'Base stats'!AK:AK)=1,AND(BI246&lt;&gt;"None",BR246&gt;=60),ISNUMBER(SEARCH("Attack target",BP246))),"AnimalFighter","")
)))</f>
        <v>AnimalExotic</v>
      </c>
      <c r="BX246" s="25" t="str">
        <f>IF(G246="None",TRIM(
SUBSTITUTE(
IF(COUNTIF(Biomes!B$2:B$259,"="&amp;$C246)&gt;0,Biomes!B$1&amp;", ","")&amp;
IF(COUNTIF(Biomes!C$2:C$259,"="&amp;$C246)&gt;0,Biomes!C$1&amp;", ","")&amp;
IF(COUNTIF(Biomes!D$2:D$259,"="&amp;$C246)&gt;0,Biomes!D$1&amp;", ","")&amp;
IF(COUNTIF(Biomes!F$2:F$259,"="&amp;$C246)&gt;0,Biomes!F$1&amp;", ","")&amp;
IF(COUNTIF(Biomes!G$2:G$259,"="&amp;$C246)&gt;0,Biomes!G$1&amp;", ","")&amp;
IF(COUNTIF(Biomes!H$2:H$259,"="&amp;$C246)&gt;0,Biomes!H$1&amp;", ","")&amp;
IF(COUNTIF(Biomes!I$2:I$259,"="&amp;$C246)&gt;0,Biomes!I$1&amp;", ","")&amp;
IF(COUNTIF(Biomes!J$2:J$259,"="&amp;$C246)&gt;0,Biomes!J$1&amp;", ","")&amp;
IF(COUNTIF(Biomes!M$2:M$259,"="&amp;$C246)&gt;0,Biomes!M$1&amp;", ","")&amp;
IF(COUNTIF(Biomes!N$2:N$259,"="&amp;$C246)&gt;0,Biomes!N$1&amp;", ","")&amp;
IF(COUNTIF(Biomes!O$2:O$259,"="&amp;$C246)&gt;0,Biomes!O$1&amp;", ","")&amp;
IF(COUNTIF(Biomes!P$2:P$259,"="&amp;$C246)&gt;0,Biomes!P$1&amp;", ","")&amp;
IF(COUNTIF(Biomes!K$2:K$259,"="&amp;$C246)&gt;0,Biomes!K$1&amp;", ","")&amp;
IF(COUNTIF(Biomes!Q$3:Q$259,"="&amp;$C246)&gt;0,Biomes!Q$1&amp;", ","")&amp;
IF(COUNTIF(Biomes!L$2:L$259,"="&amp;$C246)&gt;0,Biomes!L$1&amp;", ","")&amp;
IF(COUNTIF(Biomes!E$2:E$259,"="&amp;$C246)&gt;0,Biomes!E$1&amp;", ","")&amp;IF(COUNTIF(Biomes!S$2:S$259,"="&amp;$C246)&gt;0,Biomes!S$1&amp;", ","")&amp;
IF(COUNTIF(Biomes!R$2:R$259,"="&amp;$C246)&gt;0,Biomes!R$1&amp;", ",""),", ","")
),_xlfn.XLOOKUP(B246,B:B,BX:BX))</f>
        <v>Glowforest</v>
      </c>
      <c r="BY246" s="25" t="str">
        <f>IF(_xlfn.XLOOKUP(B246,'Base stats'!B:B,'Base stats'!AJ:AJ)=1,"true","false")</f>
        <v>false</v>
      </c>
      <c r="BZ246" s="25">
        <f>IF(_xlfn.XLOOKUP(B246,'Base stats'!B:B,'Base stats'!N:N)=1,"No",MAX(0.001,MIN(MROUND(IF(AND(BJ246="True",CC246="False"),POWER(10,3.47*LOG10(_xlfn.XLOOKUP(B246,'Base stats'!B:B,'Base stats'!C:C)*1000)^-0.96),POWER(10,4.15*LOG10(_xlfn.XLOOKUP(B246,'Base stats'!B:B,'Base stats'!C:C)*1000)^-0.73))*IF(_xlfn.XLOOKUP(B246,'Base stats'!B:B,'Base stats'!AK:AK)=1,0.5,1)*IF(_xlfn.XLOOKUP(B246,'Base stats'!B:B,'Base stats'!AM:AM)=1,0.1,1)/100,IF(_xlfn.XLOOKUP(B246,'Base stats'!B:B,'Base stats'!AM:AM)=1,0.001,0.025)),0.5)))</f>
        <v>1.3000000000000001E-2</v>
      </c>
      <c r="CA246" s="25" t="str">
        <f>IF(P246="Standard","No",MAX(0.001,MIN(MROUND(IF(AND(BJ246="True",CC246="False"),POWER(10,3.47*LOG10(_xlfn.XLOOKUP(B246,'Base stats'!B:B,'Base stats'!C:C)*1000)^-0.96),POWER(10,4.15*LOG10(_xlfn.XLOOKUP(B246,'Base stats'!B:B,'Base stats'!C:C)*1000)^-0.73))*IF(_xlfn.XLOOKUP(B246,'Base stats'!B:B,'Base stats'!AM:AM)=1,0.1,1)*_xlfn.XLOOKUP(B246,'Base stats'!B:B,'Base stats'!R:R)/100,IF(_xlfn.XLOOKUP(B246,'Base stats'!B:B,'Base stats'!AM:AM)=1,0.001,0.025)),0.5)))</f>
        <v>No</v>
      </c>
      <c r="CB246" s="25" t="str">
        <f>IF(_xlfn.XLOOKUP(_xlfn.XLOOKUP(B246,'Base stats'!B:B,'Base stats'!E:E),Groups!A:A,Groups!AJ:AJ)="Mammal","True","False")</f>
        <v>False</v>
      </c>
      <c r="CC246" s="25" t="str">
        <f>IF(OR(_xlfn.XLOOKUP(_xlfn.XLOOKUP(B246,'Base stats'!B:B,'Base stats'!E:E),Groups!A:A,Groups!AJ:AJ)="Reptile",_xlfn.XLOOKUP(_xlfn.XLOOKUP(B246,'Base stats'!B:B,'Base stats'!E:E),Groups!A:A,Groups!AJ:AJ)="Amphibian",_xlfn.XLOOKUP(_xlfn.XLOOKUP(B246,'Base stats'!B:B,'Base stats'!E:E),Groups!A:A,Groups!AJ:AJ)="Invertebrate"),"True","False")</f>
        <v>True</v>
      </c>
      <c r="CD246" s="25" t="str">
        <f t="shared" si="27"/>
        <v>True</v>
      </c>
      <c r="CE246" s="25" t="str">
        <f>IF(_xlfn.XLOOKUP(_xlfn.XLOOKUP(B246,'Base stats'!B:B,'Base stats'!E:E),Groups!A:A,Groups!AX:AX),"True","False")</f>
        <v>False</v>
      </c>
      <c r="CF246" s="25" t="str">
        <f>IF(_xlfn.XLOOKUP(_xlfn.XLOOKUP(B246,'Base stats'!B:B,'Base stats'!E:E),Groups!A:A,Groups!AY:AY),"True","False")</f>
        <v>False</v>
      </c>
      <c r="CG246" s="25" t="str">
        <f>IF(_xlfn.XLOOKUP(_xlfn.XLOOKUP(B246,'Base stats'!B:B,'Base stats'!E:E),Groups!A:A,Groups!AW:AW),"True","False")</f>
        <v>False</v>
      </c>
      <c r="CH246" s="25" t="str">
        <f>IF(
OR(
_xlfn.XLOOKUP(_xlfn.XLOOKUP(B246,'Base stats'!B:B,'Base stats'!E:E),Groups!A:A,Groups!AZ:AZ)=0,
AND(
_xlfn.XLOOKUP(B246,'Base stats'!B:B,'Base stats'!Y:Y)&lt;&gt;"Carnivore",
_xlfn.XLOOKUP(B246,'Base stats'!B:B,'Base stats'!Y:Y)&lt;&gt;"Omnivore",
_xlfn.XLOOKUP(B246,'Base stats'!B:B,'Base stats'!Y:Y)&lt;&gt;"OmnivoreRough"
)
),
"No",
IF(
_xlfn.XLOOKUP(_xlfn.XLOOKUP(B246,'Base stats'!B:B,'Base stats'!E:E),Groups!A:A,Groups!AZ:AZ)=1,
"Flesh",
IF(
_xlfn.XLOOKUP(_xlfn.XLOOKUP(B246,'Base stats'!B:B,'Base stats'!E:E),Groups!A:A,Groups!AZ:AZ)=2,
"Bone",
""
)
)
)</f>
        <v>No</v>
      </c>
      <c r="CI246" s="25" t="str">
        <f>IF(_xlfn.XLOOKUP(_xlfn.XLOOKUP(B246,'Base stats'!B:B,'Base stats'!E:E),Groups!A:A,Groups!BB:BB),"True","False")</f>
        <v>False</v>
      </c>
      <c r="CJ246" s="25" t="str">
        <f>IF(_xlfn.XLOOKUP(_xlfn.XLOOKUP(B246,'Base stats'!B:B,'Base stats'!E:E),Groups!A:A,Groups!BA:BA),"True","False")</f>
        <v>False</v>
      </c>
    </row>
    <row r="247" spans="1:88" ht="16.5" thickTop="1" thickBot="1" x14ac:dyDescent="0.3">
      <c r="A247" s="26" t="s">
        <v>1400</v>
      </c>
      <c r="B247" s="6" t="str">
        <f>_xlfn.XLOOKUP(A247,'Base stats'!A:A,'Base stats'!B:B)</f>
        <v>Anolis audiens</v>
      </c>
      <c r="C247" s="28" t="s">
        <v>1401</v>
      </c>
      <c r="D247" s="28" t="s">
        <v>1341</v>
      </c>
      <c r="E247" s="28" t="s">
        <v>673</v>
      </c>
      <c r="F247" s="28" t="s">
        <v>673</v>
      </c>
      <c r="G247" s="28" t="s">
        <v>673</v>
      </c>
      <c r="H247" s="2">
        <f>MROUND((
  (IF(AND(_xlfn.XLOOKUP(B247,'Base stats'!B:B,'Base stats'!AL:AL)=0,BI247="None",_xlfn.XLOOKUP(_xlfn.XLOOKUP(B247,'Base stats'!B:B,'Base stats'!E:E),Groups!A:A,Groups!B:B)=0), (18 + BR247 * 2.7) * 0.5,
    IF(AND(_xlfn.XLOOKUP(B247,'Base stats'!B:B,'Base stats'!AL:AL)=0,OR(AO247&lt;0.55,AND(BI247="Intermediate",_xlfn.XLOOKUP(_xlfn.XLOOKUP(B247,'Base stats'!B:B,'Base stats'!E:E),Groups!A:A,Groups!B:B)&lt;2))), (18 + BR247 * 2.7),
      IF(OR(BI247="Advanced",_xlfn.XLOOKUP(B247,'Base stats'!B:B,'Base stats'!AL:AL)=1,_xlfn.XLOOKUP(_xlfn.XLOOKUP(B247,'Base stats'!B:B,'Base stats'!E:E),Groups!A:A,Groups!B:B)=2), (18 + BR247 * 2.7) + 250, (18 + BR247 * 2.7))
    )
  ))
  + AO247 * 80
  + IF(COUNTIF(EggMilk!K$2:K$998, A247) &gt; 0, 125, 0)
  + IF(COUNTIF(EggMilk!P$2:P$998, A247) &gt; 0, 90, 0)
  + IF(COUNTIF(EggMilk!A$2:A$998, A247) &gt; 0, 90, 0)
)
* (0.8 + 0.4 * J247)
* 0.75,25)</f>
        <v>425</v>
      </c>
      <c r="I247" s="2">
        <f>MROUND(ROUNDDOWN(_xlfn.XLOOKUP(B247,'Base stats'!B:B,'Base stats'!L:L)/3.6/(23.3/11),1),0.5)</f>
        <v>2.5</v>
      </c>
      <c r="J247" s="2">
        <f>IF(OR(_xlfn.XLOOKUP(B247,'Base stats'!B:B,'Base stats'!AB:AB)=1,_xlfn.XLOOKUP(_xlfn.XLOOKUP(B247,'Base stats'!B:B,'Base stats'!E:E),Groups!A:A,Groups!C:C)="Untamable"),1,IF(_xlfn.XLOOKUP(B247,'Base stats'!B:B,'Base stats'!AL:AL)=1,0.99,MIN(MROUND((1-0.6282*EXP(-0.459*AO247))*_xlfn.XLOOKUP(_xlfn.XLOOKUP(B247,'Base stats'!B:B,'Base stats'!E:E),Groups!A:A,Groups!C:C)*IF(_xlfn.XLOOKUP(B247,'Base stats'!B:B,'Base stats'!O:O)=1,0.5,IF(_xlfn.XLOOKUP(B247,'Base stats'!B:B,'Base stats'!O:O)=2,0,1)),0.05),IF(AO247&gt;3.5,0.985,0.95))))</f>
        <v>0.75</v>
      </c>
      <c r="K247" s="2">
        <f>ROUNDUP(AO247*_xlfn.XLOOKUP(_xlfn.XLOOKUP(B247,'Base stats'!B:B,'Base stats'!E:E),Groups!A:A,Groups!E:E),0)</f>
        <v>1</v>
      </c>
      <c r="L247" s="2">
        <f>IF(OR(_xlfn.XLOOKUP(_xlfn.XLOOKUP(B247,'Base stats'!B:B,'Base stats'!E:E),Groups!A:A,Groups!F:F)=2,ISNUMBER(SEARCH("SeaIce",BX247)),ISNUMBER(SEARCH("IceSheet",BX247))),-50,IF(OR(ISNUMBER(SEARCH("GlacialPlain",BX247)),ISNUMBER(SEARCH("Tundra",BX247))),-40,IF(OR(ISNUMBER(SEARCH("Alpine",BX247)),ISNUMBER(SEARCH("BorealForest",BX247)),ISNUMBER(SEARCH("ColdBog",BX247))),-30,IF(OR(ISNUMBER(SEARCH("TemperateForest",BX247)),ISNUMBER(SEARCH("TemperateSwamp",BX247))),-20,IF(_xlfn.XLOOKUP(_xlfn.XLOOKUP(B247,'Base stats'!B:B,'Base stats'!E:E),Groups!A:A,Groups!F:F)=1,-15,IF(OR(ISNUMBER(SEARCH("Desert",BX247)),ISNUMBER(SEARCH("ExtremeDesert",BX247))),-10,IF(OR(ISNUMBER(SEARCH("Grasslands",BX247)),ISNUMBER(SEARCH("TropicalRainforest",BX247)),ISNUMBER(SEARCH("TropicalSwamp",BX247))),10,0)))))))-IF(CC247="False",MIN(IFERROR(MAX(MROUND(LOG10(_xlfn.XLOOKUP(B247,'Base stats'!B:B,'Base stats'!C:C)^(2/3))*10,5),5),5),30))-_xlfn.XLOOKUP(B247,'Base stats'!B:B,'Base stats'!P:P)+IF(CC247="True",5,0)</f>
        <v>15</v>
      </c>
      <c r="M247" s="2">
        <f>IF(OR(_xlfn.XLOOKUP(_xlfn.XLOOKUP(B247,'Base stats'!B:B,'Base stats'!E:E),Groups!A:A,Groups!G:G)=2,ISNUMBER(SEARCH("Desert",BX247)),ISNUMBER(SEARCH("ExtremeDesert",BX247)),ISNUMBER(SEARCH("LavaField",BX247))),50,IF(ISNUMBER(SEARCH("Grasslands",BX247)),45,IF(OR(_xlfn.XLOOKUP(_xlfn.XLOOKUP(B247,'Base stats'!B:B,'Base stats'!E:E),Groups!A:A,Groups!G:G)=1,ISNUMBER(SEARCH("TropicalRainforest",BX247)),ISNUMBER(SEARCH("TropicalSwamp",BX247))),40,IF(OR(ISNUMBER(SEARCH("TemperateForest",BX247)),ISNUMBER(SEARCH("TemperateSwamp",BX247))),35,IF(OR(ISNUMBER(SEARCH("Alpine",BX247)),ISNUMBER(SEARCH("BorealForest",BX247)),ISNUMBER(SEARCH("ColdBog",BX247))),30,IF(ISNUMBER(OR(ISNUMBER(SEARCH("GlacialPlain",BX247)),SEARCH("Tundra",BX247))),25,IF(OR(ISNUMBER(SEARCH("SeaIce",BX247)),ISNUMBER(SEARCH("IceSheet",BX247)),ISNUMBER(SEARCH("TropicalSwamp",BX247))),10,35)))))))+_xlfn.XLOOKUP(B247,'Base stats'!B:B,'Base stats'!Q:Q)</f>
        <v>40</v>
      </c>
      <c r="N247" s="8" t="str">
        <f>IF(
_xlfn.XLOOKUP(
_xlfn.XLOOKUP(B247,'Base stats'!B:B,'Base stats'!E:E),
Groups!A:A,
Groups!L:L
)=1,
MIN(
MROUND(
IF(
_xlfn.XLOOKUP(B247,'Animals CE'!B:B,'Animals CE'!Z:Z)&lt;=1.5,
_xlfn.XLOOKUP(B247,'Animals CE'!B:B,'Animals CE'!Z:Z)/2+0.05,
0.8+
(_xlfn.XLOOKUP(B247,'Animals CE'!B:B,'Animals CE'!Z:Z)-1.5)
*0.02
),
0.05
),
200%
),
"No"
)</f>
        <v>No</v>
      </c>
      <c r="O247" s="8" t="str">
        <f>IF(
_xlfn.XLOOKUP(
_xlfn.XLOOKUP(B247,'Base stats'!B:B,'Base stats'!E:E),
Groups!A:A,
Groups!L:L
)=1,
MIN(
MROUND(
IF(
_xlfn.XLOOKUP(B247,'Animals CE'!B:B,'Animals CE'!AA:AA)&lt;=1.5,
_xlfn.XLOOKUP(B247,'Animals CE'!B:B,'Animals CE'!AA:AA)/2+0.05,
0.8+
(_xlfn.XLOOKUP(B247,'Animals CE'!B:B,'Animals CE'!AA:AA)-1.5)
*0.02
),
0.05
),
200%
),
"No"
)</f>
        <v>No</v>
      </c>
      <c r="P247" s="2" t="str">
        <f>_xlfn.XLOOKUP(B247,'Base stats'!B:B,'Base stats'!R:R)</f>
        <v>Standard</v>
      </c>
      <c r="Q247" s="13">
        <f>MROUND((LOG10(_xlfn.XLOOKUP(B247,'Base stats'!B:B,'Base stats'!AR:AR))*(AO247^0.5)+(_xlfn.XLOOKUP(B247,'Base stats'!B:B,'Base stats'!AR:AR)/1000)^(2/3)+_xlfn.XLOOKUP(B247,'Base stats'!B:B,'Base stats'!BA:BA)/2)+0.5,0.5)</f>
        <v>6.5</v>
      </c>
      <c r="R247" s="7">
        <f>IF(Q247="No","No",MAX(1,MROUND(_xlfn.XLOOKUP(B247,'Base stats'!B:B,'Base stats'!C:C)^0.165,0.05)))</f>
        <v>1.9000000000000001</v>
      </c>
      <c r="S247" s="13" t="str">
        <f>IF(_xlfn.XLOOKUP(_xlfn.XLOOKUP(B247,'Base stats'!B:B,'Base stats'!E:E),Groups!A:A,Groups!P:P)=0,"No",MROUND((LOG10(_xlfn.XLOOKUP(B247,'Base stats'!B:B,'Base stats'!AS:AS))*(AO247^0.5)+(_xlfn.XLOOKUP(B247,'Base stats'!B:B,'Base stats'!AS:AS)/1000)^(2/3)+_xlfn.XLOOKUP(B247,'Base stats'!B:B,'Base stats'!BA:BA))+_xlfn.XLOOKUP(B247,'Base stats'!B:B,'Base stats'!AY:AY)+0.5,0.5))</f>
        <v>No</v>
      </c>
      <c r="T247" s="7" t="str">
        <f>IF(S247="No","No",MAX(_xlfn.XLOOKUP(_xlfn.XLOOKUP(B247,'Base stats'!B:B,'Base stats'!E:E),Groups!A:A,Groups!Q:Q),MROUND(_xlfn.XLOOKUP(_xlfn.XLOOKUP(B247,'Base stats'!B:B,'Base stats'!E:E),Groups!A:A,Groups!Q:Q)*_xlfn.XLOOKUP(B247,'Base stats'!B:B,'Base stats'!C:C)^0.165,0.05)))</f>
        <v>No</v>
      </c>
      <c r="U247" s="7" t="str">
        <f>IF(S247="No","No",_xlfn.XLOOKUP(_xlfn.XLOOKUP(B247,'Base stats'!B:B,'Base stats'!E:E),Groups!A:A,Groups!R:R))</f>
        <v>No</v>
      </c>
      <c r="V247" s="7" t="str">
        <f>IF(S247="No","No",_xlfn.XLOOKUP(_xlfn.XLOOKUP(B247,'Base stats'!B:B,'Base stats'!E:E),Groups!A:A,Groups!S:S))</f>
        <v>No</v>
      </c>
      <c r="W247" s="7" t="str">
        <f>IF(S247="No","No",_xlfn.XLOOKUP(_xlfn.XLOOKUP(B247,'Base stats'!B:B,'Base stats'!E:E),Groups!A:A,Groups!T:T))</f>
        <v>No</v>
      </c>
      <c r="X247" s="13" t="str">
        <f>IF(_xlfn.XLOOKUP(B247,'Base stats'!B:B,'Base stats'!W:W)="No","No",MROUND((LOG10(_xlfn.XLOOKUP(B247,'Base stats'!B:B,'Base stats'!AU:AU))*(AO247^0.5)+(_xlfn.XLOOKUP(B247,'Base stats'!B:B,'Base stats'!AU:AU)/1000)^(2/3)+_xlfn.XLOOKUP(B247,'Base stats'!B:B,'Base stats'!AZ:AZ))+0.5+IF(_xlfn.XLOOKUP(_xlfn.XLOOKUP(B247,'Base stats'!B:B,'Base stats'!E:E),Groups!A:A,Groups!U:U)&lt;&gt;3,_xlfn.XLOOKUP(B247,'Base stats'!B:B,'Base stats'!BA:BA),0),0.5))</f>
        <v>No</v>
      </c>
      <c r="Y247" s="7" t="str">
        <f>IF(X247="No","No",MAX(_xlfn.XLOOKUP(_xlfn.XLOOKUP(B247,'Base stats'!B:B,'Base stats'!E:E),Groups!A:A,Groups!V:V),MROUND(_xlfn.XLOOKUP(_xlfn.XLOOKUP(B247,'Base stats'!B:B,'Base stats'!E:E),Groups!A:A,Groups!V:V)*_xlfn.XLOOKUP(B247,'Base stats'!B:B,'Base stats'!C:C)^0.165,0.05)))</f>
        <v>No</v>
      </c>
      <c r="Z247" s="7" t="str">
        <f>IF(X247="No","No",_xlfn.XLOOKUP(_xlfn.XLOOKUP(B247,'Base stats'!B:B,'Base stats'!E:E),Groups!A:A,Groups!W:W))</f>
        <v>No</v>
      </c>
      <c r="AA247" s="7" t="str">
        <f>IF(X247="No","No",_xlfn.XLOOKUP(_xlfn.XLOOKUP(B247,'Base stats'!B:B,'Base stats'!E:E),Groups!A:A,Groups!X:X))</f>
        <v>No</v>
      </c>
      <c r="AB247" s="7" t="str">
        <f>IF(X247="No","No",_xlfn.XLOOKUP(_xlfn.XLOOKUP(B247,'Base stats'!B:B,'Base stats'!E:E),Groups!A:A,Groups!Y:Y))</f>
        <v>No</v>
      </c>
      <c r="AC247" s="7" t="str">
        <f>_xlfn.XLOOKUP(Animals!B247,'Base stats'!B:B,'Base stats'!X:X)</f>
        <v>False</v>
      </c>
      <c r="AD247" s="13">
        <f>IF(_xlfn.XLOOKUP(B247,'Base stats'!B:B,'Base stats'!AT:AT)="No","No",MROUND((LOG10(_xlfn.XLOOKUP(B247,'Base stats'!B:B,'Base stats'!AT:AT))*(AO247^0.75)+(_xlfn.XLOOKUP(B247,'Base stats'!B:B,'Base stats'!AT:AT)/1000)^(2/3)+_xlfn.XLOOKUP(B247,'Base stats'!B:B,'Base stats'!AX:AX)+_xlfn.XLOOKUP(B247,'Base stats'!B:B,'Base stats'!BA:BA))+0.5,0.5))</f>
        <v>14</v>
      </c>
      <c r="AE247" s="7">
        <f>IF(AD247="No","No",MAX(_xlfn.XLOOKUP(_xlfn.XLOOKUP(B247,'Base stats'!B:B,'Base stats'!E:E),Groups!A:A,Groups!Z:Z),MROUND(_xlfn.XLOOKUP(_xlfn.XLOOKUP(B247,'Base stats'!B:B,'Base stats'!E:E),Groups!A:A,Groups!Z:Z)*_xlfn.XLOOKUP(B247,'Base stats'!B:B,'Base stats'!C:C)^0.165,0.05)))</f>
        <v>1.6</v>
      </c>
      <c r="AF247" s="7" t="str">
        <f>IF(AD247="No","No",_xlfn.XLOOKUP(_xlfn.XLOOKUP(B247,'Base stats'!B:B,'Base stats'!E:E),Groups!A:A,Groups!AA:AA))</f>
        <v>Teeth</v>
      </c>
      <c r="AG247" s="7" t="str">
        <f>IF(AD247="No","No",_xlfn.XLOOKUP(_xlfn.XLOOKUP(B247,'Base stats'!B:B,'Base stats'!E:E),Groups!A:A,Groups!AB:AB))</f>
        <v>teeth</v>
      </c>
      <c r="AH247" s="7" t="str">
        <f>IF(AD247="No","No",_xlfn.XLOOKUP(_xlfn.XLOOKUP(B247,'Base stats'!B:B,'Base stats'!E:E),Groups!A:A,Groups!AC:AC))</f>
        <v>ToxicBite</v>
      </c>
      <c r="AI247" s="13">
        <f>IF(_xlfn.XLOOKUP(_xlfn.XLOOKUP(B247,'Base stats'!B:B,'Base stats'!E:E),Groups!A:A,Groups!AD:AD)=0,"No",MROUND((LOG10(_xlfn.XLOOKUP(B247,'Base stats'!B:B,'Base stats'!AS:AS))*(AO247^0.75)+(_xlfn.XLOOKUP(B247,'Base stats'!B:B,'Base stats'!AS:AS)/1000)^(2/3)+_xlfn.XLOOKUP(B247,'Base stats'!B:B,'Base stats'!AY:AY)+_xlfn.XLOOKUP(B247,'Base stats'!B:B,'Base stats'!BA:BA))+0.5,0.5))</f>
        <v>9</v>
      </c>
      <c r="AJ247" s="7">
        <f>IF(AI247="No","No",MAX(_xlfn.XLOOKUP(_xlfn.XLOOKUP(B247,'Base stats'!B:B,'Base stats'!E:E),Groups!A:A,Groups!AE:AE),MROUND(_xlfn.XLOOKUP(_xlfn.XLOOKUP(B247,'Base stats'!B:B,'Base stats'!E:E),Groups!A:A,Groups!AE:AE)*IF(_xlfn.XLOOKUP(_xlfn.XLOOKUP(B247,'Base stats'!B:B,'Base stats'!E:E),Groups!A:A,Groups!AJ:AJ)="Photonozoa",0.6,1)*_xlfn.XLOOKUP(B247,'Base stats'!B:B,'Base stats'!C:C)^0.165,0.05)))</f>
        <v>1.35</v>
      </c>
      <c r="AK247" s="7" t="str">
        <f>IF(AI247="No","No",_xlfn.XLOOKUP(_xlfn.XLOOKUP(B247,'Base stats'!B:B,'Base stats'!E:E),Groups!A:A,Groups!AF:AF))</f>
        <v>FrontLeftClaws, FrontRightClaws</v>
      </c>
      <c r="AL247" s="7" t="str">
        <f>IF(AI247="No","No",_xlfn.XLOOKUP(_xlfn.XLOOKUP(B247,'Base stats'!B:B,'Base stats'!E:E),Groups!A:A,Groups!AG:AG))</f>
        <v>left claw, right claw</v>
      </c>
      <c r="AM247" s="7" t="str">
        <f>IF(AI247="No","No",_xlfn.XLOOKUP(_xlfn.XLOOKUP(B247,'Base stats'!B:B,'Base stats'!E:E),Groups!A:A,Groups!AH:AH))</f>
        <v>Scratch</v>
      </c>
      <c r="AN247" s="2">
        <f t="shared" si="21"/>
        <v>20</v>
      </c>
      <c r="AO247" s="2">
        <f>MROUND(IF(AND(_xlfn.XLOOKUP(B247,'Base stats'!B:B,'Base stats'!C:C)&gt;=0.5,_xlfn.XLOOKUP(B247,'Base stats'!B:B,'Base stats'!C:C)&lt;=0.8),
IF(_xlfn.XLOOKUP(B247,'Base stats'!B:B,'Base stats'!C:C)&lt;0.1,0.05,IF(_xlfn.XLOOKUP(B247,'Base stats'!B:B,'Base stats'!C:C)&lt;=70,(_xlfn.XLOOKUP(B247,'Base stats'!B:B,'Base stats'!C:C)/70)^0.426489913056526,IF(_xlfn.XLOOKUP(B247,'Base stats'!B:B,'Base stats'!C:C)&lt;=400,(_xlfn.XLOOKUP(B247,'Base stats'!B:B,'Base stats'!C:C)/70)^0.572811455315093,IF(_xlfn.XLOOKUP(B247,'Base stats'!B:B,'Base stats'!C:C)&lt;=2000,2.71391647193063*(_xlfn.XLOOKUP(B247,'Base stats'!B:B,'Base stats'!C:C)/400)^0.252459582904293,3.74314280240376*(_xlfn.XLOOKUP(B247,'Base stats'!B:B,'Base stats'!C:C)/2000)^0.357012633876913)))),
IF(_xlfn.XLOOKUP(B247,'Base stats'!B:B,'Base stats'!C:C)&lt;0.1,0.05,IF(_xlfn.XLOOKUP(B247,'Base stats'!B:B,'Base stats'!C:C)&lt;0.4,0.1,IF(_xlfn.XLOOKUP(B247,'Base stats'!B:B,'Base stats'!C:C)&lt;=70,(_xlfn.XLOOKUP(B247,'Base stats'!B:B,'Base stats'!C:C)/70)^0.445823913056526,IF(_xlfn.XLOOKUP(B247,'Base stats'!B:B,'Base stats'!C:C)&lt;=400,(_xlfn.XLOOKUP(B247,'Base stats'!B:B,'Base stats'!C:C)/70)^0.572811455315093,IF(_xlfn.XLOOKUP(B247,'Base stats'!B:B,'Base stats'!C:C)&lt;=2000,2.71391647193063*(_xlfn.XLOOKUP(B247,'Base stats'!B:B,'Base stats'!C:C)/400)^0.252459582904293,3.74314280240376*(_xlfn.XLOOKUP(B247,'Base stats'!B:B,'Base stats'!C:C)/2000)^0.357012633876913)))))),
IF(_xlfn.XLOOKUP(B247,'Base stats'!B:B,'Base stats'!C:C)&lt;0.1,0.05,IF(_xlfn.XLOOKUP(B247,'Base stats'!B:B,'Base stats'!C:C)&lt;=100,0.05,IF(_xlfn.XLOOKUP(B247,'Base stats'!B:B,'Base stats'!C:C)&lt;=250,0.1,IF(_xlfn.XLOOKUP(B247,'Base stats'!B:B,'Base stats'!C:C)&lt;=4000,0.25,0.5)))))</f>
        <v>0.85000000000000009</v>
      </c>
      <c r="AP247" s="8">
        <f>MROUND(AO247*_xlfn.XLOOKUP(_xlfn.XLOOKUP(B247,'Base stats'!B:B,'Base stats'!E:E),Groups!A:A,Groups!AI:AI)*_xlfn.XLOOKUP(B247,'Base stats'!B:B,'Base stats'!Z:Z),0.05)</f>
        <v>2.5</v>
      </c>
      <c r="AQ247" s="8">
        <f>MAX(0.01,MROUND(IF(CC247="True",0.196*(AO247*100*1000)^0.889,IF(_xlfn.XLOOKUP(_xlfn.XLOOKUP(B247,'Base stats'!B:B,'Base stats'!E:E),Groups!A:A,Groups!AJ:AJ)="Bird",10.5*(AO247*100*1000)^0.681,4.82*(AO247*100*1000)^0.734))/(4.82*(1*100*1000)^0.734)/IF(AO247&lt;3.5,2,IF(AO247=3.5,1.5,1.25))*(1+0.132282374779864/(AO247^0.994035016789033+0.00905238001496948)),0.05))</f>
        <v>0.1</v>
      </c>
      <c r="AR247" s="9">
        <f>IFERROR(MROUND(_xlfn.XLOOKUP(B247,'Base stats'!B:B,'Base stats'!H:H)/IF(_xlfn.XLOOKUP(B247,'Base stats'!B:B,'Base stats'!I:I)&lt;&gt;1,(122.5/70),1.2),IF(_xlfn.XLOOKUP(B247,'Base stats'!B:B,'Base stats'!H:H)&gt;=30,5,IF(_xlfn.XLOOKUP(B247,'Base stats'!B:B,'Base stats'!H:H)&gt;=15,3,IF(_xlfn.XLOOKUP(B247,'Base stats'!B:B,'Base stats'!H:H)&gt;=10,2,1)))),"Immortal")</f>
        <v>35</v>
      </c>
      <c r="AS247" s="35" t="str">
        <f>IFERROR(IF(OR(_xlfn.XLOOKUP(B247,'Base stats'!B:B,'Base stats'!F:F)="Atypical reproduction",_xlfn.XLOOKUP(B247,'Base stats'!B:B,'Base stats'!F:F)="Lay eggs"),"Lay eggs",MIN(20,MAX(5.5,ROUND(((_xlfn.XLOOKUP(B247,'Base stats'!B:B,'Base stats'!F:F)-25)*(14.5/615) + 5.5)*2,0)/2))),"Unknown")</f>
        <v>Lay eggs</v>
      </c>
      <c r="AT247" s="8">
        <f>IF(_xlfn.XLOOKUP(B247,'Base stats'!B:B,'Base stats'!G:G)="Atypical reproduction","No",IFERROR(MAX(IF(_xlfn.XLOOKUP(B247,'Base stats'!B:B,'Base stats'!G:G)&lt;0.5,0.2,0.3),MROUND(_xlfn.XLOOKUP(B247,'Base stats'!B:B,'Base stats'!G:G)/(365/60),0.2)),"Unknown"))</f>
        <v>0.8</v>
      </c>
      <c r="AU247" s="8">
        <f t="shared" si="22"/>
        <v>0.4</v>
      </c>
      <c r="AV247" s="8" t="str">
        <f>IFERROR(IFERROR(MROUND(_xlfn.XLOOKUP(B247,'Base stats'!B:B,'Base stats'!J:J),0.1),"Lay eggs"),"Cannot breed")</f>
        <v>Lay eggs</v>
      </c>
      <c r="AW247" s="2" t="str">
        <f t="shared" si="23"/>
        <v>false</v>
      </c>
      <c r="AX247" s="2" t="str">
        <f>IF(_xlfn.XLOOKUP(_xlfn.XLOOKUP(Animals!B247,'Base stats'!B:B,'Base stats'!E:E),Groups!A:A,Groups!AK:AK)=1,"true","false")</f>
        <v>false</v>
      </c>
      <c r="AY247" s="25" t="str">
        <f>IF(_xlfn.XLOOKUP(B247,'Base stats'!B:B,'Base stats'!Y:Y)="Liquor","Liquor, CarnivoreAnimalStrict",IF(AND(_xlfn.XLOOKUP(B247,'Base stats'!B:B,'Base stats'!Y:Y)="Carnivore",_xlfn.XLOOKUP(_xlfn.XLOOKUP(B247,'Base stats'!B:B,'Base stats'!E:E),Groups!A:A,Groups!AJ:AJ)="Photonozoa"),"CarnivoreAnimalStrict, OvivoreAnimal",IF(_xlfn.XLOOKUP(B247,'Base stats'!B:B,'Base stats'!Y:Y)="Carnivore","CarnivoreAnimal, OvivoreAnimal",IF(_xlfn.XLOOKUP(B247,'Base stats'!B:B,'Base stats'!Y:Y)="Dendrovore","VegetarianRoughAnimal, DendrovoreAnimal",IF(_xlfn.XLOOKUP(B247,'Base stats'!B:B,'Base stats'!Y:Y)="Herbivore","VegetarianRoughAnimal",IF(_xlfn.XLOOKUP(B247,'Base stats'!B:B,'Base stats'!Y:Y)="OmnivoreRough","OmnivoreRoughAnimal, OvivoreAnimal","OmnivoreAnimal, OvivoreAnimal"))))))</f>
        <v>OmnivoreAnimal, OvivoreAnimal</v>
      </c>
      <c r="AZ247" s="2" t="str">
        <f>IF(_xlfn.XLOOKUP(_xlfn.XLOOKUP(B247,'Base stats'!B:B,'Base stats'!E:E),Groups!A:A,Groups!D:D)=1,MROUND((1-J247)*5+1,2)*IF(J247&lt;=0.4,2,1),"No")</f>
        <v>No</v>
      </c>
      <c r="BA247" s="2" t="str">
        <f>IF(AND(_xlfn.XLOOKUP(B247,'Base stats'!B:B,'Base stats'!AH:AH)="&lt;li&gt;Seal&lt;/li&gt;",G247="Odyssey"),"&lt;li&gt;AEXP_Seal&lt;/li&gt;",_xlfn.XLOOKUP(B247,'Base stats'!B:B,'Base stats'!AH:AH))</f>
        <v>&lt;li&gt;Iguana&lt;/li&gt;</v>
      </c>
      <c r="BB247" s="2" t="str">
        <f>_xlfn.XLOOKUP(B247,'Base stats'!B:B,'Base stats'!AG:AG)</f>
        <v>Leather_Lizard</v>
      </c>
      <c r="BC247" s="23" t="str">
        <f>_xlfn.XLOOKUP(_xlfn.XLOOKUP(B247,'Base stats'!B:B,'Base stats'!E:E),Groups!A:A,Groups!AL:AL)</f>
        <v>QuadrupedAnimalWithClawsTailAndJowl</v>
      </c>
      <c r="BD247" s="23">
        <f>MIN(1,MROUND(IF(AND(AO247&lt;0.5,_xlfn.XLOOKUP(B247,'Base stats'!B:B,'Base stats'!AA:AA)=0),0,IF(OR(_xlfn.XLOOKUP(Animals!B247,'Base stats'!B:B,'Base stats'!O:O)=2,_xlfn.XLOOKUP(_xlfn.XLOOKUP(B247,'Base stats'!B:B,'Base stats'!E:E),Groups!A:A,Groups!AN:AN)=0),0,_xlfn.XLOOKUP(_xlfn.XLOOKUP(B247,'Base stats'!B:B,'Base stats'!E:E),Groups!A:A,Groups!AN:AN)/IF(_xlfn.XLOOKUP(Animals!B247,'Base stats'!B:B,'Base stats'!O:O)=1,2,1)))+_xlfn.XLOOKUP(B247,'Base stats'!B:B,'Base stats'!AC:AC),0.005))</f>
        <v>0.1</v>
      </c>
      <c r="BE247" s="23">
        <f>MIN(1,MROUND(IF(AND(AO247&lt;0.5,_xlfn.XLOOKUP(B247,'Base stats'!B:B,'Base stats'!AA:AA)=0),0,IF(_xlfn.XLOOKUP(_xlfn.XLOOKUP(B247,'Base stats'!B:B,'Base stats'!E:E),Groups!A:A,Groups!AO:AO)=0,0,_xlfn.XLOOKUP(_xlfn.XLOOKUP(B247,'Base stats'!B:B,'Base stats'!E:E),Groups!A:A,Groups!AO:AO)/IF(_xlfn.XLOOKUP(Animals!B247,'Base stats'!B:B,'Base stats'!O:O)=2,3,1)))+_xlfn.XLOOKUP(B247,'Base stats'!B:B,'Base stats'!AD:AD),0.005))</f>
        <v>0.3</v>
      </c>
      <c r="BF247" s="2" t="str">
        <f>IF(J247&gt;0.3,"No",_xlfn.XLOOKUP(_xlfn.XLOOKUP(Animals!B247,'Base stats'!B:B,'Base stats'!E:E),Groups!A:A,Groups!AP:AP))</f>
        <v>No</v>
      </c>
      <c r="BG247" s="2" t="str">
        <f>IF(AND(J247&lt;=0.65,_xlfn.XLOOKUP(_xlfn.XLOOKUP(Animals!B247,'Base stats'!B:B,'Base stats'!E:E),Groups!A:A,Groups!AP:AP)&lt;&gt;"No",_xlfn.XLOOKUP(_xlfn.XLOOKUP(B247,'Base stats'!B:B,'Base stats'!E:E),Groups!A:A,Groups!D:D)=0),MROUND((80/3)*IF(_xlfn.XLOOKUP(B247,'Base stats'!B:B,'Base stats'!O:O)=2,0.2,AO247) + 24*(1-IF(BF247="No",0,BF247)) + 16/3, 12),"No")</f>
        <v>No</v>
      </c>
      <c r="BH247" s="2">
        <f>IF(AND(_xlfn.XLOOKUP(_xlfn.XLOOKUP(B247,'Base stats'!B:B,'Base stats'!E:E),Groups!A:A,Groups!AQ:AQ)=1,AO247&lt;=0.35),8,12)</f>
        <v>12</v>
      </c>
      <c r="BI247" s="2" t="str">
        <f>IF(_xlfn.XLOOKUP(_xlfn.XLOOKUP(B247,'Base stats'!B:B,'Base stats'!E:E),Groups!A:A,Groups!D:D)=0,_xlfn.XLOOKUP(_xlfn.XLOOKUP(B247,'Base stats'!B:B,'Base stats'!E:E),Groups!A:A,Groups!AR:AR),"None")</f>
        <v>Intermediate</v>
      </c>
      <c r="BJ247" s="2" t="str">
        <f>IF(AND(_xlfn.XLOOKUP(_xlfn.XLOOKUP(B247,'Base stats'!B:B,'Base stats'!E:E),Groups!A:A,Groups!AS:AS)=1,OR(_xlfn.XLOOKUP(B247,'Base stats'!B:B,'Base stats'!Y:Y)="Carnivore",_xlfn.XLOOKUP(B247,'Base stats'!B:B,'Base stats'!Y:Y)="Omnivore")),"true","false")</f>
        <v>true</v>
      </c>
      <c r="BK247" s="2">
        <f>IF(BJ247="true",MROUND(IF(AND(AO247&gt;0.5,OR(_xlfn.XLOOKUP(_xlfn.XLOOKUP(B247,'Base stats'!B:B,'Base stats'!E:E),Groups!A:A,Groups!AJ:AJ)="Photonozoa",_xlfn.XLOOKUP(_xlfn.XLOOKUP(B247,'Base stats'!B:B,'Base stats'!E:E),Groups!A:A,Groups!AJ:AJ)="Mammal")),Animals!AO247*1.75*IF(AW247="true",1.5,1),IF(AO247&lt;0.5,Animals!AO247*0.5,Animals!AO247)),IF(AO247&gt;2,0.5,IF(AO247&gt;0.5,0.25,0.1))),"No")</f>
        <v>0.75</v>
      </c>
      <c r="BL247" s="2">
        <f t="shared" si="24"/>
        <v>1</v>
      </c>
      <c r="BM247" s="25" t="str">
        <f>IF(_xlfn.XLOOKUP(B247,'Base stats'!B:B,'Base stats'!AN:AN)="Standard","No",MROUND((_xlfn.XLOOKUP(B247,'Base stats'!B:B,'Base stats'!AN:AN)/3.6)/I247,0.1))</f>
        <v>No</v>
      </c>
      <c r="BN247" s="25" t="str">
        <f t="shared" si="25"/>
        <v>false</v>
      </c>
      <c r="BO247" s="25" t="str">
        <f>IF(AND(OR(_xlfn.XLOOKUP(B247,'Base stats'!B:B,'Base stats'!Y:Y)="Carnivore",_xlfn.XLOOKUP(B247,'Base stats'!B:B,'Base stats'!Y:Y)="Omnivore",_xlfn.XLOOKUP(B247,'Base stats'!B:B,'Base stats'!Y:Y)="OmnivoreRough"),_xlfn.XLOOKUP(_xlfn.XLOOKUP(B247,'Base stats'!B:B,'Base stats'!E:E),Groups!A:A,Groups!AT:AT)=1),"true","false")</f>
        <v>false</v>
      </c>
      <c r="BP247" s="25" t="str" cm="1">
        <f t="array" ref="BP247">IF(
  _xlfn.TEXTJOIN(", ",TRUE,
    IF(AND(BJ247="true",AO247&gt;0.5,BI247&lt;&gt;"None"),"AttackTarget",""),
    IF(AND(_xlfn.XLOOKUP(_xlfn.XLOOKUP(B247,'Base stats'!B:B,'Base stats'!E:E),Groups!A:A,Groups!AJ:AJ="Mammal"),OR(_xlfn.XLOOKUP(B247,'Base stats'!B:B,'Base stats'!Y:Y)="Omnivore",_xlfn.XLOOKUP(B247,'Base stats'!B:B,'Base stats'!Y:Y)="OmnivoreRough")),"Forage",""),
    IF(BG247&lt;=36,"Comfort",""),
    IF(_xlfn.XLOOKUP(B247,'Base stats'!B:B,'Base stats'!AE:AE)&lt;&gt;"No",_xlfn.XLOOKUP(B247,'Base stats'!B:B,'Base stats'!AE:AE),"")
  ) = "",
  "No",
  _xlfn.TEXTJOIN(", ",TRUE,
    IF(AND(BJ247="true",AO247&gt;0.5,BI247&lt;&gt;"None"),"AttackTarget",""),
    IF(AND(_xlfn.XLOOKUP(_xlfn.XLOOKUP(B247,'Base stats'!B:B,'Base stats'!E:E),Groups!A:A,Groups!AJ:AJ="Mammal"),OR(_xlfn.XLOOKUP(B247,'Base stats'!B:B,'Base stats'!Y:Y)="Omnivore",_xlfn.XLOOKUP(B247,'Base stats'!B:B,'Base stats'!Y:Y)="OmnivoreRough")),"Forage",""),
    IF(BG247&lt;=36,"Comfort",""),
    IF(_xlfn.XLOOKUP(B247,'Base stats'!B:B,'Base stats'!AE:AE)&lt;&gt;"No",_xlfn.XLOOKUP(B247,'Base stats'!B:B,'Base stats'!AE:AE),"")
  )
)</f>
        <v>AttackTarget</v>
      </c>
      <c r="BQ247" s="25" t="str">
        <f>IF(
   AND(
      'Base stats'!AN247="Standard",_xlfn.XLOOKUP(_xlfn.XLOOKUP(B247,'Base stats'!B:B,'Base stats'!E:E),Groups!A:A,Groups!AU:AU)=0,
      OR(
      BO247="True"
      )
   ),
   10,
   IF(
       OR(BM247&lt;&gt;"No",_xlfn.XLOOKUP(_xlfn.XLOOKUP(B247,'Base stats'!B:B,'Base stats'!E:E),Groups!A:A,Groups!AU:AU)=1),
      1,
      "No"
   )
)</f>
        <v>No</v>
      </c>
      <c r="BR247" s="9">
        <f>MROUND((1 + ((0.2*IF(OR(Q247="No",R247="No",R247=0),0,Q247/R247)
+IF(OR(V247="No",S247="No",T247="No"),0,S247/T247*(LEN(V247)-LEN(SUBSTITUTE(V247,",",""))+1))
+IF(OR(X247="No",Y247="No"),0,X247/Y247)
+IF(OR(AD247="No",AE247="No"),0,AD247/AE247)
+IF(OR(AL247="No",AI247="No",AJ247="No"),0,AI247/AJ247*(LEN(AL247)-LEN(SUBSTITUTE(AL247,",",""))+1))
)/(0.2*IF(OR(Q247="No",R247="No",R247=0),0,1)
+IF(OR(V247="No",S247="No",T247="No"),0,LEN(V247)-LEN(SUBSTITUTE(V247,",",""))+1)
+IF(OR(X247="No",Y247="No"),0,1)
+IF(OR(AD247="No",AE247="No"),0,1)
+IF(OR(AL247="No",AI247="No",AJ247="No"),0,LEN(AL247)-LEN(SUBSTITUTE(AL247,",",""))+1))*62%)* 2)*(1 + (AP247 / (IF(_xlfn.XLOOKUP(_xlfn.XLOOKUP(B247,'Base stats'!B:B,'Base stats'!E:E),Groups!A:A,Groups!AJ:AJ)="Photonozoa",0.3,1)) + _xlfn.XLOOKUP(B247,'Base stats'!B:B,'Base stats'!AV:AV) * 1.8) * 2) * 2.5 + 10 + I247 * 2,5)+IF(_xlfn.XLOOKUP(B247,'Base stats'!B:B,'Base stats'!AK:AK)=1,50,0)</f>
        <v>160</v>
      </c>
      <c r="BS247" s="8">
        <f t="shared" si="26"/>
        <v>0.25</v>
      </c>
      <c r="BT247" s="8" t="str">
        <f>_xlfn.XLOOKUP(B247,'Base stats'!B:B,'Base stats'!AF:AF)</f>
        <v>No</v>
      </c>
      <c r="BU247" s="2" t="str">
        <f>IF(AND(J247&lt;=0.95,OR(_xlfn.XLOOKUP(B247,'Base stats'!B:B,'Base stats'!AK:AK)=1,_xlfn.XLOOKUP(B247,'Base stats'!B:B,'Base stats'!Y:Y)="Carnivore",_xlfn.XLOOKUP(B247,'Base stats'!B:B,'Base stats'!Y:Y)="Omnivore",BE247&gt;0.1)),"true","false")</f>
        <v>true</v>
      </c>
      <c r="BV247" s="2" t="str">
        <f>IF(_xlfn.XLOOKUP(B247,'Base stats'!B:B,'Base stats'!AI:AI)=1,"true","false")</f>
        <v>false</v>
      </c>
      <c r="BW247" s="25" t="str">
        <f>IF(E247="BaseInsect","AnimalInsect",
IF(J247&gt;0.95,"AnimalExotic",
_xlfn.TEXTJOIN(", ",TRUE,
IF(OR(_xlfn.XLOOKUP(B247,'Base stats'!B:B,'Base stats'!AM:AM)=1,AND(_xlfn.XLOOKUP(B247,'Base stats'!B:B,'Base stats'!O:O)=0,_xlfn.XLOOKUP(_xlfn.XLOOKUP(B247,'Base stats'!B:B,'Base stats'!E:E),Groups!A:A,Groups!B:B)&gt;0)),"AnimalUncommon","AnimalCommon"),
IF(AND(_xlfn.XLOOKUP(B247,'Base stats'!B:B,'Base stats'!O:O)=2,_xlfn.XLOOKUP(_xlfn.XLOOKUP(B247,'Base stats'!B:B,'Base stats'!E:E),Groups!A:A,Groups!D:D)=0),"AnimalPet",IF(AND(_xlfn.XLOOKUP(B247,'Base stats'!B:B,'Base stats'!O:O)&lt;&gt;0,_xlfn.XLOOKUP(_xlfn.XLOOKUP(B247,'Base stats'!B:B,'Base stats'!E:E),Groups!A:A,Groups!D:D)&lt;&gt;0),"AnimalFarm","")),
IF(OR(_xlfn.XLOOKUP(B247,'Base stats'!B:B,'Base stats'!AK:AK)=1,AND(BI247&lt;&gt;"None",BR247&gt;=60),ISNUMBER(SEARCH("Attack target",BP247))),"AnimalFighter","")
)))</f>
        <v>AnimalUncommon, AnimalFighter</v>
      </c>
      <c r="BX247" s="25" t="str">
        <f>IF(G247="None",TRIM(
SUBSTITUTE(
IF(COUNTIF(Biomes!B$2:B$259,"="&amp;$C247)&gt;0,Biomes!B$1&amp;", ","")&amp;
IF(COUNTIF(Biomes!C$2:C$259,"="&amp;$C247)&gt;0,Biomes!C$1&amp;", ","")&amp;
IF(COUNTIF(Biomes!D$2:D$259,"="&amp;$C247)&gt;0,Biomes!D$1&amp;", ","")&amp;
IF(COUNTIF(Biomes!F$2:F$259,"="&amp;$C247)&gt;0,Biomes!F$1&amp;", ","")&amp;
IF(COUNTIF(Biomes!G$2:G$259,"="&amp;$C247)&gt;0,Biomes!G$1&amp;", ","")&amp;
IF(COUNTIF(Biomes!H$2:H$259,"="&amp;$C247)&gt;0,Biomes!H$1&amp;", ","")&amp;
IF(COUNTIF(Biomes!I$2:I$259,"="&amp;$C247)&gt;0,Biomes!I$1&amp;", ","")&amp;
IF(COUNTIF(Biomes!J$2:J$259,"="&amp;$C247)&gt;0,Biomes!J$1&amp;", ","")&amp;
IF(COUNTIF(Biomes!M$2:M$259,"="&amp;$C247)&gt;0,Biomes!M$1&amp;", ","")&amp;
IF(COUNTIF(Biomes!N$2:N$259,"="&amp;$C247)&gt;0,Biomes!N$1&amp;", ","")&amp;
IF(COUNTIF(Biomes!O$2:O$259,"="&amp;$C247)&gt;0,Biomes!O$1&amp;", ","")&amp;
IF(COUNTIF(Biomes!P$2:P$259,"="&amp;$C247)&gt;0,Biomes!P$1&amp;", ","")&amp;
IF(COUNTIF(Biomes!K$2:K$259,"="&amp;$C247)&gt;0,Biomes!K$1&amp;", ","")&amp;
IF(COUNTIF(Biomes!Q$3:Q$259,"="&amp;$C247)&gt;0,Biomes!Q$1&amp;", ","")&amp;
IF(COUNTIF(Biomes!L$2:L$259,"="&amp;$C247)&gt;0,Biomes!L$1&amp;", ","")&amp;
IF(COUNTIF(Biomes!E$2:E$259,"="&amp;$C247)&gt;0,Biomes!E$1&amp;", ","")&amp;IF(COUNTIF(Biomes!S$2:S$259,"="&amp;$C247)&gt;0,Biomes!S$1&amp;", ","")&amp;
IF(COUNTIF(Biomes!R$2:R$259,"="&amp;$C247)&gt;0,Biomes!R$1&amp;", ",""),", ","")
),_xlfn.XLOOKUP(B247,B:B,BX:BX))</f>
        <v>TropicalRainforest TropicalSwamp</v>
      </c>
      <c r="BY247" s="25" t="str">
        <f>IF(_xlfn.XLOOKUP(B247,'Base stats'!B:B,'Base stats'!AJ:AJ)=1,"true","false")</f>
        <v>false</v>
      </c>
      <c r="BZ247" s="25">
        <f>IF(_xlfn.XLOOKUP(B247,'Base stats'!B:B,'Base stats'!N:N)=1,"No",MAX(0.001,MIN(MROUND(IF(AND(BJ247="True",CC247="False"),POWER(10,3.47*LOG10(_xlfn.XLOOKUP(B247,'Base stats'!B:B,'Base stats'!C:C)*1000)^-0.96),POWER(10,4.15*LOG10(_xlfn.XLOOKUP(B247,'Base stats'!B:B,'Base stats'!C:C)*1000)^-0.73))*IF(_xlfn.XLOOKUP(B247,'Base stats'!B:B,'Base stats'!AK:AK)=1,0.5,1)*IF(_xlfn.XLOOKUP(B247,'Base stats'!B:B,'Base stats'!AM:AM)=1,0.1,1)/100,IF(_xlfn.XLOOKUP(B247,'Base stats'!B:B,'Base stats'!AM:AM)=1,0.001,0.025)),0.5)))</f>
        <v>2.1999999999999999E-2</v>
      </c>
      <c r="CA247" s="25" t="str">
        <f>IF(P247="Standard","No",MAX(0.001,MIN(MROUND(IF(AND(BJ247="True",CC247="False"),POWER(10,3.47*LOG10(_xlfn.XLOOKUP(B247,'Base stats'!B:B,'Base stats'!C:C)*1000)^-0.96),POWER(10,4.15*LOG10(_xlfn.XLOOKUP(B247,'Base stats'!B:B,'Base stats'!C:C)*1000)^-0.73))*IF(_xlfn.XLOOKUP(B247,'Base stats'!B:B,'Base stats'!AM:AM)=1,0.1,1)*_xlfn.XLOOKUP(B247,'Base stats'!B:B,'Base stats'!R:R)/100,IF(_xlfn.XLOOKUP(B247,'Base stats'!B:B,'Base stats'!AM:AM)=1,0.001,0.025)),0.5)))</f>
        <v>No</v>
      </c>
      <c r="CB247" s="25" t="str">
        <f>IF(_xlfn.XLOOKUP(_xlfn.XLOOKUP(B247,'Base stats'!B:B,'Base stats'!E:E),Groups!A:A,Groups!AJ:AJ)="Mammal","True","False")</f>
        <v>False</v>
      </c>
      <c r="CC247" s="25" t="str">
        <f>IF(OR(_xlfn.XLOOKUP(_xlfn.XLOOKUP(B247,'Base stats'!B:B,'Base stats'!E:E),Groups!A:A,Groups!AJ:AJ)="Reptile",_xlfn.XLOOKUP(_xlfn.XLOOKUP(B247,'Base stats'!B:B,'Base stats'!E:E),Groups!A:A,Groups!AJ:AJ)="Amphibian",_xlfn.XLOOKUP(_xlfn.XLOOKUP(B247,'Base stats'!B:B,'Base stats'!E:E),Groups!A:A,Groups!AJ:AJ)="Invertebrate"),"True","False")</f>
        <v>True</v>
      </c>
      <c r="CD247" s="25" t="str">
        <f t="shared" si="27"/>
        <v>False</v>
      </c>
      <c r="CE247" s="25" t="str">
        <f>IF(_xlfn.XLOOKUP(_xlfn.XLOOKUP(B247,'Base stats'!B:B,'Base stats'!E:E),Groups!A:A,Groups!AX:AX),"True","False")</f>
        <v>False</v>
      </c>
      <c r="CF247" s="25" t="str">
        <f>IF(_xlfn.XLOOKUP(_xlfn.XLOOKUP(B247,'Base stats'!B:B,'Base stats'!E:E),Groups!A:A,Groups!AY:AY),"True","False")</f>
        <v>False</v>
      </c>
      <c r="CG247" s="25" t="str">
        <f>IF(_xlfn.XLOOKUP(_xlfn.XLOOKUP(B247,'Base stats'!B:B,'Base stats'!E:E),Groups!A:A,Groups!AW:AW),"True","False")</f>
        <v>False</v>
      </c>
      <c r="CH247" s="25" t="str">
        <f>IF(
OR(
_xlfn.XLOOKUP(_xlfn.XLOOKUP(B247,'Base stats'!B:B,'Base stats'!E:E),Groups!A:A,Groups!AZ:AZ)=0,
AND(
_xlfn.XLOOKUP(B247,'Base stats'!B:B,'Base stats'!Y:Y)&lt;&gt;"Carnivore",
_xlfn.XLOOKUP(B247,'Base stats'!B:B,'Base stats'!Y:Y)&lt;&gt;"Omnivore",
_xlfn.XLOOKUP(B247,'Base stats'!B:B,'Base stats'!Y:Y)&lt;&gt;"OmnivoreRough"
)
),
"No",
IF(
_xlfn.XLOOKUP(_xlfn.XLOOKUP(B247,'Base stats'!B:B,'Base stats'!E:E),Groups!A:A,Groups!AZ:AZ)=1,
"Flesh",
IF(
_xlfn.XLOOKUP(_xlfn.XLOOKUP(B247,'Base stats'!B:B,'Base stats'!E:E),Groups!A:A,Groups!AZ:AZ)=2,
"Bone",
""
)
)
)</f>
        <v>No</v>
      </c>
      <c r="CI247" s="25" t="str">
        <f>IF(_xlfn.XLOOKUP(_xlfn.XLOOKUP(B247,'Base stats'!B:B,'Base stats'!E:E),Groups!A:A,Groups!BB:BB),"True","False")</f>
        <v>False</v>
      </c>
      <c r="CJ247" s="25" t="str">
        <f>IF(_xlfn.XLOOKUP(_xlfn.XLOOKUP(B247,'Base stats'!B:B,'Base stats'!E:E),Groups!A:A,Groups!BA:BA),"True","False")</f>
        <v>False</v>
      </c>
    </row>
    <row r="248" spans="1:88" ht="16.5" thickTop="1" thickBot="1" x14ac:dyDescent="0.3">
      <c r="A248" s="26" t="s">
        <v>1404</v>
      </c>
      <c r="B248" s="6" t="str">
        <f>_xlfn.XLOOKUP(A248,'Base stats'!A:A,'Base stats'!B:B)</f>
        <v>Caracal crystallinus</v>
      </c>
      <c r="C248" s="28" t="s">
        <v>1405</v>
      </c>
      <c r="D248" s="28" t="s">
        <v>1341</v>
      </c>
      <c r="E248" s="28" t="s">
        <v>673</v>
      </c>
      <c r="F248" s="28" t="s">
        <v>673</v>
      </c>
      <c r="G248" s="28" t="s">
        <v>673</v>
      </c>
      <c r="H248" s="2">
        <f>MROUND((
  (IF(AND(_xlfn.XLOOKUP(B248,'Base stats'!B:B,'Base stats'!AL:AL)=0,BI248="None",_xlfn.XLOOKUP(_xlfn.XLOOKUP(B248,'Base stats'!B:B,'Base stats'!E:E),Groups!A:A,Groups!B:B)=0), (18 + BR248 * 2.7) * 0.5,
    IF(AND(_xlfn.XLOOKUP(B248,'Base stats'!B:B,'Base stats'!AL:AL)=0,OR(AO248&lt;0.55,AND(BI248="Intermediate",_xlfn.XLOOKUP(_xlfn.XLOOKUP(B248,'Base stats'!B:B,'Base stats'!E:E),Groups!A:A,Groups!B:B)&lt;2))), (18 + BR248 * 2.7),
      IF(OR(BI248="Advanced",_xlfn.XLOOKUP(B248,'Base stats'!B:B,'Base stats'!AL:AL)=1,_xlfn.XLOOKUP(_xlfn.XLOOKUP(B248,'Base stats'!B:B,'Base stats'!E:E),Groups!A:A,Groups!B:B)=2), (18 + BR248 * 2.7) + 250, (18 + BR248 * 2.7))
    )
  ))
  + AO248 * 80
  + IF(COUNTIF(EggMilk!K$2:K$998, A248) &gt; 0, 125, 0)
  + IF(COUNTIF(EggMilk!P$2:P$998, A248) &gt; 0, 90, 0)
  + IF(COUNTIF(EggMilk!A$2:A$998, A248) &gt; 0, 90, 0)
)
* (0.8 + 0.4 * J248)
* 0.75,25)</f>
        <v>400</v>
      </c>
      <c r="I248" s="2">
        <f>MROUND(ROUNDDOWN(_xlfn.XLOOKUP(B248,'Base stats'!B:B,'Base stats'!L:L)/3.6/(23.3/11),1),0.5)</f>
        <v>6.5</v>
      </c>
      <c r="J248" s="2">
        <f>IF(OR(_xlfn.XLOOKUP(B248,'Base stats'!B:B,'Base stats'!AB:AB)=1,_xlfn.XLOOKUP(_xlfn.XLOOKUP(B248,'Base stats'!B:B,'Base stats'!E:E),Groups!A:A,Groups!C:C)="Untamable"),1,IF(_xlfn.XLOOKUP(B248,'Base stats'!B:B,'Base stats'!AL:AL)=1,0.99,MIN(MROUND((1-0.6282*EXP(-0.459*AO248))*_xlfn.XLOOKUP(_xlfn.XLOOKUP(B248,'Base stats'!B:B,'Base stats'!E:E),Groups!A:A,Groups!C:C)*IF(_xlfn.XLOOKUP(B248,'Base stats'!B:B,'Base stats'!O:O)=1,0.5,IF(_xlfn.XLOOKUP(B248,'Base stats'!B:B,'Base stats'!O:O)=2,0,1)),0.05),IF(AO248&gt;3.5,0.985,0.95))))</f>
        <v>0.65</v>
      </c>
      <c r="K248" s="2">
        <f>ROUNDUP(AO248*_xlfn.XLOOKUP(_xlfn.XLOOKUP(B248,'Base stats'!B:B,'Base stats'!E:E),Groups!A:A,Groups!E:E),0)</f>
        <v>1</v>
      </c>
      <c r="L248" s="2">
        <f>IF(OR(_xlfn.XLOOKUP(_xlfn.XLOOKUP(B248,'Base stats'!B:B,'Base stats'!E:E),Groups!A:A,Groups!F:F)=2,ISNUMBER(SEARCH("SeaIce",BX248)),ISNUMBER(SEARCH("IceSheet",BX248))),-50,IF(OR(ISNUMBER(SEARCH("GlacialPlain",BX248)),ISNUMBER(SEARCH("Tundra",BX248))),-40,IF(OR(ISNUMBER(SEARCH("Alpine",BX248)),ISNUMBER(SEARCH("BorealForest",BX248)),ISNUMBER(SEARCH("ColdBog",BX248))),-30,IF(OR(ISNUMBER(SEARCH("TemperateForest",BX248)),ISNUMBER(SEARCH("TemperateSwamp",BX248))),-20,IF(_xlfn.XLOOKUP(_xlfn.XLOOKUP(B248,'Base stats'!B:B,'Base stats'!E:E),Groups!A:A,Groups!F:F)=1,-15,IF(OR(ISNUMBER(SEARCH("Desert",BX248)),ISNUMBER(SEARCH("ExtremeDesert",BX248))),-10,IF(OR(ISNUMBER(SEARCH("Grasslands",BX248)),ISNUMBER(SEARCH("TropicalRainforest",BX248)),ISNUMBER(SEARCH("TropicalSwamp",BX248))),10,0)))))))-IF(CC248="False",MIN(IFERROR(MAX(MROUND(LOG10(_xlfn.XLOOKUP(B248,'Base stats'!B:B,'Base stats'!C:C)^(2/3))*10,5),5),5),30))-_xlfn.XLOOKUP(B248,'Base stats'!B:B,'Base stats'!P:P)+IF(CC248="True",5,0)</f>
        <v>-25</v>
      </c>
      <c r="M248" s="2">
        <f>IF(OR(_xlfn.XLOOKUP(_xlfn.XLOOKUP(B248,'Base stats'!B:B,'Base stats'!E:E),Groups!A:A,Groups!G:G)=2,ISNUMBER(SEARCH("Desert",BX248)),ISNUMBER(SEARCH("ExtremeDesert",BX248)),ISNUMBER(SEARCH("LavaField",BX248))),50,IF(ISNUMBER(SEARCH("Grasslands",BX248)),45,IF(OR(_xlfn.XLOOKUP(_xlfn.XLOOKUP(B248,'Base stats'!B:B,'Base stats'!E:E),Groups!A:A,Groups!G:G)=1,ISNUMBER(SEARCH("TropicalRainforest",BX248)),ISNUMBER(SEARCH("TropicalSwamp",BX248))),40,IF(OR(ISNUMBER(SEARCH("TemperateForest",BX248)),ISNUMBER(SEARCH("TemperateSwamp",BX248))),35,IF(OR(ISNUMBER(SEARCH("Alpine",BX248)),ISNUMBER(SEARCH("BorealForest",BX248)),ISNUMBER(SEARCH("ColdBog",BX248))),30,IF(ISNUMBER(OR(ISNUMBER(SEARCH("GlacialPlain",BX248)),SEARCH("Tundra",BX248))),25,IF(OR(ISNUMBER(SEARCH("SeaIce",BX248)),ISNUMBER(SEARCH("IceSheet",BX248)),ISNUMBER(SEARCH("TropicalSwamp",BX248))),10,35)))))))+_xlfn.XLOOKUP(B248,'Base stats'!B:B,'Base stats'!Q:Q)</f>
        <v>50</v>
      </c>
      <c r="N248" s="8" t="str">
        <f>IF(
_xlfn.XLOOKUP(
_xlfn.XLOOKUP(B248,'Base stats'!B:B,'Base stats'!E:E),
Groups!A:A,
Groups!L:L
)=1,
MIN(
MROUND(
IF(
_xlfn.XLOOKUP(B248,'Animals CE'!B:B,'Animals CE'!Z:Z)&lt;=1.5,
_xlfn.XLOOKUP(B248,'Animals CE'!B:B,'Animals CE'!Z:Z)/2+0.05,
0.8+
(_xlfn.XLOOKUP(B248,'Animals CE'!B:B,'Animals CE'!Z:Z)-1.5)
*0.02
),
0.05
),
200%
),
"No"
)</f>
        <v>No</v>
      </c>
      <c r="O248" s="8" t="str">
        <f>IF(
_xlfn.XLOOKUP(
_xlfn.XLOOKUP(B248,'Base stats'!B:B,'Base stats'!E:E),
Groups!A:A,
Groups!L:L
)=1,
MIN(
MROUND(
IF(
_xlfn.XLOOKUP(B248,'Animals CE'!B:B,'Animals CE'!AA:AA)&lt;=1.5,
_xlfn.XLOOKUP(B248,'Animals CE'!B:B,'Animals CE'!AA:AA)/2+0.05,
0.8+
(_xlfn.XLOOKUP(B248,'Animals CE'!B:B,'Animals CE'!AA:AA)-1.5)
*0.02
),
0.05
),
200%
),
"No"
)</f>
        <v>No</v>
      </c>
      <c r="P248" s="2" t="str">
        <f>_xlfn.XLOOKUP(B248,'Base stats'!B:B,'Base stats'!R:R)</f>
        <v>Standard</v>
      </c>
      <c r="Q248" s="13">
        <f>MROUND((LOG10(_xlfn.XLOOKUP(B248,'Base stats'!B:B,'Base stats'!AR:AR))*(AO248^0.5)+(_xlfn.XLOOKUP(B248,'Base stats'!B:B,'Base stats'!AR:AR)/1000)^(2/3)+_xlfn.XLOOKUP(B248,'Base stats'!B:B,'Base stats'!BA:BA)/2)+0.5,0.5)</f>
        <v>4.5</v>
      </c>
      <c r="R248" s="7">
        <f>IF(Q248="No","No",MAX(1,MROUND(_xlfn.XLOOKUP(B248,'Base stats'!B:B,'Base stats'!C:C)^0.165,0.05)))</f>
        <v>1.6500000000000001</v>
      </c>
      <c r="S248" s="13" t="str">
        <f>IF(_xlfn.XLOOKUP(_xlfn.XLOOKUP(B248,'Base stats'!B:B,'Base stats'!E:E),Groups!A:A,Groups!P:P)=0,"No",MROUND((LOG10(_xlfn.XLOOKUP(B248,'Base stats'!B:B,'Base stats'!AS:AS))*(AO248^0.5)+(_xlfn.XLOOKUP(B248,'Base stats'!B:B,'Base stats'!AS:AS)/1000)^(2/3)+_xlfn.XLOOKUP(B248,'Base stats'!B:B,'Base stats'!BA:BA))+_xlfn.XLOOKUP(B248,'Base stats'!B:B,'Base stats'!AY:AY)+0.5,0.5))</f>
        <v>No</v>
      </c>
      <c r="T248" s="7" t="str">
        <f>IF(S248="No","No",MAX(_xlfn.XLOOKUP(_xlfn.XLOOKUP(B248,'Base stats'!B:B,'Base stats'!E:E),Groups!A:A,Groups!Q:Q),MROUND(_xlfn.XLOOKUP(_xlfn.XLOOKUP(B248,'Base stats'!B:B,'Base stats'!E:E),Groups!A:A,Groups!Q:Q)*_xlfn.XLOOKUP(B248,'Base stats'!B:B,'Base stats'!C:C)^0.165,0.05)))</f>
        <v>No</v>
      </c>
      <c r="U248" s="7" t="str">
        <f>IF(S248="No","No",_xlfn.XLOOKUP(_xlfn.XLOOKUP(B248,'Base stats'!B:B,'Base stats'!E:E),Groups!A:A,Groups!R:R))</f>
        <v>No</v>
      </c>
      <c r="V248" s="7" t="str">
        <f>IF(S248="No","No",_xlfn.XLOOKUP(_xlfn.XLOOKUP(B248,'Base stats'!B:B,'Base stats'!E:E),Groups!A:A,Groups!S:S))</f>
        <v>No</v>
      </c>
      <c r="W248" s="7" t="str">
        <f>IF(S248="No","No",_xlfn.XLOOKUP(_xlfn.XLOOKUP(B248,'Base stats'!B:B,'Base stats'!E:E),Groups!A:A,Groups!T:T))</f>
        <v>No</v>
      </c>
      <c r="X248" s="13" t="str">
        <f>IF(_xlfn.XLOOKUP(B248,'Base stats'!B:B,'Base stats'!W:W)="No","No",MROUND((LOG10(_xlfn.XLOOKUP(B248,'Base stats'!B:B,'Base stats'!AU:AU))*(AO248^0.5)+(_xlfn.XLOOKUP(B248,'Base stats'!B:B,'Base stats'!AU:AU)/1000)^(2/3)+_xlfn.XLOOKUP(B248,'Base stats'!B:B,'Base stats'!AZ:AZ))+0.5+IF(_xlfn.XLOOKUP(_xlfn.XLOOKUP(B248,'Base stats'!B:B,'Base stats'!E:E),Groups!A:A,Groups!U:U)&lt;&gt;3,_xlfn.XLOOKUP(B248,'Base stats'!B:B,'Base stats'!BA:BA),0),0.5))</f>
        <v>No</v>
      </c>
      <c r="Y248" s="7" t="str">
        <f>IF(X248="No","No",MAX(_xlfn.XLOOKUP(_xlfn.XLOOKUP(B248,'Base stats'!B:B,'Base stats'!E:E),Groups!A:A,Groups!V:V),MROUND(_xlfn.XLOOKUP(_xlfn.XLOOKUP(B248,'Base stats'!B:B,'Base stats'!E:E),Groups!A:A,Groups!V:V)*_xlfn.XLOOKUP(B248,'Base stats'!B:B,'Base stats'!C:C)^0.165,0.05)))</f>
        <v>No</v>
      </c>
      <c r="Z248" s="7" t="str">
        <f>IF(X248="No","No",_xlfn.XLOOKUP(_xlfn.XLOOKUP(B248,'Base stats'!B:B,'Base stats'!E:E),Groups!A:A,Groups!W:W))</f>
        <v>No</v>
      </c>
      <c r="AA248" s="7" t="str">
        <f>IF(X248="No","No",_xlfn.XLOOKUP(_xlfn.XLOOKUP(B248,'Base stats'!B:B,'Base stats'!E:E),Groups!A:A,Groups!X:X))</f>
        <v>No</v>
      </c>
      <c r="AB248" s="7" t="str">
        <f>IF(X248="No","No",_xlfn.XLOOKUP(_xlfn.XLOOKUP(B248,'Base stats'!B:B,'Base stats'!E:E),Groups!A:A,Groups!Y:Y))</f>
        <v>No</v>
      </c>
      <c r="AC248" s="7" t="str">
        <f>_xlfn.XLOOKUP(Animals!B248,'Base stats'!B:B,'Base stats'!X:X)</f>
        <v>False</v>
      </c>
      <c r="AD248" s="13">
        <f>IF(_xlfn.XLOOKUP(B248,'Base stats'!B:B,'Base stats'!AT:AT)="No","No",MROUND((LOG10(_xlfn.XLOOKUP(B248,'Base stats'!B:B,'Base stats'!AT:AT))*(AO248^0.75)+(_xlfn.XLOOKUP(B248,'Base stats'!B:B,'Base stats'!AT:AT)/1000)^(2/3)+_xlfn.XLOOKUP(B248,'Base stats'!B:B,'Base stats'!AX:AX)+_xlfn.XLOOKUP(B248,'Base stats'!B:B,'Base stats'!BA:BA))+0.5,0.5))</f>
        <v>8</v>
      </c>
      <c r="AE248" s="7">
        <f>IF(AD248="No","No",MAX(_xlfn.XLOOKUP(_xlfn.XLOOKUP(B248,'Base stats'!B:B,'Base stats'!E:E),Groups!A:A,Groups!Z:Z),MROUND(_xlfn.XLOOKUP(_xlfn.XLOOKUP(B248,'Base stats'!B:B,'Base stats'!E:E),Groups!A:A,Groups!Z:Z)*_xlfn.XLOOKUP(B248,'Base stats'!B:B,'Base stats'!C:C)^0.165,0.05)))</f>
        <v>1.1500000000000001</v>
      </c>
      <c r="AF248" s="7" t="str">
        <f>IF(AD248="No","No",_xlfn.XLOOKUP(_xlfn.XLOOKUP(B248,'Base stats'!B:B,'Base stats'!E:E),Groups!A:A,Groups!AA:AA))</f>
        <v>Teeth</v>
      </c>
      <c r="AG248" s="7" t="str">
        <f>IF(AD248="No","No",_xlfn.XLOOKUP(_xlfn.XLOOKUP(B248,'Base stats'!B:B,'Base stats'!E:E),Groups!A:A,Groups!AB:AB))</f>
        <v>canines</v>
      </c>
      <c r="AH248" s="7" t="str">
        <f>IF(AD248="No","No",_xlfn.XLOOKUP(_xlfn.XLOOKUP(B248,'Base stats'!B:B,'Base stats'!E:E),Groups!A:A,Groups!AC:AC))</f>
        <v>Bite</v>
      </c>
      <c r="AI248" s="13">
        <f>IF(_xlfn.XLOOKUP(_xlfn.XLOOKUP(B248,'Base stats'!B:B,'Base stats'!E:E),Groups!A:A,Groups!AD:AD)=0,"No",MROUND((LOG10(_xlfn.XLOOKUP(B248,'Base stats'!B:B,'Base stats'!AS:AS))*(AO248^0.75)+(_xlfn.XLOOKUP(B248,'Base stats'!B:B,'Base stats'!AS:AS)/1000)^(2/3)+_xlfn.XLOOKUP(B248,'Base stats'!B:B,'Base stats'!AY:AY)+_xlfn.XLOOKUP(B248,'Base stats'!B:B,'Base stats'!BA:BA))+0.5,0.5))</f>
        <v>7</v>
      </c>
      <c r="AJ248" s="7">
        <f>IF(AI248="No","No",MAX(_xlfn.XLOOKUP(_xlfn.XLOOKUP(B248,'Base stats'!B:B,'Base stats'!E:E),Groups!A:A,Groups!AE:AE),MROUND(_xlfn.XLOOKUP(_xlfn.XLOOKUP(B248,'Base stats'!B:B,'Base stats'!E:E),Groups!A:A,Groups!AE:AE)*IF(_xlfn.XLOOKUP(_xlfn.XLOOKUP(B248,'Base stats'!B:B,'Base stats'!E:E),Groups!A:A,Groups!AJ:AJ)="Photonozoa",0.6,1)*_xlfn.XLOOKUP(B248,'Base stats'!B:B,'Base stats'!C:C)^0.165,0.05)))</f>
        <v>1.05</v>
      </c>
      <c r="AK248" s="7" t="str">
        <f>IF(AI248="No","No",_xlfn.XLOOKUP(_xlfn.XLOOKUP(B248,'Base stats'!B:B,'Base stats'!E:E),Groups!A:A,Groups!AF:AF))</f>
        <v>FrontLeftPaw, FrontRightPaw</v>
      </c>
      <c r="AL248" s="7" t="str">
        <f>IF(AI248="No","No",_xlfn.XLOOKUP(_xlfn.XLOOKUP(B248,'Base stats'!B:B,'Base stats'!E:E),Groups!A:A,Groups!AG:AG))</f>
        <v>left claw, right claw</v>
      </c>
      <c r="AM248" s="7" t="str">
        <f>IF(AI248="No","No",_xlfn.XLOOKUP(_xlfn.XLOOKUP(B248,'Base stats'!B:B,'Base stats'!E:E),Groups!A:A,Groups!AH:AH))</f>
        <v>Scratch</v>
      </c>
      <c r="AN248" s="2">
        <f t="shared" si="21"/>
        <v>20</v>
      </c>
      <c r="AO248" s="2">
        <f>MROUND(IF(AND(_xlfn.XLOOKUP(B248,'Base stats'!B:B,'Base stats'!C:C)&gt;=0.5,_xlfn.XLOOKUP(B248,'Base stats'!B:B,'Base stats'!C:C)&lt;=0.8),
IF(_xlfn.XLOOKUP(B248,'Base stats'!B:B,'Base stats'!C:C)&lt;0.1,0.05,IF(_xlfn.XLOOKUP(B248,'Base stats'!B:B,'Base stats'!C:C)&lt;=70,(_xlfn.XLOOKUP(B248,'Base stats'!B:B,'Base stats'!C:C)/70)^0.426489913056526,IF(_xlfn.XLOOKUP(B248,'Base stats'!B:B,'Base stats'!C:C)&lt;=400,(_xlfn.XLOOKUP(B248,'Base stats'!B:B,'Base stats'!C:C)/70)^0.572811455315093,IF(_xlfn.XLOOKUP(B248,'Base stats'!B:B,'Base stats'!C:C)&lt;=2000,2.71391647193063*(_xlfn.XLOOKUP(B248,'Base stats'!B:B,'Base stats'!C:C)/400)^0.252459582904293,3.74314280240376*(_xlfn.XLOOKUP(B248,'Base stats'!B:B,'Base stats'!C:C)/2000)^0.357012633876913)))),
IF(_xlfn.XLOOKUP(B248,'Base stats'!B:B,'Base stats'!C:C)&lt;0.1,0.05,IF(_xlfn.XLOOKUP(B248,'Base stats'!B:B,'Base stats'!C:C)&lt;0.4,0.1,IF(_xlfn.XLOOKUP(B248,'Base stats'!B:B,'Base stats'!C:C)&lt;=70,(_xlfn.XLOOKUP(B248,'Base stats'!B:B,'Base stats'!C:C)/70)^0.445823913056526,IF(_xlfn.XLOOKUP(B248,'Base stats'!B:B,'Base stats'!C:C)&lt;=400,(_xlfn.XLOOKUP(B248,'Base stats'!B:B,'Base stats'!C:C)/70)^0.572811455315093,IF(_xlfn.XLOOKUP(B248,'Base stats'!B:B,'Base stats'!C:C)&lt;=2000,2.71391647193063*(_xlfn.XLOOKUP(B248,'Base stats'!B:B,'Base stats'!C:C)/400)^0.252459582904293,3.74314280240376*(_xlfn.XLOOKUP(B248,'Base stats'!B:B,'Base stats'!C:C)/2000)^0.357012633876913)))))),
IF(_xlfn.XLOOKUP(B248,'Base stats'!B:B,'Base stats'!C:C)&lt;0.1,0.05,IF(_xlfn.XLOOKUP(B248,'Base stats'!B:B,'Base stats'!C:C)&lt;=100,0.05,IF(_xlfn.XLOOKUP(B248,'Base stats'!B:B,'Base stats'!C:C)&lt;=250,0.1,IF(_xlfn.XLOOKUP(B248,'Base stats'!B:B,'Base stats'!C:C)&lt;=4000,0.25,0.5)))))</f>
        <v>0.55000000000000004</v>
      </c>
      <c r="AP248" s="8">
        <f>MROUND(AO248*_xlfn.XLOOKUP(_xlfn.XLOOKUP(B248,'Base stats'!B:B,'Base stats'!E:E),Groups!A:A,Groups!AI:AI)*_xlfn.XLOOKUP(B248,'Base stats'!B:B,'Base stats'!Z:Z),0.05)</f>
        <v>0.65</v>
      </c>
      <c r="AQ248" s="8">
        <f>MAX(0.01,MROUND(IF(CC248="True",0.196*(AO248*100*1000)^0.889,IF(_xlfn.XLOOKUP(_xlfn.XLOOKUP(B248,'Base stats'!B:B,'Base stats'!E:E),Groups!A:A,Groups!AJ:AJ)="Bird",10.5*(AO248*100*1000)^0.681,4.82*(AO248*100*1000)^0.734))/(4.82*(1*100*1000)^0.734)/IF(AO248&lt;3.5,2,IF(AO248=3.5,1.5,1.25))*(1+0.132282374779864/(AO248^0.994035016789033+0.00905238001496948)),0.05))</f>
        <v>0.4</v>
      </c>
      <c r="AR248" s="9">
        <f>IFERROR(MROUND(_xlfn.XLOOKUP(B248,'Base stats'!B:B,'Base stats'!H:H)/IF(_xlfn.XLOOKUP(B248,'Base stats'!B:B,'Base stats'!I:I)&lt;&gt;1,(122.5/70),1.2),IF(_xlfn.XLOOKUP(B248,'Base stats'!B:B,'Base stats'!H:H)&gt;=30,5,IF(_xlfn.XLOOKUP(B248,'Base stats'!B:B,'Base stats'!H:H)&gt;=15,3,IF(_xlfn.XLOOKUP(B248,'Base stats'!B:B,'Base stats'!H:H)&gt;=10,2,1)))),"Immortal")</f>
        <v>21</v>
      </c>
      <c r="AS248" s="35">
        <f>IFERROR(IF(OR(_xlfn.XLOOKUP(B248,'Base stats'!B:B,'Base stats'!F:F)="Atypical reproduction",_xlfn.XLOOKUP(B248,'Base stats'!B:B,'Base stats'!F:F)="Lay eggs"),"Lay eggs",MIN(20,MAX(5.5,ROUND(((_xlfn.XLOOKUP(B248,'Base stats'!B:B,'Base stats'!F:F)-25)*(14.5/615) + 5.5)*2,0)/2))),"Unknown")</f>
        <v>6.5</v>
      </c>
      <c r="AT248" s="8">
        <f>IF(_xlfn.XLOOKUP(B248,'Base stats'!B:B,'Base stats'!G:G)="Atypical reproduction","No",IFERROR(MAX(IF(_xlfn.XLOOKUP(B248,'Base stats'!B:B,'Base stats'!G:G)&lt;0.5,0.2,0.3),MROUND(_xlfn.XLOOKUP(B248,'Base stats'!B:B,'Base stats'!G:G)/(365/60),0.2)),"Unknown"))</f>
        <v>0.3</v>
      </c>
      <c r="AU248" s="8">
        <f t="shared" si="22"/>
        <v>0.15000000000000002</v>
      </c>
      <c r="AV248" s="8">
        <f>IFERROR(IFERROR(MROUND(_xlfn.XLOOKUP(B248,'Base stats'!B:B,'Base stats'!J:J),0.1),"Lay eggs"),"Cannot breed")</f>
        <v>2</v>
      </c>
      <c r="AW248" s="2" t="str">
        <f t="shared" si="23"/>
        <v>false</v>
      </c>
      <c r="AX248" s="2" t="str">
        <f>IF(_xlfn.XLOOKUP(_xlfn.XLOOKUP(Animals!B248,'Base stats'!B:B,'Base stats'!E:E),Groups!A:A,Groups!AK:AK)=1,"true","false")</f>
        <v>false</v>
      </c>
      <c r="AY248" s="25" t="str">
        <f>IF(_xlfn.XLOOKUP(B248,'Base stats'!B:B,'Base stats'!Y:Y)="Liquor","Liquor, CarnivoreAnimalStrict",IF(AND(_xlfn.XLOOKUP(B248,'Base stats'!B:B,'Base stats'!Y:Y)="Carnivore",_xlfn.XLOOKUP(_xlfn.XLOOKUP(B248,'Base stats'!B:B,'Base stats'!E:E),Groups!A:A,Groups!AJ:AJ)="Photonozoa"),"CarnivoreAnimalStrict, OvivoreAnimal",IF(_xlfn.XLOOKUP(B248,'Base stats'!B:B,'Base stats'!Y:Y)="Carnivore","CarnivoreAnimal, OvivoreAnimal",IF(_xlfn.XLOOKUP(B248,'Base stats'!B:B,'Base stats'!Y:Y)="Dendrovore","VegetarianRoughAnimal, DendrovoreAnimal",IF(_xlfn.XLOOKUP(B248,'Base stats'!B:B,'Base stats'!Y:Y)="Herbivore","VegetarianRoughAnimal",IF(_xlfn.XLOOKUP(B248,'Base stats'!B:B,'Base stats'!Y:Y)="OmnivoreRough","OmnivoreRoughAnimal, OvivoreAnimal","OmnivoreAnimal, OvivoreAnimal"))))))</f>
        <v>CarnivoreAnimal, OvivoreAnimal</v>
      </c>
      <c r="AZ248" s="2" t="str">
        <f>IF(_xlfn.XLOOKUP(_xlfn.XLOOKUP(B248,'Base stats'!B:B,'Base stats'!E:E),Groups!A:A,Groups!D:D)=1,MROUND((1-J248)*5+1,2)*IF(J248&lt;=0.4,2,1),"No")</f>
        <v>No</v>
      </c>
      <c r="BA248" s="2" t="str">
        <f>IF(AND(_xlfn.XLOOKUP(B248,'Base stats'!B:B,'Base stats'!AH:AH)="&lt;li&gt;Seal&lt;/li&gt;",G248="Odyssey"),"&lt;li&gt;AEXP_Seal&lt;/li&gt;",_xlfn.XLOOKUP(B248,'Base stats'!B:B,'Base stats'!AH:AH))</f>
        <v>&lt;li&gt;Lynx&lt;/li&gt;</v>
      </c>
      <c r="BB248" s="2" t="str">
        <f>_xlfn.XLOOKUP(B248,'Base stats'!B:B,'Base stats'!AG:AG)</f>
        <v>Leather_Panthera</v>
      </c>
      <c r="BC248" s="23" t="str">
        <f>_xlfn.XLOOKUP(_xlfn.XLOOKUP(B248,'Base stats'!B:B,'Base stats'!E:E),Groups!A:A,Groups!AL:AL)</f>
        <v>QuadrupedAnimalWithPawsAndTail</v>
      </c>
      <c r="BD248" s="23">
        <f>MIN(1,MROUND(IF(AND(AO248&lt;0.5,_xlfn.XLOOKUP(B248,'Base stats'!B:B,'Base stats'!AA:AA)=0),0,IF(OR(_xlfn.XLOOKUP(Animals!B248,'Base stats'!B:B,'Base stats'!O:O)=2,_xlfn.XLOOKUP(_xlfn.XLOOKUP(B248,'Base stats'!B:B,'Base stats'!E:E),Groups!A:A,Groups!AN:AN)=0),0,_xlfn.XLOOKUP(_xlfn.XLOOKUP(B248,'Base stats'!B:B,'Base stats'!E:E),Groups!A:A,Groups!AN:AN)/IF(_xlfn.XLOOKUP(Animals!B248,'Base stats'!B:B,'Base stats'!O:O)=1,2,1)))+_xlfn.XLOOKUP(B248,'Base stats'!B:B,'Base stats'!AC:AC),0.005))</f>
        <v>0.1</v>
      </c>
      <c r="BE248" s="23">
        <f>MIN(1,MROUND(IF(AND(AO248&lt;0.5,_xlfn.XLOOKUP(B248,'Base stats'!B:B,'Base stats'!AA:AA)=0),0,IF(_xlfn.XLOOKUP(_xlfn.XLOOKUP(B248,'Base stats'!B:B,'Base stats'!E:E),Groups!A:A,Groups!AO:AO)=0,0,_xlfn.XLOOKUP(_xlfn.XLOOKUP(B248,'Base stats'!B:B,'Base stats'!E:E),Groups!A:A,Groups!AO:AO)/IF(_xlfn.XLOOKUP(Animals!B248,'Base stats'!B:B,'Base stats'!O:O)=2,3,1)))+_xlfn.XLOOKUP(B248,'Base stats'!B:B,'Base stats'!AD:AD),0.005))</f>
        <v>0.3</v>
      </c>
      <c r="BF248" s="2" t="str">
        <f>IF(J248&gt;0.3,"No",_xlfn.XLOOKUP(_xlfn.XLOOKUP(Animals!B248,'Base stats'!B:B,'Base stats'!E:E),Groups!A:A,Groups!AP:AP))</f>
        <v>No</v>
      </c>
      <c r="BG248" s="2">
        <f>IF(AND(J248&lt;=0.65,_xlfn.XLOOKUP(_xlfn.XLOOKUP(Animals!B248,'Base stats'!B:B,'Base stats'!E:E),Groups!A:A,Groups!AP:AP)&lt;&gt;"No",_xlfn.XLOOKUP(_xlfn.XLOOKUP(B248,'Base stats'!B:B,'Base stats'!E:E),Groups!A:A,Groups!D:D)=0),MROUND((80/3)*IF(_xlfn.XLOOKUP(B248,'Base stats'!B:B,'Base stats'!O:O)=2,0.2,AO248) + 24*(1-IF(BF248="No",0,BF248)) + 16/3, 12),"No")</f>
        <v>48</v>
      </c>
      <c r="BH248" s="2">
        <f>IF(AND(_xlfn.XLOOKUP(_xlfn.XLOOKUP(B248,'Base stats'!B:B,'Base stats'!E:E),Groups!A:A,Groups!AQ:AQ)=1,AO248&lt;=0.35),8,12)</f>
        <v>12</v>
      </c>
      <c r="BI248" s="2" t="str">
        <f>IF(_xlfn.XLOOKUP(_xlfn.XLOOKUP(B248,'Base stats'!B:B,'Base stats'!E:E),Groups!A:A,Groups!D:D)=0,_xlfn.XLOOKUP(_xlfn.XLOOKUP(B248,'Base stats'!B:B,'Base stats'!E:E),Groups!A:A,Groups!AR:AR),"None")</f>
        <v>Intermediate</v>
      </c>
      <c r="BJ248" s="2" t="str">
        <f>IF(AND(_xlfn.XLOOKUP(_xlfn.XLOOKUP(B248,'Base stats'!B:B,'Base stats'!E:E),Groups!A:A,Groups!AS:AS)=1,OR(_xlfn.XLOOKUP(B248,'Base stats'!B:B,'Base stats'!Y:Y)="Carnivore",_xlfn.XLOOKUP(B248,'Base stats'!B:B,'Base stats'!Y:Y)="Omnivore")),"true","false")</f>
        <v>true</v>
      </c>
      <c r="BK248" s="2">
        <f>IF(BJ248="true",MROUND(IF(AND(AO248&gt;0.5,OR(_xlfn.XLOOKUP(_xlfn.XLOOKUP(B248,'Base stats'!B:B,'Base stats'!E:E),Groups!A:A,Groups!AJ:AJ)="Photonozoa",_xlfn.XLOOKUP(_xlfn.XLOOKUP(B248,'Base stats'!B:B,'Base stats'!E:E),Groups!A:A,Groups!AJ:AJ)="Mammal")),Animals!AO248*1.75*IF(AW248="true",1.5,1),IF(AO248&lt;0.5,Animals!AO248*0.5,Animals!AO248)),IF(AO248&gt;2,0.5,IF(AO248&gt;0.5,0.25,0.1))),"No")</f>
        <v>1</v>
      </c>
      <c r="BL248" s="2">
        <f t="shared" si="24"/>
        <v>1</v>
      </c>
      <c r="BM248" s="25" t="str">
        <f>IF(_xlfn.XLOOKUP(B248,'Base stats'!B:B,'Base stats'!AN:AN)="Standard","No",MROUND((_xlfn.XLOOKUP(B248,'Base stats'!B:B,'Base stats'!AN:AN)/3.6)/I248,0.1))</f>
        <v>No</v>
      </c>
      <c r="BN248" s="25" t="str">
        <f t="shared" si="25"/>
        <v>false</v>
      </c>
      <c r="BO248" s="25" t="str">
        <f>IF(AND(OR(_xlfn.XLOOKUP(B248,'Base stats'!B:B,'Base stats'!Y:Y)="Carnivore",_xlfn.XLOOKUP(B248,'Base stats'!B:B,'Base stats'!Y:Y)="Omnivore",_xlfn.XLOOKUP(B248,'Base stats'!B:B,'Base stats'!Y:Y)="OmnivoreRough"),_xlfn.XLOOKUP(_xlfn.XLOOKUP(B248,'Base stats'!B:B,'Base stats'!E:E),Groups!A:A,Groups!AT:AT)=1),"true","false")</f>
        <v>false</v>
      </c>
      <c r="BP248" s="25" t="str" cm="1">
        <f t="array" ref="BP248">IF(
  _xlfn.TEXTJOIN(", ",TRUE,
    IF(AND(BJ248="true",AO248&gt;0.5,BI248&lt;&gt;"None"),"AttackTarget",""),
    IF(AND(_xlfn.XLOOKUP(_xlfn.XLOOKUP(B248,'Base stats'!B:B,'Base stats'!E:E),Groups!A:A,Groups!AJ:AJ="Mammal"),OR(_xlfn.XLOOKUP(B248,'Base stats'!B:B,'Base stats'!Y:Y)="Omnivore",_xlfn.XLOOKUP(B248,'Base stats'!B:B,'Base stats'!Y:Y)="OmnivoreRough")),"Forage",""),
    IF(BG248&lt;=36,"Comfort",""),
    IF(_xlfn.XLOOKUP(B248,'Base stats'!B:B,'Base stats'!AE:AE)&lt;&gt;"No",_xlfn.XLOOKUP(B248,'Base stats'!B:B,'Base stats'!AE:AE),"")
  ) = "",
  "No",
  _xlfn.TEXTJOIN(", ",TRUE,
    IF(AND(BJ248="true",AO248&gt;0.5,BI248&lt;&gt;"None"),"AttackTarget",""),
    IF(AND(_xlfn.XLOOKUP(_xlfn.XLOOKUP(B248,'Base stats'!B:B,'Base stats'!E:E),Groups!A:A,Groups!AJ:AJ="Mammal"),OR(_xlfn.XLOOKUP(B248,'Base stats'!B:B,'Base stats'!Y:Y)="Omnivore",_xlfn.XLOOKUP(B248,'Base stats'!B:B,'Base stats'!Y:Y)="OmnivoreRough")),"Forage",""),
    IF(BG248&lt;=36,"Comfort",""),
    IF(_xlfn.XLOOKUP(B248,'Base stats'!B:B,'Base stats'!AE:AE)&lt;&gt;"No",_xlfn.XLOOKUP(B248,'Base stats'!B:B,'Base stats'!AE:AE),"")
  )
)</f>
        <v>AttackTarget</v>
      </c>
      <c r="BQ248" s="25" t="str">
        <f>IF(
   AND(
      'Base stats'!AN248="Standard",_xlfn.XLOOKUP(_xlfn.XLOOKUP(B248,'Base stats'!B:B,'Base stats'!E:E),Groups!A:A,Groups!AU:AU)=0,
      OR(
      BO248="True"
      )
   ),
   10,
   IF(
       OR(BM248&lt;&gt;"No",_xlfn.XLOOKUP(_xlfn.XLOOKUP(B248,'Base stats'!B:B,'Base stats'!E:E),Groups!A:A,Groups!AU:AU)=1),
      1,
      "No"
   )
)</f>
        <v>No</v>
      </c>
      <c r="BR248" s="9">
        <f>MROUND((1 + ((0.2*IF(OR(Q248="No",R248="No",R248=0),0,Q248/R248)
+IF(OR(V248="No",S248="No",T248="No"),0,S248/T248*(LEN(V248)-LEN(SUBSTITUTE(V248,",",""))+1))
+IF(OR(X248="No",Y248="No"),0,X248/Y248)
+IF(OR(AD248="No",AE248="No"),0,AD248/AE248)
+IF(OR(AL248="No",AI248="No",AJ248="No"),0,AI248/AJ248*(LEN(AL248)-LEN(SUBSTITUTE(AL248,",",""))+1))
)/(0.2*IF(OR(Q248="No",R248="No",R248=0),0,1)
+IF(OR(V248="No",S248="No",T248="No"),0,LEN(V248)-LEN(SUBSTITUTE(V248,",",""))+1)
+IF(OR(X248="No",Y248="No"),0,1)
+IF(OR(AD248="No",AE248="No"),0,1)
+IF(OR(AL248="No",AI248="No",AJ248="No"),0,LEN(AL248)-LEN(SUBSTITUTE(AL248,",",""))+1))*62%)* 2)*(1 + (AP248 / (IF(_xlfn.XLOOKUP(_xlfn.XLOOKUP(B248,'Base stats'!B:B,'Base stats'!E:E),Groups!A:A,Groups!AJ:AJ)="Photonozoa",0.3,1)) + _xlfn.XLOOKUP(B248,'Base stats'!B:B,'Base stats'!AV:AV) * 1.8) * 2) * 2.5 + 10 + I248 * 2,5)+IF(_xlfn.XLOOKUP(B248,'Base stats'!B:B,'Base stats'!AK:AK)=1,50,0)</f>
        <v>75</v>
      </c>
      <c r="BS248" s="8">
        <f t="shared" si="26"/>
        <v>0.45</v>
      </c>
      <c r="BT248" s="8" t="str">
        <f>_xlfn.XLOOKUP(B248,'Base stats'!B:B,'Base stats'!AF:AF)</f>
        <v>No</v>
      </c>
      <c r="BU248" s="2" t="str">
        <f>IF(AND(J248&lt;=0.95,OR(_xlfn.XLOOKUP(B248,'Base stats'!B:B,'Base stats'!AK:AK)=1,_xlfn.XLOOKUP(B248,'Base stats'!B:B,'Base stats'!Y:Y)="Carnivore",_xlfn.XLOOKUP(B248,'Base stats'!B:B,'Base stats'!Y:Y)="Omnivore",BE248&gt;0.1)),"true","false")</f>
        <v>true</v>
      </c>
      <c r="BV248" s="2" t="str">
        <f>IF(_xlfn.XLOOKUP(B248,'Base stats'!B:B,'Base stats'!AI:AI)=1,"true","false")</f>
        <v>false</v>
      </c>
      <c r="BW248" s="25" t="str">
        <f>IF(E248="BaseInsect","AnimalInsect",
IF(J248&gt;0.95,"AnimalExotic",
_xlfn.TEXTJOIN(", ",TRUE,
IF(OR(_xlfn.XLOOKUP(B248,'Base stats'!B:B,'Base stats'!AM:AM)=1,AND(_xlfn.XLOOKUP(B248,'Base stats'!B:B,'Base stats'!O:O)=0,_xlfn.XLOOKUP(_xlfn.XLOOKUP(B248,'Base stats'!B:B,'Base stats'!E:E),Groups!A:A,Groups!B:B)&gt;0)),"AnimalUncommon","AnimalCommon"),
IF(AND(_xlfn.XLOOKUP(B248,'Base stats'!B:B,'Base stats'!O:O)=2,_xlfn.XLOOKUP(_xlfn.XLOOKUP(B248,'Base stats'!B:B,'Base stats'!E:E),Groups!A:A,Groups!D:D)=0),"AnimalPet",IF(AND(_xlfn.XLOOKUP(B248,'Base stats'!B:B,'Base stats'!O:O)&lt;&gt;0,_xlfn.XLOOKUP(_xlfn.XLOOKUP(B248,'Base stats'!B:B,'Base stats'!E:E),Groups!A:A,Groups!D:D)&lt;&gt;0),"AnimalFarm","")),
IF(OR(_xlfn.XLOOKUP(B248,'Base stats'!B:B,'Base stats'!AK:AK)=1,AND(BI248&lt;&gt;"None",BR248&gt;=60),ISNUMBER(SEARCH("Attack target",BP248))),"AnimalFighter","")
)))</f>
        <v>AnimalUncommon, AnimalFighter</v>
      </c>
      <c r="BX248" s="25" t="str">
        <f>IF(G248="None",TRIM(
SUBSTITUTE(
IF(COUNTIF(Biomes!B$2:B$259,"="&amp;$C248)&gt;0,Biomes!B$1&amp;", ","")&amp;
IF(COUNTIF(Biomes!C$2:C$259,"="&amp;$C248)&gt;0,Biomes!C$1&amp;", ","")&amp;
IF(COUNTIF(Biomes!D$2:D$259,"="&amp;$C248)&gt;0,Biomes!D$1&amp;", ","")&amp;
IF(COUNTIF(Biomes!F$2:F$259,"="&amp;$C248)&gt;0,Biomes!F$1&amp;", ","")&amp;
IF(COUNTIF(Biomes!G$2:G$259,"="&amp;$C248)&gt;0,Biomes!G$1&amp;", ","")&amp;
IF(COUNTIF(Biomes!H$2:H$259,"="&amp;$C248)&gt;0,Biomes!H$1&amp;", ","")&amp;
IF(COUNTIF(Biomes!I$2:I$259,"="&amp;$C248)&gt;0,Biomes!I$1&amp;", ","")&amp;
IF(COUNTIF(Biomes!J$2:J$259,"="&amp;$C248)&gt;0,Biomes!J$1&amp;", ","")&amp;
IF(COUNTIF(Biomes!M$2:M$259,"="&amp;$C248)&gt;0,Biomes!M$1&amp;", ","")&amp;
IF(COUNTIF(Biomes!N$2:N$259,"="&amp;$C248)&gt;0,Biomes!N$1&amp;", ","")&amp;
IF(COUNTIF(Biomes!O$2:O$259,"="&amp;$C248)&gt;0,Biomes!O$1&amp;", ","")&amp;
IF(COUNTIF(Biomes!P$2:P$259,"="&amp;$C248)&gt;0,Biomes!P$1&amp;", ","")&amp;
IF(COUNTIF(Biomes!K$2:K$259,"="&amp;$C248)&gt;0,Biomes!K$1&amp;", ","")&amp;
IF(COUNTIF(Biomes!Q$3:Q$259,"="&amp;$C248)&gt;0,Biomes!Q$1&amp;", ","")&amp;
IF(COUNTIF(Biomes!L$2:L$259,"="&amp;$C248)&gt;0,Biomes!L$1&amp;", ","")&amp;
IF(COUNTIF(Biomes!E$2:E$259,"="&amp;$C248)&gt;0,Biomes!E$1&amp;", ","")&amp;IF(COUNTIF(Biomes!S$2:S$259,"="&amp;$C248)&gt;0,Biomes!S$1&amp;", ","")&amp;
IF(COUNTIF(Biomes!R$2:R$259,"="&amp;$C248)&gt;0,Biomes!R$1&amp;", ",""),", ","")
),_xlfn.XLOOKUP(B248,B:B,BX:BX))</f>
        <v>AridShrubland Desert Grasslands LavaField</v>
      </c>
      <c r="BY248" s="25" t="str">
        <f>IF(_xlfn.XLOOKUP(B248,'Base stats'!B:B,'Base stats'!AJ:AJ)=1,"true","false")</f>
        <v>false</v>
      </c>
      <c r="BZ248" s="25">
        <f>IF(_xlfn.XLOOKUP(B248,'Base stats'!B:B,'Base stats'!N:N)=1,"No",MAX(0.001,MIN(MROUND(IF(AND(BJ248="True",CC248="False"),POWER(10,3.47*LOG10(_xlfn.XLOOKUP(B248,'Base stats'!B:B,'Base stats'!C:C)*1000)^-0.96),POWER(10,4.15*LOG10(_xlfn.XLOOKUP(B248,'Base stats'!B:B,'Base stats'!C:C)*1000)^-0.73))*IF(_xlfn.XLOOKUP(B248,'Base stats'!B:B,'Base stats'!AK:AK)=1,0.5,1)*IF(_xlfn.XLOOKUP(B248,'Base stats'!B:B,'Base stats'!AM:AM)=1,0.1,1)/100,IF(_xlfn.XLOOKUP(B248,'Base stats'!B:B,'Base stats'!AM:AM)=1,0.001,0.025)),0.5)))</f>
        <v>7.0000000000000001E-3</v>
      </c>
      <c r="CA248" s="25" t="str">
        <f>IF(P248="Standard","No",MAX(0.001,MIN(MROUND(IF(AND(BJ248="True",CC248="False"),POWER(10,3.47*LOG10(_xlfn.XLOOKUP(B248,'Base stats'!B:B,'Base stats'!C:C)*1000)^-0.96),POWER(10,4.15*LOG10(_xlfn.XLOOKUP(B248,'Base stats'!B:B,'Base stats'!C:C)*1000)^-0.73))*IF(_xlfn.XLOOKUP(B248,'Base stats'!B:B,'Base stats'!AM:AM)=1,0.1,1)*_xlfn.XLOOKUP(B248,'Base stats'!B:B,'Base stats'!R:R)/100,IF(_xlfn.XLOOKUP(B248,'Base stats'!B:B,'Base stats'!AM:AM)=1,0.001,0.025)),0.5)))</f>
        <v>No</v>
      </c>
      <c r="CB248" s="25" t="str">
        <f>IF(_xlfn.XLOOKUP(_xlfn.XLOOKUP(B248,'Base stats'!B:B,'Base stats'!E:E),Groups!A:A,Groups!AJ:AJ)="Mammal","True","False")</f>
        <v>True</v>
      </c>
      <c r="CC248" s="25" t="str">
        <f>IF(OR(_xlfn.XLOOKUP(_xlfn.XLOOKUP(B248,'Base stats'!B:B,'Base stats'!E:E),Groups!A:A,Groups!AJ:AJ)="Reptile",_xlfn.XLOOKUP(_xlfn.XLOOKUP(B248,'Base stats'!B:B,'Base stats'!E:E),Groups!A:A,Groups!AJ:AJ)="Amphibian",_xlfn.XLOOKUP(_xlfn.XLOOKUP(B248,'Base stats'!B:B,'Base stats'!E:E),Groups!A:A,Groups!AJ:AJ)="Invertebrate"),"True","False")</f>
        <v>False</v>
      </c>
      <c r="CD248" s="25" t="str">
        <f t="shared" si="27"/>
        <v>False</v>
      </c>
      <c r="CE248" s="25" t="str">
        <f>IF(_xlfn.XLOOKUP(_xlfn.XLOOKUP(B248,'Base stats'!B:B,'Base stats'!E:E),Groups!A:A,Groups!AX:AX),"True","False")</f>
        <v>False</v>
      </c>
      <c r="CF248" s="25" t="str">
        <f>IF(_xlfn.XLOOKUP(_xlfn.XLOOKUP(B248,'Base stats'!B:B,'Base stats'!E:E),Groups!A:A,Groups!AY:AY),"True","False")</f>
        <v>False</v>
      </c>
      <c r="CG248" s="25" t="str">
        <f>IF(_xlfn.XLOOKUP(_xlfn.XLOOKUP(B248,'Base stats'!B:B,'Base stats'!E:E),Groups!A:A,Groups!AW:AW),"True","False")</f>
        <v>False</v>
      </c>
      <c r="CH248" s="25" t="str">
        <f>IF(
OR(
_xlfn.XLOOKUP(_xlfn.XLOOKUP(B248,'Base stats'!B:B,'Base stats'!E:E),Groups!A:A,Groups!AZ:AZ)=0,
AND(
_xlfn.XLOOKUP(B248,'Base stats'!B:B,'Base stats'!Y:Y)&lt;&gt;"Carnivore",
_xlfn.XLOOKUP(B248,'Base stats'!B:B,'Base stats'!Y:Y)&lt;&gt;"Omnivore",
_xlfn.XLOOKUP(B248,'Base stats'!B:B,'Base stats'!Y:Y)&lt;&gt;"OmnivoreRough"
)
),
"No",
IF(
_xlfn.XLOOKUP(_xlfn.XLOOKUP(B248,'Base stats'!B:B,'Base stats'!E:E),Groups!A:A,Groups!AZ:AZ)=1,
"Flesh",
IF(
_xlfn.XLOOKUP(_xlfn.XLOOKUP(B248,'Base stats'!B:B,'Base stats'!E:E),Groups!A:A,Groups!AZ:AZ)=2,
"Bone",
""
)
)
)</f>
        <v>No</v>
      </c>
      <c r="CI248" s="25" t="str">
        <f>IF(_xlfn.XLOOKUP(_xlfn.XLOOKUP(B248,'Base stats'!B:B,'Base stats'!E:E),Groups!A:A,Groups!BB:BB),"True","False")</f>
        <v>True</v>
      </c>
      <c r="CJ248" s="25" t="str">
        <f>IF(_xlfn.XLOOKUP(_xlfn.XLOOKUP(B248,'Base stats'!B:B,'Base stats'!E:E),Groups!A:A,Groups!BA:BA),"True","False")</f>
        <v>False</v>
      </c>
    </row>
    <row r="249" spans="1:88" ht="16.5" thickTop="1" thickBot="1" x14ac:dyDescent="0.3">
      <c r="A249" s="26" t="s">
        <v>1402</v>
      </c>
      <c r="B249" s="6" t="str">
        <f>_xlfn.XLOOKUP(A249,'Base stats'!A:A,'Base stats'!B:B)</f>
        <v>Acarus crystallis</v>
      </c>
      <c r="C249" s="28" t="s">
        <v>1403</v>
      </c>
      <c r="D249" s="28" t="s">
        <v>1341</v>
      </c>
      <c r="E249" s="28" t="s">
        <v>673</v>
      </c>
      <c r="F249" s="28" t="s">
        <v>673</v>
      </c>
      <c r="G249" s="28" t="s">
        <v>673</v>
      </c>
      <c r="H249" s="2">
        <f>MROUND((
  (IF(AND(_xlfn.XLOOKUP(B249,'Base stats'!B:B,'Base stats'!AL:AL)=0,BI249="None",_xlfn.XLOOKUP(_xlfn.XLOOKUP(B249,'Base stats'!B:B,'Base stats'!E:E),Groups!A:A,Groups!B:B)=0), (18 + BR249 * 2.7) * 0.5,
    IF(AND(_xlfn.XLOOKUP(B249,'Base stats'!B:B,'Base stats'!AL:AL)=0,OR(AO249&lt;0.55,AND(BI249="Intermediate",_xlfn.XLOOKUP(_xlfn.XLOOKUP(B249,'Base stats'!B:B,'Base stats'!E:E),Groups!A:A,Groups!B:B)&lt;2))), (18 + BR249 * 2.7),
      IF(OR(BI249="Advanced",_xlfn.XLOOKUP(B249,'Base stats'!B:B,'Base stats'!AL:AL)=1,_xlfn.XLOOKUP(_xlfn.XLOOKUP(B249,'Base stats'!B:B,'Base stats'!E:E),Groups!A:A,Groups!B:B)=2), (18 + BR249 * 2.7) + 250, (18 + BR249 * 2.7))
    )
  ))
  + AO249 * 80
  + IF(COUNTIF(EggMilk!K$2:K$998, A249) &gt; 0, 125, 0)
  + IF(COUNTIF(EggMilk!P$2:P$998, A249) &gt; 0, 90, 0)
  + IF(COUNTIF(EggMilk!A$2:A$998, A249) &gt; 0, 90, 0)
)
* (0.8 + 0.4 * J249)
* 0.75,25)</f>
        <v>100</v>
      </c>
      <c r="I249" s="2">
        <f>MROUND(ROUNDDOWN(_xlfn.XLOOKUP(B249,'Base stats'!B:B,'Base stats'!L:L)/3.6/(23.3/11),1),0.5)</f>
        <v>1</v>
      </c>
      <c r="J249" s="2">
        <f>IF(OR(_xlfn.XLOOKUP(B249,'Base stats'!B:B,'Base stats'!AB:AB)=1,_xlfn.XLOOKUP(_xlfn.XLOOKUP(B249,'Base stats'!B:B,'Base stats'!E:E),Groups!A:A,Groups!C:C)="Untamable"),1,IF(_xlfn.XLOOKUP(B249,'Base stats'!B:B,'Base stats'!AL:AL)=1,0.99,MIN(MROUND((1-0.6282*EXP(-0.459*AO249))*_xlfn.XLOOKUP(_xlfn.XLOOKUP(B249,'Base stats'!B:B,'Base stats'!E:E),Groups!A:A,Groups!C:C)*IF(_xlfn.XLOOKUP(B249,'Base stats'!B:B,'Base stats'!O:O)=1,0.5,IF(_xlfn.XLOOKUP(B249,'Base stats'!B:B,'Base stats'!O:O)=2,0,1)),0.05),IF(AO249&gt;3.5,0.985,0.95))))</f>
        <v>0.55000000000000004</v>
      </c>
      <c r="K249" s="2">
        <f>ROUNDUP(AO249*_xlfn.XLOOKUP(_xlfn.XLOOKUP(B249,'Base stats'!B:B,'Base stats'!E:E),Groups!A:A,Groups!E:E),0)</f>
        <v>1</v>
      </c>
      <c r="L249" s="2">
        <f>IF(OR(_xlfn.XLOOKUP(_xlfn.XLOOKUP(B249,'Base stats'!B:B,'Base stats'!E:E),Groups!A:A,Groups!F:F)=2,ISNUMBER(SEARCH("SeaIce",BX249)),ISNUMBER(SEARCH("IceSheet",BX249))),-50,IF(OR(ISNUMBER(SEARCH("GlacialPlain",BX249)),ISNUMBER(SEARCH("Tundra",BX249))),-40,IF(OR(ISNUMBER(SEARCH("Alpine",BX249)),ISNUMBER(SEARCH("BorealForest",BX249)),ISNUMBER(SEARCH("ColdBog",BX249))),-30,IF(OR(ISNUMBER(SEARCH("TemperateForest",BX249)),ISNUMBER(SEARCH("TemperateSwamp",BX249))),-20,IF(_xlfn.XLOOKUP(_xlfn.XLOOKUP(B249,'Base stats'!B:B,'Base stats'!E:E),Groups!A:A,Groups!F:F)=1,-15,IF(OR(ISNUMBER(SEARCH("Desert",BX249)),ISNUMBER(SEARCH("ExtremeDesert",BX249))),-10,IF(OR(ISNUMBER(SEARCH("Grasslands",BX249)),ISNUMBER(SEARCH("TropicalRainforest",BX249)),ISNUMBER(SEARCH("TropicalSwamp",BX249))),10,0)))))))-IF(CC249="False",MIN(IFERROR(MAX(MROUND(LOG10(_xlfn.XLOOKUP(B249,'Base stats'!B:B,'Base stats'!C:C)^(2/3))*10,5),5),5),30))-_xlfn.XLOOKUP(B249,'Base stats'!B:B,'Base stats'!P:P)+IF(CC249="True",5,0)</f>
        <v>-35</v>
      </c>
      <c r="M249" s="2">
        <f>IF(OR(_xlfn.XLOOKUP(_xlfn.XLOOKUP(B249,'Base stats'!B:B,'Base stats'!E:E),Groups!A:A,Groups!G:G)=2,ISNUMBER(SEARCH("Desert",BX249)),ISNUMBER(SEARCH("ExtremeDesert",BX249)),ISNUMBER(SEARCH("LavaField",BX249))),50,IF(ISNUMBER(SEARCH("Grasslands",BX249)),45,IF(OR(_xlfn.XLOOKUP(_xlfn.XLOOKUP(B249,'Base stats'!B:B,'Base stats'!E:E),Groups!A:A,Groups!G:G)=1,ISNUMBER(SEARCH("TropicalRainforest",BX249)),ISNUMBER(SEARCH("TropicalSwamp",BX249))),40,IF(OR(ISNUMBER(SEARCH("TemperateForest",BX249)),ISNUMBER(SEARCH("TemperateSwamp",BX249))),35,IF(OR(ISNUMBER(SEARCH("Alpine",BX249)),ISNUMBER(SEARCH("BorealForest",BX249)),ISNUMBER(SEARCH("ColdBog",BX249))),30,IF(ISNUMBER(OR(ISNUMBER(SEARCH("GlacialPlain",BX249)),SEARCH("Tundra",BX249))),25,IF(OR(ISNUMBER(SEARCH("SeaIce",BX249)),ISNUMBER(SEARCH("IceSheet",BX249)),ISNUMBER(SEARCH("TropicalSwamp",BX249))),10,35)))))))+_xlfn.XLOOKUP(B249,'Base stats'!B:B,'Base stats'!Q:Q)</f>
        <v>50</v>
      </c>
      <c r="N249" s="8">
        <f>IF(
_xlfn.XLOOKUP(
_xlfn.XLOOKUP(B249,'Base stats'!B:B,'Base stats'!E:E),
Groups!A:A,
Groups!L:L
)=1,
MIN(
MROUND(
IF(
_xlfn.XLOOKUP(B249,'Animals CE'!B:B,'Animals CE'!Z:Z)&lt;=1.5,
_xlfn.XLOOKUP(B249,'Animals CE'!B:B,'Animals CE'!Z:Z)/2+0.05,
0.8+
(_xlfn.XLOOKUP(B249,'Animals CE'!B:B,'Animals CE'!Z:Z)-1.5)
*0.02
),
0.05
),
200%
),
"No"
)</f>
        <v>0.4</v>
      </c>
      <c r="O249" s="8">
        <f>IF(
_xlfn.XLOOKUP(
_xlfn.XLOOKUP(B249,'Base stats'!B:B,'Base stats'!E:E),
Groups!A:A,
Groups!L:L
)=1,
MIN(
MROUND(
IF(
_xlfn.XLOOKUP(B249,'Animals CE'!B:B,'Animals CE'!AA:AA)&lt;=1.5,
_xlfn.XLOOKUP(B249,'Animals CE'!B:B,'Animals CE'!AA:AA)/2+0.05,
0.8+
(_xlfn.XLOOKUP(B249,'Animals CE'!B:B,'Animals CE'!AA:AA)-1.5)
*0.02
),
0.05
),
200%
),
"No"
)</f>
        <v>0.05</v>
      </c>
      <c r="P249" s="2" t="str">
        <f>_xlfn.XLOOKUP(B249,'Base stats'!B:B,'Base stats'!R:R)</f>
        <v>Standard</v>
      </c>
      <c r="Q249" s="13">
        <f>MROUND((LOG10(_xlfn.XLOOKUP(B249,'Base stats'!B:B,'Base stats'!AR:AR))*(AO249^0.5)+(_xlfn.XLOOKUP(B249,'Base stats'!B:B,'Base stats'!AR:AR)/1000)^(2/3)+_xlfn.XLOOKUP(B249,'Base stats'!B:B,'Base stats'!BA:BA)/2)+0.5,0.5)</f>
        <v>4</v>
      </c>
      <c r="R249" s="7">
        <f>IF(Q249="No","No",MAX(1,MROUND(_xlfn.XLOOKUP(B249,'Base stats'!B:B,'Base stats'!C:C)^0.165,0.05)))</f>
        <v>1.55</v>
      </c>
      <c r="S249" s="13" t="str">
        <f>IF(_xlfn.XLOOKUP(_xlfn.XLOOKUP(B249,'Base stats'!B:B,'Base stats'!E:E),Groups!A:A,Groups!P:P)=0,"No",MROUND((LOG10(_xlfn.XLOOKUP(B249,'Base stats'!B:B,'Base stats'!AS:AS))*(AO249^0.5)+(_xlfn.XLOOKUP(B249,'Base stats'!B:B,'Base stats'!AS:AS)/1000)^(2/3)+_xlfn.XLOOKUP(B249,'Base stats'!B:B,'Base stats'!BA:BA))+_xlfn.XLOOKUP(B249,'Base stats'!B:B,'Base stats'!AY:AY)+0.5,0.5))</f>
        <v>No</v>
      </c>
      <c r="T249" s="7" t="str">
        <f>IF(S249="No","No",MAX(_xlfn.XLOOKUP(_xlfn.XLOOKUP(B249,'Base stats'!B:B,'Base stats'!E:E),Groups!A:A,Groups!Q:Q),MROUND(_xlfn.XLOOKUP(_xlfn.XLOOKUP(B249,'Base stats'!B:B,'Base stats'!E:E),Groups!A:A,Groups!Q:Q)*_xlfn.XLOOKUP(B249,'Base stats'!B:B,'Base stats'!C:C)^0.165,0.05)))</f>
        <v>No</v>
      </c>
      <c r="U249" s="7" t="str">
        <f>IF(S249="No","No",_xlfn.XLOOKUP(_xlfn.XLOOKUP(B249,'Base stats'!B:B,'Base stats'!E:E),Groups!A:A,Groups!R:R))</f>
        <v>No</v>
      </c>
      <c r="V249" s="7" t="str">
        <f>IF(S249="No","No",_xlfn.XLOOKUP(_xlfn.XLOOKUP(B249,'Base stats'!B:B,'Base stats'!E:E),Groups!A:A,Groups!S:S))</f>
        <v>No</v>
      </c>
      <c r="W249" s="7" t="str">
        <f>IF(S249="No","No",_xlfn.XLOOKUP(_xlfn.XLOOKUP(B249,'Base stats'!B:B,'Base stats'!E:E),Groups!A:A,Groups!T:T))</f>
        <v>No</v>
      </c>
      <c r="X249" s="13" t="str">
        <f>IF(_xlfn.XLOOKUP(B249,'Base stats'!B:B,'Base stats'!W:W)="No","No",MROUND((LOG10(_xlfn.XLOOKUP(B249,'Base stats'!B:B,'Base stats'!AU:AU))*(AO249^0.5)+(_xlfn.XLOOKUP(B249,'Base stats'!B:B,'Base stats'!AU:AU)/1000)^(2/3)+_xlfn.XLOOKUP(B249,'Base stats'!B:B,'Base stats'!AZ:AZ))+0.5+IF(_xlfn.XLOOKUP(_xlfn.XLOOKUP(B249,'Base stats'!B:B,'Base stats'!E:E),Groups!A:A,Groups!U:U)&lt;&gt;3,_xlfn.XLOOKUP(B249,'Base stats'!B:B,'Base stats'!BA:BA),0),0.5))</f>
        <v>No</v>
      </c>
      <c r="Y249" s="7" t="str">
        <f>IF(X249="No","No",MAX(_xlfn.XLOOKUP(_xlfn.XLOOKUP(B249,'Base stats'!B:B,'Base stats'!E:E),Groups!A:A,Groups!V:V),MROUND(_xlfn.XLOOKUP(_xlfn.XLOOKUP(B249,'Base stats'!B:B,'Base stats'!E:E),Groups!A:A,Groups!V:V)*_xlfn.XLOOKUP(B249,'Base stats'!B:B,'Base stats'!C:C)^0.165,0.05)))</f>
        <v>No</v>
      </c>
      <c r="Z249" s="7" t="str">
        <f>IF(X249="No","No",_xlfn.XLOOKUP(_xlfn.XLOOKUP(B249,'Base stats'!B:B,'Base stats'!E:E),Groups!A:A,Groups!W:W))</f>
        <v>No</v>
      </c>
      <c r="AA249" s="7" t="str">
        <f>IF(X249="No","No",_xlfn.XLOOKUP(_xlfn.XLOOKUP(B249,'Base stats'!B:B,'Base stats'!E:E),Groups!A:A,Groups!X:X))</f>
        <v>No</v>
      </c>
      <c r="AB249" s="7" t="str">
        <f>IF(X249="No","No",_xlfn.XLOOKUP(_xlfn.XLOOKUP(B249,'Base stats'!B:B,'Base stats'!E:E),Groups!A:A,Groups!Y:Y))</f>
        <v>No</v>
      </c>
      <c r="AC249" s="7" t="str">
        <f>_xlfn.XLOOKUP(Animals!B249,'Base stats'!B:B,'Base stats'!X:X)</f>
        <v>False</v>
      </c>
      <c r="AD249" s="13" t="str">
        <f>IF(_xlfn.XLOOKUP(B249,'Base stats'!B:B,'Base stats'!AT:AT)="No","No",MROUND((LOG10(_xlfn.XLOOKUP(B249,'Base stats'!B:B,'Base stats'!AT:AT))*(AO249^0.75)+(_xlfn.XLOOKUP(B249,'Base stats'!B:B,'Base stats'!AT:AT)/1000)^(2/3)+_xlfn.XLOOKUP(B249,'Base stats'!B:B,'Base stats'!AX:AX)+_xlfn.XLOOKUP(B249,'Base stats'!B:B,'Base stats'!BA:BA))+0.5,0.5))</f>
        <v>No</v>
      </c>
      <c r="AE249" s="7" t="str">
        <f>IF(AD249="No","No",MAX(_xlfn.XLOOKUP(_xlfn.XLOOKUP(B249,'Base stats'!B:B,'Base stats'!E:E),Groups!A:A,Groups!Z:Z),MROUND(_xlfn.XLOOKUP(_xlfn.XLOOKUP(B249,'Base stats'!B:B,'Base stats'!E:E),Groups!A:A,Groups!Z:Z)*_xlfn.XLOOKUP(B249,'Base stats'!B:B,'Base stats'!C:C)^0.165,0.05)))</f>
        <v>No</v>
      </c>
      <c r="AF249" s="7" t="str">
        <f>IF(AD249="No","No",_xlfn.XLOOKUP(_xlfn.XLOOKUP(B249,'Base stats'!B:B,'Base stats'!E:E),Groups!A:A,Groups!AA:AA))</f>
        <v>No</v>
      </c>
      <c r="AG249" s="7" t="str">
        <f>IF(AD249="No","No",_xlfn.XLOOKUP(_xlfn.XLOOKUP(B249,'Base stats'!B:B,'Base stats'!E:E),Groups!A:A,Groups!AB:AB))</f>
        <v>No</v>
      </c>
      <c r="AH249" s="7" t="str">
        <f>IF(AD249="No","No",_xlfn.XLOOKUP(_xlfn.XLOOKUP(B249,'Base stats'!B:B,'Base stats'!E:E),Groups!A:A,Groups!AC:AC))</f>
        <v>No</v>
      </c>
      <c r="AI249" s="13">
        <f>IF(_xlfn.XLOOKUP(_xlfn.XLOOKUP(B249,'Base stats'!B:B,'Base stats'!E:E),Groups!A:A,Groups!AD:AD)=0,"No",MROUND((LOG10(_xlfn.XLOOKUP(B249,'Base stats'!B:B,'Base stats'!AS:AS))*(AO249^0.75)+(_xlfn.XLOOKUP(B249,'Base stats'!B:B,'Base stats'!AS:AS)/1000)^(2/3)+_xlfn.XLOOKUP(B249,'Base stats'!B:B,'Base stats'!AY:AY)+_xlfn.XLOOKUP(B249,'Base stats'!B:B,'Base stats'!BA:BA))+0.5,0.5))</f>
        <v>6.5</v>
      </c>
      <c r="AJ249" s="7">
        <f>IF(AI249="No","No",MAX(_xlfn.XLOOKUP(_xlfn.XLOOKUP(B249,'Base stats'!B:B,'Base stats'!E:E),Groups!A:A,Groups!AE:AE),MROUND(_xlfn.XLOOKUP(_xlfn.XLOOKUP(B249,'Base stats'!B:B,'Base stats'!E:E),Groups!A:A,Groups!AE:AE)*IF(_xlfn.XLOOKUP(_xlfn.XLOOKUP(B249,'Base stats'!B:B,'Base stats'!E:E),Groups!A:A,Groups!AJ:AJ)="Photonozoa",0.6,1)*_xlfn.XLOOKUP(B249,'Base stats'!B:B,'Base stats'!C:C)^0.165,0.05)))</f>
        <v>1.9000000000000001</v>
      </c>
      <c r="AK249" s="7" t="str">
        <f>IF(AI249="No","No",_xlfn.XLOOKUP(_xlfn.XLOOKUP(B249,'Base stats'!B:B,'Base stats'!E:E),Groups!A:A,Groups!AF:AF))</f>
        <v>FrontLeftClaws, FrontRightClaws</v>
      </c>
      <c r="AL249" s="7" t="str">
        <f>IF(AI249="No","No",_xlfn.XLOOKUP(_xlfn.XLOOKUP(B249,'Base stats'!B:B,'Base stats'!E:E),Groups!A:A,Groups!AG:AG))</f>
        <v>left claw, right claw</v>
      </c>
      <c r="AM249" s="7" t="str">
        <f>IF(AI249="No","No",_xlfn.XLOOKUP(_xlfn.XLOOKUP(B249,'Base stats'!B:B,'Base stats'!E:E),Groups!A:A,Groups!AH:AH))</f>
        <v>Scratch</v>
      </c>
      <c r="AN249" s="2" t="str">
        <f t="shared" si="21"/>
        <v>No</v>
      </c>
      <c r="AO249" s="2">
        <f>MROUND(IF(AND(_xlfn.XLOOKUP(B249,'Base stats'!B:B,'Base stats'!C:C)&gt;=0.5,_xlfn.XLOOKUP(B249,'Base stats'!B:B,'Base stats'!C:C)&lt;=0.8),
IF(_xlfn.XLOOKUP(B249,'Base stats'!B:B,'Base stats'!C:C)&lt;0.1,0.05,IF(_xlfn.XLOOKUP(B249,'Base stats'!B:B,'Base stats'!C:C)&lt;=70,(_xlfn.XLOOKUP(B249,'Base stats'!B:B,'Base stats'!C:C)/70)^0.426489913056526,IF(_xlfn.XLOOKUP(B249,'Base stats'!B:B,'Base stats'!C:C)&lt;=400,(_xlfn.XLOOKUP(B249,'Base stats'!B:B,'Base stats'!C:C)/70)^0.572811455315093,IF(_xlfn.XLOOKUP(B249,'Base stats'!B:B,'Base stats'!C:C)&lt;=2000,2.71391647193063*(_xlfn.XLOOKUP(B249,'Base stats'!B:B,'Base stats'!C:C)/400)^0.252459582904293,3.74314280240376*(_xlfn.XLOOKUP(B249,'Base stats'!B:B,'Base stats'!C:C)/2000)^0.357012633876913)))),
IF(_xlfn.XLOOKUP(B249,'Base stats'!B:B,'Base stats'!C:C)&lt;0.1,0.05,IF(_xlfn.XLOOKUP(B249,'Base stats'!B:B,'Base stats'!C:C)&lt;0.4,0.1,IF(_xlfn.XLOOKUP(B249,'Base stats'!B:B,'Base stats'!C:C)&lt;=70,(_xlfn.XLOOKUP(B249,'Base stats'!B:B,'Base stats'!C:C)/70)^0.445823913056526,IF(_xlfn.XLOOKUP(B249,'Base stats'!B:B,'Base stats'!C:C)&lt;=400,(_xlfn.XLOOKUP(B249,'Base stats'!B:B,'Base stats'!C:C)/70)^0.572811455315093,IF(_xlfn.XLOOKUP(B249,'Base stats'!B:B,'Base stats'!C:C)&lt;=2000,2.71391647193063*(_xlfn.XLOOKUP(B249,'Base stats'!B:B,'Base stats'!C:C)/400)^0.252459582904293,3.74314280240376*(_xlfn.XLOOKUP(B249,'Base stats'!B:B,'Base stats'!C:C)/2000)^0.357012633876913)))))),
IF(_xlfn.XLOOKUP(B249,'Base stats'!B:B,'Base stats'!C:C)&lt;0.1,0.05,IF(_xlfn.XLOOKUP(B249,'Base stats'!B:B,'Base stats'!C:C)&lt;=100,0.05,IF(_xlfn.XLOOKUP(B249,'Base stats'!B:B,'Base stats'!C:C)&lt;=250,0.1,IF(_xlfn.XLOOKUP(B249,'Base stats'!B:B,'Base stats'!C:C)&lt;=4000,0.25,0.5)))))</f>
        <v>0.5</v>
      </c>
      <c r="AP249" s="8">
        <f>MROUND(AO249*_xlfn.XLOOKUP(_xlfn.XLOOKUP(B249,'Base stats'!B:B,'Base stats'!E:E),Groups!A:A,Groups!AI:AI)*_xlfn.XLOOKUP(B249,'Base stats'!B:B,'Base stats'!Z:Z),0.05)</f>
        <v>0.5</v>
      </c>
      <c r="AQ249" s="8">
        <f>MAX(0.01,MROUND(IF(CC249="True",0.196*(AO249*100*1000)^0.889,IF(_xlfn.XLOOKUP(_xlfn.XLOOKUP(B249,'Base stats'!B:B,'Base stats'!E:E),Groups!A:A,Groups!AJ:AJ)="Bird",10.5*(AO249*100*1000)^0.681,4.82*(AO249*100*1000)^0.734))/(4.82*(1*100*1000)^0.734)/IF(AO249&lt;3.5,2,IF(AO249=3.5,1.5,1.25))*(1+0.132282374779864/(AO249^0.994035016789033+0.00905238001496948)),0.05))</f>
        <v>0.1</v>
      </c>
      <c r="AR249" s="9">
        <f>IFERROR(MROUND(_xlfn.XLOOKUP(B249,'Base stats'!B:B,'Base stats'!H:H)/IF(_xlfn.XLOOKUP(B249,'Base stats'!B:B,'Base stats'!I:I)&lt;&gt;1,(122.5/70),1.2),IF(_xlfn.XLOOKUP(B249,'Base stats'!B:B,'Base stats'!H:H)&gt;=30,5,IF(_xlfn.XLOOKUP(B249,'Base stats'!B:B,'Base stats'!H:H)&gt;=15,3,IF(_xlfn.XLOOKUP(B249,'Base stats'!B:B,'Base stats'!H:H)&gt;=10,2,1)))),"Immortal")</f>
        <v>60</v>
      </c>
      <c r="AS249" s="35">
        <f>IFERROR(IF(OR(_xlfn.XLOOKUP(B249,'Base stats'!B:B,'Base stats'!F:F)="Atypical reproduction",_xlfn.XLOOKUP(B249,'Base stats'!B:B,'Base stats'!F:F)="Lay eggs"),"Lay eggs",MIN(20,MAX(5.5,ROUND(((_xlfn.XLOOKUP(B249,'Base stats'!B:B,'Base stats'!F:F)-25)*(14.5/615) + 5.5)*2,0)/2))),"Unknown")</f>
        <v>7.5</v>
      </c>
      <c r="AT249" s="8">
        <f>IF(_xlfn.XLOOKUP(B249,'Base stats'!B:B,'Base stats'!G:G)="Atypical reproduction","No",IFERROR(MAX(IF(_xlfn.XLOOKUP(B249,'Base stats'!B:B,'Base stats'!G:G)&lt;0.5,0.2,0.3),MROUND(_xlfn.XLOOKUP(B249,'Base stats'!B:B,'Base stats'!G:G)/(365/60),0.2)),"Unknown"))</f>
        <v>0.4</v>
      </c>
      <c r="AU249" s="8">
        <f t="shared" si="22"/>
        <v>0.2</v>
      </c>
      <c r="AV249" s="8">
        <f>IFERROR(IFERROR(MROUND(_xlfn.XLOOKUP(B249,'Base stats'!B:B,'Base stats'!J:J),0.1),"Lay eggs"),"Cannot breed")</f>
        <v>2</v>
      </c>
      <c r="AW249" s="2" t="str">
        <f t="shared" si="23"/>
        <v>false</v>
      </c>
      <c r="AX249" s="2" t="str">
        <f>IF(_xlfn.XLOOKUP(_xlfn.XLOOKUP(Animals!B249,'Base stats'!B:B,'Base stats'!E:E),Groups!A:A,Groups!AK:AK)=1,"true","false")</f>
        <v>false</v>
      </c>
      <c r="AY249" s="25" t="str">
        <f>IF(_xlfn.XLOOKUP(B249,'Base stats'!B:B,'Base stats'!Y:Y)="Liquor","Liquor, CarnivoreAnimalStrict",IF(AND(_xlfn.XLOOKUP(B249,'Base stats'!B:B,'Base stats'!Y:Y)="Carnivore",_xlfn.XLOOKUP(_xlfn.XLOOKUP(B249,'Base stats'!B:B,'Base stats'!E:E),Groups!A:A,Groups!AJ:AJ)="Photonozoa"),"CarnivoreAnimalStrict, OvivoreAnimal",IF(_xlfn.XLOOKUP(B249,'Base stats'!B:B,'Base stats'!Y:Y)="Carnivore","CarnivoreAnimal, OvivoreAnimal",IF(_xlfn.XLOOKUP(B249,'Base stats'!B:B,'Base stats'!Y:Y)="Dendrovore","VegetarianRoughAnimal, DendrovoreAnimal",IF(_xlfn.XLOOKUP(B249,'Base stats'!B:B,'Base stats'!Y:Y)="Herbivore","VegetarianRoughAnimal",IF(_xlfn.XLOOKUP(B249,'Base stats'!B:B,'Base stats'!Y:Y)="OmnivoreRough","OmnivoreRoughAnimal, OvivoreAnimal","OmnivoreAnimal, OvivoreAnimal"))))))</f>
        <v>OmnivoreRoughAnimal, OvivoreAnimal</v>
      </c>
      <c r="AZ249" s="2">
        <f>IF(_xlfn.XLOOKUP(_xlfn.XLOOKUP(B249,'Base stats'!B:B,'Base stats'!E:E),Groups!A:A,Groups!D:D)=1,MROUND((1-J249)*5+1,2)*IF(J249&lt;=0.4,2,1),"No")</f>
        <v>4</v>
      </c>
      <c r="BA249" s="2" t="str">
        <f>IF(AND(_xlfn.XLOOKUP(B249,'Base stats'!B:B,'Base stats'!AH:AH)="&lt;li&gt;Seal&lt;/li&gt;",G249="Odyssey"),"&lt;li&gt;AEXP_Seal&lt;/li&gt;",_xlfn.XLOOKUP(B249,'Base stats'!B:B,'Base stats'!AH:AH))</f>
        <v>&lt;li&gt;AA_BoulderMit&lt;/li&gt;</v>
      </c>
      <c r="BB249" s="2" t="str">
        <f>_xlfn.XLOOKUP(B249,'Base stats'!B:B,'Base stats'!AG:AG)</f>
        <v>No</v>
      </c>
      <c r="BC249" s="23" t="str">
        <f>_xlfn.XLOOKUP(_xlfn.XLOOKUP(B249,'Base stats'!B:B,'Base stats'!E:E),Groups!A:A,Groups!AL:AL)</f>
        <v>Crab</v>
      </c>
      <c r="BD249" s="23">
        <f>MIN(1,MROUND(IF(AND(AO249&lt;0.5,_xlfn.XLOOKUP(B249,'Base stats'!B:B,'Base stats'!AA:AA)=0),0,IF(OR(_xlfn.XLOOKUP(Animals!B249,'Base stats'!B:B,'Base stats'!O:O)=2,_xlfn.XLOOKUP(_xlfn.XLOOKUP(B249,'Base stats'!B:B,'Base stats'!E:E),Groups!A:A,Groups!AN:AN)=0),0,_xlfn.XLOOKUP(_xlfn.XLOOKUP(B249,'Base stats'!B:B,'Base stats'!E:E),Groups!A:A,Groups!AN:AN)/IF(_xlfn.XLOOKUP(Animals!B249,'Base stats'!B:B,'Base stats'!O:O)=1,2,1)))+_xlfn.XLOOKUP(B249,'Base stats'!B:B,'Base stats'!AC:AC),0.005))</f>
        <v>2.5000000000000001E-2</v>
      </c>
      <c r="BE249" s="23">
        <f>MIN(1,MROUND(IF(AND(AO249&lt;0.5,_xlfn.XLOOKUP(B249,'Base stats'!B:B,'Base stats'!AA:AA)=0),0,IF(_xlfn.XLOOKUP(_xlfn.XLOOKUP(B249,'Base stats'!B:B,'Base stats'!E:E),Groups!A:A,Groups!AO:AO)=0,0,_xlfn.XLOOKUP(_xlfn.XLOOKUP(B249,'Base stats'!B:B,'Base stats'!E:E),Groups!A:A,Groups!AO:AO)/IF(_xlfn.XLOOKUP(Animals!B249,'Base stats'!B:B,'Base stats'!O:O)=2,3,1)))+_xlfn.XLOOKUP(B249,'Base stats'!B:B,'Base stats'!AD:AD),0.005))</f>
        <v>0.1</v>
      </c>
      <c r="BF249" s="2" t="str">
        <f>IF(J249&gt;0.3,"No",_xlfn.XLOOKUP(_xlfn.XLOOKUP(Animals!B249,'Base stats'!B:B,'Base stats'!E:E),Groups!A:A,Groups!AP:AP))</f>
        <v>No</v>
      </c>
      <c r="BG249" s="2" t="str">
        <f>IF(AND(J249&lt;=0.65,_xlfn.XLOOKUP(_xlfn.XLOOKUP(Animals!B249,'Base stats'!B:B,'Base stats'!E:E),Groups!A:A,Groups!AP:AP)&lt;&gt;"No",_xlfn.XLOOKUP(_xlfn.XLOOKUP(B249,'Base stats'!B:B,'Base stats'!E:E),Groups!A:A,Groups!D:D)=0),MROUND((80/3)*IF(_xlfn.XLOOKUP(B249,'Base stats'!B:B,'Base stats'!O:O)=2,0.2,AO249) + 24*(1-IF(BF249="No",0,BF249)) + 16/3, 12),"No")</f>
        <v>No</v>
      </c>
      <c r="BH249" s="2">
        <f>IF(AND(_xlfn.XLOOKUP(_xlfn.XLOOKUP(B249,'Base stats'!B:B,'Base stats'!E:E),Groups!A:A,Groups!AQ:AQ)=1,AO249&lt;=0.35),8,12)</f>
        <v>12</v>
      </c>
      <c r="BI249" s="2" t="str">
        <f>IF(_xlfn.XLOOKUP(_xlfn.XLOOKUP(B249,'Base stats'!B:B,'Base stats'!E:E),Groups!A:A,Groups!D:D)=0,_xlfn.XLOOKUP(_xlfn.XLOOKUP(B249,'Base stats'!B:B,'Base stats'!E:E),Groups!A:A,Groups!AR:AR),"None")</f>
        <v>None</v>
      </c>
      <c r="BJ249" s="2" t="str">
        <f>IF(AND(_xlfn.XLOOKUP(_xlfn.XLOOKUP(B249,'Base stats'!B:B,'Base stats'!E:E),Groups!A:A,Groups!AS:AS)=1,OR(_xlfn.XLOOKUP(B249,'Base stats'!B:B,'Base stats'!Y:Y)="Carnivore",_xlfn.XLOOKUP(B249,'Base stats'!B:B,'Base stats'!Y:Y)="Omnivore")),"true","false")</f>
        <v>false</v>
      </c>
      <c r="BK249" s="2" t="str">
        <f>IF(BJ249="true",MROUND(IF(AND(AO249&gt;0.5,OR(_xlfn.XLOOKUP(_xlfn.XLOOKUP(B249,'Base stats'!B:B,'Base stats'!E:E),Groups!A:A,Groups!AJ:AJ)="Photonozoa",_xlfn.XLOOKUP(_xlfn.XLOOKUP(B249,'Base stats'!B:B,'Base stats'!E:E),Groups!A:A,Groups!AJ:AJ)="Mammal")),Animals!AO249*1.75*IF(AW249="true",1.5,1),IF(AO249&lt;0.5,Animals!AO249*0.5,Animals!AO249)),IF(AO249&gt;2,0.5,IF(AO249&gt;0.5,0.25,0.1))),"No")</f>
        <v>No</v>
      </c>
      <c r="BL249" s="2">
        <f t="shared" si="24"/>
        <v>0</v>
      </c>
      <c r="BM249" s="25" t="str">
        <f>IF(_xlfn.XLOOKUP(B249,'Base stats'!B:B,'Base stats'!AN:AN)="Standard","No",MROUND((_xlfn.XLOOKUP(B249,'Base stats'!B:B,'Base stats'!AN:AN)/3.6)/I249,0.1))</f>
        <v>No</v>
      </c>
      <c r="BN249" s="25" t="str">
        <f t="shared" si="25"/>
        <v>true</v>
      </c>
      <c r="BO249" s="25" t="str">
        <f>IF(AND(OR(_xlfn.XLOOKUP(B249,'Base stats'!B:B,'Base stats'!Y:Y)="Carnivore",_xlfn.XLOOKUP(B249,'Base stats'!B:B,'Base stats'!Y:Y)="Omnivore",_xlfn.XLOOKUP(B249,'Base stats'!B:B,'Base stats'!Y:Y)="OmnivoreRough"),_xlfn.XLOOKUP(_xlfn.XLOOKUP(B249,'Base stats'!B:B,'Base stats'!E:E),Groups!A:A,Groups!AT:AT)=1),"true","false")</f>
        <v>false</v>
      </c>
      <c r="BP249" s="25" t="str" cm="1">
        <f t="array" ref="BP249">IF(
  _xlfn.TEXTJOIN(", ",TRUE,
    IF(AND(BJ249="true",AO249&gt;0.5,BI249&lt;&gt;"None"),"AttackTarget",""),
    IF(AND(_xlfn.XLOOKUP(_xlfn.XLOOKUP(B249,'Base stats'!B:B,'Base stats'!E:E),Groups!A:A,Groups!AJ:AJ="Mammal"),OR(_xlfn.XLOOKUP(B249,'Base stats'!B:B,'Base stats'!Y:Y)="Omnivore",_xlfn.XLOOKUP(B249,'Base stats'!B:B,'Base stats'!Y:Y)="OmnivoreRough")),"Forage",""),
    IF(BG249&lt;=36,"Comfort",""),
    IF(_xlfn.XLOOKUP(B249,'Base stats'!B:B,'Base stats'!AE:AE)&lt;&gt;"No",_xlfn.XLOOKUP(B249,'Base stats'!B:B,'Base stats'!AE:AE),"")
  ) = "",
  "No",
  _xlfn.TEXTJOIN(", ",TRUE,
    IF(AND(BJ249="true",AO249&gt;0.5,BI249&lt;&gt;"None"),"AttackTarget",""),
    IF(AND(_xlfn.XLOOKUP(_xlfn.XLOOKUP(B249,'Base stats'!B:B,'Base stats'!E:E),Groups!A:A,Groups!AJ:AJ="Mammal"),OR(_xlfn.XLOOKUP(B249,'Base stats'!B:B,'Base stats'!Y:Y)="Omnivore",_xlfn.XLOOKUP(B249,'Base stats'!B:B,'Base stats'!Y:Y)="OmnivoreRough")),"Forage",""),
    IF(BG249&lt;=36,"Comfort",""),
    IF(_xlfn.XLOOKUP(B249,'Base stats'!B:B,'Base stats'!AE:AE)&lt;&gt;"No",_xlfn.XLOOKUP(B249,'Base stats'!B:B,'Base stats'!AE:AE),"")
  )
)</f>
        <v>No</v>
      </c>
      <c r="BQ249" s="25">
        <f>IF(
   AND(
      'Base stats'!AN249="Standard",_xlfn.XLOOKUP(_xlfn.XLOOKUP(B249,'Base stats'!B:B,'Base stats'!E:E),Groups!A:A,Groups!AU:AU)=0,
      OR(
      BO249="True"
      )
   ),
   10,
   IF(
       OR(BM249&lt;&gt;"No",_xlfn.XLOOKUP(_xlfn.XLOOKUP(B249,'Base stats'!B:B,'Base stats'!E:E),Groups!A:A,Groups!AU:AU)=1),
      1,
      "No"
   )
)</f>
        <v>1</v>
      </c>
      <c r="BR249" s="9">
        <f>MROUND((1 + ((0.2*IF(OR(Q249="No",R249="No",R249=0),0,Q249/R249)
+IF(OR(V249="No",S249="No",T249="No"),0,S249/T249*(LEN(V249)-LEN(SUBSTITUTE(V249,",",""))+1))
+IF(OR(X249="No",Y249="No"),0,X249/Y249)
+IF(OR(AD249="No",AE249="No"),0,AD249/AE249)
+IF(OR(AL249="No",AI249="No",AJ249="No"),0,AI249/AJ249*(LEN(AL249)-LEN(SUBSTITUTE(AL249,",",""))+1))
)/(0.2*IF(OR(Q249="No",R249="No",R249=0),0,1)
+IF(OR(V249="No",S249="No",T249="No"),0,LEN(V249)-LEN(SUBSTITUTE(V249,",",""))+1)
+IF(OR(X249="No",Y249="No"),0,1)
+IF(OR(AD249="No",AE249="No"),0,1)
+IF(OR(AL249="No",AI249="No",AJ249="No"),0,LEN(AL249)-LEN(SUBSTITUTE(AL249,",",""))+1))*62%)* 2)*(1 + (AP249 / (IF(_xlfn.XLOOKUP(_xlfn.XLOOKUP(B249,'Base stats'!B:B,'Base stats'!E:E),Groups!A:A,Groups!AJ:AJ)="Photonozoa",0.3,1)) + _xlfn.XLOOKUP(B249,'Base stats'!B:B,'Base stats'!AV:AV) * 1.8) * 2) * 2.5 + 10 + I249 * 2,5)+IF(_xlfn.XLOOKUP(B249,'Base stats'!B:B,'Base stats'!AK:AK)=1,50,0)</f>
        <v>50</v>
      </c>
      <c r="BS249" s="8">
        <f t="shared" si="26"/>
        <v>0.2</v>
      </c>
      <c r="BT249" s="8" t="str">
        <f>_xlfn.XLOOKUP(B249,'Base stats'!B:B,'Base stats'!AF:AF)</f>
        <v>No</v>
      </c>
      <c r="BU249" s="2" t="str">
        <f>IF(AND(J249&lt;=0.95,OR(_xlfn.XLOOKUP(B249,'Base stats'!B:B,'Base stats'!AK:AK)=1,_xlfn.XLOOKUP(B249,'Base stats'!B:B,'Base stats'!Y:Y)="Carnivore",_xlfn.XLOOKUP(B249,'Base stats'!B:B,'Base stats'!Y:Y)="Omnivore",BE249&gt;0.1)),"true","false")</f>
        <v>false</v>
      </c>
      <c r="BV249" s="2" t="str">
        <f>IF(_xlfn.XLOOKUP(B249,'Base stats'!B:B,'Base stats'!AI:AI)=1,"true","false")</f>
        <v>false</v>
      </c>
      <c r="BW249" s="25" t="str">
        <f>IF(E249="BaseInsect","AnimalInsect",
IF(J249&gt;0.95,"AnimalExotic",
_xlfn.TEXTJOIN(", ",TRUE,
IF(OR(_xlfn.XLOOKUP(B249,'Base stats'!B:B,'Base stats'!AM:AM)=1,AND(_xlfn.XLOOKUP(B249,'Base stats'!B:B,'Base stats'!O:O)=0,_xlfn.XLOOKUP(_xlfn.XLOOKUP(B249,'Base stats'!B:B,'Base stats'!E:E),Groups!A:A,Groups!B:B)&gt;0)),"AnimalUncommon","AnimalCommon"),
IF(AND(_xlfn.XLOOKUP(B249,'Base stats'!B:B,'Base stats'!O:O)=2,_xlfn.XLOOKUP(_xlfn.XLOOKUP(B249,'Base stats'!B:B,'Base stats'!E:E),Groups!A:A,Groups!D:D)=0),"AnimalPet",IF(AND(_xlfn.XLOOKUP(B249,'Base stats'!B:B,'Base stats'!O:O)&lt;&gt;0,_xlfn.XLOOKUP(_xlfn.XLOOKUP(B249,'Base stats'!B:B,'Base stats'!E:E),Groups!A:A,Groups!D:D)&lt;&gt;0),"AnimalFarm","")),
IF(OR(_xlfn.XLOOKUP(B249,'Base stats'!B:B,'Base stats'!AK:AK)=1,AND(BI249&lt;&gt;"None",BR249&gt;=60),ISNUMBER(SEARCH("Attack target",BP249))),"AnimalFighter","")
)))</f>
        <v>AnimalUncommon</v>
      </c>
      <c r="BX249" s="25" t="str">
        <f>IF(G249="None",TRIM(
SUBSTITUTE(
IF(COUNTIF(Biomes!B$2:B$259,"="&amp;$C249)&gt;0,Biomes!B$1&amp;", ","")&amp;
IF(COUNTIF(Biomes!C$2:C$259,"="&amp;$C249)&gt;0,Biomes!C$1&amp;", ","")&amp;
IF(COUNTIF(Biomes!D$2:D$259,"="&amp;$C249)&gt;0,Biomes!D$1&amp;", ","")&amp;
IF(COUNTIF(Biomes!F$2:F$259,"="&amp;$C249)&gt;0,Biomes!F$1&amp;", ","")&amp;
IF(COUNTIF(Biomes!G$2:G$259,"="&amp;$C249)&gt;0,Biomes!G$1&amp;", ","")&amp;
IF(COUNTIF(Biomes!H$2:H$259,"="&amp;$C249)&gt;0,Biomes!H$1&amp;", ","")&amp;
IF(COUNTIF(Biomes!I$2:I$259,"="&amp;$C249)&gt;0,Biomes!I$1&amp;", ","")&amp;
IF(COUNTIF(Biomes!J$2:J$259,"="&amp;$C249)&gt;0,Biomes!J$1&amp;", ","")&amp;
IF(COUNTIF(Biomes!M$2:M$259,"="&amp;$C249)&gt;0,Biomes!M$1&amp;", ","")&amp;
IF(COUNTIF(Biomes!N$2:N$259,"="&amp;$C249)&gt;0,Biomes!N$1&amp;", ","")&amp;
IF(COUNTIF(Biomes!O$2:O$259,"="&amp;$C249)&gt;0,Biomes!O$1&amp;", ","")&amp;
IF(COUNTIF(Biomes!P$2:P$259,"="&amp;$C249)&gt;0,Biomes!P$1&amp;", ","")&amp;
IF(COUNTIF(Biomes!K$2:K$259,"="&amp;$C249)&gt;0,Biomes!K$1&amp;", ","")&amp;
IF(COUNTIF(Biomes!Q$3:Q$259,"="&amp;$C249)&gt;0,Biomes!Q$1&amp;", ","")&amp;
IF(COUNTIF(Biomes!L$2:L$259,"="&amp;$C249)&gt;0,Biomes!L$1&amp;", ","")&amp;
IF(COUNTIF(Biomes!E$2:E$259,"="&amp;$C249)&gt;0,Biomes!E$1&amp;", ","")&amp;IF(COUNTIF(Biomes!S$2:S$259,"="&amp;$C249)&gt;0,Biomes!S$1&amp;", ","")&amp;
IF(COUNTIF(Biomes!R$2:R$259,"="&amp;$C249)&gt;0,Biomes!R$1&amp;", ",""),", ","")
),_xlfn.XLOOKUP(B249,B:B,BX:BX))</f>
        <v>Tundra BorealForest ColdBog TemperateForest TemperateSwamp AridShrubland Desert ExtremeDesert TropicalRainforest TropicalSwamp Grasslands Glowforest LavaField GlacialPlain</v>
      </c>
      <c r="BY249" s="25" t="str">
        <f>IF(_xlfn.XLOOKUP(B249,'Base stats'!B:B,'Base stats'!AJ:AJ)=1,"true","false")</f>
        <v>false</v>
      </c>
      <c r="BZ249" s="25">
        <f>IF(_xlfn.XLOOKUP(B249,'Base stats'!B:B,'Base stats'!N:N)=1,"No",MAX(0.001,MIN(MROUND(IF(AND(BJ249="True",CC249="False"),POWER(10,3.47*LOG10(_xlfn.XLOOKUP(B249,'Base stats'!B:B,'Base stats'!C:C)*1000)^-0.96),POWER(10,4.15*LOG10(_xlfn.XLOOKUP(B249,'Base stats'!B:B,'Base stats'!C:C)*1000)^-0.73))*IF(_xlfn.XLOOKUP(B249,'Base stats'!B:B,'Base stats'!AK:AK)=1,0.5,1)*IF(_xlfn.XLOOKUP(B249,'Base stats'!B:B,'Base stats'!AM:AM)=1,0.1,1)/100,IF(_xlfn.XLOOKUP(B249,'Base stats'!B:B,'Base stats'!AM:AM)=1,0.001,0.025)),0.5)))</f>
        <v>2.9000000000000001E-2</v>
      </c>
      <c r="CA249" s="25" t="str">
        <f>IF(P249="Standard","No",MAX(0.001,MIN(MROUND(IF(AND(BJ249="True",CC249="False"),POWER(10,3.47*LOG10(_xlfn.XLOOKUP(B249,'Base stats'!B:B,'Base stats'!C:C)*1000)^-0.96),POWER(10,4.15*LOG10(_xlfn.XLOOKUP(B249,'Base stats'!B:B,'Base stats'!C:C)*1000)^-0.73))*IF(_xlfn.XLOOKUP(B249,'Base stats'!B:B,'Base stats'!AM:AM)=1,0.1,1)*_xlfn.XLOOKUP(B249,'Base stats'!B:B,'Base stats'!R:R)/100,IF(_xlfn.XLOOKUP(B249,'Base stats'!B:B,'Base stats'!AM:AM)=1,0.001,0.025)),0.5)))</f>
        <v>No</v>
      </c>
      <c r="CB249" s="25" t="str">
        <f>IF(_xlfn.XLOOKUP(_xlfn.XLOOKUP(B249,'Base stats'!B:B,'Base stats'!E:E),Groups!A:A,Groups!AJ:AJ)="Mammal","True","False")</f>
        <v>False</v>
      </c>
      <c r="CC249" s="25" t="str">
        <f>IF(OR(_xlfn.XLOOKUP(_xlfn.XLOOKUP(B249,'Base stats'!B:B,'Base stats'!E:E),Groups!A:A,Groups!AJ:AJ)="Reptile",_xlfn.XLOOKUP(_xlfn.XLOOKUP(B249,'Base stats'!B:B,'Base stats'!E:E),Groups!A:A,Groups!AJ:AJ)="Amphibian",_xlfn.XLOOKUP(_xlfn.XLOOKUP(B249,'Base stats'!B:B,'Base stats'!E:E),Groups!A:A,Groups!AJ:AJ)="Invertebrate"),"True","False")</f>
        <v>True</v>
      </c>
      <c r="CD249" s="25" t="str">
        <f t="shared" si="27"/>
        <v>False</v>
      </c>
      <c r="CE249" s="25" t="str">
        <f>IF(_xlfn.XLOOKUP(_xlfn.XLOOKUP(B249,'Base stats'!B:B,'Base stats'!E:E),Groups!A:A,Groups!AX:AX),"True","False")</f>
        <v>False</v>
      </c>
      <c r="CF249" s="25" t="str">
        <f>IF(_xlfn.XLOOKUP(_xlfn.XLOOKUP(B249,'Base stats'!B:B,'Base stats'!E:E),Groups!A:A,Groups!AY:AY),"True","False")</f>
        <v>False</v>
      </c>
      <c r="CG249" s="25" t="str">
        <f>IF(_xlfn.XLOOKUP(_xlfn.XLOOKUP(B249,'Base stats'!B:B,'Base stats'!E:E),Groups!A:A,Groups!AW:AW),"True","False")</f>
        <v>False</v>
      </c>
      <c r="CH249" s="25" t="str">
        <f>IF(
OR(
_xlfn.XLOOKUP(_xlfn.XLOOKUP(B249,'Base stats'!B:B,'Base stats'!E:E),Groups!A:A,Groups!AZ:AZ)=0,
AND(
_xlfn.XLOOKUP(B249,'Base stats'!B:B,'Base stats'!Y:Y)&lt;&gt;"Carnivore",
_xlfn.XLOOKUP(B249,'Base stats'!B:B,'Base stats'!Y:Y)&lt;&gt;"Omnivore",
_xlfn.XLOOKUP(B249,'Base stats'!B:B,'Base stats'!Y:Y)&lt;&gt;"OmnivoreRough"
)
),
"No",
IF(
_xlfn.XLOOKUP(_xlfn.XLOOKUP(B249,'Base stats'!B:B,'Base stats'!E:E),Groups!A:A,Groups!AZ:AZ)=1,
"Flesh",
IF(
_xlfn.XLOOKUP(_xlfn.XLOOKUP(B249,'Base stats'!B:B,'Base stats'!E:E),Groups!A:A,Groups!AZ:AZ)=2,
"Bone",
""
)
)
)</f>
        <v>Bone</v>
      </c>
      <c r="CI249" s="25" t="str">
        <f>IF(_xlfn.XLOOKUP(_xlfn.XLOOKUP(B249,'Base stats'!B:B,'Base stats'!E:E),Groups!A:A,Groups!BB:BB),"True","False")</f>
        <v>False</v>
      </c>
      <c r="CJ249" s="25" t="str">
        <f>IF(_xlfn.XLOOKUP(_xlfn.XLOOKUP(B249,'Base stats'!B:B,'Base stats'!E:E),Groups!A:A,Groups!BA:BA),"True","False")</f>
        <v>False</v>
      </c>
    </row>
    <row r="250" spans="1:88" ht="16.5" thickTop="1" thickBot="1" x14ac:dyDescent="0.3">
      <c r="A250" s="26" t="s">
        <v>1408</v>
      </c>
      <c r="B250" s="6" t="str">
        <f>_xlfn.XLOOKUP(A250,'Base stats'!A:A,'Base stats'!B:B)</f>
        <v>Bestia nigra</v>
      </c>
      <c r="C250" s="28" t="s">
        <v>1409</v>
      </c>
      <c r="D250" s="28" t="s">
        <v>1341</v>
      </c>
      <c r="E250" s="28" t="s">
        <v>673</v>
      </c>
      <c r="F250" s="28" t="s">
        <v>673</v>
      </c>
      <c r="G250" s="28" t="s">
        <v>673</v>
      </c>
      <c r="H250" s="2">
        <f>MROUND((
  (IF(AND(_xlfn.XLOOKUP(B250,'Base stats'!B:B,'Base stats'!AL:AL)=0,BI250="None",_xlfn.XLOOKUP(_xlfn.XLOOKUP(B250,'Base stats'!B:B,'Base stats'!E:E),Groups!A:A,Groups!B:B)=0), (18 + BR250 * 2.7) * 0.5,
    IF(AND(_xlfn.XLOOKUP(B250,'Base stats'!B:B,'Base stats'!AL:AL)=0,OR(AO250&lt;0.55,AND(BI250="Intermediate",_xlfn.XLOOKUP(_xlfn.XLOOKUP(B250,'Base stats'!B:B,'Base stats'!E:E),Groups!A:A,Groups!B:B)&lt;2))), (18 + BR250 * 2.7),
      IF(OR(BI250="Advanced",_xlfn.XLOOKUP(B250,'Base stats'!B:B,'Base stats'!AL:AL)=1,_xlfn.XLOOKUP(_xlfn.XLOOKUP(B250,'Base stats'!B:B,'Base stats'!E:E),Groups!A:A,Groups!B:B)=2), (18 + BR250 * 2.7) + 250, (18 + BR250 * 2.7))
    )
  ))
  + AO250 * 80
  + IF(COUNTIF(EggMilk!K$2:K$998, A250) &gt; 0, 125, 0)
  + IF(COUNTIF(EggMilk!P$2:P$998, A250) &gt; 0, 90, 0)
  + IF(COUNTIF(EggMilk!A$2:A$998, A250) &gt; 0, 90, 0)
)
* (0.8 + 0.4 * J250)
* 0.75,25)</f>
        <v>1200</v>
      </c>
      <c r="I250" s="2">
        <f>MROUND(ROUNDDOWN(_xlfn.XLOOKUP(B250,'Base stats'!B:B,'Base stats'!L:L)/3.6/(23.3/11),1),0.5)</f>
        <v>7</v>
      </c>
      <c r="J250" s="2">
        <f>IF(OR(_xlfn.XLOOKUP(B250,'Base stats'!B:B,'Base stats'!AB:AB)=1,_xlfn.XLOOKUP(_xlfn.XLOOKUP(B250,'Base stats'!B:B,'Base stats'!E:E),Groups!A:A,Groups!C:C)="Untamable"),1,IF(_xlfn.XLOOKUP(B250,'Base stats'!B:B,'Base stats'!AL:AL)=1,0.99,MIN(MROUND((1-0.6282*EXP(-0.459*AO250))*_xlfn.XLOOKUP(_xlfn.XLOOKUP(B250,'Base stats'!B:B,'Base stats'!E:E),Groups!A:A,Groups!C:C)*IF(_xlfn.XLOOKUP(B250,'Base stats'!B:B,'Base stats'!O:O)=1,0.5,IF(_xlfn.XLOOKUP(B250,'Base stats'!B:B,'Base stats'!O:O)=2,0,1)),0.05),IF(AO250&gt;3.5,0.985,0.95))))</f>
        <v>0.85000000000000009</v>
      </c>
      <c r="K250" s="2">
        <f>ROUNDUP(AO250*_xlfn.XLOOKUP(_xlfn.XLOOKUP(B250,'Base stats'!B:B,'Base stats'!E:E),Groups!A:A,Groups!E:E),0)</f>
        <v>12</v>
      </c>
      <c r="L250" s="2">
        <f>IF(OR(_xlfn.XLOOKUP(_xlfn.XLOOKUP(B250,'Base stats'!B:B,'Base stats'!E:E),Groups!A:A,Groups!F:F)=2,ISNUMBER(SEARCH("SeaIce",BX250)),ISNUMBER(SEARCH("IceSheet",BX250))),-50,IF(OR(ISNUMBER(SEARCH("GlacialPlain",BX250)),ISNUMBER(SEARCH("Tundra",BX250))),-40,IF(OR(ISNUMBER(SEARCH("Alpine",BX250)),ISNUMBER(SEARCH("BorealForest",BX250)),ISNUMBER(SEARCH("ColdBog",BX250))),-30,IF(OR(ISNUMBER(SEARCH("TemperateForest",BX250)),ISNUMBER(SEARCH("TemperateSwamp",BX250))),-20,IF(_xlfn.XLOOKUP(_xlfn.XLOOKUP(B250,'Base stats'!B:B,'Base stats'!E:E),Groups!A:A,Groups!F:F)=1,-15,IF(OR(ISNUMBER(SEARCH("Desert",BX250)),ISNUMBER(SEARCH("ExtremeDesert",BX250))),-10,IF(OR(ISNUMBER(SEARCH("Grasslands",BX250)),ISNUMBER(SEARCH("TropicalRainforest",BX250)),ISNUMBER(SEARCH("TropicalSwamp",BX250))),10,0)))))))-IF(CC250="False",MIN(IFERROR(MAX(MROUND(LOG10(_xlfn.XLOOKUP(B250,'Base stats'!B:B,'Base stats'!C:C)^(2/3))*10,5),5),5),30))-_xlfn.XLOOKUP(B250,'Base stats'!B:B,'Base stats'!P:P)+IF(CC250="True",5,0)</f>
        <v>-65</v>
      </c>
      <c r="M250" s="2">
        <f>IF(OR(_xlfn.XLOOKUP(_xlfn.XLOOKUP(B250,'Base stats'!B:B,'Base stats'!E:E),Groups!A:A,Groups!G:G)=2,ISNUMBER(SEARCH("Desert",BX250)),ISNUMBER(SEARCH("ExtremeDesert",BX250)),ISNUMBER(SEARCH("LavaField",BX250))),50,IF(ISNUMBER(SEARCH("Grasslands",BX250)),45,IF(OR(_xlfn.XLOOKUP(_xlfn.XLOOKUP(B250,'Base stats'!B:B,'Base stats'!E:E),Groups!A:A,Groups!G:G)=1,ISNUMBER(SEARCH("TropicalRainforest",BX250)),ISNUMBER(SEARCH("TropicalSwamp",BX250))),40,IF(OR(ISNUMBER(SEARCH("TemperateForest",BX250)),ISNUMBER(SEARCH("TemperateSwamp",BX250))),35,IF(OR(ISNUMBER(SEARCH("Alpine",BX250)),ISNUMBER(SEARCH("BorealForest",BX250)),ISNUMBER(SEARCH("ColdBog",BX250))),30,IF(ISNUMBER(OR(ISNUMBER(SEARCH("GlacialPlain",BX250)),SEARCH("Tundra",BX250))),25,IF(OR(ISNUMBER(SEARCH("SeaIce",BX250)),ISNUMBER(SEARCH("IceSheet",BX250)),ISNUMBER(SEARCH("TropicalSwamp",BX250))),10,35)))))))+_xlfn.XLOOKUP(B250,'Base stats'!B:B,'Base stats'!Q:Q)</f>
        <v>50</v>
      </c>
      <c r="N250" s="8">
        <f>IF(
_xlfn.XLOOKUP(
_xlfn.XLOOKUP(B250,'Base stats'!B:B,'Base stats'!E:E),
Groups!A:A,
Groups!L:L
)=1,
MIN(
MROUND(
IF(
_xlfn.XLOOKUP(B250,'Animals CE'!B:B,'Animals CE'!Z:Z)&lt;=1.5,
_xlfn.XLOOKUP(B250,'Animals CE'!B:B,'Animals CE'!Z:Z)/2+0.05,
0.8+
(_xlfn.XLOOKUP(B250,'Animals CE'!B:B,'Animals CE'!Z:Z)-1.5)
*0.02
),
0.05
),
200%
),
"No"
)</f>
        <v>0.85000000000000009</v>
      </c>
      <c r="O250" s="8">
        <f>IF(
_xlfn.XLOOKUP(
_xlfn.XLOOKUP(B250,'Base stats'!B:B,'Base stats'!E:E),
Groups!A:A,
Groups!L:L
)=1,
MIN(
MROUND(
IF(
_xlfn.XLOOKUP(B250,'Animals CE'!B:B,'Animals CE'!AA:AA)&lt;=1.5,
_xlfn.XLOOKUP(B250,'Animals CE'!B:B,'Animals CE'!AA:AA)/2+0.05,
0.8+
(_xlfn.XLOOKUP(B250,'Animals CE'!B:B,'Animals CE'!AA:AA)-1.5)
*0.02
),
0.05
),
200%
),
"No"
)</f>
        <v>0.9</v>
      </c>
      <c r="P250" s="2" t="str">
        <f>_xlfn.XLOOKUP(B250,'Base stats'!B:B,'Base stats'!R:R)</f>
        <v>Standard</v>
      </c>
      <c r="Q250" s="13">
        <f>MROUND((LOG10(_xlfn.XLOOKUP(B250,'Base stats'!B:B,'Base stats'!AR:AR))*(AO250^0.5)+(_xlfn.XLOOKUP(B250,'Base stats'!B:B,'Base stats'!AR:AR)/1000)^(2/3)+_xlfn.XLOOKUP(B250,'Base stats'!B:B,'Base stats'!BA:BA)/2)+0.5,0.5)</f>
        <v>13</v>
      </c>
      <c r="R250" s="7">
        <f>IF(Q250="No","No",MAX(1,MROUND(_xlfn.XLOOKUP(B250,'Base stats'!B:B,'Base stats'!C:C)^0.165,0.05)))</f>
        <v>2.5500000000000003</v>
      </c>
      <c r="S250" s="13">
        <f>IF(_xlfn.XLOOKUP(_xlfn.XLOOKUP(B250,'Base stats'!B:B,'Base stats'!E:E),Groups!A:A,Groups!P:P)=0,"No",MROUND((LOG10(_xlfn.XLOOKUP(B250,'Base stats'!B:B,'Base stats'!AS:AS))*(AO250^0.5)+(_xlfn.XLOOKUP(B250,'Base stats'!B:B,'Base stats'!AS:AS)/1000)^(2/3)+_xlfn.XLOOKUP(B250,'Base stats'!B:B,'Base stats'!BA:BA))+_xlfn.XLOOKUP(B250,'Base stats'!B:B,'Base stats'!AY:AY)+0.5,0.5))</f>
        <v>16</v>
      </c>
      <c r="T250" s="7">
        <f>IF(S250="No","No",MAX(_xlfn.XLOOKUP(_xlfn.XLOOKUP(B250,'Base stats'!B:B,'Base stats'!E:E),Groups!A:A,Groups!Q:Q),MROUND(_xlfn.XLOOKUP(_xlfn.XLOOKUP(B250,'Base stats'!B:B,'Base stats'!E:E),Groups!A:A,Groups!Q:Q)*_xlfn.XLOOKUP(B250,'Base stats'!B:B,'Base stats'!C:C)^0.165,0.05)))</f>
        <v>2.3000000000000003</v>
      </c>
      <c r="U250" s="7" t="str">
        <f>IF(S250="No","No",_xlfn.XLOOKUP(_xlfn.XLOOKUP(B250,'Base stats'!B:B,'Base stats'!E:E),Groups!A:A,Groups!R:R))</f>
        <v>FrontLeftLeg, FrontRightLeg</v>
      </c>
      <c r="V250" s="7" t="str">
        <f>IF(S250="No","No",_xlfn.XLOOKUP(_xlfn.XLOOKUP(B250,'Base stats'!B:B,'Base stats'!E:E),Groups!A:A,Groups!S:S))</f>
        <v>left foot, right foot</v>
      </c>
      <c r="W250" s="7" t="str">
        <f>IF(S250="No","No",_xlfn.XLOOKUP(_xlfn.XLOOKUP(B250,'Base stats'!B:B,'Base stats'!E:E),Groups!A:A,Groups!T:T))</f>
        <v>Blunt</v>
      </c>
      <c r="X250" s="13">
        <f>IF(_xlfn.XLOOKUP(B250,'Base stats'!B:B,'Base stats'!W:W)="No","No",MROUND((LOG10(_xlfn.XLOOKUP(B250,'Base stats'!B:B,'Base stats'!AU:AU))*(AO250^0.5)+(_xlfn.XLOOKUP(B250,'Base stats'!B:B,'Base stats'!AU:AU)/1000)^(2/3)+_xlfn.XLOOKUP(B250,'Base stats'!B:B,'Base stats'!AZ:AZ))+0.5+IF(_xlfn.XLOOKUP(_xlfn.XLOOKUP(B250,'Base stats'!B:B,'Base stats'!E:E),Groups!A:A,Groups!U:U)&lt;&gt;3,_xlfn.XLOOKUP(B250,'Base stats'!B:B,'Base stats'!BA:BA),0),0.5))</f>
        <v>20.5</v>
      </c>
      <c r="Y250" s="7">
        <f>IF(X250="No","No",MAX(_xlfn.XLOOKUP(_xlfn.XLOOKUP(B250,'Base stats'!B:B,'Base stats'!E:E),Groups!A:A,Groups!V:V),MROUND(_xlfn.XLOOKUP(_xlfn.XLOOKUP(B250,'Base stats'!B:B,'Base stats'!E:E),Groups!A:A,Groups!V:V)*_xlfn.XLOOKUP(B250,'Base stats'!B:B,'Base stats'!C:C)^0.165,0.05)))</f>
        <v>1.55</v>
      </c>
      <c r="Z250" s="7" t="str">
        <f>IF(X250="No","No",_xlfn.XLOOKUP(_xlfn.XLOOKUP(B250,'Base stats'!B:B,'Base stats'!E:E),Groups!A:A,Groups!W:W))</f>
        <v>HeadAttackTool</v>
      </c>
      <c r="AA250" s="7" t="str">
        <f>IF(X250="No","No",_xlfn.XLOOKUP(_xlfn.XLOOKUP(B250,'Base stats'!B:B,'Base stats'!E:E),Groups!A:A,Groups!X:X))</f>
        <v>horn</v>
      </c>
      <c r="AB250" s="7" t="str">
        <f>IF(X250="No","No",_xlfn.XLOOKUP(_xlfn.XLOOKUP(B250,'Base stats'!B:B,'Base stats'!E:E),Groups!A:A,Groups!Y:Y))</f>
        <v>Scratch</v>
      </c>
      <c r="AC250" s="7" t="str">
        <f>_xlfn.XLOOKUP(Animals!B250,'Base stats'!B:B,'Base stats'!X:X)</f>
        <v>False</v>
      </c>
      <c r="AD250" s="13">
        <f>IF(_xlfn.XLOOKUP(B250,'Base stats'!B:B,'Base stats'!AT:AT)="No","No",MROUND((LOG10(_xlfn.XLOOKUP(B250,'Base stats'!B:B,'Base stats'!AT:AT))*(AO250^0.75)+(_xlfn.XLOOKUP(B250,'Base stats'!B:B,'Base stats'!AT:AT)/1000)^(2/3)+_xlfn.XLOOKUP(B250,'Base stats'!B:B,'Base stats'!AX:AX)+_xlfn.XLOOKUP(B250,'Base stats'!B:B,'Base stats'!BA:BA))+0.5,0.5))</f>
        <v>20.5</v>
      </c>
      <c r="AE250" s="7">
        <f>IF(AD250="No","No",MAX(_xlfn.XLOOKUP(_xlfn.XLOOKUP(B250,'Base stats'!B:B,'Base stats'!E:E),Groups!A:A,Groups!Z:Z),MROUND(_xlfn.XLOOKUP(_xlfn.XLOOKUP(B250,'Base stats'!B:B,'Base stats'!E:E),Groups!A:A,Groups!Z:Z)*_xlfn.XLOOKUP(B250,'Base stats'!B:B,'Base stats'!C:C)^0.165,0.05)))</f>
        <v>2.2000000000000002</v>
      </c>
      <c r="AF250" s="7" t="str">
        <f>IF(AD250="No","No",_xlfn.XLOOKUP(_xlfn.XLOOKUP(B250,'Base stats'!B:B,'Base stats'!E:E),Groups!A:A,Groups!AA:AA))</f>
        <v>Teeth</v>
      </c>
      <c r="AG250" s="7" t="str">
        <f>IF(AD250="No","No",_xlfn.XLOOKUP(_xlfn.XLOOKUP(B250,'Base stats'!B:B,'Base stats'!E:E),Groups!A:A,Groups!AB:AB))</f>
        <v>teeth</v>
      </c>
      <c r="AH250" s="7" t="str">
        <f>IF(AD250="No","No",_xlfn.XLOOKUP(_xlfn.XLOOKUP(B250,'Base stats'!B:B,'Base stats'!E:E),Groups!A:A,Groups!AC:AC))</f>
        <v>Bite</v>
      </c>
      <c r="AI250" s="13" t="str">
        <f>IF(_xlfn.XLOOKUP(_xlfn.XLOOKUP(B250,'Base stats'!B:B,'Base stats'!E:E),Groups!A:A,Groups!AD:AD)=0,"No",MROUND((LOG10(_xlfn.XLOOKUP(B250,'Base stats'!B:B,'Base stats'!AS:AS))*(AO250^0.75)+(_xlfn.XLOOKUP(B250,'Base stats'!B:B,'Base stats'!AS:AS)/1000)^(2/3)+_xlfn.XLOOKUP(B250,'Base stats'!B:B,'Base stats'!AY:AY)+_xlfn.XLOOKUP(B250,'Base stats'!B:B,'Base stats'!BA:BA))+0.5,0.5))</f>
        <v>No</v>
      </c>
      <c r="AJ250" s="7" t="str">
        <f>IF(AI250="No","No",MAX(_xlfn.XLOOKUP(_xlfn.XLOOKUP(B250,'Base stats'!B:B,'Base stats'!E:E),Groups!A:A,Groups!AE:AE),MROUND(_xlfn.XLOOKUP(_xlfn.XLOOKUP(B250,'Base stats'!B:B,'Base stats'!E:E),Groups!A:A,Groups!AE:AE)*IF(_xlfn.XLOOKUP(_xlfn.XLOOKUP(B250,'Base stats'!B:B,'Base stats'!E:E),Groups!A:A,Groups!AJ:AJ)="Photonozoa",0.6,1)*_xlfn.XLOOKUP(B250,'Base stats'!B:B,'Base stats'!C:C)^0.165,0.05)))</f>
        <v>No</v>
      </c>
      <c r="AK250" s="7" t="str">
        <f>IF(AI250="No","No",_xlfn.XLOOKUP(_xlfn.XLOOKUP(B250,'Base stats'!B:B,'Base stats'!E:E),Groups!A:A,Groups!AF:AF))</f>
        <v>No</v>
      </c>
      <c r="AL250" s="7" t="str">
        <f>IF(AI250="No","No",_xlfn.XLOOKUP(_xlfn.XLOOKUP(B250,'Base stats'!B:B,'Base stats'!E:E),Groups!A:A,Groups!AG:AG))</f>
        <v>No</v>
      </c>
      <c r="AM250" s="7" t="str">
        <f>IF(AI250="No","No",_xlfn.XLOOKUP(_xlfn.XLOOKUP(B250,'Base stats'!B:B,'Base stats'!E:E),Groups!A:A,Groups!AH:AH))</f>
        <v>No</v>
      </c>
      <c r="AN250" s="2" t="str">
        <f t="shared" si="21"/>
        <v>No</v>
      </c>
      <c r="AO250" s="2">
        <f>MROUND(IF(AND(_xlfn.XLOOKUP(B250,'Base stats'!B:B,'Base stats'!C:C)&gt;=0.5,_xlfn.XLOOKUP(B250,'Base stats'!B:B,'Base stats'!C:C)&lt;=0.8),
IF(_xlfn.XLOOKUP(B250,'Base stats'!B:B,'Base stats'!C:C)&lt;0.1,0.05,IF(_xlfn.XLOOKUP(B250,'Base stats'!B:B,'Base stats'!C:C)&lt;=70,(_xlfn.XLOOKUP(B250,'Base stats'!B:B,'Base stats'!C:C)/70)^0.426489913056526,IF(_xlfn.XLOOKUP(B250,'Base stats'!B:B,'Base stats'!C:C)&lt;=400,(_xlfn.XLOOKUP(B250,'Base stats'!B:B,'Base stats'!C:C)/70)^0.572811455315093,IF(_xlfn.XLOOKUP(B250,'Base stats'!B:B,'Base stats'!C:C)&lt;=2000,2.71391647193063*(_xlfn.XLOOKUP(B250,'Base stats'!B:B,'Base stats'!C:C)/400)^0.252459582904293,3.74314280240376*(_xlfn.XLOOKUP(B250,'Base stats'!B:B,'Base stats'!C:C)/2000)^0.357012633876913)))),
IF(_xlfn.XLOOKUP(B250,'Base stats'!B:B,'Base stats'!C:C)&lt;0.1,0.05,IF(_xlfn.XLOOKUP(B250,'Base stats'!B:B,'Base stats'!C:C)&lt;0.4,0.1,IF(_xlfn.XLOOKUP(B250,'Base stats'!B:B,'Base stats'!C:C)&lt;=70,(_xlfn.XLOOKUP(B250,'Base stats'!B:B,'Base stats'!C:C)/70)^0.445823913056526,IF(_xlfn.XLOOKUP(B250,'Base stats'!B:B,'Base stats'!C:C)&lt;=400,(_xlfn.XLOOKUP(B250,'Base stats'!B:B,'Base stats'!C:C)/70)^0.572811455315093,IF(_xlfn.XLOOKUP(B250,'Base stats'!B:B,'Base stats'!C:C)&lt;=2000,2.71391647193063*(_xlfn.XLOOKUP(B250,'Base stats'!B:B,'Base stats'!C:C)/400)^0.252459582904293,3.74314280240376*(_xlfn.XLOOKUP(B250,'Base stats'!B:B,'Base stats'!C:C)/2000)^0.357012633876913)))))),
IF(_xlfn.XLOOKUP(B250,'Base stats'!B:B,'Base stats'!C:C)&lt;0.1,0.05,IF(_xlfn.XLOOKUP(B250,'Base stats'!B:B,'Base stats'!C:C)&lt;=100,0.05,IF(_xlfn.XLOOKUP(B250,'Base stats'!B:B,'Base stats'!C:C)&lt;=250,0.1,IF(_xlfn.XLOOKUP(B250,'Base stats'!B:B,'Base stats'!C:C)&lt;=4000,0.25,0.5)))))</f>
        <v>2.25</v>
      </c>
      <c r="AP250" s="8">
        <f>MROUND(AO250*_xlfn.XLOOKUP(_xlfn.XLOOKUP(B250,'Base stats'!B:B,'Base stats'!E:E),Groups!A:A,Groups!AI:AI)*_xlfn.XLOOKUP(B250,'Base stats'!B:B,'Base stats'!Z:Z),0.05)</f>
        <v>3.4000000000000004</v>
      </c>
      <c r="AQ250" s="8">
        <f>MAX(0.01,MROUND(IF(CC250="True",0.196*(AO250*100*1000)^0.889,IF(_xlfn.XLOOKUP(_xlfn.XLOOKUP(B250,'Base stats'!B:B,'Base stats'!E:E),Groups!A:A,Groups!AJ:AJ)="Bird",10.5*(AO250*100*1000)^0.681,4.82*(AO250*100*1000)^0.734))/(4.82*(1*100*1000)^0.734)/IF(AO250&lt;3.5,2,IF(AO250=3.5,1.5,1.25))*(1+0.132282374779864/(AO250^0.994035016789033+0.00905238001496948)),0.05))</f>
        <v>0.95000000000000007</v>
      </c>
      <c r="AR250" s="9">
        <f>IFERROR(MROUND(_xlfn.XLOOKUP(B250,'Base stats'!B:B,'Base stats'!H:H)/IF(_xlfn.XLOOKUP(B250,'Base stats'!B:B,'Base stats'!I:I)&lt;&gt;1,(122.5/70),1.2),IF(_xlfn.XLOOKUP(B250,'Base stats'!B:B,'Base stats'!H:H)&gt;=30,5,IF(_xlfn.XLOOKUP(B250,'Base stats'!B:B,'Base stats'!H:H)&gt;=15,3,IF(_xlfn.XLOOKUP(B250,'Base stats'!B:B,'Base stats'!H:H)&gt;=10,2,1)))),"Immortal")</f>
        <v>21</v>
      </c>
      <c r="AS250" s="35">
        <f>IFERROR(IF(OR(_xlfn.XLOOKUP(B250,'Base stats'!B:B,'Base stats'!F:F)="Atypical reproduction",_xlfn.XLOOKUP(B250,'Base stats'!B:B,'Base stats'!F:F)="Lay eggs"),"Lay eggs",MIN(20,MAX(5.5,ROUND(((_xlfn.XLOOKUP(B250,'Base stats'!B:B,'Base stats'!F:F)-25)*(14.5/615) + 5.5)*2,0)/2))),"Unknown")</f>
        <v>10</v>
      </c>
      <c r="AT250" s="8">
        <f>IF(_xlfn.XLOOKUP(B250,'Base stats'!B:B,'Base stats'!G:G)="Atypical reproduction","No",IFERROR(MAX(IF(_xlfn.XLOOKUP(B250,'Base stats'!B:B,'Base stats'!G:G)&lt;0.5,0.2,0.3),MROUND(_xlfn.XLOOKUP(B250,'Base stats'!B:B,'Base stats'!G:G)/(365/60),0.2)),"Unknown"))</f>
        <v>0.3</v>
      </c>
      <c r="AU250" s="8">
        <f t="shared" si="22"/>
        <v>0.15000000000000002</v>
      </c>
      <c r="AV250" s="8">
        <f>IFERROR(IFERROR(MROUND(_xlfn.XLOOKUP(B250,'Base stats'!B:B,'Base stats'!J:J),0.1),"Lay eggs"),"Cannot breed")</f>
        <v>1</v>
      </c>
      <c r="AW250" s="2" t="str">
        <f t="shared" si="23"/>
        <v>false</v>
      </c>
      <c r="AX250" s="2" t="str">
        <f>IF(_xlfn.XLOOKUP(_xlfn.XLOOKUP(Animals!B250,'Base stats'!B:B,'Base stats'!E:E),Groups!A:A,Groups!AK:AK)=1,"true","false")</f>
        <v>false</v>
      </c>
      <c r="AY250" s="25" t="str">
        <f>IF(_xlfn.XLOOKUP(B250,'Base stats'!B:B,'Base stats'!Y:Y)="Liquor","Liquor, CarnivoreAnimalStrict",IF(AND(_xlfn.XLOOKUP(B250,'Base stats'!B:B,'Base stats'!Y:Y)="Carnivore",_xlfn.XLOOKUP(_xlfn.XLOOKUP(B250,'Base stats'!B:B,'Base stats'!E:E),Groups!A:A,Groups!AJ:AJ)="Photonozoa"),"CarnivoreAnimalStrict, OvivoreAnimal",IF(_xlfn.XLOOKUP(B250,'Base stats'!B:B,'Base stats'!Y:Y)="Carnivore","CarnivoreAnimal, OvivoreAnimal",IF(_xlfn.XLOOKUP(B250,'Base stats'!B:B,'Base stats'!Y:Y)="Dendrovore","VegetarianRoughAnimal, DendrovoreAnimal",IF(_xlfn.XLOOKUP(B250,'Base stats'!B:B,'Base stats'!Y:Y)="Herbivore","VegetarianRoughAnimal",IF(_xlfn.XLOOKUP(B250,'Base stats'!B:B,'Base stats'!Y:Y)="OmnivoreRough","OmnivoreRoughAnimal, OvivoreAnimal","OmnivoreAnimal, OvivoreAnimal"))))))</f>
        <v>VegetarianRoughAnimal</v>
      </c>
      <c r="AZ250" s="2" t="str">
        <f>IF(_xlfn.XLOOKUP(_xlfn.XLOOKUP(B250,'Base stats'!B:B,'Base stats'!E:E),Groups!A:A,Groups!D:D)=1,MROUND((1-J250)*5+1,2)*IF(J250&lt;=0.4,2,1),"No")</f>
        <v>No</v>
      </c>
      <c r="BA250" s="2" t="str">
        <f>IF(AND(_xlfn.XLOOKUP(B250,'Base stats'!B:B,'Base stats'!AH:AH)="&lt;li&gt;Seal&lt;/li&gt;",G250="Odyssey"),"&lt;li&gt;AEXP_Seal&lt;/li&gt;",_xlfn.XLOOKUP(B250,'Base stats'!B:B,'Base stats'!AH:AH))</f>
        <v>&lt;li&gt;Thrumbo&lt;/li&gt;</v>
      </c>
      <c r="BB250" s="2" t="str">
        <f>_xlfn.XLOOKUP(B250,'Base stats'!B:B,'Base stats'!AG:AG)</f>
        <v>Leather_Thrumbo</v>
      </c>
      <c r="BC250" s="23" t="str">
        <f>_xlfn.XLOOKUP(_xlfn.XLOOKUP(B250,'Base stats'!B:B,'Base stats'!E:E),Groups!A:A,Groups!AL:AL)</f>
        <v>QuadrupedAnimalWithHoovesTailAndHorn</v>
      </c>
      <c r="BD250" s="23">
        <f>MIN(1,MROUND(IF(AND(AO250&lt;0.5,_xlfn.XLOOKUP(B250,'Base stats'!B:B,'Base stats'!AA:AA)=0),0,IF(OR(_xlfn.XLOOKUP(Animals!B250,'Base stats'!B:B,'Base stats'!O:O)=2,_xlfn.XLOOKUP(_xlfn.XLOOKUP(B250,'Base stats'!B:B,'Base stats'!E:E),Groups!A:A,Groups!AN:AN)=0),0,_xlfn.XLOOKUP(_xlfn.XLOOKUP(B250,'Base stats'!B:B,'Base stats'!E:E),Groups!A:A,Groups!AN:AN)/IF(_xlfn.XLOOKUP(Animals!B250,'Base stats'!B:B,'Base stats'!O:O)=1,2,1)))+_xlfn.XLOOKUP(B250,'Base stats'!B:B,'Base stats'!AC:AC),0.005))</f>
        <v>0.1</v>
      </c>
      <c r="BE250" s="23">
        <f>MIN(1,MROUND(IF(AND(AO250&lt;0.5,_xlfn.XLOOKUP(B250,'Base stats'!B:B,'Base stats'!AA:AA)=0),0,IF(_xlfn.XLOOKUP(_xlfn.XLOOKUP(B250,'Base stats'!B:B,'Base stats'!E:E),Groups!A:A,Groups!AO:AO)=0,0,_xlfn.XLOOKUP(_xlfn.XLOOKUP(B250,'Base stats'!B:B,'Base stats'!E:E),Groups!A:A,Groups!AO:AO)/IF(_xlfn.XLOOKUP(Animals!B250,'Base stats'!B:B,'Base stats'!O:O)=2,3,1)))+_xlfn.XLOOKUP(B250,'Base stats'!B:B,'Base stats'!AD:AD),0.005))</f>
        <v>0.3</v>
      </c>
      <c r="BF250" s="2" t="str">
        <f>IF(J250&gt;0.3,"No",_xlfn.XLOOKUP(_xlfn.XLOOKUP(Animals!B250,'Base stats'!B:B,'Base stats'!E:E),Groups!A:A,Groups!AP:AP))</f>
        <v>No</v>
      </c>
      <c r="BG250" s="2" t="str">
        <f>IF(AND(J250&lt;=0.65,_xlfn.XLOOKUP(_xlfn.XLOOKUP(Animals!B250,'Base stats'!B:B,'Base stats'!E:E),Groups!A:A,Groups!AP:AP)&lt;&gt;"No",_xlfn.XLOOKUP(_xlfn.XLOOKUP(B250,'Base stats'!B:B,'Base stats'!E:E),Groups!A:A,Groups!D:D)=0),MROUND((80/3)*IF(_xlfn.XLOOKUP(B250,'Base stats'!B:B,'Base stats'!O:O)=2,0.2,AO250) + 24*(1-IF(BF250="No",0,BF250)) + 16/3, 12),"No")</f>
        <v>No</v>
      </c>
      <c r="BH250" s="2">
        <f>IF(AND(_xlfn.XLOOKUP(_xlfn.XLOOKUP(B250,'Base stats'!B:B,'Base stats'!E:E),Groups!A:A,Groups!AQ:AQ)=1,AO250&lt;=0.35),8,12)</f>
        <v>12</v>
      </c>
      <c r="BI250" s="2" t="str">
        <f>IF(_xlfn.XLOOKUP(_xlfn.XLOOKUP(B250,'Base stats'!B:B,'Base stats'!E:E),Groups!A:A,Groups!D:D)=0,_xlfn.XLOOKUP(_xlfn.XLOOKUP(B250,'Base stats'!B:B,'Base stats'!E:E),Groups!A:A,Groups!AR:AR),"None")</f>
        <v>Advanced</v>
      </c>
      <c r="BJ250" s="2" t="str">
        <f>IF(AND(_xlfn.XLOOKUP(_xlfn.XLOOKUP(B250,'Base stats'!B:B,'Base stats'!E:E),Groups!A:A,Groups!AS:AS)=1,OR(_xlfn.XLOOKUP(B250,'Base stats'!B:B,'Base stats'!Y:Y)="Carnivore",_xlfn.XLOOKUP(B250,'Base stats'!B:B,'Base stats'!Y:Y)="Omnivore")),"true","false")</f>
        <v>false</v>
      </c>
      <c r="BK250" s="2" t="str">
        <f>IF(BJ250="true",MROUND(IF(AND(AO250&gt;0.5,OR(_xlfn.XLOOKUP(_xlfn.XLOOKUP(B250,'Base stats'!B:B,'Base stats'!E:E),Groups!A:A,Groups!AJ:AJ)="Photonozoa",_xlfn.XLOOKUP(_xlfn.XLOOKUP(B250,'Base stats'!B:B,'Base stats'!E:E),Groups!A:A,Groups!AJ:AJ)="Mammal")),Animals!AO250*1.75*IF(AW250="true",1.5,1),IF(AO250&lt;0.5,Animals!AO250*0.5,Animals!AO250)),IF(AO250&gt;2,0.5,IF(AO250&gt;0.5,0.25,0.1))),"No")</f>
        <v>No</v>
      </c>
      <c r="BL250" s="2">
        <f t="shared" si="24"/>
        <v>1</v>
      </c>
      <c r="BM250" s="25" t="str">
        <f>IF(_xlfn.XLOOKUP(B250,'Base stats'!B:B,'Base stats'!AN:AN)="Standard","No",MROUND((_xlfn.XLOOKUP(B250,'Base stats'!B:B,'Base stats'!AN:AN)/3.6)/I250,0.1))</f>
        <v>No</v>
      </c>
      <c r="BN250" s="25" t="str">
        <f t="shared" si="25"/>
        <v>false</v>
      </c>
      <c r="BO250" s="25" t="str">
        <f>IF(AND(OR(_xlfn.XLOOKUP(B250,'Base stats'!B:B,'Base stats'!Y:Y)="Carnivore",_xlfn.XLOOKUP(B250,'Base stats'!B:B,'Base stats'!Y:Y)="Omnivore",_xlfn.XLOOKUP(B250,'Base stats'!B:B,'Base stats'!Y:Y)="OmnivoreRough"),_xlfn.XLOOKUP(_xlfn.XLOOKUP(B250,'Base stats'!B:B,'Base stats'!E:E),Groups!A:A,Groups!AT:AT)=1),"true","false")</f>
        <v>false</v>
      </c>
      <c r="BP250" s="25" t="str" cm="1">
        <f t="array" ref="BP250">IF(
  _xlfn.TEXTJOIN(", ",TRUE,
    IF(AND(BJ250="true",AO250&gt;0.5,BI250&lt;&gt;"None"),"AttackTarget",""),
    IF(AND(_xlfn.XLOOKUP(_xlfn.XLOOKUP(B250,'Base stats'!B:B,'Base stats'!E:E),Groups!A:A,Groups!AJ:AJ="Mammal"),OR(_xlfn.XLOOKUP(B250,'Base stats'!B:B,'Base stats'!Y:Y)="Omnivore",_xlfn.XLOOKUP(B250,'Base stats'!B:B,'Base stats'!Y:Y)="OmnivoreRough")),"Forage",""),
    IF(BG250&lt;=36,"Comfort",""),
    IF(_xlfn.XLOOKUP(B250,'Base stats'!B:B,'Base stats'!AE:AE)&lt;&gt;"No",_xlfn.XLOOKUP(B250,'Base stats'!B:B,'Base stats'!AE:AE),"")
  ) = "",
  "No",
  _xlfn.TEXTJOIN(", ",TRUE,
    IF(AND(BJ250="true",AO250&gt;0.5,BI250&lt;&gt;"None"),"AttackTarget",""),
    IF(AND(_xlfn.XLOOKUP(_xlfn.XLOOKUP(B250,'Base stats'!B:B,'Base stats'!E:E),Groups!A:A,Groups!AJ:AJ="Mammal"),OR(_xlfn.XLOOKUP(B250,'Base stats'!B:B,'Base stats'!Y:Y)="Omnivore",_xlfn.XLOOKUP(B250,'Base stats'!B:B,'Base stats'!Y:Y)="OmnivoreRough")),"Forage",""),
    IF(BG250&lt;=36,"Comfort",""),
    IF(_xlfn.XLOOKUP(B250,'Base stats'!B:B,'Base stats'!AE:AE)&lt;&gt;"No",_xlfn.XLOOKUP(B250,'Base stats'!B:B,'Base stats'!AE:AE),"")
  )
)</f>
        <v>No</v>
      </c>
      <c r="BQ250" s="25" t="str">
        <f>IF(
   AND(
      'Base stats'!AN250="Standard",_xlfn.XLOOKUP(_xlfn.XLOOKUP(B250,'Base stats'!B:B,'Base stats'!E:E),Groups!A:A,Groups!AU:AU)=0,
      OR(
      BO250="True"
      )
   ),
   10,
   IF(
       OR(BM250&lt;&gt;"No",_xlfn.XLOOKUP(_xlfn.XLOOKUP(B250,'Base stats'!B:B,'Base stats'!E:E),Groups!A:A,Groups!AU:AU)=1),
      1,
      "No"
   )
)</f>
        <v>No</v>
      </c>
      <c r="BR250" s="9">
        <f>MROUND((1 + ((0.2*IF(OR(Q250="No",R250="No",R250=0),0,Q250/R250)
+IF(OR(V250="No",S250="No",T250="No"),0,S250/T250*(LEN(V250)-LEN(SUBSTITUTE(V250,",",""))+1))
+IF(OR(X250="No",Y250="No"),0,X250/Y250)
+IF(OR(AD250="No",AE250="No"),0,AD250/AE250)
+IF(OR(AL250="No",AI250="No",AJ250="No"),0,AI250/AJ250*(LEN(AL250)-LEN(SUBSTITUTE(AL250,",",""))+1))
)/(0.2*IF(OR(Q250="No",R250="No",R250=0),0,1)
+IF(OR(V250="No",S250="No",T250="No"),0,LEN(V250)-LEN(SUBSTITUTE(V250,",",""))+1)
+IF(OR(X250="No",Y250="No"),0,1)
+IF(OR(AD250="No",AE250="No"),0,1)
+IF(OR(AL250="No",AI250="No",AJ250="No"),0,LEN(AL250)-LEN(SUBSTITUTE(AL250,",",""))+1))*62%)* 2)*(1 + (AP250 / (IF(_xlfn.XLOOKUP(_xlfn.XLOOKUP(B250,'Base stats'!B:B,'Base stats'!E:E),Groups!A:A,Groups!AJ:AJ)="Photonozoa",0.3,1)) + _xlfn.XLOOKUP(B250,'Base stats'!B:B,'Base stats'!AV:AV) * 1.8) * 2) * 2.5 + 10 + I250 * 2,5)+IF(_xlfn.XLOOKUP(B250,'Base stats'!B:B,'Base stats'!AK:AK)=1,50,0)</f>
        <v>355</v>
      </c>
      <c r="BS250" s="8">
        <f t="shared" si="26"/>
        <v>1.2000000000000002</v>
      </c>
      <c r="BT250" s="8" t="str">
        <f>_xlfn.XLOOKUP(B250,'Base stats'!B:B,'Base stats'!AF:AF)</f>
        <v>No</v>
      </c>
      <c r="BU250" s="2" t="str">
        <f>IF(AND(J250&lt;=0.95,OR(_xlfn.XLOOKUP(B250,'Base stats'!B:B,'Base stats'!AK:AK)=1,_xlfn.XLOOKUP(B250,'Base stats'!B:B,'Base stats'!Y:Y)="Carnivore",_xlfn.XLOOKUP(B250,'Base stats'!B:B,'Base stats'!Y:Y)="Omnivore",BE250&gt;0.1)),"true","false")</f>
        <v>true</v>
      </c>
      <c r="BV250" s="2" t="str">
        <f>IF(_xlfn.XLOOKUP(B250,'Base stats'!B:B,'Base stats'!AI:AI)=1,"true","false")</f>
        <v>false</v>
      </c>
      <c r="BW250" s="25" t="str">
        <f>IF(E250="BaseInsect","AnimalInsect",
IF(J250&gt;0.95,"AnimalExotic",
_xlfn.TEXTJOIN(", ",TRUE,
IF(OR(_xlfn.XLOOKUP(B250,'Base stats'!B:B,'Base stats'!AM:AM)=1,AND(_xlfn.XLOOKUP(B250,'Base stats'!B:B,'Base stats'!O:O)=0,_xlfn.XLOOKUP(_xlfn.XLOOKUP(B250,'Base stats'!B:B,'Base stats'!E:E),Groups!A:A,Groups!B:B)&gt;0)),"AnimalUncommon","AnimalCommon"),
IF(AND(_xlfn.XLOOKUP(B250,'Base stats'!B:B,'Base stats'!O:O)=2,_xlfn.XLOOKUP(_xlfn.XLOOKUP(B250,'Base stats'!B:B,'Base stats'!E:E),Groups!A:A,Groups!D:D)=0),"AnimalPet",IF(AND(_xlfn.XLOOKUP(B250,'Base stats'!B:B,'Base stats'!O:O)&lt;&gt;0,_xlfn.XLOOKUP(_xlfn.XLOOKUP(B250,'Base stats'!B:B,'Base stats'!E:E),Groups!A:A,Groups!D:D)&lt;&gt;0),"AnimalFarm","")),
IF(OR(_xlfn.XLOOKUP(B250,'Base stats'!B:B,'Base stats'!AK:AK)=1,AND(BI250&lt;&gt;"None",BR250&gt;=60),ISNUMBER(SEARCH("Attack target",BP250))),"AnimalFighter","")
)))</f>
        <v>AnimalUncommon, AnimalFighter</v>
      </c>
      <c r="BX250" s="25" t="str">
        <f>IF(G250="None",TRIM(
SUBSTITUTE(
IF(COUNTIF(Biomes!B$2:B$259,"="&amp;$C250)&gt;0,Biomes!B$1&amp;", ","")&amp;
IF(COUNTIF(Biomes!C$2:C$259,"="&amp;$C250)&gt;0,Biomes!C$1&amp;", ","")&amp;
IF(COUNTIF(Biomes!D$2:D$259,"="&amp;$C250)&gt;0,Biomes!D$1&amp;", ","")&amp;
IF(COUNTIF(Biomes!F$2:F$259,"="&amp;$C250)&gt;0,Biomes!F$1&amp;", ","")&amp;
IF(COUNTIF(Biomes!G$2:G$259,"="&amp;$C250)&gt;0,Biomes!G$1&amp;", ","")&amp;
IF(COUNTIF(Biomes!H$2:H$259,"="&amp;$C250)&gt;0,Biomes!H$1&amp;", ","")&amp;
IF(COUNTIF(Biomes!I$2:I$259,"="&amp;$C250)&gt;0,Biomes!I$1&amp;", ","")&amp;
IF(COUNTIF(Biomes!J$2:J$259,"="&amp;$C250)&gt;0,Biomes!J$1&amp;", ","")&amp;
IF(COUNTIF(Biomes!M$2:M$259,"="&amp;$C250)&gt;0,Biomes!M$1&amp;", ","")&amp;
IF(COUNTIF(Biomes!N$2:N$259,"="&amp;$C250)&gt;0,Biomes!N$1&amp;", ","")&amp;
IF(COUNTIF(Biomes!O$2:O$259,"="&amp;$C250)&gt;0,Biomes!O$1&amp;", ","")&amp;
IF(COUNTIF(Biomes!P$2:P$259,"="&amp;$C250)&gt;0,Biomes!P$1&amp;", ","")&amp;
IF(COUNTIF(Biomes!K$2:K$259,"="&amp;$C250)&gt;0,Biomes!K$1&amp;", ","")&amp;
IF(COUNTIF(Biomes!Q$3:Q$259,"="&amp;$C250)&gt;0,Biomes!Q$1&amp;", ","")&amp;
IF(COUNTIF(Biomes!L$2:L$259,"="&amp;$C250)&gt;0,Biomes!L$1&amp;", ","")&amp;
IF(COUNTIF(Biomes!E$2:E$259,"="&amp;$C250)&gt;0,Biomes!E$1&amp;", ","")&amp;IF(COUNTIF(Biomes!S$2:S$259,"="&amp;$C250)&gt;0,Biomes!S$1&amp;", ","")&amp;
IF(COUNTIF(Biomes!R$2:R$259,"="&amp;$C250)&gt;0,Biomes!R$1&amp;", ",""),", ","")
),_xlfn.XLOOKUP(B250,B:B,BX:BX))</f>
        <v>SeaIce IceSheet Tundra BorealForest ColdBog TemperateForest TemperateSwamp AridShrubland Desert ExtremeDesert TropicalRainforest TropicalSwamp Grasslands Glowforest LavaField GlacialPlain Scarlands</v>
      </c>
      <c r="BY250" s="25" t="str">
        <f>IF(_xlfn.XLOOKUP(B250,'Base stats'!B:B,'Base stats'!AJ:AJ)=1,"true","false")</f>
        <v>false</v>
      </c>
      <c r="BZ250" s="25">
        <f>IF(_xlfn.XLOOKUP(B250,'Base stats'!B:B,'Base stats'!N:N)=1,"No",MAX(0.001,MIN(MROUND(IF(AND(BJ250="True",CC250="False"),POWER(10,3.47*LOG10(_xlfn.XLOOKUP(B250,'Base stats'!B:B,'Base stats'!C:C)*1000)^-0.96),POWER(10,4.15*LOG10(_xlfn.XLOOKUP(B250,'Base stats'!B:B,'Base stats'!C:C)*1000)^-0.73))*IF(_xlfn.XLOOKUP(B250,'Base stats'!B:B,'Base stats'!AK:AK)=1,0.5,1)*IF(_xlfn.XLOOKUP(B250,'Base stats'!B:B,'Base stats'!AM:AM)=1,0.1,1)/100,IF(_xlfn.XLOOKUP(B250,'Base stats'!B:B,'Base stats'!AM:AM)=1,0.001,0.025)),0.5)))</f>
        <v>1.6E-2</v>
      </c>
      <c r="CA250" s="25" t="str">
        <f>IF(P250="Standard","No",MAX(0.001,MIN(MROUND(IF(AND(BJ250="True",CC250="False"),POWER(10,3.47*LOG10(_xlfn.XLOOKUP(B250,'Base stats'!B:B,'Base stats'!C:C)*1000)^-0.96),POWER(10,4.15*LOG10(_xlfn.XLOOKUP(B250,'Base stats'!B:B,'Base stats'!C:C)*1000)^-0.73))*IF(_xlfn.XLOOKUP(B250,'Base stats'!B:B,'Base stats'!AM:AM)=1,0.1,1)*_xlfn.XLOOKUP(B250,'Base stats'!B:B,'Base stats'!R:R)/100,IF(_xlfn.XLOOKUP(B250,'Base stats'!B:B,'Base stats'!AM:AM)=1,0.001,0.025)),0.5)))</f>
        <v>No</v>
      </c>
      <c r="CB250" s="25" t="str">
        <f>IF(_xlfn.XLOOKUP(_xlfn.XLOOKUP(B250,'Base stats'!B:B,'Base stats'!E:E),Groups!A:A,Groups!AJ:AJ)="Mammal","True","False")</f>
        <v>True</v>
      </c>
      <c r="CC250" s="25" t="str">
        <f>IF(OR(_xlfn.XLOOKUP(_xlfn.XLOOKUP(B250,'Base stats'!B:B,'Base stats'!E:E),Groups!A:A,Groups!AJ:AJ)="Reptile",_xlfn.XLOOKUP(_xlfn.XLOOKUP(B250,'Base stats'!B:B,'Base stats'!E:E),Groups!A:A,Groups!AJ:AJ)="Amphibian",_xlfn.XLOOKUP(_xlfn.XLOOKUP(B250,'Base stats'!B:B,'Base stats'!E:E),Groups!A:A,Groups!AJ:AJ)="Invertebrate"),"True","False")</f>
        <v>False</v>
      </c>
      <c r="CD250" s="25" t="str">
        <f t="shared" si="27"/>
        <v>False</v>
      </c>
      <c r="CE250" s="25" t="str">
        <f>IF(_xlfn.XLOOKUP(_xlfn.XLOOKUP(B250,'Base stats'!B:B,'Base stats'!E:E),Groups!A:A,Groups!AX:AX),"True","False")</f>
        <v>False</v>
      </c>
      <c r="CF250" s="25" t="str">
        <f>IF(_xlfn.XLOOKUP(_xlfn.XLOOKUP(B250,'Base stats'!B:B,'Base stats'!E:E),Groups!A:A,Groups!AY:AY),"True","False")</f>
        <v>False</v>
      </c>
      <c r="CG250" s="25" t="str">
        <f>IF(_xlfn.XLOOKUP(_xlfn.XLOOKUP(B250,'Base stats'!B:B,'Base stats'!E:E),Groups!A:A,Groups!AW:AW),"True","False")</f>
        <v>False</v>
      </c>
      <c r="CH250" s="25" t="str">
        <f>IF(
OR(
_xlfn.XLOOKUP(_xlfn.XLOOKUP(B250,'Base stats'!B:B,'Base stats'!E:E),Groups!A:A,Groups!AZ:AZ)=0,
AND(
_xlfn.XLOOKUP(B250,'Base stats'!B:B,'Base stats'!Y:Y)&lt;&gt;"Carnivore",
_xlfn.XLOOKUP(B250,'Base stats'!B:B,'Base stats'!Y:Y)&lt;&gt;"Omnivore",
_xlfn.XLOOKUP(B250,'Base stats'!B:B,'Base stats'!Y:Y)&lt;&gt;"OmnivoreRough"
)
),
"No",
IF(
_xlfn.XLOOKUP(_xlfn.XLOOKUP(B250,'Base stats'!B:B,'Base stats'!E:E),Groups!A:A,Groups!AZ:AZ)=1,
"Flesh",
IF(
_xlfn.XLOOKUP(_xlfn.XLOOKUP(B250,'Base stats'!B:B,'Base stats'!E:E),Groups!A:A,Groups!AZ:AZ)=2,
"Bone",
""
)
)
)</f>
        <v>No</v>
      </c>
      <c r="CI250" s="25" t="str">
        <f>IF(_xlfn.XLOOKUP(_xlfn.XLOOKUP(B250,'Base stats'!B:B,'Base stats'!E:E),Groups!A:A,Groups!BB:BB),"True","False")</f>
        <v>True</v>
      </c>
      <c r="CJ250" s="25" t="str">
        <f>IF(_xlfn.XLOOKUP(_xlfn.XLOOKUP(B250,'Base stats'!B:B,'Base stats'!E:E),Groups!A:A,Groups!BA:BA),"True","False")</f>
        <v>False</v>
      </c>
    </row>
    <row r="251" spans="1:88" ht="16.5" thickTop="1" thickBot="1" x14ac:dyDescent="0.3">
      <c r="A251" s="26" t="s">
        <v>1406</v>
      </c>
      <c r="B251" s="6" t="str">
        <f>_xlfn.XLOOKUP(A251,'Base stats'!A:A,'Base stats'!B:B)</f>
        <v>Vandalis tenebrosus</v>
      </c>
      <c r="C251" s="28" t="s">
        <v>1407</v>
      </c>
      <c r="D251" s="28" t="s">
        <v>1341</v>
      </c>
      <c r="E251" s="28" t="s">
        <v>673</v>
      </c>
      <c r="F251" s="28" t="s">
        <v>673</v>
      </c>
      <c r="G251" s="28" t="s">
        <v>673</v>
      </c>
      <c r="H251" s="2">
        <f>MROUND((
  (IF(AND(_xlfn.XLOOKUP(B251,'Base stats'!B:B,'Base stats'!AL:AL)=0,BI251="None",_xlfn.XLOOKUP(_xlfn.XLOOKUP(B251,'Base stats'!B:B,'Base stats'!E:E),Groups!A:A,Groups!B:B)=0), (18 + BR251 * 2.7) * 0.5,
    IF(AND(_xlfn.XLOOKUP(B251,'Base stats'!B:B,'Base stats'!AL:AL)=0,OR(AO251&lt;0.55,AND(BI251="Intermediate",_xlfn.XLOOKUP(_xlfn.XLOOKUP(B251,'Base stats'!B:B,'Base stats'!E:E),Groups!A:A,Groups!B:B)&lt;2))), (18 + BR251 * 2.7),
      IF(OR(BI251="Advanced",_xlfn.XLOOKUP(B251,'Base stats'!B:B,'Base stats'!AL:AL)=1,_xlfn.XLOOKUP(_xlfn.XLOOKUP(B251,'Base stats'!B:B,'Base stats'!E:E),Groups!A:A,Groups!B:B)=2), (18 + BR251 * 2.7) + 250, (18 + BR251 * 2.7))
    )
  ))
  + AO251 * 80
  + IF(COUNTIF(EggMilk!K$2:K$998, A251) &gt; 0, 125, 0)
  + IF(COUNTIF(EggMilk!P$2:P$998, A251) &gt; 0, 90, 0)
  + IF(COUNTIF(EggMilk!A$2:A$998, A251) &gt; 0, 90, 0)
)
* (0.8 + 0.4 * J251)
* 0.75,25)</f>
        <v>800</v>
      </c>
      <c r="I251" s="2">
        <f>MROUND(ROUNDDOWN(_xlfn.XLOOKUP(B251,'Base stats'!B:B,'Base stats'!L:L)/3.6/(23.3/11),1),0.5)</f>
        <v>7</v>
      </c>
      <c r="J251" s="2">
        <f>IF(OR(_xlfn.XLOOKUP(B251,'Base stats'!B:B,'Base stats'!AB:AB)=1,_xlfn.XLOOKUP(_xlfn.XLOOKUP(B251,'Base stats'!B:B,'Base stats'!E:E),Groups!A:A,Groups!C:C)="Untamable"),1,IF(_xlfn.XLOOKUP(B251,'Base stats'!B:B,'Base stats'!AL:AL)=1,0.99,MIN(MROUND((1-0.6282*EXP(-0.459*AO251))*_xlfn.XLOOKUP(_xlfn.XLOOKUP(B251,'Base stats'!B:B,'Base stats'!E:E),Groups!A:A,Groups!C:C)*IF(_xlfn.XLOOKUP(B251,'Base stats'!B:B,'Base stats'!O:O)=1,0.5,IF(_xlfn.XLOOKUP(B251,'Base stats'!B:B,'Base stats'!O:O)=2,0,1)),0.05),IF(AO251&gt;3.5,0.985,0.95))))</f>
        <v>0.9</v>
      </c>
      <c r="K251" s="2">
        <f>ROUNDUP(AO251*_xlfn.XLOOKUP(_xlfn.XLOOKUP(B251,'Base stats'!B:B,'Base stats'!E:E),Groups!A:A,Groups!E:E),0)</f>
        <v>2</v>
      </c>
      <c r="L251" s="2">
        <f>IF(OR(_xlfn.XLOOKUP(_xlfn.XLOOKUP(B251,'Base stats'!B:B,'Base stats'!E:E),Groups!A:A,Groups!F:F)=2,ISNUMBER(SEARCH("SeaIce",BX251)),ISNUMBER(SEARCH("IceSheet",BX251))),-50,IF(OR(ISNUMBER(SEARCH("GlacialPlain",BX251)),ISNUMBER(SEARCH("Tundra",BX251))),-40,IF(OR(ISNUMBER(SEARCH("Alpine",BX251)),ISNUMBER(SEARCH("BorealForest",BX251)),ISNUMBER(SEARCH("ColdBog",BX251))),-30,IF(OR(ISNUMBER(SEARCH("TemperateForest",BX251)),ISNUMBER(SEARCH("TemperateSwamp",BX251))),-20,IF(_xlfn.XLOOKUP(_xlfn.XLOOKUP(B251,'Base stats'!B:B,'Base stats'!E:E),Groups!A:A,Groups!F:F)=1,-15,IF(OR(ISNUMBER(SEARCH("Desert",BX251)),ISNUMBER(SEARCH("ExtremeDesert",BX251))),-10,IF(OR(ISNUMBER(SEARCH("Grasslands",BX251)),ISNUMBER(SEARCH("TropicalRainforest",BX251)),ISNUMBER(SEARCH("TropicalSwamp",BX251))),10,0)))))))-IF(CC251="False",MIN(IFERROR(MAX(MROUND(LOG10(_xlfn.XLOOKUP(B251,'Base stats'!B:B,'Base stats'!C:C)^(2/3))*10,5),5),5),30))-_xlfn.XLOOKUP(B251,'Base stats'!B:B,'Base stats'!P:P)+IF(CC251="True",5,0)</f>
        <v>-30</v>
      </c>
      <c r="M251" s="2">
        <f>IF(OR(_xlfn.XLOOKUP(_xlfn.XLOOKUP(B251,'Base stats'!B:B,'Base stats'!E:E),Groups!A:A,Groups!G:G)=2,ISNUMBER(SEARCH("Desert",BX251)),ISNUMBER(SEARCH("ExtremeDesert",BX251)),ISNUMBER(SEARCH("LavaField",BX251))),50,IF(ISNUMBER(SEARCH("Grasslands",BX251)),45,IF(OR(_xlfn.XLOOKUP(_xlfn.XLOOKUP(B251,'Base stats'!B:B,'Base stats'!E:E),Groups!A:A,Groups!G:G)=1,ISNUMBER(SEARCH("TropicalRainforest",BX251)),ISNUMBER(SEARCH("TropicalSwamp",BX251))),40,IF(OR(ISNUMBER(SEARCH("TemperateForest",BX251)),ISNUMBER(SEARCH("TemperateSwamp",BX251))),35,IF(OR(ISNUMBER(SEARCH("Alpine",BX251)),ISNUMBER(SEARCH("BorealForest",BX251)),ISNUMBER(SEARCH("ColdBog",BX251))),30,IF(ISNUMBER(OR(ISNUMBER(SEARCH("GlacialPlain",BX251)),SEARCH("Tundra",BX251))),25,IF(OR(ISNUMBER(SEARCH("SeaIce",BX251)),ISNUMBER(SEARCH("IceSheet",BX251)),ISNUMBER(SEARCH("TropicalSwamp",BX251))),10,35)))))))+_xlfn.XLOOKUP(B251,'Base stats'!B:B,'Base stats'!Q:Q)</f>
        <v>35</v>
      </c>
      <c r="N251" s="8" t="str">
        <f>IF(
_xlfn.XLOOKUP(
_xlfn.XLOOKUP(B251,'Base stats'!B:B,'Base stats'!E:E),
Groups!A:A,
Groups!L:L
)=1,
MIN(
MROUND(
IF(
_xlfn.XLOOKUP(B251,'Animals CE'!B:B,'Animals CE'!Z:Z)&lt;=1.5,
_xlfn.XLOOKUP(B251,'Animals CE'!B:B,'Animals CE'!Z:Z)/2+0.05,
0.8+
(_xlfn.XLOOKUP(B251,'Animals CE'!B:B,'Animals CE'!Z:Z)-1.5)
*0.02
),
0.05
),
200%
),
"No"
)</f>
        <v>No</v>
      </c>
      <c r="O251" s="8" t="str">
        <f>IF(
_xlfn.XLOOKUP(
_xlfn.XLOOKUP(B251,'Base stats'!B:B,'Base stats'!E:E),
Groups!A:A,
Groups!L:L
)=1,
MIN(
MROUND(
IF(
_xlfn.XLOOKUP(B251,'Animals CE'!B:B,'Animals CE'!AA:AA)&lt;=1.5,
_xlfn.XLOOKUP(B251,'Animals CE'!B:B,'Animals CE'!AA:AA)/2+0.05,
0.8+
(_xlfn.XLOOKUP(B251,'Animals CE'!B:B,'Animals CE'!AA:AA)-1.5)
*0.02
),
0.05
),
200%
),
"No"
)</f>
        <v>No</v>
      </c>
      <c r="P251" s="2" t="str">
        <f>_xlfn.XLOOKUP(B251,'Base stats'!B:B,'Base stats'!R:R)</f>
        <v>Standard</v>
      </c>
      <c r="Q251" s="13">
        <f>MROUND((LOG10(_xlfn.XLOOKUP(B251,'Base stats'!B:B,'Base stats'!AR:AR))*(AO251^0.5)+(_xlfn.XLOOKUP(B251,'Base stats'!B:B,'Base stats'!AR:AR)/1000)^(2/3)+_xlfn.XLOOKUP(B251,'Base stats'!B:B,'Base stats'!BA:BA)/2)+0.5,0.5)</f>
        <v>10.5</v>
      </c>
      <c r="R251" s="7">
        <f>IF(Q251="No","No",MAX(1,MROUND(_xlfn.XLOOKUP(B251,'Base stats'!B:B,'Base stats'!C:C)^0.165,0.05)))</f>
        <v>2.35</v>
      </c>
      <c r="S251" s="13" t="str">
        <f>IF(_xlfn.XLOOKUP(_xlfn.XLOOKUP(B251,'Base stats'!B:B,'Base stats'!E:E),Groups!A:A,Groups!P:P)=0,"No",MROUND((LOG10(_xlfn.XLOOKUP(B251,'Base stats'!B:B,'Base stats'!AS:AS))*(AO251^0.5)+(_xlfn.XLOOKUP(B251,'Base stats'!B:B,'Base stats'!AS:AS)/1000)^(2/3)+_xlfn.XLOOKUP(B251,'Base stats'!B:B,'Base stats'!BA:BA))+_xlfn.XLOOKUP(B251,'Base stats'!B:B,'Base stats'!AY:AY)+0.5,0.5))</f>
        <v>No</v>
      </c>
      <c r="T251" s="7" t="str">
        <f>IF(S251="No","No",MAX(_xlfn.XLOOKUP(_xlfn.XLOOKUP(B251,'Base stats'!B:B,'Base stats'!E:E),Groups!A:A,Groups!Q:Q),MROUND(_xlfn.XLOOKUP(_xlfn.XLOOKUP(B251,'Base stats'!B:B,'Base stats'!E:E),Groups!A:A,Groups!Q:Q)*_xlfn.XLOOKUP(B251,'Base stats'!B:B,'Base stats'!C:C)^0.165,0.05)))</f>
        <v>No</v>
      </c>
      <c r="U251" s="7" t="str">
        <f>IF(S251="No","No",_xlfn.XLOOKUP(_xlfn.XLOOKUP(B251,'Base stats'!B:B,'Base stats'!E:E),Groups!A:A,Groups!R:R))</f>
        <v>No</v>
      </c>
      <c r="V251" s="7" t="str">
        <f>IF(S251="No","No",_xlfn.XLOOKUP(_xlfn.XLOOKUP(B251,'Base stats'!B:B,'Base stats'!E:E),Groups!A:A,Groups!S:S))</f>
        <v>No</v>
      </c>
      <c r="W251" s="7" t="str">
        <f>IF(S251="No","No",_xlfn.XLOOKUP(_xlfn.XLOOKUP(B251,'Base stats'!B:B,'Base stats'!E:E),Groups!A:A,Groups!T:T))</f>
        <v>No</v>
      </c>
      <c r="X251" s="13" t="str">
        <f>IF(_xlfn.XLOOKUP(B251,'Base stats'!B:B,'Base stats'!W:W)="No","No",MROUND((LOG10(_xlfn.XLOOKUP(B251,'Base stats'!B:B,'Base stats'!AU:AU))*(AO251^0.5)+(_xlfn.XLOOKUP(B251,'Base stats'!B:B,'Base stats'!AU:AU)/1000)^(2/3)+_xlfn.XLOOKUP(B251,'Base stats'!B:B,'Base stats'!AZ:AZ))+0.5+IF(_xlfn.XLOOKUP(_xlfn.XLOOKUP(B251,'Base stats'!B:B,'Base stats'!E:E),Groups!A:A,Groups!U:U)&lt;&gt;3,_xlfn.XLOOKUP(B251,'Base stats'!B:B,'Base stats'!BA:BA),0),0.5))</f>
        <v>No</v>
      </c>
      <c r="Y251" s="7" t="str">
        <f>IF(X251="No","No",MAX(_xlfn.XLOOKUP(_xlfn.XLOOKUP(B251,'Base stats'!B:B,'Base stats'!E:E),Groups!A:A,Groups!V:V),MROUND(_xlfn.XLOOKUP(_xlfn.XLOOKUP(B251,'Base stats'!B:B,'Base stats'!E:E),Groups!A:A,Groups!V:V)*_xlfn.XLOOKUP(B251,'Base stats'!B:B,'Base stats'!C:C)^0.165,0.05)))</f>
        <v>No</v>
      </c>
      <c r="Z251" s="7" t="str">
        <f>IF(X251="No","No",_xlfn.XLOOKUP(_xlfn.XLOOKUP(B251,'Base stats'!B:B,'Base stats'!E:E),Groups!A:A,Groups!W:W))</f>
        <v>No</v>
      </c>
      <c r="AA251" s="7" t="str">
        <f>IF(X251="No","No",_xlfn.XLOOKUP(_xlfn.XLOOKUP(B251,'Base stats'!B:B,'Base stats'!E:E),Groups!A:A,Groups!X:X))</f>
        <v>No</v>
      </c>
      <c r="AB251" s="7" t="str">
        <f>IF(X251="No","No",_xlfn.XLOOKUP(_xlfn.XLOOKUP(B251,'Base stats'!B:B,'Base stats'!E:E),Groups!A:A,Groups!Y:Y))</f>
        <v>No</v>
      </c>
      <c r="AC251" s="7" t="str">
        <f>_xlfn.XLOOKUP(Animals!B251,'Base stats'!B:B,'Base stats'!X:X)</f>
        <v>False</v>
      </c>
      <c r="AD251" s="13">
        <f>IF(_xlfn.XLOOKUP(B251,'Base stats'!B:B,'Base stats'!AT:AT)="No","No",MROUND((LOG10(_xlfn.XLOOKUP(B251,'Base stats'!B:B,'Base stats'!AT:AT))*(AO251^0.75)+(_xlfn.XLOOKUP(B251,'Base stats'!B:B,'Base stats'!AT:AT)/1000)^(2/3)+_xlfn.XLOOKUP(B251,'Base stats'!B:B,'Base stats'!AX:AX)+_xlfn.XLOOKUP(B251,'Base stats'!B:B,'Base stats'!BA:BA))+0.5,0.5))</f>
        <v>20.5</v>
      </c>
      <c r="AE251" s="7">
        <f>IF(AD251="No","No",MAX(_xlfn.XLOOKUP(_xlfn.XLOOKUP(B251,'Base stats'!B:B,'Base stats'!E:E),Groups!A:A,Groups!Z:Z),MROUND(_xlfn.XLOOKUP(_xlfn.XLOOKUP(B251,'Base stats'!B:B,'Base stats'!E:E),Groups!A:A,Groups!Z:Z)*_xlfn.XLOOKUP(B251,'Base stats'!B:B,'Base stats'!C:C)^0.165,0.05)))</f>
        <v>1.9000000000000001</v>
      </c>
      <c r="AF251" s="7" t="str">
        <f>IF(AD251="No","No",_xlfn.XLOOKUP(_xlfn.XLOOKUP(B251,'Base stats'!B:B,'Base stats'!E:E),Groups!A:A,Groups!AA:AA))</f>
        <v>Teeth</v>
      </c>
      <c r="AG251" s="7" t="str">
        <f>IF(AD251="No","No",_xlfn.XLOOKUP(_xlfn.XLOOKUP(B251,'Base stats'!B:B,'Base stats'!E:E),Groups!A:A,Groups!AB:AB))</f>
        <v>canines</v>
      </c>
      <c r="AH251" s="7" t="str">
        <f>IF(AD251="No","No",_xlfn.XLOOKUP(_xlfn.XLOOKUP(B251,'Base stats'!B:B,'Base stats'!E:E),Groups!A:A,Groups!AC:AC))</f>
        <v>Bite</v>
      </c>
      <c r="AI251" s="13" t="str">
        <f>IF(_xlfn.XLOOKUP(_xlfn.XLOOKUP(B251,'Base stats'!B:B,'Base stats'!E:E),Groups!A:A,Groups!AD:AD)=0,"No",MROUND((LOG10(_xlfn.XLOOKUP(B251,'Base stats'!B:B,'Base stats'!AS:AS))*(AO251^0.75)+(_xlfn.XLOOKUP(B251,'Base stats'!B:B,'Base stats'!AS:AS)/1000)^(2/3)+_xlfn.XLOOKUP(B251,'Base stats'!B:B,'Base stats'!AY:AY)+_xlfn.XLOOKUP(B251,'Base stats'!B:B,'Base stats'!BA:BA))+0.5,0.5))</f>
        <v>No</v>
      </c>
      <c r="AJ251" s="7" t="str">
        <f>IF(AI251="No","No",MAX(_xlfn.XLOOKUP(_xlfn.XLOOKUP(B251,'Base stats'!B:B,'Base stats'!E:E),Groups!A:A,Groups!AE:AE),MROUND(_xlfn.XLOOKUP(_xlfn.XLOOKUP(B251,'Base stats'!B:B,'Base stats'!E:E),Groups!A:A,Groups!AE:AE)*IF(_xlfn.XLOOKUP(_xlfn.XLOOKUP(B251,'Base stats'!B:B,'Base stats'!E:E),Groups!A:A,Groups!AJ:AJ)="Photonozoa",0.6,1)*_xlfn.XLOOKUP(B251,'Base stats'!B:B,'Base stats'!C:C)^0.165,0.05)))</f>
        <v>No</v>
      </c>
      <c r="AK251" s="7" t="str">
        <f>IF(AI251="No","No",_xlfn.XLOOKUP(_xlfn.XLOOKUP(B251,'Base stats'!B:B,'Base stats'!E:E),Groups!A:A,Groups!AF:AF))</f>
        <v>No</v>
      </c>
      <c r="AL251" s="7" t="str">
        <f>IF(AI251="No","No",_xlfn.XLOOKUP(_xlfn.XLOOKUP(B251,'Base stats'!B:B,'Base stats'!E:E),Groups!A:A,Groups!AG:AG))</f>
        <v>No</v>
      </c>
      <c r="AM251" s="7" t="str">
        <f>IF(AI251="No","No",_xlfn.XLOOKUP(_xlfn.XLOOKUP(B251,'Base stats'!B:B,'Base stats'!E:E),Groups!A:A,Groups!AH:AH))</f>
        <v>No</v>
      </c>
      <c r="AN251" s="2">
        <f t="shared" si="21"/>
        <v>25</v>
      </c>
      <c r="AO251" s="2">
        <f>MROUND(IF(AND(_xlfn.XLOOKUP(B251,'Base stats'!B:B,'Base stats'!C:C)&gt;=0.5,_xlfn.XLOOKUP(B251,'Base stats'!B:B,'Base stats'!C:C)&lt;=0.8),
IF(_xlfn.XLOOKUP(B251,'Base stats'!B:B,'Base stats'!C:C)&lt;0.1,0.05,IF(_xlfn.XLOOKUP(B251,'Base stats'!B:B,'Base stats'!C:C)&lt;=70,(_xlfn.XLOOKUP(B251,'Base stats'!B:B,'Base stats'!C:C)/70)^0.426489913056526,IF(_xlfn.XLOOKUP(B251,'Base stats'!B:B,'Base stats'!C:C)&lt;=400,(_xlfn.XLOOKUP(B251,'Base stats'!B:B,'Base stats'!C:C)/70)^0.572811455315093,IF(_xlfn.XLOOKUP(B251,'Base stats'!B:B,'Base stats'!C:C)&lt;=2000,2.71391647193063*(_xlfn.XLOOKUP(B251,'Base stats'!B:B,'Base stats'!C:C)/400)^0.252459582904293,3.74314280240376*(_xlfn.XLOOKUP(B251,'Base stats'!B:B,'Base stats'!C:C)/2000)^0.357012633876913)))),
IF(_xlfn.XLOOKUP(B251,'Base stats'!B:B,'Base stats'!C:C)&lt;0.1,0.05,IF(_xlfn.XLOOKUP(B251,'Base stats'!B:B,'Base stats'!C:C)&lt;0.4,0.1,IF(_xlfn.XLOOKUP(B251,'Base stats'!B:B,'Base stats'!C:C)&lt;=70,(_xlfn.XLOOKUP(B251,'Base stats'!B:B,'Base stats'!C:C)/70)^0.445823913056526,IF(_xlfn.XLOOKUP(B251,'Base stats'!B:B,'Base stats'!C:C)&lt;=400,(_xlfn.XLOOKUP(B251,'Base stats'!B:B,'Base stats'!C:C)/70)^0.572811455315093,IF(_xlfn.XLOOKUP(B251,'Base stats'!B:B,'Base stats'!C:C)&lt;=2000,2.71391647193063*(_xlfn.XLOOKUP(B251,'Base stats'!B:B,'Base stats'!C:C)/400)^0.252459582904293,3.74314280240376*(_xlfn.XLOOKUP(B251,'Base stats'!B:B,'Base stats'!C:C)/2000)^0.357012633876913)))))),
IF(_xlfn.XLOOKUP(B251,'Base stats'!B:B,'Base stats'!C:C)&lt;0.1,0.05,IF(_xlfn.XLOOKUP(B251,'Base stats'!B:B,'Base stats'!C:C)&lt;=100,0.05,IF(_xlfn.XLOOKUP(B251,'Base stats'!B:B,'Base stats'!C:C)&lt;=250,0.1,IF(_xlfn.XLOOKUP(B251,'Base stats'!B:B,'Base stats'!C:C)&lt;=4000,0.25,0.5)))))</f>
        <v>1.7000000000000002</v>
      </c>
      <c r="AP251" s="8">
        <f>MROUND(AO251*_xlfn.XLOOKUP(_xlfn.XLOOKUP(B251,'Base stats'!B:B,'Base stats'!E:E),Groups!A:A,Groups!AI:AI)*_xlfn.XLOOKUP(B251,'Base stats'!B:B,'Base stats'!Z:Z),0.05)</f>
        <v>2.0500000000000003</v>
      </c>
      <c r="AQ251" s="8">
        <f>MAX(0.01,MROUND(IF(CC251="True",0.196*(AO251*100*1000)^0.889,IF(_xlfn.XLOOKUP(_xlfn.XLOOKUP(B251,'Base stats'!B:B,'Base stats'!E:E),Groups!A:A,Groups!AJ:AJ)="Bird",10.5*(AO251*100*1000)^0.681,4.82*(AO251*100*1000)^0.734))/(4.82*(1*100*1000)^0.734)/IF(AO251&lt;3.5,2,IF(AO251=3.5,1.5,1.25))*(1+0.132282374779864/(AO251^0.994035016789033+0.00905238001496948)),0.05))</f>
        <v>0.8</v>
      </c>
      <c r="AR251" s="9">
        <f>IFERROR(MROUND(_xlfn.XLOOKUP(B251,'Base stats'!B:B,'Base stats'!H:H)/IF(_xlfn.XLOOKUP(B251,'Base stats'!B:B,'Base stats'!I:I)&lt;&gt;1,(122.5/70),1.2),IF(_xlfn.XLOOKUP(B251,'Base stats'!B:B,'Base stats'!H:H)&gt;=30,5,IF(_xlfn.XLOOKUP(B251,'Base stats'!B:B,'Base stats'!H:H)&gt;=15,3,IF(_xlfn.XLOOKUP(B251,'Base stats'!B:B,'Base stats'!H:H)&gt;=10,2,1)))),"Immortal")</f>
        <v>35</v>
      </c>
      <c r="AS251" s="35">
        <f>IFERROR(IF(OR(_xlfn.XLOOKUP(B251,'Base stats'!B:B,'Base stats'!F:F)="Atypical reproduction",_xlfn.XLOOKUP(B251,'Base stats'!B:B,'Base stats'!F:F)="Lay eggs"),"Lay eggs",MIN(20,MAX(5.5,ROUND(((_xlfn.XLOOKUP(B251,'Base stats'!B:B,'Base stats'!F:F)-25)*(14.5/615) + 5.5)*2,0)/2))),"Unknown")</f>
        <v>9.5</v>
      </c>
      <c r="AT251" s="8">
        <f>IF(_xlfn.XLOOKUP(B251,'Base stats'!B:B,'Base stats'!G:G)="Atypical reproduction","No",IFERROR(MAX(IF(_xlfn.XLOOKUP(B251,'Base stats'!B:B,'Base stats'!G:G)&lt;0.5,0.2,0.3),MROUND(_xlfn.XLOOKUP(B251,'Base stats'!B:B,'Base stats'!G:G)/(365/60),0.2)),"Unknown"))</f>
        <v>0.8</v>
      </c>
      <c r="AU251" s="8">
        <f t="shared" si="22"/>
        <v>0.4</v>
      </c>
      <c r="AV251" s="8">
        <f>IFERROR(IFERROR(MROUND(_xlfn.XLOOKUP(B251,'Base stats'!B:B,'Base stats'!J:J),0.1),"Lay eggs"),"Cannot breed")</f>
        <v>1</v>
      </c>
      <c r="AW251" s="2" t="str">
        <f t="shared" si="23"/>
        <v>true</v>
      </c>
      <c r="AX251" s="2" t="str">
        <f>IF(_xlfn.XLOOKUP(_xlfn.XLOOKUP(Animals!B251,'Base stats'!B:B,'Base stats'!E:E),Groups!A:A,Groups!AK:AK)=1,"true","false")</f>
        <v>false</v>
      </c>
      <c r="AY251" s="25" t="str">
        <f>IF(_xlfn.XLOOKUP(B251,'Base stats'!B:B,'Base stats'!Y:Y)="Liquor","Liquor, CarnivoreAnimalStrict",IF(AND(_xlfn.XLOOKUP(B251,'Base stats'!B:B,'Base stats'!Y:Y)="Carnivore",_xlfn.XLOOKUP(_xlfn.XLOOKUP(B251,'Base stats'!B:B,'Base stats'!E:E),Groups!A:A,Groups!AJ:AJ)="Photonozoa"),"CarnivoreAnimalStrict, OvivoreAnimal",IF(_xlfn.XLOOKUP(B251,'Base stats'!B:B,'Base stats'!Y:Y)="Carnivore","CarnivoreAnimal, OvivoreAnimal",IF(_xlfn.XLOOKUP(B251,'Base stats'!B:B,'Base stats'!Y:Y)="Dendrovore","VegetarianRoughAnimal, DendrovoreAnimal",IF(_xlfn.XLOOKUP(B251,'Base stats'!B:B,'Base stats'!Y:Y)="Herbivore","VegetarianRoughAnimal",IF(_xlfn.XLOOKUP(B251,'Base stats'!B:B,'Base stats'!Y:Y)="OmnivoreRough","OmnivoreRoughAnimal, OvivoreAnimal","OmnivoreAnimal, OvivoreAnimal"))))))</f>
        <v>OmnivoreAnimal, OvivoreAnimal</v>
      </c>
      <c r="AZ251" s="2" t="str">
        <f>IF(_xlfn.XLOOKUP(_xlfn.XLOOKUP(B251,'Base stats'!B:B,'Base stats'!E:E),Groups!A:A,Groups!D:D)=1,MROUND((1-J251)*5+1,2)*IF(J251&lt;=0.4,2,1),"No")</f>
        <v>No</v>
      </c>
      <c r="BA251" s="2" t="str">
        <f>IF(AND(_xlfn.XLOOKUP(B251,'Base stats'!B:B,'Base stats'!AH:AH)="&lt;li&gt;Seal&lt;/li&gt;",G251="Odyssey"),"&lt;li&gt;AEXP_Seal&lt;/li&gt;",_xlfn.XLOOKUP(B251,'Base stats'!B:B,'Base stats'!AH:AH))</f>
        <v>&lt;li&gt;Pig&lt;/li&gt;</v>
      </c>
      <c r="BB251" s="2" t="str">
        <f>_xlfn.XLOOKUP(B251,'Base stats'!B:B,'Base stats'!AG:AG)</f>
        <v>Leather_Night</v>
      </c>
      <c r="BC251" s="23" t="str">
        <f>_xlfn.XLOOKUP(_xlfn.XLOOKUP(B251,'Base stats'!B:B,'Base stats'!E:E),Groups!A:A,Groups!AL:AL)</f>
        <v>QuadrupedAnimalWithPawsAndTail</v>
      </c>
      <c r="BD251" s="23">
        <f>MIN(1,MROUND(IF(AND(AO251&lt;0.5,_xlfn.XLOOKUP(B251,'Base stats'!B:B,'Base stats'!AA:AA)=0),0,IF(OR(_xlfn.XLOOKUP(Animals!B251,'Base stats'!B:B,'Base stats'!O:O)=2,_xlfn.XLOOKUP(_xlfn.XLOOKUP(B251,'Base stats'!B:B,'Base stats'!E:E),Groups!A:A,Groups!AN:AN)=0),0,_xlfn.XLOOKUP(_xlfn.XLOOKUP(B251,'Base stats'!B:B,'Base stats'!E:E),Groups!A:A,Groups!AN:AN)/IF(_xlfn.XLOOKUP(Animals!B251,'Base stats'!B:B,'Base stats'!O:O)=1,2,1)))+_xlfn.XLOOKUP(B251,'Base stats'!B:B,'Base stats'!AC:AC),0.005))</f>
        <v>0.1</v>
      </c>
      <c r="BE251" s="23">
        <f>MIN(1,MROUND(IF(AND(AO251&lt;0.5,_xlfn.XLOOKUP(B251,'Base stats'!B:B,'Base stats'!AA:AA)=0),0,IF(_xlfn.XLOOKUP(_xlfn.XLOOKUP(B251,'Base stats'!B:B,'Base stats'!E:E),Groups!A:A,Groups!AO:AO)=0,0,_xlfn.XLOOKUP(_xlfn.XLOOKUP(B251,'Base stats'!B:B,'Base stats'!E:E),Groups!A:A,Groups!AO:AO)/IF(_xlfn.XLOOKUP(Animals!B251,'Base stats'!B:B,'Base stats'!O:O)=2,3,1)))+_xlfn.XLOOKUP(B251,'Base stats'!B:B,'Base stats'!AD:AD),0.005))</f>
        <v>0.3</v>
      </c>
      <c r="BF251" s="2" t="str">
        <f>IF(J251&gt;0.3,"No",_xlfn.XLOOKUP(_xlfn.XLOOKUP(Animals!B251,'Base stats'!B:B,'Base stats'!E:E),Groups!A:A,Groups!AP:AP))</f>
        <v>No</v>
      </c>
      <c r="BG251" s="2" t="str">
        <f>IF(AND(J251&lt;=0.65,_xlfn.XLOOKUP(_xlfn.XLOOKUP(Animals!B251,'Base stats'!B:B,'Base stats'!E:E),Groups!A:A,Groups!AP:AP)&lt;&gt;"No",_xlfn.XLOOKUP(_xlfn.XLOOKUP(B251,'Base stats'!B:B,'Base stats'!E:E),Groups!A:A,Groups!D:D)=0),MROUND((80/3)*IF(_xlfn.XLOOKUP(B251,'Base stats'!B:B,'Base stats'!O:O)=2,0.2,AO251) + 24*(1-IF(BF251="No",0,BF251)) + 16/3, 12),"No")</f>
        <v>No</v>
      </c>
      <c r="BH251" s="2">
        <f>IF(AND(_xlfn.XLOOKUP(_xlfn.XLOOKUP(B251,'Base stats'!B:B,'Base stats'!E:E),Groups!A:A,Groups!AQ:AQ)=1,AO251&lt;=0.35),8,12)</f>
        <v>12</v>
      </c>
      <c r="BI251" s="2" t="str">
        <f>IF(_xlfn.XLOOKUP(_xlfn.XLOOKUP(B251,'Base stats'!B:B,'Base stats'!E:E),Groups!A:A,Groups!D:D)=0,_xlfn.XLOOKUP(_xlfn.XLOOKUP(B251,'Base stats'!B:B,'Base stats'!E:E),Groups!A:A,Groups!AR:AR),"None")</f>
        <v>Advanced</v>
      </c>
      <c r="BJ251" s="2" t="str">
        <f>IF(AND(_xlfn.XLOOKUP(_xlfn.XLOOKUP(B251,'Base stats'!B:B,'Base stats'!E:E),Groups!A:A,Groups!AS:AS)=1,OR(_xlfn.XLOOKUP(B251,'Base stats'!B:B,'Base stats'!Y:Y)="Carnivore",_xlfn.XLOOKUP(B251,'Base stats'!B:B,'Base stats'!Y:Y)="Omnivore")),"true","false")</f>
        <v>true</v>
      </c>
      <c r="BK251" s="2">
        <f>IF(BJ251="true",MROUND(IF(AND(AO251&gt;0.5,OR(_xlfn.XLOOKUP(_xlfn.XLOOKUP(B251,'Base stats'!B:B,'Base stats'!E:E),Groups!A:A,Groups!AJ:AJ)="Photonozoa",_xlfn.XLOOKUP(_xlfn.XLOOKUP(B251,'Base stats'!B:B,'Base stats'!E:E),Groups!A:A,Groups!AJ:AJ)="Mammal")),Animals!AO251*1.75*IF(AW251="true",1.5,1),IF(AO251&lt;0.5,Animals!AO251*0.5,Animals!AO251)),IF(AO251&gt;2,0.5,IF(AO251&gt;0.5,0.25,0.1))),"No")</f>
        <v>4.5</v>
      </c>
      <c r="BL251" s="2">
        <f t="shared" si="24"/>
        <v>1</v>
      </c>
      <c r="BM251" s="25" t="str">
        <f>IF(_xlfn.XLOOKUP(B251,'Base stats'!B:B,'Base stats'!AN:AN)="Standard","No",MROUND((_xlfn.XLOOKUP(B251,'Base stats'!B:B,'Base stats'!AN:AN)/3.6)/I251,0.1))</f>
        <v>No</v>
      </c>
      <c r="BN251" s="25" t="str">
        <f t="shared" si="25"/>
        <v>false</v>
      </c>
      <c r="BO251" s="25" t="str">
        <f>IF(AND(OR(_xlfn.XLOOKUP(B251,'Base stats'!B:B,'Base stats'!Y:Y)="Carnivore",_xlfn.XLOOKUP(B251,'Base stats'!B:B,'Base stats'!Y:Y)="Omnivore",_xlfn.XLOOKUP(B251,'Base stats'!B:B,'Base stats'!Y:Y)="OmnivoreRough"),_xlfn.XLOOKUP(_xlfn.XLOOKUP(B251,'Base stats'!B:B,'Base stats'!E:E),Groups!A:A,Groups!AT:AT)=1),"true","false")</f>
        <v>false</v>
      </c>
      <c r="BP251" s="25" t="str" cm="1">
        <f t="array" ref="BP251">IF(
  _xlfn.TEXTJOIN(", ",TRUE,
    IF(AND(BJ251="true",AO251&gt;0.5,BI251&lt;&gt;"None"),"AttackTarget",""),
    IF(AND(_xlfn.XLOOKUP(_xlfn.XLOOKUP(B251,'Base stats'!B:B,'Base stats'!E:E),Groups!A:A,Groups!AJ:AJ="Mammal"),OR(_xlfn.XLOOKUP(B251,'Base stats'!B:B,'Base stats'!Y:Y)="Omnivore",_xlfn.XLOOKUP(B251,'Base stats'!B:B,'Base stats'!Y:Y)="OmnivoreRough")),"Forage",""),
    IF(BG251&lt;=36,"Comfort",""),
    IF(_xlfn.XLOOKUP(B251,'Base stats'!B:B,'Base stats'!AE:AE)&lt;&gt;"No",_xlfn.XLOOKUP(B251,'Base stats'!B:B,'Base stats'!AE:AE),"")
  ) = "",
  "No",
  _xlfn.TEXTJOIN(", ",TRUE,
    IF(AND(BJ251="true",AO251&gt;0.5,BI251&lt;&gt;"None"),"AttackTarget",""),
    IF(AND(_xlfn.XLOOKUP(_xlfn.XLOOKUP(B251,'Base stats'!B:B,'Base stats'!E:E),Groups!A:A,Groups!AJ:AJ="Mammal"),OR(_xlfn.XLOOKUP(B251,'Base stats'!B:B,'Base stats'!Y:Y)="Omnivore",_xlfn.XLOOKUP(B251,'Base stats'!B:B,'Base stats'!Y:Y)="OmnivoreRough")),"Forage",""),
    IF(BG251&lt;=36,"Comfort",""),
    IF(_xlfn.XLOOKUP(B251,'Base stats'!B:B,'Base stats'!AE:AE)&lt;&gt;"No",_xlfn.XLOOKUP(B251,'Base stats'!B:B,'Base stats'!AE:AE),"")
  )
)</f>
        <v>AttackTarget, Forage</v>
      </c>
      <c r="BQ251" s="25" t="str">
        <f>IF(
   AND(
      'Base stats'!AN251="Standard",_xlfn.XLOOKUP(_xlfn.XLOOKUP(B251,'Base stats'!B:B,'Base stats'!E:E),Groups!A:A,Groups!AU:AU)=0,
      OR(
      BO251="True"
      )
   ),
   10,
   IF(
       OR(BM251&lt;&gt;"No",_xlfn.XLOOKUP(_xlfn.XLOOKUP(B251,'Base stats'!B:B,'Base stats'!E:E),Groups!A:A,Groups!AU:AU)=1),
      1,
      "No"
   )
)</f>
        <v>No</v>
      </c>
      <c r="BR251" s="9">
        <f>MROUND((1 + ((0.2*IF(OR(Q251="No",R251="No",R251=0),0,Q251/R251)
+IF(OR(V251="No",S251="No",T251="No"),0,S251/T251*(LEN(V251)-LEN(SUBSTITUTE(V251,",",""))+1))
+IF(OR(X251="No",Y251="No"),0,X251/Y251)
+IF(OR(AD251="No",AE251="No"),0,AD251/AE251)
+IF(OR(AL251="No",AI251="No",AJ251="No"),0,AI251/AJ251*(LEN(AL251)-LEN(SUBSTITUTE(AL251,",",""))+1))
)/(0.2*IF(OR(Q251="No",R251="No",R251=0),0,1)
+IF(OR(V251="No",S251="No",T251="No"),0,LEN(V251)-LEN(SUBSTITUTE(V251,",",""))+1)
+IF(OR(X251="No",Y251="No"),0,1)
+IF(OR(AD251="No",AE251="No"),0,1)
+IF(OR(AL251="No",AI251="No",AJ251="No"),0,LEN(AL251)-LEN(SUBSTITUTE(AL251,",",""))+1))*62%)* 2)*(1 + (AP251 / (IF(_xlfn.XLOOKUP(_xlfn.XLOOKUP(B251,'Base stats'!B:B,'Base stats'!E:E),Groups!A:A,Groups!AJ:AJ)="Photonozoa",0.3,1)) + _xlfn.XLOOKUP(B251,'Base stats'!B:B,'Base stats'!AV:AV) * 1.8) * 2) * 2.5 + 10 + I251 * 2,5)+IF(_xlfn.XLOOKUP(B251,'Base stats'!B:B,'Base stats'!AK:AK)=1,50,0)</f>
        <v>190</v>
      </c>
      <c r="BS251" s="8">
        <f t="shared" si="26"/>
        <v>1</v>
      </c>
      <c r="BT251" s="8" t="str">
        <f>_xlfn.XLOOKUP(B251,'Base stats'!B:B,'Base stats'!AF:AF)</f>
        <v>2~6</v>
      </c>
      <c r="BU251" s="2" t="str">
        <f>IF(AND(J251&lt;=0.95,OR(_xlfn.XLOOKUP(B251,'Base stats'!B:B,'Base stats'!AK:AK)=1,_xlfn.XLOOKUP(B251,'Base stats'!B:B,'Base stats'!Y:Y)="Carnivore",_xlfn.XLOOKUP(B251,'Base stats'!B:B,'Base stats'!Y:Y)="Omnivore",BE251&gt;0.1)),"true","false")</f>
        <v>true</v>
      </c>
      <c r="BV251" s="2" t="str">
        <f>IF(_xlfn.XLOOKUP(B251,'Base stats'!B:B,'Base stats'!AI:AI)=1,"true","false")</f>
        <v>false</v>
      </c>
      <c r="BW251" s="25" t="str">
        <f>IF(E251="BaseInsect","AnimalInsect",
IF(J251&gt;0.95,"AnimalExotic",
_xlfn.TEXTJOIN(", ",TRUE,
IF(OR(_xlfn.XLOOKUP(B251,'Base stats'!B:B,'Base stats'!AM:AM)=1,AND(_xlfn.XLOOKUP(B251,'Base stats'!B:B,'Base stats'!O:O)=0,_xlfn.XLOOKUP(_xlfn.XLOOKUP(B251,'Base stats'!B:B,'Base stats'!E:E),Groups!A:A,Groups!B:B)&gt;0)),"AnimalUncommon","AnimalCommon"),
IF(AND(_xlfn.XLOOKUP(B251,'Base stats'!B:B,'Base stats'!O:O)=2,_xlfn.XLOOKUP(_xlfn.XLOOKUP(B251,'Base stats'!B:B,'Base stats'!E:E),Groups!A:A,Groups!D:D)=0),"AnimalPet",IF(AND(_xlfn.XLOOKUP(B251,'Base stats'!B:B,'Base stats'!O:O)&lt;&gt;0,_xlfn.XLOOKUP(_xlfn.XLOOKUP(B251,'Base stats'!B:B,'Base stats'!E:E),Groups!A:A,Groups!D:D)&lt;&gt;0),"AnimalFarm","")),
IF(OR(_xlfn.XLOOKUP(B251,'Base stats'!B:B,'Base stats'!AK:AK)=1,AND(BI251&lt;&gt;"None",BR251&gt;=60),ISNUMBER(SEARCH("Attack target",BP251))),"AnimalFighter","")
)))</f>
        <v>AnimalCommon, AnimalFighter</v>
      </c>
      <c r="BX251" s="25" t="str">
        <f>IF(G251="None",TRIM(
SUBSTITUTE(
IF(COUNTIF(Biomes!B$2:B$259,"="&amp;$C251)&gt;0,Biomes!B$1&amp;", ","")&amp;
IF(COUNTIF(Biomes!C$2:C$259,"="&amp;$C251)&gt;0,Biomes!C$1&amp;", ","")&amp;
IF(COUNTIF(Biomes!D$2:D$259,"="&amp;$C251)&gt;0,Biomes!D$1&amp;", ","")&amp;
IF(COUNTIF(Biomes!F$2:F$259,"="&amp;$C251)&gt;0,Biomes!F$1&amp;", ","")&amp;
IF(COUNTIF(Biomes!G$2:G$259,"="&amp;$C251)&gt;0,Biomes!G$1&amp;", ","")&amp;
IF(COUNTIF(Biomes!H$2:H$259,"="&amp;$C251)&gt;0,Biomes!H$1&amp;", ","")&amp;
IF(COUNTIF(Biomes!I$2:I$259,"="&amp;$C251)&gt;0,Biomes!I$1&amp;", ","")&amp;
IF(COUNTIF(Biomes!J$2:J$259,"="&amp;$C251)&gt;0,Biomes!J$1&amp;", ","")&amp;
IF(COUNTIF(Biomes!M$2:M$259,"="&amp;$C251)&gt;0,Biomes!M$1&amp;", ","")&amp;
IF(COUNTIF(Biomes!N$2:N$259,"="&amp;$C251)&gt;0,Biomes!N$1&amp;", ","")&amp;
IF(COUNTIF(Biomes!O$2:O$259,"="&amp;$C251)&gt;0,Biomes!O$1&amp;", ","")&amp;
IF(COUNTIF(Biomes!P$2:P$259,"="&amp;$C251)&gt;0,Biomes!P$1&amp;", ","")&amp;
IF(COUNTIF(Biomes!K$2:K$259,"="&amp;$C251)&gt;0,Biomes!K$1&amp;", ","")&amp;
IF(COUNTIF(Biomes!Q$3:Q$259,"="&amp;$C251)&gt;0,Biomes!Q$1&amp;", ","")&amp;
IF(COUNTIF(Biomes!L$2:L$259,"="&amp;$C251)&gt;0,Biomes!L$1&amp;", ","")&amp;
IF(COUNTIF(Biomes!E$2:E$259,"="&amp;$C251)&gt;0,Biomes!E$1&amp;", ","")&amp;IF(COUNTIF(Biomes!S$2:S$259,"="&amp;$C251)&gt;0,Biomes!S$1&amp;", ","")&amp;
IF(COUNTIF(Biomes!R$2:R$259,"="&amp;$C251)&gt;0,Biomes!R$1&amp;", ",""),", ","")
),_xlfn.XLOOKUP(B251,B:B,BX:BX))</f>
        <v>Glowforest</v>
      </c>
      <c r="BY251" s="25" t="str">
        <f>IF(_xlfn.XLOOKUP(B251,'Base stats'!B:B,'Base stats'!AJ:AJ)=1,"true","false")</f>
        <v>false</v>
      </c>
      <c r="BZ251" s="25">
        <f>IF(_xlfn.XLOOKUP(B251,'Base stats'!B:B,'Base stats'!N:N)=1,"No",MAX(0.001,MIN(MROUND(IF(AND(BJ251="True",CC251="False"),POWER(10,3.47*LOG10(_xlfn.XLOOKUP(B251,'Base stats'!B:B,'Base stats'!C:C)*1000)^-0.96),POWER(10,4.15*LOG10(_xlfn.XLOOKUP(B251,'Base stats'!B:B,'Base stats'!C:C)*1000)^-0.73))*IF(_xlfn.XLOOKUP(B251,'Base stats'!B:B,'Base stats'!AK:AK)=1,0.5,1)*IF(_xlfn.XLOOKUP(B251,'Base stats'!B:B,'Base stats'!AM:AM)=1,0.1,1)/100,IF(_xlfn.XLOOKUP(B251,'Base stats'!B:B,'Base stats'!AM:AM)=1,0.001,0.025)),0.5)))</f>
        <v>0.05</v>
      </c>
      <c r="CA251" s="25" t="str">
        <f>IF(P251="Standard","No",MAX(0.001,MIN(MROUND(IF(AND(BJ251="True",CC251="False"),POWER(10,3.47*LOG10(_xlfn.XLOOKUP(B251,'Base stats'!B:B,'Base stats'!C:C)*1000)^-0.96),POWER(10,4.15*LOG10(_xlfn.XLOOKUP(B251,'Base stats'!B:B,'Base stats'!C:C)*1000)^-0.73))*IF(_xlfn.XLOOKUP(B251,'Base stats'!B:B,'Base stats'!AM:AM)=1,0.1,1)*_xlfn.XLOOKUP(B251,'Base stats'!B:B,'Base stats'!R:R)/100,IF(_xlfn.XLOOKUP(B251,'Base stats'!B:B,'Base stats'!AM:AM)=1,0.001,0.025)),0.5)))</f>
        <v>No</v>
      </c>
      <c r="CB251" s="25" t="str">
        <f>IF(_xlfn.XLOOKUP(_xlfn.XLOOKUP(B251,'Base stats'!B:B,'Base stats'!E:E),Groups!A:A,Groups!AJ:AJ)="Mammal","True","False")</f>
        <v>True</v>
      </c>
      <c r="CC251" s="25" t="str">
        <f>IF(OR(_xlfn.XLOOKUP(_xlfn.XLOOKUP(B251,'Base stats'!B:B,'Base stats'!E:E),Groups!A:A,Groups!AJ:AJ)="Reptile",_xlfn.XLOOKUP(_xlfn.XLOOKUP(B251,'Base stats'!B:B,'Base stats'!E:E),Groups!A:A,Groups!AJ:AJ)="Amphibian",_xlfn.XLOOKUP(_xlfn.XLOOKUP(B251,'Base stats'!B:B,'Base stats'!E:E),Groups!A:A,Groups!AJ:AJ)="Invertebrate"),"True","False")</f>
        <v>False</v>
      </c>
      <c r="CD251" s="25" t="str">
        <f t="shared" si="27"/>
        <v>False</v>
      </c>
      <c r="CE251" s="25" t="str">
        <f>IF(_xlfn.XLOOKUP(_xlfn.XLOOKUP(B251,'Base stats'!B:B,'Base stats'!E:E),Groups!A:A,Groups!AX:AX),"True","False")</f>
        <v>False</v>
      </c>
      <c r="CF251" s="25" t="str">
        <f>IF(_xlfn.XLOOKUP(_xlfn.XLOOKUP(B251,'Base stats'!B:B,'Base stats'!E:E),Groups!A:A,Groups!AY:AY),"True","False")</f>
        <v>False</v>
      </c>
      <c r="CG251" s="25" t="str">
        <f>IF(_xlfn.XLOOKUP(_xlfn.XLOOKUP(B251,'Base stats'!B:B,'Base stats'!E:E),Groups!A:A,Groups!AW:AW),"True","False")</f>
        <v>False</v>
      </c>
      <c r="CH251" s="25" t="str">
        <f>IF(
OR(
_xlfn.XLOOKUP(_xlfn.XLOOKUP(B251,'Base stats'!B:B,'Base stats'!E:E),Groups!A:A,Groups!AZ:AZ)=0,
AND(
_xlfn.XLOOKUP(B251,'Base stats'!B:B,'Base stats'!Y:Y)&lt;&gt;"Carnivore",
_xlfn.XLOOKUP(B251,'Base stats'!B:B,'Base stats'!Y:Y)&lt;&gt;"Omnivore",
_xlfn.XLOOKUP(B251,'Base stats'!B:B,'Base stats'!Y:Y)&lt;&gt;"OmnivoreRough"
)
),
"No",
IF(
_xlfn.XLOOKUP(_xlfn.XLOOKUP(B251,'Base stats'!B:B,'Base stats'!E:E),Groups!A:A,Groups!AZ:AZ)=1,
"Flesh",
IF(
_xlfn.XLOOKUP(_xlfn.XLOOKUP(B251,'Base stats'!B:B,'Base stats'!E:E),Groups!A:A,Groups!AZ:AZ)=2,
"Bone",
""
)
)
)</f>
        <v>No</v>
      </c>
      <c r="CI251" s="25" t="str">
        <f>IF(_xlfn.XLOOKUP(_xlfn.XLOOKUP(B251,'Base stats'!B:B,'Base stats'!E:E),Groups!A:A,Groups!BB:BB),"True","False")</f>
        <v>True</v>
      </c>
      <c r="CJ251" s="25" t="str">
        <f>IF(_xlfn.XLOOKUP(_xlfn.XLOOKUP(B251,'Base stats'!B:B,'Base stats'!E:E),Groups!A:A,Groups!BA:BA),"True","False")</f>
        <v>False</v>
      </c>
    </row>
    <row r="252" spans="1:88" ht="16.5" thickTop="1" thickBot="1" x14ac:dyDescent="0.3">
      <c r="A252" s="26" t="s">
        <v>1410</v>
      </c>
      <c r="B252" s="6" t="str">
        <f>_xlfn.XLOOKUP(A252,'Base stats'!A:A,'Base stats'!B:B)</f>
        <v>Draco putrefactus</v>
      </c>
      <c r="C252" s="28" t="s">
        <v>1411</v>
      </c>
      <c r="D252" s="28" t="s">
        <v>1341</v>
      </c>
      <c r="E252" s="28" t="s">
        <v>673</v>
      </c>
      <c r="F252" s="28" t="s">
        <v>673</v>
      </c>
      <c r="G252" s="28" t="s">
        <v>673</v>
      </c>
      <c r="H252" s="2">
        <f>MROUND((
  (IF(AND(_xlfn.XLOOKUP(B252,'Base stats'!B:B,'Base stats'!AL:AL)=0,BI252="None",_xlfn.XLOOKUP(_xlfn.XLOOKUP(B252,'Base stats'!B:B,'Base stats'!E:E),Groups!A:A,Groups!B:B)=0), (18 + BR252 * 2.7) * 0.5,
    IF(AND(_xlfn.XLOOKUP(B252,'Base stats'!B:B,'Base stats'!AL:AL)=0,OR(AO252&lt;0.55,AND(BI252="Intermediate",_xlfn.XLOOKUP(_xlfn.XLOOKUP(B252,'Base stats'!B:B,'Base stats'!E:E),Groups!A:A,Groups!B:B)&lt;2))), (18 + BR252 * 2.7),
      IF(OR(BI252="Advanced",_xlfn.XLOOKUP(B252,'Base stats'!B:B,'Base stats'!AL:AL)=1,_xlfn.XLOOKUP(_xlfn.XLOOKUP(B252,'Base stats'!B:B,'Base stats'!E:E),Groups!A:A,Groups!B:B)=2), (18 + BR252 * 2.7) + 250, (18 + BR252 * 2.7))
    )
  ))
  + AO252 * 80
  + IF(COUNTIF(EggMilk!K$2:K$998, A252) &gt; 0, 125, 0)
  + IF(COUNTIF(EggMilk!P$2:P$998, A252) &gt; 0, 90, 0)
  + IF(COUNTIF(EggMilk!A$2:A$998, A252) &gt; 0, 90, 0)
)
* (0.8 + 0.4 * J252)
* 0.75,25)</f>
        <v>550</v>
      </c>
      <c r="I252" s="2">
        <f>MROUND(ROUNDDOWN(_xlfn.XLOOKUP(B252,'Base stats'!B:B,'Base stats'!L:L)/3.6/(23.3/11),1),0.5)</f>
        <v>4.5</v>
      </c>
      <c r="J252" s="2">
        <f>IF(OR(_xlfn.XLOOKUP(B252,'Base stats'!B:B,'Base stats'!AB:AB)=1,_xlfn.XLOOKUP(_xlfn.XLOOKUP(B252,'Base stats'!B:B,'Base stats'!E:E),Groups!A:A,Groups!C:C)="Untamable"),1,IF(_xlfn.XLOOKUP(B252,'Base stats'!B:B,'Base stats'!AL:AL)=1,0.99,MIN(MROUND((1-0.6282*EXP(-0.459*AO252))*_xlfn.XLOOKUP(_xlfn.XLOOKUP(B252,'Base stats'!B:B,'Base stats'!E:E),Groups!A:A,Groups!C:C)*IF(_xlfn.XLOOKUP(B252,'Base stats'!B:B,'Base stats'!O:O)=1,0.5,IF(_xlfn.XLOOKUP(B252,'Base stats'!B:B,'Base stats'!O:O)=2,0,1)),0.05),IF(AO252&gt;3.5,0.985,0.95))))</f>
        <v>0.75</v>
      </c>
      <c r="K252" s="2">
        <f>ROUNDUP(AO252*_xlfn.XLOOKUP(_xlfn.XLOOKUP(B252,'Base stats'!B:B,'Base stats'!E:E),Groups!A:A,Groups!E:E),0)</f>
        <v>1</v>
      </c>
      <c r="L252" s="2">
        <f>IF(OR(_xlfn.XLOOKUP(_xlfn.XLOOKUP(B252,'Base stats'!B:B,'Base stats'!E:E),Groups!A:A,Groups!F:F)=2,ISNUMBER(SEARCH("SeaIce",BX252)),ISNUMBER(SEARCH("IceSheet",BX252))),-50,IF(OR(ISNUMBER(SEARCH("GlacialPlain",BX252)),ISNUMBER(SEARCH("Tundra",BX252))),-40,IF(OR(ISNUMBER(SEARCH("Alpine",BX252)),ISNUMBER(SEARCH("BorealForest",BX252)),ISNUMBER(SEARCH("ColdBog",BX252))),-30,IF(OR(ISNUMBER(SEARCH("TemperateForest",BX252)),ISNUMBER(SEARCH("TemperateSwamp",BX252))),-20,IF(_xlfn.XLOOKUP(_xlfn.XLOOKUP(B252,'Base stats'!B:B,'Base stats'!E:E),Groups!A:A,Groups!F:F)=1,-15,IF(OR(ISNUMBER(SEARCH("Desert",BX252)),ISNUMBER(SEARCH("ExtremeDesert",BX252))),-10,IF(OR(ISNUMBER(SEARCH("Grasslands",BX252)),ISNUMBER(SEARCH("TropicalRainforest",BX252)),ISNUMBER(SEARCH("TropicalSwamp",BX252))),10,0)))))))-IF(CC252="False",MIN(IFERROR(MAX(MROUND(LOG10(_xlfn.XLOOKUP(B252,'Base stats'!B:B,'Base stats'!C:C)^(2/3))*10,5),5),5),30))-_xlfn.XLOOKUP(B252,'Base stats'!B:B,'Base stats'!P:P)+IF(CC252="True",5,0)</f>
        <v>0</v>
      </c>
      <c r="M252" s="2">
        <f>IF(OR(_xlfn.XLOOKUP(_xlfn.XLOOKUP(B252,'Base stats'!B:B,'Base stats'!E:E),Groups!A:A,Groups!G:G)=2,ISNUMBER(SEARCH("Desert",BX252)),ISNUMBER(SEARCH("ExtremeDesert",BX252)),ISNUMBER(SEARCH("LavaField",BX252))),50,IF(ISNUMBER(SEARCH("Grasslands",BX252)),45,IF(OR(_xlfn.XLOOKUP(_xlfn.XLOOKUP(B252,'Base stats'!B:B,'Base stats'!E:E),Groups!A:A,Groups!G:G)=1,ISNUMBER(SEARCH("TropicalRainforest",BX252)),ISNUMBER(SEARCH("TropicalSwamp",BX252))),40,IF(OR(ISNUMBER(SEARCH("TemperateForest",BX252)),ISNUMBER(SEARCH("TemperateSwamp",BX252))),35,IF(OR(ISNUMBER(SEARCH("Alpine",BX252)),ISNUMBER(SEARCH("BorealForest",BX252)),ISNUMBER(SEARCH("ColdBog",BX252))),30,IF(ISNUMBER(OR(ISNUMBER(SEARCH("GlacialPlain",BX252)),SEARCH("Tundra",BX252))),25,IF(OR(ISNUMBER(SEARCH("SeaIce",BX252)),ISNUMBER(SEARCH("IceSheet",BX252)),ISNUMBER(SEARCH("TropicalSwamp",BX252))),10,35)))))))+_xlfn.XLOOKUP(B252,'Base stats'!B:B,'Base stats'!Q:Q)</f>
        <v>40</v>
      </c>
      <c r="N252" s="8">
        <f>IF(
_xlfn.XLOOKUP(
_xlfn.XLOOKUP(B252,'Base stats'!B:B,'Base stats'!E:E),
Groups!A:A,
Groups!L:L
)=1,
MIN(
MROUND(
IF(
_xlfn.XLOOKUP(B252,'Animals CE'!B:B,'Animals CE'!Z:Z)&lt;=1.5,
_xlfn.XLOOKUP(B252,'Animals CE'!B:B,'Animals CE'!Z:Z)/2+0.05,
0.8+
(_xlfn.XLOOKUP(B252,'Animals CE'!B:B,'Animals CE'!Z:Z)-1.5)
*0.02
),
0.05
),
200%
),
"No"
)</f>
        <v>0.1</v>
      </c>
      <c r="O252" s="8">
        <f>IF(
_xlfn.XLOOKUP(
_xlfn.XLOOKUP(B252,'Base stats'!B:B,'Base stats'!E:E),
Groups!A:A,
Groups!L:L
)=1,
MIN(
MROUND(
IF(
_xlfn.XLOOKUP(B252,'Animals CE'!B:B,'Animals CE'!AA:AA)&lt;=1.5,
_xlfn.XLOOKUP(B252,'Animals CE'!B:B,'Animals CE'!AA:AA)/2+0.05,
0.8+
(_xlfn.XLOOKUP(B252,'Animals CE'!B:B,'Animals CE'!AA:AA)-1.5)
*0.02
),
0.05
),
200%
),
"No"
)</f>
        <v>0.1</v>
      </c>
      <c r="P252" s="2" t="str">
        <f>_xlfn.XLOOKUP(B252,'Base stats'!B:B,'Base stats'!R:R)</f>
        <v>Standard</v>
      </c>
      <c r="Q252" s="13">
        <f>MROUND((LOG10(_xlfn.XLOOKUP(B252,'Base stats'!B:B,'Base stats'!AR:AR))*(AO252^0.5)+(_xlfn.XLOOKUP(B252,'Base stats'!B:B,'Base stats'!AR:AR)/1000)^(2/3)+_xlfn.XLOOKUP(B252,'Base stats'!B:B,'Base stats'!BA:BA)/2)+0.5,0.5)</f>
        <v>7</v>
      </c>
      <c r="R252" s="7">
        <f>IF(Q252="No","No",MAX(1,MROUND(_xlfn.XLOOKUP(B252,'Base stats'!B:B,'Base stats'!C:C)^0.165,0.05)))</f>
        <v>2</v>
      </c>
      <c r="S252" s="13" t="str">
        <f>IF(_xlfn.XLOOKUP(_xlfn.XLOOKUP(B252,'Base stats'!B:B,'Base stats'!E:E),Groups!A:A,Groups!P:P)=0,"No",MROUND((LOG10(_xlfn.XLOOKUP(B252,'Base stats'!B:B,'Base stats'!AS:AS))*(AO252^0.5)+(_xlfn.XLOOKUP(B252,'Base stats'!B:B,'Base stats'!AS:AS)/1000)^(2/3)+_xlfn.XLOOKUP(B252,'Base stats'!B:B,'Base stats'!BA:BA))+_xlfn.XLOOKUP(B252,'Base stats'!B:B,'Base stats'!AY:AY)+0.5,0.5))</f>
        <v>No</v>
      </c>
      <c r="T252" s="7" t="str">
        <f>IF(S252="No","No",MAX(_xlfn.XLOOKUP(_xlfn.XLOOKUP(B252,'Base stats'!B:B,'Base stats'!E:E),Groups!A:A,Groups!Q:Q),MROUND(_xlfn.XLOOKUP(_xlfn.XLOOKUP(B252,'Base stats'!B:B,'Base stats'!E:E),Groups!A:A,Groups!Q:Q)*_xlfn.XLOOKUP(B252,'Base stats'!B:B,'Base stats'!C:C)^0.165,0.05)))</f>
        <v>No</v>
      </c>
      <c r="U252" s="7" t="str">
        <f>IF(S252="No","No",_xlfn.XLOOKUP(_xlfn.XLOOKUP(B252,'Base stats'!B:B,'Base stats'!E:E),Groups!A:A,Groups!R:R))</f>
        <v>No</v>
      </c>
      <c r="V252" s="7" t="str">
        <f>IF(S252="No","No",_xlfn.XLOOKUP(_xlfn.XLOOKUP(B252,'Base stats'!B:B,'Base stats'!E:E),Groups!A:A,Groups!S:S))</f>
        <v>No</v>
      </c>
      <c r="W252" s="7" t="str">
        <f>IF(S252="No","No",_xlfn.XLOOKUP(_xlfn.XLOOKUP(B252,'Base stats'!B:B,'Base stats'!E:E),Groups!A:A,Groups!T:T))</f>
        <v>No</v>
      </c>
      <c r="X252" s="13" t="str">
        <f>IF(_xlfn.XLOOKUP(B252,'Base stats'!B:B,'Base stats'!W:W)="No","No",MROUND((LOG10(_xlfn.XLOOKUP(B252,'Base stats'!B:B,'Base stats'!AU:AU))*(AO252^0.5)+(_xlfn.XLOOKUP(B252,'Base stats'!B:B,'Base stats'!AU:AU)/1000)^(2/3)+_xlfn.XLOOKUP(B252,'Base stats'!B:B,'Base stats'!AZ:AZ))+0.5+IF(_xlfn.XLOOKUP(_xlfn.XLOOKUP(B252,'Base stats'!B:B,'Base stats'!E:E),Groups!A:A,Groups!U:U)&lt;&gt;3,_xlfn.XLOOKUP(B252,'Base stats'!B:B,'Base stats'!BA:BA),0),0.5))</f>
        <v>No</v>
      </c>
      <c r="Y252" s="7" t="str">
        <f>IF(X252="No","No",MAX(_xlfn.XLOOKUP(_xlfn.XLOOKUP(B252,'Base stats'!B:B,'Base stats'!E:E),Groups!A:A,Groups!V:V),MROUND(_xlfn.XLOOKUP(_xlfn.XLOOKUP(B252,'Base stats'!B:B,'Base stats'!E:E),Groups!A:A,Groups!V:V)*_xlfn.XLOOKUP(B252,'Base stats'!B:B,'Base stats'!C:C)^0.165,0.05)))</f>
        <v>No</v>
      </c>
      <c r="Z252" s="7" t="str">
        <f>IF(X252="No","No",_xlfn.XLOOKUP(_xlfn.XLOOKUP(B252,'Base stats'!B:B,'Base stats'!E:E),Groups!A:A,Groups!W:W))</f>
        <v>No</v>
      </c>
      <c r="AA252" s="7" t="str">
        <f>IF(X252="No","No",_xlfn.XLOOKUP(_xlfn.XLOOKUP(B252,'Base stats'!B:B,'Base stats'!E:E),Groups!A:A,Groups!X:X))</f>
        <v>No</v>
      </c>
      <c r="AB252" s="7" t="str">
        <f>IF(X252="No","No",_xlfn.XLOOKUP(_xlfn.XLOOKUP(B252,'Base stats'!B:B,'Base stats'!E:E),Groups!A:A,Groups!Y:Y))</f>
        <v>No</v>
      </c>
      <c r="AC252" s="7" t="str">
        <f>_xlfn.XLOOKUP(Animals!B252,'Base stats'!B:B,'Base stats'!X:X)</f>
        <v>False</v>
      </c>
      <c r="AD252" s="13">
        <f>IF(_xlfn.XLOOKUP(B252,'Base stats'!B:B,'Base stats'!AT:AT)="No","No",MROUND((LOG10(_xlfn.XLOOKUP(B252,'Base stats'!B:B,'Base stats'!AT:AT))*(AO252^0.75)+(_xlfn.XLOOKUP(B252,'Base stats'!B:B,'Base stats'!AT:AT)/1000)^(2/3)+_xlfn.XLOOKUP(B252,'Base stats'!B:B,'Base stats'!AX:AX)+_xlfn.XLOOKUP(B252,'Base stats'!B:B,'Base stats'!BA:BA))+0.5,0.5))</f>
        <v>13.5</v>
      </c>
      <c r="AE252" s="7">
        <f>IF(AD252="No","No",MAX(_xlfn.XLOOKUP(_xlfn.XLOOKUP(B252,'Base stats'!B:B,'Base stats'!E:E),Groups!A:A,Groups!Z:Z),MROUND(_xlfn.XLOOKUP(_xlfn.XLOOKUP(B252,'Base stats'!B:B,'Base stats'!E:E),Groups!A:A,Groups!Z:Z)*_xlfn.XLOOKUP(B252,'Base stats'!B:B,'Base stats'!C:C)^0.165,0.05)))</f>
        <v>1.6</v>
      </c>
      <c r="AF252" s="7" t="str">
        <f>IF(AD252="No","No",_xlfn.XLOOKUP(_xlfn.XLOOKUP(B252,'Base stats'!B:B,'Base stats'!E:E),Groups!A:A,Groups!AA:AA))</f>
        <v>Teeth</v>
      </c>
      <c r="AG252" s="7" t="str">
        <f>IF(AD252="No","No",_xlfn.XLOOKUP(_xlfn.XLOOKUP(B252,'Base stats'!B:B,'Base stats'!E:E),Groups!A:A,Groups!AB:AB))</f>
        <v>teeth</v>
      </c>
      <c r="AH252" s="7" t="str">
        <f>IF(AD252="No","No",_xlfn.XLOOKUP(_xlfn.XLOOKUP(B252,'Base stats'!B:B,'Base stats'!E:E),Groups!A:A,Groups!AC:AC))</f>
        <v>Bite</v>
      </c>
      <c r="AI252" s="13">
        <f>IF(_xlfn.XLOOKUP(_xlfn.XLOOKUP(B252,'Base stats'!B:B,'Base stats'!E:E),Groups!A:A,Groups!AD:AD)=0,"No",MROUND((LOG10(_xlfn.XLOOKUP(B252,'Base stats'!B:B,'Base stats'!AS:AS))*(AO252^0.75)+(_xlfn.XLOOKUP(B252,'Base stats'!B:B,'Base stats'!AS:AS)/1000)^(2/3)+_xlfn.XLOOKUP(B252,'Base stats'!B:B,'Base stats'!AY:AY)+_xlfn.XLOOKUP(B252,'Base stats'!B:B,'Base stats'!BA:BA))+0.5,0.5))</f>
        <v>10.5</v>
      </c>
      <c r="AJ252" s="7">
        <f>IF(AI252="No","No",MAX(_xlfn.XLOOKUP(_xlfn.XLOOKUP(B252,'Base stats'!B:B,'Base stats'!E:E),Groups!A:A,Groups!AE:AE),MROUND(_xlfn.XLOOKUP(_xlfn.XLOOKUP(B252,'Base stats'!B:B,'Base stats'!E:E),Groups!A:A,Groups!AE:AE)*IF(_xlfn.XLOOKUP(_xlfn.XLOOKUP(B252,'Base stats'!B:B,'Base stats'!E:E),Groups!A:A,Groups!AJ:AJ)="Photonozoa",0.6,1)*_xlfn.XLOOKUP(B252,'Base stats'!B:B,'Base stats'!C:C)^0.165,0.05)))</f>
        <v>1.3</v>
      </c>
      <c r="AK252" s="7" t="str">
        <f>IF(AI252="No","No",_xlfn.XLOOKUP(_xlfn.XLOOKUP(B252,'Base stats'!B:B,'Base stats'!E:E),Groups!A:A,Groups!AF:AF))</f>
        <v>FrontLeftClaws, FrontRightClaws</v>
      </c>
      <c r="AL252" s="7" t="str">
        <f>IF(AI252="No","No",_xlfn.XLOOKUP(_xlfn.XLOOKUP(B252,'Base stats'!B:B,'Base stats'!E:E),Groups!A:A,Groups!AG:AG))</f>
        <v>left dragonclaw, right dragonclaw</v>
      </c>
      <c r="AM252" s="7" t="str">
        <f>IF(AI252="No","No",_xlfn.XLOOKUP(_xlfn.XLOOKUP(B252,'Base stats'!B:B,'Base stats'!E:E),Groups!A:A,Groups!AH:AH))</f>
        <v>Scratch</v>
      </c>
      <c r="AN252" s="2" t="str">
        <f t="shared" si="21"/>
        <v>No</v>
      </c>
      <c r="AO252" s="2">
        <f>MROUND(IF(AND(_xlfn.XLOOKUP(B252,'Base stats'!B:B,'Base stats'!C:C)&gt;=0.5,_xlfn.XLOOKUP(B252,'Base stats'!B:B,'Base stats'!C:C)&lt;=0.8),
IF(_xlfn.XLOOKUP(B252,'Base stats'!B:B,'Base stats'!C:C)&lt;0.1,0.05,IF(_xlfn.XLOOKUP(B252,'Base stats'!B:B,'Base stats'!C:C)&lt;=70,(_xlfn.XLOOKUP(B252,'Base stats'!B:B,'Base stats'!C:C)/70)^0.426489913056526,IF(_xlfn.XLOOKUP(B252,'Base stats'!B:B,'Base stats'!C:C)&lt;=400,(_xlfn.XLOOKUP(B252,'Base stats'!B:B,'Base stats'!C:C)/70)^0.572811455315093,IF(_xlfn.XLOOKUP(B252,'Base stats'!B:B,'Base stats'!C:C)&lt;=2000,2.71391647193063*(_xlfn.XLOOKUP(B252,'Base stats'!B:B,'Base stats'!C:C)/400)^0.252459582904293,3.74314280240376*(_xlfn.XLOOKUP(B252,'Base stats'!B:B,'Base stats'!C:C)/2000)^0.357012633876913)))),
IF(_xlfn.XLOOKUP(B252,'Base stats'!B:B,'Base stats'!C:C)&lt;0.1,0.05,IF(_xlfn.XLOOKUP(B252,'Base stats'!B:B,'Base stats'!C:C)&lt;0.4,0.1,IF(_xlfn.XLOOKUP(B252,'Base stats'!B:B,'Base stats'!C:C)&lt;=70,(_xlfn.XLOOKUP(B252,'Base stats'!B:B,'Base stats'!C:C)/70)^0.445823913056526,IF(_xlfn.XLOOKUP(B252,'Base stats'!B:B,'Base stats'!C:C)&lt;=400,(_xlfn.XLOOKUP(B252,'Base stats'!B:B,'Base stats'!C:C)/70)^0.572811455315093,IF(_xlfn.XLOOKUP(B252,'Base stats'!B:B,'Base stats'!C:C)&lt;=2000,2.71391647193063*(_xlfn.XLOOKUP(B252,'Base stats'!B:B,'Base stats'!C:C)/400)^0.252459582904293,3.74314280240376*(_xlfn.XLOOKUP(B252,'Base stats'!B:B,'Base stats'!C:C)/2000)^0.357012633876913)))))),
IF(_xlfn.XLOOKUP(B252,'Base stats'!B:B,'Base stats'!C:C)&lt;0.1,0.05,IF(_xlfn.XLOOKUP(B252,'Base stats'!B:B,'Base stats'!C:C)&lt;=100,0.05,IF(_xlfn.XLOOKUP(B252,'Base stats'!B:B,'Base stats'!C:C)&lt;=250,0.1,IF(_xlfn.XLOOKUP(B252,'Base stats'!B:B,'Base stats'!C:C)&lt;=4000,0.25,0.5)))))</f>
        <v>1</v>
      </c>
      <c r="AP252" s="8">
        <f>MROUND(AO252*_xlfn.XLOOKUP(_xlfn.XLOOKUP(B252,'Base stats'!B:B,'Base stats'!E:E),Groups!A:A,Groups!AI:AI)*_xlfn.XLOOKUP(B252,'Base stats'!B:B,'Base stats'!Z:Z),0.05)</f>
        <v>1.2000000000000002</v>
      </c>
      <c r="AQ252" s="8">
        <f>MAX(0.01,MROUND(IF(CC252="True",0.196*(AO252*100*1000)^0.889,IF(_xlfn.XLOOKUP(_xlfn.XLOOKUP(B252,'Base stats'!B:B,'Base stats'!E:E),Groups!A:A,Groups!AJ:AJ)="Bird",10.5*(AO252*100*1000)^0.681,4.82*(AO252*100*1000)^0.734))/(4.82*(1*100*1000)^0.734)/IF(AO252&lt;3.5,2,IF(AO252=3.5,1.5,1.25))*(1+0.132282374779864/(AO252^0.994035016789033+0.00905238001496948)),0.05))</f>
        <v>0.55000000000000004</v>
      </c>
      <c r="AR252" s="9">
        <f>IFERROR(MROUND(_xlfn.XLOOKUP(B252,'Base stats'!B:B,'Base stats'!H:H)/IF(_xlfn.XLOOKUP(B252,'Base stats'!B:B,'Base stats'!I:I)&lt;&gt;1,(122.5/70),1.2),IF(_xlfn.XLOOKUP(B252,'Base stats'!B:B,'Base stats'!H:H)&gt;=30,5,IF(_xlfn.XLOOKUP(B252,'Base stats'!B:B,'Base stats'!H:H)&gt;=15,3,IF(_xlfn.XLOOKUP(B252,'Base stats'!B:B,'Base stats'!H:H)&gt;=10,2,1)))),"Immortal")</f>
        <v>18</v>
      </c>
      <c r="AS252" s="35">
        <f>IFERROR(IF(OR(_xlfn.XLOOKUP(B252,'Base stats'!B:B,'Base stats'!F:F)="Atypical reproduction",_xlfn.XLOOKUP(B252,'Base stats'!B:B,'Base stats'!F:F)="Lay eggs"),"Lay eggs",MIN(20,MAX(5.5,ROUND(((_xlfn.XLOOKUP(B252,'Base stats'!B:B,'Base stats'!F:F)-25)*(14.5/615) + 5.5)*2,0)/2))),"Unknown")</f>
        <v>7</v>
      </c>
      <c r="AT252" s="8">
        <f>IF(_xlfn.XLOOKUP(B252,'Base stats'!B:B,'Base stats'!G:G)="Atypical reproduction","No",IFERROR(MAX(IF(_xlfn.XLOOKUP(B252,'Base stats'!B:B,'Base stats'!G:G)&lt;0.5,0.2,0.3),MROUND(_xlfn.XLOOKUP(B252,'Base stats'!B:B,'Base stats'!G:G)/(365/60),0.2)),"Unknown"))</f>
        <v>0.4</v>
      </c>
      <c r="AU252" s="8">
        <f t="shared" si="22"/>
        <v>0.2</v>
      </c>
      <c r="AV252" s="8">
        <f>IFERROR(IFERROR(MROUND(_xlfn.XLOOKUP(B252,'Base stats'!B:B,'Base stats'!J:J),0.1),"Lay eggs"),"Cannot breed")</f>
        <v>2</v>
      </c>
      <c r="AW252" s="2" t="str">
        <f t="shared" si="23"/>
        <v>false</v>
      </c>
      <c r="AX252" s="2" t="str">
        <f>IF(_xlfn.XLOOKUP(_xlfn.XLOOKUP(Animals!B252,'Base stats'!B:B,'Base stats'!E:E),Groups!A:A,Groups!AK:AK)=1,"true","false")</f>
        <v>false</v>
      </c>
      <c r="AY252" s="25" t="str">
        <f>IF(_xlfn.XLOOKUP(B252,'Base stats'!B:B,'Base stats'!Y:Y)="Liquor","Liquor, CarnivoreAnimalStrict",IF(AND(_xlfn.XLOOKUP(B252,'Base stats'!B:B,'Base stats'!Y:Y)="Carnivore",_xlfn.XLOOKUP(_xlfn.XLOOKUP(B252,'Base stats'!B:B,'Base stats'!E:E),Groups!A:A,Groups!AJ:AJ)="Photonozoa"),"CarnivoreAnimalStrict, OvivoreAnimal",IF(_xlfn.XLOOKUP(B252,'Base stats'!B:B,'Base stats'!Y:Y)="Carnivore","CarnivoreAnimal, OvivoreAnimal",IF(_xlfn.XLOOKUP(B252,'Base stats'!B:B,'Base stats'!Y:Y)="Dendrovore","VegetarianRoughAnimal, DendrovoreAnimal",IF(_xlfn.XLOOKUP(B252,'Base stats'!B:B,'Base stats'!Y:Y)="Herbivore","VegetarianRoughAnimal",IF(_xlfn.XLOOKUP(B252,'Base stats'!B:B,'Base stats'!Y:Y)="OmnivoreRough","OmnivoreRoughAnimal, OvivoreAnimal","OmnivoreAnimal, OvivoreAnimal"))))))</f>
        <v>Liquor, CarnivoreAnimalStrict</v>
      </c>
      <c r="AZ252" s="2" t="str">
        <f>IF(_xlfn.XLOOKUP(_xlfn.XLOOKUP(B252,'Base stats'!B:B,'Base stats'!E:E),Groups!A:A,Groups!D:D)=1,MROUND((1-J252)*5+1,2)*IF(J252&lt;=0.4,2,1),"No")</f>
        <v>No</v>
      </c>
      <c r="BA252" s="2" t="str">
        <f>IF(AND(_xlfn.XLOOKUP(B252,'Base stats'!B:B,'Base stats'!AH:AH)="&lt;li&gt;Seal&lt;/li&gt;",G252="Odyssey"),"&lt;li&gt;AEXP_Seal&lt;/li&gt;",_xlfn.XLOOKUP(B252,'Base stats'!B:B,'Base stats'!AH:AH))</f>
        <v>&lt;li&gt;Iguana&lt;/li&gt;</v>
      </c>
      <c r="BB252" s="2" t="str">
        <f>_xlfn.XLOOKUP(B252,'Base stats'!B:B,'Base stats'!AG:AG)</f>
        <v>Leather_Lizard</v>
      </c>
      <c r="BC252" s="23" t="str">
        <f>_xlfn.XLOOKUP(_xlfn.XLOOKUP(B252,'Base stats'!B:B,'Base stats'!E:E),Groups!A:A,Groups!AL:AL)</f>
        <v>QuadrupedAnimalWithClawsTailAndJowl</v>
      </c>
      <c r="BD252" s="23">
        <f>MIN(1,MROUND(IF(AND(AO252&lt;0.5,_xlfn.XLOOKUP(B252,'Base stats'!B:B,'Base stats'!AA:AA)=0),0,IF(OR(_xlfn.XLOOKUP(Animals!B252,'Base stats'!B:B,'Base stats'!O:O)=2,_xlfn.XLOOKUP(_xlfn.XLOOKUP(B252,'Base stats'!B:B,'Base stats'!E:E),Groups!A:A,Groups!AN:AN)=0),0,_xlfn.XLOOKUP(_xlfn.XLOOKUP(B252,'Base stats'!B:B,'Base stats'!E:E),Groups!A:A,Groups!AN:AN)/IF(_xlfn.XLOOKUP(Animals!B252,'Base stats'!B:B,'Base stats'!O:O)=1,2,1)))+_xlfn.XLOOKUP(B252,'Base stats'!B:B,'Base stats'!AC:AC),0.005))</f>
        <v>0.1</v>
      </c>
      <c r="BE252" s="23">
        <f>MIN(1,MROUND(IF(AND(AO252&lt;0.5,_xlfn.XLOOKUP(B252,'Base stats'!B:B,'Base stats'!AA:AA)=0),0,IF(_xlfn.XLOOKUP(_xlfn.XLOOKUP(B252,'Base stats'!B:B,'Base stats'!E:E),Groups!A:A,Groups!AO:AO)=0,0,_xlfn.XLOOKUP(_xlfn.XLOOKUP(B252,'Base stats'!B:B,'Base stats'!E:E),Groups!A:A,Groups!AO:AO)/IF(_xlfn.XLOOKUP(Animals!B252,'Base stats'!B:B,'Base stats'!O:O)=2,3,1)))+_xlfn.XLOOKUP(B252,'Base stats'!B:B,'Base stats'!AD:AD),0.005))</f>
        <v>0.3</v>
      </c>
      <c r="BF252" s="2" t="str">
        <f>IF(J252&gt;0.3,"No",_xlfn.XLOOKUP(_xlfn.XLOOKUP(Animals!B252,'Base stats'!B:B,'Base stats'!E:E),Groups!A:A,Groups!AP:AP))</f>
        <v>No</v>
      </c>
      <c r="BG252" s="2" t="str">
        <f>IF(AND(J252&lt;=0.65,_xlfn.XLOOKUP(_xlfn.XLOOKUP(Animals!B252,'Base stats'!B:B,'Base stats'!E:E),Groups!A:A,Groups!AP:AP)&lt;&gt;"No",_xlfn.XLOOKUP(_xlfn.XLOOKUP(B252,'Base stats'!B:B,'Base stats'!E:E),Groups!A:A,Groups!D:D)=0),MROUND((80/3)*IF(_xlfn.XLOOKUP(B252,'Base stats'!B:B,'Base stats'!O:O)=2,0.2,AO252) + 24*(1-IF(BF252="No",0,BF252)) + 16/3, 12),"No")</f>
        <v>No</v>
      </c>
      <c r="BH252" s="2">
        <f>IF(AND(_xlfn.XLOOKUP(_xlfn.XLOOKUP(B252,'Base stats'!B:B,'Base stats'!E:E),Groups!A:A,Groups!AQ:AQ)=1,AO252&lt;=0.35),8,12)</f>
        <v>12</v>
      </c>
      <c r="BI252" s="2" t="str">
        <f>IF(_xlfn.XLOOKUP(_xlfn.XLOOKUP(B252,'Base stats'!B:B,'Base stats'!E:E),Groups!A:A,Groups!D:D)=0,_xlfn.XLOOKUP(_xlfn.XLOOKUP(B252,'Base stats'!B:B,'Base stats'!E:E),Groups!A:A,Groups!AR:AR),"None")</f>
        <v>Intermediate</v>
      </c>
      <c r="BJ252" s="2" t="str">
        <f>IF(AND(_xlfn.XLOOKUP(_xlfn.XLOOKUP(B252,'Base stats'!B:B,'Base stats'!E:E),Groups!A:A,Groups!AS:AS)=1,OR(_xlfn.XLOOKUP(B252,'Base stats'!B:B,'Base stats'!Y:Y)="Carnivore",_xlfn.XLOOKUP(B252,'Base stats'!B:B,'Base stats'!Y:Y)="Omnivore")),"true","false")</f>
        <v>false</v>
      </c>
      <c r="BK252" s="2" t="str">
        <f>IF(BJ252="true",MROUND(IF(AND(AO252&gt;0.5,OR(_xlfn.XLOOKUP(_xlfn.XLOOKUP(B252,'Base stats'!B:B,'Base stats'!E:E),Groups!A:A,Groups!AJ:AJ)="Photonozoa",_xlfn.XLOOKUP(_xlfn.XLOOKUP(B252,'Base stats'!B:B,'Base stats'!E:E),Groups!A:A,Groups!AJ:AJ)="Mammal")),Animals!AO252*1.75*IF(AW252="true",1.5,1),IF(AO252&lt;0.5,Animals!AO252*0.5,Animals!AO252)),IF(AO252&gt;2,0.5,IF(AO252&gt;0.5,0.25,0.1))),"No")</f>
        <v>No</v>
      </c>
      <c r="BL252" s="2">
        <f t="shared" si="24"/>
        <v>1</v>
      </c>
      <c r="BM252" s="25" t="str">
        <f>IF(_xlfn.XLOOKUP(B252,'Base stats'!B:B,'Base stats'!AN:AN)="Standard","No",MROUND((_xlfn.XLOOKUP(B252,'Base stats'!B:B,'Base stats'!AN:AN)/3.6)/I252,0.1))</f>
        <v>No</v>
      </c>
      <c r="BN252" s="25" t="str">
        <f t="shared" si="25"/>
        <v>false</v>
      </c>
      <c r="BO252" s="25" t="str">
        <f>IF(AND(OR(_xlfn.XLOOKUP(B252,'Base stats'!B:B,'Base stats'!Y:Y)="Carnivore",_xlfn.XLOOKUP(B252,'Base stats'!B:B,'Base stats'!Y:Y)="Omnivore",_xlfn.XLOOKUP(B252,'Base stats'!B:B,'Base stats'!Y:Y)="OmnivoreRough"),_xlfn.XLOOKUP(_xlfn.XLOOKUP(B252,'Base stats'!B:B,'Base stats'!E:E),Groups!A:A,Groups!AT:AT)=1),"true","false")</f>
        <v>false</v>
      </c>
      <c r="BP252" s="25" t="str" cm="1">
        <f t="array" ref="BP252">IF(
  _xlfn.TEXTJOIN(", ",TRUE,
    IF(AND(BJ252="true",AO252&gt;0.5,BI252&lt;&gt;"None"),"AttackTarget",""),
    IF(AND(_xlfn.XLOOKUP(_xlfn.XLOOKUP(B252,'Base stats'!B:B,'Base stats'!E:E),Groups!A:A,Groups!AJ:AJ="Mammal"),OR(_xlfn.XLOOKUP(B252,'Base stats'!B:B,'Base stats'!Y:Y)="Omnivore",_xlfn.XLOOKUP(B252,'Base stats'!B:B,'Base stats'!Y:Y)="OmnivoreRough")),"Forage",""),
    IF(BG252&lt;=36,"Comfort",""),
    IF(_xlfn.XLOOKUP(B252,'Base stats'!B:B,'Base stats'!AE:AE)&lt;&gt;"No",_xlfn.XLOOKUP(B252,'Base stats'!B:B,'Base stats'!AE:AE),"")
  ) = "",
  "No",
  _xlfn.TEXTJOIN(", ",TRUE,
    IF(AND(BJ252="true",AO252&gt;0.5,BI252&lt;&gt;"None"),"AttackTarget",""),
    IF(AND(_xlfn.XLOOKUP(_xlfn.XLOOKUP(B252,'Base stats'!B:B,'Base stats'!E:E),Groups!A:A,Groups!AJ:AJ="Mammal"),OR(_xlfn.XLOOKUP(B252,'Base stats'!B:B,'Base stats'!Y:Y)="Omnivore",_xlfn.XLOOKUP(B252,'Base stats'!B:B,'Base stats'!Y:Y)="OmnivoreRough")),"Forage",""),
    IF(BG252&lt;=36,"Comfort",""),
    IF(_xlfn.XLOOKUP(B252,'Base stats'!B:B,'Base stats'!AE:AE)&lt;&gt;"No",_xlfn.XLOOKUP(B252,'Base stats'!B:B,'Base stats'!AE:AE),"")
  )
)</f>
        <v>No</v>
      </c>
      <c r="BQ252" s="25" t="str">
        <f>IF(
   AND(
      'Base stats'!AN252="Standard",_xlfn.XLOOKUP(_xlfn.XLOOKUP(B252,'Base stats'!B:B,'Base stats'!E:E),Groups!A:A,Groups!AU:AU)=0,
      OR(
      BO252="True"
      )
   ),
   10,
   IF(
       OR(BM252&lt;&gt;"No",_xlfn.XLOOKUP(_xlfn.XLOOKUP(B252,'Base stats'!B:B,'Base stats'!E:E),Groups!A:A,Groups!AU:AU)=1),
      1,
      "No"
   )
)</f>
        <v>No</v>
      </c>
      <c r="BR252" s="9">
        <f>MROUND((1 + ((0.2*IF(OR(Q252="No",R252="No",R252=0),0,Q252/R252)
+IF(OR(V252="No",S252="No",T252="No"),0,S252/T252*(LEN(V252)-LEN(SUBSTITUTE(V252,",",""))+1))
+IF(OR(X252="No",Y252="No"),0,X252/Y252)
+IF(OR(AD252="No",AE252="No"),0,AD252/AE252)
+IF(OR(AL252="No",AI252="No",AJ252="No"),0,AI252/AJ252*(LEN(AL252)-LEN(SUBSTITUTE(AL252,",",""))+1))
)/(0.2*IF(OR(Q252="No",R252="No",R252=0),0,1)
+IF(OR(V252="No",S252="No",T252="No"),0,LEN(V252)-LEN(SUBSTITUTE(V252,",",""))+1)
+IF(OR(X252="No",Y252="No"),0,1)
+IF(OR(AD252="No",AE252="No"),0,1)
+IF(OR(AL252="No",AI252="No",AJ252="No"),0,LEN(AL252)-LEN(SUBSTITUTE(AL252,",",""))+1))*62%)* 2)*(1 + (AP252 / (IF(_xlfn.XLOOKUP(_xlfn.XLOOKUP(B252,'Base stats'!B:B,'Base stats'!E:E),Groups!A:A,Groups!AJ:AJ)="Photonozoa",0.3,1)) + _xlfn.XLOOKUP(B252,'Base stats'!B:B,'Base stats'!AV:AV) * 1.8) * 2) * 2.5 + 10 + I252 * 2,5)+IF(_xlfn.XLOOKUP(B252,'Base stats'!B:B,'Base stats'!AK:AK)=1,50,0)</f>
        <v>120</v>
      </c>
      <c r="BS252" s="8">
        <f t="shared" si="26"/>
        <v>0.65</v>
      </c>
      <c r="BT252" s="8" t="str">
        <f>_xlfn.XLOOKUP(B252,'Base stats'!B:B,'Base stats'!AF:AF)</f>
        <v>No</v>
      </c>
      <c r="BU252" s="2" t="str">
        <f>IF(AND(J252&lt;=0.95,OR(_xlfn.XLOOKUP(B252,'Base stats'!B:B,'Base stats'!AK:AK)=1,_xlfn.XLOOKUP(B252,'Base stats'!B:B,'Base stats'!Y:Y)="Carnivore",_xlfn.XLOOKUP(B252,'Base stats'!B:B,'Base stats'!Y:Y)="Omnivore",BE252&gt;0.1)),"true","false")</f>
        <v>true</v>
      </c>
      <c r="BV252" s="2" t="str">
        <f>IF(_xlfn.XLOOKUP(B252,'Base stats'!B:B,'Base stats'!AI:AI)=1,"true","false")</f>
        <v>false</v>
      </c>
      <c r="BW252" s="25" t="str">
        <f>IF(E252="BaseInsect","AnimalInsect",
IF(J252&gt;0.95,"AnimalExotic",
_xlfn.TEXTJOIN(", ",TRUE,
IF(OR(_xlfn.XLOOKUP(B252,'Base stats'!B:B,'Base stats'!AM:AM)=1,AND(_xlfn.XLOOKUP(B252,'Base stats'!B:B,'Base stats'!O:O)=0,_xlfn.XLOOKUP(_xlfn.XLOOKUP(B252,'Base stats'!B:B,'Base stats'!E:E),Groups!A:A,Groups!B:B)&gt;0)),"AnimalUncommon","AnimalCommon"),
IF(AND(_xlfn.XLOOKUP(B252,'Base stats'!B:B,'Base stats'!O:O)=2,_xlfn.XLOOKUP(_xlfn.XLOOKUP(B252,'Base stats'!B:B,'Base stats'!E:E),Groups!A:A,Groups!D:D)=0),"AnimalPet",IF(AND(_xlfn.XLOOKUP(B252,'Base stats'!B:B,'Base stats'!O:O)&lt;&gt;0,_xlfn.XLOOKUP(_xlfn.XLOOKUP(B252,'Base stats'!B:B,'Base stats'!E:E),Groups!A:A,Groups!D:D)&lt;&gt;0),"AnimalFarm","")),
IF(OR(_xlfn.XLOOKUP(B252,'Base stats'!B:B,'Base stats'!AK:AK)=1,AND(BI252&lt;&gt;"None",BR252&gt;=60),ISNUMBER(SEARCH("Attack target",BP252))),"AnimalFighter","")
)))</f>
        <v>AnimalUncommon, AnimalFighter</v>
      </c>
      <c r="BX252" s="25" t="str">
        <f>IF(G252="None",TRIM(
SUBSTITUTE(
IF(COUNTIF(Biomes!B$2:B$259,"="&amp;$C252)&gt;0,Biomes!B$1&amp;", ","")&amp;
IF(COUNTIF(Biomes!C$2:C$259,"="&amp;$C252)&gt;0,Biomes!C$1&amp;", ","")&amp;
IF(COUNTIF(Biomes!D$2:D$259,"="&amp;$C252)&gt;0,Biomes!D$1&amp;", ","")&amp;
IF(COUNTIF(Biomes!F$2:F$259,"="&amp;$C252)&gt;0,Biomes!F$1&amp;", ","")&amp;
IF(COUNTIF(Biomes!G$2:G$259,"="&amp;$C252)&gt;0,Biomes!G$1&amp;", ","")&amp;
IF(COUNTIF(Biomes!H$2:H$259,"="&amp;$C252)&gt;0,Biomes!H$1&amp;", ","")&amp;
IF(COUNTIF(Biomes!I$2:I$259,"="&amp;$C252)&gt;0,Biomes!I$1&amp;", ","")&amp;
IF(COUNTIF(Biomes!J$2:J$259,"="&amp;$C252)&gt;0,Biomes!J$1&amp;", ","")&amp;
IF(COUNTIF(Biomes!M$2:M$259,"="&amp;$C252)&gt;0,Biomes!M$1&amp;", ","")&amp;
IF(COUNTIF(Biomes!N$2:N$259,"="&amp;$C252)&gt;0,Biomes!N$1&amp;", ","")&amp;
IF(COUNTIF(Biomes!O$2:O$259,"="&amp;$C252)&gt;0,Biomes!O$1&amp;", ","")&amp;
IF(COUNTIF(Biomes!P$2:P$259,"="&amp;$C252)&gt;0,Biomes!P$1&amp;", ","")&amp;
IF(COUNTIF(Biomes!K$2:K$259,"="&amp;$C252)&gt;0,Biomes!K$1&amp;", ","")&amp;
IF(COUNTIF(Biomes!Q$3:Q$259,"="&amp;$C252)&gt;0,Biomes!Q$1&amp;", ","")&amp;
IF(COUNTIF(Biomes!L$2:L$259,"="&amp;$C252)&gt;0,Biomes!L$1&amp;", ","")&amp;
IF(COUNTIF(Biomes!E$2:E$259,"="&amp;$C252)&gt;0,Biomes!E$1&amp;", ","")&amp;IF(COUNTIF(Biomes!S$2:S$259,"="&amp;$C252)&gt;0,Biomes!S$1&amp;", ","")&amp;
IF(COUNTIF(Biomes!R$2:R$259,"="&amp;$C252)&gt;0,Biomes!R$1&amp;", ",""),", ","")
),_xlfn.XLOOKUP(B252,B:B,BX:BX))</f>
        <v>TropicalRainforest TropicalSwamp Glowforest</v>
      </c>
      <c r="BY252" s="25" t="str">
        <f>IF(_xlfn.XLOOKUP(B252,'Base stats'!B:B,'Base stats'!AJ:AJ)=1,"true","false")</f>
        <v>false</v>
      </c>
      <c r="BZ252" s="25">
        <f>IF(_xlfn.XLOOKUP(B252,'Base stats'!B:B,'Base stats'!N:N)=1,"No",MAX(0.001,MIN(MROUND(IF(AND(BJ252="True",CC252="False"),POWER(10,3.47*LOG10(_xlfn.XLOOKUP(B252,'Base stats'!B:B,'Base stats'!C:C)*1000)^-0.96),POWER(10,4.15*LOG10(_xlfn.XLOOKUP(B252,'Base stats'!B:B,'Base stats'!C:C)*1000)^-0.73))*IF(_xlfn.XLOOKUP(B252,'Base stats'!B:B,'Base stats'!AK:AK)=1,0.5,1)*IF(_xlfn.XLOOKUP(B252,'Base stats'!B:B,'Base stats'!AM:AM)=1,0.1,1)/100,IF(_xlfn.XLOOKUP(B252,'Base stats'!B:B,'Base stats'!AM:AM)=1,0.001,0.025)),0.5)))</f>
        <v>0.02</v>
      </c>
      <c r="CA252" s="25" t="str">
        <f>IF(P252="Standard","No",MAX(0.001,MIN(MROUND(IF(AND(BJ252="True",CC252="False"),POWER(10,3.47*LOG10(_xlfn.XLOOKUP(B252,'Base stats'!B:B,'Base stats'!C:C)*1000)^-0.96),POWER(10,4.15*LOG10(_xlfn.XLOOKUP(B252,'Base stats'!B:B,'Base stats'!C:C)*1000)^-0.73))*IF(_xlfn.XLOOKUP(B252,'Base stats'!B:B,'Base stats'!AM:AM)=1,0.1,1)*_xlfn.XLOOKUP(B252,'Base stats'!B:B,'Base stats'!R:R)/100,IF(_xlfn.XLOOKUP(B252,'Base stats'!B:B,'Base stats'!AM:AM)=1,0.001,0.025)),0.5)))</f>
        <v>No</v>
      </c>
      <c r="CB252" s="25" t="str">
        <f>IF(_xlfn.XLOOKUP(_xlfn.XLOOKUP(B252,'Base stats'!B:B,'Base stats'!E:E),Groups!A:A,Groups!AJ:AJ)="Mammal","True","False")</f>
        <v>False</v>
      </c>
      <c r="CC252" s="25" t="str">
        <f>IF(OR(_xlfn.XLOOKUP(_xlfn.XLOOKUP(B252,'Base stats'!B:B,'Base stats'!E:E),Groups!A:A,Groups!AJ:AJ)="Reptile",_xlfn.XLOOKUP(_xlfn.XLOOKUP(B252,'Base stats'!B:B,'Base stats'!E:E),Groups!A:A,Groups!AJ:AJ)="Amphibian",_xlfn.XLOOKUP(_xlfn.XLOOKUP(B252,'Base stats'!B:B,'Base stats'!E:E),Groups!A:A,Groups!AJ:AJ)="Invertebrate"),"True","False")</f>
        <v>False</v>
      </c>
      <c r="CD252" s="25" t="str">
        <f t="shared" si="27"/>
        <v>False</v>
      </c>
      <c r="CE252" s="25" t="str">
        <f>IF(_xlfn.XLOOKUP(_xlfn.XLOOKUP(B252,'Base stats'!B:B,'Base stats'!E:E),Groups!A:A,Groups!AX:AX),"True","False")</f>
        <v>False</v>
      </c>
      <c r="CF252" s="25" t="str">
        <f>IF(_xlfn.XLOOKUP(_xlfn.XLOOKUP(B252,'Base stats'!B:B,'Base stats'!E:E),Groups!A:A,Groups!AY:AY),"True","False")</f>
        <v>False</v>
      </c>
      <c r="CG252" s="25" t="str">
        <f>IF(_xlfn.XLOOKUP(_xlfn.XLOOKUP(B252,'Base stats'!B:B,'Base stats'!E:E),Groups!A:A,Groups!AW:AW),"True","False")</f>
        <v>False</v>
      </c>
      <c r="CH252" s="25" t="str">
        <f>IF(
OR(
_xlfn.XLOOKUP(_xlfn.XLOOKUP(B252,'Base stats'!B:B,'Base stats'!E:E),Groups!A:A,Groups!AZ:AZ)=0,
AND(
_xlfn.XLOOKUP(B252,'Base stats'!B:B,'Base stats'!Y:Y)&lt;&gt;"Carnivore",
_xlfn.XLOOKUP(B252,'Base stats'!B:B,'Base stats'!Y:Y)&lt;&gt;"Omnivore",
_xlfn.XLOOKUP(B252,'Base stats'!B:B,'Base stats'!Y:Y)&lt;&gt;"OmnivoreRough"
)
),
"No",
IF(
_xlfn.XLOOKUP(_xlfn.XLOOKUP(B252,'Base stats'!B:B,'Base stats'!E:E),Groups!A:A,Groups!AZ:AZ)=1,
"Flesh",
IF(
_xlfn.XLOOKUP(_xlfn.XLOOKUP(B252,'Base stats'!B:B,'Base stats'!E:E),Groups!A:A,Groups!AZ:AZ)=2,
"Bone",
""
)
)
)</f>
        <v>No</v>
      </c>
      <c r="CI252" s="25" t="str">
        <f>IF(_xlfn.XLOOKUP(_xlfn.XLOOKUP(B252,'Base stats'!B:B,'Base stats'!E:E),Groups!A:A,Groups!BB:BB),"True","False")</f>
        <v>False</v>
      </c>
      <c r="CJ252" s="25" t="str">
        <f>IF(_xlfn.XLOOKUP(_xlfn.XLOOKUP(B252,'Base stats'!B:B,'Base stats'!E:E),Groups!A:A,Groups!BA:BA),"True","False")</f>
        <v>False</v>
      </c>
    </row>
    <row r="253" spans="1:88" ht="16.5" thickTop="1" thickBot="1" x14ac:dyDescent="0.3">
      <c r="A253" s="26" t="s">
        <v>1412</v>
      </c>
      <c r="B253" s="6" t="str">
        <f>_xlfn.XLOOKUP(A253,'Base stats'!A:A,'Base stats'!B:B)</f>
        <v>Avis desertum</v>
      </c>
      <c r="C253" s="28" t="s">
        <v>1413</v>
      </c>
      <c r="D253" s="28" t="s">
        <v>1341</v>
      </c>
      <c r="E253" s="28" t="s">
        <v>673</v>
      </c>
      <c r="F253" s="28" t="s">
        <v>673</v>
      </c>
      <c r="G253" s="28" t="s">
        <v>673</v>
      </c>
      <c r="H253" s="2">
        <f>MROUND((
  (IF(AND(_xlfn.XLOOKUP(B253,'Base stats'!B:B,'Base stats'!AL:AL)=0,BI253="None",_xlfn.XLOOKUP(_xlfn.XLOOKUP(B253,'Base stats'!B:B,'Base stats'!E:E),Groups!A:A,Groups!B:B)=0), (18 + BR253 * 2.7) * 0.5,
    IF(AND(_xlfn.XLOOKUP(B253,'Base stats'!B:B,'Base stats'!AL:AL)=0,OR(AO253&lt;0.55,AND(BI253="Intermediate",_xlfn.XLOOKUP(_xlfn.XLOOKUP(B253,'Base stats'!B:B,'Base stats'!E:E),Groups!A:A,Groups!B:B)&lt;2))), (18 + BR253 * 2.7),
      IF(OR(BI253="Advanced",_xlfn.XLOOKUP(B253,'Base stats'!B:B,'Base stats'!AL:AL)=1,_xlfn.XLOOKUP(_xlfn.XLOOKUP(B253,'Base stats'!B:B,'Base stats'!E:E),Groups!A:A,Groups!B:B)=2), (18 + BR253 * 2.7) + 250, (18 + BR253 * 2.7))
    )
  ))
  + AO253 * 80
  + IF(COUNTIF(EggMilk!K$2:K$998, A253) &gt; 0, 125, 0)
  + IF(COUNTIF(EggMilk!P$2:P$998, A253) &gt; 0, 90, 0)
  + IF(COUNTIF(EggMilk!A$2:A$998, A253) &gt; 0, 90, 0)
)
* (0.8 + 0.4 * J253)
* 0.75,25)</f>
        <v>425</v>
      </c>
      <c r="I253" s="2">
        <f>MROUND(ROUNDDOWN(_xlfn.XLOOKUP(B253,'Base stats'!B:B,'Base stats'!L:L)/3.6/(23.3/11),1),0.5)</f>
        <v>8.5</v>
      </c>
      <c r="J253" s="2">
        <f>IF(OR(_xlfn.XLOOKUP(B253,'Base stats'!B:B,'Base stats'!AB:AB)=1,_xlfn.XLOOKUP(_xlfn.XLOOKUP(B253,'Base stats'!B:B,'Base stats'!E:E),Groups!A:A,Groups!C:C)="Untamable"),1,IF(_xlfn.XLOOKUP(B253,'Base stats'!B:B,'Base stats'!AL:AL)=1,0.99,MIN(MROUND((1-0.6282*EXP(-0.459*AO253))*_xlfn.XLOOKUP(_xlfn.XLOOKUP(B253,'Base stats'!B:B,'Base stats'!E:E),Groups!A:A,Groups!C:C)*IF(_xlfn.XLOOKUP(B253,'Base stats'!B:B,'Base stats'!O:O)=1,0.5,IF(_xlfn.XLOOKUP(B253,'Base stats'!B:B,'Base stats'!O:O)=2,0,1)),0.05),IF(AO253&gt;3.5,0.985,0.95))))</f>
        <v>0.9</v>
      </c>
      <c r="K253" s="2">
        <f>ROUNDUP(AO253*_xlfn.XLOOKUP(_xlfn.XLOOKUP(B253,'Base stats'!B:B,'Base stats'!E:E),Groups!A:A,Groups!E:E),0)</f>
        <v>19</v>
      </c>
      <c r="L253" s="2">
        <f>IF(OR(_xlfn.XLOOKUP(_xlfn.XLOOKUP(B253,'Base stats'!B:B,'Base stats'!E:E),Groups!A:A,Groups!F:F)=2,ISNUMBER(SEARCH("SeaIce",BX253)),ISNUMBER(SEARCH("IceSheet",BX253))),-50,IF(OR(ISNUMBER(SEARCH("GlacialPlain",BX253)),ISNUMBER(SEARCH("Tundra",BX253))),-40,IF(OR(ISNUMBER(SEARCH("Alpine",BX253)),ISNUMBER(SEARCH("BorealForest",BX253)),ISNUMBER(SEARCH("ColdBog",BX253))),-30,IF(OR(ISNUMBER(SEARCH("TemperateForest",BX253)),ISNUMBER(SEARCH("TemperateSwamp",BX253))),-20,IF(_xlfn.XLOOKUP(_xlfn.XLOOKUP(B253,'Base stats'!B:B,'Base stats'!E:E),Groups!A:A,Groups!F:F)=1,-15,IF(OR(ISNUMBER(SEARCH("Desert",BX253)),ISNUMBER(SEARCH("ExtremeDesert",BX253))),-10,IF(OR(ISNUMBER(SEARCH("Grasslands",BX253)),ISNUMBER(SEARCH("TropicalRainforest",BX253)),ISNUMBER(SEARCH("TropicalSwamp",BX253))),10,0)))))))-IF(CC253="False",MIN(IFERROR(MAX(MROUND(LOG10(_xlfn.XLOOKUP(B253,'Base stats'!B:B,'Base stats'!C:C)^(2/3))*10,5),5),5),30))-_xlfn.XLOOKUP(B253,'Base stats'!B:B,'Base stats'!P:P)+IF(CC253="True",5,0)</f>
        <v>-25</v>
      </c>
      <c r="M253" s="2">
        <f>IF(OR(_xlfn.XLOOKUP(_xlfn.XLOOKUP(B253,'Base stats'!B:B,'Base stats'!E:E),Groups!A:A,Groups!G:G)=2,ISNUMBER(SEARCH("Desert",BX253)),ISNUMBER(SEARCH("ExtremeDesert",BX253)),ISNUMBER(SEARCH("LavaField",BX253))),50,IF(ISNUMBER(SEARCH("Grasslands",BX253)),45,IF(OR(_xlfn.XLOOKUP(_xlfn.XLOOKUP(B253,'Base stats'!B:B,'Base stats'!E:E),Groups!A:A,Groups!G:G)=1,ISNUMBER(SEARCH("TropicalRainforest",BX253)),ISNUMBER(SEARCH("TropicalSwamp",BX253))),40,IF(OR(ISNUMBER(SEARCH("TemperateForest",BX253)),ISNUMBER(SEARCH("TemperateSwamp",BX253))),35,IF(OR(ISNUMBER(SEARCH("Alpine",BX253)),ISNUMBER(SEARCH("BorealForest",BX253)),ISNUMBER(SEARCH("ColdBog",BX253))),30,IF(ISNUMBER(OR(ISNUMBER(SEARCH("GlacialPlain",BX253)),SEARCH("Tundra",BX253))),25,IF(OR(ISNUMBER(SEARCH("SeaIce",BX253)),ISNUMBER(SEARCH("IceSheet",BX253)),ISNUMBER(SEARCH("TropicalSwamp",BX253))),10,35)))))))+_xlfn.XLOOKUP(B253,'Base stats'!B:B,'Base stats'!Q:Q)</f>
        <v>50</v>
      </c>
      <c r="N253" s="8" t="str">
        <f>IF(
_xlfn.XLOOKUP(
_xlfn.XLOOKUP(B253,'Base stats'!B:B,'Base stats'!E:E),
Groups!A:A,
Groups!L:L
)=1,
MIN(
MROUND(
IF(
_xlfn.XLOOKUP(B253,'Animals CE'!B:B,'Animals CE'!Z:Z)&lt;=1.5,
_xlfn.XLOOKUP(B253,'Animals CE'!B:B,'Animals CE'!Z:Z)/2+0.05,
0.8+
(_xlfn.XLOOKUP(B253,'Animals CE'!B:B,'Animals CE'!Z:Z)-1.5)
*0.02
),
0.05
),
200%
),
"No"
)</f>
        <v>No</v>
      </c>
      <c r="O253" s="8" t="str">
        <f>IF(
_xlfn.XLOOKUP(
_xlfn.XLOOKUP(B253,'Base stats'!B:B,'Base stats'!E:E),
Groups!A:A,
Groups!L:L
)=1,
MIN(
MROUND(
IF(
_xlfn.XLOOKUP(B253,'Animals CE'!B:B,'Animals CE'!AA:AA)&lt;=1.5,
_xlfn.XLOOKUP(B253,'Animals CE'!B:B,'Animals CE'!AA:AA)/2+0.05,
0.8+
(_xlfn.XLOOKUP(B253,'Animals CE'!B:B,'Animals CE'!AA:AA)-1.5)
*0.02
),
0.05
),
200%
),
"No"
)</f>
        <v>No</v>
      </c>
      <c r="P253" s="2" t="str">
        <f>_xlfn.XLOOKUP(B253,'Base stats'!B:B,'Base stats'!R:R)</f>
        <v>Standard</v>
      </c>
      <c r="Q253" s="13">
        <f>MROUND((LOG10(_xlfn.XLOOKUP(B253,'Base stats'!B:B,'Base stats'!AR:AR))*(AO253^0.5)+(_xlfn.XLOOKUP(B253,'Base stats'!B:B,'Base stats'!AR:AR)/1000)^(2/3)+_xlfn.XLOOKUP(B253,'Base stats'!B:B,'Base stats'!BA:BA)/2)+0.5,0.5)</f>
        <v>10.5</v>
      </c>
      <c r="R253" s="7">
        <f>IF(Q253="No","No",MAX(1,MROUND(_xlfn.XLOOKUP(B253,'Base stats'!B:B,'Base stats'!C:C)^0.165,0.05)))</f>
        <v>2.35</v>
      </c>
      <c r="S253" s="13">
        <f>IF(_xlfn.XLOOKUP(_xlfn.XLOOKUP(B253,'Base stats'!B:B,'Base stats'!E:E),Groups!A:A,Groups!P:P)=0,"No",MROUND((LOG10(_xlfn.XLOOKUP(B253,'Base stats'!B:B,'Base stats'!AS:AS))*(AO253^0.5)+(_xlfn.XLOOKUP(B253,'Base stats'!B:B,'Base stats'!AS:AS)/1000)^(2/3)+_xlfn.XLOOKUP(B253,'Base stats'!B:B,'Base stats'!BA:BA))+_xlfn.XLOOKUP(B253,'Base stats'!B:B,'Base stats'!AY:AY)+0.5,0.5))</f>
        <v>16.5</v>
      </c>
      <c r="T253" s="7">
        <f>IF(S253="No","No",MAX(_xlfn.XLOOKUP(_xlfn.XLOOKUP(B253,'Base stats'!B:B,'Base stats'!E:E),Groups!A:A,Groups!Q:Q),MROUND(_xlfn.XLOOKUP(_xlfn.XLOOKUP(B253,'Base stats'!B:B,'Base stats'!E:E),Groups!A:A,Groups!Q:Q)*_xlfn.XLOOKUP(B253,'Base stats'!B:B,'Base stats'!C:C)^0.165,0.05)))</f>
        <v>2.35</v>
      </c>
      <c r="U253" s="7" t="str">
        <f>IF(S253="No","No",_xlfn.XLOOKUP(_xlfn.XLOOKUP(B253,'Base stats'!B:B,'Base stats'!E:E),Groups!A:A,Groups!R:R))</f>
        <v>Feet</v>
      </c>
      <c r="V253" s="7" t="str">
        <f>IF(S253="No","No",_xlfn.XLOOKUP(_xlfn.XLOOKUP(B253,'Base stats'!B:B,'Base stats'!E:E),Groups!A:A,Groups!S:S))</f>
        <v>rear left claw, rear  right claw</v>
      </c>
      <c r="W253" s="7" t="str">
        <f>IF(S253="No","No",_xlfn.XLOOKUP(_xlfn.XLOOKUP(B253,'Base stats'!B:B,'Base stats'!E:E),Groups!A:A,Groups!T:T))</f>
        <v>Scratch</v>
      </c>
      <c r="X253" s="13" t="str">
        <f>IF(_xlfn.XLOOKUP(B253,'Base stats'!B:B,'Base stats'!W:W)="No","No",MROUND((LOG10(_xlfn.XLOOKUP(B253,'Base stats'!B:B,'Base stats'!AU:AU))*(AO253^0.5)+(_xlfn.XLOOKUP(B253,'Base stats'!B:B,'Base stats'!AU:AU)/1000)^(2/3)+_xlfn.XLOOKUP(B253,'Base stats'!B:B,'Base stats'!AZ:AZ))+0.5+IF(_xlfn.XLOOKUP(_xlfn.XLOOKUP(B253,'Base stats'!B:B,'Base stats'!E:E),Groups!A:A,Groups!U:U)&lt;&gt;3,_xlfn.XLOOKUP(B253,'Base stats'!B:B,'Base stats'!BA:BA),0),0.5))</f>
        <v>No</v>
      </c>
      <c r="Y253" s="7" t="str">
        <f>IF(X253="No","No",MAX(_xlfn.XLOOKUP(_xlfn.XLOOKUP(B253,'Base stats'!B:B,'Base stats'!E:E),Groups!A:A,Groups!V:V),MROUND(_xlfn.XLOOKUP(_xlfn.XLOOKUP(B253,'Base stats'!B:B,'Base stats'!E:E),Groups!A:A,Groups!V:V)*_xlfn.XLOOKUP(B253,'Base stats'!B:B,'Base stats'!C:C)^0.165,0.05)))</f>
        <v>No</v>
      </c>
      <c r="Z253" s="7" t="str">
        <f>IF(X253="No","No",_xlfn.XLOOKUP(_xlfn.XLOOKUP(B253,'Base stats'!B:B,'Base stats'!E:E),Groups!A:A,Groups!W:W))</f>
        <v>No</v>
      </c>
      <c r="AA253" s="7" t="str">
        <f>IF(X253="No","No",_xlfn.XLOOKUP(_xlfn.XLOOKUP(B253,'Base stats'!B:B,'Base stats'!E:E),Groups!A:A,Groups!X:X))</f>
        <v>No</v>
      </c>
      <c r="AB253" s="7" t="str">
        <f>IF(X253="No","No",_xlfn.XLOOKUP(_xlfn.XLOOKUP(B253,'Base stats'!B:B,'Base stats'!E:E),Groups!A:A,Groups!Y:Y))</f>
        <v>No</v>
      </c>
      <c r="AC253" s="7" t="str">
        <f>_xlfn.XLOOKUP(Animals!B253,'Base stats'!B:B,'Base stats'!X:X)</f>
        <v>False</v>
      </c>
      <c r="AD253" s="13">
        <f>IF(_xlfn.XLOOKUP(B253,'Base stats'!B:B,'Base stats'!AT:AT)="No","No",MROUND((LOG10(_xlfn.XLOOKUP(B253,'Base stats'!B:B,'Base stats'!AT:AT))*(AO253^0.75)+(_xlfn.XLOOKUP(B253,'Base stats'!B:B,'Base stats'!AT:AT)/1000)^(2/3)+_xlfn.XLOOKUP(B253,'Base stats'!B:B,'Base stats'!AX:AX)+_xlfn.XLOOKUP(B253,'Base stats'!B:B,'Base stats'!BA:BA))+0.5,0.5))</f>
        <v>10.5</v>
      </c>
      <c r="AE253" s="7">
        <f>IF(AD253="No","No",MAX(_xlfn.XLOOKUP(_xlfn.XLOOKUP(B253,'Base stats'!B:B,'Base stats'!E:E),Groups!A:A,Groups!Z:Z),MROUND(_xlfn.XLOOKUP(_xlfn.XLOOKUP(B253,'Base stats'!B:B,'Base stats'!E:E),Groups!A:A,Groups!Z:Z)*_xlfn.XLOOKUP(B253,'Base stats'!B:B,'Base stats'!C:C)^0.165,0.05)))</f>
        <v>1.85</v>
      </c>
      <c r="AF253" s="7" t="str">
        <f>IF(AD253="No","No",_xlfn.XLOOKUP(_xlfn.XLOOKUP(B253,'Base stats'!B:B,'Base stats'!E:E),Groups!A:A,Groups!AA:AA))</f>
        <v>Beak</v>
      </c>
      <c r="AG253" s="7" t="str">
        <f>IF(AD253="No","No",_xlfn.XLOOKUP(_xlfn.XLOOKUP(B253,'Base stats'!B:B,'Base stats'!E:E),Groups!A:A,Groups!AB:AB))</f>
        <v>beak</v>
      </c>
      <c r="AH253" s="7" t="str">
        <f>IF(AD253="No","No",_xlfn.XLOOKUP(_xlfn.XLOOKUP(B253,'Base stats'!B:B,'Base stats'!E:E),Groups!A:A,Groups!AC:AC))</f>
        <v>Blunt</v>
      </c>
      <c r="AI253" s="13" t="str">
        <f>IF(_xlfn.XLOOKUP(_xlfn.XLOOKUP(B253,'Base stats'!B:B,'Base stats'!E:E),Groups!A:A,Groups!AD:AD)=0,"No",MROUND((LOG10(_xlfn.XLOOKUP(B253,'Base stats'!B:B,'Base stats'!AS:AS))*(AO253^0.75)+(_xlfn.XLOOKUP(B253,'Base stats'!B:B,'Base stats'!AS:AS)/1000)^(2/3)+_xlfn.XLOOKUP(B253,'Base stats'!B:B,'Base stats'!AY:AY)+_xlfn.XLOOKUP(B253,'Base stats'!B:B,'Base stats'!BA:BA))+0.5,0.5))</f>
        <v>No</v>
      </c>
      <c r="AJ253" s="7" t="str">
        <f>IF(AI253="No","No",MAX(_xlfn.XLOOKUP(_xlfn.XLOOKUP(B253,'Base stats'!B:B,'Base stats'!E:E),Groups!A:A,Groups!AE:AE),MROUND(_xlfn.XLOOKUP(_xlfn.XLOOKUP(B253,'Base stats'!B:B,'Base stats'!E:E),Groups!A:A,Groups!AE:AE)*IF(_xlfn.XLOOKUP(_xlfn.XLOOKUP(B253,'Base stats'!B:B,'Base stats'!E:E),Groups!A:A,Groups!AJ:AJ)="Photonozoa",0.6,1)*_xlfn.XLOOKUP(B253,'Base stats'!B:B,'Base stats'!C:C)^0.165,0.05)))</f>
        <v>No</v>
      </c>
      <c r="AK253" s="7" t="str">
        <f>IF(AI253="No","No",_xlfn.XLOOKUP(_xlfn.XLOOKUP(B253,'Base stats'!B:B,'Base stats'!E:E),Groups!A:A,Groups!AF:AF))</f>
        <v>No</v>
      </c>
      <c r="AL253" s="7" t="str">
        <f>IF(AI253="No","No",_xlfn.XLOOKUP(_xlfn.XLOOKUP(B253,'Base stats'!B:B,'Base stats'!E:E),Groups!A:A,Groups!AG:AG))</f>
        <v>No</v>
      </c>
      <c r="AM253" s="7" t="str">
        <f>IF(AI253="No","No",_xlfn.XLOOKUP(_xlfn.XLOOKUP(B253,'Base stats'!B:B,'Base stats'!E:E),Groups!A:A,Groups!AH:AH))</f>
        <v>No</v>
      </c>
      <c r="AN253" s="2" t="str">
        <f t="shared" si="21"/>
        <v>No</v>
      </c>
      <c r="AO253" s="2">
        <f>MROUND(IF(AND(_xlfn.XLOOKUP(B253,'Base stats'!B:B,'Base stats'!C:C)&gt;=0.5,_xlfn.XLOOKUP(B253,'Base stats'!B:B,'Base stats'!C:C)&lt;=0.8),
IF(_xlfn.XLOOKUP(B253,'Base stats'!B:B,'Base stats'!C:C)&lt;0.1,0.05,IF(_xlfn.XLOOKUP(B253,'Base stats'!B:B,'Base stats'!C:C)&lt;=70,(_xlfn.XLOOKUP(B253,'Base stats'!B:B,'Base stats'!C:C)/70)^0.426489913056526,IF(_xlfn.XLOOKUP(B253,'Base stats'!B:B,'Base stats'!C:C)&lt;=400,(_xlfn.XLOOKUP(B253,'Base stats'!B:B,'Base stats'!C:C)/70)^0.572811455315093,IF(_xlfn.XLOOKUP(B253,'Base stats'!B:B,'Base stats'!C:C)&lt;=2000,2.71391647193063*(_xlfn.XLOOKUP(B253,'Base stats'!B:B,'Base stats'!C:C)/400)^0.252459582904293,3.74314280240376*(_xlfn.XLOOKUP(B253,'Base stats'!B:B,'Base stats'!C:C)/2000)^0.357012633876913)))),
IF(_xlfn.XLOOKUP(B253,'Base stats'!B:B,'Base stats'!C:C)&lt;0.1,0.05,IF(_xlfn.XLOOKUP(B253,'Base stats'!B:B,'Base stats'!C:C)&lt;0.4,0.1,IF(_xlfn.XLOOKUP(B253,'Base stats'!B:B,'Base stats'!C:C)&lt;=70,(_xlfn.XLOOKUP(B253,'Base stats'!B:B,'Base stats'!C:C)/70)^0.445823913056526,IF(_xlfn.XLOOKUP(B253,'Base stats'!B:B,'Base stats'!C:C)&lt;=400,(_xlfn.XLOOKUP(B253,'Base stats'!B:B,'Base stats'!C:C)/70)^0.572811455315093,IF(_xlfn.XLOOKUP(B253,'Base stats'!B:B,'Base stats'!C:C)&lt;=2000,2.71391647193063*(_xlfn.XLOOKUP(B253,'Base stats'!B:B,'Base stats'!C:C)/400)^0.252459582904293,3.74314280240376*(_xlfn.XLOOKUP(B253,'Base stats'!B:B,'Base stats'!C:C)/2000)^0.357012633876913)))))),
IF(_xlfn.XLOOKUP(B253,'Base stats'!B:B,'Base stats'!C:C)&lt;0.1,0.05,IF(_xlfn.XLOOKUP(B253,'Base stats'!B:B,'Base stats'!C:C)&lt;=100,0.05,IF(_xlfn.XLOOKUP(B253,'Base stats'!B:B,'Base stats'!C:C)&lt;=250,0.1,IF(_xlfn.XLOOKUP(B253,'Base stats'!B:B,'Base stats'!C:C)&lt;=4000,0.25,0.5)))))</f>
        <v>1.7000000000000002</v>
      </c>
      <c r="AP253" s="8">
        <f>MROUND(AO253*_xlfn.XLOOKUP(_xlfn.XLOOKUP(B253,'Base stats'!B:B,'Base stats'!E:E),Groups!A:A,Groups!AI:AI)*_xlfn.XLOOKUP(B253,'Base stats'!B:B,'Base stats'!Z:Z),0.05)</f>
        <v>1.7000000000000002</v>
      </c>
      <c r="AQ253" s="8">
        <f>MAX(0.01,MROUND(IF(CC253="True",0.196*(AO253*100*1000)^0.889,IF(_xlfn.XLOOKUP(_xlfn.XLOOKUP(B253,'Base stats'!B:B,'Base stats'!E:E),Groups!A:A,Groups!AJ:AJ)="Bird",10.5*(AO253*100*1000)^0.681,4.82*(AO253*100*1000)^0.734))/(4.82*(1*100*1000)^0.734)/IF(AO253&lt;3.5,2,IF(AO253=3.5,1.5,1.25))*(1+0.132282374779864/(AO253^0.994035016789033+0.00905238001496948)),0.05))</f>
        <v>0.9</v>
      </c>
      <c r="AR253" s="9">
        <f>IFERROR(MROUND(_xlfn.XLOOKUP(B253,'Base stats'!B:B,'Base stats'!H:H)/IF(_xlfn.XLOOKUP(B253,'Base stats'!B:B,'Base stats'!I:I)&lt;&gt;1,(122.5/70),1.2),IF(_xlfn.XLOOKUP(B253,'Base stats'!B:B,'Base stats'!H:H)&gt;=30,5,IF(_xlfn.XLOOKUP(B253,'Base stats'!B:B,'Base stats'!H:H)&gt;=15,3,IF(_xlfn.XLOOKUP(B253,'Base stats'!B:B,'Base stats'!H:H)&gt;=10,2,1)))),"Immortal")</f>
        <v>30</v>
      </c>
      <c r="AS253" s="35" t="str">
        <f>IFERROR(IF(OR(_xlfn.XLOOKUP(B253,'Base stats'!B:B,'Base stats'!F:F)="Atypical reproduction",_xlfn.XLOOKUP(B253,'Base stats'!B:B,'Base stats'!F:F)="Lay eggs"),"Lay eggs",MIN(20,MAX(5.5,ROUND(((_xlfn.XLOOKUP(B253,'Base stats'!B:B,'Base stats'!F:F)-25)*(14.5/615) + 5.5)*2,0)/2))),"Unknown")</f>
        <v>Lay eggs</v>
      </c>
      <c r="AT253" s="8">
        <f>IF(_xlfn.XLOOKUP(B253,'Base stats'!B:B,'Base stats'!G:G)="Atypical reproduction","No",IFERROR(MAX(IF(_xlfn.XLOOKUP(B253,'Base stats'!B:B,'Base stats'!G:G)&lt;0.5,0.2,0.3),MROUND(_xlfn.XLOOKUP(B253,'Base stats'!B:B,'Base stats'!G:G)/(365/60),0.2)),"Unknown"))</f>
        <v>0.4</v>
      </c>
      <c r="AU253" s="8">
        <f t="shared" si="22"/>
        <v>0.2</v>
      </c>
      <c r="AV253" s="8" t="str">
        <f>IFERROR(IFERROR(MROUND(_xlfn.XLOOKUP(B253,'Base stats'!B:B,'Base stats'!J:J),0.1),"Lay eggs"),"Cannot breed")</f>
        <v>Lay eggs</v>
      </c>
      <c r="AW253" s="2" t="str">
        <f t="shared" si="23"/>
        <v>true</v>
      </c>
      <c r="AX253" s="2" t="str">
        <f>IF(_xlfn.XLOOKUP(_xlfn.XLOOKUP(Animals!B253,'Base stats'!B:B,'Base stats'!E:E),Groups!A:A,Groups!AK:AK)=1,"true","false")</f>
        <v>false</v>
      </c>
      <c r="AY253" s="25" t="str">
        <f>IF(_xlfn.XLOOKUP(B253,'Base stats'!B:B,'Base stats'!Y:Y)="Liquor","Liquor, CarnivoreAnimalStrict",IF(AND(_xlfn.XLOOKUP(B253,'Base stats'!B:B,'Base stats'!Y:Y)="Carnivore",_xlfn.XLOOKUP(_xlfn.XLOOKUP(B253,'Base stats'!B:B,'Base stats'!E:E),Groups!A:A,Groups!AJ:AJ)="Photonozoa"),"CarnivoreAnimalStrict, OvivoreAnimal",IF(_xlfn.XLOOKUP(B253,'Base stats'!B:B,'Base stats'!Y:Y)="Carnivore","CarnivoreAnimal, OvivoreAnimal",IF(_xlfn.XLOOKUP(B253,'Base stats'!B:B,'Base stats'!Y:Y)="Dendrovore","VegetarianRoughAnimal, DendrovoreAnimal",IF(_xlfn.XLOOKUP(B253,'Base stats'!B:B,'Base stats'!Y:Y)="Herbivore","VegetarianRoughAnimal",IF(_xlfn.XLOOKUP(B253,'Base stats'!B:B,'Base stats'!Y:Y)="OmnivoreRough","OmnivoreRoughAnimal, OvivoreAnimal","OmnivoreAnimal, OvivoreAnimal"))))))</f>
        <v>OmnivoreRoughAnimal, OvivoreAnimal</v>
      </c>
      <c r="AZ253" s="2" t="str">
        <f>IF(_xlfn.XLOOKUP(_xlfn.XLOOKUP(B253,'Base stats'!B:B,'Base stats'!E:E),Groups!A:A,Groups!D:D)=1,MROUND((1-J253)*5+1,2)*IF(J253&lt;=0.4,2,1),"No")</f>
        <v>No</v>
      </c>
      <c r="BA253" s="2" t="str">
        <f>IF(AND(_xlfn.XLOOKUP(B253,'Base stats'!B:B,'Base stats'!AH:AH)="&lt;li&gt;Seal&lt;/li&gt;",G253="Odyssey"),"&lt;li&gt;AEXP_Seal&lt;/li&gt;",_xlfn.XLOOKUP(B253,'Base stats'!B:B,'Base stats'!AH:AH))</f>
        <v>&lt;li&gt;AA_MeadowAve&lt;/li&gt;</v>
      </c>
      <c r="BB253" s="2" t="str">
        <f>_xlfn.XLOOKUP(B253,'Base stats'!B:B,'Base stats'!AG:AG)</f>
        <v>Leather_Bird</v>
      </c>
      <c r="BC253" s="23" t="str">
        <f>_xlfn.XLOOKUP(_xlfn.XLOOKUP(B253,'Base stats'!B:B,'Base stats'!E:E),Groups!A:A,Groups!AL:AL)</f>
        <v>Bird</v>
      </c>
      <c r="BD253" s="23">
        <f>MIN(1,MROUND(IF(AND(AO253&lt;0.5,_xlfn.XLOOKUP(B253,'Base stats'!B:B,'Base stats'!AA:AA)=0),0,IF(OR(_xlfn.XLOOKUP(Animals!B253,'Base stats'!B:B,'Base stats'!O:O)=2,_xlfn.XLOOKUP(_xlfn.XLOOKUP(B253,'Base stats'!B:B,'Base stats'!E:E),Groups!A:A,Groups!AN:AN)=0),0,_xlfn.XLOOKUP(_xlfn.XLOOKUP(B253,'Base stats'!B:B,'Base stats'!E:E),Groups!A:A,Groups!AN:AN)/IF(_xlfn.XLOOKUP(Animals!B253,'Base stats'!B:B,'Base stats'!O:O)=1,2,1)))+_xlfn.XLOOKUP(B253,'Base stats'!B:B,'Base stats'!AC:AC),0.005))</f>
        <v>2.5000000000000001E-2</v>
      </c>
      <c r="BE253" s="23">
        <f>MIN(1,MROUND(IF(AND(AO253&lt;0.5,_xlfn.XLOOKUP(B253,'Base stats'!B:B,'Base stats'!AA:AA)=0),0,IF(_xlfn.XLOOKUP(_xlfn.XLOOKUP(B253,'Base stats'!B:B,'Base stats'!E:E),Groups!A:A,Groups!AO:AO)=0,0,_xlfn.XLOOKUP(_xlfn.XLOOKUP(B253,'Base stats'!B:B,'Base stats'!E:E),Groups!A:A,Groups!AO:AO)/IF(_xlfn.XLOOKUP(Animals!B253,'Base stats'!B:B,'Base stats'!O:O)=2,3,1)))+_xlfn.XLOOKUP(B253,'Base stats'!B:B,'Base stats'!AD:AD),0.005))</f>
        <v>0.1</v>
      </c>
      <c r="BF253" s="2" t="str">
        <f>IF(J253&gt;0.3,"No",_xlfn.XLOOKUP(_xlfn.XLOOKUP(Animals!B253,'Base stats'!B:B,'Base stats'!E:E),Groups!A:A,Groups!AP:AP))</f>
        <v>No</v>
      </c>
      <c r="BG253" s="2" t="str">
        <f>IF(AND(J253&lt;=0.65,_xlfn.XLOOKUP(_xlfn.XLOOKUP(Animals!B253,'Base stats'!B:B,'Base stats'!E:E),Groups!A:A,Groups!AP:AP)&lt;&gt;"No",_xlfn.XLOOKUP(_xlfn.XLOOKUP(B253,'Base stats'!B:B,'Base stats'!E:E),Groups!A:A,Groups!D:D)=0),MROUND((80/3)*IF(_xlfn.XLOOKUP(B253,'Base stats'!B:B,'Base stats'!O:O)=2,0.2,AO253) + 24*(1-IF(BF253="No",0,BF253)) + 16/3, 12),"No")</f>
        <v>No</v>
      </c>
      <c r="BH253" s="2">
        <f>IF(AND(_xlfn.XLOOKUP(_xlfn.XLOOKUP(B253,'Base stats'!B:B,'Base stats'!E:E),Groups!A:A,Groups!AQ:AQ)=1,AO253&lt;=0.35),8,12)</f>
        <v>12</v>
      </c>
      <c r="BI253" s="2" t="str">
        <f>IF(_xlfn.XLOOKUP(_xlfn.XLOOKUP(B253,'Base stats'!B:B,'Base stats'!E:E),Groups!A:A,Groups!D:D)=0,_xlfn.XLOOKUP(_xlfn.XLOOKUP(B253,'Base stats'!B:B,'Base stats'!E:E),Groups!A:A,Groups!AR:AR),"None")</f>
        <v>Intermediate</v>
      </c>
      <c r="BJ253" s="2" t="str">
        <f>IF(AND(_xlfn.XLOOKUP(_xlfn.XLOOKUP(B253,'Base stats'!B:B,'Base stats'!E:E),Groups!A:A,Groups!AS:AS)=1,OR(_xlfn.XLOOKUP(B253,'Base stats'!B:B,'Base stats'!Y:Y)="Carnivore",_xlfn.XLOOKUP(B253,'Base stats'!B:B,'Base stats'!Y:Y)="Omnivore")),"true","false")</f>
        <v>false</v>
      </c>
      <c r="BK253" s="2" t="str">
        <f>IF(BJ253="true",MROUND(IF(AND(AO253&gt;0.5,OR(_xlfn.XLOOKUP(_xlfn.XLOOKUP(B253,'Base stats'!B:B,'Base stats'!E:E),Groups!A:A,Groups!AJ:AJ)="Photonozoa",_xlfn.XLOOKUP(_xlfn.XLOOKUP(B253,'Base stats'!B:B,'Base stats'!E:E),Groups!A:A,Groups!AJ:AJ)="Mammal")),Animals!AO253*1.75*IF(AW253="true",1.5,1),IF(AO253&lt;0.5,Animals!AO253*0.5,Animals!AO253)),IF(AO253&gt;2,0.5,IF(AO253&gt;0.5,0.25,0.1))),"No")</f>
        <v>No</v>
      </c>
      <c r="BL253" s="2">
        <f t="shared" si="24"/>
        <v>1</v>
      </c>
      <c r="BM253" s="25" t="str">
        <f>IF(_xlfn.XLOOKUP(B253,'Base stats'!B:B,'Base stats'!AN:AN)="Standard","No",MROUND((_xlfn.XLOOKUP(B253,'Base stats'!B:B,'Base stats'!AN:AN)/3.6)/I253,0.1))</f>
        <v>No</v>
      </c>
      <c r="BN253" s="25" t="str">
        <f t="shared" si="25"/>
        <v>false</v>
      </c>
      <c r="BO253" s="25" t="str">
        <f>IF(AND(OR(_xlfn.XLOOKUP(B253,'Base stats'!B:B,'Base stats'!Y:Y)="Carnivore",_xlfn.XLOOKUP(B253,'Base stats'!B:B,'Base stats'!Y:Y)="Omnivore",_xlfn.XLOOKUP(B253,'Base stats'!B:B,'Base stats'!Y:Y)="OmnivoreRough"),_xlfn.XLOOKUP(_xlfn.XLOOKUP(B253,'Base stats'!B:B,'Base stats'!E:E),Groups!A:A,Groups!AT:AT)=1),"true","false")</f>
        <v>false</v>
      </c>
      <c r="BP253" s="25" t="str" cm="1">
        <f t="array" ref="BP253">IF(
  _xlfn.TEXTJOIN(", ",TRUE,
    IF(AND(BJ253="true",AO253&gt;0.5,BI253&lt;&gt;"None"),"AttackTarget",""),
    IF(AND(_xlfn.XLOOKUP(_xlfn.XLOOKUP(B253,'Base stats'!B:B,'Base stats'!E:E),Groups!A:A,Groups!AJ:AJ="Mammal"),OR(_xlfn.XLOOKUP(B253,'Base stats'!B:B,'Base stats'!Y:Y)="Omnivore",_xlfn.XLOOKUP(B253,'Base stats'!B:B,'Base stats'!Y:Y)="OmnivoreRough")),"Forage",""),
    IF(BG253&lt;=36,"Comfort",""),
    IF(_xlfn.XLOOKUP(B253,'Base stats'!B:B,'Base stats'!AE:AE)&lt;&gt;"No",_xlfn.XLOOKUP(B253,'Base stats'!B:B,'Base stats'!AE:AE),"")
  ) = "",
  "No",
  _xlfn.TEXTJOIN(", ",TRUE,
    IF(AND(BJ253="true",AO253&gt;0.5,BI253&lt;&gt;"None"),"AttackTarget",""),
    IF(AND(_xlfn.XLOOKUP(_xlfn.XLOOKUP(B253,'Base stats'!B:B,'Base stats'!E:E),Groups!A:A,Groups!AJ:AJ="Mammal"),OR(_xlfn.XLOOKUP(B253,'Base stats'!B:B,'Base stats'!Y:Y)="Omnivore",_xlfn.XLOOKUP(B253,'Base stats'!B:B,'Base stats'!Y:Y)="OmnivoreRough")),"Forage",""),
    IF(BG253&lt;=36,"Comfort",""),
    IF(_xlfn.XLOOKUP(B253,'Base stats'!B:B,'Base stats'!AE:AE)&lt;&gt;"No",_xlfn.XLOOKUP(B253,'Base stats'!B:B,'Base stats'!AE:AE),"")
  )
)</f>
        <v>No</v>
      </c>
      <c r="BQ253" s="25" t="str">
        <f>IF(
   AND(
      'Base stats'!AN253="Standard",_xlfn.XLOOKUP(_xlfn.XLOOKUP(B253,'Base stats'!B:B,'Base stats'!E:E),Groups!A:A,Groups!AU:AU)=0,
      OR(
      BO253="True"
      )
   ),
   10,
   IF(
       OR(BM253&lt;&gt;"No",_xlfn.XLOOKUP(_xlfn.XLOOKUP(B253,'Base stats'!B:B,'Base stats'!E:E),Groups!A:A,Groups!AU:AU)=1),
      1,
      "No"
   )
)</f>
        <v>No</v>
      </c>
      <c r="BR253" s="9">
        <f>MROUND((1 + ((0.2*IF(OR(Q253="No",R253="No",R253=0),0,Q253/R253)
+IF(OR(V253="No",S253="No",T253="No"),0,S253/T253*(LEN(V253)-LEN(SUBSTITUTE(V253,",",""))+1))
+IF(OR(X253="No",Y253="No"),0,X253/Y253)
+IF(OR(AD253="No",AE253="No"),0,AD253/AE253)
+IF(OR(AL253="No",AI253="No",AJ253="No"),0,AI253/AJ253*(LEN(AL253)-LEN(SUBSTITUTE(AL253,",",""))+1))
)/(0.2*IF(OR(Q253="No",R253="No",R253=0),0,1)
+IF(OR(V253="No",S253="No",T253="No"),0,LEN(V253)-LEN(SUBSTITUTE(V253,",",""))+1)
+IF(OR(X253="No",Y253="No"),0,1)
+IF(OR(AD253="No",AE253="No"),0,1)
+IF(OR(AL253="No",AI253="No",AJ253="No"),0,LEN(AL253)-LEN(SUBSTITUTE(AL253,",",""))+1))*62%)* 2)*(1 + (AP253 / (IF(_xlfn.XLOOKUP(_xlfn.XLOOKUP(B253,'Base stats'!B:B,'Base stats'!E:E),Groups!A:A,Groups!AJ:AJ)="Photonozoa",0.3,1)) + _xlfn.XLOOKUP(B253,'Base stats'!B:B,'Base stats'!AV:AV) * 1.8) * 2) * 2.5 + 10 + I253 * 2,5)+IF(_xlfn.XLOOKUP(B253,'Base stats'!B:B,'Base stats'!AK:AK)=1,50,0)</f>
        <v>125</v>
      </c>
      <c r="BS253" s="8">
        <f t="shared" si="26"/>
        <v>1.05</v>
      </c>
      <c r="BT253" s="8" t="str">
        <f>_xlfn.XLOOKUP(B253,'Base stats'!B:B,'Base stats'!AF:AF)</f>
        <v>2~6</v>
      </c>
      <c r="BU253" s="2" t="str">
        <f>IF(AND(J253&lt;=0.95,OR(_xlfn.XLOOKUP(B253,'Base stats'!B:B,'Base stats'!AK:AK)=1,_xlfn.XLOOKUP(B253,'Base stats'!B:B,'Base stats'!Y:Y)="Carnivore",_xlfn.XLOOKUP(B253,'Base stats'!B:B,'Base stats'!Y:Y)="Omnivore",BE253&gt;0.1)),"true","false")</f>
        <v>false</v>
      </c>
      <c r="BV253" s="2" t="str">
        <f>IF(_xlfn.XLOOKUP(B253,'Base stats'!B:B,'Base stats'!AI:AI)=1,"true","false")</f>
        <v>true</v>
      </c>
      <c r="BW253" s="25" t="str">
        <f>IF(E253="BaseInsect","AnimalInsect",
IF(J253&gt;0.95,"AnimalExotic",
_xlfn.TEXTJOIN(", ",TRUE,
IF(OR(_xlfn.XLOOKUP(B253,'Base stats'!B:B,'Base stats'!AM:AM)=1,AND(_xlfn.XLOOKUP(B253,'Base stats'!B:B,'Base stats'!O:O)=0,_xlfn.XLOOKUP(_xlfn.XLOOKUP(B253,'Base stats'!B:B,'Base stats'!E:E),Groups!A:A,Groups!B:B)&gt;0)),"AnimalUncommon","AnimalCommon"),
IF(AND(_xlfn.XLOOKUP(B253,'Base stats'!B:B,'Base stats'!O:O)=2,_xlfn.XLOOKUP(_xlfn.XLOOKUP(B253,'Base stats'!B:B,'Base stats'!E:E),Groups!A:A,Groups!D:D)=0),"AnimalPet",IF(AND(_xlfn.XLOOKUP(B253,'Base stats'!B:B,'Base stats'!O:O)&lt;&gt;0,_xlfn.XLOOKUP(_xlfn.XLOOKUP(B253,'Base stats'!B:B,'Base stats'!E:E),Groups!A:A,Groups!D:D)&lt;&gt;0),"AnimalFarm","")),
IF(OR(_xlfn.XLOOKUP(B253,'Base stats'!B:B,'Base stats'!AK:AK)=1,AND(BI253&lt;&gt;"None",BR253&gt;=60),ISNUMBER(SEARCH("Attack target",BP253))),"AnimalFighter","")
)))</f>
        <v>AnimalUncommon, AnimalFighter</v>
      </c>
      <c r="BX253" s="25" t="str">
        <f>IF(G253="None",TRIM(
SUBSTITUTE(
IF(COUNTIF(Biomes!B$2:B$259,"="&amp;$C253)&gt;0,Biomes!B$1&amp;", ","")&amp;
IF(COUNTIF(Biomes!C$2:C$259,"="&amp;$C253)&gt;0,Biomes!C$1&amp;", ","")&amp;
IF(COUNTIF(Biomes!D$2:D$259,"="&amp;$C253)&gt;0,Biomes!D$1&amp;", ","")&amp;
IF(COUNTIF(Biomes!F$2:F$259,"="&amp;$C253)&gt;0,Biomes!F$1&amp;", ","")&amp;
IF(COUNTIF(Biomes!G$2:G$259,"="&amp;$C253)&gt;0,Biomes!G$1&amp;", ","")&amp;
IF(COUNTIF(Biomes!H$2:H$259,"="&amp;$C253)&gt;0,Biomes!H$1&amp;", ","")&amp;
IF(COUNTIF(Biomes!I$2:I$259,"="&amp;$C253)&gt;0,Biomes!I$1&amp;", ","")&amp;
IF(COUNTIF(Biomes!J$2:J$259,"="&amp;$C253)&gt;0,Biomes!J$1&amp;", ","")&amp;
IF(COUNTIF(Biomes!M$2:M$259,"="&amp;$C253)&gt;0,Biomes!M$1&amp;", ","")&amp;
IF(COUNTIF(Biomes!N$2:N$259,"="&amp;$C253)&gt;0,Biomes!N$1&amp;", ","")&amp;
IF(COUNTIF(Biomes!O$2:O$259,"="&amp;$C253)&gt;0,Biomes!O$1&amp;", ","")&amp;
IF(COUNTIF(Biomes!P$2:P$259,"="&amp;$C253)&gt;0,Biomes!P$1&amp;", ","")&amp;
IF(COUNTIF(Biomes!K$2:K$259,"="&amp;$C253)&gt;0,Biomes!K$1&amp;", ","")&amp;
IF(COUNTIF(Biomes!Q$3:Q$259,"="&amp;$C253)&gt;0,Biomes!Q$1&amp;", ","")&amp;
IF(COUNTIF(Biomes!L$2:L$259,"="&amp;$C253)&gt;0,Biomes!L$1&amp;", ","")&amp;
IF(COUNTIF(Biomes!E$2:E$259,"="&amp;$C253)&gt;0,Biomes!E$1&amp;", ","")&amp;IF(COUNTIF(Biomes!S$2:S$259,"="&amp;$C253)&gt;0,Biomes!S$1&amp;", ","")&amp;
IF(COUNTIF(Biomes!R$2:R$259,"="&amp;$C253)&gt;0,Biomes!R$1&amp;", ",""),", ","")
),_xlfn.XLOOKUP(B253,B:B,BX:BX))</f>
        <v>AridShrubland Desert ExtremeDesert LavaField</v>
      </c>
      <c r="BY253" s="25" t="str">
        <f>IF(_xlfn.XLOOKUP(B253,'Base stats'!B:B,'Base stats'!AJ:AJ)=1,"true","false")</f>
        <v>false</v>
      </c>
      <c r="BZ253" s="25">
        <f>IF(_xlfn.XLOOKUP(B253,'Base stats'!B:B,'Base stats'!N:N)=1,"No",MAX(0.001,MIN(MROUND(IF(AND(BJ253="True",CC253="False"),POWER(10,3.47*LOG10(_xlfn.XLOOKUP(B253,'Base stats'!B:B,'Base stats'!C:C)*1000)^-0.96),POWER(10,4.15*LOG10(_xlfn.XLOOKUP(B253,'Base stats'!B:B,'Base stats'!C:C)*1000)^-0.73))*IF(_xlfn.XLOOKUP(B253,'Base stats'!B:B,'Base stats'!AK:AK)=1,0.5,1)*IF(_xlfn.XLOOKUP(B253,'Base stats'!B:B,'Base stats'!AM:AM)=1,0.1,1)/100,IF(_xlfn.XLOOKUP(B253,'Base stats'!B:B,'Base stats'!AM:AM)=1,0.001,0.025)),0.5)))</f>
        <v>1.7000000000000001E-2</v>
      </c>
      <c r="CA253" s="25" t="str">
        <f>IF(P253="Standard","No",MAX(0.001,MIN(MROUND(IF(AND(BJ253="True",CC253="False"),POWER(10,3.47*LOG10(_xlfn.XLOOKUP(B253,'Base stats'!B:B,'Base stats'!C:C)*1000)^-0.96),POWER(10,4.15*LOG10(_xlfn.XLOOKUP(B253,'Base stats'!B:B,'Base stats'!C:C)*1000)^-0.73))*IF(_xlfn.XLOOKUP(B253,'Base stats'!B:B,'Base stats'!AM:AM)=1,0.1,1)*_xlfn.XLOOKUP(B253,'Base stats'!B:B,'Base stats'!R:R)/100,IF(_xlfn.XLOOKUP(B253,'Base stats'!B:B,'Base stats'!AM:AM)=1,0.001,0.025)),0.5)))</f>
        <v>No</v>
      </c>
      <c r="CB253" s="25" t="str">
        <f>IF(_xlfn.XLOOKUP(_xlfn.XLOOKUP(B253,'Base stats'!B:B,'Base stats'!E:E),Groups!A:A,Groups!AJ:AJ)="Mammal","True","False")</f>
        <v>False</v>
      </c>
      <c r="CC253" s="25" t="str">
        <f>IF(OR(_xlfn.XLOOKUP(_xlfn.XLOOKUP(B253,'Base stats'!B:B,'Base stats'!E:E),Groups!A:A,Groups!AJ:AJ)="Reptile",_xlfn.XLOOKUP(_xlfn.XLOOKUP(B253,'Base stats'!B:B,'Base stats'!E:E),Groups!A:A,Groups!AJ:AJ)="Amphibian",_xlfn.XLOOKUP(_xlfn.XLOOKUP(B253,'Base stats'!B:B,'Base stats'!E:E),Groups!A:A,Groups!AJ:AJ)="Invertebrate"),"True","False")</f>
        <v>False</v>
      </c>
      <c r="CD253" s="25" t="str">
        <f t="shared" si="27"/>
        <v>False</v>
      </c>
      <c r="CE253" s="25" t="str">
        <f>IF(_xlfn.XLOOKUP(_xlfn.XLOOKUP(B253,'Base stats'!B:B,'Base stats'!E:E),Groups!A:A,Groups!AX:AX),"True","False")</f>
        <v>False</v>
      </c>
      <c r="CF253" s="25" t="str">
        <f>IF(_xlfn.XLOOKUP(_xlfn.XLOOKUP(B253,'Base stats'!B:B,'Base stats'!E:E),Groups!A:A,Groups!AY:AY),"True","False")</f>
        <v>False</v>
      </c>
      <c r="CG253" s="25" t="str">
        <f>IF(_xlfn.XLOOKUP(_xlfn.XLOOKUP(B253,'Base stats'!B:B,'Base stats'!E:E),Groups!A:A,Groups!AW:AW),"True","False")</f>
        <v>False</v>
      </c>
      <c r="CH253" s="25" t="str">
        <f>IF(
OR(
_xlfn.XLOOKUP(_xlfn.XLOOKUP(B253,'Base stats'!B:B,'Base stats'!E:E),Groups!A:A,Groups!AZ:AZ)=0,
AND(
_xlfn.XLOOKUP(B253,'Base stats'!B:B,'Base stats'!Y:Y)&lt;&gt;"Carnivore",
_xlfn.XLOOKUP(B253,'Base stats'!B:B,'Base stats'!Y:Y)&lt;&gt;"Omnivore",
_xlfn.XLOOKUP(B253,'Base stats'!B:B,'Base stats'!Y:Y)&lt;&gt;"OmnivoreRough"
)
),
"No",
IF(
_xlfn.XLOOKUP(_xlfn.XLOOKUP(B253,'Base stats'!B:B,'Base stats'!E:E),Groups!A:A,Groups!AZ:AZ)=1,
"Flesh",
IF(
_xlfn.XLOOKUP(_xlfn.XLOOKUP(B253,'Base stats'!B:B,'Base stats'!E:E),Groups!A:A,Groups!AZ:AZ)=2,
"Bone",
""
)
)
)</f>
        <v>No</v>
      </c>
      <c r="CI253" s="25" t="str">
        <f>IF(_xlfn.XLOOKUP(_xlfn.XLOOKUP(B253,'Base stats'!B:B,'Base stats'!E:E),Groups!A:A,Groups!BB:BB),"True","False")</f>
        <v>True</v>
      </c>
      <c r="CJ253" s="25" t="str">
        <f>IF(_xlfn.XLOOKUP(_xlfn.XLOOKUP(B253,'Base stats'!B:B,'Base stats'!E:E),Groups!A:A,Groups!BA:BA),"True","False")</f>
        <v>False</v>
      </c>
    </row>
    <row r="254" spans="1:88" ht="16.5" thickTop="1" thickBot="1" x14ac:dyDescent="0.3">
      <c r="A254" s="26" t="s">
        <v>1414</v>
      </c>
      <c r="B254" s="6" t="str">
        <f>_xlfn.XLOOKUP(A254,'Base stats'!A:A,'Base stats'!B:B)</f>
        <v>Ovis malignus</v>
      </c>
      <c r="C254" s="28" t="s">
        <v>1415</v>
      </c>
      <c r="D254" s="28" t="s">
        <v>1341</v>
      </c>
      <c r="E254" s="28" t="s">
        <v>673</v>
      </c>
      <c r="F254" s="28" t="s">
        <v>673</v>
      </c>
      <c r="G254" s="28" t="s">
        <v>673</v>
      </c>
      <c r="H254" s="2">
        <f>MROUND((
  (IF(AND(_xlfn.XLOOKUP(B254,'Base stats'!B:B,'Base stats'!AL:AL)=0,BI254="None",_xlfn.XLOOKUP(_xlfn.XLOOKUP(B254,'Base stats'!B:B,'Base stats'!E:E),Groups!A:A,Groups!B:B)=0), (18 + BR254 * 2.7) * 0.5,
    IF(AND(_xlfn.XLOOKUP(B254,'Base stats'!B:B,'Base stats'!AL:AL)=0,OR(AO254&lt;0.55,AND(BI254="Intermediate",_xlfn.XLOOKUP(_xlfn.XLOOKUP(B254,'Base stats'!B:B,'Base stats'!E:E),Groups!A:A,Groups!B:B)&lt;2))), (18 + BR254 * 2.7),
      IF(OR(BI254="Advanced",_xlfn.XLOOKUP(B254,'Base stats'!B:B,'Base stats'!AL:AL)=1,_xlfn.XLOOKUP(_xlfn.XLOOKUP(B254,'Base stats'!B:B,'Base stats'!E:E),Groups!A:A,Groups!B:B)=2), (18 + BR254 * 2.7) + 250, (18 + BR254 * 2.7))
    )
  ))
  + AO254 * 80
  + IF(COUNTIF(EggMilk!K$2:K$998, A254) &gt; 0, 125, 0)
  + IF(COUNTIF(EggMilk!P$2:P$998, A254) &gt; 0, 90, 0)
  + IF(COUNTIF(EggMilk!A$2:A$998, A254) &gt; 0, 90, 0)
)
* (0.8 + 0.4 * J254)
* 0.75,25)</f>
        <v>100</v>
      </c>
      <c r="I254" s="2">
        <f>MROUND(ROUNDDOWN(_xlfn.XLOOKUP(B254,'Base stats'!B:B,'Base stats'!L:L)/3.6/(23.3/11),1),0.5)</f>
        <v>4.5</v>
      </c>
      <c r="J254" s="2">
        <f>IF(OR(_xlfn.XLOOKUP(B254,'Base stats'!B:B,'Base stats'!AB:AB)=1,_xlfn.XLOOKUP(_xlfn.XLOOKUP(B254,'Base stats'!B:B,'Base stats'!E:E),Groups!A:A,Groups!C:C)="Untamable"),1,IF(_xlfn.XLOOKUP(B254,'Base stats'!B:B,'Base stats'!AL:AL)=1,0.99,MIN(MROUND((1-0.6282*EXP(-0.459*AO254))*_xlfn.XLOOKUP(_xlfn.XLOOKUP(B254,'Base stats'!B:B,'Base stats'!E:E),Groups!A:A,Groups!C:C)*IF(_xlfn.XLOOKUP(B254,'Base stats'!B:B,'Base stats'!O:O)=1,0.5,IF(_xlfn.XLOOKUP(B254,'Base stats'!B:B,'Base stats'!O:O)=2,0,1)),0.05),IF(AO254&gt;3.5,0.985,0.95))))</f>
        <v>0</v>
      </c>
      <c r="K254" s="2">
        <f>ROUNDUP(AO254*_xlfn.XLOOKUP(_xlfn.XLOOKUP(B254,'Base stats'!B:B,'Base stats'!E:E),Groups!A:A,Groups!E:E),0)</f>
        <v>5</v>
      </c>
      <c r="L254" s="2">
        <f>IF(OR(_xlfn.XLOOKUP(_xlfn.XLOOKUP(B254,'Base stats'!B:B,'Base stats'!E:E),Groups!A:A,Groups!F:F)=2,ISNUMBER(SEARCH("SeaIce",BX254)),ISNUMBER(SEARCH("IceSheet",BX254))),-50,IF(OR(ISNUMBER(SEARCH("GlacialPlain",BX254)),ISNUMBER(SEARCH("Tundra",BX254))),-40,IF(OR(ISNUMBER(SEARCH("Alpine",BX254)),ISNUMBER(SEARCH("BorealForest",BX254)),ISNUMBER(SEARCH("ColdBog",BX254))),-30,IF(OR(ISNUMBER(SEARCH("TemperateForest",BX254)),ISNUMBER(SEARCH("TemperateSwamp",BX254))),-20,IF(_xlfn.XLOOKUP(_xlfn.XLOOKUP(B254,'Base stats'!B:B,'Base stats'!E:E),Groups!A:A,Groups!F:F)=1,-15,IF(OR(ISNUMBER(SEARCH("Desert",BX254)),ISNUMBER(SEARCH("ExtremeDesert",BX254))),-10,IF(OR(ISNUMBER(SEARCH("Grasslands",BX254)),ISNUMBER(SEARCH("TropicalRainforest",BX254)),ISNUMBER(SEARCH("TropicalSwamp",BX254))),10,0)))))))-IF(CC254="False",MIN(IFERROR(MAX(MROUND(LOG10(_xlfn.XLOOKUP(B254,'Base stats'!B:B,'Base stats'!C:C)^(2/3))*10,5),5),5),30))-_xlfn.XLOOKUP(B254,'Base stats'!B:B,'Base stats'!P:P)+IF(CC254="True",5,0)</f>
        <v>-35</v>
      </c>
      <c r="M254" s="2">
        <f>IF(OR(_xlfn.XLOOKUP(_xlfn.XLOOKUP(B254,'Base stats'!B:B,'Base stats'!E:E),Groups!A:A,Groups!G:G)=2,ISNUMBER(SEARCH("Desert",BX254)),ISNUMBER(SEARCH("ExtremeDesert",BX254)),ISNUMBER(SEARCH("LavaField",BX254))),50,IF(ISNUMBER(SEARCH("Grasslands",BX254)),45,IF(OR(_xlfn.XLOOKUP(_xlfn.XLOOKUP(B254,'Base stats'!B:B,'Base stats'!E:E),Groups!A:A,Groups!G:G)=1,ISNUMBER(SEARCH("TropicalRainforest",BX254)),ISNUMBER(SEARCH("TropicalSwamp",BX254))),40,IF(OR(ISNUMBER(SEARCH("TemperateForest",BX254)),ISNUMBER(SEARCH("TemperateSwamp",BX254))),35,IF(OR(ISNUMBER(SEARCH("Alpine",BX254)),ISNUMBER(SEARCH("BorealForest",BX254)),ISNUMBER(SEARCH("ColdBog",BX254))),30,IF(ISNUMBER(OR(ISNUMBER(SEARCH("GlacialPlain",BX254)),SEARCH("Tundra",BX254))),25,IF(OR(ISNUMBER(SEARCH("SeaIce",BX254)),ISNUMBER(SEARCH("IceSheet",BX254)),ISNUMBER(SEARCH("TropicalSwamp",BX254))),10,35)))))))+_xlfn.XLOOKUP(B254,'Base stats'!B:B,'Base stats'!Q:Q)</f>
        <v>35</v>
      </c>
      <c r="N254" s="8" t="str">
        <f>IF(
_xlfn.XLOOKUP(
_xlfn.XLOOKUP(B254,'Base stats'!B:B,'Base stats'!E:E),
Groups!A:A,
Groups!L:L
)=1,
MIN(
MROUND(
IF(
_xlfn.XLOOKUP(B254,'Animals CE'!B:B,'Animals CE'!Z:Z)&lt;=1.5,
_xlfn.XLOOKUP(B254,'Animals CE'!B:B,'Animals CE'!Z:Z)/2+0.05,
0.8+
(_xlfn.XLOOKUP(B254,'Animals CE'!B:B,'Animals CE'!Z:Z)-1.5)
*0.02
),
0.05
),
200%
),
"No"
)</f>
        <v>No</v>
      </c>
      <c r="O254" s="8" t="str">
        <f>IF(
_xlfn.XLOOKUP(
_xlfn.XLOOKUP(B254,'Base stats'!B:B,'Base stats'!E:E),
Groups!A:A,
Groups!L:L
)=1,
MIN(
MROUND(
IF(
_xlfn.XLOOKUP(B254,'Animals CE'!B:B,'Animals CE'!AA:AA)&lt;=1.5,
_xlfn.XLOOKUP(B254,'Animals CE'!B:B,'Animals CE'!AA:AA)/2+0.05,
0.8+
(_xlfn.XLOOKUP(B254,'Animals CE'!B:B,'Animals CE'!AA:AA)-1.5)
*0.02
),
0.05
),
200%
),
"No"
)</f>
        <v>No</v>
      </c>
      <c r="P254" s="2" t="str">
        <f>_xlfn.XLOOKUP(B254,'Base stats'!B:B,'Base stats'!R:R)</f>
        <v>Standard</v>
      </c>
      <c r="Q254" s="13">
        <f>MROUND((LOG10(_xlfn.XLOOKUP(B254,'Base stats'!B:B,'Base stats'!AR:AR))*(AO254^0.5)+(_xlfn.XLOOKUP(B254,'Base stats'!B:B,'Base stats'!AR:AR)/1000)^(2/3)+_xlfn.XLOOKUP(B254,'Base stats'!B:B,'Base stats'!BA:BA)/2)+0.5,0.5)</f>
        <v>7</v>
      </c>
      <c r="R254" s="7">
        <f>IF(Q254="No","No",MAX(1,MROUND(_xlfn.XLOOKUP(B254,'Base stats'!B:B,'Base stats'!C:C)^0.165,0.05)))</f>
        <v>2</v>
      </c>
      <c r="S254" s="13">
        <f>IF(_xlfn.XLOOKUP(_xlfn.XLOOKUP(B254,'Base stats'!B:B,'Base stats'!E:E),Groups!A:A,Groups!P:P)=0,"No",MROUND((LOG10(_xlfn.XLOOKUP(B254,'Base stats'!B:B,'Base stats'!AS:AS))*(AO254^0.5)+(_xlfn.XLOOKUP(B254,'Base stats'!B:B,'Base stats'!AS:AS)/1000)^(2/3)+_xlfn.XLOOKUP(B254,'Base stats'!B:B,'Base stats'!BA:BA))+_xlfn.XLOOKUP(B254,'Base stats'!B:B,'Base stats'!AY:AY)+0.5,0.5))</f>
        <v>9</v>
      </c>
      <c r="T254" s="7">
        <f>IF(S254="No","No",MAX(_xlfn.XLOOKUP(_xlfn.XLOOKUP(B254,'Base stats'!B:B,'Base stats'!E:E),Groups!A:A,Groups!Q:Q),MROUND(_xlfn.XLOOKUP(_xlfn.XLOOKUP(B254,'Base stats'!B:B,'Base stats'!E:E),Groups!A:A,Groups!Q:Q)*_xlfn.XLOOKUP(B254,'Base stats'!B:B,'Base stats'!C:C)^0.165,0.05)))</f>
        <v>2</v>
      </c>
      <c r="U254" s="7" t="str">
        <f>IF(S254="No","No",_xlfn.XLOOKUP(_xlfn.XLOOKUP(B254,'Base stats'!B:B,'Base stats'!E:E),Groups!A:A,Groups!R:R))</f>
        <v>FrontLeftLeg, FrontRightLeg</v>
      </c>
      <c r="V254" s="7" t="str">
        <f>IF(S254="No","No",_xlfn.XLOOKUP(_xlfn.XLOOKUP(B254,'Base stats'!B:B,'Base stats'!E:E),Groups!A:A,Groups!S:S))</f>
        <v>left hoof, right hoof</v>
      </c>
      <c r="W254" s="7" t="str">
        <f>IF(S254="No","No",_xlfn.XLOOKUP(_xlfn.XLOOKUP(B254,'Base stats'!B:B,'Base stats'!E:E),Groups!A:A,Groups!T:T))</f>
        <v>Blunt</v>
      </c>
      <c r="X254" s="13">
        <f>IF(_xlfn.XLOOKUP(B254,'Base stats'!B:B,'Base stats'!W:W)="No","No",MROUND((LOG10(_xlfn.XLOOKUP(B254,'Base stats'!B:B,'Base stats'!AU:AU))*(AO254^0.5)+(_xlfn.XLOOKUP(B254,'Base stats'!B:B,'Base stats'!AU:AU)/1000)^(2/3)+_xlfn.XLOOKUP(B254,'Base stats'!B:B,'Base stats'!AZ:AZ))+0.5+IF(_xlfn.XLOOKUP(_xlfn.XLOOKUP(B254,'Base stats'!B:B,'Base stats'!E:E),Groups!A:A,Groups!U:U)&lt;&gt;3,_xlfn.XLOOKUP(B254,'Base stats'!B:B,'Base stats'!BA:BA),0),0.5))</f>
        <v>11</v>
      </c>
      <c r="Y254" s="7">
        <f>IF(X254="No","No",MAX(_xlfn.XLOOKUP(_xlfn.XLOOKUP(B254,'Base stats'!B:B,'Base stats'!E:E),Groups!A:A,Groups!V:V),MROUND(_xlfn.XLOOKUP(_xlfn.XLOOKUP(B254,'Base stats'!B:B,'Base stats'!E:E),Groups!A:A,Groups!V:V)*_xlfn.XLOOKUP(B254,'Base stats'!B:B,'Base stats'!C:C)^0.165,0.05)))</f>
        <v>1.7000000000000002</v>
      </c>
      <c r="Z254" s="7" t="str">
        <f>IF(X254="No","No",_xlfn.XLOOKUP(_xlfn.XLOOKUP(B254,'Base stats'!B:B,'Base stats'!E:E),Groups!A:A,Groups!W:W))</f>
        <v>HeadAttackTool</v>
      </c>
      <c r="AA254" s="7" t="str">
        <f>IF(X254="No","No",_xlfn.XLOOKUP(_xlfn.XLOOKUP(B254,'Base stats'!B:B,'Base stats'!E:E),Groups!A:A,Groups!X:X))</f>
        <v>horn</v>
      </c>
      <c r="AB254" s="7" t="str">
        <f>IF(X254="No","No",_xlfn.XLOOKUP(_xlfn.XLOOKUP(B254,'Base stats'!B:B,'Base stats'!E:E),Groups!A:A,Groups!Y:Y))</f>
        <v>Blunt</v>
      </c>
      <c r="AC254" s="7" t="str">
        <f>_xlfn.XLOOKUP(Animals!B254,'Base stats'!B:B,'Base stats'!X:X)</f>
        <v>True</v>
      </c>
      <c r="AD254" s="13" t="str">
        <f>IF(_xlfn.XLOOKUP(B254,'Base stats'!B:B,'Base stats'!AT:AT)="No","No",MROUND((LOG10(_xlfn.XLOOKUP(B254,'Base stats'!B:B,'Base stats'!AT:AT))*(AO254^0.75)+(_xlfn.XLOOKUP(B254,'Base stats'!B:B,'Base stats'!AT:AT)/1000)^(2/3)+_xlfn.XLOOKUP(B254,'Base stats'!B:B,'Base stats'!AX:AX)+_xlfn.XLOOKUP(B254,'Base stats'!B:B,'Base stats'!BA:BA))+0.5,0.5))</f>
        <v>No</v>
      </c>
      <c r="AE254" s="7" t="str">
        <f>IF(AD254="No","No",MAX(_xlfn.XLOOKUP(_xlfn.XLOOKUP(B254,'Base stats'!B:B,'Base stats'!E:E),Groups!A:A,Groups!Z:Z),MROUND(_xlfn.XLOOKUP(_xlfn.XLOOKUP(B254,'Base stats'!B:B,'Base stats'!E:E),Groups!A:A,Groups!Z:Z)*_xlfn.XLOOKUP(B254,'Base stats'!B:B,'Base stats'!C:C)^0.165,0.05)))</f>
        <v>No</v>
      </c>
      <c r="AF254" s="7" t="str">
        <f>IF(AD254="No","No",_xlfn.XLOOKUP(_xlfn.XLOOKUP(B254,'Base stats'!B:B,'Base stats'!E:E),Groups!A:A,Groups!AA:AA))</f>
        <v>No</v>
      </c>
      <c r="AG254" s="7" t="str">
        <f>IF(AD254="No","No",_xlfn.XLOOKUP(_xlfn.XLOOKUP(B254,'Base stats'!B:B,'Base stats'!E:E),Groups!A:A,Groups!AB:AB))</f>
        <v>No</v>
      </c>
      <c r="AH254" s="7" t="str">
        <f>IF(AD254="No","No",_xlfn.XLOOKUP(_xlfn.XLOOKUP(B254,'Base stats'!B:B,'Base stats'!E:E),Groups!A:A,Groups!AC:AC))</f>
        <v>No</v>
      </c>
      <c r="AI254" s="13" t="str">
        <f>IF(_xlfn.XLOOKUP(_xlfn.XLOOKUP(B254,'Base stats'!B:B,'Base stats'!E:E),Groups!A:A,Groups!AD:AD)=0,"No",MROUND((LOG10(_xlfn.XLOOKUP(B254,'Base stats'!B:B,'Base stats'!AS:AS))*(AO254^0.75)+(_xlfn.XLOOKUP(B254,'Base stats'!B:B,'Base stats'!AS:AS)/1000)^(2/3)+_xlfn.XLOOKUP(B254,'Base stats'!B:B,'Base stats'!AY:AY)+_xlfn.XLOOKUP(B254,'Base stats'!B:B,'Base stats'!BA:BA))+0.5,0.5))</f>
        <v>No</v>
      </c>
      <c r="AJ254" s="7" t="str">
        <f>IF(AI254="No","No",MAX(_xlfn.XLOOKUP(_xlfn.XLOOKUP(B254,'Base stats'!B:B,'Base stats'!E:E),Groups!A:A,Groups!AE:AE),MROUND(_xlfn.XLOOKUP(_xlfn.XLOOKUP(B254,'Base stats'!B:B,'Base stats'!E:E),Groups!A:A,Groups!AE:AE)*IF(_xlfn.XLOOKUP(_xlfn.XLOOKUP(B254,'Base stats'!B:B,'Base stats'!E:E),Groups!A:A,Groups!AJ:AJ)="Photonozoa",0.6,1)*_xlfn.XLOOKUP(B254,'Base stats'!B:B,'Base stats'!C:C)^0.165,0.05)))</f>
        <v>No</v>
      </c>
      <c r="AK254" s="7" t="str">
        <f>IF(AI254="No","No",_xlfn.XLOOKUP(_xlfn.XLOOKUP(B254,'Base stats'!B:B,'Base stats'!E:E),Groups!A:A,Groups!AF:AF))</f>
        <v>No</v>
      </c>
      <c r="AL254" s="7" t="str">
        <f>IF(AI254="No","No",_xlfn.XLOOKUP(_xlfn.XLOOKUP(B254,'Base stats'!B:B,'Base stats'!E:E),Groups!A:A,Groups!AG:AG))</f>
        <v>No</v>
      </c>
      <c r="AM254" s="7" t="str">
        <f>IF(AI254="No","No",_xlfn.XLOOKUP(_xlfn.XLOOKUP(B254,'Base stats'!B:B,'Base stats'!E:E),Groups!A:A,Groups!AH:AH))</f>
        <v>No</v>
      </c>
      <c r="AN254" s="2" t="str">
        <f t="shared" si="21"/>
        <v>No</v>
      </c>
      <c r="AO254" s="2">
        <f>MROUND(IF(AND(_xlfn.XLOOKUP(B254,'Base stats'!B:B,'Base stats'!C:C)&gt;=0.5,_xlfn.XLOOKUP(B254,'Base stats'!B:B,'Base stats'!C:C)&lt;=0.8),
IF(_xlfn.XLOOKUP(B254,'Base stats'!B:B,'Base stats'!C:C)&lt;0.1,0.05,IF(_xlfn.XLOOKUP(B254,'Base stats'!B:B,'Base stats'!C:C)&lt;=70,(_xlfn.XLOOKUP(B254,'Base stats'!B:B,'Base stats'!C:C)/70)^0.426489913056526,IF(_xlfn.XLOOKUP(B254,'Base stats'!B:B,'Base stats'!C:C)&lt;=400,(_xlfn.XLOOKUP(B254,'Base stats'!B:B,'Base stats'!C:C)/70)^0.572811455315093,IF(_xlfn.XLOOKUP(B254,'Base stats'!B:B,'Base stats'!C:C)&lt;=2000,2.71391647193063*(_xlfn.XLOOKUP(B254,'Base stats'!B:B,'Base stats'!C:C)/400)^0.252459582904293,3.74314280240376*(_xlfn.XLOOKUP(B254,'Base stats'!B:B,'Base stats'!C:C)/2000)^0.357012633876913)))),
IF(_xlfn.XLOOKUP(B254,'Base stats'!B:B,'Base stats'!C:C)&lt;0.1,0.05,IF(_xlfn.XLOOKUP(B254,'Base stats'!B:B,'Base stats'!C:C)&lt;0.4,0.1,IF(_xlfn.XLOOKUP(B254,'Base stats'!B:B,'Base stats'!C:C)&lt;=70,(_xlfn.XLOOKUP(B254,'Base stats'!B:B,'Base stats'!C:C)/70)^0.445823913056526,IF(_xlfn.XLOOKUP(B254,'Base stats'!B:B,'Base stats'!C:C)&lt;=400,(_xlfn.XLOOKUP(B254,'Base stats'!B:B,'Base stats'!C:C)/70)^0.572811455315093,IF(_xlfn.XLOOKUP(B254,'Base stats'!B:B,'Base stats'!C:C)&lt;=2000,2.71391647193063*(_xlfn.XLOOKUP(B254,'Base stats'!B:B,'Base stats'!C:C)/400)^0.252459582904293,3.74314280240376*(_xlfn.XLOOKUP(B254,'Base stats'!B:B,'Base stats'!C:C)/2000)^0.357012633876913)))))),
IF(_xlfn.XLOOKUP(B254,'Base stats'!B:B,'Base stats'!C:C)&lt;0.1,0.05,IF(_xlfn.XLOOKUP(B254,'Base stats'!B:B,'Base stats'!C:C)&lt;=100,0.05,IF(_xlfn.XLOOKUP(B254,'Base stats'!B:B,'Base stats'!C:C)&lt;=250,0.1,IF(_xlfn.XLOOKUP(B254,'Base stats'!B:B,'Base stats'!C:C)&lt;=4000,0.25,0.5)))))</f>
        <v>0.95000000000000007</v>
      </c>
      <c r="AP254" s="8">
        <f>MROUND(AO254*_xlfn.XLOOKUP(_xlfn.XLOOKUP(B254,'Base stats'!B:B,'Base stats'!E:E),Groups!A:A,Groups!AI:AI)*_xlfn.XLOOKUP(B254,'Base stats'!B:B,'Base stats'!Z:Z),0.05)</f>
        <v>0.95000000000000007</v>
      </c>
      <c r="AQ254" s="8">
        <f>MAX(0.01,MROUND(IF(CC254="True",0.196*(AO254*100*1000)^0.889,IF(_xlfn.XLOOKUP(_xlfn.XLOOKUP(B254,'Base stats'!B:B,'Base stats'!E:E),Groups!A:A,Groups!AJ:AJ)="Bird",10.5*(AO254*100*1000)^0.681,4.82*(AO254*100*1000)^0.734))/(4.82*(1*100*1000)^0.734)/IF(AO254&lt;3.5,2,IF(AO254=3.5,1.5,1.25))*(1+0.132282374779864/(AO254^0.994035016789033+0.00905238001496948)),0.05))</f>
        <v>0.55000000000000004</v>
      </c>
      <c r="AR254" s="9">
        <f>IFERROR(MROUND(_xlfn.XLOOKUP(B254,'Base stats'!B:B,'Base stats'!H:H)/IF(_xlfn.XLOOKUP(B254,'Base stats'!B:B,'Base stats'!I:I)&lt;&gt;1,(122.5/70),1.2),IF(_xlfn.XLOOKUP(B254,'Base stats'!B:B,'Base stats'!H:H)&gt;=30,5,IF(_xlfn.XLOOKUP(B254,'Base stats'!B:B,'Base stats'!H:H)&gt;=15,3,IF(_xlfn.XLOOKUP(B254,'Base stats'!B:B,'Base stats'!H:H)&gt;=10,2,1)))),"Immortal")</f>
        <v>12</v>
      </c>
      <c r="AS254" s="35">
        <f>IFERROR(IF(OR(_xlfn.XLOOKUP(B254,'Base stats'!B:B,'Base stats'!F:F)="Atypical reproduction",_xlfn.XLOOKUP(B254,'Base stats'!B:B,'Base stats'!F:F)="Lay eggs"),"Lay eggs",MIN(20,MAX(5.5,ROUND(((_xlfn.XLOOKUP(B254,'Base stats'!B:B,'Base stats'!F:F)-25)*(14.5/615) + 5.5)*2,0)/2))),"Unknown")</f>
        <v>8.5</v>
      </c>
      <c r="AT254" s="8">
        <f>IF(_xlfn.XLOOKUP(B254,'Base stats'!B:B,'Base stats'!G:G)="Atypical reproduction","No",IFERROR(MAX(IF(_xlfn.XLOOKUP(B254,'Base stats'!B:B,'Base stats'!G:G)&lt;0.5,0.2,0.3),MROUND(_xlfn.XLOOKUP(B254,'Base stats'!B:B,'Base stats'!G:G)/(365/60),0.2)),"Unknown"))</f>
        <v>0.3</v>
      </c>
      <c r="AU254" s="8">
        <f t="shared" si="22"/>
        <v>0.15000000000000002</v>
      </c>
      <c r="AV254" s="8">
        <f>IFERROR(IFERROR(MROUND(_xlfn.XLOOKUP(B254,'Base stats'!B:B,'Base stats'!J:J),0.1),"Lay eggs"),"Cannot breed")</f>
        <v>1.6</v>
      </c>
      <c r="AW254" s="2" t="str">
        <f t="shared" si="23"/>
        <v>true</v>
      </c>
      <c r="AX254" s="2" t="str">
        <f>IF(_xlfn.XLOOKUP(_xlfn.XLOOKUP(Animals!B254,'Base stats'!B:B,'Base stats'!E:E),Groups!A:A,Groups!AK:AK)=1,"true","false")</f>
        <v>true</v>
      </c>
      <c r="AY254" s="25" t="str">
        <f>IF(_xlfn.XLOOKUP(B254,'Base stats'!B:B,'Base stats'!Y:Y)="Liquor","Liquor, CarnivoreAnimalStrict",IF(AND(_xlfn.XLOOKUP(B254,'Base stats'!B:B,'Base stats'!Y:Y)="Carnivore",_xlfn.XLOOKUP(_xlfn.XLOOKUP(B254,'Base stats'!B:B,'Base stats'!E:E),Groups!A:A,Groups!AJ:AJ)="Photonozoa"),"CarnivoreAnimalStrict, OvivoreAnimal",IF(_xlfn.XLOOKUP(B254,'Base stats'!B:B,'Base stats'!Y:Y)="Carnivore","CarnivoreAnimal, OvivoreAnimal",IF(_xlfn.XLOOKUP(B254,'Base stats'!B:B,'Base stats'!Y:Y)="Dendrovore","VegetarianRoughAnimal, DendrovoreAnimal",IF(_xlfn.XLOOKUP(B254,'Base stats'!B:B,'Base stats'!Y:Y)="Herbivore","VegetarianRoughAnimal",IF(_xlfn.XLOOKUP(B254,'Base stats'!B:B,'Base stats'!Y:Y)="OmnivoreRough","OmnivoreRoughAnimal, OvivoreAnimal","OmnivoreAnimal, OvivoreAnimal"))))))</f>
        <v>VegetarianRoughAnimal</v>
      </c>
      <c r="AZ254" s="2">
        <f>IF(_xlfn.XLOOKUP(_xlfn.XLOOKUP(B254,'Base stats'!B:B,'Base stats'!E:E),Groups!A:A,Groups!D:D)=1,MROUND((1-J254)*5+1,2)*IF(J254&lt;=0.4,2,1),"No")</f>
        <v>12</v>
      </c>
      <c r="BA254" s="2" t="str">
        <f>IF(AND(_xlfn.XLOOKUP(B254,'Base stats'!B:B,'Base stats'!AH:AH)="&lt;li&gt;Seal&lt;/li&gt;",G254="Odyssey"),"&lt;li&gt;AEXP_Seal&lt;/li&gt;",_xlfn.XLOOKUP(B254,'Base stats'!B:B,'Base stats'!AH:AH))</f>
        <v>&lt;li&gt;Sheep&lt;/li&gt;</v>
      </c>
      <c r="BB254" s="2" t="str">
        <f>_xlfn.XLOOKUP(B254,'Base stats'!B:B,'Base stats'!AG:AG)</f>
        <v>Leather_Plain</v>
      </c>
      <c r="BC254" s="23" t="str">
        <f>_xlfn.XLOOKUP(_xlfn.XLOOKUP(B254,'Base stats'!B:B,'Base stats'!E:E),Groups!A:A,Groups!AL:AL)</f>
        <v>QuadrupedAnimalWithHooves</v>
      </c>
      <c r="BD254" s="23">
        <f>MIN(1,MROUND(IF(AND(AO254&lt;0.5,_xlfn.XLOOKUP(B254,'Base stats'!B:B,'Base stats'!AA:AA)=0),0,IF(OR(_xlfn.XLOOKUP(Animals!B254,'Base stats'!B:B,'Base stats'!O:O)=2,_xlfn.XLOOKUP(_xlfn.XLOOKUP(B254,'Base stats'!B:B,'Base stats'!E:E),Groups!A:A,Groups!AN:AN)=0),0,_xlfn.XLOOKUP(_xlfn.XLOOKUP(B254,'Base stats'!B:B,'Base stats'!E:E),Groups!A:A,Groups!AN:AN)/IF(_xlfn.XLOOKUP(Animals!B254,'Base stats'!B:B,'Base stats'!O:O)=1,2,1)))+_xlfn.XLOOKUP(B254,'Base stats'!B:B,'Base stats'!AC:AC),0.005))</f>
        <v>0</v>
      </c>
      <c r="BE254" s="23">
        <f>MIN(1,MROUND(IF(AND(AO254&lt;0.5,_xlfn.XLOOKUP(B254,'Base stats'!B:B,'Base stats'!AA:AA)=0),0,IF(_xlfn.XLOOKUP(_xlfn.XLOOKUP(B254,'Base stats'!B:B,'Base stats'!E:E),Groups!A:A,Groups!AO:AO)=0,0,_xlfn.XLOOKUP(_xlfn.XLOOKUP(B254,'Base stats'!B:B,'Base stats'!E:E),Groups!A:A,Groups!AO:AO)/IF(_xlfn.XLOOKUP(Animals!B254,'Base stats'!B:B,'Base stats'!O:O)=2,3,1)))+_xlfn.XLOOKUP(B254,'Base stats'!B:B,'Base stats'!AD:AD),0.005))</f>
        <v>0</v>
      </c>
      <c r="BF254" s="2" t="str">
        <f>IF(J254&gt;0.3,"No",_xlfn.XLOOKUP(_xlfn.XLOOKUP(Animals!B254,'Base stats'!B:B,'Base stats'!E:E),Groups!A:A,Groups!AP:AP))</f>
        <v>No</v>
      </c>
      <c r="BG254" s="2" t="str">
        <f>IF(AND(J254&lt;=0.65,_xlfn.XLOOKUP(_xlfn.XLOOKUP(Animals!B254,'Base stats'!B:B,'Base stats'!E:E),Groups!A:A,Groups!AP:AP)&lt;&gt;"No",_xlfn.XLOOKUP(_xlfn.XLOOKUP(B254,'Base stats'!B:B,'Base stats'!E:E),Groups!A:A,Groups!D:D)=0),MROUND((80/3)*IF(_xlfn.XLOOKUP(B254,'Base stats'!B:B,'Base stats'!O:O)=2,0.2,AO254) + 24*(1-IF(BF254="No",0,BF254)) + 16/3, 12),"No")</f>
        <v>No</v>
      </c>
      <c r="BH254" s="2">
        <f>IF(AND(_xlfn.XLOOKUP(_xlfn.XLOOKUP(B254,'Base stats'!B:B,'Base stats'!E:E),Groups!A:A,Groups!AQ:AQ)=1,AO254&lt;=0.35),8,12)</f>
        <v>12</v>
      </c>
      <c r="BI254" s="2" t="str">
        <f>IF(_xlfn.XLOOKUP(_xlfn.XLOOKUP(B254,'Base stats'!B:B,'Base stats'!E:E),Groups!A:A,Groups!D:D)=0,_xlfn.XLOOKUP(_xlfn.XLOOKUP(B254,'Base stats'!B:B,'Base stats'!E:E),Groups!A:A,Groups!AR:AR),"None")</f>
        <v>None</v>
      </c>
      <c r="BJ254" s="2" t="str">
        <f>IF(AND(_xlfn.XLOOKUP(_xlfn.XLOOKUP(B254,'Base stats'!B:B,'Base stats'!E:E),Groups!A:A,Groups!AS:AS)=1,OR(_xlfn.XLOOKUP(B254,'Base stats'!B:B,'Base stats'!Y:Y)="Carnivore",_xlfn.XLOOKUP(B254,'Base stats'!B:B,'Base stats'!Y:Y)="Omnivore")),"true","false")</f>
        <v>false</v>
      </c>
      <c r="BK254" s="2" t="str">
        <f>IF(BJ254="true",MROUND(IF(AND(AO254&gt;0.5,OR(_xlfn.XLOOKUP(_xlfn.XLOOKUP(B254,'Base stats'!B:B,'Base stats'!E:E),Groups!A:A,Groups!AJ:AJ)="Photonozoa",_xlfn.XLOOKUP(_xlfn.XLOOKUP(B254,'Base stats'!B:B,'Base stats'!E:E),Groups!A:A,Groups!AJ:AJ)="Mammal")),Animals!AO254*1.75*IF(AW254="true",1.5,1),IF(AO254&lt;0.5,Animals!AO254*0.5,Animals!AO254)),IF(AO254&gt;2,0.5,IF(AO254&gt;0.5,0.25,0.1))),"No")</f>
        <v>No</v>
      </c>
      <c r="BL254" s="2">
        <f t="shared" si="24"/>
        <v>0</v>
      </c>
      <c r="BM254" s="25" t="str">
        <f>IF(_xlfn.XLOOKUP(B254,'Base stats'!B:B,'Base stats'!AN:AN)="Standard","No",MROUND((_xlfn.XLOOKUP(B254,'Base stats'!B:B,'Base stats'!AN:AN)/3.6)/I254,0.1))</f>
        <v>No</v>
      </c>
      <c r="BN254" s="25" t="str">
        <f t="shared" si="25"/>
        <v>false</v>
      </c>
      <c r="BO254" s="25" t="str">
        <f>IF(AND(OR(_xlfn.XLOOKUP(B254,'Base stats'!B:B,'Base stats'!Y:Y)="Carnivore",_xlfn.XLOOKUP(B254,'Base stats'!B:B,'Base stats'!Y:Y)="Omnivore",_xlfn.XLOOKUP(B254,'Base stats'!B:B,'Base stats'!Y:Y)="OmnivoreRough"),_xlfn.XLOOKUP(_xlfn.XLOOKUP(B254,'Base stats'!B:B,'Base stats'!E:E),Groups!A:A,Groups!AT:AT)=1),"true","false")</f>
        <v>false</v>
      </c>
      <c r="BP254" s="25" t="str" cm="1">
        <f t="array" ref="BP254">IF(
  _xlfn.TEXTJOIN(", ",TRUE,
    IF(AND(BJ254="true",AO254&gt;0.5,BI254&lt;&gt;"None"),"AttackTarget",""),
    IF(AND(_xlfn.XLOOKUP(_xlfn.XLOOKUP(B254,'Base stats'!B:B,'Base stats'!E:E),Groups!A:A,Groups!AJ:AJ="Mammal"),OR(_xlfn.XLOOKUP(B254,'Base stats'!B:B,'Base stats'!Y:Y)="Omnivore",_xlfn.XLOOKUP(B254,'Base stats'!B:B,'Base stats'!Y:Y)="OmnivoreRough")),"Forage",""),
    IF(BG254&lt;=36,"Comfort",""),
    IF(_xlfn.XLOOKUP(B254,'Base stats'!B:B,'Base stats'!AE:AE)&lt;&gt;"No",_xlfn.XLOOKUP(B254,'Base stats'!B:B,'Base stats'!AE:AE),"")
  ) = "",
  "No",
  _xlfn.TEXTJOIN(", ",TRUE,
    IF(AND(BJ254="true",AO254&gt;0.5,BI254&lt;&gt;"None"),"AttackTarget",""),
    IF(AND(_xlfn.XLOOKUP(_xlfn.XLOOKUP(B254,'Base stats'!B:B,'Base stats'!E:E),Groups!A:A,Groups!AJ:AJ="Mammal"),OR(_xlfn.XLOOKUP(B254,'Base stats'!B:B,'Base stats'!Y:Y)="Omnivore",_xlfn.XLOOKUP(B254,'Base stats'!B:B,'Base stats'!Y:Y)="OmnivoreRough")),"Forage",""),
    IF(BG254&lt;=36,"Comfort",""),
    IF(_xlfn.XLOOKUP(B254,'Base stats'!B:B,'Base stats'!AE:AE)&lt;&gt;"No",_xlfn.XLOOKUP(B254,'Base stats'!B:B,'Base stats'!AE:AE),"")
  )
)</f>
        <v>No</v>
      </c>
      <c r="BQ254" s="25" t="str">
        <f>IF(
   AND(
      'Base stats'!AN254="Standard",_xlfn.XLOOKUP(_xlfn.XLOOKUP(B254,'Base stats'!B:B,'Base stats'!E:E),Groups!A:A,Groups!AU:AU)=0,
      OR(
      BO254="True"
      )
   ),
   10,
   IF(
       OR(BM254&lt;&gt;"No",_xlfn.XLOOKUP(_xlfn.XLOOKUP(B254,'Base stats'!B:B,'Base stats'!E:E),Groups!A:A,Groups!AU:AU)=1),
      1,
      "No"
   )
)</f>
        <v>No</v>
      </c>
      <c r="BR254" s="9">
        <f>MROUND((1 + ((0.2*IF(OR(Q254="No",R254="No",R254=0),0,Q254/R254)
+IF(OR(V254="No",S254="No",T254="No"),0,S254/T254*(LEN(V254)-LEN(SUBSTITUTE(V254,",",""))+1))
+IF(OR(X254="No",Y254="No"),0,X254/Y254)
+IF(OR(AD254="No",AE254="No"),0,AD254/AE254)
+IF(OR(AL254="No",AI254="No",AJ254="No"),0,AI254/AJ254*(LEN(AL254)-LEN(SUBSTITUTE(AL254,",",""))+1))
)/(0.2*IF(OR(Q254="No",R254="No",R254=0),0,1)
+IF(OR(V254="No",S254="No",T254="No"),0,LEN(V254)-LEN(SUBSTITUTE(V254,",",""))+1)
+IF(OR(X254="No",Y254="No"),0,1)
+IF(OR(AD254="No",AE254="No"),0,1)
+IF(OR(AL254="No",AI254="No",AJ254="No"),0,LEN(AL254)-LEN(SUBSTITUTE(AL254,",",""))+1))*62%)* 2)*(1 + (AP254 / (IF(_xlfn.XLOOKUP(_xlfn.XLOOKUP(B254,'Base stats'!B:B,'Base stats'!E:E),Groups!A:A,Groups!AJ:AJ)="Photonozoa",0.3,1)) + _xlfn.XLOOKUP(B254,'Base stats'!B:B,'Base stats'!AV:AV) * 1.8) * 2) * 2.5 + 10 + I254 * 2,5)+IF(_xlfn.XLOOKUP(B254,'Base stats'!B:B,'Base stats'!AK:AK)=1,50,0)</f>
        <v>70</v>
      </c>
      <c r="BS254" s="8">
        <f t="shared" si="26"/>
        <v>0.65</v>
      </c>
      <c r="BT254" s="8" t="str">
        <f>_xlfn.XLOOKUP(B254,'Base stats'!B:B,'Base stats'!AF:AF)</f>
        <v>3~10</v>
      </c>
      <c r="BU254" s="2" t="str">
        <f>IF(AND(J254&lt;=0.95,OR(_xlfn.XLOOKUP(B254,'Base stats'!B:B,'Base stats'!AK:AK)=1,_xlfn.XLOOKUP(B254,'Base stats'!B:B,'Base stats'!Y:Y)="Carnivore",_xlfn.XLOOKUP(B254,'Base stats'!B:B,'Base stats'!Y:Y)="Omnivore",BE254&gt;0.1)),"true","false")</f>
        <v>false</v>
      </c>
      <c r="BV254" s="2" t="str">
        <f>IF(_xlfn.XLOOKUP(B254,'Base stats'!B:B,'Base stats'!AI:AI)=1,"true","false")</f>
        <v>false</v>
      </c>
      <c r="BW254" s="25" t="str">
        <f>IF(E254="BaseInsect","AnimalInsect",
IF(J254&gt;0.95,"AnimalExotic",
_xlfn.TEXTJOIN(", ",TRUE,
IF(OR(_xlfn.XLOOKUP(B254,'Base stats'!B:B,'Base stats'!AM:AM)=1,AND(_xlfn.XLOOKUP(B254,'Base stats'!B:B,'Base stats'!O:O)=0,_xlfn.XLOOKUP(_xlfn.XLOOKUP(B254,'Base stats'!B:B,'Base stats'!E:E),Groups!A:A,Groups!B:B)&gt;0)),"AnimalUncommon","AnimalCommon"),
IF(AND(_xlfn.XLOOKUP(B254,'Base stats'!B:B,'Base stats'!O:O)=2,_xlfn.XLOOKUP(_xlfn.XLOOKUP(B254,'Base stats'!B:B,'Base stats'!E:E),Groups!A:A,Groups!D:D)=0),"AnimalPet",IF(AND(_xlfn.XLOOKUP(B254,'Base stats'!B:B,'Base stats'!O:O)&lt;&gt;0,_xlfn.XLOOKUP(_xlfn.XLOOKUP(B254,'Base stats'!B:B,'Base stats'!E:E),Groups!A:A,Groups!D:D)&lt;&gt;0),"AnimalFarm","")),
IF(OR(_xlfn.XLOOKUP(B254,'Base stats'!B:B,'Base stats'!AK:AK)=1,AND(BI254&lt;&gt;"None",BR254&gt;=60),ISNUMBER(SEARCH("Attack target",BP254))),"AnimalFighter","")
)))</f>
        <v>AnimalUncommon, AnimalFarm</v>
      </c>
      <c r="BX254" s="25" t="str">
        <f>IF(G254="None",TRIM(
SUBSTITUTE(
IF(COUNTIF(Biomes!B$2:B$259,"="&amp;$C254)&gt;0,Biomes!B$1&amp;", ","")&amp;
IF(COUNTIF(Biomes!C$2:C$259,"="&amp;$C254)&gt;0,Biomes!C$1&amp;", ","")&amp;
IF(COUNTIF(Biomes!D$2:D$259,"="&amp;$C254)&gt;0,Biomes!D$1&amp;", ","")&amp;
IF(COUNTIF(Biomes!F$2:F$259,"="&amp;$C254)&gt;0,Biomes!F$1&amp;", ","")&amp;
IF(COUNTIF(Biomes!G$2:G$259,"="&amp;$C254)&gt;0,Biomes!G$1&amp;", ","")&amp;
IF(COUNTIF(Biomes!H$2:H$259,"="&amp;$C254)&gt;0,Biomes!H$1&amp;", ","")&amp;
IF(COUNTIF(Biomes!I$2:I$259,"="&amp;$C254)&gt;0,Biomes!I$1&amp;", ","")&amp;
IF(COUNTIF(Biomes!J$2:J$259,"="&amp;$C254)&gt;0,Biomes!J$1&amp;", ","")&amp;
IF(COUNTIF(Biomes!M$2:M$259,"="&amp;$C254)&gt;0,Biomes!M$1&amp;", ","")&amp;
IF(COUNTIF(Biomes!N$2:N$259,"="&amp;$C254)&gt;0,Biomes!N$1&amp;", ","")&amp;
IF(COUNTIF(Biomes!O$2:O$259,"="&amp;$C254)&gt;0,Biomes!O$1&amp;", ","")&amp;
IF(COUNTIF(Biomes!P$2:P$259,"="&amp;$C254)&gt;0,Biomes!P$1&amp;", ","")&amp;
IF(COUNTIF(Biomes!K$2:K$259,"="&amp;$C254)&gt;0,Biomes!K$1&amp;", ","")&amp;
IF(COUNTIF(Biomes!Q$3:Q$259,"="&amp;$C254)&gt;0,Biomes!Q$1&amp;", ","")&amp;
IF(COUNTIF(Biomes!L$2:L$259,"="&amp;$C254)&gt;0,Biomes!L$1&amp;", ","")&amp;
IF(COUNTIF(Biomes!E$2:E$259,"="&amp;$C254)&gt;0,Biomes!E$1&amp;", ","")&amp;IF(COUNTIF(Biomes!S$2:S$259,"="&amp;$C254)&gt;0,Biomes!S$1&amp;", ","")&amp;
IF(COUNTIF(Biomes!R$2:R$259,"="&amp;$C254)&gt;0,Biomes!R$1&amp;", ",""),", ","")
),_xlfn.XLOOKUP(B254,B:B,BX:BX))</f>
        <v/>
      </c>
      <c r="BY254" s="25" t="str">
        <f>IF(_xlfn.XLOOKUP(B254,'Base stats'!B:B,'Base stats'!AJ:AJ)=1,"true","false")</f>
        <v>false</v>
      </c>
      <c r="BZ254" s="25">
        <f>IF(_xlfn.XLOOKUP(B254,'Base stats'!B:B,'Base stats'!N:N)=1,"No",MAX(0.001,MIN(MROUND(IF(AND(BJ254="True",CC254="False"),POWER(10,3.47*LOG10(_xlfn.XLOOKUP(B254,'Base stats'!B:B,'Base stats'!C:C)*1000)^-0.96),POWER(10,4.15*LOG10(_xlfn.XLOOKUP(B254,'Base stats'!B:B,'Base stats'!C:C)*1000)^-0.73))*IF(_xlfn.XLOOKUP(B254,'Base stats'!B:B,'Base stats'!AK:AK)=1,0.5,1)*IF(_xlfn.XLOOKUP(B254,'Base stats'!B:B,'Base stats'!AM:AM)=1,0.1,1)/100,IF(_xlfn.XLOOKUP(B254,'Base stats'!B:B,'Base stats'!AM:AM)=1,0.001,0.025)),0.5)))</f>
        <v>2.1000000000000001E-2</v>
      </c>
      <c r="CA254" s="25" t="str">
        <f>IF(P254="Standard","No",MAX(0.001,MIN(MROUND(IF(AND(BJ254="True",CC254="False"),POWER(10,3.47*LOG10(_xlfn.XLOOKUP(B254,'Base stats'!B:B,'Base stats'!C:C)*1000)^-0.96),POWER(10,4.15*LOG10(_xlfn.XLOOKUP(B254,'Base stats'!B:B,'Base stats'!C:C)*1000)^-0.73))*IF(_xlfn.XLOOKUP(B254,'Base stats'!B:B,'Base stats'!AM:AM)=1,0.1,1)*_xlfn.XLOOKUP(B254,'Base stats'!B:B,'Base stats'!R:R)/100,IF(_xlfn.XLOOKUP(B254,'Base stats'!B:B,'Base stats'!AM:AM)=1,0.001,0.025)),0.5)))</f>
        <v>No</v>
      </c>
      <c r="CB254" s="25" t="str">
        <f>IF(_xlfn.XLOOKUP(_xlfn.XLOOKUP(B254,'Base stats'!B:B,'Base stats'!E:E),Groups!A:A,Groups!AJ:AJ)="Mammal","True","False")</f>
        <v>True</v>
      </c>
      <c r="CC254" s="25" t="str">
        <f>IF(OR(_xlfn.XLOOKUP(_xlfn.XLOOKUP(B254,'Base stats'!B:B,'Base stats'!E:E),Groups!A:A,Groups!AJ:AJ)="Reptile",_xlfn.XLOOKUP(_xlfn.XLOOKUP(B254,'Base stats'!B:B,'Base stats'!E:E),Groups!A:A,Groups!AJ:AJ)="Amphibian",_xlfn.XLOOKUP(_xlfn.XLOOKUP(B254,'Base stats'!B:B,'Base stats'!E:E),Groups!A:A,Groups!AJ:AJ)="Invertebrate"),"True","False")</f>
        <v>False</v>
      </c>
      <c r="CD254" s="25" t="str">
        <f t="shared" si="27"/>
        <v>False</v>
      </c>
      <c r="CE254" s="25" t="str">
        <f>IF(_xlfn.XLOOKUP(_xlfn.XLOOKUP(B254,'Base stats'!B:B,'Base stats'!E:E),Groups!A:A,Groups!AX:AX),"True","False")</f>
        <v>False</v>
      </c>
      <c r="CF254" s="25" t="str">
        <f>IF(_xlfn.XLOOKUP(_xlfn.XLOOKUP(B254,'Base stats'!B:B,'Base stats'!E:E),Groups!A:A,Groups!AY:AY),"True","False")</f>
        <v>False</v>
      </c>
      <c r="CG254" s="25" t="str">
        <f>IF(_xlfn.XLOOKUP(_xlfn.XLOOKUP(B254,'Base stats'!B:B,'Base stats'!E:E),Groups!A:A,Groups!AW:AW),"True","False")</f>
        <v>False</v>
      </c>
      <c r="CH254" s="25" t="str">
        <f>IF(
OR(
_xlfn.XLOOKUP(_xlfn.XLOOKUP(B254,'Base stats'!B:B,'Base stats'!E:E),Groups!A:A,Groups!AZ:AZ)=0,
AND(
_xlfn.XLOOKUP(B254,'Base stats'!B:B,'Base stats'!Y:Y)&lt;&gt;"Carnivore",
_xlfn.XLOOKUP(B254,'Base stats'!B:B,'Base stats'!Y:Y)&lt;&gt;"Omnivore",
_xlfn.XLOOKUP(B254,'Base stats'!B:B,'Base stats'!Y:Y)&lt;&gt;"OmnivoreRough"
)
),
"No",
IF(
_xlfn.XLOOKUP(_xlfn.XLOOKUP(B254,'Base stats'!B:B,'Base stats'!E:E),Groups!A:A,Groups!AZ:AZ)=1,
"Flesh",
IF(
_xlfn.XLOOKUP(_xlfn.XLOOKUP(B254,'Base stats'!B:B,'Base stats'!E:E),Groups!A:A,Groups!AZ:AZ)=2,
"Bone",
""
)
)
)</f>
        <v>No</v>
      </c>
      <c r="CI254" s="25" t="str">
        <f>IF(_xlfn.XLOOKUP(_xlfn.XLOOKUP(B254,'Base stats'!B:B,'Base stats'!E:E),Groups!A:A,Groups!BB:BB),"True","False")</f>
        <v>True</v>
      </c>
      <c r="CJ254" s="25" t="str">
        <f>IF(_xlfn.XLOOKUP(_xlfn.XLOOKUP(B254,'Base stats'!B:B,'Base stats'!E:E),Groups!A:A,Groups!BA:BA),"True","False")</f>
        <v>False</v>
      </c>
    </row>
    <row r="255" spans="1:88" ht="16.5" thickTop="1" thickBot="1" x14ac:dyDescent="0.3">
      <c r="A255" s="26" t="s">
        <v>1416</v>
      </c>
      <c r="B255" s="6" t="str">
        <f>_xlfn.XLOOKUP(A255,'Base stats'!A:A,'Base stats'!B:B)</f>
        <v>Haemophagus infinitus</v>
      </c>
      <c r="C255" s="28" t="s">
        <v>1417</v>
      </c>
      <c r="D255" s="28" t="s">
        <v>1341</v>
      </c>
      <c r="E255" s="28" t="s">
        <v>673</v>
      </c>
      <c r="F255" s="28" t="s">
        <v>673</v>
      </c>
      <c r="G255" s="28" t="s">
        <v>673</v>
      </c>
      <c r="H255" s="2">
        <f>MROUND((
  (IF(AND(_xlfn.XLOOKUP(B255,'Base stats'!B:B,'Base stats'!AL:AL)=0,BI255="None",_xlfn.XLOOKUP(_xlfn.XLOOKUP(B255,'Base stats'!B:B,'Base stats'!E:E),Groups!A:A,Groups!B:B)=0), (18 + BR255 * 2.7) * 0.5,
    IF(AND(_xlfn.XLOOKUP(B255,'Base stats'!B:B,'Base stats'!AL:AL)=0,OR(AO255&lt;0.55,AND(BI255="Intermediate",_xlfn.XLOOKUP(_xlfn.XLOOKUP(B255,'Base stats'!B:B,'Base stats'!E:E),Groups!A:A,Groups!B:B)&lt;2))), (18 + BR255 * 2.7),
      IF(OR(BI255="Advanced",_xlfn.XLOOKUP(B255,'Base stats'!B:B,'Base stats'!AL:AL)=1,_xlfn.XLOOKUP(_xlfn.XLOOKUP(B255,'Base stats'!B:B,'Base stats'!E:E),Groups!A:A,Groups!B:B)=2), (18 + BR255 * 2.7) + 250, (18 + BR255 * 2.7))
    )
  ))
  + AO255 * 80
  + IF(COUNTIF(EggMilk!K$2:K$998, A255) &gt; 0, 125, 0)
  + IF(COUNTIF(EggMilk!P$2:P$998, A255) &gt; 0, 90, 0)
  + IF(COUNTIF(EggMilk!A$2:A$998, A255) &gt; 0, 90, 0)
)
* (0.8 + 0.4 * J255)
* 0.75,25)</f>
        <v>100</v>
      </c>
      <c r="I255" s="2">
        <f>MROUND(ROUNDDOWN(_xlfn.XLOOKUP(B255,'Base stats'!B:B,'Base stats'!L:L)/3.6/(23.3/11),1),0.5)</f>
        <v>3.5</v>
      </c>
      <c r="J255" s="2">
        <f>IF(OR(_xlfn.XLOOKUP(B255,'Base stats'!B:B,'Base stats'!AB:AB)=1,_xlfn.XLOOKUP(_xlfn.XLOOKUP(B255,'Base stats'!B:B,'Base stats'!E:E),Groups!A:A,Groups!C:C)="Untamable"),1,IF(_xlfn.XLOOKUP(B255,'Base stats'!B:B,'Base stats'!AL:AL)=1,0.99,MIN(MROUND((1-0.6282*EXP(-0.459*AO255))*_xlfn.XLOOKUP(_xlfn.XLOOKUP(B255,'Base stats'!B:B,'Base stats'!E:E),Groups!A:A,Groups!C:C)*IF(_xlfn.XLOOKUP(B255,'Base stats'!B:B,'Base stats'!O:O)=1,0.5,IF(_xlfn.XLOOKUP(B255,'Base stats'!B:B,'Base stats'!O:O)=2,0,1)),0.05),IF(AO255&gt;3.5,0.985,0.95))))</f>
        <v>0.45</v>
      </c>
      <c r="K255" s="2">
        <f>ROUNDUP(AO255*_xlfn.XLOOKUP(_xlfn.XLOOKUP(B255,'Base stats'!B:B,'Base stats'!E:E),Groups!A:A,Groups!E:E),0)</f>
        <v>1</v>
      </c>
      <c r="L255" s="2">
        <f>IF(OR(_xlfn.XLOOKUP(_xlfn.XLOOKUP(B255,'Base stats'!B:B,'Base stats'!E:E),Groups!A:A,Groups!F:F)=2,ISNUMBER(SEARCH("SeaIce",BX255)),ISNUMBER(SEARCH("IceSheet",BX255))),-50,IF(OR(ISNUMBER(SEARCH("GlacialPlain",BX255)),ISNUMBER(SEARCH("Tundra",BX255))),-40,IF(OR(ISNUMBER(SEARCH("Alpine",BX255)),ISNUMBER(SEARCH("BorealForest",BX255)),ISNUMBER(SEARCH("ColdBog",BX255))),-30,IF(OR(ISNUMBER(SEARCH("TemperateForest",BX255)),ISNUMBER(SEARCH("TemperateSwamp",BX255))),-20,IF(_xlfn.XLOOKUP(_xlfn.XLOOKUP(B255,'Base stats'!B:B,'Base stats'!E:E),Groups!A:A,Groups!F:F)=1,-15,IF(OR(ISNUMBER(SEARCH("Desert",BX255)),ISNUMBER(SEARCH("ExtremeDesert",BX255))),-10,IF(OR(ISNUMBER(SEARCH("Grasslands",BX255)),ISNUMBER(SEARCH("TropicalRainforest",BX255)),ISNUMBER(SEARCH("TropicalSwamp",BX255))),10,0)))))))-IF(CC255="False",MIN(IFERROR(MAX(MROUND(LOG10(_xlfn.XLOOKUP(B255,'Base stats'!B:B,'Base stats'!C:C)^(2/3))*10,5),5),5),30))-_xlfn.XLOOKUP(B255,'Base stats'!B:B,'Base stats'!P:P)+IF(CC255="True",5,0)</f>
        <v>-15</v>
      </c>
      <c r="M255" s="2">
        <f>IF(OR(_xlfn.XLOOKUP(_xlfn.XLOOKUP(B255,'Base stats'!B:B,'Base stats'!E:E),Groups!A:A,Groups!G:G)=2,ISNUMBER(SEARCH("Desert",BX255)),ISNUMBER(SEARCH("ExtremeDesert",BX255)),ISNUMBER(SEARCH("LavaField",BX255))),50,IF(ISNUMBER(SEARCH("Grasslands",BX255)),45,IF(OR(_xlfn.XLOOKUP(_xlfn.XLOOKUP(B255,'Base stats'!B:B,'Base stats'!E:E),Groups!A:A,Groups!G:G)=1,ISNUMBER(SEARCH("TropicalRainforest",BX255)),ISNUMBER(SEARCH("TropicalSwamp",BX255))),40,IF(OR(ISNUMBER(SEARCH("TemperateForest",BX255)),ISNUMBER(SEARCH("TemperateSwamp",BX255))),35,IF(OR(ISNUMBER(SEARCH("Alpine",BX255)),ISNUMBER(SEARCH("BorealForest",BX255)),ISNUMBER(SEARCH("ColdBog",BX255))),30,IF(ISNUMBER(OR(ISNUMBER(SEARCH("GlacialPlain",BX255)),SEARCH("Tundra",BX255))),25,IF(OR(ISNUMBER(SEARCH("SeaIce",BX255)),ISNUMBER(SEARCH("IceSheet",BX255)),ISNUMBER(SEARCH("TropicalSwamp",BX255))),10,35)))))))+_xlfn.XLOOKUP(B255,'Base stats'!B:B,'Base stats'!Q:Q)</f>
        <v>50</v>
      </c>
      <c r="N255" s="8">
        <f>IF(
_xlfn.XLOOKUP(
_xlfn.XLOOKUP(B255,'Base stats'!B:B,'Base stats'!E:E),
Groups!A:A,
Groups!L:L
)=1,
MIN(
MROUND(
IF(
_xlfn.XLOOKUP(B255,'Animals CE'!B:B,'Animals CE'!Z:Z)&lt;=1.5,
_xlfn.XLOOKUP(B255,'Animals CE'!B:B,'Animals CE'!Z:Z)/2+0.05,
0.8+
(_xlfn.XLOOKUP(B255,'Animals CE'!B:B,'Animals CE'!Z:Z)-1.5)
*0.02
),
0.05
),
200%
),
"No"
)</f>
        <v>0.25</v>
      </c>
      <c r="O255" s="8">
        <f>IF(
_xlfn.XLOOKUP(
_xlfn.XLOOKUP(B255,'Base stats'!B:B,'Base stats'!E:E),
Groups!A:A,
Groups!L:L
)=1,
MIN(
MROUND(
IF(
_xlfn.XLOOKUP(B255,'Animals CE'!B:B,'Animals CE'!AA:AA)&lt;=1.5,
_xlfn.XLOOKUP(B255,'Animals CE'!B:B,'Animals CE'!AA:AA)/2+0.05,
0.8+
(_xlfn.XLOOKUP(B255,'Animals CE'!B:B,'Animals CE'!AA:AA)-1.5)
*0.02
),
0.05
),
200%
),
"No"
)</f>
        <v>0.1</v>
      </c>
      <c r="P255" s="2" t="str">
        <f>_xlfn.XLOOKUP(B255,'Base stats'!B:B,'Base stats'!R:R)</f>
        <v>Standard</v>
      </c>
      <c r="Q255" s="13">
        <f>MROUND((LOG10(_xlfn.XLOOKUP(B255,'Base stats'!B:B,'Base stats'!AR:AR))*(AO255^0.5)+(_xlfn.XLOOKUP(B255,'Base stats'!B:B,'Base stats'!AR:AR)/1000)^(2/3)+_xlfn.XLOOKUP(B255,'Base stats'!B:B,'Base stats'!BA:BA)/2)+0.5,0.5)</f>
        <v>2.5</v>
      </c>
      <c r="R255" s="7">
        <f>IF(Q255="No","No",MAX(1,MROUND(_xlfn.XLOOKUP(B255,'Base stats'!B:B,'Base stats'!C:C)^0.165,0.05)))</f>
        <v>1.3</v>
      </c>
      <c r="S255" s="13" t="str">
        <f>IF(_xlfn.XLOOKUP(_xlfn.XLOOKUP(B255,'Base stats'!B:B,'Base stats'!E:E),Groups!A:A,Groups!P:P)=0,"No",MROUND((LOG10(_xlfn.XLOOKUP(B255,'Base stats'!B:B,'Base stats'!AS:AS))*(AO255^0.5)+(_xlfn.XLOOKUP(B255,'Base stats'!B:B,'Base stats'!AS:AS)/1000)^(2/3)+_xlfn.XLOOKUP(B255,'Base stats'!B:B,'Base stats'!BA:BA))+_xlfn.XLOOKUP(B255,'Base stats'!B:B,'Base stats'!AY:AY)+0.5,0.5))</f>
        <v>No</v>
      </c>
      <c r="T255" s="7" t="str">
        <f>IF(S255="No","No",MAX(_xlfn.XLOOKUP(_xlfn.XLOOKUP(B255,'Base stats'!B:B,'Base stats'!E:E),Groups!A:A,Groups!Q:Q),MROUND(_xlfn.XLOOKUP(_xlfn.XLOOKUP(B255,'Base stats'!B:B,'Base stats'!E:E),Groups!A:A,Groups!Q:Q)*_xlfn.XLOOKUP(B255,'Base stats'!B:B,'Base stats'!C:C)^0.165,0.05)))</f>
        <v>No</v>
      </c>
      <c r="U255" s="7" t="str">
        <f>IF(S255="No","No",_xlfn.XLOOKUP(_xlfn.XLOOKUP(B255,'Base stats'!B:B,'Base stats'!E:E),Groups!A:A,Groups!R:R))</f>
        <v>No</v>
      </c>
      <c r="V255" s="7" t="str">
        <f>IF(S255="No","No",_xlfn.XLOOKUP(_xlfn.XLOOKUP(B255,'Base stats'!B:B,'Base stats'!E:E),Groups!A:A,Groups!S:S))</f>
        <v>No</v>
      </c>
      <c r="W255" s="7" t="str">
        <f>IF(S255="No","No",_xlfn.XLOOKUP(_xlfn.XLOOKUP(B255,'Base stats'!B:B,'Base stats'!E:E),Groups!A:A,Groups!T:T))</f>
        <v>No</v>
      </c>
      <c r="X255" s="13" t="str">
        <f>IF(_xlfn.XLOOKUP(B255,'Base stats'!B:B,'Base stats'!W:W)="No","No",MROUND((LOG10(_xlfn.XLOOKUP(B255,'Base stats'!B:B,'Base stats'!AU:AU))*(AO255^0.5)+(_xlfn.XLOOKUP(B255,'Base stats'!B:B,'Base stats'!AU:AU)/1000)^(2/3)+_xlfn.XLOOKUP(B255,'Base stats'!B:B,'Base stats'!AZ:AZ))+0.5+IF(_xlfn.XLOOKUP(_xlfn.XLOOKUP(B255,'Base stats'!B:B,'Base stats'!E:E),Groups!A:A,Groups!U:U)&lt;&gt;3,_xlfn.XLOOKUP(B255,'Base stats'!B:B,'Base stats'!BA:BA),0),0.5))</f>
        <v>No</v>
      </c>
      <c r="Y255" s="7" t="str">
        <f>IF(X255="No","No",MAX(_xlfn.XLOOKUP(_xlfn.XLOOKUP(B255,'Base stats'!B:B,'Base stats'!E:E),Groups!A:A,Groups!V:V),MROUND(_xlfn.XLOOKUP(_xlfn.XLOOKUP(B255,'Base stats'!B:B,'Base stats'!E:E),Groups!A:A,Groups!V:V)*_xlfn.XLOOKUP(B255,'Base stats'!B:B,'Base stats'!C:C)^0.165,0.05)))</f>
        <v>No</v>
      </c>
      <c r="Z255" s="7" t="str">
        <f>IF(X255="No","No",_xlfn.XLOOKUP(_xlfn.XLOOKUP(B255,'Base stats'!B:B,'Base stats'!E:E),Groups!A:A,Groups!W:W))</f>
        <v>No</v>
      </c>
      <c r="AA255" s="7" t="str">
        <f>IF(X255="No","No",_xlfn.XLOOKUP(_xlfn.XLOOKUP(B255,'Base stats'!B:B,'Base stats'!E:E),Groups!A:A,Groups!X:X))</f>
        <v>No</v>
      </c>
      <c r="AB255" s="7" t="str">
        <f>IF(X255="No","No",_xlfn.XLOOKUP(_xlfn.XLOOKUP(B255,'Base stats'!B:B,'Base stats'!E:E),Groups!A:A,Groups!Y:Y))</f>
        <v>No</v>
      </c>
      <c r="AC255" s="7" t="str">
        <f>_xlfn.XLOOKUP(Animals!B255,'Base stats'!B:B,'Base stats'!X:X)</f>
        <v>False</v>
      </c>
      <c r="AD255" s="13" t="str">
        <f>IF(_xlfn.XLOOKUP(B255,'Base stats'!B:B,'Base stats'!AT:AT)="No","No",MROUND((LOG10(_xlfn.XLOOKUP(B255,'Base stats'!B:B,'Base stats'!AT:AT))*(AO255^0.75)+(_xlfn.XLOOKUP(B255,'Base stats'!B:B,'Base stats'!AT:AT)/1000)^(2/3)+_xlfn.XLOOKUP(B255,'Base stats'!B:B,'Base stats'!AX:AX)+_xlfn.XLOOKUP(B255,'Base stats'!B:B,'Base stats'!BA:BA))+0.5,0.5))</f>
        <v>No</v>
      </c>
      <c r="AE255" s="7" t="str">
        <f>IF(AD255="No","No",MAX(_xlfn.XLOOKUP(_xlfn.XLOOKUP(B255,'Base stats'!B:B,'Base stats'!E:E),Groups!A:A,Groups!Z:Z),MROUND(_xlfn.XLOOKUP(_xlfn.XLOOKUP(B255,'Base stats'!B:B,'Base stats'!E:E),Groups!A:A,Groups!Z:Z)*_xlfn.XLOOKUP(B255,'Base stats'!B:B,'Base stats'!C:C)^0.165,0.05)))</f>
        <v>No</v>
      </c>
      <c r="AF255" s="7" t="str">
        <f>IF(AD255="No","No",_xlfn.XLOOKUP(_xlfn.XLOOKUP(B255,'Base stats'!B:B,'Base stats'!E:E),Groups!A:A,Groups!AA:AA))</f>
        <v>No</v>
      </c>
      <c r="AG255" s="7" t="str">
        <f>IF(AD255="No","No",_xlfn.XLOOKUP(_xlfn.XLOOKUP(B255,'Base stats'!B:B,'Base stats'!E:E),Groups!A:A,Groups!AB:AB))</f>
        <v>No</v>
      </c>
      <c r="AH255" s="7" t="str">
        <f>IF(AD255="No","No",_xlfn.XLOOKUP(_xlfn.XLOOKUP(B255,'Base stats'!B:B,'Base stats'!E:E),Groups!A:A,Groups!AC:AC))</f>
        <v>No</v>
      </c>
      <c r="AI255" s="13" t="str">
        <f>IF(_xlfn.XLOOKUP(_xlfn.XLOOKUP(B255,'Base stats'!B:B,'Base stats'!E:E),Groups!A:A,Groups!AD:AD)=0,"No",MROUND((LOG10(_xlfn.XLOOKUP(B255,'Base stats'!B:B,'Base stats'!AS:AS))*(AO255^0.75)+(_xlfn.XLOOKUP(B255,'Base stats'!B:B,'Base stats'!AS:AS)/1000)^(2/3)+_xlfn.XLOOKUP(B255,'Base stats'!B:B,'Base stats'!AY:AY)+_xlfn.XLOOKUP(B255,'Base stats'!B:B,'Base stats'!BA:BA))+0.5,0.5))</f>
        <v>No</v>
      </c>
      <c r="AJ255" s="7" t="str">
        <f>IF(AI255="No","No",MAX(_xlfn.XLOOKUP(_xlfn.XLOOKUP(B255,'Base stats'!B:B,'Base stats'!E:E),Groups!A:A,Groups!AE:AE),MROUND(_xlfn.XLOOKUP(_xlfn.XLOOKUP(B255,'Base stats'!B:B,'Base stats'!E:E),Groups!A:A,Groups!AE:AE)*IF(_xlfn.XLOOKUP(_xlfn.XLOOKUP(B255,'Base stats'!B:B,'Base stats'!E:E),Groups!A:A,Groups!AJ:AJ)="Photonozoa",0.6,1)*_xlfn.XLOOKUP(B255,'Base stats'!B:B,'Base stats'!C:C)^0.165,0.05)))</f>
        <v>No</v>
      </c>
      <c r="AK255" s="7" t="str">
        <f>IF(AI255="No","No",_xlfn.XLOOKUP(_xlfn.XLOOKUP(B255,'Base stats'!B:B,'Base stats'!E:E),Groups!A:A,Groups!AF:AF))</f>
        <v>No</v>
      </c>
      <c r="AL255" s="7" t="str">
        <f>IF(AI255="No","No",_xlfn.XLOOKUP(_xlfn.XLOOKUP(B255,'Base stats'!B:B,'Base stats'!E:E),Groups!A:A,Groups!AG:AG))</f>
        <v>No</v>
      </c>
      <c r="AM255" s="7" t="str">
        <f>IF(AI255="No","No",_xlfn.XLOOKUP(_xlfn.XLOOKUP(B255,'Base stats'!B:B,'Base stats'!E:E),Groups!A:A,Groups!AH:AH))</f>
        <v>No</v>
      </c>
      <c r="AN255" s="2" t="str">
        <f t="shared" si="21"/>
        <v>No</v>
      </c>
      <c r="AO255" s="2">
        <f>MROUND(IF(AND(_xlfn.XLOOKUP(B255,'Base stats'!B:B,'Base stats'!C:C)&gt;=0.5,_xlfn.XLOOKUP(B255,'Base stats'!B:B,'Base stats'!C:C)&lt;=0.8),
IF(_xlfn.XLOOKUP(B255,'Base stats'!B:B,'Base stats'!C:C)&lt;0.1,0.05,IF(_xlfn.XLOOKUP(B255,'Base stats'!B:B,'Base stats'!C:C)&lt;=70,(_xlfn.XLOOKUP(B255,'Base stats'!B:B,'Base stats'!C:C)/70)^0.426489913056526,IF(_xlfn.XLOOKUP(B255,'Base stats'!B:B,'Base stats'!C:C)&lt;=400,(_xlfn.XLOOKUP(B255,'Base stats'!B:B,'Base stats'!C:C)/70)^0.572811455315093,IF(_xlfn.XLOOKUP(B255,'Base stats'!B:B,'Base stats'!C:C)&lt;=2000,2.71391647193063*(_xlfn.XLOOKUP(B255,'Base stats'!B:B,'Base stats'!C:C)/400)^0.252459582904293,3.74314280240376*(_xlfn.XLOOKUP(B255,'Base stats'!B:B,'Base stats'!C:C)/2000)^0.357012633876913)))),
IF(_xlfn.XLOOKUP(B255,'Base stats'!B:B,'Base stats'!C:C)&lt;0.1,0.05,IF(_xlfn.XLOOKUP(B255,'Base stats'!B:B,'Base stats'!C:C)&lt;0.4,0.1,IF(_xlfn.XLOOKUP(B255,'Base stats'!B:B,'Base stats'!C:C)&lt;=70,(_xlfn.XLOOKUP(B255,'Base stats'!B:B,'Base stats'!C:C)/70)^0.445823913056526,IF(_xlfn.XLOOKUP(B255,'Base stats'!B:B,'Base stats'!C:C)&lt;=400,(_xlfn.XLOOKUP(B255,'Base stats'!B:B,'Base stats'!C:C)/70)^0.572811455315093,IF(_xlfn.XLOOKUP(B255,'Base stats'!B:B,'Base stats'!C:C)&lt;=2000,2.71391647193063*(_xlfn.XLOOKUP(B255,'Base stats'!B:B,'Base stats'!C:C)/400)^0.252459582904293,3.74314280240376*(_xlfn.XLOOKUP(B255,'Base stats'!B:B,'Base stats'!C:C)/2000)^0.357012633876913)))))),
IF(_xlfn.XLOOKUP(B255,'Base stats'!B:B,'Base stats'!C:C)&lt;0.1,0.05,IF(_xlfn.XLOOKUP(B255,'Base stats'!B:B,'Base stats'!C:C)&lt;=100,0.05,IF(_xlfn.XLOOKUP(B255,'Base stats'!B:B,'Base stats'!C:C)&lt;=250,0.1,IF(_xlfn.XLOOKUP(B255,'Base stats'!B:B,'Base stats'!C:C)&lt;=4000,0.25,0.5)))))</f>
        <v>0.30000000000000004</v>
      </c>
      <c r="AP255" s="8">
        <f>MROUND(AO255*_xlfn.XLOOKUP(_xlfn.XLOOKUP(B255,'Base stats'!B:B,'Base stats'!E:E),Groups!A:A,Groups!AI:AI)*_xlfn.XLOOKUP(B255,'Base stats'!B:B,'Base stats'!Z:Z),0.05)</f>
        <v>0.30000000000000004</v>
      </c>
      <c r="AQ255" s="8">
        <f>MAX(0.01,MROUND(IF(CC255="True",0.196*(AO255*100*1000)^0.889,IF(_xlfn.XLOOKUP(_xlfn.XLOOKUP(B255,'Base stats'!B:B,'Base stats'!E:E),Groups!A:A,Groups!AJ:AJ)="Bird",10.5*(AO255*100*1000)^0.681,4.82*(AO255*100*1000)^0.734))/(4.82*(1*100*1000)^0.734)/IF(AO255&lt;3.5,2,IF(AO255=3.5,1.5,1.25))*(1+0.132282374779864/(AO255^0.994035016789033+0.00905238001496948)),0.05))</f>
        <v>0.05</v>
      </c>
      <c r="AR255" s="9">
        <f>IFERROR(MROUND(_xlfn.XLOOKUP(B255,'Base stats'!B:B,'Base stats'!H:H)/IF(_xlfn.XLOOKUP(B255,'Base stats'!B:B,'Base stats'!I:I)&lt;&gt;1,(122.5/70),1.2),IF(_xlfn.XLOOKUP(B255,'Base stats'!B:B,'Base stats'!H:H)&gt;=30,5,IF(_xlfn.XLOOKUP(B255,'Base stats'!B:B,'Base stats'!H:H)&gt;=15,3,IF(_xlfn.XLOOKUP(B255,'Base stats'!B:B,'Base stats'!H:H)&gt;=10,2,1)))),"Immortal")</f>
        <v>2</v>
      </c>
      <c r="AS255" s="35" t="str">
        <f>IFERROR(IF(OR(_xlfn.XLOOKUP(B255,'Base stats'!B:B,'Base stats'!F:F)="Atypical reproduction",_xlfn.XLOOKUP(B255,'Base stats'!B:B,'Base stats'!F:F)="Lay eggs"),"Lay eggs",MIN(20,MAX(5.5,ROUND(((_xlfn.XLOOKUP(B255,'Base stats'!B:B,'Base stats'!F:F)-25)*(14.5/615) + 5.5)*2,0)/2))),"Unknown")</f>
        <v>Lay eggs</v>
      </c>
      <c r="AT255" s="8" t="str">
        <f>IF(_xlfn.XLOOKUP(B255,'Base stats'!B:B,'Base stats'!G:G)="Atypical reproduction","No",IFERROR(MAX(IF(_xlfn.XLOOKUP(B255,'Base stats'!B:B,'Base stats'!G:G)&lt;0.5,0.2,0.3),MROUND(_xlfn.XLOOKUP(B255,'Base stats'!B:B,'Base stats'!G:G)/(365/60),0.2)),"Unknown"))</f>
        <v>No</v>
      </c>
      <c r="AU255" s="8" t="str">
        <f t="shared" si="22"/>
        <v>No</v>
      </c>
      <c r="AV255" s="8" t="str">
        <f>IFERROR(IFERROR(MROUND(_xlfn.XLOOKUP(B255,'Base stats'!B:B,'Base stats'!J:J),0.1),"Lay eggs"),"Cannot breed")</f>
        <v>Lay eggs</v>
      </c>
      <c r="AW255" s="2" t="str">
        <f t="shared" si="23"/>
        <v>false</v>
      </c>
      <c r="AX255" s="2" t="str">
        <f>IF(_xlfn.XLOOKUP(_xlfn.XLOOKUP(Animals!B255,'Base stats'!B:B,'Base stats'!E:E),Groups!A:A,Groups!AK:AK)=1,"true","false")</f>
        <v>false</v>
      </c>
      <c r="AY255" s="25" t="str">
        <f>IF(_xlfn.XLOOKUP(B255,'Base stats'!B:B,'Base stats'!Y:Y)="Liquor","Liquor, CarnivoreAnimalStrict",IF(AND(_xlfn.XLOOKUP(B255,'Base stats'!B:B,'Base stats'!Y:Y)="Carnivore",_xlfn.XLOOKUP(_xlfn.XLOOKUP(B255,'Base stats'!B:B,'Base stats'!E:E),Groups!A:A,Groups!AJ:AJ)="Photonozoa"),"CarnivoreAnimalStrict, OvivoreAnimal",IF(_xlfn.XLOOKUP(B255,'Base stats'!B:B,'Base stats'!Y:Y)="Carnivore","CarnivoreAnimal, OvivoreAnimal",IF(_xlfn.XLOOKUP(B255,'Base stats'!B:B,'Base stats'!Y:Y)="Dendrovore","VegetarianRoughAnimal, DendrovoreAnimal",IF(_xlfn.XLOOKUP(B255,'Base stats'!B:B,'Base stats'!Y:Y)="Herbivore","VegetarianRoughAnimal",IF(_xlfn.XLOOKUP(B255,'Base stats'!B:B,'Base stats'!Y:Y)="OmnivoreRough","OmnivoreRoughAnimal, OvivoreAnimal","OmnivoreAnimal, OvivoreAnimal"))))))</f>
        <v>VegetarianRoughAnimal</v>
      </c>
      <c r="AZ255" s="2">
        <f>IF(_xlfn.XLOOKUP(_xlfn.XLOOKUP(B255,'Base stats'!B:B,'Base stats'!E:E),Groups!A:A,Groups!D:D)=1,MROUND((1-J255)*5+1,2)*IF(J255&lt;=0.4,2,1),"No")</f>
        <v>4</v>
      </c>
      <c r="BA255" s="2" t="str">
        <f>IF(AND(_xlfn.XLOOKUP(B255,'Base stats'!B:B,'Base stats'!AH:AH)="&lt;li&gt;Seal&lt;/li&gt;",G255="Odyssey"),"&lt;li&gt;AEXP_Seal&lt;/li&gt;",_xlfn.XLOOKUP(B255,'Base stats'!B:B,'Base stats'!AH:AH))</f>
        <v>&lt;li&gt;Megaspider&lt;/li&gt;</v>
      </c>
      <c r="BB255" s="2" t="str">
        <f>_xlfn.XLOOKUP(B255,'Base stats'!B:B,'Base stats'!AG:AG)</f>
        <v>Leather_Chitin</v>
      </c>
      <c r="BC255" s="23" t="str">
        <f>_xlfn.XLOOKUP(_xlfn.XLOOKUP(B255,'Base stats'!B:B,'Base stats'!E:E),Groups!A:A,Groups!AL:AL)</f>
        <v>BeetleLike</v>
      </c>
      <c r="BD255" s="23">
        <f>MIN(1,MROUND(IF(AND(AO255&lt;0.5,_xlfn.XLOOKUP(B255,'Base stats'!B:B,'Base stats'!AA:AA)=0),0,IF(OR(_xlfn.XLOOKUP(Animals!B255,'Base stats'!B:B,'Base stats'!O:O)=2,_xlfn.XLOOKUP(_xlfn.XLOOKUP(B255,'Base stats'!B:B,'Base stats'!E:E),Groups!A:A,Groups!AN:AN)=0),0,_xlfn.XLOOKUP(_xlfn.XLOOKUP(B255,'Base stats'!B:B,'Base stats'!E:E),Groups!A:A,Groups!AN:AN)/IF(_xlfn.XLOOKUP(Animals!B255,'Base stats'!B:B,'Base stats'!O:O)=1,2,1)))+_xlfn.XLOOKUP(B255,'Base stats'!B:B,'Base stats'!AC:AC),0.005))</f>
        <v>0</v>
      </c>
      <c r="BE255" s="23">
        <f>MIN(1,MROUND(IF(AND(AO255&lt;0.5,_xlfn.XLOOKUP(B255,'Base stats'!B:B,'Base stats'!AA:AA)=0),0,IF(_xlfn.XLOOKUP(_xlfn.XLOOKUP(B255,'Base stats'!B:B,'Base stats'!E:E),Groups!A:A,Groups!AO:AO)=0,0,_xlfn.XLOOKUP(_xlfn.XLOOKUP(B255,'Base stats'!B:B,'Base stats'!E:E),Groups!A:A,Groups!AO:AO)/IF(_xlfn.XLOOKUP(Animals!B255,'Base stats'!B:B,'Base stats'!O:O)=2,3,1)))+_xlfn.XLOOKUP(B255,'Base stats'!B:B,'Base stats'!AD:AD),0.005))</f>
        <v>0</v>
      </c>
      <c r="BF255" s="2" t="str">
        <f>IF(J255&gt;0.3,"No",_xlfn.XLOOKUP(_xlfn.XLOOKUP(Animals!B255,'Base stats'!B:B,'Base stats'!E:E),Groups!A:A,Groups!AP:AP))</f>
        <v>No</v>
      </c>
      <c r="BG255" s="2" t="str">
        <f>IF(AND(J255&lt;=0.65,_xlfn.XLOOKUP(_xlfn.XLOOKUP(Animals!B255,'Base stats'!B:B,'Base stats'!E:E),Groups!A:A,Groups!AP:AP)&lt;&gt;"No",_xlfn.XLOOKUP(_xlfn.XLOOKUP(B255,'Base stats'!B:B,'Base stats'!E:E),Groups!A:A,Groups!D:D)=0),MROUND((80/3)*IF(_xlfn.XLOOKUP(B255,'Base stats'!B:B,'Base stats'!O:O)=2,0.2,AO255) + 24*(1-IF(BF255="No",0,BF255)) + 16/3, 12),"No")</f>
        <v>No</v>
      </c>
      <c r="BH255" s="2">
        <f>IF(AND(_xlfn.XLOOKUP(_xlfn.XLOOKUP(B255,'Base stats'!B:B,'Base stats'!E:E),Groups!A:A,Groups!AQ:AQ)=1,AO255&lt;=0.35),8,12)</f>
        <v>12</v>
      </c>
      <c r="BI255" s="2" t="str">
        <f>IF(_xlfn.XLOOKUP(_xlfn.XLOOKUP(B255,'Base stats'!B:B,'Base stats'!E:E),Groups!A:A,Groups!D:D)=0,_xlfn.XLOOKUP(_xlfn.XLOOKUP(B255,'Base stats'!B:B,'Base stats'!E:E),Groups!A:A,Groups!AR:AR),"None")</f>
        <v>None</v>
      </c>
      <c r="BJ255" s="2" t="str">
        <f>IF(AND(_xlfn.XLOOKUP(_xlfn.XLOOKUP(B255,'Base stats'!B:B,'Base stats'!E:E),Groups!A:A,Groups!AS:AS)=1,OR(_xlfn.XLOOKUP(B255,'Base stats'!B:B,'Base stats'!Y:Y)="Carnivore",_xlfn.XLOOKUP(B255,'Base stats'!B:B,'Base stats'!Y:Y)="Omnivore")),"true","false")</f>
        <v>false</v>
      </c>
      <c r="BK255" s="2" t="str">
        <f>IF(BJ255="true",MROUND(IF(AND(AO255&gt;0.5,OR(_xlfn.XLOOKUP(_xlfn.XLOOKUP(B255,'Base stats'!B:B,'Base stats'!E:E),Groups!A:A,Groups!AJ:AJ)="Photonozoa",_xlfn.XLOOKUP(_xlfn.XLOOKUP(B255,'Base stats'!B:B,'Base stats'!E:E),Groups!A:A,Groups!AJ:AJ)="Mammal")),Animals!AO255*1.75*IF(AW255="true",1.5,1),IF(AO255&lt;0.5,Animals!AO255*0.5,Animals!AO255)),IF(AO255&gt;2,0.5,IF(AO255&gt;0.5,0.25,0.1))),"No")</f>
        <v>No</v>
      </c>
      <c r="BL255" s="2">
        <f t="shared" si="24"/>
        <v>0</v>
      </c>
      <c r="BM255" s="25" t="str">
        <f>IF(_xlfn.XLOOKUP(B255,'Base stats'!B:B,'Base stats'!AN:AN)="Standard","No",MROUND((_xlfn.XLOOKUP(B255,'Base stats'!B:B,'Base stats'!AN:AN)/3.6)/I255,0.1))</f>
        <v>No</v>
      </c>
      <c r="BN255" s="25" t="str">
        <f t="shared" si="25"/>
        <v>false</v>
      </c>
      <c r="BO255" s="25" t="str">
        <f>IF(AND(OR(_xlfn.XLOOKUP(B255,'Base stats'!B:B,'Base stats'!Y:Y)="Carnivore",_xlfn.XLOOKUP(B255,'Base stats'!B:B,'Base stats'!Y:Y)="Omnivore",_xlfn.XLOOKUP(B255,'Base stats'!B:B,'Base stats'!Y:Y)="OmnivoreRough"),_xlfn.XLOOKUP(_xlfn.XLOOKUP(B255,'Base stats'!B:B,'Base stats'!E:E),Groups!A:A,Groups!AT:AT)=1),"true","false")</f>
        <v>false</v>
      </c>
      <c r="BP255" s="25" t="str" cm="1">
        <f t="array" ref="BP255">IF(
  _xlfn.TEXTJOIN(", ",TRUE,
    IF(AND(BJ255="true",AO255&gt;0.5,BI255&lt;&gt;"None"),"AttackTarget",""),
    IF(AND(_xlfn.XLOOKUP(_xlfn.XLOOKUP(B255,'Base stats'!B:B,'Base stats'!E:E),Groups!A:A,Groups!AJ:AJ="Mammal"),OR(_xlfn.XLOOKUP(B255,'Base stats'!B:B,'Base stats'!Y:Y)="Omnivore",_xlfn.XLOOKUP(B255,'Base stats'!B:B,'Base stats'!Y:Y)="OmnivoreRough")),"Forage",""),
    IF(BG255&lt;=36,"Comfort",""),
    IF(_xlfn.XLOOKUP(B255,'Base stats'!B:B,'Base stats'!AE:AE)&lt;&gt;"No",_xlfn.XLOOKUP(B255,'Base stats'!B:B,'Base stats'!AE:AE),"")
  ) = "",
  "No",
  _xlfn.TEXTJOIN(", ",TRUE,
    IF(AND(BJ255="true",AO255&gt;0.5,BI255&lt;&gt;"None"),"AttackTarget",""),
    IF(AND(_xlfn.XLOOKUP(_xlfn.XLOOKUP(B255,'Base stats'!B:B,'Base stats'!E:E),Groups!A:A,Groups!AJ:AJ="Mammal"),OR(_xlfn.XLOOKUP(B255,'Base stats'!B:B,'Base stats'!Y:Y)="Omnivore",_xlfn.XLOOKUP(B255,'Base stats'!B:B,'Base stats'!Y:Y)="OmnivoreRough")),"Forage",""),
    IF(BG255&lt;=36,"Comfort",""),
    IF(_xlfn.XLOOKUP(B255,'Base stats'!B:B,'Base stats'!AE:AE)&lt;&gt;"No",_xlfn.XLOOKUP(B255,'Base stats'!B:B,'Base stats'!AE:AE),"")
  )
)</f>
        <v>No</v>
      </c>
      <c r="BQ255" s="25" t="str">
        <f>IF(
   AND(
      'Base stats'!AN255="Standard",_xlfn.XLOOKUP(_xlfn.XLOOKUP(B255,'Base stats'!B:B,'Base stats'!E:E),Groups!A:A,Groups!AU:AU)=0,
      OR(
      BO255="True"
      )
   ),
   10,
   IF(
       OR(BM255&lt;&gt;"No",_xlfn.XLOOKUP(_xlfn.XLOOKUP(B255,'Base stats'!B:B,'Base stats'!E:E),Groups!A:A,Groups!AU:AU)=1),
      1,
      "No"
   )
)</f>
        <v>No</v>
      </c>
      <c r="BR255" s="9">
        <f>MROUND((1 + ((0.2*IF(OR(Q255="No",R255="No",R255=0),0,Q255/R255)
+IF(OR(V255="No",S255="No",T255="No"),0,S255/T255*(LEN(V255)-LEN(SUBSTITUTE(V255,",",""))+1))
+IF(OR(X255="No",Y255="No"),0,X255/Y255)
+IF(OR(AD255="No",AE255="No"),0,AD255/AE255)
+IF(OR(AL255="No",AI255="No",AJ255="No"),0,AI255/AJ255*(LEN(AL255)-LEN(SUBSTITUTE(AL255,",",""))+1))
)/(0.2*IF(OR(Q255="No",R255="No",R255=0),0,1)
+IF(OR(V255="No",S255="No",T255="No"),0,LEN(V255)-LEN(SUBSTITUTE(V255,",",""))+1)
+IF(OR(X255="No",Y255="No"),0,1)
+IF(OR(AD255="No",AE255="No"),0,1)
+IF(OR(AL255="No",AI255="No",AJ255="No"),0,LEN(AL255)-LEN(SUBSTITUTE(AL255,",",""))+1))*62%)* 2)*(1 + (AP255 / (IF(_xlfn.XLOOKUP(_xlfn.XLOOKUP(B255,'Base stats'!B:B,'Base stats'!E:E),Groups!A:A,Groups!AJ:AJ)="Photonozoa",0.3,1)) + _xlfn.XLOOKUP(B255,'Base stats'!B:B,'Base stats'!AV:AV) * 1.8) * 2) * 2.5 + 10 + I255 * 2,5)+IF(_xlfn.XLOOKUP(B255,'Base stats'!B:B,'Base stats'!AK:AK)=1,50,0)</f>
        <v>35</v>
      </c>
      <c r="BS255" s="8">
        <f t="shared" si="26"/>
        <v>0.1</v>
      </c>
      <c r="BT255" s="8" t="str">
        <f>_xlfn.XLOOKUP(B255,'Base stats'!B:B,'Base stats'!AF:AF)</f>
        <v>No</v>
      </c>
      <c r="BU255" s="2" t="str">
        <f>IF(AND(J255&lt;=0.95,OR(_xlfn.XLOOKUP(B255,'Base stats'!B:B,'Base stats'!AK:AK)=1,_xlfn.XLOOKUP(B255,'Base stats'!B:B,'Base stats'!Y:Y)="Carnivore",_xlfn.XLOOKUP(B255,'Base stats'!B:B,'Base stats'!Y:Y)="Omnivore",BE255&gt;0.1)),"true","false")</f>
        <v>false</v>
      </c>
      <c r="BV255" s="2" t="str">
        <f>IF(_xlfn.XLOOKUP(B255,'Base stats'!B:B,'Base stats'!AI:AI)=1,"true","false")</f>
        <v>false</v>
      </c>
      <c r="BW255" s="25" t="str">
        <f>IF(E255="BaseInsect","AnimalInsect",
IF(J255&gt;0.95,"AnimalExotic",
_xlfn.TEXTJOIN(", ",TRUE,
IF(OR(_xlfn.XLOOKUP(B255,'Base stats'!B:B,'Base stats'!AM:AM)=1,AND(_xlfn.XLOOKUP(B255,'Base stats'!B:B,'Base stats'!O:O)=0,_xlfn.XLOOKUP(_xlfn.XLOOKUP(B255,'Base stats'!B:B,'Base stats'!E:E),Groups!A:A,Groups!B:B)&gt;0)),"AnimalUncommon","AnimalCommon"),
IF(AND(_xlfn.XLOOKUP(B255,'Base stats'!B:B,'Base stats'!O:O)=2,_xlfn.XLOOKUP(_xlfn.XLOOKUP(B255,'Base stats'!B:B,'Base stats'!E:E),Groups!A:A,Groups!D:D)=0),"AnimalPet",IF(AND(_xlfn.XLOOKUP(B255,'Base stats'!B:B,'Base stats'!O:O)&lt;&gt;0,_xlfn.XLOOKUP(_xlfn.XLOOKUP(B255,'Base stats'!B:B,'Base stats'!E:E),Groups!A:A,Groups!D:D)&lt;&gt;0),"AnimalFarm","")),
IF(OR(_xlfn.XLOOKUP(B255,'Base stats'!B:B,'Base stats'!AK:AK)=1,AND(BI255&lt;&gt;"None",BR255&gt;=60),ISNUMBER(SEARCH("Attack target",BP255))),"AnimalFighter","")
)))</f>
        <v>AnimalUncommon</v>
      </c>
      <c r="BX255" s="25" t="str">
        <f>IF(G255="None",TRIM(
SUBSTITUTE(
IF(COUNTIF(Biomes!B$2:B$259,"="&amp;$C255)&gt;0,Biomes!B$1&amp;", ","")&amp;
IF(COUNTIF(Biomes!C$2:C$259,"="&amp;$C255)&gt;0,Biomes!C$1&amp;", ","")&amp;
IF(COUNTIF(Biomes!D$2:D$259,"="&amp;$C255)&gt;0,Biomes!D$1&amp;", ","")&amp;
IF(COUNTIF(Biomes!F$2:F$259,"="&amp;$C255)&gt;0,Biomes!F$1&amp;", ","")&amp;
IF(COUNTIF(Biomes!G$2:G$259,"="&amp;$C255)&gt;0,Biomes!G$1&amp;", ","")&amp;
IF(COUNTIF(Biomes!H$2:H$259,"="&amp;$C255)&gt;0,Biomes!H$1&amp;", ","")&amp;
IF(COUNTIF(Biomes!I$2:I$259,"="&amp;$C255)&gt;0,Biomes!I$1&amp;", ","")&amp;
IF(COUNTIF(Biomes!J$2:J$259,"="&amp;$C255)&gt;0,Biomes!J$1&amp;", ","")&amp;
IF(COUNTIF(Biomes!M$2:M$259,"="&amp;$C255)&gt;0,Biomes!M$1&amp;", ","")&amp;
IF(COUNTIF(Biomes!N$2:N$259,"="&amp;$C255)&gt;0,Biomes!N$1&amp;", ","")&amp;
IF(COUNTIF(Biomes!O$2:O$259,"="&amp;$C255)&gt;0,Biomes!O$1&amp;", ","")&amp;
IF(COUNTIF(Biomes!P$2:P$259,"="&amp;$C255)&gt;0,Biomes!P$1&amp;", ","")&amp;
IF(COUNTIF(Biomes!K$2:K$259,"="&amp;$C255)&gt;0,Biomes!K$1&amp;", ","")&amp;
IF(COUNTIF(Biomes!Q$3:Q$259,"="&amp;$C255)&gt;0,Biomes!Q$1&amp;", ","")&amp;
IF(COUNTIF(Biomes!L$2:L$259,"="&amp;$C255)&gt;0,Biomes!L$1&amp;", ","")&amp;
IF(COUNTIF(Biomes!E$2:E$259,"="&amp;$C255)&gt;0,Biomes!E$1&amp;", ","")&amp;IF(COUNTIF(Biomes!S$2:S$259,"="&amp;$C255)&gt;0,Biomes!S$1&amp;", ","")&amp;
IF(COUNTIF(Biomes!R$2:R$259,"="&amp;$C255)&gt;0,Biomes!R$1&amp;", ",""),", ","")
),_xlfn.XLOOKUP(B255,B:B,BX:BX))</f>
        <v>TemperateForest TemperateSwamp AridShrubland Desert TropicalRainforest TropicalSwamp Grasslands Glowforest LavaField Scarlands</v>
      </c>
      <c r="BY255" s="25" t="str">
        <f>IF(_xlfn.XLOOKUP(B255,'Base stats'!B:B,'Base stats'!AJ:AJ)=1,"true","false")</f>
        <v>false</v>
      </c>
      <c r="BZ255" s="25">
        <f>IF(_xlfn.XLOOKUP(B255,'Base stats'!B:B,'Base stats'!N:N)=1,"No",MAX(0.001,MIN(MROUND(IF(AND(BJ255="True",CC255="False"),POWER(10,3.47*LOG10(_xlfn.XLOOKUP(B255,'Base stats'!B:B,'Base stats'!C:C)*1000)^-0.96),POWER(10,4.15*LOG10(_xlfn.XLOOKUP(B255,'Base stats'!B:B,'Base stats'!C:C)*1000)^-0.73))*IF(_xlfn.XLOOKUP(B255,'Base stats'!B:B,'Base stats'!AK:AK)=1,0.5,1)*IF(_xlfn.XLOOKUP(B255,'Base stats'!B:B,'Base stats'!AM:AM)=1,0.1,1)/100,IF(_xlfn.XLOOKUP(B255,'Base stats'!B:B,'Base stats'!AM:AM)=1,0.001,0.025)),0.5)))</f>
        <v>0.04</v>
      </c>
      <c r="CA255" s="25" t="str">
        <f>IF(P255="Standard","No",MAX(0.001,MIN(MROUND(IF(AND(BJ255="True",CC255="False"),POWER(10,3.47*LOG10(_xlfn.XLOOKUP(B255,'Base stats'!B:B,'Base stats'!C:C)*1000)^-0.96),POWER(10,4.15*LOG10(_xlfn.XLOOKUP(B255,'Base stats'!B:B,'Base stats'!C:C)*1000)^-0.73))*IF(_xlfn.XLOOKUP(B255,'Base stats'!B:B,'Base stats'!AM:AM)=1,0.1,1)*_xlfn.XLOOKUP(B255,'Base stats'!B:B,'Base stats'!R:R)/100,IF(_xlfn.XLOOKUP(B255,'Base stats'!B:B,'Base stats'!AM:AM)=1,0.001,0.025)),0.5)))</f>
        <v>No</v>
      </c>
      <c r="CB255" s="25" t="str">
        <f>IF(_xlfn.XLOOKUP(_xlfn.XLOOKUP(B255,'Base stats'!B:B,'Base stats'!E:E),Groups!A:A,Groups!AJ:AJ)="Mammal","True","False")</f>
        <v>False</v>
      </c>
      <c r="CC255" s="25" t="str">
        <f>IF(OR(_xlfn.XLOOKUP(_xlfn.XLOOKUP(B255,'Base stats'!B:B,'Base stats'!E:E),Groups!A:A,Groups!AJ:AJ)="Reptile",_xlfn.XLOOKUP(_xlfn.XLOOKUP(B255,'Base stats'!B:B,'Base stats'!E:E),Groups!A:A,Groups!AJ:AJ)="Amphibian",_xlfn.XLOOKUP(_xlfn.XLOOKUP(B255,'Base stats'!B:B,'Base stats'!E:E),Groups!A:A,Groups!AJ:AJ)="Invertebrate"),"True","False")</f>
        <v>True</v>
      </c>
      <c r="CD255" s="25" t="str">
        <f t="shared" si="27"/>
        <v>False</v>
      </c>
      <c r="CE255" s="25" t="str">
        <f>IF(_xlfn.XLOOKUP(_xlfn.XLOOKUP(B255,'Base stats'!B:B,'Base stats'!E:E),Groups!A:A,Groups!AX:AX),"True","False")</f>
        <v>False</v>
      </c>
      <c r="CF255" s="25" t="str">
        <f>IF(_xlfn.XLOOKUP(_xlfn.XLOOKUP(B255,'Base stats'!B:B,'Base stats'!E:E),Groups!A:A,Groups!AY:AY),"True","False")</f>
        <v>False</v>
      </c>
      <c r="CG255" s="25" t="str">
        <f>IF(_xlfn.XLOOKUP(_xlfn.XLOOKUP(B255,'Base stats'!B:B,'Base stats'!E:E),Groups!A:A,Groups!AW:AW),"True","False")</f>
        <v>False</v>
      </c>
      <c r="CH255" s="25" t="str">
        <f>IF(
OR(
_xlfn.XLOOKUP(_xlfn.XLOOKUP(B255,'Base stats'!B:B,'Base stats'!E:E),Groups!A:A,Groups!AZ:AZ)=0,
AND(
_xlfn.XLOOKUP(B255,'Base stats'!B:B,'Base stats'!Y:Y)&lt;&gt;"Carnivore",
_xlfn.XLOOKUP(B255,'Base stats'!B:B,'Base stats'!Y:Y)&lt;&gt;"Omnivore",
_xlfn.XLOOKUP(B255,'Base stats'!B:B,'Base stats'!Y:Y)&lt;&gt;"OmnivoreRough"
)
),
"No",
IF(
_xlfn.XLOOKUP(_xlfn.XLOOKUP(B255,'Base stats'!B:B,'Base stats'!E:E),Groups!A:A,Groups!AZ:AZ)=1,
"Flesh",
IF(
_xlfn.XLOOKUP(_xlfn.XLOOKUP(B255,'Base stats'!B:B,'Base stats'!E:E),Groups!A:A,Groups!AZ:AZ)=2,
"Bone",
""
)
)
)</f>
        <v>No</v>
      </c>
      <c r="CI255" s="25" t="str">
        <f>IF(_xlfn.XLOOKUP(_xlfn.XLOOKUP(B255,'Base stats'!B:B,'Base stats'!E:E),Groups!A:A,Groups!BB:BB),"True","False")</f>
        <v>False</v>
      </c>
      <c r="CJ255" s="25" t="str">
        <f>IF(_xlfn.XLOOKUP(_xlfn.XLOOKUP(B255,'Base stats'!B:B,'Base stats'!E:E),Groups!A:A,Groups!BA:BA),"True","False")</f>
        <v>False</v>
      </c>
    </row>
    <row r="256" spans="1:88" ht="16.5" thickTop="1" thickBot="1" x14ac:dyDescent="0.3">
      <c r="A256" s="26" t="s">
        <v>1418</v>
      </c>
      <c r="B256" s="6" t="str">
        <f>_xlfn.XLOOKUP(A256,'Base stats'!A:A,'Base stats'!B:B)</f>
        <v>Haemophagus infinitus (larva)</v>
      </c>
      <c r="C256" s="28" t="s">
        <v>1419</v>
      </c>
      <c r="D256" s="28" t="s">
        <v>1341</v>
      </c>
      <c r="E256" s="28" t="s">
        <v>673</v>
      </c>
      <c r="F256" s="28" t="s">
        <v>673</v>
      </c>
      <c r="G256" s="28" t="s">
        <v>673</v>
      </c>
      <c r="H256" s="2">
        <f>MROUND((
  (IF(AND(_xlfn.XLOOKUP(B256,'Base stats'!B:B,'Base stats'!AL:AL)=0,BI256="None",_xlfn.XLOOKUP(_xlfn.XLOOKUP(B256,'Base stats'!B:B,'Base stats'!E:E),Groups!A:A,Groups!B:B)=0), (18 + BR256 * 2.7) * 0.5,
    IF(AND(_xlfn.XLOOKUP(B256,'Base stats'!B:B,'Base stats'!AL:AL)=0,OR(AO256&lt;0.55,AND(BI256="Intermediate",_xlfn.XLOOKUP(_xlfn.XLOOKUP(B256,'Base stats'!B:B,'Base stats'!E:E),Groups!A:A,Groups!B:B)&lt;2))), (18 + BR256 * 2.7),
      IF(OR(BI256="Advanced",_xlfn.XLOOKUP(B256,'Base stats'!B:B,'Base stats'!AL:AL)=1,_xlfn.XLOOKUP(_xlfn.XLOOKUP(B256,'Base stats'!B:B,'Base stats'!E:E),Groups!A:A,Groups!B:B)=2), (18 + BR256 * 2.7) + 250, (18 + BR256 * 2.7))
    )
  ))
  + AO256 * 80
  + IF(COUNTIF(EggMilk!K$2:K$998, A256) &gt; 0, 125, 0)
  + IF(COUNTIF(EggMilk!P$2:P$998, A256) &gt; 0, 90, 0)
  + IF(COUNTIF(EggMilk!A$2:A$998, A256) &gt; 0, 90, 0)
)
* (0.8 + 0.4 * J256)
* 0.75,25)</f>
        <v>75</v>
      </c>
      <c r="I256" s="2">
        <f>MROUND(ROUNDDOWN(_xlfn.XLOOKUP(B256,'Base stats'!B:B,'Base stats'!L:L)/3.6/(23.3/11),1),0.5)</f>
        <v>2</v>
      </c>
      <c r="J256" s="2">
        <f>IF(OR(_xlfn.XLOOKUP(B256,'Base stats'!B:B,'Base stats'!AB:AB)=1,_xlfn.XLOOKUP(_xlfn.XLOOKUP(B256,'Base stats'!B:B,'Base stats'!E:E),Groups!A:A,Groups!C:C)="Untamable"),1,IF(_xlfn.XLOOKUP(B256,'Base stats'!B:B,'Base stats'!AL:AL)=1,0.99,MIN(MROUND((1-0.6282*EXP(-0.459*AO256))*_xlfn.XLOOKUP(_xlfn.XLOOKUP(B256,'Base stats'!B:B,'Base stats'!E:E),Groups!A:A,Groups!C:C)*IF(_xlfn.XLOOKUP(B256,'Base stats'!B:B,'Base stats'!O:O)=1,0.5,IF(_xlfn.XLOOKUP(B256,'Base stats'!B:B,'Base stats'!O:O)=2,0,1)),0.05),IF(AO256&gt;3.5,0.985,0.95))))</f>
        <v>0.45</v>
      </c>
      <c r="K256" s="2">
        <f>ROUNDUP(AO256*_xlfn.XLOOKUP(_xlfn.XLOOKUP(B256,'Base stats'!B:B,'Base stats'!E:E),Groups!A:A,Groups!E:E),0)</f>
        <v>1</v>
      </c>
      <c r="L256" s="2">
        <f>IF(OR(_xlfn.XLOOKUP(_xlfn.XLOOKUP(B256,'Base stats'!B:B,'Base stats'!E:E),Groups!A:A,Groups!F:F)=2,ISNUMBER(SEARCH("SeaIce",BX256)),ISNUMBER(SEARCH("IceSheet",BX256))),-50,IF(OR(ISNUMBER(SEARCH("GlacialPlain",BX256)),ISNUMBER(SEARCH("Tundra",BX256))),-40,IF(OR(ISNUMBER(SEARCH("Alpine",BX256)),ISNUMBER(SEARCH("BorealForest",BX256)),ISNUMBER(SEARCH("ColdBog",BX256))),-30,IF(OR(ISNUMBER(SEARCH("TemperateForest",BX256)),ISNUMBER(SEARCH("TemperateSwamp",BX256))),-20,IF(_xlfn.XLOOKUP(_xlfn.XLOOKUP(B256,'Base stats'!B:B,'Base stats'!E:E),Groups!A:A,Groups!F:F)=1,-15,IF(OR(ISNUMBER(SEARCH("Desert",BX256)),ISNUMBER(SEARCH("ExtremeDesert",BX256))),-10,IF(OR(ISNUMBER(SEARCH("Grasslands",BX256)),ISNUMBER(SEARCH("TropicalRainforest",BX256)),ISNUMBER(SEARCH("TropicalSwamp",BX256))),10,0)))))))-IF(CC256="False",MIN(IFERROR(MAX(MROUND(LOG10(_xlfn.XLOOKUP(B256,'Base stats'!B:B,'Base stats'!C:C)^(2/3))*10,5),5),5),30))-_xlfn.XLOOKUP(B256,'Base stats'!B:B,'Base stats'!P:P)+IF(CC256="True",5,0)</f>
        <v>-15</v>
      </c>
      <c r="M256" s="2">
        <f>IF(OR(_xlfn.XLOOKUP(_xlfn.XLOOKUP(B256,'Base stats'!B:B,'Base stats'!E:E),Groups!A:A,Groups!G:G)=2,ISNUMBER(SEARCH("Desert",BX256)),ISNUMBER(SEARCH("ExtremeDesert",BX256)),ISNUMBER(SEARCH("LavaField",BX256))),50,IF(ISNUMBER(SEARCH("Grasslands",BX256)),45,IF(OR(_xlfn.XLOOKUP(_xlfn.XLOOKUP(B256,'Base stats'!B:B,'Base stats'!E:E),Groups!A:A,Groups!G:G)=1,ISNUMBER(SEARCH("TropicalRainforest",BX256)),ISNUMBER(SEARCH("TropicalSwamp",BX256))),40,IF(OR(ISNUMBER(SEARCH("TemperateForest",BX256)),ISNUMBER(SEARCH("TemperateSwamp",BX256))),35,IF(OR(ISNUMBER(SEARCH("Alpine",BX256)),ISNUMBER(SEARCH("BorealForest",BX256)),ISNUMBER(SEARCH("ColdBog",BX256))),30,IF(ISNUMBER(OR(ISNUMBER(SEARCH("GlacialPlain",BX256)),SEARCH("Tundra",BX256))),25,IF(OR(ISNUMBER(SEARCH("SeaIce",BX256)),ISNUMBER(SEARCH("IceSheet",BX256)),ISNUMBER(SEARCH("TropicalSwamp",BX256))),10,35)))))))+_xlfn.XLOOKUP(B256,'Base stats'!B:B,'Base stats'!Q:Q)</f>
        <v>50</v>
      </c>
      <c r="N256" s="8">
        <f>IF(
_xlfn.XLOOKUP(
_xlfn.XLOOKUP(B256,'Base stats'!B:B,'Base stats'!E:E),
Groups!A:A,
Groups!L:L
)=1,
MIN(
MROUND(
IF(
_xlfn.XLOOKUP(B256,'Animals CE'!B:B,'Animals CE'!Z:Z)&lt;=1.5,
_xlfn.XLOOKUP(B256,'Animals CE'!B:B,'Animals CE'!Z:Z)/2+0.05,
0.8+
(_xlfn.XLOOKUP(B256,'Animals CE'!B:B,'Animals CE'!Z:Z)-1.5)
*0.02
),
0.05
),
200%
),
"No"
)</f>
        <v>0.15000000000000002</v>
      </c>
      <c r="O256" s="8">
        <f>IF(
_xlfn.XLOOKUP(
_xlfn.XLOOKUP(B256,'Base stats'!B:B,'Base stats'!E:E),
Groups!A:A,
Groups!L:L
)=1,
MIN(
MROUND(
IF(
_xlfn.XLOOKUP(B256,'Animals CE'!B:B,'Animals CE'!AA:AA)&lt;=1.5,
_xlfn.XLOOKUP(B256,'Animals CE'!B:B,'Animals CE'!AA:AA)/2+0.05,
0.8+
(_xlfn.XLOOKUP(B256,'Animals CE'!B:B,'Animals CE'!AA:AA)-1.5)
*0.02
),
0.05
),
200%
),
"No"
)</f>
        <v>0.05</v>
      </c>
      <c r="P256" s="2" t="str">
        <f>_xlfn.XLOOKUP(B256,'Base stats'!B:B,'Base stats'!R:R)</f>
        <v>Standard</v>
      </c>
      <c r="Q256" s="13">
        <f>MROUND((LOG10(_xlfn.XLOOKUP(B256,'Base stats'!B:B,'Base stats'!AR:AR))*(AO256^0.5)+(_xlfn.XLOOKUP(B256,'Base stats'!B:B,'Base stats'!AR:AR)/1000)^(2/3)+_xlfn.XLOOKUP(B256,'Base stats'!B:B,'Base stats'!BA:BA)/2)+0.5,0.5)</f>
        <v>1.5</v>
      </c>
      <c r="R256" s="7">
        <f>IF(Q256="No","No",MAX(1,MROUND(_xlfn.XLOOKUP(B256,'Base stats'!B:B,'Base stats'!C:C)^0.165,0.05)))</f>
        <v>1</v>
      </c>
      <c r="S256" s="13" t="str">
        <f>IF(_xlfn.XLOOKUP(_xlfn.XLOOKUP(B256,'Base stats'!B:B,'Base stats'!E:E),Groups!A:A,Groups!P:P)=0,"No",MROUND((LOG10(_xlfn.XLOOKUP(B256,'Base stats'!B:B,'Base stats'!AS:AS))*(AO256^0.5)+(_xlfn.XLOOKUP(B256,'Base stats'!B:B,'Base stats'!AS:AS)/1000)^(2/3)+_xlfn.XLOOKUP(B256,'Base stats'!B:B,'Base stats'!BA:BA))+_xlfn.XLOOKUP(B256,'Base stats'!B:B,'Base stats'!AY:AY)+0.5,0.5))</f>
        <v>No</v>
      </c>
      <c r="T256" s="7" t="str">
        <f>IF(S256="No","No",MAX(_xlfn.XLOOKUP(_xlfn.XLOOKUP(B256,'Base stats'!B:B,'Base stats'!E:E),Groups!A:A,Groups!Q:Q),MROUND(_xlfn.XLOOKUP(_xlfn.XLOOKUP(B256,'Base stats'!B:B,'Base stats'!E:E),Groups!A:A,Groups!Q:Q)*_xlfn.XLOOKUP(B256,'Base stats'!B:B,'Base stats'!C:C)^0.165,0.05)))</f>
        <v>No</v>
      </c>
      <c r="U256" s="7" t="str">
        <f>IF(S256="No","No",_xlfn.XLOOKUP(_xlfn.XLOOKUP(B256,'Base stats'!B:B,'Base stats'!E:E),Groups!A:A,Groups!R:R))</f>
        <v>No</v>
      </c>
      <c r="V256" s="7" t="str">
        <f>IF(S256="No","No",_xlfn.XLOOKUP(_xlfn.XLOOKUP(B256,'Base stats'!B:B,'Base stats'!E:E),Groups!A:A,Groups!S:S))</f>
        <v>No</v>
      </c>
      <c r="W256" s="7" t="str">
        <f>IF(S256="No","No",_xlfn.XLOOKUP(_xlfn.XLOOKUP(B256,'Base stats'!B:B,'Base stats'!E:E),Groups!A:A,Groups!T:T))</f>
        <v>No</v>
      </c>
      <c r="X256" s="13" t="str">
        <f>IF(_xlfn.XLOOKUP(B256,'Base stats'!B:B,'Base stats'!W:W)="No","No",MROUND((LOG10(_xlfn.XLOOKUP(B256,'Base stats'!B:B,'Base stats'!AU:AU))*(AO256^0.5)+(_xlfn.XLOOKUP(B256,'Base stats'!B:B,'Base stats'!AU:AU)/1000)^(2/3)+_xlfn.XLOOKUP(B256,'Base stats'!B:B,'Base stats'!AZ:AZ))+0.5+IF(_xlfn.XLOOKUP(_xlfn.XLOOKUP(B256,'Base stats'!B:B,'Base stats'!E:E),Groups!A:A,Groups!U:U)&lt;&gt;3,_xlfn.XLOOKUP(B256,'Base stats'!B:B,'Base stats'!BA:BA),0),0.5))</f>
        <v>No</v>
      </c>
      <c r="Y256" s="7" t="str">
        <f>IF(X256="No","No",MAX(_xlfn.XLOOKUP(_xlfn.XLOOKUP(B256,'Base stats'!B:B,'Base stats'!E:E),Groups!A:A,Groups!V:V),MROUND(_xlfn.XLOOKUP(_xlfn.XLOOKUP(B256,'Base stats'!B:B,'Base stats'!E:E),Groups!A:A,Groups!V:V)*_xlfn.XLOOKUP(B256,'Base stats'!B:B,'Base stats'!C:C)^0.165,0.05)))</f>
        <v>No</v>
      </c>
      <c r="Z256" s="7" t="str">
        <f>IF(X256="No","No",_xlfn.XLOOKUP(_xlfn.XLOOKUP(B256,'Base stats'!B:B,'Base stats'!E:E),Groups!A:A,Groups!W:W))</f>
        <v>No</v>
      </c>
      <c r="AA256" s="7" t="str">
        <f>IF(X256="No","No",_xlfn.XLOOKUP(_xlfn.XLOOKUP(B256,'Base stats'!B:B,'Base stats'!E:E),Groups!A:A,Groups!X:X))</f>
        <v>No</v>
      </c>
      <c r="AB256" s="7" t="str">
        <f>IF(X256="No","No",_xlfn.XLOOKUP(_xlfn.XLOOKUP(B256,'Base stats'!B:B,'Base stats'!E:E),Groups!A:A,Groups!Y:Y))</f>
        <v>No</v>
      </c>
      <c r="AC256" s="7" t="str">
        <f>_xlfn.XLOOKUP(Animals!B256,'Base stats'!B:B,'Base stats'!X:X)</f>
        <v>False</v>
      </c>
      <c r="AD256" s="13">
        <f>IF(_xlfn.XLOOKUP(B256,'Base stats'!B:B,'Base stats'!AT:AT)="No","No",MROUND((LOG10(_xlfn.XLOOKUP(B256,'Base stats'!B:B,'Base stats'!AT:AT))*(AO256^0.75)+(_xlfn.XLOOKUP(B256,'Base stats'!B:B,'Base stats'!AT:AT)/1000)^(2/3)+_xlfn.XLOOKUP(B256,'Base stats'!B:B,'Base stats'!AX:AX)+_xlfn.XLOOKUP(B256,'Base stats'!B:B,'Base stats'!BA:BA))+0.5,0.5))</f>
        <v>2</v>
      </c>
      <c r="AE256" s="7">
        <f>IF(AD256="No","No",MAX(_xlfn.XLOOKUP(_xlfn.XLOOKUP(B256,'Base stats'!B:B,'Base stats'!E:E),Groups!A:A,Groups!Z:Z),MROUND(_xlfn.XLOOKUP(_xlfn.XLOOKUP(B256,'Base stats'!B:B,'Base stats'!E:E),Groups!A:A,Groups!Z:Z)*_xlfn.XLOOKUP(B256,'Base stats'!B:B,'Base stats'!C:C)^0.165,0.05)))</f>
        <v>1.2</v>
      </c>
      <c r="AF256" s="7" t="str">
        <f>IF(AD256="No","No",_xlfn.XLOOKUP(_xlfn.XLOOKUP(B256,'Base stats'!B:B,'Base stats'!E:E),Groups!A:A,Groups!AA:AA))</f>
        <v>Mouth</v>
      </c>
      <c r="AG256" s="7" t="str">
        <f>IF(AD256="No","No",_xlfn.XLOOKUP(_xlfn.XLOOKUP(B256,'Base stats'!B:B,'Base stats'!E:E),Groups!A:A,Groups!AB:AB))</f>
        <v>mandibles</v>
      </c>
      <c r="AH256" s="7" t="str">
        <f>IF(AD256="No","No",_xlfn.XLOOKUP(_xlfn.XLOOKUP(B256,'Base stats'!B:B,'Base stats'!E:E),Groups!A:A,Groups!AC:AC))</f>
        <v>Bite</v>
      </c>
      <c r="AI256" s="13" t="str">
        <f>IF(_xlfn.XLOOKUP(_xlfn.XLOOKUP(B256,'Base stats'!B:B,'Base stats'!E:E),Groups!A:A,Groups!AD:AD)=0,"No",MROUND((LOG10(_xlfn.XLOOKUP(B256,'Base stats'!B:B,'Base stats'!AS:AS))*(AO256^0.75)+(_xlfn.XLOOKUP(B256,'Base stats'!B:B,'Base stats'!AS:AS)/1000)^(2/3)+_xlfn.XLOOKUP(B256,'Base stats'!B:B,'Base stats'!AY:AY)+_xlfn.XLOOKUP(B256,'Base stats'!B:B,'Base stats'!BA:BA))+0.5,0.5))</f>
        <v>No</v>
      </c>
      <c r="AJ256" s="7" t="str">
        <f>IF(AI256="No","No",MAX(_xlfn.XLOOKUP(_xlfn.XLOOKUP(B256,'Base stats'!B:B,'Base stats'!E:E),Groups!A:A,Groups!AE:AE),MROUND(_xlfn.XLOOKUP(_xlfn.XLOOKUP(B256,'Base stats'!B:B,'Base stats'!E:E),Groups!A:A,Groups!AE:AE)*IF(_xlfn.XLOOKUP(_xlfn.XLOOKUP(B256,'Base stats'!B:B,'Base stats'!E:E),Groups!A:A,Groups!AJ:AJ)="Photonozoa",0.6,1)*_xlfn.XLOOKUP(B256,'Base stats'!B:B,'Base stats'!C:C)^0.165,0.05)))</f>
        <v>No</v>
      </c>
      <c r="AK256" s="7" t="str">
        <f>IF(AI256="No","No",_xlfn.XLOOKUP(_xlfn.XLOOKUP(B256,'Base stats'!B:B,'Base stats'!E:E),Groups!A:A,Groups!AF:AF))</f>
        <v>No</v>
      </c>
      <c r="AL256" s="7" t="str">
        <f>IF(AI256="No","No",_xlfn.XLOOKUP(_xlfn.XLOOKUP(B256,'Base stats'!B:B,'Base stats'!E:E),Groups!A:A,Groups!AG:AG))</f>
        <v>No</v>
      </c>
      <c r="AM256" s="7" t="str">
        <f>IF(AI256="No","No",_xlfn.XLOOKUP(_xlfn.XLOOKUP(B256,'Base stats'!B:B,'Base stats'!E:E),Groups!A:A,Groups!AH:AH))</f>
        <v>No</v>
      </c>
      <c r="AN256" s="2" t="str">
        <f t="shared" si="21"/>
        <v>No</v>
      </c>
      <c r="AO256" s="2">
        <f>MROUND(IF(AND(_xlfn.XLOOKUP(B256,'Base stats'!B:B,'Base stats'!C:C)&gt;=0.5,_xlfn.XLOOKUP(B256,'Base stats'!B:B,'Base stats'!C:C)&lt;=0.8),
IF(_xlfn.XLOOKUP(B256,'Base stats'!B:B,'Base stats'!C:C)&lt;0.1,0.05,IF(_xlfn.XLOOKUP(B256,'Base stats'!B:B,'Base stats'!C:C)&lt;=70,(_xlfn.XLOOKUP(B256,'Base stats'!B:B,'Base stats'!C:C)/70)^0.426489913056526,IF(_xlfn.XLOOKUP(B256,'Base stats'!B:B,'Base stats'!C:C)&lt;=400,(_xlfn.XLOOKUP(B256,'Base stats'!B:B,'Base stats'!C:C)/70)^0.572811455315093,IF(_xlfn.XLOOKUP(B256,'Base stats'!B:B,'Base stats'!C:C)&lt;=2000,2.71391647193063*(_xlfn.XLOOKUP(B256,'Base stats'!B:B,'Base stats'!C:C)/400)^0.252459582904293,3.74314280240376*(_xlfn.XLOOKUP(B256,'Base stats'!B:B,'Base stats'!C:C)/2000)^0.357012633876913)))),
IF(_xlfn.XLOOKUP(B256,'Base stats'!B:B,'Base stats'!C:C)&lt;0.1,0.05,IF(_xlfn.XLOOKUP(B256,'Base stats'!B:B,'Base stats'!C:C)&lt;0.4,0.1,IF(_xlfn.XLOOKUP(B256,'Base stats'!B:B,'Base stats'!C:C)&lt;=70,(_xlfn.XLOOKUP(B256,'Base stats'!B:B,'Base stats'!C:C)/70)^0.445823913056526,IF(_xlfn.XLOOKUP(B256,'Base stats'!B:B,'Base stats'!C:C)&lt;=400,(_xlfn.XLOOKUP(B256,'Base stats'!B:B,'Base stats'!C:C)/70)^0.572811455315093,IF(_xlfn.XLOOKUP(B256,'Base stats'!B:B,'Base stats'!C:C)&lt;=2000,2.71391647193063*(_xlfn.XLOOKUP(B256,'Base stats'!B:B,'Base stats'!C:C)/400)^0.252459582904293,3.74314280240376*(_xlfn.XLOOKUP(B256,'Base stats'!B:B,'Base stats'!C:C)/2000)^0.357012633876913)))))),
IF(_xlfn.XLOOKUP(B256,'Base stats'!B:B,'Base stats'!C:C)&lt;0.1,0.05,IF(_xlfn.XLOOKUP(B256,'Base stats'!B:B,'Base stats'!C:C)&lt;=100,0.05,IF(_xlfn.XLOOKUP(B256,'Base stats'!B:B,'Base stats'!C:C)&lt;=250,0.1,IF(_xlfn.XLOOKUP(B256,'Base stats'!B:B,'Base stats'!C:C)&lt;=4000,0.25,0.5)))))</f>
        <v>0.1</v>
      </c>
      <c r="AP256" s="8">
        <f>MROUND(AO256*_xlfn.XLOOKUP(_xlfn.XLOOKUP(B256,'Base stats'!B:B,'Base stats'!E:E),Groups!A:A,Groups!AI:AI)*_xlfn.XLOOKUP(B256,'Base stats'!B:B,'Base stats'!Z:Z),0.05)</f>
        <v>0.1</v>
      </c>
      <c r="AQ256" s="8">
        <f>MAX(0.01,MROUND(IF(CC256="True",0.196*(AO256*100*1000)^0.889,IF(_xlfn.XLOOKUP(_xlfn.XLOOKUP(B256,'Base stats'!B:B,'Base stats'!E:E),Groups!A:A,Groups!AJ:AJ)="Bird",10.5*(AO256*100*1000)^0.681,4.82*(AO256*100*1000)^0.734))/(4.82*(1*100*1000)^0.734)/IF(AO256&lt;3.5,2,IF(AO256=3.5,1.5,1.25))*(1+0.132282374779864/(AO256^0.994035016789033+0.00905238001496948)),0.05))</f>
        <v>0.05</v>
      </c>
      <c r="AR256" s="9">
        <f>IFERROR(MROUND(_xlfn.XLOOKUP(B256,'Base stats'!B:B,'Base stats'!H:H)/IF(_xlfn.XLOOKUP(B256,'Base stats'!B:B,'Base stats'!I:I)&lt;&gt;1,(122.5/70),1.2),IF(_xlfn.XLOOKUP(B256,'Base stats'!B:B,'Base stats'!H:H)&gt;=30,5,IF(_xlfn.XLOOKUP(B256,'Base stats'!B:B,'Base stats'!H:H)&gt;=15,3,IF(_xlfn.XLOOKUP(B256,'Base stats'!B:B,'Base stats'!H:H)&gt;=10,2,1)))),"Immortal")</f>
        <v>1</v>
      </c>
      <c r="AS256" s="35" t="str">
        <f>IFERROR(IF(OR(_xlfn.XLOOKUP(B256,'Base stats'!B:B,'Base stats'!F:F)="Atypical reproduction",_xlfn.XLOOKUP(B256,'Base stats'!B:B,'Base stats'!F:F)="Lay eggs"),"Lay eggs",MIN(20,MAX(5.5,ROUND(((_xlfn.XLOOKUP(B256,'Base stats'!B:B,'Base stats'!F:F)-25)*(14.5/615) + 5.5)*2,0)/2))),"Unknown")</f>
        <v>Lay eggs</v>
      </c>
      <c r="AT256" s="8" t="str">
        <f>IF(_xlfn.XLOOKUP(B256,'Base stats'!B:B,'Base stats'!G:G)="Atypical reproduction","No",IFERROR(MAX(IF(_xlfn.XLOOKUP(B256,'Base stats'!B:B,'Base stats'!G:G)&lt;0.5,0.2,0.3),MROUND(_xlfn.XLOOKUP(B256,'Base stats'!B:B,'Base stats'!G:G)/(365/60),0.2)),"Unknown"))</f>
        <v>No</v>
      </c>
      <c r="AU256" s="8" t="str">
        <f t="shared" si="22"/>
        <v>No</v>
      </c>
      <c r="AV256" s="8" t="str">
        <f>IFERROR(IFERROR(MROUND(_xlfn.XLOOKUP(B256,'Base stats'!B:B,'Base stats'!J:J),0.1),"Lay eggs"),"Cannot breed")</f>
        <v>Lay eggs</v>
      </c>
      <c r="AW256" s="2" t="str">
        <f t="shared" si="23"/>
        <v>true</v>
      </c>
      <c r="AX256" s="2" t="str">
        <f>IF(_xlfn.XLOOKUP(_xlfn.XLOOKUP(Animals!B256,'Base stats'!B:B,'Base stats'!E:E),Groups!A:A,Groups!AK:AK)=1,"true","false")</f>
        <v>false</v>
      </c>
      <c r="AY256" s="25" t="str">
        <f>IF(_xlfn.XLOOKUP(B256,'Base stats'!B:B,'Base stats'!Y:Y)="Liquor","Liquor, CarnivoreAnimalStrict",IF(AND(_xlfn.XLOOKUP(B256,'Base stats'!B:B,'Base stats'!Y:Y)="Carnivore",_xlfn.XLOOKUP(_xlfn.XLOOKUP(B256,'Base stats'!B:B,'Base stats'!E:E),Groups!A:A,Groups!AJ:AJ)="Photonozoa"),"CarnivoreAnimalStrict, OvivoreAnimal",IF(_xlfn.XLOOKUP(B256,'Base stats'!B:B,'Base stats'!Y:Y)="Carnivore","CarnivoreAnimal, OvivoreAnimal",IF(_xlfn.XLOOKUP(B256,'Base stats'!B:B,'Base stats'!Y:Y)="Dendrovore","VegetarianRoughAnimal, DendrovoreAnimal",IF(_xlfn.XLOOKUP(B256,'Base stats'!B:B,'Base stats'!Y:Y)="Herbivore","VegetarianRoughAnimal",IF(_xlfn.XLOOKUP(B256,'Base stats'!B:B,'Base stats'!Y:Y)="OmnivoreRough","OmnivoreRoughAnimal, OvivoreAnimal","OmnivoreAnimal, OvivoreAnimal"))))))</f>
        <v>VegetarianRoughAnimal</v>
      </c>
      <c r="AZ256" s="2" t="str">
        <f>IF(_xlfn.XLOOKUP(_xlfn.XLOOKUP(B256,'Base stats'!B:B,'Base stats'!E:E),Groups!A:A,Groups!D:D)=1,MROUND((1-J256)*5+1,2)*IF(J256&lt;=0.4,2,1),"No")</f>
        <v>No</v>
      </c>
      <c r="BA256" s="2" t="str">
        <f>IF(AND(_xlfn.XLOOKUP(B256,'Base stats'!B:B,'Base stats'!AH:AH)="&lt;li&gt;Seal&lt;/li&gt;",G256="Odyssey"),"&lt;li&gt;AEXP_Seal&lt;/li&gt;",_xlfn.XLOOKUP(B256,'Base stats'!B:B,'Base stats'!AH:AH))</f>
        <v>&lt;li&gt;Megaspider&lt;/li&gt;</v>
      </c>
      <c r="BB256" s="2" t="str">
        <f>_xlfn.XLOOKUP(B256,'Base stats'!B:B,'Base stats'!AG:AG)</f>
        <v>Leather_Chitin</v>
      </c>
      <c r="BC256" s="23" t="str">
        <f>_xlfn.XLOOKUP(_xlfn.XLOOKUP(B256,'Base stats'!B:B,'Base stats'!E:E),Groups!A:A,Groups!AL:AL)</f>
        <v>Larva</v>
      </c>
      <c r="BD256" s="23">
        <f>MIN(1,MROUND(IF(AND(AO256&lt;0.5,_xlfn.XLOOKUP(B256,'Base stats'!B:B,'Base stats'!AA:AA)=0),0,IF(OR(_xlfn.XLOOKUP(Animals!B256,'Base stats'!B:B,'Base stats'!O:O)=2,_xlfn.XLOOKUP(_xlfn.XLOOKUP(B256,'Base stats'!B:B,'Base stats'!E:E),Groups!A:A,Groups!AN:AN)=0),0,_xlfn.XLOOKUP(_xlfn.XLOOKUP(B256,'Base stats'!B:B,'Base stats'!E:E),Groups!A:A,Groups!AN:AN)/IF(_xlfn.XLOOKUP(Animals!B256,'Base stats'!B:B,'Base stats'!O:O)=1,2,1)))+_xlfn.XLOOKUP(B256,'Base stats'!B:B,'Base stats'!AC:AC),0.005))</f>
        <v>0</v>
      </c>
      <c r="BE256" s="23">
        <f>MIN(1,MROUND(IF(AND(AO256&lt;0.5,_xlfn.XLOOKUP(B256,'Base stats'!B:B,'Base stats'!AA:AA)=0),0,IF(_xlfn.XLOOKUP(_xlfn.XLOOKUP(B256,'Base stats'!B:B,'Base stats'!E:E),Groups!A:A,Groups!AO:AO)=0,0,_xlfn.XLOOKUP(_xlfn.XLOOKUP(B256,'Base stats'!B:B,'Base stats'!E:E),Groups!A:A,Groups!AO:AO)/IF(_xlfn.XLOOKUP(Animals!B256,'Base stats'!B:B,'Base stats'!O:O)=2,3,1)))+_xlfn.XLOOKUP(B256,'Base stats'!B:B,'Base stats'!AD:AD),0.005))</f>
        <v>0</v>
      </c>
      <c r="BF256" s="2" t="str">
        <f>IF(J256&gt;0.3,"No",_xlfn.XLOOKUP(_xlfn.XLOOKUP(Animals!B256,'Base stats'!B:B,'Base stats'!E:E),Groups!A:A,Groups!AP:AP))</f>
        <v>No</v>
      </c>
      <c r="BG256" s="2" t="str">
        <f>IF(AND(J256&lt;=0.65,_xlfn.XLOOKUP(_xlfn.XLOOKUP(Animals!B256,'Base stats'!B:B,'Base stats'!E:E),Groups!A:A,Groups!AP:AP)&lt;&gt;"No",_xlfn.XLOOKUP(_xlfn.XLOOKUP(B256,'Base stats'!B:B,'Base stats'!E:E),Groups!A:A,Groups!D:D)=0),MROUND((80/3)*IF(_xlfn.XLOOKUP(B256,'Base stats'!B:B,'Base stats'!O:O)=2,0.2,AO256) + 24*(1-IF(BF256="No",0,BF256)) + 16/3, 12),"No")</f>
        <v>No</v>
      </c>
      <c r="BH256" s="2">
        <f>IF(AND(_xlfn.XLOOKUP(_xlfn.XLOOKUP(B256,'Base stats'!B:B,'Base stats'!E:E),Groups!A:A,Groups!AQ:AQ)=1,AO256&lt;=0.35),8,12)</f>
        <v>12</v>
      </c>
      <c r="BI256" s="2" t="str">
        <f>IF(_xlfn.XLOOKUP(_xlfn.XLOOKUP(B256,'Base stats'!B:B,'Base stats'!E:E),Groups!A:A,Groups!D:D)=0,_xlfn.XLOOKUP(_xlfn.XLOOKUP(B256,'Base stats'!B:B,'Base stats'!E:E),Groups!A:A,Groups!AR:AR),"None")</f>
        <v>Intermediate</v>
      </c>
      <c r="BJ256" s="2" t="str">
        <f>IF(AND(_xlfn.XLOOKUP(_xlfn.XLOOKUP(B256,'Base stats'!B:B,'Base stats'!E:E),Groups!A:A,Groups!AS:AS)=1,OR(_xlfn.XLOOKUP(B256,'Base stats'!B:B,'Base stats'!Y:Y)="Carnivore",_xlfn.XLOOKUP(B256,'Base stats'!B:B,'Base stats'!Y:Y)="Omnivore")),"true","false")</f>
        <v>false</v>
      </c>
      <c r="BK256" s="2" t="str">
        <f>IF(BJ256="true",MROUND(IF(AND(AO256&gt;0.5,OR(_xlfn.XLOOKUP(_xlfn.XLOOKUP(B256,'Base stats'!B:B,'Base stats'!E:E),Groups!A:A,Groups!AJ:AJ)="Photonozoa",_xlfn.XLOOKUP(_xlfn.XLOOKUP(B256,'Base stats'!B:B,'Base stats'!E:E),Groups!A:A,Groups!AJ:AJ)="Mammal")),Animals!AO256*1.75*IF(AW256="true",1.5,1),IF(AO256&lt;0.5,Animals!AO256*0.5,Animals!AO256)),IF(AO256&gt;2,0.5,IF(AO256&gt;0.5,0.25,0.1))),"No")</f>
        <v>No</v>
      </c>
      <c r="BL256" s="2">
        <f t="shared" si="24"/>
        <v>1</v>
      </c>
      <c r="BM256" s="25" t="str">
        <f>IF(_xlfn.XLOOKUP(B256,'Base stats'!B:B,'Base stats'!AN:AN)="Standard","No",MROUND((_xlfn.XLOOKUP(B256,'Base stats'!B:B,'Base stats'!AN:AN)/3.6)/I256,0.1))</f>
        <v>No</v>
      </c>
      <c r="BN256" s="25" t="str">
        <f t="shared" si="25"/>
        <v>false</v>
      </c>
      <c r="BO256" s="25" t="str">
        <f>IF(AND(OR(_xlfn.XLOOKUP(B256,'Base stats'!B:B,'Base stats'!Y:Y)="Carnivore",_xlfn.XLOOKUP(B256,'Base stats'!B:B,'Base stats'!Y:Y)="Omnivore",_xlfn.XLOOKUP(B256,'Base stats'!B:B,'Base stats'!Y:Y)="OmnivoreRough"),_xlfn.XLOOKUP(_xlfn.XLOOKUP(B256,'Base stats'!B:B,'Base stats'!E:E),Groups!A:A,Groups!AT:AT)=1),"true","false")</f>
        <v>false</v>
      </c>
      <c r="BP256" s="25" t="str" cm="1">
        <f t="array" ref="BP256">IF(
  _xlfn.TEXTJOIN(", ",TRUE,
    IF(AND(BJ256="true",AO256&gt;0.5,BI256&lt;&gt;"None"),"AttackTarget",""),
    IF(AND(_xlfn.XLOOKUP(_xlfn.XLOOKUP(B256,'Base stats'!B:B,'Base stats'!E:E),Groups!A:A,Groups!AJ:AJ="Mammal"),OR(_xlfn.XLOOKUP(B256,'Base stats'!B:B,'Base stats'!Y:Y)="Omnivore",_xlfn.XLOOKUP(B256,'Base stats'!B:B,'Base stats'!Y:Y)="OmnivoreRough")),"Forage",""),
    IF(BG256&lt;=36,"Comfort",""),
    IF(_xlfn.XLOOKUP(B256,'Base stats'!B:B,'Base stats'!AE:AE)&lt;&gt;"No",_xlfn.XLOOKUP(B256,'Base stats'!B:B,'Base stats'!AE:AE),"")
  ) = "",
  "No",
  _xlfn.TEXTJOIN(", ",TRUE,
    IF(AND(BJ256="true",AO256&gt;0.5,BI256&lt;&gt;"None"),"AttackTarget",""),
    IF(AND(_xlfn.XLOOKUP(_xlfn.XLOOKUP(B256,'Base stats'!B:B,'Base stats'!E:E),Groups!A:A,Groups!AJ:AJ="Mammal"),OR(_xlfn.XLOOKUP(B256,'Base stats'!B:B,'Base stats'!Y:Y)="Omnivore",_xlfn.XLOOKUP(B256,'Base stats'!B:B,'Base stats'!Y:Y)="OmnivoreRough")),"Forage",""),
    IF(BG256&lt;=36,"Comfort",""),
    IF(_xlfn.XLOOKUP(B256,'Base stats'!B:B,'Base stats'!AE:AE)&lt;&gt;"No",_xlfn.XLOOKUP(B256,'Base stats'!B:B,'Base stats'!AE:AE),"")
  )
)</f>
        <v>No</v>
      </c>
      <c r="BQ256" s="25" t="str">
        <f>IF(
   AND(
      'Base stats'!AN256="Standard",_xlfn.XLOOKUP(_xlfn.XLOOKUP(B256,'Base stats'!B:B,'Base stats'!E:E),Groups!A:A,Groups!AU:AU)=0,
      OR(
      BO256="True"
      )
   ),
   10,
   IF(
       OR(BM256&lt;&gt;"No",_xlfn.XLOOKUP(_xlfn.XLOOKUP(B256,'Base stats'!B:B,'Base stats'!E:E),Groups!A:A,Groups!AU:AU)=1),
      1,
      "No"
   )
)</f>
        <v>No</v>
      </c>
      <c r="BR256" s="9">
        <f>MROUND((1 + ((0.2*IF(OR(Q256="No",R256="No",R256=0),0,Q256/R256)
+IF(OR(V256="No",S256="No",T256="No"),0,S256/T256*(LEN(V256)-LEN(SUBSTITUTE(V256,",",""))+1))
+IF(OR(X256="No",Y256="No"),0,X256/Y256)
+IF(OR(AD256="No",AE256="No"),0,AD256/AE256)
+IF(OR(AL256="No",AI256="No",AJ256="No"),0,AI256/AJ256*(LEN(AL256)-LEN(SUBSTITUTE(AL256,",",""))+1))
)/(0.2*IF(OR(Q256="No",R256="No",R256=0),0,1)
+IF(OR(V256="No",S256="No",T256="No"),0,LEN(V256)-LEN(SUBSTITUTE(V256,",",""))+1)
+IF(OR(X256="No",Y256="No"),0,1)
+IF(OR(AD256="No",AE256="No"),0,1)
+IF(OR(AL256="No",AI256="No",AJ256="No"),0,LEN(AL256)-LEN(SUBSTITUTE(AL256,",",""))+1))*62%)* 2)*(1 + (AP256 / (IF(_xlfn.XLOOKUP(_xlfn.XLOOKUP(B256,'Base stats'!B:B,'Base stats'!E:E),Groups!A:A,Groups!AJ:AJ)="Photonozoa",0.3,1)) + _xlfn.XLOOKUP(B256,'Base stats'!B:B,'Base stats'!AV:AV) * 1.8) * 2) * 2.5 + 10 + I256 * 2,5)+IF(_xlfn.XLOOKUP(B256,'Base stats'!B:B,'Base stats'!AK:AK)=1,50,0)</f>
        <v>25</v>
      </c>
      <c r="BS256" s="8">
        <f t="shared" si="26"/>
        <v>0.05</v>
      </c>
      <c r="BT256" s="8" t="str">
        <f>_xlfn.XLOOKUP(B256,'Base stats'!B:B,'Base stats'!AF:AF)</f>
        <v>2~6</v>
      </c>
      <c r="BU256" s="2" t="str">
        <f>IF(AND(J256&lt;=0.95,OR(_xlfn.XLOOKUP(B256,'Base stats'!B:B,'Base stats'!AK:AK)=1,_xlfn.XLOOKUP(B256,'Base stats'!B:B,'Base stats'!Y:Y)="Carnivore",_xlfn.XLOOKUP(B256,'Base stats'!B:B,'Base stats'!Y:Y)="Omnivore",BE256&gt;0.1)),"true","false")</f>
        <v>false</v>
      </c>
      <c r="BV256" s="2" t="str">
        <f>IF(_xlfn.XLOOKUP(B256,'Base stats'!B:B,'Base stats'!AI:AI)=1,"true","false")</f>
        <v>false</v>
      </c>
      <c r="BW256" s="25" t="str">
        <f>IF(E256="BaseInsect","AnimalInsect",
IF(J256&gt;0.95,"AnimalExotic",
_xlfn.TEXTJOIN(", ",TRUE,
IF(OR(_xlfn.XLOOKUP(B256,'Base stats'!B:B,'Base stats'!AM:AM)=1,AND(_xlfn.XLOOKUP(B256,'Base stats'!B:B,'Base stats'!O:O)=0,_xlfn.XLOOKUP(_xlfn.XLOOKUP(B256,'Base stats'!B:B,'Base stats'!E:E),Groups!A:A,Groups!B:B)&gt;0)),"AnimalUncommon","AnimalCommon"),
IF(AND(_xlfn.XLOOKUP(B256,'Base stats'!B:B,'Base stats'!O:O)=2,_xlfn.XLOOKUP(_xlfn.XLOOKUP(B256,'Base stats'!B:B,'Base stats'!E:E),Groups!A:A,Groups!D:D)=0),"AnimalPet",IF(AND(_xlfn.XLOOKUP(B256,'Base stats'!B:B,'Base stats'!O:O)&lt;&gt;0,_xlfn.XLOOKUP(_xlfn.XLOOKUP(B256,'Base stats'!B:B,'Base stats'!E:E),Groups!A:A,Groups!D:D)&lt;&gt;0),"AnimalFarm","")),
IF(OR(_xlfn.XLOOKUP(B256,'Base stats'!B:B,'Base stats'!AK:AK)=1,AND(BI256&lt;&gt;"None",BR256&gt;=60),ISNUMBER(SEARCH("Attack target",BP256))),"AnimalFighter","")
)))</f>
        <v>AnimalUncommon</v>
      </c>
      <c r="BX256" s="25" t="str">
        <f>IF(G256="None",TRIM(
SUBSTITUTE(
IF(COUNTIF(Biomes!B$2:B$259,"="&amp;$C256)&gt;0,Biomes!B$1&amp;", ","")&amp;
IF(COUNTIF(Biomes!C$2:C$259,"="&amp;$C256)&gt;0,Biomes!C$1&amp;", ","")&amp;
IF(COUNTIF(Biomes!D$2:D$259,"="&amp;$C256)&gt;0,Biomes!D$1&amp;", ","")&amp;
IF(COUNTIF(Biomes!F$2:F$259,"="&amp;$C256)&gt;0,Biomes!F$1&amp;", ","")&amp;
IF(COUNTIF(Biomes!G$2:G$259,"="&amp;$C256)&gt;0,Biomes!G$1&amp;", ","")&amp;
IF(COUNTIF(Biomes!H$2:H$259,"="&amp;$C256)&gt;0,Biomes!H$1&amp;", ","")&amp;
IF(COUNTIF(Biomes!I$2:I$259,"="&amp;$C256)&gt;0,Biomes!I$1&amp;", ","")&amp;
IF(COUNTIF(Biomes!J$2:J$259,"="&amp;$C256)&gt;0,Biomes!J$1&amp;", ","")&amp;
IF(COUNTIF(Biomes!M$2:M$259,"="&amp;$C256)&gt;0,Biomes!M$1&amp;", ","")&amp;
IF(COUNTIF(Biomes!N$2:N$259,"="&amp;$C256)&gt;0,Biomes!N$1&amp;", ","")&amp;
IF(COUNTIF(Biomes!O$2:O$259,"="&amp;$C256)&gt;0,Biomes!O$1&amp;", ","")&amp;
IF(COUNTIF(Biomes!P$2:P$259,"="&amp;$C256)&gt;0,Biomes!P$1&amp;", ","")&amp;
IF(COUNTIF(Biomes!K$2:K$259,"="&amp;$C256)&gt;0,Biomes!K$1&amp;", ","")&amp;
IF(COUNTIF(Biomes!Q$3:Q$259,"="&amp;$C256)&gt;0,Biomes!Q$1&amp;", ","")&amp;
IF(COUNTIF(Biomes!L$2:L$259,"="&amp;$C256)&gt;0,Biomes!L$1&amp;", ","")&amp;
IF(COUNTIF(Biomes!E$2:E$259,"="&amp;$C256)&gt;0,Biomes!E$1&amp;", ","")&amp;IF(COUNTIF(Biomes!S$2:S$259,"="&amp;$C256)&gt;0,Biomes!S$1&amp;", ","")&amp;
IF(COUNTIF(Biomes!R$2:R$259,"="&amp;$C256)&gt;0,Biomes!R$1&amp;", ",""),", ","")
),_xlfn.XLOOKUP(B256,B:B,BX:BX))</f>
        <v>TemperateForest TemperateSwamp AridShrubland Desert TropicalRainforest TropicalSwamp Grasslands Glowforest LavaField Scarlands</v>
      </c>
      <c r="BY256" s="25" t="str">
        <f>IF(_xlfn.XLOOKUP(B256,'Base stats'!B:B,'Base stats'!AJ:AJ)=1,"true","false")</f>
        <v>false</v>
      </c>
      <c r="BZ256" s="25">
        <f>IF(_xlfn.XLOOKUP(B256,'Base stats'!B:B,'Base stats'!N:N)=1,"No",MAX(0.001,MIN(MROUND(IF(AND(BJ256="True",CC256="False"),POWER(10,3.47*LOG10(_xlfn.XLOOKUP(B256,'Base stats'!B:B,'Base stats'!C:C)*1000)^-0.96),POWER(10,4.15*LOG10(_xlfn.XLOOKUP(B256,'Base stats'!B:B,'Base stats'!C:C)*1000)^-0.73))*IF(_xlfn.XLOOKUP(B256,'Base stats'!B:B,'Base stats'!AK:AK)=1,0.5,1)*IF(_xlfn.XLOOKUP(B256,'Base stats'!B:B,'Base stats'!AM:AM)=1,0.1,1)/100,IF(_xlfn.XLOOKUP(B256,'Base stats'!B:B,'Base stats'!AM:AM)=1,0.001,0.025)),0.5)))</f>
        <v>0.10200000000000001</v>
      </c>
      <c r="CA256" s="25" t="str">
        <f>IF(P256="Standard","No",MAX(0.001,MIN(MROUND(IF(AND(BJ256="True",CC256="False"),POWER(10,3.47*LOG10(_xlfn.XLOOKUP(B256,'Base stats'!B:B,'Base stats'!C:C)*1000)^-0.96),POWER(10,4.15*LOG10(_xlfn.XLOOKUP(B256,'Base stats'!B:B,'Base stats'!C:C)*1000)^-0.73))*IF(_xlfn.XLOOKUP(B256,'Base stats'!B:B,'Base stats'!AM:AM)=1,0.1,1)*_xlfn.XLOOKUP(B256,'Base stats'!B:B,'Base stats'!R:R)/100,IF(_xlfn.XLOOKUP(B256,'Base stats'!B:B,'Base stats'!AM:AM)=1,0.001,0.025)),0.5)))</f>
        <v>No</v>
      </c>
      <c r="CB256" s="25" t="str">
        <f>IF(_xlfn.XLOOKUP(_xlfn.XLOOKUP(B256,'Base stats'!B:B,'Base stats'!E:E),Groups!A:A,Groups!AJ:AJ)="Mammal","True","False")</f>
        <v>False</v>
      </c>
      <c r="CC256" s="25" t="str">
        <f>IF(OR(_xlfn.XLOOKUP(_xlfn.XLOOKUP(B256,'Base stats'!B:B,'Base stats'!E:E),Groups!A:A,Groups!AJ:AJ)="Reptile",_xlfn.XLOOKUP(_xlfn.XLOOKUP(B256,'Base stats'!B:B,'Base stats'!E:E),Groups!A:A,Groups!AJ:AJ)="Amphibian",_xlfn.XLOOKUP(_xlfn.XLOOKUP(B256,'Base stats'!B:B,'Base stats'!E:E),Groups!A:A,Groups!AJ:AJ)="Invertebrate"),"True","False")</f>
        <v>True</v>
      </c>
      <c r="CD256" s="25" t="str">
        <f t="shared" si="27"/>
        <v>False</v>
      </c>
      <c r="CE256" s="25" t="str">
        <f>IF(_xlfn.XLOOKUP(_xlfn.XLOOKUP(B256,'Base stats'!B:B,'Base stats'!E:E),Groups!A:A,Groups!AX:AX),"True","False")</f>
        <v>False</v>
      </c>
      <c r="CF256" s="25" t="str">
        <f>IF(_xlfn.XLOOKUP(_xlfn.XLOOKUP(B256,'Base stats'!B:B,'Base stats'!E:E),Groups!A:A,Groups!AY:AY),"True","False")</f>
        <v>False</v>
      </c>
      <c r="CG256" s="25" t="str">
        <f>IF(_xlfn.XLOOKUP(_xlfn.XLOOKUP(B256,'Base stats'!B:B,'Base stats'!E:E),Groups!A:A,Groups!AW:AW),"True","False")</f>
        <v>False</v>
      </c>
      <c r="CH256" s="25" t="str">
        <f>IF(
OR(
_xlfn.XLOOKUP(_xlfn.XLOOKUP(B256,'Base stats'!B:B,'Base stats'!E:E),Groups!A:A,Groups!AZ:AZ)=0,
AND(
_xlfn.XLOOKUP(B256,'Base stats'!B:B,'Base stats'!Y:Y)&lt;&gt;"Carnivore",
_xlfn.XLOOKUP(B256,'Base stats'!B:B,'Base stats'!Y:Y)&lt;&gt;"Omnivore",
_xlfn.XLOOKUP(B256,'Base stats'!B:B,'Base stats'!Y:Y)&lt;&gt;"OmnivoreRough"
)
),
"No",
IF(
_xlfn.XLOOKUP(_xlfn.XLOOKUP(B256,'Base stats'!B:B,'Base stats'!E:E),Groups!A:A,Groups!AZ:AZ)=1,
"Flesh",
IF(
_xlfn.XLOOKUP(_xlfn.XLOOKUP(B256,'Base stats'!B:B,'Base stats'!E:E),Groups!A:A,Groups!AZ:AZ)=2,
"Bone",
""
)
)
)</f>
        <v>No</v>
      </c>
      <c r="CI256" s="25" t="str">
        <f>IF(_xlfn.XLOOKUP(_xlfn.XLOOKUP(B256,'Base stats'!B:B,'Base stats'!E:E),Groups!A:A,Groups!BB:BB),"True","False")</f>
        <v>False</v>
      </c>
      <c r="CJ256" s="25" t="str">
        <f>IF(_xlfn.XLOOKUP(_xlfn.XLOOKUP(B256,'Base stats'!B:B,'Base stats'!E:E),Groups!A:A,Groups!BA:BA),"True","False")</f>
        <v>False</v>
      </c>
    </row>
    <row r="257" spans="1:88" ht="16.5" thickTop="1" thickBot="1" x14ac:dyDescent="0.3">
      <c r="A257" s="26" t="s">
        <v>1420</v>
      </c>
      <c r="B257" s="6" t="str">
        <f>_xlfn.XLOOKUP(A257,'Base stats'!A:A,'Base stats'!B:B)</f>
        <v>Araneodraco arenosus</v>
      </c>
      <c r="C257" s="28" t="s">
        <v>1421</v>
      </c>
      <c r="D257" s="28" t="s">
        <v>1341</v>
      </c>
      <c r="E257" s="28" t="s">
        <v>1747</v>
      </c>
      <c r="F257" s="28" t="s">
        <v>673</v>
      </c>
      <c r="G257" s="28" t="s">
        <v>673</v>
      </c>
      <c r="H257" s="2">
        <f>MROUND((
  (IF(AND(_xlfn.XLOOKUP(B257,'Base stats'!B:B,'Base stats'!AL:AL)=0,BI257="None",_xlfn.XLOOKUP(_xlfn.XLOOKUP(B257,'Base stats'!B:B,'Base stats'!E:E),Groups!A:A,Groups!B:B)=0), (18 + BR257 * 2.7) * 0.5,
    IF(AND(_xlfn.XLOOKUP(B257,'Base stats'!B:B,'Base stats'!AL:AL)=0,OR(AO257&lt;0.55,AND(BI257="Intermediate",_xlfn.XLOOKUP(_xlfn.XLOOKUP(B257,'Base stats'!B:B,'Base stats'!E:E),Groups!A:A,Groups!B:B)&lt;2))), (18 + BR257 * 2.7),
      IF(OR(BI257="Advanced",_xlfn.XLOOKUP(B257,'Base stats'!B:B,'Base stats'!AL:AL)=1,_xlfn.XLOOKUP(_xlfn.XLOOKUP(B257,'Base stats'!B:B,'Base stats'!E:E),Groups!A:A,Groups!B:B)=2), (18 + BR257 * 2.7) + 250, (18 + BR257 * 2.7))
    )
  ))
  + AO257 * 80
  + IF(COUNTIF(EggMilk!K$2:K$998, A257) &gt; 0, 125, 0)
  + IF(COUNTIF(EggMilk!P$2:P$998, A257) &gt; 0, 90, 0)
  + IF(COUNTIF(EggMilk!A$2:A$998, A257) &gt; 0, 90, 0)
)
* (0.8 + 0.4 * J257)
* 0.75,25)</f>
        <v>750</v>
      </c>
      <c r="I257" s="2">
        <f>MROUND(ROUNDDOWN(_xlfn.XLOOKUP(B257,'Base stats'!B:B,'Base stats'!L:L)/3.6/(23.3/11),1),0.5)</f>
        <v>4</v>
      </c>
      <c r="J257" s="2">
        <f>IF(OR(_xlfn.XLOOKUP(B257,'Base stats'!B:B,'Base stats'!AB:AB)=1,_xlfn.XLOOKUP(_xlfn.XLOOKUP(B257,'Base stats'!B:B,'Base stats'!E:E),Groups!A:A,Groups!C:C)="Untamable"),1,IF(_xlfn.XLOOKUP(B257,'Base stats'!B:B,'Base stats'!AL:AL)=1,0.99,MIN(MROUND((1-0.6282*EXP(-0.459*AO257))*_xlfn.XLOOKUP(_xlfn.XLOOKUP(B257,'Base stats'!B:B,'Base stats'!E:E),Groups!A:A,Groups!C:C)*IF(_xlfn.XLOOKUP(B257,'Base stats'!B:B,'Base stats'!O:O)=1,0.5,IF(_xlfn.XLOOKUP(B257,'Base stats'!B:B,'Base stats'!O:O)=2,0,1)),0.05),IF(AO257&gt;3.5,0.985,0.95))))</f>
        <v>0.85000000000000009</v>
      </c>
      <c r="K257" s="2">
        <f>ROUNDUP(AO257*_xlfn.XLOOKUP(_xlfn.XLOOKUP(B257,'Base stats'!B:B,'Base stats'!E:E),Groups!A:A,Groups!E:E),0)</f>
        <v>3</v>
      </c>
      <c r="L257" s="2">
        <f>IF(OR(_xlfn.XLOOKUP(_xlfn.XLOOKUP(B257,'Base stats'!B:B,'Base stats'!E:E),Groups!A:A,Groups!F:F)=2,ISNUMBER(SEARCH("SeaIce",BX257)),ISNUMBER(SEARCH("IceSheet",BX257))),-50,IF(OR(ISNUMBER(SEARCH("GlacialPlain",BX257)),ISNUMBER(SEARCH("Tundra",BX257))),-40,IF(OR(ISNUMBER(SEARCH("Alpine",BX257)),ISNUMBER(SEARCH("BorealForest",BX257)),ISNUMBER(SEARCH("ColdBog",BX257))),-30,IF(OR(ISNUMBER(SEARCH("TemperateForest",BX257)),ISNUMBER(SEARCH("TemperateSwamp",BX257))),-20,IF(_xlfn.XLOOKUP(_xlfn.XLOOKUP(B257,'Base stats'!B:B,'Base stats'!E:E),Groups!A:A,Groups!F:F)=1,-15,IF(OR(ISNUMBER(SEARCH("Desert",BX257)),ISNUMBER(SEARCH("ExtremeDesert",BX257))),-10,IF(OR(ISNUMBER(SEARCH("Grasslands",BX257)),ISNUMBER(SEARCH("TropicalRainforest",BX257)),ISNUMBER(SEARCH("TropicalSwamp",BX257))),10,0)))))))-IF(CC257="False",MIN(IFERROR(MAX(MROUND(LOG10(_xlfn.XLOOKUP(B257,'Base stats'!B:B,'Base stats'!C:C)^(2/3))*10,5),5),5),30))-_xlfn.XLOOKUP(B257,'Base stats'!B:B,'Base stats'!P:P)+IF(CC257="True",5,0)</f>
        <v>-5</v>
      </c>
      <c r="M257" s="2">
        <f>IF(OR(_xlfn.XLOOKUP(_xlfn.XLOOKUP(B257,'Base stats'!B:B,'Base stats'!E:E),Groups!A:A,Groups!G:G)=2,ISNUMBER(SEARCH("Desert",BX257)),ISNUMBER(SEARCH("ExtremeDesert",BX257)),ISNUMBER(SEARCH("LavaField",BX257))),50,IF(ISNUMBER(SEARCH("Grasslands",BX257)),45,IF(OR(_xlfn.XLOOKUP(_xlfn.XLOOKUP(B257,'Base stats'!B:B,'Base stats'!E:E),Groups!A:A,Groups!G:G)=1,ISNUMBER(SEARCH("TropicalRainforest",BX257)),ISNUMBER(SEARCH("TropicalSwamp",BX257))),40,IF(OR(ISNUMBER(SEARCH("TemperateForest",BX257)),ISNUMBER(SEARCH("TemperateSwamp",BX257))),35,IF(OR(ISNUMBER(SEARCH("Alpine",BX257)),ISNUMBER(SEARCH("BorealForest",BX257)),ISNUMBER(SEARCH("ColdBog",BX257))),30,IF(ISNUMBER(OR(ISNUMBER(SEARCH("GlacialPlain",BX257)),SEARCH("Tundra",BX257))),25,IF(OR(ISNUMBER(SEARCH("SeaIce",BX257)),ISNUMBER(SEARCH("IceSheet",BX257)),ISNUMBER(SEARCH("TropicalSwamp",BX257))),10,35)))))))+_xlfn.XLOOKUP(B257,'Base stats'!B:B,'Base stats'!Q:Q)</f>
        <v>50</v>
      </c>
      <c r="N257" s="8">
        <f>IF(
_xlfn.XLOOKUP(
_xlfn.XLOOKUP(B257,'Base stats'!B:B,'Base stats'!E:E),
Groups!A:A,
Groups!L:L
)=1,
MIN(
MROUND(
IF(
_xlfn.XLOOKUP(B257,'Animals CE'!B:B,'Animals CE'!Z:Z)&lt;=1.5,
_xlfn.XLOOKUP(B257,'Animals CE'!B:B,'Animals CE'!Z:Z)/2+0.05,
0.8+
(_xlfn.XLOOKUP(B257,'Animals CE'!B:B,'Animals CE'!Z:Z)-1.5)
*0.02
),
0.05
),
200%
),
"No"
)</f>
        <v>0.8</v>
      </c>
      <c r="O257" s="8">
        <f>IF(
_xlfn.XLOOKUP(
_xlfn.XLOOKUP(B257,'Base stats'!B:B,'Base stats'!E:E),
Groups!A:A,
Groups!L:L
)=1,
MIN(
MROUND(
IF(
_xlfn.XLOOKUP(B257,'Animals CE'!B:B,'Animals CE'!AA:AA)&lt;=1.5,
_xlfn.XLOOKUP(B257,'Animals CE'!B:B,'Animals CE'!AA:AA)/2+0.05,
0.8+
(_xlfn.XLOOKUP(B257,'Animals CE'!B:B,'Animals CE'!AA:AA)-1.5)
*0.02
),
0.05
),
200%
),
"No"
)</f>
        <v>0.15000000000000002</v>
      </c>
      <c r="P257" s="2" t="str">
        <f>_xlfn.XLOOKUP(B257,'Base stats'!B:B,'Base stats'!R:R)</f>
        <v>Standard</v>
      </c>
      <c r="Q257" s="13">
        <f>MROUND((LOG10(_xlfn.XLOOKUP(B257,'Base stats'!B:B,'Base stats'!AR:AR))*(AO257^0.5)+(_xlfn.XLOOKUP(B257,'Base stats'!B:B,'Base stats'!AR:AR)/1000)^(2/3)+_xlfn.XLOOKUP(B257,'Base stats'!B:B,'Base stats'!BA:BA)/2)+0.5,0.5)</f>
        <v>13</v>
      </c>
      <c r="R257" s="7">
        <f>IF(Q257="No","No",MAX(1,MROUND(_xlfn.XLOOKUP(B257,'Base stats'!B:B,'Base stats'!C:C)^0.165,0.05)))</f>
        <v>2.5500000000000003</v>
      </c>
      <c r="S257" s="13" t="str">
        <f>IF(_xlfn.XLOOKUP(_xlfn.XLOOKUP(B257,'Base stats'!B:B,'Base stats'!E:E),Groups!A:A,Groups!P:P)=0,"No",MROUND((LOG10(_xlfn.XLOOKUP(B257,'Base stats'!B:B,'Base stats'!AS:AS))*(AO257^0.5)+(_xlfn.XLOOKUP(B257,'Base stats'!B:B,'Base stats'!AS:AS)/1000)^(2/3)+_xlfn.XLOOKUP(B257,'Base stats'!B:B,'Base stats'!BA:BA))+_xlfn.XLOOKUP(B257,'Base stats'!B:B,'Base stats'!AY:AY)+0.5,0.5))</f>
        <v>No</v>
      </c>
      <c r="T257" s="7" t="str">
        <f>IF(S257="No","No",MAX(_xlfn.XLOOKUP(_xlfn.XLOOKUP(B257,'Base stats'!B:B,'Base stats'!E:E),Groups!A:A,Groups!Q:Q),MROUND(_xlfn.XLOOKUP(_xlfn.XLOOKUP(B257,'Base stats'!B:B,'Base stats'!E:E),Groups!A:A,Groups!Q:Q)*_xlfn.XLOOKUP(B257,'Base stats'!B:B,'Base stats'!C:C)^0.165,0.05)))</f>
        <v>No</v>
      </c>
      <c r="U257" s="7" t="str">
        <f>IF(S257="No","No",_xlfn.XLOOKUP(_xlfn.XLOOKUP(B257,'Base stats'!B:B,'Base stats'!E:E),Groups!A:A,Groups!R:R))</f>
        <v>No</v>
      </c>
      <c r="V257" s="7" t="str">
        <f>IF(S257="No","No",_xlfn.XLOOKUP(_xlfn.XLOOKUP(B257,'Base stats'!B:B,'Base stats'!E:E),Groups!A:A,Groups!S:S))</f>
        <v>No</v>
      </c>
      <c r="W257" s="7" t="str">
        <f>IF(S257="No","No",_xlfn.XLOOKUP(_xlfn.XLOOKUP(B257,'Base stats'!B:B,'Base stats'!E:E),Groups!A:A,Groups!T:T))</f>
        <v>No</v>
      </c>
      <c r="X257" s="13" t="str">
        <f>IF(_xlfn.XLOOKUP(B257,'Base stats'!B:B,'Base stats'!W:W)="No","No",MROUND((LOG10(_xlfn.XLOOKUP(B257,'Base stats'!B:B,'Base stats'!AU:AU))*(AO257^0.5)+(_xlfn.XLOOKUP(B257,'Base stats'!B:B,'Base stats'!AU:AU)/1000)^(2/3)+_xlfn.XLOOKUP(B257,'Base stats'!B:B,'Base stats'!AZ:AZ))+0.5+IF(_xlfn.XLOOKUP(_xlfn.XLOOKUP(B257,'Base stats'!B:B,'Base stats'!E:E),Groups!A:A,Groups!U:U)&lt;&gt;3,_xlfn.XLOOKUP(B257,'Base stats'!B:B,'Base stats'!BA:BA),0),0.5))</f>
        <v>No</v>
      </c>
      <c r="Y257" s="7" t="str">
        <f>IF(X257="No","No",MAX(_xlfn.XLOOKUP(_xlfn.XLOOKUP(B257,'Base stats'!B:B,'Base stats'!E:E),Groups!A:A,Groups!V:V),MROUND(_xlfn.XLOOKUP(_xlfn.XLOOKUP(B257,'Base stats'!B:B,'Base stats'!E:E),Groups!A:A,Groups!V:V)*_xlfn.XLOOKUP(B257,'Base stats'!B:B,'Base stats'!C:C)^0.165,0.05)))</f>
        <v>No</v>
      </c>
      <c r="Z257" s="7" t="str">
        <f>IF(X257="No","No",_xlfn.XLOOKUP(_xlfn.XLOOKUP(B257,'Base stats'!B:B,'Base stats'!E:E),Groups!A:A,Groups!W:W))</f>
        <v>No</v>
      </c>
      <c r="AA257" s="7" t="str">
        <f>IF(X257="No","No",_xlfn.XLOOKUP(_xlfn.XLOOKUP(B257,'Base stats'!B:B,'Base stats'!E:E),Groups!A:A,Groups!X:X))</f>
        <v>No</v>
      </c>
      <c r="AB257" s="7" t="str">
        <f>IF(X257="No","No",_xlfn.XLOOKUP(_xlfn.XLOOKUP(B257,'Base stats'!B:B,'Base stats'!E:E),Groups!A:A,Groups!Y:Y))</f>
        <v>No</v>
      </c>
      <c r="AC257" s="7" t="str">
        <f>_xlfn.XLOOKUP(Animals!B257,'Base stats'!B:B,'Base stats'!X:X)</f>
        <v>False</v>
      </c>
      <c r="AD257" s="13">
        <f>IF(_xlfn.XLOOKUP(B257,'Base stats'!B:B,'Base stats'!AT:AT)="No","No",MROUND((LOG10(_xlfn.XLOOKUP(B257,'Base stats'!B:B,'Base stats'!AT:AT))*(AO257^0.75)+(_xlfn.XLOOKUP(B257,'Base stats'!B:B,'Base stats'!AT:AT)/1000)^(2/3)+_xlfn.XLOOKUP(B257,'Base stats'!B:B,'Base stats'!AX:AX)+_xlfn.XLOOKUP(B257,'Base stats'!B:B,'Base stats'!BA:BA))+0.5,0.5))</f>
        <v>32.5</v>
      </c>
      <c r="AE257" s="7">
        <f>IF(AD257="No","No",MAX(_xlfn.XLOOKUP(_xlfn.XLOOKUP(B257,'Base stats'!B:B,'Base stats'!E:E),Groups!A:A,Groups!Z:Z),MROUND(_xlfn.XLOOKUP(_xlfn.XLOOKUP(B257,'Base stats'!B:B,'Base stats'!E:E),Groups!A:A,Groups!Z:Z)*_xlfn.XLOOKUP(B257,'Base stats'!B:B,'Base stats'!C:C)^0.165,0.05)))</f>
        <v>3.1</v>
      </c>
      <c r="AF257" s="7" t="str">
        <f>IF(AD257="No","No",_xlfn.XLOOKUP(_xlfn.XLOOKUP(B257,'Base stats'!B:B,'Base stats'!E:E),Groups!A:A,Groups!AA:AA))</f>
        <v>Mouth</v>
      </c>
      <c r="AG257" s="7" t="str">
        <f>IF(AD257="No","No",_xlfn.XLOOKUP(_xlfn.XLOOKUP(B257,'Base stats'!B:B,'Base stats'!E:E),Groups!A:A,Groups!AB:AB))</f>
        <v>chelicerae</v>
      </c>
      <c r="AH257" s="7" t="str">
        <f>IF(AD257="No","No",_xlfn.XLOOKUP(_xlfn.XLOOKUP(B257,'Base stats'!B:B,'Base stats'!E:E),Groups!A:A,Groups!AC:AC))</f>
        <v>ToxicBite</v>
      </c>
      <c r="AI257" s="13" t="str">
        <f>IF(_xlfn.XLOOKUP(_xlfn.XLOOKUP(B257,'Base stats'!B:B,'Base stats'!E:E),Groups!A:A,Groups!AD:AD)=0,"No",MROUND((LOG10(_xlfn.XLOOKUP(B257,'Base stats'!B:B,'Base stats'!AS:AS))*(AO257^0.75)+(_xlfn.XLOOKUP(B257,'Base stats'!B:B,'Base stats'!AS:AS)/1000)^(2/3)+_xlfn.XLOOKUP(B257,'Base stats'!B:B,'Base stats'!AY:AY)+_xlfn.XLOOKUP(B257,'Base stats'!B:B,'Base stats'!BA:BA))+0.5,0.5))</f>
        <v>No</v>
      </c>
      <c r="AJ257" s="7" t="str">
        <f>IF(AI257="No","No",MAX(_xlfn.XLOOKUP(_xlfn.XLOOKUP(B257,'Base stats'!B:B,'Base stats'!E:E),Groups!A:A,Groups!AE:AE),MROUND(_xlfn.XLOOKUP(_xlfn.XLOOKUP(B257,'Base stats'!B:B,'Base stats'!E:E),Groups!A:A,Groups!AE:AE)*IF(_xlfn.XLOOKUP(_xlfn.XLOOKUP(B257,'Base stats'!B:B,'Base stats'!E:E),Groups!A:A,Groups!AJ:AJ)="Photonozoa",0.6,1)*_xlfn.XLOOKUP(B257,'Base stats'!B:B,'Base stats'!C:C)^0.165,0.05)))</f>
        <v>No</v>
      </c>
      <c r="AK257" s="7" t="str">
        <f>IF(AI257="No","No",_xlfn.XLOOKUP(_xlfn.XLOOKUP(B257,'Base stats'!B:B,'Base stats'!E:E),Groups!A:A,Groups!AF:AF))</f>
        <v>No</v>
      </c>
      <c r="AL257" s="7" t="str">
        <f>IF(AI257="No","No",_xlfn.XLOOKUP(_xlfn.XLOOKUP(B257,'Base stats'!B:B,'Base stats'!E:E),Groups!A:A,Groups!AG:AG))</f>
        <v>No</v>
      </c>
      <c r="AM257" s="7" t="str">
        <f>IF(AI257="No","No",_xlfn.XLOOKUP(_xlfn.XLOOKUP(B257,'Base stats'!B:B,'Base stats'!E:E),Groups!A:A,Groups!AH:AH))</f>
        <v>No</v>
      </c>
      <c r="AN257" s="2">
        <f t="shared" si="21"/>
        <v>25</v>
      </c>
      <c r="AO257" s="2">
        <f>MROUND(IF(AND(_xlfn.XLOOKUP(B257,'Base stats'!B:B,'Base stats'!C:C)&gt;=0.5,_xlfn.XLOOKUP(B257,'Base stats'!B:B,'Base stats'!C:C)&lt;=0.8),
IF(_xlfn.XLOOKUP(B257,'Base stats'!B:B,'Base stats'!C:C)&lt;0.1,0.05,IF(_xlfn.XLOOKUP(B257,'Base stats'!B:B,'Base stats'!C:C)&lt;=70,(_xlfn.XLOOKUP(B257,'Base stats'!B:B,'Base stats'!C:C)/70)^0.426489913056526,IF(_xlfn.XLOOKUP(B257,'Base stats'!B:B,'Base stats'!C:C)&lt;=400,(_xlfn.XLOOKUP(B257,'Base stats'!B:B,'Base stats'!C:C)/70)^0.572811455315093,IF(_xlfn.XLOOKUP(B257,'Base stats'!B:B,'Base stats'!C:C)&lt;=2000,2.71391647193063*(_xlfn.XLOOKUP(B257,'Base stats'!B:B,'Base stats'!C:C)/400)^0.252459582904293,3.74314280240376*(_xlfn.XLOOKUP(B257,'Base stats'!B:B,'Base stats'!C:C)/2000)^0.357012633876913)))),
IF(_xlfn.XLOOKUP(B257,'Base stats'!B:B,'Base stats'!C:C)&lt;0.1,0.05,IF(_xlfn.XLOOKUP(B257,'Base stats'!B:B,'Base stats'!C:C)&lt;0.4,0.1,IF(_xlfn.XLOOKUP(B257,'Base stats'!B:B,'Base stats'!C:C)&lt;=70,(_xlfn.XLOOKUP(B257,'Base stats'!B:B,'Base stats'!C:C)/70)^0.445823913056526,IF(_xlfn.XLOOKUP(B257,'Base stats'!B:B,'Base stats'!C:C)&lt;=400,(_xlfn.XLOOKUP(B257,'Base stats'!B:B,'Base stats'!C:C)/70)^0.572811455315093,IF(_xlfn.XLOOKUP(B257,'Base stats'!B:B,'Base stats'!C:C)&lt;=2000,2.71391647193063*(_xlfn.XLOOKUP(B257,'Base stats'!B:B,'Base stats'!C:C)/400)^0.252459582904293,3.74314280240376*(_xlfn.XLOOKUP(B257,'Base stats'!B:B,'Base stats'!C:C)/2000)^0.357012633876913)))))),
IF(_xlfn.XLOOKUP(B257,'Base stats'!B:B,'Base stats'!C:C)&lt;0.1,0.05,IF(_xlfn.XLOOKUP(B257,'Base stats'!B:B,'Base stats'!C:C)&lt;=100,0.05,IF(_xlfn.XLOOKUP(B257,'Base stats'!B:B,'Base stats'!C:C)&lt;=250,0.1,IF(_xlfn.XLOOKUP(B257,'Base stats'!B:B,'Base stats'!C:C)&lt;=4000,0.25,0.5)))))</f>
        <v>2.25</v>
      </c>
      <c r="AP257" s="8">
        <f>MROUND(AO257*_xlfn.XLOOKUP(_xlfn.XLOOKUP(B257,'Base stats'!B:B,'Base stats'!E:E),Groups!A:A,Groups!AI:AI)*_xlfn.XLOOKUP(B257,'Base stats'!B:B,'Base stats'!Z:Z),0.05)</f>
        <v>2.25</v>
      </c>
      <c r="AQ257" s="8">
        <f>MAX(0.01,MROUND(IF(CC257="True",0.196*(AO257*100*1000)^0.889,IF(_xlfn.XLOOKUP(_xlfn.XLOOKUP(B257,'Base stats'!B:B,'Base stats'!E:E),Groups!A:A,Groups!AJ:AJ)="Bird",10.5*(AO257*100*1000)^0.681,4.82*(AO257*100*1000)^0.734))/(4.82*(1*100*1000)^0.734)/IF(AO257&lt;3.5,2,IF(AO257=3.5,1.5,1.25))*(1+0.132282374779864/(AO257^0.994035016789033+0.00905238001496948)),0.05))</f>
        <v>0.25</v>
      </c>
      <c r="AR257" s="9">
        <f>IFERROR(MROUND(_xlfn.XLOOKUP(B257,'Base stats'!B:B,'Base stats'!H:H)/IF(_xlfn.XLOOKUP(B257,'Base stats'!B:B,'Base stats'!I:I)&lt;&gt;1,(122.5/70),1.2),IF(_xlfn.XLOOKUP(B257,'Base stats'!B:B,'Base stats'!H:H)&gt;=30,5,IF(_xlfn.XLOOKUP(B257,'Base stats'!B:B,'Base stats'!H:H)&gt;=15,3,IF(_xlfn.XLOOKUP(B257,'Base stats'!B:B,'Base stats'!H:H)&gt;=10,2,1)))),"Immortal")</f>
        <v>12</v>
      </c>
      <c r="AS257" s="35" t="str">
        <f>IFERROR(IF(OR(_xlfn.XLOOKUP(B257,'Base stats'!B:B,'Base stats'!F:F)="Atypical reproduction",_xlfn.XLOOKUP(B257,'Base stats'!B:B,'Base stats'!F:F)="Lay eggs"),"Lay eggs",MIN(20,MAX(5.5,ROUND(((_xlfn.XLOOKUP(B257,'Base stats'!B:B,'Base stats'!F:F)-25)*(14.5/615) + 5.5)*2,0)/2))),"Unknown")</f>
        <v>Lay eggs</v>
      </c>
      <c r="AT257" s="8">
        <f>IF(_xlfn.XLOOKUP(B257,'Base stats'!B:B,'Base stats'!G:G)="Atypical reproduction","No",IFERROR(MAX(IF(_xlfn.XLOOKUP(B257,'Base stats'!B:B,'Base stats'!G:G)&lt;0.5,0.2,0.3),MROUND(_xlfn.XLOOKUP(B257,'Base stats'!B:B,'Base stats'!G:G)/(365/60),0.2)),"Unknown"))</f>
        <v>0.8</v>
      </c>
      <c r="AU257" s="8">
        <f t="shared" si="22"/>
        <v>0.4</v>
      </c>
      <c r="AV257" s="8" t="str">
        <f>IFERROR(IFERROR(MROUND(_xlfn.XLOOKUP(B257,'Base stats'!B:B,'Base stats'!J:J),0.1),"Lay eggs"),"Cannot breed")</f>
        <v>Lay eggs</v>
      </c>
      <c r="AW257" s="2" t="str">
        <f t="shared" si="23"/>
        <v>false</v>
      </c>
      <c r="AX257" s="2" t="str">
        <f>IF(_xlfn.XLOOKUP(_xlfn.XLOOKUP(Animals!B257,'Base stats'!B:B,'Base stats'!E:E),Groups!A:A,Groups!AK:AK)=1,"true","false")</f>
        <v>false</v>
      </c>
      <c r="AY257" s="25" t="str">
        <f>IF(_xlfn.XLOOKUP(B257,'Base stats'!B:B,'Base stats'!Y:Y)="Liquor","Liquor, CarnivoreAnimalStrict",IF(AND(_xlfn.XLOOKUP(B257,'Base stats'!B:B,'Base stats'!Y:Y)="Carnivore",_xlfn.XLOOKUP(_xlfn.XLOOKUP(B257,'Base stats'!B:B,'Base stats'!E:E),Groups!A:A,Groups!AJ:AJ)="Photonozoa"),"CarnivoreAnimalStrict, OvivoreAnimal",IF(_xlfn.XLOOKUP(B257,'Base stats'!B:B,'Base stats'!Y:Y)="Carnivore","CarnivoreAnimal, OvivoreAnimal",IF(_xlfn.XLOOKUP(B257,'Base stats'!B:B,'Base stats'!Y:Y)="Dendrovore","VegetarianRoughAnimal, DendrovoreAnimal",IF(_xlfn.XLOOKUP(B257,'Base stats'!B:B,'Base stats'!Y:Y)="Herbivore","VegetarianRoughAnimal",IF(_xlfn.XLOOKUP(B257,'Base stats'!B:B,'Base stats'!Y:Y)="OmnivoreRough","OmnivoreRoughAnimal, OvivoreAnimal","OmnivoreAnimal, OvivoreAnimal"))))))</f>
        <v>CarnivoreAnimal, OvivoreAnimal</v>
      </c>
      <c r="AZ257" s="2" t="str">
        <f>IF(_xlfn.XLOOKUP(_xlfn.XLOOKUP(B257,'Base stats'!B:B,'Base stats'!E:E),Groups!A:A,Groups!D:D)=1,MROUND((1-J257)*5+1,2)*IF(J257&lt;=0.4,2,1),"No")</f>
        <v>No</v>
      </c>
      <c r="BA257" s="2" t="str">
        <f>IF(AND(_xlfn.XLOOKUP(B257,'Base stats'!B:B,'Base stats'!AH:AH)="&lt;li&gt;Seal&lt;/li&gt;",G257="Odyssey"),"&lt;li&gt;AEXP_Seal&lt;/li&gt;",_xlfn.XLOOKUP(B257,'Base stats'!B:B,'Base stats'!AH:AH))</f>
        <v>&lt;li&gt;Megaspider&lt;/li&gt;</v>
      </c>
      <c r="BB257" s="2" t="str">
        <f>_xlfn.XLOOKUP(B257,'Base stats'!B:B,'Base stats'!AG:AG)</f>
        <v>Leather_Chitin</v>
      </c>
      <c r="BC257" s="23" t="str">
        <f>_xlfn.XLOOKUP(_xlfn.XLOOKUP(B257,'Base stats'!B:B,'Base stats'!E:E),Groups!A:A,Groups!AL:AL)</f>
        <v>Arachnid</v>
      </c>
      <c r="BD257" s="23">
        <f>MIN(1,MROUND(IF(AND(AO257&lt;0.5,_xlfn.XLOOKUP(B257,'Base stats'!B:B,'Base stats'!AA:AA)=0),0,IF(OR(_xlfn.XLOOKUP(Animals!B257,'Base stats'!B:B,'Base stats'!O:O)=2,_xlfn.XLOOKUP(_xlfn.XLOOKUP(B257,'Base stats'!B:B,'Base stats'!E:E),Groups!A:A,Groups!AN:AN)=0),0,_xlfn.XLOOKUP(_xlfn.XLOOKUP(B257,'Base stats'!B:B,'Base stats'!E:E),Groups!A:A,Groups!AN:AN)/IF(_xlfn.XLOOKUP(Animals!B257,'Base stats'!B:B,'Base stats'!O:O)=1,2,1)))+_xlfn.XLOOKUP(B257,'Base stats'!B:B,'Base stats'!AC:AC),0.005))</f>
        <v>0.1</v>
      </c>
      <c r="BE257" s="23">
        <f>MIN(1,MROUND(IF(AND(AO257&lt;0.5,_xlfn.XLOOKUP(B257,'Base stats'!B:B,'Base stats'!AA:AA)=0),0,IF(_xlfn.XLOOKUP(_xlfn.XLOOKUP(B257,'Base stats'!B:B,'Base stats'!E:E),Groups!A:A,Groups!AO:AO)=0,0,_xlfn.XLOOKUP(_xlfn.XLOOKUP(B257,'Base stats'!B:B,'Base stats'!E:E),Groups!A:A,Groups!AO:AO)/IF(_xlfn.XLOOKUP(Animals!B257,'Base stats'!B:B,'Base stats'!O:O)=2,3,1)))+_xlfn.XLOOKUP(B257,'Base stats'!B:B,'Base stats'!AD:AD),0.005))</f>
        <v>1</v>
      </c>
      <c r="BF257" s="2" t="str">
        <f>IF(J257&gt;0.3,"No",_xlfn.XLOOKUP(_xlfn.XLOOKUP(Animals!B257,'Base stats'!B:B,'Base stats'!E:E),Groups!A:A,Groups!AP:AP))</f>
        <v>No</v>
      </c>
      <c r="BG257" s="2" t="str">
        <f>IF(AND(J257&lt;=0.65,_xlfn.XLOOKUP(_xlfn.XLOOKUP(Animals!B257,'Base stats'!B:B,'Base stats'!E:E),Groups!A:A,Groups!AP:AP)&lt;&gt;"No",_xlfn.XLOOKUP(_xlfn.XLOOKUP(B257,'Base stats'!B:B,'Base stats'!E:E),Groups!A:A,Groups!D:D)=0),MROUND((80/3)*IF(_xlfn.XLOOKUP(B257,'Base stats'!B:B,'Base stats'!O:O)=2,0.2,AO257) + 24*(1-IF(BF257="No",0,BF257)) + 16/3, 12),"No")</f>
        <v>No</v>
      </c>
      <c r="BH257" s="2">
        <f>IF(AND(_xlfn.XLOOKUP(_xlfn.XLOOKUP(B257,'Base stats'!B:B,'Base stats'!E:E),Groups!A:A,Groups!AQ:AQ)=1,AO257&lt;=0.35),8,12)</f>
        <v>12</v>
      </c>
      <c r="BI257" s="2" t="str">
        <f>IF(_xlfn.XLOOKUP(_xlfn.XLOOKUP(B257,'Base stats'!B:B,'Base stats'!E:E),Groups!A:A,Groups!D:D)=0,_xlfn.XLOOKUP(_xlfn.XLOOKUP(B257,'Base stats'!B:B,'Base stats'!E:E),Groups!A:A,Groups!AR:AR),"None")</f>
        <v>Intermediate</v>
      </c>
      <c r="BJ257" s="2" t="str">
        <f>IF(AND(_xlfn.XLOOKUP(_xlfn.XLOOKUP(B257,'Base stats'!B:B,'Base stats'!E:E),Groups!A:A,Groups!AS:AS)=1,OR(_xlfn.XLOOKUP(B257,'Base stats'!B:B,'Base stats'!Y:Y)="Carnivore",_xlfn.XLOOKUP(B257,'Base stats'!B:B,'Base stats'!Y:Y)="Omnivore")),"true","false")</f>
        <v>true</v>
      </c>
      <c r="BK257" s="2">
        <f>IF(BJ257="true",MROUND(IF(AND(AO257&gt;0.5,OR(_xlfn.XLOOKUP(_xlfn.XLOOKUP(B257,'Base stats'!B:B,'Base stats'!E:E),Groups!A:A,Groups!AJ:AJ)="Photonozoa",_xlfn.XLOOKUP(_xlfn.XLOOKUP(B257,'Base stats'!B:B,'Base stats'!E:E),Groups!A:A,Groups!AJ:AJ)="Mammal")),Animals!AO257*1.75*IF(AW257="true",1.5,1),IF(AO257&lt;0.5,Animals!AO257*0.5,Animals!AO257)),IF(AO257&gt;2,0.5,IF(AO257&gt;0.5,0.25,0.1))),"No")</f>
        <v>2.5</v>
      </c>
      <c r="BL257" s="2">
        <f t="shared" si="24"/>
        <v>1</v>
      </c>
      <c r="BM257" s="25" t="str">
        <f>IF(_xlfn.XLOOKUP(B257,'Base stats'!B:B,'Base stats'!AN:AN)="Standard","No",MROUND((_xlfn.XLOOKUP(B257,'Base stats'!B:B,'Base stats'!AN:AN)/3.6)/I257,0.1))</f>
        <v>No</v>
      </c>
      <c r="BN257" s="25" t="str">
        <f t="shared" si="25"/>
        <v>false</v>
      </c>
      <c r="BO257" s="25" t="str">
        <f>IF(AND(OR(_xlfn.XLOOKUP(B257,'Base stats'!B:B,'Base stats'!Y:Y)="Carnivore",_xlfn.XLOOKUP(B257,'Base stats'!B:B,'Base stats'!Y:Y)="Omnivore",_xlfn.XLOOKUP(B257,'Base stats'!B:B,'Base stats'!Y:Y)="OmnivoreRough"),_xlfn.XLOOKUP(_xlfn.XLOOKUP(B257,'Base stats'!B:B,'Base stats'!E:E),Groups!A:A,Groups!AT:AT)=1),"true","false")</f>
        <v>false</v>
      </c>
      <c r="BP257" s="25" t="str" cm="1">
        <f t="array" ref="BP257">IF(
  _xlfn.TEXTJOIN(", ",TRUE,
    IF(AND(BJ257="true",AO257&gt;0.5,BI257&lt;&gt;"None"),"AttackTarget",""),
    IF(AND(_xlfn.XLOOKUP(_xlfn.XLOOKUP(B257,'Base stats'!B:B,'Base stats'!E:E),Groups!A:A,Groups!AJ:AJ="Mammal"),OR(_xlfn.XLOOKUP(B257,'Base stats'!B:B,'Base stats'!Y:Y)="Omnivore",_xlfn.XLOOKUP(B257,'Base stats'!B:B,'Base stats'!Y:Y)="OmnivoreRough")),"Forage",""),
    IF(BG257&lt;=36,"Comfort",""),
    IF(_xlfn.XLOOKUP(B257,'Base stats'!B:B,'Base stats'!AE:AE)&lt;&gt;"No",_xlfn.XLOOKUP(B257,'Base stats'!B:B,'Base stats'!AE:AE),"")
  ) = "",
  "No",
  _xlfn.TEXTJOIN(", ",TRUE,
    IF(AND(BJ257="true",AO257&gt;0.5,BI257&lt;&gt;"None"),"AttackTarget",""),
    IF(AND(_xlfn.XLOOKUP(_xlfn.XLOOKUP(B257,'Base stats'!B:B,'Base stats'!E:E),Groups!A:A,Groups!AJ:AJ="Mammal"),OR(_xlfn.XLOOKUP(B257,'Base stats'!B:B,'Base stats'!Y:Y)="Omnivore",_xlfn.XLOOKUP(B257,'Base stats'!B:B,'Base stats'!Y:Y)="OmnivoreRough")),"Forage",""),
    IF(BG257&lt;=36,"Comfort",""),
    IF(_xlfn.XLOOKUP(B257,'Base stats'!B:B,'Base stats'!AE:AE)&lt;&gt;"No",_xlfn.XLOOKUP(B257,'Base stats'!B:B,'Base stats'!AE:AE),"")
  )
)</f>
        <v>AttackTarget</v>
      </c>
      <c r="BQ257" s="25" t="str">
        <f>IF(
   AND(
      'Base stats'!AN257="Standard",_xlfn.XLOOKUP(_xlfn.XLOOKUP(B257,'Base stats'!B:B,'Base stats'!E:E),Groups!A:A,Groups!AU:AU)=0,
      OR(
      BO257="True"
      )
   ),
   10,
   IF(
       OR(BM257&lt;&gt;"No",_xlfn.XLOOKUP(_xlfn.XLOOKUP(B257,'Base stats'!B:B,'Base stats'!E:E),Groups!A:A,Groups!AU:AU)=1),
      1,
      "No"
   )
)</f>
        <v>No</v>
      </c>
      <c r="BR257" s="9">
        <f>MROUND((1 + ((0.2*IF(OR(Q257="No",R257="No",R257=0),0,Q257/R257)
+IF(OR(V257="No",S257="No",T257="No"),0,S257/T257*(LEN(V257)-LEN(SUBSTITUTE(V257,",",""))+1))
+IF(OR(X257="No",Y257="No"),0,X257/Y257)
+IF(OR(AD257="No",AE257="No"),0,AD257/AE257)
+IF(OR(AL257="No",AI257="No",AJ257="No"),0,AI257/AJ257*(LEN(AL257)-LEN(SUBSTITUTE(AL257,",",""))+1))
)/(0.2*IF(OR(Q257="No",R257="No",R257=0),0,1)
+IF(OR(V257="No",S257="No",T257="No"),0,LEN(V257)-LEN(SUBSTITUTE(V257,",",""))+1)
+IF(OR(X257="No",Y257="No"),0,1)
+IF(OR(AD257="No",AE257="No"),0,1)
+IF(OR(AL257="No",AI257="No",AJ257="No"),0,LEN(AL257)-LEN(SUBSTITUTE(AL257,",",""))+1))*62%)* 2)*(1 + (AP257 / (IF(_xlfn.XLOOKUP(_xlfn.XLOOKUP(B257,'Base stats'!B:B,'Base stats'!E:E),Groups!A:A,Groups!AJ:AJ)="Photonozoa",0.3,1)) + _xlfn.XLOOKUP(B257,'Base stats'!B:B,'Base stats'!AV:AV) * 1.8) * 2) * 2.5 + 10 + I257 * 2,5)+IF(_xlfn.XLOOKUP(B257,'Base stats'!B:B,'Base stats'!AK:AK)=1,50,0)</f>
        <v>250</v>
      </c>
      <c r="BS257" s="8">
        <f t="shared" si="26"/>
        <v>0.65</v>
      </c>
      <c r="BT257" s="8" t="str">
        <f>_xlfn.XLOOKUP(B257,'Base stats'!B:B,'Base stats'!AF:AF)</f>
        <v>No</v>
      </c>
      <c r="BU257" s="2" t="str">
        <f>IF(AND(J257&lt;=0.95,OR(_xlfn.XLOOKUP(B257,'Base stats'!B:B,'Base stats'!AK:AK)=1,_xlfn.XLOOKUP(B257,'Base stats'!B:B,'Base stats'!Y:Y)="Carnivore",_xlfn.XLOOKUP(B257,'Base stats'!B:B,'Base stats'!Y:Y)="Omnivore",BE257&gt;0.1)),"true","false")</f>
        <v>true</v>
      </c>
      <c r="BV257" s="2" t="str">
        <f>IF(_xlfn.XLOOKUP(B257,'Base stats'!B:B,'Base stats'!AI:AI)=1,"true","false")</f>
        <v>false</v>
      </c>
      <c r="BW257" s="25" t="str">
        <f>IF(E257="BaseInsect","AnimalInsect",
IF(J257&gt;0.95,"AnimalExotic",
_xlfn.TEXTJOIN(", ",TRUE,
IF(OR(_xlfn.XLOOKUP(B257,'Base stats'!B:B,'Base stats'!AM:AM)=1,AND(_xlfn.XLOOKUP(B257,'Base stats'!B:B,'Base stats'!O:O)=0,_xlfn.XLOOKUP(_xlfn.XLOOKUP(B257,'Base stats'!B:B,'Base stats'!E:E),Groups!A:A,Groups!B:B)&gt;0)),"AnimalUncommon","AnimalCommon"),
IF(AND(_xlfn.XLOOKUP(B257,'Base stats'!B:B,'Base stats'!O:O)=2,_xlfn.XLOOKUP(_xlfn.XLOOKUP(B257,'Base stats'!B:B,'Base stats'!E:E),Groups!A:A,Groups!D:D)=0),"AnimalPet",IF(AND(_xlfn.XLOOKUP(B257,'Base stats'!B:B,'Base stats'!O:O)&lt;&gt;0,_xlfn.XLOOKUP(_xlfn.XLOOKUP(B257,'Base stats'!B:B,'Base stats'!E:E),Groups!A:A,Groups!D:D)&lt;&gt;0),"AnimalFarm","")),
IF(OR(_xlfn.XLOOKUP(B257,'Base stats'!B:B,'Base stats'!AK:AK)=1,AND(BI257&lt;&gt;"None",BR257&gt;=60),ISNUMBER(SEARCH("Attack target",BP257))),"AnimalFighter","")
)))</f>
        <v>AnimalUncommon, AnimalFighter</v>
      </c>
      <c r="BX257" s="25" t="str">
        <f>IF(G257="None",TRIM(
SUBSTITUTE(
IF(COUNTIF(Biomes!B$2:B$259,"="&amp;$C257)&gt;0,Biomes!B$1&amp;", ","")&amp;
IF(COUNTIF(Biomes!C$2:C$259,"="&amp;$C257)&gt;0,Biomes!C$1&amp;", ","")&amp;
IF(COUNTIF(Biomes!D$2:D$259,"="&amp;$C257)&gt;0,Biomes!D$1&amp;", ","")&amp;
IF(COUNTIF(Biomes!F$2:F$259,"="&amp;$C257)&gt;0,Biomes!F$1&amp;", ","")&amp;
IF(COUNTIF(Biomes!G$2:G$259,"="&amp;$C257)&gt;0,Biomes!G$1&amp;", ","")&amp;
IF(COUNTIF(Biomes!H$2:H$259,"="&amp;$C257)&gt;0,Biomes!H$1&amp;", ","")&amp;
IF(COUNTIF(Biomes!I$2:I$259,"="&amp;$C257)&gt;0,Biomes!I$1&amp;", ","")&amp;
IF(COUNTIF(Biomes!J$2:J$259,"="&amp;$C257)&gt;0,Biomes!J$1&amp;", ","")&amp;
IF(COUNTIF(Biomes!M$2:M$259,"="&amp;$C257)&gt;0,Biomes!M$1&amp;", ","")&amp;
IF(COUNTIF(Biomes!N$2:N$259,"="&amp;$C257)&gt;0,Biomes!N$1&amp;", ","")&amp;
IF(COUNTIF(Biomes!O$2:O$259,"="&amp;$C257)&gt;0,Biomes!O$1&amp;", ","")&amp;
IF(COUNTIF(Biomes!P$2:P$259,"="&amp;$C257)&gt;0,Biomes!P$1&amp;", ","")&amp;
IF(COUNTIF(Biomes!K$2:K$259,"="&amp;$C257)&gt;0,Biomes!K$1&amp;", ","")&amp;
IF(COUNTIF(Biomes!Q$3:Q$259,"="&amp;$C257)&gt;0,Biomes!Q$1&amp;", ","")&amp;
IF(COUNTIF(Biomes!L$2:L$259,"="&amp;$C257)&gt;0,Biomes!L$1&amp;", ","")&amp;
IF(COUNTIF(Biomes!E$2:E$259,"="&amp;$C257)&gt;0,Biomes!E$1&amp;", ","")&amp;IF(COUNTIF(Biomes!S$2:S$259,"="&amp;$C257)&gt;0,Biomes!S$1&amp;", ","")&amp;
IF(COUNTIF(Biomes!R$2:R$259,"="&amp;$C257)&gt;0,Biomes!R$1&amp;", ",""),", ","")
),_xlfn.XLOOKUP(B257,B:B,BX:BX))</f>
        <v>AridShrubland Desert ExtremeDesert Grasslands</v>
      </c>
      <c r="BY257" s="25" t="str">
        <f>IF(_xlfn.XLOOKUP(B257,'Base stats'!B:B,'Base stats'!AJ:AJ)=1,"true","false")</f>
        <v>false</v>
      </c>
      <c r="BZ257" s="25">
        <f>IF(_xlfn.XLOOKUP(B257,'Base stats'!B:B,'Base stats'!N:N)=1,"No",MAX(0.001,MIN(MROUND(IF(AND(BJ257="True",CC257="False"),POWER(10,3.47*LOG10(_xlfn.XLOOKUP(B257,'Base stats'!B:B,'Base stats'!C:C)*1000)^-0.96),POWER(10,4.15*LOG10(_xlfn.XLOOKUP(B257,'Base stats'!B:B,'Base stats'!C:C)*1000)^-0.73))*IF(_xlfn.XLOOKUP(B257,'Base stats'!B:B,'Base stats'!AK:AK)=1,0.5,1)*IF(_xlfn.XLOOKUP(B257,'Base stats'!B:B,'Base stats'!AM:AM)=1,0.1,1)/100,IF(_xlfn.XLOOKUP(B257,'Base stats'!B:B,'Base stats'!AM:AM)=1,0.001,0.025)),0.5)))</f>
        <v>1.6E-2</v>
      </c>
      <c r="CA257" s="25" t="str">
        <f>IF(P257="Standard","No",MAX(0.001,MIN(MROUND(IF(AND(BJ257="True",CC257="False"),POWER(10,3.47*LOG10(_xlfn.XLOOKUP(B257,'Base stats'!B:B,'Base stats'!C:C)*1000)^-0.96),POWER(10,4.15*LOG10(_xlfn.XLOOKUP(B257,'Base stats'!B:B,'Base stats'!C:C)*1000)^-0.73))*IF(_xlfn.XLOOKUP(B257,'Base stats'!B:B,'Base stats'!AM:AM)=1,0.1,1)*_xlfn.XLOOKUP(B257,'Base stats'!B:B,'Base stats'!R:R)/100,IF(_xlfn.XLOOKUP(B257,'Base stats'!B:B,'Base stats'!AM:AM)=1,0.001,0.025)),0.5)))</f>
        <v>No</v>
      </c>
      <c r="CB257" s="25" t="str">
        <f>IF(_xlfn.XLOOKUP(_xlfn.XLOOKUP(B257,'Base stats'!B:B,'Base stats'!E:E),Groups!A:A,Groups!AJ:AJ)="Mammal","True","False")</f>
        <v>False</v>
      </c>
      <c r="CC257" s="25" t="str">
        <f>IF(OR(_xlfn.XLOOKUP(_xlfn.XLOOKUP(B257,'Base stats'!B:B,'Base stats'!E:E),Groups!A:A,Groups!AJ:AJ)="Reptile",_xlfn.XLOOKUP(_xlfn.XLOOKUP(B257,'Base stats'!B:B,'Base stats'!E:E),Groups!A:A,Groups!AJ:AJ)="Amphibian",_xlfn.XLOOKUP(_xlfn.XLOOKUP(B257,'Base stats'!B:B,'Base stats'!E:E),Groups!A:A,Groups!AJ:AJ)="Invertebrate"),"True","False")</f>
        <v>True</v>
      </c>
      <c r="CD257" s="25" t="str">
        <f t="shared" si="27"/>
        <v>False</v>
      </c>
      <c r="CE257" s="25" t="str">
        <f>IF(_xlfn.XLOOKUP(_xlfn.XLOOKUP(B257,'Base stats'!B:B,'Base stats'!E:E),Groups!A:A,Groups!AX:AX),"True","False")</f>
        <v>False</v>
      </c>
      <c r="CF257" s="25" t="str">
        <f>IF(_xlfn.XLOOKUP(_xlfn.XLOOKUP(B257,'Base stats'!B:B,'Base stats'!E:E),Groups!A:A,Groups!AY:AY),"True","False")</f>
        <v>False</v>
      </c>
      <c r="CG257" s="25" t="str">
        <f>IF(_xlfn.XLOOKUP(_xlfn.XLOOKUP(B257,'Base stats'!B:B,'Base stats'!E:E),Groups!A:A,Groups!AW:AW),"True","False")</f>
        <v>False</v>
      </c>
      <c r="CH257" s="25" t="str">
        <f>IF(
OR(
_xlfn.XLOOKUP(_xlfn.XLOOKUP(B257,'Base stats'!B:B,'Base stats'!E:E),Groups!A:A,Groups!AZ:AZ)=0,
AND(
_xlfn.XLOOKUP(B257,'Base stats'!B:B,'Base stats'!Y:Y)&lt;&gt;"Carnivore",
_xlfn.XLOOKUP(B257,'Base stats'!B:B,'Base stats'!Y:Y)&lt;&gt;"Omnivore",
_xlfn.XLOOKUP(B257,'Base stats'!B:B,'Base stats'!Y:Y)&lt;&gt;"OmnivoreRough"
)
),
"No",
IF(
_xlfn.XLOOKUP(_xlfn.XLOOKUP(B257,'Base stats'!B:B,'Base stats'!E:E),Groups!A:A,Groups!AZ:AZ)=1,
"Flesh",
IF(
_xlfn.XLOOKUP(_xlfn.XLOOKUP(B257,'Base stats'!B:B,'Base stats'!E:E),Groups!A:A,Groups!AZ:AZ)=2,
"Bone",
""
)
)
)</f>
        <v>No</v>
      </c>
      <c r="CI257" s="25" t="str">
        <f>IF(_xlfn.XLOOKUP(_xlfn.XLOOKUP(B257,'Base stats'!B:B,'Base stats'!E:E),Groups!A:A,Groups!BB:BB),"True","False")</f>
        <v>False</v>
      </c>
      <c r="CJ257" s="25" t="str">
        <f>IF(_xlfn.XLOOKUP(_xlfn.XLOOKUP(B257,'Base stats'!B:B,'Base stats'!E:E),Groups!A:A,Groups!BA:BA),"True","False")</f>
        <v>False</v>
      </c>
    </row>
    <row r="258" spans="1:88" ht="16.5" thickTop="1" thickBot="1" x14ac:dyDescent="0.3">
      <c r="A258" s="26" t="s">
        <v>1422</v>
      </c>
      <c r="B258" s="6" t="str">
        <f>_xlfn.XLOOKUP(A258,'Base stats'!A:A,'Base stats'!B:B)</f>
        <v>Araneodraco arenosus (clutch mother)</v>
      </c>
      <c r="C258" s="28" t="s">
        <v>1423</v>
      </c>
      <c r="D258" s="28" t="s">
        <v>1341</v>
      </c>
      <c r="E258" s="28" t="s">
        <v>1747</v>
      </c>
      <c r="F258" s="28" t="s">
        <v>673</v>
      </c>
      <c r="G258" s="28" t="s">
        <v>673</v>
      </c>
      <c r="H258" s="2">
        <f>MROUND((
  (IF(AND(_xlfn.XLOOKUP(B258,'Base stats'!B:B,'Base stats'!AL:AL)=0,BI258="None",_xlfn.XLOOKUP(_xlfn.XLOOKUP(B258,'Base stats'!B:B,'Base stats'!E:E),Groups!A:A,Groups!B:B)=0), (18 + BR258 * 2.7) * 0.5,
    IF(AND(_xlfn.XLOOKUP(B258,'Base stats'!B:B,'Base stats'!AL:AL)=0,OR(AO258&lt;0.55,AND(BI258="Intermediate",_xlfn.XLOOKUP(_xlfn.XLOOKUP(B258,'Base stats'!B:B,'Base stats'!E:E),Groups!A:A,Groups!B:B)&lt;2))), (18 + BR258 * 2.7),
      IF(OR(BI258="Advanced",_xlfn.XLOOKUP(B258,'Base stats'!B:B,'Base stats'!AL:AL)=1,_xlfn.XLOOKUP(_xlfn.XLOOKUP(B258,'Base stats'!B:B,'Base stats'!E:E),Groups!A:A,Groups!B:B)=2), (18 + BR258 * 2.7) + 250, (18 + BR258 * 2.7))
    )
  ))
  + AO258 * 80
  + IF(COUNTIF(EggMilk!K$2:K$998, A258) &gt; 0, 125, 0)
  + IF(COUNTIF(EggMilk!P$2:P$998, A258) &gt; 0, 90, 0)
  + IF(COUNTIF(EggMilk!A$2:A$998, A258) &gt; 0, 90, 0)
)
* (0.8 + 0.4 * J258)
* 0.75,25)</f>
        <v>1300</v>
      </c>
      <c r="I258" s="2">
        <f>MROUND(ROUNDDOWN(_xlfn.XLOOKUP(B258,'Base stats'!B:B,'Base stats'!L:L)/3.6/(23.3/11),1),0.5)</f>
        <v>4</v>
      </c>
      <c r="J258" s="2">
        <f>IF(OR(_xlfn.XLOOKUP(B258,'Base stats'!B:B,'Base stats'!AB:AB)=1,_xlfn.XLOOKUP(_xlfn.XLOOKUP(B258,'Base stats'!B:B,'Base stats'!E:E),Groups!A:A,Groups!C:C)="Untamable"),1,IF(_xlfn.XLOOKUP(B258,'Base stats'!B:B,'Base stats'!AL:AL)=1,0.99,MIN(MROUND((1-0.6282*EXP(-0.459*AO258))*_xlfn.XLOOKUP(_xlfn.XLOOKUP(B258,'Base stats'!B:B,'Base stats'!E:E),Groups!A:A,Groups!C:C)*IF(_xlfn.XLOOKUP(B258,'Base stats'!B:B,'Base stats'!O:O)=1,0.5,IF(_xlfn.XLOOKUP(B258,'Base stats'!B:B,'Base stats'!O:O)=2,0,1)),0.05),IF(AO258&gt;3.5,0.985,0.95))))</f>
        <v>1</v>
      </c>
      <c r="K258" s="2">
        <f>ROUNDUP(AO258*_xlfn.XLOOKUP(_xlfn.XLOOKUP(B258,'Base stats'!B:B,'Base stats'!E:E),Groups!A:A,Groups!E:E),0)</f>
        <v>4</v>
      </c>
      <c r="L258" s="2">
        <f>IF(OR(_xlfn.XLOOKUP(_xlfn.XLOOKUP(B258,'Base stats'!B:B,'Base stats'!E:E),Groups!A:A,Groups!F:F)=2,ISNUMBER(SEARCH("SeaIce",BX258)),ISNUMBER(SEARCH("IceSheet",BX258))),-50,IF(OR(ISNUMBER(SEARCH("GlacialPlain",BX258)),ISNUMBER(SEARCH("Tundra",BX258))),-40,IF(OR(ISNUMBER(SEARCH("Alpine",BX258)),ISNUMBER(SEARCH("BorealForest",BX258)),ISNUMBER(SEARCH("ColdBog",BX258))),-30,IF(OR(ISNUMBER(SEARCH("TemperateForest",BX258)),ISNUMBER(SEARCH("TemperateSwamp",BX258))),-20,IF(_xlfn.XLOOKUP(_xlfn.XLOOKUP(B258,'Base stats'!B:B,'Base stats'!E:E),Groups!A:A,Groups!F:F)=1,-15,IF(OR(ISNUMBER(SEARCH("Desert",BX258)),ISNUMBER(SEARCH("ExtremeDesert",BX258))),-10,IF(OR(ISNUMBER(SEARCH("Grasslands",BX258)),ISNUMBER(SEARCH("TropicalRainforest",BX258)),ISNUMBER(SEARCH("TropicalSwamp",BX258))),10,0)))))))-IF(CC258="False",MIN(IFERROR(MAX(MROUND(LOG10(_xlfn.XLOOKUP(B258,'Base stats'!B:B,'Base stats'!C:C)^(2/3))*10,5),5),5),30))-_xlfn.XLOOKUP(B258,'Base stats'!B:B,'Base stats'!P:P)+IF(CC258="True",5,0)</f>
        <v>5</v>
      </c>
      <c r="M258" s="2">
        <f>IF(OR(_xlfn.XLOOKUP(_xlfn.XLOOKUP(B258,'Base stats'!B:B,'Base stats'!E:E),Groups!A:A,Groups!G:G)=2,ISNUMBER(SEARCH("Desert",BX258)),ISNUMBER(SEARCH("ExtremeDesert",BX258)),ISNUMBER(SEARCH("LavaField",BX258))),50,IF(ISNUMBER(SEARCH("Grasslands",BX258)),45,IF(OR(_xlfn.XLOOKUP(_xlfn.XLOOKUP(B258,'Base stats'!B:B,'Base stats'!E:E),Groups!A:A,Groups!G:G)=1,ISNUMBER(SEARCH("TropicalRainforest",BX258)),ISNUMBER(SEARCH("TropicalSwamp",BX258))),40,IF(OR(ISNUMBER(SEARCH("TemperateForest",BX258)),ISNUMBER(SEARCH("TemperateSwamp",BX258))),35,IF(OR(ISNUMBER(SEARCH("Alpine",BX258)),ISNUMBER(SEARCH("BorealForest",BX258)),ISNUMBER(SEARCH("ColdBog",BX258))),30,IF(ISNUMBER(OR(ISNUMBER(SEARCH("GlacialPlain",BX258)),SEARCH("Tundra",BX258))),25,IF(OR(ISNUMBER(SEARCH("SeaIce",BX258)),ISNUMBER(SEARCH("IceSheet",BX258)),ISNUMBER(SEARCH("TropicalSwamp",BX258))),10,35)))))))+_xlfn.XLOOKUP(B258,'Base stats'!B:B,'Base stats'!Q:Q)</f>
        <v>35</v>
      </c>
      <c r="N258" s="8">
        <f>IF(
_xlfn.XLOOKUP(
_xlfn.XLOOKUP(B258,'Base stats'!B:B,'Base stats'!E:E),
Groups!A:A,
Groups!L:L
)=1,
MIN(
MROUND(
IF(
_xlfn.XLOOKUP(B258,'Animals CE'!B:B,'Animals CE'!Z:Z)&lt;=1.5,
_xlfn.XLOOKUP(B258,'Animals CE'!B:B,'Animals CE'!Z:Z)/2+0.05,
0.8+
(_xlfn.XLOOKUP(B258,'Animals CE'!B:B,'Animals CE'!Z:Z)-1.5)
*0.02
),
0.05
),
200%
),
"No"
)</f>
        <v>0.8</v>
      </c>
      <c r="O258" s="8">
        <f>IF(
_xlfn.XLOOKUP(
_xlfn.XLOOKUP(B258,'Base stats'!B:B,'Base stats'!E:E),
Groups!A:A,
Groups!L:L
)=1,
MIN(
MROUND(
IF(
_xlfn.XLOOKUP(B258,'Animals CE'!B:B,'Animals CE'!AA:AA)&lt;=1.5,
_xlfn.XLOOKUP(B258,'Animals CE'!B:B,'Animals CE'!AA:AA)/2+0.05,
0.8+
(_xlfn.XLOOKUP(B258,'Animals CE'!B:B,'Animals CE'!AA:AA)-1.5)
*0.02
),
0.05
),
200%
),
"No"
)</f>
        <v>0.2</v>
      </c>
      <c r="P258" s="2" t="str">
        <f>_xlfn.XLOOKUP(B258,'Base stats'!B:B,'Base stats'!R:R)</f>
        <v>Standard</v>
      </c>
      <c r="Q258" s="13">
        <f>MROUND((LOG10(_xlfn.XLOOKUP(B258,'Base stats'!B:B,'Base stats'!AR:AR))*(AO258^0.5)+(_xlfn.XLOOKUP(B258,'Base stats'!B:B,'Base stats'!AR:AR)/1000)^(2/3)+_xlfn.XLOOKUP(B258,'Base stats'!B:B,'Base stats'!BA:BA)/2)+0.5,0.5)</f>
        <v>20.5</v>
      </c>
      <c r="R258" s="7">
        <f>IF(Q258="No","No",MAX(1,MROUND(_xlfn.XLOOKUP(B258,'Base stats'!B:B,'Base stats'!C:C)^0.165,0.05)))</f>
        <v>3.1500000000000004</v>
      </c>
      <c r="S258" s="13" t="str">
        <f>IF(_xlfn.XLOOKUP(_xlfn.XLOOKUP(B258,'Base stats'!B:B,'Base stats'!E:E),Groups!A:A,Groups!P:P)=0,"No",MROUND((LOG10(_xlfn.XLOOKUP(B258,'Base stats'!B:B,'Base stats'!AS:AS))*(AO258^0.5)+(_xlfn.XLOOKUP(B258,'Base stats'!B:B,'Base stats'!AS:AS)/1000)^(2/3)+_xlfn.XLOOKUP(B258,'Base stats'!B:B,'Base stats'!BA:BA))+_xlfn.XLOOKUP(B258,'Base stats'!B:B,'Base stats'!AY:AY)+0.5,0.5))</f>
        <v>No</v>
      </c>
      <c r="T258" s="7" t="str">
        <f>IF(S258="No","No",MAX(_xlfn.XLOOKUP(_xlfn.XLOOKUP(B258,'Base stats'!B:B,'Base stats'!E:E),Groups!A:A,Groups!Q:Q),MROUND(_xlfn.XLOOKUP(_xlfn.XLOOKUP(B258,'Base stats'!B:B,'Base stats'!E:E),Groups!A:A,Groups!Q:Q)*_xlfn.XLOOKUP(B258,'Base stats'!B:B,'Base stats'!C:C)^0.165,0.05)))</f>
        <v>No</v>
      </c>
      <c r="U258" s="7" t="str">
        <f>IF(S258="No","No",_xlfn.XLOOKUP(_xlfn.XLOOKUP(B258,'Base stats'!B:B,'Base stats'!E:E),Groups!A:A,Groups!R:R))</f>
        <v>No</v>
      </c>
      <c r="V258" s="7" t="str">
        <f>IF(S258="No","No",_xlfn.XLOOKUP(_xlfn.XLOOKUP(B258,'Base stats'!B:B,'Base stats'!E:E),Groups!A:A,Groups!S:S))</f>
        <v>No</v>
      </c>
      <c r="W258" s="7" t="str">
        <f>IF(S258="No","No",_xlfn.XLOOKUP(_xlfn.XLOOKUP(B258,'Base stats'!B:B,'Base stats'!E:E),Groups!A:A,Groups!T:T))</f>
        <v>No</v>
      </c>
      <c r="X258" s="13" t="str">
        <f>IF(_xlfn.XLOOKUP(B258,'Base stats'!B:B,'Base stats'!W:W)="No","No",MROUND((LOG10(_xlfn.XLOOKUP(B258,'Base stats'!B:B,'Base stats'!AU:AU))*(AO258^0.5)+(_xlfn.XLOOKUP(B258,'Base stats'!B:B,'Base stats'!AU:AU)/1000)^(2/3)+_xlfn.XLOOKUP(B258,'Base stats'!B:B,'Base stats'!AZ:AZ))+0.5+IF(_xlfn.XLOOKUP(_xlfn.XLOOKUP(B258,'Base stats'!B:B,'Base stats'!E:E),Groups!A:A,Groups!U:U)&lt;&gt;3,_xlfn.XLOOKUP(B258,'Base stats'!B:B,'Base stats'!BA:BA),0),0.5))</f>
        <v>No</v>
      </c>
      <c r="Y258" s="7" t="str">
        <f>IF(X258="No","No",MAX(_xlfn.XLOOKUP(_xlfn.XLOOKUP(B258,'Base stats'!B:B,'Base stats'!E:E),Groups!A:A,Groups!V:V),MROUND(_xlfn.XLOOKUP(_xlfn.XLOOKUP(B258,'Base stats'!B:B,'Base stats'!E:E),Groups!A:A,Groups!V:V)*_xlfn.XLOOKUP(B258,'Base stats'!B:B,'Base stats'!C:C)^0.165,0.05)))</f>
        <v>No</v>
      </c>
      <c r="Z258" s="7" t="str">
        <f>IF(X258="No","No",_xlfn.XLOOKUP(_xlfn.XLOOKUP(B258,'Base stats'!B:B,'Base stats'!E:E),Groups!A:A,Groups!W:W))</f>
        <v>No</v>
      </c>
      <c r="AA258" s="7" t="str">
        <f>IF(X258="No","No",_xlfn.XLOOKUP(_xlfn.XLOOKUP(B258,'Base stats'!B:B,'Base stats'!E:E),Groups!A:A,Groups!X:X))</f>
        <v>No</v>
      </c>
      <c r="AB258" s="7" t="str">
        <f>IF(X258="No","No",_xlfn.XLOOKUP(_xlfn.XLOOKUP(B258,'Base stats'!B:B,'Base stats'!E:E),Groups!A:A,Groups!Y:Y))</f>
        <v>No</v>
      </c>
      <c r="AC258" s="7" t="str">
        <f>_xlfn.XLOOKUP(Animals!B258,'Base stats'!B:B,'Base stats'!X:X)</f>
        <v>False</v>
      </c>
      <c r="AD258" s="13">
        <f>IF(_xlfn.XLOOKUP(B258,'Base stats'!B:B,'Base stats'!AT:AT)="No","No",MROUND((LOG10(_xlfn.XLOOKUP(B258,'Base stats'!B:B,'Base stats'!AT:AT))*(AO258^0.75)+(_xlfn.XLOOKUP(B258,'Base stats'!B:B,'Base stats'!AT:AT)/1000)^(2/3)+_xlfn.XLOOKUP(B258,'Base stats'!B:B,'Base stats'!AX:AX)+_xlfn.XLOOKUP(B258,'Base stats'!B:B,'Base stats'!BA:BA))+0.5,0.5))</f>
        <v>51</v>
      </c>
      <c r="AE258" s="7">
        <f>IF(AD258="No","No",MAX(_xlfn.XLOOKUP(_xlfn.XLOOKUP(B258,'Base stats'!B:B,'Base stats'!E:E),Groups!A:A,Groups!Z:Z),MROUND(_xlfn.XLOOKUP(_xlfn.XLOOKUP(B258,'Base stats'!B:B,'Base stats'!E:E),Groups!A:A,Groups!Z:Z)*_xlfn.XLOOKUP(B258,'Base stats'!B:B,'Base stats'!C:C)^0.165,0.05)))</f>
        <v>3.75</v>
      </c>
      <c r="AF258" s="7" t="str">
        <f>IF(AD258="No","No",_xlfn.XLOOKUP(_xlfn.XLOOKUP(B258,'Base stats'!B:B,'Base stats'!E:E),Groups!A:A,Groups!AA:AA))</f>
        <v>Mouth</v>
      </c>
      <c r="AG258" s="7" t="str">
        <f>IF(AD258="No","No",_xlfn.XLOOKUP(_xlfn.XLOOKUP(B258,'Base stats'!B:B,'Base stats'!E:E),Groups!A:A,Groups!AB:AB))</f>
        <v>chelicerae</v>
      </c>
      <c r="AH258" s="7" t="str">
        <f>IF(AD258="No","No",_xlfn.XLOOKUP(_xlfn.XLOOKUP(B258,'Base stats'!B:B,'Base stats'!E:E),Groups!A:A,Groups!AC:AC))</f>
        <v>ToxicBite</v>
      </c>
      <c r="AI258" s="13" t="str">
        <f>IF(_xlfn.XLOOKUP(_xlfn.XLOOKUP(B258,'Base stats'!B:B,'Base stats'!E:E),Groups!A:A,Groups!AD:AD)=0,"No",MROUND((LOG10(_xlfn.XLOOKUP(B258,'Base stats'!B:B,'Base stats'!AS:AS))*(AO258^0.75)+(_xlfn.XLOOKUP(B258,'Base stats'!B:B,'Base stats'!AS:AS)/1000)^(2/3)+_xlfn.XLOOKUP(B258,'Base stats'!B:B,'Base stats'!AY:AY)+_xlfn.XLOOKUP(B258,'Base stats'!B:B,'Base stats'!BA:BA))+0.5,0.5))</f>
        <v>No</v>
      </c>
      <c r="AJ258" s="7" t="str">
        <f>IF(AI258="No","No",MAX(_xlfn.XLOOKUP(_xlfn.XLOOKUP(B258,'Base stats'!B:B,'Base stats'!E:E),Groups!A:A,Groups!AE:AE),MROUND(_xlfn.XLOOKUP(_xlfn.XLOOKUP(B258,'Base stats'!B:B,'Base stats'!E:E),Groups!A:A,Groups!AE:AE)*IF(_xlfn.XLOOKUP(_xlfn.XLOOKUP(B258,'Base stats'!B:B,'Base stats'!E:E),Groups!A:A,Groups!AJ:AJ)="Photonozoa",0.6,1)*_xlfn.XLOOKUP(B258,'Base stats'!B:B,'Base stats'!C:C)^0.165,0.05)))</f>
        <v>No</v>
      </c>
      <c r="AK258" s="7" t="str">
        <f>IF(AI258="No","No",_xlfn.XLOOKUP(_xlfn.XLOOKUP(B258,'Base stats'!B:B,'Base stats'!E:E),Groups!A:A,Groups!AF:AF))</f>
        <v>No</v>
      </c>
      <c r="AL258" s="7" t="str">
        <f>IF(AI258="No","No",_xlfn.XLOOKUP(_xlfn.XLOOKUP(B258,'Base stats'!B:B,'Base stats'!E:E),Groups!A:A,Groups!AG:AG))</f>
        <v>No</v>
      </c>
      <c r="AM258" s="7" t="str">
        <f>IF(AI258="No","No",_xlfn.XLOOKUP(_xlfn.XLOOKUP(B258,'Base stats'!B:B,'Base stats'!E:E),Groups!A:A,Groups!AH:AH))</f>
        <v>No</v>
      </c>
      <c r="AN258" s="2">
        <f t="shared" si="21"/>
        <v>35</v>
      </c>
      <c r="AO258" s="2">
        <f>MROUND(IF(AND(_xlfn.XLOOKUP(B258,'Base stats'!B:B,'Base stats'!C:C)&gt;=0.5,_xlfn.XLOOKUP(B258,'Base stats'!B:B,'Base stats'!C:C)&lt;=0.8),
IF(_xlfn.XLOOKUP(B258,'Base stats'!B:B,'Base stats'!C:C)&lt;0.1,0.05,IF(_xlfn.XLOOKUP(B258,'Base stats'!B:B,'Base stats'!C:C)&lt;=70,(_xlfn.XLOOKUP(B258,'Base stats'!B:B,'Base stats'!C:C)/70)^0.426489913056526,IF(_xlfn.XLOOKUP(B258,'Base stats'!B:B,'Base stats'!C:C)&lt;=400,(_xlfn.XLOOKUP(B258,'Base stats'!B:B,'Base stats'!C:C)/70)^0.572811455315093,IF(_xlfn.XLOOKUP(B258,'Base stats'!B:B,'Base stats'!C:C)&lt;=2000,2.71391647193063*(_xlfn.XLOOKUP(B258,'Base stats'!B:B,'Base stats'!C:C)/400)^0.252459582904293,3.74314280240376*(_xlfn.XLOOKUP(B258,'Base stats'!B:B,'Base stats'!C:C)/2000)^0.357012633876913)))),
IF(_xlfn.XLOOKUP(B258,'Base stats'!B:B,'Base stats'!C:C)&lt;0.1,0.05,IF(_xlfn.XLOOKUP(B258,'Base stats'!B:B,'Base stats'!C:C)&lt;0.4,0.1,IF(_xlfn.XLOOKUP(B258,'Base stats'!B:B,'Base stats'!C:C)&lt;=70,(_xlfn.XLOOKUP(B258,'Base stats'!B:B,'Base stats'!C:C)/70)^0.445823913056526,IF(_xlfn.XLOOKUP(B258,'Base stats'!B:B,'Base stats'!C:C)&lt;=400,(_xlfn.XLOOKUP(B258,'Base stats'!B:B,'Base stats'!C:C)/70)^0.572811455315093,IF(_xlfn.XLOOKUP(B258,'Base stats'!B:B,'Base stats'!C:C)&lt;=2000,2.71391647193063*(_xlfn.XLOOKUP(B258,'Base stats'!B:B,'Base stats'!C:C)/400)^0.252459582904293,3.74314280240376*(_xlfn.XLOOKUP(B258,'Base stats'!B:B,'Base stats'!C:C)/2000)^0.357012633876913)))))),
IF(_xlfn.XLOOKUP(B258,'Base stats'!B:B,'Base stats'!C:C)&lt;0.1,0.05,IF(_xlfn.XLOOKUP(B258,'Base stats'!B:B,'Base stats'!C:C)&lt;=100,0.05,IF(_xlfn.XLOOKUP(B258,'Base stats'!B:B,'Base stats'!C:C)&lt;=250,0.1,IF(_xlfn.XLOOKUP(B258,'Base stats'!B:B,'Base stats'!C:C)&lt;=4000,0.25,0.5)))))</f>
        <v>3.5</v>
      </c>
      <c r="AP258" s="8">
        <f>MROUND(AO258*_xlfn.XLOOKUP(_xlfn.XLOOKUP(B258,'Base stats'!B:B,'Base stats'!E:E),Groups!A:A,Groups!AI:AI)*_xlfn.XLOOKUP(B258,'Base stats'!B:B,'Base stats'!Z:Z),0.05)</f>
        <v>3.5</v>
      </c>
      <c r="AQ258" s="8">
        <f>MAX(0.01,MROUND(IF(CC258="True",0.196*(AO258*100*1000)^0.889,IF(_xlfn.XLOOKUP(_xlfn.XLOOKUP(B258,'Base stats'!B:B,'Base stats'!E:E),Groups!A:A,Groups!AJ:AJ)="Bird",10.5*(AO258*100*1000)^0.681,4.82*(AO258*100*1000)^0.734))/(4.82*(1*100*1000)^0.734)/IF(AO258&lt;3.5,2,IF(AO258=3.5,1.5,1.25))*(1+0.132282374779864/(AO258^0.994035016789033+0.00905238001496948)),0.05))</f>
        <v>0.5</v>
      </c>
      <c r="AR258" s="9">
        <f>IFERROR(MROUND(_xlfn.XLOOKUP(B258,'Base stats'!B:B,'Base stats'!H:H)/IF(_xlfn.XLOOKUP(B258,'Base stats'!B:B,'Base stats'!I:I)&lt;&gt;1,(122.5/70),1.2),IF(_xlfn.XLOOKUP(B258,'Base stats'!B:B,'Base stats'!H:H)&gt;=30,5,IF(_xlfn.XLOOKUP(B258,'Base stats'!B:B,'Base stats'!H:H)&gt;=15,3,IF(_xlfn.XLOOKUP(B258,'Base stats'!B:B,'Base stats'!H:H)&gt;=10,2,1)))),"Immortal")</f>
        <v>12</v>
      </c>
      <c r="AS258" s="35" t="str">
        <f>IFERROR(IF(OR(_xlfn.XLOOKUP(B258,'Base stats'!B:B,'Base stats'!F:F)="Atypical reproduction",_xlfn.XLOOKUP(B258,'Base stats'!B:B,'Base stats'!F:F)="Lay eggs"),"Lay eggs",MIN(20,MAX(5.5,ROUND(((_xlfn.XLOOKUP(B258,'Base stats'!B:B,'Base stats'!F:F)-25)*(14.5/615) + 5.5)*2,0)/2))),"Unknown")</f>
        <v>Lay eggs</v>
      </c>
      <c r="AT258" s="8" t="str">
        <f>IF(_xlfn.XLOOKUP(B258,'Base stats'!B:B,'Base stats'!G:G)="Atypical reproduction","No",IFERROR(MAX(IF(_xlfn.XLOOKUP(B258,'Base stats'!B:B,'Base stats'!G:G)&lt;0.5,0.2,0.3),MROUND(_xlfn.XLOOKUP(B258,'Base stats'!B:B,'Base stats'!G:G)/(365/60),0.2)),"Unknown"))</f>
        <v>No</v>
      </c>
      <c r="AU258" s="8" t="str">
        <f t="shared" si="22"/>
        <v>No</v>
      </c>
      <c r="AV258" s="8" t="str">
        <f>IFERROR(IFERROR(MROUND(_xlfn.XLOOKUP(B258,'Base stats'!B:B,'Base stats'!J:J),0.1),"Lay eggs"),"Cannot breed")</f>
        <v>Lay eggs</v>
      </c>
      <c r="AW258" s="2" t="str">
        <f t="shared" si="23"/>
        <v>false</v>
      </c>
      <c r="AX258" s="2" t="str">
        <f>IF(_xlfn.XLOOKUP(_xlfn.XLOOKUP(Animals!B258,'Base stats'!B:B,'Base stats'!E:E),Groups!A:A,Groups!AK:AK)=1,"true","false")</f>
        <v>false</v>
      </c>
      <c r="AY258" s="25" t="str">
        <f>IF(_xlfn.XLOOKUP(B258,'Base stats'!B:B,'Base stats'!Y:Y)="Liquor","Liquor, CarnivoreAnimalStrict",IF(AND(_xlfn.XLOOKUP(B258,'Base stats'!B:B,'Base stats'!Y:Y)="Carnivore",_xlfn.XLOOKUP(_xlfn.XLOOKUP(B258,'Base stats'!B:B,'Base stats'!E:E),Groups!A:A,Groups!AJ:AJ)="Photonozoa"),"CarnivoreAnimalStrict, OvivoreAnimal",IF(_xlfn.XLOOKUP(B258,'Base stats'!B:B,'Base stats'!Y:Y)="Carnivore","CarnivoreAnimal, OvivoreAnimal",IF(_xlfn.XLOOKUP(B258,'Base stats'!B:B,'Base stats'!Y:Y)="Dendrovore","VegetarianRoughAnimal, DendrovoreAnimal",IF(_xlfn.XLOOKUP(B258,'Base stats'!B:B,'Base stats'!Y:Y)="Herbivore","VegetarianRoughAnimal",IF(_xlfn.XLOOKUP(B258,'Base stats'!B:B,'Base stats'!Y:Y)="OmnivoreRough","OmnivoreRoughAnimal, OvivoreAnimal","OmnivoreAnimal, OvivoreAnimal"))))))</f>
        <v>CarnivoreAnimal, OvivoreAnimal</v>
      </c>
      <c r="AZ258" s="2" t="str">
        <f>IF(_xlfn.XLOOKUP(_xlfn.XLOOKUP(B258,'Base stats'!B:B,'Base stats'!E:E),Groups!A:A,Groups!D:D)=1,MROUND((1-J258)*5+1,2)*IF(J258&lt;=0.4,2,1),"No")</f>
        <v>No</v>
      </c>
      <c r="BA258" s="2" t="str">
        <f>IF(AND(_xlfn.XLOOKUP(B258,'Base stats'!B:B,'Base stats'!AH:AH)="&lt;li&gt;Seal&lt;/li&gt;",G258="Odyssey"),"&lt;li&gt;AEXP_Seal&lt;/li&gt;",_xlfn.XLOOKUP(B258,'Base stats'!B:B,'Base stats'!AH:AH))</f>
        <v>&lt;li&gt;Megaspider&lt;/li&gt;</v>
      </c>
      <c r="BB258" s="2" t="str">
        <f>_xlfn.XLOOKUP(B258,'Base stats'!B:B,'Base stats'!AG:AG)</f>
        <v>Leather_Chitin</v>
      </c>
      <c r="BC258" s="23" t="str">
        <f>_xlfn.XLOOKUP(_xlfn.XLOOKUP(B258,'Base stats'!B:B,'Base stats'!E:E),Groups!A:A,Groups!AL:AL)</f>
        <v>Arachnid</v>
      </c>
      <c r="BD258" s="23">
        <f>MIN(1,MROUND(IF(AND(AO258&lt;0.5,_xlfn.XLOOKUP(B258,'Base stats'!B:B,'Base stats'!AA:AA)=0),0,IF(OR(_xlfn.XLOOKUP(Animals!B258,'Base stats'!B:B,'Base stats'!O:O)=2,_xlfn.XLOOKUP(_xlfn.XLOOKUP(B258,'Base stats'!B:B,'Base stats'!E:E),Groups!A:A,Groups!AN:AN)=0),0,_xlfn.XLOOKUP(_xlfn.XLOOKUP(B258,'Base stats'!B:B,'Base stats'!E:E),Groups!A:A,Groups!AN:AN)/IF(_xlfn.XLOOKUP(Animals!B258,'Base stats'!B:B,'Base stats'!O:O)=1,2,1)))+_xlfn.XLOOKUP(B258,'Base stats'!B:B,'Base stats'!AC:AC),0.005))</f>
        <v>0.1</v>
      </c>
      <c r="BE258" s="23">
        <f>MIN(1,MROUND(IF(AND(AO258&lt;0.5,_xlfn.XLOOKUP(B258,'Base stats'!B:B,'Base stats'!AA:AA)=0),0,IF(_xlfn.XLOOKUP(_xlfn.XLOOKUP(B258,'Base stats'!B:B,'Base stats'!E:E),Groups!A:A,Groups!AO:AO)=0,0,_xlfn.XLOOKUP(_xlfn.XLOOKUP(B258,'Base stats'!B:B,'Base stats'!E:E),Groups!A:A,Groups!AO:AO)/IF(_xlfn.XLOOKUP(Animals!B258,'Base stats'!B:B,'Base stats'!O:O)=2,3,1)))+_xlfn.XLOOKUP(B258,'Base stats'!B:B,'Base stats'!AD:AD),0.005))</f>
        <v>1</v>
      </c>
      <c r="BF258" s="2" t="str">
        <f>IF(J258&gt;0.3,"No",_xlfn.XLOOKUP(_xlfn.XLOOKUP(Animals!B258,'Base stats'!B:B,'Base stats'!E:E),Groups!A:A,Groups!AP:AP))</f>
        <v>No</v>
      </c>
      <c r="BG258" s="2" t="str">
        <f>IF(AND(J258&lt;=0.65,_xlfn.XLOOKUP(_xlfn.XLOOKUP(Animals!B258,'Base stats'!B:B,'Base stats'!E:E),Groups!A:A,Groups!AP:AP)&lt;&gt;"No",_xlfn.XLOOKUP(_xlfn.XLOOKUP(B258,'Base stats'!B:B,'Base stats'!E:E),Groups!A:A,Groups!D:D)=0),MROUND((80/3)*IF(_xlfn.XLOOKUP(B258,'Base stats'!B:B,'Base stats'!O:O)=2,0.2,AO258) + 24*(1-IF(BF258="No",0,BF258)) + 16/3, 12),"No")</f>
        <v>No</v>
      </c>
      <c r="BH258" s="2">
        <f>IF(AND(_xlfn.XLOOKUP(_xlfn.XLOOKUP(B258,'Base stats'!B:B,'Base stats'!E:E),Groups!A:A,Groups!AQ:AQ)=1,AO258&lt;=0.35),8,12)</f>
        <v>12</v>
      </c>
      <c r="BI258" s="2" t="str">
        <f>IF(_xlfn.XLOOKUP(_xlfn.XLOOKUP(B258,'Base stats'!B:B,'Base stats'!E:E),Groups!A:A,Groups!D:D)=0,_xlfn.XLOOKUP(_xlfn.XLOOKUP(B258,'Base stats'!B:B,'Base stats'!E:E),Groups!A:A,Groups!AR:AR),"None")</f>
        <v>Intermediate</v>
      </c>
      <c r="BJ258" s="2" t="str">
        <f>IF(AND(_xlfn.XLOOKUP(_xlfn.XLOOKUP(B258,'Base stats'!B:B,'Base stats'!E:E),Groups!A:A,Groups!AS:AS)=1,OR(_xlfn.XLOOKUP(B258,'Base stats'!B:B,'Base stats'!Y:Y)="Carnivore",_xlfn.XLOOKUP(B258,'Base stats'!B:B,'Base stats'!Y:Y)="Omnivore")),"true","false")</f>
        <v>true</v>
      </c>
      <c r="BK258" s="2">
        <f>IF(BJ258="true",MROUND(IF(AND(AO258&gt;0.5,OR(_xlfn.XLOOKUP(_xlfn.XLOOKUP(B258,'Base stats'!B:B,'Base stats'!E:E),Groups!A:A,Groups!AJ:AJ)="Photonozoa",_xlfn.XLOOKUP(_xlfn.XLOOKUP(B258,'Base stats'!B:B,'Base stats'!E:E),Groups!A:A,Groups!AJ:AJ)="Mammal")),Animals!AO258*1.75*IF(AW258="true",1.5,1),IF(AO258&lt;0.5,Animals!AO258*0.5,Animals!AO258)),IF(AO258&gt;2,0.5,IF(AO258&gt;0.5,0.25,0.1))),"No")</f>
        <v>3.5</v>
      </c>
      <c r="BL258" s="2">
        <f t="shared" si="24"/>
        <v>1</v>
      </c>
      <c r="BM258" s="25" t="str">
        <f>IF(_xlfn.XLOOKUP(B258,'Base stats'!B:B,'Base stats'!AN:AN)="Standard","No",MROUND((_xlfn.XLOOKUP(B258,'Base stats'!B:B,'Base stats'!AN:AN)/3.6)/I258,0.1))</f>
        <v>No</v>
      </c>
      <c r="BN258" s="25" t="str">
        <f t="shared" si="25"/>
        <v>false</v>
      </c>
      <c r="BO258" s="25" t="str">
        <f>IF(AND(OR(_xlfn.XLOOKUP(B258,'Base stats'!B:B,'Base stats'!Y:Y)="Carnivore",_xlfn.XLOOKUP(B258,'Base stats'!B:B,'Base stats'!Y:Y)="Omnivore",_xlfn.XLOOKUP(B258,'Base stats'!B:B,'Base stats'!Y:Y)="OmnivoreRough"),_xlfn.XLOOKUP(_xlfn.XLOOKUP(B258,'Base stats'!B:B,'Base stats'!E:E),Groups!A:A,Groups!AT:AT)=1),"true","false")</f>
        <v>false</v>
      </c>
      <c r="BP258" s="25" t="str" cm="1">
        <f t="array" ref="BP258">IF(
  _xlfn.TEXTJOIN(", ",TRUE,
    IF(AND(BJ258="true",AO258&gt;0.5,BI258&lt;&gt;"None"),"AttackTarget",""),
    IF(AND(_xlfn.XLOOKUP(_xlfn.XLOOKUP(B258,'Base stats'!B:B,'Base stats'!E:E),Groups!A:A,Groups!AJ:AJ="Mammal"),OR(_xlfn.XLOOKUP(B258,'Base stats'!B:B,'Base stats'!Y:Y)="Omnivore",_xlfn.XLOOKUP(B258,'Base stats'!B:B,'Base stats'!Y:Y)="OmnivoreRough")),"Forage",""),
    IF(BG258&lt;=36,"Comfort",""),
    IF(_xlfn.XLOOKUP(B258,'Base stats'!B:B,'Base stats'!AE:AE)&lt;&gt;"No",_xlfn.XLOOKUP(B258,'Base stats'!B:B,'Base stats'!AE:AE),"")
  ) = "",
  "No",
  _xlfn.TEXTJOIN(", ",TRUE,
    IF(AND(BJ258="true",AO258&gt;0.5,BI258&lt;&gt;"None"),"AttackTarget",""),
    IF(AND(_xlfn.XLOOKUP(_xlfn.XLOOKUP(B258,'Base stats'!B:B,'Base stats'!E:E),Groups!A:A,Groups!AJ:AJ="Mammal"),OR(_xlfn.XLOOKUP(B258,'Base stats'!B:B,'Base stats'!Y:Y)="Omnivore",_xlfn.XLOOKUP(B258,'Base stats'!B:B,'Base stats'!Y:Y)="OmnivoreRough")),"Forage",""),
    IF(BG258&lt;=36,"Comfort",""),
    IF(_xlfn.XLOOKUP(B258,'Base stats'!B:B,'Base stats'!AE:AE)&lt;&gt;"No",_xlfn.XLOOKUP(B258,'Base stats'!B:B,'Base stats'!AE:AE),"")
  )
)</f>
        <v>AttackTarget</v>
      </c>
      <c r="BQ258" s="25" t="str">
        <f>IF(
   AND(
      'Base stats'!AN258="Standard",_xlfn.XLOOKUP(_xlfn.XLOOKUP(B258,'Base stats'!B:B,'Base stats'!E:E),Groups!A:A,Groups!AU:AU)=0,
      OR(
      BO258="True"
      )
   ),
   10,
   IF(
       OR(BM258&lt;&gt;"No",_xlfn.XLOOKUP(_xlfn.XLOOKUP(B258,'Base stats'!B:B,'Base stats'!E:E),Groups!A:A,Groups!AU:AU)=1),
      1,
      "No"
   )
)</f>
        <v>No</v>
      </c>
      <c r="BR258" s="9">
        <f>MROUND((1 + ((0.2*IF(OR(Q258="No",R258="No",R258=0),0,Q258/R258)
+IF(OR(V258="No",S258="No",T258="No"),0,S258/T258*(LEN(V258)-LEN(SUBSTITUTE(V258,",",""))+1))
+IF(OR(X258="No",Y258="No"),0,X258/Y258)
+IF(OR(AD258="No",AE258="No"),0,AD258/AE258)
+IF(OR(AL258="No",AI258="No",AJ258="No"),0,AI258/AJ258*(LEN(AL258)-LEN(SUBSTITUTE(AL258,",",""))+1))
)/(0.2*IF(OR(Q258="No",R258="No",R258=0),0,1)
+IF(OR(V258="No",S258="No",T258="No"),0,LEN(V258)-LEN(SUBSTITUTE(V258,",",""))+1)
+IF(OR(X258="No",Y258="No"),0,1)
+IF(OR(AD258="No",AE258="No"),0,1)
+IF(OR(AL258="No",AI258="No",AJ258="No"),0,LEN(AL258)-LEN(SUBSTITUTE(AL258,",",""))+1))*62%)* 2)*(1 + (AP258 / (IF(_xlfn.XLOOKUP(_xlfn.XLOOKUP(B258,'Base stats'!B:B,'Base stats'!E:E),Groups!A:A,Groups!AJ:AJ)="Photonozoa",0.3,1)) + _xlfn.XLOOKUP(B258,'Base stats'!B:B,'Base stats'!AV:AV) * 1.8) * 2) * 2.5 + 10 + I258 * 2,5)+IF(_xlfn.XLOOKUP(B258,'Base stats'!B:B,'Base stats'!AK:AK)=1,50,0)</f>
        <v>420</v>
      </c>
      <c r="BS258" s="8">
        <f t="shared" si="26"/>
        <v>1.1000000000000001</v>
      </c>
      <c r="BT258" s="8" t="str">
        <f>_xlfn.XLOOKUP(B258,'Base stats'!B:B,'Base stats'!AF:AF)</f>
        <v>No</v>
      </c>
      <c r="BU258" s="2" t="str">
        <f>IF(AND(J258&lt;=0.95,OR(_xlfn.XLOOKUP(B258,'Base stats'!B:B,'Base stats'!AK:AK)=1,_xlfn.XLOOKUP(B258,'Base stats'!B:B,'Base stats'!Y:Y)="Carnivore",_xlfn.XLOOKUP(B258,'Base stats'!B:B,'Base stats'!Y:Y)="Omnivore",BE258&gt;0.1)),"true","false")</f>
        <v>false</v>
      </c>
      <c r="BV258" s="2" t="str">
        <f>IF(_xlfn.XLOOKUP(B258,'Base stats'!B:B,'Base stats'!AI:AI)=1,"true","false")</f>
        <v>false</v>
      </c>
      <c r="BW258" s="25" t="str">
        <f>IF(E258="BaseInsect","AnimalInsect",
IF(J258&gt;0.95,"AnimalExotic",
_xlfn.TEXTJOIN(", ",TRUE,
IF(OR(_xlfn.XLOOKUP(B258,'Base stats'!B:B,'Base stats'!AM:AM)=1,AND(_xlfn.XLOOKUP(B258,'Base stats'!B:B,'Base stats'!O:O)=0,_xlfn.XLOOKUP(_xlfn.XLOOKUP(B258,'Base stats'!B:B,'Base stats'!E:E),Groups!A:A,Groups!B:B)&gt;0)),"AnimalUncommon","AnimalCommon"),
IF(AND(_xlfn.XLOOKUP(B258,'Base stats'!B:B,'Base stats'!O:O)=2,_xlfn.XLOOKUP(_xlfn.XLOOKUP(B258,'Base stats'!B:B,'Base stats'!E:E),Groups!A:A,Groups!D:D)=0),"AnimalPet",IF(AND(_xlfn.XLOOKUP(B258,'Base stats'!B:B,'Base stats'!O:O)&lt;&gt;0,_xlfn.XLOOKUP(_xlfn.XLOOKUP(B258,'Base stats'!B:B,'Base stats'!E:E),Groups!A:A,Groups!D:D)&lt;&gt;0),"AnimalFarm","")),
IF(OR(_xlfn.XLOOKUP(B258,'Base stats'!B:B,'Base stats'!AK:AK)=1,AND(BI258&lt;&gt;"None",BR258&gt;=60),ISNUMBER(SEARCH("Attack target",BP258))),"AnimalFighter","")
)))</f>
        <v>AnimalExotic</v>
      </c>
      <c r="BX258" s="25" t="str">
        <f>IF(G258="None",TRIM(
SUBSTITUTE(
IF(COUNTIF(Biomes!B$2:B$259,"="&amp;$C258)&gt;0,Biomes!B$1&amp;", ","")&amp;
IF(COUNTIF(Biomes!C$2:C$259,"="&amp;$C258)&gt;0,Biomes!C$1&amp;", ","")&amp;
IF(COUNTIF(Biomes!D$2:D$259,"="&amp;$C258)&gt;0,Biomes!D$1&amp;", ","")&amp;
IF(COUNTIF(Biomes!F$2:F$259,"="&amp;$C258)&gt;0,Biomes!F$1&amp;", ","")&amp;
IF(COUNTIF(Biomes!G$2:G$259,"="&amp;$C258)&gt;0,Biomes!G$1&amp;", ","")&amp;
IF(COUNTIF(Biomes!H$2:H$259,"="&amp;$C258)&gt;0,Biomes!H$1&amp;", ","")&amp;
IF(COUNTIF(Biomes!I$2:I$259,"="&amp;$C258)&gt;0,Biomes!I$1&amp;", ","")&amp;
IF(COUNTIF(Biomes!J$2:J$259,"="&amp;$C258)&gt;0,Biomes!J$1&amp;", ","")&amp;
IF(COUNTIF(Biomes!M$2:M$259,"="&amp;$C258)&gt;0,Biomes!M$1&amp;", ","")&amp;
IF(COUNTIF(Biomes!N$2:N$259,"="&amp;$C258)&gt;0,Biomes!N$1&amp;", ","")&amp;
IF(COUNTIF(Biomes!O$2:O$259,"="&amp;$C258)&gt;0,Biomes!O$1&amp;", ","")&amp;
IF(COUNTIF(Biomes!P$2:P$259,"="&amp;$C258)&gt;0,Biomes!P$1&amp;", ","")&amp;
IF(COUNTIF(Biomes!K$2:K$259,"="&amp;$C258)&gt;0,Biomes!K$1&amp;", ","")&amp;
IF(COUNTIF(Biomes!Q$3:Q$259,"="&amp;$C258)&gt;0,Biomes!Q$1&amp;", ","")&amp;
IF(COUNTIF(Biomes!L$2:L$259,"="&amp;$C258)&gt;0,Biomes!L$1&amp;", ","")&amp;
IF(COUNTIF(Biomes!E$2:E$259,"="&amp;$C258)&gt;0,Biomes!E$1&amp;", ","")&amp;IF(COUNTIF(Biomes!S$2:S$259,"="&amp;$C258)&gt;0,Biomes!S$1&amp;", ","")&amp;
IF(COUNTIF(Biomes!R$2:R$259,"="&amp;$C258)&gt;0,Biomes!R$1&amp;", ",""),", ","")
),_xlfn.XLOOKUP(B258,B:B,BX:BX))</f>
        <v/>
      </c>
      <c r="BY258" s="25" t="str">
        <f>IF(_xlfn.XLOOKUP(B258,'Base stats'!B:B,'Base stats'!AJ:AJ)=1,"true","false")</f>
        <v>false</v>
      </c>
      <c r="BZ258" s="25">
        <f>IF(_xlfn.XLOOKUP(B258,'Base stats'!B:B,'Base stats'!N:N)=1,"No",MAX(0.001,MIN(MROUND(IF(AND(BJ258="True",CC258="False"),POWER(10,3.47*LOG10(_xlfn.XLOOKUP(B258,'Base stats'!B:B,'Base stats'!C:C)*1000)^-0.96),POWER(10,4.15*LOG10(_xlfn.XLOOKUP(B258,'Base stats'!B:B,'Base stats'!C:C)*1000)^-0.73))*IF(_xlfn.XLOOKUP(B258,'Base stats'!B:B,'Base stats'!AK:AK)=1,0.5,1)*IF(_xlfn.XLOOKUP(B258,'Base stats'!B:B,'Base stats'!AM:AM)=1,0.1,1)/100,IF(_xlfn.XLOOKUP(B258,'Base stats'!B:B,'Base stats'!AM:AM)=1,0.001,0.025)),0.5)))</f>
        <v>1.3000000000000001E-2</v>
      </c>
      <c r="CA258" s="25" t="str">
        <f>IF(P258="Standard","No",MAX(0.001,MIN(MROUND(IF(AND(BJ258="True",CC258="False"),POWER(10,3.47*LOG10(_xlfn.XLOOKUP(B258,'Base stats'!B:B,'Base stats'!C:C)*1000)^-0.96),POWER(10,4.15*LOG10(_xlfn.XLOOKUP(B258,'Base stats'!B:B,'Base stats'!C:C)*1000)^-0.73))*IF(_xlfn.XLOOKUP(B258,'Base stats'!B:B,'Base stats'!AM:AM)=1,0.1,1)*_xlfn.XLOOKUP(B258,'Base stats'!B:B,'Base stats'!R:R)/100,IF(_xlfn.XLOOKUP(B258,'Base stats'!B:B,'Base stats'!AM:AM)=1,0.001,0.025)),0.5)))</f>
        <v>No</v>
      </c>
      <c r="CB258" s="25" t="str">
        <f>IF(_xlfn.XLOOKUP(_xlfn.XLOOKUP(B258,'Base stats'!B:B,'Base stats'!E:E),Groups!A:A,Groups!AJ:AJ)="Mammal","True","False")</f>
        <v>False</v>
      </c>
      <c r="CC258" s="25" t="str">
        <f>IF(OR(_xlfn.XLOOKUP(_xlfn.XLOOKUP(B258,'Base stats'!B:B,'Base stats'!E:E),Groups!A:A,Groups!AJ:AJ)="Reptile",_xlfn.XLOOKUP(_xlfn.XLOOKUP(B258,'Base stats'!B:B,'Base stats'!E:E),Groups!A:A,Groups!AJ:AJ)="Amphibian",_xlfn.XLOOKUP(_xlfn.XLOOKUP(B258,'Base stats'!B:B,'Base stats'!E:E),Groups!A:A,Groups!AJ:AJ)="Invertebrate"),"True","False")</f>
        <v>True</v>
      </c>
      <c r="CD258" s="25" t="str">
        <f t="shared" si="27"/>
        <v>True</v>
      </c>
      <c r="CE258" s="25" t="str">
        <f>IF(_xlfn.XLOOKUP(_xlfn.XLOOKUP(B258,'Base stats'!B:B,'Base stats'!E:E),Groups!A:A,Groups!AX:AX),"True","False")</f>
        <v>False</v>
      </c>
      <c r="CF258" s="25" t="str">
        <f>IF(_xlfn.XLOOKUP(_xlfn.XLOOKUP(B258,'Base stats'!B:B,'Base stats'!E:E),Groups!A:A,Groups!AY:AY),"True","False")</f>
        <v>False</v>
      </c>
      <c r="CG258" s="25" t="str">
        <f>IF(_xlfn.XLOOKUP(_xlfn.XLOOKUP(B258,'Base stats'!B:B,'Base stats'!E:E),Groups!A:A,Groups!AW:AW),"True","False")</f>
        <v>False</v>
      </c>
      <c r="CH258" s="25" t="str">
        <f>IF(
OR(
_xlfn.XLOOKUP(_xlfn.XLOOKUP(B258,'Base stats'!B:B,'Base stats'!E:E),Groups!A:A,Groups!AZ:AZ)=0,
AND(
_xlfn.XLOOKUP(B258,'Base stats'!B:B,'Base stats'!Y:Y)&lt;&gt;"Carnivore",
_xlfn.XLOOKUP(B258,'Base stats'!B:B,'Base stats'!Y:Y)&lt;&gt;"Omnivore",
_xlfn.XLOOKUP(B258,'Base stats'!B:B,'Base stats'!Y:Y)&lt;&gt;"OmnivoreRough"
)
),
"No",
IF(
_xlfn.XLOOKUP(_xlfn.XLOOKUP(B258,'Base stats'!B:B,'Base stats'!E:E),Groups!A:A,Groups!AZ:AZ)=1,
"Flesh",
IF(
_xlfn.XLOOKUP(_xlfn.XLOOKUP(B258,'Base stats'!B:B,'Base stats'!E:E),Groups!A:A,Groups!AZ:AZ)=2,
"Bone",
""
)
)
)</f>
        <v>No</v>
      </c>
      <c r="CI258" s="25" t="str">
        <f>IF(_xlfn.XLOOKUP(_xlfn.XLOOKUP(B258,'Base stats'!B:B,'Base stats'!E:E),Groups!A:A,Groups!BB:BB),"True","False")</f>
        <v>False</v>
      </c>
      <c r="CJ258" s="25" t="str">
        <f>IF(_xlfn.XLOOKUP(_xlfn.XLOOKUP(B258,'Base stats'!B:B,'Base stats'!E:E),Groups!A:A,Groups!BA:BA),"True","False")</f>
        <v>False</v>
      </c>
    </row>
    <row r="259" spans="1:88" ht="16.5" thickTop="1" thickBot="1" x14ac:dyDescent="0.3">
      <c r="A259" s="26" t="s">
        <v>1424</v>
      </c>
      <c r="B259" s="6" t="str">
        <f>_xlfn.XLOOKUP(A259,'Base stats'!A:A,'Base stats'!B:B)</f>
        <v>Crepisculanius crepusculum</v>
      </c>
      <c r="C259" s="28" t="s">
        <v>1425</v>
      </c>
      <c r="D259" s="28" t="s">
        <v>1341</v>
      </c>
      <c r="E259" s="28" t="s">
        <v>673</v>
      </c>
      <c r="F259" s="28" t="s">
        <v>673</v>
      </c>
      <c r="G259" s="28" t="s">
        <v>673</v>
      </c>
      <c r="H259" s="2">
        <f>MROUND((
  (IF(AND(_xlfn.XLOOKUP(B259,'Base stats'!B:B,'Base stats'!AL:AL)=0,BI259="None",_xlfn.XLOOKUP(_xlfn.XLOOKUP(B259,'Base stats'!B:B,'Base stats'!E:E),Groups!A:A,Groups!B:B)=0), (18 + BR259 * 2.7) * 0.5,
    IF(AND(_xlfn.XLOOKUP(B259,'Base stats'!B:B,'Base stats'!AL:AL)=0,OR(AO259&lt;0.55,AND(BI259="Intermediate",_xlfn.XLOOKUP(_xlfn.XLOOKUP(B259,'Base stats'!B:B,'Base stats'!E:E),Groups!A:A,Groups!B:B)&lt;2))), (18 + BR259 * 2.7),
      IF(OR(BI259="Advanced",_xlfn.XLOOKUP(B259,'Base stats'!B:B,'Base stats'!AL:AL)=1,_xlfn.XLOOKUP(_xlfn.XLOOKUP(B259,'Base stats'!B:B,'Base stats'!E:E),Groups!A:A,Groups!B:B)=2), (18 + BR259 * 2.7) + 250, (18 + BR259 * 2.7))
    )
  ))
  + AO259 * 80
  + IF(COUNTIF(EggMilk!K$2:K$998, A259) &gt; 0, 125, 0)
  + IF(COUNTIF(EggMilk!P$2:P$998, A259) &gt; 0, 90, 0)
  + IF(COUNTIF(EggMilk!A$2:A$998, A259) &gt; 0, 90, 0)
)
* (0.8 + 0.4 * J259)
* 0.75,25)</f>
        <v>600</v>
      </c>
      <c r="I259" s="2">
        <f>MROUND(ROUNDDOWN(_xlfn.XLOOKUP(B259,'Base stats'!B:B,'Base stats'!L:L)/3.6/(23.3/11),1),0.5)</f>
        <v>7.5</v>
      </c>
      <c r="J259" s="2">
        <f>IF(OR(_xlfn.XLOOKUP(B259,'Base stats'!B:B,'Base stats'!AB:AB)=1,_xlfn.XLOOKUP(_xlfn.XLOOKUP(B259,'Base stats'!B:B,'Base stats'!E:E),Groups!A:A,Groups!C:C)="Untamable"),1,IF(_xlfn.XLOOKUP(B259,'Base stats'!B:B,'Base stats'!AL:AL)=1,0.99,MIN(MROUND((1-0.6282*EXP(-0.459*AO259))*_xlfn.XLOOKUP(_xlfn.XLOOKUP(B259,'Base stats'!B:B,'Base stats'!E:E),Groups!A:A,Groups!C:C)*IF(_xlfn.XLOOKUP(B259,'Base stats'!B:B,'Base stats'!O:O)=1,0.5,IF(_xlfn.XLOOKUP(B259,'Base stats'!B:B,'Base stats'!O:O)=2,0,1)),0.05),IF(AO259&gt;3.5,0.985,0.95))))</f>
        <v>0.8</v>
      </c>
      <c r="K259" s="2">
        <f>ROUNDUP(AO259*_xlfn.XLOOKUP(_xlfn.XLOOKUP(B259,'Base stats'!B:B,'Base stats'!E:E),Groups!A:A,Groups!E:E),0)</f>
        <v>2</v>
      </c>
      <c r="L259" s="2">
        <f>IF(OR(_xlfn.XLOOKUP(_xlfn.XLOOKUP(B259,'Base stats'!B:B,'Base stats'!E:E),Groups!A:A,Groups!F:F)=2,ISNUMBER(SEARCH("SeaIce",BX259)),ISNUMBER(SEARCH("IceSheet",BX259))),-50,IF(OR(ISNUMBER(SEARCH("GlacialPlain",BX259)),ISNUMBER(SEARCH("Tundra",BX259))),-40,IF(OR(ISNUMBER(SEARCH("Alpine",BX259)),ISNUMBER(SEARCH("BorealForest",BX259)),ISNUMBER(SEARCH("ColdBog",BX259))),-30,IF(OR(ISNUMBER(SEARCH("TemperateForest",BX259)),ISNUMBER(SEARCH("TemperateSwamp",BX259))),-20,IF(_xlfn.XLOOKUP(_xlfn.XLOOKUP(B259,'Base stats'!B:B,'Base stats'!E:E),Groups!A:A,Groups!F:F)=1,-15,IF(OR(ISNUMBER(SEARCH("Desert",BX259)),ISNUMBER(SEARCH("ExtremeDesert",BX259))),-10,IF(OR(ISNUMBER(SEARCH("Grasslands",BX259)),ISNUMBER(SEARCH("TropicalRainforest",BX259)),ISNUMBER(SEARCH("TropicalSwamp",BX259))),10,0)))))))-IF(CC259="False",MIN(IFERROR(MAX(MROUND(LOG10(_xlfn.XLOOKUP(B259,'Base stats'!B:B,'Base stats'!C:C)^(2/3))*10,5),5),5),30))-_xlfn.XLOOKUP(B259,'Base stats'!B:B,'Base stats'!P:P)+IF(CC259="True",5,0)</f>
        <v>-30</v>
      </c>
      <c r="M259" s="2">
        <f>IF(OR(_xlfn.XLOOKUP(_xlfn.XLOOKUP(B259,'Base stats'!B:B,'Base stats'!E:E),Groups!A:A,Groups!G:G)=2,ISNUMBER(SEARCH("Desert",BX259)),ISNUMBER(SEARCH("ExtremeDesert",BX259)),ISNUMBER(SEARCH("LavaField",BX259))),50,IF(ISNUMBER(SEARCH("Grasslands",BX259)),45,IF(OR(_xlfn.XLOOKUP(_xlfn.XLOOKUP(B259,'Base stats'!B:B,'Base stats'!E:E),Groups!A:A,Groups!G:G)=1,ISNUMBER(SEARCH("TropicalRainforest",BX259)),ISNUMBER(SEARCH("TropicalSwamp",BX259))),40,IF(OR(ISNUMBER(SEARCH("TemperateForest",BX259)),ISNUMBER(SEARCH("TemperateSwamp",BX259))),35,IF(OR(ISNUMBER(SEARCH("Alpine",BX259)),ISNUMBER(SEARCH("BorealForest",BX259)),ISNUMBER(SEARCH("ColdBog",BX259))),30,IF(ISNUMBER(OR(ISNUMBER(SEARCH("GlacialPlain",BX259)),SEARCH("Tundra",BX259))),25,IF(OR(ISNUMBER(SEARCH("SeaIce",BX259)),ISNUMBER(SEARCH("IceSheet",BX259)),ISNUMBER(SEARCH("TropicalSwamp",BX259))),10,35)))))))+_xlfn.XLOOKUP(B259,'Base stats'!B:B,'Base stats'!Q:Q)</f>
        <v>40</v>
      </c>
      <c r="N259" s="8" t="str">
        <f>IF(
_xlfn.XLOOKUP(
_xlfn.XLOOKUP(B259,'Base stats'!B:B,'Base stats'!E:E),
Groups!A:A,
Groups!L:L
)=1,
MIN(
MROUND(
IF(
_xlfn.XLOOKUP(B259,'Animals CE'!B:B,'Animals CE'!Z:Z)&lt;=1.5,
_xlfn.XLOOKUP(B259,'Animals CE'!B:B,'Animals CE'!Z:Z)/2+0.05,
0.8+
(_xlfn.XLOOKUP(B259,'Animals CE'!B:B,'Animals CE'!Z:Z)-1.5)
*0.02
),
0.05
),
200%
),
"No"
)</f>
        <v>No</v>
      </c>
      <c r="O259" s="8" t="str">
        <f>IF(
_xlfn.XLOOKUP(
_xlfn.XLOOKUP(B259,'Base stats'!B:B,'Base stats'!E:E),
Groups!A:A,
Groups!L:L
)=1,
MIN(
MROUND(
IF(
_xlfn.XLOOKUP(B259,'Animals CE'!B:B,'Animals CE'!AA:AA)&lt;=1.5,
_xlfn.XLOOKUP(B259,'Animals CE'!B:B,'Animals CE'!AA:AA)/2+0.05,
0.8+
(_xlfn.XLOOKUP(B259,'Animals CE'!B:B,'Animals CE'!AA:AA)-1.5)
*0.02
),
0.05
),
200%
),
"No"
)</f>
        <v>No</v>
      </c>
      <c r="P259" s="2" t="str">
        <f>_xlfn.XLOOKUP(B259,'Base stats'!B:B,'Base stats'!R:R)</f>
        <v>Standard</v>
      </c>
      <c r="Q259" s="13">
        <f>MROUND((LOG10(_xlfn.XLOOKUP(B259,'Base stats'!B:B,'Base stats'!AR:AR))*(AO259^0.5)+(_xlfn.XLOOKUP(B259,'Base stats'!B:B,'Base stats'!AR:AR)/1000)^(2/3)+_xlfn.XLOOKUP(B259,'Base stats'!B:B,'Base stats'!BA:BA)/2)+0.5,0.5)</f>
        <v>8</v>
      </c>
      <c r="R259" s="7">
        <f>IF(Q259="No","No",MAX(1,MROUND(_xlfn.XLOOKUP(B259,'Base stats'!B:B,'Base stats'!C:C)^0.165,0.05)))</f>
        <v>2.1</v>
      </c>
      <c r="S259" s="13" t="str">
        <f>IF(_xlfn.XLOOKUP(_xlfn.XLOOKUP(B259,'Base stats'!B:B,'Base stats'!E:E),Groups!A:A,Groups!P:P)=0,"No",MROUND((LOG10(_xlfn.XLOOKUP(B259,'Base stats'!B:B,'Base stats'!AS:AS))*(AO259^0.5)+(_xlfn.XLOOKUP(B259,'Base stats'!B:B,'Base stats'!AS:AS)/1000)^(2/3)+_xlfn.XLOOKUP(B259,'Base stats'!B:B,'Base stats'!BA:BA))+_xlfn.XLOOKUP(B259,'Base stats'!B:B,'Base stats'!AY:AY)+0.5,0.5))</f>
        <v>No</v>
      </c>
      <c r="T259" s="7" t="str">
        <f>IF(S259="No","No",MAX(_xlfn.XLOOKUP(_xlfn.XLOOKUP(B259,'Base stats'!B:B,'Base stats'!E:E),Groups!A:A,Groups!Q:Q),MROUND(_xlfn.XLOOKUP(_xlfn.XLOOKUP(B259,'Base stats'!B:B,'Base stats'!E:E),Groups!A:A,Groups!Q:Q)*_xlfn.XLOOKUP(B259,'Base stats'!B:B,'Base stats'!C:C)^0.165,0.05)))</f>
        <v>No</v>
      </c>
      <c r="U259" s="7" t="str">
        <f>IF(S259="No","No",_xlfn.XLOOKUP(_xlfn.XLOOKUP(B259,'Base stats'!B:B,'Base stats'!E:E),Groups!A:A,Groups!R:R))</f>
        <v>No</v>
      </c>
      <c r="V259" s="7" t="str">
        <f>IF(S259="No","No",_xlfn.XLOOKUP(_xlfn.XLOOKUP(B259,'Base stats'!B:B,'Base stats'!E:E),Groups!A:A,Groups!S:S))</f>
        <v>No</v>
      </c>
      <c r="W259" s="7" t="str">
        <f>IF(S259="No","No",_xlfn.XLOOKUP(_xlfn.XLOOKUP(B259,'Base stats'!B:B,'Base stats'!E:E),Groups!A:A,Groups!T:T))</f>
        <v>No</v>
      </c>
      <c r="X259" s="13">
        <f>IF(_xlfn.XLOOKUP(B259,'Base stats'!B:B,'Base stats'!W:W)="No","No",MROUND((LOG10(_xlfn.XLOOKUP(B259,'Base stats'!B:B,'Base stats'!AU:AU))*(AO259^0.5)+(_xlfn.XLOOKUP(B259,'Base stats'!B:B,'Base stats'!AU:AU)/1000)^(2/3)+_xlfn.XLOOKUP(B259,'Base stats'!B:B,'Base stats'!AZ:AZ))+0.5+IF(_xlfn.XLOOKUP(_xlfn.XLOOKUP(B259,'Base stats'!B:B,'Base stats'!E:E),Groups!A:A,Groups!U:U)&lt;&gt;3,_xlfn.XLOOKUP(B259,'Base stats'!B:B,'Base stats'!BA:BA),0),0.5))</f>
        <v>9.5</v>
      </c>
      <c r="Y259" s="7">
        <f>IF(X259="No","No",MAX(_xlfn.XLOOKUP(_xlfn.XLOOKUP(B259,'Base stats'!B:B,'Base stats'!E:E),Groups!A:A,Groups!V:V),MROUND(_xlfn.XLOOKUP(_xlfn.XLOOKUP(B259,'Base stats'!B:B,'Base stats'!E:E),Groups!A:A,Groups!V:V)*_xlfn.XLOOKUP(B259,'Base stats'!B:B,'Base stats'!C:C)^0.165,0.05)))</f>
        <v>1.25</v>
      </c>
      <c r="Z259" s="7" t="str">
        <f>IF(X259="No","No",_xlfn.XLOOKUP(_xlfn.XLOOKUP(B259,'Base stats'!B:B,'Base stats'!E:E),Groups!A:A,Groups!W:W))</f>
        <v>HeadAttackTool</v>
      </c>
      <c r="AA259" s="7" t="str">
        <f>IF(X259="No","No",_xlfn.XLOOKUP(_xlfn.XLOOKUP(B259,'Base stats'!B:B,'Base stats'!E:E),Groups!A:A,Groups!X:X))</f>
        <v>ninetails</v>
      </c>
      <c r="AB259" s="7" t="str">
        <f>IF(X259="No","No",_xlfn.XLOOKUP(_xlfn.XLOOKUP(B259,'Base stats'!B:B,'Base stats'!E:E),Groups!A:A,Groups!Y:Y))</f>
        <v>Stab</v>
      </c>
      <c r="AC259" s="7" t="str">
        <f>_xlfn.XLOOKUP(Animals!B259,'Base stats'!B:B,'Base stats'!X:X)</f>
        <v>False</v>
      </c>
      <c r="AD259" s="13">
        <f>IF(_xlfn.XLOOKUP(B259,'Base stats'!B:B,'Base stats'!AT:AT)="No","No",MROUND((LOG10(_xlfn.XLOOKUP(B259,'Base stats'!B:B,'Base stats'!AT:AT))*(AO259^0.75)+(_xlfn.XLOOKUP(B259,'Base stats'!B:B,'Base stats'!AT:AT)/1000)^(2/3)+_xlfn.XLOOKUP(B259,'Base stats'!B:B,'Base stats'!AX:AX)+_xlfn.XLOOKUP(B259,'Base stats'!B:B,'Base stats'!BA:BA))+0.5,0.5))</f>
        <v>14.5</v>
      </c>
      <c r="AE259" s="7">
        <f>IF(AD259="No","No",MAX(_xlfn.XLOOKUP(_xlfn.XLOOKUP(B259,'Base stats'!B:B,'Base stats'!E:E),Groups!A:A,Groups!Z:Z),MROUND(_xlfn.XLOOKUP(_xlfn.XLOOKUP(B259,'Base stats'!B:B,'Base stats'!E:E),Groups!A:A,Groups!Z:Z)*_xlfn.XLOOKUP(B259,'Base stats'!B:B,'Base stats'!C:C)^0.165,0.05)))</f>
        <v>1.5</v>
      </c>
      <c r="AF259" s="7" t="str">
        <f>IF(AD259="No","No",_xlfn.XLOOKUP(_xlfn.XLOOKUP(B259,'Base stats'!B:B,'Base stats'!E:E),Groups!A:A,Groups!AA:AA))</f>
        <v>Teeth</v>
      </c>
      <c r="AG259" s="7" t="str">
        <f>IF(AD259="No","No",_xlfn.XLOOKUP(_xlfn.XLOOKUP(B259,'Base stats'!B:B,'Base stats'!E:E),Groups!A:A,Groups!AB:AB))</f>
        <v>teeth</v>
      </c>
      <c r="AH259" s="7" t="str">
        <f>IF(AD259="No","No",_xlfn.XLOOKUP(_xlfn.XLOOKUP(B259,'Base stats'!B:B,'Base stats'!E:E),Groups!A:A,Groups!AC:AC))</f>
        <v>Bite</v>
      </c>
      <c r="AI259" s="13">
        <f>IF(_xlfn.XLOOKUP(_xlfn.XLOOKUP(B259,'Base stats'!B:B,'Base stats'!E:E),Groups!A:A,Groups!AD:AD)=0,"No",MROUND((LOG10(_xlfn.XLOOKUP(B259,'Base stats'!B:B,'Base stats'!AS:AS))*(AO259^0.75)+(_xlfn.XLOOKUP(B259,'Base stats'!B:B,'Base stats'!AS:AS)/1000)^(2/3)+_xlfn.XLOOKUP(B259,'Base stats'!B:B,'Base stats'!AY:AY)+_xlfn.XLOOKUP(B259,'Base stats'!B:B,'Base stats'!BA:BA))+0.5,0.5))</f>
        <v>12</v>
      </c>
      <c r="AJ259" s="7">
        <f>IF(AI259="No","No",MAX(_xlfn.XLOOKUP(_xlfn.XLOOKUP(B259,'Base stats'!B:B,'Base stats'!E:E),Groups!A:A,Groups!AE:AE),MROUND(_xlfn.XLOOKUP(_xlfn.XLOOKUP(B259,'Base stats'!B:B,'Base stats'!E:E),Groups!A:A,Groups!AE:AE)*IF(_xlfn.XLOOKUP(_xlfn.XLOOKUP(B259,'Base stats'!B:B,'Base stats'!E:E),Groups!A:A,Groups!AJ:AJ)="Photonozoa",0.6,1)*_xlfn.XLOOKUP(B259,'Base stats'!B:B,'Base stats'!C:C)^0.165,0.05)))</f>
        <v>1.4000000000000001</v>
      </c>
      <c r="AK259" s="7" t="str">
        <f>IF(AI259="No","No",_xlfn.XLOOKUP(_xlfn.XLOOKUP(B259,'Base stats'!B:B,'Base stats'!E:E),Groups!A:A,Groups!AF:AF))</f>
        <v>FrontLeftPaw, FrontRightPaw</v>
      </c>
      <c r="AL259" s="7" t="str">
        <f>IF(AI259="No","No",_xlfn.XLOOKUP(_xlfn.XLOOKUP(B259,'Base stats'!B:B,'Base stats'!E:E),Groups!A:A,Groups!AG:AG))</f>
        <v>left claw, right claw</v>
      </c>
      <c r="AM259" s="7" t="str">
        <f>IF(AI259="No","No",_xlfn.XLOOKUP(_xlfn.XLOOKUP(B259,'Base stats'!B:B,'Base stats'!E:E),Groups!A:A,Groups!AH:AH))</f>
        <v>Scratch</v>
      </c>
      <c r="AN259" s="2">
        <f t="shared" ref="AN259:AN322" si="28">IF(BJ259="false","No",MROUND(AO259*5+15*1,5))</f>
        <v>20</v>
      </c>
      <c r="AO259" s="2">
        <f>MROUND(IF(AND(_xlfn.XLOOKUP(B259,'Base stats'!B:B,'Base stats'!C:C)&gt;=0.5,_xlfn.XLOOKUP(B259,'Base stats'!B:B,'Base stats'!C:C)&lt;=0.8),
IF(_xlfn.XLOOKUP(B259,'Base stats'!B:B,'Base stats'!C:C)&lt;0.1,0.05,IF(_xlfn.XLOOKUP(B259,'Base stats'!B:B,'Base stats'!C:C)&lt;=70,(_xlfn.XLOOKUP(B259,'Base stats'!B:B,'Base stats'!C:C)/70)^0.426489913056526,IF(_xlfn.XLOOKUP(B259,'Base stats'!B:B,'Base stats'!C:C)&lt;=400,(_xlfn.XLOOKUP(B259,'Base stats'!B:B,'Base stats'!C:C)/70)^0.572811455315093,IF(_xlfn.XLOOKUP(B259,'Base stats'!B:B,'Base stats'!C:C)&lt;=2000,2.71391647193063*(_xlfn.XLOOKUP(B259,'Base stats'!B:B,'Base stats'!C:C)/400)^0.252459582904293,3.74314280240376*(_xlfn.XLOOKUP(B259,'Base stats'!B:B,'Base stats'!C:C)/2000)^0.357012633876913)))),
IF(_xlfn.XLOOKUP(B259,'Base stats'!B:B,'Base stats'!C:C)&lt;0.1,0.05,IF(_xlfn.XLOOKUP(B259,'Base stats'!B:B,'Base stats'!C:C)&lt;0.4,0.1,IF(_xlfn.XLOOKUP(B259,'Base stats'!B:B,'Base stats'!C:C)&lt;=70,(_xlfn.XLOOKUP(B259,'Base stats'!B:B,'Base stats'!C:C)/70)^0.445823913056526,IF(_xlfn.XLOOKUP(B259,'Base stats'!B:B,'Base stats'!C:C)&lt;=400,(_xlfn.XLOOKUP(B259,'Base stats'!B:B,'Base stats'!C:C)/70)^0.572811455315093,IF(_xlfn.XLOOKUP(B259,'Base stats'!B:B,'Base stats'!C:C)&lt;=2000,2.71391647193063*(_xlfn.XLOOKUP(B259,'Base stats'!B:B,'Base stats'!C:C)/400)^0.252459582904293,3.74314280240376*(_xlfn.XLOOKUP(B259,'Base stats'!B:B,'Base stats'!C:C)/2000)^0.357012633876913)))))),
IF(_xlfn.XLOOKUP(B259,'Base stats'!B:B,'Base stats'!C:C)&lt;0.1,0.05,IF(_xlfn.XLOOKUP(B259,'Base stats'!B:B,'Base stats'!C:C)&lt;=100,0.05,IF(_xlfn.XLOOKUP(B259,'Base stats'!B:B,'Base stats'!C:C)&lt;=250,0.1,IF(_xlfn.XLOOKUP(B259,'Base stats'!B:B,'Base stats'!C:C)&lt;=4000,0.25,0.5)))))</f>
        <v>1.2000000000000002</v>
      </c>
      <c r="AP259" s="8">
        <f>MROUND(AO259*_xlfn.XLOOKUP(_xlfn.XLOOKUP(B259,'Base stats'!B:B,'Base stats'!E:E),Groups!A:A,Groups!AI:AI)*_xlfn.XLOOKUP(B259,'Base stats'!B:B,'Base stats'!Z:Z),0.05)</f>
        <v>1.4500000000000002</v>
      </c>
      <c r="AQ259" s="8">
        <f>MAX(0.01,MROUND(IF(CC259="True",0.196*(AO259*100*1000)^0.889,IF(_xlfn.XLOOKUP(_xlfn.XLOOKUP(B259,'Base stats'!B:B,'Base stats'!E:E),Groups!A:A,Groups!AJ:AJ)="Bird",10.5*(AO259*100*1000)^0.681,4.82*(AO259*100*1000)^0.734))/(4.82*(1*100*1000)^0.734)/IF(AO259&lt;3.5,2,IF(AO259=3.5,1.5,1.25))*(1+0.132282374779864/(AO259^0.994035016789033+0.00905238001496948)),0.05))</f>
        <v>0.65</v>
      </c>
      <c r="AR259" s="9">
        <f>IFERROR(MROUND(_xlfn.XLOOKUP(B259,'Base stats'!B:B,'Base stats'!H:H)/IF(_xlfn.XLOOKUP(B259,'Base stats'!B:B,'Base stats'!I:I)&lt;&gt;1,(122.5/70),1.2),IF(_xlfn.XLOOKUP(B259,'Base stats'!B:B,'Base stats'!H:H)&gt;=30,5,IF(_xlfn.XLOOKUP(B259,'Base stats'!B:B,'Base stats'!H:H)&gt;=15,3,IF(_xlfn.XLOOKUP(B259,'Base stats'!B:B,'Base stats'!H:H)&gt;=10,2,1)))),"Immortal")</f>
        <v>15</v>
      </c>
      <c r="AS259" s="35">
        <f>IFERROR(IF(OR(_xlfn.XLOOKUP(B259,'Base stats'!B:B,'Base stats'!F:F)="Atypical reproduction",_xlfn.XLOOKUP(B259,'Base stats'!B:B,'Base stats'!F:F)="Lay eggs"),"Lay eggs",MIN(20,MAX(5.5,ROUND(((_xlfn.XLOOKUP(B259,'Base stats'!B:B,'Base stats'!F:F)-25)*(14.5/615) + 5.5)*2,0)/2))),"Unknown")</f>
        <v>7</v>
      </c>
      <c r="AT259" s="8">
        <f>IF(_xlfn.XLOOKUP(B259,'Base stats'!B:B,'Base stats'!G:G)="Atypical reproduction","No",IFERROR(MAX(IF(_xlfn.XLOOKUP(B259,'Base stats'!B:B,'Base stats'!G:G)&lt;0.5,0.2,0.3),MROUND(_xlfn.XLOOKUP(B259,'Base stats'!B:B,'Base stats'!G:G)/(365/60),0.2)),"Unknown"))</f>
        <v>0.4</v>
      </c>
      <c r="AU259" s="8">
        <f t="shared" ref="AU259:AU322" si="29">IF(AT259="No","No",IFERROR(MROUND(AT259/2,0.05),"Unknown"))</f>
        <v>0.2</v>
      </c>
      <c r="AV259" s="8">
        <f>IFERROR(IFERROR(MROUND(_xlfn.XLOOKUP(B259,'Base stats'!B:B,'Base stats'!J:J),0.1),"Lay eggs"),"Cannot breed")</f>
        <v>2</v>
      </c>
      <c r="AW259" s="2" t="str">
        <f t="shared" ref="AW259:AW322" si="30">IF(BT259="No","false","true")</f>
        <v>false</v>
      </c>
      <c r="AX259" s="2" t="str">
        <f>IF(_xlfn.XLOOKUP(_xlfn.XLOOKUP(Animals!B259,'Base stats'!B:B,'Base stats'!E:E),Groups!A:A,Groups!AK:AK)=1,"true","false")</f>
        <v>false</v>
      </c>
      <c r="AY259" s="25" t="str">
        <f>IF(_xlfn.XLOOKUP(B259,'Base stats'!B:B,'Base stats'!Y:Y)="Liquor","Liquor, CarnivoreAnimalStrict",IF(AND(_xlfn.XLOOKUP(B259,'Base stats'!B:B,'Base stats'!Y:Y)="Carnivore",_xlfn.XLOOKUP(_xlfn.XLOOKUP(B259,'Base stats'!B:B,'Base stats'!E:E),Groups!A:A,Groups!AJ:AJ)="Photonozoa"),"CarnivoreAnimalStrict, OvivoreAnimal",IF(_xlfn.XLOOKUP(B259,'Base stats'!B:B,'Base stats'!Y:Y)="Carnivore","CarnivoreAnimal, OvivoreAnimal",IF(_xlfn.XLOOKUP(B259,'Base stats'!B:B,'Base stats'!Y:Y)="Dendrovore","VegetarianRoughAnimal, DendrovoreAnimal",IF(_xlfn.XLOOKUP(B259,'Base stats'!B:B,'Base stats'!Y:Y)="Herbivore","VegetarianRoughAnimal",IF(_xlfn.XLOOKUP(B259,'Base stats'!B:B,'Base stats'!Y:Y)="OmnivoreRough","OmnivoreRoughAnimal, OvivoreAnimal","OmnivoreAnimal, OvivoreAnimal"))))))</f>
        <v>OmnivoreAnimal, OvivoreAnimal</v>
      </c>
      <c r="AZ259" s="2" t="str">
        <f>IF(_xlfn.XLOOKUP(_xlfn.XLOOKUP(B259,'Base stats'!B:B,'Base stats'!E:E),Groups!A:A,Groups!D:D)=1,MROUND((1-J259)*5+1,2)*IF(J259&lt;=0.4,2,1),"No")</f>
        <v>No</v>
      </c>
      <c r="BA259" s="2" t="str">
        <f>IF(AND(_xlfn.XLOOKUP(B259,'Base stats'!B:B,'Base stats'!AH:AH)="&lt;li&gt;Seal&lt;/li&gt;",G259="Odyssey"),"&lt;li&gt;AEXP_Seal&lt;/li&gt;",_xlfn.XLOOKUP(B259,'Base stats'!B:B,'Base stats'!AH:AH))</f>
        <v>&lt;li&gt;AA_Nightling&lt;/li&gt;</v>
      </c>
      <c r="BB259" s="2" t="str">
        <f>_xlfn.XLOOKUP(B259,'Base stats'!B:B,'Base stats'!AG:AG)</f>
        <v>Leather_Night</v>
      </c>
      <c r="BC259" s="23" t="str">
        <f>_xlfn.XLOOKUP(_xlfn.XLOOKUP(B259,'Base stats'!B:B,'Base stats'!E:E),Groups!A:A,Groups!AL:AL)</f>
        <v>QuadrupedAnimalWithPawsAndTail</v>
      </c>
      <c r="BD259" s="23">
        <f>MIN(1,MROUND(IF(AND(AO259&lt;0.5,_xlfn.XLOOKUP(B259,'Base stats'!B:B,'Base stats'!AA:AA)=0),0,IF(OR(_xlfn.XLOOKUP(Animals!B259,'Base stats'!B:B,'Base stats'!O:O)=2,_xlfn.XLOOKUP(_xlfn.XLOOKUP(B259,'Base stats'!B:B,'Base stats'!E:E),Groups!A:A,Groups!AN:AN)=0),0,_xlfn.XLOOKUP(_xlfn.XLOOKUP(B259,'Base stats'!B:B,'Base stats'!E:E),Groups!A:A,Groups!AN:AN)/IF(_xlfn.XLOOKUP(Animals!B259,'Base stats'!B:B,'Base stats'!O:O)=1,2,1)))+_xlfn.XLOOKUP(B259,'Base stats'!B:B,'Base stats'!AC:AC),0.005))</f>
        <v>0.1</v>
      </c>
      <c r="BE259" s="23">
        <f>MIN(1,MROUND(IF(AND(AO259&lt;0.5,_xlfn.XLOOKUP(B259,'Base stats'!B:B,'Base stats'!AA:AA)=0),0,IF(_xlfn.XLOOKUP(_xlfn.XLOOKUP(B259,'Base stats'!B:B,'Base stats'!E:E),Groups!A:A,Groups!AO:AO)=0,0,_xlfn.XLOOKUP(_xlfn.XLOOKUP(B259,'Base stats'!B:B,'Base stats'!E:E),Groups!A:A,Groups!AO:AO)/IF(_xlfn.XLOOKUP(Animals!B259,'Base stats'!B:B,'Base stats'!O:O)=2,3,1)))+_xlfn.XLOOKUP(B259,'Base stats'!B:B,'Base stats'!AD:AD),0.005))</f>
        <v>0.3</v>
      </c>
      <c r="BF259" s="2" t="str">
        <f>IF(J259&gt;0.3,"No",_xlfn.XLOOKUP(_xlfn.XLOOKUP(Animals!B259,'Base stats'!B:B,'Base stats'!E:E),Groups!A:A,Groups!AP:AP))</f>
        <v>No</v>
      </c>
      <c r="BG259" s="2" t="str">
        <f>IF(AND(J259&lt;=0.65,_xlfn.XLOOKUP(_xlfn.XLOOKUP(Animals!B259,'Base stats'!B:B,'Base stats'!E:E),Groups!A:A,Groups!AP:AP)&lt;&gt;"No",_xlfn.XLOOKUP(_xlfn.XLOOKUP(B259,'Base stats'!B:B,'Base stats'!E:E),Groups!A:A,Groups!D:D)=0),MROUND((80/3)*IF(_xlfn.XLOOKUP(B259,'Base stats'!B:B,'Base stats'!O:O)=2,0.2,AO259) + 24*(1-IF(BF259="No",0,BF259)) + 16/3, 12),"No")</f>
        <v>No</v>
      </c>
      <c r="BH259" s="2">
        <f>IF(AND(_xlfn.XLOOKUP(_xlfn.XLOOKUP(B259,'Base stats'!B:B,'Base stats'!E:E),Groups!A:A,Groups!AQ:AQ)=1,AO259&lt;=0.35),8,12)</f>
        <v>12</v>
      </c>
      <c r="BI259" s="2" t="str">
        <f>IF(_xlfn.XLOOKUP(_xlfn.XLOOKUP(B259,'Base stats'!B:B,'Base stats'!E:E),Groups!A:A,Groups!D:D)=0,_xlfn.XLOOKUP(_xlfn.XLOOKUP(B259,'Base stats'!B:B,'Base stats'!E:E),Groups!A:A,Groups!AR:AR),"None")</f>
        <v>Intermediate</v>
      </c>
      <c r="BJ259" s="2" t="str">
        <f>IF(AND(_xlfn.XLOOKUP(_xlfn.XLOOKUP(B259,'Base stats'!B:B,'Base stats'!E:E),Groups!A:A,Groups!AS:AS)=1,OR(_xlfn.XLOOKUP(B259,'Base stats'!B:B,'Base stats'!Y:Y)="Carnivore",_xlfn.XLOOKUP(B259,'Base stats'!B:B,'Base stats'!Y:Y)="Omnivore")),"true","false")</f>
        <v>true</v>
      </c>
      <c r="BK259" s="2">
        <f>IF(BJ259="true",MROUND(IF(AND(AO259&gt;0.5,OR(_xlfn.XLOOKUP(_xlfn.XLOOKUP(B259,'Base stats'!B:B,'Base stats'!E:E),Groups!A:A,Groups!AJ:AJ)="Photonozoa",_xlfn.XLOOKUP(_xlfn.XLOOKUP(B259,'Base stats'!B:B,'Base stats'!E:E),Groups!A:A,Groups!AJ:AJ)="Mammal")),Animals!AO259*1.75*IF(AW259="true",1.5,1),IF(AO259&lt;0.5,Animals!AO259*0.5,Animals!AO259)),IF(AO259&gt;2,0.5,IF(AO259&gt;0.5,0.25,0.1))),"No")</f>
        <v>2</v>
      </c>
      <c r="BL259" s="2">
        <f t="shared" ref="BL259:BL322" si="31">IF(BI259&lt;&gt;"None",1,0)</f>
        <v>1</v>
      </c>
      <c r="BM259" s="25" t="str">
        <f>IF(_xlfn.XLOOKUP(B259,'Base stats'!B:B,'Base stats'!AN:AN)="Standard","No",MROUND((_xlfn.XLOOKUP(B259,'Base stats'!B:B,'Base stats'!AN:AN)/3.6)/I259,0.1))</f>
        <v>No</v>
      </c>
      <c r="BN259" s="25" t="str">
        <f t="shared" ref="BN259:BN322" si="32">IF(OR(BM259&lt;&gt;"No",BQ259=1),"true","false")</f>
        <v>false</v>
      </c>
      <c r="BO259" s="25" t="str">
        <f>IF(AND(OR(_xlfn.XLOOKUP(B259,'Base stats'!B:B,'Base stats'!Y:Y)="Carnivore",_xlfn.XLOOKUP(B259,'Base stats'!B:B,'Base stats'!Y:Y)="Omnivore",_xlfn.XLOOKUP(B259,'Base stats'!B:B,'Base stats'!Y:Y)="OmnivoreRough"),_xlfn.XLOOKUP(_xlfn.XLOOKUP(B259,'Base stats'!B:B,'Base stats'!E:E),Groups!A:A,Groups!AT:AT)=1),"true","false")</f>
        <v>false</v>
      </c>
      <c r="BP259" s="25" t="str" cm="1">
        <f t="array" ref="BP259">IF(
  _xlfn.TEXTJOIN(", ",TRUE,
    IF(AND(BJ259="true",AO259&gt;0.5,BI259&lt;&gt;"None"),"AttackTarget",""),
    IF(AND(_xlfn.XLOOKUP(_xlfn.XLOOKUP(B259,'Base stats'!B:B,'Base stats'!E:E),Groups!A:A,Groups!AJ:AJ="Mammal"),OR(_xlfn.XLOOKUP(B259,'Base stats'!B:B,'Base stats'!Y:Y)="Omnivore",_xlfn.XLOOKUP(B259,'Base stats'!B:B,'Base stats'!Y:Y)="OmnivoreRough")),"Forage",""),
    IF(BG259&lt;=36,"Comfort",""),
    IF(_xlfn.XLOOKUP(B259,'Base stats'!B:B,'Base stats'!AE:AE)&lt;&gt;"No",_xlfn.XLOOKUP(B259,'Base stats'!B:B,'Base stats'!AE:AE),"")
  ) = "",
  "No",
  _xlfn.TEXTJOIN(", ",TRUE,
    IF(AND(BJ259="true",AO259&gt;0.5,BI259&lt;&gt;"None"),"AttackTarget",""),
    IF(AND(_xlfn.XLOOKUP(_xlfn.XLOOKUP(B259,'Base stats'!B:B,'Base stats'!E:E),Groups!A:A,Groups!AJ:AJ="Mammal"),OR(_xlfn.XLOOKUP(B259,'Base stats'!B:B,'Base stats'!Y:Y)="Omnivore",_xlfn.XLOOKUP(B259,'Base stats'!B:B,'Base stats'!Y:Y)="OmnivoreRough")),"Forage",""),
    IF(BG259&lt;=36,"Comfort",""),
    IF(_xlfn.XLOOKUP(B259,'Base stats'!B:B,'Base stats'!AE:AE)&lt;&gt;"No",_xlfn.XLOOKUP(B259,'Base stats'!B:B,'Base stats'!AE:AE),"")
  )
)</f>
        <v>AttackTarget, Forage</v>
      </c>
      <c r="BQ259" s="25" t="str">
        <f>IF(
   AND(
      'Base stats'!AN259="Standard",_xlfn.XLOOKUP(_xlfn.XLOOKUP(B259,'Base stats'!B:B,'Base stats'!E:E),Groups!A:A,Groups!AU:AU)=0,
      OR(
      BO259="True"
      )
   ),
   10,
   IF(
       OR(BM259&lt;&gt;"No",_xlfn.XLOOKUP(_xlfn.XLOOKUP(B259,'Base stats'!B:B,'Base stats'!E:E),Groups!A:A,Groups!AU:AU)=1),
      1,
      "No"
   )
)</f>
        <v>No</v>
      </c>
      <c r="BR259" s="9">
        <f>MROUND((1 + ((0.2*IF(OR(Q259="No",R259="No",R259=0),0,Q259/R259)
+IF(OR(V259="No",S259="No",T259="No"),0,S259/T259*(LEN(V259)-LEN(SUBSTITUTE(V259,",",""))+1))
+IF(OR(X259="No",Y259="No"),0,X259/Y259)
+IF(OR(AD259="No",AE259="No"),0,AD259/AE259)
+IF(OR(AL259="No",AI259="No",AJ259="No"),0,AI259/AJ259*(LEN(AL259)-LEN(SUBSTITUTE(AL259,",",""))+1))
)/(0.2*IF(OR(Q259="No",R259="No",R259=0),0,1)
+IF(OR(V259="No",S259="No",T259="No"),0,LEN(V259)-LEN(SUBSTITUTE(V259,",",""))+1)
+IF(OR(X259="No",Y259="No"),0,1)
+IF(OR(AD259="No",AE259="No"),0,1)
+IF(OR(AL259="No",AI259="No",AJ259="No"),0,LEN(AL259)-LEN(SUBSTITUTE(AL259,",",""))+1))*62%)* 2)*(1 + (AP259 / (IF(_xlfn.XLOOKUP(_xlfn.XLOOKUP(B259,'Base stats'!B:B,'Base stats'!E:E),Groups!A:A,Groups!AJ:AJ)="Photonozoa",0.3,1)) + _xlfn.XLOOKUP(B259,'Base stats'!B:B,'Base stats'!AV:AV) * 1.8) * 2) * 2.5 + 10 + I259 * 2,5)+IF(_xlfn.XLOOKUP(B259,'Base stats'!B:B,'Base stats'!AK:AK)=1,50,0)</f>
        <v>135</v>
      </c>
      <c r="BS259" s="8">
        <f t="shared" ref="BS259:BS322" si="33">MROUND(AO259 * 0.2 + AQ259 * 0.8,0.05)</f>
        <v>0.75</v>
      </c>
      <c r="BT259" s="8" t="str">
        <f>_xlfn.XLOOKUP(B259,'Base stats'!B:B,'Base stats'!AF:AF)</f>
        <v>No</v>
      </c>
      <c r="BU259" s="2" t="str">
        <f>IF(AND(J259&lt;=0.95,OR(_xlfn.XLOOKUP(B259,'Base stats'!B:B,'Base stats'!AK:AK)=1,_xlfn.XLOOKUP(B259,'Base stats'!B:B,'Base stats'!Y:Y)="Carnivore",_xlfn.XLOOKUP(B259,'Base stats'!B:B,'Base stats'!Y:Y)="Omnivore",BE259&gt;0.1)),"true","false")</f>
        <v>true</v>
      </c>
      <c r="BV259" s="2" t="str">
        <f>IF(_xlfn.XLOOKUP(B259,'Base stats'!B:B,'Base stats'!AI:AI)=1,"true","false")</f>
        <v>false</v>
      </c>
      <c r="BW259" s="25" t="str">
        <f>IF(E259="BaseInsect","AnimalInsect",
IF(J259&gt;0.95,"AnimalExotic",
_xlfn.TEXTJOIN(", ",TRUE,
IF(OR(_xlfn.XLOOKUP(B259,'Base stats'!B:B,'Base stats'!AM:AM)=1,AND(_xlfn.XLOOKUP(B259,'Base stats'!B:B,'Base stats'!O:O)=0,_xlfn.XLOOKUP(_xlfn.XLOOKUP(B259,'Base stats'!B:B,'Base stats'!E:E),Groups!A:A,Groups!B:B)&gt;0)),"AnimalUncommon","AnimalCommon"),
IF(AND(_xlfn.XLOOKUP(B259,'Base stats'!B:B,'Base stats'!O:O)=2,_xlfn.XLOOKUP(_xlfn.XLOOKUP(B259,'Base stats'!B:B,'Base stats'!E:E),Groups!A:A,Groups!D:D)=0),"AnimalPet",IF(AND(_xlfn.XLOOKUP(B259,'Base stats'!B:B,'Base stats'!O:O)&lt;&gt;0,_xlfn.XLOOKUP(_xlfn.XLOOKUP(B259,'Base stats'!B:B,'Base stats'!E:E),Groups!A:A,Groups!D:D)&lt;&gt;0),"AnimalFarm","")),
IF(OR(_xlfn.XLOOKUP(B259,'Base stats'!B:B,'Base stats'!AK:AK)=1,AND(BI259&lt;&gt;"None",BR259&gt;=60),ISNUMBER(SEARCH("Attack target",BP259))),"AnimalFighter","")
)))</f>
        <v>AnimalUncommon, AnimalFighter</v>
      </c>
      <c r="BX259" s="25" t="str">
        <f>IF(G259="None",TRIM(
SUBSTITUTE(
IF(COUNTIF(Biomes!B$2:B$259,"="&amp;$C259)&gt;0,Biomes!B$1&amp;", ","")&amp;
IF(COUNTIF(Biomes!C$2:C$259,"="&amp;$C259)&gt;0,Biomes!C$1&amp;", ","")&amp;
IF(COUNTIF(Biomes!D$2:D$259,"="&amp;$C259)&gt;0,Biomes!D$1&amp;", ","")&amp;
IF(COUNTIF(Biomes!F$2:F$259,"="&amp;$C259)&gt;0,Biomes!F$1&amp;", ","")&amp;
IF(COUNTIF(Biomes!G$2:G$259,"="&amp;$C259)&gt;0,Biomes!G$1&amp;", ","")&amp;
IF(COUNTIF(Biomes!H$2:H$259,"="&amp;$C259)&gt;0,Biomes!H$1&amp;", ","")&amp;
IF(COUNTIF(Biomes!I$2:I$259,"="&amp;$C259)&gt;0,Biomes!I$1&amp;", ","")&amp;
IF(COUNTIF(Biomes!J$2:J$259,"="&amp;$C259)&gt;0,Biomes!J$1&amp;", ","")&amp;
IF(COUNTIF(Biomes!M$2:M$259,"="&amp;$C259)&gt;0,Biomes!M$1&amp;", ","")&amp;
IF(COUNTIF(Biomes!N$2:N$259,"="&amp;$C259)&gt;0,Biomes!N$1&amp;", ","")&amp;
IF(COUNTIF(Biomes!O$2:O$259,"="&amp;$C259)&gt;0,Biomes!O$1&amp;", ","")&amp;
IF(COUNTIF(Biomes!P$2:P$259,"="&amp;$C259)&gt;0,Biomes!P$1&amp;", ","")&amp;
IF(COUNTIF(Biomes!K$2:K$259,"="&amp;$C259)&gt;0,Biomes!K$1&amp;", ","")&amp;
IF(COUNTIF(Biomes!Q$3:Q$259,"="&amp;$C259)&gt;0,Biomes!Q$1&amp;", ","")&amp;
IF(COUNTIF(Biomes!L$2:L$259,"="&amp;$C259)&gt;0,Biomes!L$1&amp;", ","")&amp;
IF(COUNTIF(Biomes!E$2:E$259,"="&amp;$C259)&gt;0,Biomes!E$1&amp;", ","")&amp;IF(COUNTIF(Biomes!S$2:S$259,"="&amp;$C259)&gt;0,Biomes!S$1&amp;", ","")&amp;
IF(COUNTIF(Biomes!R$2:R$259,"="&amp;$C259)&gt;0,Biomes!R$1&amp;", ",""),", ","")
),_xlfn.XLOOKUP(B259,B:B,BX:BX))</f>
        <v>Glowforest</v>
      </c>
      <c r="BY259" s="25" t="str">
        <f>IF(_xlfn.XLOOKUP(B259,'Base stats'!B:B,'Base stats'!AJ:AJ)=1,"true","false")</f>
        <v>false</v>
      </c>
      <c r="BZ259" s="25">
        <f>IF(_xlfn.XLOOKUP(B259,'Base stats'!B:B,'Base stats'!N:N)=1,"No",MAX(0.001,MIN(MROUND(IF(AND(BJ259="True",CC259="False"),POWER(10,3.47*LOG10(_xlfn.XLOOKUP(B259,'Base stats'!B:B,'Base stats'!C:C)*1000)^-0.96),POWER(10,4.15*LOG10(_xlfn.XLOOKUP(B259,'Base stats'!B:B,'Base stats'!C:C)*1000)^-0.73))*IF(_xlfn.XLOOKUP(B259,'Base stats'!B:B,'Base stats'!AK:AK)=1,0.5,1)*IF(_xlfn.XLOOKUP(B259,'Base stats'!B:B,'Base stats'!AM:AM)=1,0.1,1)/100,IF(_xlfn.XLOOKUP(B259,'Base stats'!B:B,'Base stats'!AM:AM)=1,0.001,0.025)),0.5)))</f>
        <v>0.05</v>
      </c>
      <c r="CA259" s="25" t="str">
        <f>IF(P259="Standard","No",MAX(0.001,MIN(MROUND(IF(AND(BJ259="True",CC259="False"),POWER(10,3.47*LOG10(_xlfn.XLOOKUP(B259,'Base stats'!B:B,'Base stats'!C:C)*1000)^-0.96),POWER(10,4.15*LOG10(_xlfn.XLOOKUP(B259,'Base stats'!B:B,'Base stats'!C:C)*1000)^-0.73))*IF(_xlfn.XLOOKUP(B259,'Base stats'!B:B,'Base stats'!AM:AM)=1,0.1,1)*_xlfn.XLOOKUP(B259,'Base stats'!B:B,'Base stats'!R:R)/100,IF(_xlfn.XLOOKUP(B259,'Base stats'!B:B,'Base stats'!AM:AM)=1,0.001,0.025)),0.5)))</f>
        <v>No</v>
      </c>
      <c r="CB259" s="25" t="str">
        <f>IF(_xlfn.XLOOKUP(_xlfn.XLOOKUP(B259,'Base stats'!B:B,'Base stats'!E:E),Groups!A:A,Groups!AJ:AJ)="Mammal","True","False")</f>
        <v>True</v>
      </c>
      <c r="CC259" s="25" t="str">
        <f>IF(OR(_xlfn.XLOOKUP(_xlfn.XLOOKUP(B259,'Base stats'!B:B,'Base stats'!E:E),Groups!A:A,Groups!AJ:AJ)="Reptile",_xlfn.XLOOKUP(_xlfn.XLOOKUP(B259,'Base stats'!B:B,'Base stats'!E:E),Groups!A:A,Groups!AJ:AJ)="Amphibian",_xlfn.XLOOKUP(_xlfn.XLOOKUP(B259,'Base stats'!B:B,'Base stats'!E:E),Groups!A:A,Groups!AJ:AJ)="Invertebrate"),"True","False")</f>
        <v>False</v>
      </c>
      <c r="CD259" s="25" t="str">
        <f t="shared" ref="CD259:CD322" si="34">IF(J259&gt;0.95,"True","False")</f>
        <v>False</v>
      </c>
      <c r="CE259" s="25" t="str">
        <f>IF(_xlfn.XLOOKUP(_xlfn.XLOOKUP(B259,'Base stats'!B:B,'Base stats'!E:E),Groups!A:A,Groups!AX:AX),"True","False")</f>
        <v>False</v>
      </c>
      <c r="CF259" s="25" t="str">
        <f>IF(_xlfn.XLOOKUP(_xlfn.XLOOKUP(B259,'Base stats'!B:B,'Base stats'!E:E),Groups!A:A,Groups!AY:AY),"True","False")</f>
        <v>False</v>
      </c>
      <c r="CG259" s="25" t="str">
        <f>IF(_xlfn.XLOOKUP(_xlfn.XLOOKUP(B259,'Base stats'!B:B,'Base stats'!E:E),Groups!A:A,Groups!AW:AW),"True","False")</f>
        <v>False</v>
      </c>
      <c r="CH259" s="25" t="str">
        <f>IF(
OR(
_xlfn.XLOOKUP(_xlfn.XLOOKUP(B259,'Base stats'!B:B,'Base stats'!E:E),Groups!A:A,Groups!AZ:AZ)=0,
AND(
_xlfn.XLOOKUP(B259,'Base stats'!B:B,'Base stats'!Y:Y)&lt;&gt;"Carnivore",
_xlfn.XLOOKUP(B259,'Base stats'!B:B,'Base stats'!Y:Y)&lt;&gt;"Omnivore",
_xlfn.XLOOKUP(B259,'Base stats'!B:B,'Base stats'!Y:Y)&lt;&gt;"OmnivoreRough"
)
),
"No",
IF(
_xlfn.XLOOKUP(_xlfn.XLOOKUP(B259,'Base stats'!B:B,'Base stats'!E:E),Groups!A:A,Groups!AZ:AZ)=1,
"Flesh",
IF(
_xlfn.XLOOKUP(_xlfn.XLOOKUP(B259,'Base stats'!B:B,'Base stats'!E:E),Groups!A:A,Groups!AZ:AZ)=2,
"Bone",
""
)
)
)</f>
        <v>No</v>
      </c>
      <c r="CI259" s="25" t="str">
        <f>IF(_xlfn.XLOOKUP(_xlfn.XLOOKUP(B259,'Base stats'!B:B,'Base stats'!E:E),Groups!A:A,Groups!BB:BB),"True","False")</f>
        <v>True</v>
      </c>
      <c r="CJ259" s="25" t="str">
        <f>IF(_xlfn.XLOOKUP(_xlfn.XLOOKUP(B259,'Base stats'!B:B,'Base stats'!E:E),Groups!A:A,Groups!BA:BA),"True","False")</f>
        <v>False</v>
      </c>
    </row>
    <row r="260" spans="1:88" ht="16.5" thickTop="1" thickBot="1" x14ac:dyDescent="0.3">
      <c r="A260" s="26" t="s">
        <v>1426</v>
      </c>
      <c r="B260" s="6" t="str">
        <f>_xlfn.XLOOKUP(A260,'Base stats'!A:A,'Base stats'!B:B)</f>
        <v>Rattus nocturnus</v>
      </c>
      <c r="C260" s="28" t="s">
        <v>1427</v>
      </c>
      <c r="D260" s="28" t="s">
        <v>1341</v>
      </c>
      <c r="E260" s="28" t="s">
        <v>673</v>
      </c>
      <c r="F260" s="28" t="s">
        <v>673</v>
      </c>
      <c r="G260" s="28" t="s">
        <v>673</v>
      </c>
      <c r="H260" s="2">
        <f>MROUND((
  (IF(AND(_xlfn.XLOOKUP(B260,'Base stats'!B:B,'Base stats'!AL:AL)=0,BI260="None",_xlfn.XLOOKUP(_xlfn.XLOOKUP(B260,'Base stats'!B:B,'Base stats'!E:E),Groups!A:A,Groups!B:B)=0), (18 + BR260 * 2.7) * 0.5,
    IF(AND(_xlfn.XLOOKUP(B260,'Base stats'!B:B,'Base stats'!AL:AL)=0,OR(AO260&lt;0.55,AND(BI260="Intermediate",_xlfn.XLOOKUP(_xlfn.XLOOKUP(B260,'Base stats'!B:B,'Base stats'!E:E),Groups!A:A,Groups!B:B)&lt;2))), (18 + BR260 * 2.7),
      IF(OR(BI260="Advanced",_xlfn.XLOOKUP(B260,'Base stats'!B:B,'Base stats'!AL:AL)=1,_xlfn.XLOOKUP(_xlfn.XLOOKUP(B260,'Base stats'!B:B,'Base stats'!E:E),Groups!A:A,Groups!B:B)=2), (18 + BR260 * 2.7) + 250, (18 + BR260 * 2.7))
    )
  ))
  + AO260 * 80
  + IF(COUNTIF(EggMilk!K$2:K$998, A260) &gt; 0, 125, 0)
  + IF(COUNTIF(EggMilk!P$2:P$998, A260) &gt; 0, 90, 0)
  + IF(COUNTIF(EggMilk!A$2:A$998, A260) &gt; 0, 90, 0)
)
* (0.8 + 0.4 * J260)
* 0.75,25)</f>
        <v>50</v>
      </c>
      <c r="I260" s="2">
        <f>MROUND(ROUNDDOWN(_xlfn.XLOOKUP(B260,'Base stats'!B:B,'Base stats'!L:L)/3.6/(23.3/11),1),0.5)</f>
        <v>1.5</v>
      </c>
      <c r="J260" s="2">
        <f>IF(OR(_xlfn.XLOOKUP(B260,'Base stats'!B:B,'Base stats'!AB:AB)=1,_xlfn.XLOOKUP(_xlfn.XLOOKUP(B260,'Base stats'!B:B,'Base stats'!E:E),Groups!A:A,Groups!C:C)="Untamable"),1,IF(_xlfn.XLOOKUP(B260,'Base stats'!B:B,'Base stats'!AL:AL)=1,0.99,MIN(MROUND((1-0.6282*EXP(-0.459*AO260))*_xlfn.XLOOKUP(_xlfn.XLOOKUP(B260,'Base stats'!B:B,'Base stats'!E:E),Groups!A:A,Groups!C:C)*IF(_xlfn.XLOOKUP(B260,'Base stats'!B:B,'Base stats'!O:O)=1,0.5,IF(_xlfn.XLOOKUP(B260,'Base stats'!B:B,'Base stats'!O:O)=2,0,1)),0.05),IF(AO260&gt;3.5,0.985,0.95))))</f>
        <v>0.5</v>
      </c>
      <c r="K260" s="2">
        <f>ROUNDUP(AO260*_xlfn.XLOOKUP(_xlfn.XLOOKUP(B260,'Base stats'!B:B,'Base stats'!E:E),Groups!A:A,Groups!E:E),0)</f>
        <v>1</v>
      </c>
      <c r="L260" s="2">
        <f>IF(OR(_xlfn.XLOOKUP(_xlfn.XLOOKUP(B260,'Base stats'!B:B,'Base stats'!E:E),Groups!A:A,Groups!F:F)=2,ISNUMBER(SEARCH("SeaIce",BX260)),ISNUMBER(SEARCH("IceSheet",BX260))),-50,IF(OR(ISNUMBER(SEARCH("GlacialPlain",BX260)),ISNUMBER(SEARCH("Tundra",BX260))),-40,IF(OR(ISNUMBER(SEARCH("Alpine",BX260)),ISNUMBER(SEARCH("BorealForest",BX260)),ISNUMBER(SEARCH("ColdBog",BX260))),-30,IF(OR(ISNUMBER(SEARCH("TemperateForest",BX260)),ISNUMBER(SEARCH("TemperateSwamp",BX260))),-20,IF(_xlfn.XLOOKUP(_xlfn.XLOOKUP(B260,'Base stats'!B:B,'Base stats'!E:E),Groups!A:A,Groups!F:F)=1,-15,IF(OR(ISNUMBER(SEARCH("Desert",BX260)),ISNUMBER(SEARCH("ExtremeDesert",BX260))),-10,IF(OR(ISNUMBER(SEARCH("Grasslands",BX260)),ISNUMBER(SEARCH("TropicalRainforest",BX260)),ISNUMBER(SEARCH("TropicalSwamp",BX260))),10,0)))))))-IF(CC260="False",MIN(IFERROR(MAX(MROUND(LOG10(_xlfn.XLOOKUP(B260,'Base stats'!B:B,'Base stats'!C:C)^(2/3))*10,5),5),5),30))-_xlfn.XLOOKUP(B260,'Base stats'!B:B,'Base stats'!P:P)+IF(CC260="True",5,0)</f>
        <v>5</v>
      </c>
      <c r="M260" s="2">
        <f>IF(OR(_xlfn.XLOOKUP(_xlfn.XLOOKUP(B260,'Base stats'!B:B,'Base stats'!E:E),Groups!A:A,Groups!G:G)=2,ISNUMBER(SEARCH("Desert",BX260)),ISNUMBER(SEARCH("ExtremeDesert",BX260)),ISNUMBER(SEARCH("LavaField",BX260))),50,IF(ISNUMBER(SEARCH("Grasslands",BX260)),45,IF(OR(_xlfn.XLOOKUP(_xlfn.XLOOKUP(B260,'Base stats'!B:B,'Base stats'!E:E),Groups!A:A,Groups!G:G)=1,ISNUMBER(SEARCH("TropicalRainforest",BX260)),ISNUMBER(SEARCH("TropicalSwamp",BX260))),40,IF(OR(ISNUMBER(SEARCH("TemperateForest",BX260)),ISNUMBER(SEARCH("TemperateSwamp",BX260))),35,IF(OR(ISNUMBER(SEARCH("Alpine",BX260)),ISNUMBER(SEARCH("BorealForest",BX260)),ISNUMBER(SEARCH("ColdBog",BX260))),30,IF(ISNUMBER(OR(ISNUMBER(SEARCH("GlacialPlain",BX260)),SEARCH("Tundra",BX260))),25,IF(OR(ISNUMBER(SEARCH("SeaIce",BX260)),ISNUMBER(SEARCH("IceSheet",BX260)),ISNUMBER(SEARCH("TropicalSwamp",BX260))),10,35)))))))+_xlfn.XLOOKUP(B260,'Base stats'!B:B,'Base stats'!Q:Q)</f>
        <v>35</v>
      </c>
      <c r="N260" s="8" t="str">
        <f>IF(
_xlfn.XLOOKUP(
_xlfn.XLOOKUP(B260,'Base stats'!B:B,'Base stats'!E:E),
Groups!A:A,
Groups!L:L
)=1,
MIN(
MROUND(
IF(
_xlfn.XLOOKUP(B260,'Animals CE'!B:B,'Animals CE'!Z:Z)&lt;=1.5,
_xlfn.XLOOKUP(B260,'Animals CE'!B:B,'Animals CE'!Z:Z)/2+0.05,
0.8+
(_xlfn.XLOOKUP(B260,'Animals CE'!B:B,'Animals CE'!Z:Z)-1.5)
*0.02
),
0.05
),
200%
),
"No"
)</f>
        <v>No</v>
      </c>
      <c r="O260" s="8" t="str">
        <f>IF(
_xlfn.XLOOKUP(
_xlfn.XLOOKUP(B260,'Base stats'!B:B,'Base stats'!E:E),
Groups!A:A,
Groups!L:L
)=1,
MIN(
MROUND(
IF(
_xlfn.XLOOKUP(B260,'Animals CE'!B:B,'Animals CE'!AA:AA)&lt;=1.5,
_xlfn.XLOOKUP(B260,'Animals CE'!B:B,'Animals CE'!AA:AA)/2+0.05,
0.8+
(_xlfn.XLOOKUP(B260,'Animals CE'!B:B,'Animals CE'!AA:AA)-1.5)
*0.02
),
0.05
),
200%
),
"No"
)</f>
        <v>No</v>
      </c>
      <c r="P260" s="2">
        <f>_xlfn.XLOOKUP(B260,'Base stats'!B:B,'Base stats'!R:R)</f>
        <v>0.8</v>
      </c>
      <c r="Q260" s="13">
        <f>MROUND((LOG10(_xlfn.XLOOKUP(B260,'Base stats'!B:B,'Base stats'!AR:AR))*(AO260^0.5)+(_xlfn.XLOOKUP(B260,'Base stats'!B:B,'Base stats'!AR:AR)/1000)^(2/3)+_xlfn.XLOOKUP(B260,'Base stats'!B:B,'Base stats'!BA:BA)/2)+0.5,0.5)</f>
        <v>1</v>
      </c>
      <c r="R260" s="7">
        <f>IF(Q260="No","No",MAX(1,MROUND(_xlfn.XLOOKUP(B260,'Base stats'!B:B,'Base stats'!C:C)^0.165,0.05)))</f>
        <v>1</v>
      </c>
      <c r="S260" s="13" t="str">
        <f>IF(_xlfn.XLOOKUP(_xlfn.XLOOKUP(B260,'Base stats'!B:B,'Base stats'!E:E),Groups!A:A,Groups!P:P)=0,"No",MROUND((LOG10(_xlfn.XLOOKUP(B260,'Base stats'!B:B,'Base stats'!AS:AS))*(AO260^0.5)+(_xlfn.XLOOKUP(B260,'Base stats'!B:B,'Base stats'!AS:AS)/1000)^(2/3)+_xlfn.XLOOKUP(B260,'Base stats'!B:B,'Base stats'!BA:BA))+_xlfn.XLOOKUP(B260,'Base stats'!B:B,'Base stats'!AY:AY)+0.5,0.5))</f>
        <v>No</v>
      </c>
      <c r="T260" s="7" t="str">
        <f>IF(S260="No","No",MAX(_xlfn.XLOOKUP(_xlfn.XLOOKUP(B260,'Base stats'!B:B,'Base stats'!E:E),Groups!A:A,Groups!Q:Q),MROUND(_xlfn.XLOOKUP(_xlfn.XLOOKUP(B260,'Base stats'!B:B,'Base stats'!E:E),Groups!A:A,Groups!Q:Q)*_xlfn.XLOOKUP(B260,'Base stats'!B:B,'Base stats'!C:C)^0.165,0.05)))</f>
        <v>No</v>
      </c>
      <c r="U260" s="7" t="str">
        <f>IF(S260="No","No",_xlfn.XLOOKUP(_xlfn.XLOOKUP(B260,'Base stats'!B:B,'Base stats'!E:E),Groups!A:A,Groups!R:R))</f>
        <v>No</v>
      </c>
      <c r="V260" s="7" t="str">
        <f>IF(S260="No","No",_xlfn.XLOOKUP(_xlfn.XLOOKUP(B260,'Base stats'!B:B,'Base stats'!E:E),Groups!A:A,Groups!S:S))</f>
        <v>No</v>
      </c>
      <c r="W260" s="7" t="str">
        <f>IF(S260="No","No",_xlfn.XLOOKUP(_xlfn.XLOOKUP(B260,'Base stats'!B:B,'Base stats'!E:E),Groups!A:A,Groups!T:T))</f>
        <v>No</v>
      </c>
      <c r="X260" s="13" t="str">
        <f>IF(_xlfn.XLOOKUP(B260,'Base stats'!B:B,'Base stats'!W:W)="No","No",MROUND((LOG10(_xlfn.XLOOKUP(B260,'Base stats'!B:B,'Base stats'!AU:AU))*(AO260^0.5)+(_xlfn.XLOOKUP(B260,'Base stats'!B:B,'Base stats'!AU:AU)/1000)^(2/3)+_xlfn.XLOOKUP(B260,'Base stats'!B:B,'Base stats'!AZ:AZ))+0.5+IF(_xlfn.XLOOKUP(_xlfn.XLOOKUP(B260,'Base stats'!B:B,'Base stats'!E:E),Groups!A:A,Groups!U:U)&lt;&gt;3,_xlfn.XLOOKUP(B260,'Base stats'!B:B,'Base stats'!BA:BA),0),0.5))</f>
        <v>No</v>
      </c>
      <c r="Y260" s="7" t="str">
        <f>IF(X260="No","No",MAX(_xlfn.XLOOKUP(_xlfn.XLOOKUP(B260,'Base stats'!B:B,'Base stats'!E:E),Groups!A:A,Groups!V:V),MROUND(_xlfn.XLOOKUP(_xlfn.XLOOKUP(B260,'Base stats'!B:B,'Base stats'!E:E),Groups!A:A,Groups!V:V)*_xlfn.XLOOKUP(B260,'Base stats'!B:B,'Base stats'!C:C)^0.165,0.05)))</f>
        <v>No</v>
      </c>
      <c r="Z260" s="7" t="str">
        <f>IF(X260="No","No",_xlfn.XLOOKUP(_xlfn.XLOOKUP(B260,'Base stats'!B:B,'Base stats'!E:E),Groups!A:A,Groups!W:W))</f>
        <v>No</v>
      </c>
      <c r="AA260" s="7" t="str">
        <f>IF(X260="No","No",_xlfn.XLOOKUP(_xlfn.XLOOKUP(B260,'Base stats'!B:B,'Base stats'!E:E),Groups!A:A,Groups!X:X))</f>
        <v>No</v>
      </c>
      <c r="AB260" s="7" t="str">
        <f>IF(X260="No","No",_xlfn.XLOOKUP(_xlfn.XLOOKUP(B260,'Base stats'!B:B,'Base stats'!E:E),Groups!A:A,Groups!Y:Y))</f>
        <v>No</v>
      </c>
      <c r="AC260" s="7" t="str">
        <f>_xlfn.XLOOKUP(Animals!B260,'Base stats'!B:B,'Base stats'!X:X)</f>
        <v>False</v>
      </c>
      <c r="AD260" s="13">
        <f>IF(_xlfn.XLOOKUP(B260,'Base stats'!B:B,'Base stats'!AT:AT)="No","No",MROUND((LOG10(_xlfn.XLOOKUP(B260,'Base stats'!B:B,'Base stats'!AT:AT))*(AO260^0.75)+(_xlfn.XLOOKUP(B260,'Base stats'!B:B,'Base stats'!AT:AT)/1000)^(2/3)+_xlfn.XLOOKUP(B260,'Base stats'!B:B,'Base stats'!AX:AX)+_xlfn.XLOOKUP(B260,'Base stats'!B:B,'Base stats'!BA:BA))+0.5,0.5))</f>
        <v>1.5</v>
      </c>
      <c r="AE260" s="7">
        <f>IF(AD260="No","No",MAX(_xlfn.XLOOKUP(_xlfn.XLOOKUP(B260,'Base stats'!B:B,'Base stats'!E:E),Groups!A:A,Groups!Z:Z),MROUND(_xlfn.XLOOKUP(_xlfn.XLOOKUP(B260,'Base stats'!B:B,'Base stats'!E:E),Groups!A:A,Groups!Z:Z)*_xlfn.XLOOKUP(B260,'Base stats'!B:B,'Base stats'!C:C)^0.165,0.05)))</f>
        <v>0.9</v>
      </c>
      <c r="AF260" s="7" t="str">
        <f>IF(AD260="No","No",_xlfn.XLOOKUP(_xlfn.XLOOKUP(B260,'Base stats'!B:B,'Base stats'!E:E),Groups!A:A,Groups!AA:AA))</f>
        <v>Teeth</v>
      </c>
      <c r="AG260" s="7" t="str">
        <f>IF(AD260="No","No",_xlfn.XLOOKUP(_xlfn.XLOOKUP(B260,'Base stats'!B:B,'Base stats'!E:E),Groups!A:A,Groups!AB:AB))</f>
        <v>Incisors</v>
      </c>
      <c r="AH260" s="7" t="str">
        <f>IF(AD260="No","No",_xlfn.XLOOKUP(_xlfn.XLOOKUP(B260,'Base stats'!B:B,'Base stats'!E:E),Groups!A:A,Groups!AC:AC))</f>
        <v>Bite</v>
      </c>
      <c r="AI260" s="13" t="str">
        <f>IF(_xlfn.XLOOKUP(_xlfn.XLOOKUP(B260,'Base stats'!B:B,'Base stats'!E:E),Groups!A:A,Groups!AD:AD)=0,"No",MROUND((LOG10(_xlfn.XLOOKUP(B260,'Base stats'!B:B,'Base stats'!AS:AS))*(AO260^0.75)+(_xlfn.XLOOKUP(B260,'Base stats'!B:B,'Base stats'!AS:AS)/1000)^(2/3)+_xlfn.XLOOKUP(B260,'Base stats'!B:B,'Base stats'!AY:AY)+_xlfn.XLOOKUP(B260,'Base stats'!B:B,'Base stats'!BA:BA))+0.5,0.5))</f>
        <v>No</v>
      </c>
      <c r="AJ260" s="7" t="str">
        <f>IF(AI260="No","No",MAX(_xlfn.XLOOKUP(_xlfn.XLOOKUP(B260,'Base stats'!B:B,'Base stats'!E:E),Groups!A:A,Groups!AE:AE),MROUND(_xlfn.XLOOKUP(_xlfn.XLOOKUP(B260,'Base stats'!B:B,'Base stats'!E:E),Groups!A:A,Groups!AE:AE)*IF(_xlfn.XLOOKUP(_xlfn.XLOOKUP(B260,'Base stats'!B:B,'Base stats'!E:E),Groups!A:A,Groups!AJ:AJ)="Photonozoa",0.6,1)*_xlfn.XLOOKUP(B260,'Base stats'!B:B,'Base stats'!C:C)^0.165,0.05)))</f>
        <v>No</v>
      </c>
      <c r="AK260" s="7" t="str">
        <f>IF(AI260="No","No",_xlfn.XLOOKUP(_xlfn.XLOOKUP(B260,'Base stats'!B:B,'Base stats'!E:E),Groups!A:A,Groups!AF:AF))</f>
        <v>No</v>
      </c>
      <c r="AL260" s="7" t="str">
        <f>IF(AI260="No","No",_xlfn.XLOOKUP(_xlfn.XLOOKUP(B260,'Base stats'!B:B,'Base stats'!E:E),Groups!A:A,Groups!AG:AG))</f>
        <v>No</v>
      </c>
      <c r="AM260" s="7" t="str">
        <f>IF(AI260="No","No",_xlfn.XLOOKUP(_xlfn.XLOOKUP(B260,'Base stats'!B:B,'Base stats'!E:E),Groups!A:A,Groups!AH:AH))</f>
        <v>No</v>
      </c>
      <c r="AN260" s="2" t="str">
        <f t="shared" si="28"/>
        <v>No</v>
      </c>
      <c r="AO260" s="2">
        <f>MROUND(IF(AND(_xlfn.XLOOKUP(B260,'Base stats'!B:B,'Base stats'!C:C)&gt;=0.5,_xlfn.XLOOKUP(B260,'Base stats'!B:B,'Base stats'!C:C)&lt;=0.8),
IF(_xlfn.XLOOKUP(B260,'Base stats'!B:B,'Base stats'!C:C)&lt;0.1,0.05,IF(_xlfn.XLOOKUP(B260,'Base stats'!B:B,'Base stats'!C:C)&lt;=70,(_xlfn.XLOOKUP(B260,'Base stats'!B:B,'Base stats'!C:C)/70)^0.426489913056526,IF(_xlfn.XLOOKUP(B260,'Base stats'!B:B,'Base stats'!C:C)&lt;=400,(_xlfn.XLOOKUP(B260,'Base stats'!B:B,'Base stats'!C:C)/70)^0.572811455315093,IF(_xlfn.XLOOKUP(B260,'Base stats'!B:B,'Base stats'!C:C)&lt;=2000,2.71391647193063*(_xlfn.XLOOKUP(B260,'Base stats'!B:B,'Base stats'!C:C)/400)^0.252459582904293,3.74314280240376*(_xlfn.XLOOKUP(B260,'Base stats'!B:B,'Base stats'!C:C)/2000)^0.357012633876913)))),
IF(_xlfn.XLOOKUP(B260,'Base stats'!B:B,'Base stats'!C:C)&lt;0.1,0.05,IF(_xlfn.XLOOKUP(B260,'Base stats'!B:B,'Base stats'!C:C)&lt;0.4,0.1,IF(_xlfn.XLOOKUP(B260,'Base stats'!B:B,'Base stats'!C:C)&lt;=70,(_xlfn.XLOOKUP(B260,'Base stats'!B:B,'Base stats'!C:C)/70)^0.445823913056526,IF(_xlfn.XLOOKUP(B260,'Base stats'!B:B,'Base stats'!C:C)&lt;=400,(_xlfn.XLOOKUP(B260,'Base stats'!B:B,'Base stats'!C:C)/70)^0.572811455315093,IF(_xlfn.XLOOKUP(B260,'Base stats'!B:B,'Base stats'!C:C)&lt;=2000,2.71391647193063*(_xlfn.XLOOKUP(B260,'Base stats'!B:B,'Base stats'!C:C)/400)^0.252459582904293,3.74314280240376*(_xlfn.XLOOKUP(B260,'Base stats'!B:B,'Base stats'!C:C)/2000)^0.357012633876913)))))),
IF(_xlfn.XLOOKUP(B260,'Base stats'!B:B,'Base stats'!C:C)&lt;0.1,0.05,IF(_xlfn.XLOOKUP(B260,'Base stats'!B:B,'Base stats'!C:C)&lt;=100,0.05,IF(_xlfn.XLOOKUP(B260,'Base stats'!B:B,'Base stats'!C:C)&lt;=250,0.1,IF(_xlfn.XLOOKUP(B260,'Base stats'!B:B,'Base stats'!C:C)&lt;=4000,0.25,0.5)))))</f>
        <v>0.1</v>
      </c>
      <c r="AP260" s="8">
        <f>MROUND(AO260*_xlfn.XLOOKUP(_xlfn.XLOOKUP(B260,'Base stats'!B:B,'Base stats'!E:E),Groups!A:A,Groups!AI:AI)*_xlfn.XLOOKUP(B260,'Base stats'!B:B,'Base stats'!Z:Z),0.05)</f>
        <v>0.1</v>
      </c>
      <c r="AQ260" s="8">
        <f>MAX(0.01,MROUND(IF(CC260="True",0.196*(AO260*100*1000)^0.889,IF(_xlfn.XLOOKUP(_xlfn.XLOOKUP(B260,'Base stats'!B:B,'Base stats'!E:E),Groups!A:A,Groups!AJ:AJ)="Bird",10.5*(AO260*100*1000)^0.681,4.82*(AO260*100*1000)^0.734))/(4.82*(1*100*1000)^0.734)/IF(AO260&lt;3.5,2,IF(AO260=3.5,1.5,1.25))*(1+0.132282374779864/(AO260^0.994035016789033+0.00905238001496948)),0.05))</f>
        <v>0.2</v>
      </c>
      <c r="AR260" s="9">
        <f>IFERROR(MROUND(_xlfn.XLOOKUP(B260,'Base stats'!B:B,'Base stats'!H:H)/IF(_xlfn.XLOOKUP(B260,'Base stats'!B:B,'Base stats'!I:I)&lt;&gt;1,(122.5/70),1.2),IF(_xlfn.XLOOKUP(B260,'Base stats'!B:B,'Base stats'!H:H)&gt;=30,5,IF(_xlfn.XLOOKUP(B260,'Base stats'!B:B,'Base stats'!H:H)&gt;=15,3,IF(_xlfn.XLOOKUP(B260,'Base stats'!B:B,'Base stats'!H:H)&gt;=10,2,1)))),"Immortal")</f>
        <v>2</v>
      </c>
      <c r="AS260" s="35">
        <f>IFERROR(IF(OR(_xlfn.XLOOKUP(B260,'Base stats'!B:B,'Base stats'!F:F)="Atypical reproduction",_xlfn.XLOOKUP(B260,'Base stats'!B:B,'Base stats'!F:F)="Lay eggs"),"Lay eggs",MIN(20,MAX(5.5,ROUND(((_xlfn.XLOOKUP(B260,'Base stats'!B:B,'Base stats'!F:F)-25)*(14.5/615) + 5.5)*2,0)/2))),"Unknown")</f>
        <v>5.5</v>
      </c>
      <c r="AT260" s="8">
        <f>IF(_xlfn.XLOOKUP(B260,'Base stats'!B:B,'Base stats'!G:G)="Atypical reproduction","No",IFERROR(MAX(IF(_xlfn.XLOOKUP(B260,'Base stats'!B:B,'Base stats'!G:G)&lt;0.5,0.2,0.3),MROUND(_xlfn.XLOOKUP(B260,'Base stats'!B:B,'Base stats'!G:G)/(365/60),0.2)),"Unknown"))</f>
        <v>0.2</v>
      </c>
      <c r="AU260" s="8">
        <f t="shared" si="29"/>
        <v>0.1</v>
      </c>
      <c r="AV260" s="8">
        <f>IFERROR(IFERROR(MROUND(_xlfn.XLOOKUP(B260,'Base stats'!B:B,'Base stats'!J:J),0.1),"Lay eggs"),"Cannot breed")</f>
        <v>9.9</v>
      </c>
      <c r="AW260" s="2" t="str">
        <f t="shared" si="30"/>
        <v>true</v>
      </c>
      <c r="AX260" s="2" t="str">
        <f>IF(_xlfn.XLOOKUP(_xlfn.XLOOKUP(Animals!B260,'Base stats'!B:B,'Base stats'!E:E),Groups!A:A,Groups!AK:AK)=1,"true","false")</f>
        <v>false</v>
      </c>
      <c r="AY260" s="25" t="str">
        <f>IF(_xlfn.XLOOKUP(B260,'Base stats'!B:B,'Base stats'!Y:Y)="Liquor","Liquor, CarnivoreAnimalStrict",IF(AND(_xlfn.XLOOKUP(B260,'Base stats'!B:B,'Base stats'!Y:Y)="Carnivore",_xlfn.XLOOKUP(_xlfn.XLOOKUP(B260,'Base stats'!B:B,'Base stats'!E:E),Groups!A:A,Groups!AJ:AJ)="Photonozoa"),"CarnivoreAnimalStrict, OvivoreAnimal",IF(_xlfn.XLOOKUP(B260,'Base stats'!B:B,'Base stats'!Y:Y)="Carnivore","CarnivoreAnimal, OvivoreAnimal",IF(_xlfn.XLOOKUP(B260,'Base stats'!B:B,'Base stats'!Y:Y)="Dendrovore","VegetarianRoughAnimal, DendrovoreAnimal",IF(_xlfn.XLOOKUP(B260,'Base stats'!B:B,'Base stats'!Y:Y)="Herbivore","VegetarianRoughAnimal",IF(_xlfn.XLOOKUP(B260,'Base stats'!B:B,'Base stats'!Y:Y)="OmnivoreRough","OmnivoreRoughAnimal, OvivoreAnimal","OmnivoreAnimal, OvivoreAnimal"))))))</f>
        <v>OmnivoreRoughAnimal, OvivoreAnimal</v>
      </c>
      <c r="AZ260" s="2" t="str">
        <f>IF(_xlfn.XLOOKUP(_xlfn.XLOOKUP(B260,'Base stats'!B:B,'Base stats'!E:E),Groups!A:A,Groups!D:D)=1,MROUND((1-J260)*5+1,2)*IF(J260&lt;=0.4,2,1),"No")</f>
        <v>No</v>
      </c>
      <c r="BA260" s="2" t="str">
        <f>IF(AND(_xlfn.XLOOKUP(B260,'Base stats'!B:B,'Base stats'!AH:AH)="&lt;li&gt;Seal&lt;/li&gt;",G260="Odyssey"),"&lt;li&gt;AEXP_Seal&lt;/li&gt;",_xlfn.XLOOKUP(B260,'Base stats'!B:B,'Base stats'!AH:AH))</f>
        <v>&lt;li&gt;Rat&lt;/li&gt;</v>
      </c>
      <c r="BB260" s="2" t="str">
        <f>_xlfn.XLOOKUP(B260,'Base stats'!B:B,'Base stats'!AG:AG)</f>
        <v>Leather_Light</v>
      </c>
      <c r="BC260" s="23" t="str">
        <f>_xlfn.XLOOKUP(_xlfn.XLOOKUP(B260,'Base stats'!B:B,'Base stats'!E:E),Groups!A:A,Groups!AL:AL)</f>
        <v>QuadrupedAnimalWithPawsAndTail</v>
      </c>
      <c r="BD260" s="23">
        <f>MIN(1,MROUND(IF(AND(AO260&lt;0.5,_xlfn.XLOOKUP(B260,'Base stats'!B:B,'Base stats'!AA:AA)=0),0,IF(OR(_xlfn.XLOOKUP(Animals!B260,'Base stats'!B:B,'Base stats'!O:O)=2,_xlfn.XLOOKUP(_xlfn.XLOOKUP(B260,'Base stats'!B:B,'Base stats'!E:E),Groups!A:A,Groups!AN:AN)=0),0,_xlfn.XLOOKUP(_xlfn.XLOOKUP(B260,'Base stats'!B:B,'Base stats'!E:E),Groups!A:A,Groups!AN:AN)/IF(_xlfn.XLOOKUP(Animals!B260,'Base stats'!B:B,'Base stats'!O:O)=1,2,1)))+_xlfn.XLOOKUP(B260,'Base stats'!B:B,'Base stats'!AC:AC),0.005))</f>
        <v>0</v>
      </c>
      <c r="BE260" s="23">
        <f>MIN(1,MROUND(IF(AND(AO260&lt;0.5,_xlfn.XLOOKUP(B260,'Base stats'!B:B,'Base stats'!AA:AA)=0),0,IF(_xlfn.XLOOKUP(_xlfn.XLOOKUP(B260,'Base stats'!B:B,'Base stats'!E:E),Groups!A:A,Groups!AO:AO)=0,0,_xlfn.XLOOKUP(_xlfn.XLOOKUP(B260,'Base stats'!B:B,'Base stats'!E:E),Groups!A:A,Groups!AO:AO)/IF(_xlfn.XLOOKUP(Animals!B260,'Base stats'!B:B,'Base stats'!O:O)=2,3,1)))+_xlfn.XLOOKUP(B260,'Base stats'!B:B,'Base stats'!AD:AD),0.005))</f>
        <v>0</v>
      </c>
      <c r="BF260" s="2" t="str">
        <f>IF(J260&gt;0.3,"No",_xlfn.XLOOKUP(_xlfn.XLOOKUP(Animals!B260,'Base stats'!B:B,'Base stats'!E:E),Groups!A:A,Groups!AP:AP))</f>
        <v>No</v>
      </c>
      <c r="BG260" s="2">
        <f>IF(AND(J260&lt;=0.65,_xlfn.XLOOKUP(_xlfn.XLOOKUP(Animals!B260,'Base stats'!B:B,'Base stats'!E:E),Groups!A:A,Groups!AP:AP)&lt;&gt;"No",_xlfn.XLOOKUP(_xlfn.XLOOKUP(B260,'Base stats'!B:B,'Base stats'!E:E),Groups!A:A,Groups!D:D)=0),MROUND((80/3)*IF(_xlfn.XLOOKUP(B260,'Base stats'!B:B,'Base stats'!O:O)=2,0.2,AO260) + 24*(1-IF(BF260="No",0,BF260)) + 16/3, 12),"No")</f>
        <v>36</v>
      </c>
      <c r="BH260" s="2">
        <f>IF(AND(_xlfn.XLOOKUP(_xlfn.XLOOKUP(B260,'Base stats'!B:B,'Base stats'!E:E),Groups!A:A,Groups!AQ:AQ)=1,AO260&lt;=0.35),8,12)</f>
        <v>8</v>
      </c>
      <c r="BI260" s="2" t="str">
        <f>IF(_xlfn.XLOOKUP(_xlfn.XLOOKUP(B260,'Base stats'!B:B,'Base stats'!E:E),Groups!A:A,Groups!D:D)=0,_xlfn.XLOOKUP(_xlfn.XLOOKUP(B260,'Base stats'!B:B,'Base stats'!E:E),Groups!A:A,Groups!AR:AR),"None")</f>
        <v>Intermediate</v>
      </c>
      <c r="BJ260" s="2" t="str">
        <f>IF(AND(_xlfn.XLOOKUP(_xlfn.XLOOKUP(B260,'Base stats'!B:B,'Base stats'!E:E),Groups!A:A,Groups!AS:AS)=1,OR(_xlfn.XLOOKUP(B260,'Base stats'!B:B,'Base stats'!Y:Y)="Carnivore",_xlfn.XLOOKUP(B260,'Base stats'!B:B,'Base stats'!Y:Y)="Omnivore")),"true","false")</f>
        <v>false</v>
      </c>
      <c r="BK260" s="2" t="str">
        <f>IF(BJ260="true",MROUND(IF(AND(AO260&gt;0.5,OR(_xlfn.XLOOKUP(_xlfn.XLOOKUP(B260,'Base stats'!B:B,'Base stats'!E:E),Groups!A:A,Groups!AJ:AJ)="Photonozoa",_xlfn.XLOOKUP(_xlfn.XLOOKUP(B260,'Base stats'!B:B,'Base stats'!E:E),Groups!A:A,Groups!AJ:AJ)="Mammal")),Animals!AO260*1.75*IF(AW260="true",1.5,1),IF(AO260&lt;0.5,Animals!AO260*0.5,Animals!AO260)),IF(AO260&gt;2,0.5,IF(AO260&gt;0.5,0.25,0.1))),"No")</f>
        <v>No</v>
      </c>
      <c r="BL260" s="2">
        <f t="shared" si="31"/>
        <v>1</v>
      </c>
      <c r="BM260" s="25" t="str">
        <f>IF(_xlfn.XLOOKUP(B260,'Base stats'!B:B,'Base stats'!AN:AN)="Standard","No",MROUND((_xlfn.XLOOKUP(B260,'Base stats'!B:B,'Base stats'!AN:AN)/3.6)/I260,0.1))</f>
        <v>No</v>
      </c>
      <c r="BN260" s="25" t="str">
        <f t="shared" si="32"/>
        <v>false</v>
      </c>
      <c r="BO260" s="25" t="str">
        <f>IF(AND(OR(_xlfn.XLOOKUP(B260,'Base stats'!B:B,'Base stats'!Y:Y)="Carnivore",_xlfn.XLOOKUP(B260,'Base stats'!B:B,'Base stats'!Y:Y)="Omnivore",_xlfn.XLOOKUP(B260,'Base stats'!B:B,'Base stats'!Y:Y)="OmnivoreRough"),_xlfn.XLOOKUP(_xlfn.XLOOKUP(B260,'Base stats'!B:B,'Base stats'!E:E),Groups!A:A,Groups!AT:AT)=1),"true","false")</f>
        <v>false</v>
      </c>
      <c r="BP260" s="25" t="str" cm="1">
        <f t="array" ref="BP260">IF(
  _xlfn.TEXTJOIN(", ",TRUE,
    IF(AND(BJ260="true",AO260&gt;0.5,BI260&lt;&gt;"None"),"AttackTarget",""),
    IF(AND(_xlfn.XLOOKUP(_xlfn.XLOOKUP(B260,'Base stats'!B:B,'Base stats'!E:E),Groups!A:A,Groups!AJ:AJ="Mammal"),OR(_xlfn.XLOOKUP(B260,'Base stats'!B:B,'Base stats'!Y:Y)="Omnivore",_xlfn.XLOOKUP(B260,'Base stats'!B:B,'Base stats'!Y:Y)="OmnivoreRough")),"Forage",""),
    IF(BG260&lt;=36,"Comfort",""),
    IF(_xlfn.XLOOKUP(B260,'Base stats'!B:B,'Base stats'!AE:AE)&lt;&gt;"No",_xlfn.XLOOKUP(B260,'Base stats'!B:B,'Base stats'!AE:AE),"")
  ) = "",
  "No",
  _xlfn.TEXTJOIN(", ",TRUE,
    IF(AND(BJ260="true",AO260&gt;0.5,BI260&lt;&gt;"None"),"AttackTarget",""),
    IF(AND(_xlfn.XLOOKUP(_xlfn.XLOOKUP(B260,'Base stats'!B:B,'Base stats'!E:E),Groups!A:A,Groups!AJ:AJ="Mammal"),OR(_xlfn.XLOOKUP(B260,'Base stats'!B:B,'Base stats'!Y:Y)="Omnivore",_xlfn.XLOOKUP(B260,'Base stats'!B:B,'Base stats'!Y:Y)="OmnivoreRough")),"Forage",""),
    IF(BG260&lt;=36,"Comfort",""),
    IF(_xlfn.XLOOKUP(B260,'Base stats'!B:B,'Base stats'!AE:AE)&lt;&gt;"No",_xlfn.XLOOKUP(B260,'Base stats'!B:B,'Base stats'!AE:AE),"")
  )
)</f>
        <v>Forage, Comfort</v>
      </c>
      <c r="BQ260" s="25" t="str">
        <f>IF(
   AND(
      'Base stats'!AN260="Standard",_xlfn.XLOOKUP(_xlfn.XLOOKUP(B260,'Base stats'!B:B,'Base stats'!E:E),Groups!A:A,Groups!AU:AU)=0,
      OR(
      BO260="True"
      )
   ),
   10,
   IF(
       OR(BM260&lt;&gt;"No",_xlfn.XLOOKUP(_xlfn.XLOOKUP(B260,'Base stats'!B:B,'Base stats'!E:E),Groups!A:A,Groups!AU:AU)=1),
      1,
      "No"
   )
)</f>
        <v>No</v>
      </c>
      <c r="BR260" s="9">
        <f>MROUND((1 + ((0.2*IF(OR(Q260="No",R260="No",R260=0),0,Q260/R260)
+IF(OR(V260="No",S260="No",T260="No"),0,S260/T260*(LEN(V260)-LEN(SUBSTITUTE(V260,",",""))+1))
+IF(OR(X260="No",Y260="No"),0,X260/Y260)
+IF(OR(AD260="No",AE260="No"),0,AD260/AE260)
+IF(OR(AL260="No",AI260="No",AJ260="No"),0,AI260/AJ260*(LEN(AL260)-LEN(SUBSTITUTE(AL260,",",""))+1))
)/(0.2*IF(OR(Q260="No",R260="No",R260=0),0,1)
+IF(OR(V260="No",S260="No",T260="No"),0,LEN(V260)-LEN(SUBSTITUTE(V260,",",""))+1)
+IF(OR(X260="No",Y260="No"),0,1)
+IF(OR(AD260="No",AE260="No"),0,1)
+IF(OR(AL260="No",AI260="No",AJ260="No"),0,LEN(AL260)-LEN(SUBSTITUTE(AL260,",",""))+1))*62%)* 2)*(1 + (AP260 / (IF(_xlfn.XLOOKUP(_xlfn.XLOOKUP(B260,'Base stats'!B:B,'Base stats'!E:E),Groups!A:A,Groups!AJ:AJ)="Photonozoa",0.3,1)) + _xlfn.XLOOKUP(B260,'Base stats'!B:B,'Base stats'!AV:AV) * 1.8) * 2) * 2.5 + 10 + I260 * 2,5)+IF(_xlfn.XLOOKUP(B260,'Base stats'!B:B,'Base stats'!AK:AK)=1,50,0)</f>
        <v>20</v>
      </c>
      <c r="BS260" s="8">
        <f t="shared" si="33"/>
        <v>0.2</v>
      </c>
      <c r="BT260" s="8" t="str">
        <f>_xlfn.XLOOKUP(B260,'Base stats'!B:B,'Base stats'!AF:AF)</f>
        <v>1~6</v>
      </c>
      <c r="BU260" s="2" t="str">
        <f>IF(AND(J260&lt;=0.95,OR(_xlfn.XLOOKUP(B260,'Base stats'!B:B,'Base stats'!AK:AK)=1,_xlfn.XLOOKUP(B260,'Base stats'!B:B,'Base stats'!Y:Y)="Carnivore",_xlfn.XLOOKUP(B260,'Base stats'!B:B,'Base stats'!Y:Y)="Omnivore",BE260&gt;0.1)),"true","false")</f>
        <v>false</v>
      </c>
      <c r="BV260" s="2" t="str">
        <f>IF(_xlfn.XLOOKUP(B260,'Base stats'!B:B,'Base stats'!AI:AI)=1,"true","false")</f>
        <v>false</v>
      </c>
      <c r="BW260" s="25" t="str">
        <f>IF(E260="BaseInsect","AnimalInsect",
IF(J260&gt;0.95,"AnimalExotic",
_xlfn.TEXTJOIN(", ",TRUE,
IF(OR(_xlfn.XLOOKUP(B260,'Base stats'!B:B,'Base stats'!AM:AM)=1,AND(_xlfn.XLOOKUP(B260,'Base stats'!B:B,'Base stats'!O:O)=0,_xlfn.XLOOKUP(_xlfn.XLOOKUP(B260,'Base stats'!B:B,'Base stats'!E:E),Groups!A:A,Groups!B:B)&gt;0)),"AnimalUncommon","AnimalCommon"),
IF(AND(_xlfn.XLOOKUP(B260,'Base stats'!B:B,'Base stats'!O:O)=2,_xlfn.XLOOKUP(_xlfn.XLOOKUP(B260,'Base stats'!B:B,'Base stats'!E:E),Groups!A:A,Groups!D:D)=0),"AnimalPet",IF(AND(_xlfn.XLOOKUP(B260,'Base stats'!B:B,'Base stats'!O:O)&lt;&gt;0,_xlfn.XLOOKUP(_xlfn.XLOOKUP(B260,'Base stats'!B:B,'Base stats'!E:E),Groups!A:A,Groups!D:D)&lt;&gt;0),"AnimalFarm","")),
IF(OR(_xlfn.XLOOKUP(B260,'Base stats'!B:B,'Base stats'!AK:AK)=1,AND(BI260&lt;&gt;"None",BR260&gt;=60),ISNUMBER(SEARCH("Attack target",BP260))),"AnimalFighter","")
)))</f>
        <v>AnimalCommon</v>
      </c>
      <c r="BX260" s="25" t="str">
        <f>IF(G260="None",TRIM(
SUBSTITUTE(
IF(COUNTIF(Biomes!B$2:B$259,"="&amp;$C260)&gt;0,Biomes!B$1&amp;", ","")&amp;
IF(COUNTIF(Biomes!C$2:C$259,"="&amp;$C260)&gt;0,Biomes!C$1&amp;", ","")&amp;
IF(COUNTIF(Biomes!D$2:D$259,"="&amp;$C260)&gt;0,Biomes!D$1&amp;", ","")&amp;
IF(COUNTIF(Biomes!F$2:F$259,"="&amp;$C260)&gt;0,Biomes!F$1&amp;", ","")&amp;
IF(COUNTIF(Biomes!G$2:G$259,"="&amp;$C260)&gt;0,Biomes!G$1&amp;", ","")&amp;
IF(COUNTIF(Biomes!H$2:H$259,"="&amp;$C260)&gt;0,Biomes!H$1&amp;", ","")&amp;
IF(COUNTIF(Biomes!I$2:I$259,"="&amp;$C260)&gt;0,Biomes!I$1&amp;", ","")&amp;
IF(COUNTIF(Biomes!J$2:J$259,"="&amp;$C260)&gt;0,Biomes!J$1&amp;", ","")&amp;
IF(COUNTIF(Biomes!M$2:M$259,"="&amp;$C260)&gt;0,Biomes!M$1&amp;", ","")&amp;
IF(COUNTIF(Biomes!N$2:N$259,"="&amp;$C260)&gt;0,Biomes!N$1&amp;", ","")&amp;
IF(COUNTIF(Biomes!O$2:O$259,"="&amp;$C260)&gt;0,Biomes!O$1&amp;", ","")&amp;
IF(COUNTIF(Biomes!P$2:P$259,"="&amp;$C260)&gt;0,Biomes!P$1&amp;", ","")&amp;
IF(COUNTIF(Biomes!K$2:K$259,"="&amp;$C260)&gt;0,Biomes!K$1&amp;", ","")&amp;
IF(COUNTIF(Biomes!Q$3:Q$259,"="&amp;$C260)&gt;0,Biomes!Q$1&amp;", ","")&amp;
IF(COUNTIF(Biomes!L$2:L$259,"="&amp;$C260)&gt;0,Biomes!L$1&amp;", ","")&amp;
IF(COUNTIF(Biomes!E$2:E$259,"="&amp;$C260)&gt;0,Biomes!E$1&amp;", ","")&amp;IF(COUNTIF(Biomes!S$2:S$259,"="&amp;$C260)&gt;0,Biomes!S$1&amp;", ","")&amp;
IF(COUNTIF(Biomes!R$2:R$259,"="&amp;$C260)&gt;0,Biomes!R$1&amp;", ",""),", ","")
),_xlfn.XLOOKUP(B260,B:B,BX:BX))</f>
        <v>Glowforest</v>
      </c>
      <c r="BY260" s="25" t="str">
        <f>IF(_xlfn.XLOOKUP(B260,'Base stats'!B:B,'Base stats'!AJ:AJ)=1,"true","false")</f>
        <v>false</v>
      </c>
      <c r="BZ260" s="25">
        <f>IF(_xlfn.XLOOKUP(B260,'Base stats'!B:B,'Base stats'!N:N)=1,"No",MAX(0.001,MIN(MROUND(IF(AND(BJ260="True",CC260="False"),POWER(10,3.47*LOG10(_xlfn.XLOOKUP(B260,'Base stats'!B:B,'Base stats'!C:C)*1000)^-0.96),POWER(10,4.15*LOG10(_xlfn.XLOOKUP(B260,'Base stats'!B:B,'Base stats'!C:C)*1000)^-0.73))*IF(_xlfn.XLOOKUP(B260,'Base stats'!B:B,'Base stats'!AK:AK)=1,0.5,1)*IF(_xlfn.XLOOKUP(B260,'Base stats'!B:B,'Base stats'!AM:AM)=1,0.1,1)/100,IF(_xlfn.XLOOKUP(B260,'Base stats'!B:B,'Base stats'!AM:AM)=1,0.001,0.025)),0.5)))</f>
        <v>0.5</v>
      </c>
      <c r="CA260" s="25">
        <f>IF(P260="Standard","No",MAX(0.001,MIN(MROUND(IF(AND(BJ260="True",CC260="False"),POWER(10,3.47*LOG10(_xlfn.XLOOKUP(B260,'Base stats'!B:B,'Base stats'!C:C)*1000)^-0.96),POWER(10,4.15*LOG10(_xlfn.XLOOKUP(B260,'Base stats'!B:B,'Base stats'!C:C)*1000)^-0.73))*IF(_xlfn.XLOOKUP(B260,'Base stats'!B:B,'Base stats'!AM:AM)=1,0.1,1)*_xlfn.XLOOKUP(B260,'Base stats'!B:B,'Base stats'!R:R)/100,IF(_xlfn.XLOOKUP(B260,'Base stats'!B:B,'Base stats'!AM:AM)=1,0.001,0.025)),0.5)))</f>
        <v>0.5</v>
      </c>
      <c r="CB260" s="25" t="str">
        <f>IF(_xlfn.XLOOKUP(_xlfn.XLOOKUP(B260,'Base stats'!B:B,'Base stats'!E:E),Groups!A:A,Groups!AJ:AJ)="Mammal","True","False")</f>
        <v>True</v>
      </c>
      <c r="CC260" s="25" t="str">
        <f>IF(OR(_xlfn.XLOOKUP(_xlfn.XLOOKUP(B260,'Base stats'!B:B,'Base stats'!E:E),Groups!A:A,Groups!AJ:AJ)="Reptile",_xlfn.XLOOKUP(_xlfn.XLOOKUP(B260,'Base stats'!B:B,'Base stats'!E:E),Groups!A:A,Groups!AJ:AJ)="Amphibian",_xlfn.XLOOKUP(_xlfn.XLOOKUP(B260,'Base stats'!B:B,'Base stats'!E:E),Groups!A:A,Groups!AJ:AJ)="Invertebrate"),"True","False")</f>
        <v>False</v>
      </c>
      <c r="CD260" s="25" t="str">
        <f t="shared" si="34"/>
        <v>False</v>
      </c>
      <c r="CE260" s="25" t="str">
        <f>IF(_xlfn.XLOOKUP(_xlfn.XLOOKUP(B260,'Base stats'!B:B,'Base stats'!E:E),Groups!A:A,Groups!AX:AX),"True","False")</f>
        <v>False</v>
      </c>
      <c r="CF260" s="25" t="str">
        <f>IF(_xlfn.XLOOKUP(_xlfn.XLOOKUP(B260,'Base stats'!B:B,'Base stats'!E:E),Groups!A:A,Groups!AY:AY),"True","False")</f>
        <v>False</v>
      </c>
      <c r="CG260" s="25" t="str">
        <f>IF(_xlfn.XLOOKUP(_xlfn.XLOOKUP(B260,'Base stats'!B:B,'Base stats'!E:E),Groups!A:A,Groups!AW:AW),"True","False")</f>
        <v>False</v>
      </c>
      <c r="CH260" s="25" t="str">
        <f>IF(
OR(
_xlfn.XLOOKUP(_xlfn.XLOOKUP(B260,'Base stats'!B:B,'Base stats'!E:E),Groups!A:A,Groups!AZ:AZ)=0,
AND(
_xlfn.XLOOKUP(B260,'Base stats'!B:B,'Base stats'!Y:Y)&lt;&gt;"Carnivore",
_xlfn.XLOOKUP(B260,'Base stats'!B:B,'Base stats'!Y:Y)&lt;&gt;"Omnivore",
_xlfn.XLOOKUP(B260,'Base stats'!B:B,'Base stats'!Y:Y)&lt;&gt;"OmnivoreRough"
)
),
"No",
IF(
_xlfn.XLOOKUP(_xlfn.XLOOKUP(B260,'Base stats'!B:B,'Base stats'!E:E),Groups!A:A,Groups!AZ:AZ)=1,
"Flesh",
IF(
_xlfn.XLOOKUP(_xlfn.XLOOKUP(B260,'Base stats'!B:B,'Base stats'!E:E),Groups!A:A,Groups!AZ:AZ)=2,
"Bone",
""
)
)
)</f>
        <v>Bone</v>
      </c>
      <c r="CI260" s="25" t="str">
        <f>IF(_xlfn.XLOOKUP(_xlfn.XLOOKUP(B260,'Base stats'!B:B,'Base stats'!E:E),Groups!A:A,Groups!BB:BB),"True","False")</f>
        <v>True</v>
      </c>
      <c r="CJ260" s="25" t="str">
        <f>IF(_xlfn.XLOOKUP(_xlfn.XLOOKUP(B260,'Base stats'!B:B,'Base stats'!E:E),Groups!A:A,Groups!BA:BA),"True","False")</f>
        <v>False</v>
      </c>
    </row>
    <row r="261" spans="1:88" ht="16.5" thickTop="1" thickBot="1" x14ac:dyDescent="0.3">
      <c r="A261" s="26" t="s">
        <v>1428</v>
      </c>
      <c r="B261" s="6" t="str">
        <f>_xlfn.XLOOKUP(A261,'Base stats'!A:A,'Base stats'!B:B)</f>
        <v>Papilio imperatrix</v>
      </c>
      <c r="C261" s="28" t="s">
        <v>1429</v>
      </c>
      <c r="D261" s="28" t="s">
        <v>1341</v>
      </c>
      <c r="E261" s="28" t="s">
        <v>1747</v>
      </c>
      <c r="F261" s="28" t="s">
        <v>673</v>
      </c>
      <c r="G261" s="28" t="s">
        <v>673</v>
      </c>
      <c r="H261" s="2">
        <f>MROUND((
  (IF(AND(_xlfn.XLOOKUP(B261,'Base stats'!B:B,'Base stats'!AL:AL)=0,BI261="None",_xlfn.XLOOKUP(_xlfn.XLOOKUP(B261,'Base stats'!B:B,'Base stats'!E:E),Groups!A:A,Groups!B:B)=0), (18 + BR261 * 2.7) * 0.5,
    IF(AND(_xlfn.XLOOKUP(B261,'Base stats'!B:B,'Base stats'!AL:AL)=0,OR(AO261&lt;0.55,AND(BI261="Intermediate",_xlfn.XLOOKUP(_xlfn.XLOOKUP(B261,'Base stats'!B:B,'Base stats'!E:E),Groups!A:A,Groups!B:B)&lt;2))), (18 + BR261 * 2.7),
      IF(OR(BI261="Advanced",_xlfn.XLOOKUP(B261,'Base stats'!B:B,'Base stats'!AL:AL)=1,_xlfn.XLOOKUP(_xlfn.XLOOKUP(B261,'Base stats'!B:B,'Base stats'!E:E),Groups!A:A,Groups!B:B)=2), (18 + BR261 * 2.7) + 250, (18 + BR261 * 2.7))
    )
  ))
  + AO261 * 80
  + IF(COUNTIF(EggMilk!K$2:K$998, A261) &gt; 0, 125, 0)
  + IF(COUNTIF(EggMilk!P$2:P$998, A261) &gt; 0, 90, 0)
  + IF(COUNTIF(EggMilk!A$2:A$998, A261) &gt; 0, 90, 0)
)
* (0.8 + 0.4 * J261)
* 0.75,25)</f>
        <v>175</v>
      </c>
      <c r="I261" s="2">
        <f>MROUND(ROUNDDOWN(_xlfn.XLOOKUP(B261,'Base stats'!B:B,'Base stats'!L:L)/3.6/(23.3/11),1),0.5)</f>
        <v>3.5</v>
      </c>
      <c r="J261" s="2">
        <f>IF(OR(_xlfn.XLOOKUP(B261,'Base stats'!B:B,'Base stats'!AB:AB)=1,_xlfn.XLOOKUP(_xlfn.XLOOKUP(B261,'Base stats'!B:B,'Base stats'!E:E),Groups!A:A,Groups!C:C)="Untamable"),1,IF(_xlfn.XLOOKUP(B261,'Base stats'!B:B,'Base stats'!AL:AL)=1,0.99,MIN(MROUND((1-0.6282*EXP(-0.459*AO261))*_xlfn.XLOOKUP(_xlfn.XLOOKUP(B261,'Base stats'!B:B,'Base stats'!E:E),Groups!A:A,Groups!C:C)*IF(_xlfn.XLOOKUP(B261,'Base stats'!B:B,'Base stats'!O:O)=1,0.5,IF(_xlfn.XLOOKUP(B261,'Base stats'!B:B,'Base stats'!O:O)=2,0,1)),0.05),IF(AO261&gt;3.5,0.985,0.95))))</f>
        <v>0.55000000000000004</v>
      </c>
      <c r="K261" s="2">
        <f>ROUNDUP(AO261*_xlfn.XLOOKUP(_xlfn.XLOOKUP(B261,'Base stats'!B:B,'Base stats'!E:E),Groups!A:A,Groups!E:E),0)</f>
        <v>1</v>
      </c>
      <c r="L261" s="2">
        <f>IF(OR(_xlfn.XLOOKUP(_xlfn.XLOOKUP(B261,'Base stats'!B:B,'Base stats'!E:E),Groups!A:A,Groups!F:F)=2,ISNUMBER(SEARCH("SeaIce",BX261)),ISNUMBER(SEARCH("IceSheet",BX261))),-50,IF(OR(ISNUMBER(SEARCH("GlacialPlain",BX261)),ISNUMBER(SEARCH("Tundra",BX261))),-40,IF(OR(ISNUMBER(SEARCH("Alpine",BX261)),ISNUMBER(SEARCH("BorealForest",BX261)),ISNUMBER(SEARCH("ColdBog",BX261))),-30,IF(OR(ISNUMBER(SEARCH("TemperateForest",BX261)),ISNUMBER(SEARCH("TemperateSwamp",BX261))),-20,IF(_xlfn.XLOOKUP(_xlfn.XLOOKUP(B261,'Base stats'!B:B,'Base stats'!E:E),Groups!A:A,Groups!F:F)=1,-15,IF(OR(ISNUMBER(SEARCH("Desert",BX261)),ISNUMBER(SEARCH("ExtremeDesert",BX261))),-10,IF(OR(ISNUMBER(SEARCH("Grasslands",BX261)),ISNUMBER(SEARCH("TropicalRainforest",BX261)),ISNUMBER(SEARCH("TropicalSwamp",BX261))),10,0)))))))-IF(CC261="False",MIN(IFERROR(MAX(MROUND(LOG10(_xlfn.XLOOKUP(B261,'Base stats'!B:B,'Base stats'!C:C)^(2/3))*10,5),5),5),30))-_xlfn.XLOOKUP(B261,'Base stats'!B:B,'Base stats'!P:P)+IF(CC261="True",5,0)</f>
        <v>-15</v>
      </c>
      <c r="M261" s="2">
        <f>IF(OR(_xlfn.XLOOKUP(_xlfn.XLOOKUP(B261,'Base stats'!B:B,'Base stats'!E:E),Groups!A:A,Groups!G:G)=2,ISNUMBER(SEARCH("Desert",BX261)),ISNUMBER(SEARCH("ExtremeDesert",BX261)),ISNUMBER(SEARCH("LavaField",BX261))),50,IF(ISNUMBER(SEARCH("Grasslands",BX261)),45,IF(OR(_xlfn.XLOOKUP(_xlfn.XLOOKUP(B261,'Base stats'!B:B,'Base stats'!E:E),Groups!A:A,Groups!G:G)=1,ISNUMBER(SEARCH("TropicalRainforest",BX261)),ISNUMBER(SEARCH("TropicalSwamp",BX261))),40,IF(OR(ISNUMBER(SEARCH("TemperateForest",BX261)),ISNUMBER(SEARCH("TemperateSwamp",BX261))),35,IF(OR(ISNUMBER(SEARCH("Alpine",BX261)),ISNUMBER(SEARCH("BorealForest",BX261)),ISNUMBER(SEARCH("ColdBog",BX261))),30,IF(ISNUMBER(OR(ISNUMBER(SEARCH("GlacialPlain",BX261)),SEARCH("Tundra",BX261))),25,IF(OR(ISNUMBER(SEARCH("SeaIce",BX261)),ISNUMBER(SEARCH("IceSheet",BX261)),ISNUMBER(SEARCH("TropicalSwamp",BX261))),10,35)))))))+_xlfn.XLOOKUP(B261,'Base stats'!B:B,'Base stats'!Q:Q)</f>
        <v>50</v>
      </c>
      <c r="N261" s="8">
        <f>IF(
_xlfn.XLOOKUP(
_xlfn.XLOOKUP(B261,'Base stats'!B:B,'Base stats'!E:E),
Groups!A:A,
Groups!L:L
)=1,
MIN(
MROUND(
IF(
_xlfn.XLOOKUP(B261,'Animals CE'!B:B,'Animals CE'!Z:Z)&lt;=1.5,
_xlfn.XLOOKUP(B261,'Animals CE'!B:B,'Animals CE'!Z:Z)/2+0.05,
0.8+
(_xlfn.XLOOKUP(B261,'Animals CE'!B:B,'Animals CE'!Z:Z)-1.5)
*0.02
),
0.05
),
200%
),
"No"
)</f>
        <v>0.45</v>
      </c>
      <c r="O261" s="8">
        <f>IF(
_xlfn.XLOOKUP(
_xlfn.XLOOKUP(B261,'Base stats'!B:B,'Base stats'!E:E),
Groups!A:A,
Groups!L:L
)=1,
MIN(
MROUND(
IF(
_xlfn.XLOOKUP(B261,'Animals CE'!B:B,'Animals CE'!AA:AA)&lt;=1.5,
_xlfn.XLOOKUP(B261,'Animals CE'!B:B,'Animals CE'!AA:AA)/2+0.05,
0.8+
(_xlfn.XLOOKUP(B261,'Animals CE'!B:B,'Animals CE'!AA:AA)-1.5)
*0.02
),
0.05
),
200%
),
"No"
)</f>
        <v>0.1</v>
      </c>
      <c r="P261" s="2" t="str">
        <f>_xlfn.XLOOKUP(B261,'Base stats'!B:B,'Base stats'!R:R)</f>
        <v>Standard</v>
      </c>
      <c r="Q261" s="13">
        <f>MROUND((LOG10(_xlfn.XLOOKUP(B261,'Base stats'!B:B,'Base stats'!AR:AR))*(AO261^0.5)+(_xlfn.XLOOKUP(B261,'Base stats'!B:B,'Base stats'!AR:AR)/1000)^(2/3)+_xlfn.XLOOKUP(B261,'Base stats'!B:B,'Base stats'!BA:BA)/2)+0.5,0.5)</f>
        <v>5.5</v>
      </c>
      <c r="R261" s="7">
        <f>IF(Q261="No","No",MAX(1,MROUND(_xlfn.XLOOKUP(B261,'Base stats'!B:B,'Base stats'!C:C)^0.165,0.05)))</f>
        <v>1.8</v>
      </c>
      <c r="S261" s="13" t="str">
        <f>IF(_xlfn.XLOOKUP(_xlfn.XLOOKUP(B261,'Base stats'!B:B,'Base stats'!E:E),Groups!A:A,Groups!P:P)=0,"No",MROUND((LOG10(_xlfn.XLOOKUP(B261,'Base stats'!B:B,'Base stats'!AS:AS))*(AO261^0.5)+(_xlfn.XLOOKUP(B261,'Base stats'!B:B,'Base stats'!AS:AS)/1000)^(2/3)+_xlfn.XLOOKUP(B261,'Base stats'!B:B,'Base stats'!BA:BA))+_xlfn.XLOOKUP(B261,'Base stats'!B:B,'Base stats'!AY:AY)+0.5,0.5))</f>
        <v>No</v>
      </c>
      <c r="T261" s="7" t="str">
        <f>IF(S261="No","No",MAX(_xlfn.XLOOKUP(_xlfn.XLOOKUP(B261,'Base stats'!B:B,'Base stats'!E:E),Groups!A:A,Groups!Q:Q),MROUND(_xlfn.XLOOKUP(_xlfn.XLOOKUP(B261,'Base stats'!B:B,'Base stats'!E:E),Groups!A:A,Groups!Q:Q)*_xlfn.XLOOKUP(B261,'Base stats'!B:B,'Base stats'!C:C)^0.165,0.05)))</f>
        <v>No</v>
      </c>
      <c r="U261" s="7" t="str">
        <f>IF(S261="No","No",_xlfn.XLOOKUP(_xlfn.XLOOKUP(B261,'Base stats'!B:B,'Base stats'!E:E),Groups!A:A,Groups!R:R))</f>
        <v>No</v>
      </c>
      <c r="V261" s="7" t="str">
        <f>IF(S261="No","No",_xlfn.XLOOKUP(_xlfn.XLOOKUP(B261,'Base stats'!B:B,'Base stats'!E:E),Groups!A:A,Groups!S:S))</f>
        <v>No</v>
      </c>
      <c r="W261" s="7" t="str">
        <f>IF(S261="No","No",_xlfn.XLOOKUP(_xlfn.XLOOKUP(B261,'Base stats'!B:B,'Base stats'!E:E),Groups!A:A,Groups!T:T))</f>
        <v>No</v>
      </c>
      <c r="X261" s="13" t="str">
        <f>IF(_xlfn.XLOOKUP(B261,'Base stats'!B:B,'Base stats'!W:W)="No","No",MROUND((LOG10(_xlfn.XLOOKUP(B261,'Base stats'!B:B,'Base stats'!AU:AU))*(AO261^0.5)+(_xlfn.XLOOKUP(B261,'Base stats'!B:B,'Base stats'!AU:AU)/1000)^(2/3)+_xlfn.XLOOKUP(B261,'Base stats'!B:B,'Base stats'!AZ:AZ))+0.5+IF(_xlfn.XLOOKUP(_xlfn.XLOOKUP(B261,'Base stats'!B:B,'Base stats'!E:E),Groups!A:A,Groups!U:U)&lt;&gt;3,_xlfn.XLOOKUP(B261,'Base stats'!B:B,'Base stats'!BA:BA),0),0.5))</f>
        <v>No</v>
      </c>
      <c r="Y261" s="7" t="str">
        <f>IF(X261="No","No",MAX(_xlfn.XLOOKUP(_xlfn.XLOOKUP(B261,'Base stats'!B:B,'Base stats'!E:E),Groups!A:A,Groups!V:V),MROUND(_xlfn.XLOOKUP(_xlfn.XLOOKUP(B261,'Base stats'!B:B,'Base stats'!E:E),Groups!A:A,Groups!V:V)*_xlfn.XLOOKUP(B261,'Base stats'!B:B,'Base stats'!C:C)^0.165,0.05)))</f>
        <v>No</v>
      </c>
      <c r="Z261" s="7" t="str">
        <f>IF(X261="No","No",_xlfn.XLOOKUP(_xlfn.XLOOKUP(B261,'Base stats'!B:B,'Base stats'!E:E),Groups!A:A,Groups!W:W))</f>
        <v>No</v>
      </c>
      <c r="AA261" s="7" t="str">
        <f>IF(X261="No","No",_xlfn.XLOOKUP(_xlfn.XLOOKUP(B261,'Base stats'!B:B,'Base stats'!E:E),Groups!A:A,Groups!X:X))</f>
        <v>No</v>
      </c>
      <c r="AB261" s="7" t="str">
        <f>IF(X261="No","No",_xlfn.XLOOKUP(_xlfn.XLOOKUP(B261,'Base stats'!B:B,'Base stats'!E:E),Groups!A:A,Groups!Y:Y))</f>
        <v>No</v>
      </c>
      <c r="AC261" s="7" t="str">
        <f>_xlfn.XLOOKUP(Animals!B261,'Base stats'!B:B,'Base stats'!X:X)</f>
        <v>False</v>
      </c>
      <c r="AD261" s="13" t="str">
        <f>IF(_xlfn.XLOOKUP(B261,'Base stats'!B:B,'Base stats'!AT:AT)="No","No",MROUND((LOG10(_xlfn.XLOOKUP(B261,'Base stats'!B:B,'Base stats'!AT:AT))*(AO261^0.75)+(_xlfn.XLOOKUP(B261,'Base stats'!B:B,'Base stats'!AT:AT)/1000)^(2/3)+_xlfn.XLOOKUP(B261,'Base stats'!B:B,'Base stats'!AX:AX)+_xlfn.XLOOKUP(B261,'Base stats'!B:B,'Base stats'!BA:BA))+0.5,0.5))</f>
        <v>No</v>
      </c>
      <c r="AE261" s="7" t="str">
        <f>IF(AD261="No","No",MAX(_xlfn.XLOOKUP(_xlfn.XLOOKUP(B261,'Base stats'!B:B,'Base stats'!E:E),Groups!A:A,Groups!Z:Z),MROUND(_xlfn.XLOOKUP(_xlfn.XLOOKUP(B261,'Base stats'!B:B,'Base stats'!E:E),Groups!A:A,Groups!Z:Z)*_xlfn.XLOOKUP(B261,'Base stats'!B:B,'Base stats'!C:C)^0.165,0.05)))</f>
        <v>No</v>
      </c>
      <c r="AF261" s="7" t="str">
        <f>IF(AD261="No","No",_xlfn.XLOOKUP(_xlfn.XLOOKUP(B261,'Base stats'!B:B,'Base stats'!E:E),Groups!A:A,Groups!AA:AA))</f>
        <v>No</v>
      </c>
      <c r="AG261" s="7" t="str">
        <f>IF(AD261="No","No",_xlfn.XLOOKUP(_xlfn.XLOOKUP(B261,'Base stats'!B:B,'Base stats'!E:E),Groups!A:A,Groups!AB:AB))</f>
        <v>No</v>
      </c>
      <c r="AH261" s="7" t="str">
        <f>IF(AD261="No","No",_xlfn.XLOOKUP(_xlfn.XLOOKUP(B261,'Base stats'!B:B,'Base stats'!E:E),Groups!A:A,Groups!AC:AC))</f>
        <v>No</v>
      </c>
      <c r="AI261" s="13" t="str">
        <f>IF(_xlfn.XLOOKUP(_xlfn.XLOOKUP(B261,'Base stats'!B:B,'Base stats'!E:E),Groups!A:A,Groups!AD:AD)=0,"No",MROUND((LOG10(_xlfn.XLOOKUP(B261,'Base stats'!B:B,'Base stats'!AS:AS))*(AO261^0.75)+(_xlfn.XLOOKUP(B261,'Base stats'!B:B,'Base stats'!AS:AS)/1000)^(2/3)+_xlfn.XLOOKUP(B261,'Base stats'!B:B,'Base stats'!AY:AY)+_xlfn.XLOOKUP(B261,'Base stats'!B:B,'Base stats'!BA:BA))+0.5,0.5))</f>
        <v>No</v>
      </c>
      <c r="AJ261" s="7" t="str">
        <f>IF(AI261="No","No",MAX(_xlfn.XLOOKUP(_xlfn.XLOOKUP(B261,'Base stats'!B:B,'Base stats'!E:E),Groups!A:A,Groups!AE:AE),MROUND(_xlfn.XLOOKUP(_xlfn.XLOOKUP(B261,'Base stats'!B:B,'Base stats'!E:E),Groups!A:A,Groups!AE:AE)*IF(_xlfn.XLOOKUP(_xlfn.XLOOKUP(B261,'Base stats'!B:B,'Base stats'!E:E),Groups!A:A,Groups!AJ:AJ)="Photonozoa",0.6,1)*_xlfn.XLOOKUP(B261,'Base stats'!B:B,'Base stats'!C:C)^0.165,0.05)))</f>
        <v>No</v>
      </c>
      <c r="AK261" s="7" t="str">
        <f>IF(AI261="No","No",_xlfn.XLOOKUP(_xlfn.XLOOKUP(B261,'Base stats'!B:B,'Base stats'!E:E),Groups!A:A,Groups!AF:AF))</f>
        <v>No</v>
      </c>
      <c r="AL261" s="7" t="str">
        <f>IF(AI261="No","No",_xlfn.XLOOKUP(_xlfn.XLOOKUP(B261,'Base stats'!B:B,'Base stats'!E:E),Groups!A:A,Groups!AG:AG))</f>
        <v>No</v>
      </c>
      <c r="AM261" s="7" t="str">
        <f>IF(AI261="No","No",_xlfn.XLOOKUP(_xlfn.XLOOKUP(B261,'Base stats'!B:B,'Base stats'!E:E),Groups!A:A,Groups!AH:AH))</f>
        <v>No</v>
      </c>
      <c r="AN261" s="2" t="str">
        <f t="shared" si="28"/>
        <v>No</v>
      </c>
      <c r="AO261" s="2">
        <f>MROUND(IF(AND(_xlfn.XLOOKUP(B261,'Base stats'!B:B,'Base stats'!C:C)&gt;=0.5,_xlfn.XLOOKUP(B261,'Base stats'!B:B,'Base stats'!C:C)&lt;=0.8),
IF(_xlfn.XLOOKUP(B261,'Base stats'!B:B,'Base stats'!C:C)&lt;0.1,0.05,IF(_xlfn.XLOOKUP(B261,'Base stats'!B:B,'Base stats'!C:C)&lt;=70,(_xlfn.XLOOKUP(B261,'Base stats'!B:B,'Base stats'!C:C)/70)^0.426489913056526,IF(_xlfn.XLOOKUP(B261,'Base stats'!B:B,'Base stats'!C:C)&lt;=400,(_xlfn.XLOOKUP(B261,'Base stats'!B:B,'Base stats'!C:C)/70)^0.572811455315093,IF(_xlfn.XLOOKUP(B261,'Base stats'!B:B,'Base stats'!C:C)&lt;=2000,2.71391647193063*(_xlfn.XLOOKUP(B261,'Base stats'!B:B,'Base stats'!C:C)/400)^0.252459582904293,3.74314280240376*(_xlfn.XLOOKUP(B261,'Base stats'!B:B,'Base stats'!C:C)/2000)^0.357012633876913)))),
IF(_xlfn.XLOOKUP(B261,'Base stats'!B:B,'Base stats'!C:C)&lt;0.1,0.05,IF(_xlfn.XLOOKUP(B261,'Base stats'!B:B,'Base stats'!C:C)&lt;0.4,0.1,IF(_xlfn.XLOOKUP(B261,'Base stats'!B:B,'Base stats'!C:C)&lt;=70,(_xlfn.XLOOKUP(B261,'Base stats'!B:B,'Base stats'!C:C)/70)^0.445823913056526,IF(_xlfn.XLOOKUP(B261,'Base stats'!B:B,'Base stats'!C:C)&lt;=400,(_xlfn.XLOOKUP(B261,'Base stats'!B:B,'Base stats'!C:C)/70)^0.572811455315093,IF(_xlfn.XLOOKUP(B261,'Base stats'!B:B,'Base stats'!C:C)&lt;=2000,2.71391647193063*(_xlfn.XLOOKUP(B261,'Base stats'!B:B,'Base stats'!C:C)/400)^0.252459582904293,3.74314280240376*(_xlfn.XLOOKUP(B261,'Base stats'!B:B,'Base stats'!C:C)/2000)^0.357012633876913)))))),
IF(_xlfn.XLOOKUP(B261,'Base stats'!B:B,'Base stats'!C:C)&lt;0.1,0.05,IF(_xlfn.XLOOKUP(B261,'Base stats'!B:B,'Base stats'!C:C)&lt;=100,0.05,IF(_xlfn.XLOOKUP(B261,'Base stats'!B:B,'Base stats'!C:C)&lt;=250,0.1,IF(_xlfn.XLOOKUP(B261,'Base stats'!B:B,'Base stats'!C:C)&lt;=4000,0.25,0.5)))))</f>
        <v>0.75</v>
      </c>
      <c r="AP261" s="8">
        <f>MROUND(AO261*_xlfn.XLOOKUP(_xlfn.XLOOKUP(B261,'Base stats'!B:B,'Base stats'!E:E),Groups!A:A,Groups!AI:AI)*_xlfn.XLOOKUP(B261,'Base stats'!B:B,'Base stats'!Z:Z),0.05)</f>
        <v>0.75</v>
      </c>
      <c r="AQ261" s="8">
        <f>MAX(0.01,MROUND(IF(CC261="True",0.196*(AO261*100*1000)^0.889,IF(_xlfn.XLOOKUP(_xlfn.XLOOKUP(B261,'Base stats'!B:B,'Base stats'!E:E),Groups!A:A,Groups!AJ:AJ)="Bird",10.5*(AO261*100*1000)^0.681,4.82*(AO261*100*1000)^0.734))/(4.82*(1*100*1000)^0.734)/IF(AO261&lt;3.5,2,IF(AO261=3.5,1.5,1.25))*(1+0.132282374779864/(AO261^0.994035016789033+0.00905238001496948)),0.05))</f>
        <v>0.1</v>
      </c>
      <c r="AR261" s="9">
        <f>IFERROR(MROUND(_xlfn.XLOOKUP(B261,'Base stats'!B:B,'Base stats'!H:H)/IF(_xlfn.XLOOKUP(B261,'Base stats'!B:B,'Base stats'!I:I)&lt;&gt;1,(122.5/70),1.2),IF(_xlfn.XLOOKUP(B261,'Base stats'!B:B,'Base stats'!H:H)&gt;=30,5,IF(_xlfn.XLOOKUP(B261,'Base stats'!B:B,'Base stats'!H:H)&gt;=15,3,IF(_xlfn.XLOOKUP(B261,'Base stats'!B:B,'Base stats'!H:H)&gt;=10,2,1)))),"Immortal")</f>
        <v>2</v>
      </c>
      <c r="AS261" s="35" t="str">
        <f>IFERROR(IF(OR(_xlfn.XLOOKUP(B261,'Base stats'!B:B,'Base stats'!F:F)="Atypical reproduction",_xlfn.XLOOKUP(B261,'Base stats'!B:B,'Base stats'!F:F)="Lay eggs"),"Lay eggs",MIN(20,MAX(5.5,ROUND(((_xlfn.XLOOKUP(B261,'Base stats'!B:B,'Base stats'!F:F)-25)*(14.5/615) + 5.5)*2,0)/2))),"Unknown")</f>
        <v>Lay eggs</v>
      </c>
      <c r="AT261" s="8" t="str">
        <f>IF(_xlfn.XLOOKUP(B261,'Base stats'!B:B,'Base stats'!G:G)="Atypical reproduction","No",IFERROR(MAX(IF(_xlfn.XLOOKUP(B261,'Base stats'!B:B,'Base stats'!G:G)&lt;0.5,0.2,0.3),MROUND(_xlfn.XLOOKUP(B261,'Base stats'!B:B,'Base stats'!G:G)/(365/60),0.2)),"Unknown"))</f>
        <v>No</v>
      </c>
      <c r="AU261" s="8" t="str">
        <f t="shared" si="29"/>
        <v>No</v>
      </c>
      <c r="AV261" s="8" t="str">
        <f>IFERROR(IFERROR(MROUND(_xlfn.XLOOKUP(B261,'Base stats'!B:B,'Base stats'!J:J),0.1),"Lay eggs"),"Cannot breed")</f>
        <v>Lay eggs</v>
      </c>
      <c r="AW261" s="2" t="str">
        <f t="shared" si="30"/>
        <v>false</v>
      </c>
      <c r="AX261" s="2" t="str">
        <f>IF(_xlfn.XLOOKUP(_xlfn.XLOOKUP(Animals!B261,'Base stats'!B:B,'Base stats'!E:E),Groups!A:A,Groups!AK:AK)=1,"true","false")</f>
        <v>false</v>
      </c>
      <c r="AY261" s="25" t="str">
        <f>IF(_xlfn.XLOOKUP(B261,'Base stats'!B:B,'Base stats'!Y:Y)="Liquor","Liquor, CarnivoreAnimalStrict",IF(AND(_xlfn.XLOOKUP(B261,'Base stats'!B:B,'Base stats'!Y:Y)="Carnivore",_xlfn.XLOOKUP(_xlfn.XLOOKUP(B261,'Base stats'!B:B,'Base stats'!E:E),Groups!A:A,Groups!AJ:AJ)="Photonozoa"),"CarnivoreAnimalStrict, OvivoreAnimal",IF(_xlfn.XLOOKUP(B261,'Base stats'!B:B,'Base stats'!Y:Y)="Carnivore","CarnivoreAnimal, OvivoreAnimal",IF(_xlfn.XLOOKUP(B261,'Base stats'!B:B,'Base stats'!Y:Y)="Dendrovore","VegetarianRoughAnimal, DendrovoreAnimal",IF(_xlfn.XLOOKUP(B261,'Base stats'!B:B,'Base stats'!Y:Y)="Herbivore","VegetarianRoughAnimal",IF(_xlfn.XLOOKUP(B261,'Base stats'!B:B,'Base stats'!Y:Y)="OmnivoreRough","OmnivoreRoughAnimal, OvivoreAnimal","OmnivoreAnimal, OvivoreAnimal"))))))</f>
        <v>VegetarianRoughAnimal</v>
      </c>
      <c r="AZ261" s="2">
        <f>IF(_xlfn.XLOOKUP(_xlfn.XLOOKUP(B261,'Base stats'!B:B,'Base stats'!E:E),Groups!A:A,Groups!D:D)=1,MROUND((1-J261)*5+1,2)*IF(J261&lt;=0.4,2,1),"No")</f>
        <v>4</v>
      </c>
      <c r="BA261" s="2" t="str">
        <f>IF(AND(_xlfn.XLOOKUP(B261,'Base stats'!B:B,'Base stats'!AH:AH)="&lt;li&gt;Seal&lt;/li&gt;",G261="Odyssey"),"&lt;li&gt;AEXP_Seal&lt;/li&gt;",_xlfn.XLOOKUP(B261,'Base stats'!B:B,'Base stats'!AH:AH))</f>
        <v>&lt;li&gt;Megaspider&lt;/li&gt;</v>
      </c>
      <c r="BB261" s="2" t="str">
        <f>_xlfn.XLOOKUP(B261,'Base stats'!B:B,'Base stats'!AG:AG)</f>
        <v>Leather_Chitin</v>
      </c>
      <c r="BC261" s="23" t="str">
        <f>_xlfn.XLOOKUP(_xlfn.XLOOKUP(B261,'Base stats'!B:B,'Base stats'!E:E),Groups!A:A,Groups!AL:AL)</f>
        <v>BeetleLike</v>
      </c>
      <c r="BD261" s="23">
        <f>MIN(1,MROUND(IF(AND(AO261&lt;0.5,_xlfn.XLOOKUP(B261,'Base stats'!B:B,'Base stats'!AA:AA)=0),0,IF(OR(_xlfn.XLOOKUP(Animals!B261,'Base stats'!B:B,'Base stats'!O:O)=2,_xlfn.XLOOKUP(_xlfn.XLOOKUP(B261,'Base stats'!B:B,'Base stats'!E:E),Groups!A:A,Groups!AN:AN)=0),0,_xlfn.XLOOKUP(_xlfn.XLOOKUP(B261,'Base stats'!B:B,'Base stats'!E:E),Groups!A:A,Groups!AN:AN)/IF(_xlfn.XLOOKUP(Animals!B261,'Base stats'!B:B,'Base stats'!O:O)=1,2,1)))+_xlfn.XLOOKUP(B261,'Base stats'!B:B,'Base stats'!AC:AC),0.005))</f>
        <v>0</v>
      </c>
      <c r="BE261" s="23">
        <f>MIN(1,MROUND(IF(AND(AO261&lt;0.5,_xlfn.XLOOKUP(B261,'Base stats'!B:B,'Base stats'!AA:AA)=0),0,IF(_xlfn.XLOOKUP(_xlfn.XLOOKUP(B261,'Base stats'!B:B,'Base stats'!E:E),Groups!A:A,Groups!AO:AO)=0,0,_xlfn.XLOOKUP(_xlfn.XLOOKUP(B261,'Base stats'!B:B,'Base stats'!E:E),Groups!A:A,Groups!AO:AO)/IF(_xlfn.XLOOKUP(Animals!B261,'Base stats'!B:B,'Base stats'!O:O)=2,3,1)))+_xlfn.XLOOKUP(B261,'Base stats'!B:B,'Base stats'!AD:AD),0.005))</f>
        <v>0</v>
      </c>
      <c r="BF261" s="2" t="str">
        <f>IF(J261&gt;0.3,"No",_xlfn.XLOOKUP(_xlfn.XLOOKUP(Animals!B261,'Base stats'!B:B,'Base stats'!E:E),Groups!A:A,Groups!AP:AP))</f>
        <v>No</v>
      </c>
      <c r="BG261" s="2" t="str">
        <f>IF(AND(J261&lt;=0.65,_xlfn.XLOOKUP(_xlfn.XLOOKUP(Animals!B261,'Base stats'!B:B,'Base stats'!E:E),Groups!A:A,Groups!AP:AP)&lt;&gt;"No",_xlfn.XLOOKUP(_xlfn.XLOOKUP(B261,'Base stats'!B:B,'Base stats'!E:E),Groups!A:A,Groups!D:D)=0),MROUND((80/3)*IF(_xlfn.XLOOKUP(B261,'Base stats'!B:B,'Base stats'!O:O)=2,0.2,AO261) + 24*(1-IF(BF261="No",0,BF261)) + 16/3, 12),"No")</f>
        <v>No</v>
      </c>
      <c r="BH261" s="2">
        <f>IF(AND(_xlfn.XLOOKUP(_xlfn.XLOOKUP(B261,'Base stats'!B:B,'Base stats'!E:E),Groups!A:A,Groups!AQ:AQ)=1,AO261&lt;=0.35),8,12)</f>
        <v>12</v>
      </c>
      <c r="BI261" s="2" t="str">
        <f>IF(_xlfn.XLOOKUP(_xlfn.XLOOKUP(B261,'Base stats'!B:B,'Base stats'!E:E),Groups!A:A,Groups!D:D)=0,_xlfn.XLOOKUP(_xlfn.XLOOKUP(B261,'Base stats'!B:B,'Base stats'!E:E),Groups!A:A,Groups!AR:AR),"None")</f>
        <v>None</v>
      </c>
      <c r="BJ261" s="2" t="str">
        <f>IF(AND(_xlfn.XLOOKUP(_xlfn.XLOOKUP(B261,'Base stats'!B:B,'Base stats'!E:E),Groups!A:A,Groups!AS:AS)=1,OR(_xlfn.XLOOKUP(B261,'Base stats'!B:B,'Base stats'!Y:Y)="Carnivore",_xlfn.XLOOKUP(B261,'Base stats'!B:B,'Base stats'!Y:Y)="Omnivore")),"true","false")</f>
        <v>false</v>
      </c>
      <c r="BK261" s="2" t="str">
        <f>IF(BJ261="true",MROUND(IF(AND(AO261&gt;0.5,OR(_xlfn.XLOOKUP(_xlfn.XLOOKUP(B261,'Base stats'!B:B,'Base stats'!E:E),Groups!A:A,Groups!AJ:AJ)="Photonozoa",_xlfn.XLOOKUP(_xlfn.XLOOKUP(B261,'Base stats'!B:B,'Base stats'!E:E),Groups!A:A,Groups!AJ:AJ)="Mammal")),Animals!AO261*1.75*IF(AW261="true",1.5,1),IF(AO261&lt;0.5,Animals!AO261*0.5,Animals!AO261)),IF(AO261&gt;2,0.5,IF(AO261&gt;0.5,0.25,0.1))),"No")</f>
        <v>No</v>
      </c>
      <c r="BL261" s="2">
        <f t="shared" si="31"/>
        <v>0</v>
      </c>
      <c r="BM261" s="25" t="str">
        <f>IF(_xlfn.XLOOKUP(B261,'Base stats'!B:B,'Base stats'!AN:AN)="Standard","No",MROUND((_xlfn.XLOOKUP(B261,'Base stats'!B:B,'Base stats'!AN:AN)/3.6)/I261,0.1))</f>
        <v>No</v>
      </c>
      <c r="BN261" s="25" t="str">
        <f t="shared" si="32"/>
        <v>false</v>
      </c>
      <c r="BO261" s="25" t="str">
        <f>IF(AND(OR(_xlfn.XLOOKUP(B261,'Base stats'!B:B,'Base stats'!Y:Y)="Carnivore",_xlfn.XLOOKUP(B261,'Base stats'!B:B,'Base stats'!Y:Y)="Omnivore",_xlfn.XLOOKUP(B261,'Base stats'!B:B,'Base stats'!Y:Y)="OmnivoreRough"),_xlfn.XLOOKUP(_xlfn.XLOOKUP(B261,'Base stats'!B:B,'Base stats'!E:E),Groups!A:A,Groups!AT:AT)=1),"true","false")</f>
        <v>false</v>
      </c>
      <c r="BP261" s="25" t="str" cm="1">
        <f t="array" ref="BP261">IF(
  _xlfn.TEXTJOIN(", ",TRUE,
    IF(AND(BJ261="true",AO261&gt;0.5,BI261&lt;&gt;"None"),"AttackTarget",""),
    IF(AND(_xlfn.XLOOKUP(_xlfn.XLOOKUP(B261,'Base stats'!B:B,'Base stats'!E:E),Groups!A:A,Groups!AJ:AJ="Mammal"),OR(_xlfn.XLOOKUP(B261,'Base stats'!B:B,'Base stats'!Y:Y)="Omnivore",_xlfn.XLOOKUP(B261,'Base stats'!B:B,'Base stats'!Y:Y)="OmnivoreRough")),"Forage",""),
    IF(BG261&lt;=36,"Comfort",""),
    IF(_xlfn.XLOOKUP(B261,'Base stats'!B:B,'Base stats'!AE:AE)&lt;&gt;"No",_xlfn.XLOOKUP(B261,'Base stats'!B:B,'Base stats'!AE:AE),"")
  ) = "",
  "No",
  _xlfn.TEXTJOIN(", ",TRUE,
    IF(AND(BJ261="true",AO261&gt;0.5,BI261&lt;&gt;"None"),"AttackTarget",""),
    IF(AND(_xlfn.XLOOKUP(_xlfn.XLOOKUP(B261,'Base stats'!B:B,'Base stats'!E:E),Groups!A:A,Groups!AJ:AJ="Mammal"),OR(_xlfn.XLOOKUP(B261,'Base stats'!B:B,'Base stats'!Y:Y)="Omnivore",_xlfn.XLOOKUP(B261,'Base stats'!B:B,'Base stats'!Y:Y)="OmnivoreRough")),"Forage",""),
    IF(BG261&lt;=36,"Comfort",""),
    IF(_xlfn.XLOOKUP(B261,'Base stats'!B:B,'Base stats'!AE:AE)&lt;&gt;"No",_xlfn.XLOOKUP(B261,'Base stats'!B:B,'Base stats'!AE:AE),"")
  )
)</f>
        <v>No</v>
      </c>
      <c r="BQ261" s="25" t="str">
        <f>IF(
   AND(
      'Base stats'!AN261="Standard",_xlfn.XLOOKUP(_xlfn.XLOOKUP(B261,'Base stats'!B:B,'Base stats'!E:E),Groups!A:A,Groups!AU:AU)=0,
      OR(
      BO261="True"
      )
   ),
   10,
   IF(
       OR(BM261&lt;&gt;"No",_xlfn.XLOOKUP(_xlfn.XLOOKUP(B261,'Base stats'!B:B,'Base stats'!E:E),Groups!A:A,Groups!AU:AU)=1),
      1,
      "No"
   )
)</f>
        <v>No</v>
      </c>
      <c r="BR261" s="9">
        <f>MROUND((1 + ((0.2*IF(OR(Q261="No",R261="No",R261=0),0,Q261/R261)
+IF(OR(V261="No",S261="No",T261="No"),0,S261/T261*(LEN(V261)-LEN(SUBSTITUTE(V261,",",""))+1))
+IF(OR(X261="No",Y261="No"),0,X261/Y261)
+IF(OR(AD261="No",AE261="No"),0,AD261/AE261)
+IF(OR(AL261="No",AI261="No",AJ261="No"),0,AI261/AJ261*(LEN(AL261)-LEN(SUBSTITUTE(AL261,",",""))+1))
)/(0.2*IF(OR(Q261="No",R261="No",R261=0),0,1)
+IF(OR(V261="No",S261="No",T261="No"),0,LEN(V261)-LEN(SUBSTITUTE(V261,",",""))+1)
+IF(OR(X261="No",Y261="No"),0,1)
+IF(OR(AD261="No",AE261="No"),0,1)
+IF(OR(AL261="No",AI261="No",AJ261="No"),0,LEN(AL261)-LEN(SUBSTITUTE(AL261,",",""))+1))*62%)* 2)*(1 + (AP261 / (IF(_xlfn.XLOOKUP(_xlfn.XLOOKUP(B261,'Base stats'!B:B,'Base stats'!E:E),Groups!A:A,Groups!AJ:AJ)="Photonozoa",0.3,1)) + _xlfn.XLOOKUP(B261,'Base stats'!B:B,'Base stats'!AV:AV) * 1.8) * 2) * 2.5 + 10 + I261 * 2,5)+IF(_xlfn.XLOOKUP(B261,'Base stats'!B:B,'Base stats'!AK:AK)=1,50,0)</f>
        <v>60</v>
      </c>
      <c r="BS261" s="8">
        <f t="shared" si="33"/>
        <v>0.25</v>
      </c>
      <c r="BT261" s="8" t="str">
        <f>_xlfn.XLOOKUP(B261,'Base stats'!B:B,'Base stats'!AF:AF)</f>
        <v>No</v>
      </c>
      <c r="BU261" s="2" t="str">
        <f>IF(AND(J261&lt;=0.95,OR(_xlfn.XLOOKUP(B261,'Base stats'!B:B,'Base stats'!AK:AK)=1,_xlfn.XLOOKUP(B261,'Base stats'!B:B,'Base stats'!Y:Y)="Carnivore",_xlfn.XLOOKUP(B261,'Base stats'!B:B,'Base stats'!Y:Y)="Omnivore",BE261&gt;0.1)),"true","false")</f>
        <v>false</v>
      </c>
      <c r="BV261" s="2" t="str">
        <f>IF(_xlfn.XLOOKUP(B261,'Base stats'!B:B,'Base stats'!AI:AI)=1,"true","false")</f>
        <v>false</v>
      </c>
      <c r="BW261" s="25" t="str">
        <f>IF(E261="BaseInsect","AnimalInsect",
IF(J261&gt;0.95,"AnimalExotic",
_xlfn.TEXTJOIN(", ",TRUE,
IF(OR(_xlfn.XLOOKUP(B261,'Base stats'!B:B,'Base stats'!AM:AM)=1,AND(_xlfn.XLOOKUP(B261,'Base stats'!B:B,'Base stats'!O:O)=0,_xlfn.XLOOKUP(_xlfn.XLOOKUP(B261,'Base stats'!B:B,'Base stats'!E:E),Groups!A:A,Groups!B:B)&gt;0)),"AnimalUncommon","AnimalCommon"),
IF(AND(_xlfn.XLOOKUP(B261,'Base stats'!B:B,'Base stats'!O:O)=2,_xlfn.XLOOKUP(_xlfn.XLOOKUP(B261,'Base stats'!B:B,'Base stats'!E:E),Groups!A:A,Groups!D:D)=0),"AnimalPet",IF(AND(_xlfn.XLOOKUP(B261,'Base stats'!B:B,'Base stats'!O:O)&lt;&gt;0,_xlfn.XLOOKUP(_xlfn.XLOOKUP(B261,'Base stats'!B:B,'Base stats'!E:E),Groups!A:A,Groups!D:D)&lt;&gt;0),"AnimalFarm","")),
IF(OR(_xlfn.XLOOKUP(B261,'Base stats'!B:B,'Base stats'!AK:AK)=1,AND(BI261&lt;&gt;"None",BR261&gt;=60),ISNUMBER(SEARCH("Attack target",BP261))),"AnimalFighter","")
)))</f>
        <v>AnimalUncommon</v>
      </c>
      <c r="BX261" s="25" t="str">
        <f>IF(G261="None",TRIM(
SUBSTITUTE(
IF(COUNTIF(Biomes!B$2:B$259,"="&amp;$C261)&gt;0,Biomes!B$1&amp;", ","")&amp;
IF(COUNTIF(Biomes!C$2:C$259,"="&amp;$C261)&gt;0,Biomes!C$1&amp;", ","")&amp;
IF(COUNTIF(Biomes!D$2:D$259,"="&amp;$C261)&gt;0,Biomes!D$1&amp;", ","")&amp;
IF(COUNTIF(Biomes!F$2:F$259,"="&amp;$C261)&gt;0,Biomes!F$1&amp;", ","")&amp;
IF(COUNTIF(Biomes!G$2:G$259,"="&amp;$C261)&gt;0,Biomes!G$1&amp;", ","")&amp;
IF(COUNTIF(Biomes!H$2:H$259,"="&amp;$C261)&gt;0,Biomes!H$1&amp;", ","")&amp;
IF(COUNTIF(Biomes!I$2:I$259,"="&amp;$C261)&gt;0,Biomes!I$1&amp;", ","")&amp;
IF(COUNTIF(Biomes!J$2:J$259,"="&amp;$C261)&gt;0,Biomes!J$1&amp;", ","")&amp;
IF(COUNTIF(Biomes!M$2:M$259,"="&amp;$C261)&gt;0,Biomes!M$1&amp;", ","")&amp;
IF(COUNTIF(Biomes!N$2:N$259,"="&amp;$C261)&gt;0,Biomes!N$1&amp;", ","")&amp;
IF(COUNTIF(Biomes!O$2:O$259,"="&amp;$C261)&gt;0,Biomes!O$1&amp;", ","")&amp;
IF(COUNTIF(Biomes!P$2:P$259,"="&amp;$C261)&gt;0,Biomes!P$1&amp;", ","")&amp;
IF(COUNTIF(Biomes!K$2:K$259,"="&amp;$C261)&gt;0,Biomes!K$1&amp;", ","")&amp;
IF(COUNTIF(Biomes!Q$3:Q$259,"="&amp;$C261)&gt;0,Biomes!Q$1&amp;", ","")&amp;
IF(COUNTIF(Biomes!L$2:L$259,"="&amp;$C261)&gt;0,Biomes!L$1&amp;", ","")&amp;
IF(COUNTIF(Biomes!E$2:E$259,"="&amp;$C261)&gt;0,Biomes!E$1&amp;", ","")&amp;IF(COUNTIF(Biomes!S$2:S$259,"="&amp;$C261)&gt;0,Biomes!S$1&amp;", ","")&amp;
IF(COUNTIF(Biomes!R$2:R$259,"="&amp;$C261)&gt;0,Biomes!R$1&amp;", ",""),", ","")
),_xlfn.XLOOKUP(B261,B:B,BX:BX))</f>
        <v>TemperateForest TemperateSwamp AridShrubland Desert TropicalRainforest TropicalSwamp Grasslands Glowforest LavaField Scarlands</v>
      </c>
      <c r="BY261" s="25" t="str">
        <f>IF(_xlfn.XLOOKUP(B261,'Base stats'!B:B,'Base stats'!AJ:AJ)=1,"true","false")</f>
        <v>false</v>
      </c>
      <c r="BZ261" s="25">
        <f>IF(_xlfn.XLOOKUP(B261,'Base stats'!B:B,'Base stats'!N:N)=1,"No",MAX(0.001,MIN(MROUND(IF(AND(BJ261="True",CC261="False"),POWER(10,3.47*LOG10(_xlfn.XLOOKUP(B261,'Base stats'!B:B,'Base stats'!C:C)*1000)^-0.96),POWER(10,4.15*LOG10(_xlfn.XLOOKUP(B261,'Base stats'!B:B,'Base stats'!C:C)*1000)^-0.73))*IF(_xlfn.XLOOKUP(B261,'Base stats'!B:B,'Base stats'!AK:AK)=1,0.5,1)*IF(_xlfn.XLOOKUP(B261,'Base stats'!B:B,'Base stats'!AM:AM)=1,0.1,1)/100,IF(_xlfn.XLOOKUP(B261,'Base stats'!B:B,'Base stats'!AM:AM)=1,0.001,0.025)),0.5)))</f>
        <v>2.4E-2</v>
      </c>
      <c r="CA261" s="25" t="str">
        <f>IF(P261="Standard","No",MAX(0.001,MIN(MROUND(IF(AND(BJ261="True",CC261="False"),POWER(10,3.47*LOG10(_xlfn.XLOOKUP(B261,'Base stats'!B:B,'Base stats'!C:C)*1000)^-0.96),POWER(10,4.15*LOG10(_xlfn.XLOOKUP(B261,'Base stats'!B:B,'Base stats'!C:C)*1000)^-0.73))*IF(_xlfn.XLOOKUP(B261,'Base stats'!B:B,'Base stats'!AM:AM)=1,0.1,1)*_xlfn.XLOOKUP(B261,'Base stats'!B:B,'Base stats'!R:R)/100,IF(_xlfn.XLOOKUP(B261,'Base stats'!B:B,'Base stats'!AM:AM)=1,0.001,0.025)),0.5)))</f>
        <v>No</v>
      </c>
      <c r="CB261" s="25" t="str">
        <f>IF(_xlfn.XLOOKUP(_xlfn.XLOOKUP(B261,'Base stats'!B:B,'Base stats'!E:E),Groups!A:A,Groups!AJ:AJ)="Mammal","True","False")</f>
        <v>False</v>
      </c>
      <c r="CC261" s="25" t="str">
        <f>IF(OR(_xlfn.XLOOKUP(_xlfn.XLOOKUP(B261,'Base stats'!B:B,'Base stats'!E:E),Groups!A:A,Groups!AJ:AJ)="Reptile",_xlfn.XLOOKUP(_xlfn.XLOOKUP(B261,'Base stats'!B:B,'Base stats'!E:E),Groups!A:A,Groups!AJ:AJ)="Amphibian",_xlfn.XLOOKUP(_xlfn.XLOOKUP(B261,'Base stats'!B:B,'Base stats'!E:E),Groups!A:A,Groups!AJ:AJ)="Invertebrate"),"True","False")</f>
        <v>True</v>
      </c>
      <c r="CD261" s="25" t="str">
        <f t="shared" si="34"/>
        <v>False</v>
      </c>
      <c r="CE261" s="25" t="str">
        <f>IF(_xlfn.XLOOKUP(_xlfn.XLOOKUP(B261,'Base stats'!B:B,'Base stats'!E:E),Groups!A:A,Groups!AX:AX),"True","False")</f>
        <v>False</v>
      </c>
      <c r="CF261" s="25" t="str">
        <f>IF(_xlfn.XLOOKUP(_xlfn.XLOOKUP(B261,'Base stats'!B:B,'Base stats'!E:E),Groups!A:A,Groups!AY:AY),"True","False")</f>
        <v>False</v>
      </c>
      <c r="CG261" s="25" t="str">
        <f>IF(_xlfn.XLOOKUP(_xlfn.XLOOKUP(B261,'Base stats'!B:B,'Base stats'!E:E),Groups!A:A,Groups!AW:AW),"True","False")</f>
        <v>False</v>
      </c>
      <c r="CH261" s="25" t="str">
        <f>IF(
OR(
_xlfn.XLOOKUP(_xlfn.XLOOKUP(B261,'Base stats'!B:B,'Base stats'!E:E),Groups!A:A,Groups!AZ:AZ)=0,
AND(
_xlfn.XLOOKUP(B261,'Base stats'!B:B,'Base stats'!Y:Y)&lt;&gt;"Carnivore",
_xlfn.XLOOKUP(B261,'Base stats'!B:B,'Base stats'!Y:Y)&lt;&gt;"Omnivore",
_xlfn.XLOOKUP(B261,'Base stats'!B:B,'Base stats'!Y:Y)&lt;&gt;"OmnivoreRough"
)
),
"No",
IF(
_xlfn.XLOOKUP(_xlfn.XLOOKUP(B261,'Base stats'!B:B,'Base stats'!E:E),Groups!A:A,Groups!AZ:AZ)=1,
"Flesh",
IF(
_xlfn.XLOOKUP(_xlfn.XLOOKUP(B261,'Base stats'!B:B,'Base stats'!E:E),Groups!A:A,Groups!AZ:AZ)=2,
"Bone",
""
)
)
)</f>
        <v>No</v>
      </c>
      <c r="CI261" s="25" t="str">
        <f>IF(_xlfn.XLOOKUP(_xlfn.XLOOKUP(B261,'Base stats'!B:B,'Base stats'!E:E),Groups!A:A,Groups!BB:BB),"True","False")</f>
        <v>False</v>
      </c>
      <c r="CJ261" s="25" t="str">
        <f>IF(_xlfn.XLOOKUP(_xlfn.XLOOKUP(B261,'Base stats'!B:B,'Base stats'!E:E),Groups!A:A,Groups!BA:BA),"True","False")</f>
        <v>False</v>
      </c>
    </row>
    <row r="262" spans="1:88" ht="16.5" thickTop="1" thickBot="1" x14ac:dyDescent="0.3">
      <c r="A262" s="26" t="s">
        <v>1430</v>
      </c>
      <c r="B262" s="6" t="str">
        <f>_xlfn.XLOOKUP(A262,'Base stats'!A:A,'Base stats'!B:B)</f>
        <v>Papilio imperatrix (larva)</v>
      </c>
      <c r="C262" s="28" t="s">
        <v>1431</v>
      </c>
      <c r="D262" s="28" t="s">
        <v>1341</v>
      </c>
      <c r="E262" s="28" t="s">
        <v>1747</v>
      </c>
      <c r="F262" s="28" t="s">
        <v>673</v>
      </c>
      <c r="G262" s="28" t="s">
        <v>673</v>
      </c>
      <c r="H262" s="2">
        <f>MROUND((
  (IF(AND(_xlfn.XLOOKUP(B262,'Base stats'!B:B,'Base stats'!AL:AL)=0,BI262="None",_xlfn.XLOOKUP(_xlfn.XLOOKUP(B262,'Base stats'!B:B,'Base stats'!E:E),Groups!A:A,Groups!B:B)=0), (18 + BR262 * 2.7) * 0.5,
    IF(AND(_xlfn.XLOOKUP(B262,'Base stats'!B:B,'Base stats'!AL:AL)=0,OR(AO262&lt;0.55,AND(BI262="Intermediate",_xlfn.XLOOKUP(_xlfn.XLOOKUP(B262,'Base stats'!B:B,'Base stats'!E:E),Groups!A:A,Groups!B:B)&lt;2))), (18 + BR262 * 2.7),
      IF(OR(BI262="Advanced",_xlfn.XLOOKUP(B262,'Base stats'!B:B,'Base stats'!AL:AL)=1,_xlfn.XLOOKUP(_xlfn.XLOOKUP(B262,'Base stats'!B:B,'Base stats'!E:E),Groups!A:A,Groups!B:B)=2), (18 + BR262 * 2.7) + 250, (18 + BR262 * 2.7))
    )
  ))
  + AO262 * 80
  + IF(COUNTIF(EggMilk!K$2:K$998, A262) &gt; 0, 125, 0)
  + IF(COUNTIF(EggMilk!P$2:P$998, A262) &gt; 0, 90, 0)
  + IF(COUNTIF(EggMilk!A$2:A$998, A262) &gt; 0, 90, 0)
)
* (0.8 + 0.4 * J262)
* 0.75,25)</f>
        <v>75</v>
      </c>
      <c r="I262" s="2">
        <f>MROUND(ROUNDDOWN(_xlfn.XLOOKUP(B262,'Base stats'!B:B,'Base stats'!L:L)/3.6/(23.3/11),1),0.5)</f>
        <v>2</v>
      </c>
      <c r="J262" s="2">
        <f>IF(OR(_xlfn.XLOOKUP(B262,'Base stats'!B:B,'Base stats'!AB:AB)=1,_xlfn.XLOOKUP(_xlfn.XLOOKUP(B262,'Base stats'!B:B,'Base stats'!E:E),Groups!A:A,Groups!C:C)="Untamable"),1,IF(_xlfn.XLOOKUP(B262,'Base stats'!B:B,'Base stats'!AL:AL)=1,0.99,MIN(MROUND((1-0.6282*EXP(-0.459*AO262))*_xlfn.XLOOKUP(_xlfn.XLOOKUP(B262,'Base stats'!B:B,'Base stats'!E:E),Groups!A:A,Groups!C:C)*IF(_xlfn.XLOOKUP(B262,'Base stats'!B:B,'Base stats'!O:O)=1,0.5,IF(_xlfn.XLOOKUP(B262,'Base stats'!B:B,'Base stats'!O:O)=2,0,1)),0.05),IF(AO262&gt;3.5,0.985,0.95))))</f>
        <v>0.45</v>
      </c>
      <c r="K262" s="2">
        <f>ROUNDUP(AO262*_xlfn.XLOOKUP(_xlfn.XLOOKUP(B262,'Base stats'!B:B,'Base stats'!E:E),Groups!A:A,Groups!E:E),0)</f>
        <v>1</v>
      </c>
      <c r="L262" s="2">
        <f>IF(OR(_xlfn.XLOOKUP(_xlfn.XLOOKUP(B262,'Base stats'!B:B,'Base stats'!E:E),Groups!A:A,Groups!F:F)=2,ISNUMBER(SEARCH("SeaIce",BX262)),ISNUMBER(SEARCH("IceSheet",BX262))),-50,IF(OR(ISNUMBER(SEARCH("GlacialPlain",BX262)),ISNUMBER(SEARCH("Tundra",BX262))),-40,IF(OR(ISNUMBER(SEARCH("Alpine",BX262)),ISNUMBER(SEARCH("BorealForest",BX262)),ISNUMBER(SEARCH("ColdBog",BX262))),-30,IF(OR(ISNUMBER(SEARCH("TemperateForest",BX262)),ISNUMBER(SEARCH("TemperateSwamp",BX262))),-20,IF(_xlfn.XLOOKUP(_xlfn.XLOOKUP(B262,'Base stats'!B:B,'Base stats'!E:E),Groups!A:A,Groups!F:F)=1,-15,IF(OR(ISNUMBER(SEARCH("Desert",BX262)),ISNUMBER(SEARCH("ExtremeDesert",BX262))),-10,IF(OR(ISNUMBER(SEARCH("Grasslands",BX262)),ISNUMBER(SEARCH("TropicalRainforest",BX262)),ISNUMBER(SEARCH("TropicalSwamp",BX262))),10,0)))))))-IF(CC262="False",MIN(IFERROR(MAX(MROUND(LOG10(_xlfn.XLOOKUP(B262,'Base stats'!B:B,'Base stats'!C:C)^(2/3))*10,5),5),5),30))-_xlfn.XLOOKUP(B262,'Base stats'!B:B,'Base stats'!P:P)+IF(CC262="True",5,0)</f>
        <v>-15</v>
      </c>
      <c r="M262" s="2">
        <f>IF(OR(_xlfn.XLOOKUP(_xlfn.XLOOKUP(B262,'Base stats'!B:B,'Base stats'!E:E),Groups!A:A,Groups!G:G)=2,ISNUMBER(SEARCH("Desert",BX262)),ISNUMBER(SEARCH("ExtremeDesert",BX262)),ISNUMBER(SEARCH("LavaField",BX262))),50,IF(ISNUMBER(SEARCH("Grasslands",BX262)),45,IF(OR(_xlfn.XLOOKUP(_xlfn.XLOOKUP(B262,'Base stats'!B:B,'Base stats'!E:E),Groups!A:A,Groups!G:G)=1,ISNUMBER(SEARCH("TropicalRainforest",BX262)),ISNUMBER(SEARCH("TropicalSwamp",BX262))),40,IF(OR(ISNUMBER(SEARCH("TemperateForest",BX262)),ISNUMBER(SEARCH("TemperateSwamp",BX262))),35,IF(OR(ISNUMBER(SEARCH("Alpine",BX262)),ISNUMBER(SEARCH("BorealForest",BX262)),ISNUMBER(SEARCH("ColdBog",BX262))),30,IF(ISNUMBER(OR(ISNUMBER(SEARCH("GlacialPlain",BX262)),SEARCH("Tundra",BX262))),25,IF(OR(ISNUMBER(SEARCH("SeaIce",BX262)),ISNUMBER(SEARCH("IceSheet",BX262)),ISNUMBER(SEARCH("TropicalSwamp",BX262))),10,35)))))))+_xlfn.XLOOKUP(B262,'Base stats'!B:B,'Base stats'!Q:Q)</f>
        <v>50</v>
      </c>
      <c r="N262" s="8">
        <f>IF(
_xlfn.XLOOKUP(
_xlfn.XLOOKUP(B262,'Base stats'!B:B,'Base stats'!E:E),
Groups!A:A,
Groups!L:L
)=1,
MIN(
MROUND(
IF(
_xlfn.XLOOKUP(B262,'Animals CE'!B:B,'Animals CE'!Z:Z)&lt;=1.5,
_xlfn.XLOOKUP(B262,'Animals CE'!B:B,'Animals CE'!Z:Z)/2+0.05,
0.8+
(_xlfn.XLOOKUP(B262,'Animals CE'!B:B,'Animals CE'!Z:Z)-1.5)
*0.02
),
0.05
),
200%
),
"No"
)</f>
        <v>0.15000000000000002</v>
      </c>
      <c r="O262" s="8">
        <f>IF(
_xlfn.XLOOKUP(
_xlfn.XLOOKUP(B262,'Base stats'!B:B,'Base stats'!E:E),
Groups!A:A,
Groups!L:L
)=1,
MIN(
MROUND(
IF(
_xlfn.XLOOKUP(B262,'Animals CE'!B:B,'Animals CE'!AA:AA)&lt;=1.5,
_xlfn.XLOOKUP(B262,'Animals CE'!B:B,'Animals CE'!AA:AA)/2+0.05,
0.8+
(_xlfn.XLOOKUP(B262,'Animals CE'!B:B,'Animals CE'!AA:AA)-1.5)
*0.02
),
0.05
),
200%
),
"No"
)</f>
        <v>0.05</v>
      </c>
      <c r="P262" s="2" t="str">
        <f>_xlfn.XLOOKUP(B262,'Base stats'!B:B,'Base stats'!R:R)</f>
        <v>Standard</v>
      </c>
      <c r="Q262" s="13">
        <f>MROUND((LOG10(_xlfn.XLOOKUP(B262,'Base stats'!B:B,'Base stats'!AR:AR))*(AO262^0.5)+(_xlfn.XLOOKUP(B262,'Base stats'!B:B,'Base stats'!AR:AR)/1000)^(2/3)+_xlfn.XLOOKUP(B262,'Base stats'!B:B,'Base stats'!BA:BA)/2)+0.5,0.5)</f>
        <v>1.5</v>
      </c>
      <c r="R262" s="7">
        <f>IF(Q262="No","No",MAX(1,MROUND(_xlfn.XLOOKUP(B262,'Base stats'!B:B,'Base stats'!C:C)^0.165,0.05)))</f>
        <v>1</v>
      </c>
      <c r="S262" s="13" t="str">
        <f>IF(_xlfn.XLOOKUP(_xlfn.XLOOKUP(B262,'Base stats'!B:B,'Base stats'!E:E),Groups!A:A,Groups!P:P)=0,"No",MROUND((LOG10(_xlfn.XLOOKUP(B262,'Base stats'!B:B,'Base stats'!AS:AS))*(AO262^0.5)+(_xlfn.XLOOKUP(B262,'Base stats'!B:B,'Base stats'!AS:AS)/1000)^(2/3)+_xlfn.XLOOKUP(B262,'Base stats'!B:B,'Base stats'!BA:BA))+_xlfn.XLOOKUP(B262,'Base stats'!B:B,'Base stats'!AY:AY)+0.5,0.5))</f>
        <v>No</v>
      </c>
      <c r="T262" s="7" t="str">
        <f>IF(S262="No","No",MAX(_xlfn.XLOOKUP(_xlfn.XLOOKUP(B262,'Base stats'!B:B,'Base stats'!E:E),Groups!A:A,Groups!Q:Q),MROUND(_xlfn.XLOOKUP(_xlfn.XLOOKUP(B262,'Base stats'!B:B,'Base stats'!E:E),Groups!A:A,Groups!Q:Q)*_xlfn.XLOOKUP(B262,'Base stats'!B:B,'Base stats'!C:C)^0.165,0.05)))</f>
        <v>No</v>
      </c>
      <c r="U262" s="7" t="str">
        <f>IF(S262="No","No",_xlfn.XLOOKUP(_xlfn.XLOOKUP(B262,'Base stats'!B:B,'Base stats'!E:E),Groups!A:A,Groups!R:R))</f>
        <v>No</v>
      </c>
      <c r="V262" s="7" t="str">
        <f>IF(S262="No","No",_xlfn.XLOOKUP(_xlfn.XLOOKUP(B262,'Base stats'!B:B,'Base stats'!E:E),Groups!A:A,Groups!S:S))</f>
        <v>No</v>
      </c>
      <c r="W262" s="7" t="str">
        <f>IF(S262="No","No",_xlfn.XLOOKUP(_xlfn.XLOOKUP(B262,'Base stats'!B:B,'Base stats'!E:E),Groups!A:A,Groups!T:T))</f>
        <v>No</v>
      </c>
      <c r="X262" s="13" t="str">
        <f>IF(_xlfn.XLOOKUP(B262,'Base stats'!B:B,'Base stats'!W:W)="No","No",MROUND((LOG10(_xlfn.XLOOKUP(B262,'Base stats'!B:B,'Base stats'!AU:AU))*(AO262^0.5)+(_xlfn.XLOOKUP(B262,'Base stats'!B:B,'Base stats'!AU:AU)/1000)^(2/3)+_xlfn.XLOOKUP(B262,'Base stats'!B:B,'Base stats'!AZ:AZ))+0.5+IF(_xlfn.XLOOKUP(_xlfn.XLOOKUP(B262,'Base stats'!B:B,'Base stats'!E:E),Groups!A:A,Groups!U:U)&lt;&gt;3,_xlfn.XLOOKUP(B262,'Base stats'!B:B,'Base stats'!BA:BA),0),0.5))</f>
        <v>No</v>
      </c>
      <c r="Y262" s="7" t="str">
        <f>IF(X262="No","No",MAX(_xlfn.XLOOKUP(_xlfn.XLOOKUP(B262,'Base stats'!B:B,'Base stats'!E:E),Groups!A:A,Groups!V:V),MROUND(_xlfn.XLOOKUP(_xlfn.XLOOKUP(B262,'Base stats'!B:B,'Base stats'!E:E),Groups!A:A,Groups!V:V)*_xlfn.XLOOKUP(B262,'Base stats'!B:B,'Base stats'!C:C)^0.165,0.05)))</f>
        <v>No</v>
      </c>
      <c r="Z262" s="7" t="str">
        <f>IF(X262="No","No",_xlfn.XLOOKUP(_xlfn.XLOOKUP(B262,'Base stats'!B:B,'Base stats'!E:E),Groups!A:A,Groups!W:W))</f>
        <v>No</v>
      </c>
      <c r="AA262" s="7" t="str">
        <f>IF(X262="No","No",_xlfn.XLOOKUP(_xlfn.XLOOKUP(B262,'Base stats'!B:B,'Base stats'!E:E),Groups!A:A,Groups!X:X))</f>
        <v>No</v>
      </c>
      <c r="AB262" s="7" t="str">
        <f>IF(X262="No","No",_xlfn.XLOOKUP(_xlfn.XLOOKUP(B262,'Base stats'!B:B,'Base stats'!E:E),Groups!A:A,Groups!Y:Y))</f>
        <v>No</v>
      </c>
      <c r="AC262" s="7" t="str">
        <f>_xlfn.XLOOKUP(Animals!B262,'Base stats'!B:B,'Base stats'!X:X)</f>
        <v>False</v>
      </c>
      <c r="AD262" s="13">
        <f>IF(_xlfn.XLOOKUP(B262,'Base stats'!B:B,'Base stats'!AT:AT)="No","No",MROUND((LOG10(_xlfn.XLOOKUP(B262,'Base stats'!B:B,'Base stats'!AT:AT))*(AO262^0.75)+(_xlfn.XLOOKUP(B262,'Base stats'!B:B,'Base stats'!AT:AT)/1000)^(2/3)+_xlfn.XLOOKUP(B262,'Base stats'!B:B,'Base stats'!AX:AX)+_xlfn.XLOOKUP(B262,'Base stats'!B:B,'Base stats'!BA:BA))+0.5,0.5))</f>
        <v>2</v>
      </c>
      <c r="AE262" s="7">
        <f>IF(AD262="No","No",MAX(_xlfn.XLOOKUP(_xlfn.XLOOKUP(B262,'Base stats'!B:B,'Base stats'!E:E),Groups!A:A,Groups!Z:Z),MROUND(_xlfn.XLOOKUP(_xlfn.XLOOKUP(B262,'Base stats'!B:B,'Base stats'!E:E),Groups!A:A,Groups!Z:Z)*_xlfn.XLOOKUP(B262,'Base stats'!B:B,'Base stats'!C:C)^0.165,0.05)))</f>
        <v>1.2</v>
      </c>
      <c r="AF262" s="7" t="str">
        <f>IF(AD262="No","No",_xlfn.XLOOKUP(_xlfn.XLOOKUP(B262,'Base stats'!B:B,'Base stats'!E:E),Groups!A:A,Groups!AA:AA))</f>
        <v>Mouth</v>
      </c>
      <c r="AG262" s="7" t="str">
        <f>IF(AD262="No","No",_xlfn.XLOOKUP(_xlfn.XLOOKUP(B262,'Base stats'!B:B,'Base stats'!E:E),Groups!A:A,Groups!AB:AB))</f>
        <v>mandibles</v>
      </c>
      <c r="AH262" s="7" t="str">
        <f>IF(AD262="No","No",_xlfn.XLOOKUP(_xlfn.XLOOKUP(B262,'Base stats'!B:B,'Base stats'!E:E),Groups!A:A,Groups!AC:AC))</f>
        <v>Bite</v>
      </c>
      <c r="AI262" s="13" t="str">
        <f>IF(_xlfn.XLOOKUP(_xlfn.XLOOKUP(B262,'Base stats'!B:B,'Base stats'!E:E),Groups!A:A,Groups!AD:AD)=0,"No",MROUND((LOG10(_xlfn.XLOOKUP(B262,'Base stats'!B:B,'Base stats'!AS:AS))*(AO262^0.75)+(_xlfn.XLOOKUP(B262,'Base stats'!B:B,'Base stats'!AS:AS)/1000)^(2/3)+_xlfn.XLOOKUP(B262,'Base stats'!B:B,'Base stats'!AY:AY)+_xlfn.XLOOKUP(B262,'Base stats'!B:B,'Base stats'!BA:BA))+0.5,0.5))</f>
        <v>No</v>
      </c>
      <c r="AJ262" s="7" t="str">
        <f>IF(AI262="No","No",MAX(_xlfn.XLOOKUP(_xlfn.XLOOKUP(B262,'Base stats'!B:B,'Base stats'!E:E),Groups!A:A,Groups!AE:AE),MROUND(_xlfn.XLOOKUP(_xlfn.XLOOKUP(B262,'Base stats'!B:B,'Base stats'!E:E),Groups!A:A,Groups!AE:AE)*IF(_xlfn.XLOOKUP(_xlfn.XLOOKUP(B262,'Base stats'!B:B,'Base stats'!E:E),Groups!A:A,Groups!AJ:AJ)="Photonozoa",0.6,1)*_xlfn.XLOOKUP(B262,'Base stats'!B:B,'Base stats'!C:C)^0.165,0.05)))</f>
        <v>No</v>
      </c>
      <c r="AK262" s="7" t="str">
        <f>IF(AI262="No","No",_xlfn.XLOOKUP(_xlfn.XLOOKUP(B262,'Base stats'!B:B,'Base stats'!E:E),Groups!A:A,Groups!AF:AF))</f>
        <v>No</v>
      </c>
      <c r="AL262" s="7" t="str">
        <f>IF(AI262="No","No",_xlfn.XLOOKUP(_xlfn.XLOOKUP(B262,'Base stats'!B:B,'Base stats'!E:E),Groups!A:A,Groups!AG:AG))</f>
        <v>No</v>
      </c>
      <c r="AM262" s="7" t="str">
        <f>IF(AI262="No","No",_xlfn.XLOOKUP(_xlfn.XLOOKUP(B262,'Base stats'!B:B,'Base stats'!E:E),Groups!A:A,Groups!AH:AH))</f>
        <v>No</v>
      </c>
      <c r="AN262" s="2" t="str">
        <f t="shared" si="28"/>
        <v>No</v>
      </c>
      <c r="AO262" s="2">
        <f>MROUND(IF(AND(_xlfn.XLOOKUP(B262,'Base stats'!B:B,'Base stats'!C:C)&gt;=0.5,_xlfn.XLOOKUP(B262,'Base stats'!B:B,'Base stats'!C:C)&lt;=0.8),
IF(_xlfn.XLOOKUP(B262,'Base stats'!B:B,'Base stats'!C:C)&lt;0.1,0.05,IF(_xlfn.XLOOKUP(B262,'Base stats'!B:B,'Base stats'!C:C)&lt;=70,(_xlfn.XLOOKUP(B262,'Base stats'!B:B,'Base stats'!C:C)/70)^0.426489913056526,IF(_xlfn.XLOOKUP(B262,'Base stats'!B:B,'Base stats'!C:C)&lt;=400,(_xlfn.XLOOKUP(B262,'Base stats'!B:B,'Base stats'!C:C)/70)^0.572811455315093,IF(_xlfn.XLOOKUP(B262,'Base stats'!B:B,'Base stats'!C:C)&lt;=2000,2.71391647193063*(_xlfn.XLOOKUP(B262,'Base stats'!B:B,'Base stats'!C:C)/400)^0.252459582904293,3.74314280240376*(_xlfn.XLOOKUP(B262,'Base stats'!B:B,'Base stats'!C:C)/2000)^0.357012633876913)))),
IF(_xlfn.XLOOKUP(B262,'Base stats'!B:B,'Base stats'!C:C)&lt;0.1,0.05,IF(_xlfn.XLOOKUP(B262,'Base stats'!B:B,'Base stats'!C:C)&lt;0.4,0.1,IF(_xlfn.XLOOKUP(B262,'Base stats'!B:B,'Base stats'!C:C)&lt;=70,(_xlfn.XLOOKUP(B262,'Base stats'!B:B,'Base stats'!C:C)/70)^0.445823913056526,IF(_xlfn.XLOOKUP(B262,'Base stats'!B:B,'Base stats'!C:C)&lt;=400,(_xlfn.XLOOKUP(B262,'Base stats'!B:B,'Base stats'!C:C)/70)^0.572811455315093,IF(_xlfn.XLOOKUP(B262,'Base stats'!B:B,'Base stats'!C:C)&lt;=2000,2.71391647193063*(_xlfn.XLOOKUP(B262,'Base stats'!B:B,'Base stats'!C:C)/400)^0.252459582904293,3.74314280240376*(_xlfn.XLOOKUP(B262,'Base stats'!B:B,'Base stats'!C:C)/2000)^0.357012633876913)))))),
IF(_xlfn.XLOOKUP(B262,'Base stats'!B:B,'Base stats'!C:C)&lt;0.1,0.05,IF(_xlfn.XLOOKUP(B262,'Base stats'!B:B,'Base stats'!C:C)&lt;=100,0.05,IF(_xlfn.XLOOKUP(B262,'Base stats'!B:B,'Base stats'!C:C)&lt;=250,0.1,IF(_xlfn.XLOOKUP(B262,'Base stats'!B:B,'Base stats'!C:C)&lt;=4000,0.25,0.5)))))</f>
        <v>0.1</v>
      </c>
      <c r="AP262" s="8">
        <f>MROUND(AO262*_xlfn.XLOOKUP(_xlfn.XLOOKUP(B262,'Base stats'!B:B,'Base stats'!E:E),Groups!A:A,Groups!AI:AI)*_xlfn.XLOOKUP(B262,'Base stats'!B:B,'Base stats'!Z:Z),0.05)</f>
        <v>0.1</v>
      </c>
      <c r="AQ262" s="8">
        <f>MAX(0.01,MROUND(IF(CC262="True",0.196*(AO262*100*1000)^0.889,IF(_xlfn.XLOOKUP(_xlfn.XLOOKUP(B262,'Base stats'!B:B,'Base stats'!E:E),Groups!A:A,Groups!AJ:AJ)="Bird",10.5*(AO262*100*1000)^0.681,4.82*(AO262*100*1000)^0.734))/(4.82*(1*100*1000)^0.734)/IF(AO262&lt;3.5,2,IF(AO262=3.5,1.5,1.25))*(1+0.132282374779864/(AO262^0.994035016789033+0.00905238001496948)),0.05))</f>
        <v>0.05</v>
      </c>
      <c r="AR262" s="9">
        <f>IFERROR(MROUND(_xlfn.XLOOKUP(B262,'Base stats'!B:B,'Base stats'!H:H)/IF(_xlfn.XLOOKUP(B262,'Base stats'!B:B,'Base stats'!I:I)&lt;&gt;1,(122.5/70),1.2),IF(_xlfn.XLOOKUP(B262,'Base stats'!B:B,'Base stats'!H:H)&gt;=30,5,IF(_xlfn.XLOOKUP(B262,'Base stats'!B:B,'Base stats'!H:H)&gt;=15,3,IF(_xlfn.XLOOKUP(B262,'Base stats'!B:B,'Base stats'!H:H)&gt;=10,2,1)))),"Immortal")</f>
        <v>1</v>
      </c>
      <c r="AS262" s="35" t="str">
        <f>IFERROR(IF(OR(_xlfn.XLOOKUP(B262,'Base stats'!B:B,'Base stats'!F:F)="Atypical reproduction",_xlfn.XLOOKUP(B262,'Base stats'!B:B,'Base stats'!F:F)="Lay eggs"),"Lay eggs",MIN(20,MAX(5.5,ROUND(((_xlfn.XLOOKUP(B262,'Base stats'!B:B,'Base stats'!F:F)-25)*(14.5/615) + 5.5)*2,0)/2))),"Unknown")</f>
        <v>Lay eggs</v>
      </c>
      <c r="AT262" s="8" t="str">
        <f>IF(_xlfn.XLOOKUP(B262,'Base stats'!B:B,'Base stats'!G:G)="Atypical reproduction","No",IFERROR(MAX(IF(_xlfn.XLOOKUP(B262,'Base stats'!B:B,'Base stats'!G:G)&lt;0.5,0.2,0.3),MROUND(_xlfn.XLOOKUP(B262,'Base stats'!B:B,'Base stats'!G:G)/(365/60),0.2)),"Unknown"))</f>
        <v>No</v>
      </c>
      <c r="AU262" s="8" t="str">
        <f t="shared" si="29"/>
        <v>No</v>
      </c>
      <c r="AV262" s="8" t="str">
        <f>IFERROR(IFERROR(MROUND(_xlfn.XLOOKUP(B262,'Base stats'!B:B,'Base stats'!J:J),0.1),"Lay eggs"),"Cannot breed")</f>
        <v>Lay eggs</v>
      </c>
      <c r="AW262" s="2" t="str">
        <f t="shared" si="30"/>
        <v>true</v>
      </c>
      <c r="AX262" s="2" t="str">
        <f>IF(_xlfn.XLOOKUP(_xlfn.XLOOKUP(Animals!B262,'Base stats'!B:B,'Base stats'!E:E),Groups!A:A,Groups!AK:AK)=1,"true","false")</f>
        <v>false</v>
      </c>
      <c r="AY262" s="25" t="str">
        <f>IF(_xlfn.XLOOKUP(B262,'Base stats'!B:B,'Base stats'!Y:Y)="Liquor","Liquor, CarnivoreAnimalStrict",IF(AND(_xlfn.XLOOKUP(B262,'Base stats'!B:B,'Base stats'!Y:Y)="Carnivore",_xlfn.XLOOKUP(_xlfn.XLOOKUP(B262,'Base stats'!B:B,'Base stats'!E:E),Groups!A:A,Groups!AJ:AJ)="Photonozoa"),"CarnivoreAnimalStrict, OvivoreAnimal",IF(_xlfn.XLOOKUP(B262,'Base stats'!B:B,'Base stats'!Y:Y)="Carnivore","CarnivoreAnimal, OvivoreAnimal",IF(_xlfn.XLOOKUP(B262,'Base stats'!B:B,'Base stats'!Y:Y)="Dendrovore","VegetarianRoughAnimal, DendrovoreAnimal",IF(_xlfn.XLOOKUP(B262,'Base stats'!B:B,'Base stats'!Y:Y)="Herbivore","VegetarianRoughAnimal",IF(_xlfn.XLOOKUP(B262,'Base stats'!B:B,'Base stats'!Y:Y)="OmnivoreRough","OmnivoreRoughAnimal, OvivoreAnimal","OmnivoreAnimal, OvivoreAnimal"))))))</f>
        <v>VegetarianRoughAnimal</v>
      </c>
      <c r="AZ262" s="2" t="str">
        <f>IF(_xlfn.XLOOKUP(_xlfn.XLOOKUP(B262,'Base stats'!B:B,'Base stats'!E:E),Groups!A:A,Groups!D:D)=1,MROUND((1-J262)*5+1,2)*IF(J262&lt;=0.4,2,1),"No")</f>
        <v>No</v>
      </c>
      <c r="BA262" s="2" t="str">
        <f>IF(AND(_xlfn.XLOOKUP(B262,'Base stats'!B:B,'Base stats'!AH:AH)="&lt;li&gt;Seal&lt;/li&gt;",G262="Odyssey"),"&lt;li&gt;AEXP_Seal&lt;/li&gt;",_xlfn.XLOOKUP(B262,'Base stats'!B:B,'Base stats'!AH:AH))</f>
        <v>&lt;li&gt;Megaspider&lt;/li&gt;</v>
      </c>
      <c r="BB262" s="2" t="str">
        <f>_xlfn.XLOOKUP(B262,'Base stats'!B:B,'Base stats'!AG:AG)</f>
        <v>Leather_Chitin</v>
      </c>
      <c r="BC262" s="23" t="str">
        <f>_xlfn.XLOOKUP(_xlfn.XLOOKUP(B262,'Base stats'!B:B,'Base stats'!E:E),Groups!A:A,Groups!AL:AL)</f>
        <v>Larva</v>
      </c>
      <c r="BD262" s="23">
        <f>MIN(1,MROUND(IF(AND(AO262&lt;0.5,_xlfn.XLOOKUP(B262,'Base stats'!B:B,'Base stats'!AA:AA)=0),0,IF(OR(_xlfn.XLOOKUP(Animals!B262,'Base stats'!B:B,'Base stats'!O:O)=2,_xlfn.XLOOKUP(_xlfn.XLOOKUP(B262,'Base stats'!B:B,'Base stats'!E:E),Groups!A:A,Groups!AN:AN)=0),0,_xlfn.XLOOKUP(_xlfn.XLOOKUP(B262,'Base stats'!B:B,'Base stats'!E:E),Groups!A:A,Groups!AN:AN)/IF(_xlfn.XLOOKUP(Animals!B262,'Base stats'!B:B,'Base stats'!O:O)=1,2,1)))+_xlfn.XLOOKUP(B262,'Base stats'!B:B,'Base stats'!AC:AC),0.005))</f>
        <v>0</v>
      </c>
      <c r="BE262" s="23">
        <f>MIN(1,MROUND(IF(AND(AO262&lt;0.5,_xlfn.XLOOKUP(B262,'Base stats'!B:B,'Base stats'!AA:AA)=0),0,IF(_xlfn.XLOOKUP(_xlfn.XLOOKUP(B262,'Base stats'!B:B,'Base stats'!E:E),Groups!A:A,Groups!AO:AO)=0,0,_xlfn.XLOOKUP(_xlfn.XLOOKUP(B262,'Base stats'!B:B,'Base stats'!E:E),Groups!A:A,Groups!AO:AO)/IF(_xlfn.XLOOKUP(Animals!B262,'Base stats'!B:B,'Base stats'!O:O)=2,3,1)))+_xlfn.XLOOKUP(B262,'Base stats'!B:B,'Base stats'!AD:AD),0.005))</f>
        <v>0</v>
      </c>
      <c r="BF262" s="2" t="str">
        <f>IF(J262&gt;0.3,"No",_xlfn.XLOOKUP(_xlfn.XLOOKUP(Animals!B262,'Base stats'!B:B,'Base stats'!E:E),Groups!A:A,Groups!AP:AP))</f>
        <v>No</v>
      </c>
      <c r="BG262" s="2" t="str">
        <f>IF(AND(J262&lt;=0.65,_xlfn.XLOOKUP(_xlfn.XLOOKUP(Animals!B262,'Base stats'!B:B,'Base stats'!E:E),Groups!A:A,Groups!AP:AP)&lt;&gt;"No",_xlfn.XLOOKUP(_xlfn.XLOOKUP(B262,'Base stats'!B:B,'Base stats'!E:E),Groups!A:A,Groups!D:D)=0),MROUND((80/3)*IF(_xlfn.XLOOKUP(B262,'Base stats'!B:B,'Base stats'!O:O)=2,0.2,AO262) + 24*(1-IF(BF262="No",0,BF262)) + 16/3, 12),"No")</f>
        <v>No</v>
      </c>
      <c r="BH262" s="2">
        <f>IF(AND(_xlfn.XLOOKUP(_xlfn.XLOOKUP(B262,'Base stats'!B:B,'Base stats'!E:E),Groups!A:A,Groups!AQ:AQ)=1,AO262&lt;=0.35),8,12)</f>
        <v>12</v>
      </c>
      <c r="BI262" s="2" t="str">
        <f>IF(_xlfn.XLOOKUP(_xlfn.XLOOKUP(B262,'Base stats'!B:B,'Base stats'!E:E),Groups!A:A,Groups!D:D)=0,_xlfn.XLOOKUP(_xlfn.XLOOKUP(B262,'Base stats'!B:B,'Base stats'!E:E),Groups!A:A,Groups!AR:AR),"None")</f>
        <v>Intermediate</v>
      </c>
      <c r="BJ262" s="2" t="str">
        <f>IF(AND(_xlfn.XLOOKUP(_xlfn.XLOOKUP(B262,'Base stats'!B:B,'Base stats'!E:E),Groups!A:A,Groups!AS:AS)=1,OR(_xlfn.XLOOKUP(B262,'Base stats'!B:B,'Base stats'!Y:Y)="Carnivore",_xlfn.XLOOKUP(B262,'Base stats'!B:B,'Base stats'!Y:Y)="Omnivore")),"true","false")</f>
        <v>false</v>
      </c>
      <c r="BK262" s="2" t="str">
        <f>IF(BJ262="true",MROUND(IF(AND(AO262&gt;0.5,OR(_xlfn.XLOOKUP(_xlfn.XLOOKUP(B262,'Base stats'!B:B,'Base stats'!E:E),Groups!A:A,Groups!AJ:AJ)="Photonozoa",_xlfn.XLOOKUP(_xlfn.XLOOKUP(B262,'Base stats'!B:B,'Base stats'!E:E),Groups!A:A,Groups!AJ:AJ)="Mammal")),Animals!AO262*1.75*IF(AW262="true",1.5,1),IF(AO262&lt;0.5,Animals!AO262*0.5,Animals!AO262)),IF(AO262&gt;2,0.5,IF(AO262&gt;0.5,0.25,0.1))),"No")</f>
        <v>No</v>
      </c>
      <c r="BL262" s="2">
        <f t="shared" si="31"/>
        <v>1</v>
      </c>
      <c r="BM262" s="25" t="str">
        <f>IF(_xlfn.XLOOKUP(B262,'Base stats'!B:B,'Base stats'!AN:AN)="Standard","No",MROUND((_xlfn.XLOOKUP(B262,'Base stats'!B:B,'Base stats'!AN:AN)/3.6)/I262,0.1))</f>
        <v>No</v>
      </c>
      <c r="BN262" s="25" t="str">
        <f t="shared" si="32"/>
        <v>false</v>
      </c>
      <c r="BO262" s="25" t="str">
        <f>IF(AND(OR(_xlfn.XLOOKUP(B262,'Base stats'!B:B,'Base stats'!Y:Y)="Carnivore",_xlfn.XLOOKUP(B262,'Base stats'!B:B,'Base stats'!Y:Y)="Omnivore",_xlfn.XLOOKUP(B262,'Base stats'!B:B,'Base stats'!Y:Y)="OmnivoreRough"),_xlfn.XLOOKUP(_xlfn.XLOOKUP(B262,'Base stats'!B:B,'Base stats'!E:E),Groups!A:A,Groups!AT:AT)=1),"true","false")</f>
        <v>false</v>
      </c>
      <c r="BP262" s="25" t="str" cm="1">
        <f t="array" ref="BP262">IF(
  _xlfn.TEXTJOIN(", ",TRUE,
    IF(AND(BJ262="true",AO262&gt;0.5,BI262&lt;&gt;"None"),"AttackTarget",""),
    IF(AND(_xlfn.XLOOKUP(_xlfn.XLOOKUP(B262,'Base stats'!B:B,'Base stats'!E:E),Groups!A:A,Groups!AJ:AJ="Mammal"),OR(_xlfn.XLOOKUP(B262,'Base stats'!B:B,'Base stats'!Y:Y)="Omnivore",_xlfn.XLOOKUP(B262,'Base stats'!B:B,'Base stats'!Y:Y)="OmnivoreRough")),"Forage",""),
    IF(BG262&lt;=36,"Comfort",""),
    IF(_xlfn.XLOOKUP(B262,'Base stats'!B:B,'Base stats'!AE:AE)&lt;&gt;"No",_xlfn.XLOOKUP(B262,'Base stats'!B:B,'Base stats'!AE:AE),"")
  ) = "",
  "No",
  _xlfn.TEXTJOIN(", ",TRUE,
    IF(AND(BJ262="true",AO262&gt;0.5,BI262&lt;&gt;"None"),"AttackTarget",""),
    IF(AND(_xlfn.XLOOKUP(_xlfn.XLOOKUP(B262,'Base stats'!B:B,'Base stats'!E:E),Groups!A:A,Groups!AJ:AJ="Mammal"),OR(_xlfn.XLOOKUP(B262,'Base stats'!B:B,'Base stats'!Y:Y)="Omnivore",_xlfn.XLOOKUP(B262,'Base stats'!B:B,'Base stats'!Y:Y)="OmnivoreRough")),"Forage",""),
    IF(BG262&lt;=36,"Comfort",""),
    IF(_xlfn.XLOOKUP(B262,'Base stats'!B:B,'Base stats'!AE:AE)&lt;&gt;"No",_xlfn.XLOOKUP(B262,'Base stats'!B:B,'Base stats'!AE:AE),"")
  )
)</f>
        <v>No</v>
      </c>
      <c r="BQ262" s="25" t="str">
        <f>IF(
   AND(
      'Base stats'!AN262="Standard",_xlfn.XLOOKUP(_xlfn.XLOOKUP(B262,'Base stats'!B:B,'Base stats'!E:E),Groups!A:A,Groups!AU:AU)=0,
      OR(
      BO262="True"
      )
   ),
   10,
   IF(
       OR(BM262&lt;&gt;"No",_xlfn.XLOOKUP(_xlfn.XLOOKUP(B262,'Base stats'!B:B,'Base stats'!E:E),Groups!A:A,Groups!AU:AU)=1),
      1,
      "No"
   )
)</f>
        <v>No</v>
      </c>
      <c r="BR262" s="9">
        <f>MROUND((1 + ((0.2*IF(OR(Q262="No",R262="No",R262=0),0,Q262/R262)
+IF(OR(V262="No",S262="No",T262="No"),0,S262/T262*(LEN(V262)-LEN(SUBSTITUTE(V262,",",""))+1))
+IF(OR(X262="No",Y262="No"),0,X262/Y262)
+IF(OR(AD262="No",AE262="No"),0,AD262/AE262)
+IF(OR(AL262="No",AI262="No",AJ262="No"),0,AI262/AJ262*(LEN(AL262)-LEN(SUBSTITUTE(AL262,",",""))+1))
)/(0.2*IF(OR(Q262="No",R262="No",R262=0),0,1)
+IF(OR(V262="No",S262="No",T262="No"),0,LEN(V262)-LEN(SUBSTITUTE(V262,",",""))+1)
+IF(OR(X262="No",Y262="No"),0,1)
+IF(OR(AD262="No",AE262="No"),0,1)
+IF(OR(AL262="No",AI262="No",AJ262="No"),0,LEN(AL262)-LEN(SUBSTITUTE(AL262,",",""))+1))*62%)* 2)*(1 + (AP262 / (IF(_xlfn.XLOOKUP(_xlfn.XLOOKUP(B262,'Base stats'!B:B,'Base stats'!E:E),Groups!A:A,Groups!AJ:AJ)="Photonozoa",0.3,1)) + _xlfn.XLOOKUP(B262,'Base stats'!B:B,'Base stats'!AV:AV) * 1.8) * 2) * 2.5 + 10 + I262 * 2,5)+IF(_xlfn.XLOOKUP(B262,'Base stats'!B:B,'Base stats'!AK:AK)=1,50,0)</f>
        <v>25</v>
      </c>
      <c r="BS262" s="8">
        <f t="shared" si="33"/>
        <v>0.05</v>
      </c>
      <c r="BT262" s="8" t="str">
        <f>_xlfn.XLOOKUP(B262,'Base stats'!B:B,'Base stats'!AF:AF)</f>
        <v>2~6</v>
      </c>
      <c r="BU262" s="2" t="str">
        <f>IF(AND(J262&lt;=0.95,OR(_xlfn.XLOOKUP(B262,'Base stats'!B:B,'Base stats'!AK:AK)=1,_xlfn.XLOOKUP(B262,'Base stats'!B:B,'Base stats'!Y:Y)="Carnivore",_xlfn.XLOOKUP(B262,'Base stats'!B:B,'Base stats'!Y:Y)="Omnivore",BE262&gt;0.1)),"true","false")</f>
        <v>false</v>
      </c>
      <c r="BV262" s="2" t="str">
        <f>IF(_xlfn.XLOOKUP(B262,'Base stats'!B:B,'Base stats'!AI:AI)=1,"true","false")</f>
        <v>false</v>
      </c>
      <c r="BW262" s="25" t="str">
        <f>IF(E262="BaseInsect","AnimalInsect",
IF(J262&gt;0.95,"AnimalExotic",
_xlfn.TEXTJOIN(", ",TRUE,
IF(OR(_xlfn.XLOOKUP(B262,'Base stats'!B:B,'Base stats'!AM:AM)=1,AND(_xlfn.XLOOKUP(B262,'Base stats'!B:B,'Base stats'!O:O)=0,_xlfn.XLOOKUP(_xlfn.XLOOKUP(B262,'Base stats'!B:B,'Base stats'!E:E),Groups!A:A,Groups!B:B)&gt;0)),"AnimalUncommon","AnimalCommon"),
IF(AND(_xlfn.XLOOKUP(B262,'Base stats'!B:B,'Base stats'!O:O)=2,_xlfn.XLOOKUP(_xlfn.XLOOKUP(B262,'Base stats'!B:B,'Base stats'!E:E),Groups!A:A,Groups!D:D)=0),"AnimalPet",IF(AND(_xlfn.XLOOKUP(B262,'Base stats'!B:B,'Base stats'!O:O)&lt;&gt;0,_xlfn.XLOOKUP(_xlfn.XLOOKUP(B262,'Base stats'!B:B,'Base stats'!E:E),Groups!A:A,Groups!D:D)&lt;&gt;0),"AnimalFarm","")),
IF(OR(_xlfn.XLOOKUP(B262,'Base stats'!B:B,'Base stats'!AK:AK)=1,AND(BI262&lt;&gt;"None",BR262&gt;=60),ISNUMBER(SEARCH("Attack target",BP262))),"AnimalFighter","")
)))</f>
        <v>AnimalUncommon</v>
      </c>
      <c r="BX262" s="25" t="str">
        <f>IF(G262="None",TRIM(
SUBSTITUTE(
IF(COUNTIF(Biomes!B$2:B$259,"="&amp;$C262)&gt;0,Biomes!B$1&amp;", ","")&amp;
IF(COUNTIF(Biomes!C$2:C$259,"="&amp;$C262)&gt;0,Biomes!C$1&amp;", ","")&amp;
IF(COUNTIF(Biomes!D$2:D$259,"="&amp;$C262)&gt;0,Biomes!D$1&amp;", ","")&amp;
IF(COUNTIF(Biomes!F$2:F$259,"="&amp;$C262)&gt;0,Biomes!F$1&amp;", ","")&amp;
IF(COUNTIF(Biomes!G$2:G$259,"="&amp;$C262)&gt;0,Biomes!G$1&amp;", ","")&amp;
IF(COUNTIF(Biomes!H$2:H$259,"="&amp;$C262)&gt;0,Biomes!H$1&amp;", ","")&amp;
IF(COUNTIF(Biomes!I$2:I$259,"="&amp;$C262)&gt;0,Biomes!I$1&amp;", ","")&amp;
IF(COUNTIF(Biomes!J$2:J$259,"="&amp;$C262)&gt;0,Biomes!J$1&amp;", ","")&amp;
IF(COUNTIF(Biomes!M$2:M$259,"="&amp;$C262)&gt;0,Biomes!M$1&amp;", ","")&amp;
IF(COUNTIF(Biomes!N$2:N$259,"="&amp;$C262)&gt;0,Biomes!N$1&amp;", ","")&amp;
IF(COUNTIF(Biomes!O$2:O$259,"="&amp;$C262)&gt;0,Biomes!O$1&amp;", ","")&amp;
IF(COUNTIF(Biomes!P$2:P$259,"="&amp;$C262)&gt;0,Biomes!P$1&amp;", ","")&amp;
IF(COUNTIF(Biomes!K$2:K$259,"="&amp;$C262)&gt;0,Biomes!K$1&amp;", ","")&amp;
IF(COUNTIF(Biomes!Q$3:Q$259,"="&amp;$C262)&gt;0,Biomes!Q$1&amp;", ","")&amp;
IF(COUNTIF(Biomes!L$2:L$259,"="&amp;$C262)&gt;0,Biomes!L$1&amp;", ","")&amp;
IF(COUNTIF(Biomes!E$2:E$259,"="&amp;$C262)&gt;0,Biomes!E$1&amp;", ","")&amp;IF(COUNTIF(Biomes!S$2:S$259,"="&amp;$C262)&gt;0,Biomes!S$1&amp;", ","")&amp;
IF(COUNTIF(Biomes!R$2:R$259,"="&amp;$C262)&gt;0,Biomes!R$1&amp;", ",""),", ","")
),_xlfn.XLOOKUP(B262,B:B,BX:BX))</f>
        <v>TemperateForest TemperateSwamp Desert TropicalRainforest TropicalSwamp Grasslands Glowforest LavaField Scarlands</v>
      </c>
      <c r="BY262" s="25" t="str">
        <f>IF(_xlfn.XLOOKUP(B262,'Base stats'!B:B,'Base stats'!AJ:AJ)=1,"true","false")</f>
        <v>false</v>
      </c>
      <c r="BZ262" s="25">
        <f>IF(_xlfn.XLOOKUP(B262,'Base stats'!B:B,'Base stats'!N:N)=1,"No",MAX(0.001,MIN(MROUND(IF(AND(BJ262="True",CC262="False"),POWER(10,3.47*LOG10(_xlfn.XLOOKUP(B262,'Base stats'!B:B,'Base stats'!C:C)*1000)^-0.96),POWER(10,4.15*LOG10(_xlfn.XLOOKUP(B262,'Base stats'!B:B,'Base stats'!C:C)*1000)^-0.73))*IF(_xlfn.XLOOKUP(B262,'Base stats'!B:B,'Base stats'!AK:AK)=1,0.5,1)*IF(_xlfn.XLOOKUP(B262,'Base stats'!B:B,'Base stats'!AM:AM)=1,0.1,1)/100,IF(_xlfn.XLOOKUP(B262,'Base stats'!B:B,'Base stats'!AM:AM)=1,0.001,0.025)),0.5)))</f>
        <v>0.10200000000000001</v>
      </c>
      <c r="CA262" s="25" t="str">
        <f>IF(P262="Standard","No",MAX(0.001,MIN(MROUND(IF(AND(BJ262="True",CC262="False"),POWER(10,3.47*LOG10(_xlfn.XLOOKUP(B262,'Base stats'!B:B,'Base stats'!C:C)*1000)^-0.96),POWER(10,4.15*LOG10(_xlfn.XLOOKUP(B262,'Base stats'!B:B,'Base stats'!C:C)*1000)^-0.73))*IF(_xlfn.XLOOKUP(B262,'Base stats'!B:B,'Base stats'!AM:AM)=1,0.1,1)*_xlfn.XLOOKUP(B262,'Base stats'!B:B,'Base stats'!R:R)/100,IF(_xlfn.XLOOKUP(B262,'Base stats'!B:B,'Base stats'!AM:AM)=1,0.001,0.025)),0.5)))</f>
        <v>No</v>
      </c>
      <c r="CB262" s="25" t="str">
        <f>IF(_xlfn.XLOOKUP(_xlfn.XLOOKUP(B262,'Base stats'!B:B,'Base stats'!E:E),Groups!A:A,Groups!AJ:AJ)="Mammal","True","False")</f>
        <v>False</v>
      </c>
      <c r="CC262" s="25" t="str">
        <f>IF(OR(_xlfn.XLOOKUP(_xlfn.XLOOKUP(B262,'Base stats'!B:B,'Base stats'!E:E),Groups!A:A,Groups!AJ:AJ)="Reptile",_xlfn.XLOOKUP(_xlfn.XLOOKUP(B262,'Base stats'!B:B,'Base stats'!E:E),Groups!A:A,Groups!AJ:AJ)="Amphibian",_xlfn.XLOOKUP(_xlfn.XLOOKUP(B262,'Base stats'!B:B,'Base stats'!E:E),Groups!A:A,Groups!AJ:AJ)="Invertebrate"),"True","False")</f>
        <v>True</v>
      </c>
      <c r="CD262" s="25" t="str">
        <f t="shared" si="34"/>
        <v>False</v>
      </c>
      <c r="CE262" s="25" t="str">
        <f>IF(_xlfn.XLOOKUP(_xlfn.XLOOKUP(B262,'Base stats'!B:B,'Base stats'!E:E),Groups!A:A,Groups!AX:AX),"True","False")</f>
        <v>False</v>
      </c>
      <c r="CF262" s="25" t="str">
        <f>IF(_xlfn.XLOOKUP(_xlfn.XLOOKUP(B262,'Base stats'!B:B,'Base stats'!E:E),Groups!A:A,Groups!AY:AY),"True","False")</f>
        <v>False</v>
      </c>
      <c r="CG262" s="25" t="str">
        <f>IF(_xlfn.XLOOKUP(_xlfn.XLOOKUP(B262,'Base stats'!B:B,'Base stats'!E:E),Groups!A:A,Groups!AW:AW),"True","False")</f>
        <v>False</v>
      </c>
      <c r="CH262" s="25" t="str">
        <f>IF(
OR(
_xlfn.XLOOKUP(_xlfn.XLOOKUP(B262,'Base stats'!B:B,'Base stats'!E:E),Groups!A:A,Groups!AZ:AZ)=0,
AND(
_xlfn.XLOOKUP(B262,'Base stats'!B:B,'Base stats'!Y:Y)&lt;&gt;"Carnivore",
_xlfn.XLOOKUP(B262,'Base stats'!B:B,'Base stats'!Y:Y)&lt;&gt;"Omnivore",
_xlfn.XLOOKUP(B262,'Base stats'!B:B,'Base stats'!Y:Y)&lt;&gt;"OmnivoreRough"
)
),
"No",
IF(
_xlfn.XLOOKUP(_xlfn.XLOOKUP(B262,'Base stats'!B:B,'Base stats'!E:E),Groups!A:A,Groups!AZ:AZ)=1,
"Flesh",
IF(
_xlfn.XLOOKUP(_xlfn.XLOOKUP(B262,'Base stats'!B:B,'Base stats'!E:E),Groups!A:A,Groups!AZ:AZ)=2,
"Bone",
""
)
)
)</f>
        <v>No</v>
      </c>
      <c r="CI262" s="25" t="str">
        <f>IF(_xlfn.XLOOKUP(_xlfn.XLOOKUP(B262,'Base stats'!B:B,'Base stats'!E:E),Groups!A:A,Groups!BB:BB),"True","False")</f>
        <v>False</v>
      </c>
      <c r="CJ262" s="25" t="str">
        <f>IF(_xlfn.XLOOKUP(_xlfn.XLOOKUP(B262,'Base stats'!B:B,'Base stats'!E:E),Groups!A:A,Groups!BA:BA),"True","False")</f>
        <v>False</v>
      </c>
    </row>
    <row r="263" spans="1:88" ht="16.5" thickTop="1" thickBot="1" x14ac:dyDescent="0.3">
      <c r="A263" s="26" t="s">
        <v>1432</v>
      </c>
      <c r="B263" s="6" t="str">
        <f>_xlfn.XLOOKUP(A263,'Base stats'!A:A,'Base stats'!B:B)</f>
        <v>Tentaculabomination gorga</v>
      </c>
      <c r="C263" s="28" t="s">
        <v>1433</v>
      </c>
      <c r="D263" s="28" t="s">
        <v>1341</v>
      </c>
      <c r="E263" s="28" t="s">
        <v>673</v>
      </c>
      <c r="F263" s="28" t="s">
        <v>673</v>
      </c>
      <c r="G263" s="28" t="s">
        <v>673</v>
      </c>
      <c r="H263" s="2">
        <f>MROUND((
  (IF(AND(_xlfn.XLOOKUP(B263,'Base stats'!B:B,'Base stats'!AL:AL)=0,BI263="None",_xlfn.XLOOKUP(_xlfn.XLOOKUP(B263,'Base stats'!B:B,'Base stats'!E:E),Groups!A:A,Groups!B:B)=0), (18 + BR263 * 2.7) * 0.5,
    IF(AND(_xlfn.XLOOKUP(B263,'Base stats'!B:B,'Base stats'!AL:AL)=0,OR(AO263&lt;0.55,AND(BI263="Intermediate",_xlfn.XLOOKUP(_xlfn.XLOOKUP(B263,'Base stats'!B:B,'Base stats'!E:E),Groups!A:A,Groups!B:B)&lt;2))), (18 + BR263 * 2.7),
      IF(OR(BI263="Advanced",_xlfn.XLOOKUP(B263,'Base stats'!B:B,'Base stats'!AL:AL)=1,_xlfn.XLOOKUP(_xlfn.XLOOKUP(B263,'Base stats'!B:B,'Base stats'!E:E),Groups!A:A,Groups!B:B)=2), (18 + BR263 * 2.7) + 250, (18 + BR263 * 2.7))
    )
  ))
  + AO263 * 80
  + IF(COUNTIF(EggMilk!K$2:K$998, A263) &gt; 0, 125, 0)
  + IF(COUNTIF(EggMilk!P$2:P$998, A263) &gt; 0, 90, 0)
  + IF(COUNTIF(EggMilk!A$2:A$998, A263) &gt; 0, 90, 0)
)
* (0.8 + 0.4 * J263)
* 0.75,25)</f>
        <v>1900</v>
      </c>
      <c r="I263" s="2">
        <f>MROUND(ROUNDDOWN(_xlfn.XLOOKUP(B263,'Base stats'!B:B,'Base stats'!L:L)/3.6/(23.3/11),1),0.5)</f>
        <v>1.5</v>
      </c>
      <c r="J263" s="2">
        <f>IF(OR(_xlfn.XLOOKUP(B263,'Base stats'!B:B,'Base stats'!AB:AB)=1,_xlfn.XLOOKUP(_xlfn.XLOOKUP(B263,'Base stats'!B:B,'Base stats'!E:E),Groups!A:A,Groups!C:C)="Untamable"),1,IF(_xlfn.XLOOKUP(B263,'Base stats'!B:B,'Base stats'!AL:AL)=1,0.99,MIN(MROUND((1-0.6282*EXP(-0.459*AO263))*_xlfn.XLOOKUP(_xlfn.XLOOKUP(B263,'Base stats'!B:B,'Base stats'!E:E),Groups!A:A,Groups!C:C)*IF(_xlfn.XLOOKUP(B263,'Base stats'!B:B,'Base stats'!O:O)=1,0.5,IF(_xlfn.XLOOKUP(B263,'Base stats'!B:B,'Base stats'!O:O)=2,0,1)),0.05),IF(AO263&gt;3.5,0.985,0.95))))</f>
        <v>0.95000000000000007</v>
      </c>
      <c r="K263" s="2">
        <f>ROUNDUP(AO263*_xlfn.XLOOKUP(_xlfn.XLOOKUP(B263,'Base stats'!B:B,'Base stats'!E:E),Groups!A:A,Groups!E:E),0)</f>
        <v>6</v>
      </c>
      <c r="L263" s="2">
        <f>IF(OR(_xlfn.XLOOKUP(_xlfn.XLOOKUP(B263,'Base stats'!B:B,'Base stats'!E:E),Groups!A:A,Groups!F:F)=2,ISNUMBER(SEARCH("SeaIce",BX263)),ISNUMBER(SEARCH("IceSheet",BX263))),-50,IF(OR(ISNUMBER(SEARCH("GlacialPlain",BX263)),ISNUMBER(SEARCH("Tundra",BX263))),-40,IF(OR(ISNUMBER(SEARCH("Alpine",BX263)),ISNUMBER(SEARCH("BorealForest",BX263)),ISNUMBER(SEARCH("ColdBog",BX263))),-30,IF(OR(ISNUMBER(SEARCH("TemperateForest",BX263)),ISNUMBER(SEARCH("TemperateSwamp",BX263))),-20,IF(_xlfn.XLOOKUP(_xlfn.XLOOKUP(B263,'Base stats'!B:B,'Base stats'!E:E),Groups!A:A,Groups!F:F)=1,-15,IF(OR(ISNUMBER(SEARCH("Desert",BX263)),ISNUMBER(SEARCH("ExtremeDesert",BX263))),-10,IF(OR(ISNUMBER(SEARCH("Grasslands",BX263)),ISNUMBER(SEARCH("TropicalRainforest",BX263)),ISNUMBER(SEARCH("TropicalSwamp",BX263))),10,0)))))))-IF(CC263="False",MIN(IFERROR(MAX(MROUND(LOG10(_xlfn.XLOOKUP(B263,'Base stats'!B:B,'Base stats'!C:C)^(2/3))*10,5),5),5),30))-_xlfn.XLOOKUP(B263,'Base stats'!B:B,'Base stats'!P:P)+IF(CC263="True",5,0)</f>
        <v>5</v>
      </c>
      <c r="M263" s="2">
        <f>IF(OR(_xlfn.XLOOKUP(_xlfn.XLOOKUP(B263,'Base stats'!B:B,'Base stats'!E:E),Groups!A:A,Groups!G:G)=2,ISNUMBER(SEARCH("Desert",BX263)),ISNUMBER(SEARCH("ExtremeDesert",BX263)),ISNUMBER(SEARCH("LavaField",BX263))),50,IF(ISNUMBER(SEARCH("Grasslands",BX263)),45,IF(OR(_xlfn.XLOOKUP(_xlfn.XLOOKUP(B263,'Base stats'!B:B,'Base stats'!E:E),Groups!A:A,Groups!G:G)=1,ISNUMBER(SEARCH("TropicalRainforest",BX263)),ISNUMBER(SEARCH("TropicalSwamp",BX263))),40,IF(OR(ISNUMBER(SEARCH("TemperateForest",BX263)),ISNUMBER(SEARCH("TemperateSwamp",BX263))),35,IF(OR(ISNUMBER(SEARCH("Alpine",BX263)),ISNUMBER(SEARCH("BorealForest",BX263)),ISNUMBER(SEARCH("ColdBog",BX263))),30,IF(ISNUMBER(OR(ISNUMBER(SEARCH("GlacialPlain",BX263)),SEARCH("Tundra",BX263))),25,IF(OR(ISNUMBER(SEARCH("SeaIce",BX263)),ISNUMBER(SEARCH("IceSheet",BX263)),ISNUMBER(SEARCH("TropicalSwamp",BX263))),10,35)))))))+_xlfn.XLOOKUP(B263,'Base stats'!B:B,'Base stats'!Q:Q)</f>
        <v>35</v>
      </c>
      <c r="N263" s="8" t="str">
        <f>IF(
_xlfn.XLOOKUP(
_xlfn.XLOOKUP(B263,'Base stats'!B:B,'Base stats'!E:E),
Groups!A:A,
Groups!L:L
)=1,
MIN(
MROUND(
IF(
_xlfn.XLOOKUP(B263,'Animals CE'!B:B,'Animals CE'!Z:Z)&lt;=1.5,
_xlfn.XLOOKUP(B263,'Animals CE'!B:B,'Animals CE'!Z:Z)/2+0.05,
0.8+
(_xlfn.XLOOKUP(B263,'Animals CE'!B:B,'Animals CE'!Z:Z)-1.5)
*0.02
),
0.05
),
200%
),
"No"
)</f>
        <v>No</v>
      </c>
      <c r="O263" s="8" t="str">
        <f>IF(
_xlfn.XLOOKUP(
_xlfn.XLOOKUP(B263,'Base stats'!B:B,'Base stats'!E:E),
Groups!A:A,
Groups!L:L
)=1,
MIN(
MROUND(
IF(
_xlfn.XLOOKUP(B263,'Animals CE'!B:B,'Animals CE'!AA:AA)&lt;=1.5,
_xlfn.XLOOKUP(B263,'Animals CE'!B:B,'Animals CE'!AA:AA)/2+0.05,
0.8+
(_xlfn.XLOOKUP(B263,'Animals CE'!B:B,'Animals CE'!AA:AA)-1.5)
*0.02
),
0.05
),
200%
),
"No"
)</f>
        <v>No</v>
      </c>
      <c r="P263" s="2" t="str">
        <f>_xlfn.XLOOKUP(B263,'Base stats'!B:B,'Base stats'!R:R)</f>
        <v>Standard</v>
      </c>
      <c r="Q263" s="13">
        <f>MROUND((LOG10(_xlfn.XLOOKUP(B263,'Base stats'!B:B,'Base stats'!AR:AR))*(AO263^0.5)+(_xlfn.XLOOKUP(B263,'Base stats'!B:B,'Base stats'!AR:AR)/1000)^(2/3)+_xlfn.XLOOKUP(B263,'Base stats'!B:B,'Base stats'!BA:BA)/2)+0.5,0.5)</f>
        <v>44.5</v>
      </c>
      <c r="R263" s="7">
        <f>IF(Q263="No","No",MAX(1,MROUND(_xlfn.XLOOKUP(B263,'Base stats'!B:B,'Base stats'!C:C)^0.165,0.05)))</f>
        <v>4.3500000000000005</v>
      </c>
      <c r="S263" s="13" t="str">
        <f>IF(_xlfn.XLOOKUP(_xlfn.XLOOKUP(B263,'Base stats'!B:B,'Base stats'!E:E),Groups!A:A,Groups!P:P)=0,"No",MROUND((LOG10(_xlfn.XLOOKUP(B263,'Base stats'!B:B,'Base stats'!AS:AS))*(AO263^0.5)+(_xlfn.XLOOKUP(B263,'Base stats'!B:B,'Base stats'!AS:AS)/1000)^(2/3)+_xlfn.XLOOKUP(B263,'Base stats'!B:B,'Base stats'!BA:BA))+_xlfn.XLOOKUP(B263,'Base stats'!B:B,'Base stats'!AY:AY)+0.5,0.5))</f>
        <v>No</v>
      </c>
      <c r="T263" s="7" t="str">
        <f>IF(S263="No","No",MAX(_xlfn.XLOOKUP(_xlfn.XLOOKUP(B263,'Base stats'!B:B,'Base stats'!E:E),Groups!A:A,Groups!Q:Q),MROUND(_xlfn.XLOOKUP(_xlfn.XLOOKUP(B263,'Base stats'!B:B,'Base stats'!E:E),Groups!A:A,Groups!Q:Q)*_xlfn.XLOOKUP(B263,'Base stats'!B:B,'Base stats'!C:C)^0.165,0.05)))</f>
        <v>No</v>
      </c>
      <c r="U263" s="7" t="str">
        <f>IF(S263="No","No",_xlfn.XLOOKUP(_xlfn.XLOOKUP(B263,'Base stats'!B:B,'Base stats'!E:E),Groups!A:A,Groups!R:R))</f>
        <v>No</v>
      </c>
      <c r="V263" s="7" t="str">
        <f>IF(S263="No","No",_xlfn.XLOOKUP(_xlfn.XLOOKUP(B263,'Base stats'!B:B,'Base stats'!E:E),Groups!A:A,Groups!S:S))</f>
        <v>No</v>
      </c>
      <c r="W263" s="7" t="str">
        <f>IF(S263="No","No",_xlfn.XLOOKUP(_xlfn.XLOOKUP(B263,'Base stats'!B:B,'Base stats'!E:E),Groups!A:A,Groups!T:T))</f>
        <v>No</v>
      </c>
      <c r="X263" s="13" t="str">
        <f>IF(_xlfn.XLOOKUP(B263,'Base stats'!B:B,'Base stats'!W:W)="No","No",MROUND((LOG10(_xlfn.XLOOKUP(B263,'Base stats'!B:B,'Base stats'!AU:AU))*(AO263^0.5)+(_xlfn.XLOOKUP(B263,'Base stats'!B:B,'Base stats'!AU:AU)/1000)^(2/3)+_xlfn.XLOOKUP(B263,'Base stats'!B:B,'Base stats'!AZ:AZ))+0.5+IF(_xlfn.XLOOKUP(_xlfn.XLOOKUP(B263,'Base stats'!B:B,'Base stats'!E:E),Groups!A:A,Groups!U:U)&lt;&gt;3,_xlfn.XLOOKUP(B263,'Base stats'!B:B,'Base stats'!BA:BA),0),0.5))</f>
        <v>No</v>
      </c>
      <c r="Y263" s="7" t="str">
        <f>IF(X263="No","No",MAX(_xlfn.XLOOKUP(_xlfn.XLOOKUP(B263,'Base stats'!B:B,'Base stats'!E:E),Groups!A:A,Groups!V:V),MROUND(_xlfn.XLOOKUP(_xlfn.XLOOKUP(B263,'Base stats'!B:B,'Base stats'!E:E),Groups!A:A,Groups!V:V)*_xlfn.XLOOKUP(B263,'Base stats'!B:B,'Base stats'!C:C)^0.165,0.05)))</f>
        <v>No</v>
      </c>
      <c r="Z263" s="7" t="str">
        <f>IF(X263="No","No",_xlfn.XLOOKUP(_xlfn.XLOOKUP(B263,'Base stats'!B:B,'Base stats'!E:E),Groups!A:A,Groups!W:W))</f>
        <v>No</v>
      </c>
      <c r="AA263" s="7" t="str">
        <f>IF(X263="No","No",_xlfn.XLOOKUP(_xlfn.XLOOKUP(B263,'Base stats'!B:B,'Base stats'!E:E),Groups!A:A,Groups!X:X))</f>
        <v>No</v>
      </c>
      <c r="AB263" s="7" t="str">
        <f>IF(X263="No","No",_xlfn.XLOOKUP(_xlfn.XLOOKUP(B263,'Base stats'!B:B,'Base stats'!E:E),Groups!A:A,Groups!Y:Y))</f>
        <v>No</v>
      </c>
      <c r="AC263" s="7" t="str">
        <f>_xlfn.XLOOKUP(Animals!B263,'Base stats'!B:B,'Base stats'!X:X)</f>
        <v>False</v>
      </c>
      <c r="AD263" s="13">
        <f>IF(_xlfn.XLOOKUP(B263,'Base stats'!B:B,'Base stats'!AT:AT)="No","No",MROUND((LOG10(_xlfn.XLOOKUP(B263,'Base stats'!B:B,'Base stats'!AT:AT))*(AO263^0.75)+(_xlfn.XLOOKUP(B263,'Base stats'!B:B,'Base stats'!AT:AT)/1000)^(2/3)+_xlfn.XLOOKUP(B263,'Base stats'!B:B,'Base stats'!AX:AX)+_xlfn.XLOOKUP(B263,'Base stats'!B:B,'Base stats'!BA:BA))+0.5,0.5))</f>
        <v>58.5</v>
      </c>
      <c r="AE263" s="7">
        <f>IF(AD263="No","No",MAX(_xlfn.XLOOKUP(_xlfn.XLOOKUP(B263,'Base stats'!B:B,'Base stats'!E:E),Groups!A:A,Groups!Z:Z),MROUND(_xlfn.XLOOKUP(_xlfn.XLOOKUP(B263,'Base stats'!B:B,'Base stats'!E:E),Groups!A:A,Groups!Z:Z)*_xlfn.XLOOKUP(B263,'Base stats'!B:B,'Base stats'!C:C)^0.165,0.05)))</f>
        <v>5.25</v>
      </c>
      <c r="AF263" s="7" t="str">
        <f>IF(AD263="No","No",_xlfn.XLOOKUP(_xlfn.XLOOKUP(B263,'Base stats'!B:B,'Base stats'!E:E),Groups!A:A,Groups!AA:AA))</f>
        <v>Teeth</v>
      </c>
      <c r="AG263" s="7" t="str">
        <f>IF(AD263="No","No",_xlfn.XLOOKUP(_xlfn.XLOOKUP(B263,'Base stats'!B:B,'Base stats'!E:E),Groups!A:A,Groups!AB:AB))</f>
        <v>teeth</v>
      </c>
      <c r="AH263" s="7" t="str">
        <f>IF(AD263="No","No",_xlfn.XLOOKUP(_xlfn.XLOOKUP(B263,'Base stats'!B:B,'Base stats'!E:E),Groups!A:A,Groups!AC:AC))</f>
        <v>Bite</v>
      </c>
      <c r="AI263" s="13">
        <f>IF(_xlfn.XLOOKUP(_xlfn.XLOOKUP(B263,'Base stats'!B:B,'Base stats'!E:E),Groups!A:A,Groups!AD:AD)=0,"No",MROUND((LOG10(_xlfn.XLOOKUP(B263,'Base stats'!B:B,'Base stats'!AS:AS))*(AO263^0.75)+(_xlfn.XLOOKUP(B263,'Base stats'!B:B,'Base stats'!AS:AS)/1000)^(2/3)+_xlfn.XLOOKUP(B263,'Base stats'!B:B,'Base stats'!AY:AY)+_xlfn.XLOOKUP(B263,'Base stats'!B:B,'Base stats'!BA:BA))+0.5,0.5))</f>
        <v>58.5</v>
      </c>
      <c r="AJ263" s="7">
        <f>IF(AI263="No","No",MAX(_xlfn.XLOOKUP(_xlfn.XLOOKUP(B263,'Base stats'!B:B,'Base stats'!E:E),Groups!A:A,Groups!AE:AE),MROUND(_xlfn.XLOOKUP(_xlfn.XLOOKUP(B263,'Base stats'!B:B,'Base stats'!E:E),Groups!A:A,Groups!AE:AE)*IF(_xlfn.XLOOKUP(_xlfn.XLOOKUP(B263,'Base stats'!B:B,'Base stats'!E:E),Groups!A:A,Groups!AJ:AJ)="Photonozoa",0.6,1)*_xlfn.XLOOKUP(B263,'Base stats'!B:B,'Base stats'!C:C)^0.165,0.05)))</f>
        <v>3.25</v>
      </c>
      <c r="AK263" s="7" t="str">
        <f>IF(AI263="No","No",_xlfn.XLOOKUP(_xlfn.XLOOKUP(B263,'Base stats'!B:B,'Base stats'!E:E),Groups!A:A,Groups!AF:AF))</f>
        <v>Arms</v>
      </c>
      <c r="AL263" s="7" t="str">
        <f>IF(AI263="No","No",_xlfn.XLOOKUP(_xlfn.XLOOKUP(B263,'Base stats'!B:B,'Base stats'!E:E),Groups!A:A,Groups!AG:AG))</f>
        <v>tentacles</v>
      </c>
      <c r="AM263" s="7" t="str">
        <f>IF(AI263="No","No",_xlfn.XLOOKUP(_xlfn.XLOOKUP(B263,'Base stats'!B:B,'Base stats'!E:E),Groups!A:A,Groups!AH:AH))</f>
        <v>Scratch</v>
      </c>
      <c r="AN263" s="2">
        <f t="shared" si="28"/>
        <v>45</v>
      </c>
      <c r="AO263" s="2">
        <f>MROUND(IF(AND(_xlfn.XLOOKUP(B263,'Base stats'!B:B,'Base stats'!C:C)&gt;=0.5,_xlfn.XLOOKUP(B263,'Base stats'!B:B,'Base stats'!C:C)&lt;=0.8),
IF(_xlfn.XLOOKUP(B263,'Base stats'!B:B,'Base stats'!C:C)&lt;0.1,0.05,IF(_xlfn.XLOOKUP(B263,'Base stats'!B:B,'Base stats'!C:C)&lt;=70,(_xlfn.XLOOKUP(B263,'Base stats'!B:B,'Base stats'!C:C)/70)^0.426489913056526,IF(_xlfn.XLOOKUP(B263,'Base stats'!B:B,'Base stats'!C:C)&lt;=400,(_xlfn.XLOOKUP(B263,'Base stats'!B:B,'Base stats'!C:C)/70)^0.572811455315093,IF(_xlfn.XLOOKUP(B263,'Base stats'!B:B,'Base stats'!C:C)&lt;=2000,2.71391647193063*(_xlfn.XLOOKUP(B263,'Base stats'!B:B,'Base stats'!C:C)/400)^0.252459582904293,3.74314280240376*(_xlfn.XLOOKUP(B263,'Base stats'!B:B,'Base stats'!C:C)/2000)^0.357012633876913)))),
IF(_xlfn.XLOOKUP(B263,'Base stats'!B:B,'Base stats'!C:C)&lt;0.1,0.05,IF(_xlfn.XLOOKUP(B263,'Base stats'!B:B,'Base stats'!C:C)&lt;0.4,0.1,IF(_xlfn.XLOOKUP(B263,'Base stats'!B:B,'Base stats'!C:C)&lt;=70,(_xlfn.XLOOKUP(B263,'Base stats'!B:B,'Base stats'!C:C)/70)^0.445823913056526,IF(_xlfn.XLOOKUP(B263,'Base stats'!B:B,'Base stats'!C:C)&lt;=400,(_xlfn.XLOOKUP(B263,'Base stats'!B:B,'Base stats'!C:C)/70)^0.572811455315093,IF(_xlfn.XLOOKUP(B263,'Base stats'!B:B,'Base stats'!C:C)&lt;=2000,2.71391647193063*(_xlfn.XLOOKUP(B263,'Base stats'!B:B,'Base stats'!C:C)/400)^0.252459582904293,3.74314280240376*(_xlfn.XLOOKUP(B263,'Base stats'!B:B,'Base stats'!C:C)/2000)^0.357012633876913)))))),
IF(_xlfn.XLOOKUP(B263,'Base stats'!B:B,'Base stats'!C:C)&lt;0.1,0.05,IF(_xlfn.XLOOKUP(B263,'Base stats'!B:B,'Base stats'!C:C)&lt;=100,0.05,IF(_xlfn.XLOOKUP(B263,'Base stats'!B:B,'Base stats'!C:C)&lt;=250,0.1,IF(_xlfn.XLOOKUP(B263,'Base stats'!B:B,'Base stats'!C:C)&lt;=4000,0.25,0.5)))))</f>
        <v>6</v>
      </c>
      <c r="AP263" s="8">
        <f>MROUND(AO263*_xlfn.XLOOKUP(_xlfn.XLOOKUP(B263,'Base stats'!B:B,'Base stats'!E:E),Groups!A:A,Groups!AI:AI)*_xlfn.XLOOKUP(B263,'Base stats'!B:B,'Base stats'!Z:Z),0.05)</f>
        <v>6</v>
      </c>
      <c r="AQ263" s="8">
        <f>MAX(0.01,MROUND(IF(CC263="True",0.196*(AO263*100*1000)^0.889,IF(_xlfn.XLOOKUP(_xlfn.XLOOKUP(B263,'Base stats'!B:B,'Base stats'!E:E),Groups!A:A,Groups!AJ:AJ)="Bird",10.5*(AO263*100*1000)^0.681,4.82*(AO263*100*1000)^0.734))/(4.82*(1*100*1000)^0.734)/IF(AO263&lt;3.5,2,IF(AO263=3.5,1.5,1.25))*(1+0.132282374779864/(AO263^0.994035016789033+0.00905238001496948)),0.05))</f>
        <v>0.95000000000000007</v>
      </c>
      <c r="AR263" s="9">
        <f>IFERROR(MROUND(_xlfn.XLOOKUP(B263,'Base stats'!B:B,'Base stats'!H:H)/IF(_xlfn.XLOOKUP(B263,'Base stats'!B:B,'Base stats'!I:I)&lt;&gt;1,(122.5/70),1.2),IF(_xlfn.XLOOKUP(B263,'Base stats'!B:B,'Base stats'!H:H)&gt;=30,5,IF(_xlfn.XLOOKUP(B263,'Base stats'!B:B,'Base stats'!H:H)&gt;=15,3,IF(_xlfn.XLOOKUP(B263,'Base stats'!B:B,'Base stats'!H:H)&gt;=10,2,1)))),"Immortal")</f>
        <v>85</v>
      </c>
      <c r="AS263" s="35" t="str">
        <f>IFERROR(IF(OR(_xlfn.XLOOKUP(B263,'Base stats'!B:B,'Base stats'!F:F)="Atypical reproduction",_xlfn.XLOOKUP(B263,'Base stats'!B:B,'Base stats'!F:F)="Lay eggs"),"Lay eggs",MIN(20,MAX(5.5,ROUND(((_xlfn.XLOOKUP(B263,'Base stats'!B:B,'Base stats'!F:F)-25)*(14.5/615) + 5.5)*2,0)/2))),"Unknown")</f>
        <v>Lay eggs</v>
      </c>
      <c r="AT263" s="8" t="str">
        <f>IF(_xlfn.XLOOKUP(B263,'Base stats'!B:B,'Base stats'!G:G)="Atypical reproduction","No",IFERROR(MAX(IF(_xlfn.XLOOKUP(B263,'Base stats'!B:B,'Base stats'!G:G)&lt;0.5,0.2,0.3),MROUND(_xlfn.XLOOKUP(B263,'Base stats'!B:B,'Base stats'!G:G)/(365/60),0.2)),"Unknown"))</f>
        <v>No</v>
      </c>
      <c r="AU263" s="8" t="str">
        <f t="shared" si="29"/>
        <v>No</v>
      </c>
      <c r="AV263" s="8" t="str">
        <f>IFERROR(IFERROR(MROUND(_xlfn.XLOOKUP(B263,'Base stats'!B:B,'Base stats'!J:J),0.1),"Lay eggs"),"Cannot breed")</f>
        <v>Lay eggs</v>
      </c>
      <c r="AW263" s="2" t="str">
        <f t="shared" si="30"/>
        <v>false</v>
      </c>
      <c r="AX263" s="2" t="str">
        <f>IF(_xlfn.XLOOKUP(_xlfn.XLOOKUP(Animals!B263,'Base stats'!B:B,'Base stats'!E:E),Groups!A:A,Groups!AK:AK)=1,"true","false")</f>
        <v>false</v>
      </c>
      <c r="AY263" s="25" t="str">
        <f>IF(_xlfn.XLOOKUP(B263,'Base stats'!B:B,'Base stats'!Y:Y)="Liquor","Liquor, CarnivoreAnimalStrict",IF(AND(_xlfn.XLOOKUP(B263,'Base stats'!B:B,'Base stats'!Y:Y)="Carnivore",_xlfn.XLOOKUP(_xlfn.XLOOKUP(B263,'Base stats'!B:B,'Base stats'!E:E),Groups!A:A,Groups!AJ:AJ)="Photonozoa"),"CarnivoreAnimalStrict, OvivoreAnimal",IF(_xlfn.XLOOKUP(B263,'Base stats'!B:B,'Base stats'!Y:Y)="Carnivore","CarnivoreAnimal, OvivoreAnimal",IF(_xlfn.XLOOKUP(B263,'Base stats'!B:B,'Base stats'!Y:Y)="Dendrovore","VegetarianRoughAnimal, DendrovoreAnimal",IF(_xlfn.XLOOKUP(B263,'Base stats'!B:B,'Base stats'!Y:Y)="Herbivore","VegetarianRoughAnimal",IF(_xlfn.XLOOKUP(B263,'Base stats'!B:B,'Base stats'!Y:Y)="OmnivoreRough","OmnivoreRoughAnimal, OvivoreAnimal","OmnivoreAnimal, OvivoreAnimal"))))))</f>
        <v>OmnivoreAnimal, OvivoreAnimal</v>
      </c>
      <c r="AZ263" s="2" t="str">
        <f>IF(_xlfn.XLOOKUP(_xlfn.XLOOKUP(B263,'Base stats'!B:B,'Base stats'!E:E),Groups!A:A,Groups!D:D)=1,MROUND((1-J263)*5+1,2)*IF(J263&lt;=0.4,2,1),"No")</f>
        <v>No</v>
      </c>
      <c r="BA263" s="2" t="str">
        <f>IF(AND(_xlfn.XLOOKUP(B263,'Base stats'!B:B,'Base stats'!AH:AH)="&lt;li&gt;Seal&lt;/li&gt;",G263="Odyssey"),"&lt;li&gt;AEXP_Seal&lt;/li&gt;",_xlfn.XLOOKUP(B263,'Base stats'!B:B,'Base stats'!AH:AH))</f>
        <v>&lt;li&gt;Pig&lt;/li&gt;</v>
      </c>
      <c r="BB263" s="2" t="str">
        <f>_xlfn.XLOOKUP(B263,'Base stats'!B:B,'Base stats'!AG:AG)</f>
        <v>No</v>
      </c>
      <c r="BC263" s="23" t="str">
        <f>_xlfn.XLOOKUP(_xlfn.XLOOKUP(B263,'Base stats'!B:B,'Base stats'!E:E),Groups!A:A,Groups!AL:AL)</f>
        <v>GooWithTeethBody</v>
      </c>
      <c r="BD263" s="23">
        <f>MIN(1,MROUND(IF(AND(AO263&lt;0.5,_xlfn.XLOOKUP(B263,'Base stats'!B:B,'Base stats'!AA:AA)=0),0,IF(OR(_xlfn.XLOOKUP(Animals!B263,'Base stats'!B:B,'Base stats'!O:O)=2,_xlfn.XLOOKUP(_xlfn.XLOOKUP(B263,'Base stats'!B:B,'Base stats'!E:E),Groups!A:A,Groups!AN:AN)=0),0,_xlfn.XLOOKUP(_xlfn.XLOOKUP(B263,'Base stats'!B:B,'Base stats'!E:E),Groups!A:A,Groups!AN:AN)/IF(_xlfn.XLOOKUP(Animals!B263,'Base stats'!B:B,'Base stats'!O:O)=1,2,1)))+_xlfn.XLOOKUP(B263,'Base stats'!B:B,'Base stats'!AC:AC),0.005))</f>
        <v>0</v>
      </c>
      <c r="BE263" s="23">
        <f>MIN(1,MROUND(IF(AND(AO263&lt;0.5,_xlfn.XLOOKUP(B263,'Base stats'!B:B,'Base stats'!AA:AA)=0),0,IF(_xlfn.XLOOKUP(_xlfn.XLOOKUP(B263,'Base stats'!B:B,'Base stats'!E:E),Groups!A:A,Groups!AO:AO)=0,0,_xlfn.XLOOKUP(_xlfn.XLOOKUP(B263,'Base stats'!B:B,'Base stats'!E:E),Groups!A:A,Groups!AO:AO)/IF(_xlfn.XLOOKUP(Animals!B263,'Base stats'!B:B,'Base stats'!O:O)=2,3,1)))+_xlfn.XLOOKUP(B263,'Base stats'!B:B,'Base stats'!AD:AD),0.005))</f>
        <v>0</v>
      </c>
      <c r="BF263" s="2" t="str">
        <f>IF(J263&gt;0.3,"No",_xlfn.XLOOKUP(_xlfn.XLOOKUP(Animals!B263,'Base stats'!B:B,'Base stats'!E:E),Groups!A:A,Groups!AP:AP))</f>
        <v>No</v>
      </c>
      <c r="BG263" s="2" t="str">
        <f>IF(AND(J263&lt;=0.65,_xlfn.XLOOKUP(_xlfn.XLOOKUP(Animals!B263,'Base stats'!B:B,'Base stats'!E:E),Groups!A:A,Groups!AP:AP)&lt;&gt;"No",_xlfn.XLOOKUP(_xlfn.XLOOKUP(B263,'Base stats'!B:B,'Base stats'!E:E),Groups!A:A,Groups!D:D)=0),MROUND((80/3)*IF(_xlfn.XLOOKUP(B263,'Base stats'!B:B,'Base stats'!O:O)=2,0.2,AO263) + 24*(1-IF(BF263="No",0,BF263)) + 16/3, 12),"No")</f>
        <v>No</v>
      </c>
      <c r="BH263" s="2">
        <f>IF(AND(_xlfn.XLOOKUP(_xlfn.XLOOKUP(B263,'Base stats'!B:B,'Base stats'!E:E),Groups!A:A,Groups!AQ:AQ)=1,AO263&lt;=0.35),8,12)</f>
        <v>12</v>
      </c>
      <c r="BI263" s="2" t="str">
        <f>IF(_xlfn.XLOOKUP(_xlfn.XLOOKUP(B263,'Base stats'!B:B,'Base stats'!E:E),Groups!A:A,Groups!D:D)=0,_xlfn.XLOOKUP(_xlfn.XLOOKUP(B263,'Base stats'!B:B,'Base stats'!E:E),Groups!A:A,Groups!AR:AR),"None")</f>
        <v>Intermediate</v>
      </c>
      <c r="BJ263" s="2" t="str">
        <f>IF(AND(_xlfn.XLOOKUP(_xlfn.XLOOKUP(B263,'Base stats'!B:B,'Base stats'!E:E),Groups!A:A,Groups!AS:AS)=1,OR(_xlfn.XLOOKUP(B263,'Base stats'!B:B,'Base stats'!Y:Y)="Carnivore",_xlfn.XLOOKUP(B263,'Base stats'!B:B,'Base stats'!Y:Y)="Omnivore")),"true","false")</f>
        <v>true</v>
      </c>
      <c r="BK263" s="2">
        <f>IF(BJ263="true",MROUND(IF(AND(AO263&gt;0.5,OR(_xlfn.XLOOKUP(_xlfn.XLOOKUP(B263,'Base stats'!B:B,'Base stats'!E:E),Groups!A:A,Groups!AJ:AJ)="Photonozoa",_xlfn.XLOOKUP(_xlfn.XLOOKUP(B263,'Base stats'!B:B,'Base stats'!E:E),Groups!A:A,Groups!AJ:AJ)="Mammal")),Animals!AO263*1.75*IF(AW263="true",1.5,1),IF(AO263&lt;0.5,Animals!AO263*0.5,Animals!AO263)),IF(AO263&gt;2,0.5,IF(AO263&gt;0.5,0.25,0.1))),"No")</f>
        <v>6</v>
      </c>
      <c r="BL263" s="2">
        <f t="shared" si="31"/>
        <v>1</v>
      </c>
      <c r="BM263" s="25" t="str">
        <f>IF(_xlfn.XLOOKUP(B263,'Base stats'!B:B,'Base stats'!AN:AN)="Standard","No",MROUND((_xlfn.XLOOKUP(B263,'Base stats'!B:B,'Base stats'!AN:AN)/3.6)/I263,0.1))</f>
        <v>No</v>
      </c>
      <c r="BN263" s="25" t="str">
        <f t="shared" si="32"/>
        <v>false</v>
      </c>
      <c r="BO263" s="25" t="str">
        <f>IF(AND(OR(_xlfn.XLOOKUP(B263,'Base stats'!B:B,'Base stats'!Y:Y)="Carnivore",_xlfn.XLOOKUP(B263,'Base stats'!B:B,'Base stats'!Y:Y)="Omnivore",_xlfn.XLOOKUP(B263,'Base stats'!B:B,'Base stats'!Y:Y)="OmnivoreRough"),_xlfn.XLOOKUP(_xlfn.XLOOKUP(B263,'Base stats'!B:B,'Base stats'!E:E),Groups!A:A,Groups!AT:AT)=1),"true","false")</f>
        <v>false</v>
      </c>
      <c r="BP263" s="25" t="str" cm="1">
        <f t="array" ref="BP263">IF(
  _xlfn.TEXTJOIN(", ",TRUE,
    IF(AND(BJ263="true",AO263&gt;0.5,BI263&lt;&gt;"None"),"AttackTarget",""),
    IF(AND(_xlfn.XLOOKUP(_xlfn.XLOOKUP(B263,'Base stats'!B:B,'Base stats'!E:E),Groups!A:A,Groups!AJ:AJ="Mammal"),OR(_xlfn.XLOOKUP(B263,'Base stats'!B:B,'Base stats'!Y:Y)="Omnivore",_xlfn.XLOOKUP(B263,'Base stats'!B:B,'Base stats'!Y:Y)="OmnivoreRough")),"Forage",""),
    IF(BG263&lt;=36,"Comfort",""),
    IF(_xlfn.XLOOKUP(B263,'Base stats'!B:B,'Base stats'!AE:AE)&lt;&gt;"No",_xlfn.XLOOKUP(B263,'Base stats'!B:B,'Base stats'!AE:AE),"")
  ) = "",
  "No",
  _xlfn.TEXTJOIN(", ",TRUE,
    IF(AND(BJ263="true",AO263&gt;0.5,BI263&lt;&gt;"None"),"AttackTarget",""),
    IF(AND(_xlfn.XLOOKUP(_xlfn.XLOOKUP(B263,'Base stats'!B:B,'Base stats'!E:E),Groups!A:A,Groups!AJ:AJ="Mammal"),OR(_xlfn.XLOOKUP(B263,'Base stats'!B:B,'Base stats'!Y:Y)="Omnivore",_xlfn.XLOOKUP(B263,'Base stats'!B:B,'Base stats'!Y:Y)="OmnivoreRough")),"Forage",""),
    IF(BG263&lt;=36,"Comfort",""),
    IF(_xlfn.XLOOKUP(B263,'Base stats'!B:B,'Base stats'!AE:AE)&lt;&gt;"No",_xlfn.XLOOKUP(B263,'Base stats'!B:B,'Base stats'!AE:AE),"")
  )
)</f>
        <v>AttackTarget</v>
      </c>
      <c r="BQ263" s="25" t="str">
        <f>IF(
   AND(
      'Base stats'!AN263="Standard",_xlfn.XLOOKUP(_xlfn.XLOOKUP(B263,'Base stats'!B:B,'Base stats'!E:E),Groups!A:A,Groups!AU:AU)=0,
      OR(
      BO263="True"
      )
   ),
   10,
   IF(
       OR(BM263&lt;&gt;"No",_xlfn.XLOOKUP(_xlfn.XLOOKUP(B263,'Base stats'!B:B,'Base stats'!E:E),Groups!A:A,Groups!AU:AU)=1),
      1,
      "No"
   )
)</f>
        <v>No</v>
      </c>
      <c r="BR263" s="9">
        <f>MROUND((1 + ((0.2*IF(OR(Q263="No",R263="No",R263=0),0,Q263/R263)
+IF(OR(V263="No",S263="No",T263="No"),0,S263/T263*(LEN(V263)-LEN(SUBSTITUTE(V263,",",""))+1))
+IF(OR(X263="No",Y263="No"),0,X263/Y263)
+IF(OR(AD263="No",AE263="No"),0,AD263/AE263)
+IF(OR(AL263="No",AI263="No",AJ263="No"),0,AI263/AJ263*(LEN(AL263)-LEN(SUBSTITUTE(AL263,",",""))+1))
)/(0.2*IF(OR(Q263="No",R263="No",R263=0),0,1)
+IF(OR(V263="No",S263="No",T263="No"),0,LEN(V263)-LEN(SUBSTITUTE(V263,",",""))+1)
+IF(OR(X263="No",Y263="No"),0,1)
+IF(OR(AD263="No",AE263="No"),0,1)
+IF(OR(AL263="No",AI263="No",AJ263="No"),0,LEN(AL263)-LEN(SUBSTITUTE(AL263,",",""))+1))*62%)* 2)*(1 + (AP263 / (IF(_xlfn.XLOOKUP(_xlfn.XLOOKUP(B263,'Base stats'!B:B,'Base stats'!E:E),Groups!A:A,Groups!AJ:AJ)="Photonozoa",0.3,1)) + _xlfn.XLOOKUP(B263,'Base stats'!B:B,'Base stats'!AV:AV) * 1.8) * 2) * 2.5 + 10 + I263 * 2,5)+IF(_xlfn.XLOOKUP(B263,'Base stats'!B:B,'Base stats'!AK:AK)=1,50,0)</f>
        <v>615</v>
      </c>
      <c r="BS263" s="8">
        <f t="shared" si="33"/>
        <v>1.9500000000000002</v>
      </c>
      <c r="BT263" s="8" t="str">
        <f>_xlfn.XLOOKUP(B263,'Base stats'!B:B,'Base stats'!AF:AF)</f>
        <v>No</v>
      </c>
      <c r="BU263" s="2" t="str">
        <f>IF(AND(J263&lt;=0.95,OR(_xlfn.XLOOKUP(B263,'Base stats'!B:B,'Base stats'!AK:AK)=1,_xlfn.XLOOKUP(B263,'Base stats'!B:B,'Base stats'!Y:Y)="Carnivore",_xlfn.XLOOKUP(B263,'Base stats'!B:B,'Base stats'!Y:Y)="Omnivore",BE263&gt;0.1)),"true","false")</f>
        <v>true</v>
      </c>
      <c r="BV263" s="2" t="str">
        <f>IF(_xlfn.XLOOKUP(B263,'Base stats'!B:B,'Base stats'!AI:AI)=1,"true","false")</f>
        <v>false</v>
      </c>
      <c r="BW263" s="25" t="str">
        <f>IF(E263="BaseInsect","AnimalInsect",
IF(J263&gt;0.95,"AnimalExotic",
_xlfn.TEXTJOIN(", ",TRUE,
IF(OR(_xlfn.XLOOKUP(B263,'Base stats'!B:B,'Base stats'!AM:AM)=1,AND(_xlfn.XLOOKUP(B263,'Base stats'!B:B,'Base stats'!O:O)=0,_xlfn.XLOOKUP(_xlfn.XLOOKUP(B263,'Base stats'!B:B,'Base stats'!E:E),Groups!A:A,Groups!B:B)&gt;0)),"AnimalUncommon","AnimalCommon"),
IF(AND(_xlfn.XLOOKUP(B263,'Base stats'!B:B,'Base stats'!O:O)=2,_xlfn.XLOOKUP(_xlfn.XLOOKUP(B263,'Base stats'!B:B,'Base stats'!E:E),Groups!A:A,Groups!D:D)=0),"AnimalPet",IF(AND(_xlfn.XLOOKUP(B263,'Base stats'!B:B,'Base stats'!O:O)&lt;&gt;0,_xlfn.XLOOKUP(_xlfn.XLOOKUP(B263,'Base stats'!B:B,'Base stats'!E:E),Groups!A:A,Groups!D:D)&lt;&gt;0),"AnimalFarm","")),
IF(OR(_xlfn.XLOOKUP(B263,'Base stats'!B:B,'Base stats'!AK:AK)=1,AND(BI263&lt;&gt;"None",BR263&gt;=60),ISNUMBER(SEARCH("Attack target",BP263))),"AnimalFighter","")
)))</f>
        <v>AnimalUncommon, AnimalFighter</v>
      </c>
      <c r="BX263" s="25" t="str">
        <f>IF(G263="None",TRIM(
SUBSTITUTE(
IF(COUNTIF(Biomes!B$2:B$259,"="&amp;$C263)&gt;0,Biomes!B$1&amp;", ","")&amp;
IF(COUNTIF(Biomes!C$2:C$259,"="&amp;$C263)&gt;0,Biomes!C$1&amp;", ","")&amp;
IF(COUNTIF(Biomes!D$2:D$259,"="&amp;$C263)&gt;0,Biomes!D$1&amp;", ","")&amp;
IF(COUNTIF(Biomes!F$2:F$259,"="&amp;$C263)&gt;0,Biomes!F$1&amp;", ","")&amp;
IF(COUNTIF(Biomes!G$2:G$259,"="&amp;$C263)&gt;0,Biomes!G$1&amp;", ","")&amp;
IF(COUNTIF(Biomes!H$2:H$259,"="&amp;$C263)&gt;0,Biomes!H$1&amp;", ","")&amp;
IF(COUNTIF(Biomes!I$2:I$259,"="&amp;$C263)&gt;0,Biomes!I$1&amp;", ","")&amp;
IF(COUNTIF(Biomes!J$2:J$259,"="&amp;$C263)&gt;0,Biomes!J$1&amp;", ","")&amp;
IF(COUNTIF(Biomes!M$2:M$259,"="&amp;$C263)&gt;0,Biomes!M$1&amp;", ","")&amp;
IF(COUNTIF(Biomes!N$2:N$259,"="&amp;$C263)&gt;0,Biomes!N$1&amp;", ","")&amp;
IF(COUNTIF(Biomes!O$2:O$259,"="&amp;$C263)&gt;0,Biomes!O$1&amp;", ","")&amp;
IF(COUNTIF(Biomes!P$2:P$259,"="&amp;$C263)&gt;0,Biomes!P$1&amp;", ","")&amp;
IF(COUNTIF(Biomes!K$2:K$259,"="&amp;$C263)&gt;0,Biomes!K$1&amp;", ","")&amp;
IF(COUNTIF(Biomes!Q$3:Q$259,"="&amp;$C263)&gt;0,Biomes!Q$1&amp;", ","")&amp;
IF(COUNTIF(Biomes!L$2:L$259,"="&amp;$C263)&gt;0,Biomes!L$1&amp;", ","")&amp;
IF(COUNTIF(Biomes!E$2:E$259,"="&amp;$C263)&gt;0,Biomes!E$1&amp;", ","")&amp;IF(COUNTIF(Biomes!S$2:S$259,"="&amp;$C263)&gt;0,Biomes!S$1&amp;", ","")&amp;
IF(COUNTIF(Biomes!R$2:R$259,"="&amp;$C263)&gt;0,Biomes!R$1&amp;", ",""),", ","")
),_xlfn.XLOOKUP(B263,B:B,BX:BX))</f>
        <v/>
      </c>
      <c r="BY263" s="25" t="str">
        <f>IF(_xlfn.XLOOKUP(B263,'Base stats'!B:B,'Base stats'!AJ:AJ)=1,"true","false")</f>
        <v>false</v>
      </c>
      <c r="BZ263" s="25">
        <f>IF(_xlfn.XLOOKUP(B263,'Base stats'!B:B,'Base stats'!N:N)=1,"No",MAX(0.001,MIN(MROUND(IF(AND(BJ263="True",CC263="False"),POWER(10,3.47*LOG10(_xlfn.XLOOKUP(B263,'Base stats'!B:B,'Base stats'!C:C)*1000)^-0.96),POWER(10,4.15*LOG10(_xlfn.XLOOKUP(B263,'Base stats'!B:B,'Base stats'!C:C)*1000)^-0.73))*IF(_xlfn.XLOOKUP(B263,'Base stats'!B:B,'Base stats'!AK:AK)=1,0.5,1)*IF(_xlfn.XLOOKUP(B263,'Base stats'!B:B,'Base stats'!AM:AM)=1,0.1,1)/100,IF(_xlfn.XLOOKUP(B263,'Base stats'!B:B,'Base stats'!AM:AM)=1,0.001,0.025)),0.5)))</f>
        <v>0.01</v>
      </c>
      <c r="CA263" s="25" t="str">
        <f>IF(P263="Standard","No",MAX(0.001,MIN(MROUND(IF(AND(BJ263="True",CC263="False"),POWER(10,3.47*LOG10(_xlfn.XLOOKUP(B263,'Base stats'!B:B,'Base stats'!C:C)*1000)^-0.96),POWER(10,4.15*LOG10(_xlfn.XLOOKUP(B263,'Base stats'!B:B,'Base stats'!C:C)*1000)^-0.73))*IF(_xlfn.XLOOKUP(B263,'Base stats'!B:B,'Base stats'!AM:AM)=1,0.1,1)*_xlfn.XLOOKUP(B263,'Base stats'!B:B,'Base stats'!R:R)/100,IF(_xlfn.XLOOKUP(B263,'Base stats'!B:B,'Base stats'!AM:AM)=1,0.001,0.025)),0.5)))</f>
        <v>No</v>
      </c>
      <c r="CB263" s="25" t="str">
        <f>IF(_xlfn.XLOOKUP(_xlfn.XLOOKUP(B263,'Base stats'!B:B,'Base stats'!E:E),Groups!A:A,Groups!AJ:AJ)="Mammal","True","False")</f>
        <v>False</v>
      </c>
      <c r="CC263" s="25" t="str">
        <f>IF(OR(_xlfn.XLOOKUP(_xlfn.XLOOKUP(B263,'Base stats'!B:B,'Base stats'!E:E),Groups!A:A,Groups!AJ:AJ)="Reptile",_xlfn.XLOOKUP(_xlfn.XLOOKUP(B263,'Base stats'!B:B,'Base stats'!E:E),Groups!A:A,Groups!AJ:AJ)="Amphibian",_xlfn.XLOOKUP(_xlfn.XLOOKUP(B263,'Base stats'!B:B,'Base stats'!E:E),Groups!A:A,Groups!AJ:AJ)="Invertebrate"),"True","False")</f>
        <v>True</v>
      </c>
      <c r="CD263" s="25" t="str">
        <f t="shared" si="34"/>
        <v>False</v>
      </c>
      <c r="CE263" s="25" t="str">
        <f>IF(_xlfn.XLOOKUP(_xlfn.XLOOKUP(B263,'Base stats'!B:B,'Base stats'!E:E),Groups!A:A,Groups!AX:AX),"True","False")</f>
        <v>True</v>
      </c>
      <c r="CF263" s="25" t="str">
        <f>IF(_xlfn.XLOOKUP(_xlfn.XLOOKUP(B263,'Base stats'!B:B,'Base stats'!E:E),Groups!A:A,Groups!AY:AY),"True","False")</f>
        <v>False</v>
      </c>
      <c r="CG263" s="25" t="str">
        <f>IF(_xlfn.XLOOKUP(_xlfn.XLOOKUP(B263,'Base stats'!B:B,'Base stats'!E:E),Groups!A:A,Groups!AW:AW),"True","False")</f>
        <v>True</v>
      </c>
      <c r="CH263" s="25" t="str">
        <f>IF(
OR(
_xlfn.XLOOKUP(_xlfn.XLOOKUP(B263,'Base stats'!B:B,'Base stats'!E:E),Groups!A:A,Groups!AZ:AZ)=0,
AND(
_xlfn.XLOOKUP(B263,'Base stats'!B:B,'Base stats'!Y:Y)&lt;&gt;"Carnivore",
_xlfn.XLOOKUP(B263,'Base stats'!B:B,'Base stats'!Y:Y)&lt;&gt;"Omnivore",
_xlfn.XLOOKUP(B263,'Base stats'!B:B,'Base stats'!Y:Y)&lt;&gt;"OmnivoreRough"
)
),
"No",
IF(
_xlfn.XLOOKUP(_xlfn.XLOOKUP(B263,'Base stats'!B:B,'Base stats'!E:E),Groups!A:A,Groups!AZ:AZ)=1,
"Flesh",
IF(
_xlfn.XLOOKUP(_xlfn.XLOOKUP(B263,'Base stats'!B:B,'Base stats'!E:E),Groups!A:A,Groups!AZ:AZ)=2,
"Bone",
""
)
)
)</f>
        <v>No</v>
      </c>
      <c r="CI263" s="25" t="str">
        <f>IF(_xlfn.XLOOKUP(_xlfn.XLOOKUP(B263,'Base stats'!B:B,'Base stats'!E:E),Groups!A:A,Groups!BB:BB),"True","False")</f>
        <v>False</v>
      </c>
      <c r="CJ263" s="25" t="str">
        <f>IF(_xlfn.XLOOKUP(_xlfn.XLOOKUP(B263,'Base stats'!B:B,'Base stats'!E:E),Groups!A:A,Groups!BA:BA),"True","False")</f>
        <v>False</v>
      </c>
    </row>
    <row r="264" spans="1:88" ht="16.5" thickTop="1" thickBot="1" x14ac:dyDescent="0.3">
      <c r="A264" s="26" t="s">
        <v>1434</v>
      </c>
      <c r="B264" s="6" t="str">
        <f>_xlfn.XLOOKUP(A264,'Base stats'!A:A,'Base stats'!B:B)</f>
        <v>Erin similis</v>
      </c>
      <c r="C264" s="28" t="s">
        <v>1435</v>
      </c>
      <c r="D264" s="28" t="s">
        <v>1341</v>
      </c>
      <c r="E264" s="28" t="s">
        <v>673</v>
      </c>
      <c r="F264" s="28" t="s">
        <v>673</v>
      </c>
      <c r="G264" s="28" t="s">
        <v>673</v>
      </c>
      <c r="H264" s="2">
        <f>MROUND((
  (IF(AND(_xlfn.XLOOKUP(B264,'Base stats'!B:B,'Base stats'!AL:AL)=0,BI264="None",_xlfn.XLOOKUP(_xlfn.XLOOKUP(B264,'Base stats'!B:B,'Base stats'!E:E),Groups!A:A,Groups!B:B)=0), (18 + BR264 * 2.7) * 0.5,
    IF(AND(_xlfn.XLOOKUP(B264,'Base stats'!B:B,'Base stats'!AL:AL)=0,OR(AO264&lt;0.55,AND(BI264="Intermediate",_xlfn.XLOOKUP(_xlfn.XLOOKUP(B264,'Base stats'!B:B,'Base stats'!E:E),Groups!A:A,Groups!B:B)&lt;2))), (18 + BR264 * 2.7),
      IF(OR(BI264="Advanced",_xlfn.XLOOKUP(B264,'Base stats'!B:B,'Base stats'!AL:AL)=1,_xlfn.XLOOKUP(_xlfn.XLOOKUP(B264,'Base stats'!B:B,'Base stats'!E:E),Groups!A:A,Groups!B:B)=2), (18 + BR264 * 2.7) + 250, (18 + BR264 * 2.7))
    )
  ))
  + AO264 * 80
  + IF(COUNTIF(EggMilk!K$2:K$998, A264) &gt; 0, 125, 0)
  + IF(COUNTIF(EggMilk!P$2:P$998, A264) &gt; 0, 90, 0)
  + IF(COUNTIF(EggMilk!A$2:A$998, A264) &gt; 0, 90, 0)
)
* (0.8 + 0.4 * J264)
* 0.75,25)</f>
        <v>750</v>
      </c>
      <c r="I264" s="2">
        <f>MROUND(ROUNDDOWN(_xlfn.XLOOKUP(B264,'Base stats'!B:B,'Base stats'!L:L)/3.6/(23.3/11),1),0.5)</f>
        <v>8.5</v>
      </c>
      <c r="J264" s="2">
        <f>IF(OR(_xlfn.XLOOKUP(B264,'Base stats'!B:B,'Base stats'!AB:AB)=1,_xlfn.XLOOKUP(_xlfn.XLOOKUP(B264,'Base stats'!B:B,'Base stats'!E:E),Groups!A:A,Groups!C:C)="Untamable"),1,IF(_xlfn.XLOOKUP(B264,'Base stats'!B:B,'Base stats'!AL:AL)=1,0.99,MIN(MROUND((1-0.6282*EXP(-0.459*AO264))*_xlfn.XLOOKUP(_xlfn.XLOOKUP(B264,'Base stats'!B:B,'Base stats'!E:E),Groups!A:A,Groups!C:C)*IF(_xlfn.XLOOKUP(B264,'Base stats'!B:B,'Base stats'!O:O)=1,0.5,IF(_xlfn.XLOOKUP(B264,'Base stats'!B:B,'Base stats'!O:O)=2,0,1)),0.05),IF(AO264&gt;3.5,0.985,0.95))))</f>
        <v>0.85000000000000009</v>
      </c>
      <c r="K264" s="2">
        <f>ROUNDUP(AO264*_xlfn.XLOOKUP(_xlfn.XLOOKUP(B264,'Base stats'!B:B,'Base stats'!E:E),Groups!A:A,Groups!E:E),0)</f>
        <v>2</v>
      </c>
      <c r="L264" s="2">
        <f>IF(OR(_xlfn.XLOOKUP(_xlfn.XLOOKUP(B264,'Base stats'!B:B,'Base stats'!E:E),Groups!A:A,Groups!F:F)=2,ISNUMBER(SEARCH("SeaIce",BX264)),ISNUMBER(SEARCH("IceSheet",BX264))),-50,IF(OR(ISNUMBER(SEARCH("GlacialPlain",BX264)),ISNUMBER(SEARCH("Tundra",BX264))),-40,IF(OR(ISNUMBER(SEARCH("Alpine",BX264)),ISNUMBER(SEARCH("BorealForest",BX264)),ISNUMBER(SEARCH("ColdBog",BX264))),-30,IF(OR(ISNUMBER(SEARCH("TemperateForest",BX264)),ISNUMBER(SEARCH("TemperateSwamp",BX264))),-20,IF(_xlfn.XLOOKUP(_xlfn.XLOOKUP(B264,'Base stats'!B:B,'Base stats'!E:E),Groups!A:A,Groups!F:F)=1,-15,IF(OR(ISNUMBER(SEARCH("Desert",BX264)),ISNUMBER(SEARCH("ExtremeDesert",BX264))),-10,IF(OR(ISNUMBER(SEARCH("Grasslands",BX264)),ISNUMBER(SEARCH("TropicalRainforest",BX264)),ISNUMBER(SEARCH("TropicalSwamp",BX264))),10,0)))))))-IF(CC264="False",MIN(IFERROR(MAX(MROUND(LOG10(_xlfn.XLOOKUP(B264,'Base stats'!B:B,'Base stats'!C:C)^(2/3))*10,5),5),5),30))-_xlfn.XLOOKUP(B264,'Base stats'!B:B,'Base stats'!P:P)+IF(CC264="True",5,0)</f>
        <v>-30</v>
      </c>
      <c r="M264" s="2">
        <f>IF(OR(_xlfn.XLOOKUP(_xlfn.XLOOKUP(B264,'Base stats'!B:B,'Base stats'!E:E),Groups!A:A,Groups!G:G)=2,ISNUMBER(SEARCH("Desert",BX264)),ISNUMBER(SEARCH("ExtremeDesert",BX264)),ISNUMBER(SEARCH("LavaField",BX264))),50,IF(ISNUMBER(SEARCH("Grasslands",BX264)),45,IF(OR(_xlfn.XLOOKUP(_xlfn.XLOOKUP(B264,'Base stats'!B:B,'Base stats'!E:E),Groups!A:A,Groups!G:G)=1,ISNUMBER(SEARCH("TropicalRainforest",BX264)),ISNUMBER(SEARCH("TropicalSwamp",BX264))),40,IF(OR(ISNUMBER(SEARCH("TemperateForest",BX264)),ISNUMBER(SEARCH("TemperateSwamp",BX264))),35,IF(OR(ISNUMBER(SEARCH("Alpine",BX264)),ISNUMBER(SEARCH("BorealForest",BX264)),ISNUMBER(SEARCH("ColdBog",BX264))),30,IF(ISNUMBER(OR(ISNUMBER(SEARCH("GlacialPlain",BX264)),SEARCH("Tundra",BX264))),25,IF(OR(ISNUMBER(SEARCH("SeaIce",BX264)),ISNUMBER(SEARCH("IceSheet",BX264)),ISNUMBER(SEARCH("TropicalSwamp",BX264))),10,35)))))))+_xlfn.XLOOKUP(B264,'Base stats'!B:B,'Base stats'!Q:Q)</f>
        <v>50</v>
      </c>
      <c r="N264" s="8" t="str">
        <f>IF(
_xlfn.XLOOKUP(
_xlfn.XLOOKUP(B264,'Base stats'!B:B,'Base stats'!E:E),
Groups!A:A,
Groups!L:L
)=1,
MIN(
MROUND(
IF(
_xlfn.XLOOKUP(B264,'Animals CE'!B:B,'Animals CE'!Z:Z)&lt;=1.5,
_xlfn.XLOOKUP(B264,'Animals CE'!B:B,'Animals CE'!Z:Z)/2+0.05,
0.8+
(_xlfn.XLOOKUP(B264,'Animals CE'!B:B,'Animals CE'!Z:Z)-1.5)
*0.02
),
0.05
),
200%
),
"No"
)</f>
        <v>No</v>
      </c>
      <c r="O264" s="8" t="str">
        <f>IF(
_xlfn.XLOOKUP(
_xlfn.XLOOKUP(B264,'Base stats'!B:B,'Base stats'!E:E),
Groups!A:A,
Groups!L:L
)=1,
MIN(
MROUND(
IF(
_xlfn.XLOOKUP(B264,'Animals CE'!B:B,'Animals CE'!AA:AA)&lt;=1.5,
_xlfn.XLOOKUP(B264,'Animals CE'!B:B,'Animals CE'!AA:AA)/2+0.05,
0.8+
(_xlfn.XLOOKUP(B264,'Animals CE'!B:B,'Animals CE'!AA:AA)-1.5)
*0.02
),
0.05
),
200%
),
"No"
)</f>
        <v>No</v>
      </c>
      <c r="P264" s="2" t="str">
        <f>_xlfn.XLOOKUP(B264,'Base stats'!B:B,'Base stats'!R:R)</f>
        <v>Standard</v>
      </c>
      <c r="Q264" s="13">
        <f>MROUND((LOG10(_xlfn.XLOOKUP(B264,'Base stats'!B:B,'Base stats'!AR:AR))*(AO264^0.5)+(_xlfn.XLOOKUP(B264,'Base stats'!B:B,'Base stats'!AR:AR)/1000)^(2/3)+_xlfn.XLOOKUP(B264,'Base stats'!B:B,'Base stats'!BA:BA)/2)+0.5,0.5)</f>
        <v>10</v>
      </c>
      <c r="R264" s="7">
        <f>IF(Q264="No","No",MAX(1,MROUND(_xlfn.XLOOKUP(B264,'Base stats'!B:B,'Base stats'!C:C)^0.165,0.05)))</f>
        <v>2.3000000000000003</v>
      </c>
      <c r="S264" s="13" t="str">
        <f>IF(_xlfn.XLOOKUP(_xlfn.XLOOKUP(B264,'Base stats'!B:B,'Base stats'!E:E),Groups!A:A,Groups!P:P)=0,"No",MROUND((LOG10(_xlfn.XLOOKUP(B264,'Base stats'!B:B,'Base stats'!AS:AS))*(AO264^0.5)+(_xlfn.XLOOKUP(B264,'Base stats'!B:B,'Base stats'!AS:AS)/1000)^(2/3)+_xlfn.XLOOKUP(B264,'Base stats'!B:B,'Base stats'!BA:BA))+_xlfn.XLOOKUP(B264,'Base stats'!B:B,'Base stats'!AY:AY)+0.5,0.5))</f>
        <v>No</v>
      </c>
      <c r="T264" s="7" t="str">
        <f>IF(S264="No","No",MAX(_xlfn.XLOOKUP(_xlfn.XLOOKUP(B264,'Base stats'!B:B,'Base stats'!E:E),Groups!A:A,Groups!Q:Q),MROUND(_xlfn.XLOOKUP(_xlfn.XLOOKUP(B264,'Base stats'!B:B,'Base stats'!E:E),Groups!A:A,Groups!Q:Q)*_xlfn.XLOOKUP(B264,'Base stats'!B:B,'Base stats'!C:C)^0.165,0.05)))</f>
        <v>No</v>
      </c>
      <c r="U264" s="7" t="str">
        <f>IF(S264="No","No",_xlfn.XLOOKUP(_xlfn.XLOOKUP(B264,'Base stats'!B:B,'Base stats'!E:E),Groups!A:A,Groups!R:R))</f>
        <v>No</v>
      </c>
      <c r="V264" s="7" t="str">
        <f>IF(S264="No","No",_xlfn.XLOOKUP(_xlfn.XLOOKUP(B264,'Base stats'!B:B,'Base stats'!E:E),Groups!A:A,Groups!S:S))</f>
        <v>No</v>
      </c>
      <c r="W264" s="7" t="str">
        <f>IF(S264="No","No",_xlfn.XLOOKUP(_xlfn.XLOOKUP(B264,'Base stats'!B:B,'Base stats'!E:E),Groups!A:A,Groups!T:T))</f>
        <v>No</v>
      </c>
      <c r="X264" s="13" t="str">
        <f>IF(_xlfn.XLOOKUP(B264,'Base stats'!B:B,'Base stats'!W:W)="No","No",MROUND((LOG10(_xlfn.XLOOKUP(B264,'Base stats'!B:B,'Base stats'!AU:AU))*(AO264^0.5)+(_xlfn.XLOOKUP(B264,'Base stats'!B:B,'Base stats'!AU:AU)/1000)^(2/3)+_xlfn.XLOOKUP(B264,'Base stats'!B:B,'Base stats'!AZ:AZ))+0.5+IF(_xlfn.XLOOKUP(_xlfn.XLOOKUP(B264,'Base stats'!B:B,'Base stats'!E:E),Groups!A:A,Groups!U:U)&lt;&gt;3,_xlfn.XLOOKUP(B264,'Base stats'!B:B,'Base stats'!BA:BA),0),0.5))</f>
        <v>No</v>
      </c>
      <c r="Y264" s="7" t="str">
        <f>IF(X264="No","No",MAX(_xlfn.XLOOKUP(_xlfn.XLOOKUP(B264,'Base stats'!B:B,'Base stats'!E:E),Groups!A:A,Groups!V:V),MROUND(_xlfn.XLOOKUP(_xlfn.XLOOKUP(B264,'Base stats'!B:B,'Base stats'!E:E),Groups!A:A,Groups!V:V)*_xlfn.XLOOKUP(B264,'Base stats'!B:B,'Base stats'!C:C)^0.165,0.05)))</f>
        <v>No</v>
      </c>
      <c r="Z264" s="7" t="str">
        <f>IF(X264="No","No",_xlfn.XLOOKUP(_xlfn.XLOOKUP(B264,'Base stats'!B:B,'Base stats'!E:E),Groups!A:A,Groups!W:W))</f>
        <v>No</v>
      </c>
      <c r="AA264" s="7" t="str">
        <f>IF(X264="No","No",_xlfn.XLOOKUP(_xlfn.XLOOKUP(B264,'Base stats'!B:B,'Base stats'!E:E),Groups!A:A,Groups!X:X))</f>
        <v>No</v>
      </c>
      <c r="AB264" s="7" t="str">
        <f>IF(X264="No","No",_xlfn.XLOOKUP(_xlfn.XLOOKUP(B264,'Base stats'!B:B,'Base stats'!E:E),Groups!A:A,Groups!Y:Y))</f>
        <v>No</v>
      </c>
      <c r="AC264" s="7" t="str">
        <f>_xlfn.XLOOKUP(Animals!B264,'Base stats'!B:B,'Base stats'!X:X)</f>
        <v>False</v>
      </c>
      <c r="AD264" s="13">
        <f>IF(_xlfn.XLOOKUP(B264,'Base stats'!B:B,'Base stats'!AT:AT)="No","No",MROUND((LOG10(_xlfn.XLOOKUP(B264,'Base stats'!B:B,'Base stats'!AT:AT))*(AO264^0.75)+(_xlfn.XLOOKUP(B264,'Base stats'!B:B,'Base stats'!AT:AT)/1000)^(2/3)+_xlfn.XLOOKUP(B264,'Base stats'!B:B,'Base stats'!AX:AX)+_xlfn.XLOOKUP(B264,'Base stats'!B:B,'Base stats'!BA:BA))+0.5,0.5))</f>
        <v>19.5</v>
      </c>
      <c r="AE264" s="7">
        <f>IF(AD264="No","No",MAX(_xlfn.XLOOKUP(_xlfn.XLOOKUP(B264,'Base stats'!B:B,'Base stats'!E:E),Groups!A:A,Groups!Z:Z),MROUND(_xlfn.XLOOKUP(_xlfn.XLOOKUP(B264,'Base stats'!B:B,'Base stats'!E:E),Groups!A:A,Groups!Z:Z)*_xlfn.XLOOKUP(B264,'Base stats'!B:B,'Base stats'!C:C)^0.165,0.05)))</f>
        <v>1.85</v>
      </c>
      <c r="AF264" s="7" t="str">
        <f>IF(AD264="No","No",_xlfn.XLOOKUP(_xlfn.XLOOKUP(B264,'Base stats'!B:B,'Base stats'!E:E),Groups!A:A,Groups!AA:AA))</f>
        <v>Teeth</v>
      </c>
      <c r="AG264" s="7" t="str">
        <f>IF(AD264="No","No",_xlfn.XLOOKUP(_xlfn.XLOOKUP(B264,'Base stats'!B:B,'Base stats'!E:E),Groups!A:A,Groups!AB:AB))</f>
        <v>canines</v>
      </c>
      <c r="AH264" s="7" t="str">
        <f>IF(AD264="No","No",_xlfn.XLOOKUP(_xlfn.XLOOKUP(B264,'Base stats'!B:B,'Base stats'!E:E),Groups!A:A,Groups!AC:AC))</f>
        <v>Bite</v>
      </c>
      <c r="AI264" s="13" t="str">
        <f>IF(_xlfn.XLOOKUP(_xlfn.XLOOKUP(B264,'Base stats'!B:B,'Base stats'!E:E),Groups!A:A,Groups!AD:AD)=0,"No",MROUND((LOG10(_xlfn.XLOOKUP(B264,'Base stats'!B:B,'Base stats'!AS:AS))*(AO264^0.75)+(_xlfn.XLOOKUP(B264,'Base stats'!B:B,'Base stats'!AS:AS)/1000)^(2/3)+_xlfn.XLOOKUP(B264,'Base stats'!B:B,'Base stats'!AY:AY)+_xlfn.XLOOKUP(B264,'Base stats'!B:B,'Base stats'!BA:BA))+0.5,0.5))</f>
        <v>No</v>
      </c>
      <c r="AJ264" s="7" t="str">
        <f>IF(AI264="No","No",MAX(_xlfn.XLOOKUP(_xlfn.XLOOKUP(B264,'Base stats'!B:B,'Base stats'!E:E),Groups!A:A,Groups!AE:AE),MROUND(_xlfn.XLOOKUP(_xlfn.XLOOKUP(B264,'Base stats'!B:B,'Base stats'!E:E),Groups!A:A,Groups!AE:AE)*IF(_xlfn.XLOOKUP(_xlfn.XLOOKUP(B264,'Base stats'!B:B,'Base stats'!E:E),Groups!A:A,Groups!AJ:AJ)="Photonozoa",0.6,1)*_xlfn.XLOOKUP(B264,'Base stats'!B:B,'Base stats'!C:C)^0.165,0.05)))</f>
        <v>No</v>
      </c>
      <c r="AK264" s="7" t="str">
        <f>IF(AI264="No","No",_xlfn.XLOOKUP(_xlfn.XLOOKUP(B264,'Base stats'!B:B,'Base stats'!E:E),Groups!A:A,Groups!AF:AF))</f>
        <v>No</v>
      </c>
      <c r="AL264" s="7" t="str">
        <f>IF(AI264="No","No",_xlfn.XLOOKUP(_xlfn.XLOOKUP(B264,'Base stats'!B:B,'Base stats'!E:E),Groups!A:A,Groups!AG:AG))</f>
        <v>No</v>
      </c>
      <c r="AM264" s="7" t="str">
        <f>IF(AI264="No","No",_xlfn.XLOOKUP(_xlfn.XLOOKUP(B264,'Base stats'!B:B,'Base stats'!E:E),Groups!A:A,Groups!AH:AH))</f>
        <v>No</v>
      </c>
      <c r="AN264" s="2">
        <f t="shared" si="28"/>
        <v>25</v>
      </c>
      <c r="AO264" s="2">
        <f>MROUND(IF(AND(_xlfn.XLOOKUP(B264,'Base stats'!B:B,'Base stats'!C:C)&gt;=0.5,_xlfn.XLOOKUP(B264,'Base stats'!B:B,'Base stats'!C:C)&lt;=0.8),
IF(_xlfn.XLOOKUP(B264,'Base stats'!B:B,'Base stats'!C:C)&lt;0.1,0.05,IF(_xlfn.XLOOKUP(B264,'Base stats'!B:B,'Base stats'!C:C)&lt;=70,(_xlfn.XLOOKUP(B264,'Base stats'!B:B,'Base stats'!C:C)/70)^0.426489913056526,IF(_xlfn.XLOOKUP(B264,'Base stats'!B:B,'Base stats'!C:C)&lt;=400,(_xlfn.XLOOKUP(B264,'Base stats'!B:B,'Base stats'!C:C)/70)^0.572811455315093,IF(_xlfn.XLOOKUP(B264,'Base stats'!B:B,'Base stats'!C:C)&lt;=2000,2.71391647193063*(_xlfn.XLOOKUP(B264,'Base stats'!B:B,'Base stats'!C:C)/400)^0.252459582904293,3.74314280240376*(_xlfn.XLOOKUP(B264,'Base stats'!B:B,'Base stats'!C:C)/2000)^0.357012633876913)))),
IF(_xlfn.XLOOKUP(B264,'Base stats'!B:B,'Base stats'!C:C)&lt;0.1,0.05,IF(_xlfn.XLOOKUP(B264,'Base stats'!B:B,'Base stats'!C:C)&lt;0.4,0.1,IF(_xlfn.XLOOKUP(B264,'Base stats'!B:B,'Base stats'!C:C)&lt;=70,(_xlfn.XLOOKUP(B264,'Base stats'!B:B,'Base stats'!C:C)/70)^0.445823913056526,IF(_xlfn.XLOOKUP(B264,'Base stats'!B:B,'Base stats'!C:C)&lt;=400,(_xlfn.XLOOKUP(B264,'Base stats'!B:B,'Base stats'!C:C)/70)^0.572811455315093,IF(_xlfn.XLOOKUP(B264,'Base stats'!B:B,'Base stats'!C:C)&lt;=2000,2.71391647193063*(_xlfn.XLOOKUP(B264,'Base stats'!B:B,'Base stats'!C:C)/400)^0.252459582904293,3.74314280240376*(_xlfn.XLOOKUP(B264,'Base stats'!B:B,'Base stats'!C:C)/2000)^0.357012633876913)))))),
IF(_xlfn.XLOOKUP(B264,'Base stats'!B:B,'Base stats'!C:C)&lt;0.1,0.05,IF(_xlfn.XLOOKUP(B264,'Base stats'!B:B,'Base stats'!C:C)&lt;=100,0.05,IF(_xlfn.XLOOKUP(B264,'Base stats'!B:B,'Base stats'!C:C)&lt;=250,0.1,IF(_xlfn.XLOOKUP(B264,'Base stats'!B:B,'Base stats'!C:C)&lt;=4000,0.25,0.5)))))</f>
        <v>1.6</v>
      </c>
      <c r="AP264" s="8">
        <f>MROUND(AO264*_xlfn.XLOOKUP(_xlfn.XLOOKUP(B264,'Base stats'!B:B,'Base stats'!E:E),Groups!A:A,Groups!AI:AI)*_xlfn.XLOOKUP(B264,'Base stats'!B:B,'Base stats'!Z:Z),0.05)</f>
        <v>1.9000000000000001</v>
      </c>
      <c r="AQ264" s="8">
        <f>MAX(0.01,MROUND(IF(CC264="True",0.196*(AO264*100*1000)^0.889,IF(_xlfn.XLOOKUP(_xlfn.XLOOKUP(B264,'Base stats'!B:B,'Base stats'!E:E),Groups!A:A,Groups!AJ:AJ)="Bird",10.5*(AO264*100*1000)^0.681,4.82*(AO264*100*1000)^0.734))/(4.82*(1*100*1000)^0.734)/IF(AO264&lt;3.5,2,IF(AO264=3.5,1.5,1.25))*(1+0.132282374779864/(AO264^0.994035016789033+0.00905238001496948)),0.05))</f>
        <v>0.75</v>
      </c>
      <c r="AR264" s="9">
        <f>IFERROR(MROUND(_xlfn.XLOOKUP(B264,'Base stats'!B:B,'Base stats'!H:H)/IF(_xlfn.XLOOKUP(B264,'Base stats'!B:B,'Base stats'!I:I)&lt;&gt;1,(122.5/70),1.2),IF(_xlfn.XLOOKUP(B264,'Base stats'!B:B,'Base stats'!H:H)&gt;=30,5,IF(_xlfn.XLOOKUP(B264,'Base stats'!B:B,'Base stats'!H:H)&gt;=15,3,IF(_xlfn.XLOOKUP(B264,'Base stats'!B:B,'Base stats'!H:H)&gt;=10,2,1)))),"Immortal")</f>
        <v>25</v>
      </c>
      <c r="AS264" s="35">
        <f>IFERROR(IF(OR(_xlfn.XLOOKUP(B264,'Base stats'!B:B,'Base stats'!F:F)="Atypical reproduction",_xlfn.XLOOKUP(B264,'Base stats'!B:B,'Base stats'!F:F)="Lay eggs"),"Lay eggs",MIN(20,MAX(5.5,ROUND(((_xlfn.XLOOKUP(B264,'Base stats'!B:B,'Base stats'!F:F)-25)*(14.5/615) + 5.5)*2,0)/2))),"Unknown")</f>
        <v>7.5</v>
      </c>
      <c r="AT264" s="8">
        <f>IF(_xlfn.XLOOKUP(B264,'Base stats'!B:B,'Base stats'!G:G)="Atypical reproduction","No",IFERROR(MAX(IF(_xlfn.XLOOKUP(B264,'Base stats'!B:B,'Base stats'!G:G)&lt;0.5,0.2,0.3),MROUND(_xlfn.XLOOKUP(B264,'Base stats'!B:B,'Base stats'!G:G)/(365/60),0.2)),"Unknown"))</f>
        <v>0.4</v>
      </c>
      <c r="AU264" s="8">
        <f t="shared" si="29"/>
        <v>0.2</v>
      </c>
      <c r="AV264" s="8">
        <f>IFERROR(IFERROR(MROUND(_xlfn.XLOOKUP(B264,'Base stats'!B:B,'Base stats'!J:J),0.1),"Lay eggs"),"Cannot breed")</f>
        <v>2</v>
      </c>
      <c r="AW264" s="2" t="str">
        <f t="shared" si="30"/>
        <v>true</v>
      </c>
      <c r="AX264" s="2" t="str">
        <f>IF(_xlfn.XLOOKUP(_xlfn.XLOOKUP(Animals!B264,'Base stats'!B:B,'Base stats'!E:E),Groups!A:A,Groups!AK:AK)=1,"true","false")</f>
        <v>false</v>
      </c>
      <c r="AY264" s="25" t="str">
        <f>IF(_xlfn.XLOOKUP(B264,'Base stats'!B:B,'Base stats'!Y:Y)="Liquor","Liquor, CarnivoreAnimalStrict",IF(AND(_xlfn.XLOOKUP(B264,'Base stats'!B:B,'Base stats'!Y:Y)="Carnivore",_xlfn.XLOOKUP(_xlfn.XLOOKUP(B264,'Base stats'!B:B,'Base stats'!E:E),Groups!A:A,Groups!AJ:AJ)="Photonozoa"),"CarnivoreAnimalStrict, OvivoreAnimal",IF(_xlfn.XLOOKUP(B264,'Base stats'!B:B,'Base stats'!Y:Y)="Carnivore","CarnivoreAnimal, OvivoreAnimal",IF(_xlfn.XLOOKUP(B264,'Base stats'!B:B,'Base stats'!Y:Y)="Dendrovore","VegetarianRoughAnimal, DendrovoreAnimal",IF(_xlfn.XLOOKUP(B264,'Base stats'!B:B,'Base stats'!Y:Y)="Herbivore","VegetarianRoughAnimal",IF(_xlfn.XLOOKUP(B264,'Base stats'!B:B,'Base stats'!Y:Y)="OmnivoreRough","OmnivoreRoughAnimal, OvivoreAnimal","OmnivoreAnimal, OvivoreAnimal"))))))</f>
        <v>CarnivoreAnimal, OvivoreAnimal</v>
      </c>
      <c r="AZ264" s="2" t="str">
        <f>IF(_xlfn.XLOOKUP(_xlfn.XLOOKUP(B264,'Base stats'!B:B,'Base stats'!E:E),Groups!A:A,Groups!D:D)=1,MROUND((1-J264)*5+1,2)*IF(J264&lt;=0.4,2,1),"No")</f>
        <v>No</v>
      </c>
      <c r="BA264" s="2" t="str">
        <f>IF(AND(_xlfn.XLOOKUP(B264,'Base stats'!B:B,'Base stats'!AH:AH)="&lt;li&gt;Seal&lt;/li&gt;",G264="Odyssey"),"&lt;li&gt;AEXP_Seal&lt;/li&gt;",_xlfn.XLOOKUP(B264,'Base stats'!B:B,'Base stats'!AH:AH))</f>
        <v>&lt;li&gt;Iguana&lt;/li&gt;</v>
      </c>
      <c r="BB264" s="2" t="str">
        <f>_xlfn.XLOOKUP(B264,'Base stats'!B:B,'Base stats'!AG:AG)</f>
        <v>Leather_Lizard</v>
      </c>
      <c r="BC264" s="23" t="str">
        <f>_xlfn.XLOOKUP(_xlfn.XLOOKUP(B264,'Base stats'!B:B,'Base stats'!E:E),Groups!A:A,Groups!AL:AL)</f>
        <v>QuadrupedAnimalWithPawsAndTail</v>
      </c>
      <c r="BD264" s="23">
        <f>MIN(1,MROUND(IF(AND(AO264&lt;0.5,_xlfn.XLOOKUP(B264,'Base stats'!B:B,'Base stats'!AA:AA)=0),0,IF(OR(_xlfn.XLOOKUP(Animals!B264,'Base stats'!B:B,'Base stats'!O:O)=2,_xlfn.XLOOKUP(_xlfn.XLOOKUP(B264,'Base stats'!B:B,'Base stats'!E:E),Groups!A:A,Groups!AN:AN)=0),0,_xlfn.XLOOKUP(_xlfn.XLOOKUP(B264,'Base stats'!B:B,'Base stats'!E:E),Groups!A:A,Groups!AN:AN)/IF(_xlfn.XLOOKUP(Animals!B264,'Base stats'!B:B,'Base stats'!O:O)=1,2,1)))+_xlfn.XLOOKUP(B264,'Base stats'!B:B,'Base stats'!AC:AC),0.005))</f>
        <v>0.1</v>
      </c>
      <c r="BE264" s="23">
        <f>MIN(1,MROUND(IF(AND(AO264&lt;0.5,_xlfn.XLOOKUP(B264,'Base stats'!B:B,'Base stats'!AA:AA)=0),0,IF(_xlfn.XLOOKUP(_xlfn.XLOOKUP(B264,'Base stats'!B:B,'Base stats'!E:E),Groups!A:A,Groups!AO:AO)=0,0,_xlfn.XLOOKUP(_xlfn.XLOOKUP(B264,'Base stats'!B:B,'Base stats'!E:E),Groups!A:A,Groups!AO:AO)/IF(_xlfn.XLOOKUP(Animals!B264,'Base stats'!B:B,'Base stats'!O:O)=2,3,1)))+_xlfn.XLOOKUP(B264,'Base stats'!B:B,'Base stats'!AD:AD),0.005))</f>
        <v>0.3</v>
      </c>
      <c r="BF264" s="2" t="str">
        <f>IF(J264&gt;0.3,"No",_xlfn.XLOOKUP(_xlfn.XLOOKUP(Animals!B264,'Base stats'!B:B,'Base stats'!E:E),Groups!A:A,Groups!AP:AP))</f>
        <v>No</v>
      </c>
      <c r="BG264" s="2" t="str">
        <f>IF(AND(J264&lt;=0.65,_xlfn.XLOOKUP(_xlfn.XLOOKUP(Animals!B264,'Base stats'!B:B,'Base stats'!E:E),Groups!A:A,Groups!AP:AP)&lt;&gt;"No",_xlfn.XLOOKUP(_xlfn.XLOOKUP(B264,'Base stats'!B:B,'Base stats'!E:E),Groups!A:A,Groups!D:D)=0),MROUND((80/3)*IF(_xlfn.XLOOKUP(B264,'Base stats'!B:B,'Base stats'!O:O)=2,0.2,AO264) + 24*(1-IF(BF264="No",0,BF264)) + 16/3, 12),"No")</f>
        <v>No</v>
      </c>
      <c r="BH264" s="2">
        <f>IF(AND(_xlfn.XLOOKUP(_xlfn.XLOOKUP(B264,'Base stats'!B:B,'Base stats'!E:E),Groups!A:A,Groups!AQ:AQ)=1,AO264&lt;=0.35),8,12)</f>
        <v>12</v>
      </c>
      <c r="BI264" s="2" t="str">
        <f>IF(_xlfn.XLOOKUP(_xlfn.XLOOKUP(B264,'Base stats'!B:B,'Base stats'!E:E),Groups!A:A,Groups!D:D)=0,_xlfn.XLOOKUP(_xlfn.XLOOKUP(B264,'Base stats'!B:B,'Base stats'!E:E),Groups!A:A,Groups!AR:AR),"None")</f>
        <v>Advanced</v>
      </c>
      <c r="BJ264" s="2" t="str">
        <f>IF(AND(_xlfn.XLOOKUP(_xlfn.XLOOKUP(B264,'Base stats'!B:B,'Base stats'!E:E),Groups!A:A,Groups!AS:AS)=1,OR(_xlfn.XLOOKUP(B264,'Base stats'!B:B,'Base stats'!Y:Y)="Carnivore",_xlfn.XLOOKUP(B264,'Base stats'!B:B,'Base stats'!Y:Y)="Omnivore")),"true","false")</f>
        <v>true</v>
      </c>
      <c r="BK264" s="2">
        <f>IF(BJ264="true",MROUND(IF(AND(AO264&gt;0.5,OR(_xlfn.XLOOKUP(_xlfn.XLOOKUP(B264,'Base stats'!B:B,'Base stats'!E:E),Groups!A:A,Groups!AJ:AJ)="Photonozoa",_xlfn.XLOOKUP(_xlfn.XLOOKUP(B264,'Base stats'!B:B,'Base stats'!E:E),Groups!A:A,Groups!AJ:AJ)="Mammal")),Animals!AO264*1.75*IF(AW264="true",1.5,1),IF(AO264&lt;0.5,Animals!AO264*0.5,Animals!AO264)),IF(AO264&gt;2,0.5,IF(AO264&gt;0.5,0.25,0.1))),"No")</f>
        <v>4.25</v>
      </c>
      <c r="BL264" s="2">
        <f t="shared" si="31"/>
        <v>1</v>
      </c>
      <c r="BM264" s="25" t="str">
        <f>IF(_xlfn.XLOOKUP(B264,'Base stats'!B:B,'Base stats'!AN:AN)="Standard","No",MROUND((_xlfn.XLOOKUP(B264,'Base stats'!B:B,'Base stats'!AN:AN)/3.6)/I264,0.1))</f>
        <v>No</v>
      </c>
      <c r="BN264" s="25" t="str">
        <f t="shared" si="32"/>
        <v>false</v>
      </c>
      <c r="BO264" s="25" t="str">
        <f>IF(AND(OR(_xlfn.XLOOKUP(B264,'Base stats'!B:B,'Base stats'!Y:Y)="Carnivore",_xlfn.XLOOKUP(B264,'Base stats'!B:B,'Base stats'!Y:Y)="Omnivore",_xlfn.XLOOKUP(B264,'Base stats'!B:B,'Base stats'!Y:Y)="OmnivoreRough"),_xlfn.XLOOKUP(_xlfn.XLOOKUP(B264,'Base stats'!B:B,'Base stats'!E:E),Groups!A:A,Groups!AT:AT)=1),"true","false")</f>
        <v>false</v>
      </c>
      <c r="BP264" s="25" t="str" cm="1">
        <f t="array" ref="BP264">IF(
  _xlfn.TEXTJOIN(", ",TRUE,
    IF(AND(BJ264="true",AO264&gt;0.5,BI264&lt;&gt;"None"),"AttackTarget",""),
    IF(AND(_xlfn.XLOOKUP(_xlfn.XLOOKUP(B264,'Base stats'!B:B,'Base stats'!E:E),Groups!A:A,Groups!AJ:AJ="Mammal"),OR(_xlfn.XLOOKUP(B264,'Base stats'!B:B,'Base stats'!Y:Y)="Omnivore",_xlfn.XLOOKUP(B264,'Base stats'!B:B,'Base stats'!Y:Y)="OmnivoreRough")),"Forage",""),
    IF(BG264&lt;=36,"Comfort",""),
    IF(_xlfn.XLOOKUP(B264,'Base stats'!B:B,'Base stats'!AE:AE)&lt;&gt;"No",_xlfn.XLOOKUP(B264,'Base stats'!B:B,'Base stats'!AE:AE),"")
  ) = "",
  "No",
  _xlfn.TEXTJOIN(", ",TRUE,
    IF(AND(BJ264="true",AO264&gt;0.5,BI264&lt;&gt;"None"),"AttackTarget",""),
    IF(AND(_xlfn.XLOOKUP(_xlfn.XLOOKUP(B264,'Base stats'!B:B,'Base stats'!E:E),Groups!A:A,Groups!AJ:AJ="Mammal"),OR(_xlfn.XLOOKUP(B264,'Base stats'!B:B,'Base stats'!Y:Y)="Omnivore",_xlfn.XLOOKUP(B264,'Base stats'!B:B,'Base stats'!Y:Y)="OmnivoreRough")),"Forage",""),
    IF(BG264&lt;=36,"Comfort",""),
    IF(_xlfn.XLOOKUP(B264,'Base stats'!B:B,'Base stats'!AE:AE)&lt;&gt;"No",_xlfn.XLOOKUP(B264,'Base stats'!B:B,'Base stats'!AE:AE),"")
  )
)</f>
        <v>AttackTarget</v>
      </c>
      <c r="BQ264" s="25" t="str">
        <f>IF(
   AND(
      'Base stats'!AN264="Standard",_xlfn.XLOOKUP(_xlfn.XLOOKUP(B264,'Base stats'!B:B,'Base stats'!E:E),Groups!A:A,Groups!AU:AU)=0,
      OR(
      BO264="True"
      )
   ),
   10,
   IF(
       OR(BM264&lt;&gt;"No",_xlfn.XLOOKUP(_xlfn.XLOOKUP(B264,'Base stats'!B:B,'Base stats'!E:E),Groups!A:A,Groups!AU:AU)=1),
      1,
      "No"
   )
)</f>
        <v>No</v>
      </c>
      <c r="BR264" s="9">
        <f>MROUND((1 + ((0.2*IF(OR(Q264="No",R264="No",R264=0),0,Q264/R264)
+IF(OR(V264="No",S264="No",T264="No"),0,S264/T264*(LEN(V264)-LEN(SUBSTITUTE(V264,",",""))+1))
+IF(OR(X264="No",Y264="No"),0,X264/Y264)
+IF(OR(AD264="No",AE264="No"),0,AD264/AE264)
+IF(OR(AL264="No",AI264="No",AJ264="No"),0,AI264/AJ264*(LEN(AL264)-LEN(SUBSTITUTE(AL264,",",""))+1))
)/(0.2*IF(OR(Q264="No",R264="No",R264=0),0,1)
+IF(OR(V264="No",S264="No",T264="No"),0,LEN(V264)-LEN(SUBSTITUTE(V264,",",""))+1)
+IF(OR(X264="No",Y264="No"),0,1)
+IF(OR(AD264="No",AE264="No"),0,1)
+IF(OR(AL264="No",AI264="No",AJ264="No"),0,LEN(AL264)-LEN(SUBSTITUTE(AL264,",",""))+1))*62%)* 2)*(1 + (AP264 / (IF(_xlfn.XLOOKUP(_xlfn.XLOOKUP(B264,'Base stats'!B:B,'Base stats'!E:E),Groups!A:A,Groups!AJ:AJ)="Photonozoa",0.3,1)) + _xlfn.XLOOKUP(B264,'Base stats'!B:B,'Base stats'!AV:AV) * 1.8) * 2) * 2.5 + 10 + I264 * 2,5)+IF(_xlfn.XLOOKUP(B264,'Base stats'!B:B,'Base stats'!AK:AK)=1,50,0)</f>
        <v>180</v>
      </c>
      <c r="BS264" s="8">
        <f t="shared" si="33"/>
        <v>0.9</v>
      </c>
      <c r="BT264" s="8" t="str">
        <f>_xlfn.XLOOKUP(B264,'Base stats'!B:B,'Base stats'!AF:AF)</f>
        <v>2~6</v>
      </c>
      <c r="BU264" s="2" t="str">
        <f>IF(AND(J264&lt;=0.95,OR(_xlfn.XLOOKUP(B264,'Base stats'!B:B,'Base stats'!AK:AK)=1,_xlfn.XLOOKUP(B264,'Base stats'!B:B,'Base stats'!Y:Y)="Carnivore",_xlfn.XLOOKUP(B264,'Base stats'!B:B,'Base stats'!Y:Y)="Omnivore",BE264&gt;0.1)),"true","false")</f>
        <v>true</v>
      </c>
      <c r="BV264" s="2" t="str">
        <f>IF(_xlfn.XLOOKUP(B264,'Base stats'!B:B,'Base stats'!AI:AI)=1,"true","false")</f>
        <v>false</v>
      </c>
      <c r="BW264" s="25" t="str">
        <f>IF(E264="BaseInsect","AnimalInsect",
IF(J264&gt;0.95,"AnimalExotic",
_xlfn.TEXTJOIN(", ",TRUE,
IF(OR(_xlfn.XLOOKUP(B264,'Base stats'!B:B,'Base stats'!AM:AM)=1,AND(_xlfn.XLOOKUP(B264,'Base stats'!B:B,'Base stats'!O:O)=0,_xlfn.XLOOKUP(_xlfn.XLOOKUP(B264,'Base stats'!B:B,'Base stats'!E:E),Groups!A:A,Groups!B:B)&gt;0)),"AnimalUncommon","AnimalCommon"),
IF(AND(_xlfn.XLOOKUP(B264,'Base stats'!B:B,'Base stats'!O:O)=2,_xlfn.XLOOKUP(_xlfn.XLOOKUP(B264,'Base stats'!B:B,'Base stats'!E:E),Groups!A:A,Groups!D:D)=0),"AnimalPet",IF(AND(_xlfn.XLOOKUP(B264,'Base stats'!B:B,'Base stats'!O:O)&lt;&gt;0,_xlfn.XLOOKUP(_xlfn.XLOOKUP(B264,'Base stats'!B:B,'Base stats'!E:E),Groups!A:A,Groups!D:D)&lt;&gt;0),"AnimalFarm","")),
IF(OR(_xlfn.XLOOKUP(B264,'Base stats'!B:B,'Base stats'!AK:AK)=1,AND(BI264&lt;&gt;"None",BR264&gt;=60),ISNUMBER(SEARCH("Attack target",BP264))),"AnimalFighter","")
)))</f>
        <v>AnimalUncommon, AnimalFighter</v>
      </c>
      <c r="BX264" s="25" t="str">
        <f>IF(G264="None",TRIM(
SUBSTITUTE(
IF(COUNTIF(Biomes!B$2:B$259,"="&amp;$C264)&gt;0,Biomes!B$1&amp;", ","")&amp;
IF(COUNTIF(Biomes!C$2:C$259,"="&amp;$C264)&gt;0,Biomes!C$1&amp;", ","")&amp;
IF(COUNTIF(Biomes!D$2:D$259,"="&amp;$C264)&gt;0,Biomes!D$1&amp;", ","")&amp;
IF(COUNTIF(Biomes!F$2:F$259,"="&amp;$C264)&gt;0,Biomes!F$1&amp;", ","")&amp;
IF(COUNTIF(Biomes!G$2:G$259,"="&amp;$C264)&gt;0,Biomes!G$1&amp;", ","")&amp;
IF(COUNTIF(Biomes!H$2:H$259,"="&amp;$C264)&gt;0,Biomes!H$1&amp;", ","")&amp;
IF(COUNTIF(Biomes!I$2:I$259,"="&amp;$C264)&gt;0,Biomes!I$1&amp;", ","")&amp;
IF(COUNTIF(Biomes!J$2:J$259,"="&amp;$C264)&gt;0,Biomes!J$1&amp;", ","")&amp;
IF(COUNTIF(Biomes!M$2:M$259,"="&amp;$C264)&gt;0,Biomes!M$1&amp;", ","")&amp;
IF(COUNTIF(Biomes!N$2:N$259,"="&amp;$C264)&gt;0,Biomes!N$1&amp;", ","")&amp;
IF(COUNTIF(Biomes!O$2:O$259,"="&amp;$C264)&gt;0,Biomes!O$1&amp;", ","")&amp;
IF(COUNTIF(Biomes!P$2:P$259,"="&amp;$C264)&gt;0,Biomes!P$1&amp;", ","")&amp;
IF(COUNTIF(Biomes!K$2:K$259,"="&amp;$C264)&gt;0,Biomes!K$1&amp;", ","")&amp;
IF(COUNTIF(Biomes!Q$3:Q$259,"="&amp;$C264)&gt;0,Biomes!Q$1&amp;", ","")&amp;
IF(COUNTIF(Biomes!L$2:L$259,"="&amp;$C264)&gt;0,Biomes!L$1&amp;", ","")&amp;
IF(COUNTIF(Biomes!E$2:E$259,"="&amp;$C264)&gt;0,Biomes!E$1&amp;", ","")&amp;IF(COUNTIF(Biomes!S$2:S$259,"="&amp;$C264)&gt;0,Biomes!S$1&amp;", ","")&amp;
IF(COUNTIF(Biomes!R$2:R$259,"="&amp;$C264)&gt;0,Biomes!R$1&amp;", ",""),", ","")
),_xlfn.XLOOKUP(B264,B:B,BX:BX))</f>
        <v>AridShrubland Desert Grasslands LavaField</v>
      </c>
      <c r="BY264" s="25" t="str">
        <f>IF(_xlfn.XLOOKUP(B264,'Base stats'!B:B,'Base stats'!AJ:AJ)=1,"true","false")</f>
        <v>false</v>
      </c>
      <c r="BZ264" s="25">
        <f>IF(_xlfn.XLOOKUP(B264,'Base stats'!B:B,'Base stats'!N:N)=1,"No",MAX(0.001,MIN(MROUND(IF(AND(BJ264="True",CC264="False"),POWER(10,3.47*LOG10(_xlfn.XLOOKUP(B264,'Base stats'!B:B,'Base stats'!C:C)*1000)^-0.96),POWER(10,4.15*LOG10(_xlfn.XLOOKUP(B264,'Base stats'!B:B,'Base stats'!C:C)*1000)^-0.73))*IF(_xlfn.XLOOKUP(B264,'Base stats'!B:B,'Base stats'!AK:AK)=1,0.5,1)*IF(_xlfn.XLOOKUP(B264,'Base stats'!B:B,'Base stats'!AM:AM)=1,0.1,1)/100,IF(_xlfn.XLOOKUP(B264,'Base stats'!B:B,'Base stats'!AM:AM)=1,0.001,0.025)),0.5)))</f>
        <v>5.0000000000000001E-3</v>
      </c>
      <c r="CA264" s="25" t="str">
        <f>IF(P264="Standard","No",MAX(0.001,MIN(MROUND(IF(AND(BJ264="True",CC264="False"),POWER(10,3.47*LOG10(_xlfn.XLOOKUP(B264,'Base stats'!B:B,'Base stats'!C:C)*1000)^-0.96),POWER(10,4.15*LOG10(_xlfn.XLOOKUP(B264,'Base stats'!B:B,'Base stats'!C:C)*1000)^-0.73))*IF(_xlfn.XLOOKUP(B264,'Base stats'!B:B,'Base stats'!AM:AM)=1,0.1,1)*_xlfn.XLOOKUP(B264,'Base stats'!B:B,'Base stats'!R:R)/100,IF(_xlfn.XLOOKUP(B264,'Base stats'!B:B,'Base stats'!AM:AM)=1,0.001,0.025)),0.5)))</f>
        <v>No</v>
      </c>
      <c r="CB264" s="25" t="str">
        <f>IF(_xlfn.XLOOKUP(_xlfn.XLOOKUP(B264,'Base stats'!B:B,'Base stats'!E:E),Groups!A:A,Groups!AJ:AJ)="Mammal","True","False")</f>
        <v>True</v>
      </c>
      <c r="CC264" s="25" t="str">
        <f>IF(OR(_xlfn.XLOOKUP(_xlfn.XLOOKUP(B264,'Base stats'!B:B,'Base stats'!E:E),Groups!A:A,Groups!AJ:AJ)="Reptile",_xlfn.XLOOKUP(_xlfn.XLOOKUP(B264,'Base stats'!B:B,'Base stats'!E:E),Groups!A:A,Groups!AJ:AJ)="Amphibian",_xlfn.XLOOKUP(_xlfn.XLOOKUP(B264,'Base stats'!B:B,'Base stats'!E:E),Groups!A:A,Groups!AJ:AJ)="Invertebrate"),"True","False")</f>
        <v>False</v>
      </c>
      <c r="CD264" s="25" t="str">
        <f t="shared" si="34"/>
        <v>False</v>
      </c>
      <c r="CE264" s="25" t="str">
        <f>IF(_xlfn.XLOOKUP(_xlfn.XLOOKUP(B264,'Base stats'!B:B,'Base stats'!E:E),Groups!A:A,Groups!AX:AX),"True","False")</f>
        <v>False</v>
      </c>
      <c r="CF264" s="25" t="str">
        <f>IF(_xlfn.XLOOKUP(_xlfn.XLOOKUP(B264,'Base stats'!B:B,'Base stats'!E:E),Groups!A:A,Groups!AY:AY),"True","False")</f>
        <v>False</v>
      </c>
      <c r="CG264" s="25" t="str">
        <f>IF(_xlfn.XLOOKUP(_xlfn.XLOOKUP(B264,'Base stats'!B:B,'Base stats'!E:E),Groups!A:A,Groups!AW:AW),"True","False")</f>
        <v>False</v>
      </c>
      <c r="CH264" s="25" t="str">
        <f>IF(
OR(
_xlfn.XLOOKUP(_xlfn.XLOOKUP(B264,'Base stats'!B:B,'Base stats'!E:E),Groups!A:A,Groups!AZ:AZ)=0,
AND(
_xlfn.XLOOKUP(B264,'Base stats'!B:B,'Base stats'!Y:Y)&lt;&gt;"Carnivore",
_xlfn.XLOOKUP(B264,'Base stats'!B:B,'Base stats'!Y:Y)&lt;&gt;"Omnivore",
_xlfn.XLOOKUP(B264,'Base stats'!B:B,'Base stats'!Y:Y)&lt;&gt;"OmnivoreRough"
)
),
"No",
IF(
_xlfn.XLOOKUP(_xlfn.XLOOKUP(B264,'Base stats'!B:B,'Base stats'!E:E),Groups!A:A,Groups!AZ:AZ)=1,
"Flesh",
IF(
_xlfn.XLOOKUP(_xlfn.XLOOKUP(B264,'Base stats'!B:B,'Base stats'!E:E),Groups!A:A,Groups!AZ:AZ)=2,
"Bone",
""
)
)
)</f>
        <v>Bone</v>
      </c>
      <c r="CI264" s="25" t="str">
        <f>IF(_xlfn.XLOOKUP(_xlfn.XLOOKUP(B264,'Base stats'!B:B,'Base stats'!E:E),Groups!A:A,Groups!BB:BB),"True","False")</f>
        <v>True</v>
      </c>
      <c r="CJ264" s="25" t="str">
        <f>IF(_xlfn.XLOOKUP(_xlfn.XLOOKUP(B264,'Base stats'!B:B,'Base stats'!E:E),Groups!A:A,Groups!BA:BA),"True","False")</f>
        <v>False</v>
      </c>
    </row>
    <row r="265" spans="1:88" ht="16.5" thickTop="1" thickBot="1" x14ac:dyDescent="0.3">
      <c r="A265" s="26" t="s">
        <v>1436</v>
      </c>
      <c r="B265" s="6" t="str">
        <f>_xlfn.XLOOKUP(A265,'Base stats'!A:A,'Base stats'!B:B)</f>
        <v>Oculus viventis</v>
      </c>
      <c r="C265" s="28" t="s">
        <v>1437</v>
      </c>
      <c r="D265" s="28" t="s">
        <v>1341</v>
      </c>
      <c r="E265" s="28" t="s">
        <v>673</v>
      </c>
      <c r="F265" s="28" t="s">
        <v>673</v>
      </c>
      <c r="G265" s="28" t="s">
        <v>673</v>
      </c>
      <c r="H265" s="2">
        <f>MROUND((
  (IF(AND(_xlfn.XLOOKUP(B265,'Base stats'!B:B,'Base stats'!AL:AL)=0,BI265="None",_xlfn.XLOOKUP(_xlfn.XLOOKUP(B265,'Base stats'!B:B,'Base stats'!E:E),Groups!A:A,Groups!B:B)=0), (18 + BR265 * 2.7) * 0.5,
    IF(AND(_xlfn.XLOOKUP(B265,'Base stats'!B:B,'Base stats'!AL:AL)=0,OR(AO265&lt;0.55,AND(BI265="Intermediate",_xlfn.XLOOKUP(_xlfn.XLOOKUP(B265,'Base stats'!B:B,'Base stats'!E:E),Groups!A:A,Groups!B:B)&lt;2))), (18 + BR265 * 2.7),
      IF(OR(BI265="Advanced",_xlfn.XLOOKUP(B265,'Base stats'!B:B,'Base stats'!AL:AL)=1,_xlfn.XLOOKUP(_xlfn.XLOOKUP(B265,'Base stats'!B:B,'Base stats'!E:E),Groups!A:A,Groups!B:B)=2), (18 + BR265 * 2.7) + 250, (18 + BR265 * 2.7))
    )
  ))
  + AO265 * 80
  + IF(COUNTIF(EggMilk!K$2:K$998, A265) &gt; 0, 125, 0)
  + IF(COUNTIF(EggMilk!P$2:P$998, A265) &gt; 0, 90, 0)
  + IF(COUNTIF(EggMilk!A$2:A$998, A265) &gt; 0, 90, 0)
)
* (0.8 + 0.4 * J265)
* 0.75,25)</f>
        <v>100</v>
      </c>
      <c r="I265" s="2">
        <f>MROUND(ROUNDDOWN(_xlfn.XLOOKUP(B265,'Base stats'!B:B,'Base stats'!L:L)/3.6/(23.3/11),1),0.5)</f>
        <v>1.5</v>
      </c>
      <c r="J265" s="2">
        <f>IF(OR(_xlfn.XLOOKUP(B265,'Base stats'!B:B,'Base stats'!AB:AB)=1,_xlfn.XLOOKUP(_xlfn.XLOOKUP(B265,'Base stats'!B:B,'Base stats'!E:E),Groups!A:A,Groups!C:C)="Untamable"),1,IF(_xlfn.XLOOKUP(B265,'Base stats'!B:B,'Base stats'!AL:AL)=1,0.99,MIN(MROUND((1-0.6282*EXP(-0.459*AO265))*_xlfn.XLOOKUP(_xlfn.XLOOKUP(B265,'Base stats'!B:B,'Base stats'!E:E),Groups!A:A,Groups!C:C)*IF(_xlfn.XLOOKUP(B265,'Base stats'!B:B,'Base stats'!O:O)=1,0.5,IF(_xlfn.XLOOKUP(B265,'Base stats'!B:B,'Base stats'!O:O)=2,0,1)),0.05),IF(AO265&gt;3.5,0.985,0.95))))</f>
        <v>0.5</v>
      </c>
      <c r="K265" s="2">
        <f>ROUNDUP(AO265*_xlfn.XLOOKUP(_xlfn.XLOOKUP(B265,'Base stats'!B:B,'Base stats'!E:E),Groups!A:A,Groups!E:E),0)</f>
        <v>1</v>
      </c>
      <c r="L265" s="2">
        <f>IF(OR(_xlfn.XLOOKUP(_xlfn.XLOOKUP(B265,'Base stats'!B:B,'Base stats'!E:E),Groups!A:A,Groups!F:F)=2,ISNUMBER(SEARCH("SeaIce",BX265)),ISNUMBER(SEARCH("IceSheet",BX265))),-50,IF(OR(ISNUMBER(SEARCH("GlacialPlain",BX265)),ISNUMBER(SEARCH("Tundra",BX265))),-40,IF(OR(ISNUMBER(SEARCH("Alpine",BX265)),ISNUMBER(SEARCH("BorealForest",BX265)),ISNUMBER(SEARCH("ColdBog",BX265))),-30,IF(OR(ISNUMBER(SEARCH("TemperateForest",BX265)),ISNUMBER(SEARCH("TemperateSwamp",BX265))),-20,IF(_xlfn.XLOOKUP(_xlfn.XLOOKUP(B265,'Base stats'!B:B,'Base stats'!E:E),Groups!A:A,Groups!F:F)=1,-15,IF(OR(ISNUMBER(SEARCH("Desert",BX265)),ISNUMBER(SEARCH("ExtremeDesert",BX265))),-10,IF(OR(ISNUMBER(SEARCH("Grasslands",BX265)),ISNUMBER(SEARCH("TropicalRainforest",BX265)),ISNUMBER(SEARCH("TropicalSwamp",BX265))),10,0)))))))-IF(CC265="False",MIN(IFERROR(MAX(MROUND(LOG10(_xlfn.XLOOKUP(B265,'Base stats'!B:B,'Base stats'!C:C)^(2/3))*10,5),5),5),30))-_xlfn.XLOOKUP(B265,'Base stats'!B:B,'Base stats'!P:P)+IF(CC265="True",5,0)</f>
        <v>5</v>
      </c>
      <c r="M265" s="2">
        <f>IF(OR(_xlfn.XLOOKUP(_xlfn.XLOOKUP(B265,'Base stats'!B:B,'Base stats'!E:E),Groups!A:A,Groups!G:G)=2,ISNUMBER(SEARCH("Desert",BX265)),ISNUMBER(SEARCH("ExtremeDesert",BX265)),ISNUMBER(SEARCH("LavaField",BX265))),50,IF(ISNUMBER(SEARCH("Grasslands",BX265)),45,IF(OR(_xlfn.XLOOKUP(_xlfn.XLOOKUP(B265,'Base stats'!B:B,'Base stats'!E:E),Groups!A:A,Groups!G:G)=1,ISNUMBER(SEARCH("TropicalRainforest",BX265)),ISNUMBER(SEARCH("TropicalSwamp",BX265))),40,IF(OR(ISNUMBER(SEARCH("TemperateForest",BX265)),ISNUMBER(SEARCH("TemperateSwamp",BX265))),35,IF(OR(ISNUMBER(SEARCH("Alpine",BX265)),ISNUMBER(SEARCH("BorealForest",BX265)),ISNUMBER(SEARCH("ColdBog",BX265))),30,IF(ISNUMBER(OR(ISNUMBER(SEARCH("GlacialPlain",BX265)),SEARCH("Tundra",BX265))),25,IF(OR(ISNUMBER(SEARCH("SeaIce",BX265)),ISNUMBER(SEARCH("IceSheet",BX265)),ISNUMBER(SEARCH("TropicalSwamp",BX265))),10,35)))))))+_xlfn.XLOOKUP(B265,'Base stats'!B:B,'Base stats'!Q:Q)</f>
        <v>35</v>
      </c>
      <c r="N265" s="8" t="str">
        <f>IF(
_xlfn.XLOOKUP(
_xlfn.XLOOKUP(B265,'Base stats'!B:B,'Base stats'!E:E),
Groups!A:A,
Groups!L:L
)=1,
MIN(
MROUND(
IF(
_xlfn.XLOOKUP(B265,'Animals CE'!B:B,'Animals CE'!Z:Z)&lt;=1.5,
_xlfn.XLOOKUP(B265,'Animals CE'!B:B,'Animals CE'!Z:Z)/2+0.05,
0.8+
(_xlfn.XLOOKUP(B265,'Animals CE'!B:B,'Animals CE'!Z:Z)-1.5)
*0.02
),
0.05
),
200%
),
"No"
)</f>
        <v>No</v>
      </c>
      <c r="O265" s="8" t="str">
        <f>IF(
_xlfn.XLOOKUP(
_xlfn.XLOOKUP(B265,'Base stats'!B:B,'Base stats'!E:E),
Groups!A:A,
Groups!L:L
)=1,
MIN(
MROUND(
IF(
_xlfn.XLOOKUP(B265,'Animals CE'!B:B,'Animals CE'!AA:AA)&lt;=1.5,
_xlfn.XLOOKUP(B265,'Animals CE'!B:B,'Animals CE'!AA:AA)/2+0.05,
0.8+
(_xlfn.XLOOKUP(B265,'Animals CE'!B:B,'Animals CE'!AA:AA)-1.5)
*0.02
),
0.05
),
200%
),
"No"
)</f>
        <v>No</v>
      </c>
      <c r="P265" s="2" t="str">
        <f>_xlfn.XLOOKUP(B265,'Base stats'!B:B,'Base stats'!R:R)</f>
        <v>Standard</v>
      </c>
      <c r="Q265" s="13">
        <f>MROUND((LOG10(_xlfn.XLOOKUP(B265,'Base stats'!B:B,'Base stats'!AR:AR))*(AO265^0.5)+(_xlfn.XLOOKUP(B265,'Base stats'!B:B,'Base stats'!AR:AR)/1000)^(2/3)+_xlfn.XLOOKUP(B265,'Base stats'!B:B,'Base stats'!BA:BA)/2)+0.5,0.5)</f>
        <v>4</v>
      </c>
      <c r="R265" s="7">
        <f>IF(Q265="No","No",MAX(1,MROUND(_xlfn.XLOOKUP(B265,'Base stats'!B:B,'Base stats'!C:C)^0.165,0.05)))</f>
        <v>1.5</v>
      </c>
      <c r="S265" s="13" t="str">
        <f>IF(_xlfn.XLOOKUP(_xlfn.XLOOKUP(B265,'Base stats'!B:B,'Base stats'!E:E),Groups!A:A,Groups!P:P)=0,"No",MROUND((LOG10(_xlfn.XLOOKUP(B265,'Base stats'!B:B,'Base stats'!AS:AS))*(AO265^0.5)+(_xlfn.XLOOKUP(B265,'Base stats'!B:B,'Base stats'!AS:AS)/1000)^(2/3)+_xlfn.XLOOKUP(B265,'Base stats'!B:B,'Base stats'!BA:BA))+_xlfn.XLOOKUP(B265,'Base stats'!B:B,'Base stats'!AY:AY)+0.5,0.5))</f>
        <v>No</v>
      </c>
      <c r="T265" s="7" t="str">
        <f>IF(S265="No","No",MAX(_xlfn.XLOOKUP(_xlfn.XLOOKUP(B265,'Base stats'!B:B,'Base stats'!E:E),Groups!A:A,Groups!Q:Q),MROUND(_xlfn.XLOOKUP(_xlfn.XLOOKUP(B265,'Base stats'!B:B,'Base stats'!E:E),Groups!A:A,Groups!Q:Q)*_xlfn.XLOOKUP(B265,'Base stats'!B:B,'Base stats'!C:C)^0.165,0.05)))</f>
        <v>No</v>
      </c>
      <c r="U265" s="7" t="str">
        <f>IF(S265="No","No",_xlfn.XLOOKUP(_xlfn.XLOOKUP(B265,'Base stats'!B:B,'Base stats'!E:E),Groups!A:A,Groups!R:R))</f>
        <v>No</v>
      </c>
      <c r="V265" s="7" t="str">
        <f>IF(S265="No","No",_xlfn.XLOOKUP(_xlfn.XLOOKUP(B265,'Base stats'!B:B,'Base stats'!E:E),Groups!A:A,Groups!S:S))</f>
        <v>No</v>
      </c>
      <c r="W265" s="7" t="str">
        <f>IF(S265="No","No",_xlfn.XLOOKUP(_xlfn.XLOOKUP(B265,'Base stats'!B:B,'Base stats'!E:E),Groups!A:A,Groups!T:T))</f>
        <v>No</v>
      </c>
      <c r="X265" s="13">
        <f>IF(_xlfn.XLOOKUP(B265,'Base stats'!B:B,'Base stats'!W:W)="No","No",MROUND((LOG10(_xlfn.XLOOKUP(B265,'Base stats'!B:B,'Base stats'!AU:AU))*(AO265^0.5)+(_xlfn.XLOOKUP(B265,'Base stats'!B:B,'Base stats'!AU:AU)/1000)^(2/3)+_xlfn.XLOOKUP(B265,'Base stats'!B:B,'Base stats'!AZ:AZ))+0.5+IF(_xlfn.XLOOKUP(_xlfn.XLOOKUP(B265,'Base stats'!B:B,'Base stats'!E:E),Groups!A:A,Groups!U:U)&lt;&gt;3,_xlfn.XLOOKUP(B265,'Base stats'!B:B,'Base stats'!BA:BA),0),0.5))</f>
        <v>4.5</v>
      </c>
      <c r="Y265" s="7">
        <f>IF(X265="No","No",MAX(_xlfn.XLOOKUP(_xlfn.XLOOKUP(B265,'Base stats'!B:B,'Base stats'!E:E),Groups!A:A,Groups!V:V),MROUND(_xlfn.XLOOKUP(_xlfn.XLOOKUP(B265,'Base stats'!B:B,'Base stats'!E:E),Groups!A:A,Groups!V:V)*_xlfn.XLOOKUP(B265,'Base stats'!B:B,'Base stats'!C:C)^0.165,0.05)))</f>
        <v>1.9500000000000002</v>
      </c>
      <c r="Z265" s="7" t="str">
        <f>IF(X265="No","No",_xlfn.XLOOKUP(_xlfn.XLOOKUP(B265,'Base stats'!B:B,'Base stats'!E:E),Groups!A:A,Groups!W:W))</f>
        <v>HeadAttackTool</v>
      </c>
      <c r="AA265" s="7" t="str">
        <f>IF(X265="No","No",_xlfn.XLOOKUP(_xlfn.XLOOKUP(B265,'Base stats'!B:B,'Base stats'!E:E),Groups!A:A,Groups!X:X))</f>
        <v>eye</v>
      </c>
      <c r="AB265" s="7" t="str">
        <f>IF(X265="No","No",_xlfn.XLOOKUP(_xlfn.XLOOKUP(B265,'Base stats'!B:B,'Base stats'!E:E),Groups!A:A,Groups!Y:Y))</f>
        <v>Sting</v>
      </c>
      <c r="AC265" s="7" t="str">
        <f>_xlfn.XLOOKUP(Animals!B265,'Base stats'!B:B,'Base stats'!X:X)</f>
        <v>False</v>
      </c>
      <c r="AD265" s="13" t="str">
        <f>IF(_xlfn.XLOOKUP(B265,'Base stats'!B:B,'Base stats'!AT:AT)="No","No",MROUND((LOG10(_xlfn.XLOOKUP(B265,'Base stats'!B:B,'Base stats'!AT:AT))*(AO265^0.75)+(_xlfn.XLOOKUP(B265,'Base stats'!B:B,'Base stats'!AT:AT)/1000)^(2/3)+_xlfn.XLOOKUP(B265,'Base stats'!B:B,'Base stats'!AX:AX)+_xlfn.XLOOKUP(B265,'Base stats'!B:B,'Base stats'!BA:BA))+0.5,0.5))</f>
        <v>No</v>
      </c>
      <c r="AE265" s="7" t="str">
        <f>IF(AD265="No","No",MAX(_xlfn.XLOOKUP(_xlfn.XLOOKUP(B265,'Base stats'!B:B,'Base stats'!E:E),Groups!A:A,Groups!Z:Z),MROUND(_xlfn.XLOOKUP(_xlfn.XLOOKUP(B265,'Base stats'!B:B,'Base stats'!E:E),Groups!A:A,Groups!Z:Z)*_xlfn.XLOOKUP(B265,'Base stats'!B:B,'Base stats'!C:C)^0.165,0.05)))</f>
        <v>No</v>
      </c>
      <c r="AF265" s="7" t="str">
        <f>IF(AD265="No","No",_xlfn.XLOOKUP(_xlfn.XLOOKUP(B265,'Base stats'!B:B,'Base stats'!E:E),Groups!A:A,Groups!AA:AA))</f>
        <v>No</v>
      </c>
      <c r="AG265" s="7" t="str">
        <f>IF(AD265="No","No",_xlfn.XLOOKUP(_xlfn.XLOOKUP(B265,'Base stats'!B:B,'Base stats'!E:E),Groups!A:A,Groups!AB:AB))</f>
        <v>No</v>
      </c>
      <c r="AH265" s="7" t="str">
        <f>IF(AD265="No","No",_xlfn.XLOOKUP(_xlfn.XLOOKUP(B265,'Base stats'!B:B,'Base stats'!E:E),Groups!A:A,Groups!AC:AC))</f>
        <v>No</v>
      </c>
      <c r="AI265" s="13" t="str">
        <f>IF(_xlfn.XLOOKUP(_xlfn.XLOOKUP(B265,'Base stats'!B:B,'Base stats'!E:E),Groups!A:A,Groups!AD:AD)=0,"No",MROUND((LOG10(_xlfn.XLOOKUP(B265,'Base stats'!B:B,'Base stats'!AS:AS))*(AO265^0.75)+(_xlfn.XLOOKUP(B265,'Base stats'!B:B,'Base stats'!AS:AS)/1000)^(2/3)+_xlfn.XLOOKUP(B265,'Base stats'!B:B,'Base stats'!AY:AY)+_xlfn.XLOOKUP(B265,'Base stats'!B:B,'Base stats'!BA:BA))+0.5,0.5))</f>
        <v>No</v>
      </c>
      <c r="AJ265" s="7" t="str">
        <f>IF(AI265="No","No",MAX(_xlfn.XLOOKUP(_xlfn.XLOOKUP(B265,'Base stats'!B:B,'Base stats'!E:E),Groups!A:A,Groups!AE:AE),MROUND(_xlfn.XLOOKUP(_xlfn.XLOOKUP(B265,'Base stats'!B:B,'Base stats'!E:E),Groups!A:A,Groups!AE:AE)*IF(_xlfn.XLOOKUP(_xlfn.XLOOKUP(B265,'Base stats'!B:B,'Base stats'!E:E),Groups!A:A,Groups!AJ:AJ)="Photonozoa",0.6,1)*_xlfn.XLOOKUP(B265,'Base stats'!B:B,'Base stats'!C:C)^0.165,0.05)))</f>
        <v>No</v>
      </c>
      <c r="AK265" s="7" t="str">
        <f>IF(AI265="No","No",_xlfn.XLOOKUP(_xlfn.XLOOKUP(B265,'Base stats'!B:B,'Base stats'!E:E),Groups!A:A,Groups!AF:AF))</f>
        <v>No</v>
      </c>
      <c r="AL265" s="7" t="str">
        <f>IF(AI265="No","No",_xlfn.XLOOKUP(_xlfn.XLOOKUP(B265,'Base stats'!B:B,'Base stats'!E:E),Groups!A:A,Groups!AG:AG))</f>
        <v>No</v>
      </c>
      <c r="AM265" s="7" t="str">
        <f>IF(AI265="No","No",_xlfn.XLOOKUP(_xlfn.XLOOKUP(B265,'Base stats'!B:B,'Base stats'!E:E),Groups!A:A,Groups!AH:AH))</f>
        <v>No</v>
      </c>
      <c r="AN265" s="2" t="str">
        <f t="shared" si="28"/>
        <v>No</v>
      </c>
      <c r="AO265" s="2">
        <f>MROUND(IF(AND(_xlfn.XLOOKUP(B265,'Base stats'!B:B,'Base stats'!C:C)&gt;=0.5,_xlfn.XLOOKUP(B265,'Base stats'!B:B,'Base stats'!C:C)&lt;=0.8),
IF(_xlfn.XLOOKUP(B265,'Base stats'!B:B,'Base stats'!C:C)&lt;0.1,0.05,IF(_xlfn.XLOOKUP(B265,'Base stats'!B:B,'Base stats'!C:C)&lt;=70,(_xlfn.XLOOKUP(B265,'Base stats'!B:B,'Base stats'!C:C)/70)^0.426489913056526,IF(_xlfn.XLOOKUP(B265,'Base stats'!B:B,'Base stats'!C:C)&lt;=400,(_xlfn.XLOOKUP(B265,'Base stats'!B:B,'Base stats'!C:C)/70)^0.572811455315093,IF(_xlfn.XLOOKUP(B265,'Base stats'!B:B,'Base stats'!C:C)&lt;=2000,2.71391647193063*(_xlfn.XLOOKUP(B265,'Base stats'!B:B,'Base stats'!C:C)/400)^0.252459582904293,3.74314280240376*(_xlfn.XLOOKUP(B265,'Base stats'!B:B,'Base stats'!C:C)/2000)^0.357012633876913)))),
IF(_xlfn.XLOOKUP(B265,'Base stats'!B:B,'Base stats'!C:C)&lt;0.1,0.05,IF(_xlfn.XLOOKUP(B265,'Base stats'!B:B,'Base stats'!C:C)&lt;0.4,0.1,IF(_xlfn.XLOOKUP(B265,'Base stats'!B:B,'Base stats'!C:C)&lt;=70,(_xlfn.XLOOKUP(B265,'Base stats'!B:B,'Base stats'!C:C)/70)^0.445823913056526,IF(_xlfn.XLOOKUP(B265,'Base stats'!B:B,'Base stats'!C:C)&lt;=400,(_xlfn.XLOOKUP(B265,'Base stats'!B:B,'Base stats'!C:C)/70)^0.572811455315093,IF(_xlfn.XLOOKUP(B265,'Base stats'!B:B,'Base stats'!C:C)&lt;=2000,2.71391647193063*(_xlfn.XLOOKUP(B265,'Base stats'!B:B,'Base stats'!C:C)/400)^0.252459582904293,3.74314280240376*(_xlfn.XLOOKUP(B265,'Base stats'!B:B,'Base stats'!C:C)/2000)^0.357012633876913)))))),
IF(_xlfn.XLOOKUP(B265,'Base stats'!B:B,'Base stats'!C:C)&lt;0.1,0.05,IF(_xlfn.XLOOKUP(B265,'Base stats'!B:B,'Base stats'!C:C)&lt;=100,0.05,IF(_xlfn.XLOOKUP(B265,'Base stats'!B:B,'Base stats'!C:C)&lt;=250,0.1,IF(_xlfn.XLOOKUP(B265,'Base stats'!B:B,'Base stats'!C:C)&lt;=4000,0.25,0.5)))))</f>
        <v>0.45</v>
      </c>
      <c r="AP265" s="8">
        <f>MROUND(AO265*_xlfn.XLOOKUP(_xlfn.XLOOKUP(B265,'Base stats'!B:B,'Base stats'!E:E),Groups!A:A,Groups!AI:AI)*_xlfn.XLOOKUP(B265,'Base stats'!B:B,'Base stats'!Z:Z),0.05)</f>
        <v>0.45</v>
      </c>
      <c r="AQ265" s="8">
        <f>MAX(0.01,MROUND(IF(CC265="True",0.196*(AO265*100*1000)^0.889,IF(_xlfn.XLOOKUP(_xlfn.XLOOKUP(B265,'Base stats'!B:B,'Base stats'!E:E),Groups!A:A,Groups!AJ:AJ)="Bird",10.5*(AO265*100*1000)^0.681,4.82*(AO265*100*1000)^0.734))/(4.82*(1*100*1000)^0.734)/IF(AO265&lt;3.5,2,IF(AO265=3.5,1.5,1.25))*(1+0.132282374779864/(AO265^0.994035016789033+0.00905238001496948)),0.05))</f>
        <v>0.1</v>
      </c>
      <c r="AR265" s="9">
        <f>IFERROR(MROUND(_xlfn.XLOOKUP(B265,'Base stats'!B:B,'Base stats'!H:H)/IF(_xlfn.XLOOKUP(B265,'Base stats'!B:B,'Base stats'!I:I)&lt;&gt;1,(122.5/70),1.2),IF(_xlfn.XLOOKUP(B265,'Base stats'!B:B,'Base stats'!H:H)&gt;=30,5,IF(_xlfn.XLOOKUP(B265,'Base stats'!B:B,'Base stats'!H:H)&gt;=15,3,IF(_xlfn.XLOOKUP(B265,'Base stats'!B:B,'Base stats'!H:H)&gt;=10,2,1)))),"Immortal")</f>
        <v>12</v>
      </c>
      <c r="AS265" s="35" t="str">
        <f>IFERROR(IF(OR(_xlfn.XLOOKUP(B265,'Base stats'!B:B,'Base stats'!F:F)="Atypical reproduction",_xlfn.XLOOKUP(B265,'Base stats'!B:B,'Base stats'!F:F)="Lay eggs"),"Lay eggs",MIN(20,MAX(5.5,ROUND(((_xlfn.XLOOKUP(B265,'Base stats'!B:B,'Base stats'!F:F)-25)*(14.5/615) + 5.5)*2,0)/2))),"Unknown")</f>
        <v>Lay eggs</v>
      </c>
      <c r="AT265" s="8">
        <f>IF(_xlfn.XLOOKUP(B265,'Base stats'!B:B,'Base stats'!G:G)="Atypical reproduction","No",IFERROR(MAX(IF(_xlfn.XLOOKUP(B265,'Base stats'!B:B,'Base stats'!G:G)&lt;0.5,0.2,0.3),MROUND(_xlfn.XLOOKUP(B265,'Base stats'!B:B,'Base stats'!G:G)/(365/60),0.2)),"Unknown"))</f>
        <v>0.3</v>
      </c>
      <c r="AU265" s="8">
        <f t="shared" si="29"/>
        <v>0.15000000000000002</v>
      </c>
      <c r="AV265" s="8" t="str">
        <f>IFERROR(IFERROR(MROUND(_xlfn.XLOOKUP(B265,'Base stats'!B:B,'Base stats'!J:J),0.1),"Lay eggs"),"Cannot breed")</f>
        <v>Lay eggs</v>
      </c>
      <c r="AW265" s="2" t="str">
        <f t="shared" si="30"/>
        <v>false</v>
      </c>
      <c r="AX265" s="2" t="str">
        <f>IF(_xlfn.XLOOKUP(_xlfn.XLOOKUP(Animals!B265,'Base stats'!B:B,'Base stats'!E:E),Groups!A:A,Groups!AK:AK)=1,"true","false")</f>
        <v>false</v>
      </c>
      <c r="AY265" s="25" t="str">
        <f>IF(_xlfn.XLOOKUP(B265,'Base stats'!B:B,'Base stats'!Y:Y)="Liquor","Liquor, CarnivoreAnimalStrict",IF(AND(_xlfn.XLOOKUP(B265,'Base stats'!B:B,'Base stats'!Y:Y)="Carnivore",_xlfn.XLOOKUP(_xlfn.XLOOKUP(B265,'Base stats'!B:B,'Base stats'!E:E),Groups!A:A,Groups!AJ:AJ)="Photonozoa"),"CarnivoreAnimalStrict, OvivoreAnimal",IF(_xlfn.XLOOKUP(B265,'Base stats'!B:B,'Base stats'!Y:Y)="Carnivore","CarnivoreAnimal, OvivoreAnimal",IF(_xlfn.XLOOKUP(B265,'Base stats'!B:B,'Base stats'!Y:Y)="Dendrovore","VegetarianRoughAnimal, DendrovoreAnimal",IF(_xlfn.XLOOKUP(B265,'Base stats'!B:B,'Base stats'!Y:Y)="Herbivore","VegetarianRoughAnimal",IF(_xlfn.XLOOKUP(B265,'Base stats'!B:B,'Base stats'!Y:Y)="OmnivoreRough","OmnivoreRoughAnimal, OvivoreAnimal","OmnivoreAnimal, OvivoreAnimal"))))))</f>
        <v>OmnivoreAnimal, OvivoreAnimal</v>
      </c>
      <c r="AZ265" s="2" t="str">
        <f>IF(_xlfn.XLOOKUP(_xlfn.XLOOKUP(B265,'Base stats'!B:B,'Base stats'!E:E),Groups!A:A,Groups!D:D)=1,MROUND((1-J265)*5+1,2)*IF(J265&lt;=0.4,2,1),"No")</f>
        <v>No</v>
      </c>
      <c r="BA265" s="2" t="str">
        <f>IF(AND(_xlfn.XLOOKUP(B265,'Base stats'!B:B,'Base stats'!AH:AH)="&lt;li&gt;Seal&lt;/li&gt;",G265="Odyssey"),"&lt;li&gt;AEXP_Seal&lt;/li&gt;",_xlfn.XLOOKUP(B265,'Base stats'!B:B,'Base stats'!AH:AH))</f>
        <v>&lt;li&gt;Pig&lt;/li&gt;</v>
      </c>
      <c r="BB265" s="2" t="str">
        <f>_xlfn.XLOOKUP(B265,'Base stats'!B:B,'Base stats'!AG:AG)</f>
        <v>Leather_Chitin</v>
      </c>
      <c r="BC265" s="23" t="str">
        <f>_xlfn.XLOOKUP(_xlfn.XLOOKUP(B265,'Base stats'!B:B,'Base stats'!E:E),Groups!A:A,Groups!AL:AL)</f>
        <v>AA_EyeBody</v>
      </c>
      <c r="BD265" s="23">
        <f>MIN(1,MROUND(IF(AND(AO265&lt;0.5,_xlfn.XLOOKUP(B265,'Base stats'!B:B,'Base stats'!AA:AA)=0),0,IF(OR(_xlfn.XLOOKUP(Animals!B265,'Base stats'!B:B,'Base stats'!O:O)=2,_xlfn.XLOOKUP(_xlfn.XLOOKUP(B265,'Base stats'!B:B,'Base stats'!E:E),Groups!A:A,Groups!AN:AN)=0),0,_xlfn.XLOOKUP(_xlfn.XLOOKUP(B265,'Base stats'!B:B,'Base stats'!E:E),Groups!A:A,Groups!AN:AN)/IF(_xlfn.XLOOKUP(Animals!B265,'Base stats'!B:B,'Base stats'!O:O)=1,2,1)))+_xlfn.XLOOKUP(B265,'Base stats'!B:B,'Base stats'!AC:AC),0.005))</f>
        <v>0</v>
      </c>
      <c r="BE265" s="23">
        <f>MIN(1,MROUND(IF(AND(AO265&lt;0.5,_xlfn.XLOOKUP(B265,'Base stats'!B:B,'Base stats'!AA:AA)=0),0,IF(_xlfn.XLOOKUP(_xlfn.XLOOKUP(B265,'Base stats'!B:B,'Base stats'!E:E),Groups!A:A,Groups!AO:AO)=0,0,_xlfn.XLOOKUP(_xlfn.XLOOKUP(B265,'Base stats'!B:B,'Base stats'!E:E),Groups!A:A,Groups!AO:AO)/IF(_xlfn.XLOOKUP(Animals!B265,'Base stats'!B:B,'Base stats'!O:O)=2,3,1)))+_xlfn.XLOOKUP(B265,'Base stats'!B:B,'Base stats'!AD:AD),0.005))</f>
        <v>0</v>
      </c>
      <c r="BF265" s="2" t="str">
        <f>IF(J265&gt;0.3,"No",_xlfn.XLOOKUP(_xlfn.XLOOKUP(Animals!B265,'Base stats'!B:B,'Base stats'!E:E),Groups!A:A,Groups!AP:AP))</f>
        <v>No</v>
      </c>
      <c r="BG265" s="2" t="str">
        <f>IF(AND(J265&lt;=0.65,_xlfn.XLOOKUP(_xlfn.XLOOKUP(Animals!B265,'Base stats'!B:B,'Base stats'!E:E),Groups!A:A,Groups!AP:AP)&lt;&gt;"No",_xlfn.XLOOKUP(_xlfn.XLOOKUP(B265,'Base stats'!B:B,'Base stats'!E:E),Groups!A:A,Groups!D:D)=0),MROUND((80/3)*IF(_xlfn.XLOOKUP(B265,'Base stats'!B:B,'Base stats'!O:O)=2,0.2,AO265) + 24*(1-IF(BF265="No",0,BF265)) + 16/3, 12),"No")</f>
        <v>No</v>
      </c>
      <c r="BH265" s="2">
        <f>IF(AND(_xlfn.XLOOKUP(_xlfn.XLOOKUP(B265,'Base stats'!B:B,'Base stats'!E:E),Groups!A:A,Groups!AQ:AQ)=1,AO265&lt;=0.35),8,12)</f>
        <v>12</v>
      </c>
      <c r="BI265" s="2" t="str">
        <f>IF(_xlfn.XLOOKUP(_xlfn.XLOOKUP(B265,'Base stats'!B:B,'Base stats'!E:E),Groups!A:A,Groups!D:D)=0,_xlfn.XLOOKUP(_xlfn.XLOOKUP(B265,'Base stats'!B:B,'Base stats'!E:E),Groups!A:A,Groups!AR:AR),"None")</f>
        <v>Intermediate</v>
      </c>
      <c r="BJ265" s="2" t="str">
        <f>IF(AND(_xlfn.XLOOKUP(_xlfn.XLOOKUP(B265,'Base stats'!B:B,'Base stats'!E:E),Groups!A:A,Groups!AS:AS)=1,OR(_xlfn.XLOOKUP(B265,'Base stats'!B:B,'Base stats'!Y:Y)="Carnivore",_xlfn.XLOOKUP(B265,'Base stats'!B:B,'Base stats'!Y:Y)="Omnivore")),"true","false")</f>
        <v>false</v>
      </c>
      <c r="BK265" s="2" t="str">
        <f>IF(BJ265="true",MROUND(IF(AND(AO265&gt;0.5,OR(_xlfn.XLOOKUP(_xlfn.XLOOKUP(B265,'Base stats'!B:B,'Base stats'!E:E),Groups!A:A,Groups!AJ:AJ)="Photonozoa",_xlfn.XLOOKUP(_xlfn.XLOOKUP(B265,'Base stats'!B:B,'Base stats'!E:E),Groups!A:A,Groups!AJ:AJ)="Mammal")),Animals!AO265*1.75*IF(AW265="true",1.5,1),IF(AO265&lt;0.5,Animals!AO265*0.5,Animals!AO265)),IF(AO265&gt;2,0.5,IF(AO265&gt;0.5,0.25,0.1))),"No")</f>
        <v>No</v>
      </c>
      <c r="BL265" s="2">
        <f t="shared" si="31"/>
        <v>1</v>
      </c>
      <c r="BM265" s="25" t="str">
        <f>IF(_xlfn.XLOOKUP(B265,'Base stats'!B:B,'Base stats'!AN:AN)="Standard","No",MROUND((_xlfn.XLOOKUP(B265,'Base stats'!B:B,'Base stats'!AN:AN)/3.6)/I265,0.1))</f>
        <v>No</v>
      </c>
      <c r="BN265" s="25" t="str">
        <f t="shared" si="32"/>
        <v>false</v>
      </c>
      <c r="BO265" s="25" t="str">
        <f>IF(AND(OR(_xlfn.XLOOKUP(B265,'Base stats'!B:B,'Base stats'!Y:Y)="Carnivore",_xlfn.XLOOKUP(B265,'Base stats'!B:B,'Base stats'!Y:Y)="Omnivore",_xlfn.XLOOKUP(B265,'Base stats'!B:B,'Base stats'!Y:Y)="OmnivoreRough"),_xlfn.XLOOKUP(_xlfn.XLOOKUP(B265,'Base stats'!B:B,'Base stats'!E:E),Groups!A:A,Groups!AT:AT)=1),"true","false")</f>
        <v>false</v>
      </c>
      <c r="BP265" s="25" t="str" cm="1">
        <f t="array" ref="BP265">IF(
  _xlfn.TEXTJOIN(", ",TRUE,
    IF(AND(BJ265="true",AO265&gt;0.5,BI265&lt;&gt;"None"),"AttackTarget",""),
    IF(AND(_xlfn.XLOOKUP(_xlfn.XLOOKUP(B265,'Base stats'!B:B,'Base stats'!E:E),Groups!A:A,Groups!AJ:AJ="Mammal"),OR(_xlfn.XLOOKUP(B265,'Base stats'!B:B,'Base stats'!Y:Y)="Omnivore",_xlfn.XLOOKUP(B265,'Base stats'!B:B,'Base stats'!Y:Y)="OmnivoreRough")),"Forage",""),
    IF(BG265&lt;=36,"Comfort",""),
    IF(_xlfn.XLOOKUP(B265,'Base stats'!B:B,'Base stats'!AE:AE)&lt;&gt;"No",_xlfn.XLOOKUP(B265,'Base stats'!B:B,'Base stats'!AE:AE),"")
  ) = "",
  "No",
  _xlfn.TEXTJOIN(", ",TRUE,
    IF(AND(BJ265="true",AO265&gt;0.5,BI265&lt;&gt;"None"),"AttackTarget",""),
    IF(AND(_xlfn.XLOOKUP(_xlfn.XLOOKUP(B265,'Base stats'!B:B,'Base stats'!E:E),Groups!A:A,Groups!AJ:AJ="Mammal"),OR(_xlfn.XLOOKUP(B265,'Base stats'!B:B,'Base stats'!Y:Y)="Omnivore",_xlfn.XLOOKUP(B265,'Base stats'!B:B,'Base stats'!Y:Y)="OmnivoreRough")),"Forage",""),
    IF(BG265&lt;=36,"Comfort",""),
    IF(_xlfn.XLOOKUP(B265,'Base stats'!B:B,'Base stats'!AE:AE)&lt;&gt;"No",_xlfn.XLOOKUP(B265,'Base stats'!B:B,'Base stats'!AE:AE),"")
  )
)</f>
        <v>No</v>
      </c>
      <c r="BQ265" s="25" t="str">
        <f>IF(
   AND(
      'Base stats'!AN265="Standard",_xlfn.XLOOKUP(_xlfn.XLOOKUP(B265,'Base stats'!B:B,'Base stats'!E:E),Groups!A:A,Groups!AU:AU)=0,
      OR(
      BO265="True"
      )
   ),
   10,
   IF(
       OR(BM265&lt;&gt;"No",_xlfn.XLOOKUP(_xlfn.XLOOKUP(B265,'Base stats'!B:B,'Base stats'!E:E),Groups!A:A,Groups!AU:AU)=1),
      1,
      "No"
   )
)</f>
        <v>No</v>
      </c>
      <c r="BR265" s="9">
        <f>MROUND((1 + ((0.2*IF(OR(Q265="No",R265="No",R265=0),0,Q265/R265)
+IF(OR(V265="No",S265="No",T265="No"),0,S265/T265*(LEN(V265)-LEN(SUBSTITUTE(V265,",",""))+1))
+IF(OR(X265="No",Y265="No"),0,X265/Y265)
+IF(OR(AD265="No",AE265="No"),0,AD265/AE265)
+IF(OR(AL265="No",AI265="No",AJ265="No"),0,AI265/AJ265*(LEN(AL265)-LEN(SUBSTITUTE(AL265,",",""))+1))
)/(0.2*IF(OR(Q265="No",R265="No",R265=0),0,1)
+IF(OR(V265="No",S265="No",T265="No"),0,LEN(V265)-LEN(SUBSTITUTE(V265,",",""))+1)
+IF(OR(X265="No",Y265="No"),0,1)
+IF(OR(AD265="No",AE265="No"),0,1)
+IF(OR(AL265="No",AI265="No",AJ265="No"),0,LEN(AL265)-LEN(SUBSTITUTE(AL265,",",""))+1))*62%)* 2)*(1 + (AP265 / (IF(_xlfn.XLOOKUP(_xlfn.XLOOKUP(B265,'Base stats'!B:B,'Base stats'!E:E),Groups!A:A,Groups!AJ:AJ)="Photonozoa",0.3,1)) + _xlfn.XLOOKUP(B265,'Base stats'!B:B,'Base stats'!AV:AV) * 1.8) * 2) * 2.5 + 10 + I265 * 2,5)+IF(_xlfn.XLOOKUP(B265,'Base stats'!B:B,'Base stats'!AK:AK)=1,50,0)</f>
        <v>30</v>
      </c>
      <c r="BS265" s="8">
        <f t="shared" si="33"/>
        <v>0.15000000000000002</v>
      </c>
      <c r="BT265" s="8" t="str">
        <f>_xlfn.XLOOKUP(B265,'Base stats'!B:B,'Base stats'!AF:AF)</f>
        <v>No</v>
      </c>
      <c r="BU265" s="2" t="str">
        <f>IF(AND(J265&lt;=0.95,OR(_xlfn.XLOOKUP(B265,'Base stats'!B:B,'Base stats'!AK:AK)=1,_xlfn.XLOOKUP(B265,'Base stats'!B:B,'Base stats'!Y:Y)="Carnivore",_xlfn.XLOOKUP(B265,'Base stats'!B:B,'Base stats'!Y:Y)="Omnivore",BE265&gt;0.1)),"true","false")</f>
        <v>true</v>
      </c>
      <c r="BV265" s="2" t="str">
        <f>IF(_xlfn.XLOOKUP(B265,'Base stats'!B:B,'Base stats'!AI:AI)=1,"true","false")</f>
        <v>false</v>
      </c>
      <c r="BW265" s="25" t="str">
        <f>IF(E265="BaseInsect","AnimalInsect",
IF(J265&gt;0.95,"AnimalExotic",
_xlfn.TEXTJOIN(", ",TRUE,
IF(OR(_xlfn.XLOOKUP(B265,'Base stats'!B:B,'Base stats'!AM:AM)=1,AND(_xlfn.XLOOKUP(B265,'Base stats'!B:B,'Base stats'!O:O)=0,_xlfn.XLOOKUP(_xlfn.XLOOKUP(B265,'Base stats'!B:B,'Base stats'!E:E),Groups!A:A,Groups!B:B)&gt;0)),"AnimalUncommon","AnimalCommon"),
IF(AND(_xlfn.XLOOKUP(B265,'Base stats'!B:B,'Base stats'!O:O)=2,_xlfn.XLOOKUP(_xlfn.XLOOKUP(B265,'Base stats'!B:B,'Base stats'!E:E),Groups!A:A,Groups!D:D)=0),"AnimalPet",IF(AND(_xlfn.XLOOKUP(B265,'Base stats'!B:B,'Base stats'!O:O)&lt;&gt;0,_xlfn.XLOOKUP(_xlfn.XLOOKUP(B265,'Base stats'!B:B,'Base stats'!E:E),Groups!A:A,Groups!D:D)&lt;&gt;0),"AnimalFarm","")),
IF(OR(_xlfn.XLOOKUP(B265,'Base stats'!B:B,'Base stats'!AK:AK)=1,AND(BI265&lt;&gt;"None",BR265&gt;=60),ISNUMBER(SEARCH("Attack target",BP265))),"AnimalFighter","")
)))</f>
        <v>AnimalUncommon</v>
      </c>
      <c r="BX265" s="25" t="str">
        <f>IF(G265="None",TRIM(
SUBSTITUTE(
IF(COUNTIF(Biomes!B$2:B$259,"="&amp;$C265)&gt;0,Biomes!B$1&amp;", ","")&amp;
IF(COUNTIF(Biomes!C$2:C$259,"="&amp;$C265)&gt;0,Biomes!C$1&amp;", ","")&amp;
IF(COUNTIF(Biomes!D$2:D$259,"="&amp;$C265)&gt;0,Biomes!D$1&amp;", ","")&amp;
IF(COUNTIF(Biomes!F$2:F$259,"="&amp;$C265)&gt;0,Biomes!F$1&amp;", ","")&amp;
IF(COUNTIF(Biomes!G$2:G$259,"="&amp;$C265)&gt;0,Biomes!G$1&amp;", ","")&amp;
IF(COUNTIF(Biomes!H$2:H$259,"="&amp;$C265)&gt;0,Biomes!H$1&amp;", ","")&amp;
IF(COUNTIF(Biomes!I$2:I$259,"="&amp;$C265)&gt;0,Biomes!I$1&amp;", ","")&amp;
IF(COUNTIF(Biomes!J$2:J$259,"="&amp;$C265)&gt;0,Biomes!J$1&amp;", ","")&amp;
IF(COUNTIF(Biomes!M$2:M$259,"="&amp;$C265)&gt;0,Biomes!M$1&amp;", ","")&amp;
IF(COUNTIF(Biomes!N$2:N$259,"="&amp;$C265)&gt;0,Biomes!N$1&amp;", ","")&amp;
IF(COUNTIF(Biomes!O$2:O$259,"="&amp;$C265)&gt;0,Biomes!O$1&amp;", ","")&amp;
IF(COUNTIF(Biomes!P$2:P$259,"="&amp;$C265)&gt;0,Biomes!P$1&amp;", ","")&amp;
IF(COUNTIF(Biomes!K$2:K$259,"="&amp;$C265)&gt;0,Biomes!K$1&amp;", ","")&amp;
IF(COUNTIF(Biomes!Q$3:Q$259,"="&amp;$C265)&gt;0,Biomes!Q$1&amp;", ","")&amp;
IF(COUNTIF(Biomes!L$2:L$259,"="&amp;$C265)&gt;0,Biomes!L$1&amp;", ","")&amp;
IF(COUNTIF(Biomes!E$2:E$259,"="&amp;$C265)&gt;0,Biomes!E$1&amp;", ","")&amp;IF(COUNTIF(Biomes!S$2:S$259,"="&amp;$C265)&gt;0,Biomes!S$1&amp;", ","")&amp;
IF(COUNTIF(Biomes!R$2:R$259,"="&amp;$C265)&gt;0,Biomes!R$1&amp;", ",""),", ","")
),_xlfn.XLOOKUP(B265,B:B,BX:BX))</f>
        <v/>
      </c>
      <c r="BY265" s="25" t="str">
        <f>IF(_xlfn.XLOOKUP(B265,'Base stats'!B:B,'Base stats'!AJ:AJ)=1,"true","false")</f>
        <v>false</v>
      </c>
      <c r="BZ265" s="25">
        <f>IF(_xlfn.XLOOKUP(B265,'Base stats'!B:B,'Base stats'!N:N)=1,"No",MAX(0.001,MIN(MROUND(IF(AND(BJ265="True",CC265="False"),POWER(10,3.47*LOG10(_xlfn.XLOOKUP(B265,'Base stats'!B:B,'Base stats'!C:C)*1000)^-0.96),POWER(10,4.15*LOG10(_xlfn.XLOOKUP(B265,'Base stats'!B:B,'Base stats'!C:C)*1000)^-0.73))*IF(_xlfn.XLOOKUP(B265,'Base stats'!B:B,'Base stats'!AK:AK)=1,0.5,1)*IF(_xlfn.XLOOKUP(B265,'Base stats'!B:B,'Base stats'!AM:AM)=1,0.1,1)/100,IF(_xlfn.XLOOKUP(B265,'Base stats'!B:B,'Base stats'!AM:AM)=1,0.001,0.025)),0.5)))</f>
        <v>3.1E-2</v>
      </c>
      <c r="CA265" s="25" t="str">
        <f>IF(P265="Standard","No",MAX(0.001,MIN(MROUND(IF(AND(BJ265="True",CC265="False"),POWER(10,3.47*LOG10(_xlfn.XLOOKUP(B265,'Base stats'!B:B,'Base stats'!C:C)*1000)^-0.96),POWER(10,4.15*LOG10(_xlfn.XLOOKUP(B265,'Base stats'!B:B,'Base stats'!C:C)*1000)^-0.73))*IF(_xlfn.XLOOKUP(B265,'Base stats'!B:B,'Base stats'!AM:AM)=1,0.1,1)*_xlfn.XLOOKUP(B265,'Base stats'!B:B,'Base stats'!R:R)/100,IF(_xlfn.XLOOKUP(B265,'Base stats'!B:B,'Base stats'!AM:AM)=1,0.001,0.025)),0.5)))</f>
        <v>No</v>
      </c>
      <c r="CB265" s="25" t="str">
        <f>IF(_xlfn.XLOOKUP(_xlfn.XLOOKUP(B265,'Base stats'!B:B,'Base stats'!E:E),Groups!A:A,Groups!AJ:AJ)="Mammal","True","False")</f>
        <v>False</v>
      </c>
      <c r="CC265" s="25" t="str">
        <f>IF(OR(_xlfn.XLOOKUP(_xlfn.XLOOKUP(B265,'Base stats'!B:B,'Base stats'!E:E),Groups!A:A,Groups!AJ:AJ)="Reptile",_xlfn.XLOOKUP(_xlfn.XLOOKUP(B265,'Base stats'!B:B,'Base stats'!E:E),Groups!A:A,Groups!AJ:AJ)="Amphibian",_xlfn.XLOOKUP(_xlfn.XLOOKUP(B265,'Base stats'!B:B,'Base stats'!E:E),Groups!A:A,Groups!AJ:AJ)="Invertebrate"),"True","False")</f>
        <v>True</v>
      </c>
      <c r="CD265" s="25" t="str">
        <f t="shared" si="34"/>
        <v>False</v>
      </c>
      <c r="CE265" s="25" t="str">
        <f>IF(_xlfn.XLOOKUP(_xlfn.XLOOKUP(B265,'Base stats'!B:B,'Base stats'!E:E),Groups!A:A,Groups!AX:AX),"True","False")</f>
        <v>True</v>
      </c>
      <c r="CF265" s="25" t="str">
        <f>IF(_xlfn.XLOOKUP(_xlfn.XLOOKUP(B265,'Base stats'!B:B,'Base stats'!E:E),Groups!A:A,Groups!AY:AY),"True","False")</f>
        <v>True</v>
      </c>
      <c r="CG265" s="25" t="str">
        <f>IF(_xlfn.XLOOKUP(_xlfn.XLOOKUP(B265,'Base stats'!B:B,'Base stats'!E:E),Groups!A:A,Groups!AW:AW),"True","False")</f>
        <v>True</v>
      </c>
      <c r="CH265" s="25" t="str">
        <f>IF(
OR(
_xlfn.XLOOKUP(_xlfn.XLOOKUP(B265,'Base stats'!B:B,'Base stats'!E:E),Groups!A:A,Groups!AZ:AZ)=0,
AND(
_xlfn.XLOOKUP(B265,'Base stats'!B:B,'Base stats'!Y:Y)&lt;&gt;"Carnivore",
_xlfn.XLOOKUP(B265,'Base stats'!B:B,'Base stats'!Y:Y)&lt;&gt;"Omnivore",
_xlfn.XLOOKUP(B265,'Base stats'!B:B,'Base stats'!Y:Y)&lt;&gt;"OmnivoreRough"
)
),
"No",
IF(
_xlfn.XLOOKUP(_xlfn.XLOOKUP(B265,'Base stats'!B:B,'Base stats'!E:E),Groups!A:A,Groups!AZ:AZ)=1,
"Flesh",
IF(
_xlfn.XLOOKUP(_xlfn.XLOOKUP(B265,'Base stats'!B:B,'Base stats'!E:E),Groups!A:A,Groups!AZ:AZ)=2,
"Bone",
""
)
)
)</f>
        <v>No</v>
      </c>
      <c r="CI265" s="25" t="str">
        <f>IF(_xlfn.XLOOKUP(_xlfn.XLOOKUP(B265,'Base stats'!B:B,'Base stats'!E:E),Groups!A:A,Groups!BB:BB),"True","False")</f>
        <v>False</v>
      </c>
      <c r="CJ265" s="25" t="str">
        <f>IF(_xlfn.XLOOKUP(_xlfn.XLOOKUP(B265,'Base stats'!B:B,'Base stats'!E:E),Groups!A:A,Groups!BA:BA),"True","False")</f>
        <v>False</v>
      </c>
    </row>
    <row r="266" spans="1:88" ht="16.5" thickTop="1" thickBot="1" x14ac:dyDescent="0.3">
      <c r="A266" s="26" t="s">
        <v>1438</v>
      </c>
      <c r="B266" s="6" t="str">
        <f>_xlfn.XLOOKUP(A266,'Base stats'!A:A,'Base stats'!B:B)</f>
        <v>Araneodraco ferus</v>
      </c>
      <c r="C266" s="28" t="s">
        <v>1439</v>
      </c>
      <c r="D266" s="28" t="s">
        <v>1341</v>
      </c>
      <c r="E266" s="28" t="s">
        <v>1747</v>
      </c>
      <c r="F266" s="28" t="s">
        <v>673</v>
      </c>
      <c r="G266" s="28" t="s">
        <v>673</v>
      </c>
      <c r="H266" s="2">
        <f>MROUND((
  (IF(AND(_xlfn.XLOOKUP(B266,'Base stats'!B:B,'Base stats'!AL:AL)=0,BI266="None",_xlfn.XLOOKUP(_xlfn.XLOOKUP(B266,'Base stats'!B:B,'Base stats'!E:E),Groups!A:A,Groups!B:B)=0), (18 + BR266 * 2.7) * 0.5,
    IF(AND(_xlfn.XLOOKUP(B266,'Base stats'!B:B,'Base stats'!AL:AL)=0,OR(AO266&lt;0.55,AND(BI266="Intermediate",_xlfn.XLOOKUP(_xlfn.XLOOKUP(B266,'Base stats'!B:B,'Base stats'!E:E),Groups!A:A,Groups!B:B)&lt;2))), (18 + BR266 * 2.7),
      IF(OR(BI266="Advanced",_xlfn.XLOOKUP(B266,'Base stats'!B:B,'Base stats'!AL:AL)=1,_xlfn.XLOOKUP(_xlfn.XLOOKUP(B266,'Base stats'!B:B,'Base stats'!E:E),Groups!A:A,Groups!B:B)=2), (18 + BR266 * 2.7) + 250, (18 + BR266 * 2.7))
    )
  ))
  + AO266 * 80
  + IF(COUNTIF(EggMilk!K$2:K$998, A266) &gt; 0, 125, 0)
  + IF(COUNTIF(EggMilk!P$2:P$998, A266) &gt; 0, 90, 0)
  + IF(COUNTIF(EggMilk!A$2:A$998, A266) &gt; 0, 90, 0)
)
* (0.8 + 0.4 * J266)
* 0.75,25)</f>
        <v>750</v>
      </c>
      <c r="I266" s="2">
        <f>MROUND(ROUNDDOWN(_xlfn.XLOOKUP(B266,'Base stats'!B:B,'Base stats'!L:L)/3.6/(23.3/11),1),0.5)</f>
        <v>4</v>
      </c>
      <c r="J266" s="2">
        <f>IF(OR(_xlfn.XLOOKUP(B266,'Base stats'!B:B,'Base stats'!AB:AB)=1,_xlfn.XLOOKUP(_xlfn.XLOOKUP(B266,'Base stats'!B:B,'Base stats'!E:E),Groups!A:A,Groups!C:C)="Untamable"),1,IF(_xlfn.XLOOKUP(B266,'Base stats'!B:B,'Base stats'!AL:AL)=1,0.99,MIN(MROUND((1-0.6282*EXP(-0.459*AO266))*_xlfn.XLOOKUP(_xlfn.XLOOKUP(B266,'Base stats'!B:B,'Base stats'!E:E),Groups!A:A,Groups!C:C)*IF(_xlfn.XLOOKUP(B266,'Base stats'!B:B,'Base stats'!O:O)=1,0.5,IF(_xlfn.XLOOKUP(B266,'Base stats'!B:B,'Base stats'!O:O)=2,0,1)),0.05),IF(AO266&gt;3.5,0.985,0.95))))</f>
        <v>0.85000000000000009</v>
      </c>
      <c r="K266" s="2">
        <f>ROUNDUP(AO266*_xlfn.XLOOKUP(_xlfn.XLOOKUP(B266,'Base stats'!B:B,'Base stats'!E:E),Groups!A:A,Groups!E:E),0)</f>
        <v>3</v>
      </c>
      <c r="L266" s="2">
        <f>IF(OR(_xlfn.XLOOKUP(_xlfn.XLOOKUP(B266,'Base stats'!B:B,'Base stats'!E:E),Groups!A:A,Groups!F:F)=2,ISNUMBER(SEARCH("SeaIce",BX266)),ISNUMBER(SEARCH("IceSheet",BX266))),-50,IF(OR(ISNUMBER(SEARCH("GlacialPlain",BX266)),ISNUMBER(SEARCH("Tundra",BX266))),-40,IF(OR(ISNUMBER(SEARCH("Alpine",BX266)),ISNUMBER(SEARCH("BorealForest",BX266)),ISNUMBER(SEARCH("ColdBog",BX266))),-30,IF(OR(ISNUMBER(SEARCH("TemperateForest",BX266)),ISNUMBER(SEARCH("TemperateSwamp",BX266))),-20,IF(_xlfn.XLOOKUP(_xlfn.XLOOKUP(B266,'Base stats'!B:B,'Base stats'!E:E),Groups!A:A,Groups!F:F)=1,-15,IF(OR(ISNUMBER(SEARCH("Desert",BX266)),ISNUMBER(SEARCH("ExtremeDesert",BX266))),-10,IF(OR(ISNUMBER(SEARCH("Grasslands",BX266)),ISNUMBER(SEARCH("TropicalRainforest",BX266)),ISNUMBER(SEARCH("TropicalSwamp",BX266))),10,0)))))))-IF(CC266="False",MIN(IFERROR(MAX(MROUND(LOG10(_xlfn.XLOOKUP(B266,'Base stats'!B:B,'Base stats'!C:C)^(2/3))*10,5),5),5),30))-_xlfn.XLOOKUP(B266,'Base stats'!B:B,'Base stats'!P:P)+IF(CC266="True",5,0)</f>
        <v>-15</v>
      </c>
      <c r="M266" s="2">
        <f>IF(OR(_xlfn.XLOOKUP(_xlfn.XLOOKUP(B266,'Base stats'!B:B,'Base stats'!E:E),Groups!A:A,Groups!G:G)=2,ISNUMBER(SEARCH("Desert",BX266)),ISNUMBER(SEARCH("ExtremeDesert",BX266)),ISNUMBER(SEARCH("LavaField",BX266))),50,IF(ISNUMBER(SEARCH("Grasslands",BX266)),45,IF(OR(_xlfn.XLOOKUP(_xlfn.XLOOKUP(B266,'Base stats'!B:B,'Base stats'!E:E),Groups!A:A,Groups!G:G)=1,ISNUMBER(SEARCH("TropicalRainforest",BX266)),ISNUMBER(SEARCH("TropicalSwamp",BX266))),40,IF(OR(ISNUMBER(SEARCH("TemperateForest",BX266)),ISNUMBER(SEARCH("TemperateSwamp",BX266))),35,IF(OR(ISNUMBER(SEARCH("Alpine",BX266)),ISNUMBER(SEARCH("BorealForest",BX266)),ISNUMBER(SEARCH("ColdBog",BX266))),30,IF(ISNUMBER(OR(ISNUMBER(SEARCH("GlacialPlain",BX266)),SEARCH("Tundra",BX266))),25,IF(OR(ISNUMBER(SEARCH("SeaIce",BX266)),ISNUMBER(SEARCH("IceSheet",BX266)),ISNUMBER(SEARCH("TropicalSwamp",BX266))),10,35)))))))+_xlfn.XLOOKUP(B266,'Base stats'!B:B,'Base stats'!Q:Q)</f>
        <v>40</v>
      </c>
      <c r="N266" s="8">
        <f>IF(
_xlfn.XLOOKUP(
_xlfn.XLOOKUP(B266,'Base stats'!B:B,'Base stats'!E:E),
Groups!A:A,
Groups!L:L
)=1,
MIN(
MROUND(
IF(
_xlfn.XLOOKUP(B266,'Animals CE'!B:B,'Animals CE'!Z:Z)&lt;=1.5,
_xlfn.XLOOKUP(B266,'Animals CE'!B:B,'Animals CE'!Z:Z)/2+0.05,
0.8+
(_xlfn.XLOOKUP(B266,'Animals CE'!B:B,'Animals CE'!Z:Z)-1.5)
*0.02
),
0.05
),
200%
),
"No"
)</f>
        <v>0.8</v>
      </c>
      <c r="O266" s="8">
        <f>IF(
_xlfn.XLOOKUP(
_xlfn.XLOOKUP(B266,'Base stats'!B:B,'Base stats'!E:E),
Groups!A:A,
Groups!L:L
)=1,
MIN(
MROUND(
IF(
_xlfn.XLOOKUP(B266,'Animals CE'!B:B,'Animals CE'!AA:AA)&lt;=1.5,
_xlfn.XLOOKUP(B266,'Animals CE'!B:B,'Animals CE'!AA:AA)/2+0.05,
0.8+
(_xlfn.XLOOKUP(B266,'Animals CE'!B:B,'Animals CE'!AA:AA)-1.5)
*0.02
),
0.05
),
200%
),
"No"
)</f>
        <v>0.15000000000000002</v>
      </c>
      <c r="P266" s="2" t="str">
        <f>_xlfn.XLOOKUP(B266,'Base stats'!B:B,'Base stats'!R:R)</f>
        <v>Standard</v>
      </c>
      <c r="Q266" s="13">
        <f>MROUND((LOG10(_xlfn.XLOOKUP(B266,'Base stats'!B:B,'Base stats'!AR:AR))*(AO266^0.5)+(_xlfn.XLOOKUP(B266,'Base stats'!B:B,'Base stats'!AR:AR)/1000)^(2/3)+_xlfn.XLOOKUP(B266,'Base stats'!B:B,'Base stats'!BA:BA)/2)+0.5,0.5)</f>
        <v>13</v>
      </c>
      <c r="R266" s="7">
        <f>IF(Q266="No","No",MAX(1,MROUND(_xlfn.XLOOKUP(B266,'Base stats'!B:B,'Base stats'!C:C)^0.165,0.05)))</f>
        <v>2.5500000000000003</v>
      </c>
      <c r="S266" s="13" t="str">
        <f>IF(_xlfn.XLOOKUP(_xlfn.XLOOKUP(B266,'Base stats'!B:B,'Base stats'!E:E),Groups!A:A,Groups!P:P)=0,"No",MROUND((LOG10(_xlfn.XLOOKUP(B266,'Base stats'!B:B,'Base stats'!AS:AS))*(AO266^0.5)+(_xlfn.XLOOKUP(B266,'Base stats'!B:B,'Base stats'!AS:AS)/1000)^(2/3)+_xlfn.XLOOKUP(B266,'Base stats'!B:B,'Base stats'!BA:BA))+_xlfn.XLOOKUP(B266,'Base stats'!B:B,'Base stats'!AY:AY)+0.5,0.5))</f>
        <v>No</v>
      </c>
      <c r="T266" s="7" t="str">
        <f>IF(S266="No","No",MAX(_xlfn.XLOOKUP(_xlfn.XLOOKUP(B266,'Base stats'!B:B,'Base stats'!E:E),Groups!A:A,Groups!Q:Q),MROUND(_xlfn.XLOOKUP(_xlfn.XLOOKUP(B266,'Base stats'!B:B,'Base stats'!E:E),Groups!A:A,Groups!Q:Q)*_xlfn.XLOOKUP(B266,'Base stats'!B:B,'Base stats'!C:C)^0.165,0.05)))</f>
        <v>No</v>
      </c>
      <c r="U266" s="7" t="str">
        <f>IF(S266="No","No",_xlfn.XLOOKUP(_xlfn.XLOOKUP(B266,'Base stats'!B:B,'Base stats'!E:E),Groups!A:A,Groups!R:R))</f>
        <v>No</v>
      </c>
      <c r="V266" s="7" t="str">
        <f>IF(S266="No","No",_xlfn.XLOOKUP(_xlfn.XLOOKUP(B266,'Base stats'!B:B,'Base stats'!E:E),Groups!A:A,Groups!S:S))</f>
        <v>No</v>
      </c>
      <c r="W266" s="7" t="str">
        <f>IF(S266="No","No",_xlfn.XLOOKUP(_xlfn.XLOOKUP(B266,'Base stats'!B:B,'Base stats'!E:E),Groups!A:A,Groups!T:T))</f>
        <v>No</v>
      </c>
      <c r="X266" s="13" t="str">
        <f>IF(_xlfn.XLOOKUP(B266,'Base stats'!B:B,'Base stats'!W:W)="No","No",MROUND((LOG10(_xlfn.XLOOKUP(B266,'Base stats'!B:B,'Base stats'!AU:AU))*(AO266^0.5)+(_xlfn.XLOOKUP(B266,'Base stats'!B:B,'Base stats'!AU:AU)/1000)^(2/3)+_xlfn.XLOOKUP(B266,'Base stats'!B:B,'Base stats'!AZ:AZ))+0.5+IF(_xlfn.XLOOKUP(_xlfn.XLOOKUP(B266,'Base stats'!B:B,'Base stats'!E:E),Groups!A:A,Groups!U:U)&lt;&gt;3,_xlfn.XLOOKUP(B266,'Base stats'!B:B,'Base stats'!BA:BA),0),0.5))</f>
        <v>No</v>
      </c>
      <c r="Y266" s="7" t="str">
        <f>IF(X266="No","No",MAX(_xlfn.XLOOKUP(_xlfn.XLOOKUP(B266,'Base stats'!B:B,'Base stats'!E:E),Groups!A:A,Groups!V:V),MROUND(_xlfn.XLOOKUP(_xlfn.XLOOKUP(B266,'Base stats'!B:B,'Base stats'!E:E),Groups!A:A,Groups!V:V)*_xlfn.XLOOKUP(B266,'Base stats'!B:B,'Base stats'!C:C)^0.165,0.05)))</f>
        <v>No</v>
      </c>
      <c r="Z266" s="7" t="str">
        <f>IF(X266="No","No",_xlfn.XLOOKUP(_xlfn.XLOOKUP(B266,'Base stats'!B:B,'Base stats'!E:E),Groups!A:A,Groups!W:W))</f>
        <v>No</v>
      </c>
      <c r="AA266" s="7" t="str">
        <f>IF(X266="No","No",_xlfn.XLOOKUP(_xlfn.XLOOKUP(B266,'Base stats'!B:B,'Base stats'!E:E),Groups!A:A,Groups!X:X))</f>
        <v>No</v>
      </c>
      <c r="AB266" s="7" t="str">
        <f>IF(X266="No","No",_xlfn.XLOOKUP(_xlfn.XLOOKUP(B266,'Base stats'!B:B,'Base stats'!E:E),Groups!A:A,Groups!Y:Y))</f>
        <v>No</v>
      </c>
      <c r="AC266" s="7" t="str">
        <f>_xlfn.XLOOKUP(Animals!B266,'Base stats'!B:B,'Base stats'!X:X)</f>
        <v>False</v>
      </c>
      <c r="AD266" s="13">
        <f>IF(_xlfn.XLOOKUP(B266,'Base stats'!B:B,'Base stats'!AT:AT)="No","No",MROUND((LOG10(_xlfn.XLOOKUP(B266,'Base stats'!B:B,'Base stats'!AT:AT))*(AO266^0.75)+(_xlfn.XLOOKUP(B266,'Base stats'!B:B,'Base stats'!AT:AT)/1000)^(2/3)+_xlfn.XLOOKUP(B266,'Base stats'!B:B,'Base stats'!AX:AX)+_xlfn.XLOOKUP(B266,'Base stats'!B:B,'Base stats'!BA:BA))+0.5,0.5))</f>
        <v>32.5</v>
      </c>
      <c r="AE266" s="7">
        <f>IF(AD266="No","No",MAX(_xlfn.XLOOKUP(_xlfn.XLOOKUP(B266,'Base stats'!B:B,'Base stats'!E:E),Groups!A:A,Groups!Z:Z),MROUND(_xlfn.XLOOKUP(_xlfn.XLOOKUP(B266,'Base stats'!B:B,'Base stats'!E:E),Groups!A:A,Groups!Z:Z)*_xlfn.XLOOKUP(B266,'Base stats'!B:B,'Base stats'!C:C)^0.165,0.05)))</f>
        <v>3.1</v>
      </c>
      <c r="AF266" s="7" t="str">
        <f>IF(AD266="No","No",_xlfn.XLOOKUP(_xlfn.XLOOKUP(B266,'Base stats'!B:B,'Base stats'!E:E),Groups!A:A,Groups!AA:AA))</f>
        <v>Mouth</v>
      </c>
      <c r="AG266" s="7" t="str">
        <f>IF(AD266="No","No",_xlfn.XLOOKUP(_xlfn.XLOOKUP(B266,'Base stats'!B:B,'Base stats'!E:E),Groups!A:A,Groups!AB:AB))</f>
        <v>chelicerae</v>
      </c>
      <c r="AH266" s="7" t="str">
        <f>IF(AD266="No","No",_xlfn.XLOOKUP(_xlfn.XLOOKUP(B266,'Base stats'!B:B,'Base stats'!E:E),Groups!A:A,Groups!AC:AC))</f>
        <v>ToxicBite</v>
      </c>
      <c r="AI266" s="13" t="str">
        <f>IF(_xlfn.XLOOKUP(_xlfn.XLOOKUP(B266,'Base stats'!B:B,'Base stats'!E:E),Groups!A:A,Groups!AD:AD)=0,"No",MROUND((LOG10(_xlfn.XLOOKUP(B266,'Base stats'!B:B,'Base stats'!AS:AS))*(AO266^0.75)+(_xlfn.XLOOKUP(B266,'Base stats'!B:B,'Base stats'!AS:AS)/1000)^(2/3)+_xlfn.XLOOKUP(B266,'Base stats'!B:B,'Base stats'!AY:AY)+_xlfn.XLOOKUP(B266,'Base stats'!B:B,'Base stats'!BA:BA))+0.5,0.5))</f>
        <v>No</v>
      </c>
      <c r="AJ266" s="7" t="str">
        <f>IF(AI266="No","No",MAX(_xlfn.XLOOKUP(_xlfn.XLOOKUP(B266,'Base stats'!B:B,'Base stats'!E:E),Groups!A:A,Groups!AE:AE),MROUND(_xlfn.XLOOKUP(_xlfn.XLOOKUP(B266,'Base stats'!B:B,'Base stats'!E:E),Groups!A:A,Groups!AE:AE)*IF(_xlfn.XLOOKUP(_xlfn.XLOOKUP(B266,'Base stats'!B:B,'Base stats'!E:E),Groups!A:A,Groups!AJ:AJ)="Photonozoa",0.6,1)*_xlfn.XLOOKUP(B266,'Base stats'!B:B,'Base stats'!C:C)^0.165,0.05)))</f>
        <v>No</v>
      </c>
      <c r="AK266" s="7" t="str">
        <f>IF(AI266="No","No",_xlfn.XLOOKUP(_xlfn.XLOOKUP(B266,'Base stats'!B:B,'Base stats'!E:E),Groups!A:A,Groups!AF:AF))</f>
        <v>No</v>
      </c>
      <c r="AL266" s="7" t="str">
        <f>IF(AI266="No","No",_xlfn.XLOOKUP(_xlfn.XLOOKUP(B266,'Base stats'!B:B,'Base stats'!E:E),Groups!A:A,Groups!AG:AG))</f>
        <v>No</v>
      </c>
      <c r="AM266" s="7" t="str">
        <f>IF(AI266="No","No",_xlfn.XLOOKUP(_xlfn.XLOOKUP(B266,'Base stats'!B:B,'Base stats'!E:E),Groups!A:A,Groups!AH:AH))</f>
        <v>No</v>
      </c>
      <c r="AN266" s="2">
        <f t="shared" si="28"/>
        <v>25</v>
      </c>
      <c r="AO266" s="2">
        <f>MROUND(IF(AND(_xlfn.XLOOKUP(B266,'Base stats'!B:B,'Base stats'!C:C)&gt;=0.5,_xlfn.XLOOKUP(B266,'Base stats'!B:B,'Base stats'!C:C)&lt;=0.8),
IF(_xlfn.XLOOKUP(B266,'Base stats'!B:B,'Base stats'!C:C)&lt;0.1,0.05,IF(_xlfn.XLOOKUP(B266,'Base stats'!B:B,'Base stats'!C:C)&lt;=70,(_xlfn.XLOOKUP(B266,'Base stats'!B:B,'Base stats'!C:C)/70)^0.426489913056526,IF(_xlfn.XLOOKUP(B266,'Base stats'!B:B,'Base stats'!C:C)&lt;=400,(_xlfn.XLOOKUP(B266,'Base stats'!B:B,'Base stats'!C:C)/70)^0.572811455315093,IF(_xlfn.XLOOKUP(B266,'Base stats'!B:B,'Base stats'!C:C)&lt;=2000,2.71391647193063*(_xlfn.XLOOKUP(B266,'Base stats'!B:B,'Base stats'!C:C)/400)^0.252459582904293,3.74314280240376*(_xlfn.XLOOKUP(B266,'Base stats'!B:B,'Base stats'!C:C)/2000)^0.357012633876913)))),
IF(_xlfn.XLOOKUP(B266,'Base stats'!B:B,'Base stats'!C:C)&lt;0.1,0.05,IF(_xlfn.XLOOKUP(B266,'Base stats'!B:B,'Base stats'!C:C)&lt;0.4,0.1,IF(_xlfn.XLOOKUP(B266,'Base stats'!B:B,'Base stats'!C:C)&lt;=70,(_xlfn.XLOOKUP(B266,'Base stats'!B:B,'Base stats'!C:C)/70)^0.445823913056526,IF(_xlfn.XLOOKUP(B266,'Base stats'!B:B,'Base stats'!C:C)&lt;=400,(_xlfn.XLOOKUP(B266,'Base stats'!B:B,'Base stats'!C:C)/70)^0.572811455315093,IF(_xlfn.XLOOKUP(B266,'Base stats'!B:B,'Base stats'!C:C)&lt;=2000,2.71391647193063*(_xlfn.XLOOKUP(B266,'Base stats'!B:B,'Base stats'!C:C)/400)^0.252459582904293,3.74314280240376*(_xlfn.XLOOKUP(B266,'Base stats'!B:B,'Base stats'!C:C)/2000)^0.357012633876913)))))),
IF(_xlfn.XLOOKUP(B266,'Base stats'!B:B,'Base stats'!C:C)&lt;0.1,0.05,IF(_xlfn.XLOOKUP(B266,'Base stats'!B:B,'Base stats'!C:C)&lt;=100,0.05,IF(_xlfn.XLOOKUP(B266,'Base stats'!B:B,'Base stats'!C:C)&lt;=250,0.1,IF(_xlfn.XLOOKUP(B266,'Base stats'!B:B,'Base stats'!C:C)&lt;=4000,0.25,0.5)))))</f>
        <v>2.25</v>
      </c>
      <c r="AP266" s="8">
        <f>MROUND(AO266*_xlfn.XLOOKUP(_xlfn.XLOOKUP(B266,'Base stats'!B:B,'Base stats'!E:E),Groups!A:A,Groups!AI:AI)*_xlfn.XLOOKUP(B266,'Base stats'!B:B,'Base stats'!Z:Z),0.05)</f>
        <v>2.25</v>
      </c>
      <c r="AQ266" s="8">
        <f>MAX(0.01,MROUND(IF(CC266="True",0.196*(AO266*100*1000)^0.889,IF(_xlfn.XLOOKUP(_xlfn.XLOOKUP(B266,'Base stats'!B:B,'Base stats'!E:E),Groups!A:A,Groups!AJ:AJ)="Bird",10.5*(AO266*100*1000)^0.681,4.82*(AO266*100*1000)^0.734))/(4.82*(1*100*1000)^0.734)/IF(AO266&lt;3.5,2,IF(AO266=3.5,1.5,1.25))*(1+0.132282374779864/(AO266^0.994035016789033+0.00905238001496948)),0.05))</f>
        <v>0.25</v>
      </c>
      <c r="AR266" s="9">
        <f>IFERROR(MROUND(_xlfn.XLOOKUP(B266,'Base stats'!B:B,'Base stats'!H:H)/IF(_xlfn.XLOOKUP(B266,'Base stats'!B:B,'Base stats'!I:I)&lt;&gt;1,(122.5/70),1.2),IF(_xlfn.XLOOKUP(B266,'Base stats'!B:B,'Base stats'!H:H)&gt;=30,5,IF(_xlfn.XLOOKUP(B266,'Base stats'!B:B,'Base stats'!H:H)&gt;=15,3,IF(_xlfn.XLOOKUP(B266,'Base stats'!B:B,'Base stats'!H:H)&gt;=10,2,1)))),"Immortal")</f>
        <v>12</v>
      </c>
      <c r="AS266" s="35" t="str">
        <f>IFERROR(IF(OR(_xlfn.XLOOKUP(B266,'Base stats'!B:B,'Base stats'!F:F)="Atypical reproduction",_xlfn.XLOOKUP(B266,'Base stats'!B:B,'Base stats'!F:F)="Lay eggs"),"Lay eggs",MIN(20,MAX(5.5,ROUND(((_xlfn.XLOOKUP(B266,'Base stats'!B:B,'Base stats'!F:F)-25)*(14.5/615) + 5.5)*2,0)/2))),"Unknown")</f>
        <v>Lay eggs</v>
      </c>
      <c r="AT266" s="8">
        <f>IF(_xlfn.XLOOKUP(B266,'Base stats'!B:B,'Base stats'!G:G)="Atypical reproduction","No",IFERROR(MAX(IF(_xlfn.XLOOKUP(B266,'Base stats'!B:B,'Base stats'!G:G)&lt;0.5,0.2,0.3),MROUND(_xlfn.XLOOKUP(B266,'Base stats'!B:B,'Base stats'!G:G)/(365/60),0.2)),"Unknown"))</f>
        <v>0.8</v>
      </c>
      <c r="AU266" s="8">
        <f t="shared" si="29"/>
        <v>0.4</v>
      </c>
      <c r="AV266" s="8" t="str">
        <f>IFERROR(IFERROR(MROUND(_xlfn.XLOOKUP(B266,'Base stats'!B:B,'Base stats'!J:J),0.1),"Lay eggs"),"Cannot breed")</f>
        <v>Lay eggs</v>
      </c>
      <c r="AW266" s="2" t="str">
        <f t="shared" si="30"/>
        <v>false</v>
      </c>
      <c r="AX266" s="2" t="str">
        <f>IF(_xlfn.XLOOKUP(_xlfn.XLOOKUP(Animals!B266,'Base stats'!B:B,'Base stats'!E:E),Groups!A:A,Groups!AK:AK)=1,"true","false")</f>
        <v>false</v>
      </c>
      <c r="AY266" s="25" t="str">
        <f>IF(_xlfn.XLOOKUP(B266,'Base stats'!B:B,'Base stats'!Y:Y)="Liquor","Liquor, CarnivoreAnimalStrict",IF(AND(_xlfn.XLOOKUP(B266,'Base stats'!B:B,'Base stats'!Y:Y)="Carnivore",_xlfn.XLOOKUP(_xlfn.XLOOKUP(B266,'Base stats'!B:B,'Base stats'!E:E),Groups!A:A,Groups!AJ:AJ)="Photonozoa"),"CarnivoreAnimalStrict, OvivoreAnimal",IF(_xlfn.XLOOKUP(B266,'Base stats'!B:B,'Base stats'!Y:Y)="Carnivore","CarnivoreAnimal, OvivoreAnimal",IF(_xlfn.XLOOKUP(B266,'Base stats'!B:B,'Base stats'!Y:Y)="Dendrovore","VegetarianRoughAnimal, DendrovoreAnimal",IF(_xlfn.XLOOKUP(B266,'Base stats'!B:B,'Base stats'!Y:Y)="Herbivore","VegetarianRoughAnimal",IF(_xlfn.XLOOKUP(B266,'Base stats'!B:B,'Base stats'!Y:Y)="OmnivoreRough","OmnivoreRoughAnimal, OvivoreAnimal","OmnivoreAnimal, OvivoreAnimal"))))))</f>
        <v>CarnivoreAnimal, OvivoreAnimal</v>
      </c>
      <c r="AZ266" s="2" t="str">
        <f>IF(_xlfn.XLOOKUP(_xlfn.XLOOKUP(B266,'Base stats'!B:B,'Base stats'!E:E),Groups!A:A,Groups!D:D)=1,MROUND((1-J266)*5+1,2)*IF(J266&lt;=0.4,2,1),"No")</f>
        <v>No</v>
      </c>
      <c r="BA266" s="2" t="str">
        <f>IF(AND(_xlfn.XLOOKUP(B266,'Base stats'!B:B,'Base stats'!AH:AH)="&lt;li&gt;Seal&lt;/li&gt;",G266="Odyssey"),"&lt;li&gt;AEXP_Seal&lt;/li&gt;",_xlfn.XLOOKUP(B266,'Base stats'!B:B,'Base stats'!AH:AH))</f>
        <v>&lt;li&gt;Megaspider&lt;/li&gt;</v>
      </c>
      <c r="BB266" s="2" t="str">
        <f>_xlfn.XLOOKUP(B266,'Base stats'!B:B,'Base stats'!AG:AG)</f>
        <v>Leather_Chitin</v>
      </c>
      <c r="BC266" s="23" t="str">
        <f>_xlfn.XLOOKUP(_xlfn.XLOOKUP(B266,'Base stats'!B:B,'Base stats'!E:E),Groups!A:A,Groups!AL:AL)</f>
        <v>Arachnid</v>
      </c>
      <c r="BD266" s="23">
        <f>MIN(1,MROUND(IF(AND(AO266&lt;0.5,_xlfn.XLOOKUP(B266,'Base stats'!B:B,'Base stats'!AA:AA)=0),0,IF(OR(_xlfn.XLOOKUP(Animals!B266,'Base stats'!B:B,'Base stats'!O:O)=2,_xlfn.XLOOKUP(_xlfn.XLOOKUP(B266,'Base stats'!B:B,'Base stats'!E:E),Groups!A:A,Groups!AN:AN)=0),0,_xlfn.XLOOKUP(_xlfn.XLOOKUP(B266,'Base stats'!B:B,'Base stats'!E:E),Groups!A:A,Groups!AN:AN)/IF(_xlfn.XLOOKUP(Animals!B266,'Base stats'!B:B,'Base stats'!O:O)=1,2,1)))+_xlfn.XLOOKUP(B266,'Base stats'!B:B,'Base stats'!AC:AC),0.005))</f>
        <v>0.1</v>
      </c>
      <c r="BE266" s="23">
        <f>MIN(1,MROUND(IF(AND(AO266&lt;0.5,_xlfn.XLOOKUP(B266,'Base stats'!B:B,'Base stats'!AA:AA)=0),0,IF(_xlfn.XLOOKUP(_xlfn.XLOOKUP(B266,'Base stats'!B:B,'Base stats'!E:E),Groups!A:A,Groups!AO:AO)=0,0,_xlfn.XLOOKUP(_xlfn.XLOOKUP(B266,'Base stats'!B:B,'Base stats'!E:E),Groups!A:A,Groups!AO:AO)/IF(_xlfn.XLOOKUP(Animals!B266,'Base stats'!B:B,'Base stats'!O:O)=2,3,1)))+_xlfn.XLOOKUP(B266,'Base stats'!B:B,'Base stats'!AD:AD),0.005))</f>
        <v>1</v>
      </c>
      <c r="BF266" s="2" t="str">
        <f>IF(J266&gt;0.3,"No",_xlfn.XLOOKUP(_xlfn.XLOOKUP(Animals!B266,'Base stats'!B:B,'Base stats'!E:E),Groups!A:A,Groups!AP:AP))</f>
        <v>No</v>
      </c>
      <c r="BG266" s="2" t="str">
        <f>IF(AND(J266&lt;=0.65,_xlfn.XLOOKUP(_xlfn.XLOOKUP(Animals!B266,'Base stats'!B:B,'Base stats'!E:E),Groups!A:A,Groups!AP:AP)&lt;&gt;"No",_xlfn.XLOOKUP(_xlfn.XLOOKUP(B266,'Base stats'!B:B,'Base stats'!E:E),Groups!A:A,Groups!D:D)=0),MROUND((80/3)*IF(_xlfn.XLOOKUP(B266,'Base stats'!B:B,'Base stats'!O:O)=2,0.2,AO266) + 24*(1-IF(BF266="No",0,BF266)) + 16/3, 12),"No")</f>
        <v>No</v>
      </c>
      <c r="BH266" s="2">
        <f>IF(AND(_xlfn.XLOOKUP(_xlfn.XLOOKUP(B266,'Base stats'!B:B,'Base stats'!E:E),Groups!A:A,Groups!AQ:AQ)=1,AO266&lt;=0.35),8,12)</f>
        <v>12</v>
      </c>
      <c r="BI266" s="2" t="str">
        <f>IF(_xlfn.XLOOKUP(_xlfn.XLOOKUP(B266,'Base stats'!B:B,'Base stats'!E:E),Groups!A:A,Groups!D:D)=0,_xlfn.XLOOKUP(_xlfn.XLOOKUP(B266,'Base stats'!B:B,'Base stats'!E:E),Groups!A:A,Groups!AR:AR),"None")</f>
        <v>Intermediate</v>
      </c>
      <c r="BJ266" s="2" t="str">
        <f>IF(AND(_xlfn.XLOOKUP(_xlfn.XLOOKUP(B266,'Base stats'!B:B,'Base stats'!E:E),Groups!A:A,Groups!AS:AS)=1,OR(_xlfn.XLOOKUP(B266,'Base stats'!B:B,'Base stats'!Y:Y)="Carnivore",_xlfn.XLOOKUP(B266,'Base stats'!B:B,'Base stats'!Y:Y)="Omnivore")),"true","false")</f>
        <v>true</v>
      </c>
      <c r="BK266" s="2">
        <f>IF(BJ266="true",MROUND(IF(AND(AO266&gt;0.5,OR(_xlfn.XLOOKUP(_xlfn.XLOOKUP(B266,'Base stats'!B:B,'Base stats'!E:E),Groups!A:A,Groups!AJ:AJ)="Photonozoa",_xlfn.XLOOKUP(_xlfn.XLOOKUP(B266,'Base stats'!B:B,'Base stats'!E:E),Groups!A:A,Groups!AJ:AJ)="Mammal")),Animals!AO266*1.75*IF(AW266="true",1.5,1),IF(AO266&lt;0.5,Animals!AO266*0.5,Animals!AO266)),IF(AO266&gt;2,0.5,IF(AO266&gt;0.5,0.25,0.1))),"No")</f>
        <v>2.5</v>
      </c>
      <c r="BL266" s="2">
        <f t="shared" si="31"/>
        <v>1</v>
      </c>
      <c r="BM266" s="25" t="str">
        <f>IF(_xlfn.XLOOKUP(B266,'Base stats'!B:B,'Base stats'!AN:AN)="Standard","No",MROUND((_xlfn.XLOOKUP(B266,'Base stats'!B:B,'Base stats'!AN:AN)/3.6)/I266,0.1))</f>
        <v>No</v>
      </c>
      <c r="BN266" s="25" t="str">
        <f t="shared" si="32"/>
        <v>false</v>
      </c>
      <c r="BO266" s="25" t="str">
        <f>IF(AND(OR(_xlfn.XLOOKUP(B266,'Base stats'!B:B,'Base stats'!Y:Y)="Carnivore",_xlfn.XLOOKUP(B266,'Base stats'!B:B,'Base stats'!Y:Y)="Omnivore",_xlfn.XLOOKUP(B266,'Base stats'!B:B,'Base stats'!Y:Y)="OmnivoreRough"),_xlfn.XLOOKUP(_xlfn.XLOOKUP(B266,'Base stats'!B:B,'Base stats'!E:E),Groups!A:A,Groups!AT:AT)=1),"true","false")</f>
        <v>false</v>
      </c>
      <c r="BP266" s="25" t="str" cm="1">
        <f t="array" ref="BP266">IF(
  _xlfn.TEXTJOIN(", ",TRUE,
    IF(AND(BJ266="true",AO266&gt;0.5,BI266&lt;&gt;"None"),"AttackTarget",""),
    IF(AND(_xlfn.XLOOKUP(_xlfn.XLOOKUP(B266,'Base stats'!B:B,'Base stats'!E:E),Groups!A:A,Groups!AJ:AJ="Mammal"),OR(_xlfn.XLOOKUP(B266,'Base stats'!B:B,'Base stats'!Y:Y)="Omnivore",_xlfn.XLOOKUP(B266,'Base stats'!B:B,'Base stats'!Y:Y)="OmnivoreRough")),"Forage",""),
    IF(BG266&lt;=36,"Comfort",""),
    IF(_xlfn.XLOOKUP(B266,'Base stats'!B:B,'Base stats'!AE:AE)&lt;&gt;"No",_xlfn.XLOOKUP(B266,'Base stats'!B:B,'Base stats'!AE:AE),"")
  ) = "",
  "No",
  _xlfn.TEXTJOIN(", ",TRUE,
    IF(AND(BJ266="true",AO266&gt;0.5,BI266&lt;&gt;"None"),"AttackTarget",""),
    IF(AND(_xlfn.XLOOKUP(_xlfn.XLOOKUP(B266,'Base stats'!B:B,'Base stats'!E:E),Groups!A:A,Groups!AJ:AJ="Mammal"),OR(_xlfn.XLOOKUP(B266,'Base stats'!B:B,'Base stats'!Y:Y)="Omnivore",_xlfn.XLOOKUP(B266,'Base stats'!B:B,'Base stats'!Y:Y)="OmnivoreRough")),"Forage",""),
    IF(BG266&lt;=36,"Comfort",""),
    IF(_xlfn.XLOOKUP(B266,'Base stats'!B:B,'Base stats'!AE:AE)&lt;&gt;"No",_xlfn.XLOOKUP(B266,'Base stats'!B:B,'Base stats'!AE:AE),"")
  )
)</f>
        <v>AttackTarget</v>
      </c>
      <c r="BQ266" s="25" t="str">
        <f>IF(
   AND(
      'Base stats'!AN266="Standard",_xlfn.XLOOKUP(_xlfn.XLOOKUP(B266,'Base stats'!B:B,'Base stats'!E:E),Groups!A:A,Groups!AU:AU)=0,
      OR(
      BO266="True"
      )
   ),
   10,
   IF(
       OR(BM266&lt;&gt;"No",_xlfn.XLOOKUP(_xlfn.XLOOKUP(B266,'Base stats'!B:B,'Base stats'!E:E),Groups!A:A,Groups!AU:AU)=1),
      1,
      "No"
   )
)</f>
        <v>No</v>
      </c>
      <c r="BR266" s="9">
        <f>MROUND((1 + ((0.2*IF(OR(Q266="No",R266="No",R266=0),0,Q266/R266)
+IF(OR(V266="No",S266="No",T266="No"),0,S266/T266*(LEN(V266)-LEN(SUBSTITUTE(V266,",",""))+1))
+IF(OR(X266="No",Y266="No"),0,X266/Y266)
+IF(OR(AD266="No",AE266="No"),0,AD266/AE266)
+IF(OR(AL266="No",AI266="No",AJ266="No"),0,AI266/AJ266*(LEN(AL266)-LEN(SUBSTITUTE(AL266,",",""))+1))
)/(0.2*IF(OR(Q266="No",R266="No",R266=0),0,1)
+IF(OR(V266="No",S266="No",T266="No"),0,LEN(V266)-LEN(SUBSTITUTE(V266,",",""))+1)
+IF(OR(X266="No",Y266="No"),0,1)
+IF(OR(AD266="No",AE266="No"),0,1)
+IF(OR(AL266="No",AI266="No",AJ266="No"),0,LEN(AL266)-LEN(SUBSTITUTE(AL266,",",""))+1))*62%)* 2)*(1 + (AP266 / (IF(_xlfn.XLOOKUP(_xlfn.XLOOKUP(B266,'Base stats'!B:B,'Base stats'!E:E),Groups!A:A,Groups!AJ:AJ)="Photonozoa",0.3,1)) + _xlfn.XLOOKUP(B266,'Base stats'!B:B,'Base stats'!AV:AV) * 1.8) * 2) * 2.5 + 10 + I266 * 2,5)+IF(_xlfn.XLOOKUP(B266,'Base stats'!B:B,'Base stats'!AK:AK)=1,50,0)</f>
        <v>250</v>
      </c>
      <c r="BS266" s="8">
        <f t="shared" si="33"/>
        <v>0.65</v>
      </c>
      <c r="BT266" s="8" t="str">
        <f>_xlfn.XLOOKUP(B266,'Base stats'!B:B,'Base stats'!AF:AF)</f>
        <v>No</v>
      </c>
      <c r="BU266" s="2" t="str">
        <f>IF(AND(J266&lt;=0.95,OR(_xlfn.XLOOKUP(B266,'Base stats'!B:B,'Base stats'!AK:AK)=1,_xlfn.XLOOKUP(B266,'Base stats'!B:B,'Base stats'!Y:Y)="Carnivore",_xlfn.XLOOKUP(B266,'Base stats'!B:B,'Base stats'!Y:Y)="Omnivore",BE266&gt;0.1)),"true","false")</f>
        <v>true</v>
      </c>
      <c r="BV266" s="2" t="str">
        <f>IF(_xlfn.XLOOKUP(B266,'Base stats'!B:B,'Base stats'!AI:AI)=1,"true","false")</f>
        <v>false</v>
      </c>
      <c r="BW266" s="25" t="str">
        <f>IF(E266="BaseInsect","AnimalInsect",
IF(J266&gt;0.95,"AnimalExotic",
_xlfn.TEXTJOIN(", ",TRUE,
IF(OR(_xlfn.XLOOKUP(B266,'Base stats'!B:B,'Base stats'!AM:AM)=1,AND(_xlfn.XLOOKUP(B266,'Base stats'!B:B,'Base stats'!O:O)=0,_xlfn.XLOOKUP(_xlfn.XLOOKUP(B266,'Base stats'!B:B,'Base stats'!E:E),Groups!A:A,Groups!B:B)&gt;0)),"AnimalUncommon","AnimalCommon"),
IF(AND(_xlfn.XLOOKUP(B266,'Base stats'!B:B,'Base stats'!O:O)=2,_xlfn.XLOOKUP(_xlfn.XLOOKUP(B266,'Base stats'!B:B,'Base stats'!E:E),Groups!A:A,Groups!D:D)=0),"AnimalPet",IF(AND(_xlfn.XLOOKUP(B266,'Base stats'!B:B,'Base stats'!O:O)&lt;&gt;0,_xlfn.XLOOKUP(_xlfn.XLOOKUP(B266,'Base stats'!B:B,'Base stats'!E:E),Groups!A:A,Groups!D:D)&lt;&gt;0),"AnimalFarm","")),
IF(OR(_xlfn.XLOOKUP(B266,'Base stats'!B:B,'Base stats'!AK:AK)=1,AND(BI266&lt;&gt;"None",BR266&gt;=60),ISNUMBER(SEARCH("Attack target",BP266))),"AnimalFighter","")
)))</f>
        <v>AnimalUncommon, AnimalFighter</v>
      </c>
      <c r="BX266" s="25" t="str">
        <f>IF(G266="None",TRIM(
SUBSTITUTE(
IF(COUNTIF(Biomes!B$2:B$259,"="&amp;$C266)&gt;0,Biomes!B$1&amp;", ","")&amp;
IF(COUNTIF(Biomes!C$2:C$259,"="&amp;$C266)&gt;0,Biomes!C$1&amp;", ","")&amp;
IF(COUNTIF(Biomes!D$2:D$259,"="&amp;$C266)&gt;0,Biomes!D$1&amp;", ","")&amp;
IF(COUNTIF(Biomes!F$2:F$259,"="&amp;$C266)&gt;0,Biomes!F$1&amp;", ","")&amp;
IF(COUNTIF(Biomes!G$2:G$259,"="&amp;$C266)&gt;0,Biomes!G$1&amp;", ","")&amp;
IF(COUNTIF(Biomes!H$2:H$259,"="&amp;$C266)&gt;0,Biomes!H$1&amp;", ","")&amp;
IF(COUNTIF(Biomes!I$2:I$259,"="&amp;$C266)&gt;0,Biomes!I$1&amp;", ","")&amp;
IF(COUNTIF(Biomes!J$2:J$259,"="&amp;$C266)&gt;0,Biomes!J$1&amp;", ","")&amp;
IF(COUNTIF(Biomes!M$2:M$259,"="&amp;$C266)&gt;0,Biomes!M$1&amp;", ","")&amp;
IF(COUNTIF(Biomes!N$2:N$259,"="&amp;$C266)&gt;0,Biomes!N$1&amp;", ","")&amp;
IF(COUNTIF(Biomes!O$2:O$259,"="&amp;$C266)&gt;0,Biomes!O$1&amp;", ","")&amp;
IF(COUNTIF(Biomes!P$2:P$259,"="&amp;$C266)&gt;0,Biomes!P$1&amp;", ","")&amp;
IF(COUNTIF(Biomes!K$2:K$259,"="&amp;$C266)&gt;0,Biomes!K$1&amp;", ","")&amp;
IF(COUNTIF(Biomes!Q$3:Q$259,"="&amp;$C266)&gt;0,Biomes!Q$1&amp;", ","")&amp;
IF(COUNTIF(Biomes!L$2:L$259,"="&amp;$C266)&gt;0,Biomes!L$1&amp;", ","")&amp;
IF(COUNTIF(Biomes!E$2:E$259,"="&amp;$C266)&gt;0,Biomes!E$1&amp;", ","")&amp;IF(COUNTIF(Biomes!S$2:S$259,"="&amp;$C266)&gt;0,Biomes!S$1&amp;", ","")&amp;
IF(COUNTIF(Biomes!R$2:R$259,"="&amp;$C266)&gt;0,Biomes!R$1&amp;", ",""),", ","")
),_xlfn.XLOOKUP(B266,B:B,BX:BX))</f>
        <v>TemperateForest TemperateSwamp TropicalRainforest TropicalSwamp</v>
      </c>
      <c r="BY266" s="25" t="str">
        <f>IF(_xlfn.XLOOKUP(B266,'Base stats'!B:B,'Base stats'!AJ:AJ)=1,"true","false")</f>
        <v>false</v>
      </c>
      <c r="BZ266" s="25">
        <f>IF(_xlfn.XLOOKUP(B266,'Base stats'!B:B,'Base stats'!N:N)=1,"No",MAX(0.001,MIN(MROUND(IF(AND(BJ266="True",CC266="False"),POWER(10,3.47*LOG10(_xlfn.XLOOKUP(B266,'Base stats'!B:B,'Base stats'!C:C)*1000)^-0.96),POWER(10,4.15*LOG10(_xlfn.XLOOKUP(B266,'Base stats'!B:B,'Base stats'!C:C)*1000)^-0.73))*IF(_xlfn.XLOOKUP(B266,'Base stats'!B:B,'Base stats'!AK:AK)=1,0.5,1)*IF(_xlfn.XLOOKUP(B266,'Base stats'!B:B,'Base stats'!AM:AM)=1,0.1,1)/100,IF(_xlfn.XLOOKUP(B266,'Base stats'!B:B,'Base stats'!AM:AM)=1,0.001,0.025)),0.5)))</f>
        <v>1.6E-2</v>
      </c>
      <c r="CA266" s="25" t="str">
        <f>IF(P266="Standard","No",MAX(0.001,MIN(MROUND(IF(AND(BJ266="True",CC266="False"),POWER(10,3.47*LOG10(_xlfn.XLOOKUP(B266,'Base stats'!B:B,'Base stats'!C:C)*1000)^-0.96),POWER(10,4.15*LOG10(_xlfn.XLOOKUP(B266,'Base stats'!B:B,'Base stats'!C:C)*1000)^-0.73))*IF(_xlfn.XLOOKUP(B266,'Base stats'!B:B,'Base stats'!AM:AM)=1,0.1,1)*_xlfn.XLOOKUP(B266,'Base stats'!B:B,'Base stats'!R:R)/100,IF(_xlfn.XLOOKUP(B266,'Base stats'!B:B,'Base stats'!AM:AM)=1,0.001,0.025)),0.5)))</f>
        <v>No</v>
      </c>
      <c r="CB266" s="25" t="str">
        <f>IF(_xlfn.XLOOKUP(_xlfn.XLOOKUP(B266,'Base stats'!B:B,'Base stats'!E:E),Groups!A:A,Groups!AJ:AJ)="Mammal","True","False")</f>
        <v>False</v>
      </c>
      <c r="CC266" s="25" t="str">
        <f>IF(OR(_xlfn.XLOOKUP(_xlfn.XLOOKUP(B266,'Base stats'!B:B,'Base stats'!E:E),Groups!A:A,Groups!AJ:AJ)="Reptile",_xlfn.XLOOKUP(_xlfn.XLOOKUP(B266,'Base stats'!B:B,'Base stats'!E:E),Groups!A:A,Groups!AJ:AJ)="Amphibian",_xlfn.XLOOKUP(_xlfn.XLOOKUP(B266,'Base stats'!B:B,'Base stats'!E:E),Groups!A:A,Groups!AJ:AJ)="Invertebrate"),"True","False")</f>
        <v>True</v>
      </c>
      <c r="CD266" s="25" t="str">
        <f t="shared" si="34"/>
        <v>False</v>
      </c>
      <c r="CE266" s="25" t="str">
        <f>IF(_xlfn.XLOOKUP(_xlfn.XLOOKUP(B266,'Base stats'!B:B,'Base stats'!E:E),Groups!A:A,Groups!AX:AX),"True","False")</f>
        <v>False</v>
      </c>
      <c r="CF266" s="25" t="str">
        <f>IF(_xlfn.XLOOKUP(_xlfn.XLOOKUP(B266,'Base stats'!B:B,'Base stats'!E:E),Groups!A:A,Groups!AY:AY),"True","False")</f>
        <v>False</v>
      </c>
      <c r="CG266" s="25" t="str">
        <f>IF(_xlfn.XLOOKUP(_xlfn.XLOOKUP(B266,'Base stats'!B:B,'Base stats'!E:E),Groups!A:A,Groups!AW:AW),"True","False")</f>
        <v>False</v>
      </c>
      <c r="CH266" s="25" t="str">
        <f>IF(
OR(
_xlfn.XLOOKUP(_xlfn.XLOOKUP(B266,'Base stats'!B:B,'Base stats'!E:E),Groups!A:A,Groups!AZ:AZ)=0,
AND(
_xlfn.XLOOKUP(B266,'Base stats'!B:B,'Base stats'!Y:Y)&lt;&gt;"Carnivore",
_xlfn.XLOOKUP(B266,'Base stats'!B:B,'Base stats'!Y:Y)&lt;&gt;"Omnivore",
_xlfn.XLOOKUP(B266,'Base stats'!B:B,'Base stats'!Y:Y)&lt;&gt;"OmnivoreRough"
)
),
"No",
IF(
_xlfn.XLOOKUP(_xlfn.XLOOKUP(B266,'Base stats'!B:B,'Base stats'!E:E),Groups!A:A,Groups!AZ:AZ)=1,
"Flesh",
IF(
_xlfn.XLOOKUP(_xlfn.XLOOKUP(B266,'Base stats'!B:B,'Base stats'!E:E),Groups!A:A,Groups!AZ:AZ)=2,
"Bone",
""
)
)
)</f>
        <v>No</v>
      </c>
      <c r="CI266" s="25" t="str">
        <f>IF(_xlfn.XLOOKUP(_xlfn.XLOOKUP(B266,'Base stats'!B:B,'Base stats'!E:E),Groups!A:A,Groups!BB:BB),"True","False")</f>
        <v>False</v>
      </c>
      <c r="CJ266" s="25" t="str">
        <f>IF(_xlfn.XLOOKUP(_xlfn.XLOOKUP(B266,'Base stats'!B:B,'Base stats'!E:E),Groups!A:A,Groups!BA:BA),"True","False")</f>
        <v>False</v>
      </c>
    </row>
    <row r="267" spans="1:88" ht="16.5" thickTop="1" thickBot="1" x14ac:dyDescent="0.3">
      <c r="A267" s="26" t="s">
        <v>1440</v>
      </c>
      <c r="B267" s="6" t="str">
        <f>_xlfn.XLOOKUP(A267,'Base stats'!A:A,'Base stats'!B:B)</f>
        <v>Araneodraco ferus (clutch mother)</v>
      </c>
      <c r="C267" s="28" t="s">
        <v>1441</v>
      </c>
      <c r="D267" s="28" t="s">
        <v>1341</v>
      </c>
      <c r="E267" s="28" t="s">
        <v>1747</v>
      </c>
      <c r="F267" s="28" t="s">
        <v>673</v>
      </c>
      <c r="G267" s="28" t="s">
        <v>673</v>
      </c>
      <c r="H267" s="2">
        <f>MROUND((
  (IF(AND(_xlfn.XLOOKUP(B267,'Base stats'!B:B,'Base stats'!AL:AL)=0,BI267="None",_xlfn.XLOOKUP(_xlfn.XLOOKUP(B267,'Base stats'!B:B,'Base stats'!E:E),Groups!A:A,Groups!B:B)=0), (18 + BR267 * 2.7) * 0.5,
    IF(AND(_xlfn.XLOOKUP(B267,'Base stats'!B:B,'Base stats'!AL:AL)=0,OR(AO267&lt;0.55,AND(BI267="Intermediate",_xlfn.XLOOKUP(_xlfn.XLOOKUP(B267,'Base stats'!B:B,'Base stats'!E:E),Groups!A:A,Groups!B:B)&lt;2))), (18 + BR267 * 2.7),
      IF(OR(BI267="Advanced",_xlfn.XLOOKUP(B267,'Base stats'!B:B,'Base stats'!AL:AL)=1,_xlfn.XLOOKUP(_xlfn.XLOOKUP(B267,'Base stats'!B:B,'Base stats'!E:E),Groups!A:A,Groups!B:B)=2), (18 + BR267 * 2.7) + 250, (18 + BR267 * 2.7))
    )
  ))
  + AO267 * 80
  + IF(COUNTIF(EggMilk!K$2:K$998, A267) &gt; 0, 125, 0)
  + IF(COUNTIF(EggMilk!P$2:P$998, A267) &gt; 0, 90, 0)
  + IF(COUNTIF(EggMilk!A$2:A$998, A267) &gt; 0, 90, 0)
)
* (0.8 + 0.4 * J267)
* 0.75,25)</f>
        <v>1300</v>
      </c>
      <c r="I267" s="2">
        <f>MROUND(ROUNDDOWN(_xlfn.XLOOKUP(B267,'Base stats'!B:B,'Base stats'!L:L)/3.6/(23.3/11),1),0.5)</f>
        <v>4</v>
      </c>
      <c r="J267" s="2">
        <f>IF(OR(_xlfn.XLOOKUP(B267,'Base stats'!B:B,'Base stats'!AB:AB)=1,_xlfn.XLOOKUP(_xlfn.XLOOKUP(B267,'Base stats'!B:B,'Base stats'!E:E),Groups!A:A,Groups!C:C)="Untamable"),1,IF(_xlfn.XLOOKUP(B267,'Base stats'!B:B,'Base stats'!AL:AL)=1,0.99,MIN(MROUND((1-0.6282*EXP(-0.459*AO267))*_xlfn.XLOOKUP(_xlfn.XLOOKUP(B267,'Base stats'!B:B,'Base stats'!E:E),Groups!A:A,Groups!C:C)*IF(_xlfn.XLOOKUP(B267,'Base stats'!B:B,'Base stats'!O:O)=1,0.5,IF(_xlfn.XLOOKUP(B267,'Base stats'!B:B,'Base stats'!O:O)=2,0,1)),0.05),IF(AO267&gt;3.5,0.985,0.95))))</f>
        <v>1</v>
      </c>
      <c r="K267" s="2">
        <f>ROUNDUP(AO267*_xlfn.XLOOKUP(_xlfn.XLOOKUP(B267,'Base stats'!B:B,'Base stats'!E:E),Groups!A:A,Groups!E:E),0)</f>
        <v>4</v>
      </c>
      <c r="L267" s="2">
        <f>IF(OR(_xlfn.XLOOKUP(_xlfn.XLOOKUP(B267,'Base stats'!B:B,'Base stats'!E:E),Groups!A:A,Groups!F:F)=2,ISNUMBER(SEARCH("SeaIce",BX267)),ISNUMBER(SEARCH("IceSheet",BX267))),-50,IF(OR(ISNUMBER(SEARCH("GlacialPlain",BX267)),ISNUMBER(SEARCH("Tundra",BX267))),-40,IF(OR(ISNUMBER(SEARCH("Alpine",BX267)),ISNUMBER(SEARCH("BorealForest",BX267)),ISNUMBER(SEARCH("ColdBog",BX267))),-30,IF(OR(ISNUMBER(SEARCH("TemperateForest",BX267)),ISNUMBER(SEARCH("TemperateSwamp",BX267))),-20,IF(_xlfn.XLOOKUP(_xlfn.XLOOKUP(B267,'Base stats'!B:B,'Base stats'!E:E),Groups!A:A,Groups!F:F)=1,-15,IF(OR(ISNUMBER(SEARCH("Desert",BX267)),ISNUMBER(SEARCH("ExtremeDesert",BX267))),-10,IF(OR(ISNUMBER(SEARCH("Grasslands",BX267)),ISNUMBER(SEARCH("TropicalRainforest",BX267)),ISNUMBER(SEARCH("TropicalSwamp",BX267))),10,0)))))))-IF(CC267="False",MIN(IFERROR(MAX(MROUND(LOG10(_xlfn.XLOOKUP(B267,'Base stats'!B:B,'Base stats'!C:C)^(2/3))*10,5),5),5),30))-_xlfn.XLOOKUP(B267,'Base stats'!B:B,'Base stats'!P:P)+IF(CC267="True",5,0)</f>
        <v>5</v>
      </c>
      <c r="M267" s="2">
        <f>IF(OR(_xlfn.XLOOKUP(_xlfn.XLOOKUP(B267,'Base stats'!B:B,'Base stats'!E:E),Groups!A:A,Groups!G:G)=2,ISNUMBER(SEARCH("Desert",BX267)),ISNUMBER(SEARCH("ExtremeDesert",BX267)),ISNUMBER(SEARCH("LavaField",BX267))),50,IF(ISNUMBER(SEARCH("Grasslands",BX267)),45,IF(OR(_xlfn.XLOOKUP(_xlfn.XLOOKUP(B267,'Base stats'!B:B,'Base stats'!E:E),Groups!A:A,Groups!G:G)=1,ISNUMBER(SEARCH("TropicalRainforest",BX267)),ISNUMBER(SEARCH("TropicalSwamp",BX267))),40,IF(OR(ISNUMBER(SEARCH("TemperateForest",BX267)),ISNUMBER(SEARCH("TemperateSwamp",BX267))),35,IF(OR(ISNUMBER(SEARCH("Alpine",BX267)),ISNUMBER(SEARCH("BorealForest",BX267)),ISNUMBER(SEARCH("ColdBog",BX267))),30,IF(ISNUMBER(OR(ISNUMBER(SEARCH("GlacialPlain",BX267)),SEARCH("Tundra",BX267))),25,IF(OR(ISNUMBER(SEARCH("SeaIce",BX267)),ISNUMBER(SEARCH("IceSheet",BX267)),ISNUMBER(SEARCH("TropicalSwamp",BX267))),10,35)))))))+_xlfn.XLOOKUP(B267,'Base stats'!B:B,'Base stats'!Q:Q)</f>
        <v>35</v>
      </c>
      <c r="N267" s="8">
        <f>IF(
_xlfn.XLOOKUP(
_xlfn.XLOOKUP(B267,'Base stats'!B:B,'Base stats'!E:E),
Groups!A:A,
Groups!L:L
)=1,
MIN(
MROUND(
IF(
_xlfn.XLOOKUP(B267,'Animals CE'!B:B,'Animals CE'!Z:Z)&lt;=1.5,
_xlfn.XLOOKUP(B267,'Animals CE'!B:B,'Animals CE'!Z:Z)/2+0.05,
0.8+
(_xlfn.XLOOKUP(B267,'Animals CE'!B:B,'Animals CE'!Z:Z)-1.5)
*0.02
),
0.05
),
200%
),
"No"
)</f>
        <v>0.8</v>
      </c>
      <c r="O267" s="8">
        <f>IF(
_xlfn.XLOOKUP(
_xlfn.XLOOKUP(B267,'Base stats'!B:B,'Base stats'!E:E),
Groups!A:A,
Groups!L:L
)=1,
MIN(
MROUND(
IF(
_xlfn.XLOOKUP(B267,'Animals CE'!B:B,'Animals CE'!AA:AA)&lt;=1.5,
_xlfn.XLOOKUP(B267,'Animals CE'!B:B,'Animals CE'!AA:AA)/2+0.05,
0.8+
(_xlfn.XLOOKUP(B267,'Animals CE'!B:B,'Animals CE'!AA:AA)-1.5)
*0.02
),
0.05
),
200%
),
"No"
)</f>
        <v>0.2</v>
      </c>
      <c r="P267" s="2" t="str">
        <f>_xlfn.XLOOKUP(B267,'Base stats'!B:B,'Base stats'!R:R)</f>
        <v>Standard</v>
      </c>
      <c r="Q267" s="13">
        <f>MROUND((LOG10(_xlfn.XLOOKUP(B267,'Base stats'!B:B,'Base stats'!AR:AR))*(AO267^0.5)+(_xlfn.XLOOKUP(B267,'Base stats'!B:B,'Base stats'!AR:AR)/1000)^(2/3)+_xlfn.XLOOKUP(B267,'Base stats'!B:B,'Base stats'!BA:BA)/2)+0.5,0.5)</f>
        <v>20.5</v>
      </c>
      <c r="R267" s="7">
        <f>IF(Q267="No","No",MAX(1,MROUND(_xlfn.XLOOKUP(B267,'Base stats'!B:B,'Base stats'!C:C)^0.165,0.05)))</f>
        <v>3.1500000000000004</v>
      </c>
      <c r="S267" s="13" t="str">
        <f>IF(_xlfn.XLOOKUP(_xlfn.XLOOKUP(B267,'Base stats'!B:B,'Base stats'!E:E),Groups!A:A,Groups!P:P)=0,"No",MROUND((LOG10(_xlfn.XLOOKUP(B267,'Base stats'!B:B,'Base stats'!AS:AS))*(AO267^0.5)+(_xlfn.XLOOKUP(B267,'Base stats'!B:B,'Base stats'!AS:AS)/1000)^(2/3)+_xlfn.XLOOKUP(B267,'Base stats'!B:B,'Base stats'!BA:BA))+_xlfn.XLOOKUP(B267,'Base stats'!B:B,'Base stats'!AY:AY)+0.5,0.5))</f>
        <v>No</v>
      </c>
      <c r="T267" s="7" t="str">
        <f>IF(S267="No","No",MAX(_xlfn.XLOOKUP(_xlfn.XLOOKUP(B267,'Base stats'!B:B,'Base stats'!E:E),Groups!A:A,Groups!Q:Q),MROUND(_xlfn.XLOOKUP(_xlfn.XLOOKUP(B267,'Base stats'!B:B,'Base stats'!E:E),Groups!A:A,Groups!Q:Q)*_xlfn.XLOOKUP(B267,'Base stats'!B:B,'Base stats'!C:C)^0.165,0.05)))</f>
        <v>No</v>
      </c>
      <c r="U267" s="7" t="str">
        <f>IF(S267="No","No",_xlfn.XLOOKUP(_xlfn.XLOOKUP(B267,'Base stats'!B:B,'Base stats'!E:E),Groups!A:A,Groups!R:R))</f>
        <v>No</v>
      </c>
      <c r="V267" s="7" t="str">
        <f>IF(S267="No","No",_xlfn.XLOOKUP(_xlfn.XLOOKUP(B267,'Base stats'!B:B,'Base stats'!E:E),Groups!A:A,Groups!S:S))</f>
        <v>No</v>
      </c>
      <c r="W267" s="7" t="str">
        <f>IF(S267="No","No",_xlfn.XLOOKUP(_xlfn.XLOOKUP(B267,'Base stats'!B:B,'Base stats'!E:E),Groups!A:A,Groups!T:T))</f>
        <v>No</v>
      </c>
      <c r="X267" s="13" t="str">
        <f>IF(_xlfn.XLOOKUP(B267,'Base stats'!B:B,'Base stats'!W:W)="No","No",MROUND((LOG10(_xlfn.XLOOKUP(B267,'Base stats'!B:B,'Base stats'!AU:AU))*(AO267^0.5)+(_xlfn.XLOOKUP(B267,'Base stats'!B:B,'Base stats'!AU:AU)/1000)^(2/3)+_xlfn.XLOOKUP(B267,'Base stats'!B:B,'Base stats'!AZ:AZ))+0.5+IF(_xlfn.XLOOKUP(_xlfn.XLOOKUP(B267,'Base stats'!B:B,'Base stats'!E:E),Groups!A:A,Groups!U:U)&lt;&gt;3,_xlfn.XLOOKUP(B267,'Base stats'!B:B,'Base stats'!BA:BA),0),0.5))</f>
        <v>No</v>
      </c>
      <c r="Y267" s="7" t="str">
        <f>IF(X267="No","No",MAX(_xlfn.XLOOKUP(_xlfn.XLOOKUP(B267,'Base stats'!B:B,'Base stats'!E:E),Groups!A:A,Groups!V:V),MROUND(_xlfn.XLOOKUP(_xlfn.XLOOKUP(B267,'Base stats'!B:B,'Base stats'!E:E),Groups!A:A,Groups!V:V)*_xlfn.XLOOKUP(B267,'Base stats'!B:B,'Base stats'!C:C)^0.165,0.05)))</f>
        <v>No</v>
      </c>
      <c r="Z267" s="7" t="str">
        <f>IF(X267="No","No",_xlfn.XLOOKUP(_xlfn.XLOOKUP(B267,'Base stats'!B:B,'Base stats'!E:E),Groups!A:A,Groups!W:W))</f>
        <v>No</v>
      </c>
      <c r="AA267" s="7" t="str">
        <f>IF(X267="No","No",_xlfn.XLOOKUP(_xlfn.XLOOKUP(B267,'Base stats'!B:B,'Base stats'!E:E),Groups!A:A,Groups!X:X))</f>
        <v>No</v>
      </c>
      <c r="AB267" s="7" t="str">
        <f>IF(X267="No","No",_xlfn.XLOOKUP(_xlfn.XLOOKUP(B267,'Base stats'!B:B,'Base stats'!E:E),Groups!A:A,Groups!Y:Y))</f>
        <v>No</v>
      </c>
      <c r="AC267" s="7" t="str">
        <f>_xlfn.XLOOKUP(Animals!B267,'Base stats'!B:B,'Base stats'!X:X)</f>
        <v>False</v>
      </c>
      <c r="AD267" s="13">
        <f>IF(_xlfn.XLOOKUP(B267,'Base stats'!B:B,'Base stats'!AT:AT)="No","No",MROUND((LOG10(_xlfn.XLOOKUP(B267,'Base stats'!B:B,'Base stats'!AT:AT))*(AO267^0.75)+(_xlfn.XLOOKUP(B267,'Base stats'!B:B,'Base stats'!AT:AT)/1000)^(2/3)+_xlfn.XLOOKUP(B267,'Base stats'!B:B,'Base stats'!AX:AX)+_xlfn.XLOOKUP(B267,'Base stats'!B:B,'Base stats'!BA:BA))+0.5,0.5))</f>
        <v>51</v>
      </c>
      <c r="AE267" s="7">
        <f>IF(AD267="No","No",MAX(_xlfn.XLOOKUP(_xlfn.XLOOKUP(B267,'Base stats'!B:B,'Base stats'!E:E),Groups!A:A,Groups!Z:Z),MROUND(_xlfn.XLOOKUP(_xlfn.XLOOKUP(B267,'Base stats'!B:B,'Base stats'!E:E),Groups!A:A,Groups!Z:Z)*_xlfn.XLOOKUP(B267,'Base stats'!B:B,'Base stats'!C:C)^0.165,0.05)))</f>
        <v>3.75</v>
      </c>
      <c r="AF267" s="7" t="str">
        <f>IF(AD267="No","No",_xlfn.XLOOKUP(_xlfn.XLOOKUP(B267,'Base stats'!B:B,'Base stats'!E:E),Groups!A:A,Groups!AA:AA))</f>
        <v>Mouth</v>
      </c>
      <c r="AG267" s="7" t="str">
        <f>IF(AD267="No","No",_xlfn.XLOOKUP(_xlfn.XLOOKUP(B267,'Base stats'!B:B,'Base stats'!E:E),Groups!A:A,Groups!AB:AB))</f>
        <v>chelicerae</v>
      </c>
      <c r="AH267" s="7" t="str">
        <f>IF(AD267="No","No",_xlfn.XLOOKUP(_xlfn.XLOOKUP(B267,'Base stats'!B:B,'Base stats'!E:E),Groups!A:A,Groups!AC:AC))</f>
        <v>ToxicBite</v>
      </c>
      <c r="AI267" s="13" t="str">
        <f>IF(_xlfn.XLOOKUP(_xlfn.XLOOKUP(B267,'Base stats'!B:B,'Base stats'!E:E),Groups!A:A,Groups!AD:AD)=0,"No",MROUND((LOG10(_xlfn.XLOOKUP(B267,'Base stats'!B:B,'Base stats'!AS:AS))*(AO267^0.75)+(_xlfn.XLOOKUP(B267,'Base stats'!B:B,'Base stats'!AS:AS)/1000)^(2/3)+_xlfn.XLOOKUP(B267,'Base stats'!B:B,'Base stats'!AY:AY)+_xlfn.XLOOKUP(B267,'Base stats'!B:B,'Base stats'!BA:BA))+0.5,0.5))</f>
        <v>No</v>
      </c>
      <c r="AJ267" s="7" t="str">
        <f>IF(AI267="No","No",MAX(_xlfn.XLOOKUP(_xlfn.XLOOKUP(B267,'Base stats'!B:B,'Base stats'!E:E),Groups!A:A,Groups!AE:AE),MROUND(_xlfn.XLOOKUP(_xlfn.XLOOKUP(B267,'Base stats'!B:B,'Base stats'!E:E),Groups!A:A,Groups!AE:AE)*IF(_xlfn.XLOOKUP(_xlfn.XLOOKUP(B267,'Base stats'!B:B,'Base stats'!E:E),Groups!A:A,Groups!AJ:AJ)="Photonozoa",0.6,1)*_xlfn.XLOOKUP(B267,'Base stats'!B:B,'Base stats'!C:C)^0.165,0.05)))</f>
        <v>No</v>
      </c>
      <c r="AK267" s="7" t="str">
        <f>IF(AI267="No","No",_xlfn.XLOOKUP(_xlfn.XLOOKUP(B267,'Base stats'!B:B,'Base stats'!E:E),Groups!A:A,Groups!AF:AF))</f>
        <v>No</v>
      </c>
      <c r="AL267" s="7" t="str">
        <f>IF(AI267="No","No",_xlfn.XLOOKUP(_xlfn.XLOOKUP(B267,'Base stats'!B:B,'Base stats'!E:E),Groups!A:A,Groups!AG:AG))</f>
        <v>No</v>
      </c>
      <c r="AM267" s="7" t="str">
        <f>IF(AI267="No","No",_xlfn.XLOOKUP(_xlfn.XLOOKUP(B267,'Base stats'!B:B,'Base stats'!E:E),Groups!A:A,Groups!AH:AH))</f>
        <v>No</v>
      </c>
      <c r="AN267" s="2">
        <f t="shared" si="28"/>
        <v>35</v>
      </c>
      <c r="AO267" s="2">
        <f>MROUND(IF(AND(_xlfn.XLOOKUP(B267,'Base stats'!B:B,'Base stats'!C:C)&gt;=0.5,_xlfn.XLOOKUP(B267,'Base stats'!B:B,'Base stats'!C:C)&lt;=0.8),
IF(_xlfn.XLOOKUP(B267,'Base stats'!B:B,'Base stats'!C:C)&lt;0.1,0.05,IF(_xlfn.XLOOKUP(B267,'Base stats'!B:B,'Base stats'!C:C)&lt;=70,(_xlfn.XLOOKUP(B267,'Base stats'!B:B,'Base stats'!C:C)/70)^0.426489913056526,IF(_xlfn.XLOOKUP(B267,'Base stats'!B:B,'Base stats'!C:C)&lt;=400,(_xlfn.XLOOKUP(B267,'Base stats'!B:B,'Base stats'!C:C)/70)^0.572811455315093,IF(_xlfn.XLOOKUP(B267,'Base stats'!B:B,'Base stats'!C:C)&lt;=2000,2.71391647193063*(_xlfn.XLOOKUP(B267,'Base stats'!B:B,'Base stats'!C:C)/400)^0.252459582904293,3.74314280240376*(_xlfn.XLOOKUP(B267,'Base stats'!B:B,'Base stats'!C:C)/2000)^0.357012633876913)))),
IF(_xlfn.XLOOKUP(B267,'Base stats'!B:B,'Base stats'!C:C)&lt;0.1,0.05,IF(_xlfn.XLOOKUP(B267,'Base stats'!B:B,'Base stats'!C:C)&lt;0.4,0.1,IF(_xlfn.XLOOKUP(B267,'Base stats'!B:B,'Base stats'!C:C)&lt;=70,(_xlfn.XLOOKUP(B267,'Base stats'!B:B,'Base stats'!C:C)/70)^0.445823913056526,IF(_xlfn.XLOOKUP(B267,'Base stats'!B:B,'Base stats'!C:C)&lt;=400,(_xlfn.XLOOKUP(B267,'Base stats'!B:B,'Base stats'!C:C)/70)^0.572811455315093,IF(_xlfn.XLOOKUP(B267,'Base stats'!B:B,'Base stats'!C:C)&lt;=2000,2.71391647193063*(_xlfn.XLOOKUP(B267,'Base stats'!B:B,'Base stats'!C:C)/400)^0.252459582904293,3.74314280240376*(_xlfn.XLOOKUP(B267,'Base stats'!B:B,'Base stats'!C:C)/2000)^0.357012633876913)))))),
IF(_xlfn.XLOOKUP(B267,'Base stats'!B:B,'Base stats'!C:C)&lt;0.1,0.05,IF(_xlfn.XLOOKUP(B267,'Base stats'!B:B,'Base stats'!C:C)&lt;=100,0.05,IF(_xlfn.XLOOKUP(B267,'Base stats'!B:B,'Base stats'!C:C)&lt;=250,0.1,IF(_xlfn.XLOOKUP(B267,'Base stats'!B:B,'Base stats'!C:C)&lt;=4000,0.25,0.5)))))</f>
        <v>3.5</v>
      </c>
      <c r="AP267" s="8">
        <f>MROUND(AO267*_xlfn.XLOOKUP(_xlfn.XLOOKUP(B267,'Base stats'!B:B,'Base stats'!E:E),Groups!A:A,Groups!AI:AI)*_xlfn.XLOOKUP(B267,'Base stats'!B:B,'Base stats'!Z:Z),0.05)</f>
        <v>3.5</v>
      </c>
      <c r="AQ267" s="8">
        <f>MAX(0.01,MROUND(IF(CC267="True",0.196*(AO267*100*1000)^0.889,IF(_xlfn.XLOOKUP(_xlfn.XLOOKUP(B267,'Base stats'!B:B,'Base stats'!E:E),Groups!A:A,Groups!AJ:AJ)="Bird",10.5*(AO267*100*1000)^0.681,4.82*(AO267*100*1000)^0.734))/(4.82*(1*100*1000)^0.734)/IF(AO267&lt;3.5,2,IF(AO267=3.5,1.5,1.25))*(1+0.132282374779864/(AO267^0.994035016789033+0.00905238001496948)),0.05))</f>
        <v>0.5</v>
      </c>
      <c r="AR267" s="9">
        <f>IFERROR(MROUND(_xlfn.XLOOKUP(B267,'Base stats'!B:B,'Base stats'!H:H)/IF(_xlfn.XLOOKUP(B267,'Base stats'!B:B,'Base stats'!I:I)&lt;&gt;1,(122.5/70),1.2),IF(_xlfn.XLOOKUP(B267,'Base stats'!B:B,'Base stats'!H:H)&gt;=30,5,IF(_xlfn.XLOOKUP(B267,'Base stats'!B:B,'Base stats'!H:H)&gt;=15,3,IF(_xlfn.XLOOKUP(B267,'Base stats'!B:B,'Base stats'!H:H)&gt;=10,2,1)))),"Immortal")</f>
        <v>12</v>
      </c>
      <c r="AS267" s="35" t="str">
        <f>IFERROR(IF(OR(_xlfn.XLOOKUP(B267,'Base stats'!B:B,'Base stats'!F:F)="Atypical reproduction",_xlfn.XLOOKUP(B267,'Base stats'!B:B,'Base stats'!F:F)="Lay eggs"),"Lay eggs",MIN(20,MAX(5.5,ROUND(((_xlfn.XLOOKUP(B267,'Base stats'!B:B,'Base stats'!F:F)-25)*(14.5/615) + 5.5)*2,0)/2))),"Unknown")</f>
        <v>Lay eggs</v>
      </c>
      <c r="AT267" s="8" t="str">
        <f>IF(_xlfn.XLOOKUP(B267,'Base stats'!B:B,'Base stats'!G:G)="Atypical reproduction","No",IFERROR(MAX(IF(_xlfn.XLOOKUP(B267,'Base stats'!B:B,'Base stats'!G:G)&lt;0.5,0.2,0.3),MROUND(_xlfn.XLOOKUP(B267,'Base stats'!B:B,'Base stats'!G:G)/(365/60),0.2)),"Unknown"))</f>
        <v>No</v>
      </c>
      <c r="AU267" s="8" t="str">
        <f t="shared" si="29"/>
        <v>No</v>
      </c>
      <c r="AV267" s="8" t="str">
        <f>IFERROR(IFERROR(MROUND(_xlfn.XLOOKUP(B267,'Base stats'!B:B,'Base stats'!J:J),0.1),"Lay eggs"),"Cannot breed")</f>
        <v>Lay eggs</v>
      </c>
      <c r="AW267" s="2" t="str">
        <f t="shared" si="30"/>
        <v>false</v>
      </c>
      <c r="AX267" s="2" t="str">
        <f>IF(_xlfn.XLOOKUP(_xlfn.XLOOKUP(Animals!B267,'Base stats'!B:B,'Base stats'!E:E),Groups!A:A,Groups!AK:AK)=1,"true","false")</f>
        <v>false</v>
      </c>
      <c r="AY267" s="25" t="str">
        <f>IF(_xlfn.XLOOKUP(B267,'Base stats'!B:B,'Base stats'!Y:Y)="Liquor","Liquor, CarnivoreAnimalStrict",IF(AND(_xlfn.XLOOKUP(B267,'Base stats'!B:B,'Base stats'!Y:Y)="Carnivore",_xlfn.XLOOKUP(_xlfn.XLOOKUP(B267,'Base stats'!B:B,'Base stats'!E:E),Groups!A:A,Groups!AJ:AJ)="Photonozoa"),"CarnivoreAnimalStrict, OvivoreAnimal",IF(_xlfn.XLOOKUP(B267,'Base stats'!B:B,'Base stats'!Y:Y)="Carnivore","CarnivoreAnimal, OvivoreAnimal",IF(_xlfn.XLOOKUP(B267,'Base stats'!B:B,'Base stats'!Y:Y)="Dendrovore","VegetarianRoughAnimal, DendrovoreAnimal",IF(_xlfn.XLOOKUP(B267,'Base stats'!B:B,'Base stats'!Y:Y)="Herbivore","VegetarianRoughAnimal",IF(_xlfn.XLOOKUP(B267,'Base stats'!B:B,'Base stats'!Y:Y)="OmnivoreRough","OmnivoreRoughAnimal, OvivoreAnimal","OmnivoreAnimal, OvivoreAnimal"))))))</f>
        <v>CarnivoreAnimal, OvivoreAnimal</v>
      </c>
      <c r="AZ267" s="2" t="str">
        <f>IF(_xlfn.XLOOKUP(_xlfn.XLOOKUP(B267,'Base stats'!B:B,'Base stats'!E:E),Groups!A:A,Groups!D:D)=1,MROUND((1-J267)*5+1,2)*IF(J267&lt;=0.4,2,1),"No")</f>
        <v>No</v>
      </c>
      <c r="BA267" s="2" t="str">
        <f>IF(AND(_xlfn.XLOOKUP(B267,'Base stats'!B:B,'Base stats'!AH:AH)="&lt;li&gt;Seal&lt;/li&gt;",G267="Odyssey"),"&lt;li&gt;AEXP_Seal&lt;/li&gt;",_xlfn.XLOOKUP(B267,'Base stats'!B:B,'Base stats'!AH:AH))</f>
        <v>&lt;li&gt;Megaspider&lt;/li&gt;</v>
      </c>
      <c r="BB267" s="2" t="str">
        <f>_xlfn.XLOOKUP(B267,'Base stats'!B:B,'Base stats'!AG:AG)</f>
        <v>Leather_Chitin</v>
      </c>
      <c r="BC267" s="23" t="str">
        <f>_xlfn.XLOOKUP(_xlfn.XLOOKUP(B267,'Base stats'!B:B,'Base stats'!E:E),Groups!A:A,Groups!AL:AL)</f>
        <v>Arachnid</v>
      </c>
      <c r="BD267" s="23">
        <f>MIN(1,MROUND(IF(AND(AO267&lt;0.5,_xlfn.XLOOKUP(B267,'Base stats'!B:B,'Base stats'!AA:AA)=0),0,IF(OR(_xlfn.XLOOKUP(Animals!B267,'Base stats'!B:B,'Base stats'!O:O)=2,_xlfn.XLOOKUP(_xlfn.XLOOKUP(B267,'Base stats'!B:B,'Base stats'!E:E),Groups!A:A,Groups!AN:AN)=0),0,_xlfn.XLOOKUP(_xlfn.XLOOKUP(B267,'Base stats'!B:B,'Base stats'!E:E),Groups!A:A,Groups!AN:AN)/IF(_xlfn.XLOOKUP(Animals!B267,'Base stats'!B:B,'Base stats'!O:O)=1,2,1)))+_xlfn.XLOOKUP(B267,'Base stats'!B:B,'Base stats'!AC:AC),0.005))</f>
        <v>0.1</v>
      </c>
      <c r="BE267" s="23">
        <f>MIN(1,MROUND(IF(AND(AO267&lt;0.5,_xlfn.XLOOKUP(B267,'Base stats'!B:B,'Base stats'!AA:AA)=0),0,IF(_xlfn.XLOOKUP(_xlfn.XLOOKUP(B267,'Base stats'!B:B,'Base stats'!E:E),Groups!A:A,Groups!AO:AO)=0,0,_xlfn.XLOOKUP(_xlfn.XLOOKUP(B267,'Base stats'!B:B,'Base stats'!E:E),Groups!A:A,Groups!AO:AO)/IF(_xlfn.XLOOKUP(Animals!B267,'Base stats'!B:B,'Base stats'!O:O)=2,3,1)))+_xlfn.XLOOKUP(B267,'Base stats'!B:B,'Base stats'!AD:AD),0.005))</f>
        <v>1</v>
      </c>
      <c r="BF267" s="2" t="str">
        <f>IF(J267&gt;0.3,"No",_xlfn.XLOOKUP(_xlfn.XLOOKUP(Animals!B267,'Base stats'!B:B,'Base stats'!E:E),Groups!A:A,Groups!AP:AP))</f>
        <v>No</v>
      </c>
      <c r="BG267" s="2" t="str">
        <f>IF(AND(J267&lt;=0.65,_xlfn.XLOOKUP(_xlfn.XLOOKUP(Animals!B267,'Base stats'!B:B,'Base stats'!E:E),Groups!A:A,Groups!AP:AP)&lt;&gt;"No",_xlfn.XLOOKUP(_xlfn.XLOOKUP(B267,'Base stats'!B:B,'Base stats'!E:E),Groups!A:A,Groups!D:D)=0),MROUND((80/3)*IF(_xlfn.XLOOKUP(B267,'Base stats'!B:B,'Base stats'!O:O)=2,0.2,AO267) + 24*(1-IF(BF267="No",0,BF267)) + 16/3, 12),"No")</f>
        <v>No</v>
      </c>
      <c r="BH267" s="2">
        <f>IF(AND(_xlfn.XLOOKUP(_xlfn.XLOOKUP(B267,'Base stats'!B:B,'Base stats'!E:E),Groups!A:A,Groups!AQ:AQ)=1,AO267&lt;=0.35),8,12)</f>
        <v>12</v>
      </c>
      <c r="BI267" s="2" t="str">
        <f>IF(_xlfn.XLOOKUP(_xlfn.XLOOKUP(B267,'Base stats'!B:B,'Base stats'!E:E),Groups!A:A,Groups!D:D)=0,_xlfn.XLOOKUP(_xlfn.XLOOKUP(B267,'Base stats'!B:B,'Base stats'!E:E),Groups!A:A,Groups!AR:AR),"None")</f>
        <v>Intermediate</v>
      </c>
      <c r="BJ267" s="2" t="str">
        <f>IF(AND(_xlfn.XLOOKUP(_xlfn.XLOOKUP(B267,'Base stats'!B:B,'Base stats'!E:E),Groups!A:A,Groups!AS:AS)=1,OR(_xlfn.XLOOKUP(B267,'Base stats'!B:B,'Base stats'!Y:Y)="Carnivore",_xlfn.XLOOKUP(B267,'Base stats'!B:B,'Base stats'!Y:Y)="Omnivore")),"true","false")</f>
        <v>true</v>
      </c>
      <c r="BK267" s="2">
        <f>IF(BJ267="true",MROUND(IF(AND(AO267&gt;0.5,OR(_xlfn.XLOOKUP(_xlfn.XLOOKUP(B267,'Base stats'!B:B,'Base stats'!E:E),Groups!A:A,Groups!AJ:AJ)="Photonozoa",_xlfn.XLOOKUP(_xlfn.XLOOKUP(B267,'Base stats'!B:B,'Base stats'!E:E),Groups!A:A,Groups!AJ:AJ)="Mammal")),Animals!AO267*1.75*IF(AW267="true",1.5,1),IF(AO267&lt;0.5,Animals!AO267*0.5,Animals!AO267)),IF(AO267&gt;2,0.5,IF(AO267&gt;0.5,0.25,0.1))),"No")</f>
        <v>3.5</v>
      </c>
      <c r="BL267" s="2">
        <f t="shared" si="31"/>
        <v>1</v>
      </c>
      <c r="BM267" s="25" t="str">
        <f>IF(_xlfn.XLOOKUP(B267,'Base stats'!B:B,'Base stats'!AN:AN)="Standard","No",MROUND((_xlfn.XLOOKUP(B267,'Base stats'!B:B,'Base stats'!AN:AN)/3.6)/I267,0.1))</f>
        <v>No</v>
      </c>
      <c r="BN267" s="25" t="str">
        <f t="shared" si="32"/>
        <v>false</v>
      </c>
      <c r="BO267" s="25" t="str">
        <f>IF(AND(OR(_xlfn.XLOOKUP(B267,'Base stats'!B:B,'Base stats'!Y:Y)="Carnivore",_xlfn.XLOOKUP(B267,'Base stats'!B:B,'Base stats'!Y:Y)="Omnivore",_xlfn.XLOOKUP(B267,'Base stats'!B:B,'Base stats'!Y:Y)="OmnivoreRough"),_xlfn.XLOOKUP(_xlfn.XLOOKUP(B267,'Base stats'!B:B,'Base stats'!E:E),Groups!A:A,Groups!AT:AT)=1),"true","false")</f>
        <v>false</v>
      </c>
      <c r="BP267" s="25" t="str" cm="1">
        <f t="array" ref="BP267">IF(
  _xlfn.TEXTJOIN(", ",TRUE,
    IF(AND(BJ267="true",AO267&gt;0.5,BI267&lt;&gt;"None"),"AttackTarget",""),
    IF(AND(_xlfn.XLOOKUP(_xlfn.XLOOKUP(B267,'Base stats'!B:B,'Base stats'!E:E),Groups!A:A,Groups!AJ:AJ="Mammal"),OR(_xlfn.XLOOKUP(B267,'Base stats'!B:B,'Base stats'!Y:Y)="Omnivore",_xlfn.XLOOKUP(B267,'Base stats'!B:B,'Base stats'!Y:Y)="OmnivoreRough")),"Forage",""),
    IF(BG267&lt;=36,"Comfort",""),
    IF(_xlfn.XLOOKUP(B267,'Base stats'!B:B,'Base stats'!AE:AE)&lt;&gt;"No",_xlfn.XLOOKUP(B267,'Base stats'!B:B,'Base stats'!AE:AE),"")
  ) = "",
  "No",
  _xlfn.TEXTJOIN(", ",TRUE,
    IF(AND(BJ267="true",AO267&gt;0.5,BI267&lt;&gt;"None"),"AttackTarget",""),
    IF(AND(_xlfn.XLOOKUP(_xlfn.XLOOKUP(B267,'Base stats'!B:B,'Base stats'!E:E),Groups!A:A,Groups!AJ:AJ="Mammal"),OR(_xlfn.XLOOKUP(B267,'Base stats'!B:B,'Base stats'!Y:Y)="Omnivore",_xlfn.XLOOKUP(B267,'Base stats'!B:B,'Base stats'!Y:Y)="OmnivoreRough")),"Forage",""),
    IF(BG267&lt;=36,"Comfort",""),
    IF(_xlfn.XLOOKUP(B267,'Base stats'!B:B,'Base stats'!AE:AE)&lt;&gt;"No",_xlfn.XLOOKUP(B267,'Base stats'!B:B,'Base stats'!AE:AE),"")
  )
)</f>
        <v>AttackTarget</v>
      </c>
      <c r="BQ267" s="25" t="str">
        <f>IF(
   AND(
      'Base stats'!AN267="Standard",_xlfn.XLOOKUP(_xlfn.XLOOKUP(B267,'Base stats'!B:B,'Base stats'!E:E),Groups!A:A,Groups!AU:AU)=0,
      OR(
      BO267="True"
      )
   ),
   10,
   IF(
       OR(BM267&lt;&gt;"No",_xlfn.XLOOKUP(_xlfn.XLOOKUP(B267,'Base stats'!B:B,'Base stats'!E:E),Groups!A:A,Groups!AU:AU)=1),
      1,
      "No"
   )
)</f>
        <v>No</v>
      </c>
      <c r="BR267" s="9">
        <f>MROUND((1 + ((0.2*IF(OR(Q267="No",R267="No",R267=0),0,Q267/R267)
+IF(OR(V267="No",S267="No",T267="No"),0,S267/T267*(LEN(V267)-LEN(SUBSTITUTE(V267,",",""))+1))
+IF(OR(X267="No",Y267="No"),0,X267/Y267)
+IF(OR(AD267="No",AE267="No"),0,AD267/AE267)
+IF(OR(AL267="No",AI267="No",AJ267="No"),0,AI267/AJ267*(LEN(AL267)-LEN(SUBSTITUTE(AL267,",",""))+1))
)/(0.2*IF(OR(Q267="No",R267="No",R267=0),0,1)
+IF(OR(V267="No",S267="No",T267="No"),0,LEN(V267)-LEN(SUBSTITUTE(V267,",",""))+1)
+IF(OR(X267="No",Y267="No"),0,1)
+IF(OR(AD267="No",AE267="No"),0,1)
+IF(OR(AL267="No",AI267="No",AJ267="No"),0,LEN(AL267)-LEN(SUBSTITUTE(AL267,",",""))+1))*62%)* 2)*(1 + (AP267 / (IF(_xlfn.XLOOKUP(_xlfn.XLOOKUP(B267,'Base stats'!B:B,'Base stats'!E:E),Groups!A:A,Groups!AJ:AJ)="Photonozoa",0.3,1)) + _xlfn.XLOOKUP(B267,'Base stats'!B:B,'Base stats'!AV:AV) * 1.8) * 2) * 2.5 + 10 + I267 * 2,5)+IF(_xlfn.XLOOKUP(B267,'Base stats'!B:B,'Base stats'!AK:AK)=1,50,0)</f>
        <v>420</v>
      </c>
      <c r="BS267" s="8">
        <f t="shared" si="33"/>
        <v>1.1000000000000001</v>
      </c>
      <c r="BT267" s="8" t="str">
        <f>_xlfn.XLOOKUP(B267,'Base stats'!B:B,'Base stats'!AF:AF)</f>
        <v>No</v>
      </c>
      <c r="BU267" s="2" t="str">
        <f>IF(AND(J267&lt;=0.95,OR(_xlfn.XLOOKUP(B267,'Base stats'!B:B,'Base stats'!AK:AK)=1,_xlfn.XLOOKUP(B267,'Base stats'!B:B,'Base stats'!Y:Y)="Carnivore",_xlfn.XLOOKUP(B267,'Base stats'!B:B,'Base stats'!Y:Y)="Omnivore",BE267&gt;0.1)),"true","false")</f>
        <v>false</v>
      </c>
      <c r="BV267" s="2" t="str">
        <f>IF(_xlfn.XLOOKUP(B267,'Base stats'!B:B,'Base stats'!AI:AI)=1,"true","false")</f>
        <v>false</v>
      </c>
      <c r="BW267" s="25" t="str">
        <f>IF(E267="BaseInsect","AnimalInsect",
IF(J267&gt;0.95,"AnimalExotic",
_xlfn.TEXTJOIN(", ",TRUE,
IF(OR(_xlfn.XLOOKUP(B267,'Base stats'!B:B,'Base stats'!AM:AM)=1,AND(_xlfn.XLOOKUP(B267,'Base stats'!B:B,'Base stats'!O:O)=0,_xlfn.XLOOKUP(_xlfn.XLOOKUP(B267,'Base stats'!B:B,'Base stats'!E:E),Groups!A:A,Groups!B:B)&gt;0)),"AnimalUncommon","AnimalCommon"),
IF(AND(_xlfn.XLOOKUP(B267,'Base stats'!B:B,'Base stats'!O:O)=2,_xlfn.XLOOKUP(_xlfn.XLOOKUP(B267,'Base stats'!B:B,'Base stats'!E:E),Groups!A:A,Groups!D:D)=0),"AnimalPet",IF(AND(_xlfn.XLOOKUP(B267,'Base stats'!B:B,'Base stats'!O:O)&lt;&gt;0,_xlfn.XLOOKUP(_xlfn.XLOOKUP(B267,'Base stats'!B:B,'Base stats'!E:E),Groups!A:A,Groups!D:D)&lt;&gt;0),"AnimalFarm","")),
IF(OR(_xlfn.XLOOKUP(B267,'Base stats'!B:B,'Base stats'!AK:AK)=1,AND(BI267&lt;&gt;"None",BR267&gt;=60),ISNUMBER(SEARCH("Attack target",BP267))),"AnimalFighter","")
)))</f>
        <v>AnimalExotic</v>
      </c>
      <c r="BX267" s="25" t="str">
        <f>IF(G267="None",TRIM(
SUBSTITUTE(
IF(COUNTIF(Biomes!B$2:B$259,"="&amp;$C267)&gt;0,Biomes!B$1&amp;", ","")&amp;
IF(COUNTIF(Biomes!C$2:C$259,"="&amp;$C267)&gt;0,Biomes!C$1&amp;", ","")&amp;
IF(COUNTIF(Biomes!D$2:D$259,"="&amp;$C267)&gt;0,Biomes!D$1&amp;", ","")&amp;
IF(COUNTIF(Biomes!F$2:F$259,"="&amp;$C267)&gt;0,Biomes!F$1&amp;", ","")&amp;
IF(COUNTIF(Biomes!G$2:G$259,"="&amp;$C267)&gt;0,Biomes!G$1&amp;", ","")&amp;
IF(COUNTIF(Biomes!H$2:H$259,"="&amp;$C267)&gt;0,Biomes!H$1&amp;", ","")&amp;
IF(COUNTIF(Biomes!I$2:I$259,"="&amp;$C267)&gt;0,Biomes!I$1&amp;", ","")&amp;
IF(COUNTIF(Biomes!J$2:J$259,"="&amp;$C267)&gt;0,Biomes!J$1&amp;", ","")&amp;
IF(COUNTIF(Biomes!M$2:M$259,"="&amp;$C267)&gt;0,Biomes!M$1&amp;", ","")&amp;
IF(COUNTIF(Biomes!N$2:N$259,"="&amp;$C267)&gt;0,Biomes!N$1&amp;", ","")&amp;
IF(COUNTIF(Biomes!O$2:O$259,"="&amp;$C267)&gt;0,Biomes!O$1&amp;", ","")&amp;
IF(COUNTIF(Biomes!P$2:P$259,"="&amp;$C267)&gt;0,Biomes!P$1&amp;", ","")&amp;
IF(COUNTIF(Biomes!K$2:K$259,"="&amp;$C267)&gt;0,Biomes!K$1&amp;", ","")&amp;
IF(COUNTIF(Biomes!Q$3:Q$259,"="&amp;$C267)&gt;0,Biomes!Q$1&amp;", ","")&amp;
IF(COUNTIF(Biomes!L$2:L$259,"="&amp;$C267)&gt;0,Biomes!L$1&amp;", ","")&amp;
IF(COUNTIF(Biomes!E$2:E$259,"="&amp;$C267)&gt;0,Biomes!E$1&amp;", ","")&amp;IF(COUNTIF(Biomes!S$2:S$259,"="&amp;$C267)&gt;0,Biomes!S$1&amp;", ","")&amp;
IF(COUNTIF(Biomes!R$2:R$259,"="&amp;$C267)&gt;0,Biomes!R$1&amp;", ",""),", ","")
),_xlfn.XLOOKUP(B267,B:B,BX:BX))</f>
        <v/>
      </c>
      <c r="BY267" s="25" t="str">
        <f>IF(_xlfn.XLOOKUP(B267,'Base stats'!B:B,'Base stats'!AJ:AJ)=1,"true","false")</f>
        <v>false</v>
      </c>
      <c r="BZ267" s="25">
        <f>IF(_xlfn.XLOOKUP(B267,'Base stats'!B:B,'Base stats'!N:N)=1,"No",MAX(0.001,MIN(MROUND(IF(AND(BJ267="True",CC267="False"),POWER(10,3.47*LOG10(_xlfn.XLOOKUP(B267,'Base stats'!B:B,'Base stats'!C:C)*1000)^-0.96),POWER(10,4.15*LOG10(_xlfn.XLOOKUP(B267,'Base stats'!B:B,'Base stats'!C:C)*1000)^-0.73))*IF(_xlfn.XLOOKUP(B267,'Base stats'!B:B,'Base stats'!AK:AK)=1,0.5,1)*IF(_xlfn.XLOOKUP(B267,'Base stats'!B:B,'Base stats'!AM:AM)=1,0.1,1)/100,IF(_xlfn.XLOOKUP(B267,'Base stats'!B:B,'Base stats'!AM:AM)=1,0.001,0.025)),0.5)))</f>
        <v>1.3000000000000001E-2</v>
      </c>
      <c r="CA267" s="25" t="str">
        <f>IF(P267="Standard","No",MAX(0.001,MIN(MROUND(IF(AND(BJ267="True",CC267="False"),POWER(10,3.47*LOG10(_xlfn.XLOOKUP(B267,'Base stats'!B:B,'Base stats'!C:C)*1000)^-0.96),POWER(10,4.15*LOG10(_xlfn.XLOOKUP(B267,'Base stats'!B:B,'Base stats'!C:C)*1000)^-0.73))*IF(_xlfn.XLOOKUP(B267,'Base stats'!B:B,'Base stats'!AM:AM)=1,0.1,1)*_xlfn.XLOOKUP(B267,'Base stats'!B:B,'Base stats'!R:R)/100,IF(_xlfn.XLOOKUP(B267,'Base stats'!B:B,'Base stats'!AM:AM)=1,0.001,0.025)),0.5)))</f>
        <v>No</v>
      </c>
      <c r="CB267" s="25" t="str">
        <f>IF(_xlfn.XLOOKUP(_xlfn.XLOOKUP(B267,'Base stats'!B:B,'Base stats'!E:E),Groups!A:A,Groups!AJ:AJ)="Mammal","True","False")</f>
        <v>False</v>
      </c>
      <c r="CC267" s="25" t="str">
        <f>IF(OR(_xlfn.XLOOKUP(_xlfn.XLOOKUP(B267,'Base stats'!B:B,'Base stats'!E:E),Groups!A:A,Groups!AJ:AJ)="Reptile",_xlfn.XLOOKUP(_xlfn.XLOOKUP(B267,'Base stats'!B:B,'Base stats'!E:E),Groups!A:A,Groups!AJ:AJ)="Amphibian",_xlfn.XLOOKUP(_xlfn.XLOOKUP(B267,'Base stats'!B:B,'Base stats'!E:E),Groups!A:A,Groups!AJ:AJ)="Invertebrate"),"True","False")</f>
        <v>True</v>
      </c>
      <c r="CD267" s="25" t="str">
        <f t="shared" si="34"/>
        <v>True</v>
      </c>
      <c r="CE267" s="25" t="str">
        <f>IF(_xlfn.XLOOKUP(_xlfn.XLOOKUP(B267,'Base stats'!B:B,'Base stats'!E:E),Groups!A:A,Groups!AX:AX),"True","False")</f>
        <v>False</v>
      </c>
      <c r="CF267" s="25" t="str">
        <f>IF(_xlfn.XLOOKUP(_xlfn.XLOOKUP(B267,'Base stats'!B:B,'Base stats'!E:E),Groups!A:A,Groups!AY:AY),"True","False")</f>
        <v>False</v>
      </c>
      <c r="CG267" s="25" t="str">
        <f>IF(_xlfn.XLOOKUP(_xlfn.XLOOKUP(B267,'Base stats'!B:B,'Base stats'!E:E),Groups!A:A,Groups!AW:AW),"True","False")</f>
        <v>False</v>
      </c>
      <c r="CH267" s="25" t="str">
        <f>IF(
OR(
_xlfn.XLOOKUP(_xlfn.XLOOKUP(B267,'Base stats'!B:B,'Base stats'!E:E),Groups!A:A,Groups!AZ:AZ)=0,
AND(
_xlfn.XLOOKUP(B267,'Base stats'!B:B,'Base stats'!Y:Y)&lt;&gt;"Carnivore",
_xlfn.XLOOKUP(B267,'Base stats'!B:B,'Base stats'!Y:Y)&lt;&gt;"Omnivore",
_xlfn.XLOOKUP(B267,'Base stats'!B:B,'Base stats'!Y:Y)&lt;&gt;"OmnivoreRough"
)
),
"No",
IF(
_xlfn.XLOOKUP(_xlfn.XLOOKUP(B267,'Base stats'!B:B,'Base stats'!E:E),Groups!A:A,Groups!AZ:AZ)=1,
"Flesh",
IF(
_xlfn.XLOOKUP(_xlfn.XLOOKUP(B267,'Base stats'!B:B,'Base stats'!E:E),Groups!A:A,Groups!AZ:AZ)=2,
"Bone",
""
)
)
)</f>
        <v>No</v>
      </c>
      <c r="CI267" s="25" t="str">
        <f>IF(_xlfn.XLOOKUP(_xlfn.XLOOKUP(B267,'Base stats'!B:B,'Base stats'!E:E),Groups!A:A,Groups!BB:BB),"True","False")</f>
        <v>False</v>
      </c>
      <c r="CJ267" s="25" t="str">
        <f>IF(_xlfn.XLOOKUP(_xlfn.XLOOKUP(B267,'Base stats'!B:B,'Base stats'!E:E),Groups!A:A,Groups!BA:BA),"True","False")</f>
        <v>False</v>
      </c>
    </row>
    <row r="268" spans="1:88" ht="16.5" thickTop="1" thickBot="1" x14ac:dyDescent="0.3">
      <c r="A268" s="26" t="s">
        <v>1442</v>
      </c>
      <c r="B268" s="6" t="str">
        <f>_xlfn.XLOOKUP(A268,'Base stats'!A:A,'Base stats'!B:B)</f>
        <v>Vespa incendium</v>
      </c>
      <c r="C268" s="28" t="s">
        <v>1443</v>
      </c>
      <c r="D268" s="28" t="s">
        <v>1341</v>
      </c>
      <c r="E268" s="28" t="s">
        <v>1747</v>
      </c>
      <c r="F268" s="28" t="s">
        <v>673</v>
      </c>
      <c r="G268" s="28" t="s">
        <v>673</v>
      </c>
      <c r="H268" s="2">
        <f>MROUND((
  (IF(AND(_xlfn.XLOOKUP(B268,'Base stats'!B:B,'Base stats'!AL:AL)=0,BI268="None",_xlfn.XLOOKUP(_xlfn.XLOOKUP(B268,'Base stats'!B:B,'Base stats'!E:E),Groups!A:A,Groups!B:B)=0), (18 + BR268 * 2.7) * 0.5,
    IF(AND(_xlfn.XLOOKUP(B268,'Base stats'!B:B,'Base stats'!AL:AL)=0,OR(AO268&lt;0.55,AND(BI268="Intermediate",_xlfn.XLOOKUP(_xlfn.XLOOKUP(B268,'Base stats'!B:B,'Base stats'!E:E),Groups!A:A,Groups!B:B)&lt;2))), (18 + BR268 * 2.7),
      IF(OR(BI268="Advanced",_xlfn.XLOOKUP(B268,'Base stats'!B:B,'Base stats'!AL:AL)=1,_xlfn.XLOOKUP(_xlfn.XLOOKUP(B268,'Base stats'!B:B,'Base stats'!E:E),Groups!A:A,Groups!B:B)=2), (18 + BR268 * 2.7) + 250, (18 + BR268 * 2.7))
    )
  ))
  + AO268 * 80
  + IF(COUNTIF(EggMilk!K$2:K$998, A268) &gt; 0, 125, 0)
  + IF(COUNTIF(EggMilk!P$2:P$998, A268) &gt; 0, 90, 0)
  + IF(COUNTIF(EggMilk!A$2:A$998, A268) &gt; 0, 90, 0)
)
* (0.8 + 0.4 * J268)
* 0.75,25)</f>
        <v>250</v>
      </c>
      <c r="I268" s="2">
        <f>MROUND(ROUNDDOWN(_xlfn.XLOOKUP(B268,'Base stats'!B:B,'Base stats'!L:L)/3.6/(23.3/11),1),0.5)</f>
        <v>3</v>
      </c>
      <c r="J268" s="2">
        <f>IF(OR(_xlfn.XLOOKUP(B268,'Base stats'!B:B,'Base stats'!AB:AB)=1,_xlfn.XLOOKUP(_xlfn.XLOOKUP(B268,'Base stats'!B:B,'Base stats'!E:E),Groups!A:A,Groups!C:C)="Untamable"),1,IF(_xlfn.XLOOKUP(B268,'Base stats'!B:B,'Base stats'!AL:AL)=1,0.99,MIN(MROUND((1-0.6282*EXP(-0.459*AO268))*_xlfn.XLOOKUP(_xlfn.XLOOKUP(B268,'Base stats'!B:B,'Base stats'!E:E),Groups!A:A,Groups!C:C)*IF(_xlfn.XLOOKUP(B268,'Base stats'!B:B,'Base stats'!O:O)=1,0.5,IF(_xlfn.XLOOKUP(B268,'Base stats'!B:B,'Base stats'!O:O)=2,0,1)),0.05),IF(AO268&gt;3.5,0.985,0.95))))</f>
        <v>0.55000000000000004</v>
      </c>
      <c r="K268" s="2">
        <f>ROUNDUP(AO268*_xlfn.XLOOKUP(_xlfn.XLOOKUP(B268,'Base stats'!B:B,'Base stats'!E:E),Groups!A:A,Groups!E:E),0)</f>
        <v>1</v>
      </c>
      <c r="L268" s="2">
        <f>IF(OR(_xlfn.XLOOKUP(_xlfn.XLOOKUP(B268,'Base stats'!B:B,'Base stats'!E:E),Groups!A:A,Groups!F:F)=2,ISNUMBER(SEARCH("SeaIce",BX268)),ISNUMBER(SEARCH("IceSheet",BX268))),-50,IF(OR(ISNUMBER(SEARCH("GlacialPlain",BX268)),ISNUMBER(SEARCH("Tundra",BX268))),-40,IF(OR(ISNUMBER(SEARCH("Alpine",BX268)),ISNUMBER(SEARCH("BorealForest",BX268)),ISNUMBER(SEARCH("ColdBog",BX268))),-30,IF(OR(ISNUMBER(SEARCH("TemperateForest",BX268)),ISNUMBER(SEARCH("TemperateSwamp",BX268))),-20,IF(_xlfn.XLOOKUP(_xlfn.XLOOKUP(B268,'Base stats'!B:B,'Base stats'!E:E),Groups!A:A,Groups!F:F)=1,-15,IF(OR(ISNUMBER(SEARCH("Desert",BX268)),ISNUMBER(SEARCH("ExtremeDesert",BX268))),-10,IF(OR(ISNUMBER(SEARCH("Grasslands",BX268)),ISNUMBER(SEARCH("TropicalRainforest",BX268)),ISNUMBER(SEARCH("TropicalSwamp",BX268))),10,0)))))))-IF(CC268="False",MIN(IFERROR(MAX(MROUND(LOG10(_xlfn.XLOOKUP(B268,'Base stats'!B:B,'Base stats'!C:C)^(2/3))*10,5),5),5),30))-_xlfn.XLOOKUP(B268,'Base stats'!B:B,'Base stats'!P:P)+IF(CC268="True",5,0)</f>
        <v>5</v>
      </c>
      <c r="M268" s="2">
        <f>IF(OR(_xlfn.XLOOKUP(_xlfn.XLOOKUP(B268,'Base stats'!B:B,'Base stats'!E:E),Groups!A:A,Groups!G:G)=2,ISNUMBER(SEARCH("Desert",BX268)),ISNUMBER(SEARCH("ExtremeDesert",BX268)),ISNUMBER(SEARCH("LavaField",BX268))),50,IF(ISNUMBER(SEARCH("Grasslands",BX268)),45,IF(OR(_xlfn.XLOOKUP(_xlfn.XLOOKUP(B268,'Base stats'!B:B,'Base stats'!E:E),Groups!A:A,Groups!G:G)=1,ISNUMBER(SEARCH("TropicalRainforest",BX268)),ISNUMBER(SEARCH("TropicalSwamp",BX268))),40,IF(OR(ISNUMBER(SEARCH("TemperateForest",BX268)),ISNUMBER(SEARCH("TemperateSwamp",BX268))),35,IF(OR(ISNUMBER(SEARCH("Alpine",BX268)),ISNUMBER(SEARCH("BorealForest",BX268)),ISNUMBER(SEARCH("ColdBog",BX268))),30,IF(ISNUMBER(OR(ISNUMBER(SEARCH("GlacialPlain",BX268)),SEARCH("Tundra",BX268))),25,IF(OR(ISNUMBER(SEARCH("SeaIce",BX268)),ISNUMBER(SEARCH("IceSheet",BX268)),ISNUMBER(SEARCH("TropicalSwamp",BX268))),10,35)))))))+_xlfn.XLOOKUP(B268,'Base stats'!B:B,'Base stats'!Q:Q)</f>
        <v>35</v>
      </c>
      <c r="N268" s="8">
        <f>IF(
_xlfn.XLOOKUP(
_xlfn.XLOOKUP(B268,'Base stats'!B:B,'Base stats'!E:E),
Groups!A:A,
Groups!L:L
)=1,
MIN(
MROUND(
IF(
_xlfn.XLOOKUP(B268,'Animals CE'!B:B,'Animals CE'!Z:Z)&lt;=1.5,
_xlfn.XLOOKUP(B268,'Animals CE'!B:B,'Animals CE'!Z:Z)/2+0.05,
0.8+
(_xlfn.XLOOKUP(B268,'Animals CE'!B:B,'Animals CE'!Z:Z)-1.5)
*0.02
),
0.05
),
200%
),
"No"
)</f>
        <v>0.8</v>
      </c>
      <c r="O268" s="8">
        <f>IF(
_xlfn.XLOOKUP(
_xlfn.XLOOKUP(B268,'Base stats'!B:B,'Base stats'!E:E),
Groups!A:A,
Groups!L:L
)=1,
MIN(
MROUND(
IF(
_xlfn.XLOOKUP(B268,'Animals CE'!B:B,'Animals CE'!AA:AA)&lt;=1.5,
_xlfn.XLOOKUP(B268,'Animals CE'!B:B,'Animals CE'!AA:AA)/2+0.05,
0.8+
(_xlfn.XLOOKUP(B268,'Animals CE'!B:B,'Animals CE'!AA:AA)-1.5)
*0.02
),
0.05
),
200%
),
"No"
)</f>
        <v>0.55000000000000004</v>
      </c>
      <c r="P268" s="2" t="str">
        <f>_xlfn.XLOOKUP(B268,'Base stats'!B:B,'Base stats'!R:R)</f>
        <v>Standard</v>
      </c>
      <c r="Q268" s="13">
        <f>MROUND((LOG10(_xlfn.XLOOKUP(B268,'Base stats'!B:B,'Base stats'!AR:AR))*(AO268^0.5)+(_xlfn.XLOOKUP(B268,'Base stats'!B:B,'Base stats'!AR:AR)/1000)^(2/3)+_xlfn.XLOOKUP(B268,'Base stats'!B:B,'Base stats'!BA:BA)/2)+0.5,0.5)</f>
        <v>4</v>
      </c>
      <c r="R268" s="7">
        <f>IF(Q268="No","No",MAX(1,MROUND(_xlfn.XLOOKUP(B268,'Base stats'!B:B,'Base stats'!C:C)^0.165,0.05)))</f>
        <v>1.55</v>
      </c>
      <c r="S268" s="13" t="str">
        <f>IF(_xlfn.XLOOKUP(_xlfn.XLOOKUP(B268,'Base stats'!B:B,'Base stats'!E:E),Groups!A:A,Groups!P:P)=0,"No",MROUND((LOG10(_xlfn.XLOOKUP(B268,'Base stats'!B:B,'Base stats'!AS:AS))*(AO268^0.5)+(_xlfn.XLOOKUP(B268,'Base stats'!B:B,'Base stats'!AS:AS)/1000)^(2/3)+_xlfn.XLOOKUP(B268,'Base stats'!B:B,'Base stats'!BA:BA))+_xlfn.XLOOKUP(B268,'Base stats'!B:B,'Base stats'!AY:AY)+0.5,0.5))</f>
        <v>No</v>
      </c>
      <c r="T268" s="7" t="str">
        <f>IF(S268="No","No",MAX(_xlfn.XLOOKUP(_xlfn.XLOOKUP(B268,'Base stats'!B:B,'Base stats'!E:E),Groups!A:A,Groups!Q:Q),MROUND(_xlfn.XLOOKUP(_xlfn.XLOOKUP(B268,'Base stats'!B:B,'Base stats'!E:E),Groups!A:A,Groups!Q:Q)*_xlfn.XLOOKUP(B268,'Base stats'!B:B,'Base stats'!C:C)^0.165,0.05)))</f>
        <v>No</v>
      </c>
      <c r="U268" s="7" t="str">
        <f>IF(S268="No","No",_xlfn.XLOOKUP(_xlfn.XLOOKUP(B268,'Base stats'!B:B,'Base stats'!E:E),Groups!A:A,Groups!R:R))</f>
        <v>No</v>
      </c>
      <c r="V268" s="7" t="str">
        <f>IF(S268="No","No",_xlfn.XLOOKUP(_xlfn.XLOOKUP(B268,'Base stats'!B:B,'Base stats'!E:E),Groups!A:A,Groups!S:S))</f>
        <v>No</v>
      </c>
      <c r="W268" s="7" t="str">
        <f>IF(S268="No","No",_xlfn.XLOOKUP(_xlfn.XLOOKUP(B268,'Base stats'!B:B,'Base stats'!E:E),Groups!A:A,Groups!T:T))</f>
        <v>No</v>
      </c>
      <c r="X268" s="13">
        <f>IF(_xlfn.XLOOKUP(B268,'Base stats'!B:B,'Base stats'!W:W)="No","No",MROUND((LOG10(_xlfn.XLOOKUP(B268,'Base stats'!B:B,'Base stats'!AU:AU))*(AO268^0.5)+(_xlfn.XLOOKUP(B268,'Base stats'!B:B,'Base stats'!AU:AU)/1000)^(2/3)+_xlfn.XLOOKUP(B268,'Base stats'!B:B,'Base stats'!AZ:AZ))+0.5+IF(_xlfn.XLOOKUP(_xlfn.XLOOKUP(B268,'Base stats'!B:B,'Base stats'!E:E),Groups!A:A,Groups!U:U)&lt;&gt;3,_xlfn.XLOOKUP(B268,'Base stats'!B:B,'Base stats'!BA:BA),0),0.5))</f>
        <v>9</v>
      </c>
      <c r="Y268" s="7">
        <f>IF(X268="No","No",MAX(_xlfn.XLOOKUP(_xlfn.XLOOKUP(B268,'Base stats'!B:B,'Base stats'!E:E),Groups!A:A,Groups!V:V),MROUND(_xlfn.XLOOKUP(_xlfn.XLOOKUP(B268,'Base stats'!B:B,'Base stats'!E:E),Groups!A:A,Groups!V:V)*_xlfn.XLOOKUP(B268,'Base stats'!B:B,'Base stats'!C:C)^0.165,0.05)))</f>
        <v>2.0500000000000003</v>
      </c>
      <c r="Z268" s="7" t="str">
        <f>IF(X268="No","No",_xlfn.XLOOKUP(_xlfn.XLOOKUP(B268,'Base stats'!B:B,'Base stats'!E:E),Groups!A:A,Groups!W:W))</f>
        <v>Sting</v>
      </c>
      <c r="AA268" s="7" t="str">
        <f>IF(X268="No","No",_xlfn.XLOOKUP(_xlfn.XLOOKUP(B268,'Base stats'!B:B,'Base stats'!E:E),Groups!A:A,Groups!X:X))</f>
        <v>stinger</v>
      </c>
      <c r="AB268" s="7" t="str">
        <f>IF(X268="No","No",_xlfn.XLOOKUP(_xlfn.XLOOKUP(B268,'Base stats'!B:B,'Base stats'!E:E),Groups!A:A,Groups!Y:Y))</f>
        <v>Sting</v>
      </c>
      <c r="AC268" s="7" t="str">
        <f>_xlfn.XLOOKUP(Animals!B268,'Base stats'!B:B,'Base stats'!X:X)</f>
        <v>False</v>
      </c>
      <c r="AD268" s="13">
        <f>IF(_xlfn.XLOOKUP(B268,'Base stats'!B:B,'Base stats'!AT:AT)="No","No",MROUND((LOG10(_xlfn.XLOOKUP(B268,'Base stats'!B:B,'Base stats'!AT:AT))*(AO268^0.75)+(_xlfn.XLOOKUP(B268,'Base stats'!B:B,'Base stats'!AT:AT)/1000)^(2/3)+_xlfn.XLOOKUP(B268,'Base stats'!B:B,'Base stats'!AX:AX)+_xlfn.XLOOKUP(B268,'Base stats'!B:B,'Base stats'!BA:BA))+0.5,0.5))</f>
        <v>12</v>
      </c>
      <c r="AE268" s="7">
        <f>IF(AD268="No","No",MAX(_xlfn.XLOOKUP(_xlfn.XLOOKUP(B268,'Base stats'!B:B,'Base stats'!E:E),Groups!A:A,Groups!Z:Z),MROUND(_xlfn.XLOOKUP(_xlfn.XLOOKUP(B268,'Base stats'!B:B,'Base stats'!E:E),Groups!A:A,Groups!Z:Z)*_xlfn.XLOOKUP(B268,'Base stats'!B:B,'Base stats'!C:C)^0.165,0.05)))</f>
        <v>1.9000000000000001</v>
      </c>
      <c r="AF268" s="7" t="str">
        <f>IF(AD268="No","No",_xlfn.XLOOKUP(_xlfn.XLOOKUP(B268,'Base stats'!B:B,'Base stats'!E:E),Groups!A:A,Groups!AA:AA))</f>
        <v>Mouth</v>
      </c>
      <c r="AG268" s="7" t="str">
        <f>IF(AD268="No","No",_xlfn.XLOOKUP(_xlfn.XLOOKUP(B268,'Base stats'!B:B,'Base stats'!E:E),Groups!A:A,Groups!AB:AB))</f>
        <v>mandibles</v>
      </c>
      <c r="AH268" s="7" t="str">
        <f>IF(AD268="No","No",_xlfn.XLOOKUP(_xlfn.XLOOKUP(B268,'Base stats'!B:B,'Base stats'!E:E),Groups!A:A,Groups!AC:AC))</f>
        <v>Bite</v>
      </c>
      <c r="AI268" s="13">
        <f>IF(_xlfn.XLOOKUP(_xlfn.XLOOKUP(B268,'Base stats'!B:B,'Base stats'!E:E),Groups!A:A,Groups!AD:AD)=0,"No",MROUND((LOG10(_xlfn.XLOOKUP(B268,'Base stats'!B:B,'Base stats'!AS:AS))*(AO268^0.75)+(_xlfn.XLOOKUP(B268,'Base stats'!B:B,'Base stats'!AS:AS)/1000)^(2/3)+_xlfn.XLOOKUP(B268,'Base stats'!B:B,'Base stats'!AY:AY)+_xlfn.XLOOKUP(B268,'Base stats'!B:B,'Base stats'!BA:BA))+0.5,0.5))</f>
        <v>10</v>
      </c>
      <c r="AJ268" s="7">
        <f>IF(AI268="No","No",MAX(_xlfn.XLOOKUP(_xlfn.XLOOKUP(B268,'Base stats'!B:B,'Base stats'!E:E),Groups!A:A,Groups!AE:AE),MROUND(_xlfn.XLOOKUP(_xlfn.XLOOKUP(B268,'Base stats'!B:B,'Base stats'!E:E),Groups!A:A,Groups!AE:AE)*IF(_xlfn.XLOOKUP(_xlfn.XLOOKUP(B268,'Base stats'!B:B,'Base stats'!E:E),Groups!A:A,Groups!AJ:AJ)="Photonozoa",0.6,1)*_xlfn.XLOOKUP(B268,'Base stats'!B:B,'Base stats'!C:C)^0.165,0.05)))</f>
        <v>1.7000000000000002</v>
      </c>
      <c r="AK268" s="7" t="str">
        <f>IF(AI268="No","No",_xlfn.XLOOKUP(_xlfn.XLOOKUP(B268,'Base stats'!B:B,'Base stats'!E:E),Groups!A:A,Groups!AF:AF))</f>
        <v>LeftPincer, RightPincer</v>
      </c>
      <c r="AL268" s="7" t="str">
        <f>IF(AI268="No","No",_xlfn.XLOOKUP(_xlfn.XLOOKUP(B268,'Base stats'!B:B,'Base stats'!E:E),Groups!A:A,Groups!AG:AG))</f>
        <v>left claw, right claw</v>
      </c>
      <c r="AM268" s="7" t="str">
        <f>IF(AI268="No","No",_xlfn.XLOOKUP(_xlfn.XLOOKUP(B268,'Base stats'!B:B,'Base stats'!E:E),Groups!A:A,Groups!AH:AH))</f>
        <v>Scratch</v>
      </c>
      <c r="AN268" s="2">
        <f t="shared" si="28"/>
        <v>20</v>
      </c>
      <c r="AO268" s="2">
        <f>MROUND(IF(AND(_xlfn.XLOOKUP(B268,'Base stats'!B:B,'Base stats'!C:C)&gt;=0.5,_xlfn.XLOOKUP(B268,'Base stats'!B:B,'Base stats'!C:C)&lt;=0.8),
IF(_xlfn.XLOOKUP(B268,'Base stats'!B:B,'Base stats'!C:C)&lt;0.1,0.05,IF(_xlfn.XLOOKUP(B268,'Base stats'!B:B,'Base stats'!C:C)&lt;=70,(_xlfn.XLOOKUP(B268,'Base stats'!B:B,'Base stats'!C:C)/70)^0.426489913056526,IF(_xlfn.XLOOKUP(B268,'Base stats'!B:B,'Base stats'!C:C)&lt;=400,(_xlfn.XLOOKUP(B268,'Base stats'!B:B,'Base stats'!C:C)/70)^0.572811455315093,IF(_xlfn.XLOOKUP(B268,'Base stats'!B:B,'Base stats'!C:C)&lt;=2000,2.71391647193063*(_xlfn.XLOOKUP(B268,'Base stats'!B:B,'Base stats'!C:C)/400)^0.252459582904293,3.74314280240376*(_xlfn.XLOOKUP(B268,'Base stats'!B:B,'Base stats'!C:C)/2000)^0.357012633876913)))),
IF(_xlfn.XLOOKUP(B268,'Base stats'!B:B,'Base stats'!C:C)&lt;0.1,0.05,IF(_xlfn.XLOOKUP(B268,'Base stats'!B:B,'Base stats'!C:C)&lt;0.4,0.1,IF(_xlfn.XLOOKUP(B268,'Base stats'!B:B,'Base stats'!C:C)&lt;=70,(_xlfn.XLOOKUP(B268,'Base stats'!B:B,'Base stats'!C:C)/70)^0.445823913056526,IF(_xlfn.XLOOKUP(B268,'Base stats'!B:B,'Base stats'!C:C)&lt;=400,(_xlfn.XLOOKUP(B268,'Base stats'!B:B,'Base stats'!C:C)/70)^0.572811455315093,IF(_xlfn.XLOOKUP(B268,'Base stats'!B:B,'Base stats'!C:C)&lt;=2000,2.71391647193063*(_xlfn.XLOOKUP(B268,'Base stats'!B:B,'Base stats'!C:C)/400)^0.252459582904293,3.74314280240376*(_xlfn.XLOOKUP(B268,'Base stats'!B:B,'Base stats'!C:C)/2000)^0.357012633876913)))))),
IF(_xlfn.XLOOKUP(B268,'Base stats'!B:B,'Base stats'!C:C)&lt;0.1,0.05,IF(_xlfn.XLOOKUP(B268,'Base stats'!B:B,'Base stats'!C:C)&lt;=100,0.05,IF(_xlfn.XLOOKUP(B268,'Base stats'!B:B,'Base stats'!C:C)&lt;=250,0.1,IF(_xlfn.XLOOKUP(B268,'Base stats'!B:B,'Base stats'!C:C)&lt;=4000,0.25,0.5)))))</f>
        <v>0.5</v>
      </c>
      <c r="AP268" s="8">
        <f>MROUND(AO268*_xlfn.XLOOKUP(_xlfn.XLOOKUP(B268,'Base stats'!B:B,'Base stats'!E:E),Groups!A:A,Groups!AI:AI)*_xlfn.XLOOKUP(B268,'Base stats'!B:B,'Base stats'!Z:Z),0.05)</f>
        <v>0.5</v>
      </c>
      <c r="AQ268" s="8">
        <f>MAX(0.01,MROUND(IF(CC268="True",0.196*(AO268*100*1000)^0.889,IF(_xlfn.XLOOKUP(_xlfn.XLOOKUP(B268,'Base stats'!B:B,'Base stats'!E:E),Groups!A:A,Groups!AJ:AJ)="Bird",10.5*(AO268*100*1000)^0.681,4.82*(AO268*100*1000)^0.734))/(4.82*(1*100*1000)^0.734)/IF(AO268&lt;3.5,2,IF(AO268=3.5,1.5,1.25))*(1+0.132282374779864/(AO268^0.994035016789033+0.00905238001496948)),0.05))</f>
        <v>0.1</v>
      </c>
      <c r="AR268" s="9">
        <f>IFERROR(MROUND(_xlfn.XLOOKUP(B268,'Base stats'!B:B,'Base stats'!H:H)/IF(_xlfn.XLOOKUP(B268,'Base stats'!B:B,'Base stats'!I:I)&lt;&gt;1,(122.5/70),1.2),IF(_xlfn.XLOOKUP(B268,'Base stats'!B:B,'Base stats'!H:H)&gt;=30,5,IF(_xlfn.XLOOKUP(B268,'Base stats'!B:B,'Base stats'!H:H)&gt;=15,3,IF(_xlfn.XLOOKUP(B268,'Base stats'!B:B,'Base stats'!H:H)&gt;=10,2,1)))),"Immortal")</f>
        <v>12</v>
      </c>
      <c r="AS268" s="35" t="str">
        <f>IFERROR(IF(OR(_xlfn.XLOOKUP(B268,'Base stats'!B:B,'Base stats'!F:F)="Atypical reproduction",_xlfn.XLOOKUP(B268,'Base stats'!B:B,'Base stats'!F:F)="Lay eggs"),"Lay eggs",MIN(20,MAX(5.5,ROUND(((_xlfn.XLOOKUP(B268,'Base stats'!B:B,'Base stats'!F:F)-25)*(14.5/615) + 5.5)*2,0)/2))),"Unknown")</f>
        <v>Lay eggs</v>
      </c>
      <c r="AT268" s="8">
        <f>IF(_xlfn.XLOOKUP(B268,'Base stats'!B:B,'Base stats'!G:G)="Atypical reproduction","No",IFERROR(MAX(IF(_xlfn.XLOOKUP(B268,'Base stats'!B:B,'Base stats'!G:G)&lt;0.5,0.2,0.3),MROUND(_xlfn.XLOOKUP(B268,'Base stats'!B:B,'Base stats'!G:G)/(365/60),0.2)),"Unknown"))</f>
        <v>0.4</v>
      </c>
      <c r="AU268" s="8">
        <f t="shared" si="29"/>
        <v>0.2</v>
      </c>
      <c r="AV268" s="8" t="str">
        <f>IFERROR(IFERROR(MROUND(_xlfn.XLOOKUP(B268,'Base stats'!B:B,'Base stats'!J:J),0.1),"Lay eggs"),"Cannot breed")</f>
        <v>Lay eggs</v>
      </c>
      <c r="AW268" s="2" t="str">
        <f t="shared" si="30"/>
        <v>false</v>
      </c>
      <c r="AX268" s="2" t="str">
        <f>IF(_xlfn.XLOOKUP(_xlfn.XLOOKUP(Animals!B268,'Base stats'!B:B,'Base stats'!E:E),Groups!A:A,Groups!AK:AK)=1,"true","false")</f>
        <v>false</v>
      </c>
      <c r="AY268" s="25" t="str">
        <f>IF(_xlfn.XLOOKUP(B268,'Base stats'!B:B,'Base stats'!Y:Y)="Liquor","Liquor, CarnivoreAnimalStrict",IF(AND(_xlfn.XLOOKUP(B268,'Base stats'!B:B,'Base stats'!Y:Y)="Carnivore",_xlfn.XLOOKUP(_xlfn.XLOOKUP(B268,'Base stats'!B:B,'Base stats'!E:E),Groups!A:A,Groups!AJ:AJ)="Photonozoa"),"CarnivoreAnimalStrict, OvivoreAnimal",IF(_xlfn.XLOOKUP(B268,'Base stats'!B:B,'Base stats'!Y:Y)="Carnivore","CarnivoreAnimal, OvivoreAnimal",IF(_xlfn.XLOOKUP(B268,'Base stats'!B:B,'Base stats'!Y:Y)="Dendrovore","VegetarianRoughAnimal, DendrovoreAnimal",IF(_xlfn.XLOOKUP(B268,'Base stats'!B:B,'Base stats'!Y:Y)="Herbivore","VegetarianRoughAnimal",IF(_xlfn.XLOOKUP(B268,'Base stats'!B:B,'Base stats'!Y:Y)="OmnivoreRough","OmnivoreRoughAnimal, OvivoreAnimal","OmnivoreAnimal, OvivoreAnimal"))))))</f>
        <v>OmnivoreAnimal, OvivoreAnimal</v>
      </c>
      <c r="AZ268" s="2" t="str">
        <f>IF(_xlfn.XLOOKUP(_xlfn.XLOOKUP(B268,'Base stats'!B:B,'Base stats'!E:E),Groups!A:A,Groups!D:D)=1,MROUND((1-J268)*5+1,2)*IF(J268&lt;=0.4,2,1),"No")</f>
        <v>No</v>
      </c>
      <c r="BA268" s="2" t="str">
        <f>IF(AND(_xlfn.XLOOKUP(B268,'Base stats'!B:B,'Base stats'!AH:AH)="&lt;li&gt;Seal&lt;/li&gt;",G268="Odyssey"),"&lt;li&gt;AEXP_Seal&lt;/li&gt;",_xlfn.XLOOKUP(B268,'Base stats'!B:B,'Base stats'!AH:AH))</f>
        <v>&lt;li&gt;Megaspider&lt;/li&gt;</v>
      </c>
      <c r="BB268" s="2" t="str">
        <f>_xlfn.XLOOKUP(B268,'Base stats'!B:B,'Base stats'!AG:AG)</f>
        <v>Leather_Chitin</v>
      </c>
      <c r="BC268" s="23" t="str">
        <f>_xlfn.XLOOKUP(_xlfn.XLOOKUP(B268,'Base stats'!B:B,'Base stats'!E:E),Groups!A:A,Groups!AL:AL)</f>
        <v>ScorpionLike</v>
      </c>
      <c r="BD268" s="23">
        <f>MIN(1,MROUND(IF(AND(AO268&lt;0.5,_xlfn.XLOOKUP(B268,'Base stats'!B:B,'Base stats'!AA:AA)=0),0,IF(OR(_xlfn.XLOOKUP(Animals!B268,'Base stats'!B:B,'Base stats'!O:O)=2,_xlfn.XLOOKUP(_xlfn.XLOOKUP(B268,'Base stats'!B:B,'Base stats'!E:E),Groups!A:A,Groups!AN:AN)=0),0,_xlfn.XLOOKUP(_xlfn.XLOOKUP(B268,'Base stats'!B:B,'Base stats'!E:E),Groups!A:A,Groups!AN:AN)/IF(_xlfn.XLOOKUP(Animals!B268,'Base stats'!B:B,'Base stats'!O:O)=1,2,1)))+_xlfn.XLOOKUP(B268,'Base stats'!B:B,'Base stats'!AC:AC),0.005))</f>
        <v>0.1</v>
      </c>
      <c r="BE268" s="23">
        <f>MIN(1,MROUND(IF(AND(AO268&lt;0.5,_xlfn.XLOOKUP(B268,'Base stats'!B:B,'Base stats'!AA:AA)=0),0,IF(_xlfn.XLOOKUP(_xlfn.XLOOKUP(B268,'Base stats'!B:B,'Base stats'!E:E),Groups!A:A,Groups!AO:AO)=0,0,_xlfn.XLOOKUP(_xlfn.XLOOKUP(B268,'Base stats'!B:B,'Base stats'!E:E),Groups!A:A,Groups!AO:AO)/IF(_xlfn.XLOOKUP(Animals!B268,'Base stats'!B:B,'Base stats'!O:O)=2,3,1)))+_xlfn.XLOOKUP(B268,'Base stats'!B:B,'Base stats'!AD:AD),0.005))</f>
        <v>1</v>
      </c>
      <c r="BF268" s="2" t="str">
        <f>IF(J268&gt;0.3,"No",_xlfn.XLOOKUP(_xlfn.XLOOKUP(Animals!B268,'Base stats'!B:B,'Base stats'!E:E),Groups!A:A,Groups!AP:AP))</f>
        <v>No</v>
      </c>
      <c r="BG268" s="2" t="str">
        <f>IF(AND(J268&lt;=0.65,_xlfn.XLOOKUP(_xlfn.XLOOKUP(Animals!B268,'Base stats'!B:B,'Base stats'!E:E),Groups!A:A,Groups!AP:AP)&lt;&gt;"No",_xlfn.XLOOKUP(_xlfn.XLOOKUP(B268,'Base stats'!B:B,'Base stats'!E:E),Groups!A:A,Groups!D:D)=0),MROUND((80/3)*IF(_xlfn.XLOOKUP(B268,'Base stats'!B:B,'Base stats'!O:O)=2,0.2,AO268) + 24*(1-IF(BF268="No",0,BF268)) + 16/3, 12),"No")</f>
        <v>No</v>
      </c>
      <c r="BH268" s="2">
        <f>IF(AND(_xlfn.XLOOKUP(_xlfn.XLOOKUP(B268,'Base stats'!B:B,'Base stats'!E:E),Groups!A:A,Groups!AQ:AQ)=1,AO268&lt;=0.35),8,12)</f>
        <v>12</v>
      </c>
      <c r="BI268" s="2" t="str">
        <f>IF(_xlfn.XLOOKUP(_xlfn.XLOOKUP(B268,'Base stats'!B:B,'Base stats'!E:E),Groups!A:A,Groups!D:D)=0,_xlfn.XLOOKUP(_xlfn.XLOOKUP(B268,'Base stats'!B:B,'Base stats'!E:E),Groups!A:A,Groups!AR:AR),"None")</f>
        <v>Intermediate</v>
      </c>
      <c r="BJ268" s="2" t="str">
        <f>IF(AND(_xlfn.XLOOKUP(_xlfn.XLOOKUP(B268,'Base stats'!B:B,'Base stats'!E:E),Groups!A:A,Groups!AS:AS)=1,OR(_xlfn.XLOOKUP(B268,'Base stats'!B:B,'Base stats'!Y:Y)="Carnivore",_xlfn.XLOOKUP(B268,'Base stats'!B:B,'Base stats'!Y:Y)="Omnivore")),"true","false")</f>
        <v>true</v>
      </c>
      <c r="BK268" s="2">
        <f>IF(BJ268="true",MROUND(IF(AND(AO268&gt;0.5,OR(_xlfn.XLOOKUP(_xlfn.XLOOKUP(B268,'Base stats'!B:B,'Base stats'!E:E),Groups!A:A,Groups!AJ:AJ)="Photonozoa",_xlfn.XLOOKUP(_xlfn.XLOOKUP(B268,'Base stats'!B:B,'Base stats'!E:E),Groups!A:A,Groups!AJ:AJ)="Mammal")),Animals!AO268*1.75*IF(AW268="true",1.5,1),IF(AO268&lt;0.5,Animals!AO268*0.5,Animals!AO268)),IF(AO268&gt;2,0.5,IF(AO268&gt;0.5,0.25,0.1))),"No")</f>
        <v>0.5</v>
      </c>
      <c r="BL268" s="2">
        <f t="shared" si="31"/>
        <v>1</v>
      </c>
      <c r="BM268" s="25" t="str">
        <f>IF(_xlfn.XLOOKUP(B268,'Base stats'!B:B,'Base stats'!AN:AN)="Standard","No",MROUND((_xlfn.XLOOKUP(B268,'Base stats'!B:B,'Base stats'!AN:AN)/3.6)/I268,0.1))</f>
        <v>No</v>
      </c>
      <c r="BN268" s="25" t="str">
        <f t="shared" si="32"/>
        <v>false</v>
      </c>
      <c r="BO268" s="25" t="str">
        <f>IF(AND(OR(_xlfn.XLOOKUP(B268,'Base stats'!B:B,'Base stats'!Y:Y)="Carnivore",_xlfn.XLOOKUP(B268,'Base stats'!B:B,'Base stats'!Y:Y)="Omnivore",_xlfn.XLOOKUP(B268,'Base stats'!B:B,'Base stats'!Y:Y)="OmnivoreRough"),_xlfn.XLOOKUP(_xlfn.XLOOKUP(B268,'Base stats'!B:B,'Base stats'!E:E),Groups!A:A,Groups!AT:AT)=1),"true","false")</f>
        <v>false</v>
      </c>
      <c r="BP268" s="25" t="str" cm="1">
        <f t="array" ref="BP268">IF(
  _xlfn.TEXTJOIN(", ",TRUE,
    IF(AND(BJ268="true",AO268&gt;0.5,BI268&lt;&gt;"None"),"AttackTarget",""),
    IF(AND(_xlfn.XLOOKUP(_xlfn.XLOOKUP(B268,'Base stats'!B:B,'Base stats'!E:E),Groups!A:A,Groups!AJ:AJ="Mammal"),OR(_xlfn.XLOOKUP(B268,'Base stats'!B:B,'Base stats'!Y:Y)="Omnivore",_xlfn.XLOOKUP(B268,'Base stats'!B:B,'Base stats'!Y:Y)="OmnivoreRough")),"Forage",""),
    IF(BG268&lt;=36,"Comfort",""),
    IF(_xlfn.XLOOKUP(B268,'Base stats'!B:B,'Base stats'!AE:AE)&lt;&gt;"No",_xlfn.XLOOKUP(B268,'Base stats'!B:B,'Base stats'!AE:AE),"")
  ) = "",
  "No",
  _xlfn.TEXTJOIN(", ",TRUE,
    IF(AND(BJ268="true",AO268&gt;0.5,BI268&lt;&gt;"None"),"AttackTarget",""),
    IF(AND(_xlfn.XLOOKUP(_xlfn.XLOOKUP(B268,'Base stats'!B:B,'Base stats'!E:E),Groups!A:A,Groups!AJ:AJ="Mammal"),OR(_xlfn.XLOOKUP(B268,'Base stats'!B:B,'Base stats'!Y:Y)="Omnivore",_xlfn.XLOOKUP(B268,'Base stats'!B:B,'Base stats'!Y:Y)="OmnivoreRough")),"Forage",""),
    IF(BG268&lt;=36,"Comfort",""),
    IF(_xlfn.XLOOKUP(B268,'Base stats'!B:B,'Base stats'!AE:AE)&lt;&gt;"No",_xlfn.XLOOKUP(B268,'Base stats'!B:B,'Base stats'!AE:AE),"")
  )
)</f>
        <v>No</v>
      </c>
      <c r="BQ268" s="25" t="str">
        <f>IF(
   AND(
      'Base stats'!AN268="Standard",_xlfn.XLOOKUP(_xlfn.XLOOKUP(B268,'Base stats'!B:B,'Base stats'!E:E),Groups!A:A,Groups!AU:AU)=0,
      OR(
      BO268="True"
      )
   ),
   10,
   IF(
       OR(BM268&lt;&gt;"No",_xlfn.XLOOKUP(_xlfn.XLOOKUP(B268,'Base stats'!B:B,'Base stats'!E:E),Groups!A:A,Groups!AU:AU)=1),
      1,
      "No"
   )
)</f>
        <v>No</v>
      </c>
      <c r="BR268" s="9">
        <f>MROUND((1 + ((0.2*IF(OR(Q268="No",R268="No",R268=0),0,Q268/R268)
+IF(OR(V268="No",S268="No",T268="No"),0,S268/T268*(LEN(V268)-LEN(SUBSTITUTE(V268,",",""))+1))
+IF(OR(X268="No",Y268="No"),0,X268/Y268)
+IF(OR(AD268="No",AE268="No"),0,AD268/AE268)
+IF(OR(AL268="No",AI268="No",AJ268="No"),0,AI268/AJ268*(LEN(AL268)-LEN(SUBSTITUTE(AL268,",",""))+1))
)/(0.2*IF(OR(Q268="No",R268="No",R268=0),0,1)
+IF(OR(V268="No",S268="No",T268="No"),0,LEN(V268)-LEN(SUBSTITUTE(V268,",",""))+1)
+IF(OR(X268="No",Y268="No"),0,1)
+IF(OR(AD268="No",AE268="No"),0,1)
+IF(OR(AL268="No",AI268="No",AJ268="No"),0,LEN(AL268)-LEN(SUBSTITUTE(AL268,",",""))+1))*62%)* 2)*(1 + (AP268 / (IF(_xlfn.XLOOKUP(_xlfn.XLOOKUP(B268,'Base stats'!B:B,'Base stats'!E:E),Groups!A:A,Groups!AJ:AJ)="Photonozoa",0.3,1)) + _xlfn.XLOOKUP(B268,'Base stats'!B:B,'Base stats'!AV:AV) * 1.8) * 2) * 2.5 + 10 + I268 * 2,5)+IF(_xlfn.XLOOKUP(B268,'Base stats'!B:B,'Base stats'!AK:AK)=1,50,0)</f>
        <v>100</v>
      </c>
      <c r="BS268" s="8">
        <f t="shared" si="33"/>
        <v>0.2</v>
      </c>
      <c r="BT268" s="8" t="str">
        <f>_xlfn.XLOOKUP(B268,'Base stats'!B:B,'Base stats'!AF:AF)</f>
        <v>No</v>
      </c>
      <c r="BU268" s="2" t="str">
        <f>IF(AND(J268&lt;=0.95,OR(_xlfn.XLOOKUP(B268,'Base stats'!B:B,'Base stats'!AK:AK)=1,_xlfn.XLOOKUP(B268,'Base stats'!B:B,'Base stats'!Y:Y)="Carnivore",_xlfn.XLOOKUP(B268,'Base stats'!B:B,'Base stats'!Y:Y)="Omnivore",BE268&gt;0.1)),"true","false")</f>
        <v>true</v>
      </c>
      <c r="BV268" s="2" t="str">
        <f>IF(_xlfn.XLOOKUP(B268,'Base stats'!B:B,'Base stats'!AI:AI)=1,"true","false")</f>
        <v>false</v>
      </c>
      <c r="BW268" s="25" t="str">
        <f>IF(E268="BaseInsect","AnimalInsect",
IF(J268&gt;0.95,"AnimalExotic",
_xlfn.TEXTJOIN(", ",TRUE,
IF(OR(_xlfn.XLOOKUP(B268,'Base stats'!B:B,'Base stats'!AM:AM)=1,AND(_xlfn.XLOOKUP(B268,'Base stats'!B:B,'Base stats'!O:O)=0,_xlfn.XLOOKUP(_xlfn.XLOOKUP(B268,'Base stats'!B:B,'Base stats'!E:E),Groups!A:A,Groups!B:B)&gt;0)),"AnimalUncommon","AnimalCommon"),
IF(AND(_xlfn.XLOOKUP(B268,'Base stats'!B:B,'Base stats'!O:O)=2,_xlfn.XLOOKUP(_xlfn.XLOOKUP(B268,'Base stats'!B:B,'Base stats'!E:E),Groups!A:A,Groups!D:D)=0),"AnimalPet",IF(AND(_xlfn.XLOOKUP(B268,'Base stats'!B:B,'Base stats'!O:O)&lt;&gt;0,_xlfn.XLOOKUP(_xlfn.XLOOKUP(B268,'Base stats'!B:B,'Base stats'!E:E),Groups!A:A,Groups!D:D)&lt;&gt;0),"AnimalFarm","")),
IF(OR(_xlfn.XLOOKUP(B268,'Base stats'!B:B,'Base stats'!AK:AK)=1,AND(BI268&lt;&gt;"None",BR268&gt;=60),ISNUMBER(SEARCH("Attack target",BP268))),"AnimalFighter","")
)))</f>
        <v>AnimalUncommon, AnimalFighter</v>
      </c>
      <c r="BX268" s="25" t="str">
        <f>IF(G268="None",TRIM(
SUBSTITUTE(
IF(COUNTIF(Biomes!B$2:B$259,"="&amp;$C268)&gt;0,Biomes!B$1&amp;", ","")&amp;
IF(COUNTIF(Biomes!C$2:C$259,"="&amp;$C268)&gt;0,Biomes!C$1&amp;", ","")&amp;
IF(COUNTIF(Biomes!D$2:D$259,"="&amp;$C268)&gt;0,Biomes!D$1&amp;", ","")&amp;
IF(COUNTIF(Biomes!F$2:F$259,"="&amp;$C268)&gt;0,Biomes!F$1&amp;", ","")&amp;
IF(COUNTIF(Biomes!G$2:G$259,"="&amp;$C268)&gt;0,Biomes!G$1&amp;", ","")&amp;
IF(COUNTIF(Biomes!H$2:H$259,"="&amp;$C268)&gt;0,Biomes!H$1&amp;", ","")&amp;
IF(COUNTIF(Biomes!I$2:I$259,"="&amp;$C268)&gt;0,Biomes!I$1&amp;", ","")&amp;
IF(COUNTIF(Biomes!J$2:J$259,"="&amp;$C268)&gt;0,Biomes!J$1&amp;", ","")&amp;
IF(COUNTIF(Biomes!M$2:M$259,"="&amp;$C268)&gt;0,Biomes!M$1&amp;", ","")&amp;
IF(COUNTIF(Biomes!N$2:N$259,"="&amp;$C268)&gt;0,Biomes!N$1&amp;", ","")&amp;
IF(COUNTIF(Biomes!O$2:O$259,"="&amp;$C268)&gt;0,Biomes!O$1&amp;", ","")&amp;
IF(COUNTIF(Biomes!P$2:P$259,"="&amp;$C268)&gt;0,Biomes!P$1&amp;", ","")&amp;
IF(COUNTIF(Biomes!K$2:K$259,"="&amp;$C268)&gt;0,Biomes!K$1&amp;", ","")&amp;
IF(COUNTIF(Biomes!Q$3:Q$259,"="&amp;$C268)&gt;0,Biomes!Q$1&amp;", ","")&amp;
IF(COUNTIF(Biomes!L$2:L$259,"="&amp;$C268)&gt;0,Biomes!L$1&amp;", ","")&amp;
IF(COUNTIF(Biomes!E$2:E$259,"="&amp;$C268)&gt;0,Biomes!E$1&amp;", ","")&amp;IF(COUNTIF(Biomes!S$2:S$259,"="&amp;$C268)&gt;0,Biomes!S$1&amp;", ","")&amp;
IF(COUNTIF(Biomes!R$2:R$259,"="&amp;$C268)&gt;0,Biomes!R$1&amp;", ",""),", ","")
),_xlfn.XLOOKUP(B268,B:B,BX:BX))</f>
        <v/>
      </c>
      <c r="BY268" s="25" t="str">
        <f>IF(_xlfn.XLOOKUP(B268,'Base stats'!B:B,'Base stats'!AJ:AJ)=1,"true","false")</f>
        <v>false</v>
      </c>
      <c r="BZ268" s="25">
        <f>IF(_xlfn.XLOOKUP(B268,'Base stats'!B:B,'Base stats'!N:N)=1,"No",MAX(0.001,MIN(MROUND(IF(AND(BJ268="True",CC268="False"),POWER(10,3.47*LOG10(_xlfn.XLOOKUP(B268,'Base stats'!B:B,'Base stats'!C:C)*1000)^-0.96),POWER(10,4.15*LOG10(_xlfn.XLOOKUP(B268,'Base stats'!B:B,'Base stats'!C:C)*1000)^-0.73))*IF(_xlfn.XLOOKUP(B268,'Base stats'!B:B,'Base stats'!AK:AK)=1,0.5,1)*IF(_xlfn.XLOOKUP(B268,'Base stats'!B:B,'Base stats'!AM:AM)=1,0.1,1)/100,IF(_xlfn.XLOOKUP(B268,'Base stats'!B:B,'Base stats'!AM:AM)=1,0.001,0.025)),0.5)))</f>
        <v>2.9000000000000001E-2</v>
      </c>
      <c r="CA268" s="25" t="str">
        <f>IF(P268="Standard","No",MAX(0.001,MIN(MROUND(IF(AND(BJ268="True",CC268="False"),POWER(10,3.47*LOG10(_xlfn.XLOOKUP(B268,'Base stats'!B:B,'Base stats'!C:C)*1000)^-0.96),POWER(10,4.15*LOG10(_xlfn.XLOOKUP(B268,'Base stats'!B:B,'Base stats'!C:C)*1000)^-0.73))*IF(_xlfn.XLOOKUP(B268,'Base stats'!B:B,'Base stats'!AM:AM)=1,0.1,1)*_xlfn.XLOOKUP(B268,'Base stats'!B:B,'Base stats'!R:R)/100,IF(_xlfn.XLOOKUP(B268,'Base stats'!B:B,'Base stats'!AM:AM)=1,0.001,0.025)),0.5)))</f>
        <v>No</v>
      </c>
      <c r="CB268" s="25" t="str">
        <f>IF(_xlfn.XLOOKUP(_xlfn.XLOOKUP(B268,'Base stats'!B:B,'Base stats'!E:E),Groups!A:A,Groups!AJ:AJ)="Mammal","True","False")</f>
        <v>False</v>
      </c>
      <c r="CC268" s="25" t="str">
        <f>IF(OR(_xlfn.XLOOKUP(_xlfn.XLOOKUP(B268,'Base stats'!B:B,'Base stats'!E:E),Groups!A:A,Groups!AJ:AJ)="Reptile",_xlfn.XLOOKUP(_xlfn.XLOOKUP(B268,'Base stats'!B:B,'Base stats'!E:E),Groups!A:A,Groups!AJ:AJ)="Amphibian",_xlfn.XLOOKUP(_xlfn.XLOOKUP(B268,'Base stats'!B:B,'Base stats'!E:E),Groups!A:A,Groups!AJ:AJ)="Invertebrate"),"True","False")</f>
        <v>True</v>
      </c>
      <c r="CD268" s="25" t="str">
        <f t="shared" si="34"/>
        <v>False</v>
      </c>
      <c r="CE268" s="25" t="str">
        <f>IF(_xlfn.XLOOKUP(_xlfn.XLOOKUP(B268,'Base stats'!B:B,'Base stats'!E:E),Groups!A:A,Groups!AX:AX),"True","False")</f>
        <v>False</v>
      </c>
      <c r="CF268" s="25" t="str">
        <f>IF(_xlfn.XLOOKUP(_xlfn.XLOOKUP(B268,'Base stats'!B:B,'Base stats'!E:E),Groups!A:A,Groups!AY:AY),"True","False")</f>
        <v>False</v>
      </c>
      <c r="CG268" s="25" t="str">
        <f>IF(_xlfn.XLOOKUP(_xlfn.XLOOKUP(B268,'Base stats'!B:B,'Base stats'!E:E),Groups!A:A,Groups!AW:AW),"True","False")</f>
        <v>False</v>
      </c>
      <c r="CH268" s="25" t="str">
        <f>IF(
OR(
_xlfn.XLOOKUP(_xlfn.XLOOKUP(B268,'Base stats'!B:B,'Base stats'!E:E),Groups!A:A,Groups!AZ:AZ)=0,
AND(
_xlfn.XLOOKUP(B268,'Base stats'!B:B,'Base stats'!Y:Y)&lt;&gt;"Carnivore",
_xlfn.XLOOKUP(B268,'Base stats'!B:B,'Base stats'!Y:Y)&lt;&gt;"Omnivore",
_xlfn.XLOOKUP(B268,'Base stats'!B:B,'Base stats'!Y:Y)&lt;&gt;"OmnivoreRough"
)
),
"No",
IF(
_xlfn.XLOOKUP(_xlfn.XLOOKUP(B268,'Base stats'!B:B,'Base stats'!E:E),Groups!A:A,Groups!AZ:AZ)=1,
"Flesh",
IF(
_xlfn.XLOOKUP(_xlfn.XLOOKUP(B268,'Base stats'!B:B,'Base stats'!E:E),Groups!A:A,Groups!AZ:AZ)=2,
"Bone",
""
)
)
)</f>
        <v>No</v>
      </c>
      <c r="CI268" s="25" t="str">
        <f>IF(_xlfn.XLOOKUP(_xlfn.XLOOKUP(B268,'Base stats'!B:B,'Base stats'!E:E),Groups!A:A,Groups!BB:BB),"True","False")</f>
        <v>False</v>
      </c>
      <c r="CJ268" s="25" t="str">
        <f>IF(_xlfn.XLOOKUP(_xlfn.XLOOKUP(B268,'Base stats'!B:B,'Base stats'!E:E),Groups!A:A,Groups!BA:BA),"True","False")</f>
        <v>False</v>
      </c>
    </row>
    <row r="269" spans="1:88" ht="16.5" thickTop="1" thickBot="1" x14ac:dyDescent="0.3">
      <c r="A269" s="26" t="s">
        <v>1444</v>
      </c>
      <c r="B269" s="6" t="str">
        <f>_xlfn.XLOOKUP(A269,'Base stats'!A:A,'Base stats'!B:B)</f>
        <v>Mus fissilis</v>
      </c>
      <c r="C269" s="28" t="s">
        <v>1445</v>
      </c>
      <c r="D269" s="28" t="s">
        <v>1341</v>
      </c>
      <c r="E269" s="28" t="s">
        <v>673</v>
      </c>
      <c r="F269" s="28" t="s">
        <v>673</v>
      </c>
      <c r="G269" s="28" t="s">
        <v>673</v>
      </c>
      <c r="H269" s="2">
        <f>MROUND((
  (IF(AND(_xlfn.XLOOKUP(B269,'Base stats'!B:B,'Base stats'!AL:AL)=0,BI269="None",_xlfn.XLOOKUP(_xlfn.XLOOKUP(B269,'Base stats'!B:B,'Base stats'!E:E),Groups!A:A,Groups!B:B)=0), (18 + BR269 * 2.7) * 0.5,
    IF(AND(_xlfn.XLOOKUP(B269,'Base stats'!B:B,'Base stats'!AL:AL)=0,OR(AO269&lt;0.55,AND(BI269="Intermediate",_xlfn.XLOOKUP(_xlfn.XLOOKUP(B269,'Base stats'!B:B,'Base stats'!E:E),Groups!A:A,Groups!B:B)&lt;2))), (18 + BR269 * 2.7),
      IF(OR(BI269="Advanced",_xlfn.XLOOKUP(B269,'Base stats'!B:B,'Base stats'!AL:AL)=1,_xlfn.XLOOKUP(_xlfn.XLOOKUP(B269,'Base stats'!B:B,'Base stats'!E:E),Groups!A:A,Groups!B:B)=2), (18 + BR269 * 2.7) + 250, (18 + BR269 * 2.7))
    )
  ))
  + AO269 * 80
  + IF(COUNTIF(EggMilk!K$2:K$998, A269) &gt; 0, 125, 0)
  + IF(COUNTIF(EggMilk!P$2:P$998, A269) &gt; 0, 90, 0)
  + IF(COUNTIF(EggMilk!A$2:A$998, A269) &gt; 0, 90, 0)
)
* (0.8 + 0.4 * J269)
* 0.75,25)</f>
        <v>25</v>
      </c>
      <c r="I269" s="2">
        <f>MROUND(ROUNDDOWN(_xlfn.XLOOKUP(B269,'Base stats'!B:B,'Base stats'!L:L)/3.6/(23.3/11),1),0.5)</f>
        <v>1.5</v>
      </c>
      <c r="J269" s="2">
        <f>IF(OR(_xlfn.XLOOKUP(B269,'Base stats'!B:B,'Base stats'!AB:AB)=1,_xlfn.XLOOKUP(_xlfn.XLOOKUP(B269,'Base stats'!B:B,'Base stats'!E:E),Groups!A:A,Groups!C:C)="Untamable"),1,IF(_xlfn.XLOOKUP(B269,'Base stats'!B:B,'Base stats'!AL:AL)=1,0.99,MIN(MROUND((1-0.6282*EXP(-0.459*AO269))*_xlfn.XLOOKUP(_xlfn.XLOOKUP(B269,'Base stats'!B:B,'Base stats'!E:E),Groups!A:A,Groups!C:C)*IF(_xlfn.XLOOKUP(B269,'Base stats'!B:B,'Base stats'!O:O)=1,0.5,IF(_xlfn.XLOOKUP(B269,'Base stats'!B:B,'Base stats'!O:O)=2,0,1)),0.05),IF(AO269&gt;3.5,0.985,0.95))))</f>
        <v>0.5</v>
      </c>
      <c r="K269" s="2">
        <f>ROUNDUP(AO269*_xlfn.XLOOKUP(_xlfn.XLOOKUP(B269,'Base stats'!B:B,'Base stats'!E:E),Groups!A:A,Groups!E:E),0)</f>
        <v>1</v>
      </c>
      <c r="L269" s="2">
        <f>IF(OR(_xlfn.XLOOKUP(_xlfn.XLOOKUP(B269,'Base stats'!B:B,'Base stats'!E:E),Groups!A:A,Groups!F:F)=2,ISNUMBER(SEARCH("SeaIce",BX269)),ISNUMBER(SEARCH("IceSheet",BX269))),-50,IF(OR(ISNUMBER(SEARCH("GlacialPlain",BX269)),ISNUMBER(SEARCH("Tundra",BX269))),-40,IF(OR(ISNUMBER(SEARCH("Alpine",BX269)),ISNUMBER(SEARCH("BorealForest",BX269)),ISNUMBER(SEARCH("ColdBog",BX269))),-30,IF(OR(ISNUMBER(SEARCH("TemperateForest",BX269)),ISNUMBER(SEARCH("TemperateSwamp",BX269))),-20,IF(_xlfn.XLOOKUP(_xlfn.XLOOKUP(B269,'Base stats'!B:B,'Base stats'!E:E),Groups!A:A,Groups!F:F)=1,-15,IF(OR(ISNUMBER(SEARCH("Desert",BX269)),ISNUMBER(SEARCH("ExtremeDesert",BX269))),-10,IF(OR(ISNUMBER(SEARCH("Grasslands",BX269)),ISNUMBER(SEARCH("TropicalRainforest",BX269)),ISNUMBER(SEARCH("TropicalSwamp",BX269))),10,0)))))))-IF(CC269="False",MIN(IFERROR(MAX(MROUND(LOG10(_xlfn.XLOOKUP(B269,'Base stats'!B:B,'Base stats'!C:C)^(2/3))*10,5),5),5),30))-_xlfn.XLOOKUP(B269,'Base stats'!B:B,'Base stats'!P:P)+IF(CC269="True",5,0)</f>
        <v>-35</v>
      </c>
      <c r="M269" s="2">
        <f>IF(OR(_xlfn.XLOOKUP(_xlfn.XLOOKUP(B269,'Base stats'!B:B,'Base stats'!E:E),Groups!A:A,Groups!G:G)=2,ISNUMBER(SEARCH("Desert",BX269)),ISNUMBER(SEARCH("ExtremeDesert",BX269)),ISNUMBER(SEARCH("LavaField",BX269))),50,IF(ISNUMBER(SEARCH("Grasslands",BX269)),45,IF(OR(_xlfn.XLOOKUP(_xlfn.XLOOKUP(B269,'Base stats'!B:B,'Base stats'!E:E),Groups!A:A,Groups!G:G)=1,ISNUMBER(SEARCH("TropicalRainforest",BX269)),ISNUMBER(SEARCH("TropicalSwamp",BX269))),40,IF(OR(ISNUMBER(SEARCH("TemperateForest",BX269)),ISNUMBER(SEARCH("TemperateSwamp",BX269))),35,IF(OR(ISNUMBER(SEARCH("Alpine",BX269)),ISNUMBER(SEARCH("BorealForest",BX269)),ISNUMBER(SEARCH("ColdBog",BX269))),30,IF(ISNUMBER(OR(ISNUMBER(SEARCH("GlacialPlain",BX269)),SEARCH("Tundra",BX269))),25,IF(OR(ISNUMBER(SEARCH("SeaIce",BX269)),ISNUMBER(SEARCH("IceSheet",BX269)),ISNUMBER(SEARCH("TropicalSwamp",BX269))),10,35)))))))+_xlfn.XLOOKUP(B269,'Base stats'!B:B,'Base stats'!Q:Q)</f>
        <v>50</v>
      </c>
      <c r="N269" s="8" t="str">
        <f>IF(
_xlfn.XLOOKUP(
_xlfn.XLOOKUP(B269,'Base stats'!B:B,'Base stats'!E:E),
Groups!A:A,
Groups!L:L
)=1,
MIN(
MROUND(
IF(
_xlfn.XLOOKUP(B269,'Animals CE'!B:B,'Animals CE'!Z:Z)&lt;=1.5,
_xlfn.XLOOKUP(B269,'Animals CE'!B:B,'Animals CE'!Z:Z)/2+0.05,
0.8+
(_xlfn.XLOOKUP(B269,'Animals CE'!B:B,'Animals CE'!Z:Z)-1.5)
*0.02
),
0.05
),
200%
),
"No"
)</f>
        <v>No</v>
      </c>
      <c r="O269" s="8" t="str">
        <f>IF(
_xlfn.XLOOKUP(
_xlfn.XLOOKUP(B269,'Base stats'!B:B,'Base stats'!E:E),
Groups!A:A,
Groups!L:L
)=1,
MIN(
MROUND(
IF(
_xlfn.XLOOKUP(B269,'Animals CE'!B:B,'Animals CE'!AA:AA)&lt;=1.5,
_xlfn.XLOOKUP(B269,'Animals CE'!B:B,'Animals CE'!AA:AA)/2+0.05,
0.8+
(_xlfn.XLOOKUP(B269,'Animals CE'!B:B,'Animals CE'!AA:AA)-1.5)
*0.02
),
0.05
),
200%
),
"No"
)</f>
        <v>No</v>
      </c>
      <c r="P269" s="2" t="str">
        <f>_xlfn.XLOOKUP(B269,'Base stats'!B:B,'Base stats'!R:R)</f>
        <v>Standard</v>
      </c>
      <c r="Q269" s="13">
        <f>MROUND((LOG10(_xlfn.XLOOKUP(B269,'Base stats'!B:B,'Base stats'!AR:AR))*(AO269^0.5)+(_xlfn.XLOOKUP(B269,'Base stats'!B:B,'Base stats'!AR:AR)/1000)^(2/3)+_xlfn.XLOOKUP(B269,'Base stats'!B:B,'Base stats'!BA:BA)/2)+0.5,0.5)</f>
        <v>1</v>
      </c>
      <c r="R269" s="7">
        <f>IF(Q269="No","No",MAX(1,MROUND(_xlfn.XLOOKUP(B269,'Base stats'!B:B,'Base stats'!C:C)^0.165,0.05)))</f>
        <v>1</v>
      </c>
      <c r="S269" s="13" t="str">
        <f>IF(_xlfn.XLOOKUP(_xlfn.XLOOKUP(B269,'Base stats'!B:B,'Base stats'!E:E),Groups!A:A,Groups!P:P)=0,"No",MROUND((LOG10(_xlfn.XLOOKUP(B269,'Base stats'!B:B,'Base stats'!AS:AS))*(AO269^0.5)+(_xlfn.XLOOKUP(B269,'Base stats'!B:B,'Base stats'!AS:AS)/1000)^(2/3)+_xlfn.XLOOKUP(B269,'Base stats'!B:B,'Base stats'!BA:BA))+_xlfn.XLOOKUP(B269,'Base stats'!B:B,'Base stats'!AY:AY)+0.5,0.5))</f>
        <v>No</v>
      </c>
      <c r="T269" s="7" t="str">
        <f>IF(S269="No","No",MAX(_xlfn.XLOOKUP(_xlfn.XLOOKUP(B269,'Base stats'!B:B,'Base stats'!E:E),Groups!A:A,Groups!Q:Q),MROUND(_xlfn.XLOOKUP(_xlfn.XLOOKUP(B269,'Base stats'!B:B,'Base stats'!E:E),Groups!A:A,Groups!Q:Q)*_xlfn.XLOOKUP(B269,'Base stats'!B:B,'Base stats'!C:C)^0.165,0.05)))</f>
        <v>No</v>
      </c>
      <c r="U269" s="7" t="str">
        <f>IF(S269="No","No",_xlfn.XLOOKUP(_xlfn.XLOOKUP(B269,'Base stats'!B:B,'Base stats'!E:E),Groups!A:A,Groups!R:R))</f>
        <v>No</v>
      </c>
      <c r="V269" s="7" t="str">
        <f>IF(S269="No","No",_xlfn.XLOOKUP(_xlfn.XLOOKUP(B269,'Base stats'!B:B,'Base stats'!E:E),Groups!A:A,Groups!S:S))</f>
        <v>No</v>
      </c>
      <c r="W269" s="7" t="str">
        <f>IF(S269="No","No",_xlfn.XLOOKUP(_xlfn.XLOOKUP(B269,'Base stats'!B:B,'Base stats'!E:E),Groups!A:A,Groups!T:T))</f>
        <v>No</v>
      </c>
      <c r="X269" s="13" t="str">
        <f>IF(_xlfn.XLOOKUP(B269,'Base stats'!B:B,'Base stats'!W:W)="No","No",MROUND((LOG10(_xlfn.XLOOKUP(B269,'Base stats'!B:B,'Base stats'!AU:AU))*(AO269^0.5)+(_xlfn.XLOOKUP(B269,'Base stats'!B:B,'Base stats'!AU:AU)/1000)^(2/3)+_xlfn.XLOOKUP(B269,'Base stats'!B:B,'Base stats'!AZ:AZ))+0.5+IF(_xlfn.XLOOKUP(_xlfn.XLOOKUP(B269,'Base stats'!B:B,'Base stats'!E:E),Groups!A:A,Groups!U:U)&lt;&gt;3,_xlfn.XLOOKUP(B269,'Base stats'!B:B,'Base stats'!BA:BA),0),0.5))</f>
        <v>No</v>
      </c>
      <c r="Y269" s="7" t="str">
        <f>IF(X269="No","No",MAX(_xlfn.XLOOKUP(_xlfn.XLOOKUP(B269,'Base stats'!B:B,'Base stats'!E:E),Groups!A:A,Groups!V:V),MROUND(_xlfn.XLOOKUP(_xlfn.XLOOKUP(B269,'Base stats'!B:B,'Base stats'!E:E),Groups!A:A,Groups!V:V)*_xlfn.XLOOKUP(B269,'Base stats'!B:B,'Base stats'!C:C)^0.165,0.05)))</f>
        <v>No</v>
      </c>
      <c r="Z269" s="7" t="str">
        <f>IF(X269="No","No",_xlfn.XLOOKUP(_xlfn.XLOOKUP(B269,'Base stats'!B:B,'Base stats'!E:E),Groups!A:A,Groups!W:W))</f>
        <v>No</v>
      </c>
      <c r="AA269" s="7" t="str">
        <f>IF(X269="No","No",_xlfn.XLOOKUP(_xlfn.XLOOKUP(B269,'Base stats'!B:B,'Base stats'!E:E),Groups!A:A,Groups!X:X))</f>
        <v>No</v>
      </c>
      <c r="AB269" s="7" t="str">
        <f>IF(X269="No","No",_xlfn.XLOOKUP(_xlfn.XLOOKUP(B269,'Base stats'!B:B,'Base stats'!E:E),Groups!A:A,Groups!Y:Y))</f>
        <v>No</v>
      </c>
      <c r="AC269" s="7" t="str">
        <f>_xlfn.XLOOKUP(Animals!B269,'Base stats'!B:B,'Base stats'!X:X)</f>
        <v>False</v>
      </c>
      <c r="AD269" s="13">
        <f>IF(_xlfn.XLOOKUP(B269,'Base stats'!B:B,'Base stats'!AT:AT)="No","No",MROUND((LOG10(_xlfn.XLOOKUP(B269,'Base stats'!B:B,'Base stats'!AT:AT))*(AO269^0.75)+(_xlfn.XLOOKUP(B269,'Base stats'!B:B,'Base stats'!AT:AT)/1000)^(2/3)+_xlfn.XLOOKUP(B269,'Base stats'!B:B,'Base stats'!AX:AX)+_xlfn.XLOOKUP(B269,'Base stats'!B:B,'Base stats'!BA:BA))+0.5,0.5))</f>
        <v>1.5</v>
      </c>
      <c r="AE269" s="7">
        <f>IF(AD269="No","No",MAX(_xlfn.XLOOKUP(_xlfn.XLOOKUP(B269,'Base stats'!B:B,'Base stats'!E:E),Groups!A:A,Groups!Z:Z),MROUND(_xlfn.XLOOKUP(_xlfn.XLOOKUP(B269,'Base stats'!B:B,'Base stats'!E:E),Groups!A:A,Groups!Z:Z)*_xlfn.XLOOKUP(B269,'Base stats'!B:B,'Base stats'!C:C)^0.165,0.05)))</f>
        <v>0.95</v>
      </c>
      <c r="AF269" s="7" t="str">
        <f>IF(AD269="No","No",_xlfn.XLOOKUP(_xlfn.XLOOKUP(B269,'Base stats'!B:B,'Base stats'!E:E),Groups!A:A,Groups!AA:AA))</f>
        <v>Teeth</v>
      </c>
      <c r="AG269" s="7" t="str">
        <f>IF(AD269="No","No",_xlfn.XLOOKUP(_xlfn.XLOOKUP(B269,'Base stats'!B:B,'Base stats'!E:E),Groups!A:A,Groups!AB:AB))</f>
        <v>Incisors</v>
      </c>
      <c r="AH269" s="7" t="str">
        <f>IF(AD269="No","No",_xlfn.XLOOKUP(_xlfn.XLOOKUP(B269,'Base stats'!B:B,'Base stats'!E:E),Groups!A:A,Groups!AC:AC))</f>
        <v>Bite</v>
      </c>
      <c r="AI269" s="13" t="str">
        <f>IF(_xlfn.XLOOKUP(_xlfn.XLOOKUP(B269,'Base stats'!B:B,'Base stats'!E:E),Groups!A:A,Groups!AD:AD)=0,"No",MROUND((LOG10(_xlfn.XLOOKUP(B269,'Base stats'!B:B,'Base stats'!AS:AS))*(AO269^0.75)+(_xlfn.XLOOKUP(B269,'Base stats'!B:B,'Base stats'!AS:AS)/1000)^(2/3)+_xlfn.XLOOKUP(B269,'Base stats'!B:B,'Base stats'!AY:AY)+_xlfn.XLOOKUP(B269,'Base stats'!B:B,'Base stats'!BA:BA))+0.5,0.5))</f>
        <v>No</v>
      </c>
      <c r="AJ269" s="7" t="str">
        <f>IF(AI269="No","No",MAX(_xlfn.XLOOKUP(_xlfn.XLOOKUP(B269,'Base stats'!B:B,'Base stats'!E:E),Groups!A:A,Groups!AE:AE),MROUND(_xlfn.XLOOKUP(_xlfn.XLOOKUP(B269,'Base stats'!B:B,'Base stats'!E:E),Groups!A:A,Groups!AE:AE)*IF(_xlfn.XLOOKUP(_xlfn.XLOOKUP(B269,'Base stats'!B:B,'Base stats'!E:E),Groups!A:A,Groups!AJ:AJ)="Photonozoa",0.6,1)*_xlfn.XLOOKUP(B269,'Base stats'!B:B,'Base stats'!C:C)^0.165,0.05)))</f>
        <v>No</v>
      </c>
      <c r="AK269" s="7" t="str">
        <f>IF(AI269="No","No",_xlfn.XLOOKUP(_xlfn.XLOOKUP(B269,'Base stats'!B:B,'Base stats'!E:E),Groups!A:A,Groups!AF:AF))</f>
        <v>No</v>
      </c>
      <c r="AL269" s="7" t="str">
        <f>IF(AI269="No","No",_xlfn.XLOOKUP(_xlfn.XLOOKUP(B269,'Base stats'!B:B,'Base stats'!E:E),Groups!A:A,Groups!AG:AG))</f>
        <v>No</v>
      </c>
      <c r="AM269" s="7" t="str">
        <f>IF(AI269="No","No",_xlfn.XLOOKUP(_xlfn.XLOOKUP(B269,'Base stats'!B:B,'Base stats'!E:E),Groups!A:A,Groups!AH:AH))</f>
        <v>No</v>
      </c>
      <c r="AN269" s="2" t="str">
        <f t="shared" si="28"/>
        <v>No</v>
      </c>
      <c r="AO269" s="2">
        <f>MROUND(IF(AND(_xlfn.XLOOKUP(B269,'Base stats'!B:B,'Base stats'!C:C)&gt;=0.5,_xlfn.XLOOKUP(B269,'Base stats'!B:B,'Base stats'!C:C)&lt;=0.8),
IF(_xlfn.XLOOKUP(B269,'Base stats'!B:B,'Base stats'!C:C)&lt;0.1,0.05,IF(_xlfn.XLOOKUP(B269,'Base stats'!B:B,'Base stats'!C:C)&lt;=70,(_xlfn.XLOOKUP(B269,'Base stats'!B:B,'Base stats'!C:C)/70)^0.426489913056526,IF(_xlfn.XLOOKUP(B269,'Base stats'!B:B,'Base stats'!C:C)&lt;=400,(_xlfn.XLOOKUP(B269,'Base stats'!B:B,'Base stats'!C:C)/70)^0.572811455315093,IF(_xlfn.XLOOKUP(B269,'Base stats'!B:B,'Base stats'!C:C)&lt;=2000,2.71391647193063*(_xlfn.XLOOKUP(B269,'Base stats'!B:B,'Base stats'!C:C)/400)^0.252459582904293,3.74314280240376*(_xlfn.XLOOKUP(B269,'Base stats'!B:B,'Base stats'!C:C)/2000)^0.357012633876913)))),
IF(_xlfn.XLOOKUP(B269,'Base stats'!B:B,'Base stats'!C:C)&lt;0.1,0.05,IF(_xlfn.XLOOKUP(B269,'Base stats'!B:B,'Base stats'!C:C)&lt;0.4,0.1,IF(_xlfn.XLOOKUP(B269,'Base stats'!B:B,'Base stats'!C:C)&lt;=70,(_xlfn.XLOOKUP(B269,'Base stats'!B:B,'Base stats'!C:C)/70)^0.445823913056526,IF(_xlfn.XLOOKUP(B269,'Base stats'!B:B,'Base stats'!C:C)&lt;=400,(_xlfn.XLOOKUP(B269,'Base stats'!B:B,'Base stats'!C:C)/70)^0.572811455315093,IF(_xlfn.XLOOKUP(B269,'Base stats'!B:B,'Base stats'!C:C)&lt;=2000,2.71391647193063*(_xlfn.XLOOKUP(B269,'Base stats'!B:B,'Base stats'!C:C)/400)^0.252459582904293,3.74314280240376*(_xlfn.XLOOKUP(B269,'Base stats'!B:B,'Base stats'!C:C)/2000)^0.357012633876913)))))),
IF(_xlfn.XLOOKUP(B269,'Base stats'!B:B,'Base stats'!C:C)&lt;0.1,0.05,IF(_xlfn.XLOOKUP(B269,'Base stats'!B:B,'Base stats'!C:C)&lt;=100,0.05,IF(_xlfn.XLOOKUP(B269,'Base stats'!B:B,'Base stats'!C:C)&lt;=250,0.1,IF(_xlfn.XLOOKUP(B269,'Base stats'!B:B,'Base stats'!C:C)&lt;=4000,0.25,0.5)))))</f>
        <v>0.1</v>
      </c>
      <c r="AP269" s="8">
        <f>MROUND(AO269*_xlfn.XLOOKUP(_xlfn.XLOOKUP(B269,'Base stats'!B:B,'Base stats'!E:E),Groups!A:A,Groups!AI:AI)*_xlfn.XLOOKUP(B269,'Base stats'!B:B,'Base stats'!Z:Z),0.05)</f>
        <v>0.1</v>
      </c>
      <c r="AQ269" s="8">
        <f>MAX(0.01,MROUND(IF(CC269="True",0.196*(AO269*100*1000)^0.889,IF(_xlfn.XLOOKUP(_xlfn.XLOOKUP(B269,'Base stats'!B:B,'Base stats'!E:E),Groups!A:A,Groups!AJ:AJ)="Bird",10.5*(AO269*100*1000)^0.681,4.82*(AO269*100*1000)^0.734))/(4.82*(1*100*1000)^0.734)/IF(AO269&lt;3.5,2,IF(AO269=3.5,1.5,1.25))*(1+0.132282374779864/(AO269^0.994035016789033+0.00905238001496948)),0.05))</f>
        <v>0.2</v>
      </c>
      <c r="AR269" s="9">
        <f>IFERROR(MROUND(_xlfn.XLOOKUP(B269,'Base stats'!B:B,'Base stats'!H:H)/IF(_xlfn.XLOOKUP(B269,'Base stats'!B:B,'Base stats'!I:I)&lt;&gt;1,(122.5/70),1.2),IF(_xlfn.XLOOKUP(B269,'Base stats'!B:B,'Base stats'!H:H)&gt;=30,5,IF(_xlfn.XLOOKUP(B269,'Base stats'!B:B,'Base stats'!H:H)&gt;=15,3,IF(_xlfn.XLOOKUP(B269,'Base stats'!B:B,'Base stats'!H:H)&gt;=10,2,1)))),"Immortal")</f>
        <v>2</v>
      </c>
      <c r="AS269" s="35">
        <f>IFERROR(IF(OR(_xlfn.XLOOKUP(B269,'Base stats'!B:B,'Base stats'!F:F)="Atypical reproduction",_xlfn.XLOOKUP(B269,'Base stats'!B:B,'Base stats'!F:F)="Lay eggs"),"Lay eggs",MIN(20,MAX(5.5,ROUND(((_xlfn.XLOOKUP(B269,'Base stats'!B:B,'Base stats'!F:F)-25)*(14.5/615) + 5.5)*2,0)/2))),"Unknown")</f>
        <v>5.5</v>
      </c>
      <c r="AT269" s="8">
        <f>IF(_xlfn.XLOOKUP(B269,'Base stats'!B:B,'Base stats'!G:G)="Atypical reproduction","No",IFERROR(MAX(IF(_xlfn.XLOOKUP(B269,'Base stats'!B:B,'Base stats'!G:G)&lt;0.5,0.2,0.3),MROUND(_xlfn.XLOOKUP(B269,'Base stats'!B:B,'Base stats'!G:G)/(365/60),0.2)),"Unknown"))</f>
        <v>0.2</v>
      </c>
      <c r="AU269" s="8">
        <f t="shared" si="29"/>
        <v>0.1</v>
      </c>
      <c r="AV269" s="8">
        <f>IFERROR(IFERROR(MROUND(_xlfn.XLOOKUP(B269,'Base stats'!B:B,'Base stats'!J:J),0.1),"Lay eggs"),"Cannot breed")</f>
        <v>7</v>
      </c>
      <c r="AW269" s="2" t="str">
        <f t="shared" si="30"/>
        <v>false</v>
      </c>
      <c r="AX269" s="2" t="str">
        <f>IF(_xlfn.XLOOKUP(_xlfn.XLOOKUP(Animals!B269,'Base stats'!B:B,'Base stats'!E:E),Groups!A:A,Groups!AK:AK)=1,"true","false")</f>
        <v>false</v>
      </c>
      <c r="AY269" s="25" t="str">
        <f>IF(_xlfn.XLOOKUP(B269,'Base stats'!B:B,'Base stats'!Y:Y)="Liquor","Liquor, CarnivoreAnimalStrict",IF(AND(_xlfn.XLOOKUP(B269,'Base stats'!B:B,'Base stats'!Y:Y)="Carnivore",_xlfn.XLOOKUP(_xlfn.XLOOKUP(B269,'Base stats'!B:B,'Base stats'!E:E),Groups!A:A,Groups!AJ:AJ)="Photonozoa"),"CarnivoreAnimalStrict, OvivoreAnimal",IF(_xlfn.XLOOKUP(B269,'Base stats'!B:B,'Base stats'!Y:Y)="Carnivore","CarnivoreAnimal, OvivoreAnimal",IF(_xlfn.XLOOKUP(B269,'Base stats'!B:B,'Base stats'!Y:Y)="Dendrovore","VegetarianRoughAnimal, DendrovoreAnimal",IF(_xlfn.XLOOKUP(B269,'Base stats'!B:B,'Base stats'!Y:Y)="Herbivore","VegetarianRoughAnimal",IF(_xlfn.XLOOKUP(B269,'Base stats'!B:B,'Base stats'!Y:Y)="OmnivoreRough","OmnivoreRoughAnimal, OvivoreAnimal","OmnivoreAnimal, OvivoreAnimal"))))))</f>
        <v>VegetarianRoughAnimal</v>
      </c>
      <c r="AZ269" s="2" t="str">
        <f>IF(_xlfn.XLOOKUP(_xlfn.XLOOKUP(B269,'Base stats'!B:B,'Base stats'!E:E),Groups!A:A,Groups!D:D)=1,MROUND((1-J269)*5+1,2)*IF(J269&lt;=0.4,2,1),"No")</f>
        <v>No</v>
      </c>
      <c r="BA269" s="2" t="str">
        <f>IF(AND(_xlfn.XLOOKUP(B269,'Base stats'!B:B,'Base stats'!AH:AH)="&lt;li&gt;Seal&lt;/li&gt;",G269="Odyssey"),"&lt;li&gt;AEXP_Seal&lt;/li&gt;",_xlfn.XLOOKUP(B269,'Base stats'!B:B,'Base stats'!AH:AH))</f>
        <v>&lt;li&gt;Rat&lt;/li&gt;</v>
      </c>
      <c r="BB269" s="2" t="str">
        <f>_xlfn.XLOOKUP(B269,'Base stats'!B:B,'Base stats'!AG:AG)</f>
        <v>Leather_Light</v>
      </c>
      <c r="BC269" s="23" t="str">
        <f>_xlfn.XLOOKUP(_xlfn.XLOOKUP(B269,'Base stats'!B:B,'Base stats'!E:E),Groups!A:A,Groups!AL:AL)</f>
        <v>QuadrupedAnimalWithPawsAndTail</v>
      </c>
      <c r="BD269" s="23">
        <f>MIN(1,MROUND(IF(AND(AO269&lt;0.5,_xlfn.XLOOKUP(B269,'Base stats'!B:B,'Base stats'!AA:AA)=0),0,IF(OR(_xlfn.XLOOKUP(Animals!B269,'Base stats'!B:B,'Base stats'!O:O)=2,_xlfn.XLOOKUP(_xlfn.XLOOKUP(B269,'Base stats'!B:B,'Base stats'!E:E),Groups!A:A,Groups!AN:AN)=0),0,_xlfn.XLOOKUP(_xlfn.XLOOKUP(B269,'Base stats'!B:B,'Base stats'!E:E),Groups!A:A,Groups!AN:AN)/IF(_xlfn.XLOOKUP(Animals!B269,'Base stats'!B:B,'Base stats'!O:O)=1,2,1)))+_xlfn.XLOOKUP(B269,'Base stats'!B:B,'Base stats'!AC:AC),0.005))</f>
        <v>0</v>
      </c>
      <c r="BE269" s="23">
        <f>MIN(1,MROUND(IF(AND(AO269&lt;0.5,_xlfn.XLOOKUP(B269,'Base stats'!B:B,'Base stats'!AA:AA)=0),0,IF(_xlfn.XLOOKUP(_xlfn.XLOOKUP(B269,'Base stats'!B:B,'Base stats'!E:E),Groups!A:A,Groups!AO:AO)=0,0,_xlfn.XLOOKUP(_xlfn.XLOOKUP(B269,'Base stats'!B:B,'Base stats'!E:E),Groups!A:A,Groups!AO:AO)/IF(_xlfn.XLOOKUP(Animals!B269,'Base stats'!B:B,'Base stats'!O:O)=2,3,1)))+_xlfn.XLOOKUP(B269,'Base stats'!B:B,'Base stats'!AD:AD),0.005))</f>
        <v>0</v>
      </c>
      <c r="BF269" s="2" t="str">
        <f>IF(J269&gt;0.3,"No",_xlfn.XLOOKUP(_xlfn.XLOOKUP(Animals!B269,'Base stats'!B:B,'Base stats'!E:E),Groups!A:A,Groups!AP:AP))</f>
        <v>No</v>
      </c>
      <c r="BG269" s="2">
        <f>IF(AND(J269&lt;=0.65,_xlfn.XLOOKUP(_xlfn.XLOOKUP(Animals!B269,'Base stats'!B:B,'Base stats'!E:E),Groups!A:A,Groups!AP:AP)&lt;&gt;"No",_xlfn.XLOOKUP(_xlfn.XLOOKUP(B269,'Base stats'!B:B,'Base stats'!E:E),Groups!A:A,Groups!D:D)=0),MROUND((80/3)*IF(_xlfn.XLOOKUP(B269,'Base stats'!B:B,'Base stats'!O:O)=2,0.2,AO269) + 24*(1-IF(BF269="No",0,BF269)) + 16/3, 12),"No")</f>
        <v>36</v>
      </c>
      <c r="BH269" s="2">
        <f>IF(AND(_xlfn.XLOOKUP(_xlfn.XLOOKUP(B269,'Base stats'!B:B,'Base stats'!E:E),Groups!A:A,Groups!AQ:AQ)=1,AO269&lt;=0.35),8,12)</f>
        <v>8</v>
      </c>
      <c r="BI269" s="2" t="str">
        <f>IF(_xlfn.XLOOKUP(_xlfn.XLOOKUP(B269,'Base stats'!B:B,'Base stats'!E:E),Groups!A:A,Groups!D:D)=0,_xlfn.XLOOKUP(_xlfn.XLOOKUP(B269,'Base stats'!B:B,'Base stats'!E:E),Groups!A:A,Groups!AR:AR),"None")</f>
        <v>None</v>
      </c>
      <c r="BJ269" s="2" t="str">
        <f>IF(AND(_xlfn.XLOOKUP(_xlfn.XLOOKUP(B269,'Base stats'!B:B,'Base stats'!E:E),Groups!A:A,Groups!AS:AS)=1,OR(_xlfn.XLOOKUP(B269,'Base stats'!B:B,'Base stats'!Y:Y)="Carnivore",_xlfn.XLOOKUP(B269,'Base stats'!B:B,'Base stats'!Y:Y)="Omnivore")),"true","false")</f>
        <v>false</v>
      </c>
      <c r="BK269" s="2" t="str">
        <f>IF(BJ269="true",MROUND(IF(AND(AO269&gt;0.5,OR(_xlfn.XLOOKUP(_xlfn.XLOOKUP(B269,'Base stats'!B:B,'Base stats'!E:E),Groups!A:A,Groups!AJ:AJ)="Photonozoa",_xlfn.XLOOKUP(_xlfn.XLOOKUP(B269,'Base stats'!B:B,'Base stats'!E:E),Groups!A:A,Groups!AJ:AJ)="Mammal")),Animals!AO269*1.75*IF(AW269="true",1.5,1),IF(AO269&lt;0.5,Animals!AO269*0.5,Animals!AO269)),IF(AO269&gt;2,0.5,IF(AO269&gt;0.5,0.25,0.1))),"No")</f>
        <v>No</v>
      </c>
      <c r="BL269" s="2">
        <f t="shared" si="31"/>
        <v>0</v>
      </c>
      <c r="BM269" s="25" t="str">
        <f>IF(_xlfn.XLOOKUP(B269,'Base stats'!B:B,'Base stats'!AN:AN)="Standard","No",MROUND((_xlfn.XLOOKUP(B269,'Base stats'!B:B,'Base stats'!AN:AN)/3.6)/I269,0.1))</f>
        <v>No</v>
      </c>
      <c r="BN269" s="25" t="str">
        <f t="shared" si="32"/>
        <v>false</v>
      </c>
      <c r="BO269" s="25" t="str">
        <f>IF(AND(OR(_xlfn.XLOOKUP(B269,'Base stats'!B:B,'Base stats'!Y:Y)="Carnivore",_xlfn.XLOOKUP(B269,'Base stats'!B:B,'Base stats'!Y:Y)="Omnivore",_xlfn.XLOOKUP(B269,'Base stats'!B:B,'Base stats'!Y:Y)="OmnivoreRough"),_xlfn.XLOOKUP(_xlfn.XLOOKUP(B269,'Base stats'!B:B,'Base stats'!E:E),Groups!A:A,Groups!AT:AT)=1),"true","false")</f>
        <v>false</v>
      </c>
      <c r="BP269" s="25" t="str" cm="1">
        <f t="array" ref="BP269">IF(
  _xlfn.TEXTJOIN(", ",TRUE,
    IF(AND(BJ269="true",AO269&gt;0.5,BI269&lt;&gt;"None"),"AttackTarget",""),
    IF(AND(_xlfn.XLOOKUP(_xlfn.XLOOKUP(B269,'Base stats'!B:B,'Base stats'!E:E),Groups!A:A,Groups!AJ:AJ="Mammal"),OR(_xlfn.XLOOKUP(B269,'Base stats'!B:B,'Base stats'!Y:Y)="Omnivore",_xlfn.XLOOKUP(B269,'Base stats'!B:B,'Base stats'!Y:Y)="OmnivoreRough")),"Forage",""),
    IF(BG269&lt;=36,"Comfort",""),
    IF(_xlfn.XLOOKUP(B269,'Base stats'!B:B,'Base stats'!AE:AE)&lt;&gt;"No",_xlfn.XLOOKUP(B269,'Base stats'!B:B,'Base stats'!AE:AE),"")
  ) = "",
  "No",
  _xlfn.TEXTJOIN(", ",TRUE,
    IF(AND(BJ269="true",AO269&gt;0.5,BI269&lt;&gt;"None"),"AttackTarget",""),
    IF(AND(_xlfn.XLOOKUP(_xlfn.XLOOKUP(B269,'Base stats'!B:B,'Base stats'!E:E),Groups!A:A,Groups!AJ:AJ="Mammal"),OR(_xlfn.XLOOKUP(B269,'Base stats'!B:B,'Base stats'!Y:Y)="Omnivore",_xlfn.XLOOKUP(B269,'Base stats'!B:B,'Base stats'!Y:Y)="OmnivoreRough")),"Forage",""),
    IF(BG269&lt;=36,"Comfort",""),
    IF(_xlfn.XLOOKUP(B269,'Base stats'!B:B,'Base stats'!AE:AE)&lt;&gt;"No",_xlfn.XLOOKUP(B269,'Base stats'!B:B,'Base stats'!AE:AE),"")
  )
)</f>
        <v>Comfort</v>
      </c>
      <c r="BQ269" s="25" t="str">
        <f>IF(
   AND(
      'Base stats'!AN269="Standard",_xlfn.XLOOKUP(_xlfn.XLOOKUP(B269,'Base stats'!B:B,'Base stats'!E:E),Groups!A:A,Groups!AU:AU)=0,
      OR(
      BO269="True"
      )
   ),
   10,
   IF(
       OR(BM269&lt;&gt;"No",_xlfn.XLOOKUP(_xlfn.XLOOKUP(B269,'Base stats'!B:B,'Base stats'!E:E),Groups!A:A,Groups!AU:AU)=1),
      1,
      "No"
   )
)</f>
        <v>No</v>
      </c>
      <c r="BR269" s="9">
        <f>MROUND((1 + ((0.2*IF(OR(Q269="No",R269="No",R269=0),0,Q269/R269)
+IF(OR(V269="No",S269="No",T269="No"),0,S269/T269*(LEN(V269)-LEN(SUBSTITUTE(V269,",",""))+1))
+IF(OR(X269="No",Y269="No"),0,X269/Y269)
+IF(OR(AD269="No",AE269="No"),0,AD269/AE269)
+IF(OR(AL269="No",AI269="No",AJ269="No"),0,AI269/AJ269*(LEN(AL269)-LEN(SUBSTITUTE(AL269,",",""))+1))
)/(0.2*IF(OR(Q269="No",R269="No",R269=0),0,1)
+IF(OR(V269="No",S269="No",T269="No"),0,LEN(V269)-LEN(SUBSTITUTE(V269,",",""))+1)
+IF(OR(X269="No",Y269="No"),0,1)
+IF(OR(AD269="No",AE269="No"),0,1)
+IF(OR(AL269="No",AI269="No",AJ269="No"),0,LEN(AL269)-LEN(SUBSTITUTE(AL269,",",""))+1))*62%)* 2)*(1 + (AP269 / (IF(_xlfn.XLOOKUP(_xlfn.XLOOKUP(B269,'Base stats'!B:B,'Base stats'!E:E),Groups!A:A,Groups!AJ:AJ)="Photonozoa",0.3,1)) + _xlfn.XLOOKUP(B269,'Base stats'!B:B,'Base stats'!AV:AV) * 1.8) * 2) * 2.5 + 10 + I269 * 2,5)+IF(_xlfn.XLOOKUP(B269,'Base stats'!B:B,'Base stats'!AK:AK)=1,50,0)</f>
        <v>20</v>
      </c>
      <c r="BS269" s="8">
        <f t="shared" si="33"/>
        <v>0.2</v>
      </c>
      <c r="BT269" s="8" t="str">
        <f>_xlfn.XLOOKUP(B269,'Base stats'!B:B,'Base stats'!AF:AF)</f>
        <v>No</v>
      </c>
      <c r="BU269" s="2" t="str">
        <f>IF(AND(J269&lt;=0.95,OR(_xlfn.XLOOKUP(B269,'Base stats'!B:B,'Base stats'!AK:AK)=1,_xlfn.XLOOKUP(B269,'Base stats'!B:B,'Base stats'!Y:Y)="Carnivore",_xlfn.XLOOKUP(B269,'Base stats'!B:B,'Base stats'!Y:Y)="Omnivore",BE269&gt;0.1)),"true","false")</f>
        <v>false</v>
      </c>
      <c r="BV269" s="2" t="str">
        <f>IF(_xlfn.XLOOKUP(B269,'Base stats'!B:B,'Base stats'!AI:AI)=1,"true","false")</f>
        <v>false</v>
      </c>
      <c r="BW269" s="25" t="str">
        <f>IF(E269="BaseInsect","AnimalInsect",
IF(J269&gt;0.95,"AnimalExotic",
_xlfn.TEXTJOIN(", ",TRUE,
IF(OR(_xlfn.XLOOKUP(B269,'Base stats'!B:B,'Base stats'!AM:AM)=1,AND(_xlfn.XLOOKUP(B269,'Base stats'!B:B,'Base stats'!O:O)=0,_xlfn.XLOOKUP(_xlfn.XLOOKUP(B269,'Base stats'!B:B,'Base stats'!E:E),Groups!A:A,Groups!B:B)&gt;0)),"AnimalUncommon","AnimalCommon"),
IF(AND(_xlfn.XLOOKUP(B269,'Base stats'!B:B,'Base stats'!O:O)=2,_xlfn.XLOOKUP(_xlfn.XLOOKUP(B269,'Base stats'!B:B,'Base stats'!E:E),Groups!A:A,Groups!D:D)=0),"AnimalPet",IF(AND(_xlfn.XLOOKUP(B269,'Base stats'!B:B,'Base stats'!O:O)&lt;&gt;0,_xlfn.XLOOKUP(_xlfn.XLOOKUP(B269,'Base stats'!B:B,'Base stats'!E:E),Groups!A:A,Groups!D:D)&lt;&gt;0),"AnimalFarm","")),
IF(OR(_xlfn.XLOOKUP(B269,'Base stats'!B:B,'Base stats'!AK:AK)=1,AND(BI269&lt;&gt;"None",BR269&gt;=60),ISNUMBER(SEARCH("Attack target",BP269))),"AnimalFighter","")
)))</f>
        <v>AnimalUncommon</v>
      </c>
      <c r="BX269" s="25" t="str">
        <f>IF(G269="None",TRIM(
SUBSTITUTE(
IF(COUNTIF(Biomes!B$2:B$259,"="&amp;$C269)&gt;0,Biomes!B$1&amp;", ","")&amp;
IF(COUNTIF(Biomes!C$2:C$259,"="&amp;$C269)&gt;0,Biomes!C$1&amp;", ","")&amp;
IF(COUNTIF(Biomes!D$2:D$259,"="&amp;$C269)&gt;0,Biomes!D$1&amp;", ","")&amp;
IF(COUNTIF(Biomes!F$2:F$259,"="&amp;$C269)&gt;0,Biomes!F$1&amp;", ","")&amp;
IF(COUNTIF(Biomes!G$2:G$259,"="&amp;$C269)&gt;0,Biomes!G$1&amp;", ","")&amp;
IF(COUNTIF(Biomes!H$2:H$259,"="&amp;$C269)&gt;0,Biomes!H$1&amp;", ","")&amp;
IF(COUNTIF(Biomes!I$2:I$259,"="&amp;$C269)&gt;0,Biomes!I$1&amp;", ","")&amp;
IF(COUNTIF(Biomes!J$2:J$259,"="&amp;$C269)&gt;0,Biomes!J$1&amp;", ","")&amp;
IF(COUNTIF(Biomes!M$2:M$259,"="&amp;$C269)&gt;0,Biomes!M$1&amp;", ","")&amp;
IF(COUNTIF(Biomes!N$2:N$259,"="&amp;$C269)&gt;0,Biomes!N$1&amp;", ","")&amp;
IF(COUNTIF(Biomes!O$2:O$259,"="&amp;$C269)&gt;0,Biomes!O$1&amp;", ","")&amp;
IF(COUNTIF(Biomes!P$2:P$259,"="&amp;$C269)&gt;0,Biomes!P$1&amp;", ","")&amp;
IF(COUNTIF(Biomes!K$2:K$259,"="&amp;$C269)&gt;0,Biomes!K$1&amp;", ","")&amp;
IF(COUNTIF(Biomes!Q$3:Q$259,"="&amp;$C269)&gt;0,Biomes!Q$1&amp;", ","")&amp;
IF(COUNTIF(Biomes!L$2:L$259,"="&amp;$C269)&gt;0,Biomes!L$1&amp;", ","")&amp;
IF(COUNTIF(Biomes!E$2:E$259,"="&amp;$C269)&gt;0,Biomes!E$1&amp;", ","")&amp;IF(COUNTIF(Biomes!S$2:S$259,"="&amp;$C269)&gt;0,Biomes!S$1&amp;", ","")&amp;
IF(COUNTIF(Biomes!R$2:R$259,"="&amp;$C269)&gt;0,Biomes!R$1&amp;", ",""),", ","")
),_xlfn.XLOOKUP(B269,B:B,BX:BX))</f>
        <v>BorealForest ColdBog TemperateForest TemperateSwamp AridShrubland Desert TropicalRainforest TropicalSwamp Grasslands Glowforest LavaField Scarlands</v>
      </c>
      <c r="BY269" s="25" t="str">
        <f>IF(_xlfn.XLOOKUP(B269,'Base stats'!B:B,'Base stats'!AJ:AJ)=1,"true","false")</f>
        <v>false</v>
      </c>
      <c r="BZ269" s="25">
        <f>IF(_xlfn.XLOOKUP(B269,'Base stats'!B:B,'Base stats'!N:N)=1,"No",MAX(0.001,MIN(MROUND(IF(AND(BJ269="True",CC269="False"),POWER(10,3.47*LOG10(_xlfn.XLOOKUP(B269,'Base stats'!B:B,'Base stats'!C:C)*1000)^-0.96),POWER(10,4.15*LOG10(_xlfn.XLOOKUP(B269,'Base stats'!B:B,'Base stats'!C:C)*1000)^-0.73))*IF(_xlfn.XLOOKUP(B269,'Base stats'!B:B,'Base stats'!AK:AK)=1,0.5,1)*IF(_xlfn.XLOOKUP(B269,'Base stats'!B:B,'Base stats'!AM:AM)=1,0.1,1)/100,IF(_xlfn.XLOOKUP(B269,'Base stats'!B:B,'Base stats'!AM:AM)=1,0.001,0.025)),0.5)))</f>
        <v>0.11600000000000001</v>
      </c>
      <c r="CA269" s="25" t="str">
        <f>IF(P269="Standard","No",MAX(0.001,MIN(MROUND(IF(AND(BJ269="True",CC269="False"),POWER(10,3.47*LOG10(_xlfn.XLOOKUP(B269,'Base stats'!B:B,'Base stats'!C:C)*1000)^-0.96),POWER(10,4.15*LOG10(_xlfn.XLOOKUP(B269,'Base stats'!B:B,'Base stats'!C:C)*1000)^-0.73))*IF(_xlfn.XLOOKUP(B269,'Base stats'!B:B,'Base stats'!AM:AM)=1,0.1,1)*_xlfn.XLOOKUP(B269,'Base stats'!B:B,'Base stats'!R:R)/100,IF(_xlfn.XLOOKUP(B269,'Base stats'!B:B,'Base stats'!AM:AM)=1,0.001,0.025)),0.5)))</f>
        <v>No</v>
      </c>
      <c r="CB269" s="25" t="str">
        <f>IF(_xlfn.XLOOKUP(_xlfn.XLOOKUP(B269,'Base stats'!B:B,'Base stats'!E:E),Groups!A:A,Groups!AJ:AJ)="Mammal","True","False")</f>
        <v>True</v>
      </c>
      <c r="CC269" s="25" t="str">
        <f>IF(OR(_xlfn.XLOOKUP(_xlfn.XLOOKUP(B269,'Base stats'!B:B,'Base stats'!E:E),Groups!A:A,Groups!AJ:AJ)="Reptile",_xlfn.XLOOKUP(_xlfn.XLOOKUP(B269,'Base stats'!B:B,'Base stats'!E:E),Groups!A:A,Groups!AJ:AJ)="Amphibian",_xlfn.XLOOKUP(_xlfn.XLOOKUP(B269,'Base stats'!B:B,'Base stats'!E:E),Groups!A:A,Groups!AJ:AJ)="Invertebrate"),"True","False")</f>
        <v>False</v>
      </c>
      <c r="CD269" s="25" t="str">
        <f t="shared" si="34"/>
        <v>False</v>
      </c>
      <c r="CE269" s="25" t="str">
        <f>IF(_xlfn.XLOOKUP(_xlfn.XLOOKUP(B269,'Base stats'!B:B,'Base stats'!E:E),Groups!A:A,Groups!AX:AX),"True","False")</f>
        <v>False</v>
      </c>
      <c r="CF269" s="25" t="str">
        <f>IF(_xlfn.XLOOKUP(_xlfn.XLOOKUP(B269,'Base stats'!B:B,'Base stats'!E:E),Groups!A:A,Groups!AY:AY),"True","False")</f>
        <v>False</v>
      </c>
      <c r="CG269" s="25" t="str">
        <f>IF(_xlfn.XLOOKUP(_xlfn.XLOOKUP(B269,'Base stats'!B:B,'Base stats'!E:E),Groups!A:A,Groups!AW:AW),"True","False")</f>
        <v>False</v>
      </c>
      <c r="CH269" s="25" t="str">
        <f>IF(
OR(
_xlfn.XLOOKUP(_xlfn.XLOOKUP(B269,'Base stats'!B:B,'Base stats'!E:E),Groups!A:A,Groups!AZ:AZ)=0,
AND(
_xlfn.XLOOKUP(B269,'Base stats'!B:B,'Base stats'!Y:Y)&lt;&gt;"Carnivore",
_xlfn.XLOOKUP(B269,'Base stats'!B:B,'Base stats'!Y:Y)&lt;&gt;"Omnivore",
_xlfn.XLOOKUP(B269,'Base stats'!B:B,'Base stats'!Y:Y)&lt;&gt;"OmnivoreRough"
)
),
"No",
IF(
_xlfn.XLOOKUP(_xlfn.XLOOKUP(B269,'Base stats'!B:B,'Base stats'!E:E),Groups!A:A,Groups!AZ:AZ)=1,
"Flesh",
IF(
_xlfn.XLOOKUP(_xlfn.XLOOKUP(B269,'Base stats'!B:B,'Base stats'!E:E),Groups!A:A,Groups!AZ:AZ)=2,
"Bone",
""
)
)
)</f>
        <v>No</v>
      </c>
      <c r="CI269" s="25" t="str">
        <f>IF(_xlfn.XLOOKUP(_xlfn.XLOOKUP(B269,'Base stats'!B:B,'Base stats'!E:E),Groups!A:A,Groups!BB:BB),"True","False")</f>
        <v>True</v>
      </c>
      <c r="CJ269" s="25" t="str">
        <f>IF(_xlfn.XLOOKUP(_xlfn.XLOOKUP(B269,'Base stats'!B:B,'Base stats'!E:E),Groups!A:A,Groups!BA:BA),"True","False")</f>
        <v>False</v>
      </c>
    </row>
    <row r="270" spans="1:88" ht="16.5" thickTop="1" thickBot="1" x14ac:dyDescent="0.3">
      <c r="A270" s="26" t="s">
        <v>1446</v>
      </c>
      <c r="B270" s="6" t="str">
        <f>_xlfn.XLOOKUP(A270,'Base stats'!A:A,'Base stats'!B:B)</f>
        <v>Mus fissilis (second form)</v>
      </c>
      <c r="C270" s="28" t="s">
        <v>1447</v>
      </c>
      <c r="D270" s="28" t="s">
        <v>1341</v>
      </c>
      <c r="E270" s="28" t="s">
        <v>673</v>
      </c>
      <c r="F270" s="28" t="s">
        <v>673</v>
      </c>
      <c r="G270" s="28" t="s">
        <v>673</v>
      </c>
      <c r="H270" s="2">
        <f>MROUND((
  (IF(AND(_xlfn.XLOOKUP(B270,'Base stats'!B:B,'Base stats'!AL:AL)=0,BI270="None",_xlfn.XLOOKUP(_xlfn.XLOOKUP(B270,'Base stats'!B:B,'Base stats'!E:E),Groups!A:A,Groups!B:B)=0), (18 + BR270 * 2.7) * 0.5,
    IF(AND(_xlfn.XLOOKUP(B270,'Base stats'!B:B,'Base stats'!AL:AL)=0,OR(AO270&lt;0.55,AND(BI270="Intermediate",_xlfn.XLOOKUP(_xlfn.XLOOKUP(B270,'Base stats'!B:B,'Base stats'!E:E),Groups!A:A,Groups!B:B)&lt;2))), (18 + BR270 * 2.7),
      IF(OR(BI270="Advanced",_xlfn.XLOOKUP(B270,'Base stats'!B:B,'Base stats'!AL:AL)=1,_xlfn.XLOOKUP(_xlfn.XLOOKUP(B270,'Base stats'!B:B,'Base stats'!E:E),Groups!A:A,Groups!B:B)=2), (18 + BR270 * 2.7) + 250, (18 + BR270 * 2.7))
    )
  ))
  + AO270 * 80
  + IF(COUNTIF(EggMilk!K$2:K$998, A270) &gt; 0, 125, 0)
  + IF(COUNTIF(EggMilk!P$2:P$998, A270) &gt; 0, 90, 0)
  + IF(COUNTIF(EggMilk!A$2:A$998, A270) &gt; 0, 90, 0)
)
* (0.8 + 0.4 * J270)
* 0.75,25)</f>
        <v>25</v>
      </c>
      <c r="I270" s="2">
        <f>MROUND(ROUNDDOWN(_xlfn.XLOOKUP(B270,'Base stats'!B:B,'Base stats'!L:L)/3.6/(23.3/11),1),0.5)</f>
        <v>1.5</v>
      </c>
      <c r="J270" s="2">
        <f>IF(OR(_xlfn.XLOOKUP(B270,'Base stats'!B:B,'Base stats'!AB:AB)=1,_xlfn.XLOOKUP(_xlfn.XLOOKUP(B270,'Base stats'!B:B,'Base stats'!E:E),Groups!A:A,Groups!C:C)="Untamable"),1,IF(_xlfn.XLOOKUP(B270,'Base stats'!B:B,'Base stats'!AL:AL)=1,0.99,MIN(MROUND((1-0.6282*EXP(-0.459*AO270))*_xlfn.XLOOKUP(_xlfn.XLOOKUP(B270,'Base stats'!B:B,'Base stats'!E:E),Groups!A:A,Groups!C:C)*IF(_xlfn.XLOOKUP(B270,'Base stats'!B:B,'Base stats'!O:O)=1,0.5,IF(_xlfn.XLOOKUP(B270,'Base stats'!B:B,'Base stats'!O:O)=2,0,1)),0.05),IF(AO270&gt;3.5,0.985,0.95))))</f>
        <v>0.5</v>
      </c>
      <c r="K270" s="2">
        <f>ROUNDUP(AO270*_xlfn.XLOOKUP(_xlfn.XLOOKUP(B270,'Base stats'!B:B,'Base stats'!E:E),Groups!A:A,Groups!E:E),0)</f>
        <v>1</v>
      </c>
      <c r="L270" s="2">
        <f>IF(OR(_xlfn.XLOOKUP(_xlfn.XLOOKUP(B270,'Base stats'!B:B,'Base stats'!E:E),Groups!A:A,Groups!F:F)=2,ISNUMBER(SEARCH("SeaIce",BX270)),ISNUMBER(SEARCH("IceSheet",BX270))),-50,IF(OR(ISNUMBER(SEARCH("GlacialPlain",BX270)),ISNUMBER(SEARCH("Tundra",BX270))),-40,IF(OR(ISNUMBER(SEARCH("Alpine",BX270)),ISNUMBER(SEARCH("BorealForest",BX270)),ISNUMBER(SEARCH("ColdBog",BX270))),-30,IF(OR(ISNUMBER(SEARCH("TemperateForest",BX270)),ISNUMBER(SEARCH("TemperateSwamp",BX270))),-20,IF(_xlfn.XLOOKUP(_xlfn.XLOOKUP(B270,'Base stats'!B:B,'Base stats'!E:E),Groups!A:A,Groups!F:F)=1,-15,IF(OR(ISNUMBER(SEARCH("Desert",BX270)),ISNUMBER(SEARCH("ExtremeDesert",BX270))),-10,IF(OR(ISNUMBER(SEARCH("Grasslands",BX270)),ISNUMBER(SEARCH("TropicalRainforest",BX270)),ISNUMBER(SEARCH("TropicalSwamp",BX270))),10,0)))))))-IF(CC270="False",MIN(IFERROR(MAX(MROUND(LOG10(_xlfn.XLOOKUP(B270,'Base stats'!B:B,'Base stats'!C:C)^(2/3))*10,5),5),5),30))-_xlfn.XLOOKUP(B270,'Base stats'!B:B,'Base stats'!P:P)+IF(CC270="True",5,0)</f>
        <v>-5</v>
      </c>
      <c r="M270" s="2">
        <f>IF(OR(_xlfn.XLOOKUP(_xlfn.XLOOKUP(B270,'Base stats'!B:B,'Base stats'!E:E),Groups!A:A,Groups!G:G)=2,ISNUMBER(SEARCH("Desert",BX270)),ISNUMBER(SEARCH("ExtremeDesert",BX270)),ISNUMBER(SEARCH("LavaField",BX270))),50,IF(ISNUMBER(SEARCH("Grasslands",BX270)),45,IF(OR(_xlfn.XLOOKUP(_xlfn.XLOOKUP(B270,'Base stats'!B:B,'Base stats'!E:E),Groups!A:A,Groups!G:G)=1,ISNUMBER(SEARCH("TropicalRainforest",BX270)),ISNUMBER(SEARCH("TropicalSwamp",BX270))),40,IF(OR(ISNUMBER(SEARCH("TemperateForest",BX270)),ISNUMBER(SEARCH("TemperateSwamp",BX270))),35,IF(OR(ISNUMBER(SEARCH("Alpine",BX270)),ISNUMBER(SEARCH("BorealForest",BX270)),ISNUMBER(SEARCH("ColdBog",BX270))),30,IF(ISNUMBER(OR(ISNUMBER(SEARCH("GlacialPlain",BX270)),SEARCH("Tundra",BX270))),25,IF(OR(ISNUMBER(SEARCH("SeaIce",BX270)),ISNUMBER(SEARCH("IceSheet",BX270)),ISNUMBER(SEARCH("TropicalSwamp",BX270))),10,35)))))))+_xlfn.XLOOKUP(B270,'Base stats'!B:B,'Base stats'!Q:Q)</f>
        <v>35</v>
      </c>
      <c r="N270" s="8" t="str">
        <f>IF(
_xlfn.XLOOKUP(
_xlfn.XLOOKUP(B270,'Base stats'!B:B,'Base stats'!E:E),
Groups!A:A,
Groups!L:L
)=1,
MIN(
MROUND(
IF(
_xlfn.XLOOKUP(B270,'Animals CE'!B:B,'Animals CE'!Z:Z)&lt;=1.5,
_xlfn.XLOOKUP(B270,'Animals CE'!B:B,'Animals CE'!Z:Z)/2+0.05,
0.8+
(_xlfn.XLOOKUP(B270,'Animals CE'!B:B,'Animals CE'!Z:Z)-1.5)
*0.02
),
0.05
),
200%
),
"No"
)</f>
        <v>No</v>
      </c>
      <c r="O270" s="8" t="str">
        <f>IF(
_xlfn.XLOOKUP(
_xlfn.XLOOKUP(B270,'Base stats'!B:B,'Base stats'!E:E),
Groups!A:A,
Groups!L:L
)=1,
MIN(
MROUND(
IF(
_xlfn.XLOOKUP(B270,'Animals CE'!B:B,'Animals CE'!AA:AA)&lt;=1.5,
_xlfn.XLOOKUP(B270,'Animals CE'!B:B,'Animals CE'!AA:AA)/2+0.05,
0.8+
(_xlfn.XLOOKUP(B270,'Animals CE'!B:B,'Animals CE'!AA:AA)-1.5)
*0.02
),
0.05
),
200%
),
"No"
)</f>
        <v>No</v>
      </c>
      <c r="P270" s="2" t="str">
        <f>_xlfn.XLOOKUP(B270,'Base stats'!B:B,'Base stats'!R:R)</f>
        <v>Standard</v>
      </c>
      <c r="Q270" s="13">
        <f>MROUND((LOG10(_xlfn.XLOOKUP(B270,'Base stats'!B:B,'Base stats'!AR:AR))*(AO270^0.5)+(_xlfn.XLOOKUP(B270,'Base stats'!B:B,'Base stats'!AR:AR)/1000)^(2/3)+_xlfn.XLOOKUP(B270,'Base stats'!B:B,'Base stats'!BA:BA)/2)+0.5,0.5)</f>
        <v>1</v>
      </c>
      <c r="R270" s="7">
        <f>IF(Q270="No","No",MAX(1,MROUND(_xlfn.XLOOKUP(B270,'Base stats'!B:B,'Base stats'!C:C)^0.165,0.05)))</f>
        <v>1</v>
      </c>
      <c r="S270" s="13" t="str">
        <f>IF(_xlfn.XLOOKUP(_xlfn.XLOOKUP(B270,'Base stats'!B:B,'Base stats'!E:E),Groups!A:A,Groups!P:P)=0,"No",MROUND((LOG10(_xlfn.XLOOKUP(B270,'Base stats'!B:B,'Base stats'!AS:AS))*(AO270^0.5)+(_xlfn.XLOOKUP(B270,'Base stats'!B:B,'Base stats'!AS:AS)/1000)^(2/3)+_xlfn.XLOOKUP(B270,'Base stats'!B:B,'Base stats'!BA:BA))+_xlfn.XLOOKUP(B270,'Base stats'!B:B,'Base stats'!AY:AY)+0.5,0.5))</f>
        <v>No</v>
      </c>
      <c r="T270" s="7" t="str">
        <f>IF(S270="No","No",MAX(_xlfn.XLOOKUP(_xlfn.XLOOKUP(B270,'Base stats'!B:B,'Base stats'!E:E),Groups!A:A,Groups!Q:Q),MROUND(_xlfn.XLOOKUP(_xlfn.XLOOKUP(B270,'Base stats'!B:B,'Base stats'!E:E),Groups!A:A,Groups!Q:Q)*_xlfn.XLOOKUP(B270,'Base stats'!B:B,'Base stats'!C:C)^0.165,0.05)))</f>
        <v>No</v>
      </c>
      <c r="U270" s="7" t="str">
        <f>IF(S270="No","No",_xlfn.XLOOKUP(_xlfn.XLOOKUP(B270,'Base stats'!B:B,'Base stats'!E:E),Groups!A:A,Groups!R:R))</f>
        <v>No</v>
      </c>
      <c r="V270" s="7" t="str">
        <f>IF(S270="No","No",_xlfn.XLOOKUP(_xlfn.XLOOKUP(B270,'Base stats'!B:B,'Base stats'!E:E),Groups!A:A,Groups!S:S))</f>
        <v>No</v>
      </c>
      <c r="W270" s="7" t="str">
        <f>IF(S270="No","No",_xlfn.XLOOKUP(_xlfn.XLOOKUP(B270,'Base stats'!B:B,'Base stats'!E:E),Groups!A:A,Groups!T:T))</f>
        <v>No</v>
      </c>
      <c r="X270" s="13" t="str">
        <f>IF(_xlfn.XLOOKUP(B270,'Base stats'!B:B,'Base stats'!W:W)="No","No",MROUND((LOG10(_xlfn.XLOOKUP(B270,'Base stats'!B:B,'Base stats'!AU:AU))*(AO270^0.5)+(_xlfn.XLOOKUP(B270,'Base stats'!B:B,'Base stats'!AU:AU)/1000)^(2/3)+_xlfn.XLOOKUP(B270,'Base stats'!B:B,'Base stats'!AZ:AZ))+0.5+IF(_xlfn.XLOOKUP(_xlfn.XLOOKUP(B270,'Base stats'!B:B,'Base stats'!E:E),Groups!A:A,Groups!U:U)&lt;&gt;3,_xlfn.XLOOKUP(B270,'Base stats'!B:B,'Base stats'!BA:BA),0),0.5))</f>
        <v>No</v>
      </c>
      <c r="Y270" s="7" t="str">
        <f>IF(X270="No","No",MAX(_xlfn.XLOOKUP(_xlfn.XLOOKUP(B270,'Base stats'!B:B,'Base stats'!E:E),Groups!A:A,Groups!V:V),MROUND(_xlfn.XLOOKUP(_xlfn.XLOOKUP(B270,'Base stats'!B:B,'Base stats'!E:E),Groups!A:A,Groups!V:V)*_xlfn.XLOOKUP(B270,'Base stats'!B:B,'Base stats'!C:C)^0.165,0.05)))</f>
        <v>No</v>
      </c>
      <c r="Z270" s="7" t="str">
        <f>IF(X270="No","No",_xlfn.XLOOKUP(_xlfn.XLOOKUP(B270,'Base stats'!B:B,'Base stats'!E:E),Groups!A:A,Groups!W:W))</f>
        <v>No</v>
      </c>
      <c r="AA270" s="7" t="str">
        <f>IF(X270="No","No",_xlfn.XLOOKUP(_xlfn.XLOOKUP(B270,'Base stats'!B:B,'Base stats'!E:E),Groups!A:A,Groups!X:X))</f>
        <v>No</v>
      </c>
      <c r="AB270" s="7" t="str">
        <f>IF(X270="No","No",_xlfn.XLOOKUP(_xlfn.XLOOKUP(B270,'Base stats'!B:B,'Base stats'!E:E),Groups!A:A,Groups!Y:Y))</f>
        <v>No</v>
      </c>
      <c r="AC270" s="7" t="str">
        <f>_xlfn.XLOOKUP(Animals!B270,'Base stats'!B:B,'Base stats'!X:X)</f>
        <v>False</v>
      </c>
      <c r="AD270" s="13">
        <f>IF(_xlfn.XLOOKUP(B270,'Base stats'!B:B,'Base stats'!AT:AT)="No","No",MROUND((LOG10(_xlfn.XLOOKUP(B270,'Base stats'!B:B,'Base stats'!AT:AT))*(AO270^0.75)+(_xlfn.XLOOKUP(B270,'Base stats'!B:B,'Base stats'!AT:AT)/1000)^(2/3)+_xlfn.XLOOKUP(B270,'Base stats'!B:B,'Base stats'!AX:AX)+_xlfn.XLOOKUP(B270,'Base stats'!B:B,'Base stats'!BA:BA))+0.5,0.5))</f>
        <v>1.5</v>
      </c>
      <c r="AE270" s="7">
        <f>IF(AD270="No","No",MAX(_xlfn.XLOOKUP(_xlfn.XLOOKUP(B270,'Base stats'!B:B,'Base stats'!E:E),Groups!A:A,Groups!Z:Z),MROUND(_xlfn.XLOOKUP(_xlfn.XLOOKUP(B270,'Base stats'!B:B,'Base stats'!E:E),Groups!A:A,Groups!Z:Z)*_xlfn.XLOOKUP(B270,'Base stats'!B:B,'Base stats'!C:C)^0.165,0.05)))</f>
        <v>0.95</v>
      </c>
      <c r="AF270" s="7" t="str">
        <f>IF(AD270="No","No",_xlfn.XLOOKUP(_xlfn.XLOOKUP(B270,'Base stats'!B:B,'Base stats'!E:E),Groups!A:A,Groups!AA:AA))</f>
        <v>Teeth</v>
      </c>
      <c r="AG270" s="7" t="str">
        <f>IF(AD270="No","No",_xlfn.XLOOKUP(_xlfn.XLOOKUP(B270,'Base stats'!B:B,'Base stats'!E:E),Groups!A:A,Groups!AB:AB))</f>
        <v>Incisors</v>
      </c>
      <c r="AH270" s="7" t="str">
        <f>IF(AD270="No","No",_xlfn.XLOOKUP(_xlfn.XLOOKUP(B270,'Base stats'!B:B,'Base stats'!E:E),Groups!A:A,Groups!AC:AC))</f>
        <v>Bite</v>
      </c>
      <c r="AI270" s="13" t="str">
        <f>IF(_xlfn.XLOOKUP(_xlfn.XLOOKUP(B270,'Base stats'!B:B,'Base stats'!E:E),Groups!A:A,Groups!AD:AD)=0,"No",MROUND((LOG10(_xlfn.XLOOKUP(B270,'Base stats'!B:B,'Base stats'!AS:AS))*(AO270^0.75)+(_xlfn.XLOOKUP(B270,'Base stats'!B:B,'Base stats'!AS:AS)/1000)^(2/3)+_xlfn.XLOOKUP(B270,'Base stats'!B:B,'Base stats'!AY:AY)+_xlfn.XLOOKUP(B270,'Base stats'!B:B,'Base stats'!BA:BA))+0.5,0.5))</f>
        <v>No</v>
      </c>
      <c r="AJ270" s="7" t="str">
        <f>IF(AI270="No","No",MAX(_xlfn.XLOOKUP(_xlfn.XLOOKUP(B270,'Base stats'!B:B,'Base stats'!E:E),Groups!A:A,Groups!AE:AE),MROUND(_xlfn.XLOOKUP(_xlfn.XLOOKUP(B270,'Base stats'!B:B,'Base stats'!E:E),Groups!A:A,Groups!AE:AE)*IF(_xlfn.XLOOKUP(_xlfn.XLOOKUP(B270,'Base stats'!B:B,'Base stats'!E:E),Groups!A:A,Groups!AJ:AJ)="Photonozoa",0.6,1)*_xlfn.XLOOKUP(B270,'Base stats'!B:B,'Base stats'!C:C)^0.165,0.05)))</f>
        <v>No</v>
      </c>
      <c r="AK270" s="7" t="str">
        <f>IF(AI270="No","No",_xlfn.XLOOKUP(_xlfn.XLOOKUP(B270,'Base stats'!B:B,'Base stats'!E:E),Groups!A:A,Groups!AF:AF))</f>
        <v>No</v>
      </c>
      <c r="AL270" s="7" t="str">
        <f>IF(AI270="No","No",_xlfn.XLOOKUP(_xlfn.XLOOKUP(B270,'Base stats'!B:B,'Base stats'!E:E),Groups!A:A,Groups!AG:AG))</f>
        <v>No</v>
      </c>
      <c r="AM270" s="7" t="str">
        <f>IF(AI270="No","No",_xlfn.XLOOKUP(_xlfn.XLOOKUP(B270,'Base stats'!B:B,'Base stats'!E:E),Groups!A:A,Groups!AH:AH))</f>
        <v>No</v>
      </c>
      <c r="AN270" s="2" t="str">
        <f t="shared" si="28"/>
        <v>No</v>
      </c>
      <c r="AO270" s="2">
        <f>MROUND(IF(AND(_xlfn.XLOOKUP(B270,'Base stats'!B:B,'Base stats'!C:C)&gt;=0.5,_xlfn.XLOOKUP(B270,'Base stats'!B:B,'Base stats'!C:C)&lt;=0.8),
IF(_xlfn.XLOOKUP(B270,'Base stats'!B:B,'Base stats'!C:C)&lt;0.1,0.05,IF(_xlfn.XLOOKUP(B270,'Base stats'!B:B,'Base stats'!C:C)&lt;=70,(_xlfn.XLOOKUP(B270,'Base stats'!B:B,'Base stats'!C:C)/70)^0.426489913056526,IF(_xlfn.XLOOKUP(B270,'Base stats'!B:B,'Base stats'!C:C)&lt;=400,(_xlfn.XLOOKUP(B270,'Base stats'!B:B,'Base stats'!C:C)/70)^0.572811455315093,IF(_xlfn.XLOOKUP(B270,'Base stats'!B:B,'Base stats'!C:C)&lt;=2000,2.71391647193063*(_xlfn.XLOOKUP(B270,'Base stats'!B:B,'Base stats'!C:C)/400)^0.252459582904293,3.74314280240376*(_xlfn.XLOOKUP(B270,'Base stats'!B:B,'Base stats'!C:C)/2000)^0.357012633876913)))),
IF(_xlfn.XLOOKUP(B270,'Base stats'!B:B,'Base stats'!C:C)&lt;0.1,0.05,IF(_xlfn.XLOOKUP(B270,'Base stats'!B:B,'Base stats'!C:C)&lt;0.4,0.1,IF(_xlfn.XLOOKUP(B270,'Base stats'!B:B,'Base stats'!C:C)&lt;=70,(_xlfn.XLOOKUP(B270,'Base stats'!B:B,'Base stats'!C:C)/70)^0.445823913056526,IF(_xlfn.XLOOKUP(B270,'Base stats'!B:B,'Base stats'!C:C)&lt;=400,(_xlfn.XLOOKUP(B270,'Base stats'!B:B,'Base stats'!C:C)/70)^0.572811455315093,IF(_xlfn.XLOOKUP(B270,'Base stats'!B:B,'Base stats'!C:C)&lt;=2000,2.71391647193063*(_xlfn.XLOOKUP(B270,'Base stats'!B:B,'Base stats'!C:C)/400)^0.252459582904293,3.74314280240376*(_xlfn.XLOOKUP(B270,'Base stats'!B:B,'Base stats'!C:C)/2000)^0.357012633876913)))))),
IF(_xlfn.XLOOKUP(B270,'Base stats'!B:B,'Base stats'!C:C)&lt;0.1,0.05,IF(_xlfn.XLOOKUP(B270,'Base stats'!B:B,'Base stats'!C:C)&lt;=100,0.05,IF(_xlfn.XLOOKUP(B270,'Base stats'!B:B,'Base stats'!C:C)&lt;=250,0.1,IF(_xlfn.XLOOKUP(B270,'Base stats'!B:B,'Base stats'!C:C)&lt;=4000,0.25,0.5)))))</f>
        <v>0.1</v>
      </c>
      <c r="AP270" s="8">
        <f>MROUND(AO270*_xlfn.XLOOKUP(_xlfn.XLOOKUP(B270,'Base stats'!B:B,'Base stats'!E:E),Groups!A:A,Groups!AI:AI)*_xlfn.XLOOKUP(B270,'Base stats'!B:B,'Base stats'!Z:Z),0.05)</f>
        <v>0.1</v>
      </c>
      <c r="AQ270" s="8">
        <f>MAX(0.01,MROUND(IF(CC270="True",0.196*(AO270*100*1000)^0.889,IF(_xlfn.XLOOKUP(_xlfn.XLOOKUP(B270,'Base stats'!B:B,'Base stats'!E:E),Groups!A:A,Groups!AJ:AJ)="Bird",10.5*(AO270*100*1000)^0.681,4.82*(AO270*100*1000)^0.734))/(4.82*(1*100*1000)^0.734)/IF(AO270&lt;3.5,2,IF(AO270=3.5,1.5,1.25))*(1+0.132282374779864/(AO270^0.994035016789033+0.00905238001496948)),0.05))</f>
        <v>0.2</v>
      </c>
      <c r="AR270" s="9">
        <f>IFERROR(MROUND(_xlfn.XLOOKUP(B270,'Base stats'!B:B,'Base stats'!H:H)/IF(_xlfn.XLOOKUP(B270,'Base stats'!B:B,'Base stats'!I:I)&lt;&gt;1,(122.5/70),1.2),IF(_xlfn.XLOOKUP(B270,'Base stats'!B:B,'Base stats'!H:H)&gt;=30,5,IF(_xlfn.XLOOKUP(B270,'Base stats'!B:B,'Base stats'!H:H)&gt;=15,3,IF(_xlfn.XLOOKUP(B270,'Base stats'!B:B,'Base stats'!H:H)&gt;=10,2,1)))),"Immortal")</f>
        <v>2</v>
      </c>
      <c r="AS270" s="35">
        <f>IFERROR(IF(OR(_xlfn.XLOOKUP(B270,'Base stats'!B:B,'Base stats'!F:F)="Atypical reproduction",_xlfn.XLOOKUP(B270,'Base stats'!B:B,'Base stats'!F:F)="Lay eggs"),"Lay eggs",MIN(20,MAX(5.5,ROUND(((_xlfn.XLOOKUP(B270,'Base stats'!B:B,'Base stats'!F:F)-25)*(14.5/615) + 5.5)*2,0)/2))),"Unknown")</f>
        <v>5.5</v>
      </c>
      <c r="AT270" s="8" t="str">
        <f>IF(_xlfn.XLOOKUP(B270,'Base stats'!B:B,'Base stats'!G:G)="Atypical reproduction","No",IFERROR(MAX(IF(_xlfn.XLOOKUP(B270,'Base stats'!B:B,'Base stats'!G:G)&lt;0.5,0.2,0.3),MROUND(_xlfn.XLOOKUP(B270,'Base stats'!B:B,'Base stats'!G:G)/(365/60),0.2)),"Unknown"))</f>
        <v>No</v>
      </c>
      <c r="AU270" s="8" t="str">
        <f t="shared" si="29"/>
        <v>No</v>
      </c>
      <c r="AV270" s="8">
        <f>IFERROR(IFERROR(MROUND(_xlfn.XLOOKUP(B270,'Base stats'!B:B,'Base stats'!J:J),0.1),"Lay eggs"),"Cannot breed")</f>
        <v>7</v>
      </c>
      <c r="AW270" s="2" t="str">
        <f t="shared" si="30"/>
        <v>false</v>
      </c>
      <c r="AX270" s="2" t="str">
        <f>IF(_xlfn.XLOOKUP(_xlfn.XLOOKUP(Animals!B270,'Base stats'!B:B,'Base stats'!E:E),Groups!A:A,Groups!AK:AK)=1,"true","false")</f>
        <v>false</v>
      </c>
      <c r="AY270" s="25" t="str">
        <f>IF(_xlfn.XLOOKUP(B270,'Base stats'!B:B,'Base stats'!Y:Y)="Liquor","Liquor, CarnivoreAnimalStrict",IF(AND(_xlfn.XLOOKUP(B270,'Base stats'!B:B,'Base stats'!Y:Y)="Carnivore",_xlfn.XLOOKUP(_xlfn.XLOOKUP(B270,'Base stats'!B:B,'Base stats'!E:E),Groups!A:A,Groups!AJ:AJ)="Photonozoa"),"CarnivoreAnimalStrict, OvivoreAnimal",IF(_xlfn.XLOOKUP(B270,'Base stats'!B:B,'Base stats'!Y:Y)="Carnivore","CarnivoreAnimal, OvivoreAnimal",IF(_xlfn.XLOOKUP(B270,'Base stats'!B:B,'Base stats'!Y:Y)="Dendrovore","VegetarianRoughAnimal, DendrovoreAnimal",IF(_xlfn.XLOOKUP(B270,'Base stats'!B:B,'Base stats'!Y:Y)="Herbivore","VegetarianRoughAnimal",IF(_xlfn.XLOOKUP(B270,'Base stats'!B:B,'Base stats'!Y:Y)="OmnivoreRough","OmnivoreRoughAnimal, OvivoreAnimal","OmnivoreAnimal, OvivoreAnimal"))))))</f>
        <v>VegetarianRoughAnimal</v>
      </c>
      <c r="AZ270" s="2" t="str">
        <f>IF(_xlfn.XLOOKUP(_xlfn.XLOOKUP(B270,'Base stats'!B:B,'Base stats'!E:E),Groups!A:A,Groups!D:D)=1,MROUND((1-J270)*5+1,2)*IF(J270&lt;=0.4,2,1),"No")</f>
        <v>No</v>
      </c>
      <c r="BA270" s="2" t="str">
        <f>IF(AND(_xlfn.XLOOKUP(B270,'Base stats'!B:B,'Base stats'!AH:AH)="&lt;li&gt;Seal&lt;/li&gt;",G270="Odyssey"),"&lt;li&gt;AEXP_Seal&lt;/li&gt;",_xlfn.XLOOKUP(B270,'Base stats'!B:B,'Base stats'!AH:AH))</f>
        <v>&lt;li&gt;Rat&lt;/li&gt;</v>
      </c>
      <c r="BB270" s="2" t="str">
        <f>_xlfn.XLOOKUP(B270,'Base stats'!B:B,'Base stats'!AG:AG)</f>
        <v>Leather_Light</v>
      </c>
      <c r="BC270" s="23" t="str">
        <f>_xlfn.XLOOKUP(_xlfn.XLOOKUP(B270,'Base stats'!B:B,'Base stats'!E:E),Groups!A:A,Groups!AL:AL)</f>
        <v>QuadrupedAnimalWithPawsAndTail</v>
      </c>
      <c r="BD270" s="23">
        <f>MIN(1,MROUND(IF(AND(AO270&lt;0.5,_xlfn.XLOOKUP(B270,'Base stats'!B:B,'Base stats'!AA:AA)=0),0,IF(OR(_xlfn.XLOOKUP(Animals!B270,'Base stats'!B:B,'Base stats'!O:O)=2,_xlfn.XLOOKUP(_xlfn.XLOOKUP(B270,'Base stats'!B:B,'Base stats'!E:E),Groups!A:A,Groups!AN:AN)=0),0,_xlfn.XLOOKUP(_xlfn.XLOOKUP(B270,'Base stats'!B:B,'Base stats'!E:E),Groups!A:A,Groups!AN:AN)/IF(_xlfn.XLOOKUP(Animals!B270,'Base stats'!B:B,'Base stats'!O:O)=1,2,1)))+_xlfn.XLOOKUP(B270,'Base stats'!B:B,'Base stats'!AC:AC),0.005))</f>
        <v>0</v>
      </c>
      <c r="BE270" s="23">
        <f>MIN(1,MROUND(IF(AND(AO270&lt;0.5,_xlfn.XLOOKUP(B270,'Base stats'!B:B,'Base stats'!AA:AA)=0),0,IF(_xlfn.XLOOKUP(_xlfn.XLOOKUP(B270,'Base stats'!B:B,'Base stats'!E:E),Groups!A:A,Groups!AO:AO)=0,0,_xlfn.XLOOKUP(_xlfn.XLOOKUP(B270,'Base stats'!B:B,'Base stats'!E:E),Groups!A:A,Groups!AO:AO)/IF(_xlfn.XLOOKUP(Animals!B270,'Base stats'!B:B,'Base stats'!O:O)=2,3,1)))+_xlfn.XLOOKUP(B270,'Base stats'!B:B,'Base stats'!AD:AD),0.005))</f>
        <v>0</v>
      </c>
      <c r="BF270" s="2" t="str">
        <f>IF(J270&gt;0.3,"No",_xlfn.XLOOKUP(_xlfn.XLOOKUP(Animals!B270,'Base stats'!B:B,'Base stats'!E:E),Groups!A:A,Groups!AP:AP))</f>
        <v>No</v>
      </c>
      <c r="BG270" s="2">
        <f>IF(AND(J270&lt;=0.65,_xlfn.XLOOKUP(_xlfn.XLOOKUP(Animals!B270,'Base stats'!B:B,'Base stats'!E:E),Groups!A:A,Groups!AP:AP)&lt;&gt;"No",_xlfn.XLOOKUP(_xlfn.XLOOKUP(B270,'Base stats'!B:B,'Base stats'!E:E),Groups!A:A,Groups!D:D)=0),MROUND((80/3)*IF(_xlfn.XLOOKUP(B270,'Base stats'!B:B,'Base stats'!O:O)=2,0.2,AO270) + 24*(1-IF(BF270="No",0,BF270)) + 16/3, 12),"No")</f>
        <v>36</v>
      </c>
      <c r="BH270" s="2">
        <f>IF(AND(_xlfn.XLOOKUP(_xlfn.XLOOKUP(B270,'Base stats'!B:B,'Base stats'!E:E),Groups!A:A,Groups!AQ:AQ)=1,AO270&lt;=0.35),8,12)</f>
        <v>8</v>
      </c>
      <c r="BI270" s="2" t="str">
        <f>IF(_xlfn.XLOOKUP(_xlfn.XLOOKUP(B270,'Base stats'!B:B,'Base stats'!E:E),Groups!A:A,Groups!D:D)=0,_xlfn.XLOOKUP(_xlfn.XLOOKUP(B270,'Base stats'!B:B,'Base stats'!E:E),Groups!A:A,Groups!AR:AR),"None")</f>
        <v>None</v>
      </c>
      <c r="BJ270" s="2" t="str">
        <f>IF(AND(_xlfn.XLOOKUP(_xlfn.XLOOKUP(B270,'Base stats'!B:B,'Base stats'!E:E),Groups!A:A,Groups!AS:AS)=1,OR(_xlfn.XLOOKUP(B270,'Base stats'!B:B,'Base stats'!Y:Y)="Carnivore",_xlfn.XLOOKUP(B270,'Base stats'!B:B,'Base stats'!Y:Y)="Omnivore")),"true","false")</f>
        <v>false</v>
      </c>
      <c r="BK270" s="2" t="str">
        <f>IF(BJ270="true",MROUND(IF(AND(AO270&gt;0.5,OR(_xlfn.XLOOKUP(_xlfn.XLOOKUP(B270,'Base stats'!B:B,'Base stats'!E:E),Groups!A:A,Groups!AJ:AJ)="Photonozoa",_xlfn.XLOOKUP(_xlfn.XLOOKUP(B270,'Base stats'!B:B,'Base stats'!E:E),Groups!A:A,Groups!AJ:AJ)="Mammal")),Animals!AO270*1.75*IF(AW270="true",1.5,1),IF(AO270&lt;0.5,Animals!AO270*0.5,Animals!AO270)),IF(AO270&gt;2,0.5,IF(AO270&gt;0.5,0.25,0.1))),"No")</f>
        <v>No</v>
      </c>
      <c r="BL270" s="2">
        <f t="shared" si="31"/>
        <v>0</v>
      </c>
      <c r="BM270" s="25" t="str">
        <f>IF(_xlfn.XLOOKUP(B270,'Base stats'!B:B,'Base stats'!AN:AN)="Standard","No",MROUND((_xlfn.XLOOKUP(B270,'Base stats'!B:B,'Base stats'!AN:AN)/3.6)/I270,0.1))</f>
        <v>No</v>
      </c>
      <c r="BN270" s="25" t="str">
        <f t="shared" si="32"/>
        <v>false</v>
      </c>
      <c r="BO270" s="25" t="str">
        <f>IF(AND(OR(_xlfn.XLOOKUP(B270,'Base stats'!B:B,'Base stats'!Y:Y)="Carnivore",_xlfn.XLOOKUP(B270,'Base stats'!B:B,'Base stats'!Y:Y)="Omnivore",_xlfn.XLOOKUP(B270,'Base stats'!B:B,'Base stats'!Y:Y)="OmnivoreRough"),_xlfn.XLOOKUP(_xlfn.XLOOKUP(B270,'Base stats'!B:B,'Base stats'!E:E),Groups!A:A,Groups!AT:AT)=1),"true","false")</f>
        <v>false</v>
      </c>
      <c r="BP270" s="25" t="str" cm="1">
        <f t="array" ref="BP270">IF(
  _xlfn.TEXTJOIN(", ",TRUE,
    IF(AND(BJ270="true",AO270&gt;0.5,BI270&lt;&gt;"None"),"AttackTarget",""),
    IF(AND(_xlfn.XLOOKUP(_xlfn.XLOOKUP(B270,'Base stats'!B:B,'Base stats'!E:E),Groups!A:A,Groups!AJ:AJ="Mammal"),OR(_xlfn.XLOOKUP(B270,'Base stats'!B:B,'Base stats'!Y:Y)="Omnivore",_xlfn.XLOOKUP(B270,'Base stats'!B:B,'Base stats'!Y:Y)="OmnivoreRough")),"Forage",""),
    IF(BG270&lt;=36,"Comfort",""),
    IF(_xlfn.XLOOKUP(B270,'Base stats'!B:B,'Base stats'!AE:AE)&lt;&gt;"No",_xlfn.XLOOKUP(B270,'Base stats'!B:B,'Base stats'!AE:AE),"")
  ) = "",
  "No",
  _xlfn.TEXTJOIN(", ",TRUE,
    IF(AND(BJ270="true",AO270&gt;0.5,BI270&lt;&gt;"None"),"AttackTarget",""),
    IF(AND(_xlfn.XLOOKUP(_xlfn.XLOOKUP(B270,'Base stats'!B:B,'Base stats'!E:E),Groups!A:A,Groups!AJ:AJ="Mammal"),OR(_xlfn.XLOOKUP(B270,'Base stats'!B:B,'Base stats'!Y:Y)="Omnivore",_xlfn.XLOOKUP(B270,'Base stats'!B:B,'Base stats'!Y:Y)="OmnivoreRough")),"Forage",""),
    IF(BG270&lt;=36,"Comfort",""),
    IF(_xlfn.XLOOKUP(B270,'Base stats'!B:B,'Base stats'!AE:AE)&lt;&gt;"No",_xlfn.XLOOKUP(B270,'Base stats'!B:B,'Base stats'!AE:AE),"")
  )
)</f>
        <v>Comfort</v>
      </c>
      <c r="BQ270" s="25" t="str">
        <f>IF(
   AND(
      'Base stats'!AN270="Standard",_xlfn.XLOOKUP(_xlfn.XLOOKUP(B270,'Base stats'!B:B,'Base stats'!E:E),Groups!A:A,Groups!AU:AU)=0,
      OR(
      BO270="True"
      )
   ),
   10,
   IF(
       OR(BM270&lt;&gt;"No",_xlfn.XLOOKUP(_xlfn.XLOOKUP(B270,'Base stats'!B:B,'Base stats'!E:E),Groups!A:A,Groups!AU:AU)=1),
      1,
      "No"
   )
)</f>
        <v>No</v>
      </c>
      <c r="BR270" s="9">
        <f>MROUND((1 + ((0.2*IF(OR(Q270="No",R270="No",R270=0),0,Q270/R270)
+IF(OR(V270="No",S270="No",T270="No"),0,S270/T270*(LEN(V270)-LEN(SUBSTITUTE(V270,",",""))+1))
+IF(OR(X270="No",Y270="No"),0,X270/Y270)
+IF(OR(AD270="No",AE270="No"),0,AD270/AE270)
+IF(OR(AL270="No",AI270="No",AJ270="No"),0,AI270/AJ270*(LEN(AL270)-LEN(SUBSTITUTE(AL270,",",""))+1))
)/(0.2*IF(OR(Q270="No",R270="No",R270=0),0,1)
+IF(OR(V270="No",S270="No",T270="No"),0,LEN(V270)-LEN(SUBSTITUTE(V270,",",""))+1)
+IF(OR(X270="No",Y270="No"),0,1)
+IF(OR(AD270="No",AE270="No"),0,1)
+IF(OR(AL270="No",AI270="No",AJ270="No"),0,LEN(AL270)-LEN(SUBSTITUTE(AL270,",",""))+1))*62%)* 2)*(1 + (AP270 / (IF(_xlfn.XLOOKUP(_xlfn.XLOOKUP(B270,'Base stats'!B:B,'Base stats'!E:E),Groups!A:A,Groups!AJ:AJ)="Photonozoa",0.3,1)) + _xlfn.XLOOKUP(B270,'Base stats'!B:B,'Base stats'!AV:AV) * 1.8) * 2) * 2.5 + 10 + I270 * 2,5)+IF(_xlfn.XLOOKUP(B270,'Base stats'!B:B,'Base stats'!AK:AK)=1,50,0)</f>
        <v>20</v>
      </c>
      <c r="BS270" s="8">
        <f t="shared" si="33"/>
        <v>0.2</v>
      </c>
      <c r="BT270" s="8" t="str">
        <f>_xlfn.XLOOKUP(B270,'Base stats'!B:B,'Base stats'!AF:AF)</f>
        <v>No</v>
      </c>
      <c r="BU270" s="2" t="str">
        <f>IF(AND(J270&lt;=0.95,OR(_xlfn.XLOOKUP(B270,'Base stats'!B:B,'Base stats'!AK:AK)=1,_xlfn.XLOOKUP(B270,'Base stats'!B:B,'Base stats'!Y:Y)="Carnivore",_xlfn.XLOOKUP(B270,'Base stats'!B:B,'Base stats'!Y:Y)="Omnivore",BE270&gt;0.1)),"true","false")</f>
        <v>false</v>
      </c>
      <c r="BV270" s="2" t="str">
        <f>IF(_xlfn.XLOOKUP(B270,'Base stats'!B:B,'Base stats'!AI:AI)=1,"true","false")</f>
        <v>false</v>
      </c>
      <c r="BW270" s="25" t="str">
        <f>IF(E270="BaseInsect","AnimalInsect",
IF(J270&gt;0.95,"AnimalExotic",
_xlfn.TEXTJOIN(", ",TRUE,
IF(OR(_xlfn.XLOOKUP(B270,'Base stats'!B:B,'Base stats'!AM:AM)=1,AND(_xlfn.XLOOKUP(B270,'Base stats'!B:B,'Base stats'!O:O)=0,_xlfn.XLOOKUP(_xlfn.XLOOKUP(B270,'Base stats'!B:B,'Base stats'!E:E),Groups!A:A,Groups!B:B)&gt;0)),"AnimalUncommon","AnimalCommon"),
IF(AND(_xlfn.XLOOKUP(B270,'Base stats'!B:B,'Base stats'!O:O)=2,_xlfn.XLOOKUP(_xlfn.XLOOKUP(B270,'Base stats'!B:B,'Base stats'!E:E),Groups!A:A,Groups!D:D)=0),"AnimalPet",IF(AND(_xlfn.XLOOKUP(B270,'Base stats'!B:B,'Base stats'!O:O)&lt;&gt;0,_xlfn.XLOOKUP(_xlfn.XLOOKUP(B270,'Base stats'!B:B,'Base stats'!E:E),Groups!A:A,Groups!D:D)&lt;&gt;0),"AnimalFarm","")),
IF(OR(_xlfn.XLOOKUP(B270,'Base stats'!B:B,'Base stats'!AK:AK)=1,AND(BI270&lt;&gt;"None",BR270&gt;=60),ISNUMBER(SEARCH("Attack target",BP270))),"AnimalFighter","")
)))</f>
        <v>AnimalUncommon</v>
      </c>
      <c r="BX270" s="25" t="str">
        <f>IF(G270="None",TRIM(
SUBSTITUTE(
IF(COUNTIF(Biomes!B$2:B$259,"="&amp;$C270)&gt;0,Biomes!B$1&amp;", ","")&amp;
IF(COUNTIF(Biomes!C$2:C$259,"="&amp;$C270)&gt;0,Biomes!C$1&amp;", ","")&amp;
IF(COUNTIF(Biomes!D$2:D$259,"="&amp;$C270)&gt;0,Biomes!D$1&amp;", ","")&amp;
IF(COUNTIF(Biomes!F$2:F$259,"="&amp;$C270)&gt;0,Biomes!F$1&amp;", ","")&amp;
IF(COUNTIF(Biomes!G$2:G$259,"="&amp;$C270)&gt;0,Biomes!G$1&amp;", ","")&amp;
IF(COUNTIF(Biomes!H$2:H$259,"="&amp;$C270)&gt;0,Biomes!H$1&amp;", ","")&amp;
IF(COUNTIF(Biomes!I$2:I$259,"="&amp;$C270)&gt;0,Biomes!I$1&amp;", ","")&amp;
IF(COUNTIF(Biomes!J$2:J$259,"="&amp;$C270)&gt;0,Biomes!J$1&amp;", ","")&amp;
IF(COUNTIF(Biomes!M$2:M$259,"="&amp;$C270)&gt;0,Biomes!M$1&amp;", ","")&amp;
IF(COUNTIF(Biomes!N$2:N$259,"="&amp;$C270)&gt;0,Biomes!N$1&amp;", ","")&amp;
IF(COUNTIF(Biomes!O$2:O$259,"="&amp;$C270)&gt;0,Biomes!O$1&amp;", ","")&amp;
IF(COUNTIF(Biomes!P$2:P$259,"="&amp;$C270)&gt;0,Biomes!P$1&amp;", ","")&amp;
IF(COUNTIF(Biomes!K$2:K$259,"="&amp;$C270)&gt;0,Biomes!K$1&amp;", ","")&amp;
IF(COUNTIF(Biomes!Q$3:Q$259,"="&amp;$C270)&gt;0,Biomes!Q$1&amp;", ","")&amp;
IF(COUNTIF(Biomes!L$2:L$259,"="&amp;$C270)&gt;0,Biomes!L$1&amp;", ","")&amp;
IF(COUNTIF(Biomes!E$2:E$259,"="&amp;$C270)&gt;0,Biomes!E$1&amp;", ","")&amp;IF(COUNTIF(Biomes!S$2:S$259,"="&amp;$C270)&gt;0,Biomes!S$1&amp;", ","")&amp;
IF(COUNTIF(Biomes!R$2:R$259,"="&amp;$C270)&gt;0,Biomes!R$1&amp;", ",""),", ","")
),_xlfn.XLOOKUP(B270,B:B,BX:BX))</f>
        <v/>
      </c>
      <c r="BY270" s="25" t="str">
        <f>IF(_xlfn.XLOOKUP(B270,'Base stats'!B:B,'Base stats'!AJ:AJ)=1,"true","false")</f>
        <v>false</v>
      </c>
      <c r="BZ270" s="25">
        <f>IF(_xlfn.XLOOKUP(B270,'Base stats'!B:B,'Base stats'!N:N)=1,"No",MAX(0.001,MIN(MROUND(IF(AND(BJ270="True",CC270="False"),POWER(10,3.47*LOG10(_xlfn.XLOOKUP(B270,'Base stats'!B:B,'Base stats'!C:C)*1000)^-0.96),POWER(10,4.15*LOG10(_xlfn.XLOOKUP(B270,'Base stats'!B:B,'Base stats'!C:C)*1000)^-0.73))*IF(_xlfn.XLOOKUP(B270,'Base stats'!B:B,'Base stats'!AK:AK)=1,0.5,1)*IF(_xlfn.XLOOKUP(B270,'Base stats'!B:B,'Base stats'!AM:AM)=1,0.1,1)/100,IF(_xlfn.XLOOKUP(B270,'Base stats'!B:B,'Base stats'!AM:AM)=1,0.001,0.025)),0.5)))</f>
        <v>0.126</v>
      </c>
      <c r="CA270" s="25" t="str">
        <f>IF(P270="Standard","No",MAX(0.001,MIN(MROUND(IF(AND(BJ270="True",CC270="False"),POWER(10,3.47*LOG10(_xlfn.XLOOKUP(B270,'Base stats'!B:B,'Base stats'!C:C)*1000)^-0.96),POWER(10,4.15*LOG10(_xlfn.XLOOKUP(B270,'Base stats'!B:B,'Base stats'!C:C)*1000)^-0.73))*IF(_xlfn.XLOOKUP(B270,'Base stats'!B:B,'Base stats'!AM:AM)=1,0.1,1)*_xlfn.XLOOKUP(B270,'Base stats'!B:B,'Base stats'!R:R)/100,IF(_xlfn.XLOOKUP(B270,'Base stats'!B:B,'Base stats'!AM:AM)=1,0.001,0.025)),0.5)))</f>
        <v>No</v>
      </c>
      <c r="CB270" s="25" t="str">
        <f>IF(_xlfn.XLOOKUP(_xlfn.XLOOKUP(B270,'Base stats'!B:B,'Base stats'!E:E),Groups!A:A,Groups!AJ:AJ)="Mammal","True","False")</f>
        <v>True</v>
      </c>
      <c r="CC270" s="25" t="str">
        <f>IF(OR(_xlfn.XLOOKUP(_xlfn.XLOOKUP(B270,'Base stats'!B:B,'Base stats'!E:E),Groups!A:A,Groups!AJ:AJ)="Reptile",_xlfn.XLOOKUP(_xlfn.XLOOKUP(B270,'Base stats'!B:B,'Base stats'!E:E),Groups!A:A,Groups!AJ:AJ)="Amphibian",_xlfn.XLOOKUP(_xlfn.XLOOKUP(B270,'Base stats'!B:B,'Base stats'!E:E),Groups!A:A,Groups!AJ:AJ)="Invertebrate"),"True","False")</f>
        <v>False</v>
      </c>
      <c r="CD270" s="25" t="str">
        <f t="shared" si="34"/>
        <v>False</v>
      </c>
      <c r="CE270" s="25" t="str">
        <f>IF(_xlfn.XLOOKUP(_xlfn.XLOOKUP(B270,'Base stats'!B:B,'Base stats'!E:E),Groups!A:A,Groups!AX:AX),"True","False")</f>
        <v>False</v>
      </c>
      <c r="CF270" s="25" t="str">
        <f>IF(_xlfn.XLOOKUP(_xlfn.XLOOKUP(B270,'Base stats'!B:B,'Base stats'!E:E),Groups!A:A,Groups!AY:AY),"True","False")</f>
        <v>False</v>
      </c>
      <c r="CG270" s="25" t="str">
        <f>IF(_xlfn.XLOOKUP(_xlfn.XLOOKUP(B270,'Base stats'!B:B,'Base stats'!E:E),Groups!A:A,Groups!AW:AW),"True","False")</f>
        <v>False</v>
      </c>
      <c r="CH270" s="25" t="str">
        <f>IF(
OR(
_xlfn.XLOOKUP(_xlfn.XLOOKUP(B270,'Base stats'!B:B,'Base stats'!E:E),Groups!A:A,Groups!AZ:AZ)=0,
AND(
_xlfn.XLOOKUP(B270,'Base stats'!B:B,'Base stats'!Y:Y)&lt;&gt;"Carnivore",
_xlfn.XLOOKUP(B270,'Base stats'!B:B,'Base stats'!Y:Y)&lt;&gt;"Omnivore",
_xlfn.XLOOKUP(B270,'Base stats'!B:B,'Base stats'!Y:Y)&lt;&gt;"OmnivoreRough"
)
),
"No",
IF(
_xlfn.XLOOKUP(_xlfn.XLOOKUP(B270,'Base stats'!B:B,'Base stats'!E:E),Groups!A:A,Groups!AZ:AZ)=1,
"Flesh",
IF(
_xlfn.XLOOKUP(_xlfn.XLOOKUP(B270,'Base stats'!B:B,'Base stats'!E:E),Groups!A:A,Groups!AZ:AZ)=2,
"Bone",
""
)
)
)</f>
        <v>No</v>
      </c>
      <c r="CI270" s="25" t="str">
        <f>IF(_xlfn.XLOOKUP(_xlfn.XLOOKUP(B270,'Base stats'!B:B,'Base stats'!E:E),Groups!A:A,Groups!BB:BB),"True","False")</f>
        <v>True</v>
      </c>
      <c r="CJ270" s="25" t="str">
        <f>IF(_xlfn.XLOOKUP(_xlfn.XLOOKUP(B270,'Base stats'!B:B,'Base stats'!E:E),Groups!A:A,Groups!BA:BA),"True","False")</f>
        <v>False</v>
      </c>
    </row>
    <row r="271" spans="1:88" ht="16.5" thickTop="1" thickBot="1" x14ac:dyDescent="0.3">
      <c r="A271" s="26" t="s">
        <v>1448</v>
      </c>
      <c r="B271" s="6" t="str">
        <f>_xlfn.XLOOKUP(A271,'Base stats'!A:A,'Base stats'!B:B)</f>
        <v>Mus fissilis (third form)</v>
      </c>
      <c r="C271" s="28" t="s">
        <v>1449</v>
      </c>
      <c r="D271" s="28" t="s">
        <v>1341</v>
      </c>
      <c r="E271" s="28" t="s">
        <v>673</v>
      </c>
      <c r="F271" s="28" t="s">
        <v>673</v>
      </c>
      <c r="G271" s="28" t="s">
        <v>673</v>
      </c>
      <c r="H271" s="2">
        <f>MROUND((
  (IF(AND(_xlfn.XLOOKUP(B271,'Base stats'!B:B,'Base stats'!AL:AL)=0,BI271="None",_xlfn.XLOOKUP(_xlfn.XLOOKUP(B271,'Base stats'!B:B,'Base stats'!E:E),Groups!A:A,Groups!B:B)=0), (18 + BR271 * 2.7) * 0.5,
    IF(AND(_xlfn.XLOOKUP(B271,'Base stats'!B:B,'Base stats'!AL:AL)=0,OR(AO271&lt;0.55,AND(BI271="Intermediate",_xlfn.XLOOKUP(_xlfn.XLOOKUP(B271,'Base stats'!B:B,'Base stats'!E:E),Groups!A:A,Groups!B:B)&lt;2))), (18 + BR271 * 2.7),
      IF(OR(BI271="Advanced",_xlfn.XLOOKUP(B271,'Base stats'!B:B,'Base stats'!AL:AL)=1,_xlfn.XLOOKUP(_xlfn.XLOOKUP(B271,'Base stats'!B:B,'Base stats'!E:E),Groups!A:A,Groups!B:B)=2), (18 + BR271 * 2.7) + 250, (18 + BR271 * 2.7))
    )
  ))
  + AO271 * 80
  + IF(COUNTIF(EggMilk!K$2:K$998, A271) &gt; 0, 125, 0)
  + IF(COUNTIF(EggMilk!P$2:P$998, A271) &gt; 0, 90, 0)
  + IF(COUNTIF(EggMilk!A$2:A$998, A271) &gt; 0, 90, 0)
)
* (0.8 + 0.4 * J271)
* 0.75,25)</f>
        <v>25</v>
      </c>
      <c r="I271" s="2">
        <f>MROUND(ROUNDDOWN(_xlfn.XLOOKUP(B271,'Base stats'!B:B,'Base stats'!L:L)/3.6/(23.3/11),1),0.5)</f>
        <v>1.5</v>
      </c>
      <c r="J271" s="2">
        <f>IF(OR(_xlfn.XLOOKUP(B271,'Base stats'!B:B,'Base stats'!AB:AB)=1,_xlfn.XLOOKUP(_xlfn.XLOOKUP(B271,'Base stats'!B:B,'Base stats'!E:E),Groups!A:A,Groups!C:C)="Untamable"),1,IF(_xlfn.XLOOKUP(B271,'Base stats'!B:B,'Base stats'!AL:AL)=1,0.99,MIN(MROUND((1-0.6282*EXP(-0.459*AO271))*_xlfn.XLOOKUP(_xlfn.XLOOKUP(B271,'Base stats'!B:B,'Base stats'!E:E),Groups!A:A,Groups!C:C)*IF(_xlfn.XLOOKUP(B271,'Base stats'!B:B,'Base stats'!O:O)=1,0.5,IF(_xlfn.XLOOKUP(B271,'Base stats'!B:B,'Base stats'!O:O)=2,0,1)),0.05),IF(AO271&gt;3.5,0.985,0.95))))</f>
        <v>0.5</v>
      </c>
      <c r="K271" s="2">
        <f>ROUNDUP(AO271*_xlfn.XLOOKUP(_xlfn.XLOOKUP(B271,'Base stats'!B:B,'Base stats'!E:E),Groups!A:A,Groups!E:E),0)</f>
        <v>1</v>
      </c>
      <c r="L271" s="2">
        <f>IF(OR(_xlfn.XLOOKUP(_xlfn.XLOOKUP(B271,'Base stats'!B:B,'Base stats'!E:E),Groups!A:A,Groups!F:F)=2,ISNUMBER(SEARCH("SeaIce",BX271)),ISNUMBER(SEARCH("IceSheet",BX271))),-50,IF(OR(ISNUMBER(SEARCH("GlacialPlain",BX271)),ISNUMBER(SEARCH("Tundra",BX271))),-40,IF(OR(ISNUMBER(SEARCH("Alpine",BX271)),ISNUMBER(SEARCH("BorealForest",BX271)),ISNUMBER(SEARCH("ColdBog",BX271))),-30,IF(OR(ISNUMBER(SEARCH("TemperateForest",BX271)),ISNUMBER(SEARCH("TemperateSwamp",BX271))),-20,IF(_xlfn.XLOOKUP(_xlfn.XLOOKUP(B271,'Base stats'!B:B,'Base stats'!E:E),Groups!A:A,Groups!F:F)=1,-15,IF(OR(ISNUMBER(SEARCH("Desert",BX271)),ISNUMBER(SEARCH("ExtremeDesert",BX271))),-10,IF(OR(ISNUMBER(SEARCH("Grasslands",BX271)),ISNUMBER(SEARCH("TropicalRainforest",BX271)),ISNUMBER(SEARCH("TropicalSwamp",BX271))),10,0)))))))-IF(CC271="False",MIN(IFERROR(MAX(MROUND(LOG10(_xlfn.XLOOKUP(B271,'Base stats'!B:B,'Base stats'!C:C)^(2/3))*10,5),5),5),30))-_xlfn.XLOOKUP(B271,'Base stats'!B:B,'Base stats'!P:P)+IF(CC271="True",5,0)</f>
        <v>-5</v>
      </c>
      <c r="M271" s="2">
        <f>IF(OR(_xlfn.XLOOKUP(_xlfn.XLOOKUP(B271,'Base stats'!B:B,'Base stats'!E:E),Groups!A:A,Groups!G:G)=2,ISNUMBER(SEARCH("Desert",BX271)),ISNUMBER(SEARCH("ExtremeDesert",BX271)),ISNUMBER(SEARCH("LavaField",BX271))),50,IF(ISNUMBER(SEARCH("Grasslands",BX271)),45,IF(OR(_xlfn.XLOOKUP(_xlfn.XLOOKUP(B271,'Base stats'!B:B,'Base stats'!E:E),Groups!A:A,Groups!G:G)=1,ISNUMBER(SEARCH("TropicalRainforest",BX271)),ISNUMBER(SEARCH("TropicalSwamp",BX271))),40,IF(OR(ISNUMBER(SEARCH("TemperateForest",BX271)),ISNUMBER(SEARCH("TemperateSwamp",BX271))),35,IF(OR(ISNUMBER(SEARCH("Alpine",BX271)),ISNUMBER(SEARCH("BorealForest",BX271)),ISNUMBER(SEARCH("ColdBog",BX271))),30,IF(ISNUMBER(OR(ISNUMBER(SEARCH("GlacialPlain",BX271)),SEARCH("Tundra",BX271))),25,IF(OR(ISNUMBER(SEARCH("SeaIce",BX271)),ISNUMBER(SEARCH("IceSheet",BX271)),ISNUMBER(SEARCH("TropicalSwamp",BX271))),10,35)))))))+_xlfn.XLOOKUP(B271,'Base stats'!B:B,'Base stats'!Q:Q)</f>
        <v>35</v>
      </c>
      <c r="N271" s="8" t="str">
        <f>IF(
_xlfn.XLOOKUP(
_xlfn.XLOOKUP(B271,'Base stats'!B:B,'Base stats'!E:E),
Groups!A:A,
Groups!L:L
)=1,
MIN(
MROUND(
IF(
_xlfn.XLOOKUP(B271,'Animals CE'!B:B,'Animals CE'!Z:Z)&lt;=1.5,
_xlfn.XLOOKUP(B271,'Animals CE'!B:B,'Animals CE'!Z:Z)/2+0.05,
0.8+
(_xlfn.XLOOKUP(B271,'Animals CE'!B:B,'Animals CE'!Z:Z)-1.5)
*0.02
),
0.05
),
200%
),
"No"
)</f>
        <v>No</v>
      </c>
      <c r="O271" s="8" t="str">
        <f>IF(
_xlfn.XLOOKUP(
_xlfn.XLOOKUP(B271,'Base stats'!B:B,'Base stats'!E:E),
Groups!A:A,
Groups!L:L
)=1,
MIN(
MROUND(
IF(
_xlfn.XLOOKUP(B271,'Animals CE'!B:B,'Animals CE'!AA:AA)&lt;=1.5,
_xlfn.XLOOKUP(B271,'Animals CE'!B:B,'Animals CE'!AA:AA)/2+0.05,
0.8+
(_xlfn.XLOOKUP(B271,'Animals CE'!B:B,'Animals CE'!AA:AA)-1.5)
*0.02
),
0.05
),
200%
),
"No"
)</f>
        <v>No</v>
      </c>
      <c r="P271" s="2" t="str">
        <f>_xlfn.XLOOKUP(B271,'Base stats'!B:B,'Base stats'!R:R)</f>
        <v>Standard</v>
      </c>
      <c r="Q271" s="13">
        <f>MROUND((LOG10(_xlfn.XLOOKUP(B271,'Base stats'!B:B,'Base stats'!AR:AR))*(AO271^0.5)+(_xlfn.XLOOKUP(B271,'Base stats'!B:B,'Base stats'!AR:AR)/1000)^(2/3)+_xlfn.XLOOKUP(B271,'Base stats'!B:B,'Base stats'!BA:BA)/2)+0.5,0.5)</f>
        <v>1</v>
      </c>
      <c r="R271" s="7">
        <f>IF(Q271="No","No",MAX(1,MROUND(_xlfn.XLOOKUP(B271,'Base stats'!B:B,'Base stats'!C:C)^0.165,0.05)))</f>
        <v>1</v>
      </c>
      <c r="S271" s="13" t="str">
        <f>IF(_xlfn.XLOOKUP(_xlfn.XLOOKUP(B271,'Base stats'!B:B,'Base stats'!E:E),Groups!A:A,Groups!P:P)=0,"No",MROUND((LOG10(_xlfn.XLOOKUP(B271,'Base stats'!B:B,'Base stats'!AS:AS))*(AO271^0.5)+(_xlfn.XLOOKUP(B271,'Base stats'!B:B,'Base stats'!AS:AS)/1000)^(2/3)+_xlfn.XLOOKUP(B271,'Base stats'!B:B,'Base stats'!BA:BA))+_xlfn.XLOOKUP(B271,'Base stats'!B:B,'Base stats'!AY:AY)+0.5,0.5))</f>
        <v>No</v>
      </c>
      <c r="T271" s="7" t="str">
        <f>IF(S271="No","No",MAX(_xlfn.XLOOKUP(_xlfn.XLOOKUP(B271,'Base stats'!B:B,'Base stats'!E:E),Groups!A:A,Groups!Q:Q),MROUND(_xlfn.XLOOKUP(_xlfn.XLOOKUP(B271,'Base stats'!B:B,'Base stats'!E:E),Groups!A:A,Groups!Q:Q)*_xlfn.XLOOKUP(B271,'Base stats'!B:B,'Base stats'!C:C)^0.165,0.05)))</f>
        <v>No</v>
      </c>
      <c r="U271" s="7" t="str">
        <f>IF(S271="No","No",_xlfn.XLOOKUP(_xlfn.XLOOKUP(B271,'Base stats'!B:B,'Base stats'!E:E),Groups!A:A,Groups!R:R))</f>
        <v>No</v>
      </c>
      <c r="V271" s="7" t="str">
        <f>IF(S271="No","No",_xlfn.XLOOKUP(_xlfn.XLOOKUP(B271,'Base stats'!B:B,'Base stats'!E:E),Groups!A:A,Groups!S:S))</f>
        <v>No</v>
      </c>
      <c r="W271" s="7" t="str">
        <f>IF(S271="No","No",_xlfn.XLOOKUP(_xlfn.XLOOKUP(B271,'Base stats'!B:B,'Base stats'!E:E),Groups!A:A,Groups!T:T))</f>
        <v>No</v>
      </c>
      <c r="X271" s="13" t="str">
        <f>IF(_xlfn.XLOOKUP(B271,'Base stats'!B:B,'Base stats'!W:W)="No","No",MROUND((LOG10(_xlfn.XLOOKUP(B271,'Base stats'!B:B,'Base stats'!AU:AU))*(AO271^0.5)+(_xlfn.XLOOKUP(B271,'Base stats'!B:B,'Base stats'!AU:AU)/1000)^(2/3)+_xlfn.XLOOKUP(B271,'Base stats'!B:B,'Base stats'!AZ:AZ))+0.5+IF(_xlfn.XLOOKUP(_xlfn.XLOOKUP(B271,'Base stats'!B:B,'Base stats'!E:E),Groups!A:A,Groups!U:U)&lt;&gt;3,_xlfn.XLOOKUP(B271,'Base stats'!B:B,'Base stats'!BA:BA),0),0.5))</f>
        <v>No</v>
      </c>
      <c r="Y271" s="7" t="str">
        <f>IF(X271="No","No",MAX(_xlfn.XLOOKUP(_xlfn.XLOOKUP(B271,'Base stats'!B:B,'Base stats'!E:E),Groups!A:A,Groups!V:V),MROUND(_xlfn.XLOOKUP(_xlfn.XLOOKUP(B271,'Base stats'!B:B,'Base stats'!E:E),Groups!A:A,Groups!V:V)*_xlfn.XLOOKUP(B271,'Base stats'!B:B,'Base stats'!C:C)^0.165,0.05)))</f>
        <v>No</v>
      </c>
      <c r="Z271" s="7" t="str">
        <f>IF(X271="No","No",_xlfn.XLOOKUP(_xlfn.XLOOKUP(B271,'Base stats'!B:B,'Base stats'!E:E),Groups!A:A,Groups!W:W))</f>
        <v>No</v>
      </c>
      <c r="AA271" s="7" t="str">
        <f>IF(X271="No","No",_xlfn.XLOOKUP(_xlfn.XLOOKUP(B271,'Base stats'!B:B,'Base stats'!E:E),Groups!A:A,Groups!X:X))</f>
        <v>No</v>
      </c>
      <c r="AB271" s="7" t="str">
        <f>IF(X271="No","No",_xlfn.XLOOKUP(_xlfn.XLOOKUP(B271,'Base stats'!B:B,'Base stats'!E:E),Groups!A:A,Groups!Y:Y))</f>
        <v>No</v>
      </c>
      <c r="AC271" s="7" t="str">
        <f>_xlfn.XLOOKUP(Animals!B271,'Base stats'!B:B,'Base stats'!X:X)</f>
        <v>False</v>
      </c>
      <c r="AD271" s="13">
        <f>IF(_xlfn.XLOOKUP(B271,'Base stats'!B:B,'Base stats'!AT:AT)="No","No",MROUND((LOG10(_xlfn.XLOOKUP(B271,'Base stats'!B:B,'Base stats'!AT:AT))*(AO271^0.75)+(_xlfn.XLOOKUP(B271,'Base stats'!B:B,'Base stats'!AT:AT)/1000)^(2/3)+_xlfn.XLOOKUP(B271,'Base stats'!B:B,'Base stats'!AX:AX)+_xlfn.XLOOKUP(B271,'Base stats'!B:B,'Base stats'!BA:BA))+0.5,0.5))</f>
        <v>1.5</v>
      </c>
      <c r="AE271" s="7">
        <f>IF(AD271="No","No",MAX(_xlfn.XLOOKUP(_xlfn.XLOOKUP(B271,'Base stats'!B:B,'Base stats'!E:E),Groups!A:A,Groups!Z:Z),MROUND(_xlfn.XLOOKUP(_xlfn.XLOOKUP(B271,'Base stats'!B:B,'Base stats'!E:E),Groups!A:A,Groups!Z:Z)*_xlfn.XLOOKUP(B271,'Base stats'!B:B,'Base stats'!C:C)^0.165,0.05)))</f>
        <v>0.95</v>
      </c>
      <c r="AF271" s="7" t="str">
        <f>IF(AD271="No","No",_xlfn.XLOOKUP(_xlfn.XLOOKUP(B271,'Base stats'!B:B,'Base stats'!E:E),Groups!A:A,Groups!AA:AA))</f>
        <v>Teeth</v>
      </c>
      <c r="AG271" s="7" t="str">
        <f>IF(AD271="No","No",_xlfn.XLOOKUP(_xlfn.XLOOKUP(B271,'Base stats'!B:B,'Base stats'!E:E),Groups!A:A,Groups!AB:AB))</f>
        <v>Incisors</v>
      </c>
      <c r="AH271" s="7" t="str">
        <f>IF(AD271="No","No",_xlfn.XLOOKUP(_xlfn.XLOOKUP(B271,'Base stats'!B:B,'Base stats'!E:E),Groups!A:A,Groups!AC:AC))</f>
        <v>Bite</v>
      </c>
      <c r="AI271" s="13" t="str">
        <f>IF(_xlfn.XLOOKUP(_xlfn.XLOOKUP(B271,'Base stats'!B:B,'Base stats'!E:E),Groups!A:A,Groups!AD:AD)=0,"No",MROUND((LOG10(_xlfn.XLOOKUP(B271,'Base stats'!B:B,'Base stats'!AS:AS))*(AO271^0.75)+(_xlfn.XLOOKUP(B271,'Base stats'!B:B,'Base stats'!AS:AS)/1000)^(2/3)+_xlfn.XLOOKUP(B271,'Base stats'!B:B,'Base stats'!AY:AY)+_xlfn.XLOOKUP(B271,'Base stats'!B:B,'Base stats'!BA:BA))+0.5,0.5))</f>
        <v>No</v>
      </c>
      <c r="AJ271" s="7" t="str">
        <f>IF(AI271="No","No",MAX(_xlfn.XLOOKUP(_xlfn.XLOOKUP(B271,'Base stats'!B:B,'Base stats'!E:E),Groups!A:A,Groups!AE:AE),MROUND(_xlfn.XLOOKUP(_xlfn.XLOOKUP(B271,'Base stats'!B:B,'Base stats'!E:E),Groups!A:A,Groups!AE:AE)*IF(_xlfn.XLOOKUP(_xlfn.XLOOKUP(B271,'Base stats'!B:B,'Base stats'!E:E),Groups!A:A,Groups!AJ:AJ)="Photonozoa",0.6,1)*_xlfn.XLOOKUP(B271,'Base stats'!B:B,'Base stats'!C:C)^0.165,0.05)))</f>
        <v>No</v>
      </c>
      <c r="AK271" s="7" t="str">
        <f>IF(AI271="No","No",_xlfn.XLOOKUP(_xlfn.XLOOKUP(B271,'Base stats'!B:B,'Base stats'!E:E),Groups!A:A,Groups!AF:AF))</f>
        <v>No</v>
      </c>
      <c r="AL271" s="7" t="str">
        <f>IF(AI271="No","No",_xlfn.XLOOKUP(_xlfn.XLOOKUP(B271,'Base stats'!B:B,'Base stats'!E:E),Groups!A:A,Groups!AG:AG))</f>
        <v>No</v>
      </c>
      <c r="AM271" s="7" t="str">
        <f>IF(AI271="No","No",_xlfn.XLOOKUP(_xlfn.XLOOKUP(B271,'Base stats'!B:B,'Base stats'!E:E),Groups!A:A,Groups!AH:AH))</f>
        <v>No</v>
      </c>
      <c r="AN271" s="2" t="str">
        <f t="shared" si="28"/>
        <v>No</v>
      </c>
      <c r="AO271" s="2">
        <f>MROUND(IF(AND(_xlfn.XLOOKUP(B271,'Base stats'!B:B,'Base stats'!C:C)&gt;=0.5,_xlfn.XLOOKUP(B271,'Base stats'!B:B,'Base stats'!C:C)&lt;=0.8),
IF(_xlfn.XLOOKUP(B271,'Base stats'!B:B,'Base stats'!C:C)&lt;0.1,0.05,IF(_xlfn.XLOOKUP(B271,'Base stats'!B:B,'Base stats'!C:C)&lt;=70,(_xlfn.XLOOKUP(B271,'Base stats'!B:B,'Base stats'!C:C)/70)^0.426489913056526,IF(_xlfn.XLOOKUP(B271,'Base stats'!B:B,'Base stats'!C:C)&lt;=400,(_xlfn.XLOOKUP(B271,'Base stats'!B:B,'Base stats'!C:C)/70)^0.572811455315093,IF(_xlfn.XLOOKUP(B271,'Base stats'!B:B,'Base stats'!C:C)&lt;=2000,2.71391647193063*(_xlfn.XLOOKUP(B271,'Base stats'!B:B,'Base stats'!C:C)/400)^0.252459582904293,3.74314280240376*(_xlfn.XLOOKUP(B271,'Base stats'!B:B,'Base stats'!C:C)/2000)^0.357012633876913)))),
IF(_xlfn.XLOOKUP(B271,'Base stats'!B:B,'Base stats'!C:C)&lt;0.1,0.05,IF(_xlfn.XLOOKUP(B271,'Base stats'!B:B,'Base stats'!C:C)&lt;0.4,0.1,IF(_xlfn.XLOOKUP(B271,'Base stats'!B:B,'Base stats'!C:C)&lt;=70,(_xlfn.XLOOKUP(B271,'Base stats'!B:B,'Base stats'!C:C)/70)^0.445823913056526,IF(_xlfn.XLOOKUP(B271,'Base stats'!B:B,'Base stats'!C:C)&lt;=400,(_xlfn.XLOOKUP(B271,'Base stats'!B:B,'Base stats'!C:C)/70)^0.572811455315093,IF(_xlfn.XLOOKUP(B271,'Base stats'!B:B,'Base stats'!C:C)&lt;=2000,2.71391647193063*(_xlfn.XLOOKUP(B271,'Base stats'!B:B,'Base stats'!C:C)/400)^0.252459582904293,3.74314280240376*(_xlfn.XLOOKUP(B271,'Base stats'!B:B,'Base stats'!C:C)/2000)^0.357012633876913)))))),
IF(_xlfn.XLOOKUP(B271,'Base stats'!B:B,'Base stats'!C:C)&lt;0.1,0.05,IF(_xlfn.XLOOKUP(B271,'Base stats'!B:B,'Base stats'!C:C)&lt;=100,0.05,IF(_xlfn.XLOOKUP(B271,'Base stats'!B:B,'Base stats'!C:C)&lt;=250,0.1,IF(_xlfn.XLOOKUP(B271,'Base stats'!B:B,'Base stats'!C:C)&lt;=4000,0.25,0.5)))))</f>
        <v>0.1</v>
      </c>
      <c r="AP271" s="8">
        <f>MROUND(AO271*_xlfn.XLOOKUP(_xlfn.XLOOKUP(B271,'Base stats'!B:B,'Base stats'!E:E),Groups!A:A,Groups!AI:AI)*_xlfn.XLOOKUP(B271,'Base stats'!B:B,'Base stats'!Z:Z),0.05)</f>
        <v>0.1</v>
      </c>
      <c r="AQ271" s="8">
        <f>MAX(0.01,MROUND(IF(CC271="True",0.196*(AO271*100*1000)^0.889,IF(_xlfn.XLOOKUP(_xlfn.XLOOKUP(B271,'Base stats'!B:B,'Base stats'!E:E),Groups!A:A,Groups!AJ:AJ)="Bird",10.5*(AO271*100*1000)^0.681,4.82*(AO271*100*1000)^0.734))/(4.82*(1*100*1000)^0.734)/IF(AO271&lt;3.5,2,IF(AO271=3.5,1.5,1.25))*(1+0.132282374779864/(AO271^0.994035016789033+0.00905238001496948)),0.05))</f>
        <v>0.2</v>
      </c>
      <c r="AR271" s="9">
        <f>IFERROR(MROUND(_xlfn.XLOOKUP(B271,'Base stats'!B:B,'Base stats'!H:H)/IF(_xlfn.XLOOKUP(B271,'Base stats'!B:B,'Base stats'!I:I)&lt;&gt;1,(122.5/70),1.2),IF(_xlfn.XLOOKUP(B271,'Base stats'!B:B,'Base stats'!H:H)&gt;=30,5,IF(_xlfn.XLOOKUP(B271,'Base stats'!B:B,'Base stats'!H:H)&gt;=15,3,IF(_xlfn.XLOOKUP(B271,'Base stats'!B:B,'Base stats'!H:H)&gt;=10,2,1)))),"Immortal")</f>
        <v>2</v>
      </c>
      <c r="AS271" s="35">
        <f>IFERROR(IF(OR(_xlfn.XLOOKUP(B271,'Base stats'!B:B,'Base stats'!F:F)="Atypical reproduction",_xlfn.XLOOKUP(B271,'Base stats'!B:B,'Base stats'!F:F)="Lay eggs"),"Lay eggs",MIN(20,MAX(5.5,ROUND(((_xlfn.XLOOKUP(B271,'Base stats'!B:B,'Base stats'!F:F)-25)*(14.5/615) + 5.5)*2,0)/2))),"Unknown")</f>
        <v>5.5</v>
      </c>
      <c r="AT271" s="8" t="str">
        <f>IF(_xlfn.XLOOKUP(B271,'Base stats'!B:B,'Base stats'!G:G)="Atypical reproduction","No",IFERROR(MAX(IF(_xlfn.XLOOKUP(B271,'Base stats'!B:B,'Base stats'!G:G)&lt;0.5,0.2,0.3),MROUND(_xlfn.XLOOKUP(B271,'Base stats'!B:B,'Base stats'!G:G)/(365/60),0.2)),"Unknown"))</f>
        <v>No</v>
      </c>
      <c r="AU271" s="8" t="str">
        <f t="shared" si="29"/>
        <v>No</v>
      </c>
      <c r="AV271" s="8">
        <f>IFERROR(IFERROR(MROUND(_xlfn.XLOOKUP(B271,'Base stats'!B:B,'Base stats'!J:J),0.1),"Lay eggs"),"Cannot breed")</f>
        <v>7</v>
      </c>
      <c r="AW271" s="2" t="str">
        <f t="shared" si="30"/>
        <v>false</v>
      </c>
      <c r="AX271" s="2" t="str">
        <f>IF(_xlfn.XLOOKUP(_xlfn.XLOOKUP(Animals!B271,'Base stats'!B:B,'Base stats'!E:E),Groups!A:A,Groups!AK:AK)=1,"true","false")</f>
        <v>false</v>
      </c>
      <c r="AY271" s="25" t="str">
        <f>IF(_xlfn.XLOOKUP(B271,'Base stats'!B:B,'Base stats'!Y:Y)="Liquor","Liquor, CarnivoreAnimalStrict",IF(AND(_xlfn.XLOOKUP(B271,'Base stats'!B:B,'Base stats'!Y:Y)="Carnivore",_xlfn.XLOOKUP(_xlfn.XLOOKUP(B271,'Base stats'!B:B,'Base stats'!E:E),Groups!A:A,Groups!AJ:AJ)="Photonozoa"),"CarnivoreAnimalStrict, OvivoreAnimal",IF(_xlfn.XLOOKUP(B271,'Base stats'!B:B,'Base stats'!Y:Y)="Carnivore","CarnivoreAnimal, OvivoreAnimal",IF(_xlfn.XLOOKUP(B271,'Base stats'!B:B,'Base stats'!Y:Y)="Dendrovore","VegetarianRoughAnimal, DendrovoreAnimal",IF(_xlfn.XLOOKUP(B271,'Base stats'!B:B,'Base stats'!Y:Y)="Herbivore","VegetarianRoughAnimal",IF(_xlfn.XLOOKUP(B271,'Base stats'!B:B,'Base stats'!Y:Y)="OmnivoreRough","OmnivoreRoughAnimal, OvivoreAnimal","OmnivoreAnimal, OvivoreAnimal"))))))</f>
        <v>VegetarianRoughAnimal</v>
      </c>
      <c r="AZ271" s="2" t="str">
        <f>IF(_xlfn.XLOOKUP(_xlfn.XLOOKUP(B271,'Base stats'!B:B,'Base stats'!E:E),Groups!A:A,Groups!D:D)=1,MROUND((1-J271)*5+1,2)*IF(J271&lt;=0.4,2,1),"No")</f>
        <v>No</v>
      </c>
      <c r="BA271" s="2" t="str">
        <f>IF(AND(_xlfn.XLOOKUP(B271,'Base stats'!B:B,'Base stats'!AH:AH)="&lt;li&gt;Seal&lt;/li&gt;",G271="Odyssey"),"&lt;li&gt;AEXP_Seal&lt;/li&gt;",_xlfn.XLOOKUP(B271,'Base stats'!B:B,'Base stats'!AH:AH))</f>
        <v>&lt;li&gt;Rat&lt;/li&gt;</v>
      </c>
      <c r="BB271" s="2" t="str">
        <f>_xlfn.XLOOKUP(B271,'Base stats'!B:B,'Base stats'!AG:AG)</f>
        <v>Leather_Light</v>
      </c>
      <c r="BC271" s="23" t="str">
        <f>_xlfn.XLOOKUP(_xlfn.XLOOKUP(B271,'Base stats'!B:B,'Base stats'!E:E),Groups!A:A,Groups!AL:AL)</f>
        <v>QuadrupedAnimalWithPawsAndTail</v>
      </c>
      <c r="BD271" s="23">
        <f>MIN(1,MROUND(IF(AND(AO271&lt;0.5,_xlfn.XLOOKUP(B271,'Base stats'!B:B,'Base stats'!AA:AA)=0),0,IF(OR(_xlfn.XLOOKUP(Animals!B271,'Base stats'!B:B,'Base stats'!O:O)=2,_xlfn.XLOOKUP(_xlfn.XLOOKUP(B271,'Base stats'!B:B,'Base stats'!E:E),Groups!A:A,Groups!AN:AN)=0),0,_xlfn.XLOOKUP(_xlfn.XLOOKUP(B271,'Base stats'!B:B,'Base stats'!E:E),Groups!A:A,Groups!AN:AN)/IF(_xlfn.XLOOKUP(Animals!B271,'Base stats'!B:B,'Base stats'!O:O)=1,2,1)))+_xlfn.XLOOKUP(B271,'Base stats'!B:B,'Base stats'!AC:AC),0.005))</f>
        <v>0</v>
      </c>
      <c r="BE271" s="23">
        <f>MIN(1,MROUND(IF(AND(AO271&lt;0.5,_xlfn.XLOOKUP(B271,'Base stats'!B:B,'Base stats'!AA:AA)=0),0,IF(_xlfn.XLOOKUP(_xlfn.XLOOKUP(B271,'Base stats'!B:B,'Base stats'!E:E),Groups!A:A,Groups!AO:AO)=0,0,_xlfn.XLOOKUP(_xlfn.XLOOKUP(B271,'Base stats'!B:B,'Base stats'!E:E),Groups!A:A,Groups!AO:AO)/IF(_xlfn.XLOOKUP(Animals!B271,'Base stats'!B:B,'Base stats'!O:O)=2,3,1)))+_xlfn.XLOOKUP(B271,'Base stats'!B:B,'Base stats'!AD:AD),0.005))</f>
        <v>0</v>
      </c>
      <c r="BF271" s="2" t="str">
        <f>IF(J271&gt;0.3,"No",_xlfn.XLOOKUP(_xlfn.XLOOKUP(Animals!B271,'Base stats'!B:B,'Base stats'!E:E),Groups!A:A,Groups!AP:AP))</f>
        <v>No</v>
      </c>
      <c r="BG271" s="2">
        <f>IF(AND(J271&lt;=0.65,_xlfn.XLOOKUP(_xlfn.XLOOKUP(Animals!B271,'Base stats'!B:B,'Base stats'!E:E),Groups!A:A,Groups!AP:AP)&lt;&gt;"No",_xlfn.XLOOKUP(_xlfn.XLOOKUP(B271,'Base stats'!B:B,'Base stats'!E:E),Groups!A:A,Groups!D:D)=0),MROUND((80/3)*IF(_xlfn.XLOOKUP(B271,'Base stats'!B:B,'Base stats'!O:O)=2,0.2,AO271) + 24*(1-IF(BF271="No",0,BF271)) + 16/3, 12),"No")</f>
        <v>36</v>
      </c>
      <c r="BH271" s="2">
        <f>IF(AND(_xlfn.XLOOKUP(_xlfn.XLOOKUP(B271,'Base stats'!B:B,'Base stats'!E:E),Groups!A:A,Groups!AQ:AQ)=1,AO271&lt;=0.35),8,12)</f>
        <v>8</v>
      </c>
      <c r="BI271" s="2" t="str">
        <f>IF(_xlfn.XLOOKUP(_xlfn.XLOOKUP(B271,'Base stats'!B:B,'Base stats'!E:E),Groups!A:A,Groups!D:D)=0,_xlfn.XLOOKUP(_xlfn.XLOOKUP(B271,'Base stats'!B:B,'Base stats'!E:E),Groups!A:A,Groups!AR:AR),"None")</f>
        <v>None</v>
      </c>
      <c r="BJ271" s="2" t="str">
        <f>IF(AND(_xlfn.XLOOKUP(_xlfn.XLOOKUP(B271,'Base stats'!B:B,'Base stats'!E:E),Groups!A:A,Groups!AS:AS)=1,OR(_xlfn.XLOOKUP(B271,'Base stats'!B:B,'Base stats'!Y:Y)="Carnivore",_xlfn.XLOOKUP(B271,'Base stats'!B:B,'Base stats'!Y:Y)="Omnivore")),"true","false")</f>
        <v>false</v>
      </c>
      <c r="BK271" s="2" t="str">
        <f>IF(BJ271="true",MROUND(IF(AND(AO271&gt;0.5,OR(_xlfn.XLOOKUP(_xlfn.XLOOKUP(B271,'Base stats'!B:B,'Base stats'!E:E),Groups!A:A,Groups!AJ:AJ)="Photonozoa",_xlfn.XLOOKUP(_xlfn.XLOOKUP(B271,'Base stats'!B:B,'Base stats'!E:E),Groups!A:A,Groups!AJ:AJ)="Mammal")),Animals!AO271*1.75*IF(AW271="true",1.5,1),IF(AO271&lt;0.5,Animals!AO271*0.5,Animals!AO271)),IF(AO271&gt;2,0.5,IF(AO271&gt;0.5,0.25,0.1))),"No")</f>
        <v>No</v>
      </c>
      <c r="BL271" s="2">
        <f t="shared" si="31"/>
        <v>0</v>
      </c>
      <c r="BM271" s="25" t="str">
        <f>IF(_xlfn.XLOOKUP(B271,'Base stats'!B:B,'Base stats'!AN:AN)="Standard","No",MROUND((_xlfn.XLOOKUP(B271,'Base stats'!B:B,'Base stats'!AN:AN)/3.6)/I271,0.1))</f>
        <v>No</v>
      </c>
      <c r="BN271" s="25" t="str">
        <f t="shared" si="32"/>
        <v>false</v>
      </c>
      <c r="BO271" s="25" t="str">
        <f>IF(AND(OR(_xlfn.XLOOKUP(B271,'Base stats'!B:B,'Base stats'!Y:Y)="Carnivore",_xlfn.XLOOKUP(B271,'Base stats'!B:B,'Base stats'!Y:Y)="Omnivore",_xlfn.XLOOKUP(B271,'Base stats'!B:B,'Base stats'!Y:Y)="OmnivoreRough"),_xlfn.XLOOKUP(_xlfn.XLOOKUP(B271,'Base stats'!B:B,'Base stats'!E:E),Groups!A:A,Groups!AT:AT)=1),"true","false")</f>
        <v>false</v>
      </c>
      <c r="BP271" s="25" t="str" cm="1">
        <f t="array" ref="BP271">IF(
  _xlfn.TEXTJOIN(", ",TRUE,
    IF(AND(BJ271="true",AO271&gt;0.5,BI271&lt;&gt;"None"),"AttackTarget",""),
    IF(AND(_xlfn.XLOOKUP(_xlfn.XLOOKUP(B271,'Base stats'!B:B,'Base stats'!E:E),Groups!A:A,Groups!AJ:AJ="Mammal"),OR(_xlfn.XLOOKUP(B271,'Base stats'!B:B,'Base stats'!Y:Y)="Omnivore",_xlfn.XLOOKUP(B271,'Base stats'!B:B,'Base stats'!Y:Y)="OmnivoreRough")),"Forage",""),
    IF(BG271&lt;=36,"Comfort",""),
    IF(_xlfn.XLOOKUP(B271,'Base stats'!B:B,'Base stats'!AE:AE)&lt;&gt;"No",_xlfn.XLOOKUP(B271,'Base stats'!B:B,'Base stats'!AE:AE),"")
  ) = "",
  "No",
  _xlfn.TEXTJOIN(", ",TRUE,
    IF(AND(BJ271="true",AO271&gt;0.5,BI271&lt;&gt;"None"),"AttackTarget",""),
    IF(AND(_xlfn.XLOOKUP(_xlfn.XLOOKUP(B271,'Base stats'!B:B,'Base stats'!E:E),Groups!A:A,Groups!AJ:AJ="Mammal"),OR(_xlfn.XLOOKUP(B271,'Base stats'!B:B,'Base stats'!Y:Y)="Omnivore",_xlfn.XLOOKUP(B271,'Base stats'!B:B,'Base stats'!Y:Y)="OmnivoreRough")),"Forage",""),
    IF(BG271&lt;=36,"Comfort",""),
    IF(_xlfn.XLOOKUP(B271,'Base stats'!B:B,'Base stats'!AE:AE)&lt;&gt;"No",_xlfn.XLOOKUP(B271,'Base stats'!B:B,'Base stats'!AE:AE),"")
  )
)</f>
        <v>Comfort</v>
      </c>
      <c r="BQ271" s="25" t="str">
        <f>IF(
   AND(
      'Base stats'!AN271="Standard",_xlfn.XLOOKUP(_xlfn.XLOOKUP(B271,'Base stats'!B:B,'Base stats'!E:E),Groups!A:A,Groups!AU:AU)=0,
      OR(
      BO271="True"
      )
   ),
   10,
   IF(
       OR(BM271&lt;&gt;"No",_xlfn.XLOOKUP(_xlfn.XLOOKUP(B271,'Base stats'!B:B,'Base stats'!E:E),Groups!A:A,Groups!AU:AU)=1),
      1,
      "No"
   )
)</f>
        <v>No</v>
      </c>
      <c r="BR271" s="9">
        <f>MROUND((1 + ((0.2*IF(OR(Q271="No",R271="No",R271=0),0,Q271/R271)
+IF(OR(V271="No",S271="No",T271="No"),0,S271/T271*(LEN(V271)-LEN(SUBSTITUTE(V271,",",""))+1))
+IF(OR(X271="No",Y271="No"),0,X271/Y271)
+IF(OR(AD271="No",AE271="No"),0,AD271/AE271)
+IF(OR(AL271="No",AI271="No",AJ271="No"),0,AI271/AJ271*(LEN(AL271)-LEN(SUBSTITUTE(AL271,",",""))+1))
)/(0.2*IF(OR(Q271="No",R271="No",R271=0),0,1)
+IF(OR(V271="No",S271="No",T271="No"),0,LEN(V271)-LEN(SUBSTITUTE(V271,",",""))+1)
+IF(OR(X271="No",Y271="No"),0,1)
+IF(OR(AD271="No",AE271="No"),0,1)
+IF(OR(AL271="No",AI271="No",AJ271="No"),0,LEN(AL271)-LEN(SUBSTITUTE(AL271,",",""))+1))*62%)* 2)*(1 + (AP271 / (IF(_xlfn.XLOOKUP(_xlfn.XLOOKUP(B271,'Base stats'!B:B,'Base stats'!E:E),Groups!A:A,Groups!AJ:AJ)="Photonozoa",0.3,1)) + _xlfn.XLOOKUP(B271,'Base stats'!B:B,'Base stats'!AV:AV) * 1.8) * 2) * 2.5 + 10 + I271 * 2,5)+IF(_xlfn.XLOOKUP(B271,'Base stats'!B:B,'Base stats'!AK:AK)=1,50,0)</f>
        <v>20</v>
      </c>
      <c r="BS271" s="8">
        <f t="shared" si="33"/>
        <v>0.2</v>
      </c>
      <c r="BT271" s="8" t="str">
        <f>_xlfn.XLOOKUP(B271,'Base stats'!B:B,'Base stats'!AF:AF)</f>
        <v>No</v>
      </c>
      <c r="BU271" s="2" t="str">
        <f>IF(AND(J271&lt;=0.95,OR(_xlfn.XLOOKUP(B271,'Base stats'!B:B,'Base stats'!AK:AK)=1,_xlfn.XLOOKUP(B271,'Base stats'!B:B,'Base stats'!Y:Y)="Carnivore",_xlfn.XLOOKUP(B271,'Base stats'!B:B,'Base stats'!Y:Y)="Omnivore",BE271&gt;0.1)),"true","false")</f>
        <v>false</v>
      </c>
      <c r="BV271" s="2" t="str">
        <f>IF(_xlfn.XLOOKUP(B271,'Base stats'!B:B,'Base stats'!AI:AI)=1,"true","false")</f>
        <v>false</v>
      </c>
      <c r="BW271" s="25" t="str">
        <f>IF(E271="BaseInsect","AnimalInsect",
IF(J271&gt;0.95,"AnimalExotic",
_xlfn.TEXTJOIN(", ",TRUE,
IF(OR(_xlfn.XLOOKUP(B271,'Base stats'!B:B,'Base stats'!AM:AM)=1,AND(_xlfn.XLOOKUP(B271,'Base stats'!B:B,'Base stats'!O:O)=0,_xlfn.XLOOKUP(_xlfn.XLOOKUP(B271,'Base stats'!B:B,'Base stats'!E:E),Groups!A:A,Groups!B:B)&gt;0)),"AnimalUncommon","AnimalCommon"),
IF(AND(_xlfn.XLOOKUP(B271,'Base stats'!B:B,'Base stats'!O:O)=2,_xlfn.XLOOKUP(_xlfn.XLOOKUP(B271,'Base stats'!B:B,'Base stats'!E:E),Groups!A:A,Groups!D:D)=0),"AnimalPet",IF(AND(_xlfn.XLOOKUP(B271,'Base stats'!B:B,'Base stats'!O:O)&lt;&gt;0,_xlfn.XLOOKUP(_xlfn.XLOOKUP(B271,'Base stats'!B:B,'Base stats'!E:E),Groups!A:A,Groups!D:D)&lt;&gt;0),"AnimalFarm","")),
IF(OR(_xlfn.XLOOKUP(B271,'Base stats'!B:B,'Base stats'!AK:AK)=1,AND(BI271&lt;&gt;"None",BR271&gt;=60),ISNUMBER(SEARCH("Attack target",BP271))),"AnimalFighter","")
)))</f>
        <v>AnimalUncommon</v>
      </c>
      <c r="BX271" s="25" t="str">
        <f>IF(G271="None",TRIM(
SUBSTITUTE(
IF(COUNTIF(Biomes!B$2:B$259,"="&amp;$C271)&gt;0,Biomes!B$1&amp;", ","")&amp;
IF(COUNTIF(Biomes!C$2:C$259,"="&amp;$C271)&gt;0,Biomes!C$1&amp;", ","")&amp;
IF(COUNTIF(Biomes!D$2:D$259,"="&amp;$C271)&gt;0,Biomes!D$1&amp;", ","")&amp;
IF(COUNTIF(Biomes!F$2:F$259,"="&amp;$C271)&gt;0,Biomes!F$1&amp;", ","")&amp;
IF(COUNTIF(Biomes!G$2:G$259,"="&amp;$C271)&gt;0,Biomes!G$1&amp;", ","")&amp;
IF(COUNTIF(Biomes!H$2:H$259,"="&amp;$C271)&gt;0,Biomes!H$1&amp;", ","")&amp;
IF(COUNTIF(Biomes!I$2:I$259,"="&amp;$C271)&gt;0,Biomes!I$1&amp;", ","")&amp;
IF(COUNTIF(Biomes!J$2:J$259,"="&amp;$C271)&gt;0,Biomes!J$1&amp;", ","")&amp;
IF(COUNTIF(Biomes!M$2:M$259,"="&amp;$C271)&gt;0,Biomes!M$1&amp;", ","")&amp;
IF(COUNTIF(Biomes!N$2:N$259,"="&amp;$C271)&gt;0,Biomes!N$1&amp;", ","")&amp;
IF(COUNTIF(Biomes!O$2:O$259,"="&amp;$C271)&gt;0,Biomes!O$1&amp;", ","")&amp;
IF(COUNTIF(Biomes!P$2:P$259,"="&amp;$C271)&gt;0,Biomes!P$1&amp;", ","")&amp;
IF(COUNTIF(Biomes!K$2:K$259,"="&amp;$C271)&gt;0,Biomes!K$1&amp;", ","")&amp;
IF(COUNTIF(Biomes!Q$3:Q$259,"="&amp;$C271)&gt;0,Biomes!Q$1&amp;", ","")&amp;
IF(COUNTIF(Biomes!L$2:L$259,"="&amp;$C271)&gt;0,Biomes!L$1&amp;", ","")&amp;
IF(COUNTIF(Biomes!E$2:E$259,"="&amp;$C271)&gt;0,Biomes!E$1&amp;", ","")&amp;IF(COUNTIF(Biomes!S$2:S$259,"="&amp;$C271)&gt;0,Biomes!S$1&amp;", ","")&amp;
IF(COUNTIF(Biomes!R$2:R$259,"="&amp;$C271)&gt;0,Biomes!R$1&amp;", ",""),", ","")
),_xlfn.XLOOKUP(B271,B:B,BX:BX))</f>
        <v/>
      </c>
      <c r="BY271" s="25" t="str">
        <f>IF(_xlfn.XLOOKUP(B271,'Base stats'!B:B,'Base stats'!AJ:AJ)=1,"true","false")</f>
        <v>false</v>
      </c>
      <c r="BZ271" s="25">
        <f>IF(_xlfn.XLOOKUP(B271,'Base stats'!B:B,'Base stats'!N:N)=1,"No",MAX(0.001,MIN(MROUND(IF(AND(BJ271="True",CC271="False"),POWER(10,3.47*LOG10(_xlfn.XLOOKUP(B271,'Base stats'!B:B,'Base stats'!C:C)*1000)^-0.96),POWER(10,4.15*LOG10(_xlfn.XLOOKUP(B271,'Base stats'!B:B,'Base stats'!C:C)*1000)^-0.73))*IF(_xlfn.XLOOKUP(B271,'Base stats'!B:B,'Base stats'!AK:AK)=1,0.5,1)*IF(_xlfn.XLOOKUP(B271,'Base stats'!B:B,'Base stats'!AM:AM)=1,0.1,1)/100,IF(_xlfn.XLOOKUP(B271,'Base stats'!B:B,'Base stats'!AM:AM)=1,0.001,0.025)),0.5)))</f>
        <v>0.13800000000000001</v>
      </c>
      <c r="CA271" s="25" t="str">
        <f>IF(P271="Standard","No",MAX(0.001,MIN(MROUND(IF(AND(BJ271="True",CC271="False"),POWER(10,3.47*LOG10(_xlfn.XLOOKUP(B271,'Base stats'!B:B,'Base stats'!C:C)*1000)^-0.96),POWER(10,4.15*LOG10(_xlfn.XLOOKUP(B271,'Base stats'!B:B,'Base stats'!C:C)*1000)^-0.73))*IF(_xlfn.XLOOKUP(B271,'Base stats'!B:B,'Base stats'!AM:AM)=1,0.1,1)*_xlfn.XLOOKUP(B271,'Base stats'!B:B,'Base stats'!R:R)/100,IF(_xlfn.XLOOKUP(B271,'Base stats'!B:B,'Base stats'!AM:AM)=1,0.001,0.025)),0.5)))</f>
        <v>No</v>
      </c>
      <c r="CB271" s="25" t="str">
        <f>IF(_xlfn.XLOOKUP(_xlfn.XLOOKUP(B271,'Base stats'!B:B,'Base stats'!E:E),Groups!A:A,Groups!AJ:AJ)="Mammal","True","False")</f>
        <v>True</v>
      </c>
      <c r="CC271" s="25" t="str">
        <f>IF(OR(_xlfn.XLOOKUP(_xlfn.XLOOKUP(B271,'Base stats'!B:B,'Base stats'!E:E),Groups!A:A,Groups!AJ:AJ)="Reptile",_xlfn.XLOOKUP(_xlfn.XLOOKUP(B271,'Base stats'!B:B,'Base stats'!E:E),Groups!A:A,Groups!AJ:AJ)="Amphibian",_xlfn.XLOOKUP(_xlfn.XLOOKUP(B271,'Base stats'!B:B,'Base stats'!E:E),Groups!A:A,Groups!AJ:AJ)="Invertebrate"),"True","False")</f>
        <v>False</v>
      </c>
      <c r="CD271" s="25" t="str">
        <f t="shared" si="34"/>
        <v>False</v>
      </c>
      <c r="CE271" s="25" t="str">
        <f>IF(_xlfn.XLOOKUP(_xlfn.XLOOKUP(B271,'Base stats'!B:B,'Base stats'!E:E),Groups!A:A,Groups!AX:AX),"True","False")</f>
        <v>False</v>
      </c>
      <c r="CF271" s="25" t="str">
        <f>IF(_xlfn.XLOOKUP(_xlfn.XLOOKUP(B271,'Base stats'!B:B,'Base stats'!E:E),Groups!A:A,Groups!AY:AY),"True","False")</f>
        <v>False</v>
      </c>
      <c r="CG271" s="25" t="str">
        <f>IF(_xlfn.XLOOKUP(_xlfn.XLOOKUP(B271,'Base stats'!B:B,'Base stats'!E:E),Groups!A:A,Groups!AW:AW),"True","False")</f>
        <v>False</v>
      </c>
      <c r="CH271" s="25" t="str">
        <f>IF(
OR(
_xlfn.XLOOKUP(_xlfn.XLOOKUP(B271,'Base stats'!B:B,'Base stats'!E:E),Groups!A:A,Groups!AZ:AZ)=0,
AND(
_xlfn.XLOOKUP(B271,'Base stats'!B:B,'Base stats'!Y:Y)&lt;&gt;"Carnivore",
_xlfn.XLOOKUP(B271,'Base stats'!B:B,'Base stats'!Y:Y)&lt;&gt;"Omnivore",
_xlfn.XLOOKUP(B271,'Base stats'!B:B,'Base stats'!Y:Y)&lt;&gt;"OmnivoreRough"
)
),
"No",
IF(
_xlfn.XLOOKUP(_xlfn.XLOOKUP(B271,'Base stats'!B:B,'Base stats'!E:E),Groups!A:A,Groups!AZ:AZ)=1,
"Flesh",
IF(
_xlfn.XLOOKUP(_xlfn.XLOOKUP(B271,'Base stats'!B:B,'Base stats'!E:E),Groups!A:A,Groups!AZ:AZ)=2,
"Bone",
""
)
)
)</f>
        <v>No</v>
      </c>
      <c r="CI271" s="25" t="str">
        <f>IF(_xlfn.XLOOKUP(_xlfn.XLOOKUP(B271,'Base stats'!B:B,'Base stats'!E:E),Groups!A:A,Groups!BB:BB),"True","False")</f>
        <v>True</v>
      </c>
      <c r="CJ271" s="25" t="str">
        <f>IF(_xlfn.XLOOKUP(_xlfn.XLOOKUP(B271,'Base stats'!B:B,'Base stats'!E:E),Groups!A:A,Groups!BA:BA),"True","False")</f>
        <v>False</v>
      </c>
    </row>
    <row r="272" spans="1:88" ht="16.5" thickTop="1" thickBot="1" x14ac:dyDescent="0.3">
      <c r="A272" s="26" t="s">
        <v>1450</v>
      </c>
      <c r="B272" s="6" t="str">
        <f>_xlfn.XLOOKUP(A272,'Base stats'!A:A,'Base stats'!B:B)</f>
        <v>Phoenicopterus phoenix</v>
      </c>
      <c r="C272" s="28" t="s">
        <v>1451</v>
      </c>
      <c r="D272" s="28" t="s">
        <v>1341</v>
      </c>
      <c r="E272" s="28" t="s">
        <v>673</v>
      </c>
      <c r="F272" s="28" t="s">
        <v>673</v>
      </c>
      <c r="G272" s="28" t="s">
        <v>673</v>
      </c>
      <c r="H272" s="2">
        <f>MROUND((
  (IF(AND(_xlfn.XLOOKUP(B272,'Base stats'!B:B,'Base stats'!AL:AL)=0,BI272="None",_xlfn.XLOOKUP(_xlfn.XLOOKUP(B272,'Base stats'!B:B,'Base stats'!E:E),Groups!A:A,Groups!B:B)=0), (18 + BR272 * 2.7) * 0.5,
    IF(AND(_xlfn.XLOOKUP(B272,'Base stats'!B:B,'Base stats'!AL:AL)=0,OR(AO272&lt;0.55,AND(BI272="Intermediate",_xlfn.XLOOKUP(_xlfn.XLOOKUP(B272,'Base stats'!B:B,'Base stats'!E:E),Groups!A:A,Groups!B:B)&lt;2))), (18 + BR272 * 2.7),
      IF(OR(BI272="Advanced",_xlfn.XLOOKUP(B272,'Base stats'!B:B,'Base stats'!AL:AL)=1,_xlfn.XLOOKUP(_xlfn.XLOOKUP(B272,'Base stats'!B:B,'Base stats'!E:E),Groups!A:A,Groups!B:B)=2), (18 + BR272 * 2.7) + 250, (18 + BR272 * 2.7))
    )
  ))
  + AO272 * 80
  + IF(COUNTIF(EggMilk!K$2:K$998, A272) &gt; 0, 125, 0)
  + IF(COUNTIF(EggMilk!P$2:P$998, A272) &gt; 0, 90, 0)
  + IF(COUNTIF(EggMilk!A$2:A$998, A272) &gt; 0, 90, 0)
)
* (0.8 + 0.4 * J272)
* 0.75,25)</f>
        <v>200</v>
      </c>
      <c r="I272" s="2">
        <f>MROUND(ROUNDDOWN(_xlfn.XLOOKUP(B272,'Base stats'!B:B,'Base stats'!L:L)/3.6/(23.3/11),1),0.5)</f>
        <v>1.5</v>
      </c>
      <c r="J272" s="2">
        <f>IF(OR(_xlfn.XLOOKUP(B272,'Base stats'!B:B,'Base stats'!AB:AB)=1,_xlfn.XLOOKUP(_xlfn.XLOOKUP(B272,'Base stats'!B:B,'Base stats'!E:E),Groups!A:A,Groups!C:C)="Untamable"),1,IF(_xlfn.XLOOKUP(B272,'Base stats'!B:B,'Base stats'!AL:AL)=1,0.99,MIN(MROUND((1-0.6282*EXP(-0.459*AO272))*_xlfn.XLOOKUP(_xlfn.XLOOKUP(B272,'Base stats'!B:B,'Base stats'!E:E),Groups!A:A,Groups!C:C)*IF(_xlfn.XLOOKUP(B272,'Base stats'!B:B,'Base stats'!O:O)=1,0.5,IF(_xlfn.XLOOKUP(B272,'Base stats'!B:B,'Base stats'!O:O)=2,0,1)),0.05),IF(AO272&gt;3.5,0.985,0.95))))</f>
        <v>0.55000000000000004</v>
      </c>
      <c r="K272" s="2">
        <f>ROUNDUP(AO272*_xlfn.XLOOKUP(_xlfn.XLOOKUP(B272,'Base stats'!B:B,'Base stats'!E:E),Groups!A:A,Groups!E:E),0)</f>
        <v>3</v>
      </c>
      <c r="L272" s="2">
        <f>IF(OR(_xlfn.XLOOKUP(_xlfn.XLOOKUP(B272,'Base stats'!B:B,'Base stats'!E:E),Groups!A:A,Groups!F:F)=2,ISNUMBER(SEARCH("SeaIce",BX272)),ISNUMBER(SEARCH("IceSheet",BX272))),-50,IF(OR(ISNUMBER(SEARCH("GlacialPlain",BX272)),ISNUMBER(SEARCH("Tundra",BX272))),-40,IF(OR(ISNUMBER(SEARCH("Alpine",BX272)),ISNUMBER(SEARCH("BorealForest",BX272)),ISNUMBER(SEARCH("ColdBog",BX272))),-30,IF(OR(ISNUMBER(SEARCH("TemperateForest",BX272)),ISNUMBER(SEARCH("TemperateSwamp",BX272))),-20,IF(_xlfn.XLOOKUP(_xlfn.XLOOKUP(B272,'Base stats'!B:B,'Base stats'!E:E),Groups!A:A,Groups!F:F)=1,-15,IF(OR(ISNUMBER(SEARCH("Desert",BX272)),ISNUMBER(SEARCH("ExtremeDesert",BX272))),-10,IF(OR(ISNUMBER(SEARCH("Grasslands",BX272)),ISNUMBER(SEARCH("TropicalRainforest",BX272)),ISNUMBER(SEARCH("TropicalSwamp",BX272))),10,0)))))))-IF(CC272="False",MIN(IFERROR(MAX(MROUND(LOG10(_xlfn.XLOOKUP(B272,'Base stats'!B:B,'Base stats'!C:C)^(2/3))*10,5),5),5),30))-_xlfn.XLOOKUP(B272,'Base stats'!B:B,'Base stats'!P:P)+IF(CC272="True",5,0)</f>
        <v>5</v>
      </c>
      <c r="M272" s="2">
        <f>IF(OR(_xlfn.XLOOKUP(_xlfn.XLOOKUP(B272,'Base stats'!B:B,'Base stats'!E:E),Groups!A:A,Groups!G:G)=2,ISNUMBER(SEARCH("Desert",BX272)),ISNUMBER(SEARCH("ExtremeDesert",BX272)),ISNUMBER(SEARCH("LavaField",BX272))),50,IF(ISNUMBER(SEARCH("Grasslands",BX272)),45,IF(OR(_xlfn.XLOOKUP(_xlfn.XLOOKUP(B272,'Base stats'!B:B,'Base stats'!E:E),Groups!A:A,Groups!G:G)=1,ISNUMBER(SEARCH("TropicalRainforest",BX272)),ISNUMBER(SEARCH("TropicalSwamp",BX272))),40,IF(OR(ISNUMBER(SEARCH("TemperateForest",BX272)),ISNUMBER(SEARCH("TemperateSwamp",BX272))),35,IF(OR(ISNUMBER(SEARCH("Alpine",BX272)),ISNUMBER(SEARCH("BorealForest",BX272)),ISNUMBER(SEARCH("ColdBog",BX272))),30,IF(ISNUMBER(OR(ISNUMBER(SEARCH("GlacialPlain",BX272)),SEARCH("Tundra",BX272))),25,IF(OR(ISNUMBER(SEARCH("SeaIce",BX272)),ISNUMBER(SEARCH("IceSheet",BX272)),ISNUMBER(SEARCH("TropicalSwamp",BX272))),10,35)))))))+_xlfn.XLOOKUP(B272,'Base stats'!B:B,'Base stats'!Q:Q)</f>
        <v>40</v>
      </c>
      <c r="N272" s="8" t="str">
        <f>IF(
_xlfn.XLOOKUP(
_xlfn.XLOOKUP(B272,'Base stats'!B:B,'Base stats'!E:E),
Groups!A:A,
Groups!L:L
)=1,
MIN(
MROUND(
IF(
_xlfn.XLOOKUP(B272,'Animals CE'!B:B,'Animals CE'!Z:Z)&lt;=1.5,
_xlfn.XLOOKUP(B272,'Animals CE'!B:B,'Animals CE'!Z:Z)/2+0.05,
0.8+
(_xlfn.XLOOKUP(B272,'Animals CE'!B:B,'Animals CE'!Z:Z)-1.5)
*0.02
),
0.05
),
200%
),
"No"
)</f>
        <v>No</v>
      </c>
      <c r="O272" s="8" t="str">
        <f>IF(
_xlfn.XLOOKUP(
_xlfn.XLOOKUP(B272,'Base stats'!B:B,'Base stats'!E:E),
Groups!A:A,
Groups!L:L
)=1,
MIN(
MROUND(
IF(
_xlfn.XLOOKUP(B272,'Animals CE'!B:B,'Animals CE'!AA:AA)&lt;=1.5,
_xlfn.XLOOKUP(B272,'Animals CE'!B:B,'Animals CE'!AA:AA)/2+0.05,
0.8+
(_xlfn.XLOOKUP(B272,'Animals CE'!B:B,'Animals CE'!AA:AA)-1.5)
*0.02
),
0.05
),
200%
),
"No"
)</f>
        <v>No</v>
      </c>
      <c r="P272" s="2" t="str">
        <f>_xlfn.XLOOKUP(B272,'Base stats'!B:B,'Base stats'!R:R)</f>
        <v>Standard</v>
      </c>
      <c r="Q272" s="13">
        <f>MROUND((LOG10(_xlfn.XLOOKUP(B272,'Base stats'!B:B,'Base stats'!AR:AR))*(AO272^0.5)+(_xlfn.XLOOKUP(B272,'Base stats'!B:B,'Base stats'!AR:AR)/1000)^(2/3)+_xlfn.XLOOKUP(B272,'Base stats'!B:B,'Base stats'!BA:BA)/2)+0.5,0.5)</f>
        <v>2.5</v>
      </c>
      <c r="R272" s="7">
        <f>IF(Q272="No","No",MAX(1,MROUND(_xlfn.XLOOKUP(B272,'Base stats'!B:B,'Base stats'!C:C)^0.165,0.05)))</f>
        <v>1.2000000000000002</v>
      </c>
      <c r="S272" s="13" t="str">
        <f>IF(_xlfn.XLOOKUP(_xlfn.XLOOKUP(B272,'Base stats'!B:B,'Base stats'!E:E),Groups!A:A,Groups!P:P)=0,"No",MROUND((LOG10(_xlfn.XLOOKUP(B272,'Base stats'!B:B,'Base stats'!AS:AS))*(AO272^0.5)+(_xlfn.XLOOKUP(B272,'Base stats'!B:B,'Base stats'!AS:AS)/1000)^(2/3)+_xlfn.XLOOKUP(B272,'Base stats'!B:B,'Base stats'!BA:BA))+_xlfn.XLOOKUP(B272,'Base stats'!B:B,'Base stats'!AY:AY)+0.5,0.5))</f>
        <v>No</v>
      </c>
      <c r="T272" s="7" t="str">
        <f>IF(S272="No","No",MAX(_xlfn.XLOOKUP(_xlfn.XLOOKUP(B272,'Base stats'!B:B,'Base stats'!E:E),Groups!A:A,Groups!Q:Q),MROUND(_xlfn.XLOOKUP(_xlfn.XLOOKUP(B272,'Base stats'!B:B,'Base stats'!E:E),Groups!A:A,Groups!Q:Q)*_xlfn.XLOOKUP(B272,'Base stats'!B:B,'Base stats'!C:C)^0.165,0.05)))</f>
        <v>No</v>
      </c>
      <c r="U272" s="7" t="str">
        <f>IF(S272="No","No",_xlfn.XLOOKUP(_xlfn.XLOOKUP(B272,'Base stats'!B:B,'Base stats'!E:E),Groups!A:A,Groups!R:R))</f>
        <v>No</v>
      </c>
      <c r="V272" s="7" t="str">
        <f>IF(S272="No","No",_xlfn.XLOOKUP(_xlfn.XLOOKUP(B272,'Base stats'!B:B,'Base stats'!E:E),Groups!A:A,Groups!S:S))</f>
        <v>No</v>
      </c>
      <c r="W272" s="7" t="str">
        <f>IF(S272="No","No",_xlfn.XLOOKUP(_xlfn.XLOOKUP(B272,'Base stats'!B:B,'Base stats'!E:E),Groups!A:A,Groups!T:T))</f>
        <v>No</v>
      </c>
      <c r="X272" s="13" t="str">
        <f>IF(_xlfn.XLOOKUP(B272,'Base stats'!B:B,'Base stats'!W:W)="No","No",MROUND((LOG10(_xlfn.XLOOKUP(B272,'Base stats'!B:B,'Base stats'!AU:AU))*(AO272^0.5)+(_xlfn.XLOOKUP(B272,'Base stats'!B:B,'Base stats'!AU:AU)/1000)^(2/3)+_xlfn.XLOOKUP(B272,'Base stats'!B:B,'Base stats'!AZ:AZ))+0.5+IF(_xlfn.XLOOKUP(_xlfn.XLOOKUP(B272,'Base stats'!B:B,'Base stats'!E:E),Groups!A:A,Groups!U:U)&lt;&gt;3,_xlfn.XLOOKUP(B272,'Base stats'!B:B,'Base stats'!BA:BA),0),0.5))</f>
        <v>No</v>
      </c>
      <c r="Y272" s="7" t="str">
        <f>IF(X272="No","No",MAX(_xlfn.XLOOKUP(_xlfn.XLOOKUP(B272,'Base stats'!B:B,'Base stats'!E:E),Groups!A:A,Groups!V:V),MROUND(_xlfn.XLOOKUP(_xlfn.XLOOKUP(B272,'Base stats'!B:B,'Base stats'!E:E),Groups!A:A,Groups!V:V)*_xlfn.XLOOKUP(B272,'Base stats'!B:B,'Base stats'!C:C)^0.165,0.05)))</f>
        <v>No</v>
      </c>
      <c r="Z272" s="7" t="str">
        <f>IF(X272="No","No",_xlfn.XLOOKUP(_xlfn.XLOOKUP(B272,'Base stats'!B:B,'Base stats'!E:E),Groups!A:A,Groups!W:W))</f>
        <v>No</v>
      </c>
      <c r="AA272" s="7" t="str">
        <f>IF(X272="No","No",_xlfn.XLOOKUP(_xlfn.XLOOKUP(B272,'Base stats'!B:B,'Base stats'!E:E),Groups!A:A,Groups!X:X))</f>
        <v>No</v>
      </c>
      <c r="AB272" s="7" t="str">
        <f>IF(X272="No","No",_xlfn.XLOOKUP(_xlfn.XLOOKUP(B272,'Base stats'!B:B,'Base stats'!E:E),Groups!A:A,Groups!Y:Y))</f>
        <v>No</v>
      </c>
      <c r="AC272" s="7" t="str">
        <f>_xlfn.XLOOKUP(Animals!B272,'Base stats'!B:B,'Base stats'!X:X)</f>
        <v>False</v>
      </c>
      <c r="AD272" s="13">
        <f>IF(_xlfn.XLOOKUP(B272,'Base stats'!B:B,'Base stats'!AT:AT)="No","No",MROUND((LOG10(_xlfn.XLOOKUP(B272,'Base stats'!B:B,'Base stats'!AT:AT))*(AO272^0.75)+(_xlfn.XLOOKUP(B272,'Base stats'!B:B,'Base stats'!AT:AT)/1000)^(2/3)+_xlfn.XLOOKUP(B272,'Base stats'!B:B,'Base stats'!AX:AX)+_xlfn.XLOOKUP(B272,'Base stats'!B:B,'Base stats'!BA:BA))+0.5,0.5))</f>
        <v>2.5</v>
      </c>
      <c r="AE272" s="7">
        <f>IF(AD272="No","No",MAX(_xlfn.XLOOKUP(_xlfn.XLOOKUP(B272,'Base stats'!B:B,'Base stats'!E:E),Groups!A:A,Groups!Z:Z),MROUND(_xlfn.XLOOKUP(_xlfn.XLOOKUP(B272,'Base stats'!B:B,'Base stats'!E:E),Groups!A:A,Groups!Z:Z)*_xlfn.XLOOKUP(B272,'Base stats'!B:B,'Base stats'!C:C)^0.165,0.05)))</f>
        <v>0.95000000000000007</v>
      </c>
      <c r="AF272" s="7" t="str">
        <f>IF(AD272="No","No",_xlfn.XLOOKUP(_xlfn.XLOOKUP(B272,'Base stats'!B:B,'Base stats'!E:E),Groups!A:A,Groups!AA:AA))</f>
        <v>Beak</v>
      </c>
      <c r="AG272" s="7" t="str">
        <f>IF(AD272="No","No",_xlfn.XLOOKUP(_xlfn.XLOOKUP(B272,'Base stats'!B:B,'Base stats'!E:E),Groups!A:A,Groups!AB:AB))</f>
        <v>beak</v>
      </c>
      <c r="AH272" s="7" t="str">
        <f>IF(AD272="No","No",_xlfn.XLOOKUP(_xlfn.XLOOKUP(B272,'Base stats'!B:B,'Base stats'!E:E),Groups!A:A,Groups!AC:AC))</f>
        <v>Blunt</v>
      </c>
      <c r="AI272" s="13" t="str">
        <f>IF(_xlfn.XLOOKUP(_xlfn.XLOOKUP(B272,'Base stats'!B:B,'Base stats'!E:E),Groups!A:A,Groups!AD:AD)=0,"No",MROUND((LOG10(_xlfn.XLOOKUP(B272,'Base stats'!B:B,'Base stats'!AS:AS))*(AO272^0.75)+(_xlfn.XLOOKUP(B272,'Base stats'!B:B,'Base stats'!AS:AS)/1000)^(2/3)+_xlfn.XLOOKUP(B272,'Base stats'!B:B,'Base stats'!AY:AY)+_xlfn.XLOOKUP(B272,'Base stats'!B:B,'Base stats'!BA:BA))+0.5,0.5))</f>
        <v>No</v>
      </c>
      <c r="AJ272" s="7" t="str">
        <f>IF(AI272="No","No",MAX(_xlfn.XLOOKUP(_xlfn.XLOOKUP(B272,'Base stats'!B:B,'Base stats'!E:E),Groups!A:A,Groups!AE:AE),MROUND(_xlfn.XLOOKUP(_xlfn.XLOOKUP(B272,'Base stats'!B:B,'Base stats'!E:E),Groups!A:A,Groups!AE:AE)*IF(_xlfn.XLOOKUP(_xlfn.XLOOKUP(B272,'Base stats'!B:B,'Base stats'!E:E),Groups!A:A,Groups!AJ:AJ)="Photonozoa",0.6,1)*_xlfn.XLOOKUP(B272,'Base stats'!B:B,'Base stats'!C:C)^0.165,0.05)))</f>
        <v>No</v>
      </c>
      <c r="AK272" s="7" t="str">
        <f>IF(AI272="No","No",_xlfn.XLOOKUP(_xlfn.XLOOKUP(B272,'Base stats'!B:B,'Base stats'!E:E),Groups!A:A,Groups!AF:AF))</f>
        <v>No</v>
      </c>
      <c r="AL272" s="7" t="str">
        <f>IF(AI272="No","No",_xlfn.XLOOKUP(_xlfn.XLOOKUP(B272,'Base stats'!B:B,'Base stats'!E:E),Groups!A:A,Groups!AG:AG))</f>
        <v>No</v>
      </c>
      <c r="AM272" s="7" t="str">
        <f>IF(AI272="No","No",_xlfn.XLOOKUP(_xlfn.XLOOKUP(B272,'Base stats'!B:B,'Base stats'!E:E),Groups!A:A,Groups!AH:AH))</f>
        <v>No</v>
      </c>
      <c r="AN272" s="2" t="str">
        <f t="shared" si="28"/>
        <v>No</v>
      </c>
      <c r="AO272" s="2">
        <f>MROUND(IF(AND(_xlfn.XLOOKUP(B272,'Base stats'!B:B,'Base stats'!C:C)&gt;=0.5,_xlfn.XLOOKUP(B272,'Base stats'!B:B,'Base stats'!C:C)&lt;=0.8),
IF(_xlfn.XLOOKUP(B272,'Base stats'!B:B,'Base stats'!C:C)&lt;0.1,0.05,IF(_xlfn.XLOOKUP(B272,'Base stats'!B:B,'Base stats'!C:C)&lt;=70,(_xlfn.XLOOKUP(B272,'Base stats'!B:B,'Base stats'!C:C)/70)^0.426489913056526,IF(_xlfn.XLOOKUP(B272,'Base stats'!B:B,'Base stats'!C:C)&lt;=400,(_xlfn.XLOOKUP(B272,'Base stats'!B:B,'Base stats'!C:C)/70)^0.572811455315093,IF(_xlfn.XLOOKUP(B272,'Base stats'!B:B,'Base stats'!C:C)&lt;=2000,2.71391647193063*(_xlfn.XLOOKUP(B272,'Base stats'!B:B,'Base stats'!C:C)/400)^0.252459582904293,3.74314280240376*(_xlfn.XLOOKUP(B272,'Base stats'!B:B,'Base stats'!C:C)/2000)^0.357012633876913)))),
IF(_xlfn.XLOOKUP(B272,'Base stats'!B:B,'Base stats'!C:C)&lt;0.1,0.05,IF(_xlfn.XLOOKUP(B272,'Base stats'!B:B,'Base stats'!C:C)&lt;0.4,0.1,IF(_xlfn.XLOOKUP(B272,'Base stats'!B:B,'Base stats'!C:C)&lt;=70,(_xlfn.XLOOKUP(B272,'Base stats'!B:B,'Base stats'!C:C)/70)^0.445823913056526,IF(_xlfn.XLOOKUP(B272,'Base stats'!B:B,'Base stats'!C:C)&lt;=400,(_xlfn.XLOOKUP(B272,'Base stats'!B:B,'Base stats'!C:C)/70)^0.572811455315093,IF(_xlfn.XLOOKUP(B272,'Base stats'!B:B,'Base stats'!C:C)&lt;=2000,2.71391647193063*(_xlfn.XLOOKUP(B272,'Base stats'!B:B,'Base stats'!C:C)/400)^0.252459582904293,3.74314280240376*(_xlfn.XLOOKUP(B272,'Base stats'!B:B,'Base stats'!C:C)/2000)^0.357012633876913)))))),
IF(_xlfn.XLOOKUP(B272,'Base stats'!B:B,'Base stats'!C:C)&lt;0.1,0.05,IF(_xlfn.XLOOKUP(B272,'Base stats'!B:B,'Base stats'!C:C)&lt;=100,0.05,IF(_xlfn.XLOOKUP(B272,'Base stats'!B:B,'Base stats'!C:C)&lt;=250,0.1,IF(_xlfn.XLOOKUP(B272,'Base stats'!B:B,'Base stats'!C:C)&lt;=4000,0.25,0.5)))))</f>
        <v>0.25</v>
      </c>
      <c r="AP272" s="8">
        <f>MROUND(AO272*_xlfn.XLOOKUP(_xlfn.XLOOKUP(B272,'Base stats'!B:B,'Base stats'!E:E),Groups!A:A,Groups!AI:AI)*_xlfn.XLOOKUP(B272,'Base stats'!B:B,'Base stats'!Z:Z),0.05)</f>
        <v>0.25</v>
      </c>
      <c r="AQ272" s="8">
        <f>MAX(0.01,MROUND(IF(CC272="True",0.196*(AO272*100*1000)^0.889,IF(_xlfn.XLOOKUP(_xlfn.XLOOKUP(B272,'Base stats'!B:B,'Base stats'!E:E),Groups!A:A,Groups!AJ:AJ)="Bird",10.5*(AO272*100*1000)^0.681,4.82*(AO272*100*1000)^0.734))/(4.82*(1*100*1000)^0.734)/IF(AO272&lt;3.5,2,IF(AO272=3.5,1.5,1.25))*(1+0.132282374779864/(AO272^0.994035016789033+0.00905238001496948)),0.05))</f>
        <v>0.35000000000000003</v>
      </c>
      <c r="AR272" s="9">
        <f>IFERROR(MROUND(_xlfn.XLOOKUP(B272,'Base stats'!B:B,'Base stats'!H:H)/IF(_xlfn.XLOOKUP(B272,'Base stats'!B:B,'Base stats'!I:I)&lt;&gt;1,(122.5/70),1.2),IF(_xlfn.XLOOKUP(B272,'Base stats'!B:B,'Base stats'!H:H)&gt;=30,5,IF(_xlfn.XLOOKUP(B272,'Base stats'!B:B,'Base stats'!H:H)&gt;=15,3,IF(_xlfn.XLOOKUP(B272,'Base stats'!B:B,'Base stats'!H:H)&gt;=10,2,1)))),"Immortal")</f>
        <v>35</v>
      </c>
      <c r="AS272" s="35" t="str">
        <f>IFERROR(IF(OR(_xlfn.XLOOKUP(B272,'Base stats'!B:B,'Base stats'!F:F)="Atypical reproduction",_xlfn.XLOOKUP(B272,'Base stats'!B:B,'Base stats'!F:F)="Lay eggs"),"Lay eggs",MIN(20,MAX(5.5,ROUND(((_xlfn.XLOOKUP(B272,'Base stats'!B:B,'Base stats'!F:F)-25)*(14.5/615) + 5.5)*2,0)/2))),"Unknown")</f>
        <v>Lay eggs</v>
      </c>
      <c r="AT272" s="8">
        <f>IF(_xlfn.XLOOKUP(B272,'Base stats'!B:B,'Base stats'!G:G)="Atypical reproduction","No",IFERROR(MAX(IF(_xlfn.XLOOKUP(B272,'Base stats'!B:B,'Base stats'!G:G)&lt;0.5,0.2,0.3),MROUND(_xlfn.XLOOKUP(B272,'Base stats'!B:B,'Base stats'!G:G)/(365/60),0.2)),"Unknown"))</f>
        <v>0.8</v>
      </c>
      <c r="AU272" s="8">
        <f t="shared" si="29"/>
        <v>0.4</v>
      </c>
      <c r="AV272" s="8" t="str">
        <f>IFERROR(IFERROR(MROUND(_xlfn.XLOOKUP(B272,'Base stats'!B:B,'Base stats'!J:J),0.1),"Lay eggs"),"Cannot breed")</f>
        <v>Lay eggs</v>
      </c>
      <c r="AW272" s="2" t="str">
        <f t="shared" si="30"/>
        <v>true</v>
      </c>
      <c r="AX272" s="2" t="str">
        <f>IF(_xlfn.XLOOKUP(_xlfn.XLOOKUP(Animals!B272,'Base stats'!B:B,'Base stats'!E:E),Groups!A:A,Groups!AK:AK)=1,"true","false")</f>
        <v>false</v>
      </c>
      <c r="AY272" s="25" t="str">
        <f>IF(_xlfn.XLOOKUP(B272,'Base stats'!B:B,'Base stats'!Y:Y)="Liquor","Liquor, CarnivoreAnimalStrict",IF(AND(_xlfn.XLOOKUP(B272,'Base stats'!B:B,'Base stats'!Y:Y)="Carnivore",_xlfn.XLOOKUP(_xlfn.XLOOKUP(B272,'Base stats'!B:B,'Base stats'!E:E),Groups!A:A,Groups!AJ:AJ)="Photonozoa"),"CarnivoreAnimalStrict, OvivoreAnimal",IF(_xlfn.XLOOKUP(B272,'Base stats'!B:B,'Base stats'!Y:Y)="Carnivore","CarnivoreAnimal, OvivoreAnimal",IF(_xlfn.XLOOKUP(B272,'Base stats'!B:B,'Base stats'!Y:Y)="Dendrovore","VegetarianRoughAnimal, DendrovoreAnimal",IF(_xlfn.XLOOKUP(B272,'Base stats'!B:B,'Base stats'!Y:Y)="Herbivore","VegetarianRoughAnimal",IF(_xlfn.XLOOKUP(B272,'Base stats'!B:B,'Base stats'!Y:Y)="OmnivoreRough","OmnivoreRoughAnimal, OvivoreAnimal","OmnivoreAnimal, OvivoreAnimal"))))))</f>
        <v>OmnivoreAnimal, OvivoreAnimal</v>
      </c>
      <c r="AZ272" s="2">
        <f>IF(_xlfn.XLOOKUP(_xlfn.XLOOKUP(B272,'Base stats'!B:B,'Base stats'!E:E),Groups!A:A,Groups!D:D)=1,MROUND((1-J272)*5+1,2)*IF(J272&lt;=0.4,2,1),"No")</f>
        <v>4</v>
      </c>
      <c r="BA272" s="2" t="str">
        <f>IF(AND(_xlfn.XLOOKUP(B272,'Base stats'!B:B,'Base stats'!AH:AH)="&lt;li&gt;Seal&lt;/li&gt;",G272="Odyssey"),"&lt;li&gt;AEXP_Seal&lt;/li&gt;",_xlfn.XLOOKUP(B272,'Base stats'!B:B,'Base stats'!AH:AH))</f>
        <v>&lt;li&gt;Cassowary&lt;/li&gt;</v>
      </c>
      <c r="BB272" s="2" t="str">
        <f>_xlfn.XLOOKUP(B272,'Base stats'!B:B,'Base stats'!AG:AG)</f>
        <v>No</v>
      </c>
      <c r="BC272" s="23" t="str">
        <f>_xlfn.XLOOKUP(_xlfn.XLOOKUP(B272,'Base stats'!B:B,'Base stats'!E:E),Groups!A:A,Groups!AL:AL)</f>
        <v>Bird</v>
      </c>
      <c r="BD272" s="23">
        <f>MIN(1,MROUND(IF(AND(AO272&lt;0.5,_xlfn.XLOOKUP(B272,'Base stats'!B:B,'Base stats'!AA:AA)=0),0,IF(OR(_xlfn.XLOOKUP(Animals!B272,'Base stats'!B:B,'Base stats'!O:O)=2,_xlfn.XLOOKUP(_xlfn.XLOOKUP(B272,'Base stats'!B:B,'Base stats'!E:E),Groups!A:A,Groups!AN:AN)=0),0,_xlfn.XLOOKUP(_xlfn.XLOOKUP(B272,'Base stats'!B:B,'Base stats'!E:E),Groups!A:A,Groups!AN:AN)/IF(_xlfn.XLOOKUP(Animals!B272,'Base stats'!B:B,'Base stats'!O:O)=1,2,1)))+_xlfn.XLOOKUP(B272,'Base stats'!B:B,'Base stats'!AC:AC),0.005))</f>
        <v>0</v>
      </c>
      <c r="BE272" s="23">
        <f>MIN(1,MROUND(IF(AND(AO272&lt;0.5,_xlfn.XLOOKUP(B272,'Base stats'!B:B,'Base stats'!AA:AA)=0),0,IF(_xlfn.XLOOKUP(_xlfn.XLOOKUP(B272,'Base stats'!B:B,'Base stats'!E:E),Groups!A:A,Groups!AO:AO)=0,0,_xlfn.XLOOKUP(_xlfn.XLOOKUP(B272,'Base stats'!B:B,'Base stats'!E:E),Groups!A:A,Groups!AO:AO)/IF(_xlfn.XLOOKUP(Animals!B272,'Base stats'!B:B,'Base stats'!O:O)=2,3,1)))+_xlfn.XLOOKUP(B272,'Base stats'!B:B,'Base stats'!AD:AD),0.005))</f>
        <v>0</v>
      </c>
      <c r="BF272" s="2" t="str">
        <f>IF(J272&gt;0.3,"No",_xlfn.XLOOKUP(_xlfn.XLOOKUP(Animals!B272,'Base stats'!B:B,'Base stats'!E:E),Groups!A:A,Groups!AP:AP))</f>
        <v>No</v>
      </c>
      <c r="BG272" s="2" t="str">
        <f>IF(AND(J272&lt;=0.65,_xlfn.XLOOKUP(_xlfn.XLOOKUP(Animals!B272,'Base stats'!B:B,'Base stats'!E:E),Groups!A:A,Groups!AP:AP)&lt;&gt;"No",_xlfn.XLOOKUP(_xlfn.XLOOKUP(B272,'Base stats'!B:B,'Base stats'!E:E),Groups!A:A,Groups!D:D)=0),MROUND((80/3)*IF(_xlfn.XLOOKUP(B272,'Base stats'!B:B,'Base stats'!O:O)=2,0.2,AO272) + 24*(1-IF(BF272="No",0,BF272)) + 16/3, 12),"No")</f>
        <v>No</v>
      </c>
      <c r="BH272" s="2">
        <f>IF(AND(_xlfn.XLOOKUP(_xlfn.XLOOKUP(B272,'Base stats'!B:B,'Base stats'!E:E),Groups!A:A,Groups!AQ:AQ)=1,AO272&lt;=0.35),8,12)</f>
        <v>12</v>
      </c>
      <c r="BI272" s="2" t="str">
        <f>IF(_xlfn.XLOOKUP(_xlfn.XLOOKUP(B272,'Base stats'!B:B,'Base stats'!E:E),Groups!A:A,Groups!D:D)=0,_xlfn.XLOOKUP(_xlfn.XLOOKUP(B272,'Base stats'!B:B,'Base stats'!E:E),Groups!A:A,Groups!AR:AR),"None")</f>
        <v>None</v>
      </c>
      <c r="BJ272" s="2" t="str">
        <f>IF(AND(_xlfn.XLOOKUP(_xlfn.XLOOKUP(B272,'Base stats'!B:B,'Base stats'!E:E),Groups!A:A,Groups!AS:AS)=1,OR(_xlfn.XLOOKUP(B272,'Base stats'!B:B,'Base stats'!Y:Y)="Carnivore",_xlfn.XLOOKUP(B272,'Base stats'!B:B,'Base stats'!Y:Y)="Omnivore")),"true","false")</f>
        <v>false</v>
      </c>
      <c r="BK272" s="2" t="str">
        <f>IF(BJ272="true",MROUND(IF(AND(AO272&gt;0.5,OR(_xlfn.XLOOKUP(_xlfn.XLOOKUP(B272,'Base stats'!B:B,'Base stats'!E:E),Groups!A:A,Groups!AJ:AJ)="Photonozoa",_xlfn.XLOOKUP(_xlfn.XLOOKUP(B272,'Base stats'!B:B,'Base stats'!E:E),Groups!A:A,Groups!AJ:AJ)="Mammal")),Animals!AO272*1.75*IF(AW272="true",1.5,1),IF(AO272&lt;0.5,Animals!AO272*0.5,Animals!AO272)),IF(AO272&gt;2,0.5,IF(AO272&gt;0.5,0.25,0.1))),"No")</f>
        <v>No</v>
      </c>
      <c r="BL272" s="2">
        <f t="shared" si="31"/>
        <v>0</v>
      </c>
      <c r="BM272" s="25" t="str">
        <f>IF(_xlfn.XLOOKUP(B272,'Base stats'!B:B,'Base stats'!AN:AN)="Standard","No",MROUND((_xlfn.XLOOKUP(B272,'Base stats'!B:B,'Base stats'!AN:AN)/3.6)/I272,0.1))</f>
        <v>No</v>
      </c>
      <c r="BN272" s="25" t="str">
        <f t="shared" si="32"/>
        <v>true</v>
      </c>
      <c r="BO272" s="25" t="str">
        <f>IF(AND(OR(_xlfn.XLOOKUP(B272,'Base stats'!B:B,'Base stats'!Y:Y)="Carnivore",_xlfn.XLOOKUP(B272,'Base stats'!B:B,'Base stats'!Y:Y)="Omnivore",_xlfn.XLOOKUP(B272,'Base stats'!B:B,'Base stats'!Y:Y)="OmnivoreRough"),_xlfn.XLOOKUP(_xlfn.XLOOKUP(B272,'Base stats'!B:B,'Base stats'!E:E),Groups!A:A,Groups!AT:AT)=1),"true","false")</f>
        <v>true</v>
      </c>
      <c r="BP272" s="25" t="str" cm="1">
        <f t="array" ref="BP272">IF(
  _xlfn.TEXTJOIN(", ",TRUE,
    IF(AND(BJ272="true",AO272&gt;0.5,BI272&lt;&gt;"None"),"AttackTarget",""),
    IF(AND(_xlfn.XLOOKUP(_xlfn.XLOOKUP(B272,'Base stats'!B:B,'Base stats'!E:E),Groups!A:A,Groups!AJ:AJ="Mammal"),OR(_xlfn.XLOOKUP(B272,'Base stats'!B:B,'Base stats'!Y:Y)="Omnivore",_xlfn.XLOOKUP(B272,'Base stats'!B:B,'Base stats'!Y:Y)="OmnivoreRough")),"Forage",""),
    IF(BG272&lt;=36,"Comfort",""),
    IF(_xlfn.XLOOKUP(B272,'Base stats'!B:B,'Base stats'!AE:AE)&lt;&gt;"No",_xlfn.XLOOKUP(B272,'Base stats'!B:B,'Base stats'!AE:AE),"")
  ) = "",
  "No",
  _xlfn.TEXTJOIN(", ",TRUE,
    IF(AND(BJ272="true",AO272&gt;0.5,BI272&lt;&gt;"None"),"AttackTarget",""),
    IF(AND(_xlfn.XLOOKUP(_xlfn.XLOOKUP(B272,'Base stats'!B:B,'Base stats'!E:E),Groups!A:A,Groups!AJ:AJ="Mammal"),OR(_xlfn.XLOOKUP(B272,'Base stats'!B:B,'Base stats'!Y:Y)="Omnivore",_xlfn.XLOOKUP(B272,'Base stats'!B:B,'Base stats'!Y:Y)="OmnivoreRough")),"Forage",""),
    IF(BG272&lt;=36,"Comfort",""),
    IF(_xlfn.XLOOKUP(B272,'Base stats'!B:B,'Base stats'!AE:AE)&lt;&gt;"No",_xlfn.XLOOKUP(B272,'Base stats'!B:B,'Base stats'!AE:AE),"")
  )
)</f>
        <v>No</v>
      </c>
      <c r="BQ272" s="25">
        <f>IF(
   AND(
      'Base stats'!AN272="Standard",_xlfn.XLOOKUP(_xlfn.XLOOKUP(B272,'Base stats'!B:B,'Base stats'!E:E),Groups!A:A,Groups!AU:AU)=0,
      OR(
      BO272="True"
      )
   ),
   10,
   IF(
       OR(BM272&lt;&gt;"No",_xlfn.XLOOKUP(_xlfn.XLOOKUP(B272,'Base stats'!B:B,'Base stats'!E:E),Groups!A:A,Groups!AU:AU)=1),
      1,
      "No"
   )
)</f>
        <v>1</v>
      </c>
      <c r="BR272" s="9">
        <f>MROUND((1 + ((0.2*IF(OR(Q272="No",R272="No",R272=0),0,Q272/R272)
+IF(OR(V272="No",S272="No",T272="No"),0,S272/T272*(LEN(V272)-LEN(SUBSTITUTE(V272,",",""))+1))
+IF(OR(X272="No",Y272="No"),0,X272/Y272)
+IF(OR(AD272="No",AE272="No"),0,AD272/AE272)
+IF(OR(AL272="No",AI272="No",AJ272="No"),0,AI272/AJ272*(LEN(AL272)-LEN(SUBSTITUTE(AL272,",",""))+1))
)/(0.2*IF(OR(Q272="No",R272="No",R272=0),0,1)
+IF(OR(V272="No",S272="No",T272="No"),0,LEN(V272)-LEN(SUBSTITUTE(V272,",",""))+1)
+IF(OR(X272="No",Y272="No"),0,1)
+IF(OR(AD272="No",AE272="No"),0,1)
+IF(OR(AL272="No",AI272="No",AJ272="No"),0,LEN(AL272)-LEN(SUBSTITUTE(AL272,",",""))+1))*62%)* 2)*(1 + (AP272 / (IF(_xlfn.XLOOKUP(_xlfn.XLOOKUP(B272,'Base stats'!B:B,'Base stats'!E:E),Groups!A:A,Groups!AJ:AJ)="Photonozoa",0.3,1)) + _xlfn.XLOOKUP(B272,'Base stats'!B:B,'Base stats'!AV:AV) * 1.8) * 2) * 2.5 + 10 + I272 * 2,5)+IF(_xlfn.XLOOKUP(B272,'Base stats'!B:B,'Base stats'!AK:AK)=1,50,0)</f>
        <v>80</v>
      </c>
      <c r="BS272" s="8">
        <f t="shared" si="33"/>
        <v>0.35000000000000003</v>
      </c>
      <c r="BT272" s="8" t="str">
        <f>_xlfn.XLOOKUP(B272,'Base stats'!B:B,'Base stats'!AF:AF)</f>
        <v>5~15</v>
      </c>
      <c r="BU272" s="2" t="str">
        <f>IF(AND(J272&lt;=0.95,OR(_xlfn.XLOOKUP(B272,'Base stats'!B:B,'Base stats'!AK:AK)=1,_xlfn.XLOOKUP(B272,'Base stats'!B:B,'Base stats'!Y:Y)="Carnivore",_xlfn.XLOOKUP(B272,'Base stats'!B:B,'Base stats'!Y:Y)="Omnivore",BE272&gt;0.1)),"true","false")</f>
        <v>true</v>
      </c>
      <c r="BV272" s="2" t="str">
        <f>IF(_xlfn.XLOOKUP(B272,'Base stats'!B:B,'Base stats'!AI:AI)=1,"true","false")</f>
        <v>false</v>
      </c>
      <c r="BW272" s="25" t="str">
        <f>IF(E272="BaseInsect","AnimalInsect",
IF(J272&gt;0.95,"AnimalExotic",
_xlfn.TEXTJOIN(", ",TRUE,
IF(OR(_xlfn.XLOOKUP(B272,'Base stats'!B:B,'Base stats'!AM:AM)=1,AND(_xlfn.XLOOKUP(B272,'Base stats'!B:B,'Base stats'!O:O)=0,_xlfn.XLOOKUP(_xlfn.XLOOKUP(B272,'Base stats'!B:B,'Base stats'!E:E),Groups!A:A,Groups!B:B)&gt;0)),"AnimalUncommon","AnimalCommon"),
IF(AND(_xlfn.XLOOKUP(B272,'Base stats'!B:B,'Base stats'!O:O)=2,_xlfn.XLOOKUP(_xlfn.XLOOKUP(B272,'Base stats'!B:B,'Base stats'!E:E),Groups!A:A,Groups!D:D)=0),"AnimalPet",IF(AND(_xlfn.XLOOKUP(B272,'Base stats'!B:B,'Base stats'!O:O)&lt;&gt;0,_xlfn.XLOOKUP(_xlfn.XLOOKUP(B272,'Base stats'!B:B,'Base stats'!E:E),Groups!A:A,Groups!D:D)&lt;&gt;0),"AnimalFarm","")),
IF(OR(_xlfn.XLOOKUP(B272,'Base stats'!B:B,'Base stats'!AK:AK)=1,AND(BI272&lt;&gt;"None",BR272&gt;=60),ISNUMBER(SEARCH("Attack target",BP272))),"AnimalFighter","")
)))</f>
        <v>AnimalUncommon, AnimalFighter</v>
      </c>
      <c r="BX272" s="25" t="str">
        <f>IF(G272="None",TRIM(
SUBSTITUTE(
IF(COUNTIF(Biomes!B$2:B$259,"="&amp;$C272)&gt;0,Biomes!B$1&amp;", ","")&amp;
IF(COUNTIF(Biomes!C$2:C$259,"="&amp;$C272)&gt;0,Biomes!C$1&amp;", ","")&amp;
IF(COUNTIF(Biomes!D$2:D$259,"="&amp;$C272)&gt;0,Biomes!D$1&amp;", ","")&amp;
IF(COUNTIF(Biomes!F$2:F$259,"="&amp;$C272)&gt;0,Biomes!F$1&amp;", ","")&amp;
IF(COUNTIF(Biomes!G$2:G$259,"="&amp;$C272)&gt;0,Biomes!G$1&amp;", ","")&amp;
IF(COUNTIF(Biomes!H$2:H$259,"="&amp;$C272)&gt;0,Biomes!H$1&amp;", ","")&amp;
IF(COUNTIF(Biomes!I$2:I$259,"="&amp;$C272)&gt;0,Biomes!I$1&amp;", ","")&amp;
IF(COUNTIF(Biomes!J$2:J$259,"="&amp;$C272)&gt;0,Biomes!J$1&amp;", ","")&amp;
IF(COUNTIF(Biomes!M$2:M$259,"="&amp;$C272)&gt;0,Biomes!M$1&amp;", ","")&amp;
IF(COUNTIF(Biomes!N$2:N$259,"="&amp;$C272)&gt;0,Biomes!N$1&amp;", ","")&amp;
IF(COUNTIF(Biomes!O$2:O$259,"="&amp;$C272)&gt;0,Biomes!O$1&amp;", ","")&amp;
IF(COUNTIF(Biomes!P$2:P$259,"="&amp;$C272)&gt;0,Biomes!P$1&amp;", ","")&amp;
IF(COUNTIF(Biomes!K$2:K$259,"="&amp;$C272)&gt;0,Biomes!K$1&amp;", ","")&amp;
IF(COUNTIF(Biomes!Q$3:Q$259,"="&amp;$C272)&gt;0,Biomes!Q$1&amp;", ","")&amp;
IF(COUNTIF(Biomes!L$2:L$259,"="&amp;$C272)&gt;0,Biomes!L$1&amp;", ","")&amp;
IF(COUNTIF(Biomes!E$2:E$259,"="&amp;$C272)&gt;0,Biomes!E$1&amp;", ","")&amp;IF(COUNTIF(Biomes!S$2:S$259,"="&amp;$C272)&gt;0,Biomes!S$1&amp;", ","")&amp;
IF(COUNTIF(Biomes!R$2:R$259,"="&amp;$C272)&gt;0,Biomes!R$1&amp;", ",""),", ","")
),_xlfn.XLOOKUP(B272,B:B,BX:BX))</f>
        <v>TropicalSwamp</v>
      </c>
      <c r="BY272" s="25" t="str">
        <f>IF(_xlfn.XLOOKUP(B272,'Base stats'!B:B,'Base stats'!AJ:AJ)=1,"true","false")</f>
        <v>false</v>
      </c>
      <c r="BZ272" s="25">
        <f>IF(_xlfn.XLOOKUP(B272,'Base stats'!B:B,'Base stats'!N:N)=1,"No",MAX(0.001,MIN(MROUND(IF(AND(BJ272="True",CC272="False"),POWER(10,3.47*LOG10(_xlfn.XLOOKUP(B272,'Base stats'!B:B,'Base stats'!C:C)*1000)^-0.96),POWER(10,4.15*LOG10(_xlfn.XLOOKUP(B272,'Base stats'!B:B,'Base stats'!C:C)*1000)^-0.73))*IF(_xlfn.XLOOKUP(B272,'Base stats'!B:B,'Base stats'!AK:AK)=1,0.5,1)*IF(_xlfn.XLOOKUP(B272,'Base stats'!B:B,'Base stats'!AM:AM)=1,0.1,1)/100,IF(_xlfn.XLOOKUP(B272,'Base stats'!B:B,'Base stats'!AM:AM)=1,0.001,0.025)),0.5)))</f>
        <v>2.3E-2</v>
      </c>
      <c r="CA272" s="25" t="str">
        <f>IF(P272="Standard","No",MAX(0.001,MIN(MROUND(IF(AND(BJ272="True",CC272="False"),POWER(10,3.47*LOG10(_xlfn.XLOOKUP(B272,'Base stats'!B:B,'Base stats'!C:C)*1000)^-0.96),POWER(10,4.15*LOG10(_xlfn.XLOOKUP(B272,'Base stats'!B:B,'Base stats'!C:C)*1000)^-0.73))*IF(_xlfn.XLOOKUP(B272,'Base stats'!B:B,'Base stats'!AM:AM)=1,0.1,1)*_xlfn.XLOOKUP(B272,'Base stats'!B:B,'Base stats'!R:R)/100,IF(_xlfn.XLOOKUP(B272,'Base stats'!B:B,'Base stats'!AM:AM)=1,0.001,0.025)),0.5)))</f>
        <v>No</v>
      </c>
      <c r="CB272" s="25" t="str">
        <f>IF(_xlfn.XLOOKUP(_xlfn.XLOOKUP(B272,'Base stats'!B:B,'Base stats'!E:E),Groups!A:A,Groups!AJ:AJ)="Mammal","True","False")</f>
        <v>False</v>
      </c>
      <c r="CC272" s="25" t="str">
        <f>IF(OR(_xlfn.XLOOKUP(_xlfn.XLOOKUP(B272,'Base stats'!B:B,'Base stats'!E:E),Groups!A:A,Groups!AJ:AJ)="Reptile",_xlfn.XLOOKUP(_xlfn.XLOOKUP(B272,'Base stats'!B:B,'Base stats'!E:E),Groups!A:A,Groups!AJ:AJ)="Amphibian",_xlfn.XLOOKUP(_xlfn.XLOOKUP(B272,'Base stats'!B:B,'Base stats'!E:E),Groups!A:A,Groups!AJ:AJ)="Invertebrate"),"True","False")</f>
        <v>False</v>
      </c>
      <c r="CD272" s="25" t="str">
        <f t="shared" si="34"/>
        <v>False</v>
      </c>
      <c r="CE272" s="25" t="str">
        <f>IF(_xlfn.XLOOKUP(_xlfn.XLOOKUP(B272,'Base stats'!B:B,'Base stats'!E:E),Groups!A:A,Groups!AX:AX),"True","False")</f>
        <v>False</v>
      </c>
      <c r="CF272" s="25" t="str">
        <f>IF(_xlfn.XLOOKUP(_xlfn.XLOOKUP(B272,'Base stats'!B:B,'Base stats'!E:E),Groups!A:A,Groups!AY:AY),"True","False")</f>
        <v>False</v>
      </c>
      <c r="CG272" s="25" t="str">
        <f>IF(_xlfn.XLOOKUP(_xlfn.XLOOKUP(B272,'Base stats'!B:B,'Base stats'!E:E),Groups!A:A,Groups!AW:AW),"True","False")</f>
        <v>False</v>
      </c>
      <c r="CH272" s="25" t="str">
        <f>IF(
OR(
_xlfn.XLOOKUP(_xlfn.XLOOKUP(B272,'Base stats'!B:B,'Base stats'!E:E),Groups!A:A,Groups!AZ:AZ)=0,
AND(
_xlfn.XLOOKUP(B272,'Base stats'!B:B,'Base stats'!Y:Y)&lt;&gt;"Carnivore",
_xlfn.XLOOKUP(B272,'Base stats'!B:B,'Base stats'!Y:Y)&lt;&gt;"Omnivore",
_xlfn.XLOOKUP(B272,'Base stats'!B:B,'Base stats'!Y:Y)&lt;&gt;"OmnivoreRough"
)
),
"No",
IF(
_xlfn.XLOOKUP(_xlfn.XLOOKUP(B272,'Base stats'!B:B,'Base stats'!E:E),Groups!A:A,Groups!AZ:AZ)=1,
"Flesh",
IF(
_xlfn.XLOOKUP(_xlfn.XLOOKUP(B272,'Base stats'!B:B,'Base stats'!E:E),Groups!A:A,Groups!AZ:AZ)=2,
"Bone",
""
)
)
)</f>
        <v>No</v>
      </c>
      <c r="CI272" s="25" t="str">
        <f>IF(_xlfn.XLOOKUP(_xlfn.XLOOKUP(B272,'Base stats'!B:B,'Base stats'!E:E),Groups!A:A,Groups!BB:BB),"True","False")</f>
        <v>True</v>
      </c>
      <c r="CJ272" s="25" t="str">
        <f>IF(_xlfn.XLOOKUP(_xlfn.XLOOKUP(B272,'Base stats'!B:B,'Base stats'!E:E),Groups!A:A,Groups!BA:BA),"True","False")</f>
        <v>False</v>
      </c>
    </row>
    <row r="273" spans="1:88" ht="16.5" thickTop="1" thickBot="1" x14ac:dyDescent="0.3">
      <c r="A273" s="26" t="s">
        <v>1452</v>
      </c>
      <c r="B273" s="6" t="str">
        <f>_xlfn.XLOOKUP(A273,'Base stats'!A:A,'Base stats'!B:B)</f>
        <v>Avis glacialis</v>
      </c>
      <c r="C273" s="28" t="s">
        <v>1453</v>
      </c>
      <c r="D273" s="28" t="s">
        <v>1341</v>
      </c>
      <c r="E273" s="28" t="s">
        <v>673</v>
      </c>
      <c r="F273" s="28" t="s">
        <v>673</v>
      </c>
      <c r="G273" s="28" t="s">
        <v>673</v>
      </c>
      <c r="H273" s="2">
        <f>MROUND((
  (IF(AND(_xlfn.XLOOKUP(B273,'Base stats'!B:B,'Base stats'!AL:AL)=0,BI273="None",_xlfn.XLOOKUP(_xlfn.XLOOKUP(B273,'Base stats'!B:B,'Base stats'!E:E),Groups!A:A,Groups!B:B)=0), (18 + BR273 * 2.7) * 0.5,
    IF(AND(_xlfn.XLOOKUP(B273,'Base stats'!B:B,'Base stats'!AL:AL)=0,OR(AO273&lt;0.55,AND(BI273="Intermediate",_xlfn.XLOOKUP(_xlfn.XLOOKUP(B273,'Base stats'!B:B,'Base stats'!E:E),Groups!A:A,Groups!B:B)&lt;2))), (18 + BR273 * 2.7),
      IF(OR(BI273="Advanced",_xlfn.XLOOKUP(B273,'Base stats'!B:B,'Base stats'!AL:AL)=1,_xlfn.XLOOKUP(_xlfn.XLOOKUP(B273,'Base stats'!B:B,'Base stats'!E:E),Groups!A:A,Groups!B:B)=2), (18 + BR273 * 2.7) + 250, (18 + BR273 * 2.7))
    )
  ))
  + AO273 * 80
  + IF(COUNTIF(EggMilk!K$2:K$998, A273) &gt; 0, 125, 0)
  + IF(COUNTIF(EggMilk!P$2:P$998, A273) &gt; 0, 90, 0)
  + IF(COUNTIF(EggMilk!A$2:A$998, A273) &gt; 0, 90, 0)
)
* (0.8 + 0.4 * J273)
* 0.75,25)</f>
        <v>450</v>
      </c>
      <c r="I273" s="2">
        <f>MROUND(ROUNDDOWN(_xlfn.XLOOKUP(B273,'Base stats'!B:B,'Base stats'!L:L)/3.6/(23.3/11),1),0.5)</f>
        <v>9</v>
      </c>
      <c r="J273" s="2">
        <f>IF(OR(_xlfn.XLOOKUP(B273,'Base stats'!B:B,'Base stats'!AB:AB)=1,_xlfn.XLOOKUP(_xlfn.XLOOKUP(B273,'Base stats'!B:B,'Base stats'!E:E),Groups!A:A,Groups!C:C)="Untamable"),1,IF(_xlfn.XLOOKUP(B273,'Base stats'!B:B,'Base stats'!AL:AL)=1,0.99,MIN(MROUND((1-0.6282*EXP(-0.459*AO273))*_xlfn.XLOOKUP(_xlfn.XLOOKUP(B273,'Base stats'!B:B,'Base stats'!E:E),Groups!A:A,Groups!C:C)*IF(_xlfn.XLOOKUP(B273,'Base stats'!B:B,'Base stats'!O:O)=1,0.5,IF(_xlfn.XLOOKUP(B273,'Base stats'!B:B,'Base stats'!O:O)=2,0,1)),0.05),IF(AO273&gt;3.5,0.985,0.95))))</f>
        <v>0.9</v>
      </c>
      <c r="K273" s="2">
        <f>ROUNDUP(AO273*_xlfn.XLOOKUP(_xlfn.XLOOKUP(B273,'Base stats'!B:B,'Base stats'!E:E),Groups!A:A,Groups!E:E),0)</f>
        <v>20</v>
      </c>
      <c r="L273" s="2">
        <f>IF(OR(_xlfn.XLOOKUP(_xlfn.XLOOKUP(B273,'Base stats'!B:B,'Base stats'!E:E),Groups!A:A,Groups!F:F)=2,ISNUMBER(SEARCH("SeaIce",BX273)),ISNUMBER(SEARCH("IceSheet",BX273))),-50,IF(OR(ISNUMBER(SEARCH("GlacialPlain",BX273)),ISNUMBER(SEARCH("Tundra",BX273))),-40,IF(OR(ISNUMBER(SEARCH("Alpine",BX273)),ISNUMBER(SEARCH("BorealForest",BX273)),ISNUMBER(SEARCH("ColdBog",BX273))),-30,IF(OR(ISNUMBER(SEARCH("TemperateForest",BX273)),ISNUMBER(SEARCH("TemperateSwamp",BX273))),-20,IF(_xlfn.XLOOKUP(_xlfn.XLOOKUP(B273,'Base stats'!B:B,'Base stats'!E:E),Groups!A:A,Groups!F:F)=1,-15,IF(OR(ISNUMBER(SEARCH("Desert",BX273)),ISNUMBER(SEARCH("ExtremeDesert",BX273))),-10,IF(OR(ISNUMBER(SEARCH("Grasslands",BX273)),ISNUMBER(SEARCH("TropicalRainforest",BX273)),ISNUMBER(SEARCH("TropicalSwamp",BX273))),10,0)))))))-IF(CC273="False",MIN(IFERROR(MAX(MROUND(LOG10(_xlfn.XLOOKUP(B273,'Base stats'!B:B,'Base stats'!C:C)^(2/3))*10,5),5),5),30))-_xlfn.XLOOKUP(B273,'Base stats'!B:B,'Base stats'!P:P)+IF(CC273="True",5,0)</f>
        <v>-65</v>
      </c>
      <c r="M273" s="2">
        <f>IF(OR(_xlfn.XLOOKUP(_xlfn.XLOOKUP(B273,'Base stats'!B:B,'Base stats'!E:E),Groups!A:A,Groups!G:G)=2,ISNUMBER(SEARCH("Desert",BX273)),ISNUMBER(SEARCH("ExtremeDesert",BX273)),ISNUMBER(SEARCH("LavaField",BX273))),50,IF(ISNUMBER(SEARCH("Grasslands",BX273)),45,IF(OR(_xlfn.XLOOKUP(_xlfn.XLOOKUP(B273,'Base stats'!B:B,'Base stats'!E:E),Groups!A:A,Groups!G:G)=1,ISNUMBER(SEARCH("TropicalRainforest",BX273)),ISNUMBER(SEARCH("TropicalSwamp",BX273))),40,IF(OR(ISNUMBER(SEARCH("TemperateForest",BX273)),ISNUMBER(SEARCH("TemperateSwamp",BX273))),35,IF(OR(ISNUMBER(SEARCH("Alpine",BX273)),ISNUMBER(SEARCH("BorealForest",BX273)),ISNUMBER(SEARCH("ColdBog",BX273))),30,IF(ISNUMBER(OR(ISNUMBER(SEARCH("GlacialPlain",BX273)),SEARCH("Tundra",BX273))),25,IF(OR(ISNUMBER(SEARCH("SeaIce",BX273)),ISNUMBER(SEARCH("IceSheet",BX273)),ISNUMBER(SEARCH("TropicalSwamp",BX273))),10,35)))))))+_xlfn.XLOOKUP(B273,'Base stats'!B:B,'Base stats'!Q:Q)</f>
        <v>30</v>
      </c>
      <c r="N273" s="8" t="str">
        <f>IF(
_xlfn.XLOOKUP(
_xlfn.XLOOKUP(B273,'Base stats'!B:B,'Base stats'!E:E),
Groups!A:A,
Groups!L:L
)=1,
MIN(
MROUND(
IF(
_xlfn.XLOOKUP(B273,'Animals CE'!B:B,'Animals CE'!Z:Z)&lt;=1.5,
_xlfn.XLOOKUP(B273,'Animals CE'!B:B,'Animals CE'!Z:Z)/2+0.05,
0.8+
(_xlfn.XLOOKUP(B273,'Animals CE'!B:B,'Animals CE'!Z:Z)-1.5)
*0.02
),
0.05
),
200%
),
"No"
)</f>
        <v>No</v>
      </c>
      <c r="O273" s="8" t="str">
        <f>IF(
_xlfn.XLOOKUP(
_xlfn.XLOOKUP(B273,'Base stats'!B:B,'Base stats'!E:E),
Groups!A:A,
Groups!L:L
)=1,
MIN(
MROUND(
IF(
_xlfn.XLOOKUP(B273,'Animals CE'!B:B,'Animals CE'!AA:AA)&lt;=1.5,
_xlfn.XLOOKUP(B273,'Animals CE'!B:B,'Animals CE'!AA:AA)/2+0.05,
0.8+
(_xlfn.XLOOKUP(B273,'Animals CE'!B:B,'Animals CE'!AA:AA)-1.5)
*0.02
),
0.05
),
200%
),
"No"
)</f>
        <v>No</v>
      </c>
      <c r="P273" s="2" t="str">
        <f>_xlfn.XLOOKUP(B273,'Base stats'!B:B,'Base stats'!R:R)</f>
        <v>Standard</v>
      </c>
      <c r="Q273" s="13">
        <f>MROUND((LOG10(_xlfn.XLOOKUP(B273,'Base stats'!B:B,'Base stats'!AR:AR))*(AO273^0.5)+(_xlfn.XLOOKUP(B273,'Base stats'!B:B,'Base stats'!AR:AR)/1000)^(2/3)+_xlfn.XLOOKUP(B273,'Base stats'!B:B,'Base stats'!BA:BA)/2)+0.5,0.5)</f>
        <v>11</v>
      </c>
      <c r="R273" s="7">
        <f>IF(Q273="No","No",MAX(1,MROUND(_xlfn.XLOOKUP(B273,'Base stats'!B:B,'Base stats'!C:C)^0.165,0.05)))</f>
        <v>2.4000000000000004</v>
      </c>
      <c r="S273" s="13">
        <f>IF(_xlfn.XLOOKUP(_xlfn.XLOOKUP(B273,'Base stats'!B:B,'Base stats'!E:E),Groups!A:A,Groups!P:P)=0,"No",MROUND((LOG10(_xlfn.XLOOKUP(B273,'Base stats'!B:B,'Base stats'!AS:AS))*(AO273^0.5)+(_xlfn.XLOOKUP(B273,'Base stats'!B:B,'Base stats'!AS:AS)/1000)^(2/3)+_xlfn.XLOOKUP(B273,'Base stats'!B:B,'Base stats'!BA:BA))+_xlfn.XLOOKUP(B273,'Base stats'!B:B,'Base stats'!AY:AY)+0.5,0.5))</f>
        <v>17</v>
      </c>
      <c r="T273" s="7">
        <f>IF(S273="No","No",MAX(_xlfn.XLOOKUP(_xlfn.XLOOKUP(B273,'Base stats'!B:B,'Base stats'!E:E),Groups!A:A,Groups!Q:Q),MROUND(_xlfn.XLOOKUP(_xlfn.XLOOKUP(B273,'Base stats'!B:B,'Base stats'!E:E),Groups!A:A,Groups!Q:Q)*_xlfn.XLOOKUP(B273,'Base stats'!B:B,'Base stats'!C:C)^0.165,0.05)))</f>
        <v>2.4000000000000004</v>
      </c>
      <c r="U273" s="7" t="str">
        <f>IF(S273="No","No",_xlfn.XLOOKUP(_xlfn.XLOOKUP(B273,'Base stats'!B:B,'Base stats'!E:E),Groups!A:A,Groups!R:R))</f>
        <v>Feet</v>
      </c>
      <c r="V273" s="7" t="str">
        <f>IF(S273="No","No",_xlfn.XLOOKUP(_xlfn.XLOOKUP(B273,'Base stats'!B:B,'Base stats'!E:E),Groups!A:A,Groups!S:S))</f>
        <v>rear left claw, rear  right claw</v>
      </c>
      <c r="W273" s="7" t="str">
        <f>IF(S273="No","No",_xlfn.XLOOKUP(_xlfn.XLOOKUP(B273,'Base stats'!B:B,'Base stats'!E:E),Groups!A:A,Groups!T:T))</f>
        <v>Scratch</v>
      </c>
      <c r="X273" s="13" t="str">
        <f>IF(_xlfn.XLOOKUP(B273,'Base stats'!B:B,'Base stats'!W:W)="No","No",MROUND((LOG10(_xlfn.XLOOKUP(B273,'Base stats'!B:B,'Base stats'!AU:AU))*(AO273^0.5)+(_xlfn.XLOOKUP(B273,'Base stats'!B:B,'Base stats'!AU:AU)/1000)^(2/3)+_xlfn.XLOOKUP(B273,'Base stats'!B:B,'Base stats'!AZ:AZ))+0.5+IF(_xlfn.XLOOKUP(_xlfn.XLOOKUP(B273,'Base stats'!B:B,'Base stats'!E:E),Groups!A:A,Groups!U:U)&lt;&gt;3,_xlfn.XLOOKUP(B273,'Base stats'!B:B,'Base stats'!BA:BA),0),0.5))</f>
        <v>No</v>
      </c>
      <c r="Y273" s="7" t="str">
        <f>IF(X273="No","No",MAX(_xlfn.XLOOKUP(_xlfn.XLOOKUP(B273,'Base stats'!B:B,'Base stats'!E:E),Groups!A:A,Groups!V:V),MROUND(_xlfn.XLOOKUP(_xlfn.XLOOKUP(B273,'Base stats'!B:B,'Base stats'!E:E),Groups!A:A,Groups!V:V)*_xlfn.XLOOKUP(B273,'Base stats'!B:B,'Base stats'!C:C)^0.165,0.05)))</f>
        <v>No</v>
      </c>
      <c r="Z273" s="7" t="str">
        <f>IF(X273="No","No",_xlfn.XLOOKUP(_xlfn.XLOOKUP(B273,'Base stats'!B:B,'Base stats'!E:E),Groups!A:A,Groups!W:W))</f>
        <v>No</v>
      </c>
      <c r="AA273" s="7" t="str">
        <f>IF(X273="No","No",_xlfn.XLOOKUP(_xlfn.XLOOKUP(B273,'Base stats'!B:B,'Base stats'!E:E),Groups!A:A,Groups!X:X))</f>
        <v>No</v>
      </c>
      <c r="AB273" s="7" t="str">
        <f>IF(X273="No","No",_xlfn.XLOOKUP(_xlfn.XLOOKUP(B273,'Base stats'!B:B,'Base stats'!E:E),Groups!A:A,Groups!Y:Y))</f>
        <v>No</v>
      </c>
      <c r="AC273" s="7" t="str">
        <f>_xlfn.XLOOKUP(Animals!B273,'Base stats'!B:B,'Base stats'!X:X)</f>
        <v>False</v>
      </c>
      <c r="AD273" s="13">
        <f>IF(_xlfn.XLOOKUP(B273,'Base stats'!B:B,'Base stats'!AT:AT)="No","No",MROUND((LOG10(_xlfn.XLOOKUP(B273,'Base stats'!B:B,'Base stats'!AT:AT))*(AO273^0.75)+(_xlfn.XLOOKUP(B273,'Base stats'!B:B,'Base stats'!AT:AT)/1000)^(2/3)+_xlfn.XLOOKUP(B273,'Base stats'!B:B,'Base stats'!AX:AX)+_xlfn.XLOOKUP(B273,'Base stats'!B:B,'Base stats'!BA:BA))+0.5,0.5))</f>
        <v>11</v>
      </c>
      <c r="AE273" s="7">
        <f>IF(AD273="No","No",MAX(_xlfn.XLOOKUP(_xlfn.XLOOKUP(B273,'Base stats'!B:B,'Base stats'!E:E),Groups!A:A,Groups!Z:Z),MROUND(_xlfn.XLOOKUP(_xlfn.XLOOKUP(B273,'Base stats'!B:B,'Base stats'!E:E),Groups!A:A,Groups!Z:Z)*_xlfn.XLOOKUP(B273,'Base stats'!B:B,'Base stats'!C:C)^0.165,0.05)))</f>
        <v>1.9000000000000001</v>
      </c>
      <c r="AF273" s="7" t="str">
        <f>IF(AD273="No","No",_xlfn.XLOOKUP(_xlfn.XLOOKUP(B273,'Base stats'!B:B,'Base stats'!E:E),Groups!A:A,Groups!AA:AA))</f>
        <v>Beak</v>
      </c>
      <c r="AG273" s="7" t="str">
        <f>IF(AD273="No","No",_xlfn.XLOOKUP(_xlfn.XLOOKUP(B273,'Base stats'!B:B,'Base stats'!E:E),Groups!A:A,Groups!AB:AB))</f>
        <v>beak</v>
      </c>
      <c r="AH273" s="7" t="str">
        <f>IF(AD273="No","No",_xlfn.XLOOKUP(_xlfn.XLOOKUP(B273,'Base stats'!B:B,'Base stats'!E:E),Groups!A:A,Groups!AC:AC))</f>
        <v>Blunt</v>
      </c>
      <c r="AI273" s="13" t="str">
        <f>IF(_xlfn.XLOOKUP(_xlfn.XLOOKUP(B273,'Base stats'!B:B,'Base stats'!E:E),Groups!A:A,Groups!AD:AD)=0,"No",MROUND((LOG10(_xlfn.XLOOKUP(B273,'Base stats'!B:B,'Base stats'!AS:AS))*(AO273^0.75)+(_xlfn.XLOOKUP(B273,'Base stats'!B:B,'Base stats'!AS:AS)/1000)^(2/3)+_xlfn.XLOOKUP(B273,'Base stats'!B:B,'Base stats'!AY:AY)+_xlfn.XLOOKUP(B273,'Base stats'!B:B,'Base stats'!BA:BA))+0.5,0.5))</f>
        <v>No</v>
      </c>
      <c r="AJ273" s="7" t="str">
        <f>IF(AI273="No","No",MAX(_xlfn.XLOOKUP(_xlfn.XLOOKUP(B273,'Base stats'!B:B,'Base stats'!E:E),Groups!A:A,Groups!AE:AE),MROUND(_xlfn.XLOOKUP(_xlfn.XLOOKUP(B273,'Base stats'!B:B,'Base stats'!E:E),Groups!A:A,Groups!AE:AE)*IF(_xlfn.XLOOKUP(_xlfn.XLOOKUP(B273,'Base stats'!B:B,'Base stats'!E:E),Groups!A:A,Groups!AJ:AJ)="Photonozoa",0.6,1)*_xlfn.XLOOKUP(B273,'Base stats'!B:B,'Base stats'!C:C)^0.165,0.05)))</f>
        <v>No</v>
      </c>
      <c r="AK273" s="7" t="str">
        <f>IF(AI273="No","No",_xlfn.XLOOKUP(_xlfn.XLOOKUP(B273,'Base stats'!B:B,'Base stats'!E:E),Groups!A:A,Groups!AF:AF))</f>
        <v>No</v>
      </c>
      <c r="AL273" s="7" t="str">
        <f>IF(AI273="No","No",_xlfn.XLOOKUP(_xlfn.XLOOKUP(B273,'Base stats'!B:B,'Base stats'!E:E),Groups!A:A,Groups!AG:AG))</f>
        <v>No</v>
      </c>
      <c r="AM273" s="7" t="str">
        <f>IF(AI273="No","No",_xlfn.XLOOKUP(_xlfn.XLOOKUP(B273,'Base stats'!B:B,'Base stats'!E:E),Groups!A:A,Groups!AH:AH))</f>
        <v>No</v>
      </c>
      <c r="AN273" s="2" t="str">
        <f t="shared" si="28"/>
        <v>No</v>
      </c>
      <c r="AO273" s="2">
        <f>MROUND(IF(AND(_xlfn.XLOOKUP(B273,'Base stats'!B:B,'Base stats'!C:C)&gt;=0.5,_xlfn.XLOOKUP(B273,'Base stats'!B:B,'Base stats'!C:C)&lt;=0.8),
IF(_xlfn.XLOOKUP(B273,'Base stats'!B:B,'Base stats'!C:C)&lt;0.1,0.05,IF(_xlfn.XLOOKUP(B273,'Base stats'!B:B,'Base stats'!C:C)&lt;=70,(_xlfn.XLOOKUP(B273,'Base stats'!B:B,'Base stats'!C:C)/70)^0.426489913056526,IF(_xlfn.XLOOKUP(B273,'Base stats'!B:B,'Base stats'!C:C)&lt;=400,(_xlfn.XLOOKUP(B273,'Base stats'!B:B,'Base stats'!C:C)/70)^0.572811455315093,IF(_xlfn.XLOOKUP(B273,'Base stats'!B:B,'Base stats'!C:C)&lt;=2000,2.71391647193063*(_xlfn.XLOOKUP(B273,'Base stats'!B:B,'Base stats'!C:C)/400)^0.252459582904293,3.74314280240376*(_xlfn.XLOOKUP(B273,'Base stats'!B:B,'Base stats'!C:C)/2000)^0.357012633876913)))),
IF(_xlfn.XLOOKUP(B273,'Base stats'!B:B,'Base stats'!C:C)&lt;0.1,0.05,IF(_xlfn.XLOOKUP(B273,'Base stats'!B:B,'Base stats'!C:C)&lt;0.4,0.1,IF(_xlfn.XLOOKUP(B273,'Base stats'!B:B,'Base stats'!C:C)&lt;=70,(_xlfn.XLOOKUP(B273,'Base stats'!B:B,'Base stats'!C:C)/70)^0.445823913056526,IF(_xlfn.XLOOKUP(B273,'Base stats'!B:B,'Base stats'!C:C)&lt;=400,(_xlfn.XLOOKUP(B273,'Base stats'!B:B,'Base stats'!C:C)/70)^0.572811455315093,IF(_xlfn.XLOOKUP(B273,'Base stats'!B:B,'Base stats'!C:C)&lt;=2000,2.71391647193063*(_xlfn.XLOOKUP(B273,'Base stats'!B:B,'Base stats'!C:C)/400)^0.252459582904293,3.74314280240376*(_xlfn.XLOOKUP(B273,'Base stats'!B:B,'Base stats'!C:C)/2000)^0.357012633876913)))))),
IF(_xlfn.XLOOKUP(B273,'Base stats'!B:B,'Base stats'!C:C)&lt;0.1,0.05,IF(_xlfn.XLOOKUP(B273,'Base stats'!B:B,'Base stats'!C:C)&lt;=100,0.05,IF(_xlfn.XLOOKUP(B273,'Base stats'!B:B,'Base stats'!C:C)&lt;=250,0.1,IF(_xlfn.XLOOKUP(B273,'Base stats'!B:B,'Base stats'!C:C)&lt;=4000,0.25,0.5)))))</f>
        <v>1.8</v>
      </c>
      <c r="AP273" s="8">
        <f>MROUND(AO273*_xlfn.XLOOKUP(_xlfn.XLOOKUP(B273,'Base stats'!B:B,'Base stats'!E:E),Groups!A:A,Groups!AI:AI)*_xlfn.XLOOKUP(B273,'Base stats'!B:B,'Base stats'!Z:Z),0.05)</f>
        <v>1.8</v>
      </c>
      <c r="AQ273" s="8">
        <f>MAX(0.01,MROUND(IF(CC273="True",0.196*(AO273*100*1000)^0.889,IF(_xlfn.XLOOKUP(_xlfn.XLOOKUP(B273,'Base stats'!B:B,'Base stats'!E:E),Groups!A:A,Groups!AJ:AJ)="Bird",10.5*(AO273*100*1000)^0.681,4.82*(AO273*100*1000)^0.734))/(4.82*(1*100*1000)^0.734)/IF(AO273&lt;3.5,2,IF(AO273=3.5,1.5,1.25))*(1+0.132282374779864/(AO273^0.994035016789033+0.00905238001496948)),0.05))</f>
        <v>0.95000000000000007</v>
      </c>
      <c r="AR273" s="9">
        <f>IFERROR(MROUND(_xlfn.XLOOKUP(B273,'Base stats'!B:B,'Base stats'!H:H)/IF(_xlfn.XLOOKUP(B273,'Base stats'!B:B,'Base stats'!I:I)&lt;&gt;1,(122.5/70),1.2),IF(_xlfn.XLOOKUP(B273,'Base stats'!B:B,'Base stats'!H:H)&gt;=30,5,IF(_xlfn.XLOOKUP(B273,'Base stats'!B:B,'Base stats'!H:H)&gt;=15,3,IF(_xlfn.XLOOKUP(B273,'Base stats'!B:B,'Base stats'!H:H)&gt;=10,2,1)))),"Immortal")</f>
        <v>30</v>
      </c>
      <c r="AS273" s="35" t="str">
        <f>IFERROR(IF(OR(_xlfn.XLOOKUP(B273,'Base stats'!B:B,'Base stats'!F:F)="Atypical reproduction",_xlfn.XLOOKUP(B273,'Base stats'!B:B,'Base stats'!F:F)="Lay eggs"),"Lay eggs",MIN(20,MAX(5.5,ROUND(((_xlfn.XLOOKUP(B273,'Base stats'!B:B,'Base stats'!F:F)-25)*(14.5/615) + 5.5)*2,0)/2))),"Unknown")</f>
        <v>Lay eggs</v>
      </c>
      <c r="AT273" s="8">
        <f>IF(_xlfn.XLOOKUP(B273,'Base stats'!B:B,'Base stats'!G:G)="Atypical reproduction","No",IFERROR(MAX(IF(_xlfn.XLOOKUP(B273,'Base stats'!B:B,'Base stats'!G:G)&lt;0.5,0.2,0.3),MROUND(_xlfn.XLOOKUP(B273,'Base stats'!B:B,'Base stats'!G:G)/(365/60),0.2)),"Unknown"))</f>
        <v>0.4</v>
      </c>
      <c r="AU273" s="8">
        <f t="shared" si="29"/>
        <v>0.2</v>
      </c>
      <c r="AV273" s="8" t="str">
        <f>IFERROR(IFERROR(MROUND(_xlfn.XLOOKUP(B273,'Base stats'!B:B,'Base stats'!J:J),0.1),"Lay eggs"),"Cannot breed")</f>
        <v>Lay eggs</v>
      </c>
      <c r="AW273" s="2" t="str">
        <f t="shared" si="30"/>
        <v>true</v>
      </c>
      <c r="AX273" s="2" t="str">
        <f>IF(_xlfn.XLOOKUP(_xlfn.XLOOKUP(Animals!B273,'Base stats'!B:B,'Base stats'!E:E),Groups!A:A,Groups!AK:AK)=1,"true","false")</f>
        <v>false</v>
      </c>
      <c r="AY273" s="25" t="str">
        <f>IF(_xlfn.XLOOKUP(B273,'Base stats'!B:B,'Base stats'!Y:Y)="Liquor","Liquor, CarnivoreAnimalStrict",IF(AND(_xlfn.XLOOKUP(B273,'Base stats'!B:B,'Base stats'!Y:Y)="Carnivore",_xlfn.XLOOKUP(_xlfn.XLOOKUP(B273,'Base stats'!B:B,'Base stats'!E:E),Groups!A:A,Groups!AJ:AJ)="Photonozoa"),"CarnivoreAnimalStrict, OvivoreAnimal",IF(_xlfn.XLOOKUP(B273,'Base stats'!B:B,'Base stats'!Y:Y)="Carnivore","CarnivoreAnimal, OvivoreAnimal",IF(_xlfn.XLOOKUP(B273,'Base stats'!B:B,'Base stats'!Y:Y)="Dendrovore","VegetarianRoughAnimal, DendrovoreAnimal",IF(_xlfn.XLOOKUP(B273,'Base stats'!B:B,'Base stats'!Y:Y)="Herbivore","VegetarianRoughAnimal",IF(_xlfn.XLOOKUP(B273,'Base stats'!B:B,'Base stats'!Y:Y)="OmnivoreRough","OmnivoreRoughAnimal, OvivoreAnimal","OmnivoreAnimal, OvivoreAnimal"))))))</f>
        <v>OmnivoreRoughAnimal, OvivoreAnimal</v>
      </c>
      <c r="AZ273" s="2" t="str">
        <f>IF(_xlfn.XLOOKUP(_xlfn.XLOOKUP(B273,'Base stats'!B:B,'Base stats'!E:E),Groups!A:A,Groups!D:D)=1,MROUND((1-J273)*5+1,2)*IF(J273&lt;=0.4,2,1),"No")</f>
        <v>No</v>
      </c>
      <c r="BA273" s="2" t="str">
        <f>IF(AND(_xlfn.XLOOKUP(B273,'Base stats'!B:B,'Base stats'!AH:AH)="&lt;li&gt;Seal&lt;/li&gt;",G273="Odyssey"),"&lt;li&gt;AEXP_Seal&lt;/li&gt;",_xlfn.XLOOKUP(B273,'Base stats'!B:B,'Base stats'!AH:AH))</f>
        <v>&lt;li&gt;AA_MeadowAve&lt;/li&gt;</v>
      </c>
      <c r="BB273" s="2" t="str">
        <f>_xlfn.XLOOKUP(B273,'Base stats'!B:B,'Base stats'!AG:AG)</f>
        <v>Leather_Bird</v>
      </c>
      <c r="BC273" s="23" t="str">
        <f>_xlfn.XLOOKUP(_xlfn.XLOOKUP(B273,'Base stats'!B:B,'Base stats'!E:E),Groups!A:A,Groups!AL:AL)</f>
        <v>Bird</v>
      </c>
      <c r="BD273" s="23">
        <f>MIN(1,MROUND(IF(AND(AO273&lt;0.5,_xlfn.XLOOKUP(B273,'Base stats'!B:B,'Base stats'!AA:AA)=0),0,IF(OR(_xlfn.XLOOKUP(Animals!B273,'Base stats'!B:B,'Base stats'!O:O)=2,_xlfn.XLOOKUP(_xlfn.XLOOKUP(B273,'Base stats'!B:B,'Base stats'!E:E),Groups!A:A,Groups!AN:AN)=0),0,_xlfn.XLOOKUP(_xlfn.XLOOKUP(B273,'Base stats'!B:B,'Base stats'!E:E),Groups!A:A,Groups!AN:AN)/IF(_xlfn.XLOOKUP(Animals!B273,'Base stats'!B:B,'Base stats'!O:O)=1,2,1)))+_xlfn.XLOOKUP(B273,'Base stats'!B:B,'Base stats'!AC:AC),0.005))</f>
        <v>2.5000000000000001E-2</v>
      </c>
      <c r="BE273" s="23">
        <f>MIN(1,MROUND(IF(AND(AO273&lt;0.5,_xlfn.XLOOKUP(B273,'Base stats'!B:B,'Base stats'!AA:AA)=0),0,IF(_xlfn.XLOOKUP(_xlfn.XLOOKUP(B273,'Base stats'!B:B,'Base stats'!E:E),Groups!A:A,Groups!AO:AO)=0,0,_xlfn.XLOOKUP(_xlfn.XLOOKUP(B273,'Base stats'!B:B,'Base stats'!E:E),Groups!A:A,Groups!AO:AO)/IF(_xlfn.XLOOKUP(Animals!B273,'Base stats'!B:B,'Base stats'!O:O)=2,3,1)))+_xlfn.XLOOKUP(B273,'Base stats'!B:B,'Base stats'!AD:AD),0.005))</f>
        <v>0.1</v>
      </c>
      <c r="BF273" s="2" t="str">
        <f>IF(J273&gt;0.3,"No",_xlfn.XLOOKUP(_xlfn.XLOOKUP(Animals!B273,'Base stats'!B:B,'Base stats'!E:E),Groups!A:A,Groups!AP:AP))</f>
        <v>No</v>
      </c>
      <c r="BG273" s="2" t="str">
        <f>IF(AND(J273&lt;=0.65,_xlfn.XLOOKUP(_xlfn.XLOOKUP(Animals!B273,'Base stats'!B:B,'Base stats'!E:E),Groups!A:A,Groups!AP:AP)&lt;&gt;"No",_xlfn.XLOOKUP(_xlfn.XLOOKUP(B273,'Base stats'!B:B,'Base stats'!E:E),Groups!A:A,Groups!D:D)=0),MROUND((80/3)*IF(_xlfn.XLOOKUP(B273,'Base stats'!B:B,'Base stats'!O:O)=2,0.2,AO273) + 24*(1-IF(BF273="No",0,BF273)) + 16/3, 12),"No")</f>
        <v>No</v>
      </c>
      <c r="BH273" s="2">
        <f>IF(AND(_xlfn.XLOOKUP(_xlfn.XLOOKUP(B273,'Base stats'!B:B,'Base stats'!E:E),Groups!A:A,Groups!AQ:AQ)=1,AO273&lt;=0.35),8,12)</f>
        <v>12</v>
      </c>
      <c r="BI273" s="2" t="str">
        <f>IF(_xlfn.XLOOKUP(_xlfn.XLOOKUP(B273,'Base stats'!B:B,'Base stats'!E:E),Groups!A:A,Groups!D:D)=0,_xlfn.XLOOKUP(_xlfn.XLOOKUP(B273,'Base stats'!B:B,'Base stats'!E:E),Groups!A:A,Groups!AR:AR),"None")</f>
        <v>Intermediate</v>
      </c>
      <c r="BJ273" s="2" t="str">
        <f>IF(AND(_xlfn.XLOOKUP(_xlfn.XLOOKUP(B273,'Base stats'!B:B,'Base stats'!E:E),Groups!A:A,Groups!AS:AS)=1,OR(_xlfn.XLOOKUP(B273,'Base stats'!B:B,'Base stats'!Y:Y)="Carnivore",_xlfn.XLOOKUP(B273,'Base stats'!B:B,'Base stats'!Y:Y)="Omnivore")),"true","false")</f>
        <v>false</v>
      </c>
      <c r="BK273" s="2" t="str">
        <f>IF(BJ273="true",MROUND(IF(AND(AO273&gt;0.5,OR(_xlfn.XLOOKUP(_xlfn.XLOOKUP(B273,'Base stats'!B:B,'Base stats'!E:E),Groups!A:A,Groups!AJ:AJ)="Photonozoa",_xlfn.XLOOKUP(_xlfn.XLOOKUP(B273,'Base stats'!B:B,'Base stats'!E:E),Groups!A:A,Groups!AJ:AJ)="Mammal")),Animals!AO273*1.75*IF(AW273="true",1.5,1),IF(AO273&lt;0.5,Animals!AO273*0.5,Animals!AO273)),IF(AO273&gt;2,0.5,IF(AO273&gt;0.5,0.25,0.1))),"No")</f>
        <v>No</v>
      </c>
      <c r="BL273" s="2">
        <f t="shared" si="31"/>
        <v>1</v>
      </c>
      <c r="BM273" s="25" t="str">
        <f>IF(_xlfn.XLOOKUP(B273,'Base stats'!B:B,'Base stats'!AN:AN)="Standard","No",MROUND((_xlfn.XLOOKUP(B273,'Base stats'!B:B,'Base stats'!AN:AN)/3.6)/I273,0.1))</f>
        <v>No</v>
      </c>
      <c r="BN273" s="25" t="str">
        <f t="shared" si="32"/>
        <v>false</v>
      </c>
      <c r="BO273" s="25" t="str">
        <f>IF(AND(OR(_xlfn.XLOOKUP(B273,'Base stats'!B:B,'Base stats'!Y:Y)="Carnivore",_xlfn.XLOOKUP(B273,'Base stats'!B:B,'Base stats'!Y:Y)="Omnivore",_xlfn.XLOOKUP(B273,'Base stats'!B:B,'Base stats'!Y:Y)="OmnivoreRough"),_xlfn.XLOOKUP(_xlfn.XLOOKUP(B273,'Base stats'!B:B,'Base stats'!E:E),Groups!A:A,Groups!AT:AT)=1),"true","false")</f>
        <v>false</v>
      </c>
      <c r="BP273" s="25" t="str" cm="1">
        <f t="array" ref="BP273">IF(
  _xlfn.TEXTJOIN(", ",TRUE,
    IF(AND(BJ273="true",AO273&gt;0.5,BI273&lt;&gt;"None"),"AttackTarget",""),
    IF(AND(_xlfn.XLOOKUP(_xlfn.XLOOKUP(B273,'Base stats'!B:B,'Base stats'!E:E),Groups!A:A,Groups!AJ:AJ="Mammal"),OR(_xlfn.XLOOKUP(B273,'Base stats'!B:B,'Base stats'!Y:Y)="Omnivore",_xlfn.XLOOKUP(B273,'Base stats'!B:B,'Base stats'!Y:Y)="OmnivoreRough")),"Forage",""),
    IF(BG273&lt;=36,"Comfort",""),
    IF(_xlfn.XLOOKUP(B273,'Base stats'!B:B,'Base stats'!AE:AE)&lt;&gt;"No",_xlfn.XLOOKUP(B273,'Base stats'!B:B,'Base stats'!AE:AE),"")
  ) = "",
  "No",
  _xlfn.TEXTJOIN(", ",TRUE,
    IF(AND(BJ273="true",AO273&gt;0.5,BI273&lt;&gt;"None"),"AttackTarget",""),
    IF(AND(_xlfn.XLOOKUP(_xlfn.XLOOKUP(B273,'Base stats'!B:B,'Base stats'!E:E),Groups!A:A,Groups!AJ:AJ="Mammal"),OR(_xlfn.XLOOKUP(B273,'Base stats'!B:B,'Base stats'!Y:Y)="Omnivore",_xlfn.XLOOKUP(B273,'Base stats'!B:B,'Base stats'!Y:Y)="OmnivoreRough")),"Forage",""),
    IF(BG273&lt;=36,"Comfort",""),
    IF(_xlfn.XLOOKUP(B273,'Base stats'!B:B,'Base stats'!AE:AE)&lt;&gt;"No",_xlfn.XLOOKUP(B273,'Base stats'!B:B,'Base stats'!AE:AE),"")
  )
)</f>
        <v>No</v>
      </c>
      <c r="BQ273" s="25" t="str">
        <f>IF(
   AND(
      'Base stats'!AN273="Standard",_xlfn.XLOOKUP(_xlfn.XLOOKUP(B273,'Base stats'!B:B,'Base stats'!E:E),Groups!A:A,Groups!AU:AU)=0,
      OR(
      BO273="True"
      )
   ),
   10,
   IF(
       OR(BM273&lt;&gt;"No",_xlfn.XLOOKUP(_xlfn.XLOOKUP(B273,'Base stats'!B:B,'Base stats'!E:E),Groups!A:A,Groups!AU:AU)=1),
      1,
      "No"
   )
)</f>
        <v>No</v>
      </c>
      <c r="BR273" s="9">
        <f>MROUND((1 + ((0.2*IF(OR(Q273="No",R273="No",R273=0),0,Q273/R273)
+IF(OR(V273="No",S273="No",T273="No"),0,S273/T273*(LEN(V273)-LEN(SUBSTITUTE(V273,",",""))+1))
+IF(OR(X273="No",Y273="No"),0,X273/Y273)
+IF(OR(AD273="No",AE273="No"),0,AD273/AE273)
+IF(OR(AL273="No",AI273="No",AJ273="No"),0,AI273/AJ273*(LEN(AL273)-LEN(SUBSTITUTE(AL273,",",""))+1))
)/(0.2*IF(OR(Q273="No",R273="No",R273=0),0,1)
+IF(OR(V273="No",S273="No",T273="No"),0,LEN(V273)-LEN(SUBSTITUTE(V273,",",""))+1)
+IF(OR(X273="No",Y273="No"),0,1)
+IF(OR(AD273="No",AE273="No"),0,1)
+IF(OR(AL273="No",AI273="No",AJ273="No"),0,LEN(AL273)-LEN(SUBSTITUTE(AL273,",",""))+1))*62%)* 2)*(1 + (AP273 / (IF(_xlfn.XLOOKUP(_xlfn.XLOOKUP(B273,'Base stats'!B:B,'Base stats'!E:E),Groups!A:A,Groups!AJ:AJ)="Photonozoa",0.3,1)) + _xlfn.XLOOKUP(B273,'Base stats'!B:B,'Base stats'!AV:AV) * 1.8) * 2) * 2.5 + 10 + I273 * 2,5)+IF(_xlfn.XLOOKUP(B273,'Base stats'!B:B,'Base stats'!AK:AK)=1,50,0)</f>
        <v>135</v>
      </c>
      <c r="BS273" s="8">
        <f t="shared" si="33"/>
        <v>1.1000000000000001</v>
      </c>
      <c r="BT273" s="8" t="str">
        <f>_xlfn.XLOOKUP(B273,'Base stats'!B:B,'Base stats'!AF:AF)</f>
        <v>2~6</v>
      </c>
      <c r="BU273" s="2" t="str">
        <f>IF(AND(J273&lt;=0.95,OR(_xlfn.XLOOKUP(B273,'Base stats'!B:B,'Base stats'!AK:AK)=1,_xlfn.XLOOKUP(B273,'Base stats'!B:B,'Base stats'!Y:Y)="Carnivore",_xlfn.XLOOKUP(B273,'Base stats'!B:B,'Base stats'!Y:Y)="Omnivore",BE273&gt;0.1)),"true","false")</f>
        <v>false</v>
      </c>
      <c r="BV273" s="2" t="str">
        <f>IF(_xlfn.XLOOKUP(B273,'Base stats'!B:B,'Base stats'!AI:AI)=1,"true","false")</f>
        <v>true</v>
      </c>
      <c r="BW273" s="25" t="str">
        <f>IF(E273="BaseInsect","AnimalInsect",
IF(J273&gt;0.95,"AnimalExotic",
_xlfn.TEXTJOIN(", ",TRUE,
IF(OR(_xlfn.XLOOKUP(B273,'Base stats'!B:B,'Base stats'!AM:AM)=1,AND(_xlfn.XLOOKUP(B273,'Base stats'!B:B,'Base stats'!O:O)=0,_xlfn.XLOOKUP(_xlfn.XLOOKUP(B273,'Base stats'!B:B,'Base stats'!E:E),Groups!A:A,Groups!B:B)&gt;0)),"AnimalUncommon","AnimalCommon"),
IF(AND(_xlfn.XLOOKUP(B273,'Base stats'!B:B,'Base stats'!O:O)=2,_xlfn.XLOOKUP(_xlfn.XLOOKUP(B273,'Base stats'!B:B,'Base stats'!E:E),Groups!A:A,Groups!D:D)=0),"AnimalPet",IF(AND(_xlfn.XLOOKUP(B273,'Base stats'!B:B,'Base stats'!O:O)&lt;&gt;0,_xlfn.XLOOKUP(_xlfn.XLOOKUP(B273,'Base stats'!B:B,'Base stats'!E:E),Groups!A:A,Groups!D:D)&lt;&gt;0),"AnimalFarm","")),
IF(OR(_xlfn.XLOOKUP(B273,'Base stats'!B:B,'Base stats'!AK:AK)=1,AND(BI273&lt;&gt;"None",BR273&gt;=60),ISNUMBER(SEARCH("Attack target",BP273))),"AnimalFighter","")
)))</f>
        <v>AnimalUncommon, AnimalFighter</v>
      </c>
      <c r="BX273" s="25" t="str">
        <f>IF(G273="None",TRIM(
SUBSTITUTE(
IF(COUNTIF(Biomes!B$2:B$259,"="&amp;$C273)&gt;0,Biomes!B$1&amp;", ","")&amp;
IF(COUNTIF(Biomes!C$2:C$259,"="&amp;$C273)&gt;0,Biomes!C$1&amp;", ","")&amp;
IF(COUNTIF(Biomes!D$2:D$259,"="&amp;$C273)&gt;0,Biomes!D$1&amp;", ","")&amp;
IF(COUNTIF(Biomes!F$2:F$259,"="&amp;$C273)&gt;0,Biomes!F$1&amp;", ","")&amp;
IF(COUNTIF(Biomes!G$2:G$259,"="&amp;$C273)&gt;0,Biomes!G$1&amp;", ","")&amp;
IF(COUNTIF(Biomes!H$2:H$259,"="&amp;$C273)&gt;0,Biomes!H$1&amp;", ","")&amp;
IF(COUNTIF(Biomes!I$2:I$259,"="&amp;$C273)&gt;0,Biomes!I$1&amp;", ","")&amp;
IF(COUNTIF(Biomes!J$2:J$259,"="&amp;$C273)&gt;0,Biomes!J$1&amp;", ","")&amp;
IF(COUNTIF(Biomes!M$2:M$259,"="&amp;$C273)&gt;0,Biomes!M$1&amp;", ","")&amp;
IF(COUNTIF(Biomes!N$2:N$259,"="&amp;$C273)&gt;0,Biomes!N$1&amp;", ","")&amp;
IF(COUNTIF(Biomes!O$2:O$259,"="&amp;$C273)&gt;0,Biomes!O$1&amp;", ","")&amp;
IF(COUNTIF(Biomes!P$2:P$259,"="&amp;$C273)&gt;0,Biomes!P$1&amp;", ","")&amp;
IF(COUNTIF(Biomes!K$2:K$259,"="&amp;$C273)&gt;0,Biomes!K$1&amp;", ","")&amp;
IF(COUNTIF(Biomes!Q$3:Q$259,"="&amp;$C273)&gt;0,Biomes!Q$1&amp;", ","")&amp;
IF(COUNTIF(Biomes!L$2:L$259,"="&amp;$C273)&gt;0,Biomes!L$1&amp;", ","")&amp;
IF(COUNTIF(Biomes!E$2:E$259,"="&amp;$C273)&gt;0,Biomes!E$1&amp;", ","")&amp;IF(COUNTIF(Biomes!S$2:S$259,"="&amp;$C273)&gt;0,Biomes!S$1&amp;", ","")&amp;
IF(COUNTIF(Biomes!R$2:R$259,"="&amp;$C273)&gt;0,Biomes!R$1&amp;", ",""),", ","")
),_xlfn.XLOOKUP(B273,B:B,BX:BX))</f>
        <v>SeaIce IceSheet Tundra BorealForest ColdBog GlacialPlain</v>
      </c>
      <c r="BY273" s="25" t="str">
        <f>IF(_xlfn.XLOOKUP(B273,'Base stats'!B:B,'Base stats'!AJ:AJ)=1,"true","false")</f>
        <v>false</v>
      </c>
      <c r="BZ273" s="25">
        <f>IF(_xlfn.XLOOKUP(B273,'Base stats'!B:B,'Base stats'!N:N)=1,"No",MAX(0.001,MIN(MROUND(IF(AND(BJ273="True",CC273="False"),POWER(10,3.47*LOG10(_xlfn.XLOOKUP(B273,'Base stats'!B:B,'Base stats'!C:C)*1000)^-0.96),POWER(10,4.15*LOG10(_xlfn.XLOOKUP(B273,'Base stats'!B:B,'Base stats'!C:C)*1000)^-0.73))*IF(_xlfn.XLOOKUP(B273,'Base stats'!B:B,'Base stats'!AK:AK)=1,0.5,1)*IF(_xlfn.XLOOKUP(B273,'Base stats'!B:B,'Base stats'!AM:AM)=1,0.1,1)/100,IF(_xlfn.XLOOKUP(B273,'Base stats'!B:B,'Base stats'!AM:AM)=1,0.001,0.025)),0.5)))</f>
        <v>1.7000000000000001E-2</v>
      </c>
      <c r="CA273" s="25" t="str">
        <f>IF(P273="Standard","No",MAX(0.001,MIN(MROUND(IF(AND(BJ273="True",CC273="False"),POWER(10,3.47*LOG10(_xlfn.XLOOKUP(B273,'Base stats'!B:B,'Base stats'!C:C)*1000)^-0.96),POWER(10,4.15*LOG10(_xlfn.XLOOKUP(B273,'Base stats'!B:B,'Base stats'!C:C)*1000)^-0.73))*IF(_xlfn.XLOOKUP(B273,'Base stats'!B:B,'Base stats'!AM:AM)=1,0.1,1)*_xlfn.XLOOKUP(B273,'Base stats'!B:B,'Base stats'!R:R)/100,IF(_xlfn.XLOOKUP(B273,'Base stats'!B:B,'Base stats'!AM:AM)=1,0.001,0.025)),0.5)))</f>
        <v>No</v>
      </c>
      <c r="CB273" s="25" t="str">
        <f>IF(_xlfn.XLOOKUP(_xlfn.XLOOKUP(B273,'Base stats'!B:B,'Base stats'!E:E),Groups!A:A,Groups!AJ:AJ)="Mammal","True","False")</f>
        <v>False</v>
      </c>
      <c r="CC273" s="25" t="str">
        <f>IF(OR(_xlfn.XLOOKUP(_xlfn.XLOOKUP(B273,'Base stats'!B:B,'Base stats'!E:E),Groups!A:A,Groups!AJ:AJ)="Reptile",_xlfn.XLOOKUP(_xlfn.XLOOKUP(B273,'Base stats'!B:B,'Base stats'!E:E),Groups!A:A,Groups!AJ:AJ)="Amphibian",_xlfn.XLOOKUP(_xlfn.XLOOKUP(B273,'Base stats'!B:B,'Base stats'!E:E),Groups!A:A,Groups!AJ:AJ)="Invertebrate"),"True","False")</f>
        <v>False</v>
      </c>
      <c r="CD273" s="25" t="str">
        <f t="shared" si="34"/>
        <v>False</v>
      </c>
      <c r="CE273" s="25" t="str">
        <f>IF(_xlfn.XLOOKUP(_xlfn.XLOOKUP(B273,'Base stats'!B:B,'Base stats'!E:E),Groups!A:A,Groups!AX:AX),"True","False")</f>
        <v>False</v>
      </c>
      <c r="CF273" s="25" t="str">
        <f>IF(_xlfn.XLOOKUP(_xlfn.XLOOKUP(B273,'Base stats'!B:B,'Base stats'!E:E),Groups!A:A,Groups!AY:AY),"True","False")</f>
        <v>False</v>
      </c>
      <c r="CG273" s="25" t="str">
        <f>IF(_xlfn.XLOOKUP(_xlfn.XLOOKUP(B273,'Base stats'!B:B,'Base stats'!E:E),Groups!A:A,Groups!AW:AW),"True","False")</f>
        <v>False</v>
      </c>
      <c r="CH273" s="25" t="str">
        <f>IF(
OR(
_xlfn.XLOOKUP(_xlfn.XLOOKUP(B273,'Base stats'!B:B,'Base stats'!E:E),Groups!A:A,Groups!AZ:AZ)=0,
AND(
_xlfn.XLOOKUP(B273,'Base stats'!B:B,'Base stats'!Y:Y)&lt;&gt;"Carnivore",
_xlfn.XLOOKUP(B273,'Base stats'!B:B,'Base stats'!Y:Y)&lt;&gt;"Omnivore",
_xlfn.XLOOKUP(B273,'Base stats'!B:B,'Base stats'!Y:Y)&lt;&gt;"OmnivoreRough"
)
),
"No",
IF(
_xlfn.XLOOKUP(_xlfn.XLOOKUP(B273,'Base stats'!B:B,'Base stats'!E:E),Groups!A:A,Groups!AZ:AZ)=1,
"Flesh",
IF(
_xlfn.XLOOKUP(_xlfn.XLOOKUP(B273,'Base stats'!B:B,'Base stats'!E:E),Groups!A:A,Groups!AZ:AZ)=2,
"Bone",
""
)
)
)</f>
        <v>No</v>
      </c>
      <c r="CI273" s="25" t="str">
        <f>IF(_xlfn.XLOOKUP(_xlfn.XLOOKUP(B273,'Base stats'!B:B,'Base stats'!E:E),Groups!A:A,Groups!BB:BB),"True","False")</f>
        <v>True</v>
      </c>
      <c r="CJ273" s="25" t="str">
        <f>IF(_xlfn.XLOOKUP(_xlfn.XLOOKUP(B273,'Base stats'!B:B,'Base stats'!E:E),Groups!A:A,Groups!BA:BA),"True","False")</f>
        <v>False</v>
      </c>
    </row>
    <row r="274" spans="1:88" ht="16.5" thickTop="1" thickBot="1" x14ac:dyDescent="0.3">
      <c r="A274" s="26" t="s">
        <v>1454</v>
      </c>
      <c r="B274" s="6" t="str">
        <f>_xlfn.XLOOKUP(A274,'Base stats'!A:A,'Base stats'!B:B)</f>
        <v>Genix frostis</v>
      </c>
      <c r="C274" s="28" t="s">
        <v>1455</v>
      </c>
      <c r="D274" s="28" t="s">
        <v>1341</v>
      </c>
      <c r="E274" s="28" t="s">
        <v>673</v>
      </c>
      <c r="F274" s="28" t="s">
        <v>673</v>
      </c>
      <c r="G274" s="28" t="s">
        <v>673</v>
      </c>
      <c r="H274" s="2">
        <f>MROUND((
  (IF(AND(_xlfn.XLOOKUP(B274,'Base stats'!B:B,'Base stats'!AL:AL)=0,BI274="None",_xlfn.XLOOKUP(_xlfn.XLOOKUP(B274,'Base stats'!B:B,'Base stats'!E:E),Groups!A:A,Groups!B:B)=0), (18 + BR274 * 2.7) * 0.5,
    IF(AND(_xlfn.XLOOKUP(B274,'Base stats'!B:B,'Base stats'!AL:AL)=0,OR(AO274&lt;0.55,AND(BI274="Intermediate",_xlfn.XLOOKUP(_xlfn.XLOOKUP(B274,'Base stats'!B:B,'Base stats'!E:E),Groups!A:A,Groups!B:B)&lt;2))), (18 + BR274 * 2.7),
      IF(OR(BI274="Advanced",_xlfn.XLOOKUP(B274,'Base stats'!B:B,'Base stats'!AL:AL)=1,_xlfn.XLOOKUP(_xlfn.XLOOKUP(B274,'Base stats'!B:B,'Base stats'!E:E),Groups!A:A,Groups!B:B)=2), (18 + BR274 * 2.7) + 250, (18 + BR274 * 2.7))
    )
  ))
  + AO274 * 80
  + IF(COUNTIF(EggMilk!K$2:K$998, A274) &gt; 0, 125, 0)
  + IF(COUNTIF(EggMilk!P$2:P$998, A274) &gt; 0, 90, 0)
  + IF(COUNTIF(EggMilk!A$2:A$998, A274) &gt; 0, 90, 0)
)
* (0.8 + 0.4 * J274)
* 0.75,25)</f>
        <v>675</v>
      </c>
      <c r="I274" s="2">
        <f>MROUND(ROUNDDOWN(_xlfn.XLOOKUP(B274,'Base stats'!B:B,'Base stats'!L:L)/3.6/(23.3/11),1),0.5)</f>
        <v>7.5</v>
      </c>
      <c r="J274" s="2">
        <f>IF(OR(_xlfn.XLOOKUP(B274,'Base stats'!B:B,'Base stats'!AB:AB)=1,_xlfn.XLOOKUP(_xlfn.XLOOKUP(B274,'Base stats'!B:B,'Base stats'!E:E),Groups!A:A,Groups!C:C)="Untamable"),1,IF(_xlfn.XLOOKUP(B274,'Base stats'!B:B,'Base stats'!AL:AL)=1,0.99,MIN(MROUND((1-0.6282*EXP(-0.459*AO274))*_xlfn.XLOOKUP(_xlfn.XLOOKUP(B274,'Base stats'!B:B,'Base stats'!E:E),Groups!A:A,Groups!C:C)*IF(_xlfn.XLOOKUP(B274,'Base stats'!B:B,'Base stats'!O:O)=1,0.5,IF(_xlfn.XLOOKUP(B274,'Base stats'!B:B,'Base stats'!O:O)=2,0,1)),0.05),IF(AO274&gt;3.5,0.985,0.95))))</f>
        <v>0.8</v>
      </c>
      <c r="K274" s="2">
        <f>ROUNDUP(AO274*_xlfn.XLOOKUP(_xlfn.XLOOKUP(B274,'Base stats'!B:B,'Base stats'!E:E),Groups!A:A,Groups!E:E),0)</f>
        <v>2</v>
      </c>
      <c r="L274" s="2">
        <f>IF(OR(_xlfn.XLOOKUP(_xlfn.XLOOKUP(B274,'Base stats'!B:B,'Base stats'!E:E),Groups!A:A,Groups!F:F)=2,ISNUMBER(SEARCH("SeaIce",BX274)),ISNUMBER(SEARCH("IceSheet",BX274))),-50,IF(OR(ISNUMBER(SEARCH("GlacialPlain",BX274)),ISNUMBER(SEARCH("Tundra",BX274))),-40,IF(OR(ISNUMBER(SEARCH("Alpine",BX274)),ISNUMBER(SEARCH("BorealForest",BX274)),ISNUMBER(SEARCH("ColdBog",BX274))),-30,IF(OR(ISNUMBER(SEARCH("TemperateForest",BX274)),ISNUMBER(SEARCH("TemperateSwamp",BX274))),-20,IF(_xlfn.XLOOKUP(_xlfn.XLOOKUP(B274,'Base stats'!B:B,'Base stats'!E:E),Groups!A:A,Groups!F:F)=1,-15,IF(OR(ISNUMBER(SEARCH("Desert",BX274)),ISNUMBER(SEARCH("ExtremeDesert",BX274))),-10,IF(OR(ISNUMBER(SEARCH("Grasslands",BX274)),ISNUMBER(SEARCH("TropicalRainforest",BX274)),ISNUMBER(SEARCH("TropicalSwamp",BX274))),10,0)))))))-IF(CC274="False",MIN(IFERROR(MAX(MROUND(LOG10(_xlfn.XLOOKUP(B274,'Base stats'!B:B,'Base stats'!C:C)^(2/3))*10,5),5),5),30))-_xlfn.XLOOKUP(B274,'Base stats'!B:B,'Base stats'!P:P)+IF(CC274="True",5,0)</f>
        <v>-65</v>
      </c>
      <c r="M274" s="2">
        <f>IF(OR(_xlfn.XLOOKUP(_xlfn.XLOOKUP(B274,'Base stats'!B:B,'Base stats'!E:E),Groups!A:A,Groups!G:G)=2,ISNUMBER(SEARCH("Desert",BX274)),ISNUMBER(SEARCH("ExtremeDesert",BX274)),ISNUMBER(SEARCH("LavaField",BX274))),50,IF(ISNUMBER(SEARCH("Grasslands",BX274)),45,IF(OR(_xlfn.XLOOKUP(_xlfn.XLOOKUP(B274,'Base stats'!B:B,'Base stats'!E:E),Groups!A:A,Groups!G:G)=1,ISNUMBER(SEARCH("TropicalRainforest",BX274)),ISNUMBER(SEARCH("TropicalSwamp",BX274))),40,IF(OR(ISNUMBER(SEARCH("TemperateForest",BX274)),ISNUMBER(SEARCH("TemperateSwamp",BX274))),35,IF(OR(ISNUMBER(SEARCH("Alpine",BX274)),ISNUMBER(SEARCH("BorealForest",BX274)),ISNUMBER(SEARCH("ColdBog",BX274))),30,IF(ISNUMBER(OR(ISNUMBER(SEARCH("GlacialPlain",BX274)),SEARCH("Tundra",BX274))),25,IF(OR(ISNUMBER(SEARCH("SeaIce",BX274)),ISNUMBER(SEARCH("IceSheet",BX274)),ISNUMBER(SEARCH("TropicalSwamp",BX274))),10,35)))))))+_xlfn.XLOOKUP(B274,'Base stats'!B:B,'Base stats'!Q:Q)</f>
        <v>40</v>
      </c>
      <c r="N274" s="8" t="str">
        <f>IF(
_xlfn.XLOOKUP(
_xlfn.XLOOKUP(B274,'Base stats'!B:B,'Base stats'!E:E),
Groups!A:A,
Groups!L:L
)=1,
MIN(
MROUND(
IF(
_xlfn.XLOOKUP(B274,'Animals CE'!B:B,'Animals CE'!Z:Z)&lt;=1.5,
_xlfn.XLOOKUP(B274,'Animals CE'!B:B,'Animals CE'!Z:Z)/2+0.05,
0.8+
(_xlfn.XLOOKUP(B274,'Animals CE'!B:B,'Animals CE'!Z:Z)-1.5)
*0.02
),
0.05
),
200%
),
"No"
)</f>
        <v>No</v>
      </c>
      <c r="O274" s="8" t="str">
        <f>IF(
_xlfn.XLOOKUP(
_xlfn.XLOOKUP(B274,'Base stats'!B:B,'Base stats'!E:E),
Groups!A:A,
Groups!L:L
)=1,
MIN(
MROUND(
IF(
_xlfn.XLOOKUP(B274,'Animals CE'!B:B,'Animals CE'!AA:AA)&lt;=1.5,
_xlfn.XLOOKUP(B274,'Animals CE'!B:B,'Animals CE'!AA:AA)/2+0.05,
0.8+
(_xlfn.XLOOKUP(B274,'Animals CE'!B:B,'Animals CE'!AA:AA)-1.5)
*0.02
),
0.05
),
200%
),
"No"
)</f>
        <v>No</v>
      </c>
      <c r="P274" s="2" t="str">
        <f>_xlfn.XLOOKUP(B274,'Base stats'!B:B,'Base stats'!R:R)</f>
        <v>Standard</v>
      </c>
      <c r="Q274" s="13">
        <f>MROUND((LOG10(_xlfn.XLOOKUP(B274,'Base stats'!B:B,'Base stats'!AR:AR))*(AO274^0.5)+(_xlfn.XLOOKUP(B274,'Base stats'!B:B,'Base stats'!AR:AR)/1000)^(2/3)+_xlfn.XLOOKUP(B274,'Base stats'!B:B,'Base stats'!BA:BA)/2)+0.5,0.5)</f>
        <v>8.5</v>
      </c>
      <c r="R274" s="7">
        <f>IF(Q274="No","No",MAX(1,MROUND(_xlfn.XLOOKUP(B274,'Base stats'!B:B,'Base stats'!C:C)^0.165,0.05)))</f>
        <v>2.15</v>
      </c>
      <c r="S274" s="13" t="str">
        <f>IF(_xlfn.XLOOKUP(_xlfn.XLOOKUP(B274,'Base stats'!B:B,'Base stats'!E:E),Groups!A:A,Groups!P:P)=0,"No",MROUND((LOG10(_xlfn.XLOOKUP(B274,'Base stats'!B:B,'Base stats'!AS:AS))*(AO274^0.5)+(_xlfn.XLOOKUP(B274,'Base stats'!B:B,'Base stats'!AS:AS)/1000)^(2/3)+_xlfn.XLOOKUP(B274,'Base stats'!B:B,'Base stats'!BA:BA))+_xlfn.XLOOKUP(B274,'Base stats'!B:B,'Base stats'!AY:AY)+0.5,0.5))</f>
        <v>No</v>
      </c>
      <c r="T274" s="7" t="str">
        <f>IF(S274="No","No",MAX(_xlfn.XLOOKUP(_xlfn.XLOOKUP(B274,'Base stats'!B:B,'Base stats'!E:E),Groups!A:A,Groups!Q:Q),MROUND(_xlfn.XLOOKUP(_xlfn.XLOOKUP(B274,'Base stats'!B:B,'Base stats'!E:E),Groups!A:A,Groups!Q:Q)*_xlfn.XLOOKUP(B274,'Base stats'!B:B,'Base stats'!C:C)^0.165,0.05)))</f>
        <v>No</v>
      </c>
      <c r="U274" s="7" t="str">
        <f>IF(S274="No","No",_xlfn.XLOOKUP(_xlfn.XLOOKUP(B274,'Base stats'!B:B,'Base stats'!E:E),Groups!A:A,Groups!R:R))</f>
        <v>No</v>
      </c>
      <c r="V274" s="7" t="str">
        <f>IF(S274="No","No",_xlfn.XLOOKUP(_xlfn.XLOOKUP(B274,'Base stats'!B:B,'Base stats'!E:E),Groups!A:A,Groups!S:S))</f>
        <v>No</v>
      </c>
      <c r="W274" s="7" t="str">
        <f>IF(S274="No","No",_xlfn.XLOOKUP(_xlfn.XLOOKUP(B274,'Base stats'!B:B,'Base stats'!E:E),Groups!A:A,Groups!T:T))</f>
        <v>No</v>
      </c>
      <c r="X274" s="13" t="str">
        <f>IF(_xlfn.XLOOKUP(B274,'Base stats'!B:B,'Base stats'!W:W)="No","No",MROUND((LOG10(_xlfn.XLOOKUP(B274,'Base stats'!B:B,'Base stats'!AU:AU))*(AO274^0.5)+(_xlfn.XLOOKUP(B274,'Base stats'!B:B,'Base stats'!AU:AU)/1000)^(2/3)+_xlfn.XLOOKUP(B274,'Base stats'!B:B,'Base stats'!AZ:AZ))+0.5+IF(_xlfn.XLOOKUP(_xlfn.XLOOKUP(B274,'Base stats'!B:B,'Base stats'!E:E),Groups!A:A,Groups!U:U)&lt;&gt;3,_xlfn.XLOOKUP(B274,'Base stats'!B:B,'Base stats'!BA:BA),0),0.5))</f>
        <v>No</v>
      </c>
      <c r="Y274" s="7" t="str">
        <f>IF(X274="No","No",MAX(_xlfn.XLOOKUP(_xlfn.XLOOKUP(B274,'Base stats'!B:B,'Base stats'!E:E),Groups!A:A,Groups!V:V),MROUND(_xlfn.XLOOKUP(_xlfn.XLOOKUP(B274,'Base stats'!B:B,'Base stats'!E:E),Groups!A:A,Groups!V:V)*_xlfn.XLOOKUP(B274,'Base stats'!B:B,'Base stats'!C:C)^0.165,0.05)))</f>
        <v>No</v>
      </c>
      <c r="Z274" s="7" t="str">
        <f>IF(X274="No","No",_xlfn.XLOOKUP(_xlfn.XLOOKUP(B274,'Base stats'!B:B,'Base stats'!E:E),Groups!A:A,Groups!W:W))</f>
        <v>No</v>
      </c>
      <c r="AA274" s="7" t="str">
        <f>IF(X274="No","No",_xlfn.XLOOKUP(_xlfn.XLOOKUP(B274,'Base stats'!B:B,'Base stats'!E:E),Groups!A:A,Groups!X:X))</f>
        <v>No</v>
      </c>
      <c r="AB274" s="7" t="str">
        <f>IF(X274="No","No",_xlfn.XLOOKUP(_xlfn.XLOOKUP(B274,'Base stats'!B:B,'Base stats'!E:E),Groups!A:A,Groups!Y:Y))</f>
        <v>No</v>
      </c>
      <c r="AC274" s="7" t="str">
        <f>_xlfn.XLOOKUP(Animals!B274,'Base stats'!B:B,'Base stats'!X:X)</f>
        <v>False</v>
      </c>
      <c r="AD274" s="13">
        <f>IF(_xlfn.XLOOKUP(B274,'Base stats'!B:B,'Base stats'!AT:AT)="No","No",MROUND((LOG10(_xlfn.XLOOKUP(B274,'Base stats'!B:B,'Base stats'!AT:AT))*(AO274^0.75)+(_xlfn.XLOOKUP(B274,'Base stats'!B:B,'Base stats'!AT:AT)/1000)^(2/3)+_xlfn.XLOOKUP(B274,'Base stats'!B:B,'Base stats'!AX:AX)+_xlfn.XLOOKUP(B274,'Base stats'!B:B,'Base stats'!BA:BA))+0.5,0.5))</f>
        <v>15.5</v>
      </c>
      <c r="AE274" s="7">
        <f>IF(AD274="No","No",MAX(_xlfn.XLOOKUP(_xlfn.XLOOKUP(B274,'Base stats'!B:B,'Base stats'!E:E),Groups!A:A,Groups!Z:Z),MROUND(_xlfn.XLOOKUP(_xlfn.XLOOKUP(B274,'Base stats'!B:B,'Base stats'!E:E),Groups!A:A,Groups!Z:Z)*_xlfn.XLOOKUP(B274,'Base stats'!B:B,'Base stats'!C:C)^0.165,0.05)))</f>
        <v>1.5</v>
      </c>
      <c r="AF274" s="7" t="str">
        <f>IF(AD274="No","No",_xlfn.XLOOKUP(_xlfn.XLOOKUP(B274,'Base stats'!B:B,'Base stats'!E:E),Groups!A:A,Groups!AA:AA))</f>
        <v>Teeth</v>
      </c>
      <c r="AG274" s="7" t="str">
        <f>IF(AD274="No","No",_xlfn.XLOOKUP(_xlfn.XLOOKUP(B274,'Base stats'!B:B,'Base stats'!E:E),Groups!A:A,Groups!AB:AB))</f>
        <v>canines</v>
      </c>
      <c r="AH274" s="7" t="str">
        <f>IF(AD274="No","No",_xlfn.XLOOKUP(_xlfn.XLOOKUP(B274,'Base stats'!B:B,'Base stats'!E:E),Groups!A:A,Groups!AC:AC))</f>
        <v>Bite</v>
      </c>
      <c r="AI274" s="13">
        <f>IF(_xlfn.XLOOKUP(_xlfn.XLOOKUP(B274,'Base stats'!B:B,'Base stats'!E:E),Groups!A:A,Groups!AD:AD)=0,"No",MROUND((LOG10(_xlfn.XLOOKUP(B274,'Base stats'!B:B,'Base stats'!AS:AS))*(AO274^0.75)+(_xlfn.XLOOKUP(B274,'Base stats'!B:B,'Base stats'!AS:AS)/1000)^(2/3)+_xlfn.XLOOKUP(B274,'Base stats'!B:B,'Base stats'!AY:AY)+_xlfn.XLOOKUP(B274,'Base stats'!B:B,'Base stats'!BA:BA))+0.5,0.5))</f>
        <v>13</v>
      </c>
      <c r="AJ274" s="7">
        <f>IF(AI274="No","No",MAX(_xlfn.XLOOKUP(_xlfn.XLOOKUP(B274,'Base stats'!B:B,'Base stats'!E:E),Groups!A:A,Groups!AE:AE),MROUND(_xlfn.XLOOKUP(_xlfn.XLOOKUP(B274,'Base stats'!B:B,'Base stats'!E:E),Groups!A:A,Groups!AE:AE)*IF(_xlfn.XLOOKUP(_xlfn.XLOOKUP(B274,'Base stats'!B:B,'Base stats'!E:E),Groups!A:A,Groups!AJ:AJ)="Photonozoa",0.6,1)*_xlfn.XLOOKUP(B274,'Base stats'!B:B,'Base stats'!C:C)^0.165,0.05)))</f>
        <v>1.4000000000000001</v>
      </c>
      <c r="AK274" s="7" t="str">
        <f>IF(AI274="No","No",_xlfn.XLOOKUP(_xlfn.XLOOKUP(B274,'Base stats'!B:B,'Base stats'!E:E),Groups!A:A,Groups!AF:AF))</f>
        <v>FrontLeftPaw, FrontRightPaw</v>
      </c>
      <c r="AL274" s="7" t="str">
        <f>IF(AI274="No","No",_xlfn.XLOOKUP(_xlfn.XLOOKUP(B274,'Base stats'!B:B,'Base stats'!E:E),Groups!A:A,Groups!AG:AG))</f>
        <v>left claw, right claw</v>
      </c>
      <c r="AM274" s="7" t="str">
        <f>IF(AI274="No","No",_xlfn.XLOOKUP(_xlfn.XLOOKUP(B274,'Base stats'!B:B,'Base stats'!E:E),Groups!A:A,Groups!AH:AH))</f>
        <v>Scratch</v>
      </c>
      <c r="AN274" s="2">
        <f t="shared" si="28"/>
        <v>20</v>
      </c>
      <c r="AO274" s="2">
        <f>MROUND(IF(AND(_xlfn.XLOOKUP(B274,'Base stats'!B:B,'Base stats'!C:C)&gt;=0.5,_xlfn.XLOOKUP(B274,'Base stats'!B:B,'Base stats'!C:C)&lt;=0.8),
IF(_xlfn.XLOOKUP(B274,'Base stats'!B:B,'Base stats'!C:C)&lt;0.1,0.05,IF(_xlfn.XLOOKUP(B274,'Base stats'!B:B,'Base stats'!C:C)&lt;=70,(_xlfn.XLOOKUP(B274,'Base stats'!B:B,'Base stats'!C:C)/70)^0.426489913056526,IF(_xlfn.XLOOKUP(B274,'Base stats'!B:B,'Base stats'!C:C)&lt;=400,(_xlfn.XLOOKUP(B274,'Base stats'!B:B,'Base stats'!C:C)/70)^0.572811455315093,IF(_xlfn.XLOOKUP(B274,'Base stats'!B:B,'Base stats'!C:C)&lt;=2000,2.71391647193063*(_xlfn.XLOOKUP(B274,'Base stats'!B:B,'Base stats'!C:C)/400)^0.252459582904293,3.74314280240376*(_xlfn.XLOOKUP(B274,'Base stats'!B:B,'Base stats'!C:C)/2000)^0.357012633876913)))),
IF(_xlfn.XLOOKUP(B274,'Base stats'!B:B,'Base stats'!C:C)&lt;0.1,0.05,IF(_xlfn.XLOOKUP(B274,'Base stats'!B:B,'Base stats'!C:C)&lt;0.4,0.1,IF(_xlfn.XLOOKUP(B274,'Base stats'!B:B,'Base stats'!C:C)&lt;=70,(_xlfn.XLOOKUP(B274,'Base stats'!B:B,'Base stats'!C:C)/70)^0.445823913056526,IF(_xlfn.XLOOKUP(B274,'Base stats'!B:B,'Base stats'!C:C)&lt;=400,(_xlfn.XLOOKUP(B274,'Base stats'!B:B,'Base stats'!C:C)/70)^0.572811455315093,IF(_xlfn.XLOOKUP(B274,'Base stats'!B:B,'Base stats'!C:C)&lt;=2000,2.71391647193063*(_xlfn.XLOOKUP(B274,'Base stats'!B:B,'Base stats'!C:C)/400)^0.252459582904293,3.74314280240376*(_xlfn.XLOOKUP(B274,'Base stats'!B:B,'Base stats'!C:C)/2000)^0.357012633876913)))))),
IF(_xlfn.XLOOKUP(B274,'Base stats'!B:B,'Base stats'!C:C)&lt;0.1,0.05,IF(_xlfn.XLOOKUP(B274,'Base stats'!B:B,'Base stats'!C:C)&lt;=100,0.05,IF(_xlfn.XLOOKUP(B274,'Base stats'!B:B,'Base stats'!C:C)&lt;=250,0.1,IF(_xlfn.XLOOKUP(B274,'Base stats'!B:B,'Base stats'!C:C)&lt;=4000,0.25,0.5)))))</f>
        <v>1.3</v>
      </c>
      <c r="AP274" s="8">
        <f>MROUND(AO274*_xlfn.XLOOKUP(_xlfn.XLOOKUP(B274,'Base stats'!B:B,'Base stats'!E:E),Groups!A:A,Groups!AI:AI)*_xlfn.XLOOKUP(B274,'Base stats'!B:B,'Base stats'!Z:Z),0.05)</f>
        <v>1.55</v>
      </c>
      <c r="AQ274" s="8">
        <f>MAX(0.01,MROUND(IF(CC274="True",0.196*(AO274*100*1000)^0.889,IF(_xlfn.XLOOKUP(_xlfn.XLOOKUP(B274,'Base stats'!B:B,'Base stats'!E:E),Groups!A:A,Groups!AJ:AJ)="Bird",10.5*(AO274*100*1000)^0.681,4.82*(AO274*100*1000)^0.734))/(4.82*(1*100*1000)^0.734)/IF(AO274&lt;3.5,2,IF(AO274=3.5,1.5,1.25))*(1+0.132282374779864/(AO274^0.994035016789033+0.00905238001496948)),0.05))</f>
        <v>0.65</v>
      </c>
      <c r="AR274" s="9">
        <f>IFERROR(MROUND(_xlfn.XLOOKUP(B274,'Base stats'!B:B,'Base stats'!H:H)/IF(_xlfn.XLOOKUP(B274,'Base stats'!B:B,'Base stats'!I:I)&lt;&gt;1,(122.5/70),1.2),IF(_xlfn.XLOOKUP(B274,'Base stats'!B:B,'Base stats'!H:H)&gt;=30,5,IF(_xlfn.XLOOKUP(B274,'Base stats'!B:B,'Base stats'!H:H)&gt;=15,3,IF(_xlfn.XLOOKUP(B274,'Base stats'!B:B,'Base stats'!H:H)&gt;=10,2,1)))),"Immortal")</f>
        <v>24</v>
      </c>
      <c r="AS274" s="35">
        <f>IFERROR(IF(OR(_xlfn.XLOOKUP(B274,'Base stats'!B:B,'Base stats'!F:F)="Atypical reproduction",_xlfn.XLOOKUP(B274,'Base stats'!B:B,'Base stats'!F:F)="Lay eggs"),"Lay eggs",MIN(20,MAX(5.5,ROUND(((_xlfn.XLOOKUP(B274,'Base stats'!B:B,'Base stats'!F:F)-25)*(14.5/615) + 5.5)*2,0)/2))),"Unknown")</f>
        <v>7</v>
      </c>
      <c r="AT274" s="8">
        <f>IF(_xlfn.XLOOKUP(B274,'Base stats'!B:B,'Base stats'!G:G)="Atypical reproduction","No",IFERROR(MAX(IF(_xlfn.XLOOKUP(B274,'Base stats'!B:B,'Base stats'!G:G)&lt;0.5,0.2,0.3),MROUND(_xlfn.XLOOKUP(B274,'Base stats'!B:B,'Base stats'!G:G)/(365/60),0.2)),"Unknown"))</f>
        <v>0.4</v>
      </c>
      <c r="AU274" s="8">
        <f t="shared" si="29"/>
        <v>0.2</v>
      </c>
      <c r="AV274" s="8">
        <f>IFERROR(IFERROR(MROUND(_xlfn.XLOOKUP(B274,'Base stats'!B:B,'Base stats'!J:J),0.1),"Lay eggs"),"Cannot breed")</f>
        <v>2</v>
      </c>
      <c r="AW274" s="2" t="str">
        <f t="shared" si="30"/>
        <v>false</v>
      </c>
      <c r="AX274" s="2" t="str">
        <f>IF(_xlfn.XLOOKUP(_xlfn.XLOOKUP(Animals!B274,'Base stats'!B:B,'Base stats'!E:E),Groups!A:A,Groups!AK:AK)=1,"true","false")</f>
        <v>false</v>
      </c>
      <c r="AY274" s="25" t="str">
        <f>IF(_xlfn.XLOOKUP(B274,'Base stats'!B:B,'Base stats'!Y:Y)="Liquor","Liquor, CarnivoreAnimalStrict",IF(AND(_xlfn.XLOOKUP(B274,'Base stats'!B:B,'Base stats'!Y:Y)="Carnivore",_xlfn.XLOOKUP(_xlfn.XLOOKUP(B274,'Base stats'!B:B,'Base stats'!E:E),Groups!A:A,Groups!AJ:AJ)="Photonozoa"),"CarnivoreAnimalStrict, OvivoreAnimal",IF(_xlfn.XLOOKUP(B274,'Base stats'!B:B,'Base stats'!Y:Y)="Carnivore","CarnivoreAnimal, OvivoreAnimal",IF(_xlfn.XLOOKUP(B274,'Base stats'!B:B,'Base stats'!Y:Y)="Dendrovore","VegetarianRoughAnimal, DendrovoreAnimal",IF(_xlfn.XLOOKUP(B274,'Base stats'!B:B,'Base stats'!Y:Y)="Herbivore","VegetarianRoughAnimal",IF(_xlfn.XLOOKUP(B274,'Base stats'!B:B,'Base stats'!Y:Y)="OmnivoreRough","OmnivoreRoughAnimal, OvivoreAnimal","OmnivoreAnimal, OvivoreAnimal"))))))</f>
        <v>CarnivoreAnimal, OvivoreAnimal</v>
      </c>
      <c r="AZ274" s="2" t="str">
        <f>IF(_xlfn.XLOOKUP(_xlfn.XLOOKUP(B274,'Base stats'!B:B,'Base stats'!E:E),Groups!A:A,Groups!D:D)=1,MROUND((1-J274)*5+1,2)*IF(J274&lt;=0.4,2,1),"No")</f>
        <v>No</v>
      </c>
      <c r="BA274" s="2" t="str">
        <f>IF(AND(_xlfn.XLOOKUP(B274,'Base stats'!B:B,'Base stats'!AH:AH)="&lt;li&gt;Seal&lt;/li&gt;",G274="Odyssey"),"&lt;li&gt;AEXP_Seal&lt;/li&gt;",_xlfn.XLOOKUP(B274,'Base stats'!B:B,'Base stats'!AH:AH))</f>
        <v>&lt;li&gt;Lynx&lt;/li&gt;</v>
      </c>
      <c r="BB274" s="2" t="str">
        <f>_xlfn.XLOOKUP(B274,'Base stats'!B:B,'Base stats'!AG:AG)</f>
        <v>Leather_Panthera</v>
      </c>
      <c r="BC274" s="23" t="str">
        <f>_xlfn.XLOOKUP(_xlfn.XLOOKUP(B274,'Base stats'!B:B,'Base stats'!E:E),Groups!A:A,Groups!AL:AL)</f>
        <v>QuadrupedAnimalWithPawsAndTail</v>
      </c>
      <c r="BD274" s="23">
        <f>MIN(1,MROUND(IF(AND(AO274&lt;0.5,_xlfn.XLOOKUP(B274,'Base stats'!B:B,'Base stats'!AA:AA)=0),0,IF(OR(_xlfn.XLOOKUP(Animals!B274,'Base stats'!B:B,'Base stats'!O:O)=2,_xlfn.XLOOKUP(_xlfn.XLOOKUP(B274,'Base stats'!B:B,'Base stats'!E:E),Groups!A:A,Groups!AN:AN)=0),0,_xlfn.XLOOKUP(_xlfn.XLOOKUP(B274,'Base stats'!B:B,'Base stats'!E:E),Groups!A:A,Groups!AN:AN)/IF(_xlfn.XLOOKUP(Animals!B274,'Base stats'!B:B,'Base stats'!O:O)=1,2,1)))+_xlfn.XLOOKUP(B274,'Base stats'!B:B,'Base stats'!AC:AC),0.005))</f>
        <v>0.1</v>
      </c>
      <c r="BE274" s="23">
        <f>MIN(1,MROUND(IF(AND(AO274&lt;0.5,_xlfn.XLOOKUP(B274,'Base stats'!B:B,'Base stats'!AA:AA)=0),0,IF(_xlfn.XLOOKUP(_xlfn.XLOOKUP(B274,'Base stats'!B:B,'Base stats'!E:E),Groups!A:A,Groups!AO:AO)=0,0,_xlfn.XLOOKUP(_xlfn.XLOOKUP(B274,'Base stats'!B:B,'Base stats'!E:E),Groups!A:A,Groups!AO:AO)/IF(_xlfn.XLOOKUP(Animals!B274,'Base stats'!B:B,'Base stats'!O:O)=2,3,1)))+_xlfn.XLOOKUP(B274,'Base stats'!B:B,'Base stats'!AD:AD),0.005))</f>
        <v>0.3</v>
      </c>
      <c r="BF274" s="2" t="str">
        <f>IF(J274&gt;0.3,"No",_xlfn.XLOOKUP(_xlfn.XLOOKUP(Animals!B274,'Base stats'!B:B,'Base stats'!E:E),Groups!A:A,Groups!AP:AP))</f>
        <v>No</v>
      </c>
      <c r="BG274" s="2" t="str">
        <f>IF(AND(J274&lt;=0.65,_xlfn.XLOOKUP(_xlfn.XLOOKUP(Animals!B274,'Base stats'!B:B,'Base stats'!E:E),Groups!A:A,Groups!AP:AP)&lt;&gt;"No",_xlfn.XLOOKUP(_xlfn.XLOOKUP(B274,'Base stats'!B:B,'Base stats'!E:E),Groups!A:A,Groups!D:D)=0),MROUND((80/3)*IF(_xlfn.XLOOKUP(B274,'Base stats'!B:B,'Base stats'!O:O)=2,0.2,AO274) + 24*(1-IF(BF274="No",0,BF274)) + 16/3, 12),"No")</f>
        <v>No</v>
      </c>
      <c r="BH274" s="2">
        <f>IF(AND(_xlfn.XLOOKUP(_xlfn.XLOOKUP(B274,'Base stats'!B:B,'Base stats'!E:E),Groups!A:A,Groups!AQ:AQ)=1,AO274&lt;=0.35),8,12)</f>
        <v>12</v>
      </c>
      <c r="BI274" s="2" t="str">
        <f>IF(_xlfn.XLOOKUP(_xlfn.XLOOKUP(B274,'Base stats'!B:B,'Base stats'!E:E),Groups!A:A,Groups!D:D)=0,_xlfn.XLOOKUP(_xlfn.XLOOKUP(B274,'Base stats'!B:B,'Base stats'!E:E),Groups!A:A,Groups!AR:AR),"None")</f>
        <v>Intermediate</v>
      </c>
      <c r="BJ274" s="2" t="str">
        <f>IF(AND(_xlfn.XLOOKUP(_xlfn.XLOOKUP(B274,'Base stats'!B:B,'Base stats'!E:E),Groups!A:A,Groups!AS:AS)=1,OR(_xlfn.XLOOKUP(B274,'Base stats'!B:B,'Base stats'!Y:Y)="Carnivore",_xlfn.XLOOKUP(B274,'Base stats'!B:B,'Base stats'!Y:Y)="Omnivore")),"true","false")</f>
        <v>true</v>
      </c>
      <c r="BK274" s="2">
        <f>IF(BJ274="true",MROUND(IF(AND(AO274&gt;0.5,OR(_xlfn.XLOOKUP(_xlfn.XLOOKUP(B274,'Base stats'!B:B,'Base stats'!E:E),Groups!A:A,Groups!AJ:AJ)="Photonozoa",_xlfn.XLOOKUP(_xlfn.XLOOKUP(B274,'Base stats'!B:B,'Base stats'!E:E),Groups!A:A,Groups!AJ:AJ)="Mammal")),Animals!AO274*1.75*IF(AW274="true",1.5,1),IF(AO274&lt;0.5,Animals!AO274*0.5,Animals!AO274)),IF(AO274&gt;2,0.5,IF(AO274&gt;0.5,0.25,0.1))),"No")</f>
        <v>2.25</v>
      </c>
      <c r="BL274" s="2">
        <f t="shared" si="31"/>
        <v>1</v>
      </c>
      <c r="BM274" s="25" t="str">
        <f>IF(_xlfn.XLOOKUP(B274,'Base stats'!B:B,'Base stats'!AN:AN)="Standard","No",MROUND((_xlfn.XLOOKUP(B274,'Base stats'!B:B,'Base stats'!AN:AN)/3.6)/I274,0.1))</f>
        <v>No</v>
      </c>
      <c r="BN274" s="25" t="str">
        <f t="shared" si="32"/>
        <v>false</v>
      </c>
      <c r="BO274" s="25" t="str">
        <f>IF(AND(OR(_xlfn.XLOOKUP(B274,'Base stats'!B:B,'Base stats'!Y:Y)="Carnivore",_xlfn.XLOOKUP(B274,'Base stats'!B:B,'Base stats'!Y:Y)="Omnivore",_xlfn.XLOOKUP(B274,'Base stats'!B:B,'Base stats'!Y:Y)="OmnivoreRough"),_xlfn.XLOOKUP(_xlfn.XLOOKUP(B274,'Base stats'!B:B,'Base stats'!E:E),Groups!A:A,Groups!AT:AT)=1),"true","false")</f>
        <v>false</v>
      </c>
      <c r="BP274" s="25" t="str" cm="1">
        <f t="array" ref="BP274">IF(
  _xlfn.TEXTJOIN(", ",TRUE,
    IF(AND(BJ274="true",AO274&gt;0.5,BI274&lt;&gt;"None"),"AttackTarget",""),
    IF(AND(_xlfn.XLOOKUP(_xlfn.XLOOKUP(B274,'Base stats'!B:B,'Base stats'!E:E),Groups!A:A,Groups!AJ:AJ="Mammal"),OR(_xlfn.XLOOKUP(B274,'Base stats'!B:B,'Base stats'!Y:Y)="Omnivore",_xlfn.XLOOKUP(B274,'Base stats'!B:B,'Base stats'!Y:Y)="OmnivoreRough")),"Forage",""),
    IF(BG274&lt;=36,"Comfort",""),
    IF(_xlfn.XLOOKUP(B274,'Base stats'!B:B,'Base stats'!AE:AE)&lt;&gt;"No",_xlfn.XLOOKUP(B274,'Base stats'!B:B,'Base stats'!AE:AE),"")
  ) = "",
  "No",
  _xlfn.TEXTJOIN(", ",TRUE,
    IF(AND(BJ274="true",AO274&gt;0.5,BI274&lt;&gt;"None"),"AttackTarget",""),
    IF(AND(_xlfn.XLOOKUP(_xlfn.XLOOKUP(B274,'Base stats'!B:B,'Base stats'!E:E),Groups!A:A,Groups!AJ:AJ="Mammal"),OR(_xlfn.XLOOKUP(B274,'Base stats'!B:B,'Base stats'!Y:Y)="Omnivore",_xlfn.XLOOKUP(B274,'Base stats'!B:B,'Base stats'!Y:Y)="OmnivoreRough")),"Forage",""),
    IF(BG274&lt;=36,"Comfort",""),
    IF(_xlfn.XLOOKUP(B274,'Base stats'!B:B,'Base stats'!AE:AE)&lt;&gt;"No",_xlfn.XLOOKUP(B274,'Base stats'!B:B,'Base stats'!AE:AE),"")
  )
)</f>
        <v>AttackTarget</v>
      </c>
      <c r="BQ274" s="25" t="str">
        <f>IF(
   AND(
      'Base stats'!AN274="Standard",_xlfn.XLOOKUP(_xlfn.XLOOKUP(B274,'Base stats'!B:B,'Base stats'!E:E),Groups!A:A,Groups!AU:AU)=0,
      OR(
      BO274="True"
      )
   ),
   10,
   IF(
       OR(BM274&lt;&gt;"No",_xlfn.XLOOKUP(_xlfn.XLOOKUP(B274,'Base stats'!B:B,'Base stats'!E:E),Groups!A:A,Groups!AU:AU)=1),
      1,
      "No"
   )
)</f>
        <v>No</v>
      </c>
      <c r="BR274" s="9">
        <f>MROUND((1 + ((0.2*IF(OR(Q274="No",R274="No",R274=0),0,Q274/R274)
+IF(OR(V274="No",S274="No",T274="No"),0,S274/T274*(LEN(V274)-LEN(SUBSTITUTE(V274,",",""))+1))
+IF(OR(X274="No",Y274="No"),0,X274/Y274)
+IF(OR(AD274="No",AE274="No"),0,AD274/AE274)
+IF(OR(AL274="No",AI274="No",AJ274="No"),0,AI274/AJ274*(LEN(AL274)-LEN(SUBSTITUTE(AL274,",",""))+1))
)/(0.2*IF(OR(Q274="No",R274="No",R274=0),0,1)
+IF(OR(V274="No",S274="No",T274="No"),0,LEN(V274)-LEN(SUBSTITUTE(V274,",",""))+1)
+IF(OR(X274="No",Y274="No"),0,1)
+IF(OR(AD274="No",AE274="No"),0,1)
+IF(OR(AL274="No",AI274="No",AJ274="No"),0,LEN(AL274)-LEN(SUBSTITUTE(AL274,",",""))+1))*62%)* 2)*(1 + (AP274 / (IF(_xlfn.XLOOKUP(_xlfn.XLOOKUP(B274,'Base stats'!B:B,'Base stats'!E:E),Groups!A:A,Groups!AJ:AJ)="Photonozoa",0.3,1)) + _xlfn.XLOOKUP(B274,'Base stats'!B:B,'Base stats'!AV:AV) * 1.8) * 2) * 2.5 + 10 + I274 * 2,5)+IF(_xlfn.XLOOKUP(B274,'Base stats'!B:B,'Base stats'!AK:AK)=1,50,0)</f>
        <v>155</v>
      </c>
      <c r="BS274" s="8">
        <f t="shared" si="33"/>
        <v>0.8</v>
      </c>
      <c r="BT274" s="8" t="str">
        <f>_xlfn.XLOOKUP(B274,'Base stats'!B:B,'Base stats'!AF:AF)</f>
        <v>No</v>
      </c>
      <c r="BU274" s="2" t="str">
        <f>IF(AND(J274&lt;=0.95,OR(_xlfn.XLOOKUP(B274,'Base stats'!B:B,'Base stats'!AK:AK)=1,_xlfn.XLOOKUP(B274,'Base stats'!B:B,'Base stats'!Y:Y)="Carnivore",_xlfn.XLOOKUP(B274,'Base stats'!B:B,'Base stats'!Y:Y)="Omnivore",BE274&gt;0.1)),"true","false")</f>
        <v>true</v>
      </c>
      <c r="BV274" s="2" t="str">
        <f>IF(_xlfn.XLOOKUP(B274,'Base stats'!B:B,'Base stats'!AI:AI)=1,"true","false")</f>
        <v>false</v>
      </c>
      <c r="BW274" s="25" t="str">
        <f>IF(E274="BaseInsect","AnimalInsect",
IF(J274&gt;0.95,"AnimalExotic",
_xlfn.TEXTJOIN(", ",TRUE,
IF(OR(_xlfn.XLOOKUP(B274,'Base stats'!B:B,'Base stats'!AM:AM)=1,AND(_xlfn.XLOOKUP(B274,'Base stats'!B:B,'Base stats'!O:O)=0,_xlfn.XLOOKUP(_xlfn.XLOOKUP(B274,'Base stats'!B:B,'Base stats'!E:E),Groups!A:A,Groups!B:B)&gt;0)),"AnimalUncommon","AnimalCommon"),
IF(AND(_xlfn.XLOOKUP(B274,'Base stats'!B:B,'Base stats'!O:O)=2,_xlfn.XLOOKUP(_xlfn.XLOOKUP(B274,'Base stats'!B:B,'Base stats'!E:E),Groups!A:A,Groups!D:D)=0),"AnimalPet",IF(AND(_xlfn.XLOOKUP(B274,'Base stats'!B:B,'Base stats'!O:O)&lt;&gt;0,_xlfn.XLOOKUP(_xlfn.XLOOKUP(B274,'Base stats'!B:B,'Base stats'!E:E),Groups!A:A,Groups!D:D)&lt;&gt;0),"AnimalFarm","")),
IF(OR(_xlfn.XLOOKUP(B274,'Base stats'!B:B,'Base stats'!AK:AK)=1,AND(BI274&lt;&gt;"None",BR274&gt;=60),ISNUMBER(SEARCH("Attack target",BP274))),"AnimalFighter","")
)))</f>
        <v>AnimalUncommon, AnimalFighter</v>
      </c>
      <c r="BX274" s="25" t="str">
        <f>IF(G274="None",TRIM(
SUBSTITUTE(
IF(COUNTIF(Biomes!B$2:B$259,"="&amp;$C274)&gt;0,Biomes!B$1&amp;", ","")&amp;
IF(COUNTIF(Biomes!C$2:C$259,"="&amp;$C274)&gt;0,Biomes!C$1&amp;", ","")&amp;
IF(COUNTIF(Biomes!D$2:D$259,"="&amp;$C274)&gt;0,Biomes!D$1&amp;", ","")&amp;
IF(COUNTIF(Biomes!F$2:F$259,"="&amp;$C274)&gt;0,Biomes!F$1&amp;", ","")&amp;
IF(COUNTIF(Biomes!G$2:G$259,"="&amp;$C274)&gt;0,Biomes!G$1&amp;", ","")&amp;
IF(COUNTIF(Biomes!H$2:H$259,"="&amp;$C274)&gt;0,Biomes!H$1&amp;", ","")&amp;
IF(COUNTIF(Biomes!I$2:I$259,"="&amp;$C274)&gt;0,Biomes!I$1&amp;", ","")&amp;
IF(COUNTIF(Biomes!J$2:J$259,"="&amp;$C274)&gt;0,Biomes!J$1&amp;", ","")&amp;
IF(COUNTIF(Biomes!M$2:M$259,"="&amp;$C274)&gt;0,Biomes!M$1&amp;", ","")&amp;
IF(COUNTIF(Biomes!N$2:N$259,"="&amp;$C274)&gt;0,Biomes!N$1&amp;", ","")&amp;
IF(COUNTIF(Biomes!O$2:O$259,"="&amp;$C274)&gt;0,Biomes!O$1&amp;", ","")&amp;
IF(COUNTIF(Biomes!P$2:P$259,"="&amp;$C274)&gt;0,Biomes!P$1&amp;", ","")&amp;
IF(COUNTIF(Biomes!K$2:K$259,"="&amp;$C274)&gt;0,Biomes!K$1&amp;", ","")&amp;
IF(COUNTIF(Biomes!Q$3:Q$259,"="&amp;$C274)&gt;0,Biomes!Q$1&amp;", ","")&amp;
IF(COUNTIF(Biomes!L$2:L$259,"="&amp;$C274)&gt;0,Biomes!L$1&amp;", ","")&amp;
IF(COUNTIF(Biomes!E$2:E$259,"="&amp;$C274)&gt;0,Biomes!E$1&amp;", ","")&amp;IF(COUNTIF(Biomes!S$2:S$259,"="&amp;$C274)&gt;0,Biomes!S$1&amp;", ","")&amp;
IF(COUNTIF(Biomes!R$2:R$259,"="&amp;$C274)&gt;0,Biomes!R$1&amp;", ",""),", ","")
),_xlfn.XLOOKUP(B274,B:B,BX:BX))</f>
        <v>SeaIce IceSheet Tundra BorealForest ColdBog GlacialPlain</v>
      </c>
      <c r="BY274" s="25" t="str">
        <f>IF(_xlfn.XLOOKUP(B274,'Base stats'!B:B,'Base stats'!AJ:AJ)=1,"true","false")</f>
        <v>false</v>
      </c>
      <c r="BZ274" s="25">
        <f>IF(_xlfn.XLOOKUP(B274,'Base stats'!B:B,'Base stats'!N:N)=1,"No",MAX(0.001,MIN(MROUND(IF(AND(BJ274="True",CC274="False"),POWER(10,3.47*LOG10(_xlfn.XLOOKUP(B274,'Base stats'!B:B,'Base stats'!C:C)*1000)^-0.96),POWER(10,4.15*LOG10(_xlfn.XLOOKUP(B274,'Base stats'!B:B,'Base stats'!C:C)*1000)^-0.73))*IF(_xlfn.XLOOKUP(B274,'Base stats'!B:B,'Base stats'!AK:AK)=1,0.5,1)*IF(_xlfn.XLOOKUP(B274,'Base stats'!B:B,'Base stats'!AM:AM)=1,0.1,1)/100,IF(_xlfn.XLOOKUP(B274,'Base stats'!B:B,'Base stats'!AM:AM)=1,0.001,0.025)),0.5)))</f>
        <v>5.0000000000000001E-3</v>
      </c>
      <c r="CA274" s="25" t="str">
        <f>IF(P274="Standard","No",MAX(0.001,MIN(MROUND(IF(AND(BJ274="True",CC274="False"),POWER(10,3.47*LOG10(_xlfn.XLOOKUP(B274,'Base stats'!B:B,'Base stats'!C:C)*1000)^-0.96),POWER(10,4.15*LOG10(_xlfn.XLOOKUP(B274,'Base stats'!B:B,'Base stats'!C:C)*1000)^-0.73))*IF(_xlfn.XLOOKUP(B274,'Base stats'!B:B,'Base stats'!AM:AM)=1,0.1,1)*_xlfn.XLOOKUP(B274,'Base stats'!B:B,'Base stats'!R:R)/100,IF(_xlfn.XLOOKUP(B274,'Base stats'!B:B,'Base stats'!AM:AM)=1,0.001,0.025)),0.5)))</f>
        <v>No</v>
      </c>
      <c r="CB274" s="25" t="str">
        <f>IF(_xlfn.XLOOKUP(_xlfn.XLOOKUP(B274,'Base stats'!B:B,'Base stats'!E:E),Groups!A:A,Groups!AJ:AJ)="Mammal","True","False")</f>
        <v>True</v>
      </c>
      <c r="CC274" s="25" t="str">
        <f>IF(OR(_xlfn.XLOOKUP(_xlfn.XLOOKUP(B274,'Base stats'!B:B,'Base stats'!E:E),Groups!A:A,Groups!AJ:AJ)="Reptile",_xlfn.XLOOKUP(_xlfn.XLOOKUP(B274,'Base stats'!B:B,'Base stats'!E:E),Groups!A:A,Groups!AJ:AJ)="Amphibian",_xlfn.XLOOKUP(_xlfn.XLOOKUP(B274,'Base stats'!B:B,'Base stats'!E:E),Groups!A:A,Groups!AJ:AJ)="Invertebrate"),"True","False")</f>
        <v>False</v>
      </c>
      <c r="CD274" s="25" t="str">
        <f t="shared" si="34"/>
        <v>False</v>
      </c>
      <c r="CE274" s="25" t="str">
        <f>IF(_xlfn.XLOOKUP(_xlfn.XLOOKUP(B274,'Base stats'!B:B,'Base stats'!E:E),Groups!A:A,Groups!AX:AX),"True","False")</f>
        <v>False</v>
      </c>
      <c r="CF274" s="25" t="str">
        <f>IF(_xlfn.XLOOKUP(_xlfn.XLOOKUP(B274,'Base stats'!B:B,'Base stats'!E:E),Groups!A:A,Groups!AY:AY),"True","False")</f>
        <v>False</v>
      </c>
      <c r="CG274" s="25" t="str">
        <f>IF(_xlfn.XLOOKUP(_xlfn.XLOOKUP(B274,'Base stats'!B:B,'Base stats'!E:E),Groups!A:A,Groups!AW:AW),"True","False")</f>
        <v>False</v>
      </c>
      <c r="CH274" s="25" t="str">
        <f>IF(
OR(
_xlfn.XLOOKUP(_xlfn.XLOOKUP(B274,'Base stats'!B:B,'Base stats'!E:E),Groups!A:A,Groups!AZ:AZ)=0,
AND(
_xlfn.XLOOKUP(B274,'Base stats'!B:B,'Base stats'!Y:Y)&lt;&gt;"Carnivore",
_xlfn.XLOOKUP(B274,'Base stats'!B:B,'Base stats'!Y:Y)&lt;&gt;"Omnivore",
_xlfn.XLOOKUP(B274,'Base stats'!B:B,'Base stats'!Y:Y)&lt;&gt;"OmnivoreRough"
)
),
"No",
IF(
_xlfn.XLOOKUP(_xlfn.XLOOKUP(B274,'Base stats'!B:B,'Base stats'!E:E),Groups!A:A,Groups!AZ:AZ)=1,
"Flesh",
IF(
_xlfn.XLOOKUP(_xlfn.XLOOKUP(B274,'Base stats'!B:B,'Base stats'!E:E),Groups!A:A,Groups!AZ:AZ)=2,
"Bone",
""
)
)
)</f>
        <v>No</v>
      </c>
      <c r="CI274" s="25" t="str">
        <f>IF(_xlfn.XLOOKUP(_xlfn.XLOOKUP(B274,'Base stats'!B:B,'Base stats'!E:E),Groups!A:A,Groups!BB:BB),"True","False")</f>
        <v>True</v>
      </c>
      <c r="CJ274" s="25" t="str">
        <f>IF(_xlfn.XLOOKUP(_xlfn.XLOOKUP(B274,'Base stats'!B:B,'Base stats'!E:E),Groups!A:A,Groups!BA:BA),"True","False")</f>
        <v>False</v>
      </c>
    </row>
    <row r="275" spans="1:88" ht="16.5" thickTop="1" thickBot="1" x14ac:dyDescent="0.3">
      <c r="A275" s="26" t="s">
        <v>1458</v>
      </c>
      <c r="B275" s="6" t="str">
        <f>_xlfn.XLOOKUP(A275,'Base stats'!A:A,'Base stats'!B:B)</f>
        <v>Glaciulus parvus</v>
      </c>
      <c r="C275" s="28" t="s">
        <v>1459</v>
      </c>
      <c r="D275" s="28" t="s">
        <v>1341</v>
      </c>
      <c r="E275" s="28" t="s">
        <v>673</v>
      </c>
      <c r="F275" s="28" t="s">
        <v>673</v>
      </c>
      <c r="G275" s="28" t="s">
        <v>673</v>
      </c>
      <c r="H275" s="2">
        <f>MROUND((
  (IF(AND(_xlfn.XLOOKUP(B275,'Base stats'!B:B,'Base stats'!AL:AL)=0,BI275="None",_xlfn.XLOOKUP(_xlfn.XLOOKUP(B275,'Base stats'!B:B,'Base stats'!E:E),Groups!A:A,Groups!B:B)=0), (18 + BR275 * 2.7) * 0.5,
    IF(AND(_xlfn.XLOOKUP(B275,'Base stats'!B:B,'Base stats'!AL:AL)=0,OR(AO275&lt;0.55,AND(BI275="Intermediate",_xlfn.XLOOKUP(_xlfn.XLOOKUP(B275,'Base stats'!B:B,'Base stats'!E:E),Groups!A:A,Groups!B:B)&lt;2))), (18 + BR275 * 2.7),
      IF(OR(BI275="Advanced",_xlfn.XLOOKUP(B275,'Base stats'!B:B,'Base stats'!AL:AL)=1,_xlfn.XLOOKUP(_xlfn.XLOOKUP(B275,'Base stats'!B:B,'Base stats'!E:E),Groups!A:A,Groups!B:B)=2), (18 + BR275 * 2.7) + 250, (18 + BR275 * 2.7))
    )
  ))
  + AO275 * 80
  + IF(COUNTIF(EggMilk!K$2:K$998, A275) &gt; 0, 125, 0)
  + IF(COUNTIF(EggMilk!P$2:P$998, A275) &gt; 0, 90, 0)
  + IF(COUNTIF(EggMilk!A$2:A$998, A275) &gt; 0, 90, 0)
)
* (0.8 + 0.4 * J275)
* 0.75,25)</f>
        <v>425</v>
      </c>
      <c r="I275" s="2">
        <f>MROUND(ROUNDDOWN(_xlfn.XLOOKUP(B275,'Base stats'!B:B,'Base stats'!L:L)/3.6/(23.3/11),1),0.5)</f>
        <v>7.5</v>
      </c>
      <c r="J275" s="2">
        <f>IF(OR(_xlfn.XLOOKUP(B275,'Base stats'!B:B,'Base stats'!AB:AB)=1,_xlfn.XLOOKUP(_xlfn.XLOOKUP(B275,'Base stats'!B:B,'Base stats'!E:E),Groups!A:A,Groups!C:C)="Untamable"),1,IF(_xlfn.XLOOKUP(B275,'Base stats'!B:B,'Base stats'!AL:AL)=1,0.99,MIN(MROUND((1-0.6282*EXP(-0.459*AO275))*_xlfn.XLOOKUP(_xlfn.XLOOKUP(B275,'Base stats'!B:B,'Base stats'!E:E),Groups!A:A,Groups!C:C)*IF(_xlfn.XLOOKUP(B275,'Base stats'!B:B,'Base stats'!O:O)=1,0.5,IF(_xlfn.XLOOKUP(B275,'Base stats'!B:B,'Base stats'!O:O)=2,0,1)),0.05),IF(AO275&gt;3.5,0.985,0.95))))</f>
        <v>0.8</v>
      </c>
      <c r="K275" s="2">
        <f>ROUNDUP(AO275*_xlfn.XLOOKUP(_xlfn.XLOOKUP(B275,'Base stats'!B:B,'Base stats'!E:E),Groups!A:A,Groups!E:E),0)</f>
        <v>2</v>
      </c>
      <c r="L275" s="2">
        <f>IF(OR(_xlfn.XLOOKUP(_xlfn.XLOOKUP(B275,'Base stats'!B:B,'Base stats'!E:E),Groups!A:A,Groups!F:F)=2,ISNUMBER(SEARCH("SeaIce",BX275)),ISNUMBER(SEARCH("IceSheet",BX275))),-50,IF(OR(ISNUMBER(SEARCH("GlacialPlain",BX275)),ISNUMBER(SEARCH("Tundra",BX275))),-40,IF(OR(ISNUMBER(SEARCH("Alpine",BX275)),ISNUMBER(SEARCH("BorealForest",BX275)),ISNUMBER(SEARCH("ColdBog",BX275))),-30,IF(OR(ISNUMBER(SEARCH("TemperateForest",BX275)),ISNUMBER(SEARCH("TemperateSwamp",BX275))),-20,IF(_xlfn.XLOOKUP(_xlfn.XLOOKUP(B275,'Base stats'!B:B,'Base stats'!E:E),Groups!A:A,Groups!F:F)=1,-15,IF(OR(ISNUMBER(SEARCH("Desert",BX275)),ISNUMBER(SEARCH("ExtremeDesert",BX275))),-10,IF(OR(ISNUMBER(SEARCH("Grasslands",BX275)),ISNUMBER(SEARCH("TropicalRainforest",BX275)),ISNUMBER(SEARCH("TropicalSwamp",BX275))),10,0)))))))-IF(CC275="False",MIN(IFERROR(MAX(MROUND(LOG10(_xlfn.XLOOKUP(B275,'Base stats'!B:B,'Base stats'!C:C)^(2/3))*10,5),5),5),30))-_xlfn.XLOOKUP(B275,'Base stats'!B:B,'Base stats'!P:P)+IF(CC275="True",5,0)</f>
        <v>-65</v>
      </c>
      <c r="M275" s="2">
        <f>IF(OR(_xlfn.XLOOKUP(_xlfn.XLOOKUP(B275,'Base stats'!B:B,'Base stats'!E:E),Groups!A:A,Groups!G:G)=2,ISNUMBER(SEARCH("Desert",BX275)),ISNUMBER(SEARCH("ExtremeDesert",BX275)),ISNUMBER(SEARCH("LavaField",BX275))),50,IF(ISNUMBER(SEARCH("Grasslands",BX275)),45,IF(OR(_xlfn.XLOOKUP(_xlfn.XLOOKUP(B275,'Base stats'!B:B,'Base stats'!E:E),Groups!A:A,Groups!G:G)=1,ISNUMBER(SEARCH("TropicalRainforest",BX275)),ISNUMBER(SEARCH("TropicalSwamp",BX275))),40,IF(OR(ISNUMBER(SEARCH("TemperateForest",BX275)),ISNUMBER(SEARCH("TemperateSwamp",BX275))),35,IF(OR(ISNUMBER(SEARCH("Alpine",BX275)),ISNUMBER(SEARCH("BorealForest",BX275)),ISNUMBER(SEARCH("ColdBog",BX275))),30,IF(ISNUMBER(OR(ISNUMBER(SEARCH("GlacialPlain",BX275)),SEARCH("Tundra",BX275))),25,IF(OR(ISNUMBER(SEARCH("SeaIce",BX275)),ISNUMBER(SEARCH("IceSheet",BX275)),ISNUMBER(SEARCH("TropicalSwamp",BX275))),10,35)))))))+_xlfn.XLOOKUP(B275,'Base stats'!B:B,'Base stats'!Q:Q)</f>
        <v>30</v>
      </c>
      <c r="N275" s="8" t="str">
        <f>IF(
_xlfn.XLOOKUP(
_xlfn.XLOOKUP(B275,'Base stats'!B:B,'Base stats'!E:E),
Groups!A:A,
Groups!L:L
)=1,
MIN(
MROUND(
IF(
_xlfn.XLOOKUP(B275,'Animals CE'!B:B,'Animals CE'!Z:Z)&lt;=1.5,
_xlfn.XLOOKUP(B275,'Animals CE'!B:B,'Animals CE'!Z:Z)/2+0.05,
0.8+
(_xlfn.XLOOKUP(B275,'Animals CE'!B:B,'Animals CE'!Z:Z)-1.5)
*0.02
),
0.05
),
200%
),
"No"
)</f>
        <v>No</v>
      </c>
      <c r="O275" s="8" t="str">
        <f>IF(
_xlfn.XLOOKUP(
_xlfn.XLOOKUP(B275,'Base stats'!B:B,'Base stats'!E:E),
Groups!A:A,
Groups!L:L
)=1,
MIN(
MROUND(
IF(
_xlfn.XLOOKUP(B275,'Animals CE'!B:B,'Animals CE'!AA:AA)&lt;=1.5,
_xlfn.XLOOKUP(B275,'Animals CE'!B:B,'Animals CE'!AA:AA)/2+0.05,
0.8+
(_xlfn.XLOOKUP(B275,'Animals CE'!B:B,'Animals CE'!AA:AA)-1.5)
*0.02
),
0.05
),
200%
),
"No"
)</f>
        <v>No</v>
      </c>
      <c r="P275" s="2" t="str">
        <f>_xlfn.XLOOKUP(B275,'Base stats'!B:B,'Base stats'!R:R)</f>
        <v>Standard</v>
      </c>
      <c r="Q275" s="13">
        <f>MROUND((LOG10(_xlfn.XLOOKUP(B275,'Base stats'!B:B,'Base stats'!AR:AR))*(AO275^0.5)+(_xlfn.XLOOKUP(B275,'Base stats'!B:B,'Base stats'!AR:AR)/1000)^(2/3)+_xlfn.XLOOKUP(B275,'Base stats'!B:B,'Base stats'!BA:BA)/2)+0.5,0.5)</f>
        <v>8.5</v>
      </c>
      <c r="R275" s="7">
        <f>IF(Q275="No","No",MAX(1,MROUND(_xlfn.XLOOKUP(B275,'Base stats'!B:B,'Base stats'!C:C)^0.165,0.05)))</f>
        <v>2.15</v>
      </c>
      <c r="S275" s="13" t="str">
        <f>IF(_xlfn.XLOOKUP(_xlfn.XLOOKUP(B275,'Base stats'!B:B,'Base stats'!E:E),Groups!A:A,Groups!P:P)=0,"No",MROUND((LOG10(_xlfn.XLOOKUP(B275,'Base stats'!B:B,'Base stats'!AS:AS))*(AO275^0.5)+(_xlfn.XLOOKUP(B275,'Base stats'!B:B,'Base stats'!AS:AS)/1000)^(2/3)+_xlfn.XLOOKUP(B275,'Base stats'!B:B,'Base stats'!BA:BA))+_xlfn.XLOOKUP(B275,'Base stats'!B:B,'Base stats'!AY:AY)+0.5,0.5))</f>
        <v>No</v>
      </c>
      <c r="T275" s="7" t="str">
        <f>IF(S275="No","No",MAX(_xlfn.XLOOKUP(_xlfn.XLOOKUP(B275,'Base stats'!B:B,'Base stats'!E:E),Groups!A:A,Groups!Q:Q),MROUND(_xlfn.XLOOKUP(_xlfn.XLOOKUP(B275,'Base stats'!B:B,'Base stats'!E:E),Groups!A:A,Groups!Q:Q)*_xlfn.XLOOKUP(B275,'Base stats'!B:B,'Base stats'!C:C)^0.165,0.05)))</f>
        <v>No</v>
      </c>
      <c r="U275" s="7" t="str">
        <f>IF(S275="No","No",_xlfn.XLOOKUP(_xlfn.XLOOKUP(B275,'Base stats'!B:B,'Base stats'!E:E),Groups!A:A,Groups!R:R))</f>
        <v>No</v>
      </c>
      <c r="V275" s="7" t="str">
        <f>IF(S275="No","No",_xlfn.XLOOKUP(_xlfn.XLOOKUP(B275,'Base stats'!B:B,'Base stats'!E:E),Groups!A:A,Groups!S:S))</f>
        <v>No</v>
      </c>
      <c r="W275" s="7" t="str">
        <f>IF(S275="No","No",_xlfn.XLOOKUP(_xlfn.XLOOKUP(B275,'Base stats'!B:B,'Base stats'!E:E),Groups!A:A,Groups!T:T))</f>
        <v>No</v>
      </c>
      <c r="X275" s="13" t="str">
        <f>IF(_xlfn.XLOOKUP(B275,'Base stats'!B:B,'Base stats'!W:W)="No","No",MROUND((LOG10(_xlfn.XLOOKUP(B275,'Base stats'!B:B,'Base stats'!AU:AU))*(AO275^0.5)+(_xlfn.XLOOKUP(B275,'Base stats'!B:B,'Base stats'!AU:AU)/1000)^(2/3)+_xlfn.XLOOKUP(B275,'Base stats'!B:B,'Base stats'!AZ:AZ))+0.5+IF(_xlfn.XLOOKUP(_xlfn.XLOOKUP(B275,'Base stats'!B:B,'Base stats'!E:E),Groups!A:A,Groups!U:U)&lt;&gt;3,_xlfn.XLOOKUP(B275,'Base stats'!B:B,'Base stats'!BA:BA),0),0.5))</f>
        <v>No</v>
      </c>
      <c r="Y275" s="7" t="str">
        <f>IF(X275="No","No",MAX(_xlfn.XLOOKUP(_xlfn.XLOOKUP(B275,'Base stats'!B:B,'Base stats'!E:E),Groups!A:A,Groups!V:V),MROUND(_xlfn.XLOOKUP(_xlfn.XLOOKUP(B275,'Base stats'!B:B,'Base stats'!E:E),Groups!A:A,Groups!V:V)*_xlfn.XLOOKUP(B275,'Base stats'!B:B,'Base stats'!C:C)^0.165,0.05)))</f>
        <v>No</v>
      </c>
      <c r="Z275" s="7" t="str">
        <f>IF(X275="No","No",_xlfn.XLOOKUP(_xlfn.XLOOKUP(B275,'Base stats'!B:B,'Base stats'!E:E),Groups!A:A,Groups!W:W))</f>
        <v>No</v>
      </c>
      <c r="AA275" s="7" t="str">
        <f>IF(X275="No","No",_xlfn.XLOOKUP(_xlfn.XLOOKUP(B275,'Base stats'!B:B,'Base stats'!E:E),Groups!A:A,Groups!X:X))</f>
        <v>No</v>
      </c>
      <c r="AB275" s="7" t="str">
        <f>IF(X275="No","No",_xlfn.XLOOKUP(_xlfn.XLOOKUP(B275,'Base stats'!B:B,'Base stats'!E:E),Groups!A:A,Groups!Y:Y))</f>
        <v>No</v>
      </c>
      <c r="AC275" s="7" t="str">
        <f>_xlfn.XLOOKUP(Animals!B275,'Base stats'!B:B,'Base stats'!X:X)</f>
        <v>False</v>
      </c>
      <c r="AD275" s="13">
        <f>IF(_xlfn.XLOOKUP(B275,'Base stats'!B:B,'Base stats'!AT:AT)="No","No",MROUND((LOG10(_xlfn.XLOOKUP(B275,'Base stats'!B:B,'Base stats'!AT:AT))*(AO275^0.75)+(_xlfn.XLOOKUP(B275,'Base stats'!B:B,'Base stats'!AT:AT)/1000)^(2/3)+_xlfn.XLOOKUP(B275,'Base stats'!B:B,'Base stats'!AX:AX)+_xlfn.XLOOKUP(B275,'Base stats'!B:B,'Base stats'!BA:BA))+0.5,0.5))</f>
        <v>14</v>
      </c>
      <c r="AE275" s="7">
        <f>IF(AD275="No","No",MAX(_xlfn.XLOOKUP(_xlfn.XLOOKUP(B275,'Base stats'!B:B,'Base stats'!E:E),Groups!A:A,Groups!Z:Z),MROUND(_xlfn.XLOOKUP(_xlfn.XLOOKUP(B275,'Base stats'!B:B,'Base stats'!E:E),Groups!A:A,Groups!Z:Z)*_xlfn.XLOOKUP(B275,'Base stats'!B:B,'Base stats'!C:C)^0.165,0.05)))</f>
        <v>1.7000000000000002</v>
      </c>
      <c r="AF275" s="7" t="str">
        <f>IF(AD275="No","No",_xlfn.XLOOKUP(_xlfn.XLOOKUP(B275,'Base stats'!B:B,'Base stats'!E:E),Groups!A:A,Groups!AA:AA))</f>
        <v>Teeth</v>
      </c>
      <c r="AG275" s="7" t="str">
        <f>IF(AD275="No","No",_xlfn.XLOOKUP(_xlfn.XLOOKUP(B275,'Base stats'!B:B,'Base stats'!E:E),Groups!A:A,Groups!AB:AB))</f>
        <v>canines</v>
      </c>
      <c r="AH275" s="7" t="str">
        <f>IF(AD275="No","No",_xlfn.XLOOKUP(_xlfn.XLOOKUP(B275,'Base stats'!B:B,'Base stats'!E:E),Groups!A:A,Groups!AC:AC))</f>
        <v>Bite</v>
      </c>
      <c r="AI275" s="13">
        <f>IF(_xlfn.XLOOKUP(_xlfn.XLOOKUP(B275,'Base stats'!B:B,'Base stats'!E:E),Groups!A:A,Groups!AD:AD)=0,"No",MROUND((LOG10(_xlfn.XLOOKUP(B275,'Base stats'!B:B,'Base stats'!AS:AS))*(AO275^0.75)+(_xlfn.XLOOKUP(B275,'Base stats'!B:B,'Base stats'!AS:AS)/1000)^(2/3)+_xlfn.XLOOKUP(B275,'Base stats'!B:B,'Base stats'!AY:AY)+_xlfn.XLOOKUP(B275,'Base stats'!B:B,'Base stats'!BA:BA))+0.5,0.5))</f>
        <v>13</v>
      </c>
      <c r="AJ275" s="7">
        <f>IF(AI275="No","No",MAX(_xlfn.XLOOKUP(_xlfn.XLOOKUP(B275,'Base stats'!B:B,'Base stats'!E:E),Groups!A:A,Groups!AE:AE),MROUND(_xlfn.XLOOKUP(_xlfn.XLOOKUP(B275,'Base stats'!B:B,'Base stats'!E:E),Groups!A:A,Groups!AE:AE)*IF(_xlfn.XLOOKUP(_xlfn.XLOOKUP(B275,'Base stats'!B:B,'Base stats'!E:E),Groups!A:A,Groups!AJ:AJ)="Photonozoa",0.6,1)*_xlfn.XLOOKUP(B275,'Base stats'!B:B,'Base stats'!C:C)^0.165,0.05)))</f>
        <v>1.4000000000000001</v>
      </c>
      <c r="AK275" s="7" t="str">
        <f>IF(AI275="No","No",_xlfn.XLOOKUP(_xlfn.XLOOKUP(B275,'Base stats'!B:B,'Base stats'!E:E),Groups!A:A,Groups!AF:AF))</f>
        <v>FrontLeftPaw, FrontRightPaw</v>
      </c>
      <c r="AL275" s="7" t="str">
        <f>IF(AI275="No","No",_xlfn.XLOOKUP(_xlfn.XLOOKUP(B275,'Base stats'!B:B,'Base stats'!E:E),Groups!A:A,Groups!AG:AG))</f>
        <v>left claw, right claw</v>
      </c>
      <c r="AM275" s="7" t="str">
        <f>IF(AI275="No","No",_xlfn.XLOOKUP(_xlfn.XLOOKUP(B275,'Base stats'!B:B,'Base stats'!E:E),Groups!A:A,Groups!AH:AH))</f>
        <v>Scratch</v>
      </c>
      <c r="AN275" s="2">
        <f t="shared" si="28"/>
        <v>20</v>
      </c>
      <c r="AO275" s="2">
        <f>MROUND(IF(AND(_xlfn.XLOOKUP(B275,'Base stats'!B:B,'Base stats'!C:C)&gt;=0.5,_xlfn.XLOOKUP(B275,'Base stats'!B:B,'Base stats'!C:C)&lt;=0.8),
IF(_xlfn.XLOOKUP(B275,'Base stats'!B:B,'Base stats'!C:C)&lt;0.1,0.05,IF(_xlfn.XLOOKUP(B275,'Base stats'!B:B,'Base stats'!C:C)&lt;=70,(_xlfn.XLOOKUP(B275,'Base stats'!B:B,'Base stats'!C:C)/70)^0.426489913056526,IF(_xlfn.XLOOKUP(B275,'Base stats'!B:B,'Base stats'!C:C)&lt;=400,(_xlfn.XLOOKUP(B275,'Base stats'!B:B,'Base stats'!C:C)/70)^0.572811455315093,IF(_xlfn.XLOOKUP(B275,'Base stats'!B:B,'Base stats'!C:C)&lt;=2000,2.71391647193063*(_xlfn.XLOOKUP(B275,'Base stats'!B:B,'Base stats'!C:C)/400)^0.252459582904293,3.74314280240376*(_xlfn.XLOOKUP(B275,'Base stats'!B:B,'Base stats'!C:C)/2000)^0.357012633876913)))),
IF(_xlfn.XLOOKUP(B275,'Base stats'!B:B,'Base stats'!C:C)&lt;0.1,0.05,IF(_xlfn.XLOOKUP(B275,'Base stats'!B:B,'Base stats'!C:C)&lt;0.4,0.1,IF(_xlfn.XLOOKUP(B275,'Base stats'!B:B,'Base stats'!C:C)&lt;=70,(_xlfn.XLOOKUP(B275,'Base stats'!B:B,'Base stats'!C:C)/70)^0.445823913056526,IF(_xlfn.XLOOKUP(B275,'Base stats'!B:B,'Base stats'!C:C)&lt;=400,(_xlfn.XLOOKUP(B275,'Base stats'!B:B,'Base stats'!C:C)/70)^0.572811455315093,IF(_xlfn.XLOOKUP(B275,'Base stats'!B:B,'Base stats'!C:C)&lt;=2000,2.71391647193063*(_xlfn.XLOOKUP(B275,'Base stats'!B:B,'Base stats'!C:C)/400)^0.252459582904293,3.74314280240376*(_xlfn.XLOOKUP(B275,'Base stats'!B:B,'Base stats'!C:C)/2000)^0.357012633876913)))))),
IF(_xlfn.XLOOKUP(B275,'Base stats'!B:B,'Base stats'!C:C)&lt;0.1,0.05,IF(_xlfn.XLOOKUP(B275,'Base stats'!B:B,'Base stats'!C:C)&lt;=100,0.05,IF(_xlfn.XLOOKUP(B275,'Base stats'!B:B,'Base stats'!C:C)&lt;=250,0.1,IF(_xlfn.XLOOKUP(B275,'Base stats'!B:B,'Base stats'!C:C)&lt;=4000,0.25,0.5)))))</f>
        <v>1.25</v>
      </c>
      <c r="AP275" s="8">
        <f>MROUND(AO275*_xlfn.XLOOKUP(_xlfn.XLOOKUP(B275,'Base stats'!B:B,'Base stats'!E:E),Groups!A:A,Groups!AI:AI)*_xlfn.XLOOKUP(B275,'Base stats'!B:B,'Base stats'!Z:Z),0.05)</f>
        <v>1.5</v>
      </c>
      <c r="AQ275" s="8">
        <f>MAX(0.01,MROUND(IF(CC275="True",0.196*(AO275*100*1000)^0.889,IF(_xlfn.XLOOKUP(_xlfn.XLOOKUP(B275,'Base stats'!B:B,'Base stats'!E:E),Groups!A:A,Groups!AJ:AJ)="Bird",10.5*(AO275*100*1000)^0.681,4.82*(AO275*100*1000)^0.734))/(4.82*(1*100*1000)^0.734)/IF(AO275&lt;3.5,2,IF(AO275=3.5,1.5,1.25))*(1+0.132282374779864/(AO275^0.994035016789033+0.00905238001496948)),0.05))</f>
        <v>0.65</v>
      </c>
      <c r="AR275" s="9">
        <f>IFERROR(MROUND(_xlfn.XLOOKUP(B275,'Base stats'!B:B,'Base stats'!H:H)/IF(_xlfn.XLOOKUP(B275,'Base stats'!B:B,'Base stats'!I:I)&lt;&gt;1,(122.5/70),1.2),IF(_xlfn.XLOOKUP(B275,'Base stats'!B:B,'Base stats'!H:H)&gt;=30,5,IF(_xlfn.XLOOKUP(B275,'Base stats'!B:B,'Base stats'!H:H)&gt;=15,3,IF(_xlfn.XLOOKUP(B275,'Base stats'!B:B,'Base stats'!H:H)&gt;=10,2,1)))),"Immortal")</f>
        <v>9</v>
      </c>
      <c r="AS275" s="35">
        <f>IFERROR(IF(OR(_xlfn.XLOOKUP(B275,'Base stats'!B:B,'Base stats'!F:F)="Atypical reproduction",_xlfn.XLOOKUP(B275,'Base stats'!B:B,'Base stats'!F:F)="Lay eggs"),"Lay eggs",MIN(20,MAX(5.5,ROUND(((_xlfn.XLOOKUP(B275,'Base stats'!B:B,'Base stats'!F:F)-25)*(14.5/615) + 5.5)*2,0)/2))),"Unknown")</f>
        <v>6.5</v>
      </c>
      <c r="AT275" s="8">
        <f>IF(_xlfn.XLOOKUP(B275,'Base stats'!B:B,'Base stats'!G:G)="Atypical reproduction","No",IFERROR(MAX(IF(_xlfn.XLOOKUP(B275,'Base stats'!B:B,'Base stats'!G:G)&lt;0.5,0.2,0.3),MROUND(_xlfn.XLOOKUP(B275,'Base stats'!B:B,'Base stats'!G:G)/(365/60),0.2)),"Unknown"))</f>
        <v>0.4</v>
      </c>
      <c r="AU275" s="8">
        <f t="shared" si="29"/>
        <v>0.2</v>
      </c>
      <c r="AV275" s="8">
        <f>IFERROR(IFERROR(MROUND(_xlfn.XLOOKUP(B275,'Base stats'!B:B,'Base stats'!J:J),0.1),"Lay eggs"),"Cannot breed")</f>
        <v>4</v>
      </c>
      <c r="AW275" s="2" t="str">
        <f t="shared" si="30"/>
        <v>false</v>
      </c>
      <c r="AX275" s="2" t="str">
        <f>IF(_xlfn.XLOOKUP(_xlfn.XLOOKUP(Animals!B275,'Base stats'!B:B,'Base stats'!E:E),Groups!A:A,Groups!AK:AK)=1,"true","false")</f>
        <v>false</v>
      </c>
      <c r="AY275" s="25" t="str">
        <f>IF(_xlfn.XLOOKUP(B275,'Base stats'!B:B,'Base stats'!Y:Y)="Liquor","Liquor, CarnivoreAnimalStrict",IF(AND(_xlfn.XLOOKUP(B275,'Base stats'!B:B,'Base stats'!Y:Y)="Carnivore",_xlfn.XLOOKUP(_xlfn.XLOOKUP(B275,'Base stats'!B:B,'Base stats'!E:E),Groups!A:A,Groups!AJ:AJ)="Photonozoa"),"CarnivoreAnimalStrict, OvivoreAnimal",IF(_xlfn.XLOOKUP(B275,'Base stats'!B:B,'Base stats'!Y:Y)="Carnivore","CarnivoreAnimal, OvivoreAnimal",IF(_xlfn.XLOOKUP(B275,'Base stats'!B:B,'Base stats'!Y:Y)="Dendrovore","VegetarianRoughAnimal, DendrovoreAnimal",IF(_xlfn.XLOOKUP(B275,'Base stats'!B:B,'Base stats'!Y:Y)="Herbivore","VegetarianRoughAnimal",IF(_xlfn.XLOOKUP(B275,'Base stats'!B:B,'Base stats'!Y:Y)="OmnivoreRough","OmnivoreRoughAnimal, OvivoreAnimal","OmnivoreAnimal, OvivoreAnimal"))))))</f>
        <v>CarnivoreAnimal, OvivoreAnimal</v>
      </c>
      <c r="AZ275" s="2" t="str">
        <f>IF(_xlfn.XLOOKUP(_xlfn.XLOOKUP(B275,'Base stats'!B:B,'Base stats'!E:E),Groups!A:A,Groups!D:D)=1,MROUND((1-J275)*5+1,2)*IF(J275&lt;=0.4,2,1),"No")</f>
        <v>No</v>
      </c>
      <c r="BA275" s="2" t="str">
        <f>IF(AND(_xlfn.XLOOKUP(B275,'Base stats'!B:B,'Base stats'!AH:AH)="&lt;li&gt;Seal&lt;/li&gt;",G275="Odyssey"),"&lt;li&gt;AEXP_Seal&lt;/li&gt;",_xlfn.XLOOKUP(B275,'Base stats'!B:B,'Base stats'!AH:AH))</f>
        <v>&lt;li&gt;AA_Nightling&lt;/li&gt;</v>
      </c>
      <c r="BB275" s="2" t="str">
        <f>_xlfn.XLOOKUP(B275,'Base stats'!B:B,'Base stats'!AG:AG)</f>
        <v>Leather_Wolf</v>
      </c>
      <c r="BC275" s="23" t="str">
        <f>_xlfn.XLOOKUP(_xlfn.XLOOKUP(B275,'Base stats'!B:B,'Base stats'!E:E),Groups!A:A,Groups!AL:AL)</f>
        <v>QuadrupedAnimalWithPawsAndTail</v>
      </c>
      <c r="BD275" s="23">
        <f>MIN(1,MROUND(IF(AND(AO275&lt;0.5,_xlfn.XLOOKUP(B275,'Base stats'!B:B,'Base stats'!AA:AA)=0),0,IF(OR(_xlfn.XLOOKUP(Animals!B275,'Base stats'!B:B,'Base stats'!O:O)=2,_xlfn.XLOOKUP(_xlfn.XLOOKUP(B275,'Base stats'!B:B,'Base stats'!E:E),Groups!A:A,Groups!AN:AN)=0),0,_xlfn.XLOOKUP(_xlfn.XLOOKUP(B275,'Base stats'!B:B,'Base stats'!E:E),Groups!A:A,Groups!AN:AN)/IF(_xlfn.XLOOKUP(Animals!B275,'Base stats'!B:B,'Base stats'!O:O)=1,2,1)))+_xlfn.XLOOKUP(B275,'Base stats'!B:B,'Base stats'!AC:AC),0.005))</f>
        <v>0.1</v>
      </c>
      <c r="BE275" s="23">
        <f>MIN(1,MROUND(IF(AND(AO275&lt;0.5,_xlfn.XLOOKUP(B275,'Base stats'!B:B,'Base stats'!AA:AA)=0),0,IF(_xlfn.XLOOKUP(_xlfn.XLOOKUP(B275,'Base stats'!B:B,'Base stats'!E:E),Groups!A:A,Groups!AO:AO)=0,0,_xlfn.XLOOKUP(_xlfn.XLOOKUP(B275,'Base stats'!B:B,'Base stats'!E:E),Groups!A:A,Groups!AO:AO)/IF(_xlfn.XLOOKUP(Animals!B275,'Base stats'!B:B,'Base stats'!O:O)=2,3,1)))+_xlfn.XLOOKUP(B275,'Base stats'!B:B,'Base stats'!AD:AD),0.005))</f>
        <v>0.3</v>
      </c>
      <c r="BF275" s="2" t="str">
        <f>IF(J275&gt;0.3,"No",_xlfn.XLOOKUP(_xlfn.XLOOKUP(Animals!B275,'Base stats'!B:B,'Base stats'!E:E),Groups!A:A,Groups!AP:AP))</f>
        <v>No</v>
      </c>
      <c r="BG275" s="2" t="str">
        <f>IF(AND(J275&lt;=0.65,_xlfn.XLOOKUP(_xlfn.XLOOKUP(Animals!B275,'Base stats'!B:B,'Base stats'!E:E),Groups!A:A,Groups!AP:AP)&lt;&gt;"No",_xlfn.XLOOKUP(_xlfn.XLOOKUP(B275,'Base stats'!B:B,'Base stats'!E:E),Groups!A:A,Groups!D:D)=0),MROUND((80/3)*IF(_xlfn.XLOOKUP(B275,'Base stats'!B:B,'Base stats'!O:O)=2,0.2,AO275) + 24*(1-IF(BF275="No",0,BF275)) + 16/3, 12),"No")</f>
        <v>No</v>
      </c>
      <c r="BH275" s="2">
        <f>IF(AND(_xlfn.XLOOKUP(_xlfn.XLOOKUP(B275,'Base stats'!B:B,'Base stats'!E:E),Groups!A:A,Groups!AQ:AQ)=1,AO275&lt;=0.35),8,12)</f>
        <v>12</v>
      </c>
      <c r="BI275" s="2" t="str">
        <f>IF(_xlfn.XLOOKUP(_xlfn.XLOOKUP(B275,'Base stats'!B:B,'Base stats'!E:E),Groups!A:A,Groups!D:D)=0,_xlfn.XLOOKUP(_xlfn.XLOOKUP(B275,'Base stats'!B:B,'Base stats'!E:E),Groups!A:A,Groups!AR:AR),"None")</f>
        <v>Intermediate</v>
      </c>
      <c r="BJ275" s="2" t="str">
        <f>IF(AND(_xlfn.XLOOKUP(_xlfn.XLOOKUP(B275,'Base stats'!B:B,'Base stats'!E:E),Groups!A:A,Groups!AS:AS)=1,OR(_xlfn.XLOOKUP(B275,'Base stats'!B:B,'Base stats'!Y:Y)="Carnivore",_xlfn.XLOOKUP(B275,'Base stats'!B:B,'Base stats'!Y:Y)="Omnivore")),"true","false")</f>
        <v>true</v>
      </c>
      <c r="BK275" s="2">
        <f>IF(BJ275="true",MROUND(IF(AND(AO275&gt;0.5,OR(_xlfn.XLOOKUP(_xlfn.XLOOKUP(B275,'Base stats'!B:B,'Base stats'!E:E),Groups!A:A,Groups!AJ:AJ)="Photonozoa",_xlfn.XLOOKUP(_xlfn.XLOOKUP(B275,'Base stats'!B:B,'Base stats'!E:E),Groups!A:A,Groups!AJ:AJ)="Mammal")),Animals!AO275*1.75*IF(AW275="true",1.5,1),IF(AO275&lt;0.5,Animals!AO275*0.5,Animals!AO275)),IF(AO275&gt;2,0.5,IF(AO275&gt;0.5,0.25,0.1))),"No")</f>
        <v>2.25</v>
      </c>
      <c r="BL275" s="2">
        <f t="shared" si="31"/>
        <v>1</v>
      </c>
      <c r="BM275" s="25" t="str">
        <f>IF(_xlfn.XLOOKUP(B275,'Base stats'!B:B,'Base stats'!AN:AN)="Standard","No",MROUND((_xlfn.XLOOKUP(B275,'Base stats'!B:B,'Base stats'!AN:AN)/3.6)/I275,0.1))</f>
        <v>No</v>
      </c>
      <c r="BN275" s="25" t="str">
        <f t="shared" si="32"/>
        <v>false</v>
      </c>
      <c r="BO275" s="25" t="str">
        <f>IF(AND(OR(_xlfn.XLOOKUP(B275,'Base stats'!B:B,'Base stats'!Y:Y)="Carnivore",_xlfn.XLOOKUP(B275,'Base stats'!B:B,'Base stats'!Y:Y)="Omnivore",_xlfn.XLOOKUP(B275,'Base stats'!B:B,'Base stats'!Y:Y)="OmnivoreRough"),_xlfn.XLOOKUP(_xlfn.XLOOKUP(B275,'Base stats'!B:B,'Base stats'!E:E),Groups!A:A,Groups!AT:AT)=1),"true","false")</f>
        <v>false</v>
      </c>
      <c r="BP275" s="25" t="str" cm="1">
        <f t="array" ref="BP275">IF(
  _xlfn.TEXTJOIN(", ",TRUE,
    IF(AND(BJ275="true",AO275&gt;0.5,BI275&lt;&gt;"None"),"AttackTarget",""),
    IF(AND(_xlfn.XLOOKUP(_xlfn.XLOOKUP(B275,'Base stats'!B:B,'Base stats'!E:E),Groups!A:A,Groups!AJ:AJ="Mammal"),OR(_xlfn.XLOOKUP(B275,'Base stats'!B:B,'Base stats'!Y:Y)="Omnivore",_xlfn.XLOOKUP(B275,'Base stats'!B:B,'Base stats'!Y:Y)="OmnivoreRough")),"Forage",""),
    IF(BG275&lt;=36,"Comfort",""),
    IF(_xlfn.XLOOKUP(B275,'Base stats'!B:B,'Base stats'!AE:AE)&lt;&gt;"No",_xlfn.XLOOKUP(B275,'Base stats'!B:B,'Base stats'!AE:AE),"")
  ) = "",
  "No",
  _xlfn.TEXTJOIN(", ",TRUE,
    IF(AND(BJ275="true",AO275&gt;0.5,BI275&lt;&gt;"None"),"AttackTarget",""),
    IF(AND(_xlfn.XLOOKUP(_xlfn.XLOOKUP(B275,'Base stats'!B:B,'Base stats'!E:E),Groups!A:A,Groups!AJ:AJ="Mammal"),OR(_xlfn.XLOOKUP(B275,'Base stats'!B:B,'Base stats'!Y:Y)="Omnivore",_xlfn.XLOOKUP(B275,'Base stats'!B:B,'Base stats'!Y:Y)="OmnivoreRough")),"Forage",""),
    IF(BG275&lt;=36,"Comfort",""),
    IF(_xlfn.XLOOKUP(B275,'Base stats'!B:B,'Base stats'!AE:AE)&lt;&gt;"No",_xlfn.XLOOKUP(B275,'Base stats'!B:B,'Base stats'!AE:AE),"")
  )
)</f>
        <v>AttackTarget</v>
      </c>
      <c r="BQ275" s="25" t="str">
        <f>IF(
   AND(
      'Base stats'!AN275="Standard",_xlfn.XLOOKUP(_xlfn.XLOOKUP(B275,'Base stats'!B:B,'Base stats'!E:E),Groups!A:A,Groups!AU:AU)=0,
      OR(
      BO275="True"
      )
   ),
   10,
   IF(
       OR(BM275&lt;&gt;"No",_xlfn.XLOOKUP(_xlfn.XLOOKUP(B275,'Base stats'!B:B,'Base stats'!E:E),Groups!A:A,Groups!AU:AU)=1),
      1,
      "No"
   )
)</f>
        <v>No</v>
      </c>
      <c r="BR275" s="9">
        <f>MROUND((1 + ((0.2*IF(OR(Q275="No",R275="No",R275=0),0,Q275/R275)
+IF(OR(V275="No",S275="No",T275="No"),0,S275/T275*(LEN(V275)-LEN(SUBSTITUTE(V275,",",""))+1))
+IF(OR(X275="No",Y275="No"),0,X275/Y275)
+IF(OR(AD275="No",AE275="No"),0,AD275/AE275)
+IF(OR(AL275="No",AI275="No",AJ275="No"),0,AI275/AJ275*(LEN(AL275)-LEN(SUBSTITUTE(AL275,",",""))+1))
)/(0.2*IF(OR(Q275="No",R275="No",R275=0),0,1)
+IF(OR(V275="No",S275="No",T275="No"),0,LEN(V275)-LEN(SUBSTITUTE(V275,",",""))+1)
+IF(OR(X275="No",Y275="No"),0,1)
+IF(OR(AD275="No",AE275="No"),0,1)
+IF(OR(AL275="No",AI275="No",AJ275="No"),0,LEN(AL275)-LEN(SUBSTITUTE(AL275,",",""))+1))*62%)* 2)*(1 + (AP275 / (IF(_xlfn.XLOOKUP(_xlfn.XLOOKUP(B275,'Base stats'!B:B,'Base stats'!E:E),Groups!A:A,Groups!AJ:AJ)="Photonozoa",0.3,1)) + _xlfn.XLOOKUP(B275,'Base stats'!B:B,'Base stats'!AV:AV) * 1.8) * 2) * 2.5 + 10 + I275 * 2,5)+IF(_xlfn.XLOOKUP(B275,'Base stats'!B:B,'Base stats'!AK:AK)=1,50,0)</f>
        <v>140</v>
      </c>
      <c r="BS275" s="8">
        <f t="shared" si="33"/>
        <v>0.75</v>
      </c>
      <c r="BT275" s="8" t="str">
        <f>_xlfn.XLOOKUP(B275,'Base stats'!B:B,'Base stats'!AF:AF)</f>
        <v>No</v>
      </c>
      <c r="BU275" s="2" t="str">
        <f>IF(AND(J275&lt;=0.95,OR(_xlfn.XLOOKUP(B275,'Base stats'!B:B,'Base stats'!AK:AK)=1,_xlfn.XLOOKUP(B275,'Base stats'!B:B,'Base stats'!Y:Y)="Carnivore",_xlfn.XLOOKUP(B275,'Base stats'!B:B,'Base stats'!Y:Y)="Omnivore",BE275&gt;0.1)),"true","false")</f>
        <v>true</v>
      </c>
      <c r="BV275" s="2" t="str">
        <f>IF(_xlfn.XLOOKUP(B275,'Base stats'!B:B,'Base stats'!AI:AI)=1,"true","false")</f>
        <v>false</v>
      </c>
      <c r="BW275" s="25" t="str">
        <f>IF(E275="BaseInsect","AnimalInsect",
IF(J275&gt;0.95,"AnimalExotic",
_xlfn.TEXTJOIN(", ",TRUE,
IF(OR(_xlfn.XLOOKUP(B275,'Base stats'!B:B,'Base stats'!AM:AM)=1,AND(_xlfn.XLOOKUP(B275,'Base stats'!B:B,'Base stats'!O:O)=0,_xlfn.XLOOKUP(_xlfn.XLOOKUP(B275,'Base stats'!B:B,'Base stats'!E:E),Groups!A:A,Groups!B:B)&gt;0)),"AnimalUncommon","AnimalCommon"),
IF(AND(_xlfn.XLOOKUP(B275,'Base stats'!B:B,'Base stats'!O:O)=2,_xlfn.XLOOKUP(_xlfn.XLOOKUP(B275,'Base stats'!B:B,'Base stats'!E:E),Groups!A:A,Groups!D:D)=0),"AnimalPet",IF(AND(_xlfn.XLOOKUP(B275,'Base stats'!B:B,'Base stats'!O:O)&lt;&gt;0,_xlfn.XLOOKUP(_xlfn.XLOOKUP(B275,'Base stats'!B:B,'Base stats'!E:E),Groups!A:A,Groups!D:D)&lt;&gt;0),"AnimalFarm","")),
IF(OR(_xlfn.XLOOKUP(B275,'Base stats'!B:B,'Base stats'!AK:AK)=1,AND(BI275&lt;&gt;"None",BR275&gt;=60),ISNUMBER(SEARCH("Attack target",BP275))),"AnimalFighter","")
)))</f>
        <v>AnimalUncommon, AnimalFighter</v>
      </c>
      <c r="BX275" s="25" t="str">
        <f>IF(G275="None",TRIM(
SUBSTITUTE(
IF(COUNTIF(Biomes!B$2:B$259,"="&amp;$C275)&gt;0,Biomes!B$1&amp;", ","")&amp;
IF(COUNTIF(Biomes!C$2:C$259,"="&amp;$C275)&gt;0,Biomes!C$1&amp;", ","")&amp;
IF(COUNTIF(Biomes!D$2:D$259,"="&amp;$C275)&gt;0,Biomes!D$1&amp;", ","")&amp;
IF(COUNTIF(Biomes!F$2:F$259,"="&amp;$C275)&gt;0,Biomes!F$1&amp;", ","")&amp;
IF(COUNTIF(Biomes!G$2:G$259,"="&amp;$C275)&gt;0,Biomes!G$1&amp;", ","")&amp;
IF(COUNTIF(Biomes!H$2:H$259,"="&amp;$C275)&gt;0,Biomes!H$1&amp;", ","")&amp;
IF(COUNTIF(Biomes!I$2:I$259,"="&amp;$C275)&gt;0,Biomes!I$1&amp;", ","")&amp;
IF(COUNTIF(Biomes!J$2:J$259,"="&amp;$C275)&gt;0,Biomes!J$1&amp;", ","")&amp;
IF(COUNTIF(Biomes!M$2:M$259,"="&amp;$C275)&gt;0,Biomes!M$1&amp;", ","")&amp;
IF(COUNTIF(Biomes!N$2:N$259,"="&amp;$C275)&gt;0,Biomes!N$1&amp;", ","")&amp;
IF(COUNTIF(Biomes!O$2:O$259,"="&amp;$C275)&gt;0,Biomes!O$1&amp;", ","")&amp;
IF(COUNTIF(Biomes!P$2:P$259,"="&amp;$C275)&gt;0,Biomes!P$1&amp;", ","")&amp;
IF(COUNTIF(Biomes!K$2:K$259,"="&amp;$C275)&gt;0,Biomes!K$1&amp;", ","")&amp;
IF(COUNTIF(Biomes!Q$3:Q$259,"="&amp;$C275)&gt;0,Biomes!Q$1&amp;", ","")&amp;
IF(COUNTIF(Biomes!L$2:L$259,"="&amp;$C275)&gt;0,Biomes!L$1&amp;", ","")&amp;
IF(COUNTIF(Biomes!E$2:E$259,"="&amp;$C275)&gt;0,Biomes!E$1&amp;", ","")&amp;IF(COUNTIF(Biomes!S$2:S$259,"="&amp;$C275)&gt;0,Biomes!S$1&amp;", ","")&amp;
IF(COUNTIF(Biomes!R$2:R$259,"="&amp;$C275)&gt;0,Biomes!R$1&amp;", ",""),", ","")
),_xlfn.XLOOKUP(B275,B:B,BX:BX))</f>
        <v>SeaIce IceSheet Tundra BorealForest ColdBog GlacialPlain</v>
      </c>
      <c r="BY275" s="25" t="str">
        <f>IF(_xlfn.XLOOKUP(B275,'Base stats'!B:B,'Base stats'!AJ:AJ)=1,"true","false")</f>
        <v>false</v>
      </c>
      <c r="BZ275" s="25">
        <f>IF(_xlfn.XLOOKUP(B275,'Base stats'!B:B,'Base stats'!N:N)=1,"No",MAX(0.001,MIN(MROUND(IF(AND(BJ275="True",CC275="False"),POWER(10,3.47*LOG10(_xlfn.XLOOKUP(B275,'Base stats'!B:B,'Base stats'!C:C)*1000)^-0.96),POWER(10,4.15*LOG10(_xlfn.XLOOKUP(B275,'Base stats'!B:B,'Base stats'!C:C)*1000)^-0.73))*IF(_xlfn.XLOOKUP(B275,'Base stats'!B:B,'Base stats'!AK:AK)=1,0.5,1)*IF(_xlfn.XLOOKUP(B275,'Base stats'!B:B,'Base stats'!AM:AM)=1,0.1,1)/100,IF(_xlfn.XLOOKUP(B275,'Base stats'!B:B,'Base stats'!AM:AM)=1,0.001,0.025)),0.5)))</f>
        <v>5.0000000000000001E-3</v>
      </c>
      <c r="CA275" s="25" t="str">
        <f>IF(P275="Standard","No",MAX(0.001,MIN(MROUND(IF(AND(BJ275="True",CC275="False"),POWER(10,3.47*LOG10(_xlfn.XLOOKUP(B275,'Base stats'!B:B,'Base stats'!C:C)*1000)^-0.96),POWER(10,4.15*LOG10(_xlfn.XLOOKUP(B275,'Base stats'!B:B,'Base stats'!C:C)*1000)^-0.73))*IF(_xlfn.XLOOKUP(B275,'Base stats'!B:B,'Base stats'!AM:AM)=1,0.1,1)*_xlfn.XLOOKUP(B275,'Base stats'!B:B,'Base stats'!R:R)/100,IF(_xlfn.XLOOKUP(B275,'Base stats'!B:B,'Base stats'!AM:AM)=1,0.001,0.025)),0.5)))</f>
        <v>No</v>
      </c>
      <c r="CB275" s="25" t="str">
        <f>IF(_xlfn.XLOOKUP(_xlfn.XLOOKUP(B275,'Base stats'!B:B,'Base stats'!E:E),Groups!A:A,Groups!AJ:AJ)="Mammal","True","False")</f>
        <v>True</v>
      </c>
      <c r="CC275" s="25" t="str">
        <f>IF(OR(_xlfn.XLOOKUP(_xlfn.XLOOKUP(B275,'Base stats'!B:B,'Base stats'!E:E),Groups!A:A,Groups!AJ:AJ)="Reptile",_xlfn.XLOOKUP(_xlfn.XLOOKUP(B275,'Base stats'!B:B,'Base stats'!E:E),Groups!A:A,Groups!AJ:AJ)="Amphibian",_xlfn.XLOOKUP(_xlfn.XLOOKUP(B275,'Base stats'!B:B,'Base stats'!E:E),Groups!A:A,Groups!AJ:AJ)="Invertebrate"),"True","False")</f>
        <v>False</v>
      </c>
      <c r="CD275" s="25" t="str">
        <f t="shared" si="34"/>
        <v>False</v>
      </c>
      <c r="CE275" s="25" t="str">
        <f>IF(_xlfn.XLOOKUP(_xlfn.XLOOKUP(B275,'Base stats'!B:B,'Base stats'!E:E),Groups!A:A,Groups!AX:AX),"True","False")</f>
        <v>False</v>
      </c>
      <c r="CF275" s="25" t="str">
        <f>IF(_xlfn.XLOOKUP(_xlfn.XLOOKUP(B275,'Base stats'!B:B,'Base stats'!E:E),Groups!A:A,Groups!AY:AY),"True","False")</f>
        <v>False</v>
      </c>
      <c r="CG275" s="25" t="str">
        <f>IF(_xlfn.XLOOKUP(_xlfn.XLOOKUP(B275,'Base stats'!B:B,'Base stats'!E:E),Groups!A:A,Groups!AW:AW),"True","False")</f>
        <v>False</v>
      </c>
      <c r="CH275" s="25" t="str">
        <f>IF(
OR(
_xlfn.XLOOKUP(_xlfn.XLOOKUP(B275,'Base stats'!B:B,'Base stats'!E:E),Groups!A:A,Groups!AZ:AZ)=0,
AND(
_xlfn.XLOOKUP(B275,'Base stats'!B:B,'Base stats'!Y:Y)&lt;&gt;"Carnivore",
_xlfn.XLOOKUP(B275,'Base stats'!B:B,'Base stats'!Y:Y)&lt;&gt;"Omnivore",
_xlfn.XLOOKUP(B275,'Base stats'!B:B,'Base stats'!Y:Y)&lt;&gt;"OmnivoreRough"
)
),
"No",
IF(
_xlfn.XLOOKUP(_xlfn.XLOOKUP(B275,'Base stats'!B:B,'Base stats'!E:E),Groups!A:A,Groups!AZ:AZ)=1,
"Flesh",
IF(
_xlfn.XLOOKUP(_xlfn.XLOOKUP(B275,'Base stats'!B:B,'Base stats'!E:E),Groups!A:A,Groups!AZ:AZ)=2,
"Bone",
""
)
)
)</f>
        <v>No</v>
      </c>
      <c r="CI275" s="25" t="str">
        <f>IF(_xlfn.XLOOKUP(_xlfn.XLOOKUP(B275,'Base stats'!B:B,'Base stats'!E:E),Groups!A:A,Groups!BB:BB),"True","False")</f>
        <v>True</v>
      </c>
      <c r="CJ275" s="25" t="str">
        <f>IF(_xlfn.XLOOKUP(_xlfn.XLOOKUP(B275,'Base stats'!B:B,'Base stats'!E:E),Groups!A:A,Groups!BA:BA),"True","False")</f>
        <v>False</v>
      </c>
    </row>
    <row r="276" spans="1:88" ht="16.5" thickTop="1" thickBot="1" x14ac:dyDescent="0.3">
      <c r="A276" s="26" t="s">
        <v>1460</v>
      </c>
      <c r="B276" s="6" t="str">
        <f>_xlfn.XLOOKUP(A276,'Base stats'!A:A,'Base stats'!B:B)</f>
        <v>Acarus glacialis</v>
      </c>
      <c r="C276" s="28" t="s">
        <v>1461</v>
      </c>
      <c r="D276" s="28" t="s">
        <v>1341</v>
      </c>
      <c r="E276" s="28" t="s">
        <v>1747</v>
      </c>
      <c r="F276" s="28" t="s">
        <v>673</v>
      </c>
      <c r="G276" s="28" t="s">
        <v>673</v>
      </c>
      <c r="H276" s="2">
        <f>MROUND((
  (IF(AND(_xlfn.XLOOKUP(B276,'Base stats'!B:B,'Base stats'!AL:AL)=0,BI276="None",_xlfn.XLOOKUP(_xlfn.XLOOKUP(B276,'Base stats'!B:B,'Base stats'!E:E),Groups!A:A,Groups!B:B)=0), (18 + BR276 * 2.7) * 0.5,
    IF(AND(_xlfn.XLOOKUP(B276,'Base stats'!B:B,'Base stats'!AL:AL)=0,OR(AO276&lt;0.55,AND(BI276="Intermediate",_xlfn.XLOOKUP(_xlfn.XLOOKUP(B276,'Base stats'!B:B,'Base stats'!E:E),Groups!A:A,Groups!B:B)&lt;2))), (18 + BR276 * 2.7),
      IF(OR(BI276="Advanced",_xlfn.XLOOKUP(B276,'Base stats'!B:B,'Base stats'!AL:AL)=1,_xlfn.XLOOKUP(_xlfn.XLOOKUP(B276,'Base stats'!B:B,'Base stats'!E:E),Groups!A:A,Groups!B:B)=2), (18 + BR276 * 2.7) + 250, (18 + BR276 * 2.7))
    )
  ))
  + AO276 * 80
  + IF(COUNTIF(EggMilk!K$2:K$998, A276) &gt; 0, 125, 0)
  + IF(COUNTIF(EggMilk!P$2:P$998, A276) &gt; 0, 90, 0)
  + IF(COUNTIF(EggMilk!A$2:A$998, A276) &gt; 0, 90, 0)
)
* (0.8 + 0.4 * J276)
* 0.75,25)</f>
        <v>250</v>
      </c>
      <c r="I276" s="2">
        <f>MROUND(ROUNDDOWN(_xlfn.XLOOKUP(B276,'Base stats'!B:B,'Base stats'!L:L)/3.6/(23.3/11),1),0.5)</f>
        <v>3</v>
      </c>
      <c r="J276" s="2">
        <f>IF(OR(_xlfn.XLOOKUP(B276,'Base stats'!B:B,'Base stats'!AB:AB)=1,_xlfn.XLOOKUP(_xlfn.XLOOKUP(B276,'Base stats'!B:B,'Base stats'!E:E),Groups!A:A,Groups!C:C)="Untamable"),1,IF(_xlfn.XLOOKUP(B276,'Base stats'!B:B,'Base stats'!AL:AL)=1,0.99,MIN(MROUND((1-0.6282*EXP(-0.459*AO276))*_xlfn.XLOOKUP(_xlfn.XLOOKUP(B276,'Base stats'!B:B,'Base stats'!E:E),Groups!A:A,Groups!C:C)*IF(_xlfn.XLOOKUP(B276,'Base stats'!B:B,'Base stats'!O:O)=1,0.5,IF(_xlfn.XLOOKUP(B276,'Base stats'!B:B,'Base stats'!O:O)=2,0,1)),0.05),IF(AO276&gt;3.5,0.985,0.95))))</f>
        <v>0.60000000000000009</v>
      </c>
      <c r="K276" s="2">
        <f>ROUNDUP(AO276*_xlfn.XLOOKUP(_xlfn.XLOOKUP(B276,'Base stats'!B:B,'Base stats'!E:E),Groups!A:A,Groups!E:E),0)</f>
        <v>1</v>
      </c>
      <c r="L276" s="2">
        <f>IF(OR(_xlfn.XLOOKUP(_xlfn.XLOOKUP(B276,'Base stats'!B:B,'Base stats'!E:E),Groups!A:A,Groups!F:F)=2,ISNUMBER(SEARCH("SeaIce",BX276)),ISNUMBER(SEARCH("IceSheet",BX276))),-50,IF(OR(ISNUMBER(SEARCH("GlacialPlain",BX276)),ISNUMBER(SEARCH("Tundra",BX276))),-40,IF(OR(ISNUMBER(SEARCH("Alpine",BX276)),ISNUMBER(SEARCH("BorealForest",BX276)),ISNUMBER(SEARCH("ColdBog",BX276))),-30,IF(OR(ISNUMBER(SEARCH("TemperateForest",BX276)),ISNUMBER(SEARCH("TemperateSwamp",BX276))),-20,IF(_xlfn.XLOOKUP(_xlfn.XLOOKUP(B276,'Base stats'!B:B,'Base stats'!E:E),Groups!A:A,Groups!F:F)=1,-15,IF(OR(ISNUMBER(SEARCH("Desert",BX276)),ISNUMBER(SEARCH("ExtremeDesert",BX276))),-10,IF(OR(ISNUMBER(SEARCH("Grasslands",BX276)),ISNUMBER(SEARCH("TropicalRainforest",BX276)),ISNUMBER(SEARCH("TropicalSwamp",BX276))),10,0)))))))-IF(CC276="False",MIN(IFERROR(MAX(MROUND(LOG10(_xlfn.XLOOKUP(B276,'Base stats'!B:B,'Base stats'!C:C)^(2/3))*10,5),5),5),30))-_xlfn.XLOOKUP(B276,'Base stats'!B:B,'Base stats'!P:P)+IF(CC276="True",5,0)</f>
        <v>-45</v>
      </c>
      <c r="M276" s="2">
        <f>IF(OR(_xlfn.XLOOKUP(_xlfn.XLOOKUP(B276,'Base stats'!B:B,'Base stats'!E:E),Groups!A:A,Groups!G:G)=2,ISNUMBER(SEARCH("Desert",BX276)),ISNUMBER(SEARCH("ExtremeDesert",BX276)),ISNUMBER(SEARCH("LavaField",BX276))),50,IF(ISNUMBER(SEARCH("Grasslands",BX276)),45,IF(OR(_xlfn.XLOOKUP(_xlfn.XLOOKUP(B276,'Base stats'!B:B,'Base stats'!E:E),Groups!A:A,Groups!G:G)=1,ISNUMBER(SEARCH("TropicalRainforest",BX276)),ISNUMBER(SEARCH("TropicalSwamp",BX276))),40,IF(OR(ISNUMBER(SEARCH("TemperateForest",BX276)),ISNUMBER(SEARCH("TemperateSwamp",BX276))),35,IF(OR(ISNUMBER(SEARCH("Alpine",BX276)),ISNUMBER(SEARCH("BorealForest",BX276)),ISNUMBER(SEARCH("ColdBog",BX276))),30,IF(ISNUMBER(OR(ISNUMBER(SEARCH("GlacialPlain",BX276)),SEARCH("Tundra",BX276))),25,IF(OR(ISNUMBER(SEARCH("SeaIce",BX276)),ISNUMBER(SEARCH("IceSheet",BX276)),ISNUMBER(SEARCH("TropicalSwamp",BX276))),10,35)))))))+_xlfn.XLOOKUP(B276,'Base stats'!B:B,'Base stats'!Q:Q)</f>
        <v>50</v>
      </c>
      <c r="N276" s="8">
        <f>IF(
_xlfn.XLOOKUP(
_xlfn.XLOOKUP(B276,'Base stats'!B:B,'Base stats'!E:E),
Groups!A:A,
Groups!L:L
)=1,
MIN(
MROUND(
IF(
_xlfn.XLOOKUP(B276,'Animals CE'!B:B,'Animals CE'!Z:Z)&lt;=1.5,
_xlfn.XLOOKUP(B276,'Animals CE'!B:B,'Animals CE'!Z:Z)/2+0.05,
0.8+
(_xlfn.XLOOKUP(B276,'Animals CE'!B:B,'Animals CE'!Z:Z)-1.5)
*0.02
),
0.05
),
200%
),
"No"
)</f>
        <v>0.45</v>
      </c>
      <c r="O276" s="8">
        <f>IF(
_xlfn.XLOOKUP(
_xlfn.XLOOKUP(B276,'Base stats'!B:B,'Base stats'!E:E),
Groups!A:A,
Groups!L:L
)=1,
MIN(
MROUND(
IF(
_xlfn.XLOOKUP(B276,'Animals CE'!B:B,'Animals CE'!AA:AA)&lt;=1.5,
_xlfn.XLOOKUP(B276,'Animals CE'!B:B,'Animals CE'!AA:AA)/2+0.05,
0.8+
(_xlfn.XLOOKUP(B276,'Animals CE'!B:B,'Animals CE'!AA:AA)-1.5)
*0.02
),
0.05
),
200%
),
"No"
)</f>
        <v>0.1</v>
      </c>
      <c r="P276" s="2">
        <f>_xlfn.XLOOKUP(B276,'Base stats'!B:B,'Base stats'!R:R)</f>
        <v>0.8</v>
      </c>
      <c r="Q276" s="13">
        <f>MROUND((LOG10(_xlfn.XLOOKUP(B276,'Base stats'!B:B,'Base stats'!AR:AR))*(AO276^0.5)+(_xlfn.XLOOKUP(B276,'Base stats'!B:B,'Base stats'!AR:AR)/1000)^(2/3)+_xlfn.XLOOKUP(B276,'Base stats'!B:B,'Base stats'!BA:BA)/2)+0.5,0.5)</f>
        <v>5.5</v>
      </c>
      <c r="R276" s="7">
        <f>IF(Q276="No","No",MAX(1,MROUND(_xlfn.XLOOKUP(B276,'Base stats'!B:B,'Base stats'!C:C)^0.165,0.05)))</f>
        <v>1.8</v>
      </c>
      <c r="S276" s="13" t="str">
        <f>IF(_xlfn.XLOOKUP(_xlfn.XLOOKUP(B276,'Base stats'!B:B,'Base stats'!E:E),Groups!A:A,Groups!P:P)=0,"No",MROUND((LOG10(_xlfn.XLOOKUP(B276,'Base stats'!B:B,'Base stats'!AS:AS))*(AO276^0.5)+(_xlfn.XLOOKUP(B276,'Base stats'!B:B,'Base stats'!AS:AS)/1000)^(2/3)+_xlfn.XLOOKUP(B276,'Base stats'!B:B,'Base stats'!BA:BA))+_xlfn.XLOOKUP(B276,'Base stats'!B:B,'Base stats'!AY:AY)+0.5,0.5))</f>
        <v>No</v>
      </c>
      <c r="T276" s="7" t="str">
        <f>IF(S276="No","No",MAX(_xlfn.XLOOKUP(_xlfn.XLOOKUP(B276,'Base stats'!B:B,'Base stats'!E:E),Groups!A:A,Groups!Q:Q),MROUND(_xlfn.XLOOKUP(_xlfn.XLOOKUP(B276,'Base stats'!B:B,'Base stats'!E:E),Groups!A:A,Groups!Q:Q)*_xlfn.XLOOKUP(B276,'Base stats'!B:B,'Base stats'!C:C)^0.165,0.05)))</f>
        <v>No</v>
      </c>
      <c r="U276" s="7" t="str">
        <f>IF(S276="No","No",_xlfn.XLOOKUP(_xlfn.XLOOKUP(B276,'Base stats'!B:B,'Base stats'!E:E),Groups!A:A,Groups!R:R))</f>
        <v>No</v>
      </c>
      <c r="V276" s="7" t="str">
        <f>IF(S276="No","No",_xlfn.XLOOKUP(_xlfn.XLOOKUP(B276,'Base stats'!B:B,'Base stats'!E:E),Groups!A:A,Groups!S:S))</f>
        <v>No</v>
      </c>
      <c r="W276" s="7" t="str">
        <f>IF(S276="No","No",_xlfn.XLOOKUP(_xlfn.XLOOKUP(B276,'Base stats'!B:B,'Base stats'!E:E),Groups!A:A,Groups!T:T))</f>
        <v>No</v>
      </c>
      <c r="X276" s="13" t="str">
        <f>IF(_xlfn.XLOOKUP(B276,'Base stats'!B:B,'Base stats'!W:W)="No","No",MROUND((LOG10(_xlfn.XLOOKUP(B276,'Base stats'!B:B,'Base stats'!AU:AU))*(AO276^0.5)+(_xlfn.XLOOKUP(B276,'Base stats'!B:B,'Base stats'!AU:AU)/1000)^(2/3)+_xlfn.XLOOKUP(B276,'Base stats'!B:B,'Base stats'!AZ:AZ))+0.5+IF(_xlfn.XLOOKUP(_xlfn.XLOOKUP(B276,'Base stats'!B:B,'Base stats'!E:E),Groups!A:A,Groups!U:U)&lt;&gt;3,_xlfn.XLOOKUP(B276,'Base stats'!B:B,'Base stats'!BA:BA),0),0.5))</f>
        <v>No</v>
      </c>
      <c r="Y276" s="7" t="str">
        <f>IF(X276="No","No",MAX(_xlfn.XLOOKUP(_xlfn.XLOOKUP(B276,'Base stats'!B:B,'Base stats'!E:E),Groups!A:A,Groups!V:V),MROUND(_xlfn.XLOOKUP(_xlfn.XLOOKUP(B276,'Base stats'!B:B,'Base stats'!E:E),Groups!A:A,Groups!V:V)*_xlfn.XLOOKUP(B276,'Base stats'!B:B,'Base stats'!C:C)^0.165,0.05)))</f>
        <v>No</v>
      </c>
      <c r="Z276" s="7" t="str">
        <f>IF(X276="No","No",_xlfn.XLOOKUP(_xlfn.XLOOKUP(B276,'Base stats'!B:B,'Base stats'!E:E),Groups!A:A,Groups!W:W))</f>
        <v>No</v>
      </c>
      <c r="AA276" s="7" t="str">
        <f>IF(X276="No","No",_xlfn.XLOOKUP(_xlfn.XLOOKUP(B276,'Base stats'!B:B,'Base stats'!E:E),Groups!A:A,Groups!X:X))</f>
        <v>No</v>
      </c>
      <c r="AB276" s="7" t="str">
        <f>IF(X276="No","No",_xlfn.XLOOKUP(_xlfn.XLOOKUP(B276,'Base stats'!B:B,'Base stats'!E:E),Groups!A:A,Groups!Y:Y))</f>
        <v>No</v>
      </c>
      <c r="AC276" s="7" t="str">
        <f>_xlfn.XLOOKUP(Animals!B276,'Base stats'!B:B,'Base stats'!X:X)</f>
        <v>False</v>
      </c>
      <c r="AD276" s="13">
        <f>IF(_xlfn.XLOOKUP(B276,'Base stats'!B:B,'Base stats'!AT:AT)="No","No",MROUND((LOG10(_xlfn.XLOOKUP(B276,'Base stats'!B:B,'Base stats'!AT:AT))*(AO276^0.75)+(_xlfn.XLOOKUP(B276,'Base stats'!B:B,'Base stats'!AT:AT)/1000)^(2/3)+_xlfn.XLOOKUP(B276,'Base stats'!B:B,'Base stats'!AX:AX)+_xlfn.XLOOKUP(B276,'Base stats'!B:B,'Base stats'!BA:BA))+0.5,0.5))</f>
        <v>14</v>
      </c>
      <c r="AE276" s="7">
        <f>IF(AD276="No","No",MAX(_xlfn.XLOOKUP(_xlfn.XLOOKUP(B276,'Base stats'!B:B,'Base stats'!E:E),Groups!A:A,Groups!Z:Z),MROUND(_xlfn.XLOOKUP(_xlfn.XLOOKUP(B276,'Base stats'!B:B,'Base stats'!E:E),Groups!A:A,Groups!Z:Z)*_xlfn.XLOOKUP(B276,'Base stats'!B:B,'Base stats'!C:C)^0.165,0.05)))</f>
        <v>2.15</v>
      </c>
      <c r="AF276" s="7" t="str">
        <f>IF(AD276="No","No",_xlfn.XLOOKUP(_xlfn.XLOOKUP(B276,'Base stats'!B:B,'Base stats'!E:E),Groups!A:A,Groups!AA:AA))</f>
        <v>Mouth</v>
      </c>
      <c r="AG276" s="7" t="str">
        <f>IF(AD276="No","No",_xlfn.XLOOKUP(_xlfn.XLOOKUP(B276,'Base stats'!B:B,'Base stats'!E:E),Groups!A:A,Groups!AB:AB))</f>
        <v>mandibles</v>
      </c>
      <c r="AH276" s="7" t="str">
        <f>IF(AD276="No","No",_xlfn.XLOOKUP(_xlfn.XLOOKUP(B276,'Base stats'!B:B,'Base stats'!E:E),Groups!A:A,Groups!AC:AC))</f>
        <v>Bite</v>
      </c>
      <c r="AI276" s="13" t="str">
        <f>IF(_xlfn.XLOOKUP(_xlfn.XLOOKUP(B276,'Base stats'!B:B,'Base stats'!E:E),Groups!A:A,Groups!AD:AD)=0,"No",MROUND((LOG10(_xlfn.XLOOKUP(B276,'Base stats'!B:B,'Base stats'!AS:AS))*(AO276^0.75)+(_xlfn.XLOOKUP(B276,'Base stats'!B:B,'Base stats'!AS:AS)/1000)^(2/3)+_xlfn.XLOOKUP(B276,'Base stats'!B:B,'Base stats'!AY:AY)+_xlfn.XLOOKUP(B276,'Base stats'!B:B,'Base stats'!BA:BA))+0.5,0.5))</f>
        <v>No</v>
      </c>
      <c r="AJ276" s="7" t="str">
        <f>IF(AI276="No","No",MAX(_xlfn.XLOOKUP(_xlfn.XLOOKUP(B276,'Base stats'!B:B,'Base stats'!E:E),Groups!A:A,Groups!AE:AE),MROUND(_xlfn.XLOOKUP(_xlfn.XLOOKUP(B276,'Base stats'!B:B,'Base stats'!E:E),Groups!A:A,Groups!AE:AE)*IF(_xlfn.XLOOKUP(_xlfn.XLOOKUP(B276,'Base stats'!B:B,'Base stats'!E:E),Groups!A:A,Groups!AJ:AJ)="Photonozoa",0.6,1)*_xlfn.XLOOKUP(B276,'Base stats'!B:B,'Base stats'!C:C)^0.165,0.05)))</f>
        <v>No</v>
      </c>
      <c r="AK276" s="7" t="str">
        <f>IF(AI276="No","No",_xlfn.XLOOKUP(_xlfn.XLOOKUP(B276,'Base stats'!B:B,'Base stats'!E:E),Groups!A:A,Groups!AF:AF))</f>
        <v>No</v>
      </c>
      <c r="AL276" s="7" t="str">
        <f>IF(AI276="No","No",_xlfn.XLOOKUP(_xlfn.XLOOKUP(B276,'Base stats'!B:B,'Base stats'!E:E),Groups!A:A,Groups!AG:AG))</f>
        <v>No</v>
      </c>
      <c r="AM276" s="7" t="str">
        <f>IF(AI276="No","No",_xlfn.XLOOKUP(_xlfn.XLOOKUP(B276,'Base stats'!B:B,'Base stats'!E:E),Groups!A:A,Groups!AH:AH))</f>
        <v>No</v>
      </c>
      <c r="AN276" s="2" t="str">
        <f t="shared" si="28"/>
        <v>No</v>
      </c>
      <c r="AO276" s="2">
        <f>MROUND(IF(AND(_xlfn.XLOOKUP(B276,'Base stats'!B:B,'Base stats'!C:C)&gt;=0.5,_xlfn.XLOOKUP(B276,'Base stats'!B:B,'Base stats'!C:C)&lt;=0.8),
IF(_xlfn.XLOOKUP(B276,'Base stats'!B:B,'Base stats'!C:C)&lt;0.1,0.05,IF(_xlfn.XLOOKUP(B276,'Base stats'!B:B,'Base stats'!C:C)&lt;=70,(_xlfn.XLOOKUP(B276,'Base stats'!B:B,'Base stats'!C:C)/70)^0.426489913056526,IF(_xlfn.XLOOKUP(B276,'Base stats'!B:B,'Base stats'!C:C)&lt;=400,(_xlfn.XLOOKUP(B276,'Base stats'!B:B,'Base stats'!C:C)/70)^0.572811455315093,IF(_xlfn.XLOOKUP(B276,'Base stats'!B:B,'Base stats'!C:C)&lt;=2000,2.71391647193063*(_xlfn.XLOOKUP(B276,'Base stats'!B:B,'Base stats'!C:C)/400)^0.252459582904293,3.74314280240376*(_xlfn.XLOOKUP(B276,'Base stats'!B:B,'Base stats'!C:C)/2000)^0.357012633876913)))),
IF(_xlfn.XLOOKUP(B276,'Base stats'!B:B,'Base stats'!C:C)&lt;0.1,0.05,IF(_xlfn.XLOOKUP(B276,'Base stats'!B:B,'Base stats'!C:C)&lt;0.4,0.1,IF(_xlfn.XLOOKUP(B276,'Base stats'!B:B,'Base stats'!C:C)&lt;=70,(_xlfn.XLOOKUP(B276,'Base stats'!B:B,'Base stats'!C:C)/70)^0.445823913056526,IF(_xlfn.XLOOKUP(B276,'Base stats'!B:B,'Base stats'!C:C)&lt;=400,(_xlfn.XLOOKUP(B276,'Base stats'!B:B,'Base stats'!C:C)/70)^0.572811455315093,IF(_xlfn.XLOOKUP(B276,'Base stats'!B:B,'Base stats'!C:C)&lt;=2000,2.71391647193063*(_xlfn.XLOOKUP(B276,'Base stats'!B:B,'Base stats'!C:C)/400)^0.252459582904293,3.74314280240376*(_xlfn.XLOOKUP(B276,'Base stats'!B:B,'Base stats'!C:C)/2000)^0.357012633876913)))))),
IF(_xlfn.XLOOKUP(B276,'Base stats'!B:B,'Base stats'!C:C)&lt;0.1,0.05,IF(_xlfn.XLOOKUP(B276,'Base stats'!B:B,'Base stats'!C:C)&lt;=100,0.05,IF(_xlfn.XLOOKUP(B276,'Base stats'!B:B,'Base stats'!C:C)&lt;=250,0.1,IF(_xlfn.XLOOKUP(B276,'Base stats'!B:B,'Base stats'!C:C)&lt;=4000,0.25,0.5)))))</f>
        <v>0.75</v>
      </c>
      <c r="AP276" s="8">
        <f>MROUND(AO276*_xlfn.XLOOKUP(_xlfn.XLOOKUP(B276,'Base stats'!B:B,'Base stats'!E:E),Groups!A:A,Groups!AI:AI)*_xlfn.XLOOKUP(B276,'Base stats'!B:B,'Base stats'!Z:Z),0.05)</f>
        <v>0.75</v>
      </c>
      <c r="AQ276" s="8">
        <f>MAX(0.01,MROUND(IF(CC276="True",0.196*(AO276*100*1000)^0.889,IF(_xlfn.XLOOKUP(_xlfn.XLOOKUP(B276,'Base stats'!B:B,'Base stats'!E:E),Groups!A:A,Groups!AJ:AJ)="Bird",10.5*(AO276*100*1000)^0.681,4.82*(AO276*100*1000)^0.734))/(4.82*(1*100*1000)^0.734)/IF(AO276&lt;3.5,2,IF(AO276=3.5,1.5,1.25))*(1+0.132282374779864/(AO276^0.994035016789033+0.00905238001496948)),0.05))</f>
        <v>0.1</v>
      </c>
      <c r="AR276" s="9">
        <f>IFERROR(MROUND(_xlfn.XLOOKUP(B276,'Base stats'!B:B,'Base stats'!H:H)/IF(_xlfn.XLOOKUP(B276,'Base stats'!B:B,'Base stats'!I:I)&lt;&gt;1,(122.5/70),1.2),IF(_xlfn.XLOOKUP(B276,'Base stats'!B:B,'Base stats'!H:H)&gt;=30,5,IF(_xlfn.XLOOKUP(B276,'Base stats'!B:B,'Base stats'!H:H)&gt;=15,3,IF(_xlfn.XLOOKUP(B276,'Base stats'!B:B,'Base stats'!H:H)&gt;=10,2,1)))),"Immortal")</f>
        <v>6</v>
      </c>
      <c r="AS276" s="35" t="str">
        <f>IFERROR(IF(OR(_xlfn.XLOOKUP(B276,'Base stats'!B:B,'Base stats'!F:F)="Atypical reproduction",_xlfn.XLOOKUP(B276,'Base stats'!B:B,'Base stats'!F:F)="Lay eggs"),"Lay eggs",MIN(20,MAX(5.5,ROUND(((_xlfn.XLOOKUP(B276,'Base stats'!B:B,'Base stats'!F:F)-25)*(14.5/615) + 5.5)*2,0)/2))),"Unknown")</f>
        <v>Lay eggs</v>
      </c>
      <c r="AT276" s="8">
        <f>IF(_xlfn.XLOOKUP(B276,'Base stats'!B:B,'Base stats'!G:G)="Atypical reproduction","No",IFERROR(MAX(IF(_xlfn.XLOOKUP(B276,'Base stats'!B:B,'Base stats'!G:G)&lt;0.5,0.2,0.3),MROUND(_xlfn.XLOOKUP(B276,'Base stats'!B:B,'Base stats'!G:G)/(365/60),0.2)),"Unknown"))</f>
        <v>0.4</v>
      </c>
      <c r="AU276" s="8">
        <f t="shared" si="29"/>
        <v>0.2</v>
      </c>
      <c r="AV276" s="8" t="str">
        <f>IFERROR(IFERROR(MROUND(_xlfn.XLOOKUP(B276,'Base stats'!B:B,'Base stats'!J:J),0.1),"Lay eggs"),"Cannot breed")</f>
        <v>Lay eggs</v>
      </c>
      <c r="AW276" s="2" t="str">
        <f t="shared" si="30"/>
        <v>false</v>
      </c>
      <c r="AX276" s="2" t="str">
        <f>IF(_xlfn.XLOOKUP(_xlfn.XLOOKUP(Animals!B276,'Base stats'!B:B,'Base stats'!E:E),Groups!A:A,Groups!AK:AK)=1,"true","false")</f>
        <v>false</v>
      </c>
      <c r="AY276" s="25" t="str">
        <f>IF(_xlfn.XLOOKUP(B276,'Base stats'!B:B,'Base stats'!Y:Y)="Liquor","Liquor, CarnivoreAnimalStrict",IF(AND(_xlfn.XLOOKUP(B276,'Base stats'!B:B,'Base stats'!Y:Y)="Carnivore",_xlfn.XLOOKUP(_xlfn.XLOOKUP(B276,'Base stats'!B:B,'Base stats'!E:E),Groups!A:A,Groups!AJ:AJ)="Photonozoa"),"CarnivoreAnimalStrict, OvivoreAnimal",IF(_xlfn.XLOOKUP(B276,'Base stats'!B:B,'Base stats'!Y:Y)="Carnivore","CarnivoreAnimal, OvivoreAnimal",IF(_xlfn.XLOOKUP(B276,'Base stats'!B:B,'Base stats'!Y:Y)="Dendrovore","VegetarianRoughAnimal, DendrovoreAnimal",IF(_xlfn.XLOOKUP(B276,'Base stats'!B:B,'Base stats'!Y:Y)="Herbivore","VegetarianRoughAnimal",IF(_xlfn.XLOOKUP(B276,'Base stats'!B:B,'Base stats'!Y:Y)="OmnivoreRough","OmnivoreRoughAnimal, OvivoreAnimal","OmnivoreAnimal, OvivoreAnimal"))))))</f>
        <v>OmnivoreAnimal, OvivoreAnimal</v>
      </c>
      <c r="AZ276" s="2">
        <f>IF(_xlfn.XLOOKUP(_xlfn.XLOOKUP(B276,'Base stats'!B:B,'Base stats'!E:E),Groups!A:A,Groups!D:D)=1,MROUND((1-J276)*5+1,2)*IF(J276&lt;=0.4,2,1),"No")</f>
        <v>4</v>
      </c>
      <c r="BA276" s="2" t="str">
        <f>IF(AND(_xlfn.XLOOKUP(B276,'Base stats'!B:B,'Base stats'!AH:AH)="&lt;li&gt;Seal&lt;/li&gt;",G276="Odyssey"),"&lt;li&gt;AEXP_Seal&lt;/li&gt;",_xlfn.XLOOKUP(B276,'Base stats'!B:B,'Base stats'!AH:AH))</f>
        <v>&lt;li&gt;Megaspider&lt;/li&gt;</v>
      </c>
      <c r="BB276" s="2" t="str">
        <f>_xlfn.XLOOKUP(B276,'Base stats'!B:B,'Base stats'!AG:AG)</f>
        <v>Leather_Chitin</v>
      </c>
      <c r="BC276" s="23" t="str">
        <f>_xlfn.XLOOKUP(_xlfn.XLOOKUP(B276,'Base stats'!B:B,'Base stats'!E:E),Groups!A:A,Groups!AL:AL)</f>
        <v>BeetleLike</v>
      </c>
      <c r="BD276" s="23">
        <f>MIN(1,MROUND(IF(AND(AO276&lt;0.5,_xlfn.XLOOKUP(B276,'Base stats'!B:B,'Base stats'!AA:AA)=0),0,IF(OR(_xlfn.XLOOKUP(Animals!B276,'Base stats'!B:B,'Base stats'!O:O)=2,_xlfn.XLOOKUP(_xlfn.XLOOKUP(B276,'Base stats'!B:B,'Base stats'!E:E),Groups!A:A,Groups!AN:AN)=0),0,_xlfn.XLOOKUP(_xlfn.XLOOKUP(B276,'Base stats'!B:B,'Base stats'!E:E),Groups!A:A,Groups!AN:AN)/IF(_xlfn.XLOOKUP(Animals!B276,'Base stats'!B:B,'Base stats'!O:O)=1,2,1)))+_xlfn.XLOOKUP(B276,'Base stats'!B:B,'Base stats'!AC:AC),0.005))</f>
        <v>0.1</v>
      </c>
      <c r="BE276" s="23">
        <f>MIN(1,MROUND(IF(AND(AO276&lt;0.5,_xlfn.XLOOKUP(B276,'Base stats'!B:B,'Base stats'!AA:AA)=0),0,IF(_xlfn.XLOOKUP(_xlfn.XLOOKUP(B276,'Base stats'!B:B,'Base stats'!E:E),Groups!A:A,Groups!AO:AO)=0,0,_xlfn.XLOOKUP(_xlfn.XLOOKUP(B276,'Base stats'!B:B,'Base stats'!E:E),Groups!A:A,Groups!AO:AO)/IF(_xlfn.XLOOKUP(Animals!B276,'Base stats'!B:B,'Base stats'!O:O)=2,3,1)))+_xlfn.XLOOKUP(B276,'Base stats'!B:B,'Base stats'!AD:AD),0.005))</f>
        <v>0.3</v>
      </c>
      <c r="BF276" s="2" t="str">
        <f>IF(J276&gt;0.3,"No",_xlfn.XLOOKUP(_xlfn.XLOOKUP(Animals!B276,'Base stats'!B:B,'Base stats'!E:E),Groups!A:A,Groups!AP:AP))</f>
        <v>No</v>
      </c>
      <c r="BG276" s="2" t="str">
        <f>IF(AND(J276&lt;=0.65,_xlfn.XLOOKUP(_xlfn.XLOOKUP(Animals!B276,'Base stats'!B:B,'Base stats'!E:E),Groups!A:A,Groups!AP:AP)&lt;&gt;"No",_xlfn.XLOOKUP(_xlfn.XLOOKUP(B276,'Base stats'!B:B,'Base stats'!E:E),Groups!A:A,Groups!D:D)=0),MROUND((80/3)*IF(_xlfn.XLOOKUP(B276,'Base stats'!B:B,'Base stats'!O:O)=2,0.2,AO276) + 24*(1-IF(BF276="No",0,BF276)) + 16/3, 12),"No")</f>
        <v>No</v>
      </c>
      <c r="BH276" s="2">
        <f>IF(AND(_xlfn.XLOOKUP(_xlfn.XLOOKUP(B276,'Base stats'!B:B,'Base stats'!E:E),Groups!A:A,Groups!AQ:AQ)=1,AO276&lt;=0.35),8,12)</f>
        <v>12</v>
      </c>
      <c r="BI276" s="2" t="str">
        <f>IF(_xlfn.XLOOKUP(_xlfn.XLOOKUP(B276,'Base stats'!B:B,'Base stats'!E:E),Groups!A:A,Groups!D:D)=0,_xlfn.XLOOKUP(_xlfn.XLOOKUP(B276,'Base stats'!B:B,'Base stats'!E:E),Groups!A:A,Groups!AR:AR),"None")</f>
        <v>None</v>
      </c>
      <c r="BJ276" s="2" t="str">
        <f>IF(AND(_xlfn.XLOOKUP(_xlfn.XLOOKUP(B276,'Base stats'!B:B,'Base stats'!E:E),Groups!A:A,Groups!AS:AS)=1,OR(_xlfn.XLOOKUP(B276,'Base stats'!B:B,'Base stats'!Y:Y)="Carnivore",_xlfn.XLOOKUP(B276,'Base stats'!B:B,'Base stats'!Y:Y)="Omnivore")),"true","false")</f>
        <v>false</v>
      </c>
      <c r="BK276" s="2" t="str">
        <f>IF(BJ276="true",MROUND(IF(AND(AO276&gt;0.5,OR(_xlfn.XLOOKUP(_xlfn.XLOOKUP(B276,'Base stats'!B:B,'Base stats'!E:E),Groups!A:A,Groups!AJ:AJ)="Photonozoa",_xlfn.XLOOKUP(_xlfn.XLOOKUP(B276,'Base stats'!B:B,'Base stats'!E:E),Groups!A:A,Groups!AJ:AJ)="Mammal")),Animals!AO276*1.75*IF(AW276="true",1.5,1),IF(AO276&lt;0.5,Animals!AO276*0.5,Animals!AO276)),IF(AO276&gt;2,0.5,IF(AO276&gt;0.5,0.25,0.1))),"No")</f>
        <v>No</v>
      </c>
      <c r="BL276" s="2">
        <f t="shared" si="31"/>
        <v>0</v>
      </c>
      <c r="BM276" s="25" t="str">
        <f>IF(_xlfn.XLOOKUP(B276,'Base stats'!B:B,'Base stats'!AN:AN)="Standard","No",MROUND((_xlfn.XLOOKUP(B276,'Base stats'!B:B,'Base stats'!AN:AN)/3.6)/I276,0.1))</f>
        <v>No</v>
      </c>
      <c r="BN276" s="25" t="str">
        <f t="shared" si="32"/>
        <v>false</v>
      </c>
      <c r="BO276" s="25" t="str">
        <f>IF(AND(OR(_xlfn.XLOOKUP(B276,'Base stats'!B:B,'Base stats'!Y:Y)="Carnivore",_xlfn.XLOOKUP(B276,'Base stats'!B:B,'Base stats'!Y:Y)="Omnivore",_xlfn.XLOOKUP(B276,'Base stats'!B:B,'Base stats'!Y:Y)="OmnivoreRough"),_xlfn.XLOOKUP(_xlfn.XLOOKUP(B276,'Base stats'!B:B,'Base stats'!E:E),Groups!A:A,Groups!AT:AT)=1),"true","false")</f>
        <v>false</v>
      </c>
      <c r="BP276" s="25" t="str" cm="1">
        <f t="array" ref="BP276">IF(
  _xlfn.TEXTJOIN(", ",TRUE,
    IF(AND(BJ276="true",AO276&gt;0.5,BI276&lt;&gt;"None"),"AttackTarget",""),
    IF(AND(_xlfn.XLOOKUP(_xlfn.XLOOKUP(B276,'Base stats'!B:B,'Base stats'!E:E),Groups!A:A,Groups!AJ:AJ="Mammal"),OR(_xlfn.XLOOKUP(B276,'Base stats'!B:B,'Base stats'!Y:Y)="Omnivore",_xlfn.XLOOKUP(B276,'Base stats'!B:B,'Base stats'!Y:Y)="OmnivoreRough")),"Forage",""),
    IF(BG276&lt;=36,"Comfort",""),
    IF(_xlfn.XLOOKUP(B276,'Base stats'!B:B,'Base stats'!AE:AE)&lt;&gt;"No",_xlfn.XLOOKUP(B276,'Base stats'!B:B,'Base stats'!AE:AE),"")
  ) = "",
  "No",
  _xlfn.TEXTJOIN(", ",TRUE,
    IF(AND(BJ276="true",AO276&gt;0.5,BI276&lt;&gt;"None"),"AttackTarget",""),
    IF(AND(_xlfn.XLOOKUP(_xlfn.XLOOKUP(B276,'Base stats'!B:B,'Base stats'!E:E),Groups!A:A,Groups!AJ:AJ="Mammal"),OR(_xlfn.XLOOKUP(B276,'Base stats'!B:B,'Base stats'!Y:Y)="Omnivore",_xlfn.XLOOKUP(B276,'Base stats'!B:B,'Base stats'!Y:Y)="OmnivoreRough")),"Forage",""),
    IF(BG276&lt;=36,"Comfort",""),
    IF(_xlfn.XLOOKUP(B276,'Base stats'!B:B,'Base stats'!AE:AE)&lt;&gt;"No",_xlfn.XLOOKUP(B276,'Base stats'!B:B,'Base stats'!AE:AE),"")
  )
)</f>
        <v>No</v>
      </c>
      <c r="BQ276" s="25" t="str">
        <f>IF(
   AND(
      'Base stats'!AN276="Standard",_xlfn.XLOOKUP(_xlfn.XLOOKUP(B276,'Base stats'!B:B,'Base stats'!E:E),Groups!A:A,Groups!AU:AU)=0,
      OR(
      BO276="True"
      )
   ),
   10,
   IF(
       OR(BM276&lt;&gt;"No",_xlfn.XLOOKUP(_xlfn.XLOOKUP(B276,'Base stats'!B:B,'Base stats'!E:E),Groups!A:A,Groups!AU:AU)=1),
      1,
      "No"
   )
)</f>
        <v>No</v>
      </c>
      <c r="BR276" s="9">
        <f>MROUND((1 + ((0.2*IF(OR(Q276="No",R276="No",R276=0),0,Q276/R276)
+IF(OR(V276="No",S276="No",T276="No"),0,S276/T276*(LEN(V276)-LEN(SUBSTITUTE(V276,",",""))+1))
+IF(OR(X276="No",Y276="No"),0,X276/Y276)
+IF(OR(AD276="No",AE276="No"),0,AD276/AE276)
+IF(OR(AL276="No",AI276="No",AJ276="No"),0,AI276/AJ276*(LEN(AL276)-LEN(SUBSTITUTE(AL276,",",""))+1))
)/(0.2*IF(OR(Q276="No",R276="No",R276=0),0,1)
+IF(OR(V276="No",S276="No",T276="No"),0,LEN(V276)-LEN(SUBSTITUTE(V276,",",""))+1)
+IF(OR(X276="No",Y276="No"),0,1)
+IF(OR(AD276="No",AE276="No"),0,1)
+IF(OR(AL276="No",AI276="No",AJ276="No"),0,LEN(AL276)-LEN(SUBSTITUTE(AL276,",",""))+1))*62%)* 2)*(1 + (AP276 / (IF(_xlfn.XLOOKUP(_xlfn.XLOOKUP(B276,'Base stats'!B:B,'Base stats'!E:E),Groups!A:A,Groups!AJ:AJ)="Photonozoa",0.3,1)) + _xlfn.XLOOKUP(B276,'Base stats'!B:B,'Base stats'!AV:AV) * 1.8) * 2) * 2.5 + 10 + I276 * 2,5)+IF(_xlfn.XLOOKUP(B276,'Base stats'!B:B,'Base stats'!AK:AK)=1,50,0)</f>
        <v>90</v>
      </c>
      <c r="BS276" s="8">
        <f t="shared" si="33"/>
        <v>0.25</v>
      </c>
      <c r="BT276" s="8" t="str">
        <f>_xlfn.XLOOKUP(B276,'Base stats'!B:B,'Base stats'!AF:AF)</f>
        <v>No</v>
      </c>
      <c r="BU276" s="2" t="str">
        <f>IF(AND(J276&lt;=0.95,OR(_xlfn.XLOOKUP(B276,'Base stats'!B:B,'Base stats'!AK:AK)=1,_xlfn.XLOOKUP(B276,'Base stats'!B:B,'Base stats'!Y:Y)="Carnivore",_xlfn.XLOOKUP(B276,'Base stats'!B:B,'Base stats'!Y:Y)="Omnivore",BE276&gt;0.1)),"true","false")</f>
        <v>true</v>
      </c>
      <c r="BV276" s="2" t="str">
        <f>IF(_xlfn.XLOOKUP(B276,'Base stats'!B:B,'Base stats'!AI:AI)=1,"true","false")</f>
        <v>false</v>
      </c>
      <c r="BW276" s="25" t="str">
        <f>IF(E276="BaseInsect","AnimalInsect",
IF(J276&gt;0.95,"AnimalExotic",
_xlfn.TEXTJOIN(", ",TRUE,
IF(OR(_xlfn.XLOOKUP(B276,'Base stats'!B:B,'Base stats'!AM:AM)=1,AND(_xlfn.XLOOKUP(B276,'Base stats'!B:B,'Base stats'!O:O)=0,_xlfn.XLOOKUP(_xlfn.XLOOKUP(B276,'Base stats'!B:B,'Base stats'!E:E),Groups!A:A,Groups!B:B)&gt;0)),"AnimalUncommon","AnimalCommon"),
IF(AND(_xlfn.XLOOKUP(B276,'Base stats'!B:B,'Base stats'!O:O)=2,_xlfn.XLOOKUP(_xlfn.XLOOKUP(B276,'Base stats'!B:B,'Base stats'!E:E),Groups!A:A,Groups!D:D)=0),"AnimalPet",IF(AND(_xlfn.XLOOKUP(B276,'Base stats'!B:B,'Base stats'!O:O)&lt;&gt;0,_xlfn.XLOOKUP(_xlfn.XLOOKUP(B276,'Base stats'!B:B,'Base stats'!E:E),Groups!A:A,Groups!D:D)&lt;&gt;0),"AnimalFarm","")),
IF(OR(_xlfn.XLOOKUP(B276,'Base stats'!B:B,'Base stats'!AK:AK)=1,AND(BI276&lt;&gt;"None",BR276&gt;=60),ISNUMBER(SEARCH("Attack target",BP276))),"AnimalFighter","")
)))</f>
        <v>AnimalUncommon</v>
      </c>
      <c r="BX276" s="25" t="str">
        <f>IF(G276="None",TRIM(
SUBSTITUTE(
IF(COUNTIF(Biomes!B$2:B$259,"="&amp;$C276)&gt;0,Biomes!B$1&amp;", ","")&amp;
IF(COUNTIF(Biomes!C$2:C$259,"="&amp;$C276)&gt;0,Biomes!C$1&amp;", ","")&amp;
IF(COUNTIF(Biomes!D$2:D$259,"="&amp;$C276)&gt;0,Biomes!D$1&amp;", ","")&amp;
IF(COUNTIF(Biomes!F$2:F$259,"="&amp;$C276)&gt;0,Biomes!F$1&amp;", ","")&amp;
IF(COUNTIF(Biomes!G$2:G$259,"="&amp;$C276)&gt;0,Biomes!G$1&amp;", ","")&amp;
IF(COUNTIF(Biomes!H$2:H$259,"="&amp;$C276)&gt;0,Biomes!H$1&amp;", ","")&amp;
IF(COUNTIF(Biomes!I$2:I$259,"="&amp;$C276)&gt;0,Biomes!I$1&amp;", ","")&amp;
IF(COUNTIF(Biomes!J$2:J$259,"="&amp;$C276)&gt;0,Biomes!J$1&amp;", ","")&amp;
IF(COUNTIF(Biomes!M$2:M$259,"="&amp;$C276)&gt;0,Biomes!M$1&amp;", ","")&amp;
IF(COUNTIF(Biomes!N$2:N$259,"="&amp;$C276)&gt;0,Biomes!N$1&amp;", ","")&amp;
IF(COUNTIF(Biomes!O$2:O$259,"="&amp;$C276)&gt;0,Biomes!O$1&amp;", ","")&amp;
IF(COUNTIF(Biomes!P$2:P$259,"="&amp;$C276)&gt;0,Biomes!P$1&amp;", ","")&amp;
IF(COUNTIF(Biomes!K$2:K$259,"="&amp;$C276)&gt;0,Biomes!K$1&amp;", ","")&amp;
IF(COUNTIF(Biomes!Q$3:Q$259,"="&amp;$C276)&gt;0,Biomes!Q$1&amp;", ","")&amp;
IF(COUNTIF(Biomes!L$2:L$259,"="&amp;$C276)&gt;0,Biomes!L$1&amp;", ","")&amp;
IF(COUNTIF(Biomes!E$2:E$259,"="&amp;$C276)&gt;0,Biomes!E$1&amp;", ","")&amp;IF(COUNTIF(Biomes!S$2:S$259,"="&amp;$C276)&gt;0,Biomes!S$1&amp;", ","")&amp;
IF(COUNTIF(Biomes!R$2:R$259,"="&amp;$C276)&gt;0,Biomes!R$1&amp;", ",""),", ","")
),_xlfn.XLOOKUP(B276,B:B,BX:BX))</f>
        <v>SeaIce IceSheet Tundra BorealForest ColdBog GlacialPlain</v>
      </c>
      <c r="BY276" s="25" t="str">
        <f>IF(_xlfn.XLOOKUP(B276,'Base stats'!B:B,'Base stats'!AJ:AJ)=1,"true","false")</f>
        <v>false</v>
      </c>
      <c r="BZ276" s="25">
        <f>IF(_xlfn.XLOOKUP(B276,'Base stats'!B:B,'Base stats'!N:N)=1,"No",MAX(0.001,MIN(MROUND(IF(AND(BJ276="True",CC276="False"),POWER(10,3.47*LOG10(_xlfn.XLOOKUP(B276,'Base stats'!B:B,'Base stats'!C:C)*1000)^-0.96),POWER(10,4.15*LOG10(_xlfn.XLOOKUP(B276,'Base stats'!B:B,'Base stats'!C:C)*1000)^-0.73))*IF(_xlfn.XLOOKUP(B276,'Base stats'!B:B,'Base stats'!AK:AK)=1,0.5,1)*IF(_xlfn.XLOOKUP(B276,'Base stats'!B:B,'Base stats'!AM:AM)=1,0.1,1)/100,IF(_xlfn.XLOOKUP(B276,'Base stats'!B:B,'Base stats'!AM:AM)=1,0.001,0.025)),0.5)))</f>
        <v>2.4E-2</v>
      </c>
      <c r="CA276" s="25">
        <f>IF(P276="Standard","No",MAX(0.001,MIN(MROUND(IF(AND(BJ276="True",CC276="False"),POWER(10,3.47*LOG10(_xlfn.XLOOKUP(B276,'Base stats'!B:B,'Base stats'!C:C)*1000)^-0.96),POWER(10,4.15*LOG10(_xlfn.XLOOKUP(B276,'Base stats'!B:B,'Base stats'!C:C)*1000)^-0.73))*IF(_xlfn.XLOOKUP(B276,'Base stats'!B:B,'Base stats'!AM:AM)=1,0.1,1)*_xlfn.XLOOKUP(B276,'Base stats'!B:B,'Base stats'!R:R)/100,IF(_xlfn.XLOOKUP(B276,'Base stats'!B:B,'Base stats'!AM:AM)=1,0.001,0.025)),0.5)))</f>
        <v>1.9E-2</v>
      </c>
      <c r="CB276" s="25" t="str">
        <f>IF(_xlfn.XLOOKUP(_xlfn.XLOOKUP(B276,'Base stats'!B:B,'Base stats'!E:E),Groups!A:A,Groups!AJ:AJ)="Mammal","True","False")</f>
        <v>False</v>
      </c>
      <c r="CC276" s="25" t="str">
        <f>IF(OR(_xlfn.XLOOKUP(_xlfn.XLOOKUP(B276,'Base stats'!B:B,'Base stats'!E:E),Groups!A:A,Groups!AJ:AJ)="Reptile",_xlfn.XLOOKUP(_xlfn.XLOOKUP(B276,'Base stats'!B:B,'Base stats'!E:E),Groups!A:A,Groups!AJ:AJ)="Amphibian",_xlfn.XLOOKUP(_xlfn.XLOOKUP(B276,'Base stats'!B:B,'Base stats'!E:E),Groups!A:A,Groups!AJ:AJ)="Invertebrate"),"True","False")</f>
        <v>True</v>
      </c>
      <c r="CD276" s="25" t="str">
        <f t="shared" si="34"/>
        <v>False</v>
      </c>
      <c r="CE276" s="25" t="str">
        <f>IF(_xlfn.XLOOKUP(_xlfn.XLOOKUP(B276,'Base stats'!B:B,'Base stats'!E:E),Groups!A:A,Groups!AX:AX),"True","False")</f>
        <v>False</v>
      </c>
      <c r="CF276" s="25" t="str">
        <f>IF(_xlfn.XLOOKUP(_xlfn.XLOOKUP(B276,'Base stats'!B:B,'Base stats'!E:E),Groups!A:A,Groups!AY:AY),"True","False")</f>
        <v>False</v>
      </c>
      <c r="CG276" s="25" t="str">
        <f>IF(_xlfn.XLOOKUP(_xlfn.XLOOKUP(B276,'Base stats'!B:B,'Base stats'!E:E),Groups!A:A,Groups!AW:AW),"True","False")</f>
        <v>False</v>
      </c>
      <c r="CH276" s="25" t="str">
        <f>IF(
OR(
_xlfn.XLOOKUP(_xlfn.XLOOKUP(B276,'Base stats'!B:B,'Base stats'!E:E),Groups!A:A,Groups!AZ:AZ)=0,
AND(
_xlfn.XLOOKUP(B276,'Base stats'!B:B,'Base stats'!Y:Y)&lt;&gt;"Carnivore",
_xlfn.XLOOKUP(B276,'Base stats'!B:B,'Base stats'!Y:Y)&lt;&gt;"Omnivore",
_xlfn.XLOOKUP(B276,'Base stats'!B:B,'Base stats'!Y:Y)&lt;&gt;"OmnivoreRough"
)
),
"No",
IF(
_xlfn.XLOOKUP(_xlfn.XLOOKUP(B276,'Base stats'!B:B,'Base stats'!E:E),Groups!A:A,Groups!AZ:AZ)=1,
"Flesh",
IF(
_xlfn.XLOOKUP(_xlfn.XLOOKUP(B276,'Base stats'!B:B,'Base stats'!E:E),Groups!A:A,Groups!AZ:AZ)=2,
"Bone",
""
)
)
)</f>
        <v>Bone</v>
      </c>
      <c r="CI276" s="25" t="str">
        <f>IF(_xlfn.XLOOKUP(_xlfn.XLOOKUP(B276,'Base stats'!B:B,'Base stats'!E:E),Groups!A:A,Groups!BB:BB),"True","False")</f>
        <v>False</v>
      </c>
      <c r="CJ276" s="25" t="str">
        <f>IF(_xlfn.XLOOKUP(_xlfn.XLOOKUP(B276,'Base stats'!B:B,'Base stats'!E:E),Groups!A:A,Groups!BA:BA),"True","False")</f>
        <v>False</v>
      </c>
    </row>
    <row r="277" spans="1:88" ht="16.5" thickTop="1" thickBot="1" x14ac:dyDescent="0.3">
      <c r="A277" s="26" t="s">
        <v>1462</v>
      </c>
      <c r="B277" s="6" t="str">
        <f>_xlfn.XLOOKUP(A277,'Base stats'!A:A,'Base stats'!B:B)</f>
        <v>Mycodermis tegumentum</v>
      </c>
      <c r="C277" s="28" t="s">
        <v>1463</v>
      </c>
      <c r="D277" s="28" t="s">
        <v>1341</v>
      </c>
      <c r="E277" s="28" t="s">
        <v>673</v>
      </c>
      <c r="F277" s="28" t="s">
        <v>673</v>
      </c>
      <c r="G277" s="28" t="s">
        <v>673</v>
      </c>
      <c r="H277" s="2">
        <f>MROUND((
  (IF(AND(_xlfn.XLOOKUP(B277,'Base stats'!B:B,'Base stats'!AL:AL)=0,BI277="None",_xlfn.XLOOKUP(_xlfn.XLOOKUP(B277,'Base stats'!B:B,'Base stats'!E:E),Groups!A:A,Groups!B:B)=0), (18 + BR277 * 2.7) * 0.5,
    IF(AND(_xlfn.XLOOKUP(B277,'Base stats'!B:B,'Base stats'!AL:AL)=0,OR(AO277&lt;0.55,AND(BI277="Intermediate",_xlfn.XLOOKUP(_xlfn.XLOOKUP(B277,'Base stats'!B:B,'Base stats'!E:E),Groups!A:A,Groups!B:B)&lt;2))), (18 + BR277 * 2.7),
      IF(OR(BI277="Advanced",_xlfn.XLOOKUP(B277,'Base stats'!B:B,'Base stats'!AL:AL)=1,_xlfn.XLOOKUP(_xlfn.XLOOKUP(B277,'Base stats'!B:B,'Base stats'!E:E),Groups!A:A,Groups!B:B)=2), (18 + BR277 * 2.7) + 250, (18 + BR277 * 2.7))
    )
  ))
  + AO277 * 80
  + IF(COUNTIF(EggMilk!K$2:K$998, A277) &gt; 0, 125, 0)
  + IF(COUNTIF(EggMilk!P$2:P$998, A277) &gt; 0, 90, 0)
  + IF(COUNTIF(EggMilk!A$2:A$998, A277) &gt; 0, 90, 0)
)
* (0.8 + 0.4 * J277)
* 0.75,25)</f>
        <v>625</v>
      </c>
      <c r="I277" s="2">
        <f>MROUND(ROUNDDOWN(_xlfn.XLOOKUP(B277,'Base stats'!B:B,'Base stats'!L:L)/3.6/(23.3/11),1),0.5)</f>
        <v>3</v>
      </c>
      <c r="J277" s="2">
        <f>IF(OR(_xlfn.XLOOKUP(B277,'Base stats'!B:B,'Base stats'!AB:AB)=1,_xlfn.XLOOKUP(_xlfn.XLOOKUP(B277,'Base stats'!B:B,'Base stats'!E:E),Groups!A:A,Groups!C:C)="Untamable"),1,IF(_xlfn.XLOOKUP(B277,'Base stats'!B:B,'Base stats'!AL:AL)=1,0.99,MIN(MROUND((1-0.6282*EXP(-0.459*AO277))*_xlfn.XLOOKUP(_xlfn.XLOOKUP(B277,'Base stats'!B:B,'Base stats'!E:E),Groups!A:A,Groups!C:C)*IF(_xlfn.XLOOKUP(B277,'Base stats'!B:B,'Base stats'!O:O)=1,0.5,IF(_xlfn.XLOOKUP(B277,'Base stats'!B:B,'Base stats'!O:O)=2,0,1)),0.05),IF(AO277&gt;3.5,0.985,0.95))))</f>
        <v>1</v>
      </c>
      <c r="K277" s="2">
        <f>ROUNDUP(AO277*_xlfn.XLOOKUP(_xlfn.XLOOKUP(B277,'Base stats'!B:B,'Base stats'!E:E),Groups!A:A,Groups!E:E),0)</f>
        <v>1</v>
      </c>
      <c r="L277" s="2">
        <f>IF(OR(_xlfn.XLOOKUP(_xlfn.XLOOKUP(B277,'Base stats'!B:B,'Base stats'!E:E),Groups!A:A,Groups!F:F)=2,ISNUMBER(SEARCH("SeaIce",BX277)),ISNUMBER(SEARCH("IceSheet",BX277))),-50,IF(OR(ISNUMBER(SEARCH("GlacialPlain",BX277)),ISNUMBER(SEARCH("Tundra",BX277))),-40,IF(OR(ISNUMBER(SEARCH("Alpine",BX277)),ISNUMBER(SEARCH("BorealForest",BX277)),ISNUMBER(SEARCH("ColdBog",BX277))),-30,IF(OR(ISNUMBER(SEARCH("TemperateForest",BX277)),ISNUMBER(SEARCH("TemperateSwamp",BX277))),-20,IF(_xlfn.XLOOKUP(_xlfn.XLOOKUP(B277,'Base stats'!B:B,'Base stats'!E:E),Groups!A:A,Groups!F:F)=1,-15,IF(OR(ISNUMBER(SEARCH("Desert",BX277)),ISNUMBER(SEARCH("ExtremeDesert",BX277))),-10,IF(OR(ISNUMBER(SEARCH("Grasslands",BX277)),ISNUMBER(SEARCH("TropicalRainforest",BX277)),ISNUMBER(SEARCH("TropicalSwamp",BX277))),10,0)))))))-IF(CC277="False",MIN(IFERROR(MAX(MROUND(LOG10(_xlfn.XLOOKUP(B277,'Base stats'!B:B,'Base stats'!C:C)^(2/3))*10,5),5),5),30))-_xlfn.XLOOKUP(B277,'Base stats'!B:B,'Base stats'!P:P)+IF(CC277="True",5,0)</f>
        <v>-10</v>
      </c>
      <c r="M277" s="2">
        <f>IF(OR(_xlfn.XLOOKUP(_xlfn.XLOOKUP(B277,'Base stats'!B:B,'Base stats'!E:E),Groups!A:A,Groups!G:G)=2,ISNUMBER(SEARCH("Desert",BX277)),ISNUMBER(SEARCH("ExtremeDesert",BX277)),ISNUMBER(SEARCH("LavaField",BX277))),50,IF(ISNUMBER(SEARCH("Grasslands",BX277)),45,IF(OR(_xlfn.XLOOKUP(_xlfn.XLOOKUP(B277,'Base stats'!B:B,'Base stats'!E:E),Groups!A:A,Groups!G:G)=1,ISNUMBER(SEARCH("TropicalRainforest",BX277)),ISNUMBER(SEARCH("TropicalSwamp",BX277))),40,IF(OR(ISNUMBER(SEARCH("TemperateForest",BX277)),ISNUMBER(SEARCH("TemperateSwamp",BX277))),35,IF(OR(ISNUMBER(SEARCH("Alpine",BX277)),ISNUMBER(SEARCH("BorealForest",BX277)),ISNUMBER(SEARCH("ColdBog",BX277))),30,IF(ISNUMBER(OR(ISNUMBER(SEARCH("GlacialPlain",BX277)),SEARCH("Tundra",BX277))),25,IF(OR(ISNUMBER(SEARCH("SeaIce",BX277)),ISNUMBER(SEARCH("IceSheet",BX277)),ISNUMBER(SEARCH("TropicalSwamp",BX277))),10,35)))))))+_xlfn.XLOOKUP(B277,'Base stats'!B:B,'Base stats'!Q:Q)</f>
        <v>35</v>
      </c>
      <c r="N277" s="8">
        <f>IF(
_xlfn.XLOOKUP(
_xlfn.XLOOKUP(B277,'Base stats'!B:B,'Base stats'!E:E),
Groups!A:A,
Groups!L:L
)=1,
MIN(
MROUND(
IF(
_xlfn.XLOOKUP(B277,'Animals CE'!B:B,'Animals CE'!Z:Z)&lt;=1.5,
_xlfn.XLOOKUP(B277,'Animals CE'!B:B,'Animals CE'!Z:Z)/2+0.05,
0.8+
(_xlfn.XLOOKUP(B277,'Animals CE'!B:B,'Animals CE'!Z:Z)-1.5)
*0.02
),
0.05
),
200%
),
"No"
)</f>
        <v>0.2</v>
      </c>
      <c r="O277" s="8">
        <f>IF(
_xlfn.XLOOKUP(
_xlfn.XLOOKUP(B277,'Base stats'!B:B,'Base stats'!E:E),
Groups!A:A,
Groups!L:L
)=1,
MIN(
MROUND(
IF(
_xlfn.XLOOKUP(B277,'Animals CE'!B:B,'Animals CE'!AA:AA)&lt;=1.5,
_xlfn.XLOOKUP(B277,'Animals CE'!B:B,'Animals CE'!AA:AA)/2+0.05,
0.8+
(_xlfn.XLOOKUP(B277,'Animals CE'!B:B,'Animals CE'!AA:AA)-1.5)
*0.02
),
0.05
),
200%
),
"No"
)</f>
        <v>0.85000000000000009</v>
      </c>
      <c r="P277" s="2">
        <f>_xlfn.XLOOKUP(B277,'Base stats'!B:B,'Base stats'!R:R)</f>
        <v>1</v>
      </c>
      <c r="Q277" s="13">
        <f>MROUND((LOG10(_xlfn.XLOOKUP(B277,'Base stats'!B:B,'Base stats'!AR:AR))*(AO277^0.5)+(_xlfn.XLOOKUP(B277,'Base stats'!B:B,'Base stats'!AR:AR)/1000)^(2/3)+_xlfn.XLOOKUP(B277,'Base stats'!B:B,'Base stats'!BA:BA)/2)+0.5,0.5)</f>
        <v>7</v>
      </c>
      <c r="R277" s="7">
        <f>IF(Q277="No","No",MAX(1,MROUND(_xlfn.XLOOKUP(B277,'Base stats'!B:B,'Base stats'!C:C)^0.165,0.05)))</f>
        <v>2</v>
      </c>
      <c r="S277" s="13" t="str">
        <f>IF(_xlfn.XLOOKUP(_xlfn.XLOOKUP(B277,'Base stats'!B:B,'Base stats'!E:E),Groups!A:A,Groups!P:P)=0,"No",MROUND((LOG10(_xlfn.XLOOKUP(B277,'Base stats'!B:B,'Base stats'!AS:AS))*(AO277^0.5)+(_xlfn.XLOOKUP(B277,'Base stats'!B:B,'Base stats'!AS:AS)/1000)^(2/3)+_xlfn.XLOOKUP(B277,'Base stats'!B:B,'Base stats'!BA:BA))+_xlfn.XLOOKUP(B277,'Base stats'!B:B,'Base stats'!AY:AY)+0.5,0.5))</f>
        <v>No</v>
      </c>
      <c r="T277" s="7" t="str">
        <f>IF(S277="No","No",MAX(_xlfn.XLOOKUP(_xlfn.XLOOKUP(B277,'Base stats'!B:B,'Base stats'!E:E),Groups!A:A,Groups!Q:Q),MROUND(_xlfn.XLOOKUP(_xlfn.XLOOKUP(B277,'Base stats'!B:B,'Base stats'!E:E),Groups!A:A,Groups!Q:Q)*_xlfn.XLOOKUP(B277,'Base stats'!B:B,'Base stats'!C:C)^0.165,0.05)))</f>
        <v>No</v>
      </c>
      <c r="U277" s="7" t="str">
        <f>IF(S277="No","No",_xlfn.XLOOKUP(_xlfn.XLOOKUP(B277,'Base stats'!B:B,'Base stats'!E:E),Groups!A:A,Groups!R:R))</f>
        <v>No</v>
      </c>
      <c r="V277" s="7" t="str">
        <f>IF(S277="No","No",_xlfn.XLOOKUP(_xlfn.XLOOKUP(B277,'Base stats'!B:B,'Base stats'!E:E),Groups!A:A,Groups!S:S))</f>
        <v>No</v>
      </c>
      <c r="W277" s="7" t="str">
        <f>IF(S277="No","No",_xlfn.XLOOKUP(_xlfn.XLOOKUP(B277,'Base stats'!B:B,'Base stats'!E:E),Groups!A:A,Groups!T:T))</f>
        <v>No</v>
      </c>
      <c r="X277" s="13" t="str">
        <f>IF(_xlfn.XLOOKUP(B277,'Base stats'!B:B,'Base stats'!W:W)="No","No",MROUND((LOG10(_xlfn.XLOOKUP(B277,'Base stats'!B:B,'Base stats'!AU:AU))*(AO277^0.5)+(_xlfn.XLOOKUP(B277,'Base stats'!B:B,'Base stats'!AU:AU)/1000)^(2/3)+_xlfn.XLOOKUP(B277,'Base stats'!B:B,'Base stats'!AZ:AZ))+0.5+IF(_xlfn.XLOOKUP(_xlfn.XLOOKUP(B277,'Base stats'!B:B,'Base stats'!E:E),Groups!A:A,Groups!U:U)&lt;&gt;3,_xlfn.XLOOKUP(B277,'Base stats'!B:B,'Base stats'!BA:BA),0),0.5))</f>
        <v>No</v>
      </c>
      <c r="Y277" s="7" t="str">
        <f>IF(X277="No","No",MAX(_xlfn.XLOOKUP(_xlfn.XLOOKUP(B277,'Base stats'!B:B,'Base stats'!E:E),Groups!A:A,Groups!V:V),MROUND(_xlfn.XLOOKUP(_xlfn.XLOOKUP(B277,'Base stats'!B:B,'Base stats'!E:E),Groups!A:A,Groups!V:V)*_xlfn.XLOOKUP(B277,'Base stats'!B:B,'Base stats'!C:C)^0.165,0.05)))</f>
        <v>No</v>
      </c>
      <c r="Z277" s="7" t="str">
        <f>IF(X277="No","No",_xlfn.XLOOKUP(_xlfn.XLOOKUP(B277,'Base stats'!B:B,'Base stats'!E:E),Groups!A:A,Groups!W:W))</f>
        <v>No</v>
      </c>
      <c r="AA277" s="7" t="str">
        <f>IF(X277="No","No",_xlfn.XLOOKUP(_xlfn.XLOOKUP(B277,'Base stats'!B:B,'Base stats'!E:E),Groups!A:A,Groups!X:X))</f>
        <v>No</v>
      </c>
      <c r="AB277" s="7" t="str">
        <f>IF(X277="No","No",_xlfn.XLOOKUP(_xlfn.XLOOKUP(B277,'Base stats'!B:B,'Base stats'!E:E),Groups!A:A,Groups!Y:Y))</f>
        <v>No</v>
      </c>
      <c r="AC277" s="7" t="str">
        <f>_xlfn.XLOOKUP(Animals!B277,'Base stats'!B:B,'Base stats'!X:X)</f>
        <v>False</v>
      </c>
      <c r="AD277" s="13">
        <f>IF(_xlfn.XLOOKUP(B277,'Base stats'!B:B,'Base stats'!AT:AT)="No","No",MROUND((LOG10(_xlfn.XLOOKUP(B277,'Base stats'!B:B,'Base stats'!AT:AT))*(AO277^0.75)+(_xlfn.XLOOKUP(B277,'Base stats'!B:B,'Base stats'!AT:AT)/1000)^(2/3)+_xlfn.XLOOKUP(B277,'Base stats'!B:B,'Base stats'!AX:AX)+_xlfn.XLOOKUP(B277,'Base stats'!B:B,'Base stats'!BA:BA))+0.5,0.5))</f>
        <v>9.5</v>
      </c>
      <c r="AE277" s="7">
        <f>IF(AD277="No","No",MAX(_xlfn.XLOOKUP(_xlfn.XLOOKUP(B277,'Base stats'!B:B,'Base stats'!E:E),Groups!A:A,Groups!Z:Z),MROUND(_xlfn.XLOOKUP(_xlfn.XLOOKUP(B277,'Base stats'!B:B,'Base stats'!E:E),Groups!A:A,Groups!Z:Z)*_xlfn.XLOOKUP(B277,'Base stats'!B:B,'Base stats'!C:C)^0.165,0.05)))</f>
        <v>1.7000000000000002</v>
      </c>
      <c r="AF277" s="7" t="str">
        <f>IF(AD277="No","No",_xlfn.XLOOKUP(_xlfn.XLOOKUP(B277,'Base stats'!B:B,'Base stats'!E:E),Groups!A:A,Groups!AA:AA))</f>
        <v>Teeth</v>
      </c>
      <c r="AG277" s="7" t="str">
        <f>IF(AD277="No","No",_xlfn.XLOOKUP(_xlfn.XLOOKUP(B277,'Base stats'!B:B,'Base stats'!E:E),Groups!A:A,Groups!AB:AB))</f>
        <v>teeth</v>
      </c>
      <c r="AH277" s="7" t="str">
        <f>IF(AD277="No","No",_xlfn.XLOOKUP(_xlfn.XLOOKUP(B277,'Base stats'!B:B,'Base stats'!E:E),Groups!A:A,Groups!AC:AC))</f>
        <v>Bite</v>
      </c>
      <c r="AI277" s="13">
        <f>IF(_xlfn.XLOOKUP(_xlfn.XLOOKUP(B277,'Base stats'!B:B,'Base stats'!E:E),Groups!A:A,Groups!AD:AD)=0,"No",MROUND((LOG10(_xlfn.XLOOKUP(B277,'Base stats'!B:B,'Base stats'!AS:AS))*(AO277^0.75)+(_xlfn.XLOOKUP(B277,'Base stats'!B:B,'Base stats'!AS:AS)/1000)^(2/3)+_xlfn.XLOOKUP(B277,'Base stats'!B:B,'Base stats'!AY:AY)+_xlfn.XLOOKUP(B277,'Base stats'!B:B,'Base stats'!BA:BA))+0.5,0.5))</f>
        <v>9</v>
      </c>
      <c r="AJ277" s="7">
        <f>IF(AI277="No","No",MAX(_xlfn.XLOOKUP(_xlfn.XLOOKUP(B277,'Base stats'!B:B,'Base stats'!E:E),Groups!A:A,Groups!AE:AE),MROUND(_xlfn.XLOOKUP(_xlfn.XLOOKUP(B277,'Base stats'!B:B,'Base stats'!E:E),Groups!A:A,Groups!AE:AE)*IF(_xlfn.XLOOKUP(_xlfn.XLOOKUP(B277,'Base stats'!B:B,'Base stats'!E:E),Groups!A:A,Groups!AJ:AJ)="Photonozoa",0.6,1)*_xlfn.XLOOKUP(B277,'Base stats'!B:B,'Base stats'!C:C)^0.165,0.05)))</f>
        <v>1.3</v>
      </c>
      <c r="AK277" s="7" t="str">
        <f>IF(AI277="No","No",_xlfn.XLOOKUP(_xlfn.XLOOKUP(B277,'Base stats'!B:B,'Base stats'!E:E),Groups!A:A,Groups!AF:AF))</f>
        <v>LeftHand, RightHand</v>
      </c>
      <c r="AL277" s="7" t="str">
        <f>IF(AI277="No","No",_xlfn.XLOOKUP(_xlfn.XLOOKUP(B277,'Base stats'!B:B,'Base stats'!E:E),Groups!A:A,Groups!AG:AG))</f>
        <v>left fist, right fist</v>
      </c>
      <c r="AM277" s="7" t="str">
        <f>IF(AI277="No","No",_xlfn.XLOOKUP(_xlfn.XLOOKUP(B277,'Base stats'!B:B,'Base stats'!E:E),Groups!A:A,Groups!AH:AH))</f>
        <v>AA_FungalClaws</v>
      </c>
      <c r="AN277" s="2" t="str">
        <f t="shared" si="28"/>
        <v>No</v>
      </c>
      <c r="AO277" s="2">
        <f>MROUND(IF(AND(_xlfn.XLOOKUP(B277,'Base stats'!B:B,'Base stats'!C:C)&gt;=0.5,_xlfn.XLOOKUP(B277,'Base stats'!B:B,'Base stats'!C:C)&lt;=0.8),
IF(_xlfn.XLOOKUP(B277,'Base stats'!B:B,'Base stats'!C:C)&lt;0.1,0.05,IF(_xlfn.XLOOKUP(B277,'Base stats'!B:B,'Base stats'!C:C)&lt;=70,(_xlfn.XLOOKUP(B277,'Base stats'!B:B,'Base stats'!C:C)/70)^0.426489913056526,IF(_xlfn.XLOOKUP(B277,'Base stats'!B:B,'Base stats'!C:C)&lt;=400,(_xlfn.XLOOKUP(B277,'Base stats'!B:B,'Base stats'!C:C)/70)^0.572811455315093,IF(_xlfn.XLOOKUP(B277,'Base stats'!B:B,'Base stats'!C:C)&lt;=2000,2.71391647193063*(_xlfn.XLOOKUP(B277,'Base stats'!B:B,'Base stats'!C:C)/400)^0.252459582904293,3.74314280240376*(_xlfn.XLOOKUP(B277,'Base stats'!B:B,'Base stats'!C:C)/2000)^0.357012633876913)))),
IF(_xlfn.XLOOKUP(B277,'Base stats'!B:B,'Base stats'!C:C)&lt;0.1,0.05,IF(_xlfn.XLOOKUP(B277,'Base stats'!B:B,'Base stats'!C:C)&lt;0.4,0.1,IF(_xlfn.XLOOKUP(B277,'Base stats'!B:B,'Base stats'!C:C)&lt;=70,(_xlfn.XLOOKUP(B277,'Base stats'!B:B,'Base stats'!C:C)/70)^0.445823913056526,IF(_xlfn.XLOOKUP(B277,'Base stats'!B:B,'Base stats'!C:C)&lt;=400,(_xlfn.XLOOKUP(B277,'Base stats'!B:B,'Base stats'!C:C)/70)^0.572811455315093,IF(_xlfn.XLOOKUP(B277,'Base stats'!B:B,'Base stats'!C:C)&lt;=2000,2.71391647193063*(_xlfn.XLOOKUP(B277,'Base stats'!B:B,'Base stats'!C:C)/400)^0.252459582904293,3.74314280240376*(_xlfn.XLOOKUP(B277,'Base stats'!B:B,'Base stats'!C:C)/2000)^0.357012633876913)))))),
IF(_xlfn.XLOOKUP(B277,'Base stats'!B:B,'Base stats'!C:C)&lt;0.1,0.05,IF(_xlfn.XLOOKUP(B277,'Base stats'!B:B,'Base stats'!C:C)&lt;=100,0.05,IF(_xlfn.XLOOKUP(B277,'Base stats'!B:B,'Base stats'!C:C)&lt;=250,0.1,IF(_xlfn.XLOOKUP(B277,'Base stats'!B:B,'Base stats'!C:C)&lt;=4000,0.25,0.5)))))</f>
        <v>1</v>
      </c>
      <c r="AP277" s="8">
        <f>MROUND(AO277*_xlfn.XLOOKUP(_xlfn.XLOOKUP(B277,'Base stats'!B:B,'Base stats'!E:E),Groups!A:A,Groups!AI:AI)*_xlfn.XLOOKUP(B277,'Base stats'!B:B,'Base stats'!Z:Z),0.05)</f>
        <v>1</v>
      </c>
      <c r="AQ277" s="8">
        <f>MAX(0.01,MROUND(IF(CC277="True",0.196*(AO277*100*1000)^0.889,IF(_xlfn.XLOOKUP(_xlfn.XLOOKUP(B277,'Base stats'!B:B,'Base stats'!E:E),Groups!A:A,Groups!AJ:AJ)="Bird",10.5*(AO277*100*1000)^0.681,4.82*(AO277*100*1000)^0.734))/(4.82*(1*100*1000)^0.734)/IF(AO277&lt;3.5,2,IF(AO277=3.5,1.5,1.25))*(1+0.132282374779864/(AO277^0.994035016789033+0.00905238001496948)),0.05))</f>
        <v>0.55000000000000004</v>
      </c>
      <c r="AR277" s="9">
        <f>IFERROR(MROUND(_xlfn.XLOOKUP(B277,'Base stats'!B:B,'Base stats'!H:H)/IF(_xlfn.XLOOKUP(B277,'Base stats'!B:B,'Base stats'!I:I)&lt;&gt;1,(122.5/70),1.2),IF(_xlfn.XLOOKUP(B277,'Base stats'!B:B,'Base stats'!H:H)&gt;=30,5,IF(_xlfn.XLOOKUP(B277,'Base stats'!B:B,'Base stats'!H:H)&gt;=15,3,IF(_xlfn.XLOOKUP(B277,'Base stats'!B:B,'Base stats'!H:H)&gt;=10,2,1)))),"Immortal")</f>
        <v>70</v>
      </c>
      <c r="AS277" s="35" t="str">
        <f>IFERROR(IF(OR(_xlfn.XLOOKUP(B277,'Base stats'!B:B,'Base stats'!F:F)="Atypical reproduction",_xlfn.XLOOKUP(B277,'Base stats'!B:B,'Base stats'!F:F)="Lay eggs"),"Lay eggs",MIN(20,MAX(5.5,ROUND(((_xlfn.XLOOKUP(B277,'Base stats'!B:B,'Base stats'!F:F)-25)*(14.5/615) + 5.5)*2,0)/2))),"Unknown")</f>
        <v>Lay eggs</v>
      </c>
      <c r="AT277" s="8" t="str">
        <f>IF(_xlfn.XLOOKUP(B277,'Base stats'!B:B,'Base stats'!G:G)="Atypical reproduction","No",IFERROR(MAX(IF(_xlfn.XLOOKUP(B277,'Base stats'!B:B,'Base stats'!G:G)&lt;0.5,0.2,0.3),MROUND(_xlfn.XLOOKUP(B277,'Base stats'!B:B,'Base stats'!G:G)/(365/60),0.2)),"Unknown"))</f>
        <v>No</v>
      </c>
      <c r="AU277" s="8" t="str">
        <f t="shared" si="29"/>
        <v>No</v>
      </c>
      <c r="AV277" s="8" t="str">
        <f>IFERROR(IFERROR(MROUND(_xlfn.XLOOKUP(B277,'Base stats'!B:B,'Base stats'!J:J),0.1),"Lay eggs"),"Cannot breed")</f>
        <v>Lay eggs</v>
      </c>
      <c r="AW277" s="2" t="str">
        <f t="shared" si="30"/>
        <v>false</v>
      </c>
      <c r="AX277" s="2" t="str">
        <f>IF(_xlfn.XLOOKUP(_xlfn.XLOOKUP(Animals!B277,'Base stats'!B:B,'Base stats'!E:E),Groups!A:A,Groups!AK:AK)=1,"true","false")</f>
        <v>false</v>
      </c>
      <c r="AY277" s="25" t="str">
        <f>IF(_xlfn.XLOOKUP(B277,'Base stats'!B:B,'Base stats'!Y:Y)="Liquor","Liquor, CarnivoreAnimalStrict",IF(AND(_xlfn.XLOOKUP(B277,'Base stats'!B:B,'Base stats'!Y:Y)="Carnivore",_xlfn.XLOOKUP(_xlfn.XLOOKUP(B277,'Base stats'!B:B,'Base stats'!E:E),Groups!A:A,Groups!AJ:AJ)="Photonozoa"),"CarnivoreAnimalStrict, OvivoreAnimal",IF(_xlfn.XLOOKUP(B277,'Base stats'!B:B,'Base stats'!Y:Y)="Carnivore","CarnivoreAnimal, OvivoreAnimal",IF(_xlfn.XLOOKUP(B277,'Base stats'!B:B,'Base stats'!Y:Y)="Dendrovore","VegetarianRoughAnimal, DendrovoreAnimal",IF(_xlfn.XLOOKUP(B277,'Base stats'!B:B,'Base stats'!Y:Y)="Herbivore","VegetarianRoughAnimal",IF(_xlfn.XLOOKUP(B277,'Base stats'!B:B,'Base stats'!Y:Y)="OmnivoreRough","OmnivoreRoughAnimal, OvivoreAnimal","OmnivoreAnimal, OvivoreAnimal"))))))</f>
        <v>OmnivoreAnimal, OvivoreAnimal</v>
      </c>
      <c r="AZ277" s="2" t="str">
        <f>IF(_xlfn.XLOOKUP(_xlfn.XLOOKUP(B277,'Base stats'!B:B,'Base stats'!E:E),Groups!A:A,Groups!D:D)=1,MROUND((1-J277)*5+1,2)*IF(J277&lt;=0.4,2,1),"No")</f>
        <v>No</v>
      </c>
      <c r="BA277" s="2" t="str">
        <f>IF(AND(_xlfn.XLOOKUP(B277,'Base stats'!B:B,'Base stats'!AH:AH)="&lt;li&gt;Seal&lt;/li&gt;",G277="Odyssey"),"&lt;li&gt;AEXP_Seal&lt;/li&gt;",_xlfn.XLOOKUP(B277,'Base stats'!B:B,'Base stats'!AH:AH))</f>
        <v>No</v>
      </c>
      <c r="BB277" s="2" t="str">
        <f>_xlfn.XLOOKUP(B277,'Base stats'!B:B,'Base stats'!AG:AG)</f>
        <v>No</v>
      </c>
      <c r="BC277" s="23" t="str">
        <f>_xlfn.XLOOKUP(_xlfn.XLOOKUP(B277,'Base stats'!B:B,'Base stats'!E:E),Groups!A:A,Groups!AL:AL)</f>
        <v>Human</v>
      </c>
      <c r="BD277" s="23">
        <f>MIN(1,MROUND(IF(AND(AO277&lt;0.5,_xlfn.XLOOKUP(B277,'Base stats'!B:B,'Base stats'!AA:AA)=0),0,IF(OR(_xlfn.XLOOKUP(Animals!B277,'Base stats'!B:B,'Base stats'!O:O)=2,_xlfn.XLOOKUP(_xlfn.XLOOKUP(B277,'Base stats'!B:B,'Base stats'!E:E),Groups!A:A,Groups!AN:AN)=0),0,_xlfn.XLOOKUP(_xlfn.XLOOKUP(B277,'Base stats'!B:B,'Base stats'!E:E),Groups!A:A,Groups!AN:AN)/IF(_xlfn.XLOOKUP(Animals!B277,'Base stats'!B:B,'Base stats'!O:O)=1,2,1)))+_xlfn.XLOOKUP(B277,'Base stats'!B:B,'Base stats'!AC:AC),0.005))</f>
        <v>1</v>
      </c>
      <c r="BE277" s="23">
        <f>MIN(1,MROUND(IF(AND(AO277&lt;0.5,_xlfn.XLOOKUP(B277,'Base stats'!B:B,'Base stats'!AA:AA)=0),0,IF(_xlfn.XLOOKUP(_xlfn.XLOOKUP(B277,'Base stats'!B:B,'Base stats'!E:E),Groups!A:A,Groups!AO:AO)=0,0,_xlfn.XLOOKUP(_xlfn.XLOOKUP(B277,'Base stats'!B:B,'Base stats'!E:E),Groups!A:A,Groups!AO:AO)/IF(_xlfn.XLOOKUP(Animals!B277,'Base stats'!B:B,'Base stats'!O:O)=2,3,1)))+_xlfn.XLOOKUP(B277,'Base stats'!B:B,'Base stats'!AD:AD),0.005))</f>
        <v>1</v>
      </c>
      <c r="BF277" s="2" t="str">
        <f>IF(J277&gt;0.3,"No",_xlfn.XLOOKUP(_xlfn.XLOOKUP(Animals!B277,'Base stats'!B:B,'Base stats'!E:E),Groups!A:A,Groups!AP:AP))</f>
        <v>No</v>
      </c>
      <c r="BG277" s="2" t="str">
        <f>IF(AND(J277&lt;=0.65,_xlfn.XLOOKUP(_xlfn.XLOOKUP(Animals!B277,'Base stats'!B:B,'Base stats'!E:E),Groups!A:A,Groups!AP:AP)&lt;&gt;"No",_xlfn.XLOOKUP(_xlfn.XLOOKUP(B277,'Base stats'!B:B,'Base stats'!E:E),Groups!A:A,Groups!D:D)=0),MROUND((80/3)*IF(_xlfn.XLOOKUP(B277,'Base stats'!B:B,'Base stats'!O:O)=2,0.2,AO277) + 24*(1-IF(BF277="No",0,BF277)) + 16/3, 12),"No")</f>
        <v>No</v>
      </c>
      <c r="BH277" s="2">
        <f>IF(AND(_xlfn.XLOOKUP(_xlfn.XLOOKUP(B277,'Base stats'!B:B,'Base stats'!E:E),Groups!A:A,Groups!AQ:AQ)=1,AO277&lt;=0.35),8,12)</f>
        <v>12</v>
      </c>
      <c r="BI277" s="2" t="str">
        <f>IF(_xlfn.XLOOKUP(_xlfn.XLOOKUP(B277,'Base stats'!B:B,'Base stats'!E:E),Groups!A:A,Groups!D:D)=0,_xlfn.XLOOKUP(_xlfn.XLOOKUP(B277,'Base stats'!B:B,'Base stats'!E:E),Groups!A:A,Groups!AR:AR),"None")</f>
        <v>None</v>
      </c>
      <c r="BJ277" s="2" t="str">
        <f>IF(AND(_xlfn.XLOOKUP(_xlfn.XLOOKUP(B277,'Base stats'!B:B,'Base stats'!E:E),Groups!A:A,Groups!AS:AS)=1,OR(_xlfn.XLOOKUP(B277,'Base stats'!B:B,'Base stats'!Y:Y)="Carnivore",_xlfn.XLOOKUP(B277,'Base stats'!B:B,'Base stats'!Y:Y)="Omnivore")),"true","false")</f>
        <v>false</v>
      </c>
      <c r="BK277" s="2" t="str">
        <f>IF(BJ277="true",MROUND(IF(AND(AO277&gt;0.5,OR(_xlfn.XLOOKUP(_xlfn.XLOOKUP(B277,'Base stats'!B:B,'Base stats'!E:E),Groups!A:A,Groups!AJ:AJ)="Photonozoa",_xlfn.XLOOKUP(_xlfn.XLOOKUP(B277,'Base stats'!B:B,'Base stats'!E:E),Groups!A:A,Groups!AJ:AJ)="Mammal")),Animals!AO277*1.75*IF(AW277="true",1.5,1),IF(AO277&lt;0.5,Animals!AO277*0.5,Animals!AO277)),IF(AO277&gt;2,0.5,IF(AO277&gt;0.5,0.25,0.1))),"No")</f>
        <v>No</v>
      </c>
      <c r="BL277" s="2">
        <f t="shared" si="31"/>
        <v>0</v>
      </c>
      <c r="BM277" s="25" t="str">
        <f>IF(_xlfn.XLOOKUP(B277,'Base stats'!B:B,'Base stats'!AN:AN)="Standard","No",MROUND((_xlfn.XLOOKUP(B277,'Base stats'!B:B,'Base stats'!AN:AN)/3.6)/I277,0.1))</f>
        <v>No</v>
      </c>
      <c r="BN277" s="25" t="str">
        <f t="shared" si="32"/>
        <v>false</v>
      </c>
      <c r="BO277" s="25" t="str">
        <f>IF(AND(OR(_xlfn.XLOOKUP(B277,'Base stats'!B:B,'Base stats'!Y:Y)="Carnivore",_xlfn.XLOOKUP(B277,'Base stats'!B:B,'Base stats'!Y:Y)="Omnivore",_xlfn.XLOOKUP(B277,'Base stats'!B:B,'Base stats'!Y:Y)="OmnivoreRough"),_xlfn.XLOOKUP(_xlfn.XLOOKUP(B277,'Base stats'!B:B,'Base stats'!E:E),Groups!A:A,Groups!AT:AT)=1),"true","false")</f>
        <v>false</v>
      </c>
      <c r="BP277" s="25" t="str" cm="1">
        <f t="array" ref="BP277">IF(
  _xlfn.TEXTJOIN(", ",TRUE,
    IF(AND(BJ277="true",AO277&gt;0.5,BI277&lt;&gt;"None"),"AttackTarget",""),
    IF(AND(_xlfn.XLOOKUP(_xlfn.XLOOKUP(B277,'Base stats'!B:B,'Base stats'!E:E),Groups!A:A,Groups!AJ:AJ="Mammal"),OR(_xlfn.XLOOKUP(B277,'Base stats'!B:B,'Base stats'!Y:Y)="Omnivore",_xlfn.XLOOKUP(B277,'Base stats'!B:B,'Base stats'!Y:Y)="OmnivoreRough")),"Forage",""),
    IF(BG277&lt;=36,"Comfort",""),
    IF(_xlfn.XLOOKUP(B277,'Base stats'!B:B,'Base stats'!AE:AE)&lt;&gt;"No",_xlfn.XLOOKUP(B277,'Base stats'!B:B,'Base stats'!AE:AE),"")
  ) = "",
  "No",
  _xlfn.TEXTJOIN(", ",TRUE,
    IF(AND(BJ277="true",AO277&gt;0.5,BI277&lt;&gt;"None"),"AttackTarget",""),
    IF(AND(_xlfn.XLOOKUP(_xlfn.XLOOKUP(B277,'Base stats'!B:B,'Base stats'!E:E),Groups!A:A,Groups!AJ:AJ="Mammal"),OR(_xlfn.XLOOKUP(B277,'Base stats'!B:B,'Base stats'!Y:Y)="Omnivore",_xlfn.XLOOKUP(B277,'Base stats'!B:B,'Base stats'!Y:Y)="OmnivoreRough")),"Forage",""),
    IF(BG277&lt;=36,"Comfort",""),
    IF(_xlfn.XLOOKUP(B277,'Base stats'!B:B,'Base stats'!AE:AE)&lt;&gt;"No",_xlfn.XLOOKUP(B277,'Base stats'!B:B,'Base stats'!AE:AE),"")
  )
)</f>
        <v>No</v>
      </c>
      <c r="BQ277" s="25" t="str">
        <f>IF(
   AND(
      'Base stats'!AN277="Standard",_xlfn.XLOOKUP(_xlfn.XLOOKUP(B277,'Base stats'!B:B,'Base stats'!E:E),Groups!A:A,Groups!AU:AU)=0,
      OR(
      BO277="True"
      )
   ),
   10,
   IF(
       OR(BM277&lt;&gt;"No",_xlfn.XLOOKUP(_xlfn.XLOOKUP(B277,'Base stats'!B:B,'Base stats'!E:E),Groups!A:A,Groups!AU:AU)=1),
      1,
      "No"
   )
)</f>
        <v>No</v>
      </c>
      <c r="BR277" s="9">
        <f>MROUND((1 + ((0.2*IF(OR(Q277="No",R277="No",R277=0),0,Q277/R277)
+IF(OR(V277="No",S277="No",T277="No"),0,S277/T277*(LEN(V277)-LEN(SUBSTITUTE(V277,",",""))+1))
+IF(OR(X277="No",Y277="No"),0,X277/Y277)
+IF(OR(AD277="No",AE277="No"),0,AD277/AE277)
+IF(OR(AL277="No",AI277="No",AJ277="No"),0,AI277/AJ277*(LEN(AL277)-LEN(SUBSTITUTE(AL277,",",""))+1))
)/(0.2*IF(OR(Q277="No",R277="No",R277=0),0,1)
+IF(OR(V277="No",S277="No",T277="No"),0,LEN(V277)-LEN(SUBSTITUTE(V277,",",""))+1)
+IF(OR(X277="No",Y277="No"),0,1)
+IF(OR(AD277="No",AE277="No"),0,1)
+IF(OR(AL277="No",AI277="No",AJ277="No"),0,LEN(AL277)-LEN(SUBSTITUTE(AL277,",",""))+1))*62%)* 2)*(1 + (AP277 / (IF(_xlfn.XLOOKUP(_xlfn.XLOOKUP(B277,'Base stats'!B:B,'Base stats'!E:E),Groups!A:A,Groups!AJ:AJ)="Photonozoa",0.3,1)) + _xlfn.XLOOKUP(B277,'Base stats'!B:B,'Base stats'!AV:AV) * 1.8) * 2) * 2.5 + 10 + I277 * 2,5)+IF(_xlfn.XLOOKUP(B277,'Base stats'!B:B,'Base stats'!AK:AK)=1,50,0)</f>
        <v>125</v>
      </c>
      <c r="BS277" s="8">
        <f t="shared" si="33"/>
        <v>0.65</v>
      </c>
      <c r="BT277" s="8" t="str">
        <f>_xlfn.XLOOKUP(B277,'Base stats'!B:B,'Base stats'!AF:AF)</f>
        <v>No</v>
      </c>
      <c r="BU277" s="2" t="str">
        <f>IF(AND(J277&lt;=0.95,OR(_xlfn.XLOOKUP(B277,'Base stats'!B:B,'Base stats'!AK:AK)=1,_xlfn.XLOOKUP(B277,'Base stats'!B:B,'Base stats'!Y:Y)="Carnivore",_xlfn.XLOOKUP(B277,'Base stats'!B:B,'Base stats'!Y:Y)="Omnivore",BE277&gt;0.1)),"true","false")</f>
        <v>false</v>
      </c>
      <c r="BV277" s="2" t="str">
        <f>IF(_xlfn.XLOOKUP(B277,'Base stats'!B:B,'Base stats'!AI:AI)=1,"true","false")</f>
        <v>false</v>
      </c>
      <c r="BW277" s="25" t="str">
        <f>IF(E277="BaseInsect","AnimalInsect",
IF(J277&gt;0.95,"AnimalExotic",
_xlfn.TEXTJOIN(", ",TRUE,
IF(OR(_xlfn.XLOOKUP(B277,'Base stats'!B:B,'Base stats'!AM:AM)=1,AND(_xlfn.XLOOKUP(B277,'Base stats'!B:B,'Base stats'!O:O)=0,_xlfn.XLOOKUP(_xlfn.XLOOKUP(B277,'Base stats'!B:B,'Base stats'!E:E),Groups!A:A,Groups!B:B)&gt;0)),"AnimalUncommon","AnimalCommon"),
IF(AND(_xlfn.XLOOKUP(B277,'Base stats'!B:B,'Base stats'!O:O)=2,_xlfn.XLOOKUP(_xlfn.XLOOKUP(B277,'Base stats'!B:B,'Base stats'!E:E),Groups!A:A,Groups!D:D)=0),"AnimalPet",IF(AND(_xlfn.XLOOKUP(B277,'Base stats'!B:B,'Base stats'!O:O)&lt;&gt;0,_xlfn.XLOOKUP(_xlfn.XLOOKUP(B277,'Base stats'!B:B,'Base stats'!E:E),Groups!A:A,Groups!D:D)&lt;&gt;0),"AnimalFarm","")),
IF(OR(_xlfn.XLOOKUP(B277,'Base stats'!B:B,'Base stats'!AK:AK)=1,AND(BI277&lt;&gt;"None",BR277&gt;=60),ISNUMBER(SEARCH("Attack target",BP277))),"AnimalFighter","")
)))</f>
        <v>AnimalExotic</v>
      </c>
      <c r="BX277" s="25" t="str">
        <f>IF(G277="None",TRIM(
SUBSTITUTE(
IF(COUNTIF(Biomes!B$2:B$259,"="&amp;$C277)&gt;0,Biomes!B$1&amp;", ","")&amp;
IF(COUNTIF(Biomes!C$2:C$259,"="&amp;$C277)&gt;0,Biomes!C$1&amp;", ","")&amp;
IF(COUNTIF(Biomes!D$2:D$259,"="&amp;$C277)&gt;0,Biomes!D$1&amp;", ","")&amp;
IF(COUNTIF(Biomes!F$2:F$259,"="&amp;$C277)&gt;0,Biomes!F$1&amp;", ","")&amp;
IF(COUNTIF(Biomes!G$2:G$259,"="&amp;$C277)&gt;0,Biomes!G$1&amp;", ","")&amp;
IF(COUNTIF(Biomes!H$2:H$259,"="&amp;$C277)&gt;0,Biomes!H$1&amp;", ","")&amp;
IF(COUNTIF(Biomes!I$2:I$259,"="&amp;$C277)&gt;0,Biomes!I$1&amp;", ","")&amp;
IF(COUNTIF(Biomes!J$2:J$259,"="&amp;$C277)&gt;0,Biomes!J$1&amp;", ","")&amp;
IF(COUNTIF(Biomes!M$2:M$259,"="&amp;$C277)&gt;0,Biomes!M$1&amp;", ","")&amp;
IF(COUNTIF(Biomes!N$2:N$259,"="&amp;$C277)&gt;0,Biomes!N$1&amp;", ","")&amp;
IF(COUNTIF(Biomes!O$2:O$259,"="&amp;$C277)&gt;0,Biomes!O$1&amp;", ","")&amp;
IF(COUNTIF(Biomes!P$2:P$259,"="&amp;$C277)&gt;0,Biomes!P$1&amp;", ","")&amp;
IF(COUNTIF(Biomes!K$2:K$259,"="&amp;$C277)&gt;0,Biomes!K$1&amp;", ","")&amp;
IF(COUNTIF(Biomes!Q$3:Q$259,"="&amp;$C277)&gt;0,Biomes!Q$1&amp;", ","")&amp;
IF(COUNTIF(Biomes!L$2:L$259,"="&amp;$C277)&gt;0,Biomes!L$1&amp;", ","")&amp;
IF(COUNTIF(Biomes!E$2:E$259,"="&amp;$C277)&gt;0,Biomes!E$1&amp;", ","")&amp;IF(COUNTIF(Biomes!S$2:S$259,"="&amp;$C277)&gt;0,Biomes!S$1&amp;", ","")&amp;
IF(COUNTIF(Biomes!R$2:R$259,"="&amp;$C277)&gt;0,Biomes!R$1&amp;", ",""),", ","")
),_xlfn.XLOOKUP(B277,B:B,BX:BX))</f>
        <v/>
      </c>
      <c r="BY277" s="25" t="str">
        <f>IF(_xlfn.XLOOKUP(B277,'Base stats'!B:B,'Base stats'!AJ:AJ)=1,"true","false")</f>
        <v>false</v>
      </c>
      <c r="BZ277" s="25">
        <f>IF(_xlfn.XLOOKUP(B277,'Base stats'!B:B,'Base stats'!N:N)=1,"No",MAX(0.001,MIN(MROUND(IF(AND(BJ277="True",CC277="False"),POWER(10,3.47*LOG10(_xlfn.XLOOKUP(B277,'Base stats'!B:B,'Base stats'!C:C)*1000)^-0.96),POWER(10,4.15*LOG10(_xlfn.XLOOKUP(B277,'Base stats'!B:B,'Base stats'!C:C)*1000)^-0.73))*IF(_xlfn.XLOOKUP(B277,'Base stats'!B:B,'Base stats'!AK:AK)=1,0.5,1)*IF(_xlfn.XLOOKUP(B277,'Base stats'!B:B,'Base stats'!AM:AM)=1,0.1,1)/100,IF(_xlfn.XLOOKUP(B277,'Base stats'!B:B,'Base stats'!AM:AM)=1,0.001,0.025)),0.5)))</f>
        <v>0.02</v>
      </c>
      <c r="CA277" s="25">
        <f>IF(P277="Standard","No",MAX(0.001,MIN(MROUND(IF(AND(BJ277="True",CC277="False"),POWER(10,3.47*LOG10(_xlfn.XLOOKUP(B277,'Base stats'!B:B,'Base stats'!C:C)*1000)^-0.96),POWER(10,4.15*LOG10(_xlfn.XLOOKUP(B277,'Base stats'!B:B,'Base stats'!C:C)*1000)^-0.73))*IF(_xlfn.XLOOKUP(B277,'Base stats'!B:B,'Base stats'!AM:AM)=1,0.1,1)*_xlfn.XLOOKUP(B277,'Base stats'!B:B,'Base stats'!R:R)/100,IF(_xlfn.XLOOKUP(B277,'Base stats'!B:B,'Base stats'!AM:AM)=1,0.001,0.025)),0.5)))</f>
        <v>0.02</v>
      </c>
      <c r="CB277" s="25" t="str">
        <f>IF(_xlfn.XLOOKUP(_xlfn.XLOOKUP(B277,'Base stats'!B:B,'Base stats'!E:E),Groups!A:A,Groups!AJ:AJ)="Mammal","True","False")</f>
        <v>False</v>
      </c>
      <c r="CC277" s="25" t="str">
        <f>IF(OR(_xlfn.XLOOKUP(_xlfn.XLOOKUP(B277,'Base stats'!B:B,'Base stats'!E:E),Groups!A:A,Groups!AJ:AJ)="Reptile",_xlfn.XLOOKUP(_xlfn.XLOOKUP(B277,'Base stats'!B:B,'Base stats'!E:E),Groups!A:A,Groups!AJ:AJ)="Amphibian",_xlfn.XLOOKUP(_xlfn.XLOOKUP(B277,'Base stats'!B:B,'Base stats'!E:E),Groups!A:A,Groups!AJ:AJ)="Invertebrate"),"True","False")</f>
        <v>False</v>
      </c>
      <c r="CD277" s="25" t="str">
        <f t="shared" si="34"/>
        <v>True</v>
      </c>
      <c r="CE277" s="25" t="str">
        <f>IF(_xlfn.XLOOKUP(_xlfn.XLOOKUP(B277,'Base stats'!B:B,'Base stats'!E:E),Groups!A:A,Groups!AX:AX),"True","False")</f>
        <v>True</v>
      </c>
      <c r="CF277" s="25" t="str">
        <f>IF(_xlfn.XLOOKUP(_xlfn.XLOOKUP(B277,'Base stats'!B:B,'Base stats'!E:E),Groups!A:A,Groups!AY:AY),"True","False")</f>
        <v>True</v>
      </c>
      <c r="CG277" s="25" t="str">
        <f>IF(_xlfn.XLOOKUP(_xlfn.XLOOKUP(B277,'Base stats'!B:B,'Base stats'!E:E),Groups!A:A,Groups!AW:AW),"True","False")</f>
        <v>True</v>
      </c>
      <c r="CH277" s="25" t="str">
        <f>IF(
OR(
_xlfn.XLOOKUP(_xlfn.XLOOKUP(B277,'Base stats'!B:B,'Base stats'!E:E),Groups!A:A,Groups!AZ:AZ)=0,
AND(
_xlfn.XLOOKUP(B277,'Base stats'!B:B,'Base stats'!Y:Y)&lt;&gt;"Carnivore",
_xlfn.XLOOKUP(B277,'Base stats'!B:B,'Base stats'!Y:Y)&lt;&gt;"Omnivore",
_xlfn.XLOOKUP(B277,'Base stats'!B:B,'Base stats'!Y:Y)&lt;&gt;"OmnivoreRough"
)
),
"No",
IF(
_xlfn.XLOOKUP(_xlfn.XLOOKUP(B277,'Base stats'!B:B,'Base stats'!E:E),Groups!A:A,Groups!AZ:AZ)=1,
"Flesh",
IF(
_xlfn.XLOOKUP(_xlfn.XLOOKUP(B277,'Base stats'!B:B,'Base stats'!E:E),Groups!A:A,Groups!AZ:AZ)=2,
"Bone",
""
)
)
)</f>
        <v>No</v>
      </c>
      <c r="CI277" s="25" t="str">
        <f>IF(_xlfn.XLOOKUP(_xlfn.XLOOKUP(B277,'Base stats'!B:B,'Base stats'!E:E),Groups!A:A,Groups!BB:BB),"True","False")</f>
        <v>False</v>
      </c>
      <c r="CJ277" s="25" t="str">
        <f>IF(_xlfn.XLOOKUP(_xlfn.XLOOKUP(B277,'Base stats'!B:B,'Base stats'!E:E),Groups!A:A,Groups!BA:BA),"True","False")</f>
        <v>False</v>
      </c>
    </row>
    <row r="278" spans="1:88" ht="16.5" thickTop="1" thickBot="1" x14ac:dyDescent="0.3">
      <c r="A278" s="26" t="s">
        <v>1464</v>
      </c>
      <c r="B278" s="6" t="str">
        <f>_xlfn.XLOOKUP(A278,'Base stats'!A:A,'Base stats'!B:B)</f>
        <v>Gallus titanicus</v>
      </c>
      <c r="C278" s="28" t="s">
        <v>1465</v>
      </c>
      <c r="D278" s="28" t="s">
        <v>1341</v>
      </c>
      <c r="E278" s="28" t="s">
        <v>673</v>
      </c>
      <c r="F278" s="28" t="s">
        <v>673</v>
      </c>
      <c r="G278" s="28" t="s">
        <v>673</v>
      </c>
      <c r="H278" s="2">
        <f>MROUND((
  (IF(AND(_xlfn.XLOOKUP(B278,'Base stats'!B:B,'Base stats'!AL:AL)=0,BI278="None",_xlfn.XLOOKUP(_xlfn.XLOOKUP(B278,'Base stats'!B:B,'Base stats'!E:E),Groups!A:A,Groups!B:B)=0), (18 + BR278 * 2.7) * 0.5,
    IF(AND(_xlfn.XLOOKUP(B278,'Base stats'!B:B,'Base stats'!AL:AL)=0,OR(AO278&lt;0.55,AND(BI278="Intermediate",_xlfn.XLOOKUP(_xlfn.XLOOKUP(B278,'Base stats'!B:B,'Base stats'!E:E),Groups!A:A,Groups!B:B)&lt;2))), (18 + BR278 * 2.7),
      IF(OR(BI278="Advanced",_xlfn.XLOOKUP(B278,'Base stats'!B:B,'Base stats'!AL:AL)=1,_xlfn.XLOOKUP(_xlfn.XLOOKUP(B278,'Base stats'!B:B,'Base stats'!E:E),Groups!A:A,Groups!B:B)=2), (18 + BR278 * 2.7) + 250, (18 + BR278 * 2.7))
    )
  ))
  + AO278 * 80
  + IF(COUNTIF(EggMilk!K$2:K$998, A278) &gt; 0, 125, 0)
  + IF(COUNTIF(EggMilk!P$2:P$998, A278) &gt; 0, 90, 0)
  + IF(COUNTIF(EggMilk!A$2:A$998, A278) &gt; 0, 90, 0)
)
* (0.8 + 0.4 * J278)
* 0.75,25)</f>
        <v>18525</v>
      </c>
      <c r="I278" s="2">
        <f>MROUND(ROUNDDOWN(_xlfn.XLOOKUP(B278,'Base stats'!B:B,'Base stats'!L:L)/3.6/(23.3/11),1),0.5)</f>
        <v>4.5</v>
      </c>
      <c r="J278" s="2">
        <f>IF(OR(_xlfn.XLOOKUP(B278,'Base stats'!B:B,'Base stats'!AB:AB)=1,_xlfn.XLOOKUP(_xlfn.XLOOKUP(B278,'Base stats'!B:B,'Base stats'!E:E),Groups!A:A,Groups!C:C)="Untamable"),1,IF(_xlfn.XLOOKUP(B278,'Base stats'!B:B,'Base stats'!AL:AL)=1,0.99,MIN(MROUND((1-0.6282*EXP(-0.459*AO278))*_xlfn.XLOOKUP(_xlfn.XLOOKUP(B278,'Base stats'!B:B,'Base stats'!E:E),Groups!A:A,Groups!C:C)*IF(_xlfn.XLOOKUP(B278,'Base stats'!B:B,'Base stats'!O:O)=1,0.5,IF(_xlfn.XLOOKUP(B278,'Base stats'!B:B,'Base stats'!O:O)=2,0,1)),0.05),IF(AO278&gt;3.5,0.985,0.95))))</f>
        <v>0.99</v>
      </c>
      <c r="K278" s="2">
        <f>ROUNDUP(AO278*_xlfn.XLOOKUP(_xlfn.XLOOKUP(B278,'Base stats'!B:B,'Base stats'!E:E),Groups!A:A,Groups!E:E),0)</f>
        <v>35</v>
      </c>
      <c r="L278" s="2">
        <f>IF(OR(_xlfn.XLOOKUP(_xlfn.XLOOKUP(B278,'Base stats'!B:B,'Base stats'!E:E),Groups!A:A,Groups!F:F)=2,ISNUMBER(SEARCH("SeaIce",BX278)),ISNUMBER(SEARCH("IceSheet",BX278))),-50,IF(OR(ISNUMBER(SEARCH("GlacialPlain",BX278)),ISNUMBER(SEARCH("Tundra",BX278))),-40,IF(OR(ISNUMBER(SEARCH("Alpine",BX278)),ISNUMBER(SEARCH("BorealForest",BX278)),ISNUMBER(SEARCH("ColdBog",BX278))),-30,IF(OR(ISNUMBER(SEARCH("TemperateForest",BX278)),ISNUMBER(SEARCH("TemperateSwamp",BX278))),-20,IF(_xlfn.XLOOKUP(_xlfn.XLOOKUP(B278,'Base stats'!B:B,'Base stats'!E:E),Groups!A:A,Groups!F:F)=1,-15,IF(OR(ISNUMBER(SEARCH("Desert",BX278)),ISNUMBER(SEARCH("ExtremeDesert",BX278))),-10,IF(OR(ISNUMBER(SEARCH("Grasslands",BX278)),ISNUMBER(SEARCH("TropicalRainforest",BX278)),ISNUMBER(SEARCH("TropicalSwamp",BX278))),10,0)))))))-IF(CC278="False",MIN(IFERROR(MAX(MROUND(LOG10(_xlfn.XLOOKUP(B278,'Base stats'!B:B,'Base stats'!C:C)^(2/3))*10,5),5),5),30))-_xlfn.XLOOKUP(B278,'Base stats'!B:B,'Base stats'!P:P)+IF(CC278="True",5,0)</f>
        <v>-75</v>
      </c>
      <c r="M278" s="2">
        <f>IF(OR(_xlfn.XLOOKUP(_xlfn.XLOOKUP(B278,'Base stats'!B:B,'Base stats'!E:E),Groups!A:A,Groups!G:G)=2,ISNUMBER(SEARCH("Desert",BX278)),ISNUMBER(SEARCH("ExtremeDesert",BX278)),ISNUMBER(SEARCH("LavaField",BX278))),50,IF(ISNUMBER(SEARCH("Grasslands",BX278)),45,IF(OR(_xlfn.XLOOKUP(_xlfn.XLOOKUP(B278,'Base stats'!B:B,'Base stats'!E:E),Groups!A:A,Groups!G:G)=1,ISNUMBER(SEARCH("TropicalRainforest",BX278)),ISNUMBER(SEARCH("TropicalSwamp",BX278))),40,IF(OR(ISNUMBER(SEARCH("TemperateForest",BX278)),ISNUMBER(SEARCH("TemperateSwamp",BX278))),35,IF(OR(ISNUMBER(SEARCH("Alpine",BX278)),ISNUMBER(SEARCH("BorealForest",BX278)),ISNUMBER(SEARCH("ColdBog",BX278))),30,IF(ISNUMBER(OR(ISNUMBER(SEARCH("GlacialPlain",BX278)),SEARCH("Tundra",BX278))),25,IF(OR(ISNUMBER(SEARCH("SeaIce",BX278)),ISNUMBER(SEARCH("IceSheet",BX278)),ISNUMBER(SEARCH("TropicalSwamp",BX278))),10,35)))))))+_xlfn.XLOOKUP(B278,'Base stats'!B:B,'Base stats'!Q:Q)</f>
        <v>35</v>
      </c>
      <c r="N278" s="8">
        <f>IF(
_xlfn.XLOOKUP(
_xlfn.XLOOKUP(B278,'Base stats'!B:B,'Base stats'!E:E),
Groups!A:A,
Groups!L:L
)=1,
MIN(
MROUND(
IF(
_xlfn.XLOOKUP(B278,'Animals CE'!B:B,'Animals CE'!Z:Z)&lt;=1.5,
_xlfn.XLOOKUP(B278,'Animals CE'!B:B,'Animals CE'!Z:Z)/2+0.05,
0.8+
(_xlfn.XLOOKUP(B278,'Animals CE'!B:B,'Animals CE'!Z:Z)-1.5)
*0.02
),
0.05
),
200%
),
"No"
)</f>
        <v>1</v>
      </c>
      <c r="O278" s="8">
        <f>IF(
_xlfn.XLOOKUP(
_xlfn.XLOOKUP(B278,'Base stats'!B:B,'Base stats'!E:E),
Groups!A:A,
Groups!L:L
)=1,
MIN(
MROUND(
IF(
_xlfn.XLOOKUP(B278,'Animals CE'!B:B,'Animals CE'!AA:AA)&lt;=1.5,
_xlfn.XLOOKUP(B278,'Animals CE'!B:B,'Animals CE'!AA:AA)/2+0.05,
0.8+
(_xlfn.XLOOKUP(B278,'Animals CE'!B:B,'Animals CE'!AA:AA)-1.5)
*0.02
),
0.05
),
200%
),
"No"
)</f>
        <v>1.1000000000000001</v>
      </c>
      <c r="P278" s="2">
        <f>_xlfn.XLOOKUP(B278,'Base stats'!B:B,'Base stats'!R:R)</f>
        <v>1</v>
      </c>
      <c r="Q278" s="13">
        <f>MROUND((LOG10(_xlfn.XLOOKUP(B278,'Base stats'!B:B,'Base stats'!AR:AR))*(AO278^0.5)+(_xlfn.XLOOKUP(B278,'Base stats'!B:B,'Base stats'!AR:AR)/1000)^(2/3)+_xlfn.XLOOKUP(B278,'Base stats'!B:B,'Base stats'!BA:BA)/2)+0.5,0.5)</f>
        <v>55</v>
      </c>
      <c r="R278" s="7">
        <f>IF(Q278="No","No",MAX(1,MROUND(_xlfn.XLOOKUP(B278,'Base stats'!B:B,'Base stats'!C:C)^0.165,0.05)))</f>
        <v>4.75</v>
      </c>
      <c r="S278" s="13" t="str">
        <f>IF(_xlfn.XLOOKUP(_xlfn.XLOOKUP(B278,'Base stats'!B:B,'Base stats'!E:E),Groups!A:A,Groups!P:P)=0,"No",MROUND((LOG10(_xlfn.XLOOKUP(B278,'Base stats'!B:B,'Base stats'!AS:AS))*(AO278^0.5)+(_xlfn.XLOOKUP(B278,'Base stats'!B:B,'Base stats'!AS:AS)/1000)^(2/3)+_xlfn.XLOOKUP(B278,'Base stats'!B:B,'Base stats'!BA:BA))+_xlfn.XLOOKUP(B278,'Base stats'!B:B,'Base stats'!AY:AY)+0.5,0.5))</f>
        <v>No</v>
      </c>
      <c r="T278" s="7" t="str">
        <f>IF(S278="No","No",MAX(_xlfn.XLOOKUP(_xlfn.XLOOKUP(B278,'Base stats'!B:B,'Base stats'!E:E),Groups!A:A,Groups!Q:Q),MROUND(_xlfn.XLOOKUP(_xlfn.XLOOKUP(B278,'Base stats'!B:B,'Base stats'!E:E),Groups!A:A,Groups!Q:Q)*_xlfn.XLOOKUP(B278,'Base stats'!B:B,'Base stats'!C:C)^0.165,0.05)))</f>
        <v>No</v>
      </c>
      <c r="U278" s="7" t="str">
        <f>IF(S278="No","No",_xlfn.XLOOKUP(_xlfn.XLOOKUP(B278,'Base stats'!B:B,'Base stats'!E:E),Groups!A:A,Groups!R:R))</f>
        <v>No</v>
      </c>
      <c r="V278" s="7" t="str">
        <f>IF(S278="No","No",_xlfn.XLOOKUP(_xlfn.XLOOKUP(B278,'Base stats'!B:B,'Base stats'!E:E),Groups!A:A,Groups!S:S))</f>
        <v>No</v>
      </c>
      <c r="W278" s="7" t="str">
        <f>IF(S278="No","No",_xlfn.XLOOKUP(_xlfn.XLOOKUP(B278,'Base stats'!B:B,'Base stats'!E:E),Groups!A:A,Groups!T:T))</f>
        <v>No</v>
      </c>
      <c r="X278" s="13">
        <f>IF(_xlfn.XLOOKUP(B278,'Base stats'!B:B,'Base stats'!W:W)="No","No",MROUND((LOG10(_xlfn.XLOOKUP(B278,'Base stats'!B:B,'Base stats'!AU:AU))*(AO278^0.5)+(_xlfn.XLOOKUP(B278,'Base stats'!B:B,'Base stats'!AU:AU)/1000)^(2/3)+_xlfn.XLOOKUP(B278,'Base stats'!B:B,'Base stats'!AZ:AZ))+0.5+IF(_xlfn.XLOOKUP(_xlfn.XLOOKUP(B278,'Base stats'!B:B,'Base stats'!E:E),Groups!A:A,Groups!U:U)&lt;&gt;3,_xlfn.XLOOKUP(B278,'Base stats'!B:B,'Base stats'!BA:BA),0),0.5))</f>
        <v>76</v>
      </c>
      <c r="Y278" s="7">
        <f>IF(X278="No","No",MAX(_xlfn.XLOOKUP(_xlfn.XLOOKUP(B278,'Base stats'!B:B,'Base stats'!E:E),Groups!A:A,Groups!V:V),MROUND(_xlfn.XLOOKUP(_xlfn.XLOOKUP(B278,'Base stats'!B:B,'Base stats'!E:E),Groups!A:A,Groups!V:V)*_xlfn.XLOOKUP(B278,'Base stats'!B:B,'Base stats'!C:C)^0.165,0.05)))</f>
        <v>2.85</v>
      </c>
      <c r="Z278" s="7" t="str">
        <f>IF(X278="No","No",_xlfn.XLOOKUP(_xlfn.XLOOKUP(B278,'Base stats'!B:B,'Base stats'!E:E),Groups!A:A,Groups!W:W))</f>
        <v>HeadAttackTool</v>
      </c>
      <c r="AA278" s="7" t="str">
        <f>IF(X278="No","No",_xlfn.XLOOKUP(_xlfn.XLOOKUP(B278,'Base stats'!B:B,'Base stats'!E:E),Groups!A:A,Groups!X:X))</f>
        <v>horn</v>
      </c>
      <c r="AB278" s="7" t="str">
        <f>IF(X278="No","No",_xlfn.XLOOKUP(_xlfn.XLOOKUP(B278,'Base stats'!B:B,'Base stats'!E:E),Groups!A:A,Groups!Y:Y))</f>
        <v>Scratch</v>
      </c>
      <c r="AC278" s="7" t="str">
        <f>_xlfn.XLOOKUP(Animals!B278,'Base stats'!B:B,'Base stats'!X:X)</f>
        <v>False</v>
      </c>
      <c r="AD278" s="13">
        <f>IF(_xlfn.XLOOKUP(B278,'Base stats'!B:B,'Base stats'!AT:AT)="No","No",MROUND((LOG10(_xlfn.XLOOKUP(B278,'Base stats'!B:B,'Base stats'!AT:AT))*(AO278^0.75)+(_xlfn.XLOOKUP(B278,'Base stats'!B:B,'Base stats'!AT:AT)/1000)^(2/3)+_xlfn.XLOOKUP(B278,'Base stats'!B:B,'Base stats'!AX:AX)+_xlfn.XLOOKUP(B278,'Base stats'!B:B,'Base stats'!BA:BA))+0.5,0.5))</f>
        <v>66.5</v>
      </c>
      <c r="AE278" s="7">
        <f>IF(AD278="No","No",MAX(_xlfn.XLOOKUP(_xlfn.XLOOKUP(B278,'Base stats'!B:B,'Base stats'!E:E),Groups!A:A,Groups!Z:Z),MROUND(_xlfn.XLOOKUP(_xlfn.XLOOKUP(B278,'Base stats'!B:B,'Base stats'!E:E),Groups!A:A,Groups!Z:Z)*_xlfn.XLOOKUP(B278,'Base stats'!B:B,'Base stats'!C:C)^0.165,0.05)))</f>
        <v>4.05</v>
      </c>
      <c r="AF278" s="7" t="str">
        <f>IF(AD278="No","No",_xlfn.XLOOKUP(_xlfn.XLOOKUP(B278,'Base stats'!B:B,'Base stats'!E:E),Groups!A:A,Groups!AA:AA))</f>
        <v>Teeth</v>
      </c>
      <c r="AG278" s="7" t="str">
        <f>IF(AD278="No","No",_xlfn.XLOOKUP(_xlfn.XLOOKUP(B278,'Base stats'!B:B,'Base stats'!E:E),Groups!A:A,Groups!AB:AB))</f>
        <v>teeth</v>
      </c>
      <c r="AH278" s="7" t="str">
        <f>IF(AD278="No","No",_xlfn.XLOOKUP(_xlfn.XLOOKUP(B278,'Base stats'!B:B,'Base stats'!E:E),Groups!A:A,Groups!AC:AC))</f>
        <v>Bite</v>
      </c>
      <c r="AI278" s="13">
        <f>IF(_xlfn.XLOOKUP(_xlfn.XLOOKUP(B278,'Base stats'!B:B,'Base stats'!E:E),Groups!A:A,Groups!AD:AD)=0,"No",MROUND((LOG10(_xlfn.XLOOKUP(B278,'Base stats'!B:B,'Base stats'!AS:AS))*(AO278^0.75)+(_xlfn.XLOOKUP(B278,'Base stats'!B:B,'Base stats'!AS:AS)/1000)^(2/3)+_xlfn.XLOOKUP(B278,'Base stats'!B:B,'Base stats'!AY:AY)+_xlfn.XLOOKUP(B278,'Base stats'!B:B,'Base stats'!BA:BA))+0.5,0.5))</f>
        <v>77</v>
      </c>
      <c r="AJ278" s="7">
        <f>IF(AI278="No","No",MAX(_xlfn.XLOOKUP(_xlfn.XLOOKUP(B278,'Base stats'!B:B,'Base stats'!E:E),Groups!A:A,Groups!AE:AE),MROUND(_xlfn.XLOOKUP(_xlfn.XLOOKUP(B278,'Base stats'!B:B,'Base stats'!E:E),Groups!A:A,Groups!AE:AE)*IF(_xlfn.XLOOKUP(_xlfn.XLOOKUP(B278,'Base stats'!B:B,'Base stats'!E:E),Groups!A:A,Groups!AJ:AJ)="Photonozoa",0.6,1)*_xlfn.XLOOKUP(B278,'Base stats'!B:B,'Base stats'!C:C)^0.165,0.05)))</f>
        <v>3.1</v>
      </c>
      <c r="AK278" s="7" t="str">
        <f>IF(AI278="No","No",_xlfn.XLOOKUP(_xlfn.XLOOKUP(B278,'Base stats'!B:B,'Base stats'!E:E),Groups!A:A,Groups!AF:AF))</f>
        <v>FrontLeftPaw, FrontRightPaw</v>
      </c>
      <c r="AL278" s="7" t="str">
        <f>IF(AI278="No","No",_xlfn.XLOOKUP(_xlfn.XLOOKUP(B278,'Base stats'!B:B,'Base stats'!E:E),Groups!A:A,Groups!AG:AG))</f>
        <v>left claw, right claw</v>
      </c>
      <c r="AM278" s="7" t="str">
        <f>IF(AI278="No","No",_xlfn.XLOOKUP(_xlfn.XLOOKUP(B278,'Base stats'!B:B,'Base stats'!E:E),Groups!A:A,Groups!AH:AH))</f>
        <v>Scratch</v>
      </c>
      <c r="AN278" s="2" t="str">
        <f t="shared" si="28"/>
        <v>No</v>
      </c>
      <c r="AO278" s="2">
        <f>MROUND(IF(AND(_xlfn.XLOOKUP(B278,'Base stats'!B:B,'Base stats'!C:C)&gt;=0.5,_xlfn.XLOOKUP(B278,'Base stats'!B:B,'Base stats'!C:C)&lt;=0.8),
IF(_xlfn.XLOOKUP(B278,'Base stats'!B:B,'Base stats'!C:C)&lt;0.1,0.05,IF(_xlfn.XLOOKUP(B278,'Base stats'!B:B,'Base stats'!C:C)&lt;=70,(_xlfn.XLOOKUP(B278,'Base stats'!B:B,'Base stats'!C:C)/70)^0.426489913056526,IF(_xlfn.XLOOKUP(B278,'Base stats'!B:B,'Base stats'!C:C)&lt;=400,(_xlfn.XLOOKUP(B278,'Base stats'!B:B,'Base stats'!C:C)/70)^0.572811455315093,IF(_xlfn.XLOOKUP(B278,'Base stats'!B:B,'Base stats'!C:C)&lt;=2000,2.71391647193063*(_xlfn.XLOOKUP(B278,'Base stats'!B:B,'Base stats'!C:C)/400)^0.252459582904293,3.74314280240376*(_xlfn.XLOOKUP(B278,'Base stats'!B:B,'Base stats'!C:C)/2000)^0.357012633876913)))),
IF(_xlfn.XLOOKUP(B278,'Base stats'!B:B,'Base stats'!C:C)&lt;0.1,0.05,IF(_xlfn.XLOOKUP(B278,'Base stats'!B:B,'Base stats'!C:C)&lt;0.4,0.1,IF(_xlfn.XLOOKUP(B278,'Base stats'!B:B,'Base stats'!C:C)&lt;=70,(_xlfn.XLOOKUP(B278,'Base stats'!B:B,'Base stats'!C:C)/70)^0.445823913056526,IF(_xlfn.XLOOKUP(B278,'Base stats'!B:B,'Base stats'!C:C)&lt;=400,(_xlfn.XLOOKUP(B278,'Base stats'!B:B,'Base stats'!C:C)/70)^0.572811455315093,IF(_xlfn.XLOOKUP(B278,'Base stats'!B:B,'Base stats'!C:C)&lt;=2000,2.71391647193063*(_xlfn.XLOOKUP(B278,'Base stats'!B:B,'Base stats'!C:C)/400)^0.252459582904293,3.74314280240376*(_xlfn.XLOOKUP(B278,'Base stats'!B:B,'Base stats'!C:C)/2000)^0.357012633876913)))))),
IF(_xlfn.XLOOKUP(B278,'Base stats'!B:B,'Base stats'!C:C)&lt;0.1,0.05,IF(_xlfn.XLOOKUP(B278,'Base stats'!B:B,'Base stats'!C:C)&lt;=100,0.05,IF(_xlfn.XLOOKUP(B278,'Base stats'!B:B,'Base stats'!C:C)&lt;=250,0.1,IF(_xlfn.XLOOKUP(B278,'Base stats'!B:B,'Base stats'!C:C)&lt;=4000,0.25,0.5)))))</f>
        <v>7</v>
      </c>
      <c r="AP278" s="8">
        <f>MROUND(AO278*_xlfn.XLOOKUP(_xlfn.XLOOKUP(B278,'Base stats'!B:B,'Base stats'!E:E),Groups!A:A,Groups!AI:AI)*_xlfn.XLOOKUP(B278,'Base stats'!B:B,'Base stats'!Z:Z),0.05)</f>
        <v>48</v>
      </c>
      <c r="AQ278" s="8">
        <f>MAX(0.01,MROUND(IF(CC278="True",0.196*(AO278*100*1000)^0.889,IF(_xlfn.XLOOKUP(_xlfn.XLOOKUP(B278,'Base stats'!B:B,'Base stats'!E:E),Groups!A:A,Groups!AJ:AJ)="Bird",10.5*(AO278*100*1000)^0.681,4.82*(AO278*100*1000)^0.734))/(4.82*(1*100*1000)^0.734)/IF(AO278&lt;3.5,2,IF(AO278=3.5,1.5,1.25))*(1+0.132282374779864/(AO278^0.994035016789033+0.00905238001496948)),0.05))</f>
        <v>3.4000000000000004</v>
      </c>
      <c r="AR278" s="9">
        <f>IFERROR(MROUND(_xlfn.XLOOKUP(B278,'Base stats'!B:B,'Base stats'!H:H)/IF(_xlfn.XLOOKUP(B278,'Base stats'!B:B,'Base stats'!I:I)&lt;&gt;1,(122.5/70),1.2),IF(_xlfn.XLOOKUP(B278,'Base stats'!B:B,'Base stats'!H:H)&gt;=30,5,IF(_xlfn.XLOOKUP(B278,'Base stats'!B:B,'Base stats'!H:H)&gt;=15,3,IF(_xlfn.XLOOKUP(B278,'Base stats'!B:B,'Base stats'!H:H)&gt;=10,2,1)))),"Immortal")</f>
        <v>300</v>
      </c>
      <c r="AS278" s="35">
        <f>IFERROR(IF(OR(_xlfn.XLOOKUP(B278,'Base stats'!B:B,'Base stats'!F:F)="Atypical reproduction",_xlfn.XLOOKUP(B278,'Base stats'!B:B,'Base stats'!F:F)="Lay eggs"),"Lay eggs",MIN(20,MAX(5.5,ROUND(((_xlfn.XLOOKUP(B278,'Base stats'!B:B,'Base stats'!F:F)-25)*(14.5/615) + 5.5)*2,0)/2))),"Unknown")</f>
        <v>20</v>
      </c>
      <c r="AT278" s="8">
        <f>IF(_xlfn.XLOOKUP(B278,'Base stats'!B:B,'Base stats'!G:G)="Atypical reproduction","No",IFERROR(MAX(IF(_xlfn.XLOOKUP(B278,'Base stats'!B:B,'Base stats'!G:G)&lt;0.5,0.2,0.3),MROUND(_xlfn.XLOOKUP(B278,'Base stats'!B:B,'Base stats'!G:G)/(365/60),0.2)),"Unknown"))</f>
        <v>2.4000000000000004</v>
      </c>
      <c r="AU278" s="8">
        <f t="shared" si="29"/>
        <v>1.2000000000000002</v>
      </c>
      <c r="AV278" s="8">
        <f>IFERROR(IFERROR(MROUND(_xlfn.XLOOKUP(B278,'Base stats'!B:B,'Base stats'!J:J),0.1),"Lay eggs"),"Cannot breed")</f>
        <v>1</v>
      </c>
      <c r="AW278" s="2" t="str">
        <f t="shared" si="30"/>
        <v>false</v>
      </c>
      <c r="AX278" s="2" t="str">
        <f>IF(_xlfn.XLOOKUP(_xlfn.XLOOKUP(Animals!B278,'Base stats'!B:B,'Base stats'!E:E),Groups!A:A,Groups!AK:AK)=1,"true","false")</f>
        <v>false</v>
      </c>
      <c r="AY278" s="25" t="str">
        <f>IF(_xlfn.XLOOKUP(B278,'Base stats'!B:B,'Base stats'!Y:Y)="Liquor","Liquor, CarnivoreAnimalStrict",IF(AND(_xlfn.XLOOKUP(B278,'Base stats'!B:B,'Base stats'!Y:Y)="Carnivore",_xlfn.XLOOKUP(_xlfn.XLOOKUP(B278,'Base stats'!B:B,'Base stats'!E:E),Groups!A:A,Groups!AJ:AJ)="Photonozoa"),"CarnivoreAnimalStrict, OvivoreAnimal",IF(_xlfn.XLOOKUP(B278,'Base stats'!B:B,'Base stats'!Y:Y)="Carnivore","CarnivoreAnimal, OvivoreAnimal",IF(_xlfn.XLOOKUP(B278,'Base stats'!B:B,'Base stats'!Y:Y)="Dendrovore","VegetarianRoughAnimal, DendrovoreAnimal",IF(_xlfn.XLOOKUP(B278,'Base stats'!B:B,'Base stats'!Y:Y)="Herbivore","VegetarianRoughAnimal",IF(_xlfn.XLOOKUP(B278,'Base stats'!B:B,'Base stats'!Y:Y)="OmnivoreRough","OmnivoreRoughAnimal, OvivoreAnimal","OmnivoreAnimal, OvivoreAnimal"))))))</f>
        <v>VegetarianRoughAnimal, DendrovoreAnimal</v>
      </c>
      <c r="AZ278" s="2" t="str">
        <f>IF(_xlfn.XLOOKUP(_xlfn.XLOOKUP(B278,'Base stats'!B:B,'Base stats'!E:E),Groups!A:A,Groups!D:D)=1,MROUND((1-J278)*5+1,2)*IF(J278&lt;=0.4,2,1),"No")</f>
        <v>No</v>
      </c>
      <c r="BA278" s="2" t="str">
        <f>IF(AND(_xlfn.XLOOKUP(B278,'Base stats'!B:B,'Base stats'!AH:AH)="&lt;li&gt;Seal&lt;/li&gt;",G278="Odyssey"),"&lt;li&gt;AEXP_Seal&lt;/li&gt;",_xlfn.XLOOKUP(B278,'Base stats'!B:B,'Base stats'!AH:AH))</f>
        <v>No</v>
      </c>
      <c r="BB278" s="2" t="str">
        <f>_xlfn.XLOOKUP(B278,'Base stats'!B:B,'Base stats'!AG:AG)</f>
        <v>Leather_Gallatross</v>
      </c>
      <c r="BC278" s="23" t="str">
        <f>_xlfn.XLOOKUP(_xlfn.XLOOKUP(B278,'Base stats'!B:B,'Base stats'!E:E),Groups!A:A,Groups!AL:AL)</f>
        <v>QuadrupedAnimalWithPawsAndHorn</v>
      </c>
      <c r="BD278" s="23">
        <f>MIN(1,MROUND(IF(AND(AO278&lt;0.5,_xlfn.XLOOKUP(B278,'Base stats'!B:B,'Base stats'!AA:AA)=0),0,IF(OR(_xlfn.XLOOKUP(Animals!B278,'Base stats'!B:B,'Base stats'!O:O)=2,_xlfn.XLOOKUP(_xlfn.XLOOKUP(B278,'Base stats'!B:B,'Base stats'!E:E),Groups!A:A,Groups!AN:AN)=0),0,_xlfn.XLOOKUP(_xlfn.XLOOKUP(B278,'Base stats'!B:B,'Base stats'!E:E),Groups!A:A,Groups!AN:AN)/IF(_xlfn.XLOOKUP(Animals!B278,'Base stats'!B:B,'Base stats'!O:O)=1,2,1)))+_xlfn.XLOOKUP(B278,'Base stats'!B:B,'Base stats'!AC:AC),0.005))</f>
        <v>0.1</v>
      </c>
      <c r="BE278" s="23">
        <f>MIN(1,MROUND(IF(AND(AO278&lt;0.5,_xlfn.XLOOKUP(B278,'Base stats'!B:B,'Base stats'!AA:AA)=0),0,IF(_xlfn.XLOOKUP(_xlfn.XLOOKUP(B278,'Base stats'!B:B,'Base stats'!E:E),Groups!A:A,Groups!AO:AO)=0,0,_xlfn.XLOOKUP(_xlfn.XLOOKUP(B278,'Base stats'!B:B,'Base stats'!E:E),Groups!A:A,Groups!AO:AO)/IF(_xlfn.XLOOKUP(Animals!B278,'Base stats'!B:B,'Base stats'!O:O)=2,3,1)))+_xlfn.XLOOKUP(B278,'Base stats'!B:B,'Base stats'!AD:AD),0.005))</f>
        <v>1</v>
      </c>
      <c r="BF278" s="2" t="str">
        <f>IF(J278&gt;0.3,"No",_xlfn.XLOOKUP(_xlfn.XLOOKUP(Animals!B278,'Base stats'!B:B,'Base stats'!E:E),Groups!A:A,Groups!AP:AP))</f>
        <v>No</v>
      </c>
      <c r="BG278" s="2" t="str">
        <f>IF(AND(J278&lt;=0.65,_xlfn.XLOOKUP(_xlfn.XLOOKUP(Animals!B278,'Base stats'!B:B,'Base stats'!E:E),Groups!A:A,Groups!AP:AP)&lt;&gt;"No",_xlfn.XLOOKUP(_xlfn.XLOOKUP(B278,'Base stats'!B:B,'Base stats'!E:E),Groups!A:A,Groups!D:D)=0),MROUND((80/3)*IF(_xlfn.XLOOKUP(B278,'Base stats'!B:B,'Base stats'!O:O)=2,0.2,AO278) + 24*(1-IF(BF278="No",0,BF278)) + 16/3, 12),"No")</f>
        <v>No</v>
      </c>
      <c r="BH278" s="2">
        <f>IF(AND(_xlfn.XLOOKUP(_xlfn.XLOOKUP(B278,'Base stats'!B:B,'Base stats'!E:E),Groups!A:A,Groups!AQ:AQ)=1,AO278&lt;=0.35),8,12)</f>
        <v>12</v>
      </c>
      <c r="BI278" s="2" t="str">
        <f>IF(_xlfn.XLOOKUP(_xlfn.XLOOKUP(B278,'Base stats'!B:B,'Base stats'!E:E),Groups!A:A,Groups!D:D)=0,_xlfn.XLOOKUP(_xlfn.XLOOKUP(B278,'Base stats'!B:B,'Base stats'!E:E),Groups!A:A,Groups!AR:AR),"None")</f>
        <v>Advanced</v>
      </c>
      <c r="BJ278" s="2" t="str">
        <f>IF(AND(_xlfn.XLOOKUP(_xlfn.XLOOKUP(B278,'Base stats'!B:B,'Base stats'!E:E),Groups!A:A,Groups!AS:AS)=1,OR(_xlfn.XLOOKUP(B278,'Base stats'!B:B,'Base stats'!Y:Y)="Carnivore",_xlfn.XLOOKUP(B278,'Base stats'!B:B,'Base stats'!Y:Y)="Omnivore")),"true","false")</f>
        <v>false</v>
      </c>
      <c r="BK278" s="2" t="str">
        <f>IF(BJ278="true",MROUND(IF(AND(AO278&gt;0.5,OR(_xlfn.XLOOKUP(_xlfn.XLOOKUP(B278,'Base stats'!B:B,'Base stats'!E:E),Groups!A:A,Groups!AJ:AJ)="Photonozoa",_xlfn.XLOOKUP(_xlfn.XLOOKUP(B278,'Base stats'!B:B,'Base stats'!E:E),Groups!A:A,Groups!AJ:AJ)="Mammal")),Animals!AO278*1.75*IF(AW278="true",1.5,1),IF(AO278&lt;0.5,Animals!AO278*0.5,Animals!AO278)),IF(AO278&gt;2,0.5,IF(AO278&gt;0.5,0.25,0.1))),"No")</f>
        <v>No</v>
      </c>
      <c r="BL278" s="2">
        <f t="shared" si="31"/>
        <v>1</v>
      </c>
      <c r="BM278" s="25" t="str">
        <f>IF(_xlfn.XLOOKUP(B278,'Base stats'!B:B,'Base stats'!AN:AN)="Standard","No",MROUND((_xlfn.XLOOKUP(B278,'Base stats'!B:B,'Base stats'!AN:AN)/3.6)/I278,0.1))</f>
        <v>No</v>
      </c>
      <c r="BN278" s="25" t="str">
        <f t="shared" si="32"/>
        <v>false</v>
      </c>
      <c r="BO278" s="25" t="str">
        <f>IF(AND(OR(_xlfn.XLOOKUP(B278,'Base stats'!B:B,'Base stats'!Y:Y)="Carnivore",_xlfn.XLOOKUP(B278,'Base stats'!B:B,'Base stats'!Y:Y)="Omnivore",_xlfn.XLOOKUP(B278,'Base stats'!B:B,'Base stats'!Y:Y)="OmnivoreRough"),_xlfn.XLOOKUP(_xlfn.XLOOKUP(B278,'Base stats'!B:B,'Base stats'!E:E),Groups!A:A,Groups!AT:AT)=1),"true","false")</f>
        <v>false</v>
      </c>
      <c r="BP278" s="25" t="str" cm="1">
        <f t="array" ref="BP278">IF(
  _xlfn.TEXTJOIN(", ",TRUE,
    IF(AND(BJ278="true",AO278&gt;0.5,BI278&lt;&gt;"None"),"AttackTarget",""),
    IF(AND(_xlfn.XLOOKUP(_xlfn.XLOOKUP(B278,'Base stats'!B:B,'Base stats'!E:E),Groups!A:A,Groups!AJ:AJ="Mammal"),OR(_xlfn.XLOOKUP(B278,'Base stats'!B:B,'Base stats'!Y:Y)="Omnivore",_xlfn.XLOOKUP(B278,'Base stats'!B:B,'Base stats'!Y:Y)="OmnivoreRough")),"Forage",""),
    IF(BG278&lt;=36,"Comfort",""),
    IF(_xlfn.XLOOKUP(B278,'Base stats'!B:B,'Base stats'!AE:AE)&lt;&gt;"No",_xlfn.XLOOKUP(B278,'Base stats'!B:B,'Base stats'!AE:AE),"")
  ) = "",
  "No",
  _xlfn.TEXTJOIN(", ",TRUE,
    IF(AND(BJ278="true",AO278&gt;0.5,BI278&lt;&gt;"None"),"AttackTarget",""),
    IF(AND(_xlfn.XLOOKUP(_xlfn.XLOOKUP(B278,'Base stats'!B:B,'Base stats'!E:E),Groups!A:A,Groups!AJ:AJ="Mammal"),OR(_xlfn.XLOOKUP(B278,'Base stats'!B:B,'Base stats'!Y:Y)="Omnivore",_xlfn.XLOOKUP(B278,'Base stats'!B:B,'Base stats'!Y:Y)="OmnivoreRough")),"Forage",""),
    IF(BG278&lt;=36,"Comfort",""),
    IF(_xlfn.XLOOKUP(B278,'Base stats'!B:B,'Base stats'!AE:AE)&lt;&gt;"No",_xlfn.XLOOKUP(B278,'Base stats'!B:B,'Base stats'!AE:AE),"")
  )
)</f>
        <v>No</v>
      </c>
      <c r="BQ278" s="25" t="str">
        <f>IF(
   AND(
      'Base stats'!AN278="Standard",_xlfn.XLOOKUP(_xlfn.XLOOKUP(B278,'Base stats'!B:B,'Base stats'!E:E),Groups!A:A,Groups!AU:AU)=0,
      OR(
      BO278="True"
      )
   ),
   10,
   IF(
       OR(BM278&lt;&gt;"No",_xlfn.XLOOKUP(_xlfn.XLOOKUP(B278,'Base stats'!B:B,'Base stats'!E:E),Groups!A:A,Groups!AU:AU)=1),
      1,
      "No"
   )
)</f>
        <v>No</v>
      </c>
      <c r="BR278" s="9">
        <f>MROUND((1 + ((0.2*IF(OR(Q278="No",R278="No",R278=0),0,Q278/R278)
+IF(OR(V278="No",S278="No",T278="No"),0,S278/T278*(LEN(V278)-LEN(SUBSTITUTE(V278,",",""))+1))
+IF(OR(X278="No",Y278="No"),0,X278/Y278)
+IF(OR(AD278="No",AE278="No"),0,AD278/AE278)
+IF(OR(AL278="No",AI278="No",AJ278="No"),0,AI278/AJ278*(LEN(AL278)-LEN(SUBSTITUTE(AL278,",",""))+1))
)/(0.2*IF(OR(Q278="No",R278="No",R278=0),0,1)
+IF(OR(V278="No",S278="No",T278="No"),0,LEN(V278)-LEN(SUBSTITUTE(V278,",",""))+1)
+IF(OR(X278="No",Y278="No"),0,1)
+IF(OR(AD278="No",AE278="No"),0,1)
+IF(OR(AL278="No",AI278="No",AJ278="No"),0,LEN(AL278)-LEN(SUBSTITUTE(AL278,",",""))+1))*62%)* 2)*(1 + (AP278 / (IF(_xlfn.XLOOKUP(_xlfn.XLOOKUP(B278,'Base stats'!B:B,'Base stats'!E:E),Groups!A:A,Groups!AJ:AJ)="Photonozoa",0.3,1)) + _xlfn.XLOOKUP(B278,'Base stats'!B:B,'Base stats'!AV:AV) * 1.8) * 2) * 2.5 + 10 + I278 * 2,5)+IF(_xlfn.XLOOKUP(B278,'Base stats'!B:B,'Base stats'!AK:AK)=1,50,0)</f>
        <v>7345</v>
      </c>
      <c r="BS278" s="8">
        <f t="shared" si="33"/>
        <v>4.1000000000000005</v>
      </c>
      <c r="BT278" s="8" t="str">
        <f>_xlfn.XLOOKUP(B278,'Base stats'!B:B,'Base stats'!AF:AF)</f>
        <v>No</v>
      </c>
      <c r="BU278" s="2" t="str">
        <f>IF(AND(J278&lt;=0.95,OR(_xlfn.XLOOKUP(B278,'Base stats'!B:B,'Base stats'!AK:AK)=1,_xlfn.XLOOKUP(B278,'Base stats'!B:B,'Base stats'!Y:Y)="Carnivore",_xlfn.XLOOKUP(B278,'Base stats'!B:B,'Base stats'!Y:Y)="Omnivore",BE278&gt;0.1)),"true","false")</f>
        <v>false</v>
      </c>
      <c r="BV278" s="2" t="str">
        <f>IF(_xlfn.XLOOKUP(B278,'Base stats'!B:B,'Base stats'!AI:AI)=1,"true","false")</f>
        <v>false</v>
      </c>
      <c r="BW278" s="25" t="str">
        <f>IF(E278="BaseInsect","AnimalInsect",
IF(J278&gt;0.95,"AnimalExotic",
_xlfn.TEXTJOIN(", ",TRUE,
IF(OR(_xlfn.XLOOKUP(B278,'Base stats'!B:B,'Base stats'!AM:AM)=1,AND(_xlfn.XLOOKUP(B278,'Base stats'!B:B,'Base stats'!O:O)=0,_xlfn.XLOOKUP(_xlfn.XLOOKUP(B278,'Base stats'!B:B,'Base stats'!E:E),Groups!A:A,Groups!B:B)&gt;0)),"AnimalUncommon","AnimalCommon"),
IF(AND(_xlfn.XLOOKUP(B278,'Base stats'!B:B,'Base stats'!O:O)=2,_xlfn.XLOOKUP(_xlfn.XLOOKUP(B278,'Base stats'!B:B,'Base stats'!E:E),Groups!A:A,Groups!D:D)=0),"AnimalPet",IF(AND(_xlfn.XLOOKUP(B278,'Base stats'!B:B,'Base stats'!O:O)&lt;&gt;0,_xlfn.XLOOKUP(_xlfn.XLOOKUP(B278,'Base stats'!B:B,'Base stats'!E:E),Groups!A:A,Groups!D:D)&lt;&gt;0),"AnimalFarm","")),
IF(OR(_xlfn.XLOOKUP(B278,'Base stats'!B:B,'Base stats'!AK:AK)=1,AND(BI278&lt;&gt;"None",BR278&gt;=60),ISNUMBER(SEARCH("Attack target",BP278))),"AnimalFighter","")
)))</f>
        <v>AnimalExotic</v>
      </c>
      <c r="BX278" s="25" t="str">
        <f>IF(G278="None",TRIM(
SUBSTITUTE(
IF(COUNTIF(Biomes!B$2:B$259,"="&amp;$C278)&gt;0,Biomes!B$1&amp;", ","")&amp;
IF(COUNTIF(Biomes!C$2:C$259,"="&amp;$C278)&gt;0,Biomes!C$1&amp;", ","")&amp;
IF(COUNTIF(Biomes!D$2:D$259,"="&amp;$C278)&gt;0,Biomes!D$1&amp;", ","")&amp;
IF(COUNTIF(Biomes!F$2:F$259,"="&amp;$C278)&gt;0,Biomes!F$1&amp;", ","")&amp;
IF(COUNTIF(Biomes!G$2:G$259,"="&amp;$C278)&gt;0,Biomes!G$1&amp;", ","")&amp;
IF(COUNTIF(Biomes!H$2:H$259,"="&amp;$C278)&gt;0,Biomes!H$1&amp;", ","")&amp;
IF(COUNTIF(Biomes!I$2:I$259,"="&amp;$C278)&gt;0,Biomes!I$1&amp;", ","")&amp;
IF(COUNTIF(Biomes!J$2:J$259,"="&amp;$C278)&gt;0,Biomes!J$1&amp;", ","")&amp;
IF(COUNTIF(Biomes!M$2:M$259,"="&amp;$C278)&gt;0,Biomes!M$1&amp;", ","")&amp;
IF(COUNTIF(Biomes!N$2:N$259,"="&amp;$C278)&gt;0,Biomes!N$1&amp;", ","")&amp;
IF(COUNTIF(Biomes!O$2:O$259,"="&amp;$C278)&gt;0,Biomes!O$1&amp;", ","")&amp;
IF(COUNTIF(Biomes!P$2:P$259,"="&amp;$C278)&gt;0,Biomes!P$1&amp;", ","")&amp;
IF(COUNTIF(Biomes!K$2:K$259,"="&amp;$C278)&gt;0,Biomes!K$1&amp;", ","")&amp;
IF(COUNTIF(Biomes!Q$3:Q$259,"="&amp;$C278)&gt;0,Biomes!Q$1&amp;", ","")&amp;
IF(COUNTIF(Biomes!L$2:L$259,"="&amp;$C278)&gt;0,Biomes!L$1&amp;", ","")&amp;
IF(COUNTIF(Biomes!E$2:E$259,"="&amp;$C278)&gt;0,Biomes!E$1&amp;", ","")&amp;IF(COUNTIF(Biomes!S$2:S$259,"="&amp;$C278)&gt;0,Biomes!S$1&amp;", ","")&amp;
IF(COUNTIF(Biomes!R$2:R$259,"="&amp;$C278)&gt;0,Biomes!R$1&amp;", ",""),", ","")
),_xlfn.XLOOKUP(B278,B:B,BX:BX))</f>
        <v/>
      </c>
      <c r="BY278" s="25" t="str">
        <f>IF(_xlfn.XLOOKUP(B278,'Base stats'!B:B,'Base stats'!AJ:AJ)=1,"true","false")</f>
        <v>false</v>
      </c>
      <c r="BZ278" s="25">
        <f>IF(_xlfn.XLOOKUP(B278,'Base stats'!B:B,'Base stats'!N:N)=1,"No",MAX(0.001,MIN(MROUND(IF(AND(BJ278="True",CC278="False"),POWER(10,3.47*LOG10(_xlfn.XLOOKUP(B278,'Base stats'!B:B,'Base stats'!C:C)*1000)^-0.96),POWER(10,4.15*LOG10(_xlfn.XLOOKUP(B278,'Base stats'!B:B,'Base stats'!C:C)*1000)^-0.73))*IF(_xlfn.XLOOKUP(B278,'Base stats'!B:B,'Base stats'!AK:AK)=1,0.5,1)*IF(_xlfn.XLOOKUP(B278,'Base stats'!B:B,'Base stats'!AM:AM)=1,0.1,1)/100,IF(_xlfn.XLOOKUP(B278,'Base stats'!B:B,'Base stats'!AM:AM)=1,0.001,0.025)),0.5)))</f>
        <v>0.01</v>
      </c>
      <c r="CA278" s="25">
        <f>IF(P278="Standard","No",MAX(0.001,MIN(MROUND(IF(AND(BJ278="True",CC278="False"),POWER(10,3.47*LOG10(_xlfn.XLOOKUP(B278,'Base stats'!B:B,'Base stats'!C:C)*1000)^-0.96),POWER(10,4.15*LOG10(_xlfn.XLOOKUP(B278,'Base stats'!B:B,'Base stats'!C:C)*1000)^-0.73))*IF(_xlfn.XLOOKUP(B278,'Base stats'!B:B,'Base stats'!AM:AM)=1,0.1,1)*_xlfn.XLOOKUP(B278,'Base stats'!B:B,'Base stats'!R:R)/100,IF(_xlfn.XLOOKUP(B278,'Base stats'!B:B,'Base stats'!AM:AM)=1,0.001,0.025)),0.5)))</f>
        <v>0.01</v>
      </c>
      <c r="CB278" s="25" t="str">
        <f>IF(_xlfn.XLOOKUP(_xlfn.XLOOKUP(B278,'Base stats'!B:B,'Base stats'!E:E),Groups!A:A,Groups!AJ:AJ)="Mammal","True","False")</f>
        <v>True</v>
      </c>
      <c r="CC278" s="25" t="str">
        <f>IF(OR(_xlfn.XLOOKUP(_xlfn.XLOOKUP(B278,'Base stats'!B:B,'Base stats'!E:E),Groups!A:A,Groups!AJ:AJ)="Reptile",_xlfn.XLOOKUP(_xlfn.XLOOKUP(B278,'Base stats'!B:B,'Base stats'!E:E),Groups!A:A,Groups!AJ:AJ)="Amphibian",_xlfn.XLOOKUP(_xlfn.XLOOKUP(B278,'Base stats'!B:B,'Base stats'!E:E),Groups!A:A,Groups!AJ:AJ)="Invertebrate"),"True","False")</f>
        <v>False</v>
      </c>
      <c r="CD278" s="25" t="str">
        <f t="shared" si="34"/>
        <v>True</v>
      </c>
      <c r="CE278" s="25" t="str">
        <f>IF(_xlfn.XLOOKUP(_xlfn.XLOOKUP(B278,'Base stats'!B:B,'Base stats'!E:E),Groups!A:A,Groups!AX:AX),"True","False")</f>
        <v>True</v>
      </c>
      <c r="CF278" s="25" t="str">
        <f>IF(_xlfn.XLOOKUP(_xlfn.XLOOKUP(B278,'Base stats'!B:B,'Base stats'!E:E),Groups!A:A,Groups!AY:AY),"True","False")</f>
        <v>True</v>
      </c>
      <c r="CG278" s="25" t="str">
        <f>IF(_xlfn.XLOOKUP(_xlfn.XLOOKUP(B278,'Base stats'!B:B,'Base stats'!E:E),Groups!A:A,Groups!AW:AW),"True","False")</f>
        <v>True</v>
      </c>
      <c r="CH278" s="25" t="str">
        <f>IF(
OR(
_xlfn.XLOOKUP(_xlfn.XLOOKUP(B278,'Base stats'!B:B,'Base stats'!E:E),Groups!A:A,Groups!AZ:AZ)=0,
AND(
_xlfn.XLOOKUP(B278,'Base stats'!B:B,'Base stats'!Y:Y)&lt;&gt;"Carnivore",
_xlfn.XLOOKUP(B278,'Base stats'!B:B,'Base stats'!Y:Y)&lt;&gt;"Omnivore",
_xlfn.XLOOKUP(B278,'Base stats'!B:B,'Base stats'!Y:Y)&lt;&gt;"OmnivoreRough"
)
),
"No",
IF(
_xlfn.XLOOKUP(_xlfn.XLOOKUP(B278,'Base stats'!B:B,'Base stats'!E:E),Groups!A:A,Groups!AZ:AZ)=1,
"Flesh",
IF(
_xlfn.XLOOKUP(_xlfn.XLOOKUP(B278,'Base stats'!B:B,'Base stats'!E:E),Groups!A:A,Groups!AZ:AZ)=2,
"Bone",
""
)
)
)</f>
        <v>No</v>
      </c>
      <c r="CI278" s="25" t="str">
        <f>IF(_xlfn.XLOOKUP(_xlfn.XLOOKUP(B278,'Base stats'!B:B,'Base stats'!E:E),Groups!A:A,Groups!BB:BB),"True","False")</f>
        <v>True</v>
      </c>
      <c r="CJ278" s="25" t="str">
        <f>IF(_xlfn.XLOOKUP(_xlfn.XLOOKUP(B278,'Base stats'!B:B,'Base stats'!E:E),Groups!A:A,Groups!BA:BA),"True","False")</f>
        <v>False</v>
      </c>
    </row>
    <row r="279" spans="1:88" ht="16.5" thickTop="1" thickBot="1" x14ac:dyDescent="0.3">
      <c r="A279" s="26" t="s">
        <v>1466</v>
      </c>
      <c r="B279" s="6" t="str">
        <f>_xlfn.XLOOKUP(A279,'Base stats'!A:A,'Base stats'!B:B)</f>
        <v>Gallus titanicus (moribund)</v>
      </c>
      <c r="C279" s="28" t="s">
        <v>1467</v>
      </c>
      <c r="D279" s="28" t="s">
        <v>1341</v>
      </c>
      <c r="E279" s="28" t="s">
        <v>673</v>
      </c>
      <c r="F279" s="28" t="s">
        <v>673</v>
      </c>
      <c r="G279" s="28" t="s">
        <v>673</v>
      </c>
      <c r="H279" s="2">
        <f>MROUND((
  (IF(AND(_xlfn.XLOOKUP(B279,'Base stats'!B:B,'Base stats'!AL:AL)=0,BI279="None",_xlfn.XLOOKUP(_xlfn.XLOOKUP(B279,'Base stats'!B:B,'Base stats'!E:E),Groups!A:A,Groups!B:B)=0), (18 + BR279 * 2.7) * 0.5,
    IF(AND(_xlfn.XLOOKUP(B279,'Base stats'!B:B,'Base stats'!AL:AL)=0,OR(AO279&lt;0.55,AND(BI279="Intermediate",_xlfn.XLOOKUP(_xlfn.XLOOKUP(B279,'Base stats'!B:B,'Base stats'!E:E),Groups!A:A,Groups!B:B)&lt;2))), (18 + BR279 * 2.7),
      IF(OR(BI279="Advanced",_xlfn.XLOOKUP(B279,'Base stats'!B:B,'Base stats'!AL:AL)=1,_xlfn.XLOOKUP(_xlfn.XLOOKUP(B279,'Base stats'!B:B,'Base stats'!E:E),Groups!A:A,Groups!B:B)=2), (18 + BR279 * 2.7) + 250, (18 + BR279 * 2.7))
    )
  ))
  + AO279 * 80
  + IF(COUNTIF(EggMilk!K$2:K$998, A279) &gt; 0, 125, 0)
  + IF(COUNTIF(EggMilk!P$2:P$998, A279) &gt; 0, 90, 0)
  + IF(COUNTIF(EggMilk!A$2:A$998, A279) &gt; 0, 90, 0)
)
* (0.8 + 0.4 * J279)
* 0.75,25)</f>
        <v>18600</v>
      </c>
      <c r="I279" s="2">
        <f>MROUND(ROUNDDOWN(_xlfn.XLOOKUP(B279,'Base stats'!B:B,'Base stats'!L:L)/3.6/(23.3/11),1),0.5)</f>
        <v>4.5</v>
      </c>
      <c r="J279" s="2">
        <f>IF(OR(_xlfn.XLOOKUP(B279,'Base stats'!B:B,'Base stats'!AB:AB)=1,_xlfn.XLOOKUP(_xlfn.XLOOKUP(B279,'Base stats'!B:B,'Base stats'!E:E),Groups!A:A,Groups!C:C)="Untamable"),1,IF(_xlfn.XLOOKUP(B279,'Base stats'!B:B,'Base stats'!AL:AL)=1,0.99,MIN(MROUND((1-0.6282*EXP(-0.459*AO279))*_xlfn.XLOOKUP(_xlfn.XLOOKUP(B279,'Base stats'!B:B,'Base stats'!E:E),Groups!A:A,Groups!C:C)*IF(_xlfn.XLOOKUP(B279,'Base stats'!B:B,'Base stats'!O:O)=1,0.5,IF(_xlfn.XLOOKUP(B279,'Base stats'!B:B,'Base stats'!O:O)=2,0,1)),0.05),IF(AO279&gt;3.5,0.985,0.95))))</f>
        <v>1</v>
      </c>
      <c r="K279" s="2">
        <f>ROUNDUP(AO279*_xlfn.XLOOKUP(_xlfn.XLOOKUP(B279,'Base stats'!B:B,'Base stats'!E:E),Groups!A:A,Groups!E:E),0)</f>
        <v>35</v>
      </c>
      <c r="L279" s="2">
        <f>IF(OR(_xlfn.XLOOKUP(_xlfn.XLOOKUP(B279,'Base stats'!B:B,'Base stats'!E:E),Groups!A:A,Groups!F:F)=2,ISNUMBER(SEARCH("SeaIce",BX279)),ISNUMBER(SEARCH("IceSheet",BX279))),-50,IF(OR(ISNUMBER(SEARCH("GlacialPlain",BX279)),ISNUMBER(SEARCH("Tundra",BX279))),-40,IF(OR(ISNUMBER(SEARCH("Alpine",BX279)),ISNUMBER(SEARCH("BorealForest",BX279)),ISNUMBER(SEARCH("ColdBog",BX279))),-30,IF(OR(ISNUMBER(SEARCH("TemperateForest",BX279)),ISNUMBER(SEARCH("TemperateSwamp",BX279))),-20,IF(_xlfn.XLOOKUP(_xlfn.XLOOKUP(B279,'Base stats'!B:B,'Base stats'!E:E),Groups!A:A,Groups!F:F)=1,-15,IF(OR(ISNUMBER(SEARCH("Desert",BX279)),ISNUMBER(SEARCH("ExtremeDesert",BX279))),-10,IF(OR(ISNUMBER(SEARCH("Grasslands",BX279)),ISNUMBER(SEARCH("TropicalRainforest",BX279)),ISNUMBER(SEARCH("TropicalSwamp",BX279))),10,0)))))))-IF(CC279="False",MIN(IFERROR(MAX(MROUND(LOG10(_xlfn.XLOOKUP(B279,'Base stats'!B:B,'Base stats'!C:C)^(2/3))*10,5),5),5),30))-_xlfn.XLOOKUP(B279,'Base stats'!B:B,'Base stats'!P:P)+IF(CC279="True",5,0)</f>
        <v>-75</v>
      </c>
      <c r="M279" s="2">
        <f>IF(OR(_xlfn.XLOOKUP(_xlfn.XLOOKUP(B279,'Base stats'!B:B,'Base stats'!E:E),Groups!A:A,Groups!G:G)=2,ISNUMBER(SEARCH("Desert",BX279)),ISNUMBER(SEARCH("ExtremeDesert",BX279)),ISNUMBER(SEARCH("LavaField",BX279))),50,IF(ISNUMBER(SEARCH("Grasslands",BX279)),45,IF(OR(_xlfn.XLOOKUP(_xlfn.XLOOKUP(B279,'Base stats'!B:B,'Base stats'!E:E),Groups!A:A,Groups!G:G)=1,ISNUMBER(SEARCH("TropicalRainforest",BX279)),ISNUMBER(SEARCH("TropicalSwamp",BX279))),40,IF(OR(ISNUMBER(SEARCH("TemperateForest",BX279)),ISNUMBER(SEARCH("TemperateSwamp",BX279))),35,IF(OR(ISNUMBER(SEARCH("Alpine",BX279)),ISNUMBER(SEARCH("BorealForest",BX279)),ISNUMBER(SEARCH("ColdBog",BX279))),30,IF(ISNUMBER(OR(ISNUMBER(SEARCH("GlacialPlain",BX279)),SEARCH("Tundra",BX279))),25,IF(OR(ISNUMBER(SEARCH("SeaIce",BX279)),ISNUMBER(SEARCH("IceSheet",BX279)),ISNUMBER(SEARCH("TropicalSwamp",BX279))),10,35)))))))+_xlfn.XLOOKUP(B279,'Base stats'!B:B,'Base stats'!Q:Q)</f>
        <v>35</v>
      </c>
      <c r="N279" s="8">
        <f>IF(
_xlfn.XLOOKUP(
_xlfn.XLOOKUP(B279,'Base stats'!B:B,'Base stats'!E:E),
Groups!A:A,
Groups!L:L
)=1,
MIN(
MROUND(
IF(
_xlfn.XLOOKUP(B279,'Animals CE'!B:B,'Animals CE'!Z:Z)&lt;=1.5,
_xlfn.XLOOKUP(B279,'Animals CE'!B:B,'Animals CE'!Z:Z)/2+0.05,
0.8+
(_xlfn.XLOOKUP(B279,'Animals CE'!B:B,'Animals CE'!Z:Z)-1.5)
*0.02
),
0.05
),
200%
),
"No"
)</f>
        <v>1</v>
      </c>
      <c r="O279" s="8">
        <f>IF(
_xlfn.XLOOKUP(
_xlfn.XLOOKUP(B279,'Base stats'!B:B,'Base stats'!E:E),
Groups!A:A,
Groups!L:L
)=1,
MIN(
MROUND(
IF(
_xlfn.XLOOKUP(B279,'Animals CE'!B:B,'Animals CE'!AA:AA)&lt;=1.5,
_xlfn.XLOOKUP(B279,'Animals CE'!B:B,'Animals CE'!AA:AA)/2+0.05,
0.8+
(_xlfn.XLOOKUP(B279,'Animals CE'!B:B,'Animals CE'!AA:AA)-1.5)
*0.02
),
0.05
),
200%
),
"No"
)</f>
        <v>1.1000000000000001</v>
      </c>
      <c r="P279" s="2">
        <f>_xlfn.XLOOKUP(B279,'Base stats'!B:B,'Base stats'!R:R)</f>
        <v>1</v>
      </c>
      <c r="Q279" s="13">
        <f>MROUND((LOG10(_xlfn.XLOOKUP(B279,'Base stats'!B:B,'Base stats'!AR:AR))*(AO279^0.5)+(_xlfn.XLOOKUP(B279,'Base stats'!B:B,'Base stats'!AR:AR)/1000)^(2/3)+_xlfn.XLOOKUP(B279,'Base stats'!B:B,'Base stats'!BA:BA)/2)+0.5,0.5)</f>
        <v>55</v>
      </c>
      <c r="R279" s="7">
        <f>IF(Q279="No","No",MAX(1,MROUND(_xlfn.XLOOKUP(B279,'Base stats'!B:B,'Base stats'!C:C)^0.165,0.05)))</f>
        <v>4.75</v>
      </c>
      <c r="S279" s="13" t="str">
        <f>IF(_xlfn.XLOOKUP(_xlfn.XLOOKUP(B279,'Base stats'!B:B,'Base stats'!E:E),Groups!A:A,Groups!P:P)=0,"No",MROUND((LOG10(_xlfn.XLOOKUP(B279,'Base stats'!B:B,'Base stats'!AS:AS))*(AO279^0.5)+(_xlfn.XLOOKUP(B279,'Base stats'!B:B,'Base stats'!AS:AS)/1000)^(2/3)+_xlfn.XLOOKUP(B279,'Base stats'!B:B,'Base stats'!BA:BA))+_xlfn.XLOOKUP(B279,'Base stats'!B:B,'Base stats'!AY:AY)+0.5,0.5))</f>
        <v>No</v>
      </c>
      <c r="T279" s="7" t="str">
        <f>IF(S279="No","No",MAX(_xlfn.XLOOKUP(_xlfn.XLOOKUP(B279,'Base stats'!B:B,'Base stats'!E:E),Groups!A:A,Groups!Q:Q),MROUND(_xlfn.XLOOKUP(_xlfn.XLOOKUP(B279,'Base stats'!B:B,'Base stats'!E:E),Groups!A:A,Groups!Q:Q)*_xlfn.XLOOKUP(B279,'Base stats'!B:B,'Base stats'!C:C)^0.165,0.05)))</f>
        <v>No</v>
      </c>
      <c r="U279" s="7" t="str">
        <f>IF(S279="No","No",_xlfn.XLOOKUP(_xlfn.XLOOKUP(B279,'Base stats'!B:B,'Base stats'!E:E),Groups!A:A,Groups!R:R))</f>
        <v>No</v>
      </c>
      <c r="V279" s="7" t="str">
        <f>IF(S279="No","No",_xlfn.XLOOKUP(_xlfn.XLOOKUP(B279,'Base stats'!B:B,'Base stats'!E:E),Groups!A:A,Groups!S:S))</f>
        <v>No</v>
      </c>
      <c r="W279" s="7" t="str">
        <f>IF(S279="No","No",_xlfn.XLOOKUP(_xlfn.XLOOKUP(B279,'Base stats'!B:B,'Base stats'!E:E),Groups!A:A,Groups!T:T))</f>
        <v>No</v>
      </c>
      <c r="X279" s="13">
        <f>IF(_xlfn.XLOOKUP(B279,'Base stats'!B:B,'Base stats'!W:W)="No","No",MROUND((LOG10(_xlfn.XLOOKUP(B279,'Base stats'!B:B,'Base stats'!AU:AU))*(AO279^0.5)+(_xlfn.XLOOKUP(B279,'Base stats'!B:B,'Base stats'!AU:AU)/1000)^(2/3)+_xlfn.XLOOKUP(B279,'Base stats'!B:B,'Base stats'!AZ:AZ))+0.5+IF(_xlfn.XLOOKUP(_xlfn.XLOOKUP(B279,'Base stats'!B:B,'Base stats'!E:E),Groups!A:A,Groups!U:U)&lt;&gt;3,_xlfn.XLOOKUP(B279,'Base stats'!B:B,'Base stats'!BA:BA),0),0.5))</f>
        <v>76</v>
      </c>
      <c r="Y279" s="7">
        <f>IF(X279="No","No",MAX(_xlfn.XLOOKUP(_xlfn.XLOOKUP(B279,'Base stats'!B:B,'Base stats'!E:E),Groups!A:A,Groups!V:V),MROUND(_xlfn.XLOOKUP(_xlfn.XLOOKUP(B279,'Base stats'!B:B,'Base stats'!E:E),Groups!A:A,Groups!V:V)*_xlfn.XLOOKUP(B279,'Base stats'!B:B,'Base stats'!C:C)^0.165,0.05)))</f>
        <v>2.85</v>
      </c>
      <c r="Z279" s="7" t="str">
        <f>IF(X279="No","No",_xlfn.XLOOKUP(_xlfn.XLOOKUP(B279,'Base stats'!B:B,'Base stats'!E:E),Groups!A:A,Groups!W:W))</f>
        <v>HeadAttackTool</v>
      </c>
      <c r="AA279" s="7" t="str">
        <f>IF(X279="No","No",_xlfn.XLOOKUP(_xlfn.XLOOKUP(B279,'Base stats'!B:B,'Base stats'!E:E),Groups!A:A,Groups!X:X))</f>
        <v>horn</v>
      </c>
      <c r="AB279" s="7" t="str">
        <f>IF(X279="No","No",_xlfn.XLOOKUP(_xlfn.XLOOKUP(B279,'Base stats'!B:B,'Base stats'!E:E),Groups!A:A,Groups!Y:Y))</f>
        <v>Scratch</v>
      </c>
      <c r="AC279" s="7" t="str">
        <f>_xlfn.XLOOKUP(Animals!B279,'Base stats'!B:B,'Base stats'!X:X)</f>
        <v>False</v>
      </c>
      <c r="AD279" s="13">
        <f>IF(_xlfn.XLOOKUP(B279,'Base stats'!B:B,'Base stats'!AT:AT)="No","No",MROUND((LOG10(_xlfn.XLOOKUP(B279,'Base stats'!B:B,'Base stats'!AT:AT))*(AO279^0.75)+(_xlfn.XLOOKUP(B279,'Base stats'!B:B,'Base stats'!AT:AT)/1000)^(2/3)+_xlfn.XLOOKUP(B279,'Base stats'!B:B,'Base stats'!AX:AX)+_xlfn.XLOOKUP(B279,'Base stats'!B:B,'Base stats'!BA:BA))+0.5,0.5))</f>
        <v>66.5</v>
      </c>
      <c r="AE279" s="7">
        <f>IF(AD279="No","No",MAX(_xlfn.XLOOKUP(_xlfn.XLOOKUP(B279,'Base stats'!B:B,'Base stats'!E:E),Groups!A:A,Groups!Z:Z),MROUND(_xlfn.XLOOKUP(_xlfn.XLOOKUP(B279,'Base stats'!B:B,'Base stats'!E:E),Groups!A:A,Groups!Z:Z)*_xlfn.XLOOKUP(B279,'Base stats'!B:B,'Base stats'!C:C)^0.165,0.05)))</f>
        <v>4.05</v>
      </c>
      <c r="AF279" s="7" t="str">
        <f>IF(AD279="No","No",_xlfn.XLOOKUP(_xlfn.XLOOKUP(B279,'Base stats'!B:B,'Base stats'!E:E),Groups!A:A,Groups!AA:AA))</f>
        <v>Teeth</v>
      </c>
      <c r="AG279" s="7" t="str">
        <f>IF(AD279="No","No",_xlfn.XLOOKUP(_xlfn.XLOOKUP(B279,'Base stats'!B:B,'Base stats'!E:E),Groups!A:A,Groups!AB:AB))</f>
        <v>teeth</v>
      </c>
      <c r="AH279" s="7" t="str">
        <f>IF(AD279="No","No",_xlfn.XLOOKUP(_xlfn.XLOOKUP(B279,'Base stats'!B:B,'Base stats'!E:E),Groups!A:A,Groups!AC:AC))</f>
        <v>Bite</v>
      </c>
      <c r="AI279" s="13">
        <f>IF(_xlfn.XLOOKUP(_xlfn.XLOOKUP(B279,'Base stats'!B:B,'Base stats'!E:E),Groups!A:A,Groups!AD:AD)=0,"No",MROUND((LOG10(_xlfn.XLOOKUP(B279,'Base stats'!B:B,'Base stats'!AS:AS))*(AO279^0.75)+(_xlfn.XLOOKUP(B279,'Base stats'!B:B,'Base stats'!AS:AS)/1000)^(2/3)+_xlfn.XLOOKUP(B279,'Base stats'!B:B,'Base stats'!AY:AY)+_xlfn.XLOOKUP(B279,'Base stats'!B:B,'Base stats'!BA:BA))+0.5,0.5))</f>
        <v>77</v>
      </c>
      <c r="AJ279" s="7">
        <f>IF(AI279="No","No",MAX(_xlfn.XLOOKUP(_xlfn.XLOOKUP(B279,'Base stats'!B:B,'Base stats'!E:E),Groups!A:A,Groups!AE:AE),MROUND(_xlfn.XLOOKUP(_xlfn.XLOOKUP(B279,'Base stats'!B:B,'Base stats'!E:E),Groups!A:A,Groups!AE:AE)*IF(_xlfn.XLOOKUP(_xlfn.XLOOKUP(B279,'Base stats'!B:B,'Base stats'!E:E),Groups!A:A,Groups!AJ:AJ)="Photonozoa",0.6,1)*_xlfn.XLOOKUP(B279,'Base stats'!B:B,'Base stats'!C:C)^0.165,0.05)))</f>
        <v>3.1</v>
      </c>
      <c r="AK279" s="7" t="str">
        <f>IF(AI279="No","No",_xlfn.XLOOKUP(_xlfn.XLOOKUP(B279,'Base stats'!B:B,'Base stats'!E:E),Groups!A:A,Groups!AF:AF))</f>
        <v>FrontLeftPaw, FrontRightPaw</v>
      </c>
      <c r="AL279" s="7" t="str">
        <f>IF(AI279="No","No",_xlfn.XLOOKUP(_xlfn.XLOOKUP(B279,'Base stats'!B:B,'Base stats'!E:E),Groups!A:A,Groups!AG:AG))</f>
        <v>left claw, right claw</v>
      </c>
      <c r="AM279" s="7" t="str">
        <f>IF(AI279="No","No",_xlfn.XLOOKUP(_xlfn.XLOOKUP(B279,'Base stats'!B:B,'Base stats'!E:E),Groups!A:A,Groups!AH:AH))</f>
        <v>Scratch</v>
      </c>
      <c r="AN279" s="2" t="str">
        <f t="shared" si="28"/>
        <v>No</v>
      </c>
      <c r="AO279" s="2">
        <f>MROUND(IF(AND(_xlfn.XLOOKUP(B279,'Base stats'!B:B,'Base stats'!C:C)&gt;=0.5,_xlfn.XLOOKUP(B279,'Base stats'!B:B,'Base stats'!C:C)&lt;=0.8),
IF(_xlfn.XLOOKUP(B279,'Base stats'!B:B,'Base stats'!C:C)&lt;0.1,0.05,IF(_xlfn.XLOOKUP(B279,'Base stats'!B:B,'Base stats'!C:C)&lt;=70,(_xlfn.XLOOKUP(B279,'Base stats'!B:B,'Base stats'!C:C)/70)^0.426489913056526,IF(_xlfn.XLOOKUP(B279,'Base stats'!B:B,'Base stats'!C:C)&lt;=400,(_xlfn.XLOOKUP(B279,'Base stats'!B:B,'Base stats'!C:C)/70)^0.572811455315093,IF(_xlfn.XLOOKUP(B279,'Base stats'!B:B,'Base stats'!C:C)&lt;=2000,2.71391647193063*(_xlfn.XLOOKUP(B279,'Base stats'!B:B,'Base stats'!C:C)/400)^0.252459582904293,3.74314280240376*(_xlfn.XLOOKUP(B279,'Base stats'!B:B,'Base stats'!C:C)/2000)^0.357012633876913)))),
IF(_xlfn.XLOOKUP(B279,'Base stats'!B:B,'Base stats'!C:C)&lt;0.1,0.05,IF(_xlfn.XLOOKUP(B279,'Base stats'!B:B,'Base stats'!C:C)&lt;0.4,0.1,IF(_xlfn.XLOOKUP(B279,'Base stats'!B:B,'Base stats'!C:C)&lt;=70,(_xlfn.XLOOKUP(B279,'Base stats'!B:B,'Base stats'!C:C)/70)^0.445823913056526,IF(_xlfn.XLOOKUP(B279,'Base stats'!B:B,'Base stats'!C:C)&lt;=400,(_xlfn.XLOOKUP(B279,'Base stats'!B:B,'Base stats'!C:C)/70)^0.572811455315093,IF(_xlfn.XLOOKUP(B279,'Base stats'!B:B,'Base stats'!C:C)&lt;=2000,2.71391647193063*(_xlfn.XLOOKUP(B279,'Base stats'!B:B,'Base stats'!C:C)/400)^0.252459582904293,3.74314280240376*(_xlfn.XLOOKUP(B279,'Base stats'!B:B,'Base stats'!C:C)/2000)^0.357012633876913)))))),
IF(_xlfn.XLOOKUP(B279,'Base stats'!B:B,'Base stats'!C:C)&lt;0.1,0.05,IF(_xlfn.XLOOKUP(B279,'Base stats'!B:B,'Base stats'!C:C)&lt;=100,0.05,IF(_xlfn.XLOOKUP(B279,'Base stats'!B:B,'Base stats'!C:C)&lt;=250,0.1,IF(_xlfn.XLOOKUP(B279,'Base stats'!B:B,'Base stats'!C:C)&lt;=4000,0.25,0.5)))))</f>
        <v>7</v>
      </c>
      <c r="AP279" s="8">
        <f>MROUND(AO279*_xlfn.XLOOKUP(_xlfn.XLOOKUP(B279,'Base stats'!B:B,'Base stats'!E:E),Groups!A:A,Groups!AI:AI)*_xlfn.XLOOKUP(B279,'Base stats'!B:B,'Base stats'!Z:Z),0.05)</f>
        <v>48</v>
      </c>
      <c r="AQ279" s="8">
        <f>MAX(0.01,MROUND(IF(CC279="True",0.196*(AO279*100*1000)^0.889,IF(_xlfn.XLOOKUP(_xlfn.XLOOKUP(B279,'Base stats'!B:B,'Base stats'!E:E),Groups!A:A,Groups!AJ:AJ)="Bird",10.5*(AO279*100*1000)^0.681,4.82*(AO279*100*1000)^0.734))/(4.82*(1*100*1000)^0.734)/IF(AO279&lt;3.5,2,IF(AO279=3.5,1.5,1.25))*(1+0.132282374779864/(AO279^0.994035016789033+0.00905238001496948)),0.05))</f>
        <v>3.4000000000000004</v>
      </c>
      <c r="AR279" s="9">
        <f>IFERROR(MROUND(_xlfn.XLOOKUP(B279,'Base stats'!B:B,'Base stats'!H:H)/IF(_xlfn.XLOOKUP(B279,'Base stats'!B:B,'Base stats'!I:I)&lt;&gt;1,(122.5/70),1.2),IF(_xlfn.XLOOKUP(B279,'Base stats'!B:B,'Base stats'!H:H)&gt;=30,5,IF(_xlfn.XLOOKUP(B279,'Base stats'!B:B,'Base stats'!H:H)&gt;=15,3,IF(_xlfn.XLOOKUP(B279,'Base stats'!B:B,'Base stats'!H:H)&gt;=10,2,1)))),"Immortal")</f>
        <v>300</v>
      </c>
      <c r="AS279" s="35">
        <f>IFERROR(IF(OR(_xlfn.XLOOKUP(B279,'Base stats'!B:B,'Base stats'!F:F)="Atypical reproduction",_xlfn.XLOOKUP(B279,'Base stats'!B:B,'Base stats'!F:F)="Lay eggs"),"Lay eggs",MIN(20,MAX(5.5,ROUND(((_xlfn.XLOOKUP(B279,'Base stats'!B:B,'Base stats'!F:F)-25)*(14.5/615) + 5.5)*2,0)/2))),"Unknown")</f>
        <v>20</v>
      </c>
      <c r="AT279" s="8">
        <f>IF(_xlfn.XLOOKUP(B279,'Base stats'!B:B,'Base stats'!G:G)="Atypical reproduction","No",IFERROR(MAX(IF(_xlfn.XLOOKUP(B279,'Base stats'!B:B,'Base stats'!G:G)&lt;0.5,0.2,0.3),MROUND(_xlfn.XLOOKUP(B279,'Base stats'!B:B,'Base stats'!G:G)/(365/60),0.2)),"Unknown"))</f>
        <v>2.4000000000000004</v>
      </c>
      <c r="AU279" s="8">
        <f t="shared" si="29"/>
        <v>1.2000000000000002</v>
      </c>
      <c r="AV279" s="8">
        <f>IFERROR(IFERROR(MROUND(_xlfn.XLOOKUP(B279,'Base stats'!B:B,'Base stats'!J:J),0.1),"Lay eggs"),"Cannot breed")</f>
        <v>1</v>
      </c>
      <c r="AW279" s="2" t="str">
        <f t="shared" si="30"/>
        <v>false</v>
      </c>
      <c r="AX279" s="2" t="str">
        <f>IF(_xlfn.XLOOKUP(_xlfn.XLOOKUP(Animals!B279,'Base stats'!B:B,'Base stats'!E:E),Groups!A:A,Groups!AK:AK)=1,"true","false")</f>
        <v>false</v>
      </c>
      <c r="AY279" s="25" t="str">
        <f>IF(_xlfn.XLOOKUP(B279,'Base stats'!B:B,'Base stats'!Y:Y)="Liquor","Liquor, CarnivoreAnimalStrict",IF(AND(_xlfn.XLOOKUP(B279,'Base stats'!B:B,'Base stats'!Y:Y)="Carnivore",_xlfn.XLOOKUP(_xlfn.XLOOKUP(B279,'Base stats'!B:B,'Base stats'!E:E),Groups!A:A,Groups!AJ:AJ)="Photonozoa"),"CarnivoreAnimalStrict, OvivoreAnimal",IF(_xlfn.XLOOKUP(B279,'Base stats'!B:B,'Base stats'!Y:Y)="Carnivore","CarnivoreAnimal, OvivoreAnimal",IF(_xlfn.XLOOKUP(B279,'Base stats'!B:B,'Base stats'!Y:Y)="Dendrovore","VegetarianRoughAnimal, DendrovoreAnimal",IF(_xlfn.XLOOKUP(B279,'Base stats'!B:B,'Base stats'!Y:Y)="Herbivore","VegetarianRoughAnimal",IF(_xlfn.XLOOKUP(B279,'Base stats'!B:B,'Base stats'!Y:Y)="OmnivoreRough","OmnivoreRoughAnimal, OvivoreAnimal","OmnivoreAnimal, OvivoreAnimal"))))))</f>
        <v>VegetarianRoughAnimal, DendrovoreAnimal</v>
      </c>
      <c r="AZ279" s="2" t="str">
        <f>IF(_xlfn.XLOOKUP(_xlfn.XLOOKUP(B279,'Base stats'!B:B,'Base stats'!E:E),Groups!A:A,Groups!D:D)=1,MROUND((1-J279)*5+1,2)*IF(J279&lt;=0.4,2,1),"No")</f>
        <v>No</v>
      </c>
      <c r="BA279" s="2" t="str">
        <f>IF(AND(_xlfn.XLOOKUP(B279,'Base stats'!B:B,'Base stats'!AH:AH)="&lt;li&gt;Seal&lt;/li&gt;",G279="Odyssey"),"&lt;li&gt;AEXP_Seal&lt;/li&gt;",_xlfn.XLOOKUP(B279,'Base stats'!B:B,'Base stats'!AH:AH))</f>
        <v>&lt;li&gt;AA_Gallatross&lt;/li&gt;</v>
      </c>
      <c r="BB279" s="2" t="str">
        <f>_xlfn.XLOOKUP(B279,'Base stats'!B:B,'Base stats'!AG:AG)</f>
        <v>Leather_Gallatross</v>
      </c>
      <c r="BC279" s="23" t="str">
        <f>_xlfn.XLOOKUP(_xlfn.XLOOKUP(B279,'Base stats'!B:B,'Base stats'!E:E),Groups!A:A,Groups!AL:AL)</f>
        <v>QuadrupedAnimalWithPawsAndHorn</v>
      </c>
      <c r="BD279" s="23">
        <f>MIN(1,MROUND(IF(AND(AO279&lt;0.5,_xlfn.XLOOKUP(B279,'Base stats'!B:B,'Base stats'!AA:AA)=0),0,IF(OR(_xlfn.XLOOKUP(Animals!B279,'Base stats'!B:B,'Base stats'!O:O)=2,_xlfn.XLOOKUP(_xlfn.XLOOKUP(B279,'Base stats'!B:B,'Base stats'!E:E),Groups!A:A,Groups!AN:AN)=0),0,_xlfn.XLOOKUP(_xlfn.XLOOKUP(B279,'Base stats'!B:B,'Base stats'!E:E),Groups!A:A,Groups!AN:AN)/IF(_xlfn.XLOOKUP(Animals!B279,'Base stats'!B:B,'Base stats'!O:O)=1,2,1)))+_xlfn.XLOOKUP(B279,'Base stats'!B:B,'Base stats'!AC:AC),0.005))</f>
        <v>0.1</v>
      </c>
      <c r="BE279" s="23">
        <f>MIN(1,MROUND(IF(AND(AO279&lt;0.5,_xlfn.XLOOKUP(B279,'Base stats'!B:B,'Base stats'!AA:AA)=0),0,IF(_xlfn.XLOOKUP(_xlfn.XLOOKUP(B279,'Base stats'!B:B,'Base stats'!E:E),Groups!A:A,Groups!AO:AO)=0,0,_xlfn.XLOOKUP(_xlfn.XLOOKUP(B279,'Base stats'!B:B,'Base stats'!E:E),Groups!A:A,Groups!AO:AO)/IF(_xlfn.XLOOKUP(Animals!B279,'Base stats'!B:B,'Base stats'!O:O)=2,3,1)))+_xlfn.XLOOKUP(B279,'Base stats'!B:B,'Base stats'!AD:AD),0.005))</f>
        <v>1</v>
      </c>
      <c r="BF279" s="2" t="str">
        <f>IF(J279&gt;0.3,"No",_xlfn.XLOOKUP(_xlfn.XLOOKUP(Animals!B279,'Base stats'!B:B,'Base stats'!E:E),Groups!A:A,Groups!AP:AP))</f>
        <v>No</v>
      </c>
      <c r="BG279" s="2" t="str">
        <f>IF(AND(J279&lt;=0.65,_xlfn.XLOOKUP(_xlfn.XLOOKUP(Animals!B279,'Base stats'!B:B,'Base stats'!E:E),Groups!A:A,Groups!AP:AP)&lt;&gt;"No",_xlfn.XLOOKUP(_xlfn.XLOOKUP(B279,'Base stats'!B:B,'Base stats'!E:E),Groups!A:A,Groups!D:D)=0),MROUND((80/3)*IF(_xlfn.XLOOKUP(B279,'Base stats'!B:B,'Base stats'!O:O)=2,0.2,AO279) + 24*(1-IF(BF279="No",0,BF279)) + 16/3, 12),"No")</f>
        <v>No</v>
      </c>
      <c r="BH279" s="2">
        <f>IF(AND(_xlfn.XLOOKUP(_xlfn.XLOOKUP(B279,'Base stats'!B:B,'Base stats'!E:E),Groups!A:A,Groups!AQ:AQ)=1,AO279&lt;=0.35),8,12)</f>
        <v>12</v>
      </c>
      <c r="BI279" s="2" t="str">
        <f>IF(_xlfn.XLOOKUP(_xlfn.XLOOKUP(B279,'Base stats'!B:B,'Base stats'!E:E),Groups!A:A,Groups!D:D)=0,_xlfn.XLOOKUP(_xlfn.XLOOKUP(B279,'Base stats'!B:B,'Base stats'!E:E),Groups!A:A,Groups!AR:AR),"None")</f>
        <v>Advanced</v>
      </c>
      <c r="BJ279" s="2" t="str">
        <f>IF(AND(_xlfn.XLOOKUP(_xlfn.XLOOKUP(B279,'Base stats'!B:B,'Base stats'!E:E),Groups!A:A,Groups!AS:AS)=1,OR(_xlfn.XLOOKUP(B279,'Base stats'!B:B,'Base stats'!Y:Y)="Carnivore",_xlfn.XLOOKUP(B279,'Base stats'!B:B,'Base stats'!Y:Y)="Omnivore")),"true","false")</f>
        <v>false</v>
      </c>
      <c r="BK279" s="2" t="str">
        <f>IF(BJ279="true",MROUND(IF(AND(AO279&gt;0.5,OR(_xlfn.XLOOKUP(_xlfn.XLOOKUP(B279,'Base stats'!B:B,'Base stats'!E:E),Groups!A:A,Groups!AJ:AJ)="Photonozoa",_xlfn.XLOOKUP(_xlfn.XLOOKUP(B279,'Base stats'!B:B,'Base stats'!E:E),Groups!A:A,Groups!AJ:AJ)="Mammal")),Animals!AO279*1.75*IF(AW279="true",1.5,1),IF(AO279&lt;0.5,Animals!AO279*0.5,Animals!AO279)),IF(AO279&gt;2,0.5,IF(AO279&gt;0.5,0.25,0.1))),"No")</f>
        <v>No</v>
      </c>
      <c r="BL279" s="2">
        <f t="shared" si="31"/>
        <v>1</v>
      </c>
      <c r="BM279" s="25" t="str">
        <f>IF(_xlfn.XLOOKUP(B279,'Base stats'!B:B,'Base stats'!AN:AN)="Standard","No",MROUND((_xlfn.XLOOKUP(B279,'Base stats'!B:B,'Base stats'!AN:AN)/3.6)/I279,0.1))</f>
        <v>No</v>
      </c>
      <c r="BN279" s="25" t="str">
        <f t="shared" si="32"/>
        <v>false</v>
      </c>
      <c r="BO279" s="25" t="str">
        <f>IF(AND(OR(_xlfn.XLOOKUP(B279,'Base stats'!B:B,'Base stats'!Y:Y)="Carnivore",_xlfn.XLOOKUP(B279,'Base stats'!B:B,'Base stats'!Y:Y)="Omnivore",_xlfn.XLOOKUP(B279,'Base stats'!B:B,'Base stats'!Y:Y)="OmnivoreRough"),_xlfn.XLOOKUP(_xlfn.XLOOKUP(B279,'Base stats'!B:B,'Base stats'!E:E),Groups!A:A,Groups!AT:AT)=1),"true","false")</f>
        <v>false</v>
      </c>
      <c r="BP279" s="25" t="str" cm="1">
        <f t="array" ref="BP279">IF(
  _xlfn.TEXTJOIN(", ",TRUE,
    IF(AND(BJ279="true",AO279&gt;0.5,BI279&lt;&gt;"None"),"AttackTarget",""),
    IF(AND(_xlfn.XLOOKUP(_xlfn.XLOOKUP(B279,'Base stats'!B:B,'Base stats'!E:E),Groups!A:A,Groups!AJ:AJ="Mammal"),OR(_xlfn.XLOOKUP(B279,'Base stats'!B:B,'Base stats'!Y:Y)="Omnivore",_xlfn.XLOOKUP(B279,'Base stats'!B:B,'Base stats'!Y:Y)="OmnivoreRough")),"Forage",""),
    IF(BG279&lt;=36,"Comfort",""),
    IF(_xlfn.XLOOKUP(B279,'Base stats'!B:B,'Base stats'!AE:AE)&lt;&gt;"No",_xlfn.XLOOKUP(B279,'Base stats'!B:B,'Base stats'!AE:AE),"")
  ) = "",
  "No",
  _xlfn.TEXTJOIN(", ",TRUE,
    IF(AND(BJ279="true",AO279&gt;0.5,BI279&lt;&gt;"None"),"AttackTarget",""),
    IF(AND(_xlfn.XLOOKUP(_xlfn.XLOOKUP(B279,'Base stats'!B:B,'Base stats'!E:E),Groups!A:A,Groups!AJ:AJ="Mammal"),OR(_xlfn.XLOOKUP(B279,'Base stats'!B:B,'Base stats'!Y:Y)="Omnivore",_xlfn.XLOOKUP(B279,'Base stats'!B:B,'Base stats'!Y:Y)="OmnivoreRough")),"Forage",""),
    IF(BG279&lt;=36,"Comfort",""),
    IF(_xlfn.XLOOKUP(B279,'Base stats'!B:B,'Base stats'!AE:AE)&lt;&gt;"No",_xlfn.XLOOKUP(B279,'Base stats'!B:B,'Base stats'!AE:AE),"")
  )
)</f>
        <v>No</v>
      </c>
      <c r="BQ279" s="25" t="str">
        <f>IF(
   AND(
      'Base stats'!AN279="Standard",_xlfn.XLOOKUP(_xlfn.XLOOKUP(B279,'Base stats'!B:B,'Base stats'!E:E),Groups!A:A,Groups!AU:AU)=0,
      OR(
      BO279="True"
      )
   ),
   10,
   IF(
       OR(BM279&lt;&gt;"No",_xlfn.XLOOKUP(_xlfn.XLOOKUP(B279,'Base stats'!B:B,'Base stats'!E:E),Groups!A:A,Groups!AU:AU)=1),
      1,
      "No"
   )
)</f>
        <v>No</v>
      </c>
      <c r="BR279" s="9">
        <f>MROUND((1 + ((0.2*IF(OR(Q279="No",R279="No",R279=0),0,Q279/R279)
+IF(OR(V279="No",S279="No",T279="No"),0,S279/T279*(LEN(V279)-LEN(SUBSTITUTE(V279,",",""))+1))
+IF(OR(X279="No",Y279="No"),0,X279/Y279)
+IF(OR(AD279="No",AE279="No"),0,AD279/AE279)
+IF(OR(AL279="No",AI279="No",AJ279="No"),0,AI279/AJ279*(LEN(AL279)-LEN(SUBSTITUTE(AL279,",",""))+1))
)/(0.2*IF(OR(Q279="No",R279="No",R279=0),0,1)
+IF(OR(V279="No",S279="No",T279="No"),0,LEN(V279)-LEN(SUBSTITUTE(V279,",",""))+1)
+IF(OR(X279="No",Y279="No"),0,1)
+IF(OR(AD279="No",AE279="No"),0,1)
+IF(OR(AL279="No",AI279="No",AJ279="No"),0,LEN(AL279)-LEN(SUBSTITUTE(AL279,",",""))+1))*62%)* 2)*(1 + (AP279 / (IF(_xlfn.XLOOKUP(_xlfn.XLOOKUP(B279,'Base stats'!B:B,'Base stats'!E:E),Groups!A:A,Groups!AJ:AJ)="Photonozoa",0.3,1)) + _xlfn.XLOOKUP(B279,'Base stats'!B:B,'Base stats'!AV:AV) * 1.8) * 2) * 2.5 + 10 + I279 * 2,5)+IF(_xlfn.XLOOKUP(B279,'Base stats'!B:B,'Base stats'!AK:AK)=1,50,0)</f>
        <v>7345</v>
      </c>
      <c r="BS279" s="8">
        <f t="shared" si="33"/>
        <v>4.1000000000000005</v>
      </c>
      <c r="BT279" s="8" t="str">
        <f>_xlfn.XLOOKUP(B279,'Base stats'!B:B,'Base stats'!AF:AF)</f>
        <v>No</v>
      </c>
      <c r="BU279" s="2" t="str">
        <f>IF(AND(J279&lt;=0.95,OR(_xlfn.XLOOKUP(B279,'Base stats'!B:B,'Base stats'!AK:AK)=1,_xlfn.XLOOKUP(B279,'Base stats'!B:B,'Base stats'!Y:Y)="Carnivore",_xlfn.XLOOKUP(B279,'Base stats'!B:B,'Base stats'!Y:Y)="Omnivore",BE279&gt;0.1)),"true","false")</f>
        <v>false</v>
      </c>
      <c r="BV279" s="2" t="str">
        <f>IF(_xlfn.XLOOKUP(B279,'Base stats'!B:B,'Base stats'!AI:AI)=1,"true","false")</f>
        <v>false</v>
      </c>
      <c r="BW279" s="25" t="str">
        <f>IF(E279="BaseInsect","AnimalInsect",
IF(J279&gt;0.95,"AnimalExotic",
_xlfn.TEXTJOIN(", ",TRUE,
IF(OR(_xlfn.XLOOKUP(B279,'Base stats'!B:B,'Base stats'!AM:AM)=1,AND(_xlfn.XLOOKUP(B279,'Base stats'!B:B,'Base stats'!O:O)=0,_xlfn.XLOOKUP(_xlfn.XLOOKUP(B279,'Base stats'!B:B,'Base stats'!E:E),Groups!A:A,Groups!B:B)&gt;0)),"AnimalUncommon","AnimalCommon"),
IF(AND(_xlfn.XLOOKUP(B279,'Base stats'!B:B,'Base stats'!O:O)=2,_xlfn.XLOOKUP(_xlfn.XLOOKUP(B279,'Base stats'!B:B,'Base stats'!E:E),Groups!A:A,Groups!D:D)=0),"AnimalPet",IF(AND(_xlfn.XLOOKUP(B279,'Base stats'!B:B,'Base stats'!O:O)&lt;&gt;0,_xlfn.XLOOKUP(_xlfn.XLOOKUP(B279,'Base stats'!B:B,'Base stats'!E:E),Groups!A:A,Groups!D:D)&lt;&gt;0),"AnimalFarm","")),
IF(OR(_xlfn.XLOOKUP(B279,'Base stats'!B:B,'Base stats'!AK:AK)=1,AND(BI279&lt;&gt;"None",BR279&gt;=60),ISNUMBER(SEARCH("Attack target",BP279))),"AnimalFighter","")
)))</f>
        <v>AnimalExotic</v>
      </c>
      <c r="BX279" s="25" t="str">
        <f>IF(G279="None",TRIM(
SUBSTITUTE(
IF(COUNTIF(Biomes!B$2:B$259,"="&amp;$C279)&gt;0,Biomes!B$1&amp;", ","")&amp;
IF(COUNTIF(Biomes!C$2:C$259,"="&amp;$C279)&gt;0,Biomes!C$1&amp;", ","")&amp;
IF(COUNTIF(Biomes!D$2:D$259,"="&amp;$C279)&gt;0,Biomes!D$1&amp;", ","")&amp;
IF(COUNTIF(Biomes!F$2:F$259,"="&amp;$C279)&gt;0,Biomes!F$1&amp;", ","")&amp;
IF(COUNTIF(Biomes!G$2:G$259,"="&amp;$C279)&gt;0,Biomes!G$1&amp;", ","")&amp;
IF(COUNTIF(Biomes!H$2:H$259,"="&amp;$C279)&gt;0,Biomes!H$1&amp;", ","")&amp;
IF(COUNTIF(Biomes!I$2:I$259,"="&amp;$C279)&gt;0,Biomes!I$1&amp;", ","")&amp;
IF(COUNTIF(Biomes!J$2:J$259,"="&amp;$C279)&gt;0,Biomes!J$1&amp;", ","")&amp;
IF(COUNTIF(Biomes!M$2:M$259,"="&amp;$C279)&gt;0,Biomes!M$1&amp;", ","")&amp;
IF(COUNTIF(Biomes!N$2:N$259,"="&amp;$C279)&gt;0,Biomes!N$1&amp;", ","")&amp;
IF(COUNTIF(Biomes!O$2:O$259,"="&amp;$C279)&gt;0,Biomes!O$1&amp;", ","")&amp;
IF(COUNTIF(Biomes!P$2:P$259,"="&amp;$C279)&gt;0,Biomes!P$1&amp;", ","")&amp;
IF(COUNTIF(Biomes!K$2:K$259,"="&amp;$C279)&gt;0,Biomes!K$1&amp;", ","")&amp;
IF(COUNTIF(Biomes!Q$3:Q$259,"="&amp;$C279)&gt;0,Biomes!Q$1&amp;", ","")&amp;
IF(COUNTIF(Biomes!L$2:L$259,"="&amp;$C279)&gt;0,Biomes!L$1&amp;", ","")&amp;
IF(COUNTIF(Biomes!E$2:E$259,"="&amp;$C279)&gt;0,Biomes!E$1&amp;", ","")&amp;IF(COUNTIF(Biomes!S$2:S$259,"="&amp;$C279)&gt;0,Biomes!S$1&amp;", ","")&amp;
IF(COUNTIF(Biomes!R$2:R$259,"="&amp;$C279)&gt;0,Biomes!R$1&amp;", ",""),", ","")
),_xlfn.XLOOKUP(B279,B:B,BX:BX))</f>
        <v/>
      </c>
      <c r="BY279" s="25" t="str">
        <f>IF(_xlfn.XLOOKUP(B279,'Base stats'!B:B,'Base stats'!AJ:AJ)=1,"true","false")</f>
        <v>false</v>
      </c>
      <c r="BZ279" s="25">
        <f>IF(_xlfn.XLOOKUP(B279,'Base stats'!B:B,'Base stats'!N:N)=1,"No",MAX(0.001,MIN(MROUND(IF(AND(BJ279="True",CC279="False"),POWER(10,3.47*LOG10(_xlfn.XLOOKUP(B279,'Base stats'!B:B,'Base stats'!C:C)*1000)^-0.96),POWER(10,4.15*LOG10(_xlfn.XLOOKUP(B279,'Base stats'!B:B,'Base stats'!C:C)*1000)^-0.73))*IF(_xlfn.XLOOKUP(B279,'Base stats'!B:B,'Base stats'!AK:AK)=1,0.5,1)*IF(_xlfn.XLOOKUP(B279,'Base stats'!B:B,'Base stats'!AM:AM)=1,0.1,1)/100,IF(_xlfn.XLOOKUP(B279,'Base stats'!B:B,'Base stats'!AM:AM)=1,0.001,0.025)),0.5)))</f>
        <v>0.01</v>
      </c>
      <c r="CA279" s="25">
        <f>IF(P279="Standard","No",MAX(0.001,MIN(MROUND(IF(AND(BJ279="True",CC279="False"),POWER(10,3.47*LOG10(_xlfn.XLOOKUP(B279,'Base stats'!B:B,'Base stats'!C:C)*1000)^-0.96),POWER(10,4.15*LOG10(_xlfn.XLOOKUP(B279,'Base stats'!B:B,'Base stats'!C:C)*1000)^-0.73))*IF(_xlfn.XLOOKUP(B279,'Base stats'!B:B,'Base stats'!AM:AM)=1,0.1,1)*_xlfn.XLOOKUP(B279,'Base stats'!B:B,'Base stats'!R:R)/100,IF(_xlfn.XLOOKUP(B279,'Base stats'!B:B,'Base stats'!AM:AM)=1,0.001,0.025)),0.5)))</f>
        <v>0.01</v>
      </c>
      <c r="CB279" s="25" t="str">
        <f>IF(_xlfn.XLOOKUP(_xlfn.XLOOKUP(B279,'Base stats'!B:B,'Base stats'!E:E),Groups!A:A,Groups!AJ:AJ)="Mammal","True","False")</f>
        <v>True</v>
      </c>
      <c r="CC279" s="25" t="str">
        <f>IF(OR(_xlfn.XLOOKUP(_xlfn.XLOOKUP(B279,'Base stats'!B:B,'Base stats'!E:E),Groups!A:A,Groups!AJ:AJ)="Reptile",_xlfn.XLOOKUP(_xlfn.XLOOKUP(B279,'Base stats'!B:B,'Base stats'!E:E),Groups!A:A,Groups!AJ:AJ)="Amphibian",_xlfn.XLOOKUP(_xlfn.XLOOKUP(B279,'Base stats'!B:B,'Base stats'!E:E),Groups!A:A,Groups!AJ:AJ)="Invertebrate"),"True","False")</f>
        <v>False</v>
      </c>
      <c r="CD279" s="25" t="str">
        <f t="shared" si="34"/>
        <v>True</v>
      </c>
      <c r="CE279" s="25" t="str">
        <f>IF(_xlfn.XLOOKUP(_xlfn.XLOOKUP(B279,'Base stats'!B:B,'Base stats'!E:E),Groups!A:A,Groups!AX:AX),"True","False")</f>
        <v>True</v>
      </c>
      <c r="CF279" s="25" t="str">
        <f>IF(_xlfn.XLOOKUP(_xlfn.XLOOKUP(B279,'Base stats'!B:B,'Base stats'!E:E),Groups!A:A,Groups!AY:AY),"True","False")</f>
        <v>True</v>
      </c>
      <c r="CG279" s="25" t="str">
        <f>IF(_xlfn.XLOOKUP(_xlfn.XLOOKUP(B279,'Base stats'!B:B,'Base stats'!E:E),Groups!A:A,Groups!AW:AW),"True","False")</f>
        <v>True</v>
      </c>
      <c r="CH279" s="25" t="str">
        <f>IF(
OR(
_xlfn.XLOOKUP(_xlfn.XLOOKUP(B279,'Base stats'!B:B,'Base stats'!E:E),Groups!A:A,Groups!AZ:AZ)=0,
AND(
_xlfn.XLOOKUP(B279,'Base stats'!B:B,'Base stats'!Y:Y)&lt;&gt;"Carnivore",
_xlfn.XLOOKUP(B279,'Base stats'!B:B,'Base stats'!Y:Y)&lt;&gt;"Omnivore",
_xlfn.XLOOKUP(B279,'Base stats'!B:B,'Base stats'!Y:Y)&lt;&gt;"OmnivoreRough"
)
),
"No",
IF(
_xlfn.XLOOKUP(_xlfn.XLOOKUP(B279,'Base stats'!B:B,'Base stats'!E:E),Groups!A:A,Groups!AZ:AZ)=1,
"Flesh",
IF(
_xlfn.XLOOKUP(_xlfn.XLOOKUP(B279,'Base stats'!B:B,'Base stats'!E:E),Groups!A:A,Groups!AZ:AZ)=2,
"Bone",
""
)
)
)</f>
        <v>No</v>
      </c>
      <c r="CI279" s="25" t="str">
        <f>IF(_xlfn.XLOOKUP(_xlfn.XLOOKUP(B279,'Base stats'!B:B,'Base stats'!E:E),Groups!A:A,Groups!BB:BB),"True","False")</f>
        <v>True</v>
      </c>
      <c r="CJ279" s="25" t="str">
        <f>IF(_xlfn.XLOOKUP(_xlfn.XLOOKUP(B279,'Base stats'!B:B,'Base stats'!E:E),Groups!A:A,Groups!BA:BA),"True","False")</f>
        <v>False</v>
      </c>
    </row>
    <row r="280" spans="1:88" ht="16.5" thickTop="1" thickBot="1" x14ac:dyDescent="0.3">
      <c r="A280" s="26" t="s">
        <v>1468</v>
      </c>
      <c r="B280" s="6" t="str">
        <f>_xlfn.XLOOKUP(A280,'Base stats'!A:A,'Base stats'!B:B)</f>
        <v>Genix ferox</v>
      </c>
      <c r="C280" s="28" t="s">
        <v>1469</v>
      </c>
      <c r="D280" s="28" t="s">
        <v>1341</v>
      </c>
      <c r="E280" s="28" t="s">
        <v>673</v>
      </c>
      <c r="F280" s="28" t="s">
        <v>673</v>
      </c>
      <c r="G280" s="28" t="s">
        <v>673</v>
      </c>
      <c r="H280" s="2">
        <f>MROUND((
  (IF(AND(_xlfn.XLOOKUP(B280,'Base stats'!B:B,'Base stats'!AL:AL)=0,BI280="None",_xlfn.XLOOKUP(_xlfn.XLOOKUP(B280,'Base stats'!B:B,'Base stats'!E:E),Groups!A:A,Groups!B:B)=0), (18 + BR280 * 2.7) * 0.5,
    IF(AND(_xlfn.XLOOKUP(B280,'Base stats'!B:B,'Base stats'!AL:AL)=0,OR(AO280&lt;0.55,AND(BI280="Intermediate",_xlfn.XLOOKUP(_xlfn.XLOOKUP(B280,'Base stats'!B:B,'Base stats'!E:E),Groups!A:A,Groups!B:B)&lt;2))), (18 + BR280 * 2.7),
      IF(OR(BI280="Advanced",_xlfn.XLOOKUP(B280,'Base stats'!B:B,'Base stats'!AL:AL)=1,_xlfn.XLOOKUP(_xlfn.XLOOKUP(B280,'Base stats'!B:B,'Base stats'!E:E),Groups!A:A,Groups!B:B)=2), (18 + BR280 * 2.7) + 250, (18 + BR280 * 2.7))
    )
  ))
  + AO280 * 80
  + IF(COUNTIF(EggMilk!K$2:K$998, A280) &gt; 0, 125, 0)
  + IF(COUNTIF(EggMilk!P$2:P$998, A280) &gt; 0, 90, 0)
  + IF(COUNTIF(EggMilk!A$2:A$998, A280) &gt; 0, 90, 0)
)
* (0.8 + 0.4 * J280)
* 0.75,25)</f>
        <v>825</v>
      </c>
      <c r="I280" s="2">
        <f>MROUND(ROUNDDOWN(_xlfn.XLOOKUP(B280,'Base stats'!B:B,'Base stats'!L:L)/3.6/(23.3/11),1),0.5)</f>
        <v>7</v>
      </c>
      <c r="J280" s="2">
        <f>IF(OR(_xlfn.XLOOKUP(B280,'Base stats'!B:B,'Base stats'!AB:AB)=1,_xlfn.XLOOKUP(_xlfn.XLOOKUP(B280,'Base stats'!B:B,'Base stats'!E:E),Groups!A:A,Groups!C:C)="Untamable"),1,IF(_xlfn.XLOOKUP(B280,'Base stats'!B:B,'Base stats'!AL:AL)=1,0.99,MIN(MROUND((1-0.6282*EXP(-0.459*AO280))*_xlfn.XLOOKUP(_xlfn.XLOOKUP(B280,'Base stats'!B:B,'Base stats'!E:E),Groups!A:A,Groups!C:C)*IF(_xlfn.XLOOKUP(B280,'Base stats'!B:B,'Base stats'!O:O)=1,0.5,IF(_xlfn.XLOOKUP(B280,'Base stats'!B:B,'Base stats'!O:O)=2,0,1)),0.05),IF(AO280&gt;3.5,0.985,0.95))))</f>
        <v>0.9</v>
      </c>
      <c r="K280" s="2">
        <f>ROUNDUP(AO280*_xlfn.XLOOKUP(_xlfn.XLOOKUP(B280,'Base stats'!B:B,'Base stats'!E:E),Groups!A:A,Groups!E:E),0)</f>
        <v>2</v>
      </c>
      <c r="L280" s="2">
        <f>IF(OR(_xlfn.XLOOKUP(_xlfn.XLOOKUP(B280,'Base stats'!B:B,'Base stats'!E:E),Groups!A:A,Groups!F:F)=2,ISNUMBER(SEARCH("SeaIce",BX280)),ISNUMBER(SEARCH("IceSheet",BX280))),-50,IF(OR(ISNUMBER(SEARCH("GlacialPlain",BX280)),ISNUMBER(SEARCH("Tundra",BX280))),-40,IF(OR(ISNUMBER(SEARCH("Alpine",BX280)),ISNUMBER(SEARCH("BorealForest",BX280)),ISNUMBER(SEARCH("ColdBog",BX280))),-30,IF(OR(ISNUMBER(SEARCH("TemperateForest",BX280)),ISNUMBER(SEARCH("TemperateSwamp",BX280))),-20,IF(_xlfn.XLOOKUP(_xlfn.XLOOKUP(B280,'Base stats'!B:B,'Base stats'!E:E),Groups!A:A,Groups!F:F)=1,-15,IF(OR(ISNUMBER(SEARCH("Desert",BX280)),ISNUMBER(SEARCH("ExtremeDesert",BX280))),-10,IF(OR(ISNUMBER(SEARCH("Grasslands",BX280)),ISNUMBER(SEARCH("TropicalRainforest",BX280)),ISNUMBER(SEARCH("TropicalSwamp",BX280))),10,0)))))))-IF(CC280="False",MIN(IFERROR(MAX(MROUND(LOG10(_xlfn.XLOOKUP(B280,'Base stats'!B:B,'Base stats'!C:C)^(2/3))*10,5),5),5),30))-_xlfn.XLOOKUP(B280,'Base stats'!B:B,'Base stats'!P:P)+IF(CC280="True",5,0)</f>
        <v>-65</v>
      </c>
      <c r="M280" s="2">
        <f>IF(OR(_xlfn.XLOOKUP(_xlfn.XLOOKUP(B280,'Base stats'!B:B,'Base stats'!E:E),Groups!A:A,Groups!G:G)=2,ISNUMBER(SEARCH("Desert",BX280)),ISNUMBER(SEARCH("ExtremeDesert",BX280)),ISNUMBER(SEARCH("LavaField",BX280))),50,IF(ISNUMBER(SEARCH("Grasslands",BX280)),45,IF(OR(_xlfn.XLOOKUP(_xlfn.XLOOKUP(B280,'Base stats'!B:B,'Base stats'!E:E),Groups!A:A,Groups!G:G)=1,ISNUMBER(SEARCH("TropicalRainforest",BX280)),ISNUMBER(SEARCH("TropicalSwamp",BX280))),40,IF(OR(ISNUMBER(SEARCH("TemperateForest",BX280)),ISNUMBER(SEARCH("TemperateSwamp",BX280))),35,IF(OR(ISNUMBER(SEARCH("Alpine",BX280)),ISNUMBER(SEARCH("BorealForest",BX280)),ISNUMBER(SEARCH("ColdBog",BX280))),30,IF(ISNUMBER(OR(ISNUMBER(SEARCH("GlacialPlain",BX280)),SEARCH("Tundra",BX280))),25,IF(OR(ISNUMBER(SEARCH("SeaIce",BX280)),ISNUMBER(SEARCH("IceSheet",BX280)),ISNUMBER(SEARCH("TropicalSwamp",BX280))),10,35)))))))+_xlfn.XLOOKUP(B280,'Base stats'!B:B,'Base stats'!Q:Q)</f>
        <v>40</v>
      </c>
      <c r="N280" s="8" t="str">
        <f>IF(
_xlfn.XLOOKUP(
_xlfn.XLOOKUP(B280,'Base stats'!B:B,'Base stats'!E:E),
Groups!A:A,
Groups!L:L
)=1,
MIN(
MROUND(
IF(
_xlfn.XLOOKUP(B280,'Animals CE'!B:B,'Animals CE'!Z:Z)&lt;=1.5,
_xlfn.XLOOKUP(B280,'Animals CE'!B:B,'Animals CE'!Z:Z)/2+0.05,
0.8+
(_xlfn.XLOOKUP(B280,'Animals CE'!B:B,'Animals CE'!Z:Z)-1.5)
*0.02
),
0.05
),
200%
),
"No"
)</f>
        <v>No</v>
      </c>
      <c r="O280" s="8" t="str">
        <f>IF(
_xlfn.XLOOKUP(
_xlfn.XLOOKUP(B280,'Base stats'!B:B,'Base stats'!E:E),
Groups!A:A,
Groups!L:L
)=1,
MIN(
MROUND(
IF(
_xlfn.XLOOKUP(B280,'Animals CE'!B:B,'Animals CE'!AA:AA)&lt;=1.5,
_xlfn.XLOOKUP(B280,'Animals CE'!B:B,'Animals CE'!AA:AA)/2+0.05,
0.8+
(_xlfn.XLOOKUP(B280,'Animals CE'!B:B,'Animals CE'!AA:AA)-1.5)
*0.02
),
0.05
),
200%
),
"No"
)</f>
        <v>No</v>
      </c>
      <c r="P280" s="2" t="str">
        <f>_xlfn.XLOOKUP(B280,'Base stats'!B:B,'Base stats'!R:R)</f>
        <v>Standard</v>
      </c>
      <c r="Q280" s="13">
        <f>MROUND((LOG10(_xlfn.XLOOKUP(B280,'Base stats'!B:B,'Base stats'!AR:AR))*(AO280^0.5)+(_xlfn.XLOOKUP(B280,'Base stats'!B:B,'Base stats'!AR:AR)/1000)^(2/3)+_xlfn.XLOOKUP(B280,'Base stats'!B:B,'Base stats'!BA:BA)/2)+0.5,0.5)</f>
        <v>10.5</v>
      </c>
      <c r="R280" s="7">
        <f>IF(Q280="No","No",MAX(1,MROUND(_xlfn.XLOOKUP(B280,'Base stats'!B:B,'Base stats'!C:C)^0.165,0.05)))</f>
        <v>2.35</v>
      </c>
      <c r="S280" s="13" t="str">
        <f>IF(_xlfn.XLOOKUP(_xlfn.XLOOKUP(B280,'Base stats'!B:B,'Base stats'!E:E),Groups!A:A,Groups!P:P)=0,"No",MROUND((LOG10(_xlfn.XLOOKUP(B280,'Base stats'!B:B,'Base stats'!AS:AS))*(AO280^0.5)+(_xlfn.XLOOKUP(B280,'Base stats'!B:B,'Base stats'!AS:AS)/1000)^(2/3)+_xlfn.XLOOKUP(B280,'Base stats'!B:B,'Base stats'!BA:BA))+_xlfn.XLOOKUP(B280,'Base stats'!B:B,'Base stats'!AY:AY)+0.5,0.5))</f>
        <v>No</v>
      </c>
      <c r="T280" s="7" t="str">
        <f>IF(S280="No","No",MAX(_xlfn.XLOOKUP(_xlfn.XLOOKUP(B280,'Base stats'!B:B,'Base stats'!E:E),Groups!A:A,Groups!Q:Q),MROUND(_xlfn.XLOOKUP(_xlfn.XLOOKUP(B280,'Base stats'!B:B,'Base stats'!E:E),Groups!A:A,Groups!Q:Q)*_xlfn.XLOOKUP(B280,'Base stats'!B:B,'Base stats'!C:C)^0.165,0.05)))</f>
        <v>No</v>
      </c>
      <c r="U280" s="7" t="str">
        <f>IF(S280="No","No",_xlfn.XLOOKUP(_xlfn.XLOOKUP(B280,'Base stats'!B:B,'Base stats'!E:E),Groups!A:A,Groups!R:R))</f>
        <v>No</v>
      </c>
      <c r="V280" s="7" t="str">
        <f>IF(S280="No","No",_xlfn.XLOOKUP(_xlfn.XLOOKUP(B280,'Base stats'!B:B,'Base stats'!E:E),Groups!A:A,Groups!S:S))</f>
        <v>No</v>
      </c>
      <c r="W280" s="7" t="str">
        <f>IF(S280="No","No",_xlfn.XLOOKUP(_xlfn.XLOOKUP(B280,'Base stats'!B:B,'Base stats'!E:E),Groups!A:A,Groups!T:T))</f>
        <v>No</v>
      </c>
      <c r="X280" s="13" t="str">
        <f>IF(_xlfn.XLOOKUP(B280,'Base stats'!B:B,'Base stats'!W:W)="No","No",MROUND((LOG10(_xlfn.XLOOKUP(B280,'Base stats'!B:B,'Base stats'!AU:AU))*(AO280^0.5)+(_xlfn.XLOOKUP(B280,'Base stats'!B:B,'Base stats'!AU:AU)/1000)^(2/3)+_xlfn.XLOOKUP(B280,'Base stats'!B:B,'Base stats'!AZ:AZ))+0.5+IF(_xlfn.XLOOKUP(_xlfn.XLOOKUP(B280,'Base stats'!B:B,'Base stats'!E:E),Groups!A:A,Groups!U:U)&lt;&gt;3,_xlfn.XLOOKUP(B280,'Base stats'!B:B,'Base stats'!BA:BA),0),0.5))</f>
        <v>No</v>
      </c>
      <c r="Y280" s="7" t="str">
        <f>IF(X280="No","No",MAX(_xlfn.XLOOKUP(_xlfn.XLOOKUP(B280,'Base stats'!B:B,'Base stats'!E:E),Groups!A:A,Groups!V:V),MROUND(_xlfn.XLOOKUP(_xlfn.XLOOKUP(B280,'Base stats'!B:B,'Base stats'!E:E),Groups!A:A,Groups!V:V)*_xlfn.XLOOKUP(B280,'Base stats'!B:B,'Base stats'!C:C)^0.165,0.05)))</f>
        <v>No</v>
      </c>
      <c r="Z280" s="7" t="str">
        <f>IF(X280="No","No",_xlfn.XLOOKUP(_xlfn.XLOOKUP(B280,'Base stats'!B:B,'Base stats'!E:E),Groups!A:A,Groups!W:W))</f>
        <v>No</v>
      </c>
      <c r="AA280" s="7" t="str">
        <f>IF(X280="No","No",_xlfn.XLOOKUP(_xlfn.XLOOKUP(B280,'Base stats'!B:B,'Base stats'!E:E),Groups!A:A,Groups!X:X))</f>
        <v>No</v>
      </c>
      <c r="AB280" s="7" t="str">
        <f>IF(X280="No","No",_xlfn.XLOOKUP(_xlfn.XLOOKUP(B280,'Base stats'!B:B,'Base stats'!E:E),Groups!A:A,Groups!Y:Y))</f>
        <v>No</v>
      </c>
      <c r="AC280" s="7" t="str">
        <f>_xlfn.XLOOKUP(Animals!B280,'Base stats'!B:B,'Base stats'!X:X)</f>
        <v>False</v>
      </c>
      <c r="AD280" s="13">
        <f>IF(_xlfn.XLOOKUP(B280,'Base stats'!B:B,'Base stats'!AT:AT)="No","No",MROUND((LOG10(_xlfn.XLOOKUP(B280,'Base stats'!B:B,'Base stats'!AT:AT))*(AO280^0.75)+(_xlfn.XLOOKUP(B280,'Base stats'!B:B,'Base stats'!AT:AT)/1000)^(2/3)+_xlfn.XLOOKUP(B280,'Base stats'!B:B,'Base stats'!AX:AX)+_xlfn.XLOOKUP(B280,'Base stats'!B:B,'Base stats'!BA:BA))+0.5,0.5))</f>
        <v>18.5</v>
      </c>
      <c r="AE280" s="7">
        <f>IF(AD280="No","No",MAX(_xlfn.XLOOKUP(_xlfn.XLOOKUP(B280,'Base stats'!B:B,'Base stats'!E:E),Groups!A:A,Groups!Z:Z),MROUND(_xlfn.XLOOKUP(_xlfn.XLOOKUP(B280,'Base stats'!B:B,'Base stats'!E:E),Groups!A:A,Groups!Z:Z)*_xlfn.XLOOKUP(B280,'Base stats'!B:B,'Base stats'!C:C)^0.165,0.05)))</f>
        <v>1.6500000000000001</v>
      </c>
      <c r="AF280" s="7" t="str">
        <f>IF(AD280="No","No",_xlfn.XLOOKUP(_xlfn.XLOOKUP(B280,'Base stats'!B:B,'Base stats'!E:E),Groups!A:A,Groups!AA:AA))</f>
        <v>Teeth</v>
      </c>
      <c r="AG280" s="7" t="str">
        <f>IF(AD280="No","No",_xlfn.XLOOKUP(_xlfn.XLOOKUP(B280,'Base stats'!B:B,'Base stats'!E:E),Groups!A:A,Groups!AB:AB))</f>
        <v>canines</v>
      </c>
      <c r="AH280" s="7" t="str">
        <f>IF(AD280="No","No",_xlfn.XLOOKUP(_xlfn.XLOOKUP(B280,'Base stats'!B:B,'Base stats'!E:E),Groups!A:A,Groups!AC:AC))</f>
        <v>Bite</v>
      </c>
      <c r="AI280" s="13">
        <f>IF(_xlfn.XLOOKUP(_xlfn.XLOOKUP(B280,'Base stats'!B:B,'Base stats'!E:E),Groups!A:A,Groups!AD:AD)=0,"No",MROUND((LOG10(_xlfn.XLOOKUP(B280,'Base stats'!B:B,'Base stats'!AS:AS))*(AO280^0.75)+(_xlfn.XLOOKUP(B280,'Base stats'!B:B,'Base stats'!AS:AS)/1000)^(2/3)+_xlfn.XLOOKUP(B280,'Base stats'!B:B,'Base stats'!AY:AY)+_xlfn.XLOOKUP(B280,'Base stats'!B:B,'Base stats'!BA:BA))+0.5,0.5))</f>
        <v>16</v>
      </c>
      <c r="AJ280" s="7">
        <f>IF(AI280="No","No",MAX(_xlfn.XLOOKUP(_xlfn.XLOOKUP(B280,'Base stats'!B:B,'Base stats'!E:E),Groups!A:A,Groups!AE:AE),MROUND(_xlfn.XLOOKUP(_xlfn.XLOOKUP(B280,'Base stats'!B:B,'Base stats'!E:E),Groups!A:A,Groups!AE:AE)*IF(_xlfn.XLOOKUP(_xlfn.XLOOKUP(B280,'Base stats'!B:B,'Base stats'!E:E),Groups!A:A,Groups!AJ:AJ)="Photonozoa",0.6,1)*_xlfn.XLOOKUP(B280,'Base stats'!B:B,'Base stats'!C:C)^0.165,0.05)))</f>
        <v>1.5</v>
      </c>
      <c r="AK280" s="7" t="str">
        <f>IF(AI280="No","No",_xlfn.XLOOKUP(_xlfn.XLOOKUP(B280,'Base stats'!B:B,'Base stats'!E:E),Groups!A:A,Groups!AF:AF))</f>
        <v>FrontLeftPaw, FrontRightPaw</v>
      </c>
      <c r="AL280" s="7" t="str">
        <f>IF(AI280="No","No",_xlfn.XLOOKUP(_xlfn.XLOOKUP(B280,'Base stats'!B:B,'Base stats'!E:E),Groups!A:A,Groups!AG:AG))</f>
        <v>left claw, right claw</v>
      </c>
      <c r="AM280" s="7" t="str">
        <f>IF(AI280="No","No",_xlfn.XLOOKUP(_xlfn.XLOOKUP(B280,'Base stats'!B:B,'Base stats'!E:E),Groups!A:A,Groups!AH:AH))</f>
        <v>Scratch</v>
      </c>
      <c r="AN280" s="2">
        <f t="shared" si="28"/>
        <v>25</v>
      </c>
      <c r="AO280" s="2">
        <f>MROUND(IF(AND(_xlfn.XLOOKUP(B280,'Base stats'!B:B,'Base stats'!C:C)&gt;=0.5,_xlfn.XLOOKUP(B280,'Base stats'!B:B,'Base stats'!C:C)&lt;=0.8),
IF(_xlfn.XLOOKUP(B280,'Base stats'!B:B,'Base stats'!C:C)&lt;0.1,0.05,IF(_xlfn.XLOOKUP(B280,'Base stats'!B:B,'Base stats'!C:C)&lt;=70,(_xlfn.XLOOKUP(B280,'Base stats'!B:B,'Base stats'!C:C)/70)^0.426489913056526,IF(_xlfn.XLOOKUP(B280,'Base stats'!B:B,'Base stats'!C:C)&lt;=400,(_xlfn.XLOOKUP(B280,'Base stats'!B:B,'Base stats'!C:C)/70)^0.572811455315093,IF(_xlfn.XLOOKUP(B280,'Base stats'!B:B,'Base stats'!C:C)&lt;=2000,2.71391647193063*(_xlfn.XLOOKUP(B280,'Base stats'!B:B,'Base stats'!C:C)/400)^0.252459582904293,3.74314280240376*(_xlfn.XLOOKUP(B280,'Base stats'!B:B,'Base stats'!C:C)/2000)^0.357012633876913)))),
IF(_xlfn.XLOOKUP(B280,'Base stats'!B:B,'Base stats'!C:C)&lt;0.1,0.05,IF(_xlfn.XLOOKUP(B280,'Base stats'!B:B,'Base stats'!C:C)&lt;0.4,0.1,IF(_xlfn.XLOOKUP(B280,'Base stats'!B:B,'Base stats'!C:C)&lt;=70,(_xlfn.XLOOKUP(B280,'Base stats'!B:B,'Base stats'!C:C)/70)^0.445823913056526,IF(_xlfn.XLOOKUP(B280,'Base stats'!B:B,'Base stats'!C:C)&lt;=400,(_xlfn.XLOOKUP(B280,'Base stats'!B:B,'Base stats'!C:C)/70)^0.572811455315093,IF(_xlfn.XLOOKUP(B280,'Base stats'!B:B,'Base stats'!C:C)&lt;=2000,2.71391647193063*(_xlfn.XLOOKUP(B280,'Base stats'!B:B,'Base stats'!C:C)/400)^0.252459582904293,3.74314280240376*(_xlfn.XLOOKUP(B280,'Base stats'!B:B,'Base stats'!C:C)/2000)^0.357012633876913)))))),
IF(_xlfn.XLOOKUP(B280,'Base stats'!B:B,'Base stats'!C:C)&lt;0.1,0.05,IF(_xlfn.XLOOKUP(B280,'Base stats'!B:B,'Base stats'!C:C)&lt;=100,0.05,IF(_xlfn.XLOOKUP(B280,'Base stats'!B:B,'Base stats'!C:C)&lt;=250,0.1,IF(_xlfn.XLOOKUP(B280,'Base stats'!B:B,'Base stats'!C:C)&lt;=4000,0.25,0.5)))))</f>
        <v>1.7000000000000002</v>
      </c>
      <c r="AP280" s="8">
        <f>MROUND(AO280*_xlfn.XLOOKUP(_xlfn.XLOOKUP(B280,'Base stats'!B:B,'Base stats'!E:E),Groups!A:A,Groups!AI:AI)*_xlfn.XLOOKUP(B280,'Base stats'!B:B,'Base stats'!Z:Z),0.05)</f>
        <v>2.0500000000000003</v>
      </c>
      <c r="AQ280" s="8">
        <f>MAX(0.01,MROUND(IF(CC280="True",0.196*(AO280*100*1000)^0.889,IF(_xlfn.XLOOKUP(_xlfn.XLOOKUP(B280,'Base stats'!B:B,'Base stats'!E:E),Groups!A:A,Groups!AJ:AJ)="Bird",10.5*(AO280*100*1000)^0.681,4.82*(AO280*100*1000)^0.734))/(4.82*(1*100*1000)^0.734)/IF(AO280&lt;3.5,2,IF(AO280=3.5,1.5,1.25))*(1+0.132282374779864/(AO280^0.994035016789033+0.00905238001496948)),0.05))</f>
        <v>0.8</v>
      </c>
      <c r="AR280" s="9">
        <f>IFERROR(MROUND(_xlfn.XLOOKUP(B280,'Base stats'!B:B,'Base stats'!H:H)/IF(_xlfn.XLOOKUP(B280,'Base stats'!B:B,'Base stats'!I:I)&lt;&gt;1,(122.5/70),1.2),IF(_xlfn.XLOOKUP(B280,'Base stats'!B:B,'Base stats'!H:H)&gt;=30,5,IF(_xlfn.XLOOKUP(B280,'Base stats'!B:B,'Base stats'!H:H)&gt;=15,3,IF(_xlfn.XLOOKUP(B280,'Base stats'!B:B,'Base stats'!H:H)&gt;=10,2,1)))),"Immortal")</f>
        <v>24</v>
      </c>
      <c r="AS280" s="35">
        <f>IFERROR(IF(OR(_xlfn.XLOOKUP(B280,'Base stats'!B:B,'Base stats'!F:F)="Atypical reproduction",_xlfn.XLOOKUP(B280,'Base stats'!B:B,'Base stats'!F:F)="Lay eggs"),"Lay eggs",MIN(20,MAX(5.5,ROUND(((_xlfn.XLOOKUP(B280,'Base stats'!B:B,'Base stats'!F:F)-25)*(14.5/615) + 5.5)*2,0)/2))),"Unknown")</f>
        <v>7</v>
      </c>
      <c r="AT280" s="8">
        <f>IF(_xlfn.XLOOKUP(B280,'Base stats'!B:B,'Base stats'!G:G)="Atypical reproduction","No",IFERROR(MAX(IF(_xlfn.XLOOKUP(B280,'Base stats'!B:B,'Base stats'!G:G)&lt;0.5,0.2,0.3),MROUND(_xlfn.XLOOKUP(B280,'Base stats'!B:B,'Base stats'!G:G)/(365/60),0.2)),"Unknown"))</f>
        <v>0.4</v>
      </c>
      <c r="AU280" s="8">
        <f t="shared" si="29"/>
        <v>0.2</v>
      </c>
      <c r="AV280" s="8">
        <f>IFERROR(IFERROR(MROUND(_xlfn.XLOOKUP(B280,'Base stats'!B:B,'Base stats'!J:J),0.1),"Lay eggs"),"Cannot breed")</f>
        <v>2</v>
      </c>
      <c r="AW280" s="2" t="str">
        <f t="shared" si="30"/>
        <v>false</v>
      </c>
      <c r="AX280" s="2" t="str">
        <f>IF(_xlfn.XLOOKUP(_xlfn.XLOOKUP(Animals!B280,'Base stats'!B:B,'Base stats'!E:E),Groups!A:A,Groups!AK:AK)=1,"true","false")</f>
        <v>false</v>
      </c>
      <c r="AY280" s="25" t="str">
        <f>IF(_xlfn.XLOOKUP(B280,'Base stats'!B:B,'Base stats'!Y:Y)="Liquor","Liquor, CarnivoreAnimalStrict",IF(AND(_xlfn.XLOOKUP(B280,'Base stats'!B:B,'Base stats'!Y:Y)="Carnivore",_xlfn.XLOOKUP(_xlfn.XLOOKUP(B280,'Base stats'!B:B,'Base stats'!E:E),Groups!A:A,Groups!AJ:AJ)="Photonozoa"),"CarnivoreAnimalStrict, OvivoreAnimal",IF(_xlfn.XLOOKUP(B280,'Base stats'!B:B,'Base stats'!Y:Y)="Carnivore","CarnivoreAnimal, OvivoreAnimal",IF(_xlfn.XLOOKUP(B280,'Base stats'!B:B,'Base stats'!Y:Y)="Dendrovore","VegetarianRoughAnimal, DendrovoreAnimal",IF(_xlfn.XLOOKUP(B280,'Base stats'!B:B,'Base stats'!Y:Y)="Herbivore","VegetarianRoughAnimal",IF(_xlfn.XLOOKUP(B280,'Base stats'!B:B,'Base stats'!Y:Y)="OmnivoreRough","OmnivoreRoughAnimal, OvivoreAnimal","OmnivoreAnimal, OvivoreAnimal"))))))</f>
        <v>CarnivoreAnimal, OvivoreAnimal</v>
      </c>
      <c r="AZ280" s="2" t="str">
        <f>IF(_xlfn.XLOOKUP(_xlfn.XLOOKUP(B280,'Base stats'!B:B,'Base stats'!E:E),Groups!A:A,Groups!D:D)=1,MROUND((1-J280)*5+1,2)*IF(J280&lt;=0.4,2,1),"No")</f>
        <v>No</v>
      </c>
      <c r="BA280" s="2" t="str">
        <f>IF(AND(_xlfn.XLOOKUP(B280,'Base stats'!B:B,'Base stats'!AH:AH)="&lt;li&gt;Seal&lt;/li&gt;",G280="Odyssey"),"&lt;li&gt;AEXP_Seal&lt;/li&gt;",_xlfn.XLOOKUP(B280,'Base stats'!B:B,'Base stats'!AH:AH))</f>
        <v>&lt;li&gt;Lynx&lt;/li&gt;</v>
      </c>
      <c r="BB280" s="2" t="str">
        <f>_xlfn.XLOOKUP(B280,'Base stats'!B:B,'Base stats'!AG:AG)</f>
        <v>Leather_Panthera</v>
      </c>
      <c r="BC280" s="23" t="str">
        <f>_xlfn.XLOOKUP(_xlfn.XLOOKUP(B280,'Base stats'!B:B,'Base stats'!E:E),Groups!A:A,Groups!AL:AL)</f>
        <v>QuadrupedAnimalWithPawsAndTail</v>
      </c>
      <c r="BD280" s="23">
        <f>MIN(1,MROUND(IF(AND(AO280&lt;0.5,_xlfn.XLOOKUP(B280,'Base stats'!B:B,'Base stats'!AA:AA)=0),0,IF(OR(_xlfn.XLOOKUP(Animals!B280,'Base stats'!B:B,'Base stats'!O:O)=2,_xlfn.XLOOKUP(_xlfn.XLOOKUP(B280,'Base stats'!B:B,'Base stats'!E:E),Groups!A:A,Groups!AN:AN)=0),0,_xlfn.XLOOKUP(_xlfn.XLOOKUP(B280,'Base stats'!B:B,'Base stats'!E:E),Groups!A:A,Groups!AN:AN)/IF(_xlfn.XLOOKUP(Animals!B280,'Base stats'!B:B,'Base stats'!O:O)=1,2,1)))+_xlfn.XLOOKUP(B280,'Base stats'!B:B,'Base stats'!AC:AC),0.005))</f>
        <v>0.1</v>
      </c>
      <c r="BE280" s="23">
        <f>MIN(1,MROUND(IF(AND(AO280&lt;0.5,_xlfn.XLOOKUP(B280,'Base stats'!B:B,'Base stats'!AA:AA)=0),0,IF(_xlfn.XLOOKUP(_xlfn.XLOOKUP(B280,'Base stats'!B:B,'Base stats'!E:E),Groups!A:A,Groups!AO:AO)=0,0,_xlfn.XLOOKUP(_xlfn.XLOOKUP(B280,'Base stats'!B:B,'Base stats'!E:E),Groups!A:A,Groups!AO:AO)/IF(_xlfn.XLOOKUP(Animals!B280,'Base stats'!B:B,'Base stats'!O:O)=2,3,1)))+_xlfn.XLOOKUP(B280,'Base stats'!B:B,'Base stats'!AD:AD),0.005))</f>
        <v>0.3</v>
      </c>
      <c r="BF280" s="2" t="str">
        <f>IF(J280&gt;0.3,"No",_xlfn.XLOOKUP(_xlfn.XLOOKUP(Animals!B280,'Base stats'!B:B,'Base stats'!E:E),Groups!A:A,Groups!AP:AP))</f>
        <v>No</v>
      </c>
      <c r="BG280" s="2" t="str">
        <f>IF(AND(J280&lt;=0.65,_xlfn.XLOOKUP(_xlfn.XLOOKUP(Animals!B280,'Base stats'!B:B,'Base stats'!E:E),Groups!A:A,Groups!AP:AP)&lt;&gt;"No",_xlfn.XLOOKUP(_xlfn.XLOOKUP(B280,'Base stats'!B:B,'Base stats'!E:E),Groups!A:A,Groups!D:D)=0),MROUND((80/3)*IF(_xlfn.XLOOKUP(B280,'Base stats'!B:B,'Base stats'!O:O)=2,0.2,AO280) + 24*(1-IF(BF280="No",0,BF280)) + 16/3, 12),"No")</f>
        <v>No</v>
      </c>
      <c r="BH280" s="2">
        <f>IF(AND(_xlfn.XLOOKUP(_xlfn.XLOOKUP(B280,'Base stats'!B:B,'Base stats'!E:E),Groups!A:A,Groups!AQ:AQ)=1,AO280&lt;=0.35),8,12)</f>
        <v>12</v>
      </c>
      <c r="BI280" s="2" t="str">
        <f>IF(_xlfn.XLOOKUP(_xlfn.XLOOKUP(B280,'Base stats'!B:B,'Base stats'!E:E),Groups!A:A,Groups!D:D)=0,_xlfn.XLOOKUP(_xlfn.XLOOKUP(B280,'Base stats'!B:B,'Base stats'!E:E),Groups!A:A,Groups!AR:AR),"None")</f>
        <v>Intermediate</v>
      </c>
      <c r="BJ280" s="2" t="str">
        <f>IF(AND(_xlfn.XLOOKUP(_xlfn.XLOOKUP(B280,'Base stats'!B:B,'Base stats'!E:E),Groups!A:A,Groups!AS:AS)=1,OR(_xlfn.XLOOKUP(B280,'Base stats'!B:B,'Base stats'!Y:Y)="Carnivore",_xlfn.XLOOKUP(B280,'Base stats'!B:B,'Base stats'!Y:Y)="Omnivore")),"true","false")</f>
        <v>true</v>
      </c>
      <c r="BK280" s="2">
        <f>IF(BJ280="true",MROUND(IF(AND(AO280&gt;0.5,OR(_xlfn.XLOOKUP(_xlfn.XLOOKUP(B280,'Base stats'!B:B,'Base stats'!E:E),Groups!A:A,Groups!AJ:AJ)="Photonozoa",_xlfn.XLOOKUP(_xlfn.XLOOKUP(B280,'Base stats'!B:B,'Base stats'!E:E),Groups!A:A,Groups!AJ:AJ)="Mammal")),Animals!AO280*1.75*IF(AW280="true",1.5,1),IF(AO280&lt;0.5,Animals!AO280*0.5,Animals!AO280)),IF(AO280&gt;2,0.5,IF(AO280&gt;0.5,0.25,0.1))),"No")</f>
        <v>3</v>
      </c>
      <c r="BL280" s="2">
        <f t="shared" si="31"/>
        <v>1</v>
      </c>
      <c r="BM280" s="25" t="str">
        <f>IF(_xlfn.XLOOKUP(B280,'Base stats'!B:B,'Base stats'!AN:AN)="Standard","No",MROUND((_xlfn.XLOOKUP(B280,'Base stats'!B:B,'Base stats'!AN:AN)/3.6)/I280,0.1))</f>
        <v>No</v>
      </c>
      <c r="BN280" s="25" t="str">
        <f t="shared" si="32"/>
        <v>false</v>
      </c>
      <c r="BO280" s="25" t="str">
        <f>IF(AND(OR(_xlfn.XLOOKUP(B280,'Base stats'!B:B,'Base stats'!Y:Y)="Carnivore",_xlfn.XLOOKUP(B280,'Base stats'!B:B,'Base stats'!Y:Y)="Omnivore",_xlfn.XLOOKUP(B280,'Base stats'!B:B,'Base stats'!Y:Y)="OmnivoreRough"),_xlfn.XLOOKUP(_xlfn.XLOOKUP(B280,'Base stats'!B:B,'Base stats'!E:E),Groups!A:A,Groups!AT:AT)=1),"true","false")</f>
        <v>false</v>
      </c>
      <c r="BP280" s="25" t="str" cm="1">
        <f t="array" ref="BP280">IF(
  _xlfn.TEXTJOIN(", ",TRUE,
    IF(AND(BJ280="true",AO280&gt;0.5,BI280&lt;&gt;"None"),"AttackTarget",""),
    IF(AND(_xlfn.XLOOKUP(_xlfn.XLOOKUP(B280,'Base stats'!B:B,'Base stats'!E:E),Groups!A:A,Groups!AJ:AJ="Mammal"),OR(_xlfn.XLOOKUP(B280,'Base stats'!B:B,'Base stats'!Y:Y)="Omnivore",_xlfn.XLOOKUP(B280,'Base stats'!B:B,'Base stats'!Y:Y)="OmnivoreRough")),"Forage",""),
    IF(BG280&lt;=36,"Comfort",""),
    IF(_xlfn.XLOOKUP(B280,'Base stats'!B:B,'Base stats'!AE:AE)&lt;&gt;"No",_xlfn.XLOOKUP(B280,'Base stats'!B:B,'Base stats'!AE:AE),"")
  ) = "",
  "No",
  _xlfn.TEXTJOIN(", ",TRUE,
    IF(AND(BJ280="true",AO280&gt;0.5,BI280&lt;&gt;"None"),"AttackTarget",""),
    IF(AND(_xlfn.XLOOKUP(_xlfn.XLOOKUP(B280,'Base stats'!B:B,'Base stats'!E:E),Groups!A:A,Groups!AJ:AJ="Mammal"),OR(_xlfn.XLOOKUP(B280,'Base stats'!B:B,'Base stats'!Y:Y)="Omnivore",_xlfn.XLOOKUP(B280,'Base stats'!B:B,'Base stats'!Y:Y)="OmnivoreRough")),"Forage",""),
    IF(BG280&lt;=36,"Comfort",""),
    IF(_xlfn.XLOOKUP(B280,'Base stats'!B:B,'Base stats'!AE:AE)&lt;&gt;"No",_xlfn.XLOOKUP(B280,'Base stats'!B:B,'Base stats'!AE:AE),"")
  )
)</f>
        <v>AttackTarget</v>
      </c>
      <c r="BQ280" s="25" t="str">
        <f>IF(
   AND(
      'Base stats'!AN280="Standard",_xlfn.XLOOKUP(_xlfn.XLOOKUP(B280,'Base stats'!B:B,'Base stats'!E:E),Groups!A:A,Groups!AU:AU)=0,
      OR(
      BO280="True"
      )
   ),
   10,
   IF(
       OR(BM280&lt;&gt;"No",_xlfn.XLOOKUP(_xlfn.XLOOKUP(B280,'Base stats'!B:B,'Base stats'!E:E),Groups!A:A,Groups!AU:AU)=1),
      1,
      "No"
   )
)</f>
        <v>No</v>
      </c>
      <c r="BR280" s="9">
        <f>MROUND((1 + ((0.2*IF(OR(Q280="No",R280="No",R280=0),0,Q280/R280)
+IF(OR(V280="No",S280="No",T280="No"),0,S280/T280*(LEN(V280)-LEN(SUBSTITUTE(V280,",",""))+1))
+IF(OR(X280="No",Y280="No"),0,X280/Y280)
+IF(OR(AD280="No",AE280="No"),0,AD280/AE280)
+IF(OR(AL280="No",AI280="No",AJ280="No"),0,AI280/AJ280*(LEN(AL280)-LEN(SUBSTITUTE(AL280,",",""))+1))
)/(0.2*IF(OR(Q280="No",R280="No",R280=0),0,1)
+IF(OR(V280="No",S280="No",T280="No"),0,LEN(V280)-LEN(SUBSTITUTE(V280,",",""))+1)
+IF(OR(X280="No",Y280="No"),0,1)
+IF(OR(AD280="No",AE280="No"),0,1)
+IF(OR(AL280="No",AI280="No",AJ280="No"),0,LEN(AL280)-LEN(SUBSTITUTE(AL280,",",""))+1))*62%)* 2)*(1 + (AP280 / (IF(_xlfn.XLOOKUP(_xlfn.XLOOKUP(B280,'Base stats'!B:B,'Base stats'!E:E),Groups!A:A,Groups!AJ:AJ)="Photonozoa",0.3,1)) + _xlfn.XLOOKUP(B280,'Base stats'!B:B,'Base stats'!AV:AV) * 1.8) * 2) * 2.5 + 10 + I280 * 2,5)+IF(_xlfn.XLOOKUP(B280,'Base stats'!B:B,'Base stats'!AK:AK)=1,50,0)</f>
        <v>200</v>
      </c>
      <c r="BS280" s="8">
        <f t="shared" si="33"/>
        <v>1</v>
      </c>
      <c r="BT280" s="8" t="str">
        <f>_xlfn.XLOOKUP(B280,'Base stats'!B:B,'Base stats'!AF:AF)</f>
        <v>No</v>
      </c>
      <c r="BU280" s="2" t="str">
        <f>IF(AND(J280&lt;=0.95,OR(_xlfn.XLOOKUP(B280,'Base stats'!B:B,'Base stats'!AK:AK)=1,_xlfn.XLOOKUP(B280,'Base stats'!B:B,'Base stats'!Y:Y)="Carnivore",_xlfn.XLOOKUP(B280,'Base stats'!B:B,'Base stats'!Y:Y)="Omnivore",BE280&gt;0.1)),"true","false")</f>
        <v>true</v>
      </c>
      <c r="BV280" s="2" t="str">
        <f>IF(_xlfn.XLOOKUP(B280,'Base stats'!B:B,'Base stats'!AI:AI)=1,"true","false")</f>
        <v>false</v>
      </c>
      <c r="BW280" s="25" t="str">
        <f>IF(E280="BaseInsect","AnimalInsect",
IF(J280&gt;0.95,"AnimalExotic",
_xlfn.TEXTJOIN(", ",TRUE,
IF(OR(_xlfn.XLOOKUP(B280,'Base stats'!B:B,'Base stats'!AM:AM)=1,AND(_xlfn.XLOOKUP(B280,'Base stats'!B:B,'Base stats'!O:O)=0,_xlfn.XLOOKUP(_xlfn.XLOOKUP(B280,'Base stats'!B:B,'Base stats'!E:E),Groups!A:A,Groups!B:B)&gt;0)),"AnimalUncommon","AnimalCommon"),
IF(AND(_xlfn.XLOOKUP(B280,'Base stats'!B:B,'Base stats'!O:O)=2,_xlfn.XLOOKUP(_xlfn.XLOOKUP(B280,'Base stats'!B:B,'Base stats'!E:E),Groups!A:A,Groups!D:D)=0),"AnimalPet",IF(AND(_xlfn.XLOOKUP(B280,'Base stats'!B:B,'Base stats'!O:O)&lt;&gt;0,_xlfn.XLOOKUP(_xlfn.XLOOKUP(B280,'Base stats'!B:B,'Base stats'!E:E),Groups!A:A,Groups!D:D)&lt;&gt;0),"AnimalFarm","")),
IF(OR(_xlfn.XLOOKUP(B280,'Base stats'!B:B,'Base stats'!AK:AK)=1,AND(BI280&lt;&gt;"None",BR280&gt;=60),ISNUMBER(SEARCH("Attack target",BP280))),"AnimalFighter","")
)))</f>
        <v>AnimalUncommon, AnimalFighter</v>
      </c>
      <c r="BX280" s="25" t="str">
        <f>IF(G280="None",TRIM(
SUBSTITUTE(
IF(COUNTIF(Biomes!B$2:B$259,"="&amp;$C280)&gt;0,Biomes!B$1&amp;", ","")&amp;
IF(COUNTIF(Biomes!C$2:C$259,"="&amp;$C280)&gt;0,Biomes!C$1&amp;", ","")&amp;
IF(COUNTIF(Biomes!D$2:D$259,"="&amp;$C280)&gt;0,Biomes!D$1&amp;", ","")&amp;
IF(COUNTIF(Biomes!F$2:F$259,"="&amp;$C280)&gt;0,Biomes!F$1&amp;", ","")&amp;
IF(COUNTIF(Biomes!G$2:G$259,"="&amp;$C280)&gt;0,Biomes!G$1&amp;", ","")&amp;
IF(COUNTIF(Biomes!H$2:H$259,"="&amp;$C280)&gt;0,Biomes!H$1&amp;", ","")&amp;
IF(COUNTIF(Biomes!I$2:I$259,"="&amp;$C280)&gt;0,Biomes!I$1&amp;", ","")&amp;
IF(COUNTIF(Biomes!J$2:J$259,"="&amp;$C280)&gt;0,Biomes!J$1&amp;", ","")&amp;
IF(COUNTIF(Biomes!M$2:M$259,"="&amp;$C280)&gt;0,Biomes!M$1&amp;", ","")&amp;
IF(COUNTIF(Biomes!N$2:N$259,"="&amp;$C280)&gt;0,Biomes!N$1&amp;", ","")&amp;
IF(COUNTIF(Biomes!O$2:O$259,"="&amp;$C280)&gt;0,Biomes!O$1&amp;", ","")&amp;
IF(COUNTIF(Biomes!P$2:P$259,"="&amp;$C280)&gt;0,Biomes!P$1&amp;", ","")&amp;
IF(COUNTIF(Biomes!K$2:K$259,"="&amp;$C280)&gt;0,Biomes!K$1&amp;", ","")&amp;
IF(COUNTIF(Biomes!Q$3:Q$259,"="&amp;$C280)&gt;0,Biomes!Q$1&amp;", ","")&amp;
IF(COUNTIF(Biomes!L$2:L$259,"="&amp;$C280)&gt;0,Biomes!L$1&amp;", ","")&amp;
IF(COUNTIF(Biomes!E$2:E$259,"="&amp;$C280)&gt;0,Biomes!E$1&amp;", ","")&amp;IF(COUNTIF(Biomes!S$2:S$259,"="&amp;$C280)&gt;0,Biomes!S$1&amp;", ","")&amp;
IF(COUNTIF(Biomes!R$2:R$259,"="&amp;$C280)&gt;0,Biomes!R$1&amp;", ",""),", ","")
),_xlfn.XLOOKUP(B280,B:B,BX:BX))</f>
        <v>SeaIce IceSheet Tundra BorealForest ColdBog TemperateForest TemperateSwamp GlacialPlain</v>
      </c>
      <c r="BY280" s="25" t="str">
        <f>IF(_xlfn.XLOOKUP(B280,'Base stats'!B:B,'Base stats'!AJ:AJ)=1,"true","false")</f>
        <v>false</v>
      </c>
      <c r="BZ280" s="25">
        <f>IF(_xlfn.XLOOKUP(B280,'Base stats'!B:B,'Base stats'!N:N)=1,"No",MAX(0.001,MIN(MROUND(IF(AND(BJ280="True",CC280="False"),POWER(10,3.47*LOG10(_xlfn.XLOOKUP(B280,'Base stats'!B:B,'Base stats'!C:C)*1000)^-0.96),POWER(10,4.15*LOG10(_xlfn.XLOOKUP(B280,'Base stats'!B:B,'Base stats'!C:C)*1000)^-0.73))*IF(_xlfn.XLOOKUP(B280,'Base stats'!B:B,'Base stats'!AK:AK)=1,0.5,1)*IF(_xlfn.XLOOKUP(B280,'Base stats'!B:B,'Base stats'!AM:AM)=1,0.1,1)/100,IF(_xlfn.XLOOKUP(B280,'Base stats'!B:B,'Base stats'!AM:AM)=1,0.001,0.025)),0.5)))</f>
        <v>5.0000000000000001E-3</v>
      </c>
      <c r="CA280" s="25" t="str">
        <f>IF(P280="Standard","No",MAX(0.001,MIN(MROUND(IF(AND(BJ280="True",CC280="False"),POWER(10,3.47*LOG10(_xlfn.XLOOKUP(B280,'Base stats'!B:B,'Base stats'!C:C)*1000)^-0.96),POWER(10,4.15*LOG10(_xlfn.XLOOKUP(B280,'Base stats'!B:B,'Base stats'!C:C)*1000)^-0.73))*IF(_xlfn.XLOOKUP(B280,'Base stats'!B:B,'Base stats'!AM:AM)=1,0.1,1)*_xlfn.XLOOKUP(B280,'Base stats'!B:B,'Base stats'!R:R)/100,IF(_xlfn.XLOOKUP(B280,'Base stats'!B:B,'Base stats'!AM:AM)=1,0.001,0.025)),0.5)))</f>
        <v>No</v>
      </c>
      <c r="CB280" s="25" t="str">
        <f>IF(_xlfn.XLOOKUP(_xlfn.XLOOKUP(B280,'Base stats'!B:B,'Base stats'!E:E),Groups!A:A,Groups!AJ:AJ)="Mammal","True","False")</f>
        <v>True</v>
      </c>
      <c r="CC280" s="25" t="str">
        <f>IF(OR(_xlfn.XLOOKUP(_xlfn.XLOOKUP(B280,'Base stats'!B:B,'Base stats'!E:E),Groups!A:A,Groups!AJ:AJ)="Reptile",_xlfn.XLOOKUP(_xlfn.XLOOKUP(B280,'Base stats'!B:B,'Base stats'!E:E),Groups!A:A,Groups!AJ:AJ)="Amphibian",_xlfn.XLOOKUP(_xlfn.XLOOKUP(B280,'Base stats'!B:B,'Base stats'!E:E),Groups!A:A,Groups!AJ:AJ)="Invertebrate"),"True","False")</f>
        <v>False</v>
      </c>
      <c r="CD280" s="25" t="str">
        <f t="shared" si="34"/>
        <v>False</v>
      </c>
      <c r="CE280" s="25" t="str">
        <f>IF(_xlfn.XLOOKUP(_xlfn.XLOOKUP(B280,'Base stats'!B:B,'Base stats'!E:E),Groups!A:A,Groups!AX:AX),"True","False")</f>
        <v>False</v>
      </c>
      <c r="CF280" s="25" t="str">
        <f>IF(_xlfn.XLOOKUP(_xlfn.XLOOKUP(B280,'Base stats'!B:B,'Base stats'!E:E),Groups!A:A,Groups!AY:AY),"True","False")</f>
        <v>False</v>
      </c>
      <c r="CG280" s="25" t="str">
        <f>IF(_xlfn.XLOOKUP(_xlfn.XLOOKUP(B280,'Base stats'!B:B,'Base stats'!E:E),Groups!A:A,Groups!AW:AW),"True","False")</f>
        <v>False</v>
      </c>
      <c r="CH280" s="25" t="str">
        <f>IF(
OR(
_xlfn.XLOOKUP(_xlfn.XLOOKUP(B280,'Base stats'!B:B,'Base stats'!E:E),Groups!A:A,Groups!AZ:AZ)=0,
AND(
_xlfn.XLOOKUP(B280,'Base stats'!B:B,'Base stats'!Y:Y)&lt;&gt;"Carnivore",
_xlfn.XLOOKUP(B280,'Base stats'!B:B,'Base stats'!Y:Y)&lt;&gt;"Omnivore",
_xlfn.XLOOKUP(B280,'Base stats'!B:B,'Base stats'!Y:Y)&lt;&gt;"OmnivoreRough"
)
),
"No",
IF(
_xlfn.XLOOKUP(_xlfn.XLOOKUP(B280,'Base stats'!B:B,'Base stats'!E:E),Groups!A:A,Groups!AZ:AZ)=1,
"Flesh",
IF(
_xlfn.XLOOKUP(_xlfn.XLOOKUP(B280,'Base stats'!B:B,'Base stats'!E:E),Groups!A:A,Groups!AZ:AZ)=2,
"Bone",
""
)
)
)</f>
        <v>No</v>
      </c>
      <c r="CI280" s="25" t="str">
        <f>IF(_xlfn.XLOOKUP(_xlfn.XLOOKUP(B280,'Base stats'!B:B,'Base stats'!E:E),Groups!A:A,Groups!BB:BB),"True","False")</f>
        <v>True</v>
      </c>
      <c r="CJ280" s="25" t="str">
        <f>IF(_xlfn.XLOOKUP(_xlfn.XLOOKUP(B280,'Base stats'!B:B,'Base stats'!E:E),Groups!A:A,Groups!BA:BA),"True","False")</f>
        <v>False</v>
      </c>
    </row>
    <row r="281" spans="1:88" ht="16.5" thickTop="1" thickBot="1" x14ac:dyDescent="0.3">
      <c r="A281" s="26" t="s">
        <v>1470</v>
      </c>
      <c r="B281" s="6" t="str">
        <f>_xlfn.XLOOKUP(A281,'Base stats'!A:A,'Base stats'!B:B)</f>
        <v>Silkie coronatus</v>
      </c>
      <c r="C281" s="28" t="s">
        <v>1471</v>
      </c>
      <c r="D281" s="28" t="s">
        <v>1341</v>
      </c>
      <c r="E281" s="28" t="s">
        <v>673</v>
      </c>
      <c r="F281" s="28" t="s">
        <v>673</v>
      </c>
      <c r="G281" s="28" t="s">
        <v>673</v>
      </c>
      <c r="H281" s="2">
        <f>MROUND((
  (IF(AND(_xlfn.XLOOKUP(B281,'Base stats'!B:B,'Base stats'!AL:AL)=0,BI281="None",_xlfn.XLOOKUP(_xlfn.XLOOKUP(B281,'Base stats'!B:B,'Base stats'!E:E),Groups!A:A,Groups!B:B)=0), (18 + BR281 * 2.7) * 0.5,
    IF(AND(_xlfn.XLOOKUP(B281,'Base stats'!B:B,'Base stats'!AL:AL)=0,OR(AO281&lt;0.55,AND(BI281="Intermediate",_xlfn.XLOOKUP(_xlfn.XLOOKUP(B281,'Base stats'!B:B,'Base stats'!E:E),Groups!A:A,Groups!B:B)&lt;2))), (18 + BR281 * 2.7),
      IF(OR(BI281="Advanced",_xlfn.XLOOKUP(B281,'Base stats'!B:B,'Base stats'!AL:AL)=1,_xlfn.XLOOKUP(_xlfn.XLOOKUP(B281,'Base stats'!B:B,'Base stats'!E:E),Groups!A:A,Groups!B:B)=2), (18 + BR281 * 2.7) + 250, (18 + BR281 * 2.7))
    )
  ))
  + AO281 * 80
  + IF(COUNTIF(EggMilk!K$2:K$998, A281) &gt; 0, 125, 0)
  + IF(COUNTIF(EggMilk!P$2:P$998, A281) &gt; 0, 90, 0)
  + IF(COUNTIF(EggMilk!A$2:A$998, A281) &gt; 0, 90, 0)
)
* (0.8 + 0.4 * J281)
* 0.75,25)</f>
        <v>275</v>
      </c>
      <c r="I281" s="2">
        <f>MROUND(ROUNDDOWN(_xlfn.XLOOKUP(B281,'Base stats'!B:B,'Base stats'!L:L)/3.6/(23.3/11),1),0.5)</f>
        <v>7</v>
      </c>
      <c r="J281" s="2">
        <f>IF(OR(_xlfn.XLOOKUP(B281,'Base stats'!B:B,'Base stats'!AB:AB)=1,_xlfn.XLOOKUP(_xlfn.XLOOKUP(B281,'Base stats'!B:B,'Base stats'!E:E),Groups!A:A,Groups!C:C)="Untamable"),1,IF(_xlfn.XLOOKUP(B281,'Base stats'!B:B,'Base stats'!AL:AL)=1,0.99,MIN(MROUND((1-0.6282*EXP(-0.459*AO281))*_xlfn.XLOOKUP(_xlfn.XLOOKUP(B281,'Base stats'!B:B,'Base stats'!E:E),Groups!A:A,Groups!C:C)*IF(_xlfn.XLOOKUP(B281,'Base stats'!B:B,'Base stats'!O:O)=1,0.5,IF(_xlfn.XLOOKUP(B281,'Base stats'!B:B,'Base stats'!O:O)=2,0,1)),0.05),IF(AO281&gt;3.5,0.985,0.95))))</f>
        <v>0.5</v>
      </c>
      <c r="K281" s="2">
        <f>ROUNDUP(AO281*_xlfn.XLOOKUP(_xlfn.XLOOKUP(B281,'Base stats'!B:B,'Base stats'!E:E),Groups!A:A,Groups!E:E),0)</f>
        <v>24</v>
      </c>
      <c r="L281" s="2">
        <f>IF(OR(_xlfn.XLOOKUP(_xlfn.XLOOKUP(B281,'Base stats'!B:B,'Base stats'!E:E),Groups!A:A,Groups!F:F)=2,ISNUMBER(SEARCH("SeaIce",BX281)),ISNUMBER(SEARCH("IceSheet",BX281))),-50,IF(OR(ISNUMBER(SEARCH("GlacialPlain",BX281)),ISNUMBER(SEARCH("Tundra",BX281))),-40,IF(OR(ISNUMBER(SEARCH("Alpine",BX281)),ISNUMBER(SEARCH("BorealForest",BX281)),ISNUMBER(SEARCH("ColdBog",BX281))),-30,IF(OR(ISNUMBER(SEARCH("TemperateForest",BX281)),ISNUMBER(SEARCH("TemperateSwamp",BX281))),-20,IF(_xlfn.XLOOKUP(_xlfn.XLOOKUP(B281,'Base stats'!B:B,'Base stats'!E:E),Groups!A:A,Groups!F:F)=1,-15,IF(OR(ISNUMBER(SEARCH("Desert",BX281)),ISNUMBER(SEARCH("ExtremeDesert",BX281))),-10,IF(OR(ISNUMBER(SEARCH("Grasslands",BX281)),ISNUMBER(SEARCH("TropicalRainforest",BX281)),ISNUMBER(SEARCH("TropicalSwamp",BX281))),10,0)))))))-IF(CC281="False",MIN(IFERROR(MAX(MROUND(LOG10(_xlfn.XLOOKUP(B281,'Base stats'!B:B,'Base stats'!C:C)^(2/3))*10,5),5),5),30))-_xlfn.XLOOKUP(B281,'Base stats'!B:B,'Base stats'!P:P)+IF(CC281="True",5,0)</f>
        <v>-35</v>
      </c>
      <c r="M281" s="2">
        <f>IF(OR(_xlfn.XLOOKUP(_xlfn.XLOOKUP(B281,'Base stats'!B:B,'Base stats'!E:E),Groups!A:A,Groups!G:G)=2,ISNUMBER(SEARCH("Desert",BX281)),ISNUMBER(SEARCH("ExtremeDesert",BX281)),ISNUMBER(SEARCH("LavaField",BX281))),50,IF(ISNUMBER(SEARCH("Grasslands",BX281)),45,IF(OR(_xlfn.XLOOKUP(_xlfn.XLOOKUP(B281,'Base stats'!B:B,'Base stats'!E:E),Groups!A:A,Groups!G:G)=1,ISNUMBER(SEARCH("TropicalRainforest",BX281)),ISNUMBER(SEARCH("TropicalSwamp",BX281))),40,IF(OR(ISNUMBER(SEARCH("TemperateForest",BX281)),ISNUMBER(SEARCH("TemperateSwamp",BX281))),35,IF(OR(ISNUMBER(SEARCH("Alpine",BX281)),ISNUMBER(SEARCH("BorealForest",BX281)),ISNUMBER(SEARCH("ColdBog",BX281))),30,IF(ISNUMBER(OR(ISNUMBER(SEARCH("GlacialPlain",BX281)),SEARCH("Tundra",BX281))),25,IF(OR(ISNUMBER(SEARCH("SeaIce",BX281)),ISNUMBER(SEARCH("IceSheet",BX281)),ISNUMBER(SEARCH("TropicalSwamp",BX281))),10,35)))))))+_xlfn.XLOOKUP(B281,'Base stats'!B:B,'Base stats'!Q:Q)</f>
        <v>45</v>
      </c>
      <c r="N281" s="8" t="str">
        <f>IF(
_xlfn.XLOOKUP(
_xlfn.XLOOKUP(B281,'Base stats'!B:B,'Base stats'!E:E),
Groups!A:A,
Groups!L:L
)=1,
MIN(
MROUND(
IF(
_xlfn.XLOOKUP(B281,'Animals CE'!B:B,'Animals CE'!Z:Z)&lt;=1.5,
_xlfn.XLOOKUP(B281,'Animals CE'!B:B,'Animals CE'!Z:Z)/2+0.05,
0.8+
(_xlfn.XLOOKUP(B281,'Animals CE'!B:B,'Animals CE'!Z:Z)-1.5)
*0.02
),
0.05
),
200%
),
"No"
)</f>
        <v>No</v>
      </c>
      <c r="O281" s="8" t="str">
        <f>IF(
_xlfn.XLOOKUP(
_xlfn.XLOOKUP(B281,'Base stats'!B:B,'Base stats'!E:E),
Groups!A:A,
Groups!L:L
)=1,
MIN(
MROUND(
IF(
_xlfn.XLOOKUP(B281,'Animals CE'!B:B,'Animals CE'!AA:AA)&lt;=1.5,
_xlfn.XLOOKUP(B281,'Animals CE'!B:B,'Animals CE'!AA:AA)/2+0.05,
0.8+
(_xlfn.XLOOKUP(B281,'Animals CE'!B:B,'Animals CE'!AA:AA)-1.5)
*0.02
),
0.05
),
200%
),
"No"
)</f>
        <v>No</v>
      </c>
      <c r="P281" s="2" t="str">
        <f>_xlfn.XLOOKUP(B281,'Base stats'!B:B,'Base stats'!R:R)</f>
        <v>Standard</v>
      </c>
      <c r="Q281" s="13">
        <f>MROUND((LOG10(_xlfn.XLOOKUP(B281,'Base stats'!B:B,'Base stats'!AR:AR))*(AO281^0.5)+(_xlfn.XLOOKUP(B281,'Base stats'!B:B,'Base stats'!AR:AR)/1000)^(2/3)+_xlfn.XLOOKUP(B281,'Base stats'!B:B,'Base stats'!BA:BA)/2)+0.5,0.5)</f>
        <v>12</v>
      </c>
      <c r="R281" s="7">
        <f>IF(Q281="No","No",MAX(1,MROUND(_xlfn.XLOOKUP(B281,'Base stats'!B:B,'Base stats'!C:C)^0.165,0.05)))</f>
        <v>2.5</v>
      </c>
      <c r="S281" s="13">
        <f>IF(_xlfn.XLOOKUP(_xlfn.XLOOKUP(B281,'Base stats'!B:B,'Base stats'!E:E),Groups!A:A,Groups!P:P)=0,"No",MROUND((LOG10(_xlfn.XLOOKUP(B281,'Base stats'!B:B,'Base stats'!AS:AS))*(AO281^0.5)+(_xlfn.XLOOKUP(B281,'Base stats'!B:B,'Base stats'!AS:AS)/1000)^(2/3)+_xlfn.XLOOKUP(B281,'Base stats'!B:B,'Base stats'!BA:BA))+_xlfn.XLOOKUP(B281,'Base stats'!B:B,'Base stats'!AY:AY)+0.5,0.5))</f>
        <v>17</v>
      </c>
      <c r="T281" s="7">
        <f>IF(S281="No","No",MAX(_xlfn.XLOOKUP(_xlfn.XLOOKUP(B281,'Base stats'!B:B,'Base stats'!E:E),Groups!A:A,Groups!Q:Q),MROUND(_xlfn.XLOOKUP(_xlfn.XLOOKUP(B281,'Base stats'!B:B,'Base stats'!E:E),Groups!A:A,Groups!Q:Q)*_xlfn.XLOOKUP(B281,'Base stats'!B:B,'Base stats'!C:C)^0.165,0.05)))</f>
        <v>2.5</v>
      </c>
      <c r="U281" s="7" t="str">
        <f>IF(S281="No","No",_xlfn.XLOOKUP(_xlfn.XLOOKUP(B281,'Base stats'!B:B,'Base stats'!E:E),Groups!A:A,Groups!R:R))</f>
        <v>Feet</v>
      </c>
      <c r="V281" s="7" t="str">
        <f>IF(S281="No","No",_xlfn.XLOOKUP(_xlfn.XLOOKUP(B281,'Base stats'!B:B,'Base stats'!E:E),Groups!A:A,Groups!S:S))</f>
        <v>rear left claw, rear  right claw</v>
      </c>
      <c r="W281" s="7" t="str">
        <f>IF(S281="No","No",_xlfn.XLOOKUP(_xlfn.XLOOKUP(B281,'Base stats'!B:B,'Base stats'!E:E),Groups!A:A,Groups!T:T))</f>
        <v>Scratch</v>
      </c>
      <c r="X281" s="13" t="str">
        <f>IF(_xlfn.XLOOKUP(B281,'Base stats'!B:B,'Base stats'!W:W)="No","No",MROUND((LOG10(_xlfn.XLOOKUP(B281,'Base stats'!B:B,'Base stats'!AU:AU))*(AO281^0.5)+(_xlfn.XLOOKUP(B281,'Base stats'!B:B,'Base stats'!AU:AU)/1000)^(2/3)+_xlfn.XLOOKUP(B281,'Base stats'!B:B,'Base stats'!AZ:AZ))+0.5+IF(_xlfn.XLOOKUP(_xlfn.XLOOKUP(B281,'Base stats'!B:B,'Base stats'!E:E),Groups!A:A,Groups!U:U)&lt;&gt;3,_xlfn.XLOOKUP(B281,'Base stats'!B:B,'Base stats'!BA:BA),0),0.5))</f>
        <v>No</v>
      </c>
      <c r="Y281" s="7" t="str">
        <f>IF(X281="No","No",MAX(_xlfn.XLOOKUP(_xlfn.XLOOKUP(B281,'Base stats'!B:B,'Base stats'!E:E),Groups!A:A,Groups!V:V),MROUND(_xlfn.XLOOKUP(_xlfn.XLOOKUP(B281,'Base stats'!B:B,'Base stats'!E:E),Groups!A:A,Groups!V:V)*_xlfn.XLOOKUP(B281,'Base stats'!B:B,'Base stats'!C:C)^0.165,0.05)))</f>
        <v>No</v>
      </c>
      <c r="Z281" s="7" t="str">
        <f>IF(X281="No","No",_xlfn.XLOOKUP(_xlfn.XLOOKUP(B281,'Base stats'!B:B,'Base stats'!E:E),Groups!A:A,Groups!W:W))</f>
        <v>No</v>
      </c>
      <c r="AA281" s="7" t="str">
        <f>IF(X281="No","No",_xlfn.XLOOKUP(_xlfn.XLOOKUP(B281,'Base stats'!B:B,'Base stats'!E:E),Groups!A:A,Groups!X:X))</f>
        <v>No</v>
      </c>
      <c r="AB281" s="7" t="str">
        <f>IF(X281="No","No",_xlfn.XLOOKUP(_xlfn.XLOOKUP(B281,'Base stats'!B:B,'Base stats'!E:E),Groups!A:A,Groups!Y:Y))</f>
        <v>No</v>
      </c>
      <c r="AC281" s="7" t="str">
        <f>_xlfn.XLOOKUP(Animals!B281,'Base stats'!B:B,'Base stats'!X:X)</f>
        <v>False</v>
      </c>
      <c r="AD281" s="13">
        <f>IF(_xlfn.XLOOKUP(B281,'Base stats'!B:B,'Base stats'!AT:AT)="No","No",MROUND((LOG10(_xlfn.XLOOKUP(B281,'Base stats'!B:B,'Base stats'!AT:AT))*(AO281^0.75)+(_xlfn.XLOOKUP(B281,'Base stats'!B:B,'Base stats'!AT:AT)/1000)^(2/3)+_xlfn.XLOOKUP(B281,'Base stats'!B:B,'Base stats'!AX:AX)+_xlfn.XLOOKUP(B281,'Base stats'!B:B,'Base stats'!BA:BA))+0.5,0.5))</f>
        <v>12</v>
      </c>
      <c r="AE281" s="7">
        <f>IF(AD281="No","No",MAX(_xlfn.XLOOKUP(_xlfn.XLOOKUP(B281,'Base stats'!B:B,'Base stats'!E:E),Groups!A:A,Groups!Z:Z),MROUND(_xlfn.XLOOKUP(_xlfn.XLOOKUP(B281,'Base stats'!B:B,'Base stats'!E:E),Groups!A:A,Groups!Z:Z)*_xlfn.XLOOKUP(B281,'Base stats'!B:B,'Base stats'!C:C)^0.165,0.05)))</f>
        <v>2.5</v>
      </c>
      <c r="AF281" s="7" t="str">
        <f>IF(AD281="No","No",_xlfn.XLOOKUP(_xlfn.XLOOKUP(B281,'Base stats'!B:B,'Base stats'!E:E),Groups!A:A,Groups!AA:AA))</f>
        <v>Beak</v>
      </c>
      <c r="AG281" s="7" t="str">
        <f>IF(AD281="No","No",_xlfn.XLOOKUP(_xlfn.XLOOKUP(B281,'Base stats'!B:B,'Base stats'!E:E),Groups!A:A,Groups!AB:AB))</f>
        <v>beak</v>
      </c>
      <c r="AH281" s="7" t="str">
        <f>IF(AD281="No","No",_xlfn.XLOOKUP(_xlfn.XLOOKUP(B281,'Base stats'!B:B,'Base stats'!E:E),Groups!A:A,Groups!AC:AC))</f>
        <v>Blunt</v>
      </c>
      <c r="AI281" s="13" t="str">
        <f>IF(_xlfn.XLOOKUP(_xlfn.XLOOKUP(B281,'Base stats'!B:B,'Base stats'!E:E),Groups!A:A,Groups!AD:AD)=0,"No",MROUND((LOG10(_xlfn.XLOOKUP(B281,'Base stats'!B:B,'Base stats'!AS:AS))*(AO281^0.75)+(_xlfn.XLOOKUP(B281,'Base stats'!B:B,'Base stats'!AS:AS)/1000)^(2/3)+_xlfn.XLOOKUP(B281,'Base stats'!B:B,'Base stats'!AY:AY)+_xlfn.XLOOKUP(B281,'Base stats'!B:B,'Base stats'!BA:BA))+0.5,0.5))</f>
        <v>No</v>
      </c>
      <c r="AJ281" s="7" t="str">
        <f>IF(AI281="No","No",MAX(_xlfn.XLOOKUP(_xlfn.XLOOKUP(B281,'Base stats'!B:B,'Base stats'!E:E),Groups!A:A,Groups!AE:AE),MROUND(_xlfn.XLOOKUP(_xlfn.XLOOKUP(B281,'Base stats'!B:B,'Base stats'!E:E),Groups!A:A,Groups!AE:AE)*IF(_xlfn.XLOOKUP(_xlfn.XLOOKUP(B281,'Base stats'!B:B,'Base stats'!E:E),Groups!A:A,Groups!AJ:AJ)="Photonozoa",0.6,1)*_xlfn.XLOOKUP(B281,'Base stats'!B:B,'Base stats'!C:C)^0.165,0.05)))</f>
        <v>No</v>
      </c>
      <c r="AK281" s="7" t="str">
        <f>IF(AI281="No","No",_xlfn.XLOOKUP(_xlfn.XLOOKUP(B281,'Base stats'!B:B,'Base stats'!E:E),Groups!A:A,Groups!AF:AF))</f>
        <v>No</v>
      </c>
      <c r="AL281" s="7" t="str">
        <f>IF(AI281="No","No",_xlfn.XLOOKUP(_xlfn.XLOOKUP(B281,'Base stats'!B:B,'Base stats'!E:E),Groups!A:A,Groups!AG:AG))</f>
        <v>No</v>
      </c>
      <c r="AM281" s="7" t="str">
        <f>IF(AI281="No","No",_xlfn.XLOOKUP(_xlfn.XLOOKUP(B281,'Base stats'!B:B,'Base stats'!E:E),Groups!A:A,Groups!AH:AH))</f>
        <v>No</v>
      </c>
      <c r="AN281" s="2" t="str">
        <f t="shared" si="28"/>
        <v>No</v>
      </c>
      <c r="AO281" s="2">
        <f>MROUND(IF(AND(_xlfn.XLOOKUP(B281,'Base stats'!B:B,'Base stats'!C:C)&gt;=0.5,_xlfn.XLOOKUP(B281,'Base stats'!B:B,'Base stats'!C:C)&lt;=0.8),
IF(_xlfn.XLOOKUP(B281,'Base stats'!B:B,'Base stats'!C:C)&lt;0.1,0.05,IF(_xlfn.XLOOKUP(B281,'Base stats'!B:B,'Base stats'!C:C)&lt;=70,(_xlfn.XLOOKUP(B281,'Base stats'!B:B,'Base stats'!C:C)/70)^0.426489913056526,IF(_xlfn.XLOOKUP(B281,'Base stats'!B:B,'Base stats'!C:C)&lt;=400,(_xlfn.XLOOKUP(B281,'Base stats'!B:B,'Base stats'!C:C)/70)^0.572811455315093,IF(_xlfn.XLOOKUP(B281,'Base stats'!B:B,'Base stats'!C:C)&lt;=2000,2.71391647193063*(_xlfn.XLOOKUP(B281,'Base stats'!B:B,'Base stats'!C:C)/400)^0.252459582904293,3.74314280240376*(_xlfn.XLOOKUP(B281,'Base stats'!B:B,'Base stats'!C:C)/2000)^0.357012633876913)))),
IF(_xlfn.XLOOKUP(B281,'Base stats'!B:B,'Base stats'!C:C)&lt;0.1,0.05,IF(_xlfn.XLOOKUP(B281,'Base stats'!B:B,'Base stats'!C:C)&lt;0.4,0.1,IF(_xlfn.XLOOKUP(B281,'Base stats'!B:B,'Base stats'!C:C)&lt;=70,(_xlfn.XLOOKUP(B281,'Base stats'!B:B,'Base stats'!C:C)/70)^0.445823913056526,IF(_xlfn.XLOOKUP(B281,'Base stats'!B:B,'Base stats'!C:C)&lt;=400,(_xlfn.XLOOKUP(B281,'Base stats'!B:B,'Base stats'!C:C)/70)^0.572811455315093,IF(_xlfn.XLOOKUP(B281,'Base stats'!B:B,'Base stats'!C:C)&lt;=2000,2.71391647193063*(_xlfn.XLOOKUP(B281,'Base stats'!B:B,'Base stats'!C:C)/400)^0.252459582904293,3.74314280240376*(_xlfn.XLOOKUP(B281,'Base stats'!B:B,'Base stats'!C:C)/2000)^0.357012633876913)))))),
IF(_xlfn.XLOOKUP(B281,'Base stats'!B:B,'Base stats'!C:C)&lt;0.1,0.05,IF(_xlfn.XLOOKUP(B281,'Base stats'!B:B,'Base stats'!C:C)&lt;=100,0.05,IF(_xlfn.XLOOKUP(B281,'Base stats'!B:B,'Base stats'!C:C)&lt;=250,0.1,IF(_xlfn.XLOOKUP(B281,'Base stats'!B:B,'Base stats'!C:C)&lt;=4000,0.25,0.5)))))</f>
        <v>2.1</v>
      </c>
      <c r="AP281" s="8">
        <f>MROUND(AO281*_xlfn.XLOOKUP(_xlfn.XLOOKUP(B281,'Base stats'!B:B,'Base stats'!E:E),Groups!A:A,Groups!AI:AI)*_xlfn.XLOOKUP(B281,'Base stats'!B:B,'Base stats'!Z:Z),0.05)</f>
        <v>2.1</v>
      </c>
      <c r="AQ281" s="8">
        <f>MAX(0.01,MROUND(IF(CC281="True",0.196*(AO281*100*1000)^0.889,IF(_xlfn.XLOOKUP(_xlfn.XLOOKUP(B281,'Base stats'!B:B,'Base stats'!E:E),Groups!A:A,Groups!AJ:AJ)="Bird",10.5*(AO281*100*1000)^0.681,4.82*(AO281*100*1000)^0.734))/(4.82*(1*100*1000)^0.734)/IF(AO281&lt;3.5,2,IF(AO281=3.5,1.5,1.25))*(1+0.132282374779864/(AO281^0.994035016789033+0.00905238001496948)),0.05))</f>
        <v>1.05</v>
      </c>
      <c r="AR281" s="9">
        <f>IFERROR(MROUND(_xlfn.XLOOKUP(B281,'Base stats'!B:B,'Base stats'!H:H)/IF(_xlfn.XLOOKUP(B281,'Base stats'!B:B,'Base stats'!I:I)&lt;&gt;1,(122.5/70),1.2),IF(_xlfn.XLOOKUP(B281,'Base stats'!B:B,'Base stats'!H:H)&gt;=30,5,IF(_xlfn.XLOOKUP(B281,'Base stats'!B:B,'Base stats'!H:H)&gt;=15,3,IF(_xlfn.XLOOKUP(B281,'Base stats'!B:B,'Base stats'!H:H)&gt;=10,2,1)))),"Immortal")</f>
        <v>30</v>
      </c>
      <c r="AS281" s="35" t="str">
        <f>IFERROR(IF(OR(_xlfn.XLOOKUP(B281,'Base stats'!B:B,'Base stats'!F:F)="Atypical reproduction",_xlfn.XLOOKUP(B281,'Base stats'!B:B,'Base stats'!F:F)="Lay eggs"),"Lay eggs",MIN(20,MAX(5.5,ROUND(((_xlfn.XLOOKUP(B281,'Base stats'!B:B,'Base stats'!F:F)-25)*(14.5/615) + 5.5)*2,0)/2))),"Unknown")</f>
        <v>Lay eggs</v>
      </c>
      <c r="AT281" s="8">
        <f>IF(_xlfn.XLOOKUP(B281,'Base stats'!B:B,'Base stats'!G:G)="Atypical reproduction","No",IFERROR(MAX(IF(_xlfn.XLOOKUP(B281,'Base stats'!B:B,'Base stats'!G:G)&lt;0.5,0.2,0.3),MROUND(_xlfn.XLOOKUP(B281,'Base stats'!B:B,'Base stats'!G:G)/(365/60),0.2)),"Unknown"))</f>
        <v>0.4</v>
      </c>
      <c r="AU281" s="8">
        <f t="shared" si="29"/>
        <v>0.2</v>
      </c>
      <c r="AV281" s="8" t="str">
        <f>IFERROR(IFERROR(MROUND(_xlfn.XLOOKUP(B281,'Base stats'!B:B,'Base stats'!J:J),0.1),"Lay eggs"),"Cannot breed")</f>
        <v>Lay eggs</v>
      </c>
      <c r="AW281" s="2" t="str">
        <f t="shared" si="30"/>
        <v>true</v>
      </c>
      <c r="AX281" s="2" t="str">
        <f>IF(_xlfn.XLOOKUP(_xlfn.XLOOKUP(Animals!B281,'Base stats'!B:B,'Base stats'!E:E),Groups!A:A,Groups!AK:AK)=1,"true","false")</f>
        <v>false</v>
      </c>
      <c r="AY281" s="25" t="str">
        <f>IF(_xlfn.XLOOKUP(B281,'Base stats'!B:B,'Base stats'!Y:Y)="Liquor","Liquor, CarnivoreAnimalStrict",IF(AND(_xlfn.XLOOKUP(B281,'Base stats'!B:B,'Base stats'!Y:Y)="Carnivore",_xlfn.XLOOKUP(_xlfn.XLOOKUP(B281,'Base stats'!B:B,'Base stats'!E:E),Groups!A:A,Groups!AJ:AJ)="Photonozoa"),"CarnivoreAnimalStrict, OvivoreAnimal",IF(_xlfn.XLOOKUP(B281,'Base stats'!B:B,'Base stats'!Y:Y)="Carnivore","CarnivoreAnimal, OvivoreAnimal",IF(_xlfn.XLOOKUP(B281,'Base stats'!B:B,'Base stats'!Y:Y)="Dendrovore","VegetarianRoughAnimal, DendrovoreAnimal",IF(_xlfn.XLOOKUP(B281,'Base stats'!B:B,'Base stats'!Y:Y)="Herbivore","VegetarianRoughAnimal",IF(_xlfn.XLOOKUP(B281,'Base stats'!B:B,'Base stats'!Y:Y)="OmnivoreRough","OmnivoreRoughAnimal, OvivoreAnimal","OmnivoreAnimal, OvivoreAnimal"))))))</f>
        <v>OmnivoreRoughAnimal, OvivoreAnimal</v>
      </c>
      <c r="AZ281" s="2">
        <f>IF(_xlfn.XLOOKUP(_xlfn.XLOOKUP(B281,'Base stats'!B:B,'Base stats'!E:E),Groups!A:A,Groups!D:D)=1,MROUND((1-J281)*5+1,2)*IF(J281&lt;=0.4,2,1),"No")</f>
        <v>4</v>
      </c>
      <c r="BA281" s="2" t="str">
        <f>IF(AND(_xlfn.XLOOKUP(B281,'Base stats'!B:B,'Base stats'!AH:AH)="&lt;li&gt;Seal&lt;/li&gt;",G281="Odyssey"),"&lt;li&gt;AEXP_Seal&lt;/li&gt;",_xlfn.XLOOKUP(B281,'Base stats'!B:B,'Base stats'!AH:AH))</f>
        <v>&lt;li&gt;Cassowary&lt;/li&gt;</v>
      </c>
      <c r="BB281" s="2" t="str">
        <f>_xlfn.XLOOKUP(B281,'Base stats'!B:B,'Base stats'!AG:AG)</f>
        <v>Leather_Bird</v>
      </c>
      <c r="BC281" s="23" t="str">
        <f>_xlfn.XLOOKUP(_xlfn.XLOOKUP(B281,'Base stats'!B:B,'Base stats'!E:E),Groups!A:A,Groups!AL:AL)</f>
        <v>Bird</v>
      </c>
      <c r="BD281" s="23">
        <f>MIN(1,MROUND(IF(AND(AO281&lt;0.5,_xlfn.XLOOKUP(B281,'Base stats'!B:B,'Base stats'!AA:AA)=0),0,IF(OR(_xlfn.XLOOKUP(Animals!B281,'Base stats'!B:B,'Base stats'!O:O)=2,_xlfn.XLOOKUP(_xlfn.XLOOKUP(B281,'Base stats'!B:B,'Base stats'!E:E),Groups!A:A,Groups!AN:AN)=0),0,_xlfn.XLOOKUP(_xlfn.XLOOKUP(B281,'Base stats'!B:B,'Base stats'!E:E),Groups!A:A,Groups!AN:AN)/IF(_xlfn.XLOOKUP(Animals!B281,'Base stats'!B:B,'Base stats'!O:O)=1,2,1)))+_xlfn.XLOOKUP(B281,'Base stats'!B:B,'Base stats'!AC:AC),0.005))</f>
        <v>0</v>
      </c>
      <c r="BE281" s="23">
        <f>MIN(1,MROUND(IF(AND(AO281&lt;0.5,_xlfn.XLOOKUP(B281,'Base stats'!B:B,'Base stats'!AA:AA)=0),0,IF(_xlfn.XLOOKUP(_xlfn.XLOOKUP(B281,'Base stats'!B:B,'Base stats'!E:E),Groups!A:A,Groups!AO:AO)=0,0,_xlfn.XLOOKUP(_xlfn.XLOOKUP(B281,'Base stats'!B:B,'Base stats'!E:E),Groups!A:A,Groups!AO:AO)/IF(_xlfn.XLOOKUP(Animals!B281,'Base stats'!B:B,'Base stats'!O:O)=2,3,1)))+_xlfn.XLOOKUP(B281,'Base stats'!B:B,'Base stats'!AD:AD),0.005))</f>
        <v>0</v>
      </c>
      <c r="BF281" s="2" t="str">
        <f>IF(J281&gt;0.3,"No",_xlfn.XLOOKUP(_xlfn.XLOOKUP(Animals!B281,'Base stats'!B:B,'Base stats'!E:E),Groups!A:A,Groups!AP:AP))</f>
        <v>No</v>
      </c>
      <c r="BG281" s="2" t="str">
        <f>IF(AND(J281&lt;=0.65,_xlfn.XLOOKUP(_xlfn.XLOOKUP(Animals!B281,'Base stats'!B:B,'Base stats'!E:E),Groups!A:A,Groups!AP:AP)&lt;&gt;"No",_xlfn.XLOOKUP(_xlfn.XLOOKUP(B281,'Base stats'!B:B,'Base stats'!E:E),Groups!A:A,Groups!D:D)=0),MROUND((80/3)*IF(_xlfn.XLOOKUP(B281,'Base stats'!B:B,'Base stats'!O:O)=2,0.2,AO281) + 24*(1-IF(BF281="No",0,BF281)) + 16/3, 12),"No")</f>
        <v>No</v>
      </c>
      <c r="BH281" s="2">
        <f>IF(AND(_xlfn.XLOOKUP(_xlfn.XLOOKUP(B281,'Base stats'!B:B,'Base stats'!E:E),Groups!A:A,Groups!AQ:AQ)=1,AO281&lt;=0.35),8,12)</f>
        <v>12</v>
      </c>
      <c r="BI281" s="2" t="str">
        <f>IF(_xlfn.XLOOKUP(_xlfn.XLOOKUP(B281,'Base stats'!B:B,'Base stats'!E:E),Groups!A:A,Groups!D:D)=0,_xlfn.XLOOKUP(_xlfn.XLOOKUP(B281,'Base stats'!B:B,'Base stats'!E:E),Groups!A:A,Groups!AR:AR),"None")</f>
        <v>None</v>
      </c>
      <c r="BJ281" s="2" t="str">
        <f>IF(AND(_xlfn.XLOOKUP(_xlfn.XLOOKUP(B281,'Base stats'!B:B,'Base stats'!E:E),Groups!A:A,Groups!AS:AS)=1,OR(_xlfn.XLOOKUP(B281,'Base stats'!B:B,'Base stats'!Y:Y)="Carnivore",_xlfn.XLOOKUP(B281,'Base stats'!B:B,'Base stats'!Y:Y)="Omnivore")),"true","false")</f>
        <v>false</v>
      </c>
      <c r="BK281" s="2" t="str">
        <f>IF(BJ281="true",MROUND(IF(AND(AO281&gt;0.5,OR(_xlfn.XLOOKUP(_xlfn.XLOOKUP(B281,'Base stats'!B:B,'Base stats'!E:E),Groups!A:A,Groups!AJ:AJ)="Photonozoa",_xlfn.XLOOKUP(_xlfn.XLOOKUP(B281,'Base stats'!B:B,'Base stats'!E:E),Groups!A:A,Groups!AJ:AJ)="Mammal")),Animals!AO281*1.75*IF(AW281="true",1.5,1),IF(AO281&lt;0.5,Animals!AO281*0.5,Animals!AO281)),IF(AO281&gt;2,0.5,IF(AO281&gt;0.5,0.25,0.1))),"No")</f>
        <v>No</v>
      </c>
      <c r="BL281" s="2">
        <f t="shared" si="31"/>
        <v>0</v>
      </c>
      <c r="BM281" s="25" t="str">
        <f>IF(_xlfn.XLOOKUP(B281,'Base stats'!B:B,'Base stats'!AN:AN)="Standard","No",MROUND((_xlfn.XLOOKUP(B281,'Base stats'!B:B,'Base stats'!AN:AN)/3.6)/I281,0.1))</f>
        <v>No</v>
      </c>
      <c r="BN281" s="25" t="str">
        <f t="shared" si="32"/>
        <v>false</v>
      </c>
      <c r="BO281" s="25" t="str">
        <f>IF(AND(OR(_xlfn.XLOOKUP(B281,'Base stats'!B:B,'Base stats'!Y:Y)="Carnivore",_xlfn.XLOOKUP(B281,'Base stats'!B:B,'Base stats'!Y:Y)="Omnivore",_xlfn.XLOOKUP(B281,'Base stats'!B:B,'Base stats'!Y:Y)="OmnivoreRough"),_xlfn.XLOOKUP(_xlfn.XLOOKUP(B281,'Base stats'!B:B,'Base stats'!E:E),Groups!A:A,Groups!AT:AT)=1),"true","false")</f>
        <v>false</v>
      </c>
      <c r="BP281" s="25" t="str" cm="1">
        <f t="array" ref="BP281">IF(
  _xlfn.TEXTJOIN(", ",TRUE,
    IF(AND(BJ281="true",AO281&gt;0.5,BI281&lt;&gt;"None"),"AttackTarget",""),
    IF(AND(_xlfn.XLOOKUP(_xlfn.XLOOKUP(B281,'Base stats'!B:B,'Base stats'!E:E),Groups!A:A,Groups!AJ:AJ="Mammal"),OR(_xlfn.XLOOKUP(B281,'Base stats'!B:B,'Base stats'!Y:Y)="Omnivore",_xlfn.XLOOKUP(B281,'Base stats'!B:B,'Base stats'!Y:Y)="OmnivoreRough")),"Forage",""),
    IF(BG281&lt;=36,"Comfort",""),
    IF(_xlfn.XLOOKUP(B281,'Base stats'!B:B,'Base stats'!AE:AE)&lt;&gt;"No",_xlfn.XLOOKUP(B281,'Base stats'!B:B,'Base stats'!AE:AE),"")
  ) = "",
  "No",
  _xlfn.TEXTJOIN(", ",TRUE,
    IF(AND(BJ281="true",AO281&gt;0.5,BI281&lt;&gt;"None"),"AttackTarget",""),
    IF(AND(_xlfn.XLOOKUP(_xlfn.XLOOKUP(B281,'Base stats'!B:B,'Base stats'!E:E),Groups!A:A,Groups!AJ:AJ="Mammal"),OR(_xlfn.XLOOKUP(B281,'Base stats'!B:B,'Base stats'!Y:Y)="Omnivore",_xlfn.XLOOKUP(B281,'Base stats'!B:B,'Base stats'!Y:Y)="OmnivoreRough")),"Forage",""),
    IF(BG281&lt;=36,"Comfort",""),
    IF(_xlfn.XLOOKUP(B281,'Base stats'!B:B,'Base stats'!AE:AE)&lt;&gt;"No",_xlfn.XLOOKUP(B281,'Base stats'!B:B,'Base stats'!AE:AE),"")
  )
)</f>
        <v>No</v>
      </c>
      <c r="BQ281" s="25" t="str">
        <f>IF(
   AND(
      'Base stats'!AN281="Standard",_xlfn.XLOOKUP(_xlfn.XLOOKUP(B281,'Base stats'!B:B,'Base stats'!E:E),Groups!A:A,Groups!AU:AU)=0,
      OR(
      BO281="True"
      )
   ),
   10,
   IF(
       OR(BM281&lt;&gt;"No",_xlfn.XLOOKUP(_xlfn.XLOOKUP(B281,'Base stats'!B:B,'Base stats'!E:E),Groups!A:A,Groups!AU:AU)=1),
      1,
      "No"
   )
)</f>
        <v>No</v>
      </c>
      <c r="BR281" s="9">
        <f>MROUND((1 + ((0.2*IF(OR(Q281="No",R281="No",R281=0),0,Q281/R281)
+IF(OR(V281="No",S281="No",T281="No"),0,S281/T281*(LEN(V281)-LEN(SUBSTITUTE(V281,",",""))+1))
+IF(OR(X281="No",Y281="No"),0,X281/Y281)
+IF(OR(AD281="No",AE281="No"),0,AD281/AE281)
+IF(OR(AL281="No",AI281="No",AJ281="No"),0,AI281/AJ281*(LEN(AL281)-LEN(SUBSTITUTE(AL281,",",""))+1))
)/(0.2*IF(OR(Q281="No",R281="No",R281=0),0,1)
+IF(OR(V281="No",S281="No",T281="No"),0,LEN(V281)-LEN(SUBSTITUTE(V281,",",""))+1)
+IF(OR(X281="No",Y281="No"),0,1)
+IF(OR(AD281="No",AE281="No"),0,1)
+IF(OR(AL281="No",AI281="No",AJ281="No"),0,LEN(AL281)-LEN(SUBSTITUTE(AL281,",",""))+1))*62%)* 2)*(1 + (AP281 / (IF(_xlfn.XLOOKUP(_xlfn.XLOOKUP(B281,'Base stats'!B:B,'Base stats'!E:E),Groups!A:A,Groups!AJ:AJ)="Photonozoa",0.3,1)) + _xlfn.XLOOKUP(B281,'Base stats'!B:B,'Base stats'!AV:AV) * 1.8) * 2) * 2.5 + 10 + I281 * 2,5)+IF(_xlfn.XLOOKUP(B281,'Base stats'!B:B,'Base stats'!AK:AK)=1,50,0)</f>
        <v>135</v>
      </c>
      <c r="BS281" s="8">
        <f t="shared" si="33"/>
        <v>1.25</v>
      </c>
      <c r="BT281" s="8" t="str">
        <f>_xlfn.XLOOKUP(B281,'Base stats'!B:B,'Base stats'!AF:AF)</f>
        <v>1~3</v>
      </c>
      <c r="BU281" s="2" t="str">
        <f>IF(AND(J281&lt;=0.95,OR(_xlfn.XLOOKUP(B281,'Base stats'!B:B,'Base stats'!AK:AK)=1,_xlfn.XLOOKUP(B281,'Base stats'!B:B,'Base stats'!Y:Y)="Carnivore",_xlfn.XLOOKUP(B281,'Base stats'!B:B,'Base stats'!Y:Y)="Omnivore",BE281&gt;0.1)),"true","false")</f>
        <v>false</v>
      </c>
      <c r="BV281" s="2" t="str">
        <f>IF(_xlfn.XLOOKUP(B281,'Base stats'!B:B,'Base stats'!AI:AI)=1,"true","false")</f>
        <v>true</v>
      </c>
      <c r="BW281" s="25" t="str">
        <f>IF(E281="BaseInsect","AnimalInsect",
IF(J281&gt;0.95,"AnimalExotic",
_xlfn.TEXTJOIN(", ",TRUE,
IF(OR(_xlfn.XLOOKUP(B281,'Base stats'!B:B,'Base stats'!AM:AM)=1,AND(_xlfn.XLOOKUP(B281,'Base stats'!B:B,'Base stats'!O:O)=0,_xlfn.XLOOKUP(_xlfn.XLOOKUP(B281,'Base stats'!B:B,'Base stats'!E:E),Groups!A:A,Groups!B:B)&gt;0)),"AnimalUncommon","AnimalCommon"),
IF(AND(_xlfn.XLOOKUP(B281,'Base stats'!B:B,'Base stats'!O:O)=2,_xlfn.XLOOKUP(_xlfn.XLOOKUP(B281,'Base stats'!B:B,'Base stats'!E:E),Groups!A:A,Groups!D:D)=0),"AnimalPet",IF(AND(_xlfn.XLOOKUP(B281,'Base stats'!B:B,'Base stats'!O:O)&lt;&gt;0,_xlfn.XLOOKUP(_xlfn.XLOOKUP(B281,'Base stats'!B:B,'Base stats'!E:E),Groups!A:A,Groups!D:D)&lt;&gt;0),"AnimalFarm","")),
IF(OR(_xlfn.XLOOKUP(B281,'Base stats'!B:B,'Base stats'!AK:AK)=1,AND(BI281&lt;&gt;"None",BR281&gt;=60),ISNUMBER(SEARCH("Attack target",BP281))),"AnimalFighter","")
)))</f>
        <v>AnimalUncommon, AnimalFarm</v>
      </c>
      <c r="BX281" s="25" t="str">
        <f>IF(G281="None",TRIM(
SUBSTITUTE(
IF(COUNTIF(Biomes!B$2:B$259,"="&amp;$C281)&gt;0,Biomes!B$1&amp;", ","")&amp;
IF(COUNTIF(Biomes!C$2:C$259,"="&amp;$C281)&gt;0,Biomes!C$1&amp;", ","")&amp;
IF(COUNTIF(Biomes!D$2:D$259,"="&amp;$C281)&gt;0,Biomes!D$1&amp;", ","")&amp;
IF(COUNTIF(Biomes!F$2:F$259,"="&amp;$C281)&gt;0,Biomes!F$1&amp;", ","")&amp;
IF(COUNTIF(Biomes!G$2:G$259,"="&amp;$C281)&gt;0,Biomes!G$1&amp;", ","")&amp;
IF(COUNTIF(Biomes!H$2:H$259,"="&amp;$C281)&gt;0,Biomes!H$1&amp;", ","")&amp;
IF(COUNTIF(Biomes!I$2:I$259,"="&amp;$C281)&gt;0,Biomes!I$1&amp;", ","")&amp;
IF(COUNTIF(Biomes!J$2:J$259,"="&amp;$C281)&gt;0,Biomes!J$1&amp;", ","")&amp;
IF(COUNTIF(Biomes!M$2:M$259,"="&amp;$C281)&gt;0,Biomes!M$1&amp;", ","")&amp;
IF(COUNTIF(Biomes!N$2:N$259,"="&amp;$C281)&gt;0,Biomes!N$1&amp;", ","")&amp;
IF(COUNTIF(Biomes!O$2:O$259,"="&amp;$C281)&gt;0,Biomes!O$1&amp;", ","")&amp;
IF(COUNTIF(Biomes!P$2:P$259,"="&amp;$C281)&gt;0,Biomes!P$1&amp;", ","")&amp;
IF(COUNTIF(Biomes!K$2:K$259,"="&amp;$C281)&gt;0,Biomes!K$1&amp;", ","")&amp;
IF(COUNTIF(Biomes!Q$3:Q$259,"="&amp;$C281)&gt;0,Biomes!Q$1&amp;", ","")&amp;
IF(COUNTIF(Biomes!L$2:L$259,"="&amp;$C281)&gt;0,Biomes!L$1&amp;", ","")&amp;
IF(COUNTIF(Biomes!E$2:E$259,"="&amp;$C281)&gt;0,Biomes!E$1&amp;", ","")&amp;IF(COUNTIF(Biomes!S$2:S$259,"="&amp;$C281)&gt;0,Biomes!S$1&amp;", ","")&amp;
IF(COUNTIF(Biomes!R$2:R$259,"="&amp;$C281)&gt;0,Biomes!R$1&amp;", ",""),", ","")
),_xlfn.XLOOKUP(B281,B:B,BX:BX))</f>
        <v>TemperateForest TemperateSwamp AridShrubland Grasslands</v>
      </c>
      <c r="BY281" s="25" t="str">
        <f>IF(_xlfn.XLOOKUP(B281,'Base stats'!B:B,'Base stats'!AJ:AJ)=1,"true","false")</f>
        <v>false</v>
      </c>
      <c r="BZ281" s="25">
        <f>IF(_xlfn.XLOOKUP(B281,'Base stats'!B:B,'Base stats'!N:N)=1,"No",MAX(0.001,MIN(MROUND(IF(AND(BJ281="True",CC281="False"),POWER(10,3.47*LOG10(_xlfn.XLOOKUP(B281,'Base stats'!B:B,'Base stats'!C:C)*1000)^-0.96),POWER(10,4.15*LOG10(_xlfn.XLOOKUP(B281,'Base stats'!B:B,'Base stats'!C:C)*1000)^-0.73))*IF(_xlfn.XLOOKUP(B281,'Base stats'!B:B,'Base stats'!AK:AK)=1,0.5,1)*IF(_xlfn.XLOOKUP(B281,'Base stats'!B:B,'Base stats'!AM:AM)=1,0.1,1)/100,IF(_xlfn.XLOOKUP(B281,'Base stats'!B:B,'Base stats'!AM:AM)=1,0.001,0.025)),0.5)))</f>
        <v>1.6E-2</v>
      </c>
      <c r="CA281" s="25" t="str">
        <f>IF(P281="Standard","No",MAX(0.001,MIN(MROUND(IF(AND(BJ281="True",CC281="False"),POWER(10,3.47*LOG10(_xlfn.XLOOKUP(B281,'Base stats'!B:B,'Base stats'!C:C)*1000)^-0.96),POWER(10,4.15*LOG10(_xlfn.XLOOKUP(B281,'Base stats'!B:B,'Base stats'!C:C)*1000)^-0.73))*IF(_xlfn.XLOOKUP(B281,'Base stats'!B:B,'Base stats'!AM:AM)=1,0.1,1)*_xlfn.XLOOKUP(B281,'Base stats'!B:B,'Base stats'!R:R)/100,IF(_xlfn.XLOOKUP(B281,'Base stats'!B:B,'Base stats'!AM:AM)=1,0.001,0.025)),0.5)))</f>
        <v>No</v>
      </c>
      <c r="CB281" s="25" t="str">
        <f>IF(_xlfn.XLOOKUP(_xlfn.XLOOKUP(B281,'Base stats'!B:B,'Base stats'!E:E),Groups!A:A,Groups!AJ:AJ)="Mammal","True","False")</f>
        <v>False</v>
      </c>
      <c r="CC281" s="25" t="str">
        <f>IF(OR(_xlfn.XLOOKUP(_xlfn.XLOOKUP(B281,'Base stats'!B:B,'Base stats'!E:E),Groups!A:A,Groups!AJ:AJ)="Reptile",_xlfn.XLOOKUP(_xlfn.XLOOKUP(B281,'Base stats'!B:B,'Base stats'!E:E),Groups!A:A,Groups!AJ:AJ)="Amphibian",_xlfn.XLOOKUP(_xlfn.XLOOKUP(B281,'Base stats'!B:B,'Base stats'!E:E),Groups!A:A,Groups!AJ:AJ)="Invertebrate"),"True","False")</f>
        <v>False</v>
      </c>
      <c r="CD281" s="25" t="str">
        <f t="shared" si="34"/>
        <v>False</v>
      </c>
      <c r="CE281" s="25" t="str">
        <f>IF(_xlfn.XLOOKUP(_xlfn.XLOOKUP(B281,'Base stats'!B:B,'Base stats'!E:E),Groups!A:A,Groups!AX:AX),"True","False")</f>
        <v>False</v>
      </c>
      <c r="CF281" s="25" t="str">
        <f>IF(_xlfn.XLOOKUP(_xlfn.XLOOKUP(B281,'Base stats'!B:B,'Base stats'!E:E),Groups!A:A,Groups!AY:AY),"True","False")</f>
        <v>False</v>
      </c>
      <c r="CG281" s="25" t="str">
        <f>IF(_xlfn.XLOOKUP(_xlfn.XLOOKUP(B281,'Base stats'!B:B,'Base stats'!E:E),Groups!A:A,Groups!AW:AW),"True","False")</f>
        <v>False</v>
      </c>
      <c r="CH281" s="25" t="str">
        <f>IF(
OR(
_xlfn.XLOOKUP(_xlfn.XLOOKUP(B281,'Base stats'!B:B,'Base stats'!E:E),Groups!A:A,Groups!AZ:AZ)=0,
AND(
_xlfn.XLOOKUP(B281,'Base stats'!B:B,'Base stats'!Y:Y)&lt;&gt;"Carnivore",
_xlfn.XLOOKUP(B281,'Base stats'!B:B,'Base stats'!Y:Y)&lt;&gt;"Omnivore",
_xlfn.XLOOKUP(B281,'Base stats'!B:B,'Base stats'!Y:Y)&lt;&gt;"OmnivoreRough"
)
),
"No",
IF(
_xlfn.XLOOKUP(_xlfn.XLOOKUP(B281,'Base stats'!B:B,'Base stats'!E:E),Groups!A:A,Groups!AZ:AZ)=1,
"Flesh",
IF(
_xlfn.XLOOKUP(_xlfn.XLOOKUP(B281,'Base stats'!B:B,'Base stats'!E:E),Groups!A:A,Groups!AZ:AZ)=2,
"Bone",
""
)
)
)</f>
        <v>No</v>
      </c>
      <c r="CI281" s="25" t="str">
        <f>IF(_xlfn.XLOOKUP(_xlfn.XLOOKUP(B281,'Base stats'!B:B,'Base stats'!E:E),Groups!A:A,Groups!BB:BB),"True","False")</f>
        <v>True</v>
      </c>
      <c r="CJ281" s="25" t="str">
        <f>IF(_xlfn.XLOOKUP(_xlfn.XLOOKUP(B281,'Base stats'!B:B,'Base stats'!E:E),Groups!A:A,Groups!BA:BA),"True","False")</f>
        <v>False</v>
      </c>
    </row>
    <row r="282" spans="1:88" ht="16.5" thickTop="1" thickBot="1" x14ac:dyDescent="0.3">
      <c r="A282" s="26" t="s">
        <v>1472</v>
      </c>
      <c r="B282" s="6" t="str">
        <f>_xlfn.XLOOKUP(A282,'Base stats'!A:A,'Base stats'!B:B)</f>
        <v>Antilope giganteus</v>
      </c>
      <c r="C282" s="28" t="s">
        <v>1473</v>
      </c>
      <c r="D282" s="28" t="s">
        <v>1341</v>
      </c>
      <c r="E282" s="28" t="s">
        <v>673</v>
      </c>
      <c r="F282" s="28" t="s">
        <v>673</v>
      </c>
      <c r="G282" s="28" t="s">
        <v>673</v>
      </c>
      <c r="H282" s="2">
        <f>MROUND((
  (IF(AND(_xlfn.XLOOKUP(B282,'Base stats'!B:B,'Base stats'!AL:AL)=0,BI282="None",_xlfn.XLOOKUP(_xlfn.XLOOKUP(B282,'Base stats'!B:B,'Base stats'!E:E),Groups!A:A,Groups!B:B)=0), (18 + BR282 * 2.7) * 0.5,
    IF(AND(_xlfn.XLOOKUP(B282,'Base stats'!B:B,'Base stats'!AL:AL)=0,OR(AO282&lt;0.55,AND(BI282="Intermediate",_xlfn.XLOOKUP(_xlfn.XLOOKUP(B282,'Base stats'!B:B,'Base stats'!E:E),Groups!A:A,Groups!B:B)&lt;2))), (18 + BR282 * 2.7),
      IF(OR(BI282="Advanced",_xlfn.XLOOKUP(B282,'Base stats'!B:B,'Base stats'!AL:AL)=1,_xlfn.XLOOKUP(_xlfn.XLOOKUP(B282,'Base stats'!B:B,'Base stats'!E:E),Groups!A:A,Groups!B:B)=2), (18 + BR282 * 2.7) + 250, (18 + BR282 * 2.7))
    )
  ))
  + AO282 * 80
  + IF(COUNTIF(EggMilk!K$2:K$998, A282) &gt; 0, 125, 0)
  + IF(COUNTIF(EggMilk!P$2:P$998, A282) &gt; 0, 90, 0)
  + IF(COUNTIF(EggMilk!A$2:A$998, A282) &gt; 0, 90, 0)
)
* (0.8 + 0.4 * J282)
* 0.75,25)</f>
        <v>400</v>
      </c>
      <c r="I282" s="2">
        <f>MROUND(ROUNDDOWN(_xlfn.XLOOKUP(B282,'Base stats'!B:B,'Base stats'!L:L)/3.6/(23.3/11),1),0.5)</f>
        <v>5</v>
      </c>
      <c r="J282" s="2">
        <f>IF(OR(_xlfn.XLOOKUP(B282,'Base stats'!B:B,'Base stats'!AB:AB)=1,_xlfn.XLOOKUP(_xlfn.XLOOKUP(B282,'Base stats'!B:B,'Base stats'!E:E),Groups!A:A,Groups!C:C)="Untamable"),1,IF(_xlfn.XLOOKUP(B282,'Base stats'!B:B,'Base stats'!AL:AL)=1,0.99,MIN(MROUND((1-0.6282*EXP(-0.459*AO282))*_xlfn.XLOOKUP(_xlfn.XLOOKUP(B282,'Base stats'!B:B,'Base stats'!E:E),Groups!A:A,Groups!C:C)*IF(_xlfn.XLOOKUP(B282,'Base stats'!B:B,'Base stats'!O:O)=1,0.5,IF(_xlfn.XLOOKUP(B282,'Base stats'!B:B,'Base stats'!O:O)=2,0,1)),0.05),IF(AO282&gt;3.5,0.985,0.95))))</f>
        <v>0.30000000000000004</v>
      </c>
      <c r="K282" s="2">
        <f>ROUNDUP(AO282*_xlfn.XLOOKUP(_xlfn.XLOOKUP(B282,'Base stats'!B:B,'Base stats'!E:E),Groups!A:A,Groups!E:E),0)</f>
        <v>17</v>
      </c>
      <c r="L282" s="2">
        <f>IF(OR(_xlfn.XLOOKUP(_xlfn.XLOOKUP(B282,'Base stats'!B:B,'Base stats'!E:E),Groups!A:A,Groups!F:F)=2,ISNUMBER(SEARCH("SeaIce",BX282)),ISNUMBER(SEARCH("IceSheet",BX282))),-50,IF(OR(ISNUMBER(SEARCH("GlacialPlain",BX282)),ISNUMBER(SEARCH("Tundra",BX282))),-40,IF(OR(ISNUMBER(SEARCH("Alpine",BX282)),ISNUMBER(SEARCH("BorealForest",BX282)),ISNUMBER(SEARCH("ColdBog",BX282))),-30,IF(OR(ISNUMBER(SEARCH("TemperateForest",BX282)),ISNUMBER(SEARCH("TemperateSwamp",BX282))),-20,IF(_xlfn.XLOOKUP(_xlfn.XLOOKUP(B282,'Base stats'!B:B,'Base stats'!E:E),Groups!A:A,Groups!F:F)=1,-15,IF(OR(ISNUMBER(SEARCH("Desert",BX282)),ISNUMBER(SEARCH("ExtremeDesert",BX282))),-10,IF(OR(ISNUMBER(SEARCH("Grasslands",BX282)),ISNUMBER(SEARCH("TropicalRainforest",BX282)),ISNUMBER(SEARCH("TropicalSwamp",BX282))),10,0)))))))-IF(CC282="False",MIN(IFERROR(MAX(MROUND(LOG10(_xlfn.XLOOKUP(B282,'Base stats'!B:B,'Base stats'!C:C)^(2/3))*10,5),5),5),30))-_xlfn.XLOOKUP(B282,'Base stats'!B:B,'Base stats'!P:P)+IF(CC282="True",5,0)</f>
        <v>-35</v>
      </c>
      <c r="M282" s="2">
        <f>IF(OR(_xlfn.XLOOKUP(_xlfn.XLOOKUP(B282,'Base stats'!B:B,'Base stats'!E:E),Groups!A:A,Groups!G:G)=2,ISNUMBER(SEARCH("Desert",BX282)),ISNUMBER(SEARCH("ExtremeDesert",BX282)),ISNUMBER(SEARCH("LavaField",BX282))),50,IF(ISNUMBER(SEARCH("Grasslands",BX282)),45,IF(OR(_xlfn.XLOOKUP(_xlfn.XLOOKUP(B282,'Base stats'!B:B,'Base stats'!E:E),Groups!A:A,Groups!G:G)=1,ISNUMBER(SEARCH("TropicalRainforest",BX282)),ISNUMBER(SEARCH("TropicalSwamp",BX282))),40,IF(OR(ISNUMBER(SEARCH("TemperateForest",BX282)),ISNUMBER(SEARCH("TemperateSwamp",BX282))),35,IF(OR(ISNUMBER(SEARCH("Alpine",BX282)),ISNUMBER(SEARCH("BorealForest",BX282)),ISNUMBER(SEARCH("ColdBog",BX282))),30,IF(ISNUMBER(OR(ISNUMBER(SEARCH("GlacialPlain",BX282)),SEARCH("Tundra",BX282))),25,IF(OR(ISNUMBER(SEARCH("SeaIce",BX282)),ISNUMBER(SEARCH("IceSheet",BX282)),ISNUMBER(SEARCH("TropicalSwamp",BX282))),10,35)))))))+_xlfn.XLOOKUP(B282,'Base stats'!B:B,'Base stats'!Q:Q)</f>
        <v>50</v>
      </c>
      <c r="N282" s="8" t="str">
        <f>IF(
_xlfn.XLOOKUP(
_xlfn.XLOOKUP(B282,'Base stats'!B:B,'Base stats'!E:E),
Groups!A:A,
Groups!L:L
)=1,
MIN(
MROUND(
IF(
_xlfn.XLOOKUP(B282,'Animals CE'!B:B,'Animals CE'!Z:Z)&lt;=1.5,
_xlfn.XLOOKUP(B282,'Animals CE'!B:B,'Animals CE'!Z:Z)/2+0.05,
0.8+
(_xlfn.XLOOKUP(B282,'Animals CE'!B:B,'Animals CE'!Z:Z)-1.5)
*0.02
),
0.05
),
200%
),
"No"
)</f>
        <v>No</v>
      </c>
      <c r="O282" s="8" t="str">
        <f>IF(
_xlfn.XLOOKUP(
_xlfn.XLOOKUP(B282,'Base stats'!B:B,'Base stats'!E:E),
Groups!A:A,
Groups!L:L
)=1,
MIN(
MROUND(
IF(
_xlfn.XLOOKUP(B282,'Animals CE'!B:B,'Animals CE'!AA:AA)&lt;=1.5,
_xlfn.XLOOKUP(B282,'Animals CE'!B:B,'Animals CE'!AA:AA)/2+0.05,
0.8+
(_xlfn.XLOOKUP(B282,'Animals CE'!B:B,'Animals CE'!AA:AA)-1.5)
*0.02
),
0.05
),
200%
),
"No"
)</f>
        <v>No</v>
      </c>
      <c r="P282" s="2">
        <f>_xlfn.XLOOKUP(B282,'Base stats'!B:B,'Base stats'!R:R)</f>
        <v>0.8</v>
      </c>
      <c r="Q282" s="13">
        <f>MROUND((LOG10(_xlfn.XLOOKUP(B282,'Base stats'!B:B,'Base stats'!AR:AR))*(AO282^0.5)+(_xlfn.XLOOKUP(B282,'Base stats'!B:B,'Base stats'!AR:AR)/1000)^(2/3)+_xlfn.XLOOKUP(B282,'Base stats'!B:B,'Base stats'!BA:BA)/2)+0.5,0.5)</f>
        <v>18.5</v>
      </c>
      <c r="R282" s="7">
        <f>IF(Q282="No","No",MAX(1,MROUND(_xlfn.XLOOKUP(B282,'Base stats'!B:B,'Base stats'!C:C)^0.165,0.05)))</f>
        <v>3</v>
      </c>
      <c r="S282" s="13">
        <f>IF(_xlfn.XLOOKUP(_xlfn.XLOOKUP(B282,'Base stats'!B:B,'Base stats'!E:E),Groups!A:A,Groups!P:P)=0,"No",MROUND((LOG10(_xlfn.XLOOKUP(B282,'Base stats'!B:B,'Base stats'!AS:AS))*(AO282^0.5)+(_xlfn.XLOOKUP(B282,'Base stats'!B:B,'Base stats'!AS:AS)/1000)^(2/3)+_xlfn.XLOOKUP(B282,'Base stats'!B:B,'Base stats'!BA:BA))+_xlfn.XLOOKUP(B282,'Base stats'!B:B,'Base stats'!AY:AY)+0.5,0.5))</f>
        <v>22.5</v>
      </c>
      <c r="T282" s="7">
        <f>IF(S282="No","No",MAX(_xlfn.XLOOKUP(_xlfn.XLOOKUP(B282,'Base stats'!B:B,'Base stats'!E:E),Groups!A:A,Groups!Q:Q),MROUND(_xlfn.XLOOKUP(_xlfn.XLOOKUP(B282,'Base stats'!B:B,'Base stats'!E:E),Groups!A:A,Groups!Q:Q)*_xlfn.XLOOKUP(B282,'Base stats'!B:B,'Base stats'!C:C)^0.165,0.05)))</f>
        <v>2.85</v>
      </c>
      <c r="U282" s="7" t="str">
        <f>IF(S282="No","No",_xlfn.XLOOKUP(_xlfn.XLOOKUP(B282,'Base stats'!B:B,'Base stats'!E:E),Groups!A:A,Groups!R:R))</f>
        <v>FrontLeftLeg, FrontRightLeg</v>
      </c>
      <c r="V282" s="7" t="str">
        <f>IF(S282="No","No",_xlfn.XLOOKUP(_xlfn.XLOOKUP(B282,'Base stats'!B:B,'Base stats'!E:E),Groups!A:A,Groups!S:S))</f>
        <v>left hoof, right hoof</v>
      </c>
      <c r="W282" s="7" t="str">
        <f>IF(S282="No","No",_xlfn.XLOOKUP(_xlfn.XLOOKUP(B282,'Base stats'!B:B,'Base stats'!E:E),Groups!A:A,Groups!T:T))</f>
        <v>Blunt</v>
      </c>
      <c r="X282" s="13" t="str">
        <f>IF(_xlfn.XLOOKUP(B282,'Base stats'!B:B,'Base stats'!W:W)="No","No",MROUND((LOG10(_xlfn.XLOOKUP(B282,'Base stats'!B:B,'Base stats'!AU:AU))*(AO282^0.5)+(_xlfn.XLOOKUP(B282,'Base stats'!B:B,'Base stats'!AU:AU)/1000)^(2/3)+_xlfn.XLOOKUP(B282,'Base stats'!B:B,'Base stats'!AZ:AZ))+0.5+IF(_xlfn.XLOOKUP(_xlfn.XLOOKUP(B282,'Base stats'!B:B,'Base stats'!E:E),Groups!A:A,Groups!U:U)&lt;&gt;3,_xlfn.XLOOKUP(B282,'Base stats'!B:B,'Base stats'!BA:BA),0),0.5))</f>
        <v>No</v>
      </c>
      <c r="Y282" s="7" t="str">
        <f>IF(X282="No","No",MAX(_xlfn.XLOOKUP(_xlfn.XLOOKUP(B282,'Base stats'!B:B,'Base stats'!E:E),Groups!A:A,Groups!V:V),MROUND(_xlfn.XLOOKUP(_xlfn.XLOOKUP(B282,'Base stats'!B:B,'Base stats'!E:E),Groups!A:A,Groups!V:V)*_xlfn.XLOOKUP(B282,'Base stats'!B:B,'Base stats'!C:C)^0.165,0.05)))</f>
        <v>No</v>
      </c>
      <c r="Z282" s="7" t="str">
        <f>IF(X282="No","No",_xlfn.XLOOKUP(_xlfn.XLOOKUP(B282,'Base stats'!B:B,'Base stats'!E:E),Groups!A:A,Groups!W:W))</f>
        <v>No</v>
      </c>
      <c r="AA282" s="7" t="str">
        <f>IF(X282="No","No",_xlfn.XLOOKUP(_xlfn.XLOOKUP(B282,'Base stats'!B:B,'Base stats'!E:E),Groups!A:A,Groups!X:X))</f>
        <v>No</v>
      </c>
      <c r="AB282" s="7" t="str">
        <f>IF(X282="No","No",_xlfn.XLOOKUP(_xlfn.XLOOKUP(B282,'Base stats'!B:B,'Base stats'!E:E),Groups!A:A,Groups!Y:Y))</f>
        <v>No</v>
      </c>
      <c r="AC282" s="7" t="str">
        <f>_xlfn.XLOOKUP(Animals!B282,'Base stats'!B:B,'Base stats'!X:X)</f>
        <v>False</v>
      </c>
      <c r="AD282" s="13">
        <f>IF(_xlfn.XLOOKUP(B282,'Base stats'!B:B,'Base stats'!AT:AT)="No","No",MROUND((LOG10(_xlfn.XLOOKUP(B282,'Base stats'!B:B,'Base stats'!AT:AT))*(AO282^0.75)+(_xlfn.XLOOKUP(B282,'Base stats'!B:B,'Base stats'!AT:AT)/1000)^(2/3)+_xlfn.XLOOKUP(B282,'Base stats'!B:B,'Base stats'!AX:AX)+_xlfn.XLOOKUP(B282,'Base stats'!B:B,'Base stats'!BA:BA))+0.5,0.5))</f>
        <v>24.5</v>
      </c>
      <c r="AE282" s="7">
        <f>IF(AD282="No","No",MAX(_xlfn.XLOOKUP(_xlfn.XLOOKUP(B282,'Base stats'!B:B,'Base stats'!E:E),Groups!A:A,Groups!Z:Z),MROUND(_xlfn.XLOOKUP(_xlfn.XLOOKUP(B282,'Base stats'!B:B,'Base stats'!E:E),Groups!A:A,Groups!Z:Z)*_xlfn.XLOOKUP(B282,'Base stats'!B:B,'Base stats'!C:C)^0.165,0.05)))</f>
        <v>3</v>
      </c>
      <c r="AF282" s="7" t="str">
        <f>IF(AD282="No","No",_xlfn.XLOOKUP(_xlfn.XLOOKUP(B282,'Base stats'!B:B,'Base stats'!E:E),Groups!A:A,Groups!AA:AA))</f>
        <v>Teeth</v>
      </c>
      <c r="AG282" s="7" t="str">
        <f>IF(AD282="No","No",_xlfn.XLOOKUP(_xlfn.XLOOKUP(B282,'Base stats'!B:B,'Base stats'!E:E),Groups!A:A,Groups!AB:AB))</f>
        <v>teeth</v>
      </c>
      <c r="AH282" s="7" t="str">
        <f>IF(AD282="No","No",_xlfn.XLOOKUP(_xlfn.XLOOKUP(B282,'Base stats'!B:B,'Base stats'!E:E),Groups!A:A,Groups!AC:AC))</f>
        <v>Bite</v>
      </c>
      <c r="AI282" s="13" t="str">
        <f>IF(_xlfn.XLOOKUP(_xlfn.XLOOKUP(B282,'Base stats'!B:B,'Base stats'!E:E),Groups!A:A,Groups!AD:AD)=0,"No",MROUND((LOG10(_xlfn.XLOOKUP(B282,'Base stats'!B:B,'Base stats'!AS:AS))*(AO282^0.75)+(_xlfn.XLOOKUP(B282,'Base stats'!B:B,'Base stats'!AS:AS)/1000)^(2/3)+_xlfn.XLOOKUP(B282,'Base stats'!B:B,'Base stats'!AY:AY)+_xlfn.XLOOKUP(B282,'Base stats'!B:B,'Base stats'!BA:BA))+0.5,0.5))</f>
        <v>No</v>
      </c>
      <c r="AJ282" s="7" t="str">
        <f>IF(AI282="No","No",MAX(_xlfn.XLOOKUP(_xlfn.XLOOKUP(B282,'Base stats'!B:B,'Base stats'!E:E),Groups!A:A,Groups!AE:AE),MROUND(_xlfn.XLOOKUP(_xlfn.XLOOKUP(B282,'Base stats'!B:B,'Base stats'!E:E),Groups!A:A,Groups!AE:AE)*IF(_xlfn.XLOOKUP(_xlfn.XLOOKUP(B282,'Base stats'!B:B,'Base stats'!E:E),Groups!A:A,Groups!AJ:AJ)="Photonozoa",0.6,1)*_xlfn.XLOOKUP(B282,'Base stats'!B:B,'Base stats'!C:C)^0.165,0.05)))</f>
        <v>No</v>
      </c>
      <c r="AK282" s="7" t="str">
        <f>IF(AI282="No","No",_xlfn.XLOOKUP(_xlfn.XLOOKUP(B282,'Base stats'!B:B,'Base stats'!E:E),Groups!A:A,Groups!AF:AF))</f>
        <v>No</v>
      </c>
      <c r="AL282" s="7" t="str">
        <f>IF(AI282="No","No",_xlfn.XLOOKUP(_xlfn.XLOOKUP(B282,'Base stats'!B:B,'Base stats'!E:E),Groups!A:A,Groups!AG:AG))</f>
        <v>No</v>
      </c>
      <c r="AM282" s="7" t="str">
        <f>IF(AI282="No","No",_xlfn.XLOOKUP(_xlfn.XLOOKUP(B282,'Base stats'!B:B,'Base stats'!E:E),Groups!A:A,Groups!AH:AH))</f>
        <v>No</v>
      </c>
      <c r="AN282" s="2" t="str">
        <f t="shared" si="28"/>
        <v>No</v>
      </c>
      <c r="AO282" s="2">
        <f>MROUND(IF(AND(_xlfn.XLOOKUP(B282,'Base stats'!B:B,'Base stats'!C:C)&gt;=0.5,_xlfn.XLOOKUP(B282,'Base stats'!B:B,'Base stats'!C:C)&lt;=0.8),
IF(_xlfn.XLOOKUP(B282,'Base stats'!B:B,'Base stats'!C:C)&lt;0.1,0.05,IF(_xlfn.XLOOKUP(B282,'Base stats'!B:B,'Base stats'!C:C)&lt;=70,(_xlfn.XLOOKUP(B282,'Base stats'!B:B,'Base stats'!C:C)/70)^0.426489913056526,IF(_xlfn.XLOOKUP(B282,'Base stats'!B:B,'Base stats'!C:C)&lt;=400,(_xlfn.XLOOKUP(B282,'Base stats'!B:B,'Base stats'!C:C)/70)^0.572811455315093,IF(_xlfn.XLOOKUP(B282,'Base stats'!B:B,'Base stats'!C:C)&lt;=2000,2.71391647193063*(_xlfn.XLOOKUP(B282,'Base stats'!B:B,'Base stats'!C:C)/400)^0.252459582904293,3.74314280240376*(_xlfn.XLOOKUP(B282,'Base stats'!B:B,'Base stats'!C:C)/2000)^0.357012633876913)))),
IF(_xlfn.XLOOKUP(B282,'Base stats'!B:B,'Base stats'!C:C)&lt;0.1,0.05,IF(_xlfn.XLOOKUP(B282,'Base stats'!B:B,'Base stats'!C:C)&lt;0.4,0.1,IF(_xlfn.XLOOKUP(B282,'Base stats'!B:B,'Base stats'!C:C)&lt;=70,(_xlfn.XLOOKUP(B282,'Base stats'!B:B,'Base stats'!C:C)/70)^0.445823913056526,IF(_xlfn.XLOOKUP(B282,'Base stats'!B:B,'Base stats'!C:C)&lt;=400,(_xlfn.XLOOKUP(B282,'Base stats'!B:B,'Base stats'!C:C)/70)^0.572811455315093,IF(_xlfn.XLOOKUP(B282,'Base stats'!B:B,'Base stats'!C:C)&lt;=2000,2.71391647193063*(_xlfn.XLOOKUP(B282,'Base stats'!B:B,'Base stats'!C:C)/400)^0.252459582904293,3.74314280240376*(_xlfn.XLOOKUP(B282,'Base stats'!B:B,'Base stats'!C:C)/2000)^0.357012633876913)))))),
IF(_xlfn.XLOOKUP(B282,'Base stats'!B:B,'Base stats'!C:C)&lt;0.1,0.05,IF(_xlfn.XLOOKUP(B282,'Base stats'!B:B,'Base stats'!C:C)&lt;=100,0.05,IF(_xlfn.XLOOKUP(B282,'Base stats'!B:B,'Base stats'!C:C)&lt;=250,0.1,IF(_xlfn.XLOOKUP(B282,'Base stats'!B:B,'Base stats'!C:C)&lt;=4000,0.25,0.5)))))</f>
        <v>3.25</v>
      </c>
      <c r="AP282" s="8">
        <f>MROUND(AO282*_xlfn.XLOOKUP(_xlfn.XLOOKUP(B282,'Base stats'!B:B,'Base stats'!E:E),Groups!A:A,Groups!AI:AI)*_xlfn.XLOOKUP(B282,'Base stats'!B:B,'Base stats'!Z:Z),0.05)</f>
        <v>3.25</v>
      </c>
      <c r="AQ282" s="8">
        <f>MAX(0.01,MROUND(IF(CC282="True",0.196*(AO282*100*1000)^0.889,IF(_xlfn.XLOOKUP(_xlfn.XLOOKUP(B282,'Base stats'!B:B,'Base stats'!E:E),Groups!A:A,Groups!AJ:AJ)="Bird",10.5*(AO282*100*1000)^0.681,4.82*(AO282*100*1000)^0.734))/(4.82*(1*100*1000)^0.734)/IF(AO282&lt;3.5,2,IF(AO282=3.5,1.5,1.25))*(1+0.132282374779864/(AO282^0.994035016789033+0.00905238001496948)),0.05))</f>
        <v>1.25</v>
      </c>
      <c r="AR282" s="9">
        <f>IFERROR(MROUND(_xlfn.XLOOKUP(B282,'Base stats'!B:B,'Base stats'!H:H)/IF(_xlfn.XLOOKUP(B282,'Base stats'!B:B,'Base stats'!I:I)&lt;&gt;1,(122.5/70),1.2),IF(_xlfn.XLOOKUP(B282,'Base stats'!B:B,'Base stats'!H:H)&gt;=30,5,IF(_xlfn.XLOOKUP(B282,'Base stats'!B:B,'Base stats'!H:H)&gt;=15,3,IF(_xlfn.XLOOKUP(B282,'Base stats'!B:B,'Base stats'!H:H)&gt;=10,2,1)))),"Immortal")</f>
        <v>15</v>
      </c>
      <c r="AS282" s="35">
        <f>IFERROR(IF(OR(_xlfn.XLOOKUP(B282,'Base stats'!B:B,'Base stats'!F:F)="Atypical reproduction",_xlfn.XLOOKUP(B282,'Base stats'!B:B,'Base stats'!F:F)="Lay eggs"),"Lay eggs",MIN(20,MAX(5.5,ROUND(((_xlfn.XLOOKUP(B282,'Base stats'!B:B,'Base stats'!F:F)-25)*(14.5/615) + 5.5)*2,0)/2))),"Unknown")</f>
        <v>14</v>
      </c>
      <c r="AT282" s="8">
        <f>IF(_xlfn.XLOOKUP(B282,'Base stats'!B:B,'Base stats'!G:G)="Atypical reproduction","No",IFERROR(MAX(IF(_xlfn.XLOOKUP(B282,'Base stats'!B:B,'Base stats'!G:G)&lt;0.5,0.2,0.3),MROUND(_xlfn.XLOOKUP(B282,'Base stats'!B:B,'Base stats'!G:G)/(365/60),0.2)),"Unknown"))</f>
        <v>0.4</v>
      </c>
      <c r="AU282" s="8">
        <f t="shared" si="29"/>
        <v>0.2</v>
      </c>
      <c r="AV282" s="8">
        <f>IFERROR(IFERROR(MROUND(_xlfn.XLOOKUP(B282,'Base stats'!B:B,'Base stats'!J:J),0.1),"Lay eggs"),"Cannot breed")</f>
        <v>1</v>
      </c>
      <c r="AW282" s="2" t="str">
        <f t="shared" si="30"/>
        <v>true</v>
      </c>
      <c r="AX282" s="2" t="str">
        <f>IF(_xlfn.XLOOKUP(_xlfn.XLOOKUP(Animals!B282,'Base stats'!B:B,'Base stats'!E:E),Groups!A:A,Groups!AK:AK)=1,"true","false")</f>
        <v>true</v>
      </c>
      <c r="AY282" s="25" t="str">
        <f>IF(_xlfn.XLOOKUP(B282,'Base stats'!B:B,'Base stats'!Y:Y)="Liquor","Liquor, CarnivoreAnimalStrict",IF(AND(_xlfn.XLOOKUP(B282,'Base stats'!B:B,'Base stats'!Y:Y)="Carnivore",_xlfn.XLOOKUP(_xlfn.XLOOKUP(B282,'Base stats'!B:B,'Base stats'!E:E),Groups!A:A,Groups!AJ:AJ)="Photonozoa"),"CarnivoreAnimalStrict, OvivoreAnimal",IF(_xlfn.XLOOKUP(B282,'Base stats'!B:B,'Base stats'!Y:Y)="Carnivore","CarnivoreAnimal, OvivoreAnimal",IF(_xlfn.XLOOKUP(B282,'Base stats'!B:B,'Base stats'!Y:Y)="Dendrovore","VegetarianRoughAnimal, DendrovoreAnimal",IF(_xlfn.XLOOKUP(B282,'Base stats'!B:B,'Base stats'!Y:Y)="Herbivore","VegetarianRoughAnimal",IF(_xlfn.XLOOKUP(B282,'Base stats'!B:B,'Base stats'!Y:Y)="OmnivoreRough","OmnivoreRoughAnimal, OvivoreAnimal","OmnivoreAnimal, OvivoreAnimal"))))))</f>
        <v>VegetarianRoughAnimal</v>
      </c>
      <c r="AZ282" s="2">
        <f>IF(_xlfn.XLOOKUP(_xlfn.XLOOKUP(B282,'Base stats'!B:B,'Base stats'!E:E),Groups!A:A,Groups!D:D)=1,MROUND((1-J282)*5+1,2)*IF(J282&lt;=0.4,2,1),"No")</f>
        <v>8</v>
      </c>
      <c r="BA282" s="2" t="str">
        <f>IF(AND(_xlfn.XLOOKUP(B282,'Base stats'!B:B,'Base stats'!AH:AH)="&lt;li&gt;Seal&lt;/li&gt;",G282="Odyssey"),"&lt;li&gt;AEXP_Seal&lt;/li&gt;",_xlfn.XLOOKUP(B282,'Base stats'!B:B,'Base stats'!AH:AH))</f>
        <v>&lt;li&gt;Gazelle&lt;/li&gt;</v>
      </c>
      <c r="BB282" s="2" t="str">
        <f>_xlfn.XLOOKUP(B282,'Base stats'!B:B,'Base stats'!AG:AG)</f>
        <v>Leather_Camel</v>
      </c>
      <c r="BC282" s="23" t="str">
        <f>_xlfn.XLOOKUP(_xlfn.XLOOKUP(B282,'Base stats'!B:B,'Base stats'!E:E),Groups!A:A,Groups!AL:AL)</f>
        <v>QuadrupedAnimalWithHoovesAndHump</v>
      </c>
      <c r="BD282" s="23">
        <f>MIN(1,MROUND(IF(AND(AO282&lt;0.5,_xlfn.XLOOKUP(B282,'Base stats'!B:B,'Base stats'!AA:AA)=0),0,IF(OR(_xlfn.XLOOKUP(Animals!B282,'Base stats'!B:B,'Base stats'!O:O)=2,_xlfn.XLOOKUP(_xlfn.XLOOKUP(B282,'Base stats'!B:B,'Base stats'!E:E),Groups!A:A,Groups!AN:AN)=0),0,_xlfn.XLOOKUP(_xlfn.XLOOKUP(B282,'Base stats'!B:B,'Base stats'!E:E),Groups!A:A,Groups!AN:AN)/IF(_xlfn.XLOOKUP(Animals!B282,'Base stats'!B:B,'Base stats'!O:O)=1,2,1)))+_xlfn.XLOOKUP(B282,'Base stats'!B:B,'Base stats'!AC:AC),0.005))</f>
        <v>0</v>
      </c>
      <c r="BE282" s="23">
        <f>MIN(1,MROUND(IF(AND(AO282&lt;0.5,_xlfn.XLOOKUP(B282,'Base stats'!B:B,'Base stats'!AA:AA)=0),0,IF(_xlfn.XLOOKUP(_xlfn.XLOOKUP(B282,'Base stats'!B:B,'Base stats'!E:E),Groups!A:A,Groups!AO:AO)=0,0,_xlfn.XLOOKUP(_xlfn.XLOOKUP(B282,'Base stats'!B:B,'Base stats'!E:E),Groups!A:A,Groups!AO:AO)/IF(_xlfn.XLOOKUP(Animals!B282,'Base stats'!B:B,'Base stats'!O:O)=2,3,1)))+_xlfn.XLOOKUP(B282,'Base stats'!B:B,'Base stats'!AD:AD),0.005))</f>
        <v>0</v>
      </c>
      <c r="BF282" s="2" t="str">
        <f>IF(J282&gt;0.3,"No",_xlfn.XLOOKUP(_xlfn.XLOOKUP(Animals!B282,'Base stats'!B:B,'Base stats'!E:E),Groups!A:A,Groups!AP:AP))</f>
        <v>No</v>
      </c>
      <c r="BG282" s="2" t="str">
        <f>IF(AND(J282&lt;=0.65,_xlfn.XLOOKUP(_xlfn.XLOOKUP(Animals!B282,'Base stats'!B:B,'Base stats'!E:E),Groups!A:A,Groups!AP:AP)&lt;&gt;"No",_xlfn.XLOOKUP(_xlfn.XLOOKUP(B282,'Base stats'!B:B,'Base stats'!E:E),Groups!A:A,Groups!D:D)=0),MROUND((80/3)*IF(_xlfn.XLOOKUP(B282,'Base stats'!B:B,'Base stats'!O:O)=2,0.2,AO282) + 24*(1-IF(BF282="No",0,BF282)) + 16/3, 12),"No")</f>
        <v>No</v>
      </c>
      <c r="BH282" s="2">
        <f>IF(AND(_xlfn.XLOOKUP(_xlfn.XLOOKUP(B282,'Base stats'!B:B,'Base stats'!E:E),Groups!A:A,Groups!AQ:AQ)=1,AO282&lt;=0.35),8,12)</f>
        <v>12</v>
      </c>
      <c r="BI282" s="2" t="str">
        <f>IF(_xlfn.XLOOKUP(_xlfn.XLOOKUP(B282,'Base stats'!B:B,'Base stats'!E:E),Groups!A:A,Groups!D:D)=0,_xlfn.XLOOKUP(_xlfn.XLOOKUP(B282,'Base stats'!B:B,'Base stats'!E:E),Groups!A:A,Groups!AR:AR),"None")</f>
        <v>None</v>
      </c>
      <c r="BJ282" s="2" t="str">
        <f>IF(AND(_xlfn.XLOOKUP(_xlfn.XLOOKUP(B282,'Base stats'!B:B,'Base stats'!E:E),Groups!A:A,Groups!AS:AS)=1,OR(_xlfn.XLOOKUP(B282,'Base stats'!B:B,'Base stats'!Y:Y)="Carnivore",_xlfn.XLOOKUP(B282,'Base stats'!B:B,'Base stats'!Y:Y)="Omnivore")),"true","false")</f>
        <v>false</v>
      </c>
      <c r="BK282" s="2" t="str">
        <f>IF(BJ282="true",MROUND(IF(AND(AO282&gt;0.5,OR(_xlfn.XLOOKUP(_xlfn.XLOOKUP(B282,'Base stats'!B:B,'Base stats'!E:E),Groups!A:A,Groups!AJ:AJ)="Photonozoa",_xlfn.XLOOKUP(_xlfn.XLOOKUP(B282,'Base stats'!B:B,'Base stats'!E:E),Groups!A:A,Groups!AJ:AJ)="Mammal")),Animals!AO282*1.75*IF(AW282="true",1.5,1),IF(AO282&lt;0.5,Animals!AO282*0.5,Animals!AO282)),IF(AO282&gt;2,0.5,IF(AO282&gt;0.5,0.25,0.1))),"No")</f>
        <v>No</v>
      </c>
      <c r="BL282" s="2">
        <f t="shared" si="31"/>
        <v>0</v>
      </c>
      <c r="BM282" s="25" t="str">
        <f>IF(_xlfn.XLOOKUP(B282,'Base stats'!B:B,'Base stats'!AN:AN)="Standard","No",MROUND((_xlfn.XLOOKUP(B282,'Base stats'!B:B,'Base stats'!AN:AN)/3.6)/I282,0.1))</f>
        <v>No</v>
      </c>
      <c r="BN282" s="25" t="str">
        <f t="shared" si="32"/>
        <v>false</v>
      </c>
      <c r="BO282" s="25" t="str">
        <f>IF(AND(OR(_xlfn.XLOOKUP(B282,'Base stats'!B:B,'Base stats'!Y:Y)="Carnivore",_xlfn.XLOOKUP(B282,'Base stats'!B:B,'Base stats'!Y:Y)="Omnivore",_xlfn.XLOOKUP(B282,'Base stats'!B:B,'Base stats'!Y:Y)="OmnivoreRough"),_xlfn.XLOOKUP(_xlfn.XLOOKUP(B282,'Base stats'!B:B,'Base stats'!E:E),Groups!A:A,Groups!AT:AT)=1),"true","false")</f>
        <v>false</v>
      </c>
      <c r="BP282" s="25" t="str" cm="1">
        <f t="array" ref="BP282">IF(
  _xlfn.TEXTJOIN(", ",TRUE,
    IF(AND(BJ282="true",AO282&gt;0.5,BI282&lt;&gt;"None"),"AttackTarget",""),
    IF(AND(_xlfn.XLOOKUP(_xlfn.XLOOKUP(B282,'Base stats'!B:B,'Base stats'!E:E),Groups!A:A,Groups!AJ:AJ="Mammal"),OR(_xlfn.XLOOKUP(B282,'Base stats'!B:B,'Base stats'!Y:Y)="Omnivore",_xlfn.XLOOKUP(B282,'Base stats'!B:B,'Base stats'!Y:Y)="OmnivoreRough")),"Forage",""),
    IF(BG282&lt;=36,"Comfort",""),
    IF(_xlfn.XLOOKUP(B282,'Base stats'!B:B,'Base stats'!AE:AE)&lt;&gt;"No",_xlfn.XLOOKUP(B282,'Base stats'!B:B,'Base stats'!AE:AE),"")
  ) = "",
  "No",
  _xlfn.TEXTJOIN(", ",TRUE,
    IF(AND(BJ282="true",AO282&gt;0.5,BI282&lt;&gt;"None"),"AttackTarget",""),
    IF(AND(_xlfn.XLOOKUP(_xlfn.XLOOKUP(B282,'Base stats'!B:B,'Base stats'!E:E),Groups!A:A,Groups!AJ:AJ="Mammal"),OR(_xlfn.XLOOKUP(B282,'Base stats'!B:B,'Base stats'!Y:Y)="Omnivore",_xlfn.XLOOKUP(B282,'Base stats'!B:B,'Base stats'!Y:Y)="OmnivoreRough")),"Forage",""),
    IF(BG282&lt;=36,"Comfort",""),
    IF(_xlfn.XLOOKUP(B282,'Base stats'!B:B,'Base stats'!AE:AE)&lt;&gt;"No",_xlfn.XLOOKUP(B282,'Base stats'!B:B,'Base stats'!AE:AE),"")
  )
)</f>
        <v>No</v>
      </c>
      <c r="BQ282" s="25" t="str">
        <f>IF(
   AND(
      'Base stats'!AN282="Standard",_xlfn.XLOOKUP(_xlfn.XLOOKUP(B282,'Base stats'!B:B,'Base stats'!E:E),Groups!A:A,Groups!AU:AU)=0,
      OR(
      BO282="True"
      )
   ),
   10,
   IF(
       OR(BM282&lt;&gt;"No",_xlfn.XLOOKUP(_xlfn.XLOOKUP(B282,'Base stats'!B:B,'Base stats'!E:E),Groups!A:A,Groups!AU:AU)=1),
      1,
      "No"
   )
)</f>
        <v>No</v>
      </c>
      <c r="BR282" s="9">
        <f>MROUND((1 + ((0.2*IF(OR(Q282="No",R282="No",R282=0),0,Q282/R282)
+IF(OR(V282="No",S282="No",T282="No"),0,S282/T282*(LEN(V282)-LEN(SUBSTITUTE(V282,",",""))+1))
+IF(OR(X282="No",Y282="No"),0,X282/Y282)
+IF(OR(AD282="No",AE282="No"),0,AD282/AE282)
+IF(OR(AL282="No",AI282="No",AJ282="No"),0,AI282/AJ282*(LEN(AL282)-LEN(SUBSTITUTE(AL282,",",""))+1))
)/(0.2*IF(OR(Q282="No",R282="No",R282=0),0,1)
+IF(OR(V282="No",S282="No",T282="No"),0,LEN(V282)-LEN(SUBSTITUTE(V282,",",""))+1)
+IF(OR(X282="No",Y282="No"),0,1)
+IF(OR(AD282="No",AE282="No"),0,1)
+IF(OR(AL282="No",AI282="No",AJ282="No"),0,LEN(AL282)-LEN(SUBSTITUTE(AL282,",",""))+1))*62%)* 2)*(1 + (AP282 / (IF(_xlfn.XLOOKUP(_xlfn.XLOOKUP(B282,'Base stats'!B:B,'Base stats'!E:E),Groups!A:A,Groups!AJ:AJ)="Photonozoa",0.3,1)) + _xlfn.XLOOKUP(B282,'Base stats'!B:B,'Base stats'!AV:AV) * 1.8) * 2) * 2.5 + 10 + I282 * 2,5)+IF(_xlfn.XLOOKUP(B282,'Base stats'!B:B,'Base stats'!AK:AK)=1,50,0)</f>
        <v>220</v>
      </c>
      <c r="BS282" s="8">
        <f t="shared" si="33"/>
        <v>1.6500000000000001</v>
      </c>
      <c r="BT282" s="8" t="str">
        <f>_xlfn.XLOOKUP(B282,'Base stats'!B:B,'Base stats'!AF:AF)</f>
        <v>3~10</v>
      </c>
      <c r="BU282" s="2" t="str">
        <f>IF(AND(J282&lt;=0.95,OR(_xlfn.XLOOKUP(B282,'Base stats'!B:B,'Base stats'!AK:AK)=1,_xlfn.XLOOKUP(B282,'Base stats'!B:B,'Base stats'!Y:Y)="Carnivore",_xlfn.XLOOKUP(B282,'Base stats'!B:B,'Base stats'!Y:Y)="Omnivore",BE282&gt;0.1)),"true","false")</f>
        <v>false</v>
      </c>
      <c r="BV282" s="2" t="str">
        <f>IF(_xlfn.XLOOKUP(B282,'Base stats'!B:B,'Base stats'!AI:AI)=1,"true","false")</f>
        <v>true</v>
      </c>
      <c r="BW282" s="25" t="str">
        <f>IF(E282="BaseInsect","AnimalInsect",
IF(J282&gt;0.95,"AnimalExotic",
_xlfn.TEXTJOIN(", ",TRUE,
IF(OR(_xlfn.XLOOKUP(B282,'Base stats'!B:B,'Base stats'!AM:AM)=1,AND(_xlfn.XLOOKUP(B282,'Base stats'!B:B,'Base stats'!O:O)=0,_xlfn.XLOOKUP(_xlfn.XLOOKUP(B282,'Base stats'!B:B,'Base stats'!E:E),Groups!A:A,Groups!B:B)&gt;0)),"AnimalUncommon","AnimalCommon"),
IF(AND(_xlfn.XLOOKUP(B282,'Base stats'!B:B,'Base stats'!O:O)=2,_xlfn.XLOOKUP(_xlfn.XLOOKUP(B282,'Base stats'!B:B,'Base stats'!E:E),Groups!A:A,Groups!D:D)=0),"AnimalPet",IF(AND(_xlfn.XLOOKUP(B282,'Base stats'!B:B,'Base stats'!O:O)&lt;&gt;0,_xlfn.XLOOKUP(_xlfn.XLOOKUP(B282,'Base stats'!B:B,'Base stats'!E:E),Groups!A:A,Groups!D:D)&lt;&gt;0),"AnimalFarm","")),
IF(OR(_xlfn.XLOOKUP(B282,'Base stats'!B:B,'Base stats'!AK:AK)=1,AND(BI282&lt;&gt;"None",BR282&gt;=60),ISNUMBER(SEARCH("Attack target",BP282))),"AnimalFighter","")
)))</f>
        <v>AnimalUncommon, AnimalFarm</v>
      </c>
      <c r="BX282" s="25" t="str">
        <f>IF(G282="None",TRIM(
SUBSTITUTE(
IF(COUNTIF(Biomes!B$2:B$259,"="&amp;$C282)&gt;0,Biomes!B$1&amp;", ","")&amp;
IF(COUNTIF(Biomes!C$2:C$259,"="&amp;$C282)&gt;0,Biomes!C$1&amp;", ","")&amp;
IF(COUNTIF(Biomes!D$2:D$259,"="&amp;$C282)&gt;0,Biomes!D$1&amp;", ","")&amp;
IF(COUNTIF(Biomes!F$2:F$259,"="&amp;$C282)&gt;0,Biomes!F$1&amp;", ","")&amp;
IF(COUNTIF(Biomes!G$2:G$259,"="&amp;$C282)&gt;0,Biomes!G$1&amp;", ","")&amp;
IF(COUNTIF(Biomes!H$2:H$259,"="&amp;$C282)&gt;0,Biomes!H$1&amp;", ","")&amp;
IF(COUNTIF(Biomes!I$2:I$259,"="&amp;$C282)&gt;0,Biomes!I$1&amp;", ","")&amp;
IF(COUNTIF(Biomes!J$2:J$259,"="&amp;$C282)&gt;0,Biomes!J$1&amp;", ","")&amp;
IF(COUNTIF(Biomes!M$2:M$259,"="&amp;$C282)&gt;0,Biomes!M$1&amp;", ","")&amp;
IF(COUNTIF(Biomes!N$2:N$259,"="&amp;$C282)&gt;0,Biomes!N$1&amp;", ","")&amp;
IF(COUNTIF(Biomes!O$2:O$259,"="&amp;$C282)&gt;0,Biomes!O$1&amp;", ","")&amp;
IF(COUNTIF(Biomes!P$2:P$259,"="&amp;$C282)&gt;0,Biomes!P$1&amp;", ","")&amp;
IF(COUNTIF(Biomes!K$2:K$259,"="&amp;$C282)&gt;0,Biomes!K$1&amp;", ","")&amp;
IF(COUNTIF(Biomes!Q$3:Q$259,"="&amp;$C282)&gt;0,Biomes!Q$1&amp;", ","")&amp;
IF(COUNTIF(Biomes!L$2:L$259,"="&amp;$C282)&gt;0,Biomes!L$1&amp;", ","")&amp;
IF(COUNTIF(Biomes!E$2:E$259,"="&amp;$C282)&gt;0,Biomes!E$1&amp;", ","")&amp;IF(COUNTIF(Biomes!S$2:S$259,"="&amp;$C282)&gt;0,Biomes!S$1&amp;", ","")&amp;
IF(COUNTIF(Biomes!R$2:R$259,"="&amp;$C282)&gt;0,Biomes!R$1&amp;", ",""),", ","")
),_xlfn.XLOOKUP(B282,B:B,BX:BX))</f>
        <v>AridShrubland Grasslands LavaField</v>
      </c>
      <c r="BY282" s="25" t="str">
        <f>IF(_xlfn.XLOOKUP(B282,'Base stats'!B:B,'Base stats'!AJ:AJ)=1,"true","false")</f>
        <v>false</v>
      </c>
      <c r="BZ282" s="25">
        <f>IF(_xlfn.XLOOKUP(B282,'Base stats'!B:B,'Base stats'!N:N)=1,"No",MAX(0.001,MIN(MROUND(IF(AND(BJ282="True",CC282="False"),POWER(10,3.47*LOG10(_xlfn.XLOOKUP(B282,'Base stats'!B:B,'Base stats'!C:C)*1000)^-0.96),POWER(10,4.15*LOG10(_xlfn.XLOOKUP(B282,'Base stats'!B:B,'Base stats'!C:C)*1000)^-0.73))*IF(_xlfn.XLOOKUP(B282,'Base stats'!B:B,'Base stats'!AK:AK)=1,0.5,1)*IF(_xlfn.XLOOKUP(B282,'Base stats'!B:B,'Base stats'!AM:AM)=1,0.1,1)/100,IF(_xlfn.XLOOKUP(B282,'Base stats'!B:B,'Base stats'!AM:AM)=1,0.001,0.025)),0.5)))</f>
        <v>1.4E-2</v>
      </c>
      <c r="CA282" s="25">
        <f>IF(P282="Standard","No",MAX(0.001,MIN(MROUND(IF(AND(BJ282="True",CC282="False"),POWER(10,3.47*LOG10(_xlfn.XLOOKUP(B282,'Base stats'!B:B,'Base stats'!C:C)*1000)^-0.96),POWER(10,4.15*LOG10(_xlfn.XLOOKUP(B282,'Base stats'!B:B,'Base stats'!C:C)*1000)^-0.73))*IF(_xlfn.XLOOKUP(B282,'Base stats'!B:B,'Base stats'!AM:AM)=1,0.1,1)*_xlfn.XLOOKUP(B282,'Base stats'!B:B,'Base stats'!R:R)/100,IF(_xlfn.XLOOKUP(B282,'Base stats'!B:B,'Base stats'!AM:AM)=1,0.001,0.025)),0.5)))</f>
        <v>1.0999999999999999E-2</v>
      </c>
      <c r="CB282" s="25" t="str">
        <f>IF(_xlfn.XLOOKUP(_xlfn.XLOOKUP(B282,'Base stats'!B:B,'Base stats'!E:E),Groups!A:A,Groups!AJ:AJ)="Mammal","True","False")</f>
        <v>True</v>
      </c>
      <c r="CC282" s="25" t="str">
        <f>IF(OR(_xlfn.XLOOKUP(_xlfn.XLOOKUP(B282,'Base stats'!B:B,'Base stats'!E:E),Groups!A:A,Groups!AJ:AJ)="Reptile",_xlfn.XLOOKUP(_xlfn.XLOOKUP(B282,'Base stats'!B:B,'Base stats'!E:E),Groups!A:A,Groups!AJ:AJ)="Amphibian",_xlfn.XLOOKUP(_xlfn.XLOOKUP(B282,'Base stats'!B:B,'Base stats'!E:E),Groups!A:A,Groups!AJ:AJ)="Invertebrate"),"True","False")</f>
        <v>False</v>
      </c>
      <c r="CD282" s="25" t="str">
        <f t="shared" si="34"/>
        <v>False</v>
      </c>
      <c r="CE282" s="25" t="str">
        <f>IF(_xlfn.XLOOKUP(_xlfn.XLOOKUP(B282,'Base stats'!B:B,'Base stats'!E:E),Groups!A:A,Groups!AX:AX),"True","False")</f>
        <v>False</v>
      </c>
      <c r="CF282" s="25" t="str">
        <f>IF(_xlfn.XLOOKUP(_xlfn.XLOOKUP(B282,'Base stats'!B:B,'Base stats'!E:E),Groups!A:A,Groups!AY:AY),"True","False")</f>
        <v>False</v>
      </c>
      <c r="CG282" s="25" t="str">
        <f>IF(_xlfn.XLOOKUP(_xlfn.XLOOKUP(B282,'Base stats'!B:B,'Base stats'!E:E),Groups!A:A,Groups!AW:AW),"True","False")</f>
        <v>False</v>
      </c>
      <c r="CH282" s="25" t="str">
        <f>IF(
OR(
_xlfn.XLOOKUP(_xlfn.XLOOKUP(B282,'Base stats'!B:B,'Base stats'!E:E),Groups!A:A,Groups!AZ:AZ)=0,
AND(
_xlfn.XLOOKUP(B282,'Base stats'!B:B,'Base stats'!Y:Y)&lt;&gt;"Carnivore",
_xlfn.XLOOKUP(B282,'Base stats'!B:B,'Base stats'!Y:Y)&lt;&gt;"Omnivore",
_xlfn.XLOOKUP(B282,'Base stats'!B:B,'Base stats'!Y:Y)&lt;&gt;"OmnivoreRough"
)
),
"No",
IF(
_xlfn.XLOOKUP(_xlfn.XLOOKUP(B282,'Base stats'!B:B,'Base stats'!E:E),Groups!A:A,Groups!AZ:AZ)=1,
"Flesh",
IF(
_xlfn.XLOOKUP(_xlfn.XLOOKUP(B282,'Base stats'!B:B,'Base stats'!E:E),Groups!A:A,Groups!AZ:AZ)=2,
"Bone",
""
)
)
)</f>
        <v>No</v>
      </c>
      <c r="CI282" s="25" t="str">
        <f>IF(_xlfn.XLOOKUP(_xlfn.XLOOKUP(B282,'Base stats'!B:B,'Base stats'!E:E),Groups!A:A,Groups!BB:BB),"True","False")</f>
        <v>True</v>
      </c>
      <c r="CJ282" s="25" t="str">
        <f>IF(_xlfn.XLOOKUP(_xlfn.XLOOKUP(B282,'Base stats'!B:B,'Base stats'!E:E),Groups!A:A,Groups!BA:BA),"True","False")</f>
        <v>False</v>
      </c>
    </row>
    <row r="283" spans="1:88" ht="16.5" thickTop="1" thickBot="1" x14ac:dyDescent="0.3">
      <c r="A283" s="26" t="s">
        <v>1474</v>
      </c>
      <c r="B283" s="6" t="str">
        <f>_xlfn.XLOOKUP(A283,'Base stats'!A:A,'Base stats'!B:B)</f>
        <v>Devourer maximus</v>
      </c>
      <c r="C283" s="28" t="s">
        <v>1475</v>
      </c>
      <c r="D283" s="28" t="s">
        <v>1341</v>
      </c>
      <c r="E283" s="28" t="s">
        <v>673</v>
      </c>
      <c r="F283" s="28" t="s">
        <v>673</v>
      </c>
      <c r="G283" s="28" t="s">
        <v>673</v>
      </c>
      <c r="H283" s="2">
        <f>MROUND((
  (IF(AND(_xlfn.XLOOKUP(B283,'Base stats'!B:B,'Base stats'!AL:AL)=0,BI283="None",_xlfn.XLOOKUP(_xlfn.XLOOKUP(B283,'Base stats'!B:B,'Base stats'!E:E),Groups!A:A,Groups!B:B)=0), (18 + BR283 * 2.7) * 0.5,
    IF(AND(_xlfn.XLOOKUP(B283,'Base stats'!B:B,'Base stats'!AL:AL)=0,OR(AO283&lt;0.55,AND(BI283="Intermediate",_xlfn.XLOOKUP(_xlfn.XLOOKUP(B283,'Base stats'!B:B,'Base stats'!E:E),Groups!A:A,Groups!B:B)&lt;2))), (18 + BR283 * 2.7),
      IF(OR(BI283="Advanced",_xlfn.XLOOKUP(B283,'Base stats'!B:B,'Base stats'!AL:AL)=1,_xlfn.XLOOKUP(_xlfn.XLOOKUP(B283,'Base stats'!B:B,'Base stats'!E:E),Groups!A:A,Groups!B:B)=2), (18 + BR283 * 2.7) + 250, (18 + BR283 * 2.7))
    )
  ))
  + AO283 * 80
  + IF(COUNTIF(EggMilk!K$2:K$998, A283) &gt; 0, 125, 0)
  + IF(COUNTIF(EggMilk!P$2:P$998, A283) &gt; 0, 90, 0)
  + IF(COUNTIF(EggMilk!A$2:A$998, A283) &gt; 0, 90, 0)
)
* (0.8 + 0.4 * J283)
* 0.75,25)</f>
        <v>1475</v>
      </c>
      <c r="I283" s="2">
        <f>MROUND(ROUNDDOWN(_xlfn.XLOOKUP(B283,'Base stats'!B:B,'Base stats'!L:L)/3.6/(23.3/11),1),0.5)</f>
        <v>2</v>
      </c>
      <c r="J283" s="2">
        <f>IF(OR(_xlfn.XLOOKUP(B283,'Base stats'!B:B,'Base stats'!AB:AB)=1,_xlfn.XLOOKUP(_xlfn.XLOOKUP(B283,'Base stats'!B:B,'Base stats'!E:E),Groups!A:A,Groups!C:C)="Untamable"),1,IF(_xlfn.XLOOKUP(B283,'Base stats'!B:B,'Base stats'!AL:AL)=1,0.99,MIN(MROUND((1-0.6282*EXP(-0.459*AO283))*_xlfn.XLOOKUP(_xlfn.XLOOKUP(B283,'Base stats'!B:B,'Base stats'!E:E),Groups!A:A,Groups!C:C)*IF(_xlfn.XLOOKUP(B283,'Base stats'!B:B,'Base stats'!O:O)=1,0.5,IF(_xlfn.XLOOKUP(B283,'Base stats'!B:B,'Base stats'!O:O)=2,0,1)),0.05),IF(AO283&gt;3.5,0.985,0.95))))</f>
        <v>0.9</v>
      </c>
      <c r="K283" s="2">
        <f>ROUNDUP(AO283*_xlfn.XLOOKUP(_xlfn.XLOOKUP(B283,'Base stats'!B:B,'Base stats'!E:E),Groups!A:A,Groups!E:E),0)</f>
        <v>4</v>
      </c>
      <c r="L283" s="2">
        <f>IF(OR(_xlfn.XLOOKUP(_xlfn.XLOOKUP(B283,'Base stats'!B:B,'Base stats'!E:E),Groups!A:A,Groups!F:F)=2,ISNUMBER(SEARCH("SeaIce",BX283)),ISNUMBER(SEARCH("IceSheet",BX283))),-50,IF(OR(ISNUMBER(SEARCH("GlacialPlain",BX283)),ISNUMBER(SEARCH("Tundra",BX283))),-40,IF(OR(ISNUMBER(SEARCH("Alpine",BX283)),ISNUMBER(SEARCH("BorealForest",BX283)),ISNUMBER(SEARCH("ColdBog",BX283))),-30,IF(OR(ISNUMBER(SEARCH("TemperateForest",BX283)),ISNUMBER(SEARCH("TemperateSwamp",BX283))),-20,IF(_xlfn.XLOOKUP(_xlfn.XLOOKUP(B283,'Base stats'!B:B,'Base stats'!E:E),Groups!A:A,Groups!F:F)=1,-15,IF(OR(ISNUMBER(SEARCH("Desert",BX283)),ISNUMBER(SEARCH("ExtremeDesert",BX283))),-10,IF(OR(ISNUMBER(SEARCH("Grasslands",BX283)),ISNUMBER(SEARCH("TropicalRainforest",BX283)),ISNUMBER(SEARCH("TropicalSwamp",BX283))),10,0)))))))-IF(CC283="False",MIN(IFERROR(MAX(MROUND(LOG10(_xlfn.XLOOKUP(B283,'Base stats'!B:B,'Base stats'!C:C)^(2/3))*10,5),5),5),30))-_xlfn.XLOOKUP(B283,'Base stats'!B:B,'Base stats'!P:P)+IF(CC283="True",5,0)</f>
        <v>-5</v>
      </c>
      <c r="M283" s="2">
        <f>IF(OR(_xlfn.XLOOKUP(_xlfn.XLOOKUP(B283,'Base stats'!B:B,'Base stats'!E:E),Groups!A:A,Groups!G:G)=2,ISNUMBER(SEARCH("Desert",BX283)),ISNUMBER(SEARCH("ExtremeDesert",BX283)),ISNUMBER(SEARCH("LavaField",BX283))),50,IF(ISNUMBER(SEARCH("Grasslands",BX283)),45,IF(OR(_xlfn.XLOOKUP(_xlfn.XLOOKUP(B283,'Base stats'!B:B,'Base stats'!E:E),Groups!A:A,Groups!G:G)=1,ISNUMBER(SEARCH("TropicalRainforest",BX283)),ISNUMBER(SEARCH("TropicalSwamp",BX283))),40,IF(OR(ISNUMBER(SEARCH("TemperateForest",BX283)),ISNUMBER(SEARCH("TemperateSwamp",BX283))),35,IF(OR(ISNUMBER(SEARCH("Alpine",BX283)),ISNUMBER(SEARCH("BorealForest",BX283)),ISNUMBER(SEARCH("ColdBog",BX283))),30,IF(ISNUMBER(OR(ISNUMBER(SEARCH("GlacialPlain",BX283)),SEARCH("Tundra",BX283))),25,IF(OR(ISNUMBER(SEARCH("SeaIce",BX283)),ISNUMBER(SEARCH("IceSheet",BX283)),ISNUMBER(SEARCH("TropicalSwamp",BX283))),10,35)))))))+_xlfn.XLOOKUP(B283,'Base stats'!B:B,'Base stats'!Q:Q)</f>
        <v>50</v>
      </c>
      <c r="N283" s="8">
        <f>IF(
_xlfn.XLOOKUP(
_xlfn.XLOOKUP(B283,'Base stats'!B:B,'Base stats'!E:E),
Groups!A:A,
Groups!L:L
)=1,
MIN(
MROUND(
IF(
_xlfn.XLOOKUP(B283,'Animals CE'!B:B,'Animals CE'!Z:Z)&lt;=1.5,
_xlfn.XLOOKUP(B283,'Animals CE'!B:B,'Animals CE'!Z:Z)/2+0.05,
0.8+
(_xlfn.XLOOKUP(B283,'Animals CE'!B:B,'Animals CE'!Z:Z)-1.5)
*0.02
),
0.05
),
200%
),
"No"
)</f>
        <v>0.9</v>
      </c>
      <c r="O283" s="8">
        <f>IF(
_xlfn.XLOOKUP(
_xlfn.XLOOKUP(B283,'Base stats'!B:B,'Base stats'!E:E),
Groups!A:A,
Groups!L:L
)=1,
MIN(
MROUND(
IF(
_xlfn.XLOOKUP(B283,'Animals CE'!B:B,'Animals CE'!AA:AA)&lt;=1.5,
_xlfn.XLOOKUP(B283,'Animals CE'!B:B,'Animals CE'!AA:AA)/2+0.05,
0.8+
(_xlfn.XLOOKUP(B283,'Animals CE'!B:B,'Animals CE'!AA:AA)-1.5)
*0.02
),
0.05
),
200%
),
"No"
)</f>
        <v>0.85000000000000009</v>
      </c>
      <c r="P283" s="2" t="str">
        <f>_xlfn.XLOOKUP(B283,'Base stats'!B:B,'Base stats'!R:R)</f>
        <v>Standard</v>
      </c>
      <c r="Q283" s="13">
        <f>MROUND((LOG10(_xlfn.XLOOKUP(B283,'Base stats'!B:B,'Base stats'!AR:AR))*(AO283^0.5)+(_xlfn.XLOOKUP(B283,'Base stats'!B:B,'Base stats'!AR:AR)/1000)^(2/3)+_xlfn.XLOOKUP(B283,'Base stats'!B:B,'Base stats'!BA:BA)/2)+0.5,0.5)</f>
        <v>22.5</v>
      </c>
      <c r="R283" s="7">
        <f>IF(Q283="No","No",MAX(1,MROUND(_xlfn.XLOOKUP(B283,'Base stats'!B:B,'Base stats'!C:C)^0.165,0.05)))</f>
        <v>3.25</v>
      </c>
      <c r="S283" s="13" t="str">
        <f>IF(_xlfn.XLOOKUP(_xlfn.XLOOKUP(B283,'Base stats'!B:B,'Base stats'!E:E),Groups!A:A,Groups!P:P)=0,"No",MROUND((LOG10(_xlfn.XLOOKUP(B283,'Base stats'!B:B,'Base stats'!AS:AS))*(AO283^0.5)+(_xlfn.XLOOKUP(B283,'Base stats'!B:B,'Base stats'!AS:AS)/1000)^(2/3)+_xlfn.XLOOKUP(B283,'Base stats'!B:B,'Base stats'!BA:BA))+_xlfn.XLOOKUP(B283,'Base stats'!B:B,'Base stats'!AY:AY)+0.5,0.5))</f>
        <v>No</v>
      </c>
      <c r="T283" s="7" t="str">
        <f>IF(S283="No","No",MAX(_xlfn.XLOOKUP(_xlfn.XLOOKUP(B283,'Base stats'!B:B,'Base stats'!E:E),Groups!A:A,Groups!Q:Q),MROUND(_xlfn.XLOOKUP(_xlfn.XLOOKUP(B283,'Base stats'!B:B,'Base stats'!E:E),Groups!A:A,Groups!Q:Q)*_xlfn.XLOOKUP(B283,'Base stats'!B:B,'Base stats'!C:C)^0.165,0.05)))</f>
        <v>No</v>
      </c>
      <c r="U283" s="7" t="str">
        <f>IF(S283="No","No",_xlfn.XLOOKUP(_xlfn.XLOOKUP(B283,'Base stats'!B:B,'Base stats'!E:E),Groups!A:A,Groups!R:R))</f>
        <v>No</v>
      </c>
      <c r="V283" s="7" t="str">
        <f>IF(S283="No","No",_xlfn.XLOOKUP(_xlfn.XLOOKUP(B283,'Base stats'!B:B,'Base stats'!E:E),Groups!A:A,Groups!S:S))</f>
        <v>No</v>
      </c>
      <c r="W283" s="7" t="str">
        <f>IF(S283="No","No",_xlfn.XLOOKUP(_xlfn.XLOOKUP(B283,'Base stats'!B:B,'Base stats'!E:E),Groups!A:A,Groups!T:T))</f>
        <v>No</v>
      </c>
      <c r="X283" s="13" t="str">
        <f>IF(_xlfn.XLOOKUP(B283,'Base stats'!B:B,'Base stats'!W:W)="No","No",MROUND((LOG10(_xlfn.XLOOKUP(B283,'Base stats'!B:B,'Base stats'!AU:AU))*(AO283^0.5)+(_xlfn.XLOOKUP(B283,'Base stats'!B:B,'Base stats'!AU:AU)/1000)^(2/3)+_xlfn.XLOOKUP(B283,'Base stats'!B:B,'Base stats'!AZ:AZ))+0.5+IF(_xlfn.XLOOKUP(_xlfn.XLOOKUP(B283,'Base stats'!B:B,'Base stats'!E:E),Groups!A:A,Groups!U:U)&lt;&gt;3,_xlfn.XLOOKUP(B283,'Base stats'!B:B,'Base stats'!BA:BA),0),0.5))</f>
        <v>No</v>
      </c>
      <c r="Y283" s="7" t="str">
        <f>IF(X283="No","No",MAX(_xlfn.XLOOKUP(_xlfn.XLOOKUP(B283,'Base stats'!B:B,'Base stats'!E:E),Groups!A:A,Groups!V:V),MROUND(_xlfn.XLOOKUP(_xlfn.XLOOKUP(B283,'Base stats'!B:B,'Base stats'!E:E),Groups!A:A,Groups!V:V)*_xlfn.XLOOKUP(B283,'Base stats'!B:B,'Base stats'!C:C)^0.165,0.05)))</f>
        <v>No</v>
      </c>
      <c r="Z283" s="7" t="str">
        <f>IF(X283="No","No",_xlfn.XLOOKUP(_xlfn.XLOOKUP(B283,'Base stats'!B:B,'Base stats'!E:E),Groups!A:A,Groups!W:W))</f>
        <v>No</v>
      </c>
      <c r="AA283" s="7" t="str">
        <f>IF(X283="No","No",_xlfn.XLOOKUP(_xlfn.XLOOKUP(B283,'Base stats'!B:B,'Base stats'!E:E),Groups!A:A,Groups!X:X))</f>
        <v>No</v>
      </c>
      <c r="AB283" s="7" t="str">
        <f>IF(X283="No","No",_xlfn.XLOOKUP(_xlfn.XLOOKUP(B283,'Base stats'!B:B,'Base stats'!E:E),Groups!A:A,Groups!Y:Y))</f>
        <v>No</v>
      </c>
      <c r="AC283" s="7" t="str">
        <f>_xlfn.XLOOKUP(Animals!B283,'Base stats'!B:B,'Base stats'!X:X)</f>
        <v>False</v>
      </c>
      <c r="AD283" s="13">
        <f>IF(_xlfn.XLOOKUP(B283,'Base stats'!B:B,'Base stats'!AT:AT)="No","No",MROUND((LOG10(_xlfn.XLOOKUP(B283,'Base stats'!B:B,'Base stats'!AT:AT))*(AO283^0.75)+(_xlfn.XLOOKUP(B283,'Base stats'!B:B,'Base stats'!AT:AT)/1000)^(2/3)+_xlfn.XLOOKUP(B283,'Base stats'!B:B,'Base stats'!AX:AX)+_xlfn.XLOOKUP(B283,'Base stats'!B:B,'Base stats'!BA:BA))+0.5,0.5))</f>
        <v>59.5</v>
      </c>
      <c r="AE283" s="7">
        <f>IF(AD283="No","No",MAX(_xlfn.XLOOKUP(_xlfn.XLOOKUP(B283,'Base stats'!B:B,'Base stats'!E:E),Groups!A:A,Groups!Z:Z),MROUND(_xlfn.XLOOKUP(_xlfn.XLOOKUP(B283,'Base stats'!B:B,'Base stats'!E:E),Groups!A:A,Groups!Z:Z)*_xlfn.XLOOKUP(B283,'Base stats'!B:B,'Base stats'!C:C)^0.165,0.05)))</f>
        <v>4.25</v>
      </c>
      <c r="AF283" s="7" t="str">
        <f>IF(AD283="No","No",_xlfn.XLOOKUP(_xlfn.XLOOKUP(B283,'Base stats'!B:B,'Base stats'!E:E),Groups!A:A,Groups!AA:AA))</f>
        <v>Mouth</v>
      </c>
      <c r="AG283" s="7" t="str">
        <f>IF(AD283="No","No",_xlfn.XLOOKUP(_xlfn.XLOOKUP(B283,'Base stats'!B:B,'Base stats'!E:E),Groups!A:A,Groups!AB:AB))</f>
        <v>mandibles</v>
      </c>
      <c r="AH283" s="7" t="str">
        <f>IF(AD283="No","No",_xlfn.XLOOKUP(_xlfn.XLOOKUP(B283,'Base stats'!B:B,'Base stats'!E:E),Groups!A:A,Groups!AC:AC))</f>
        <v>Bite</v>
      </c>
      <c r="AI283" s="13" t="str">
        <f>IF(_xlfn.XLOOKUP(_xlfn.XLOOKUP(B283,'Base stats'!B:B,'Base stats'!E:E),Groups!A:A,Groups!AD:AD)=0,"No",MROUND((LOG10(_xlfn.XLOOKUP(B283,'Base stats'!B:B,'Base stats'!AS:AS))*(AO283^0.75)+(_xlfn.XLOOKUP(B283,'Base stats'!B:B,'Base stats'!AS:AS)/1000)^(2/3)+_xlfn.XLOOKUP(B283,'Base stats'!B:B,'Base stats'!AY:AY)+_xlfn.XLOOKUP(B283,'Base stats'!B:B,'Base stats'!BA:BA))+0.5,0.5))</f>
        <v>No</v>
      </c>
      <c r="AJ283" s="7" t="str">
        <f>IF(AI283="No","No",MAX(_xlfn.XLOOKUP(_xlfn.XLOOKUP(B283,'Base stats'!B:B,'Base stats'!E:E),Groups!A:A,Groups!AE:AE),MROUND(_xlfn.XLOOKUP(_xlfn.XLOOKUP(B283,'Base stats'!B:B,'Base stats'!E:E),Groups!A:A,Groups!AE:AE)*IF(_xlfn.XLOOKUP(_xlfn.XLOOKUP(B283,'Base stats'!B:B,'Base stats'!E:E),Groups!A:A,Groups!AJ:AJ)="Photonozoa",0.6,1)*_xlfn.XLOOKUP(B283,'Base stats'!B:B,'Base stats'!C:C)^0.165,0.05)))</f>
        <v>No</v>
      </c>
      <c r="AK283" s="7" t="str">
        <f>IF(AI283="No","No",_xlfn.XLOOKUP(_xlfn.XLOOKUP(B283,'Base stats'!B:B,'Base stats'!E:E),Groups!A:A,Groups!AF:AF))</f>
        <v>No</v>
      </c>
      <c r="AL283" s="7" t="str">
        <f>IF(AI283="No","No",_xlfn.XLOOKUP(_xlfn.XLOOKUP(B283,'Base stats'!B:B,'Base stats'!E:E),Groups!A:A,Groups!AG:AG))</f>
        <v>No</v>
      </c>
      <c r="AM283" s="7" t="str">
        <f>IF(AI283="No","No",_xlfn.XLOOKUP(_xlfn.XLOOKUP(B283,'Base stats'!B:B,'Base stats'!E:E),Groups!A:A,Groups!AH:AH))</f>
        <v>No</v>
      </c>
      <c r="AN283" s="2">
        <f t="shared" si="28"/>
        <v>35</v>
      </c>
      <c r="AO283" s="2">
        <f>MROUND(IF(AND(_xlfn.XLOOKUP(B283,'Base stats'!B:B,'Base stats'!C:C)&gt;=0.5,_xlfn.XLOOKUP(B283,'Base stats'!B:B,'Base stats'!C:C)&lt;=0.8),
IF(_xlfn.XLOOKUP(B283,'Base stats'!B:B,'Base stats'!C:C)&lt;0.1,0.05,IF(_xlfn.XLOOKUP(B283,'Base stats'!B:B,'Base stats'!C:C)&lt;=70,(_xlfn.XLOOKUP(B283,'Base stats'!B:B,'Base stats'!C:C)/70)^0.426489913056526,IF(_xlfn.XLOOKUP(B283,'Base stats'!B:B,'Base stats'!C:C)&lt;=400,(_xlfn.XLOOKUP(B283,'Base stats'!B:B,'Base stats'!C:C)/70)^0.572811455315093,IF(_xlfn.XLOOKUP(B283,'Base stats'!B:B,'Base stats'!C:C)&lt;=2000,2.71391647193063*(_xlfn.XLOOKUP(B283,'Base stats'!B:B,'Base stats'!C:C)/400)^0.252459582904293,3.74314280240376*(_xlfn.XLOOKUP(B283,'Base stats'!B:B,'Base stats'!C:C)/2000)^0.357012633876913)))),
IF(_xlfn.XLOOKUP(B283,'Base stats'!B:B,'Base stats'!C:C)&lt;0.1,0.05,IF(_xlfn.XLOOKUP(B283,'Base stats'!B:B,'Base stats'!C:C)&lt;0.4,0.1,IF(_xlfn.XLOOKUP(B283,'Base stats'!B:B,'Base stats'!C:C)&lt;=70,(_xlfn.XLOOKUP(B283,'Base stats'!B:B,'Base stats'!C:C)/70)^0.445823913056526,IF(_xlfn.XLOOKUP(B283,'Base stats'!B:B,'Base stats'!C:C)&lt;=400,(_xlfn.XLOOKUP(B283,'Base stats'!B:B,'Base stats'!C:C)/70)^0.572811455315093,IF(_xlfn.XLOOKUP(B283,'Base stats'!B:B,'Base stats'!C:C)&lt;=2000,2.71391647193063*(_xlfn.XLOOKUP(B283,'Base stats'!B:B,'Base stats'!C:C)/400)^0.252459582904293,3.74314280240376*(_xlfn.XLOOKUP(B283,'Base stats'!B:B,'Base stats'!C:C)/2000)^0.357012633876913)))))),
IF(_xlfn.XLOOKUP(B283,'Base stats'!B:B,'Base stats'!C:C)&lt;0.1,0.05,IF(_xlfn.XLOOKUP(B283,'Base stats'!B:B,'Base stats'!C:C)&lt;=100,0.05,IF(_xlfn.XLOOKUP(B283,'Base stats'!B:B,'Base stats'!C:C)&lt;=250,0.1,IF(_xlfn.XLOOKUP(B283,'Base stats'!B:B,'Base stats'!C:C)&lt;=4000,0.25,0.5)))))</f>
        <v>3.75</v>
      </c>
      <c r="AP283" s="8">
        <f>MROUND(AO283*_xlfn.XLOOKUP(_xlfn.XLOOKUP(B283,'Base stats'!B:B,'Base stats'!E:E),Groups!A:A,Groups!AI:AI)*_xlfn.XLOOKUP(B283,'Base stats'!B:B,'Base stats'!Z:Z),0.05)</f>
        <v>3.75</v>
      </c>
      <c r="AQ283" s="8">
        <f>MAX(0.01,MROUND(IF(CC283="True",0.196*(AO283*100*1000)^0.889,IF(_xlfn.XLOOKUP(_xlfn.XLOOKUP(B283,'Base stats'!B:B,'Base stats'!E:E),Groups!A:A,Groups!AJ:AJ)="Bird",10.5*(AO283*100*1000)^0.681,4.82*(AO283*100*1000)^0.734))/(4.82*(1*100*1000)^0.734)/IF(AO283&lt;3.5,2,IF(AO283=3.5,1.5,1.25))*(1+0.132282374779864/(AO283^0.994035016789033+0.00905238001496948)),0.05))</f>
        <v>0.65</v>
      </c>
      <c r="AR283" s="9">
        <f>IFERROR(MROUND(_xlfn.XLOOKUP(B283,'Base stats'!B:B,'Base stats'!H:H)/IF(_xlfn.XLOOKUP(B283,'Base stats'!B:B,'Base stats'!I:I)&lt;&gt;1,(122.5/70),1.2),IF(_xlfn.XLOOKUP(B283,'Base stats'!B:B,'Base stats'!H:H)&gt;=30,5,IF(_xlfn.XLOOKUP(B283,'Base stats'!B:B,'Base stats'!H:H)&gt;=15,3,IF(_xlfn.XLOOKUP(B283,'Base stats'!B:B,'Base stats'!H:H)&gt;=10,2,1)))),"Immortal")</f>
        <v>25</v>
      </c>
      <c r="AS283" s="35">
        <f>IFERROR(IF(OR(_xlfn.XLOOKUP(B283,'Base stats'!B:B,'Base stats'!F:F)="Atypical reproduction",_xlfn.XLOOKUP(B283,'Base stats'!B:B,'Base stats'!F:F)="Lay eggs"),"Lay eggs",MIN(20,MAX(5.5,ROUND(((_xlfn.XLOOKUP(B283,'Base stats'!B:B,'Base stats'!F:F)-25)*(14.5/615) + 5.5)*2,0)/2))),"Unknown")</f>
        <v>12.5</v>
      </c>
      <c r="AT283" s="8">
        <f>IF(_xlfn.XLOOKUP(B283,'Base stats'!B:B,'Base stats'!G:G)="Atypical reproduction","No",IFERROR(MAX(IF(_xlfn.XLOOKUP(B283,'Base stats'!B:B,'Base stats'!G:G)&lt;0.5,0.2,0.3),MROUND(_xlfn.XLOOKUP(B283,'Base stats'!B:B,'Base stats'!G:G)/(365/60),0.2)),"Unknown"))</f>
        <v>1</v>
      </c>
      <c r="AU283" s="8">
        <f t="shared" si="29"/>
        <v>0.5</v>
      </c>
      <c r="AV283" s="8">
        <f>IFERROR(IFERROR(MROUND(_xlfn.XLOOKUP(B283,'Base stats'!B:B,'Base stats'!J:J),0.1),"Lay eggs"),"Cannot breed")</f>
        <v>1</v>
      </c>
      <c r="AW283" s="2" t="str">
        <f t="shared" si="30"/>
        <v>true</v>
      </c>
      <c r="AX283" s="2" t="str">
        <f>IF(_xlfn.XLOOKUP(_xlfn.XLOOKUP(Animals!B283,'Base stats'!B:B,'Base stats'!E:E),Groups!A:A,Groups!AK:AK)=1,"true","false")</f>
        <v>false</v>
      </c>
      <c r="AY283" s="25" t="str">
        <f>IF(_xlfn.XLOOKUP(B283,'Base stats'!B:B,'Base stats'!Y:Y)="Liquor","Liquor, CarnivoreAnimalStrict",IF(AND(_xlfn.XLOOKUP(B283,'Base stats'!B:B,'Base stats'!Y:Y)="Carnivore",_xlfn.XLOOKUP(_xlfn.XLOOKUP(B283,'Base stats'!B:B,'Base stats'!E:E),Groups!A:A,Groups!AJ:AJ)="Photonozoa"),"CarnivoreAnimalStrict, OvivoreAnimal",IF(_xlfn.XLOOKUP(B283,'Base stats'!B:B,'Base stats'!Y:Y)="Carnivore","CarnivoreAnimal, OvivoreAnimal",IF(_xlfn.XLOOKUP(B283,'Base stats'!B:B,'Base stats'!Y:Y)="Dendrovore","VegetarianRoughAnimal, DendrovoreAnimal",IF(_xlfn.XLOOKUP(B283,'Base stats'!B:B,'Base stats'!Y:Y)="Herbivore","VegetarianRoughAnimal",IF(_xlfn.XLOOKUP(B283,'Base stats'!B:B,'Base stats'!Y:Y)="OmnivoreRough","OmnivoreRoughAnimal, OvivoreAnimal","OmnivoreAnimal, OvivoreAnimal"))))))</f>
        <v>CarnivoreAnimal, OvivoreAnimal</v>
      </c>
      <c r="AZ283" s="2">
        <f>IF(_xlfn.XLOOKUP(_xlfn.XLOOKUP(B283,'Base stats'!B:B,'Base stats'!E:E),Groups!A:A,Groups!D:D)=1,MROUND((1-J283)*5+1,2)*IF(J283&lt;=0.4,2,1),"No")</f>
        <v>2</v>
      </c>
      <c r="BA283" s="2" t="str">
        <f>IF(AND(_xlfn.XLOOKUP(B283,'Base stats'!B:B,'Base stats'!AH:AH)="&lt;li&gt;Seal&lt;/li&gt;",G283="Odyssey"),"&lt;li&gt;AEXP_Seal&lt;/li&gt;",_xlfn.XLOOKUP(B283,'Base stats'!B:B,'Base stats'!AH:AH))</f>
        <v>&lt;li&gt;Megaspider&lt;/li&gt;</v>
      </c>
      <c r="BB283" s="2" t="str">
        <f>_xlfn.XLOOKUP(B283,'Base stats'!B:B,'Base stats'!AG:AG)</f>
        <v>Leather_Chitin</v>
      </c>
      <c r="BC283" s="23" t="str">
        <f>_xlfn.XLOOKUP(_xlfn.XLOOKUP(B283,'Base stats'!B:B,'Base stats'!E:E),Groups!A:A,Groups!AL:AL)</f>
        <v>Larva</v>
      </c>
      <c r="BD283" s="23">
        <f>MIN(1,MROUND(IF(AND(AO283&lt;0.5,_xlfn.XLOOKUP(B283,'Base stats'!B:B,'Base stats'!AA:AA)=0),0,IF(OR(_xlfn.XLOOKUP(Animals!B283,'Base stats'!B:B,'Base stats'!O:O)=2,_xlfn.XLOOKUP(_xlfn.XLOOKUP(B283,'Base stats'!B:B,'Base stats'!E:E),Groups!A:A,Groups!AN:AN)=0),0,_xlfn.XLOOKUP(_xlfn.XLOOKUP(B283,'Base stats'!B:B,'Base stats'!E:E),Groups!A:A,Groups!AN:AN)/IF(_xlfn.XLOOKUP(Animals!B283,'Base stats'!B:B,'Base stats'!O:O)=1,2,1)))+_xlfn.XLOOKUP(B283,'Base stats'!B:B,'Base stats'!AC:AC),0.005))</f>
        <v>0.1</v>
      </c>
      <c r="BE283" s="23">
        <f>MIN(1,MROUND(IF(AND(AO283&lt;0.5,_xlfn.XLOOKUP(B283,'Base stats'!B:B,'Base stats'!AA:AA)=0),0,IF(_xlfn.XLOOKUP(_xlfn.XLOOKUP(B283,'Base stats'!B:B,'Base stats'!E:E),Groups!A:A,Groups!AO:AO)=0,0,_xlfn.XLOOKUP(_xlfn.XLOOKUP(B283,'Base stats'!B:B,'Base stats'!E:E),Groups!A:A,Groups!AO:AO)/IF(_xlfn.XLOOKUP(Animals!B283,'Base stats'!B:B,'Base stats'!O:O)=2,3,1)))+_xlfn.XLOOKUP(B283,'Base stats'!B:B,'Base stats'!AD:AD),0.005))</f>
        <v>0.3</v>
      </c>
      <c r="BF283" s="2" t="str">
        <f>IF(J283&gt;0.3,"No",_xlfn.XLOOKUP(_xlfn.XLOOKUP(Animals!B283,'Base stats'!B:B,'Base stats'!E:E),Groups!A:A,Groups!AP:AP))</f>
        <v>No</v>
      </c>
      <c r="BG283" s="2" t="str">
        <f>IF(AND(J283&lt;=0.65,_xlfn.XLOOKUP(_xlfn.XLOOKUP(Animals!B283,'Base stats'!B:B,'Base stats'!E:E),Groups!A:A,Groups!AP:AP)&lt;&gt;"No",_xlfn.XLOOKUP(_xlfn.XLOOKUP(B283,'Base stats'!B:B,'Base stats'!E:E),Groups!A:A,Groups!D:D)=0),MROUND((80/3)*IF(_xlfn.XLOOKUP(B283,'Base stats'!B:B,'Base stats'!O:O)=2,0.2,AO283) + 24*(1-IF(BF283="No",0,BF283)) + 16/3, 12),"No")</f>
        <v>No</v>
      </c>
      <c r="BH283" s="2">
        <f>IF(AND(_xlfn.XLOOKUP(_xlfn.XLOOKUP(B283,'Base stats'!B:B,'Base stats'!E:E),Groups!A:A,Groups!AQ:AQ)=1,AO283&lt;=0.35),8,12)</f>
        <v>12</v>
      </c>
      <c r="BI283" s="2" t="str">
        <f>IF(_xlfn.XLOOKUP(_xlfn.XLOOKUP(B283,'Base stats'!B:B,'Base stats'!E:E),Groups!A:A,Groups!D:D)=0,_xlfn.XLOOKUP(_xlfn.XLOOKUP(B283,'Base stats'!B:B,'Base stats'!E:E),Groups!A:A,Groups!AR:AR),"None")</f>
        <v>None</v>
      </c>
      <c r="BJ283" s="2" t="str">
        <f>IF(AND(_xlfn.XLOOKUP(_xlfn.XLOOKUP(B283,'Base stats'!B:B,'Base stats'!E:E),Groups!A:A,Groups!AS:AS)=1,OR(_xlfn.XLOOKUP(B283,'Base stats'!B:B,'Base stats'!Y:Y)="Carnivore",_xlfn.XLOOKUP(B283,'Base stats'!B:B,'Base stats'!Y:Y)="Omnivore")),"true","false")</f>
        <v>true</v>
      </c>
      <c r="BK283" s="2">
        <f>IF(BJ283="true",MROUND(IF(AND(AO283&gt;0.5,OR(_xlfn.XLOOKUP(_xlfn.XLOOKUP(B283,'Base stats'!B:B,'Base stats'!E:E),Groups!A:A,Groups!AJ:AJ)="Photonozoa",_xlfn.XLOOKUP(_xlfn.XLOOKUP(B283,'Base stats'!B:B,'Base stats'!E:E),Groups!A:A,Groups!AJ:AJ)="Mammal")),Animals!AO283*1.75*IF(AW283="true",1.5,1),IF(AO283&lt;0.5,Animals!AO283*0.5,Animals!AO283)),IF(AO283&gt;2,0.5,IF(AO283&gt;0.5,0.25,0.1))),"No")</f>
        <v>4</v>
      </c>
      <c r="BL283" s="2">
        <f t="shared" si="31"/>
        <v>0</v>
      </c>
      <c r="BM283" s="25" t="str">
        <f>IF(_xlfn.XLOOKUP(B283,'Base stats'!B:B,'Base stats'!AN:AN)="Standard","No",MROUND((_xlfn.XLOOKUP(B283,'Base stats'!B:B,'Base stats'!AN:AN)/3.6)/I283,0.1))</f>
        <v>No</v>
      </c>
      <c r="BN283" s="25" t="str">
        <f t="shared" si="32"/>
        <v>false</v>
      </c>
      <c r="BO283" s="25" t="str">
        <f>IF(AND(OR(_xlfn.XLOOKUP(B283,'Base stats'!B:B,'Base stats'!Y:Y)="Carnivore",_xlfn.XLOOKUP(B283,'Base stats'!B:B,'Base stats'!Y:Y)="Omnivore",_xlfn.XLOOKUP(B283,'Base stats'!B:B,'Base stats'!Y:Y)="OmnivoreRough"),_xlfn.XLOOKUP(_xlfn.XLOOKUP(B283,'Base stats'!B:B,'Base stats'!E:E),Groups!A:A,Groups!AT:AT)=1),"true","false")</f>
        <v>false</v>
      </c>
      <c r="BP283" s="25" t="str" cm="1">
        <f t="array" ref="BP283">IF(
  _xlfn.TEXTJOIN(", ",TRUE,
    IF(AND(BJ283="true",AO283&gt;0.5,BI283&lt;&gt;"None"),"AttackTarget",""),
    IF(AND(_xlfn.XLOOKUP(_xlfn.XLOOKUP(B283,'Base stats'!B:B,'Base stats'!E:E),Groups!A:A,Groups!AJ:AJ="Mammal"),OR(_xlfn.XLOOKUP(B283,'Base stats'!B:B,'Base stats'!Y:Y)="Omnivore",_xlfn.XLOOKUP(B283,'Base stats'!B:B,'Base stats'!Y:Y)="OmnivoreRough")),"Forage",""),
    IF(BG283&lt;=36,"Comfort",""),
    IF(_xlfn.XLOOKUP(B283,'Base stats'!B:B,'Base stats'!AE:AE)&lt;&gt;"No",_xlfn.XLOOKUP(B283,'Base stats'!B:B,'Base stats'!AE:AE),"")
  ) = "",
  "No",
  _xlfn.TEXTJOIN(", ",TRUE,
    IF(AND(BJ283="true",AO283&gt;0.5,BI283&lt;&gt;"None"),"AttackTarget",""),
    IF(AND(_xlfn.XLOOKUP(_xlfn.XLOOKUP(B283,'Base stats'!B:B,'Base stats'!E:E),Groups!A:A,Groups!AJ:AJ="Mammal"),OR(_xlfn.XLOOKUP(B283,'Base stats'!B:B,'Base stats'!Y:Y)="Omnivore",_xlfn.XLOOKUP(B283,'Base stats'!B:B,'Base stats'!Y:Y)="OmnivoreRough")),"Forage",""),
    IF(BG283&lt;=36,"Comfort",""),
    IF(_xlfn.XLOOKUP(B283,'Base stats'!B:B,'Base stats'!AE:AE)&lt;&gt;"No",_xlfn.XLOOKUP(B283,'Base stats'!B:B,'Base stats'!AE:AE),"")
  )
)</f>
        <v>No</v>
      </c>
      <c r="BQ283" s="25" t="str">
        <f>IF(
   AND(
      'Base stats'!AN283="Standard",_xlfn.XLOOKUP(_xlfn.XLOOKUP(B283,'Base stats'!B:B,'Base stats'!E:E),Groups!A:A,Groups!AU:AU)=0,
      OR(
      BO283="True"
      )
   ),
   10,
   IF(
       OR(BM283&lt;&gt;"No",_xlfn.XLOOKUP(_xlfn.XLOOKUP(B283,'Base stats'!B:B,'Base stats'!E:E),Groups!A:A,Groups!AU:AU)=1),
      1,
      "No"
   )
)</f>
        <v>No</v>
      </c>
      <c r="BR283" s="9">
        <f>MROUND((1 + ((0.2*IF(OR(Q283="No",R283="No",R283=0),0,Q283/R283)
+IF(OR(V283="No",S283="No",T283="No"),0,S283/T283*(LEN(V283)-LEN(SUBSTITUTE(V283,",",""))+1))
+IF(OR(X283="No",Y283="No"),0,X283/Y283)
+IF(OR(AD283="No",AE283="No"),0,AD283/AE283)
+IF(OR(AL283="No",AI283="No",AJ283="No"),0,AI283/AJ283*(LEN(AL283)-LEN(SUBSTITUTE(AL283,",",""))+1))
)/(0.2*IF(OR(Q283="No",R283="No",R283=0),0,1)
+IF(OR(V283="No",S283="No",T283="No"),0,LEN(V283)-LEN(SUBSTITUTE(V283,",",""))+1)
+IF(OR(X283="No",Y283="No"),0,1)
+IF(OR(AD283="No",AE283="No"),0,1)
+IF(OR(AL283="No",AI283="No",AJ283="No"),0,LEN(AL283)-LEN(SUBSTITUTE(AL283,",",""))+1))*62%)* 2)*(1 + (AP283 / (IF(_xlfn.XLOOKUP(_xlfn.XLOOKUP(B283,'Base stats'!B:B,'Base stats'!E:E),Groups!A:A,Groups!AJ:AJ)="Photonozoa",0.3,1)) + _xlfn.XLOOKUP(B283,'Base stats'!B:B,'Base stats'!AV:AV) * 1.8) * 2) * 2.5 + 10 + I283 * 2,5)+IF(_xlfn.XLOOKUP(B283,'Base stats'!B:B,'Base stats'!AK:AK)=1,50,0)</f>
        <v>505</v>
      </c>
      <c r="BS283" s="8">
        <f t="shared" si="33"/>
        <v>1.25</v>
      </c>
      <c r="BT283" s="8" t="str">
        <f>_xlfn.XLOOKUP(B283,'Base stats'!B:B,'Base stats'!AF:AF)</f>
        <v>2~6</v>
      </c>
      <c r="BU283" s="2" t="str">
        <f>IF(AND(J283&lt;=0.95,OR(_xlfn.XLOOKUP(B283,'Base stats'!B:B,'Base stats'!AK:AK)=1,_xlfn.XLOOKUP(B283,'Base stats'!B:B,'Base stats'!Y:Y)="Carnivore",_xlfn.XLOOKUP(B283,'Base stats'!B:B,'Base stats'!Y:Y)="Omnivore",BE283&gt;0.1)),"true","false")</f>
        <v>true</v>
      </c>
      <c r="BV283" s="2" t="str">
        <f>IF(_xlfn.XLOOKUP(B283,'Base stats'!B:B,'Base stats'!AI:AI)=1,"true","false")</f>
        <v>false</v>
      </c>
      <c r="BW283" s="25" t="str">
        <f>IF(E283="BaseInsect","AnimalInsect",
IF(J283&gt;0.95,"AnimalExotic",
_xlfn.TEXTJOIN(", ",TRUE,
IF(OR(_xlfn.XLOOKUP(B283,'Base stats'!B:B,'Base stats'!AM:AM)=1,AND(_xlfn.XLOOKUP(B283,'Base stats'!B:B,'Base stats'!O:O)=0,_xlfn.XLOOKUP(_xlfn.XLOOKUP(B283,'Base stats'!B:B,'Base stats'!E:E),Groups!A:A,Groups!B:B)&gt;0)),"AnimalUncommon","AnimalCommon"),
IF(AND(_xlfn.XLOOKUP(B283,'Base stats'!B:B,'Base stats'!O:O)=2,_xlfn.XLOOKUP(_xlfn.XLOOKUP(B283,'Base stats'!B:B,'Base stats'!E:E),Groups!A:A,Groups!D:D)=0),"AnimalPet",IF(AND(_xlfn.XLOOKUP(B283,'Base stats'!B:B,'Base stats'!O:O)&lt;&gt;0,_xlfn.XLOOKUP(_xlfn.XLOOKUP(B283,'Base stats'!B:B,'Base stats'!E:E),Groups!A:A,Groups!D:D)&lt;&gt;0),"AnimalFarm","")),
IF(OR(_xlfn.XLOOKUP(B283,'Base stats'!B:B,'Base stats'!AK:AK)=1,AND(BI283&lt;&gt;"None",BR283&gt;=60),ISNUMBER(SEARCH("Attack target",BP283))),"AnimalFighter","")
)))</f>
        <v>AnimalUncommon</v>
      </c>
      <c r="BX283" s="25" t="str">
        <f>IF(G283="None",TRIM(
SUBSTITUTE(
IF(COUNTIF(Biomes!B$2:B$259,"="&amp;$C283)&gt;0,Biomes!B$1&amp;", ","")&amp;
IF(COUNTIF(Biomes!C$2:C$259,"="&amp;$C283)&gt;0,Biomes!C$1&amp;", ","")&amp;
IF(COUNTIF(Biomes!D$2:D$259,"="&amp;$C283)&gt;0,Biomes!D$1&amp;", ","")&amp;
IF(COUNTIF(Biomes!F$2:F$259,"="&amp;$C283)&gt;0,Biomes!F$1&amp;", ","")&amp;
IF(COUNTIF(Biomes!G$2:G$259,"="&amp;$C283)&gt;0,Biomes!G$1&amp;", ","")&amp;
IF(COUNTIF(Biomes!H$2:H$259,"="&amp;$C283)&gt;0,Biomes!H$1&amp;", ","")&amp;
IF(COUNTIF(Biomes!I$2:I$259,"="&amp;$C283)&gt;0,Biomes!I$1&amp;", ","")&amp;
IF(COUNTIF(Biomes!J$2:J$259,"="&amp;$C283)&gt;0,Biomes!J$1&amp;", ","")&amp;
IF(COUNTIF(Biomes!M$2:M$259,"="&amp;$C283)&gt;0,Biomes!M$1&amp;", ","")&amp;
IF(COUNTIF(Biomes!N$2:N$259,"="&amp;$C283)&gt;0,Biomes!N$1&amp;", ","")&amp;
IF(COUNTIF(Biomes!O$2:O$259,"="&amp;$C283)&gt;0,Biomes!O$1&amp;", ","")&amp;
IF(COUNTIF(Biomes!P$2:P$259,"="&amp;$C283)&gt;0,Biomes!P$1&amp;", ","")&amp;
IF(COUNTIF(Biomes!K$2:K$259,"="&amp;$C283)&gt;0,Biomes!K$1&amp;", ","")&amp;
IF(COUNTIF(Biomes!Q$3:Q$259,"="&amp;$C283)&gt;0,Biomes!Q$1&amp;", ","")&amp;
IF(COUNTIF(Biomes!L$2:L$259,"="&amp;$C283)&gt;0,Biomes!L$1&amp;", ","")&amp;
IF(COUNTIF(Biomes!E$2:E$259,"="&amp;$C283)&gt;0,Biomes!E$1&amp;", ","")&amp;IF(COUNTIF(Biomes!S$2:S$259,"="&amp;$C283)&gt;0,Biomes!S$1&amp;", ","")&amp;
IF(COUNTIF(Biomes!R$2:R$259,"="&amp;$C283)&gt;0,Biomes!R$1&amp;", ",""),", ","")
),_xlfn.XLOOKUP(B283,B:B,BX:BX))</f>
        <v>AridShrubland Desert ExtremeDesert LavaField</v>
      </c>
      <c r="BY283" s="25" t="str">
        <f>IF(_xlfn.XLOOKUP(B283,'Base stats'!B:B,'Base stats'!AJ:AJ)=1,"true","false")</f>
        <v>false</v>
      </c>
      <c r="BZ283" s="25">
        <f>IF(_xlfn.XLOOKUP(B283,'Base stats'!B:B,'Base stats'!N:N)=1,"No",MAX(0.001,MIN(MROUND(IF(AND(BJ283="True",CC283="False"),POWER(10,3.47*LOG10(_xlfn.XLOOKUP(B283,'Base stats'!B:B,'Base stats'!C:C)*1000)^-0.96),POWER(10,4.15*LOG10(_xlfn.XLOOKUP(B283,'Base stats'!B:B,'Base stats'!C:C)*1000)^-0.73))*IF(_xlfn.XLOOKUP(B283,'Base stats'!B:B,'Base stats'!AK:AK)=1,0.5,1)*IF(_xlfn.XLOOKUP(B283,'Base stats'!B:B,'Base stats'!AM:AM)=1,0.1,1)/100,IF(_xlfn.XLOOKUP(B283,'Base stats'!B:B,'Base stats'!AM:AM)=1,0.001,0.025)),0.5)))</f>
        <v>1.3000000000000001E-2</v>
      </c>
      <c r="CA283" s="25" t="str">
        <f>IF(P283="Standard","No",MAX(0.001,MIN(MROUND(IF(AND(BJ283="True",CC283="False"),POWER(10,3.47*LOG10(_xlfn.XLOOKUP(B283,'Base stats'!B:B,'Base stats'!C:C)*1000)^-0.96),POWER(10,4.15*LOG10(_xlfn.XLOOKUP(B283,'Base stats'!B:B,'Base stats'!C:C)*1000)^-0.73))*IF(_xlfn.XLOOKUP(B283,'Base stats'!B:B,'Base stats'!AM:AM)=1,0.1,1)*_xlfn.XLOOKUP(B283,'Base stats'!B:B,'Base stats'!R:R)/100,IF(_xlfn.XLOOKUP(B283,'Base stats'!B:B,'Base stats'!AM:AM)=1,0.001,0.025)),0.5)))</f>
        <v>No</v>
      </c>
      <c r="CB283" s="25" t="str">
        <f>IF(_xlfn.XLOOKUP(_xlfn.XLOOKUP(B283,'Base stats'!B:B,'Base stats'!E:E),Groups!A:A,Groups!AJ:AJ)="Mammal","True","False")</f>
        <v>False</v>
      </c>
      <c r="CC283" s="25" t="str">
        <f>IF(OR(_xlfn.XLOOKUP(_xlfn.XLOOKUP(B283,'Base stats'!B:B,'Base stats'!E:E),Groups!A:A,Groups!AJ:AJ)="Reptile",_xlfn.XLOOKUP(_xlfn.XLOOKUP(B283,'Base stats'!B:B,'Base stats'!E:E),Groups!A:A,Groups!AJ:AJ)="Amphibian",_xlfn.XLOOKUP(_xlfn.XLOOKUP(B283,'Base stats'!B:B,'Base stats'!E:E),Groups!A:A,Groups!AJ:AJ)="Invertebrate"),"True","False")</f>
        <v>True</v>
      </c>
      <c r="CD283" s="25" t="str">
        <f t="shared" si="34"/>
        <v>False</v>
      </c>
      <c r="CE283" s="25" t="str">
        <f>IF(_xlfn.XLOOKUP(_xlfn.XLOOKUP(B283,'Base stats'!B:B,'Base stats'!E:E),Groups!A:A,Groups!AX:AX),"True","False")</f>
        <v>False</v>
      </c>
      <c r="CF283" s="25" t="str">
        <f>IF(_xlfn.XLOOKUP(_xlfn.XLOOKUP(B283,'Base stats'!B:B,'Base stats'!E:E),Groups!A:A,Groups!AY:AY),"True","False")</f>
        <v>False</v>
      </c>
      <c r="CG283" s="25" t="str">
        <f>IF(_xlfn.XLOOKUP(_xlfn.XLOOKUP(B283,'Base stats'!B:B,'Base stats'!E:E),Groups!A:A,Groups!AW:AW),"True","False")</f>
        <v>False</v>
      </c>
      <c r="CH283" s="25" t="str">
        <f>IF(
OR(
_xlfn.XLOOKUP(_xlfn.XLOOKUP(B283,'Base stats'!B:B,'Base stats'!E:E),Groups!A:A,Groups!AZ:AZ)=0,
AND(
_xlfn.XLOOKUP(B283,'Base stats'!B:B,'Base stats'!Y:Y)&lt;&gt;"Carnivore",
_xlfn.XLOOKUP(B283,'Base stats'!B:B,'Base stats'!Y:Y)&lt;&gt;"Omnivore",
_xlfn.XLOOKUP(B283,'Base stats'!B:B,'Base stats'!Y:Y)&lt;&gt;"OmnivoreRough"
)
),
"No",
IF(
_xlfn.XLOOKUP(_xlfn.XLOOKUP(B283,'Base stats'!B:B,'Base stats'!E:E),Groups!A:A,Groups!AZ:AZ)=1,
"Flesh",
IF(
_xlfn.XLOOKUP(_xlfn.XLOOKUP(B283,'Base stats'!B:B,'Base stats'!E:E),Groups!A:A,Groups!AZ:AZ)=2,
"Bone",
""
)
)
)</f>
        <v>No</v>
      </c>
      <c r="CI283" s="25" t="str">
        <f>IF(_xlfn.XLOOKUP(_xlfn.XLOOKUP(B283,'Base stats'!B:B,'Base stats'!E:E),Groups!A:A,Groups!BB:BB),"True","False")</f>
        <v>False</v>
      </c>
      <c r="CJ283" s="25" t="str">
        <f>IF(_xlfn.XLOOKUP(_xlfn.XLOOKUP(B283,'Base stats'!B:B,'Base stats'!E:E),Groups!A:A,Groups!BA:BA),"True","False")</f>
        <v>False</v>
      </c>
    </row>
    <row r="284" spans="1:88" ht="16.5" thickTop="1" thickBot="1" x14ac:dyDescent="0.3">
      <c r="A284" s="26" t="s">
        <v>1476</v>
      </c>
      <c r="B284" s="6" t="str">
        <f>_xlfn.XLOOKUP(A284,'Base stats'!A:A,'Base stats'!B:B)</f>
        <v>Protofluidum viride</v>
      </c>
      <c r="C284" s="28" t="s">
        <v>1477</v>
      </c>
      <c r="D284" s="28" t="s">
        <v>1341</v>
      </c>
      <c r="E284" s="28" t="s">
        <v>673</v>
      </c>
      <c r="F284" s="28" t="s">
        <v>673</v>
      </c>
      <c r="G284" s="28" t="s">
        <v>673</v>
      </c>
      <c r="H284" s="2">
        <f>MROUND((
  (IF(AND(_xlfn.XLOOKUP(B284,'Base stats'!B:B,'Base stats'!AL:AL)=0,BI284="None",_xlfn.XLOOKUP(_xlfn.XLOOKUP(B284,'Base stats'!B:B,'Base stats'!E:E),Groups!A:A,Groups!B:B)=0), (18 + BR284 * 2.7) * 0.5,
    IF(AND(_xlfn.XLOOKUP(B284,'Base stats'!B:B,'Base stats'!AL:AL)=0,OR(AO284&lt;0.55,AND(BI284="Intermediate",_xlfn.XLOOKUP(_xlfn.XLOOKUP(B284,'Base stats'!B:B,'Base stats'!E:E),Groups!A:A,Groups!B:B)&lt;2))), (18 + BR284 * 2.7),
      IF(OR(BI284="Advanced",_xlfn.XLOOKUP(B284,'Base stats'!B:B,'Base stats'!AL:AL)=1,_xlfn.XLOOKUP(_xlfn.XLOOKUP(B284,'Base stats'!B:B,'Base stats'!E:E),Groups!A:A,Groups!B:B)=2), (18 + BR284 * 2.7) + 250, (18 + BR284 * 2.7))
    )
  ))
  + AO284 * 80
  + IF(COUNTIF(EggMilk!K$2:K$998, A284) &gt; 0, 125, 0)
  + IF(COUNTIF(EggMilk!P$2:P$998, A284) &gt; 0, 90, 0)
  + IF(COUNTIF(EggMilk!A$2:A$998, A284) &gt; 0, 90, 0)
)
* (0.8 + 0.4 * J284)
* 0.75,25)</f>
        <v>225</v>
      </c>
      <c r="I284" s="2">
        <f>MROUND(ROUNDDOWN(_xlfn.XLOOKUP(B284,'Base stats'!B:B,'Base stats'!L:L)/3.6/(23.3/11),1),0.5)</f>
        <v>1.5</v>
      </c>
      <c r="J284" s="2">
        <f>IF(OR(_xlfn.XLOOKUP(B284,'Base stats'!B:B,'Base stats'!AB:AB)=1,_xlfn.XLOOKUP(_xlfn.XLOOKUP(B284,'Base stats'!B:B,'Base stats'!E:E),Groups!A:A,Groups!C:C)="Untamable"),1,IF(_xlfn.XLOOKUP(B284,'Base stats'!B:B,'Base stats'!AL:AL)=1,0.99,MIN(MROUND((1-0.6282*EXP(-0.459*AO284))*_xlfn.XLOOKUP(_xlfn.XLOOKUP(B284,'Base stats'!B:B,'Base stats'!E:E),Groups!A:A,Groups!C:C)*IF(_xlfn.XLOOKUP(B284,'Base stats'!B:B,'Base stats'!O:O)=1,0.5,IF(_xlfn.XLOOKUP(B284,'Base stats'!B:B,'Base stats'!O:O)=2,0,1)),0.05),IF(AO284&gt;3.5,0.985,0.95))))</f>
        <v>0.60000000000000009</v>
      </c>
      <c r="K284" s="2">
        <f>ROUNDUP(AO284*_xlfn.XLOOKUP(_xlfn.XLOOKUP(B284,'Base stats'!B:B,'Base stats'!E:E),Groups!A:A,Groups!E:E),0)</f>
        <v>1</v>
      </c>
      <c r="L284" s="2">
        <f>IF(OR(_xlfn.XLOOKUP(_xlfn.XLOOKUP(B284,'Base stats'!B:B,'Base stats'!E:E),Groups!A:A,Groups!F:F)=2,ISNUMBER(SEARCH("SeaIce",BX284)),ISNUMBER(SEARCH("IceSheet",BX284))),-50,IF(OR(ISNUMBER(SEARCH("GlacialPlain",BX284)),ISNUMBER(SEARCH("Tundra",BX284))),-40,IF(OR(ISNUMBER(SEARCH("Alpine",BX284)),ISNUMBER(SEARCH("BorealForest",BX284)),ISNUMBER(SEARCH("ColdBog",BX284))),-30,IF(OR(ISNUMBER(SEARCH("TemperateForest",BX284)),ISNUMBER(SEARCH("TemperateSwamp",BX284))),-20,IF(_xlfn.XLOOKUP(_xlfn.XLOOKUP(B284,'Base stats'!B:B,'Base stats'!E:E),Groups!A:A,Groups!F:F)=1,-15,IF(OR(ISNUMBER(SEARCH("Desert",BX284)),ISNUMBER(SEARCH("ExtremeDesert",BX284))),-10,IF(OR(ISNUMBER(SEARCH("Grasslands",BX284)),ISNUMBER(SEARCH("TropicalRainforest",BX284)),ISNUMBER(SEARCH("TropicalSwamp",BX284))),10,0)))))))-IF(CC284="False",MIN(IFERROR(MAX(MROUND(LOG10(_xlfn.XLOOKUP(B284,'Base stats'!B:B,'Base stats'!C:C)^(2/3))*10,5),5),5),30))-_xlfn.XLOOKUP(B284,'Base stats'!B:B,'Base stats'!P:P)+IF(CC284="True",5,0)</f>
        <v>5</v>
      </c>
      <c r="M284" s="2">
        <f>IF(OR(_xlfn.XLOOKUP(_xlfn.XLOOKUP(B284,'Base stats'!B:B,'Base stats'!E:E),Groups!A:A,Groups!G:G)=2,ISNUMBER(SEARCH("Desert",BX284)),ISNUMBER(SEARCH("ExtremeDesert",BX284)),ISNUMBER(SEARCH("LavaField",BX284))),50,IF(ISNUMBER(SEARCH("Grasslands",BX284)),45,IF(OR(_xlfn.XLOOKUP(_xlfn.XLOOKUP(B284,'Base stats'!B:B,'Base stats'!E:E),Groups!A:A,Groups!G:G)=1,ISNUMBER(SEARCH("TropicalRainforest",BX284)),ISNUMBER(SEARCH("TropicalSwamp",BX284))),40,IF(OR(ISNUMBER(SEARCH("TemperateForest",BX284)),ISNUMBER(SEARCH("TemperateSwamp",BX284))),35,IF(OR(ISNUMBER(SEARCH("Alpine",BX284)),ISNUMBER(SEARCH("BorealForest",BX284)),ISNUMBER(SEARCH("ColdBog",BX284))),30,IF(ISNUMBER(OR(ISNUMBER(SEARCH("GlacialPlain",BX284)),SEARCH("Tundra",BX284))),25,IF(OR(ISNUMBER(SEARCH("SeaIce",BX284)),ISNUMBER(SEARCH("IceSheet",BX284)),ISNUMBER(SEARCH("TropicalSwamp",BX284))),10,35)))))))+_xlfn.XLOOKUP(B284,'Base stats'!B:B,'Base stats'!Q:Q)</f>
        <v>35</v>
      </c>
      <c r="N284" s="8" t="str">
        <f>IF(
_xlfn.XLOOKUP(
_xlfn.XLOOKUP(B284,'Base stats'!B:B,'Base stats'!E:E),
Groups!A:A,
Groups!L:L
)=1,
MIN(
MROUND(
IF(
_xlfn.XLOOKUP(B284,'Animals CE'!B:B,'Animals CE'!Z:Z)&lt;=1.5,
_xlfn.XLOOKUP(B284,'Animals CE'!B:B,'Animals CE'!Z:Z)/2+0.05,
0.8+
(_xlfn.XLOOKUP(B284,'Animals CE'!B:B,'Animals CE'!Z:Z)-1.5)
*0.02
),
0.05
),
200%
),
"No"
)</f>
        <v>No</v>
      </c>
      <c r="O284" s="8" t="str">
        <f>IF(
_xlfn.XLOOKUP(
_xlfn.XLOOKUP(B284,'Base stats'!B:B,'Base stats'!E:E),
Groups!A:A,
Groups!L:L
)=1,
MIN(
MROUND(
IF(
_xlfn.XLOOKUP(B284,'Animals CE'!B:B,'Animals CE'!AA:AA)&lt;=1.5,
_xlfn.XLOOKUP(B284,'Animals CE'!B:B,'Animals CE'!AA:AA)/2+0.05,
0.8+
(_xlfn.XLOOKUP(B284,'Animals CE'!B:B,'Animals CE'!AA:AA)-1.5)
*0.02
),
0.05
),
200%
),
"No"
)</f>
        <v>No</v>
      </c>
      <c r="P284" s="2" t="str">
        <f>_xlfn.XLOOKUP(B284,'Base stats'!B:B,'Base stats'!R:R)</f>
        <v>Standard</v>
      </c>
      <c r="Q284" s="13">
        <f>MROUND((LOG10(_xlfn.XLOOKUP(B284,'Base stats'!B:B,'Base stats'!AR:AR))*(AO284^0.5)+(_xlfn.XLOOKUP(B284,'Base stats'!B:B,'Base stats'!AR:AR)/1000)^(2/3)+_xlfn.XLOOKUP(B284,'Base stats'!B:B,'Base stats'!BA:BA)/2)+0.5,0.5)</f>
        <v>7</v>
      </c>
      <c r="R284" s="7">
        <f>IF(Q284="No","No",MAX(1,MROUND(_xlfn.XLOOKUP(B284,'Base stats'!B:B,'Base stats'!C:C)^0.165,0.05)))</f>
        <v>1.9500000000000002</v>
      </c>
      <c r="S284" s="13" t="str">
        <f>IF(_xlfn.XLOOKUP(_xlfn.XLOOKUP(B284,'Base stats'!B:B,'Base stats'!E:E),Groups!A:A,Groups!P:P)=0,"No",MROUND((LOG10(_xlfn.XLOOKUP(B284,'Base stats'!B:B,'Base stats'!AS:AS))*(AO284^0.5)+(_xlfn.XLOOKUP(B284,'Base stats'!B:B,'Base stats'!AS:AS)/1000)^(2/3)+_xlfn.XLOOKUP(B284,'Base stats'!B:B,'Base stats'!BA:BA))+_xlfn.XLOOKUP(B284,'Base stats'!B:B,'Base stats'!AY:AY)+0.5,0.5))</f>
        <v>No</v>
      </c>
      <c r="T284" s="7" t="str">
        <f>IF(S284="No","No",MAX(_xlfn.XLOOKUP(_xlfn.XLOOKUP(B284,'Base stats'!B:B,'Base stats'!E:E),Groups!A:A,Groups!Q:Q),MROUND(_xlfn.XLOOKUP(_xlfn.XLOOKUP(B284,'Base stats'!B:B,'Base stats'!E:E),Groups!A:A,Groups!Q:Q)*_xlfn.XLOOKUP(B284,'Base stats'!B:B,'Base stats'!C:C)^0.165,0.05)))</f>
        <v>No</v>
      </c>
      <c r="U284" s="7" t="str">
        <f>IF(S284="No","No",_xlfn.XLOOKUP(_xlfn.XLOOKUP(B284,'Base stats'!B:B,'Base stats'!E:E),Groups!A:A,Groups!R:R))</f>
        <v>No</v>
      </c>
      <c r="V284" s="7" t="str">
        <f>IF(S284="No","No",_xlfn.XLOOKUP(_xlfn.XLOOKUP(B284,'Base stats'!B:B,'Base stats'!E:E),Groups!A:A,Groups!S:S))</f>
        <v>No</v>
      </c>
      <c r="W284" s="7" t="str">
        <f>IF(S284="No","No",_xlfn.XLOOKUP(_xlfn.XLOOKUP(B284,'Base stats'!B:B,'Base stats'!E:E),Groups!A:A,Groups!T:T))</f>
        <v>No</v>
      </c>
      <c r="X284" s="13" t="str">
        <f>IF(_xlfn.XLOOKUP(B284,'Base stats'!B:B,'Base stats'!W:W)="No","No",MROUND((LOG10(_xlfn.XLOOKUP(B284,'Base stats'!B:B,'Base stats'!AU:AU))*(AO284^0.5)+(_xlfn.XLOOKUP(B284,'Base stats'!B:B,'Base stats'!AU:AU)/1000)^(2/3)+_xlfn.XLOOKUP(B284,'Base stats'!B:B,'Base stats'!AZ:AZ))+0.5+IF(_xlfn.XLOOKUP(_xlfn.XLOOKUP(B284,'Base stats'!B:B,'Base stats'!E:E),Groups!A:A,Groups!U:U)&lt;&gt;3,_xlfn.XLOOKUP(B284,'Base stats'!B:B,'Base stats'!BA:BA),0),0.5))</f>
        <v>No</v>
      </c>
      <c r="Y284" s="7" t="str">
        <f>IF(X284="No","No",MAX(_xlfn.XLOOKUP(_xlfn.XLOOKUP(B284,'Base stats'!B:B,'Base stats'!E:E),Groups!A:A,Groups!V:V),MROUND(_xlfn.XLOOKUP(_xlfn.XLOOKUP(B284,'Base stats'!B:B,'Base stats'!E:E),Groups!A:A,Groups!V:V)*_xlfn.XLOOKUP(B284,'Base stats'!B:B,'Base stats'!C:C)^0.165,0.05)))</f>
        <v>No</v>
      </c>
      <c r="Z284" s="7" t="str">
        <f>IF(X284="No","No",_xlfn.XLOOKUP(_xlfn.XLOOKUP(B284,'Base stats'!B:B,'Base stats'!E:E),Groups!A:A,Groups!W:W))</f>
        <v>No</v>
      </c>
      <c r="AA284" s="7" t="str">
        <f>IF(X284="No","No",_xlfn.XLOOKUP(_xlfn.XLOOKUP(B284,'Base stats'!B:B,'Base stats'!E:E),Groups!A:A,Groups!X:X))</f>
        <v>No</v>
      </c>
      <c r="AB284" s="7" t="str">
        <f>IF(X284="No","No",_xlfn.XLOOKUP(_xlfn.XLOOKUP(B284,'Base stats'!B:B,'Base stats'!E:E),Groups!A:A,Groups!Y:Y))</f>
        <v>No</v>
      </c>
      <c r="AC284" s="7" t="str">
        <f>_xlfn.XLOOKUP(Animals!B284,'Base stats'!B:B,'Base stats'!X:X)</f>
        <v>False</v>
      </c>
      <c r="AD284" s="13" t="str">
        <f>IF(_xlfn.XLOOKUP(B284,'Base stats'!B:B,'Base stats'!AT:AT)="No","No",MROUND((LOG10(_xlfn.XLOOKUP(B284,'Base stats'!B:B,'Base stats'!AT:AT))*(AO284^0.75)+(_xlfn.XLOOKUP(B284,'Base stats'!B:B,'Base stats'!AT:AT)/1000)^(2/3)+_xlfn.XLOOKUP(B284,'Base stats'!B:B,'Base stats'!AX:AX)+_xlfn.XLOOKUP(B284,'Base stats'!B:B,'Base stats'!BA:BA))+0.5,0.5))</f>
        <v>No</v>
      </c>
      <c r="AE284" s="7" t="str">
        <f>IF(AD284="No","No",MAX(_xlfn.XLOOKUP(_xlfn.XLOOKUP(B284,'Base stats'!B:B,'Base stats'!E:E),Groups!A:A,Groups!Z:Z),MROUND(_xlfn.XLOOKUP(_xlfn.XLOOKUP(B284,'Base stats'!B:B,'Base stats'!E:E),Groups!A:A,Groups!Z:Z)*_xlfn.XLOOKUP(B284,'Base stats'!B:B,'Base stats'!C:C)^0.165,0.05)))</f>
        <v>No</v>
      </c>
      <c r="AF284" s="7" t="str">
        <f>IF(AD284="No","No",_xlfn.XLOOKUP(_xlfn.XLOOKUP(B284,'Base stats'!B:B,'Base stats'!E:E),Groups!A:A,Groups!AA:AA))</f>
        <v>No</v>
      </c>
      <c r="AG284" s="7" t="str">
        <f>IF(AD284="No","No",_xlfn.XLOOKUP(_xlfn.XLOOKUP(B284,'Base stats'!B:B,'Base stats'!E:E),Groups!A:A,Groups!AB:AB))</f>
        <v>No</v>
      </c>
      <c r="AH284" s="7" t="str">
        <f>IF(AD284="No","No",_xlfn.XLOOKUP(_xlfn.XLOOKUP(B284,'Base stats'!B:B,'Base stats'!E:E),Groups!A:A,Groups!AC:AC))</f>
        <v>No</v>
      </c>
      <c r="AI284" s="13">
        <f>IF(_xlfn.XLOOKUP(_xlfn.XLOOKUP(B284,'Base stats'!B:B,'Base stats'!E:E),Groups!A:A,Groups!AD:AD)=0,"No",MROUND((LOG10(_xlfn.XLOOKUP(B284,'Base stats'!B:B,'Base stats'!AS:AS))*(AO284^0.75)+(_xlfn.XLOOKUP(B284,'Base stats'!B:B,'Base stats'!AS:AS)/1000)^(2/3)+_xlfn.XLOOKUP(B284,'Base stats'!B:B,'Base stats'!AY:AY)+_xlfn.XLOOKUP(B284,'Base stats'!B:B,'Base stats'!BA:BA))+0.5,0.5))</f>
        <v>8.5</v>
      </c>
      <c r="AJ284" s="7">
        <f>IF(AI284="No","No",MAX(_xlfn.XLOOKUP(_xlfn.XLOOKUP(B284,'Base stats'!B:B,'Base stats'!E:E),Groups!A:A,Groups!AE:AE),MROUND(_xlfn.XLOOKUP(_xlfn.XLOOKUP(B284,'Base stats'!B:B,'Base stats'!E:E),Groups!A:A,Groups!AE:AE)*IF(_xlfn.XLOOKUP(_xlfn.XLOOKUP(B284,'Base stats'!B:B,'Base stats'!E:E),Groups!A:A,Groups!AJ:AJ)="Photonozoa",0.6,1)*_xlfn.XLOOKUP(B284,'Base stats'!B:B,'Base stats'!C:C)^0.165,0.05)))</f>
        <v>1.4500000000000002</v>
      </c>
      <c r="AK284" s="7" t="str">
        <f>IF(AI284="No","No",_xlfn.XLOOKUP(_xlfn.XLOOKUP(B284,'Base stats'!B:B,'Base stats'!E:E),Groups!A:A,Groups!AF:AF))</f>
        <v>Arms</v>
      </c>
      <c r="AL284" s="7" t="str">
        <f>IF(AI284="No","No",_xlfn.XLOOKUP(_xlfn.XLOOKUP(B284,'Base stats'!B:B,'Base stats'!E:E),Groups!A:A,Groups!AG:AG))</f>
        <v>arms</v>
      </c>
      <c r="AM284" s="7" t="str">
        <f>IF(AI284="No","No",_xlfn.XLOOKUP(_xlfn.XLOOKUP(B284,'Base stats'!B:B,'Base stats'!E:E),Groups!A:A,Groups!AH:AH))</f>
        <v>Blunt</v>
      </c>
      <c r="AN284" s="2" t="str">
        <f t="shared" si="28"/>
        <v>No</v>
      </c>
      <c r="AO284" s="2">
        <f>MROUND(IF(AND(_xlfn.XLOOKUP(B284,'Base stats'!B:B,'Base stats'!C:C)&gt;=0.5,_xlfn.XLOOKUP(B284,'Base stats'!B:B,'Base stats'!C:C)&lt;=0.8),
IF(_xlfn.XLOOKUP(B284,'Base stats'!B:B,'Base stats'!C:C)&lt;0.1,0.05,IF(_xlfn.XLOOKUP(B284,'Base stats'!B:B,'Base stats'!C:C)&lt;=70,(_xlfn.XLOOKUP(B284,'Base stats'!B:B,'Base stats'!C:C)/70)^0.426489913056526,IF(_xlfn.XLOOKUP(B284,'Base stats'!B:B,'Base stats'!C:C)&lt;=400,(_xlfn.XLOOKUP(B284,'Base stats'!B:B,'Base stats'!C:C)/70)^0.572811455315093,IF(_xlfn.XLOOKUP(B284,'Base stats'!B:B,'Base stats'!C:C)&lt;=2000,2.71391647193063*(_xlfn.XLOOKUP(B284,'Base stats'!B:B,'Base stats'!C:C)/400)^0.252459582904293,3.74314280240376*(_xlfn.XLOOKUP(B284,'Base stats'!B:B,'Base stats'!C:C)/2000)^0.357012633876913)))),
IF(_xlfn.XLOOKUP(B284,'Base stats'!B:B,'Base stats'!C:C)&lt;0.1,0.05,IF(_xlfn.XLOOKUP(B284,'Base stats'!B:B,'Base stats'!C:C)&lt;0.4,0.1,IF(_xlfn.XLOOKUP(B284,'Base stats'!B:B,'Base stats'!C:C)&lt;=70,(_xlfn.XLOOKUP(B284,'Base stats'!B:B,'Base stats'!C:C)/70)^0.445823913056526,IF(_xlfn.XLOOKUP(B284,'Base stats'!B:B,'Base stats'!C:C)&lt;=400,(_xlfn.XLOOKUP(B284,'Base stats'!B:B,'Base stats'!C:C)/70)^0.572811455315093,IF(_xlfn.XLOOKUP(B284,'Base stats'!B:B,'Base stats'!C:C)&lt;=2000,2.71391647193063*(_xlfn.XLOOKUP(B284,'Base stats'!B:B,'Base stats'!C:C)/400)^0.252459582904293,3.74314280240376*(_xlfn.XLOOKUP(B284,'Base stats'!B:B,'Base stats'!C:C)/2000)^0.357012633876913)))))),
IF(_xlfn.XLOOKUP(B284,'Base stats'!B:B,'Base stats'!C:C)&lt;0.1,0.05,IF(_xlfn.XLOOKUP(B284,'Base stats'!B:B,'Base stats'!C:C)&lt;=100,0.05,IF(_xlfn.XLOOKUP(B284,'Base stats'!B:B,'Base stats'!C:C)&lt;=250,0.1,IF(_xlfn.XLOOKUP(B284,'Base stats'!B:B,'Base stats'!C:C)&lt;=4000,0.25,0.5)))))</f>
        <v>0.95000000000000007</v>
      </c>
      <c r="AP284" s="8">
        <f>MROUND(AO284*_xlfn.XLOOKUP(_xlfn.XLOOKUP(B284,'Base stats'!B:B,'Base stats'!E:E),Groups!A:A,Groups!AI:AI)*_xlfn.XLOOKUP(B284,'Base stats'!B:B,'Base stats'!Z:Z),0.05)</f>
        <v>0.95000000000000007</v>
      </c>
      <c r="AQ284" s="8">
        <f>MAX(0.01,MROUND(IF(CC284="True",0.196*(AO284*100*1000)^0.889,IF(_xlfn.XLOOKUP(_xlfn.XLOOKUP(B284,'Base stats'!B:B,'Base stats'!E:E),Groups!A:A,Groups!AJ:AJ)="Bird",10.5*(AO284*100*1000)^0.681,4.82*(AO284*100*1000)^0.734))/(4.82*(1*100*1000)^0.734)/IF(AO284&lt;3.5,2,IF(AO284=3.5,1.5,1.25))*(1+0.132282374779864/(AO284^0.994035016789033+0.00905238001496948)),0.05))</f>
        <v>0.15000000000000002</v>
      </c>
      <c r="AR284" s="9">
        <f>IFERROR(MROUND(_xlfn.XLOOKUP(B284,'Base stats'!B:B,'Base stats'!H:H)/IF(_xlfn.XLOOKUP(B284,'Base stats'!B:B,'Base stats'!I:I)&lt;&gt;1,(122.5/70),1.2),IF(_xlfn.XLOOKUP(B284,'Base stats'!B:B,'Base stats'!H:H)&gt;=30,5,IF(_xlfn.XLOOKUP(B284,'Base stats'!B:B,'Base stats'!H:H)&gt;=15,3,IF(_xlfn.XLOOKUP(B284,'Base stats'!B:B,'Base stats'!H:H)&gt;=10,2,1)))),"Immortal")</f>
        <v>3</v>
      </c>
      <c r="AS284" s="35" t="str">
        <f>IFERROR(IF(OR(_xlfn.XLOOKUP(B284,'Base stats'!B:B,'Base stats'!F:F)="Atypical reproduction",_xlfn.XLOOKUP(B284,'Base stats'!B:B,'Base stats'!F:F)="Lay eggs"),"Lay eggs",MIN(20,MAX(5.5,ROUND(((_xlfn.XLOOKUP(B284,'Base stats'!B:B,'Base stats'!F:F)-25)*(14.5/615) + 5.5)*2,0)/2))),"Unknown")</f>
        <v>Lay eggs</v>
      </c>
      <c r="AT284" s="8">
        <f>IF(_xlfn.XLOOKUP(B284,'Base stats'!B:B,'Base stats'!G:G)="Atypical reproduction","No",IFERROR(MAX(IF(_xlfn.XLOOKUP(B284,'Base stats'!B:B,'Base stats'!G:G)&lt;0.5,0.2,0.3),MROUND(_xlfn.XLOOKUP(B284,'Base stats'!B:B,'Base stats'!G:G)/(365/60),0.2)),"Unknown"))</f>
        <v>0.3</v>
      </c>
      <c r="AU284" s="8">
        <f t="shared" si="29"/>
        <v>0.15000000000000002</v>
      </c>
      <c r="AV284" s="8" t="str">
        <f>IFERROR(IFERROR(MROUND(_xlfn.XLOOKUP(B284,'Base stats'!B:B,'Base stats'!J:J),0.1),"Lay eggs"),"Cannot breed")</f>
        <v>Lay eggs</v>
      </c>
      <c r="AW284" s="2" t="str">
        <f t="shared" si="30"/>
        <v>false</v>
      </c>
      <c r="AX284" s="2" t="str">
        <f>IF(_xlfn.XLOOKUP(_xlfn.XLOOKUP(Animals!B284,'Base stats'!B:B,'Base stats'!E:E),Groups!A:A,Groups!AK:AK)=1,"true","false")</f>
        <v>false</v>
      </c>
      <c r="AY284" s="25" t="str">
        <f>IF(_xlfn.XLOOKUP(B284,'Base stats'!B:B,'Base stats'!Y:Y)="Liquor","Liquor, CarnivoreAnimalStrict",IF(AND(_xlfn.XLOOKUP(B284,'Base stats'!B:B,'Base stats'!Y:Y)="Carnivore",_xlfn.XLOOKUP(_xlfn.XLOOKUP(B284,'Base stats'!B:B,'Base stats'!E:E),Groups!A:A,Groups!AJ:AJ)="Photonozoa"),"CarnivoreAnimalStrict, OvivoreAnimal",IF(_xlfn.XLOOKUP(B284,'Base stats'!B:B,'Base stats'!Y:Y)="Carnivore","CarnivoreAnimal, OvivoreAnimal",IF(_xlfn.XLOOKUP(B284,'Base stats'!B:B,'Base stats'!Y:Y)="Dendrovore","VegetarianRoughAnimal, DendrovoreAnimal",IF(_xlfn.XLOOKUP(B284,'Base stats'!B:B,'Base stats'!Y:Y)="Herbivore","VegetarianRoughAnimal",IF(_xlfn.XLOOKUP(B284,'Base stats'!B:B,'Base stats'!Y:Y)="OmnivoreRough","OmnivoreRoughAnimal, OvivoreAnimal","OmnivoreAnimal, OvivoreAnimal"))))))</f>
        <v>VegetarianRoughAnimal</v>
      </c>
      <c r="AZ284" s="2">
        <f>IF(_xlfn.XLOOKUP(_xlfn.XLOOKUP(B284,'Base stats'!B:B,'Base stats'!E:E),Groups!A:A,Groups!D:D)=1,MROUND((1-J284)*5+1,2)*IF(J284&lt;=0.4,2,1),"No")</f>
        <v>4</v>
      </c>
      <c r="BA284" s="2" t="str">
        <f>IF(AND(_xlfn.XLOOKUP(B284,'Base stats'!B:B,'Base stats'!AH:AH)="&lt;li&gt;Seal&lt;/li&gt;",G284="Odyssey"),"&lt;li&gt;AEXP_Seal&lt;/li&gt;",_xlfn.XLOOKUP(B284,'Base stats'!B:B,'Base stats'!AH:AH))</f>
        <v>&lt;li&gt;Megaspider&lt;/li&gt;</v>
      </c>
      <c r="BB284" s="2" t="str">
        <f>_xlfn.XLOOKUP(B284,'Base stats'!B:B,'Base stats'!AG:AG)</f>
        <v>No</v>
      </c>
      <c r="BC284" s="23" t="str">
        <f>_xlfn.XLOOKUP(_xlfn.XLOOKUP(B284,'Base stats'!B:B,'Base stats'!E:E),Groups!A:A,Groups!AL:AL)</f>
        <v>GooBody</v>
      </c>
      <c r="BD284" s="23">
        <f>MIN(1,MROUND(IF(AND(AO284&lt;0.5,_xlfn.XLOOKUP(B284,'Base stats'!B:B,'Base stats'!AA:AA)=0),0,IF(OR(_xlfn.XLOOKUP(Animals!B284,'Base stats'!B:B,'Base stats'!O:O)=2,_xlfn.XLOOKUP(_xlfn.XLOOKUP(B284,'Base stats'!B:B,'Base stats'!E:E),Groups!A:A,Groups!AN:AN)=0),0,_xlfn.XLOOKUP(_xlfn.XLOOKUP(B284,'Base stats'!B:B,'Base stats'!E:E),Groups!A:A,Groups!AN:AN)/IF(_xlfn.XLOOKUP(Animals!B284,'Base stats'!B:B,'Base stats'!O:O)=1,2,1)))+_xlfn.XLOOKUP(B284,'Base stats'!B:B,'Base stats'!AC:AC),0.005))</f>
        <v>0</v>
      </c>
      <c r="BE284" s="23">
        <f>MIN(1,MROUND(IF(AND(AO284&lt;0.5,_xlfn.XLOOKUP(B284,'Base stats'!B:B,'Base stats'!AA:AA)=0),0,IF(_xlfn.XLOOKUP(_xlfn.XLOOKUP(B284,'Base stats'!B:B,'Base stats'!E:E),Groups!A:A,Groups!AO:AO)=0,0,_xlfn.XLOOKUP(_xlfn.XLOOKUP(B284,'Base stats'!B:B,'Base stats'!E:E),Groups!A:A,Groups!AO:AO)/IF(_xlfn.XLOOKUP(Animals!B284,'Base stats'!B:B,'Base stats'!O:O)=2,3,1)))+_xlfn.XLOOKUP(B284,'Base stats'!B:B,'Base stats'!AD:AD),0.005))</f>
        <v>0</v>
      </c>
      <c r="BF284" s="2" t="str">
        <f>IF(J284&gt;0.3,"No",_xlfn.XLOOKUP(_xlfn.XLOOKUP(Animals!B284,'Base stats'!B:B,'Base stats'!E:E),Groups!A:A,Groups!AP:AP))</f>
        <v>No</v>
      </c>
      <c r="BG284" s="2" t="str">
        <f>IF(AND(J284&lt;=0.65,_xlfn.XLOOKUP(_xlfn.XLOOKUP(Animals!B284,'Base stats'!B:B,'Base stats'!E:E),Groups!A:A,Groups!AP:AP)&lt;&gt;"No",_xlfn.XLOOKUP(_xlfn.XLOOKUP(B284,'Base stats'!B:B,'Base stats'!E:E),Groups!A:A,Groups!D:D)=0),MROUND((80/3)*IF(_xlfn.XLOOKUP(B284,'Base stats'!B:B,'Base stats'!O:O)=2,0.2,AO284) + 24*(1-IF(BF284="No",0,BF284)) + 16/3, 12),"No")</f>
        <v>No</v>
      </c>
      <c r="BH284" s="2">
        <f>IF(AND(_xlfn.XLOOKUP(_xlfn.XLOOKUP(B284,'Base stats'!B:B,'Base stats'!E:E),Groups!A:A,Groups!AQ:AQ)=1,AO284&lt;=0.35),8,12)</f>
        <v>12</v>
      </c>
      <c r="BI284" s="2" t="str">
        <f>IF(_xlfn.XLOOKUP(_xlfn.XLOOKUP(B284,'Base stats'!B:B,'Base stats'!E:E),Groups!A:A,Groups!D:D)=0,_xlfn.XLOOKUP(_xlfn.XLOOKUP(B284,'Base stats'!B:B,'Base stats'!E:E),Groups!A:A,Groups!AR:AR),"None")</f>
        <v>None</v>
      </c>
      <c r="BJ284" s="2" t="str">
        <f>IF(AND(_xlfn.XLOOKUP(_xlfn.XLOOKUP(B284,'Base stats'!B:B,'Base stats'!E:E),Groups!A:A,Groups!AS:AS)=1,OR(_xlfn.XLOOKUP(B284,'Base stats'!B:B,'Base stats'!Y:Y)="Carnivore",_xlfn.XLOOKUP(B284,'Base stats'!B:B,'Base stats'!Y:Y)="Omnivore")),"true","false")</f>
        <v>false</v>
      </c>
      <c r="BK284" s="2" t="str">
        <f>IF(BJ284="true",MROUND(IF(AND(AO284&gt;0.5,OR(_xlfn.XLOOKUP(_xlfn.XLOOKUP(B284,'Base stats'!B:B,'Base stats'!E:E),Groups!A:A,Groups!AJ:AJ)="Photonozoa",_xlfn.XLOOKUP(_xlfn.XLOOKUP(B284,'Base stats'!B:B,'Base stats'!E:E),Groups!A:A,Groups!AJ:AJ)="Mammal")),Animals!AO284*1.75*IF(AW284="true",1.5,1),IF(AO284&lt;0.5,Animals!AO284*0.5,Animals!AO284)),IF(AO284&gt;2,0.5,IF(AO284&gt;0.5,0.25,0.1))),"No")</f>
        <v>No</v>
      </c>
      <c r="BL284" s="2">
        <f t="shared" si="31"/>
        <v>0</v>
      </c>
      <c r="BM284" s="25" t="str">
        <f>IF(_xlfn.XLOOKUP(B284,'Base stats'!B:B,'Base stats'!AN:AN)="Standard","No",MROUND((_xlfn.XLOOKUP(B284,'Base stats'!B:B,'Base stats'!AN:AN)/3.6)/I284,0.1))</f>
        <v>No</v>
      </c>
      <c r="BN284" s="25" t="str">
        <f t="shared" si="32"/>
        <v>false</v>
      </c>
      <c r="BO284" s="25" t="str">
        <f>IF(AND(OR(_xlfn.XLOOKUP(B284,'Base stats'!B:B,'Base stats'!Y:Y)="Carnivore",_xlfn.XLOOKUP(B284,'Base stats'!B:B,'Base stats'!Y:Y)="Omnivore",_xlfn.XLOOKUP(B284,'Base stats'!B:B,'Base stats'!Y:Y)="OmnivoreRough"),_xlfn.XLOOKUP(_xlfn.XLOOKUP(B284,'Base stats'!B:B,'Base stats'!E:E),Groups!A:A,Groups!AT:AT)=1),"true","false")</f>
        <v>false</v>
      </c>
      <c r="BP284" s="25" t="str" cm="1">
        <f t="array" ref="BP284">IF(
  _xlfn.TEXTJOIN(", ",TRUE,
    IF(AND(BJ284="true",AO284&gt;0.5,BI284&lt;&gt;"None"),"AttackTarget",""),
    IF(AND(_xlfn.XLOOKUP(_xlfn.XLOOKUP(B284,'Base stats'!B:B,'Base stats'!E:E),Groups!A:A,Groups!AJ:AJ="Mammal"),OR(_xlfn.XLOOKUP(B284,'Base stats'!B:B,'Base stats'!Y:Y)="Omnivore",_xlfn.XLOOKUP(B284,'Base stats'!B:B,'Base stats'!Y:Y)="OmnivoreRough")),"Forage",""),
    IF(BG284&lt;=36,"Comfort",""),
    IF(_xlfn.XLOOKUP(B284,'Base stats'!B:B,'Base stats'!AE:AE)&lt;&gt;"No",_xlfn.XLOOKUP(B284,'Base stats'!B:B,'Base stats'!AE:AE),"")
  ) = "",
  "No",
  _xlfn.TEXTJOIN(", ",TRUE,
    IF(AND(BJ284="true",AO284&gt;0.5,BI284&lt;&gt;"None"),"AttackTarget",""),
    IF(AND(_xlfn.XLOOKUP(_xlfn.XLOOKUP(B284,'Base stats'!B:B,'Base stats'!E:E),Groups!A:A,Groups!AJ:AJ="Mammal"),OR(_xlfn.XLOOKUP(B284,'Base stats'!B:B,'Base stats'!Y:Y)="Omnivore",_xlfn.XLOOKUP(B284,'Base stats'!B:B,'Base stats'!Y:Y)="OmnivoreRough")),"Forage",""),
    IF(BG284&lt;=36,"Comfort",""),
    IF(_xlfn.XLOOKUP(B284,'Base stats'!B:B,'Base stats'!AE:AE)&lt;&gt;"No",_xlfn.XLOOKUP(B284,'Base stats'!B:B,'Base stats'!AE:AE),"")
  )
)</f>
        <v>No</v>
      </c>
      <c r="BQ284" s="25" t="str">
        <f>IF(
   AND(
      'Base stats'!AN284="Standard",_xlfn.XLOOKUP(_xlfn.XLOOKUP(B284,'Base stats'!B:B,'Base stats'!E:E),Groups!A:A,Groups!AU:AU)=0,
      OR(
      BO284="True"
      )
   ),
   10,
   IF(
       OR(BM284&lt;&gt;"No",_xlfn.XLOOKUP(_xlfn.XLOOKUP(B284,'Base stats'!B:B,'Base stats'!E:E),Groups!A:A,Groups!AU:AU)=1),
      1,
      "No"
   )
)</f>
        <v>No</v>
      </c>
      <c r="BR284" s="9">
        <f>MROUND((1 + ((0.2*IF(OR(Q284="No",R284="No",R284=0),0,Q284/R284)
+IF(OR(V284="No",S284="No",T284="No"),0,S284/T284*(LEN(V284)-LEN(SUBSTITUTE(V284,",",""))+1))
+IF(OR(X284="No",Y284="No"),0,X284/Y284)
+IF(OR(AD284="No",AE284="No"),0,AD284/AE284)
+IF(OR(AL284="No",AI284="No",AJ284="No"),0,AI284/AJ284*(LEN(AL284)-LEN(SUBSTITUTE(AL284,",",""))+1))
)/(0.2*IF(OR(Q284="No",R284="No",R284=0),0,1)
+IF(OR(V284="No",S284="No",T284="No"),0,LEN(V284)-LEN(SUBSTITUTE(V284,",",""))+1)
+IF(OR(X284="No",Y284="No"),0,1)
+IF(OR(AD284="No",AE284="No"),0,1)
+IF(OR(AL284="No",AI284="No",AJ284="No"),0,LEN(AL284)-LEN(SUBSTITUTE(AL284,",",""))+1))*62%)* 2)*(1 + (AP284 / (IF(_xlfn.XLOOKUP(_xlfn.XLOOKUP(B284,'Base stats'!B:B,'Base stats'!E:E),Groups!A:A,Groups!AJ:AJ)="Photonozoa",0.3,1)) + _xlfn.XLOOKUP(B284,'Base stats'!B:B,'Base stats'!AV:AV) * 1.8) * 2) * 2.5 + 10 + I284 * 2,5)+IF(_xlfn.XLOOKUP(B284,'Base stats'!B:B,'Base stats'!AK:AK)=1,50,0)</f>
        <v>70</v>
      </c>
      <c r="BS284" s="8">
        <f t="shared" si="33"/>
        <v>0.30000000000000004</v>
      </c>
      <c r="BT284" s="8" t="str">
        <f>_xlfn.XLOOKUP(B284,'Base stats'!B:B,'Base stats'!AF:AF)</f>
        <v>No</v>
      </c>
      <c r="BU284" s="2" t="str">
        <f>IF(AND(J284&lt;=0.95,OR(_xlfn.XLOOKUP(B284,'Base stats'!B:B,'Base stats'!AK:AK)=1,_xlfn.XLOOKUP(B284,'Base stats'!B:B,'Base stats'!Y:Y)="Carnivore",_xlfn.XLOOKUP(B284,'Base stats'!B:B,'Base stats'!Y:Y)="Omnivore",BE284&gt;0.1)),"true","false")</f>
        <v>false</v>
      </c>
      <c r="BV284" s="2" t="str">
        <f>IF(_xlfn.XLOOKUP(B284,'Base stats'!B:B,'Base stats'!AI:AI)=1,"true","false")</f>
        <v>false</v>
      </c>
      <c r="BW284" s="25" t="str">
        <f>IF(E284="BaseInsect","AnimalInsect",
IF(J284&gt;0.95,"AnimalExotic",
_xlfn.TEXTJOIN(", ",TRUE,
IF(OR(_xlfn.XLOOKUP(B284,'Base stats'!B:B,'Base stats'!AM:AM)=1,AND(_xlfn.XLOOKUP(B284,'Base stats'!B:B,'Base stats'!O:O)=0,_xlfn.XLOOKUP(_xlfn.XLOOKUP(B284,'Base stats'!B:B,'Base stats'!E:E),Groups!A:A,Groups!B:B)&gt;0)),"AnimalUncommon","AnimalCommon"),
IF(AND(_xlfn.XLOOKUP(B284,'Base stats'!B:B,'Base stats'!O:O)=2,_xlfn.XLOOKUP(_xlfn.XLOOKUP(B284,'Base stats'!B:B,'Base stats'!E:E),Groups!A:A,Groups!D:D)=0),"AnimalPet",IF(AND(_xlfn.XLOOKUP(B284,'Base stats'!B:B,'Base stats'!O:O)&lt;&gt;0,_xlfn.XLOOKUP(_xlfn.XLOOKUP(B284,'Base stats'!B:B,'Base stats'!E:E),Groups!A:A,Groups!D:D)&lt;&gt;0),"AnimalFarm","")),
IF(OR(_xlfn.XLOOKUP(B284,'Base stats'!B:B,'Base stats'!AK:AK)=1,AND(BI284&lt;&gt;"None",BR284&gt;=60),ISNUMBER(SEARCH("Attack target",BP284))),"AnimalFighter","")
)))</f>
        <v>AnimalUncommon</v>
      </c>
      <c r="BX284" s="25" t="str">
        <f>IF(G284="None",TRIM(
SUBSTITUTE(
IF(COUNTIF(Biomes!B$2:B$259,"="&amp;$C284)&gt;0,Biomes!B$1&amp;", ","")&amp;
IF(COUNTIF(Biomes!C$2:C$259,"="&amp;$C284)&gt;0,Biomes!C$1&amp;", ","")&amp;
IF(COUNTIF(Biomes!D$2:D$259,"="&amp;$C284)&gt;0,Biomes!D$1&amp;", ","")&amp;
IF(COUNTIF(Biomes!F$2:F$259,"="&amp;$C284)&gt;0,Biomes!F$1&amp;", ","")&amp;
IF(COUNTIF(Biomes!G$2:G$259,"="&amp;$C284)&gt;0,Biomes!G$1&amp;", ","")&amp;
IF(COUNTIF(Biomes!H$2:H$259,"="&amp;$C284)&gt;0,Biomes!H$1&amp;", ","")&amp;
IF(COUNTIF(Biomes!I$2:I$259,"="&amp;$C284)&gt;0,Biomes!I$1&amp;", ","")&amp;
IF(COUNTIF(Biomes!J$2:J$259,"="&amp;$C284)&gt;0,Biomes!J$1&amp;", ","")&amp;
IF(COUNTIF(Biomes!M$2:M$259,"="&amp;$C284)&gt;0,Biomes!M$1&amp;", ","")&amp;
IF(COUNTIF(Biomes!N$2:N$259,"="&amp;$C284)&gt;0,Biomes!N$1&amp;", ","")&amp;
IF(COUNTIF(Biomes!O$2:O$259,"="&amp;$C284)&gt;0,Biomes!O$1&amp;", ","")&amp;
IF(COUNTIF(Biomes!P$2:P$259,"="&amp;$C284)&gt;0,Biomes!P$1&amp;", ","")&amp;
IF(COUNTIF(Biomes!K$2:K$259,"="&amp;$C284)&gt;0,Biomes!K$1&amp;", ","")&amp;
IF(COUNTIF(Biomes!Q$3:Q$259,"="&amp;$C284)&gt;0,Biomes!Q$1&amp;", ","")&amp;
IF(COUNTIF(Biomes!L$2:L$259,"="&amp;$C284)&gt;0,Biomes!L$1&amp;", ","")&amp;
IF(COUNTIF(Biomes!E$2:E$259,"="&amp;$C284)&gt;0,Biomes!E$1&amp;", ","")&amp;IF(COUNTIF(Biomes!S$2:S$259,"="&amp;$C284)&gt;0,Biomes!S$1&amp;", ","")&amp;
IF(COUNTIF(Biomes!R$2:R$259,"="&amp;$C284)&gt;0,Biomes!R$1&amp;", ",""),", ","")
),_xlfn.XLOOKUP(B284,B:B,BX:BX))</f>
        <v/>
      </c>
      <c r="BY284" s="25" t="str">
        <f>IF(_xlfn.XLOOKUP(B284,'Base stats'!B:B,'Base stats'!AJ:AJ)=1,"true","false")</f>
        <v>false</v>
      </c>
      <c r="BZ284" s="25">
        <f>IF(_xlfn.XLOOKUP(B284,'Base stats'!B:B,'Base stats'!N:N)=1,"No",MAX(0.001,MIN(MROUND(IF(AND(BJ284="True",CC284="False"),POWER(10,3.47*LOG10(_xlfn.XLOOKUP(B284,'Base stats'!B:B,'Base stats'!C:C)*1000)^-0.96),POWER(10,4.15*LOG10(_xlfn.XLOOKUP(B284,'Base stats'!B:B,'Base stats'!C:C)*1000)^-0.73))*IF(_xlfn.XLOOKUP(B284,'Base stats'!B:B,'Base stats'!AK:AK)=1,0.5,1)*IF(_xlfn.XLOOKUP(B284,'Base stats'!B:B,'Base stats'!AM:AM)=1,0.1,1)/100,IF(_xlfn.XLOOKUP(B284,'Base stats'!B:B,'Base stats'!AM:AM)=1,0.001,0.025)),0.5)))</f>
        <v>2.1000000000000001E-2</v>
      </c>
      <c r="CA284" s="25" t="str">
        <f>IF(P284="Standard","No",MAX(0.001,MIN(MROUND(IF(AND(BJ284="True",CC284="False"),POWER(10,3.47*LOG10(_xlfn.XLOOKUP(B284,'Base stats'!B:B,'Base stats'!C:C)*1000)^-0.96),POWER(10,4.15*LOG10(_xlfn.XLOOKUP(B284,'Base stats'!B:B,'Base stats'!C:C)*1000)^-0.73))*IF(_xlfn.XLOOKUP(B284,'Base stats'!B:B,'Base stats'!AM:AM)=1,0.1,1)*_xlfn.XLOOKUP(B284,'Base stats'!B:B,'Base stats'!R:R)/100,IF(_xlfn.XLOOKUP(B284,'Base stats'!B:B,'Base stats'!AM:AM)=1,0.001,0.025)),0.5)))</f>
        <v>No</v>
      </c>
      <c r="CB284" s="25" t="str">
        <f>IF(_xlfn.XLOOKUP(_xlfn.XLOOKUP(B284,'Base stats'!B:B,'Base stats'!E:E),Groups!A:A,Groups!AJ:AJ)="Mammal","True","False")</f>
        <v>False</v>
      </c>
      <c r="CC284" s="25" t="str">
        <f>IF(OR(_xlfn.XLOOKUP(_xlfn.XLOOKUP(B284,'Base stats'!B:B,'Base stats'!E:E),Groups!A:A,Groups!AJ:AJ)="Reptile",_xlfn.XLOOKUP(_xlfn.XLOOKUP(B284,'Base stats'!B:B,'Base stats'!E:E),Groups!A:A,Groups!AJ:AJ)="Amphibian",_xlfn.XLOOKUP(_xlfn.XLOOKUP(B284,'Base stats'!B:B,'Base stats'!E:E),Groups!A:A,Groups!AJ:AJ)="Invertebrate"),"True","False")</f>
        <v>True</v>
      </c>
      <c r="CD284" s="25" t="str">
        <f t="shared" si="34"/>
        <v>False</v>
      </c>
      <c r="CE284" s="25" t="str">
        <f>IF(_xlfn.XLOOKUP(_xlfn.XLOOKUP(B284,'Base stats'!B:B,'Base stats'!E:E),Groups!A:A,Groups!AX:AX),"True","False")</f>
        <v>True</v>
      </c>
      <c r="CF284" s="25" t="str">
        <f>IF(_xlfn.XLOOKUP(_xlfn.XLOOKUP(B284,'Base stats'!B:B,'Base stats'!E:E),Groups!A:A,Groups!AY:AY),"True","False")</f>
        <v>False</v>
      </c>
      <c r="CG284" s="25" t="str">
        <f>IF(_xlfn.XLOOKUP(_xlfn.XLOOKUP(B284,'Base stats'!B:B,'Base stats'!E:E),Groups!A:A,Groups!AW:AW),"True","False")</f>
        <v>True</v>
      </c>
      <c r="CH284" s="25" t="str">
        <f>IF(
OR(
_xlfn.XLOOKUP(_xlfn.XLOOKUP(B284,'Base stats'!B:B,'Base stats'!E:E),Groups!A:A,Groups!AZ:AZ)=0,
AND(
_xlfn.XLOOKUP(B284,'Base stats'!B:B,'Base stats'!Y:Y)&lt;&gt;"Carnivore",
_xlfn.XLOOKUP(B284,'Base stats'!B:B,'Base stats'!Y:Y)&lt;&gt;"Omnivore",
_xlfn.XLOOKUP(B284,'Base stats'!B:B,'Base stats'!Y:Y)&lt;&gt;"OmnivoreRough"
)
),
"No",
IF(
_xlfn.XLOOKUP(_xlfn.XLOOKUP(B284,'Base stats'!B:B,'Base stats'!E:E),Groups!A:A,Groups!AZ:AZ)=1,
"Flesh",
IF(
_xlfn.XLOOKUP(_xlfn.XLOOKUP(B284,'Base stats'!B:B,'Base stats'!E:E),Groups!A:A,Groups!AZ:AZ)=2,
"Bone",
""
)
)
)</f>
        <v>No</v>
      </c>
      <c r="CI284" s="25" t="str">
        <f>IF(_xlfn.XLOOKUP(_xlfn.XLOOKUP(B284,'Base stats'!B:B,'Base stats'!E:E),Groups!A:A,Groups!BB:BB),"True","False")</f>
        <v>False</v>
      </c>
      <c r="CJ284" s="25" t="str">
        <f>IF(_xlfn.XLOOKUP(_xlfn.XLOOKUP(B284,'Base stats'!B:B,'Base stats'!E:E),Groups!A:A,Groups!BA:BA),"True","False")</f>
        <v>False</v>
      </c>
    </row>
    <row r="285" spans="1:88" ht="16.5" thickTop="1" thickBot="1" x14ac:dyDescent="0.3">
      <c r="A285" s="26" t="s">
        <v>1478</v>
      </c>
      <c r="B285" s="6" t="str">
        <f>_xlfn.XLOOKUP(A285,'Base stats'!A:A,'Base stats'!B:B)</f>
        <v>Ovis griseus</v>
      </c>
      <c r="C285" s="28" t="s">
        <v>1479</v>
      </c>
      <c r="D285" s="28" t="s">
        <v>1341</v>
      </c>
      <c r="E285" s="28" t="s">
        <v>673</v>
      </c>
      <c r="F285" s="28" t="s">
        <v>673</v>
      </c>
      <c r="G285" s="28" t="s">
        <v>673</v>
      </c>
      <c r="H285" s="2">
        <f>MROUND((
  (IF(AND(_xlfn.XLOOKUP(B285,'Base stats'!B:B,'Base stats'!AL:AL)=0,BI285="None",_xlfn.XLOOKUP(_xlfn.XLOOKUP(B285,'Base stats'!B:B,'Base stats'!E:E),Groups!A:A,Groups!B:B)=0), (18 + BR285 * 2.7) * 0.5,
    IF(AND(_xlfn.XLOOKUP(B285,'Base stats'!B:B,'Base stats'!AL:AL)=0,OR(AO285&lt;0.55,AND(BI285="Intermediate",_xlfn.XLOOKUP(_xlfn.XLOOKUP(B285,'Base stats'!B:B,'Base stats'!E:E),Groups!A:A,Groups!B:B)&lt;2))), (18 + BR285 * 2.7),
      IF(OR(BI285="Advanced",_xlfn.XLOOKUP(B285,'Base stats'!B:B,'Base stats'!AL:AL)=1,_xlfn.XLOOKUP(_xlfn.XLOOKUP(B285,'Base stats'!B:B,'Base stats'!E:E),Groups!A:A,Groups!B:B)=2), (18 + BR285 * 2.7) + 250, (18 + BR285 * 2.7))
    )
  ))
  + AO285 * 80
  + IF(COUNTIF(EggMilk!K$2:K$998, A285) &gt; 0, 125, 0)
  + IF(COUNTIF(EggMilk!P$2:P$998, A285) &gt; 0, 90, 0)
  + IF(COUNTIF(EggMilk!A$2:A$998, A285) &gt; 0, 90, 0)
)
* (0.8 + 0.4 * J285)
* 0.75,25)</f>
        <v>150</v>
      </c>
      <c r="I285" s="2">
        <f>MROUND(ROUNDDOWN(_xlfn.XLOOKUP(B285,'Base stats'!B:B,'Base stats'!L:L)/3.6/(23.3/11),1),0.5)</f>
        <v>4.5</v>
      </c>
      <c r="J285" s="2">
        <f>IF(OR(_xlfn.XLOOKUP(B285,'Base stats'!B:B,'Base stats'!AB:AB)=1,_xlfn.XLOOKUP(_xlfn.XLOOKUP(B285,'Base stats'!B:B,'Base stats'!E:E),Groups!A:A,Groups!C:C)="Untamable"),1,IF(_xlfn.XLOOKUP(B285,'Base stats'!B:B,'Base stats'!AL:AL)=1,0.99,MIN(MROUND((1-0.6282*EXP(-0.459*AO285))*_xlfn.XLOOKUP(_xlfn.XLOOKUP(B285,'Base stats'!B:B,'Base stats'!E:E),Groups!A:A,Groups!C:C)*IF(_xlfn.XLOOKUP(B285,'Base stats'!B:B,'Base stats'!O:O)=1,0.5,IF(_xlfn.XLOOKUP(B285,'Base stats'!B:B,'Base stats'!O:O)=2,0,1)),0.05),IF(AO285&gt;3.5,0.985,0.95))))</f>
        <v>0.25</v>
      </c>
      <c r="K285" s="2">
        <f>ROUNDUP(AO285*_xlfn.XLOOKUP(_xlfn.XLOOKUP(B285,'Base stats'!B:B,'Base stats'!E:E),Groups!A:A,Groups!E:E),0)</f>
        <v>7</v>
      </c>
      <c r="L285" s="2">
        <f>IF(OR(_xlfn.XLOOKUP(_xlfn.XLOOKUP(B285,'Base stats'!B:B,'Base stats'!E:E),Groups!A:A,Groups!F:F)=2,ISNUMBER(SEARCH("SeaIce",BX285)),ISNUMBER(SEARCH("IceSheet",BX285))),-50,IF(OR(ISNUMBER(SEARCH("GlacialPlain",BX285)),ISNUMBER(SEARCH("Tundra",BX285))),-40,IF(OR(ISNUMBER(SEARCH("Alpine",BX285)),ISNUMBER(SEARCH("BorealForest",BX285)),ISNUMBER(SEARCH("ColdBog",BX285))),-30,IF(OR(ISNUMBER(SEARCH("TemperateForest",BX285)),ISNUMBER(SEARCH("TemperateSwamp",BX285))),-20,IF(_xlfn.XLOOKUP(_xlfn.XLOOKUP(B285,'Base stats'!B:B,'Base stats'!E:E),Groups!A:A,Groups!F:F)=1,-15,IF(OR(ISNUMBER(SEARCH("Desert",BX285)),ISNUMBER(SEARCH("ExtremeDesert",BX285))),-10,IF(OR(ISNUMBER(SEARCH("Grasslands",BX285)),ISNUMBER(SEARCH("TropicalRainforest",BX285)),ISNUMBER(SEARCH("TropicalSwamp",BX285))),10,0)))))))-IF(CC285="False",MIN(IFERROR(MAX(MROUND(LOG10(_xlfn.XLOOKUP(B285,'Base stats'!B:B,'Base stats'!C:C)^(2/3))*10,5),5),5),30))-_xlfn.XLOOKUP(B285,'Base stats'!B:B,'Base stats'!P:P)+IF(CC285="True",5,0)</f>
        <v>-30</v>
      </c>
      <c r="M285" s="2">
        <f>IF(OR(_xlfn.XLOOKUP(_xlfn.XLOOKUP(B285,'Base stats'!B:B,'Base stats'!E:E),Groups!A:A,Groups!G:G)=2,ISNUMBER(SEARCH("Desert",BX285)),ISNUMBER(SEARCH("ExtremeDesert",BX285)),ISNUMBER(SEARCH("LavaField",BX285))),50,IF(ISNUMBER(SEARCH("Grasslands",BX285)),45,IF(OR(_xlfn.XLOOKUP(_xlfn.XLOOKUP(B285,'Base stats'!B:B,'Base stats'!E:E),Groups!A:A,Groups!G:G)=1,ISNUMBER(SEARCH("TropicalRainforest",BX285)),ISNUMBER(SEARCH("TropicalSwamp",BX285))),40,IF(OR(ISNUMBER(SEARCH("TemperateForest",BX285)),ISNUMBER(SEARCH("TemperateSwamp",BX285))),35,IF(OR(ISNUMBER(SEARCH("Alpine",BX285)),ISNUMBER(SEARCH("BorealForest",BX285)),ISNUMBER(SEARCH("ColdBog",BX285))),30,IF(ISNUMBER(OR(ISNUMBER(SEARCH("GlacialPlain",BX285)),SEARCH("Tundra",BX285))),25,IF(OR(ISNUMBER(SEARCH("SeaIce",BX285)),ISNUMBER(SEARCH("IceSheet",BX285)),ISNUMBER(SEARCH("TropicalSwamp",BX285))),10,35)))))))+_xlfn.XLOOKUP(B285,'Base stats'!B:B,'Base stats'!Q:Q)</f>
        <v>35</v>
      </c>
      <c r="N285" s="8" t="str">
        <f>IF(
_xlfn.XLOOKUP(
_xlfn.XLOOKUP(B285,'Base stats'!B:B,'Base stats'!E:E),
Groups!A:A,
Groups!L:L
)=1,
MIN(
MROUND(
IF(
_xlfn.XLOOKUP(B285,'Animals CE'!B:B,'Animals CE'!Z:Z)&lt;=1.5,
_xlfn.XLOOKUP(B285,'Animals CE'!B:B,'Animals CE'!Z:Z)/2+0.05,
0.8+
(_xlfn.XLOOKUP(B285,'Animals CE'!B:B,'Animals CE'!Z:Z)-1.5)
*0.02
),
0.05
),
200%
),
"No"
)</f>
        <v>No</v>
      </c>
      <c r="O285" s="8" t="str">
        <f>IF(
_xlfn.XLOOKUP(
_xlfn.XLOOKUP(B285,'Base stats'!B:B,'Base stats'!E:E),
Groups!A:A,
Groups!L:L
)=1,
MIN(
MROUND(
IF(
_xlfn.XLOOKUP(B285,'Animals CE'!B:B,'Animals CE'!AA:AA)&lt;=1.5,
_xlfn.XLOOKUP(B285,'Animals CE'!B:B,'Animals CE'!AA:AA)/2+0.05,
0.8+
(_xlfn.XLOOKUP(B285,'Animals CE'!B:B,'Animals CE'!AA:AA)-1.5)
*0.02
),
0.05
),
200%
),
"No"
)</f>
        <v>No</v>
      </c>
      <c r="P285" s="2" t="str">
        <f>_xlfn.XLOOKUP(B285,'Base stats'!B:B,'Base stats'!R:R)</f>
        <v>Standard</v>
      </c>
      <c r="Q285" s="13">
        <f>MROUND((LOG10(_xlfn.XLOOKUP(B285,'Base stats'!B:B,'Base stats'!AR:AR))*(AO285^0.5)+(_xlfn.XLOOKUP(B285,'Base stats'!B:B,'Base stats'!AR:AR)/1000)^(2/3)+_xlfn.XLOOKUP(B285,'Base stats'!B:B,'Base stats'!BA:BA)/2)+0.5,0.5)</f>
        <v>8.5</v>
      </c>
      <c r="R285" s="7">
        <f>IF(Q285="No","No",MAX(1,MROUND(_xlfn.XLOOKUP(B285,'Base stats'!B:B,'Base stats'!C:C)^0.165,0.05)))</f>
        <v>2.15</v>
      </c>
      <c r="S285" s="13">
        <f>IF(_xlfn.XLOOKUP(_xlfn.XLOOKUP(B285,'Base stats'!B:B,'Base stats'!E:E),Groups!A:A,Groups!P:P)=0,"No",MROUND((LOG10(_xlfn.XLOOKUP(B285,'Base stats'!B:B,'Base stats'!AS:AS))*(AO285^0.5)+(_xlfn.XLOOKUP(B285,'Base stats'!B:B,'Base stats'!AS:AS)/1000)^(2/3)+_xlfn.XLOOKUP(B285,'Base stats'!B:B,'Base stats'!BA:BA))+_xlfn.XLOOKUP(B285,'Base stats'!B:B,'Base stats'!AY:AY)+0.5,0.5))</f>
        <v>10.5</v>
      </c>
      <c r="T285" s="7">
        <f>IF(S285="No","No",MAX(_xlfn.XLOOKUP(_xlfn.XLOOKUP(B285,'Base stats'!B:B,'Base stats'!E:E),Groups!A:A,Groups!Q:Q),MROUND(_xlfn.XLOOKUP(_xlfn.XLOOKUP(B285,'Base stats'!B:B,'Base stats'!E:E),Groups!A:A,Groups!Q:Q)*_xlfn.XLOOKUP(B285,'Base stats'!B:B,'Base stats'!C:C)^0.165,0.05)))</f>
        <v>2.15</v>
      </c>
      <c r="U285" s="7" t="str">
        <f>IF(S285="No","No",_xlfn.XLOOKUP(_xlfn.XLOOKUP(B285,'Base stats'!B:B,'Base stats'!E:E),Groups!A:A,Groups!R:R))</f>
        <v>FrontLeftLeg, FrontRightLeg</v>
      </c>
      <c r="V285" s="7" t="str">
        <f>IF(S285="No","No",_xlfn.XLOOKUP(_xlfn.XLOOKUP(B285,'Base stats'!B:B,'Base stats'!E:E),Groups!A:A,Groups!S:S))</f>
        <v>left hoof, right hoof</v>
      </c>
      <c r="W285" s="7" t="str">
        <f>IF(S285="No","No",_xlfn.XLOOKUP(_xlfn.XLOOKUP(B285,'Base stats'!B:B,'Base stats'!E:E),Groups!A:A,Groups!T:T))</f>
        <v>Blunt</v>
      </c>
      <c r="X285" s="13">
        <f>IF(_xlfn.XLOOKUP(B285,'Base stats'!B:B,'Base stats'!W:W)="No","No",MROUND((LOG10(_xlfn.XLOOKUP(B285,'Base stats'!B:B,'Base stats'!AU:AU))*(AO285^0.5)+(_xlfn.XLOOKUP(B285,'Base stats'!B:B,'Base stats'!AU:AU)/1000)^(2/3)+_xlfn.XLOOKUP(B285,'Base stats'!B:B,'Base stats'!AZ:AZ))+0.5+IF(_xlfn.XLOOKUP(_xlfn.XLOOKUP(B285,'Base stats'!B:B,'Base stats'!E:E),Groups!A:A,Groups!U:U)&lt;&gt;3,_xlfn.XLOOKUP(B285,'Base stats'!B:B,'Base stats'!BA:BA),0),0.5))</f>
        <v>12</v>
      </c>
      <c r="Y285" s="7">
        <f>IF(X285="No","No",MAX(_xlfn.XLOOKUP(_xlfn.XLOOKUP(B285,'Base stats'!B:B,'Base stats'!E:E),Groups!A:A,Groups!V:V),MROUND(_xlfn.XLOOKUP(_xlfn.XLOOKUP(B285,'Base stats'!B:B,'Base stats'!E:E),Groups!A:A,Groups!V:V)*_xlfn.XLOOKUP(B285,'Base stats'!B:B,'Base stats'!C:C)^0.165,0.05)))</f>
        <v>1.8</v>
      </c>
      <c r="Z285" s="7" t="str">
        <f>IF(X285="No","No",_xlfn.XLOOKUP(_xlfn.XLOOKUP(B285,'Base stats'!B:B,'Base stats'!E:E),Groups!A:A,Groups!W:W))</f>
        <v>HeadAttackTool</v>
      </c>
      <c r="AA285" s="7" t="str">
        <f>IF(X285="No","No",_xlfn.XLOOKUP(_xlfn.XLOOKUP(B285,'Base stats'!B:B,'Base stats'!E:E),Groups!A:A,Groups!X:X))</f>
        <v>horn</v>
      </c>
      <c r="AB285" s="7" t="str">
        <f>IF(X285="No","No",_xlfn.XLOOKUP(_xlfn.XLOOKUP(B285,'Base stats'!B:B,'Base stats'!E:E),Groups!A:A,Groups!Y:Y))</f>
        <v>Blunt</v>
      </c>
      <c r="AC285" s="7" t="str">
        <f>_xlfn.XLOOKUP(Animals!B285,'Base stats'!B:B,'Base stats'!X:X)</f>
        <v>False</v>
      </c>
      <c r="AD285" s="13" t="str">
        <f>IF(_xlfn.XLOOKUP(B285,'Base stats'!B:B,'Base stats'!AT:AT)="No","No",MROUND((LOG10(_xlfn.XLOOKUP(B285,'Base stats'!B:B,'Base stats'!AT:AT))*(AO285^0.75)+(_xlfn.XLOOKUP(B285,'Base stats'!B:B,'Base stats'!AT:AT)/1000)^(2/3)+_xlfn.XLOOKUP(B285,'Base stats'!B:B,'Base stats'!AX:AX)+_xlfn.XLOOKUP(B285,'Base stats'!B:B,'Base stats'!BA:BA))+0.5,0.5))</f>
        <v>No</v>
      </c>
      <c r="AE285" s="7" t="str">
        <f>IF(AD285="No","No",MAX(_xlfn.XLOOKUP(_xlfn.XLOOKUP(B285,'Base stats'!B:B,'Base stats'!E:E),Groups!A:A,Groups!Z:Z),MROUND(_xlfn.XLOOKUP(_xlfn.XLOOKUP(B285,'Base stats'!B:B,'Base stats'!E:E),Groups!A:A,Groups!Z:Z)*_xlfn.XLOOKUP(B285,'Base stats'!B:B,'Base stats'!C:C)^0.165,0.05)))</f>
        <v>No</v>
      </c>
      <c r="AF285" s="7" t="str">
        <f>IF(AD285="No","No",_xlfn.XLOOKUP(_xlfn.XLOOKUP(B285,'Base stats'!B:B,'Base stats'!E:E),Groups!A:A,Groups!AA:AA))</f>
        <v>No</v>
      </c>
      <c r="AG285" s="7" t="str">
        <f>IF(AD285="No","No",_xlfn.XLOOKUP(_xlfn.XLOOKUP(B285,'Base stats'!B:B,'Base stats'!E:E),Groups!A:A,Groups!AB:AB))</f>
        <v>No</v>
      </c>
      <c r="AH285" s="7" t="str">
        <f>IF(AD285="No","No",_xlfn.XLOOKUP(_xlfn.XLOOKUP(B285,'Base stats'!B:B,'Base stats'!E:E),Groups!A:A,Groups!AC:AC))</f>
        <v>No</v>
      </c>
      <c r="AI285" s="13" t="str">
        <f>IF(_xlfn.XLOOKUP(_xlfn.XLOOKUP(B285,'Base stats'!B:B,'Base stats'!E:E),Groups!A:A,Groups!AD:AD)=0,"No",MROUND((LOG10(_xlfn.XLOOKUP(B285,'Base stats'!B:B,'Base stats'!AS:AS))*(AO285^0.75)+(_xlfn.XLOOKUP(B285,'Base stats'!B:B,'Base stats'!AS:AS)/1000)^(2/3)+_xlfn.XLOOKUP(B285,'Base stats'!B:B,'Base stats'!AY:AY)+_xlfn.XLOOKUP(B285,'Base stats'!B:B,'Base stats'!BA:BA))+0.5,0.5))</f>
        <v>No</v>
      </c>
      <c r="AJ285" s="7" t="str">
        <f>IF(AI285="No","No",MAX(_xlfn.XLOOKUP(_xlfn.XLOOKUP(B285,'Base stats'!B:B,'Base stats'!E:E),Groups!A:A,Groups!AE:AE),MROUND(_xlfn.XLOOKUP(_xlfn.XLOOKUP(B285,'Base stats'!B:B,'Base stats'!E:E),Groups!A:A,Groups!AE:AE)*IF(_xlfn.XLOOKUP(_xlfn.XLOOKUP(B285,'Base stats'!B:B,'Base stats'!E:E),Groups!A:A,Groups!AJ:AJ)="Photonozoa",0.6,1)*_xlfn.XLOOKUP(B285,'Base stats'!B:B,'Base stats'!C:C)^0.165,0.05)))</f>
        <v>No</v>
      </c>
      <c r="AK285" s="7" t="str">
        <f>IF(AI285="No","No",_xlfn.XLOOKUP(_xlfn.XLOOKUP(B285,'Base stats'!B:B,'Base stats'!E:E),Groups!A:A,Groups!AF:AF))</f>
        <v>No</v>
      </c>
      <c r="AL285" s="7" t="str">
        <f>IF(AI285="No","No",_xlfn.XLOOKUP(_xlfn.XLOOKUP(B285,'Base stats'!B:B,'Base stats'!E:E),Groups!A:A,Groups!AG:AG))</f>
        <v>No</v>
      </c>
      <c r="AM285" s="7" t="str">
        <f>IF(AI285="No","No",_xlfn.XLOOKUP(_xlfn.XLOOKUP(B285,'Base stats'!B:B,'Base stats'!E:E),Groups!A:A,Groups!AH:AH))</f>
        <v>No</v>
      </c>
      <c r="AN285" s="2" t="str">
        <f t="shared" si="28"/>
        <v>No</v>
      </c>
      <c r="AO285" s="2">
        <f>MROUND(IF(AND(_xlfn.XLOOKUP(B285,'Base stats'!B:B,'Base stats'!C:C)&gt;=0.5,_xlfn.XLOOKUP(B285,'Base stats'!B:B,'Base stats'!C:C)&lt;=0.8),
IF(_xlfn.XLOOKUP(B285,'Base stats'!B:B,'Base stats'!C:C)&lt;0.1,0.05,IF(_xlfn.XLOOKUP(B285,'Base stats'!B:B,'Base stats'!C:C)&lt;=70,(_xlfn.XLOOKUP(B285,'Base stats'!B:B,'Base stats'!C:C)/70)^0.426489913056526,IF(_xlfn.XLOOKUP(B285,'Base stats'!B:B,'Base stats'!C:C)&lt;=400,(_xlfn.XLOOKUP(B285,'Base stats'!B:B,'Base stats'!C:C)/70)^0.572811455315093,IF(_xlfn.XLOOKUP(B285,'Base stats'!B:B,'Base stats'!C:C)&lt;=2000,2.71391647193063*(_xlfn.XLOOKUP(B285,'Base stats'!B:B,'Base stats'!C:C)/400)^0.252459582904293,3.74314280240376*(_xlfn.XLOOKUP(B285,'Base stats'!B:B,'Base stats'!C:C)/2000)^0.357012633876913)))),
IF(_xlfn.XLOOKUP(B285,'Base stats'!B:B,'Base stats'!C:C)&lt;0.1,0.05,IF(_xlfn.XLOOKUP(B285,'Base stats'!B:B,'Base stats'!C:C)&lt;0.4,0.1,IF(_xlfn.XLOOKUP(B285,'Base stats'!B:B,'Base stats'!C:C)&lt;=70,(_xlfn.XLOOKUP(B285,'Base stats'!B:B,'Base stats'!C:C)/70)^0.445823913056526,IF(_xlfn.XLOOKUP(B285,'Base stats'!B:B,'Base stats'!C:C)&lt;=400,(_xlfn.XLOOKUP(B285,'Base stats'!B:B,'Base stats'!C:C)/70)^0.572811455315093,IF(_xlfn.XLOOKUP(B285,'Base stats'!B:B,'Base stats'!C:C)&lt;=2000,2.71391647193063*(_xlfn.XLOOKUP(B285,'Base stats'!B:B,'Base stats'!C:C)/400)^0.252459582904293,3.74314280240376*(_xlfn.XLOOKUP(B285,'Base stats'!B:B,'Base stats'!C:C)/2000)^0.357012633876913)))))),
IF(_xlfn.XLOOKUP(B285,'Base stats'!B:B,'Base stats'!C:C)&lt;0.1,0.05,IF(_xlfn.XLOOKUP(B285,'Base stats'!B:B,'Base stats'!C:C)&lt;=100,0.05,IF(_xlfn.XLOOKUP(B285,'Base stats'!B:B,'Base stats'!C:C)&lt;=250,0.1,IF(_xlfn.XLOOKUP(B285,'Base stats'!B:B,'Base stats'!C:C)&lt;=4000,0.25,0.5)))))</f>
        <v>1.25</v>
      </c>
      <c r="AP285" s="8">
        <f>MROUND(AO285*_xlfn.XLOOKUP(_xlfn.XLOOKUP(B285,'Base stats'!B:B,'Base stats'!E:E),Groups!A:A,Groups!AI:AI)*_xlfn.XLOOKUP(B285,'Base stats'!B:B,'Base stats'!Z:Z),0.05)</f>
        <v>1.25</v>
      </c>
      <c r="AQ285" s="8">
        <f>MAX(0.01,MROUND(IF(CC285="True",0.196*(AO285*100*1000)^0.889,IF(_xlfn.XLOOKUP(_xlfn.XLOOKUP(B285,'Base stats'!B:B,'Base stats'!E:E),Groups!A:A,Groups!AJ:AJ)="Bird",10.5*(AO285*100*1000)^0.681,4.82*(AO285*100*1000)^0.734))/(4.82*(1*100*1000)^0.734)/IF(AO285&lt;3.5,2,IF(AO285=3.5,1.5,1.25))*(1+0.132282374779864/(AO285^0.994035016789033+0.00905238001496948)),0.05))</f>
        <v>0.65</v>
      </c>
      <c r="AR285" s="9">
        <f>IFERROR(MROUND(_xlfn.XLOOKUP(B285,'Base stats'!B:B,'Base stats'!H:H)/IF(_xlfn.XLOOKUP(B285,'Base stats'!B:B,'Base stats'!I:I)&lt;&gt;1,(122.5/70),1.2),IF(_xlfn.XLOOKUP(B285,'Base stats'!B:B,'Base stats'!H:H)&gt;=30,5,IF(_xlfn.XLOOKUP(B285,'Base stats'!B:B,'Base stats'!H:H)&gt;=15,3,IF(_xlfn.XLOOKUP(B285,'Base stats'!B:B,'Base stats'!H:H)&gt;=10,2,1)))),"Immortal")</f>
        <v>15</v>
      </c>
      <c r="AS285" s="35">
        <f>IFERROR(IF(OR(_xlfn.XLOOKUP(B285,'Base stats'!B:B,'Base stats'!F:F)="Atypical reproduction",_xlfn.XLOOKUP(B285,'Base stats'!B:B,'Base stats'!F:F)="Lay eggs"),"Lay eggs",MIN(20,MAX(5.5,ROUND(((_xlfn.XLOOKUP(B285,'Base stats'!B:B,'Base stats'!F:F)-25)*(14.5/615) + 5.5)*2,0)/2))),"Unknown")</f>
        <v>8.5</v>
      </c>
      <c r="AT285" s="8">
        <f>IF(_xlfn.XLOOKUP(B285,'Base stats'!B:B,'Base stats'!G:G)="Atypical reproduction","No",IFERROR(MAX(IF(_xlfn.XLOOKUP(B285,'Base stats'!B:B,'Base stats'!G:G)&lt;0.5,0.2,0.3),MROUND(_xlfn.XLOOKUP(B285,'Base stats'!B:B,'Base stats'!G:G)/(365/60),0.2)),"Unknown"))</f>
        <v>0.4</v>
      </c>
      <c r="AU285" s="8">
        <f t="shared" si="29"/>
        <v>0.2</v>
      </c>
      <c r="AV285" s="8">
        <f>IFERROR(IFERROR(MROUND(_xlfn.XLOOKUP(B285,'Base stats'!B:B,'Base stats'!J:J),0.1),"Lay eggs"),"Cannot breed")</f>
        <v>1</v>
      </c>
      <c r="AW285" s="2" t="str">
        <f t="shared" si="30"/>
        <v>true</v>
      </c>
      <c r="AX285" s="2" t="str">
        <f>IF(_xlfn.XLOOKUP(_xlfn.XLOOKUP(Animals!B285,'Base stats'!B:B,'Base stats'!E:E),Groups!A:A,Groups!AK:AK)=1,"true","false")</f>
        <v>true</v>
      </c>
      <c r="AY285" s="25" t="str">
        <f>IF(_xlfn.XLOOKUP(B285,'Base stats'!B:B,'Base stats'!Y:Y)="Liquor","Liquor, CarnivoreAnimalStrict",IF(AND(_xlfn.XLOOKUP(B285,'Base stats'!B:B,'Base stats'!Y:Y)="Carnivore",_xlfn.XLOOKUP(_xlfn.XLOOKUP(B285,'Base stats'!B:B,'Base stats'!E:E),Groups!A:A,Groups!AJ:AJ)="Photonozoa"),"CarnivoreAnimalStrict, OvivoreAnimal",IF(_xlfn.XLOOKUP(B285,'Base stats'!B:B,'Base stats'!Y:Y)="Carnivore","CarnivoreAnimal, OvivoreAnimal",IF(_xlfn.XLOOKUP(B285,'Base stats'!B:B,'Base stats'!Y:Y)="Dendrovore","VegetarianRoughAnimal, DendrovoreAnimal",IF(_xlfn.XLOOKUP(B285,'Base stats'!B:B,'Base stats'!Y:Y)="Herbivore","VegetarianRoughAnimal",IF(_xlfn.XLOOKUP(B285,'Base stats'!B:B,'Base stats'!Y:Y)="OmnivoreRough","OmnivoreRoughAnimal, OvivoreAnimal","OmnivoreAnimal, OvivoreAnimal"))))))</f>
        <v>VegetarianRoughAnimal</v>
      </c>
      <c r="AZ285" s="2">
        <f>IF(_xlfn.XLOOKUP(_xlfn.XLOOKUP(B285,'Base stats'!B:B,'Base stats'!E:E),Groups!A:A,Groups!D:D)=1,MROUND((1-J285)*5+1,2)*IF(J285&lt;=0.4,2,1),"No")</f>
        <v>8</v>
      </c>
      <c r="BA285" s="2" t="str">
        <f>IF(AND(_xlfn.XLOOKUP(B285,'Base stats'!B:B,'Base stats'!AH:AH)="&lt;li&gt;Seal&lt;/li&gt;",G285="Odyssey"),"&lt;li&gt;AEXP_Seal&lt;/li&gt;",_xlfn.XLOOKUP(B285,'Base stats'!B:B,'Base stats'!AH:AH))</f>
        <v>&lt;li&gt;Sheep&lt;/li&gt;</v>
      </c>
      <c r="BB285" s="2" t="str">
        <f>_xlfn.XLOOKUP(B285,'Base stats'!B:B,'Base stats'!AG:AG)</f>
        <v>Leather_Plain</v>
      </c>
      <c r="BC285" s="23" t="str">
        <f>_xlfn.XLOOKUP(_xlfn.XLOOKUP(B285,'Base stats'!B:B,'Base stats'!E:E),Groups!A:A,Groups!AL:AL)</f>
        <v>QuadrupedAnimalWithHooves</v>
      </c>
      <c r="BD285" s="23">
        <f>MIN(1,MROUND(IF(AND(AO285&lt;0.5,_xlfn.XLOOKUP(B285,'Base stats'!B:B,'Base stats'!AA:AA)=0),0,IF(OR(_xlfn.XLOOKUP(Animals!B285,'Base stats'!B:B,'Base stats'!O:O)=2,_xlfn.XLOOKUP(_xlfn.XLOOKUP(B285,'Base stats'!B:B,'Base stats'!E:E),Groups!A:A,Groups!AN:AN)=0),0,_xlfn.XLOOKUP(_xlfn.XLOOKUP(B285,'Base stats'!B:B,'Base stats'!E:E),Groups!A:A,Groups!AN:AN)/IF(_xlfn.XLOOKUP(Animals!B285,'Base stats'!B:B,'Base stats'!O:O)=1,2,1)))+_xlfn.XLOOKUP(B285,'Base stats'!B:B,'Base stats'!AC:AC),0.005))</f>
        <v>0</v>
      </c>
      <c r="BE285" s="23">
        <f>MIN(1,MROUND(IF(AND(AO285&lt;0.5,_xlfn.XLOOKUP(B285,'Base stats'!B:B,'Base stats'!AA:AA)=0),0,IF(_xlfn.XLOOKUP(_xlfn.XLOOKUP(B285,'Base stats'!B:B,'Base stats'!E:E),Groups!A:A,Groups!AO:AO)=0,0,_xlfn.XLOOKUP(_xlfn.XLOOKUP(B285,'Base stats'!B:B,'Base stats'!E:E),Groups!A:A,Groups!AO:AO)/IF(_xlfn.XLOOKUP(Animals!B285,'Base stats'!B:B,'Base stats'!O:O)=2,3,1)))+_xlfn.XLOOKUP(B285,'Base stats'!B:B,'Base stats'!AD:AD),0.005))</f>
        <v>0</v>
      </c>
      <c r="BF285" s="2" t="str">
        <f>IF(J285&gt;0.3,"No",_xlfn.XLOOKUP(_xlfn.XLOOKUP(Animals!B285,'Base stats'!B:B,'Base stats'!E:E),Groups!A:A,Groups!AP:AP))</f>
        <v>No</v>
      </c>
      <c r="BG285" s="2" t="str">
        <f>IF(AND(J285&lt;=0.65,_xlfn.XLOOKUP(_xlfn.XLOOKUP(Animals!B285,'Base stats'!B:B,'Base stats'!E:E),Groups!A:A,Groups!AP:AP)&lt;&gt;"No",_xlfn.XLOOKUP(_xlfn.XLOOKUP(B285,'Base stats'!B:B,'Base stats'!E:E),Groups!A:A,Groups!D:D)=0),MROUND((80/3)*IF(_xlfn.XLOOKUP(B285,'Base stats'!B:B,'Base stats'!O:O)=2,0.2,AO285) + 24*(1-IF(BF285="No",0,BF285)) + 16/3, 12),"No")</f>
        <v>No</v>
      </c>
      <c r="BH285" s="2">
        <f>IF(AND(_xlfn.XLOOKUP(_xlfn.XLOOKUP(B285,'Base stats'!B:B,'Base stats'!E:E),Groups!A:A,Groups!AQ:AQ)=1,AO285&lt;=0.35),8,12)</f>
        <v>12</v>
      </c>
      <c r="BI285" s="2" t="str">
        <f>IF(_xlfn.XLOOKUP(_xlfn.XLOOKUP(B285,'Base stats'!B:B,'Base stats'!E:E),Groups!A:A,Groups!D:D)=0,_xlfn.XLOOKUP(_xlfn.XLOOKUP(B285,'Base stats'!B:B,'Base stats'!E:E),Groups!A:A,Groups!AR:AR),"None")</f>
        <v>None</v>
      </c>
      <c r="BJ285" s="2" t="str">
        <f>IF(AND(_xlfn.XLOOKUP(_xlfn.XLOOKUP(B285,'Base stats'!B:B,'Base stats'!E:E),Groups!A:A,Groups!AS:AS)=1,OR(_xlfn.XLOOKUP(B285,'Base stats'!B:B,'Base stats'!Y:Y)="Carnivore",_xlfn.XLOOKUP(B285,'Base stats'!B:B,'Base stats'!Y:Y)="Omnivore")),"true","false")</f>
        <v>false</v>
      </c>
      <c r="BK285" s="2" t="str">
        <f>IF(BJ285="true",MROUND(IF(AND(AO285&gt;0.5,OR(_xlfn.XLOOKUP(_xlfn.XLOOKUP(B285,'Base stats'!B:B,'Base stats'!E:E),Groups!A:A,Groups!AJ:AJ)="Photonozoa",_xlfn.XLOOKUP(_xlfn.XLOOKUP(B285,'Base stats'!B:B,'Base stats'!E:E),Groups!A:A,Groups!AJ:AJ)="Mammal")),Animals!AO285*1.75*IF(AW285="true",1.5,1),IF(AO285&lt;0.5,Animals!AO285*0.5,Animals!AO285)),IF(AO285&gt;2,0.5,IF(AO285&gt;0.5,0.25,0.1))),"No")</f>
        <v>No</v>
      </c>
      <c r="BL285" s="2">
        <f t="shared" si="31"/>
        <v>0</v>
      </c>
      <c r="BM285" s="25" t="str">
        <f>IF(_xlfn.XLOOKUP(B285,'Base stats'!B:B,'Base stats'!AN:AN)="Standard","No",MROUND((_xlfn.XLOOKUP(B285,'Base stats'!B:B,'Base stats'!AN:AN)/3.6)/I285,0.1))</f>
        <v>No</v>
      </c>
      <c r="BN285" s="25" t="str">
        <f t="shared" si="32"/>
        <v>false</v>
      </c>
      <c r="BO285" s="25" t="str">
        <f>IF(AND(OR(_xlfn.XLOOKUP(B285,'Base stats'!B:B,'Base stats'!Y:Y)="Carnivore",_xlfn.XLOOKUP(B285,'Base stats'!B:B,'Base stats'!Y:Y)="Omnivore",_xlfn.XLOOKUP(B285,'Base stats'!B:B,'Base stats'!Y:Y)="OmnivoreRough"),_xlfn.XLOOKUP(_xlfn.XLOOKUP(B285,'Base stats'!B:B,'Base stats'!E:E),Groups!A:A,Groups!AT:AT)=1),"true","false")</f>
        <v>false</v>
      </c>
      <c r="BP285" s="25" t="str" cm="1">
        <f t="array" ref="BP285">IF(
  _xlfn.TEXTJOIN(", ",TRUE,
    IF(AND(BJ285="true",AO285&gt;0.5,BI285&lt;&gt;"None"),"AttackTarget",""),
    IF(AND(_xlfn.XLOOKUP(_xlfn.XLOOKUP(B285,'Base stats'!B:B,'Base stats'!E:E),Groups!A:A,Groups!AJ:AJ="Mammal"),OR(_xlfn.XLOOKUP(B285,'Base stats'!B:B,'Base stats'!Y:Y)="Omnivore",_xlfn.XLOOKUP(B285,'Base stats'!B:B,'Base stats'!Y:Y)="OmnivoreRough")),"Forage",""),
    IF(BG285&lt;=36,"Comfort",""),
    IF(_xlfn.XLOOKUP(B285,'Base stats'!B:B,'Base stats'!AE:AE)&lt;&gt;"No",_xlfn.XLOOKUP(B285,'Base stats'!B:B,'Base stats'!AE:AE),"")
  ) = "",
  "No",
  _xlfn.TEXTJOIN(", ",TRUE,
    IF(AND(BJ285="true",AO285&gt;0.5,BI285&lt;&gt;"None"),"AttackTarget",""),
    IF(AND(_xlfn.XLOOKUP(_xlfn.XLOOKUP(B285,'Base stats'!B:B,'Base stats'!E:E),Groups!A:A,Groups!AJ:AJ="Mammal"),OR(_xlfn.XLOOKUP(B285,'Base stats'!B:B,'Base stats'!Y:Y)="Omnivore",_xlfn.XLOOKUP(B285,'Base stats'!B:B,'Base stats'!Y:Y)="OmnivoreRough")),"Forage",""),
    IF(BG285&lt;=36,"Comfort",""),
    IF(_xlfn.XLOOKUP(B285,'Base stats'!B:B,'Base stats'!AE:AE)&lt;&gt;"No",_xlfn.XLOOKUP(B285,'Base stats'!B:B,'Base stats'!AE:AE),"")
  )
)</f>
        <v>No</v>
      </c>
      <c r="BQ285" s="25" t="str">
        <f>IF(
   AND(
      'Base stats'!AN285="Standard",_xlfn.XLOOKUP(_xlfn.XLOOKUP(B285,'Base stats'!B:B,'Base stats'!E:E),Groups!A:A,Groups!AU:AU)=0,
      OR(
      BO285="True"
      )
   ),
   10,
   IF(
       OR(BM285&lt;&gt;"No",_xlfn.XLOOKUP(_xlfn.XLOOKUP(B285,'Base stats'!B:B,'Base stats'!E:E),Groups!A:A,Groups!AU:AU)=1),
      1,
      "No"
   )
)</f>
        <v>No</v>
      </c>
      <c r="BR285" s="9">
        <f>MROUND((1 + ((0.2*IF(OR(Q285="No",R285="No",R285=0),0,Q285/R285)
+IF(OR(V285="No",S285="No",T285="No"),0,S285/T285*(LEN(V285)-LEN(SUBSTITUTE(V285,",",""))+1))
+IF(OR(X285="No",Y285="No"),0,X285/Y285)
+IF(OR(AD285="No",AE285="No"),0,AD285/AE285)
+IF(OR(AL285="No",AI285="No",AJ285="No"),0,AI285/AJ285*(LEN(AL285)-LEN(SUBSTITUTE(AL285,",",""))+1))
)/(0.2*IF(OR(Q285="No",R285="No",R285=0),0,1)
+IF(OR(V285="No",S285="No",T285="No"),0,LEN(V285)-LEN(SUBSTITUTE(V285,",",""))+1)
+IF(OR(X285="No",Y285="No"),0,1)
+IF(OR(AD285="No",AE285="No"),0,1)
+IF(OR(AL285="No",AI285="No",AJ285="No"),0,LEN(AL285)-LEN(SUBSTITUTE(AL285,",",""))+1))*62%)* 2)*(1 + (AP285 / (IF(_xlfn.XLOOKUP(_xlfn.XLOOKUP(B285,'Base stats'!B:B,'Base stats'!E:E),Groups!A:A,Groups!AJ:AJ)="Photonozoa",0.3,1)) + _xlfn.XLOOKUP(B285,'Base stats'!B:B,'Base stats'!AV:AV) * 1.8) * 2) * 2.5 + 10 + I285 * 2,5)+IF(_xlfn.XLOOKUP(B285,'Base stats'!B:B,'Base stats'!AK:AK)=1,50,0)</f>
        <v>85</v>
      </c>
      <c r="BS285" s="8">
        <f t="shared" si="33"/>
        <v>0.75</v>
      </c>
      <c r="BT285" s="8" t="str">
        <f>_xlfn.XLOOKUP(B285,'Base stats'!B:B,'Base stats'!AF:AF)</f>
        <v>2~6</v>
      </c>
      <c r="BU285" s="2" t="str">
        <f>IF(AND(J285&lt;=0.95,OR(_xlfn.XLOOKUP(B285,'Base stats'!B:B,'Base stats'!AK:AK)=1,_xlfn.XLOOKUP(B285,'Base stats'!B:B,'Base stats'!Y:Y)="Carnivore",_xlfn.XLOOKUP(B285,'Base stats'!B:B,'Base stats'!Y:Y)="Omnivore",BE285&gt;0.1)),"true","false")</f>
        <v>false</v>
      </c>
      <c r="BV285" s="2" t="str">
        <f>IF(_xlfn.XLOOKUP(B285,'Base stats'!B:B,'Base stats'!AI:AI)=1,"true","false")</f>
        <v>false</v>
      </c>
      <c r="BW285" s="25" t="str">
        <f>IF(E285="BaseInsect","AnimalInsect",
IF(J285&gt;0.95,"AnimalExotic",
_xlfn.TEXTJOIN(", ",TRUE,
IF(OR(_xlfn.XLOOKUP(B285,'Base stats'!B:B,'Base stats'!AM:AM)=1,AND(_xlfn.XLOOKUP(B285,'Base stats'!B:B,'Base stats'!O:O)=0,_xlfn.XLOOKUP(_xlfn.XLOOKUP(B285,'Base stats'!B:B,'Base stats'!E:E),Groups!A:A,Groups!B:B)&gt;0)),"AnimalUncommon","AnimalCommon"),
IF(AND(_xlfn.XLOOKUP(B285,'Base stats'!B:B,'Base stats'!O:O)=2,_xlfn.XLOOKUP(_xlfn.XLOOKUP(B285,'Base stats'!B:B,'Base stats'!E:E),Groups!A:A,Groups!D:D)=0),"AnimalPet",IF(AND(_xlfn.XLOOKUP(B285,'Base stats'!B:B,'Base stats'!O:O)&lt;&gt;0,_xlfn.XLOOKUP(_xlfn.XLOOKUP(B285,'Base stats'!B:B,'Base stats'!E:E),Groups!A:A,Groups!D:D)&lt;&gt;0),"AnimalFarm","")),
IF(OR(_xlfn.XLOOKUP(B285,'Base stats'!B:B,'Base stats'!AK:AK)=1,AND(BI285&lt;&gt;"None",BR285&gt;=60),ISNUMBER(SEARCH("Attack target",BP285))),"AnimalFighter","")
)))</f>
        <v>AnimalUncommon, AnimalFarm</v>
      </c>
      <c r="BX285" s="25" t="str">
        <f>IF(G285="None",TRIM(
SUBSTITUTE(
IF(COUNTIF(Biomes!B$2:B$259,"="&amp;$C285)&gt;0,Biomes!B$1&amp;", ","")&amp;
IF(COUNTIF(Biomes!C$2:C$259,"="&amp;$C285)&gt;0,Biomes!C$1&amp;", ","")&amp;
IF(COUNTIF(Biomes!D$2:D$259,"="&amp;$C285)&gt;0,Biomes!D$1&amp;", ","")&amp;
IF(COUNTIF(Biomes!F$2:F$259,"="&amp;$C285)&gt;0,Biomes!F$1&amp;", ","")&amp;
IF(COUNTIF(Biomes!G$2:G$259,"="&amp;$C285)&gt;0,Biomes!G$1&amp;", ","")&amp;
IF(COUNTIF(Biomes!H$2:H$259,"="&amp;$C285)&gt;0,Biomes!H$1&amp;", ","")&amp;
IF(COUNTIF(Biomes!I$2:I$259,"="&amp;$C285)&gt;0,Biomes!I$1&amp;", ","")&amp;
IF(COUNTIF(Biomes!J$2:J$259,"="&amp;$C285)&gt;0,Biomes!J$1&amp;", ","")&amp;
IF(COUNTIF(Biomes!M$2:M$259,"="&amp;$C285)&gt;0,Biomes!M$1&amp;", ","")&amp;
IF(COUNTIF(Biomes!N$2:N$259,"="&amp;$C285)&gt;0,Biomes!N$1&amp;", ","")&amp;
IF(COUNTIF(Biomes!O$2:O$259,"="&amp;$C285)&gt;0,Biomes!O$1&amp;", ","")&amp;
IF(COUNTIF(Biomes!P$2:P$259,"="&amp;$C285)&gt;0,Biomes!P$1&amp;", ","")&amp;
IF(COUNTIF(Biomes!K$2:K$259,"="&amp;$C285)&gt;0,Biomes!K$1&amp;", ","")&amp;
IF(COUNTIF(Biomes!Q$3:Q$259,"="&amp;$C285)&gt;0,Biomes!Q$1&amp;", ","")&amp;
IF(COUNTIF(Biomes!L$2:L$259,"="&amp;$C285)&gt;0,Biomes!L$1&amp;", ","")&amp;
IF(COUNTIF(Biomes!E$2:E$259,"="&amp;$C285)&gt;0,Biomes!E$1&amp;", ","")&amp;IF(COUNTIF(Biomes!S$2:S$259,"="&amp;$C285)&gt;0,Biomes!S$1&amp;", ","")&amp;
IF(COUNTIF(Biomes!R$2:R$259,"="&amp;$C285)&gt;0,Biomes!R$1&amp;", ",""),", ","")
),_xlfn.XLOOKUP(B285,B:B,BX:BX))</f>
        <v/>
      </c>
      <c r="BY285" s="25" t="str">
        <f>IF(_xlfn.XLOOKUP(B285,'Base stats'!B:B,'Base stats'!AJ:AJ)=1,"true","false")</f>
        <v>false</v>
      </c>
      <c r="BZ285" s="25">
        <f>IF(_xlfn.XLOOKUP(B285,'Base stats'!B:B,'Base stats'!N:N)=1,"No",MAX(0.001,MIN(MROUND(IF(AND(BJ285="True",CC285="False"),POWER(10,3.47*LOG10(_xlfn.XLOOKUP(B285,'Base stats'!B:B,'Base stats'!C:C)*1000)^-0.96),POWER(10,4.15*LOG10(_xlfn.XLOOKUP(B285,'Base stats'!B:B,'Base stats'!C:C)*1000)^-0.73))*IF(_xlfn.XLOOKUP(B285,'Base stats'!B:B,'Base stats'!AK:AK)=1,0.5,1)*IF(_xlfn.XLOOKUP(B285,'Base stats'!B:B,'Base stats'!AM:AM)=1,0.1,1)/100,IF(_xlfn.XLOOKUP(B285,'Base stats'!B:B,'Base stats'!AM:AM)=1,0.001,0.025)),0.5)))</f>
        <v>1.9E-2</v>
      </c>
      <c r="CA285" s="25" t="str">
        <f>IF(P285="Standard","No",MAX(0.001,MIN(MROUND(IF(AND(BJ285="True",CC285="False"),POWER(10,3.47*LOG10(_xlfn.XLOOKUP(B285,'Base stats'!B:B,'Base stats'!C:C)*1000)^-0.96),POWER(10,4.15*LOG10(_xlfn.XLOOKUP(B285,'Base stats'!B:B,'Base stats'!C:C)*1000)^-0.73))*IF(_xlfn.XLOOKUP(B285,'Base stats'!B:B,'Base stats'!AM:AM)=1,0.1,1)*_xlfn.XLOOKUP(B285,'Base stats'!B:B,'Base stats'!R:R)/100,IF(_xlfn.XLOOKUP(B285,'Base stats'!B:B,'Base stats'!AM:AM)=1,0.001,0.025)),0.5)))</f>
        <v>No</v>
      </c>
      <c r="CB285" s="25" t="str">
        <f>IF(_xlfn.XLOOKUP(_xlfn.XLOOKUP(B285,'Base stats'!B:B,'Base stats'!E:E),Groups!A:A,Groups!AJ:AJ)="Mammal","True","False")</f>
        <v>True</v>
      </c>
      <c r="CC285" s="25" t="str">
        <f>IF(OR(_xlfn.XLOOKUP(_xlfn.XLOOKUP(B285,'Base stats'!B:B,'Base stats'!E:E),Groups!A:A,Groups!AJ:AJ)="Reptile",_xlfn.XLOOKUP(_xlfn.XLOOKUP(B285,'Base stats'!B:B,'Base stats'!E:E),Groups!A:A,Groups!AJ:AJ)="Amphibian",_xlfn.XLOOKUP(_xlfn.XLOOKUP(B285,'Base stats'!B:B,'Base stats'!E:E),Groups!A:A,Groups!AJ:AJ)="Invertebrate"),"True","False")</f>
        <v>False</v>
      </c>
      <c r="CD285" s="25" t="str">
        <f t="shared" si="34"/>
        <v>False</v>
      </c>
      <c r="CE285" s="25" t="str">
        <f>IF(_xlfn.XLOOKUP(_xlfn.XLOOKUP(B285,'Base stats'!B:B,'Base stats'!E:E),Groups!A:A,Groups!AX:AX),"True","False")</f>
        <v>False</v>
      </c>
      <c r="CF285" s="25" t="str">
        <f>IF(_xlfn.XLOOKUP(_xlfn.XLOOKUP(B285,'Base stats'!B:B,'Base stats'!E:E),Groups!A:A,Groups!AY:AY),"True","False")</f>
        <v>False</v>
      </c>
      <c r="CG285" s="25" t="str">
        <f>IF(_xlfn.XLOOKUP(_xlfn.XLOOKUP(B285,'Base stats'!B:B,'Base stats'!E:E),Groups!A:A,Groups!AW:AW),"True","False")</f>
        <v>False</v>
      </c>
      <c r="CH285" s="25" t="str">
        <f>IF(
OR(
_xlfn.XLOOKUP(_xlfn.XLOOKUP(B285,'Base stats'!B:B,'Base stats'!E:E),Groups!A:A,Groups!AZ:AZ)=0,
AND(
_xlfn.XLOOKUP(B285,'Base stats'!B:B,'Base stats'!Y:Y)&lt;&gt;"Carnivore",
_xlfn.XLOOKUP(B285,'Base stats'!B:B,'Base stats'!Y:Y)&lt;&gt;"Omnivore",
_xlfn.XLOOKUP(B285,'Base stats'!B:B,'Base stats'!Y:Y)&lt;&gt;"OmnivoreRough"
)
),
"No",
IF(
_xlfn.XLOOKUP(_xlfn.XLOOKUP(B285,'Base stats'!B:B,'Base stats'!E:E),Groups!A:A,Groups!AZ:AZ)=1,
"Flesh",
IF(
_xlfn.XLOOKUP(_xlfn.XLOOKUP(B285,'Base stats'!B:B,'Base stats'!E:E),Groups!A:A,Groups!AZ:AZ)=2,
"Bone",
""
)
)
)</f>
        <v>No</v>
      </c>
      <c r="CI285" s="25" t="str">
        <f>IF(_xlfn.XLOOKUP(_xlfn.XLOOKUP(B285,'Base stats'!B:B,'Base stats'!E:E),Groups!A:A,Groups!BB:BB),"True","False")</f>
        <v>True</v>
      </c>
      <c r="CJ285" s="25" t="str">
        <f>IF(_xlfn.XLOOKUP(_xlfn.XLOOKUP(B285,'Base stats'!B:B,'Base stats'!E:E),Groups!A:A,Groups!BA:BA),"True","False")</f>
        <v>False</v>
      </c>
    </row>
    <row r="286" spans="1:88" ht="16.5" thickTop="1" thickBot="1" x14ac:dyDescent="0.3">
      <c r="A286" s="26" t="s">
        <v>1480</v>
      </c>
      <c r="B286" s="6" t="str">
        <f>_xlfn.XLOOKUP(A286,'Base stats'!A:A,'Base stats'!B:B)</f>
        <v>Canis terrestris</v>
      </c>
      <c r="C286" s="28" t="s">
        <v>1481</v>
      </c>
      <c r="D286" s="28" t="s">
        <v>1341</v>
      </c>
      <c r="E286" s="28" t="s">
        <v>673</v>
      </c>
      <c r="F286" s="28" t="s">
        <v>673</v>
      </c>
      <c r="G286" s="28" t="s">
        <v>673</v>
      </c>
      <c r="H286" s="2">
        <f>MROUND((
  (IF(AND(_xlfn.XLOOKUP(B286,'Base stats'!B:B,'Base stats'!AL:AL)=0,BI286="None",_xlfn.XLOOKUP(_xlfn.XLOOKUP(B286,'Base stats'!B:B,'Base stats'!E:E),Groups!A:A,Groups!B:B)=0), (18 + BR286 * 2.7) * 0.5,
    IF(AND(_xlfn.XLOOKUP(B286,'Base stats'!B:B,'Base stats'!AL:AL)=0,OR(AO286&lt;0.55,AND(BI286="Intermediate",_xlfn.XLOOKUP(_xlfn.XLOOKUP(B286,'Base stats'!B:B,'Base stats'!E:E),Groups!A:A,Groups!B:B)&lt;2))), (18 + BR286 * 2.7),
      IF(OR(BI286="Advanced",_xlfn.XLOOKUP(B286,'Base stats'!B:B,'Base stats'!AL:AL)=1,_xlfn.XLOOKUP(_xlfn.XLOOKUP(B286,'Base stats'!B:B,'Base stats'!E:E),Groups!A:A,Groups!B:B)=2), (18 + BR286 * 2.7) + 250, (18 + BR286 * 2.7))
    )
  ))
  + AO286 * 80
  + IF(COUNTIF(EggMilk!K$2:K$998, A286) &gt; 0, 125, 0)
  + IF(COUNTIF(EggMilk!P$2:P$998, A286) &gt; 0, 90, 0)
  + IF(COUNTIF(EggMilk!A$2:A$998, A286) &gt; 0, 90, 0)
)
* (0.8 + 0.4 * J286)
* 0.75,25)</f>
        <v>275</v>
      </c>
      <c r="I286" s="2">
        <f>MROUND(ROUNDDOWN(_xlfn.XLOOKUP(B286,'Base stats'!B:B,'Base stats'!L:L)/3.6/(23.3/11),1),0.5)</f>
        <v>2.5</v>
      </c>
      <c r="J286" s="2">
        <f>IF(OR(_xlfn.XLOOKUP(B286,'Base stats'!B:B,'Base stats'!AB:AB)=1,_xlfn.XLOOKUP(_xlfn.XLOOKUP(B286,'Base stats'!B:B,'Base stats'!E:E),Groups!A:A,Groups!C:C)="Untamable"),1,IF(_xlfn.XLOOKUP(B286,'Base stats'!B:B,'Base stats'!AL:AL)=1,0.99,MIN(MROUND((1-0.6282*EXP(-0.459*AO286))*_xlfn.XLOOKUP(_xlfn.XLOOKUP(B286,'Base stats'!B:B,'Base stats'!E:E),Groups!A:A,Groups!C:C)*IF(_xlfn.XLOOKUP(B286,'Base stats'!B:B,'Base stats'!O:O)=1,0.5,IF(_xlfn.XLOOKUP(B286,'Base stats'!B:B,'Base stats'!O:O)=2,0,1)),0.05),IF(AO286&gt;3.5,0.985,0.95))))</f>
        <v>0.45</v>
      </c>
      <c r="K286" s="2">
        <f>ROUNDUP(AO286*_xlfn.XLOOKUP(_xlfn.XLOOKUP(B286,'Base stats'!B:B,'Base stats'!E:E),Groups!A:A,Groups!E:E),0)</f>
        <v>2</v>
      </c>
      <c r="L286" s="2">
        <f>IF(OR(_xlfn.XLOOKUP(_xlfn.XLOOKUP(B286,'Base stats'!B:B,'Base stats'!E:E),Groups!A:A,Groups!F:F)=2,ISNUMBER(SEARCH("SeaIce",BX286)),ISNUMBER(SEARCH("IceSheet",BX286))),-50,IF(OR(ISNUMBER(SEARCH("GlacialPlain",BX286)),ISNUMBER(SEARCH("Tundra",BX286))),-40,IF(OR(ISNUMBER(SEARCH("Alpine",BX286)),ISNUMBER(SEARCH("BorealForest",BX286)),ISNUMBER(SEARCH("ColdBog",BX286))),-30,IF(OR(ISNUMBER(SEARCH("TemperateForest",BX286)),ISNUMBER(SEARCH("TemperateSwamp",BX286))),-20,IF(_xlfn.XLOOKUP(_xlfn.XLOOKUP(B286,'Base stats'!B:B,'Base stats'!E:E),Groups!A:A,Groups!F:F)=1,-15,IF(OR(ISNUMBER(SEARCH("Desert",BX286)),ISNUMBER(SEARCH("ExtremeDesert",BX286))),-10,IF(OR(ISNUMBER(SEARCH("Grasslands",BX286)),ISNUMBER(SEARCH("TropicalRainforest",BX286)),ISNUMBER(SEARCH("TropicalSwamp",BX286))),10,0)))))))-IF(CC286="False",MIN(IFERROR(MAX(MROUND(LOG10(_xlfn.XLOOKUP(B286,'Base stats'!B:B,'Base stats'!C:C)^(2/3))*10,5),5),5),30))-_xlfn.XLOOKUP(B286,'Base stats'!B:B,'Base stats'!P:P)+IF(CC286="True",5,0)</f>
        <v>-15</v>
      </c>
      <c r="M286" s="2">
        <f>IF(OR(_xlfn.XLOOKUP(_xlfn.XLOOKUP(B286,'Base stats'!B:B,'Base stats'!E:E),Groups!A:A,Groups!G:G)=2,ISNUMBER(SEARCH("Desert",BX286)),ISNUMBER(SEARCH("ExtremeDesert",BX286)),ISNUMBER(SEARCH("LavaField",BX286))),50,IF(ISNUMBER(SEARCH("Grasslands",BX286)),45,IF(OR(_xlfn.XLOOKUP(_xlfn.XLOOKUP(B286,'Base stats'!B:B,'Base stats'!E:E),Groups!A:A,Groups!G:G)=1,ISNUMBER(SEARCH("TropicalRainforest",BX286)),ISNUMBER(SEARCH("TropicalSwamp",BX286))),40,IF(OR(ISNUMBER(SEARCH("TemperateForest",BX286)),ISNUMBER(SEARCH("TemperateSwamp",BX286))),35,IF(OR(ISNUMBER(SEARCH("Alpine",BX286)),ISNUMBER(SEARCH("BorealForest",BX286)),ISNUMBER(SEARCH("ColdBog",BX286))),30,IF(ISNUMBER(OR(ISNUMBER(SEARCH("GlacialPlain",BX286)),SEARCH("Tundra",BX286))),25,IF(OR(ISNUMBER(SEARCH("SeaIce",BX286)),ISNUMBER(SEARCH("IceSheet",BX286)),ISNUMBER(SEARCH("TropicalSwamp",BX286))),10,35)))))))+_xlfn.XLOOKUP(B286,'Base stats'!B:B,'Base stats'!Q:Q)</f>
        <v>35</v>
      </c>
      <c r="N286" s="8" t="str">
        <f>IF(
_xlfn.XLOOKUP(
_xlfn.XLOOKUP(B286,'Base stats'!B:B,'Base stats'!E:E),
Groups!A:A,
Groups!L:L
)=1,
MIN(
MROUND(
IF(
_xlfn.XLOOKUP(B286,'Animals CE'!B:B,'Animals CE'!Z:Z)&lt;=1.5,
_xlfn.XLOOKUP(B286,'Animals CE'!B:B,'Animals CE'!Z:Z)/2+0.05,
0.8+
(_xlfn.XLOOKUP(B286,'Animals CE'!B:B,'Animals CE'!Z:Z)-1.5)
*0.02
),
0.05
),
200%
),
"No"
)</f>
        <v>No</v>
      </c>
      <c r="O286" s="8" t="str">
        <f>IF(
_xlfn.XLOOKUP(
_xlfn.XLOOKUP(B286,'Base stats'!B:B,'Base stats'!E:E),
Groups!A:A,
Groups!L:L
)=1,
MIN(
MROUND(
IF(
_xlfn.XLOOKUP(B286,'Animals CE'!B:B,'Animals CE'!AA:AA)&lt;=1.5,
_xlfn.XLOOKUP(B286,'Animals CE'!B:B,'Animals CE'!AA:AA)/2+0.05,
0.8+
(_xlfn.XLOOKUP(B286,'Animals CE'!B:B,'Animals CE'!AA:AA)-1.5)
*0.02
),
0.05
),
200%
),
"No"
)</f>
        <v>No</v>
      </c>
      <c r="P286" s="2" t="str">
        <f>_xlfn.XLOOKUP(B286,'Base stats'!B:B,'Base stats'!R:R)</f>
        <v>Standard</v>
      </c>
      <c r="Q286" s="13">
        <f>MROUND((LOG10(_xlfn.XLOOKUP(B286,'Base stats'!B:B,'Base stats'!AR:AR))*(AO286^0.5)+(_xlfn.XLOOKUP(B286,'Base stats'!B:B,'Base stats'!AR:AR)/1000)^(2/3)+_xlfn.XLOOKUP(B286,'Base stats'!B:B,'Base stats'!BA:BA)/2)+0.5,0.5)</f>
        <v>11.5</v>
      </c>
      <c r="R286" s="7">
        <f>IF(Q286="No","No",MAX(1,MROUND(_xlfn.XLOOKUP(B286,'Base stats'!B:B,'Base stats'!C:C)^0.165,0.05)))</f>
        <v>2.4500000000000002</v>
      </c>
      <c r="S286" s="13" t="str">
        <f>IF(_xlfn.XLOOKUP(_xlfn.XLOOKUP(B286,'Base stats'!B:B,'Base stats'!E:E),Groups!A:A,Groups!P:P)=0,"No",MROUND((LOG10(_xlfn.XLOOKUP(B286,'Base stats'!B:B,'Base stats'!AS:AS))*(AO286^0.5)+(_xlfn.XLOOKUP(B286,'Base stats'!B:B,'Base stats'!AS:AS)/1000)^(2/3)+_xlfn.XLOOKUP(B286,'Base stats'!B:B,'Base stats'!BA:BA))+_xlfn.XLOOKUP(B286,'Base stats'!B:B,'Base stats'!AY:AY)+0.5,0.5))</f>
        <v>No</v>
      </c>
      <c r="T286" s="7" t="str">
        <f>IF(S286="No","No",MAX(_xlfn.XLOOKUP(_xlfn.XLOOKUP(B286,'Base stats'!B:B,'Base stats'!E:E),Groups!A:A,Groups!Q:Q),MROUND(_xlfn.XLOOKUP(_xlfn.XLOOKUP(B286,'Base stats'!B:B,'Base stats'!E:E),Groups!A:A,Groups!Q:Q)*_xlfn.XLOOKUP(B286,'Base stats'!B:B,'Base stats'!C:C)^0.165,0.05)))</f>
        <v>No</v>
      </c>
      <c r="U286" s="7" t="str">
        <f>IF(S286="No","No",_xlfn.XLOOKUP(_xlfn.XLOOKUP(B286,'Base stats'!B:B,'Base stats'!E:E),Groups!A:A,Groups!R:R))</f>
        <v>No</v>
      </c>
      <c r="V286" s="7" t="str">
        <f>IF(S286="No","No",_xlfn.XLOOKUP(_xlfn.XLOOKUP(B286,'Base stats'!B:B,'Base stats'!E:E),Groups!A:A,Groups!S:S))</f>
        <v>No</v>
      </c>
      <c r="W286" s="7" t="str">
        <f>IF(S286="No","No",_xlfn.XLOOKUP(_xlfn.XLOOKUP(B286,'Base stats'!B:B,'Base stats'!E:E),Groups!A:A,Groups!T:T))</f>
        <v>No</v>
      </c>
      <c r="X286" s="13" t="str">
        <f>IF(_xlfn.XLOOKUP(B286,'Base stats'!B:B,'Base stats'!W:W)="No","No",MROUND((LOG10(_xlfn.XLOOKUP(B286,'Base stats'!B:B,'Base stats'!AU:AU))*(AO286^0.5)+(_xlfn.XLOOKUP(B286,'Base stats'!B:B,'Base stats'!AU:AU)/1000)^(2/3)+_xlfn.XLOOKUP(B286,'Base stats'!B:B,'Base stats'!AZ:AZ))+0.5+IF(_xlfn.XLOOKUP(_xlfn.XLOOKUP(B286,'Base stats'!B:B,'Base stats'!E:E),Groups!A:A,Groups!U:U)&lt;&gt;3,_xlfn.XLOOKUP(B286,'Base stats'!B:B,'Base stats'!BA:BA),0),0.5))</f>
        <v>No</v>
      </c>
      <c r="Y286" s="7" t="str">
        <f>IF(X286="No","No",MAX(_xlfn.XLOOKUP(_xlfn.XLOOKUP(B286,'Base stats'!B:B,'Base stats'!E:E),Groups!A:A,Groups!V:V),MROUND(_xlfn.XLOOKUP(_xlfn.XLOOKUP(B286,'Base stats'!B:B,'Base stats'!E:E),Groups!A:A,Groups!V:V)*_xlfn.XLOOKUP(B286,'Base stats'!B:B,'Base stats'!C:C)^0.165,0.05)))</f>
        <v>No</v>
      </c>
      <c r="Z286" s="7" t="str">
        <f>IF(X286="No","No",_xlfn.XLOOKUP(_xlfn.XLOOKUP(B286,'Base stats'!B:B,'Base stats'!E:E),Groups!A:A,Groups!W:W))</f>
        <v>No</v>
      </c>
      <c r="AA286" s="7" t="str">
        <f>IF(X286="No","No",_xlfn.XLOOKUP(_xlfn.XLOOKUP(B286,'Base stats'!B:B,'Base stats'!E:E),Groups!A:A,Groups!X:X))</f>
        <v>No</v>
      </c>
      <c r="AB286" s="7" t="str">
        <f>IF(X286="No","No",_xlfn.XLOOKUP(_xlfn.XLOOKUP(B286,'Base stats'!B:B,'Base stats'!E:E),Groups!A:A,Groups!Y:Y))</f>
        <v>No</v>
      </c>
      <c r="AC286" s="7" t="str">
        <f>_xlfn.XLOOKUP(Animals!B286,'Base stats'!B:B,'Base stats'!X:X)</f>
        <v>False</v>
      </c>
      <c r="AD286" s="13">
        <f>IF(_xlfn.XLOOKUP(B286,'Base stats'!B:B,'Base stats'!AT:AT)="No","No",MROUND((LOG10(_xlfn.XLOOKUP(B286,'Base stats'!B:B,'Base stats'!AT:AT))*(AO286^0.75)+(_xlfn.XLOOKUP(B286,'Base stats'!B:B,'Base stats'!AT:AT)/1000)^(2/3)+_xlfn.XLOOKUP(B286,'Base stats'!B:B,'Base stats'!AX:AX)+_xlfn.XLOOKUP(B286,'Base stats'!B:B,'Base stats'!BA:BA))+0.5,0.5))</f>
        <v>19</v>
      </c>
      <c r="AE286" s="7">
        <f>IF(AD286="No","No",MAX(_xlfn.XLOOKUP(_xlfn.XLOOKUP(B286,'Base stats'!B:B,'Base stats'!E:E),Groups!A:A,Groups!Z:Z),MROUND(_xlfn.XLOOKUP(_xlfn.XLOOKUP(B286,'Base stats'!B:B,'Base stats'!E:E),Groups!A:A,Groups!Z:Z)*_xlfn.XLOOKUP(B286,'Base stats'!B:B,'Base stats'!C:C)^0.165,0.05)))</f>
        <v>2.3000000000000003</v>
      </c>
      <c r="AF286" s="7" t="str">
        <f>IF(AD286="No","No",_xlfn.XLOOKUP(_xlfn.XLOOKUP(B286,'Base stats'!B:B,'Base stats'!E:E),Groups!A:A,Groups!AA:AA))</f>
        <v>Teeth</v>
      </c>
      <c r="AG286" s="7" t="str">
        <f>IF(AD286="No","No",_xlfn.XLOOKUP(_xlfn.XLOOKUP(B286,'Base stats'!B:B,'Base stats'!E:E),Groups!A:A,Groups!AB:AB))</f>
        <v>Incisors</v>
      </c>
      <c r="AH286" s="7" t="str">
        <f>IF(AD286="No","No",_xlfn.XLOOKUP(_xlfn.XLOOKUP(B286,'Base stats'!B:B,'Base stats'!E:E),Groups!A:A,Groups!AC:AC))</f>
        <v>Bite</v>
      </c>
      <c r="AI286" s="13" t="str">
        <f>IF(_xlfn.XLOOKUP(_xlfn.XLOOKUP(B286,'Base stats'!B:B,'Base stats'!E:E),Groups!A:A,Groups!AD:AD)=0,"No",MROUND((LOG10(_xlfn.XLOOKUP(B286,'Base stats'!B:B,'Base stats'!AS:AS))*(AO286^0.75)+(_xlfn.XLOOKUP(B286,'Base stats'!B:B,'Base stats'!AS:AS)/1000)^(2/3)+_xlfn.XLOOKUP(B286,'Base stats'!B:B,'Base stats'!AY:AY)+_xlfn.XLOOKUP(B286,'Base stats'!B:B,'Base stats'!BA:BA))+0.5,0.5))</f>
        <v>No</v>
      </c>
      <c r="AJ286" s="7" t="str">
        <f>IF(AI286="No","No",MAX(_xlfn.XLOOKUP(_xlfn.XLOOKUP(B286,'Base stats'!B:B,'Base stats'!E:E),Groups!A:A,Groups!AE:AE),MROUND(_xlfn.XLOOKUP(_xlfn.XLOOKUP(B286,'Base stats'!B:B,'Base stats'!E:E),Groups!A:A,Groups!AE:AE)*IF(_xlfn.XLOOKUP(_xlfn.XLOOKUP(B286,'Base stats'!B:B,'Base stats'!E:E),Groups!A:A,Groups!AJ:AJ)="Photonozoa",0.6,1)*_xlfn.XLOOKUP(B286,'Base stats'!B:B,'Base stats'!C:C)^0.165,0.05)))</f>
        <v>No</v>
      </c>
      <c r="AK286" s="7" t="str">
        <f>IF(AI286="No","No",_xlfn.XLOOKUP(_xlfn.XLOOKUP(B286,'Base stats'!B:B,'Base stats'!E:E),Groups!A:A,Groups!AF:AF))</f>
        <v>No</v>
      </c>
      <c r="AL286" s="7" t="str">
        <f>IF(AI286="No","No",_xlfn.XLOOKUP(_xlfn.XLOOKUP(B286,'Base stats'!B:B,'Base stats'!E:E),Groups!A:A,Groups!AG:AG))</f>
        <v>No</v>
      </c>
      <c r="AM286" s="7" t="str">
        <f>IF(AI286="No","No",_xlfn.XLOOKUP(_xlfn.XLOOKUP(B286,'Base stats'!B:B,'Base stats'!E:E),Groups!A:A,Groups!AH:AH))</f>
        <v>No</v>
      </c>
      <c r="AN286" s="2" t="str">
        <f t="shared" si="28"/>
        <v>No</v>
      </c>
      <c r="AO286" s="2">
        <f>MROUND(IF(AND(_xlfn.XLOOKUP(B286,'Base stats'!B:B,'Base stats'!C:C)&gt;=0.5,_xlfn.XLOOKUP(B286,'Base stats'!B:B,'Base stats'!C:C)&lt;=0.8),
IF(_xlfn.XLOOKUP(B286,'Base stats'!B:B,'Base stats'!C:C)&lt;0.1,0.05,IF(_xlfn.XLOOKUP(B286,'Base stats'!B:B,'Base stats'!C:C)&lt;=70,(_xlfn.XLOOKUP(B286,'Base stats'!B:B,'Base stats'!C:C)/70)^0.426489913056526,IF(_xlfn.XLOOKUP(B286,'Base stats'!B:B,'Base stats'!C:C)&lt;=400,(_xlfn.XLOOKUP(B286,'Base stats'!B:B,'Base stats'!C:C)/70)^0.572811455315093,IF(_xlfn.XLOOKUP(B286,'Base stats'!B:B,'Base stats'!C:C)&lt;=2000,2.71391647193063*(_xlfn.XLOOKUP(B286,'Base stats'!B:B,'Base stats'!C:C)/400)^0.252459582904293,3.74314280240376*(_xlfn.XLOOKUP(B286,'Base stats'!B:B,'Base stats'!C:C)/2000)^0.357012633876913)))),
IF(_xlfn.XLOOKUP(B286,'Base stats'!B:B,'Base stats'!C:C)&lt;0.1,0.05,IF(_xlfn.XLOOKUP(B286,'Base stats'!B:B,'Base stats'!C:C)&lt;0.4,0.1,IF(_xlfn.XLOOKUP(B286,'Base stats'!B:B,'Base stats'!C:C)&lt;=70,(_xlfn.XLOOKUP(B286,'Base stats'!B:B,'Base stats'!C:C)/70)^0.445823913056526,IF(_xlfn.XLOOKUP(B286,'Base stats'!B:B,'Base stats'!C:C)&lt;=400,(_xlfn.XLOOKUP(B286,'Base stats'!B:B,'Base stats'!C:C)/70)^0.572811455315093,IF(_xlfn.XLOOKUP(B286,'Base stats'!B:B,'Base stats'!C:C)&lt;=2000,2.71391647193063*(_xlfn.XLOOKUP(B286,'Base stats'!B:B,'Base stats'!C:C)/400)^0.252459582904293,3.74314280240376*(_xlfn.XLOOKUP(B286,'Base stats'!B:B,'Base stats'!C:C)/2000)^0.357012633876913)))))),
IF(_xlfn.XLOOKUP(B286,'Base stats'!B:B,'Base stats'!C:C)&lt;0.1,0.05,IF(_xlfn.XLOOKUP(B286,'Base stats'!B:B,'Base stats'!C:C)&lt;=100,0.05,IF(_xlfn.XLOOKUP(B286,'Base stats'!B:B,'Base stats'!C:C)&lt;=250,0.1,IF(_xlfn.XLOOKUP(B286,'Base stats'!B:B,'Base stats'!C:C)&lt;=4000,0.25,0.5)))))</f>
        <v>2</v>
      </c>
      <c r="AP286" s="8">
        <f>MROUND(AO286*_xlfn.XLOOKUP(_xlfn.XLOOKUP(B286,'Base stats'!B:B,'Base stats'!E:E),Groups!A:A,Groups!AI:AI)*_xlfn.XLOOKUP(B286,'Base stats'!B:B,'Base stats'!Z:Z),0.05)</f>
        <v>2</v>
      </c>
      <c r="AQ286" s="8">
        <f>MAX(0.01,MROUND(IF(CC286="True",0.196*(AO286*100*1000)^0.889,IF(_xlfn.XLOOKUP(_xlfn.XLOOKUP(B286,'Base stats'!B:B,'Base stats'!E:E),Groups!A:A,Groups!AJ:AJ)="Bird",10.5*(AO286*100*1000)^0.681,4.82*(AO286*100*1000)^0.734))/(4.82*(1*100*1000)^0.734)/IF(AO286&lt;3.5,2,IF(AO286=3.5,1.5,1.25))*(1+0.132282374779864/(AO286^0.994035016789033+0.00905238001496948)),0.05))</f>
        <v>0.9</v>
      </c>
      <c r="AR286" s="9">
        <f>IFERROR(MROUND(_xlfn.XLOOKUP(B286,'Base stats'!B:B,'Base stats'!H:H)/IF(_xlfn.XLOOKUP(B286,'Base stats'!B:B,'Base stats'!I:I)&lt;&gt;1,(122.5/70),1.2),IF(_xlfn.XLOOKUP(B286,'Base stats'!B:B,'Base stats'!H:H)&gt;=30,5,IF(_xlfn.XLOOKUP(B286,'Base stats'!B:B,'Base stats'!H:H)&gt;=15,3,IF(_xlfn.XLOOKUP(B286,'Base stats'!B:B,'Base stats'!H:H)&gt;=10,2,1)))),"Immortal")</f>
        <v>25</v>
      </c>
      <c r="AS286" s="35">
        <f>IFERROR(IF(OR(_xlfn.XLOOKUP(B286,'Base stats'!B:B,'Base stats'!F:F)="Atypical reproduction",_xlfn.XLOOKUP(B286,'Base stats'!B:B,'Base stats'!F:F)="Lay eggs"),"Lay eggs",MIN(20,MAX(5.5,ROUND(((_xlfn.XLOOKUP(B286,'Base stats'!B:B,'Base stats'!F:F)-25)*(14.5/615) + 5.5)*2,0)/2))),"Unknown")</f>
        <v>10</v>
      </c>
      <c r="AT286" s="8">
        <f>IF(_xlfn.XLOOKUP(B286,'Base stats'!B:B,'Base stats'!G:G)="Atypical reproduction","No",IFERROR(MAX(IF(_xlfn.XLOOKUP(B286,'Base stats'!B:B,'Base stats'!G:G)&lt;0.5,0.2,0.3),MROUND(_xlfn.XLOOKUP(B286,'Base stats'!B:B,'Base stats'!G:G)/(365/60),0.2)),"Unknown"))</f>
        <v>0.8</v>
      </c>
      <c r="AU286" s="8">
        <f t="shared" si="29"/>
        <v>0.4</v>
      </c>
      <c r="AV286" s="8">
        <f>IFERROR(IFERROR(MROUND(_xlfn.XLOOKUP(B286,'Base stats'!B:B,'Base stats'!J:J),0.1),"Lay eggs"),"Cannot breed")</f>
        <v>1</v>
      </c>
      <c r="AW286" s="2" t="str">
        <f t="shared" si="30"/>
        <v>true</v>
      </c>
      <c r="AX286" s="2" t="str">
        <f>IF(_xlfn.XLOOKUP(_xlfn.XLOOKUP(Animals!B286,'Base stats'!B:B,'Base stats'!E:E),Groups!A:A,Groups!AK:AK)=1,"true","false")</f>
        <v>false</v>
      </c>
      <c r="AY286" s="25" t="str">
        <f>IF(_xlfn.XLOOKUP(B286,'Base stats'!B:B,'Base stats'!Y:Y)="Liquor","Liquor, CarnivoreAnimalStrict",IF(AND(_xlfn.XLOOKUP(B286,'Base stats'!B:B,'Base stats'!Y:Y)="Carnivore",_xlfn.XLOOKUP(_xlfn.XLOOKUP(B286,'Base stats'!B:B,'Base stats'!E:E),Groups!A:A,Groups!AJ:AJ)="Photonozoa"),"CarnivoreAnimalStrict, OvivoreAnimal",IF(_xlfn.XLOOKUP(B286,'Base stats'!B:B,'Base stats'!Y:Y)="Carnivore","CarnivoreAnimal, OvivoreAnimal",IF(_xlfn.XLOOKUP(B286,'Base stats'!B:B,'Base stats'!Y:Y)="Dendrovore","VegetarianRoughAnimal, DendrovoreAnimal",IF(_xlfn.XLOOKUP(B286,'Base stats'!B:B,'Base stats'!Y:Y)="Herbivore","VegetarianRoughAnimal",IF(_xlfn.XLOOKUP(B286,'Base stats'!B:B,'Base stats'!Y:Y)="OmnivoreRough","OmnivoreRoughAnimal, OvivoreAnimal","OmnivoreAnimal, OvivoreAnimal"))))))</f>
        <v>VegetarianRoughAnimal</v>
      </c>
      <c r="AZ286" s="2" t="str">
        <f>IF(_xlfn.XLOOKUP(_xlfn.XLOOKUP(B286,'Base stats'!B:B,'Base stats'!E:E),Groups!A:A,Groups!D:D)=1,MROUND((1-J286)*5+1,2)*IF(J286&lt;=0.4,2,1),"No")</f>
        <v>No</v>
      </c>
      <c r="BA286" s="2" t="str">
        <f>IF(AND(_xlfn.XLOOKUP(B286,'Base stats'!B:B,'Base stats'!AH:AH)="&lt;li&gt;Seal&lt;/li&gt;",G286="Odyssey"),"&lt;li&gt;AEXP_Seal&lt;/li&gt;",_xlfn.XLOOKUP(B286,'Base stats'!B:B,'Base stats'!AH:AH))</f>
        <v>No</v>
      </c>
      <c r="BB286" s="2" t="str">
        <f>_xlfn.XLOOKUP(B286,'Base stats'!B:B,'Base stats'!AG:AG)</f>
        <v>Leather_Plain</v>
      </c>
      <c r="BC286" s="23" t="str">
        <f>_xlfn.XLOOKUP(_xlfn.XLOOKUP(B286,'Base stats'!B:B,'Base stats'!E:E),Groups!A:A,Groups!AL:AL)</f>
        <v>QuadrupedAnimalWithPawsAndTail</v>
      </c>
      <c r="BD286" s="23">
        <f>MIN(1,MROUND(IF(AND(AO286&lt;0.5,_xlfn.XLOOKUP(B286,'Base stats'!B:B,'Base stats'!AA:AA)=0),0,IF(OR(_xlfn.XLOOKUP(Animals!B286,'Base stats'!B:B,'Base stats'!O:O)=2,_xlfn.XLOOKUP(_xlfn.XLOOKUP(B286,'Base stats'!B:B,'Base stats'!E:E),Groups!A:A,Groups!AN:AN)=0),0,_xlfn.XLOOKUP(_xlfn.XLOOKUP(B286,'Base stats'!B:B,'Base stats'!E:E),Groups!A:A,Groups!AN:AN)/IF(_xlfn.XLOOKUP(Animals!B286,'Base stats'!B:B,'Base stats'!O:O)=1,2,1)))+_xlfn.XLOOKUP(B286,'Base stats'!B:B,'Base stats'!AC:AC),0.005))</f>
        <v>0</v>
      </c>
      <c r="BE286" s="23">
        <f>MIN(1,MROUND(IF(AND(AO286&lt;0.5,_xlfn.XLOOKUP(B286,'Base stats'!B:B,'Base stats'!AA:AA)=0),0,IF(_xlfn.XLOOKUP(_xlfn.XLOOKUP(B286,'Base stats'!B:B,'Base stats'!E:E),Groups!A:A,Groups!AO:AO)=0,0,_xlfn.XLOOKUP(_xlfn.XLOOKUP(B286,'Base stats'!B:B,'Base stats'!E:E),Groups!A:A,Groups!AO:AO)/IF(_xlfn.XLOOKUP(Animals!B286,'Base stats'!B:B,'Base stats'!O:O)=2,3,1)))+_xlfn.XLOOKUP(B286,'Base stats'!B:B,'Base stats'!AD:AD),0.005))</f>
        <v>0</v>
      </c>
      <c r="BF286" s="2" t="str">
        <f>IF(J286&gt;0.3,"No",_xlfn.XLOOKUP(_xlfn.XLOOKUP(Animals!B286,'Base stats'!B:B,'Base stats'!E:E),Groups!A:A,Groups!AP:AP))</f>
        <v>No</v>
      </c>
      <c r="BG286" s="2">
        <f>IF(AND(J286&lt;=0.65,_xlfn.XLOOKUP(_xlfn.XLOOKUP(Animals!B286,'Base stats'!B:B,'Base stats'!E:E),Groups!A:A,Groups!AP:AP)&lt;&gt;"No",_xlfn.XLOOKUP(_xlfn.XLOOKUP(B286,'Base stats'!B:B,'Base stats'!E:E),Groups!A:A,Groups!D:D)=0),MROUND((80/3)*IF(_xlfn.XLOOKUP(B286,'Base stats'!B:B,'Base stats'!O:O)=2,0.2,AO286) + 24*(1-IF(BF286="No",0,BF286)) + 16/3, 12),"No")</f>
        <v>84</v>
      </c>
      <c r="BH286" s="2">
        <f>IF(AND(_xlfn.XLOOKUP(_xlfn.XLOOKUP(B286,'Base stats'!B:B,'Base stats'!E:E),Groups!A:A,Groups!AQ:AQ)=1,AO286&lt;=0.35),8,12)</f>
        <v>12</v>
      </c>
      <c r="BI286" s="2" t="str">
        <f>IF(_xlfn.XLOOKUP(_xlfn.XLOOKUP(B286,'Base stats'!B:B,'Base stats'!E:E),Groups!A:A,Groups!D:D)=0,_xlfn.XLOOKUP(_xlfn.XLOOKUP(B286,'Base stats'!B:B,'Base stats'!E:E),Groups!A:A,Groups!AR:AR),"None")</f>
        <v>None</v>
      </c>
      <c r="BJ286" s="2" t="str">
        <f>IF(AND(_xlfn.XLOOKUP(_xlfn.XLOOKUP(B286,'Base stats'!B:B,'Base stats'!E:E),Groups!A:A,Groups!AS:AS)=1,OR(_xlfn.XLOOKUP(B286,'Base stats'!B:B,'Base stats'!Y:Y)="Carnivore",_xlfn.XLOOKUP(B286,'Base stats'!B:B,'Base stats'!Y:Y)="Omnivore")),"true","false")</f>
        <v>false</v>
      </c>
      <c r="BK286" s="2" t="str">
        <f>IF(BJ286="true",MROUND(IF(AND(AO286&gt;0.5,OR(_xlfn.XLOOKUP(_xlfn.XLOOKUP(B286,'Base stats'!B:B,'Base stats'!E:E),Groups!A:A,Groups!AJ:AJ)="Photonozoa",_xlfn.XLOOKUP(_xlfn.XLOOKUP(B286,'Base stats'!B:B,'Base stats'!E:E),Groups!A:A,Groups!AJ:AJ)="Mammal")),Animals!AO286*1.75*IF(AW286="true",1.5,1),IF(AO286&lt;0.5,Animals!AO286*0.5,Animals!AO286)),IF(AO286&gt;2,0.5,IF(AO286&gt;0.5,0.25,0.1))),"No")</f>
        <v>No</v>
      </c>
      <c r="BL286" s="2">
        <f t="shared" si="31"/>
        <v>0</v>
      </c>
      <c r="BM286" s="25" t="str">
        <f>IF(_xlfn.XLOOKUP(B286,'Base stats'!B:B,'Base stats'!AN:AN)="Standard","No",MROUND((_xlfn.XLOOKUP(B286,'Base stats'!B:B,'Base stats'!AN:AN)/3.6)/I286,0.1))</f>
        <v>No</v>
      </c>
      <c r="BN286" s="25" t="str">
        <f t="shared" si="32"/>
        <v>false</v>
      </c>
      <c r="BO286" s="25" t="str">
        <f>IF(AND(OR(_xlfn.XLOOKUP(B286,'Base stats'!B:B,'Base stats'!Y:Y)="Carnivore",_xlfn.XLOOKUP(B286,'Base stats'!B:B,'Base stats'!Y:Y)="Omnivore",_xlfn.XLOOKUP(B286,'Base stats'!B:B,'Base stats'!Y:Y)="OmnivoreRough"),_xlfn.XLOOKUP(_xlfn.XLOOKUP(B286,'Base stats'!B:B,'Base stats'!E:E),Groups!A:A,Groups!AT:AT)=1),"true","false")</f>
        <v>false</v>
      </c>
      <c r="BP286" s="25" t="str" cm="1">
        <f t="array" ref="BP286">IF(
  _xlfn.TEXTJOIN(", ",TRUE,
    IF(AND(BJ286="true",AO286&gt;0.5,BI286&lt;&gt;"None"),"AttackTarget",""),
    IF(AND(_xlfn.XLOOKUP(_xlfn.XLOOKUP(B286,'Base stats'!B:B,'Base stats'!E:E),Groups!A:A,Groups!AJ:AJ="Mammal"),OR(_xlfn.XLOOKUP(B286,'Base stats'!B:B,'Base stats'!Y:Y)="Omnivore",_xlfn.XLOOKUP(B286,'Base stats'!B:B,'Base stats'!Y:Y)="OmnivoreRough")),"Forage",""),
    IF(BG286&lt;=36,"Comfort",""),
    IF(_xlfn.XLOOKUP(B286,'Base stats'!B:B,'Base stats'!AE:AE)&lt;&gt;"No",_xlfn.XLOOKUP(B286,'Base stats'!B:B,'Base stats'!AE:AE),"")
  ) = "",
  "No",
  _xlfn.TEXTJOIN(", ",TRUE,
    IF(AND(BJ286="true",AO286&gt;0.5,BI286&lt;&gt;"None"),"AttackTarget",""),
    IF(AND(_xlfn.XLOOKUP(_xlfn.XLOOKUP(B286,'Base stats'!B:B,'Base stats'!E:E),Groups!A:A,Groups!AJ:AJ="Mammal"),OR(_xlfn.XLOOKUP(B286,'Base stats'!B:B,'Base stats'!Y:Y)="Omnivore",_xlfn.XLOOKUP(B286,'Base stats'!B:B,'Base stats'!Y:Y)="OmnivoreRough")),"Forage",""),
    IF(BG286&lt;=36,"Comfort",""),
    IF(_xlfn.XLOOKUP(B286,'Base stats'!B:B,'Base stats'!AE:AE)&lt;&gt;"No",_xlfn.XLOOKUP(B286,'Base stats'!B:B,'Base stats'!AE:AE),"")
  )
)</f>
        <v>Dig</v>
      </c>
      <c r="BQ286" s="25" t="str">
        <f>IF(
   AND(
      'Base stats'!AN286="Standard",_xlfn.XLOOKUP(_xlfn.XLOOKUP(B286,'Base stats'!B:B,'Base stats'!E:E),Groups!A:A,Groups!AU:AU)=0,
      OR(
      BO286="True"
      )
   ),
   10,
   IF(
       OR(BM286&lt;&gt;"No",_xlfn.XLOOKUP(_xlfn.XLOOKUP(B286,'Base stats'!B:B,'Base stats'!E:E),Groups!A:A,Groups!AU:AU)=1),
      1,
      "No"
   )
)</f>
        <v>No</v>
      </c>
      <c r="BR286" s="9">
        <f>MROUND((1 + ((0.2*IF(OR(Q286="No",R286="No",R286=0),0,Q286/R286)
+IF(OR(V286="No",S286="No",T286="No"),0,S286/T286*(LEN(V286)-LEN(SUBSTITUTE(V286,",",""))+1))
+IF(OR(X286="No",Y286="No"),0,X286/Y286)
+IF(OR(AD286="No",AE286="No"),0,AD286/AE286)
+IF(OR(AL286="No",AI286="No",AJ286="No"),0,AI286/AJ286*(LEN(AL286)-LEN(SUBSTITUTE(AL286,",",""))+1))
)/(0.2*IF(OR(Q286="No",R286="No",R286=0),0,1)
+IF(OR(V286="No",S286="No",T286="No"),0,LEN(V286)-LEN(SUBSTITUTE(V286,",",""))+1)
+IF(OR(X286="No",Y286="No"),0,1)
+IF(OR(AD286="No",AE286="No"),0,1)
+IF(OR(AL286="No",AI286="No",AJ286="No"),0,LEN(AL286)-LEN(SUBSTITUTE(AL286,",",""))+1))*62%)* 2)*(1 + (AP286 / (IF(_xlfn.XLOOKUP(_xlfn.XLOOKUP(B286,'Base stats'!B:B,'Base stats'!E:E),Groups!A:A,Groups!AJ:AJ)="Photonozoa",0.3,1)) + _xlfn.XLOOKUP(B286,'Base stats'!B:B,'Base stats'!AV:AV) * 1.8) * 2) * 2.5 + 10 + I286 * 2,5)+IF(_xlfn.XLOOKUP(B286,'Base stats'!B:B,'Base stats'!AK:AK)=1,50,0)</f>
        <v>145</v>
      </c>
      <c r="BS286" s="8">
        <f t="shared" si="33"/>
        <v>1.1000000000000001</v>
      </c>
      <c r="BT286" s="8" t="str">
        <f>_xlfn.XLOOKUP(B286,'Base stats'!B:B,'Base stats'!AF:AF)</f>
        <v>2~3</v>
      </c>
      <c r="BU286" s="2" t="str">
        <f>IF(AND(J286&lt;=0.95,OR(_xlfn.XLOOKUP(B286,'Base stats'!B:B,'Base stats'!AK:AK)=1,_xlfn.XLOOKUP(B286,'Base stats'!B:B,'Base stats'!Y:Y)="Carnivore",_xlfn.XLOOKUP(B286,'Base stats'!B:B,'Base stats'!Y:Y)="Omnivore",BE286&gt;0.1)),"true","false")</f>
        <v>false</v>
      </c>
      <c r="BV286" s="2" t="str">
        <f>IF(_xlfn.XLOOKUP(B286,'Base stats'!B:B,'Base stats'!AI:AI)=1,"true","false")</f>
        <v>false</v>
      </c>
      <c r="BW286" s="25" t="str">
        <f>IF(E286="BaseInsect","AnimalInsect",
IF(J286&gt;0.95,"AnimalExotic",
_xlfn.TEXTJOIN(", ",TRUE,
IF(OR(_xlfn.XLOOKUP(B286,'Base stats'!B:B,'Base stats'!AM:AM)=1,AND(_xlfn.XLOOKUP(B286,'Base stats'!B:B,'Base stats'!O:O)=0,_xlfn.XLOOKUP(_xlfn.XLOOKUP(B286,'Base stats'!B:B,'Base stats'!E:E),Groups!A:A,Groups!B:B)&gt;0)),"AnimalUncommon","AnimalCommon"),
IF(AND(_xlfn.XLOOKUP(B286,'Base stats'!B:B,'Base stats'!O:O)=2,_xlfn.XLOOKUP(_xlfn.XLOOKUP(B286,'Base stats'!B:B,'Base stats'!E:E),Groups!A:A,Groups!D:D)=0),"AnimalPet",IF(AND(_xlfn.XLOOKUP(B286,'Base stats'!B:B,'Base stats'!O:O)&lt;&gt;0,_xlfn.XLOOKUP(_xlfn.XLOOKUP(B286,'Base stats'!B:B,'Base stats'!E:E),Groups!A:A,Groups!D:D)&lt;&gt;0),"AnimalFarm","")),
IF(OR(_xlfn.XLOOKUP(B286,'Base stats'!B:B,'Base stats'!AK:AK)=1,AND(BI286&lt;&gt;"None",BR286&gt;=60),ISNUMBER(SEARCH("Attack target",BP286))),"AnimalFighter","")
)))</f>
        <v>AnimalUncommon</v>
      </c>
      <c r="BX286" s="25" t="str">
        <f>IF(G286="None",TRIM(
SUBSTITUTE(
IF(COUNTIF(Biomes!B$2:B$259,"="&amp;$C286)&gt;0,Biomes!B$1&amp;", ","")&amp;
IF(COUNTIF(Biomes!C$2:C$259,"="&amp;$C286)&gt;0,Biomes!C$1&amp;", ","")&amp;
IF(COUNTIF(Biomes!D$2:D$259,"="&amp;$C286)&gt;0,Biomes!D$1&amp;", ","")&amp;
IF(COUNTIF(Biomes!F$2:F$259,"="&amp;$C286)&gt;0,Biomes!F$1&amp;", ","")&amp;
IF(COUNTIF(Biomes!G$2:G$259,"="&amp;$C286)&gt;0,Biomes!G$1&amp;", ","")&amp;
IF(COUNTIF(Biomes!H$2:H$259,"="&amp;$C286)&gt;0,Biomes!H$1&amp;", ","")&amp;
IF(COUNTIF(Biomes!I$2:I$259,"="&amp;$C286)&gt;0,Biomes!I$1&amp;", ","")&amp;
IF(COUNTIF(Biomes!J$2:J$259,"="&amp;$C286)&gt;0,Biomes!J$1&amp;", ","")&amp;
IF(COUNTIF(Biomes!M$2:M$259,"="&amp;$C286)&gt;0,Biomes!M$1&amp;", ","")&amp;
IF(COUNTIF(Biomes!N$2:N$259,"="&amp;$C286)&gt;0,Biomes!N$1&amp;", ","")&amp;
IF(COUNTIF(Biomes!O$2:O$259,"="&amp;$C286)&gt;0,Biomes!O$1&amp;", ","")&amp;
IF(COUNTIF(Biomes!P$2:P$259,"="&amp;$C286)&gt;0,Biomes!P$1&amp;", ","")&amp;
IF(COUNTIF(Biomes!K$2:K$259,"="&amp;$C286)&gt;0,Biomes!K$1&amp;", ","")&amp;
IF(COUNTIF(Biomes!Q$3:Q$259,"="&amp;$C286)&gt;0,Biomes!Q$1&amp;", ","")&amp;
IF(COUNTIF(Biomes!L$2:L$259,"="&amp;$C286)&gt;0,Biomes!L$1&amp;", ","")&amp;
IF(COUNTIF(Biomes!E$2:E$259,"="&amp;$C286)&gt;0,Biomes!E$1&amp;", ","")&amp;IF(COUNTIF(Biomes!S$2:S$259,"="&amp;$C286)&gt;0,Biomes!S$1&amp;", ","")&amp;
IF(COUNTIF(Biomes!R$2:R$259,"="&amp;$C286)&gt;0,Biomes!R$1&amp;", ",""),", ","")
),_xlfn.XLOOKUP(B286,B:B,BX:BX))</f>
        <v>Glowforest</v>
      </c>
      <c r="BY286" s="25" t="str">
        <f>IF(_xlfn.XLOOKUP(B286,'Base stats'!B:B,'Base stats'!AJ:AJ)=1,"true","false")</f>
        <v>false</v>
      </c>
      <c r="BZ286" s="25">
        <f>IF(_xlfn.XLOOKUP(B286,'Base stats'!B:B,'Base stats'!N:N)=1,"No",MAX(0.001,MIN(MROUND(IF(AND(BJ286="True",CC286="False"),POWER(10,3.47*LOG10(_xlfn.XLOOKUP(B286,'Base stats'!B:B,'Base stats'!C:C)*1000)^-0.96),POWER(10,4.15*LOG10(_xlfn.XLOOKUP(B286,'Base stats'!B:B,'Base stats'!C:C)*1000)^-0.73))*IF(_xlfn.XLOOKUP(B286,'Base stats'!B:B,'Base stats'!AK:AK)=1,0.5,1)*IF(_xlfn.XLOOKUP(B286,'Base stats'!B:B,'Base stats'!AM:AM)=1,0.1,1)/100,IF(_xlfn.XLOOKUP(B286,'Base stats'!B:B,'Base stats'!AM:AM)=1,0.001,0.025)),0.5)))</f>
        <v>1.7000000000000001E-2</v>
      </c>
      <c r="CA286" s="25" t="str">
        <f>IF(P286="Standard","No",MAX(0.001,MIN(MROUND(IF(AND(BJ286="True",CC286="False"),POWER(10,3.47*LOG10(_xlfn.XLOOKUP(B286,'Base stats'!B:B,'Base stats'!C:C)*1000)^-0.96),POWER(10,4.15*LOG10(_xlfn.XLOOKUP(B286,'Base stats'!B:B,'Base stats'!C:C)*1000)^-0.73))*IF(_xlfn.XLOOKUP(B286,'Base stats'!B:B,'Base stats'!AM:AM)=1,0.1,1)*_xlfn.XLOOKUP(B286,'Base stats'!B:B,'Base stats'!R:R)/100,IF(_xlfn.XLOOKUP(B286,'Base stats'!B:B,'Base stats'!AM:AM)=1,0.001,0.025)),0.5)))</f>
        <v>No</v>
      </c>
      <c r="CB286" s="25" t="str">
        <f>IF(_xlfn.XLOOKUP(_xlfn.XLOOKUP(B286,'Base stats'!B:B,'Base stats'!E:E),Groups!A:A,Groups!AJ:AJ)="Mammal","True","False")</f>
        <v>True</v>
      </c>
      <c r="CC286" s="25" t="str">
        <f>IF(OR(_xlfn.XLOOKUP(_xlfn.XLOOKUP(B286,'Base stats'!B:B,'Base stats'!E:E),Groups!A:A,Groups!AJ:AJ)="Reptile",_xlfn.XLOOKUP(_xlfn.XLOOKUP(B286,'Base stats'!B:B,'Base stats'!E:E),Groups!A:A,Groups!AJ:AJ)="Amphibian",_xlfn.XLOOKUP(_xlfn.XLOOKUP(B286,'Base stats'!B:B,'Base stats'!E:E),Groups!A:A,Groups!AJ:AJ)="Invertebrate"),"True","False")</f>
        <v>False</v>
      </c>
      <c r="CD286" s="25" t="str">
        <f t="shared" si="34"/>
        <v>False</v>
      </c>
      <c r="CE286" s="25" t="str">
        <f>IF(_xlfn.XLOOKUP(_xlfn.XLOOKUP(B286,'Base stats'!B:B,'Base stats'!E:E),Groups!A:A,Groups!AX:AX),"True","False")</f>
        <v>False</v>
      </c>
      <c r="CF286" s="25" t="str">
        <f>IF(_xlfn.XLOOKUP(_xlfn.XLOOKUP(B286,'Base stats'!B:B,'Base stats'!E:E),Groups!A:A,Groups!AY:AY),"True","False")</f>
        <v>False</v>
      </c>
      <c r="CG286" s="25" t="str">
        <f>IF(_xlfn.XLOOKUP(_xlfn.XLOOKUP(B286,'Base stats'!B:B,'Base stats'!E:E),Groups!A:A,Groups!AW:AW),"True","False")</f>
        <v>False</v>
      </c>
      <c r="CH286" s="25" t="str">
        <f>IF(
OR(
_xlfn.XLOOKUP(_xlfn.XLOOKUP(B286,'Base stats'!B:B,'Base stats'!E:E),Groups!A:A,Groups!AZ:AZ)=0,
AND(
_xlfn.XLOOKUP(B286,'Base stats'!B:B,'Base stats'!Y:Y)&lt;&gt;"Carnivore",
_xlfn.XLOOKUP(B286,'Base stats'!B:B,'Base stats'!Y:Y)&lt;&gt;"Omnivore",
_xlfn.XLOOKUP(B286,'Base stats'!B:B,'Base stats'!Y:Y)&lt;&gt;"OmnivoreRough"
)
),
"No",
IF(
_xlfn.XLOOKUP(_xlfn.XLOOKUP(B286,'Base stats'!B:B,'Base stats'!E:E),Groups!A:A,Groups!AZ:AZ)=1,
"Flesh",
IF(
_xlfn.XLOOKUP(_xlfn.XLOOKUP(B286,'Base stats'!B:B,'Base stats'!E:E),Groups!A:A,Groups!AZ:AZ)=2,
"Bone",
""
)
)
)</f>
        <v>No</v>
      </c>
      <c r="CI286" s="25" t="str">
        <f>IF(_xlfn.XLOOKUP(_xlfn.XLOOKUP(B286,'Base stats'!B:B,'Base stats'!E:E),Groups!A:A,Groups!BB:BB),"True","False")</f>
        <v>True</v>
      </c>
      <c r="CJ286" s="25" t="str">
        <f>IF(_xlfn.XLOOKUP(_xlfn.XLOOKUP(B286,'Base stats'!B:B,'Base stats'!E:E),Groups!A:A,Groups!BA:BA),"True","False")</f>
        <v>False</v>
      </c>
    </row>
    <row r="287" spans="1:88" ht="16.5" thickTop="1" thickBot="1" x14ac:dyDescent="0.3">
      <c r="A287" s="26" t="s">
        <v>1482</v>
      </c>
      <c r="B287" s="6" t="str">
        <f>_xlfn.XLOOKUP(A287,'Base stats'!A:A,'Base stats'!B:B)</f>
        <v>Helix giganteus</v>
      </c>
      <c r="C287" s="28" t="s">
        <v>1483</v>
      </c>
      <c r="D287" s="28" t="s">
        <v>1341</v>
      </c>
      <c r="E287" s="28" t="s">
        <v>673</v>
      </c>
      <c r="F287" s="28" t="s">
        <v>673</v>
      </c>
      <c r="G287" s="28" t="s">
        <v>673</v>
      </c>
      <c r="H287" s="2">
        <f>MROUND((
  (IF(AND(_xlfn.XLOOKUP(B287,'Base stats'!B:B,'Base stats'!AL:AL)=0,BI287="None",_xlfn.XLOOKUP(_xlfn.XLOOKUP(B287,'Base stats'!B:B,'Base stats'!E:E),Groups!A:A,Groups!B:B)=0), (18 + BR287 * 2.7) * 0.5,
    IF(AND(_xlfn.XLOOKUP(B287,'Base stats'!B:B,'Base stats'!AL:AL)=0,OR(AO287&lt;0.55,AND(BI287="Intermediate",_xlfn.XLOOKUP(_xlfn.XLOOKUP(B287,'Base stats'!B:B,'Base stats'!E:E),Groups!A:A,Groups!B:B)&lt;2))), (18 + BR287 * 2.7),
      IF(OR(BI287="Advanced",_xlfn.XLOOKUP(B287,'Base stats'!B:B,'Base stats'!AL:AL)=1,_xlfn.XLOOKUP(_xlfn.XLOOKUP(B287,'Base stats'!B:B,'Base stats'!E:E),Groups!A:A,Groups!B:B)=2), (18 + BR287 * 2.7) + 250, (18 + BR287 * 2.7))
    )
  ))
  + AO287 * 80
  + IF(COUNTIF(EggMilk!K$2:K$998, A287) &gt; 0, 125, 0)
  + IF(COUNTIF(EggMilk!P$2:P$998, A287) &gt; 0, 90, 0)
  + IF(COUNTIF(EggMilk!A$2:A$998, A287) &gt; 0, 90, 0)
)
* (0.8 + 0.4 * J287)
* 0.75,25)</f>
        <v>650</v>
      </c>
      <c r="I287" s="2">
        <f>MROUND(ROUNDDOWN(_xlfn.XLOOKUP(B287,'Base stats'!B:B,'Base stats'!L:L)/3.6/(23.3/11),1),0.5)</f>
        <v>0.5</v>
      </c>
      <c r="J287" s="2">
        <f>IF(OR(_xlfn.XLOOKUP(B287,'Base stats'!B:B,'Base stats'!AB:AB)=1,_xlfn.XLOOKUP(_xlfn.XLOOKUP(B287,'Base stats'!B:B,'Base stats'!E:E),Groups!A:A,Groups!C:C)="Untamable"),1,IF(_xlfn.XLOOKUP(B287,'Base stats'!B:B,'Base stats'!AL:AL)=1,0.99,MIN(MROUND((1-0.6282*EXP(-0.459*AO287))*_xlfn.XLOOKUP(_xlfn.XLOOKUP(B287,'Base stats'!B:B,'Base stats'!E:E),Groups!A:A,Groups!C:C)*IF(_xlfn.XLOOKUP(B287,'Base stats'!B:B,'Base stats'!O:O)=1,0.5,IF(_xlfn.XLOOKUP(B287,'Base stats'!B:B,'Base stats'!O:O)=2,0,1)),0.05),IF(AO287&gt;3.5,0.985,0.95))))</f>
        <v>0.45</v>
      </c>
      <c r="K287" s="2">
        <f>ROUNDUP(AO287*_xlfn.XLOOKUP(_xlfn.XLOOKUP(B287,'Base stats'!B:B,'Base stats'!E:E),Groups!A:A,Groups!E:E),0)</f>
        <v>36</v>
      </c>
      <c r="L287" s="2">
        <f>IF(OR(_xlfn.XLOOKUP(_xlfn.XLOOKUP(B287,'Base stats'!B:B,'Base stats'!E:E),Groups!A:A,Groups!F:F)=2,ISNUMBER(SEARCH("SeaIce",BX287)),ISNUMBER(SEARCH("IceSheet",BX287))),-50,IF(OR(ISNUMBER(SEARCH("GlacialPlain",BX287)),ISNUMBER(SEARCH("Tundra",BX287))),-40,IF(OR(ISNUMBER(SEARCH("Alpine",BX287)),ISNUMBER(SEARCH("BorealForest",BX287)),ISNUMBER(SEARCH("ColdBog",BX287))),-30,IF(OR(ISNUMBER(SEARCH("TemperateForest",BX287)),ISNUMBER(SEARCH("TemperateSwamp",BX287))),-20,IF(_xlfn.XLOOKUP(_xlfn.XLOOKUP(B287,'Base stats'!B:B,'Base stats'!E:E),Groups!A:A,Groups!F:F)=1,-15,IF(OR(ISNUMBER(SEARCH("Desert",BX287)),ISNUMBER(SEARCH("ExtremeDesert",BX287))),-10,IF(OR(ISNUMBER(SEARCH("Grasslands",BX287)),ISNUMBER(SEARCH("TropicalRainforest",BX287)),ISNUMBER(SEARCH("TropicalSwamp",BX287))),10,0)))))))-IF(CC287="False",MIN(IFERROR(MAX(MROUND(LOG10(_xlfn.XLOOKUP(B287,'Base stats'!B:B,'Base stats'!C:C)^(2/3))*10,5),5),5),30))-_xlfn.XLOOKUP(B287,'Base stats'!B:B,'Base stats'!P:P)+IF(CC287="True",5,0)</f>
        <v>15</v>
      </c>
      <c r="M287" s="2">
        <f>IF(OR(_xlfn.XLOOKUP(_xlfn.XLOOKUP(B287,'Base stats'!B:B,'Base stats'!E:E),Groups!A:A,Groups!G:G)=2,ISNUMBER(SEARCH("Desert",BX287)),ISNUMBER(SEARCH("ExtremeDesert",BX287)),ISNUMBER(SEARCH("LavaField",BX287))),50,IF(ISNUMBER(SEARCH("Grasslands",BX287)),45,IF(OR(_xlfn.XLOOKUP(_xlfn.XLOOKUP(B287,'Base stats'!B:B,'Base stats'!E:E),Groups!A:A,Groups!G:G)=1,ISNUMBER(SEARCH("TropicalRainforest",BX287)),ISNUMBER(SEARCH("TropicalSwamp",BX287))),40,IF(OR(ISNUMBER(SEARCH("TemperateForest",BX287)),ISNUMBER(SEARCH("TemperateSwamp",BX287))),35,IF(OR(ISNUMBER(SEARCH("Alpine",BX287)),ISNUMBER(SEARCH("BorealForest",BX287)),ISNUMBER(SEARCH("ColdBog",BX287))),30,IF(ISNUMBER(OR(ISNUMBER(SEARCH("GlacialPlain",BX287)),SEARCH("Tundra",BX287))),25,IF(OR(ISNUMBER(SEARCH("SeaIce",BX287)),ISNUMBER(SEARCH("IceSheet",BX287)),ISNUMBER(SEARCH("TropicalSwamp",BX287))),10,35)))))))+_xlfn.XLOOKUP(B287,'Base stats'!B:B,'Base stats'!Q:Q)</f>
        <v>40</v>
      </c>
      <c r="N287" s="8">
        <f>IF(
_xlfn.XLOOKUP(
_xlfn.XLOOKUP(B287,'Base stats'!B:B,'Base stats'!E:E),
Groups!A:A,
Groups!L:L
)=1,
MIN(
MROUND(
IF(
_xlfn.XLOOKUP(B287,'Animals CE'!B:B,'Animals CE'!Z:Z)&lt;=1.5,
_xlfn.XLOOKUP(B287,'Animals CE'!B:B,'Animals CE'!Z:Z)/2+0.05,
0.8+
(_xlfn.XLOOKUP(B287,'Animals CE'!B:B,'Animals CE'!Z:Z)-1.5)
*0.02
),
0.05
),
200%
),
"No"
)</f>
        <v>0.1</v>
      </c>
      <c r="O287" s="8">
        <f>IF(
_xlfn.XLOOKUP(
_xlfn.XLOOKUP(B287,'Base stats'!B:B,'Base stats'!E:E),
Groups!A:A,
Groups!L:L
)=1,
MIN(
MROUND(
IF(
_xlfn.XLOOKUP(B287,'Animals CE'!B:B,'Animals CE'!AA:AA)&lt;=1.5,
_xlfn.XLOOKUP(B287,'Animals CE'!B:B,'Animals CE'!AA:AA)/2+0.05,
0.8+
(_xlfn.XLOOKUP(B287,'Animals CE'!B:B,'Animals CE'!AA:AA)-1.5)
*0.02
),
0.05
),
200%
),
"No"
)</f>
        <v>0.35000000000000003</v>
      </c>
      <c r="P287" s="2" t="str">
        <f>_xlfn.XLOOKUP(B287,'Base stats'!B:B,'Base stats'!R:R)</f>
        <v>Standard</v>
      </c>
      <c r="Q287" s="13">
        <f>MROUND((LOG10(_xlfn.XLOOKUP(B287,'Base stats'!B:B,'Base stats'!AR:AR))*(AO287^0.5)+(_xlfn.XLOOKUP(B287,'Base stats'!B:B,'Base stats'!AR:AR)/1000)^(2/3)+_xlfn.XLOOKUP(B287,'Base stats'!B:B,'Base stats'!BA:BA)/2)+0.5,0.5)</f>
        <v>18.5</v>
      </c>
      <c r="R287" s="7">
        <f>IF(Q287="No","No",MAX(1,MROUND(_xlfn.XLOOKUP(B287,'Base stats'!B:B,'Base stats'!C:C)^0.165,0.05)))</f>
        <v>3</v>
      </c>
      <c r="S287" s="13" t="str">
        <f>IF(_xlfn.XLOOKUP(_xlfn.XLOOKUP(B287,'Base stats'!B:B,'Base stats'!E:E),Groups!A:A,Groups!P:P)=0,"No",MROUND((LOG10(_xlfn.XLOOKUP(B287,'Base stats'!B:B,'Base stats'!AS:AS))*(AO287^0.5)+(_xlfn.XLOOKUP(B287,'Base stats'!B:B,'Base stats'!AS:AS)/1000)^(2/3)+_xlfn.XLOOKUP(B287,'Base stats'!B:B,'Base stats'!BA:BA))+_xlfn.XLOOKUP(B287,'Base stats'!B:B,'Base stats'!AY:AY)+0.5,0.5))</f>
        <v>No</v>
      </c>
      <c r="T287" s="7" t="str">
        <f>IF(S287="No","No",MAX(_xlfn.XLOOKUP(_xlfn.XLOOKUP(B287,'Base stats'!B:B,'Base stats'!E:E),Groups!A:A,Groups!Q:Q),MROUND(_xlfn.XLOOKUP(_xlfn.XLOOKUP(B287,'Base stats'!B:B,'Base stats'!E:E),Groups!A:A,Groups!Q:Q)*_xlfn.XLOOKUP(B287,'Base stats'!B:B,'Base stats'!C:C)^0.165,0.05)))</f>
        <v>No</v>
      </c>
      <c r="U287" s="7" t="str">
        <f>IF(S287="No","No",_xlfn.XLOOKUP(_xlfn.XLOOKUP(B287,'Base stats'!B:B,'Base stats'!E:E),Groups!A:A,Groups!R:R))</f>
        <v>No</v>
      </c>
      <c r="V287" s="7" t="str">
        <f>IF(S287="No","No",_xlfn.XLOOKUP(_xlfn.XLOOKUP(B287,'Base stats'!B:B,'Base stats'!E:E),Groups!A:A,Groups!S:S))</f>
        <v>No</v>
      </c>
      <c r="W287" s="7" t="str">
        <f>IF(S287="No","No",_xlfn.XLOOKUP(_xlfn.XLOOKUP(B287,'Base stats'!B:B,'Base stats'!E:E),Groups!A:A,Groups!T:T))</f>
        <v>No</v>
      </c>
      <c r="X287" s="13" t="str">
        <f>IF(_xlfn.XLOOKUP(B287,'Base stats'!B:B,'Base stats'!W:W)="No","No",MROUND((LOG10(_xlfn.XLOOKUP(B287,'Base stats'!B:B,'Base stats'!AU:AU))*(AO287^0.5)+(_xlfn.XLOOKUP(B287,'Base stats'!B:B,'Base stats'!AU:AU)/1000)^(2/3)+_xlfn.XLOOKUP(B287,'Base stats'!B:B,'Base stats'!AZ:AZ))+0.5+IF(_xlfn.XLOOKUP(_xlfn.XLOOKUP(B287,'Base stats'!B:B,'Base stats'!E:E),Groups!A:A,Groups!U:U)&lt;&gt;3,_xlfn.XLOOKUP(B287,'Base stats'!B:B,'Base stats'!BA:BA),0),0.5))</f>
        <v>No</v>
      </c>
      <c r="Y287" s="7" t="str">
        <f>IF(X287="No","No",MAX(_xlfn.XLOOKUP(_xlfn.XLOOKUP(B287,'Base stats'!B:B,'Base stats'!E:E),Groups!A:A,Groups!V:V),MROUND(_xlfn.XLOOKUP(_xlfn.XLOOKUP(B287,'Base stats'!B:B,'Base stats'!E:E),Groups!A:A,Groups!V:V)*_xlfn.XLOOKUP(B287,'Base stats'!B:B,'Base stats'!C:C)^0.165,0.05)))</f>
        <v>No</v>
      </c>
      <c r="Z287" s="7" t="str">
        <f>IF(X287="No","No",_xlfn.XLOOKUP(_xlfn.XLOOKUP(B287,'Base stats'!B:B,'Base stats'!E:E),Groups!A:A,Groups!W:W))</f>
        <v>No</v>
      </c>
      <c r="AA287" s="7" t="str">
        <f>IF(X287="No","No",_xlfn.XLOOKUP(_xlfn.XLOOKUP(B287,'Base stats'!B:B,'Base stats'!E:E),Groups!A:A,Groups!X:X))</f>
        <v>No</v>
      </c>
      <c r="AB287" s="7" t="str">
        <f>IF(X287="No","No",_xlfn.XLOOKUP(_xlfn.XLOOKUP(B287,'Base stats'!B:B,'Base stats'!E:E),Groups!A:A,Groups!Y:Y))</f>
        <v>No</v>
      </c>
      <c r="AC287" s="7" t="str">
        <f>_xlfn.XLOOKUP(Animals!B287,'Base stats'!B:B,'Base stats'!X:X)</f>
        <v>False</v>
      </c>
      <c r="AD287" s="13">
        <f>IF(_xlfn.XLOOKUP(B287,'Base stats'!B:B,'Base stats'!AT:AT)="No","No",MROUND((LOG10(_xlfn.XLOOKUP(B287,'Base stats'!B:B,'Base stats'!AT:AT))*(AO287^0.75)+(_xlfn.XLOOKUP(B287,'Base stats'!B:B,'Base stats'!AT:AT)/1000)^(2/3)+_xlfn.XLOOKUP(B287,'Base stats'!B:B,'Base stats'!AX:AX)+_xlfn.XLOOKUP(B287,'Base stats'!B:B,'Base stats'!BA:BA))+0.5,0.5))</f>
        <v>23.5</v>
      </c>
      <c r="AE287" s="7">
        <f>IF(AD287="No","No",MAX(_xlfn.XLOOKUP(_xlfn.XLOOKUP(B287,'Base stats'!B:B,'Base stats'!E:E),Groups!A:A,Groups!Z:Z),MROUND(_xlfn.XLOOKUP(_xlfn.XLOOKUP(B287,'Base stats'!B:B,'Base stats'!E:E),Groups!A:A,Groups!Z:Z)*_xlfn.XLOOKUP(B287,'Base stats'!B:B,'Base stats'!C:C)^0.165,0.05)))</f>
        <v>3</v>
      </c>
      <c r="AF287" s="7" t="str">
        <f>IF(AD287="No","No",_xlfn.XLOOKUP(_xlfn.XLOOKUP(B287,'Base stats'!B:B,'Base stats'!E:E),Groups!A:A,Groups!AA:AA))</f>
        <v>Mouth</v>
      </c>
      <c r="AG287" s="7" t="str">
        <f>IF(AD287="No","No",_xlfn.XLOOKUP(_xlfn.XLOOKUP(B287,'Base stats'!B:B,'Base stats'!E:E),Groups!A:A,Groups!AB:AB))</f>
        <v>radula</v>
      </c>
      <c r="AH287" s="7" t="str">
        <f>IF(AD287="No","No",_xlfn.XLOOKUP(_xlfn.XLOOKUP(B287,'Base stats'!B:B,'Base stats'!E:E),Groups!A:A,Groups!AC:AC))</f>
        <v>Bite</v>
      </c>
      <c r="AI287" s="13" t="str">
        <f>IF(_xlfn.XLOOKUP(_xlfn.XLOOKUP(B287,'Base stats'!B:B,'Base stats'!E:E),Groups!A:A,Groups!AD:AD)=0,"No",MROUND((LOG10(_xlfn.XLOOKUP(B287,'Base stats'!B:B,'Base stats'!AS:AS))*(AO287^0.75)+(_xlfn.XLOOKUP(B287,'Base stats'!B:B,'Base stats'!AS:AS)/1000)^(2/3)+_xlfn.XLOOKUP(B287,'Base stats'!B:B,'Base stats'!AY:AY)+_xlfn.XLOOKUP(B287,'Base stats'!B:B,'Base stats'!BA:BA))+0.5,0.5))</f>
        <v>No</v>
      </c>
      <c r="AJ287" s="7" t="str">
        <f>IF(AI287="No","No",MAX(_xlfn.XLOOKUP(_xlfn.XLOOKUP(B287,'Base stats'!B:B,'Base stats'!E:E),Groups!A:A,Groups!AE:AE),MROUND(_xlfn.XLOOKUP(_xlfn.XLOOKUP(B287,'Base stats'!B:B,'Base stats'!E:E),Groups!A:A,Groups!AE:AE)*IF(_xlfn.XLOOKUP(_xlfn.XLOOKUP(B287,'Base stats'!B:B,'Base stats'!E:E),Groups!A:A,Groups!AJ:AJ)="Photonozoa",0.6,1)*_xlfn.XLOOKUP(B287,'Base stats'!B:B,'Base stats'!C:C)^0.165,0.05)))</f>
        <v>No</v>
      </c>
      <c r="AK287" s="7" t="str">
        <f>IF(AI287="No","No",_xlfn.XLOOKUP(_xlfn.XLOOKUP(B287,'Base stats'!B:B,'Base stats'!E:E),Groups!A:A,Groups!AF:AF))</f>
        <v>No</v>
      </c>
      <c r="AL287" s="7" t="str">
        <f>IF(AI287="No","No",_xlfn.XLOOKUP(_xlfn.XLOOKUP(B287,'Base stats'!B:B,'Base stats'!E:E),Groups!A:A,Groups!AG:AG))</f>
        <v>No</v>
      </c>
      <c r="AM287" s="7" t="str">
        <f>IF(AI287="No","No",_xlfn.XLOOKUP(_xlfn.XLOOKUP(B287,'Base stats'!B:B,'Base stats'!E:E),Groups!A:A,Groups!AH:AH))</f>
        <v>No</v>
      </c>
      <c r="AN287" s="2" t="str">
        <f t="shared" si="28"/>
        <v>No</v>
      </c>
      <c r="AO287" s="2">
        <f>MROUND(IF(AND(_xlfn.XLOOKUP(B287,'Base stats'!B:B,'Base stats'!C:C)&gt;=0.5,_xlfn.XLOOKUP(B287,'Base stats'!B:B,'Base stats'!C:C)&lt;=0.8),
IF(_xlfn.XLOOKUP(B287,'Base stats'!B:B,'Base stats'!C:C)&lt;0.1,0.05,IF(_xlfn.XLOOKUP(B287,'Base stats'!B:B,'Base stats'!C:C)&lt;=70,(_xlfn.XLOOKUP(B287,'Base stats'!B:B,'Base stats'!C:C)/70)^0.426489913056526,IF(_xlfn.XLOOKUP(B287,'Base stats'!B:B,'Base stats'!C:C)&lt;=400,(_xlfn.XLOOKUP(B287,'Base stats'!B:B,'Base stats'!C:C)/70)^0.572811455315093,IF(_xlfn.XLOOKUP(B287,'Base stats'!B:B,'Base stats'!C:C)&lt;=2000,2.71391647193063*(_xlfn.XLOOKUP(B287,'Base stats'!B:B,'Base stats'!C:C)/400)^0.252459582904293,3.74314280240376*(_xlfn.XLOOKUP(B287,'Base stats'!B:B,'Base stats'!C:C)/2000)^0.357012633876913)))),
IF(_xlfn.XLOOKUP(B287,'Base stats'!B:B,'Base stats'!C:C)&lt;0.1,0.05,IF(_xlfn.XLOOKUP(B287,'Base stats'!B:B,'Base stats'!C:C)&lt;0.4,0.1,IF(_xlfn.XLOOKUP(B287,'Base stats'!B:B,'Base stats'!C:C)&lt;=70,(_xlfn.XLOOKUP(B287,'Base stats'!B:B,'Base stats'!C:C)/70)^0.445823913056526,IF(_xlfn.XLOOKUP(B287,'Base stats'!B:B,'Base stats'!C:C)&lt;=400,(_xlfn.XLOOKUP(B287,'Base stats'!B:B,'Base stats'!C:C)/70)^0.572811455315093,IF(_xlfn.XLOOKUP(B287,'Base stats'!B:B,'Base stats'!C:C)&lt;=2000,2.71391647193063*(_xlfn.XLOOKUP(B287,'Base stats'!B:B,'Base stats'!C:C)/400)^0.252459582904293,3.74314280240376*(_xlfn.XLOOKUP(B287,'Base stats'!B:B,'Base stats'!C:C)/2000)^0.357012633876913)))))),
IF(_xlfn.XLOOKUP(B287,'Base stats'!B:B,'Base stats'!C:C)&lt;0.1,0.05,IF(_xlfn.XLOOKUP(B287,'Base stats'!B:B,'Base stats'!C:C)&lt;=100,0.05,IF(_xlfn.XLOOKUP(B287,'Base stats'!B:B,'Base stats'!C:C)&lt;=250,0.1,IF(_xlfn.XLOOKUP(B287,'Base stats'!B:B,'Base stats'!C:C)&lt;=4000,0.25,0.5)))))</f>
        <v>3.25</v>
      </c>
      <c r="AP287" s="8">
        <f>MROUND(AO287*_xlfn.XLOOKUP(_xlfn.XLOOKUP(B287,'Base stats'!B:B,'Base stats'!E:E),Groups!A:A,Groups!AI:AI)*_xlfn.XLOOKUP(B287,'Base stats'!B:B,'Base stats'!Z:Z),0.05)</f>
        <v>3.25</v>
      </c>
      <c r="AQ287" s="8">
        <f>MAX(0.01,MROUND(IF(CC287="True",0.196*(AO287*100*1000)^0.889,IF(_xlfn.XLOOKUP(_xlfn.XLOOKUP(B287,'Base stats'!B:B,'Base stats'!E:E),Groups!A:A,Groups!AJ:AJ)="Bird",10.5*(AO287*100*1000)^0.681,4.82*(AO287*100*1000)^0.734))/(4.82*(1*100*1000)^0.734)/IF(AO287&lt;3.5,2,IF(AO287=3.5,1.5,1.25))*(1+0.132282374779864/(AO287^0.994035016789033+0.00905238001496948)),0.05))</f>
        <v>0.35000000000000003</v>
      </c>
      <c r="AR287" s="9">
        <f>IFERROR(MROUND(_xlfn.XLOOKUP(B287,'Base stats'!B:B,'Base stats'!H:H)/IF(_xlfn.XLOOKUP(B287,'Base stats'!B:B,'Base stats'!I:I)&lt;&gt;1,(122.5/70),1.2),IF(_xlfn.XLOOKUP(B287,'Base stats'!B:B,'Base stats'!H:H)&gt;=30,5,IF(_xlfn.XLOOKUP(B287,'Base stats'!B:B,'Base stats'!H:H)&gt;=15,3,IF(_xlfn.XLOOKUP(B287,'Base stats'!B:B,'Base stats'!H:H)&gt;=10,2,1)))),"Immortal")</f>
        <v>75</v>
      </c>
      <c r="AS287" s="35">
        <f>IFERROR(IF(OR(_xlfn.XLOOKUP(B287,'Base stats'!B:B,'Base stats'!F:F)="Atypical reproduction",_xlfn.XLOOKUP(B287,'Base stats'!B:B,'Base stats'!F:F)="Lay eggs"),"Lay eggs",MIN(20,MAX(5.5,ROUND(((_xlfn.XLOOKUP(B287,'Base stats'!B:B,'Base stats'!F:F)-25)*(14.5/615) + 5.5)*2,0)/2))),"Unknown")</f>
        <v>12</v>
      </c>
      <c r="AT287" s="8">
        <f>IF(_xlfn.XLOOKUP(B287,'Base stats'!B:B,'Base stats'!G:G)="Atypical reproduction","No",IFERROR(MAX(IF(_xlfn.XLOOKUP(B287,'Base stats'!B:B,'Base stats'!G:G)&lt;0.5,0.2,0.3),MROUND(_xlfn.XLOOKUP(B287,'Base stats'!B:B,'Base stats'!G:G)/(365/60),0.2)),"Unknown"))</f>
        <v>0.8</v>
      </c>
      <c r="AU287" s="8">
        <f t="shared" si="29"/>
        <v>0.4</v>
      </c>
      <c r="AV287" s="8" t="str">
        <f>IFERROR(IFERROR(MROUND(_xlfn.XLOOKUP(B287,'Base stats'!B:B,'Base stats'!J:J),0.1),"Lay eggs"),"Cannot breed")</f>
        <v>Lay eggs</v>
      </c>
      <c r="AW287" s="2" t="str">
        <f t="shared" si="30"/>
        <v>false</v>
      </c>
      <c r="AX287" s="2" t="str">
        <f>IF(_xlfn.XLOOKUP(_xlfn.XLOOKUP(Animals!B287,'Base stats'!B:B,'Base stats'!E:E),Groups!A:A,Groups!AK:AK)=1,"true","false")</f>
        <v>false</v>
      </c>
      <c r="AY287" s="25" t="str">
        <f>IF(_xlfn.XLOOKUP(B287,'Base stats'!B:B,'Base stats'!Y:Y)="Liquor","Liquor, CarnivoreAnimalStrict",IF(AND(_xlfn.XLOOKUP(B287,'Base stats'!B:B,'Base stats'!Y:Y)="Carnivore",_xlfn.XLOOKUP(_xlfn.XLOOKUP(B287,'Base stats'!B:B,'Base stats'!E:E),Groups!A:A,Groups!AJ:AJ)="Photonozoa"),"CarnivoreAnimalStrict, OvivoreAnimal",IF(_xlfn.XLOOKUP(B287,'Base stats'!B:B,'Base stats'!Y:Y)="Carnivore","CarnivoreAnimal, OvivoreAnimal",IF(_xlfn.XLOOKUP(B287,'Base stats'!B:B,'Base stats'!Y:Y)="Dendrovore","VegetarianRoughAnimal, DendrovoreAnimal",IF(_xlfn.XLOOKUP(B287,'Base stats'!B:B,'Base stats'!Y:Y)="Herbivore","VegetarianRoughAnimal",IF(_xlfn.XLOOKUP(B287,'Base stats'!B:B,'Base stats'!Y:Y)="OmnivoreRough","OmnivoreRoughAnimal, OvivoreAnimal","OmnivoreAnimal, OvivoreAnimal"))))))</f>
        <v>VegetarianRoughAnimal</v>
      </c>
      <c r="AZ287" s="2">
        <f>IF(_xlfn.XLOOKUP(_xlfn.XLOOKUP(B287,'Base stats'!B:B,'Base stats'!E:E),Groups!A:A,Groups!D:D)=1,MROUND((1-J287)*5+1,2)*IF(J287&lt;=0.4,2,1),"No")</f>
        <v>4</v>
      </c>
      <c r="BA287" s="2" t="str">
        <f>IF(AND(_xlfn.XLOOKUP(B287,'Base stats'!B:B,'Base stats'!AH:AH)="&lt;li&gt;Seal&lt;/li&gt;",G287="Odyssey"),"&lt;li&gt;AEXP_Seal&lt;/li&gt;",_xlfn.XLOOKUP(B287,'Base stats'!B:B,'Base stats'!AH:AH))</f>
        <v>No</v>
      </c>
      <c r="BB287" s="2" t="str">
        <f>_xlfn.XLOOKUP(B287,'Base stats'!B:B,'Base stats'!AG:AG)</f>
        <v>No</v>
      </c>
      <c r="BC287" s="23" t="str">
        <f>_xlfn.XLOOKUP(_xlfn.XLOOKUP(B287,'Base stats'!B:B,'Base stats'!E:E),Groups!A:A,Groups!AL:AL)</f>
        <v>Slug</v>
      </c>
      <c r="BD287" s="23">
        <f>MIN(1,MROUND(IF(AND(AO287&lt;0.5,_xlfn.XLOOKUP(B287,'Base stats'!B:B,'Base stats'!AA:AA)=0),0,IF(OR(_xlfn.XLOOKUP(Animals!B287,'Base stats'!B:B,'Base stats'!O:O)=2,_xlfn.XLOOKUP(_xlfn.XLOOKUP(B287,'Base stats'!B:B,'Base stats'!E:E),Groups!A:A,Groups!AN:AN)=0),0,_xlfn.XLOOKUP(_xlfn.XLOOKUP(B287,'Base stats'!B:B,'Base stats'!E:E),Groups!A:A,Groups!AN:AN)/IF(_xlfn.XLOOKUP(Animals!B287,'Base stats'!B:B,'Base stats'!O:O)=1,2,1)))+_xlfn.XLOOKUP(B287,'Base stats'!B:B,'Base stats'!AC:AC),0.005))</f>
        <v>0</v>
      </c>
      <c r="BE287" s="23">
        <f>MIN(1,MROUND(IF(AND(AO287&lt;0.5,_xlfn.XLOOKUP(B287,'Base stats'!B:B,'Base stats'!AA:AA)=0),0,IF(_xlfn.XLOOKUP(_xlfn.XLOOKUP(B287,'Base stats'!B:B,'Base stats'!E:E),Groups!A:A,Groups!AO:AO)=0,0,_xlfn.XLOOKUP(_xlfn.XLOOKUP(B287,'Base stats'!B:B,'Base stats'!E:E),Groups!A:A,Groups!AO:AO)/IF(_xlfn.XLOOKUP(Animals!B287,'Base stats'!B:B,'Base stats'!O:O)=2,3,1)))+_xlfn.XLOOKUP(B287,'Base stats'!B:B,'Base stats'!AD:AD),0.005))</f>
        <v>0</v>
      </c>
      <c r="BF287" s="2" t="str">
        <f>IF(J287&gt;0.3,"No",_xlfn.XLOOKUP(_xlfn.XLOOKUP(Animals!B287,'Base stats'!B:B,'Base stats'!E:E),Groups!A:A,Groups!AP:AP))</f>
        <v>No</v>
      </c>
      <c r="BG287" s="2" t="str">
        <f>IF(AND(J287&lt;=0.65,_xlfn.XLOOKUP(_xlfn.XLOOKUP(Animals!B287,'Base stats'!B:B,'Base stats'!E:E),Groups!A:A,Groups!AP:AP)&lt;&gt;"No",_xlfn.XLOOKUP(_xlfn.XLOOKUP(B287,'Base stats'!B:B,'Base stats'!E:E),Groups!A:A,Groups!D:D)=0),MROUND((80/3)*IF(_xlfn.XLOOKUP(B287,'Base stats'!B:B,'Base stats'!O:O)=2,0.2,AO287) + 24*(1-IF(BF287="No",0,BF287)) + 16/3, 12),"No")</f>
        <v>No</v>
      </c>
      <c r="BH287" s="2">
        <f>IF(AND(_xlfn.XLOOKUP(_xlfn.XLOOKUP(B287,'Base stats'!B:B,'Base stats'!E:E),Groups!A:A,Groups!AQ:AQ)=1,AO287&lt;=0.35),8,12)</f>
        <v>12</v>
      </c>
      <c r="BI287" s="2" t="str">
        <f>IF(_xlfn.XLOOKUP(_xlfn.XLOOKUP(B287,'Base stats'!B:B,'Base stats'!E:E),Groups!A:A,Groups!D:D)=0,_xlfn.XLOOKUP(_xlfn.XLOOKUP(B287,'Base stats'!B:B,'Base stats'!E:E),Groups!A:A,Groups!AR:AR),"None")</f>
        <v>None</v>
      </c>
      <c r="BJ287" s="2" t="str">
        <f>IF(AND(_xlfn.XLOOKUP(_xlfn.XLOOKUP(B287,'Base stats'!B:B,'Base stats'!E:E),Groups!A:A,Groups!AS:AS)=1,OR(_xlfn.XLOOKUP(B287,'Base stats'!B:B,'Base stats'!Y:Y)="Carnivore",_xlfn.XLOOKUP(B287,'Base stats'!B:B,'Base stats'!Y:Y)="Omnivore")),"true","false")</f>
        <v>false</v>
      </c>
      <c r="BK287" s="2" t="str">
        <f>IF(BJ287="true",MROUND(IF(AND(AO287&gt;0.5,OR(_xlfn.XLOOKUP(_xlfn.XLOOKUP(B287,'Base stats'!B:B,'Base stats'!E:E),Groups!A:A,Groups!AJ:AJ)="Photonozoa",_xlfn.XLOOKUP(_xlfn.XLOOKUP(B287,'Base stats'!B:B,'Base stats'!E:E),Groups!A:A,Groups!AJ:AJ)="Mammal")),Animals!AO287*1.75*IF(AW287="true",1.5,1),IF(AO287&lt;0.5,Animals!AO287*0.5,Animals!AO287)),IF(AO287&gt;2,0.5,IF(AO287&gt;0.5,0.25,0.1))),"No")</f>
        <v>No</v>
      </c>
      <c r="BL287" s="2">
        <f t="shared" si="31"/>
        <v>0</v>
      </c>
      <c r="BM287" s="25" t="str">
        <f>IF(_xlfn.XLOOKUP(B287,'Base stats'!B:B,'Base stats'!AN:AN)="Standard","No",MROUND((_xlfn.XLOOKUP(B287,'Base stats'!B:B,'Base stats'!AN:AN)/3.6)/I287,0.1))</f>
        <v>No</v>
      </c>
      <c r="BN287" s="25" t="str">
        <f t="shared" si="32"/>
        <v>false</v>
      </c>
      <c r="BO287" s="25" t="str">
        <f>IF(AND(OR(_xlfn.XLOOKUP(B287,'Base stats'!B:B,'Base stats'!Y:Y)="Carnivore",_xlfn.XLOOKUP(B287,'Base stats'!B:B,'Base stats'!Y:Y)="Omnivore",_xlfn.XLOOKUP(B287,'Base stats'!B:B,'Base stats'!Y:Y)="OmnivoreRough"),_xlfn.XLOOKUP(_xlfn.XLOOKUP(B287,'Base stats'!B:B,'Base stats'!E:E),Groups!A:A,Groups!AT:AT)=1),"true","false")</f>
        <v>false</v>
      </c>
      <c r="BP287" s="25" t="str" cm="1">
        <f t="array" ref="BP287">IF(
  _xlfn.TEXTJOIN(", ",TRUE,
    IF(AND(BJ287="true",AO287&gt;0.5,BI287&lt;&gt;"None"),"AttackTarget",""),
    IF(AND(_xlfn.XLOOKUP(_xlfn.XLOOKUP(B287,'Base stats'!B:B,'Base stats'!E:E),Groups!A:A,Groups!AJ:AJ="Mammal"),OR(_xlfn.XLOOKUP(B287,'Base stats'!B:B,'Base stats'!Y:Y)="Omnivore",_xlfn.XLOOKUP(B287,'Base stats'!B:B,'Base stats'!Y:Y)="OmnivoreRough")),"Forage",""),
    IF(BG287&lt;=36,"Comfort",""),
    IF(_xlfn.XLOOKUP(B287,'Base stats'!B:B,'Base stats'!AE:AE)&lt;&gt;"No",_xlfn.XLOOKUP(B287,'Base stats'!B:B,'Base stats'!AE:AE),"")
  ) = "",
  "No",
  _xlfn.TEXTJOIN(", ",TRUE,
    IF(AND(BJ287="true",AO287&gt;0.5,BI287&lt;&gt;"None"),"AttackTarget",""),
    IF(AND(_xlfn.XLOOKUP(_xlfn.XLOOKUP(B287,'Base stats'!B:B,'Base stats'!E:E),Groups!A:A,Groups!AJ:AJ="Mammal"),OR(_xlfn.XLOOKUP(B287,'Base stats'!B:B,'Base stats'!Y:Y)="Omnivore",_xlfn.XLOOKUP(B287,'Base stats'!B:B,'Base stats'!Y:Y)="OmnivoreRough")),"Forage",""),
    IF(BG287&lt;=36,"Comfort",""),
    IF(_xlfn.XLOOKUP(B287,'Base stats'!B:B,'Base stats'!AE:AE)&lt;&gt;"No",_xlfn.XLOOKUP(B287,'Base stats'!B:B,'Base stats'!AE:AE),"")
  )
)</f>
        <v>No</v>
      </c>
      <c r="BQ287" s="25" t="str">
        <f>IF(
   AND(
      'Base stats'!AN287="Standard",_xlfn.XLOOKUP(_xlfn.XLOOKUP(B287,'Base stats'!B:B,'Base stats'!E:E),Groups!A:A,Groups!AU:AU)=0,
      OR(
      BO287="True"
      )
   ),
   10,
   IF(
       OR(BM287&lt;&gt;"No",_xlfn.XLOOKUP(_xlfn.XLOOKUP(B287,'Base stats'!B:B,'Base stats'!E:E),Groups!A:A,Groups!AU:AU)=1),
      1,
      "No"
   )
)</f>
        <v>No</v>
      </c>
      <c r="BR287" s="9">
        <f>MROUND((1 + ((0.2*IF(OR(Q287="No",R287="No",R287=0),0,Q287/R287)
+IF(OR(V287="No",S287="No",T287="No"),0,S287/T287*(LEN(V287)-LEN(SUBSTITUTE(V287,",",""))+1))
+IF(OR(X287="No",Y287="No"),0,X287/Y287)
+IF(OR(AD287="No",AE287="No"),0,AD287/AE287)
+IF(OR(AL287="No",AI287="No",AJ287="No"),0,AI287/AJ287*(LEN(AL287)-LEN(SUBSTITUTE(AL287,",",""))+1))
)/(0.2*IF(OR(Q287="No",R287="No",R287=0),0,1)
+IF(OR(V287="No",S287="No",T287="No"),0,LEN(V287)-LEN(SUBSTITUTE(V287,",",""))+1)
+IF(OR(X287="No",Y287="No"),0,1)
+IF(OR(AD287="No",AE287="No"),0,1)
+IF(OR(AL287="No",AI287="No",AJ287="No"),0,LEN(AL287)-LEN(SUBSTITUTE(AL287,",",""))+1))*62%)* 2)*(1 + (AP287 / (IF(_xlfn.XLOOKUP(_xlfn.XLOOKUP(B287,'Base stats'!B:B,'Base stats'!E:E),Groups!A:A,Groups!AJ:AJ)="Photonozoa",0.3,1)) + _xlfn.XLOOKUP(B287,'Base stats'!B:B,'Base stats'!AV:AV) * 1.8) * 2) * 2.5 + 10 + I287 * 2,5)+IF(_xlfn.XLOOKUP(B287,'Base stats'!B:B,'Base stats'!AK:AK)=1,50,0)</f>
        <v>225</v>
      </c>
      <c r="BS287" s="8">
        <f t="shared" si="33"/>
        <v>0.95000000000000007</v>
      </c>
      <c r="BT287" s="8" t="str">
        <f>_xlfn.XLOOKUP(B287,'Base stats'!B:B,'Base stats'!AF:AF)</f>
        <v>No</v>
      </c>
      <c r="BU287" s="2" t="str">
        <f>IF(AND(J287&lt;=0.95,OR(_xlfn.XLOOKUP(B287,'Base stats'!B:B,'Base stats'!AK:AK)=1,_xlfn.XLOOKUP(B287,'Base stats'!B:B,'Base stats'!Y:Y)="Carnivore",_xlfn.XLOOKUP(B287,'Base stats'!B:B,'Base stats'!Y:Y)="Omnivore",BE287&gt;0.1)),"true","false")</f>
        <v>false</v>
      </c>
      <c r="BV287" s="2" t="str">
        <f>IF(_xlfn.XLOOKUP(B287,'Base stats'!B:B,'Base stats'!AI:AI)=1,"true","false")</f>
        <v>false</v>
      </c>
      <c r="BW287" s="25" t="str">
        <f>IF(E287="BaseInsect","AnimalInsect",
IF(J287&gt;0.95,"AnimalExotic",
_xlfn.TEXTJOIN(", ",TRUE,
IF(OR(_xlfn.XLOOKUP(B287,'Base stats'!B:B,'Base stats'!AM:AM)=1,AND(_xlfn.XLOOKUP(B287,'Base stats'!B:B,'Base stats'!O:O)=0,_xlfn.XLOOKUP(_xlfn.XLOOKUP(B287,'Base stats'!B:B,'Base stats'!E:E),Groups!A:A,Groups!B:B)&gt;0)),"AnimalUncommon","AnimalCommon"),
IF(AND(_xlfn.XLOOKUP(B287,'Base stats'!B:B,'Base stats'!O:O)=2,_xlfn.XLOOKUP(_xlfn.XLOOKUP(B287,'Base stats'!B:B,'Base stats'!E:E),Groups!A:A,Groups!D:D)=0),"AnimalPet",IF(AND(_xlfn.XLOOKUP(B287,'Base stats'!B:B,'Base stats'!O:O)&lt;&gt;0,_xlfn.XLOOKUP(_xlfn.XLOOKUP(B287,'Base stats'!B:B,'Base stats'!E:E),Groups!A:A,Groups!D:D)&lt;&gt;0),"AnimalFarm","")),
IF(OR(_xlfn.XLOOKUP(B287,'Base stats'!B:B,'Base stats'!AK:AK)=1,AND(BI287&lt;&gt;"None",BR287&gt;=60),ISNUMBER(SEARCH("Attack target",BP287))),"AnimalFighter","")
)))</f>
        <v>AnimalUncommon, AnimalFarm</v>
      </c>
      <c r="BX287" s="25" t="str">
        <f>IF(G287="None",TRIM(
SUBSTITUTE(
IF(COUNTIF(Biomes!B$2:B$259,"="&amp;$C287)&gt;0,Biomes!B$1&amp;", ","")&amp;
IF(COUNTIF(Biomes!C$2:C$259,"="&amp;$C287)&gt;0,Biomes!C$1&amp;", ","")&amp;
IF(COUNTIF(Biomes!D$2:D$259,"="&amp;$C287)&gt;0,Biomes!D$1&amp;", ","")&amp;
IF(COUNTIF(Biomes!F$2:F$259,"="&amp;$C287)&gt;0,Biomes!F$1&amp;", ","")&amp;
IF(COUNTIF(Biomes!G$2:G$259,"="&amp;$C287)&gt;0,Biomes!G$1&amp;", ","")&amp;
IF(COUNTIF(Biomes!H$2:H$259,"="&amp;$C287)&gt;0,Biomes!H$1&amp;", ","")&amp;
IF(COUNTIF(Biomes!I$2:I$259,"="&amp;$C287)&gt;0,Biomes!I$1&amp;", ","")&amp;
IF(COUNTIF(Biomes!J$2:J$259,"="&amp;$C287)&gt;0,Biomes!J$1&amp;", ","")&amp;
IF(COUNTIF(Biomes!M$2:M$259,"="&amp;$C287)&gt;0,Biomes!M$1&amp;", ","")&amp;
IF(COUNTIF(Biomes!N$2:N$259,"="&amp;$C287)&gt;0,Biomes!N$1&amp;", ","")&amp;
IF(COUNTIF(Biomes!O$2:O$259,"="&amp;$C287)&gt;0,Biomes!O$1&amp;", ","")&amp;
IF(COUNTIF(Biomes!P$2:P$259,"="&amp;$C287)&gt;0,Biomes!P$1&amp;", ","")&amp;
IF(COUNTIF(Biomes!K$2:K$259,"="&amp;$C287)&gt;0,Biomes!K$1&amp;", ","")&amp;
IF(COUNTIF(Biomes!Q$3:Q$259,"="&amp;$C287)&gt;0,Biomes!Q$1&amp;", ","")&amp;
IF(COUNTIF(Biomes!L$2:L$259,"="&amp;$C287)&gt;0,Biomes!L$1&amp;", ","")&amp;
IF(COUNTIF(Biomes!E$2:E$259,"="&amp;$C287)&gt;0,Biomes!E$1&amp;", ","")&amp;IF(COUNTIF(Biomes!S$2:S$259,"="&amp;$C287)&gt;0,Biomes!S$1&amp;", ","")&amp;
IF(COUNTIF(Biomes!R$2:R$259,"="&amp;$C287)&gt;0,Biomes!R$1&amp;", ",""),", ","")
),_xlfn.XLOOKUP(B287,B:B,BX:BX))</f>
        <v>TropicalRainforest TropicalSwamp Glowforest Scarlands</v>
      </c>
      <c r="BY287" s="25" t="str">
        <f>IF(_xlfn.XLOOKUP(B287,'Base stats'!B:B,'Base stats'!AJ:AJ)=1,"true","false")</f>
        <v>false</v>
      </c>
      <c r="BZ287" s="25">
        <f>IF(_xlfn.XLOOKUP(B287,'Base stats'!B:B,'Base stats'!N:N)=1,"No",MAX(0.001,MIN(MROUND(IF(AND(BJ287="True",CC287="False"),POWER(10,3.47*LOG10(_xlfn.XLOOKUP(B287,'Base stats'!B:B,'Base stats'!C:C)*1000)^-0.96),POWER(10,4.15*LOG10(_xlfn.XLOOKUP(B287,'Base stats'!B:B,'Base stats'!C:C)*1000)^-0.73))*IF(_xlfn.XLOOKUP(B287,'Base stats'!B:B,'Base stats'!AK:AK)=1,0.5,1)*IF(_xlfn.XLOOKUP(B287,'Base stats'!B:B,'Base stats'!AM:AM)=1,0.1,1)/100,IF(_xlfn.XLOOKUP(B287,'Base stats'!B:B,'Base stats'!AM:AM)=1,0.001,0.025)),0.5)))</f>
        <v>1.4E-2</v>
      </c>
      <c r="CA287" s="25" t="str">
        <f>IF(P287="Standard","No",MAX(0.001,MIN(MROUND(IF(AND(BJ287="True",CC287="False"),POWER(10,3.47*LOG10(_xlfn.XLOOKUP(B287,'Base stats'!B:B,'Base stats'!C:C)*1000)^-0.96),POWER(10,4.15*LOG10(_xlfn.XLOOKUP(B287,'Base stats'!B:B,'Base stats'!C:C)*1000)^-0.73))*IF(_xlfn.XLOOKUP(B287,'Base stats'!B:B,'Base stats'!AM:AM)=1,0.1,1)*_xlfn.XLOOKUP(B287,'Base stats'!B:B,'Base stats'!R:R)/100,IF(_xlfn.XLOOKUP(B287,'Base stats'!B:B,'Base stats'!AM:AM)=1,0.001,0.025)),0.5)))</f>
        <v>No</v>
      </c>
      <c r="CB287" s="25" t="str">
        <f>IF(_xlfn.XLOOKUP(_xlfn.XLOOKUP(B287,'Base stats'!B:B,'Base stats'!E:E),Groups!A:A,Groups!AJ:AJ)="Mammal","True","False")</f>
        <v>False</v>
      </c>
      <c r="CC287" s="25" t="str">
        <f>IF(OR(_xlfn.XLOOKUP(_xlfn.XLOOKUP(B287,'Base stats'!B:B,'Base stats'!E:E),Groups!A:A,Groups!AJ:AJ)="Reptile",_xlfn.XLOOKUP(_xlfn.XLOOKUP(B287,'Base stats'!B:B,'Base stats'!E:E),Groups!A:A,Groups!AJ:AJ)="Amphibian",_xlfn.XLOOKUP(_xlfn.XLOOKUP(B287,'Base stats'!B:B,'Base stats'!E:E),Groups!A:A,Groups!AJ:AJ)="Invertebrate"),"True","False")</f>
        <v>True</v>
      </c>
      <c r="CD287" s="25" t="str">
        <f t="shared" si="34"/>
        <v>False</v>
      </c>
      <c r="CE287" s="25" t="str">
        <f>IF(_xlfn.XLOOKUP(_xlfn.XLOOKUP(B287,'Base stats'!B:B,'Base stats'!E:E),Groups!A:A,Groups!AX:AX),"True","False")</f>
        <v>False</v>
      </c>
      <c r="CF287" s="25" t="str">
        <f>IF(_xlfn.XLOOKUP(_xlfn.XLOOKUP(B287,'Base stats'!B:B,'Base stats'!E:E),Groups!A:A,Groups!AY:AY),"True","False")</f>
        <v>False</v>
      </c>
      <c r="CG287" s="25" t="str">
        <f>IF(_xlfn.XLOOKUP(_xlfn.XLOOKUP(B287,'Base stats'!B:B,'Base stats'!E:E),Groups!A:A,Groups!AW:AW),"True","False")</f>
        <v>False</v>
      </c>
      <c r="CH287" s="25" t="str">
        <f>IF(
OR(
_xlfn.XLOOKUP(_xlfn.XLOOKUP(B287,'Base stats'!B:B,'Base stats'!E:E),Groups!A:A,Groups!AZ:AZ)=0,
AND(
_xlfn.XLOOKUP(B287,'Base stats'!B:B,'Base stats'!Y:Y)&lt;&gt;"Carnivore",
_xlfn.XLOOKUP(B287,'Base stats'!B:B,'Base stats'!Y:Y)&lt;&gt;"Omnivore",
_xlfn.XLOOKUP(B287,'Base stats'!B:B,'Base stats'!Y:Y)&lt;&gt;"OmnivoreRough"
)
),
"No",
IF(
_xlfn.XLOOKUP(_xlfn.XLOOKUP(B287,'Base stats'!B:B,'Base stats'!E:E),Groups!A:A,Groups!AZ:AZ)=1,
"Flesh",
IF(
_xlfn.XLOOKUP(_xlfn.XLOOKUP(B287,'Base stats'!B:B,'Base stats'!E:E),Groups!A:A,Groups!AZ:AZ)=2,
"Bone",
""
)
)
)</f>
        <v>No</v>
      </c>
      <c r="CI287" s="25" t="str">
        <f>IF(_xlfn.XLOOKUP(_xlfn.XLOOKUP(B287,'Base stats'!B:B,'Base stats'!E:E),Groups!A:A,Groups!BB:BB),"True","False")</f>
        <v>False</v>
      </c>
      <c r="CJ287" s="25" t="str">
        <f>IF(_xlfn.XLOOKUP(_xlfn.XLOOKUP(B287,'Base stats'!B:B,'Base stats'!E:E),Groups!A:A,Groups!BA:BA),"True","False")</f>
        <v>False</v>
      </c>
    </row>
    <row r="288" spans="1:88" ht="16.5" thickTop="1" thickBot="1" x14ac:dyDescent="0.3">
      <c r="A288" s="26" t="s">
        <v>1486</v>
      </c>
      <c r="B288" s="6" t="str">
        <f>_xlfn.XLOOKUP(A288,'Base stats'!A:A,'Base stats'!B:B)</f>
        <v>Coleoptera ferrum</v>
      </c>
      <c r="C288" s="28" t="s">
        <v>1487</v>
      </c>
      <c r="D288" s="28" t="s">
        <v>1341</v>
      </c>
      <c r="E288" s="28" t="s">
        <v>673</v>
      </c>
      <c r="F288" s="28" t="s">
        <v>673</v>
      </c>
      <c r="G288" s="28" t="s">
        <v>673</v>
      </c>
      <c r="H288" s="2">
        <f>MROUND((
  (IF(AND(_xlfn.XLOOKUP(B288,'Base stats'!B:B,'Base stats'!AL:AL)=0,BI288="None",_xlfn.XLOOKUP(_xlfn.XLOOKUP(B288,'Base stats'!B:B,'Base stats'!E:E),Groups!A:A,Groups!B:B)=0), (18 + BR288 * 2.7) * 0.5,
    IF(AND(_xlfn.XLOOKUP(B288,'Base stats'!B:B,'Base stats'!AL:AL)=0,OR(AO288&lt;0.55,AND(BI288="Intermediate",_xlfn.XLOOKUP(_xlfn.XLOOKUP(B288,'Base stats'!B:B,'Base stats'!E:E),Groups!A:A,Groups!B:B)&lt;2))), (18 + BR288 * 2.7),
      IF(OR(BI288="Advanced",_xlfn.XLOOKUP(B288,'Base stats'!B:B,'Base stats'!AL:AL)=1,_xlfn.XLOOKUP(_xlfn.XLOOKUP(B288,'Base stats'!B:B,'Base stats'!E:E),Groups!A:A,Groups!B:B)=2), (18 + BR288 * 2.7) + 250, (18 + BR288 * 2.7))
    )
  ))
  + AO288 * 80
  + IF(COUNTIF(EggMilk!K$2:K$998, A288) &gt; 0, 125, 0)
  + IF(COUNTIF(EggMilk!P$2:P$998, A288) &gt; 0, 90, 0)
  + IF(COUNTIF(EggMilk!A$2:A$998, A288) &gt; 0, 90, 0)
)
* (0.8 + 0.4 * J288)
* 0.75,25)</f>
        <v>1575</v>
      </c>
      <c r="I288" s="2">
        <f>MROUND(ROUNDDOWN(_xlfn.XLOOKUP(B288,'Base stats'!B:B,'Base stats'!L:L)/3.6/(23.3/11),1),0.5)</f>
        <v>2.5</v>
      </c>
      <c r="J288" s="2">
        <f>IF(OR(_xlfn.XLOOKUP(B288,'Base stats'!B:B,'Base stats'!AB:AB)=1,_xlfn.XLOOKUP(_xlfn.XLOOKUP(B288,'Base stats'!B:B,'Base stats'!E:E),Groups!A:A,Groups!C:C)="Untamable"),1,IF(_xlfn.XLOOKUP(B288,'Base stats'!B:B,'Base stats'!AL:AL)=1,0.99,MIN(MROUND((1-0.6282*EXP(-0.459*AO288))*_xlfn.XLOOKUP(_xlfn.XLOOKUP(B288,'Base stats'!B:B,'Base stats'!E:E),Groups!A:A,Groups!C:C)*IF(_xlfn.XLOOKUP(B288,'Base stats'!B:B,'Base stats'!O:O)=1,0.5,IF(_xlfn.XLOOKUP(B288,'Base stats'!B:B,'Base stats'!O:O)=2,0,1)),0.05),IF(AO288&gt;3.5,0.985,0.95))))</f>
        <v>0.95</v>
      </c>
      <c r="K288" s="2">
        <f>ROUNDUP(AO288*_xlfn.XLOOKUP(_xlfn.XLOOKUP(B288,'Base stats'!B:B,'Base stats'!E:E),Groups!A:A,Groups!E:E),0)</f>
        <v>4</v>
      </c>
      <c r="L288" s="2">
        <f>IF(OR(_xlfn.XLOOKUP(_xlfn.XLOOKUP(B288,'Base stats'!B:B,'Base stats'!E:E),Groups!A:A,Groups!F:F)=2,ISNUMBER(SEARCH("SeaIce",BX288)),ISNUMBER(SEARCH("IceSheet",BX288))),-50,IF(OR(ISNUMBER(SEARCH("GlacialPlain",BX288)),ISNUMBER(SEARCH("Tundra",BX288))),-40,IF(OR(ISNUMBER(SEARCH("Alpine",BX288)),ISNUMBER(SEARCH("BorealForest",BX288)),ISNUMBER(SEARCH("ColdBog",BX288))),-30,IF(OR(ISNUMBER(SEARCH("TemperateForest",BX288)),ISNUMBER(SEARCH("TemperateSwamp",BX288))),-20,IF(_xlfn.XLOOKUP(_xlfn.XLOOKUP(B288,'Base stats'!B:B,'Base stats'!E:E),Groups!A:A,Groups!F:F)=1,-15,IF(OR(ISNUMBER(SEARCH("Desert",BX288)),ISNUMBER(SEARCH("ExtremeDesert",BX288))),-10,IF(OR(ISNUMBER(SEARCH("Grasslands",BX288)),ISNUMBER(SEARCH("TropicalRainforest",BX288)),ISNUMBER(SEARCH("TropicalSwamp",BX288))),10,0)))))))-IF(CC288="False",MIN(IFERROR(MAX(MROUND(LOG10(_xlfn.XLOOKUP(B288,'Base stats'!B:B,'Base stats'!C:C)^(2/3))*10,5),5),5),30))-_xlfn.XLOOKUP(B288,'Base stats'!B:B,'Base stats'!P:P)+IF(CC288="True",5,0)</f>
        <v>5</v>
      </c>
      <c r="M288" s="2">
        <f>IF(OR(_xlfn.XLOOKUP(_xlfn.XLOOKUP(B288,'Base stats'!B:B,'Base stats'!E:E),Groups!A:A,Groups!G:G)=2,ISNUMBER(SEARCH("Desert",BX288)),ISNUMBER(SEARCH("ExtremeDesert",BX288)),ISNUMBER(SEARCH("LavaField",BX288))),50,IF(ISNUMBER(SEARCH("Grasslands",BX288)),45,IF(OR(_xlfn.XLOOKUP(_xlfn.XLOOKUP(B288,'Base stats'!B:B,'Base stats'!E:E),Groups!A:A,Groups!G:G)=1,ISNUMBER(SEARCH("TropicalRainforest",BX288)),ISNUMBER(SEARCH("TropicalSwamp",BX288))),40,IF(OR(ISNUMBER(SEARCH("TemperateForest",BX288)),ISNUMBER(SEARCH("TemperateSwamp",BX288))),35,IF(OR(ISNUMBER(SEARCH("Alpine",BX288)),ISNUMBER(SEARCH("BorealForest",BX288)),ISNUMBER(SEARCH("ColdBog",BX288))),30,IF(ISNUMBER(OR(ISNUMBER(SEARCH("GlacialPlain",BX288)),SEARCH("Tundra",BX288))),25,IF(OR(ISNUMBER(SEARCH("SeaIce",BX288)),ISNUMBER(SEARCH("IceSheet",BX288)),ISNUMBER(SEARCH("TropicalSwamp",BX288))),10,35)))))))+_xlfn.XLOOKUP(B288,'Base stats'!B:B,'Base stats'!Q:Q)</f>
        <v>50</v>
      </c>
      <c r="N288" s="8">
        <f>IF(
_xlfn.XLOOKUP(
_xlfn.XLOOKUP(B288,'Base stats'!B:B,'Base stats'!E:E),
Groups!A:A,
Groups!L:L
)=1,
MIN(
MROUND(
IF(
_xlfn.XLOOKUP(B288,'Animals CE'!B:B,'Animals CE'!Z:Z)&lt;=1.5,
_xlfn.XLOOKUP(B288,'Animals CE'!B:B,'Animals CE'!Z:Z)/2+0.05,
0.8+
(_xlfn.XLOOKUP(B288,'Animals CE'!B:B,'Animals CE'!Z:Z)-1.5)
*0.02
),
0.05
),
200%
),
"No"
)</f>
        <v>0.9</v>
      </c>
      <c r="O288" s="8">
        <f>IF(
_xlfn.XLOOKUP(
_xlfn.XLOOKUP(B288,'Base stats'!B:B,'Base stats'!E:E),
Groups!A:A,
Groups!L:L
)=1,
MIN(
MROUND(
IF(
_xlfn.XLOOKUP(B288,'Animals CE'!B:B,'Animals CE'!AA:AA)&lt;=1.5,
_xlfn.XLOOKUP(B288,'Animals CE'!B:B,'Animals CE'!AA:AA)/2+0.05,
0.8+
(_xlfn.XLOOKUP(B288,'Animals CE'!B:B,'Animals CE'!AA:AA)-1.5)
*0.02
),
0.05
),
200%
),
"No"
)</f>
        <v>0.85000000000000009</v>
      </c>
      <c r="P288" s="2" t="str">
        <f>_xlfn.XLOOKUP(B288,'Base stats'!B:B,'Base stats'!R:R)</f>
        <v>Standard</v>
      </c>
      <c r="Q288" s="13">
        <f>MROUND((LOG10(_xlfn.XLOOKUP(B288,'Base stats'!B:B,'Base stats'!AR:AR))*(AO288^0.5)+(_xlfn.XLOOKUP(B288,'Base stats'!B:B,'Base stats'!AR:AR)/1000)^(2/3)+_xlfn.XLOOKUP(B288,'Base stats'!B:B,'Base stats'!BA:BA)/2)+0.5,0.5)</f>
        <v>21.5</v>
      </c>
      <c r="R288" s="7">
        <f>IF(Q288="No","No",MAX(1,MROUND(_xlfn.XLOOKUP(B288,'Base stats'!B:B,'Base stats'!C:C)^0.165,0.05)))</f>
        <v>3.2</v>
      </c>
      <c r="S288" s="13" t="str">
        <f>IF(_xlfn.XLOOKUP(_xlfn.XLOOKUP(B288,'Base stats'!B:B,'Base stats'!E:E),Groups!A:A,Groups!P:P)=0,"No",MROUND((LOG10(_xlfn.XLOOKUP(B288,'Base stats'!B:B,'Base stats'!AS:AS))*(AO288^0.5)+(_xlfn.XLOOKUP(B288,'Base stats'!B:B,'Base stats'!AS:AS)/1000)^(2/3)+_xlfn.XLOOKUP(B288,'Base stats'!B:B,'Base stats'!BA:BA))+_xlfn.XLOOKUP(B288,'Base stats'!B:B,'Base stats'!AY:AY)+0.5,0.5))</f>
        <v>No</v>
      </c>
      <c r="T288" s="7" t="str">
        <f>IF(S288="No","No",MAX(_xlfn.XLOOKUP(_xlfn.XLOOKUP(B288,'Base stats'!B:B,'Base stats'!E:E),Groups!A:A,Groups!Q:Q),MROUND(_xlfn.XLOOKUP(_xlfn.XLOOKUP(B288,'Base stats'!B:B,'Base stats'!E:E),Groups!A:A,Groups!Q:Q)*_xlfn.XLOOKUP(B288,'Base stats'!B:B,'Base stats'!C:C)^0.165,0.05)))</f>
        <v>No</v>
      </c>
      <c r="U288" s="7" t="str">
        <f>IF(S288="No","No",_xlfn.XLOOKUP(_xlfn.XLOOKUP(B288,'Base stats'!B:B,'Base stats'!E:E),Groups!A:A,Groups!R:R))</f>
        <v>No</v>
      </c>
      <c r="V288" s="7" t="str">
        <f>IF(S288="No","No",_xlfn.XLOOKUP(_xlfn.XLOOKUP(B288,'Base stats'!B:B,'Base stats'!E:E),Groups!A:A,Groups!S:S))</f>
        <v>No</v>
      </c>
      <c r="W288" s="7" t="str">
        <f>IF(S288="No","No",_xlfn.XLOOKUP(_xlfn.XLOOKUP(B288,'Base stats'!B:B,'Base stats'!E:E),Groups!A:A,Groups!T:T))</f>
        <v>No</v>
      </c>
      <c r="X288" s="13" t="str">
        <f>IF(_xlfn.XLOOKUP(B288,'Base stats'!B:B,'Base stats'!W:W)="No","No",MROUND((LOG10(_xlfn.XLOOKUP(B288,'Base stats'!B:B,'Base stats'!AU:AU))*(AO288^0.5)+(_xlfn.XLOOKUP(B288,'Base stats'!B:B,'Base stats'!AU:AU)/1000)^(2/3)+_xlfn.XLOOKUP(B288,'Base stats'!B:B,'Base stats'!AZ:AZ))+0.5+IF(_xlfn.XLOOKUP(_xlfn.XLOOKUP(B288,'Base stats'!B:B,'Base stats'!E:E),Groups!A:A,Groups!U:U)&lt;&gt;3,_xlfn.XLOOKUP(B288,'Base stats'!B:B,'Base stats'!BA:BA),0),0.5))</f>
        <v>No</v>
      </c>
      <c r="Y288" s="7" t="str">
        <f>IF(X288="No","No",MAX(_xlfn.XLOOKUP(_xlfn.XLOOKUP(B288,'Base stats'!B:B,'Base stats'!E:E),Groups!A:A,Groups!V:V),MROUND(_xlfn.XLOOKUP(_xlfn.XLOOKUP(B288,'Base stats'!B:B,'Base stats'!E:E),Groups!A:A,Groups!V:V)*_xlfn.XLOOKUP(B288,'Base stats'!B:B,'Base stats'!C:C)^0.165,0.05)))</f>
        <v>No</v>
      </c>
      <c r="Z288" s="7" t="str">
        <f>IF(X288="No","No",_xlfn.XLOOKUP(_xlfn.XLOOKUP(B288,'Base stats'!B:B,'Base stats'!E:E),Groups!A:A,Groups!W:W))</f>
        <v>No</v>
      </c>
      <c r="AA288" s="7" t="str">
        <f>IF(X288="No","No",_xlfn.XLOOKUP(_xlfn.XLOOKUP(B288,'Base stats'!B:B,'Base stats'!E:E),Groups!A:A,Groups!X:X))</f>
        <v>No</v>
      </c>
      <c r="AB288" s="7" t="str">
        <f>IF(X288="No","No",_xlfn.XLOOKUP(_xlfn.XLOOKUP(B288,'Base stats'!B:B,'Base stats'!E:E),Groups!A:A,Groups!Y:Y))</f>
        <v>No</v>
      </c>
      <c r="AC288" s="7" t="str">
        <f>_xlfn.XLOOKUP(Animals!B288,'Base stats'!B:B,'Base stats'!X:X)</f>
        <v>False</v>
      </c>
      <c r="AD288" s="13">
        <f>IF(_xlfn.XLOOKUP(B288,'Base stats'!B:B,'Base stats'!AT:AT)="No","No",MROUND((LOG10(_xlfn.XLOOKUP(B288,'Base stats'!B:B,'Base stats'!AT:AT))*(AO288^0.75)+(_xlfn.XLOOKUP(B288,'Base stats'!B:B,'Base stats'!AT:AT)/1000)^(2/3)+_xlfn.XLOOKUP(B288,'Base stats'!B:B,'Base stats'!AX:AX)+_xlfn.XLOOKUP(B288,'Base stats'!B:B,'Base stats'!BA:BA))+0.5,0.5))</f>
        <v>62</v>
      </c>
      <c r="AE288" s="7">
        <f>IF(AD288="No","No",MAX(_xlfn.XLOOKUP(_xlfn.XLOOKUP(B288,'Base stats'!B:B,'Base stats'!E:E),Groups!A:A,Groups!Z:Z),MROUND(_xlfn.XLOOKUP(_xlfn.XLOOKUP(B288,'Base stats'!B:B,'Base stats'!E:E),Groups!A:A,Groups!Z:Z)*_xlfn.XLOOKUP(B288,'Base stats'!B:B,'Base stats'!C:C)^0.165,0.05)))</f>
        <v>3.85</v>
      </c>
      <c r="AF288" s="7" t="str">
        <f>IF(AD288="No","No",_xlfn.XLOOKUP(_xlfn.XLOOKUP(B288,'Base stats'!B:B,'Base stats'!E:E),Groups!A:A,Groups!AA:AA))</f>
        <v>Mouth</v>
      </c>
      <c r="AG288" s="7" t="str">
        <f>IF(AD288="No","No",_xlfn.XLOOKUP(_xlfn.XLOOKUP(B288,'Base stats'!B:B,'Base stats'!E:E),Groups!A:A,Groups!AB:AB))</f>
        <v>mandibles</v>
      </c>
      <c r="AH288" s="7" t="str">
        <f>IF(AD288="No","No",_xlfn.XLOOKUP(_xlfn.XLOOKUP(B288,'Base stats'!B:B,'Base stats'!E:E),Groups!A:A,Groups!AC:AC))</f>
        <v>Bite</v>
      </c>
      <c r="AI288" s="13" t="str">
        <f>IF(_xlfn.XLOOKUP(_xlfn.XLOOKUP(B288,'Base stats'!B:B,'Base stats'!E:E),Groups!A:A,Groups!AD:AD)=0,"No",MROUND((LOG10(_xlfn.XLOOKUP(B288,'Base stats'!B:B,'Base stats'!AS:AS))*(AO288^0.75)+(_xlfn.XLOOKUP(B288,'Base stats'!B:B,'Base stats'!AS:AS)/1000)^(2/3)+_xlfn.XLOOKUP(B288,'Base stats'!B:B,'Base stats'!AY:AY)+_xlfn.XLOOKUP(B288,'Base stats'!B:B,'Base stats'!BA:BA))+0.5,0.5))</f>
        <v>No</v>
      </c>
      <c r="AJ288" s="7" t="str">
        <f>IF(AI288="No","No",MAX(_xlfn.XLOOKUP(_xlfn.XLOOKUP(B288,'Base stats'!B:B,'Base stats'!E:E),Groups!A:A,Groups!AE:AE),MROUND(_xlfn.XLOOKUP(_xlfn.XLOOKUP(B288,'Base stats'!B:B,'Base stats'!E:E),Groups!A:A,Groups!AE:AE)*IF(_xlfn.XLOOKUP(_xlfn.XLOOKUP(B288,'Base stats'!B:B,'Base stats'!E:E),Groups!A:A,Groups!AJ:AJ)="Photonozoa",0.6,1)*_xlfn.XLOOKUP(B288,'Base stats'!B:B,'Base stats'!C:C)^0.165,0.05)))</f>
        <v>No</v>
      </c>
      <c r="AK288" s="7" t="str">
        <f>IF(AI288="No","No",_xlfn.XLOOKUP(_xlfn.XLOOKUP(B288,'Base stats'!B:B,'Base stats'!E:E),Groups!A:A,Groups!AF:AF))</f>
        <v>No</v>
      </c>
      <c r="AL288" s="7" t="str">
        <f>IF(AI288="No","No",_xlfn.XLOOKUP(_xlfn.XLOOKUP(B288,'Base stats'!B:B,'Base stats'!E:E),Groups!A:A,Groups!AG:AG))</f>
        <v>No</v>
      </c>
      <c r="AM288" s="7" t="str">
        <f>IF(AI288="No","No",_xlfn.XLOOKUP(_xlfn.XLOOKUP(B288,'Base stats'!B:B,'Base stats'!E:E),Groups!A:A,Groups!AH:AH))</f>
        <v>No</v>
      </c>
      <c r="AN288" s="2" t="str">
        <f t="shared" si="28"/>
        <v>No</v>
      </c>
      <c r="AO288" s="2">
        <f>MROUND(IF(AND(_xlfn.XLOOKUP(B288,'Base stats'!B:B,'Base stats'!C:C)&gt;=0.5,_xlfn.XLOOKUP(B288,'Base stats'!B:B,'Base stats'!C:C)&lt;=0.8),
IF(_xlfn.XLOOKUP(B288,'Base stats'!B:B,'Base stats'!C:C)&lt;0.1,0.05,IF(_xlfn.XLOOKUP(B288,'Base stats'!B:B,'Base stats'!C:C)&lt;=70,(_xlfn.XLOOKUP(B288,'Base stats'!B:B,'Base stats'!C:C)/70)^0.426489913056526,IF(_xlfn.XLOOKUP(B288,'Base stats'!B:B,'Base stats'!C:C)&lt;=400,(_xlfn.XLOOKUP(B288,'Base stats'!B:B,'Base stats'!C:C)/70)^0.572811455315093,IF(_xlfn.XLOOKUP(B288,'Base stats'!B:B,'Base stats'!C:C)&lt;=2000,2.71391647193063*(_xlfn.XLOOKUP(B288,'Base stats'!B:B,'Base stats'!C:C)/400)^0.252459582904293,3.74314280240376*(_xlfn.XLOOKUP(B288,'Base stats'!B:B,'Base stats'!C:C)/2000)^0.357012633876913)))),
IF(_xlfn.XLOOKUP(B288,'Base stats'!B:B,'Base stats'!C:C)&lt;0.1,0.05,IF(_xlfn.XLOOKUP(B288,'Base stats'!B:B,'Base stats'!C:C)&lt;0.4,0.1,IF(_xlfn.XLOOKUP(B288,'Base stats'!B:B,'Base stats'!C:C)&lt;=70,(_xlfn.XLOOKUP(B288,'Base stats'!B:B,'Base stats'!C:C)/70)^0.445823913056526,IF(_xlfn.XLOOKUP(B288,'Base stats'!B:B,'Base stats'!C:C)&lt;=400,(_xlfn.XLOOKUP(B288,'Base stats'!B:B,'Base stats'!C:C)/70)^0.572811455315093,IF(_xlfn.XLOOKUP(B288,'Base stats'!B:B,'Base stats'!C:C)&lt;=2000,2.71391647193063*(_xlfn.XLOOKUP(B288,'Base stats'!B:B,'Base stats'!C:C)/400)^0.252459582904293,3.74314280240376*(_xlfn.XLOOKUP(B288,'Base stats'!B:B,'Base stats'!C:C)/2000)^0.357012633876913)))))),
IF(_xlfn.XLOOKUP(B288,'Base stats'!B:B,'Base stats'!C:C)&lt;0.1,0.05,IF(_xlfn.XLOOKUP(B288,'Base stats'!B:B,'Base stats'!C:C)&lt;=100,0.05,IF(_xlfn.XLOOKUP(B288,'Base stats'!B:B,'Base stats'!C:C)&lt;=250,0.1,IF(_xlfn.XLOOKUP(B288,'Base stats'!B:B,'Base stats'!C:C)&lt;=4000,0.25,0.5)))))</f>
        <v>3.5</v>
      </c>
      <c r="AP288" s="8">
        <f>MROUND(AO288*_xlfn.XLOOKUP(_xlfn.XLOOKUP(B288,'Base stats'!B:B,'Base stats'!E:E),Groups!A:A,Groups!AI:AI)*_xlfn.XLOOKUP(B288,'Base stats'!B:B,'Base stats'!Z:Z),0.05)</f>
        <v>3.5</v>
      </c>
      <c r="AQ288" s="8">
        <f>MAX(0.01,MROUND(IF(CC288="True",0.196*(AO288*100*1000)^0.889,IF(_xlfn.XLOOKUP(_xlfn.XLOOKUP(B288,'Base stats'!B:B,'Base stats'!E:E),Groups!A:A,Groups!AJ:AJ)="Bird",10.5*(AO288*100*1000)^0.681,4.82*(AO288*100*1000)^0.734))/(4.82*(1*100*1000)^0.734)/IF(AO288&lt;3.5,2,IF(AO288=3.5,1.5,1.25))*(1+0.132282374779864/(AO288^0.994035016789033+0.00905238001496948)),0.05))</f>
        <v>0.5</v>
      </c>
      <c r="AR288" s="9">
        <f>IFERROR(MROUND(_xlfn.XLOOKUP(B288,'Base stats'!B:B,'Base stats'!H:H)/IF(_xlfn.XLOOKUP(B288,'Base stats'!B:B,'Base stats'!I:I)&lt;&gt;1,(122.5/70),1.2),IF(_xlfn.XLOOKUP(B288,'Base stats'!B:B,'Base stats'!H:H)&gt;=30,5,IF(_xlfn.XLOOKUP(B288,'Base stats'!B:B,'Base stats'!H:H)&gt;=15,3,IF(_xlfn.XLOOKUP(B288,'Base stats'!B:B,'Base stats'!H:H)&gt;=10,2,1)))),"Immortal")</f>
        <v>40</v>
      </c>
      <c r="AS288" s="35" t="str">
        <f>IFERROR(IF(OR(_xlfn.XLOOKUP(B288,'Base stats'!B:B,'Base stats'!F:F)="Atypical reproduction",_xlfn.XLOOKUP(B288,'Base stats'!B:B,'Base stats'!F:F)="Lay eggs"),"Lay eggs",MIN(20,MAX(5.5,ROUND(((_xlfn.XLOOKUP(B288,'Base stats'!B:B,'Base stats'!F:F)-25)*(14.5/615) + 5.5)*2,0)/2))),"Unknown")</f>
        <v>Lay eggs</v>
      </c>
      <c r="AT288" s="8">
        <f>IF(_xlfn.XLOOKUP(B288,'Base stats'!B:B,'Base stats'!G:G)="Atypical reproduction","No",IFERROR(MAX(IF(_xlfn.XLOOKUP(B288,'Base stats'!B:B,'Base stats'!G:G)&lt;0.5,0.2,0.3),MROUND(_xlfn.XLOOKUP(B288,'Base stats'!B:B,'Base stats'!G:G)/(365/60),0.2)),"Unknown"))</f>
        <v>0.8</v>
      </c>
      <c r="AU288" s="8">
        <f t="shared" si="29"/>
        <v>0.4</v>
      </c>
      <c r="AV288" s="8" t="str">
        <f>IFERROR(IFERROR(MROUND(_xlfn.XLOOKUP(B288,'Base stats'!B:B,'Base stats'!J:J),0.1),"Lay eggs"),"Cannot breed")</f>
        <v>Lay eggs</v>
      </c>
      <c r="AW288" s="2" t="str">
        <f t="shared" si="30"/>
        <v>false</v>
      </c>
      <c r="AX288" s="2" t="str">
        <f>IF(_xlfn.XLOOKUP(_xlfn.XLOOKUP(Animals!B288,'Base stats'!B:B,'Base stats'!E:E),Groups!A:A,Groups!AK:AK)=1,"true","false")</f>
        <v>false</v>
      </c>
      <c r="AY288" s="25" t="str">
        <f>IF(_xlfn.XLOOKUP(B288,'Base stats'!B:B,'Base stats'!Y:Y)="Liquor","Liquor, CarnivoreAnimalStrict",IF(AND(_xlfn.XLOOKUP(B288,'Base stats'!B:B,'Base stats'!Y:Y)="Carnivore",_xlfn.XLOOKUP(_xlfn.XLOOKUP(B288,'Base stats'!B:B,'Base stats'!E:E),Groups!A:A,Groups!AJ:AJ)="Photonozoa"),"CarnivoreAnimalStrict, OvivoreAnimal",IF(_xlfn.XLOOKUP(B288,'Base stats'!B:B,'Base stats'!Y:Y)="Carnivore","CarnivoreAnimal, OvivoreAnimal",IF(_xlfn.XLOOKUP(B288,'Base stats'!B:B,'Base stats'!Y:Y)="Dendrovore","VegetarianRoughAnimal, DendrovoreAnimal",IF(_xlfn.XLOOKUP(B288,'Base stats'!B:B,'Base stats'!Y:Y)="Herbivore","VegetarianRoughAnimal",IF(_xlfn.XLOOKUP(B288,'Base stats'!B:B,'Base stats'!Y:Y)="OmnivoreRough","OmnivoreRoughAnimal, OvivoreAnimal","OmnivoreAnimal, OvivoreAnimal"))))))</f>
        <v>OmnivoreRoughAnimal, OvivoreAnimal</v>
      </c>
      <c r="AZ288" s="2">
        <f>IF(_xlfn.XLOOKUP(_xlfn.XLOOKUP(B288,'Base stats'!B:B,'Base stats'!E:E),Groups!A:A,Groups!D:D)=1,MROUND((1-J288)*5+1,2)*IF(J288&lt;=0.4,2,1),"No")</f>
        <v>2</v>
      </c>
      <c r="BA288" s="2" t="str">
        <f>IF(AND(_xlfn.XLOOKUP(B288,'Base stats'!B:B,'Base stats'!AH:AH)="&lt;li&gt;Seal&lt;/li&gt;",G288="Odyssey"),"&lt;li&gt;AEXP_Seal&lt;/li&gt;",_xlfn.XLOOKUP(B288,'Base stats'!B:B,'Base stats'!AH:AH))</f>
        <v>&lt;li&gt;Megaspider&lt;/li&gt;</v>
      </c>
      <c r="BB288" s="2" t="str">
        <f>_xlfn.XLOOKUP(B288,'Base stats'!B:B,'Base stats'!AG:AG)</f>
        <v>Leather_Chitin</v>
      </c>
      <c r="BC288" s="23" t="str">
        <f>_xlfn.XLOOKUP(_xlfn.XLOOKUP(B288,'Base stats'!B:B,'Base stats'!E:E),Groups!A:A,Groups!AL:AL)</f>
        <v>BeetleLike</v>
      </c>
      <c r="BD288" s="23">
        <f>MIN(1,MROUND(IF(AND(AO288&lt;0.5,_xlfn.XLOOKUP(B288,'Base stats'!B:B,'Base stats'!AA:AA)=0),0,IF(OR(_xlfn.XLOOKUP(Animals!B288,'Base stats'!B:B,'Base stats'!O:O)=2,_xlfn.XLOOKUP(_xlfn.XLOOKUP(B288,'Base stats'!B:B,'Base stats'!E:E),Groups!A:A,Groups!AN:AN)=0),0,_xlfn.XLOOKUP(_xlfn.XLOOKUP(B288,'Base stats'!B:B,'Base stats'!E:E),Groups!A:A,Groups!AN:AN)/IF(_xlfn.XLOOKUP(Animals!B288,'Base stats'!B:B,'Base stats'!O:O)=1,2,1)))+_xlfn.XLOOKUP(B288,'Base stats'!B:B,'Base stats'!AC:AC),0.005))</f>
        <v>0.1</v>
      </c>
      <c r="BE288" s="23">
        <f>MIN(1,MROUND(IF(AND(AO288&lt;0.5,_xlfn.XLOOKUP(B288,'Base stats'!B:B,'Base stats'!AA:AA)=0),0,IF(_xlfn.XLOOKUP(_xlfn.XLOOKUP(B288,'Base stats'!B:B,'Base stats'!E:E),Groups!A:A,Groups!AO:AO)=0,0,_xlfn.XLOOKUP(_xlfn.XLOOKUP(B288,'Base stats'!B:B,'Base stats'!E:E),Groups!A:A,Groups!AO:AO)/IF(_xlfn.XLOOKUP(Animals!B288,'Base stats'!B:B,'Base stats'!O:O)=2,3,1)))+_xlfn.XLOOKUP(B288,'Base stats'!B:B,'Base stats'!AD:AD),0.005))</f>
        <v>0.3</v>
      </c>
      <c r="BF288" s="2" t="str">
        <f>IF(J288&gt;0.3,"No",_xlfn.XLOOKUP(_xlfn.XLOOKUP(Animals!B288,'Base stats'!B:B,'Base stats'!E:E),Groups!A:A,Groups!AP:AP))</f>
        <v>No</v>
      </c>
      <c r="BG288" s="2" t="str">
        <f>IF(AND(J288&lt;=0.65,_xlfn.XLOOKUP(_xlfn.XLOOKUP(Animals!B288,'Base stats'!B:B,'Base stats'!E:E),Groups!A:A,Groups!AP:AP)&lt;&gt;"No",_xlfn.XLOOKUP(_xlfn.XLOOKUP(B288,'Base stats'!B:B,'Base stats'!E:E),Groups!A:A,Groups!D:D)=0),MROUND((80/3)*IF(_xlfn.XLOOKUP(B288,'Base stats'!B:B,'Base stats'!O:O)=2,0.2,AO288) + 24*(1-IF(BF288="No",0,BF288)) + 16/3, 12),"No")</f>
        <v>No</v>
      </c>
      <c r="BH288" s="2">
        <f>IF(AND(_xlfn.XLOOKUP(_xlfn.XLOOKUP(B288,'Base stats'!B:B,'Base stats'!E:E),Groups!A:A,Groups!AQ:AQ)=1,AO288&lt;=0.35),8,12)</f>
        <v>12</v>
      </c>
      <c r="BI288" s="2" t="str">
        <f>IF(_xlfn.XLOOKUP(_xlfn.XLOOKUP(B288,'Base stats'!B:B,'Base stats'!E:E),Groups!A:A,Groups!D:D)=0,_xlfn.XLOOKUP(_xlfn.XLOOKUP(B288,'Base stats'!B:B,'Base stats'!E:E),Groups!A:A,Groups!AR:AR),"None")</f>
        <v>None</v>
      </c>
      <c r="BJ288" s="2" t="str">
        <f>IF(AND(_xlfn.XLOOKUP(_xlfn.XLOOKUP(B288,'Base stats'!B:B,'Base stats'!E:E),Groups!A:A,Groups!AS:AS)=1,OR(_xlfn.XLOOKUP(B288,'Base stats'!B:B,'Base stats'!Y:Y)="Carnivore",_xlfn.XLOOKUP(B288,'Base stats'!B:B,'Base stats'!Y:Y)="Omnivore")),"true","false")</f>
        <v>false</v>
      </c>
      <c r="BK288" s="2" t="str">
        <f>IF(BJ288="true",MROUND(IF(AND(AO288&gt;0.5,OR(_xlfn.XLOOKUP(_xlfn.XLOOKUP(B288,'Base stats'!B:B,'Base stats'!E:E),Groups!A:A,Groups!AJ:AJ)="Photonozoa",_xlfn.XLOOKUP(_xlfn.XLOOKUP(B288,'Base stats'!B:B,'Base stats'!E:E),Groups!A:A,Groups!AJ:AJ)="Mammal")),Animals!AO288*1.75*IF(AW288="true",1.5,1),IF(AO288&lt;0.5,Animals!AO288*0.5,Animals!AO288)),IF(AO288&gt;2,0.5,IF(AO288&gt;0.5,0.25,0.1))),"No")</f>
        <v>No</v>
      </c>
      <c r="BL288" s="2">
        <f t="shared" si="31"/>
        <v>0</v>
      </c>
      <c r="BM288" s="25" t="str">
        <f>IF(_xlfn.XLOOKUP(B288,'Base stats'!B:B,'Base stats'!AN:AN)="Standard","No",MROUND((_xlfn.XLOOKUP(B288,'Base stats'!B:B,'Base stats'!AN:AN)/3.6)/I288,0.1))</f>
        <v>No</v>
      </c>
      <c r="BN288" s="25" t="str">
        <f t="shared" si="32"/>
        <v>false</v>
      </c>
      <c r="BO288" s="25" t="str">
        <f>IF(AND(OR(_xlfn.XLOOKUP(B288,'Base stats'!B:B,'Base stats'!Y:Y)="Carnivore",_xlfn.XLOOKUP(B288,'Base stats'!B:B,'Base stats'!Y:Y)="Omnivore",_xlfn.XLOOKUP(B288,'Base stats'!B:B,'Base stats'!Y:Y)="OmnivoreRough"),_xlfn.XLOOKUP(_xlfn.XLOOKUP(B288,'Base stats'!B:B,'Base stats'!E:E),Groups!A:A,Groups!AT:AT)=1),"true","false")</f>
        <v>false</v>
      </c>
      <c r="BP288" s="25" t="str" cm="1">
        <f t="array" ref="BP288">IF(
  _xlfn.TEXTJOIN(", ",TRUE,
    IF(AND(BJ288="true",AO288&gt;0.5,BI288&lt;&gt;"None"),"AttackTarget",""),
    IF(AND(_xlfn.XLOOKUP(_xlfn.XLOOKUP(B288,'Base stats'!B:B,'Base stats'!E:E),Groups!A:A,Groups!AJ:AJ="Mammal"),OR(_xlfn.XLOOKUP(B288,'Base stats'!B:B,'Base stats'!Y:Y)="Omnivore",_xlfn.XLOOKUP(B288,'Base stats'!B:B,'Base stats'!Y:Y)="OmnivoreRough")),"Forage",""),
    IF(BG288&lt;=36,"Comfort",""),
    IF(_xlfn.XLOOKUP(B288,'Base stats'!B:B,'Base stats'!AE:AE)&lt;&gt;"No",_xlfn.XLOOKUP(B288,'Base stats'!B:B,'Base stats'!AE:AE),"")
  ) = "",
  "No",
  _xlfn.TEXTJOIN(", ",TRUE,
    IF(AND(BJ288="true",AO288&gt;0.5,BI288&lt;&gt;"None"),"AttackTarget",""),
    IF(AND(_xlfn.XLOOKUP(_xlfn.XLOOKUP(B288,'Base stats'!B:B,'Base stats'!E:E),Groups!A:A,Groups!AJ:AJ="Mammal"),OR(_xlfn.XLOOKUP(B288,'Base stats'!B:B,'Base stats'!Y:Y)="Omnivore",_xlfn.XLOOKUP(B288,'Base stats'!B:B,'Base stats'!Y:Y)="OmnivoreRough")),"Forage",""),
    IF(BG288&lt;=36,"Comfort",""),
    IF(_xlfn.XLOOKUP(B288,'Base stats'!B:B,'Base stats'!AE:AE)&lt;&gt;"No",_xlfn.XLOOKUP(B288,'Base stats'!B:B,'Base stats'!AE:AE),"")
  )
)</f>
        <v>No</v>
      </c>
      <c r="BQ288" s="25" t="str">
        <f>IF(
   AND(
      'Base stats'!AN288="Standard",_xlfn.XLOOKUP(_xlfn.XLOOKUP(B288,'Base stats'!B:B,'Base stats'!E:E),Groups!A:A,Groups!AU:AU)=0,
      OR(
      BO288="True"
      )
   ),
   10,
   IF(
       OR(BM288&lt;&gt;"No",_xlfn.XLOOKUP(_xlfn.XLOOKUP(B288,'Base stats'!B:B,'Base stats'!E:E),Groups!A:A,Groups!AU:AU)=1),
      1,
      "No"
   )
)</f>
        <v>No</v>
      </c>
      <c r="BR288" s="9">
        <f>MROUND((1 + ((0.2*IF(OR(Q288="No",R288="No",R288=0),0,Q288/R288)
+IF(OR(V288="No",S288="No",T288="No"),0,S288/T288*(LEN(V288)-LEN(SUBSTITUTE(V288,",",""))+1))
+IF(OR(X288="No",Y288="No"),0,X288/Y288)
+IF(OR(AD288="No",AE288="No"),0,AD288/AE288)
+IF(OR(AL288="No",AI288="No",AJ288="No"),0,AI288/AJ288*(LEN(AL288)-LEN(SUBSTITUTE(AL288,",",""))+1))
)/(0.2*IF(OR(Q288="No",R288="No",R288=0),0,1)
+IF(OR(V288="No",S288="No",T288="No"),0,LEN(V288)-LEN(SUBSTITUTE(V288,",",""))+1)
+IF(OR(X288="No",Y288="No"),0,1)
+IF(OR(AD288="No",AE288="No"),0,1)
+IF(OR(AL288="No",AI288="No",AJ288="No"),0,LEN(AL288)-LEN(SUBSTITUTE(AL288,",",""))+1))*62%)* 2)*(1 + (AP288 / (IF(_xlfn.XLOOKUP(_xlfn.XLOOKUP(B288,'Base stats'!B:B,'Base stats'!E:E),Groups!A:A,Groups!AJ:AJ)="Photonozoa",0.3,1)) + _xlfn.XLOOKUP(B288,'Base stats'!B:B,'Base stats'!AV:AV) * 1.8) * 2) * 2.5 + 10 + I288 * 2,5)+IF(_xlfn.XLOOKUP(B288,'Base stats'!B:B,'Base stats'!AK:AK)=1,50,0)</f>
        <v>545</v>
      </c>
      <c r="BS288" s="8">
        <f t="shared" si="33"/>
        <v>1.1000000000000001</v>
      </c>
      <c r="BT288" s="8" t="str">
        <f>_xlfn.XLOOKUP(B288,'Base stats'!B:B,'Base stats'!AF:AF)</f>
        <v>No</v>
      </c>
      <c r="BU288" s="2" t="str">
        <f>IF(AND(J288&lt;=0.95,OR(_xlfn.XLOOKUP(B288,'Base stats'!B:B,'Base stats'!AK:AK)=1,_xlfn.XLOOKUP(B288,'Base stats'!B:B,'Base stats'!Y:Y)="Carnivore",_xlfn.XLOOKUP(B288,'Base stats'!B:B,'Base stats'!Y:Y)="Omnivore",BE288&gt;0.1)),"true","false")</f>
        <v>true</v>
      </c>
      <c r="BV288" s="2" t="str">
        <f>IF(_xlfn.XLOOKUP(B288,'Base stats'!B:B,'Base stats'!AI:AI)=1,"true","false")</f>
        <v>false</v>
      </c>
      <c r="BW288" s="25" t="str">
        <f>IF(E288="BaseInsect","AnimalInsect",
IF(J288&gt;0.95,"AnimalExotic",
_xlfn.TEXTJOIN(", ",TRUE,
IF(OR(_xlfn.XLOOKUP(B288,'Base stats'!B:B,'Base stats'!AM:AM)=1,AND(_xlfn.XLOOKUP(B288,'Base stats'!B:B,'Base stats'!O:O)=0,_xlfn.XLOOKUP(_xlfn.XLOOKUP(B288,'Base stats'!B:B,'Base stats'!E:E),Groups!A:A,Groups!B:B)&gt;0)),"AnimalUncommon","AnimalCommon"),
IF(AND(_xlfn.XLOOKUP(B288,'Base stats'!B:B,'Base stats'!O:O)=2,_xlfn.XLOOKUP(_xlfn.XLOOKUP(B288,'Base stats'!B:B,'Base stats'!E:E),Groups!A:A,Groups!D:D)=0),"AnimalPet",IF(AND(_xlfn.XLOOKUP(B288,'Base stats'!B:B,'Base stats'!O:O)&lt;&gt;0,_xlfn.XLOOKUP(_xlfn.XLOOKUP(B288,'Base stats'!B:B,'Base stats'!E:E),Groups!A:A,Groups!D:D)&lt;&gt;0),"AnimalFarm","")),
IF(OR(_xlfn.XLOOKUP(B288,'Base stats'!B:B,'Base stats'!AK:AK)=1,AND(BI288&lt;&gt;"None",BR288&gt;=60),ISNUMBER(SEARCH("Attack target",BP288))),"AnimalFighter","")
)))</f>
        <v>AnimalUncommon</v>
      </c>
      <c r="BX288" s="25" t="str">
        <f>IF(G288="None",TRIM(
SUBSTITUTE(
IF(COUNTIF(Biomes!B$2:B$259,"="&amp;$C288)&gt;0,Biomes!B$1&amp;", ","")&amp;
IF(COUNTIF(Biomes!C$2:C$259,"="&amp;$C288)&gt;0,Biomes!C$1&amp;", ","")&amp;
IF(COUNTIF(Biomes!D$2:D$259,"="&amp;$C288)&gt;0,Biomes!D$1&amp;", ","")&amp;
IF(COUNTIF(Biomes!F$2:F$259,"="&amp;$C288)&gt;0,Biomes!F$1&amp;", ","")&amp;
IF(COUNTIF(Biomes!G$2:G$259,"="&amp;$C288)&gt;0,Biomes!G$1&amp;", ","")&amp;
IF(COUNTIF(Biomes!H$2:H$259,"="&amp;$C288)&gt;0,Biomes!H$1&amp;", ","")&amp;
IF(COUNTIF(Biomes!I$2:I$259,"="&amp;$C288)&gt;0,Biomes!I$1&amp;", ","")&amp;
IF(COUNTIF(Biomes!J$2:J$259,"="&amp;$C288)&gt;0,Biomes!J$1&amp;", ","")&amp;
IF(COUNTIF(Biomes!M$2:M$259,"="&amp;$C288)&gt;0,Biomes!M$1&amp;", ","")&amp;
IF(COUNTIF(Biomes!N$2:N$259,"="&amp;$C288)&gt;0,Biomes!N$1&amp;", ","")&amp;
IF(COUNTIF(Biomes!O$2:O$259,"="&amp;$C288)&gt;0,Biomes!O$1&amp;", ","")&amp;
IF(COUNTIF(Biomes!P$2:P$259,"="&amp;$C288)&gt;0,Biomes!P$1&amp;", ","")&amp;
IF(COUNTIF(Biomes!K$2:K$259,"="&amp;$C288)&gt;0,Biomes!K$1&amp;", ","")&amp;
IF(COUNTIF(Biomes!Q$3:Q$259,"="&amp;$C288)&gt;0,Biomes!Q$1&amp;", ","")&amp;
IF(COUNTIF(Biomes!L$2:L$259,"="&amp;$C288)&gt;0,Biomes!L$1&amp;", ","")&amp;
IF(COUNTIF(Biomes!E$2:E$259,"="&amp;$C288)&gt;0,Biomes!E$1&amp;", ","")&amp;IF(COUNTIF(Biomes!S$2:S$259,"="&amp;$C288)&gt;0,Biomes!S$1&amp;", ","")&amp;
IF(COUNTIF(Biomes!R$2:R$259,"="&amp;$C288)&gt;0,Biomes!R$1&amp;", ",""),", ","")
),_xlfn.XLOOKUP(B288,B:B,BX:BX))</f>
        <v/>
      </c>
      <c r="BY288" s="25" t="str">
        <f>IF(_xlfn.XLOOKUP(B288,'Base stats'!B:B,'Base stats'!AJ:AJ)=1,"true","false")</f>
        <v>false</v>
      </c>
      <c r="BZ288" s="25">
        <f>IF(_xlfn.XLOOKUP(B288,'Base stats'!B:B,'Base stats'!N:N)=1,"No",MAX(0.001,MIN(MROUND(IF(AND(BJ288="True",CC288="False"),POWER(10,3.47*LOG10(_xlfn.XLOOKUP(B288,'Base stats'!B:B,'Base stats'!C:C)*1000)^-0.96),POWER(10,4.15*LOG10(_xlfn.XLOOKUP(B288,'Base stats'!B:B,'Base stats'!C:C)*1000)^-0.73))*IF(_xlfn.XLOOKUP(B288,'Base stats'!B:B,'Base stats'!AK:AK)=1,0.5,1)*IF(_xlfn.XLOOKUP(B288,'Base stats'!B:B,'Base stats'!AM:AM)=1,0.1,1)/100,IF(_xlfn.XLOOKUP(B288,'Base stats'!B:B,'Base stats'!AM:AM)=1,0.001,0.025)),0.5)))</f>
        <v>1.3000000000000001E-2</v>
      </c>
      <c r="CA288" s="25" t="str">
        <f>IF(P288="Standard","No",MAX(0.001,MIN(MROUND(IF(AND(BJ288="True",CC288="False"),POWER(10,3.47*LOG10(_xlfn.XLOOKUP(B288,'Base stats'!B:B,'Base stats'!C:C)*1000)^-0.96),POWER(10,4.15*LOG10(_xlfn.XLOOKUP(B288,'Base stats'!B:B,'Base stats'!C:C)*1000)^-0.73))*IF(_xlfn.XLOOKUP(B288,'Base stats'!B:B,'Base stats'!AM:AM)=1,0.1,1)*_xlfn.XLOOKUP(B288,'Base stats'!B:B,'Base stats'!R:R)/100,IF(_xlfn.XLOOKUP(B288,'Base stats'!B:B,'Base stats'!AM:AM)=1,0.001,0.025)),0.5)))</f>
        <v>No</v>
      </c>
      <c r="CB288" s="25" t="str">
        <f>IF(_xlfn.XLOOKUP(_xlfn.XLOOKUP(B288,'Base stats'!B:B,'Base stats'!E:E),Groups!A:A,Groups!AJ:AJ)="Mammal","True","False")</f>
        <v>False</v>
      </c>
      <c r="CC288" s="25" t="str">
        <f>IF(OR(_xlfn.XLOOKUP(_xlfn.XLOOKUP(B288,'Base stats'!B:B,'Base stats'!E:E),Groups!A:A,Groups!AJ:AJ)="Reptile",_xlfn.XLOOKUP(_xlfn.XLOOKUP(B288,'Base stats'!B:B,'Base stats'!E:E),Groups!A:A,Groups!AJ:AJ)="Amphibian",_xlfn.XLOOKUP(_xlfn.XLOOKUP(B288,'Base stats'!B:B,'Base stats'!E:E),Groups!A:A,Groups!AJ:AJ)="Invertebrate"),"True","False")</f>
        <v>True</v>
      </c>
      <c r="CD288" s="25" t="str">
        <f t="shared" si="34"/>
        <v>False</v>
      </c>
      <c r="CE288" s="25" t="str">
        <f>IF(_xlfn.XLOOKUP(_xlfn.XLOOKUP(B288,'Base stats'!B:B,'Base stats'!E:E),Groups!A:A,Groups!AX:AX),"True","False")</f>
        <v>False</v>
      </c>
      <c r="CF288" s="25" t="str">
        <f>IF(_xlfn.XLOOKUP(_xlfn.XLOOKUP(B288,'Base stats'!B:B,'Base stats'!E:E),Groups!A:A,Groups!AY:AY),"True","False")</f>
        <v>False</v>
      </c>
      <c r="CG288" s="25" t="str">
        <f>IF(_xlfn.XLOOKUP(_xlfn.XLOOKUP(B288,'Base stats'!B:B,'Base stats'!E:E),Groups!A:A,Groups!AW:AW),"True","False")</f>
        <v>False</v>
      </c>
      <c r="CH288" s="25" t="str">
        <f>IF(
OR(
_xlfn.XLOOKUP(_xlfn.XLOOKUP(B288,'Base stats'!B:B,'Base stats'!E:E),Groups!A:A,Groups!AZ:AZ)=0,
AND(
_xlfn.XLOOKUP(B288,'Base stats'!B:B,'Base stats'!Y:Y)&lt;&gt;"Carnivore",
_xlfn.XLOOKUP(B288,'Base stats'!B:B,'Base stats'!Y:Y)&lt;&gt;"Omnivore",
_xlfn.XLOOKUP(B288,'Base stats'!B:B,'Base stats'!Y:Y)&lt;&gt;"OmnivoreRough"
)
),
"No",
IF(
_xlfn.XLOOKUP(_xlfn.XLOOKUP(B288,'Base stats'!B:B,'Base stats'!E:E),Groups!A:A,Groups!AZ:AZ)=1,
"Flesh",
IF(
_xlfn.XLOOKUP(_xlfn.XLOOKUP(B288,'Base stats'!B:B,'Base stats'!E:E),Groups!A:A,Groups!AZ:AZ)=2,
"Bone",
""
)
)
)</f>
        <v>Bone</v>
      </c>
      <c r="CI288" s="25" t="str">
        <f>IF(_xlfn.XLOOKUP(_xlfn.XLOOKUP(B288,'Base stats'!B:B,'Base stats'!E:E),Groups!A:A,Groups!BB:BB),"True","False")</f>
        <v>False</v>
      </c>
      <c r="CJ288" s="25" t="str">
        <f>IF(_xlfn.XLOOKUP(_xlfn.XLOOKUP(B288,'Base stats'!B:B,'Base stats'!E:E),Groups!A:A,Groups!BA:BA),"True","False")</f>
        <v>False</v>
      </c>
    </row>
    <row r="289" spans="1:88" ht="16.5" thickTop="1" thickBot="1" x14ac:dyDescent="0.3">
      <c r="A289" s="26" t="s">
        <v>1488</v>
      </c>
      <c r="B289" s="6" t="str">
        <f>_xlfn.XLOOKUP(A289,'Base stats'!A:A,'Base stats'!B:B)</f>
        <v>Araneodraco sylvanus</v>
      </c>
      <c r="C289" s="28" t="s">
        <v>1489</v>
      </c>
      <c r="D289" s="28" t="s">
        <v>1341</v>
      </c>
      <c r="E289" s="28" t="s">
        <v>1747</v>
      </c>
      <c r="F289" s="28" t="s">
        <v>673</v>
      </c>
      <c r="G289" s="28" t="s">
        <v>673</v>
      </c>
      <c r="H289" s="2">
        <f>MROUND((
  (IF(AND(_xlfn.XLOOKUP(B289,'Base stats'!B:B,'Base stats'!AL:AL)=0,BI289="None",_xlfn.XLOOKUP(_xlfn.XLOOKUP(B289,'Base stats'!B:B,'Base stats'!E:E),Groups!A:A,Groups!B:B)=0), (18 + BR289 * 2.7) * 0.5,
    IF(AND(_xlfn.XLOOKUP(B289,'Base stats'!B:B,'Base stats'!AL:AL)=0,OR(AO289&lt;0.55,AND(BI289="Intermediate",_xlfn.XLOOKUP(_xlfn.XLOOKUP(B289,'Base stats'!B:B,'Base stats'!E:E),Groups!A:A,Groups!B:B)&lt;2))), (18 + BR289 * 2.7),
      IF(OR(BI289="Advanced",_xlfn.XLOOKUP(B289,'Base stats'!B:B,'Base stats'!AL:AL)=1,_xlfn.XLOOKUP(_xlfn.XLOOKUP(B289,'Base stats'!B:B,'Base stats'!E:E),Groups!A:A,Groups!B:B)=2), (18 + BR289 * 2.7) + 250, (18 + BR289 * 2.7))
    )
  ))
  + AO289 * 80
  + IF(COUNTIF(EggMilk!K$2:K$998, A289) &gt; 0, 125, 0)
  + IF(COUNTIF(EggMilk!P$2:P$998, A289) &gt; 0, 90, 0)
  + IF(COUNTIF(EggMilk!A$2:A$998, A289) &gt; 0, 90, 0)
)
* (0.8 + 0.4 * J289)
* 0.75,25)</f>
        <v>925</v>
      </c>
      <c r="I289" s="2">
        <f>MROUND(ROUNDDOWN(_xlfn.XLOOKUP(B289,'Base stats'!B:B,'Base stats'!L:L)/3.6/(23.3/11),1),0.5)</f>
        <v>4</v>
      </c>
      <c r="J289" s="2">
        <f>IF(OR(_xlfn.XLOOKUP(B289,'Base stats'!B:B,'Base stats'!AB:AB)=1,_xlfn.XLOOKUP(_xlfn.XLOOKUP(B289,'Base stats'!B:B,'Base stats'!E:E),Groups!A:A,Groups!C:C)="Untamable"),1,IF(_xlfn.XLOOKUP(B289,'Base stats'!B:B,'Base stats'!AL:AL)=1,0.99,MIN(MROUND((1-0.6282*EXP(-0.459*AO289))*_xlfn.XLOOKUP(_xlfn.XLOOKUP(B289,'Base stats'!B:B,'Base stats'!E:E),Groups!A:A,Groups!C:C)*IF(_xlfn.XLOOKUP(B289,'Base stats'!B:B,'Base stats'!O:O)=1,0.5,IF(_xlfn.XLOOKUP(B289,'Base stats'!B:B,'Base stats'!O:O)=2,0,1)),0.05),IF(AO289&gt;3.5,0.985,0.95))))</f>
        <v>0.9</v>
      </c>
      <c r="K289" s="2">
        <f>ROUNDUP(AO289*_xlfn.XLOOKUP(_xlfn.XLOOKUP(B289,'Base stats'!B:B,'Base stats'!E:E),Groups!A:A,Groups!E:E),0)</f>
        <v>3</v>
      </c>
      <c r="L289" s="2">
        <f>IF(OR(_xlfn.XLOOKUP(_xlfn.XLOOKUP(B289,'Base stats'!B:B,'Base stats'!E:E),Groups!A:A,Groups!F:F)=2,ISNUMBER(SEARCH("SeaIce",BX289)),ISNUMBER(SEARCH("IceSheet",BX289))),-50,IF(OR(ISNUMBER(SEARCH("GlacialPlain",BX289)),ISNUMBER(SEARCH("Tundra",BX289))),-40,IF(OR(ISNUMBER(SEARCH("Alpine",BX289)),ISNUMBER(SEARCH("BorealForest",BX289)),ISNUMBER(SEARCH("ColdBog",BX289))),-30,IF(OR(ISNUMBER(SEARCH("TemperateForest",BX289)),ISNUMBER(SEARCH("TemperateSwamp",BX289))),-20,IF(_xlfn.XLOOKUP(_xlfn.XLOOKUP(B289,'Base stats'!B:B,'Base stats'!E:E),Groups!A:A,Groups!F:F)=1,-15,IF(OR(ISNUMBER(SEARCH("Desert",BX289)),ISNUMBER(SEARCH("ExtremeDesert",BX289))),-10,IF(OR(ISNUMBER(SEARCH("Grasslands",BX289)),ISNUMBER(SEARCH("TropicalRainforest",BX289)),ISNUMBER(SEARCH("TropicalSwamp",BX289))),10,0)))))))-IF(CC289="False",MIN(IFERROR(MAX(MROUND(LOG10(_xlfn.XLOOKUP(B289,'Base stats'!B:B,'Base stats'!C:C)^(2/3))*10,5),5),5),30))-_xlfn.XLOOKUP(B289,'Base stats'!B:B,'Base stats'!P:P)+IF(CC289="True",5,0)</f>
        <v>15</v>
      </c>
      <c r="M289" s="2">
        <f>IF(OR(_xlfn.XLOOKUP(_xlfn.XLOOKUP(B289,'Base stats'!B:B,'Base stats'!E:E),Groups!A:A,Groups!G:G)=2,ISNUMBER(SEARCH("Desert",BX289)),ISNUMBER(SEARCH("ExtremeDesert",BX289)),ISNUMBER(SEARCH("LavaField",BX289))),50,IF(ISNUMBER(SEARCH("Grasslands",BX289)),45,IF(OR(_xlfn.XLOOKUP(_xlfn.XLOOKUP(B289,'Base stats'!B:B,'Base stats'!E:E),Groups!A:A,Groups!G:G)=1,ISNUMBER(SEARCH("TropicalRainforest",BX289)),ISNUMBER(SEARCH("TropicalSwamp",BX289))),40,IF(OR(ISNUMBER(SEARCH("TemperateForest",BX289)),ISNUMBER(SEARCH("TemperateSwamp",BX289))),35,IF(OR(ISNUMBER(SEARCH("Alpine",BX289)),ISNUMBER(SEARCH("BorealForest",BX289)),ISNUMBER(SEARCH("ColdBog",BX289))),30,IF(ISNUMBER(OR(ISNUMBER(SEARCH("GlacialPlain",BX289)),SEARCH("Tundra",BX289))),25,IF(OR(ISNUMBER(SEARCH("SeaIce",BX289)),ISNUMBER(SEARCH("IceSheet",BX289)),ISNUMBER(SEARCH("TropicalSwamp",BX289))),10,35)))))))+_xlfn.XLOOKUP(B289,'Base stats'!B:B,'Base stats'!Q:Q)</f>
        <v>40</v>
      </c>
      <c r="N289" s="8">
        <f>IF(
_xlfn.XLOOKUP(
_xlfn.XLOOKUP(B289,'Base stats'!B:B,'Base stats'!E:E),
Groups!A:A,
Groups!L:L
)=1,
MIN(
MROUND(
IF(
_xlfn.XLOOKUP(B289,'Animals CE'!B:B,'Animals CE'!Z:Z)&lt;=1.5,
_xlfn.XLOOKUP(B289,'Animals CE'!B:B,'Animals CE'!Z:Z)/2+0.05,
0.8+
(_xlfn.XLOOKUP(B289,'Animals CE'!B:B,'Animals CE'!Z:Z)-1.5)
*0.02
),
0.05
),
200%
),
"No"
)</f>
        <v>0.8</v>
      </c>
      <c r="O289" s="8">
        <f>IF(
_xlfn.XLOOKUP(
_xlfn.XLOOKUP(B289,'Base stats'!B:B,'Base stats'!E:E),
Groups!A:A,
Groups!L:L
)=1,
MIN(
MROUND(
IF(
_xlfn.XLOOKUP(B289,'Animals CE'!B:B,'Animals CE'!AA:AA)&lt;=1.5,
_xlfn.XLOOKUP(B289,'Animals CE'!B:B,'Animals CE'!AA:AA)/2+0.05,
0.8+
(_xlfn.XLOOKUP(B289,'Animals CE'!B:B,'Animals CE'!AA:AA)-1.5)
*0.02
),
0.05
),
200%
),
"No"
)</f>
        <v>0.15000000000000002</v>
      </c>
      <c r="P289" s="2" t="str">
        <f>_xlfn.XLOOKUP(B289,'Base stats'!B:B,'Base stats'!R:R)</f>
        <v>Standard</v>
      </c>
      <c r="Q289" s="13">
        <f>MROUND((LOG10(_xlfn.XLOOKUP(B289,'Base stats'!B:B,'Base stats'!AR:AR))*(AO289^0.5)+(_xlfn.XLOOKUP(B289,'Base stats'!B:B,'Base stats'!AR:AR)/1000)^(2/3)+_xlfn.XLOOKUP(B289,'Base stats'!B:B,'Base stats'!BA:BA)/2)+0.5,0.5)</f>
        <v>14.5</v>
      </c>
      <c r="R289" s="7">
        <f>IF(Q289="No","No",MAX(1,MROUND(_xlfn.XLOOKUP(B289,'Base stats'!B:B,'Base stats'!C:C)^0.165,0.05)))</f>
        <v>2.7</v>
      </c>
      <c r="S289" s="13" t="str">
        <f>IF(_xlfn.XLOOKUP(_xlfn.XLOOKUP(B289,'Base stats'!B:B,'Base stats'!E:E),Groups!A:A,Groups!P:P)=0,"No",MROUND((LOG10(_xlfn.XLOOKUP(B289,'Base stats'!B:B,'Base stats'!AS:AS))*(AO289^0.5)+(_xlfn.XLOOKUP(B289,'Base stats'!B:B,'Base stats'!AS:AS)/1000)^(2/3)+_xlfn.XLOOKUP(B289,'Base stats'!B:B,'Base stats'!BA:BA))+_xlfn.XLOOKUP(B289,'Base stats'!B:B,'Base stats'!AY:AY)+0.5,0.5))</f>
        <v>No</v>
      </c>
      <c r="T289" s="7" t="str">
        <f>IF(S289="No","No",MAX(_xlfn.XLOOKUP(_xlfn.XLOOKUP(B289,'Base stats'!B:B,'Base stats'!E:E),Groups!A:A,Groups!Q:Q),MROUND(_xlfn.XLOOKUP(_xlfn.XLOOKUP(B289,'Base stats'!B:B,'Base stats'!E:E),Groups!A:A,Groups!Q:Q)*_xlfn.XLOOKUP(B289,'Base stats'!B:B,'Base stats'!C:C)^0.165,0.05)))</f>
        <v>No</v>
      </c>
      <c r="U289" s="7" t="str">
        <f>IF(S289="No","No",_xlfn.XLOOKUP(_xlfn.XLOOKUP(B289,'Base stats'!B:B,'Base stats'!E:E),Groups!A:A,Groups!R:R))</f>
        <v>No</v>
      </c>
      <c r="V289" s="7" t="str">
        <f>IF(S289="No","No",_xlfn.XLOOKUP(_xlfn.XLOOKUP(B289,'Base stats'!B:B,'Base stats'!E:E),Groups!A:A,Groups!S:S))</f>
        <v>No</v>
      </c>
      <c r="W289" s="7" t="str">
        <f>IF(S289="No","No",_xlfn.XLOOKUP(_xlfn.XLOOKUP(B289,'Base stats'!B:B,'Base stats'!E:E),Groups!A:A,Groups!T:T))</f>
        <v>No</v>
      </c>
      <c r="X289" s="13" t="str">
        <f>IF(_xlfn.XLOOKUP(B289,'Base stats'!B:B,'Base stats'!W:W)="No","No",MROUND((LOG10(_xlfn.XLOOKUP(B289,'Base stats'!B:B,'Base stats'!AU:AU))*(AO289^0.5)+(_xlfn.XLOOKUP(B289,'Base stats'!B:B,'Base stats'!AU:AU)/1000)^(2/3)+_xlfn.XLOOKUP(B289,'Base stats'!B:B,'Base stats'!AZ:AZ))+0.5+IF(_xlfn.XLOOKUP(_xlfn.XLOOKUP(B289,'Base stats'!B:B,'Base stats'!E:E),Groups!A:A,Groups!U:U)&lt;&gt;3,_xlfn.XLOOKUP(B289,'Base stats'!B:B,'Base stats'!BA:BA),0),0.5))</f>
        <v>No</v>
      </c>
      <c r="Y289" s="7" t="str">
        <f>IF(X289="No","No",MAX(_xlfn.XLOOKUP(_xlfn.XLOOKUP(B289,'Base stats'!B:B,'Base stats'!E:E),Groups!A:A,Groups!V:V),MROUND(_xlfn.XLOOKUP(_xlfn.XLOOKUP(B289,'Base stats'!B:B,'Base stats'!E:E),Groups!A:A,Groups!V:V)*_xlfn.XLOOKUP(B289,'Base stats'!B:B,'Base stats'!C:C)^0.165,0.05)))</f>
        <v>No</v>
      </c>
      <c r="Z289" s="7" t="str">
        <f>IF(X289="No","No",_xlfn.XLOOKUP(_xlfn.XLOOKUP(B289,'Base stats'!B:B,'Base stats'!E:E),Groups!A:A,Groups!W:W))</f>
        <v>No</v>
      </c>
      <c r="AA289" s="7" t="str">
        <f>IF(X289="No","No",_xlfn.XLOOKUP(_xlfn.XLOOKUP(B289,'Base stats'!B:B,'Base stats'!E:E),Groups!A:A,Groups!X:X))</f>
        <v>No</v>
      </c>
      <c r="AB289" s="7" t="str">
        <f>IF(X289="No","No",_xlfn.XLOOKUP(_xlfn.XLOOKUP(B289,'Base stats'!B:B,'Base stats'!E:E),Groups!A:A,Groups!Y:Y))</f>
        <v>No</v>
      </c>
      <c r="AC289" s="7" t="str">
        <f>_xlfn.XLOOKUP(Animals!B289,'Base stats'!B:B,'Base stats'!X:X)</f>
        <v>False</v>
      </c>
      <c r="AD289" s="13">
        <f>IF(_xlfn.XLOOKUP(B289,'Base stats'!B:B,'Base stats'!AT:AT)="No","No",MROUND((LOG10(_xlfn.XLOOKUP(B289,'Base stats'!B:B,'Base stats'!AT:AT))*(AO289^0.75)+(_xlfn.XLOOKUP(B289,'Base stats'!B:B,'Base stats'!AT:AT)/1000)^(2/3)+_xlfn.XLOOKUP(B289,'Base stats'!B:B,'Base stats'!AX:AX)+_xlfn.XLOOKUP(B289,'Base stats'!B:B,'Base stats'!BA:BA))+0.5,0.5))</f>
        <v>36.5</v>
      </c>
      <c r="AE289" s="7">
        <f>IF(AD289="No","No",MAX(_xlfn.XLOOKUP(_xlfn.XLOOKUP(B289,'Base stats'!B:B,'Base stats'!E:E),Groups!A:A,Groups!Z:Z),MROUND(_xlfn.XLOOKUP(_xlfn.XLOOKUP(B289,'Base stats'!B:B,'Base stats'!E:E),Groups!A:A,Groups!Z:Z)*_xlfn.XLOOKUP(B289,'Base stats'!B:B,'Base stats'!C:C)^0.165,0.05)))</f>
        <v>3.2</v>
      </c>
      <c r="AF289" s="7" t="str">
        <f>IF(AD289="No","No",_xlfn.XLOOKUP(_xlfn.XLOOKUP(B289,'Base stats'!B:B,'Base stats'!E:E),Groups!A:A,Groups!AA:AA))</f>
        <v>Mouth</v>
      </c>
      <c r="AG289" s="7" t="str">
        <f>IF(AD289="No","No",_xlfn.XLOOKUP(_xlfn.XLOOKUP(B289,'Base stats'!B:B,'Base stats'!E:E),Groups!A:A,Groups!AB:AB))</f>
        <v>chelicerae</v>
      </c>
      <c r="AH289" s="7" t="str">
        <f>IF(AD289="No","No",_xlfn.XLOOKUP(_xlfn.XLOOKUP(B289,'Base stats'!B:B,'Base stats'!E:E),Groups!A:A,Groups!AC:AC))</f>
        <v>ToxicBite</v>
      </c>
      <c r="AI289" s="13" t="str">
        <f>IF(_xlfn.XLOOKUP(_xlfn.XLOOKUP(B289,'Base stats'!B:B,'Base stats'!E:E),Groups!A:A,Groups!AD:AD)=0,"No",MROUND((LOG10(_xlfn.XLOOKUP(B289,'Base stats'!B:B,'Base stats'!AS:AS))*(AO289^0.75)+(_xlfn.XLOOKUP(B289,'Base stats'!B:B,'Base stats'!AS:AS)/1000)^(2/3)+_xlfn.XLOOKUP(B289,'Base stats'!B:B,'Base stats'!AY:AY)+_xlfn.XLOOKUP(B289,'Base stats'!B:B,'Base stats'!BA:BA))+0.5,0.5))</f>
        <v>No</v>
      </c>
      <c r="AJ289" s="7" t="str">
        <f>IF(AI289="No","No",MAX(_xlfn.XLOOKUP(_xlfn.XLOOKUP(B289,'Base stats'!B:B,'Base stats'!E:E),Groups!A:A,Groups!AE:AE),MROUND(_xlfn.XLOOKUP(_xlfn.XLOOKUP(B289,'Base stats'!B:B,'Base stats'!E:E),Groups!A:A,Groups!AE:AE)*IF(_xlfn.XLOOKUP(_xlfn.XLOOKUP(B289,'Base stats'!B:B,'Base stats'!E:E),Groups!A:A,Groups!AJ:AJ)="Photonozoa",0.6,1)*_xlfn.XLOOKUP(B289,'Base stats'!B:B,'Base stats'!C:C)^0.165,0.05)))</f>
        <v>No</v>
      </c>
      <c r="AK289" s="7" t="str">
        <f>IF(AI289="No","No",_xlfn.XLOOKUP(_xlfn.XLOOKUP(B289,'Base stats'!B:B,'Base stats'!E:E),Groups!A:A,Groups!AF:AF))</f>
        <v>No</v>
      </c>
      <c r="AL289" s="7" t="str">
        <f>IF(AI289="No","No",_xlfn.XLOOKUP(_xlfn.XLOOKUP(B289,'Base stats'!B:B,'Base stats'!E:E),Groups!A:A,Groups!AG:AG))</f>
        <v>No</v>
      </c>
      <c r="AM289" s="7" t="str">
        <f>IF(AI289="No","No",_xlfn.XLOOKUP(_xlfn.XLOOKUP(B289,'Base stats'!B:B,'Base stats'!E:E),Groups!A:A,Groups!AH:AH))</f>
        <v>No</v>
      </c>
      <c r="AN289" s="2">
        <f t="shared" si="28"/>
        <v>30</v>
      </c>
      <c r="AO289" s="2">
        <f>MROUND(IF(AND(_xlfn.XLOOKUP(B289,'Base stats'!B:B,'Base stats'!C:C)&gt;=0.5,_xlfn.XLOOKUP(B289,'Base stats'!B:B,'Base stats'!C:C)&lt;=0.8),
IF(_xlfn.XLOOKUP(B289,'Base stats'!B:B,'Base stats'!C:C)&lt;0.1,0.05,IF(_xlfn.XLOOKUP(B289,'Base stats'!B:B,'Base stats'!C:C)&lt;=70,(_xlfn.XLOOKUP(B289,'Base stats'!B:B,'Base stats'!C:C)/70)^0.426489913056526,IF(_xlfn.XLOOKUP(B289,'Base stats'!B:B,'Base stats'!C:C)&lt;=400,(_xlfn.XLOOKUP(B289,'Base stats'!B:B,'Base stats'!C:C)/70)^0.572811455315093,IF(_xlfn.XLOOKUP(B289,'Base stats'!B:B,'Base stats'!C:C)&lt;=2000,2.71391647193063*(_xlfn.XLOOKUP(B289,'Base stats'!B:B,'Base stats'!C:C)/400)^0.252459582904293,3.74314280240376*(_xlfn.XLOOKUP(B289,'Base stats'!B:B,'Base stats'!C:C)/2000)^0.357012633876913)))),
IF(_xlfn.XLOOKUP(B289,'Base stats'!B:B,'Base stats'!C:C)&lt;0.1,0.05,IF(_xlfn.XLOOKUP(B289,'Base stats'!B:B,'Base stats'!C:C)&lt;0.4,0.1,IF(_xlfn.XLOOKUP(B289,'Base stats'!B:B,'Base stats'!C:C)&lt;=70,(_xlfn.XLOOKUP(B289,'Base stats'!B:B,'Base stats'!C:C)/70)^0.445823913056526,IF(_xlfn.XLOOKUP(B289,'Base stats'!B:B,'Base stats'!C:C)&lt;=400,(_xlfn.XLOOKUP(B289,'Base stats'!B:B,'Base stats'!C:C)/70)^0.572811455315093,IF(_xlfn.XLOOKUP(B289,'Base stats'!B:B,'Base stats'!C:C)&lt;=2000,2.71391647193063*(_xlfn.XLOOKUP(B289,'Base stats'!B:B,'Base stats'!C:C)/400)^0.252459582904293,3.74314280240376*(_xlfn.XLOOKUP(B289,'Base stats'!B:B,'Base stats'!C:C)/2000)^0.357012633876913)))))),
IF(_xlfn.XLOOKUP(B289,'Base stats'!B:B,'Base stats'!C:C)&lt;0.1,0.05,IF(_xlfn.XLOOKUP(B289,'Base stats'!B:B,'Base stats'!C:C)&lt;=100,0.05,IF(_xlfn.XLOOKUP(B289,'Base stats'!B:B,'Base stats'!C:C)&lt;=250,0.1,IF(_xlfn.XLOOKUP(B289,'Base stats'!B:B,'Base stats'!C:C)&lt;=4000,0.25,0.5)))))</f>
        <v>2.75</v>
      </c>
      <c r="AP289" s="8">
        <f>MROUND(AO289*_xlfn.XLOOKUP(_xlfn.XLOOKUP(B289,'Base stats'!B:B,'Base stats'!E:E),Groups!A:A,Groups!AI:AI)*_xlfn.XLOOKUP(B289,'Base stats'!B:B,'Base stats'!Z:Z),0.05)</f>
        <v>2.75</v>
      </c>
      <c r="AQ289" s="8">
        <f>MAX(0.01,MROUND(IF(CC289="True",0.196*(AO289*100*1000)^0.889,IF(_xlfn.XLOOKUP(_xlfn.XLOOKUP(B289,'Base stats'!B:B,'Base stats'!E:E),Groups!A:A,Groups!AJ:AJ)="Bird",10.5*(AO289*100*1000)^0.681,4.82*(AO289*100*1000)^0.734))/(4.82*(1*100*1000)^0.734)/IF(AO289&lt;3.5,2,IF(AO289=3.5,1.5,1.25))*(1+0.132282374779864/(AO289^0.994035016789033+0.00905238001496948)),0.05))</f>
        <v>0.30000000000000004</v>
      </c>
      <c r="AR289" s="9">
        <f>IFERROR(MROUND(_xlfn.XLOOKUP(B289,'Base stats'!B:B,'Base stats'!H:H)/IF(_xlfn.XLOOKUP(B289,'Base stats'!B:B,'Base stats'!I:I)&lt;&gt;1,(122.5/70),1.2),IF(_xlfn.XLOOKUP(B289,'Base stats'!B:B,'Base stats'!H:H)&gt;=30,5,IF(_xlfn.XLOOKUP(B289,'Base stats'!B:B,'Base stats'!H:H)&gt;=15,3,IF(_xlfn.XLOOKUP(B289,'Base stats'!B:B,'Base stats'!H:H)&gt;=10,2,1)))),"Immortal")</f>
        <v>12</v>
      </c>
      <c r="AS289" s="35" t="str">
        <f>IFERROR(IF(OR(_xlfn.XLOOKUP(B289,'Base stats'!B:B,'Base stats'!F:F)="Atypical reproduction",_xlfn.XLOOKUP(B289,'Base stats'!B:B,'Base stats'!F:F)="Lay eggs"),"Lay eggs",MIN(20,MAX(5.5,ROUND(((_xlfn.XLOOKUP(B289,'Base stats'!B:B,'Base stats'!F:F)-25)*(14.5/615) + 5.5)*2,0)/2))),"Unknown")</f>
        <v>Lay eggs</v>
      </c>
      <c r="AT289" s="8">
        <f>IF(_xlfn.XLOOKUP(B289,'Base stats'!B:B,'Base stats'!G:G)="Atypical reproduction","No",IFERROR(MAX(IF(_xlfn.XLOOKUP(B289,'Base stats'!B:B,'Base stats'!G:G)&lt;0.5,0.2,0.3),MROUND(_xlfn.XLOOKUP(B289,'Base stats'!B:B,'Base stats'!G:G)/(365/60),0.2)),"Unknown"))</f>
        <v>0.8</v>
      </c>
      <c r="AU289" s="8">
        <f t="shared" si="29"/>
        <v>0.4</v>
      </c>
      <c r="AV289" s="8" t="str">
        <f>IFERROR(IFERROR(MROUND(_xlfn.XLOOKUP(B289,'Base stats'!B:B,'Base stats'!J:J),0.1),"Lay eggs"),"Cannot breed")</f>
        <v>Lay eggs</v>
      </c>
      <c r="AW289" s="2" t="str">
        <f t="shared" si="30"/>
        <v>false</v>
      </c>
      <c r="AX289" s="2" t="str">
        <f>IF(_xlfn.XLOOKUP(_xlfn.XLOOKUP(Animals!B289,'Base stats'!B:B,'Base stats'!E:E),Groups!A:A,Groups!AK:AK)=1,"true","false")</f>
        <v>false</v>
      </c>
      <c r="AY289" s="25" t="str">
        <f>IF(_xlfn.XLOOKUP(B289,'Base stats'!B:B,'Base stats'!Y:Y)="Liquor","Liquor, CarnivoreAnimalStrict",IF(AND(_xlfn.XLOOKUP(B289,'Base stats'!B:B,'Base stats'!Y:Y)="Carnivore",_xlfn.XLOOKUP(_xlfn.XLOOKUP(B289,'Base stats'!B:B,'Base stats'!E:E),Groups!A:A,Groups!AJ:AJ)="Photonozoa"),"CarnivoreAnimalStrict, OvivoreAnimal",IF(_xlfn.XLOOKUP(B289,'Base stats'!B:B,'Base stats'!Y:Y)="Carnivore","CarnivoreAnimal, OvivoreAnimal",IF(_xlfn.XLOOKUP(B289,'Base stats'!B:B,'Base stats'!Y:Y)="Dendrovore","VegetarianRoughAnimal, DendrovoreAnimal",IF(_xlfn.XLOOKUP(B289,'Base stats'!B:B,'Base stats'!Y:Y)="Herbivore","VegetarianRoughAnimal",IF(_xlfn.XLOOKUP(B289,'Base stats'!B:B,'Base stats'!Y:Y)="OmnivoreRough","OmnivoreRoughAnimal, OvivoreAnimal","OmnivoreAnimal, OvivoreAnimal"))))))</f>
        <v>CarnivoreAnimal, OvivoreAnimal</v>
      </c>
      <c r="AZ289" s="2" t="str">
        <f>IF(_xlfn.XLOOKUP(_xlfn.XLOOKUP(B289,'Base stats'!B:B,'Base stats'!E:E),Groups!A:A,Groups!D:D)=1,MROUND((1-J289)*5+1,2)*IF(J289&lt;=0.4,2,1),"No")</f>
        <v>No</v>
      </c>
      <c r="BA289" s="2" t="str">
        <f>IF(AND(_xlfn.XLOOKUP(B289,'Base stats'!B:B,'Base stats'!AH:AH)="&lt;li&gt;Seal&lt;/li&gt;",G289="Odyssey"),"&lt;li&gt;AEXP_Seal&lt;/li&gt;",_xlfn.XLOOKUP(B289,'Base stats'!B:B,'Base stats'!AH:AH))</f>
        <v>&lt;li&gt;Megaspider&lt;/li&gt;</v>
      </c>
      <c r="BB289" s="2" t="str">
        <f>_xlfn.XLOOKUP(B289,'Base stats'!B:B,'Base stats'!AG:AG)</f>
        <v>Leather_Chitin</v>
      </c>
      <c r="BC289" s="23" t="str">
        <f>_xlfn.XLOOKUP(_xlfn.XLOOKUP(B289,'Base stats'!B:B,'Base stats'!E:E),Groups!A:A,Groups!AL:AL)</f>
        <v>Arachnid</v>
      </c>
      <c r="BD289" s="23">
        <f>MIN(1,MROUND(IF(AND(AO289&lt;0.5,_xlfn.XLOOKUP(B289,'Base stats'!B:B,'Base stats'!AA:AA)=0),0,IF(OR(_xlfn.XLOOKUP(Animals!B289,'Base stats'!B:B,'Base stats'!O:O)=2,_xlfn.XLOOKUP(_xlfn.XLOOKUP(B289,'Base stats'!B:B,'Base stats'!E:E),Groups!A:A,Groups!AN:AN)=0),0,_xlfn.XLOOKUP(_xlfn.XLOOKUP(B289,'Base stats'!B:B,'Base stats'!E:E),Groups!A:A,Groups!AN:AN)/IF(_xlfn.XLOOKUP(Animals!B289,'Base stats'!B:B,'Base stats'!O:O)=1,2,1)))+_xlfn.XLOOKUP(B289,'Base stats'!B:B,'Base stats'!AC:AC),0.005))</f>
        <v>0.1</v>
      </c>
      <c r="BE289" s="23">
        <f>MIN(1,MROUND(IF(AND(AO289&lt;0.5,_xlfn.XLOOKUP(B289,'Base stats'!B:B,'Base stats'!AA:AA)=0),0,IF(_xlfn.XLOOKUP(_xlfn.XLOOKUP(B289,'Base stats'!B:B,'Base stats'!E:E),Groups!A:A,Groups!AO:AO)=0,0,_xlfn.XLOOKUP(_xlfn.XLOOKUP(B289,'Base stats'!B:B,'Base stats'!E:E),Groups!A:A,Groups!AO:AO)/IF(_xlfn.XLOOKUP(Animals!B289,'Base stats'!B:B,'Base stats'!O:O)=2,3,1)))+_xlfn.XLOOKUP(B289,'Base stats'!B:B,'Base stats'!AD:AD),0.005))</f>
        <v>1</v>
      </c>
      <c r="BF289" s="2" t="str">
        <f>IF(J289&gt;0.3,"No",_xlfn.XLOOKUP(_xlfn.XLOOKUP(Animals!B289,'Base stats'!B:B,'Base stats'!E:E),Groups!A:A,Groups!AP:AP))</f>
        <v>No</v>
      </c>
      <c r="BG289" s="2" t="str">
        <f>IF(AND(J289&lt;=0.65,_xlfn.XLOOKUP(_xlfn.XLOOKUP(Animals!B289,'Base stats'!B:B,'Base stats'!E:E),Groups!A:A,Groups!AP:AP)&lt;&gt;"No",_xlfn.XLOOKUP(_xlfn.XLOOKUP(B289,'Base stats'!B:B,'Base stats'!E:E),Groups!A:A,Groups!D:D)=0),MROUND((80/3)*IF(_xlfn.XLOOKUP(B289,'Base stats'!B:B,'Base stats'!O:O)=2,0.2,AO289) + 24*(1-IF(BF289="No",0,BF289)) + 16/3, 12),"No")</f>
        <v>No</v>
      </c>
      <c r="BH289" s="2">
        <f>IF(AND(_xlfn.XLOOKUP(_xlfn.XLOOKUP(B289,'Base stats'!B:B,'Base stats'!E:E),Groups!A:A,Groups!AQ:AQ)=1,AO289&lt;=0.35),8,12)</f>
        <v>12</v>
      </c>
      <c r="BI289" s="2" t="str">
        <f>IF(_xlfn.XLOOKUP(_xlfn.XLOOKUP(B289,'Base stats'!B:B,'Base stats'!E:E),Groups!A:A,Groups!D:D)=0,_xlfn.XLOOKUP(_xlfn.XLOOKUP(B289,'Base stats'!B:B,'Base stats'!E:E),Groups!A:A,Groups!AR:AR),"None")</f>
        <v>Intermediate</v>
      </c>
      <c r="BJ289" s="2" t="str">
        <f>IF(AND(_xlfn.XLOOKUP(_xlfn.XLOOKUP(B289,'Base stats'!B:B,'Base stats'!E:E),Groups!A:A,Groups!AS:AS)=1,OR(_xlfn.XLOOKUP(B289,'Base stats'!B:B,'Base stats'!Y:Y)="Carnivore",_xlfn.XLOOKUP(B289,'Base stats'!B:B,'Base stats'!Y:Y)="Omnivore")),"true","false")</f>
        <v>true</v>
      </c>
      <c r="BK289" s="2">
        <f>IF(BJ289="true",MROUND(IF(AND(AO289&gt;0.5,OR(_xlfn.XLOOKUP(_xlfn.XLOOKUP(B289,'Base stats'!B:B,'Base stats'!E:E),Groups!A:A,Groups!AJ:AJ)="Photonozoa",_xlfn.XLOOKUP(_xlfn.XLOOKUP(B289,'Base stats'!B:B,'Base stats'!E:E),Groups!A:A,Groups!AJ:AJ)="Mammal")),Animals!AO289*1.75*IF(AW289="true",1.5,1),IF(AO289&lt;0.5,Animals!AO289*0.5,Animals!AO289)),IF(AO289&gt;2,0.5,IF(AO289&gt;0.5,0.25,0.1))),"No")</f>
        <v>3</v>
      </c>
      <c r="BL289" s="2">
        <f t="shared" si="31"/>
        <v>1</v>
      </c>
      <c r="BM289" s="25" t="str">
        <f>IF(_xlfn.XLOOKUP(B289,'Base stats'!B:B,'Base stats'!AN:AN)="Standard","No",MROUND((_xlfn.XLOOKUP(B289,'Base stats'!B:B,'Base stats'!AN:AN)/3.6)/I289,0.1))</f>
        <v>No</v>
      </c>
      <c r="BN289" s="25" t="str">
        <f t="shared" si="32"/>
        <v>false</v>
      </c>
      <c r="BO289" s="25" t="str">
        <f>IF(AND(OR(_xlfn.XLOOKUP(B289,'Base stats'!B:B,'Base stats'!Y:Y)="Carnivore",_xlfn.XLOOKUP(B289,'Base stats'!B:B,'Base stats'!Y:Y)="Omnivore",_xlfn.XLOOKUP(B289,'Base stats'!B:B,'Base stats'!Y:Y)="OmnivoreRough"),_xlfn.XLOOKUP(_xlfn.XLOOKUP(B289,'Base stats'!B:B,'Base stats'!E:E),Groups!A:A,Groups!AT:AT)=1),"true","false")</f>
        <v>false</v>
      </c>
      <c r="BP289" s="25" t="str" cm="1">
        <f t="array" ref="BP289">IF(
  _xlfn.TEXTJOIN(", ",TRUE,
    IF(AND(BJ289="true",AO289&gt;0.5,BI289&lt;&gt;"None"),"AttackTarget",""),
    IF(AND(_xlfn.XLOOKUP(_xlfn.XLOOKUP(B289,'Base stats'!B:B,'Base stats'!E:E),Groups!A:A,Groups!AJ:AJ="Mammal"),OR(_xlfn.XLOOKUP(B289,'Base stats'!B:B,'Base stats'!Y:Y)="Omnivore",_xlfn.XLOOKUP(B289,'Base stats'!B:B,'Base stats'!Y:Y)="OmnivoreRough")),"Forage",""),
    IF(BG289&lt;=36,"Comfort",""),
    IF(_xlfn.XLOOKUP(B289,'Base stats'!B:B,'Base stats'!AE:AE)&lt;&gt;"No",_xlfn.XLOOKUP(B289,'Base stats'!B:B,'Base stats'!AE:AE),"")
  ) = "",
  "No",
  _xlfn.TEXTJOIN(", ",TRUE,
    IF(AND(BJ289="true",AO289&gt;0.5,BI289&lt;&gt;"None"),"AttackTarget",""),
    IF(AND(_xlfn.XLOOKUP(_xlfn.XLOOKUP(B289,'Base stats'!B:B,'Base stats'!E:E),Groups!A:A,Groups!AJ:AJ="Mammal"),OR(_xlfn.XLOOKUP(B289,'Base stats'!B:B,'Base stats'!Y:Y)="Omnivore",_xlfn.XLOOKUP(B289,'Base stats'!B:B,'Base stats'!Y:Y)="OmnivoreRough")),"Forage",""),
    IF(BG289&lt;=36,"Comfort",""),
    IF(_xlfn.XLOOKUP(B289,'Base stats'!B:B,'Base stats'!AE:AE)&lt;&gt;"No",_xlfn.XLOOKUP(B289,'Base stats'!B:B,'Base stats'!AE:AE),"")
  )
)</f>
        <v>AttackTarget</v>
      </c>
      <c r="BQ289" s="25" t="str">
        <f>IF(
   AND(
      'Base stats'!AN289="Standard",_xlfn.XLOOKUP(_xlfn.XLOOKUP(B289,'Base stats'!B:B,'Base stats'!E:E),Groups!A:A,Groups!AU:AU)=0,
      OR(
      BO289="True"
      )
   ),
   10,
   IF(
       OR(BM289&lt;&gt;"No",_xlfn.XLOOKUP(_xlfn.XLOOKUP(B289,'Base stats'!B:B,'Base stats'!E:E),Groups!A:A,Groups!AU:AU)=1),
      1,
      "No"
   )
)</f>
        <v>No</v>
      </c>
      <c r="BR289" s="9">
        <f>MROUND((1 + ((0.2*IF(OR(Q289="No",R289="No",R289=0),0,Q289/R289)
+IF(OR(V289="No",S289="No",T289="No"),0,S289/T289*(LEN(V289)-LEN(SUBSTITUTE(V289,",",""))+1))
+IF(OR(X289="No",Y289="No"),0,X289/Y289)
+IF(OR(AD289="No",AE289="No"),0,AD289/AE289)
+IF(OR(AL289="No",AI289="No",AJ289="No"),0,AI289/AJ289*(LEN(AL289)-LEN(SUBSTITUTE(AL289,",",""))+1))
)/(0.2*IF(OR(Q289="No",R289="No",R289=0),0,1)
+IF(OR(V289="No",S289="No",T289="No"),0,LEN(V289)-LEN(SUBSTITUTE(V289,",",""))+1)
+IF(OR(X289="No",Y289="No"),0,1)
+IF(OR(AD289="No",AE289="No"),0,1)
+IF(OR(AL289="No",AI289="No",AJ289="No"),0,LEN(AL289)-LEN(SUBSTITUTE(AL289,",",""))+1))*62%)* 2)*(1 + (AP289 / (IF(_xlfn.XLOOKUP(_xlfn.XLOOKUP(B289,'Base stats'!B:B,'Base stats'!E:E),Groups!A:A,Groups!AJ:AJ)="Photonozoa",0.3,1)) + _xlfn.XLOOKUP(B289,'Base stats'!B:B,'Base stats'!AV:AV) * 1.8) * 2) * 2.5 + 10 + I289 * 2,5)+IF(_xlfn.XLOOKUP(B289,'Base stats'!B:B,'Base stats'!AK:AK)=1,50,0)</f>
        <v>305</v>
      </c>
      <c r="BS289" s="8">
        <f t="shared" si="33"/>
        <v>0.8</v>
      </c>
      <c r="BT289" s="8" t="str">
        <f>_xlfn.XLOOKUP(B289,'Base stats'!B:B,'Base stats'!AF:AF)</f>
        <v>No</v>
      </c>
      <c r="BU289" s="2" t="str">
        <f>IF(AND(J289&lt;=0.95,OR(_xlfn.XLOOKUP(B289,'Base stats'!B:B,'Base stats'!AK:AK)=1,_xlfn.XLOOKUP(B289,'Base stats'!B:B,'Base stats'!Y:Y)="Carnivore",_xlfn.XLOOKUP(B289,'Base stats'!B:B,'Base stats'!Y:Y)="Omnivore",BE289&gt;0.1)),"true","false")</f>
        <v>true</v>
      </c>
      <c r="BV289" s="2" t="str">
        <f>IF(_xlfn.XLOOKUP(B289,'Base stats'!B:B,'Base stats'!AI:AI)=1,"true","false")</f>
        <v>false</v>
      </c>
      <c r="BW289" s="25" t="str">
        <f>IF(E289="BaseInsect","AnimalInsect",
IF(J289&gt;0.95,"AnimalExotic",
_xlfn.TEXTJOIN(", ",TRUE,
IF(OR(_xlfn.XLOOKUP(B289,'Base stats'!B:B,'Base stats'!AM:AM)=1,AND(_xlfn.XLOOKUP(B289,'Base stats'!B:B,'Base stats'!O:O)=0,_xlfn.XLOOKUP(_xlfn.XLOOKUP(B289,'Base stats'!B:B,'Base stats'!E:E),Groups!A:A,Groups!B:B)&gt;0)),"AnimalUncommon","AnimalCommon"),
IF(AND(_xlfn.XLOOKUP(B289,'Base stats'!B:B,'Base stats'!O:O)=2,_xlfn.XLOOKUP(_xlfn.XLOOKUP(B289,'Base stats'!B:B,'Base stats'!E:E),Groups!A:A,Groups!D:D)=0),"AnimalPet",IF(AND(_xlfn.XLOOKUP(B289,'Base stats'!B:B,'Base stats'!O:O)&lt;&gt;0,_xlfn.XLOOKUP(_xlfn.XLOOKUP(B289,'Base stats'!B:B,'Base stats'!E:E),Groups!A:A,Groups!D:D)&lt;&gt;0),"AnimalFarm","")),
IF(OR(_xlfn.XLOOKUP(B289,'Base stats'!B:B,'Base stats'!AK:AK)=1,AND(BI289&lt;&gt;"None",BR289&gt;=60),ISNUMBER(SEARCH("Attack target",BP289))),"AnimalFighter","")
)))</f>
        <v>AnimalUncommon, AnimalFighter</v>
      </c>
      <c r="BX289" s="25" t="str">
        <f>IF(G289="None",TRIM(
SUBSTITUTE(
IF(COUNTIF(Biomes!B$2:B$259,"="&amp;$C289)&gt;0,Biomes!B$1&amp;", ","")&amp;
IF(COUNTIF(Biomes!C$2:C$259,"="&amp;$C289)&gt;0,Biomes!C$1&amp;", ","")&amp;
IF(COUNTIF(Biomes!D$2:D$259,"="&amp;$C289)&gt;0,Biomes!D$1&amp;", ","")&amp;
IF(COUNTIF(Biomes!F$2:F$259,"="&amp;$C289)&gt;0,Biomes!F$1&amp;", ","")&amp;
IF(COUNTIF(Biomes!G$2:G$259,"="&amp;$C289)&gt;0,Biomes!G$1&amp;", ","")&amp;
IF(COUNTIF(Biomes!H$2:H$259,"="&amp;$C289)&gt;0,Biomes!H$1&amp;", ","")&amp;
IF(COUNTIF(Biomes!I$2:I$259,"="&amp;$C289)&gt;0,Biomes!I$1&amp;", ","")&amp;
IF(COUNTIF(Biomes!J$2:J$259,"="&amp;$C289)&gt;0,Biomes!J$1&amp;", ","")&amp;
IF(COUNTIF(Biomes!M$2:M$259,"="&amp;$C289)&gt;0,Biomes!M$1&amp;", ","")&amp;
IF(COUNTIF(Biomes!N$2:N$259,"="&amp;$C289)&gt;0,Biomes!N$1&amp;", ","")&amp;
IF(COUNTIF(Biomes!O$2:O$259,"="&amp;$C289)&gt;0,Biomes!O$1&amp;", ","")&amp;
IF(COUNTIF(Biomes!P$2:P$259,"="&amp;$C289)&gt;0,Biomes!P$1&amp;", ","")&amp;
IF(COUNTIF(Biomes!K$2:K$259,"="&amp;$C289)&gt;0,Biomes!K$1&amp;", ","")&amp;
IF(COUNTIF(Biomes!Q$3:Q$259,"="&amp;$C289)&gt;0,Biomes!Q$1&amp;", ","")&amp;
IF(COUNTIF(Biomes!L$2:L$259,"="&amp;$C289)&gt;0,Biomes!L$1&amp;", ","")&amp;
IF(COUNTIF(Biomes!E$2:E$259,"="&amp;$C289)&gt;0,Biomes!E$1&amp;", ","")&amp;IF(COUNTIF(Biomes!S$2:S$259,"="&amp;$C289)&gt;0,Biomes!S$1&amp;", ","")&amp;
IF(COUNTIF(Biomes!R$2:R$259,"="&amp;$C289)&gt;0,Biomes!R$1&amp;", ",""),", ","")
),_xlfn.XLOOKUP(B289,B:B,BX:BX))</f>
        <v>TropicalRainforest TropicalSwamp Glowforest</v>
      </c>
      <c r="BY289" s="25" t="str">
        <f>IF(_xlfn.XLOOKUP(B289,'Base stats'!B:B,'Base stats'!AJ:AJ)=1,"true","false")</f>
        <v>false</v>
      </c>
      <c r="BZ289" s="25">
        <f>IF(_xlfn.XLOOKUP(B289,'Base stats'!B:B,'Base stats'!N:N)=1,"No",MAX(0.001,MIN(MROUND(IF(AND(BJ289="True",CC289="False"),POWER(10,3.47*LOG10(_xlfn.XLOOKUP(B289,'Base stats'!B:B,'Base stats'!C:C)*1000)^-0.96),POWER(10,4.15*LOG10(_xlfn.XLOOKUP(B289,'Base stats'!B:B,'Base stats'!C:C)*1000)^-0.73))*IF(_xlfn.XLOOKUP(B289,'Base stats'!B:B,'Base stats'!AK:AK)=1,0.5,1)*IF(_xlfn.XLOOKUP(B289,'Base stats'!B:B,'Base stats'!AM:AM)=1,0.1,1)/100,IF(_xlfn.XLOOKUP(B289,'Base stats'!B:B,'Base stats'!AM:AM)=1,0.001,0.025)),0.5)))</f>
        <v>1.4999999999999999E-2</v>
      </c>
      <c r="CA289" s="25" t="str">
        <f>IF(P289="Standard","No",MAX(0.001,MIN(MROUND(IF(AND(BJ289="True",CC289="False"),POWER(10,3.47*LOG10(_xlfn.XLOOKUP(B289,'Base stats'!B:B,'Base stats'!C:C)*1000)^-0.96),POWER(10,4.15*LOG10(_xlfn.XLOOKUP(B289,'Base stats'!B:B,'Base stats'!C:C)*1000)^-0.73))*IF(_xlfn.XLOOKUP(B289,'Base stats'!B:B,'Base stats'!AM:AM)=1,0.1,1)*_xlfn.XLOOKUP(B289,'Base stats'!B:B,'Base stats'!R:R)/100,IF(_xlfn.XLOOKUP(B289,'Base stats'!B:B,'Base stats'!AM:AM)=1,0.001,0.025)),0.5)))</f>
        <v>No</v>
      </c>
      <c r="CB289" s="25" t="str">
        <f>IF(_xlfn.XLOOKUP(_xlfn.XLOOKUP(B289,'Base stats'!B:B,'Base stats'!E:E),Groups!A:A,Groups!AJ:AJ)="Mammal","True","False")</f>
        <v>False</v>
      </c>
      <c r="CC289" s="25" t="str">
        <f>IF(OR(_xlfn.XLOOKUP(_xlfn.XLOOKUP(B289,'Base stats'!B:B,'Base stats'!E:E),Groups!A:A,Groups!AJ:AJ)="Reptile",_xlfn.XLOOKUP(_xlfn.XLOOKUP(B289,'Base stats'!B:B,'Base stats'!E:E),Groups!A:A,Groups!AJ:AJ)="Amphibian",_xlfn.XLOOKUP(_xlfn.XLOOKUP(B289,'Base stats'!B:B,'Base stats'!E:E),Groups!A:A,Groups!AJ:AJ)="Invertebrate"),"True","False")</f>
        <v>True</v>
      </c>
      <c r="CD289" s="25" t="str">
        <f t="shared" si="34"/>
        <v>False</v>
      </c>
      <c r="CE289" s="25" t="str">
        <f>IF(_xlfn.XLOOKUP(_xlfn.XLOOKUP(B289,'Base stats'!B:B,'Base stats'!E:E),Groups!A:A,Groups!AX:AX),"True","False")</f>
        <v>False</v>
      </c>
      <c r="CF289" s="25" t="str">
        <f>IF(_xlfn.XLOOKUP(_xlfn.XLOOKUP(B289,'Base stats'!B:B,'Base stats'!E:E),Groups!A:A,Groups!AY:AY),"True","False")</f>
        <v>False</v>
      </c>
      <c r="CG289" s="25" t="str">
        <f>IF(_xlfn.XLOOKUP(_xlfn.XLOOKUP(B289,'Base stats'!B:B,'Base stats'!E:E),Groups!A:A,Groups!AW:AW),"True","False")</f>
        <v>False</v>
      </c>
      <c r="CH289" s="25" t="str">
        <f>IF(
OR(
_xlfn.XLOOKUP(_xlfn.XLOOKUP(B289,'Base stats'!B:B,'Base stats'!E:E),Groups!A:A,Groups!AZ:AZ)=0,
AND(
_xlfn.XLOOKUP(B289,'Base stats'!B:B,'Base stats'!Y:Y)&lt;&gt;"Carnivore",
_xlfn.XLOOKUP(B289,'Base stats'!B:B,'Base stats'!Y:Y)&lt;&gt;"Omnivore",
_xlfn.XLOOKUP(B289,'Base stats'!B:B,'Base stats'!Y:Y)&lt;&gt;"OmnivoreRough"
)
),
"No",
IF(
_xlfn.XLOOKUP(_xlfn.XLOOKUP(B289,'Base stats'!B:B,'Base stats'!E:E),Groups!A:A,Groups!AZ:AZ)=1,
"Flesh",
IF(
_xlfn.XLOOKUP(_xlfn.XLOOKUP(B289,'Base stats'!B:B,'Base stats'!E:E),Groups!A:A,Groups!AZ:AZ)=2,
"Bone",
""
)
)
)</f>
        <v>No</v>
      </c>
      <c r="CI289" s="25" t="str">
        <f>IF(_xlfn.XLOOKUP(_xlfn.XLOOKUP(B289,'Base stats'!B:B,'Base stats'!E:E),Groups!A:A,Groups!BB:BB),"True","False")</f>
        <v>False</v>
      </c>
      <c r="CJ289" s="25" t="str">
        <f>IF(_xlfn.XLOOKUP(_xlfn.XLOOKUP(B289,'Base stats'!B:B,'Base stats'!E:E),Groups!A:A,Groups!BA:BA),"True","False")</f>
        <v>False</v>
      </c>
    </row>
    <row r="290" spans="1:88" ht="16.5" thickTop="1" thickBot="1" x14ac:dyDescent="0.3">
      <c r="A290" s="26" t="s">
        <v>1492</v>
      </c>
      <c r="B290" s="6" t="str">
        <f>_xlfn.XLOOKUP(A290,'Base stats'!A:A,'Base stats'!B:B)</f>
        <v>Gnathus ferox</v>
      </c>
      <c r="C290" s="28" t="s">
        <v>1493</v>
      </c>
      <c r="D290" s="28" t="s">
        <v>1341</v>
      </c>
      <c r="E290" s="28" t="s">
        <v>673</v>
      </c>
      <c r="F290" s="28" t="s">
        <v>673</v>
      </c>
      <c r="G290" s="28" t="s">
        <v>673</v>
      </c>
      <c r="H290" s="2">
        <f>MROUND((
  (IF(AND(_xlfn.XLOOKUP(B290,'Base stats'!B:B,'Base stats'!AL:AL)=0,BI290="None",_xlfn.XLOOKUP(_xlfn.XLOOKUP(B290,'Base stats'!B:B,'Base stats'!E:E),Groups!A:A,Groups!B:B)=0), (18 + BR290 * 2.7) * 0.5,
    IF(AND(_xlfn.XLOOKUP(B290,'Base stats'!B:B,'Base stats'!AL:AL)=0,OR(AO290&lt;0.55,AND(BI290="Intermediate",_xlfn.XLOOKUP(_xlfn.XLOOKUP(B290,'Base stats'!B:B,'Base stats'!E:E),Groups!A:A,Groups!B:B)&lt;2))), (18 + BR290 * 2.7),
      IF(OR(BI290="Advanced",_xlfn.XLOOKUP(B290,'Base stats'!B:B,'Base stats'!AL:AL)=1,_xlfn.XLOOKUP(_xlfn.XLOOKUP(B290,'Base stats'!B:B,'Base stats'!E:E),Groups!A:A,Groups!B:B)=2), (18 + BR290 * 2.7) + 250, (18 + BR290 * 2.7))
    )
  ))
  + AO290 * 80
  + IF(COUNTIF(EggMilk!K$2:K$998, A290) &gt; 0, 125, 0)
  + IF(COUNTIF(EggMilk!P$2:P$998, A290) &gt; 0, 90, 0)
  + IF(COUNTIF(EggMilk!A$2:A$998, A290) &gt; 0, 90, 0)
)
* (0.8 + 0.4 * J290)
* 0.75,25)</f>
        <v>1575</v>
      </c>
      <c r="I290" s="2">
        <f>MROUND(ROUNDDOWN(_xlfn.XLOOKUP(B290,'Base stats'!B:B,'Base stats'!L:L)/3.6/(23.3/11),1),0.5)</f>
        <v>1</v>
      </c>
      <c r="J290" s="2">
        <f>IF(OR(_xlfn.XLOOKUP(B290,'Base stats'!B:B,'Base stats'!AB:AB)=1,_xlfn.XLOOKUP(_xlfn.XLOOKUP(B290,'Base stats'!B:B,'Base stats'!E:E),Groups!A:A,Groups!C:C)="Untamable"),1,IF(_xlfn.XLOOKUP(B290,'Base stats'!B:B,'Base stats'!AL:AL)=1,0.99,MIN(MROUND((1-0.6282*EXP(-0.459*AO290))*_xlfn.XLOOKUP(_xlfn.XLOOKUP(B290,'Base stats'!B:B,'Base stats'!E:E),Groups!A:A,Groups!C:C)*IF(_xlfn.XLOOKUP(B290,'Base stats'!B:B,'Base stats'!O:O)=1,0.5,IF(_xlfn.XLOOKUP(B290,'Base stats'!B:B,'Base stats'!O:O)=2,0,1)),0.05),IF(AO290&gt;3.5,0.985,0.95))))</f>
        <v>0.98499999999999999</v>
      </c>
      <c r="K290" s="2">
        <f>ROUNDUP(AO290*_xlfn.XLOOKUP(_xlfn.XLOOKUP(B290,'Base stats'!B:B,'Base stats'!E:E),Groups!A:A,Groups!E:E),0)</f>
        <v>4</v>
      </c>
      <c r="L290" s="2">
        <f>IF(OR(_xlfn.XLOOKUP(_xlfn.XLOOKUP(B290,'Base stats'!B:B,'Base stats'!E:E),Groups!A:A,Groups!F:F)=2,ISNUMBER(SEARCH("SeaIce",BX290)),ISNUMBER(SEARCH("IceSheet",BX290))),-50,IF(OR(ISNUMBER(SEARCH("GlacialPlain",BX290)),ISNUMBER(SEARCH("Tundra",BX290))),-40,IF(OR(ISNUMBER(SEARCH("Alpine",BX290)),ISNUMBER(SEARCH("BorealForest",BX290)),ISNUMBER(SEARCH("ColdBog",BX290))),-30,IF(OR(ISNUMBER(SEARCH("TemperateForest",BX290)),ISNUMBER(SEARCH("TemperateSwamp",BX290))),-20,IF(_xlfn.XLOOKUP(_xlfn.XLOOKUP(B290,'Base stats'!B:B,'Base stats'!E:E),Groups!A:A,Groups!F:F)=1,-15,IF(OR(ISNUMBER(SEARCH("Desert",BX290)),ISNUMBER(SEARCH("ExtremeDesert",BX290))),-10,IF(OR(ISNUMBER(SEARCH("Grasslands",BX290)),ISNUMBER(SEARCH("TropicalRainforest",BX290)),ISNUMBER(SEARCH("TropicalSwamp",BX290))),10,0)))))))-IF(CC290="False",MIN(IFERROR(MAX(MROUND(LOG10(_xlfn.XLOOKUP(B290,'Base stats'!B:B,'Base stats'!C:C)^(2/3))*10,5),5),5),30))-_xlfn.XLOOKUP(B290,'Base stats'!B:B,'Base stats'!P:P)+IF(CC290="True",5,0)</f>
        <v>15</v>
      </c>
      <c r="M290" s="2">
        <f>IF(OR(_xlfn.XLOOKUP(_xlfn.XLOOKUP(B290,'Base stats'!B:B,'Base stats'!E:E),Groups!A:A,Groups!G:G)=2,ISNUMBER(SEARCH("Desert",BX290)),ISNUMBER(SEARCH("ExtremeDesert",BX290)),ISNUMBER(SEARCH("LavaField",BX290))),50,IF(ISNUMBER(SEARCH("Grasslands",BX290)),45,IF(OR(_xlfn.XLOOKUP(_xlfn.XLOOKUP(B290,'Base stats'!B:B,'Base stats'!E:E),Groups!A:A,Groups!G:G)=1,ISNUMBER(SEARCH("TropicalRainforest",BX290)),ISNUMBER(SEARCH("TropicalSwamp",BX290))),40,IF(OR(ISNUMBER(SEARCH("TemperateForest",BX290)),ISNUMBER(SEARCH("TemperateSwamp",BX290))),35,IF(OR(ISNUMBER(SEARCH("Alpine",BX290)),ISNUMBER(SEARCH("BorealForest",BX290)),ISNUMBER(SEARCH("ColdBog",BX290))),30,IF(ISNUMBER(OR(ISNUMBER(SEARCH("GlacialPlain",BX290)),SEARCH("Tundra",BX290))),25,IF(OR(ISNUMBER(SEARCH("SeaIce",BX290)),ISNUMBER(SEARCH("IceSheet",BX290)),ISNUMBER(SEARCH("TropicalSwamp",BX290))),10,35)))))))+_xlfn.XLOOKUP(B290,'Base stats'!B:B,'Base stats'!Q:Q)</f>
        <v>40</v>
      </c>
      <c r="N290" s="8">
        <f>IF(
_xlfn.XLOOKUP(
_xlfn.XLOOKUP(B290,'Base stats'!B:B,'Base stats'!E:E),
Groups!A:A,
Groups!L:L
)=1,
MIN(
MROUND(
IF(
_xlfn.XLOOKUP(B290,'Animals CE'!B:B,'Animals CE'!Z:Z)&lt;=1.5,
_xlfn.XLOOKUP(B290,'Animals CE'!B:B,'Animals CE'!Z:Z)/2+0.05,
0.8+
(_xlfn.XLOOKUP(B290,'Animals CE'!B:B,'Animals CE'!Z:Z)-1.5)
*0.02
),
0.05
),
200%
),
"No"
)</f>
        <v>0.4</v>
      </c>
      <c r="O290" s="8">
        <f>IF(
_xlfn.XLOOKUP(
_xlfn.XLOOKUP(B290,'Base stats'!B:B,'Base stats'!E:E),
Groups!A:A,
Groups!L:L
)=1,
MIN(
MROUND(
IF(
_xlfn.XLOOKUP(B290,'Animals CE'!B:B,'Animals CE'!AA:AA)&lt;=1.5,
_xlfn.XLOOKUP(B290,'Animals CE'!B:B,'Animals CE'!AA:AA)/2+0.05,
0.8+
(_xlfn.XLOOKUP(B290,'Animals CE'!B:B,'Animals CE'!AA:AA)-1.5)
*0.02
),
0.05
),
200%
),
"No"
)</f>
        <v>0.45</v>
      </c>
      <c r="P290" s="2" t="str">
        <f>_xlfn.XLOOKUP(B290,'Base stats'!B:B,'Base stats'!R:R)</f>
        <v>Standard</v>
      </c>
      <c r="Q290" s="13">
        <f>MROUND((LOG10(_xlfn.XLOOKUP(B290,'Base stats'!B:B,'Base stats'!AR:AR))*(AO290^0.5)+(_xlfn.XLOOKUP(B290,'Base stats'!B:B,'Base stats'!AR:AR)/1000)^(2/3)+_xlfn.XLOOKUP(B290,'Base stats'!B:B,'Base stats'!BA:BA)/2)+0.5,0.5)</f>
        <v>23.5</v>
      </c>
      <c r="R290" s="7">
        <f>IF(Q290="No","No",MAX(1,MROUND(_xlfn.XLOOKUP(B290,'Base stats'!B:B,'Base stats'!C:C)^0.165,0.05)))</f>
        <v>3.35</v>
      </c>
      <c r="S290" s="13" t="str">
        <f>IF(_xlfn.XLOOKUP(_xlfn.XLOOKUP(B290,'Base stats'!B:B,'Base stats'!E:E),Groups!A:A,Groups!P:P)=0,"No",MROUND((LOG10(_xlfn.XLOOKUP(B290,'Base stats'!B:B,'Base stats'!AS:AS))*(AO290^0.5)+(_xlfn.XLOOKUP(B290,'Base stats'!B:B,'Base stats'!AS:AS)/1000)^(2/3)+_xlfn.XLOOKUP(B290,'Base stats'!B:B,'Base stats'!BA:BA))+_xlfn.XLOOKUP(B290,'Base stats'!B:B,'Base stats'!AY:AY)+0.5,0.5))</f>
        <v>No</v>
      </c>
      <c r="T290" s="7" t="str">
        <f>IF(S290="No","No",MAX(_xlfn.XLOOKUP(_xlfn.XLOOKUP(B290,'Base stats'!B:B,'Base stats'!E:E),Groups!A:A,Groups!Q:Q),MROUND(_xlfn.XLOOKUP(_xlfn.XLOOKUP(B290,'Base stats'!B:B,'Base stats'!E:E),Groups!A:A,Groups!Q:Q)*_xlfn.XLOOKUP(B290,'Base stats'!B:B,'Base stats'!C:C)^0.165,0.05)))</f>
        <v>No</v>
      </c>
      <c r="U290" s="7" t="str">
        <f>IF(S290="No","No",_xlfn.XLOOKUP(_xlfn.XLOOKUP(B290,'Base stats'!B:B,'Base stats'!E:E),Groups!A:A,Groups!R:R))</f>
        <v>No</v>
      </c>
      <c r="V290" s="7" t="str">
        <f>IF(S290="No","No",_xlfn.XLOOKUP(_xlfn.XLOOKUP(B290,'Base stats'!B:B,'Base stats'!E:E),Groups!A:A,Groups!S:S))</f>
        <v>No</v>
      </c>
      <c r="W290" s="7" t="str">
        <f>IF(S290="No","No",_xlfn.XLOOKUP(_xlfn.XLOOKUP(B290,'Base stats'!B:B,'Base stats'!E:E),Groups!A:A,Groups!T:T))</f>
        <v>No</v>
      </c>
      <c r="X290" s="13" t="str">
        <f>IF(_xlfn.XLOOKUP(B290,'Base stats'!B:B,'Base stats'!W:W)="No","No",MROUND((LOG10(_xlfn.XLOOKUP(B290,'Base stats'!B:B,'Base stats'!AU:AU))*(AO290^0.5)+(_xlfn.XLOOKUP(B290,'Base stats'!B:B,'Base stats'!AU:AU)/1000)^(2/3)+_xlfn.XLOOKUP(B290,'Base stats'!B:B,'Base stats'!AZ:AZ))+0.5+IF(_xlfn.XLOOKUP(_xlfn.XLOOKUP(B290,'Base stats'!B:B,'Base stats'!E:E),Groups!A:A,Groups!U:U)&lt;&gt;3,_xlfn.XLOOKUP(B290,'Base stats'!B:B,'Base stats'!BA:BA),0),0.5))</f>
        <v>No</v>
      </c>
      <c r="Y290" s="7" t="str">
        <f>IF(X290="No","No",MAX(_xlfn.XLOOKUP(_xlfn.XLOOKUP(B290,'Base stats'!B:B,'Base stats'!E:E),Groups!A:A,Groups!V:V),MROUND(_xlfn.XLOOKUP(_xlfn.XLOOKUP(B290,'Base stats'!B:B,'Base stats'!E:E),Groups!A:A,Groups!V:V)*_xlfn.XLOOKUP(B290,'Base stats'!B:B,'Base stats'!C:C)^0.165,0.05)))</f>
        <v>No</v>
      </c>
      <c r="Z290" s="7" t="str">
        <f>IF(X290="No","No",_xlfn.XLOOKUP(_xlfn.XLOOKUP(B290,'Base stats'!B:B,'Base stats'!E:E),Groups!A:A,Groups!W:W))</f>
        <v>No</v>
      </c>
      <c r="AA290" s="7" t="str">
        <f>IF(X290="No","No",_xlfn.XLOOKUP(_xlfn.XLOOKUP(B290,'Base stats'!B:B,'Base stats'!E:E),Groups!A:A,Groups!X:X))</f>
        <v>No</v>
      </c>
      <c r="AB290" s="7" t="str">
        <f>IF(X290="No","No",_xlfn.XLOOKUP(_xlfn.XLOOKUP(B290,'Base stats'!B:B,'Base stats'!E:E),Groups!A:A,Groups!Y:Y))</f>
        <v>No</v>
      </c>
      <c r="AC290" s="7" t="str">
        <f>_xlfn.XLOOKUP(Animals!B290,'Base stats'!B:B,'Base stats'!X:X)</f>
        <v>False</v>
      </c>
      <c r="AD290" s="13">
        <f>IF(_xlfn.XLOOKUP(B290,'Base stats'!B:B,'Base stats'!AT:AT)="No","No",MROUND((LOG10(_xlfn.XLOOKUP(B290,'Base stats'!B:B,'Base stats'!AT:AT))*(AO290^0.75)+(_xlfn.XLOOKUP(B290,'Base stats'!B:B,'Base stats'!AT:AT)/1000)^(2/3)+_xlfn.XLOOKUP(B290,'Base stats'!B:B,'Base stats'!AX:AX)+_xlfn.XLOOKUP(B290,'Base stats'!B:B,'Base stats'!BA:BA))+0.5,0.5))</f>
        <v>38.5</v>
      </c>
      <c r="AE290" s="7">
        <f>IF(AD290="No","No",MAX(_xlfn.XLOOKUP(_xlfn.XLOOKUP(B290,'Base stats'!B:B,'Base stats'!E:E),Groups!A:A,Groups!Z:Z),MROUND(_xlfn.XLOOKUP(_xlfn.XLOOKUP(B290,'Base stats'!B:B,'Base stats'!E:E),Groups!A:A,Groups!Z:Z)*_xlfn.XLOOKUP(B290,'Base stats'!B:B,'Base stats'!C:C)^0.165,0.05)))</f>
        <v>3.2</v>
      </c>
      <c r="AF290" s="7" t="str">
        <f>IF(AD290="No","No",_xlfn.XLOOKUP(_xlfn.XLOOKUP(B290,'Base stats'!B:B,'Base stats'!E:E),Groups!A:A,Groups!AA:AA))</f>
        <v>Teeth</v>
      </c>
      <c r="AG290" s="7" t="str">
        <f>IF(AD290="No","No",_xlfn.XLOOKUP(_xlfn.XLOOKUP(B290,'Base stats'!B:B,'Base stats'!E:E),Groups!A:A,Groups!AB:AB))</f>
        <v>teeth</v>
      </c>
      <c r="AH290" s="7" t="str">
        <f>IF(AD290="No","No",_xlfn.XLOOKUP(_xlfn.XLOOKUP(B290,'Base stats'!B:B,'Base stats'!E:E),Groups!A:A,Groups!AC:AC))</f>
        <v>AA_LockJawDamage</v>
      </c>
      <c r="AI290" s="13" t="str">
        <f>IF(_xlfn.XLOOKUP(_xlfn.XLOOKUP(B290,'Base stats'!B:B,'Base stats'!E:E),Groups!A:A,Groups!AD:AD)=0,"No",MROUND((LOG10(_xlfn.XLOOKUP(B290,'Base stats'!B:B,'Base stats'!AS:AS))*(AO290^0.75)+(_xlfn.XLOOKUP(B290,'Base stats'!B:B,'Base stats'!AS:AS)/1000)^(2/3)+_xlfn.XLOOKUP(B290,'Base stats'!B:B,'Base stats'!AY:AY)+_xlfn.XLOOKUP(B290,'Base stats'!B:B,'Base stats'!BA:BA))+0.5,0.5))</f>
        <v>No</v>
      </c>
      <c r="AJ290" s="7" t="str">
        <f>IF(AI290="No","No",MAX(_xlfn.XLOOKUP(_xlfn.XLOOKUP(B290,'Base stats'!B:B,'Base stats'!E:E),Groups!A:A,Groups!AE:AE),MROUND(_xlfn.XLOOKUP(_xlfn.XLOOKUP(B290,'Base stats'!B:B,'Base stats'!E:E),Groups!A:A,Groups!AE:AE)*IF(_xlfn.XLOOKUP(_xlfn.XLOOKUP(B290,'Base stats'!B:B,'Base stats'!E:E),Groups!A:A,Groups!AJ:AJ)="Photonozoa",0.6,1)*_xlfn.XLOOKUP(B290,'Base stats'!B:B,'Base stats'!C:C)^0.165,0.05)))</f>
        <v>No</v>
      </c>
      <c r="AK290" s="7" t="str">
        <f>IF(AI290="No","No",_xlfn.XLOOKUP(_xlfn.XLOOKUP(B290,'Base stats'!B:B,'Base stats'!E:E),Groups!A:A,Groups!AF:AF))</f>
        <v>No</v>
      </c>
      <c r="AL290" s="7" t="str">
        <f>IF(AI290="No","No",_xlfn.XLOOKUP(_xlfn.XLOOKUP(B290,'Base stats'!B:B,'Base stats'!E:E),Groups!A:A,Groups!AG:AG))</f>
        <v>No</v>
      </c>
      <c r="AM290" s="7" t="str">
        <f>IF(AI290="No","No",_xlfn.XLOOKUP(_xlfn.XLOOKUP(B290,'Base stats'!B:B,'Base stats'!E:E),Groups!A:A,Groups!AH:AH))</f>
        <v>No</v>
      </c>
      <c r="AN290" s="2">
        <f t="shared" si="28"/>
        <v>35</v>
      </c>
      <c r="AO290" s="2">
        <f>MROUND(IF(AND(_xlfn.XLOOKUP(B290,'Base stats'!B:B,'Base stats'!C:C)&gt;=0.5,_xlfn.XLOOKUP(B290,'Base stats'!B:B,'Base stats'!C:C)&lt;=0.8),
IF(_xlfn.XLOOKUP(B290,'Base stats'!B:B,'Base stats'!C:C)&lt;0.1,0.05,IF(_xlfn.XLOOKUP(B290,'Base stats'!B:B,'Base stats'!C:C)&lt;=70,(_xlfn.XLOOKUP(B290,'Base stats'!B:B,'Base stats'!C:C)/70)^0.426489913056526,IF(_xlfn.XLOOKUP(B290,'Base stats'!B:B,'Base stats'!C:C)&lt;=400,(_xlfn.XLOOKUP(B290,'Base stats'!B:B,'Base stats'!C:C)/70)^0.572811455315093,IF(_xlfn.XLOOKUP(B290,'Base stats'!B:B,'Base stats'!C:C)&lt;=2000,2.71391647193063*(_xlfn.XLOOKUP(B290,'Base stats'!B:B,'Base stats'!C:C)/400)^0.252459582904293,3.74314280240376*(_xlfn.XLOOKUP(B290,'Base stats'!B:B,'Base stats'!C:C)/2000)^0.357012633876913)))),
IF(_xlfn.XLOOKUP(B290,'Base stats'!B:B,'Base stats'!C:C)&lt;0.1,0.05,IF(_xlfn.XLOOKUP(B290,'Base stats'!B:B,'Base stats'!C:C)&lt;0.4,0.1,IF(_xlfn.XLOOKUP(B290,'Base stats'!B:B,'Base stats'!C:C)&lt;=70,(_xlfn.XLOOKUP(B290,'Base stats'!B:B,'Base stats'!C:C)/70)^0.445823913056526,IF(_xlfn.XLOOKUP(B290,'Base stats'!B:B,'Base stats'!C:C)&lt;=400,(_xlfn.XLOOKUP(B290,'Base stats'!B:B,'Base stats'!C:C)/70)^0.572811455315093,IF(_xlfn.XLOOKUP(B290,'Base stats'!B:B,'Base stats'!C:C)&lt;=2000,2.71391647193063*(_xlfn.XLOOKUP(B290,'Base stats'!B:B,'Base stats'!C:C)/400)^0.252459582904293,3.74314280240376*(_xlfn.XLOOKUP(B290,'Base stats'!B:B,'Base stats'!C:C)/2000)^0.357012633876913)))))),
IF(_xlfn.XLOOKUP(B290,'Base stats'!B:B,'Base stats'!C:C)&lt;0.1,0.05,IF(_xlfn.XLOOKUP(B290,'Base stats'!B:B,'Base stats'!C:C)&lt;=100,0.05,IF(_xlfn.XLOOKUP(B290,'Base stats'!B:B,'Base stats'!C:C)&lt;=250,0.1,IF(_xlfn.XLOOKUP(B290,'Base stats'!B:B,'Base stats'!C:C)&lt;=4000,0.25,0.5)))))</f>
        <v>3.75</v>
      </c>
      <c r="AP290" s="8">
        <f>MROUND(AO290*_xlfn.XLOOKUP(_xlfn.XLOOKUP(B290,'Base stats'!B:B,'Base stats'!E:E),Groups!A:A,Groups!AI:AI)*_xlfn.XLOOKUP(B290,'Base stats'!B:B,'Base stats'!Z:Z),0.05)</f>
        <v>4.5</v>
      </c>
      <c r="AQ290" s="8">
        <f>MAX(0.01,MROUND(IF(CC290="True",0.196*(AO290*100*1000)^0.889,IF(_xlfn.XLOOKUP(_xlfn.XLOOKUP(B290,'Base stats'!B:B,'Base stats'!E:E),Groups!A:A,Groups!AJ:AJ)="Bird",10.5*(AO290*100*1000)^0.681,4.82*(AO290*100*1000)^0.734))/(4.82*(1*100*1000)^0.734)/IF(AO290&lt;3.5,2,IF(AO290=3.5,1.5,1.25))*(1+0.132282374779864/(AO290^0.994035016789033+0.00905238001496948)),0.05))</f>
        <v>0.65</v>
      </c>
      <c r="AR290" s="9">
        <f>IFERROR(MROUND(_xlfn.XLOOKUP(B290,'Base stats'!B:B,'Base stats'!H:H)/IF(_xlfn.XLOOKUP(B290,'Base stats'!B:B,'Base stats'!I:I)&lt;&gt;1,(122.5/70),1.2),IF(_xlfn.XLOOKUP(B290,'Base stats'!B:B,'Base stats'!H:H)&gt;=30,5,IF(_xlfn.XLOOKUP(B290,'Base stats'!B:B,'Base stats'!H:H)&gt;=15,3,IF(_xlfn.XLOOKUP(B290,'Base stats'!B:B,'Base stats'!H:H)&gt;=10,2,1)))),"Immortal")</f>
        <v>85</v>
      </c>
      <c r="AS290" s="35" t="str">
        <f>IFERROR(IF(OR(_xlfn.XLOOKUP(B290,'Base stats'!B:B,'Base stats'!F:F)="Atypical reproduction",_xlfn.XLOOKUP(B290,'Base stats'!B:B,'Base stats'!F:F)="Lay eggs"),"Lay eggs",MIN(20,MAX(5.5,ROUND(((_xlfn.XLOOKUP(B290,'Base stats'!B:B,'Base stats'!F:F)-25)*(14.5/615) + 5.5)*2,0)/2))),"Unknown")</f>
        <v>Lay eggs</v>
      </c>
      <c r="AT290" s="8">
        <f>IF(_xlfn.XLOOKUP(B290,'Base stats'!B:B,'Base stats'!G:G)="Atypical reproduction","No",IFERROR(MAX(IF(_xlfn.XLOOKUP(B290,'Base stats'!B:B,'Base stats'!G:G)&lt;0.5,0.2,0.3),MROUND(_xlfn.XLOOKUP(B290,'Base stats'!B:B,'Base stats'!G:G)/(365/60),0.2)),"Unknown"))</f>
        <v>2.4000000000000004</v>
      </c>
      <c r="AU290" s="8">
        <f t="shared" si="29"/>
        <v>1.2000000000000002</v>
      </c>
      <c r="AV290" s="8" t="str">
        <f>IFERROR(IFERROR(MROUND(_xlfn.XLOOKUP(B290,'Base stats'!B:B,'Base stats'!J:J),0.1),"Lay eggs"),"Cannot breed")</f>
        <v>Lay eggs</v>
      </c>
      <c r="AW290" s="2" t="str">
        <f t="shared" si="30"/>
        <v>false</v>
      </c>
      <c r="AX290" s="2" t="str">
        <f>IF(_xlfn.XLOOKUP(_xlfn.XLOOKUP(Animals!B290,'Base stats'!B:B,'Base stats'!E:E),Groups!A:A,Groups!AK:AK)=1,"true","false")</f>
        <v>false</v>
      </c>
      <c r="AY290" s="25" t="str">
        <f>IF(_xlfn.XLOOKUP(B290,'Base stats'!B:B,'Base stats'!Y:Y)="Liquor","Liquor, CarnivoreAnimalStrict",IF(AND(_xlfn.XLOOKUP(B290,'Base stats'!B:B,'Base stats'!Y:Y)="Carnivore",_xlfn.XLOOKUP(_xlfn.XLOOKUP(B290,'Base stats'!B:B,'Base stats'!E:E),Groups!A:A,Groups!AJ:AJ)="Photonozoa"),"CarnivoreAnimalStrict, OvivoreAnimal",IF(_xlfn.XLOOKUP(B290,'Base stats'!B:B,'Base stats'!Y:Y)="Carnivore","CarnivoreAnimal, OvivoreAnimal",IF(_xlfn.XLOOKUP(B290,'Base stats'!B:B,'Base stats'!Y:Y)="Dendrovore","VegetarianRoughAnimal, DendrovoreAnimal",IF(_xlfn.XLOOKUP(B290,'Base stats'!B:B,'Base stats'!Y:Y)="Herbivore","VegetarianRoughAnimal",IF(_xlfn.XLOOKUP(B290,'Base stats'!B:B,'Base stats'!Y:Y)="OmnivoreRough","OmnivoreRoughAnimal, OvivoreAnimal","OmnivoreAnimal, OvivoreAnimal"))))))</f>
        <v>CarnivoreAnimal, OvivoreAnimal</v>
      </c>
      <c r="AZ290" s="2" t="str">
        <f>IF(_xlfn.XLOOKUP(_xlfn.XLOOKUP(B290,'Base stats'!B:B,'Base stats'!E:E),Groups!A:A,Groups!D:D)=1,MROUND((1-J290)*5+1,2)*IF(J290&lt;=0.4,2,1),"No")</f>
        <v>No</v>
      </c>
      <c r="BA290" s="2" t="str">
        <f>IF(AND(_xlfn.XLOOKUP(B290,'Base stats'!B:B,'Base stats'!AH:AH)="&lt;li&gt;Seal&lt;/li&gt;",G290="Odyssey"),"&lt;li&gt;AEXP_Seal&lt;/li&gt;",_xlfn.XLOOKUP(B290,'Base stats'!B:B,'Base stats'!AH:AH))</f>
        <v>&lt;li&gt;Iguana&lt;/li&gt;</v>
      </c>
      <c r="BB290" s="2" t="str">
        <f>_xlfn.XLOOKUP(B290,'Base stats'!B:B,'Base stats'!AG:AG)</f>
        <v>Leather_Lizard</v>
      </c>
      <c r="BC290" s="23" t="str">
        <f>_xlfn.XLOOKUP(_xlfn.XLOOKUP(B290,'Base stats'!B:B,'Base stats'!E:E),Groups!A:A,Groups!AL:AL)</f>
        <v>QuadrupedAnimalWithClawsTailAndJowl</v>
      </c>
      <c r="BD290" s="23">
        <f>MIN(1,MROUND(IF(AND(AO290&lt;0.5,_xlfn.XLOOKUP(B290,'Base stats'!B:B,'Base stats'!AA:AA)=0),0,IF(OR(_xlfn.XLOOKUP(Animals!B290,'Base stats'!B:B,'Base stats'!O:O)=2,_xlfn.XLOOKUP(_xlfn.XLOOKUP(B290,'Base stats'!B:B,'Base stats'!E:E),Groups!A:A,Groups!AN:AN)=0),0,_xlfn.XLOOKUP(_xlfn.XLOOKUP(B290,'Base stats'!B:B,'Base stats'!E:E),Groups!A:A,Groups!AN:AN)/IF(_xlfn.XLOOKUP(Animals!B290,'Base stats'!B:B,'Base stats'!O:O)=1,2,1)))+_xlfn.XLOOKUP(B290,'Base stats'!B:B,'Base stats'!AC:AC),0.005))</f>
        <v>0.1</v>
      </c>
      <c r="BE290" s="23">
        <f>MIN(1,MROUND(IF(AND(AO290&lt;0.5,_xlfn.XLOOKUP(B290,'Base stats'!B:B,'Base stats'!AA:AA)=0),0,IF(_xlfn.XLOOKUP(_xlfn.XLOOKUP(B290,'Base stats'!B:B,'Base stats'!E:E),Groups!A:A,Groups!AO:AO)=0,0,_xlfn.XLOOKUP(_xlfn.XLOOKUP(B290,'Base stats'!B:B,'Base stats'!E:E),Groups!A:A,Groups!AO:AO)/IF(_xlfn.XLOOKUP(Animals!B290,'Base stats'!B:B,'Base stats'!O:O)=2,3,1)))+_xlfn.XLOOKUP(B290,'Base stats'!B:B,'Base stats'!AD:AD),0.005))</f>
        <v>0.3</v>
      </c>
      <c r="BF290" s="2" t="str">
        <f>IF(J290&gt;0.3,"No",_xlfn.XLOOKUP(_xlfn.XLOOKUP(Animals!B290,'Base stats'!B:B,'Base stats'!E:E),Groups!A:A,Groups!AP:AP))</f>
        <v>No</v>
      </c>
      <c r="BG290" s="2" t="str">
        <f>IF(AND(J290&lt;=0.65,_xlfn.XLOOKUP(_xlfn.XLOOKUP(Animals!B290,'Base stats'!B:B,'Base stats'!E:E),Groups!A:A,Groups!AP:AP)&lt;&gt;"No",_xlfn.XLOOKUP(_xlfn.XLOOKUP(B290,'Base stats'!B:B,'Base stats'!E:E),Groups!A:A,Groups!D:D)=0),MROUND((80/3)*IF(_xlfn.XLOOKUP(B290,'Base stats'!B:B,'Base stats'!O:O)=2,0.2,AO290) + 24*(1-IF(BF290="No",0,BF290)) + 16/3, 12),"No")</f>
        <v>No</v>
      </c>
      <c r="BH290" s="2">
        <f>IF(AND(_xlfn.XLOOKUP(_xlfn.XLOOKUP(B290,'Base stats'!B:B,'Base stats'!E:E),Groups!A:A,Groups!AQ:AQ)=1,AO290&lt;=0.35),8,12)</f>
        <v>12</v>
      </c>
      <c r="BI290" s="2" t="str">
        <f>IF(_xlfn.XLOOKUP(_xlfn.XLOOKUP(B290,'Base stats'!B:B,'Base stats'!E:E),Groups!A:A,Groups!D:D)=0,_xlfn.XLOOKUP(_xlfn.XLOOKUP(B290,'Base stats'!B:B,'Base stats'!E:E),Groups!A:A,Groups!AR:AR),"None")</f>
        <v>None</v>
      </c>
      <c r="BJ290" s="2" t="str">
        <f>IF(AND(_xlfn.XLOOKUP(_xlfn.XLOOKUP(B290,'Base stats'!B:B,'Base stats'!E:E),Groups!A:A,Groups!AS:AS)=1,OR(_xlfn.XLOOKUP(B290,'Base stats'!B:B,'Base stats'!Y:Y)="Carnivore",_xlfn.XLOOKUP(B290,'Base stats'!B:B,'Base stats'!Y:Y)="Omnivore")),"true","false")</f>
        <v>true</v>
      </c>
      <c r="BK290" s="2">
        <f>IF(BJ290="true",MROUND(IF(AND(AO290&gt;0.5,OR(_xlfn.XLOOKUP(_xlfn.XLOOKUP(B290,'Base stats'!B:B,'Base stats'!E:E),Groups!A:A,Groups!AJ:AJ)="Photonozoa",_xlfn.XLOOKUP(_xlfn.XLOOKUP(B290,'Base stats'!B:B,'Base stats'!E:E),Groups!A:A,Groups!AJ:AJ)="Mammal")),Animals!AO290*1.75*IF(AW290="true",1.5,1),IF(AO290&lt;0.5,Animals!AO290*0.5,Animals!AO290)),IF(AO290&gt;2,0.5,IF(AO290&gt;0.5,0.25,0.1))),"No")</f>
        <v>4</v>
      </c>
      <c r="BL290" s="2">
        <f t="shared" si="31"/>
        <v>0</v>
      </c>
      <c r="BM290" s="25">
        <f>IF(_xlfn.XLOOKUP(B290,'Base stats'!B:B,'Base stats'!AN:AN)="Standard","No",MROUND((_xlfn.XLOOKUP(B290,'Base stats'!B:B,'Base stats'!AN:AN)/3.6)/I290,0.1))</f>
        <v>4.2</v>
      </c>
      <c r="BN290" s="25" t="str">
        <f t="shared" si="32"/>
        <v>true</v>
      </c>
      <c r="BO290" s="25" t="str">
        <f>IF(AND(OR(_xlfn.XLOOKUP(B290,'Base stats'!B:B,'Base stats'!Y:Y)="Carnivore",_xlfn.XLOOKUP(B290,'Base stats'!B:B,'Base stats'!Y:Y)="Omnivore",_xlfn.XLOOKUP(B290,'Base stats'!B:B,'Base stats'!Y:Y)="OmnivoreRough"),_xlfn.XLOOKUP(_xlfn.XLOOKUP(B290,'Base stats'!B:B,'Base stats'!E:E),Groups!A:A,Groups!AT:AT)=1),"true","false")</f>
        <v>true</v>
      </c>
      <c r="BP290" s="25" t="str" cm="1">
        <f t="array" ref="BP290">IF(
  _xlfn.TEXTJOIN(", ",TRUE,
    IF(AND(BJ290="true",AO290&gt;0.5,BI290&lt;&gt;"None"),"AttackTarget",""),
    IF(AND(_xlfn.XLOOKUP(_xlfn.XLOOKUP(B290,'Base stats'!B:B,'Base stats'!E:E),Groups!A:A,Groups!AJ:AJ="Mammal"),OR(_xlfn.XLOOKUP(B290,'Base stats'!B:B,'Base stats'!Y:Y)="Omnivore",_xlfn.XLOOKUP(B290,'Base stats'!B:B,'Base stats'!Y:Y)="OmnivoreRough")),"Forage",""),
    IF(BG290&lt;=36,"Comfort",""),
    IF(_xlfn.XLOOKUP(B290,'Base stats'!B:B,'Base stats'!AE:AE)&lt;&gt;"No",_xlfn.XLOOKUP(B290,'Base stats'!B:B,'Base stats'!AE:AE),"")
  ) = "",
  "No",
  _xlfn.TEXTJOIN(", ",TRUE,
    IF(AND(BJ290="true",AO290&gt;0.5,BI290&lt;&gt;"None"),"AttackTarget",""),
    IF(AND(_xlfn.XLOOKUP(_xlfn.XLOOKUP(B290,'Base stats'!B:B,'Base stats'!E:E),Groups!A:A,Groups!AJ:AJ="Mammal"),OR(_xlfn.XLOOKUP(B290,'Base stats'!B:B,'Base stats'!Y:Y)="Omnivore",_xlfn.XLOOKUP(B290,'Base stats'!B:B,'Base stats'!Y:Y)="OmnivoreRough")),"Forage",""),
    IF(BG290&lt;=36,"Comfort",""),
    IF(_xlfn.XLOOKUP(B290,'Base stats'!B:B,'Base stats'!AE:AE)&lt;&gt;"No",_xlfn.XLOOKUP(B290,'Base stats'!B:B,'Base stats'!AE:AE),"")
  )
)</f>
        <v>No</v>
      </c>
      <c r="BQ290" s="25">
        <f>IF(
   AND(
      'Base stats'!AN290="Standard",_xlfn.XLOOKUP(_xlfn.XLOOKUP(B290,'Base stats'!B:B,'Base stats'!E:E),Groups!A:A,Groups!AU:AU)=0,
      OR(
      BO290="True"
      )
   ),
   10,
   IF(
       OR(BM290&lt;&gt;"No",_xlfn.XLOOKUP(_xlfn.XLOOKUP(B290,'Base stats'!B:B,'Base stats'!E:E),Groups!A:A,Groups!AU:AU)=1),
      1,
      "No"
   )
)</f>
        <v>1</v>
      </c>
      <c r="BR290" s="9">
        <f>MROUND((1 + ((0.2*IF(OR(Q290="No",R290="No",R290=0),0,Q290/R290)
+IF(OR(V290="No",S290="No",T290="No"),0,S290/T290*(LEN(V290)-LEN(SUBSTITUTE(V290,",",""))+1))
+IF(OR(X290="No",Y290="No"),0,X290/Y290)
+IF(OR(AD290="No",AE290="No"),0,AD290/AE290)
+IF(OR(AL290="No",AI290="No",AJ290="No"),0,AI290/AJ290*(LEN(AL290)-LEN(SUBSTITUTE(AL290,",",""))+1))
)/(0.2*IF(OR(Q290="No",R290="No",R290=0),0,1)
+IF(OR(V290="No",S290="No",T290="No"),0,LEN(V290)-LEN(SUBSTITUTE(V290,",",""))+1)
+IF(OR(X290="No",Y290="No"),0,1)
+IF(OR(AD290="No",AE290="No"),0,1)
+IF(OR(AL290="No",AI290="No",AJ290="No"),0,LEN(AL290)-LEN(SUBSTITUTE(AL290,",",""))+1))*62%)* 2)*(1 + (AP290 / (IF(_xlfn.XLOOKUP(_xlfn.XLOOKUP(B290,'Base stats'!B:B,'Base stats'!E:E),Groups!A:A,Groups!AJ:AJ)="Photonozoa",0.3,1)) + _xlfn.XLOOKUP(B290,'Base stats'!B:B,'Base stats'!AV:AV) * 1.8) * 2) * 2.5 + 10 + I290 * 2,5)+IF(_xlfn.XLOOKUP(B290,'Base stats'!B:B,'Base stats'!AK:AK)=1,50,0)</f>
        <v>440</v>
      </c>
      <c r="BS290" s="8">
        <f t="shared" si="33"/>
        <v>1.25</v>
      </c>
      <c r="BT290" s="8" t="str">
        <f>_xlfn.XLOOKUP(B290,'Base stats'!B:B,'Base stats'!AF:AF)</f>
        <v>No</v>
      </c>
      <c r="BU290" s="2" t="str">
        <f>IF(AND(J290&lt;=0.95,OR(_xlfn.XLOOKUP(B290,'Base stats'!B:B,'Base stats'!AK:AK)=1,_xlfn.XLOOKUP(B290,'Base stats'!B:B,'Base stats'!Y:Y)="Carnivore",_xlfn.XLOOKUP(B290,'Base stats'!B:B,'Base stats'!Y:Y)="Omnivore",BE290&gt;0.1)),"true","false")</f>
        <v>false</v>
      </c>
      <c r="BV290" s="2" t="str">
        <f>IF(_xlfn.XLOOKUP(B290,'Base stats'!B:B,'Base stats'!AI:AI)=1,"true","false")</f>
        <v>false</v>
      </c>
      <c r="BW290" s="25" t="str">
        <f>IF(E290="BaseInsect","AnimalInsect",
IF(J290&gt;0.95,"AnimalExotic",
_xlfn.TEXTJOIN(", ",TRUE,
IF(OR(_xlfn.XLOOKUP(B290,'Base stats'!B:B,'Base stats'!AM:AM)=1,AND(_xlfn.XLOOKUP(B290,'Base stats'!B:B,'Base stats'!O:O)=0,_xlfn.XLOOKUP(_xlfn.XLOOKUP(B290,'Base stats'!B:B,'Base stats'!E:E),Groups!A:A,Groups!B:B)&gt;0)),"AnimalUncommon","AnimalCommon"),
IF(AND(_xlfn.XLOOKUP(B290,'Base stats'!B:B,'Base stats'!O:O)=2,_xlfn.XLOOKUP(_xlfn.XLOOKUP(B290,'Base stats'!B:B,'Base stats'!E:E),Groups!A:A,Groups!D:D)=0),"AnimalPet",IF(AND(_xlfn.XLOOKUP(B290,'Base stats'!B:B,'Base stats'!O:O)&lt;&gt;0,_xlfn.XLOOKUP(_xlfn.XLOOKUP(B290,'Base stats'!B:B,'Base stats'!E:E),Groups!A:A,Groups!D:D)&lt;&gt;0),"AnimalFarm","")),
IF(OR(_xlfn.XLOOKUP(B290,'Base stats'!B:B,'Base stats'!AK:AK)=1,AND(BI290&lt;&gt;"None",BR290&gt;=60),ISNUMBER(SEARCH("Attack target",BP290))),"AnimalFighter","")
)))</f>
        <v>AnimalExotic</v>
      </c>
      <c r="BX290" s="25" t="str">
        <f>IF(G290="None",TRIM(
SUBSTITUTE(
IF(COUNTIF(Biomes!B$2:B$259,"="&amp;$C290)&gt;0,Biomes!B$1&amp;", ","")&amp;
IF(COUNTIF(Biomes!C$2:C$259,"="&amp;$C290)&gt;0,Biomes!C$1&amp;", ","")&amp;
IF(COUNTIF(Biomes!D$2:D$259,"="&amp;$C290)&gt;0,Biomes!D$1&amp;", ","")&amp;
IF(COUNTIF(Biomes!F$2:F$259,"="&amp;$C290)&gt;0,Biomes!F$1&amp;", ","")&amp;
IF(COUNTIF(Biomes!G$2:G$259,"="&amp;$C290)&gt;0,Biomes!G$1&amp;", ","")&amp;
IF(COUNTIF(Biomes!H$2:H$259,"="&amp;$C290)&gt;0,Biomes!H$1&amp;", ","")&amp;
IF(COUNTIF(Biomes!I$2:I$259,"="&amp;$C290)&gt;0,Biomes!I$1&amp;", ","")&amp;
IF(COUNTIF(Biomes!J$2:J$259,"="&amp;$C290)&gt;0,Biomes!J$1&amp;", ","")&amp;
IF(COUNTIF(Biomes!M$2:M$259,"="&amp;$C290)&gt;0,Biomes!M$1&amp;", ","")&amp;
IF(COUNTIF(Biomes!N$2:N$259,"="&amp;$C290)&gt;0,Biomes!N$1&amp;", ","")&amp;
IF(COUNTIF(Biomes!O$2:O$259,"="&amp;$C290)&gt;0,Biomes!O$1&amp;", ","")&amp;
IF(COUNTIF(Biomes!P$2:P$259,"="&amp;$C290)&gt;0,Biomes!P$1&amp;", ","")&amp;
IF(COUNTIF(Biomes!K$2:K$259,"="&amp;$C290)&gt;0,Biomes!K$1&amp;", ","")&amp;
IF(COUNTIF(Biomes!Q$3:Q$259,"="&amp;$C290)&gt;0,Biomes!Q$1&amp;", ","")&amp;
IF(COUNTIF(Biomes!L$2:L$259,"="&amp;$C290)&gt;0,Biomes!L$1&amp;", ","")&amp;
IF(COUNTIF(Biomes!E$2:E$259,"="&amp;$C290)&gt;0,Biomes!E$1&amp;", ","")&amp;IF(COUNTIF(Biomes!S$2:S$259,"="&amp;$C290)&gt;0,Biomes!S$1&amp;", ","")&amp;
IF(COUNTIF(Biomes!R$2:R$259,"="&amp;$C290)&gt;0,Biomes!R$1&amp;", ",""),", ","")
),_xlfn.XLOOKUP(B290,B:B,BX:BX))</f>
        <v>TropicalRainforest TropicalSwamp Glowforest</v>
      </c>
      <c r="BY290" s="25" t="str">
        <f>IF(_xlfn.XLOOKUP(B290,'Base stats'!B:B,'Base stats'!AJ:AJ)=1,"true","false")</f>
        <v>true</v>
      </c>
      <c r="BZ290" s="25">
        <f>IF(_xlfn.XLOOKUP(B290,'Base stats'!B:B,'Base stats'!N:N)=1,"No",MAX(0.001,MIN(MROUND(IF(AND(BJ290="True",CC290="False"),POWER(10,3.47*LOG10(_xlfn.XLOOKUP(B290,'Base stats'!B:B,'Base stats'!C:C)*1000)^-0.96),POWER(10,4.15*LOG10(_xlfn.XLOOKUP(B290,'Base stats'!B:B,'Base stats'!C:C)*1000)^-0.73))*IF(_xlfn.XLOOKUP(B290,'Base stats'!B:B,'Base stats'!AK:AK)=1,0.5,1)*IF(_xlfn.XLOOKUP(B290,'Base stats'!B:B,'Base stats'!AM:AM)=1,0.1,1)/100,IF(_xlfn.XLOOKUP(B290,'Base stats'!B:B,'Base stats'!AM:AM)=1,0.001,0.025)),0.5)))</f>
        <v>1.3000000000000001E-2</v>
      </c>
      <c r="CA290" s="25" t="str">
        <f>IF(P290="Standard","No",MAX(0.001,MIN(MROUND(IF(AND(BJ290="True",CC290="False"),POWER(10,3.47*LOG10(_xlfn.XLOOKUP(B290,'Base stats'!B:B,'Base stats'!C:C)*1000)^-0.96),POWER(10,4.15*LOG10(_xlfn.XLOOKUP(B290,'Base stats'!B:B,'Base stats'!C:C)*1000)^-0.73))*IF(_xlfn.XLOOKUP(B290,'Base stats'!B:B,'Base stats'!AM:AM)=1,0.1,1)*_xlfn.XLOOKUP(B290,'Base stats'!B:B,'Base stats'!R:R)/100,IF(_xlfn.XLOOKUP(B290,'Base stats'!B:B,'Base stats'!AM:AM)=1,0.001,0.025)),0.5)))</f>
        <v>No</v>
      </c>
      <c r="CB290" s="25" t="str">
        <f>IF(_xlfn.XLOOKUP(_xlfn.XLOOKUP(B290,'Base stats'!B:B,'Base stats'!E:E),Groups!A:A,Groups!AJ:AJ)="Mammal","True","False")</f>
        <v>False</v>
      </c>
      <c r="CC290" s="25" t="str">
        <f>IF(OR(_xlfn.XLOOKUP(_xlfn.XLOOKUP(B290,'Base stats'!B:B,'Base stats'!E:E),Groups!A:A,Groups!AJ:AJ)="Reptile",_xlfn.XLOOKUP(_xlfn.XLOOKUP(B290,'Base stats'!B:B,'Base stats'!E:E),Groups!A:A,Groups!AJ:AJ)="Amphibian",_xlfn.XLOOKUP(_xlfn.XLOOKUP(B290,'Base stats'!B:B,'Base stats'!E:E),Groups!A:A,Groups!AJ:AJ)="Invertebrate"),"True","False")</f>
        <v>True</v>
      </c>
      <c r="CD290" s="25" t="str">
        <f t="shared" si="34"/>
        <v>True</v>
      </c>
      <c r="CE290" s="25" t="str">
        <f>IF(_xlfn.XLOOKUP(_xlfn.XLOOKUP(B290,'Base stats'!B:B,'Base stats'!E:E),Groups!A:A,Groups!AX:AX),"True","False")</f>
        <v>False</v>
      </c>
      <c r="CF290" s="25" t="str">
        <f>IF(_xlfn.XLOOKUP(_xlfn.XLOOKUP(B290,'Base stats'!B:B,'Base stats'!E:E),Groups!A:A,Groups!AY:AY),"True","False")</f>
        <v>False</v>
      </c>
      <c r="CG290" s="25" t="str">
        <f>IF(_xlfn.XLOOKUP(_xlfn.XLOOKUP(B290,'Base stats'!B:B,'Base stats'!E:E),Groups!A:A,Groups!AW:AW),"True","False")</f>
        <v>False</v>
      </c>
      <c r="CH290" s="25" t="str">
        <f>IF(
OR(
_xlfn.XLOOKUP(_xlfn.XLOOKUP(B290,'Base stats'!B:B,'Base stats'!E:E),Groups!A:A,Groups!AZ:AZ)=0,
AND(
_xlfn.XLOOKUP(B290,'Base stats'!B:B,'Base stats'!Y:Y)&lt;&gt;"Carnivore",
_xlfn.XLOOKUP(B290,'Base stats'!B:B,'Base stats'!Y:Y)&lt;&gt;"Omnivore",
_xlfn.XLOOKUP(B290,'Base stats'!B:B,'Base stats'!Y:Y)&lt;&gt;"OmnivoreRough"
)
),
"No",
IF(
_xlfn.XLOOKUP(_xlfn.XLOOKUP(B290,'Base stats'!B:B,'Base stats'!E:E),Groups!A:A,Groups!AZ:AZ)=1,
"Flesh",
IF(
_xlfn.XLOOKUP(_xlfn.XLOOKUP(B290,'Base stats'!B:B,'Base stats'!E:E),Groups!A:A,Groups!AZ:AZ)=2,
"Bone",
""
)
)
)</f>
        <v>No</v>
      </c>
      <c r="CI290" s="25" t="str">
        <f>IF(_xlfn.XLOOKUP(_xlfn.XLOOKUP(B290,'Base stats'!B:B,'Base stats'!E:E),Groups!A:A,Groups!BB:BB),"True","False")</f>
        <v>False</v>
      </c>
      <c r="CJ290" s="25" t="str">
        <f>IF(_xlfn.XLOOKUP(_xlfn.XLOOKUP(B290,'Base stats'!B:B,'Base stats'!E:E),Groups!A:A,Groups!BA:BA),"True","False")</f>
        <v>False</v>
      </c>
    </row>
    <row r="291" spans="1:88" ht="16.5" thickTop="1" thickBot="1" x14ac:dyDescent="0.3">
      <c r="A291" s="26" t="s">
        <v>1494</v>
      </c>
      <c r="B291" s="6" t="str">
        <f>_xlfn.XLOOKUP(A291,'Base stats'!A:A,'Base stats'!B:B)</f>
        <v>Coleoptera lucifer</v>
      </c>
      <c r="C291" s="28" t="s">
        <v>1495</v>
      </c>
      <c r="D291" s="28" t="s">
        <v>1341</v>
      </c>
      <c r="E291" s="28" t="s">
        <v>1747</v>
      </c>
      <c r="F291" s="28" t="s">
        <v>673</v>
      </c>
      <c r="G291" s="28" t="s">
        <v>673</v>
      </c>
      <c r="H291" s="2">
        <f>MROUND((
  (IF(AND(_xlfn.XLOOKUP(B291,'Base stats'!B:B,'Base stats'!AL:AL)=0,BI291="None",_xlfn.XLOOKUP(_xlfn.XLOOKUP(B291,'Base stats'!B:B,'Base stats'!E:E),Groups!A:A,Groups!B:B)=0), (18 + BR291 * 2.7) * 0.5,
    IF(AND(_xlfn.XLOOKUP(B291,'Base stats'!B:B,'Base stats'!AL:AL)=0,OR(AO291&lt;0.55,AND(BI291="Intermediate",_xlfn.XLOOKUP(_xlfn.XLOOKUP(B291,'Base stats'!B:B,'Base stats'!E:E),Groups!A:A,Groups!B:B)&lt;2))), (18 + BR291 * 2.7),
      IF(OR(BI291="Advanced",_xlfn.XLOOKUP(B291,'Base stats'!B:B,'Base stats'!AL:AL)=1,_xlfn.XLOOKUP(_xlfn.XLOOKUP(B291,'Base stats'!B:B,'Base stats'!E:E),Groups!A:A,Groups!B:B)=2), (18 + BR291 * 2.7) + 250, (18 + BR291 * 2.7))
    )
  ))
  + AO291 * 80
  + IF(COUNTIF(EggMilk!K$2:K$998, A291) &gt; 0, 125, 0)
  + IF(COUNTIF(EggMilk!P$2:P$998, A291) &gt; 0, 90, 0)
  + IF(COUNTIF(EggMilk!A$2:A$998, A291) &gt; 0, 90, 0)
)
* (0.8 + 0.4 * J291)
* 0.75,25)</f>
        <v>150</v>
      </c>
      <c r="I291" s="2">
        <f>MROUND(ROUNDDOWN(_xlfn.XLOOKUP(B291,'Base stats'!B:B,'Base stats'!L:L)/3.6/(23.3/11),1),0.5)</f>
        <v>3</v>
      </c>
      <c r="J291" s="2">
        <f>IF(OR(_xlfn.XLOOKUP(B291,'Base stats'!B:B,'Base stats'!AB:AB)=1,_xlfn.XLOOKUP(_xlfn.XLOOKUP(B291,'Base stats'!B:B,'Base stats'!E:E),Groups!A:A,Groups!C:C)="Untamable"),1,IF(_xlfn.XLOOKUP(B291,'Base stats'!B:B,'Base stats'!AL:AL)=1,0.99,MIN(MROUND((1-0.6282*EXP(-0.459*AO291))*_xlfn.XLOOKUP(_xlfn.XLOOKUP(B291,'Base stats'!B:B,'Base stats'!E:E),Groups!A:A,Groups!C:C)*IF(_xlfn.XLOOKUP(B291,'Base stats'!B:B,'Base stats'!O:O)=1,0.5,IF(_xlfn.XLOOKUP(B291,'Base stats'!B:B,'Base stats'!O:O)=2,0,1)),0.05),IF(AO291&gt;3.5,0.985,0.95))))</f>
        <v>0.5</v>
      </c>
      <c r="K291" s="2">
        <f>ROUNDUP(AO291*_xlfn.XLOOKUP(_xlfn.XLOOKUP(B291,'Base stats'!B:B,'Base stats'!E:E),Groups!A:A,Groups!E:E),0)</f>
        <v>1</v>
      </c>
      <c r="L291" s="2">
        <f>IF(OR(_xlfn.XLOOKUP(_xlfn.XLOOKUP(B291,'Base stats'!B:B,'Base stats'!E:E),Groups!A:A,Groups!F:F)=2,ISNUMBER(SEARCH("SeaIce",BX291)),ISNUMBER(SEARCH("IceSheet",BX291))),-50,IF(OR(ISNUMBER(SEARCH("GlacialPlain",BX291)),ISNUMBER(SEARCH("Tundra",BX291))),-40,IF(OR(ISNUMBER(SEARCH("Alpine",BX291)),ISNUMBER(SEARCH("BorealForest",BX291)),ISNUMBER(SEARCH("ColdBog",BX291))),-30,IF(OR(ISNUMBER(SEARCH("TemperateForest",BX291)),ISNUMBER(SEARCH("TemperateSwamp",BX291))),-20,IF(_xlfn.XLOOKUP(_xlfn.XLOOKUP(B291,'Base stats'!B:B,'Base stats'!E:E),Groups!A:A,Groups!F:F)=1,-15,IF(OR(ISNUMBER(SEARCH("Desert",BX291)),ISNUMBER(SEARCH("ExtremeDesert",BX291))),-10,IF(OR(ISNUMBER(SEARCH("Grasslands",BX291)),ISNUMBER(SEARCH("TropicalRainforest",BX291)),ISNUMBER(SEARCH("TropicalSwamp",BX291))),10,0)))))))-IF(CC291="False",MIN(IFERROR(MAX(MROUND(LOG10(_xlfn.XLOOKUP(B291,'Base stats'!B:B,'Base stats'!C:C)^(2/3))*10,5),5),5),30))-_xlfn.XLOOKUP(B291,'Base stats'!B:B,'Base stats'!P:P)+IF(CC291="True",5,0)</f>
        <v>5</v>
      </c>
      <c r="M291" s="2">
        <f>IF(OR(_xlfn.XLOOKUP(_xlfn.XLOOKUP(B291,'Base stats'!B:B,'Base stats'!E:E),Groups!A:A,Groups!G:G)=2,ISNUMBER(SEARCH("Desert",BX291)),ISNUMBER(SEARCH("ExtremeDesert",BX291)),ISNUMBER(SEARCH("LavaField",BX291))),50,IF(ISNUMBER(SEARCH("Grasslands",BX291)),45,IF(OR(_xlfn.XLOOKUP(_xlfn.XLOOKUP(B291,'Base stats'!B:B,'Base stats'!E:E),Groups!A:A,Groups!G:G)=1,ISNUMBER(SEARCH("TropicalRainforest",BX291)),ISNUMBER(SEARCH("TropicalSwamp",BX291))),40,IF(OR(ISNUMBER(SEARCH("TemperateForest",BX291)),ISNUMBER(SEARCH("TemperateSwamp",BX291))),35,IF(OR(ISNUMBER(SEARCH("Alpine",BX291)),ISNUMBER(SEARCH("BorealForest",BX291)),ISNUMBER(SEARCH("ColdBog",BX291))),30,IF(ISNUMBER(OR(ISNUMBER(SEARCH("GlacialPlain",BX291)),SEARCH("Tundra",BX291))),25,IF(OR(ISNUMBER(SEARCH("SeaIce",BX291)),ISNUMBER(SEARCH("IceSheet",BX291)),ISNUMBER(SEARCH("TropicalSwamp",BX291))),10,35)))))))+_xlfn.XLOOKUP(B291,'Base stats'!B:B,'Base stats'!Q:Q)</f>
        <v>50</v>
      </c>
      <c r="N291" s="8">
        <f>IF(
_xlfn.XLOOKUP(
_xlfn.XLOOKUP(B291,'Base stats'!B:B,'Base stats'!E:E),
Groups!A:A,
Groups!L:L
)=1,
MIN(
MROUND(
IF(
_xlfn.XLOOKUP(B291,'Animals CE'!B:B,'Animals CE'!Z:Z)&lt;=1.5,
_xlfn.XLOOKUP(B291,'Animals CE'!B:B,'Animals CE'!Z:Z)/2+0.05,
0.8+
(_xlfn.XLOOKUP(B291,'Animals CE'!B:B,'Animals CE'!Z:Z)-1.5)
*0.02
),
0.05
),
200%
),
"No"
)</f>
        <v>0.30000000000000004</v>
      </c>
      <c r="O291" s="8">
        <f>IF(
_xlfn.XLOOKUP(
_xlfn.XLOOKUP(B291,'Base stats'!B:B,'Base stats'!E:E),
Groups!A:A,
Groups!L:L
)=1,
MIN(
MROUND(
IF(
_xlfn.XLOOKUP(B291,'Animals CE'!B:B,'Animals CE'!AA:AA)&lt;=1.5,
_xlfn.XLOOKUP(B291,'Animals CE'!B:B,'Animals CE'!AA:AA)/2+0.05,
0.8+
(_xlfn.XLOOKUP(B291,'Animals CE'!B:B,'Animals CE'!AA:AA)-1.5)
*0.02
),
0.05
),
200%
),
"No"
)</f>
        <v>0.1</v>
      </c>
      <c r="P291" s="2" t="str">
        <f>_xlfn.XLOOKUP(B291,'Base stats'!B:B,'Base stats'!R:R)</f>
        <v>Standard</v>
      </c>
      <c r="Q291" s="13">
        <f>MROUND((LOG10(_xlfn.XLOOKUP(B291,'Base stats'!B:B,'Base stats'!AR:AR))*(AO291^0.5)+(_xlfn.XLOOKUP(B291,'Base stats'!B:B,'Base stats'!AR:AR)/1000)^(2/3)+_xlfn.XLOOKUP(B291,'Base stats'!B:B,'Base stats'!BA:BA)/2)+0.5,0.5)</f>
        <v>3.5</v>
      </c>
      <c r="R291" s="7">
        <f>IF(Q291="No","No",MAX(1,MROUND(_xlfn.XLOOKUP(B291,'Base stats'!B:B,'Base stats'!C:C)^0.165,0.05)))</f>
        <v>1.4500000000000002</v>
      </c>
      <c r="S291" s="13" t="str">
        <f>IF(_xlfn.XLOOKUP(_xlfn.XLOOKUP(B291,'Base stats'!B:B,'Base stats'!E:E),Groups!A:A,Groups!P:P)=0,"No",MROUND((LOG10(_xlfn.XLOOKUP(B291,'Base stats'!B:B,'Base stats'!AS:AS))*(AO291^0.5)+(_xlfn.XLOOKUP(B291,'Base stats'!B:B,'Base stats'!AS:AS)/1000)^(2/3)+_xlfn.XLOOKUP(B291,'Base stats'!B:B,'Base stats'!BA:BA))+_xlfn.XLOOKUP(B291,'Base stats'!B:B,'Base stats'!AY:AY)+0.5,0.5))</f>
        <v>No</v>
      </c>
      <c r="T291" s="7" t="str">
        <f>IF(S291="No","No",MAX(_xlfn.XLOOKUP(_xlfn.XLOOKUP(B291,'Base stats'!B:B,'Base stats'!E:E),Groups!A:A,Groups!Q:Q),MROUND(_xlfn.XLOOKUP(_xlfn.XLOOKUP(B291,'Base stats'!B:B,'Base stats'!E:E),Groups!A:A,Groups!Q:Q)*_xlfn.XLOOKUP(B291,'Base stats'!B:B,'Base stats'!C:C)^0.165,0.05)))</f>
        <v>No</v>
      </c>
      <c r="U291" s="7" t="str">
        <f>IF(S291="No","No",_xlfn.XLOOKUP(_xlfn.XLOOKUP(B291,'Base stats'!B:B,'Base stats'!E:E),Groups!A:A,Groups!R:R))</f>
        <v>No</v>
      </c>
      <c r="V291" s="7" t="str">
        <f>IF(S291="No","No",_xlfn.XLOOKUP(_xlfn.XLOOKUP(B291,'Base stats'!B:B,'Base stats'!E:E),Groups!A:A,Groups!S:S))</f>
        <v>No</v>
      </c>
      <c r="W291" s="7" t="str">
        <f>IF(S291="No","No",_xlfn.XLOOKUP(_xlfn.XLOOKUP(B291,'Base stats'!B:B,'Base stats'!E:E),Groups!A:A,Groups!T:T))</f>
        <v>No</v>
      </c>
      <c r="X291" s="13" t="str">
        <f>IF(_xlfn.XLOOKUP(B291,'Base stats'!B:B,'Base stats'!W:W)="No","No",MROUND((LOG10(_xlfn.XLOOKUP(B291,'Base stats'!B:B,'Base stats'!AU:AU))*(AO291^0.5)+(_xlfn.XLOOKUP(B291,'Base stats'!B:B,'Base stats'!AU:AU)/1000)^(2/3)+_xlfn.XLOOKUP(B291,'Base stats'!B:B,'Base stats'!AZ:AZ))+0.5+IF(_xlfn.XLOOKUP(_xlfn.XLOOKUP(B291,'Base stats'!B:B,'Base stats'!E:E),Groups!A:A,Groups!U:U)&lt;&gt;3,_xlfn.XLOOKUP(B291,'Base stats'!B:B,'Base stats'!BA:BA),0),0.5))</f>
        <v>No</v>
      </c>
      <c r="Y291" s="7" t="str">
        <f>IF(X291="No","No",MAX(_xlfn.XLOOKUP(_xlfn.XLOOKUP(B291,'Base stats'!B:B,'Base stats'!E:E),Groups!A:A,Groups!V:V),MROUND(_xlfn.XLOOKUP(_xlfn.XLOOKUP(B291,'Base stats'!B:B,'Base stats'!E:E),Groups!A:A,Groups!V:V)*_xlfn.XLOOKUP(B291,'Base stats'!B:B,'Base stats'!C:C)^0.165,0.05)))</f>
        <v>No</v>
      </c>
      <c r="Z291" s="7" t="str">
        <f>IF(X291="No","No",_xlfn.XLOOKUP(_xlfn.XLOOKUP(B291,'Base stats'!B:B,'Base stats'!E:E),Groups!A:A,Groups!W:W))</f>
        <v>No</v>
      </c>
      <c r="AA291" s="7" t="str">
        <f>IF(X291="No","No",_xlfn.XLOOKUP(_xlfn.XLOOKUP(B291,'Base stats'!B:B,'Base stats'!E:E),Groups!A:A,Groups!X:X))</f>
        <v>No</v>
      </c>
      <c r="AB291" s="7" t="str">
        <f>IF(X291="No","No",_xlfn.XLOOKUP(_xlfn.XLOOKUP(B291,'Base stats'!B:B,'Base stats'!E:E),Groups!A:A,Groups!Y:Y))</f>
        <v>No</v>
      </c>
      <c r="AC291" s="7" t="str">
        <f>_xlfn.XLOOKUP(Animals!B291,'Base stats'!B:B,'Base stats'!X:X)</f>
        <v>False</v>
      </c>
      <c r="AD291" s="13">
        <f>IF(_xlfn.XLOOKUP(B291,'Base stats'!B:B,'Base stats'!AT:AT)="No","No",MROUND((LOG10(_xlfn.XLOOKUP(B291,'Base stats'!B:B,'Base stats'!AT:AT))*(AO291^0.75)+(_xlfn.XLOOKUP(B291,'Base stats'!B:B,'Base stats'!AT:AT)/1000)^(2/3)+_xlfn.XLOOKUP(B291,'Base stats'!B:B,'Base stats'!AX:AX)+_xlfn.XLOOKUP(B291,'Base stats'!B:B,'Base stats'!BA:BA))+0.5,0.5))</f>
        <v>8.5</v>
      </c>
      <c r="AE291" s="7">
        <f>IF(AD291="No","No",MAX(_xlfn.XLOOKUP(_xlfn.XLOOKUP(B291,'Base stats'!B:B,'Base stats'!E:E),Groups!A:A,Groups!Z:Z),MROUND(_xlfn.XLOOKUP(_xlfn.XLOOKUP(B291,'Base stats'!B:B,'Base stats'!E:E),Groups!A:A,Groups!Z:Z)*_xlfn.XLOOKUP(B291,'Base stats'!B:B,'Base stats'!C:C)^0.165,0.05)))</f>
        <v>1.75</v>
      </c>
      <c r="AF291" s="7" t="str">
        <f>IF(AD291="No","No",_xlfn.XLOOKUP(_xlfn.XLOOKUP(B291,'Base stats'!B:B,'Base stats'!E:E),Groups!A:A,Groups!AA:AA))</f>
        <v>Mouth</v>
      </c>
      <c r="AG291" s="7" t="str">
        <f>IF(AD291="No","No",_xlfn.XLOOKUP(_xlfn.XLOOKUP(B291,'Base stats'!B:B,'Base stats'!E:E),Groups!A:A,Groups!AB:AB))</f>
        <v>mandibles</v>
      </c>
      <c r="AH291" s="7" t="str">
        <f>IF(AD291="No","No",_xlfn.XLOOKUP(_xlfn.XLOOKUP(B291,'Base stats'!B:B,'Base stats'!E:E),Groups!A:A,Groups!AC:AC))</f>
        <v>Bite</v>
      </c>
      <c r="AI291" s="13" t="str">
        <f>IF(_xlfn.XLOOKUP(_xlfn.XLOOKUP(B291,'Base stats'!B:B,'Base stats'!E:E),Groups!A:A,Groups!AD:AD)=0,"No",MROUND((LOG10(_xlfn.XLOOKUP(B291,'Base stats'!B:B,'Base stats'!AS:AS))*(AO291^0.75)+(_xlfn.XLOOKUP(B291,'Base stats'!B:B,'Base stats'!AS:AS)/1000)^(2/3)+_xlfn.XLOOKUP(B291,'Base stats'!B:B,'Base stats'!AY:AY)+_xlfn.XLOOKUP(B291,'Base stats'!B:B,'Base stats'!BA:BA))+0.5,0.5))</f>
        <v>No</v>
      </c>
      <c r="AJ291" s="7" t="str">
        <f>IF(AI291="No","No",MAX(_xlfn.XLOOKUP(_xlfn.XLOOKUP(B291,'Base stats'!B:B,'Base stats'!E:E),Groups!A:A,Groups!AE:AE),MROUND(_xlfn.XLOOKUP(_xlfn.XLOOKUP(B291,'Base stats'!B:B,'Base stats'!E:E),Groups!A:A,Groups!AE:AE)*IF(_xlfn.XLOOKUP(_xlfn.XLOOKUP(B291,'Base stats'!B:B,'Base stats'!E:E),Groups!A:A,Groups!AJ:AJ)="Photonozoa",0.6,1)*_xlfn.XLOOKUP(B291,'Base stats'!B:B,'Base stats'!C:C)^0.165,0.05)))</f>
        <v>No</v>
      </c>
      <c r="AK291" s="7" t="str">
        <f>IF(AI291="No","No",_xlfn.XLOOKUP(_xlfn.XLOOKUP(B291,'Base stats'!B:B,'Base stats'!E:E),Groups!A:A,Groups!AF:AF))</f>
        <v>No</v>
      </c>
      <c r="AL291" s="7" t="str">
        <f>IF(AI291="No","No",_xlfn.XLOOKUP(_xlfn.XLOOKUP(B291,'Base stats'!B:B,'Base stats'!E:E),Groups!A:A,Groups!AG:AG))</f>
        <v>No</v>
      </c>
      <c r="AM291" s="7" t="str">
        <f>IF(AI291="No","No",_xlfn.XLOOKUP(_xlfn.XLOOKUP(B291,'Base stats'!B:B,'Base stats'!E:E),Groups!A:A,Groups!AH:AH))</f>
        <v>No</v>
      </c>
      <c r="AN291" s="2" t="str">
        <f t="shared" si="28"/>
        <v>No</v>
      </c>
      <c r="AO291" s="2">
        <f>MROUND(IF(AND(_xlfn.XLOOKUP(B291,'Base stats'!B:B,'Base stats'!C:C)&gt;=0.5,_xlfn.XLOOKUP(B291,'Base stats'!B:B,'Base stats'!C:C)&lt;=0.8),
IF(_xlfn.XLOOKUP(B291,'Base stats'!B:B,'Base stats'!C:C)&lt;0.1,0.05,IF(_xlfn.XLOOKUP(B291,'Base stats'!B:B,'Base stats'!C:C)&lt;=70,(_xlfn.XLOOKUP(B291,'Base stats'!B:B,'Base stats'!C:C)/70)^0.426489913056526,IF(_xlfn.XLOOKUP(B291,'Base stats'!B:B,'Base stats'!C:C)&lt;=400,(_xlfn.XLOOKUP(B291,'Base stats'!B:B,'Base stats'!C:C)/70)^0.572811455315093,IF(_xlfn.XLOOKUP(B291,'Base stats'!B:B,'Base stats'!C:C)&lt;=2000,2.71391647193063*(_xlfn.XLOOKUP(B291,'Base stats'!B:B,'Base stats'!C:C)/400)^0.252459582904293,3.74314280240376*(_xlfn.XLOOKUP(B291,'Base stats'!B:B,'Base stats'!C:C)/2000)^0.357012633876913)))),
IF(_xlfn.XLOOKUP(B291,'Base stats'!B:B,'Base stats'!C:C)&lt;0.1,0.05,IF(_xlfn.XLOOKUP(B291,'Base stats'!B:B,'Base stats'!C:C)&lt;0.4,0.1,IF(_xlfn.XLOOKUP(B291,'Base stats'!B:B,'Base stats'!C:C)&lt;=70,(_xlfn.XLOOKUP(B291,'Base stats'!B:B,'Base stats'!C:C)/70)^0.445823913056526,IF(_xlfn.XLOOKUP(B291,'Base stats'!B:B,'Base stats'!C:C)&lt;=400,(_xlfn.XLOOKUP(B291,'Base stats'!B:B,'Base stats'!C:C)/70)^0.572811455315093,IF(_xlfn.XLOOKUP(B291,'Base stats'!B:B,'Base stats'!C:C)&lt;=2000,2.71391647193063*(_xlfn.XLOOKUP(B291,'Base stats'!B:B,'Base stats'!C:C)/400)^0.252459582904293,3.74314280240376*(_xlfn.XLOOKUP(B291,'Base stats'!B:B,'Base stats'!C:C)/2000)^0.357012633876913)))))),
IF(_xlfn.XLOOKUP(B291,'Base stats'!B:B,'Base stats'!C:C)&lt;0.1,0.05,IF(_xlfn.XLOOKUP(B291,'Base stats'!B:B,'Base stats'!C:C)&lt;=100,0.05,IF(_xlfn.XLOOKUP(B291,'Base stats'!B:B,'Base stats'!C:C)&lt;=250,0.1,IF(_xlfn.XLOOKUP(B291,'Base stats'!B:B,'Base stats'!C:C)&lt;=4000,0.25,0.5)))))</f>
        <v>0.4</v>
      </c>
      <c r="AP291" s="8">
        <f>MROUND(AO291*_xlfn.XLOOKUP(_xlfn.XLOOKUP(B291,'Base stats'!B:B,'Base stats'!E:E),Groups!A:A,Groups!AI:AI)*_xlfn.XLOOKUP(B291,'Base stats'!B:B,'Base stats'!Z:Z),0.05)</f>
        <v>0.4</v>
      </c>
      <c r="AQ291" s="8">
        <f>MAX(0.01,MROUND(IF(CC291="True",0.196*(AO291*100*1000)^0.889,IF(_xlfn.XLOOKUP(_xlfn.XLOOKUP(B291,'Base stats'!B:B,'Base stats'!E:E),Groups!A:A,Groups!AJ:AJ)="Bird",10.5*(AO291*100*1000)^0.681,4.82*(AO291*100*1000)^0.734))/(4.82*(1*100*1000)^0.734)/IF(AO291&lt;3.5,2,IF(AO291=3.5,1.5,1.25))*(1+0.132282374779864/(AO291^0.994035016789033+0.00905238001496948)),0.05))</f>
        <v>0.05</v>
      </c>
      <c r="AR291" s="9">
        <f>IFERROR(MROUND(_xlfn.XLOOKUP(B291,'Base stats'!B:B,'Base stats'!H:H)/IF(_xlfn.XLOOKUP(B291,'Base stats'!B:B,'Base stats'!I:I)&lt;&gt;1,(122.5/70),1.2),IF(_xlfn.XLOOKUP(B291,'Base stats'!B:B,'Base stats'!H:H)&gt;=30,5,IF(_xlfn.XLOOKUP(B291,'Base stats'!B:B,'Base stats'!H:H)&gt;=15,3,IF(_xlfn.XLOOKUP(B291,'Base stats'!B:B,'Base stats'!H:H)&gt;=10,2,1)))),"Immortal")</f>
        <v>6</v>
      </c>
      <c r="AS291" s="35" t="str">
        <f>IFERROR(IF(OR(_xlfn.XLOOKUP(B291,'Base stats'!B:B,'Base stats'!F:F)="Atypical reproduction",_xlfn.XLOOKUP(B291,'Base stats'!B:B,'Base stats'!F:F)="Lay eggs"),"Lay eggs",MIN(20,MAX(5.5,ROUND(((_xlfn.XLOOKUP(B291,'Base stats'!B:B,'Base stats'!F:F)-25)*(14.5/615) + 5.5)*2,0)/2))),"Unknown")</f>
        <v>Lay eggs</v>
      </c>
      <c r="AT291" s="8">
        <f>IF(_xlfn.XLOOKUP(B291,'Base stats'!B:B,'Base stats'!G:G)="Atypical reproduction","No",IFERROR(MAX(IF(_xlfn.XLOOKUP(B291,'Base stats'!B:B,'Base stats'!G:G)&lt;0.5,0.2,0.3),MROUND(_xlfn.XLOOKUP(B291,'Base stats'!B:B,'Base stats'!G:G)/(365/60),0.2)),"Unknown"))</f>
        <v>0.3</v>
      </c>
      <c r="AU291" s="8">
        <f t="shared" si="29"/>
        <v>0.15000000000000002</v>
      </c>
      <c r="AV291" s="8" t="str">
        <f>IFERROR(IFERROR(MROUND(_xlfn.XLOOKUP(B291,'Base stats'!B:B,'Base stats'!J:J),0.1),"Lay eggs"),"Cannot breed")</f>
        <v>Lay eggs</v>
      </c>
      <c r="AW291" s="2" t="str">
        <f t="shared" si="30"/>
        <v>false</v>
      </c>
      <c r="AX291" s="2" t="str">
        <f>IF(_xlfn.XLOOKUP(_xlfn.XLOOKUP(Animals!B291,'Base stats'!B:B,'Base stats'!E:E),Groups!A:A,Groups!AK:AK)=1,"true","false")</f>
        <v>false</v>
      </c>
      <c r="AY291" s="25" t="str">
        <f>IF(_xlfn.XLOOKUP(B291,'Base stats'!B:B,'Base stats'!Y:Y)="Liquor","Liquor, CarnivoreAnimalStrict",IF(AND(_xlfn.XLOOKUP(B291,'Base stats'!B:B,'Base stats'!Y:Y)="Carnivore",_xlfn.XLOOKUP(_xlfn.XLOOKUP(B291,'Base stats'!B:B,'Base stats'!E:E),Groups!A:A,Groups!AJ:AJ)="Photonozoa"),"CarnivoreAnimalStrict, OvivoreAnimal",IF(_xlfn.XLOOKUP(B291,'Base stats'!B:B,'Base stats'!Y:Y)="Carnivore","CarnivoreAnimal, OvivoreAnimal",IF(_xlfn.XLOOKUP(B291,'Base stats'!B:B,'Base stats'!Y:Y)="Dendrovore","VegetarianRoughAnimal, DendrovoreAnimal",IF(_xlfn.XLOOKUP(B291,'Base stats'!B:B,'Base stats'!Y:Y)="Herbivore","VegetarianRoughAnimal",IF(_xlfn.XLOOKUP(B291,'Base stats'!B:B,'Base stats'!Y:Y)="OmnivoreRough","OmnivoreRoughAnimal, OvivoreAnimal","OmnivoreAnimal, OvivoreAnimal"))))))</f>
        <v>OmnivoreRoughAnimal, OvivoreAnimal</v>
      </c>
      <c r="AZ291" s="2">
        <f>IF(_xlfn.XLOOKUP(_xlfn.XLOOKUP(B291,'Base stats'!B:B,'Base stats'!E:E),Groups!A:A,Groups!D:D)=1,MROUND((1-J291)*5+1,2)*IF(J291&lt;=0.4,2,1),"No")</f>
        <v>4</v>
      </c>
      <c r="BA291" s="2" t="str">
        <f>IF(AND(_xlfn.XLOOKUP(B291,'Base stats'!B:B,'Base stats'!AH:AH)="&lt;li&gt;Seal&lt;/li&gt;",G291="Odyssey"),"&lt;li&gt;AEXP_Seal&lt;/li&gt;",_xlfn.XLOOKUP(B291,'Base stats'!B:B,'Base stats'!AH:AH))</f>
        <v>&lt;li&gt;Megaspider&lt;/li&gt;</v>
      </c>
      <c r="BB291" s="2" t="str">
        <f>_xlfn.XLOOKUP(B291,'Base stats'!B:B,'Base stats'!AG:AG)</f>
        <v>Leather_Chitin</v>
      </c>
      <c r="BC291" s="23" t="str">
        <f>_xlfn.XLOOKUP(_xlfn.XLOOKUP(B291,'Base stats'!B:B,'Base stats'!E:E),Groups!A:A,Groups!AL:AL)</f>
        <v>BeetleLike</v>
      </c>
      <c r="BD291" s="23">
        <f>MIN(1,MROUND(IF(AND(AO291&lt;0.5,_xlfn.XLOOKUP(B291,'Base stats'!B:B,'Base stats'!AA:AA)=0),0,IF(OR(_xlfn.XLOOKUP(Animals!B291,'Base stats'!B:B,'Base stats'!O:O)=2,_xlfn.XLOOKUP(_xlfn.XLOOKUP(B291,'Base stats'!B:B,'Base stats'!E:E),Groups!A:A,Groups!AN:AN)=0),0,_xlfn.XLOOKUP(_xlfn.XLOOKUP(B291,'Base stats'!B:B,'Base stats'!E:E),Groups!A:A,Groups!AN:AN)/IF(_xlfn.XLOOKUP(Animals!B291,'Base stats'!B:B,'Base stats'!O:O)=1,2,1)))+_xlfn.XLOOKUP(B291,'Base stats'!B:B,'Base stats'!AC:AC),0.005))</f>
        <v>0</v>
      </c>
      <c r="BE291" s="23">
        <f>MIN(1,MROUND(IF(AND(AO291&lt;0.5,_xlfn.XLOOKUP(B291,'Base stats'!B:B,'Base stats'!AA:AA)=0),0,IF(_xlfn.XLOOKUP(_xlfn.XLOOKUP(B291,'Base stats'!B:B,'Base stats'!E:E),Groups!A:A,Groups!AO:AO)=0,0,_xlfn.XLOOKUP(_xlfn.XLOOKUP(B291,'Base stats'!B:B,'Base stats'!E:E),Groups!A:A,Groups!AO:AO)/IF(_xlfn.XLOOKUP(Animals!B291,'Base stats'!B:B,'Base stats'!O:O)=2,3,1)))+_xlfn.XLOOKUP(B291,'Base stats'!B:B,'Base stats'!AD:AD),0.005))</f>
        <v>0</v>
      </c>
      <c r="BF291" s="2" t="str">
        <f>IF(J291&gt;0.3,"No",_xlfn.XLOOKUP(_xlfn.XLOOKUP(Animals!B291,'Base stats'!B:B,'Base stats'!E:E),Groups!A:A,Groups!AP:AP))</f>
        <v>No</v>
      </c>
      <c r="BG291" s="2" t="str">
        <f>IF(AND(J291&lt;=0.65,_xlfn.XLOOKUP(_xlfn.XLOOKUP(Animals!B291,'Base stats'!B:B,'Base stats'!E:E),Groups!A:A,Groups!AP:AP)&lt;&gt;"No",_xlfn.XLOOKUP(_xlfn.XLOOKUP(B291,'Base stats'!B:B,'Base stats'!E:E),Groups!A:A,Groups!D:D)=0),MROUND((80/3)*IF(_xlfn.XLOOKUP(B291,'Base stats'!B:B,'Base stats'!O:O)=2,0.2,AO291) + 24*(1-IF(BF291="No",0,BF291)) + 16/3, 12),"No")</f>
        <v>No</v>
      </c>
      <c r="BH291" s="2">
        <f>IF(AND(_xlfn.XLOOKUP(_xlfn.XLOOKUP(B291,'Base stats'!B:B,'Base stats'!E:E),Groups!A:A,Groups!AQ:AQ)=1,AO291&lt;=0.35),8,12)</f>
        <v>12</v>
      </c>
      <c r="BI291" s="2" t="str">
        <f>IF(_xlfn.XLOOKUP(_xlfn.XLOOKUP(B291,'Base stats'!B:B,'Base stats'!E:E),Groups!A:A,Groups!D:D)=0,_xlfn.XLOOKUP(_xlfn.XLOOKUP(B291,'Base stats'!B:B,'Base stats'!E:E),Groups!A:A,Groups!AR:AR),"None")</f>
        <v>None</v>
      </c>
      <c r="BJ291" s="2" t="str">
        <f>IF(AND(_xlfn.XLOOKUP(_xlfn.XLOOKUP(B291,'Base stats'!B:B,'Base stats'!E:E),Groups!A:A,Groups!AS:AS)=1,OR(_xlfn.XLOOKUP(B291,'Base stats'!B:B,'Base stats'!Y:Y)="Carnivore",_xlfn.XLOOKUP(B291,'Base stats'!B:B,'Base stats'!Y:Y)="Omnivore")),"true","false")</f>
        <v>false</v>
      </c>
      <c r="BK291" s="2" t="str">
        <f>IF(BJ291="true",MROUND(IF(AND(AO291&gt;0.5,OR(_xlfn.XLOOKUP(_xlfn.XLOOKUP(B291,'Base stats'!B:B,'Base stats'!E:E),Groups!A:A,Groups!AJ:AJ)="Photonozoa",_xlfn.XLOOKUP(_xlfn.XLOOKUP(B291,'Base stats'!B:B,'Base stats'!E:E),Groups!A:A,Groups!AJ:AJ)="Mammal")),Animals!AO291*1.75*IF(AW291="true",1.5,1),IF(AO291&lt;0.5,Animals!AO291*0.5,Animals!AO291)),IF(AO291&gt;2,0.5,IF(AO291&gt;0.5,0.25,0.1))),"No")</f>
        <v>No</v>
      </c>
      <c r="BL291" s="2">
        <f t="shared" si="31"/>
        <v>0</v>
      </c>
      <c r="BM291" s="25" t="str">
        <f>IF(_xlfn.XLOOKUP(B291,'Base stats'!B:B,'Base stats'!AN:AN)="Standard","No",MROUND((_xlfn.XLOOKUP(B291,'Base stats'!B:B,'Base stats'!AN:AN)/3.6)/I291,0.1))</f>
        <v>No</v>
      </c>
      <c r="BN291" s="25" t="str">
        <f t="shared" si="32"/>
        <v>false</v>
      </c>
      <c r="BO291" s="25" t="str">
        <f>IF(AND(OR(_xlfn.XLOOKUP(B291,'Base stats'!B:B,'Base stats'!Y:Y)="Carnivore",_xlfn.XLOOKUP(B291,'Base stats'!B:B,'Base stats'!Y:Y)="Omnivore",_xlfn.XLOOKUP(B291,'Base stats'!B:B,'Base stats'!Y:Y)="OmnivoreRough"),_xlfn.XLOOKUP(_xlfn.XLOOKUP(B291,'Base stats'!B:B,'Base stats'!E:E),Groups!A:A,Groups!AT:AT)=1),"true","false")</f>
        <v>false</v>
      </c>
      <c r="BP291" s="25" t="str" cm="1">
        <f t="array" ref="BP291">IF(
  _xlfn.TEXTJOIN(", ",TRUE,
    IF(AND(BJ291="true",AO291&gt;0.5,BI291&lt;&gt;"None"),"AttackTarget",""),
    IF(AND(_xlfn.XLOOKUP(_xlfn.XLOOKUP(B291,'Base stats'!B:B,'Base stats'!E:E),Groups!A:A,Groups!AJ:AJ="Mammal"),OR(_xlfn.XLOOKUP(B291,'Base stats'!B:B,'Base stats'!Y:Y)="Omnivore",_xlfn.XLOOKUP(B291,'Base stats'!B:B,'Base stats'!Y:Y)="OmnivoreRough")),"Forage",""),
    IF(BG291&lt;=36,"Comfort",""),
    IF(_xlfn.XLOOKUP(B291,'Base stats'!B:B,'Base stats'!AE:AE)&lt;&gt;"No",_xlfn.XLOOKUP(B291,'Base stats'!B:B,'Base stats'!AE:AE),"")
  ) = "",
  "No",
  _xlfn.TEXTJOIN(", ",TRUE,
    IF(AND(BJ291="true",AO291&gt;0.5,BI291&lt;&gt;"None"),"AttackTarget",""),
    IF(AND(_xlfn.XLOOKUP(_xlfn.XLOOKUP(B291,'Base stats'!B:B,'Base stats'!E:E),Groups!A:A,Groups!AJ:AJ="Mammal"),OR(_xlfn.XLOOKUP(B291,'Base stats'!B:B,'Base stats'!Y:Y)="Omnivore",_xlfn.XLOOKUP(B291,'Base stats'!B:B,'Base stats'!Y:Y)="OmnivoreRough")),"Forage",""),
    IF(BG291&lt;=36,"Comfort",""),
    IF(_xlfn.XLOOKUP(B291,'Base stats'!B:B,'Base stats'!AE:AE)&lt;&gt;"No",_xlfn.XLOOKUP(B291,'Base stats'!B:B,'Base stats'!AE:AE),"")
  )
)</f>
        <v>No</v>
      </c>
      <c r="BQ291" s="25" t="str">
        <f>IF(
   AND(
      'Base stats'!AN291="Standard",_xlfn.XLOOKUP(_xlfn.XLOOKUP(B291,'Base stats'!B:B,'Base stats'!E:E),Groups!A:A,Groups!AU:AU)=0,
      OR(
      BO291="True"
      )
   ),
   10,
   IF(
       OR(BM291&lt;&gt;"No",_xlfn.XLOOKUP(_xlfn.XLOOKUP(B291,'Base stats'!B:B,'Base stats'!E:E),Groups!A:A,Groups!AU:AU)=1),
      1,
      "No"
   )
)</f>
        <v>No</v>
      </c>
      <c r="BR291" s="9">
        <f>MROUND((1 + ((0.2*IF(OR(Q291="No",R291="No",R291=0),0,Q291/R291)
+IF(OR(V291="No",S291="No",T291="No"),0,S291/T291*(LEN(V291)-LEN(SUBSTITUTE(V291,",",""))+1))
+IF(OR(X291="No",Y291="No"),0,X291/Y291)
+IF(OR(AD291="No",AE291="No"),0,AD291/AE291)
+IF(OR(AL291="No",AI291="No",AJ291="No"),0,AI291/AJ291*(LEN(AL291)-LEN(SUBSTITUTE(AL291,",",""))+1))
)/(0.2*IF(OR(Q291="No",R291="No",R291=0),0,1)
+IF(OR(V291="No",S291="No",T291="No"),0,LEN(V291)-LEN(SUBSTITUTE(V291,",",""))+1)
+IF(OR(X291="No",Y291="No"),0,1)
+IF(OR(AD291="No",AE291="No"),0,1)
+IF(OR(AL291="No",AI291="No",AJ291="No"),0,LEN(AL291)-LEN(SUBSTITUTE(AL291,",",""))+1))*62%)* 2)*(1 + (AP291 / (IF(_xlfn.XLOOKUP(_xlfn.XLOOKUP(B291,'Base stats'!B:B,'Base stats'!E:E),Groups!A:A,Groups!AJ:AJ)="Photonozoa",0.3,1)) + _xlfn.XLOOKUP(B291,'Base stats'!B:B,'Base stats'!AV:AV) * 1.8) * 2) * 2.5 + 10 + I291 * 2,5)+IF(_xlfn.XLOOKUP(B291,'Base stats'!B:B,'Base stats'!AK:AK)=1,50,0)</f>
        <v>55</v>
      </c>
      <c r="BS291" s="8">
        <f t="shared" si="33"/>
        <v>0.1</v>
      </c>
      <c r="BT291" s="8" t="str">
        <f>_xlfn.XLOOKUP(B291,'Base stats'!B:B,'Base stats'!AF:AF)</f>
        <v>No</v>
      </c>
      <c r="BU291" s="2" t="str">
        <f>IF(AND(J291&lt;=0.95,OR(_xlfn.XLOOKUP(B291,'Base stats'!B:B,'Base stats'!AK:AK)=1,_xlfn.XLOOKUP(B291,'Base stats'!B:B,'Base stats'!Y:Y)="Carnivore",_xlfn.XLOOKUP(B291,'Base stats'!B:B,'Base stats'!Y:Y)="Omnivore",BE291&gt;0.1)),"true","false")</f>
        <v>false</v>
      </c>
      <c r="BV291" s="2" t="str">
        <f>IF(_xlfn.XLOOKUP(B291,'Base stats'!B:B,'Base stats'!AI:AI)=1,"true","false")</f>
        <v>false</v>
      </c>
      <c r="BW291" s="25" t="str">
        <f>IF(E291="BaseInsect","AnimalInsect",
IF(J291&gt;0.95,"AnimalExotic",
_xlfn.TEXTJOIN(", ",TRUE,
IF(OR(_xlfn.XLOOKUP(B291,'Base stats'!B:B,'Base stats'!AM:AM)=1,AND(_xlfn.XLOOKUP(B291,'Base stats'!B:B,'Base stats'!O:O)=0,_xlfn.XLOOKUP(_xlfn.XLOOKUP(B291,'Base stats'!B:B,'Base stats'!E:E),Groups!A:A,Groups!B:B)&gt;0)),"AnimalUncommon","AnimalCommon"),
IF(AND(_xlfn.XLOOKUP(B291,'Base stats'!B:B,'Base stats'!O:O)=2,_xlfn.XLOOKUP(_xlfn.XLOOKUP(B291,'Base stats'!B:B,'Base stats'!E:E),Groups!A:A,Groups!D:D)=0),"AnimalPet",IF(AND(_xlfn.XLOOKUP(B291,'Base stats'!B:B,'Base stats'!O:O)&lt;&gt;0,_xlfn.XLOOKUP(_xlfn.XLOOKUP(B291,'Base stats'!B:B,'Base stats'!E:E),Groups!A:A,Groups!D:D)&lt;&gt;0),"AnimalFarm","")),
IF(OR(_xlfn.XLOOKUP(B291,'Base stats'!B:B,'Base stats'!AK:AK)=1,AND(BI291&lt;&gt;"None",BR291&gt;=60),ISNUMBER(SEARCH("Attack target",BP291))),"AnimalFighter","")
)))</f>
        <v>AnimalUncommon</v>
      </c>
      <c r="BX291" s="25" t="str">
        <f>IF(G291="None",TRIM(
SUBSTITUTE(
IF(COUNTIF(Biomes!B$2:B$259,"="&amp;$C291)&gt;0,Biomes!B$1&amp;", ","")&amp;
IF(COUNTIF(Biomes!C$2:C$259,"="&amp;$C291)&gt;0,Biomes!C$1&amp;", ","")&amp;
IF(COUNTIF(Biomes!D$2:D$259,"="&amp;$C291)&gt;0,Biomes!D$1&amp;", ","")&amp;
IF(COUNTIF(Biomes!F$2:F$259,"="&amp;$C291)&gt;0,Biomes!F$1&amp;", ","")&amp;
IF(COUNTIF(Biomes!G$2:G$259,"="&amp;$C291)&gt;0,Biomes!G$1&amp;", ","")&amp;
IF(COUNTIF(Biomes!H$2:H$259,"="&amp;$C291)&gt;0,Biomes!H$1&amp;", ","")&amp;
IF(COUNTIF(Biomes!I$2:I$259,"="&amp;$C291)&gt;0,Biomes!I$1&amp;", ","")&amp;
IF(COUNTIF(Biomes!J$2:J$259,"="&amp;$C291)&gt;0,Biomes!J$1&amp;", ","")&amp;
IF(COUNTIF(Biomes!M$2:M$259,"="&amp;$C291)&gt;0,Biomes!M$1&amp;", ","")&amp;
IF(COUNTIF(Biomes!N$2:N$259,"="&amp;$C291)&gt;0,Biomes!N$1&amp;", ","")&amp;
IF(COUNTIF(Biomes!O$2:O$259,"="&amp;$C291)&gt;0,Biomes!O$1&amp;", ","")&amp;
IF(COUNTIF(Biomes!P$2:P$259,"="&amp;$C291)&gt;0,Biomes!P$1&amp;", ","")&amp;
IF(COUNTIF(Biomes!K$2:K$259,"="&amp;$C291)&gt;0,Biomes!K$1&amp;", ","")&amp;
IF(COUNTIF(Biomes!Q$3:Q$259,"="&amp;$C291)&gt;0,Biomes!Q$1&amp;", ","")&amp;
IF(COUNTIF(Biomes!L$2:L$259,"="&amp;$C291)&gt;0,Biomes!L$1&amp;", ","")&amp;
IF(COUNTIF(Biomes!E$2:E$259,"="&amp;$C291)&gt;0,Biomes!E$1&amp;", ","")&amp;IF(COUNTIF(Biomes!S$2:S$259,"="&amp;$C291)&gt;0,Biomes!S$1&amp;", ","")&amp;
IF(COUNTIF(Biomes!R$2:R$259,"="&amp;$C291)&gt;0,Biomes!R$1&amp;", ",""),", ","")
),_xlfn.XLOOKUP(B291,B:B,BX:BX))</f>
        <v/>
      </c>
      <c r="BY291" s="25" t="str">
        <f>IF(_xlfn.XLOOKUP(B291,'Base stats'!B:B,'Base stats'!AJ:AJ)=1,"true","false")</f>
        <v>false</v>
      </c>
      <c r="BZ291" s="25">
        <f>IF(_xlfn.XLOOKUP(B291,'Base stats'!B:B,'Base stats'!N:N)=1,"No",MAX(0.001,MIN(MROUND(IF(AND(BJ291="True",CC291="False"),POWER(10,3.47*LOG10(_xlfn.XLOOKUP(B291,'Base stats'!B:B,'Base stats'!C:C)*1000)^-0.96),POWER(10,4.15*LOG10(_xlfn.XLOOKUP(B291,'Base stats'!B:B,'Base stats'!C:C)*1000)^-0.73))*IF(_xlfn.XLOOKUP(B291,'Base stats'!B:B,'Base stats'!AK:AK)=1,0.5,1)*IF(_xlfn.XLOOKUP(B291,'Base stats'!B:B,'Base stats'!AM:AM)=1,0.1,1)/100,IF(_xlfn.XLOOKUP(B291,'Base stats'!B:B,'Base stats'!AM:AM)=1,0.001,0.025)),0.5)))</f>
        <v>3.2000000000000001E-2</v>
      </c>
      <c r="CA291" s="25" t="str">
        <f>IF(P291="Standard","No",MAX(0.001,MIN(MROUND(IF(AND(BJ291="True",CC291="False"),POWER(10,3.47*LOG10(_xlfn.XLOOKUP(B291,'Base stats'!B:B,'Base stats'!C:C)*1000)^-0.96),POWER(10,4.15*LOG10(_xlfn.XLOOKUP(B291,'Base stats'!B:B,'Base stats'!C:C)*1000)^-0.73))*IF(_xlfn.XLOOKUP(B291,'Base stats'!B:B,'Base stats'!AM:AM)=1,0.1,1)*_xlfn.XLOOKUP(B291,'Base stats'!B:B,'Base stats'!R:R)/100,IF(_xlfn.XLOOKUP(B291,'Base stats'!B:B,'Base stats'!AM:AM)=1,0.001,0.025)),0.5)))</f>
        <v>No</v>
      </c>
      <c r="CB291" s="25" t="str">
        <f>IF(_xlfn.XLOOKUP(_xlfn.XLOOKUP(B291,'Base stats'!B:B,'Base stats'!E:E),Groups!A:A,Groups!AJ:AJ)="Mammal","True","False")</f>
        <v>False</v>
      </c>
      <c r="CC291" s="25" t="str">
        <f>IF(OR(_xlfn.XLOOKUP(_xlfn.XLOOKUP(B291,'Base stats'!B:B,'Base stats'!E:E),Groups!A:A,Groups!AJ:AJ)="Reptile",_xlfn.XLOOKUP(_xlfn.XLOOKUP(B291,'Base stats'!B:B,'Base stats'!E:E),Groups!A:A,Groups!AJ:AJ)="Amphibian",_xlfn.XLOOKUP(_xlfn.XLOOKUP(B291,'Base stats'!B:B,'Base stats'!E:E),Groups!A:A,Groups!AJ:AJ)="Invertebrate"),"True","False")</f>
        <v>True</v>
      </c>
      <c r="CD291" s="25" t="str">
        <f t="shared" si="34"/>
        <v>False</v>
      </c>
      <c r="CE291" s="25" t="str">
        <f>IF(_xlfn.XLOOKUP(_xlfn.XLOOKUP(B291,'Base stats'!B:B,'Base stats'!E:E),Groups!A:A,Groups!AX:AX),"True","False")</f>
        <v>False</v>
      </c>
      <c r="CF291" s="25" t="str">
        <f>IF(_xlfn.XLOOKUP(_xlfn.XLOOKUP(B291,'Base stats'!B:B,'Base stats'!E:E),Groups!A:A,Groups!AY:AY),"True","False")</f>
        <v>False</v>
      </c>
      <c r="CG291" s="25" t="str">
        <f>IF(_xlfn.XLOOKUP(_xlfn.XLOOKUP(B291,'Base stats'!B:B,'Base stats'!E:E),Groups!A:A,Groups!AW:AW),"True","False")</f>
        <v>False</v>
      </c>
      <c r="CH291" s="25" t="str">
        <f>IF(
OR(
_xlfn.XLOOKUP(_xlfn.XLOOKUP(B291,'Base stats'!B:B,'Base stats'!E:E),Groups!A:A,Groups!AZ:AZ)=0,
AND(
_xlfn.XLOOKUP(B291,'Base stats'!B:B,'Base stats'!Y:Y)&lt;&gt;"Carnivore",
_xlfn.XLOOKUP(B291,'Base stats'!B:B,'Base stats'!Y:Y)&lt;&gt;"Omnivore",
_xlfn.XLOOKUP(B291,'Base stats'!B:B,'Base stats'!Y:Y)&lt;&gt;"OmnivoreRough"
)
),
"No",
IF(
_xlfn.XLOOKUP(_xlfn.XLOOKUP(B291,'Base stats'!B:B,'Base stats'!E:E),Groups!A:A,Groups!AZ:AZ)=1,
"Flesh",
IF(
_xlfn.XLOOKUP(_xlfn.XLOOKUP(B291,'Base stats'!B:B,'Base stats'!E:E),Groups!A:A,Groups!AZ:AZ)=2,
"Bone",
""
)
)
)</f>
        <v>Bone</v>
      </c>
      <c r="CI291" s="25" t="str">
        <f>IF(_xlfn.XLOOKUP(_xlfn.XLOOKUP(B291,'Base stats'!B:B,'Base stats'!E:E),Groups!A:A,Groups!BB:BB),"True","False")</f>
        <v>False</v>
      </c>
      <c r="CJ291" s="25" t="str">
        <f>IF(_xlfn.XLOOKUP(_xlfn.XLOOKUP(B291,'Base stats'!B:B,'Base stats'!E:E),Groups!A:A,Groups!BA:BA),"True","False")</f>
        <v>False</v>
      </c>
    </row>
    <row r="292" spans="1:88" ht="16.5" thickTop="1" thickBot="1" x14ac:dyDescent="0.3">
      <c r="A292" s="26" t="s">
        <v>1496</v>
      </c>
      <c r="B292" s="6" t="str">
        <f>_xlfn.XLOOKUP(A292,'Base stats'!A:A,'Base stats'!B:B)</f>
        <v>Vermes mammuthus</v>
      </c>
      <c r="C292" s="28" t="s">
        <v>1497</v>
      </c>
      <c r="D292" s="28" t="s">
        <v>1341</v>
      </c>
      <c r="E292" s="28" t="s">
        <v>1748</v>
      </c>
      <c r="F292" s="28" t="s">
        <v>673</v>
      </c>
      <c r="G292" s="28" t="s">
        <v>673</v>
      </c>
      <c r="H292" s="2">
        <f>MROUND((
  (IF(AND(_xlfn.XLOOKUP(B292,'Base stats'!B:B,'Base stats'!AL:AL)=0,BI292="None",_xlfn.XLOOKUP(_xlfn.XLOOKUP(B292,'Base stats'!B:B,'Base stats'!E:E),Groups!A:A,Groups!B:B)=0), (18 + BR292 * 2.7) * 0.5,
    IF(AND(_xlfn.XLOOKUP(B292,'Base stats'!B:B,'Base stats'!AL:AL)=0,OR(AO292&lt;0.55,AND(BI292="Intermediate",_xlfn.XLOOKUP(_xlfn.XLOOKUP(B292,'Base stats'!B:B,'Base stats'!E:E),Groups!A:A,Groups!B:B)&lt;2))), (18 + BR292 * 2.7),
      IF(OR(BI292="Advanced",_xlfn.XLOOKUP(B292,'Base stats'!B:B,'Base stats'!AL:AL)=1,_xlfn.XLOOKUP(_xlfn.XLOOKUP(B292,'Base stats'!B:B,'Base stats'!E:E),Groups!A:A,Groups!B:B)=2), (18 + BR292 * 2.7) + 250, (18 + BR292 * 2.7))
    )
  ))
  + AO292 * 80
  + IF(COUNTIF(EggMilk!K$2:K$998, A292) &gt; 0, 125, 0)
  + IF(COUNTIF(EggMilk!P$2:P$998, A292) &gt; 0, 90, 0)
  + IF(COUNTIF(EggMilk!A$2:A$998, A292) &gt; 0, 90, 0)
)
* (0.8 + 0.4 * J292)
* 0.75,25)</f>
        <v>2125</v>
      </c>
      <c r="I292" s="2">
        <f>MROUND(ROUNDDOWN(_xlfn.XLOOKUP(B292,'Base stats'!B:B,'Base stats'!L:L)/3.6/(23.3/11),1),0.5)</f>
        <v>2</v>
      </c>
      <c r="J292" s="2">
        <f>IF(OR(_xlfn.XLOOKUP(B292,'Base stats'!B:B,'Base stats'!AB:AB)=1,_xlfn.XLOOKUP(_xlfn.XLOOKUP(B292,'Base stats'!B:B,'Base stats'!E:E),Groups!A:A,Groups!C:C)="Untamable"),1,IF(_xlfn.XLOOKUP(B292,'Base stats'!B:B,'Base stats'!AL:AL)=1,0.99,MIN(MROUND((1-0.6282*EXP(-0.459*AO292))*_xlfn.XLOOKUP(_xlfn.XLOOKUP(B292,'Base stats'!B:B,'Base stats'!E:E),Groups!A:A,Groups!C:C)*IF(_xlfn.XLOOKUP(B292,'Base stats'!B:B,'Base stats'!O:O)=1,0.5,IF(_xlfn.XLOOKUP(B292,'Base stats'!B:B,'Base stats'!O:O)=2,0,1)),0.05),IF(AO292&gt;3.5,0.985,0.95))))</f>
        <v>0.95000000000000007</v>
      </c>
      <c r="K292" s="2">
        <f>ROUNDUP(AO292*_xlfn.XLOOKUP(_xlfn.XLOOKUP(B292,'Base stats'!B:B,'Base stats'!E:E),Groups!A:A,Groups!E:E),0)</f>
        <v>5</v>
      </c>
      <c r="L292" s="2">
        <f>IF(OR(_xlfn.XLOOKUP(_xlfn.XLOOKUP(B292,'Base stats'!B:B,'Base stats'!E:E),Groups!A:A,Groups!F:F)=2,ISNUMBER(SEARCH("SeaIce",BX292)),ISNUMBER(SEARCH("IceSheet",BX292))),-50,IF(OR(ISNUMBER(SEARCH("GlacialPlain",BX292)),ISNUMBER(SEARCH("Tundra",BX292))),-40,IF(OR(ISNUMBER(SEARCH("Alpine",BX292)),ISNUMBER(SEARCH("BorealForest",BX292)),ISNUMBER(SEARCH("ColdBog",BX292))),-30,IF(OR(ISNUMBER(SEARCH("TemperateForest",BX292)),ISNUMBER(SEARCH("TemperateSwamp",BX292))),-20,IF(_xlfn.XLOOKUP(_xlfn.XLOOKUP(B292,'Base stats'!B:B,'Base stats'!E:E),Groups!A:A,Groups!F:F)=1,-15,IF(OR(ISNUMBER(SEARCH("Desert",BX292)),ISNUMBER(SEARCH("ExtremeDesert",BX292))),-10,IF(OR(ISNUMBER(SEARCH("Grasslands",BX292)),ISNUMBER(SEARCH("TropicalRainforest",BX292)),ISNUMBER(SEARCH("TropicalSwamp",BX292))),10,0)))))))-IF(CC292="False",MIN(IFERROR(MAX(MROUND(LOG10(_xlfn.XLOOKUP(B292,'Base stats'!B:B,'Base stats'!C:C)^(2/3))*10,5),5),5),30))-_xlfn.XLOOKUP(B292,'Base stats'!B:B,'Base stats'!P:P)+IF(CC292="True",5,0)</f>
        <v>5</v>
      </c>
      <c r="M292" s="2">
        <f>IF(OR(_xlfn.XLOOKUP(_xlfn.XLOOKUP(B292,'Base stats'!B:B,'Base stats'!E:E),Groups!A:A,Groups!G:G)=2,ISNUMBER(SEARCH("Desert",BX292)),ISNUMBER(SEARCH("ExtremeDesert",BX292)),ISNUMBER(SEARCH("LavaField",BX292))),50,IF(ISNUMBER(SEARCH("Grasslands",BX292)),45,IF(OR(_xlfn.XLOOKUP(_xlfn.XLOOKUP(B292,'Base stats'!B:B,'Base stats'!E:E),Groups!A:A,Groups!G:G)=1,ISNUMBER(SEARCH("TropicalRainforest",BX292)),ISNUMBER(SEARCH("TropicalSwamp",BX292))),40,IF(OR(ISNUMBER(SEARCH("TemperateForest",BX292)),ISNUMBER(SEARCH("TemperateSwamp",BX292))),35,IF(OR(ISNUMBER(SEARCH("Alpine",BX292)),ISNUMBER(SEARCH("BorealForest",BX292)),ISNUMBER(SEARCH("ColdBog",BX292))),30,IF(ISNUMBER(OR(ISNUMBER(SEARCH("GlacialPlain",BX292)),SEARCH("Tundra",BX292))),25,IF(OR(ISNUMBER(SEARCH("SeaIce",BX292)),ISNUMBER(SEARCH("IceSheet",BX292)),ISNUMBER(SEARCH("TropicalSwamp",BX292))),10,35)))))))+_xlfn.XLOOKUP(B292,'Base stats'!B:B,'Base stats'!Q:Q)</f>
        <v>35</v>
      </c>
      <c r="N292" s="8">
        <f>IF(
_xlfn.XLOOKUP(
_xlfn.XLOOKUP(B292,'Base stats'!B:B,'Base stats'!E:E),
Groups!A:A,
Groups!L:L
)=1,
MIN(
MROUND(
IF(
_xlfn.XLOOKUP(B292,'Animals CE'!B:B,'Animals CE'!Z:Z)&lt;=1.5,
_xlfn.XLOOKUP(B292,'Animals CE'!B:B,'Animals CE'!Z:Z)/2+0.05,
0.8+
(_xlfn.XLOOKUP(B292,'Animals CE'!B:B,'Animals CE'!Z:Z)-1.5)
*0.02
),
0.05
),
200%
),
"No"
)</f>
        <v>1</v>
      </c>
      <c r="O292" s="8">
        <f>IF(
_xlfn.XLOOKUP(
_xlfn.XLOOKUP(B292,'Base stats'!B:B,'Base stats'!E:E),
Groups!A:A,
Groups!L:L
)=1,
MIN(
MROUND(
IF(
_xlfn.XLOOKUP(B292,'Animals CE'!B:B,'Animals CE'!AA:AA)&lt;=1.5,
_xlfn.XLOOKUP(B292,'Animals CE'!B:B,'Animals CE'!AA:AA)/2+0.05,
0.8+
(_xlfn.XLOOKUP(B292,'Animals CE'!B:B,'Animals CE'!AA:AA)-1.5)
*0.02
),
0.05
),
200%
),
"No"
)</f>
        <v>0.9</v>
      </c>
      <c r="P292" s="2" t="str">
        <f>_xlfn.XLOOKUP(B292,'Base stats'!B:B,'Base stats'!R:R)</f>
        <v>Standard</v>
      </c>
      <c r="Q292" s="13">
        <f>MROUND((LOG10(_xlfn.XLOOKUP(B292,'Base stats'!B:B,'Base stats'!AR:AR))*(AO292^0.5)+(_xlfn.XLOOKUP(B292,'Base stats'!B:B,'Base stats'!AR:AR)/1000)^(2/3)+_xlfn.XLOOKUP(B292,'Base stats'!B:B,'Base stats'!BA:BA)/2)+0.5,0.5)</f>
        <v>34</v>
      </c>
      <c r="R292" s="7">
        <f>IF(Q292="No","No",MAX(1,MROUND(_xlfn.XLOOKUP(B292,'Base stats'!B:B,'Base stats'!C:C)^0.165,0.05)))</f>
        <v>3.95</v>
      </c>
      <c r="S292" s="13" t="str">
        <f>IF(_xlfn.XLOOKUP(_xlfn.XLOOKUP(B292,'Base stats'!B:B,'Base stats'!E:E),Groups!A:A,Groups!P:P)=0,"No",MROUND((LOG10(_xlfn.XLOOKUP(B292,'Base stats'!B:B,'Base stats'!AS:AS))*(AO292^0.5)+(_xlfn.XLOOKUP(B292,'Base stats'!B:B,'Base stats'!AS:AS)/1000)^(2/3)+_xlfn.XLOOKUP(B292,'Base stats'!B:B,'Base stats'!BA:BA))+_xlfn.XLOOKUP(B292,'Base stats'!B:B,'Base stats'!AY:AY)+0.5,0.5))</f>
        <v>No</v>
      </c>
      <c r="T292" s="7" t="str">
        <f>IF(S292="No","No",MAX(_xlfn.XLOOKUP(_xlfn.XLOOKUP(B292,'Base stats'!B:B,'Base stats'!E:E),Groups!A:A,Groups!Q:Q),MROUND(_xlfn.XLOOKUP(_xlfn.XLOOKUP(B292,'Base stats'!B:B,'Base stats'!E:E),Groups!A:A,Groups!Q:Q)*_xlfn.XLOOKUP(B292,'Base stats'!B:B,'Base stats'!C:C)^0.165,0.05)))</f>
        <v>No</v>
      </c>
      <c r="U292" s="7" t="str">
        <f>IF(S292="No","No",_xlfn.XLOOKUP(_xlfn.XLOOKUP(B292,'Base stats'!B:B,'Base stats'!E:E),Groups!A:A,Groups!R:R))</f>
        <v>No</v>
      </c>
      <c r="V292" s="7" t="str">
        <f>IF(S292="No","No",_xlfn.XLOOKUP(_xlfn.XLOOKUP(B292,'Base stats'!B:B,'Base stats'!E:E),Groups!A:A,Groups!S:S))</f>
        <v>No</v>
      </c>
      <c r="W292" s="7" t="str">
        <f>IF(S292="No","No",_xlfn.XLOOKUP(_xlfn.XLOOKUP(B292,'Base stats'!B:B,'Base stats'!E:E),Groups!A:A,Groups!T:T))</f>
        <v>No</v>
      </c>
      <c r="X292" s="13" t="str">
        <f>IF(_xlfn.XLOOKUP(B292,'Base stats'!B:B,'Base stats'!W:W)="No","No",MROUND((LOG10(_xlfn.XLOOKUP(B292,'Base stats'!B:B,'Base stats'!AU:AU))*(AO292^0.5)+(_xlfn.XLOOKUP(B292,'Base stats'!B:B,'Base stats'!AU:AU)/1000)^(2/3)+_xlfn.XLOOKUP(B292,'Base stats'!B:B,'Base stats'!AZ:AZ))+0.5+IF(_xlfn.XLOOKUP(_xlfn.XLOOKUP(B292,'Base stats'!B:B,'Base stats'!E:E),Groups!A:A,Groups!U:U)&lt;&gt;3,_xlfn.XLOOKUP(B292,'Base stats'!B:B,'Base stats'!BA:BA),0),0.5))</f>
        <v>No</v>
      </c>
      <c r="Y292" s="7" t="str">
        <f>IF(X292="No","No",MAX(_xlfn.XLOOKUP(_xlfn.XLOOKUP(B292,'Base stats'!B:B,'Base stats'!E:E),Groups!A:A,Groups!V:V),MROUND(_xlfn.XLOOKUP(_xlfn.XLOOKUP(B292,'Base stats'!B:B,'Base stats'!E:E),Groups!A:A,Groups!V:V)*_xlfn.XLOOKUP(B292,'Base stats'!B:B,'Base stats'!C:C)^0.165,0.05)))</f>
        <v>No</v>
      </c>
      <c r="Z292" s="7" t="str">
        <f>IF(X292="No","No",_xlfn.XLOOKUP(_xlfn.XLOOKUP(B292,'Base stats'!B:B,'Base stats'!E:E),Groups!A:A,Groups!W:W))</f>
        <v>No</v>
      </c>
      <c r="AA292" s="7" t="str">
        <f>IF(X292="No","No",_xlfn.XLOOKUP(_xlfn.XLOOKUP(B292,'Base stats'!B:B,'Base stats'!E:E),Groups!A:A,Groups!X:X))</f>
        <v>No</v>
      </c>
      <c r="AB292" s="7" t="str">
        <f>IF(X292="No","No",_xlfn.XLOOKUP(_xlfn.XLOOKUP(B292,'Base stats'!B:B,'Base stats'!E:E),Groups!A:A,Groups!Y:Y))</f>
        <v>No</v>
      </c>
      <c r="AC292" s="7" t="str">
        <f>_xlfn.XLOOKUP(Animals!B292,'Base stats'!B:B,'Base stats'!X:X)</f>
        <v>False</v>
      </c>
      <c r="AD292" s="13">
        <f>IF(_xlfn.XLOOKUP(B292,'Base stats'!B:B,'Base stats'!AT:AT)="No","No",MROUND((LOG10(_xlfn.XLOOKUP(B292,'Base stats'!B:B,'Base stats'!AT:AT))*(AO292^0.75)+(_xlfn.XLOOKUP(B292,'Base stats'!B:B,'Base stats'!AT:AT)/1000)^(2/3)+_xlfn.XLOOKUP(B292,'Base stats'!B:B,'Base stats'!AX:AX)+_xlfn.XLOOKUP(B292,'Base stats'!B:B,'Base stats'!BA:BA))+0.5,0.5))</f>
        <v>89</v>
      </c>
      <c r="AE292" s="7">
        <f>IF(AD292="No","No",MAX(_xlfn.XLOOKUP(_xlfn.XLOOKUP(B292,'Base stats'!B:B,'Base stats'!E:E),Groups!A:A,Groups!Z:Z),MROUND(_xlfn.XLOOKUP(_xlfn.XLOOKUP(B292,'Base stats'!B:B,'Base stats'!E:E),Groups!A:A,Groups!Z:Z)*_xlfn.XLOOKUP(B292,'Base stats'!B:B,'Base stats'!C:C)^0.165,0.05)))</f>
        <v>5.1000000000000005</v>
      </c>
      <c r="AF292" s="7" t="str">
        <f>IF(AD292="No","No",_xlfn.XLOOKUP(_xlfn.XLOOKUP(B292,'Base stats'!B:B,'Base stats'!E:E),Groups!A:A,Groups!AA:AA))</f>
        <v>Mouth</v>
      </c>
      <c r="AG292" s="7" t="str">
        <f>IF(AD292="No","No",_xlfn.XLOOKUP(_xlfn.XLOOKUP(B292,'Base stats'!B:B,'Base stats'!E:E),Groups!A:A,Groups!AB:AB))</f>
        <v>mandibles</v>
      </c>
      <c r="AH292" s="7" t="str">
        <f>IF(AD292="No","No",_xlfn.XLOOKUP(_xlfn.XLOOKUP(B292,'Base stats'!B:B,'Base stats'!E:E),Groups!A:A,Groups!AC:AC))</f>
        <v>Bite</v>
      </c>
      <c r="AI292" s="13" t="str">
        <f>IF(_xlfn.XLOOKUP(_xlfn.XLOOKUP(B292,'Base stats'!B:B,'Base stats'!E:E),Groups!A:A,Groups!AD:AD)=0,"No",MROUND((LOG10(_xlfn.XLOOKUP(B292,'Base stats'!B:B,'Base stats'!AS:AS))*(AO292^0.75)+(_xlfn.XLOOKUP(B292,'Base stats'!B:B,'Base stats'!AS:AS)/1000)^(2/3)+_xlfn.XLOOKUP(B292,'Base stats'!B:B,'Base stats'!AY:AY)+_xlfn.XLOOKUP(B292,'Base stats'!B:B,'Base stats'!BA:BA))+0.5,0.5))</f>
        <v>No</v>
      </c>
      <c r="AJ292" s="7" t="str">
        <f>IF(AI292="No","No",MAX(_xlfn.XLOOKUP(_xlfn.XLOOKUP(B292,'Base stats'!B:B,'Base stats'!E:E),Groups!A:A,Groups!AE:AE),MROUND(_xlfn.XLOOKUP(_xlfn.XLOOKUP(B292,'Base stats'!B:B,'Base stats'!E:E),Groups!A:A,Groups!AE:AE)*IF(_xlfn.XLOOKUP(_xlfn.XLOOKUP(B292,'Base stats'!B:B,'Base stats'!E:E),Groups!A:A,Groups!AJ:AJ)="Photonozoa",0.6,1)*_xlfn.XLOOKUP(B292,'Base stats'!B:B,'Base stats'!C:C)^0.165,0.05)))</f>
        <v>No</v>
      </c>
      <c r="AK292" s="7" t="str">
        <f>IF(AI292="No","No",_xlfn.XLOOKUP(_xlfn.XLOOKUP(B292,'Base stats'!B:B,'Base stats'!E:E),Groups!A:A,Groups!AF:AF))</f>
        <v>No</v>
      </c>
      <c r="AL292" s="7" t="str">
        <f>IF(AI292="No","No",_xlfn.XLOOKUP(_xlfn.XLOOKUP(B292,'Base stats'!B:B,'Base stats'!E:E),Groups!A:A,Groups!AG:AG))</f>
        <v>No</v>
      </c>
      <c r="AM292" s="7" t="str">
        <f>IF(AI292="No","No",_xlfn.XLOOKUP(_xlfn.XLOOKUP(B292,'Base stats'!B:B,'Base stats'!E:E),Groups!A:A,Groups!AH:AH))</f>
        <v>No</v>
      </c>
      <c r="AN292" s="2" t="str">
        <f t="shared" si="28"/>
        <v>No</v>
      </c>
      <c r="AO292" s="2">
        <f>MROUND(IF(AND(_xlfn.XLOOKUP(B292,'Base stats'!B:B,'Base stats'!C:C)&gt;=0.5,_xlfn.XLOOKUP(B292,'Base stats'!B:B,'Base stats'!C:C)&lt;=0.8),
IF(_xlfn.XLOOKUP(B292,'Base stats'!B:B,'Base stats'!C:C)&lt;0.1,0.05,IF(_xlfn.XLOOKUP(B292,'Base stats'!B:B,'Base stats'!C:C)&lt;=70,(_xlfn.XLOOKUP(B292,'Base stats'!B:B,'Base stats'!C:C)/70)^0.426489913056526,IF(_xlfn.XLOOKUP(B292,'Base stats'!B:B,'Base stats'!C:C)&lt;=400,(_xlfn.XLOOKUP(B292,'Base stats'!B:B,'Base stats'!C:C)/70)^0.572811455315093,IF(_xlfn.XLOOKUP(B292,'Base stats'!B:B,'Base stats'!C:C)&lt;=2000,2.71391647193063*(_xlfn.XLOOKUP(B292,'Base stats'!B:B,'Base stats'!C:C)/400)^0.252459582904293,3.74314280240376*(_xlfn.XLOOKUP(B292,'Base stats'!B:B,'Base stats'!C:C)/2000)^0.357012633876913)))),
IF(_xlfn.XLOOKUP(B292,'Base stats'!B:B,'Base stats'!C:C)&lt;0.1,0.05,IF(_xlfn.XLOOKUP(B292,'Base stats'!B:B,'Base stats'!C:C)&lt;0.4,0.1,IF(_xlfn.XLOOKUP(B292,'Base stats'!B:B,'Base stats'!C:C)&lt;=70,(_xlfn.XLOOKUP(B292,'Base stats'!B:B,'Base stats'!C:C)/70)^0.445823913056526,IF(_xlfn.XLOOKUP(B292,'Base stats'!B:B,'Base stats'!C:C)&lt;=400,(_xlfn.XLOOKUP(B292,'Base stats'!B:B,'Base stats'!C:C)/70)^0.572811455315093,IF(_xlfn.XLOOKUP(B292,'Base stats'!B:B,'Base stats'!C:C)&lt;=2000,2.71391647193063*(_xlfn.XLOOKUP(B292,'Base stats'!B:B,'Base stats'!C:C)/400)^0.252459582904293,3.74314280240376*(_xlfn.XLOOKUP(B292,'Base stats'!B:B,'Base stats'!C:C)/2000)^0.357012633876913)))))),
IF(_xlfn.XLOOKUP(B292,'Base stats'!B:B,'Base stats'!C:C)&lt;0.1,0.05,IF(_xlfn.XLOOKUP(B292,'Base stats'!B:B,'Base stats'!C:C)&lt;=100,0.05,IF(_xlfn.XLOOKUP(B292,'Base stats'!B:B,'Base stats'!C:C)&lt;=250,0.1,IF(_xlfn.XLOOKUP(B292,'Base stats'!B:B,'Base stats'!C:C)&lt;=4000,0.25,0.5)))))</f>
        <v>4.75</v>
      </c>
      <c r="AP292" s="8">
        <f>MROUND(AO292*_xlfn.XLOOKUP(_xlfn.XLOOKUP(B292,'Base stats'!B:B,'Base stats'!E:E),Groups!A:A,Groups!AI:AI)*_xlfn.XLOOKUP(B292,'Base stats'!B:B,'Base stats'!Z:Z),0.05)</f>
        <v>4.75</v>
      </c>
      <c r="AQ292" s="8">
        <f>MAX(0.01,MROUND(IF(CC292="True",0.196*(AO292*100*1000)^0.889,IF(_xlfn.XLOOKUP(_xlfn.XLOOKUP(B292,'Base stats'!B:B,'Base stats'!E:E),Groups!A:A,Groups!AJ:AJ)="Bird",10.5*(AO292*100*1000)^0.681,4.82*(AO292*100*1000)^0.734))/(4.82*(1*100*1000)^0.734)/IF(AO292&lt;3.5,2,IF(AO292=3.5,1.5,1.25))*(1+0.132282374779864/(AO292^0.994035016789033+0.00905238001496948)),0.05))</f>
        <v>0.8</v>
      </c>
      <c r="AR292" s="9">
        <f>IFERROR(MROUND(_xlfn.XLOOKUP(B292,'Base stats'!B:B,'Base stats'!H:H)/IF(_xlfn.XLOOKUP(B292,'Base stats'!B:B,'Base stats'!I:I)&lt;&gt;1,(122.5/70),1.2),IF(_xlfn.XLOOKUP(B292,'Base stats'!B:B,'Base stats'!H:H)&gt;=30,5,IF(_xlfn.XLOOKUP(B292,'Base stats'!B:B,'Base stats'!H:H)&gt;=15,3,IF(_xlfn.XLOOKUP(B292,'Base stats'!B:B,'Base stats'!H:H)&gt;=10,2,1)))),"Immortal")</f>
        <v>25</v>
      </c>
      <c r="AS292" s="35" t="str">
        <f>IFERROR(IF(OR(_xlfn.XLOOKUP(B292,'Base stats'!B:B,'Base stats'!F:F)="Atypical reproduction",_xlfn.XLOOKUP(B292,'Base stats'!B:B,'Base stats'!F:F)="Lay eggs"),"Lay eggs",MIN(20,MAX(5.5,ROUND(((_xlfn.XLOOKUP(B292,'Base stats'!B:B,'Base stats'!F:F)-25)*(14.5/615) + 5.5)*2,0)/2))),"Unknown")</f>
        <v>Lay eggs</v>
      </c>
      <c r="AT292" s="8">
        <f>IF(_xlfn.XLOOKUP(B292,'Base stats'!B:B,'Base stats'!G:G)="Atypical reproduction","No",IFERROR(MAX(IF(_xlfn.XLOOKUP(B292,'Base stats'!B:B,'Base stats'!G:G)&lt;0.5,0.2,0.3),MROUND(_xlfn.XLOOKUP(B292,'Base stats'!B:B,'Base stats'!G:G)/(365/60),0.2)),"Unknown"))</f>
        <v>0.8</v>
      </c>
      <c r="AU292" s="8">
        <f t="shared" si="29"/>
        <v>0.4</v>
      </c>
      <c r="AV292" s="8" t="str">
        <f>IFERROR(IFERROR(MROUND(_xlfn.XLOOKUP(B292,'Base stats'!B:B,'Base stats'!J:J),0.1),"Lay eggs"),"Cannot breed")</f>
        <v>Lay eggs</v>
      </c>
      <c r="AW292" s="2" t="str">
        <f t="shared" si="30"/>
        <v>false</v>
      </c>
      <c r="AX292" s="2" t="str">
        <f>IF(_xlfn.XLOOKUP(_xlfn.XLOOKUP(Animals!B292,'Base stats'!B:B,'Base stats'!E:E),Groups!A:A,Groups!AK:AK)=1,"true","false")</f>
        <v>false</v>
      </c>
      <c r="AY292" s="25" t="str">
        <f>IF(_xlfn.XLOOKUP(B292,'Base stats'!B:B,'Base stats'!Y:Y)="Liquor","Liquor, CarnivoreAnimalStrict",IF(AND(_xlfn.XLOOKUP(B292,'Base stats'!B:B,'Base stats'!Y:Y)="Carnivore",_xlfn.XLOOKUP(_xlfn.XLOOKUP(B292,'Base stats'!B:B,'Base stats'!E:E),Groups!A:A,Groups!AJ:AJ)="Photonozoa"),"CarnivoreAnimalStrict, OvivoreAnimal",IF(_xlfn.XLOOKUP(B292,'Base stats'!B:B,'Base stats'!Y:Y)="Carnivore","CarnivoreAnimal, OvivoreAnimal",IF(_xlfn.XLOOKUP(B292,'Base stats'!B:B,'Base stats'!Y:Y)="Dendrovore","VegetarianRoughAnimal, DendrovoreAnimal",IF(_xlfn.XLOOKUP(B292,'Base stats'!B:B,'Base stats'!Y:Y)="Herbivore","VegetarianRoughAnimal",IF(_xlfn.XLOOKUP(B292,'Base stats'!B:B,'Base stats'!Y:Y)="OmnivoreRough","OmnivoreRoughAnimal, OvivoreAnimal","OmnivoreAnimal, OvivoreAnimal"))))))</f>
        <v>OmnivoreRoughAnimal, OvivoreAnimal</v>
      </c>
      <c r="AZ292" s="2">
        <f>IF(_xlfn.XLOOKUP(_xlfn.XLOOKUP(B292,'Base stats'!B:B,'Base stats'!E:E),Groups!A:A,Groups!D:D)=1,MROUND((1-J292)*5+1,2)*IF(J292&lt;=0.4,2,1),"No")</f>
        <v>2</v>
      </c>
      <c r="BA292" s="2" t="str">
        <f>IF(AND(_xlfn.XLOOKUP(B292,'Base stats'!B:B,'Base stats'!AH:AH)="&lt;li&gt;Seal&lt;/li&gt;",G292="Odyssey"),"&lt;li&gt;AEXP_Seal&lt;/li&gt;",_xlfn.XLOOKUP(B292,'Base stats'!B:B,'Base stats'!AH:AH))</f>
        <v>&lt;li&gt;Megaspider&lt;/li&gt;</v>
      </c>
      <c r="BB292" s="2" t="str">
        <f>_xlfn.XLOOKUP(B292,'Base stats'!B:B,'Base stats'!AG:AG)</f>
        <v>Leather_BlackChitin</v>
      </c>
      <c r="BC292" s="23" t="str">
        <f>_xlfn.XLOOKUP(_xlfn.XLOOKUP(B292,'Base stats'!B:B,'Base stats'!E:E),Groups!A:A,Groups!AL:AL)</f>
        <v>Larva</v>
      </c>
      <c r="BD292" s="23">
        <f>MIN(1,MROUND(IF(AND(AO292&lt;0.5,_xlfn.XLOOKUP(B292,'Base stats'!B:B,'Base stats'!AA:AA)=0),0,IF(OR(_xlfn.XLOOKUP(Animals!B292,'Base stats'!B:B,'Base stats'!O:O)=2,_xlfn.XLOOKUP(_xlfn.XLOOKUP(B292,'Base stats'!B:B,'Base stats'!E:E),Groups!A:A,Groups!AN:AN)=0),0,_xlfn.XLOOKUP(_xlfn.XLOOKUP(B292,'Base stats'!B:B,'Base stats'!E:E),Groups!A:A,Groups!AN:AN)/IF(_xlfn.XLOOKUP(Animals!B292,'Base stats'!B:B,'Base stats'!O:O)=1,2,1)))+_xlfn.XLOOKUP(B292,'Base stats'!B:B,'Base stats'!AC:AC),0.005))</f>
        <v>0.1</v>
      </c>
      <c r="BE292" s="23">
        <f>MIN(1,MROUND(IF(AND(AO292&lt;0.5,_xlfn.XLOOKUP(B292,'Base stats'!B:B,'Base stats'!AA:AA)=0),0,IF(_xlfn.XLOOKUP(_xlfn.XLOOKUP(B292,'Base stats'!B:B,'Base stats'!E:E),Groups!A:A,Groups!AO:AO)=0,0,_xlfn.XLOOKUP(_xlfn.XLOOKUP(B292,'Base stats'!B:B,'Base stats'!E:E),Groups!A:A,Groups!AO:AO)/IF(_xlfn.XLOOKUP(Animals!B292,'Base stats'!B:B,'Base stats'!O:O)=2,3,1)))+_xlfn.XLOOKUP(B292,'Base stats'!B:B,'Base stats'!AD:AD),0.005))</f>
        <v>0.3</v>
      </c>
      <c r="BF292" s="2" t="str">
        <f>IF(J292&gt;0.3,"No",_xlfn.XLOOKUP(_xlfn.XLOOKUP(Animals!B292,'Base stats'!B:B,'Base stats'!E:E),Groups!A:A,Groups!AP:AP))</f>
        <v>No</v>
      </c>
      <c r="BG292" s="2" t="str">
        <f>IF(AND(J292&lt;=0.65,_xlfn.XLOOKUP(_xlfn.XLOOKUP(Animals!B292,'Base stats'!B:B,'Base stats'!E:E),Groups!A:A,Groups!AP:AP)&lt;&gt;"No",_xlfn.XLOOKUP(_xlfn.XLOOKUP(B292,'Base stats'!B:B,'Base stats'!E:E),Groups!A:A,Groups!D:D)=0),MROUND((80/3)*IF(_xlfn.XLOOKUP(B292,'Base stats'!B:B,'Base stats'!O:O)=2,0.2,AO292) + 24*(1-IF(BF292="No",0,BF292)) + 16/3, 12),"No")</f>
        <v>No</v>
      </c>
      <c r="BH292" s="2">
        <f>IF(AND(_xlfn.XLOOKUP(_xlfn.XLOOKUP(B292,'Base stats'!B:B,'Base stats'!E:E),Groups!A:A,Groups!AQ:AQ)=1,AO292&lt;=0.35),8,12)</f>
        <v>12</v>
      </c>
      <c r="BI292" s="2" t="str">
        <f>IF(_xlfn.XLOOKUP(_xlfn.XLOOKUP(B292,'Base stats'!B:B,'Base stats'!E:E),Groups!A:A,Groups!D:D)=0,_xlfn.XLOOKUP(_xlfn.XLOOKUP(B292,'Base stats'!B:B,'Base stats'!E:E),Groups!A:A,Groups!AR:AR),"None")</f>
        <v>None</v>
      </c>
      <c r="BJ292" s="2" t="str">
        <f>IF(AND(_xlfn.XLOOKUP(_xlfn.XLOOKUP(B292,'Base stats'!B:B,'Base stats'!E:E),Groups!A:A,Groups!AS:AS)=1,OR(_xlfn.XLOOKUP(B292,'Base stats'!B:B,'Base stats'!Y:Y)="Carnivore",_xlfn.XLOOKUP(B292,'Base stats'!B:B,'Base stats'!Y:Y)="Omnivore")),"true","false")</f>
        <v>false</v>
      </c>
      <c r="BK292" s="2" t="str">
        <f>IF(BJ292="true",MROUND(IF(AND(AO292&gt;0.5,OR(_xlfn.XLOOKUP(_xlfn.XLOOKUP(B292,'Base stats'!B:B,'Base stats'!E:E),Groups!A:A,Groups!AJ:AJ)="Photonozoa",_xlfn.XLOOKUP(_xlfn.XLOOKUP(B292,'Base stats'!B:B,'Base stats'!E:E),Groups!A:A,Groups!AJ:AJ)="Mammal")),Animals!AO292*1.75*IF(AW292="true",1.5,1),IF(AO292&lt;0.5,Animals!AO292*0.5,Animals!AO292)),IF(AO292&gt;2,0.5,IF(AO292&gt;0.5,0.25,0.1))),"No")</f>
        <v>No</v>
      </c>
      <c r="BL292" s="2">
        <f t="shared" si="31"/>
        <v>0</v>
      </c>
      <c r="BM292" s="25" t="str">
        <f>IF(_xlfn.XLOOKUP(B292,'Base stats'!B:B,'Base stats'!AN:AN)="Standard","No",MROUND((_xlfn.XLOOKUP(B292,'Base stats'!B:B,'Base stats'!AN:AN)/3.6)/I292,0.1))</f>
        <v>No</v>
      </c>
      <c r="BN292" s="25" t="str">
        <f t="shared" si="32"/>
        <v>false</v>
      </c>
      <c r="BO292" s="25" t="str">
        <f>IF(AND(OR(_xlfn.XLOOKUP(B292,'Base stats'!B:B,'Base stats'!Y:Y)="Carnivore",_xlfn.XLOOKUP(B292,'Base stats'!B:B,'Base stats'!Y:Y)="Omnivore",_xlfn.XLOOKUP(B292,'Base stats'!B:B,'Base stats'!Y:Y)="OmnivoreRough"),_xlfn.XLOOKUP(_xlfn.XLOOKUP(B292,'Base stats'!B:B,'Base stats'!E:E),Groups!A:A,Groups!AT:AT)=1),"true","false")</f>
        <v>false</v>
      </c>
      <c r="BP292" s="25" t="str" cm="1">
        <f t="array" ref="BP292">IF(
  _xlfn.TEXTJOIN(", ",TRUE,
    IF(AND(BJ292="true",AO292&gt;0.5,BI292&lt;&gt;"None"),"AttackTarget",""),
    IF(AND(_xlfn.XLOOKUP(_xlfn.XLOOKUP(B292,'Base stats'!B:B,'Base stats'!E:E),Groups!A:A,Groups!AJ:AJ="Mammal"),OR(_xlfn.XLOOKUP(B292,'Base stats'!B:B,'Base stats'!Y:Y)="Omnivore",_xlfn.XLOOKUP(B292,'Base stats'!B:B,'Base stats'!Y:Y)="OmnivoreRough")),"Forage",""),
    IF(BG292&lt;=36,"Comfort",""),
    IF(_xlfn.XLOOKUP(B292,'Base stats'!B:B,'Base stats'!AE:AE)&lt;&gt;"No",_xlfn.XLOOKUP(B292,'Base stats'!B:B,'Base stats'!AE:AE),"")
  ) = "",
  "No",
  _xlfn.TEXTJOIN(", ",TRUE,
    IF(AND(BJ292="true",AO292&gt;0.5,BI292&lt;&gt;"None"),"AttackTarget",""),
    IF(AND(_xlfn.XLOOKUP(_xlfn.XLOOKUP(B292,'Base stats'!B:B,'Base stats'!E:E),Groups!A:A,Groups!AJ:AJ="Mammal"),OR(_xlfn.XLOOKUP(B292,'Base stats'!B:B,'Base stats'!Y:Y)="Omnivore",_xlfn.XLOOKUP(B292,'Base stats'!B:B,'Base stats'!Y:Y)="OmnivoreRough")),"Forage",""),
    IF(BG292&lt;=36,"Comfort",""),
    IF(_xlfn.XLOOKUP(B292,'Base stats'!B:B,'Base stats'!AE:AE)&lt;&gt;"No",_xlfn.XLOOKUP(B292,'Base stats'!B:B,'Base stats'!AE:AE),"")
  )
)</f>
        <v>No</v>
      </c>
      <c r="BQ292" s="25" t="str">
        <f>IF(
   AND(
      'Base stats'!AN292="Standard",_xlfn.XLOOKUP(_xlfn.XLOOKUP(B292,'Base stats'!B:B,'Base stats'!E:E),Groups!A:A,Groups!AU:AU)=0,
      OR(
      BO292="True"
      )
   ),
   10,
   IF(
       OR(BM292&lt;&gt;"No",_xlfn.XLOOKUP(_xlfn.XLOOKUP(B292,'Base stats'!B:B,'Base stats'!E:E),Groups!A:A,Groups!AU:AU)=1),
      1,
      "No"
   )
)</f>
        <v>No</v>
      </c>
      <c r="BR292" s="9">
        <f>MROUND((1 + ((0.2*IF(OR(Q292="No",R292="No",R292=0),0,Q292/R292)
+IF(OR(V292="No",S292="No",T292="No"),0,S292/T292*(LEN(V292)-LEN(SUBSTITUTE(V292,",",""))+1))
+IF(OR(X292="No",Y292="No"),0,X292/Y292)
+IF(OR(AD292="No",AE292="No"),0,AD292/AE292)
+IF(OR(AL292="No",AI292="No",AJ292="No"),0,AI292/AJ292*(LEN(AL292)-LEN(SUBSTITUTE(AL292,",",""))+1))
)/(0.2*IF(OR(Q292="No",R292="No",R292=0),0,1)
+IF(OR(V292="No",S292="No",T292="No"),0,LEN(V292)-LEN(SUBSTITUTE(V292,",",""))+1)
+IF(OR(X292="No",Y292="No"),0,1)
+IF(OR(AD292="No",AE292="No"),0,1)
+IF(OR(AL292="No",AI292="No",AJ292="No"),0,LEN(AL292)-LEN(SUBSTITUTE(AL292,",",""))+1))*62%)* 2)*(1 + (AP292 / (IF(_xlfn.XLOOKUP(_xlfn.XLOOKUP(B292,'Base stats'!B:B,'Base stats'!E:E),Groups!A:A,Groups!AJ:AJ)="Photonozoa",0.3,1)) + _xlfn.XLOOKUP(B292,'Base stats'!B:B,'Base stats'!AV:AV) * 1.8) * 2) * 2.5 + 10 + I292 * 2,5)+IF(_xlfn.XLOOKUP(B292,'Base stats'!B:B,'Base stats'!AK:AK)=1,50,0)</f>
        <v>740</v>
      </c>
      <c r="BS292" s="8">
        <f t="shared" si="33"/>
        <v>1.6</v>
      </c>
      <c r="BT292" s="8" t="str">
        <f>_xlfn.XLOOKUP(B292,'Base stats'!B:B,'Base stats'!AF:AF)</f>
        <v>No</v>
      </c>
      <c r="BU292" s="2" t="str">
        <f>IF(AND(J292&lt;=0.95,OR(_xlfn.XLOOKUP(B292,'Base stats'!B:B,'Base stats'!AK:AK)=1,_xlfn.XLOOKUP(B292,'Base stats'!B:B,'Base stats'!Y:Y)="Carnivore",_xlfn.XLOOKUP(B292,'Base stats'!B:B,'Base stats'!Y:Y)="Omnivore",BE292&gt;0.1)),"true","false")</f>
        <v>true</v>
      </c>
      <c r="BV292" s="2" t="str">
        <f>IF(_xlfn.XLOOKUP(B292,'Base stats'!B:B,'Base stats'!AI:AI)=1,"true","false")</f>
        <v>true</v>
      </c>
      <c r="BW292" s="25" t="str">
        <f>IF(E292="BaseInsect","AnimalInsect",
IF(J292&gt;0.95,"AnimalExotic",
_xlfn.TEXTJOIN(", ",TRUE,
IF(OR(_xlfn.XLOOKUP(B292,'Base stats'!B:B,'Base stats'!AM:AM)=1,AND(_xlfn.XLOOKUP(B292,'Base stats'!B:B,'Base stats'!O:O)=0,_xlfn.XLOOKUP(_xlfn.XLOOKUP(B292,'Base stats'!B:B,'Base stats'!E:E),Groups!A:A,Groups!B:B)&gt;0)),"AnimalUncommon","AnimalCommon"),
IF(AND(_xlfn.XLOOKUP(B292,'Base stats'!B:B,'Base stats'!O:O)=2,_xlfn.XLOOKUP(_xlfn.XLOOKUP(B292,'Base stats'!B:B,'Base stats'!E:E),Groups!A:A,Groups!D:D)=0),"AnimalPet",IF(AND(_xlfn.XLOOKUP(B292,'Base stats'!B:B,'Base stats'!O:O)&lt;&gt;0,_xlfn.XLOOKUP(_xlfn.XLOOKUP(B292,'Base stats'!B:B,'Base stats'!E:E),Groups!A:A,Groups!D:D)&lt;&gt;0),"AnimalFarm","")),
IF(OR(_xlfn.XLOOKUP(B292,'Base stats'!B:B,'Base stats'!AK:AK)=1,AND(BI292&lt;&gt;"None",BR292&gt;=60),ISNUMBER(SEARCH("Attack target",BP292))),"AnimalFighter","")
)))</f>
        <v>AnimalUncommon</v>
      </c>
      <c r="BX292" s="25" t="str">
        <f>IF(G292="None",TRIM(
SUBSTITUTE(
IF(COUNTIF(Biomes!B$2:B$259,"="&amp;$C292)&gt;0,Biomes!B$1&amp;", ","")&amp;
IF(COUNTIF(Biomes!C$2:C$259,"="&amp;$C292)&gt;0,Biomes!C$1&amp;", ","")&amp;
IF(COUNTIF(Biomes!D$2:D$259,"="&amp;$C292)&gt;0,Biomes!D$1&amp;", ","")&amp;
IF(COUNTIF(Biomes!F$2:F$259,"="&amp;$C292)&gt;0,Biomes!F$1&amp;", ","")&amp;
IF(COUNTIF(Biomes!G$2:G$259,"="&amp;$C292)&gt;0,Biomes!G$1&amp;", ","")&amp;
IF(COUNTIF(Biomes!H$2:H$259,"="&amp;$C292)&gt;0,Biomes!H$1&amp;", ","")&amp;
IF(COUNTIF(Biomes!I$2:I$259,"="&amp;$C292)&gt;0,Biomes!I$1&amp;", ","")&amp;
IF(COUNTIF(Biomes!J$2:J$259,"="&amp;$C292)&gt;0,Biomes!J$1&amp;", ","")&amp;
IF(COUNTIF(Biomes!M$2:M$259,"="&amp;$C292)&gt;0,Biomes!M$1&amp;", ","")&amp;
IF(COUNTIF(Biomes!N$2:N$259,"="&amp;$C292)&gt;0,Biomes!N$1&amp;", ","")&amp;
IF(COUNTIF(Biomes!O$2:O$259,"="&amp;$C292)&gt;0,Biomes!O$1&amp;", ","")&amp;
IF(COUNTIF(Biomes!P$2:P$259,"="&amp;$C292)&gt;0,Biomes!P$1&amp;", ","")&amp;
IF(COUNTIF(Biomes!K$2:K$259,"="&amp;$C292)&gt;0,Biomes!K$1&amp;", ","")&amp;
IF(COUNTIF(Biomes!Q$3:Q$259,"="&amp;$C292)&gt;0,Biomes!Q$1&amp;", ","")&amp;
IF(COUNTIF(Biomes!L$2:L$259,"="&amp;$C292)&gt;0,Biomes!L$1&amp;", ","")&amp;
IF(COUNTIF(Biomes!E$2:E$259,"="&amp;$C292)&gt;0,Biomes!E$1&amp;", ","")&amp;IF(COUNTIF(Biomes!S$2:S$259,"="&amp;$C292)&gt;0,Biomes!S$1&amp;", ","")&amp;
IF(COUNTIF(Biomes!R$2:R$259,"="&amp;$C292)&gt;0,Biomes!R$1&amp;", ",""),", ","")
),_xlfn.XLOOKUP(B292,B:B,BX:BX))</f>
        <v/>
      </c>
      <c r="BY292" s="25" t="str">
        <f>IF(_xlfn.XLOOKUP(B292,'Base stats'!B:B,'Base stats'!AJ:AJ)=1,"true","false")</f>
        <v>false</v>
      </c>
      <c r="BZ292" s="25">
        <f>IF(_xlfn.XLOOKUP(B292,'Base stats'!B:B,'Base stats'!N:N)=1,"No",MAX(0.001,MIN(MROUND(IF(AND(BJ292="True",CC292="False"),POWER(10,3.47*LOG10(_xlfn.XLOOKUP(B292,'Base stats'!B:B,'Base stats'!C:C)*1000)^-0.96),POWER(10,4.15*LOG10(_xlfn.XLOOKUP(B292,'Base stats'!B:B,'Base stats'!C:C)*1000)^-0.73))*IF(_xlfn.XLOOKUP(B292,'Base stats'!B:B,'Base stats'!AK:AK)=1,0.5,1)*IF(_xlfn.XLOOKUP(B292,'Base stats'!B:B,'Base stats'!AM:AM)=1,0.1,1)/100,IF(_xlfn.XLOOKUP(B292,'Base stats'!B:B,'Base stats'!AM:AM)=1,0.001,0.025)),0.5)))</f>
        <v>1.0999999999999999E-2</v>
      </c>
      <c r="CA292" s="25" t="str">
        <f>IF(P292="Standard","No",MAX(0.001,MIN(MROUND(IF(AND(BJ292="True",CC292="False"),POWER(10,3.47*LOG10(_xlfn.XLOOKUP(B292,'Base stats'!B:B,'Base stats'!C:C)*1000)^-0.96),POWER(10,4.15*LOG10(_xlfn.XLOOKUP(B292,'Base stats'!B:B,'Base stats'!C:C)*1000)^-0.73))*IF(_xlfn.XLOOKUP(B292,'Base stats'!B:B,'Base stats'!AM:AM)=1,0.1,1)*_xlfn.XLOOKUP(B292,'Base stats'!B:B,'Base stats'!R:R)/100,IF(_xlfn.XLOOKUP(B292,'Base stats'!B:B,'Base stats'!AM:AM)=1,0.001,0.025)),0.5)))</f>
        <v>No</v>
      </c>
      <c r="CB292" s="25" t="str">
        <f>IF(_xlfn.XLOOKUP(_xlfn.XLOOKUP(B292,'Base stats'!B:B,'Base stats'!E:E),Groups!A:A,Groups!AJ:AJ)="Mammal","True","False")</f>
        <v>False</v>
      </c>
      <c r="CC292" s="25" t="str">
        <f>IF(OR(_xlfn.XLOOKUP(_xlfn.XLOOKUP(B292,'Base stats'!B:B,'Base stats'!E:E),Groups!A:A,Groups!AJ:AJ)="Reptile",_xlfn.XLOOKUP(_xlfn.XLOOKUP(B292,'Base stats'!B:B,'Base stats'!E:E),Groups!A:A,Groups!AJ:AJ)="Amphibian",_xlfn.XLOOKUP(_xlfn.XLOOKUP(B292,'Base stats'!B:B,'Base stats'!E:E),Groups!A:A,Groups!AJ:AJ)="Invertebrate"),"True","False")</f>
        <v>True</v>
      </c>
      <c r="CD292" s="25" t="str">
        <f t="shared" si="34"/>
        <v>False</v>
      </c>
      <c r="CE292" s="25" t="str">
        <f>IF(_xlfn.XLOOKUP(_xlfn.XLOOKUP(B292,'Base stats'!B:B,'Base stats'!E:E),Groups!A:A,Groups!AX:AX),"True","False")</f>
        <v>False</v>
      </c>
      <c r="CF292" s="25" t="str">
        <f>IF(_xlfn.XLOOKUP(_xlfn.XLOOKUP(B292,'Base stats'!B:B,'Base stats'!E:E),Groups!A:A,Groups!AY:AY),"True","False")</f>
        <v>False</v>
      </c>
      <c r="CG292" s="25" t="str">
        <f>IF(_xlfn.XLOOKUP(_xlfn.XLOOKUP(B292,'Base stats'!B:B,'Base stats'!E:E),Groups!A:A,Groups!AW:AW),"True","False")</f>
        <v>False</v>
      </c>
      <c r="CH292" s="25" t="str">
        <f>IF(
OR(
_xlfn.XLOOKUP(_xlfn.XLOOKUP(B292,'Base stats'!B:B,'Base stats'!E:E),Groups!A:A,Groups!AZ:AZ)=0,
AND(
_xlfn.XLOOKUP(B292,'Base stats'!B:B,'Base stats'!Y:Y)&lt;&gt;"Carnivore",
_xlfn.XLOOKUP(B292,'Base stats'!B:B,'Base stats'!Y:Y)&lt;&gt;"Omnivore",
_xlfn.XLOOKUP(B292,'Base stats'!B:B,'Base stats'!Y:Y)&lt;&gt;"OmnivoreRough"
)
),
"No",
IF(
_xlfn.XLOOKUP(_xlfn.XLOOKUP(B292,'Base stats'!B:B,'Base stats'!E:E),Groups!A:A,Groups!AZ:AZ)=1,
"Flesh",
IF(
_xlfn.XLOOKUP(_xlfn.XLOOKUP(B292,'Base stats'!B:B,'Base stats'!E:E),Groups!A:A,Groups!AZ:AZ)=2,
"Bone",
""
)
)
)</f>
        <v>No</v>
      </c>
      <c r="CI292" s="25" t="str">
        <f>IF(_xlfn.XLOOKUP(_xlfn.XLOOKUP(B292,'Base stats'!B:B,'Base stats'!E:E),Groups!A:A,Groups!BB:BB),"True","False")</f>
        <v>False</v>
      </c>
      <c r="CJ292" s="25" t="str">
        <f>IF(_xlfn.XLOOKUP(_xlfn.XLOOKUP(B292,'Base stats'!B:B,'Base stats'!E:E),Groups!A:A,Groups!BA:BA),"True","False")</f>
        <v>False</v>
      </c>
    </row>
    <row r="293" spans="1:88" ht="16.5" thickTop="1" thickBot="1" x14ac:dyDescent="0.3">
      <c r="A293" s="26" t="s">
        <v>1498</v>
      </c>
      <c r="B293" s="6" t="str">
        <f>_xlfn.XLOOKUP(A293,'Base stats'!A:A,'Base stats'!B:B)</f>
        <v>Mantis carnifera</v>
      </c>
      <c r="C293" s="28" t="s">
        <v>1499</v>
      </c>
      <c r="D293" s="28" t="s">
        <v>1341</v>
      </c>
      <c r="E293" s="28" t="s">
        <v>673</v>
      </c>
      <c r="F293" s="28" t="s">
        <v>673</v>
      </c>
      <c r="G293" s="28" t="s">
        <v>673</v>
      </c>
      <c r="H293" s="2">
        <f>MROUND((
  (IF(AND(_xlfn.XLOOKUP(B293,'Base stats'!B:B,'Base stats'!AL:AL)=0,BI293="None",_xlfn.XLOOKUP(_xlfn.XLOOKUP(B293,'Base stats'!B:B,'Base stats'!E:E),Groups!A:A,Groups!B:B)=0), (18 + BR293 * 2.7) * 0.5,
    IF(AND(_xlfn.XLOOKUP(B293,'Base stats'!B:B,'Base stats'!AL:AL)=0,OR(AO293&lt;0.55,AND(BI293="Intermediate",_xlfn.XLOOKUP(_xlfn.XLOOKUP(B293,'Base stats'!B:B,'Base stats'!E:E),Groups!A:A,Groups!B:B)&lt;2))), (18 + BR293 * 2.7),
      IF(OR(BI293="Advanced",_xlfn.XLOOKUP(B293,'Base stats'!B:B,'Base stats'!AL:AL)=1,_xlfn.XLOOKUP(_xlfn.XLOOKUP(B293,'Base stats'!B:B,'Base stats'!E:E),Groups!A:A,Groups!B:B)=2), (18 + BR293 * 2.7) + 250, (18 + BR293 * 2.7))
    )
  ))
  + AO293 * 80
  + IF(COUNTIF(EggMilk!K$2:K$998, A293) &gt; 0, 125, 0)
  + IF(COUNTIF(EggMilk!P$2:P$998, A293) &gt; 0, 90, 0)
  + IF(COUNTIF(EggMilk!A$2:A$998, A293) &gt; 0, 90, 0)
)
* (0.8 + 0.4 * J293)
* 0.75,25)</f>
        <v>425</v>
      </c>
      <c r="I293" s="2">
        <f>MROUND(ROUNDDOWN(_xlfn.XLOOKUP(B293,'Base stats'!B:B,'Base stats'!L:L)/3.6/(23.3/11),1),0.5)</f>
        <v>2.5</v>
      </c>
      <c r="J293" s="2">
        <f>IF(OR(_xlfn.XLOOKUP(B293,'Base stats'!B:B,'Base stats'!AB:AB)=1,_xlfn.XLOOKUP(_xlfn.XLOOKUP(B293,'Base stats'!B:B,'Base stats'!E:E),Groups!A:A,Groups!C:C)="Untamable"),1,IF(_xlfn.XLOOKUP(B293,'Base stats'!B:B,'Base stats'!AL:AL)=1,0.99,MIN(MROUND((1-0.6282*EXP(-0.459*AO293))*_xlfn.XLOOKUP(_xlfn.XLOOKUP(B293,'Base stats'!B:B,'Base stats'!E:E),Groups!A:A,Groups!C:C)*IF(_xlfn.XLOOKUP(B293,'Base stats'!B:B,'Base stats'!O:O)=1,0.5,IF(_xlfn.XLOOKUP(B293,'Base stats'!B:B,'Base stats'!O:O)=2,0,1)),0.05),IF(AO293&gt;3.5,0.985,0.95))))</f>
        <v>0.55000000000000004</v>
      </c>
      <c r="K293" s="2">
        <f>ROUNDUP(AO293*_xlfn.XLOOKUP(_xlfn.XLOOKUP(B293,'Base stats'!B:B,'Base stats'!E:E),Groups!A:A,Groups!E:E),0)</f>
        <v>1</v>
      </c>
      <c r="L293" s="2">
        <f>IF(OR(_xlfn.XLOOKUP(_xlfn.XLOOKUP(B293,'Base stats'!B:B,'Base stats'!E:E),Groups!A:A,Groups!F:F)=2,ISNUMBER(SEARCH("SeaIce",BX293)),ISNUMBER(SEARCH("IceSheet",BX293))),-50,IF(OR(ISNUMBER(SEARCH("GlacialPlain",BX293)),ISNUMBER(SEARCH("Tundra",BX293))),-40,IF(OR(ISNUMBER(SEARCH("Alpine",BX293)),ISNUMBER(SEARCH("BorealForest",BX293)),ISNUMBER(SEARCH("ColdBog",BX293))),-30,IF(OR(ISNUMBER(SEARCH("TemperateForest",BX293)),ISNUMBER(SEARCH("TemperateSwamp",BX293))),-20,IF(_xlfn.XLOOKUP(_xlfn.XLOOKUP(B293,'Base stats'!B:B,'Base stats'!E:E),Groups!A:A,Groups!F:F)=1,-15,IF(OR(ISNUMBER(SEARCH("Desert",BX293)),ISNUMBER(SEARCH("ExtremeDesert",BX293))),-10,IF(OR(ISNUMBER(SEARCH("Grasslands",BX293)),ISNUMBER(SEARCH("TropicalRainforest",BX293)),ISNUMBER(SEARCH("TropicalSwamp",BX293))),10,0)))))))-IF(CC293="False",MIN(IFERROR(MAX(MROUND(LOG10(_xlfn.XLOOKUP(B293,'Base stats'!B:B,'Base stats'!C:C)^(2/3))*10,5),5),5),30))-_xlfn.XLOOKUP(B293,'Base stats'!B:B,'Base stats'!P:P)+IF(CC293="True",5,0)</f>
        <v>-5</v>
      </c>
      <c r="M293" s="2">
        <f>IF(OR(_xlfn.XLOOKUP(_xlfn.XLOOKUP(B293,'Base stats'!B:B,'Base stats'!E:E),Groups!A:A,Groups!G:G)=2,ISNUMBER(SEARCH("Desert",BX293)),ISNUMBER(SEARCH("ExtremeDesert",BX293)),ISNUMBER(SEARCH("LavaField",BX293))),50,IF(ISNUMBER(SEARCH("Grasslands",BX293)),45,IF(OR(_xlfn.XLOOKUP(_xlfn.XLOOKUP(B293,'Base stats'!B:B,'Base stats'!E:E),Groups!A:A,Groups!G:G)=1,ISNUMBER(SEARCH("TropicalRainforest",BX293)),ISNUMBER(SEARCH("TropicalSwamp",BX293))),40,IF(OR(ISNUMBER(SEARCH("TemperateForest",BX293)),ISNUMBER(SEARCH("TemperateSwamp",BX293))),35,IF(OR(ISNUMBER(SEARCH("Alpine",BX293)),ISNUMBER(SEARCH("BorealForest",BX293)),ISNUMBER(SEARCH("ColdBog",BX293))),30,IF(ISNUMBER(OR(ISNUMBER(SEARCH("GlacialPlain",BX293)),SEARCH("Tundra",BX293))),25,IF(OR(ISNUMBER(SEARCH("SeaIce",BX293)),ISNUMBER(SEARCH("IceSheet",BX293)),ISNUMBER(SEARCH("TropicalSwamp",BX293))),10,35)))))))+_xlfn.XLOOKUP(B293,'Base stats'!B:B,'Base stats'!Q:Q)</f>
        <v>50</v>
      </c>
      <c r="N293" s="8" t="str">
        <f>IF(
_xlfn.XLOOKUP(
_xlfn.XLOOKUP(B293,'Base stats'!B:B,'Base stats'!E:E),
Groups!A:A,
Groups!L:L
)=1,
MIN(
MROUND(
IF(
_xlfn.XLOOKUP(B293,'Animals CE'!B:B,'Animals CE'!Z:Z)&lt;=1.5,
_xlfn.XLOOKUP(B293,'Animals CE'!B:B,'Animals CE'!Z:Z)/2+0.05,
0.8+
(_xlfn.XLOOKUP(B293,'Animals CE'!B:B,'Animals CE'!Z:Z)-1.5)
*0.02
),
0.05
),
200%
),
"No"
)</f>
        <v>No</v>
      </c>
      <c r="O293" s="8" t="str">
        <f>IF(
_xlfn.XLOOKUP(
_xlfn.XLOOKUP(B293,'Base stats'!B:B,'Base stats'!E:E),
Groups!A:A,
Groups!L:L
)=1,
MIN(
MROUND(
IF(
_xlfn.XLOOKUP(B293,'Animals CE'!B:B,'Animals CE'!AA:AA)&lt;=1.5,
_xlfn.XLOOKUP(B293,'Animals CE'!B:B,'Animals CE'!AA:AA)/2+0.05,
0.8+
(_xlfn.XLOOKUP(B293,'Animals CE'!B:B,'Animals CE'!AA:AA)-1.5)
*0.02
),
0.05
),
200%
),
"No"
)</f>
        <v>No</v>
      </c>
      <c r="P293" s="2" t="str">
        <f>_xlfn.XLOOKUP(B293,'Base stats'!B:B,'Base stats'!R:R)</f>
        <v>Standard</v>
      </c>
      <c r="Q293" s="13">
        <f>MROUND((LOG10(_xlfn.XLOOKUP(B293,'Base stats'!B:B,'Base stats'!AR:AR))*(AO293^0.5)+(_xlfn.XLOOKUP(B293,'Base stats'!B:B,'Base stats'!AR:AR)/1000)^(2/3)+_xlfn.XLOOKUP(B293,'Base stats'!B:B,'Base stats'!BA:BA)/2)+0.5,0.5)</f>
        <v>6</v>
      </c>
      <c r="R293" s="7">
        <f>IF(Q293="No","No",MAX(1,MROUND(_xlfn.XLOOKUP(B293,'Base stats'!B:B,'Base stats'!C:C)^0.165,0.05)))</f>
        <v>1.85</v>
      </c>
      <c r="S293" s="13" t="str">
        <f>IF(_xlfn.XLOOKUP(_xlfn.XLOOKUP(B293,'Base stats'!B:B,'Base stats'!E:E),Groups!A:A,Groups!P:P)=0,"No",MROUND((LOG10(_xlfn.XLOOKUP(B293,'Base stats'!B:B,'Base stats'!AS:AS))*(AO293^0.5)+(_xlfn.XLOOKUP(B293,'Base stats'!B:B,'Base stats'!AS:AS)/1000)^(2/3)+_xlfn.XLOOKUP(B293,'Base stats'!B:B,'Base stats'!BA:BA))+_xlfn.XLOOKUP(B293,'Base stats'!B:B,'Base stats'!AY:AY)+0.5,0.5))</f>
        <v>No</v>
      </c>
      <c r="T293" s="7" t="str">
        <f>IF(S293="No","No",MAX(_xlfn.XLOOKUP(_xlfn.XLOOKUP(B293,'Base stats'!B:B,'Base stats'!E:E),Groups!A:A,Groups!Q:Q),MROUND(_xlfn.XLOOKUP(_xlfn.XLOOKUP(B293,'Base stats'!B:B,'Base stats'!E:E),Groups!A:A,Groups!Q:Q)*_xlfn.XLOOKUP(B293,'Base stats'!B:B,'Base stats'!C:C)^0.165,0.05)))</f>
        <v>No</v>
      </c>
      <c r="U293" s="7" t="str">
        <f>IF(S293="No","No",_xlfn.XLOOKUP(_xlfn.XLOOKUP(B293,'Base stats'!B:B,'Base stats'!E:E),Groups!A:A,Groups!R:R))</f>
        <v>No</v>
      </c>
      <c r="V293" s="7" t="str">
        <f>IF(S293="No","No",_xlfn.XLOOKUP(_xlfn.XLOOKUP(B293,'Base stats'!B:B,'Base stats'!E:E),Groups!A:A,Groups!S:S))</f>
        <v>No</v>
      </c>
      <c r="W293" s="7" t="str">
        <f>IF(S293="No","No",_xlfn.XLOOKUP(_xlfn.XLOOKUP(B293,'Base stats'!B:B,'Base stats'!E:E),Groups!A:A,Groups!T:T))</f>
        <v>No</v>
      </c>
      <c r="X293" s="13" t="str">
        <f>IF(_xlfn.XLOOKUP(B293,'Base stats'!B:B,'Base stats'!W:W)="No","No",MROUND((LOG10(_xlfn.XLOOKUP(B293,'Base stats'!B:B,'Base stats'!AU:AU))*(AO293^0.5)+(_xlfn.XLOOKUP(B293,'Base stats'!B:B,'Base stats'!AU:AU)/1000)^(2/3)+_xlfn.XLOOKUP(B293,'Base stats'!B:B,'Base stats'!AZ:AZ))+0.5+IF(_xlfn.XLOOKUP(_xlfn.XLOOKUP(B293,'Base stats'!B:B,'Base stats'!E:E),Groups!A:A,Groups!U:U)&lt;&gt;3,_xlfn.XLOOKUP(B293,'Base stats'!B:B,'Base stats'!BA:BA),0),0.5))</f>
        <v>No</v>
      </c>
      <c r="Y293" s="7" t="str">
        <f>IF(X293="No","No",MAX(_xlfn.XLOOKUP(_xlfn.XLOOKUP(B293,'Base stats'!B:B,'Base stats'!E:E),Groups!A:A,Groups!V:V),MROUND(_xlfn.XLOOKUP(_xlfn.XLOOKUP(B293,'Base stats'!B:B,'Base stats'!E:E),Groups!A:A,Groups!V:V)*_xlfn.XLOOKUP(B293,'Base stats'!B:B,'Base stats'!C:C)^0.165,0.05)))</f>
        <v>No</v>
      </c>
      <c r="Z293" s="7" t="str">
        <f>IF(X293="No","No",_xlfn.XLOOKUP(_xlfn.XLOOKUP(B293,'Base stats'!B:B,'Base stats'!E:E),Groups!A:A,Groups!W:W))</f>
        <v>No</v>
      </c>
      <c r="AA293" s="7" t="str">
        <f>IF(X293="No","No",_xlfn.XLOOKUP(_xlfn.XLOOKUP(B293,'Base stats'!B:B,'Base stats'!E:E),Groups!A:A,Groups!X:X))</f>
        <v>No</v>
      </c>
      <c r="AB293" s="7" t="str">
        <f>IF(X293="No","No",_xlfn.XLOOKUP(_xlfn.XLOOKUP(B293,'Base stats'!B:B,'Base stats'!E:E),Groups!A:A,Groups!Y:Y))</f>
        <v>No</v>
      </c>
      <c r="AC293" s="7" t="str">
        <f>_xlfn.XLOOKUP(Animals!B293,'Base stats'!B:B,'Base stats'!X:X)</f>
        <v>False</v>
      </c>
      <c r="AD293" s="13">
        <f>IF(_xlfn.XLOOKUP(B293,'Base stats'!B:B,'Base stats'!AT:AT)="No","No",MROUND((LOG10(_xlfn.XLOOKUP(B293,'Base stats'!B:B,'Base stats'!AT:AT))*(AO293^0.75)+(_xlfn.XLOOKUP(B293,'Base stats'!B:B,'Base stats'!AT:AT)/1000)^(2/3)+_xlfn.XLOOKUP(B293,'Base stats'!B:B,'Base stats'!AX:AX)+_xlfn.XLOOKUP(B293,'Base stats'!B:B,'Base stats'!BA:BA))+0.5,0.5))</f>
        <v>16</v>
      </c>
      <c r="AE293" s="7">
        <f>IF(AD293="No","No",MAX(_xlfn.XLOOKUP(_xlfn.XLOOKUP(B293,'Base stats'!B:B,'Base stats'!E:E),Groups!A:A,Groups!Z:Z),MROUND(_xlfn.XLOOKUP(_xlfn.XLOOKUP(B293,'Base stats'!B:B,'Base stats'!E:E),Groups!A:A,Groups!Z:Z)*_xlfn.XLOOKUP(B293,'Base stats'!B:B,'Base stats'!C:C)^0.165,0.05)))</f>
        <v>1.6500000000000001</v>
      </c>
      <c r="AF293" s="7" t="str">
        <f>IF(AD293="No","No",_xlfn.XLOOKUP(_xlfn.XLOOKUP(B293,'Base stats'!B:B,'Base stats'!E:E),Groups!A:A,Groups!AA:AA))</f>
        <v>AA_Mouth</v>
      </c>
      <c r="AG293" s="7" t="str">
        <f>IF(AD293="No","No",_xlfn.XLOOKUP(_xlfn.XLOOKUP(B293,'Base stats'!B:B,'Base stats'!E:E),Groups!A:A,Groups!AB:AB))</f>
        <v>mouth</v>
      </c>
      <c r="AH293" s="7" t="str">
        <f>IF(AD293="No","No",_xlfn.XLOOKUP(_xlfn.XLOOKUP(B293,'Base stats'!B:B,'Base stats'!E:E),Groups!A:A,Groups!AC:AC))</f>
        <v>Bite</v>
      </c>
      <c r="AI293" s="13">
        <f>IF(_xlfn.XLOOKUP(_xlfn.XLOOKUP(B293,'Base stats'!B:B,'Base stats'!E:E),Groups!A:A,Groups!AD:AD)=0,"No",MROUND((LOG10(_xlfn.XLOOKUP(B293,'Base stats'!B:B,'Base stats'!AS:AS))*(AO293^0.75)+(_xlfn.XLOOKUP(B293,'Base stats'!B:B,'Base stats'!AS:AS)/1000)^(2/3)+_xlfn.XLOOKUP(B293,'Base stats'!B:B,'Base stats'!AY:AY)+_xlfn.XLOOKUP(B293,'Base stats'!B:B,'Base stats'!BA:BA))+0.5,0.5))</f>
        <v>7.5</v>
      </c>
      <c r="AJ293" s="7">
        <f>IF(AI293="No","No",MAX(_xlfn.XLOOKUP(_xlfn.XLOOKUP(B293,'Base stats'!B:B,'Base stats'!E:E),Groups!A:A,Groups!AE:AE),MROUND(_xlfn.XLOOKUP(_xlfn.XLOOKUP(B293,'Base stats'!B:B,'Base stats'!E:E),Groups!A:A,Groups!AE:AE)*IF(_xlfn.XLOOKUP(_xlfn.XLOOKUP(B293,'Base stats'!B:B,'Base stats'!E:E),Groups!A:A,Groups!AJ:AJ)="Photonozoa",0.6,1)*_xlfn.XLOOKUP(B293,'Base stats'!B:B,'Base stats'!C:C)^0.165,0.05)))</f>
        <v>1.4500000000000002</v>
      </c>
      <c r="AK293" s="7" t="str">
        <f>IF(AI293="No","No",_xlfn.XLOOKUP(_xlfn.XLOOKUP(B293,'Base stats'!B:B,'Base stats'!E:E),Groups!A:A,Groups!AF:AF))</f>
        <v>HeadAttackTool</v>
      </c>
      <c r="AL293" s="7" t="str">
        <f>IF(AI293="No","No",_xlfn.XLOOKUP(_xlfn.XLOOKUP(B293,'Base stats'!B:B,'Base stats'!E:E),Groups!A:A,Groups!AG:AG))</f>
        <v>razor barbs</v>
      </c>
      <c r="AM293" s="7" t="str">
        <f>IF(AI293="No","No",_xlfn.XLOOKUP(_xlfn.XLOOKUP(B293,'Base stats'!B:B,'Base stats'!E:E),Groups!A:A,Groups!AH:AH))</f>
        <v>AA_Acid</v>
      </c>
      <c r="AN293" s="2">
        <f t="shared" si="28"/>
        <v>20</v>
      </c>
      <c r="AO293" s="2">
        <f>MROUND(IF(AND(_xlfn.XLOOKUP(B293,'Base stats'!B:B,'Base stats'!C:C)&gt;=0.5,_xlfn.XLOOKUP(B293,'Base stats'!B:B,'Base stats'!C:C)&lt;=0.8),
IF(_xlfn.XLOOKUP(B293,'Base stats'!B:B,'Base stats'!C:C)&lt;0.1,0.05,IF(_xlfn.XLOOKUP(B293,'Base stats'!B:B,'Base stats'!C:C)&lt;=70,(_xlfn.XLOOKUP(B293,'Base stats'!B:B,'Base stats'!C:C)/70)^0.426489913056526,IF(_xlfn.XLOOKUP(B293,'Base stats'!B:B,'Base stats'!C:C)&lt;=400,(_xlfn.XLOOKUP(B293,'Base stats'!B:B,'Base stats'!C:C)/70)^0.572811455315093,IF(_xlfn.XLOOKUP(B293,'Base stats'!B:B,'Base stats'!C:C)&lt;=2000,2.71391647193063*(_xlfn.XLOOKUP(B293,'Base stats'!B:B,'Base stats'!C:C)/400)^0.252459582904293,3.74314280240376*(_xlfn.XLOOKUP(B293,'Base stats'!B:B,'Base stats'!C:C)/2000)^0.357012633876913)))),
IF(_xlfn.XLOOKUP(B293,'Base stats'!B:B,'Base stats'!C:C)&lt;0.1,0.05,IF(_xlfn.XLOOKUP(B293,'Base stats'!B:B,'Base stats'!C:C)&lt;0.4,0.1,IF(_xlfn.XLOOKUP(B293,'Base stats'!B:B,'Base stats'!C:C)&lt;=70,(_xlfn.XLOOKUP(B293,'Base stats'!B:B,'Base stats'!C:C)/70)^0.445823913056526,IF(_xlfn.XLOOKUP(B293,'Base stats'!B:B,'Base stats'!C:C)&lt;=400,(_xlfn.XLOOKUP(B293,'Base stats'!B:B,'Base stats'!C:C)/70)^0.572811455315093,IF(_xlfn.XLOOKUP(B293,'Base stats'!B:B,'Base stats'!C:C)&lt;=2000,2.71391647193063*(_xlfn.XLOOKUP(B293,'Base stats'!B:B,'Base stats'!C:C)/400)^0.252459582904293,3.74314280240376*(_xlfn.XLOOKUP(B293,'Base stats'!B:B,'Base stats'!C:C)/2000)^0.357012633876913)))))),
IF(_xlfn.XLOOKUP(B293,'Base stats'!B:B,'Base stats'!C:C)&lt;0.1,0.05,IF(_xlfn.XLOOKUP(B293,'Base stats'!B:B,'Base stats'!C:C)&lt;=100,0.05,IF(_xlfn.XLOOKUP(B293,'Base stats'!B:B,'Base stats'!C:C)&lt;=250,0.1,IF(_xlfn.XLOOKUP(B293,'Base stats'!B:B,'Base stats'!C:C)&lt;=4000,0.25,0.5)))))</f>
        <v>0.8</v>
      </c>
      <c r="AP293" s="8">
        <f>MROUND(AO293*_xlfn.XLOOKUP(_xlfn.XLOOKUP(B293,'Base stats'!B:B,'Base stats'!E:E),Groups!A:A,Groups!AI:AI)*_xlfn.XLOOKUP(B293,'Base stats'!B:B,'Base stats'!Z:Z),0.05)</f>
        <v>0.8</v>
      </c>
      <c r="AQ293" s="8">
        <f>MAX(0.01,MROUND(IF(CC293="True",0.196*(AO293*100*1000)^0.889,IF(_xlfn.XLOOKUP(_xlfn.XLOOKUP(B293,'Base stats'!B:B,'Base stats'!E:E),Groups!A:A,Groups!AJ:AJ)="Bird",10.5*(AO293*100*1000)^0.681,4.82*(AO293*100*1000)^0.734))/(4.82*(1*100*1000)^0.734)/IF(AO293&lt;3.5,2,IF(AO293=3.5,1.5,1.25))*(1+0.132282374779864/(AO293^0.994035016789033+0.00905238001496948)),0.05))</f>
        <v>0.1</v>
      </c>
      <c r="AR293" s="9">
        <f>IFERROR(MROUND(_xlfn.XLOOKUP(B293,'Base stats'!B:B,'Base stats'!H:H)/IF(_xlfn.XLOOKUP(B293,'Base stats'!B:B,'Base stats'!I:I)&lt;&gt;1,(122.5/70),1.2),IF(_xlfn.XLOOKUP(B293,'Base stats'!B:B,'Base stats'!H:H)&gt;=30,5,IF(_xlfn.XLOOKUP(B293,'Base stats'!B:B,'Base stats'!H:H)&gt;=15,3,IF(_xlfn.XLOOKUP(B293,'Base stats'!B:B,'Base stats'!H:H)&gt;=10,2,1)))),"Immortal")</f>
        <v>18</v>
      </c>
      <c r="AS293" s="35">
        <f>IFERROR(IF(OR(_xlfn.XLOOKUP(B293,'Base stats'!B:B,'Base stats'!F:F)="Atypical reproduction",_xlfn.XLOOKUP(B293,'Base stats'!B:B,'Base stats'!F:F)="Lay eggs"),"Lay eggs",MIN(20,MAX(5.5,ROUND(((_xlfn.XLOOKUP(B293,'Base stats'!B:B,'Base stats'!F:F)-25)*(14.5/615) + 5.5)*2,0)/2))),"Unknown")</f>
        <v>8</v>
      </c>
      <c r="AT293" s="8">
        <f>IF(_xlfn.XLOOKUP(B293,'Base stats'!B:B,'Base stats'!G:G)="Atypical reproduction","No",IFERROR(MAX(IF(_xlfn.XLOOKUP(B293,'Base stats'!B:B,'Base stats'!G:G)&lt;0.5,0.2,0.3),MROUND(_xlfn.XLOOKUP(B293,'Base stats'!B:B,'Base stats'!G:G)/(365/60),0.2)),"Unknown"))</f>
        <v>0.4</v>
      </c>
      <c r="AU293" s="8">
        <f t="shared" si="29"/>
        <v>0.2</v>
      </c>
      <c r="AV293" s="8">
        <f>IFERROR(IFERROR(MROUND(_xlfn.XLOOKUP(B293,'Base stats'!B:B,'Base stats'!J:J),0.1),"Lay eggs"),"Cannot breed")</f>
        <v>2</v>
      </c>
      <c r="AW293" s="2" t="str">
        <f t="shared" si="30"/>
        <v>false</v>
      </c>
      <c r="AX293" s="2" t="str">
        <f>IF(_xlfn.XLOOKUP(_xlfn.XLOOKUP(Animals!B293,'Base stats'!B:B,'Base stats'!E:E),Groups!A:A,Groups!AK:AK)=1,"true","false")</f>
        <v>false</v>
      </c>
      <c r="AY293" s="25" t="str">
        <f>IF(_xlfn.XLOOKUP(B293,'Base stats'!B:B,'Base stats'!Y:Y)="Liquor","Liquor, CarnivoreAnimalStrict",IF(AND(_xlfn.XLOOKUP(B293,'Base stats'!B:B,'Base stats'!Y:Y)="Carnivore",_xlfn.XLOOKUP(_xlfn.XLOOKUP(B293,'Base stats'!B:B,'Base stats'!E:E),Groups!A:A,Groups!AJ:AJ)="Photonozoa"),"CarnivoreAnimalStrict, OvivoreAnimal",IF(_xlfn.XLOOKUP(B293,'Base stats'!B:B,'Base stats'!Y:Y)="Carnivore","CarnivoreAnimal, OvivoreAnimal",IF(_xlfn.XLOOKUP(B293,'Base stats'!B:B,'Base stats'!Y:Y)="Dendrovore","VegetarianRoughAnimal, DendrovoreAnimal",IF(_xlfn.XLOOKUP(B293,'Base stats'!B:B,'Base stats'!Y:Y)="Herbivore","VegetarianRoughAnimal",IF(_xlfn.XLOOKUP(B293,'Base stats'!B:B,'Base stats'!Y:Y)="OmnivoreRough","OmnivoreRoughAnimal, OvivoreAnimal","OmnivoreAnimal, OvivoreAnimal"))))))</f>
        <v>CarnivoreAnimal, OvivoreAnimal</v>
      </c>
      <c r="AZ293" s="2" t="str">
        <f>IF(_xlfn.XLOOKUP(_xlfn.XLOOKUP(B293,'Base stats'!B:B,'Base stats'!E:E),Groups!A:A,Groups!D:D)=1,MROUND((1-J293)*5+1,2)*IF(J293&lt;=0.4,2,1),"No")</f>
        <v>No</v>
      </c>
      <c r="BA293" s="2" t="str">
        <f>IF(AND(_xlfn.XLOOKUP(B293,'Base stats'!B:B,'Base stats'!AH:AH)="&lt;li&gt;Seal&lt;/li&gt;",G293="Odyssey"),"&lt;li&gt;AEXP_Seal&lt;/li&gt;",_xlfn.XLOOKUP(B293,'Base stats'!B:B,'Base stats'!AH:AH))</f>
        <v>No</v>
      </c>
      <c r="BB293" s="2" t="str">
        <f>_xlfn.XLOOKUP(B293,'Base stats'!B:B,'Base stats'!AG:AG)</f>
        <v>Leather_Cactus</v>
      </c>
      <c r="BC293" s="23" t="str">
        <f>_xlfn.XLOOKUP(_xlfn.XLOOKUP(B293,'Base stats'!B:B,'Base stats'!E:E),Groups!A:A,Groups!AL:AL)</f>
        <v>AA_SentientPlant</v>
      </c>
      <c r="BD293" s="23">
        <f>MIN(1,MROUND(IF(AND(AO293&lt;0.5,_xlfn.XLOOKUP(B293,'Base stats'!B:B,'Base stats'!AA:AA)=0),0,IF(OR(_xlfn.XLOOKUP(Animals!B293,'Base stats'!B:B,'Base stats'!O:O)=2,_xlfn.XLOOKUP(_xlfn.XLOOKUP(B293,'Base stats'!B:B,'Base stats'!E:E),Groups!A:A,Groups!AN:AN)=0),0,_xlfn.XLOOKUP(_xlfn.XLOOKUP(B293,'Base stats'!B:B,'Base stats'!E:E),Groups!A:A,Groups!AN:AN)/IF(_xlfn.XLOOKUP(Animals!B293,'Base stats'!B:B,'Base stats'!O:O)=1,2,1)))+_xlfn.XLOOKUP(B293,'Base stats'!B:B,'Base stats'!AC:AC),0.005))</f>
        <v>0.1</v>
      </c>
      <c r="BE293" s="23">
        <f>MIN(1,MROUND(IF(AND(AO293&lt;0.5,_xlfn.XLOOKUP(B293,'Base stats'!B:B,'Base stats'!AA:AA)=0),0,IF(_xlfn.XLOOKUP(_xlfn.XLOOKUP(B293,'Base stats'!B:B,'Base stats'!E:E),Groups!A:A,Groups!AO:AO)=0,0,_xlfn.XLOOKUP(_xlfn.XLOOKUP(B293,'Base stats'!B:B,'Base stats'!E:E),Groups!A:A,Groups!AO:AO)/IF(_xlfn.XLOOKUP(Animals!B293,'Base stats'!B:B,'Base stats'!O:O)=2,3,1)))+_xlfn.XLOOKUP(B293,'Base stats'!B:B,'Base stats'!AD:AD),0.005))</f>
        <v>0.3</v>
      </c>
      <c r="BF293" s="2" t="str">
        <f>IF(J293&gt;0.3,"No",_xlfn.XLOOKUP(_xlfn.XLOOKUP(Animals!B293,'Base stats'!B:B,'Base stats'!E:E),Groups!A:A,Groups!AP:AP))</f>
        <v>No</v>
      </c>
      <c r="BG293" s="2" t="str">
        <f>IF(AND(J293&lt;=0.65,_xlfn.XLOOKUP(_xlfn.XLOOKUP(Animals!B293,'Base stats'!B:B,'Base stats'!E:E),Groups!A:A,Groups!AP:AP)&lt;&gt;"No",_xlfn.XLOOKUP(_xlfn.XLOOKUP(B293,'Base stats'!B:B,'Base stats'!E:E),Groups!A:A,Groups!D:D)=0),MROUND((80/3)*IF(_xlfn.XLOOKUP(B293,'Base stats'!B:B,'Base stats'!O:O)=2,0.2,AO293) + 24*(1-IF(BF293="No",0,BF293)) + 16/3, 12),"No")</f>
        <v>No</v>
      </c>
      <c r="BH293" s="2">
        <f>IF(AND(_xlfn.XLOOKUP(_xlfn.XLOOKUP(B293,'Base stats'!B:B,'Base stats'!E:E),Groups!A:A,Groups!AQ:AQ)=1,AO293&lt;=0.35),8,12)</f>
        <v>12</v>
      </c>
      <c r="BI293" s="2" t="str">
        <f>IF(_xlfn.XLOOKUP(_xlfn.XLOOKUP(B293,'Base stats'!B:B,'Base stats'!E:E),Groups!A:A,Groups!D:D)=0,_xlfn.XLOOKUP(_xlfn.XLOOKUP(B293,'Base stats'!B:B,'Base stats'!E:E),Groups!A:A,Groups!AR:AR),"None")</f>
        <v>Intermediate</v>
      </c>
      <c r="BJ293" s="2" t="str">
        <f>IF(AND(_xlfn.XLOOKUP(_xlfn.XLOOKUP(B293,'Base stats'!B:B,'Base stats'!E:E),Groups!A:A,Groups!AS:AS)=1,OR(_xlfn.XLOOKUP(B293,'Base stats'!B:B,'Base stats'!Y:Y)="Carnivore",_xlfn.XLOOKUP(B293,'Base stats'!B:B,'Base stats'!Y:Y)="Omnivore")),"true","false")</f>
        <v>true</v>
      </c>
      <c r="BK293" s="2">
        <f>IF(BJ293="true",MROUND(IF(AND(AO293&gt;0.5,OR(_xlfn.XLOOKUP(_xlfn.XLOOKUP(B293,'Base stats'!B:B,'Base stats'!E:E),Groups!A:A,Groups!AJ:AJ)="Photonozoa",_xlfn.XLOOKUP(_xlfn.XLOOKUP(B293,'Base stats'!B:B,'Base stats'!E:E),Groups!A:A,Groups!AJ:AJ)="Mammal")),Animals!AO293*1.75*IF(AW293="true",1.5,1),IF(AO293&lt;0.5,Animals!AO293*0.5,Animals!AO293)),IF(AO293&gt;2,0.5,IF(AO293&gt;0.5,0.25,0.1))),"No")</f>
        <v>0.75</v>
      </c>
      <c r="BL293" s="2">
        <f t="shared" si="31"/>
        <v>1</v>
      </c>
      <c r="BM293" s="25" t="str">
        <f>IF(_xlfn.XLOOKUP(B293,'Base stats'!B:B,'Base stats'!AN:AN)="Standard","No",MROUND((_xlfn.XLOOKUP(B293,'Base stats'!B:B,'Base stats'!AN:AN)/3.6)/I293,0.1))</f>
        <v>No</v>
      </c>
      <c r="BN293" s="25" t="str">
        <f t="shared" si="32"/>
        <v>false</v>
      </c>
      <c r="BO293" s="25" t="str">
        <f>IF(AND(OR(_xlfn.XLOOKUP(B293,'Base stats'!B:B,'Base stats'!Y:Y)="Carnivore",_xlfn.XLOOKUP(B293,'Base stats'!B:B,'Base stats'!Y:Y)="Omnivore",_xlfn.XLOOKUP(B293,'Base stats'!B:B,'Base stats'!Y:Y)="OmnivoreRough"),_xlfn.XLOOKUP(_xlfn.XLOOKUP(B293,'Base stats'!B:B,'Base stats'!E:E),Groups!A:A,Groups!AT:AT)=1),"true","false")</f>
        <v>false</v>
      </c>
      <c r="BP293" s="25" t="str" cm="1">
        <f t="array" ref="BP293">IF(
  _xlfn.TEXTJOIN(", ",TRUE,
    IF(AND(BJ293="true",AO293&gt;0.5,BI293&lt;&gt;"None"),"AttackTarget",""),
    IF(AND(_xlfn.XLOOKUP(_xlfn.XLOOKUP(B293,'Base stats'!B:B,'Base stats'!E:E),Groups!A:A,Groups!AJ:AJ="Mammal"),OR(_xlfn.XLOOKUP(B293,'Base stats'!B:B,'Base stats'!Y:Y)="Omnivore",_xlfn.XLOOKUP(B293,'Base stats'!B:B,'Base stats'!Y:Y)="OmnivoreRough")),"Forage",""),
    IF(BG293&lt;=36,"Comfort",""),
    IF(_xlfn.XLOOKUP(B293,'Base stats'!B:B,'Base stats'!AE:AE)&lt;&gt;"No",_xlfn.XLOOKUP(B293,'Base stats'!B:B,'Base stats'!AE:AE),"")
  ) = "",
  "No",
  _xlfn.TEXTJOIN(", ",TRUE,
    IF(AND(BJ293="true",AO293&gt;0.5,BI293&lt;&gt;"None"),"AttackTarget",""),
    IF(AND(_xlfn.XLOOKUP(_xlfn.XLOOKUP(B293,'Base stats'!B:B,'Base stats'!E:E),Groups!A:A,Groups!AJ:AJ="Mammal"),OR(_xlfn.XLOOKUP(B293,'Base stats'!B:B,'Base stats'!Y:Y)="Omnivore",_xlfn.XLOOKUP(B293,'Base stats'!B:B,'Base stats'!Y:Y)="OmnivoreRough")),"Forage",""),
    IF(BG293&lt;=36,"Comfort",""),
    IF(_xlfn.XLOOKUP(B293,'Base stats'!B:B,'Base stats'!AE:AE)&lt;&gt;"No",_xlfn.XLOOKUP(B293,'Base stats'!B:B,'Base stats'!AE:AE),"")
  )
)</f>
        <v>AttackTarget</v>
      </c>
      <c r="BQ293" s="25" t="str">
        <f>IF(
   AND(
      'Base stats'!AN293="Standard",_xlfn.XLOOKUP(_xlfn.XLOOKUP(B293,'Base stats'!B:B,'Base stats'!E:E),Groups!A:A,Groups!AU:AU)=0,
      OR(
      BO293="True"
      )
   ),
   10,
   IF(
       OR(BM293&lt;&gt;"No",_xlfn.XLOOKUP(_xlfn.XLOOKUP(B293,'Base stats'!B:B,'Base stats'!E:E),Groups!A:A,Groups!AU:AU)=1),
      1,
      "No"
   )
)</f>
        <v>No</v>
      </c>
      <c r="BR293" s="9">
        <f>MROUND((1 + ((0.2*IF(OR(Q293="No",R293="No",R293=0),0,Q293/R293)
+IF(OR(V293="No",S293="No",T293="No"),0,S293/T293*(LEN(V293)-LEN(SUBSTITUTE(V293,",",""))+1))
+IF(OR(X293="No",Y293="No"),0,X293/Y293)
+IF(OR(AD293="No",AE293="No"),0,AD293/AE293)
+IF(OR(AL293="No",AI293="No",AJ293="No"),0,AI293/AJ293*(LEN(AL293)-LEN(SUBSTITUTE(AL293,",",""))+1))
)/(0.2*IF(OR(Q293="No",R293="No",R293=0),0,1)
+IF(OR(V293="No",S293="No",T293="No"),0,LEN(V293)-LEN(SUBSTITUTE(V293,",",""))+1)
+IF(OR(X293="No",Y293="No"),0,1)
+IF(OR(AD293="No",AE293="No"),0,1)
+IF(OR(AL293="No",AI293="No",AJ293="No"),0,LEN(AL293)-LEN(SUBSTITUTE(AL293,",",""))+1))*62%)* 2)*(1 + (AP293 / (IF(_xlfn.XLOOKUP(_xlfn.XLOOKUP(B293,'Base stats'!B:B,'Base stats'!E:E),Groups!A:A,Groups!AJ:AJ)="Photonozoa",0.3,1)) + _xlfn.XLOOKUP(B293,'Base stats'!B:B,'Base stats'!AV:AV) * 1.8) * 2) * 2.5 + 10 + I293 * 2,5)+IF(_xlfn.XLOOKUP(B293,'Base stats'!B:B,'Base stats'!AK:AK)=1,50,0)</f>
        <v>80</v>
      </c>
      <c r="BS293" s="8">
        <f t="shared" si="33"/>
        <v>0.25</v>
      </c>
      <c r="BT293" s="8" t="str">
        <f>_xlfn.XLOOKUP(B293,'Base stats'!B:B,'Base stats'!AF:AF)</f>
        <v>No</v>
      </c>
      <c r="BU293" s="2" t="str">
        <f>IF(AND(J293&lt;=0.95,OR(_xlfn.XLOOKUP(B293,'Base stats'!B:B,'Base stats'!AK:AK)=1,_xlfn.XLOOKUP(B293,'Base stats'!B:B,'Base stats'!Y:Y)="Carnivore",_xlfn.XLOOKUP(B293,'Base stats'!B:B,'Base stats'!Y:Y)="Omnivore",BE293&gt;0.1)),"true","false")</f>
        <v>true</v>
      </c>
      <c r="BV293" s="2" t="str">
        <f>IF(_xlfn.XLOOKUP(B293,'Base stats'!B:B,'Base stats'!AI:AI)=1,"true","false")</f>
        <v>false</v>
      </c>
      <c r="BW293" s="25" t="str">
        <f>IF(E293="BaseInsect","AnimalInsect",
IF(J293&gt;0.95,"AnimalExotic",
_xlfn.TEXTJOIN(", ",TRUE,
IF(OR(_xlfn.XLOOKUP(B293,'Base stats'!B:B,'Base stats'!AM:AM)=1,AND(_xlfn.XLOOKUP(B293,'Base stats'!B:B,'Base stats'!O:O)=0,_xlfn.XLOOKUP(_xlfn.XLOOKUP(B293,'Base stats'!B:B,'Base stats'!E:E),Groups!A:A,Groups!B:B)&gt;0)),"AnimalUncommon","AnimalCommon"),
IF(AND(_xlfn.XLOOKUP(B293,'Base stats'!B:B,'Base stats'!O:O)=2,_xlfn.XLOOKUP(_xlfn.XLOOKUP(B293,'Base stats'!B:B,'Base stats'!E:E),Groups!A:A,Groups!D:D)=0),"AnimalPet",IF(AND(_xlfn.XLOOKUP(B293,'Base stats'!B:B,'Base stats'!O:O)&lt;&gt;0,_xlfn.XLOOKUP(_xlfn.XLOOKUP(B293,'Base stats'!B:B,'Base stats'!E:E),Groups!A:A,Groups!D:D)&lt;&gt;0),"AnimalFarm","")),
IF(OR(_xlfn.XLOOKUP(B293,'Base stats'!B:B,'Base stats'!AK:AK)=1,AND(BI293&lt;&gt;"None",BR293&gt;=60),ISNUMBER(SEARCH("Attack target",BP293))),"AnimalFighter","")
)))</f>
        <v>AnimalUncommon, AnimalFighter</v>
      </c>
      <c r="BX293" s="25" t="str">
        <f>IF(G293="None",TRIM(
SUBSTITUTE(
IF(COUNTIF(Biomes!B$2:B$259,"="&amp;$C293)&gt;0,Biomes!B$1&amp;", ","")&amp;
IF(COUNTIF(Biomes!C$2:C$259,"="&amp;$C293)&gt;0,Biomes!C$1&amp;", ","")&amp;
IF(COUNTIF(Biomes!D$2:D$259,"="&amp;$C293)&gt;0,Biomes!D$1&amp;", ","")&amp;
IF(COUNTIF(Biomes!F$2:F$259,"="&amp;$C293)&gt;0,Biomes!F$1&amp;", ","")&amp;
IF(COUNTIF(Biomes!G$2:G$259,"="&amp;$C293)&gt;0,Biomes!G$1&amp;", ","")&amp;
IF(COUNTIF(Biomes!H$2:H$259,"="&amp;$C293)&gt;0,Biomes!H$1&amp;", ","")&amp;
IF(COUNTIF(Biomes!I$2:I$259,"="&amp;$C293)&gt;0,Biomes!I$1&amp;", ","")&amp;
IF(COUNTIF(Biomes!J$2:J$259,"="&amp;$C293)&gt;0,Biomes!J$1&amp;", ","")&amp;
IF(COUNTIF(Biomes!M$2:M$259,"="&amp;$C293)&gt;0,Biomes!M$1&amp;", ","")&amp;
IF(COUNTIF(Biomes!N$2:N$259,"="&amp;$C293)&gt;0,Biomes!N$1&amp;", ","")&amp;
IF(COUNTIF(Biomes!O$2:O$259,"="&amp;$C293)&gt;0,Biomes!O$1&amp;", ","")&amp;
IF(COUNTIF(Biomes!P$2:P$259,"="&amp;$C293)&gt;0,Biomes!P$1&amp;", ","")&amp;
IF(COUNTIF(Biomes!K$2:K$259,"="&amp;$C293)&gt;0,Biomes!K$1&amp;", ","")&amp;
IF(COUNTIF(Biomes!Q$3:Q$259,"="&amp;$C293)&gt;0,Biomes!Q$1&amp;", ","")&amp;
IF(COUNTIF(Biomes!L$2:L$259,"="&amp;$C293)&gt;0,Biomes!L$1&amp;", ","")&amp;
IF(COUNTIF(Biomes!E$2:E$259,"="&amp;$C293)&gt;0,Biomes!E$1&amp;", ","")&amp;IF(COUNTIF(Biomes!S$2:S$259,"="&amp;$C293)&gt;0,Biomes!S$1&amp;", ","")&amp;
IF(COUNTIF(Biomes!R$2:R$259,"="&amp;$C293)&gt;0,Biomes!R$1&amp;", ",""),", ","")
),_xlfn.XLOOKUP(B293,B:B,BX:BX))</f>
        <v>AridShrubland Desert ExtremeDesert Grasslands LavaField</v>
      </c>
      <c r="BY293" s="25" t="str">
        <f>IF(_xlfn.XLOOKUP(B293,'Base stats'!B:B,'Base stats'!AJ:AJ)=1,"true","false")</f>
        <v>false</v>
      </c>
      <c r="BZ293" s="25">
        <f>IF(_xlfn.XLOOKUP(B293,'Base stats'!B:B,'Base stats'!N:N)=1,"No",MAX(0.001,MIN(MROUND(IF(AND(BJ293="True",CC293="False"),POWER(10,3.47*LOG10(_xlfn.XLOOKUP(B293,'Base stats'!B:B,'Base stats'!C:C)*1000)^-0.96),POWER(10,4.15*LOG10(_xlfn.XLOOKUP(B293,'Base stats'!B:B,'Base stats'!C:C)*1000)^-0.73))*IF(_xlfn.XLOOKUP(B293,'Base stats'!B:B,'Base stats'!AK:AK)=1,0.5,1)*IF(_xlfn.XLOOKUP(B293,'Base stats'!B:B,'Base stats'!AM:AM)=1,0.1,1)/100,IF(_xlfn.XLOOKUP(B293,'Base stats'!B:B,'Base stats'!AM:AM)=1,0.001,0.025)),0.5)))</f>
        <v>2.3E-2</v>
      </c>
      <c r="CA293" s="25" t="str">
        <f>IF(P293="Standard","No",MAX(0.001,MIN(MROUND(IF(AND(BJ293="True",CC293="False"),POWER(10,3.47*LOG10(_xlfn.XLOOKUP(B293,'Base stats'!B:B,'Base stats'!C:C)*1000)^-0.96),POWER(10,4.15*LOG10(_xlfn.XLOOKUP(B293,'Base stats'!B:B,'Base stats'!C:C)*1000)^-0.73))*IF(_xlfn.XLOOKUP(B293,'Base stats'!B:B,'Base stats'!AM:AM)=1,0.1,1)*_xlfn.XLOOKUP(B293,'Base stats'!B:B,'Base stats'!R:R)/100,IF(_xlfn.XLOOKUP(B293,'Base stats'!B:B,'Base stats'!AM:AM)=1,0.001,0.025)),0.5)))</f>
        <v>No</v>
      </c>
      <c r="CB293" s="25" t="str">
        <f>IF(_xlfn.XLOOKUP(_xlfn.XLOOKUP(B293,'Base stats'!B:B,'Base stats'!E:E),Groups!A:A,Groups!AJ:AJ)="Mammal","True","False")</f>
        <v>False</v>
      </c>
      <c r="CC293" s="25" t="str">
        <f>IF(OR(_xlfn.XLOOKUP(_xlfn.XLOOKUP(B293,'Base stats'!B:B,'Base stats'!E:E),Groups!A:A,Groups!AJ:AJ)="Reptile",_xlfn.XLOOKUP(_xlfn.XLOOKUP(B293,'Base stats'!B:B,'Base stats'!E:E),Groups!A:A,Groups!AJ:AJ)="Amphibian",_xlfn.XLOOKUP(_xlfn.XLOOKUP(B293,'Base stats'!B:B,'Base stats'!E:E),Groups!A:A,Groups!AJ:AJ)="Invertebrate"),"True","False")</f>
        <v>True</v>
      </c>
      <c r="CD293" s="25" t="str">
        <f t="shared" si="34"/>
        <v>False</v>
      </c>
      <c r="CE293" s="25" t="str">
        <f>IF(_xlfn.XLOOKUP(_xlfn.XLOOKUP(B293,'Base stats'!B:B,'Base stats'!E:E),Groups!A:A,Groups!AX:AX),"True","False")</f>
        <v>True</v>
      </c>
      <c r="CF293" s="25" t="str">
        <f>IF(_xlfn.XLOOKUP(_xlfn.XLOOKUP(B293,'Base stats'!B:B,'Base stats'!E:E),Groups!A:A,Groups!AY:AY),"True","False")</f>
        <v>True</v>
      </c>
      <c r="CG293" s="25" t="str">
        <f>IF(_xlfn.XLOOKUP(_xlfn.XLOOKUP(B293,'Base stats'!B:B,'Base stats'!E:E),Groups!A:A,Groups!AW:AW),"True","False")</f>
        <v>True</v>
      </c>
      <c r="CH293" s="25" t="str">
        <f>IF(
OR(
_xlfn.XLOOKUP(_xlfn.XLOOKUP(B293,'Base stats'!B:B,'Base stats'!E:E),Groups!A:A,Groups!AZ:AZ)=0,
AND(
_xlfn.XLOOKUP(B293,'Base stats'!B:B,'Base stats'!Y:Y)&lt;&gt;"Carnivore",
_xlfn.XLOOKUP(B293,'Base stats'!B:B,'Base stats'!Y:Y)&lt;&gt;"Omnivore",
_xlfn.XLOOKUP(B293,'Base stats'!B:B,'Base stats'!Y:Y)&lt;&gt;"OmnivoreRough"
)
),
"No",
IF(
_xlfn.XLOOKUP(_xlfn.XLOOKUP(B293,'Base stats'!B:B,'Base stats'!E:E),Groups!A:A,Groups!AZ:AZ)=1,
"Flesh",
IF(
_xlfn.XLOOKUP(_xlfn.XLOOKUP(B293,'Base stats'!B:B,'Base stats'!E:E),Groups!A:A,Groups!AZ:AZ)=2,
"Bone",
""
)
)
)</f>
        <v>No</v>
      </c>
      <c r="CI293" s="25" t="str">
        <f>IF(_xlfn.XLOOKUP(_xlfn.XLOOKUP(B293,'Base stats'!B:B,'Base stats'!E:E),Groups!A:A,Groups!BB:BB),"True","False")</f>
        <v>False</v>
      </c>
      <c r="CJ293" s="25" t="str">
        <f>IF(_xlfn.XLOOKUP(_xlfn.XLOOKUP(B293,'Base stats'!B:B,'Base stats'!E:E),Groups!A:A,Groups!BA:BA),"True","False")</f>
        <v>True</v>
      </c>
    </row>
    <row r="294" spans="1:88" ht="16.5" thickTop="1" thickBot="1" x14ac:dyDescent="0.3">
      <c r="A294" s="26" t="s">
        <v>1500</v>
      </c>
      <c r="B294" s="6" t="str">
        <f>_xlfn.XLOOKUP(A294,'Base stats'!A:A,'Base stats'!B:B)</f>
        <v>Carnis putridus (mature)</v>
      </c>
      <c r="C294" s="28" t="s">
        <v>1501</v>
      </c>
      <c r="D294" s="28" t="s">
        <v>1341</v>
      </c>
      <c r="E294" s="28" t="s">
        <v>673</v>
      </c>
      <c r="F294" s="28" t="s">
        <v>673</v>
      </c>
      <c r="G294" s="28" t="s">
        <v>673</v>
      </c>
      <c r="H294" s="2">
        <f>MROUND((
  (IF(AND(_xlfn.XLOOKUP(B294,'Base stats'!B:B,'Base stats'!AL:AL)=0,BI294="None",_xlfn.XLOOKUP(_xlfn.XLOOKUP(B294,'Base stats'!B:B,'Base stats'!E:E),Groups!A:A,Groups!B:B)=0), (18 + BR294 * 2.7) * 0.5,
    IF(AND(_xlfn.XLOOKUP(B294,'Base stats'!B:B,'Base stats'!AL:AL)=0,OR(AO294&lt;0.55,AND(BI294="Intermediate",_xlfn.XLOOKUP(_xlfn.XLOOKUP(B294,'Base stats'!B:B,'Base stats'!E:E),Groups!A:A,Groups!B:B)&lt;2))), (18 + BR294 * 2.7),
      IF(OR(BI294="Advanced",_xlfn.XLOOKUP(B294,'Base stats'!B:B,'Base stats'!AL:AL)=1,_xlfn.XLOOKUP(_xlfn.XLOOKUP(B294,'Base stats'!B:B,'Base stats'!E:E),Groups!A:A,Groups!B:B)=2), (18 + BR294 * 2.7) + 250, (18 + BR294 * 2.7))
    )
  ))
  + AO294 * 80
  + IF(COUNTIF(EggMilk!K$2:K$998, A294) &gt; 0, 125, 0)
  + IF(COUNTIF(EggMilk!P$2:P$998, A294) &gt; 0, 90, 0)
  + IF(COUNTIF(EggMilk!A$2:A$998, A294) &gt; 0, 90, 0)
)
* (0.8 + 0.4 * J294)
* 0.75,25)</f>
        <v>2900</v>
      </c>
      <c r="I294" s="2">
        <f>MROUND(ROUNDDOWN(_xlfn.XLOOKUP(B294,'Base stats'!B:B,'Base stats'!L:L)/3.6/(23.3/11),1),0.5)</f>
        <v>1.5</v>
      </c>
      <c r="J294" s="2">
        <f>IF(OR(_xlfn.XLOOKUP(B294,'Base stats'!B:B,'Base stats'!AB:AB)=1,_xlfn.XLOOKUP(_xlfn.XLOOKUP(B294,'Base stats'!B:B,'Base stats'!E:E),Groups!A:A,Groups!C:C)="Untamable"),1,IF(_xlfn.XLOOKUP(B294,'Base stats'!B:B,'Base stats'!AL:AL)=1,0.99,MIN(MROUND((1-0.6282*EXP(-0.459*AO294))*_xlfn.XLOOKUP(_xlfn.XLOOKUP(B294,'Base stats'!B:B,'Base stats'!E:E),Groups!A:A,Groups!C:C)*IF(_xlfn.XLOOKUP(B294,'Base stats'!B:B,'Base stats'!O:O)=1,0.5,IF(_xlfn.XLOOKUP(B294,'Base stats'!B:B,'Base stats'!O:O)=2,0,1)),0.05),IF(AO294&gt;3.5,0.985,0.95))))</f>
        <v>0.95000000000000007</v>
      </c>
      <c r="K294" s="2">
        <f>ROUNDUP(AO294*_xlfn.XLOOKUP(_xlfn.XLOOKUP(B294,'Base stats'!B:B,'Base stats'!E:E),Groups!A:A,Groups!E:E),0)</f>
        <v>6</v>
      </c>
      <c r="L294" s="2">
        <f>IF(OR(_xlfn.XLOOKUP(_xlfn.XLOOKUP(B294,'Base stats'!B:B,'Base stats'!E:E),Groups!A:A,Groups!F:F)=2,ISNUMBER(SEARCH("SeaIce",BX294)),ISNUMBER(SEARCH("IceSheet",BX294))),-50,IF(OR(ISNUMBER(SEARCH("GlacialPlain",BX294)),ISNUMBER(SEARCH("Tundra",BX294))),-40,IF(OR(ISNUMBER(SEARCH("Alpine",BX294)),ISNUMBER(SEARCH("BorealForest",BX294)),ISNUMBER(SEARCH("ColdBog",BX294))),-30,IF(OR(ISNUMBER(SEARCH("TemperateForest",BX294)),ISNUMBER(SEARCH("TemperateSwamp",BX294))),-20,IF(_xlfn.XLOOKUP(_xlfn.XLOOKUP(B294,'Base stats'!B:B,'Base stats'!E:E),Groups!A:A,Groups!F:F)=1,-15,IF(OR(ISNUMBER(SEARCH("Desert",BX294)),ISNUMBER(SEARCH("ExtremeDesert",BX294))),-10,IF(OR(ISNUMBER(SEARCH("Grasslands",BX294)),ISNUMBER(SEARCH("TropicalRainforest",BX294)),ISNUMBER(SEARCH("TropicalSwamp",BX294))),10,0)))))))-IF(CC294="False",MIN(IFERROR(MAX(MROUND(LOG10(_xlfn.XLOOKUP(B294,'Base stats'!B:B,'Base stats'!C:C)^(2/3))*10,5),5),5),30))-_xlfn.XLOOKUP(B294,'Base stats'!B:B,'Base stats'!P:P)+IF(CC294="True",5,0)</f>
        <v>-40</v>
      </c>
      <c r="M294" s="2">
        <f>IF(OR(_xlfn.XLOOKUP(_xlfn.XLOOKUP(B294,'Base stats'!B:B,'Base stats'!E:E),Groups!A:A,Groups!G:G)=2,ISNUMBER(SEARCH("Desert",BX294)),ISNUMBER(SEARCH("ExtremeDesert",BX294)),ISNUMBER(SEARCH("LavaField",BX294))),50,IF(ISNUMBER(SEARCH("Grasslands",BX294)),45,IF(OR(_xlfn.XLOOKUP(_xlfn.XLOOKUP(B294,'Base stats'!B:B,'Base stats'!E:E),Groups!A:A,Groups!G:G)=1,ISNUMBER(SEARCH("TropicalRainforest",BX294)),ISNUMBER(SEARCH("TropicalSwamp",BX294))),40,IF(OR(ISNUMBER(SEARCH("TemperateForest",BX294)),ISNUMBER(SEARCH("TemperateSwamp",BX294))),35,IF(OR(ISNUMBER(SEARCH("Alpine",BX294)),ISNUMBER(SEARCH("BorealForest",BX294)),ISNUMBER(SEARCH("ColdBog",BX294))),30,IF(ISNUMBER(OR(ISNUMBER(SEARCH("GlacialPlain",BX294)),SEARCH("Tundra",BX294))),25,IF(OR(ISNUMBER(SEARCH("SeaIce",BX294)),ISNUMBER(SEARCH("IceSheet",BX294)),ISNUMBER(SEARCH("TropicalSwamp",BX294))),10,35)))))))+_xlfn.XLOOKUP(B294,'Base stats'!B:B,'Base stats'!Q:Q)</f>
        <v>40</v>
      </c>
      <c r="N294" s="8" t="str">
        <f>IF(
_xlfn.XLOOKUP(
_xlfn.XLOOKUP(B294,'Base stats'!B:B,'Base stats'!E:E),
Groups!A:A,
Groups!L:L
)=1,
MIN(
MROUND(
IF(
_xlfn.XLOOKUP(B294,'Animals CE'!B:B,'Animals CE'!Z:Z)&lt;=1.5,
_xlfn.XLOOKUP(B294,'Animals CE'!B:B,'Animals CE'!Z:Z)/2+0.05,
0.8+
(_xlfn.XLOOKUP(B294,'Animals CE'!B:B,'Animals CE'!Z:Z)-1.5)
*0.02
),
0.05
),
200%
),
"No"
)</f>
        <v>No</v>
      </c>
      <c r="O294" s="8" t="str">
        <f>IF(
_xlfn.XLOOKUP(
_xlfn.XLOOKUP(B294,'Base stats'!B:B,'Base stats'!E:E),
Groups!A:A,
Groups!L:L
)=1,
MIN(
MROUND(
IF(
_xlfn.XLOOKUP(B294,'Animals CE'!B:B,'Animals CE'!AA:AA)&lt;=1.5,
_xlfn.XLOOKUP(B294,'Animals CE'!B:B,'Animals CE'!AA:AA)/2+0.05,
0.8+
(_xlfn.XLOOKUP(B294,'Animals CE'!B:B,'Animals CE'!AA:AA)-1.5)
*0.02
),
0.05
),
200%
),
"No"
)</f>
        <v>No</v>
      </c>
      <c r="P294" s="2" t="str">
        <f>_xlfn.XLOOKUP(B294,'Base stats'!B:B,'Base stats'!R:R)</f>
        <v>Standard</v>
      </c>
      <c r="Q294" s="13">
        <f>MROUND((LOG10(_xlfn.XLOOKUP(B294,'Base stats'!B:B,'Base stats'!AR:AR))*(AO294^0.5)+(_xlfn.XLOOKUP(B294,'Base stats'!B:B,'Base stats'!AR:AR)/1000)^(2/3)+_xlfn.XLOOKUP(B294,'Base stats'!B:B,'Base stats'!BA:BA)/2)+0.5,0.5)</f>
        <v>44.5</v>
      </c>
      <c r="R294" s="7">
        <f>IF(Q294="No","No",MAX(1,MROUND(_xlfn.XLOOKUP(B294,'Base stats'!B:B,'Base stats'!C:C)^0.165,0.05)))</f>
        <v>4.3500000000000005</v>
      </c>
      <c r="S294" s="13" t="str">
        <f>IF(_xlfn.XLOOKUP(_xlfn.XLOOKUP(B294,'Base stats'!B:B,'Base stats'!E:E),Groups!A:A,Groups!P:P)=0,"No",MROUND((LOG10(_xlfn.XLOOKUP(B294,'Base stats'!B:B,'Base stats'!AS:AS))*(AO294^0.5)+(_xlfn.XLOOKUP(B294,'Base stats'!B:B,'Base stats'!AS:AS)/1000)^(2/3)+_xlfn.XLOOKUP(B294,'Base stats'!B:B,'Base stats'!BA:BA))+_xlfn.XLOOKUP(B294,'Base stats'!B:B,'Base stats'!AY:AY)+0.5,0.5))</f>
        <v>No</v>
      </c>
      <c r="T294" s="7" t="str">
        <f>IF(S294="No","No",MAX(_xlfn.XLOOKUP(_xlfn.XLOOKUP(B294,'Base stats'!B:B,'Base stats'!E:E),Groups!A:A,Groups!Q:Q),MROUND(_xlfn.XLOOKUP(_xlfn.XLOOKUP(B294,'Base stats'!B:B,'Base stats'!E:E),Groups!A:A,Groups!Q:Q)*_xlfn.XLOOKUP(B294,'Base stats'!B:B,'Base stats'!C:C)^0.165,0.05)))</f>
        <v>No</v>
      </c>
      <c r="U294" s="7" t="str">
        <f>IF(S294="No","No",_xlfn.XLOOKUP(_xlfn.XLOOKUP(B294,'Base stats'!B:B,'Base stats'!E:E),Groups!A:A,Groups!R:R))</f>
        <v>No</v>
      </c>
      <c r="V294" s="7" t="str">
        <f>IF(S294="No","No",_xlfn.XLOOKUP(_xlfn.XLOOKUP(B294,'Base stats'!B:B,'Base stats'!E:E),Groups!A:A,Groups!S:S))</f>
        <v>No</v>
      </c>
      <c r="W294" s="7" t="str">
        <f>IF(S294="No","No",_xlfn.XLOOKUP(_xlfn.XLOOKUP(B294,'Base stats'!B:B,'Base stats'!E:E),Groups!A:A,Groups!T:T))</f>
        <v>No</v>
      </c>
      <c r="X294" s="13">
        <f>IF(_xlfn.XLOOKUP(B294,'Base stats'!B:B,'Base stats'!W:W)="No","No",MROUND((LOG10(_xlfn.XLOOKUP(B294,'Base stats'!B:B,'Base stats'!AU:AU))*(AO294^0.5)+(_xlfn.XLOOKUP(B294,'Base stats'!B:B,'Base stats'!AU:AU)/1000)^(2/3)+_xlfn.XLOOKUP(B294,'Base stats'!B:B,'Base stats'!AZ:AZ))+0.5+IF(_xlfn.XLOOKUP(_xlfn.XLOOKUP(B294,'Base stats'!B:B,'Base stats'!E:E),Groups!A:A,Groups!U:U)&lt;&gt;3,_xlfn.XLOOKUP(B294,'Base stats'!B:B,'Base stats'!BA:BA),0),0.5))</f>
        <v>35</v>
      </c>
      <c r="Y294" s="7">
        <f>IF(X294="No","No",MAX(_xlfn.XLOOKUP(_xlfn.XLOOKUP(B294,'Base stats'!B:B,'Base stats'!E:E),Groups!A:A,Groups!V:V),MROUND(_xlfn.XLOOKUP(_xlfn.XLOOKUP(B294,'Base stats'!B:B,'Base stats'!E:E),Groups!A:A,Groups!V:V)*_xlfn.XLOOKUP(B294,'Base stats'!B:B,'Base stats'!C:C)^0.165,0.05)))</f>
        <v>2.6</v>
      </c>
      <c r="Z294" s="7" t="str">
        <f>IF(X294="No","No",_xlfn.XLOOKUP(_xlfn.XLOOKUP(B294,'Base stats'!B:B,'Base stats'!E:E),Groups!A:A,Groups!W:W))</f>
        <v>HeadAttackTool</v>
      </c>
      <c r="AA294" s="7" t="str">
        <f>IF(X294="No","No",_xlfn.XLOOKUP(_xlfn.XLOOKUP(B294,'Base stats'!B:B,'Base stats'!E:E),Groups!A:A,Groups!X:X))</f>
        <v>tentacles</v>
      </c>
      <c r="AB294" s="7" t="str">
        <f>IF(X294="No","No",_xlfn.XLOOKUP(_xlfn.XLOOKUP(B294,'Base stats'!B:B,'Base stats'!E:E),Groups!A:A,Groups!Y:Y))</f>
        <v>Stab</v>
      </c>
      <c r="AC294" s="7" t="str">
        <f>_xlfn.XLOOKUP(Animals!B294,'Base stats'!B:B,'Base stats'!X:X)</f>
        <v>False</v>
      </c>
      <c r="AD294" s="13">
        <f>IF(_xlfn.XLOOKUP(B294,'Base stats'!B:B,'Base stats'!AT:AT)="No","No",MROUND((LOG10(_xlfn.XLOOKUP(B294,'Base stats'!B:B,'Base stats'!AT:AT))*(AO294^0.75)+(_xlfn.XLOOKUP(B294,'Base stats'!B:B,'Base stats'!AT:AT)/1000)^(2/3)+_xlfn.XLOOKUP(B294,'Base stats'!B:B,'Base stats'!AX:AX)+_xlfn.XLOOKUP(B294,'Base stats'!B:B,'Base stats'!BA:BA))+0.5,0.5))</f>
        <v>58.5</v>
      </c>
      <c r="AE294" s="7">
        <f>IF(AD294="No","No",MAX(_xlfn.XLOOKUP(_xlfn.XLOOKUP(B294,'Base stats'!B:B,'Base stats'!E:E),Groups!A:A,Groups!Z:Z),MROUND(_xlfn.XLOOKUP(_xlfn.XLOOKUP(B294,'Base stats'!B:B,'Base stats'!E:E),Groups!A:A,Groups!Z:Z)*_xlfn.XLOOKUP(B294,'Base stats'!B:B,'Base stats'!C:C)^0.165,0.05)))</f>
        <v>3.0500000000000003</v>
      </c>
      <c r="AF294" s="7" t="str">
        <f>IF(AD294="No","No",_xlfn.XLOOKUP(_xlfn.XLOOKUP(B294,'Base stats'!B:B,'Base stats'!E:E),Groups!A:A,Groups!AA:AA))</f>
        <v>Teeth</v>
      </c>
      <c r="AG294" s="7" t="str">
        <f>IF(AD294="No","No",_xlfn.XLOOKUP(_xlfn.XLOOKUP(B294,'Base stats'!B:B,'Base stats'!E:E),Groups!A:A,Groups!AB:AB))</f>
        <v>teeth</v>
      </c>
      <c r="AH294" s="7" t="str">
        <f>IF(AD294="No","No",_xlfn.XLOOKUP(_xlfn.XLOOKUP(B294,'Base stats'!B:B,'Base stats'!E:E),Groups!A:A,Groups!AC:AC))</f>
        <v>Bite</v>
      </c>
      <c r="AI294" s="13">
        <f>IF(_xlfn.XLOOKUP(_xlfn.XLOOKUP(B294,'Base stats'!B:B,'Base stats'!E:E),Groups!A:A,Groups!AD:AD)=0,"No",MROUND((LOG10(_xlfn.XLOOKUP(B294,'Base stats'!B:B,'Base stats'!AS:AS))*(AO294^0.75)+(_xlfn.XLOOKUP(B294,'Base stats'!B:B,'Base stats'!AS:AS)/1000)^(2/3)+_xlfn.XLOOKUP(B294,'Base stats'!B:B,'Base stats'!AY:AY)+_xlfn.XLOOKUP(B294,'Base stats'!B:B,'Base stats'!BA:BA))+0.5,0.5))</f>
        <v>61.5</v>
      </c>
      <c r="AJ294" s="7">
        <f>IF(AI294="No","No",MAX(_xlfn.XLOOKUP(_xlfn.XLOOKUP(B294,'Base stats'!B:B,'Base stats'!E:E),Groups!A:A,Groups!AE:AE),MROUND(_xlfn.XLOOKUP(_xlfn.XLOOKUP(B294,'Base stats'!B:B,'Base stats'!E:E),Groups!A:A,Groups!AE:AE)*IF(_xlfn.XLOOKUP(_xlfn.XLOOKUP(B294,'Base stats'!B:B,'Base stats'!E:E),Groups!A:A,Groups!AJ:AJ)="Photonozoa",0.6,1)*_xlfn.XLOOKUP(B294,'Base stats'!B:B,'Base stats'!C:C)^0.165,0.05)))</f>
        <v>2.85</v>
      </c>
      <c r="AK294" s="7" t="str">
        <f>IF(AI294="No","No",_xlfn.XLOOKUP(_xlfn.XLOOKUP(B294,'Base stats'!B:B,'Base stats'!E:E),Groups!A:A,Groups!AF:AF))</f>
        <v>FrontLeftPaw, FrontRightPaw</v>
      </c>
      <c r="AL294" s="7" t="str">
        <f>IF(AI294="No","No",_xlfn.XLOOKUP(_xlfn.XLOOKUP(B294,'Base stats'!B:B,'Base stats'!E:E),Groups!A:A,Groups!AG:AG))</f>
        <v>left claw, right claw</v>
      </c>
      <c r="AM294" s="7" t="str">
        <f>IF(AI294="No","No",_xlfn.XLOOKUP(_xlfn.XLOOKUP(B294,'Base stats'!B:B,'Base stats'!E:E),Groups!A:A,Groups!AH:AH))</f>
        <v>Scratch</v>
      </c>
      <c r="AN294" s="2">
        <f t="shared" si="28"/>
        <v>45</v>
      </c>
      <c r="AO294" s="2">
        <f>MROUND(IF(AND(_xlfn.XLOOKUP(B294,'Base stats'!B:B,'Base stats'!C:C)&gt;=0.5,_xlfn.XLOOKUP(B294,'Base stats'!B:B,'Base stats'!C:C)&lt;=0.8),
IF(_xlfn.XLOOKUP(B294,'Base stats'!B:B,'Base stats'!C:C)&lt;0.1,0.05,IF(_xlfn.XLOOKUP(B294,'Base stats'!B:B,'Base stats'!C:C)&lt;=70,(_xlfn.XLOOKUP(B294,'Base stats'!B:B,'Base stats'!C:C)/70)^0.426489913056526,IF(_xlfn.XLOOKUP(B294,'Base stats'!B:B,'Base stats'!C:C)&lt;=400,(_xlfn.XLOOKUP(B294,'Base stats'!B:B,'Base stats'!C:C)/70)^0.572811455315093,IF(_xlfn.XLOOKUP(B294,'Base stats'!B:B,'Base stats'!C:C)&lt;=2000,2.71391647193063*(_xlfn.XLOOKUP(B294,'Base stats'!B:B,'Base stats'!C:C)/400)^0.252459582904293,3.74314280240376*(_xlfn.XLOOKUP(B294,'Base stats'!B:B,'Base stats'!C:C)/2000)^0.357012633876913)))),
IF(_xlfn.XLOOKUP(B294,'Base stats'!B:B,'Base stats'!C:C)&lt;0.1,0.05,IF(_xlfn.XLOOKUP(B294,'Base stats'!B:B,'Base stats'!C:C)&lt;0.4,0.1,IF(_xlfn.XLOOKUP(B294,'Base stats'!B:B,'Base stats'!C:C)&lt;=70,(_xlfn.XLOOKUP(B294,'Base stats'!B:B,'Base stats'!C:C)/70)^0.445823913056526,IF(_xlfn.XLOOKUP(B294,'Base stats'!B:B,'Base stats'!C:C)&lt;=400,(_xlfn.XLOOKUP(B294,'Base stats'!B:B,'Base stats'!C:C)/70)^0.572811455315093,IF(_xlfn.XLOOKUP(B294,'Base stats'!B:B,'Base stats'!C:C)&lt;=2000,2.71391647193063*(_xlfn.XLOOKUP(B294,'Base stats'!B:B,'Base stats'!C:C)/400)^0.252459582904293,3.74314280240376*(_xlfn.XLOOKUP(B294,'Base stats'!B:B,'Base stats'!C:C)/2000)^0.357012633876913)))))),
IF(_xlfn.XLOOKUP(B294,'Base stats'!B:B,'Base stats'!C:C)&lt;0.1,0.05,IF(_xlfn.XLOOKUP(B294,'Base stats'!B:B,'Base stats'!C:C)&lt;=100,0.05,IF(_xlfn.XLOOKUP(B294,'Base stats'!B:B,'Base stats'!C:C)&lt;=250,0.1,IF(_xlfn.XLOOKUP(B294,'Base stats'!B:B,'Base stats'!C:C)&lt;=4000,0.25,0.5)))))</f>
        <v>6</v>
      </c>
      <c r="AP294" s="8">
        <f>MROUND(AO294*_xlfn.XLOOKUP(_xlfn.XLOOKUP(B294,'Base stats'!B:B,'Base stats'!E:E),Groups!A:A,Groups!AI:AI)*_xlfn.XLOOKUP(B294,'Base stats'!B:B,'Base stats'!Z:Z),0.05)</f>
        <v>7.2</v>
      </c>
      <c r="AQ294" s="8">
        <f>MAX(0.01,MROUND(IF(CC294="True",0.196*(AO294*100*1000)^0.889,IF(_xlfn.XLOOKUP(_xlfn.XLOOKUP(B294,'Base stats'!B:B,'Base stats'!E:E),Groups!A:A,Groups!AJ:AJ)="Bird",10.5*(AO294*100*1000)^0.681,4.82*(AO294*100*1000)^0.734))/(4.82*(1*100*1000)^0.734)/IF(AO294&lt;3.5,2,IF(AO294=3.5,1.5,1.25))*(1+0.132282374779864/(AO294^0.994035016789033+0.00905238001496948)),0.05))</f>
        <v>3.0500000000000003</v>
      </c>
      <c r="AR294" s="9">
        <f>IFERROR(MROUND(_xlfn.XLOOKUP(B294,'Base stats'!B:B,'Base stats'!H:H)/IF(_xlfn.XLOOKUP(B294,'Base stats'!B:B,'Base stats'!I:I)&lt;&gt;1,(122.5/70),1.2),IF(_xlfn.XLOOKUP(B294,'Base stats'!B:B,'Base stats'!H:H)&gt;=30,5,IF(_xlfn.XLOOKUP(B294,'Base stats'!B:B,'Base stats'!H:H)&gt;=15,3,IF(_xlfn.XLOOKUP(B294,'Base stats'!B:B,'Base stats'!H:H)&gt;=10,2,1)))),"Immortal")</f>
        <v>85</v>
      </c>
      <c r="AS294" s="35" t="str">
        <f>IFERROR(IF(OR(_xlfn.XLOOKUP(B294,'Base stats'!B:B,'Base stats'!F:F)="Atypical reproduction",_xlfn.XLOOKUP(B294,'Base stats'!B:B,'Base stats'!F:F)="Lay eggs"),"Lay eggs",MIN(20,MAX(5.5,ROUND(((_xlfn.XLOOKUP(B294,'Base stats'!B:B,'Base stats'!F:F)-25)*(14.5/615) + 5.5)*2,0)/2))),"Unknown")</f>
        <v>Lay eggs</v>
      </c>
      <c r="AT294" s="8" t="str">
        <f>IF(_xlfn.XLOOKUP(B294,'Base stats'!B:B,'Base stats'!G:G)="Atypical reproduction","No",IFERROR(MAX(IF(_xlfn.XLOOKUP(B294,'Base stats'!B:B,'Base stats'!G:G)&lt;0.5,0.2,0.3),MROUND(_xlfn.XLOOKUP(B294,'Base stats'!B:B,'Base stats'!G:G)/(365/60),0.2)),"Unknown"))</f>
        <v>No</v>
      </c>
      <c r="AU294" s="8" t="str">
        <f t="shared" si="29"/>
        <v>No</v>
      </c>
      <c r="AV294" s="8" t="str">
        <f>IFERROR(IFERROR(MROUND(_xlfn.XLOOKUP(B294,'Base stats'!B:B,'Base stats'!J:J),0.1),"Lay eggs"),"Cannot breed")</f>
        <v>Lay eggs</v>
      </c>
      <c r="AW294" s="2" t="str">
        <f t="shared" si="30"/>
        <v>false</v>
      </c>
      <c r="AX294" s="2" t="str">
        <f>IF(_xlfn.XLOOKUP(_xlfn.XLOOKUP(Animals!B294,'Base stats'!B:B,'Base stats'!E:E),Groups!A:A,Groups!AK:AK)=1,"true","false")</f>
        <v>false</v>
      </c>
      <c r="AY294" s="25" t="str">
        <f>IF(_xlfn.XLOOKUP(B294,'Base stats'!B:B,'Base stats'!Y:Y)="Liquor","Liquor, CarnivoreAnimalStrict",IF(AND(_xlfn.XLOOKUP(B294,'Base stats'!B:B,'Base stats'!Y:Y)="Carnivore",_xlfn.XLOOKUP(_xlfn.XLOOKUP(B294,'Base stats'!B:B,'Base stats'!E:E),Groups!A:A,Groups!AJ:AJ)="Photonozoa"),"CarnivoreAnimalStrict, OvivoreAnimal",IF(_xlfn.XLOOKUP(B294,'Base stats'!B:B,'Base stats'!Y:Y)="Carnivore","CarnivoreAnimal, OvivoreAnimal",IF(_xlfn.XLOOKUP(B294,'Base stats'!B:B,'Base stats'!Y:Y)="Dendrovore","VegetarianRoughAnimal, DendrovoreAnimal",IF(_xlfn.XLOOKUP(B294,'Base stats'!B:B,'Base stats'!Y:Y)="Herbivore","VegetarianRoughAnimal",IF(_xlfn.XLOOKUP(B294,'Base stats'!B:B,'Base stats'!Y:Y)="OmnivoreRough","OmnivoreRoughAnimal, OvivoreAnimal","OmnivoreAnimal, OvivoreAnimal"))))))</f>
        <v>OmnivoreAnimal, OvivoreAnimal</v>
      </c>
      <c r="AZ294" s="2" t="str">
        <f>IF(_xlfn.XLOOKUP(_xlfn.XLOOKUP(B294,'Base stats'!B:B,'Base stats'!E:E),Groups!A:A,Groups!D:D)=1,MROUND((1-J294)*5+1,2)*IF(J294&lt;=0.4,2,1),"No")</f>
        <v>No</v>
      </c>
      <c r="BA294" s="2" t="str">
        <f>IF(AND(_xlfn.XLOOKUP(B294,'Base stats'!B:B,'Base stats'!AH:AH)="&lt;li&gt;Seal&lt;/li&gt;",G294="Odyssey"),"&lt;li&gt;AEXP_Seal&lt;/li&gt;",_xlfn.XLOOKUP(B294,'Base stats'!B:B,'Base stats'!AH:AH))</f>
        <v>&lt;li&gt;AA_Helixien&lt;/li&gt;</v>
      </c>
      <c r="BB294" s="2" t="str">
        <f>_xlfn.XLOOKUP(B294,'Base stats'!B:B,'Base stats'!AG:AG)</f>
        <v>No</v>
      </c>
      <c r="BC294" s="23" t="str">
        <f>_xlfn.XLOOKUP(_xlfn.XLOOKUP(B294,'Base stats'!B:B,'Base stats'!E:E),Groups!A:A,Groups!AL:AL)</f>
        <v>QuadrupedAnimalWithPawsAndTail</v>
      </c>
      <c r="BD294" s="23">
        <f>MIN(1,MROUND(IF(AND(AO294&lt;0.5,_xlfn.XLOOKUP(B294,'Base stats'!B:B,'Base stats'!AA:AA)=0),0,IF(OR(_xlfn.XLOOKUP(Animals!B294,'Base stats'!B:B,'Base stats'!O:O)=2,_xlfn.XLOOKUP(_xlfn.XLOOKUP(B294,'Base stats'!B:B,'Base stats'!E:E),Groups!A:A,Groups!AN:AN)=0),0,_xlfn.XLOOKUP(_xlfn.XLOOKUP(B294,'Base stats'!B:B,'Base stats'!E:E),Groups!A:A,Groups!AN:AN)/IF(_xlfn.XLOOKUP(Animals!B294,'Base stats'!B:B,'Base stats'!O:O)=1,2,1)))+_xlfn.XLOOKUP(B294,'Base stats'!B:B,'Base stats'!AC:AC),0.005))</f>
        <v>1</v>
      </c>
      <c r="BE294" s="23">
        <f>MIN(1,MROUND(IF(AND(AO294&lt;0.5,_xlfn.XLOOKUP(B294,'Base stats'!B:B,'Base stats'!AA:AA)=0),0,IF(_xlfn.XLOOKUP(_xlfn.XLOOKUP(B294,'Base stats'!B:B,'Base stats'!E:E),Groups!A:A,Groups!AO:AO)=0,0,_xlfn.XLOOKUP(_xlfn.XLOOKUP(B294,'Base stats'!B:B,'Base stats'!E:E),Groups!A:A,Groups!AO:AO)/IF(_xlfn.XLOOKUP(Animals!B294,'Base stats'!B:B,'Base stats'!O:O)=2,3,1)))+_xlfn.XLOOKUP(B294,'Base stats'!B:B,'Base stats'!AD:AD),0.005))</f>
        <v>1</v>
      </c>
      <c r="BF294" s="2" t="str">
        <f>IF(J294&gt;0.3,"No",_xlfn.XLOOKUP(_xlfn.XLOOKUP(Animals!B294,'Base stats'!B:B,'Base stats'!E:E),Groups!A:A,Groups!AP:AP))</f>
        <v>No</v>
      </c>
      <c r="BG294" s="2" t="str">
        <f>IF(AND(J294&lt;=0.65,_xlfn.XLOOKUP(_xlfn.XLOOKUP(Animals!B294,'Base stats'!B:B,'Base stats'!E:E),Groups!A:A,Groups!AP:AP)&lt;&gt;"No",_xlfn.XLOOKUP(_xlfn.XLOOKUP(B294,'Base stats'!B:B,'Base stats'!E:E),Groups!A:A,Groups!D:D)=0),MROUND((80/3)*IF(_xlfn.XLOOKUP(B294,'Base stats'!B:B,'Base stats'!O:O)=2,0.2,AO294) + 24*(1-IF(BF294="No",0,BF294)) + 16/3, 12),"No")</f>
        <v>No</v>
      </c>
      <c r="BH294" s="2">
        <f>IF(AND(_xlfn.XLOOKUP(_xlfn.XLOOKUP(B294,'Base stats'!B:B,'Base stats'!E:E),Groups!A:A,Groups!AQ:AQ)=1,AO294&lt;=0.35),8,12)</f>
        <v>12</v>
      </c>
      <c r="BI294" s="2" t="str">
        <f>IF(_xlfn.XLOOKUP(_xlfn.XLOOKUP(B294,'Base stats'!B:B,'Base stats'!E:E),Groups!A:A,Groups!D:D)=0,_xlfn.XLOOKUP(_xlfn.XLOOKUP(B294,'Base stats'!B:B,'Base stats'!E:E),Groups!A:A,Groups!AR:AR),"None")</f>
        <v>Intermediate</v>
      </c>
      <c r="BJ294" s="2" t="str">
        <f>IF(AND(_xlfn.XLOOKUP(_xlfn.XLOOKUP(B294,'Base stats'!B:B,'Base stats'!E:E),Groups!A:A,Groups!AS:AS)=1,OR(_xlfn.XLOOKUP(B294,'Base stats'!B:B,'Base stats'!Y:Y)="Carnivore",_xlfn.XLOOKUP(B294,'Base stats'!B:B,'Base stats'!Y:Y)="Omnivore")),"true","false")</f>
        <v>true</v>
      </c>
      <c r="BK294" s="2">
        <f>IF(BJ294="true",MROUND(IF(AND(AO294&gt;0.5,OR(_xlfn.XLOOKUP(_xlfn.XLOOKUP(B294,'Base stats'!B:B,'Base stats'!E:E),Groups!A:A,Groups!AJ:AJ)="Photonozoa",_xlfn.XLOOKUP(_xlfn.XLOOKUP(B294,'Base stats'!B:B,'Base stats'!E:E),Groups!A:A,Groups!AJ:AJ)="Mammal")),Animals!AO294*1.75*IF(AW294="true",1.5,1),IF(AO294&lt;0.5,Animals!AO294*0.5,Animals!AO294)),IF(AO294&gt;2,0.5,IF(AO294&gt;0.5,0.25,0.1))),"No")</f>
        <v>6</v>
      </c>
      <c r="BL294" s="2">
        <f t="shared" si="31"/>
        <v>1</v>
      </c>
      <c r="BM294" s="25" t="str">
        <f>IF(_xlfn.XLOOKUP(B294,'Base stats'!B:B,'Base stats'!AN:AN)="Standard","No",MROUND((_xlfn.XLOOKUP(B294,'Base stats'!B:B,'Base stats'!AN:AN)/3.6)/I294,0.1))</f>
        <v>No</v>
      </c>
      <c r="BN294" s="25" t="str">
        <f t="shared" si="32"/>
        <v>false</v>
      </c>
      <c r="BO294" s="25" t="str">
        <f>IF(AND(OR(_xlfn.XLOOKUP(B294,'Base stats'!B:B,'Base stats'!Y:Y)="Carnivore",_xlfn.XLOOKUP(B294,'Base stats'!B:B,'Base stats'!Y:Y)="Omnivore",_xlfn.XLOOKUP(B294,'Base stats'!B:B,'Base stats'!Y:Y)="OmnivoreRough"),_xlfn.XLOOKUP(_xlfn.XLOOKUP(B294,'Base stats'!B:B,'Base stats'!E:E),Groups!A:A,Groups!AT:AT)=1),"true","false")</f>
        <v>false</v>
      </c>
      <c r="BP294" s="25" t="str" cm="1">
        <f t="array" ref="BP294">IF(
  _xlfn.TEXTJOIN(", ",TRUE,
    IF(AND(BJ294="true",AO294&gt;0.5,BI294&lt;&gt;"None"),"AttackTarget",""),
    IF(AND(_xlfn.XLOOKUP(_xlfn.XLOOKUP(B294,'Base stats'!B:B,'Base stats'!E:E),Groups!A:A,Groups!AJ:AJ="Mammal"),OR(_xlfn.XLOOKUP(B294,'Base stats'!B:B,'Base stats'!Y:Y)="Omnivore",_xlfn.XLOOKUP(B294,'Base stats'!B:B,'Base stats'!Y:Y)="OmnivoreRough")),"Forage",""),
    IF(BG294&lt;=36,"Comfort",""),
    IF(_xlfn.XLOOKUP(B294,'Base stats'!B:B,'Base stats'!AE:AE)&lt;&gt;"No",_xlfn.XLOOKUP(B294,'Base stats'!B:B,'Base stats'!AE:AE),"")
  ) = "",
  "No",
  _xlfn.TEXTJOIN(", ",TRUE,
    IF(AND(BJ294="true",AO294&gt;0.5,BI294&lt;&gt;"None"),"AttackTarget",""),
    IF(AND(_xlfn.XLOOKUP(_xlfn.XLOOKUP(B294,'Base stats'!B:B,'Base stats'!E:E),Groups!A:A,Groups!AJ:AJ="Mammal"),OR(_xlfn.XLOOKUP(B294,'Base stats'!B:B,'Base stats'!Y:Y)="Omnivore",_xlfn.XLOOKUP(B294,'Base stats'!B:B,'Base stats'!Y:Y)="OmnivoreRough")),"Forage",""),
    IF(BG294&lt;=36,"Comfort",""),
    IF(_xlfn.XLOOKUP(B294,'Base stats'!B:B,'Base stats'!AE:AE)&lt;&gt;"No",_xlfn.XLOOKUP(B294,'Base stats'!B:B,'Base stats'!AE:AE),"")
  )
)</f>
        <v>AttackTarget</v>
      </c>
      <c r="BQ294" s="25" t="str">
        <f>IF(
   AND(
      'Base stats'!AN294="Standard",_xlfn.XLOOKUP(_xlfn.XLOOKUP(B294,'Base stats'!B:B,'Base stats'!E:E),Groups!A:A,Groups!AU:AU)=0,
      OR(
      BO294="True"
      )
   ),
   10,
   IF(
       OR(BM294&lt;&gt;"No",_xlfn.XLOOKUP(_xlfn.XLOOKUP(B294,'Base stats'!B:B,'Base stats'!E:E),Groups!A:A,Groups!AU:AU)=1),
      1,
      "No"
   )
)</f>
        <v>No</v>
      </c>
      <c r="BR294" s="9">
        <f>MROUND((1 + ((0.2*IF(OR(Q294="No",R294="No",R294=0),0,Q294/R294)
+IF(OR(V294="No",S294="No",T294="No"),0,S294/T294*(LEN(V294)-LEN(SUBSTITUTE(V294,",",""))+1))
+IF(OR(X294="No",Y294="No"),0,X294/Y294)
+IF(OR(AD294="No",AE294="No"),0,AD294/AE294)
+IF(OR(AL294="No",AI294="No",AJ294="No"),0,AI294/AJ294*(LEN(AL294)-LEN(SUBSTITUTE(AL294,",",""))+1))
)/(0.2*IF(OR(Q294="No",R294="No",R294=0),0,1)
+IF(OR(V294="No",S294="No",T294="No"),0,LEN(V294)-LEN(SUBSTITUTE(V294,",",""))+1)
+IF(OR(X294="No",Y294="No"),0,1)
+IF(OR(AD294="No",AE294="No"),0,1)
+IF(OR(AL294="No",AI294="No",AJ294="No"),0,LEN(AL294)-LEN(SUBSTITUTE(AL294,",",""))+1))*62%)* 2)*(1 + (AP294 / (IF(_xlfn.XLOOKUP(_xlfn.XLOOKUP(B294,'Base stats'!B:B,'Base stats'!E:E),Groups!A:A,Groups!AJ:AJ)="Photonozoa",0.3,1)) + _xlfn.XLOOKUP(B294,'Base stats'!B:B,'Base stats'!AV:AV) * 1.8) * 2) * 2.5 + 10 + I294 * 2,5)+IF(_xlfn.XLOOKUP(B294,'Base stats'!B:B,'Base stats'!AK:AK)=1,50,0)</f>
        <v>935</v>
      </c>
      <c r="BS294" s="8">
        <f t="shared" si="33"/>
        <v>3.6500000000000004</v>
      </c>
      <c r="BT294" s="8" t="str">
        <f>_xlfn.XLOOKUP(B294,'Base stats'!B:B,'Base stats'!AF:AF)</f>
        <v>No</v>
      </c>
      <c r="BU294" s="2" t="str">
        <f>IF(AND(J294&lt;=0.95,OR(_xlfn.XLOOKUP(B294,'Base stats'!B:B,'Base stats'!AK:AK)=1,_xlfn.XLOOKUP(B294,'Base stats'!B:B,'Base stats'!Y:Y)="Carnivore",_xlfn.XLOOKUP(B294,'Base stats'!B:B,'Base stats'!Y:Y)="Omnivore",BE294&gt;0.1)),"true","false")</f>
        <v>true</v>
      </c>
      <c r="BV294" s="2" t="str">
        <f>IF(_xlfn.XLOOKUP(B294,'Base stats'!B:B,'Base stats'!AI:AI)=1,"true","false")</f>
        <v>false</v>
      </c>
      <c r="BW294" s="25" t="str">
        <f>IF(E294="BaseInsect","AnimalInsect",
IF(J294&gt;0.95,"AnimalExotic",
_xlfn.TEXTJOIN(", ",TRUE,
IF(OR(_xlfn.XLOOKUP(B294,'Base stats'!B:B,'Base stats'!AM:AM)=1,AND(_xlfn.XLOOKUP(B294,'Base stats'!B:B,'Base stats'!O:O)=0,_xlfn.XLOOKUP(_xlfn.XLOOKUP(B294,'Base stats'!B:B,'Base stats'!E:E),Groups!A:A,Groups!B:B)&gt;0)),"AnimalUncommon","AnimalCommon"),
IF(AND(_xlfn.XLOOKUP(B294,'Base stats'!B:B,'Base stats'!O:O)=2,_xlfn.XLOOKUP(_xlfn.XLOOKUP(B294,'Base stats'!B:B,'Base stats'!E:E),Groups!A:A,Groups!D:D)=0),"AnimalPet",IF(AND(_xlfn.XLOOKUP(B294,'Base stats'!B:B,'Base stats'!O:O)&lt;&gt;0,_xlfn.XLOOKUP(_xlfn.XLOOKUP(B294,'Base stats'!B:B,'Base stats'!E:E),Groups!A:A,Groups!D:D)&lt;&gt;0),"AnimalFarm","")),
IF(OR(_xlfn.XLOOKUP(B294,'Base stats'!B:B,'Base stats'!AK:AK)=1,AND(BI294&lt;&gt;"None",BR294&gt;=60),ISNUMBER(SEARCH("Attack target",BP294))),"AnimalFighter","")
)))</f>
        <v>AnimalUncommon, AnimalFighter</v>
      </c>
      <c r="BX294" s="25" t="str">
        <f>IF(G294="None",TRIM(
SUBSTITUTE(
IF(COUNTIF(Biomes!B$2:B$259,"="&amp;$C294)&gt;0,Biomes!B$1&amp;", ","")&amp;
IF(COUNTIF(Biomes!C$2:C$259,"="&amp;$C294)&gt;0,Biomes!C$1&amp;", ","")&amp;
IF(COUNTIF(Biomes!D$2:D$259,"="&amp;$C294)&gt;0,Biomes!D$1&amp;", ","")&amp;
IF(COUNTIF(Biomes!F$2:F$259,"="&amp;$C294)&gt;0,Biomes!F$1&amp;", ","")&amp;
IF(COUNTIF(Biomes!G$2:G$259,"="&amp;$C294)&gt;0,Biomes!G$1&amp;", ","")&amp;
IF(COUNTIF(Biomes!H$2:H$259,"="&amp;$C294)&gt;0,Biomes!H$1&amp;", ","")&amp;
IF(COUNTIF(Biomes!I$2:I$259,"="&amp;$C294)&gt;0,Biomes!I$1&amp;", ","")&amp;
IF(COUNTIF(Biomes!J$2:J$259,"="&amp;$C294)&gt;0,Biomes!J$1&amp;", ","")&amp;
IF(COUNTIF(Biomes!M$2:M$259,"="&amp;$C294)&gt;0,Biomes!M$1&amp;", ","")&amp;
IF(COUNTIF(Biomes!N$2:N$259,"="&amp;$C294)&gt;0,Biomes!N$1&amp;", ","")&amp;
IF(COUNTIF(Biomes!O$2:O$259,"="&amp;$C294)&gt;0,Biomes!O$1&amp;", ","")&amp;
IF(COUNTIF(Biomes!P$2:P$259,"="&amp;$C294)&gt;0,Biomes!P$1&amp;", ","")&amp;
IF(COUNTIF(Biomes!K$2:K$259,"="&amp;$C294)&gt;0,Biomes!K$1&amp;", ","")&amp;
IF(COUNTIF(Biomes!Q$3:Q$259,"="&amp;$C294)&gt;0,Biomes!Q$1&amp;", ","")&amp;
IF(COUNTIF(Biomes!L$2:L$259,"="&amp;$C294)&gt;0,Biomes!L$1&amp;", ","")&amp;
IF(COUNTIF(Biomes!E$2:E$259,"="&amp;$C294)&gt;0,Biomes!E$1&amp;", ","")&amp;IF(COUNTIF(Biomes!S$2:S$259,"="&amp;$C294)&gt;0,Biomes!S$1&amp;", ","")&amp;
IF(COUNTIF(Biomes!R$2:R$259,"="&amp;$C294)&gt;0,Biomes!R$1&amp;", ",""),", ","")
),_xlfn.XLOOKUP(B294,B:B,BX:BX))</f>
        <v/>
      </c>
      <c r="BY294" s="25" t="str">
        <f>IF(_xlfn.XLOOKUP(B294,'Base stats'!B:B,'Base stats'!AJ:AJ)=1,"true","false")</f>
        <v>false</v>
      </c>
      <c r="BZ294" s="25">
        <f>IF(_xlfn.XLOOKUP(B294,'Base stats'!B:B,'Base stats'!N:N)=1,"No",MAX(0.001,MIN(MROUND(IF(AND(BJ294="True",CC294="False"),POWER(10,3.47*LOG10(_xlfn.XLOOKUP(B294,'Base stats'!B:B,'Base stats'!C:C)*1000)^-0.96),POWER(10,4.15*LOG10(_xlfn.XLOOKUP(B294,'Base stats'!B:B,'Base stats'!C:C)*1000)^-0.73))*IF(_xlfn.XLOOKUP(B294,'Base stats'!B:B,'Base stats'!AK:AK)=1,0.5,1)*IF(_xlfn.XLOOKUP(B294,'Base stats'!B:B,'Base stats'!AM:AM)=1,0.1,1)/100,IF(_xlfn.XLOOKUP(B294,'Base stats'!B:B,'Base stats'!AM:AM)=1,0.001,0.025)),0.5)))</f>
        <v>4.0000000000000001E-3</v>
      </c>
      <c r="CA294" s="25" t="str">
        <f>IF(P294="Standard","No",MAX(0.001,MIN(MROUND(IF(AND(BJ294="True",CC294="False"),POWER(10,3.47*LOG10(_xlfn.XLOOKUP(B294,'Base stats'!B:B,'Base stats'!C:C)*1000)^-0.96),POWER(10,4.15*LOG10(_xlfn.XLOOKUP(B294,'Base stats'!B:B,'Base stats'!C:C)*1000)^-0.73))*IF(_xlfn.XLOOKUP(B294,'Base stats'!B:B,'Base stats'!AM:AM)=1,0.1,1)*_xlfn.XLOOKUP(B294,'Base stats'!B:B,'Base stats'!R:R)/100,IF(_xlfn.XLOOKUP(B294,'Base stats'!B:B,'Base stats'!AM:AM)=1,0.001,0.025)),0.5)))</f>
        <v>No</v>
      </c>
      <c r="CB294" s="25" t="str">
        <f>IF(_xlfn.XLOOKUP(_xlfn.XLOOKUP(B294,'Base stats'!B:B,'Base stats'!E:E),Groups!A:A,Groups!AJ:AJ)="Mammal","True","False")</f>
        <v>False</v>
      </c>
      <c r="CC294" s="25" t="str">
        <f>IF(OR(_xlfn.XLOOKUP(_xlfn.XLOOKUP(B294,'Base stats'!B:B,'Base stats'!E:E),Groups!A:A,Groups!AJ:AJ)="Reptile",_xlfn.XLOOKUP(_xlfn.XLOOKUP(B294,'Base stats'!B:B,'Base stats'!E:E),Groups!A:A,Groups!AJ:AJ)="Amphibian",_xlfn.XLOOKUP(_xlfn.XLOOKUP(B294,'Base stats'!B:B,'Base stats'!E:E),Groups!A:A,Groups!AJ:AJ)="Invertebrate"),"True","False")</f>
        <v>False</v>
      </c>
      <c r="CD294" s="25" t="str">
        <f t="shared" si="34"/>
        <v>False</v>
      </c>
      <c r="CE294" s="25" t="str">
        <f>IF(_xlfn.XLOOKUP(_xlfn.XLOOKUP(B294,'Base stats'!B:B,'Base stats'!E:E),Groups!A:A,Groups!AX:AX),"True","False")</f>
        <v>True</v>
      </c>
      <c r="CF294" s="25" t="str">
        <f>IF(_xlfn.XLOOKUP(_xlfn.XLOOKUP(B294,'Base stats'!B:B,'Base stats'!E:E),Groups!A:A,Groups!AY:AY),"True","False")</f>
        <v>True</v>
      </c>
      <c r="CG294" s="25" t="str">
        <f>IF(_xlfn.XLOOKUP(_xlfn.XLOOKUP(B294,'Base stats'!B:B,'Base stats'!E:E),Groups!A:A,Groups!AW:AW),"True","False")</f>
        <v>True</v>
      </c>
      <c r="CH294" s="25" t="str">
        <f>IF(
OR(
_xlfn.XLOOKUP(_xlfn.XLOOKUP(B294,'Base stats'!B:B,'Base stats'!E:E),Groups!A:A,Groups!AZ:AZ)=0,
AND(
_xlfn.XLOOKUP(B294,'Base stats'!B:B,'Base stats'!Y:Y)&lt;&gt;"Carnivore",
_xlfn.XLOOKUP(B294,'Base stats'!B:B,'Base stats'!Y:Y)&lt;&gt;"Omnivore",
_xlfn.XLOOKUP(B294,'Base stats'!B:B,'Base stats'!Y:Y)&lt;&gt;"OmnivoreRough"
)
),
"No",
IF(
_xlfn.XLOOKUP(_xlfn.XLOOKUP(B294,'Base stats'!B:B,'Base stats'!E:E),Groups!A:A,Groups!AZ:AZ)=1,
"Flesh",
IF(
_xlfn.XLOOKUP(_xlfn.XLOOKUP(B294,'Base stats'!B:B,'Base stats'!E:E),Groups!A:A,Groups!AZ:AZ)=2,
"Bone",
""
)
)
)</f>
        <v>Bone</v>
      </c>
      <c r="CI294" s="25" t="str">
        <f>IF(_xlfn.XLOOKUP(_xlfn.XLOOKUP(B294,'Base stats'!B:B,'Base stats'!E:E),Groups!A:A,Groups!BB:BB),"True","False")</f>
        <v>False</v>
      </c>
      <c r="CJ294" s="25" t="str">
        <f>IF(_xlfn.XLOOKUP(_xlfn.XLOOKUP(B294,'Base stats'!B:B,'Base stats'!E:E),Groups!A:A,Groups!BA:BA),"True","False")</f>
        <v>False</v>
      </c>
    </row>
    <row r="295" spans="1:88" ht="16.5" thickTop="1" thickBot="1" x14ac:dyDescent="0.3">
      <c r="A295" s="26" t="s">
        <v>1502</v>
      </c>
      <c r="B295" s="6" t="str">
        <f>_xlfn.XLOOKUP(A295,'Base stats'!A:A,'Base stats'!B:B)</f>
        <v>Avis prata</v>
      </c>
      <c r="C295" s="28" t="s">
        <v>1503</v>
      </c>
      <c r="D295" s="28" t="s">
        <v>1341</v>
      </c>
      <c r="E295" s="28" t="s">
        <v>673</v>
      </c>
      <c r="F295" s="28" t="s">
        <v>673</v>
      </c>
      <c r="G295" s="28" t="s">
        <v>673</v>
      </c>
      <c r="H295" s="2">
        <f>MROUND((
  (IF(AND(_xlfn.XLOOKUP(B295,'Base stats'!B:B,'Base stats'!AL:AL)=0,BI295="None",_xlfn.XLOOKUP(_xlfn.XLOOKUP(B295,'Base stats'!B:B,'Base stats'!E:E),Groups!A:A,Groups!B:B)=0), (18 + BR295 * 2.7) * 0.5,
    IF(AND(_xlfn.XLOOKUP(B295,'Base stats'!B:B,'Base stats'!AL:AL)=0,OR(AO295&lt;0.55,AND(BI295="Intermediate",_xlfn.XLOOKUP(_xlfn.XLOOKUP(B295,'Base stats'!B:B,'Base stats'!E:E),Groups!A:A,Groups!B:B)&lt;2))), (18 + BR295 * 2.7),
      IF(OR(BI295="Advanced",_xlfn.XLOOKUP(B295,'Base stats'!B:B,'Base stats'!AL:AL)=1,_xlfn.XLOOKUP(_xlfn.XLOOKUP(B295,'Base stats'!B:B,'Base stats'!E:E),Groups!A:A,Groups!B:B)=2), (18 + BR295 * 2.7) + 250, (18 + BR295 * 2.7))
    )
  ))
  + AO295 * 80
  + IF(COUNTIF(EggMilk!K$2:K$998, A295) &gt; 0, 125, 0)
  + IF(COUNTIF(EggMilk!P$2:P$998, A295) &gt; 0, 90, 0)
  + IF(COUNTIF(EggMilk!A$2:A$998, A295) &gt; 0, 90, 0)
)
* (0.8 + 0.4 * J295)
* 0.75,25)</f>
        <v>450</v>
      </c>
      <c r="I295" s="2">
        <f>MROUND(ROUNDDOWN(_xlfn.XLOOKUP(B295,'Base stats'!B:B,'Base stats'!L:L)/3.6/(23.3/11),1),0.5)</f>
        <v>9</v>
      </c>
      <c r="J295" s="2">
        <f>IF(OR(_xlfn.XLOOKUP(B295,'Base stats'!B:B,'Base stats'!AB:AB)=1,_xlfn.XLOOKUP(_xlfn.XLOOKUP(B295,'Base stats'!B:B,'Base stats'!E:E),Groups!A:A,Groups!C:C)="Untamable"),1,IF(_xlfn.XLOOKUP(B295,'Base stats'!B:B,'Base stats'!AL:AL)=1,0.99,MIN(MROUND((1-0.6282*EXP(-0.459*AO295))*_xlfn.XLOOKUP(_xlfn.XLOOKUP(B295,'Base stats'!B:B,'Base stats'!E:E),Groups!A:A,Groups!C:C)*IF(_xlfn.XLOOKUP(B295,'Base stats'!B:B,'Base stats'!O:O)=1,0.5,IF(_xlfn.XLOOKUP(B295,'Base stats'!B:B,'Base stats'!O:O)=2,0,1)),0.05),IF(AO295&gt;3.5,0.985,0.95))))</f>
        <v>0.9</v>
      </c>
      <c r="K295" s="2">
        <f>ROUNDUP(AO295*_xlfn.XLOOKUP(_xlfn.XLOOKUP(B295,'Base stats'!B:B,'Base stats'!E:E),Groups!A:A,Groups!E:E),0)</f>
        <v>20</v>
      </c>
      <c r="L295" s="2">
        <f>IF(OR(_xlfn.XLOOKUP(_xlfn.XLOOKUP(B295,'Base stats'!B:B,'Base stats'!E:E),Groups!A:A,Groups!F:F)=2,ISNUMBER(SEARCH("SeaIce",BX295)),ISNUMBER(SEARCH("IceSheet",BX295))),-50,IF(OR(ISNUMBER(SEARCH("GlacialPlain",BX295)),ISNUMBER(SEARCH("Tundra",BX295))),-40,IF(OR(ISNUMBER(SEARCH("Alpine",BX295)),ISNUMBER(SEARCH("BorealForest",BX295)),ISNUMBER(SEARCH("ColdBog",BX295))),-30,IF(OR(ISNUMBER(SEARCH("TemperateForest",BX295)),ISNUMBER(SEARCH("TemperateSwamp",BX295))),-20,IF(_xlfn.XLOOKUP(_xlfn.XLOOKUP(B295,'Base stats'!B:B,'Base stats'!E:E),Groups!A:A,Groups!F:F)=1,-15,IF(OR(ISNUMBER(SEARCH("Desert",BX295)),ISNUMBER(SEARCH("ExtremeDesert",BX295))),-10,IF(OR(ISNUMBER(SEARCH("Grasslands",BX295)),ISNUMBER(SEARCH("TropicalRainforest",BX295)),ISNUMBER(SEARCH("TropicalSwamp",BX295))),10,0)))))))-IF(CC295="False",MIN(IFERROR(MAX(MROUND(LOG10(_xlfn.XLOOKUP(B295,'Base stats'!B:B,'Base stats'!C:C)^(2/3))*10,5),5),5),30))-_xlfn.XLOOKUP(B295,'Base stats'!B:B,'Base stats'!P:P)+IF(CC295="True",5,0)</f>
        <v>-35</v>
      </c>
      <c r="M295" s="2">
        <f>IF(OR(_xlfn.XLOOKUP(_xlfn.XLOOKUP(B295,'Base stats'!B:B,'Base stats'!E:E),Groups!A:A,Groups!G:G)=2,ISNUMBER(SEARCH("Desert",BX295)),ISNUMBER(SEARCH("ExtremeDesert",BX295)),ISNUMBER(SEARCH("LavaField",BX295))),50,IF(ISNUMBER(SEARCH("Grasslands",BX295)),45,IF(OR(_xlfn.XLOOKUP(_xlfn.XLOOKUP(B295,'Base stats'!B:B,'Base stats'!E:E),Groups!A:A,Groups!G:G)=1,ISNUMBER(SEARCH("TropicalRainforest",BX295)),ISNUMBER(SEARCH("TropicalSwamp",BX295))),40,IF(OR(ISNUMBER(SEARCH("TemperateForest",BX295)),ISNUMBER(SEARCH("TemperateSwamp",BX295))),35,IF(OR(ISNUMBER(SEARCH("Alpine",BX295)),ISNUMBER(SEARCH("BorealForest",BX295)),ISNUMBER(SEARCH("ColdBog",BX295))),30,IF(ISNUMBER(OR(ISNUMBER(SEARCH("GlacialPlain",BX295)),SEARCH("Tundra",BX295))),25,IF(OR(ISNUMBER(SEARCH("SeaIce",BX295)),ISNUMBER(SEARCH("IceSheet",BX295)),ISNUMBER(SEARCH("TropicalSwamp",BX295))),10,35)))))))+_xlfn.XLOOKUP(B295,'Base stats'!B:B,'Base stats'!Q:Q)</f>
        <v>45</v>
      </c>
      <c r="N295" s="8" t="str">
        <f>IF(
_xlfn.XLOOKUP(
_xlfn.XLOOKUP(B295,'Base stats'!B:B,'Base stats'!E:E),
Groups!A:A,
Groups!L:L
)=1,
MIN(
MROUND(
IF(
_xlfn.XLOOKUP(B295,'Animals CE'!B:B,'Animals CE'!Z:Z)&lt;=1.5,
_xlfn.XLOOKUP(B295,'Animals CE'!B:B,'Animals CE'!Z:Z)/2+0.05,
0.8+
(_xlfn.XLOOKUP(B295,'Animals CE'!B:B,'Animals CE'!Z:Z)-1.5)
*0.02
),
0.05
),
200%
),
"No"
)</f>
        <v>No</v>
      </c>
      <c r="O295" s="8" t="str">
        <f>IF(
_xlfn.XLOOKUP(
_xlfn.XLOOKUP(B295,'Base stats'!B:B,'Base stats'!E:E),
Groups!A:A,
Groups!L:L
)=1,
MIN(
MROUND(
IF(
_xlfn.XLOOKUP(B295,'Animals CE'!B:B,'Animals CE'!AA:AA)&lt;=1.5,
_xlfn.XLOOKUP(B295,'Animals CE'!B:B,'Animals CE'!AA:AA)/2+0.05,
0.8+
(_xlfn.XLOOKUP(B295,'Animals CE'!B:B,'Animals CE'!AA:AA)-1.5)
*0.02
),
0.05
),
200%
),
"No"
)</f>
        <v>No</v>
      </c>
      <c r="P295" s="2" t="str">
        <f>_xlfn.XLOOKUP(B295,'Base stats'!B:B,'Base stats'!R:R)</f>
        <v>Standard</v>
      </c>
      <c r="Q295" s="13">
        <f>MROUND((LOG10(_xlfn.XLOOKUP(B295,'Base stats'!B:B,'Base stats'!AR:AR))*(AO295^0.5)+(_xlfn.XLOOKUP(B295,'Base stats'!B:B,'Base stats'!AR:AR)/1000)^(2/3)+_xlfn.XLOOKUP(B295,'Base stats'!B:B,'Base stats'!BA:BA)/2)+0.5,0.5)</f>
        <v>11</v>
      </c>
      <c r="R295" s="7">
        <f>IF(Q295="No","No",MAX(1,MROUND(_xlfn.XLOOKUP(B295,'Base stats'!B:B,'Base stats'!C:C)^0.165,0.05)))</f>
        <v>2.4000000000000004</v>
      </c>
      <c r="S295" s="13">
        <f>IF(_xlfn.XLOOKUP(_xlfn.XLOOKUP(B295,'Base stats'!B:B,'Base stats'!E:E),Groups!A:A,Groups!P:P)=0,"No",MROUND((LOG10(_xlfn.XLOOKUP(B295,'Base stats'!B:B,'Base stats'!AS:AS))*(AO295^0.5)+(_xlfn.XLOOKUP(B295,'Base stats'!B:B,'Base stats'!AS:AS)/1000)^(2/3)+_xlfn.XLOOKUP(B295,'Base stats'!B:B,'Base stats'!BA:BA))+_xlfn.XLOOKUP(B295,'Base stats'!B:B,'Base stats'!AY:AY)+0.5,0.5))</f>
        <v>17</v>
      </c>
      <c r="T295" s="7">
        <f>IF(S295="No","No",MAX(_xlfn.XLOOKUP(_xlfn.XLOOKUP(B295,'Base stats'!B:B,'Base stats'!E:E),Groups!A:A,Groups!Q:Q),MROUND(_xlfn.XLOOKUP(_xlfn.XLOOKUP(B295,'Base stats'!B:B,'Base stats'!E:E),Groups!A:A,Groups!Q:Q)*_xlfn.XLOOKUP(B295,'Base stats'!B:B,'Base stats'!C:C)^0.165,0.05)))</f>
        <v>2.4000000000000004</v>
      </c>
      <c r="U295" s="7" t="str">
        <f>IF(S295="No","No",_xlfn.XLOOKUP(_xlfn.XLOOKUP(B295,'Base stats'!B:B,'Base stats'!E:E),Groups!A:A,Groups!R:R))</f>
        <v>Feet</v>
      </c>
      <c r="V295" s="7" t="str">
        <f>IF(S295="No","No",_xlfn.XLOOKUP(_xlfn.XLOOKUP(B295,'Base stats'!B:B,'Base stats'!E:E),Groups!A:A,Groups!S:S))</f>
        <v>rear left claw, rear  right claw</v>
      </c>
      <c r="W295" s="7" t="str">
        <f>IF(S295="No","No",_xlfn.XLOOKUP(_xlfn.XLOOKUP(B295,'Base stats'!B:B,'Base stats'!E:E),Groups!A:A,Groups!T:T))</f>
        <v>Scratch</v>
      </c>
      <c r="X295" s="13" t="str">
        <f>IF(_xlfn.XLOOKUP(B295,'Base stats'!B:B,'Base stats'!W:W)="No","No",MROUND((LOG10(_xlfn.XLOOKUP(B295,'Base stats'!B:B,'Base stats'!AU:AU))*(AO295^0.5)+(_xlfn.XLOOKUP(B295,'Base stats'!B:B,'Base stats'!AU:AU)/1000)^(2/3)+_xlfn.XLOOKUP(B295,'Base stats'!B:B,'Base stats'!AZ:AZ))+0.5+IF(_xlfn.XLOOKUP(_xlfn.XLOOKUP(B295,'Base stats'!B:B,'Base stats'!E:E),Groups!A:A,Groups!U:U)&lt;&gt;3,_xlfn.XLOOKUP(B295,'Base stats'!B:B,'Base stats'!BA:BA),0),0.5))</f>
        <v>No</v>
      </c>
      <c r="Y295" s="7" t="str">
        <f>IF(X295="No","No",MAX(_xlfn.XLOOKUP(_xlfn.XLOOKUP(B295,'Base stats'!B:B,'Base stats'!E:E),Groups!A:A,Groups!V:V),MROUND(_xlfn.XLOOKUP(_xlfn.XLOOKUP(B295,'Base stats'!B:B,'Base stats'!E:E),Groups!A:A,Groups!V:V)*_xlfn.XLOOKUP(B295,'Base stats'!B:B,'Base stats'!C:C)^0.165,0.05)))</f>
        <v>No</v>
      </c>
      <c r="Z295" s="7" t="str">
        <f>IF(X295="No","No",_xlfn.XLOOKUP(_xlfn.XLOOKUP(B295,'Base stats'!B:B,'Base stats'!E:E),Groups!A:A,Groups!W:W))</f>
        <v>No</v>
      </c>
      <c r="AA295" s="7" t="str">
        <f>IF(X295="No","No",_xlfn.XLOOKUP(_xlfn.XLOOKUP(B295,'Base stats'!B:B,'Base stats'!E:E),Groups!A:A,Groups!X:X))</f>
        <v>No</v>
      </c>
      <c r="AB295" s="7" t="str">
        <f>IF(X295="No","No",_xlfn.XLOOKUP(_xlfn.XLOOKUP(B295,'Base stats'!B:B,'Base stats'!E:E),Groups!A:A,Groups!Y:Y))</f>
        <v>No</v>
      </c>
      <c r="AC295" s="7" t="str">
        <f>_xlfn.XLOOKUP(Animals!B295,'Base stats'!B:B,'Base stats'!X:X)</f>
        <v>False</v>
      </c>
      <c r="AD295" s="13">
        <f>IF(_xlfn.XLOOKUP(B295,'Base stats'!B:B,'Base stats'!AT:AT)="No","No",MROUND((LOG10(_xlfn.XLOOKUP(B295,'Base stats'!B:B,'Base stats'!AT:AT))*(AO295^0.75)+(_xlfn.XLOOKUP(B295,'Base stats'!B:B,'Base stats'!AT:AT)/1000)^(2/3)+_xlfn.XLOOKUP(B295,'Base stats'!B:B,'Base stats'!AX:AX)+_xlfn.XLOOKUP(B295,'Base stats'!B:B,'Base stats'!BA:BA))+0.5,0.5))</f>
        <v>11</v>
      </c>
      <c r="AE295" s="7">
        <f>IF(AD295="No","No",MAX(_xlfn.XLOOKUP(_xlfn.XLOOKUP(B295,'Base stats'!B:B,'Base stats'!E:E),Groups!A:A,Groups!Z:Z),MROUND(_xlfn.XLOOKUP(_xlfn.XLOOKUP(B295,'Base stats'!B:B,'Base stats'!E:E),Groups!A:A,Groups!Z:Z)*_xlfn.XLOOKUP(B295,'Base stats'!B:B,'Base stats'!C:C)^0.165,0.05)))</f>
        <v>1.9000000000000001</v>
      </c>
      <c r="AF295" s="7" t="str">
        <f>IF(AD295="No","No",_xlfn.XLOOKUP(_xlfn.XLOOKUP(B295,'Base stats'!B:B,'Base stats'!E:E),Groups!A:A,Groups!AA:AA))</f>
        <v>Beak</v>
      </c>
      <c r="AG295" s="7" t="str">
        <f>IF(AD295="No","No",_xlfn.XLOOKUP(_xlfn.XLOOKUP(B295,'Base stats'!B:B,'Base stats'!E:E),Groups!A:A,Groups!AB:AB))</f>
        <v>beak</v>
      </c>
      <c r="AH295" s="7" t="str">
        <f>IF(AD295="No","No",_xlfn.XLOOKUP(_xlfn.XLOOKUP(B295,'Base stats'!B:B,'Base stats'!E:E),Groups!A:A,Groups!AC:AC))</f>
        <v>Blunt</v>
      </c>
      <c r="AI295" s="13" t="str">
        <f>IF(_xlfn.XLOOKUP(_xlfn.XLOOKUP(B295,'Base stats'!B:B,'Base stats'!E:E),Groups!A:A,Groups!AD:AD)=0,"No",MROUND((LOG10(_xlfn.XLOOKUP(B295,'Base stats'!B:B,'Base stats'!AS:AS))*(AO295^0.75)+(_xlfn.XLOOKUP(B295,'Base stats'!B:B,'Base stats'!AS:AS)/1000)^(2/3)+_xlfn.XLOOKUP(B295,'Base stats'!B:B,'Base stats'!AY:AY)+_xlfn.XLOOKUP(B295,'Base stats'!B:B,'Base stats'!BA:BA))+0.5,0.5))</f>
        <v>No</v>
      </c>
      <c r="AJ295" s="7" t="str">
        <f>IF(AI295="No","No",MAX(_xlfn.XLOOKUP(_xlfn.XLOOKUP(B295,'Base stats'!B:B,'Base stats'!E:E),Groups!A:A,Groups!AE:AE),MROUND(_xlfn.XLOOKUP(_xlfn.XLOOKUP(B295,'Base stats'!B:B,'Base stats'!E:E),Groups!A:A,Groups!AE:AE)*IF(_xlfn.XLOOKUP(_xlfn.XLOOKUP(B295,'Base stats'!B:B,'Base stats'!E:E),Groups!A:A,Groups!AJ:AJ)="Photonozoa",0.6,1)*_xlfn.XLOOKUP(B295,'Base stats'!B:B,'Base stats'!C:C)^0.165,0.05)))</f>
        <v>No</v>
      </c>
      <c r="AK295" s="7" t="str">
        <f>IF(AI295="No","No",_xlfn.XLOOKUP(_xlfn.XLOOKUP(B295,'Base stats'!B:B,'Base stats'!E:E),Groups!A:A,Groups!AF:AF))</f>
        <v>No</v>
      </c>
      <c r="AL295" s="7" t="str">
        <f>IF(AI295="No","No",_xlfn.XLOOKUP(_xlfn.XLOOKUP(B295,'Base stats'!B:B,'Base stats'!E:E),Groups!A:A,Groups!AG:AG))</f>
        <v>No</v>
      </c>
      <c r="AM295" s="7" t="str">
        <f>IF(AI295="No","No",_xlfn.XLOOKUP(_xlfn.XLOOKUP(B295,'Base stats'!B:B,'Base stats'!E:E),Groups!A:A,Groups!AH:AH))</f>
        <v>No</v>
      </c>
      <c r="AN295" s="2" t="str">
        <f t="shared" si="28"/>
        <v>No</v>
      </c>
      <c r="AO295" s="2">
        <f>MROUND(IF(AND(_xlfn.XLOOKUP(B295,'Base stats'!B:B,'Base stats'!C:C)&gt;=0.5,_xlfn.XLOOKUP(B295,'Base stats'!B:B,'Base stats'!C:C)&lt;=0.8),
IF(_xlfn.XLOOKUP(B295,'Base stats'!B:B,'Base stats'!C:C)&lt;0.1,0.05,IF(_xlfn.XLOOKUP(B295,'Base stats'!B:B,'Base stats'!C:C)&lt;=70,(_xlfn.XLOOKUP(B295,'Base stats'!B:B,'Base stats'!C:C)/70)^0.426489913056526,IF(_xlfn.XLOOKUP(B295,'Base stats'!B:B,'Base stats'!C:C)&lt;=400,(_xlfn.XLOOKUP(B295,'Base stats'!B:B,'Base stats'!C:C)/70)^0.572811455315093,IF(_xlfn.XLOOKUP(B295,'Base stats'!B:B,'Base stats'!C:C)&lt;=2000,2.71391647193063*(_xlfn.XLOOKUP(B295,'Base stats'!B:B,'Base stats'!C:C)/400)^0.252459582904293,3.74314280240376*(_xlfn.XLOOKUP(B295,'Base stats'!B:B,'Base stats'!C:C)/2000)^0.357012633876913)))),
IF(_xlfn.XLOOKUP(B295,'Base stats'!B:B,'Base stats'!C:C)&lt;0.1,0.05,IF(_xlfn.XLOOKUP(B295,'Base stats'!B:B,'Base stats'!C:C)&lt;0.4,0.1,IF(_xlfn.XLOOKUP(B295,'Base stats'!B:B,'Base stats'!C:C)&lt;=70,(_xlfn.XLOOKUP(B295,'Base stats'!B:B,'Base stats'!C:C)/70)^0.445823913056526,IF(_xlfn.XLOOKUP(B295,'Base stats'!B:B,'Base stats'!C:C)&lt;=400,(_xlfn.XLOOKUP(B295,'Base stats'!B:B,'Base stats'!C:C)/70)^0.572811455315093,IF(_xlfn.XLOOKUP(B295,'Base stats'!B:B,'Base stats'!C:C)&lt;=2000,2.71391647193063*(_xlfn.XLOOKUP(B295,'Base stats'!B:B,'Base stats'!C:C)/400)^0.252459582904293,3.74314280240376*(_xlfn.XLOOKUP(B295,'Base stats'!B:B,'Base stats'!C:C)/2000)^0.357012633876913)))))),
IF(_xlfn.XLOOKUP(B295,'Base stats'!B:B,'Base stats'!C:C)&lt;0.1,0.05,IF(_xlfn.XLOOKUP(B295,'Base stats'!B:B,'Base stats'!C:C)&lt;=100,0.05,IF(_xlfn.XLOOKUP(B295,'Base stats'!B:B,'Base stats'!C:C)&lt;=250,0.1,IF(_xlfn.XLOOKUP(B295,'Base stats'!B:B,'Base stats'!C:C)&lt;=4000,0.25,0.5)))))</f>
        <v>1.8</v>
      </c>
      <c r="AP295" s="8">
        <f>MROUND(AO295*_xlfn.XLOOKUP(_xlfn.XLOOKUP(B295,'Base stats'!B:B,'Base stats'!E:E),Groups!A:A,Groups!AI:AI)*_xlfn.XLOOKUP(B295,'Base stats'!B:B,'Base stats'!Z:Z),0.05)</f>
        <v>1.8</v>
      </c>
      <c r="AQ295" s="8">
        <f>MAX(0.01,MROUND(IF(CC295="True",0.196*(AO295*100*1000)^0.889,IF(_xlfn.XLOOKUP(_xlfn.XLOOKUP(B295,'Base stats'!B:B,'Base stats'!E:E),Groups!A:A,Groups!AJ:AJ)="Bird",10.5*(AO295*100*1000)^0.681,4.82*(AO295*100*1000)^0.734))/(4.82*(1*100*1000)^0.734)/IF(AO295&lt;3.5,2,IF(AO295=3.5,1.5,1.25))*(1+0.132282374779864/(AO295^0.994035016789033+0.00905238001496948)),0.05))</f>
        <v>0.95000000000000007</v>
      </c>
      <c r="AR295" s="9">
        <f>IFERROR(MROUND(_xlfn.XLOOKUP(B295,'Base stats'!B:B,'Base stats'!H:H)/IF(_xlfn.XLOOKUP(B295,'Base stats'!B:B,'Base stats'!I:I)&lt;&gt;1,(122.5/70),1.2),IF(_xlfn.XLOOKUP(B295,'Base stats'!B:B,'Base stats'!H:H)&gt;=30,5,IF(_xlfn.XLOOKUP(B295,'Base stats'!B:B,'Base stats'!H:H)&gt;=15,3,IF(_xlfn.XLOOKUP(B295,'Base stats'!B:B,'Base stats'!H:H)&gt;=10,2,1)))),"Immortal")</f>
        <v>30</v>
      </c>
      <c r="AS295" s="35" t="str">
        <f>IFERROR(IF(OR(_xlfn.XLOOKUP(B295,'Base stats'!B:B,'Base stats'!F:F)="Atypical reproduction",_xlfn.XLOOKUP(B295,'Base stats'!B:B,'Base stats'!F:F)="Lay eggs"),"Lay eggs",MIN(20,MAX(5.5,ROUND(((_xlfn.XLOOKUP(B295,'Base stats'!B:B,'Base stats'!F:F)-25)*(14.5/615) + 5.5)*2,0)/2))),"Unknown")</f>
        <v>Lay eggs</v>
      </c>
      <c r="AT295" s="8">
        <f>IF(_xlfn.XLOOKUP(B295,'Base stats'!B:B,'Base stats'!G:G)="Atypical reproduction","No",IFERROR(MAX(IF(_xlfn.XLOOKUP(B295,'Base stats'!B:B,'Base stats'!G:G)&lt;0.5,0.2,0.3),MROUND(_xlfn.XLOOKUP(B295,'Base stats'!B:B,'Base stats'!G:G)/(365/60),0.2)),"Unknown"))</f>
        <v>0.4</v>
      </c>
      <c r="AU295" s="8">
        <f t="shared" si="29"/>
        <v>0.2</v>
      </c>
      <c r="AV295" s="8" t="str">
        <f>IFERROR(IFERROR(MROUND(_xlfn.XLOOKUP(B295,'Base stats'!B:B,'Base stats'!J:J),0.1),"Lay eggs"),"Cannot breed")</f>
        <v>Lay eggs</v>
      </c>
      <c r="AW295" s="2" t="str">
        <f t="shared" si="30"/>
        <v>true</v>
      </c>
      <c r="AX295" s="2" t="str">
        <f>IF(_xlfn.XLOOKUP(_xlfn.XLOOKUP(Animals!B295,'Base stats'!B:B,'Base stats'!E:E),Groups!A:A,Groups!AK:AK)=1,"true","false")</f>
        <v>false</v>
      </c>
      <c r="AY295" s="25" t="str">
        <f>IF(_xlfn.XLOOKUP(B295,'Base stats'!B:B,'Base stats'!Y:Y)="Liquor","Liquor, CarnivoreAnimalStrict",IF(AND(_xlfn.XLOOKUP(B295,'Base stats'!B:B,'Base stats'!Y:Y)="Carnivore",_xlfn.XLOOKUP(_xlfn.XLOOKUP(B295,'Base stats'!B:B,'Base stats'!E:E),Groups!A:A,Groups!AJ:AJ)="Photonozoa"),"CarnivoreAnimalStrict, OvivoreAnimal",IF(_xlfn.XLOOKUP(B295,'Base stats'!B:B,'Base stats'!Y:Y)="Carnivore","CarnivoreAnimal, OvivoreAnimal",IF(_xlfn.XLOOKUP(B295,'Base stats'!B:B,'Base stats'!Y:Y)="Dendrovore","VegetarianRoughAnimal, DendrovoreAnimal",IF(_xlfn.XLOOKUP(B295,'Base stats'!B:B,'Base stats'!Y:Y)="Herbivore","VegetarianRoughAnimal",IF(_xlfn.XLOOKUP(B295,'Base stats'!B:B,'Base stats'!Y:Y)="OmnivoreRough","OmnivoreRoughAnimal, OvivoreAnimal","OmnivoreAnimal, OvivoreAnimal"))))))</f>
        <v>OmnivoreRoughAnimal, OvivoreAnimal</v>
      </c>
      <c r="AZ295" s="2" t="str">
        <f>IF(_xlfn.XLOOKUP(_xlfn.XLOOKUP(B295,'Base stats'!B:B,'Base stats'!E:E),Groups!A:A,Groups!D:D)=1,MROUND((1-J295)*5+1,2)*IF(J295&lt;=0.4,2,1),"No")</f>
        <v>No</v>
      </c>
      <c r="BA295" s="2" t="str">
        <f>IF(AND(_xlfn.XLOOKUP(B295,'Base stats'!B:B,'Base stats'!AH:AH)="&lt;li&gt;Seal&lt;/li&gt;",G295="Odyssey"),"&lt;li&gt;AEXP_Seal&lt;/li&gt;",_xlfn.XLOOKUP(B295,'Base stats'!B:B,'Base stats'!AH:AH))</f>
        <v>No</v>
      </c>
      <c r="BB295" s="2" t="str">
        <f>_xlfn.XLOOKUP(B295,'Base stats'!B:B,'Base stats'!AG:AG)</f>
        <v>Leather_Bird</v>
      </c>
      <c r="BC295" s="23" t="str">
        <f>_xlfn.XLOOKUP(_xlfn.XLOOKUP(B295,'Base stats'!B:B,'Base stats'!E:E),Groups!A:A,Groups!AL:AL)</f>
        <v>Bird</v>
      </c>
      <c r="BD295" s="23">
        <f>MIN(1,MROUND(IF(AND(AO295&lt;0.5,_xlfn.XLOOKUP(B295,'Base stats'!B:B,'Base stats'!AA:AA)=0),0,IF(OR(_xlfn.XLOOKUP(Animals!B295,'Base stats'!B:B,'Base stats'!O:O)=2,_xlfn.XLOOKUP(_xlfn.XLOOKUP(B295,'Base stats'!B:B,'Base stats'!E:E),Groups!A:A,Groups!AN:AN)=0),0,_xlfn.XLOOKUP(_xlfn.XLOOKUP(B295,'Base stats'!B:B,'Base stats'!E:E),Groups!A:A,Groups!AN:AN)/IF(_xlfn.XLOOKUP(Animals!B295,'Base stats'!B:B,'Base stats'!O:O)=1,2,1)))+_xlfn.XLOOKUP(B295,'Base stats'!B:B,'Base stats'!AC:AC),0.005))</f>
        <v>2.5000000000000001E-2</v>
      </c>
      <c r="BE295" s="23">
        <f>MIN(1,MROUND(IF(AND(AO295&lt;0.5,_xlfn.XLOOKUP(B295,'Base stats'!B:B,'Base stats'!AA:AA)=0),0,IF(_xlfn.XLOOKUP(_xlfn.XLOOKUP(B295,'Base stats'!B:B,'Base stats'!E:E),Groups!A:A,Groups!AO:AO)=0,0,_xlfn.XLOOKUP(_xlfn.XLOOKUP(B295,'Base stats'!B:B,'Base stats'!E:E),Groups!A:A,Groups!AO:AO)/IF(_xlfn.XLOOKUP(Animals!B295,'Base stats'!B:B,'Base stats'!O:O)=2,3,1)))+_xlfn.XLOOKUP(B295,'Base stats'!B:B,'Base stats'!AD:AD),0.005))</f>
        <v>0.1</v>
      </c>
      <c r="BF295" s="2" t="str">
        <f>IF(J295&gt;0.3,"No",_xlfn.XLOOKUP(_xlfn.XLOOKUP(Animals!B295,'Base stats'!B:B,'Base stats'!E:E),Groups!A:A,Groups!AP:AP))</f>
        <v>No</v>
      </c>
      <c r="BG295" s="2" t="str">
        <f>IF(AND(J295&lt;=0.65,_xlfn.XLOOKUP(_xlfn.XLOOKUP(Animals!B295,'Base stats'!B:B,'Base stats'!E:E),Groups!A:A,Groups!AP:AP)&lt;&gt;"No",_xlfn.XLOOKUP(_xlfn.XLOOKUP(B295,'Base stats'!B:B,'Base stats'!E:E),Groups!A:A,Groups!D:D)=0),MROUND((80/3)*IF(_xlfn.XLOOKUP(B295,'Base stats'!B:B,'Base stats'!O:O)=2,0.2,AO295) + 24*(1-IF(BF295="No",0,BF295)) + 16/3, 12),"No")</f>
        <v>No</v>
      </c>
      <c r="BH295" s="2">
        <f>IF(AND(_xlfn.XLOOKUP(_xlfn.XLOOKUP(B295,'Base stats'!B:B,'Base stats'!E:E),Groups!A:A,Groups!AQ:AQ)=1,AO295&lt;=0.35),8,12)</f>
        <v>12</v>
      </c>
      <c r="BI295" s="2" t="str">
        <f>IF(_xlfn.XLOOKUP(_xlfn.XLOOKUP(B295,'Base stats'!B:B,'Base stats'!E:E),Groups!A:A,Groups!D:D)=0,_xlfn.XLOOKUP(_xlfn.XLOOKUP(B295,'Base stats'!B:B,'Base stats'!E:E),Groups!A:A,Groups!AR:AR),"None")</f>
        <v>Intermediate</v>
      </c>
      <c r="BJ295" s="2" t="str">
        <f>IF(AND(_xlfn.XLOOKUP(_xlfn.XLOOKUP(B295,'Base stats'!B:B,'Base stats'!E:E),Groups!A:A,Groups!AS:AS)=1,OR(_xlfn.XLOOKUP(B295,'Base stats'!B:B,'Base stats'!Y:Y)="Carnivore",_xlfn.XLOOKUP(B295,'Base stats'!B:B,'Base stats'!Y:Y)="Omnivore")),"true","false")</f>
        <v>false</v>
      </c>
      <c r="BK295" s="2" t="str">
        <f>IF(BJ295="true",MROUND(IF(AND(AO295&gt;0.5,OR(_xlfn.XLOOKUP(_xlfn.XLOOKUP(B295,'Base stats'!B:B,'Base stats'!E:E),Groups!A:A,Groups!AJ:AJ)="Photonozoa",_xlfn.XLOOKUP(_xlfn.XLOOKUP(B295,'Base stats'!B:B,'Base stats'!E:E),Groups!A:A,Groups!AJ:AJ)="Mammal")),Animals!AO295*1.75*IF(AW295="true",1.5,1),IF(AO295&lt;0.5,Animals!AO295*0.5,Animals!AO295)),IF(AO295&gt;2,0.5,IF(AO295&gt;0.5,0.25,0.1))),"No")</f>
        <v>No</v>
      </c>
      <c r="BL295" s="2">
        <f t="shared" si="31"/>
        <v>1</v>
      </c>
      <c r="BM295" s="25" t="str">
        <f>IF(_xlfn.XLOOKUP(B295,'Base stats'!B:B,'Base stats'!AN:AN)="Standard","No",MROUND((_xlfn.XLOOKUP(B295,'Base stats'!B:B,'Base stats'!AN:AN)/3.6)/I295,0.1))</f>
        <v>No</v>
      </c>
      <c r="BN295" s="25" t="str">
        <f t="shared" si="32"/>
        <v>false</v>
      </c>
      <c r="BO295" s="25" t="str">
        <f>IF(AND(OR(_xlfn.XLOOKUP(B295,'Base stats'!B:B,'Base stats'!Y:Y)="Carnivore",_xlfn.XLOOKUP(B295,'Base stats'!B:B,'Base stats'!Y:Y)="Omnivore",_xlfn.XLOOKUP(B295,'Base stats'!B:B,'Base stats'!Y:Y)="OmnivoreRough"),_xlfn.XLOOKUP(_xlfn.XLOOKUP(B295,'Base stats'!B:B,'Base stats'!E:E),Groups!A:A,Groups!AT:AT)=1),"true","false")</f>
        <v>false</v>
      </c>
      <c r="BP295" s="25" t="str" cm="1">
        <f t="array" ref="BP295">IF(
  _xlfn.TEXTJOIN(", ",TRUE,
    IF(AND(BJ295="true",AO295&gt;0.5,BI295&lt;&gt;"None"),"AttackTarget",""),
    IF(AND(_xlfn.XLOOKUP(_xlfn.XLOOKUP(B295,'Base stats'!B:B,'Base stats'!E:E),Groups!A:A,Groups!AJ:AJ="Mammal"),OR(_xlfn.XLOOKUP(B295,'Base stats'!B:B,'Base stats'!Y:Y)="Omnivore",_xlfn.XLOOKUP(B295,'Base stats'!B:B,'Base stats'!Y:Y)="OmnivoreRough")),"Forage",""),
    IF(BG295&lt;=36,"Comfort",""),
    IF(_xlfn.XLOOKUP(B295,'Base stats'!B:B,'Base stats'!AE:AE)&lt;&gt;"No",_xlfn.XLOOKUP(B295,'Base stats'!B:B,'Base stats'!AE:AE),"")
  ) = "",
  "No",
  _xlfn.TEXTJOIN(", ",TRUE,
    IF(AND(BJ295="true",AO295&gt;0.5,BI295&lt;&gt;"None"),"AttackTarget",""),
    IF(AND(_xlfn.XLOOKUP(_xlfn.XLOOKUP(B295,'Base stats'!B:B,'Base stats'!E:E),Groups!A:A,Groups!AJ:AJ="Mammal"),OR(_xlfn.XLOOKUP(B295,'Base stats'!B:B,'Base stats'!Y:Y)="Omnivore",_xlfn.XLOOKUP(B295,'Base stats'!B:B,'Base stats'!Y:Y)="OmnivoreRough")),"Forage",""),
    IF(BG295&lt;=36,"Comfort",""),
    IF(_xlfn.XLOOKUP(B295,'Base stats'!B:B,'Base stats'!AE:AE)&lt;&gt;"No",_xlfn.XLOOKUP(B295,'Base stats'!B:B,'Base stats'!AE:AE),"")
  )
)</f>
        <v>No</v>
      </c>
      <c r="BQ295" s="25" t="str">
        <f>IF(
   AND(
      'Base stats'!AN295="Standard",_xlfn.XLOOKUP(_xlfn.XLOOKUP(B295,'Base stats'!B:B,'Base stats'!E:E),Groups!A:A,Groups!AU:AU)=0,
      OR(
      BO295="True"
      )
   ),
   10,
   IF(
       OR(BM295&lt;&gt;"No",_xlfn.XLOOKUP(_xlfn.XLOOKUP(B295,'Base stats'!B:B,'Base stats'!E:E),Groups!A:A,Groups!AU:AU)=1),
      1,
      "No"
   )
)</f>
        <v>No</v>
      </c>
      <c r="BR295" s="9">
        <f>MROUND((1 + ((0.2*IF(OR(Q295="No",R295="No",R295=0),0,Q295/R295)
+IF(OR(V295="No",S295="No",T295="No"),0,S295/T295*(LEN(V295)-LEN(SUBSTITUTE(V295,",",""))+1))
+IF(OR(X295="No",Y295="No"),0,X295/Y295)
+IF(OR(AD295="No",AE295="No"),0,AD295/AE295)
+IF(OR(AL295="No",AI295="No",AJ295="No"),0,AI295/AJ295*(LEN(AL295)-LEN(SUBSTITUTE(AL295,",",""))+1))
)/(0.2*IF(OR(Q295="No",R295="No",R295=0),0,1)
+IF(OR(V295="No",S295="No",T295="No"),0,LEN(V295)-LEN(SUBSTITUTE(V295,",",""))+1)
+IF(OR(X295="No",Y295="No"),0,1)
+IF(OR(AD295="No",AE295="No"),0,1)
+IF(OR(AL295="No",AI295="No",AJ295="No"),0,LEN(AL295)-LEN(SUBSTITUTE(AL295,",",""))+1))*62%)* 2)*(1 + (AP295 / (IF(_xlfn.XLOOKUP(_xlfn.XLOOKUP(B295,'Base stats'!B:B,'Base stats'!E:E),Groups!A:A,Groups!AJ:AJ)="Photonozoa",0.3,1)) + _xlfn.XLOOKUP(B295,'Base stats'!B:B,'Base stats'!AV:AV) * 1.8) * 2) * 2.5 + 10 + I295 * 2,5)+IF(_xlfn.XLOOKUP(B295,'Base stats'!B:B,'Base stats'!AK:AK)=1,50,0)</f>
        <v>135</v>
      </c>
      <c r="BS295" s="8">
        <f t="shared" si="33"/>
        <v>1.1000000000000001</v>
      </c>
      <c r="BT295" s="8" t="str">
        <f>_xlfn.XLOOKUP(B295,'Base stats'!B:B,'Base stats'!AF:AF)</f>
        <v>2~6</v>
      </c>
      <c r="BU295" s="2" t="str">
        <f>IF(AND(J295&lt;=0.95,OR(_xlfn.XLOOKUP(B295,'Base stats'!B:B,'Base stats'!AK:AK)=1,_xlfn.XLOOKUP(B295,'Base stats'!B:B,'Base stats'!Y:Y)="Carnivore",_xlfn.XLOOKUP(B295,'Base stats'!B:B,'Base stats'!Y:Y)="Omnivore",BE295&gt;0.1)),"true","false")</f>
        <v>false</v>
      </c>
      <c r="BV295" s="2" t="str">
        <f>IF(_xlfn.XLOOKUP(B295,'Base stats'!B:B,'Base stats'!AI:AI)=1,"true","false")</f>
        <v>true</v>
      </c>
      <c r="BW295" s="25" t="str">
        <f>IF(E295="BaseInsect","AnimalInsect",
IF(J295&gt;0.95,"AnimalExotic",
_xlfn.TEXTJOIN(", ",TRUE,
IF(OR(_xlfn.XLOOKUP(B295,'Base stats'!B:B,'Base stats'!AM:AM)=1,AND(_xlfn.XLOOKUP(B295,'Base stats'!B:B,'Base stats'!O:O)=0,_xlfn.XLOOKUP(_xlfn.XLOOKUP(B295,'Base stats'!B:B,'Base stats'!E:E),Groups!A:A,Groups!B:B)&gt;0)),"AnimalUncommon","AnimalCommon"),
IF(AND(_xlfn.XLOOKUP(B295,'Base stats'!B:B,'Base stats'!O:O)=2,_xlfn.XLOOKUP(_xlfn.XLOOKUP(B295,'Base stats'!B:B,'Base stats'!E:E),Groups!A:A,Groups!D:D)=0),"AnimalPet",IF(AND(_xlfn.XLOOKUP(B295,'Base stats'!B:B,'Base stats'!O:O)&lt;&gt;0,_xlfn.XLOOKUP(_xlfn.XLOOKUP(B295,'Base stats'!B:B,'Base stats'!E:E),Groups!A:A,Groups!D:D)&lt;&gt;0),"AnimalFarm","")),
IF(OR(_xlfn.XLOOKUP(B295,'Base stats'!B:B,'Base stats'!AK:AK)=1,AND(BI295&lt;&gt;"None",BR295&gt;=60),ISNUMBER(SEARCH("Attack target",BP295))),"AnimalFighter","")
)))</f>
        <v>AnimalUncommon, AnimalFighter</v>
      </c>
      <c r="BX295" s="25" t="str">
        <f>IF(G295="None",TRIM(
SUBSTITUTE(
IF(COUNTIF(Biomes!B$2:B$259,"="&amp;$C295)&gt;0,Biomes!B$1&amp;", ","")&amp;
IF(COUNTIF(Biomes!C$2:C$259,"="&amp;$C295)&gt;0,Biomes!C$1&amp;", ","")&amp;
IF(COUNTIF(Biomes!D$2:D$259,"="&amp;$C295)&gt;0,Biomes!D$1&amp;", ","")&amp;
IF(COUNTIF(Biomes!F$2:F$259,"="&amp;$C295)&gt;0,Biomes!F$1&amp;", ","")&amp;
IF(COUNTIF(Biomes!G$2:G$259,"="&amp;$C295)&gt;0,Biomes!G$1&amp;", ","")&amp;
IF(COUNTIF(Biomes!H$2:H$259,"="&amp;$C295)&gt;0,Biomes!H$1&amp;", ","")&amp;
IF(COUNTIF(Biomes!I$2:I$259,"="&amp;$C295)&gt;0,Biomes!I$1&amp;", ","")&amp;
IF(COUNTIF(Biomes!J$2:J$259,"="&amp;$C295)&gt;0,Biomes!J$1&amp;", ","")&amp;
IF(COUNTIF(Biomes!M$2:M$259,"="&amp;$C295)&gt;0,Biomes!M$1&amp;", ","")&amp;
IF(COUNTIF(Biomes!N$2:N$259,"="&amp;$C295)&gt;0,Biomes!N$1&amp;", ","")&amp;
IF(COUNTIF(Biomes!O$2:O$259,"="&amp;$C295)&gt;0,Biomes!O$1&amp;", ","")&amp;
IF(COUNTIF(Biomes!P$2:P$259,"="&amp;$C295)&gt;0,Biomes!P$1&amp;", ","")&amp;
IF(COUNTIF(Biomes!K$2:K$259,"="&amp;$C295)&gt;0,Biomes!K$1&amp;", ","")&amp;
IF(COUNTIF(Biomes!Q$3:Q$259,"="&amp;$C295)&gt;0,Biomes!Q$1&amp;", ","")&amp;
IF(COUNTIF(Biomes!L$2:L$259,"="&amp;$C295)&gt;0,Biomes!L$1&amp;", ","")&amp;
IF(COUNTIF(Biomes!E$2:E$259,"="&amp;$C295)&gt;0,Biomes!E$1&amp;", ","")&amp;IF(COUNTIF(Biomes!S$2:S$259,"="&amp;$C295)&gt;0,Biomes!S$1&amp;", ","")&amp;
IF(COUNTIF(Biomes!R$2:R$259,"="&amp;$C295)&gt;0,Biomes!R$1&amp;", ",""),", ","")
),_xlfn.XLOOKUP(B295,B:B,BX:BX))</f>
        <v>TemperateForest TemperateSwamp Grasslands</v>
      </c>
      <c r="BY295" s="25" t="str">
        <f>IF(_xlfn.XLOOKUP(B295,'Base stats'!B:B,'Base stats'!AJ:AJ)=1,"true","false")</f>
        <v>false</v>
      </c>
      <c r="BZ295" s="25">
        <f>IF(_xlfn.XLOOKUP(B295,'Base stats'!B:B,'Base stats'!N:N)=1,"No",MAX(0.001,MIN(MROUND(IF(AND(BJ295="True",CC295="False"),POWER(10,3.47*LOG10(_xlfn.XLOOKUP(B295,'Base stats'!B:B,'Base stats'!C:C)*1000)^-0.96),POWER(10,4.15*LOG10(_xlfn.XLOOKUP(B295,'Base stats'!B:B,'Base stats'!C:C)*1000)^-0.73))*IF(_xlfn.XLOOKUP(B295,'Base stats'!B:B,'Base stats'!AK:AK)=1,0.5,1)*IF(_xlfn.XLOOKUP(B295,'Base stats'!B:B,'Base stats'!AM:AM)=1,0.1,1)/100,IF(_xlfn.XLOOKUP(B295,'Base stats'!B:B,'Base stats'!AM:AM)=1,0.001,0.025)),0.5)))</f>
        <v>1.7000000000000001E-2</v>
      </c>
      <c r="CA295" s="25" t="str">
        <f>IF(P295="Standard","No",MAX(0.001,MIN(MROUND(IF(AND(BJ295="True",CC295="False"),POWER(10,3.47*LOG10(_xlfn.XLOOKUP(B295,'Base stats'!B:B,'Base stats'!C:C)*1000)^-0.96),POWER(10,4.15*LOG10(_xlfn.XLOOKUP(B295,'Base stats'!B:B,'Base stats'!C:C)*1000)^-0.73))*IF(_xlfn.XLOOKUP(B295,'Base stats'!B:B,'Base stats'!AM:AM)=1,0.1,1)*_xlfn.XLOOKUP(B295,'Base stats'!B:B,'Base stats'!R:R)/100,IF(_xlfn.XLOOKUP(B295,'Base stats'!B:B,'Base stats'!AM:AM)=1,0.001,0.025)),0.5)))</f>
        <v>No</v>
      </c>
      <c r="CB295" s="25" t="str">
        <f>IF(_xlfn.XLOOKUP(_xlfn.XLOOKUP(B295,'Base stats'!B:B,'Base stats'!E:E),Groups!A:A,Groups!AJ:AJ)="Mammal","True","False")</f>
        <v>False</v>
      </c>
      <c r="CC295" s="25" t="str">
        <f>IF(OR(_xlfn.XLOOKUP(_xlfn.XLOOKUP(B295,'Base stats'!B:B,'Base stats'!E:E),Groups!A:A,Groups!AJ:AJ)="Reptile",_xlfn.XLOOKUP(_xlfn.XLOOKUP(B295,'Base stats'!B:B,'Base stats'!E:E),Groups!A:A,Groups!AJ:AJ)="Amphibian",_xlfn.XLOOKUP(_xlfn.XLOOKUP(B295,'Base stats'!B:B,'Base stats'!E:E),Groups!A:A,Groups!AJ:AJ)="Invertebrate"),"True","False")</f>
        <v>False</v>
      </c>
      <c r="CD295" s="25" t="str">
        <f t="shared" si="34"/>
        <v>False</v>
      </c>
      <c r="CE295" s="25" t="str">
        <f>IF(_xlfn.XLOOKUP(_xlfn.XLOOKUP(B295,'Base stats'!B:B,'Base stats'!E:E),Groups!A:A,Groups!AX:AX),"True","False")</f>
        <v>False</v>
      </c>
      <c r="CF295" s="25" t="str">
        <f>IF(_xlfn.XLOOKUP(_xlfn.XLOOKUP(B295,'Base stats'!B:B,'Base stats'!E:E),Groups!A:A,Groups!AY:AY),"True","False")</f>
        <v>False</v>
      </c>
      <c r="CG295" s="25" t="str">
        <f>IF(_xlfn.XLOOKUP(_xlfn.XLOOKUP(B295,'Base stats'!B:B,'Base stats'!E:E),Groups!A:A,Groups!AW:AW),"True","False")</f>
        <v>False</v>
      </c>
      <c r="CH295" s="25" t="str">
        <f>IF(
OR(
_xlfn.XLOOKUP(_xlfn.XLOOKUP(B295,'Base stats'!B:B,'Base stats'!E:E),Groups!A:A,Groups!AZ:AZ)=0,
AND(
_xlfn.XLOOKUP(B295,'Base stats'!B:B,'Base stats'!Y:Y)&lt;&gt;"Carnivore",
_xlfn.XLOOKUP(B295,'Base stats'!B:B,'Base stats'!Y:Y)&lt;&gt;"Omnivore",
_xlfn.XLOOKUP(B295,'Base stats'!B:B,'Base stats'!Y:Y)&lt;&gt;"OmnivoreRough"
)
),
"No",
IF(
_xlfn.XLOOKUP(_xlfn.XLOOKUP(B295,'Base stats'!B:B,'Base stats'!E:E),Groups!A:A,Groups!AZ:AZ)=1,
"Flesh",
IF(
_xlfn.XLOOKUP(_xlfn.XLOOKUP(B295,'Base stats'!B:B,'Base stats'!E:E),Groups!A:A,Groups!AZ:AZ)=2,
"Bone",
""
)
)
)</f>
        <v>No</v>
      </c>
      <c r="CI295" s="25" t="str">
        <f>IF(_xlfn.XLOOKUP(_xlfn.XLOOKUP(B295,'Base stats'!B:B,'Base stats'!E:E),Groups!A:A,Groups!BB:BB),"True","False")</f>
        <v>True</v>
      </c>
      <c r="CJ295" s="25" t="str">
        <f>IF(_xlfn.XLOOKUP(_xlfn.XLOOKUP(B295,'Base stats'!B:B,'Base stats'!E:E),Groups!A:A,Groups!BA:BA),"True","False")</f>
        <v>False</v>
      </c>
    </row>
    <row r="296" spans="1:88" ht="16.5" thickTop="1" thickBot="1" x14ac:dyDescent="0.3">
      <c r="A296" s="26" t="s">
        <v>1504</v>
      </c>
      <c r="B296" s="6" t="str">
        <f>_xlfn.XLOOKUP(A296,'Base stats'!A:A,'Base stats'!B:B)</f>
        <v>Pediculus giganteus</v>
      </c>
      <c r="C296" s="28" t="s">
        <v>1505</v>
      </c>
      <c r="D296" s="28" t="s">
        <v>1341</v>
      </c>
      <c r="E296" s="28" t="s">
        <v>1748</v>
      </c>
      <c r="F296" s="28" t="s">
        <v>673</v>
      </c>
      <c r="G296" s="28" t="s">
        <v>673</v>
      </c>
      <c r="H296" s="2">
        <f>MROUND((
  (IF(AND(_xlfn.XLOOKUP(B296,'Base stats'!B:B,'Base stats'!AL:AL)=0,BI296="None",_xlfn.XLOOKUP(_xlfn.XLOOKUP(B296,'Base stats'!B:B,'Base stats'!E:E),Groups!A:A,Groups!B:B)=0), (18 + BR296 * 2.7) * 0.5,
    IF(AND(_xlfn.XLOOKUP(B296,'Base stats'!B:B,'Base stats'!AL:AL)=0,OR(AO296&lt;0.55,AND(BI296="Intermediate",_xlfn.XLOOKUP(_xlfn.XLOOKUP(B296,'Base stats'!B:B,'Base stats'!E:E),Groups!A:A,Groups!B:B)&lt;2))), (18 + BR296 * 2.7),
      IF(OR(BI296="Advanced",_xlfn.XLOOKUP(B296,'Base stats'!B:B,'Base stats'!AL:AL)=1,_xlfn.XLOOKUP(_xlfn.XLOOKUP(B296,'Base stats'!B:B,'Base stats'!E:E),Groups!A:A,Groups!B:B)=2), (18 + BR296 * 2.7) + 250, (18 + BR296 * 2.7))
    )
  ))
  + AO296 * 80
  + IF(COUNTIF(EggMilk!K$2:K$998, A296) &gt; 0, 125, 0)
  + IF(COUNTIF(EggMilk!P$2:P$998, A296) &gt; 0, 90, 0)
  + IF(COUNTIF(EggMilk!A$2:A$998, A296) &gt; 0, 90, 0)
)
* (0.8 + 0.4 * J296)
* 0.75,25)</f>
        <v>375</v>
      </c>
      <c r="I296" s="2">
        <f>MROUND(ROUNDDOWN(_xlfn.XLOOKUP(B296,'Base stats'!B:B,'Base stats'!L:L)/3.6/(23.3/11),1),0.5)</f>
        <v>3</v>
      </c>
      <c r="J296" s="2">
        <f>IF(OR(_xlfn.XLOOKUP(B296,'Base stats'!B:B,'Base stats'!AB:AB)=1,_xlfn.XLOOKUP(_xlfn.XLOOKUP(B296,'Base stats'!B:B,'Base stats'!E:E),Groups!A:A,Groups!C:C)="Untamable"),1,IF(_xlfn.XLOOKUP(B296,'Base stats'!B:B,'Base stats'!AL:AL)=1,0.99,MIN(MROUND((1-0.6282*EXP(-0.459*AO296))*_xlfn.XLOOKUP(_xlfn.XLOOKUP(B296,'Base stats'!B:B,'Base stats'!E:E),Groups!A:A,Groups!C:C)*IF(_xlfn.XLOOKUP(B296,'Base stats'!B:B,'Base stats'!O:O)=1,0.5,IF(_xlfn.XLOOKUP(B296,'Base stats'!B:B,'Base stats'!O:O)=2,0,1)),0.05),IF(AO296&gt;3.5,0.985,0.95))))</f>
        <v>0.60000000000000009</v>
      </c>
      <c r="K296" s="2">
        <f>ROUNDUP(AO296*_xlfn.XLOOKUP(_xlfn.XLOOKUP(B296,'Base stats'!B:B,'Base stats'!E:E),Groups!A:A,Groups!E:E),0)</f>
        <v>1</v>
      </c>
      <c r="L296" s="2">
        <f>IF(OR(_xlfn.XLOOKUP(_xlfn.XLOOKUP(B296,'Base stats'!B:B,'Base stats'!E:E),Groups!A:A,Groups!F:F)=2,ISNUMBER(SEARCH("SeaIce",BX296)),ISNUMBER(SEARCH("IceSheet",BX296))),-50,IF(OR(ISNUMBER(SEARCH("GlacialPlain",BX296)),ISNUMBER(SEARCH("Tundra",BX296))),-40,IF(OR(ISNUMBER(SEARCH("Alpine",BX296)),ISNUMBER(SEARCH("BorealForest",BX296)),ISNUMBER(SEARCH("ColdBog",BX296))),-30,IF(OR(ISNUMBER(SEARCH("TemperateForest",BX296)),ISNUMBER(SEARCH("TemperateSwamp",BX296))),-20,IF(_xlfn.XLOOKUP(_xlfn.XLOOKUP(B296,'Base stats'!B:B,'Base stats'!E:E),Groups!A:A,Groups!F:F)=1,-15,IF(OR(ISNUMBER(SEARCH("Desert",BX296)),ISNUMBER(SEARCH("ExtremeDesert",BX296))),-10,IF(OR(ISNUMBER(SEARCH("Grasslands",BX296)),ISNUMBER(SEARCH("TropicalRainforest",BX296)),ISNUMBER(SEARCH("TropicalSwamp",BX296))),10,0)))))))-IF(CC296="False",MIN(IFERROR(MAX(MROUND(LOG10(_xlfn.XLOOKUP(B296,'Base stats'!B:B,'Base stats'!C:C)^(2/3))*10,5),5),5),30))-_xlfn.XLOOKUP(B296,'Base stats'!B:B,'Base stats'!P:P)+IF(CC296="True",5,0)</f>
        <v>5</v>
      </c>
      <c r="M296" s="2">
        <f>IF(OR(_xlfn.XLOOKUP(_xlfn.XLOOKUP(B296,'Base stats'!B:B,'Base stats'!E:E),Groups!A:A,Groups!G:G)=2,ISNUMBER(SEARCH("Desert",BX296)),ISNUMBER(SEARCH("ExtremeDesert",BX296)),ISNUMBER(SEARCH("LavaField",BX296))),50,IF(ISNUMBER(SEARCH("Grasslands",BX296)),45,IF(OR(_xlfn.XLOOKUP(_xlfn.XLOOKUP(B296,'Base stats'!B:B,'Base stats'!E:E),Groups!A:A,Groups!G:G)=1,ISNUMBER(SEARCH("TropicalRainforest",BX296)),ISNUMBER(SEARCH("TropicalSwamp",BX296))),40,IF(OR(ISNUMBER(SEARCH("TemperateForest",BX296)),ISNUMBER(SEARCH("TemperateSwamp",BX296))),35,IF(OR(ISNUMBER(SEARCH("Alpine",BX296)),ISNUMBER(SEARCH("BorealForest",BX296)),ISNUMBER(SEARCH("ColdBog",BX296))),30,IF(ISNUMBER(OR(ISNUMBER(SEARCH("GlacialPlain",BX296)),SEARCH("Tundra",BX296))),25,IF(OR(ISNUMBER(SEARCH("SeaIce",BX296)),ISNUMBER(SEARCH("IceSheet",BX296)),ISNUMBER(SEARCH("TropicalSwamp",BX296))),10,35)))))))+_xlfn.XLOOKUP(B296,'Base stats'!B:B,'Base stats'!Q:Q)</f>
        <v>35</v>
      </c>
      <c r="N296" s="8">
        <f>IF(
_xlfn.XLOOKUP(
_xlfn.XLOOKUP(B296,'Base stats'!B:B,'Base stats'!E:E),
Groups!A:A,
Groups!L:L
)=1,
MIN(
MROUND(
IF(
_xlfn.XLOOKUP(B296,'Animals CE'!B:B,'Animals CE'!Z:Z)&lt;=1.5,
_xlfn.XLOOKUP(B296,'Animals CE'!B:B,'Animals CE'!Z:Z)/2+0.05,
0.8+
(_xlfn.XLOOKUP(B296,'Animals CE'!B:B,'Animals CE'!Z:Z)-1.5)
*0.02
),
0.05
),
200%
),
"No"
)</f>
        <v>0.8</v>
      </c>
      <c r="O296" s="8">
        <f>IF(
_xlfn.XLOOKUP(
_xlfn.XLOOKUP(B296,'Base stats'!B:B,'Base stats'!E:E),
Groups!A:A,
Groups!L:L
)=1,
MIN(
MROUND(
IF(
_xlfn.XLOOKUP(B296,'Animals CE'!B:B,'Animals CE'!AA:AA)&lt;=1.5,
_xlfn.XLOOKUP(B296,'Animals CE'!B:B,'Animals CE'!AA:AA)/2+0.05,
0.8+
(_xlfn.XLOOKUP(B296,'Animals CE'!B:B,'Animals CE'!AA:AA)-1.5)
*0.02
),
0.05
),
200%
),
"No"
)</f>
        <v>0.8</v>
      </c>
      <c r="P296" s="2">
        <f>_xlfn.XLOOKUP(B296,'Base stats'!B:B,'Base stats'!R:R)</f>
        <v>1</v>
      </c>
      <c r="Q296" s="13">
        <f>MROUND((LOG10(_xlfn.XLOOKUP(B296,'Base stats'!B:B,'Base stats'!AR:AR))*(AO296^0.5)+(_xlfn.XLOOKUP(B296,'Base stats'!B:B,'Base stats'!AR:AR)/1000)^(2/3)+_xlfn.XLOOKUP(B296,'Base stats'!B:B,'Base stats'!BA:BA)/2)+0.5,0.5)</f>
        <v>6.5</v>
      </c>
      <c r="R296" s="7">
        <f>IF(Q296="No","No",MAX(1,MROUND(_xlfn.XLOOKUP(B296,'Base stats'!B:B,'Base stats'!C:C)^0.165,0.05)))</f>
        <v>1.9500000000000002</v>
      </c>
      <c r="S296" s="13" t="str">
        <f>IF(_xlfn.XLOOKUP(_xlfn.XLOOKUP(B296,'Base stats'!B:B,'Base stats'!E:E),Groups!A:A,Groups!P:P)=0,"No",MROUND((LOG10(_xlfn.XLOOKUP(B296,'Base stats'!B:B,'Base stats'!AS:AS))*(AO296^0.5)+(_xlfn.XLOOKUP(B296,'Base stats'!B:B,'Base stats'!AS:AS)/1000)^(2/3)+_xlfn.XLOOKUP(B296,'Base stats'!B:B,'Base stats'!BA:BA))+_xlfn.XLOOKUP(B296,'Base stats'!B:B,'Base stats'!AY:AY)+0.5,0.5))</f>
        <v>No</v>
      </c>
      <c r="T296" s="7" t="str">
        <f>IF(S296="No","No",MAX(_xlfn.XLOOKUP(_xlfn.XLOOKUP(B296,'Base stats'!B:B,'Base stats'!E:E),Groups!A:A,Groups!Q:Q),MROUND(_xlfn.XLOOKUP(_xlfn.XLOOKUP(B296,'Base stats'!B:B,'Base stats'!E:E),Groups!A:A,Groups!Q:Q)*_xlfn.XLOOKUP(B296,'Base stats'!B:B,'Base stats'!C:C)^0.165,0.05)))</f>
        <v>No</v>
      </c>
      <c r="U296" s="7" t="str">
        <f>IF(S296="No","No",_xlfn.XLOOKUP(_xlfn.XLOOKUP(B296,'Base stats'!B:B,'Base stats'!E:E),Groups!A:A,Groups!R:R))</f>
        <v>No</v>
      </c>
      <c r="V296" s="7" t="str">
        <f>IF(S296="No","No",_xlfn.XLOOKUP(_xlfn.XLOOKUP(B296,'Base stats'!B:B,'Base stats'!E:E),Groups!A:A,Groups!S:S))</f>
        <v>No</v>
      </c>
      <c r="W296" s="7" t="str">
        <f>IF(S296="No","No",_xlfn.XLOOKUP(_xlfn.XLOOKUP(B296,'Base stats'!B:B,'Base stats'!E:E),Groups!A:A,Groups!T:T))</f>
        <v>No</v>
      </c>
      <c r="X296" s="13" t="str">
        <f>IF(_xlfn.XLOOKUP(B296,'Base stats'!B:B,'Base stats'!W:W)="No","No",MROUND((LOG10(_xlfn.XLOOKUP(B296,'Base stats'!B:B,'Base stats'!AU:AU))*(AO296^0.5)+(_xlfn.XLOOKUP(B296,'Base stats'!B:B,'Base stats'!AU:AU)/1000)^(2/3)+_xlfn.XLOOKUP(B296,'Base stats'!B:B,'Base stats'!AZ:AZ))+0.5+IF(_xlfn.XLOOKUP(_xlfn.XLOOKUP(B296,'Base stats'!B:B,'Base stats'!E:E),Groups!A:A,Groups!U:U)&lt;&gt;3,_xlfn.XLOOKUP(B296,'Base stats'!B:B,'Base stats'!BA:BA),0),0.5))</f>
        <v>No</v>
      </c>
      <c r="Y296" s="7" t="str">
        <f>IF(X296="No","No",MAX(_xlfn.XLOOKUP(_xlfn.XLOOKUP(B296,'Base stats'!B:B,'Base stats'!E:E),Groups!A:A,Groups!V:V),MROUND(_xlfn.XLOOKUP(_xlfn.XLOOKUP(B296,'Base stats'!B:B,'Base stats'!E:E),Groups!A:A,Groups!V:V)*_xlfn.XLOOKUP(B296,'Base stats'!B:B,'Base stats'!C:C)^0.165,0.05)))</f>
        <v>No</v>
      </c>
      <c r="Z296" s="7" t="str">
        <f>IF(X296="No","No",_xlfn.XLOOKUP(_xlfn.XLOOKUP(B296,'Base stats'!B:B,'Base stats'!E:E),Groups!A:A,Groups!W:W))</f>
        <v>No</v>
      </c>
      <c r="AA296" s="7" t="str">
        <f>IF(X296="No","No",_xlfn.XLOOKUP(_xlfn.XLOOKUP(B296,'Base stats'!B:B,'Base stats'!E:E),Groups!A:A,Groups!X:X))</f>
        <v>No</v>
      </c>
      <c r="AB296" s="7" t="str">
        <f>IF(X296="No","No",_xlfn.XLOOKUP(_xlfn.XLOOKUP(B296,'Base stats'!B:B,'Base stats'!E:E),Groups!A:A,Groups!Y:Y))</f>
        <v>No</v>
      </c>
      <c r="AC296" s="7" t="str">
        <f>_xlfn.XLOOKUP(Animals!B296,'Base stats'!B:B,'Base stats'!X:X)</f>
        <v>False</v>
      </c>
      <c r="AD296" s="13">
        <f>IF(_xlfn.XLOOKUP(B296,'Base stats'!B:B,'Base stats'!AT:AT)="No","No",MROUND((LOG10(_xlfn.XLOOKUP(B296,'Base stats'!B:B,'Base stats'!AT:AT))*(AO296^0.75)+(_xlfn.XLOOKUP(B296,'Base stats'!B:B,'Base stats'!AT:AT)/1000)^(2/3)+_xlfn.XLOOKUP(B296,'Base stats'!B:B,'Base stats'!AX:AX)+_xlfn.XLOOKUP(B296,'Base stats'!B:B,'Base stats'!BA:BA))+0.5,0.5))</f>
        <v>18</v>
      </c>
      <c r="AE296" s="7">
        <f>IF(AD296="No","No",MAX(_xlfn.XLOOKUP(_xlfn.XLOOKUP(B296,'Base stats'!B:B,'Base stats'!E:E),Groups!A:A,Groups!Z:Z),MROUND(_xlfn.XLOOKUP(_xlfn.XLOOKUP(B296,'Base stats'!B:B,'Base stats'!E:E),Groups!A:A,Groups!Z:Z)*_xlfn.XLOOKUP(B296,'Base stats'!B:B,'Base stats'!C:C)^0.165,0.05)))</f>
        <v>2.5</v>
      </c>
      <c r="AF296" s="7" t="str">
        <f>IF(AD296="No","No",_xlfn.XLOOKUP(_xlfn.XLOOKUP(B296,'Base stats'!B:B,'Base stats'!E:E),Groups!A:A,Groups!AA:AA))</f>
        <v>Mouth</v>
      </c>
      <c r="AG296" s="7" t="str">
        <f>IF(AD296="No","No",_xlfn.XLOOKUP(_xlfn.XLOOKUP(B296,'Base stats'!B:B,'Base stats'!E:E),Groups!A:A,Groups!AB:AB))</f>
        <v>mandibles</v>
      </c>
      <c r="AH296" s="7" t="str">
        <f>IF(AD296="No","No",_xlfn.XLOOKUP(_xlfn.XLOOKUP(B296,'Base stats'!B:B,'Base stats'!E:E),Groups!A:A,Groups!AC:AC))</f>
        <v>Bite</v>
      </c>
      <c r="AI296" s="13" t="str">
        <f>IF(_xlfn.XLOOKUP(_xlfn.XLOOKUP(B296,'Base stats'!B:B,'Base stats'!E:E),Groups!A:A,Groups!AD:AD)=0,"No",MROUND((LOG10(_xlfn.XLOOKUP(B296,'Base stats'!B:B,'Base stats'!AS:AS))*(AO296^0.75)+(_xlfn.XLOOKUP(B296,'Base stats'!B:B,'Base stats'!AS:AS)/1000)^(2/3)+_xlfn.XLOOKUP(B296,'Base stats'!B:B,'Base stats'!AY:AY)+_xlfn.XLOOKUP(B296,'Base stats'!B:B,'Base stats'!BA:BA))+0.5,0.5))</f>
        <v>No</v>
      </c>
      <c r="AJ296" s="7" t="str">
        <f>IF(AI296="No","No",MAX(_xlfn.XLOOKUP(_xlfn.XLOOKUP(B296,'Base stats'!B:B,'Base stats'!E:E),Groups!A:A,Groups!AE:AE),MROUND(_xlfn.XLOOKUP(_xlfn.XLOOKUP(B296,'Base stats'!B:B,'Base stats'!E:E),Groups!A:A,Groups!AE:AE)*IF(_xlfn.XLOOKUP(_xlfn.XLOOKUP(B296,'Base stats'!B:B,'Base stats'!E:E),Groups!A:A,Groups!AJ:AJ)="Photonozoa",0.6,1)*_xlfn.XLOOKUP(B296,'Base stats'!B:B,'Base stats'!C:C)^0.165,0.05)))</f>
        <v>No</v>
      </c>
      <c r="AK296" s="7" t="str">
        <f>IF(AI296="No","No",_xlfn.XLOOKUP(_xlfn.XLOOKUP(B296,'Base stats'!B:B,'Base stats'!E:E),Groups!A:A,Groups!AF:AF))</f>
        <v>No</v>
      </c>
      <c r="AL296" s="7" t="str">
        <f>IF(AI296="No","No",_xlfn.XLOOKUP(_xlfn.XLOOKUP(B296,'Base stats'!B:B,'Base stats'!E:E),Groups!A:A,Groups!AG:AG))</f>
        <v>No</v>
      </c>
      <c r="AM296" s="7" t="str">
        <f>IF(AI296="No","No",_xlfn.XLOOKUP(_xlfn.XLOOKUP(B296,'Base stats'!B:B,'Base stats'!E:E),Groups!A:A,Groups!AH:AH))</f>
        <v>No</v>
      </c>
      <c r="AN296" s="2">
        <f t="shared" si="28"/>
        <v>20</v>
      </c>
      <c r="AO296" s="2">
        <f>MROUND(IF(AND(_xlfn.XLOOKUP(B296,'Base stats'!B:B,'Base stats'!C:C)&gt;=0.5,_xlfn.XLOOKUP(B296,'Base stats'!B:B,'Base stats'!C:C)&lt;=0.8),
IF(_xlfn.XLOOKUP(B296,'Base stats'!B:B,'Base stats'!C:C)&lt;0.1,0.05,IF(_xlfn.XLOOKUP(B296,'Base stats'!B:B,'Base stats'!C:C)&lt;=70,(_xlfn.XLOOKUP(B296,'Base stats'!B:B,'Base stats'!C:C)/70)^0.426489913056526,IF(_xlfn.XLOOKUP(B296,'Base stats'!B:B,'Base stats'!C:C)&lt;=400,(_xlfn.XLOOKUP(B296,'Base stats'!B:B,'Base stats'!C:C)/70)^0.572811455315093,IF(_xlfn.XLOOKUP(B296,'Base stats'!B:B,'Base stats'!C:C)&lt;=2000,2.71391647193063*(_xlfn.XLOOKUP(B296,'Base stats'!B:B,'Base stats'!C:C)/400)^0.252459582904293,3.74314280240376*(_xlfn.XLOOKUP(B296,'Base stats'!B:B,'Base stats'!C:C)/2000)^0.357012633876913)))),
IF(_xlfn.XLOOKUP(B296,'Base stats'!B:B,'Base stats'!C:C)&lt;0.1,0.05,IF(_xlfn.XLOOKUP(B296,'Base stats'!B:B,'Base stats'!C:C)&lt;0.4,0.1,IF(_xlfn.XLOOKUP(B296,'Base stats'!B:B,'Base stats'!C:C)&lt;=70,(_xlfn.XLOOKUP(B296,'Base stats'!B:B,'Base stats'!C:C)/70)^0.445823913056526,IF(_xlfn.XLOOKUP(B296,'Base stats'!B:B,'Base stats'!C:C)&lt;=400,(_xlfn.XLOOKUP(B296,'Base stats'!B:B,'Base stats'!C:C)/70)^0.572811455315093,IF(_xlfn.XLOOKUP(B296,'Base stats'!B:B,'Base stats'!C:C)&lt;=2000,2.71391647193063*(_xlfn.XLOOKUP(B296,'Base stats'!B:B,'Base stats'!C:C)/400)^0.252459582904293,3.74314280240376*(_xlfn.XLOOKUP(B296,'Base stats'!B:B,'Base stats'!C:C)/2000)^0.357012633876913)))))),
IF(_xlfn.XLOOKUP(B296,'Base stats'!B:B,'Base stats'!C:C)&lt;0.1,0.05,IF(_xlfn.XLOOKUP(B296,'Base stats'!B:B,'Base stats'!C:C)&lt;=100,0.05,IF(_xlfn.XLOOKUP(B296,'Base stats'!B:B,'Base stats'!C:C)&lt;=250,0.1,IF(_xlfn.XLOOKUP(B296,'Base stats'!B:B,'Base stats'!C:C)&lt;=4000,0.25,0.5)))))</f>
        <v>0.9</v>
      </c>
      <c r="AP296" s="8">
        <f>MROUND(AO296*_xlfn.XLOOKUP(_xlfn.XLOOKUP(B296,'Base stats'!B:B,'Base stats'!E:E),Groups!A:A,Groups!AI:AI)*_xlfn.XLOOKUP(B296,'Base stats'!B:B,'Base stats'!Z:Z),0.05)</f>
        <v>0.9</v>
      </c>
      <c r="AQ296" s="8">
        <f>MAX(0.01,MROUND(IF(CC296="True",0.196*(AO296*100*1000)^0.889,IF(_xlfn.XLOOKUP(_xlfn.XLOOKUP(B296,'Base stats'!B:B,'Base stats'!E:E),Groups!A:A,Groups!AJ:AJ)="Bird",10.5*(AO296*100*1000)^0.681,4.82*(AO296*100*1000)^0.734))/(4.82*(1*100*1000)^0.734)/IF(AO296&lt;3.5,2,IF(AO296=3.5,1.5,1.25))*(1+0.132282374779864/(AO296^0.994035016789033+0.00905238001496948)),0.05))</f>
        <v>0.15000000000000002</v>
      </c>
      <c r="AR296" s="9">
        <f>IFERROR(MROUND(_xlfn.XLOOKUP(B296,'Base stats'!B:B,'Base stats'!H:H)/IF(_xlfn.XLOOKUP(B296,'Base stats'!B:B,'Base stats'!I:I)&lt;&gt;1,(122.5/70),1.2),IF(_xlfn.XLOOKUP(B296,'Base stats'!B:B,'Base stats'!H:H)&gt;=30,5,IF(_xlfn.XLOOKUP(B296,'Base stats'!B:B,'Base stats'!H:H)&gt;=15,3,IF(_xlfn.XLOOKUP(B296,'Base stats'!B:B,'Base stats'!H:H)&gt;=10,2,1)))),"Immortal")</f>
        <v>9</v>
      </c>
      <c r="AS296" s="35">
        <f>IFERROR(IF(OR(_xlfn.XLOOKUP(B296,'Base stats'!B:B,'Base stats'!F:F)="Atypical reproduction",_xlfn.XLOOKUP(B296,'Base stats'!B:B,'Base stats'!F:F)="Lay eggs"),"Lay eggs",MIN(20,MAX(5.5,ROUND(((_xlfn.XLOOKUP(B296,'Base stats'!B:B,'Base stats'!F:F)-25)*(14.5/615) + 5.5)*2,0)/2))),"Unknown")</f>
        <v>8.5</v>
      </c>
      <c r="AT296" s="8">
        <f>IF(_xlfn.XLOOKUP(B296,'Base stats'!B:B,'Base stats'!G:G)="Atypical reproduction","No",IFERROR(MAX(IF(_xlfn.XLOOKUP(B296,'Base stats'!B:B,'Base stats'!G:G)&lt;0.5,0.2,0.3),MROUND(_xlfn.XLOOKUP(B296,'Base stats'!B:B,'Base stats'!G:G)/(365/60),0.2)),"Unknown"))</f>
        <v>0.4</v>
      </c>
      <c r="AU296" s="8">
        <f t="shared" si="29"/>
        <v>0.2</v>
      </c>
      <c r="AV296" s="8">
        <f>IFERROR(IFERROR(MROUND(_xlfn.XLOOKUP(B296,'Base stats'!B:B,'Base stats'!J:J),0.1),"Lay eggs"),"Cannot breed")</f>
        <v>1</v>
      </c>
      <c r="AW296" s="2" t="str">
        <f t="shared" si="30"/>
        <v>false</v>
      </c>
      <c r="AX296" s="2" t="str">
        <f>IF(_xlfn.XLOOKUP(_xlfn.XLOOKUP(Animals!B296,'Base stats'!B:B,'Base stats'!E:E),Groups!A:A,Groups!AK:AK)=1,"true","false")</f>
        <v>false</v>
      </c>
      <c r="AY296" s="25" t="str">
        <f>IF(_xlfn.XLOOKUP(B296,'Base stats'!B:B,'Base stats'!Y:Y)="Liquor","Liquor, CarnivoreAnimalStrict",IF(AND(_xlfn.XLOOKUP(B296,'Base stats'!B:B,'Base stats'!Y:Y)="Carnivore",_xlfn.XLOOKUP(_xlfn.XLOOKUP(B296,'Base stats'!B:B,'Base stats'!E:E),Groups!A:A,Groups!AJ:AJ)="Photonozoa"),"CarnivoreAnimalStrict, OvivoreAnimal",IF(_xlfn.XLOOKUP(B296,'Base stats'!B:B,'Base stats'!Y:Y)="Carnivore","CarnivoreAnimal, OvivoreAnimal",IF(_xlfn.XLOOKUP(B296,'Base stats'!B:B,'Base stats'!Y:Y)="Dendrovore","VegetarianRoughAnimal, DendrovoreAnimal",IF(_xlfn.XLOOKUP(B296,'Base stats'!B:B,'Base stats'!Y:Y)="Herbivore","VegetarianRoughAnimal",IF(_xlfn.XLOOKUP(B296,'Base stats'!B:B,'Base stats'!Y:Y)="OmnivoreRough","OmnivoreRoughAnimal, OvivoreAnimal","OmnivoreAnimal, OvivoreAnimal"))))))</f>
        <v>OmnivoreAnimal, OvivoreAnimal</v>
      </c>
      <c r="AZ296" s="2">
        <f>IF(_xlfn.XLOOKUP(_xlfn.XLOOKUP(B296,'Base stats'!B:B,'Base stats'!E:E),Groups!A:A,Groups!D:D)=1,MROUND((1-J296)*5+1,2)*IF(J296&lt;=0.4,2,1),"No")</f>
        <v>4</v>
      </c>
      <c r="BA296" s="2" t="str">
        <f>IF(AND(_xlfn.XLOOKUP(B296,'Base stats'!B:B,'Base stats'!AH:AH)="&lt;li&gt;Seal&lt;/li&gt;",G296="Odyssey"),"&lt;li&gt;AEXP_Seal&lt;/li&gt;",_xlfn.XLOOKUP(B296,'Base stats'!B:B,'Base stats'!AH:AH))</f>
        <v>&lt;li&gt;Megaspider&lt;/li&gt;</v>
      </c>
      <c r="BB296" s="2" t="str">
        <f>_xlfn.XLOOKUP(B296,'Base stats'!B:B,'Base stats'!AG:AG)</f>
        <v>Leather_BlackChitin</v>
      </c>
      <c r="BC296" s="23" t="str">
        <f>_xlfn.XLOOKUP(_xlfn.XLOOKUP(B296,'Base stats'!B:B,'Base stats'!E:E),Groups!A:A,Groups!AL:AL)</f>
        <v>Larva</v>
      </c>
      <c r="BD296" s="23">
        <f>MIN(1,MROUND(IF(AND(AO296&lt;0.5,_xlfn.XLOOKUP(B296,'Base stats'!B:B,'Base stats'!AA:AA)=0),0,IF(OR(_xlfn.XLOOKUP(Animals!B296,'Base stats'!B:B,'Base stats'!O:O)=2,_xlfn.XLOOKUP(_xlfn.XLOOKUP(B296,'Base stats'!B:B,'Base stats'!E:E),Groups!A:A,Groups!AN:AN)=0),0,_xlfn.XLOOKUP(_xlfn.XLOOKUP(B296,'Base stats'!B:B,'Base stats'!E:E),Groups!A:A,Groups!AN:AN)/IF(_xlfn.XLOOKUP(Animals!B296,'Base stats'!B:B,'Base stats'!O:O)=1,2,1)))+_xlfn.XLOOKUP(B296,'Base stats'!B:B,'Base stats'!AC:AC),0.005))</f>
        <v>0.1</v>
      </c>
      <c r="BE296" s="23">
        <f>MIN(1,MROUND(IF(AND(AO296&lt;0.5,_xlfn.XLOOKUP(B296,'Base stats'!B:B,'Base stats'!AA:AA)=0),0,IF(_xlfn.XLOOKUP(_xlfn.XLOOKUP(B296,'Base stats'!B:B,'Base stats'!E:E),Groups!A:A,Groups!AO:AO)=0,0,_xlfn.XLOOKUP(_xlfn.XLOOKUP(B296,'Base stats'!B:B,'Base stats'!E:E),Groups!A:A,Groups!AO:AO)/IF(_xlfn.XLOOKUP(Animals!B296,'Base stats'!B:B,'Base stats'!O:O)=2,3,1)))+_xlfn.XLOOKUP(B296,'Base stats'!B:B,'Base stats'!AD:AD),0.005))</f>
        <v>0.3</v>
      </c>
      <c r="BF296" s="2" t="str">
        <f>IF(J296&gt;0.3,"No",_xlfn.XLOOKUP(_xlfn.XLOOKUP(Animals!B296,'Base stats'!B:B,'Base stats'!E:E),Groups!A:A,Groups!AP:AP))</f>
        <v>No</v>
      </c>
      <c r="BG296" s="2" t="str">
        <f>IF(AND(J296&lt;=0.65,_xlfn.XLOOKUP(_xlfn.XLOOKUP(Animals!B296,'Base stats'!B:B,'Base stats'!E:E),Groups!A:A,Groups!AP:AP)&lt;&gt;"No",_xlfn.XLOOKUP(_xlfn.XLOOKUP(B296,'Base stats'!B:B,'Base stats'!E:E),Groups!A:A,Groups!D:D)=0),MROUND((80/3)*IF(_xlfn.XLOOKUP(B296,'Base stats'!B:B,'Base stats'!O:O)=2,0.2,AO296) + 24*(1-IF(BF296="No",0,BF296)) + 16/3, 12),"No")</f>
        <v>No</v>
      </c>
      <c r="BH296" s="2">
        <f>IF(AND(_xlfn.XLOOKUP(_xlfn.XLOOKUP(B296,'Base stats'!B:B,'Base stats'!E:E),Groups!A:A,Groups!AQ:AQ)=1,AO296&lt;=0.35),8,12)</f>
        <v>12</v>
      </c>
      <c r="BI296" s="2" t="str">
        <f>IF(_xlfn.XLOOKUP(_xlfn.XLOOKUP(B296,'Base stats'!B:B,'Base stats'!E:E),Groups!A:A,Groups!D:D)=0,_xlfn.XLOOKUP(_xlfn.XLOOKUP(B296,'Base stats'!B:B,'Base stats'!E:E),Groups!A:A,Groups!AR:AR),"None")</f>
        <v>None</v>
      </c>
      <c r="BJ296" s="2" t="str">
        <f>IF(AND(_xlfn.XLOOKUP(_xlfn.XLOOKUP(B296,'Base stats'!B:B,'Base stats'!E:E),Groups!A:A,Groups!AS:AS)=1,OR(_xlfn.XLOOKUP(B296,'Base stats'!B:B,'Base stats'!Y:Y)="Carnivore",_xlfn.XLOOKUP(B296,'Base stats'!B:B,'Base stats'!Y:Y)="Omnivore")),"true","false")</f>
        <v>true</v>
      </c>
      <c r="BK296" s="2">
        <f>IF(BJ296="true",MROUND(IF(AND(AO296&gt;0.5,OR(_xlfn.XLOOKUP(_xlfn.XLOOKUP(B296,'Base stats'!B:B,'Base stats'!E:E),Groups!A:A,Groups!AJ:AJ)="Photonozoa",_xlfn.XLOOKUP(_xlfn.XLOOKUP(B296,'Base stats'!B:B,'Base stats'!E:E),Groups!A:A,Groups!AJ:AJ)="Mammal")),Animals!AO296*1.75*IF(AW296="true",1.5,1),IF(AO296&lt;0.5,Animals!AO296*0.5,Animals!AO296)),IF(AO296&gt;2,0.5,IF(AO296&gt;0.5,0.25,0.1))),"No")</f>
        <v>1</v>
      </c>
      <c r="BL296" s="2">
        <f t="shared" si="31"/>
        <v>0</v>
      </c>
      <c r="BM296" s="25" t="str">
        <f>IF(_xlfn.XLOOKUP(B296,'Base stats'!B:B,'Base stats'!AN:AN)="Standard","No",MROUND((_xlfn.XLOOKUP(B296,'Base stats'!B:B,'Base stats'!AN:AN)/3.6)/I296,0.1))</f>
        <v>No</v>
      </c>
      <c r="BN296" s="25" t="str">
        <f t="shared" si="32"/>
        <v>false</v>
      </c>
      <c r="BO296" s="25" t="str">
        <f>IF(AND(OR(_xlfn.XLOOKUP(B296,'Base stats'!B:B,'Base stats'!Y:Y)="Carnivore",_xlfn.XLOOKUP(B296,'Base stats'!B:B,'Base stats'!Y:Y)="Omnivore",_xlfn.XLOOKUP(B296,'Base stats'!B:B,'Base stats'!Y:Y)="OmnivoreRough"),_xlfn.XLOOKUP(_xlfn.XLOOKUP(B296,'Base stats'!B:B,'Base stats'!E:E),Groups!A:A,Groups!AT:AT)=1),"true","false")</f>
        <v>false</v>
      </c>
      <c r="BP296" s="25" t="str" cm="1">
        <f t="array" ref="BP296">IF(
  _xlfn.TEXTJOIN(", ",TRUE,
    IF(AND(BJ296="true",AO296&gt;0.5,BI296&lt;&gt;"None"),"AttackTarget",""),
    IF(AND(_xlfn.XLOOKUP(_xlfn.XLOOKUP(B296,'Base stats'!B:B,'Base stats'!E:E),Groups!A:A,Groups!AJ:AJ="Mammal"),OR(_xlfn.XLOOKUP(B296,'Base stats'!B:B,'Base stats'!Y:Y)="Omnivore",_xlfn.XLOOKUP(B296,'Base stats'!B:B,'Base stats'!Y:Y)="OmnivoreRough")),"Forage",""),
    IF(BG296&lt;=36,"Comfort",""),
    IF(_xlfn.XLOOKUP(B296,'Base stats'!B:B,'Base stats'!AE:AE)&lt;&gt;"No",_xlfn.XLOOKUP(B296,'Base stats'!B:B,'Base stats'!AE:AE),"")
  ) = "",
  "No",
  _xlfn.TEXTJOIN(", ",TRUE,
    IF(AND(BJ296="true",AO296&gt;0.5,BI296&lt;&gt;"None"),"AttackTarget",""),
    IF(AND(_xlfn.XLOOKUP(_xlfn.XLOOKUP(B296,'Base stats'!B:B,'Base stats'!E:E),Groups!A:A,Groups!AJ:AJ="Mammal"),OR(_xlfn.XLOOKUP(B296,'Base stats'!B:B,'Base stats'!Y:Y)="Omnivore",_xlfn.XLOOKUP(B296,'Base stats'!B:B,'Base stats'!Y:Y)="OmnivoreRough")),"Forage",""),
    IF(BG296&lt;=36,"Comfort",""),
    IF(_xlfn.XLOOKUP(B296,'Base stats'!B:B,'Base stats'!AE:AE)&lt;&gt;"No",_xlfn.XLOOKUP(B296,'Base stats'!B:B,'Base stats'!AE:AE),"")
  )
)</f>
        <v>Forage</v>
      </c>
      <c r="BQ296" s="25" t="str">
        <f>IF(
   AND(
      'Base stats'!AN296="Standard",_xlfn.XLOOKUP(_xlfn.XLOOKUP(B296,'Base stats'!B:B,'Base stats'!E:E),Groups!A:A,Groups!AU:AU)=0,
      OR(
      BO296="True"
      )
   ),
   10,
   IF(
       OR(BM296&lt;&gt;"No",_xlfn.XLOOKUP(_xlfn.XLOOKUP(B296,'Base stats'!B:B,'Base stats'!E:E),Groups!A:A,Groups!AU:AU)=1),
      1,
      "No"
   )
)</f>
        <v>No</v>
      </c>
      <c r="BR296" s="9">
        <f>MROUND((1 + ((0.2*IF(OR(Q296="No",R296="No",R296=0),0,Q296/R296)
+IF(OR(V296="No",S296="No",T296="No"),0,S296/T296*(LEN(V296)-LEN(SUBSTITUTE(V296,",",""))+1))
+IF(OR(X296="No",Y296="No"),0,X296/Y296)
+IF(OR(AD296="No",AE296="No"),0,AD296/AE296)
+IF(OR(AL296="No",AI296="No",AJ296="No"),0,AI296/AJ296*(LEN(AL296)-LEN(SUBSTITUTE(AL296,",",""))+1))
)/(0.2*IF(OR(Q296="No",R296="No",R296=0),0,1)
+IF(OR(V296="No",S296="No",T296="No"),0,LEN(V296)-LEN(SUBSTITUTE(V296,",",""))+1)
+IF(OR(X296="No",Y296="No"),0,1)
+IF(OR(AD296="No",AE296="No"),0,1)
+IF(OR(AL296="No",AI296="No",AJ296="No"),0,LEN(AL296)-LEN(SUBSTITUTE(AL296,",",""))+1))*62%)* 2)*(1 + (AP296 / (IF(_xlfn.XLOOKUP(_xlfn.XLOOKUP(B296,'Base stats'!B:B,'Base stats'!E:E),Groups!A:A,Groups!AJ:AJ)="Photonozoa",0.3,1)) + _xlfn.XLOOKUP(B296,'Base stats'!B:B,'Base stats'!AV:AV) * 1.8) * 2) * 2.5 + 10 + I296 * 2,5)+IF(_xlfn.XLOOKUP(B296,'Base stats'!B:B,'Base stats'!AK:AK)=1,50,0)</f>
        <v>145</v>
      </c>
      <c r="BS296" s="8">
        <f t="shared" si="33"/>
        <v>0.30000000000000004</v>
      </c>
      <c r="BT296" s="8" t="str">
        <f>_xlfn.XLOOKUP(B296,'Base stats'!B:B,'Base stats'!AF:AF)</f>
        <v>No</v>
      </c>
      <c r="BU296" s="2" t="str">
        <f>IF(AND(J296&lt;=0.95,OR(_xlfn.XLOOKUP(B296,'Base stats'!B:B,'Base stats'!AK:AK)=1,_xlfn.XLOOKUP(B296,'Base stats'!B:B,'Base stats'!Y:Y)="Carnivore",_xlfn.XLOOKUP(B296,'Base stats'!B:B,'Base stats'!Y:Y)="Omnivore",BE296&gt;0.1)),"true","false")</f>
        <v>true</v>
      </c>
      <c r="BV296" s="2" t="str">
        <f>IF(_xlfn.XLOOKUP(B296,'Base stats'!B:B,'Base stats'!AI:AI)=1,"true","false")</f>
        <v>false</v>
      </c>
      <c r="BW296" s="25" t="str">
        <f>IF(E296="BaseInsect","AnimalInsect",
IF(J296&gt;0.95,"AnimalExotic",
_xlfn.TEXTJOIN(", ",TRUE,
IF(OR(_xlfn.XLOOKUP(B296,'Base stats'!B:B,'Base stats'!AM:AM)=1,AND(_xlfn.XLOOKUP(B296,'Base stats'!B:B,'Base stats'!O:O)=0,_xlfn.XLOOKUP(_xlfn.XLOOKUP(B296,'Base stats'!B:B,'Base stats'!E:E),Groups!A:A,Groups!B:B)&gt;0)),"AnimalUncommon","AnimalCommon"),
IF(AND(_xlfn.XLOOKUP(B296,'Base stats'!B:B,'Base stats'!O:O)=2,_xlfn.XLOOKUP(_xlfn.XLOOKUP(B296,'Base stats'!B:B,'Base stats'!E:E),Groups!A:A,Groups!D:D)=0),"AnimalPet",IF(AND(_xlfn.XLOOKUP(B296,'Base stats'!B:B,'Base stats'!O:O)&lt;&gt;0,_xlfn.XLOOKUP(_xlfn.XLOOKUP(B296,'Base stats'!B:B,'Base stats'!E:E),Groups!A:A,Groups!D:D)&lt;&gt;0),"AnimalFarm","")),
IF(OR(_xlfn.XLOOKUP(B296,'Base stats'!B:B,'Base stats'!AK:AK)=1,AND(BI296&lt;&gt;"None",BR296&gt;=60),ISNUMBER(SEARCH("Attack target",BP296))),"AnimalFighter","")
)))</f>
        <v>AnimalUncommon</v>
      </c>
      <c r="BX296" s="25" t="str">
        <f>IF(G296="None",TRIM(
SUBSTITUTE(
IF(COUNTIF(Biomes!B$2:B$259,"="&amp;$C296)&gt;0,Biomes!B$1&amp;", ","")&amp;
IF(COUNTIF(Biomes!C$2:C$259,"="&amp;$C296)&gt;0,Biomes!C$1&amp;", ","")&amp;
IF(COUNTIF(Biomes!D$2:D$259,"="&amp;$C296)&gt;0,Biomes!D$1&amp;", ","")&amp;
IF(COUNTIF(Biomes!F$2:F$259,"="&amp;$C296)&gt;0,Biomes!F$1&amp;", ","")&amp;
IF(COUNTIF(Biomes!G$2:G$259,"="&amp;$C296)&gt;0,Biomes!G$1&amp;", ","")&amp;
IF(COUNTIF(Biomes!H$2:H$259,"="&amp;$C296)&gt;0,Biomes!H$1&amp;", ","")&amp;
IF(COUNTIF(Biomes!I$2:I$259,"="&amp;$C296)&gt;0,Biomes!I$1&amp;", ","")&amp;
IF(COUNTIF(Biomes!J$2:J$259,"="&amp;$C296)&gt;0,Biomes!J$1&amp;", ","")&amp;
IF(COUNTIF(Biomes!M$2:M$259,"="&amp;$C296)&gt;0,Biomes!M$1&amp;", ","")&amp;
IF(COUNTIF(Biomes!N$2:N$259,"="&amp;$C296)&gt;0,Biomes!N$1&amp;", ","")&amp;
IF(COUNTIF(Biomes!O$2:O$259,"="&amp;$C296)&gt;0,Biomes!O$1&amp;", ","")&amp;
IF(COUNTIF(Biomes!P$2:P$259,"="&amp;$C296)&gt;0,Biomes!P$1&amp;", ","")&amp;
IF(COUNTIF(Biomes!K$2:K$259,"="&amp;$C296)&gt;0,Biomes!K$1&amp;", ","")&amp;
IF(COUNTIF(Biomes!Q$3:Q$259,"="&amp;$C296)&gt;0,Biomes!Q$1&amp;", ","")&amp;
IF(COUNTIF(Biomes!L$2:L$259,"="&amp;$C296)&gt;0,Biomes!L$1&amp;", ","")&amp;
IF(COUNTIF(Biomes!E$2:E$259,"="&amp;$C296)&gt;0,Biomes!E$1&amp;", ","")&amp;IF(COUNTIF(Biomes!S$2:S$259,"="&amp;$C296)&gt;0,Biomes!S$1&amp;", ","")&amp;
IF(COUNTIF(Biomes!R$2:R$259,"="&amp;$C296)&gt;0,Biomes!R$1&amp;", ",""),", ","")
),_xlfn.XLOOKUP(B296,B:B,BX:BX))</f>
        <v/>
      </c>
      <c r="BY296" s="25" t="str">
        <f>IF(_xlfn.XLOOKUP(B296,'Base stats'!B:B,'Base stats'!AJ:AJ)=1,"true","false")</f>
        <v>false</v>
      </c>
      <c r="BZ296" s="25">
        <f>IF(_xlfn.XLOOKUP(B296,'Base stats'!B:B,'Base stats'!N:N)=1,"No",MAX(0.001,MIN(MROUND(IF(AND(BJ296="True",CC296="False"),POWER(10,3.47*LOG10(_xlfn.XLOOKUP(B296,'Base stats'!B:B,'Base stats'!C:C)*1000)^-0.96),POWER(10,4.15*LOG10(_xlfn.XLOOKUP(B296,'Base stats'!B:B,'Base stats'!C:C)*1000)^-0.73))*IF(_xlfn.XLOOKUP(B296,'Base stats'!B:B,'Base stats'!AK:AK)=1,0.5,1)*IF(_xlfn.XLOOKUP(B296,'Base stats'!B:B,'Base stats'!AM:AM)=1,0.1,1)/100,IF(_xlfn.XLOOKUP(B296,'Base stats'!B:B,'Base stats'!AM:AM)=1,0.001,0.025)),0.5)))</f>
        <v>2.1999999999999999E-2</v>
      </c>
      <c r="CA296" s="25">
        <f>IF(P296="Standard","No",MAX(0.001,MIN(MROUND(IF(AND(BJ296="True",CC296="False"),POWER(10,3.47*LOG10(_xlfn.XLOOKUP(B296,'Base stats'!B:B,'Base stats'!C:C)*1000)^-0.96),POWER(10,4.15*LOG10(_xlfn.XLOOKUP(B296,'Base stats'!B:B,'Base stats'!C:C)*1000)^-0.73))*IF(_xlfn.XLOOKUP(B296,'Base stats'!B:B,'Base stats'!AM:AM)=1,0.1,1)*_xlfn.XLOOKUP(B296,'Base stats'!B:B,'Base stats'!R:R)/100,IF(_xlfn.XLOOKUP(B296,'Base stats'!B:B,'Base stats'!AM:AM)=1,0.001,0.025)),0.5)))</f>
        <v>2.1999999999999999E-2</v>
      </c>
      <c r="CB296" s="25" t="str">
        <f>IF(_xlfn.XLOOKUP(_xlfn.XLOOKUP(B296,'Base stats'!B:B,'Base stats'!E:E),Groups!A:A,Groups!AJ:AJ)="Mammal","True","False")</f>
        <v>False</v>
      </c>
      <c r="CC296" s="25" t="str">
        <f>IF(OR(_xlfn.XLOOKUP(_xlfn.XLOOKUP(B296,'Base stats'!B:B,'Base stats'!E:E),Groups!A:A,Groups!AJ:AJ)="Reptile",_xlfn.XLOOKUP(_xlfn.XLOOKUP(B296,'Base stats'!B:B,'Base stats'!E:E),Groups!A:A,Groups!AJ:AJ)="Amphibian",_xlfn.XLOOKUP(_xlfn.XLOOKUP(B296,'Base stats'!B:B,'Base stats'!E:E),Groups!A:A,Groups!AJ:AJ)="Invertebrate"),"True","False")</f>
        <v>True</v>
      </c>
      <c r="CD296" s="25" t="str">
        <f t="shared" si="34"/>
        <v>False</v>
      </c>
      <c r="CE296" s="25" t="str">
        <f>IF(_xlfn.XLOOKUP(_xlfn.XLOOKUP(B296,'Base stats'!B:B,'Base stats'!E:E),Groups!A:A,Groups!AX:AX),"True","False")</f>
        <v>False</v>
      </c>
      <c r="CF296" s="25" t="str">
        <f>IF(_xlfn.XLOOKUP(_xlfn.XLOOKUP(B296,'Base stats'!B:B,'Base stats'!E:E),Groups!A:A,Groups!AY:AY),"True","False")</f>
        <v>False</v>
      </c>
      <c r="CG296" s="25" t="str">
        <f>IF(_xlfn.XLOOKUP(_xlfn.XLOOKUP(B296,'Base stats'!B:B,'Base stats'!E:E),Groups!A:A,Groups!AW:AW),"True","False")</f>
        <v>False</v>
      </c>
      <c r="CH296" s="25" t="str">
        <f>IF(
OR(
_xlfn.XLOOKUP(_xlfn.XLOOKUP(B296,'Base stats'!B:B,'Base stats'!E:E),Groups!A:A,Groups!AZ:AZ)=0,
AND(
_xlfn.XLOOKUP(B296,'Base stats'!B:B,'Base stats'!Y:Y)&lt;&gt;"Carnivore",
_xlfn.XLOOKUP(B296,'Base stats'!B:B,'Base stats'!Y:Y)&lt;&gt;"Omnivore",
_xlfn.XLOOKUP(B296,'Base stats'!B:B,'Base stats'!Y:Y)&lt;&gt;"OmnivoreRough"
)
),
"No",
IF(
_xlfn.XLOOKUP(_xlfn.XLOOKUP(B296,'Base stats'!B:B,'Base stats'!E:E),Groups!A:A,Groups!AZ:AZ)=1,
"Flesh",
IF(
_xlfn.XLOOKUP(_xlfn.XLOOKUP(B296,'Base stats'!B:B,'Base stats'!E:E),Groups!A:A,Groups!AZ:AZ)=2,
"Bone",
""
)
)
)</f>
        <v>No</v>
      </c>
      <c r="CI296" s="25" t="str">
        <f>IF(_xlfn.XLOOKUP(_xlfn.XLOOKUP(B296,'Base stats'!B:B,'Base stats'!E:E),Groups!A:A,Groups!BB:BB),"True","False")</f>
        <v>False</v>
      </c>
      <c r="CJ296" s="25" t="str">
        <f>IF(_xlfn.XLOOKUP(_xlfn.XLOOKUP(B296,'Base stats'!B:B,'Base stats'!E:E),Groups!A:A,Groups!BA:BA),"True","False")</f>
        <v>False</v>
      </c>
    </row>
    <row r="297" spans="1:88" ht="16.5" thickTop="1" thickBot="1" x14ac:dyDescent="0.3">
      <c r="A297" s="26" t="s">
        <v>1506</v>
      </c>
      <c r="B297" s="6" t="str">
        <f>_xlfn.XLOOKUP(A297,'Base stats'!A:A,'Base stats'!B:B)</f>
        <v>Metallophagus xenus</v>
      </c>
      <c r="C297" s="28" t="s">
        <v>1507</v>
      </c>
      <c r="D297" s="28" t="s">
        <v>1341</v>
      </c>
      <c r="E297" s="28" t="s">
        <v>1747</v>
      </c>
      <c r="F297" s="28" t="s">
        <v>673</v>
      </c>
      <c r="G297" s="28" t="s">
        <v>673</v>
      </c>
      <c r="H297" s="2">
        <f>MROUND((
  (IF(AND(_xlfn.XLOOKUP(B297,'Base stats'!B:B,'Base stats'!AL:AL)=0,BI297="None",_xlfn.XLOOKUP(_xlfn.XLOOKUP(B297,'Base stats'!B:B,'Base stats'!E:E),Groups!A:A,Groups!B:B)=0), (18 + BR297 * 2.7) * 0.5,
    IF(AND(_xlfn.XLOOKUP(B297,'Base stats'!B:B,'Base stats'!AL:AL)=0,OR(AO297&lt;0.55,AND(BI297="Intermediate",_xlfn.XLOOKUP(_xlfn.XLOOKUP(B297,'Base stats'!B:B,'Base stats'!E:E),Groups!A:A,Groups!B:B)&lt;2))), (18 + BR297 * 2.7),
      IF(OR(BI297="Advanced",_xlfn.XLOOKUP(B297,'Base stats'!B:B,'Base stats'!AL:AL)=1,_xlfn.XLOOKUP(_xlfn.XLOOKUP(B297,'Base stats'!B:B,'Base stats'!E:E),Groups!A:A,Groups!B:B)=2), (18 + BR297 * 2.7) + 250, (18 + BR297 * 2.7))
    )
  ))
  + AO297 * 80
  + IF(COUNTIF(EggMilk!K$2:K$998, A297) &gt; 0, 125, 0)
  + IF(COUNTIF(EggMilk!P$2:P$998, A297) &gt; 0, 90, 0)
  + IF(COUNTIF(EggMilk!A$2:A$998, A297) &gt; 0, 90, 0)
)
* (0.8 + 0.4 * J297)
* 0.75,25)</f>
        <v>275</v>
      </c>
      <c r="I297" s="2">
        <f>MROUND(ROUNDDOWN(_xlfn.XLOOKUP(B297,'Base stats'!B:B,'Base stats'!L:L)/3.6/(23.3/11),1),0.5)</f>
        <v>3</v>
      </c>
      <c r="J297" s="2">
        <f>IF(OR(_xlfn.XLOOKUP(B297,'Base stats'!B:B,'Base stats'!AB:AB)=1,_xlfn.XLOOKUP(_xlfn.XLOOKUP(B297,'Base stats'!B:B,'Base stats'!E:E),Groups!A:A,Groups!C:C)="Untamable"),1,IF(_xlfn.XLOOKUP(B297,'Base stats'!B:B,'Base stats'!AL:AL)=1,0.99,MIN(MROUND((1-0.6282*EXP(-0.459*AO297))*_xlfn.XLOOKUP(_xlfn.XLOOKUP(B297,'Base stats'!B:B,'Base stats'!E:E),Groups!A:A,Groups!C:C)*IF(_xlfn.XLOOKUP(B297,'Base stats'!B:B,'Base stats'!O:O)=1,0.5,IF(_xlfn.XLOOKUP(B297,'Base stats'!B:B,'Base stats'!O:O)=2,0,1)),0.05),IF(AO297&gt;3.5,0.985,0.95))))</f>
        <v>0.60000000000000009</v>
      </c>
      <c r="K297" s="2">
        <f>ROUNDUP(AO297*_xlfn.XLOOKUP(_xlfn.XLOOKUP(B297,'Base stats'!B:B,'Base stats'!E:E),Groups!A:A,Groups!E:E),0)</f>
        <v>1</v>
      </c>
      <c r="L297" s="2">
        <f>IF(OR(_xlfn.XLOOKUP(_xlfn.XLOOKUP(B297,'Base stats'!B:B,'Base stats'!E:E),Groups!A:A,Groups!F:F)=2,ISNUMBER(SEARCH("SeaIce",BX297)),ISNUMBER(SEARCH("IceSheet",BX297))),-50,IF(OR(ISNUMBER(SEARCH("GlacialPlain",BX297)),ISNUMBER(SEARCH("Tundra",BX297))),-40,IF(OR(ISNUMBER(SEARCH("Alpine",BX297)),ISNUMBER(SEARCH("BorealForest",BX297)),ISNUMBER(SEARCH("ColdBog",BX297))),-30,IF(OR(ISNUMBER(SEARCH("TemperateForest",BX297)),ISNUMBER(SEARCH("TemperateSwamp",BX297))),-20,IF(_xlfn.XLOOKUP(_xlfn.XLOOKUP(B297,'Base stats'!B:B,'Base stats'!E:E),Groups!A:A,Groups!F:F)=1,-15,IF(OR(ISNUMBER(SEARCH("Desert",BX297)),ISNUMBER(SEARCH("ExtremeDesert",BX297))),-10,IF(OR(ISNUMBER(SEARCH("Grasslands",BX297)),ISNUMBER(SEARCH("TropicalRainforest",BX297)),ISNUMBER(SEARCH("TropicalSwamp",BX297))),10,0)))))))-IF(CC297="False",MIN(IFERROR(MAX(MROUND(LOG10(_xlfn.XLOOKUP(B297,'Base stats'!B:B,'Base stats'!C:C)^(2/3))*10,5),5),5),30))-_xlfn.XLOOKUP(B297,'Base stats'!B:B,'Base stats'!P:P)+IF(CC297="True",5,0)</f>
        <v>5</v>
      </c>
      <c r="M297" s="2">
        <f>IF(OR(_xlfn.XLOOKUP(_xlfn.XLOOKUP(B297,'Base stats'!B:B,'Base stats'!E:E),Groups!A:A,Groups!G:G)=2,ISNUMBER(SEARCH("Desert",BX297)),ISNUMBER(SEARCH("ExtremeDesert",BX297)),ISNUMBER(SEARCH("LavaField",BX297))),50,IF(ISNUMBER(SEARCH("Grasslands",BX297)),45,IF(OR(_xlfn.XLOOKUP(_xlfn.XLOOKUP(B297,'Base stats'!B:B,'Base stats'!E:E),Groups!A:A,Groups!G:G)=1,ISNUMBER(SEARCH("TropicalRainforest",BX297)),ISNUMBER(SEARCH("TropicalSwamp",BX297))),40,IF(OR(ISNUMBER(SEARCH("TemperateForest",BX297)),ISNUMBER(SEARCH("TemperateSwamp",BX297))),35,IF(OR(ISNUMBER(SEARCH("Alpine",BX297)),ISNUMBER(SEARCH("BorealForest",BX297)),ISNUMBER(SEARCH("ColdBog",BX297))),30,IF(ISNUMBER(OR(ISNUMBER(SEARCH("GlacialPlain",BX297)),SEARCH("Tundra",BX297))),25,IF(OR(ISNUMBER(SEARCH("SeaIce",BX297)),ISNUMBER(SEARCH("IceSheet",BX297)),ISNUMBER(SEARCH("TropicalSwamp",BX297))),10,35)))))))+_xlfn.XLOOKUP(B297,'Base stats'!B:B,'Base stats'!Q:Q)</f>
        <v>50</v>
      </c>
      <c r="N297" s="8">
        <f>IF(
_xlfn.XLOOKUP(
_xlfn.XLOOKUP(B297,'Base stats'!B:B,'Base stats'!E:E),
Groups!A:A,
Groups!L:L
)=1,
MIN(
MROUND(
IF(
_xlfn.XLOOKUP(B297,'Animals CE'!B:B,'Animals CE'!Z:Z)&lt;=1.5,
_xlfn.XLOOKUP(B297,'Animals CE'!B:B,'Animals CE'!Z:Z)/2+0.05,
0.8+
(_xlfn.XLOOKUP(B297,'Animals CE'!B:B,'Animals CE'!Z:Z)-1.5)
*0.02
),
0.05
),
200%
),
"No"
)</f>
        <v>0.5</v>
      </c>
      <c r="O297" s="8">
        <f>IF(
_xlfn.XLOOKUP(
_xlfn.XLOOKUP(B297,'Base stats'!B:B,'Base stats'!E:E),
Groups!A:A,
Groups!L:L
)=1,
MIN(
MROUND(
IF(
_xlfn.XLOOKUP(B297,'Animals CE'!B:B,'Animals CE'!AA:AA)&lt;=1.5,
_xlfn.XLOOKUP(B297,'Animals CE'!B:B,'Animals CE'!AA:AA)/2+0.05,
0.8+
(_xlfn.XLOOKUP(B297,'Animals CE'!B:B,'Animals CE'!AA:AA)-1.5)
*0.02
),
0.05
),
200%
),
"No"
)</f>
        <v>0.1</v>
      </c>
      <c r="P297" s="2">
        <f>_xlfn.XLOOKUP(B297,'Base stats'!B:B,'Base stats'!R:R)</f>
        <v>0.8</v>
      </c>
      <c r="Q297" s="13">
        <f>MROUND((LOG10(_xlfn.XLOOKUP(B297,'Base stats'!B:B,'Base stats'!AR:AR))*(AO297^0.5)+(_xlfn.XLOOKUP(B297,'Base stats'!B:B,'Base stats'!AR:AR)/1000)^(2/3)+_xlfn.XLOOKUP(B297,'Base stats'!B:B,'Base stats'!BA:BA)/2)+0.5,0.5)</f>
        <v>6</v>
      </c>
      <c r="R297" s="7">
        <f>IF(Q297="No","No",MAX(1,MROUND(_xlfn.XLOOKUP(B297,'Base stats'!B:B,'Base stats'!C:C)^0.165,0.05)))</f>
        <v>1.85</v>
      </c>
      <c r="S297" s="13" t="str">
        <f>IF(_xlfn.XLOOKUP(_xlfn.XLOOKUP(B297,'Base stats'!B:B,'Base stats'!E:E),Groups!A:A,Groups!P:P)=0,"No",MROUND((LOG10(_xlfn.XLOOKUP(B297,'Base stats'!B:B,'Base stats'!AS:AS))*(AO297^0.5)+(_xlfn.XLOOKUP(B297,'Base stats'!B:B,'Base stats'!AS:AS)/1000)^(2/3)+_xlfn.XLOOKUP(B297,'Base stats'!B:B,'Base stats'!BA:BA))+_xlfn.XLOOKUP(B297,'Base stats'!B:B,'Base stats'!AY:AY)+0.5,0.5))</f>
        <v>No</v>
      </c>
      <c r="T297" s="7" t="str">
        <f>IF(S297="No","No",MAX(_xlfn.XLOOKUP(_xlfn.XLOOKUP(B297,'Base stats'!B:B,'Base stats'!E:E),Groups!A:A,Groups!Q:Q),MROUND(_xlfn.XLOOKUP(_xlfn.XLOOKUP(B297,'Base stats'!B:B,'Base stats'!E:E),Groups!A:A,Groups!Q:Q)*_xlfn.XLOOKUP(B297,'Base stats'!B:B,'Base stats'!C:C)^0.165,0.05)))</f>
        <v>No</v>
      </c>
      <c r="U297" s="7" t="str">
        <f>IF(S297="No","No",_xlfn.XLOOKUP(_xlfn.XLOOKUP(B297,'Base stats'!B:B,'Base stats'!E:E),Groups!A:A,Groups!R:R))</f>
        <v>No</v>
      </c>
      <c r="V297" s="7" t="str">
        <f>IF(S297="No","No",_xlfn.XLOOKUP(_xlfn.XLOOKUP(B297,'Base stats'!B:B,'Base stats'!E:E),Groups!A:A,Groups!S:S))</f>
        <v>No</v>
      </c>
      <c r="W297" s="7" t="str">
        <f>IF(S297="No","No",_xlfn.XLOOKUP(_xlfn.XLOOKUP(B297,'Base stats'!B:B,'Base stats'!E:E),Groups!A:A,Groups!T:T))</f>
        <v>No</v>
      </c>
      <c r="X297" s="13" t="str">
        <f>IF(_xlfn.XLOOKUP(B297,'Base stats'!B:B,'Base stats'!W:W)="No","No",MROUND((LOG10(_xlfn.XLOOKUP(B297,'Base stats'!B:B,'Base stats'!AU:AU))*(AO297^0.5)+(_xlfn.XLOOKUP(B297,'Base stats'!B:B,'Base stats'!AU:AU)/1000)^(2/3)+_xlfn.XLOOKUP(B297,'Base stats'!B:B,'Base stats'!AZ:AZ))+0.5+IF(_xlfn.XLOOKUP(_xlfn.XLOOKUP(B297,'Base stats'!B:B,'Base stats'!E:E),Groups!A:A,Groups!U:U)&lt;&gt;3,_xlfn.XLOOKUP(B297,'Base stats'!B:B,'Base stats'!BA:BA),0),0.5))</f>
        <v>No</v>
      </c>
      <c r="Y297" s="7" t="str">
        <f>IF(X297="No","No",MAX(_xlfn.XLOOKUP(_xlfn.XLOOKUP(B297,'Base stats'!B:B,'Base stats'!E:E),Groups!A:A,Groups!V:V),MROUND(_xlfn.XLOOKUP(_xlfn.XLOOKUP(B297,'Base stats'!B:B,'Base stats'!E:E),Groups!A:A,Groups!V:V)*_xlfn.XLOOKUP(B297,'Base stats'!B:B,'Base stats'!C:C)^0.165,0.05)))</f>
        <v>No</v>
      </c>
      <c r="Z297" s="7" t="str">
        <f>IF(X297="No","No",_xlfn.XLOOKUP(_xlfn.XLOOKUP(B297,'Base stats'!B:B,'Base stats'!E:E),Groups!A:A,Groups!W:W))</f>
        <v>No</v>
      </c>
      <c r="AA297" s="7" t="str">
        <f>IF(X297="No","No",_xlfn.XLOOKUP(_xlfn.XLOOKUP(B297,'Base stats'!B:B,'Base stats'!E:E),Groups!A:A,Groups!X:X))</f>
        <v>No</v>
      </c>
      <c r="AB297" s="7" t="str">
        <f>IF(X297="No","No",_xlfn.XLOOKUP(_xlfn.XLOOKUP(B297,'Base stats'!B:B,'Base stats'!E:E),Groups!A:A,Groups!Y:Y))</f>
        <v>No</v>
      </c>
      <c r="AC297" s="7" t="str">
        <f>_xlfn.XLOOKUP(Animals!B297,'Base stats'!B:B,'Base stats'!X:X)</f>
        <v>False</v>
      </c>
      <c r="AD297" s="13">
        <f>IF(_xlfn.XLOOKUP(B297,'Base stats'!B:B,'Base stats'!AT:AT)="No","No",MROUND((LOG10(_xlfn.XLOOKUP(B297,'Base stats'!B:B,'Base stats'!AT:AT))*(AO297^0.75)+(_xlfn.XLOOKUP(B297,'Base stats'!B:B,'Base stats'!AT:AT)/1000)^(2/3)+_xlfn.XLOOKUP(B297,'Base stats'!B:B,'Base stats'!AX:AX)+_xlfn.XLOOKUP(B297,'Base stats'!B:B,'Base stats'!BA:BA))+0.5,0.5))</f>
        <v>15</v>
      </c>
      <c r="AE297" s="7">
        <f>IF(AD297="No","No",MAX(_xlfn.XLOOKUP(_xlfn.XLOOKUP(B297,'Base stats'!B:B,'Base stats'!E:E),Groups!A:A,Groups!Z:Z),MROUND(_xlfn.XLOOKUP(_xlfn.XLOOKUP(B297,'Base stats'!B:B,'Base stats'!E:E),Groups!A:A,Groups!Z:Z)*_xlfn.XLOOKUP(B297,'Base stats'!B:B,'Base stats'!C:C)^0.165,0.05)))</f>
        <v>2.25</v>
      </c>
      <c r="AF297" s="7" t="str">
        <f>IF(AD297="No","No",_xlfn.XLOOKUP(_xlfn.XLOOKUP(B297,'Base stats'!B:B,'Base stats'!E:E),Groups!A:A,Groups!AA:AA))</f>
        <v>Mouth</v>
      </c>
      <c r="AG297" s="7" t="str">
        <f>IF(AD297="No","No",_xlfn.XLOOKUP(_xlfn.XLOOKUP(B297,'Base stats'!B:B,'Base stats'!E:E),Groups!A:A,Groups!AB:AB))</f>
        <v>mandibles</v>
      </c>
      <c r="AH297" s="7" t="str">
        <f>IF(AD297="No","No",_xlfn.XLOOKUP(_xlfn.XLOOKUP(B297,'Base stats'!B:B,'Base stats'!E:E),Groups!A:A,Groups!AC:AC))</f>
        <v>Bite</v>
      </c>
      <c r="AI297" s="13" t="str">
        <f>IF(_xlfn.XLOOKUP(_xlfn.XLOOKUP(B297,'Base stats'!B:B,'Base stats'!E:E),Groups!A:A,Groups!AD:AD)=0,"No",MROUND((LOG10(_xlfn.XLOOKUP(B297,'Base stats'!B:B,'Base stats'!AS:AS))*(AO297^0.75)+(_xlfn.XLOOKUP(B297,'Base stats'!B:B,'Base stats'!AS:AS)/1000)^(2/3)+_xlfn.XLOOKUP(B297,'Base stats'!B:B,'Base stats'!AY:AY)+_xlfn.XLOOKUP(B297,'Base stats'!B:B,'Base stats'!BA:BA))+0.5,0.5))</f>
        <v>No</v>
      </c>
      <c r="AJ297" s="7" t="str">
        <f>IF(AI297="No","No",MAX(_xlfn.XLOOKUP(_xlfn.XLOOKUP(B297,'Base stats'!B:B,'Base stats'!E:E),Groups!A:A,Groups!AE:AE),MROUND(_xlfn.XLOOKUP(_xlfn.XLOOKUP(B297,'Base stats'!B:B,'Base stats'!E:E),Groups!A:A,Groups!AE:AE)*IF(_xlfn.XLOOKUP(_xlfn.XLOOKUP(B297,'Base stats'!B:B,'Base stats'!E:E),Groups!A:A,Groups!AJ:AJ)="Photonozoa",0.6,1)*_xlfn.XLOOKUP(B297,'Base stats'!B:B,'Base stats'!C:C)^0.165,0.05)))</f>
        <v>No</v>
      </c>
      <c r="AK297" s="7" t="str">
        <f>IF(AI297="No","No",_xlfn.XLOOKUP(_xlfn.XLOOKUP(B297,'Base stats'!B:B,'Base stats'!E:E),Groups!A:A,Groups!AF:AF))</f>
        <v>No</v>
      </c>
      <c r="AL297" s="7" t="str">
        <f>IF(AI297="No","No",_xlfn.XLOOKUP(_xlfn.XLOOKUP(B297,'Base stats'!B:B,'Base stats'!E:E),Groups!A:A,Groups!AG:AG))</f>
        <v>No</v>
      </c>
      <c r="AM297" s="7" t="str">
        <f>IF(AI297="No","No",_xlfn.XLOOKUP(_xlfn.XLOOKUP(B297,'Base stats'!B:B,'Base stats'!E:E),Groups!A:A,Groups!AH:AH))</f>
        <v>No</v>
      </c>
      <c r="AN297" s="2" t="str">
        <f t="shared" si="28"/>
        <v>No</v>
      </c>
      <c r="AO297" s="2">
        <f>MROUND(IF(AND(_xlfn.XLOOKUP(B297,'Base stats'!B:B,'Base stats'!C:C)&gt;=0.5,_xlfn.XLOOKUP(B297,'Base stats'!B:B,'Base stats'!C:C)&lt;=0.8),
IF(_xlfn.XLOOKUP(B297,'Base stats'!B:B,'Base stats'!C:C)&lt;0.1,0.05,IF(_xlfn.XLOOKUP(B297,'Base stats'!B:B,'Base stats'!C:C)&lt;=70,(_xlfn.XLOOKUP(B297,'Base stats'!B:B,'Base stats'!C:C)/70)^0.426489913056526,IF(_xlfn.XLOOKUP(B297,'Base stats'!B:B,'Base stats'!C:C)&lt;=400,(_xlfn.XLOOKUP(B297,'Base stats'!B:B,'Base stats'!C:C)/70)^0.572811455315093,IF(_xlfn.XLOOKUP(B297,'Base stats'!B:B,'Base stats'!C:C)&lt;=2000,2.71391647193063*(_xlfn.XLOOKUP(B297,'Base stats'!B:B,'Base stats'!C:C)/400)^0.252459582904293,3.74314280240376*(_xlfn.XLOOKUP(B297,'Base stats'!B:B,'Base stats'!C:C)/2000)^0.357012633876913)))),
IF(_xlfn.XLOOKUP(B297,'Base stats'!B:B,'Base stats'!C:C)&lt;0.1,0.05,IF(_xlfn.XLOOKUP(B297,'Base stats'!B:B,'Base stats'!C:C)&lt;0.4,0.1,IF(_xlfn.XLOOKUP(B297,'Base stats'!B:B,'Base stats'!C:C)&lt;=70,(_xlfn.XLOOKUP(B297,'Base stats'!B:B,'Base stats'!C:C)/70)^0.445823913056526,IF(_xlfn.XLOOKUP(B297,'Base stats'!B:B,'Base stats'!C:C)&lt;=400,(_xlfn.XLOOKUP(B297,'Base stats'!B:B,'Base stats'!C:C)/70)^0.572811455315093,IF(_xlfn.XLOOKUP(B297,'Base stats'!B:B,'Base stats'!C:C)&lt;=2000,2.71391647193063*(_xlfn.XLOOKUP(B297,'Base stats'!B:B,'Base stats'!C:C)/400)^0.252459582904293,3.74314280240376*(_xlfn.XLOOKUP(B297,'Base stats'!B:B,'Base stats'!C:C)/2000)^0.357012633876913)))))),
IF(_xlfn.XLOOKUP(B297,'Base stats'!B:B,'Base stats'!C:C)&lt;0.1,0.05,IF(_xlfn.XLOOKUP(B297,'Base stats'!B:B,'Base stats'!C:C)&lt;=100,0.05,IF(_xlfn.XLOOKUP(B297,'Base stats'!B:B,'Base stats'!C:C)&lt;=250,0.1,IF(_xlfn.XLOOKUP(B297,'Base stats'!B:B,'Base stats'!C:C)&lt;=4000,0.25,0.5)))))</f>
        <v>0.8</v>
      </c>
      <c r="AP297" s="8">
        <f>MROUND(AO297*_xlfn.XLOOKUP(_xlfn.XLOOKUP(B297,'Base stats'!B:B,'Base stats'!E:E),Groups!A:A,Groups!AI:AI)*_xlfn.XLOOKUP(B297,'Base stats'!B:B,'Base stats'!Z:Z),0.05)</f>
        <v>0.8</v>
      </c>
      <c r="AQ297" s="8">
        <f>MAX(0.01,MROUND(IF(CC297="True",0.196*(AO297*100*1000)^0.889,IF(_xlfn.XLOOKUP(_xlfn.XLOOKUP(B297,'Base stats'!B:B,'Base stats'!E:E),Groups!A:A,Groups!AJ:AJ)="Bird",10.5*(AO297*100*1000)^0.681,4.82*(AO297*100*1000)^0.734))/(4.82*(1*100*1000)^0.734)/IF(AO297&lt;3.5,2,IF(AO297=3.5,1.5,1.25))*(1+0.132282374779864/(AO297^0.994035016789033+0.00905238001496948)),0.05))</f>
        <v>0.1</v>
      </c>
      <c r="AR297" s="9">
        <f>IFERROR(MROUND(_xlfn.XLOOKUP(B297,'Base stats'!B:B,'Base stats'!H:H)/IF(_xlfn.XLOOKUP(B297,'Base stats'!B:B,'Base stats'!I:I)&lt;&gt;1,(122.5/70),1.2),IF(_xlfn.XLOOKUP(B297,'Base stats'!B:B,'Base stats'!H:H)&gt;=30,5,IF(_xlfn.XLOOKUP(B297,'Base stats'!B:B,'Base stats'!H:H)&gt;=15,3,IF(_xlfn.XLOOKUP(B297,'Base stats'!B:B,'Base stats'!H:H)&gt;=10,2,1)))),"Immortal")</f>
        <v>6</v>
      </c>
      <c r="AS297" s="35">
        <f>IFERROR(IF(OR(_xlfn.XLOOKUP(B297,'Base stats'!B:B,'Base stats'!F:F)="Atypical reproduction",_xlfn.XLOOKUP(B297,'Base stats'!B:B,'Base stats'!F:F)="Lay eggs"),"Lay eggs",MIN(20,MAX(5.5,ROUND(((_xlfn.XLOOKUP(B297,'Base stats'!B:B,'Base stats'!F:F)-25)*(14.5/615) + 5.5)*2,0)/2))),"Unknown")</f>
        <v>8</v>
      </c>
      <c r="AT297" s="8">
        <f>IF(_xlfn.XLOOKUP(B297,'Base stats'!B:B,'Base stats'!G:G)="Atypical reproduction","No",IFERROR(MAX(IF(_xlfn.XLOOKUP(B297,'Base stats'!B:B,'Base stats'!G:G)&lt;0.5,0.2,0.3),MROUND(_xlfn.XLOOKUP(B297,'Base stats'!B:B,'Base stats'!G:G)/(365/60),0.2)),"Unknown"))</f>
        <v>0.4</v>
      </c>
      <c r="AU297" s="8">
        <f t="shared" si="29"/>
        <v>0.2</v>
      </c>
      <c r="AV297" s="8">
        <f>IFERROR(IFERROR(MROUND(_xlfn.XLOOKUP(B297,'Base stats'!B:B,'Base stats'!J:J),0.1),"Lay eggs"),"Cannot breed")</f>
        <v>1</v>
      </c>
      <c r="AW297" s="2" t="str">
        <f t="shared" si="30"/>
        <v>false</v>
      </c>
      <c r="AX297" s="2" t="str">
        <f>IF(_xlfn.XLOOKUP(_xlfn.XLOOKUP(Animals!B297,'Base stats'!B:B,'Base stats'!E:E),Groups!A:A,Groups!AK:AK)=1,"true","false")</f>
        <v>false</v>
      </c>
      <c r="AY297" s="25" t="str">
        <f>IF(_xlfn.XLOOKUP(B297,'Base stats'!B:B,'Base stats'!Y:Y)="Liquor","Liquor, CarnivoreAnimalStrict",IF(AND(_xlfn.XLOOKUP(B297,'Base stats'!B:B,'Base stats'!Y:Y)="Carnivore",_xlfn.XLOOKUP(_xlfn.XLOOKUP(B297,'Base stats'!B:B,'Base stats'!E:E),Groups!A:A,Groups!AJ:AJ)="Photonozoa"),"CarnivoreAnimalStrict, OvivoreAnimal",IF(_xlfn.XLOOKUP(B297,'Base stats'!B:B,'Base stats'!Y:Y)="Carnivore","CarnivoreAnimal, OvivoreAnimal",IF(_xlfn.XLOOKUP(B297,'Base stats'!B:B,'Base stats'!Y:Y)="Dendrovore","VegetarianRoughAnimal, DendrovoreAnimal",IF(_xlfn.XLOOKUP(B297,'Base stats'!B:B,'Base stats'!Y:Y)="Herbivore","VegetarianRoughAnimal",IF(_xlfn.XLOOKUP(B297,'Base stats'!B:B,'Base stats'!Y:Y)="OmnivoreRough","OmnivoreRoughAnimal, OvivoreAnimal","OmnivoreAnimal, OvivoreAnimal"))))))</f>
        <v>VegetarianRoughAnimal</v>
      </c>
      <c r="AZ297" s="2">
        <f>IF(_xlfn.XLOOKUP(_xlfn.XLOOKUP(B297,'Base stats'!B:B,'Base stats'!E:E),Groups!A:A,Groups!D:D)=1,MROUND((1-J297)*5+1,2)*IF(J297&lt;=0.4,2,1),"No")</f>
        <v>4</v>
      </c>
      <c r="BA297" s="2" t="str">
        <f>IF(AND(_xlfn.XLOOKUP(B297,'Base stats'!B:B,'Base stats'!AH:AH)="&lt;li&gt;Seal&lt;/li&gt;",G297="Odyssey"),"&lt;li&gt;AEXP_Seal&lt;/li&gt;",_xlfn.XLOOKUP(B297,'Base stats'!B:B,'Base stats'!AH:AH))</f>
        <v>&lt;li&gt;Megaspider&lt;/li&gt;</v>
      </c>
      <c r="BB297" s="2" t="str">
        <f>_xlfn.XLOOKUP(B297,'Base stats'!B:B,'Base stats'!AG:AG)</f>
        <v>Leather_Chitin</v>
      </c>
      <c r="BC297" s="23" t="str">
        <f>_xlfn.XLOOKUP(_xlfn.XLOOKUP(B297,'Base stats'!B:B,'Base stats'!E:E),Groups!A:A,Groups!AL:AL)</f>
        <v>BeetleLike</v>
      </c>
      <c r="BD297" s="23">
        <f>MIN(1,MROUND(IF(AND(AO297&lt;0.5,_xlfn.XLOOKUP(B297,'Base stats'!B:B,'Base stats'!AA:AA)=0),0,IF(OR(_xlfn.XLOOKUP(Animals!B297,'Base stats'!B:B,'Base stats'!O:O)=2,_xlfn.XLOOKUP(_xlfn.XLOOKUP(B297,'Base stats'!B:B,'Base stats'!E:E),Groups!A:A,Groups!AN:AN)=0),0,_xlfn.XLOOKUP(_xlfn.XLOOKUP(B297,'Base stats'!B:B,'Base stats'!E:E),Groups!A:A,Groups!AN:AN)/IF(_xlfn.XLOOKUP(Animals!B297,'Base stats'!B:B,'Base stats'!O:O)=1,2,1)))+_xlfn.XLOOKUP(B297,'Base stats'!B:B,'Base stats'!AC:AC),0.005))</f>
        <v>0.1</v>
      </c>
      <c r="BE297" s="23">
        <f>MIN(1,MROUND(IF(AND(AO297&lt;0.5,_xlfn.XLOOKUP(B297,'Base stats'!B:B,'Base stats'!AA:AA)=0),0,IF(_xlfn.XLOOKUP(_xlfn.XLOOKUP(B297,'Base stats'!B:B,'Base stats'!E:E),Groups!A:A,Groups!AO:AO)=0,0,_xlfn.XLOOKUP(_xlfn.XLOOKUP(B297,'Base stats'!B:B,'Base stats'!E:E),Groups!A:A,Groups!AO:AO)/IF(_xlfn.XLOOKUP(Animals!B297,'Base stats'!B:B,'Base stats'!O:O)=2,3,1)))+_xlfn.XLOOKUP(B297,'Base stats'!B:B,'Base stats'!AD:AD),0.005))</f>
        <v>0.3</v>
      </c>
      <c r="BF297" s="2" t="str">
        <f>IF(J297&gt;0.3,"No",_xlfn.XLOOKUP(_xlfn.XLOOKUP(Animals!B297,'Base stats'!B:B,'Base stats'!E:E),Groups!A:A,Groups!AP:AP))</f>
        <v>No</v>
      </c>
      <c r="BG297" s="2" t="str">
        <f>IF(AND(J297&lt;=0.65,_xlfn.XLOOKUP(_xlfn.XLOOKUP(Animals!B297,'Base stats'!B:B,'Base stats'!E:E),Groups!A:A,Groups!AP:AP)&lt;&gt;"No",_xlfn.XLOOKUP(_xlfn.XLOOKUP(B297,'Base stats'!B:B,'Base stats'!E:E),Groups!A:A,Groups!D:D)=0),MROUND((80/3)*IF(_xlfn.XLOOKUP(B297,'Base stats'!B:B,'Base stats'!O:O)=2,0.2,AO297) + 24*(1-IF(BF297="No",0,BF297)) + 16/3, 12),"No")</f>
        <v>No</v>
      </c>
      <c r="BH297" s="2">
        <f>IF(AND(_xlfn.XLOOKUP(_xlfn.XLOOKUP(B297,'Base stats'!B:B,'Base stats'!E:E),Groups!A:A,Groups!AQ:AQ)=1,AO297&lt;=0.35),8,12)</f>
        <v>12</v>
      </c>
      <c r="BI297" s="2" t="str">
        <f>IF(_xlfn.XLOOKUP(_xlfn.XLOOKUP(B297,'Base stats'!B:B,'Base stats'!E:E),Groups!A:A,Groups!D:D)=0,_xlfn.XLOOKUP(_xlfn.XLOOKUP(B297,'Base stats'!B:B,'Base stats'!E:E),Groups!A:A,Groups!AR:AR),"None")</f>
        <v>None</v>
      </c>
      <c r="BJ297" s="2" t="str">
        <f>IF(AND(_xlfn.XLOOKUP(_xlfn.XLOOKUP(B297,'Base stats'!B:B,'Base stats'!E:E),Groups!A:A,Groups!AS:AS)=1,OR(_xlfn.XLOOKUP(B297,'Base stats'!B:B,'Base stats'!Y:Y)="Carnivore",_xlfn.XLOOKUP(B297,'Base stats'!B:B,'Base stats'!Y:Y)="Omnivore")),"true","false")</f>
        <v>false</v>
      </c>
      <c r="BK297" s="2" t="str">
        <f>IF(BJ297="true",MROUND(IF(AND(AO297&gt;0.5,OR(_xlfn.XLOOKUP(_xlfn.XLOOKUP(B297,'Base stats'!B:B,'Base stats'!E:E),Groups!A:A,Groups!AJ:AJ)="Photonozoa",_xlfn.XLOOKUP(_xlfn.XLOOKUP(B297,'Base stats'!B:B,'Base stats'!E:E),Groups!A:A,Groups!AJ:AJ)="Mammal")),Animals!AO297*1.75*IF(AW297="true",1.5,1),IF(AO297&lt;0.5,Animals!AO297*0.5,Animals!AO297)),IF(AO297&gt;2,0.5,IF(AO297&gt;0.5,0.25,0.1))),"No")</f>
        <v>No</v>
      </c>
      <c r="BL297" s="2">
        <f t="shared" si="31"/>
        <v>0</v>
      </c>
      <c r="BM297" s="25" t="str">
        <f>IF(_xlfn.XLOOKUP(B297,'Base stats'!B:B,'Base stats'!AN:AN)="Standard","No",MROUND((_xlfn.XLOOKUP(B297,'Base stats'!B:B,'Base stats'!AN:AN)/3.6)/I297,0.1))</f>
        <v>No</v>
      </c>
      <c r="BN297" s="25" t="str">
        <f t="shared" si="32"/>
        <v>false</v>
      </c>
      <c r="BO297" s="25" t="str">
        <f>IF(AND(OR(_xlfn.XLOOKUP(B297,'Base stats'!B:B,'Base stats'!Y:Y)="Carnivore",_xlfn.XLOOKUP(B297,'Base stats'!B:B,'Base stats'!Y:Y)="Omnivore",_xlfn.XLOOKUP(B297,'Base stats'!B:B,'Base stats'!Y:Y)="OmnivoreRough"),_xlfn.XLOOKUP(_xlfn.XLOOKUP(B297,'Base stats'!B:B,'Base stats'!E:E),Groups!A:A,Groups!AT:AT)=1),"true","false")</f>
        <v>false</v>
      </c>
      <c r="BP297" s="25" t="str" cm="1">
        <f t="array" ref="BP297">IF(
  _xlfn.TEXTJOIN(", ",TRUE,
    IF(AND(BJ297="true",AO297&gt;0.5,BI297&lt;&gt;"None"),"AttackTarget",""),
    IF(AND(_xlfn.XLOOKUP(_xlfn.XLOOKUP(B297,'Base stats'!B:B,'Base stats'!E:E),Groups!A:A,Groups!AJ:AJ="Mammal"),OR(_xlfn.XLOOKUP(B297,'Base stats'!B:B,'Base stats'!Y:Y)="Omnivore",_xlfn.XLOOKUP(B297,'Base stats'!B:B,'Base stats'!Y:Y)="OmnivoreRough")),"Forage",""),
    IF(BG297&lt;=36,"Comfort",""),
    IF(_xlfn.XLOOKUP(B297,'Base stats'!B:B,'Base stats'!AE:AE)&lt;&gt;"No",_xlfn.XLOOKUP(B297,'Base stats'!B:B,'Base stats'!AE:AE),"")
  ) = "",
  "No",
  _xlfn.TEXTJOIN(", ",TRUE,
    IF(AND(BJ297="true",AO297&gt;0.5,BI297&lt;&gt;"None"),"AttackTarget",""),
    IF(AND(_xlfn.XLOOKUP(_xlfn.XLOOKUP(B297,'Base stats'!B:B,'Base stats'!E:E),Groups!A:A,Groups!AJ:AJ="Mammal"),OR(_xlfn.XLOOKUP(B297,'Base stats'!B:B,'Base stats'!Y:Y)="Omnivore",_xlfn.XLOOKUP(B297,'Base stats'!B:B,'Base stats'!Y:Y)="OmnivoreRough")),"Forage",""),
    IF(BG297&lt;=36,"Comfort",""),
    IF(_xlfn.XLOOKUP(B297,'Base stats'!B:B,'Base stats'!AE:AE)&lt;&gt;"No",_xlfn.XLOOKUP(B297,'Base stats'!B:B,'Base stats'!AE:AE),"")
  )
)</f>
        <v>No</v>
      </c>
      <c r="BQ297" s="25" t="str">
        <f>IF(
   AND(
      'Base stats'!AN297="Standard",_xlfn.XLOOKUP(_xlfn.XLOOKUP(B297,'Base stats'!B:B,'Base stats'!E:E),Groups!A:A,Groups!AU:AU)=0,
      OR(
      BO297="True"
      )
   ),
   10,
   IF(
       OR(BM297&lt;&gt;"No",_xlfn.XLOOKUP(_xlfn.XLOOKUP(B297,'Base stats'!B:B,'Base stats'!E:E),Groups!A:A,Groups!AU:AU)=1),
      1,
      "No"
   )
)</f>
        <v>No</v>
      </c>
      <c r="BR297" s="9">
        <f>MROUND((1 + ((0.2*IF(OR(Q297="No",R297="No",R297=0),0,Q297/R297)
+IF(OR(V297="No",S297="No",T297="No"),0,S297/T297*(LEN(V297)-LEN(SUBSTITUTE(V297,",",""))+1))
+IF(OR(X297="No",Y297="No"),0,X297/Y297)
+IF(OR(AD297="No",AE297="No"),0,AD297/AE297)
+IF(OR(AL297="No",AI297="No",AJ297="No"),0,AI297/AJ297*(LEN(AL297)-LEN(SUBSTITUTE(AL297,",",""))+1))
)/(0.2*IF(OR(Q297="No",R297="No",R297=0),0,1)
+IF(OR(V297="No",S297="No",T297="No"),0,LEN(V297)-LEN(SUBSTITUTE(V297,",",""))+1)
+IF(OR(X297="No",Y297="No"),0,1)
+IF(OR(AD297="No",AE297="No"),0,1)
+IF(OR(AL297="No",AI297="No",AJ297="No"),0,LEN(AL297)-LEN(SUBSTITUTE(AL297,",",""))+1))*62%)* 2)*(1 + (AP297 / (IF(_xlfn.XLOOKUP(_xlfn.XLOOKUP(B297,'Base stats'!B:B,'Base stats'!E:E),Groups!A:A,Groups!AJ:AJ)="Photonozoa",0.3,1)) + _xlfn.XLOOKUP(B297,'Base stats'!B:B,'Base stats'!AV:AV) * 1.8) * 2) * 2.5 + 10 + I297 * 2,5)+IF(_xlfn.XLOOKUP(B297,'Base stats'!B:B,'Base stats'!AK:AK)=1,50,0)</f>
        <v>95</v>
      </c>
      <c r="BS297" s="8">
        <f t="shared" si="33"/>
        <v>0.25</v>
      </c>
      <c r="BT297" s="8" t="str">
        <f>_xlfn.XLOOKUP(B297,'Base stats'!B:B,'Base stats'!AF:AF)</f>
        <v>No</v>
      </c>
      <c r="BU297" s="2" t="str">
        <f>IF(AND(J297&lt;=0.95,OR(_xlfn.XLOOKUP(B297,'Base stats'!B:B,'Base stats'!AK:AK)=1,_xlfn.XLOOKUP(B297,'Base stats'!B:B,'Base stats'!Y:Y)="Carnivore",_xlfn.XLOOKUP(B297,'Base stats'!B:B,'Base stats'!Y:Y)="Omnivore",BE297&gt;0.1)),"true","false")</f>
        <v>true</v>
      </c>
      <c r="BV297" s="2" t="str">
        <f>IF(_xlfn.XLOOKUP(B297,'Base stats'!B:B,'Base stats'!AI:AI)=1,"true","false")</f>
        <v>false</v>
      </c>
      <c r="BW297" s="25" t="str">
        <f>IF(E297="BaseInsect","AnimalInsect",
IF(J297&gt;0.95,"AnimalExotic",
_xlfn.TEXTJOIN(", ",TRUE,
IF(OR(_xlfn.XLOOKUP(B297,'Base stats'!B:B,'Base stats'!AM:AM)=1,AND(_xlfn.XLOOKUP(B297,'Base stats'!B:B,'Base stats'!O:O)=0,_xlfn.XLOOKUP(_xlfn.XLOOKUP(B297,'Base stats'!B:B,'Base stats'!E:E),Groups!A:A,Groups!B:B)&gt;0)),"AnimalUncommon","AnimalCommon"),
IF(AND(_xlfn.XLOOKUP(B297,'Base stats'!B:B,'Base stats'!O:O)=2,_xlfn.XLOOKUP(_xlfn.XLOOKUP(B297,'Base stats'!B:B,'Base stats'!E:E),Groups!A:A,Groups!D:D)=0),"AnimalPet",IF(AND(_xlfn.XLOOKUP(B297,'Base stats'!B:B,'Base stats'!O:O)&lt;&gt;0,_xlfn.XLOOKUP(_xlfn.XLOOKUP(B297,'Base stats'!B:B,'Base stats'!E:E),Groups!A:A,Groups!D:D)&lt;&gt;0),"AnimalFarm","")),
IF(OR(_xlfn.XLOOKUP(B297,'Base stats'!B:B,'Base stats'!AK:AK)=1,AND(BI297&lt;&gt;"None",BR297&gt;=60),ISNUMBER(SEARCH("Attack target",BP297))),"AnimalFighter","")
)))</f>
        <v>AnimalUncommon</v>
      </c>
      <c r="BX297" s="25" t="str">
        <f>IF(G297="None",TRIM(
SUBSTITUTE(
IF(COUNTIF(Biomes!B$2:B$259,"="&amp;$C297)&gt;0,Biomes!B$1&amp;", ","")&amp;
IF(COUNTIF(Biomes!C$2:C$259,"="&amp;$C297)&gt;0,Biomes!C$1&amp;", ","")&amp;
IF(COUNTIF(Biomes!D$2:D$259,"="&amp;$C297)&gt;0,Biomes!D$1&amp;", ","")&amp;
IF(COUNTIF(Biomes!F$2:F$259,"="&amp;$C297)&gt;0,Biomes!F$1&amp;", ","")&amp;
IF(COUNTIF(Biomes!G$2:G$259,"="&amp;$C297)&gt;0,Biomes!G$1&amp;", ","")&amp;
IF(COUNTIF(Biomes!H$2:H$259,"="&amp;$C297)&gt;0,Biomes!H$1&amp;", ","")&amp;
IF(COUNTIF(Biomes!I$2:I$259,"="&amp;$C297)&gt;0,Biomes!I$1&amp;", ","")&amp;
IF(COUNTIF(Biomes!J$2:J$259,"="&amp;$C297)&gt;0,Biomes!J$1&amp;", ","")&amp;
IF(COUNTIF(Biomes!M$2:M$259,"="&amp;$C297)&gt;0,Biomes!M$1&amp;", ","")&amp;
IF(COUNTIF(Biomes!N$2:N$259,"="&amp;$C297)&gt;0,Biomes!N$1&amp;", ","")&amp;
IF(COUNTIF(Biomes!O$2:O$259,"="&amp;$C297)&gt;0,Biomes!O$1&amp;", ","")&amp;
IF(COUNTIF(Biomes!P$2:P$259,"="&amp;$C297)&gt;0,Biomes!P$1&amp;", ","")&amp;
IF(COUNTIF(Biomes!K$2:K$259,"="&amp;$C297)&gt;0,Biomes!K$1&amp;", ","")&amp;
IF(COUNTIF(Biomes!Q$3:Q$259,"="&amp;$C297)&gt;0,Biomes!Q$1&amp;", ","")&amp;
IF(COUNTIF(Biomes!L$2:L$259,"="&amp;$C297)&gt;0,Biomes!L$1&amp;", ","")&amp;
IF(COUNTIF(Biomes!E$2:E$259,"="&amp;$C297)&gt;0,Biomes!E$1&amp;", ","")&amp;IF(COUNTIF(Biomes!S$2:S$259,"="&amp;$C297)&gt;0,Biomes!S$1&amp;", ","")&amp;
IF(COUNTIF(Biomes!R$2:R$259,"="&amp;$C297)&gt;0,Biomes!R$1&amp;", ",""),", ","")
),_xlfn.XLOOKUP(B297,B:B,BX:BX))</f>
        <v>LavaField</v>
      </c>
      <c r="BY297" s="25" t="str">
        <f>IF(_xlfn.XLOOKUP(B297,'Base stats'!B:B,'Base stats'!AJ:AJ)=1,"true","false")</f>
        <v>false</v>
      </c>
      <c r="BZ297" s="25">
        <f>IF(_xlfn.XLOOKUP(B297,'Base stats'!B:B,'Base stats'!N:N)=1,"No",MAX(0.001,MIN(MROUND(IF(AND(BJ297="True",CC297="False"),POWER(10,3.47*LOG10(_xlfn.XLOOKUP(B297,'Base stats'!B:B,'Base stats'!C:C)*1000)^-0.96),POWER(10,4.15*LOG10(_xlfn.XLOOKUP(B297,'Base stats'!B:B,'Base stats'!C:C)*1000)^-0.73))*IF(_xlfn.XLOOKUP(B297,'Base stats'!B:B,'Base stats'!AK:AK)=1,0.5,1)*IF(_xlfn.XLOOKUP(B297,'Base stats'!B:B,'Base stats'!AM:AM)=1,0.1,1)/100,IF(_xlfn.XLOOKUP(B297,'Base stats'!B:B,'Base stats'!AM:AM)=1,0.001,0.025)),0.5)))</f>
        <v>2.1999999999999999E-2</v>
      </c>
      <c r="CA297" s="25">
        <f>IF(P297="Standard","No",MAX(0.001,MIN(MROUND(IF(AND(BJ297="True",CC297="False"),POWER(10,3.47*LOG10(_xlfn.XLOOKUP(B297,'Base stats'!B:B,'Base stats'!C:C)*1000)^-0.96),POWER(10,4.15*LOG10(_xlfn.XLOOKUP(B297,'Base stats'!B:B,'Base stats'!C:C)*1000)^-0.73))*IF(_xlfn.XLOOKUP(B297,'Base stats'!B:B,'Base stats'!AM:AM)=1,0.1,1)*_xlfn.XLOOKUP(B297,'Base stats'!B:B,'Base stats'!R:R)/100,IF(_xlfn.XLOOKUP(B297,'Base stats'!B:B,'Base stats'!AM:AM)=1,0.001,0.025)),0.5)))</f>
        <v>1.8000000000000002E-2</v>
      </c>
      <c r="CB297" s="25" t="str">
        <f>IF(_xlfn.XLOOKUP(_xlfn.XLOOKUP(B297,'Base stats'!B:B,'Base stats'!E:E),Groups!A:A,Groups!AJ:AJ)="Mammal","True","False")</f>
        <v>False</v>
      </c>
      <c r="CC297" s="25" t="str">
        <f>IF(OR(_xlfn.XLOOKUP(_xlfn.XLOOKUP(B297,'Base stats'!B:B,'Base stats'!E:E),Groups!A:A,Groups!AJ:AJ)="Reptile",_xlfn.XLOOKUP(_xlfn.XLOOKUP(B297,'Base stats'!B:B,'Base stats'!E:E),Groups!A:A,Groups!AJ:AJ)="Amphibian",_xlfn.XLOOKUP(_xlfn.XLOOKUP(B297,'Base stats'!B:B,'Base stats'!E:E),Groups!A:A,Groups!AJ:AJ)="Invertebrate"),"True","False")</f>
        <v>True</v>
      </c>
      <c r="CD297" s="25" t="str">
        <f t="shared" si="34"/>
        <v>False</v>
      </c>
      <c r="CE297" s="25" t="str">
        <f>IF(_xlfn.XLOOKUP(_xlfn.XLOOKUP(B297,'Base stats'!B:B,'Base stats'!E:E),Groups!A:A,Groups!AX:AX),"True","False")</f>
        <v>False</v>
      </c>
      <c r="CF297" s="25" t="str">
        <f>IF(_xlfn.XLOOKUP(_xlfn.XLOOKUP(B297,'Base stats'!B:B,'Base stats'!E:E),Groups!A:A,Groups!AY:AY),"True","False")</f>
        <v>False</v>
      </c>
      <c r="CG297" s="25" t="str">
        <f>IF(_xlfn.XLOOKUP(_xlfn.XLOOKUP(B297,'Base stats'!B:B,'Base stats'!E:E),Groups!A:A,Groups!AW:AW),"True","False")</f>
        <v>False</v>
      </c>
      <c r="CH297" s="25" t="str">
        <f>IF(
OR(
_xlfn.XLOOKUP(_xlfn.XLOOKUP(B297,'Base stats'!B:B,'Base stats'!E:E),Groups!A:A,Groups!AZ:AZ)=0,
AND(
_xlfn.XLOOKUP(B297,'Base stats'!B:B,'Base stats'!Y:Y)&lt;&gt;"Carnivore",
_xlfn.XLOOKUP(B297,'Base stats'!B:B,'Base stats'!Y:Y)&lt;&gt;"Omnivore",
_xlfn.XLOOKUP(B297,'Base stats'!B:B,'Base stats'!Y:Y)&lt;&gt;"OmnivoreRough"
)
),
"No",
IF(
_xlfn.XLOOKUP(_xlfn.XLOOKUP(B297,'Base stats'!B:B,'Base stats'!E:E),Groups!A:A,Groups!AZ:AZ)=1,
"Flesh",
IF(
_xlfn.XLOOKUP(_xlfn.XLOOKUP(B297,'Base stats'!B:B,'Base stats'!E:E),Groups!A:A,Groups!AZ:AZ)=2,
"Bone",
""
)
)
)</f>
        <v>No</v>
      </c>
      <c r="CI297" s="25" t="str">
        <f>IF(_xlfn.XLOOKUP(_xlfn.XLOOKUP(B297,'Base stats'!B:B,'Base stats'!E:E),Groups!A:A,Groups!BB:BB),"True","False")</f>
        <v>False</v>
      </c>
      <c r="CJ297" s="25" t="str">
        <f>IF(_xlfn.XLOOKUP(_xlfn.XLOOKUP(B297,'Base stats'!B:B,'Base stats'!E:E),Groups!A:A,Groups!BA:BA),"True","False")</f>
        <v>False</v>
      </c>
    </row>
    <row r="298" spans="1:88" ht="16.5" thickTop="1" thickBot="1" x14ac:dyDescent="0.3">
      <c r="A298" s="26" t="s">
        <v>1508</v>
      </c>
      <c r="B298" s="6" t="str">
        <f>_xlfn.XLOOKUP(A298,'Base stats'!A:A,'Base stats'!B:B)</f>
        <v>Mimo sapientis</v>
      </c>
      <c r="C298" s="28" t="s">
        <v>1509</v>
      </c>
      <c r="D298" s="28" t="s">
        <v>1341</v>
      </c>
      <c r="E298" s="28" t="s">
        <v>673</v>
      </c>
      <c r="F298" s="28" t="s">
        <v>673</v>
      </c>
      <c r="G298" s="28" t="s">
        <v>673</v>
      </c>
      <c r="H298" s="2">
        <f>MROUND((
  (IF(AND(_xlfn.XLOOKUP(B298,'Base stats'!B:B,'Base stats'!AL:AL)=0,BI298="None",_xlfn.XLOOKUP(_xlfn.XLOOKUP(B298,'Base stats'!B:B,'Base stats'!E:E),Groups!A:A,Groups!B:B)=0), (18 + BR298 * 2.7) * 0.5,
    IF(AND(_xlfn.XLOOKUP(B298,'Base stats'!B:B,'Base stats'!AL:AL)=0,OR(AO298&lt;0.55,AND(BI298="Intermediate",_xlfn.XLOOKUP(_xlfn.XLOOKUP(B298,'Base stats'!B:B,'Base stats'!E:E),Groups!A:A,Groups!B:B)&lt;2))), (18 + BR298 * 2.7),
      IF(OR(BI298="Advanced",_xlfn.XLOOKUP(B298,'Base stats'!B:B,'Base stats'!AL:AL)=1,_xlfn.XLOOKUP(_xlfn.XLOOKUP(B298,'Base stats'!B:B,'Base stats'!E:E),Groups!A:A,Groups!B:B)=2), (18 + BR298 * 2.7) + 250, (18 + BR298 * 2.7))
    )
  ))
  + AO298 * 80
  + IF(COUNTIF(EggMilk!K$2:K$998, A298) &gt; 0, 125, 0)
  + IF(COUNTIF(EggMilk!P$2:P$998, A298) &gt; 0, 90, 0)
  + IF(COUNTIF(EggMilk!A$2:A$998, A298) &gt; 0, 90, 0)
)
* (0.8 + 0.4 * J298)
* 0.75,25)</f>
        <v>500</v>
      </c>
      <c r="I298" s="2">
        <f>MROUND(ROUNDDOWN(_xlfn.XLOOKUP(B298,'Base stats'!B:B,'Base stats'!L:L)/3.6/(23.3/11),1),0.5)</f>
        <v>3</v>
      </c>
      <c r="J298" s="2">
        <f>IF(OR(_xlfn.XLOOKUP(B298,'Base stats'!B:B,'Base stats'!AB:AB)=1,_xlfn.XLOOKUP(_xlfn.XLOOKUP(B298,'Base stats'!B:B,'Base stats'!E:E),Groups!A:A,Groups!C:C)="Untamable"),1,IF(_xlfn.XLOOKUP(B298,'Base stats'!B:B,'Base stats'!AL:AL)=1,0.99,MIN(MROUND((1-0.6282*EXP(-0.459*AO298))*_xlfn.XLOOKUP(_xlfn.XLOOKUP(B298,'Base stats'!B:B,'Base stats'!E:E),Groups!A:A,Groups!C:C)*IF(_xlfn.XLOOKUP(B298,'Base stats'!B:B,'Base stats'!O:O)=1,0.5,IF(_xlfn.XLOOKUP(B298,'Base stats'!B:B,'Base stats'!O:O)=2,0,1)),0.05),IF(AO298&gt;3.5,0.985,0.95))))</f>
        <v>1</v>
      </c>
      <c r="K298" s="2">
        <f>ROUNDUP(AO298*_xlfn.XLOOKUP(_xlfn.XLOOKUP(B298,'Base stats'!B:B,'Base stats'!E:E),Groups!A:A,Groups!E:E),0)</f>
        <v>1</v>
      </c>
      <c r="L298" s="2">
        <f>IF(OR(_xlfn.XLOOKUP(_xlfn.XLOOKUP(B298,'Base stats'!B:B,'Base stats'!E:E),Groups!A:A,Groups!F:F)=2,ISNUMBER(SEARCH("SeaIce",BX298)),ISNUMBER(SEARCH("IceSheet",BX298))),-50,IF(OR(ISNUMBER(SEARCH("GlacialPlain",BX298)),ISNUMBER(SEARCH("Tundra",BX298))),-40,IF(OR(ISNUMBER(SEARCH("Alpine",BX298)),ISNUMBER(SEARCH("BorealForest",BX298)),ISNUMBER(SEARCH("ColdBog",BX298))),-30,IF(OR(ISNUMBER(SEARCH("TemperateForest",BX298)),ISNUMBER(SEARCH("TemperateSwamp",BX298))),-20,IF(_xlfn.XLOOKUP(_xlfn.XLOOKUP(B298,'Base stats'!B:B,'Base stats'!E:E),Groups!A:A,Groups!F:F)=1,-15,IF(OR(ISNUMBER(SEARCH("Desert",BX298)),ISNUMBER(SEARCH("ExtremeDesert",BX298))),-10,IF(OR(ISNUMBER(SEARCH("Grasslands",BX298)),ISNUMBER(SEARCH("TropicalRainforest",BX298)),ISNUMBER(SEARCH("TropicalSwamp",BX298))),10,0)))))))-IF(CC298="False",MIN(IFERROR(MAX(MROUND(LOG10(_xlfn.XLOOKUP(B298,'Base stats'!B:B,'Base stats'!C:C)^(2/3))*10,5),5),5),30))-_xlfn.XLOOKUP(B298,'Base stats'!B:B,'Base stats'!P:P)+IF(CC298="True",5,0)</f>
        <v>-10</v>
      </c>
      <c r="M298" s="2">
        <f>IF(OR(_xlfn.XLOOKUP(_xlfn.XLOOKUP(B298,'Base stats'!B:B,'Base stats'!E:E),Groups!A:A,Groups!G:G)=2,ISNUMBER(SEARCH("Desert",BX298)),ISNUMBER(SEARCH("ExtremeDesert",BX298)),ISNUMBER(SEARCH("LavaField",BX298))),50,IF(ISNUMBER(SEARCH("Grasslands",BX298)),45,IF(OR(_xlfn.XLOOKUP(_xlfn.XLOOKUP(B298,'Base stats'!B:B,'Base stats'!E:E),Groups!A:A,Groups!G:G)=1,ISNUMBER(SEARCH("TropicalRainforest",BX298)),ISNUMBER(SEARCH("TropicalSwamp",BX298))),40,IF(OR(ISNUMBER(SEARCH("TemperateForest",BX298)),ISNUMBER(SEARCH("TemperateSwamp",BX298))),35,IF(OR(ISNUMBER(SEARCH("Alpine",BX298)),ISNUMBER(SEARCH("BorealForest",BX298)),ISNUMBER(SEARCH("ColdBog",BX298))),30,IF(ISNUMBER(OR(ISNUMBER(SEARCH("GlacialPlain",BX298)),SEARCH("Tundra",BX298))),25,IF(OR(ISNUMBER(SEARCH("SeaIce",BX298)),ISNUMBER(SEARCH("IceSheet",BX298)),ISNUMBER(SEARCH("TropicalSwamp",BX298))),10,35)))))))+_xlfn.XLOOKUP(B298,'Base stats'!B:B,'Base stats'!Q:Q)</f>
        <v>35</v>
      </c>
      <c r="N298" s="8" t="str">
        <f>IF(
_xlfn.XLOOKUP(
_xlfn.XLOOKUP(B298,'Base stats'!B:B,'Base stats'!E:E),
Groups!A:A,
Groups!L:L
)=1,
MIN(
MROUND(
IF(
_xlfn.XLOOKUP(B298,'Animals CE'!B:B,'Animals CE'!Z:Z)&lt;=1.5,
_xlfn.XLOOKUP(B298,'Animals CE'!B:B,'Animals CE'!Z:Z)/2+0.05,
0.8+
(_xlfn.XLOOKUP(B298,'Animals CE'!B:B,'Animals CE'!Z:Z)-1.5)
*0.02
),
0.05
),
200%
),
"No"
)</f>
        <v>No</v>
      </c>
      <c r="O298" s="8" t="str">
        <f>IF(
_xlfn.XLOOKUP(
_xlfn.XLOOKUP(B298,'Base stats'!B:B,'Base stats'!E:E),
Groups!A:A,
Groups!L:L
)=1,
MIN(
MROUND(
IF(
_xlfn.XLOOKUP(B298,'Animals CE'!B:B,'Animals CE'!AA:AA)&lt;=1.5,
_xlfn.XLOOKUP(B298,'Animals CE'!B:B,'Animals CE'!AA:AA)/2+0.05,
0.8+
(_xlfn.XLOOKUP(B298,'Animals CE'!B:B,'Animals CE'!AA:AA)-1.5)
*0.02
),
0.05
),
200%
),
"No"
)</f>
        <v>No</v>
      </c>
      <c r="P298" s="2">
        <f>_xlfn.XLOOKUP(B298,'Base stats'!B:B,'Base stats'!R:R)</f>
        <v>1</v>
      </c>
      <c r="Q298" s="13">
        <f>MROUND((LOG10(_xlfn.XLOOKUP(B298,'Base stats'!B:B,'Base stats'!AR:AR))*(AO298^0.5)+(_xlfn.XLOOKUP(B298,'Base stats'!B:B,'Base stats'!AR:AR)/1000)^(2/3)+_xlfn.XLOOKUP(B298,'Base stats'!B:B,'Base stats'!BA:BA)/2)+0.5,0.5)</f>
        <v>7</v>
      </c>
      <c r="R298" s="7">
        <f>IF(Q298="No","No",MAX(1,MROUND(_xlfn.XLOOKUP(B298,'Base stats'!B:B,'Base stats'!C:C)^0.165,0.05)))</f>
        <v>2</v>
      </c>
      <c r="S298" s="13" t="str">
        <f>IF(_xlfn.XLOOKUP(_xlfn.XLOOKUP(B298,'Base stats'!B:B,'Base stats'!E:E),Groups!A:A,Groups!P:P)=0,"No",MROUND((LOG10(_xlfn.XLOOKUP(B298,'Base stats'!B:B,'Base stats'!AS:AS))*(AO298^0.5)+(_xlfn.XLOOKUP(B298,'Base stats'!B:B,'Base stats'!AS:AS)/1000)^(2/3)+_xlfn.XLOOKUP(B298,'Base stats'!B:B,'Base stats'!BA:BA))+_xlfn.XLOOKUP(B298,'Base stats'!B:B,'Base stats'!AY:AY)+0.5,0.5))</f>
        <v>No</v>
      </c>
      <c r="T298" s="7" t="str">
        <f>IF(S298="No","No",MAX(_xlfn.XLOOKUP(_xlfn.XLOOKUP(B298,'Base stats'!B:B,'Base stats'!E:E),Groups!A:A,Groups!Q:Q),MROUND(_xlfn.XLOOKUP(_xlfn.XLOOKUP(B298,'Base stats'!B:B,'Base stats'!E:E),Groups!A:A,Groups!Q:Q)*_xlfn.XLOOKUP(B298,'Base stats'!B:B,'Base stats'!C:C)^0.165,0.05)))</f>
        <v>No</v>
      </c>
      <c r="U298" s="7" t="str">
        <f>IF(S298="No","No",_xlfn.XLOOKUP(_xlfn.XLOOKUP(B298,'Base stats'!B:B,'Base stats'!E:E),Groups!A:A,Groups!R:R))</f>
        <v>No</v>
      </c>
      <c r="V298" s="7" t="str">
        <f>IF(S298="No","No",_xlfn.XLOOKUP(_xlfn.XLOOKUP(B298,'Base stats'!B:B,'Base stats'!E:E),Groups!A:A,Groups!S:S))</f>
        <v>No</v>
      </c>
      <c r="W298" s="7" t="str">
        <f>IF(S298="No","No",_xlfn.XLOOKUP(_xlfn.XLOOKUP(B298,'Base stats'!B:B,'Base stats'!E:E),Groups!A:A,Groups!T:T))</f>
        <v>No</v>
      </c>
      <c r="X298" s="13" t="str">
        <f>IF(_xlfn.XLOOKUP(B298,'Base stats'!B:B,'Base stats'!W:W)="No","No",MROUND((LOG10(_xlfn.XLOOKUP(B298,'Base stats'!B:B,'Base stats'!AU:AU))*(AO298^0.5)+(_xlfn.XLOOKUP(B298,'Base stats'!B:B,'Base stats'!AU:AU)/1000)^(2/3)+_xlfn.XLOOKUP(B298,'Base stats'!B:B,'Base stats'!AZ:AZ))+0.5+IF(_xlfn.XLOOKUP(_xlfn.XLOOKUP(B298,'Base stats'!B:B,'Base stats'!E:E),Groups!A:A,Groups!U:U)&lt;&gt;3,_xlfn.XLOOKUP(B298,'Base stats'!B:B,'Base stats'!BA:BA),0),0.5))</f>
        <v>No</v>
      </c>
      <c r="Y298" s="7" t="str">
        <f>IF(X298="No","No",MAX(_xlfn.XLOOKUP(_xlfn.XLOOKUP(B298,'Base stats'!B:B,'Base stats'!E:E),Groups!A:A,Groups!V:V),MROUND(_xlfn.XLOOKUP(_xlfn.XLOOKUP(B298,'Base stats'!B:B,'Base stats'!E:E),Groups!A:A,Groups!V:V)*_xlfn.XLOOKUP(B298,'Base stats'!B:B,'Base stats'!C:C)^0.165,0.05)))</f>
        <v>No</v>
      </c>
      <c r="Z298" s="7" t="str">
        <f>IF(X298="No","No",_xlfn.XLOOKUP(_xlfn.XLOOKUP(B298,'Base stats'!B:B,'Base stats'!E:E),Groups!A:A,Groups!W:W))</f>
        <v>No</v>
      </c>
      <c r="AA298" s="7" t="str">
        <f>IF(X298="No","No",_xlfn.XLOOKUP(_xlfn.XLOOKUP(B298,'Base stats'!B:B,'Base stats'!E:E),Groups!A:A,Groups!X:X))</f>
        <v>No</v>
      </c>
      <c r="AB298" s="7" t="str">
        <f>IF(X298="No","No",_xlfn.XLOOKUP(_xlfn.XLOOKUP(B298,'Base stats'!B:B,'Base stats'!E:E),Groups!A:A,Groups!Y:Y))</f>
        <v>No</v>
      </c>
      <c r="AC298" s="7" t="str">
        <f>_xlfn.XLOOKUP(Animals!B298,'Base stats'!B:B,'Base stats'!X:X)</f>
        <v>False</v>
      </c>
      <c r="AD298" s="13">
        <f>IF(_xlfn.XLOOKUP(B298,'Base stats'!B:B,'Base stats'!AT:AT)="No","No",MROUND((LOG10(_xlfn.XLOOKUP(B298,'Base stats'!B:B,'Base stats'!AT:AT))*(AO298^0.75)+(_xlfn.XLOOKUP(B298,'Base stats'!B:B,'Base stats'!AT:AT)/1000)^(2/3)+_xlfn.XLOOKUP(B298,'Base stats'!B:B,'Base stats'!AX:AX)+_xlfn.XLOOKUP(B298,'Base stats'!B:B,'Base stats'!BA:BA))+0.5,0.5))</f>
        <v>9.5</v>
      </c>
      <c r="AE298" s="7">
        <f>IF(AD298="No","No",MAX(_xlfn.XLOOKUP(_xlfn.XLOOKUP(B298,'Base stats'!B:B,'Base stats'!E:E),Groups!A:A,Groups!Z:Z),MROUND(_xlfn.XLOOKUP(_xlfn.XLOOKUP(B298,'Base stats'!B:B,'Base stats'!E:E),Groups!A:A,Groups!Z:Z)*_xlfn.XLOOKUP(B298,'Base stats'!B:B,'Base stats'!C:C)^0.165,0.05)))</f>
        <v>1.7000000000000002</v>
      </c>
      <c r="AF298" s="7" t="str">
        <f>IF(AD298="No","No",_xlfn.XLOOKUP(_xlfn.XLOOKUP(B298,'Base stats'!B:B,'Base stats'!E:E),Groups!A:A,Groups!AA:AA))</f>
        <v>Teeth</v>
      </c>
      <c r="AG298" s="7" t="str">
        <f>IF(AD298="No","No",_xlfn.XLOOKUP(_xlfn.XLOOKUP(B298,'Base stats'!B:B,'Base stats'!E:E),Groups!A:A,Groups!AB:AB))</f>
        <v>canines</v>
      </c>
      <c r="AH298" s="7" t="str">
        <f>IF(AD298="No","No",_xlfn.XLOOKUP(_xlfn.XLOOKUP(B298,'Base stats'!B:B,'Base stats'!E:E),Groups!A:A,Groups!AC:AC))</f>
        <v>Bite</v>
      </c>
      <c r="AI298" s="13">
        <f>IF(_xlfn.XLOOKUP(_xlfn.XLOOKUP(B298,'Base stats'!B:B,'Base stats'!E:E),Groups!A:A,Groups!AD:AD)=0,"No",MROUND((LOG10(_xlfn.XLOOKUP(B298,'Base stats'!B:B,'Base stats'!AS:AS))*(AO298^0.75)+(_xlfn.XLOOKUP(B298,'Base stats'!B:B,'Base stats'!AS:AS)/1000)^(2/3)+_xlfn.XLOOKUP(B298,'Base stats'!B:B,'Base stats'!AY:AY)+_xlfn.XLOOKUP(B298,'Base stats'!B:B,'Base stats'!BA:BA))+0.5,0.5))</f>
        <v>9</v>
      </c>
      <c r="AJ298" s="7">
        <f>IF(AI298="No","No",MAX(_xlfn.XLOOKUP(_xlfn.XLOOKUP(B298,'Base stats'!B:B,'Base stats'!E:E),Groups!A:A,Groups!AE:AE),MROUND(_xlfn.XLOOKUP(_xlfn.XLOOKUP(B298,'Base stats'!B:B,'Base stats'!E:E),Groups!A:A,Groups!AE:AE)*IF(_xlfn.XLOOKUP(_xlfn.XLOOKUP(B298,'Base stats'!B:B,'Base stats'!E:E),Groups!A:A,Groups!AJ:AJ)="Photonozoa",0.6,1)*_xlfn.XLOOKUP(B298,'Base stats'!B:B,'Base stats'!C:C)^0.165,0.05)))</f>
        <v>1.3</v>
      </c>
      <c r="AK298" s="7" t="str">
        <f>IF(AI298="No","No",_xlfn.XLOOKUP(_xlfn.XLOOKUP(B298,'Base stats'!B:B,'Base stats'!E:E),Groups!A:A,Groups!AF:AF))</f>
        <v>LeftHand, RightHand</v>
      </c>
      <c r="AL298" s="7" t="str">
        <f>IF(AI298="No","No",_xlfn.XLOOKUP(_xlfn.XLOOKUP(B298,'Base stats'!B:B,'Base stats'!E:E),Groups!A:A,Groups!AG:AG))</f>
        <v>left fist, right fist</v>
      </c>
      <c r="AM298" s="7" t="str">
        <f>IF(AI298="No","No",_xlfn.XLOOKUP(_xlfn.XLOOKUP(B298,'Base stats'!B:B,'Base stats'!E:E),Groups!A:A,Groups!AH:AH))</f>
        <v>Scratch</v>
      </c>
      <c r="AN298" s="2" t="str">
        <f t="shared" si="28"/>
        <v>No</v>
      </c>
      <c r="AO298" s="2">
        <f>MROUND(IF(AND(_xlfn.XLOOKUP(B298,'Base stats'!B:B,'Base stats'!C:C)&gt;=0.5,_xlfn.XLOOKUP(B298,'Base stats'!B:B,'Base stats'!C:C)&lt;=0.8),
IF(_xlfn.XLOOKUP(B298,'Base stats'!B:B,'Base stats'!C:C)&lt;0.1,0.05,IF(_xlfn.XLOOKUP(B298,'Base stats'!B:B,'Base stats'!C:C)&lt;=70,(_xlfn.XLOOKUP(B298,'Base stats'!B:B,'Base stats'!C:C)/70)^0.426489913056526,IF(_xlfn.XLOOKUP(B298,'Base stats'!B:B,'Base stats'!C:C)&lt;=400,(_xlfn.XLOOKUP(B298,'Base stats'!B:B,'Base stats'!C:C)/70)^0.572811455315093,IF(_xlfn.XLOOKUP(B298,'Base stats'!B:B,'Base stats'!C:C)&lt;=2000,2.71391647193063*(_xlfn.XLOOKUP(B298,'Base stats'!B:B,'Base stats'!C:C)/400)^0.252459582904293,3.74314280240376*(_xlfn.XLOOKUP(B298,'Base stats'!B:B,'Base stats'!C:C)/2000)^0.357012633876913)))),
IF(_xlfn.XLOOKUP(B298,'Base stats'!B:B,'Base stats'!C:C)&lt;0.1,0.05,IF(_xlfn.XLOOKUP(B298,'Base stats'!B:B,'Base stats'!C:C)&lt;0.4,0.1,IF(_xlfn.XLOOKUP(B298,'Base stats'!B:B,'Base stats'!C:C)&lt;=70,(_xlfn.XLOOKUP(B298,'Base stats'!B:B,'Base stats'!C:C)/70)^0.445823913056526,IF(_xlfn.XLOOKUP(B298,'Base stats'!B:B,'Base stats'!C:C)&lt;=400,(_xlfn.XLOOKUP(B298,'Base stats'!B:B,'Base stats'!C:C)/70)^0.572811455315093,IF(_xlfn.XLOOKUP(B298,'Base stats'!B:B,'Base stats'!C:C)&lt;=2000,2.71391647193063*(_xlfn.XLOOKUP(B298,'Base stats'!B:B,'Base stats'!C:C)/400)^0.252459582904293,3.74314280240376*(_xlfn.XLOOKUP(B298,'Base stats'!B:B,'Base stats'!C:C)/2000)^0.357012633876913)))))),
IF(_xlfn.XLOOKUP(B298,'Base stats'!B:B,'Base stats'!C:C)&lt;0.1,0.05,IF(_xlfn.XLOOKUP(B298,'Base stats'!B:B,'Base stats'!C:C)&lt;=100,0.05,IF(_xlfn.XLOOKUP(B298,'Base stats'!B:B,'Base stats'!C:C)&lt;=250,0.1,IF(_xlfn.XLOOKUP(B298,'Base stats'!B:B,'Base stats'!C:C)&lt;=4000,0.25,0.5)))))</f>
        <v>1</v>
      </c>
      <c r="AP298" s="8">
        <f>MROUND(AO298*_xlfn.XLOOKUP(_xlfn.XLOOKUP(B298,'Base stats'!B:B,'Base stats'!E:E),Groups!A:A,Groups!AI:AI)*_xlfn.XLOOKUP(B298,'Base stats'!B:B,'Base stats'!Z:Z),0.05)</f>
        <v>1</v>
      </c>
      <c r="AQ298" s="8">
        <f>MAX(0.01,MROUND(IF(CC298="True",0.196*(AO298*100*1000)^0.889,IF(_xlfn.XLOOKUP(_xlfn.XLOOKUP(B298,'Base stats'!B:B,'Base stats'!E:E),Groups!A:A,Groups!AJ:AJ)="Bird",10.5*(AO298*100*1000)^0.681,4.82*(AO298*100*1000)^0.734))/(4.82*(1*100*1000)^0.734)/IF(AO298&lt;3.5,2,IF(AO298=3.5,1.5,1.25))*(1+0.132282374779864/(AO298^0.994035016789033+0.00905238001496948)),0.05))</f>
        <v>0.55000000000000004</v>
      </c>
      <c r="AR298" s="9">
        <f>IFERROR(MROUND(_xlfn.XLOOKUP(B298,'Base stats'!B:B,'Base stats'!H:H)/IF(_xlfn.XLOOKUP(B298,'Base stats'!B:B,'Base stats'!I:I)&lt;&gt;1,(122.5/70),1.2),IF(_xlfn.XLOOKUP(B298,'Base stats'!B:B,'Base stats'!H:H)&gt;=30,5,IF(_xlfn.XLOOKUP(B298,'Base stats'!B:B,'Base stats'!H:H)&gt;=15,3,IF(_xlfn.XLOOKUP(B298,'Base stats'!B:B,'Base stats'!H:H)&gt;=10,2,1)))),"Immortal")</f>
        <v>70</v>
      </c>
      <c r="AS298" s="35" t="str">
        <f>IFERROR(IF(OR(_xlfn.XLOOKUP(B298,'Base stats'!B:B,'Base stats'!F:F)="Atypical reproduction",_xlfn.XLOOKUP(B298,'Base stats'!B:B,'Base stats'!F:F)="Lay eggs"),"Lay eggs",MIN(20,MAX(5.5,ROUND(((_xlfn.XLOOKUP(B298,'Base stats'!B:B,'Base stats'!F:F)-25)*(14.5/615) + 5.5)*2,0)/2))),"Unknown")</f>
        <v>Lay eggs</v>
      </c>
      <c r="AT298" s="8" t="str">
        <f>IF(_xlfn.XLOOKUP(B298,'Base stats'!B:B,'Base stats'!G:G)="Atypical reproduction","No",IFERROR(MAX(IF(_xlfn.XLOOKUP(B298,'Base stats'!B:B,'Base stats'!G:G)&lt;0.5,0.2,0.3),MROUND(_xlfn.XLOOKUP(B298,'Base stats'!B:B,'Base stats'!G:G)/(365/60),0.2)),"Unknown"))</f>
        <v>No</v>
      </c>
      <c r="AU298" s="8" t="str">
        <f t="shared" si="29"/>
        <v>No</v>
      </c>
      <c r="AV298" s="8" t="str">
        <f>IFERROR(IFERROR(MROUND(_xlfn.XLOOKUP(B298,'Base stats'!B:B,'Base stats'!J:J),0.1),"Lay eggs"),"Cannot breed")</f>
        <v>Lay eggs</v>
      </c>
      <c r="AW298" s="2" t="str">
        <f t="shared" si="30"/>
        <v>false</v>
      </c>
      <c r="AX298" s="2" t="str">
        <f>IF(_xlfn.XLOOKUP(_xlfn.XLOOKUP(Animals!B298,'Base stats'!B:B,'Base stats'!E:E),Groups!A:A,Groups!AK:AK)=1,"true","false")</f>
        <v>false</v>
      </c>
      <c r="AY298" s="25" t="str">
        <f>IF(_xlfn.XLOOKUP(B298,'Base stats'!B:B,'Base stats'!Y:Y)="Liquor","Liquor, CarnivoreAnimalStrict",IF(AND(_xlfn.XLOOKUP(B298,'Base stats'!B:B,'Base stats'!Y:Y)="Carnivore",_xlfn.XLOOKUP(_xlfn.XLOOKUP(B298,'Base stats'!B:B,'Base stats'!E:E),Groups!A:A,Groups!AJ:AJ)="Photonozoa"),"CarnivoreAnimalStrict, OvivoreAnimal",IF(_xlfn.XLOOKUP(B298,'Base stats'!B:B,'Base stats'!Y:Y)="Carnivore","CarnivoreAnimal, OvivoreAnimal",IF(_xlfn.XLOOKUP(B298,'Base stats'!B:B,'Base stats'!Y:Y)="Dendrovore","VegetarianRoughAnimal, DendrovoreAnimal",IF(_xlfn.XLOOKUP(B298,'Base stats'!B:B,'Base stats'!Y:Y)="Herbivore","VegetarianRoughAnimal",IF(_xlfn.XLOOKUP(B298,'Base stats'!B:B,'Base stats'!Y:Y)="OmnivoreRough","OmnivoreRoughAnimal, OvivoreAnimal","OmnivoreAnimal, OvivoreAnimal"))))))</f>
        <v>OmnivoreAnimal, OvivoreAnimal</v>
      </c>
      <c r="AZ298" s="2" t="str">
        <f>IF(_xlfn.XLOOKUP(_xlfn.XLOOKUP(B298,'Base stats'!B:B,'Base stats'!E:E),Groups!A:A,Groups!D:D)=1,MROUND((1-J298)*5+1,2)*IF(J298&lt;=0.4,2,1),"No")</f>
        <v>No</v>
      </c>
      <c r="BA298" s="2" t="str">
        <f>IF(AND(_xlfn.XLOOKUP(B298,'Base stats'!B:B,'Base stats'!AH:AH)="&lt;li&gt;Seal&lt;/li&gt;",G298="Odyssey"),"&lt;li&gt;AEXP_Seal&lt;/li&gt;",_xlfn.XLOOKUP(B298,'Base stats'!B:B,'Base stats'!AH:AH))</f>
        <v>&lt;li&gt;Human&lt;/li&gt;</v>
      </c>
      <c r="BB298" s="2" t="str">
        <f>_xlfn.XLOOKUP(B298,'Base stats'!B:B,'Base stats'!AG:AG)</f>
        <v>Leather_Human</v>
      </c>
      <c r="BC298" s="23" t="str">
        <f>_xlfn.XLOOKUP(_xlfn.XLOOKUP(B298,'Base stats'!B:B,'Base stats'!E:E),Groups!A:A,Groups!AL:AL)</f>
        <v>Human</v>
      </c>
      <c r="BD298" s="23">
        <f>MIN(1,MROUND(IF(AND(AO298&lt;0.5,_xlfn.XLOOKUP(B298,'Base stats'!B:B,'Base stats'!AA:AA)=0),0,IF(OR(_xlfn.XLOOKUP(Animals!B298,'Base stats'!B:B,'Base stats'!O:O)=2,_xlfn.XLOOKUP(_xlfn.XLOOKUP(B298,'Base stats'!B:B,'Base stats'!E:E),Groups!A:A,Groups!AN:AN)=0),0,_xlfn.XLOOKUP(_xlfn.XLOOKUP(B298,'Base stats'!B:B,'Base stats'!E:E),Groups!A:A,Groups!AN:AN)/IF(_xlfn.XLOOKUP(Animals!B298,'Base stats'!B:B,'Base stats'!O:O)=1,2,1)))+_xlfn.XLOOKUP(B298,'Base stats'!B:B,'Base stats'!AC:AC),0.005))</f>
        <v>1</v>
      </c>
      <c r="BE298" s="23">
        <f>MIN(1,MROUND(IF(AND(AO298&lt;0.5,_xlfn.XLOOKUP(B298,'Base stats'!B:B,'Base stats'!AA:AA)=0),0,IF(_xlfn.XLOOKUP(_xlfn.XLOOKUP(B298,'Base stats'!B:B,'Base stats'!E:E),Groups!A:A,Groups!AO:AO)=0,0,_xlfn.XLOOKUP(_xlfn.XLOOKUP(B298,'Base stats'!B:B,'Base stats'!E:E),Groups!A:A,Groups!AO:AO)/IF(_xlfn.XLOOKUP(Animals!B298,'Base stats'!B:B,'Base stats'!O:O)=2,3,1)))+_xlfn.XLOOKUP(B298,'Base stats'!B:B,'Base stats'!AD:AD),0.005))</f>
        <v>1</v>
      </c>
      <c r="BF298" s="2" t="str">
        <f>IF(J298&gt;0.3,"No",_xlfn.XLOOKUP(_xlfn.XLOOKUP(Animals!B298,'Base stats'!B:B,'Base stats'!E:E),Groups!A:A,Groups!AP:AP))</f>
        <v>No</v>
      </c>
      <c r="BG298" s="2" t="str">
        <f>IF(AND(J298&lt;=0.65,_xlfn.XLOOKUP(_xlfn.XLOOKUP(Animals!B298,'Base stats'!B:B,'Base stats'!E:E),Groups!A:A,Groups!AP:AP)&lt;&gt;"No",_xlfn.XLOOKUP(_xlfn.XLOOKUP(B298,'Base stats'!B:B,'Base stats'!E:E),Groups!A:A,Groups!D:D)=0),MROUND((80/3)*IF(_xlfn.XLOOKUP(B298,'Base stats'!B:B,'Base stats'!O:O)=2,0.2,AO298) + 24*(1-IF(BF298="No",0,BF298)) + 16/3, 12),"No")</f>
        <v>No</v>
      </c>
      <c r="BH298" s="2">
        <f>IF(AND(_xlfn.XLOOKUP(_xlfn.XLOOKUP(B298,'Base stats'!B:B,'Base stats'!E:E),Groups!A:A,Groups!AQ:AQ)=1,AO298&lt;=0.35),8,12)</f>
        <v>12</v>
      </c>
      <c r="BI298" s="2" t="str">
        <f>IF(_xlfn.XLOOKUP(_xlfn.XLOOKUP(B298,'Base stats'!B:B,'Base stats'!E:E),Groups!A:A,Groups!D:D)=0,_xlfn.XLOOKUP(_xlfn.XLOOKUP(B298,'Base stats'!B:B,'Base stats'!E:E),Groups!A:A,Groups!AR:AR),"None")</f>
        <v>Advanced</v>
      </c>
      <c r="BJ298" s="2" t="str">
        <f>IF(AND(_xlfn.XLOOKUP(_xlfn.XLOOKUP(B298,'Base stats'!B:B,'Base stats'!E:E),Groups!A:A,Groups!AS:AS)=1,OR(_xlfn.XLOOKUP(B298,'Base stats'!B:B,'Base stats'!Y:Y)="Carnivore",_xlfn.XLOOKUP(B298,'Base stats'!B:B,'Base stats'!Y:Y)="Omnivore")),"true","false")</f>
        <v>false</v>
      </c>
      <c r="BK298" s="2" t="str">
        <f>IF(BJ298="true",MROUND(IF(AND(AO298&gt;0.5,OR(_xlfn.XLOOKUP(_xlfn.XLOOKUP(B298,'Base stats'!B:B,'Base stats'!E:E),Groups!A:A,Groups!AJ:AJ)="Photonozoa",_xlfn.XLOOKUP(_xlfn.XLOOKUP(B298,'Base stats'!B:B,'Base stats'!E:E),Groups!A:A,Groups!AJ:AJ)="Mammal")),Animals!AO298*1.75*IF(AW298="true",1.5,1),IF(AO298&lt;0.5,Animals!AO298*0.5,Animals!AO298)),IF(AO298&gt;2,0.5,IF(AO298&gt;0.5,0.25,0.1))),"No")</f>
        <v>No</v>
      </c>
      <c r="BL298" s="2">
        <f t="shared" si="31"/>
        <v>1</v>
      </c>
      <c r="BM298" s="25" t="str">
        <f>IF(_xlfn.XLOOKUP(B298,'Base stats'!B:B,'Base stats'!AN:AN)="Standard","No",MROUND((_xlfn.XLOOKUP(B298,'Base stats'!B:B,'Base stats'!AN:AN)/3.6)/I298,0.1))</f>
        <v>No</v>
      </c>
      <c r="BN298" s="25" t="str">
        <f t="shared" si="32"/>
        <v>false</v>
      </c>
      <c r="BO298" s="25" t="str">
        <f>IF(AND(OR(_xlfn.XLOOKUP(B298,'Base stats'!B:B,'Base stats'!Y:Y)="Carnivore",_xlfn.XLOOKUP(B298,'Base stats'!B:B,'Base stats'!Y:Y)="Omnivore",_xlfn.XLOOKUP(B298,'Base stats'!B:B,'Base stats'!Y:Y)="OmnivoreRough"),_xlfn.XLOOKUP(_xlfn.XLOOKUP(B298,'Base stats'!B:B,'Base stats'!E:E),Groups!A:A,Groups!AT:AT)=1),"true","false")</f>
        <v>false</v>
      </c>
      <c r="BP298" s="25" t="str" cm="1">
        <f t="array" ref="BP298">IF(
  _xlfn.TEXTJOIN(", ",TRUE,
    IF(AND(BJ298="true",AO298&gt;0.5,BI298&lt;&gt;"None"),"AttackTarget",""),
    IF(AND(_xlfn.XLOOKUP(_xlfn.XLOOKUP(B298,'Base stats'!B:B,'Base stats'!E:E),Groups!A:A,Groups!AJ:AJ="Mammal"),OR(_xlfn.XLOOKUP(B298,'Base stats'!B:B,'Base stats'!Y:Y)="Omnivore",_xlfn.XLOOKUP(B298,'Base stats'!B:B,'Base stats'!Y:Y)="OmnivoreRough")),"Forage",""),
    IF(BG298&lt;=36,"Comfort",""),
    IF(_xlfn.XLOOKUP(B298,'Base stats'!B:B,'Base stats'!AE:AE)&lt;&gt;"No",_xlfn.XLOOKUP(B298,'Base stats'!B:B,'Base stats'!AE:AE),"")
  ) = "",
  "No",
  _xlfn.TEXTJOIN(", ",TRUE,
    IF(AND(BJ298="true",AO298&gt;0.5,BI298&lt;&gt;"None"),"AttackTarget",""),
    IF(AND(_xlfn.XLOOKUP(_xlfn.XLOOKUP(B298,'Base stats'!B:B,'Base stats'!E:E),Groups!A:A,Groups!AJ:AJ="Mammal"),OR(_xlfn.XLOOKUP(B298,'Base stats'!B:B,'Base stats'!Y:Y)="Omnivore",_xlfn.XLOOKUP(B298,'Base stats'!B:B,'Base stats'!Y:Y)="OmnivoreRough")),"Forage",""),
    IF(BG298&lt;=36,"Comfort",""),
    IF(_xlfn.XLOOKUP(B298,'Base stats'!B:B,'Base stats'!AE:AE)&lt;&gt;"No",_xlfn.XLOOKUP(B298,'Base stats'!B:B,'Base stats'!AE:AE),"")
  )
)</f>
        <v>No</v>
      </c>
      <c r="BQ298" s="25" t="str">
        <f>IF(
   AND(
      'Base stats'!AN298="Standard",_xlfn.XLOOKUP(_xlfn.XLOOKUP(B298,'Base stats'!B:B,'Base stats'!E:E),Groups!A:A,Groups!AU:AU)=0,
      OR(
      BO298="True"
      )
   ),
   10,
   IF(
       OR(BM298&lt;&gt;"No",_xlfn.XLOOKUP(_xlfn.XLOOKUP(B298,'Base stats'!B:B,'Base stats'!E:E),Groups!A:A,Groups!AU:AU)=1),
      1,
      "No"
   )
)</f>
        <v>No</v>
      </c>
      <c r="BR298" s="9">
        <f>MROUND((1 + ((0.2*IF(OR(Q298="No",R298="No",R298=0),0,Q298/R298)
+IF(OR(V298="No",S298="No",T298="No"),0,S298/T298*(LEN(V298)-LEN(SUBSTITUTE(V298,",",""))+1))
+IF(OR(X298="No",Y298="No"),0,X298/Y298)
+IF(OR(AD298="No",AE298="No"),0,AD298/AE298)
+IF(OR(AL298="No",AI298="No",AJ298="No"),0,AI298/AJ298*(LEN(AL298)-LEN(SUBSTITUTE(AL298,",",""))+1))
)/(0.2*IF(OR(Q298="No",R298="No",R298=0),0,1)
+IF(OR(V298="No",S298="No",T298="No"),0,LEN(V298)-LEN(SUBSTITUTE(V298,",",""))+1)
+IF(OR(X298="No",Y298="No"),0,1)
+IF(OR(AD298="No",AE298="No"),0,1)
+IF(OR(AL298="No",AI298="No",AJ298="No"),0,LEN(AL298)-LEN(SUBSTITUTE(AL298,",",""))+1))*62%)* 2)*(1 + (AP298 / (IF(_xlfn.XLOOKUP(_xlfn.XLOOKUP(B298,'Base stats'!B:B,'Base stats'!E:E),Groups!A:A,Groups!AJ:AJ)="Photonozoa",0.3,1)) + _xlfn.XLOOKUP(B298,'Base stats'!B:B,'Base stats'!AV:AV) * 1.8) * 2) * 2.5 + 10 + I298 * 2,5)+IF(_xlfn.XLOOKUP(B298,'Base stats'!B:B,'Base stats'!AK:AK)=1,50,0)</f>
        <v>80</v>
      </c>
      <c r="BS298" s="8">
        <f t="shared" si="33"/>
        <v>0.65</v>
      </c>
      <c r="BT298" s="8" t="str">
        <f>_xlfn.XLOOKUP(B298,'Base stats'!B:B,'Base stats'!AF:AF)</f>
        <v>No</v>
      </c>
      <c r="BU298" s="2" t="str">
        <f>IF(AND(J298&lt;=0.95,OR(_xlfn.XLOOKUP(B298,'Base stats'!B:B,'Base stats'!AK:AK)=1,_xlfn.XLOOKUP(B298,'Base stats'!B:B,'Base stats'!Y:Y)="Carnivore",_xlfn.XLOOKUP(B298,'Base stats'!B:B,'Base stats'!Y:Y)="Omnivore",BE298&gt;0.1)),"true","false")</f>
        <v>false</v>
      </c>
      <c r="BV298" s="2" t="str">
        <f>IF(_xlfn.XLOOKUP(B298,'Base stats'!B:B,'Base stats'!AI:AI)=1,"true","false")</f>
        <v>false</v>
      </c>
      <c r="BW298" s="25" t="str">
        <f>IF(E298="BaseInsect","AnimalInsect",
IF(J298&gt;0.95,"AnimalExotic",
_xlfn.TEXTJOIN(", ",TRUE,
IF(OR(_xlfn.XLOOKUP(B298,'Base stats'!B:B,'Base stats'!AM:AM)=1,AND(_xlfn.XLOOKUP(B298,'Base stats'!B:B,'Base stats'!O:O)=0,_xlfn.XLOOKUP(_xlfn.XLOOKUP(B298,'Base stats'!B:B,'Base stats'!E:E),Groups!A:A,Groups!B:B)&gt;0)),"AnimalUncommon","AnimalCommon"),
IF(AND(_xlfn.XLOOKUP(B298,'Base stats'!B:B,'Base stats'!O:O)=2,_xlfn.XLOOKUP(_xlfn.XLOOKUP(B298,'Base stats'!B:B,'Base stats'!E:E),Groups!A:A,Groups!D:D)=0),"AnimalPet",IF(AND(_xlfn.XLOOKUP(B298,'Base stats'!B:B,'Base stats'!O:O)&lt;&gt;0,_xlfn.XLOOKUP(_xlfn.XLOOKUP(B298,'Base stats'!B:B,'Base stats'!E:E),Groups!A:A,Groups!D:D)&lt;&gt;0),"AnimalFarm","")),
IF(OR(_xlfn.XLOOKUP(B298,'Base stats'!B:B,'Base stats'!AK:AK)=1,AND(BI298&lt;&gt;"None",BR298&gt;=60),ISNUMBER(SEARCH("Attack target",BP298))),"AnimalFighter","")
)))</f>
        <v>AnimalExotic</v>
      </c>
      <c r="BX298" s="25" t="str">
        <f>IF(G298="None",TRIM(
SUBSTITUTE(
IF(COUNTIF(Biomes!B$2:B$259,"="&amp;$C298)&gt;0,Biomes!B$1&amp;", ","")&amp;
IF(COUNTIF(Biomes!C$2:C$259,"="&amp;$C298)&gt;0,Biomes!C$1&amp;", ","")&amp;
IF(COUNTIF(Biomes!D$2:D$259,"="&amp;$C298)&gt;0,Biomes!D$1&amp;", ","")&amp;
IF(COUNTIF(Biomes!F$2:F$259,"="&amp;$C298)&gt;0,Biomes!F$1&amp;", ","")&amp;
IF(COUNTIF(Biomes!G$2:G$259,"="&amp;$C298)&gt;0,Biomes!G$1&amp;", ","")&amp;
IF(COUNTIF(Biomes!H$2:H$259,"="&amp;$C298)&gt;0,Biomes!H$1&amp;", ","")&amp;
IF(COUNTIF(Biomes!I$2:I$259,"="&amp;$C298)&gt;0,Biomes!I$1&amp;", ","")&amp;
IF(COUNTIF(Biomes!J$2:J$259,"="&amp;$C298)&gt;0,Biomes!J$1&amp;", ","")&amp;
IF(COUNTIF(Biomes!M$2:M$259,"="&amp;$C298)&gt;0,Biomes!M$1&amp;", ","")&amp;
IF(COUNTIF(Biomes!N$2:N$259,"="&amp;$C298)&gt;0,Biomes!N$1&amp;", ","")&amp;
IF(COUNTIF(Biomes!O$2:O$259,"="&amp;$C298)&gt;0,Biomes!O$1&amp;", ","")&amp;
IF(COUNTIF(Biomes!P$2:P$259,"="&amp;$C298)&gt;0,Biomes!P$1&amp;", ","")&amp;
IF(COUNTIF(Biomes!K$2:K$259,"="&amp;$C298)&gt;0,Biomes!K$1&amp;", ","")&amp;
IF(COUNTIF(Biomes!Q$3:Q$259,"="&amp;$C298)&gt;0,Biomes!Q$1&amp;", ","")&amp;
IF(COUNTIF(Biomes!L$2:L$259,"="&amp;$C298)&gt;0,Biomes!L$1&amp;", ","")&amp;
IF(COUNTIF(Biomes!E$2:E$259,"="&amp;$C298)&gt;0,Biomes!E$1&amp;", ","")&amp;IF(COUNTIF(Biomes!S$2:S$259,"="&amp;$C298)&gt;0,Biomes!S$1&amp;", ","")&amp;
IF(COUNTIF(Biomes!R$2:R$259,"="&amp;$C298)&gt;0,Biomes!R$1&amp;", ",""),", ","")
),_xlfn.XLOOKUP(B298,B:B,BX:BX))</f>
        <v/>
      </c>
      <c r="BY298" s="25" t="str">
        <f>IF(_xlfn.XLOOKUP(B298,'Base stats'!B:B,'Base stats'!AJ:AJ)=1,"true","false")</f>
        <v>false</v>
      </c>
      <c r="BZ298" s="25">
        <f>IF(_xlfn.XLOOKUP(B298,'Base stats'!B:B,'Base stats'!N:N)=1,"No",MAX(0.001,MIN(MROUND(IF(AND(BJ298="True",CC298="False"),POWER(10,3.47*LOG10(_xlfn.XLOOKUP(B298,'Base stats'!B:B,'Base stats'!C:C)*1000)^-0.96),POWER(10,4.15*LOG10(_xlfn.XLOOKUP(B298,'Base stats'!B:B,'Base stats'!C:C)*1000)^-0.73))*IF(_xlfn.XLOOKUP(B298,'Base stats'!B:B,'Base stats'!AK:AK)=1,0.5,1)*IF(_xlfn.XLOOKUP(B298,'Base stats'!B:B,'Base stats'!AM:AM)=1,0.1,1)/100,IF(_xlfn.XLOOKUP(B298,'Base stats'!B:B,'Base stats'!AM:AM)=1,0.001,0.025)),0.5)))</f>
        <v>0.02</v>
      </c>
      <c r="CA298" s="25">
        <f>IF(P298="Standard","No",MAX(0.001,MIN(MROUND(IF(AND(BJ298="True",CC298="False"),POWER(10,3.47*LOG10(_xlfn.XLOOKUP(B298,'Base stats'!B:B,'Base stats'!C:C)*1000)^-0.96),POWER(10,4.15*LOG10(_xlfn.XLOOKUP(B298,'Base stats'!B:B,'Base stats'!C:C)*1000)^-0.73))*IF(_xlfn.XLOOKUP(B298,'Base stats'!B:B,'Base stats'!AM:AM)=1,0.1,1)*_xlfn.XLOOKUP(B298,'Base stats'!B:B,'Base stats'!R:R)/100,IF(_xlfn.XLOOKUP(B298,'Base stats'!B:B,'Base stats'!AM:AM)=1,0.001,0.025)),0.5)))</f>
        <v>0.02</v>
      </c>
      <c r="CB298" s="25" t="str">
        <f>IF(_xlfn.XLOOKUP(_xlfn.XLOOKUP(B298,'Base stats'!B:B,'Base stats'!E:E),Groups!A:A,Groups!AJ:AJ)="Mammal","True","False")</f>
        <v>True</v>
      </c>
      <c r="CC298" s="25" t="str">
        <f>IF(OR(_xlfn.XLOOKUP(_xlfn.XLOOKUP(B298,'Base stats'!B:B,'Base stats'!E:E),Groups!A:A,Groups!AJ:AJ)="Reptile",_xlfn.XLOOKUP(_xlfn.XLOOKUP(B298,'Base stats'!B:B,'Base stats'!E:E),Groups!A:A,Groups!AJ:AJ)="Amphibian",_xlfn.XLOOKUP(_xlfn.XLOOKUP(B298,'Base stats'!B:B,'Base stats'!E:E),Groups!A:A,Groups!AJ:AJ)="Invertebrate"),"True","False")</f>
        <v>False</v>
      </c>
      <c r="CD298" s="25" t="str">
        <f t="shared" si="34"/>
        <v>True</v>
      </c>
      <c r="CE298" s="25" t="str">
        <f>IF(_xlfn.XLOOKUP(_xlfn.XLOOKUP(B298,'Base stats'!B:B,'Base stats'!E:E),Groups!A:A,Groups!AX:AX),"True","False")</f>
        <v>False</v>
      </c>
      <c r="CF298" s="25" t="str">
        <f>IF(_xlfn.XLOOKUP(_xlfn.XLOOKUP(B298,'Base stats'!B:B,'Base stats'!E:E),Groups!A:A,Groups!AY:AY),"True","False")</f>
        <v>False</v>
      </c>
      <c r="CG298" s="25" t="str">
        <f>IF(_xlfn.XLOOKUP(_xlfn.XLOOKUP(B298,'Base stats'!B:B,'Base stats'!E:E),Groups!A:A,Groups!AW:AW),"True","False")</f>
        <v>True</v>
      </c>
      <c r="CH298" s="25" t="str">
        <f>IF(
OR(
_xlfn.XLOOKUP(_xlfn.XLOOKUP(B298,'Base stats'!B:B,'Base stats'!E:E),Groups!A:A,Groups!AZ:AZ)=0,
AND(
_xlfn.XLOOKUP(B298,'Base stats'!B:B,'Base stats'!Y:Y)&lt;&gt;"Carnivore",
_xlfn.XLOOKUP(B298,'Base stats'!B:B,'Base stats'!Y:Y)&lt;&gt;"Omnivore",
_xlfn.XLOOKUP(B298,'Base stats'!B:B,'Base stats'!Y:Y)&lt;&gt;"OmnivoreRough"
)
),
"No",
IF(
_xlfn.XLOOKUP(_xlfn.XLOOKUP(B298,'Base stats'!B:B,'Base stats'!E:E),Groups!A:A,Groups!AZ:AZ)=1,
"Flesh",
IF(
_xlfn.XLOOKUP(_xlfn.XLOOKUP(B298,'Base stats'!B:B,'Base stats'!E:E),Groups!A:A,Groups!AZ:AZ)=2,
"Bone",
""
)
)
)</f>
        <v>No</v>
      </c>
      <c r="CI298" s="25" t="str">
        <f>IF(_xlfn.XLOOKUP(_xlfn.XLOOKUP(B298,'Base stats'!B:B,'Base stats'!E:E),Groups!A:A,Groups!BB:BB),"True","False")</f>
        <v>True</v>
      </c>
      <c r="CJ298" s="25" t="str">
        <f>IF(_xlfn.XLOOKUP(_xlfn.XLOOKUP(B298,'Base stats'!B:B,'Base stats'!E:E),Groups!A:A,Groups!BA:BA),"True","False")</f>
        <v>False</v>
      </c>
    </row>
    <row r="299" spans="1:88" ht="16.5" thickTop="1" thickBot="1" x14ac:dyDescent="0.3">
      <c r="A299" s="26" t="s">
        <v>1510</v>
      </c>
      <c r="B299" s="6" t="str">
        <f>_xlfn.XLOOKUP(A299,'Base stats'!A:A,'Base stats'!B:B)</f>
        <v>Murka sapiens</v>
      </c>
      <c r="C299" s="28" t="s">
        <v>1511</v>
      </c>
      <c r="D299" s="28" t="s">
        <v>1341</v>
      </c>
      <c r="E299" s="28" t="s">
        <v>673</v>
      </c>
      <c r="F299" s="28" t="s">
        <v>673</v>
      </c>
      <c r="G299" s="28" t="s">
        <v>673</v>
      </c>
      <c r="H299" s="2">
        <f>MROUND((
  (IF(AND(_xlfn.XLOOKUP(B299,'Base stats'!B:B,'Base stats'!AL:AL)=0,BI299="None",_xlfn.XLOOKUP(_xlfn.XLOOKUP(B299,'Base stats'!B:B,'Base stats'!E:E),Groups!A:A,Groups!B:B)=0), (18 + BR299 * 2.7) * 0.5,
    IF(AND(_xlfn.XLOOKUP(B299,'Base stats'!B:B,'Base stats'!AL:AL)=0,OR(AO299&lt;0.55,AND(BI299="Intermediate",_xlfn.XLOOKUP(_xlfn.XLOOKUP(B299,'Base stats'!B:B,'Base stats'!E:E),Groups!A:A,Groups!B:B)&lt;2))), (18 + BR299 * 2.7),
      IF(OR(BI299="Advanced",_xlfn.XLOOKUP(B299,'Base stats'!B:B,'Base stats'!AL:AL)=1,_xlfn.XLOOKUP(_xlfn.XLOOKUP(B299,'Base stats'!B:B,'Base stats'!E:E),Groups!A:A,Groups!B:B)=2), (18 + BR299 * 2.7) + 250, (18 + BR299 * 2.7))
    )
  ))
  + AO299 * 80
  + IF(COUNTIF(EggMilk!K$2:K$998, A299) &gt; 0, 125, 0)
  + IF(COUNTIF(EggMilk!P$2:P$998, A299) &gt; 0, 90, 0)
  + IF(COUNTIF(EggMilk!A$2:A$998, A299) &gt; 0, 90, 0)
)
* (0.8 + 0.4 * J299)
* 0.75,25)</f>
        <v>425</v>
      </c>
      <c r="I299" s="2">
        <f>MROUND(ROUNDDOWN(_xlfn.XLOOKUP(B299,'Base stats'!B:B,'Base stats'!L:L)/3.6/(23.3/11),1),0.5)</f>
        <v>8.5</v>
      </c>
      <c r="J299" s="2">
        <f>IF(OR(_xlfn.XLOOKUP(B299,'Base stats'!B:B,'Base stats'!AB:AB)=1,_xlfn.XLOOKUP(_xlfn.XLOOKUP(B299,'Base stats'!B:B,'Base stats'!E:E),Groups!A:A,Groups!C:C)="Untamable"),1,IF(_xlfn.XLOOKUP(B299,'Base stats'!B:B,'Base stats'!AL:AL)=1,0.99,MIN(MROUND((1-0.6282*EXP(-0.459*AO299))*_xlfn.XLOOKUP(_xlfn.XLOOKUP(B299,'Base stats'!B:B,'Base stats'!E:E),Groups!A:A,Groups!C:C)*IF(_xlfn.XLOOKUP(B299,'Base stats'!B:B,'Base stats'!O:O)=1,0.5,IF(_xlfn.XLOOKUP(B299,'Base stats'!B:B,'Base stats'!O:O)=2,0,1)),0.05),IF(AO299&gt;3.5,0.985,0.95))))</f>
        <v>0.65</v>
      </c>
      <c r="K299" s="2">
        <f>ROUNDUP(AO299*_xlfn.XLOOKUP(_xlfn.XLOOKUP(B299,'Base stats'!B:B,'Base stats'!E:E),Groups!A:A,Groups!E:E),0)</f>
        <v>1</v>
      </c>
      <c r="L299" s="2">
        <f>IF(OR(_xlfn.XLOOKUP(_xlfn.XLOOKUP(B299,'Base stats'!B:B,'Base stats'!E:E),Groups!A:A,Groups!F:F)=2,ISNUMBER(SEARCH("SeaIce",BX299)),ISNUMBER(SEARCH("IceSheet",BX299))),-50,IF(OR(ISNUMBER(SEARCH("GlacialPlain",BX299)),ISNUMBER(SEARCH("Tundra",BX299))),-40,IF(OR(ISNUMBER(SEARCH("Alpine",BX299)),ISNUMBER(SEARCH("BorealForest",BX299)),ISNUMBER(SEARCH("ColdBog",BX299))),-30,IF(OR(ISNUMBER(SEARCH("TemperateForest",BX299)),ISNUMBER(SEARCH("TemperateSwamp",BX299))),-20,IF(_xlfn.XLOOKUP(_xlfn.XLOOKUP(B299,'Base stats'!B:B,'Base stats'!E:E),Groups!A:A,Groups!F:F)=1,-15,IF(OR(ISNUMBER(SEARCH("Desert",BX299)),ISNUMBER(SEARCH("ExtremeDesert",BX299))),-10,IF(OR(ISNUMBER(SEARCH("Grasslands",BX299)),ISNUMBER(SEARCH("TropicalRainforest",BX299)),ISNUMBER(SEARCH("TropicalSwamp",BX299))),10,0)))))))-IF(CC299="False",MIN(IFERROR(MAX(MROUND(LOG10(_xlfn.XLOOKUP(B299,'Base stats'!B:B,'Base stats'!C:C)^(2/3))*10,5),5),5),30))-_xlfn.XLOOKUP(B299,'Base stats'!B:B,'Base stats'!P:P)+IF(CC299="True",5,0)</f>
        <v>-25</v>
      </c>
      <c r="M299" s="2">
        <f>IF(OR(_xlfn.XLOOKUP(_xlfn.XLOOKUP(B299,'Base stats'!B:B,'Base stats'!E:E),Groups!A:A,Groups!G:G)=2,ISNUMBER(SEARCH("Desert",BX299)),ISNUMBER(SEARCH("ExtremeDesert",BX299)),ISNUMBER(SEARCH("LavaField",BX299))),50,IF(ISNUMBER(SEARCH("Grasslands",BX299)),45,IF(OR(_xlfn.XLOOKUP(_xlfn.XLOOKUP(B299,'Base stats'!B:B,'Base stats'!E:E),Groups!A:A,Groups!G:G)=1,ISNUMBER(SEARCH("TropicalRainforest",BX299)),ISNUMBER(SEARCH("TropicalSwamp",BX299))),40,IF(OR(ISNUMBER(SEARCH("TemperateForest",BX299)),ISNUMBER(SEARCH("TemperateSwamp",BX299))),35,IF(OR(ISNUMBER(SEARCH("Alpine",BX299)),ISNUMBER(SEARCH("BorealForest",BX299)),ISNUMBER(SEARCH("ColdBog",BX299))),30,IF(ISNUMBER(OR(ISNUMBER(SEARCH("GlacialPlain",BX299)),SEARCH("Tundra",BX299))),25,IF(OR(ISNUMBER(SEARCH("SeaIce",BX299)),ISNUMBER(SEARCH("IceSheet",BX299)),ISNUMBER(SEARCH("TropicalSwamp",BX299))),10,35)))))))+_xlfn.XLOOKUP(B299,'Base stats'!B:B,'Base stats'!Q:Q)</f>
        <v>35</v>
      </c>
      <c r="N299" s="8" t="str">
        <f>IF(
_xlfn.XLOOKUP(
_xlfn.XLOOKUP(B299,'Base stats'!B:B,'Base stats'!E:E),
Groups!A:A,
Groups!L:L
)=1,
MIN(
MROUND(
IF(
_xlfn.XLOOKUP(B299,'Animals CE'!B:B,'Animals CE'!Z:Z)&lt;=1.5,
_xlfn.XLOOKUP(B299,'Animals CE'!B:B,'Animals CE'!Z:Z)/2+0.05,
0.8+
(_xlfn.XLOOKUP(B299,'Animals CE'!B:B,'Animals CE'!Z:Z)-1.5)
*0.02
),
0.05
),
200%
),
"No"
)</f>
        <v>No</v>
      </c>
      <c r="O299" s="8" t="str">
        <f>IF(
_xlfn.XLOOKUP(
_xlfn.XLOOKUP(B299,'Base stats'!B:B,'Base stats'!E:E),
Groups!A:A,
Groups!L:L
)=1,
MIN(
MROUND(
IF(
_xlfn.XLOOKUP(B299,'Animals CE'!B:B,'Animals CE'!AA:AA)&lt;=1.5,
_xlfn.XLOOKUP(B299,'Animals CE'!B:B,'Animals CE'!AA:AA)/2+0.05,
0.8+
(_xlfn.XLOOKUP(B299,'Animals CE'!B:B,'Animals CE'!AA:AA)-1.5)
*0.02
),
0.05
),
200%
),
"No"
)</f>
        <v>No</v>
      </c>
      <c r="P299" s="2" t="str">
        <f>_xlfn.XLOOKUP(B299,'Base stats'!B:B,'Base stats'!R:R)</f>
        <v>Standard</v>
      </c>
      <c r="Q299" s="13">
        <f>MROUND((LOG10(_xlfn.XLOOKUP(B299,'Base stats'!B:B,'Base stats'!AR:AR))*(AO299^0.5)+(_xlfn.XLOOKUP(B299,'Base stats'!B:B,'Base stats'!AR:AR)/1000)^(2/3)+_xlfn.XLOOKUP(B299,'Base stats'!B:B,'Base stats'!BA:BA)/2)+0.5,0.5)</f>
        <v>5</v>
      </c>
      <c r="R299" s="7">
        <f>IF(Q299="No","No",MAX(1,MROUND(_xlfn.XLOOKUP(B299,'Base stats'!B:B,'Base stats'!C:C)^0.165,0.05)))</f>
        <v>1.7000000000000002</v>
      </c>
      <c r="S299" s="13" t="str">
        <f>IF(_xlfn.XLOOKUP(_xlfn.XLOOKUP(B299,'Base stats'!B:B,'Base stats'!E:E),Groups!A:A,Groups!P:P)=0,"No",MROUND((LOG10(_xlfn.XLOOKUP(B299,'Base stats'!B:B,'Base stats'!AS:AS))*(AO299^0.5)+(_xlfn.XLOOKUP(B299,'Base stats'!B:B,'Base stats'!AS:AS)/1000)^(2/3)+_xlfn.XLOOKUP(B299,'Base stats'!B:B,'Base stats'!BA:BA))+_xlfn.XLOOKUP(B299,'Base stats'!B:B,'Base stats'!AY:AY)+0.5,0.5))</f>
        <v>No</v>
      </c>
      <c r="T299" s="7" t="str">
        <f>IF(S299="No","No",MAX(_xlfn.XLOOKUP(_xlfn.XLOOKUP(B299,'Base stats'!B:B,'Base stats'!E:E),Groups!A:A,Groups!Q:Q),MROUND(_xlfn.XLOOKUP(_xlfn.XLOOKUP(B299,'Base stats'!B:B,'Base stats'!E:E),Groups!A:A,Groups!Q:Q)*_xlfn.XLOOKUP(B299,'Base stats'!B:B,'Base stats'!C:C)^0.165,0.05)))</f>
        <v>No</v>
      </c>
      <c r="U299" s="7" t="str">
        <f>IF(S299="No","No",_xlfn.XLOOKUP(_xlfn.XLOOKUP(B299,'Base stats'!B:B,'Base stats'!E:E),Groups!A:A,Groups!R:R))</f>
        <v>No</v>
      </c>
      <c r="V299" s="7" t="str">
        <f>IF(S299="No","No",_xlfn.XLOOKUP(_xlfn.XLOOKUP(B299,'Base stats'!B:B,'Base stats'!E:E),Groups!A:A,Groups!S:S))</f>
        <v>No</v>
      </c>
      <c r="W299" s="7" t="str">
        <f>IF(S299="No","No",_xlfn.XLOOKUP(_xlfn.XLOOKUP(B299,'Base stats'!B:B,'Base stats'!E:E),Groups!A:A,Groups!T:T))</f>
        <v>No</v>
      </c>
      <c r="X299" s="13" t="str">
        <f>IF(_xlfn.XLOOKUP(B299,'Base stats'!B:B,'Base stats'!W:W)="No","No",MROUND((LOG10(_xlfn.XLOOKUP(B299,'Base stats'!B:B,'Base stats'!AU:AU))*(AO299^0.5)+(_xlfn.XLOOKUP(B299,'Base stats'!B:B,'Base stats'!AU:AU)/1000)^(2/3)+_xlfn.XLOOKUP(B299,'Base stats'!B:B,'Base stats'!AZ:AZ))+0.5+IF(_xlfn.XLOOKUP(_xlfn.XLOOKUP(B299,'Base stats'!B:B,'Base stats'!E:E),Groups!A:A,Groups!U:U)&lt;&gt;3,_xlfn.XLOOKUP(B299,'Base stats'!B:B,'Base stats'!BA:BA),0),0.5))</f>
        <v>No</v>
      </c>
      <c r="Y299" s="7" t="str">
        <f>IF(X299="No","No",MAX(_xlfn.XLOOKUP(_xlfn.XLOOKUP(B299,'Base stats'!B:B,'Base stats'!E:E),Groups!A:A,Groups!V:V),MROUND(_xlfn.XLOOKUP(_xlfn.XLOOKUP(B299,'Base stats'!B:B,'Base stats'!E:E),Groups!A:A,Groups!V:V)*_xlfn.XLOOKUP(B299,'Base stats'!B:B,'Base stats'!C:C)^0.165,0.05)))</f>
        <v>No</v>
      </c>
      <c r="Z299" s="7" t="str">
        <f>IF(X299="No","No",_xlfn.XLOOKUP(_xlfn.XLOOKUP(B299,'Base stats'!B:B,'Base stats'!E:E),Groups!A:A,Groups!W:W))</f>
        <v>No</v>
      </c>
      <c r="AA299" s="7" t="str">
        <f>IF(X299="No","No",_xlfn.XLOOKUP(_xlfn.XLOOKUP(B299,'Base stats'!B:B,'Base stats'!E:E),Groups!A:A,Groups!X:X))</f>
        <v>No</v>
      </c>
      <c r="AB299" s="7" t="str">
        <f>IF(X299="No","No",_xlfn.XLOOKUP(_xlfn.XLOOKUP(B299,'Base stats'!B:B,'Base stats'!E:E),Groups!A:A,Groups!Y:Y))</f>
        <v>No</v>
      </c>
      <c r="AC299" s="7" t="str">
        <f>_xlfn.XLOOKUP(Animals!B299,'Base stats'!B:B,'Base stats'!X:X)</f>
        <v>False</v>
      </c>
      <c r="AD299" s="13">
        <f>IF(_xlfn.XLOOKUP(B299,'Base stats'!B:B,'Base stats'!AT:AT)="No","No",MROUND((LOG10(_xlfn.XLOOKUP(B299,'Base stats'!B:B,'Base stats'!AT:AT))*(AO299^0.75)+(_xlfn.XLOOKUP(B299,'Base stats'!B:B,'Base stats'!AT:AT)/1000)^(2/3)+_xlfn.XLOOKUP(B299,'Base stats'!B:B,'Base stats'!AX:AX)+_xlfn.XLOOKUP(B299,'Base stats'!B:B,'Base stats'!BA:BA))+0.5,0.5))</f>
        <v>9.5</v>
      </c>
      <c r="AE299" s="7">
        <f>IF(AD299="No","No",MAX(_xlfn.XLOOKUP(_xlfn.XLOOKUP(B299,'Base stats'!B:B,'Base stats'!E:E),Groups!A:A,Groups!Z:Z),MROUND(_xlfn.XLOOKUP(_xlfn.XLOOKUP(B299,'Base stats'!B:B,'Base stats'!E:E),Groups!A:A,Groups!Z:Z)*_xlfn.XLOOKUP(B299,'Base stats'!B:B,'Base stats'!C:C)^0.165,0.05)))</f>
        <v>1.35</v>
      </c>
      <c r="AF299" s="7" t="str">
        <f>IF(AD299="No","No",_xlfn.XLOOKUP(_xlfn.XLOOKUP(B299,'Base stats'!B:B,'Base stats'!E:E),Groups!A:A,Groups!AA:AA))</f>
        <v>Teeth</v>
      </c>
      <c r="AG299" s="7" t="str">
        <f>IF(AD299="No","No",_xlfn.XLOOKUP(_xlfn.XLOOKUP(B299,'Base stats'!B:B,'Base stats'!E:E),Groups!A:A,Groups!AB:AB))</f>
        <v>canines</v>
      </c>
      <c r="AH299" s="7" t="str">
        <f>IF(AD299="No","No",_xlfn.XLOOKUP(_xlfn.XLOOKUP(B299,'Base stats'!B:B,'Base stats'!E:E),Groups!A:A,Groups!AC:AC))</f>
        <v>FO_PlaguedBite</v>
      </c>
      <c r="AI299" s="13" t="str">
        <f>IF(_xlfn.XLOOKUP(_xlfn.XLOOKUP(B299,'Base stats'!B:B,'Base stats'!E:E),Groups!A:A,Groups!AD:AD)=0,"No",MROUND((LOG10(_xlfn.XLOOKUP(B299,'Base stats'!B:B,'Base stats'!AS:AS))*(AO299^0.75)+(_xlfn.XLOOKUP(B299,'Base stats'!B:B,'Base stats'!AS:AS)/1000)^(2/3)+_xlfn.XLOOKUP(B299,'Base stats'!B:B,'Base stats'!AY:AY)+_xlfn.XLOOKUP(B299,'Base stats'!B:B,'Base stats'!BA:BA))+0.5,0.5))</f>
        <v>No</v>
      </c>
      <c r="AJ299" s="7" t="str">
        <f>IF(AI299="No","No",MAX(_xlfn.XLOOKUP(_xlfn.XLOOKUP(B299,'Base stats'!B:B,'Base stats'!E:E),Groups!A:A,Groups!AE:AE),MROUND(_xlfn.XLOOKUP(_xlfn.XLOOKUP(B299,'Base stats'!B:B,'Base stats'!E:E),Groups!A:A,Groups!AE:AE)*IF(_xlfn.XLOOKUP(_xlfn.XLOOKUP(B299,'Base stats'!B:B,'Base stats'!E:E),Groups!A:A,Groups!AJ:AJ)="Photonozoa",0.6,1)*_xlfn.XLOOKUP(B299,'Base stats'!B:B,'Base stats'!C:C)^0.165,0.05)))</f>
        <v>No</v>
      </c>
      <c r="AK299" s="7" t="str">
        <f>IF(AI299="No","No",_xlfn.XLOOKUP(_xlfn.XLOOKUP(B299,'Base stats'!B:B,'Base stats'!E:E),Groups!A:A,Groups!AF:AF))</f>
        <v>No</v>
      </c>
      <c r="AL299" s="7" t="str">
        <f>IF(AI299="No","No",_xlfn.XLOOKUP(_xlfn.XLOOKUP(B299,'Base stats'!B:B,'Base stats'!E:E),Groups!A:A,Groups!AG:AG))</f>
        <v>No</v>
      </c>
      <c r="AM299" s="7" t="str">
        <f>IF(AI299="No","No",_xlfn.XLOOKUP(_xlfn.XLOOKUP(B299,'Base stats'!B:B,'Base stats'!E:E),Groups!A:A,Groups!AH:AH))</f>
        <v>No</v>
      </c>
      <c r="AN299" s="2">
        <f t="shared" si="28"/>
        <v>20</v>
      </c>
      <c r="AO299" s="2">
        <f>MROUND(IF(AND(_xlfn.XLOOKUP(B299,'Base stats'!B:B,'Base stats'!C:C)&gt;=0.5,_xlfn.XLOOKUP(B299,'Base stats'!B:B,'Base stats'!C:C)&lt;=0.8),
IF(_xlfn.XLOOKUP(B299,'Base stats'!B:B,'Base stats'!C:C)&lt;0.1,0.05,IF(_xlfn.XLOOKUP(B299,'Base stats'!B:B,'Base stats'!C:C)&lt;=70,(_xlfn.XLOOKUP(B299,'Base stats'!B:B,'Base stats'!C:C)/70)^0.426489913056526,IF(_xlfn.XLOOKUP(B299,'Base stats'!B:B,'Base stats'!C:C)&lt;=400,(_xlfn.XLOOKUP(B299,'Base stats'!B:B,'Base stats'!C:C)/70)^0.572811455315093,IF(_xlfn.XLOOKUP(B299,'Base stats'!B:B,'Base stats'!C:C)&lt;=2000,2.71391647193063*(_xlfn.XLOOKUP(B299,'Base stats'!B:B,'Base stats'!C:C)/400)^0.252459582904293,3.74314280240376*(_xlfn.XLOOKUP(B299,'Base stats'!B:B,'Base stats'!C:C)/2000)^0.357012633876913)))),
IF(_xlfn.XLOOKUP(B299,'Base stats'!B:B,'Base stats'!C:C)&lt;0.1,0.05,IF(_xlfn.XLOOKUP(B299,'Base stats'!B:B,'Base stats'!C:C)&lt;0.4,0.1,IF(_xlfn.XLOOKUP(B299,'Base stats'!B:B,'Base stats'!C:C)&lt;=70,(_xlfn.XLOOKUP(B299,'Base stats'!B:B,'Base stats'!C:C)/70)^0.445823913056526,IF(_xlfn.XLOOKUP(B299,'Base stats'!B:B,'Base stats'!C:C)&lt;=400,(_xlfn.XLOOKUP(B299,'Base stats'!B:B,'Base stats'!C:C)/70)^0.572811455315093,IF(_xlfn.XLOOKUP(B299,'Base stats'!B:B,'Base stats'!C:C)&lt;=2000,2.71391647193063*(_xlfn.XLOOKUP(B299,'Base stats'!B:B,'Base stats'!C:C)/400)^0.252459582904293,3.74314280240376*(_xlfn.XLOOKUP(B299,'Base stats'!B:B,'Base stats'!C:C)/2000)^0.357012633876913)))))),
IF(_xlfn.XLOOKUP(B299,'Base stats'!B:B,'Base stats'!C:C)&lt;0.1,0.05,IF(_xlfn.XLOOKUP(B299,'Base stats'!B:B,'Base stats'!C:C)&lt;=100,0.05,IF(_xlfn.XLOOKUP(B299,'Base stats'!B:B,'Base stats'!C:C)&lt;=250,0.1,IF(_xlfn.XLOOKUP(B299,'Base stats'!B:B,'Base stats'!C:C)&lt;=4000,0.25,0.5)))))</f>
        <v>0.65</v>
      </c>
      <c r="AP299" s="8">
        <f>MROUND(AO299*_xlfn.XLOOKUP(_xlfn.XLOOKUP(B299,'Base stats'!B:B,'Base stats'!E:E),Groups!A:A,Groups!AI:AI)*_xlfn.XLOOKUP(B299,'Base stats'!B:B,'Base stats'!Z:Z),0.05)</f>
        <v>0.8</v>
      </c>
      <c r="AQ299" s="8">
        <f>MAX(0.01,MROUND(IF(CC299="True",0.196*(AO299*100*1000)^0.889,IF(_xlfn.XLOOKUP(_xlfn.XLOOKUP(B299,'Base stats'!B:B,'Base stats'!E:E),Groups!A:A,Groups!AJ:AJ)="Bird",10.5*(AO299*100*1000)^0.681,4.82*(AO299*100*1000)^0.734))/(4.82*(1*100*1000)^0.734)/IF(AO299&lt;3.5,2,IF(AO299=3.5,1.5,1.25))*(1+0.132282374779864/(AO299^0.994035016789033+0.00905238001496948)),0.05))</f>
        <v>0.45</v>
      </c>
      <c r="AR299" s="9">
        <f>IFERROR(MROUND(_xlfn.XLOOKUP(B299,'Base stats'!B:B,'Base stats'!H:H)/IF(_xlfn.XLOOKUP(B299,'Base stats'!B:B,'Base stats'!I:I)&lt;&gt;1,(122.5/70),1.2),IF(_xlfn.XLOOKUP(B299,'Base stats'!B:B,'Base stats'!H:H)&gt;=30,5,IF(_xlfn.XLOOKUP(B299,'Base stats'!B:B,'Base stats'!H:H)&gt;=15,3,IF(_xlfn.XLOOKUP(B299,'Base stats'!B:B,'Base stats'!H:H)&gt;=10,2,1)))),"Immortal")</f>
        <v>12</v>
      </c>
      <c r="AS299" s="35">
        <f>IFERROR(IF(OR(_xlfn.XLOOKUP(B299,'Base stats'!B:B,'Base stats'!F:F)="Atypical reproduction",_xlfn.XLOOKUP(B299,'Base stats'!B:B,'Base stats'!F:F)="Lay eggs"),"Lay eggs",MIN(20,MAX(5.5,ROUND(((_xlfn.XLOOKUP(B299,'Base stats'!B:B,'Base stats'!F:F)-25)*(14.5/615) + 5.5)*2,0)/2))),"Unknown")</f>
        <v>6.5</v>
      </c>
      <c r="AT299" s="8">
        <f>IF(_xlfn.XLOOKUP(B299,'Base stats'!B:B,'Base stats'!G:G)="Atypical reproduction","No",IFERROR(MAX(IF(_xlfn.XLOOKUP(B299,'Base stats'!B:B,'Base stats'!G:G)&lt;0.5,0.2,0.3),MROUND(_xlfn.XLOOKUP(B299,'Base stats'!B:B,'Base stats'!G:G)/(365/60),0.2)),"Unknown"))</f>
        <v>0.3</v>
      </c>
      <c r="AU299" s="8">
        <f t="shared" si="29"/>
        <v>0.15000000000000002</v>
      </c>
      <c r="AV299" s="8">
        <f>IFERROR(IFERROR(MROUND(_xlfn.XLOOKUP(B299,'Base stats'!B:B,'Base stats'!J:J),0.1),"Lay eggs"),"Cannot breed")</f>
        <v>5</v>
      </c>
      <c r="AW299" s="2" t="str">
        <f t="shared" si="30"/>
        <v>true</v>
      </c>
      <c r="AX299" s="2" t="str">
        <f>IF(_xlfn.XLOOKUP(_xlfn.XLOOKUP(Animals!B299,'Base stats'!B:B,'Base stats'!E:E),Groups!A:A,Groups!AK:AK)=1,"true","false")</f>
        <v>false</v>
      </c>
      <c r="AY299" s="25" t="str">
        <f>IF(_xlfn.XLOOKUP(B299,'Base stats'!B:B,'Base stats'!Y:Y)="Liquor","Liquor, CarnivoreAnimalStrict",IF(AND(_xlfn.XLOOKUP(B299,'Base stats'!B:B,'Base stats'!Y:Y)="Carnivore",_xlfn.XLOOKUP(_xlfn.XLOOKUP(B299,'Base stats'!B:B,'Base stats'!E:E),Groups!A:A,Groups!AJ:AJ)="Photonozoa"),"CarnivoreAnimalStrict, OvivoreAnimal",IF(_xlfn.XLOOKUP(B299,'Base stats'!B:B,'Base stats'!Y:Y)="Carnivore","CarnivoreAnimal, OvivoreAnimal",IF(_xlfn.XLOOKUP(B299,'Base stats'!B:B,'Base stats'!Y:Y)="Dendrovore","VegetarianRoughAnimal, DendrovoreAnimal",IF(_xlfn.XLOOKUP(B299,'Base stats'!B:B,'Base stats'!Y:Y)="Herbivore","VegetarianRoughAnimal",IF(_xlfn.XLOOKUP(B299,'Base stats'!B:B,'Base stats'!Y:Y)="OmnivoreRough","OmnivoreRoughAnimal, OvivoreAnimal","OmnivoreAnimal, OvivoreAnimal"))))))</f>
        <v>CarnivoreAnimal, OvivoreAnimal</v>
      </c>
      <c r="AZ299" s="2" t="str">
        <f>IF(_xlfn.XLOOKUP(_xlfn.XLOOKUP(B299,'Base stats'!B:B,'Base stats'!E:E),Groups!A:A,Groups!D:D)=1,MROUND((1-J299)*5+1,2)*IF(J299&lt;=0.4,2,1),"No")</f>
        <v>No</v>
      </c>
      <c r="BA299" s="2" t="str">
        <f>IF(AND(_xlfn.XLOOKUP(B299,'Base stats'!B:B,'Base stats'!AH:AH)="&lt;li&gt;Seal&lt;/li&gt;",G299="Odyssey"),"&lt;li&gt;AEXP_Seal&lt;/li&gt;",_xlfn.XLOOKUP(B299,'Base stats'!B:B,'Base stats'!AH:AH))</f>
        <v>&lt;li&gt;Rat&lt;/li&gt;</v>
      </c>
      <c r="BB299" s="2" t="str">
        <f>_xlfn.XLOOKUP(B299,'Base stats'!B:B,'Base stats'!AG:AG)</f>
        <v>Leather_Night</v>
      </c>
      <c r="BC299" s="23" t="str">
        <f>_xlfn.XLOOKUP(_xlfn.XLOOKUP(B299,'Base stats'!B:B,'Base stats'!E:E),Groups!A:A,Groups!AL:AL)</f>
        <v>QuadrupedAnimalWithPawsAndTail</v>
      </c>
      <c r="BD299" s="23">
        <f>MIN(1,MROUND(IF(AND(AO299&lt;0.5,_xlfn.XLOOKUP(B299,'Base stats'!B:B,'Base stats'!AA:AA)=0),0,IF(OR(_xlfn.XLOOKUP(Animals!B299,'Base stats'!B:B,'Base stats'!O:O)=2,_xlfn.XLOOKUP(_xlfn.XLOOKUP(B299,'Base stats'!B:B,'Base stats'!E:E),Groups!A:A,Groups!AN:AN)=0),0,_xlfn.XLOOKUP(_xlfn.XLOOKUP(B299,'Base stats'!B:B,'Base stats'!E:E),Groups!A:A,Groups!AN:AN)/IF(_xlfn.XLOOKUP(Animals!B299,'Base stats'!B:B,'Base stats'!O:O)=1,2,1)))+_xlfn.XLOOKUP(B299,'Base stats'!B:B,'Base stats'!AC:AC),0.005))</f>
        <v>0.1</v>
      </c>
      <c r="BE299" s="23">
        <f>MIN(1,MROUND(IF(AND(AO299&lt;0.5,_xlfn.XLOOKUP(B299,'Base stats'!B:B,'Base stats'!AA:AA)=0),0,IF(_xlfn.XLOOKUP(_xlfn.XLOOKUP(B299,'Base stats'!B:B,'Base stats'!E:E),Groups!A:A,Groups!AO:AO)=0,0,_xlfn.XLOOKUP(_xlfn.XLOOKUP(B299,'Base stats'!B:B,'Base stats'!E:E),Groups!A:A,Groups!AO:AO)/IF(_xlfn.XLOOKUP(Animals!B299,'Base stats'!B:B,'Base stats'!O:O)=2,3,1)))+_xlfn.XLOOKUP(B299,'Base stats'!B:B,'Base stats'!AD:AD),0.005))</f>
        <v>0.3</v>
      </c>
      <c r="BF299" s="2" t="str">
        <f>IF(J299&gt;0.3,"No",_xlfn.XLOOKUP(_xlfn.XLOOKUP(Animals!B299,'Base stats'!B:B,'Base stats'!E:E),Groups!A:A,Groups!AP:AP))</f>
        <v>No</v>
      </c>
      <c r="BG299" s="2">
        <f>IF(AND(J299&lt;=0.65,_xlfn.XLOOKUP(_xlfn.XLOOKUP(Animals!B299,'Base stats'!B:B,'Base stats'!E:E),Groups!A:A,Groups!AP:AP)&lt;&gt;"No",_xlfn.XLOOKUP(_xlfn.XLOOKUP(B299,'Base stats'!B:B,'Base stats'!E:E),Groups!A:A,Groups!D:D)=0),MROUND((80/3)*IF(_xlfn.XLOOKUP(B299,'Base stats'!B:B,'Base stats'!O:O)=2,0.2,AO299) + 24*(1-IF(BF299="No",0,BF299)) + 16/3, 12),"No")</f>
        <v>48</v>
      </c>
      <c r="BH299" s="2">
        <f>IF(AND(_xlfn.XLOOKUP(_xlfn.XLOOKUP(B299,'Base stats'!B:B,'Base stats'!E:E),Groups!A:A,Groups!AQ:AQ)=1,AO299&lt;=0.35),8,12)</f>
        <v>12</v>
      </c>
      <c r="BI299" s="2" t="str">
        <f>IF(_xlfn.XLOOKUP(_xlfn.XLOOKUP(B299,'Base stats'!B:B,'Base stats'!E:E),Groups!A:A,Groups!D:D)=0,_xlfn.XLOOKUP(_xlfn.XLOOKUP(B299,'Base stats'!B:B,'Base stats'!E:E),Groups!A:A,Groups!AR:AR),"None")</f>
        <v>Advanced</v>
      </c>
      <c r="BJ299" s="2" t="str">
        <f>IF(AND(_xlfn.XLOOKUP(_xlfn.XLOOKUP(B299,'Base stats'!B:B,'Base stats'!E:E),Groups!A:A,Groups!AS:AS)=1,OR(_xlfn.XLOOKUP(B299,'Base stats'!B:B,'Base stats'!Y:Y)="Carnivore",_xlfn.XLOOKUP(B299,'Base stats'!B:B,'Base stats'!Y:Y)="Omnivore")),"true","false")</f>
        <v>true</v>
      </c>
      <c r="BK299" s="2">
        <f>IF(BJ299="true",MROUND(IF(AND(AO299&gt;0.5,OR(_xlfn.XLOOKUP(_xlfn.XLOOKUP(B299,'Base stats'!B:B,'Base stats'!E:E),Groups!A:A,Groups!AJ:AJ)="Photonozoa",_xlfn.XLOOKUP(_xlfn.XLOOKUP(B299,'Base stats'!B:B,'Base stats'!E:E),Groups!A:A,Groups!AJ:AJ)="Mammal")),Animals!AO299*1.75*IF(AW299="true",1.5,1),IF(AO299&lt;0.5,Animals!AO299*0.5,Animals!AO299)),IF(AO299&gt;2,0.5,IF(AO299&gt;0.5,0.25,0.1))),"No")</f>
        <v>1.75</v>
      </c>
      <c r="BL299" s="2">
        <f t="shared" si="31"/>
        <v>1</v>
      </c>
      <c r="BM299" s="25" t="str">
        <f>IF(_xlfn.XLOOKUP(B299,'Base stats'!B:B,'Base stats'!AN:AN)="Standard","No",MROUND((_xlfn.XLOOKUP(B299,'Base stats'!B:B,'Base stats'!AN:AN)/3.6)/I299,0.1))</f>
        <v>No</v>
      </c>
      <c r="BN299" s="25" t="str">
        <f t="shared" si="32"/>
        <v>false</v>
      </c>
      <c r="BO299" s="25" t="str">
        <f>IF(AND(OR(_xlfn.XLOOKUP(B299,'Base stats'!B:B,'Base stats'!Y:Y)="Carnivore",_xlfn.XLOOKUP(B299,'Base stats'!B:B,'Base stats'!Y:Y)="Omnivore",_xlfn.XLOOKUP(B299,'Base stats'!B:B,'Base stats'!Y:Y)="OmnivoreRough"),_xlfn.XLOOKUP(_xlfn.XLOOKUP(B299,'Base stats'!B:B,'Base stats'!E:E),Groups!A:A,Groups!AT:AT)=1),"true","false")</f>
        <v>false</v>
      </c>
      <c r="BP299" s="25" t="str" cm="1">
        <f t="array" ref="BP299">IF(
  _xlfn.TEXTJOIN(", ",TRUE,
    IF(AND(BJ299="true",AO299&gt;0.5,BI299&lt;&gt;"None"),"AttackTarget",""),
    IF(AND(_xlfn.XLOOKUP(_xlfn.XLOOKUP(B299,'Base stats'!B:B,'Base stats'!E:E),Groups!A:A,Groups!AJ:AJ="Mammal"),OR(_xlfn.XLOOKUP(B299,'Base stats'!B:B,'Base stats'!Y:Y)="Omnivore",_xlfn.XLOOKUP(B299,'Base stats'!B:B,'Base stats'!Y:Y)="OmnivoreRough")),"Forage",""),
    IF(BG299&lt;=36,"Comfort",""),
    IF(_xlfn.XLOOKUP(B299,'Base stats'!B:B,'Base stats'!AE:AE)&lt;&gt;"No",_xlfn.XLOOKUP(B299,'Base stats'!B:B,'Base stats'!AE:AE),"")
  ) = "",
  "No",
  _xlfn.TEXTJOIN(", ",TRUE,
    IF(AND(BJ299="true",AO299&gt;0.5,BI299&lt;&gt;"None"),"AttackTarget",""),
    IF(AND(_xlfn.XLOOKUP(_xlfn.XLOOKUP(B299,'Base stats'!B:B,'Base stats'!E:E),Groups!A:A,Groups!AJ:AJ="Mammal"),OR(_xlfn.XLOOKUP(B299,'Base stats'!B:B,'Base stats'!Y:Y)="Omnivore",_xlfn.XLOOKUP(B299,'Base stats'!B:B,'Base stats'!Y:Y)="OmnivoreRough")),"Forage",""),
    IF(BG299&lt;=36,"Comfort",""),
    IF(_xlfn.XLOOKUP(B299,'Base stats'!B:B,'Base stats'!AE:AE)&lt;&gt;"No",_xlfn.XLOOKUP(B299,'Base stats'!B:B,'Base stats'!AE:AE),"")
  )
)</f>
        <v>AttackTarget</v>
      </c>
      <c r="BQ299" s="25" t="str">
        <f>IF(
   AND(
      'Base stats'!AN299="Standard",_xlfn.XLOOKUP(_xlfn.XLOOKUP(B299,'Base stats'!B:B,'Base stats'!E:E),Groups!A:A,Groups!AU:AU)=0,
      OR(
      BO299="True"
      )
   ),
   10,
   IF(
       OR(BM299&lt;&gt;"No",_xlfn.XLOOKUP(_xlfn.XLOOKUP(B299,'Base stats'!B:B,'Base stats'!E:E),Groups!A:A,Groups!AU:AU)=1),
      1,
      "No"
   )
)</f>
        <v>No</v>
      </c>
      <c r="BR299" s="9">
        <f>MROUND((1 + ((0.2*IF(OR(Q299="No",R299="No",R299=0),0,Q299/R299)
+IF(OR(V299="No",S299="No",T299="No"),0,S299/T299*(LEN(V299)-LEN(SUBSTITUTE(V299,",",""))+1))
+IF(OR(X299="No",Y299="No"),0,X299/Y299)
+IF(OR(AD299="No",AE299="No"),0,AD299/AE299)
+IF(OR(AL299="No",AI299="No",AJ299="No"),0,AI299/AJ299*(LEN(AL299)-LEN(SUBSTITUTE(AL299,",",""))+1))
)/(0.2*IF(OR(Q299="No",R299="No",R299=0),0,1)
+IF(OR(V299="No",S299="No",T299="No"),0,LEN(V299)-LEN(SUBSTITUTE(V299,",",""))+1)
+IF(OR(X299="No",Y299="No"),0,1)
+IF(OR(AD299="No",AE299="No"),0,1)
+IF(OR(AL299="No",AI299="No",AJ299="No"),0,LEN(AL299)-LEN(SUBSTITUTE(AL299,",",""))+1))*62%)* 2)*(1 + (AP299 / (IF(_xlfn.XLOOKUP(_xlfn.XLOOKUP(B299,'Base stats'!B:B,'Base stats'!E:E),Groups!A:A,Groups!AJ:AJ)="Photonozoa",0.3,1)) + _xlfn.XLOOKUP(B299,'Base stats'!B:B,'Base stats'!AV:AV) * 1.8) * 2) * 2.5 + 10 + I299 * 2,5)+IF(_xlfn.XLOOKUP(B299,'Base stats'!B:B,'Base stats'!AK:AK)=1,50,0)</f>
        <v>85</v>
      </c>
      <c r="BS299" s="8">
        <f t="shared" si="33"/>
        <v>0.5</v>
      </c>
      <c r="BT299" s="8" t="str">
        <f>_xlfn.XLOOKUP(B299,'Base stats'!B:B,'Base stats'!AF:AF)</f>
        <v>1~3</v>
      </c>
      <c r="BU299" s="2" t="str">
        <f>IF(AND(J299&lt;=0.95,OR(_xlfn.XLOOKUP(B299,'Base stats'!B:B,'Base stats'!AK:AK)=1,_xlfn.XLOOKUP(B299,'Base stats'!B:B,'Base stats'!Y:Y)="Carnivore",_xlfn.XLOOKUP(B299,'Base stats'!B:B,'Base stats'!Y:Y)="Omnivore",BE299&gt;0.1)),"true","false")</f>
        <v>true</v>
      </c>
      <c r="BV299" s="2" t="str">
        <f>IF(_xlfn.XLOOKUP(B299,'Base stats'!B:B,'Base stats'!AI:AI)=1,"true","false")</f>
        <v>false</v>
      </c>
      <c r="BW299" s="25" t="str">
        <f>IF(E299="BaseInsect","AnimalInsect",
IF(J299&gt;0.95,"AnimalExotic",
_xlfn.TEXTJOIN(", ",TRUE,
IF(OR(_xlfn.XLOOKUP(B299,'Base stats'!B:B,'Base stats'!AM:AM)=1,AND(_xlfn.XLOOKUP(B299,'Base stats'!B:B,'Base stats'!O:O)=0,_xlfn.XLOOKUP(_xlfn.XLOOKUP(B299,'Base stats'!B:B,'Base stats'!E:E),Groups!A:A,Groups!B:B)&gt;0)),"AnimalUncommon","AnimalCommon"),
IF(AND(_xlfn.XLOOKUP(B299,'Base stats'!B:B,'Base stats'!O:O)=2,_xlfn.XLOOKUP(_xlfn.XLOOKUP(B299,'Base stats'!B:B,'Base stats'!E:E),Groups!A:A,Groups!D:D)=0),"AnimalPet",IF(AND(_xlfn.XLOOKUP(B299,'Base stats'!B:B,'Base stats'!O:O)&lt;&gt;0,_xlfn.XLOOKUP(_xlfn.XLOOKUP(B299,'Base stats'!B:B,'Base stats'!E:E),Groups!A:A,Groups!D:D)&lt;&gt;0),"AnimalFarm","")),
IF(OR(_xlfn.XLOOKUP(B299,'Base stats'!B:B,'Base stats'!AK:AK)=1,AND(BI299&lt;&gt;"None",BR299&gt;=60),ISNUMBER(SEARCH("Attack target",BP299))),"AnimalFighter","")
)))</f>
        <v>AnimalUncommon, AnimalFighter</v>
      </c>
      <c r="BX299" s="25" t="str">
        <f>IF(G299="None",TRIM(
SUBSTITUTE(
IF(COUNTIF(Biomes!B$2:B$259,"="&amp;$C299)&gt;0,Biomes!B$1&amp;", ","")&amp;
IF(COUNTIF(Biomes!C$2:C$259,"="&amp;$C299)&gt;0,Biomes!C$1&amp;", ","")&amp;
IF(COUNTIF(Biomes!D$2:D$259,"="&amp;$C299)&gt;0,Biomes!D$1&amp;", ","")&amp;
IF(COUNTIF(Biomes!F$2:F$259,"="&amp;$C299)&gt;0,Biomes!F$1&amp;", ","")&amp;
IF(COUNTIF(Biomes!G$2:G$259,"="&amp;$C299)&gt;0,Biomes!G$1&amp;", ","")&amp;
IF(COUNTIF(Biomes!H$2:H$259,"="&amp;$C299)&gt;0,Biomes!H$1&amp;", ","")&amp;
IF(COUNTIF(Biomes!I$2:I$259,"="&amp;$C299)&gt;0,Biomes!I$1&amp;", ","")&amp;
IF(COUNTIF(Biomes!J$2:J$259,"="&amp;$C299)&gt;0,Biomes!J$1&amp;", ","")&amp;
IF(COUNTIF(Biomes!M$2:M$259,"="&amp;$C299)&gt;0,Biomes!M$1&amp;", ","")&amp;
IF(COUNTIF(Biomes!N$2:N$259,"="&amp;$C299)&gt;0,Biomes!N$1&amp;", ","")&amp;
IF(COUNTIF(Biomes!O$2:O$259,"="&amp;$C299)&gt;0,Biomes!O$1&amp;", ","")&amp;
IF(COUNTIF(Biomes!P$2:P$259,"="&amp;$C299)&gt;0,Biomes!P$1&amp;", ","")&amp;
IF(COUNTIF(Biomes!K$2:K$259,"="&amp;$C299)&gt;0,Biomes!K$1&amp;", ","")&amp;
IF(COUNTIF(Biomes!Q$3:Q$259,"="&amp;$C299)&gt;0,Biomes!Q$1&amp;", ","")&amp;
IF(COUNTIF(Biomes!L$2:L$259,"="&amp;$C299)&gt;0,Biomes!L$1&amp;", ","")&amp;
IF(COUNTIF(Biomes!E$2:E$259,"="&amp;$C299)&gt;0,Biomes!E$1&amp;", ","")&amp;IF(COUNTIF(Biomes!S$2:S$259,"="&amp;$C299)&gt;0,Biomes!S$1&amp;", ","")&amp;
IF(COUNTIF(Biomes!R$2:R$259,"="&amp;$C299)&gt;0,Biomes!R$1&amp;", ",""),", ","")
),_xlfn.XLOOKUP(B299,B:B,BX:BX))</f>
        <v>Glowforest</v>
      </c>
      <c r="BY299" s="25" t="str">
        <f>IF(_xlfn.XLOOKUP(B299,'Base stats'!B:B,'Base stats'!AJ:AJ)=1,"true","false")</f>
        <v>false</v>
      </c>
      <c r="BZ299" s="25">
        <f>IF(_xlfn.XLOOKUP(B299,'Base stats'!B:B,'Base stats'!N:N)=1,"No",MAX(0.001,MIN(MROUND(IF(AND(BJ299="True",CC299="False"),POWER(10,3.47*LOG10(_xlfn.XLOOKUP(B299,'Base stats'!B:B,'Base stats'!C:C)*1000)^-0.96),POWER(10,4.15*LOG10(_xlfn.XLOOKUP(B299,'Base stats'!B:B,'Base stats'!C:C)*1000)^-0.73))*IF(_xlfn.XLOOKUP(B299,'Base stats'!B:B,'Base stats'!AK:AK)=1,0.5,1)*IF(_xlfn.XLOOKUP(B299,'Base stats'!B:B,'Base stats'!AM:AM)=1,0.1,1)/100,IF(_xlfn.XLOOKUP(B299,'Base stats'!B:B,'Base stats'!AM:AM)=1,0.001,0.025)),0.5)))</f>
        <v>7.5000000000000011E-2</v>
      </c>
      <c r="CA299" s="25" t="str">
        <f>IF(P299="Standard","No",MAX(0.001,MIN(MROUND(IF(AND(BJ299="True",CC299="False"),POWER(10,3.47*LOG10(_xlfn.XLOOKUP(B299,'Base stats'!B:B,'Base stats'!C:C)*1000)^-0.96),POWER(10,4.15*LOG10(_xlfn.XLOOKUP(B299,'Base stats'!B:B,'Base stats'!C:C)*1000)^-0.73))*IF(_xlfn.XLOOKUP(B299,'Base stats'!B:B,'Base stats'!AM:AM)=1,0.1,1)*_xlfn.XLOOKUP(B299,'Base stats'!B:B,'Base stats'!R:R)/100,IF(_xlfn.XLOOKUP(B299,'Base stats'!B:B,'Base stats'!AM:AM)=1,0.001,0.025)),0.5)))</f>
        <v>No</v>
      </c>
      <c r="CB299" s="25" t="str">
        <f>IF(_xlfn.XLOOKUP(_xlfn.XLOOKUP(B299,'Base stats'!B:B,'Base stats'!E:E),Groups!A:A,Groups!AJ:AJ)="Mammal","True","False")</f>
        <v>True</v>
      </c>
      <c r="CC299" s="25" t="str">
        <f>IF(OR(_xlfn.XLOOKUP(_xlfn.XLOOKUP(B299,'Base stats'!B:B,'Base stats'!E:E),Groups!A:A,Groups!AJ:AJ)="Reptile",_xlfn.XLOOKUP(_xlfn.XLOOKUP(B299,'Base stats'!B:B,'Base stats'!E:E),Groups!A:A,Groups!AJ:AJ)="Amphibian",_xlfn.XLOOKUP(_xlfn.XLOOKUP(B299,'Base stats'!B:B,'Base stats'!E:E),Groups!A:A,Groups!AJ:AJ)="Invertebrate"),"True","False")</f>
        <v>False</v>
      </c>
      <c r="CD299" s="25" t="str">
        <f t="shared" si="34"/>
        <v>False</v>
      </c>
      <c r="CE299" s="25" t="str">
        <f>IF(_xlfn.XLOOKUP(_xlfn.XLOOKUP(B299,'Base stats'!B:B,'Base stats'!E:E),Groups!A:A,Groups!AX:AX),"True","False")</f>
        <v>False</v>
      </c>
      <c r="CF299" s="25" t="str">
        <f>IF(_xlfn.XLOOKUP(_xlfn.XLOOKUP(B299,'Base stats'!B:B,'Base stats'!E:E),Groups!A:A,Groups!AY:AY),"True","False")</f>
        <v>False</v>
      </c>
      <c r="CG299" s="25" t="str">
        <f>IF(_xlfn.XLOOKUP(_xlfn.XLOOKUP(B299,'Base stats'!B:B,'Base stats'!E:E),Groups!A:A,Groups!AW:AW),"True","False")</f>
        <v>False</v>
      </c>
      <c r="CH299" s="25" t="str">
        <f>IF(
OR(
_xlfn.XLOOKUP(_xlfn.XLOOKUP(B299,'Base stats'!B:B,'Base stats'!E:E),Groups!A:A,Groups!AZ:AZ)=0,
AND(
_xlfn.XLOOKUP(B299,'Base stats'!B:B,'Base stats'!Y:Y)&lt;&gt;"Carnivore",
_xlfn.XLOOKUP(B299,'Base stats'!B:B,'Base stats'!Y:Y)&lt;&gt;"Omnivore",
_xlfn.XLOOKUP(B299,'Base stats'!B:B,'Base stats'!Y:Y)&lt;&gt;"OmnivoreRough"
)
),
"No",
IF(
_xlfn.XLOOKUP(_xlfn.XLOOKUP(B299,'Base stats'!B:B,'Base stats'!E:E),Groups!A:A,Groups!AZ:AZ)=1,
"Flesh",
IF(
_xlfn.XLOOKUP(_xlfn.XLOOKUP(B299,'Base stats'!B:B,'Base stats'!E:E),Groups!A:A,Groups!AZ:AZ)=2,
"Bone",
""
)
)
)</f>
        <v>Bone</v>
      </c>
      <c r="CI299" s="25" t="str">
        <f>IF(_xlfn.XLOOKUP(_xlfn.XLOOKUP(B299,'Base stats'!B:B,'Base stats'!E:E),Groups!A:A,Groups!BB:BB),"True","False")</f>
        <v>True</v>
      </c>
      <c r="CJ299" s="25" t="str">
        <f>IF(_xlfn.XLOOKUP(_xlfn.XLOOKUP(B299,'Base stats'!B:B,'Base stats'!E:E),Groups!A:A,Groups!BA:BA),"True","False")</f>
        <v>False</v>
      </c>
    </row>
    <row r="300" spans="1:88" ht="16.5" thickTop="1" thickBot="1" x14ac:dyDescent="0.3">
      <c r="A300" s="26" t="s">
        <v>1512</v>
      </c>
      <c r="B300" s="6" t="str">
        <f>_xlfn.XLOOKUP(A300,'Base stats'!A:A,'Base stats'!B:B)</f>
        <v>Colossus mycoides</v>
      </c>
      <c r="C300" s="28" t="s">
        <v>1513</v>
      </c>
      <c r="D300" s="28" t="s">
        <v>1341</v>
      </c>
      <c r="E300" s="28" t="s">
        <v>673</v>
      </c>
      <c r="F300" s="28" t="s">
        <v>673</v>
      </c>
      <c r="G300" s="28" t="s">
        <v>673</v>
      </c>
      <c r="H300" s="2">
        <f>MROUND((
  (IF(AND(_xlfn.XLOOKUP(B300,'Base stats'!B:B,'Base stats'!AL:AL)=0,BI300="None",_xlfn.XLOOKUP(_xlfn.XLOOKUP(B300,'Base stats'!B:B,'Base stats'!E:E),Groups!A:A,Groups!B:B)=0), (18 + BR300 * 2.7) * 0.5,
    IF(AND(_xlfn.XLOOKUP(B300,'Base stats'!B:B,'Base stats'!AL:AL)=0,OR(AO300&lt;0.55,AND(BI300="Intermediate",_xlfn.XLOOKUP(_xlfn.XLOOKUP(B300,'Base stats'!B:B,'Base stats'!E:E),Groups!A:A,Groups!B:B)&lt;2))), (18 + BR300 * 2.7),
      IF(OR(BI300="Advanced",_xlfn.XLOOKUP(B300,'Base stats'!B:B,'Base stats'!AL:AL)=1,_xlfn.XLOOKUP(_xlfn.XLOOKUP(B300,'Base stats'!B:B,'Base stats'!E:E),Groups!A:A,Groups!B:B)=2), (18 + BR300 * 2.7) + 250, (18 + BR300 * 2.7))
    )
  ))
  + AO300 * 80
  + IF(COUNTIF(EggMilk!K$2:K$998, A300) &gt; 0, 125, 0)
  + IF(COUNTIF(EggMilk!P$2:P$998, A300) &gt; 0, 90, 0)
  + IF(COUNTIF(EggMilk!A$2:A$998, A300) &gt; 0, 90, 0)
)
* (0.8 + 0.4 * J300)
* 0.75,25)</f>
        <v>3025</v>
      </c>
      <c r="I300" s="2">
        <f>MROUND(ROUNDDOWN(_xlfn.XLOOKUP(B300,'Base stats'!B:B,'Base stats'!L:L)/3.6/(23.3/11),1),0.5)</f>
        <v>2</v>
      </c>
      <c r="J300" s="2">
        <f>IF(OR(_xlfn.XLOOKUP(B300,'Base stats'!B:B,'Base stats'!AB:AB)=1,_xlfn.XLOOKUP(_xlfn.XLOOKUP(B300,'Base stats'!B:B,'Base stats'!E:E),Groups!A:A,Groups!C:C)="Untamable"),1,IF(_xlfn.XLOOKUP(B300,'Base stats'!B:B,'Base stats'!AL:AL)=1,0.99,MIN(MROUND((1-0.6282*EXP(-0.459*AO300))*_xlfn.XLOOKUP(_xlfn.XLOOKUP(B300,'Base stats'!B:B,'Base stats'!E:E),Groups!A:A,Groups!C:C)*IF(_xlfn.XLOOKUP(B300,'Base stats'!B:B,'Base stats'!O:O)=1,0.5,IF(_xlfn.XLOOKUP(B300,'Base stats'!B:B,'Base stats'!O:O)=2,0,1)),0.05),IF(AO300&gt;3.5,0.985,0.95))))</f>
        <v>0.98499999999999999</v>
      </c>
      <c r="K300" s="2">
        <f>ROUNDUP(AO300*_xlfn.XLOOKUP(_xlfn.XLOOKUP(B300,'Base stats'!B:B,'Base stats'!E:E),Groups!A:A,Groups!E:E),0)</f>
        <v>33</v>
      </c>
      <c r="L300" s="2">
        <f>IF(OR(_xlfn.XLOOKUP(_xlfn.XLOOKUP(B300,'Base stats'!B:B,'Base stats'!E:E),Groups!A:A,Groups!F:F)=2,ISNUMBER(SEARCH("SeaIce",BX300)),ISNUMBER(SEARCH("IceSheet",BX300))),-50,IF(OR(ISNUMBER(SEARCH("GlacialPlain",BX300)),ISNUMBER(SEARCH("Tundra",BX300))),-40,IF(OR(ISNUMBER(SEARCH("Alpine",BX300)),ISNUMBER(SEARCH("BorealForest",BX300)),ISNUMBER(SEARCH("ColdBog",BX300))),-30,IF(OR(ISNUMBER(SEARCH("TemperateForest",BX300)),ISNUMBER(SEARCH("TemperateSwamp",BX300))),-20,IF(_xlfn.XLOOKUP(_xlfn.XLOOKUP(B300,'Base stats'!B:B,'Base stats'!E:E),Groups!A:A,Groups!F:F)=1,-15,IF(OR(ISNUMBER(SEARCH("Desert",BX300)),ISNUMBER(SEARCH("ExtremeDesert",BX300))),-10,IF(OR(ISNUMBER(SEARCH("Grasslands",BX300)),ISNUMBER(SEARCH("TropicalRainforest",BX300)),ISNUMBER(SEARCH("TropicalSwamp",BX300))),10,0)))))))-IF(CC300="False",MIN(IFERROR(MAX(MROUND(LOG10(_xlfn.XLOOKUP(B300,'Base stats'!B:B,'Base stats'!C:C)^(2/3))*10,5),5),5),30))-_xlfn.XLOOKUP(B300,'Base stats'!B:B,'Base stats'!P:P)+IF(CC300="True",5,0)</f>
        <v>5</v>
      </c>
      <c r="M300" s="2">
        <f>IF(OR(_xlfn.XLOOKUP(_xlfn.XLOOKUP(B300,'Base stats'!B:B,'Base stats'!E:E),Groups!A:A,Groups!G:G)=2,ISNUMBER(SEARCH("Desert",BX300)),ISNUMBER(SEARCH("ExtremeDesert",BX300)),ISNUMBER(SEARCH("LavaField",BX300))),50,IF(ISNUMBER(SEARCH("Grasslands",BX300)),45,IF(OR(_xlfn.XLOOKUP(_xlfn.XLOOKUP(B300,'Base stats'!B:B,'Base stats'!E:E),Groups!A:A,Groups!G:G)=1,ISNUMBER(SEARCH("TropicalRainforest",BX300)),ISNUMBER(SEARCH("TropicalSwamp",BX300))),40,IF(OR(ISNUMBER(SEARCH("TemperateForest",BX300)),ISNUMBER(SEARCH("TemperateSwamp",BX300))),35,IF(OR(ISNUMBER(SEARCH("Alpine",BX300)),ISNUMBER(SEARCH("BorealForest",BX300)),ISNUMBER(SEARCH("ColdBog",BX300))),30,IF(ISNUMBER(OR(ISNUMBER(SEARCH("GlacialPlain",BX300)),SEARCH("Tundra",BX300))),25,IF(OR(ISNUMBER(SEARCH("SeaIce",BX300)),ISNUMBER(SEARCH("IceSheet",BX300)),ISNUMBER(SEARCH("TropicalSwamp",BX300))),10,35)))))))+_xlfn.XLOOKUP(B300,'Base stats'!B:B,'Base stats'!Q:Q)</f>
        <v>35</v>
      </c>
      <c r="N300" s="8">
        <f>IF(
_xlfn.XLOOKUP(
_xlfn.XLOOKUP(B300,'Base stats'!B:B,'Base stats'!E:E),
Groups!A:A,
Groups!L:L
)=1,
MIN(
MROUND(
IF(
_xlfn.XLOOKUP(B300,'Animals CE'!B:B,'Animals CE'!Z:Z)&lt;=1.5,
_xlfn.XLOOKUP(B300,'Animals CE'!B:B,'Animals CE'!Z:Z)/2+0.05,
0.8+
(_xlfn.XLOOKUP(B300,'Animals CE'!B:B,'Animals CE'!Z:Z)-1.5)
*0.02
),
0.05
),
200%
),
"No"
)</f>
        <v>1</v>
      </c>
      <c r="O300" s="8">
        <f>IF(
_xlfn.XLOOKUP(
_xlfn.XLOOKUP(B300,'Base stats'!B:B,'Base stats'!E:E),
Groups!A:A,
Groups!L:L
)=1,
MIN(
MROUND(
IF(
_xlfn.XLOOKUP(B300,'Animals CE'!B:B,'Animals CE'!AA:AA)&lt;=1.5,
_xlfn.XLOOKUP(B300,'Animals CE'!B:B,'Animals CE'!AA:AA)/2+0.05,
0.8+
(_xlfn.XLOOKUP(B300,'Animals CE'!B:B,'Animals CE'!AA:AA)-1.5)
*0.02
),
0.05
),
200%
),
"No"
)</f>
        <v>1.1000000000000001</v>
      </c>
      <c r="P300" s="2" t="str">
        <f>_xlfn.XLOOKUP(B300,'Base stats'!B:B,'Base stats'!R:R)</f>
        <v>Standard</v>
      </c>
      <c r="Q300" s="13">
        <f>MROUND((LOG10(_xlfn.XLOOKUP(B300,'Base stats'!B:B,'Base stats'!AR:AR))*(AO300^0.5)+(_xlfn.XLOOKUP(B300,'Base stats'!B:B,'Base stats'!AR:AR)/1000)^(2/3)+_xlfn.XLOOKUP(B300,'Base stats'!B:B,'Base stats'!BA:BA)/2)+0.5,0.5)</f>
        <v>50</v>
      </c>
      <c r="R300" s="7">
        <f>IF(Q300="No","No",MAX(1,MROUND(_xlfn.XLOOKUP(B300,'Base stats'!B:B,'Base stats'!C:C)^0.165,0.05)))</f>
        <v>4.55</v>
      </c>
      <c r="S300" s="13" t="str">
        <f>IF(_xlfn.XLOOKUP(_xlfn.XLOOKUP(B300,'Base stats'!B:B,'Base stats'!E:E),Groups!A:A,Groups!P:P)=0,"No",MROUND((LOG10(_xlfn.XLOOKUP(B300,'Base stats'!B:B,'Base stats'!AS:AS))*(AO300^0.5)+(_xlfn.XLOOKUP(B300,'Base stats'!B:B,'Base stats'!AS:AS)/1000)^(2/3)+_xlfn.XLOOKUP(B300,'Base stats'!B:B,'Base stats'!BA:BA))+_xlfn.XLOOKUP(B300,'Base stats'!B:B,'Base stats'!AY:AY)+0.5,0.5))</f>
        <v>No</v>
      </c>
      <c r="T300" s="7" t="str">
        <f>IF(S300="No","No",MAX(_xlfn.XLOOKUP(_xlfn.XLOOKUP(B300,'Base stats'!B:B,'Base stats'!E:E),Groups!A:A,Groups!Q:Q),MROUND(_xlfn.XLOOKUP(_xlfn.XLOOKUP(B300,'Base stats'!B:B,'Base stats'!E:E),Groups!A:A,Groups!Q:Q)*_xlfn.XLOOKUP(B300,'Base stats'!B:B,'Base stats'!C:C)^0.165,0.05)))</f>
        <v>No</v>
      </c>
      <c r="U300" s="7" t="str">
        <f>IF(S300="No","No",_xlfn.XLOOKUP(_xlfn.XLOOKUP(B300,'Base stats'!B:B,'Base stats'!E:E),Groups!A:A,Groups!R:R))</f>
        <v>No</v>
      </c>
      <c r="V300" s="7" t="str">
        <f>IF(S300="No","No",_xlfn.XLOOKUP(_xlfn.XLOOKUP(B300,'Base stats'!B:B,'Base stats'!E:E),Groups!A:A,Groups!S:S))</f>
        <v>No</v>
      </c>
      <c r="W300" s="7" t="str">
        <f>IF(S300="No","No",_xlfn.XLOOKUP(_xlfn.XLOOKUP(B300,'Base stats'!B:B,'Base stats'!E:E),Groups!A:A,Groups!T:T))</f>
        <v>No</v>
      </c>
      <c r="X300" s="13" t="str">
        <f>IF(_xlfn.XLOOKUP(B300,'Base stats'!B:B,'Base stats'!W:W)="No","No",MROUND((LOG10(_xlfn.XLOOKUP(B300,'Base stats'!B:B,'Base stats'!AU:AU))*(AO300^0.5)+(_xlfn.XLOOKUP(B300,'Base stats'!B:B,'Base stats'!AU:AU)/1000)^(2/3)+_xlfn.XLOOKUP(B300,'Base stats'!B:B,'Base stats'!AZ:AZ))+0.5+IF(_xlfn.XLOOKUP(_xlfn.XLOOKUP(B300,'Base stats'!B:B,'Base stats'!E:E),Groups!A:A,Groups!U:U)&lt;&gt;3,_xlfn.XLOOKUP(B300,'Base stats'!B:B,'Base stats'!BA:BA),0),0.5))</f>
        <v>No</v>
      </c>
      <c r="Y300" s="7" t="str">
        <f>IF(X300="No","No",MAX(_xlfn.XLOOKUP(_xlfn.XLOOKUP(B300,'Base stats'!B:B,'Base stats'!E:E),Groups!A:A,Groups!V:V),MROUND(_xlfn.XLOOKUP(_xlfn.XLOOKUP(B300,'Base stats'!B:B,'Base stats'!E:E),Groups!A:A,Groups!V:V)*_xlfn.XLOOKUP(B300,'Base stats'!B:B,'Base stats'!C:C)^0.165,0.05)))</f>
        <v>No</v>
      </c>
      <c r="Z300" s="7" t="str">
        <f>IF(X300="No","No",_xlfn.XLOOKUP(_xlfn.XLOOKUP(B300,'Base stats'!B:B,'Base stats'!E:E),Groups!A:A,Groups!W:W))</f>
        <v>No</v>
      </c>
      <c r="AA300" s="7" t="str">
        <f>IF(X300="No","No",_xlfn.XLOOKUP(_xlfn.XLOOKUP(B300,'Base stats'!B:B,'Base stats'!E:E),Groups!A:A,Groups!X:X))</f>
        <v>No</v>
      </c>
      <c r="AB300" s="7" t="str">
        <f>IF(X300="No","No",_xlfn.XLOOKUP(_xlfn.XLOOKUP(B300,'Base stats'!B:B,'Base stats'!E:E),Groups!A:A,Groups!Y:Y))</f>
        <v>No</v>
      </c>
      <c r="AC300" s="7" t="str">
        <f>_xlfn.XLOOKUP(Animals!B300,'Base stats'!B:B,'Base stats'!X:X)</f>
        <v>False</v>
      </c>
      <c r="AD300" s="13">
        <f>IF(_xlfn.XLOOKUP(B300,'Base stats'!B:B,'Base stats'!AT:AT)="No","No",MROUND((LOG10(_xlfn.XLOOKUP(B300,'Base stats'!B:B,'Base stats'!AT:AT))*(AO300^0.75)+(_xlfn.XLOOKUP(B300,'Base stats'!B:B,'Base stats'!AT:AT)/1000)^(2/3)+_xlfn.XLOOKUP(B300,'Base stats'!B:B,'Base stats'!AX:AX)+_xlfn.XLOOKUP(B300,'Base stats'!B:B,'Base stats'!BA:BA))+0.5,0.5))</f>
        <v>54</v>
      </c>
      <c r="AE300" s="7">
        <f>IF(AD300="No","No",MAX(_xlfn.XLOOKUP(_xlfn.XLOOKUP(B300,'Base stats'!B:B,'Base stats'!E:E),Groups!A:A,Groups!Z:Z),MROUND(_xlfn.XLOOKUP(_xlfn.XLOOKUP(B300,'Base stats'!B:B,'Base stats'!E:E),Groups!A:A,Groups!Z:Z)*_xlfn.XLOOKUP(B300,'Base stats'!B:B,'Base stats'!C:C)^0.165,0.05)))</f>
        <v>4.55</v>
      </c>
      <c r="AF300" s="7" t="str">
        <f>IF(AD300="No","No",_xlfn.XLOOKUP(_xlfn.XLOOKUP(B300,'Base stats'!B:B,'Base stats'!E:E),Groups!A:A,Groups!AA:AA))</f>
        <v>Teeth</v>
      </c>
      <c r="AG300" s="7" t="str">
        <f>IF(AD300="No","No",_xlfn.XLOOKUP(_xlfn.XLOOKUP(B300,'Base stats'!B:B,'Base stats'!E:E),Groups!A:A,Groups!AB:AB))</f>
        <v>teeth</v>
      </c>
      <c r="AH300" s="7" t="str">
        <f>IF(AD300="No","No",_xlfn.XLOOKUP(_xlfn.XLOOKUP(B300,'Base stats'!B:B,'Base stats'!E:E),Groups!A:A,Groups!AC:AC))</f>
        <v>Bite</v>
      </c>
      <c r="AI300" s="13" t="str">
        <f>IF(_xlfn.XLOOKUP(_xlfn.XLOOKUP(B300,'Base stats'!B:B,'Base stats'!E:E),Groups!A:A,Groups!AD:AD)=0,"No",MROUND((LOG10(_xlfn.XLOOKUP(B300,'Base stats'!B:B,'Base stats'!AS:AS))*(AO300^0.75)+(_xlfn.XLOOKUP(B300,'Base stats'!B:B,'Base stats'!AS:AS)/1000)^(2/3)+_xlfn.XLOOKUP(B300,'Base stats'!B:B,'Base stats'!AY:AY)+_xlfn.XLOOKUP(B300,'Base stats'!B:B,'Base stats'!BA:BA))+0.5,0.5))</f>
        <v>No</v>
      </c>
      <c r="AJ300" s="7" t="str">
        <f>IF(AI300="No","No",MAX(_xlfn.XLOOKUP(_xlfn.XLOOKUP(B300,'Base stats'!B:B,'Base stats'!E:E),Groups!A:A,Groups!AE:AE),MROUND(_xlfn.XLOOKUP(_xlfn.XLOOKUP(B300,'Base stats'!B:B,'Base stats'!E:E),Groups!A:A,Groups!AE:AE)*IF(_xlfn.XLOOKUP(_xlfn.XLOOKUP(B300,'Base stats'!B:B,'Base stats'!E:E),Groups!A:A,Groups!AJ:AJ)="Photonozoa",0.6,1)*_xlfn.XLOOKUP(B300,'Base stats'!B:B,'Base stats'!C:C)^0.165,0.05)))</f>
        <v>No</v>
      </c>
      <c r="AK300" s="7" t="str">
        <f>IF(AI300="No","No",_xlfn.XLOOKUP(_xlfn.XLOOKUP(B300,'Base stats'!B:B,'Base stats'!E:E),Groups!A:A,Groups!AF:AF))</f>
        <v>No</v>
      </c>
      <c r="AL300" s="7" t="str">
        <f>IF(AI300="No","No",_xlfn.XLOOKUP(_xlfn.XLOOKUP(B300,'Base stats'!B:B,'Base stats'!E:E),Groups!A:A,Groups!AG:AG))</f>
        <v>No</v>
      </c>
      <c r="AM300" s="7" t="str">
        <f>IF(AI300="No","No",_xlfn.XLOOKUP(_xlfn.XLOOKUP(B300,'Base stats'!B:B,'Base stats'!E:E),Groups!A:A,Groups!AH:AH))</f>
        <v>No</v>
      </c>
      <c r="AN300" s="2" t="str">
        <f t="shared" si="28"/>
        <v>No</v>
      </c>
      <c r="AO300" s="2">
        <f>MROUND(IF(AND(_xlfn.XLOOKUP(B300,'Base stats'!B:B,'Base stats'!C:C)&gt;=0.5,_xlfn.XLOOKUP(B300,'Base stats'!B:B,'Base stats'!C:C)&lt;=0.8),
IF(_xlfn.XLOOKUP(B300,'Base stats'!B:B,'Base stats'!C:C)&lt;0.1,0.05,IF(_xlfn.XLOOKUP(B300,'Base stats'!B:B,'Base stats'!C:C)&lt;=70,(_xlfn.XLOOKUP(B300,'Base stats'!B:B,'Base stats'!C:C)/70)^0.426489913056526,IF(_xlfn.XLOOKUP(B300,'Base stats'!B:B,'Base stats'!C:C)&lt;=400,(_xlfn.XLOOKUP(B300,'Base stats'!B:B,'Base stats'!C:C)/70)^0.572811455315093,IF(_xlfn.XLOOKUP(B300,'Base stats'!B:B,'Base stats'!C:C)&lt;=2000,2.71391647193063*(_xlfn.XLOOKUP(B300,'Base stats'!B:B,'Base stats'!C:C)/400)^0.252459582904293,3.74314280240376*(_xlfn.XLOOKUP(B300,'Base stats'!B:B,'Base stats'!C:C)/2000)^0.357012633876913)))),
IF(_xlfn.XLOOKUP(B300,'Base stats'!B:B,'Base stats'!C:C)&lt;0.1,0.05,IF(_xlfn.XLOOKUP(B300,'Base stats'!B:B,'Base stats'!C:C)&lt;0.4,0.1,IF(_xlfn.XLOOKUP(B300,'Base stats'!B:B,'Base stats'!C:C)&lt;=70,(_xlfn.XLOOKUP(B300,'Base stats'!B:B,'Base stats'!C:C)/70)^0.445823913056526,IF(_xlfn.XLOOKUP(B300,'Base stats'!B:B,'Base stats'!C:C)&lt;=400,(_xlfn.XLOOKUP(B300,'Base stats'!B:B,'Base stats'!C:C)/70)^0.572811455315093,IF(_xlfn.XLOOKUP(B300,'Base stats'!B:B,'Base stats'!C:C)&lt;=2000,2.71391647193063*(_xlfn.XLOOKUP(B300,'Base stats'!B:B,'Base stats'!C:C)/400)^0.252459582904293,3.74314280240376*(_xlfn.XLOOKUP(B300,'Base stats'!B:B,'Base stats'!C:C)/2000)^0.357012633876913)))))),
IF(_xlfn.XLOOKUP(B300,'Base stats'!B:B,'Base stats'!C:C)&lt;0.1,0.05,IF(_xlfn.XLOOKUP(B300,'Base stats'!B:B,'Base stats'!C:C)&lt;=100,0.05,IF(_xlfn.XLOOKUP(B300,'Base stats'!B:B,'Base stats'!C:C)&lt;=250,0.1,IF(_xlfn.XLOOKUP(B300,'Base stats'!B:B,'Base stats'!C:C)&lt;=4000,0.25,0.5)))))</f>
        <v>6.5</v>
      </c>
      <c r="AP300" s="8">
        <f>MROUND(AO300*_xlfn.XLOOKUP(_xlfn.XLOOKUP(B300,'Base stats'!B:B,'Base stats'!E:E),Groups!A:A,Groups!AI:AI)*_xlfn.XLOOKUP(B300,'Base stats'!B:B,'Base stats'!Z:Z),0.05)</f>
        <v>9.75</v>
      </c>
      <c r="AQ300" s="8">
        <f>MAX(0.01,MROUND(IF(CC300="True",0.196*(AO300*100*1000)^0.889,IF(_xlfn.XLOOKUP(_xlfn.XLOOKUP(B300,'Base stats'!B:B,'Base stats'!E:E),Groups!A:A,Groups!AJ:AJ)="Bird",10.5*(AO300*100*1000)^0.681,4.82*(AO300*100*1000)^0.734))/(4.82*(1*100*1000)^0.734)/IF(AO300&lt;3.5,2,IF(AO300=3.5,1.5,1.25))*(1+0.132282374779864/(AO300^0.994035016789033+0.00905238001496948)),0.05))</f>
        <v>1.05</v>
      </c>
      <c r="AR300" s="9">
        <f>IFERROR(MROUND(_xlfn.XLOOKUP(B300,'Base stats'!B:B,'Base stats'!H:H)/IF(_xlfn.XLOOKUP(B300,'Base stats'!B:B,'Base stats'!I:I)&lt;&gt;1,(122.5/70),1.2),IF(_xlfn.XLOOKUP(B300,'Base stats'!B:B,'Base stats'!H:H)&gt;=30,5,IF(_xlfn.XLOOKUP(B300,'Base stats'!B:B,'Base stats'!H:H)&gt;=15,3,IF(_xlfn.XLOOKUP(B300,'Base stats'!B:B,'Base stats'!H:H)&gt;=10,2,1)))),"Immortal")</f>
        <v>585</v>
      </c>
      <c r="AS300" s="35" t="str">
        <f>IFERROR(IF(OR(_xlfn.XLOOKUP(B300,'Base stats'!B:B,'Base stats'!F:F)="Atypical reproduction",_xlfn.XLOOKUP(B300,'Base stats'!B:B,'Base stats'!F:F)="Lay eggs"),"Lay eggs",MIN(20,MAX(5.5,ROUND(((_xlfn.XLOOKUP(B300,'Base stats'!B:B,'Base stats'!F:F)-25)*(14.5/615) + 5.5)*2,0)/2))),"Unknown")</f>
        <v>Lay eggs</v>
      </c>
      <c r="AT300" s="8">
        <f>IF(_xlfn.XLOOKUP(B300,'Base stats'!B:B,'Base stats'!G:G)="Atypical reproduction","No",IFERROR(MAX(IF(_xlfn.XLOOKUP(B300,'Base stats'!B:B,'Base stats'!G:G)&lt;0.5,0.2,0.3),MROUND(_xlfn.XLOOKUP(B300,'Base stats'!B:B,'Base stats'!G:G)/(365/60),0.2)),"Unknown"))</f>
        <v>2.4000000000000004</v>
      </c>
      <c r="AU300" s="8">
        <f t="shared" si="29"/>
        <v>1.2000000000000002</v>
      </c>
      <c r="AV300" s="8" t="str">
        <f>IFERROR(IFERROR(MROUND(_xlfn.XLOOKUP(B300,'Base stats'!B:B,'Base stats'!J:J),0.1),"Lay eggs"),"Cannot breed")</f>
        <v>Lay eggs</v>
      </c>
      <c r="AW300" s="2" t="str">
        <f t="shared" si="30"/>
        <v>false</v>
      </c>
      <c r="AX300" s="2" t="str">
        <f>IF(_xlfn.XLOOKUP(_xlfn.XLOOKUP(Animals!B300,'Base stats'!B:B,'Base stats'!E:E),Groups!A:A,Groups!AK:AK)=1,"true","false")</f>
        <v>false</v>
      </c>
      <c r="AY300" s="25" t="str">
        <f>IF(_xlfn.XLOOKUP(B300,'Base stats'!B:B,'Base stats'!Y:Y)="Liquor","Liquor, CarnivoreAnimalStrict",IF(AND(_xlfn.XLOOKUP(B300,'Base stats'!B:B,'Base stats'!Y:Y)="Carnivore",_xlfn.XLOOKUP(_xlfn.XLOOKUP(B300,'Base stats'!B:B,'Base stats'!E:E),Groups!A:A,Groups!AJ:AJ)="Photonozoa"),"CarnivoreAnimalStrict, OvivoreAnimal",IF(_xlfn.XLOOKUP(B300,'Base stats'!B:B,'Base stats'!Y:Y)="Carnivore","CarnivoreAnimal, OvivoreAnimal",IF(_xlfn.XLOOKUP(B300,'Base stats'!B:B,'Base stats'!Y:Y)="Dendrovore","VegetarianRoughAnimal, DendrovoreAnimal",IF(_xlfn.XLOOKUP(B300,'Base stats'!B:B,'Base stats'!Y:Y)="Herbivore","VegetarianRoughAnimal",IF(_xlfn.XLOOKUP(B300,'Base stats'!B:B,'Base stats'!Y:Y)="OmnivoreRough","OmnivoreRoughAnimal, OvivoreAnimal","OmnivoreAnimal, OvivoreAnimal"))))))</f>
        <v>VegetarianRoughAnimal, DendrovoreAnimal</v>
      </c>
      <c r="AZ300" s="2" t="str">
        <f>IF(_xlfn.XLOOKUP(_xlfn.XLOOKUP(B300,'Base stats'!B:B,'Base stats'!E:E),Groups!A:A,Groups!D:D)=1,MROUND((1-J300)*5+1,2)*IF(J300&lt;=0.4,2,1),"No")</f>
        <v>No</v>
      </c>
      <c r="BA300" s="2" t="str">
        <f>IF(AND(_xlfn.XLOOKUP(B300,'Base stats'!B:B,'Base stats'!AH:AH)="&lt;li&gt;Seal&lt;/li&gt;",G300="Odyssey"),"&lt;li&gt;AEXP_Seal&lt;/li&gt;",_xlfn.XLOOKUP(B300,'Base stats'!B:B,'Base stats'!AH:AH))</f>
        <v>No</v>
      </c>
      <c r="BB300" s="2" t="str">
        <f>_xlfn.XLOOKUP(B300,'Base stats'!B:B,'Base stats'!AG:AG)</f>
        <v>No</v>
      </c>
      <c r="BC300" s="23" t="str">
        <f>_xlfn.XLOOKUP(_xlfn.XLOOKUP(B300,'Base stats'!B:B,'Base stats'!E:E),Groups!A:A,Groups!AL:AL)</f>
        <v>Hexapod</v>
      </c>
      <c r="BD300" s="23">
        <f>MIN(1,MROUND(IF(AND(AO300&lt;0.5,_xlfn.XLOOKUP(B300,'Base stats'!B:B,'Base stats'!AA:AA)=0),0,IF(OR(_xlfn.XLOOKUP(Animals!B300,'Base stats'!B:B,'Base stats'!O:O)=2,_xlfn.XLOOKUP(_xlfn.XLOOKUP(B300,'Base stats'!B:B,'Base stats'!E:E),Groups!A:A,Groups!AN:AN)=0),0,_xlfn.XLOOKUP(_xlfn.XLOOKUP(B300,'Base stats'!B:B,'Base stats'!E:E),Groups!A:A,Groups!AN:AN)/IF(_xlfn.XLOOKUP(Animals!B300,'Base stats'!B:B,'Base stats'!O:O)=1,2,1)))+_xlfn.XLOOKUP(B300,'Base stats'!B:B,'Base stats'!AC:AC),0.005))</f>
        <v>0</v>
      </c>
      <c r="BE300" s="23">
        <f>MIN(1,MROUND(IF(AND(AO300&lt;0.5,_xlfn.XLOOKUP(B300,'Base stats'!B:B,'Base stats'!AA:AA)=0),0,IF(_xlfn.XLOOKUP(_xlfn.XLOOKUP(B300,'Base stats'!B:B,'Base stats'!E:E),Groups!A:A,Groups!AO:AO)=0,0,_xlfn.XLOOKUP(_xlfn.XLOOKUP(B300,'Base stats'!B:B,'Base stats'!E:E),Groups!A:A,Groups!AO:AO)/IF(_xlfn.XLOOKUP(Animals!B300,'Base stats'!B:B,'Base stats'!O:O)=2,3,1)))+_xlfn.XLOOKUP(B300,'Base stats'!B:B,'Base stats'!AD:AD),0.005))</f>
        <v>0.1</v>
      </c>
      <c r="BF300" s="2" t="str">
        <f>IF(J300&gt;0.3,"No",_xlfn.XLOOKUP(_xlfn.XLOOKUP(Animals!B300,'Base stats'!B:B,'Base stats'!E:E),Groups!A:A,Groups!AP:AP))</f>
        <v>No</v>
      </c>
      <c r="BG300" s="2" t="str">
        <f>IF(AND(J300&lt;=0.65,_xlfn.XLOOKUP(_xlfn.XLOOKUP(Animals!B300,'Base stats'!B:B,'Base stats'!E:E),Groups!A:A,Groups!AP:AP)&lt;&gt;"No",_xlfn.XLOOKUP(_xlfn.XLOOKUP(B300,'Base stats'!B:B,'Base stats'!E:E),Groups!A:A,Groups!D:D)=0),MROUND((80/3)*IF(_xlfn.XLOOKUP(B300,'Base stats'!B:B,'Base stats'!O:O)=2,0.2,AO300) + 24*(1-IF(BF300="No",0,BF300)) + 16/3, 12),"No")</f>
        <v>No</v>
      </c>
      <c r="BH300" s="2">
        <f>IF(AND(_xlfn.XLOOKUP(_xlfn.XLOOKUP(B300,'Base stats'!B:B,'Base stats'!E:E),Groups!A:A,Groups!AQ:AQ)=1,AO300&lt;=0.35),8,12)</f>
        <v>12</v>
      </c>
      <c r="BI300" s="2" t="str">
        <f>IF(_xlfn.XLOOKUP(_xlfn.XLOOKUP(B300,'Base stats'!B:B,'Base stats'!E:E),Groups!A:A,Groups!D:D)=0,_xlfn.XLOOKUP(_xlfn.XLOOKUP(B300,'Base stats'!B:B,'Base stats'!E:E),Groups!A:A,Groups!AR:AR),"None")</f>
        <v>Intermediate</v>
      </c>
      <c r="BJ300" s="2" t="str">
        <f>IF(AND(_xlfn.XLOOKUP(_xlfn.XLOOKUP(B300,'Base stats'!B:B,'Base stats'!E:E),Groups!A:A,Groups!AS:AS)=1,OR(_xlfn.XLOOKUP(B300,'Base stats'!B:B,'Base stats'!Y:Y)="Carnivore",_xlfn.XLOOKUP(B300,'Base stats'!B:B,'Base stats'!Y:Y)="Omnivore")),"true","false")</f>
        <v>false</v>
      </c>
      <c r="BK300" s="2" t="str">
        <f>IF(BJ300="true",MROUND(IF(AND(AO300&gt;0.5,OR(_xlfn.XLOOKUP(_xlfn.XLOOKUP(B300,'Base stats'!B:B,'Base stats'!E:E),Groups!A:A,Groups!AJ:AJ)="Photonozoa",_xlfn.XLOOKUP(_xlfn.XLOOKUP(B300,'Base stats'!B:B,'Base stats'!E:E),Groups!A:A,Groups!AJ:AJ)="Mammal")),Animals!AO300*1.75*IF(AW300="true",1.5,1),IF(AO300&lt;0.5,Animals!AO300*0.5,Animals!AO300)),IF(AO300&gt;2,0.5,IF(AO300&gt;0.5,0.25,0.1))),"No")</f>
        <v>No</v>
      </c>
      <c r="BL300" s="2">
        <f t="shared" si="31"/>
        <v>1</v>
      </c>
      <c r="BM300" s="25" t="str">
        <f>IF(_xlfn.XLOOKUP(B300,'Base stats'!B:B,'Base stats'!AN:AN)="Standard","No",MROUND((_xlfn.XLOOKUP(B300,'Base stats'!B:B,'Base stats'!AN:AN)/3.6)/I300,0.1))</f>
        <v>No</v>
      </c>
      <c r="BN300" s="25" t="str">
        <f t="shared" si="32"/>
        <v>false</v>
      </c>
      <c r="BO300" s="25" t="str">
        <f>IF(AND(OR(_xlfn.XLOOKUP(B300,'Base stats'!B:B,'Base stats'!Y:Y)="Carnivore",_xlfn.XLOOKUP(B300,'Base stats'!B:B,'Base stats'!Y:Y)="Omnivore",_xlfn.XLOOKUP(B300,'Base stats'!B:B,'Base stats'!Y:Y)="OmnivoreRough"),_xlfn.XLOOKUP(_xlfn.XLOOKUP(B300,'Base stats'!B:B,'Base stats'!E:E),Groups!A:A,Groups!AT:AT)=1),"true","false")</f>
        <v>false</v>
      </c>
      <c r="BP300" s="25" t="str" cm="1">
        <f t="array" ref="BP300">IF(
  _xlfn.TEXTJOIN(", ",TRUE,
    IF(AND(BJ300="true",AO300&gt;0.5,BI300&lt;&gt;"None"),"AttackTarget",""),
    IF(AND(_xlfn.XLOOKUP(_xlfn.XLOOKUP(B300,'Base stats'!B:B,'Base stats'!E:E),Groups!A:A,Groups!AJ:AJ="Mammal"),OR(_xlfn.XLOOKUP(B300,'Base stats'!B:B,'Base stats'!Y:Y)="Omnivore",_xlfn.XLOOKUP(B300,'Base stats'!B:B,'Base stats'!Y:Y)="OmnivoreRough")),"Forage",""),
    IF(BG300&lt;=36,"Comfort",""),
    IF(_xlfn.XLOOKUP(B300,'Base stats'!B:B,'Base stats'!AE:AE)&lt;&gt;"No",_xlfn.XLOOKUP(B300,'Base stats'!B:B,'Base stats'!AE:AE),"")
  ) = "",
  "No",
  _xlfn.TEXTJOIN(", ",TRUE,
    IF(AND(BJ300="true",AO300&gt;0.5,BI300&lt;&gt;"None"),"AttackTarget",""),
    IF(AND(_xlfn.XLOOKUP(_xlfn.XLOOKUP(B300,'Base stats'!B:B,'Base stats'!E:E),Groups!A:A,Groups!AJ:AJ="Mammal"),OR(_xlfn.XLOOKUP(B300,'Base stats'!B:B,'Base stats'!Y:Y)="Omnivore",_xlfn.XLOOKUP(B300,'Base stats'!B:B,'Base stats'!Y:Y)="OmnivoreRough")),"Forage",""),
    IF(BG300&lt;=36,"Comfort",""),
    IF(_xlfn.XLOOKUP(B300,'Base stats'!B:B,'Base stats'!AE:AE)&lt;&gt;"No",_xlfn.XLOOKUP(B300,'Base stats'!B:B,'Base stats'!AE:AE),"")
  )
)</f>
        <v>No</v>
      </c>
      <c r="BQ300" s="25" t="str">
        <f>IF(
   AND(
      'Base stats'!AN300="Standard",_xlfn.XLOOKUP(_xlfn.XLOOKUP(B300,'Base stats'!B:B,'Base stats'!E:E),Groups!A:A,Groups!AU:AU)=0,
      OR(
      BO300="True"
      )
   ),
   10,
   IF(
       OR(BM300&lt;&gt;"No",_xlfn.XLOOKUP(_xlfn.XLOOKUP(B300,'Base stats'!B:B,'Base stats'!E:E),Groups!A:A,Groups!AU:AU)=1),
      1,
      "No"
   )
)</f>
        <v>No</v>
      </c>
      <c r="BR300" s="9">
        <f>MROUND((1 + ((0.2*IF(OR(Q300="No",R300="No",R300=0),0,Q300/R300)
+IF(OR(V300="No",S300="No",T300="No"),0,S300/T300*(LEN(V300)-LEN(SUBSTITUTE(V300,",",""))+1))
+IF(OR(X300="No",Y300="No"),0,X300/Y300)
+IF(OR(AD300="No",AE300="No"),0,AD300/AE300)
+IF(OR(AL300="No",AI300="No",AJ300="No"),0,AI300/AJ300*(LEN(AL300)-LEN(SUBSTITUTE(AL300,",",""))+1))
)/(0.2*IF(OR(Q300="No",R300="No",R300=0),0,1)
+IF(OR(V300="No",S300="No",T300="No"),0,LEN(V300)-LEN(SUBSTITUTE(V300,",",""))+1)
+IF(OR(X300="No",Y300="No"),0,1)
+IF(OR(AD300="No",AE300="No"),0,1)
+IF(OR(AL300="No",AI300="No",AJ300="No"),0,LEN(AL300)-LEN(SUBSTITUTE(AL300,",",""))+1))*62%)* 2)*(1 + (AP300 / (IF(_xlfn.XLOOKUP(_xlfn.XLOOKUP(B300,'Base stats'!B:B,'Base stats'!E:E),Groups!A:A,Groups!AJ:AJ)="Photonozoa",0.3,1)) + _xlfn.XLOOKUP(B300,'Base stats'!B:B,'Base stats'!AV:AV) * 1.8) * 2) * 2.5 + 10 + I300 * 2,5)+IF(_xlfn.XLOOKUP(B300,'Base stats'!B:B,'Base stats'!AK:AK)=1,50,0)</f>
        <v>955</v>
      </c>
      <c r="BS300" s="8">
        <f t="shared" si="33"/>
        <v>2.15</v>
      </c>
      <c r="BT300" s="8" t="str">
        <f>_xlfn.XLOOKUP(B300,'Base stats'!B:B,'Base stats'!AF:AF)</f>
        <v>No</v>
      </c>
      <c r="BU300" s="2" t="str">
        <f>IF(AND(J300&lt;=0.95,OR(_xlfn.XLOOKUP(B300,'Base stats'!B:B,'Base stats'!AK:AK)=1,_xlfn.XLOOKUP(B300,'Base stats'!B:B,'Base stats'!Y:Y)="Carnivore",_xlfn.XLOOKUP(B300,'Base stats'!B:B,'Base stats'!Y:Y)="Omnivore",BE300&gt;0.1)),"true","false")</f>
        <v>false</v>
      </c>
      <c r="BV300" s="2" t="str">
        <f>IF(_xlfn.XLOOKUP(B300,'Base stats'!B:B,'Base stats'!AI:AI)=1,"true","false")</f>
        <v>false</v>
      </c>
      <c r="BW300" s="25" t="str">
        <f>IF(E300="BaseInsect","AnimalInsect",
IF(J300&gt;0.95,"AnimalExotic",
_xlfn.TEXTJOIN(", ",TRUE,
IF(OR(_xlfn.XLOOKUP(B300,'Base stats'!B:B,'Base stats'!AM:AM)=1,AND(_xlfn.XLOOKUP(B300,'Base stats'!B:B,'Base stats'!O:O)=0,_xlfn.XLOOKUP(_xlfn.XLOOKUP(B300,'Base stats'!B:B,'Base stats'!E:E),Groups!A:A,Groups!B:B)&gt;0)),"AnimalUncommon","AnimalCommon"),
IF(AND(_xlfn.XLOOKUP(B300,'Base stats'!B:B,'Base stats'!O:O)=2,_xlfn.XLOOKUP(_xlfn.XLOOKUP(B300,'Base stats'!B:B,'Base stats'!E:E),Groups!A:A,Groups!D:D)=0),"AnimalPet",IF(AND(_xlfn.XLOOKUP(B300,'Base stats'!B:B,'Base stats'!O:O)&lt;&gt;0,_xlfn.XLOOKUP(_xlfn.XLOOKUP(B300,'Base stats'!B:B,'Base stats'!E:E),Groups!A:A,Groups!D:D)&lt;&gt;0),"AnimalFarm","")),
IF(OR(_xlfn.XLOOKUP(B300,'Base stats'!B:B,'Base stats'!AK:AK)=1,AND(BI300&lt;&gt;"None",BR300&gt;=60),ISNUMBER(SEARCH("Attack target",BP300))),"AnimalFighter","")
)))</f>
        <v>AnimalExotic</v>
      </c>
      <c r="BX300" s="25" t="str">
        <f>IF(G300="None",TRIM(
SUBSTITUTE(
IF(COUNTIF(Biomes!B$2:B$259,"="&amp;$C300)&gt;0,Biomes!B$1&amp;", ","")&amp;
IF(COUNTIF(Biomes!C$2:C$259,"="&amp;$C300)&gt;0,Biomes!C$1&amp;", ","")&amp;
IF(COUNTIF(Biomes!D$2:D$259,"="&amp;$C300)&gt;0,Biomes!D$1&amp;", ","")&amp;
IF(COUNTIF(Biomes!F$2:F$259,"="&amp;$C300)&gt;0,Biomes!F$1&amp;", ","")&amp;
IF(COUNTIF(Biomes!G$2:G$259,"="&amp;$C300)&gt;0,Biomes!G$1&amp;", ","")&amp;
IF(COUNTIF(Biomes!H$2:H$259,"="&amp;$C300)&gt;0,Biomes!H$1&amp;", ","")&amp;
IF(COUNTIF(Biomes!I$2:I$259,"="&amp;$C300)&gt;0,Biomes!I$1&amp;", ","")&amp;
IF(COUNTIF(Biomes!J$2:J$259,"="&amp;$C300)&gt;0,Biomes!J$1&amp;", ","")&amp;
IF(COUNTIF(Biomes!M$2:M$259,"="&amp;$C300)&gt;0,Biomes!M$1&amp;", ","")&amp;
IF(COUNTIF(Biomes!N$2:N$259,"="&amp;$C300)&gt;0,Biomes!N$1&amp;", ","")&amp;
IF(COUNTIF(Biomes!O$2:O$259,"="&amp;$C300)&gt;0,Biomes!O$1&amp;", ","")&amp;
IF(COUNTIF(Biomes!P$2:P$259,"="&amp;$C300)&gt;0,Biomes!P$1&amp;", ","")&amp;
IF(COUNTIF(Biomes!K$2:K$259,"="&amp;$C300)&gt;0,Biomes!K$1&amp;", ","")&amp;
IF(COUNTIF(Biomes!Q$3:Q$259,"="&amp;$C300)&gt;0,Biomes!Q$1&amp;", ","")&amp;
IF(COUNTIF(Biomes!L$2:L$259,"="&amp;$C300)&gt;0,Biomes!L$1&amp;", ","")&amp;
IF(COUNTIF(Biomes!E$2:E$259,"="&amp;$C300)&gt;0,Biomes!E$1&amp;", ","")&amp;IF(COUNTIF(Biomes!S$2:S$259,"="&amp;$C300)&gt;0,Biomes!S$1&amp;", ","")&amp;
IF(COUNTIF(Biomes!R$2:R$259,"="&amp;$C300)&gt;0,Biomes!R$1&amp;", ",""),", ","")
),_xlfn.XLOOKUP(B300,B:B,BX:BX))</f>
        <v>Glowforest</v>
      </c>
      <c r="BY300" s="25" t="str">
        <f>IF(_xlfn.XLOOKUP(B300,'Base stats'!B:B,'Base stats'!AJ:AJ)=1,"true","false")</f>
        <v>false</v>
      </c>
      <c r="BZ300" s="25">
        <f>IF(_xlfn.XLOOKUP(B300,'Base stats'!B:B,'Base stats'!N:N)=1,"No",MAX(0.001,MIN(MROUND(IF(AND(BJ300="True",CC300="False"),POWER(10,3.47*LOG10(_xlfn.XLOOKUP(B300,'Base stats'!B:B,'Base stats'!C:C)*1000)^-0.96),POWER(10,4.15*LOG10(_xlfn.XLOOKUP(B300,'Base stats'!B:B,'Base stats'!C:C)*1000)^-0.73))*IF(_xlfn.XLOOKUP(B300,'Base stats'!B:B,'Base stats'!AK:AK)=1,0.5,1)*IF(_xlfn.XLOOKUP(B300,'Base stats'!B:B,'Base stats'!AM:AM)=1,0.1,1)/100,IF(_xlfn.XLOOKUP(B300,'Base stats'!B:B,'Base stats'!AM:AM)=1,0.001,0.025)),0.5)))</f>
        <v>0.01</v>
      </c>
      <c r="CA300" s="25" t="str">
        <f>IF(P300="Standard","No",MAX(0.001,MIN(MROUND(IF(AND(BJ300="True",CC300="False"),POWER(10,3.47*LOG10(_xlfn.XLOOKUP(B300,'Base stats'!B:B,'Base stats'!C:C)*1000)^-0.96),POWER(10,4.15*LOG10(_xlfn.XLOOKUP(B300,'Base stats'!B:B,'Base stats'!C:C)*1000)^-0.73))*IF(_xlfn.XLOOKUP(B300,'Base stats'!B:B,'Base stats'!AM:AM)=1,0.1,1)*_xlfn.XLOOKUP(B300,'Base stats'!B:B,'Base stats'!R:R)/100,IF(_xlfn.XLOOKUP(B300,'Base stats'!B:B,'Base stats'!AM:AM)=1,0.001,0.025)),0.5)))</f>
        <v>No</v>
      </c>
      <c r="CB300" s="25" t="str">
        <f>IF(_xlfn.XLOOKUP(_xlfn.XLOOKUP(B300,'Base stats'!B:B,'Base stats'!E:E),Groups!A:A,Groups!AJ:AJ)="Mammal","True","False")</f>
        <v>False</v>
      </c>
      <c r="CC300" s="25" t="str">
        <f>IF(OR(_xlfn.XLOOKUP(_xlfn.XLOOKUP(B300,'Base stats'!B:B,'Base stats'!E:E),Groups!A:A,Groups!AJ:AJ)="Reptile",_xlfn.XLOOKUP(_xlfn.XLOOKUP(B300,'Base stats'!B:B,'Base stats'!E:E),Groups!A:A,Groups!AJ:AJ)="Amphibian",_xlfn.XLOOKUP(_xlfn.XLOOKUP(B300,'Base stats'!B:B,'Base stats'!E:E),Groups!A:A,Groups!AJ:AJ)="Invertebrate"),"True","False")</f>
        <v>True</v>
      </c>
      <c r="CD300" s="25" t="str">
        <f t="shared" si="34"/>
        <v>True</v>
      </c>
      <c r="CE300" s="25" t="str">
        <f>IF(_xlfn.XLOOKUP(_xlfn.XLOOKUP(B300,'Base stats'!B:B,'Base stats'!E:E),Groups!A:A,Groups!AX:AX),"True","False")</f>
        <v>False</v>
      </c>
      <c r="CF300" s="25" t="str">
        <f>IF(_xlfn.XLOOKUP(_xlfn.XLOOKUP(B300,'Base stats'!B:B,'Base stats'!E:E),Groups!A:A,Groups!AY:AY),"True","False")</f>
        <v>False</v>
      </c>
      <c r="CG300" s="25" t="str">
        <f>IF(_xlfn.XLOOKUP(_xlfn.XLOOKUP(B300,'Base stats'!B:B,'Base stats'!E:E),Groups!A:A,Groups!AW:AW),"True","False")</f>
        <v>False</v>
      </c>
      <c r="CH300" s="25" t="str">
        <f>IF(
OR(
_xlfn.XLOOKUP(_xlfn.XLOOKUP(B300,'Base stats'!B:B,'Base stats'!E:E),Groups!A:A,Groups!AZ:AZ)=0,
AND(
_xlfn.XLOOKUP(B300,'Base stats'!B:B,'Base stats'!Y:Y)&lt;&gt;"Carnivore",
_xlfn.XLOOKUP(B300,'Base stats'!B:B,'Base stats'!Y:Y)&lt;&gt;"Omnivore",
_xlfn.XLOOKUP(B300,'Base stats'!B:B,'Base stats'!Y:Y)&lt;&gt;"OmnivoreRough"
)
),
"No",
IF(
_xlfn.XLOOKUP(_xlfn.XLOOKUP(B300,'Base stats'!B:B,'Base stats'!E:E),Groups!A:A,Groups!AZ:AZ)=1,
"Flesh",
IF(
_xlfn.XLOOKUP(_xlfn.XLOOKUP(B300,'Base stats'!B:B,'Base stats'!E:E),Groups!A:A,Groups!AZ:AZ)=2,
"Bone",
""
)
)
)</f>
        <v>No</v>
      </c>
      <c r="CI300" s="25" t="str">
        <f>IF(_xlfn.XLOOKUP(_xlfn.XLOOKUP(B300,'Base stats'!B:B,'Base stats'!E:E),Groups!A:A,Groups!BB:BB),"True","False")</f>
        <v>True</v>
      </c>
      <c r="CJ300" s="25" t="str">
        <f>IF(_xlfn.XLOOKUP(_xlfn.XLOOKUP(B300,'Base stats'!B:B,'Base stats'!E:E),Groups!A:A,Groups!BA:BA),"True","False")</f>
        <v>False</v>
      </c>
    </row>
    <row r="301" spans="1:88" ht="16.5" thickTop="1" thickBot="1" x14ac:dyDescent="0.3">
      <c r="A301" s="26" t="s">
        <v>1514</v>
      </c>
      <c r="B301" s="6" t="str">
        <f>_xlfn.XLOOKUP(A301,'Base stats'!A:A,'Base stats'!B:B)</f>
        <v>Echinopsios fixus</v>
      </c>
      <c r="C301" s="28" t="s">
        <v>1515</v>
      </c>
      <c r="D301" s="28" t="s">
        <v>1341</v>
      </c>
      <c r="E301" s="28" t="s">
        <v>673</v>
      </c>
      <c r="F301" s="28" t="s">
        <v>673</v>
      </c>
      <c r="G301" s="28" t="s">
        <v>673</v>
      </c>
      <c r="H301" s="2">
        <f>MROUND((
  (IF(AND(_xlfn.XLOOKUP(B301,'Base stats'!B:B,'Base stats'!AL:AL)=0,BI301="None",_xlfn.XLOOKUP(_xlfn.XLOOKUP(B301,'Base stats'!B:B,'Base stats'!E:E),Groups!A:A,Groups!B:B)=0), (18 + BR301 * 2.7) * 0.5,
    IF(AND(_xlfn.XLOOKUP(B301,'Base stats'!B:B,'Base stats'!AL:AL)=0,OR(AO301&lt;0.55,AND(BI301="Intermediate",_xlfn.XLOOKUP(_xlfn.XLOOKUP(B301,'Base stats'!B:B,'Base stats'!E:E),Groups!A:A,Groups!B:B)&lt;2))), (18 + BR301 * 2.7),
      IF(OR(BI301="Advanced",_xlfn.XLOOKUP(B301,'Base stats'!B:B,'Base stats'!AL:AL)=1,_xlfn.XLOOKUP(_xlfn.XLOOKUP(B301,'Base stats'!B:B,'Base stats'!E:E),Groups!A:A,Groups!B:B)=2), (18 + BR301 * 2.7) + 250, (18 + BR301 * 2.7))
    )
  ))
  + AO301 * 80
  + IF(COUNTIF(EggMilk!K$2:K$998, A301) &gt; 0, 125, 0)
  + IF(COUNTIF(EggMilk!P$2:P$998, A301) &gt; 0, 90, 0)
  + IF(COUNTIF(EggMilk!A$2:A$998, A301) &gt; 0, 90, 0)
)
* (0.8 + 0.4 * J301)
* 0.75,25)</f>
        <v>400</v>
      </c>
      <c r="I301" s="2">
        <f>MROUND(ROUNDDOWN(_xlfn.XLOOKUP(B301,'Base stats'!B:B,'Base stats'!L:L)/3.6/(23.3/11),1),0.5)</f>
        <v>2.5</v>
      </c>
      <c r="J301" s="2">
        <f>IF(OR(_xlfn.XLOOKUP(B301,'Base stats'!B:B,'Base stats'!AB:AB)=1,_xlfn.XLOOKUP(_xlfn.XLOOKUP(B301,'Base stats'!B:B,'Base stats'!E:E),Groups!A:A,Groups!C:C)="Untamable"),1,IF(_xlfn.XLOOKUP(B301,'Base stats'!B:B,'Base stats'!AL:AL)=1,0.99,MIN(MROUND((1-0.6282*EXP(-0.459*AO301))*_xlfn.XLOOKUP(_xlfn.XLOOKUP(B301,'Base stats'!B:B,'Base stats'!E:E),Groups!A:A,Groups!C:C)*IF(_xlfn.XLOOKUP(B301,'Base stats'!B:B,'Base stats'!O:O)=1,0.5,IF(_xlfn.XLOOKUP(B301,'Base stats'!B:B,'Base stats'!O:O)=2,0,1)),0.05),IF(AO301&gt;3.5,0.985,0.95))))</f>
        <v>0.55000000000000004</v>
      </c>
      <c r="K301" s="2">
        <f>ROUNDUP(AO301*_xlfn.XLOOKUP(_xlfn.XLOOKUP(B301,'Base stats'!B:B,'Base stats'!E:E),Groups!A:A,Groups!E:E),0)</f>
        <v>1</v>
      </c>
      <c r="L301" s="2">
        <f>IF(OR(_xlfn.XLOOKUP(_xlfn.XLOOKUP(B301,'Base stats'!B:B,'Base stats'!E:E),Groups!A:A,Groups!F:F)=2,ISNUMBER(SEARCH("SeaIce",BX301)),ISNUMBER(SEARCH("IceSheet",BX301))),-50,IF(OR(ISNUMBER(SEARCH("GlacialPlain",BX301)),ISNUMBER(SEARCH("Tundra",BX301))),-40,IF(OR(ISNUMBER(SEARCH("Alpine",BX301)),ISNUMBER(SEARCH("BorealForest",BX301)),ISNUMBER(SEARCH("ColdBog",BX301))),-30,IF(OR(ISNUMBER(SEARCH("TemperateForest",BX301)),ISNUMBER(SEARCH("TemperateSwamp",BX301))),-20,IF(_xlfn.XLOOKUP(_xlfn.XLOOKUP(B301,'Base stats'!B:B,'Base stats'!E:E),Groups!A:A,Groups!F:F)=1,-15,IF(OR(ISNUMBER(SEARCH("Desert",BX301)),ISNUMBER(SEARCH("ExtremeDesert",BX301))),-10,IF(OR(ISNUMBER(SEARCH("Grasslands",BX301)),ISNUMBER(SEARCH("TropicalRainforest",BX301)),ISNUMBER(SEARCH("TropicalSwamp",BX301))),10,0)))))))-IF(CC301="False",MIN(IFERROR(MAX(MROUND(LOG10(_xlfn.XLOOKUP(B301,'Base stats'!B:B,'Base stats'!C:C)^(2/3))*10,5),5),5),30))-_xlfn.XLOOKUP(B301,'Base stats'!B:B,'Base stats'!P:P)+IF(CC301="True",5,0)</f>
        <v>-5</v>
      </c>
      <c r="M301" s="2">
        <f>IF(OR(_xlfn.XLOOKUP(_xlfn.XLOOKUP(B301,'Base stats'!B:B,'Base stats'!E:E),Groups!A:A,Groups!G:G)=2,ISNUMBER(SEARCH("Desert",BX301)),ISNUMBER(SEARCH("ExtremeDesert",BX301)),ISNUMBER(SEARCH("LavaField",BX301))),50,IF(ISNUMBER(SEARCH("Grasslands",BX301)),45,IF(OR(_xlfn.XLOOKUP(_xlfn.XLOOKUP(B301,'Base stats'!B:B,'Base stats'!E:E),Groups!A:A,Groups!G:G)=1,ISNUMBER(SEARCH("TropicalRainforest",BX301)),ISNUMBER(SEARCH("TropicalSwamp",BX301))),40,IF(OR(ISNUMBER(SEARCH("TemperateForest",BX301)),ISNUMBER(SEARCH("TemperateSwamp",BX301))),35,IF(OR(ISNUMBER(SEARCH("Alpine",BX301)),ISNUMBER(SEARCH("BorealForest",BX301)),ISNUMBER(SEARCH("ColdBog",BX301))),30,IF(ISNUMBER(OR(ISNUMBER(SEARCH("GlacialPlain",BX301)),SEARCH("Tundra",BX301))),25,IF(OR(ISNUMBER(SEARCH("SeaIce",BX301)),ISNUMBER(SEARCH("IceSheet",BX301)),ISNUMBER(SEARCH("TropicalSwamp",BX301))),10,35)))))))+_xlfn.XLOOKUP(B301,'Base stats'!B:B,'Base stats'!Q:Q)</f>
        <v>50</v>
      </c>
      <c r="N301" s="8" t="str">
        <f>IF(
_xlfn.XLOOKUP(
_xlfn.XLOOKUP(B301,'Base stats'!B:B,'Base stats'!E:E),
Groups!A:A,
Groups!L:L
)=1,
MIN(
MROUND(
IF(
_xlfn.XLOOKUP(B301,'Animals CE'!B:B,'Animals CE'!Z:Z)&lt;=1.5,
_xlfn.XLOOKUP(B301,'Animals CE'!B:B,'Animals CE'!Z:Z)/2+0.05,
0.8+
(_xlfn.XLOOKUP(B301,'Animals CE'!B:B,'Animals CE'!Z:Z)-1.5)
*0.02
),
0.05
),
200%
),
"No"
)</f>
        <v>No</v>
      </c>
      <c r="O301" s="8" t="str">
        <f>IF(
_xlfn.XLOOKUP(
_xlfn.XLOOKUP(B301,'Base stats'!B:B,'Base stats'!E:E),
Groups!A:A,
Groups!L:L
)=1,
MIN(
MROUND(
IF(
_xlfn.XLOOKUP(B301,'Animals CE'!B:B,'Animals CE'!AA:AA)&lt;=1.5,
_xlfn.XLOOKUP(B301,'Animals CE'!B:B,'Animals CE'!AA:AA)/2+0.05,
0.8+
(_xlfn.XLOOKUP(B301,'Animals CE'!B:B,'Animals CE'!AA:AA)-1.5)
*0.02
),
0.05
),
200%
),
"No"
)</f>
        <v>No</v>
      </c>
      <c r="P301" s="2" t="str">
        <f>_xlfn.XLOOKUP(B301,'Base stats'!B:B,'Base stats'!R:R)</f>
        <v>Standard</v>
      </c>
      <c r="Q301" s="13">
        <f>MROUND((LOG10(_xlfn.XLOOKUP(B301,'Base stats'!B:B,'Base stats'!AR:AR))*(AO301^0.5)+(_xlfn.XLOOKUP(B301,'Base stats'!B:B,'Base stats'!AR:AR)/1000)^(2/3)+_xlfn.XLOOKUP(B301,'Base stats'!B:B,'Base stats'!BA:BA)/2)+0.5,0.5)</f>
        <v>5.5</v>
      </c>
      <c r="R301" s="7">
        <f>IF(Q301="No","No",MAX(1,MROUND(_xlfn.XLOOKUP(B301,'Base stats'!B:B,'Base stats'!C:C)^0.165,0.05)))</f>
        <v>1.8</v>
      </c>
      <c r="S301" s="13" t="str">
        <f>IF(_xlfn.XLOOKUP(_xlfn.XLOOKUP(B301,'Base stats'!B:B,'Base stats'!E:E),Groups!A:A,Groups!P:P)=0,"No",MROUND((LOG10(_xlfn.XLOOKUP(B301,'Base stats'!B:B,'Base stats'!AS:AS))*(AO301^0.5)+(_xlfn.XLOOKUP(B301,'Base stats'!B:B,'Base stats'!AS:AS)/1000)^(2/3)+_xlfn.XLOOKUP(B301,'Base stats'!B:B,'Base stats'!BA:BA))+_xlfn.XLOOKUP(B301,'Base stats'!B:B,'Base stats'!AY:AY)+0.5,0.5))</f>
        <v>No</v>
      </c>
      <c r="T301" s="7" t="str">
        <f>IF(S301="No","No",MAX(_xlfn.XLOOKUP(_xlfn.XLOOKUP(B301,'Base stats'!B:B,'Base stats'!E:E),Groups!A:A,Groups!Q:Q),MROUND(_xlfn.XLOOKUP(_xlfn.XLOOKUP(B301,'Base stats'!B:B,'Base stats'!E:E),Groups!A:A,Groups!Q:Q)*_xlfn.XLOOKUP(B301,'Base stats'!B:B,'Base stats'!C:C)^0.165,0.05)))</f>
        <v>No</v>
      </c>
      <c r="U301" s="7" t="str">
        <f>IF(S301="No","No",_xlfn.XLOOKUP(_xlfn.XLOOKUP(B301,'Base stats'!B:B,'Base stats'!E:E),Groups!A:A,Groups!R:R))</f>
        <v>No</v>
      </c>
      <c r="V301" s="7" t="str">
        <f>IF(S301="No","No",_xlfn.XLOOKUP(_xlfn.XLOOKUP(B301,'Base stats'!B:B,'Base stats'!E:E),Groups!A:A,Groups!S:S))</f>
        <v>No</v>
      </c>
      <c r="W301" s="7" t="str">
        <f>IF(S301="No","No",_xlfn.XLOOKUP(_xlfn.XLOOKUP(B301,'Base stats'!B:B,'Base stats'!E:E),Groups!A:A,Groups!T:T))</f>
        <v>No</v>
      </c>
      <c r="X301" s="13" t="str">
        <f>IF(_xlfn.XLOOKUP(B301,'Base stats'!B:B,'Base stats'!W:W)="No","No",MROUND((LOG10(_xlfn.XLOOKUP(B301,'Base stats'!B:B,'Base stats'!AU:AU))*(AO301^0.5)+(_xlfn.XLOOKUP(B301,'Base stats'!B:B,'Base stats'!AU:AU)/1000)^(2/3)+_xlfn.XLOOKUP(B301,'Base stats'!B:B,'Base stats'!AZ:AZ))+0.5+IF(_xlfn.XLOOKUP(_xlfn.XLOOKUP(B301,'Base stats'!B:B,'Base stats'!E:E),Groups!A:A,Groups!U:U)&lt;&gt;3,_xlfn.XLOOKUP(B301,'Base stats'!B:B,'Base stats'!BA:BA),0),0.5))</f>
        <v>No</v>
      </c>
      <c r="Y301" s="7" t="str">
        <f>IF(X301="No","No",MAX(_xlfn.XLOOKUP(_xlfn.XLOOKUP(B301,'Base stats'!B:B,'Base stats'!E:E),Groups!A:A,Groups!V:V),MROUND(_xlfn.XLOOKUP(_xlfn.XLOOKUP(B301,'Base stats'!B:B,'Base stats'!E:E),Groups!A:A,Groups!V:V)*_xlfn.XLOOKUP(B301,'Base stats'!B:B,'Base stats'!C:C)^0.165,0.05)))</f>
        <v>No</v>
      </c>
      <c r="Z301" s="7" t="str">
        <f>IF(X301="No","No",_xlfn.XLOOKUP(_xlfn.XLOOKUP(B301,'Base stats'!B:B,'Base stats'!E:E),Groups!A:A,Groups!W:W))</f>
        <v>No</v>
      </c>
      <c r="AA301" s="7" t="str">
        <f>IF(X301="No","No",_xlfn.XLOOKUP(_xlfn.XLOOKUP(B301,'Base stats'!B:B,'Base stats'!E:E),Groups!A:A,Groups!X:X))</f>
        <v>No</v>
      </c>
      <c r="AB301" s="7" t="str">
        <f>IF(X301="No","No",_xlfn.XLOOKUP(_xlfn.XLOOKUP(B301,'Base stats'!B:B,'Base stats'!E:E),Groups!A:A,Groups!Y:Y))</f>
        <v>No</v>
      </c>
      <c r="AC301" s="7" t="str">
        <f>_xlfn.XLOOKUP(Animals!B301,'Base stats'!B:B,'Base stats'!X:X)</f>
        <v>False</v>
      </c>
      <c r="AD301" s="13">
        <f>IF(_xlfn.XLOOKUP(B301,'Base stats'!B:B,'Base stats'!AT:AT)="No","No",MROUND((LOG10(_xlfn.XLOOKUP(B301,'Base stats'!B:B,'Base stats'!AT:AT))*(AO301^0.75)+(_xlfn.XLOOKUP(B301,'Base stats'!B:B,'Base stats'!AT:AT)/1000)^(2/3)+_xlfn.XLOOKUP(B301,'Base stats'!B:B,'Base stats'!AX:AX)+_xlfn.XLOOKUP(B301,'Base stats'!B:B,'Base stats'!BA:BA))+0.5,0.5))</f>
        <v>15.5</v>
      </c>
      <c r="AE301" s="7">
        <f>IF(AD301="No","No",MAX(_xlfn.XLOOKUP(_xlfn.XLOOKUP(B301,'Base stats'!B:B,'Base stats'!E:E),Groups!A:A,Groups!Z:Z),MROUND(_xlfn.XLOOKUP(_xlfn.XLOOKUP(B301,'Base stats'!B:B,'Base stats'!E:E),Groups!A:A,Groups!Z:Z)*_xlfn.XLOOKUP(B301,'Base stats'!B:B,'Base stats'!C:C)^0.165,0.05)))</f>
        <v>1.6</v>
      </c>
      <c r="AF301" s="7" t="str">
        <f>IF(AD301="No","No",_xlfn.XLOOKUP(_xlfn.XLOOKUP(B301,'Base stats'!B:B,'Base stats'!E:E),Groups!A:A,Groups!AA:AA))</f>
        <v>AA_Mouth</v>
      </c>
      <c r="AG301" s="7" t="str">
        <f>IF(AD301="No","No",_xlfn.XLOOKUP(_xlfn.XLOOKUP(B301,'Base stats'!B:B,'Base stats'!E:E),Groups!A:A,Groups!AB:AB))</f>
        <v>mouth</v>
      </c>
      <c r="AH301" s="7" t="str">
        <f>IF(AD301="No","No",_xlfn.XLOOKUP(_xlfn.XLOOKUP(B301,'Base stats'!B:B,'Base stats'!E:E),Groups!A:A,Groups!AC:AC))</f>
        <v>Bite</v>
      </c>
      <c r="AI301" s="13">
        <f>IF(_xlfn.XLOOKUP(_xlfn.XLOOKUP(B301,'Base stats'!B:B,'Base stats'!E:E),Groups!A:A,Groups!AD:AD)=0,"No",MROUND((LOG10(_xlfn.XLOOKUP(B301,'Base stats'!B:B,'Base stats'!AS:AS))*(AO301^0.75)+(_xlfn.XLOOKUP(B301,'Base stats'!B:B,'Base stats'!AS:AS)/1000)^(2/3)+_xlfn.XLOOKUP(B301,'Base stats'!B:B,'Base stats'!AY:AY)+_xlfn.XLOOKUP(B301,'Base stats'!B:B,'Base stats'!BA:BA))+0.5,0.5))</f>
        <v>7</v>
      </c>
      <c r="AJ301" s="7">
        <f>IF(AI301="No","No",MAX(_xlfn.XLOOKUP(_xlfn.XLOOKUP(B301,'Base stats'!B:B,'Base stats'!E:E),Groups!A:A,Groups!AE:AE),MROUND(_xlfn.XLOOKUP(_xlfn.XLOOKUP(B301,'Base stats'!B:B,'Base stats'!E:E),Groups!A:A,Groups!AE:AE)*IF(_xlfn.XLOOKUP(_xlfn.XLOOKUP(B301,'Base stats'!B:B,'Base stats'!E:E),Groups!A:A,Groups!AJ:AJ)="Photonozoa",0.6,1)*_xlfn.XLOOKUP(B301,'Base stats'!B:B,'Base stats'!C:C)^0.165,0.05)))</f>
        <v>1.4500000000000002</v>
      </c>
      <c r="AK301" s="7" t="str">
        <f>IF(AI301="No","No",_xlfn.XLOOKUP(_xlfn.XLOOKUP(B301,'Base stats'!B:B,'Base stats'!E:E),Groups!A:A,Groups!AF:AF))</f>
        <v>HeadAttackTool</v>
      </c>
      <c r="AL301" s="7" t="str">
        <f>IF(AI301="No","No",_xlfn.XLOOKUP(_xlfn.XLOOKUP(B301,'Base stats'!B:B,'Base stats'!E:E),Groups!A:A,Groups!AG:AG))</f>
        <v>razor barbs</v>
      </c>
      <c r="AM301" s="7" t="str">
        <f>IF(AI301="No","No",_xlfn.XLOOKUP(_xlfn.XLOOKUP(B301,'Base stats'!B:B,'Base stats'!E:E),Groups!A:A,Groups!AH:AH))</f>
        <v>Scratch</v>
      </c>
      <c r="AN301" s="2" t="str">
        <f t="shared" si="28"/>
        <v>No</v>
      </c>
      <c r="AO301" s="2">
        <f>MROUND(IF(AND(_xlfn.XLOOKUP(B301,'Base stats'!B:B,'Base stats'!C:C)&gt;=0.5,_xlfn.XLOOKUP(B301,'Base stats'!B:B,'Base stats'!C:C)&lt;=0.8),
IF(_xlfn.XLOOKUP(B301,'Base stats'!B:B,'Base stats'!C:C)&lt;0.1,0.05,IF(_xlfn.XLOOKUP(B301,'Base stats'!B:B,'Base stats'!C:C)&lt;=70,(_xlfn.XLOOKUP(B301,'Base stats'!B:B,'Base stats'!C:C)/70)^0.426489913056526,IF(_xlfn.XLOOKUP(B301,'Base stats'!B:B,'Base stats'!C:C)&lt;=400,(_xlfn.XLOOKUP(B301,'Base stats'!B:B,'Base stats'!C:C)/70)^0.572811455315093,IF(_xlfn.XLOOKUP(B301,'Base stats'!B:B,'Base stats'!C:C)&lt;=2000,2.71391647193063*(_xlfn.XLOOKUP(B301,'Base stats'!B:B,'Base stats'!C:C)/400)^0.252459582904293,3.74314280240376*(_xlfn.XLOOKUP(B301,'Base stats'!B:B,'Base stats'!C:C)/2000)^0.357012633876913)))),
IF(_xlfn.XLOOKUP(B301,'Base stats'!B:B,'Base stats'!C:C)&lt;0.1,0.05,IF(_xlfn.XLOOKUP(B301,'Base stats'!B:B,'Base stats'!C:C)&lt;0.4,0.1,IF(_xlfn.XLOOKUP(B301,'Base stats'!B:B,'Base stats'!C:C)&lt;=70,(_xlfn.XLOOKUP(B301,'Base stats'!B:B,'Base stats'!C:C)/70)^0.445823913056526,IF(_xlfn.XLOOKUP(B301,'Base stats'!B:B,'Base stats'!C:C)&lt;=400,(_xlfn.XLOOKUP(B301,'Base stats'!B:B,'Base stats'!C:C)/70)^0.572811455315093,IF(_xlfn.XLOOKUP(B301,'Base stats'!B:B,'Base stats'!C:C)&lt;=2000,2.71391647193063*(_xlfn.XLOOKUP(B301,'Base stats'!B:B,'Base stats'!C:C)/400)^0.252459582904293,3.74314280240376*(_xlfn.XLOOKUP(B301,'Base stats'!B:B,'Base stats'!C:C)/2000)^0.357012633876913)))))),
IF(_xlfn.XLOOKUP(B301,'Base stats'!B:B,'Base stats'!C:C)&lt;0.1,0.05,IF(_xlfn.XLOOKUP(B301,'Base stats'!B:B,'Base stats'!C:C)&lt;=100,0.05,IF(_xlfn.XLOOKUP(B301,'Base stats'!B:B,'Base stats'!C:C)&lt;=250,0.1,IF(_xlfn.XLOOKUP(B301,'Base stats'!B:B,'Base stats'!C:C)&lt;=4000,0.25,0.5)))))</f>
        <v>0.75</v>
      </c>
      <c r="AP301" s="8">
        <f>MROUND(AO301*_xlfn.XLOOKUP(_xlfn.XLOOKUP(B301,'Base stats'!B:B,'Base stats'!E:E),Groups!A:A,Groups!AI:AI)*_xlfn.XLOOKUP(B301,'Base stats'!B:B,'Base stats'!Z:Z),0.05)</f>
        <v>0.75</v>
      </c>
      <c r="AQ301" s="8">
        <f>MAX(0.01,MROUND(IF(CC301="True",0.196*(AO301*100*1000)^0.889,IF(_xlfn.XLOOKUP(_xlfn.XLOOKUP(B301,'Base stats'!B:B,'Base stats'!E:E),Groups!A:A,Groups!AJ:AJ)="Bird",10.5*(AO301*100*1000)^0.681,4.82*(AO301*100*1000)^0.734))/(4.82*(1*100*1000)^0.734)/IF(AO301&lt;3.5,2,IF(AO301=3.5,1.5,1.25))*(1+0.132282374779864/(AO301^0.994035016789033+0.00905238001496948)),0.05))</f>
        <v>0.1</v>
      </c>
      <c r="AR301" s="9">
        <f>IFERROR(MROUND(_xlfn.XLOOKUP(B301,'Base stats'!B:B,'Base stats'!H:H)/IF(_xlfn.XLOOKUP(B301,'Base stats'!B:B,'Base stats'!I:I)&lt;&gt;1,(122.5/70),1.2),IF(_xlfn.XLOOKUP(B301,'Base stats'!B:B,'Base stats'!H:H)&gt;=30,5,IF(_xlfn.XLOOKUP(B301,'Base stats'!B:B,'Base stats'!H:H)&gt;=15,3,IF(_xlfn.XLOOKUP(B301,'Base stats'!B:B,'Base stats'!H:H)&gt;=10,2,1)))),"Immortal")</f>
        <v>18</v>
      </c>
      <c r="AS301" s="35">
        <f>IFERROR(IF(OR(_xlfn.XLOOKUP(B301,'Base stats'!B:B,'Base stats'!F:F)="Atypical reproduction",_xlfn.XLOOKUP(B301,'Base stats'!B:B,'Base stats'!F:F)="Lay eggs"),"Lay eggs",MIN(20,MAX(5.5,ROUND(((_xlfn.XLOOKUP(B301,'Base stats'!B:B,'Base stats'!F:F)-25)*(14.5/615) + 5.5)*2,0)/2))),"Unknown")</f>
        <v>8</v>
      </c>
      <c r="AT301" s="8">
        <f>IF(_xlfn.XLOOKUP(B301,'Base stats'!B:B,'Base stats'!G:G)="Atypical reproduction","No",IFERROR(MAX(IF(_xlfn.XLOOKUP(B301,'Base stats'!B:B,'Base stats'!G:G)&lt;0.5,0.2,0.3),MROUND(_xlfn.XLOOKUP(B301,'Base stats'!B:B,'Base stats'!G:G)/(365/60),0.2)),"Unknown"))</f>
        <v>0.4</v>
      </c>
      <c r="AU301" s="8">
        <f t="shared" si="29"/>
        <v>0.2</v>
      </c>
      <c r="AV301" s="8">
        <f>IFERROR(IFERROR(MROUND(_xlfn.XLOOKUP(B301,'Base stats'!B:B,'Base stats'!J:J),0.1),"Lay eggs"),"Cannot breed")</f>
        <v>2</v>
      </c>
      <c r="AW301" s="2" t="str">
        <f t="shared" si="30"/>
        <v>false</v>
      </c>
      <c r="AX301" s="2" t="str">
        <f>IF(_xlfn.XLOOKUP(_xlfn.XLOOKUP(Animals!B301,'Base stats'!B:B,'Base stats'!E:E),Groups!A:A,Groups!AK:AK)=1,"true","false")</f>
        <v>false</v>
      </c>
      <c r="AY301" s="25" t="str">
        <f>IF(_xlfn.XLOOKUP(B301,'Base stats'!B:B,'Base stats'!Y:Y)="Liquor","Liquor, CarnivoreAnimalStrict",IF(AND(_xlfn.XLOOKUP(B301,'Base stats'!B:B,'Base stats'!Y:Y)="Carnivore",_xlfn.XLOOKUP(_xlfn.XLOOKUP(B301,'Base stats'!B:B,'Base stats'!E:E),Groups!A:A,Groups!AJ:AJ)="Photonozoa"),"CarnivoreAnimalStrict, OvivoreAnimal",IF(_xlfn.XLOOKUP(B301,'Base stats'!B:B,'Base stats'!Y:Y)="Carnivore","CarnivoreAnimal, OvivoreAnimal",IF(_xlfn.XLOOKUP(B301,'Base stats'!B:B,'Base stats'!Y:Y)="Dendrovore","VegetarianRoughAnimal, DendrovoreAnimal",IF(_xlfn.XLOOKUP(B301,'Base stats'!B:B,'Base stats'!Y:Y)="Herbivore","VegetarianRoughAnimal",IF(_xlfn.XLOOKUP(B301,'Base stats'!B:B,'Base stats'!Y:Y)="OmnivoreRough","OmnivoreRoughAnimal, OvivoreAnimal","OmnivoreAnimal, OvivoreAnimal"))))))</f>
        <v>VegetarianRoughAnimal</v>
      </c>
      <c r="AZ301" s="2" t="str">
        <f>IF(_xlfn.XLOOKUP(_xlfn.XLOOKUP(B301,'Base stats'!B:B,'Base stats'!E:E),Groups!A:A,Groups!D:D)=1,MROUND((1-J301)*5+1,2)*IF(J301&lt;=0.4,2,1),"No")</f>
        <v>No</v>
      </c>
      <c r="BA301" s="2" t="str">
        <f>IF(AND(_xlfn.XLOOKUP(B301,'Base stats'!B:B,'Base stats'!AH:AH)="&lt;li&gt;Seal&lt;/li&gt;",G301="Odyssey"),"&lt;li&gt;AEXP_Seal&lt;/li&gt;",_xlfn.XLOOKUP(B301,'Base stats'!B:B,'Base stats'!AH:AH))</f>
        <v>No</v>
      </c>
      <c r="BB301" s="2" t="str">
        <f>_xlfn.XLOOKUP(B301,'Base stats'!B:B,'Base stats'!AG:AG)</f>
        <v>Leather_Cactus</v>
      </c>
      <c r="BC301" s="23" t="str">
        <f>_xlfn.XLOOKUP(_xlfn.XLOOKUP(B301,'Base stats'!B:B,'Base stats'!E:E),Groups!A:A,Groups!AL:AL)</f>
        <v>AA_SentientPlant</v>
      </c>
      <c r="BD301" s="23">
        <f>MIN(1,MROUND(IF(AND(AO301&lt;0.5,_xlfn.XLOOKUP(B301,'Base stats'!B:B,'Base stats'!AA:AA)=0),0,IF(OR(_xlfn.XLOOKUP(Animals!B301,'Base stats'!B:B,'Base stats'!O:O)=2,_xlfn.XLOOKUP(_xlfn.XLOOKUP(B301,'Base stats'!B:B,'Base stats'!E:E),Groups!A:A,Groups!AN:AN)=0),0,_xlfn.XLOOKUP(_xlfn.XLOOKUP(B301,'Base stats'!B:B,'Base stats'!E:E),Groups!A:A,Groups!AN:AN)/IF(_xlfn.XLOOKUP(Animals!B301,'Base stats'!B:B,'Base stats'!O:O)=1,2,1)))+_xlfn.XLOOKUP(B301,'Base stats'!B:B,'Base stats'!AC:AC),0.005))</f>
        <v>2.5000000000000001E-2</v>
      </c>
      <c r="BE301" s="23">
        <f>MIN(1,MROUND(IF(AND(AO301&lt;0.5,_xlfn.XLOOKUP(B301,'Base stats'!B:B,'Base stats'!AA:AA)=0),0,IF(_xlfn.XLOOKUP(_xlfn.XLOOKUP(B301,'Base stats'!B:B,'Base stats'!E:E),Groups!A:A,Groups!AO:AO)=0,0,_xlfn.XLOOKUP(_xlfn.XLOOKUP(B301,'Base stats'!B:B,'Base stats'!E:E),Groups!A:A,Groups!AO:AO)/IF(_xlfn.XLOOKUP(Animals!B301,'Base stats'!B:B,'Base stats'!O:O)=2,3,1)))+_xlfn.XLOOKUP(B301,'Base stats'!B:B,'Base stats'!AD:AD),0.005))</f>
        <v>0.1</v>
      </c>
      <c r="BF301" s="2" t="str">
        <f>IF(J301&gt;0.3,"No",_xlfn.XLOOKUP(_xlfn.XLOOKUP(Animals!B301,'Base stats'!B:B,'Base stats'!E:E),Groups!A:A,Groups!AP:AP))</f>
        <v>No</v>
      </c>
      <c r="BG301" s="2" t="str">
        <f>IF(AND(J301&lt;=0.65,_xlfn.XLOOKUP(_xlfn.XLOOKUP(Animals!B301,'Base stats'!B:B,'Base stats'!E:E),Groups!A:A,Groups!AP:AP)&lt;&gt;"No",_xlfn.XLOOKUP(_xlfn.XLOOKUP(B301,'Base stats'!B:B,'Base stats'!E:E),Groups!A:A,Groups!D:D)=0),MROUND((80/3)*IF(_xlfn.XLOOKUP(B301,'Base stats'!B:B,'Base stats'!O:O)=2,0.2,AO301) + 24*(1-IF(BF301="No",0,BF301)) + 16/3, 12),"No")</f>
        <v>No</v>
      </c>
      <c r="BH301" s="2">
        <f>IF(AND(_xlfn.XLOOKUP(_xlfn.XLOOKUP(B301,'Base stats'!B:B,'Base stats'!E:E),Groups!A:A,Groups!AQ:AQ)=1,AO301&lt;=0.35),8,12)</f>
        <v>12</v>
      </c>
      <c r="BI301" s="2" t="str">
        <f>IF(_xlfn.XLOOKUP(_xlfn.XLOOKUP(B301,'Base stats'!B:B,'Base stats'!E:E),Groups!A:A,Groups!D:D)=0,_xlfn.XLOOKUP(_xlfn.XLOOKUP(B301,'Base stats'!B:B,'Base stats'!E:E),Groups!A:A,Groups!AR:AR),"None")</f>
        <v>Intermediate</v>
      </c>
      <c r="BJ301" s="2" t="str">
        <f>IF(AND(_xlfn.XLOOKUP(_xlfn.XLOOKUP(B301,'Base stats'!B:B,'Base stats'!E:E),Groups!A:A,Groups!AS:AS)=1,OR(_xlfn.XLOOKUP(B301,'Base stats'!B:B,'Base stats'!Y:Y)="Carnivore",_xlfn.XLOOKUP(B301,'Base stats'!B:B,'Base stats'!Y:Y)="Omnivore")),"true","false")</f>
        <v>false</v>
      </c>
      <c r="BK301" s="2" t="str">
        <f>IF(BJ301="true",MROUND(IF(AND(AO301&gt;0.5,OR(_xlfn.XLOOKUP(_xlfn.XLOOKUP(B301,'Base stats'!B:B,'Base stats'!E:E),Groups!A:A,Groups!AJ:AJ)="Photonozoa",_xlfn.XLOOKUP(_xlfn.XLOOKUP(B301,'Base stats'!B:B,'Base stats'!E:E),Groups!A:A,Groups!AJ:AJ)="Mammal")),Animals!AO301*1.75*IF(AW301="true",1.5,1),IF(AO301&lt;0.5,Animals!AO301*0.5,Animals!AO301)),IF(AO301&gt;2,0.5,IF(AO301&gt;0.5,0.25,0.1))),"No")</f>
        <v>No</v>
      </c>
      <c r="BL301" s="2">
        <f t="shared" si="31"/>
        <v>1</v>
      </c>
      <c r="BM301" s="25" t="str">
        <f>IF(_xlfn.XLOOKUP(B301,'Base stats'!B:B,'Base stats'!AN:AN)="Standard","No",MROUND((_xlfn.XLOOKUP(B301,'Base stats'!B:B,'Base stats'!AN:AN)/3.6)/I301,0.1))</f>
        <v>No</v>
      </c>
      <c r="BN301" s="25" t="str">
        <f t="shared" si="32"/>
        <v>false</v>
      </c>
      <c r="BO301" s="25" t="str">
        <f>IF(AND(OR(_xlfn.XLOOKUP(B301,'Base stats'!B:B,'Base stats'!Y:Y)="Carnivore",_xlfn.XLOOKUP(B301,'Base stats'!B:B,'Base stats'!Y:Y)="Omnivore",_xlfn.XLOOKUP(B301,'Base stats'!B:B,'Base stats'!Y:Y)="OmnivoreRough"),_xlfn.XLOOKUP(_xlfn.XLOOKUP(B301,'Base stats'!B:B,'Base stats'!E:E),Groups!A:A,Groups!AT:AT)=1),"true","false")</f>
        <v>false</v>
      </c>
      <c r="BP301" s="25" t="str" cm="1">
        <f t="array" ref="BP301">IF(
  _xlfn.TEXTJOIN(", ",TRUE,
    IF(AND(BJ301="true",AO301&gt;0.5,BI301&lt;&gt;"None"),"AttackTarget",""),
    IF(AND(_xlfn.XLOOKUP(_xlfn.XLOOKUP(B301,'Base stats'!B:B,'Base stats'!E:E),Groups!A:A,Groups!AJ:AJ="Mammal"),OR(_xlfn.XLOOKUP(B301,'Base stats'!B:B,'Base stats'!Y:Y)="Omnivore",_xlfn.XLOOKUP(B301,'Base stats'!B:B,'Base stats'!Y:Y)="OmnivoreRough")),"Forage",""),
    IF(BG301&lt;=36,"Comfort",""),
    IF(_xlfn.XLOOKUP(B301,'Base stats'!B:B,'Base stats'!AE:AE)&lt;&gt;"No",_xlfn.XLOOKUP(B301,'Base stats'!B:B,'Base stats'!AE:AE),"")
  ) = "",
  "No",
  _xlfn.TEXTJOIN(", ",TRUE,
    IF(AND(BJ301="true",AO301&gt;0.5,BI301&lt;&gt;"None"),"AttackTarget",""),
    IF(AND(_xlfn.XLOOKUP(_xlfn.XLOOKUP(B301,'Base stats'!B:B,'Base stats'!E:E),Groups!A:A,Groups!AJ:AJ="Mammal"),OR(_xlfn.XLOOKUP(B301,'Base stats'!B:B,'Base stats'!Y:Y)="Omnivore",_xlfn.XLOOKUP(B301,'Base stats'!B:B,'Base stats'!Y:Y)="OmnivoreRough")),"Forage",""),
    IF(BG301&lt;=36,"Comfort",""),
    IF(_xlfn.XLOOKUP(B301,'Base stats'!B:B,'Base stats'!AE:AE)&lt;&gt;"No",_xlfn.XLOOKUP(B301,'Base stats'!B:B,'Base stats'!AE:AE),"")
  )
)</f>
        <v>No</v>
      </c>
      <c r="BQ301" s="25" t="str">
        <f>IF(
   AND(
      'Base stats'!AN301="Standard",_xlfn.XLOOKUP(_xlfn.XLOOKUP(B301,'Base stats'!B:B,'Base stats'!E:E),Groups!A:A,Groups!AU:AU)=0,
      OR(
      BO301="True"
      )
   ),
   10,
   IF(
       OR(BM301&lt;&gt;"No",_xlfn.XLOOKUP(_xlfn.XLOOKUP(B301,'Base stats'!B:B,'Base stats'!E:E),Groups!A:A,Groups!AU:AU)=1),
      1,
      "No"
   )
)</f>
        <v>No</v>
      </c>
      <c r="BR301" s="9">
        <f>MROUND((1 + ((0.2*IF(OR(Q301="No",R301="No",R301=0),0,Q301/R301)
+IF(OR(V301="No",S301="No",T301="No"),0,S301/T301*(LEN(V301)-LEN(SUBSTITUTE(V301,",",""))+1))
+IF(OR(X301="No",Y301="No"),0,X301/Y301)
+IF(OR(AD301="No",AE301="No"),0,AD301/AE301)
+IF(OR(AL301="No",AI301="No",AJ301="No"),0,AI301/AJ301*(LEN(AL301)-LEN(SUBSTITUTE(AL301,",",""))+1))
)/(0.2*IF(OR(Q301="No",R301="No",R301=0),0,1)
+IF(OR(V301="No",S301="No",T301="No"),0,LEN(V301)-LEN(SUBSTITUTE(V301,",",""))+1)
+IF(OR(X301="No",Y301="No"),0,1)
+IF(OR(AD301="No",AE301="No"),0,1)
+IF(OR(AL301="No",AI301="No",AJ301="No"),0,LEN(AL301)-LEN(SUBSTITUTE(AL301,",",""))+1))*62%)* 2)*(1 + (AP301 / (IF(_xlfn.XLOOKUP(_xlfn.XLOOKUP(B301,'Base stats'!B:B,'Base stats'!E:E),Groups!A:A,Groups!AJ:AJ)="Photonozoa",0.3,1)) + _xlfn.XLOOKUP(B301,'Base stats'!B:B,'Base stats'!AV:AV) * 1.8) * 2) * 2.5 + 10 + I301 * 2,5)+IF(_xlfn.XLOOKUP(B301,'Base stats'!B:B,'Base stats'!AK:AK)=1,50,0)</f>
        <v>75</v>
      </c>
      <c r="BS301" s="8">
        <f t="shared" si="33"/>
        <v>0.25</v>
      </c>
      <c r="BT301" s="8" t="str">
        <f>_xlfn.XLOOKUP(B301,'Base stats'!B:B,'Base stats'!AF:AF)</f>
        <v>No</v>
      </c>
      <c r="BU301" s="2" t="str">
        <f>IF(AND(J301&lt;=0.95,OR(_xlfn.XLOOKUP(B301,'Base stats'!B:B,'Base stats'!AK:AK)=1,_xlfn.XLOOKUP(B301,'Base stats'!B:B,'Base stats'!Y:Y)="Carnivore",_xlfn.XLOOKUP(B301,'Base stats'!B:B,'Base stats'!Y:Y)="Omnivore",BE301&gt;0.1)),"true","false")</f>
        <v>false</v>
      </c>
      <c r="BV301" s="2" t="str">
        <f>IF(_xlfn.XLOOKUP(B301,'Base stats'!B:B,'Base stats'!AI:AI)=1,"true","false")</f>
        <v>false</v>
      </c>
      <c r="BW301" s="25" t="str">
        <f>IF(E301="BaseInsect","AnimalInsect",
IF(J301&gt;0.95,"AnimalExotic",
_xlfn.TEXTJOIN(", ",TRUE,
IF(OR(_xlfn.XLOOKUP(B301,'Base stats'!B:B,'Base stats'!AM:AM)=1,AND(_xlfn.XLOOKUP(B301,'Base stats'!B:B,'Base stats'!O:O)=0,_xlfn.XLOOKUP(_xlfn.XLOOKUP(B301,'Base stats'!B:B,'Base stats'!E:E),Groups!A:A,Groups!B:B)&gt;0)),"AnimalUncommon","AnimalCommon"),
IF(AND(_xlfn.XLOOKUP(B301,'Base stats'!B:B,'Base stats'!O:O)=2,_xlfn.XLOOKUP(_xlfn.XLOOKUP(B301,'Base stats'!B:B,'Base stats'!E:E),Groups!A:A,Groups!D:D)=0),"AnimalPet",IF(AND(_xlfn.XLOOKUP(B301,'Base stats'!B:B,'Base stats'!O:O)&lt;&gt;0,_xlfn.XLOOKUP(_xlfn.XLOOKUP(B301,'Base stats'!B:B,'Base stats'!E:E),Groups!A:A,Groups!D:D)&lt;&gt;0),"AnimalFarm","")),
IF(OR(_xlfn.XLOOKUP(B301,'Base stats'!B:B,'Base stats'!AK:AK)=1,AND(BI301&lt;&gt;"None",BR301&gt;=60),ISNUMBER(SEARCH("Attack target",BP301))),"AnimalFighter","")
)))</f>
        <v>AnimalUncommon, AnimalFighter</v>
      </c>
      <c r="BX301" s="25" t="str">
        <f>IF(G301="None",TRIM(
SUBSTITUTE(
IF(COUNTIF(Biomes!B$2:B$259,"="&amp;$C301)&gt;0,Biomes!B$1&amp;", ","")&amp;
IF(COUNTIF(Biomes!C$2:C$259,"="&amp;$C301)&gt;0,Biomes!C$1&amp;", ","")&amp;
IF(COUNTIF(Biomes!D$2:D$259,"="&amp;$C301)&gt;0,Biomes!D$1&amp;", ","")&amp;
IF(COUNTIF(Biomes!F$2:F$259,"="&amp;$C301)&gt;0,Biomes!F$1&amp;", ","")&amp;
IF(COUNTIF(Biomes!G$2:G$259,"="&amp;$C301)&gt;0,Biomes!G$1&amp;", ","")&amp;
IF(COUNTIF(Biomes!H$2:H$259,"="&amp;$C301)&gt;0,Biomes!H$1&amp;", ","")&amp;
IF(COUNTIF(Biomes!I$2:I$259,"="&amp;$C301)&gt;0,Biomes!I$1&amp;", ","")&amp;
IF(COUNTIF(Biomes!J$2:J$259,"="&amp;$C301)&gt;0,Biomes!J$1&amp;", ","")&amp;
IF(COUNTIF(Biomes!M$2:M$259,"="&amp;$C301)&gt;0,Biomes!M$1&amp;", ","")&amp;
IF(COUNTIF(Biomes!N$2:N$259,"="&amp;$C301)&gt;0,Biomes!N$1&amp;", ","")&amp;
IF(COUNTIF(Biomes!O$2:O$259,"="&amp;$C301)&gt;0,Biomes!O$1&amp;", ","")&amp;
IF(COUNTIF(Biomes!P$2:P$259,"="&amp;$C301)&gt;0,Biomes!P$1&amp;", ","")&amp;
IF(COUNTIF(Biomes!K$2:K$259,"="&amp;$C301)&gt;0,Biomes!K$1&amp;", ","")&amp;
IF(COUNTIF(Biomes!Q$3:Q$259,"="&amp;$C301)&gt;0,Biomes!Q$1&amp;", ","")&amp;
IF(COUNTIF(Biomes!L$2:L$259,"="&amp;$C301)&gt;0,Biomes!L$1&amp;", ","")&amp;
IF(COUNTIF(Biomes!E$2:E$259,"="&amp;$C301)&gt;0,Biomes!E$1&amp;", ","")&amp;IF(COUNTIF(Biomes!S$2:S$259,"="&amp;$C301)&gt;0,Biomes!S$1&amp;", ","")&amp;
IF(COUNTIF(Biomes!R$2:R$259,"="&amp;$C301)&gt;0,Biomes!R$1&amp;", ",""),", ","")
),_xlfn.XLOOKUP(B301,B:B,BX:BX))</f>
        <v>AridShrubland Desert ExtremeDesert Grasslands LavaField</v>
      </c>
      <c r="BY301" s="25" t="str">
        <f>IF(_xlfn.XLOOKUP(B301,'Base stats'!B:B,'Base stats'!AJ:AJ)=1,"true","false")</f>
        <v>false</v>
      </c>
      <c r="BZ301" s="25">
        <f>IF(_xlfn.XLOOKUP(B301,'Base stats'!B:B,'Base stats'!N:N)=1,"No",MAX(0.001,MIN(MROUND(IF(AND(BJ301="True",CC301="False"),POWER(10,3.47*LOG10(_xlfn.XLOOKUP(B301,'Base stats'!B:B,'Base stats'!C:C)*1000)^-0.96),POWER(10,4.15*LOG10(_xlfn.XLOOKUP(B301,'Base stats'!B:B,'Base stats'!C:C)*1000)^-0.73))*IF(_xlfn.XLOOKUP(B301,'Base stats'!B:B,'Base stats'!AK:AK)=1,0.5,1)*IF(_xlfn.XLOOKUP(B301,'Base stats'!B:B,'Base stats'!AM:AM)=1,0.1,1)/100,IF(_xlfn.XLOOKUP(B301,'Base stats'!B:B,'Base stats'!AM:AM)=1,0.001,0.025)),0.5)))</f>
        <v>2.4E-2</v>
      </c>
      <c r="CA301" s="25" t="str">
        <f>IF(P301="Standard","No",MAX(0.001,MIN(MROUND(IF(AND(BJ301="True",CC301="False"),POWER(10,3.47*LOG10(_xlfn.XLOOKUP(B301,'Base stats'!B:B,'Base stats'!C:C)*1000)^-0.96),POWER(10,4.15*LOG10(_xlfn.XLOOKUP(B301,'Base stats'!B:B,'Base stats'!C:C)*1000)^-0.73))*IF(_xlfn.XLOOKUP(B301,'Base stats'!B:B,'Base stats'!AM:AM)=1,0.1,1)*_xlfn.XLOOKUP(B301,'Base stats'!B:B,'Base stats'!R:R)/100,IF(_xlfn.XLOOKUP(B301,'Base stats'!B:B,'Base stats'!AM:AM)=1,0.001,0.025)),0.5)))</f>
        <v>No</v>
      </c>
      <c r="CB301" s="25" t="str">
        <f>IF(_xlfn.XLOOKUP(_xlfn.XLOOKUP(B301,'Base stats'!B:B,'Base stats'!E:E),Groups!A:A,Groups!AJ:AJ)="Mammal","True","False")</f>
        <v>False</v>
      </c>
      <c r="CC301" s="25" t="str">
        <f>IF(OR(_xlfn.XLOOKUP(_xlfn.XLOOKUP(B301,'Base stats'!B:B,'Base stats'!E:E),Groups!A:A,Groups!AJ:AJ)="Reptile",_xlfn.XLOOKUP(_xlfn.XLOOKUP(B301,'Base stats'!B:B,'Base stats'!E:E),Groups!A:A,Groups!AJ:AJ)="Amphibian",_xlfn.XLOOKUP(_xlfn.XLOOKUP(B301,'Base stats'!B:B,'Base stats'!E:E),Groups!A:A,Groups!AJ:AJ)="Invertebrate"),"True","False")</f>
        <v>True</v>
      </c>
      <c r="CD301" s="25" t="str">
        <f t="shared" si="34"/>
        <v>False</v>
      </c>
      <c r="CE301" s="25" t="str">
        <f>IF(_xlfn.XLOOKUP(_xlfn.XLOOKUP(B301,'Base stats'!B:B,'Base stats'!E:E),Groups!A:A,Groups!AX:AX),"True","False")</f>
        <v>True</v>
      </c>
      <c r="CF301" s="25" t="str">
        <f>IF(_xlfn.XLOOKUP(_xlfn.XLOOKUP(B301,'Base stats'!B:B,'Base stats'!E:E),Groups!A:A,Groups!AY:AY),"True","False")</f>
        <v>True</v>
      </c>
      <c r="CG301" s="25" t="str">
        <f>IF(_xlfn.XLOOKUP(_xlfn.XLOOKUP(B301,'Base stats'!B:B,'Base stats'!E:E),Groups!A:A,Groups!AW:AW),"True","False")</f>
        <v>True</v>
      </c>
      <c r="CH301" s="25" t="str">
        <f>IF(
OR(
_xlfn.XLOOKUP(_xlfn.XLOOKUP(B301,'Base stats'!B:B,'Base stats'!E:E),Groups!A:A,Groups!AZ:AZ)=0,
AND(
_xlfn.XLOOKUP(B301,'Base stats'!B:B,'Base stats'!Y:Y)&lt;&gt;"Carnivore",
_xlfn.XLOOKUP(B301,'Base stats'!B:B,'Base stats'!Y:Y)&lt;&gt;"Omnivore",
_xlfn.XLOOKUP(B301,'Base stats'!B:B,'Base stats'!Y:Y)&lt;&gt;"OmnivoreRough"
)
),
"No",
IF(
_xlfn.XLOOKUP(_xlfn.XLOOKUP(B301,'Base stats'!B:B,'Base stats'!E:E),Groups!A:A,Groups!AZ:AZ)=1,
"Flesh",
IF(
_xlfn.XLOOKUP(_xlfn.XLOOKUP(B301,'Base stats'!B:B,'Base stats'!E:E),Groups!A:A,Groups!AZ:AZ)=2,
"Bone",
""
)
)
)</f>
        <v>No</v>
      </c>
      <c r="CI301" s="25" t="str">
        <f>IF(_xlfn.XLOOKUP(_xlfn.XLOOKUP(B301,'Base stats'!B:B,'Base stats'!E:E),Groups!A:A,Groups!BB:BB),"True","False")</f>
        <v>False</v>
      </c>
      <c r="CJ301" s="25" t="str">
        <f>IF(_xlfn.XLOOKUP(_xlfn.XLOOKUP(B301,'Base stats'!B:B,'Base stats'!E:E),Groups!A:A,Groups!BA:BA),"True","False")</f>
        <v>True</v>
      </c>
    </row>
    <row r="302" spans="1:88" ht="16.5" thickTop="1" thickBot="1" x14ac:dyDescent="0.3">
      <c r="A302" s="26" t="s">
        <v>1516</v>
      </c>
      <c r="B302" s="6" t="str">
        <f>_xlfn.XLOOKUP(A302,'Base stats'!A:A,'Base stats'!B:B)</f>
        <v>Echinopsios volans</v>
      </c>
      <c r="C302" s="28" t="s">
        <v>1517</v>
      </c>
      <c r="D302" s="28" t="s">
        <v>1341</v>
      </c>
      <c r="E302" s="28" t="s">
        <v>673</v>
      </c>
      <c r="F302" s="28" t="s">
        <v>673</v>
      </c>
      <c r="G302" s="28" t="s">
        <v>673</v>
      </c>
      <c r="H302" s="2">
        <f>MROUND((
  (IF(AND(_xlfn.XLOOKUP(B302,'Base stats'!B:B,'Base stats'!AL:AL)=0,BI302="None",_xlfn.XLOOKUP(_xlfn.XLOOKUP(B302,'Base stats'!B:B,'Base stats'!E:E),Groups!A:A,Groups!B:B)=0), (18 + BR302 * 2.7) * 0.5,
    IF(AND(_xlfn.XLOOKUP(B302,'Base stats'!B:B,'Base stats'!AL:AL)=0,OR(AO302&lt;0.55,AND(BI302="Intermediate",_xlfn.XLOOKUP(_xlfn.XLOOKUP(B302,'Base stats'!B:B,'Base stats'!E:E),Groups!A:A,Groups!B:B)&lt;2))), (18 + BR302 * 2.7),
      IF(OR(BI302="Advanced",_xlfn.XLOOKUP(B302,'Base stats'!B:B,'Base stats'!AL:AL)=1,_xlfn.XLOOKUP(_xlfn.XLOOKUP(B302,'Base stats'!B:B,'Base stats'!E:E),Groups!A:A,Groups!B:B)=2), (18 + BR302 * 2.7) + 250, (18 + BR302 * 2.7))
    )
  ))
  + AO302 * 80
  + IF(COUNTIF(EggMilk!K$2:K$998, A302) &gt; 0, 125, 0)
  + IF(COUNTIF(EggMilk!P$2:P$998, A302) &gt; 0, 90, 0)
  + IF(COUNTIF(EggMilk!A$2:A$998, A302) &gt; 0, 90, 0)
)
* (0.8 + 0.4 * J302)
* 0.75,25)</f>
        <v>400</v>
      </c>
      <c r="I302" s="2">
        <f>MROUND(ROUNDDOWN(_xlfn.XLOOKUP(B302,'Base stats'!B:B,'Base stats'!L:L)/3.6/(23.3/11),1),0.5)</f>
        <v>2.5</v>
      </c>
      <c r="J302" s="2">
        <f>IF(OR(_xlfn.XLOOKUP(B302,'Base stats'!B:B,'Base stats'!AB:AB)=1,_xlfn.XLOOKUP(_xlfn.XLOOKUP(B302,'Base stats'!B:B,'Base stats'!E:E),Groups!A:A,Groups!C:C)="Untamable"),1,IF(_xlfn.XLOOKUP(B302,'Base stats'!B:B,'Base stats'!AL:AL)=1,0.99,MIN(MROUND((1-0.6282*EXP(-0.459*AO302))*_xlfn.XLOOKUP(_xlfn.XLOOKUP(B302,'Base stats'!B:B,'Base stats'!E:E),Groups!A:A,Groups!C:C)*IF(_xlfn.XLOOKUP(B302,'Base stats'!B:B,'Base stats'!O:O)=1,0.5,IF(_xlfn.XLOOKUP(B302,'Base stats'!B:B,'Base stats'!O:O)=2,0,1)),0.05),IF(AO302&gt;3.5,0.985,0.95))))</f>
        <v>0.55000000000000004</v>
      </c>
      <c r="K302" s="2">
        <f>ROUNDUP(AO302*_xlfn.XLOOKUP(_xlfn.XLOOKUP(B302,'Base stats'!B:B,'Base stats'!E:E),Groups!A:A,Groups!E:E),0)</f>
        <v>1</v>
      </c>
      <c r="L302" s="2">
        <f>IF(OR(_xlfn.XLOOKUP(_xlfn.XLOOKUP(B302,'Base stats'!B:B,'Base stats'!E:E),Groups!A:A,Groups!F:F)=2,ISNUMBER(SEARCH("SeaIce",BX302)),ISNUMBER(SEARCH("IceSheet",BX302))),-50,IF(OR(ISNUMBER(SEARCH("GlacialPlain",BX302)),ISNUMBER(SEARCH("Tundra",BX302))),-40,IF(OR(ISNUMBER(SEARCH("Alpine",BX302)),ISNUMBER(SEARCH("BorealForest",BX302)),ISNUMBER(SEARCH("ColdBog",BX302))),-30,IF(OR(ISNUMBER(SEARCH("TemperateForest",BX302)),ISNUMBER(SEARCH("TemperateSwamp",BX302))),-20,IF(_xlfn.XLOOKUP(_xlfn.XLOOKUP(B302,'Base stats'!B:B,'Base stats'!E:E),Groups!A:A,Groups!F:F)=1,-15,IF(OR(ISNUMBER(SEARCH("Desert",BX302)),ISNUMBER(SEARCH("ExtremeDesert",BX302))),-10,IF(OR(ISNUMBER(SEARCH("Grasslands",BX302)),ISNUMBER(SEARCH("TropicalRainforest",BX302)),ISNUMBER(SEARCH("TropicalSwamp",BX302))),10,0)))))))-IF(CC302="False",MIN(IFERROR(MAX(MROUND(LOG10(_xlfn.XLOOKUP(B302,'Base stats'!B:B,'Base stats'!C:C)^(2/3))*10,5),5),5),30))-_xlfn.XLOOKUP(B302,'Base stats'!B:B,'Base stats'!P:P)+IF(CC302="True",5,0)</f>
        <v>-5</v>
      </c>
      <c r="M302" s="2">
        <f>IF(OR(_xlfn.XLOOKUP(_xlfn.XLOOKUP(B302,'Base stats'!B:B,'Base stats'!E:E),Groups!A:A,Groups!G:G)=2,ISNUMBER(SEARCH("Desert",BX302)),ISNUMBER(SEARCH("ExtremeDesert",BX302)),ISNUMBER(SEARCH("LavaField",BX302))),50,IF(ISNUMBER(SEARCH("Grasslands",BX302)),45,IF(OR(_xlfn.XLOOKUP(_xlfn.XLOOKUP(B302,'Base stats'!B:B,'Base stats'!E:E),Groups!A:A,Groups!G:G)=1,ISNUMBER(SEARCH("TropicalRainforest",BX302)),ISNUMBER(SEARCH("TropicalSwamp",BX302))),40,IF(OR(ISNUMBER(SEARCH("TemperateForest",BX302)),ISNUMBER(SEARCH("TemperateSwamp",BX302))),35,IF(OR(ISNUMBER(SEARCH("Alpine",BX302)),ISNUMBER(SEARCH("BorealForest",BX302)),ISNUMBER(SEARCH("ColdBog",BX302))),30,IF(ISNUMBER(OR(ISNUMBER(SEARCH("GlacialPlain",BX302)),SEARCH("Tundra",BX302))),25,IF(OR(ISNUMBER(SEARCH("SeaIce",BX302)),ISNUMBER(SEARCH("IceSheet",BX302)),ISNUMBER(SEARCH("TropicalSwamp",BX302))),10,35)))))))+_xlfn.XLOOKUP(B302,'Base stats'!B:B,'Base stats'!Q:Q)</f>
        <v>50</v>
      </c>
      <c r="N302" s="8" t="str">
        <f>IF(
_xlfn.XLOOKUP(
_xlfn.XLOOKUP(B302,'Base stats'!B:B,'Base stats'!E:E),
Groups!A:A,
Groups!L:L
)=1,
MIN(
MROUND(
IF(
_xlfn.XLOOKUP(B302,'Animals CE'!B:B,'Animals CE'!Z:Z)&lt;=1.5,
_xlfn.XLOOKUP(B302,'Animals CE'!B:B,'Animals CE'!Z:Z)/2+0.05,
0.8+
(_xlfn.XLOOKUP(B302,'Animals CE'!B:B,'Animals CE'!Z:Z)-1.5)
*0.02
),
0.05
),
200%
),
"No"
)</f>
        <v>No</v>
      </c>
      <c r="O302" s="8" t="str">
        <f>IF(
_xlfn.XLOOKUP(
_xlfn.XLOOKUP(B302,'Base stats'!B:B,'Base stats'!E:E),
Groups!A:A,
Groups!L:L
)=1,
MIN(
MROUND(
IF(
_xlfn.XLOOKUP(B302,'Animals CE'!B:B,'Animals CE'!AA:AA)&lt;=1.5,
_xlfn.XLOOKUP(B302,'Animals CE'!B:B,'Animals CE'!AA:AA)/2+0.05,
0.8+
(_xlfn.XLOOKUP(B302,'Animals CE'!B:B,'Animals CE'!AA:AA)-1.5)
*0.02
),
0.05
),
200%
),
"No"
)</f>
        <v>No</v>
      </c>
      <c r="P302" s="2" t="str">
        <f>_xlfn.XLOOKUP(B302,'Base stats'!B:B,'Base stats'!R:R)</f>
        <v>Standard</v>
      </c>
      <c r="Q302" s="13">
        <f>MROUND((LOG10(_xlfn.XLOOKUP(B302,'Base stats'!B:B,'Base stats'!AR:AR))*(AO302^0.5)+(_xlfn.XLOOKUP(B302,'Base stats'!B:B,'Base stats'!AR:AR)/1000)^(2/3)+_xlfn.XLOOKUP(B302,'Base stats'!B:B,'Base stats'!BA:BA)/2)+0.5,0.5)</f>
        <v>5.5</v>
      </c>
      <c r="R302" s="7">
        <f>IF(Q302="No","No",MAX(1,MROUND(_xlfn.XLOOKUP(B302,'Base stats'!B:B,'Base stats'!C:C)^0.165,0.05)))</f>
        <v>1.8</v>
      </c>
      <c r="S302" s="13" t="str">
        <f>IF(_xlfn.XLOOKUP(_xlfn.XLOOKUP(B302,'Base stats'!B:B,'Base stats'!E:E),Groups!A:A,Groups!P:P)=0,"No",MROUND((LOG10(_xlfn.XLOOKUP(B302,'Base stats'!B:B,'Base stats'!AS:AS))*(AO302^0.5)+(_xlfn.XLOOKUP(B302,'Base stats'!B:B,'Base stats'!AS:AS)/1000)^(2/3)+_xlfn.XLOOKUP(B302,'Base stats'!B:B,'Base stats'!BA:BA))+_xlfn.XLOOKUP(B302,'Base stats'!B:B,'Base stats'!AY:AY)+0.5,0.5))</f>
        <v>No</v>
      </c>
      <c r="T302" s="7" t="str">
        <f>IF(S302="No","No",MAX(_xlfn.XLOOKUP(_xlfn.XLOOKUP(B302,'Base stats'!B:B,'Base stats'!E:E),Groups!A:A,Groups!Q:Q),MROUND(_xlfn.XLOOKUP(_xlfn.XLOOKUP(B302,'Base stats'!B:B,'Base stats'!E:E),Groups!A:A,Groups!Q:Q)*_xlfn.XLOOKUP(B302,'Base stats'!B:B,'Base stats'!C:C)^0.165,0.05)))</f>
        <v>No</v>
      </c>
      <c r="U302" s="7" t="str">
        <f>IF(S302="No","No",_xlfn.XLOOKUP(_xlfn.XLOOKUP(B302,'Base stats'!B:B,'Base stats'!E:E),Groups!A:A,Groups!R:R))</f>
        <v>No</v>
      </c>
      <c r="V302" s="7" t="str">
        <f>IF(S302="No","No",_xlfn.XLOOKUP(_xlfn.XLOOKUP(B302,'Base stats'!B:B,'Base stats'!E:E),Groups!A:A,Groups!S:S))</f>
        <v>No</v>
      </c>
      <c r="W302" s="7" t="str">
        <f>IF(S302="No","No",_xlfn.XLOOKUP(_xlfn.XLOOKUP(B302,'Base stats'!B:B,'Base stats'!E:E),Groups!A:A,Groups!T:T))</f>
        <v>No</v>
      </c>
      <c r="X302" s="13" t="str">
        <f>IF(_xlfn.XLOOKUP(B302,'Base stats'!B:B,'Base stats'!W:W)="No","No",MROUND((LOG10(_xlfn.XLOOKUP(B302,'Base stats'!B:B,'Base stats'!AU:AU))*(AO302^0.5)+(_xlfn.XLOOKUP(B302,'Base stats'!B:B,'Base stats'!AU:AU)/1000)^(2/3)+_xlfn.XLOOKUP(B302,'Base stats'!B:B,'Base stats'!AZ:AZ))+0.5+IF(_xlfn.XLOOKUP(_xlfn.XLOOKUP(B302,'Base stats'!B:B,'Base stats'!E:E),Groups!A:A,Groups!U:U)&lt;&gt;3,_xlfn.XLOOKUP(B302,'Base stats'!B:B,'Base stats'!BA:BA),0),0.5))</f>
        <v>No</v>
      </c>
      <c r="Y302" s="7" t="str">
        <f>IF(X302="No","No",MAX(_xlfn.XLOOKUP(_xlfn.XLOOKUP(B302,'Base stats'!B:B,'Base stats'!E:E),Groups!A:A,Groups!V:V),MROUND(_xlfn.XLOOKUP(_xlfn.XLOOKUP(B302,'Base stats'!B:B,'Base stats'!E:E),Groups!A:A,Groups!V:V)*_xlfn.XLOOKUP(B302,'Base stats'!B:B,'Base stats'!C:C)^0.165,0.05)))</f>
        <v>No</v>
      </c>
      <c r="Z302" s="7" t="str">
        <f>IF(X302="No","No",_xlfn.XLOOKUP(_xlfn.XLOOKUP(B302,'Base stats'!B:B,'Base stats'!E:E),Groups!A:A,Groups!W:W))</f>
        <v>No</v>
      </c>
      <c r="AA302" s="7" t="str">
        <f>IF(X302="No","No",_xlfn.XLOOKUP(_xlfn.XLOOKUP(B302,'Base stats'!B:B,'Base stats'!E:E),Groups!A:A,Groups!X:X))</f>
        <v>No</v>
      </c>
      <c r="AB302" s="7" t="str">
        <f>IF(X302="No","No",_xlfn.XLOOKUP(_xlfn.XLOOKUP(B302,'Base stats'!B:B,'Base stats'!E:E),Groups!A:A,Groups!Y:Y))</f>
        <v>No</v>
      </c>
      <c r="AC302" s="7" t="str">
        <f>_xlfn.XLOOKUP(Animals!B302,'Base stats'!B:B,'Base stats'!X:X)</f>
        <v>False</v>
      </c>
      <c r="AD302" s="13">
        <f>IF(_xlfn.XLOOKUP(B302,'Base stats'!B:B,'Base stats'!AT:AT)="No","No",MROUND((LOG10(_xlfn.XLOOKUP(B302,'Base stats'!B:B,'Base stats'!AT:AT))*(AO302^0.75)+(_xlfn.XLOOKUP(B302,'Base stats'!B:B,'Base stats'!AT:AT)/1000)^(2/3)+_xlfn.XLOOKUP(B302,'Base stats'!B:B,'Base stats'!AX:AX)+_xlfn.XLOOKUP(B302,'Base stats'!B:B,'Base stats'!BA:BA))+0.5,0.5))</f>
        <v>15.5</v>
      </c>
      <c r="AE302" s="7">
        <f>IF(AD302="No","No",MAX(_xlfn.XLOOKUP(_xlfn.XLOOKUP(B302,'Base stats'!B:B,'Base stats'!E:E),Groups!A:A,Groups!Z:Z),MROUND(_xlfn.XLOOKUP(_xlfn.XLOOKUP(B302,'Base stats'!B:B,'Base stats'!E:E),Groups!A:A,Groups!Z:Z)*_xlfn.XLOOKUP(B302,'Base stats'!B:B,'Base stats'!C:C)^0.165,0.05)))</f>
        <v>1.6</v>
      </c>
      <c r="AF302" s="7" t="str">
        <f>IF(AD302="No","No",_xlfn.XLOOKUP(_xlfn.XLOOKUP(B302,'Base stats'!B:B,'Base stats'!E:E),Groups!A:A,Groups!AA:AA))</f>
        <v>AA_Mouth</v>
      </c>
      <c r="AG302" s="7" t="str">
        <f>IF(AD302="No","No",_xlfn.XLOOKUP(_xlfn.XLOOKUP(B302,'Base stats'!B:B,'Base stats'!E:E),Groups!A:A,Groups!AB:AB))</f>
        <v>mouth</v>
      </c>
      <c r="AH302" s="7" t="str">
        <f>IF(AD302="No","No",_xlfn.XLOOKUP(_xlfn.XLOOKUP(B302,'Base stats'!B:B,'Base stats'!E:E),Groups!A:A,Groups!AC:AC))</f>
        <v>Bite</v>
      </c>
      <c r="AI302" s="13">
        <f>IF(_xlfn.XLOOKUP(_xlfn.XLOOKUP(B302,'Base stats'!B:B,'Base stats'!E:E),Groups!A:A,Groups!AD:AD)=0,"No",MROUND((LOG10(_xlfn.XLOOKUP(B302,'Base stats'!B:B,'Base stats'!AS:AS))*(AO302^0.75)+(_xlfn.XLOOKUP(B302,'Base stats'!B:B,'Base stats'!AS:AS)/1000)^(2/3)+_xlfn.XLOOKUP(B302,'Base stats'!B:B,'Base stats'!AY:AY)+_xlfn.XLOOKUP(B302,'Base stats'!B:B,'Base stats'!BA:BA))+0.5,0.5))</f>
        <v>7</v>
      </c>
      <c r="AJ302" s="7">
        <f>IF(AI302="No","No",MAX(_xlfn.XLOOKUP(_xlfn.XLOOKUP(B302,'Base stats'!B:B,'Base stats'!E:E),Groups!A:A,Groups!AE:AE),MROUND(_xlfn.XLOOKUP(_xlfn.XLOOKUP(B302,'Base stats'!B:B,'Base stats'!E:E),Groups!A:A,Groups!AE:AE)*IF(_xlfn.XLOOKUP(_xlfn.XLOOKUP(B302,'Base stats'!B:B,'Base stats'!E:E),Groups!A:A,Groups!AJ:AJ)="Photonozoa",0.6,1)*_xlfn.XLOOKUP(B302,'Base stats'!B:B,'Base stats'!C:C)^0.165,0.05)))</f>
        <v>1.4500000000000002</v>
      </c>
      <c r="AK302" s="7" t="str">
        <f>IF(AI302="No","No",_xlfn.XLOOKUP(_xlfn.XLOOKUP(B302,'Base stats'!B:B,'Base stats'!E:E),Groups!A:A,Groups!AF:AF))</f>
        <v>HeadAttackTool</v>
      </c>
      <c r="AL302" s="7" t="str">
        <f>IF(AI302="No","No",_xlfn.XLOOKUP(_xlfn.XLOOKUP(B302,'Base stats'!B:B,'Base stats'!E:E),Groups!A:A,Groups!AG:AG))</f>
        <v>razor barbs</v>
      </c>
      <c r="AM302" s="7" t="str">
        <f>IF(AI302="No","No",_xlfn.XLOOKUP(_xlfn.XLOOKUP(B302,'Base stats'!B:B,'Base stats'!E:E),Groups!A:A,Groups!AH:AH))</f>
        <v>Scratch</v>
      </c>
      <c r="AN302" s="2" t="str">
        <f t="shared" si="28"/>
        <v>No</v>
      </c>
      <c r="AO302" s="2">
        <f>MROUND(IF(AND(_xlfn.XLOOKUP(B302,'Base stats'!B:B,'Base stats'!C:C)&gt;=0.5,_xlfn.XLOOKUP(B302,'Base stats'!B:B,'Base stats'!C:C)&lt;=0.8),
IF(_xlfn.XLOOKUP(B302,'Base stats'!B:B,'Base stats'!C:C)&lt;0.1,0.05,IF(_xlfn.XLOOKUP(B302,'Base stats'!B:B,'Base stats'!C:C)&lt;=70,(_xlfn.XLOOKUP(B302,'Base stats'!B:B,'Base stats'!C:C)/70)^0.426489913056526,IF(_xlfn.XLOOKUP(B302,'Base stats'!B:B,'Base stats'!C:C)&lt;=400,(_xlfn.XLOOKUP(B302,'Base stats'!B:B,'Base stats'!C:C)/70)^0.572811455315093,IF(_xlfn.XLOOKUP(B302,'Base stats'!B:B,'Base stats'!C:C)&lt;=2000,2.71391647193063*(_xlfn.XLOOKUP(B302,'Base stats'!B:B,'Base stats'!C:C)/400)^0.252459582904293,3.74314280240376*(_xlfn.XLOOKUP(B302,'Base stats'!B:B,'Base stats'!C:C)/2000)^0.357012633876913)))),
IF(_xlfn.XLOOKUP(B302,'Base stats'!B:B,'Base stats'!C:C)&lt;0.1,0.05,IF(_xlfn.XLOOKUP(B302,'Base stats'!B:B,'Base stats'!C:C)&lt;0.4,0.1,IF(_xlfn.XLOOKUP(B302,'Base stats'!B:B,'Base stats'!C:C)&lt;=70,(_xlfn.XLOOKUP(B302,'Base stats'!B:B,'Base stats'!C:C)/70)^0.445823913056526,IF(_xlfn.XLOOKUP(B302,'Base stats'!B:B,'Base stats'!C:C)&lt;=400,(_xlfn.XLOOKUP(B302,'Base stats'!B:B,'Base stats'!C:C)/70)^0.572811455315093,IF(_xlfn.XLOOKUP(B302,'Base stats'!B:B,'Base stats'!C:C)&lt;=2000,2.71391647193063*(_xlfn.XLOOKUP(B302,'Base stats'!B:B,'Base stats'!C:C)/400)^0.252459582904293,3.74314280240376*(_xlfn.XLOOKUP(B302,'Base stats'!B:B,'Base stats'!C:C)/2000)^0.357012633876913)))))),
IF(_xlfn.XLOOKUP(B302,'Base stats'!B:B,'Base stats'!C:C)&lt;0.1,0.05,IF(_xlfn.XLOOKUP(B302,'Base stats'!B:B,'Base stats'!C:C)&lt;=100,0.05,IF(_xlfn.XLOOKUP(B302,'Base stats'!B:B,'Base stats'!C:C)&lt;=250,0.1,IF(_xlfn.XLOOKUP(B302,'Base stats'!B:B,'Base stats'!C:C)&lt;=4000,0.25,0.5)))))</f>
        <v>0.75</v>
      </c>
      <c r="AP302" s="8">
        <f>MROUND(AO302*_xlfn.XLOOKUP(_xlfn.XLOOKUP(B302,'Base stats'!B:B,'Base stats'!E:E),Groups!A:A,Groups!AI:AI)*_xlfn.XLOOKUP(B302,'Base stats'!B:B,'Base stats'!Z:Z),0.05)</f>
        <v>0.75</v>
      </c>
      <c r="AQ302" s="8">
        <f>MAX(0.01,MROUND(IF(CC302="True",0.196*(AO302*100*1000)^0.889,IF(_xlfn.XLOOKUP(_xlfn.XLOOKUP(B302,'Base stats'!B:B,'Base stats'!E:E),Groups!A:A,Groups!AJ:AJ)="Bird",10.5*(AO302*100*1000)^0.681,4.82*(AO302*100*1000)^0.734))/(4.82*(1*100*1000)^0.734)/IF(AO302&lt;3.5,2,IF(AO302=3.5,1.5,1.25))*(1+0.132282374779864/(AO302^0.994035016789033+0.00905238001496948)),0.05))</f>
        <v>0.1</v>
      </c>
      <c r="AR302" s="9">
        <f>IFERROR(MROUND(_xlfn.XLOOKUP(B302,'Base stats'!B:B,'Base stats'!H:H)/IF(_xlfn.XLOOKUP(B302,'Base stats'!B:B,'Base stats'!I:I)&lt;&gt;1,(122.5/70),1.2),IF(_xlfn.XLOOKUP(B302,'Base stats'!B:B,'Base stats'!H:H)&gt;=30,5,IF(_xlfn.XLOOKUP(B302,'Base stats'!B:B,'Base stats'!H:H)&gt;=15,3,IF(_xlfn.XLOOKUP(B302,'Base stats'!B:B,'Base stats'!H:H)&gt;=10,2,1)))),"Immortal")</f>
        <v>18</v>
      </c>
      <c r="AS302" s="35">
        <f>IFERROR(IF(OR(_xlfn.XLOOKUP(B302,'Base stats'!B:B,'Base stats'!F:F)="Atypical reproduction",_xlfn.XLOOKUP(B302,'Base stats'!B:B,'Base stats'!F:F)="Lay eggs"),"Lay eggs",MIN(20,MAX(5.5,ROUND(((_xlfn.XLOOKUP(B302,'Base stats'!B:B,'Base stats'!F:F)-25)*(14.5/615) + 5.5)*2,0)/2))),"Unknown")</f>
        <v>8</v>
      </c>
      <c r="AT302" s="8">
        <f>IF(_xlfn.XLOOKUP(B302,'Base stats'!B:B,'Base stats'!G:G)="Atypical reproduction","No",IFERROR(MAX(IF(_xlfn.XLOOKUP(B302,'Base stats'!B:B,'Base stats'!G:G)&lt;0.5,0.2,0.3),MROUND(_xlfn.XLOOKUP(B302,'Base stats'!B:B,'Base stats'!G:G)/(365/60),0.2)),"Unknown"))</f>
        <v>0.4</v>
      </c>
      <c r="AU302" s="8">
        <f t="shared" si="29"/>
        <v>0.2</v>
      </c>
      <c r="AV302" s="8">
        <f>IFERROR(IFERROR(MROUND(_xlfn.XLOOKUP(B302,'Base stats'!B:B,'Base stats'!J:J),0.1),"Lay eggs"),"Cannot breed")</f>
        <v>2</v>
      </c>
      <c r="AW302" s="2" t="str">
        <f t="shared" si="30"/>
        <v>false</v>
      </c>
      <c r="AX302" s="2" t="str">
        <f>IF(_xlfn.XLOOKUP(_xlfn.XLOOKUP(Animals!B302,'Base stats'!B:B,'Base stats'!E:E),Groups!A:A,Groups!AK:AK)=1,"true","false")</f>
        <v>false</v>
      </c>
      <c r="AY302" s="25" t="str">
        <f>IF(_xlfn.XLOOKUP(B302,'Base stats'!B:B,'Base stats'!Y:Y)="Liquor","Liquor, CarnivoreAnimalStrict",IF(AND(_xlfn.XLOOKUP(B302,'Base stats'!B:B,'Base stats'!Y:Y)="Carnivore",_xlfn.XLOOKUP(_xlfn.XLOOKUP(B302,'Base stats'!B:B,'Base stats'!E:E),Groups!A:A,Groups!AJ:AJ)="Photonozoa"),"CarnivoreAnimalStrict, OvivoreAnimal",IF(_xlfn.XLOOKUP(B302,'Base stats'!B:B,'Base stats'!Y:Y)="Carnivore","CarnivoreAnimal, OvivoreAnimal",IF(_xlfn.XLOOKUP(B302,'Base stats'!B:B,'Base stats'!Y:Y)="Dendrovore","VegetarianRoughAnimal, DendrovoreAnimal",IF(_xlfn.XLOOKUP(B302,'Base stats'!B:B,'Base stats'!Y:Y)="Herbivore","VegetarianRoughAnimal",IF(_xlfn.XLOOKUP(B302,'Base stats'!B:B,'Base stats'!Y:Y)="OmnivoreRough","OmnivoreRoughAnimal, OvivoreAnimal","OmnivoreAnimal, OvivoreAnimal"))))))</f>
        <v>VegetarianRoughAnimal</v>
      </c>
      <c r="AZ302" s="2" t="str">
        <f>IF(_xlfn.XLOOKUP(_xlfn.XLOOKUP(B302,'Base stats'!B:B,'Base stats'!E:E),Groups!A:A,Groups!D:D)=1,MROUND((1-J302)*5+1,2)*IF(J302&lt;=0.4,2,1),"No")</f>
        <v>No</v>
      </c>
      <c r="BA302" s="2" t="str">
        <f>IF(AND(_xlfn.XLOOKUP(B302,'Base stats'!B:B,'Base stats'!AH:AH)="&lt;li&gt;Seal&lt;/li&gt;",G302="Odyssey"),"&lt;li&gt;AEXP_Seal&lt;/li&gt;",_xlfn.XLOOKUP(B302,'Base stats'!B:B,'Base stats'!AH:AH))</f>
        <v>No</v>
      </c>
      <c r="BB302" s="2" t="str">
        <f>_xlfn.XLOOKUP(B302,'Base stats'!B:B,'Base stats'!AG:AG)</f>
        <v>Leather_Cactus</v>
      </c>
      <c r="BC302" s="23" t="str">
        <f>_xlfn.XLOOKUP(_xlfn.XLOOKUP(B302,'Base stats'!B:B,'Base stats'!E:E),Groups!A:A,Groups!AL:AL)</f>
        <v>AA_SentientPlant</v>
      </c>
      <c r="BD302" s="23">
        <f>MIN(1,MROUND(IF(AND(AO302&lt;0.5,_xlfn.XLOOKUP(B302,'Base stats'!B:B,'Base stats'!AA:AA)=0),0,IF(OR(_xlfn.XLOOKUP(Animals!B302,'Base stats'!B:B,'Base stats'!O:O)=2,_xlfn.XLOOKUP(_xlfn.XLOOKUP(B302,'Base stats'!B:B,'Base stats'!E:E),Groups!A:A,Groups!AN:AN)=0),0,_xlfn.XLOOKUP(_xlfn.XLOOKUP(B302,'Base stats'!B:B,'Base stats'!E:E),Groups!A:A,Groups!AN:AN)/IF(_xlfn.XLOOKUP(Animals!B302,'Base stats'!B:B,'Base stats'!O:O)=1,2,1)))+_xlfn.XLOOKUP(B302,'Base stats'!B:B,'Base stats'!AC:AC),0.005))</f>
        <v>2.5000000000000001E-2</v>
      </c>
      <c r="BE302" s="23">
        <f>MIN(1,MROUND(IF(AND(AO302&lt;0.5,_xlfn.XLOOKUP(B302,'Base stats'!B:B,'Base stats'!AA:AA)=0),0,IF(_xlfn.XLOOKUP(_xlfn.XLOOKUP(B302,'Base stats'!B:B,'Base stats'!E:E),Groups!A:A,Groups!AO:AO)=0,0,_xlfn.XLOOKUP(_xlfn.XLOOKUP(B302,'Base stats'!B:B,'Base stats'!E:E),Groups!A:A,Groups!AO:AO)/IF(_xlfn.XLOOKUP(Animals!B302,'Base stats'!B:B,'Base stats'!O:O)=2,3,1)))+_xlfn.XLOOKUP(B302,'Base stats'!B:B,'Base stats'!AD:AD),0.005))</f>
        <v>0.1</v>
      </c>
      <c r="BF302" s="2" t="str">
        <f>IF(J302&gt;0.3,"No",_xlfn.XLOOKUP(_xlfn.XLOOKUP(Animals!B302,'Base stats'!B:B,'Base stats'!E:E),Groups!A:A,Groups!AP:AP))</f>
        <v>No</v>
      </c>
      <c r="BG302" s="2" t="str">
        <f>IF(AND(J302&lt;=0.65,_xlfn.XLOOKUP(_xlfn.XLOOKUP(Animals!B302,'Base stats'!B:B,'Base stats'!E:E),Groups!A:A,Groups!AP:AP)&lt;&gt;"No",_xlfn.XLOOKUP(_xlfn.XLOOKUP(B302,'Base stats'!B:B,'Base stats'!E:E),Groups!A:A,Groups!D:D)=0),MROUND((80/3)*IF(_xlfn.XLOOKUP(B302,'Base stats'!B:B,'Base stats'!O:O)=2,0.2,AO302) + 24*(1-IF(BF302="No",0,BF302)) + 16/3, 12),"No")</f>
        <v>No</v>
      </c>
      <c r="BH302" s="2">
        <f>IF(AND(_xlfn.XLOOKUP(_xlfn.XLOOKUP(B302,'Base stats'!B:B,'Base stats'!E:E),Groups!A:A,Groups!AQ:AQ)=1,AO302&lt;=0.35),8,12)</f>
        <v>12</v>
      </c>
      <c r="BI302" s="2" t="str">
        <f>IF(_xlfn.XLOOKUP(_xlfn.XLOOKUP(B302,'Base stats'!B:B,'Base stats'!E:E),Groups!A:A,Groups!D:D)=0,_xlfn.XLOOKUP(_xlfn.XLOOKUP(B302,'Base stats'!B:B,'Base stats'!E:E),Groups!A:A,Groups!AR:AR),"None")</f>
        <v>Intermediate</v>
      </c>
      <c r="BJ302" s="2" t="str">
        <f>IF(AND(_xlfn.XLOOKUP(_xlfn.XLOOKUP(B302,'Base stats'!B:B,'Base stats'!E:E),Groups!A:A,Groups!AS:AS)=1,OR(_xlfn.XLOOKUP(B302,'Base stats'!B:B,'Base stats'!Y:Y)="Carnivore",_xlfn.XLOOKUP(B302,'Base stats'!B:B,'Base stats'!Y:Y)="Omnivore")),"true","false")</f>
        <v>false</v>
      </c>
      <c r="BK302" s="2" t="str">
        <f>IF(BJ302="true",MROUND(IF(AND(AO302&gt;0.5,OR(_xlfn.XLOOKUP(_xlfn.XLOOKUP(B302,'Base stats'!B:B,'Base stats'!E:E),Groups!A:A,Groups!AJ:AJ)="Photonozoa",_xlfn.XLOOKUP(_xlfn.XLOOKUP(B302,'Base stats'!B:B,'Base stats'!E:E),Groups!A:A,Groups!AJ:AJ)="Mammal")),Animals!AO302*1.75*IF(AW302="true",1.5,1),IF(AO302&lt;0.5,Animals!AO302*0.5,Animals!AO302)),IF(AO302&gt;2,0.5,IF(AO302&gt;0.5,0.25,0.1))),"No")</f>
        <v>No</v>
      </c>
      <c r="BL302" s="2">
        <f t="shared" si="31"/>
        <v>1</v>
      </c>
      <c r="BM302" s="25" t="str">
        <f>IF(_xlfn.XLOOKUP(B302,'Base stats'!B:B,'Base stats'!AN:AN)="Standard","No",MROUND((_xlfn.XLOOKUP(B302,'Base stats'!B:B,'Base stats'!AN:AN)/3.6)/I302,0.1))</f>
        <v>No</v>
      </c>
      <c r="BN302" s="25" t="str">
        <f t="shared" si="32"/>
        <v>false</v>
      </c>
      <c r="BO302" s="25" t="str">
        <f>IF(AND(OR(_xlfn.XLOOKUP(B302,'Base stats'!B:B,'Base stats'!Y:Y)="Carnivore",_xlfn.XLOOKUP(B302,'Base stats'!B:B,'Base stats'!Y:Y)="Omnivore",_xlfn.XLOOKUP(B302,'Base stats'!B:B,'Base stats'!Y:Y)="OmnivoreRough"),_xlfn.XLOOKUP(_xlfn.XLOOKUP(B302,'Base stats'!B:B,'Base stats'!E:E),Groups!A:A,Groups!AT:AT)=1),"true","false")</f>
        <v>false</v>
      </c>
      <c r="BP302" s="25" t="str" cm="1">
        <f t="array" ref="BP302">IF(
  _xlfn.TEXTJOIN(", ",TRUE,
    IF(AND(BJ302="true",AO302&gt;0.5,BI302&lt;&gt;"None"),"AttackTarget",""),
    IF(AND(_xlfn.XLOOKUP(_xlfn.XLOOKUP(B302,'Base stats'!B:B,'Base stats'!E:E),Groups!A:A,Groups!AJ:AJ="Mammal"),OR(_xlfn.XLOOKUP(B302,'Base stats'!B:B,'Base stats'!Y:Y)="Omnivore",_xlfn.XLOOKUP(B302,'Base stats'!B:B,'Base stats'!Y:Y)="OmnivoreRough")),"Forage",""),
    IF(BG302&lt;=36,"Comfort",""),
    IF(_xlfn.XLOOKUP(B302,'Base stats'!B:B,'Base stats'!AE:AE)&lt;&gt;"No",_xlfn.XLOOKUP(B302,'Base stats'!B:B,'Base stats'!AE:AE),"")
  ) = "",
  "No",
  _xlfn.TEXTJOIN(", ",TRUE,
    IF(AND(BJ302="true",AO302&gt;0.5,BI302&lt;&gt;"None"),"AttackTarget",""),
    IF(AND(_xlfn.XLOOKUP(_xlfn.XLOOKUP(B302,'Base stats'!B:B,'Base stats'!E:E),Groups!A:A,Groups!AJ:AJ="Mammal"),OR(_xlfn.XLOOKUP(B302,'Base stats'!B:B,'Base stats'!Y:Y)="Omnivore",_xlfn.XLOOKUP(B302,'Base stats'!B:B,'Base stats'!Y:Y)="OmnivoreRough")),"Forage",""),
    IF(BG302&lt;=36,"Comfort",""),
    IF(_xlfn.XLOOKUP(B302,'Base stats'!B:B,'Base stats'!AE:AE)&lt;&gt;"No",_xlfn.XLOOKUP(B302,'Base stats'!B:B,'Base stats'!AE:AE),"")
  )
)</f>
        <v>No</v>
      </c>
      <c r="BQ302" s="25" t="str">
        <f>IF(
   AND(
      'Base stats'!AN302="Standard",_xlfn.XLOOKUP(_xlfn.XLOOKUP(B302,'Base stats'!B:B,'Base stats'!E:E),Groups!A:A,Groups!AU:AU)=0,
      OR(
      BO302="True"
      )
   ),
   10,
   IF(
       OR(BM302&lt;&gt;"No",_xlfn.XLOOKUP(_xlfn.XLOOKUP(B302,'Base stats'!B:B,'Base stats'!E:E),Groups!A:A,Groups!AU:AU)=1),
      1,
      "No"
   )
)</f>
        <v>No</v>
      </c>
      <c r="BR302" s="9">
        <f>MROUND((1 + ((0.2*IF(OR(Q302="No",R302="No",R302=0),0,Q302/R302)
+IF(OR(V302="No",S302="No",T302="No"),0,S302/T302*(LEN(V302)-LEN(SUBSTITUTE(V302,",",""))+1))
+IF(OR(X302="No",Y302="No"),0,X302/Y302)
+IF(OR(AD302="No",AE302="No"),0,AD302/AE302)
+IF(OR(AL302="No",AI302="No",AJ302="No"),0,AI302/AJ302*(LEN(AL302)-LEN(SUBSTITUTE(AL302,",",""))+1))
)/(0.2*IF(OR(Q302="No",R302="No",R302=0),0,1)
+IF(OR(V302="No",S302="No",T302="No"),0,LEN(V302)-LEN(SUBSTITUTE(V302,",",""))+1)
+IF(OR(X302="No",Y302="No"),0,1)
+IF(OR(AD302="No",AE302="No"),0,1)
+IF(OR(AL302="No",AI302="No",AJ302="No"),0,LEN(AL302)-LEN(SUBSTITUTE(AL302,",",""))+1))*62%)* 2)*(1 + (AP302 / (IF(_xlfn.XLOOKUP(_xlfn.XLOOKUP(B302,'Base stats'!B:B,'Base stats'!E:E),Groups!A:A,Groups!AJ:AJ)="Photonozoa",0.3,1)) + _xlfn.XLOOKUP(B302,'Base stats'!B:B,'Base stats'!AV:AV) * 1.8) * 2) * 2.5 + 10 + I302 * 2,5)+IF(_xlfn.XLOOKUP(B302,'Base stats'!B:B,'Base stats'!AK:AK)=1,50,0)</f>
        <v>75</v>
      </c>
      <c r="BS302" s="8">
        <f t="shared" si="33"/>
        <v>0.25</v>
      </c>
      <c r="BT302" s="8" t="str">
        <f>_xlfn.XLOOKUP(B302,'Base stats'!B:B,'Base stats'!AF:AF)</f>
        <v>No</v>
      </c>
      <c r="BU302" s="2" t="str">
        <f>IF(AND(J302&lt;=0.95,OR(_xlfn.XLOOKUP(B302,'Base stats'!B:B,'Base stats'!AK:AK)=1,_xlfn.XLOOKUP(B302,'Base stats'!B:B,'Base stats'!Y:Y)="Carnivore",_xlfn.XLOOKUP(B302,'Base stats'!B:B,'Base stats'!Y:Y)="Omnivore",BE302&gt;0.1)),"true","false")</f>
        <v>false</v>
      </c>
      <c r="BV302" s="2" t="str">
        <f>IF(_xlfn.XLOOKUP(B302,'Base stats'!B:B,'Base stats'!AI:AI)=1,"true","false")</f>
        <v>false</v>
      </c>
      <c r="BW302" s="25" t="str">
        <f>IF(E302="BaseInsect","AnimalInsect",
IF(J302&gt;0.95,"AnimalExotic",
_xlfn.TEXTJOIN(", ",TRUE,
IF(OR(_xlfn.XLOOKUP(B302,'Base stats'!B:B,'Base stats'!AM:AM)=1,AND(_xlfn.XLOOKUP(B302,'Base stats'!B:B,'Base stats'!O:O)=0,_xlfn.XLOOKUP(_xlfn.XLOOKUP(B302,'Base stats'!B:B,'Base stats'!E:E),Groups!A:A,Groups!B:B)&gt;0)),"AnimalUncommon","AnimalCommon"),
IF(AND(_xlfn.XLOOKUP(B302,'Base stats'!B:B,'Base stats'!O:O)=2,_xlfn.XLOOKUP(_xlfn.XLOOKUP(B302,'Base stats'!B:B,'Base stats'!E:E),Groups!A:A,Groups!D:D)=0),"AnimalPet",IF(AND(_xlfn.XLOOKUP(B302,'Base stats'!B:B,'Base stats'!O:O)&lt;&gt;0,_xlfn.XLOOKUP(_xlfn.XLOOKUP(B302,'Base stats'!B:B,'Base stats'!E:E),Groups!A:A,Groups!D:D)&lt;&gt;0),"AnimalFarm","")),
IF(OR(_xlfn.XLOOKUP(B302,'Base stats'!B:B,'Base stats'!AK:AK)=1,AND(BI302&lt;&gt;"None",BR302&gt;=60),ISNUMBER(SEARCH("Attack target",BP302))),"AnimalFighter","")
)))</f>
        <v>AnimalUncommon, AnimalFighter</v>
      </c>
      <c r="BX302" s="25" t="str">
        <f>IF(G302="None",TRIM(
SUBSTITUTE(
IF(COUNTIF(Biomes!B$2:B$259,"="&amp;$C302)&gt;0,Biomes!B$1&amp;", ","")&amp;
IF(COUNTIF(Biomes!C$2:C$259,"="&amp;$C302)&gt;0,Biomes!C$1&amp;", ","")&amp;
IF(COUNTIF(Biomes!D$2:D$259,"="&amp;$C302)&gt;0,Biomes!D$1&amp;", ","")&amp;
IF(COUNTIF(Biomes!F$2:F$259,"="&amp;$C302)&gt;0,Biomes!F$1&amp;", ","")&amp;
IF(COUNTIF(Biomes!G$2:G$259,"="&amp;$C302)&gt;0,Biomes!G$1&amp;", ","")&amp;
IF(COUNTIF(Biomes!H$2:H$259,"="&amp;$C302)&gt;0,Biomes!H$1&amp;", ","")&amp;
IF(COUNTIF(Biomes!I$2:I$259,"="&amp;$C302)&gt;0,Biomes!I$1&amp;", ","")&amp;
IF(COUNTIF(Biomes!J$2:J$259,"="&amp;$C302)&gt;0,Biomes!J$1&amp;", ","")&amp;
IF(COUNTIF(Biomes!M$2:M$259,"="&amp;$C302)&gt;0,Biomes!M$1&amp;", ","")&amp;
IF(COUNTIF(Biomes!N$2:N$259,"="&amp;$C302)&gt;0,Biomes!N$1&amp;", ","")&amp;
IF(COUNTIF(Biomes!O$2:O$259,"="&amp;$C302)&gt;0,Biomes!O$1&amp;", ","")&amp;
IF(COUNTIF(Biomes!P$2:P$259,"="&amp;$C302)&gt;0,Biomes!P$1&amp;", ","")&amp;
IF(COUNTIF(Biomes!K$2:K$259,"="&amp;$C302)&gt;0,Biomes!K$1&amp;", ","")&amp;
IF(COUNTIF(Biomes!Q$3:Q$259,"="&amp;$C302)&gt;0,Biomes!Q$1&amp;", ","")&amp;
IF(COUNTIF(Biomes!L$2:L$259,"="&amp;$C302)&gt;0,Biomes!L$1&amp;", ","")&amp;
IF(COUNTIF(Biomes!E$2:E$259,"="&amp;$C302)&gt;0,Biomes!E$1&amp;", ","")&amp;IF(COUNTIF(Biomes!S$2:S$259,"="&amp;$C302)&gt;0,Biomes!S$1&amp;", ","")&amp;
IF(COUNTIF(Biomes!R$2:R$259,"="&amp;$C302)&gt;0,Biomes!R$1&amp;", ",""),", ","")
),_xlfn.XLOOKUP(B302,B:B,BX:BX))</f>
        <v>AridShrubland Desert ExtremeDesert Grasslands LavaField</v>
      </c>
      <c r="BY302" s="25" t="str">
        <f>IF(_xlfn.XLOOKUP(B302,'Base stats'!B:B,'Base stats'!AJ:AJ)=1,"true","false")</f>
        <v>false</v>
      </c>
      <c r="BZ302" s="25">
        <f>IF(_xlfn.XLOOKUP(B302,'Base stats'!B:B,'Base stats'!N:N)=1,"No",MAX(0.001,MIN(MROUND(IF(AND(BJ302="True",CC302="False"),POWER(10,3.47*LOG10(_xlfn.XLOOKUP(B302,'Base stats'!B:B,'Base stats'!C:C)*1000)^-0.96),POWER(10,4.15*LOG10(_xlfn.XLOOKUP(B302,'Base stats'!B:B,'Base stats'!C:C)*1000)^-0.73))*IF(_xlfn.XLOOKUP(B302,'Base stats'!B:B,'Base stats'!AK:AK)=1,0.5,1)*IF(_xlfn.XLOOKUP(B302,'Base stats'!B:B,'Base stats'!AM:AM)=1,0.1,1)/100,IF(_xlfn.XLOOKUP(B302,'Base stats'!B:B,'Base stats'!AM:AM)=1,0.001,0.025)),0.5)))</f>
        <v>2.4E-2</v>
      </c>
      <c r="CA302" s="25" t="str">
        <f>IF(P302="Standard","No",MAX(0.001,MIN(MROUND(IF(AND(BJ302="True",CC302="False"),POWER(10,3.47*LOG10(_xlfn.XLOOKUP(B302,'Base stats'!B:B,'Base stats'!C:C)*1000)^-0.96),POWER(10,4.15*LOG10(_xlfn.XLOOKUP(B302,'Base stats'!B:B,'Base stats'!C:C)*1000)^-0.73))*IF(_xlfn.XLOOKUP(B302,'Base stats'!B:B,'Base stats'!AM:AM)=1,0.1,1)*_xlfn.XLOOKUP(B302,'Base stats'!B:B,'Base stats'!R:R)/100,IF(_xlfn.XLOOKUP(B302,'Base stats'!B:B,'Base stats'!AM:AM)=1,0.001,0.025)),0.5)))</f>
        <v>No</v>
      </c>
      <c r="CB302" s="25" t="str">
        <f>IF(_xlfn.XLOOKUP(_xlfn.XLOOKUP(B302,'Base stats'!B:B,'Base stats'!E:E),Groups!A:A,Groups!AJ:AJ)="Mammal","True","False")</f>
        <v>False</v>
      </c>
      <c r="CC302" s="25" t="str">
        <f>IF(OR(_xlfn.XLOOKUP(_xlfn.XLOOKUP(B302,'Base stats'!B:B,'Base stats'!E:E),Groups!A:A,Groups!AJ:AJ)="Reptile",_xlfn.XLOOKUP(_xlfn.XLOOKUP(B302,'Base stats'!B:B,'Base stats'!E:E),Groups!A:A,Groups!AJ:AJ)="Amphibian",_xlfn.XLOOKUP(_xlfn.XLOOKUP(B302,'Base stats'!B:B,'Base stats'!E:E),Groups!A:A,Groups!AJ:AJ)="Invertebrate"),"True","False")</f>
        <v>True</v>
      </c>
      <c r="CD302" s="25" t="str">
        <f t="shared" si="34"/>
        <v>False</v>
      </c>
      <c r="CE302" s="25" t="str">
        <f>IF(_xlfn.XLOOKUP(_xlfn.XLOOKUP(B302,'Base stats'!B:B,'Base stats'!E:E),Groups!A:A,Groups!AX:AX),"True","False")</f>
        <v>True</v>
      </c>
      <c r="CF302" s="25" t="str">
        <f>IF(_xlfn.XLOOKUP(_xlfn.XLOOKUP(B302,'Base stats'!B:B,'Base stats'!E:E),Groups!A:A,Groups!AY:AY),"True","False")</f>
        <v>True</v>
      </c>
      <c r="CG302" s="25" t="str">
        <f>IF(_xlfn.XLOOKUP(_xlfn.XLOOKUP(B302,'Base stats'!B:B,'Base stats'!E:E),Groups!A:A,Groups!AW:AW),"True","False")</f>
        <v>True</v>
      </c>
      <c r="CH302" s="25" t="str">
        <f>IF(
OR(
_xlfn.XLOOKUP(_xlfn.XLOOKUP(B302,'Base stats'!B:B,'Base stats'!E:E),Groups!A:A,Groups!AZ:AZ)=0,
AND(
_xlfn.XLOOKUP(B302,'Base stats'!B:B,'Base stats'!Y:Y)&lt;&gt;"Carnivore",
_xlfn.XLOOKUP(B302,'Base stats'!B:B,'Base stats'!Y:Y)&lt;&gt;"Omnivore",
_xlfn.XLOOKUP(B302,'Base stats'!B:B,'Base stats'!Y:Y)&lt;&gt;"OmnivoreRough"
)
),
"No",
IF(
_xlfn.XLOOKUP(_xlfn.XLOOKUP(B302,'Base stats'!B:B,'Base stats'!E:E),Groups!A:A,Groups!AZ:AZ)=1,
"Flesh",
IF(
_xlfn.XLOOKUP(_xlfn.XLOOKUP(B302,'Base stats'!B:B,'Base stats'!E:E),Groups!A:A,Groups!AZ:AZ)=2,
"Bone",
""
)
)
)</f>
        <v>No</v>
      </c>
      <c r="CI302" s="25" t="str">
        <f>IF(_xlfn.XLOOKUP(_xlfn.XLOOKUP(B302,'Base stats'!B:B,'Base stats'!E:E),Groups!A:A,Groups!BB:BB),"True","False")</f>
        <v>False</v>
      </c>
      <c r="CJ302" s="25" t="str">
        <f>IF(_xlfn.XLOOKUP(_xlfn.XLOOKUP(B302,'Base stats'!B:B,'Base stats'!E:E),Groups!A:A,Groups!BA:BA),"True","False")</f>
        <v>True</v>
      </c>
    </row>
    <row r="303" spans="1:88" ht="16.5" thickTop="1" thickBot="1" x14ac:dyDescent="0.3">
      <c r="A303" s="26" t="s">
        <v>1518</v>
      </c>
      <c r="B303" s="6" t="str">
        <f>_xlfn.XLOOKUP(A303,'Base stats'!A:A,'Base stats'!B:B)</f>
        <v>Avis nocturnus</v>
      </c>
      <c r="C303" s="28" t="s">
        <v>1519</v>
      </c>
      <c r="D303" s="28" t="s">
        <v>1341</v>
      </c>
      <c r="E303" s="28" t="s">
        <v>673</v>
      </c>
      <c r="F303" s="28" t="s">
        <v>673</v>
      </c>
      <c r="G303" s="28" t="s">
        <v>673</v>
      </c>
      <c r="H303" s="2">
        <f>MROUND((
  (IF(AND(_xlfn.XLOOKUP(B303,'Base stats'!B:B,'Base stats'!AL:AL)=0,BI303="None",_xlfn.XLOOKUP(_xlfn.XLOOKUP(B303,'Base stats'!B:B,'Base stats'!E:E),Groups!A:A,Groups!B:B)=0), (18 + BR303 * 2.7) * 0.5,
    IF(AND(_xlfn.XLOOKUP(B303,'Base stats'!B:B,'Base stats'!AL:AL)=0,OR(AO303&lt;0.55,AND(BI303="Intermediate",_xlfn.XLOOKUP(_xlfn.XLOOKUP(B303,'Base stats'!B:B,'Base stats'!E:E),Groups!A:A,Groups!B:B)&lt;2))), (18 + BR303 * 2.7),
      IF(OR(BI303="Advanced",_xlfn.XLOOKUP(B303,'Base stats'!B:B,'Base stats'!AL:AL)=1,_xlfn.XLOOKUP(_xlfn.XLOOKUP(B303,'Base stats'!B:B,'Base stats'!E:E),Groups!A:A,Groups!B:B)=2), (18 + BR303 * 2.7) + 250, (18 + BR303 * 2.7))
    )
  ))
  + AO303 * 80
  + IF(COUNTIF(EggMilk!K$2:K$998, A303) &gt; 0, 125, 0)
  + IF(COUNTIF(EggMilk!P$2:P$998, A303) &gt; 0, 90, 0)
  + IF(COUNTIF(EggMilk!A$2:A$998, A303) &gt; 0, 90, 0)
)
* (0.8 + 0.4 * J303)
* 0.75,25)</f>
        <v>450</v>
      </c>
      <c r="I303" s="2">
        <f>MROUND(ROUNDDOWN(_xlfn.XLOOKUP(B303,'Base stats'!B:B,'Base stats'!L:L)/3.6/(23.3/11),1),0.5)</f>
        <v>9</v>
      </c>
      <c r="J303" s="2">
        <f>IF(OR(_xlfn.XLOOKUP(B303,'Base stats'!B:B,'Base stats'!AB:AB)=1,_xlfn.XLOOKUP(_xlfn.XLOOKUP(B303,'Base stats'!B:B,'Base stats'!E:E),Groups!A:A,Groups!C:C)="Untamable"),1,IF(_xlfn.XLOOKUP(B303,'Base stats'!B:B,'Base stats'!AL:AL)=1,0.99,MIN(MROUND((1-0.6282*EXP(-0.459*AO303))*_xlfn.XLOOKUP(_xlfn.XLOOKUP(B303,'Base stats'!B:B,'Base stats'!E:E),Groups!A:A,Groups!C:C)*IF(_xlfn.XLOOKUP(B303,'Base stats'!B:B,'Base stats'!O:O)=1,0.5,IF(_xlfn.XLOOKUP(B303,'Base stats'!B:B,'Base stats'!O:O)=2,0,1)),0.05),IF(AO303&gt;3.5,0.985,0.95))))</f>
        <v>0.9</v>
      </c>
      <c r="K303" s="2">
        <f>ROUNDUP(AO303*_xlfn.XLOOKUP(_xlfn.XLOOKUP(B303,'Base stats'!B:B,'Base stats'!E:E),Groups!A:A,Groups!E:E),0)</f>
        <v>20</v>
      </c>
      <c r="L303" s="2">
        <f>IF(OR(_xlfn.XLOOKUP(_xlfn.XLOOKUP(B303,'Base stats'!B:B,'Base stats'!E:E),Groups!A:A,Groups!F:F)=2,ISNUMBER(SEARCH("SeaIce",BX303)),ISNUMBER(SEARCH("IceSheet",BX303))),-50,IF(OR(ISNUMBER(SEARCH("GlacialPlain",BX303)),ISNUMBER(SEARCH("Tundra",BX303))),-40,IF(OR(ISNUMBER(SEARCH("Alpine",BX303)),ISNUMBER(SEARCH("BorealForest",BX303)),ISNUMBER(SEARCH("ColdBog",BX303))),-30,IF(OR(ISNUMBER(SEARCH("TemperateForest",BX303)),ISNUMBER(SEARCH("TemperateSwamp",BX303))),-20,IF(_xlfn.XLOOKUP(_xlfn.XLOOKUP(B303,'Base stats'!B:B,'Base stats'!E:E),Groups!A:A,Groups!F:F)=1,-15,IF(OR(ISNUMBER(SEARCH("Desert",BX303)),ISNUMBER(SEARCH("ExtremeDesert",BX303))),-10,IF(OR(ISNUMBER(SEARCH("Grasslands",BX303)),ISNUMBER(SEARCH("TropicalRainforest",BX303)),ISNUMBER(SEARCH("TropicalSwamp",BX303))),10,0)))))))-IF(CC303="False",MIN(IFERROR(MAX(MROUND(LOG10(_xlfn.XLOOKUP(B303,'Base stats'!B:B,'Base stats'!C:C)^(2/3))*10,5),5),5),30))-_xlfn.XLOOKUP(B303,'Base stats'!B:B,'Base stats'!P:P)+IF(CC303="True",5,0)</f>
        <v>-15</v>
      </c>
      <c r="M303" s="2">
        <f>IF(OR(_xlfn.XLOOKUP(_xlfn.XLOOKUP(B303,'Base stats'!B:B,'Base stats'!E:E),Groups!A:A,Groups!G:G)=2,ISNUMBER(SEARCH("Desert",BX303)),ISNUMBER(SEARCH("ExtremeDesert",BX303)),ISNUMBER(SEARCH("LavaField",BX303))),50,IF(ISNUMBER(SEARCH("Grasslands",BX303)),45,IF(OR(_xlfn.XLOOKUP(_xlfn.XLOOKUP(B303,'Base stats'!B:B,'Base stats'!E:E),Groups!A:A,Groups!G:G)=1,ISNUMBER(SEARCH("TropicalRainforest",BX303)),ISNUMBER(SEARCH("TropicalSwamp",BX303))),40,IF(OR(ISNUMBER(SEARCH("TemperateForest",BX303)),ISNUMBER(SEARCH("TemperateSwamp",BX303))),35,IF(OR(ISNUMBER(SEARCH("Alpine",BX303)),ISNUMBER(SEARCH("BorealForest",BX303)),ISNUMBER(SEARCH("ColdBog",BX303))),30,IF(ISNUMBER(OR(ISNUMBER(SEARCH("GlacialPlain",BX303)),SEARCH("Tundra",BX303))),25,IF(OR(ISNUMBER(SEARCH("SeaIce",BX303)),ISNUMBER(SEARCH("IceSheet",BX303)),ISNUMBER(SEARCH("TropicalSwamp",BX303))),10,35)))))))+_xlfn.XLOOKUP(B303,'Base stats'!B:B,'Base stats'!Q:Q)</f>
        <v>35</v>
      </c>
      <c r="N303" s="8" t="str">
        <f>IF(
_xlfn.XLOOKUP(
_xlfn.XLOOKUP(B303,'Base stats'!B:B,'Base stats'!E:E),
Groups!A:A,
Groups!L:L
)=1,
MIN(
MROUND(
IF(
_xlfn.XLOOKUP(B303,'Animals CE'!B:B,'Animals CE'!Z:Z)&lt;=1.5,
_xlfn.XLOOKUP(B303,'Animals CE'!B:B,'Animals CE'!Z:Z)/2+0.05,
0.8+
(_xlfn.XLOOKUP(B303,'Animals CE'!B:B,'Animals CE'!Z:Z)-1.5)
*0.02
),
0.05
),
200%
),
"No"
)</f>
        <v>No</v>
      </c>
      <c r="O303" s="8" t="str">
        <f>IF(
_xlfn.XLOOKUP(
_xlfn.XLOOKUP(B303,'Base stats'!B:B,'Base stats'!E:E),
Groups!A:A,
Groups!L:L
)=1,
MIN(
MROUND(
IF(
_xlfn.XLOOKUP(B303,'Animals CE'!B:B,'Animals CE'!AA:AA)&lt;=1.5,
_xlfn.XLOOKUP(B303,'Animals CE'!B:B,'Animals CE'!AA:AA)/2+0.05,
0.8+
(_xlfn.XLOOKUP(B303,'Animals CE'!B:B,'Animals CE'!AA:AA)-1.5)
*0.02
),
0.05
),
200%
),
"No"
)</f>
        <v>No</v>
      </c>
      <c r="P303" s="2" t="str">
        <f>_xlfn.XLOOKUP(B303,'Base stats'!B:B,'Base stats'!R:R)</f>
        <v>Standard</v>
      </c>
      <c r="Q303" s="13">
        <f>MROUND((LOG10(_xlfn.XLOOKUP(B303,'Base stats'!B:B,'Base stats'!AR:AR))*(AO303^0.5)+(_xlfn.XLOOKUP(B303,'Base stats'!B:B,'Base stats'!AR:AR)/1000)^(2/3)+_xlfn.XLOOKUP(B303,'Base stats'!B:B,'Base stats'!BA:BA)/2)+0.5,0.5)</f>
        <v>11</v>
      </c>
      <c r="R303" s="7">
        <f>IF(Q303="No","No",MAX(1,MROUND(_xlfn.XLOOKUP(B303,'Base stats'!B:B,'Base stats'!C:C)^0.165,0.05)))</f>
        <v>2.4000000000000004</v>
      </c>
      <c r="S303" s="13">
        <f>IF(_xlfn.XLOOKUP(_xlfn.XLOOKUP(B303,'Base stats'!B:B,'Base stats'!E:E),Groups!A:A,Groups!P:P)=0,"No",MROUND((LOG10(_xlfn.XLOOKUP(B303,'Base stats'!B:B,'Base stats'!AS:AS))*(AO303^0.5)+(_xlfn.XLOOKUP(B303,'Base stats'!B:B,'Base stats'!AS:AS)/1000)^(2/3)+_xlfn.XLOOKUP(B303,'Base stats'!B:B,'Base stats'!BA:BA))+_xlfn.XLOOKUP(B303,'Base stats'!B:B,'Base stats'!AY:AY)+0.5,0.5))</f>
        <v>17</v>
      </c>
      <c r="T303" s="7">
        <f>IF(S303="No","No",MAX(_xlfn.XLOOKUP(_xlfn.XLOOKUP(B303,'Base stats'!B:B,'Base stats'!E:E),Groups!A:A,Groups!Q:Q),MROUND(_xlfn.XLOOKUP(_xlfn.XLOOKUP(B303,'Base stats'!B:B,'Base stats'!E:E),Groups!A:A,Groups!Q:Q)*_xlfn.XLOOKUP(B303,'Base stats'!B:B,'Base stats'!C:C)^0.165,0.05)))</f>
        <v>2.4000000000000004</v>
      </c>
      <c r="U303" s="7" t="str">
        <f>IF(S303="No","No",_xlfn.XLOOKUP(_xlfn.XLOOKUP(B303,'Base stats'!B:B,'Base stats'!E:E),Groups!A:A,Groups!R:R))</f>
        <v>Feet</v>
      </c>
      <c r="V303" s="7" t="str">
        <f>IF(S303="No","No",_xlfn.XLOOKUP(_xlfn.XLOOKUP(B303,'Base stats'!B:B,'Base stats'!E:E),Groups!A:A,Groups!S:S))</f>
        <v>rear left claw, rear  right claw</v>
      </c>
      <c r="W303" s="7" t="str">
        <f>IF(S303="No","No",_xlfn.XLOOKUP(_xlfn.XLOOKUP(B303,'Base stats'!B:B,'Base stats'!E:E),Groups!A:A,Groups!T:T))</f>
        <v>Scratch</v>
      </c>
      <c r="X303" s="13" t="str">
        <f>IF(_xlfn.XLOOKUP(B303,'Base stats'!B:B,'Base stats'!W:W)="No","No",MROUND((LOG10(_xlfn.XLOOKUP(B303,'Base stats'!B:B,'Base stats'!AU:AU))*(AO303^0.5)+(_xlfn.XLOOKUP(B303,'Base stats'!B:B,'Base stats'!AU:AU)/1000)^(2/3)+_xlfn.XLOOKUP(B303,'Base stats'!B:B,'Base stats'!AZ:AZ))+0.5+IF(_xlfn.XLOOKUP(_xlfn.XLOOKUP(B303,'Base stats'!B:B,'Base stats'!E:E),Groups!A:A,Groups!U:U)&lt;&gt;3,_xlfn.XLOOKUP(B303,'Base stats'!B:B,'Base stats'!BA:BA),0),0.5))</f>
        <v>No</v>
      </c>
      <c r="Y303" s="7" t="str">
        <f>IF(X303="No","No",MAX(_xlfn.XLOOKUP(_xlfn.XLOOKUP(B303,'Base stats'!B:B,'Base stats'!E:E),Groups!A:A,Groups!V:V),MROUND(_xlfn.XLOOKUP(_xlfn.XLOOKUP(B303,'Base stats'!B:B,'Base stats'!E:E),Groups!A:A,Groups!V:V)*_xlfn.XLOOKUP(B303,'Base stats'!B:B,'Base stats'!C:C)^0.165,0.05)))</f>
        <v>No</v>
      </c>
      <c r="Z303" s="7" t="str">
        <f>IF(X303="No","No",_xlfn.XLOOKUP(_xlfn.XLOOKUP(B303,'Base stats'!B:B,'Base stats'!E:E),Groups!A:A,Groups!W:W))</f>
        <v>No</v>
      </c>
      <c r="AA303" s="7" t="str">
        <f>IF(X303="No","No",_xlfn.XLOOKUP(_xlfn.XLOOKUP(B303,'Base stats'!B:B,'Base stats'!E:E),Groups!A:A,Groups!X:X))</f>
        <v>No</v>
      </c>
      <c r="AB303" s="7" t="str">
        <f>IF(X303="No","No",_xlfn.XLOOKUP(_xlfn.XLOOKUP(B303,'Base stats'!B:B,'Base stats'!E:E),Groups!A:A,Groups!Y:Y))</f>
        <v>No</v>
      </c>
      <c r="AC303" s="7" t="str">
        <f>_xlfn.XLOOKUP(Animals!B303,'Base stats'!B:B,'Base stats'!X:X)</f>
        <v>False</v>
      </c>
      <c r="AD303" s="13">
        <f>IF(_xlfn.XLOOKUP(B303,'Base stats'!B:B,'Base stats'!AT:AT)="No","No",MROUND((LOG10(_xlfn.XLOOKUP(B303,'Base stats'!B:B,'Base stats'!AT:AT))*(AO303^0.75)+(_xlfn.XLOOKUP(B303,'Base stats'!B:B,'Base stats'!AT:AT)/1000)^(2/3)+_xlfn.XLOOKUP(B303,'Base stats'!B:B,'Base stats'!AX:AX)+_xlfn.XLOOKUP(B303,'Base stats'!B:B,'Base stats'!BA:BA))+0.5,0.5))</f>
        <v>11</v>
      </c>
      <c r="AE303" s="7">
        <f>IF(AD303="No","No",MAX(_xlfn.XLOOKUP(_xlfn.XLOOKUP(B303,'Base stats'!B:B,'Base stats'!E:E),Groups!A:A,Groups!Z:Z),MROUND(_xlfn.XLOOKUP(_xlfn.XLOOKUP(B303,'Base stats'!B:B,'Base stats'!E:E),Groups!A:A,Groups!Z:Z)*_xlfn.XLOOKUP(B303,'Base stats'!B:B,'Base stats'!C:C)^0.165,0.05)))</f>
        <v>1.9000000000000001</v>
      </c>
      <c r="AF303" s="7" t="str">
        <f>IF(AD303="No","No",_xlfn.XLOOKUP(_xlfn.XLOOKUP(B303,'Base stats'!B:B,'Base stats'!E:E),Groups!A:A,Groups!AA:AA))</f>
        <v>Beak</v>
      </c>
      <c r="AG303" s="7" t="str">
        <f>IF(AD303="No","No",_xlfn.XLOOKUP(_xlfn.XLOOKUP(B303,'Base stats'!B:B,'Base stats'!E:E),Groups!A:A,Groups!AB:AB))</f>
        <v>beak</v>
      </c>
      <c r="AH303" s="7" t="str">
        <f>IF(AD303="No","No",_xlfn.XLOOKUP(_xlfn.XLOOKUP(B303,'Base stats'!B:B,'Base stats'!E:E),Groups!A:A,Groups!AC:AC))</f>
        <v>Blunt</v>
      </c>
      <c r="AI303" s="13" t="str">
        <f>IF(_xlfn.XLOOKUP(_xlfn.XLOOKUP(B303,'Base stats'!B:B,'Base stats'!E:E),Groups!A:A,Groups!AD:AD)=0,"No",MROUND((LOG10(_xlfn.XLOOKUP(B303,'Base stats'!B:B,'Base stats'!AS:AS))*(AO303^0.75)+(_xlfn.XLOOKUP(B303,'Base stats'!B:B,'Base stats'!AS:AS)/1000)^(2/3)+_xlfn.XLOOKUP(B303,'Base stats'!B:B,'Base stats'!AY:AY)+_xlfn.XLOOKUP(B303,'Base stats'!B:B,'Base stats'!BA:BA))+0.5,0.5))</f>
        <v>No</v>
      </c>
      <c r="AJ303" s="7" t="str">
        <f>IF(AI303="No","No",MAX(_xlfn.XLOOKUP(_xlfn.XLOOKUP(B303,'Base stats'!B:B,'Base stats'!E:E),Groups!A:A,Groups!AE:AE),MROUND(_xlfn.XLOOKUP(_xlfn.XLOOKUP(B303,'Base stats'!B:B,'Base stats'!E:E),Groups!A:A,Groups!AE:AE)*IF(_xlfn.XLOOKUP(_xlfn.XLOOKUP(B303,'Base stats'!B:B,'Base stats'!E:E),Groups!A:A,Groups!AJ:AJ)="Photonozoa",0.6,1)*_xlfn.XLOOKUP(B303,'Base stats'!B:B,'Base stats'!C:C)^0.165,0.05)))</f>
        <v>No</v>
      </c>
      <c r="AK303" s="7" t="str">
        <f>IF(AI303="No","No",_xlfn.XLOOKUP(_xlfn.XLOOKUP(B303,'Base stats'!B:B,'Base stats'!E:E),Groups!A:A,Groups!AF:AF))</f>
        <v>No</v>
      </c>
      <c r="AL303" s="7" t="str">
        <f>IF(AI303="No","No",_xlfn.XLOOKUP(_xlfn.XLOOKUP(B303,'Base stats'!B:B,'Base stats'!E:E),Groups!A:A,Groups!AG:AG))</f>
        <v>No</v>
      </c>
      <c r="AM303" s="7" t="str">
        <f>IF(AI303="No","No",_xlfn.XLOOKUP(_xlfn.XLOOKUP(B303,'Base stats'!B:B,'Base stats'!E:E),Groups!A:A,Groups!AH:AH))</f>
        <v>No</v>
      </c>
      <c r="AN303" s="2" t="str">
        <f t="shared" si="28"/>
        <v>No</v>
      </c>
      <c r="AO303" s="2">
        <f>MROUND(IF(AND(_xlfn.XLOOKUP(B303,'Base stats'!B:B,'Base stats'!C:C)&gt;=0.5,_xlfn.XLOOKUP(B303,'Base stats'!B:B,'Base stats'!C:C)&lt;=0.8),
IF(_xlfn.XLOOKUP(B303,'Base stats'!B:B,'Base stats'!C:C)&lt;0.1,0.05,IF(_xlfn.XLOOKUP(B303,'Base stats'!B:B,'Base stats'!C:C)&lt;=70,(_xlfn.XLOOKUP(B303,'Base stats'!B:B,'Base stats'!C:C)/70)^0.426489913056526,IF(_xlfn.XLOOKUP(B303,'Base stats'!B:B,'Base stats'!C:C)&lt;=400,(_xlfn.XLOOKUP(B303,'Base stats'!B:B,'Base stats'!C:C)/70)^0.572811455315093,IF(_xlfn.XLOOKUP(B303,'Base stats'!B:B,'Base stats'!C:C)&lt;=2000,2.71391647193063*(_xlfn.XLOOKUP(B303,'Base stats'!B:B,'Base stats'!C:C)/400)^0.252459582904293,3.74314280240376*(_xlfn.XLOOKUP(B303,'Base stats'!B:B,'Base stats'!C:C)/2000)^0.357012633876913)))),
IF(_xlfn.XLOOKUP(B303,'Base stats'!B:B,'Base stats'!C:C)&lt;0.1,0.05,IF(_xlfn.XLOOKUP(B303,'Base stats'!B:B,'Base stats'!C:C)&lt;0.4,0.1,IF(_xlfn.XLOOKUP(B303,'Base stats'!B:B,'Base stats'!C:C)&lt;=70,(_xlfn.XLOOKUP(B303,'Base stats'!B:B,'Base stats'!C:C)/70)^0.445823913056526,IF(_xlfn.XLOOKUP(B303,'Base stats'!B:B,'Base stats'!C:C)&lt;=400,(_xlfn.XLOOKUP(B303,'Base stats'!B:B,'Base stats'!C:C)/70)^0.572811455315093,IF(_xlfn.XLOOKUP(B303,'Base stats'!B:B,'Base stats'!C:C)&lt;=2000,2.71391647193063*(_xlfn.XLOOKUP(B303,'Base stats'!B:B,'Base stats'!C:C)/400)^0.252459582904293,3.74314280240376*(_xlfn.XLOOKUP(B303,'Base stats'!B:B,'Base stats'!C:C)/2000)^0.357012633876913)))))),
IF(_xlfn.XLOOKUP(B303,'Base stats'!B:B,'Base stats'!C:C)&lt;0.1,0.05,IF(_xlfn.XLOOKUP(B303,'Base stats'!B:B,'Base stats'!C:C)&lt;=100,0.05,IF(_xlfn.XLOOKUP(B303,'Base stats'!B:B,'Base stats'!C:C)&lt;=250,0.1,IF(_xlfn.XLOOKUP(B303,'Base stats'!B:B,'Base stats'!C:C)&lt;=4000,0.25,0.5)))))</f>
        <v>1.8</v>
      </c>
      <c r="AP303" s="8">
        <f>MROUND(AO303*_xlfn.XLOOKUP(_xlfn.XLOOKUP(B303,'Base stats'!B:B,'Base stats'!E:E),Groups!A:A,Groups!AI:AI)*_xlfn.XLOOKUP(B303,'Base stats'!B:B,'Base stats'!Z:Z),0.05)</f>
        <v>1.8</v>
      </c>
      <c r="AQ303" s="8">
        <f>MAX(0.01,MROUND(IF(CC303="True",0.196*(AO303*100*1000)^0.889,IF(_xlfn.XLOOKUP(_xlfn.XLOOKUP(B303,'Base stats'!B:B,'Base stats'!E:E),Groups!A:A,Groups!AJ:AJ)="Bird",10.5*(AO303*100*1000)^0.681,4.82*(AO303*100*1000)^0.734))/(4.82*(1*100*1000)^0.734)/IF(AO303&lt;3.5,2,IF(AO303=3.5,1.5,1.25))*(1+0.132282374779864/(AO303^0.994035016789033+0.00905238001496948)),0.05))</f>
        <v>0.95000000000000007</v>
      </c>
      <c r="AR303" s="9">
        <f>IFERROR(MROUND(_xlfn.XLOOKUP(B303,'Base stats'!B:B,'Base stats'!H:H)/IF(_xlfn.XLOOKUP(B303,'Base stats'!B:B,'Base stats'!I:I)&lt;&gt;1,(122.5/70),1.2),IF(_xlfn.XLOOKUP(B303,'Base stats'!B:B,'Base stats'!H:H)&gt;=30,5,IF(_xlfn.XLOOKUP(B303,'Base stats'!B:B,'Base stats'!H:H)&gt;=15,3,IF(_xlfn.XLOOKUP(B303,'Base stats'!B:B,'Base stats'!H:H)&gt;=10,2,1)))),"Immortal")</f>
        <v>30</v>
      </c>
      <c r="AS303" s="35" t="str">
        <f>IFERROR(IF(OR(_xlfn.XLOOKUP(B303,'Base stats'!B:B,'Base stats'!F:F)="Atypical reproduction",_xlfn.XLOOKUP(B303,'Base stats'!B:B,'Base stats'!F:F)="Lay eggs"),"Lay eggs",MIN(20,MAX(5.5,ROUND(((_xlfn.XLOOKUP(B303,'Base stats'!B:B,'Base stats'!F:F)-25)*(14.5/615) + 5.5)*2,0)/2))),"Unknown")</f>
        <v>Lay eggs</v>
      </c>
      <c r="AT303" s="8">
        <f>IF(_xlfn.XLOOKUP(B303,'Base stats'!B:B,'Base stats'!G:G)="Atypical reproduction","No",IFERROR(MAX(IF(_xlfn.XLOOKUP(B303,'Base stats'!B:B,'Base stats'!G:G)&lt;0.5,0.2,0.3),MROUND(_xlfn.XLOOKUP(B303,'Base stats'!B:B,'Base stats'!G:G)/(365/60),0.2)),"Unknown"))</f>
        <v>0.4</v>
      </c>
      <c r="AU303" s="8">
        <f t="shared" si="29"/>
        <v>0.2</v>
      </c>
      <c r="AV303" s="8" t="str">
        <f>IFERROR(IFERROR(MROUND(_xlfn.XLOOKUP(B303,'Base stats'!B:B,'Base stats'!J:J),0.1),"Lay eggs"),"Cannot breed")</f>
        <v>Lay eggs</v>
      </c>
      <c r="AW303" s="2" t="str">
        <f t="shared" si="30"/>
        <v>true</v>
      </c>
      <c r="AX303" s="2" t="str">
        <f>IF(_xlfn.XLOOKUP(_xlfn.XLOOKUP(Animals!B303,'Base stats'!B:B,'Base stats'!E:E),Groups!A:A,Groups!AK:AK)=1,"true","false")</f>
        <v>false</v>
      </c>
      <c r="AY303" s="25" t="str">
        <f>IF(_xlfn.XLOOKUP(B303,'Base stats'!B:B,'Base stats'!Y:Y)="Liquor","Liquor, CarnivoreAnimalStrict",IF(AND(_xlfn.XLOOKUP(B303,'Base stats'!B:B,'Base stats'!Y:Y)="Carnivore",_xlfn.XLOOKUP(_xlfn.XLOOKUP(B303,'Base stats'!B:B,'Base stats'!E:E),Groups!A:A,Groups!AJ:AJ)="Photonozoa"),"CarnivoreAnimalStrict, OvivoreAnimal",IF(_xlfn.XLOOKUP(B303,'Base stats'!B:B,'Base stats'!Y:Y)="Carnivore","CarnivoreAnimal, OvivoreAnimal",IF(_xlfn.XLOOKUP(B303,'Base stats'!B:B,'Base stats'!Y:Y)="Dendrovore","VegetarianRoughAnimal, DendrovoreAnimal",IF(_xlfn.XLOOKUP(B303,'Base stats'!B:B,'Base stats'!Y:Y)="Herbivore","VegetarianRoughAnimal",IF(_xlfn.XLOOKUP(B303,'Base stats'!B:B,'Base stats'!Y:Y)="OmnivoreRough","OmnivoreRoughAnimal, OvivoreAnimal","OmnivoreAnimal, OvivoreAnimal"))))))</f>
        <v>OmnivoreRoughAnimal, OvivoreAnimal</v>
      </c>
      <c r="AZ303" s="2" t="str">
        <f>IF(_xlfn.XLOOKUP(_xlfn.XLOOKUP(B303,'Base stats'!B:B,'Base stats'!E:E),Groups!A:A,Groups!D:D)=1,MROUND((1-J303)*5+1,2)*IF(J303&lt;=0.4,2,1),"No")</f>
        <v>No</v>
      </c>
      <c r="BA303" s="2" t="str">
        <f>IF(AND(_xlfn.XLOOKUP(B303,'Base stats'!B:B,'Base stats'!AH:AH)="&lt;li&gt;Seal&lt;/li&gt;",G303="Odyssey"),"&lt;li&gt;AEXP_Seal&lt;/li&gt;",_xlfn.XLOOKUP(B303,'Base stats'!B:B,'Base stats'!AH:AH))</f>
        <v>&lt;li&gt;AA_MeadowAve&lt;/li&gt;</v>
      </c>
      <c r="BB303" s="2" t="str">
        <f>_xlfn.XLOOKUP(B303,'Base stats'!B:B,'Base stats'!AG:AG)</f>
        <v>Leather_Bird</v>
      </c>
      <c r="BC303" s="23" t="str">
        <f>_xlfn.XLOOKUP(_xlfn.XLOOKUP(B303,'Base stats'!B:B,'Base stats'!E:E),Groups!A:A,Groups!AL:AL)</f>
        <v>Bird</v>
      </c>
      <c r="BD303" s="23">
        <f>MIN(1,MROUND(IF(AND(AO303&lt;0.5,_xlfn.XLOOKUP(B303,'Base stats'!B:B,'Base stats'!AA:AA)=0),0,IF(OR(_xlfn.XLOOKUP(Animals!B303,'Base stats'!B:B,'Base stats'!O:O)=2,_xlfn.XLOOKUP(_xlfn.XLOOKUP(B303,'Base stats'!B:B,'Base stats'!E:E),Groups!A:A,Groups!AN:AN)=0),0,_xlfn.XLOOKUP(_xlfn.XLOOKUP(B303,'Base stats'!B:B,'Base stats'!E:E),Groups!A:A,Groups!AN:AN)/IF(_xlfn.XLOOKUP(Animals!B303,'Base stats'!B:B,'Base stats'!O:O)=1,2,1)))+_xlfn.XLOOKUP(B303,'Base stats'!B:B,'Base stats'!AC:AC),0.005))</f>
        <v>2.5000000000000001E-2</v>
      </c>
      <c r="BE303" s="23">
        <f>MIN(1,MROUND(IF(AND(AO303&lt;0.5,_xlfn.XLOOKUP(B303,'Base stats'!B:B,'Base stats'!AA:AA)=0),0,IF(_xlfn.XLOOKUP(_xlfn.XLOOKUP(B303,'Base stats'!B:B,'Base stats'!E:E),Groups!A:A,Groups!AO:AO)=0,0,_xlfn.XLOOKUP(_xlfn.XLOOKUP(B303,'Base stats'!B:B,'Base stats'!E:E),Groups!A:A,Groups!AO:AO)/IF(_xlfn.XLOOKUP(Animals!B303,'Base stats'!B:B,'Base stats'!O:O)=2,3,1)))+_xlfn.XLOOKUP(B303,'Base stats'!B:B,'Base stats'!AD:AD),0.005))</f>
        <v>0.1</v>
      </c>
      <c r="BF303" s="2" t="str">
        <f>IF(J303&gt;0.3,"No",_xlfn.XLOOKUP(_xlfn.XLOOKUP(Animals!B303,'Base stats'!B:B,'Base stats'!E:E),Groups!A:A,Groups!AP:AP))</f>
        <v>No</v>
      </c>
      <c r="BG303" s="2" t="str">
        <f>IF(AND(J303&lt;=0.65,_xlfn.XLOOKUP(_xlfn.XLOOKUP(Animals!B303,'Base stats'!B:B,'Base stats'!E:E),Groups!A:A,Groups!AP:AP)&lt;&gt;"No",_xlfn.XLOOKUP(_xlfn.XLOOKUP(B303,'Base stats'!B:B,'Base stats'!E:E),Groups!A:A,Groups!D:D)=0),MROUND((80/3)*IF(_xlfn.XLOOKUP(B303,'Base stats'!B:B,'Base stats'!O:O)=2,0.2,AO303) + 24*(1-IF(BF303="No",0,BF303)) + 16/3, 12),"No")</f>
        <v>No</v>
      </c>
      <c r="BH303" s="2">
        <f>IF(AND(_xlfn.XLOOKUP(_xlfn.XLOOKUP(B303,'Base stats'!B:B,'Base stats'!E:E),Groups!A:A,Groups!AQ:AQ)=1,AO303&lt;=0.35),8,12)</f>
        <v>12</v>
      </c>
      <c r="BI303" s="2" t="str">
        <f>IF(_xlfn.XLOOKUP(_xlfn.XLOOKUP(B303,'Base stats'!B:B,'Base stats'!E:E),Groups!A:A,Groups!D:D)=0,_xlfn.XLOOKUP(_xlfn.XLOOKUP(B303,'Base stats'!B:B,'Base stats'!E:E),Groups!A:A,Groups!AR:AR),"None")</f>
        <v>Intermediate</v>
      </c>
      <c r="BJ303" s="2" t="str">
        <f>IF(AND(_xlfn.XLOOKUP(_xlfn.XLOOKUP(B303,'Base stats'!B:B,'Base stats'!E:E),Groups!A:A,Groups!AS:AS)=1,OR(_xlfn.XLOOKUP(B303,'Base stats'!B:B,'Base stats'!Y:Y)="Carnivore",_xlfn.XLOOKUP(B303,'Base stats'!B:B,'Base stats'!Y:Y)="Omnivore")),"true","false")</f>
        <v>false</v>
      </c>
      <c r="BK303" s="2" t="str">
        <f>IF(BJ303="true",MROUND(IF(AND(AO303&gt;0.5,OR(_xlfn.XLOOKUP(_xlfn.XLOOKUP(B303,'Base stats'!B:B,'Base stats'!E:E),Groups!A:A,Groups!AJ:AJ)="Photonozoa",_xlfn.XLOOKUP(_xlfn.XLOOKUP(B303,'Base stats'!B:B,'Base stats'!E:E),Groups!A:A,Groups!AJ:AJ)="Mammal")),Animals!AO303*1.75*IF(AW303="true",1.5,1),IF(AO303&lt;0.5,Animals!AO303*0.5,Animals!AO303)),IF(AO303&gt;2,0.5,IF(AO303&gt;0.5,0.25,0.1))),"No")</f>
        <v>No</v>
      </c>
      <c r="BL303" s="2">
        <f t="shared" si="31"/>
        <v>1</v>
      </c>
      <c r="BM303" s="25" t="str">
        <f>IF(_xlfn.XLOOKUP(B303,'Base stats'!B:B,'Base stats'!AN:AN)="Standard","No",MROUND((_xlfn.XLOOKUP(B303,'Base stats'!B:B,'Base stats'!AN:AN)/3.6)/I303,0.1))</f>
        <v>No</v>
      </c>
      <c r="BN303" s="25" t="str">
        <f t="shared" si="32"/>
        <v>false</v>
      </c>
      <c r="BO303" s="25" t="str">
        <f>IF(AND(OR(_xlfn.XLOOKUP(B303,'Base stats'!B:B,'Base stats'!Y:Y)="Carnivore",_xlfn.XLOOKUP(B303,'Base stats'!B:B,'Base stats'!Y:Y)="Omnivore",_xlfn.XLOOKUP(B303,'Base stats'!B:B,'Base stats'!Y:Y)="OmnivoreRough"),_xlfn.XLOOKUP(_xlfn.XLOOKUP(B303,'Base stats'!B:B,'Base stats'!E:E),Groups!A:A,Groups!AT:AT)=1),"true","false")</f>
        <v>false</v>
      </c>
      <c r="BP303" s="25" t="str" cm="1">
        <f t="array" ref="BP303">IF(
  _xlfn.TEXTJOIN(", ",TRUE,
    IF(AND(BJ303="true",AO303&gt;0.5,BI303&lt;&gt;"None"),"AttackTarget",""),
    IF(AND(_xlfn.XLOOKUP(_xlfn.XLOOKUP(B303,'Base stats'!B:B,'Base stats'!E:E),Groups!A:A,Groups!AJ:AJ="Mammal"),OR(_xlfn.XLOOKUP(B303,'Base stats'!B:B,'Base stats'!Y:Y)="Omnivore",_xlfn.XLOOKUP(B303,'Base stats'!B:B,'Base stats'!Y:Y)="OmnivoreRough")),"Forage",""),
    IF(BG303&lt;=36,"Comfort",""),
    IF(_xlfn.XLOOKUP(B303,'Base stats'!B:B,'Base stats'!AE:AE)&lt;&gt;"No",_xlfn.XLOOKUP(B303,'Base stats'!B:B,'Base stats'!AE:AE),"")
  ) = "",
  "No",
  _xlfn.TEXTJOIN(", ",TRUE,
    IF(AND(BJ303="true",AO303&gt;0.5,BI303&lt;&gt;"None"),"AttackTarget",""),
    IF(AND(_xlfn.XLOOKUP(_xlfn.XLOOKUP(B303,'Base stats'!B:B,'Base stats'!E:E),Groups!A:A,Groups!AJ:AJ="Mammal"),OR(_xlfn.XLOOKUP(B303,'Base stats'!B:B,'Base stats'!Y:Y)="Omnivore",_xlfn.XLOOKUP(B303,'Base stats'!B:B,'Base stats'!Y:Y)="OmnivoreRough")),"Forage",""),
    IF(BG303&lt;=36,"Comfort",""),
    IF(_xlfn.XLOOKUP(B303,'Base stats'!B:B,'Base stats'!AE:AE)&lt;&gt;"No",_xlfn.XLOOKUP(B303,'Base stats'!B:B,'Base stats'!AE:AE),"")
  )
)</f>
        <v>No</v>
      </c>
      <c r="BQ303" s="25" t="str">
        <f>IF(
   AND(
      'Base stats'!AN303="Standard",_xlfn.XLOOKUP(_xlfn.XLOOKUP(B303,'Base stats'!B:B,'Base stats'!E:E),Groups!A:A,Groups!AU:AU)=0,
      OR(
      BO303="True"
      )
   ),
   10,
   IF(
       OR(BM303&lt;&gt;"No",_xlfn.XLOOKUP(_xlfn.XLOOKUP(B303,'Base stats'!B:B,'Base stats'!E:E),Groups!A:A,Groups!AU:AU)=1),
      1,
      "No"
   )
)</f>
        <v>No</v>
      </c>
      <c r="BR303" s="9">
        <f>MROUND((1 + ((0.2*IF(OR(Q303="No",R303="No",R303=0),0,Q303/R303)
+IF(OR(V303="No",S303="No",T303="No"),0,S303/T303*(LEN(V303)-LEN(SUBSTITUTE(V303,",",""))+1))
+IF(OR(X303="No",Y303="No"),0,X303/Y303)
+IF(OR(AD303="No",AE303="No"),0,AD303/AE303)
+IF(OR(AL303="No",AI303="No",AJ303="No"),0,AI303/AJ303*(LEN(AL303)-LEN(SUBSTITUTE(AL303,",",""))+1))
)/(0.2*IF(OR(Q303="No",R303="No",R303=0),0,1)
+IF(OR(V303="No",S303="No",T303="No"),0,LEN(V303)-LEN(SUBSTITUTE(V303,",",""))+1)
+IF(OR(X303="No",Y303="No"),0,1)
+IF(OR(AD303="No",AE303="No"),0,1)
+IF(OR(AL303="No",AI303="No",AJ303="No"),0,LEN(AL303)-LEN(SUBSTITUTE(AL303,",",""))+1))*62%)* 2)*(1 + (AP303 / (IF(_xlfn.XLOOKUP(_xlfn.XLOOKUP(B303,'Base stats'!B:B,'Base stats'!E:E),Groups!A:A,Groups!AJ:AJ)="Photonozoa",0.3,1)) + _xlfn.XLOOKUP(B303,'Base stats'!B:B,'Base stats'!AV:AV) * 1.8) * 2) * 2.5 + 10 + I303 * 2,5)+IF(_xlfn.XLOOKUP(B303,'Base stats'!B:B,'Base stats'!AK:AK)=1,50,0)</f>
        <v>135</v>
      </c>
      <c r="BS303" s="8">
        <f t="shared" si="33"/>
        <v>1.1000000000000001</v>
      </c>
      <c r="BT303" s="8" t="str">
        <f>_xlfn.XLOOKUP(B303,'Base stats'!B:B,'Base stats'!AF:AF)</f>
        <v>2~6</v>
      </c>
      <c r="BU303" s="2" t="str">
        <f>IF(AND(J303&lt;=0.95,OR(_xlfn.XLOOKUP(B303,'Base stats'!B:B,'Base stats'!AK:AK)=1,_xlfn.XLOOKUP(B303,'Base stats'!B:B,'Base stats'!Y:Y)="Carnivore",_xlfn.XLOOKUP(B303,'Base stats'!B:B,'Base stats'!Y:Y)="Omnivore",BE303&gt;0.1)),"true","false")</f>
        <v>false</v>
      </c>
      <c r="BV303" s="2" t="str">
        <f>IF(_xlfn.XLOOKUP(B303,'Base stats'!B:B,'Base stats'!AI:AI)=1,"true","false")</f>
        <v>true</v>
      </c>
      <c r="BW303" s="25" t="str">
        <f>IF(E303="BaseInsect","AnimalInsect",
IF(J303&gt;0.95,"AnimalExotic",
_xlfn.TEXTJOIN(", ",TRUE,
IF(OR(_xlfn.XLOOKUP(B303,'Base stats'!B:B,'Base stats'!AM:AM)=1,AND(_xlfn.XLOOKUP(B303,'Base stats'!B:B,'Base stats'!O:O)=0,_xlfn.XLOOKUP(_xlfn.XLOOKUP(B303,'Base stats'!B:B,'Base stats'!E:E),Groups!A:A,Groups!B:B)&gt;0)),"AnimalUncommon","AnimalCommon"),
IF(AND(_xlfn.XLOOKUP(B303,'Base stats'!B:B,'Base stats'!O:O)=2,_xlfn.XLOOKUP(_xlfn.XLOOKUP(B303,'Base stats'!B:B,'Base stats'!E:E),Groups!A:A,Groups!D:D)=0),"AnimalPet",IF(AND(_xlfn.XLOOKUP(B303,'Base stats'!B:B,'Base stats'!O:O)&lt;&gt;0,_xlfn.XLOOKUP(_xlfn.XLOOKUP(B303,'Base stats'!B:B,'Base stats'!E:E),Groups!A:A,Groups!D:D)&lt;&gt;0),"AnimalFarm","")),
IF(OR(_xlfn.XLOOKUP(B303,'Base stats'!B:B,'Base stats'!AK:AK)=1,AND(BI303&lt;&gt;"None",BR303&gt;=60),ISNUMBER(SEARCH("Attack target",BP303))),"AnimalFighter","")
)))</f>
        <v>AnimalUncommon, AnimalFighter</v>
      </c>
      <c r="BX303" s="25" t="str">
        <f>IF(G303="None",TRIM(
SUBSTITUTE(
IF(COUNTIF(Biomes!B$2:B$259,"="&amp;$C303)&gt;0,Biomes!B$1&amp;", ","")&amp;
IF(COUNTIF(Biomes!C$2:C$259,"="&amp;$C303)&gt;0,Biomes!C$1&amp;", ","")&amp;
IF(COUNTIF(Biomes!D$2:D$259,"="&amp;$C303)&gt;0,Biomes!D$1&amp;", ","")&amp;
IF(COUNTIF(Biomes!F$2:F$259,"="&amp;$C303)&gt;0,Biomes!F$1&amp;", ","")&amp;
IF(COUNTIF(Biomes!G$2:G$259,"="&amp;$C303)&gt;0,Biomes!G$1&amp;", ","")&amp;
IF(COUNTIF(Biomes!H$2:H$259,"="&amp;$C303)&gt;0,Biomes!H$1&amp;", ","")&amp;
IF(COUNTIF(Biomes!I$2:I$259,"="&amp;$C303)&gt;0,Biomes!I$1&amp;", ","")&amp;
IF(COUNTIF(Biomes!J$2:J$259,"="&amp;$C303)&gt;0,Biomes!J$1&amp;", ","")&amp;
IF(COUNTIF(Biomes!M$2:M$259,"="&amp;$C303)&gt;0,Biomes!M$1&amp;", ","")&amp;
IF(COUNTIF(Biomes!N$2:N$259,"="&amp;$C303)&gt;0,Biomes!N$1&amp;", ","")&amp;
IF(COUNTIF(Biomes!O$2:O$259,"="&amp;$C303)&gt;0,Biomes!O$1&amp;", ","")&amp;
IF(COUNTIF(Biomes!P$2:P$259,"="&amp;$C303)&gt;0,Biomes!P$1&amp;", ","")&amp;
IF(COUNTIF(Biomes!K$2:K$259,"="&amp;$C303)&gt;0,Biomes!K$1&amp;", ","")&amp;
IF(COUNTIF(Biomes!Q$3:Q$259,"="&amp;$C303)&gt;0,Biomes!Q$1&amp;", ","")&amp;
IF(COUNTIF(Biomes!L$2:L$259,"="&amp;$C303)&gt;0,Biomes!L$1&amp;", ","")&amp;
IF(COUNTIF(Biomes!E$2:E$259,"="&amp;$C303)&gt;0,Biomes!E$1&amp;", ","")&amp;IF(COUNTIF(Biomes!S$2:S$259,"="&amp;$C303)&gt;0,Biomes!S$1&amp;", ","")&amp;
IF(COUNTIF(Biomes!R$2:R$259,"="&amp;$C303)&gt;0,Biomes!R$1&amp;", ",""),", ","")
),_xlfn.XLOOKUP(B303,B:B,BX:BX))</f>
        <v/>
      </c>
      <c r="BY303" s="25" t="str">
        <f>IF(_xlfn.XLOOKUP(B303,'Base stats'!B:B,'Base stats'!AJ:AJ)=1,"true","false")</f>
        <v>false</v>
      </c>
      <c r="BZ303" s="25">
        <f>IF(_xlfn.XLOOKUP(B303,'Base stats'!B:B,'Base stats'!N:N)=1,"No",MAX(0.001,MIN(MROUND(IF(AND(BJ303="True",CC303="False"),POWER(10,3.47*LOG10(_xlfn.XLOOKUP(B303,'Base stats'!B:B,'Base stats'!C:C)*1000)^-0.96),POWER(10,4.15*LOG10(_xlfn.XLOOKUP(B303,'Base stats'!B:B,'Base stats'!C:C)*1000)^-0.73))*IF(_xlfn.XLOOKUP(B303,'Base stats'!B:B,'Base stats'!AK:AK)=1,0.5,1)*IF(_xlfn.XLOOKUP(B303,'Base stats'!B:B,'Base stats'!AM:AM)=1,0.1,1)/100,IF(_xlfn.XLOOKUP(B303,'Base stats'!B:B,'Base stats'!AM:AM)=1,0.001,0.025)),0.5)))</f>
        <v>1.7000000000000001E-2</v>
      </c>
      <c r="CA303" s="25" t="str">
        <f>IF(P303="Standard","No",MAX(0.001,MIN(MROUND(IF(AND(BJ303="True",CC303="False"),POWER(10,3.47*LOG10(_xlfn.XLOOKUP(B303,'Base stats'!B:B,'Base stats'!C:C)*1000)^-0.96),POWER(10,4.15*LOG10(_xlfn.XLOOKUP(B303,'Base stats'!B:B,'Base stats'!C:C)*1000)^-0.73))*IF(_xlfn.XLOOKUP(B303,'Base stats'!B:B,'Base stats'!AM:AM)=1,0.1,1)*_xlfn.XLOOKUP(B303,'Base stats'!B:B,'Base stats'!R:R)/100,IF(_xlfn.XLOOKUP(B303,'Base stats'!B:B,'Base stats'!AM:AM)=1,0.001,0.025)),0.5)))</f>
        <v>No</v>
      </c>
      <c r="CB303" s="25" t="str">
        <f>IF(_xlfn.XLOOKUP(_xlfn.XLOOKUP(B303,'Base stats'!B:B,'Base stats'!E:E),Groups!A:A,Groups!AJ:AJ)="Mammal","True","False")</f>
        <v>False</v>
      </c>
      <c r="CC303" s="25" t="str">
        <f>IF(OR(_xlfn.XLOOKUP(_xlfn.XLOOKUP(B303,'Base stats'!B:B,'Base stats'!E:E),Groups!A:A,Groups!AJ:AJ)="Reptile",_xlfn.XLOOKUP(_xlfn.XLOOKUP(B303,'Base stats'!B:B,'Base stats'!E:E),Groups!A:A,Groups!AJ:AJ)="Amphibian",_xlfn.XLOOKUP(_xlfn.XLOOKUP(B303,'Base stats'!B:B,'Base stats'!E:E),Groups!A:A,Groups!AJ:AJ)="Invertebrate"),"True","False")</f>
        <v>False</v>
      </c>
      <c r="CD303" s="25" t="str">
        <f t="shared" si="34"/>
        <v>False</v>
      </c>
      <c r="CE303" s="25" t="str">
        <f>IF(_xlfn.XLOOKUP(_xlfn.XLOOKUP(B303,'Base stats'!B:B,'Base stats'!E:E),Groups!A:A,Groups!AX:AX),"True","False")</f>
        <v>False</v>
      </c>
      <c r="CF303" s="25" t="str">
        <f>IF(_xlfn.XLOOKUP(_xlfn.XLOOKUP(B303,'Base stats'!B:B,'Base stats'!E:E),Groups!A:A,Groups!AY:AY),"True","False")</f>
        <v>False</v>
      </c>
      <c r="CG303" s="25" t="str">
        <f>IF(_xlfn.XLOOKUP(_xlfn.XLOOKUP(B303,'Base stats'!B:B,'Base stats'!E:E),Groups!A:A,Groups!AW:AW),"True","False")</f>
        <v>False</v>
      </c>
      <c r="CH303" s="25" t="str">
        <f>IF(
OR(
_xlfn.XLOOKUP(_xlfn.XLOOKUP(B303,'Base stats'!B:B,'Base stats'!E:E),Groups!A:A,Groups!AZ:AZ)=0,
AND(
_xlfn.XLOOKUP(B303,'Base stats'!B:B,'Base stats'!Y:Y)&lt;&gt;"Carnivore",
_xlfn.XLOOKUP(B303,'Base stats'!B:B,'Base stats'!Y:Y)&lt;&gt;"Omnivore",
_xlfn.XLOOKUP(B303,'Base stats'!B:B,'Base stats'!Y:Y)&lt;&gt;"OmnivoreRough"
)
),
"No",
IF(
_xlfn.XLOOKUP(_xlfn.XLOOKUP(B303,'Base stats'!B:B,'Base stats'!E:E),Groups!A:A,Groups!AZ:AZ)=1,
"Flesh",
IF(
_xlfn.XLOOKUP(_xlfn.XLOOKUP(B303,'Base stats'!B:B,'Base stats'!E:E),Groups!A:A,Groups!AZ:AZ)=2,
"Bone",
""
)
)
)</f>
        <v>No</v>
      </c>
      <c r="CI303" s="25" t="str">
        <f>IF(_xlfn.XLOOKUP(_xlfn.XLOOKUP(B303,'Base stats'!B:B,'Base stats'!E:E),Groups!A:A,Groups!BB:BB),"True","False")</f>
        <v>True</v>
      </c>
      <c r="CJ303" s="25" t="str">
        <f>IF(_xlfn.XLOOKUP(_xlfn.XLOOKUP(B303,'Base stats'!B:B,'Base stats'!E:E),Groups!A:A,Groups!BA:BA),"True","False")</f>
        <v>False</v>
      </c>
    </row>
    <row r="304" spans="1:88" ht="16.5" thickTop="1" thickBot="1" x14ac:dyDescent="0.3">
      <c r="A304" s="26" t="s">
        <v>1520</v>
      </c>
      <c r="B304" s="6" t="str">
        <f>_xlfn.XLOOKUP(A304,'Base stats'!A:A,'Base stats'!B:B)</f>
        <v>Crepiscuequs nocturnalis</v>
      </c>
      <c r="C304" s="28" t="s">
        <v>1521</v>
      </c>
      <c r="D304" s="28" t="s">
        <v>1341</v>
      </c>
      <c r="E304" s="28" t="s">
        <v>673</v>
      </c>
      <c r="F304" s="28" t="s">
        <v>673</v>
      </c>
      <c r="G304" s="28" t="s">
        <v>673</v>
      </c>
      <c r="H304" s="2">
        <f>MROUND((
  (IF(AND(_xlfn.XLOOKUP(B304,'Base stats'!B:B,'Base stats'!AL:AL)=0,BI304="None",_xlfn.XLOOKUP(_xlfn.XLOOKUP(B304,'Base stats'!B:B,'Base stats'!E:E),Groups!A:A,Groups!B:B)=0), (18 + BR304 * 2.7) * 0.5,
    IF(AND(_xlfn.XLOOKUP(B304,'Base stats'!B:B,'Base stats'!AL:AL)=0,OR(AO304&lt;0.55,AND(BI304="Intermediate",_xlfn.XLOOKUP(_xlfn.XLOOKUP(B304,'Base stats'!B:B,'Base stats'!E:E),Groups!A:A,Groups!B:B)&lt;2))), (18 + BR304 * 2.7),
      IF(OR(BI304="Advanced",_xlfn.XLOOKUP(B304,'Base stats'!B:B,'Base stats'!AL:AL)=1,_xlfn.XLOOKUP(_xlfn.XLOOKUP(B304,'Base stats'!B:B,'Base stats'!E:E),Groups!A:A,Groups!B:B)=2), (18 + BR304 * 2.7) + 250, (18 + BR304 * 2.7))
    )
  ))
  + AO304 * 80
  + IF(COUNTIF(EggMilk!K$2:K$998, A304) &gt; 0, 125, 0)
  + IF(COUNTIF(EggMilk!P$2:P$998, A304) &gt; 0, 90, 0)
  + IF(COUNTIF(EggMilk!A$2:A$998, A304) &gt; 0, 90, 0)
)
* (0.8 + 0.4 * J304)
* 0.75,25)</f>
        <v>375</v>
      </c>
      <c r="I304" s="2">
        <f>MROUND(ROUNDDOWN(_xlfn.XLOOKUP(B304,'Base stats'!B:B,'Base stats'!L:L)/3.6/(23.3/11),1),0.5)</f>
        <v>7</v>
      </c>
      <c r="J304" s="2">
        <f>IF(OR(_xlfn.XLOOKUP(B304,'Base stats'!B:B,'Base stats'!AB:AB)=1,_xlfn.XLOOKUP(_xlfn.XLOOKUP(B304,'Base stats'!B:B,'Base stats'!E:E),Groups!A:A,Groups!C:C)="Untamable"),1,IF(_xlfn.XLOOKUP(B304,'Base stats'!B:B,'Base stats'!AL:AL)=1,0.99,MIN(MROUND((1-0.6282*EXP(-0.459*AO304))*_xlfn.XLOOKUP(_xlfn.XLOOKUP(B304,'Base stats'!B:B,'Base stats'!E:E),Groups!A:A,Groups!C:C)*IF(_xlfn.XLOOKUP(B304,'Base stats'!B:B,'Base stats'!O:O)=1,0.5,IF(_xlfn.XLOOKUP(B304,'Base stats'!B:B,'Base stats'!O:O)=2,0,1)),0.05),IF(AO304&gt;3.5,0.985,0.95))))</f>
        <v>0.70000000000000007</v>
      </c>
      <c r="K304" s="2">
        <f>ROUNDUP(AO304*_xlfn.XLOOKUP(_xlfn.XLOOKUP(B304,'Base stats'!B:B,'Base stats'!E:E),Groups!A:A,Groups!E:E),0)</f>
        <v>14</v>
      </c>
      <c r="L304" s="2">
        <f>IF(OR(_xlfn.XLOOKUP(_xlfn.XLOOKUP(B304,'Base stats'!B:B,'Base stats'!E:E),Groups!A:A,Groups!F:F)=2,ISNUMBER(SEARCH("SeaIce",BX304)),ISNUMBER(SEARCH("IceSheet",BX304))),-50,IF(OR(ISNUMBER(SEARCH("GlacialPlain",BX304)),ISNUMBER(SEARCH("Tundra",BX304))),-40,IF(OR(ISNUMBER(SEARCH("Alpine",BX304)),ISNUMBER(SEARCH("BorealForest",BX304)),ISNUMBER(SEARCH("ColdBog",BX304))),-30,IF(OR(ISNUMBER(SEARCH("TemperateForest",BX304)),ISNUMBER(SEARCH("TemperateSwamp",BX304))),-20,IF(_xlfn.XLOOKUP(_xlfn.XLOOKUP(B304,'Base stats'!B:B,'Base stats'!E:E),Groups!A:A,Groups!F:F)=1,-15,IF(OR(ISNUMBER(SEARCH("Desert",BX304)),ISNUMBER(SEARCH("ExtremeDesert",BX304))),-10,IF(OR(ISNUMBER(SEARCH("Grasslands",BX304)),ISNUMBER(SEARCH("TropicalRainforest",BX304)),ISNUMBER(SEARCH("TropicalSwamp",BX304))),10,0)))))))-IF(CC304="False",MIN(IFERROR(MAX(MROUND(LOG10(_xlfn.XLOOKUP(B304,'Base stats'!B:B,'Base stats'!C:C)^(2/3))*10,5),5),5),30))-_xlfn.XLOOKUP(B304,'Base stats'!B:B,'Base stats'!P:P)+IF(CC304="True",5,0)</f>
        <v>-30</v>
      </c>
      <c r="M304" s="2">
        <f>IF(OR(_xlfn.XLOOKUP(_xlfn.XLOOKUP(B304,'Base stats'!B:B,'Base stats'!E:E),Groups!A:A,Groups!G:G)=2,ISNUMBER(SEARCH("Desert",BX304)),ISNUMBER(SEARCH("ExtremeDesert",BX304)),ISNUMBER(SEARCH("LavaField",BX304))),50,IF(ISNUMBER(SEARCH("Grasslands",BX304)),45,IF(OR(_xlfn.XLOOKUP(_xlfn.XLOOKUP(B304,'Base stats'!B:B,'Base stats'!E:E),Groups!A:A,Groups!G:G)=1,ISNUMBER(SEARCH("TropicalRainforest",BX304)),ISNUMBER(SEARCH("TropicalSwamp",BX304))),40,IF(OR(ISNUMBER(SEARCH("TemperateForest",BX304)),ISNUMBER(SEARCH("TemperateSwamp",BX304))),35,IF(OR(ISNUMBER(SEARCH("Alpine",BX304)),ISNUMBER(SEARCH("BorealForest",BX304)),ISNUMBER(SEARCH("ColdBog",BX304))),30,IF(ISNUMBER(OR(ISNUMBER(SEARCH("GlacialPlain",BX304)),SEARCH("Tundra",BX304))),25,IF(OR(ISNUMBER(SEARCH("SeaIce",BX304)),ISNUMBER(SEARCH("IceSheet",BX304)),ISNUMBER(SEARCH("TropicalSwamp",BX304))),10,35)))))))+_xlfn.XLOOKUP(B304,'Base stats'!B:B,'Base stats'!Q:Q)</f>
        <v>35</v>
      </c>
      <c r="N304" s="8" t="str">
        <f>IF(
_xlfn.XLOOKUP(
_xlfn.XLOOKUP(B304,'Base stats'!B:B,'Base stats'!E:E),
Groups!A:A,
Groups!L:L
)=1,
MIN(
MROUND(
IF(
_xlfn.XLOOKUP(B304,'Animals CE'!B:B,'Animals CE'!Z:Z)&lt;=1.5,
_xlfn.XLOOKUP(B304,'Animals CE'!B:B,'Animals CE'!Z:Z)/2+0.05,
0.8+
(_xlfn.XLOOKUP(B304,'Animals CE'!B:B,'Animals CE'!Z:Z)-1.5)
*0.02
),
0.05
),
200%
),
"No"
)</f>
        <v>No</v>
      </c>
      <c r="O304" s="8" t="str">
        <f>IF(
_xlfn.XLOOKUP(
_xlfn.XLOOKUP(B304,'Base stats'!B:B,'Base stats'!E:E),
Groups!A:A,
Groups!L:L
)=1,
MIN(
MROUND(
IF(
_xlfn.XLOOKUP(B304,'Animals CE'!B:B,'Animals CE'!AA:AA)&lt;=1.5,
_xlfn.XLOOKUP(B304,'Animals CE'!B:B,'Animals CE'!AA:AA)/2+0.05,
0.8+
(_xlfn.XLOOKUP(B304,'Animals CE'!B:B,'Animals CE'!AA:AA)-1.5)
*0.02
),
0.05
),
200%
),
"No"
)</f>
        <v>No</v>
      </c>
      <c r="P304" s="2" t="str">
        <f>_xlfn.XLOOKUP(B304,'Base stats'!B:B,'Base stats'!R:R)</f>
        <v>Standard</v>
      </c>
      <c r="Q304" s="13">
        <f>MROUND((LOG10(_xlfn.XLOOKUP(B304,'Base stats'!B:B,'Base stats'!AR:AR))*(AO304^0.5)+(_xlfn.XLOOKUP(B304,'Base stats'!B:B,'Base stats'!AR:AR)/1000)^(2/3)+_xlfn.XLOOKUP(B304,'Base stats'!B:B,'Base stats'!BA:BA)/2)+0.5,0.5)</f>
        <v>14.5</v>
      </c>
      <c r="R304" s="7">
        <f>IF(Q304="No","No",MAX(1,MROUND(_xlfn.XLOOKUP(B304,'Base stats'!B:B,'Base stats'!C:C)^0.165,0.05)))</f>
        <v>2.7</v>
      </c>
      <c r="S304" s="13">
        <f>IF(_xlfn.XLOOKUP(_xlfn.XLOOKUP(B304,'Base stats'!B:B,'Base stats'!E:E),Groups!A:A,Groups!P:P)=0,"No",MROUND((LOG10(_xlfn.XLOOKUP(B304,'Base stats'!B:B,'Base stats'!AS:AS))*(AO304^0.5)+(_xlfn.XLOOKUP(B304,'Base stats'!B:B,'Base stats'!AS:AS)/1000)^(2/3)+_xlfn.XLOOKUP(B304,'Base stats'!B:B,'Base stats'!BA:BA))+_xlfn.XLOOKUP(B304,'Base stats'!B:B,'Base stats'!AY:AY)+0.5,0.5))</f>
        <v>18</v>
      </c>
      <c r="T304" s="7">
        <f>IF(S304="No","No",MAX(_xlfn.XLOOKUP(_xlfn.XLOOKUP(B304,'Base stats'!B:B,'Base stats'!E:E),Groups!A:A,Groups!Q:Q),MROUND(_xlfn.XLOOKUP(_xlfn.XLOOKUP(B304,'Base stats'!B:B,'Base stats'!E:E),Groups!A:A,Groups!Q:Q)*_xlfn.XLOOKUP(B304,'Base stats'!B:B,'Base stats'!C:C)^0.165,0.05)))</f>
        <v>2.7</v>
      </c>
      <c r="U304" s="7" t="str">
        <f>IF(S304="No","No",_xlfn.XLOOKUP(_xlfn.XLOOKUP(B304,'Base stats'!B:B,'Base stats'!E:E),Groups!A:A,Groups!R:R))</f>
        <v>FrontLeftLeg, FrontRightLeg</v>
      </c>
      <c r="V304" s="7" t="str">
        <f>IF(S304="No","No",_xlfn.XLOOKUP(_xlfn.XLOOKUP(B304,'Base stats'!B:B,'Base stats'!E:E),Groups!A:A,Groups!S:S))</f>
        <v>left hoof, right hoof</v>
      </c>
      <c r="W304" s="7" t="str">
        <f>IF(S304="No","No",_xlfn.XLOOKUP(_xlfn.XLOOKUP(B304,'Base stats'!B:B,'Base stats'!E:E),Groups!A:A,Groups!T:T))</f>
        <v>Blunt</v>
      </c>
      <c r="X304" s="13">
        <f>IF(_xlfn.XLOOKUP(B304,'Base stats'!B:B,'Base stats'!W:W)="No","No",MROUND((LOG10(_xlfn.XLOOKUP(B304,'Base stats'!B:B,'Base stats'!AU:AU))*(AO304^0.5)+(_xlfn.XLOOKUP(B304,'Base stats'!B:B,'Base stats'!AU:AU)/1000)^(2/3)+_xlfn.XLOOKUP(B304,'Base stats'!B:B,'Base stats'!AZ:AZ))+0.5+IF(_xlfn.XLOOKUP(_xlfn.XLOOKUP(B304,'Base stats'!B:B,'Base stats'!E:E),Groups!A:A,Groups!U:U)&lt;&gt;3,_xlfn.XLOOKUP(B304,'Base stats'!B:B,'Base stats'!BA:BA),0),0.5))</f>
        <v>16.5</v>
      </c>
      <c r="Y304" s="7">
        <f>IF(X304="No","No",MAX(_xlfn.XLOOKUP(_xlfn.XLOOKUP(B304,'Base stats'!B:B,'Base stats'!E:E),Groups!A:A,Groups!V:V),MROUND(_xlfn.XLOOKUP(_xlfn.XLOOKUP(B304,'Base stats'!B:B,'Base stats'!E:E),Groups!A:A,Groups!V:V)*_xlfn.XLOOKUP(B304,'Base stats'!B:B,'Base stats'!C:C)^0.165,0.05)))</f>
        <v>2.3000000000000003</v>
      </c>
      <c r="Z304" s="7" t="str">
        <f>IF(X304="No","No",_xlfn.XLOOKUP(_xlfn.XLOOKUP(B304,'Base stats'!B:B,'Base stats'!E:E),Groups!A:A,Groups!W:W))</f>
        <v>HeadAttackTool</v>
      </c>
      <c r="AA304" s="7" t="str">
        <f>IF(X304="No","No",_xlfn.XLOOKUP(_xlfn.XLOOKUP(B304,'Base stats'!B:B,'Base stats'!E:E),Groups!A:A,Groups!X:X))</f>
        <v>horn</v>
      </c>
      <c r="AB304" s="7" t="str">
        <f>IF(X304="No","No",_xlfn.XLOOKUP(_xlfn.XLOOKUP(B304,'Base stats'!B:B,'Base stats'!E:E),Groups!A:A,Groups!Y:Y))</f>
        <v>Scratch</v>
      </c>
      <c r="AC304" s="7" t="str">
        <f>_xlfn.XLOOKUP(Animals!B304,'Base stats'!B:B,'Base stats'!X:X)</f>
        <v>False</v>
      </c>
      <c r="AD304" s="13" t="str">
        <f>IF(_xlfn.XLOOKUP(B304,'Base stats'!B:B,'Base stats'!AT:AT)="No","No",MROUND((LOG10(_xlfn.XLOOKUP(B304,'Base stats'!B:B,'Base stats'!AT:AT))*(AO304^0.75)+(_xlfn.XLOOKUP(B304,'Base stats'!B:B,'Base stats'!AT:AT)/1000)^(2/3)+_xlfn.XLOOKUP(B304,'Base stats'!B:B,'Base stats'!AX:AX)+_xlfn.XLOOKUP(B304,'Base stats'!B:B,'Base stats'!BA:BA))+0.5,0.5))</f>
        <v>No</v>
      </c>
      <c r="AE304" s="7" t="str">
        <f>IF(AD304="No","No",MAX(_xlfn.XLOOKUP(_xlfn.XLOOKUP(B304,'Base stats'!B:B,'Base stats'!E:E),Groups!A:A,Groups!Z:Z),MROUND(_xlfn.XLOOKUP(_xlfn.XLOOKUP(B304,'Base stats'!B:B,'Base stats'!E:E),Groups!A:A,Groups!Z:Z)*_xlfn.XLOOKUP(B304,'Base stats'!B:B,'Base stats'!C:C)^0.165,0.05)))</f>
        <v>No</v>
      </c>
      <c r="AF304" s="7" t="str">
        <f>IF(AD304="No","No",_xlfn.XLOOKUP(_xlfn.XLOOKUP(B304,'Base stats'!B:B,'Base stats'!E:E),Groups!A:A,Groups!AA:AA))</f>
        <v>No</v>
      </c>
      <c r="AG304" s="7" t="str">
        <f>IF(AD304="No","No",_xlfn.XLOOKUP(_xlfn.XLOOKUP(B304,'Base stats'!B:B,'Base stats'!E:E),Groups!A:A,Groups!AB:AB))</f>
        <v>No</v>
      </c>
      <c r="AH304" s="7" t="str">
        <f>IF(AD304="No","No",_xlfn.XLOOKUP(_xlfn.XLOOKUP(B304,'Base stats'!B:B,'Base stats'!E:E),Groups!A:A,Groups!AC:AC))</f>
        <v>No</v>
      </c>
      <c r="AI304" s="13" t="str">
        <f>IF(_xlfn.XLOOKUP(_xlfn.XLOOKUP(B304,'Base stats'!B:B,'Base stats'!E:E),Groups!A:A,Groups!AD:AD)=0,"No",MROUND((LOG10(_xlfn.XLOOKUP(B304,'Base stats'!B:B,'Base stats'!AS:AS))*(AO304^0.75)+(_xlfn.XLOOKUP(B304,'Base stats'!B:B,'Base stats'!AS:AS)/1000)^(2/3)+_xlfn.XLOOKUP(B304,'Base stats'!B:B,'Base stats'!AY:AY)+_xlfn.XLOOKUP(B304,'Base stats'!B:B,'Base stats'!BA:BA))+0.5,0.5))</f>
        <v>No</v>
      </c>
      <c r="AJ304" s="7" t="str">
        <f>IF(AI304="No","No",MAX(_xlfn.XLOOKUP(_xlfn.XLOOKUP(B304,'Base stats'!B:B,'Base stats'!E:E),Groups!A:A,Groups!AE:AE),MROUND(_xlfn.XLOOKUP(_xlfn.XLOOKUP(B304,'Base stats'!B:B,'Base stats'!E:E),Groups!A:A,Groups!AE:AE)*IF(_xlfn.XLOOKUP(_xlfn.XLOOKUP(B304,'Base stats'!B:B,'Base stats'!E:E),Groups!A:A,Groups!AJ:AJ)="Photonozoa",0.6,1)*_xlfn.XLOOKUP(B304,'Base stats'!B:B,'Base stats'!C:C)^0.165,0.05)))</f>
        <v>No</v>
      </c>
      <c r="AK304" s="7" t="str">
        <f>IF(AI304="No","No",_xlfn.XLOOKUP(_xlfn.XLOOKUP(B304,'Base stats'!B:B,'Base stats'!E:E),Groups!A:A,Groups!AF:AF))</f>
        <v>No</v>
      </c>
      <c r="AL304" s="7" t="str">
        <f>IF(AI304="No","No",_xlfn.XLOOKUP(_xlfn.XLOOKUP(B304,'Base stats'!B:B,'Base stats'!E:E),Groups!A:A,Groups!AG:AG))</f>
        <v>No</v>
      </c>
      <c r="AM304" s="7" t="str">
        <f>IF(AI304="No","No",_xlfn.XLOOKUP(_xlfn.XLOOKUP(B304,'Base stats'!B:B,'Base stats'!E:E),Groups!A:A,Groups!AH:AH))</f>
        <v>No</v>
      </c>
      <c r="AN304" s="2" t="str">
        <f t="shared" si="28"/>
        <v>No</v>
      </c>
      <c r="AO304" s="2">
        <f>MROUND(IF(AND(_xlfn.XLOOKUP(B304,'Base stats'!B:B,'Base stats'!C:C)&gt;=0.5,_xlfn.XLOOKUP(B304,'Base stats'!B:B,'Base stats'!C:C)&lt;=0.8),
IF(_xlfn.XLOOKUP(B304,'Base stats'!B:B,'Base stats'!C:C)&lt;0.1,0.05,IF(_xlfn.XLOOKUP(B304,'Base stats'!B:B,'Base stats'!C:C)&lt;=70,(_xlfn.XLOOKUP(B304,'Base stats'!B:B,'Base stats'!C:C)/70)^0.426489913056526,IF(_xlfn.XLOOKUP(B304,'Base stats'!B:B,'Base stats'!C:C)&lt;=400,(_xlfn.XLOOKUP(B304,'Base stats'!B:B,'Base stats'!C:C)/70)^0.572811455315093,IF(_xlfn.XLOOKUP(B304,'Base stats'!B:B,'Base stats'!C:C)&lt;=2000,2.71391647193063*(_xlfn.XLOOKUP(B304,'Base stats'!B:B,'Base stats'!C:C)/400)^0.252459582904293,3.74314280240376*(_xlfn.XLOOKUP(B304,'Base stats'!B:B,'Base stats'!C:C)/2000)^0.357012633876913)))),
IF(_xlfn.XLOOKUP(B304,'Base stats'!B:B,'Base stats'!C:C)&lt;0.1,0.05,IF(_xlfn.XLOOKUP(B304,'Base stats'!B:B,'Base stats'!C:C)&lt;0.4,0.1,IF(_xlfn.XLOOKUP(B304,'Base stats'!B:B,'Base stats'!C:C)&lt;=70,(_xlfn.XLOOKUP(B304,'Base stats'!B:B,'Base stats'!C:C)/70)^0.445823913056526,IF(_xlfn.XLOOKUP(B304,'Base stats'!B:B,'Base stats'!C:C)&lt;=400,(_xlfn.XLOOKUP(B304,'Base stats'!B:B,'Base stats'!C:C)/70)^0.572811455315093,IF(_xlfn.XLOOKUP(B304,'Base stats'!B:B,'Base stats'!C:C)&lt;=2000,2.71391647193063*(_xlfn.XLOOKUP(B304,'Base stats'!B:B,'Base stats'!C:C)/400)^0.252459582904293,3.74314280240376*(_xlfn.XLOOKUP(B304,'Base stats'!B:B,'Base stats'!C:C)/2000)^0.357012633876913)))))),
IF(_xlfn.XLOOKUP(B304,'Base stats'!B:B,'Base stats'!C:C)&lt;0.1,0.05,IF(_xlfn.XLOOKUP(B304,'Base stats'!B:B,'Base stats'!C:C)&lt;=100,0.05,IF(_xlfn.XLOOKUP(B304,'Base stats'!B:B,'Base stats'!C:C)&lt;=250,0.1,IF(_xlfn.XLOOKUP(B304,'Base stats'!B:B,'Base stats'!C:C)&lt;=4000,0.25,0.5)))))</f>
        <v>2.75</v>
      </c>
      <c r="AP304" s="8">
        <f>MROUND(AO304*_xlfn.XLOOKUP(_xlfn.XLOOKUP(B304,'Base stats'!B:B,'Base stats'!E:E),Groups!A:A,Groups!AI:AI)*_xlfn.XLOOKUP(B304,'Base stats'!B:B,'Base stats'!Z:Z),0.05)</f>
        <v>2.75</v>
      </c>
      <c r="AQ304" s="8">
        <f>MAX(0.01,MROUND(IF(CC304="True",0.196*(AO304*100*1000)^0.889,IF(_xlfn.XLOOKUP(_xlfn.XLOOKUP(B304,'Base stats'!B:B,'Base stats'!E:E),Groups!A:A,Groups!AJ:AJ)="Bird",10.5*(AO304*100*1000)^0.681,4.82*(AO304*100*1000)^0.734))/(4.82*(1*100*1000)^0.734)/IF(AO304&lt;3.5,2,IF(AO304=3.5,1.5,1.25))*(1+0.132282374779864/(AO304^0.994035016789033+0.00905238001496948)),0.05))</f>
        <v>1.1000000000000001</v>
      </c>
      <c r="AR304" s="9">
        <f>IFERROR(MROUND(_xlfn.XLOOKUP(B304,'Base stats'!B:B,'Base stats'!H:H)/IF(_xlfn.XLOOKUP(B304,'Base stats'!B:B,'Base stats'!I:I)&lt;&gt;1,(122.5/70),1.2),IF(_xlfn.XLOOKUP(B304,'Base stats'!B:B,'Base stats'!H:H)&gt;=30,5,IF(_xlfn.XLOOKUP(B304,'Base stats'!B:B,'Base stats'!H:H)&gt;=15,3,IF(_xlfn.XLOOKUP(B304,'Base stats'!B:B,'Base stats'!H:H)&gt;=10,2,1)))),"Immortal")</f>
        <v>15</v>
      </c>
      <c r="AS304" s="35">
        <f>IFERROR(IF(OR(_xlfn.XLOOKUP(B304,'Base stats'!B:B,'Base stats'!F:F)="Atypical reproduction",_xlfn.XLOOKUP(B304,'Base stats'!B:B,'Base stats'!F:F)="Lay eggs"),"Lay eggs",MIN(20,MAX(5.5,ROUND(((_xlfn.XLOOKUP(B304,'Base stats'!B:B,'Base stats'!F:F)-25)*(14.5/615) + 5.5)*2,0)/2))),"Unknown")</f>
        <v>10.5</v>
      </c>
      <c r="AT304" s="8">
        <f>IF(_xlfn.XLOOKUP(B304,'Base stats'!B:B,'Base stats'!G:G)="Atypical reproduction","No",IFERROR(MAX(IF(_xlfn.XLOOKUP(B304,'Base stats'!B:B,'Base stats'!G:G)&lt;0.5,0.2,0.3),MROUND(_xlfn.XLOOKUP(B304,'Base stats'!B:B,'Base stats'!G:G)/(365/60),0.2)),"Unknown"))</f>
        <v>0.4</v>
      </c>
      <c r="AU304" s="8">
        <f t="shared" si="29"/>
        <v>0.2</v>
      </c>
      <c r="AV304" s="8">
        <f>IFERROR(IFERROR(MROUND(_xlfn.XLOOKUP(B304,'Base stats'!B:B,'Base stats'!J:J),0.1),"Lay eggs"),"Cannot breed")</f>
        <v>1</v>
      </c>
      <c r="AW304" s="2" t="str">
        <f t="shared" si="30"/>
        <v>true</v>
      </c>
      <c r="AX304" s="2" t="str">
        <f>IF(_xlfn.XLOOKUP(_xlfn.XLOOKUP(Animals!B304,'Base stats'!B:B,'Base stats'!E:E),Groups!A:A,Groups!AK:AK)=1,"true","false")</f>
        <v>false</v>
      </c>
      <c r="AY304" s="25" t="str">
        <f>IF(_xlfn.XLOOKUP(B304,'Base stats'!B:B,'Base stats'!Y:Y)="Liquor","Liquor, CarnivoreAnimalStrict",IF(AND(_xlfn.XLOOKUP(B304,'Base stats'!B:B,'Base stats'!Y:Y)="Carnivore",_xlfn.XLOOKUP(_xlfn.XLOOKUP(B304,'Base stats'!B:B,'Base stats'!E:E),Groups!A:A,Groups!AJ:AJ)="Photonozoa"),"CarnivoreAnimalStrict, OvivoreAnimal",IF(_xlfn.XLOOKUP(B304,'Base stats'!B:B,'Base stats'!Y:Y)="Carnivore","CarnivoreAnimal, OvivoreAnimal",IF(_xlfn.XLOOKUP(B304,'Base stats'!B:B,'Base stats'!Y:Y)="Dendrovore","VegetarianRoughAnimal, DendrovoreAnimal",IF(_xlfn.XLOOKUP(B304,'Base stats'!B:B,'Base stats'!Y:Y)="Herbivore","VegetarianRoughAnimal",IF(_xlfn.XLOOKUP(B304,'Base stats'!B:B,'Base stats'!Y:Y)="OmnivoreRough","OmnivoreRoughAnimal, OvivoreAnimal","OmnivoreAnimal, OvivoreAnimal"))))))</f>
        <v>VegetarianRoughAnimal</v>
      </c>
      <c r="AZ304" s="2">
        <f>IF(_xlfn.XLOOKUP(_xlfn.XLOOKUP(B304,'Base stats'!B:B,'Base stats'!E:E),Groups!A:A,Groups!D:D)=1,MROUND((1-J304)*5+1,2)*IF(J304&lt;=0.4,2,1),"No")</f>
        <v>2</v>
      </c>
      <c r="BA304" s="2" t="str">
        <f>IF(AND(_xlfn.XLOOKUP(B304,'Base stats'!B:B,'Base stats'!AH:AH)="&lt;li&gt;Seal&lt;/li&gt;",G304="Odyssey"),"&lt;li&gt;AEXP_Seal&lt;/li&gt;",_xlfn.XLOOKUP(B304,'Base stats'!B:B,'Base stats'!AH:AH))</f>
        <v>&lt;li&gt;Cow&lt;/li&gt;</v>
      </c>
      <c r="BB304" s="2" t="str">
        <f>_xlfn.XLOOKUP(B304,'Base stats'!B:B,'Base stats'!AG:AG)</f>
        <v>Leather_Night</v>
      </c>
      <c r="BC304" s="23" t="str">
        <f>_xlfn.XLOOKUP(_xlfn.XLOOKUP(B304,'Base stats'!B:B,'Base stats'!E:E),Groups!A:A,Groups!AL:AL)</f>
        <v>QuadrupedAnimalWithHoovesTailAndHorn</v>
      </c>
      <c r="BD304" s="23">
        <f>MIN(1,MROUND(IF(AND(AO304&lt;0.5,_xlfn.XLOOKUP(B304,'Base stats'!B:B,'Base stats'!AA:AA)=0),0,IF(OR(_xlfn.XLOOKUP(Animals!B304,'Base stats'!B:B,'Base stats'!O:O)=2,_xlfn.XLOOKUP(_xlfn.XLOOKUP(B304,'Base stats'!B:B,'Base stats'!E:E),Groups!A:A,Groups!AN:AN)=0),0,_xlfn.XLOOKUP(_xlfn.XLOOKUP(B304,'Base stats'!B:B,'Base stats'!E:E),Groups!A:A,Groups!AN:AN)/IF(_xlfn.XLOOKUP(Animals!B304,'Base stats'!B:B,'Base stats'!O:O)=1,2,1)))+_xlfn.XLOOKUP(B304,'Base stats'!B:B,'Base stats'!AC:AC),0.005))</f>
        <v>2.5000000000000001E-2</v>
      </c>
      <c r="BE304" s="23">
        <f>MIN(1,MROUND(IF(AND(AO304&lt;0.5,_xlfn.XLOOKUP(B304,'Base stats'!B:B,'Base stats'!AA:AA)=0),0,IF(_xlfn.XLOOKUP(_xlfn.XLOOKUP(B304,'Base stats'!B:B,'Base stats'!E:E),Groups!A:A,Groups!AO:AO)=0,0,_xlfn.XLOOKUP(_xlfn.XLOOKUP(B304,'Base stats'!B:B,'Base stats'!E:E),Groups!A:A,Groups!AO:AO)/IF(_xlfn.XLOOKUP(Animals!B304,'Base stats'!B:B,'Base stats'!O:O)=2,3,1)))+_xlfn.XLOOKUP(B304,'Base stats'!B:B,'Base stats'!AD:AD),0.005))</f>
        <v>0.1</v>
      </c>
      <c r="BF304" s="2" t="str">
        <f>IF(J304&gt;0.3,"No",_xlfn.XLOOKUP(_xlfn.XLOOKUP(Animals!B304,'Base stats'!B:B,'Base stats'!E:E),Groups!A:A,Groups!AP:AP))</f>
        <v>No</v>
      </c>
      <c r="BG304" s="2" t="str">
        <f>IF(AND(J304&lt;=0.65,_xlfn.XLOOKUP(_xlfn.XLOOKUP(Animals!B304,'Base stats'!B:B,'Base stats'!E:E),Groups!A:A,Groups!AP:AP)&lt;&gt;"No",_xlfn.XLOOKUP(_xlfn.XLOOKUP(B304,'Base stats'!B:B,'Base stats'!E:E),Groups!A:A,Groups!D:D)=0),MROUND((80/3)*IF(_xlfn.XLOOKUP(B304,'Base stats'!B:B,'Base stats'!O:O)=2,0.2,AO304) + 24*(1-IF(BF304="No",0,BF304)) + 16/3, 12),"No")</f>
        <v>No</v>
      </c>
      <c r="BH304" s="2">
        <f>IF(AND(_xlfn.XLOOKUP(_xlfn.XLOOKUP(B304,'Base stats'!B:B,'Base stats'!E:E),Groups!A:A,Groups!AQ:AQ)=1,AO304&lt;=0.35),8,12)</f>
        <v>12</v>
      </c>
      <c r="BI304" s="2" t="str">
        <f>IF(_xlfn.XLOOKUP(_xlfn.XLOOKUP(B304,'Base stats'!B:B,'Base stats'!E:E),Groups!A:A,Groups!D:D)=0,_xlfn.XLOOKUP(_xlfn.XLOOKUP(B304,'Base stats'!B:B,'Base stats'!E:E),Groups!A:A,Groups!AR:AR),"None")</f>
        <v>None</v>
      </c>
      <c r="BJ304" s="2" t="str">
        <f>IF(AND(_xlfn.XLOOKUP(_xlfn.XLOOKUP(B304,'Base stats'!B:B,'Base stats'!E:E),Groups!A:A,Groups!AS:AS)=1,OR(_xlfn.XLOOKUP(B304,'Base stats'!B:B,'Base stats'!Y:Y)="Carnivore",_xlfn.XLOOKUP(B304,'Base stats'!B:B,'Base stats'!Y:Y)="Omnivore")),"true","false")</f>
        <v>false</v>
      </c>
      <c r="BK304" s="2" t="str">
        <f>IF(BJ304="true",MROUND(IF(AND(AO304&gt;0.5,OR(_xlfn.XLOOKUP(_xlfn.XLOOKUP(B304,'Base stats'!B:B,'Base stats'!E:E),Groups!A:A,Groups!AJ:AJ)="Photonozoa",_xlfn.XLOOKUP(_xlfn.XLOOKUP(B304,'Base stats'!B:B,'Base stats'!E:E),Groups!A:A,Groups!AJ:AJ)="Mammal")),Animals!AO304*1.75*IF(AW304="true",1.5,1),IF(AO304&lt;0.5,Animals!AO304*0.5,Animals!AO304)),IF(AO304&gt;2,0.5,IF(AO304&gt;0.5,0.25,0.1))),"No")</f>
        <v>No</v>
      </c>
      <c r="BL304" s="2">
        <f t="shared" si="31"/>
        <v>0</v>
      </c>
      <c r="BM304" s="25" t="str">
        <f>IF(_xlfn.XLOOKUP(B304,'Base stats'!B:B,'Base stats'!AN:AN)="Standard","No",MROUND((_xlfn.XLOOKUP(B304,'Base stats'!B:B,'Base stats'!AN:AN)/3.6)/I304,0.1))</f>
        <v>No</v>
      </c>
      <c r="BN304" s="25" t="str">
        <f t="shared" si="32"/>
        <v>false</v>
      </c>
      <c r="BO304" s="25" t="str">
        <f>IF(AND(OR(_xlfn.XLOOKUP(B304,'Base stats'!B:B,'Base stats'!Y:Y)="Carnivore",_xlfn.XLOOKUP(B304,'Base stats'!B:B,'Base stats'!Y:Y)="Omnivore",_xlfn.XLOOKUP(B304,'Base stats'!B:B,'Base stats'!Y:Y)="OmnivoreRough"),_xlfn.XLOOKUP(_xlfn.XLOOKUP(B304,'Base stats'!B:B,'Base stats'!E:E),Groups!A:A,Groups!AT:AT)=1),"true","false")</f>
        <v>false</v>
      </c>
      <c r="BP304" s="25" t="str" cm="1">
        <f t="array" ref="BP304">IF(
  _xlfn.TEXTJOIN(", ",TRUE,
    IF(AND(BJ304="true",AO304&gt;0.5,BI304&lt;&gt;"None"),"AttackTarget",""),
    IF(AND(_xlfn.XLOOKUP(_xlfn.XLOOKUP(B304,'Base stats'!B:B,'Base stats'!E:E),Groups!A:A,Groups!AJ:AJ="Mammal"),OR(_xlfn.XLOOKUP(B304,'Base stats'!B:B,'Base stats'!Y:Y)="Omnivore",_xlfn.XLOOKUP(B304,'Base stats'!B:B,'Base stats'!Y:Y)="OmnivoreRough")),"Forage",""),
    IF(BG304&lt;=36,"Comfort",""),
    IF(_xlfn.XLOOKUP(B304,'Base stats'!B:B,'Base stats'!AE:AE)&lt;&gt;"No",_xlfn.XLOOKUP(B304,'Base stats'!B:B,'Base stats'!AE:AE),"")
  ) = "",
  "No",
  _xlfn.TEXTJOIN(", ",TRUE,
    IF(AND(BJ304="true",AO304&gt;0.5,BI304&lt;&gt;"None"),"AttackTarget",""),
    IF(AND(_xlfn.XLOOKUP(_xlfn.XLOOKUP(B304,'Base stats'!B:B,'Base stats'!E:E),Groups!A:A,Groups!AJ:AJ="Mammal"),OR(_xlfn.XLOOKUP(B304,'Base stats'!B:B,'Base stats'!Y:Y)="Omnivore",_xlfn.XLOOKUP(B304,'Base stats'!B:B,'Base stats'!Y:Y)="OmnivoreRough")),"Forage",""),
    IF(BG304&lt;=36,"Comfort",""),
    IF(_xlfn.XLOOKUP(B304,'Base stats'!B:B,'Base stats'!AE:AE)&lt;&gt;"No",_xlfn.XLOOKUP(B304,'Base stats'!B:B,'Base stats'!AE:AE),"")
  )
)</f>
        <v>No</v>
      </c>
      <c r="BQ304" s="25" t="str">
        <f>IF(
   AND(
      'Base stats'!AN304="Standard",_xlfn.XLOOKUP(_xlfn.XLOOKUP(B304,'Base stats'!B:B,'Base stats'!E:E),Groups!A:A,Groups!AU:AU)=0,
      OR(
      BO304="True"
      )
   ),
   10,
   IF(
       OR(BM304&lt;&gt;"No",_xlfn.XLOOKUP(_xlfn.XLOOKUP(B304,'Base stats'!B:B,'Base stats'!E:E),Groups!A:A,Groups!AU:AU)=1),
      1,
      "No"
   )
)</f>
        <v>No</v>
      </c>
      <c r="BR304" s="9">
        <f>MROUND((1 + ((0.2*IF(OR(Q304="No",R304="No",R304=0),0,Q304/R304)
+IF(OR(V304="No",S304="No",T304="No"),0,S304/T304*(LEN(V304)-LEN(SUBSTITUTE(V304,",",""))+1))
+IF(OR(X304="No",Y304="No"),0,X304/Y304)
+IF(OR(AD304="No",AE304="No"),0,AD304/AE304)
+IF(OR(AL304="No",AI304="No",AJ304="No"),0,AI304/AJ304*(LEN(AL304)-LEN(SUBSTITUTE(AL304,",",""))+1))
)/(0.2*IF(OR(Q304="No",R304="No",R304=0),0,1)
+IF(OR(V304="No",S304="No",T304="No"),0,LEN(V304)-LEN(SUBSTITUTE(V304,",",""))+1)
+IF(OR(X304="No",Y304="No"),0,1)
+IF(OR(AD304="No",AE304="No"),0,1)
+IF(OR(AL304="No",AI304="No",AJ304="No"),0,LEN(AL304)-LEN(SUBSTITUTE(AL304,",",""))+1))*62%)* 2)*(1 + (AP304 / (IF(_xlfn.XLOOKUP(_xlfn.XLOOKUP(B304,'Base stats'!B:B,'Base stats'!E:E),Groups!A:A,Groups!AJ:AJ)="Photonozoa",0.3,1)) + _xlfn.XLOOKUP(B304,'Base stats'!B:B,'Base stats'!AV:AV) * 1.8) * 2) * 2.5 + 10 + I304 * 2,5)+IF(_xlfn.XLOOKUP(B304,'Base stats'!B:B,'Base stats'!AK:AK)=1,50,0)</f>
        <v>175</v>
      </c>
      <c r="BS304" s="8">
        <f t="shared" si="33"/>
        <v>1.4500000000000002</v>
      </c>
      <c r="BT304" s="8" t="str">
        <f>_xlfn.XLOOKUP(B304,'Base stats'!B:B,'Base stats'!AF:AF)</f>
        <v>3~10</v>
      </c>
      <c r="BU304" s="2" t="str">
        <f>IF(AND(J304&lt;=0.95,OR(_xlfn.XLOOKUP(B304,'Base stats'!B:B,'Base stats'!AK:AK)=1,_xlfn.XLOOKUP(B304,'Base stats'!B:B,'Base stats'!Y:Y)="Carnivore",_xlfn.XLOOKUP(B304,'Base stats'!B:B,'Base stats'!Y:Y)="Omnivore",BE304&gt;0.1)),"true","false")</f>
        <v>false</v>
      </c>
      <c r="BV304" s="2" t="str">
        <f>IF(_xlfn.XLOOKUP(B304,'Base stats'!B:B,'Base stats'!AI:AI)=1,"true","false")</f>
        <v>true</v>
      </c>
      <c r="BW304" s="25" t="str">
        <f>IF(E304="BaseInsect","AnimalInsect",
IF(J304&gt;0.95,"AnimalExotic",
_xlfn.TEXTJOIN(", ",TRUE,
IF(OR(_xlfn.XLOOKUP(B304,'Base stats'!B:B,'Base stats'!AM:AM)=1,AND(_xlfn.XLOOKUP(B304,'Base stats'!B:B,'Base stats'!O:O)=0,_xlfn.XLOOKUP(_xlfn.XLOOKUP(B304,'Base stats'!B:B,'Base stats'!E:E),Groups!A:A,Groups!B:B)&gt;0)),"AnimalUncommon","AnimalCommon"),
IF(AND(_xlfn.XLOOKUP(B304,'Base stats'!B:B,'Base stats'!O:O)=2,_xlfn.XLOOKUP(_xlfn.XLOOKUP(B304,'Base stats'!B:B,'Base stats'!E:E),Groups!A:A,Groups!D:D)=0),"AnimalPet",IF(AND(_xlfn.XLOOKUP(B304,'Base stats'!B:B,'Base stats'!O:O)&lt;&gt;0,_xlfn.XLOOKUP(_xlfn.XLOOKUP(B304,'Base stats'!B:B,'Base stats'!E:E),Groups!A:A,Groups!D:D)&lt;&gt;0),"AnimalFarm","")),
IF(OR(_xlfn.XLOOKUP(B304,'Base stats'!B:B,'Base stats'!AK:AK)=1,AND(BI304&lt;&gt;"None",BR304&gt;=60),ISNUMBER(SEARCH("Attack target",BP304))),"AnimalFighter","")
)))</f>
        <v>AnimalCommon</v>
      </c>
      <c r="BX304" s="25" t="str">
        <f>IF(G304="None",TRIM(
SUBSTITUTE(
IF(COUNTIF(Biomes!B$2:B$259,"="&amp;$C304)&gt;0,Biomes!B$1&amp;", ","")&amp;
IF(COUNTIF(Biomes!C$2:C$259,"="&amp;$C304)&gt;0,Biomes!C$1&amp;", ","")&amp;
IF(COUNTIF(Biomes!D$2:D$259,"="&amp;$C304)&gt;0,Biomes!D$1&amp;", ","")&amp;
IF(COUNTIF(Biomes!F$2:F$259,"="&amp;$C304)&gt;0,Biomes!F$1&amp;", ","")&amp;
IF(COUNTIF(Biomes!G$2:G$259,"="&amp;$C304)&gt;0,Biomes!G$1&amp;", ","")&amp;
IF(COUNTIF(Biomes!H$2:H$259,"="&amp;$C304)&gt;0,Biomes!H$1&amp;", ","")&amp;
IF(COUNTIF(Biomes!I$2:I$259,"="&amp;$C304)&gt;0,Biomes!I$1&amp;", ","")&amp;
IF(COUNTIF(Biomes!J$2:J$259,"="&amp;$C304)&gt;0,Biomes!J$1&amp;", ","")&amp;
IF(COUNTIF(Biomes!M$2:M$259,"="&amp;$C304)&gt;0,Biomes!M$1&amp;", ","")&amp;
IF(COUNTIF(Biomes!N$2:N$259,"="&amp;$C304)&gt;0,Biomes!N$1&amp;", ","")&amp;
IF(COUNTIF(Biomes!O$2:O$259,"="&amp;$C304)&gt;0,Biomes!O$1&amp;", ","")&amp;
IF(COUNTIF(Biomes!P$2:P$259,"="&amp;$C304)&gt;0,Biomes!P$1&amp;", ","")&amp;
IF(COUNTIF(Biomes!K$2:K$259,"="&amp;$C304)&gt;0,Biomes!K$1&amp;", ","")&amp;
IF(COUNTIF(Biomes!Q$3:Q$259,"="&amp;$C304)&gt;0,Biomes!Q$1&amp;", ","")&amp;
IF(COUNTIF(Biomes!L$2:L$259,"="&amp;$C304)&gt;0,Biomes!L$1&amp;", ","")&amp;
IF(COUNTIF(Biomes!E$2:E$259,"="&amp;$C304)&gt;0,Biomes!E$1&amp;", ","")&amp;IF(COUNTIF(Biomes!S$2:S$259,"="&amp;$C304)&gt;0,Biomes!S$1&amp;", ","")&amp;
IF(COUNTIF(Biomes!R$2:R$259,"="&amp;$C304)&gt;0,Biomes!R$1&amp;", ",""),", ","")
),_xlfn.XLOOKUP(B304,B:B,BX:BX))</f>
        <v>Glowforest</v>
      </c>
      <c r="BY304" s="25" t="str">
        <f>IF(_xlfn.XLOOKUP(B304,'Base stats'!B:B,'Base stats'!AJ:AJ)=1,"true","false")</f>
        <v>false</v>
      </c>
      <c r="BZ304" s="25">
        <f>IF(_xlfn.XLOOKUP(B304,'Base stats'!B:B,'Base stats'!N:N)=1,"No",MAX(0.001,MIN(MROUND(IF(AND(BJ304="True",CC304="False"),POWER(10,3.47*LOG10(_xlfn.XLOOKUP(B304,'Base stats'!B:B,'Base stats'!C:C)*1000)^-0.96),POWER(10,4.15*LOG10(_xlfn.XLOOKUP(B304,'Base stats'!B:B,'Base stats'!C:C)*1000)^-0.73))*IF(_xlfn.XLOOKUP(B304,'Base stats'!B:B,'Base stats'!AK:AK)=1,0.5,1)*IF(_xlfn.XLOOKUP(B304,'Base stats'!B:B,'Base stats'!AM:AM)=1,0.1,1)/100,IF(_xlfn.XLOOKUP(B304,'Base stats'!B:B,'Base stats'!AM:AM)=1,0.001,0.025)),0.5)))</f>
        <v>0.15000000000000002</v>
      </c>
      <c r="CA304" s="25" t="str">
        <f>IF(P304="Standard","No",MAX(0.001,MIN(MROUND(IF(AND(BJ304="True",CC304="False"),POWER(10,3.47*LOG10(_xlfn.XLOOKUP(B304,'Base stats'!B:B,'Base stats'!C:C)*1000)^-0.96),POWER(10,4.15*LOG10(_xlfn.XLOOKUP(B304,'Base stats'!B:B,'Base stats'!C:C)*1000)^-0.73))*IF(_xlfn.XLOOKUP(B304,'Base stats'!B:B,'Base stats'!AM:AM)=1,0.1,1)*_xlfn.XLOOKUP(B304,'Base stats'!B:B,'Base stats'!R:R)/100,IF(_xlfn.XLOOKUP(B304,'Base stats'!B:B,'Base stats'!AM:AM)=1,0.001,0.025)),0.5)))</f>
        <v>No</v>
      </c>
      <c r="CB304" s="25" t="str">
        <f>IF(_xlfn.XLOOKUP(_xlfn.XLOOKUP(B304,'Base stats'!B:B,'Base stats'!E:E),Groups!A:A,Groups!AJ:AJ)="Mammal","True","False")</f>
        <v>True</v>
      </c>
      <c r="CC304" s="25" t="str">
        <f>IF(OR(_xlfn.XLOOKUP(_xlfn.XLOOKUP(B304,'Base stats'!B:B,'Base stats'!E:E),Groups!A:A,Groups!AJ:AJ)="Reptile",_xlfn.XLOOKUP(_xlfn.XLOOKUP(B304,'Base stats'!B:B,'Base stats'!E:E),Groups!A:A,Groups!AJ:AJ)="Amphibian",_xlfn.XLOOKUP(_xlfn.XLOOKUP(B304,'Base stats'!B:B,'Base stats'!E:E),Groups!A:A,Groups!AJ:AJ)="Invertebrate"),"True","False")</f>
        <v>False</v>
      </c>
      <c r="CD304" s="25" t="str">
        <f t="shared" si="34"/>
        <v>False</v>
      </c>
      <c r="CE304" s="25" t="str">
        <f>IF(_xlfn.XLOOKUP(_xlfn.XLOOKUP(B304,'Base stats'!B:B,'Base stats'!E:E),Groups!A:A,Groups!AX:AX),"True","False")</f>
        <v>False</v>
      </c>
      <c r="CF304" s="25" t="str">
        <f>IF(_xlfn.XLOOKUP(_xlfn.XLOOKUP(B304,'Base stats'!B:B,'Base stats'!E:E),Groups!A:A,Groups!AY:AY),"True","False")</f>
        <v>False</v>
      </c>
      <c r="CG304" s="25" t="str">
        <f>IF(_xlfn.XLOOKUP(_xlfn.XLOOKUP(B304,'Base stats'!B:B,'Base stats'!E:E),Groups!A:A,Groups!AW:AW),"True","False")</f>
        <v>False</v>
      </c>
      <c r="CH304" s="25" t="str">
        <f>IF(
OR(
_xlfn.XLOOKUP(_xlfn.XLOOKUP(B304,'Base stats'!B:B,'Base stats'!E:E),Groups!A:A,Groups!AZ:AZ)=0,
AND(
_xlfn.XLOOKUP(B304,'Base stats'!B:B,'Base stats'!Y:Y)&lt;&gt;"Carnivore",
_xlfn.XLOOKUP(B304,'Base stats'!B:B,'Base stats'!Y:Y)&lt;&gt;"Omnivore",
_xlfn.XLOOKUP(B304,'Base stats'!B:B,'Base stats'!Y:Y)&lt;&gt;"OmnivoreRough"
)
),
"No",
IF(
_xlfn.XLOOKUP(_xlfn.XLOOKUP(B304,'Base stats'!B:B,'Base stats'!E:E),Groups!A:A,Groups!AZ:AZ)=1,
"Flesh",
IF(
_xlfn.XLOOKUP(_xlfn.XLOOKUP(B304,'Base stats'!B:B,'Base stats'!E:E),Groups!A:A,Groups!AZ:AZ)=2,
"Bone",
""
)
)
)</f>
        <v>No</v>
      </c>
      <c r="CI304" s="25" t="str">
        <f>IF(_xlfn.XLOOKUP(_xlfn.XLOOKUP(B304,'Base stats'!B:B,'Base stats'!E:E),Groups!A:A,Groups!BB:BB),"True","False")</f>
        <v>True</v>
      </c>
      <c r="CJ304" s="25" t="str">
        <f>IF(_xlfn.XLOOKUP(_xlfn.XLOOKUP(B304,'Base stats'!B:B,'Base stats'!E:E),Groups!A:A,Groups!BA:BA),"True","False")</f>
        <v>False</v>
      </c>
    </row>
    <row r="305" spans="1:88" ht="16.5" thickTop="1" thickBot="1" x14ac:dyDescent="0.3">
      <c r="A305" s="26" t="s">
        <v>1522</v>
      </c>
      <c r="B305" s="6" t="str">
        <f>_xlfn.XLOOKUP(A305,'Base stats'!A:A,'Base stats'!B:B)</f>
        <v>Crepiscuovis nocturnus</v>
      </c>
      <c r="C305" s="28" t="s">
        <v>1523</v>
      </c>
      <c r="D305" s="28" t="s">
        <v>1341</v>
      </c>
      <c r="E305" s="28" t="s">
        <v>673</v>
      </c>
      <c r="F305" s="28" t="s">
        <v>673</v>
      </c>
      <c r="G305" s="28" t="s">
        <v>673</v>
      </c>
      <c r="H305" s="2">
        <f>MROUND((
  (IF(AND(_xlfn.XLOOKUP(B305,'Base stats'!B:B,'Base stats'!AL:AL)=0,BI305="None",_xlfn.XLOOKUP(_xlfn.XLOOKUP(B305,'Base stats'!B:B,'Base stats'!E:E),Groups!A:A,Groups!B:B)=0), (18 + BR305 * 2.7) * 0.5,
    IF(AND(_xlfn.XLOOKUP(B305,'Base stats'!B:B,'Base stats'!AL:AL)=0,OR(AO305&lt;0.55,AND(BI305="Intermediate",_xlfn.XLOOKUP(_xlfn.XLOOKUP(B305,'Base stats'!B:B,'Base stats'!E:E),Groups!A:A,Groups!B:B)&lt;2))), (18 + BR305 * 2.7),
      IF(OR(BI305="Advanced",_xlfn.XLOOKUP(B305,'Base stats'!B:B,'Base stats'!AL:AL)=1,_xlfn.XLOOKUP(_xlfn.XLOOKUP(B305,'Base stats'!B:B,'Base stats'!E:E),Groups!A:A,Groups!B:B)=2), (18 + BR305 * 2.7) + 250, (18 + BR305 * 2.7))
    )
  ))
  + AO305 * 80
  + IF(COUNTIF(EggMilk!K$2:K$998, A305) &gt; 0, 125, 0)
  + IF(COUNTIF(EggMilk!P$2:P$998, A305) &gt; 0, 90, 0)
  + IF(COUNTIF(EggMilk!A$2:A$998, A305) &gt; 0, 90, 0)
)
* (0.8 + 0.4 * J305)
* 0.75,25)</f>
        <v>200</v>
      </c>
      <c r="I305" s="2">
        <f>MROUND(ROUNDDOWN(_xlfn.XLOOKUP(B305,'Base stats'!B:B,'Base stats'!L:L)/3.6/(23.3/11),1),0.5)</f>
        <v>6</v>
      </c>
      <c r="J305" s="2">
        <f>IF(OR(_xlfn.XLOOKUP(B305,'Base stats'!B:B,'Base stats'!AB:AB)=1,_xlfn.XLOOKUP(_xlfn.XLOOKUP(B305,'Base stats'!B:B,'Base stats'!E:E),Groups!A:A,Groups!C:C)="Untamable"),1,IF(_xlfn.XLOOKUP(B305,'Base stats'!B:B,'Base stats'!AL:AL)=1,0.99,MIN(MROUND((1-0.6282*EXP(-0.459*AO305))*_xlfn.XLOOKUP(_xlfn.XLOOKUP(B305,'Base stats'!B:B,'Base stats'!E:E),Groups!A:A,Groups!C:C)*IF(_xlfn.XLOOKUP(B305,'Base stats'!B:B,'Base stats'!O:O)=1,0.5,IF(_xlfn.XLOOKUP(B305,'Base stats'!B:B,'Base stats'!O:O)=2,0,1)),0.05),IF(AO305&gt;3.5,0.985,0.95))))</f>
        <v>0.60000000000000009</v>
      </c>
      <c r="K305" s="2">
        <f>ROUNDUP(AO305*_xlfn.XLOOKUP(_xlfn.XLOOKUP(B305,'Base stats'!B:B,'Base stats'!E:E),Groups!A:A,Groups!E:E),0)</f>
        <v>8</v>
      </c>
      <c r="L305" s="2">
        <f>IF(OR(_xlfn.XLOOKUP(_xlfn.XLOOKUP(B305,'Base stats'!B:B,'Base stats'!E:E),Groups!A:A,Groups!F:F)=2,ISNUMBER(SEARCH("SeaIce",BX305)),ISNUMBER(SEARCH("IceSheet",BX305))),-50,IF(OR(ISNUMBER(SEARCH("GlacialPlain",BX305)),ISNUMBER(SEARCH("Tundra",BX305))),-40,IF(OR(ISNUMBER(SEARCH("Alpine",BX305)),ISNUMBER(SEARCH("BorealForest",BX305)),ISNUMBER(SEARCH("ColdBog",BX305))),-30,IF(OR(ISNUMBER(SEARCH("TemperateForest",BX305)),ISNUMBER(SEARCH("TemperateSwamp",BX305))),-20,IF(_xlfn.XLOOKUP(_xlfn.XLOOKUP(B305,'Base stats'!B:B,'Base stats'!E:E),Groups!A:A,Groups!F:F)=1,-15,IF(OR(ISNUMBER(SEARCH("Desert",BX305)),ISNUMBER(SEARCH("ExtremeDesert",BX305))),-10,IF(OR(ISNUMBER(SEARCH("Grasslands",BX305)),ISNUMBER(SEARCH("TropicalRainforest",BX305)),ISNUMBER(SEARCH("TropicalSwamp",BX305))),10,0)))))))-IF(CC305="False",MIN(IFERROR(MAX(MROUND(LOG10(_xlfn.XLOOKUP(B305,'Base stats'!B:B,'Base stats'!C:C)^(2/3))*10,5),5),5),30))-_xlfn.XLOOKUP(B305,'Base stats'!B:B,'Base stats'!P:P)+IF(CC305="True",5,0)</f>
        <v>-30</v>
      </c>
      <c r="M305" s="2">
        <f>IF(OR(_xlfn.XLOOKUP(_xlfn.XLOOKUP(B305,'Base stats'!B:B,'Base stats'!E:E),Groups!A:A,Groups!G:G)=2,ISNUMBER(SEARCH("Desert",BX305)),ISNUMBER(SEARCH("ExtremeDesert",BX305)),ISNUMBER(SEARCH("LavaField",BX305))),50,IF(ISNUMBER(SEARCH("Grasslands",BX305)),45,IF(OR(_xlfn.XLOOKUP(_xlfn.XLOOKUP(B305,'Base stats'!B:B,'Base stats'!E:E),Groups!A:A,Groups!G:G)=1,ISNUMBER(SEARCH("TropicalRainforest",BX305)),ISNUMBER(SEARCH("TropicalSwamp",BX305))),40,IF(OR(ISNUMBER(SEARCH("TemperateForest",BX305)),ISNUMBER(SEARCH("TemperateSwamp",BX305))),35,IF(OR(ISNUMBER(SEARCH("Alpine",BX305)),ISNUMBER(SEARCH("BorealForest",BX305)),ISNUMBER(SEARCH("ColdBog",BX305))),30,IF(ISNUMBER(OR(ISNUMBER(SEARCH("GlacialPlain",BX305)),SEARCH("Tundra",BX305))),25,IF(OR(ISNUMBER(SEARCH("SeaIce",BX305)),ISNUMBER(SEARCH("IceSheet",BX305)),ISNUMBER(SEARCH("TropicalSwamp",BX305))),10,35)))))))+_xlfn.XLOOKUP(B305,'Base stats'!B:B,'Base stats'!Q:Q)</f>
        <v>35</v>
      </c>
      <c r="N305" s="8" t="str">
        <f>IF(
_xlfn.XLOOKUP(
_xlfn.XLOOKUP(B305,'Base stats'!B:B,'Base stats'!E:E),
Groups!A:A,
Groups!L:L
)=1,
MIN(
MROUND(
IF(
_xlfn.XLOOKUP(B305,'Animals CE'!B:B,'Animals CE'!Z:Z)&lt;=1.5,
_xlfn.XLOOKUP(B305,'Animals CE'!B:B,'Animals CE'!Z:Z)/2+0.05,
0.8+
(_xlfn.XLOOKUP(B305,'Animals CE'!B:B,'Animals CE'!Z:Z)-1.5)
*0.02
),
0.05
),
200%
),
"No"
)</f>
        <v>No</v>
      </c>
      <c r="O305" s="8" t="str">
        <f>IF(
_xlfn.XLOOKUP(
_xlfn.XLOOKUP(B305,'Base stats'!B:B,'Base stats'!E:E),
Groups!A:A,
Groups!L:L
)=1,
MIN(
MROUND(
IF(
_xlfn.XLOOKUP(B305,'Animals CE'!B:B,'Animals CE'!AA:AA)&lt;=1.5,
_xlfn.XLOOKUP(B305,'Animals CE'!B:B,'Animals CE'!AA:AA)/2+0.05,
0.8+
(_xlfn.XLOOKUP(B305,'Animals CE'!B:B,'Animals CE'!AA:AA)-1.5)
*0.02
),
0.05
),
200%
),
"No"
)</f>
        <v>No</v>
      </c>
      <c r="P305" s="2" t="str">
        <f>_xlfn.XLOOKUP(B305,'Base stats'!B:B,'Base stats'!R:R)</f>
        <v>Standard</v>
      </c>
      <c r="Q305" s="13">
        <f>MROUND((LOG10(_xlfn.XLOOKUP(B305,'Base stats'!B:B,'Base stats'!AR:AR))*(AO305^0.5)+(_xlfn.XLOOKUP(B305,'Base stats'!B:B,'Base stats'!AR:AR)/1000)^(2/3)+_xlfn.XLOOKUP(B305,'Base stats'!B:B,'Base stats'!BA:BA)/2)+0.5,0.5)</f>
        <v>9.5</v>
      </c>
      <c r="R305" s="7">
        <f>IF(Q305="No","No",MAX(1,MROUND(_xlfn.XLOOKUP(B305,'Base stats'!B:B,'Base stats'!C:C)^0.165,0.05)))</f>
        <v>2.3000000000000003</v>
      </c>
      <c r="S305" s="13">
        <f>IF(_xlfn.XLOOKUP(_xlfn.XLOOKUP(B305,'Base stats'!B:B,'Base stats'!E:E),Groups!A:A,Groups!P:P)=0,"No",MROUND((LOG10(_xlfn.XLOOKUP(B305,'Base stats'!B:B,'Base stats'!AS:AS))*(AO305^0.5)+(_xlfn.XLOOKUP(B305,'Base stats'!B:B,'Base stats'!AS:AS)/1000)^(2/3)+_xlfn.XLOOKUP(B305,'Base stats'!B:B,'Base stats'!BA:BA))+_xlfn.XLOOKUP(B305,'Base stats'!B:B,'Base stats'!AY:AY)+0.5,0.5))</f>
        <v>12</v>
      </c>
      <c r="T305" s="7">
        <f>IF(S305="No","No",MAX(_xlfn.XLOOKUP(_xlfn.XLOOKUP(B305,'Base stats'!B:B,'Base stats'!E:E),Groups!A:A,Groups!Q:Q),MROUND(_xlfn.XLOOKUP(_xlfn.XLOOKUP(B305,'Base stats'!B:B,'Base stats'!E:E),Groups!A:A,Groups!Q:Q)*_xlfn.XLOOKUP(B305,'Base stats'!B:B,'Base stats'!C:C)^0.165,0.05)))</f>
        <v>2.3000000000000003</v>
      </c>
      <c r="U305" s="7" t="str">
        <f>IF(S305="No","No",_xlfn.XLOOKUP(_xlfn.XLOOKUP(B305,'Base stats'!B:B,'Base stats'!E:E),Groups!A:A,Groups!R:R))</f>
        <v>FrontLeftLeg, FrontRightLeg</v>
      </c>
      <c r="V305" s="7" t="str">
        <f>IF(S305="No","No",_xlfn.XLOOKUP(_xlfn.XLOOKUP(B305,'Base stats'!B:B,'Base stats'!E:E),Groups!A:A,Groups!S:S))</f>
        <v>left hoof, right hoof</v>
      </c>
      <c r="W305" s="7" t="str">
        <f>IF(S305="No","No",_xlfn.XLOOKUP(_xlfn.XLOOKUP(B305,'Base stats'!B:B,'Base stats'!E:E),Groups!A:A,Groups!T:T))</f>
        <v>Blunt</v>
      </c>
      <c r="X305" s="13">
        <f>IF(_xlfn.XLOOKUP(B305,'Base stats'!B:B,'Base stats'!W:W)="No","No",MROUND((LOG10(_xlfn.XLOOKUP(B305,'Base stats'!B:B,'Base stats'!AU:AU))*(AO305^0.5)+(_xlfn.XLOOKUP(B305,'Base stats'!B:B,'Base stats'!AU:AU)/1000)^(2/3)+_xlfn.XLOOKUP(B305,'Base stats'!B:B,'Base stats'!AZ:AZ))+0.5+IF(_xlfn.XLOOKUP(_xlfn.XLOOKUP(B305,'Base stats'!B:B,'Base stats'!E:E),Groups!A:A,Groups!U:U)&lt;&gt;3,_xlfn.XLOOKUP(B305,'Base stats'!B:B,'Base stats'!BA:BA),0),0.5))</f>
        <v>15.5</v>
      </c>
      <c r="Y305" s="7">
        <f>IF(X305="No","No",MAX(_xlfn.XLOOKUP(_xlfn.XLOOKUP(B305,'Base stats'!B:B,'Base stats'!E:E),Groups!A:A,Groups!V:V),MROUND(_xlfn.XLOOKUP(_xlfn.XLOOKUP(B305,'Base stats'!B:B,'Base stats'!E:E),Groups!A:A,Groups!V:V)*_xlfn.XLOOKUP(B305,'Base stats'!B:B,'Base stats'!C:C)^0.165,0.05)))</f>
        <v>1.9500000000000002</v>
      </c>
      <c r="Z305" s="7" t="str">
        <f>IF(X305="No","No",_xlfn.XLOOKUP(_xlfn.XLOOKUP(B305,'Base stats'!B:B,'Base stats'!E:E),Groups!A:A,Groups!W:W))</f>
        <v>HeadAttackTool</v>
      </c>
      <c r="AA305" s="7" t="str">
        <f>IF(X305="No","No",_xlfn.XLOOKUP(_xlfn.XLOOKUP(B305,'Base stats'!B:B,'Base stats'!E:E),Groups!A:A,Groups!X:X))</f>
        <v>horn</v>
      </c>
      <c r="AB305" s="7" t="str">
        <f>IF(X305="No","No",_xlfn.XLOOKUP(_xlfn.XLOOKUP(B305,'Base stats'!B:B,'Base stats'!E:E),Groups!A:A,Groups!Y:Y))</f>
        <v>Blunt</v>
      </c>
      <c r="AC305" s="7" t="str">
        <f>_xlfn.XLOOKUP(Animals!B305,'Base stats'!B:B,'Base stats'!X:X)</f>
        <v>False</v>
      </c>
      <c r="AD305" s="13" t="str">
        <f>IF(_xlfn.XLOOKUP(B305,'Base stats'!B:B,'Base stats'!AT:AT)="No","No",MROUND((LOG10(_xlfn.XLOOKUP(B305,'Base stats'!B:B,'Base stats'!AT:AT))*(AO305^0.75)+(_xlfn.XLOOKUP(B305,'Base stats'!B:B,'Base stats'!AT:AT)/1000)^(2/3)+_xlfn.XLOOKUP(B305,'Base stats'!B:B,'Base stats'!AX:AX)+_xlfn.XLOOKUP(B305,'Base stats'!B:B,'Base stats'!BA:BA))+0.5,0.5))</f>
        <v>No</v>
      </c>
      <c r="AE305" s="7" t="str">
        <f>IF(AD305="No","No",MAX(_xlfn.XLOOKUP(_xlfn.XLOOKUP(B305,'Base stats'!B:B,'Base stats'!E:E),Groups!A:A,Groups!Z:Z),MROUND(_xlfn.XLOOKUP(_xlfn.XLOOKUP(B305,'Base stats'!B:B,'Base stats'!E:E),Groups!A:A,Groups!Z:Z)*_xlfn.XLOOKUP(B305,'Base stats'!B:B,'Base stats'!C:C)^0.165,0.05)))</f>
        <v>No</v>
      </c>
      <c r="AF305" s="7" t="str">
        <f>IF(AD305="No","No",_xlfn.XLOOKUP(_xlfn.XLOOKUP(B305,'Base stats'!B:B,'Base stats'!E:E),Groups!A:A,Groups!AA:AA))</f>
        <v>No</v>
      </c>
      <c r="AG305" s="7" t="str">
        <f>IF(AD305="No","No",_xlfn.XLOOKUP(_xlfn.XLOOKUP(B305,'Base stats'!B:B,'Base stats'!E:E),Groups!A:A,Groups!AB:AB))</f>
        <v>No</v>
      </c>
      <c r="AH305" s="7" t="str">
        <f>IF(AD305="No","No",_xlfn.XLOOKUP(_xlfn.XLOOKUP(B305,'Base stats'!B:B,'Base stats'!E:E),Groups!A:A,Groups!AC:AC))</f>
        <v>No</v>
      </c>
      <c r="AI305" s="13" t="str">
        <f>IF(_xlfn.XLOOKUP(_xlfn.XLOOKUP(B305,'Base stats'!B:B,'Base stats'!E:E),Groups!A:A,Groups!AD:AD)=0,"No",MROUND((LOG10(_xlfn.XLOOKUP(B305,'Base stats'!B:B,'Base stats'!AS:AS))*(AO305^0.75)+(_xlfn.XLOOKUP(B305,'Base stats'!B:B,'Base stats'!AS:AS)/1000)^(2/3)+_xlfn.XLOOKUP(B305,'Base stats'!B:B,'Base stats'!AY:AY)+_xlfn.XLOOKUP(B305,'Base stats'!B:B,'Base stats'!BA:BA))+0.5,0.5))</f>
        <v>No</v>
      </c>
      <c r="AJ305" s="7" t="str">
        <f>IF(AI305="No","No",MAX(_xlfn.XLOOKUP(_xlfn.XLOOKUP(B305,'Base stats'!B:B,'Base stats'!E:E),Groups!A:A,Groups!AE:AE),MROUND(_xlfn.XLOOKUP(_xlfn.XLOOKUP(B305,'Base stats'!B:B,'Base stats'!E:E),Groups!A:A,Groups!AE:AE)*IF(_xlfn.XLOOKUP(_xlfn.XLOOKUP(B305,'Base stats'!B:B,'Base stats'!E:E),Groups!A:A,Groups!AJ:AJ)="Photonozoa",0.6,1)*_xlfn.XLOOKUP(B305,'Base stats'!B:B,'Base stats'!C:C)^0.165,0.05)))</f>
        <v>No</v>
      </c>
      <c r="AK305" s="7" t="str">
        <f>IF(AI305="No","No",_xlfn.XLOOKUP(_xlfn.XLOOKUP(B305,'Base stats'!B:B,'Base stats'!E:E),Groups!A:A,Groups!AF:AF))</f>
        <v>No</v>
      </c>
      <c r="AL305" s="7" t="str">
        <f>IF(AI305="No","No",_xlfn.XLOOKUP(_xlfn.XLOOKUP(B305,'Base stats'!B:B,'Base stats'!E:E),Groups!A:A,Groups!AG:AG))</f>
        <v>No</v>
      </c>
      <c r="AM305" s="7" t="str">
        <f>IF(AI305="No","No",_xlfn.XLOOKUP(_xlfn.XLOOKUP(B305,'Base stats'!B:B,'Base stats'!E:E),Groups!A:A,Groups!AH:AH))</f>
        <v>No</v>
      </c>
      <c r="AN305" s="2" t="str">
        <f t="shared" si="28"/>
        <v>No</v>
      </c>
      <c r="AO305" s="2">
        <f>MROUND(IF(AND(_xlfn.XLOOKUP(B305,'Base stats'!B:B,'Base stats'!C:C)&gt;=0.5,_xlfn.XLOOKUP(B305,'Base stats'!B:B,'Base stats'!C:C)&lt;=0.8),
IF(_xlfn.XLOOKUP(B305,'Base stats'!B:B,'Base stats'!C:C)&lt;0.1,0.05,IF(_xlfn.XLOOKUP(B305,'Base stats'!B:B,'Base stats'!C:C)&lt;=70,(_xlfn.XLOOKUP(B305,'Base stats'!B:B,'Base stats'!C:C)/70)^0.426489913056526,IF(_xlfn.XLOOKUP(B305,'Base stats'!B:B,'Base stats'!C:C)&lt;=400,(_xlfn.XLOOKUP(B305,'Base stats'!B:B,'Base stats'!C:C)/70)^0.572811455315093,IF(_xlfn.XLOOKUP(B305,'Base stats'!B:B,'Base stats'!C:C)&lt;=2000,2.71391647193063*(_xlfn.XLOOKUP(B305,'Base stats'!B:B,'Base stats'!C:C)/400)^0.252459582904293,3.74314280240376*(_xlfn.XLOOKUP(B305,'Base stats'!B:B,'Base stats'!C:C)/2000)^0.357012633876913)))),
IF(_xlfn.XLOOKUP(B305,'Base stats'!B:B,'Base stats'!C:C)&lt;0.1,0.05,IF(_xlfn.XLOOKUP(B305,'Base stats'!B:B,'Base stats'!C:C)&lt;0.4,0.1,IF(_xlfn.XLOOKUP(B305,'Base stats'!B:B,'Base stats'!C:C)&lt;=70,(_xlfn.XLOOKUP(B305,'Base stats'!B:B,'Base stats'!C:C)/70)^0.445823913056526,IF(_xlfn.XLOOKUP(B305,'Base stats'!B:B,'Base stats'!C:C)&lt;=400,(_xlfn.XLOOKUP(B305,'Base stats'!B:B,'Base stats'!C:C)/70)^0.572811455315093,IF(_xlfn.XLOOKUP(B305,'Base stats'!B:B,'Base stats'!C:C)&lt;=2000,2.71391647193063*(_xlfn.XLOOKUP(B305,'Base stats'!B:B,'Base stats'!C:C)/400)^0.252459582904293,3.74314280240376*(_xlfn.XLOOKUP(B305,'Base stats'!B:B,'Base stats'!C:C)/2000)^0.357012633876913)))))),
IF(_xlfn.XLOOKUP(B305,'Base stats'!B:B,'Base stats'!C:C)&lt;0.1,0.05,IF(_xlfn.XLOOKUP(B305,'Base stats'!B:B,'Base stats'!C:C)&lt;=100,0.05,IF(_xlfn.XLOOKUP(B305,'Base stats'!B:B,'Base stats'!C:C)&lt;=250,0.1,IF(_xlfn.XLOOKUP(B305,'Base stats'!B:B,'Base stats'!C:C)&lt;=4000,0.25,0.5)))))</f>
        <v>1.5</v>
      </c>
      <c r="AP305" s="8">
        <f>MROUND(AO305*_xlfn.XLOOKUP(_xlfn.XLOOKUP(B305,'Base stats'!B:B,'Base stats'!E:E),Groups!A:A,Groups!AI:AI)*_xlfn.XLOOKUP(B305,'Base stats'!B:B,'Base stats'!Z:Z),0.05)</f>
        <v>1.5</v>
      </c>
      <c r="AQ305" s="8">
        <f>MAX(0.01,MROUND(IF(CC305="True",0.196*(AO305*100*1000)^0.889,IF(_xlfn.XLOOKUP(_xlfn.XLOOKUP(B305,'Base stats'!B:B,'Base stats'!E:E),Groups!A:A,Groups!AJ:AJ)="Bird",10.5*(AO305*100*1000)^0.681,4.82*(AO305*100*1000)^0.734))/(4.82*(1*100*1000)^0.734)/IF(AO305&lt;3.5,2,IF(AO305=3.5,1.5,1.25))*(1+0.132282374779864/(AO305^0.994035016789033+0.00905238001496948)),0.05))</f>
        <v>0.75</v>
      </c>
      <c r="AR305" s="9">
        <f>IFERROR(MROUND(_xlfn.XLOOKUP(B305,'Base stats'!B:B,'Base stats'!H:H)/IF(_xlfn.XLOOKUP(B305,'Base stats'!B:B,'Base stats'!I:I)&lt;&gt;1,(122.5/70),1.2),IF(_xlfn.XLOOKUP(B305,'Base stats'!B:B,'Base stats'!H:H)&gt;=30,5,IF(_xlfn.XLOOKUP(B305,'Base stats'!B:B,'Base stats'!H:H)&gt;=15,3,IF(_xlfn.XLOOKUP(B305,'Base stats'!B:B,'Base stats'!H:H)&gt;=10,2,1)))),"Immortal")</f>
        <v>15</v>
      </c>
      <c r="AS305" s="35">
        <f>IFERROR(IF(OR(_xlfn.XLOOKUP(B305,'Base stats'!B:B,'Base stats'!F:F)="Atypical reproduction",_xlfn.XLOOKUP(B305,'Base stats'!B:B,'Base stats'!F:F)="Lay eggs"),"Lay eggs",MIN(20,MAX(5.5,ROUND(((_xlfn.XLOOKUP(B305,'Base stats'!B:B,'Base stats'!F:F)-25)*(14.5/615) + 5.5)*2,0)/2))),"Unknown")</f>
        <v>9</v>
      </c>
      <c r="AT305" s="8">
        <f>IF(_xlfn.XLOOKUP(B305,'Base stats'!B:B,'Base stats'!G:G)="Atypical reproduction","No",IFERROR(MAX(IF(_xlfn.XLOOKUP(B305,'Base stats'!B:B,'Base stats'!G:G)&lt;0.5,0.2,0.3),MROUND(_xlfn.XLOOKUP(B305,'Base stats'!B:B,'Base stats'!G:G)/(365/60),0.2)),"Unknown"))</f>
        <v>0.4</v>
      </c>
      <c r="AU305" s="8">
        <f t="shared" si="29"/>
        <v>0.2</v>
      </c>
      <c r="AV305" s="8">
        <f>IFERROR(IFERROR(MROUND(_xlfn.XLOOKUP(B305,'Base stats'!B:B,'Base stats'!J:J),0.1),"Lay eggs"),"Cannot breed")</f>
        <v>1</v>
      </c>
      <c r="AW305" s="2" t="str">
        <f t="shared" si="30"/>
        <v>true</v>
      </c>
      <c r="AX305" s="2" t="str">
        <f>IF(_xlfn.XLOOKUP(_xlfn.XLOOKUP(Animals!B305,'Base stats'!B:B,'Base stats'!E:E),Groups!A:A,Groups!AK:AK)=1,"true","false")</f>
        <v>true</v>
      </c>
      <c r="AY305" s="25" t="str">
        <f>IF(_xlfn.XLOOKUP(B305,'Base stats'!B:B,'Base stats'!Y:Y)="Liquor","Liquor, CarnivoreAnimalStrict",IF(AND(_xlfn.XLOOKUP(B305,'Base stats'!B:B,'Base stats'!Y:Y)="Carnivore",_xlfn.XLOOKUP(_xlfn.XLOOKUP(B305,'Base stats'!B:B,'Base stats'!E:E),Groups!A:A,Groups!AJ:AJ)="Photonozoa"),"CarnivoreAnimalStrict, OvivoreAnimal",IF(_xlfn.XLOOKUP(B305,'Base stats'!B:B,'Base stats'!Y:Y)="Carnivore","CarnivoreAnimal, OvivoreAnimal",IF(_xlfn.XLOOKUP(B305,'Base stats'!B:B,'Base stats'!Y:Y)="Dendrovore","VegetarianRoughAnimal, DendrovoreAnimal",IF(_xlfn.XLOOKUP(B305,'Base stats'!B:B,'Base stats'!Y:Y)="Herbivore","VegetarianRoughAnimal",IF(_xlfn.XLOOKUP(B305,'Base stats'!B:B,'Base stats'!Y:Y)="OmnivoreRough","OmnivoreRoughAnimal, OvivoreAnimal","OmnivoreAnimal, OvivoreAnimal"))))))</f>
        <v>VegetarianRoughAnimal</v>
      </c>
      <c r="AZ305" s="2">
        <f>IF(_xlfn.XLOOKUP(_xlfn.XLOOKUP(B305,'Base stats'!B:B,'Base stats'!E:E),Groups!A:A,Groups!D:D)=1,MROUND((1-J305)*5+1,2)*IF(J305&lt;=0.4,2,1),"No")</f>
        <v>4</v>
      </c>
      <c r="BA305" s="2" t="str">
        <f>IF(AND(_xlfn.XLOOKUP(B305,'Base stats'!B:B,'Base stats'!AH:AH)="&lt;li&gt;Seal&lt;/li&gt;",G305="Odyssey"),"&lt;li&gt;AEXP_Seal&lt;/li&gt;",_xlfn.XLOOKUP(B305,'Base stats'!B:B,'Base stats'!AH:AH))</f>
        <v>&lt;li&gt;Sheep&lt;/li&gt;</v>
      </c>
      <c r="BB305" s="2" t="str">
        <f>_xlfn.XLOOKUP(B305,'Base stats'!B:B,'Base stats'!AG:AG)</f>
        <v>Leather_Night</v>
      </c>
      <c r="BC305" s="23" t="str">
        <f>_xlfn.XLOOKUP(_xlfn.XLOOKUP(B305,'Base stats'!B:B,'Base stats'!E:E),Groups!A:A,Groups!AL:AL)</f>
        <v>QuadrupedAnimalWithHooves</v>
      </c>
      <c r="BD305" s="23">
        <f>MIN(1,MROUND(IF(AND(AO305&lt;0.5,_xlfn.XLOOKUP(B305,'Base stats'!B:B,'Base stats'!AA:AA)=0),0,IF(OR(_xlfn.XLOOKUP(Animals!B305,'Base stats'!B:B,'Base stats'!O:O)=2,_xlfn.XLOOKUP(_xlfn.XLOOKUP(B305,'Base stats'!B:B,'Base stats'!E:E),Groups!A:A,Groups!AN:AN)=0),0,_xlfn.XLOOKUP(_xlfn.XLOOKUP(B305,'Base stats'!B:B,'Base stats'!E:E),Groups!A:A,Groups!AN:AN)/IF(_xlfn.XLOOKUP(Animals!B305,'Base stats'!B:B,'Base stats'!O:O)=1,2,1)))+_xlfn.XLOOKUP(B305,'Base stats'!B:B,'Base stats'!AC:AC),0.005))</f>
        <v>0</v>
      </c>
      <c r="BE305" s="23">
        <f>MIN(1,MROUND(IF(AND(AO305&lt;0.5,_xlfn.XLOOKUP(B305,'Base stats'!B:B,'Base stats'!AA:AA)=0),0,IF(_xlfn.XLOOKUP(_xlfn.XLOOKUP(B305,'Base stats'!B:B,'Base stats'!E:E),Groups!A:A,Groups!AO:AO)=0,0,_xlfn.XLOOKUP(_xlfn.XLOOKUP(B305,'Base stats'!B:B,'Base stats'!E:E),Groups!A:A,Groups!AO:AO)/IF(_xlfn.XLOOKUP(Animals!B305,'Base stats'!B:B,'Base stats'!O:O)=2,3,1)))+_xlfn.XLOOKUP(B305,'Base stats'!B:B,'Base stats'!AD:AD),0.005))</f>
        <v>0</v>
      </c>
      <c r="BF305" s="2" t="str">
        <f>IF(J305&gt;0.3,"No",_xlfn.XLOOKUP(_xlfn.XLOOKUP(Animals!B305,'Base stats'!B:B,'Base stats'!E:E),Groups!A:A,Groups!AP:AP))</f>
        <v>No</v>
      </c>
      <c r="BG305" s="2" t="str">
        <f>IF(AND(J305&lt;=0.65,_xlfn.XLOOKUP(_xlfn.XLOOKUP(Animals!B305,'Base stats'!B:B,'Base stats'!E:E),Groups!A:A,Groups!AP:AP)&lt;&gt;"No",_xlfn.XLOOKUP(_xlfn.XLOOKUP(B305,'Base stats'!B:B,'Base stats'!E:E),Groups!A:A,Groups!D:D)=0),MROUND((80/3)*IF(_xlfn.XLOOKUP(B305,'Base stats'!B:B,'Base stats'!O:O)=2,0.2,AO305) + 24*(1-IF(BF305="No",0,BF305)) + 16/3, 12),"No")</f>
        <v>No</v>
      </c>
      <c r="BH305" s="2">
        <f>IF(AND(_xlfn.XLOOKUP(_xlfn.XLOOKUP(B305,'Base stats'!B:B,'Base stats'!E:E),Groups!A:A,Groups!AQ:AQ)=1,AO305&lt;=0.35),8,12)</f>
        <v>12</v>
      </c>
      <c r="BI305" s="2" t="str">
        <f>IF(_xlfn.XLOOKUP(_xlfn.XLOOKUP(B305,'Base stats'!B:B,'Base stats'!E:E),Groups!A:A,Groups!D:D)=0,_xlfn.XLOOKUP(_xlfn.XLOOKUP(B305,'Base stats'!B:B,'Base stats'!E:E),Groups!A:A,Groups!AR:AR),"None")</f>
        <v>None</v>
      </c>
      <c r="BJ305" s="2" t="str">
        <f>IF(AND(_xlfn.XLOOKUP(_xlfn.XLOOKUP(B305,'Base stats'!B:B,'Base stats'!E:E),Groups!A:A,Groups!AS:AS)=1,OR(_xlfn.XLOOKUP(B305,'Base stats'!B:B,'Base stats'!Y:Y)="Carnivore",_xlfn.XLOOKUP(B305,'Base stats'!B:B,'Base stats'!Y:Y)="Omnivore")),"true","false")</f>
        <v>false</v>
      </c>
      <c r="BK305" s="2" t="str">
        <f>IF(BJ305="true",MROUND(IF(AND(AO305&gt;0.5,OR(_xlfn.XLOOKUP(_xlfn.XLOOKUP(B305,'Base stats'!B:B,'Base stats'!E:E),Groups!A:A,Groups!AJ:AJ)="Photonozoa",_xlfn.XLOOKUP(_xlfn.XLOOKUP(B305,'Base stats'!B:B,'Base stats'!E:E),Groups!A:A,Groups!AJ:AJ)="Mammal")),Animals!AO305*1.75*IF(AW305="true",1.5,1),IF(AO305&lt;0.5,Animals!AO305*0.5,Animals!AO305)),IF(AO305&gt;2,0.5,IF(AO305&gt;0.5,0.25,0.1))),"No")</f>
        <v>No</v>
      </c>
      <c r="BL305" s="2">
        <f t="shared" si="31"/>
        <v>0</v>
      </c>
      <c r="BM305" s="25" t="str">
        <f>IF(_xlfn.XLOOKUP(B305,'Base stats'!B:B,'Base stats'!AN:AN)="Standard","No",MROUND((_xlfn.XLOOKUP(B305,'Base stats'!B:B,'Base stats'!AN:AN)/3.6)/I305,0.1))</f>
        <v>No</v>
      </c>
      <c r="BN305" s="25" t="str">
        <f t="shared" si="32"/>
        <v>false</v>
      </c>
      <c r="BO305" s="25" t="str">
        <f>IF(AND(OR(_xlfn.XLOOKUP(B305,'Base stats'!B:B,'Base stats'!Y:Y)="Carnivore",_xlfn.XLOOKUP(B305,'Base stats'!B:B,'Base stats'!Y:Y)="Omnivore",_xlfn.XLOOKUP(B305,'Base stats'!B:B,'Base stats'!Y:Y)="OmnivoreRough"),_xlfn.XLOOKUP(_xlfn.XLOOKUP(B305,'Base stats'!B:B,'Base stats'!E:E),Groups!A:A,Groups!AT:AT)=1),"true","false")</f>
        <v>false</v>
      </c>
      <c r="BP305" s="25" t="str" cm="1">
        <f t="array" ref="BP305">IF(
  _xlfn.TEXTJOIN(", ",TRUE,
    IF(AND(BJ305="true",AO305&gt;0.5,BI305&lt;&gt;"None"),"AttackTarget",""),
    IF(AND(_xlfn.XLOOKUP(_xlfn.XLOOKUP(B305,'Base stats'!B:B,'Base stats'!E:E),Groups!A:A,Groups!AJ:AJ="Mammal"),OR(_xlfn.XLOOKUP(B305,'Base stats'!B:B,'Base stats'!Y:Y)="Omnivore",_xlfn.XLOOKUP(B305,'Base stats'!B:B,'Base stats'!Y:Y)="OmnivoreRough")),"Forage",""),
    IF(BG305&lt;=36,"Comfort",""),
    IF(_xlfn.XLOOKUP(B305,'Base stats'!B:B,'Base stats'!AE:AE)&lt;&gt;"No",_xlfn.XLOOKUP(B305,'Base stats'!B:B,'Base stats'!AE:AE),"")
  ) = "",
  "No",
  _xlfn.TEXTJOIN(", ",TRUE,
    IF(AND(BJ305="true",AO305&gt;0.5,BI305&lt;&gt;"None"),"AttackTarget",""),
    IF(AND(_xlfn.XLOOKUP(_xlfn.XLOOKUP(B305,'Base stats'!B:B,'Base stats'!E:E),Groups!A:A,Groups!AJ:AJ="Mammal"),OR(_xlfn.XLOOKUP(B305,'Base stats'!B:B,'Base stats'!Y:Y)="Omnivore",_xlfn.XLOOKUP(B305,'Base stats'!B:B,'Base stats'!Y:Y)="OmnivoreRough")),"Forage",""),
    IF(BG305&lt;=36,"Comfort",""),
    IF(_xlfn.XLOOKUP(B305,'Base stats'!B:B,'Base stats'!AE:AE)&lt;&gt;"No",_xlfn.XLOOKUP(B305,'Base stats'!B:B,'Base stats'!AE:AE),"")
  )
)</f>
        <v>No</v>
      </c>
      <c r="BQ305" s="25" t="str">
        <f>IF(
   AND(
      'Base stats'!AN305="Standard",_xlfn.XLOOKUP(_xlfn.XLOOKUP(B305,'Base stats'!B:B,'Base stats'!E:E),Groups!A:A,Groups!AU:AU)=0,
      OR(
      BO305="True"
      )
   ),
   10,
   IF(
       OR(BM305&lt;&gt;"No",_xlfn.XLOOKUP(_xlfn.XLOOKUP(B305,'Base stats'!B:B,'Base stats'!E:E),Groups!A:A,Groups!AU:AU)=1),
      1,
      "No"
   )
)</f>
        <v>No</v>
      </c>
      <c r="BR305" s="9">
        <f>MROUND((1 + ((0.2*IF(OR(Q305="No",R305="No",R305=0),0,Q305/R305)
+IF(OR(V305="No",S305="No",T305="No"),0,S305/T305*(LEN(V305)-LEN(SUBSTITUTE(V305,",",""))+1))
+IF(OR(X305="No",Y305="No"),0,X305/Y305)
+IF(OR(AD305="No",AE305="No"),0,AD305/AE305)
+IF(OR(AL305="No",AI305="No",AJ305="No"),0,AI305/AJ305*(LEN(AL305)-LEN(SUBSTITUTE(AL305,",",""))+1))
)/(0.2*IF(OR(Q305="No",R305="No",R305=0),0,1)
+IF(OR(V305="No",S305="No",T305="No"),0,LEN(V305)-LEN(SUBSTITUTE(V305,",",""))+1)
+IF(OR(X305="No",Y305="No"),0,1)
+IF(OR(AD305="No",AE305="No"),0,1)
+IF(OR(AL305="No",AI305="No",AJ305="No"),0,LEN(AL305)-LEN(SUBSTITUTE(AL305,",",""))+1))*62%)* 2)*(1 + (AP305 / (IF(_xlfn.XLOOKUP(_xlfn.XLOOKUP(B305,'Base stats'!B:B,'Base stats'!E:E),Groups!A:A,Groups!AJ:AJ)="Photonozoa",0.3,1)) + _xlfn.XLOOKUP(B305,'Base stats'!B:B,'Base stats'!AV:AV) * 1.8) * 2) * 2.5 + 10 + I305 * 2,5)+IF(_xlfn.XLOOKUP(B305,'Base stats'!B:B,'Base stats'!AK:AK)=1,50,0)</f>
        <v>105</v>
      </c>
      <c r="BS305" s="8">
        <f t="shared" si="33"/>
        <v>0.9</v>
      </c>
      <c r="BT305" s="8" t="str">
        <f>_xlfn.XLOOKUP(B305,'Base stats'!B:B,'Base stats'!AF:AF)</f>
        <v>3~10</v>
      </c>
      <c r="BU305" s="2" t="str">
        <f>IF(AND(J305&lt;=0.95,OR(_xlfn.XLOOKUP(B305,'Base stats'!B:B,'Base stats'!AK:AK)=1,_xlfn.XLOOKUP(B305,'Base stats'!B:B,'Base stats'!Y:Y)="Carnivore",_xlfn.XLOOKUP(B305,'Base stats'!B:B,'Base stats'!Y:Y)="Omnivore",BE305&gt;0.1)),"true","false")</f>
        <v>false</v>
      </c>
      <c r="BV305" s="2" t="str">
        <f>IF(_xlfn.XLOOKUP(B305,'Base stats'!B:B,'Base stats'!AI:AI)=1,"true","false")</f>
        <v>false</v>
      </c>
      <c r="BW305" s="25" t="str">
        <f>IF(E305="BaseInsect","AnimalInsect",
IF(J305&gt;0.95,"AnimalExotic",
_xlfn.TEXTJOIN(", ",TRUE,
IF(OR(_xlfn.XLOOKUP(B305,'Base stats'!B:B,'Base stats'!AM:AM)=1,AND(_xlfn.XLOOKUP(B305,'Base stats'!B:B,'Base stats'!O:O)=0,_xlfn.XLOOKUP(_xlfn.XLOOKUP(B305,'Base stats'!B:B,'Base stats'!E:E),Groups!A:A,Groups!B:B)&gt;0)),"AnimalUncommon","AnimalCommon"),
IF(AND(_xlfn.XLOOKUP(B305,'Base stats'!B:B,'Base stats'!O:O)=2,_xlfn.XLOOKUP(_xlfn.XLOOKUP(B305,'Base stats'!B:B,'Base stats'!E:E),Groups!A:A,Groups!D:D)=0),"AnimalPet",IF(AND(_xlfn.XLOOKUP(B305,'Base stats'!B:B,'Base stats'!O:O)&lt;&gt;0,_xlfn.XLOOKUP(_xlfn.XLOOKUP(B305,'Base stats'!B:B,'Base stats'!E:E),Groups!A:A,Groups!D:D)&lt;&gt;0),"AnimalFarm","")),
IF(OR(_xlfn.XLOOKUP(B305,'Base stats'!B:B,'Base stats'!AK:AK)=1,AND(BI305&lt;&gt;"None",BR305&gt;=60),ISNUMBER(SEARCH("Attack target",BP305))),"AnimalFighter","")
)))</f>
        <v>AnimalCommon</v>
      </c>
      <c r="BX305" s="25" t="str">
        <f>IF(G305="None",TRIM(
SUBSTITUTE(
IF(COUNTIF(Biomes!B$2:B$259,"="&amp;$C305)&gt;0,Biomes!B$1&amp;", ","")&amp;
IF(COUNTIF(Biomes!C$2:C$259,"="&amp;$C305)&gt;0,Biomes!C$1&amp;", ","")&amp;
IF(COUNTIF(Biomes!D$2:D$259,"="&amp;$C305)&gt;0,Biomes!D$1&amp;", ","")&amp;
IF(COUNTIF(Biomes!F$2:F$259,"="&amp;$C305)&gt;0,Biomes!F$1&amp;", ","")&amp;
IF(COUNTIF(Biomes!G$2:G$259,"="&amp;$C305)&gt;0,Biomes!G$1&amp;", ","")&amp;
IF(COUNTIF(Biomes!H$2:H$259,"="&amp;$C305)&gt;0,Biomes!H$1&amp;", ","")&amp;
IF(COUNTIF(Biomes!I$2:I$259,"="&amp;$C305)&gt;0,Biomes!I$1&amp;", ","")&amp;
IF(COUNTIF(Biomes!J$2:J$259,"="&amp;$C305)&gt;0,Biomes!J$1&amp;", ","")&amp;
IF(COUNTIF(Biomes!M$2:M$259,"="&amp;$C305)&gt;0,Biomes!M$1&amp;", ","")&amp;
IF(COUNTIF(Biomes!N$2:N$259,"="&amp;$C305)&gt;0,Biomes!N$1&amp;", ","")&amp;
IF(COUNTIF(Biomes!O$2:O$259,"="&amp;$C305)&gt;0,Biomes!O$1&amp;", ","")&amp;
IF(COUNTIF(Biomes!P$2:P$259,"="&amp;$C305)&gt;0,Biomes!P$1&amp;", ","")&amp;
IF(COUNTIF(Biomes!K$2:K$259,"="&amp;$C305)&gt;0,Biomes!K$1&amp;", ","")&amp;
IF(COUNTIF(Biomes!Q$3:Q$259,"="&amp;$C305)&gt;0,Biomes!Q$1&amp;", ","")&amp;
IF(COUNTIF(Biomes!L$2:L$259,"="&amp;$C305)&gt;0,Biomes!L$1&amp;", ","")&amp;
IF(COUNTIF(Biomes!E$2:E$259,"="&amp;$C305)&gt;0,Biomes!E$1&amp;", ","")&amp;IF(COUNTIF(Biomes!S$2:S$259,"="&amp;$C305)&gt;0,Biomes!S$1&amp;", ","")&amp;
IF(COUNTIF(Biomes!R$2:R$259,"="&amp;$C305)&gt;0,Biomes!R$1&amp;", ",""),", ","")
),_xlfn.XLOOKUP(B305,B:B,BX:BX))</f>
        <v>Glowforest</v>
      </c>
      <c r="BY305" s="25" t="str">
        <f>IF(_xlfn.XLOOKUP(B305,'Base stats'!B:B,'Base stats'!AJ:AJ)=1,"true","false")</f>
        <v>false</v>
      </c>
      <c r="BZ305" s="25">
        <f>IF(_xlfn.XLOOKUP(B305,'Base stats'!B:B,'Base stats'!N:N)=1,"No",MAX(0.001,MIN(MROUND(IF(AND(BJ305="True",CC305="False"),POWER(10,3.47*LOG10(_xlfn.XLOOKUP(B305,'Base stats'!B:B,'Base stats'!C:C)*1000)^-0.96),POWER(10,4.15*LOG10(_xlfn.XLOOKUP(B305,'Base stats'!B:B,'Base stats'!C:C)*1000)^-0.73))*IF(_xlfn.XLOOKUP(B305,'Base stats'!B:B,'Base stats'!AK:AK)=1,0.5,1)*IF(_xlfn.XLOOKUP(B305,'Base stats'!B:B,'Base stats'!AM:AM)=1,0.1,1)/100,IF(_xlfn.XLOOKUP(B305,'Base stats'!B:B,'Base stats'!AM:AM)=1,0.001,0.025)),0.5)))</f>
        <v>0.17500000000000002</v>
      </c>
      <c r="CA305" s="25" t="str">
        <f>IF(P305="Standard","No",MAX(0.001,MIN(MROUND(IF(AND(BJ305="True",CC305="False"),POWER(10,3.47*LOG10(_xlfn.XLOOKUP(B305,'Base stats'!B:B,'Base stats'!C:C)*1000)^-0.96),POWER(10,4.15*LOG10(_xlfn.XLOOKUP(B305,'Base stats'!B:B,'Base stats'!C:C)*1000)^-0.73))*IF(_xlfn.XLOOKUP(B305,'Base stats'!B:B,'Base stats'!AM:AM)=1,0.1,1)*_xlfn.XLOOKUP(B305,'Base stats'!B:B,'Base stats'!R:R)/100,IF(_xlfn.XLOOKUP(B305,'Base stats'!B:B,'Base stats'!AM:AM)=1,0.001,0.025)),0.5)))</f>
        <v>No</v>
      </c>
      <c r="CB305" s="25" t="str">
        <f>IF(_xlfn.XLOOKUP(_xlfn.XLOOKUP(B305,'Base stats'!B:B,'Base stats'!E:E),Groups!A:A,Groups!AJ:AJ)="Mammal","True","False")</f>
        <v>True</v>
      </c>
      <c r="CC305" s="25" t="str">
        <f>IF(OR(_xlfn.XLOOKUP(_xlfn.XLOOKUP(B305,'Base stats'!B:B,'Base stats'!E:E),Groups!A:A,Groups!AJ:AJ)="Reptile",_xlfn.XLOOKUP(_xlfn.XLOOKUP(B305,'Base stats'!B:B,'Base stats'!E:E),Groups!A:A,Groups!AJ:AJ)="Amphibian",_xlfn.XLOOKUP(_xlfn.XLOOKUP(B305,'Base stats'!B:B,'Base stats'!E:E),Groups!A:A,Groups!AJ:AJ)="Invertebrate"),"True","False")</f>
        <v>False</v>
      </c>
      <c r="CD305" s="25" t="str">
        <f t="shared" si="34"/>
        <v>False</v>
      </c>
      <c r="CE305" s="25" t="str">
        <f>IF(_xlfn.XLOOKUP(_xlfn.XLOOKUP(B305,'Base stats'!B:B,'Base stats'!E:E),Groups!A:A,Groups!AX:AX),"True","False")</f>
        <v>False</v>
      </c>
      <c r="CF305" s="25" t="str">
        <f>IF(_xlfn.XLOOKUP(_xlfn.XLOOKUP(B305,'Base stats'!B:B,'Base stats'!E:E),Groups!A:A,Groups!AY:AY),"True","False")</f>
        <v>False</v>
      </c>
      <c r="CG305" s="25" t="str">
        <f>IF(_xlfn.XLOOKUP(_xlfn.XLOOKUP(B305,'Base stats'!B:B,'Base stats'!E:E),Groups!A:A,Groups!AW:AW),"True","False")</f>
        <v>False</v>
      </c>
      <c r="CH305" s="25" t="str">
        <f>IF(
OR(
_xlfn.XLOOKUP(_xlfn.XLOOKUP(B305,'Base stats'!B:B,'Base stats'!E:E),Groups!A:A,Groups!AZ:AZ)=0,
AND(
_xlfn.XLOOKUP(B305,'Base stats'!B:B,'Base stats'!Y:Y)&lt;&gt;"Carnivore",
_xlfn.XLOOKUP(B305,'Base stats'!B:B,'Base stats'!Y:Y)&lt;&gt;"Omnivore",
_xlfn.XLOOKUP(B305,'Base stats'!B:B,'Base stats'!Y:Y)&lt;&gt;"OmnivoreRough"
)
),
"No",
IF(
_xlfn.XLOOKUP(_xlfn.XLOOKUP(B305,'Base stats'!B:B,'Base stats'!E:E),Groups!A:A,Groups!AZ:AZ)=1,
"Flesh",
IF(
_xlfn.XLOOKUP(_xlfn.XLOOKUP(B305,'Base stats'!B:B,'Base stats'!E:E),Groups!A:A,Groups!AZ:AZ)=2,
"Bone",
""
)
)
)</f>
        <v>No</v>
      </c>
      <c r="CI305" s="25" t="str">
        <f>IF(_xlfn.XLOOKUP(_xlfn.XLOOKUP(B305,'Base stats'!B:B,'Base stats'!E:E),Groups!A:A,Groups!BB:BB),"True","False")</f>
        <v>True</v>
      </c>
      <c r="CJ305" s="25" t="str">
        <f>IF(_xlfn.XLOOKUP(_xlfn.XLOOKUP(B305,'Base stats'!B:B,'Base stats'!E:E),Groups!A:A,Groups!BA:BA),"True","False")</f>
        <v>False</v>
      </c>
    </row>
    <row r="306" spans="1:88" ht="16.5" thickTop="1" thickBot="1" x14ac:dyDescent="0.3">
      <c r="A306" s="26" t="s">
        <v>1524</v>
      </c>
      <c r="B306" s="6" t="str">
        <f>_xlfn.XLOOKUP(A306,'Base stats'!A:A,'Base stats'!B:B)</f>
        <v>Noctiluca ferox</v>
      </c>
      <c r="C306" s="28" t="s">
        <v>1525</v>
      </c>
      <c r="D306" s="28" t="s">
        <v>1341</v>
      </c>
      <c r="E306" s="28" t="s">
        <v>673</v>
      </c>
      <c r="F306" s="28" t="s">
        <v>673</v>
      </c>
      <c r="G306" s="28" t="s">
        <v>673</v>
      </c>
      <c r="H306" s="2">
        <f>MROUND((
  (IF(AND(_xlfn.XLOOKUP(B306,'Base stats'!B:B,'Base stats'!AL:AL)=0,BI306="None",_xlfn.XLOOKUP(_xlfn.XLOOKUP(B306,'Base stats'!B:B,'Base stats'!E:E),Groups!A:A,Groups!B:B)=0), (18 + BR306 * 2.7) * 0.5,
    IF(AND(_xlfn.XLOOKUP(B306,'Base stats'!B:B,'Base stats'!AL:AL)=0,OR(AO306&lt;0.55,AND(BI306="Intermediate",_xlfn.XLOOKUP(_xlfn.XLOOKUP(B306,'Base stats'!B:B,'Base stats'!E:E),Groups!A:A,Groups!B:B)&lt;2))), (18 + BR306 * 2.7),
      IF(OR(BI306="Advanced",_xlfn.XLOOKUP(B306,'Base stats'!B:B,'Base stats'!AL:AL)=1,_xlfn.XLOOKUP(_xlfn.XLOOKUP(B306,'Base stats'!B:B,'Base stats'!E:E),Groups!A:A,Groups!B:B)=2), (18 + BR306 * 2.7) + 250, (18 + BR306 * 2.7))
    )
  ))
  + AO306 * 80
  + IF(COUNTIF(EggMilk!K$2:K$998, A306) &gt; 0, 125, 0)
  + IF(COUNTIF(EggMilk!P$2:P$998, A306) &gt; 0, 90, 0)
  + IF(COUNTIF(EggMilk!A$2:A$998, A306) &gt; 0, 90, 0)
)
* (0.8 + 0.4 * J306)
* 0.75,25)</f>
        <v>375</v>
      </c>
      <c r="I306" s="2">
        <f>MROUND(ROUNDDOWN(_xlfn.XLOOKUP(B306,'Base stats'!B:B,'Base stats'!L:L)/3.6/(23.3/11),1),0.5)</f>
        <v>8.5</v>
      </c>
      <c r="J306" s="2">
        <f>IF(OR(_xlfn.XLOOKUP(B306,'Base stats'!B:B,'Base stats'!AB:AB)=1,_xlfn.XLOOKUP(_xlfn.XLOOKUP(B306,'Base stats'!B:B,'Base stats'!E:E),Groups!A:A,Groups!C:C)="Untamable"),1,IF(_xlfn.XLOOKUP(B306,'Base stats'!B:B,'Base stats'!AL:AL)=1,0.99,MIN(MROUND((1-0.6282*EXP(-0.459*AO306))*_xlfn.XLOOKUP(_xlfn.XLOOKUP(B306,'Base stats'!B:B,'Base stats'!E:E),Groups!A:A,Groups!C:C)*IF(_xlfn.XLOOKUP(B306,'Base stats'!B:B,'Base stats'!O:O)=1,0.5,IF(_xlfn.XLOOKUP(B306,'Base stats'!B:B,'Base stats'!O:O)=2,0,1)),0.05),IF(AO306&gt;3.5,0.985,0.95))))</f>
        <v>0.8</v>
      </c>
      <c r="K306" s="2">
        <f>ROUNDUP(AO306*_xlfn.XLOOKUP(_xlfn.XLOOKUP(B306,'Base stats'!B:B,'Base stats'!E:E),Groups!A:A,Groups!E:E),0)</f>
        <v>2</v>
      </c>
      <c r="L306" s="2">
        <f>IF(OR(_xlfn.XLOOKUP(_xlfn.XLOOKUP(B306,'Base stats'!B:B,'Base stats'!E:E),Groups!A:A,Groups!F:F)=2,ISNUMBER(SEARCH("SeaIce",BX306)),ISNUMBER(SEARCH("IceSheet",BX306))),-50,IF(OR(ISNUMBER(SEARCH("GlacialPlain",BX306)),ISNUMBER(SEARCH("Tundra",BX306))),-40,IF(OR(ISNUMBER(SEARCH("Alpine",BX306)),ISNUMBER(SEARCH("BorealForest",BX306)),ISNUMBER(SEARCH("ColdBog",BX306))),-30,IF(OR(ISNUMBER(SEARCH("TemperateForest",BX306)),ISNUMBER(SEARCH("TemperateSwamp",BX306))),-20,IF(_xlfn.XLOOKUP(_xlfn.XLOOKUP(B306,'Base stats'!B:B,'Base stats'!E:E),Groups!A:A,Groups!F:F)=1,-15,IF(OR(ISNUMBER(SEARCH("Desert",BX306)),ISNUMBER(SEARCH("ExtremeDesert",BX306))),-10,IF(OR(ISNUMBER(SEARCH("Grasslands",BX306)),ISNUMBER(SEARCH("TropicalRainforest",BX306)),ISNUMBER(SEARCH("TropicalSwamp",BX306))),10,0)))))))-IF(CC306="False",MIN(IFERROR(MAX(MROUND(LOG10(_xlfn.XLOOKUP(B306,'Base stats'!B:B,'Base stats'!C:C)^(2/3))*10,5),5),5),30))-_xlfn.XLOOKUP(B306,'Base stats'!B:B,'Base stats'!P:P)+IF(CC306="True",5,0)</f>
        <v>-30</v>
      </c>
      <c r="M306" s="2">
        <f>IF(OR(_xlfn.XLOOKUP(_xlfn.XLOOKUP(B306,'Base stats'!B:B,'Base stats'!E:E),Groups!A:A,Groups!G:G)=2,ISNUMBER(SEARCH("Desert",BX306)),ISNUMBER(SEARCH("ExtremeDesert",BX306)),ISNUMBER(SEARCH("LavaField",BX306))),50,IF(ISNUMBER(SEARCH("Grasslands",BX306)),45,IF(OR(_xlfn.XLOOKUP(_xlfn.XLOOKUP(B306,'Base stats'!B:B,'Base stats'!E:E),Groups!A:A,Groups!G:G)=1,ISNUMBER(SEARCH("TropicalRainforest",BX306)),ISNUMBER(SEARCH("TropicalSwamp",BX306))),40,IF(OR(ISNUMBER(SEARCH("TemperateForest",BX306)),ISNUMBER(SEARCH("TemperateSwamp",BX306))),35,IF(OR(ISNUMBER(SEARCH("Alpine",BX306)),ISNUMBER(SEARCH("BorealForest",BX306)),ISNUMBER(SEARCH("ColdBog",BX306))),30,IF(ISNUMBER(OR(ISNUMBER(SEARCH("GlacialPlain",BX306)),SEARCH("Tundra",BX306))),25,IF(OR(ISNUMBER(SEARCH("SeaIce",BX306)),ISNUMBER(SEARCH("IceSheet",BX306)),ISNUMBER(SEARCH("TropicalSwamp",BX306))),10,35)))))))+_xlfn.XLOOKUP(B306,'Base stats'!B:B,'Base stats'!Q:Q)</f>
        <v>35</v>
      </c>
      <c r="N306" s="8" t="str">
        <f>IF(
_xlfn.XLOOKUP(
_xlfn.XLOOKUP(B306,'Base stats'!B:B,'Base stats'!E:E),
Groups!A:A,
Groups!L:L
)=1,
MIN(
MROUND(
IF(
_xlfn.XLOOKUP(B306,'Animals CE'!B:B,'Animals CE'!Z:Z)&lt;=1.5,
_xlfn.XLOOKUP(B306,'Animals CE'!B:B,'Animals CE'!Z:Z)/2+0.05,
0.8+
(_xlfn.XLOOKUP(B306,'Animals CE'!B:B,'Animals CE'!Z:Z)-1.5)
*0.02
),
0.05
),
200%
),
"No"
)</f>
        <v>No</v>
      </c>
      <c r="O306" s="8" t="str">
        <f>IF(
_xlfn.XLOOKUP(
_xlfn.XLOOKUP(B306,'Base stats'!B:B,'Base stats'!E:E),
Groups!A:A,
Groups!L:L
)=1,
MIN(
MROUND(
IF(
_xlfn.XLOOKUP(B306,'Animals CE'!B:B,'Animals CE'!AA:AA)&lt;=1.5,
_xlfn.XLOOKUP(B306,'Animals CE'!B:B,'Animals CE'!AA:AA)/2+0.05,
0.8+
(_xlfn.XLOOKUP(B306,'Animals CE'!B:B,'Animals CE'!AA:AA)-1.5)
*0.02
),
0.05
),
200%
),
"No"
)</f>
        <v>No</v>
      </c>
      <c r="P306" s="2" t="str">
        <f>_xlfn.XLOOKUP(B306,'Base stats'!B:B,'Base stats'!R:R)</f>
        <v>Standard</v>
      </c>
      <c r="Q306" s="13">
        <f>MROUND((LOG10(_xlfn.XLOOKUP(B306,'Base stats'!B:B,'Base stats'!AR:AR))*(AO306^0.5)+(_xlfn.XLOOKUP(B306,'Base stats'!B:B,'Base stats'!AR:AR)/1000)^(2/3)+_xlfn.XLOOKUP(B306,'Base stats'!B:B,'Base stats'!BA:BA)/2)+0.5,0.5)</f>
        <v>7.5</v>
      </c>
      <c r="R306" s="7">
        <f>IF(Q306="No","No",MAX(1,MROUND(_xlfn.XLOOKUP(B306,'Base stats'!B:B,'Base stats'!C:C)^0.165,0.05)))</f>
        <v>2.1</v>
      </c>
      <c r="S306" s="13" t="str">
        <f>IF(_xlfn.XLOOKUP(_xlfn.XLOOKUP(B306,'Base stats'!B:B,'Base stats'!E:E),Groups!A:A,Groups!P:P)=0,"No",MROUND((LOG10(_xlfn.XLOOKUP(B306,'Base stats'!B:B,'Base stats'!AS:AS))*(AO306^0.5)+(_xlfn.XLOOKUP(B306,'Base stats'!B:B,'Base stats'!AS:AS)/1000)^(2/3)+_xlfn.XLOOKUP(B306,'Base stats'!B:B,'Base stats'!BA:BA))+_xlfn.XLOOKUP(B306,'Base stats'!B:B,'Base stats'!AY:AY)+0.5,0.5))</f>
        <v>No</v>
      </c>
      <c r="T306" s="7" t="str">
        <f>IF(S306="No","No",MAX(_xlfn.XLOOKUP(_xlfn.XLOOKUP(B306,'Base stats'!B:B,'Base stats'!E:E),Groups!A:A,Groups!Q:Q),MROUND(_xlfn.XLOOKUP(_xlfn.XLOOKUP(B306,'Base stats'!B:B,'Base stats'!E:E),Groups!A:A,Groups!Q:Q)*_xlfn.XLOOKUP(B306,'Base stats'!B:B,'Base stats'!C:C)^0.165,0.05)))</f>
        <v>No</v>
      </c>
      <c r="U306" s="7" t="str">
        <f>IF(S306="No","No",_xlfn.XLOOKUP(_xlfn.XLOOKUP(B306,'Base stats'!B:B,'Base stats'!E:E),Groups!A:A,Groups!R:R))</f>
        <v>No</v>
      </c>
      <c r="V306" s="7" t="str">
        <f>IF(S306="No","No",_xlfn.XLOOKUP(_xlfn.XLOOKUP(B306,'Base stats'!B:B,'Base stats'!E:E),Groups!A:A,Groups!S:S))</f>
        <v>No</v>
      </c>
      <c r="W306" s="7" t="str">
        <f>IF(S306="No","No",_xlfn.XLOOKUP(_xlfn.XLOOKUP(B306,'Base stats'!B:B,'Base stats'!E:E),Groups!A:A,Groups!T:T))</f>
        <v>No</v>
      </c>
      <c r="X306" s="13" t="str">
        <f>IF(_xlfn.XLOOKUP(B306,'Base stats'!B:B,'Base stats'!W:W)="No","No",MROUND((LOG10(_xlfn.XLOOKUP(B306,'Base stats'!B:B,'Base stats'!AU:AU))*(AO306^0.5)+(_xlfn.XLOOKUP(B306,'Base stats'!B:B,'Base stats'!AU:AU)/1000)^(2/3)+_xlfn.XLOOKUP(B306,'Base stats'!B:B,'Base stats'!AZ:AZ))+0.5+IF(_xlfn.XLOOKUP(_xlfn.XLOOKUP(B306,'Base stats'!B:B,'Base stats'!E:E),Groups!A:A,Groups!U:U)&lt;&gt;3,_xlfn.XLOOKUP(B306,'Base stats'!B:B,'Base stats'!BA:BA),0),0.5))</f>
        <v>No</v>
      </c>
      <c r="Y306" s="7" t="str">
        <f>IF(X306="No","No",MAX(_xlfn.XLOOKUP(_xlfn.XLOOKUP(B306,'Base stats'!B:B,'Base stats'!E:E),Groups!A:A,Groups!V:V),MROUND(_xlfn.XLOOKUP(_xlfn.XLOOKUP(B306,'Base stats'!B:B,'Base stats'!E:E),Groups!A:A,Groups!V:V)*_xlfn.XLOOKUP(B306,'Base stats'!B:B,'Base stats'!C:C)^0.165,0.05)))</f>
        <v>No</v>
      </c>
      <c r="Z306" s="7" t="str">
        <f>IF(X306="No","No",_xlfn.XLOOKUP(_xlfn.XLOOKUP(B306,'Base stats'!B:B,'Base stats'!E:E),Groups!A:A,Groups!W:W))</f>
        <v>No</v>
      </c>
      <c r="AA306" s="7" t="str">
        <f>IF(X306="No","No",_xlfn.XLOOKUP(_xlfn.XLOOKUP(B306,'Base stats'!B:B,'Base stats'!E:E),Groups!A:A,Groups!X:X))</f>
        <v>No</v>
      </c>
      <c r="AB306" s="7" t="str">
        <f>IF(X306="No","No",_xlfn.XLOOKUP(_xlfn.XLOOKUP(B306,'Base stats'!B:B,'Base stats'!E:E),Groups!A:A,Groups!Y:Y))</f>
        <v>No</v>
      </c>
      <c r="AC306" s="7" t="str">
        <f>_xlfn.XLOOKUP(Animals!B306,'Base stats'!B:B,'Base stats'!X:X)</f>
        <v>False</v>
      </c>
      <c r="AD306" s="13">
        <f>IF(_xlfn.XLOOKUP(B306,'Base stats'!B:B,'Base stats'!AT:AT)="No","No",MROUND((LOG10(_xlfn.XLOOKUP(B306,'Base stats'!B:B,'Base stats'!AT:AT))*(AO306^0.75)+(_xlfn.XLOOKUP(B306,'Base stats'!B:B,'Base stats'!AT:AT)/1000)^(2/3)+_xlfn.XLOOKUP(B306,'Base stats'!B:B,'Base stats'!AX:AX)+_xlfn.XLOOKUP(B306,'Base stats'!B:B,'Base stats'!BA:BA))+0.5,0.5))</f>
        <v>13</v>
      </c>
      <c r="AE306" s="7">
        <f>IF(AD306="No","No",MAX(_xlfn.XLOOKUP(_xlfn.XLOOKUP(B306,'Base stats'!B:B,'Base stats'!E:E),Groups!A:A,Groups!Z:Z),MROUND(_xlfn.XLOOKUP(_xlfn.XLOOKUP(B306,'Base stats'!B:B,'Base stats'!E:E),Groups!A:A,Groups!Z:Z)*_xlfn.XLOOKUP(B306,'Base stats'!B:B,'Base stats'!C:C)^0.165,0.05)))</f>
        <v>1.6500000000000001</v>
      </c>
      <c r="AF306" s="7" t="str">
        <f>IF(AD306="No","No",_xlfn.XLOOKUP(_xlfn.XLOOKUP(B306,'Base stats'!B:B,'Base stats'!E:E),Groups!A:A,Groups!AA:AA))</f>
        <v>Teeth</v>
      </c>
      <c r="AG306" s="7" t="str">
        <f>IF(AD306="No","No",_xlfn.XLOOKUP(_xlfn.XLOOKUP(B306,'Base stats'!B:B,'Base stats'!E:E),Groups!A:A,Groups!AB:AB))</f>
        <v>canines</v>
      </c>
      <c r="AH306" s="7" t="str">
        <f>IF(AD306="No","No",_xlfn.XLOOKUP(_xlfn.XLOOKUP(B306,'Base stats'!B:B,'Base stats'!E:E),Groups!A:A,Groups!AC:AC))</f>
        <v>Bite</v>
      </c>
      <c r="AI306" s="13">
        <f>IF(_xlfn.XLOOKUP(_xlfn.XLOOKUP(B306,'Base stats'!B:B,'Base stats'!E:E),Groups!A:A,Groups!AD:AD)=0,"No",MROUND((LOG10(_xlfn.XLOOKUP(B306,'Base stats'!B:B,'Base stats'!AS:AS))*(AO306^0.75)+(_xlfn.XLOOKUP(B306,'Base stats'!B:B,'Base stats'!AS:AS)/1000)^(2/3)+_xlfn.XLOOKUP(B306,'Base stats'!B:B,'Base stats'!AY:AY)+_xlfn.XLOOKUP(B306,'Base stats'!B:B,'Base stats'!BA:BA))+0.5,0.5))</f>
        <v>12</v>
      </c>
      <c r="AJ306" s="7">
        <f>IF(AI306="No","No",MAX(_xlfn.XLOOKUP(_xlfn.XLOOKUP(B306,'Base stats'!B:B,'Base stats'!E:E),Groups!A:A,Groups!AE:AE),MROUND(_xlfn.XLOOKUP(_xlfn.XLOOKUP(B306,'Base stats'!B:B,'Base stats'!E:E),Groups!A:A,Groups!AE:AE)*IF(_xlfn.XLOOKUP(_xlfn.XLOOKUP(B306,'Base stats'!B:B,'Base stats'!E:E),Groups!A:A,Groups!AJ:AJ)="Photonozoa",0.6,1)*_xlfn.XLOOKUP(B306,'Base stats'!B:B,'Base stats'!C:C)^0.165,0.05)))</f>
        <v>1.35</v>
      </c>
      <c r="AK306" s="7" t="str">
        <f>IF(AI306="No","No",_xlfn.XLOOKUP(_xlfn.XLOOKUP(B306,'Base stats'!B:B,'Base stats'!E:E),Groups!A:A,Groups!AF:AF))</f>
        <v>FrontLeftPaw, FrontRightPaw</v>
      </c>
      <c r="AL306" s="7" t="str">
        <f>IF(AI306="No","No",_xlfn.XLOOKUP(_xlfn.XLOOKUP(B306,'Base stats'!B:B,'Base stats'!E:E),Groups!A:A,Groups!AG:AG))</f>
        <v>left claw, right claw</v>
      </c>
      <c r="AM306" s="7" t="str">
        <f>IF(AI306="No","No",_xlfn.XLOOKUP(_xlfn.XLOOKUP(B306,'Base stats'!B:B,'Base stats'!E:E),Groups!A:A,Groups!AH:AH))</f>
        <v>Scratch</v>
      </c>
      <c r="AN306" s="2">
        <f t="shared" si="28"/>
        <v>20</v>
      </c>
      <c r="AO306" s="2">
        <f>MROUND(IF(AND(_xlfn.XLOOKUP(B306,'Base stats'!B:B,'Base stats'!C:C)&gt;=0.5,_xlfn.XLOOKUP(B306,'Base stats'!B:B,'Base stats'!C:C)&lt;=0.8),
IF(_xlfn.XLOOKUP(B306,'Base stats'!B:B,'Base stats'!C:C)&lt;0.1,0.05,IF(_xlfn.XLOOKUP(B306,'Base stats'!B:B,'Base stats'!C:C)&lt;=70,(_xlfn.XLOOKUP(B306,'Base stats'!B:B,'Base stats'!C:C)/70)^0.426489913056526,IF(_xlfn.XLOOKUP(B306,'Base stats'!B:B,'Base stats'!C:C)&lt;=400,(_xlfn.XLOOKUP(B306,'Base stats'!B:B,'Base stats'!C:C)/70)^0.572811455315093,IF(_xlfn.XLOOKUP(B306,'Base stats'!B:B,'Base stats'!C:C)&lt;=2000,2.71391647193063*(_xlfn.XLOOKUP(B306,'Base stats'!B:B,'Base stats'!C:C)/400)^0.252459582904293,3.74314280240376*(_xlfn.XLOOKUP(B306,'Base stats'!B:B,'Base stats'!C:C)/2000)^0.357012633876913)))),
IF(_xlfn.XLOOKUP(B306,'Base stats'!B:B,'Base stats'!C:C)&lt;0.1,0.05,IF(_xlfn.XLOOKUP(B306,'Base stats'!B:B,'Base stats'!C:C)&lt;0.4,0.1,IF(_xlfn.XLOOKUP(B306,'Base stats'!B:B,'Base stats'!C:C)&lt;=70,(_xlfn.XLOOKUP(B306,'Base stats'!B:B,'Base stats'!C:C)/70)^0.445823913056526,IF(_xlfn.XLOOKUP(B306,'Base stats'!B:B,'Base stats'!C:C)&lt;=400,(_xlfn.XLOOKUP(B306,'Base stats'!B:B,'Base stats'!C:C)/70)^0.572811455315093,IF(_xlfn.XLOOKUP(B306,'Base stats'!B:B,'Base stats'!C:C)&lt;=2000,2.71391647193063*(_xlfn.XLOOKUP(B306,'Base stats'!B:B,'Base stats'!C:C)/400)^0.252459582904293,3.74314280240376*(_xlfn.XLOOKUP(B306,'Base stats'!B:B,'Base stats'!C:C)/2000)^0.357012633876913)))))),
IF(_xlfn.XLOOKUP(B306,'Base stats'!B:B,'Base stats'!C:C)&lt;0.1,0.05,IF(_xlfn.XLOOKUP(B306,'Base stats'!B:B,'Base stats'!C:C)&lt;=100,0.05,IF(_xlfn.XLOOKUP(B306,'Base stats'!B:B,'Base stats'!C:C)&lt;=250,0.1,IF(_xlfn.XLOOKUP(B306,'Base stats'!B:B,'Base stats'!C:C)&lt;=4000,0.25,0.5)))))</f>
        <v>1.1000000000000001</v>
      </c>
      <c r="AP306" s="8">
        <f>MROUND(AO306*_xlfn.XLOOKUP(_xlfn.XLOOKUP(B306,'Base stats'!B:B,'Base stats'!E:E),Groups!A:A,Groups!AI:AI)*_xlfn.XLOOKUP(B306,'Base stats'!B:B,'Base stats'!Z:Z),0.05)</f>
        <v>1.3</v>
      </c>
      <c r="AQ306" s="8">
        <f>MAX(0.01,MROUND(IF(CC306="True",0.196*(AO306*100*1000)^0.889,IF(_xlfn.XLOOKUP(_xlfn.XLOOKUP(B306,'Base stats'!B:B,'Base stats'!E:E),Groups!A:A,Groups!AJ:AJ)="Bird",10.5*(AO306*100*1000)^0.681,4.82*(AO306*100*1000)^0.734))/(4.82*(1*100*1000)^0.734)/IF(AO306&lt;3.5,2,IF(AO306=3.5,1.5,1.25))*(1+0.132282374779864/(AO306^0.994035016789033+0.00905238001496948)),0.05))</f>
        <v>0.60000000000000009</v>
      </c>
      <c r="AR306" s="9">
        <f>IFERROR(MROUND(_xlfn.XLOOKUP(B306,'Base stats'!B:B,'Base stats'!H:H)/IF(_xlfn.XLOOKUP(B306,'Base stats'!B:B,'Base stats'!I:I)&lt;&gt;1,(122.5/70),1.2),IF(_xlfn.XLOOKUP(B306,'Base stats'!B:B,'Base stats'!H:H)&gt;=30,5,IF(_xlfn.XLOOKUP(B306,'Base stats'!B:B,'Base stats'!H:H)&gt;=15,3,IF(_xlfn.XLOOKUP(B306,'Base stats'!B:B,'Base stats'!H:H)&gt;=10,2,1)))),"Immortal")</f>
        <v>15</v>
      </c>
      <c r="AS306" s="35">
        <f>IFERROR(IF(OR(_xlfn.XLOOKUP(B306,'Base stats'!B:B,'Base stats'!F:F)="Atypical reproduction",_xlfn.XLOOKUP(B306,'Base stats'!B:B,'Base stats'!F:F)="Lay eggs"),"Lay eggs",MIN(20,MAX(5.5,ROUND(((_xlfn.XLOOKUP(B306,'Base stats'!B:B,'Base stats'!F:F)-25)*(14.5/615) + 5.5)*2,0)/2))),"Unknown")</f>
        <v>7</v>
      </c>
      <c r="AT306" s="8">
        <f>IF(_xlfn.XLOOKUP(B306,'Base stats'!B:B,'Base stats'!G:G)="Atypical reproduction","No",IFERROR(MAX(IF(_xlfn.XLOOKUP(B306,'Base stats'!B:B,'Base stats'!G:G)&lt;0.5,0.2,0.3),MROUND(_xlfn.XLOOKUP(B306,'Base stats'!B:B,'Base stats'!G:G)/(365/60),0.2)),"Unknown"))</f>
        <v>0.4</v>
      </c>
      <c r="AU306" s="8">
        <f t="shared" si="29"/>
        <v>0.2</v>
      </c>
      <c r="AV306" s="8">
        <f>IFERROR(IFERROR(MROUND(_xlfn.XLOOKUP(B306,'Base stats'!B:B,'Base stats'!J:J),0.1),"Lay eggs"),"Cannot breed")</f>
        <v>4</v>
      </c>
      <c r="AW306" s="2" t="str">
        <f t="shared" si="30"/>
        <v>true</v>
      </c>
      <c r="AX306" s="2" t="str">
        <f>IF(_xlfn.XLOOKUP(_xlfn.XLOOKUP(Animals!B306,'Base stats'!B:B,'Base stats'!E:E),Groups!A:A,Groups!AK:AK)=1,"true","false")</f>
        <v>false</v>
      </c>
      <c r="AY306" s="25" t="str">
        <f>IF(_xlfn.XLOOKUP(B306,'Base stats'!B:B,'Base stats'!Y:Y)="Liquor","Liquor, CarnivoreAnimalStrict",IF(AND(_xlfn.XLOOKUP(B306,'Base stats'!B:B,'Base stats'!Y:Y)="Carnivore",_xlfn.XLOOKUP(_xlfn.XLOOKUP(B306,'Base stats'!B:B,'Base stats'!E:E),Groups!A:A,Groups!AJ:AJ)="Photonozoa"),"CarnivoreAnimalStrict, OvivoreAnimal",IF(_xlfn.XLOOKUP(B306,'Base stats'!B:B,'Base stats'!Y:Y)="Carnivore","CarnivoreAnimal, OvivoreAnimal",IF(_xlfn.XLOOKUP(B306,'Base stats'!B:B,'Base stats'!Y:Y)="Dendrovore","VegetarianRoughAnimal, DendrovoreAnimal",IF(_xlfn.XLOOKUP(B306,'Base stats'!B:B,'Base stats'!Y:Y)="Herbivore","VegetarianRoughAnimal",IF(_xlfn.XLOOKUP(B306,'Base stats'!B:B,'Base stats'!Y:Y)="OmnivoreRough","OmnivoreRoughAnimal, OvivoreAnimal","OmnivoreAnimal, OvivoreAnimal"))))))</f>
        <v>CarnivoreAnimal, OvivoreAnimal</v>
      </c>
      <c r="AZ306" s="2" t="str">
        <f>IF(_xlfn.XLOOKUP(_xlfn.XLOOKUP(B306,'Base stats'!B:B,'Base stats'!E:E),Groups!A:A,Groups!D:D)=1,MROUND((1-J306)*5+1,2)*IF(J306&lt;=0.4,2,1),"No")</f>
        <v>No</v>
      </c>
      <c r="BA306" s="2" t="str">
        <f>IF(AND(_xlfn.XLOOKUP(B306,'Base stats'!B:B,'Base stats'!AH:AH)="&lt;li&gt;Seal&lt;/li&gt;",G306="Odyssey"),"&lt;li&gt;AEXP_Seal&lt;/li&gt;",_xlfn.XLOOKUP(B306,'Base stats'!B:B,'Base stats'!AH:AH))</f>
        <v>No</v>
      </c>
      <c r="BB306" s="2" t="str">
        <f>_xlfn.XLOOKUP(B306,'Base stats'!B:B,'Base stats'!AG:AG)</f>
        <v>Leather_Night</v>
      </c>
      <c r="BC306" s="23" t="str">
        <f>_xlfn.XLOOKUP(_xlfn.XLOOKUP(B306,'Base stats'!B:B,'Base stats'!E:E),Groups!A:A,Groups!AL:AL)</f>
        <v>QuadrupedAnimalWithPawsAndTail</v>
      </c>
      <c r="BD306" s="23">
        <f>MIN(1,MROUND(IF(AND(AO306&lt;0.5,_xlfn.XLOOKUP(B306,'Base stats'!B:B,'Base stats'!AA:AA)=0),0,IF(OR(_xlfn.XLOOKUP(Animals!B306,'Base stats'!B:B,'Base stats'!O:O)=2,_xlfn.XLOOKUP(_xlfn.XLOOKUP(B306,'Base stats'!B:B,'Base stats'!E:E),Groups!A:A,Groups!AN:AN)=0),0,_xlfn.XLOOKUP(_xlfn.XLOOKUP(B306,'Base stats'!B:B,'Base stats'!E:E),Groups!A:A,Groups!AN:AN)/IF(_xlfn.XLOOKUP(Animals!B306,'Base stats'!B:B,'Base stats'!O:O)=1,2,1)))+_xlfn.XLOOKUP(B306,'Base stats'!B:B,'Base stats'!AC:AC),0.005))</f>
        <v>0.1</v>
      </c>
      <c r="BE306" s="23">
        <f>MIN(1,MROUND(IF(AND(AO306&lt;0.5,_xlfn.XLOOKUP(B306,'Base stats'!B:B,'Base stats'!AA:AA)=0),0,IF(_xlfn.XLOOKUP(_xlfn.XLOOKUP(B306,'Base stats'!B:B,'Base stats'!E:E),Groups!A:A,Groups!AO:AO)=0,0,_xlfn.XLOOKUP(_xlfn.XLOOKUP(B306,'Base stats'!B:B,'Base stats'!E:E),Groups!A:A,Groups!AO:AO)/IF(_xlfn.XLOOKUP(Animals!B306,'Base stats'!B:B,'Base stats'!O:O)=2,3,1)))+_xlfn.XLOOKUP(B306,'Base stats'!B:B,'Base stats'!AD:AD),0.005))</f>
        <v>0.3</v>
      </c>
      <c r="BF306" s="2" t="str">
        <f>IF(J306&gt;0.3,"No",_xlfn.XLOOKUP(_xlfn.XLOOKUP(Animals!B306,'Base stats'!B:B,'Base stats'!E:E),Groups!A:A,Groups!AP:AP))</f>
        <v>No</v>
      </c>
      <c r="BG306" s="2" t="str">
        <f>IF(AND(J306&lt;=0.65,_xlfn.XLOOKUP(_xlfn.XLOOKUP(Animals!B306,'Base stats'!B:B,'Base stats'!E:E),Groups!A:A,Groups!AP:AP)&lt;&gt;"No",_xlfn.XLOOKUP(_xlfn.XLOOKUP(B306,'Base stats'!B:B,'Base stats'!E:E),Groups!A:A,Groups!D:D)=0),MROUND((80/3)*IF(_xlfn.XLOOKUP(B306,'Base stats'!B:B,'Base stats'!O:O)=2,0.2,AO306) + 24*(1-IF(BF306="No",0,BF306)) + 16/3, 12),"No")</f>
        <v>No</v>
      </c>
      <c r="BH306" s="2">
        <f>IF(AND(_xlfn.XLOOKUP(_xlfn.XLOOKUP(B306,'Base stats'!B:B,'Base stats'!E:E),Groups!A:A,Groups!AQ:AQ)=1,AO306&lt;=0.35),8,12)</f>
        <v>12</v>
      </c>
      <c r="BI306" s="2" t="str">
        <f>IF(_xlfn.XLOOKUP(_xlfn.XLOOKUP(B306,'Base stats'!B:B,'Base stats'!E:E),Groups!A:A,Groups!D:D)=0,_xlfn.XLOOKUP(_xlfn.XLOOKUP(B306,'Base stats'!B:B,'Base stats'!E:E),Groups!A:A,Groups!AR:AR),"None")</f>
        <v>Intermediate</v>
      </c>
      <c r="BJ306" s="2" t="str">
        <f>IF(AND(_xlfn.XLOOKUP(_xlfn.XLOOKUP(B306,'Base stats'!B:B,'Base stats'!E:E),Groups!A:A,Groups!AS:AS)=1,OR(_xlfn.XLOOKUP(B306,'Base stats'!B:B,'Base stats'!Y:Y)="Carnivore",_xlfn.XLOOKUP(B306,'Base stats'!B:B,'Base stats'!Y:Y)="Omnivore")),"true","false")</f>
        <v>true</v>
      </c>
      <c r="BK306" s="2">
        <f>IF(BJ306="true",MROUND(IF(AND(AO306&gt;0.5,OR(_xlfn.XLOOKUP(_xlfn.XLOOKUP(B306,'Base stats'!B:B,'Base stats'!E:E),Groups!A:A,Groups!AJ:AJ)="Photonozoa",_xlfn.XLOOKUP(_xlfn.XLOOKUP(B306,'Base stats'!B:B,'Base stats'!E:E),Groups!A:A,Groups!AJ:AJ)="Mammal")),Animals!AO306*1.75*IF(AW306="true",1.5,1),IF(AO306&lt;0.5,Animals!AO306*0.5,Animals!AO306)),IF(AO306&gt;2,0.5,IF(AO306&gt;0.5,0.25,0.1))),"No")</f>
        <v>3</v>
      </c>
      <c r="BL306" s="2">
        <f t="shared" si="31"/>
        <v>1</v>
      </c>
      <c r="BM306" s="25" t="str">
        <f>IF(_xlfn.XLOOKUP(B306,'Base stats'!B:B,'Base stats'!AN:AN)="Standard","No",MROUND((_xlfn.XLOOKUP(B306,'Base stats'!B:B,'Base stats'!AN:AN)/3.6)/I306,0.1))</f>
        <v>No</v>
      </c>
      <c r="BN306" s="25" t="str">
        <f t="shared" si="32"/>
        <v>false</v>
      </c>
      <c r="BO306" s="25" t="str">
        <f>IF(AND(OR(_xlfn.XLOOKUP(B306,'Base stats'!B:B,'Base stats'!Y:Y)="Carnivore",_xlfn.XLOOKUP(B306,'Base stats'!B:B,'Base stats'!Y:Y)="Omnivore",_xlfn.XLOOKUP(B306,'Base stats'!B:B,'Base stats'!Y:Y)="OmnivoreRough"),_xlfn.XLOOKUP(_xlfn.XLOOKUP(B306,'Base stats'!B:B,'Base stats'!E:E),Groups!A:A,Groups!AT:AT)=1),"true","false")</f>
        <v>false</v>
      </c>
      <c r="BP306" s="25" t="str" cm="1">
        <f t="array" ref="BP306">IF(
  _xlfn.TEXTJOIN(", ",TRUE,
    IF(AND(BJ306="true",AO306&gt;0.5,BI306&lt;&gt;"None"),"AttackTarget",""),
    IF(AND(_xlfn.XLOOKUP(_xlfn.XLOOKUP(B306,'Base stats'!B:B,'Base stats'!E:E),Groups!A:A,Groups!AJ:AJ="Mammal"),OR(_xlfn.XLOOKUP(B306,'Base stats'!B:B,'Base stats'!Y:Y)="Omnivore",_xlfn.XLOOKUP(B306,'Base stats'!B:B,'Base stats'!Y:Y)="OmnivoreRough")),"Forage",""),
    IF(BG306&lt;=36,"Comfort",""),
    IF(_xlfn.XLOOKUP(B306,'Base stats'!B:B,'Base stats'!AE:AE)&lt;&gt;"No",_xlfn.XLOOKUP(B306,'Base stats'!B:B,'Base stats'!AE:AE),"")
  ) = "",
  "No",
  _xlfn.TEXTJOIN(", ",TRUE,
    IF(AND(BJ306="true",AO306&gt;0.5,BI306&lt;&gt;"None"),"AttackTarget",""),
    IF(AND(_xlfn.XLOOKUP(_xlfn.XLOOKUP(B306,'Base stats'!B:B,'Base stats'!E:E),Groups!A:A,Groups!AJ:AJ="Mammal"),OR(_xlfn.XLOOKUP(B306,'Base stats'!B:B,'Base stats'!Y:Y)="Omnivore",_xlfn.XLOOKUP(B306,'Base stats'!B:B,'Base stats'!Y:Y)="OmnivoreRough")),"Forage",""),
    IF(BG306&lt;=36,"Comfort",""),
    IF(_xlfn.XLOOKUP(B306,'Base stats'!B:B,'Base stats'!AE:AE)&lt;&gt;"No",_xlfn.XLOOKUP(B306,'Base stats'!B:B,'Base stats'!AE:AE),"")
  )
)</f>
        <v>AttackTarget</v>
      </c>
      <c r="BQ306" s="25" t="str">
        <f>IF(
   AND(
      'Base stats'!AN306="Standard",_xlfn.XLOOKUP(_xlfn.XLOOKUP(B306,'Base stats'!B:B,'Base stats'!E:E),Groups!A:A,Groups!AU:AU)=0,
      OR(
      BO306="True"
      )
   ),
   10,
   IF(
       OR(BM306&lt;&gt;"No",_xlfn.XLOOKUP(_xlfn.XLOOKUP(B306,'Base stats'!B:B,'Base stats'!E:E),Groups!A:A,Groups!AU:AU)=1),
      1,
      "No"
   )
)</f>
        <v>No</v>
      </c>
      <c r="BR306" s="9">
        <f>MROUND((1 + ((0.2*IF(OR(Q306="No",R306="No",R306=0),0,Q306/R306)
+IF(OR(V306="No",S306="No",T306="No"),0,S306/T306*(LEN(V306)-LEN(SUBSTITUTE(V306,",",""))+1))
+IF(OR(X306="No",Y306="No"),0,X306/Y306)
+IF(OR(AD306="No",AE306="No"),0,AD306/AE306)
+IF(OR(AL306="No",AI306="No",AJ306="No"),0,AI306/AJ306*(LEN(AL306)-LEN(SUBSTITUTE(AL306,",",""))+1))
)/(0.2*IF(OR(Q306="No",R306="No",R306=0),0,1)
+IF(OR(V306="No",S306="No",T306="No"),0,LEN(V306)-LEN(SUBSTITUTE(V306,",",""))+1)
+IF(OR(X306="No",Y306="No"),0,1)
+IF(OR(AD306="No",AE306="No"),0,1)
+IF(OR(AL306="No",AI306="No",AJ306="No"),0,LEN(AL306)-LEN(SUBSTITUTE(AL306,",",""))+1))*62%)* 2)*(1 + (AP306 / (IF(_xlfn.XLOOKUP(_xlfn.XLOOKUP(B306,'Base stats'!B:B,'Base stats'!E:E),Groups!A:A,Groups!AJ:AJ)="Photonozoa",0.3,1)) + _xlfn.XLOOKUP(B306,'Base stats'!B:B,'Base stats'!AV:AV) * 1.8) * 2) * 2.5 + 10 + I306 * 2,5)+IF(_xlfn.XLOOKUP(B306,'Base stats'!B:B,'Base stats'!AK:AK)=1,50,0)</f>
        <v>130</v>
      </c>
      <c r="BS306" s="8">
        <f t="shared" si="33"/>
        <v>0.70000000000000007</v>
      </c>
      <c r="BT306" s="8" t="str">
        <f>_xlfn.XLOOKUP(B306,'Base stats'!B:B,'Base stats'!AF:AF)</f>
        <v>1~3</v>
      </c>
      <c r="BU306" s="2" t="str">
        <f>IF(AND(J306&lt;=0.95,OR(_xlfn.XLOOKUP(B306,'Base stats'!B:B,'Base stats'!AK:AK)=1,_xlfn.XLOOKUP(B306,'Base stats'!B:B,'Base stats'!Y:Y)="Carnivore",_xlfn.XLOOKUP(B306,'Base stats'!B:B,'Base stats'!Y:Y)="Omnivore",BE306&gt;0.1)),"true","false")</f>
        <v>true</v>
      </c>
      <c r="BV306" s="2" t="str">
        <f>IF(_xlfn.XLOOKUP(B306,'Base stats'!B:B,'Base stats'!AI:AI)=1,"true","false")</f>
        <v>false</v>
      </c>
      <c r="BW306" s="25" t="str">
        <f>IF(E306="BaseInsect","AnimalInsect",
IF(J306&gt;0.95,"AnimalExotic",
_xlfn.TEXTJOIN(", ",TRUE,
IF(OR(_xlfn.XLOOKUP(B306,'Base stats'!B:B,'Base stats'!AM:AM)=1,AND(_xlfn.XLOOKUP(B306,'Base stats'!B:B,'Base stats'!O:O)=0,_xlfn.XLOOKUP(_xlfn.XLOOKUP(B306,'Base stats'!B:B,'Base stats'!E:E),Groups!A:A,Groups!B:B)&gt;0)),"AnimalUncommon","AnimalCommon"),
IF(AND(_xlfn.XLOOKUP(B306,'Base stats'!B:B,'Base stats'!O:O)=2,_xlfn.XLOOKUP(_xlfn.XLOOKUP(B306,'Base stats'!B:B,'Base stats'!E:E),Groups!A:A,Groups!D:D)=0),"AnimalPet",IF(AND(_xlfn.XLOOKUP(B306,'Base stats'!B:B,'Base stats'!O:O)&lt;&gt;0,_xlfn.XLOOKUP(_xlfn.XLOOKUP(B306,'Base stats'!B:B,'Base stats'!E:E),Groups!A:A,Groups!D:D)&lt;&gt;0),"AnimalFarm","")),
IF(OR(_xlfn.XLOOKUP(B306,'Base stats'!B:B,'Base stats'!AK:AK)=1,AND(BI306&lt;&gt;"None",BR306&gt;=60),ISNUMBER(SEARCH("Attack target",BP306))),"AnimalFighter","")
)))</f>
        <v>AnimalUncommon, AnimalFighter</v>
      </c>
      <c r="BX306" s="25" t="str">
        <f>IF(G306="None",TRIM(
SUBSTITUTE(
IF(COUNTIF(Biomes!B$2:B$259,"="&amp;$C306)&gt;0,Biomes!B$1&amp;", ","")&amp;
IF(COUNTIF(Biomes!C$2:C$259,"="&amp;$C306)&gt;0,Biomes!C$1&amp;", ","")&amp;
IF(COUNTIF(Biomes!D$2:D$259,"="&amp;$C306)&gt;0,Biomes!D$1&amp;", ","")&amp;
IF(COUNTIF(Biomes!F$2:F$259,"="&amp;$C306)&gt;0,Biomes!F$1&amp;", ","")&amp;
IF(COUNTIF(Biomes!G$2:G$259,"="&amp;$C306)&gt;0,Biomes!G$1&amp;", ","")&amp;
IF(COUNTIF(Biomes!H$2:H$259,"="&amp;$C306)&gt;0,Biomes!H$1&amp;", ","")&amp;
IF(COUNTIF(Biomes!I$2:I$259,"="&amp;$C306)&gt;0,Biomes!I$1&amp;", ","")&amp;
IF(COUNTIF(Biomes!J$2:J$259,"="&amp;$C306)&gt;0,Biomes!J$1&amp;", ","")&amp;
IF(COUNTIF(Biomes!M$2:M$259,"="&amp;$C306)&gt;0,Biomes!M$1&amp;", ","")&amp;
IF(COUNTIF(Biomes!N$2:N$259,"="&amp;$C306)&gt;0,Biomes!N$1&amp;", ","")&amp;
IF(COUNTIF(Biomes!O$2:O$259,"="&amp;$C306)&gt;0,Biomes!O$1&amp;", ","")&amp;
IF(COUNTIF(Biomes!P$2:P$259,"="&amp;$C306)&gt;0,Biomes!P$1&amp;", ","")&amp;
IF(COUNTIF(Biomes!K$2:K$259,"="&amp;$C306)&gt;0,Biomes!K$1&amp;", ","")&amp;
IF(COUNTIF(Biomes!Q$3:Q$259,"="&amp;$C306)&gt;0,Biomes!Q$1&amp;", ","")&amp;
IF(COUNTIF(Biomes!L$2:L$259,"="&amp;$C306)&gt;0,Biomes!L$1&amp;", ","")&amp;
IF(COUNTIF(Biomes!E$2:E$259,"="&amp;$C306)&gt;0,Biomes!E$1&amp;", ","")&amp;IF(COUNTIF(Biomes!S$2:S$259,"="&amp;$C306)&gt;0,Biomes!S$1&amp;", ","")&amp;
IF(COUNTIF(Biomes!R$2:R$259,"="&amp;$C306)&gt;0,Biomes!R$1&amp;", ",""),", ","")
),_xlfn.XLOOKUP(B306,B:B,BX:BX))</f>
        <v>Glowforest</v>
      </c>
      <c r="BY306" s="25" t="str">
        <f>IF(_xlfn.XLOOKUP(B306,'Base stats'!B:B,'Base stats'!AJ:AJ)=1,"true","false")</f>
        <v>false</v>
      </c>
      <c r="BZ306" s="25">
        <f>IF(_xlfn.XLOOKUP(B306,'Base stats'!B:B,'Base stats'!N:N)=1,"No",MAX(0.001,MIN(MROUND(IF(AND(BJ306="True",CC306="False"),POWER(10,3.47*LOG10(_xlfn.XLOOKUP(B306,'Base stats'!B:B,'Base stats'!C:C)*1000)^-0.96),POWER(10,4.15*LOG10(_xlfn.XLOOKUP(B306,'Base stats'!B:B,'Base stats'!C:C)*1000)^-0.73))*IF(_xlfn.XLOOKUP(B306,'Base stats'!B:B,'Base stats'!AK:AK)=1,0.5,1)*IF(_xlfn.XLOOKUP(B306,'Base stats'!B:B,'Base stats'!AM:AM)=1,0.1,1)/100,IF(_xlfn.XLOOKUP(B306,'Base stats'!B:B,'Base stats'!AM:AM)=1,0.001,0.025)),0.5)))</f>
        <v>0.05</v>
      </c>
      <c r="CA306" s="25" t="str">
        <f>IF(P306="Standard","No",MAX(0.001,MIN(MROUND(IF(AND(BJ306="True",CC306="False"),POWER(10,3.47*LOG10(_xlfn.XLOOKUP(B306,'Base stats'!B:B,'Base stats'!C:C)*1000)^-0.96),POWER(10,4.15*LOG10(_xlfn.XLOOKUP(B306,'Base stats'!B:B,'Base stats'!C:C)*1000)^-0.73))*IF(_xlfn.XLOOKUP(B306,'Base stats'!B:B,'Base stats'!AM:AM)=1,0.1,1)*_xlfn.XLOOKUP(B306,'Base stats'!B:B,'Base stats'!R:R)/100,IF(_xlfn.XLOOKUP(B306,'Base stats'!B:B,'Base stats'!AM:AM)=1,0.001,0.025)),0.5)))</f>
        <v>No</v>
      </c>
      <c r="CB306" s="25" t="str">
        <f>IF(_xlfn.XLOOKUP(_xlfn.XLOOKUP(B306,'Base stats'!B:B,'Base stats'!E:E),Groups!A:A,Groups!AJ:AJ)="Mammal","True","False")</f>
        <v>True</v>
      </c>
      <c r="CC306" s="25" t="str">
        <f>IF(OR(_xlfn.XLOOKUP(_xlfn.XLOOKUP(B306,'Base stats'!B:B,'Base stats'!E:E),Groups!A:A,Groups!AJ:AJ)="Reptile",_xlfn.XLOOKUP(_xlfn.XLOOKUP(B306,'Base stats'!B:B,'Base stats'!E:E),Groups!A:A,Groups!AJ:AJ)="Amphibian",_xlfn.XLOOKUP(_xlfn.XLOOKUP(B306,'Base stats'!B:B,'Base stats'!E:E),Groups!A:A,Groups!AJ:AJ)="Invertebrate"),"True","False")</f>
        <v>False</v>
      </c>
      <c r="CD306" s="25" t="str">
        <f t="shared" si="34"/>
        <v>False</v>
      </c>
      <c r="CE306" s="25" t="str">
        <f>IF(_xlfn.XLOOKUP(_xlfn.XLOOKUP(B306,'Base stats'!B:B,'Base stats'!E:E),Groups!A:A,Groups!AX:AX),"True","False")</f>
        <v>False</v>
      </c>
      <c r="CF306" s="25" t="str">
        <f>IF(_xlfn.XLOOKUP(_xlfn.XLOOKUP(B306,'Base stats'!B:B,'Base stats'!E:E),Groups!A:A,Groups!AY:AY),"True","False")</f>
        <v>False</v>
      </c>
      <c r="CG306" s="25" t="str">
        <f>IF(_xlfn.XLOOKUP(_xlfn.XLOOKUP(B306,'Base stats'!B:B,'Base stats'!E:E),Groups!A:A,Groups!AW:AW),"True","False")</f>
        <v>False</v>
      </c>
      <c r="CH306" s="25" t="str">
        <f>IF(
OR(
_xlfn.XLOOKUP(_xlfn.XLOOKUP(B306,'Base stats'!B:B,'Base stats'!E:E),Groups!A:A,Groups!AZ:AZ)=0,
AND(
_xlfn.XLOOKUP(B306,'Base stats'!B:B,'Base stats'!Y:Y)&lt;&gt;"Carnivore",
_xlfn.XLOOKUP(B306,'Base stats'!B:B,'Base stats'!Y:Y)&lt;&gt;"Omnivore",
_xlfn.XLOOKUP(B306,'Base stats'!B:B,'Base stats'!Y:Y)&lt;&gt;"OmnivoreRough"
)
),
"No",
IF(
_xlfn.XLOOKUP(_xlfn.XLOOKUP(B306,'Base stats'!B:B,'Base stats'!E:E),Groups!A:A,Groups!AZ:AZ)=1,
"Flesh",
IF(
_xlfn.XLOOKUP(_xlfn.XLOOKUP(B306,'Base stats'!B:B,'Base stats'!E:E),Groups!A:A,Groups!AZ:AZ)=2,
"Bone",
""
)
)
)</f>
        <v>No</v>
      </c>
      <c r="CI306" s="25" t="str">
        <f>IF(_xlfn.XLOOKUP(_xlfn.XLOOKUP(B306,'Base stats'!B:B,'Base stats'!E:E),Groups!A:A,Groups!BB:BB),"True","False")</f>
        <v>True</v>
      </c>
      <c r="CJ306" s="25" t="str">
        <f>IF(_xlfn.XLOOKUP(_xlfn.XLOOKUP(B306,'Base stats'!B:B,'Base stats'!E:E),Groups!A:A,Groups!BA:BA),"True","False")</f>
        <v>False</v>
      </c>
    </row>
    <row r="307" spans="1:88" ht="16.5" thickTop="1" thickBot="1" x14ac:dyDescent="0.3">
      <c r="A307" s="26" t="s">
        <v>1526</v>
      </c>
      <c r="B307" s="6" t="str">
        <f>_xlfn.XLOOKUP(A307,'Base stats'!A:A,'Base stats'!B:B)</f>
        <v>Gelatinous oculi</v>
      </c>
      <c r="C307" s="28" t="s">
        <v>1527</v>
      </c>
      <c r="D307" s="28" t="s">
        <v>1341</v>
      </c>
      <c r="E307" s="28" t="s">
        <v>673</v>
      </c>
      <c r="F307" s="28" t="s">
        <v>673</v>
      </c>
      <c r="G307" s="28" t="s">
        <v>673</v>
      </c>
      <c r="H307" s="2">
        <f>MROUND((
  (IF(AND(_xlfn.XLOOKUP(B307,'Base stats'!B:B,'Base stats'!AL:AL)=0,BI307="None",_xlfn.XLOOKUP(_xlfn.XLOOKUP(B307,'Base stats'!B:B,'Base stats'!E:E),Groups!A:A,Groups!B:B)=0), (18 + BR307 * 2.7) * 0.5,
    IF(AND(_xlfn.XLOOKUP(B307,'Base stats'!B:B,'Base stats'!AL:AL)=0,OR(AO307&lt;0.55,AND(BI307="Intermediate",_xlfn.XLOOKUP(_xlfn.XLOOKUP(B307,'Base stats'!B:B,'Base stats'!E:E),Groups!A:A,Groups!B:B)&lt;2))), (18 + BR307 * 2.7),
      IF(OR(BI307="Advanced",_xlfn.XLOOKUP(B307,'Base stats'!B:B,'Base stats'!AL:AL)=1,_xlfn.XLOOKUP(_xlfn.XLOOKUP(B307,'Base stats'!B:B,'Base stats'!E:E),Groups!A:A,Groups!B:B)=2), (18 + BR307 * 2.7) + 250, (18 + BR307 * 2.7))
    )
  ))
  + AO307 * 80
  + IF(COUNTIF(EggMilk!K$2:K$998, A307) &gt; 0, 125, 0)
  + IF(COUNTIF(EggMilk!P$2:P$998, A307) &gt; 0, 90, 0)
  + IF(COUNTIF(EggMilk!A$2:A$998, A307) &gt; 0, 90, 0)
)
* (0.8 + 0.4 * J307)
* 0.75,25)</f>
        <v>250</v>
      </c>
      <c r="I307" s="2">
        <f>MROUND(ROUNDDOWN(_xlfn.XLOOKUP(B307,'Base stats'!B:B,'Base stats'!L:L)/3.6/(23.3/11),1),0.5)</f>
        <v>3</v>
      </c>
      <c r="J307" s="2">
        <f>IF(OR(_xlfn.XLOOKUP(B307,'Base stats'!B:B,'Base stats'!AB:AB)=1,_xlfn.XLOOKUP(_xlfn.XLOOKUP(B307,'Base stats'!B:B,'Base stats'!E:E),Groups!A:A,Groups!C:C)="Untamable"),1,IF(_xlfn.XLOOKUP(B307,'Base stats'!B:B,'Base stats'!AL:AL)=1,0.99,MIN(MROUND((1-0.6282*EXP(-0.459*AO307))*_xlfn.XLOOKUP(_xlfn.XLOOKUP(B307,'Base stats'!B:B,'Base stats'!E:E),Groups!A:A,Groups!C:C)*IF(_xlfn.XLOOKUP(B307,'Base stats'!B:B,'Base stats'!O:O)=1,0.5,IF(_xlfn.XLOOKUP(B307,'Base stats'!B:B,'Base stats'!O:O)=2,0,1)),0.05),IF(AO307&gt;3.5,0.985,0.95))))</f>
        <v>0.5</v>
      </c>
      <c r="K307" s="2">
        <f>ROUNDUP(AO307*_xlfn.XLOOKUP(_xlfn.XLOOKUP(B307,'Base stats'!B:B,'Base stats'!E:E),Groups!A:A,Groups!E:E),0)</f>
        <v>1</v>
      </c>
      <c r="L307" s="2">
        <f>IF(OR(_xlfn.XLOOKUP(_xlfn.XLOOKUP(B307,'Base stats'!B:B,'Base stats'!E:E),Groups!A:A,Groups!F:F)=2,ISNUMBER(SEARCH("SeaIce",BX307)),ISNUMBER(SEARCH("IceSheet",BX307))),-50,IF(OR(ISNUMBER(SEARCH("GlacialPlain",BX307)),ISNUMBER(SEARCH("Tundra",BX307))),-40,IF(OR(ISNUMBER(SEARCH("Alpine",BX307)),ISNUMBER(SEARCH("BorealForest",BX307)),ISNUMBER(SEARCH("ColdBog",BX307))),-30,IF(OR(ISNUMBER(SEARCH("TemperateForest",BX307)),ISNUMBER(SEARCH("TemperateSwamp",BX307))),-20,IF(_xlfn.XLOOKUP(_xlfn.XLOOKUP(B307,'Base stats'!B:B,'Base stats'!E:E),Groups!A:A,Groups!F:F)=1,-15,IF(OR(ISNUMBER(SEARCH("Desert",BX307)),ISNUMBER(SEARCH("ExtremeDesert",BX307))),-10,IF(OR(ISNUMBER(SEARCH("Grasslands",BX307)),ISNUMBER(SEARCH("TropicalRainforest",BX307)),ISNUMBER(SEARCH("TropicalSwamp",BX307))),10,0)))))))-IF(CC307="False",MIN(IFERROR(MAX(MROUND(LOG10(_xlfn.XLOOKUP(B307,'Base stats'!B:B,'Base stats'!C:C)^(2/3))*10,5),5),5),30))-_xlfn.XLOOKUP(B307,'Base stats'!B:B,'Base stats'!P:P)+IF(CC307="True",5,0)</f>
        <v>5</v>
      </c>
      <c r="M307" s="2">
        <f>IF(OR(_xlfn.XLOOKUP(_xlfn.XLOOKUP(B307,'Base stats'!B:B,'Base stats'!E:E),Groups!A:A,Groups!G:G)=2,ISNUMBER(SEARCH("Desert",BX307)),ISNUMBER(SEARCH("ExtremeDesert",BX307)),ISNUMBER(SEARCH("LavaField",BX307))),50,IF(ISNUMBER(SEARCH("Grasslands",BX307)),45,IF(OR(_xlfn.XLOOKUP(_xlfn.XLOOKUP(B307,'Base stats'!B:B,'Base stats'!E:E),Groups!A:A,Groups!G:G)=1,ISNUMBER(SEARCH("TropicalRainforest",BX307)),ISNUMBER(SEARCH("TropicalSwamp",BX307))),40,IF(OR(ISNUMBER(SEARCH("TemperateForest",BX307)),ISNUMBER(SEARCH("TemperateSwamp",BX307))),35,IF(OR(ISNUMBER(SEARCH("Alpine",BX307)),ISNUMBER(SEARCH("BorealForest",BX307)),ISNUMBER(SEARCH("ColdBog",BX307))),30,IF(ISNUMBER(OR(ISNUMBER(SEARCH("GlacialPlain",BX307)),SEARCH("Tundra",BX307))),25,IF(OR(ISNUMBER(SEARCH("SeaIce",BX307)),ISNUMBER(SEARCH("IceSheet",BX307)),ISNUMBER(SEARCH("TropicalSwamp",BX307))),10,35)))))))+_xlfn.XLOOKUP(B307,'Base stats'!B:B,'Base stats'!Q:Q)</f>
        <v>35</v>
      </c>
      <c r="N307" s="8" t="str">
        <f>IF(
_xlfn.XLOOKUP(
_xlfn.XLOOKUP(B307,'Base stats'!B:B,'Base stats'!E:E),
Groups!A:A,
Groups!L:L
)=1,
MIN(
MROUND(
IF(
_xlfn.XLOOKUP(B307,'Animals CE'!B:B,'Animals CE'!Z:Z)&lt;=1.5,
_xlfn.XLOOKUP(B307,'Animals CE'!B:B,'Animals CE'!Z:Z)/2+0.05,
0.8+
(_xlfn.XLOOKUP(B307,'Animals CE'!B:B,'Animals CE'!Z:Z)-1.5)
*0.02
),
0.05
),
200%
),
"No"
)</f>
        <v>No</v>
      </c>
      <c r="O307" s="8" t="str">
        <f>IF(
_xlfn.XLOOKUP(
_xlfn.XLOOKUP(B307,'Base stats'!B:B,'Base stats'!E:E),
Groups!A:A,
Groups!L:L
)=1,
MIN(
MROUND(
IF(
_xlfn.XLOOKUP(B307,'Animals CE'!B:B,'Animals CE'!AA:AA)&lt;=1.5,
_xlfn.XLOOKUP(B307,'Animals CE'!B:B,'Animals CE'!AA:AA)/2+0.05,
0.8+
(_xlfn.XLOOKUP(B307,'Animals CE'!B:B,'Animals CE'!AA:AA)-1.5)
*0.02
),
0.05
),
200%
),
"No"
)</f>
        <v>No</v>
      </c>
      <c r="P307" s="2" t="str">
        <f>_xlfn.XLOOKUP(B307,'Base stats'!B:B,'Base stats'!R:R)</f>
        <v>Standard</v>
      </c>
      <c r="Q307" s="13">
        <f>MROUND((LOG10(_xlfn.XLOOKUP(B307,'Base stats'!B:B,'Base stats'!AR:AR))*(AO307^0.5)+(_xlfn.XLOOKUP(B307,'Base stats'!B:B,'Base stats'!AR:AR)/1000)^(2/3)+_xlfn.XLOOKUP(B307,'Base stats'!B:B,'Base stats'!BA:BA)/2)+0.5,0.5)</f>
        <v>4.5</v>
      </c>
      <c r="R307" s="7">
        <f>IF(Q307="No","No",MAX(1,MROUND(_xlfn.XLOOKUP(B307,'Base stats'!B:B,'Base stats'!C:C)^0.165,0.05)))</f>
        <v>1.6500000000000001</v>
      </c>
      <c r="S307" s="13" t="str">
        <f>IF(_xlfn.XLOOKUP(_xlfn.XLOOKUP(B307,'Base stats'!B:B,'Base stats'!E:E),Groups!A:A,Groups!P:P)=0,"No",MROUND((LOG10(_xlfn.XLOOKUP(B307,'Base stats'!B:B,'Base stats'!AS:AS))*(AO307^0.5)+(_xlfn.XLOOKUP(B307,'Base stats'!B:B,'Base stats'!AS:AS)/1000)^(2/3)+_xlfn.XLOOKUP(B307,'Base stats'!B:B,'Base stats'!BA:BA))+_xlfn.XLOOKUP(B307,'Base stats'!B:B,'Base stats'!AY:AY)+0.5,0.5))</f>
        <v>No</v>
      </c>
      <c r="T307" s="7" t="str">
        <f>IF(S307="No","No",MAX(_xlfn.XLOOKUP(_xlfn.XLOOKUP(B307,'Base stats'!B:B,'Base stats'!E:E),Groups!A:A,Groups!Q:Q),MROUND(_xlfn.XLOOKUP(_xlfn.XLOOKUP(B307,'Base stats'!B:B,'Base stats'!E:E),Groups!A:A,Groups!Q:Q)*_xlfn.XLOOKUP(B307,'Base stats'!B:B,'Base stats'!C:C)^0.165,0.05)))</f>
        <v>No</v>
      </c>
      <c r="U307" s="7" t="str">
        <f>IF(S307="No","No",_xlfn.XLOOKUP(_xlfn.XLOOKUP(B307,'Base stats'!B:B,'Base stats'!E:E),Groups!A:A,Groups!R:R))</f>
        <v>No</v>
      </c>
      <c r="V307" s="7" t="str">
        <f>IF(S307="No","No",_xlfn.XLOOKUP(_xlfn.XLOOKUP(B307,'Base stats'!B:B,'Base stats'!E:E),Groups!A:A,Groups!S:S))</f>
        <v>No</v>
      </c>
      <c r="W307" s="7" t="str">
        <f>IF(S307="No","No",_xlfn.XLOOKUP(_xlfn.XLOOKUP(B307,'Base stats'!B:B,'Base stats'!E:E),Groups!A:A,Groups!T:T))</f>
        <v>No</v>
      </c>
      <c r="X307" s="13" t="str">
        <f>IF(_xlfn.XLOOKUP(B307,'Base stats'!B:B,'Base stats'!W:W)="No","No",MROUND((LOG10(_xlfn.XLOOKUP(B307,'Base stats'!B:B,'Base stats'!AU:AU))*(AO307^0.5)+(_xlfn.XLOOKUP(B307,'Base stats'!B:B,'Base stats'!AU:AU)/1000)^(2/3)+_xlfn.XLOOKUP(B307,'Base stats'!B:B,'Base stats'!AZ:AZ))+0.5+IF(_xlfn.XLOOKUP(_xlfn.XLOOKUP(B307,'Base stats'!B:B,'Base stats'!E:E),Groups!A:A,Groups!U:U)&lt;&gt;3,_xlfn.XLOOKUP(B307,'Base stats'!B:B,'Base stats'!BA:BA),0),0.5))</f>
        <v>No</v>
      </c>
      <c r="Y307" s="7" t="str">
        <f>IF(X307="No","No",MAX(_xlfn.XLOOKUP(_xlfn.XLOOKUP(B307,'Base stats'!B:B,'Base stats'!E:E),Groups!A:A,Groups!V:V),MROUND(_xlfn.XLOOKUP(_xlfn.XLOOKUP(B307,'Base stats'!B:B,'Base stats'!E:E),Groups!A:A,Groups!V:V)*_xlfn.XLOOKUP(B307,'Base stats'!B:B,'Base stats'!C:C)^0.165,0.05)))</f>
        <v>No</v>
      </c>
      <c r="Z307" s="7" t="str">
        <f>IF(X307="No","No",_xlfn.XLOOKUP(_xlfn.XLOOKUP(B307,'Base stats'!B:B,'Base stats'!E:E),Groups!A:A,Groups!W:W))</f>
        <v>No</v>
      </c>
      <c r="AA307" s="7" t="str">
        <f>IF(X307="No","No",_xlfn.XLOOKUP(_xlfn.XLOOKUP(B307,'Base stats'!B:B,'Base stats'!E:E),Groups!A:A,Groups!X:X))</f>
        <v>No</v>
      </c>
      <c r="AB307" s="7" t="str">
        <f>IF(X307="No","No",_xlfn.XLOOKUP(_xlfn.XLOOKUP(B307,'Base stats'!B:B,'Base stats'!E:E),Groups!A:A,Groups!Y:Y))</f>
        <v>No</v>
      </c>
      <c r="AC307" s="7" t="str">
        <f>_xlfn.XLOOKUP(Animals!B307,'Base stats'!B:B,'Base stats'!X:X)</f>
        <v>False</v>
      </c>
      <c r="AD307" s="13" t="str">
        <f>IF(_xlfn.XLOOKUP(B307,'Base stats'!B:B,'Base stats'!AT:AT)="No","No",MROUND((LOG10(_xlfn.XLOOKUP(B307,'Base stats'!B:B,'Base stats'!AT:AT))*(AO307^0.75)+(_xlfn.XLOOKUP(B307,'Base stats'!B:B,'Base stats'!AT:AT)/1000)^(2/3)+_xlfn.XLOOKUP(B307,'Base stats'!B:B,'Base stats'!AX:AX)+_xlfn.XLOOKUP(B307,'Base stats'!B:B,'Base stats'!BA:BA))+0.5,0.5))</f>
        <v>No</v>
      </c>
      <c r="AE307" s="7" t="str">
        <f>IF(AD307="No","No",MAX(_xlfn.XLOOKUP(_xlfn.XLOOKUP(B307,'Base stats'!B:B,'Base stats'!E:E),Groups!A:A,Groups!Z:Z),MROUND(_xlfn.XLOOKUP(_xlfn.XLOOKUP(B307,'Base stats'!B:B,'Base stats'!E:E),Groups!A:A,Groups!Z:Z)*_xlfn.XLOOKUP(B307,'Base stats'!B:B,'Base stats'!C:C)^0.165,0.05)))</f>
        <v>No</v>
      </c>
      <c r="AF307" s="7" t="str">
        <f>IF(AD307="No","No",_xlfn.XLOOKUP(_xlfn.XLOOKUP(B307,'Base stats'!B:B,'Base stats'!E:E),Groups!A:A,Groups!AA:AA))</f>
        <v>No</v>
      </c>
      <c r="AG307" s="7" t="str">
        <f>IF(AD307="No","No",_xlfn.XLOOKUP(_xlfn.XLOOKUP(B307,'Base stats'!B:B,'Base stats'!E:E),Groups!A:A,Groups!AB:AB))</f>
        <v>No</v>
      </c>
      <c r="AH307" s="7" t="str">
        <f>IF(AD307="No","No",_xlfn.XLOOKUP(_xlfn.XLOOKUP(B307,'Base stats'!B:B,'Base stats'!E:E),Groups!A:A,Groups!AC:AC))</f>
        <v>No</v>
      </c>
      <c r="AI307" s="13">
        <f>IF(_xlfn.XLOOKUP(_xlfn.XLOOKUP(B307,'Base stats'!B:B,'Base stats'!E:E),Groups!A:A,Groups!AD:AD)=0,"No",MROUND((LOG10(_xlfn.XLOOKUP(B307,'Base stats'!B:B,'Base stats'!AS:AS))*(AO307^0.75)+(_xlfn.XLOOKUP(B307,'Base stats'!B:B,'Base stats'!AS:AS)/1000)^(2/3)+_xlfn.XLOOKUP(B307,'Base stats'!B:B,'Base stats'!AY:AY)+_xlfn.XLOOKUP(B307,'Base stats'!B:B,'Base stats'!BA:BA))+0.5,0.5))</f>
        <v>5.5</v>
      </c>
      <c r="AJ307" s="7">
        <f>IF(AI307="No","No",MAX(_xlfn.XLOOKUP(_xlfn.XLOOKUP(B307,'Base stats'!B:B,'Base stats'!E:E),Groups!A:A,Groups!AE:AE),MROUND(_xlfn.XLOOKUP(_xlfn.XLOOKUP(B307,'Base stats'!B:B,'Base stats'!E:E),Groups!A:A,Groups!AE:AE)*IF(_xlfn.XLOOKUP(_xlfn.XLOOKUP(B307,'Base stats'!B:B,'Base stats'!E:E),Groups!A:A,Groups!AJ:AJ)="Photonozoa",0.6,1)*_xlfn.XLOOKUP(B307,'Base stats'!B:B,'Base stats'!C:C)^0.165,0.05)))</f>
        <v>1.25</v>
      </c>
      <c r="AK307" s="7" t="str">
        <f>IF(AI307="No","No",_xlfn.XLOOKUP(_xlfn.XLOOKUP(B307,'Base stats'!B:B,'Base stats'!E:E),Groups!A:A,Groups!AF:AF))</f>
        <v>Arms</v>
      </c>
      <c r="AL307" s="7" t="str">
        <f>IF(AI307="No","No",_xlfn.XLOOKUP(_xlfn.XLOOKUP(B307,'Base stats'!B:B,'Base stats'!E:E),Groups!A:A,Groups!AG:AG))</f>
        <v>tentacles</v>
      </c>
      <c r="AM307" s="7" t="str">
        <f>IF(AI307="No","No",_xlfn.XLOOKUP(_xlfn.XLOOKUP(B307,'Base stats'!B:B,'Base stats'!E:E),Groups!A:A,Groups!AH:AH))</f>
        <v>Blunt</v>
      </c>
      <c r="AN307" s="2" t="str">
        <f t="shared" si="28"/>
        <v>No</v>
      </c>
      <c r="AO307" s="2">
        <f>MROUND(IF(AND(_xlfn.XLOOKUP(B307,'Base stats'!B:B,'Base stats'!C:C)&gt;=0.5,_xlfn.XLOOKUP(B307,'Base stats'!B:B,'Base stats'!C:C)&lt;=0.8),
IF(_xlfn.XLOOKUP(B307,'Base stats'!B:B,'Base stats'!C:C)&lt;0.1,0.05,IF(_xlfn.XLOOKUP(B307,'Base stats'!B:B,'Base stats'!C:C)&lt;=70,(_xlfn.XLOOKUP(B307,'Base stats'!B:B,'Base stats'!C:C)/70)^0.426489913056526,IF(_xlfn.XLOOKUP(B307,'Base stats'!B:B,'Base stats'!C:C)&lt;=400,(_xlfn.XLOOKUP(B307,'Base stats'!B:B,'Base stats'!C:C)/70)^0.572811455315093,IF(_xlfn.XLOOKUP(B307,'Base stats'!B:B,'Base stats'!C:C)&lt;=2000,2.71391647193063*(_xlfn.XLOOKUP(B307,'Base stats'!B:B,'Base stats'!C:C)/400)^0.252459582904293,3.74314280240376*(_xlfn.XLOOKUP(B307,'Base stats'!B:B,'Base stats'!C:C)/2000)^0.357012633876913)))),
IF(_xlfn.XLOOKUP(B307,'Base stats'!B:B,'Base stats'!C:C)&lt;0.1,0.05,IF(_xlfn.XLOOKUP(B307,'Base stats'!B:B,'Base stats'!C:C)&lt;0.4,0.1,IF(_xlfn.XLOOKUP(B307,'Base stats'!B:B,'Base stats'!C:C)&lt;=70,(_xlfn.XLOOKUP(B307,'Base stats'!B:B,'Base stats'!C:C)/70)^0.445823913056526,IF(_xlfn.XLOOKUP(B307,'Base stats'!B:B,'Base stats'!C:C)&lt;=400,(_xlfn.XLOOKUP(B307,'Base stats'!B:B,'Base stats'!C:C)/70)^0.572811455315093,IF(_xlfn.XLOOKUP(B307,'Base stats'!B:B,'Base stats'!C:C)&lt;=2000,2.71391647193063*(_xlfn.XLOOKUP(B307,'Base stats'!B:B,'Base stats'!C:C)/400)^0.252459582904293,3.74314280240376*(_xlfn.XLOOKUP(B307,'Base stats'!B:B,'Base stats'!C:C)/2000)^0.357012633876913)))))),
IF(_xlfn.XLOOKUP(B307,'Base stats'!B:B,'Base stats'!C:C)&lt;0.1,0.05,IF(_xlfn.XLOOKUP(B307,'Base stats'!B:B,'Base stats'!C:C)&lt;=100,0.05,IF(_xlfn.XLOOKUP(B307,'Base stats'!B:B,'Base stats'!C:C)&lt;=250,0.1,IF(_xlfn.XLOOKUP(B307,'Base stats'!B:B,'Base stats'!C:C)&lt;=4000,0.25,0.5)))))</f>
        <v>0.55000000000000004</v>
      </c>
      <c r="AP307" s="8">
        <f>MROUND(AO307*_xlfn.XLOOKUP(_xlfn.XLOOKUP(B307,'Base stats'!B:B,'Base stats'!E:E),Groups!A:A,Groups!AI:AI)*_xlfn.XLOOKUP(B307,'Base stats'!B:B,'Base stats'!Z:Z),0.05)</f>
        <v>0.55000000000000004</v>
      </c>
      <c r="AQ307" s="8">
        <f>MAX(0.01,MROUND(IF(CC307="True",0.196*(AO307*100*1000)^0.889,IF(_xlfn.XLOOKUP(_xlfn.XLOOKUP(B307,'Base stats'!B:B,'Base stats'!E:E),Groups!A:A,Groups!AJ:AJ)="Bird",10.5*(AO307*100*1000)^0.681,4.82*(AO307*100*1000)^0.734))/(4.82*(1*100*1000)^0.734)/IF(AO307&lt;3.5,2,IF(AO307=3.5,1.5,1.25))*(1+0.132282374779864/(AO307^0.994035016789033+0.00905238001496948)),0.05))</f>
        <v>0.1</v>
      </c>
      <c r="AR307" s="9">
        <f>IFERROR(MROUND(_xlfn.XLOOKUP(B307,'Base stats'!B:B,'Base stats'!H:H)/IF(_xlfn.XLOOKUP(B307,'Base stats'!B:B,'Base stats'!I:I)&lt;&gt;1,(122.5/70),1.2),IF(_xlfn.XLOOKUP(B307,'Base stats'!B:B,'Base stats'!H:H)&gt;=30,5,IF(_xlfn.XLOOKUP(B307,'Base stats'!B:B,'Base stats'!H:H)&gt;=15,3,IF(_xlfn.XLOOKUP(B307,'Base stats'!B:B,'Base stats'!H:H)&gt;=10,2,1)))),"Immortal")</f>
        <v>3</v>
      </c>
      <c r="AS307" s="35" t="str">
        <f>IFERROR(IF(OR(_xlfn.XLOOKUP(B307,'Base stats'!B:B,'Base stats'!F:F)="Atypical reproduction",_xlfn.XLOOKUP(B307,'Base stats'!B:B,'Base stats'!F:F)="Lay eggs"),"Lay eggs",MIN(20,MAX(5.5,ROUND(((_xlfn.XLOOKUP(B307,'Base stats'!B:B,'Base stats'!F:F)-25)*(14.5/615) + 5.5)*2,0)/2))),"Unknown")</f>
        <v>Lay eggs</v>
      </c>
      <c r="AT307" s="8">
        <f>IF(_xlfn.XLOOKUP(B307,'Base stats'!B:B,'Base stats'!G:G)="Atypical reproduction","No",IFERROR(MAX(IF(_xlfn.XLOOKUP(B307,'Base stats'!B:B,'Base stats'!G:G)&lt;0.5,0.2,0.3),MROUND(_xlfn.XLOOKUP(B307,'Base stats'!B:B,'Base stats'!G:G)/(365/60),0.2)),"Unknown"))</f>
        <v>0.3</v>
      </c>
      <c r="AU307" s="8">
        <f t="shared" si="29"/>
        <v>0.15000000000000002</v>
      </c>
      <c r="AV307" s="8" t="str">
        <f>IFERROR(IFERROR(MROUND(_xlfn.XLOOKUP(B307,'Base stats'!B:B,'Base stats'!J:J),0.1),"Lay eggs"),"Cannot breed")</f>
        <v>Lay eggs</v>
      </c>
      <c r="AW307" s="2" t="str">
        <f t="shared" si="30"/>
        <v>false</v>
      </c>
      <c r="AX307" s="2" t="str">
        <f>IF(_xlfn.XLOOKUP(_xlfn.XLOOKUP(Animals!B307,'Base stats'!B:B,'Base stats'!E:E),Groups!A:A,Groups!AK:AK)=1,"true","false")</f>
        <v>false</v>
      </c>
      <c r="AY307" s="25" t="str">
        <f>IF(_xlfn.XLOOKUP(B307,'Base stats'!B:B,'Base stats'!Y:Y)="Liquor","Liquor, CarnivoreAnimalStrict",IF(AND(_xlfn.XLOOKUP(B307,'Base stats'!B:B,'Base stats'!Y:Y)="Carnivore",_xlfn.XLOOKUP(_xlfn.XLOOKUP(B307,'Base stats'!B:B,'Base stats'!E:E),Groups!A:A,Groups!AJ:AJ)="Photonozoa"),"CarnivoreAnimalStrict, OvivoreAnimal",IF(_xlfn.XLOOKUP(B307,'Base stats'!B:B,'Base stats'!Y:Y)="Carnivore","CarnivoreAnimal, OvivoreAnimal",IF(_xlfn.XLOOKUP(B307,'Base stats'!B:B,'Base stats'!Y:Y)="Dendrovore","VegetarianRoughAnimal, DendrovoreAnimal",IF(_xlfn.XLOOKUP(B307,'Base stats'!B:B,'Base stats'!Y:Y)="Herbivore","VegetarianRoughAnimal",IF(_xlfn.XLOOKUP(B307,'Base stats'!B:B,'Base stats'!Y:Y)="OmnivoreRough","OmnivoreRoughAnimal, OvivoreAnimal","OmnivoreAnimal, OvivoreAnimal"))))))</f>
        <v>VegetarianRoughAnimal</v>
      </c>
      <c r="AZ307" s="2">
        <f>IF(_xlfn.XLOOKUP(_xlfn.XLOOKUP(B307,'Base stats'!B:B,'Base stats'!E:E),Groups!A:A,Groups!D:D)=1,MROUND((1-J307)*5+1,2)*IF(J307&lt;=0.4,2,1),"No")</f>
        <v>4</v>
      </c>
      <c r="BA307" s="2" t="str">
        <f>IF(AND(_xlfn.XLOOKUP(B307,'Base stats'!B:B,'Base stats'!AH:AH)="&lt;li&gt;Seal&lt;/li&gt;",G307="Odyssey"),"&lt;li&gt;AEXP_Seal&lt;/li&gt;",_xlfn.XLOOKUP(B307,'Base stats'!B:B,'Base stats'!AH:AH))</f>
        <v>No</v>
      </c>
      <c r="BB307" s="2" t="str">
        <f>_xlfn.XLOOKUP(B307,'Base stats'!B:B,'Base stats'!AG:AG)</f>
        <v>No</v>
      </c>
      <c r="BC307" s="23" t="str">
        <f>_xlfn.XLOOKUP(_xlfn.XLOOKUP(B307,'Base stats'!B:B,'Base stats'!E:E),Groups!A:A,Groups!AL:AL)</f>
        <v>Jellyfish</v>
      </c>
      <c r="BD307" s="23">
        <f>MIN(1,MROUND(IF(AND(AO307&lt;0.5,_xlfn.XLOOKUP(B307,'Base stats'!B:B,'Base stats'!AA:AA)=0),0,IF(OR(_xlfn.XLOOKUP(Animals!B307,'Base stats'!B:B,'Base stats'!O:O)=2,_xlfn.XLOOKUP(_xlfn.XLOOKUP(B307,'Base stats'!B:B,'Base stats'!E:E),Groups!A:A,Groups!AN:AN)=0),0,_xlfn.XLOOKUP(_xlfn.XLOOKUP(B307,'Base stats'!B:B,'Base stats'!E:E),Groups!A:A,Groups!AN:AN)/IF(_xlfn.XLOOKUP(Animals!B307,'Base stats'!B:B,'Base stats'!O:O)=1,2,1)))+_xlfn.XLOOKUP(B307,'Base stats'!B:B,'Base stats'!AC:AC),0.005))</f>
        <v>0</v>
      </c>
      <c r="BE307" s="23">
        <f>MIN(1,MROUND(IF(AND(AO307&lt;0.5,_xlfn.XLOOKUP(B307,'Base stats'!B:B,'Base stats'!AA:AA)=0),0,IF(_xlfn.XLOOKUP(_xlfn.XLOOKUP(B307,'Base stats'!B:B,'Base stats'!E:E),Groups!A:A,Groups!AO:AO)=0,0,_xlfn.XLOOKUP(_xlfn.XLOOKUP(B307,'Base stats'!B:B,'Base stats'!E:E),Groups!A:A,Groups!AO:AO)/IF(_xlfn.XLOOKUP(Animals!B307,'Base stats'!B:B,'Base stats'!O:O)=2,3,1)))+_xlfn.XLOOKUP(B307,'Base stats'!B:B,'Base stats'!AD:AD),0.005))</f>
        <v>0</v>
      </c>
      <c r="BF307" s="2" t="str">
        <f>IF(J307&gt;0.3,"No",_xlfn.XLOOKUP(_xlfn.XLOOKUP(Animals!B307,'Base stats'!B:B,'Base stats'!E:E),Groups!A:A,Groups!AP:AP))</f>
        <v>No</v>
      </c>
      <c r="BG307" s="2" t="str">
        <f>IF(AND(J307&lt;=0.65,_xlfn.XLOOKUP(_xlfn.XLOOKUP(Animals!B307,'Base stats'!B:B,'Base stats'!E:E),Groups!A:A,Groups!AP:AP)&lt;&gt;"No",_xlfn.XLOOKUP(_xlfn.XLOOKUP(B307,'Base stats'!B:B,'Base stats'!E:E),Groups!A:A,Groups!D:D)=0),MROUND((80/3)*IF(_xlfn.XLOOKUP(B307,'Base stats'!B:B,'Base stats'!O:O)=2,0.2,AO307) + 24*(1-IF(BF307="No",0,BF307)) + 16/3, 12),"No")</f>
        <v>No</v>
      </c>
      <c r="BH307" s="2">
        <f>IF(AND(_xlfn.XLOOKUP(_xlfn.XLOOKUP(B307,'Base stats'!B:B,'Base stats'!E:E),Groups!A:A,Groups!AQ:AQ)=1,AO307&lt;=0.35),8,12)</f>
        <v>12</v>
      </c>
      <c r="BI307" s="2" t="str">
        <f>IF(_xlfn.XLOOKUP(_xlfn.XLOOKUP(B307,'Base stats'!B:B,'Base stats'!E:E),Groups!A:A,Groups!D:D)=0,_xlfn.XLOOKUP(_xlfn.XLOOKUP(B307,'Base stats'!B:B,'Base stats'!E:E),Groups!A:A,Groups!AR:AR),"None")</f>
        <v>None</v>
      </c>
      <c r="BJ307" s="2" t="str">
        <f>IF(AND(_xlfn.XLOOKUP(_xlfn.XLOOKUP(B307,'Base stats'!B:B,'Base stats'!E:E),Groups!A:A,Groups!AS:AS)=1,OR(_xlfn.XLOOKUP(B307,'Base stats'!B:B,'Base stats'!Y:Y)="Carnivore",_xlfn.XLOOKUP(B307,'Base stats'!B:B,'Base stats'!Y:Y)="Omnivore")),"true","false")</f>
        <v>false</v>
      </c>
      <c r="BK307" s="2" t="str">
        <f>IF(BJ307="true",MROUND(IF(AND(AO307&gt;0.5,OR(_xlfn.XLOOKUP(_xlfn.XLOOKUP(B307,'Base stats'!B:B,'Base stats'!E:E),Groups!A:A,Groups!AJ:AJ)="Photonozoa",_xlfn.XLOOKUP(_xlfn.XLOOKUP(B307,'Base stats'!B:B,'Base stats'!E:E),Groups!A:A,Groups!AJ:AJ)="Mammal")),Animals!AO307*1.75*IF(AW307="true",1.5,1),IF(AO307&lt;0.5,Animals!AO307*0.5,Animals!AO307)),IF(AO307&gt;2,0.5,IF(AO307&gt;0.5,0.25,0.1))),"No")</f>
        <v>No</v>
      </c>
      <c r="BL307" s="2">
        <f t="shared" si="31"/>
        <v>0</v>
      </c>
      <c r="BM307" s="25" t="str">
        <f>IF(_xlfn.XLOOKUP(B307,'Base stats'!B:B,'Base stats'!AN:AN)="Standard","No",MROUND((_xlfn.XLOOKUP(B307,'Base stats'!B:B,'Base stats'!AN:AN)/3.6)/I307,0.1))</f>
        <v>No</v>
      </c>
      <c r="BN307" s="25" t="str">
        <f t="shared" si="32"/>
        <v>false</v>
      </c>
      <c r="BO307" s="25" t="str">
        <f>IF(AND(OR(_xlfn.XLOOKUP(B307,'Base stats'!B:B,'Base stats'!Y:Y)="Carnivore",_xlfn.XLOOKUP(B307,'Base stats'!B:B,'Base stats'!Y:Y)="Omnivore",_xlfn.XLOOKUP(B307,'Base stats'!B:B,'Base stats'!Y:Y)="OmnivoreRough"),_xlfn.XLOOKUP(_xlfn.XLOOKUP(B307,'Base stats'!B:B,'Base stats'!E:E),Groups!A:A,Groups!AT:AT)=1),"true","false")</f>
        <v>false</v>
      </c>
      <c r="BP307" s="25" t="str" cm="1">
        <f t="array" ref="BP307">IF(
  _xlfn.TEXTJOIN(", ",TRUE,
    IF(AND(BJ307="true",AO307&gt;0.5,BI307&lt;&gt;"None"),"AttackTarget",""),
    IF(AND(_xlfn.XLOOKUP(_xlfn.XLOOKUP(B307,'Base stats'!B:B,'Base stats'!E:E),Groups!A:A,Groups!AJ:AJ="Mammal"),OR(_xlfn.XLOOKUP(B307,'Base stats'!B:B,'Base stats'!Y:Y)="Omnivore",_xlfn.XLOOKUP(B307,'Base stats'!B:B,'Base stats'!Y:Y)="OmnivoreRough")),"Forage",""),
    IF(BG307&lt;=36,"Comfort",""),
    IF(_xlfn.XLOOKUP(B307,'Base stats'!B:B,'Base stats'!AE:AE)&lt;&gt;"No",_xlfn.XLOOKUP(B307,'Base stats'!B:B,'Base stats'!AE:AE),"")
  ) = "",
  "No",
  _xlfn.TEXTJOIN(", ",TRUE,
    IF(AND(BJ307="true",AO307&gt;0.5,BI307&lt;&gt;"None"),"AttackTarget",""),
    IF(AND(_xlfn.XLOOKUP(_xlfn.XLOOKUP(B307,'Base stats'!B:B,'Base stats'!E:E),Groups!A:A,Groups!AJ:AJ="Mammal"),OR(_xlfn.XLOOKUP(B307,'Base stats'!B:B,'Base stats'!Y:Y)="Omnivore",_xlfn.XLOOKUP(B307,'Base stats'!B:B,'Base stats'!Y:Y)="OmnivoreRough")),"Forage",""),
    IF(BG307&lt;=36,"Comfort",""),
    IF(_xlfn.XLOOKUP(B307,'Base stats'!B:B,'Base stats'!AE:AE)&lt;&gt;"No",_xlfn.XLOOKUP(B307,'Base stats'!B:B,'Base stats'!AE:AE),"")
  )
)</f>
        <v>No</v>
      </c>
      <c r="BQ307" s="25" t="str">
        <f>IF(
   AND(
      'Base stats'!AN307="Standard",_xlfn.XLOOKUP(_xlfn.XLOOKUP(B307,'Base stats'!B:B,'Base stats'!E:E),Groups!A:A,Groups!AU:AU)=0,
      OR(
      BO307="True"
      )
   ),
   10,
   IF(
       OR(BM307&lt;&gt;"No",_xlfn.XLOOKUP(_xlfn.XLOOKUP(B307,'Base stats'!B:B,'Base stats'!E:E),Groups!A:A,Groups!AU:AU)=1),
      1,
      "No"
   )
)</f>
        <v>No</v>
      </c>
      <c r="BR307" s="9">
        <f>MROUND((1 + ((0.2*IF(OR(Q307="No",R307="No",R307=0),0,Q307/R307)
+IF(OR(V307="No",S307="No",T307="No"),0,S307/T307*(LEN(V307)-LEN(SUBSTITUTE(V307,",",""))+1))
+IF(OR(X307="No",Y307="No"),0,X307/Y307)
+IF(OR(AD307="No",AE307="No"),0,AD307/AE307)
+IF(OR(AL307="No",AI307="No",AJ307="No"),0,AI307/AJ307*(LEN(AL307)-LEN(SUBSTITUTE(AL307,",",""))+1))
)/(0.2*IF(OR(Q307="No",R307="No",R307=0),0,1)
+IF(OR(V307="No",S307="No",T307="No"),0,LEN(V307)-LEN(SUBSTITUTE(V307,",",""))+1)
+IF(OR(X307="No",Y307="No"),0,1)
+IF(OR(AD307="No",AE307="No"),0,1)
+IF(OR(AL307="No",AI307="No",AJ307="No"),0,LEN(AL307)-LEN(SUBSTITUTE(AL307,",",""))+1))*62%)* 2)*(1 + (AP307 / (IF(_xlfn.XLOOKUP(_xlfn.XLOOKUP(B307,'Base stats'!B:B,'Base stats'!E:E),Groups!A:A,Groups!AJ:AJ)="Photonozoa",0.3,1)) + _xlfn.XLOOKUP(B307,'Base stats'!B:B,'Base stats'!AV:AV) * 1.8) * 2) * 2.5 + 10 + I307 * 2,5)+IF(_xlfn.XLOOKUP(B307,'Base stats'!B:B,'Base stats'!AK:AK)=1,50,0)</f>
        <v>100</v>
      </c>
      <c r="BS307" s="8">
        <f t="shared" si="33"/>
        <v>0.2</v>
      </c>
      <c r="BT307" s="8" t="str">
        <f>_xlfn.XLOOKUP(B307,'Base stats'!B:B,'Base stats'!AF:AF)</f>
        <v>No</v>
      </c>
      <c r="BU307" s="2" t="str">
        <f>IF(AND(J307&lt;=0.95,OR(_xlfn.XLOOKUP(B307,'Base stats'!B:B,'Base stats'!AK:AK)=1,_xlfn.XLOOKUP(B307,'Base stats'!B:B,'Base stats'!Y:Y)="Carnivore",_xlfn.XLOOKUP(B307,'Base stats'!B:B,'Base stats'!Y:Y)="Omnivore",BE307&gt;0.1)),"true","false")</f>
        <v>true</v>
      </c>
      <c r="BV307" s="2" t="str">
        <f>IF(_xlfn.XLOOKUP(B307,'Base stats'!B:B,'Base stats'!AI:AI)=1,"true","false")</f>
        <v>false</v>
      </c>
      <c r="BW307" s="25" t="str">
        <f>IF(E307="BaseInsect","AnimalInsect",
IF(J307&gt;0.95,"AnimalExotic",
_xlfn.TEXTJOIN(", ",TRUE,
IF(OR(_xlfn.XLOOKUP(B307,'Base stats'!B:B,'Base stats'!AM:AM)=1,AND(_xlfn.XLOOKUP(B307,'Base stats'!B:B,'Base stats'!O:O)=0,_xlfn.XLOOKUP(_xlfn.XLOOKUP(B307,'Base stats'!B:B,'Base stats'!E:E),Groups!A:A,Groups!B:B)&gt;0)),"AnimalUncommon","AnimalCommon"),
IF(AND(_xlfn.XLOOKUP(B307,'Base stats'!B:B,'Base stats'!O:O)=2,_xlfn.XLOOKUP(_xlfn.XLOOKUP(B307,'Base stats'!B:B,'Base stats'!E:E),Groups!A:A,Groups!D:D)=0),"AnimalPet",IF(AND(_xlfn.XLOOKUP(B307,'Base stats'!B:B,'Base stats'!O:O)&lt;&gt;0,_xlfn.XLOOKUP(_xlfn.XLOOKUP(B307,'Base stats'!B:B,'Base stats'!E:E),Groups!A:A,Groups!D:D)&lt;&gt;0),"AnimalFarm","")),
IF(OR(_xlfn.XLOOKUP(B307,'Base stats'!B:B,'Base stats'!AK:AK)=1,AND(BI307&lt;&gt;"None",BR307&gt;=60),ISNUMBER(SEARCH("Attack target",BP307))),"AnimalFighter","")
)))</f>
        <v>AnimalUncommon, AnimalFighter</v>
      </c>
      <c r="BX307" s="25" t="str">
        <f>IF(G307="None",TRIM(
SUBSTITUTE(
IF(COUNTIF(Biomes!B$2:B$259,"="&amp;$C307)&gt;0,Biomes!B$1&amp;", ","")&amp;
IF(COUNTIF(Biomes!C$2:C$259,"="&amp;$C307)&gt;0,Biomes!C$1&amp;", ","")&amp;
IF(COUNTIF(Biomes!D$2:D$259,"="&amp;$C307)&gt;0,Biomes!D$1&amp;", ","")&amp;
IF(COUNTIF(Biomes!F$2:F$259,"="&amp;$C307)&gt;0,Biomes!F$1&amp;", ","")&amp;
IF(COUNTIF(Biomes!G$2:G$259,"="&amp;$C307)&gt;0,Biomes!G$1&amp;", ","")&amp;
IF(COUNTIF(Biomes!H$2:H$259,"="&amp;$C307)&gt;0,Biomes!H$1&amp;", ","")&amp;
IF(COUNTIF(Biomes!I$2:I$259,"="&amp;$C307)&gt;0,Biomes!I$1&amp;", ","")&amp;
IF(COUNTIF(Biomes!J$2:J$259,"="&amp;$C307)&gt;0,Biomes!J$1&amp;", ","")&amp;
IF(COUNTIF(Biomes!M$2:M$259,"="&amp;$C307)&gt;0,Biomes!M$1&amp;", ","")&amp;
IF(COUNTIF(Biomes!N$2:N$259,"="&amp;$C307)&gt;0,Biomes!N$1&amp;", ","")&amp;
IF(COUNTIF(Biomes!O$2:O$259,"="&amp;$C307)&gt;0,Biomes!O$1&amp;", ","")&amp;
IF(COUNTIF(Biomes!P$2:P$259,"="&amp;$C307)&gt;0,Biomes!P$1&amp;", ","")&amp;
IF(COUNTIF(Biomes!K$2:K$259,"="&amp;$C307)&gt;0,Biomes!K$1&amp;", ","")&amp;
IF(COUNTIF(Biomes!Q$3:Q$259,"="&amp;$C307)&gt;0,Biomes!Q$1&amp;", ","")&amp;
IF(COUNTIF(Biomes!L$2:L$259,"="&amp;$C307)&gt;0,Biomes!L$1&amp;", ","")&amp;
IF(COUNTIF(Biomes!E$2:E$259,"="&amp;$C307)&gt;0,Biomes!E$1&amp;", ","")&amp;IF(COUNTIF(Biomes!S$2:S$259,"="&amp;$C307)&gt;0,Biomes!S$1&amp;", ","")&amp;
IF(COUNTIF(Biomes!R$2:R$259,"="&amp;$C307)&gt;0,Biomes!R$1&amp;", ",""),", ","")
),_xlfn.XLOOKUP(B307,B:B,BX:BX))</f>
        <v/>
      </c>
      <c r="BY307" s="25" t="str">
        <f>IF(_xlfn.XLOOKUP(B307,'Base stats'!B:B,'Base stats'!AJ:AJ)=1,"true","false")</f>
        <v>false</v>
      </c>
      <c r="BZ307" s="25">
        <f>IF(_xlfn.XLOOKUP(B307,'Base stats'!B:B,'Base stats'!N:N)=1,"No",MAX(0.001,MIN(MROUND(IF(AND(BJ307="True",CC307="False"),POWER(10,3.47*LOG10(_xlfn.XLOOKUP(B307,'Base stats'!B:B,'Base stats'!C:C)*1000)^-0.96),POWER(10,4.15*LOG10(_xlfn.XLOOKUP(B307,'Base stats'!B:B,'Base stats'!C:C)*1000)^-0.73))*IF(_xlfn.XLOOKUP(B307,'Base stats'!B:B,'Base stats'!AK:AK)=1,0.5,1)*IF(_xlfn.XLOOKUP(B307,'Base stats'!B:B,'Base stats'!AM:AM)=1,0.1,1)/100,IF(_xlfn.XLOOKUP(B307,'Base stats'!B:B,'Base stats'!AM:AM)=1,0.001,0.025)),0.5)))</f>
        <v>1.3000000000000001E-2</v>
      </c>
      <c r="CA307" s="25" t="str">
        <f>IF(P307="Standard","No",MAX(0.001,MIN(MROUND(IF(AND(BJ307="True",CC307="False"),POWER(10,3.47*LOG10(_xlfn.XLOOKUP(B307,'Base stats'!B:B,'Base stats'!C:C)*1000)^-0.96),POWER(10,4.15*LOG10(_xlfn.XLOOKUP(B307,'Base stats'!B:B,'Base stats'!C:C)*1000)^-0.73))*IF(_xlfn.XLOOKUP(B307,'Base stats'!B:B,'Base stats'!AM:AM)=1,0.1,1)*_xlfn.XLOOKUP(B307,'Base stats'!B:B,'Base stats'!R:R)/100,IF(_xlfn.XLOOKUP(B307,'Base stats'!B:B,'Base stats'!AM:AM)=1,0.001,0.025)),0.5)))</f>
        <v>No</v>
      </c>
      <c r="CB307" s="25" t="str">
        <f>IF(_xlfn.XLOOKUP(_xlfn.XLOOKUP(B307,'Base stats'!B:B,'Base stats'!E:E),Groups!A:A,Groups!AJ:AJ)="Mammal","True","False")</f>
        <v>False</v>
      </c>
      <c r="CC307" s="25" t="str">
        <f>IF(OR(_xlfn.XLOOKUP(_xlfn.XLOOKUP(B307,'Base stats'!B:B,'Base stats'!E:E),Groups!A:A,Groups!AJ:AJ)="Reptile",_xlfn.XLOOKUP(_xlfn.XLOOKUP(B307,'Base stats'!B:B,'Base stats'!E:E),Groups!A:A,Groups!AJ:AJ)="Amphibian",_xlfn.XLOOKUP(_xlfn.XLOOKUP(B307,'Base stats'!B:B,'Base stats'!E:E),Groups!A:A,Groups!AJ:AJ)="Invertebrate"),"True","False")</f>
        <v>True</v>
      </c>
      <c r="CD307" s="25" t="str">
        <f t="shared" si="34"/>
        <v>False</v>
      </c>
      <c r="CE307" s="25" t="str">
        <f>IF(_xlfn.XLOOKUP(_xlfn.XLOOKUP(B307,'Base stats'!B:B,'Base stats'!E:E),Groups!A:A,Groups!AX:AX),"True","False")</f>
        <v>False</v>
      </c>
      <c r="CF307" s="25" t="str">
        <f>IF(_xlfn.XLOOKUP(_xlfn.XLOOKUP(B307,'Base stats'!B:B,'Base stats'!E:E),Groups!A:A,Groups!AY:AY),"True","False")</f>
        <v>False</v>
      </c>
      <c r="CG307" s="25" t="str">
        <f>IF(_xlfn.XLOOKUP(_xlfn.XLOOKUP(B307,'Base stats'!B:B,'Base stats'!E:E),Groups!A:A,Groups!AW:AW),"True","False")</f>
        <v>False</v>
      </c>
      <c r="CH307" s="25" t="str">
        <f>IF(
OR(
_xlfn.XLOOKUP(_xlfn.XLOOKUP(B307,'Base stats'!B:B,'Base stats'!E:E),Groups!A:A,Groups!AZ:AZ)=0,
AND(
_xlfn.XLOOKUP(B307,'Base stats'!B:B,'Base stats'!Y:Y)&lt;&gt;"Carnivore",
_xlfn.XLOOKUP(B307,'Base stats'!B:B,'Base stats'!Y:Y)&lt;&gt;"Omnivore",
_xlfn.XLOOKUP(B307,'Base stats'!B:B,'Base stats'!Y:Y)&lt;&gt;"OmnivoreRough"
)
),
"No",
IF(
_xlfn.XLOOKUP(_xlfn.XLOOKUP(B307,'Base stats'!B:B,'Base stats'!E:E),Groups!A:A,Groups!AZ:AZ)=1,
"Flesh",
IF(
_xlfn.XLOOKUP(_xlfn.XLOOKUP(B307,'Base stats'!B:B,'Base stats'!E:E),Groups!A:A,Groups!AZ:AZ)=2,
"Bone",
""
)
)
)</f>
        <v>No</v>
      </c>
      <c r="CI307" s="25" t="str">
        <f>IF(_xlfn.XLOOKUP(_xlfn.XLOOKUP(B307,'Base stats'!B:B,'Base stats'!E:E),Groups!A:A,Groups!BB:BB),"True","False")</f>
        <v>False</v>
      </c>
      <c r="CJ307" s="25" t="str">
        <f>IF(_xlfn.XLOOKUP(_xlfn.XLOOKUP(B307,'Base stats'!B:B,'Base stats'!E:E),Groups!A:A,Groups!BA:BA),"True","False")</f>
        <v>False</v>
      </c>
    </row>
    <row r="308" spans="1:88" ht="16.5" thickTop="1" thickBot="1" x14ac:dyDescent="0.3">
      <c r="A308" s="26" t="s">
        <v>1528</v>
      </c>
      <c r="B308" s="6" t="str">
        <f>_xlfn.XLOOKUP(A308,'Base stats'!A:A,'Base stats'!B:B)</f>
        <v>Noctiluca oculatus</v>
      </c>
      <c r="C308" s="28" t="s">
        <v>1529</v>
      </c>
      <c r="D308" s="28" t="s">
        <v>1341</v>
      </c>
      <c r="E308" s="28" t="s">
        <v>673</v>
      </c>
      <c r="F308" s="28" t="s">
        <v>673</v>
      </c>
      <c r="G308" s="28" t="s">
        <v>673</v>
      </c>
      <c r="H308" s="2">
        <f>MROUND((
  (IF(AND(_xlfn.XLOOKUP(B308,'Base stats'!B:B,'Base stats'!AL:AL)=0,BI308="None",_xlfn.XLOOKUP(_xlfn.XLOOKUP(B308,'Base stats'!B:B,'Base stats'!E:E),Groups!A:A,Groups!B:B)=0), (18 + BR308 * 2.7) * 0.5,
    IF(AND(_xlfn.XLOOKUP(B308,'Base stats'!B:B,'Base stats'!AL:AL)=0,OR(AO308&lt;0.55,AND(BI308="Intermediate",_xlfn.XLOOKUP(_xlfn.XLOOKUP(B308,'Base stats'!B:B,'Base stats'!E:E),Groups!A:A,Groups!B:B)&lt;2))), (18 + BR308 * 2.7),
      IF(OR(BI308="Advanced",_xlfn.XLOOKUP(B308,'Base stats'!B:B,'Base stats'!AL:AL)=1,_xlfn.XLOOKUP(_xlfn.XLOOKUP(B308,'Base stats'!B:B,'Base stats'!E:E),Groups!A:A,Groups!B:B)=2), (18 + BR308 * 2.7) + 250, (18 + BR308 * 2.7))
    )
  ))
  + AO308 * 80
  + IF(COUNTIF(EggMilk!K$2:K$998, A308) &gt; 0, 125, 0)
  + IF(COUNTIF(EggMilk!P$2:P$998, A308) &gt; 0, 90, 0)
  + IF(COUNTIF(EggMilk!A$2:A$998, A308) &gt; 0, 90, 0)
)
* (0.8 + 0.4 * J308)
* 0.75,25)</f>
        <v>375</v>
      </c>
      <c r="I308" s="2">
        <f>MROUND(ROUNDDOWN(_xlfn.XLOOKUP(B308,'Base stats'!B:B,'Base stats'!L:L)/3.6/(23.3/11),1),0.5)</f>
        <v>8.5</v>
      </c>
      <c r="J308" s="2">
        <f>IF(OR(_xlfn.XLOOKUP(B308,'Base stats'!B:B,'Base stats'!AB:AB)=1,_xlfn.XLOOKUP(_xlfn.XLOOKUP(B308,'Base stats'!B:B,'Base stats'!E:E),Groups!A:A,Groups!C:C)="Untamable"),1,IF(_xlfn.XLOOKUP(B308,'Base stats'!B:B,'Base stats'!AL:AL)=1,0.99,MIN(MROUND((1-0.6282*EXP(-0.459*AO308))*_xlfn.XLOOKUP(_xlfn.XLOOKUP(B308,'Base stats'!B:B,'Base stats'!E:E),Groups!A:A,Groups!C:C)*IF(_xlfn.XLOOKUP(B308,'Base stats'!B:B,'Base stats'!O:O)=1,0.5,IF(_xlfn.XLOOKUP(B308,'Base stats'!B:B,'Base stats'!O:O)=2,0,1)),0.05),IF(AO308&gt;3.5,0.985,0.95))))</f>
        <v>0.8</v>
      </c>
      <c r="K308" s="2">
        <f>ROUNDUP(AO308*_xlfn.XLOOKUP(_xlfn.XLOOKUP(B308,'Base stats'!B:B,'Base stats'!E:E),Groups!A:A,Groups!E:E),0)</f>
        <v>2</v>
      </c>
      <c r="L308" s="2">
        <f>IF(OR(_xlfn.XLOOKUP(_xlfn.XLOOKUP(B308,'Base stats'!B:B,'Base stats'!E:E),Groups!A:A,Groups!F:F)=2,ISNUMBER(SEARCH("SeaIce",BX308)),ISNUMBER(SEARCH("IceSheet",BX308))),-50,IF(OR(ISNUMBER(SEARCH("GlacialPlain",BX308)),ISNUMBER(SEARCH("Tundra",BX308))),-40,IF(OR(ISNUMBER(SEARCH("Alpine",BX308)),ISNUMBER(SEARCH("BorealForest",BX308)),ISNUMBER(SEARCH("ColdBog",BX308))),-30,IF(OR(ISNUMBER(SEARCH("TemperateForest",BX308)),ISNUMBER(SEARCH("TemperateSwamp",BX308))),-20,IF(_xlfn.XLOOKUP(_xlfn.XLOOKUP(B308,'Base stats'!B:B,'Base stats'!E:E),Groups!A:A,Groups!F:F)=1,-15,IF(OR(ISNUMBER(SEARCH("Desert",BX308)),ISNUMBER(SEARCH("ExtremeDesert",BX308))),-10,IF(OR(ISNUMBER(SEARCH("Grasslands",BX308)),ISNUMBER(SEARCH("TropicalRainforest",BX308)),ISNUMBER(SEARCH("TropicalSwamp",BX308))),10,0)))))))-IF(CC308="False",MIN(IFERROR(MAX(MROUND(LOG10(_xlfn.XLOOKUP(B308,'Base stats'!B:B,'Base stats'!C:C)^(2/3))*10,5),5),5),30))-_xlfn.XLOOKUP(B308,'Base stats'!B:B,'Base stats'!P:P)+IF(CC308="True",5,0)</f>
        <v>-30</v>
      </c>
      <c r="M308" s="2">
        <f>IF(OR(_xlfn.XLOOKUP(_xlfn.XLOOKUP(B308,'Base stats'!B:B,'Base stats'!E:E),Groups!A:A,Groups!G:G)=2,ISNUMBER(SEARCH("Desert",BX308)),ISNUMBER(SEARCH("ExtremeDesert",BX308)),ISNUMBER(SEARCH("LavaField",BX308))),50,IF(ISNUMBER(SEARCH("Grasslands",BX308)),45,IF(OR(_xlfn.XLOOKUP(_xlfn.XLOOKUP(B308,'Base stats'!B:B,'Base stats'!E:E),Groups!A:A,Groups!G:G)=1,ISNUMBER(SEARCH("TropicalRainforest",BX308)),ISNUMBER(SEARCH("TropicalSwamp",BX308))),40,IF(OR(ISNUMBER(SEARCH("TemperateForest",BX308)),ISNUMBER(SEARCH("TemperateSwamp",BX308))),35,IF(OR(ISNUMBER(SEARCH("Alpine",BX308)),ISNUMBER(SEARCH("BorealForest",BX308)),ISNUMBER(SEARCH("ColdBog",BX308))),30,IF(ISNUMBER(OR(ISNUMBER(SEARCH("GlacialPlain",BX308)),SEARCH("Tundra",BX308))),25,IF(OR(ISNUMBER(SEARCH("SeaIce",BX308)),ISNUMBER(SEARCH("IceSheet",BX308)),ISNUMBER(SEARCH("TropicalSwamp",BX308))),10,35)))))))+_xlfn.XLOOKUP(B308,'Base stats'!B:B,'Base stats'!Q:Q)</f>
        <v>35</v>
      </c>
      <c r="N308" s="8" t="str">
        <f>IF(
_xlfn.XLOOKUP(
_xlfn.XLOOKUP(B308,'Base stats'!B:B,'Base stats'!E:E),
Groups!A:A,
Groups!L:L
)=1,
MIN(
MROUND(
IF(
_xlfn.XLOOKUP(B308,'Animals CE'!B:B,'Animals CE'!Z:Z)&lt;=1.5,
_xlfn.XLOOKUP(B308,'Animals CE'!B:B,'Animals CE'!Z:Z)/2+0.05,
0.8+
(_xlfn.XLOOKUP(B308,'Animals CE'!B:B,'Animals CE'!Z:Z)-1.5)
*0.02
),
0.05
),
200%
),
"No"
)</f>
        <v>No</v>
      </c>
      <c r="O308" s="8" t="str">
        <f>IF(
_xlfn.XLOOKUP(
_xlfn.XLOOKUP(B308,'Base stats'!B:B,'Base stats'!E:E),
Groups!A:A,
Groups!L:L
)=1,
MIN(
MROUND(
IF(
_xlfn.XLOOKUP(B308,'Animals CE'!B:B,'Animals CE'!AA:AA)&lt;=1.5,
_xlfn.XLOOKUP(B308,'Animals CE'!B:B,'Animals CE'!AA:AA)/2+0.05,
0.8+
(_xlfn.XLOOKUP(B308,'Animals CE'!B:B,'Animals CE'!AA:AA)-1.5)
*0.02
),
0.05
),
200%
),
"No"
)</f>
        <v>No</v>
      </c>
      <c r="P308" s="2" t="str">
        <f>_xlfn.XLOOKUP(B308,'Base stats'!B:B,'Base stats'!R:R)</f>
        <v>Standard</v>
      </c>
      <c r="Q308" s="13">
        <f>MROUND((LOG10(_xlfn.XLOOKUP(B308,'Base stats'!B:B,'Base stats'!AR:AR))*(AO308^0.5)+(_xlfn.XLOOKUP(B308,'Base stats'!B:B,'Base stats'!AR:AR)/1000)^(2/3)+_xlfn.XLOOKUP(B308,'Base stats'!B:B,'Base stats'!BA:BA)/2)+0.5,0.5)</f>
        <v>7.5</v>
      </c>
      <c r="R308" s="7">
        <f>IF(Q308="No","No",MAX(1,MROUND(_xlfn.XLOOKUP(B308,'Base stats'!B:B,'Base stats'!C:C)^0.165,0.05)))</f>
        <v>2.1</v>
      </c>
      <c r="S308" s="13" t="str">
        <f>IF(_xlfn.XLOOKUP(_xlfn.XLOOKUP(B308,'Base stats'!B:B,'Base stats'!E:E),Groups!A:A,Groups!P:P)=0,"No",MROUND((LOG10(_xlfn.XLOOKUP(B308,'Base stats'!B:B,'Base stats'!AS:AS))*(AO308^0.5)+(_xlfn.XLOOKUP(B308,'Base stats'!B:B,'Base stats'!AS:AS)/1000)^(2/3)+_xlfn.XLOOKUP(B308,'Base stats'!B:B,'Base stats'!BA:BA))+_xlfn.XLOOKUP(B308,'Base stats'!B:B,'Base stats'!AY:AY)+0.5,0.5))</f>
        <v>No</v>
      </c>
      <c r="T308" s="7" t="str">
        <f>IF(S308="No","No",MAX(_xlfn.XLOOKUP(_xlfn.XLOOKUP(B308,'Base stats'!B:B,'Base stats'!E:E),Groups!A:A,Groups!Q:Q),MROUND(_xlfn.XLOOKUP(_xlfn.XLOOKUP(B308,'Base stats'!B:B,'Base stats'!E:E),Groups!A:A,Groups!Q:Q)*_xlfn.XLOOKUP(B308,'Base stats'!B:B,'Base stats'!C:C)^0.165,0.05)))</f>
        <v>No</v>
      </c>
      <c r="U308" s="7" t="str">
        <f>IF(S308="No","No",_xlfn.XLOOKUP(_xlfn.XLOOKUP(B308,'Base stats'!B:B,'Base stats'!E:E),Groups!A:A,Groups!R:R))</f>
        <v>No</v>
      </c>
      <c r="V308" s="7" t="str">
        <f>IF(S308="No","No",_xlfn.XLOOKUP(_xlfn.XLOOKUP(B308,'Base stats'!B:B,'Base stats'!E:E),Groups!A:A,Groups!S:S))</f>
        <v>No</v>
      </c>
      <c r="W308" s="7" t="str">
        <f>IF(S308="No","No",_xlfn.XLOOKUP(_xlfn.XLOOKUP(B308,'Base stats'!B:B,'Base stats'!E:E),Groups!A:A,Groups!T:T))</f>
        <v>No</v>
      </c>
      <c r="X308" s="13" t="str">
        <f>IF(_xlfn.XLOOKUP(B308,'Base stats'!B:B,'Base stats'!W:W)="No","No",MROUND((LOG10(_xlfn.XLOOKUP(B308,'Base stats'!B:B,'Base stats'!AU:AU))*(AO308^0.5)+(_xlfn.XLOOKUP(B308,'Base stats'!B:B,'Base stats'!AU:AU)/1000)^(2/3)+_xlfn.XLOOKUP(B308,'Base stats'!B:B,'Base stats'!AZ:AZ))+0.5+IF(_xlfn.XLOOKUP(_xlfn.XLOOKUP(B308,'Base stats'!B:B,'Base stats'!E:E),Groups!A:A,Groups!U:U)&lt;&gt;3,_xlfn.XLOOKUP(B308,'Base stats'!B:B,'Base stats'!BA:BA),0),0.5))</f>
        <v>No</v>
      </c>
      <c r="Y308" s="7" t="str">
        <f>IF(X308="No","No",MAX(_xlfn.XLOOKUP(_xlfn.XLOOKUP(B308,'Base stats'!B:B,'Base stats'!E:E),Groups!A:A,Groups!V:V),MROUND(_xlfn.XLOOKUP(_xlfn.XLOOKUP(B308,'Base stats'!B:B,'Base stats'!E:E),Groups!A:A,Groups!V:V)*_xlfn.XLOOKUP(B308,'Base stats'!B:B,'Base stats'!C:C)^0.165,0.05)))</f>
        <v>No</v>
      </c>
      <c r="Z308" s="7" t="str">
        <f>IF(X308="No","No",_xlfn.XLOOKUP(_xlfn.XLOOKUP(B308,'Base stats'!B:B,'Base stats'!E:E),Groups!A:A,Groups!W:W))</f>
        <v>No</v>
      </c>
      <c r="AA308" s="7" t="str">
        <f>IF(X308="No","No",_xlfn.XLOOKUP(_xlfn.XLOOKUP(B308,'Base stats'!B:B,'Base stats'!E:E),Groups!A:A,Groups!X:X))</f>
        <v>No</v>
      </c>
      <c r="AB308" s="7" t="str">
        <f>IF(X308="No","No",_xlfn.XLOOKUP(_xlfn.XLOOKUP(B308,'Base stats'!B:B,'Base stats'!E:E),Groups!A:A,Groups!Y:Y))</f>
        <v>No</v>
      </c>
      <c r="AC308" s="7" t="str">
        <f>_xlfn.XLOOKUP(Animals!B308,'Base stats'!B:B,'Base stats'!X:X)</f>
        <v>False</v>
      </c>
      <c r="AD308" s="13">
        <f>IF(_xlfn.XLOOKUP(B308,'Base stats'!B:B,'Base stats'!AT:AT)="No","No",MROUND((LOG10(_xlfn.XLOOKUP(B308,'Base stats'!B:B,'Base stats'!AT:AT))*(AO308^0.75)+(_xlfn.XLOOKUP(B308,'Base stats'!B:B,'Base stats'!AT:AT)/1000)^(2/3)+_xlfn.XLOOKUP(B308,'Base stats'!B:B,'Base stats'!AX:AX)+_xlfn.XLOOKUP(B308,'Base stats'!B:B,'Base stats'!BA:BA))+0.5,0.5))</f>
        <v>13</v>
      </c>
      <c r="AE308" s="7">
        <f>IF(AD308="No","No",MAX(_xlfn.XLOOKUP(_xlfn.XLOOKUP(B308,'Base stats'!B:B,'Base stats'!E:E),Groups!A:A,Groups!Z:Z),MROUND(_xlfn.XLOOKUP(_xlfn.XLOOKUP(B308,'Base stats'!B:B,'Base stats'!E:E),Groups!A:A,Groups!Z:Z)*_xlfn.XLOOKUP(B308,'Base stats'!B:B,'Base stats'!C:C)^0.165,0.05)))</f>
        <v>1.6500000000000001</v>
      </c>
      <c r="AF308" s="7" t="str">
        <f>IF(AD308="No","No",_xlfn.XLOOKUP(_xlfn.XLOOKUP(B308,'Base stats'!B:B,'Base stats'!E:E),Groups!A:A,Groups!AA:AA))</f>
        <v>Teeth</v>
      </c>
      <c r="AG308" s="7" t="str">
        <f>IF(AD308="No","No",_xlfn.XLOOKUP(_xlfn.XLOOKUP(B308,'Base stats'!B:B,'Base stats'!E:E),Groups!A:A,Groups!AB:AB))</f>
        <v>canines</v>
      </c>
      <c r="AH308" s="7" t="str">
        <f>IF(AD308="No","No",_xlfn.XLOOKUP(_xlfn.XLOOKUP(B308,'Base stats'!B:B,'Base stats'!E:E),Groups!A:A,Groups!AC:AC))</f>
        <v>Bite</v>
      </c>
      <c r="AI308" s="13">
        <f>IF(_xlfn.XLOOKUP(_xlfn.XLOOKUP(B308,'Base stats'!B:B,'Base stats'!E:E),Groups!A:A,Groups!AD:AD)=0,"No",MROUND((LOG10(_xlfn.XLOOKUP(B308,'Base stats'!B:B,'Base stats'!AS:AS))*(AO308^0.75)+(_xlfn.XLOOKUP(B308,'Base stats'!B:B,'Base stats'!AS:AS)/1000)^(2/3)+_xlfn.XLOOKUP(B308,'Base stats'!B:B,'Base stats'!AY:AY)+_xlfn.XLOOKUP(B308,'Base stats'!B:B,'Base stats'!BA:BA))+0.5,0.5))</f>
        <v>12</v>
      </c>
      <c r="AJ308" s="7">
        <f>IF(AI308="No","No",MAX(_xlfn.XLOOKUP(_xlfn.XLOOKUP(B308,'Base stats'!B:B,'Base stats'!E:E),Groups!A:A,Groups!AE:AE),MROUND(_xlfn.XLOOKUP(_xlfn.XLOOKUP(B308,'Base stats'!B:B,'Base stats'!E:E),Groups!A:A,Groups!AE:AE)*IF(_xlfn.XLOOKUP(_xlfn.XLOOKUP(B308,'Base stats'!B:B,'Base stats'!E:E),Groups!A:A,Groups!AJ:AJ)="Photonozoa",0.6,1)*_xlfn.XLOOKUP(B308,'Base stats'!B:B,'Base stats'!C:C)^0.165,0.05)))</f>
        <v>1.35</v>
      </c>
      <c r="AK308" s="7" t="str">
        <f>IF(AI308="No","No",_xlfn.XLOOKUP(_xlfn.XLOOKUP(B308,'Base stats'!B:B,'Base stats'!E:E),Groups!A:A,Groups!AF:AF))</f>
        <v>FrontLeftPaw, FrontRightPaw</v>
      </c>
      <c r="AL308" s="7" t="str">
        <f>IF(AI308="No","No",_xlfn.XLOOKUP(_xlfn.XLOOKUP(B308,'Base stats'!B:B,'Base stats'!E:E),Groups!A:A,Groups!AG:AG))</f>
        <v>left claw, right claw</v>
      </c>
      <c r="AM308" s="7" t="str">
        <f>IF(AI308="No","No",_xlfn.XLOOKUP(_xlfn.XLOOKUP(B308,'Base stats'!B:B,'Base stats'!E:E),Groups!A:A,Groups!AH:AH))</f>
        <v>Scratch</v>
      </c>
      <c r="AN308" s="2">
        <f t="shared" si="28"/>
        <v>20</v>
      </c>
      <c r="AO308" s="2">
        <f>MROUND(IF(AND(_xlfn.XLOOKUP(B308,'Base stats'!B:B,'Base stats'!C:C)&gt;=0.5,_xlfn.XLOOKUP(B308,'Base stats'!B:B,'Base stats'!C:C)&lt;=0.8),
IF(_xlfn.XLOOKUP(B308,'Base stats'!B:B,'Base stats'!C:C)&lt;0.1,0.05,IF(_xlfn.XLOOKUP(B308,'Base stats'!B:B,'Base stats'!C:C)&lt;=70,(_xlfn.XLOOKUP(B308,'Base stats'!B:B,'Base stats'!C:C)/70)^0.426489913056526,IF(_xlfn.XLOOKUP(B308,'Base stats'!B:B,'Base stats'!C:C)&lt;=400,(_xlfn.XLOOKUP(B308,'Base stats'!B:B,'Base stats'!C:C)/70)^0.572811455315093,IF(_xlfn.XLOOKUP(B308,'Base stats'!B:B,'Base stats'!C:C)&lt;=2000,2.71391647193063*(_xlfn.XLOOKUP(B308,'Base stats'!B:B,'Base stats'!C:C)/400)^0.252459582904293,3.74314280240376*(_xlfn.XLOOKUP(B308,'Base stats'!B:B,'Base stats'!C:C)/2000)^0.357012633876913)))),
IF(_xlfn.XLOOKUP(B308,'Base stats'!B:B,'Base stats'!C:C)&lt;0.1,0.05,IF(_xlfn.XLOOKUP(B308,'Base stats'!B:B,'Base stats'!C:C)&lt;0.4,0.1,IF(_xlfn.XLOOKUP(B308,'Base stats'!B:B,'Base stats'!C:C)&lt;=70,(_xlfn.XLOOKUP(B308,'Base stats'!B:B,'Base stats'!C:C)/70)^0.445823913056526,IF(_xlfn.XLOOKUP(B308,'Base stats'!B:B,'Base stats'!C:C)&lt;=400,(_xlfn.XLOOKUP(B308,'Base stats'!B:B,'Base stats'!C:C)/70)^0.572811455315093,IF(_xlfn.XLOOKUP(B308,'Base stats'!B:B,'Base stats'!C:C)&lt;=2000,2.71391647193063*(_xlfn.XLOOKUP(B308,'Base stats'!B:B,'Base stats'!C:C)/400)^0.252459582904293,3.74314280240376*(_xlfn.XLOOKUP(B308,'Base stats'!B:B,'Base stats'!C:C)/2000)^0.357012633876913)))))),
IF(_xlfn.XLOOKUP(B308,'Base stats'!B:B,'Base stats'!C:C)&lt;0.1,0.05,IF(_xlfn.XLOOKUP(B308,'Base stats'!B:B,'Base stats'!C:C)&lt;=100,0.05,IF(_xlfn.XLOOKUP(B308,'Base stats'!B:B,'Base stats'!C:C)&lt;=250,0.1,IF(_xlfn.XLOOKUP(B308,'Base stats'!B:B,'Base stats'!C:C)&lt;=4000,0.25,0.5)))))</f>
        <v>1.1000000000000001</v>
      </c>
      <c r="AP308" s="8">
        <f>MROUND(AO308*_xlfn.XLOOKUP(_xlfn.XLOOKUP(B308,'Base stats'!B:B,'Base stats'!E:E),Groups!A:A,Groups!AI:AI)*_xlfn.XLOOKUP(B308,'Base stats'!B:B,'Base stats'!Z:Z),0.05)</f>
        <v>1.3</v>
      </c>
      <c r="AQ308" s="8">
        <f>MAX(0.01,MROUND(IF(CC308="True",0.196*(AO308*100*1000)^0.889,IF(_xlfn.XLOOKUP(_xlfn.XLOOKUP(B308,'Base stats'!B:B,'Base stats'!E:E),Groups!A:A,Groups!AJ:AJ)="Bird",10.5*(AO308*100*1000)^0.681,4.82*(AO308*100*1000)^0.734))/(4.82*(1*100*1000)^0.734)/IF(AO308&lt;3.5,2,IF(AO308=3.5,1.5,1.25))*(1+0.132282374779864/(AO308^0.994035016789033+0.00905238001496948)),0.05))</f>
        <v>0.60000000000000009</v>
      </c>
      <c r="AR308" s="9">
        <f>IFERROR(MROUND(_xlfn.XLOOKUP(B308,'Base stats'!B:B,'Base stats'!H:H)/IF(_xlfn.XLOOKUP(B308,'Base stats'!B:B,'Base stats'!I:I)&lt;&gt;1,(122.5/70),1.2),IF(_xlfn.XLOOKUP(B308,'Base stats'!B:B,'Base stats'!H:H)&gt;=30,5,IF(_xlfn.XLOOKUP(B308,'Base stats'!B:B,'Base stats'!H:H)&gt;=15,3,IF(_xlfn.XLOOKUP(B308,'Base stats'!B:B,'Base stats'!H:H)&gt;=10,2,1)))),"Immortal")</f>
        <v>15</v>
      </c>
      <c r="AS308" s="35">
        <f>IFERROR(IF(OR(_xlfn.XLOOKUP(B308,'Base stats'!B:B,'Base stats'!F:F)="Atypical reproduction",_xlfn.XLOOKUP(B308,'Base stats'!B:B,'Base stats'!F:F)="Lay eggs"),"Lay eggs",MIN(20,MAX(5.5,ROUND(((_xlfn.XLOOKUP(B308,'Base stats'!B:B,'Base stats'!F:F)-25)*(14.5/615) + 5.5)*2,0)/2))),"Unknown")</f>
        <v>7</v>
      </c>
      <c r="AT308" s="8">
        <f>IF(_xlfn.XLOOKUP(B308,'Base stats'!B:B,'Base stats'!G:G)="Atypical reproduction","No",IFERROR(MAX(IF(_xlfn.XLOOKUP(B308,'Base stats'!B:B,'Base stats'!G:G)&lt;0.5,0.2,0.3),MROUND(_xlfn.XLOOKUP(B308,'Base stats'!B:B,'Base stats'!G:G)/(365/60),0.2)),"Unknown"))</f>
        <v>0.4</v>
      </c>
      <c r="AU308" s="8">
        <f t="shared" si="29"/>
        <v>0.2</v>
      </c>
      <c r="AV308" s="8">
        <f>IFERROR(IFERROR(MROUND(_xlfn.XLOOKUP(B308,'Base stats'!B:B,'Base stats'!J:J),0.1),"Lay eggs"),"Cannot breed")</f>
        <v>4</v>
      </c>
      <c r="AW308" s="2" t="str">
        <f t="shared" si="30"/>
        <v>true</v>
      </c>
      <c r="AX308" s="2" t="str">
        <f>IF(_xlfn.XLOOKUP(_xlfn.XLOOKUP(Animals!B308,'Base stats'!B:B,'Base stats'!E:E),Groups!A:A,Groups!AK:AK)=1,"true","false")</f>
        <v>false</v>
      </c>
      <c r="AY308" s="25" t="str">
        <f>IF(_xlfn.XLOOKUP(B308,'Base stats'!B:B,'Base stats'!Y:Y)="Liquor","Liquor, CarnivoreAnimalStrict",IF(AND(_xlfn.XLOOKUP(B308,'Base stats'!B:B,'Base stats'!Y:Y)="Carnivore",_xlfn.XLOOKUP(_xlfn.XLOOKUP(B308,'Base stats'!B:B,'Base stats'!E:E),Groups!A:A,Groups!AJ:AJ)="Photonozoa"),"CarnivoreAnimalStrict, OvivoreAnimal",IF(_xlfn.XLOOKUP(B308,'Base stats'!B:B,'Base stats'!Y:Y)="Carnivore","CarnivoreAnimal, OvivoreAnimal",IF(_xlfn.XLOOKUP(B308,'Base stats'!B:B,'Base stats'!Y:Y)="Dendrovore","VegetarianRoughAnimal, DendrovoreAnimal",IF(_xlfn.XLOOKUP(B308,'Base stats'!B:B,'Base stats'!Y:Y)="Herbivore","VegetarianRoughAnimal",IF(_xlfn.XLOOKUP(B308,'Base stats'!B:B,'Base stats'!Y:Y)="OmnivoreRough","OmnivoreRoughAnimal, OvivoreAnimal","OmnivoreAnimal, OvivoreAnimal"))))))</f>
        <v>CarnivoreAnimal, OvivoreAnimal</v>
      </c>
      <c r="AZ308" s="2" t="str">
        <f>IF(_xlfn.XLOOKUP(_xlfn.XLOOKUP(B308,'Base stats'!B:B,'Base stats'!E:E),Groups!A:A,Groups!D:D)=1,MROUND((1-J308)*5+1,2)*IF(J308&lt;=0.4,2,1),"No")</f>
        <v>No</v>
      </c>
      <c r="BA308" s="2" t="str">
        <f>IF(AND(_xlfn.XLOOKUP(B308,'Base stats'!B:B,'Base stats'!AH:AH)="&lt;li&gt;Seal&lt;/li&gt;",G308="Odyssey"),"&lt;li&gt;AEXP_Seal&lt;/li&gt;",_xlfn.XLOOKUP(B308,'Base stats'!B:B,'Base stats'!AH:AH))</f>
        <v>&lt;li&gt;AA_Nightling&lt;/li&gt;</v>
      </c>
      <c r="BB308" s="2" t="str">
        <f>_xlfn.XLOOKUP(B308,'Base stats'!B:B,'Base stats'!AG:AG)</f>
        <v>Leather_Night</v>
      </c>
      <c r="BC308" s="23" t="str">
        <f>_xlfn.XLOOKUP(_xlfn.XLOOKUP(B308,'Base stats'!B:B,'Base stats'!E:E),Groups!A:A,Groups!AL:AL)</f>
        <v>QuadrupedAnimalWithPawsAndTail</v>
      </c>
      <c r="BD308" s="23">
        <f>MIN(1,MROUND(IF(AND(AO308&lt;0.5,_xlfn.XLOOKUP(B308,'Base stats'!B:B,'Base stats'!AA:AA)=0),0,IF(OR(_xlfn.XLOOKUP(Animals!B308,'Base stats'!B:B,'Base stats'!O:O)=2,_xlfn.XLOOKUP(_xlfn.XLOOKUP(B308,'Base stats'!B:B,'Base stats'!E:E),Groups!A:A,Groups!AN:AN)=0),0,_xlfn.XLOOKUP(_xlfn.XLOOKUP(B308,'Base stats'!B:B,'Base stats'!E:E),Groups!A:A,Groups!AN:AN)/IF(_xlfn.XLOOKUP(Animals!B308,'Base stats'!B:B,'Base stats'!O:O)=1,2,1)))+_xlfn.XLOOKUP(B308,'Base stats'!B:B,'Base stats'!AC:AC),0.005))</f>
        <v>0.1</v>
      </c>
      <c r="BE308" s="23">
        <f>MIN(1,MROUND(IF(AND(AO308&lt;0.5,_xlfn.XLOOKUP(B308,'Base stats'!B:B,'Base stats'!AA:AA)=0),0,IF(_xlfn.XLOOKUP(_xlfn.XLOOKUP(B308,'Base stats'!B:B,'Base stats'!E:E),Groups!A:A,Groups!AO:AO)=0,0,_xlfn.XLOOKUP(_xlfn.XLOOKUP(B308,'Base stats'!B:B,'Base stats'!E:E),Groups!A:A,Groups!AO:AO)/IF(_xlfn.XLOOKUP(Animals!B308,'Base stats'!B:B,'Base stats'!O:O)=2,3,1)))+_xlfn.XLOOKUP(B308,'Base stats'!B:B,'Base stats'!AD:AD),0.005))</f>
        <v>0.3</v>
      </c>
      <c r="BF308" s="2" t="str">
        <f>IF(J308&gt;0.3,"No",_xlfn.XLOOKUP(_xlfn.XLOOKUP(Animals!B308,'Base stats'!B:B,'Base stats'!E:E),Groups!A:A,Groups!AP:AP))</f>
        <v>No</v>
      </c>
      <c r="BG308" s="2" t="str">
        <f>IF(AND(J308&lt;=0.65,_xlfn.XLOOKUP(_xlfn.XLOOKUP(Animals!B308,'Base stats'!B:B,'Base stats'!E:E),Groups!A:A,Groups!AP:AP)&lt;&gt;"No",_xlfn.XLOOKUP(_xlfn.XLOOKUP(B308,'Base stats'!B:B,'Base stats'!E:E),Groups!A:A,Groups!D:D)=0),MROUND((80/3)*IF(_xlfn.XLOOKUP(B308,'Base stats'!B:B,'Base stats'!O:O)=2,0.2,AO308) + 24*(1-IF(BF308="No",0,BF308)) + 16/3, 12),"No")</f>
        <v>No</v>
      </c>
      <c r="BH308" s="2">
        <f>IF(AND(_xlfn.XLOOKUP(_xlfn.XLOOKUP(B308,'Base stats'!B:B,'Base stats'!E:E),Groups!A:A,Groups!AQ:AQ)=1,AO308&lt;=0.35),8,12)</f>
        <v>12</v>
      </c>
      <c r="BI308" s="2" t="str">
        <f>IF(_xlfn.XLOOKUP(_xlfn.XLOOKUP(B308,'Base stats'!B:B,'Base stats'!E:E),Groups!A:A,Groups!D:D)=0,_xlfn.XLOOKUP(_xlfn.XLOOKUP(B308,'Base stats'!B:B,'Base stats'!E:E),Groups!A:A,Groups!AR:AR),"None")</f>
        <v>Intermediate</v>
      </c>
      <c r="BJ308" s="2" t="str">
        <f>IF(AND(_xlfn.XLOOKUP(_xlfn.XLOOKUP(B308,'Base stats'!B:B,'Base stats'!E:E),Groups!A:A,Groups!AS:AS)=1,OR(_xlfn.XLOOKUP(B308,'Base stats'!B:B,'Base stats'!Y:Y)="Carnivore",_xlfn.XLOOKUP(B308,'Base stats'!B:B,'Base stats'!Y:Y)="Omnivore")),"true","false")</f>
        <v>true</v>
      </c>
      <c r="BK308" s="2">
        <f>IF(BJ308="true",MROUND(IF(AND(AO308&gt;0.5,OR(_xlfn.XLOOKUP(_xlfn.XLOOKUP(B308,'Base stats'!B:B,'Base stats'!E:E),Groups!A:A,Groups!AJ:AJ)="Photonozoa",_xlfn.XLOOKUP(_xlfn.XLOOKUP(B308,'Base stats'!B:B,'Base stats'!E:E),Groups!A:A,Groups!AJ:AJ)="Mammal")),Animals!AO308*1.75*IF(AW308="true",1.5,1),IF(AO308&lt;0.5,Animals!AO308*0.5,Animals!AO308)),IF(AO308&gt;2,0.5,IF(AO308&gt;0.5,0.25,0.1))),"No")</f>
        <v>3</v>
      </c>
      <c r="BL308" s="2">
        <f t="shared" si="31"/>
        <v>1</v>
      </c>
      <c r="BM308" s="25" t="str">
        <f>IF(_xlfn.XLOOKUP(B308,'Base stats'!B:B,'Base stats'!AN:AN)="Standard","No",MROUND((_xlfn.XLOOKUP(B308,'Base stats'!B:B,'Base stats'!AN:AN)/3.6)/I308,0.1))</f>
        <v>No</v>
      </c>
      <c r="BN308" s="25" t="str">
        <f t="shared" si="32"/>
        <v>false</v>
      </c>
      <c r="BO308" s="25" t="str">
        <f>IF(AND(OR(_xlfn.XLOOKUP(B308,'Base stats'!B:B,'Base stats'!Y:Y)="Carnivore",_xlfn.XLOOKUP(B308,'Base stats'!B:B,'Base stats'!Y:Y)="Omnivore",_xlfn.XLOOKUP(B308,'Base stats'!B:B,'Base stats'!Y:Y)="OmnivoreRough"),_xlfn.XLOOKUP(_xlfn.XLOOKUP(B308,'Base stats'!B:B,'Base stats'!E:E),Groups!A:A,Groups!AT:AT)=1),"true","false")</f>
        <v>false</v>
      </c>
      <c r="BP308" s="25" t="str" cm="1">
        <f t="array" ref="BP308">IF(
  _xlfn.TEXTJOIN(", ",TRUE,
    IF(AND(BJ308="true",AO308&gt;0.5,BI308&lt;&gt;"None"),"AttackTarget",""),
    IF(AND(_xlfn.XLOOKUP(_xlfn.XLOOKUP(B308,'Base stats'!B:B,'Base stats'!E:E),Groups!A:A,Groups!AJ:AJ="Mammal"),OR(_xlfn.XLOOKUP(B308,'Base stats'!B:B,'Base stats'!Y:Y)="Omnivore",_xlfn.XLOOKUP(B308,'Base stats'!B:B,'Base stats'!Y:Y)="OmnivoreRough")),"Forage",""),
    IF(BG308&lt;=36,"Comfort",""),
    IF(_xlfn.XLOOKUP(B308,'Base stats'!B:B,'Base stats'!AE:AE)&lt;&gt;"No",_xlfn.XLOOKUP(B308,'Base stats'!B:B,'Base stats'!AE:AE),"")
  ) = "",
  "No",
  _xlfn.TEXTJOIN(", ",TRUE,
    IF(AND(BJ308="true",AO308&gt;0.5,BI308&lt;&gt;"None"),"AttackTarget",""),
    IF(AND(_xlfn.XLOOKUP(_xlfn.XLOOKUP(B308,'Base stats'!B:B,'Base stats'!E:E),Groups!A:A,Groups!AJ:AJ="Mammal"),OR(_xlfn.XLOOKUP(B308,'Base stats'!B:B,'Base stats'!Y:Y)="Omnivore",_xlfn.XLOOKUP(B308,'Base stats'!B:B,'Base stats'!Y:Y)="OmnivoreRough")),"Forage",""),
    IF(BG308&lt;=36,"Comfort",""),
    IF(_xlfn.XLOOKUP(B308,'Base stats'!B:B,'Base stats'!AE:AE)&lt;&gt;"No",_xlfn.XLOOKUP(B308,'Base stats'!B:B,'Base stats'!AE:AE),"")
  )
)</f>
        <v>AttackTarget</v>
      </c>
      <c r="BQ308" s="25" t="str">
        <f>IF(
   AND(
      'Base stats'!AN308="Standard",_xlfn.XLOOKUP(_xlfn.XLOOKUP(B308,'Base stats'!B:B,'Base stats'!E:E),Groups!A:A,Groups!AU:AU)=0,
      OR(
      BO308="True"
      )
   ),
   10,
   IF(
       OR(BM308&lt;&gt;"No",_xlfn.XLOOKUP(_xlfn.XLOOKUP(B308,'Base stats'!B:B,'Base stats'!E:E),Groups!A:A,Groups!AU:AU)=1),
      1,
      "No"
   )
)</f>
        <v>No</v>
      </c>
      <c r="BR308" s="9">
        <f>MROUND((1 + ((0.2*IF(OR(Q308="No",R308="No",R308=0),0,Q308/R308)
+IF(OR(V308="No",S308="No",T308="No"),0,S308/T308*(LEN(V308)-LEN(SUBSTITUTE(V308,",",""))+1))
+IF(OR(X308="No",Y308="No"),0,X308/Y308)
+IF(OR(AD308="No",AE308="No"),0,AD308/AE308)
+IF(OR(AL308="No",AI308="No",AJ308="No"),0,AI308/AJ308*(LEN(AL308)-LEN(SUBSTITUTE(AL308,",",""))+1))
)/(0.2*IF(OR(Q308="No",R308="No",R308=0),0,1)
+IF(OR(V308="No",S308="No",T308="No"),0,LEN(V308)-LEN(SUBSTITUTE(V308,",",""))+1)
+IF(OR(X308="No",Y308="No"),0,1)
+IF(OR(AD308="No",AE308="No"),0,1)
+IF(OR(AL308="No",AI308="No",AJ308="No"),0,LEN(AL308)-LEN(SUBSTITUTE(AL308,",",""))+1))*62%)* 2)*(1 + (AP308 / (IF(_xlfn.XLOOKUP(_xlfn.XLOOKUP(B308,'Base stats'!B:B,'Base stats'!E:E),Groups!A:A,Groups!AJ:AJ)="Photonozoa",0.3,1)) + _xlfn.XLOOKUP(B308,'Base stats'!B:B,'Base stats'!AV:AV) * 1.8) * 2) * 2.5 + 10 + I308 * 2,5)+IF(_xlfn.XLOOKUP(B308,'Base stats'!B:B,'Base stats'!AK:AK)=1,50,0)</f>
        <v>130</v>
      </c>
      <c r="BS308" s="8">
        <f t="shared" si="33"/>
        <v>0.70000000000000007</v>
      </c>
      <c r="BT308" s="8" t="str">
        <f>_xlfn.XLOOKUP(B308,'Base stats'!B:B,'Base stats'!AF:AF)</f>
        <v>1~3</v>
      </c>
      <c r="BU308" s="2" t="str">
        <f>IF(AND(J308&lt;=0.95,OR(_xlfn.XLOOKUP(B308,'Base stats'!B:B,'Base stats'!AK:AK)=1,_xlfn.XLOOKUP(B308,'Base stats'!B:B,'Base stats'!Y:Y)="Carnivore",_xlfn.XLOOKUP(B308,'Base stats'!B:B,'Base stats'!Y:Y)="Omnivore",BE308&gt;0.1)),"true","false")</f>
        <v>true</v>
      </c>
      <c r="BV308" s="2" t="str">
        <f>IF(_xlfn.XLOOKUP(B308,'Base stats'!B:B,'Base stats'!AI:AI)=1,"true","false")</f>
        <v>false</v>
      </c>
      <c r="BW308" s="25" t="str">
        <f>IF(E308="BaseInsect","AnimalInsect",
IF(J308&gt;0.95,"AnimalExotic",
_xlfn.TEXTJOIN(", ",TRUE,
IF(OR(_xlfn.XLOOKUP(B308,'Base stats'!B:B,'Base stats'!AM:AM)=1,AND(_xlfn.XLOOKUP(B308,'Base stats'!B:B,'Base stats'!O:O)=0,_xlfn.XLOOKUP(_xlfn.XLOOKUP(B308,'Base stats'!B:B,'Base stats'!E:E),Groups!A:A,Groups!B:B)&gt;0)),"AnimalUncommon","AnimalCommon"),
IF(AND(_xlfn.XLOOKUP(B308,'Base stats'!B:B,'Base stats'!O:O)=2,_xlfn.XLOOKUP(_xlfn.XLOOKUP(B308,'Base stats'!B:B,'Base stats'!E:E),Groups!A:A,Groups!D:D)=0),"AnimalPet",IF(AND(_xlfn.XLOOKUP(B308,'Base stats'!B:B,'Base stats'!O:O)&lt;&gt;0,_xlfn.XLOOKUP(_xlfn.XLOOKUP(B308,'Base stats'!B:B,'Base stats'!E:E),Groups!A:A,Groups!D:D)&lt;&gt;0),"AnimalFarm","")),
IF(OR(_xlfn.XLOOKUP(B308,'Base stats'!B:B,'Base stats'!AK:AK)=1,AND(BI308&lt;&gt;"None",BR308&gt;=60),ISNUMBER(SEARCH("Attack target",BP308))),"AnimalFighter","")
)))</f>
        <v>AnimalUncommon, AnimalFighter</v>
      </c>
      <c r="BX308" s="25" t="str">
        <f>IF(G308="None",TRIM(
SUBSTITUTE(
IF(COUNTIF(Biomes!B$2:B$259,"="&amp;$C308)&gt;0,Biomes!B$1&amp;", ","")&amp;
IF(COUNTIF(Biomes!C$2:C$259,"="&amp;$C308)&gt;0,Biomes!C$1&amp;", ","")&amp;
IF(COUNTIF(Biomes!D$2:D$259,"="&amp;$C308)&gt;0,Biomes!D$1&amp;", ","")&amp;
IF(COUNTIF(Biomes!F$2:F$259,"="&amp;$C308)&gt;0,Biomes!F$1&amp;", ","")&amp;
IF(COUNTIF(Biomes!G$2:G$259,"="&amp;$C308)&gt;0,Biomes!G$1&amp;", ","")&amp;
IF(COUNTIF(Biomes!H$2:H$259,"="&amp;$C308)&gt;0,Biomes!H$1&amp;", ","")&amp;
IF(COUNTIF(Biomes!I$2:I$259,"="&amp;$C308)&gt;0,Biomes!I$1&amp;", ","")&amp;
IF(COUNTIF(Biomes!J$2:J$259,"="&amp;$C308)&gt;0,Biomes!J$1&amp;", ","")&amp;
IF(COUNTIF(Biomes!M$2:M$259,"="&amp;$C308)&gt;0,Biomes!M$1&amp;", ","")&amp;
IF(COUNTIF(Biomes!N$2:N$259,"="&amp;$C308)&gt;0,Biomes!N$1&amp;", ","")&amp;
IF(COUNTIF(Biomes!O$2:O$259,"="&amp;$C308)&gt;0,Biomes!O$1&amp;", ","")&amp;
IF(COUNTIF(Biomes!P$2:P$259,"="&amp;$C308)&gt;0,Biomes!P$1&amp;", ","")&amp;
IF(COUNTIF(Biomes!K$2:K$259,"="&amp;$C308)&gt;0,Biomes!K$1&amp;", ","")&amp;
IF(COUNTIF(Biomes!Q$3:Q$259,"="&amp;$C308)&gt;0,Biomes!Q$1&amp;", ","")&amp;
IF(COUNTIF(Biomes!L$2:L$259,"="&amp;$C308)&gt;0,Biomes!L$1&amp;", ","")&amp;
IF(COUNTIF(Biomes!E$2:E$259,"="&amp;$C308)&gt;0,Biomes!E$1&amp;", ","")&amp;IF(COUNTIF(Biomes!S$2:S$259,"="&amp;$C308)&gt;0,Biomes!S$1&amp;", ","")&amp;
IF(COUNTIF(Biomes!R$2:R$259,"="&amp;$C308)&gt;0,Biomes!R$1&amp;", ",""),", ","")
),_xlfn.XLOOKUP(B308,B:B,BX:BX))</f>
        <v/>
      </c>
      <c r="BY308" s="25" t="str">
        <f>IF(_xlfn.XLOOKUP(B308,'Base stats'!B:B,'Base stats'!AJ:AJ)=1,"true","false")</f>
        <v>false</v>
      </c>
      <c r="BZ308" s="25">
        <f>IF(_xlfn.XLOOKUP(B308,'Base stats'!B:B,'Base stats'!N:N)=1,"No",MAX(0.001,MIN(MROUND(IF(AND(BJ308="True",CC308="False"),POWER(10,3.47*LOG10(_xlfn.XLOOKUP(B308,'Base stats'!B:B,'Base stats'!C:C)*1000)^-0.96),POWER(10,4.15*LOG10(_xlfn.XLOOKUP(B308,'Base stats'!B:B,'Base stats'!C:C)*1000)^-0.73))*IF(_xlfn.XLOOKUP(B308,'Base stats'!B:B,'Base stats'!AK:AK)=1,0.5,1)*IF(_xlfn.XLOOKUP(B308,'Base stats'!B:B,'Base stats'!AM:AM)=1,0.1,1)/100,IF(_xlfn.XLOOKUP(B308,'Base stats'!B:B,'Base stats'!AM:AM)=1,0.001,0.025)),0.5)))</f>
        <v>6.0000000000000001E-3</v>
      </c>
      <c r="CA308" s="25" t="str">
        <f>IF(P308="Standard","No",MAX(0.001,MIN(MROUND(IF(AND(BJ308="True",CC308="False"),POWER(10,3.47*LOG10(_xlfn.XLOOKUP(B308,'Base stats'!B:B,'Base stats'!C:C)*1000)^-0.96),POWER(10,4.15*LOG10(_xlfn.XLOOKUP(B308,'Base stats'!B:B,'Base stats'!C:C)*1000)^-0.73))*IF(_xlfn.XLOOKUP(B308,'Base stats'!B:B,'Base stats'!AM:AM)=1,0.1,1)*_xlfn.XLOOKUP(B308,'Base stats'!B:B,'Base stats'!R:R)/100,IF(_xlfn.XLOOKUP(B308,'Base stats'!B:B,'Base stats'!AM:AM)=1,0.001,0.025)),0.5)))</f>
        <v>No</v>
      </c>
      <c r="CB308" s="25" t="str">
        <f>IF(_xlfn.XLOOKUP(_xlfn.XLOOKUP(B308,'Base stats'!B:B,'Base stats'!E:E),Groups!A:A,Groups!AJ:AJ)="Mammal","True","False")</f>
        <v>True</v>
      </c>
      <c r="CC308" s="25" t="str">
        <f>IF(OR(_xlfn.XLOOKUP(_xlfn.XLOOKUP(B308,'Base stats'!B:B,'Base stats'!E:E),Groups!A:A,Groups!AJ:AJ)="Reptile",_xlfn.XLOOKUP(_xlfn.XLOOKUP(B308,'Base stats'!B:B,'Base stats'!E:E),Groups!A:A,Groups!AJ:AJ)="Amphibian",_xlfn.XLOOKUP(_xlfn.XLOOKUP(B308,'Base stats'!B:B,'Base stats'!E:E),Groups!A:A,Groups!AJ:AJ)="Invertebrate"),"True","False")</f>
        <v>False</v>
      </c>
      <c r="CD308" s="25" t="str">
        <f t="shared" si="34"/>
        <v>False</v>
      </c>
      <c r="CE308" s="25" t="str">
        <f>IF(_xlfn.XLOOKUP(_xlfn.XLOOKUP(B308,'Base stats'!B:B,'Base stats'!E:E),Groups!A:A,Groups!AX:AX),"True","False")</f>
        <v>False</v>
      </c>
      <c r="CF308" s="25" t="str">
        <f>IF(_xlfn.XLOOKUP(_xlfn.XLOOKUP(B308,'Base stats'!B:B,'Base stats'!E:E),Groups!A:A,Groups!AY:AY),"True","False")</f>
        <v>False</v>
      </c>
      <c r="CG308" s="25" t="str">
        <f>IF(_xlfn.XLOOKUP(_xlfn.XLOOKUP(B308,'Base stats'!B:B,'Base stats'!E:E),Groups!A:A,Groups!AW:AW),"True","False")</f>
        <v>False</v>
      </c>
      <c r="CH308" s="25" t="str">
        <f>IF(
OR(
_xlfn.XLOOKUP(_xlfn.XLOOKUP(B308,'Base stats'!B:B,'Base stats'!E:E),Groups!A:A,Groups!AZ:AZ)=0,
AND(
_xlfn.XLOOKUP(B308,'Base stats'!B:B,'Base stats'!Y:Y)&lt;&gt;"Carnivore",
_xlfn.XLOOKUP(B308,'Base stats'!B:B,'Base stats'!Y:Y)&lt;&gt;"Omnivore",
_xlfn.XLOOKUP(B308,'Base stats'!B:B,'Base stats'!Y:Y)&lt;&gt;"OmnivoreRough"
)
),
"No",
IF(
_xlfn.XLOOKUP(_xlfn.XLOOKUP(B308,'Base stats'!B:B,'Base stats'!E:E),Groups!A:A,Groups!AZ:AZ)=1,
"Flesh",
IF(
_xlfn.XLOOKUP(_xlfn.XLOOKUP(B308,'Base stats'!B:B,'Base stats'!E:E),Groups!A:A,Groups!AZ:AZ)=2,
"Bone",
""
)
)
)</f>
        <v>No</v>
      </c>
      <c r="CI308" s="25" t="str">
        <f>IF(_xlfn.XLOOKUP(_xlfn.XLOOKUP(B308,'Base stats'!B:B,'Base stats'!E:E),Groups!A:A,Groups!BB:BB),"True","False")</f>
        <v>True</v>
      </c>
      <c r="CJ308" s="25" t="str">
        <f>IF(_xlfn.XLOOKUP(_xlfn.XLOOKUP(B308,'Base stats'!B:B,'Base stats'!E:E),Groups!A:A,Groups!BA:BA),"True","False")</f>
        <v>False</v>
      </c>
    </row>
    <row r="309" spans="1:88" ht="16.5" thickTop="1" thickBot="1" x14ac:dyDescent="0.3">
      <c r="A309" s="26" t="s">
        <v>1530</v>
      </c>
      <c r="B309" s="6" t="str">
        <f>_xlfn.XLOOKUP(A309,'Base stats'!A:A,'Base stats'!B:B)</f>
        <v>Colossus herbosus</v>
      </c>
      <c r="C309" s="28" t="s">
        <v>1531</v>
      </c>
      <c r="D309" s="28" t="s">
        <v>1341</v>
      </c>
      <c r="E309" s="28" t="s">
        <v>673</v>
      </c>
      <c r="F309" s="28" t="s">
        <v>673</v>
      </c>
      <c r="G309" s="28" t="s">
        <v>673</v>
      </c>
      <c r="H309" s="2">
        <f>MROUND((
  (IF(AND(_xlfn.XLOOKUP(B309,'Base stats'!B:B,'Base stats'!AL:AL)=0,BI309="None",_xlfn.XLOOKUP(_xlfn.XLOOKUP(B309,'Base stats'!B:B,'Base stats'!E:E),Groups!A:A,Groups!B:B)=0), (18 + BR309 * 2.7) * 0.5,
    IF(AND(_xlfn.XLOOKUP(B309,'Base stats'!B:B,'Base stats'!AL:AL)=0,OR(AO309&lt;0.55,AND(BI309="Intermediate",_xlfn.XLOOKUP(_xlfn.XLOOKUP(B309,'Base stats'!B:B,'Base stats'!E:E),Groups!A:A,Groups!B:B)&lt;2))), (18 + BR309 * 2.7),
      IF(OR(BI309="Advanced",_xlfn.XLOOKUP(B309,'Base stats'!B:B,'Base stats'!AL:AL)=1,_xlfn.XLOOKUP(_xlfn.XLOOKUP(B309,'Base stats'!B:B,'Base stats'!E:E),Groups!A:A,Groups!B:B)=2), (18 + BR309 * 2.7) + 250, (18 + BR309 * 2.7))
    )
  ))
  + AO309 * 80
  + IF(COUNTIF(EggMilk!K$2:K$998, A309) &gt; 0, 125, 0)
  + IF(COUNTIF(EggMilk!P$2:P$998, A309) &gt; 0, 90, 0)
  + IF(COUNTIF(EggMilk!A$2:A$998, A309) &gt; 0, 90, 0)
)
* (0.8 + 0.4 * J309)
* 0.75,25)</f>
        <v>3025</v>
      </c>
      <c r="I309" s="2">
        <f>MROUND(ROUNDDOWN(_xlfn.XLOOKUP(B309,'Base stats'!B:B,'Base stats'!L:L)/3.6/(23.3/11),1),0.5)</f>
        <v>2</v>
      </c>
      <c r="J309" s="2">
        <f>IF(OR(_xlfn.XLOOKUP(B309,'Base stats'!B:B,'Base stats'!AB:AB)=1,_xlfn.XLOOKUP(_xlfn.XLOOKUP(B309,'Base stats'!B:B,'Base stats'!E:E),Groups!A:A,Groups!C:C)="Untamable"),1,IF(_xlfn.XLOOKUP(B309,'Base stats'!B:B,'Base stats'!AL:AL)=1,0.99,MIN(MROUND((1-0.6282*EXP(-0.459*AO309))*_xlfn.XLOOKUP(_xlfn.XLOOKUP(B309,'Base stats'!B:B,'Base stats'!E:E),Groups!A:A,Groups!C:C)*IF(_xlfn.XLOOKUP(B309,'Base stats'!B:B,'Base stats'!O:O)=1,0.5,IF(_xlfn.XLOOKUP(B309,'Base stats'!B:B,'Base stats'!O:O)=2,0,1)),0.05),IF(AO309&gt;3.5,0.985,0.95))))</f>
        <v>0.98499999999999999</v>
      </c>
      <c r="K309" s="2">
        <f>ROUNDUP(AO309*_xlfn.XLOOKUP(_xlfn.XLOOKUP(B309,'Base stats'!B:B,'Base stats'!E:E),Groups!A:A,Groups!E:E),0)</f>
        <v>33</v>
      </c>
      <c r="L309" s="2">
        <f>IF(OR(_xlfn.XLOOKUP(_xlfn.XLOOKUP(B309,'Base stats'!B:B,'Base stats'!E:E),Groups!A:A,Groups!F:F)=2,ISNUMBER(SEARCH("SeaIce",BX309)),ISNUMBER(SEARCH("IceSheet",BX309))),-50,IF(OR(ISNUMBER(SEARCH("GlacialPlain",BX309)),ISNUMBER(SEARCH("Tundra",BX309))),-40,IF(OR(ISNUMBER(SEARCH("Alpine",BX309)),ISNUMBER(SEARCH("BorealForest",BX309)),ISNUMBER(SEARCH("ColdBog",BX309))),-30,IF(OR(ISNUMBER(SEARCH("TemperateForest",BX309)),ISNUMBER(SEARCH("TemperateSwamp",BX309))),-20,IF(_xlfn.XLOOKUP(_xlfn.XLOOKUP(B309,'Base stats'!B:B,'Base stats'!E:E),Groups!A:A,Groups!F:F)=1,-15,IF(OR(ISNUMBER(SEARCH("Desert",BX309)),ISNUMBER(SEARCH("ExtremeDesert",BX309))),-10,IF(OR(ISNUMBER(SEARCH("Grasslands",BX309)),ISNUMBER(SEARCH("TropicalRainforest",BX309)),ISNUMBER(SEARCH("TropicalSwamp",BX309))),10,0)))))))-IF(CC309="False",MIN(IFERROR(MAX(MROUND(LOG10(_xlfn.XLOOKUP(B309,'Base stats'!B:B,'Base stats'!C:C)^(2/3))*10,5),5),5),30))-_xlfn.XLOOKUP(B309,'Base stats'!B:B,'Base stats'!P:P)+IF(CC309="True",5,0)</f>
        <v>-25</v>
      </c>
      <c r="M309" s="2">
        <f>IF(OR(_xlfn.XLOOKUP(_xlfn.XLOOKUP(B309,'Base stats'!B:B,'Base stats'!E:E),Groups!A:A,Groups!G:G)=2,ISNUMBER(SEARCH("Desert",BX309)),ISNUMBER(SEARCH("ExtremeDesert",BX309)),ISNUMBER(SEARCH("LavaField",BX309))),50,IF(ISNUMBER(SEARCH("Grasslands",BX309)),45,IF(OR(_xlfn.XLOOKUP(_xlfn.XLOOKUP(B309,'Base stats'!B:B,'Base stats'!E:E),Groups!A:A,Groups!G:G)=1,ISNUMBER(SEARCH("TropicalRainforest",BX309)),ISNUMBER(SEARCH("TropicalSwamp",BX309))),40,IF(OR(ISNUMBER(SEARCH("TemperateForest",BX309)),ISNUMBER(SEARCH("TemperateSwamp",BX309))),35,IF(OR(ISNUMBER(SEARCH("Alpine",BX309)),ISNUMBER(SEARCH("BorealForest",BX309)),ISNUMBER(SEARCH("ColdBog",BX309))),30,IF(ISNUMBER(OR(ISNUMBER(SEARCH("GlacialPlain",BX309)),SEARCH("Tundra",BX309))),25,IF(OR(ISNUMBER(SEARCH("SeaIce",BX309)),ISNUMBER(SEARCH("IceSheet",BX309)),ISNUMBER(SEARCH("TropicalSwamp",BX309))),10,35)))))))+_xlfn.XLOOKUP(B309,'Base stats'!B:B,'Base stats'!Q:Q)</f>
        <v>40</v>
      </c>
      <c r="N309" s="8">
        <f>IF(
_xlfn.XLOOKUP(
_xlfn.XLOOKUP(B309,'Base stats'!B:B,'Base stats'!E:E),
Groups!A:A,
Groups!L:L
)=1,
MIN(
MROUND(
IF(
_xlfn.XLOOKUP(B309,'Animals CE'!B:B,'Animals CE'!Z:Z)&lt;=1.5,
_xlfn.XLOOKUP(B309,'Animals CE'!B:B,'Animals CE'!Z:Z)/2+0.05,
0.8+
(_xlfn.XLOOKUP(B309,'Animals CE'!B:B,'Animals CE'!Z:Z)-1.5)
*0.02
),
0.05
),
200%
),
"No"
)</f>
        <v>1</v>
      </c>
      <c r="O309" s="8">
        <f>IF(
_xlfn.XLOOKUP(
_xlfn.XLOOKUP(B309,'Base stats'!B:B,'Base stats'!E:E),
Groups!A:A,
Groups!L:L
)=1,
MIN(
MROUND(
IF(
_xlfn.XLOOKUP(B309,'Animals CE'!B:B,'Animals CE'!AA:AA)&lt;=1.5,
_xlfn.XLOOKUP(B309,'Animals CE'!B:B,'Animals CE'!AA:AA)/2+0.05,
0.8+
(_xlfn.XLOOKUP(B309,'Animals CE'!B:B,'Animals CE'!AA:AA)-1.5)
*0.02
),
0.05
),
200%
),
"No"
)</f>
        <v>1.1000000000000001</v>
      </c>
      <c r="P309" s="2" t="str">
        <f>_xlfn.XLOOKUP(B309,'Base stats'!B:B,'Base stats'!R:R)</f>
        <v>Standard</v>
      </c>
      <c r="Q309" s="13">
        <f>MROUND((LOG10(_xlfn.XLOOKUP(B309,'Base stats'!B:B,'Base stats'!AR:AR))*(AO309^0.5)+(_xlfn.XLOOKUP(B309,'Base stats'!B:B,'Base stats'!AR:AR)/1000)^(2/3)+_xlfn.XLOOKUP(B309,'Base stats'!B:B,'Base stats'!BA:BA)/2)+0.5,0.5)</f>
        <v>50</v>
      </c>
      <c r="R309" s="7">
        <f>IF(Q309="No","No",MAX(1,MROUND(_xlfn.XLOOKUP(B309,'Base stats'!B:B,'Base stats'!C:C)^0.165,0.05)))</f>
        <v>4.55</v>
      </c>
      <c r="S309" s="13" t="str">
        <f>IF(_xlfn.XLOOKUP(_xlfn.XLOOKUP(B309,'Base stats'!B:B,'Base stats'!E:E),Groups!A:A,Groups!P:P)=0,"No",MROUND((LOG10(_xlfn.XLOOKUP(B309,'Base stats'!B:B,'Base stats'!AS:AS))*(AO309^0.5)+(_xlfn.XLOOKUP(B309,'Base stats'!B:B,'Base stats'!AS:AS)/1000)^(2/3)+_xlfn.XLOOKUP(B309,'Base stats'!B:B,'Base stats'!BA:BA))+_xlfn.XLOOKUP(B309,'Base stats'!B:B,'Base stats'!AY:AY)+0.5,0.5))</f>
        <v>No</v>
      </c>
      <c r="T309" s="7" t="str">
        <f>IF(S309="No","No",MAX(_xlfn.XLOOKUP(_xlfn.XLOOKUP(B309,'Base stats'!B:B,'Base stats'!E:E),Groups!A:A,Groups!Q:Q),MROUND(_xlfn.XLOOKUP(_xlfn.XLOOKUP(B309,'Base stats'!B:B,'Base stats'!E:E),Groups!A:A,Groups!Q:Q)*_xlfn.XLOOKUP(B309,'Base stats'!B:B,'Base stats'!C:C)^0.165,0.05)))</f>
        <v>No</v>
      </c>
      <c r="U309" s="7" t="str">
        <f>IF(S309="No","No",_xlfn.XLOOKUP(_xlfn.XLOOKUP(B309,'Base stats'!B:B,'Base stats'!E:E),Groups!A:A,Groups!R:R))</f>
        <v>No</v>
      </c>
      <c r="V309" s="7" t="str">
        <f>IF(S309="No","No",_xlfn.XLOOKUP(_xlfn.XLOOKUP(B309,'Base stats'!B:B,'Base stats'!E:E),Groups!A:A,Groups!S:S))</f>
        <v>No</v>
      </c>
      <c r="W309" s="7" t="str">
        <f>IF(S309="No","No",_xlfn.XLOOKUP(_xlfn.XLOOKUP(B309,'Base stats'!B:B,'Base stats'!E:E),Groups!A:A,Groups!T:T))</f>
        <v>No</v>
      </c>
      <c r="X309" s="13" t="str">
        <f>IF(_xlfn.XLOOKUP(B309,'Base stats'!B:B,'Base stats'!W:W)="No","No",MROUND((LOG10(_xlfn.XLOOKUP(B309,'Base stats'!B:B,'Base stats'!AU:AU))*(AO309^0.5)+(_xlfn.XLOOKUP(B309,'Base stats'!B:B,'Base stats'!AU:AU)/1000)^(2/3)+_xlfn.XLOOKUP(B309,'Base stats'!B:B,'Base stats'!AZ:AZ))+0.5+IF(_xlfn.XLOOKUP(_xlfn.XLOOKUP(B309,'Base stats'!B:B,'Base stats'!E:E),Groups!A:A,Groups!U:U)&lt;&gt;3,_xlfn.XLOOKUP(B309,'Base stats'!B:B,'Base stats'!BA:BA),0),0.5))</f>
        <v>No</v>
      </c>
      <c r="Y309" s="7" t="str">
        <f>IF(X309="No","No",MAX(_xlfn.XLOOKUP(_xlfn.XLOOKUP(B309,'Base stats'!B:B,'Base stats'!E:E),Groups!A:A,Groups!V:V),MROUND(_xlfn.XLOOKUP(_xlfn.XLOOKUP(B309,'Base stats'!B:B,'Base stats'!E:E),Groups!A:A,Groups!V:V)*_xlfn.XLOOKUP(B309,'Base stats'!B:B,'Base stats'!C:C)^0.165,0.05)))</f>
        <v>No</v>
      </c>
      <c r="Z309" s="7" t="str">
        <f>IF(X309="No","No",_xlfn.XLOOKUP(_xlfn.XLOOKUP(B309,'Base stats'!B:B,'Base stats'!E:E),Groups!A:A,Groups!W:W))</f>
        <v>No</v>
      </c>
      <c r="AA309" s="7" t="str">
        <f>IF(X309="No","No",_xlfn.XLOOKUP(_xlfn.XLOOKUP(B309,'Base stats'!B:B,'Base stats'!E:E),Groups!A:A,Groups!X:X))</f>
        <v>No</v>
      </c>
      <c r="AB309" s="7" t="str">
        <f>IF(X309="No","No",_xlfn.XLOOKUP(_xlfn.XLOOKUP(B309,'Base stats'!B:B,'Base stats'!E:E),Groups!A:A,Groups!Y:Y))</f>
        <v>No</v>
      </c>
      <c r="AC309" s="7" t="str">
        <f>_xlfn.XLOOKUP(Animals!B309,'Base stats'!B:B,'Base stats'!X:X)</f>
        <v>False</v>
      </c>
      <c r="AD309" s="13">
        <f>IF(_xlfn.XLOOKUP(B309,'Base stats'!B:B,'Base stats'!AT:AT)="No","No",MROUND((LOG10(_xlfn.XLOOKUP(B309,'Base stats'!B:B,'Base stats'!AT:AT))*(AO309^0.75)+(_xlfn.XLOOKUP(B309,'Base stats'!B:B,'Base stats'!AT:AT)/1000)^(2/3)+_xlfn.XLOOKUP(B309,'Base stats'!B:B,'Base stats'!AX:AX)+_xlfn.XLOOKUP(B309,'Base stats'!B:B,'Base stats'!BA:BA))+0.5,0.5))</f>
        <v>54</v>
      </c>
      <c r="AE309" s="7">
        <f>IF(AD309="No","No",MAX(_xlfn.XLOOKUP(_xlfn.XLOOKUP(B309,'Base stats'!B:B,'Base stats'!E:E),Groups!A:A,Groups!Z:Z),MROUND(_xlfn.XLOOKUP(_xlfn.XLOOKUP(B309,'Base stats'!B:B,'Base stats'!E:E),Groups!A:A,Groups!Z:Z)*_xlfn.XLOOKUP(B309,'Base stats'!B:B,'Base stats'!C:C)^0.165,0.05)))</f>
        <v>4.55</v>
      </c>
      <c r="AF309" s="7" t="str">
        <f>IF(AD309="No","No",_xlfn.XLOOKUP(_xlfn.XLOOKUP(B309,'Base stats'!B:B,'Base stats'!E:E),Groups!A:A,Groups!AA:AA))</f>
        <v>Teeth</v>
      </c>
      <c r="AG309" s="7" t="str">
        <f>IF(AD309="No","No",_xlfn.XLOOKUP(_xlfn.XLOOKUP(B309,'Base stats'!B:B,'Base stats'!E:E),Groups!A:A,Groups!AB:AB))</f>
        <v>teeth</v>
      </c>
      <c r="AH309" s="7" t="str">
        <f>IF(AD309="No","No",_xlfn.XLOOKUP(_xlfn.XLOOKUP(B309,'Base stats'!B:B,'Base stats'!E:E),Groups!A:A,Groups!AC:AC))</f>
        <v>Bite</v>
      </c>
      <c r="AI309" s="13" t="str">
        <f>IF(_xlfn.XLOOKUP(_xlfn.XLOOKUP(B309,'Base stats'!B:B,'Base stats'!E:E),Groups!A:A,Groups!AD:AD)=0,"No",MROUND((LOG10(_xlfn.XLOOKUP(B309,'Base stats'!B:B,'Base stats'!AS:AS))*(AO309^0.75)+(_xlfn.XLOOKUP(B309,'Base stats'!B:B,'Base stats'!AS:AS)/1000)^(2/3)+_xlfn.XLOOKUP(B309,'Base stats'!B:B,'Base stats'!AY:AY)+_xlfn.XLOOKUP(B309,'Base stats'!B:B,'Base stats'!BA:BA))+0.5,0.5))</f>
        <v>No</v>
      </c>
      <c r="AJ309" s="7" t="str">
        <f>IF(AI309="No","No",MAX(_xlfn.XLOOKUP(_xlfn.XLOOKUP(B309,'Base stats'!B:B,'Base stats'!E:E),Groups!A:A,Groups!AE:AE),MROUND(_xlfn.XLOOKUP(_xlfn.XLOOKUP(B309,'Base stats'!B:B,'Base stats'!E:E),Groups!A:A,Groups!AE:AE)*IF(_xlfn.XLOOKUP(_xlfn.XLOOKUP(B309,'Base stats'!B:B,'Base stats'!E:E),Groups!A:A,Groups!AJ:AJ)="Photonozoa",0.6,1)*_xlfn.XLOOKUP(B309,'Base stats'!B:B,'Base stats'!C:C)^0.165,0.05)))</f>
        <v>No</v>
      </c>
      <c r="AK309" s="7" t="str">
        <f>IF(AI309="No","No",_xlfn.XLOOKUP(_xlfn.XLOOKUP(B309,'Base stats'!B:B,'Base stats'!E:E),Groups!A:A,Groups!AF:AF))</f>
        <v>No</v>
      </c>
      <c r="AL309" s="7" t="str">
        <f>IF(AI309="No","No",_xlfn.XLOOKUP(_xlfn.XLOOKUP(B309,'Base stats'!B:B,'Base stats'!E:E),Groups!A:A,Groups!AG:AG))</f>
        <v>No</v>
      </c>
      <c r="AM309" s="7" t="str">
        <f>IF(AI309="No","No",_xlfn.XLOOKUP(_xlfn.XLOOKUP(B309,'Base stats'!B:B,'Base stats'!E:E),Groups!A:A,Groups!AH:AH))</f>
        <v>No</v>
      </c>
      <c r="AN309" s="2" t="str">
        <f t="shared" si="28"/>
        <v>No</v>
      </c>
      <c r="AO309" s="2">
        <f>MROUND(IF(AND(_xlfn.XLOOKUP(B309,'Base stats'!B:B,'Base stats'!C:C)&gt;=0.5,_xlfn.XLOOKUP(B309,'Base stats'!B:B,'Base stats'!C:C)&lt;=0.8),
IF(_xlfn.XLOOKUP(B309,'Base stats'!B:B,'Base stats'!C:C)&lt;0.1,0.05,IF(_xlfn.XLOOKUP(B309,'Base stats'!B:B,'Base stats'!C:C)&lt;=70,(_xlfn.XLOOKUP(B309,'Base stats'!B:B,'Base stats'!C:C)/70)^0.426489913056526,IF(_xlfn.XLOOKUP(B309,'Base stats'!B:B,'Base stats'!C:C)&lt;=400,(_xlfn.XLOOKUP(B309,'Base stats'!B:B,'Base stats'!C:C)/70)^0.572811455315093,IF(_xlfn.XLOOKUP(B309,'Base stats'!B:B,'Base stats'!C:C)&lt;=2000,2.71391647193063*(_xlfn.XLOOKUP(B309,'Base stats'!B:B,'Base stats'!C:C)/400)^0.252459582904293,3.74314280240376*(_xlfn.XLOOKUP(B309,'Base stats'!B:B,'Base stats'!C:C)/2000)^0.357012633876913)))),
IF(_xlfn.XLOOKUP(B309,'Base stats'!B:B,'Base stats'!C:C)&lt;0.1,0.05,IF(_xlfn.XLOOKUP(B309,'Base stats'!B:B,'Base stats'!C:C)&lt;0.4,0.1,IF(_xlfn.XLOOKUP(B309,'Base stats'!B:B,'Base stats'!C:C)&lt;=70,(_xlfn.XLOOKUP(B309,'Base stats'!B:B,'Base stats'!C:C)/70)^0.445823913056526,IF(_xlfn.XLOOKUP(B309,'Base stats'!B:B,'Base stats'!C:C)&lt;=400,(_xlfn.XLOOKUP(B309,'Base stats'!B:B,'Base stats'!C:C)/70)^0.572811455315093,IF(_xlfn.XLOOKUP(B309,'Base stats'!B:B,'Base stats'!C:C)&lt;=2000,2.71391647193063*(_xlfn.XLOOKUP(B309,'Base stats'!B:B,'Base stats'!C:C)/400)^0.252459582904293,3.74314280240376*(_xlfn.XLOOKUP(B309,'Base stats'!B:B,'Base stats'!C:C)/2000)^0.357012633876913)))))),
IF(_xlfn.XLOOKUP(B309,'Base stats'!B:B,'Base stats'!C:C)&lt;0.1,0.05,IF(_xlfn.XLOOKUP(B309,'Base stats'!B:B,'Base stats'!C:C)&lt;=100,0.05,IF(_xlfn.XLOOKUP(B309,'Base stats'!B:B,'Base stats'!C:C)&lt;=250,0.1,IF(_xlfn.XLOOKUP(B309,'Base stats'!B:B,'Base stats'!C:C)&lt;=4000,0.25,0.5)))))</f>
        <v>6.5</v>
      </c>
      <c r="AP309" s="8">
        <f>MROUND(AO309*_xlfn.XLOOKUP(_xlfn.XLOOKUP(B309,'Base stats'!B:B,'Base stats'!E:E),Groups!A:A,Groups!AI:AI)*_xlfn.XLOOKUP(B309,'Base stats'!B:B,'Base stats'!Z:Z),0.05)</f>
        <v>9.75</v>
      </c>
      <c r="AQ309" s="8">
        <f>MAX(0.01,MROUND(IF(CC309="True",0.196*(AO309*100*1000)^0.889,IF(_xlfn.XLOOKUP(_xlfn.XLOOKUP(B309,'Base stats'!B:B,'Base stats'!E:E),Groups!A:A,Groups!AJ:AJ)="Bird",10.5*(AO309*100*1000)^0.681,4.82*(AO309*100*1000)^0.734))/(4.82*(1*100*1000)^0.734)/IF(AO309&lt;3.5,2,IF(AO309=3.5,1.5,1.25))*(1+0.132282374779864/(AO309^0.994035016789033+0.00905238001496948)),0.05))</f>
        <v>1.05</v>
      </c>
      <c r="AR309" s="9">
        <f>IFERROR(MROUND(_xlfn.XLOOKUP(B309,'Base stats'!B:B,'Base stats'!H:H)/IF(_xlfn.XLOOKUP(B309,'Base stats'!B:B,'Base stats'!I:I)&lt;&gt;1,(122.5/70),1.2),IF(_xlfn.XLOOKUP(B309,'Base stats'!B:B,'Base stats'!H:H)&gt;=30,5,IF(_xlfn.XLOOKUP(B309,'Base stats'!B:B,'Base stats'!H:H)&gt;=15,3,IF(_xlfn.XLOOKUP(B309,'Base stats'!B:B,'Base stats'!H:H)&gt;=10,2,1)))),"Immortal")</f>
        <v>585</v>
      </c>
      <c r="AS309" s="35">
        <f>IFERROR(IF(OR(_xlfn.XLOOKUP(B309,'Base stats'!B:B,'Base stats'!F:F)="Atypical reproduction",_xlfn.XLOOKUP(B309,'Base stats'!B:B,'Base stats'!F:F)="Lay eggs"),"Lay eggs",MIN(20,MAX(5.5,ROUND(((_xlfn.XLOOKUP(B309,'Base stats'!B:B,'Base stats'!F:F)-25)*(14.5/615) + 5.5)*2,0)/2))),"Unknown")</f>
        <v>20</v>
      </c>
      <c r="AT309" s="8">
        <f>IF(_xlfn.XLOOKUP(B309,'Base stats'!B:B,'Base stats'!G:G)="Atypical reproduction","No",IFERROR(MAX(IF(_xlfn.XLOOKUP(B309,'Base stats'!B:B,'Base stats'!G:G)&lt;0.5,0.2,0.3),MROUND(_xlfn.XLOOKUP(B309,'Base stats'!B:B,'Base stats'!G:G)/(365/60),0.2)),"Unknown"))</f>
        <v>2.4000000000000004</v>
      </c>
      <c r="AU309" s="8">
        <f t="shared" si="29"/>
        <v>1.2000000000000002</v>
      </c>
      <c r="AV309" s="8">
        <f>IFERROR(IFERROR(MROUND(_xlfn.XLOOKUP(B309,'Base stats'!B:B,'Base stats'!J:J),0.1),"Lay eggs"),"Cannot breed")</f>
        <v>1</v>
      </c>
      <c r="AW309" s="2" t="str">
        <f t="shared" si="30"/>
        <v>false</v>
      </c>
      <c r="AX309" s="2" t="str">
        <f>IF(_xlfn.XLOOKUP(_xlfn.XLOOKUP(Animals!B309,'Base stats'!B:B,'Base stats'!E:E),Groups!A:A,Groups!AK:AK)=1,"true","false")</f>
        <v>false</v>
      </c>
      <c r="AY309" s="25" t="str">
        <f>IF(_xlfn.XLOOKUP(B309,'Base stats'!B:B,'Base stats'!Y:Y)="Liquor","Liquor, CarnivoreAnimalStrict",IF(AND(_xlfn.XLOOKUP(B309,'Base stats'!B:B,'Base stats'!Y:Y)="Carnivore",_xlfn.XLOOKUP(_xlfn.XLOOKUP(B309,'Base stats'!B:B,'Base stats'!E:E),Groups!A:A,Groups!AJ:AJ)="Photonozoa"),"CarnivoreAnimalStrict, OvivoreAnimal",IF(_xlfn.XLOOKUP(B309,'Base stats'!B:B,'Base stats'!Y:Y)="Carnivore","CarnivoreAnimal, OvivoreAnimal",IF(_xlfn.XLOOKUP(B309,'Base stats'!B:B,'Base stats'!Y:Y)="Dendrovore","VegetarianRoughAnimal, DendrovoreAnimal",IF(_xlfn.XLOOKUP(B309,'Base stats'!B:B,'Base stats'!Y:Y)="Herbivore","VegetarianRoughAnimal",IF(_xlfn.XLOOKUP(B309,'Base stats'!B:B,'Base stats'!Y:Y)="OmnivoreRough","OmnivoreRoughAnimal, OvivoreAnimal","OmnivoreAnimal, OvivoreAnimal"))))))</f>
        <v>VegetarianRoughAnimal, DendrovoreAnimal</v>
      </c>
      <c r="AZ309" s="2" t="str">
        <f>IF(_xlfn.XLOOKUP(_xlfn.XLOOKUP(B309,'Base stats'!B:B,'Base stats'!E:E),Groups!A:A,Groups!D:D)=1,MROUND((1-J309)*5+1,2)*IF(J309&lt;=0.4,2,1),"No")</f>
        <v>No</v>
      </c>
      <c r="BA309" s="2" t="str">
        <f>IF(AND(_xlfn.XLOOKUP(B309,'Base stats'!B:B,'Base stats'!AH:AH)="&lt;li&gt;Seal&lt;/li&gt;",G309="Odyssey"),"&lt;li&gt;AEXP_Seal&lt;/li&gt;",_xlfn.XLOOKUP(B309,'Base stats'!B:B,'Base stats'!AH:AH))</f>
        <v>No</v>
      </c>
      <c r="BB309" s="2" t="str">
        <f>_xlfn.XLOOKUP(B309,'Base stats'!B:B,'Base stats'!AG:AG)</f>
        <v>Leather_Lizard</v>
      </c>
      <c r="BC309" s="23" t="str">
        <f>_xlfn.XLOOKUP(_xlfn.XLOOKUP(B309,'Base stats'!B:B,'Base stats'!E:E),Groups!A:A,Groups!AL:AL)</f>
        <v>Hexapod</v>
      </c>
      <c r="BD309" s="23">
        <f>MIN(1,MROUND(IF(AND(AO309&lt;0.5,_xlfn.XLOOKUP(B309,'Base stats'!B:B,'Base stats'!AA:AA)=0),0,IF(OR(_xlfn.XLOOKUP(Animals!B309,'Base stats'!B:B,'Base stats'!O:O)=2,_xlfn.XLOOKUP(_xlfn.XLOOKUP(B309,'Base stats'!B:B,'Base stats'!E:E),Groups!A:A,Groups!AN:AN)=0),0,_xlfn.XLOOKUP(_xlfn.XLOOKUP(B309,'Base stats'!B:B,'Base stats'!E:E),Groups!A:A,Groups!AN:AN)/IF(_xlfn.XLOOKUP(Animals!B309,'Base stats'!B:B,'Base stats'!O:O)=1,2,1)))+_xlfn.XLOOKUP(B309,'Base stats'!B:B,'Base stats'!AC:AC),0.005))</f>
        <v>0</v>
      </c>
      <c r="BE309" s="23">
        <f>MIN(1,MROUND(IF(AND(AO309&lt;0.5,_xlfn.XLOOKUP(B309,'Base stats'!B:B,'Base stats'!AA:AA)=0),0,IF(_xlfn.XLOOKUP(_xlfn.XLOOKUP(B309,'Base stats'!B:B,'Base stats'!E:E),Groups!A:A,Groups!AO:AO)=0,0,_xlfn.XLOOKUP(_xlfn.XLOOKUP(B309,'Base stats'!B:B,'Base stats'!E:E),Groups!A:A,Groups!AO:AO)/IF(_xlfn.XLOOKUP(Animals!B309,'Base stats'!B:B,'Base stats'!O:O)=2,3,1)))+_xlfn.XLOOKUP(B309,'Base stats'!B:B,'Base stats'!AD:AD),0.005))</f>
        <v>0.1</v>
      </c>
      <c r="BF309" s="2" t="str">
        <f>IF(J309&gt;0.3,"No",_xlfn.XLOOKUP(_xlfn.XLOOKUP(Animals!B309,'Base stats'!B:B,'Base stats'!E:E),Groups!A:A,Groups!AP:AP))</f>
        <v>No</v>
      </c>
      <c r="BG309" s="2" t="str">
        <f>IF(AND(J309&lt;=0.65,_xlfn.XLOOKUP(_xlfn.XLOOKUP(Animals!B309,'Base stats'!B:B,'Base stats'!E:E),Groups!A:A,Groups!AP:AP)&lt;&gt;"No",_xlfn.XLOOKUP(_xlfn.XLOOKUP(B309,'Base stats'!B:B,'Base stats'!E:E),Groups!A:A,Groups!D:D)=0),MROUND((80/3)*IF(_xlfn.XLOOKUP(B309,'Base stats'!B:B,'Base stats'!O:O)=2,0.2,AO309) + 24*(1-IF(BF309="No",0,BF309)) + 16/3, 12),"No")</f>
        <v>No</v>
      </c>
      <c r="BH309" s="2">
        <f>IF(AND(_xlfn.XLOOKUP(_xlfn.XLOOKUP(B309,'Base stats'!B:B,'Base stats'!E:E),Groups!A:A,Groups!AQ:AQ)=1,AO309&lt;=0.35),8,12)</f>
        <v>12</v>
      </c>
      <c r="BI309" s="2" t="str">
        <f>IF(_xlfn.XLOOKUP(_xlfn.XLOOKUP(B309,'Base stats'!B:B,'Base stats'!E:E),Groups!A:A,Groups!D:D)=0,_xlfn.XLOOKUP(_xlfn.XLOOKUP(B309,'Base stats'!B:B,'Base stats'!E:E),Groups!A:A,Groups!AR:AR),"None")</f>
        <v>Intermediate</v>
      </c>
      <c r="BJ309" s="2" t="str">
        <f>IF(AND(_xlfn.XLOOKUP(_xlfn.XLOOKUP(B309,'Base stats'!B:B,'Base stats'!E:E),Groups!A:A,Groups!AS:AS)=1,OR(_xlfn.XLOOKUP(B309,'Base stats'!B:B,'Base stats'!Y:Y)="Carnivore",_xlfn.XLOOKUP(B309,'Base stats'!B:B,'Base stats'!Y:Y)="Omnivore")),"true","false")</f>
        <v>false</v>
      </c>
      <c r="BK309" s="2" t="str">
        <f>IF(BJ309="true",MROUND(IF(AND(AO309&gt;0.5,OR(_xlfn.XLOOKUP(_xlfn.XLOOKUP(B309,'Base stats'!B:B,'Base stats'!E:E),Groups!A:A,Groups!AJ:AJ)="Photonozoa",_xlfn.XLOOKUP(_xlfn.XLOOKUP(B309,'Base stats'!B:B,'Base stats'!E:E),Groups!A:A,Groups!AJ:AJ)="Mammal")),Animals!AO309*1.75*IF(AW309="true",1.5,1),IF(AO309&lt;0.5,Animals!AO309*0.5,Animals!AO309)),IF(AO309&gt;2,0.5,IF(AO309&gt;0.5,0.25,0.1))),"No")</f>
        <v>No</v>
      </c>
      <c r="BL309" s="2">
        <f t="shared" si="31"/>
        <v>1</v>
      </c>
      <c r="BM309" s="25" t="str">
        <f>IF(_xlfn.XLOOKUP(B309,'Base stats'!B:B,'Base stats'!AN:AN)="Standard","No",MROUND((_xlfn.XLOOKUP(B309,'Base stats'!B:B,'Base stats'!AN:AN)/3.6)/I309,0.1))</f>
        <v>No</v>
      </c>
      <c r="BN309" s="25" t="str">
        <f t="shared" si="32"/>
        <v>false</v>
      </c>
      <c r="BO309" s="25" t="str">
        <f>IF(AND(OR(_xlfn.XLOOKUP(B309,'Base stats'!B:B,'Base stats'!Y:Y)="Carnivore",_xlfn.XLOOKUP(B309,'Base stats'!B:B,'Base stats'!Y:Y)="Omnivore",_xlfn.XLOOKUP(B309,'Base stats'!B:B,'Base stats'!Y:Y)="OmnivoreRough"),_xlfn.XLOOKUP(_xlfn.XLOOKUP(B309,'Base stats'!B:B,'Base stats'!E:E),Groups!A:A,Groups!AT:AT)=1),"true","false")</f>
        <v>false</v>
      </c>
      <c r="BP309" s="25" t="str" cm="1">
        <f t="array" ref="BP309">IF(
  _xlfn.TEXTJOIN(", ",TRUE,
    IF(AND(BJ309="true",AO309&gt;0.5,BI309&lt;&gt;"None"),"AttackTarget",""),
    IF(AND(_xlfn.XLOOKUP(_xlfn.XLOOKUP(B309,'Base stats'!B:B,'Base stats'!E:E),Groups!A:A,Groups!AJ:AJ="Mammal"),OR(_xlfn.XLOOKUP(B309,'Base stats'!B:B,'Base stats'!Y:Y)="Omnivore",_xlfn.XLOOKUP(B309,'Base stats'!B:B,'Base stats'!Y:Y)="OmnivoreRough")),"Forage",""),
    IF(BG309&lt;=36,"Comfort",""),
    IF(_xlfn.XLOOKUP(B309,'Base stats'!B:B,'Base stats'!AE:AE)&lt;&gt;"No",_xlfn.XLOOKUP(B309,'Base stats'!B:B,'Base stats'!AE:AE),"")
  ) = "",
  "No",
  _xlfn.TEXTJOIN(", ",TRUE,
    IF(AND(BJ309="true",AO309&gt;0.5,BI309&lt;&gt;"None"),"AttackTarget",""),
    IF(AND(_xlfn.XLOOKUP(_xlfn.XLOOKUP(B309,'Base stats'!B:B,'Base stats'!E:E),Groups!A:A,Groups!AJ:AJ="Mammal"),OR(_xlfn.XLOOKUP(B309,'Base stats'!B:B,'Base stats'!Y:Y)="Omnivore",_xlfn.XLOOKUP(B309,'Base stats'!B:B,'Base stats'!Y:Y)="OmnivoreRough")),"Forage",""),
    IF(BG309&lt;=36,"Comfort",""),
    IF(_xlfn.XLOOKUP(B309,'Base stats'!B:B,'Base stats'!AE:AE)&lt;&gt;"No",_xlfn.XLOOKUP(B309,'Base stats'!B:B,'Base stats'!AE:AE),"")
  )
)</f>
        <v>No</v>
      </c>
      <c r="BQ309" s="25" t="str">
        <f>IF(
   AND(
      'Base stats'!AN309="Standard",_xlfn.XLOOKUP(_xlfn.XLOOKUP(B309,'Base stats'!B:B,'Base stats'!E:E),Groups!A:A,Groups!AU:AU)=0,
      OR(
      BO309="True"
      )
   ),
   10,
   IF(
       OR(BM309&lt;&gt;"No",_xlfn.XLOOKUP(_xlfn.XLOOKUP(B309,'Base stats'!B:B,'Base stats'!E:E),Groups!A:A,Groups!AU:AU)=1),
      1,
      "No"
   )
)</f>
        <v>No</v>
      </c>
      <c r="BR309" s="9">
        <f>MROUND((1 + ((0.2*IF(OR(Q309="No",R309="No",R309=0),0,Q309/R309)
+IF(OR(V309="No",S309="No",T309="No"),0,S309/T309*(LEN(V309)-LEN(SUBSTITUTE(V309,",",""))+1))
+IF(OR(X309="No",Y309="No"),0,X309/Y309)
+IF(OR(AD309="No",AE309="No"),0,AD309/AE309)
+IF(OR(AL309="No",AI309="No",AJ309="No"),0,AI309/AJ309*(LEN(AL309)-LEN(SUBSTITUTE(AL309,",",""))+1))
)/(0.2*IF(OR(Q309="No",R309="No",R309=0),0,1)
+IF(OR(V309="No",S309="No",T309="No"),0,LEN(V309)-LEN(SUBSTITUTE(V309,",",""))+1)
+IF(OR(X309="No",Y309="No"),0,1)
+IF(OR(AD309="No",AE309="No"),0,1)
+IF(OR(AL309="No",AI309="No",AJ309="No"),0,LEN(AL309)-LEN(SUBSTITUTE(AL309,",",""))+1))*62%)* 2)*(1 + (AP309 / (IF(_xlfn.XLOOKUP(_xlfn.XLOOKUP(B309,'Base stats'!B:B,'Base stats'!E:E),Groups!A:A,Groups!AJ:AJ)="Photonozoa",0.3,1)) + _xlfn.XLOOKUP(B309,'Base stats'!B:B,'Base stats'!AV:AV) * 1.8) * 2) * 2.5 + 10 + I309 * 2,5)+IF(_xlfn.XLOOKUP(B309,'Base stats'!B:B,'Base stats'!AK:AK)=1,50,0)</f>
        <v>955</v>
      </c>
      <c r="BS309" s="8">
        <f t="shared" si="33"/>
        <v>2.15</v>
      </c>
      <c r="BT309" s="8" t="str">
        <f>_xlfn.XLOOKUP(B309,'Base stats'!B:B,'Base stats'!AF:AF)</f>
        <v>No</v>
      </c>
      <c r="BU309" s="2" t="str">
        <f>IF(AND(J309&lt;=0.95,OR(_xlfn.XLOOKUP(B309,'Base stats'!B:B,'Base stats'!AK:AK)=1,_xlfn.XLOOKUP(B309,'Base stats'!B:B,'Base stats'!Y:Y)="Carnivore",_xlfn.XLOOKUP(B309,'Base stats'!B:B,'Base stats'!Y:Y)="Omnivore",BE309&gt;0.1)),"true","false")</f>
        <v>false</v>
      </c>
      <c r="BV309" s="2" t="str">
        <f>IF(_xlfn.XLOOKUP(B309,'Base stats'!B:B,'Base stats'!AI:AI)=1,"true","false")</f>
        <v>false</v>
      </c>
      <c r="BW309" s="25" t="str">
        <f>IF(E309="BaseInsect","AnimalInsect",
IF(J309&gt;0.95,"AnimalExotic",
_xlfn.TEXTJOIN(", ",TRUE,
IF(OR(_xlfn.XLOOKUP(B309,'Base stats'!B:B,'Base stats'!AM:AM)=1,AND(_xlfn.XLOOKUP(B309,'Base stats'!B:B,'Base stats'!O:O)=0,_xlfn.XLOOKUP(_xlfn.XLOOKUP(B309,'Base stats'!B:B,'Base stats'!E:E),Groups!A:A,Groups!B:B)&gt;0)),"AnimalUncommon","AnimalCommon"),
IF(AND(_xlfn.XLOOKUP(B309,'Base stats'!B:B,'Base stats'!O:O)=2,_xlfn.XLOOKUP(_xlfn.XLOOKUP(B309,'Base stats'!B:B,'Base stats'!E:E),Groups!A:A,Groups!D:D)=0),"AnimalPet",IF(AND(_xlfn.XLOOKUP(B309,'Base stats'!B:B,'Base stats'!O:O)&lt;&gt;0,_xlfn.XLOOKUP(_xlfn.XLOOKUP(B309,'Base stats'!B:B,'Base stats'!E:E),Groups!A:A,Groups!D:D)&lt;&gt;0),"AnimalFarm","")),
IF(OR(_xlfn.XLOOKUP(B309,'Base stats'!B:B,'Base stats'!AK:AK)=1,AND(BI309&lt;&gt;"None",BR309&gt;=60),ISNUMBER(SEARCH("Attack target",BP309))),"AnimalFighter","")
)))</f>
        <v>AnimalExotic</v>
      </c>
      <c r="BX309" s="25" t="str">
        <f>IF(G309="None",TRIM(
SUBSTITUTE(
IF(COUNTIF(Biomes!B$2:B$259,"="&amp;$C309)&gt;0,Biomes!B$1&amp;", ","")&amp;
IF(COUNTIF(Biomes!C$2:C$259,"="&amp;$C309)&gt;0,Biomes!C$1&amp;", ","")&amp;
IF(COUNTIF(Biomes!D$2:D$259,"="&amp;$C309)&gt;0,Biomes!D$1&amp;", ","")&amp;
IF(COUNTIF(Biomes!F$2:F$259,"="&amp;$C309)&gt;0,Biomes!F$1&amp;", ","")&amp;
IF(COUNTIF(Biomes!G$2:G$259,"="&amp;$C309)&gt;0,Biomes!G$1&amp;", ","")&amp;
IF(COUNTIF(Biomes!H$2:H$259,"="&amp;$C309)&gt;0,Biomes!H$1&amp;", ","")&amp;
IF(COUNTIF(Biomes!I$2:I$259,"="&amp;$C309)&gt;0,Biomes!I$1&amp;", ","")&amp;
IF(COUNTIF(Biomes!J$2:J$259,"="&amp;$C309)&gt;0,Biomes!J$1&amp;", ","")&amp;
IF(COUNTIF(Biomes!M$2:M$259,"="&amp;$C309)&gt;0,Biomes!M$1&amp;", ","")&amp;
IF(COUNTIF(Biomes!N$2:N$259,"="&amp;$C309)&gt;0,Biomes!N$1&amp;", ","")&amp;
IF(COUNTIF(Biomes!O$2:O$259,"="&amp;$C309)&gt;0,Biomes!O$1&amp;", ","")&amp;
IF(COUNTIF(Biomes!P$2:P$259,"="&amp;$C309)&gt;0,Biomes!P$1&amp;", ","")&amp;
IF(COUNTIF(Biomes!K$2:K$259,"="&amp;$C309)&gt;0,Biomes!K$1&amp;", ","")&amp;
IF(COUNTIF(Biomes!Q$3:Q$259,"="&amp;$C309)&gt;0,Biomes!Q$1&amp;", ","")&amp;
IF(COUNTIF(Biomes!L$2:L$259,"="&amp;$C309)&gt;0,Biomes!L$1&amp;", ","")&amp;
IF(COUNTIF(Biomes!E$2:E$259,"="&amp;$C309)&gt;0,Biomes!E$1&amp;", ","")&amp;IF(COUNTIF(Biomes!S$2:S$259,"="&amp;$C309)&gt;0,Biomes!S$1&amp;", ","")&amp;
IF(COUNTIF(Biomes!R$2:R$259,"="&amp;$C309)&gt;0,Biomes!R$1&amp;", ",""),", ","")
),_xlfn.XLOOKUP(B309,B:B,BX:BX))</f>
        <v>BorealForest ColdBog TemperateForest TemperateSwamp TropicalRainforest TropicalSwamp Glowforest</v>
      </c>
      <c r="BY309" s="25" t="str">
        <f>IF(_xlfn.XLOOKUP(B309,'Base stats'!B:B,'Base stats'!AJ:AJ)=1,"true","false")</f>
        <v>false</v>
      </c>
      <c r="BZ309" s="25">
        <f>IF(_xlfn.XLOOKUP(B309,'Base stats'!B:B,'Base stats'!N:N)=1,"No",MAX(0.001,MIN(MROUND(IF(AND(BJ309="True",CC309="False"),POWER(10,3.47*LOG10(_xlfn.XLOOKUP(B309,'Base stats'!B:B,'Base stats'!C:C)*1000)^-0.96),POWER(10,4.15*LOG10(_xlfn.XLOOKUP(B309,'Base stats'!B:B,'Base stats'!C:C)*1000)^-0.73))*IF(_xlfn.XLOOKUP(B309,'Base stats'!B:B,'Base stats'!AK:AK)=1,0.5,1)*IF(_xlfn.XLOOKUP(B309,'Base stats'!B:B,'Base stats'!AM:AM)=1,0.1,1)/100,IF(_xlfn.XLOOKUP(B309,'Base stats'!B:B,'Base stats'!AM:AM)=1,0.001,0.025)),0.5)))</f>
        <v>0.01</v>
      </c>
      <c r="CA309" s="25" t="str">
        <f>IF(P309="Standard","No",MAX(0.001,MIN(MROUND(IF(AND(BJ309="True",CC309="False"),POWER(10,3.47*LOG10(_xlfn.XLOOKUP(B309,'Base stats'!B:B,'Base stats'!C:C)*1000)^-0.96),POWER(10,4.15*LOG10(_xlfn.XLOOKUP(B309,'Base stats'!B:B,'Base stats'!C:C)*1000)^-0.73))*IF(_xlfn.XLOOKUP(B309,'Base stats'!B:B,'Base stats'!AM:AM)=1,0.1,1)*_xlfn.XLOOKUP(B309,'Base stats'!B:B,'Base stats'!R:R)/100,IF(_xlfn.XLOOKUP(B309,'Base stats'!B:B,'Base stats'!AM:AM)=1,0.001,0.025)),0.5)))</f>
        <v>No</v>
      </c>
      <c r="CB309" s="25" t="str">
        <f>IF(_xlfn.XLOOKUP(_xlfn.XLOOKUP(B309,'Base stats'!B:B,'Base stats'!E:E),Groups!A:A,Groups!AJ:AJ)="Mammal","True","False")</f>
        <v>False</v>
      </c>
      <c r="CC309" s="25" t="str">
        <f>IF(OR(_xlfn.XLOOKUP(_xlfn.XLOOKUP(B309,'Base stats'!B:B,'Base stats'!E:E),Groups!A:A,Groups!AJ:AJ)="Reptile",_xlfn.XLOOKUP(_xlfn.XLOOKUP(B309,'Base stats'!B:B,'Base stats'!E:E),Groups!A:A,Groups!AJ:AJ)="Amphibian",_xlfn.XLOOKUP(_xlfn.XLOOKUP(B309,'Base stats'!B:B,'Base stats'!E:E),Groups!A:A,Groups!AJ:AJ)="Invertebrate"),"True","False")</f>
        <v>True</v>
      </c>
      <c r="CD309" s="25" t="str">
        <f t="shared" si="34"/>
        <v>True</v>
      </c>
      <c r="CE309" s="25" t="str">
        <f>IF(_xlfn.XLOOKUP(_xlfn.XLOOKUP(B309,'Base stats'!B:B,'Base stats'!E:E),Groups!A:A,Groups!AX:AX),"True","False")</f>
        <v>False</v>
      </c>
      <c r="CF309" s="25" t="str">
        <f>IF(_xlfn.XLOOKUP(_xlfn.XLOOKUP(B309,'Base stats'!B:B,'Base stats'!E:E),Groups!A:A,Groups!AY:AY),"True","False")</f>
        <v>False</v>
      </c>
      <c r="CG309" s="25" t="str">
        <f>IF(_xlfn.XLOOKUP(_xlfn.XLOOKUP(B309,'Base stats'!B:B,'Base stats'!E:E),Groups!A:A,Groups!AW:AW),"True","False")</f>
        <v>False</v>
      </c>
      <c r="CH309" s="25" t="str">
        <f>IF(
OR(
_xlfn.XLOOKUP(_xlfn.XLOOKUP(B309,'Base stats'!B:B,'Base stats'!E:E),Groups!A:A,Groups!AZ:AZ)=0,
AND(
_xlfn.XLOOKUP(B309,'Base stats'!B:B,'Base stats'!Y:Y)&lt;&gt;"Carnivore",
_xlfn.XLOOKUP(B309,'Base stats'!B:B,'Base stats'!Y:Y)&lt;&gt;"Omnivore",
_xlfn.XLOOKUP(B309,'Base stats'!B:B,'Base stats'!Y:Y)&lt;&gt;"OmnivoreRough"
)
),
"No",
IF(
_xlfn.XLOOKUP(_xlfn.XLOOKUP(B309,'Base stats'!B:B,'Base stats'!E:E),Groups!A:A,Groups!AZ:AZ)=1,
"Flesh",
IF(
_xlfn.XLOOKUP(_xlfn.XLOOKUP(B309,'Base stats'!B:B,'Base stats'!E:E),Groups!A:A,Groups!AZ:AZ)=2,
"Bone",
""
)
)
)</f>
        <v>No</v>
      </c>
      <c r="CI309" s="25" t="str">
        <f>IF(_xlfn.XLOOKUP(_xlfn.XLOOKUP(B309,'Base stats'!B:B,'Base stats'!E:E),Groups!A:A,Groups!BB:BB),"True","False")</f>
        <v>True</v>
      </c>
      <c r="CJ309" s="25" t="str">
        <f>IF(_xlfn.XLOOKUP(_xlfn.XLOOKUP(B309,'Base stats'!B:B,'Base stats'!E:E),Groups!A:A,Groups!BA:BA),"True","False")</f>
        <v>False</v>
      </c>
    </row>
    <row r="310" spans="1:88" ht="16.5" thickTop="1" thickBot="1" x14ac:dyDescent="0.3">
      <c r="A310" s="26" t="s">
        <v>1532</v>
      </c>
      <c r="B310" s="6" t="str">
        <f>_xlfn.XLOOKUP(A310,'Base stats'!A:A,'Base stats'!B:B)</f>
        <v>Megacancer lapidus</v>
      </c>
      <c r="C310" s="28" t="s">
        <v>1533</v>
      </c>
      <c r="D310" s="28" t="s">
        <v>1341</v>
      </c>
      <c r="E310" s="28" t="s">
        <v>673</v>
      </c>
      <c r="F310" s="28" t="s">
        <v>673</v>
      </c>
      <c r="G310" s="28" t="s">
        <v>673</v>
      </c>
      <c r="H310" s="2">
        <f>MROUND((
  (IF(AND(_xlfn.XLOOKUP(B310,'Base stats'!B:B,'Base stats'!AL:AL)=0,BI310="None",_xlfn.XLOOKUP(_xlfn.XLOOKUP(B310,'Base stats'!B:B,'Base stats'!E:E),Groups!A:A,Groups!B:B)=0), (18 + BR310 * 2.7) * 0.5,
    IF(AND(_xlfn.XLOOKUP(B310,'Base stats'!B:B,'Base stats'!AL:AL)=0,OR(AO310&lt;0.55,AND(BI310="Intermediate",_xlfn.XLOOKUP(_xlfn.XLOOKUP(B310,'Base stats'!B:B,'Base stats'!E:E),Groups!A:A,Groups!B:B)&lt;2))), (18 + BR310 * 2.7),
      IF(OR(BI310="Advanced",_xlfn.XLOOKUP(B310,'Base stats'!B:B,'Base stats'!AL:AL)=1,_xlfn.XLOOKUP(_xlfn.XLOOKUP(B310,'Base stats'!B:B,'Base stats'!E:E),Groups!A:A,Groups!B:B)=2), (18 + BR310 * 2.7) + 250, (18 + BR310 * 2.7))
    )
  ))
  + AO310 * 80
  + IF(COUNTIF(EggMilk!K$2:K$998, A310) &gt; 0, 125, 0)
  + IF(COUNTIF(EggMilk!P$2:P$998, A310) &gt; 0, 90, 0)
  + IF(COUNTIF(EggMilk!A$2:A$998, A310) &gt; 0, 90, 0)
)
* (0.8 + 0.4 * J310)
* 0.75,25)</f>
        <v>100</v>
      </c>
      <c r="I310" s="2">
        <f>MROUND(ROUNDDOWN(_xlfn.XLOOKUP(B310,'Base stats'!B:B,'Base stats'!L:L)/3.6/(23.3/11),1),0.5)</f>
        <v>1</v>
      </c>
      <c r="J310" s="2">
        <f>IF(OR(_xlfn.XLOOKUP(B310,'Base stats'!B:B,'Base stats'!AB:AB)=1,_xlfn.XLOOKUP(_xlfn.XLOOKUP(B310,'Base stats'!B:B,'Base stats'!E:E),Groups!A:A,Groups!C:C)="Untamable"),1,IF(_xlfn.XLOOKUP(B310,'Base stats'!B:B,'Base stats'!AL:AL)=1,0.99,MIN(MROUND((1-0.6282*EXP(-0.459*AO310))*_xlfn.XLOOKUP(_xlfn.XLOOKUP(B310,'Base stats'!B:B,'Base stats'!E:E),Groups!A:A,Groups!C:C)*IF(_xlfn.XLOOKUP(B310,'Base stats'!B:B,'Base stats'!O:O)=1,0.5,IF(_xlfn.XLOOKUP(B310,'Base stats'!B:B,'Base stats'!O:O)=2,0,1)),0.05),IF(AO310&gt;3.5,0.985,0.95))))</f>
        <v>0.60000000000000009</v>
      </c>
      <c r="K310" s="2">
        <f>ROUNDUP(AO310*_xlfn.XLOOKUP(_xlfn.XLOOKUP(B310,'Base stats'!B:B,'Base stats'!E:E),Groups!A:A,Groups!E:E),0)</f>
        <v>1</v>
      </c>
      <c r="L310" s="2">
        <f>IF(OR(_xlfn.XLOOKUP(_xlfn.XLOOKUP(B310,'Base stats'!B:B,'Base stats'!E:E),Groups!A:A,Groups!F:F)=2,ISNUMBER(SEARCH("SeaIce",BX310)),ISNUMBER(SEARCH("IceSheet",BX310))),-50,IF(OR(ISNUMBER(SEARCH("GlacialPlain",BX310)),ISNUMBER(SEARCH("Tundra",BX310))),-40,IF(OR(ISNUMBER(SEARCH("Alpine",BX310)),ISNUMBER(SEARCH("BorealForest",BX310)),ISNUMBER(SEARCH("ColdBog",BX310))),-30,IF(OR(ISNUMBER(SEARCH("TemperateForest",BX310)),ISNUMBER(SEARCH("TemperateSwamp",BX310))),-20,IF(_xlfn.XLOOKUP(_xlfn.XLOOKUP(B310,'Base stats'!B:B,'Base stats'!E:E),Groups!A:A,Groups!F:F)=1,-15,IF(OR(ISNUMBER(SEARCH("Desert",BX310)),ISNUMBER(SEARCH("ExtremeDesert",BX310))),-10,IF(OR(ISNUMBER(SEARCH("Grasslands",BX310)),ISNUMBER(SEARCH("TropicalRainforest",BX310)),ISNUMBER(SEARCH("TropicalSwamp",BX310))),10,0)))))))-IF(CC310="False",MIN(IFERROR(MAX(MROUND(LOG10(_xlfn.XLOOKUP(B310,'Base stats'!B:B,'Base stats'!C:C)^(2/3))*10,5),5),5),30))-_xlfn.XLOOKUP(B310,'Base stats'!B:B,'Base stats'!P:P)+IF(CC310="True",5,0)</f>
        <v>-35</v>
      </c>
      <c r="M310" s="2">
        <f>IF(OR(_xlfn.XLOOKUP(_xlfn.XLOOKUP(B310,'Base stats'!B:B,'Base stats'!E:E),Groups!A:A,Groups!G:G)=2,ISNUMBER(SEARCH("Desert",BX310)),ISNUMBER(SEARCH("ExtremeDesert",BX310)),ISNUMBER(SEARCH("LavaField",BX310))),50,IF(ISNUMBER(SEARCH("Grasslands",BX310)),45,IF(OR(_xlfn.XLOOKUP(_xlfn.XLOOKUP(B310,'Base stats'!B:B,'Base stats'!E:E),Groups!A:A,Groups!G:G)=1,ISNUMBER(SEARCH("TropicalRainforest",BX310)),ISNUMBER(SEARCH("TropicalSwamp",BX310))),40,IF(OR(ISNUMBER(SEARCH("TemperateForest",BX310)),ISNUMBER(SEARCH("TemperateSwamp",BX310))),35,IF(OR(ISNUMBER(SEARCH("Alpine",BX310)),ISNUMBER(SEARCH("BorealForest",BX310)),ISNUMBER(SEARCH("ColdBog",BX310))),30,IF(ISNUMBER(OR(ISNUMBER(SEARCH("GlacialPlain",BX310)),SEARCH("Tundra",BX310))),25,IF(OR(ISNUMBER(SEARCH("SeaIce",BX310)),ISNUMBER(SEARCH("IceSheet",BX310)),ISNUMBER(SEARCH("TropicalSwamp",BX310))),10,35)))))))+_xlfn.XLOOKUP(B310,'Base stats'!B:B,'Base stats'!Q:Q)</f>
        <v>50</v>
      </c>
      <c r="N310" s="8">
        <f>IF(
_xlfn.XLOOKUP(
_xlfn.XLOOKUP(B310,'Base stats'!B:B,'Base stats'!E:E),
Groups!A:A,
Groups!L:L
)=1,
MIN(
MROUND(
IF(
_xlfn.XLOOKUP(B310,'Animals CE'!B:B,'Animals CE'!Z:Z)&lt;=1.5,
_xlfn.XLOOKUP(B310,'Animals CE'!B:B,'Animals CE'!Z:Z)/2+0.05,
0.8+
(_xlfn.XLOOKUP(B310,'Animals CE'!B:B,'Animals CE'!Z:Z)-1.5)
*0.02
),
0.05
),
200%
),
"No"
)</f>
        <v>0.5</v>
      </c>
      <c r="O310" s="8">
        <f>IF(
_xlfn.XLOOKUP(
_xlfn.XLOOKUP(B310,'Base stats'!B:B,'Base stats'!E:E),
Groups!A:A,
Groups!L:L
)=1,
MIN(
MROUND(
IF(
_xlfn.XLOOKUP(B310,'Animals CE'!B:B,'Animals CE'!AA:AA)&lt;=1.5,
_xlfn.XLOOKUP(B310,'Animals CE'!B:B,'Animals CE'!AA:AA)/2+0.05,
0.8+
(_xlfn.XLOOKUP(B310,'Animals CE'!B:B,'Animals CE'!AA:AA)-1.5)
*0.02
),
0.05
),
200%
),
"No"
)</f>
        <v>0.05</v>
      </c>
      <c r="P310" s="2" t="str">
        <f>_xlfn.XLOOKUP(B310,'Base stats'!B:B,'Base stats'!R:R)</f>
        <v>Standard</v>
      </c>
      <c r="Q310" s="13">
        <f>MROUND((LOG10(_xlfn.XLOOKUP(B310,'Base stats'!B:B,'Base stats'!AR:AR))*(AO310^0.5)+(_xlfn.XLOOKUP(B310,'Base stats'!B:B,'Base stats'!AR:AR)/1000)^(2/3)+_xlfn.XLOOKUP(B310,'Base stats'!B:B,'Base stats'!BA:BA)/2)+0.5,0.5)</f>
        <v>5</v>
      </c>
      <c r="R310" s="7">
        <f>IF(Q310="No","No",MAX(1,MROUND(_xlfn.XLOOKUP(B310,'Base stats'!B:B,'Base stats'!C:C)^0.165,0.05)))</f>
        <v>1.7000000000000002</v>
      </c>
      <c r="S310" s="13" t="str">
        <f>IF(_xlfn.XLOOKUP(_xlfn.XLOOKUP(B310,'Base stats'!B:B,'Base stats'!E:E),Groups!A:A,Groups!P:P)=0,"No",MROUND((LOG10(_xlfn.XLOOKUP(B310,'Base stats'!B:B,'Base stats'!AS:AS))*(AO310^0.5)+(_xlfn.XLOOKUP(B310,'Base stats'!B:B,'Base stats'!AS:AS)/1000)^(2/3)+_xlfn.XLOOKUP(B310,'Base stats'!B:B,'Base stats'!BA:BA))+_xlfn.XLOOKUP(B310,'Base stats'!B:B,'Base stats'!AY:AY)+0.5,0.5))</f>
        <v>No</v>
      </c>
      <c r="T310" s="7" t="str">
        <f>IF(S310="No","No",MAX(_xlfn.XLOOKUP(_xlfn.XLOOKUP(B310,'Base stats'!B:B,'Base stats'!E:E),Groups!A:A,Groups!Q:Q),MROUND(_xlfn.XLOOKUP(_xlfn.XLOOKUP(B310,'Base stats'!B:B,'Base stats'!E:E),Groups!A:A,Groups!Q:Q)*_xlfn.XLOOKUP(B310,'Base stats'!B:B,'Base stats'!C:C)^0.165,0.05)))</f>
        <v>No</v>
      </c>
      <c r="U310" s="7" t="str">
        <f>IF(S310="No","No",_xlfn.XLOOKUP(_xlfn.XLOOKUP(B310,'Base stats'!B:B,'Base stats'!E:E),Groups!A:A,Groups!R:R))</f>
        <v>No</v>
      </c>
      <c r="V310" s="7" t="str">
        <f>IF(S310="No","No",_xlfn.XLOOKUP(_xlfn.XLOOKUP(B310,'Base stats'!B:B,'Base stats'!E:E),Groups!A:A,Groups!S:S))</f>
        <v>No</v>
      </c>
      <c r="W310" s="7" t="str">
        <f>IF(S310="No","No",_xlfn.XLOOKUP(_xlfn.XLOOKUP(B310,'Base stats'!B:B,'Base stats'!E:E),Groups!A:A,Groups!T:T))</f>
        <v>No</v>
      </c>
      <c r="X310" s="13" t="str">
        <f>IF(_xlfn.XLOOKUP(B310,'Base stats'!B:B,'Base stats'!W:W)="No","No",MROUND((LOG10(_xlfn.XLOOKUP(B310,'Base stats'!B:B,'Base stats'!AU:AU))*(AO310^0.5)+(_xlfn.XLOOKUP(B310,'Base stats'!B:B,'Base stats'!AU:AU)/1000)^(2/3)+_xlfn.XLOOKUP(B310,'Base stats'!B:B,'Base stats'!AZ:AZ))+0.5+IF(_xlfn.XLOOKUP(_xlfn.XLOOKUP(B310,'Base stats'!B:B,'Base stats'!E:E),Groups!A:A,Groups!U:U)&lt;&gt;3,_xlfn.XLOOKUP(B310,'Base stats'!B:B,'Base stats'!BA:BA),0),0.5))</f>
        <v>No</v>
      </c>
      <c r="Y310" s="7" t="str">
        <f>IF(X310="No","No",MAX(_xlfn.XLOOKUP(_xlfn.XLOOKUP(B310,'Base stats'!B:B,'Base stats'!E:E),Groups!A:A,Groups!V:V),MROUND(_xlfn.XLOOKUP(_xlfn.XLOOKUP(B310,'Base stats'!B:B,'Base stats'!E:E),Groups!A:A,Groups!V:V)*_xlfn.XLOOKUP(B310,'Base stats'!B:B,'Base stats'!C:C)^0.165,0.05)))</f>
        <v>No</v>
      </c>
      <c r="Z310" s="7" t="str">
        <f>IF(X310="No","No",_xlfn.XLOOKUP(_xlfn.XLOOKUP(B310,'Base stats'!B:B,'Base stats'!E:E),Groups!A:A,Groups!W:W))</f>
        <v>No</v>
      </c>
      <c r="AA310" s="7" t="str">
        <f>IF(X310="No","No",_xlfn.XLOOKUP(_xlfn.XLOOKUP(B310,'Base stats'!B:B,'Base stats'!E:E),Groups!A:A,Groups!X:X))</f>
        <v>No</v>
      </c>
      <c r="AB310" s="7" t="str">
        <f>IF(X310="No","No",_xlfn.XLOOKUP(_xlfn.XLOOKUP(B310,'Base stats'!B:B,'Base stats'!E:E),Groups!A:A,Groups!Y:Y))</f>
        <v>No</v>
      </c>
      <c r="AC310" s="7" t="str">
        <f>_xlfn.XLOOKUP(Animals!B310,'Base stats'!B:B,'Base stats'!X:X)</f>
        <v>False</v>
      </c>
      <c r="AD310" s="13" t="str">
        <f>IF(_xlfn.XLOOKUP(B310,'Base stats'!B:B,'Base stats'!AT:AT)="No","No",MROUND((LOG10(_xlfn.XLOOKUP(B310,'Base stats'!B:B,'Base stats'!AT:AT))*(AO310^0.75)+(_xlfn.XLOOKUP(B310,'Base stats'!B:B,'Base stats'!AT:AT)/1000)^(2/3)+_xlfn.XLOOKUP(B310,'Base stats'!B:B,'Base stats'!AX:AX)+_xlfn.XLOOKUP(B310,'Base stats'!B:B,'Base stats'!BA:BA))+0.5,0.5))</f>
        <v>No</v>
      </c>
      <c r="AE310" s="7" t="str">
        <f>IF(AD310="No","No",MAX(_xlfn.XLOOKUP(_xlfn.XLOOKUP(B310,'Base stats'!B:B,'Base stats'!E:E),Groups!A:A,Groups!Z:Z),MROUND(_xlfn.XLOOKUP(_xlfn.XLOOKUP(B310,'Base stats'!B:B,'Base stats'!E:E),Groups!A:A,Groups!Z:Z)*_xlfn.XLOOKUP(B310,'Base stats'!B:B,'Base stats'!C:C)^0.165,0.05)))</f>
        <v>No</v>
      </c>
      <c r="AF310" s="7" t="str">
        <f>IF(AD310="No","No",_xlfn.XLOOKUP(_xlfn.XLOOKUP(B310,'Base stats'!B:B,'Base stats'!E:E),Groups!A:A,Groups!AA:AA))</f>
        <v>No</v>
      </c>
      <c r="AG310" s="7" t="str">
        <f>IF(AD310="No","No",_xlfn.XLOOKUP(_xlfn.XLOOKUP(B310,'Base stats'!B:B,'Base stats'!E:E),Groups!A:A,Groups!AB:AB))</f>
        <v>No</v>
      </c>
      <c r="AH310" s="7" t="str">
        <f>IF(AD310="No","No",_xlfn.XLOOKUP(_xlfn.XLOOKUP(B310,'Base stats'!B:B,'Base stats'!E:E),Groups!A:A,Groups!AC:AC))</f>
        <v>No</v>
      </c>
      <c r="AI310" s="13">
        <f>IF(_xlfn.XLOOKUP(_xlfn.XLOOKUP(B310,'Base stats'!B:B,'Base stats'!E:E),Groups!A:A,Groups!AD:AD)=0,"No",MROUND((LOG10(_xlfn.XLOOKUP(B310,'Base stats'!B:B,'Base stats'!AS:AS))*(AO310^0.75)+(_xlfn.XLOOKUP(B310,'Base stats'!B:B,'Base stats'!AS:AS)/1000)^(2/3)+_xlfn.XLOOKUP(B310,'Base stats'!B:B,'Base stats'!AY:AY)+_xlfn.XLOOKUP(B310,'Base stats'!B:B,'Base stats'!BA:BA))+0.5,0.5))</f>
        <v>7</v>
      </c>
      <c r="AJ310" s="7">
        <f>IF(AI310="No","No",MAX(_xlfn.XLOOKUP(_xlfn.XLOOKUP(B310,'Base stats'!B:B,'Base stats'!E:E),Groups!A:A,Groups!AE:AE),MROUND(_xlfn.XLOOKUP(_xlfn.XLOOKUP(B310,'Base stats'!B:B,'Base stats'!E:E),Groups!A:A,Groups!AE:AE)*IF(_xlfn.XLOOKUP(_xlfn.XLOOKUP(B310,'Base stats'!B:B,'Base stats'!E:E),Groups!A:A,Groups!AJ:AJ)="Photonozoa",0.6,1)*_xlfn.XLOOKUP(B310,'Base stats'!B:B,'Base stats'!C:C)^0.165,0.05)))</f>
        <v>2.0500000000000003</v>
      </c>
      <c r="AK310" s="7" t="str">
        <f>IF(AI310="No","No",_xlfn.XLOOKUP(_xlfn.XLOOKUP(B310,'Base stats'!B:B,'Base stats'!E:E),Groups!A:A,Groups!AF:AF))</f>
        <v>FrontLeftClaws, FrontRightClaws</v>
      </c>
      <c r="AL310" s="7" t="str">
        <f>IF(AI310="No","No",_xlfn.XLOOKUP(_xlfn.XLOOKUP(B310,'Base stats'!B:B,'Base stats'!E:E),Groups!A:A,Groups!AG:AG))</f>
        <v>left claw, right claw</v>
      </c>
      <c r="AM310" s="7" t="str">
        <f>IF(AI310="No","No",_xlfn.XLOOKUP(_xlfn.XLOOKUP(B310,'Base stats'!B:B,'Base stats'!E:E),Groups!A:A,Groups!AH:AH))</f>
        <v>Scratch</v>
      </c>
      <c r="AN310" s="2" t="str">
        <f t="shared" si="28"/>
        <v>No</v>
      </c>
      <c r="AO310" s="2">
        <f>MROUND(IF(AND(_xlfn.XLOOKUP(B310,'Base stats'!B:B,'Base stats'!C:C)&gt;=0.5,_xlfn.XLOOKUP(B310,'Base stats'!B:B,'Base stats'!C:C)&lt;=0.8),
IF(_xlfn.XLOOKUP(B310,'Base stats'!B:B,'Base stats'!C:C)&lt;0.1,0.05,IF(_xlfn.XLOOKUP(B310,'Base stats'!B:B,'Base stats'!C:C)&lt;=70,(_xlfn.XLOOKUP(B310,'Base stats'!B:B,'Base stats'!C:C)/70)^0.426489913056526,IF(_xlfn.XLOOKUP(B310,'Base stats'!B:B,'Base stats'!C:C)&lt;=400,(_xlfn.XLOOKUP(B310,'Base stats'!B:B,'Base stats'!C:C)/70)^0.572811455315093,IF(_xlfn.XLOOKUP(B310,'Base stats'!B:B,'Base stats'!C:C)&lt;=2000,2.71391647193063*(_xlfn.XLOOKUP(B310,'Base stats'!B:B,'Base stats'!C:C)/400)^0.252459582904293,3.74314280240376*(_xlfn.XLOOKUP(B310,'Base stats'!B:B,'Base stats'!C:C)/2000)^0.357012633876913)))),
IF(_xlfn.XLOOKUP(B310,'Base stats'!B:B,'Base stats'!C:C)&lt;0.1,0.05,IF(_xlfn.XLOOKUP(B310,'Base stats'!B:B,'Base stats'!C:C)&lt;0.4,0.1,IF(_xlfn.XLOOKUP(B310,'Base stats'!B:B,'Base stats'!C:C)&lt;=70,(_xlfn.XLOOKUP(B310,'Base stats'!B:B,'Base stats'!C:C)/70)^0.445823913056526,IF(_xlfn.XLOOKUP(B310,'Base stats'!B:B,'Base stats'!C:C)&lt;=400,(_xlfn.XLOOKUP(B310,'Base stats'!B:B,'Base stats'!C:C)/70)^0.572811455315093,IF(_xlfn.XLOOKUP(B310,'Base stats'!B:B,'Base stats'!C:C)&lt;=2000,2.71391647193063*(_xlfn.XLOOKUP(B310,'Base stats'!B:B,'Base stats'!C:C)/400)^0.252459582904293,3.74314280240376*(_xlfn.XLOOKUP(B310,'Base stats'!B:B,'Base stats'!C:C)/2000)^0.357012633876913)))))),
IF(_xlfn.XLOOKUP(B310,'Base stats'!B:B,'Base stats'!C:C)&lt;0.1,0.05,IF(_xlfn.XLOOKUP(B310,'Base stats'!B:B,'Base stats'!C:C)&lt;=100,0.05,IF(_xlfn.XLOOKUP(B310,'Base stats'!B:B,'Base stats'!C:C)&lt;=250,0.1,IF(_xlfn.XLOOKUP(B310,'Base stats'!B:B,'Base stats'!C:C)&lt;=4000,0.25,0.5)))))</f>
        <v>0.65</v>
      </c>
      <c r="AP310" s="8">
        <f>MROUND(AO310*_xlfn.XLOOKUP(_xlfn.XLOOKUP(B310,'Base stats'!B:B,'Base stats'!E:E),Groups!A:A,Groups!AI:AI)*_xlfn.XLOOKUP(B310,'Base stats'!B:B,'Base stats'!Z:Z),0.05)</f>
        <v>0.65</v>
      </c>
      <c r="AQ310" s="8">
        <f>MAX(0.01,MROUND(IF(CC310="True",0.196*(AO310*100*1000)^0.889,IF(_xlfn.XLOOKUP(_xlfn.XLOOKUP(B310,'Base stats'!B:B,'Base stats'!E:E),Groups!A:A,Groups!AJ:AJ)="Bird",10.5*(AO310*100*1000)^0.681,4.82*(AO310*100*1000)^0.734))/(4.82*(1*100*1000)^0.734)/IF(AO310&lt;3.5,2,IF(AO310=3.5,1.5,1.25))*(1+0.132282374779864/(AO310^0.994035016789033+0.00905238001496948)),0.05))</f>
        <v>0.1</v>
      </c>
      <c r="AR310" s="9">
        <f>IFERROR(MROUND(_xlfn.XLOOKUP(B310,'Base stats'!B:B,'Base stats'!H:H)/IF(_xlfn.XLOOKUP(B310,'Base stats'!B:B,'Base stats'!I:I)&lt;&gt;1,(122.5/70),1.2),IF(_xlfn.XLOOKUP(B310,'Base stats'!B:B,'Base stats'!H:H)&gt;=30,5,IF(_xlfn.XLOOKUP(B310,'Base stats'!B:B,'Base stats'!H:H)&gt;=15,3,IF(_xlfn.XLOOKUP(B310,'Base stats'!B:B,'Base stats'!H:H)&gt;=10,2,1)))),"Immortal")</f>
        <v>21</v>
      </c>
      <c r="AS310" s="35">
        <f>IFERROR(IF(OR(_xlfn.XLOOKUP(B310,'Base stats'!B:B,'Base stats'!F:F)="Atypical reproduction",_xlfn.XLOOKUP(B310,'Base stats'!B:B,'Base stats'!F:F)="Lay eggs"),"Lay eggs",MIN(20,MAX(5.5,ROUND(((_xlfn.XLOOKUP(B310,'Base stats'!B:B,'Base stats'!F:F)-25)*(14.5/615) + 5.5)*2,0)/2))),"Unknown")</f>
        <v>5.5</v>
      </c>
      <c r="AT310" s="8">
        <f>IF(_xlfn.XLOOKUP(B310,'Base stats'!B:B,'Base stats'!G:G)="Atypical reproduction","No",IFERROR(MAX(IF(_xlfn.XLOOKUP(B310,'Base stats'!B:B,'Base stats'!G:G)&lt;0.5,0.2,0.3),MROUND(_xlfn.XLOOKUP(B310,'Base stats'!B:B,'Base stats'!G:G)/(365/60),0.2)),"Unknown"))</f>
        <v>0.60000000000000009</v>
      </c>
      <c r="AU310" s="8">
        <f t="shared" si="29"/>
        <v>0.30000000000000004</v>
      </c>
      <c r="AV310" s="8">
        <f>IFERROR(IFERROR(MROUND(_xlfn.XLOOKUP(B310,'Base stats'!B:B,'Base stats'!J:J),0.1),"Lay eggs"),"Cannot breed")</f>
        <v>2</v>
      </c>
      <c r="AW310" s="2" t="str">
        <f t="shared" si="30"/>
        <v>false</v>
      </c>
      <c r="AX310" s="2" t="str">
        <f>IF(_xlfn.XLOOKUP(_xlfn.XLOOKUP(Animals!B310,'Base stats'!B:B,'Base stats'!E:E),Groups!A:A,Groups!AK:AK)=1,"true","false")</f>
        <v>false</v>
      </c>
      <c r="AY310" s="25" t="str">
        <f>IF(_xlfn.XLOOKUP(B310,'Base stats'!B:B,'Base stats'!Y:Y)="Liquor","Liquor, CarnivoreAnimalStrict",IF(AND(_xlfn.XLOOKUP(B310,'Base stats'!B:B,'Base stats'!Y:Y)="Carnivore",_xlfn.XLOOKUP(_xlfn.XLOOKUP(B310,'Base stats'!B:B,'Base stats'!E:E),Groups!A:A,Groups!AJ:AJ)="Photonozoa"),"CarnivoreAnimalStrict, OvivoreAnimal",IF(_xlfn.XLOOKUP(B310,'Base stats'!B:B,'Base stats'!Y:Y)="Carnivore","CarnivoreAnimal, OvivoreAnimal",IF(_xlfn.XLOOKUP(B310,'Base stats'!B:B,'Base stats'!Y:Y)="Dendrovore","VegetarianRoughAnimal, DendrovoreAnimal",IF(_xlfn.XLOOKUP(B310,'Base stats'!B:B,'Base stats'!Y:Y)="Herbivore","VegetarianRoughAnimal",IF(_xlfn.XLOOKUP(B310,'Base stats'!B:B,'Base stats'!Y:Y)="OmnivoreRough","OmnivoreRoughAnimal, OvivoreAnimal","OmnivoreAnimal, OvivoreAnimal"))))))</f>
        <v>OmnivoreRoughAnimal, OvivoreAnimal</v>
      </c>
      <c r="AZ310" s="2">
        <f>IF(_xlfn.XLOOKUP(_xlfn.XLOOKUP(B310,'Base stats'!B:B,'Base stats'!E:E),Groups!A:A,Groups!D:D)=1,MROUND((1-J310)*5+1,2)*IF(J310&lt;=0.4,2,1),"No")</f>
        <v>4</v>
      </c>
      <c r="BA310" s="2" t="str">
        <f>IF(AND(_xlfn.XLOOKUP(B310,'Base stats'!B:B,'Base stats'!AH:AH)="&lt;li&gt;Seal&lt;/li&gt;",G310="Odyssey"),"&lt;li&gt;AEXP_Seal&lt;/li&gt;",_xlfn.XLOOKUP(B310,'Base stats'!B:B,'Base stats'!AH:AH))</f>
        <v>&lt;li&gt;AA_BoulderMit&lt;/li&gt;</v>
      </c>
      <c r="BB310" s="2" t="str">
        <f>_xlfn.XLOOKUP(B310,'Base stats'!B:B,'Base stats'!AG:AG)</f>
        <v>No</v>
      </c>
      <c r="BC310" s="23" t="str">
        <f>_xlfn.XLOOKUP(_xlfn.XLOOKUP(B310,'Base stats'!B:B,'Base stats'!E:E),Groups!A:A,Groups!AL:AL)</f>
        <v>Crab</v>
      </c>
      <c r="BD310" s="23">
        <f>MIN(1,MROUND(IF(AND(AO310&lt;0.5,_xlfn.XLOOKUP(B310,'Base stats'!B:B,'Base stats'!AA:AA)=0),0,IF(OR(_xlfn.XLOOKUP(Animals!B310,'Base stats'!B:B,'Base stats'!O:O)=2,_xlfn.XLOOKUP(_xlfn.XLOOKUP(B310,'Base stats'!B:B,'Base stats'!E:E),Groups!A:A,Groups!AN:AN)=0),0,_xlfn.XLOOKUP(_xlfn.XLOOKUP(B310,'Base stats'!B:B,'Base stats'!E:E),Groups!A:A,Groups!AN:AN)/IF(_xlfn.XLOOKUP(Animals!B310,'Base stats'!B:B,'Base stats'!O:O)=1,2,1)))+_xlfn.XLOOKUP(B310,'Base stats'!B:B,'Base stats'!AC:AC),0.005))</f>
        <v>2.5000000000000001E-2</v>
      </c>
      <c r="BE310" s="23">
        <f>MIN(1,MROUND(IF(AND(AO310&lt;0.5,_xlfn.XLOOKUP(B310,'Base stats'!B:B,'Base stats'!AA:AA)=0),0,IF(_xlfn.XLOOKUP(_xlfn.XLOOKUP(B310,'Base stats'!B:B,'Base stats'!E:E),Groups!A:A,Groups!AO:AO)=0,0,_xlfn.XLOOKUP(_xlfn.XLOOKUP(B310,'Base stats'!B:B,'Base stats'!E:E),Groups!A:A,Groups!AO:AO)/IF(_xlfn.XLOOKUP(Animals!B310,'Base stats'!B:B,'Base stats'!O:O)=2,3,1)))+_xlfn.XLOOKUP(B310,'Base stats'!B:B,'Base stats'!AD:AD),0.005))</f>
        <v>0.1</v>
      </c>
      <c r="BF310" s="2" t="str">
        <f>IF(J310&gt;0.3,"No",_xlfn.XLOOKUP(_xlfn.XLOOKUP(Animals!B310,'Base stats'!B:B,'Base stats'!E:E),Groups!A:A,Groups!AP:AP))</f>
        <v>No</v>
      </c>
      <c r="BG310" s="2" t="str">
        <f>IF(AND(J310&lt;=0.65,_xlfn.XLOOKUP(_xlfn.XLOOKUP(Animals!B310,'Base stats'!B:B,'Base stats'!E:E),Groups!A:A,Groups!AP:AP)&lt;&gt;"No",_xlfn.XLOOKUP(_xlfn.XLOOKUP(B310,'Base stats'!B:B,'Base stats'!E:E),Groups!A:A,Groups!D:D)=0),MROUND((80/3)*IF(_xlfn.XLOOKUP(B310,'Base stats'!B:B,'Base stats'!O:O)=2,0.2,AO310) + 24*(1-IF(BF310="No",0,BF310)) + 16/3, 12),"No")</f>
        <v>No</v>
      </c>
      <c r="BH310" s="2">
        <f>IF(AND(_xlfn.XLOOKUP(_xlfn.XLOOKUP(B310,'Base stats'!B:B,'Base stats'!E:E),Groups!A:A,Groups!AQ:AQ)=1,AO310&lt;=0.35),8,12)</f>
        <v>12</v>
      </c>
      <c r="BI310" s="2" t="str">
        <f>IF(_xlfn.XLOOKUP(_xlfn.XLOOKUP(B310,'Base stats'!B:B,'Base stats'!E:E),Groups!A:A,Groups!D:D)=0,_xlfn.XLOOKUP(_xlfn.XLOOKUP(B310,'Base stats'!B:B,'Base stats'!E:E),Groups!A:A,Groups!AR:AR),"None")</f>
        <v>None</v>
      </c>
      <c r="BJ310" s="2" t="str">
        <f>IF(AND(_xlfn.XLOOKUP(_xlfn.XLOOKUP(B310,'Base stats'!B:B,'Base stats'!E:E),Groups!A:A,Groups!AS:AS)=1,OR(_xlfn.XLOOKUP(B310,'Base stats'!B:B,'Base stats'!Y:Y)="Carnivore",_xlfn.XLOOKUP(B310,'Base stats'!B:B,'Base stats'!Y:Y)="Omnivore")),"true","false")</f>
        <v>false</v>
      </c>
      <c r="BK310" s="2" t="str">
        <f>IF(BJ310="true",MROUND(IF(AND(AO310&gt;0.5,OR(_xlfn.XLOOKUP(_xlfn.XLOOKUP(B310,'Base stats'!B:B,'Base stats'!E:E),Groups!A:A,Groups!AJ:AJ)="Photonozoa",_xlfn.XLOOKUP(_xlfn.XLOOKUP(B310,'Base stats'!B:B,'Base stats'!E:E),Groups!A:A,Groups!AJ:AJ)="Mammal")),Animals!AO310*1.75*IF(AW310="true",1.5,1),IF(AO310&lt;0.5,Animals!AO310*0.5,Animals!AO310)),IF(AO310&gt;2,0.5,IF(AO310&gt;0.5,0.25,0.1))),"No")</f>
        <v>No</v>
      </c>
      <c r="BL310" s="2">
        <f t="shared" si="31"/>
        <v>0</v>
      </c>
      <c r="BM310" s="25" t="str">
        <f>IF(_xlfn.XLOOKUP(B310,'Base stats'!B:B,'Base stats'!AN:AN)="Standard","No",MROUND((_xlfn.XLOOKUP(B310,'Base stats'!B:B,'Base stats'!AN:AN)/3.6)/I310,0.1))</f>
        <v>No</v>
      </c>
      <c r="BN310" s="25" t="str">
        <f t="shared" si="32"/>
        <v>true</v>
      </c>
      <c r="BO310" s="25" t="str">
        <f>IF(AND(OR(_xlfn.XLOOKUP(B310,'Base stats'!B:B,'Base stats'!Y:Y)="Carnivore",_xlfn.XLOOKUP(B310,'Base stats'!B:B,'Base stats'!Y:Y)="Omnivore",_xlfn.XLOOKUP(B310,'Base stats'!B:B,'Base stats'!Y:Y)="OmnivoreRough"),_xlfn.XLOOKUP(_xlfn.XLOOKUP(B310,'Base stats'!B:B,'Base stats'!E:E),Groups!A:A,Groups!AT:AT)=1),"true","false")</f>
        <v>false</v>
      </c>
      <c r="BP310" s="25" t="str" cm="1">
        <f t="array" ref="BP310">IF(
  _xlfn.TEXTJOIN(", ",TRUE,
    IF(AND(BJ310="true",AO310&gt;0.5,BI310&lt;&gt;"None"),"AttackTarget",""),
    IF(AND(_xlfn.XLOOKUP(_xlfn.XLOOKUP(B310,'Base stats'!B:B,'Base stats'!E:E),Groups!A:A,Groups!AJ:AJ="Mammal"),OR(_xlfn.XLOOKUP(B310,'Base stats'!B:B,'Base stats'!Y:Y)="Omnivore",_xlfn.XLOOKUP(B310,'Base stats'!B:B,'Base stats'!Y:Y)="OmnivoreRough")),"Forage",""),
    IF(BG310&lt;=36,"Comfort",""),
    IF(_xlfn.XLOOKUP(B310,'Base stats'!B:B,'Base stats'!AE:AE)&lt;&gt;"No",_xlfn.XLOOKUP(B310,'Base stats'!B:B,'Base stats'!AE:AE),"")
  ) = "",
  "No",
  _xlfn.TEXTJOIN(", ",TRUE,
    IF(AND(BJ310="true",AO310&gt;0.5,BI310&lt;&gt;"None"),"AttackTarget",""),
    IF(AND(_xlfn.XLOOKUP(_xlfn.XLOOKUP(B310,'Base stats'!B:B,'Base stats'!E:E),Groups!A:A,Groups!AJ:AJ="Mammal"),OR(_xlfn.XLOOKUP(B310,'Base stats'!B:B,'Base stats'!Y:Y)="Omnivore",_xlfn.XLOOKUP(B310,'Base stats'!B:B,'Base stats'!Y:Y)="OmnivoreRough")),"Forage",""),
    IF(BG310&lt;=36,"Comfort",""),
    IF(_xlfn.XLOOKUP(B310,'Base stats'!B:B,'Base stats'!AE:AE)&lt;&gt;"No",_xlfn.XLOOKUP(B310,'Base stats'!B:B,'Base stats'!AE:AE),"")
  )
)</f>
        <v>No</v>
      </c>
      <c r="BQ310" s="25">
        <f>IF(
   AND(
      'Base stats'!AN310="Standard",_xlfn.XLOOKUP(_xlfn.XLOOKUP(B310,'Base stats'!B:B,'Base stats'!E:E),Groups!A:A,Groups!AU:AU)=0,
      OR(
      BO310="True"
      )
   ),
   10,
   IF(
       OR(BM310&lt;&gt;"No",_xlfn.XLOOKUP(_xlfn.XLOOKUP(B310,'Base stats'!B:B,'Base stats'!E:E),Groups!A:A,Groups!AU:AU)=1),
      1,
      "No"
   )
)</f>
        <v>1</v>
      </c>
      <c r="BR310" s="9">
        <f>MROUND((1 + ((0.2*IF(OR(Q310="No",R310="No",R310=0),0,Q310/R310)
+IF(OR(V310="No",S310="No",T310="No"),0,S310/T310*(LEN(V310)-LEN(SUBSTITUTE(V310,",",""))+1))
+IF(OR(X310="No",Y310="No"),0,X310/Y310)
+IF(OR(AD310="No",AE310="No"),0,AD310/AE310)
+IF(OR(AL310="No",AI310="No",AJ310="No"),0,AI310/AJ310*(LEN(AL310)-LEN(SUBSTITUTE(AL310,",",""))+1))
)/(0.2*IF(OR(Q310="No",R310="No",R310=0),0,1)
+IF(OR(V310="No",S310="No",T310="No"),0,LEN(V310)-LEN(SUBSTITUTE(V310,",",""))+1)
+IF(OR(X310="No",Y310="No"),0,1)
+IF(OR(AD310="No",AE310="No"),0,1)
+IF(OR(AL310="No",AI310="No",AJ310="No"),0,LEN(AL310)-LEN(SUBSTITUTE(AL310,",",""))+1))*62%)* 2)*(1 + (AP310 / (IF(_xlfn.XLOOKUP(_xlfn.XLOOKUP(B310,'Base stats'!B:B,'Base stats'!E:E),Groups!A:A,Groups!AJ:AJ)="Photonozoa",0.3,1)) + _xlfn.XLOOKUP(B310,'Base stats'!B:B,'Base stats'!AV:AV) * 1.8) * 2) * 2.5 + 10 + I310 * 2,5)+IF(_xlfn.XLOOKUP(B310,'Base stats'!B:B,'Base stats'!AK:AK)=1,50,0)</f>
        <v>55</v>
      </c>
      <c r="BS310" s="8">
        <f t="shared" si="33"/>
        <v>0.2</v>
      </c>
      <c r="BT310" s="8" t="str">
        <f>_xlfn.XLOOKUP(B310,'Base stats'!B:B,'Base stats'!AF:AF)</f>
        <v>No</v>
      </c>
      <c r="BU310" s="2" t="str">
        <f>IF(AND(J310&lt;=0.95,OR(_xlfn.XLOOKUP(B310,'Base stats'!B:B,'Base stats'!AK:AK)=1,_xlfn.XLOOKUP(B310,'Base stats'!B:B,'Base stats'!Y:Y)="Carnivore",_xlfn.XLOOKUP(B310,'Base stats'!B:B,'Base stats'!Y:Y)="Omnivore",BE310&gt;0.1)),"true","false")</f>
        <v>false</v>
      </c>
      <c r="BV310" s="2" t="str">
        <f>IF(_xlfn.XLOOKUP(B310,'Base stats'!B:B,'Base stats'!AI:AI)=1,"true","false")</f>
        <v>false</v>
      </c>
      <c r="BW310" s="25" t="str">
        <f>IF(E310="BaseInsect","AnimalInsect",
IF(J310&gt;0.95,"AnimalExotic",
_xlfn.TEXTJOIN(", ",TRUE,
IF(OR(_xlfn.XLOOKUP(B310,'Base stats'!B:B,'Base stats'!AM:AM)=1,AND(_xlfn.XLOOKUP(B310,'Base stats'!B:B,'Base stats'!O:O)=0,_xlfn.XLOOKUP(_xlfn.XLOOKUP(B310,'Base stats'!B:B,'Base stats'!E:E),Groups!A:A,Groups!B:B)&gt;0)),"AnimalUncommon","AnimalCommon"),
IF(AND(_xlfn.XLOOKUP(B310,'Base stats'!B:B,'Base stats'!O:O)=2,_xlfn.XLOOKUP(_xlfn.XLOOKUP(B310,'Base stats'!B:B,'Base stats'!E:E),Groups!A:A,Groups!D:D)=0),"AnimalPet",IF(AND(_xlfn.XLOOKUP(B310,'Base stats'!B:B,'Base stats'!O:O)&lt;&gt;0,_xlfn.XLOOKUP(_xlfn.XLOOKUP(B310,'Base stats'!B:B,'Base stats'!E:E),Groups!A:A,Groups!D:D)&lt;&gt;0),"AnimalFarm","")),
IF(OR(_xlfn.XLOOKUP(B310,'Base stats'!B:B,'Base stats'!AK:AK)=1,AND(BI310&lt;&gt;"None",BR310&gt;=60),ISNUMBER(SEARCH("Attack target",BP310))),"AnimalFighter","")
)))</f>
        <v>AnimalUncommon</v>
      </c>
      <c r="BX310" s="25" t="str">
        <f>IF(G310="None",TRIM(
SUBSTITUTE(
IF(COUNTIF(Biomes!B$2:B$259,"="&amp;$C310)&gt;0,Biomes!B$1&amp;", ","")&amp;
IF(COUNTIF(Biomes!C$2:C$259,"="&amp;$C310)&gt;0,Biomes!C$1&amp;", ","")&amp;
IF(COUNTIF(Biomes!D$2:D$259,"="&amp;$C310)&gt;0,Biomes!D$1&amp;", ","")&amp;
IF(COUNTIF(Biomes!F$2:F$259,"="&amp;$C310)&gt;0,Biomes!F$1&amp;", ","")&amp;
IF(COUNTIF(Biomes!G$2:G$259,"="&amp;$C310)&gt;0,Biomes!G$1&amp;", ","")&amp;
IF(COUNTIF(Biomes!H$2:H$259,"="&amp;$C310)&gt;0,Biomes!H$1&amp;", ","")&amp;
IF(COUNTIF(Biomes!I$2:I$259,"="&amp;$C310)&gt;0,Biomes!I$1&amp;", ","")&amp;
IF(COUNTIF(Biomes!J$2:J$259,"="&amp;$C310)&gt;0,Biomes!J$1&amp;", ","")&amp;
IF(COUNTIF(Biomes!M$2:M$259,"="&amp;$C310)&gt;0,Biomes!M$1&amp;", ","")&amp;
IF(COUNTIF(Biomes!N$2:N$259,"="&amp;$C310)&gt;0,Biomes!N$1&amp;", ","")&amp;
IF(COUNTIF(Biomes!O$2:O$259,"="&amp;$C310)&gt;0,Biomes!O$1&amp;", ","")&amp;
IF(COUNTIF(Biomes!P$2:P$259,"="&amp;$C310)&gt;0,Biomes!P$1&amp;", ","")&amp;
IF(COUNTIF(Biomes!K$2:K$259,"="&amp;$C310)&gt;0,Biomes!K$1&amp;", ","")&amp;
IF(COUNTIF(Biomes!Q$3:Q$259,"="&amp;$C310)&gt;0,Biomes!Q$1&amp;", ","")&amp;
IF(COUNTIF(Biomes!L$2:L$259,"="&amp;$C310)&gt;0,Biomes!L$1&amp;", ","")&amp;
IF(COUNTIF(Biomes!E$2:E$259,"="&amp;$C310)&gt;0,Biomes!E$1&amp;", ","")&amp;IF(COUNTIF(Biomes!S$2:S$259,"="&amp;$C310)&gt;0,Biomes!S$1&amp;", ","")&amp;
IF(COUNTIF(Biomes!R$2:R$259,"="&amp;$C310)&gt;0,Biomes!R$1&amp;", ",""),", ","")
),_xlfn.XLOOKUP(B310,B:B,BX:BX))</f>
        <v>BorealForest ColdBog TemperateForest TemperateSwamp AridShrubland Desert ExtremeDesert TropicalRainforest TropicalSwamp Grasslands Glowforest LavaField GlacialPlain</v>
      </c>
      <c r="BY310" s="25" t="str">
        <f>IF(_xlfn.XLOOKUP(B310,'Base stats'!B:B,'Base stats'!AJ:AJ)=1,"true","false")</f>
        <v>false</v>
      </c>
      <c r="BZ310" s="25">
        <f>IF(_xlfn.XLOOKUP(B310,'Base stats'!B:B,'Base stats'!N:N)=1,"No",MAX(0.001,MIN(MROUND(IF(AND(BJ310="True",CC310="False"),POWER(10,3.47*LOG10(_xlfn.XLOOKUP(B310,'Base stats'!B:B,'Base stats'!C:C)*1000)^-0.96),POWER(10,4.15*LOG10(_xlfn.XLOOKUP(B310,'Base stats'!B:B,'Base stats'!C:C)*1000)^-0.73))*IF(_xlfn.XLOOKUP(B310,'Base stats'!B:B,'Base stats'!AK:AK)=1,0.5,1)*IF(_xlfn.XLOOKUP(B310,'Base stats'!B:B,'Base stats'!AM:AM)=1,0.1,1)/100,IF(_xlfn.XLOOKUP(B310,'Base stats'!B:B,'Base stats'!AM:AM)=1,0.001,0.025)),0.5)))</f>
        <v>2.6000000000000002E-2</v>
      </c>
      <c r="CA310" s="25" t="str">
        <f>IF(P310="Standard","No",MAX(0.001,MIN(MROUND(IF(AND(BJ310="True",CC310="False"),POWER(10,3.47*LOG10(_xlfn.XLOOKUP(B310,'Base stats'!B:B,'Base stats'!C:C)*1000)^-0.96),POWER(10,4.15*LOG10(_xlfn.XLOOKUP(B310,'Base stats'!B:B,'Base stats'!C:C)*1000)^-0.73))*IF(_xlfn.XLOOKUP(B310,'Base stats'!B:B,'Base stats'!AM:AM)=1,0.1,1)*_xlfn.XLOOKUP(B310,'Base stats'!B:B,'Base stats'!R:R)/100,IF(_xlfn.XLOOKUP(B310,'Base stats'!B:B,'Base stats'!AM:AM)=1,0.001,0.025)),0.5)))</f>
        <v>No</v>
      </c>
      <c r="CB310" s="25" t="str">
        <f>IF(_xlfn.XLOOKUP(_xlfn.XLOOKUP(B310,'Base stats'!B:B,'Base stats'!E:E),Groups!A:A,Groups!AJ:AJ)="Mammal","True","False")</f>
        <v>False</v>
      </c>
      <c r="CC310" s="25" t="str">
        <f>IF(OR(_xlfn.XLOOKUP(_xlfn.XLOOKUP(B310,'Base stats'!B:B,'Base stats'!E:E),Groups!A:A,Groups!AJ:AJ)="Reptile",_xlfn.XLOOKUP(_xlfn.XLOOKUP(B310,'Base stats'!B:B,'Base stats'!E:E),Groups!A:A,Groups!AJ:AJ)="Amphibian",_xlfn.XLOOKUP(_xlfn.XLOOKUP(B310,'Base stats'!B:B,'Base stats'!E:E),Groups!A:A,Groups!AJ:AJ)="Invertebrate"),"True","False")</f>
        <v>True</v>
      </c>
      <c r="CD310" s="25" t="str">
        <f t="shared" si="34"/>
        <v>False</v>
      </c>
      <c r="CE310" s="25" t="str">
        <f>IF(_xlfn.XLOOKUP(_xlfn.XLOOKUP(B310,'Base stats'!B:B,'Base stats'!E:E),Groups!A:A,Groups!AX:AX),"True","False")</f>
        <v>False</v>
      </c>
      <c r="CF310" s="25" t="str">
        <f>IF(_xlfn.XLOOKUP(_xlfn.XLOOKUP(B310,'Base stats'!B:B,'Base stats'!E:E),Groups!A:A,Groups!AY:AY),"True","False")</f>
        <v>False</v>
      </c>
      <c r="CG310" s="25" t="str">
        <f>IF(_xlfn.XLOOKUP(_xlfn.XLOOKUP(B310,'Base stats'!B:B,'Base stats'!E:E),Groups!A:A,Groups!AW:AW),"True","False")</f>
        <v>False</v>
      </c>
      <c r="CH310" s="25" t="str">
        <f>IF(
OR(
_xlfn.XLOOKUP(_xlfn.XLOOKUP(B310,'Base stats'!B:B,'Base stats'!E:E),Groups!A:A,Groups!AZ:AZ)=0,
AND(
_xlfn.XLOOKUP(B310,'Base stats'!B:B,'Base stats'!Y:Y)&lt;&gt;"Carnivore",
_xlfn.XLOOKUP(B310,'Base stats'!B:B,'Base stats'!Y:Y)&lt;&gt;"Omnivore",
_xlfn.XLOOKUP(B310,'Base stats'!B:B,'Base stats'!Y:Y)&lt;&gt;"OmnivoreRough"
)
),
"No",
IF(
_xlfn.XLOOKUP(_xlfn.XLOOKUP(B310,'Base stats'!B:B,'Base stats'!E:E),Groups!A:A,Groups!AZ:AZ)=1,
"Flesh",
IF(
_xlfn.XLOOKUP(_xlfn.XLOOKUP(B310,'Base stats'!B:B,'Base stats'!E:E),Groups!A:A,Groups!AZ:AZ)=2,
"Bone",
""
)
)
)</f>
        <v>Bone</v>
      </c>
      <c r="CI310" s="25" t="str">
        <f>IF(_xlfn.XLOOKUP(_xlfn.XLOOKUP(B310,'Base stats'!B:B,'Base stats'!E:E),Groups!A:A,Groups!BB:BB),"True","False")</f>
        <v>False</v>
      </c>
      <c r="CJ310" s="25" t="str">
        <f>IF(_xlfn.XLOOKUP(_xlfn.XLOOKUP(B310,'Base stats'!B:B,'Base stats'!E:E),Groups!A:A,Groups!BA:BA),"True","False")</f>
        <v>False</v>
      </c>
    </row>
    <row r="311" spans="1:88" ht="16.5" thickTop="1" thickBot="1" x14ac:dyDescent="0.3">
      <c r="A311" s="26" t="s">
        <v>1534</v>
      </c>
      <c r="B311" s="6" t="str">
        <f>_xlfn.XLOOKUP(A311,'Base stats'!A:A,'Base stats'!B:B)</f>
        <v>Velociraptor nobilis</v>
      </c>
      <c r="C311" s="28" t="s">
        <v>1535</v>
      </c>
      <c r="D311" s="28" t="s">
        <v>1341</v>
      </c>
      <c r="E311" s="28" t="s">
        <v>673</v>
      </c>
      <c r="F311" s="28" t="s">
        <v>673</v>
      </c>
      <c r="G311" s="28" t="s">
        <v>673</v>
      </c>
      <c r="H311" s="2">
        <f>MROUND((
  (IF(AND(_xlfn.XLOOKUP(B311,'Base stats'!B:B,'Base stats'!AL:AL)=0,BI311="None",_xlfn.XLOOKUP(_xlfn.XLOOKUP(B311,'Base stats'!B:B,'Base stats'!E:E),Groups!A:A,Groups!B:B)=0), (18 + BR311 * 2.7) * 0.5,
    IF(AND(_xlfn.XLOOKUP(B311,'Base stats'!B:B,'Base stats'!AL:AL)=0,OR(AO311&lt;0.55,AND(BI311="Intermediate",_xlfn.XLOOKUP(_xlfn.XLOOKUP(B311,'Base stats'!B:B,'Base stats'!E:E),Groups!A:A,Groups!B:B)&lt;2))), (18 + BR311 * 2.7),
      IF(OR(BI311="Advanced",_xlfn.XLOOKUP(B311,'Base stats'!B:B,'Base stats'!AL:AL)=1,_xlfn.XLOOKUP(_xlfn.XLOOKUP(B311,'Base stats'!B:B,'Base stats'!E:E),Groups!A:A,Groups!B:B)=2), (18 + BR311 * 2.7) + 250, (18 + BR311 * 2.7))
    )
  ))
  + AO311 * 80
  + IF(COUNTIF(EggMilk!K$2:K$998, A311) &gt; 0, 125, 0)
  + IF(COUNTIF(EggMilk!P$2:P$998, A311) &gt; 0, 90, 0)
  + IF(COUNTIF(EggMilk!A$2:A$998, A311) &gt; 0, 90, 0)
)
* (0.8 + 0.4 * J311)
* 0.75,25)</f>
        <v>275</v>
      </c>
      <c r="I311" s="2">
        <f>MROUND(ROUNDDOWN(_xlfn.XLOOKUP(B311,'Base stats'!B:B,'Base stats'!L:L)/3.6/(23.3/11),1),0.5)</f>
        <v>5</v>
      </c>
      <c r="J311" s="2">
        <f>IF(OR(_xlfn.XLOOKUP(B311,'Base stats'!B:B,'Base stats'!AB:AB)=1,_xlfn.XLOOKUP(_xlfn.XLOOKUP(B311,'Base stats'!B:B,'Base stats'!E:E),Groups!A:A,Groups!C:C)="Untamable"),1,IF(_xlfn.XLOOKUP(B311,'Base stats'!B:B,'Base stats'!AL:AL)=1,0.99,MIN(MROUND((1-0.6282*EXP(-0.459*AO311))*_xlfn.XLOOKUP(_xlfn.XLOOKUP(B311,'Base stats'!B:B,'Base stats'!E:E),Groups!A:A,Groups!C:C)*IF(_xlfn.XLOOKUP(B311,'Base stats'!B:B,'Base stats'!O:O)=1,0.5,IF(_xlfn.XLOOKUP(B311,'Base stats'!B:B,'Base stats'!O:O)=2,0,1)),0.05),IF(AO311&gt;3.5,0.985,0.95))))</f>
        <v>0</v>
      </c>
      <c r="K311" s="2">
        <f>ROUNDUP(AO311*_xlfn.XLOOKUP(_xlfn.XLOOKUP(B311,'Base stats'!B:B,'Base stats'!E:E),Groups!A:A,Groups!E:E),0)</f>
        <v>1</v>
      </c>
      <c r="L311" s="2">
        <f>IF(OR(_xlfn.XLOOKUP(_xlfn.XLOOKUP(B311,'Base stats'!B:B,'Base stats'!E:E),Groups!A:A,Groups!F:F)=2,ISNUMBER(SEARCH("SeaIce",BX311)),ISNUMBER(SEARCH("IceSheet",BX311))),-50,IF(OR(ISNUMBER(SEARCH("GlacialPlain",BX311)),ISNUMBER(SEARCH("Tundra",BX311))),-40,IF(OR(ISNUMBER(SEARCH("Alpine",BX311)),ISNUMBER(SEARCH("BorealForest",BX311)),ISNUMBER(SEARCH("ColdBog",BX311))),-30,IF(OR(ISNUMBER(SEARCH("TemperateForest",BX311)),ISNUMBER(SEARCH("TemperateSwamp",BX311))),-20,IF(_xlfn.XLOOKUP(_xlfn.XLOOKUP(B311,'Base stats'!B:B,'Base stats'!E:E),Groups!A:A,Groups!F:F)=1,-15,IF(OR(ISNUMBER(SEARCH("Desert",BX311)),ISNUMBER(SEARCH("ExtremeDesert",BX311))),-10,IF(OR(ISNUMBER(SEARCH("Grasslands",BX311)),ISNUMBER(SEARCH("TropicalRainforest",BX311)),ISNUMBER(SEARCH("TropicalSwamp",BX311))),10,0)))))))-IF(CC311="False",MIN(IFERROR(MAX(MROUND(LOG10(_xlfn.XLOOKUP(B311,'Base stats'!B:B,'Base stats'!C:C)^(2/3))*10,5),5),5),30))-_xlfn.XLOOKUP(B311,'Base stats'!B:B,'Base stats'!P:P)+IF(CC311="True",5,0)</f>
        <v>-10</v>
      </c>
      <c r="M311" s="2">
        <f>IF(OR(_xlfn.XLOOKUP(_xlfn.XLOOKUP(B311,'Base stats'!B:B,'Base stats'!E:E),Groups!A:A,Groups!G:G)=2,ISNUMBER(SEARCH("Desert",BX311)),ISNUMBER(SEARCH("ExtremeDesert",BX311)),ISNUMBER(SEARCH("LavaField",BX311))),50,IF(ISNUMBER(SEARCH("Grasslands",BX311)),45,IF(OR(_xlfn.XLOOKUP(_xlfn.XLOOKUP(B311,'Base stats'!B:B,'Base stats'!E:E),Groups!A:A,Groups!G:G)=1,ISNUMBER(SEARCH("TropicalRainforest",BX311)),ISNUMBER(SEARCH("TropicalSwamp",BX311))),40,IF(OR(ISNUMBER(SEARCH("TemperateForest",BX311)),ISNUMBER(SEARCH("TemperateSwamp",BX311))),35,IF(OR(ISNUMBER(SEARCH("Alpine",BX311)),ISNUMBER(SEARCH("BorealForest",BX311)),ISNUMBER(SEARCH("ColdBog",BX311))),30,IF(ISNUMBER(OR(ISNUMBER(SEARCH("GlacialPlain",BX311)),SEARCH("Tundra",BX311))),25,IF(OR(ISNUMBER(SEARCH("SeaIce",BX311)),ISNUMBER(SEARCH("IceSheet",BX311)),ISNUMBER(SEARCH("TropicalSwamp",BX311))),10,35)))))))+_xlfn.XLOOKUP(B311,'Base stats'!B:B,'Base stats'!Q:Q)</f>
        <v>35</v>
      </c>
      <c r="N311" s="8" t="str">
        <f>IF(
_xlfn.XLOOKUP(
_xlfn.XLOOKUP(B311,'Base stats'!B:B,'Base stats'!E:E),
Groups!A:A,
Groups!L:L
)=1,
MIN(
MROUND(
IF(
_xlfn.XLOOKUP(B311,'Animals CE'!B:B,'Animals CE'!Z:Z)&lt;=1.5,
_xlfn.XLOOKUP(B311,'Animals CE'!B:B,'Animals CE'!Z:Z)/2+0.05,
0.8+
(_xlfn.XLOOKUP(B311,'Animals CE'!B:B,'Animals CE'!Z:Z)-1.5)
*0.02
),
0.05
),
200%
),
"No"
)</f>
        <v>No</v>
      </c>
      <c r="O311" s="8" t="str">
        <f>IF(
_xlfn.XLOOKUP(
_xlfn.XLOOKUP(B311,'Base stats'!B:B,'Base stats'!E:E),
Groups!A:A,
Groups!L:L
)=1,
MIN(
MROUND(
IF(
_xlfn.XLOOKUP(B311,'Animals CE'!B:B,'Animals CE'!AA:AA)&lt;=1.5,
_xlfn.XLOOKUP(B311,'Animals CE'!B:B,'Animals CE'!AA:AA)/2+0.05,
0.8+
(_xlfn.XLOOKUP(B311,'Animals CE'!B:B,'Animals CE'!AA:AA)-1.5)
*0.02
),
0.05
),
200%
),
"No"
)</f>
        <v>No</v>
      </c>
      <c r="P311" s="2" t="str">
        <f>_xlfn.XLOOKUP(B311,'Base stats'!B:B,'Base stats'!R:R)</f>
        <v>Standard</v>
      </c>
      <c r="Q311" s="13">
        <f>MROUND((LOG10(_xlfn.XLOOKUP(B311,'Base stats'!B:B,'Base stats'!AR:AR))*(AO311^0.5)+(_xlfn.XLOOKUP(B311,'Base stats'!B:B,'Base stats'!AR:AR)/1000)^(2/3)+_xlfn.XLOOKUP(B311,'Base stats'!B:B,'Base stats'!BA:BA)/2)+0.5,0.5)</f>
        <v>4.5</v>
      </c>
      <c r="R311" s="7">
        <f>IF(Q311="No","No",MAX(1,MROUND(_xlfn.XLOOKUP(B311,'Base stats'!B:B,'Base stats'!C:C)^0.165,0.05)))</f>
        <v>1.6500000000000001</v>
      </c>
      <c r="S311" s="13">
        <f>IF(_xlfn.XLOOKUP(_xlfn.XLOOKUP(B311,'Base stats'!B:B,'Base stats'!E:E),Groups!A:A,Groups!P:P)=0,"No",MROUND((LOG10(_xlfn.XLOOKUP(B311,'Base stats'!B:B,'Base stats'!AS:AS))*(AO311^0.5)+(_xlfn.XLOOKUP(B311,'Base stats'!B:B,'Base stats'!AS:AS)/1000)^(2/3)+_xlfn.XLOOKUP(B311,'Base stats'!B:B,'Base stats'!BA:BA))+_xlfn.XLOOKUP(B311,'Base stats'!B:B,'Base stats'!AY:AY)+0.5,0.5))</f>
        <v>7.5</v>
      </c>
      <c r="T311" s="7">
        <f>IF(S311="No","No",MAX(_xlfn.XLOOKUP(_xlfn.XLOOKUP(B311,'Base stats'!B:B,'Base stats'!E:E),Groups!A:A,Groups!Q:Q),MROUND(_xlfn.XLOOKUP(_xlfn.XLOOKUP(B311,'Base stats'!B:B,'Base stats'!E:E),Groups!A:A,Groups!Q:Q)*_xlfn.XLOOKUP(B311,'Base stats'!B:B,'Base stats'!C:C)^0.165,0.05)))</f>
        <v>1.5</v>
      </c>
      <c r="U311" s="7" t="str">
        <f>IF(S311="No","No",_xlfn.XLOOKUP(_xlfn.XLOOKUP(B311,'Base stats'!B:B,'Base stats'!E:E),Groups!A:A,Groups!R:R))</f>
        <v>Feet</v>
      </c>
      <c r="V311" s="7" t="str">
        <f>IF(S311="No","No",_xlfn.XLOOKUP(_xlfn.XLOOKUP(B311,'Base stats'!B:B,'Base stats'!E:E),Groups!A:A,Groups!S:S))</f>
        <v>rear left claw, rear  right claw</v>
      </c>
      <c r="W311" s="7" t="str">
        <f>IF(S311="No","No",_xlfn.XLOOKUP(_xlfn.XLOOKUP(B311,'Base stats'!B:B,'Base stats'!E:E),Groups!A:A,Groups!T:T))</f>
        <v>Scratch</v>
      </c>
      <c r="X311" s="13" t="str">
        <f>IF(_xlfn.XLOOKUP(B311,'Base stats'!B:B,'Base stats'!W:W)="No","No",MROUND((LOG10(_xlfn.XLOOKUP(B311,'Base stats'!B:B,'Base stats'!AU:AU))*(AO311^0.5)+(_xlfn.XLOOKUP(B311,'Base stats'!B:B,'Base stats'!AU:AU)/1000)^(2/3)+_xlfn.XLOOKUP(B311,'Base stats'!B:B,'Base stats'!AZ:AZ))+0.5+IF(_xlfn.XLOOKUP(_xlfn.XLOOKUP(B311,'Base stats'!B:B,'Base stats'!E:E),Groups!A:A,Groups!U:U)&lt;&gt;3,_xlfn.XLOOKUP(B311,'Base stats'!B:B,'Base stats'!BA:BA),0),0.5))</f>
        <v>No</v>
      </c>
      <c r="Y311" s="7" t="str">
        <f>IF(X311="No","No",MAX(_xlfn.XLOOKUP(_xlfn.XLOOKUP(B311,'Base stats'!B:B,'Base stats'!E:E),Groups!A:A,Groups!V:V),MROUND(_xlfn.XLOOKUP(_xlfn.XLOOKUP(B311,'Base stats'!B:B,'Base stats'!E:E),Groups!A:A,Groups!V:V)*_xlfn.XLOOKUP(B311,'Base stats'!B:B,'Base stats'!C:C)^0.165,0.05)))</f>
        <v>No</v>
      </c>
      <c r="Z311" s="7" t="str">
        <f>IF(X311="No","No",_xlfn.XLOOKUP(_xlfn.XLOOKUP(B311,'Base stats'!B:B,'Base stats'!E:E),Groups!A:A,Groups!W:W))</f>
        <v>No</v>
      </c>
      <c r="AA311" s="7" t="str">
        <f>IF(X311="No","No",_xlfn.XLOOKUP(_xlfn.XLOOKUP(B311,'Base stats'!B:B,'Base stats'!E:E),Groups!A:A,Groups!X:X))</f>
        <v>No</v>
      </c>
      <c r="AB311" s="7" t="str">
        <f>IF(X311="No","No",_xlfn.XLOOKUP(_xlfn.XLOOKUP(B311,'Base stats'!B:B,'Base stats'!E:E),Groups!A:A,Groups!Y:Y))</f>
        <v>No</v>
      </c>
      <c r="AC311" s="7" t="str">
        <f>_xlfn.XLOOKUP(Animals!B311,'Base stats'!B:B,'Base stats'!X:X)</f>
        <v>False</v>
      </c>
      <c r="AD311" s="13">
        <f>IF(_xlfn.XLOOKUP(B311,'Base stats'!B:B,'Base stats'!AT:AT)="No","No",MROUND((LOG10(_xlfn.XLOOKUP(B311,'Base stats'!B:B,'Base stats'!AT:AT))*(AO311^0.75)+(_xlfn.XLOOKUP(B311,'Base stats'!B:B,'Base stats'!AT:AT)/1000)^(2/3)+_xlfn.XLOOKUP(B311,'Base stats'!B:B,'Base stats'!AX:AX)+_xlfn.XLOOKUP(B311,'Base stats'!B:B,'Base stats'!BA:BA))+0.5,0.5))</f>
        <v>6</v>
      </c>
      <c r="AE311" s="7">
        <f>IF(AD311="No","No",MAX(_xlfn.XLOOKUP(_xlfn.XLOOKUP(B311,'Base stats'!B:B,'Base stats'!E:E),Groups!A:A,Groups!Z:Z),MROUND(_xlfn.XLOOKUP(_xlfn.XLOOKUP(B311,'Base stats'!B:B,'Base stats'!E:E),Groups!A:A,Groups!Z:Z)*_xlfn.XLOOKUP(B311,'Base stats'!B:B,'Base stats'!C:C)^0.165,0.05)))</f>
        <v>1.25</v>
      </c>
      <c r="AF311" s="7" t="str">
        <f>IF(AD311="No","No",_xlfn.XLOOKUP(_xlfn.XLOOKUP(B311,'Base stats'!B:B,'Base stats'!E:E),Groups!A:A,Groups!AA:AA))</f>
        <v>Teeth</v>
      </c>
      <c r="AG311" s="7" t="str">
        <f>IF(AD311="No","No",_xlfn.XLOOKUP(_xlfn.XLOOKUP(B311,'Base stats'!B:B,'Base stats'!E:E),Groups!A:A,Groups!AB:AB))</f>
        <v>teeth</v>
      </c>
      <c r="AH311" s="7" t="str">
        <f>IF(AD311="No","No",_xlfn.XLOOKUP(_xlfn.XLOOKUP(B311,'Base stats'!B:B,'Base stats'!E:E),Groups!A:A,Groups!AC:AC))</f>
        <v>Bite</v>
      </c>
      <c r="AI311" s="13" t="str">
        <f>IF(_xlfn.XLOOKUP(_xlfn.XLOOKUP(B311,'Base stats'!B:B,'Base stats'!E:E),Groups!A:A,Groups!AD:AD)=0,"No",MROUND((LOG10(_xlfn.XLOOKUP(B311,'Base stats'!B:B,'Base stats'!AS:AS))*(AO311^0.75)+(_xlfn.XLOOKUP(B311,'Base stats'!B:B,'Base stats'!AS:AS)/1000)^(2/3)+_xlfn.XLOOKUP(B311,'Base stats'!B:B,'Base stats'!AY:AY)+_xlfn.XLOOKUP(B311,'Base stats'!B:B,'Base stats'!BA:BA))+0.5,0.5))</f>
        <v>No</v>
      </c>
      <c r="AJ311" s="7" t="str">
        <f>IF(AI311="No","No",MAX(_xlfn.XLOOKUP(_xlfn.XLOOKUP(B311,'Base stats'!B:B,'Base stats'!E:E),Groups!A:A,Groups!AE:AE),MROUND(_xlfn.XLOOKUP(_xlfn.XLOOKUP(B311,'Base stats'!B:B,'Base stats'!E:E),Groups!A:A,Groups!AE:AE)*IF(_xlfn.XLOOKUP(_xlfn.XLOOKUP(B311,'Base stats'!B:B,'Base stats'!E:E),Groups!A:A,Groups!AJ:AJ)="Photonozoa",0.6,1)*_xlfn.XLOOKUP(B311,'Base stats'!B:B,'Base stats'!C:C)^0.165,0.05)))</f>
        <v>No</v>
      </c>
      <c r="AK311" s="7" t="str">
        <f>IF(AI311="No","No",_xlfn.XLOOKUP(_xlfn.XLOOKUP(B311,'Base stats'!B:B,'Base stats'!E:E),Groups!A:A,Groups!AF:AF))</f>
        <v>No</v>
      </c>
      <c r="AL311" s="7" t="str">
        <f>IF(AI311="No","No",_xlfn.XLOOKUP(_xlfn.XLOOKUP(B311,'Base stats'!B:B,'Base stats'!E:E),Groups!A:A,Groups!AG:AG))</f>
        <v>No</v>
      </c>
      <c r="AM311" s="7" t="str">
        <f>IF(AI311="No","No",_xlfn.XLOOKUP(_xlfn.XLOOKUP(B311,'Base stats'!B:B,'Base stats'!E:E),Groups!A:A,Groups!AH:AH))</f>
        <v>No</v>
      </c>
      <c r="AN311" s="2">
        <f t="shared" si="28"/>
        <v>20</v>
      </c>
      <c r="AO311" s="2">
        <f>MROUND(IF(AND(_xlfn.XLOOKUP(B311,'Base stats'!B:B,'Base stats'!C:C)&gt;=0.5,_xlfn.XLOOKUP(B311,'Base stats'!B:B,'Base stats'!C:C)&lt;=0.8),
IF(_xlfn.XLOOKUP(B311,'Base stats'!B:B,'Base stats'!C:C)&lt;0.1,0.05,IF(_xlfn.XLOOKUP(B311,'Base stats'!B:B,'Base stats'!C:C)&lt;=70,(_xlfn.XLOOKUP(B311,'Base stats'!B:B,'Base stats'!C:C)/70)^0.426489913056526,IF(_xlfn.XLOOKUP(B311,'Base stats'!B:B,'Base stats'!C:C)&lt;=400,(_xlfn.XLOOKUP(B311,'Base stats'!B:B,'Base stats'!C:C)/70)^0.572811455315093,IF(_xlfn.XLOOKUP(B311,'Base stats'!B:B,'Base stats'!C:C)&lt;=2000,2.71391647193063*(_xlfn.XLOOKUP(B311,'Base stats'!B:B,'Base stats'!C:C)/400)^0.252459582904293,3.74314280240376*(_xlfn.XLOOKUP(B311,'Base stats'!B:B,'Base stats'!C:C)/2000)^0.357012633876913)))),
IF(_xlfn.XLOOKUP(B311,'Base stats'!B:B,'Base stats'!C:C)&lt;0.1,0.05,IF(_xlfn.XLOOKUP(B311,'Base stats'!B:B,'Base stats'!C:C)&lt;0.4,0.1,IF(_xlfn.XLOOKUP(B311,'Base stats'!B:B,'Base stats'!C:C)&lt;=70,(_xlfn.XLOOKUP(B311,'Base stats'!B:B,'Base stats'!C:C)/70)^0.445823913056526,IF(_xlfn.XLOOKUP(B311,'Base stats'!B:B,'Base stats'!C:C)&lt;=400,(_xlfn.XLOOKUP(B311,'Base stats'!B:B,'Base stats'!C:C)/70)^0.572811455315093,IF(_xlfn.XLOOKUP(B311,'Base stats'!B:B,'Base stats'!C:C)&lt;=2000,2.71391647193063*(_xlfn.XLOOKUP(B311,'Base stats'!B:B,'Base stats'!C:C)/400)^0.252459582904293,3.74314280240376*(_xlfn.XLOOKUP(B311,'Base stats'!B:B,'Base stats'!C:C)/2000)^0.357012633876913)))))),
IF(_xlfn.XLOOKUP(B311,'Base stats'!B:B,'Base stats'!C:C)&lt;0.1,0.05,IF(_xlfn.XLOOKUP(B311,'Base stats'!B:B,'Base stats'!C:C)&lt;=100,0.05,IF(_xlfn.XLOOKUP(B311,'Base stats'!B:B,'Base stats'!C:C)&lt;=250,0.1,IF(_xlfn.XLOOKUP(B311,'Base stats'!B:B,'Base stats'!C:C)&lt;=4000,0.25,0.5)))))</f>
        <v>0.55000000000000004</v>
      </c>
      <c r="AP311" s="8">
        <f>MROUND(AO311*_xlfn.XLOOKUP(_xlfn.XLOOKUP(B311,'Base stats'!B:B,'Base stats'!E:E),Groups!A:A,Groups!AI:AI)*_xlfn.XLOOKUP(B311,'Base stats'!B:B,'Base stats'!Z:Z),0.05)</f>
        <v>0.65</v>
      </c>
      <c r="AQ311" s="8">
        <f>MAX(0.01,MROUND(IF(CC311="True",0.196*(AO311*100*1000)^0.889,IF(_xlfn.XLOOKUP(_xlfn.XLOOKUP(B311,'Base stats'!B:B,'Base stats'!E:E),Groups!A:A,Groups!AJ:AJ)="Bird",10.5*(AO311*100*1000)^0.681,4.82*(AO311*100*1000)^0.734))/(4.82*(1*100*1000)^0.734)/IF(AO311&lt;3.5,2,IF(AO311=3.5,1.5,1.25))*(1+0.132282374779864/(AO311^0.994035016789033+0.00905238001496948)),0.05))</f>
        <v>0.5</v>
      </c>
      <c r="AR311" s="9">
        <f>IFERROR(MROUND(_xlfn.XLOOKUP(B311,'Base stats'!B:B,'Base stats'!H:H)/IF(_xlfn.XLOOKUP(B311,'Base stats'!B:B,'Base stats'!I:I)&lt;&gt;1,(122.5/70),1.2),IF(_xlfn.XLOOKUP(B311,'Base stats'!B:B,'Base stats'!H:H)&gt;=30,5,IF(_xlfn.XLOOKUP(B311,'Base stats'!B:B,'Base stats'!H:H)&gt;=15,3,IF(_xlfn.XLOOKUP(B311,'Base stats'!B:B,'Base stats'!H:H)&gt;=10,2,1)))),"Immortal")</f>
        <v>12</v>
      </c>
      <c r="AS311" s="35" t="str">
        <f>IFERROR(IF(OR(_xlfn.XLOOKUP(B311,'Base stats'!B:B,'Base stats'!F:F)="Atypical reproduction",_xlfn.XLOOKUP(B311,'Base stats'!B:B,'Base stats'!F:F)="Lay eggs"),"Lay eggs",MIN(20,MAX(5.5,ROUND(((_xlfn.XLOOKUP(B311,'Base stats'!B:B,'Base stats'!F:F)-25)*(14.5/615) + 5.5)*2,0)/2))),"Unknown")</f>
        <v>Lay eggs</v>
      </c>
      <c r="AT311" s="8">
        <f>IF(_xlfn.XLOOKUP(B311,'Base stats'!B:B,'Base stats'!G:G)="Atypical reproduction","No",IFERROR(MAX(IF(_xlfn.XLOOKUP(B311,'Base stats'!B:B,'Base stats'!G:G)&lt;0.5,0.2,0.3),MROUND(_xlfn.XLOOKUP(B311,'Base stats'!B:B,'Base stats'!G:G)/(365/60),0.2)),"Unknown"))</f>
        <v>0.3</v>
      </c>
      <c r="AU311" s="8">
        <f t="shared" si="29"/>
        <v>0.15000000000000002</v>
      </c>
      <c r="AV311" s="8" t="str">
        <f>IFERROR(IFERROR(MROUND(_xlfn.XLOOKUP(B311,'Base stats'!B:B,'Base stats'!J:J),0.1),"Lay eggs"),"Cannot breed")</f>
        <v>Lay eggs</v>
      </c>
      <c r="AW311" s="2" t="str">
        <f t="shared" si="30"/>
        <v>false</v>
      </c>
      <c r="AX311" s="2" t="str">
        <f>IF(_xlfn.XLOOKUP(_xlfn.XLOOKUP(Animals!B311,'Base stats'!B:B,'Base stats'!E:E),Groups!A:A,Groups!AK:AK)=1,"true","false")</f>
        <v>false</v>
      </c>
      <c r="AY311" s="25" t="str">
        <f>IF(_xlfn.XLOOKUP(B311,'Base stats'!B:B,'Base stats'!Y:Y)="Liquor","Liquor, CarnivoreAnimalStrict",IF(AND(_xlfn.XLOOKUP(B311,'Base stats'!B:B,'Base stats'!Y:Y)="Carnivore",_xlfn.XLOOKUP(_xlfn.XLOOKUP(B311,'Base stats'!B:B,'Base stats'!E:E),Groups!A:A,Groups!AJ:AJ)="Photonozoa"),"CarnivoreAnimalStrict, OvivoreAnimal",IF(_xlfn.XLOOKUP(B311,'Base stats'!B:B,'Base stats'!Y:Y)="Carnivore","CarnivoreAnimal, OvivoreAnimal",IF(_xlfn.XLOOKUP(B311,'Base stats'!B:B,'Base stats'!Y:Y)="Dendrovore","VegetarianRoughAnimal, DendrovoreAnimal",IF(_xlfn.XLOOKUP(B311,'Base stats'!B:B,'Base stats'!Y:Y)="Herbivore","VegetarianRoughAnimal",IF(_xlfn.XLOOKUP(B311,'Base stats'!B:B,'Base stats'!Y:Y)="OmnivoreRough","OmnivoreRoughAnimal, OvivoreAnimal","OmnivoreAnimal, OvivoreAnimal"))))))</f>
        <v>CarnivoreAnimal, OvivoreAnimal</v>
      </c>
      <c r="AZ311" s="2" t="str">
        <f>IF(_xlfn.XLOOKUP(_xlfn.XLOOKUP(B311,'Base stats'!B:B,'Base stats'!E:E),Groups!A:A,Groups!D:D)=1,MROUND((1-J311)*5+1,2)*IF(J311&lt;=0.4,2,1),"No")</f>
        <v>No</v>
      </c>
      <c r="BA311" s="2" t="str">
        <f>IF(AND(_xlfn.XLOOKUP(B311,'Base stats'!B:B,'Base stats'!AH:AH)="&lt;li&gt;Seal&lt;/li&gt;",G311="Odyssey"),"&lt;li&gt;AEXP_Seal&lt;/li&gt;",_xlfn.XLOOKUP(B311,'Base stats'!B:B,'Base stats'!AH:AH))</f>
        <v>No</v>
      </c>
      <c r="BB311" s="2" t="str">
        <f>_xlfn.XLOOKUP(B311,'Base stats'!B:B,'Base stats'!AG:AG)</f>
        <v>Leather_Bird</v>
      </c>
      <c r="BC311" s="23" t="str">
        <f>_xlfn.XLOOKUP(_xlfn.XLOOKUP(B311,'Base stats'!B:B,'Base stats'!E:E),Groups!A:A,Groups!AL:AL)</f>
        <v>Theropod</v>
      </c>
      <c r="BD311" s="23">
        <f>MIN(1,MROUND(IF(AND(AO311&lt;0.5,_xlfn.XLOOKUP(B311,'Base stats'!B:B,'Base stats'!AA:AA)=0),0,IF(OR(_xlfn.XLOOKUP(Animals!B311,'Base stats'!B:B,'Base stats'!O:O)=2,_xlfn.XLOOKUP(_xlfn.XLOOKUP(B311,'Base stats'!B:B,'Base stats'!E:E),Groups!A:A,Groups!AN:AN)=0),0,_xlfn.XLOOKUP(_xlfn.XLOOKUP(B311,'Base stats'!B:B,'Base stats'!E:E),Groups!A:A,Groups!AN:AN)/IF(_xlfn.XLOOKUP(Animals!B311,'Base stats'!B:B,'Base stats'!O:O)=1,2,1)))+_xlfn.XLOOKUP(B311,'Base stats'!B:B,'Base stats'!AC:AC),0.005))</f>
        <v>0</v>
      </c>
      <c r="BE311" s="23">
        <f>MIN(1,MROUND(IF(AND(AO311&lt;0.5,_xlfn.XLOOKUP(B311,'Base stats'!B:B,'Base stats'!AA:AA)=0),0,IF(_xlfn.XLOOKUP(_xlfn.XLOOKUP(B311,'Base stats'!B:B,'Base stats'!E:E),Groups!A:A,Groups!AO:AO)=0,0,_xlfn.XLOOKUP(_xlfn.XLOOKUP(B311,'Base stats'!B:B,'Base stats'!E:E),Groups!A:A,Groups!AO:AO)/IF(_xlfn.XLOOKUP(Animals!B311,'Base stats'!B:B,'Base stats'!O:O)=2,3,1)))+_xlfn.XLOOKUP(B311,'Base stats'!B:B,'Base stats'!AD:AD),0.005))</f>
        <v>0.1</v>
      </c>
      <c r="BF311" s="2">
        <f>IF(J311&gt;0.3,"No",_xlfn.XLOOKUP(_xlfn.XLOOKUP(Animals!B311,'Base stats'!B:B,'Base stats'!E:E),Groups!A:A,Groups!AP:AP))</f>
        <v>1</v>
      </c>
      <c r="BG311" s="2">
        <f>IF(AND(J311&lt;=0.65,_xlfn.XLOOKUP(_xlfn.XLOOKUP(Animals!B311,'Base stats'!B:B,'Base stats'!E:E),Groups!A:A,Groups!AP:AP)&lt;&gt;"No",_xlfn.XLOOKUP(_xlfn.XLOOKUP(B311,'Base stats'!B:B,'Base stats'!E:E),Groups!A:A,Groups!D:D)=0),MROUND((80/3)*IF(_xlfn.XLOOKUP(B311,'Base stats'!B:B,'Base stats'!O:O)=2,0.2,AO311) + 24*(1-IF(BF311="No",0,BF311)) + 16/3, 12),"No")</f>
        <v>12</v>
      </c>
      <c r="BH311" s="2">
        <f>IF(AND(_xlfn.XLOOKUP(_xlfn.XLOOKUP(B311,'Base stats'!B:B,'Base stats'!E:E),Groups!A:A,Groups!AQ:AQ)=1,AO311&lt;=0.35),8,12)</f>
        <v>12</v>
      </c>
      <c r="BI311" s="2" t="str">
        <f>IF(_xlfn.XLOOKUP(_xlfn.XLOOKUP(B311,'Base stats'!B:B,'Base stats'!E:E),Groups!A:A,Groups!D:D)=0,_xlfn.XLOOKUP(_xlfn.XLOOKUP(B311,'Base stats'!B:B,'Base stats'!E:E),Groups!A:A,Groups!AR:AR),"None")</f>
        <v>Intermediate</v>
      </c>
      <c r="BJ311" s="2" t="str">
        <f>IF(AND(_xlfn.XLOOKUP(_xlfn.XLOOKUP(B311,'Base stats'!B:B,'Base stats'!E:E),Groups!A:A,Groups!AS:AS)=1,OR(_xlfn.XLOOKUP(B311,'Base stats'!B:B,'Base stats'!Y:Y)="Carnivore",_xlfn.XLOOKUP(B311,'Base stats'!B:B,'Base stats'!Y:Y)="Omnivore")),"true","false")</f>
        <v>true</v>
      </c>
      <c r="BK311" s="2">
        <f>IF(BJ311="true",MROUND(IF(AND(AO311&gt;0.5,OR(_xlfn.XLOOKUP(_xlfn.XLOOKUP(B311,'Base stats'!B:B,'Base stats'!E:E),Groups!A:A,Groups!AJ:AJ)="Photonozoa",_xlfn.XLOOKUP(_xlfn.XLOOKUP(B311,'Base stats'!B:B,'Base stats'!E:E),Groups!A:A,Groups!AJ:AJ)="Mammal")),Animals!AO311*1.75*IF(AW311="true",1.5,1),IF(AO311&lt;0.5,Animals!AO311*0.5,Animals!AO311)),IF(AO311&gt;2,0.5,IF(AO311&gt;0.5,0.25,0.1))),"No")</f>
        <v>0.5</v>
      </c>
      <c r="BL311" s="2">
        <f t="shared" si="31"/>
        <v>1</v>
      </c>
      <c r="BM311" s="25" t="str">
        <f>IF(_xlfn.XLOOKUP(B311,'Base stats'!B:B,'Base stats'!AN:AN)="Standard","No",MROUND((_xlfn.XLOOKUP(B311,'Base stats'!B:B,'Base stats'!AN:AN)/3.6)/I311,0.1))</f>
        <v>No</v>
      </c>
      <c r="BN311" s="25" t="str">
        <f t="shared" si="32"/>
        <v>false</v>
      </c>
      <c r="BO311" s="25" t="str">
        <f>IF(AND(OR(_xlfn.XLOOKUP(B311,'Base stats'!B:B,'Base stats'!Y:Y)="Carnivore",_xlfn.XLOOKUP(B311,'Base stats'!B:B,'Base stats'!Y:Y)="Omnivore",_xlfn.XLOOKUP(B311,'Base stats'!B:B,'Base stats'!Y:Y)="OmnivoreRough"),_xlfn.XLOOKUP(_xlfn.XLOOKUP(B311,'Base stats'!B:B,'Base stats'!E:E),Groups!A:A,Groups!AT:AT)=1),"true","false")</f>
        <v>false</v>
      </c>
      <c r="BP311" s="25" t="str" cm="1">
        <f t="array" ref="BP311">IF(
  _xlfn.TEXTJOIN(", ",TRUE,
    IF(AND(BJ311="true",AO311&gt;0.5,BI311&lt;&gt;"None"),"AttackTarget",""),
    IF(AND(_xlfn.XLOOKUP(_xlfn.XLOOKUP(B311,'Base stats'!B:B,'Base stats'!E:E),Groups!A:A,Groups!AJ:AJ="Mammal"),OR(_xlfn.XLOOKUP(B311,'Base stats'!B:B,'Base stats'!Y:Y)="Omnivore",_xlfn.XLOOKUP(B311,'Base stats'!B:B,'Base stats'!Y:Y)="OmnivoreRough")),"Forage",""),
    IF(BG311&lt;=36,"Comfort",""),
    IF(_xlfn.XLOOKUP(B311,'Base stats'!B:B,'Base stats'!AE:AE)&lt;&gt;"No",_xlfn.XLOOKUP(B311,'Base stats'!B:B,'Base stats'!AE:AE),"")
  ) = "",
  "No",
  _xlfn.TEXTJOIN(", ",TRUE,
    IF(AND(BJ311="true",AO311&gt;0.5,BI311&lt;&gt;"None"),"AttackTarget",""),
    IF(AND(_xlfn.XLOOKUP(_xlfn.XLOOKUP(B311,'Base stats'!B:B,'Base stats'!E:E),Groups!A:A,Groups!AJ:AJ="Mammal"),OR(_xlfn.XLOOKUP(B311,'Base stats'!B:B,'Base stats'!Y:Y)="Omnivore",_xlfn.XLOOKUP(B311,'Base stats'!B:B,'Base stats'!Y:Y)="OmnivoreRough")),"Forage",""),
    IF(BG311&lt;=36,"Comfort",""),
    IF(_xlfn.XLOOKUP(B311,'Base stats'!B:B,'Base stats'!AE:AE)&lt;&gt;"No",_xlfn.XLOOKUP(B311,'Base stats'!B:B,'Base stats'!AE:AE),"")
  )
)</f>
        <v>AttackTarget, Comfort</v>
      </c>
      <c r="BQ311" s="25" t="str">
        <f>IF(
   AND(
      'Base stats'!AN311="Standard",_xlfn.XLOOKUP(_xlfn.XLOOKUP(B311,'Base stats'!B:B,'Base stats'!E:E),Groups!A:A,Groups!AU:AU)=0,
      OR(
      BO311="True"
      )
   ),
   10,
   IF(
       OR(BM311&lt;&gt;"No",_xlfn.XLOOKUP(_xlfn.XLOOKUP(B311,'Base stats'!B:B,'Base stats'!E:E),Groups!A:A,Groups!AU:AU)=1),
      1,
      "No"
   )
)</f>
        <v>No</v>
      </c>
      <c r="BR311" s="9">
        <f>MROUND((1 + ((0.2*IF(OR(Q311="No",R311="No",R311=0),0,Q311/R311)
+IF(OR(V311="No",S311="No",T311="No"),0,S311/T311*(LEN(V311)-LEN(SUBSTITUTE(V311,",",""))+1))
+IF(OR(X311="No",Y311="No"),0,X311/Y311)
+IF(OR(AD311="No",AE311="No"),0,AD311/AE311)
+IF(OR(AL311="No",AI311="No",AJ311="No"),0,AI311/AJ311*(LEN(AL311)-LEN(SUBSTITUTE(AL311,",",""))+1))
)/(0.2*IF(OR(Q311="No",R311="No",R311=0),0,1)
+IF(OR(V311="No",S311="No",T311="No"),0,LEN(V311)-LEN(SUBSTITUTE(V311,",",""))+1)
+IF(OR(X311="No",Y311="No"),0,1)
+IF(OR(AD311="No",AE311="No"),0,1)
+IF(OR(AL311="No",AI311="No",AJ311="No"),0,LEN(AL311)-LEN(SUBSTITUTE(AL311,",",""))+1))*62%)* 2)*(1 + (AP311 / (IF(_xlfn.XLOOKUP(_xlfn.XLOOKUP(B311,'Base stats'!B:B,'Base stats'!E:E),Groups!A:A,Groups!AJ:AJ)="Photonozoa",0.3,1)) + _xlfn.XLOOKUP(B311,'Base stats'!B:B,'Base stats'!AV:AV) * 1.8) * 2) * 2.5 + 10 + I311 * 2,5)+IF(_xlfn.XLOOKUP(B311,'Base stats'!B:B,'Base stats'!AK:AK)=1,50,0)</f>
        <v>60</v>
      </c>
      <c r="BS311" s="8">
        <f t="shared" si="33"/>
        <v>0.5</v>
      </c>
      <c r="BT311" s="8" t="str">
        <f>_xlfn.XLOOKUP(B311,'Base stats'!B:B,'Base stats'!AF:AF)</f>
        <v>No</v>
      </c>
      <c r="BU311" s="2" t="str">
        <f>IF(AND(J311&lt;=0.95,OR(_xlfn.XLOOKUP(B311,'Base stats'!B:B,'Base stats'!AK:AK)=1,_xlfn.XLOOKUP(B311,'Base stats'!B:B,'Base stats'!Y:Y)="Carnivore",_xlfn.XLOOKUP(B311,'Base stats'!B:B,'Base stats'!Y:Y)="Omnivore",BE311&gt;0.1)),"true","false")</f>
        <v>true</v>
      </c>
      <c r="BV311" s="2" t="str">
        <f>IF(_xlfn.XLOOKUP(B311,'Base stats'!B:B,'Base stats'!AI:AI)=1,"true","false")</f>
        <v>false</v>
      </c>
      <c r="BW311" s="25" t="str">
        <f>IF(E311="BaseInsect","AnimalInsect",
IF(J311&gt;0.95,"AnimalExotic",
_xlfn.TEXTJOIN(", ",TRUE,
IF(OR(_xlfn.XLOOKUP(B311,'Base stats'!B:B,'Base stats'!AM:AM)=1,AND(_xlfn.XLOOKUP(B311,'Base stats'!B:B,'Base stats'!O:O)=0,_xlfn.XLOOKUP(_xlfn.XLOOKUP(B311,'Base stats'!B:B,'Base stats'!E:E),Groups!A:A,Groups!B:B)&gt;0)),"AnimalUncommon","AnimalCommon"),
IF(AND(_xlfn.XLOOKUP(B311,'Base stats'!B:B,'Base stats'!O:O)=2,_xlfn.XLOOKUP(_xlfn.XLOOKUP(B311,'Base stats'!B:B,'Base stats'!E:E),Groups!A:A,Groups!D:D)=0),"AnimalPet",IF(AND(_xlfn.XLOOKUP(B311,'Base stats'!B:B,'Base stats'!O:O)&lt;&gt;0,_xlfn.XLOOKUP(_xlfn.XLOOKUP(B311,'Base stats'!B:B,'Base stats'!E:E),Groups!A:A,Groups!D:D)&lt;&gt;0),"AnimalFarm","")),
IF(OR(_xlfn.XLOOKUP(B311,'Base stats'!B:B,'Base stats'!AK:AK)=1,AND(BI311&lt;&gt;"None",BR311&gt;=60),ISNUMBER(SEARCH("Attack target",BP311))),"AnimalFighter","")
)))</f>
        <v>AnimalUncommon, AnimalPet, AnimalFighter</v>
      </c>
      <c r="BX311" s="25" t="str">
        <f>IF(G311="None",TRIM(
SUBSTITUTE(
IF(COUNTIF(Biomes!B$2:B$259,"="&amp;$C311)&gt;0,Biomes!B$1&amp;", ","")&amp;
IF(COUNTIF(Biomes!C$2:C$259,"="&amp;$C311)&gt;0,Biomes!C$1&amp;", ","")&amp;
IF(COUNTIF(Biomes!D$2:D$259,"="&amp;$C311)&gt;0,Biomes!D$1&amp;", ","")&amp;
IF(COUNTIF(Biomes!F$2:F$259,"="&amp;$C311)&gt;0,Biomes!F$1&amp;", ","")&amp;
IF(COUNTIF(Biomes!G$2:G$259,"="&amp;$C311)&gt;0,Biomes!G$1&amp;", ","")&amp;
IF(COUNTIF(Biomes!H$2:H$259,"="&amp;$C311)&gt;0,Biomes!H$1&amp;", ","")&amp;
IF(COUNTIF(Biomes!I$2:I$259,"="&amp;$C311)&gt;0,Biomes!I$1&amp;", ","")&amp;
IF(COUNTIF(Biomes!J$2:J$259,"="&amp;$C311)&gt;0,Biomes!J$1&amp;", ","")&amp;
IF(COUNTIF(Biomes!M$2:M$259,"="&amp;$C311)&gt;0,Biomes!M$1&amp;", ","")&amp;
IF(COUNTIF(Biomes!N$2:N$259,"="&amp;$C311)&gt;0,Biomes!N$1&amp;", ","")&amp;
IF(COUNTIF(Biomes!O$2:O$259,"="&amp;$C311)&gt;0,Biomes!O$1&amp;", ","")&amp;
IF(COUNTIF(Biomes!P$2:P$259,"="&amp;$C311)&gt;0,Biomes!P$1&amp;", ","")&amp;
IF(COUNTIF(Biomes!K$2:K$259,"="&amp;$C311)&gt;0,Biomes!K$1&amp;", ","")&amp;
IF(COUNTIF(Biomes!Q$3:Q$259,"="&amp;$C311)&gt;0,Biomes!Q$1&amp;", ","")&amp;
IF(COUNTIF(Biomes!L$2:L$259,"="&amp;$C311)&gt;0,Biomes!L$1&amp;", ","")&amp;
IF(COUNTIF(Biomes!E$2:E$259,"="&amp;$C311)&gt;0,Biomes!E$1&amp;", ","")&amp;IF(COUNTIF(Biomes!S$2:S$259,"="&amp;$C311)&gt;0,Biomes!S$1&amp;", ","")&amp;
IF(COUNTIF(Biomes!R$2:R$259,"="&amp;$C311)&gt;0,Biomes!R$1&amp;", ",""),", ","")
),_xlfn.XLOOKUP(B311,B:B,BX:BX))</f>
        <v/>
      </c>
      <c r="BY311" s="25" t="str">
        <f>IF(_xlfn.XLOOKUP(B311,'Base stats'!B:B,'Base stats'!AJ:AJ)=1,"true","false")</f>
        <v>false</v>
      </c>
      <c r="BZ311" s="25">
        <f>IF(_xlfn.XLOOKUP(B311,'Base stats'!B:B,'Base stats'!N:N)=1,"No",MAX(0.001,MIN(MROUND(IF(AND(BJ311="True",CC311="False"),POWER(10,3.47*LOG10(_xlfn.XLOOKUP(B311,'Base stats'!B:B,'Base stats'!C:C)*1000)^-0.96),POWER(10,4.15*LOG10(_xlfn.XLOOKUP(B311,'Base stats'!B:B,'Base stats'!C:C)*1000)^-0.73))*IF(_xlfn.XLOOKUP(B311,'Base stats'!B:B,'Base stats'!AK:AK)=1,0.5,1)*IF(_xlfn.XLOOKUP(B311,'Base stats'!B:B,'Base stats'!AM:AM)=1,0.1,1)/100,IF(_xlfn.XLOOKUP(B311,'Base stats'!B:B,'Base stats'!AM:AM)=1,0.001,0.025)),0.5)))</f>
        <v>7.0000000000000001E-3</v>
      </c>
      <c r="CA311" s="25" t="str">
        <f>IF(P311="Standard","No",MAX(0.001,MIN(MROUND(IF(AND(BJ311="True",CC311="False"),POWER(10,3.47*LOG10(_xlfn.XLOOKUP(B311,'Base stats'!B:B,'Base stats'!C:C)*1000)^-0.96),POWER(10,4.15*LOG10(_xlfn.XLOOKUP(B311,'Base stats'!B:B,'Base stats'!C:C)*1000)^-0.73))*IF(_xlfn.XLOOKUP(B311,'Base stats'!B:B,'Base stats'!AM:AM)=1,0.1,1)*_xlfn.XLOOKUP(B311,'Base stats'!B:B,'Base stats'!R:R)/100,IF(_xlfn.XLOOKUP(B311,'Base stats'!B:B,'Base stats'!AM:AM)=1,0.001,0.025)),0.5)))</f>
        <v>No</v>
      </c>
      <c r="CB311" s="25" t="str">
        <f>IF(_xlfn.XLOOKUP(_xlfn.XLOOKUP(B311,'Base stats'!B:B,'Base stats'!E:E),Groups!A:A,Groups!AJ:AJ)="Mammal","True","False")</f>
        <v>False</v>
      </c>
      <c r="CC311" s="25" t="str">
        <f>IF(OR(_xlfn.XLOOKUP(_xlfn.XLOOKUP(B311,'Base stats'!B:B,'Base stats'!E:E),Groups!A:A,Groups!AJ:AJ)="Reptile",_xlfn.XLOOKUP(_xlfn.XLOOKUP(B311,'Base stats'!B:B,'Base stats'!E:E),Groups!A:A,Groups!AJ:AJ)="Amphibian",_xlfn.XLOOKUP(_xlfn.XLOOKUP(B311,'Base stats'!B:B,'Base stats'!E:E),Groups!A:A,Groups!AJ:AJ)="Invertebrate"),"True","False")</f>
        <v>False</v>
      </c>
      <c r="CD311" s="25" t="str">
        <f t="shared" si="34"/>
        <v>False</v>
      </c>
      <c r="CE311" s="25" t="str">
        <f>IF(_xlfn.XLOOKUP(_xlfn.XLOOKUP(B311,'Base stats'!B:B,'Base stats'!E:E),Groups!A:A,Groups!AX:AX),"True","False")</f>
        <v>False</v>
      </c>
      <c r="CF311" s="25" t="str">
        <f>IF(_xlfn.XLOOKUP(_xlfn.XLOOKUP(B311,'Base stats'!B:B,'Base stats'!E:E),Groups!A:A,Groups!AY:AY),"True","False")</f>
        <v>False</v>
      </c>
      <c r="CG311" s="25" t="str">
        <f>IF(_xlfn.XLOOKUP(_xlfn.XLOOKUP(B311,'Base stats'!B:B,'Base stats'!E:E),Groups!A:A,Groups!AW:AW),"True","False")</f>
        <v>False</v>
      </c>
      <c r="CH311" s="25" t="str">
        <f>IF(
OR(
_xlfn.XLOOKUP(_xlfn.XLOOKUP(B311,'Base stats'!B:B,'Base stats'!E:E),Groups!A:A,Groups!AZ:AZ)=0,
AND(
_xlfn.XLOOKUP(B311,'Base stats'!B:B,'Base stats'!Y:Y)&lt;&gt;"Carnivore",
_xlfn.XLOOKUP(B311,'Base stats'!B:B,'Base stats'!Y:Y)&lt;&gt;"Omnivore",
_xlfn.XLOOKUP(B311,'Base stats'!B:B,'Base stats'!Y:Y)&lt;&gt;"OmnivoreRough"
)
),
"No",
IF(
_xlfn.XLOOKUP(_xlfn.XLOOKUP(B311,'Base stats'!B:B,'Base stats'!E:E),Groups!A:A,Groups!AZ:AZ)=1,
"Flesh",
IF(
_xlfn.XLOOKUP(_xlfn.XLOOKUP(B311,'Base stats'!B:B,'Base stats'!E:E),Groups!A:A,Groups!AZ:AZ)=2,
"Bone",
""
)
)
)</f>
        <v>No</v>
      </c>
      <c r="CI311" s="25" t="str">
        <f>IF(_xlfn.XLOOKUP(_xlfn.XLOOKUP(B311,'Base stats'!B:B,'Base stats'!E:E),Groups!A:A,Groups!BB:BB),"True","False")</f>
        <v>False</v>
      </c>
      <c r="CJ311" s="25" t="str">
        <f>IF(_xlfn.XLOOKUP(_xlfn.XLOOKUP(B311,'Base stats'!B:B,'Base stats'!E:E),Groups!A:A,Groups!BA:BA),"True","False")</f>
        <v>False</v>
      </c>
    </row>
    <row r="312" spans="1:88" ht="16.5" thickTop="1" thickBot="1" x14ac:dyDescent="0.3">
      <c r="A312" s="26" t="s">
        <v>1536</v>
      </c>
      <c r="B312" s="6" t="str">
        <f>_xlfn.XLOOKUP(A312,'Base stats'!A:A,'Base stats'!B:B)</f>
        <v>Feliscopus phoenix</v>
      </c>
      <c r="C312" s="28" t="s">
        <v>1537</v>
      </c>
      <c r="D312" s="28" t="s">
        <v>1341</v>
      </c>
      <c r="E312" s="28" t="s">
        <v>673</v>
      </c>
      <c r="F312" s="28" t="s">
        <v>673</v>
      </c>
      <c r="G312" s="28" t="s">
        <v>673</v>
      </c>
      <c r="H312" s="2">
        <f>MROUND((
  (IF(AND(_xlfn.XLOOKUP(B312,'Base stats'!B:B,'Base stats'!AL:AL)=0,BI312="None",_xlfn.XLOOKUP(_xlfn.XLOOKUP(B312,'Base stats'!B:B,'Base stats'!E:E),Groups!A:A,Groups!B:B)=0), (18 + BR312 * 2.7) * 0.5,
    IF(AND(_xlfn.XLOOKUP(B312,'Base stats'!B:B,'Base stats'!AL:AL)=0,OR(AO312&lt;0.55,AND(BI312="Intermediate",_xlfn.XLOOKUP(_xlfn.XLOOKUP(B312,'Base stats'!B:B,'Base stats'!E:E),Groups!A:A,Groups!B:B)&lt;2))), (18 + BR312 * 2.7),
      IF(OR(BI312="Advanced",_xlfn.XLOOKUP(B312,'Base stats'!B:B,'Base stats'!AL:AL)=1,_xlfn.XLOOKUP(_xlfn.XLOOKUP(B312,'Base stats'!B:B,'Base stats'!E:E),Groups!A:A,Groups!B:B)=2), (18 + BR312 * 2.7) + 250, (18 + BR312 * 2.7))
    )
  ))
  + AO312 * 80
  + IF(COUNTIF(EggMilk!K$2:K$998, A312) &gt; 0, 125, 0)
  + IF(COUNTIF(EggMilk!P$2:P$998, A312) &gt; 0, 90, 0)
  + IF(COUNTIF(EggMilk!A$2:A$998, A312) &gt; 0, 90, 0)
)
* (0.8 + 0.4 * J312)
* 0.75,25)</f>
        <v>100</v>
      </c>
      <c r="I312" s="2">
        <f>MROUND(ROUNDDOWN(_xlfn.XLOOKUP(B312,'Base stats'!B:B,'Base stats'!L:L)/3.6/(23.3/11),1),0.5)</f>
        <v>5.5</v>
      </c>
      <c r="J312" s="2">
        <f>IF(OR(_xlfn.XLOOKUP(B312,'Base stats'!B:B,'Base stats'!AB:AB)=1,_xlfn.XLOOKUP(_xlfn.XLOOKUP(B312,'Base stats'!B:B,'Base stats'!E:E),Groups!A:A,Groups!C:C)="Untamable"),1,IF(_xlfn.XLOOKUP(B312,'Base stats'!B:B,'Base stats'!AL:AL)=1,0.99,MIN(MROUND((1-0.6282*EXP(-0.459*AO312))*_xlfn.XLOOKUP(_xlfn.XLOOKUP(B312,'Base stats'!B:B,'Base stats'!E:E),Groups!A:A,Groups!C:C)*IF(_xlfn.XLOOKUP(B312,'Base stats'!B:B,'Base stats'!O:O)=1,0.5,IF(_xlfn.XLOOKUP(B312,'Base stats'!B:B,'Base stats'!O:O)=2,0,1)),0.05),IF(AO312&gt;3.5,0.985,0.95))))</f>
        <v>0</v>
      </c>
      <c r="K312" s="2">
        <f>ROUNDUP(AO312*_xlfn.XLOOKUP(_xlfn.XLOOKUP(B312,'Base stats'!B:B,'Base stats'!E:E),Groups!A:A,Groups!E:E),0)</f>
        <v>1</v>
      </c>
      <c r="L312" s="2">
        <f>IF(OR(_xlfn.XLOOKUP(_xlfn.XLOOKUP(B312,'Base stats'!B:B,'Base stats'!E:E),Groups!A:A,Groups!F:F)=2,ISNUMBER(SEARCH("SeaIce",BX312)),ISNUMBER(SEARCH("IceSheet",BX312))),-50,IF(OR(ISNUMBER(SEARCH("GlacialPlain",BX312)),ISNUMBER(SEARCH("Tundra",BX312))),-40,IF(OR(ISNUMBER(SEARCH("Alpine",BX312)),ISNUMBER(SEARCH("BorealForest",BX312)),ISNUMBER(SEARCH("ColdBog",BX312))),-30,IF(OR(ISNUMBER(SEARCH("TemperateForest",BX312)),ISNUMBER(SEARCH("TemperateSwamp",BX312))),-20,IF(_xlfn.XLOOKUP(_xlfn.XLOOKUP(B312,'Base stats'!B:B,'Base stats'!E:E),Groups!A:A,Groups!F:F)=1,-15,IF(OR(ISNUMBER(SEARCH("Desert",BX312)),ISNUMBER(SEARCH("ExtremeDesert",BX312))),-10,IF(OR(ISNUMBER(SEARCH("Grasslands",BX312)),ISNUMBER(SEARCH("TropicalRainforest",BX312)),ISNUMBER(SEARCH("TropicalSwamp",BX312))),10,0)))))))-IF(CC312="False",MIN(IFERROR(MAX(MROUND(LOG10(_xlfn.XLOOKUP(B312,'Base stats'!B:B,'Base stats'!C:C)^(2/3))*10,5),5),5),30))-_xlfn.XLOOKUP(B312,'Base stats'!B:B,'Base stats'!P:P)+IF(CC312="True",5,0)</f>
        <v>-20</v>
      </c>
      <c r="M312" s="2">
        <f>IF(OR(_xlfn.XLOOKUP(_xlfn.XLOOKUP(B312,'Base stats'!B:B,'Base stats'!E:E),Groups!A:A,Groups!G:G)=2,ISNUMBER(SEARCH("Desert",BX312)),ISNUMBER(SEARCH("ExtremeDesert",BX312)),ISNUMBER(SEARCH("LavaField",BX312))),50,IF(ISNUMBER(SEARCH("Grasslands",BX312)),45,IF(OR(_xlfn.XLOOKUP(_xlfn.XLOOKUP(B312,'Base stats'!B:B,'Base stats'!E:E),Groups!A:A,Groups!G:G)=1,ISNUMBER(SEARCH("TropicalRainforest",BX312)),ISNUMBER(SEARCH("TropicalSwamp",BX312))),40,IF(OR(ISNUMBER(SEARCH("TemperateForest",BX312)),ISNUMBER(SEARCH("TemperateSwamp",BX312))),35,IF(OR(ISNUMBER(SEARCH("Alpine",BX312)),ISNUMBER(SEARCH("BorealForest",BX312)),ISNUMBER(SEARCH("ColdBog",BX312))),30,IF(ISNUMBER(OR(ISNUMBER(SEARCH("GlacialPlain",BX312)),SEARCH("Tundra",BX312))),25,IF(OR(ISNUMBER(SEARCH("SeaIce",BX312)),ISNUMBER(SEARCH("IceSheet",BX312)),ISNUMBER(SEARCH("TropicalSwamp",BX312))),10,35)))))))+_xlfn.XLOOKUP(B312,'Base stats'!B:B,'Base stats'!Q:Q)</f>
        <v>40</v>
      </c>
      <c r="N312" s="8" t="str">
        <f>IF(
_xlfn.XLOOKUP(
_xlfn.XLOOKUP(B312,'Base stats'!B:B,'Base stats'!E:E),
Groups!A:A,
Groups!L:L
)=1,
MIN(
MROUND(
IF(
_xlfn.XLOOKUP(B312,'Animals CE'!B:B,'Animals CE'!Z:Z)&lt;=1.5,
_xlfn.XLOOKUP(B312,'Animals CE'!B:B,'Animals CE'!Z:Z)/2+0.05,
0.8+
(_xlfn.XLOOKUP(B312,'Animals CE'!B:B,'Animals CE'!Z:Z)-1.5)
*0.02
),
0.05
),
200%
),
"No"
)</f>
        <v>No</v>
      </c>
      <c r="O312" s="8" t="str">
        <f>IF(
_xlfn.XLOOKUP(
_xlfn.XLOOKUP(B312,'Base stats'!B:B,'Base stats'!E:E),
Groups!A:A,
Groups!L:L
)=1,
MIN(
MROUND(
IF(
_xlfn.XLOOKUP(B312,'Animals CE'!B:B,'Animals CE'!AA:AA)&lt;=1.5,
_xlfn.XLOOKUP(B312,'Animals CE'!B:B,'Animals CE'!AA:AA)/2+0.05,
0.8+
(_xlfn.XLOOKUP(B312,'Animals CE'!B:B,'Animals CE'!AA:AA)-1.5)
*0.02
),
0.05
),
200%
),
"No"
)</f>
        <v>No</v>
      </c>
      <c r="P312" s="2" t="str">
        <f>_xlfn.XLOOKUP(B312,'Base stats'!B:B,'Base stats'!R:R)</f>
        <v>Standard</v>
      </c>
      <c r="Q312" s="13">
        <f>MROUND((LOG10(_xlfn.XLOOKUP(B312,'Base stats'!B:B,'Base stats'!AR:AR))*(AO312^0.5)+(_xlfn.XLOOKUP(B312,'Base stats'!B:B,'Base stats'!AR:AR)/1000)^(2/3)+_xlfn.XLOOKUP(B312,'Base stats'!B:B,'Base stats'!BA:BA)/2)+0.5,0.5)</f>
        <v>2.5</v>
      </c>
      <c r="R312" s="7">
        <f>IF(Q312="No","No",MAX(1,MROUND(_xlfn.XLOOKUP(B312,'Base stats'!B:B,'Base stats'!C:C)^0.165,0.05)))</f>
        <v>1.25</v>
      </c>
      <c r="S312" s="13" t="str">
        <f>IF(_xlfn.XLOOKUP(_xlfn.XLOOKUP(B312,'Base stats'!B:B,'Base stats'!E:E),Groups!A:A,Groups!P:P)=0,"No",MROUND((LOG10(_xlfn.XLOOKUP(B312,'Base stats'!B:B,'Base stats'!AS:AS))*(AO312^0.5)+(_xlfn.XLOOKUP(B312,'Base stats'!B:B,'Base stats'!AS:AS)/1000)^(2/3)+_xlfn.XLOOKUP(B312,'Base stats'!B:B,'Base stats'!BA:BA))+_xlfn.XLOOKUP(B312,'Base stats'!B:B,'Base stats'!AY:AY)+0.5,0.5))</f>
        <v>No</v>
      </c>
      <c r="T312" s="7" t="str">
        <f>IF(S312="No","No",MAX(_xlfn.XLOOKUP(_xlfn.XLOOKUP(B312,'Base stats'!B:B,'Base stats'!E:E),Groups!A:A,Groups!Q:Q),MROUND(_xlfn.XLOOKUP(_xlfn.XLOOKUP(B312,'Base stats'!B:B,'Base stats'!E:E),Groups!A:A,Groups!Q:Q)*_xlfn.XLOOKUP(B312,'Base stats'!B:B,'Base stats'!C:C)^0.165,0.05)))</f>
        <v>No</v>
      </c>
      <c r="U312" s="7" t="str">
        <f>IF(S312="No","No",_xlfn.XLOOKUP(_xlfn.XLOOKUP(B312,'Base stats'!B:B,'Base stats'!E:E),Groups!A:A,Groups!R:R))</f>
        <v>No</v>
      </c>
      <c r="V312" s="7" t="str">
        <f>IF(S312="No","No",_xlfn.XLOOKUP(_xlfn.XLOOKUP(B312,'Base stats'!B:B,'Base stats'!E:E),Groups!A:A,Groups!S:S))</f>
        <v>No</v>
      </c>
      <c r="W312" s="7" t="str">
        <f>IF(S312="No","No",_xlfn.XLOOKUP(_xlfn.XLOOKUP(B312,'Base stats'!B:B,'Base stats'!E:E),Groups!A:A,Groups!T:T))</f>
        <v>No</v>
      </c>
      <c r="X312" s="13" t="str">
        <f>IF(_xlfn.XLOOKUP(B312,'Base stats'!B:B,'Base stats'!W:W)="No","No",MROUND((LOG10(_xlfn.XLOOKUP(B312,'Base stats'!B:B,'Base stats'!AU:AU))*(AO312^0.5)+(_xlfn.XLOOKUP(B312,'Base stats'!B:B,'Base stats'!AU:AU)/1000)^(2/3)+_xlfn.XLOOKUP(B312,'Base stats'!B:B,'Base stats'!AZ:AZ))+0.5+IF(_xlfn.XLOOKUP(_xlfn.XLOOKUP(B312,'Base stats'!B:B,'Base stats'!E:E),Groups!A:A,Groups!U:U)&lt;&gt;3,_xlfn.XLOOKUP(B312,'Base stats'!B:B,'Base stats'!BA:BA),0),0.5))</f>
        <v>No</v>
      </c>
      <c r="Y312" s="7" t="str">
        <f>IF(X312="No","No",MAX(_xlfn.XLOOKUP(_xlfn.XLOOKUP(B312,'Base stats'!B:B,'Base stats'!E:E),Groups!A:A,Groups!V:V),MROUND(_xlfn.XLOOKUP(_xlfn.XLOOKUP(B312,'Base stats'!B:B,'Base stats'!E:E),Groups!A:A,Groups!V:V)*_xlfn.XLOOKUP(B312,'Base stats'!B:B,'Base stats'!C:C)^0.165,0.05)))</f>
        <v>No</v>
      </c>
      <c r="Z312" s="7" t="str">
        <f>IF(X312="No","No",_xlfn.XLOOKUP(_xlfn.XLOOKUP(B312,'Base stats'!B:B,'Base stats'!E:E),Groups!A:A,Groups!W:W))</f>
        <v>No</v>
      </c>
      <c r="AA312" s="7" t="str">
        <f>IF(X312="No","No",_xlfn.XLOOKUP(_xlfn.XLOOKUP(B312,'Base stats'!B:B,'Base stats'!E:E),Groups!A:A,Groups!X:X))</f>
        <v>No</v>
      </c>
      <c r="AB312" s="7" t="str">
        <f>IF(X312="No","No",_xlfn.XLOOKUP(_xlfn.XLOOKUP(B312,'Base stats'!B:B,'Base stats'!E:E),Groups!A:A,Groups!Y:Y))</f>
        <v>No</v>
      </c>
      <c r="AC312" s="7" t="str">
        <f>_xlfn.XLOOKUP(Animals!B312,'Base stats'!B:B,'Base stats'!X:X)</f>
        <v>False</v>
      </c>
      <c r="AD312" s="13">
        <f>IF(_xlfn.XLOOKUP(B312,'Base stats'!B:B,'Base stats'!AT:AT)="No","No",MROUND((LOG10(_xlfn.XLOOKUP(B312,'Base stats'!B:B,'Base stats'!AT:AT))*(AO312^0.75)+(_xlfn.XLOOKUP(B312,'Base stats'!B:B,'Base stats'!AT:AT)/1000)^(2/3)+_xlfn.XLOOKUP(B312,'Base stats'!B:B,'Base stats'!AX:AX)+_xlfn.XLOOKUP(B312,'Base stats'!B:B,'Base stats'!BA:BA))+0.5,0.5))</f>
        <v>4</v>
      </c>
      <c r="AE312" s="7">
        <f>IF(AD312="No","No",MAX(_xlfn.XLOOKUP(_xlfn.XLOOKUP(B312,'Base stats'!B:B,'Base stats'!E:E),Groups!A:A,Groups!Z:Z),MROUND(_xlfn.XLOOKUP(_xlfn.XLOOKUP(B312,'Base stats'!B:B,'Base stats'!E:E),Groups!A:A,Groups!Z:Z)*_xlfn.XLOOKUP(B312,'Base stats'!B:B,'Base stats'!C:C)^0.165,0.05)))</f>
        <v>0.9</v>
      </c>
      <c r="AF312" s="7" t="str">
        <f>IF(AD312="No","No",_xlfn.XLOOKUP(_xlfn.XLOOKUP(B312,'Base stats'!B:B,'Base stats'!E:E),Groups!A:A,Groups!AA:AA))</f>
        <v>Teeth</v>
      </c>
      <c r="AG312" s="7" t="str">
        <f>IF(AD312="No","No",_xlfn.XLOOKUP(_xlfn.XLOOKUP(B312,'Base stats'!B:B,'Base stats'!E:E),Groups!A:A,Groups!AB:AB))</f>
        <v>canines</v>
      </c>
      <c r="AH312" s="7" t="str">
        <f>IF(AD312="No","No",_xlfn.XLOOKUP(_xlfn.XLOOKUP(B312,'Base stats'!B:B,'Base stats'!E:E),Groups!A:A,Groups!AC:AC))</f>
        <v>Bite</v>
      </c>
      <c r="AI312" s="13">
        <f>IF(_xlfn.XLOOKUP(_xlfn.XLOOKUP(B312,'Base stats'!B:B,'Base stats'!E:E),Groups!A:A,Groups!AD:AD)=0,"No",MROUND((LOG10(_xlfn.XLOOKUP(B312,'Base stats'!B:B,'Base stats'!AS:AS))*(AO312^0.75)+(_xlfn.XLOOKUP(B312,'Base stats'!B:B,'Base stats'!AS:AS)/1000)^(2/3)+_xlfn.XLOOKUP(B312,'Base stats'!B:B,'Base stats'!AY:AY)+_xlfn.XLOOKUP(B312,'Base stats'!B:B,'Base stats'!BA:BA))+0.5,0.5))</f>
        <v>3</v>
      </c>
      <c r="AJ312" s="7">
        <f>IF(AI312="No","No",MAX(_xlfn.XLOOKUP(_xlfn.XLOOKUP(B312,'Base stats'!B:B,'Base stats'!E:E),Groups!A:A,Groups!AE:AE),MROUND(_xlfn.XLOOKUP(_xlfn.XLOOKUP(B312,'Base stats'!B:B,'Base stats'!E:E),Groups!A:A,Groups!AE:AE)*IF(_xlfn.XLOOKUP(_xlfn.XLOOKUP(B312,'Base stats'!B:B,'Base stats'!E:E),Groups!A:A,Groups!AJ:AJ)="Photonozoa",0.6,1)*_xlfn.XLOOKUP(B312,'Base stats'!B:B,'Base stats'!C:C)^0.165,0.05)))</f>
        <v>0.8</v>
      </c>
      <c r="AK312" s="7" t="str">
        <f>IF(AI312="No","No",_xlfn.XLOOKUP(_xlfn.XLOOKUP(B312,'Base stats'!B:B,'Base stats'!E:E),Groups!A:A,Groups!AF:AF))</f>
        <v>FrontLeftPaw, FrontRightPaw</v>
      </c>
      <c r="AL312" s="7" t="str">
        <f>IF(AI312="No","No",_xlfn.XLOOKUP(_xlfn.XLOOKUP(B312,'Base stats'!B:B,'Base stats'!E:E),Groups!A:A,Groups!AG:AG))</f>
        <v>left claw, right claw</v>
      </c>
      <c r="AM312" s="7" t="str">
        <f>IF(AI312="No","No",_xlfn.XLOOKUP(_xlfn.XLOOKUP(B312,'Base stats'!B:B,'Base stats'!E:E),Groups!A:A,Groups!AH:AH))</f>
        <v>Scratch</v>
      </c>
      <c r="AN312" s="2">
        <f t="shared" si="28"/>
        <v>15</v>
      </c>
      <c r="AO312" s="2">
        <f>MROUND(IF(AND(_xlfn.XLOOKUP(B312,'Base stats'!B:B,'Base stats'!C:C)&gt;=0.5,_xlfn.XLOOKUP(B312,'Base stats'!B:B,'Base stats'!C:C)&lt;=0.8),
IF(_xlfn.XLOOKUP(B312,'Base stats'!B:B,'Base stats'!C:C)&lt;0.1,0.05,IF(_xlfn.XLOOKUP(B312,'Base stats'!B:B,'Base stats'!C:C)&lt;=70,(_xlfn.XLOOKUP(B312,'Base stats'!B:B,'Base stats'!C:C)/70)^0.426489913056526,IF(_xlfn.XLOOKUP(B312,'Base stats'!B:B,'Base stats'!C:C)&lt;=400,(_xlfn.XLOOKUP(B312,'Base stats'!B:B,'Base stats'!C:C)/70)^0.572811455315093,IF(_xlfn.XLOOKUP(B312,'Base stats'!B:B,'Base stats'!C:C)&lt;=2000,2.71391647193063*(_xlfn.XLOOKUP(B312,'Base stats'!B:B,'Base stats'!C:C)/400)^0.252459582904293,3.74314280240376*(_xlfn.XLOOKUP(B312,'Base stats'!B:B,'Base stats'!C:C)/2000)^0.357012633876913)))),
IF(_xlfn.XLOOKUP(B312,'Base stats'!B:B,'Base stats'!C:C)&lt;0.1,0.05,IF(_xlfn.XLOOKUP(B312,'Base stats'!B:B,'Base stats'!C:C)&lt;0.4,0.1,IF(_xlfn.XLOOKUP(B312,'Base stats'!B:B,'Base stats'!C:C)&lt;=70,(_xlfn.XLOOKUP(B312,'Base stats'!B:B,'Base stats'!C:C)/70)^0.445823913056526,IF(_xlfn.XLOOKUP(B312,'Base stats'!B:B,'Base stats'!C:C)&lt;=400,(_xlfn.XLOOKUP(B312,'Base stats'!B:B,'Base stats'!C:C)/70)^0.572811455315093,IF(_xlfn.XLOOKUP(B312,'Base stats'!B:B,'Base stats'!C:C)&lt;=2000,2.71391647193063*(_xlfn.XLOOKUP(B312,'Base stats'!B:B,'Base stats'!C:C)/400)^0.252459582904293,3.74314280240376*(_xlfn.XLOOKUP(B312,'Base stats'!B:B,'Base stats'!C:C)/2000)^0.357012633876913)))))),
IF(_xlfn.XLOOKUP(B312,'Base stats'!B:B,'Base stats'!C:C)&lt;0.1,0.05,IF(_xlfn.XLOOKUP(B312,'Base stats'!B:B,'Base stats'!C:C)&lt;=100,0.05,IF(_xlfn.XLOOKUP(B312,'Base stats'!B:B,'Base stats'!C:C)&lt;=250,0.1,IF(_xlfn.XLOOKUP(B312,'Base stats'!B:B,'Base stats'!C:C)&lt;=4000,0.25,0.5)))))</f>
        <v>0.30000000000000004</v>
      </c>
      <c r="AP312" s="8">
        <f>MROUND(AO312*_xlfn.XLOOKUP(_xlfn.XLOOKUP(B312,'Base stats'!B:B,'Base stats'!E:E),Groups!A:A,Groups!AI:AI)*_xlfn.XLOOKUP(B312,'Base stats'!B:B,'Base stats'!Z:Z),0.05)</f>
        <v>0.35000000000000003</v>
      </c>
      <c r="AQ312" s="8">
        <f>MAX(0.01,MROUND(IF(CC312="True",0.196*(AO312*100*1000)^0.889,IF(_xlfn.XLOOKUP(_xlfn.XLOOKUP(B312,'Base stats'!B:B,'Base stats'!E:E),Groups!A:A,Groups!AJ:AJ)="Bird",10.5*(AO312*100*1000)^0.681,4.82*(AO312*100*1000)^0.734))/(4.82*(1*100*1000)^0.734)/IF(AO312&lt;3.5,2,IF(AO312=3.5,1.5,1.25))*(1+0.132282374779864/(AO312^0.994035016789033+0.00905238001496948)),0.05))</f>
        <v>0.30000000000000004</v>
      </c>
      <c r="AR312" s="9">
        <f>IFERROR(MROUND(_xlfn.XLOOKUP(B312,'Base stats'!B:B,'Base stats'!H:H)/IF(_xlfn.XLOOKUP(B312,'Base stats'!B:B,'Base stats'!I:I)&lt;&gt;1,(122.5/70),1.2),IF(_xlfn.XLOOKUP(B312,'Base stats'!B:B,'Base stats'!H:H)&gt;=30,5,IF(_xlfn.XLOOKUP(B312,'Base stats'!B:B,'Base stats'!H:H)&gt;=15,3,IF(_xlfn.XLOOKUP(B312,'Base stats'!B:B,'Base stats'!H:H)&gt;=10,2,1)))),"Immortal")</f>
        <v>15</v>
      </c>
      <c r="AS312" s="35">
        <f>IFERROR(IF(OR(_xlfn.XLOOKUP(B312,'Base stats'!B:B,'Base stats'!F:F)="Atypical reproduction",_xlfn.XLOOKUP(B312,'Base stats'!B:B,'Base stats'!F:F)="Lay eggs"),"Lay eggs",MIN(20,MAX(5.5,ROUND(((_xlfn.XLOOKUP(B312,'Base stats'!B:B,'Base stats'!F:F)-25)*(14.5/615) + 5.5)*2,0)/2))),"Unknown")</f>
        <v>6.5</v>
      </c>
      <c r="AT312" s="8">
        <f>IF(_xlfn.XLOOKUP(B312,'Base stats'!B:B,'Base stats'!G:G)="Atypical reproduction","No",IFERROR(MAX(IF(_xlfn.XLOOKUP(B312,'Base stats'!B:B,'Base stats'!G:G)&lt;0.5,0.2,0.3),MROUND(_xlfn.XLOOKUP(B312,'Base stats'!B:B,'Base stats'!G:G)/(365/60),0.2)),"Unknown"))</f>
        <v>0.3</v>
      </c>
      <c r="AU312" s="8">
        <f t="shared" si="29"/>
        <v>0.15000000000000002</v>
      </c>
      <c r="AV312" s="8">
        <f>IFERROR(IFERROR(MROUND(_xlfn.XLOOKUP(B312,'Base stats'!B:B,'Base stats'!J:J),0.1),"Lay eggs"),"Cannot breed")</f>
        <v>4</v>
      </c>
      <c r="AW312" s="2" t="str">
        <f t="shared" si="30"/>
        <v>false</v>
      </c>
      <c r="AX312" s="2" t="str">
        <f>IF(_xlfn.XLOOKUP(_xlfn.XLOOKUP(Animals!B312,'Base stats'!B:B,'Base stats'!E:E),Groups!A:A,Groups!AK:AK)=1,"true","false")</f>
        <v>false</v>
      </c>
      <c r="AY312" s="25" t="str">
        <f>IF(_xlfn.XLOOKUP(B312,'Base stats'!B:B,'Base stats'!Y:Y)="Liquor","Liquor, CarnivoreAnimalStrict",IF(AND(_xlfn.XLOOKUP(B312,'Base stats'!B:B,'Base stats'!Y:Y)="Carnivore",_xlfn.XLOOKUP(_xlfn.XLOOKUP(B312,'Base stats'!B:B,'Base stats'!E:E),Groups!A:A,Groups!AJ:AJ)="Photonozoa"),"CarnivoreAnimalStrict, OvivoreAnimal",IF(_xlfn.XLOOKUP(B312,'Base stats'!B:B,'Base stats'!Y:Y)="Carnivore","CarnivoreAnimal, OvivoreAnimal",IF(_xlfn.XLOOKUP(B312,'Base stats'!B:B,'Base stats'!Y:Y)="Dendrovore","VegetarianRoughAnimal, DendrovoreAnimal",IF(_xlfn.XLOOKUP(B312,'Base stats'!B:B,'Base stats'!Y:Y)="Herbivore","VegetarianRoughAnimal",IF(_xlfn.XLOOKUP(B312,'Base stats'!B:B,'Base stats'!Y:Y)="OmnivoreRough","OmnivoreRoughAnimal, OvivoreAnimal","OmnivoreAnimal, OvivoreAnimal"))))))</f>
        <v>CarnivoreAnimal, OvivoreAnimal</v>
      </c>
      <c r="AZ312" s="2" t="str">
        <f>IF(_xlfn.XLOOKUP(_xlfn.XLOOKUP(B312,'Base stats'!B:B,'Base stats'!E:E),Groups!A:A,Groups!D:D)=1,MROUND((1-J312)*5+1,2)*IF(J312&lt;=0.4,2,1),"No")</f>
        <v>No</v>
      </c>
      <c r="BA312" s="2" t="str">
        <f>IF(AND(_xlfn.XLOOKUP(B312,'Base stats'!B:B,'Base stats'!AH:AH)="&lt;li&gt;Seal&lt;/li&gt;",G312="Odyssey"),"&lt;li&gt;AEXP_Seal&lt;/li&gt;",_xlfn.XLOOKUP(B312,'Base stats'!B:B,'Base stats'!AH:AH))</f>
        <v>&lt;li&gt;Cat&lt;/li&gt;</v>
      </c>
      <c r="BB312" s="2" t="str">
        <f>_xlfn.XLOOKUP(B312,'Base stats'!B:B,'Base stats'!AG:AG)</f>
        <v>Leather_Light</v>
      </c>
      <c r="BC312" s="23" t="str">
        <f>_xlfn.XLOOKUP(_xlfn.XLOOKUP(B312,'Base stats'!B:B,'Base stats'!E:E),Groups!A:A,Groups!AL:AL)</f>
        <v>QuadrupedAnimalWithPawsAndTail</v>
      </c>
      <c r="BD312" s="23">
        <f>MIN(1,MROUND(IF(AND(AO312&lt;0.5,_xlfn.XLOOKUP(B312,'Base stats'!B:B,'Base stats'!AA:AA)=0),0,IF(OR(_xlfn.XLOOKUP(Animals!B312,'Base stats'!B:B,'Base stats'!O:O)=2,_xlfn.XLOOKUP(_xlfn.XLOOKUP(B312,'Base stats'!B:B,'Base stats'!E:E),Groups!A:A,Groups!AN:AN)=0),0,_xlfn.XLOOKUP(_xlfn.XLOOKUP(B312,'Base stats'!B:B,'Base stats'!E:E),Groups!A:A,Groups!AN:AN)/IF(_xlfn.XLOOKUP(Animals!B312,'Base stats'!B:B,'Base stats'!O:O)=1,2,1)))+_xlfn.XLOOKUP(B312,'Base stats'!B:B,'Base stats'!AC:AC),0.005))</f>
        <v>0</v>
      </c>
      <c r="BE312" s="23">
        <f>MIN(1,MROUND(IF(AND(AO312&lt;0.5,_xlfn.XLOOKUP(B312,'Base stats'!B:B,'Base stats'!AA:AA)=0),0,IF(_xlfn.XLOOKUP(_xlfn.XLOOKUP(B312,'Base stats'!B:B,'Base stats'!E:E),Groups!A:A,Groups!AO:AO)=0,0,_xlfn.XLOOKUP(_xlfn.XLOOKUP(B312,'Base stats'!B:B,'Base stats'!E:E),Groups!A:A,Groups!AO:AO)/IF(_xlfn.XLOOKUP(Animals!B312,'Base stats'!B:B,'Base stats'!O:O)=2,3,1)))+_xlfn.XLOOKUP(B312,'Base stats'!B:B,'Base stats'!AD:AD),0.005))</f>
        <v>0</v>
      </c>
      <c r="BF312" s="2">
        <f>IF(J312&gt;0.3,"No",_xlfn.XLOOKUP(_xlfn.XLOOKUP(Animals!B312,'Base stats'!B:B,'Base stats'!E:E),Groups!A:A,Groups!AP:AP))</f>
        <v>1</v>
      </c>
      <c r="BG312" s="2">
        <f>IF(AND(J312&lt;=0.65,_xlfn.XLOOKUP(_xlfn.XLOOKUP(Animals!B312,'Base stats'!B:B,'Base stats'!E:E),Groups!A:A,Groups!AP:AP)&lt;&gt;"No",_xlfn.XLOOKUP(_xlfn.XLOOKUP(B312,'Base stats'!B:B,'Base stats'!E:E),Groups!A:A,Groups!D:D)=0),MROUND((80/3)*IF(_xlfn.XLOOKUP(B312,'Base stats'!B:B,'Base stats'!O:O)=2,0.2,AO312) + 24*(1-IF(BF312="No",0,BF312)) + 16/3, 12),"No")</f>
        <v>12</v>
      </c>
      <c r="BH312" s="2">
        <f>IF(AND(_xlfn.XLOOKUP(_xlfn.XLOOKUP(B312,'Base stats'!B:B,'Base stats'!E:E),Groups!A:A,Groups!AQ:AQ)=1,AO312&lt;=0.35),8,12)</f>
        <v>12</v>
      </c>
      <c r="BI312" s="2" t="str">
        <f>IF(_xlfn.XLOOKUP(_xlfn.XLOOKUP(B312,'Base stats'!B:B,'Base stats'!E:E),Groups!A:A,Groups!D:D)=0,_xlfn.XLOOKUP(_xlfn.XLOOKUP(B312,'Base stats'!B:B,'Base stats'!E:E),Groups!A:A,Groups!AR:AR),"None")</f>
        <v>Intermediate</v>
      </c>
      <c r="BJ312" s="2" t="str">
        <f>IF(AND(_xlfn.XLOOKUP(_xlfn.XLOOKUP(B312,'Base stats'!B:B,'Base stats'!E:E),Groups!A:A,Groups!AS:AS)=1,OR(_xlfn.XLOOKUP(B312,'Base stats'!B:B,'Base stats'!Y:Y)="Carnivore",_xlfn.XLOOKUP(B312,'Base stats'!B:B,'Base stats'!Y:Y)="Omnivore")),"true","false")</f>
        <v>true</v>
      </c>
      <c r="BK312" s="2">
        <f>IF(BJ312="true",MROUND(IF(AND(AO312&gt;0.5,OR(_xlfn.XLOOKUP(_xlfn.XLOOKUP(B312,'Base stats'!B:B,'Base stats'!E:E),Groups!A:A,Groups!AJ:AJ)="Photonozoa",_xlfn.XLOOKUP(_xlfn.XLOOKUP(B312,'Base stats'!B:B,'Base stats'!E:E),Groups!A:A,Groups!AJ:AJ)="Mammal")),Animals!AO312*1.75*IF(AW312="true",1.5,1),IF(AO312&lt;0.5,Animals!AO312*0.5,Animals!AO312)),IF(AO312&gt;2,0.5,IF(AO312&gt;0.5,0.25,0.1))),"No")</f>
        <v>0.2</v>
      </c>
      <c r="BL312" s="2">
        <f t="shared" si="31"/>
        <v>1</v>
      </c>
      <c r="BM312" s="25" t="str">
        <f>IF(_xlfn.XLOOKUP(B312,'Base stats'!B:B,'Base stats'!AN:AN)="Standard","No",MROUND((_xlfn.XLOOKUP(B312,'Base stats'!B:B,'Base stats'!AN:AN)/3.6)/I312,0.1))</f>
        <v>No</v>
      </c>
      <c r="BN312" s="25" t="str">
        <f t="shared" si="32"/>
        <v>false</v>
      </c>
      <c r="BO312" s="25" t="str">
        <f>IF(AND(OR(_xlfn.XLOOKUP(B312,'Base stats'!B:B,'Base stats'!Y:Y)="Carnivore",_xlfn.XLOOKUP(B312,'Base stats'!B:B,'Base stats'!Y:Y)="Omnivore",_xlfn.XLOOKUP(B312,'Base stats'!B:B,'Base stats'!Y:Y)="OmnivoreRough"),_xlfn.XLOOKUP(_xlfn.XLOOKUP(B312,'Base stats'!B:B,'Base stats'!E:E),Groups!A:A,Groups!AT:AT)=1),"true","false")</f>
        <v>false</v>
      </c>
      <c r="BP312" s="25" t="str" cm="1">
        <f t="array" ref="BP312">IF(
  _xlfn.TEXTJOIN(", ",TRUE,
    IF(AND(BJ312="true",AO312&gt;0.5,BI312&lt;&gt;"None"),"AttackTarget",""),
    IF(AND(_xlfn.XLOOKUP(_xlfn.XLOOKUP(B312,'Base stats'!B:B,'Base stats'!E:E),Groups!A:A,Groups!AJ:AJ="Mammal"),OR(_xlfn.XLOOKUP(B312,'Base stats'!B:B,'Base stats'!Y:Y)="Omnivore",_xlfn.XLOOKUP(B312,'Base stats'!B:B,'Base stats'!Y:Y)="OmnivoreRough")),"Forage",""),
    IF(BG312&lt;=36,"Comfort",""),
    IF(_xlfn.XLOOKUP(B312,'Base stats'!B:B,'Base stats'!AE:AE)&lt;&gt;"No",_xlfn.XLOOKUP(B312,'Base stats'!B:B,'Base stats'!AE:AE),"")
  ) = "",
  "No",
  _xlfn.TEXTJOIN(", ",TRUE,
    IF(AND(BJ312="true",AO312&gt;0.5,BI312&lt;&gt;"None"),"AttackTarget",""),
    IF(AND(_xlfn.XLOOKUP(_xlfn.XLOOKUP(B312,'Base stats'!B:B,'Base stats'!E:E),Groups!A:A,Groups!AJ:AJ="Mammal"),OR(_xlfn.XLOOKUP(B312,'Base stats'!B:B,'Base stats'!Y:Y)="Omnivore",_xlfn.XLOOKUP(B312,'Base stats'!B:B,'Base stats'!Y:Y)="OmnivoreRough")),"Forage",""),
    IF(BG312&lt;=36,"Comfort",""),
    IF(_xlfn.XLOOKUP(B312,'Base stats'!B:B,'Base stats'!AE:AE)&lt;&gt;"No",_xlfn.XLOOKUP(B312,'Base stats'!B:B,'Base stats'!AE:AE),"")
  )
)</f>
        <v>Comfort</v>
      </c>
      <c r="BQ312" s="25" t="str">
        <f>IF(
   AND(
      'Base stats'!AN312="Standard",_xlfn.XLOOKUP(_xlfn.XLOOKUP(B312,'Base stats'!B:B,'Base stats'!E:E),Groups!A:A,Groups!AU:AU)=0,
      OR(
      BO312="True"
      )
   ),
   10,
   IF(
       OR(BM312&lt;&gt;"No",_xlfn.XLOOKUP(_xlfn.XLOOKUP(B312,'Base stats'!B:B,'Base stats'!E:E),Groups!A:A,Groups!AU:AU)=1),
      1,
      "No"
   )
)</f>
        <v>No</v>
      </c>
      <c r="BR312" s="9">
        <f>MROUND((1 + ((0.2*IF(OR(Q312="No",R312="No",R312=0),0,Q312/R312)
+IF(OR(V312="No",S312="No",T312="No"),0,S312/T312*(LEN(V312)-LEN(SUBSTITUTE(V312,",",""))+1))
+IF(OR(X312="No",Y312="No"),0,X312/Y312)
+IF(OR(AD312="No",AE312="No"),0,AD312/AE312)
+IF(OR(AL312="No",AI312="No",AJ312="No"),0,AI312/AJ312*(LEN(AL312)-LEN(SUBSTITUTE(AL312,",",""))+1))
)/(0.2*IF(OR(Q312="No",R312="No",R312=0),0,1)
+IF(OR(V312="No",S312="No",T312="No"),0,LEN(V312)-LEN(SUBSTITUTE(V312,",",""))+1)
+IF(OR(X312="No",Y312="No"),0,1)
+IF(OR(AD312="No",AE312="No"),0,1)
+IF(OR(AL312="No",AI312="No",AJ312="No"),0,LEN(AL312)-LEN(SUBSTITUTE(AL312,",",""))+1))*62%)* 2)*(1 + (AP312 / (IF(_xlfn.XLOOKUP(_xlfn.XLOOKUP(B312,'Base stats'!B:B,'Base stats'!E:E),Groups!A:A,Groups!AJ:AJ)="Photonozoa",0.3,1)) + _xlfn.XLOOKUP(B312,'Base stats'!B:B,'Base stats'!AV:AV) * 1.8) * 2) * 2.5 + 10 + I312 * 2,5)+IF(_xlfn.XLOOKUP(B312,'Base stats'!B:B,'Base stats'!AK:AK)=1,50,0)</f>
        <v>45</v>
      </c>
      <c r="BS312" s="8">
        <f t="shared" si="33"/>
        <v>0.30000000000000004</v>
      </c>
      <c r="BT312" s="8" t="str">
        <f>_xlfn.XLOOKUP(B312,'Base stats'!B:B,'Base stats'!AF:AF)</f>
        <v>No</v>
      </c>
      <c r="BU312" s="2" t="str">
        <f>IF(AND(J312&lt;=0.95,OR(_xlfn.XLOOKUP(B312,'Base stats'!B:B,'Base stats'!AK:AK)=1,_xlfn.XLOOKUP(B312,'Base stats'!B:B,'Base stats'!Y:Y)="Carnivore",_xlfn.XLOOKUP(B312,'Base stats'!B:B,'Base stats'!Y:Y)="Omnivore",BE312&gt;0.1)),"true","false")</f>
        <v>true</v>
      </c>
      <c r="BV312" s="2" t="str">
        <f>IF(_xlfn.XLOOKUP(B312,'Base stats'!B:B,'Base stats'!AI:AI)=1,"true","false")</f>
        <v>false</v>
      </c>
      <c r="BW312" s="25" t="str">
        <f>IF(E312="BaseInsect","AnimalInsect",
IF(J312&gt;0.95,"AnimalExotic",
_xlfn.TEXTJOIN(", ",TRUE,
IF(OR(_xlfn.XLOOKUP(B312,'Base stats'!B:B,'Base stats'!AM:AM)=1,AND(_xlfn.XLOOKUP(B312,'Base stats'!B:B,'Base stats'!O:O)=0,_xlfn.XLOOKUP(_xlfn.XLOOKUP(B312,'Base stats'!B:B,'Base stats'!E:E),Groups!A:A,Groups!B:B)&gt;0)),"AnimalUncommon","AnimalCommon"),
IF(AND(_xlfn.XLOOKUP(B312,'Base stats'!B:B,'Base stats'!O:O)=2,_xlfn.XLOOKUP(_xlfn.XLOOKUP(B312,'Base stats'!B:B,'Base stats'!E:E),Groups!A:A,Groups!D:D)=0),"AnimalPet",IF(AND(_xlfn.XLOOKUP(B312,'Base stats'!B:B,'Base stats'!O:O)&lt;&gt;0,_xlfn.XLOOKUP(_xlfn.XLOOKUP(B312,'Base stats'!B:B,'Base stats'!E:E),Groups!A:A,Groups!D:D)&lt;&gt;0),"AnimalFarm","")),
IF(OR(_xlfn.XLOOKUP(B312,'Base stats'!B:B,'Base stats'!AK:AK)=1,AND(BI312&lt;&gt;"None",BR312&gt;=60),ISNUMBER(SEARCH("Attack target",BP312))),"AnimalFighter","")
)))</f>
        <v>AnimalUncommon, AnimalPet</v>
      </c>
      <c r="BX312" s="25" t="str">
        <f>IF(G312="None",TRIM(
SUBSTITUTE(
IF(COUNTIF(Biomes!B$2:B$259,"="&amp;$C312)&gt;0,Biomes!B$1&amp;", ","")&amp;
IF(COUNTIF(Biomes!C$2:C$259,"="&amp;$C312)&gt;0,Biomes!C$1&amp;", ","")&amp;
IF(COUNTIF(Biomes!D$2:D$259,"="&amp;$C312)&gt;0,Biomes!D$1&amp;", ","")&amp;
IF(COUNTIF(Biomes!F$2:F$259,"="&amp;$C312)&gt;0,Biomes!F$1&amp;", ","")&amp;
IF(COUNTIF(Biomes!G$2:G$259,"="&amp;$C312)&gt;0,Biomes!G$1&amp;", ","")&amp;
IF(COUNTIF(Biomes!H$2:H$259,"="&amp;$C312)&gt;0,Biomes!H$1&amp;", ","")&amp;
IF(COUNTIF(Biomes!I$2:I$259,"="&amp;$C312)&gt;0,Biomes!I$1&amp;", ","")&amp;
IF(COUNTIF(Biomes!J$2:J$259,"="&amp;$C312)&gt;0,Biomes!J$1&amp;", ","")&amp;
IF(COUNTIF(Biomes!M$2:M$259,"="&amp;$C312)&gt;0,Biomes!M$1&amp;", ","")&amp;
IF(COUNTIF(Biomes!N$2:N$259,"="&amp;$C312)&gt;0,Biomes!N$1&amp;", ","")&amp;
IF(COUNTIF(Biomes!O$2:O$259,"="&amp;$C312)&gt;0,Biomes!O$1&amp;", ","")&amp;
IF(COUNTIF(Biomes!P$2:P$259,"="&amp;$C312)&gt;0,Biomes!P$1&amp;", ","")&amp;
IF(COUNTIF(Biomes!K$2:K$259,"="&amp;$C312)&gt;0,Biomes!K$1&amp;", ","")&amp;
IF(COUNTIF(Biomes!Q$3:Q$259,"="&amp;$C312)&gt;0,Biomes!Q$1&amp;", ","")&amp;
IF(COUNTIF(Biomes!L$2:L$259,"="&amp;$C312)&gt;0,Biomes!L$1&amp;", ","")&amp;
IF(COUNTIF(Biomes!E$2:E$259,"="&amp;$C312)&gt;0,Biomes!E$1&amp;", ","")&amp;IF(COUNTIF(Biomes!S$2:S$259,"="&amp;$C312)&gt;0,Biomes!S$1&amp;", ","")&amp;
IF(COUNTIF(Biomes!R$2:R$259,"="&amp;$C312)&gt;0,Biomes!R$1&amp;", ",""),", ","")
),_xlfn.XLOOKUP(B312,B:B,BX:BX))</f>
        <v/>
      </c>
      <c r="BY312" s="25" t="str">
        <f>IF(_xlfn.XLOOKUP(B312,'Base stats'!B:B,'Base stats'!AJ:AJ)=1,"true","false")</f>
        <v>false</v>
      </c>
      <c r="BZ312" s="25">
        <f>IF(_xlfn.XLOOKUP(B312,'Base stats'!B:B,'Base stats'!N:N)=1,"No",MAX(0.001,MIN(MROUND(IF(AND(BJ312="True",CC312="False"),POWER(10,3.47*LOG10(_xlfn.XLOOKUP(B312,'Base stats'!B:B,'Base stats'!C:C)*1000)^-0.96),POWER(10,4.15*LOG10(_xlfn.XLOOKUP(B312,'Base stats'!B:B,'Base stats'!C:C)*1000)^-0.73))*IF(_xlfn.XLOOKUP(B312,'Base stats'!B:B,'Base stats'!AK:AK)=1,0.5,1)*IF(_xlfn.XLOOKUP(B312,'Base stats'!B:B,'Base stats'!AM:AM)=1,0.1,1)/100,IF(_xlfn.XLOOKUP(B312,'Base stats'!B:B,'Base stats'!AM:AM)=1,0.001,0.025)),0.5)))</f>
        <v>0.01</v>
      </c>
      <c r="CA312" s="25" t="str">
        <f>IF(P312="Standard","No",MAX(0.001,MIN(MROUND(IF(AND(BJ312="True",CC312="False"),POWER(10,3.47*LOG10(_xlfn.XLOOKUP(B312,'Base stats'!B:B,'Base stats'!C:C)*1000)^-0.96),POWER(10,4.15*LOG10(_xlfn.XLOOKUP(B312,'Base stats'!B:B,'Base stats'!C:C)*1000)^-0.73))*IF(_xlfn.XLOOKUP(B312,'Base stats'!B:B,'Base stats'!AM:AM)=1,0.1,1)*_xlfn.XLOOKUP(B312,'Base stats'!B:B,'Base stats'!R:R)/100,IF(_xlfn.XLOOKUP(B312,'Base stats'!B:B,'Base stats'!AM:AM)=1,0.001,0.025)),0.5)))</f>
        <v>No</v>
      </c>
      <c r="CB312" s="25" t="str">
        <f>IF(_xlfn.XLOOKUP(_xlfn.XLOOKUP(B312,'Base stats'!B:B,'Base stats'!E:E),Groups!A:A,Groups!AJ:AJ)="Mammal","True","False")</f>
        <v>True</v>
      </c>
      <c r="CC312" s="25" t="str">
        <f>IF(OR(_xlfn.XLOOKUP(_xlfn.XLOOKUP(B312,'Base stats'!B:B,'Base stats'!E:E),Groups!A:A,Groups!AJ:AJ)="Reptile",_xlfn.XLOOKUP(_xlfn.XLOOKUP(B312,'Base stats'!B:B,'Base stats'!E:E),Groups!A:A,Groups!AJ:AJ)="Amphibian",_xlfn.XLOOKUP(_xlfn.XLOOKUP(B312,'Base stats'!B:B,'Base stats'!E:E),Groups!A:A,Groups!AJ:AJ)="Invertebrate"),"True","False")</f>
        <v>False</v>
      </c>
      <c r="CD312" s="25" t="str">
        <f t="shared" si="34"/>
        <v>False</v>
      </c>
      <c r="CE312" s="25" t="str">
        <f>IF(_xlfn.XLOOKUP(_xlfn.XLOOKUP(B312,'Base stats'!B:B,'Base stats'!E:E),Groups!A:A,Groups!AX:AX),"True","False")</f>
        <v>False</v>
      </c>
      <c r="CF312" s="25" t="str">
        <f>IF(_xlfn.XLOOKUP(_xlfn.XLOOKUP(B312,'Base stats'!B:B,'Base stats'!E:E),Groups!A:A,Groups!AY:AY),"True","False")</f>
        <v>False</v>
      </c>
      <c r="CG312" s="25" t="str">
        <f>IF(_xlfn.XLOOKUP(_xlfn.XLOOKUP(B312,'Base stats'!B:B,'Base stats'!E:E),Groups!A:A,Groups!AW:AW),"True","False")</f>
        <v>False</v>
      </c>
      <c r="CH312" s="25" t="str">
        <f>IF(
OR(
_xlfn.XLOOKUP(_xlfn.XLOOKUP(B312,'Base stats'!B:B,'Base stats'!E:E),Groups!A:A,Groups!AZ:AZ)=0,
AND(
_xlfn.XLOOKUP(B312,'Base stats'!B:B,'Base stats'!Y:Y)&lt;&gt;"Carnivore",
_xlfn.XLOOKUP(B312,'Base stats'!B:B,'Base stats'!Y:Y)&lt;&gt;"Omnivore",
_xlfn.XLOOKUP(B312,'Base stats'!B:B,'Base stats'!Y:Y)&lt;&gt;"OmnivoreRough"
)
),
"No",
IF(
_xlfn.XLOOKUP(_xlfn.XLOOKUP(B312,'Base stats'!B:B,'Base stats'!E:E),Groups!A:A,Groups!AZ:AZ)=1,
"Flesh",
IF(
_xlfn.XLOOKUP(_xlfn.XLOOKUP(B312,'Base stats'!B:B,'Base stats'!E:E),Groups!A:A,Groups!AZ:AZ)=2,
"Bone",
""
)
)
)</f>
        <v>No</v>
      </c>
      <c r="CI312" s="25" t="str">
        <f>IF(_xlfn.XLOOKUP(_xlfn.XLOOKUP(B312,'Base stats'!B:B,'Base stats'!E:E),Groups!A:A,Groups!BB:BB),"True","False")</f>
        <v>True</v>
      </c>
      <c r="CJ312" s="25" t="str">
        <f>IF(_xlfn.XLOOKUP(_xlfn.XLOOKUP(B312,'Base stats'!B:B,'Base stats'!E:E),Groups!A:A,Groups!BA:BA),"True","False")</f>
        <v>False</v>
      </c>
    </row>
    <row r="313" spans="1:88" ht="16.5" thickTop="1" thickBot="1" x14ac:dyDescent="0.3">
      <c r="A313" s="26" t="s">
        <v>1538</v>
      </c>
      <c r="B313" s="6" t="str">
        <f>_xlfn.XLOOKUP(A313,'Base stats'!A:A,'Base stats'!B:B)</f>
        <v>Plasmodium morphicus</v>
      </c>
      <c r="C313" s="28" t="s">
        <v>1539</v>
      </c>
      <c r="D313" s="28" t="s">
        <v>1341</v>
      </c>
      <c r="E313" s="28" t="s">
        <v>673</v>
      </c>
      <c r="F313" s="28" t="s">
        <v>673</v>
      </c>
      <c r="G313" s="28" t="s">
        <v>673</v>
      </c>
      <c r="H313" s="2">
        <f>MROUND((
  (IF(AND(_xlfn.XLOOKUP(B313,'Base stats'!B:B,'Base stats'!AL:AL)=0,BI313="None",_xlfn.XLOOKUP(_xlfn.XLOOKUP(B313,'Base stats'!B:B,'Base stats'!E:E),Groups!A:A,Groups!B:B)=0), (18 + BR313 * 2.7) * 0.5,
    IF(AND(_xlfn.XLOOKUP(B313,'Base stats'!B:B,'Base stats'!AL:AL)=0,OR(AO313&lt;0.55,AND(BI313="Intermediate",_xlfn.XLOOKUP(_xlfn.XLOOKUP(B313,'Base stats'!B:B,'Base stats'!E:E),Groups!A:A,Groups!B:B)&lt;2))), (18 + BR313 * 2.7),
      IF(OR(BI313="Advanced",_xlfn.XLOOKUP(B313,'Base stats'!B:B,'Base stats'!AL:AL)=1,_xlfn.XLOOKUP(_xlfn.XLOOKUP(B313,'Base stats'!B:B,'Base stats'!E:E),Groups!A:A,Groups!B:B)=2), (18 + BR313 * 2.7) + 250, (18 + BR313 * 2.7))
    )
  ))
  + AO313 * 80
  + IF(COUNTIF(EggMilk!K$2:K$998, A313) &gt; 0, 125, 0)
  + IF(COUNTIF(EggMilk!P$2:P$998, A313) &gt; 0, 90, 0)
  + IF(COUNTIF(EggMilk!A$2:A$998, A313) &gt; 0, 90, 0)
)
* (0.8 + 0.4 * J313)
* 0.75,25)</f>
        <v>75</v>
      </c>
      <c r="I313" s="2">
        <f>MROUND(ROUNDDOWN(_xlfn.XLOOKUP(B313,'Base stats'!B:B,'Base stats'!L:L)/3.6/(23.3/11),1),0.5)</f>
        <v>0.5</v>
      </c>
      <c r="J313" s="2">
        <f>IF(OR(_xlfn.XLOOKUP(B313,'Base stats'!B:B,'Base stats'!AB:AB)=1,_xlfn.XLOOKUP(_xlfn.XLOOKUP(B313,'Base stats'!B:B,'Base stats'!E:E),Groups!A:A,Groups!C:C)="Untamable"),1,IF(_xlfn.XLOOKUP(B313,'Base stats'!B:B,'Base stats'!AL:AL)=1,0.99,MIN(MROUND((1-0.6282*EXP(-0.459*AO313))*_xlfn.XLOOKUP(_xlfn.XLOOKUP(B313,'Base stats'!B:B,'Base stats'!E:E),Groups!A:A,Groups!C:C)*IF(_xlfn.XLOOKUP(B313,'Base stats'!B:B,'Base stats'!O:O)=1,0.5,IF(_xlfn.XLOOKUP(B313,'Base stats'!B:B,'Base stats'!O:O)=2,0,1)),0.05),IF(AO313&gt;3.5,0.985,0.95))))</f>
        <v>0.5</v>
      </c>
      <c r="K313" s="2">
        <f>ROUNDUP(AO313*_xlfn.XLOOKUP(_xlfn.XLOOKUP(B313,'Base stats'!B:B,'Base stats'!E:E),Groups!A:A,Groups!E:E),0)</f>
        <v>7</v>
      </c>
      <c r="L313" s="2">
        <f>IF(OR(_xlfn.XLOOKUP(_xlfn.XLOOKUP(B313,'Base stats'!B:B,'Base stats'!E:E),Groups!A:A,Groups!F:F)=2,ISNUMBER(SEARCH("SeaIce",BX313)),ISNUMBER(SEARCH("IceSheet",BX313))),-50,IF(OR(ISNUMBER(SEARCH("GlacialPlain",BX313)),ISNUMBER(SEARCH("Tundra",BX313))),-40,IF(OR(ISNUMBER(SEARCH("Alpine",BX313)),ISNUMBER(SEARCH("BorealForest",BX313)),ISNUMBER(SEARCH("ColdBog",BX313))),-30,IF(OR(ISNUMBER(SEARCH("TemperateForest",BX313)),ISNUMBER(SEARCH("TemperateSwamp",BX313))),-20,IF(_xlfn.XLOOKUP(_xlfn.XLOOKUP(B313,'Base stats'!B:B,'Base stats'!E:E),Groups!A:A,Groups!F:F)=1,-15,IF(OR(ISNUMBER(SEARCH("Desert",BX313)),ISNUMBER(SEARCH("ExtremeDesert",BX313))),-10,IF(OR(ISNUMBER(SEARCH("Grasslands",BX313)),ISNUMBER(SEARCH("TropicalRainforest",BX313)),ISNUMBER(SEARCH("TropicalSwamp",BX313))),10,0)))))))-IF(CC313="False",MIN(IFERROR(MAX(MROUND(LOG10(_xlfn.XLOOKUP(B313,'Base stats'!B:B,'Base stats'!C:C)^(2/3))*10,5),5),5),30))-_xlfn.XLOOKUP(B313,'Base stats'!B:B,'Base stats'!P:P)+IF(CC313="True",5,0)</f>
        <v>15</v>
      </c>
      <c r="M313" s="2">
        <f>IF(OR(_xlfn.XLOOKUP(_xlfn.XLOOKUP(B313,'Base stats'!B:B,'Base stats'!E:E),Groups!A:A,Groups!G:G)=2,ISNUMBER(SEARCH("Desert",BX313)),ISNUMBER(SEARCH("ExtremeDesert",BX313)),ISNUMBER(SEARCH("LavaField",BX313))),50,IF(ISNUMBER(SEARCH("Grasslands",BX313)),45,IF(OR(_xlfn.XLOOKUP(_xlfn.XLOOKUP(B313,'Base stats'!B:B,'Base stats'!E:E),Groups!A:A,Groups!G:G)=1,ISNUMBER(SEARCH("TropicalRainforest",BX313)),ISNUMBER(SEARCH("TropicalSwamp",BX313))),40,IF(OR(ISNUMBER(SEARCH("TemperateForest",BX313)),ISNUMBER(SEARCH("TemperateSwamp",BX313))),35,IF(OR(ISNUMBER(SEARCH("Alpine",BX313)),ISNUMBER(SEARCH("BorealForest",BX313)),ISNUMBER(SEARCH("ColdBog",BX313))),30,IF(ISNUMBER(OR(ISNUMBER(SEARCH("GlacialPlain",BX313)),SEARCH("Tundra",BX313))),25,IF(OR(ISNUMBER(SEARCH("SeaIce",BX313)),ISNUMBER(SEARCH("IceSheet",BX313)),ISNUMBER(SEARCH("TropicalSwamp",BX313))),10,35)))))))+_xlfn.XLOOKUP(B313,'Base stats'!B:B,'Base stats'!Q:Q)</f>
        <v>40</v>
      </c>
      <c r="N313" s="8">
        <f>IF(
_xlfn.XLOOKUP(
_xlfn.XLOOKUP(B313,'Base stats'!B:B,'Base stats'!E:E),
Groups!A:A,
Groups!L:L
)=1,
MIN(
MROUND(
IF(
_xlfn.XLOOKUP(B313,'Animals CE'!B:B,'Animals CE'!Z:Z)&lt;=1.5,
_xlfn.XLOOKUP(B313,'Animals CE'!B:B,'Animals CE'!Z:Z)/2+0.05,
0.8+
(_xlfn.XLOOKUP(B313,'Animals CE'!B:B,'Animals CE'!Z:Z)-1.5)
*0.02
),
0.05
),
200%
),
"No"
)</f>
        <v>0.45</v>
      </c>
      <c r="O313" s="8">
        <f>IF(
_xlfn.XLOOKUP(
_xlfn.XLOOKUP(B313,'Base stats'!B:B,'Base stats'!E:E),
Groups!A:A,
Groups!L:L
)=1,
MIN(
MROUND(
IF(
_xlfn.XLOOKUP(B313,'Animals CE'!B:B,'Animals CE'!AA:AA)&lt;=1.5,
_xlfn.XLOOKUP(B313,'Animals CE'!B:B,'Animals CE'!AA:AA)/2+0.05,
0.8+
(_xlfn.XLOOKUP(B313,'Animals CE'!B:B,'Animals CE'!AA:AA)-1.5)
*0.02
),
0.05
),
200%
),
"No"
)</f>
        <v>0.05</v>
      </c>
      <c r="P313" s="2" t="str">
        <f>_xlfn.XLOOKUP(B313,'Base stats'!B:B,'Base stats'!R:R)</f>
        <v>Standard</v>
      </c>
      <c r="Q313" s="13">
        <f>MROUND((LOG10(_xlfn.XLOOKUP(B313,'Base stats'!B:B,'Base stats'!AR:AR))*(AO313^0.5)+(_xlfn.XLOOKUP(B313,'Base stats'!B:B,'Base stats'!AR:AR)/1000)^(2/3)+_xlfn.XLOOKUP(B313,'Base stats'!B:B,'Base stats'!BA:BA)/2)+0.5,0.5)</f>
        <v>4.5</v>
      </c>
      <c r="R313" s="7">
        <f>IF(Q313="No","No",MAX(1,MROUND(_xlfn.XLOOKUP(B313,'Base stats'!B:B,'Base stats'!C:C)^0.165,0.05)))</f>
        <v>1.6500000000000001</v>
      </c>
      <c r="S313" s="13" t="str">
        <f>IF(_xlfn.XLOOKUP(_xlfn.XLOOKUP(B313,'Base stats'!B:B,'Base stats'!E:E),Groups!A:A,Groups!P:P)=0,"No",MROUND((LOG10(_xlfn.XLOOKUP(B313,'Base stats'!B:B,'Base stats'!AS:AS))*(AO313^0.5)+(_xlfn.XLOOKUP(B313,'Base stats'!B:B,'Base stats'!AS:AS)/1000)^(2/3)+_xlfn.XLOOKUP(B313,'Base stats'!B:B,'Base stats'!BA:BA))+_xlfn.XLOOKUP(B313,'Base stats'!B:B,'Base stats'!AY:AY)+0.5,0.5))</f>
        <v>No</v>
      </c>
      <c r="T313" s="7" t="str">
        <f>IF(S313="No","No",MAX(_xlfn.XLOOKUP(_xlfn.XLOOKUP(B313,'Base stats'!B:B,'Base stats'!E:E),Groups!A:A,Groups!Q:Q),MROUND(_xlfn.XLOOKUP(_xlfn.XLOOKUP(B313,'Base stats'!B:B,'Base stats'!E:E),Groups!A:A,Groups!Q:Q)*_xlfn.XLOOKUP(B313,'Base stats'!B:B,'Base stats'!C:C)^0.165,0.05)))</f>
        <v>No</v>
      </c>
      <c r="U313" s="7" t="str">
        <f>IF(S313="No","No",_xlfn.XLOOKUP(_xlfn.XLOOKUP(B313,'Base stats'!B:B,'Base stats'!E:E),Groups!A:A,Groups!R:R))</f>
        <v>No</v>
      </c>
      <c r="V313" s="7" t="str">
        <f>IF(S313="No","No",_xlfn.XLOOKUP(_xlfn.XLOOKUP(B313,'Base stats'!B:B,'Base stats'!E:E),Groups!A:A,Groups!S:S))</f>
        <v>No</v>
      </c>
      <c r="W313" s="7" t="str">
        <f>IF(S313="No","No",_xlfn.XLOOKUP(_xlfn.XLOOKUP(B313,'Base stats'!B:B,'Base stats'!E:E),Groups!A:A,Groups!T:T))</f>
        <v>No</v>
      </c>
      <c r="X313" s="13" t="str">
        <f>IF(_xlfn.XLOOKUP(B313,'Base stats'!B:B,'Base stats'!W:W)="No","No",MROUND((LOG10(_xlfn.XLOOKUP(B313,'Base stats'!B:B,'Base stats'!AU:AU))*(AO313^0.5)+(_xlfn.XLOOKUP(B313,'Base stats'!B:B,'Base stats'!AU:AU)/1000)^(2/3)+_xlfn.XLOOKUP(B313,'Base stats'!B:B,'Base stats'!AZ:AZ))+0.5+IF(_xlfn.XLOOKUP(_xlfn.XLOOKUP(B313,'Base stats'!B:B,'Base stats'!E:E),Groups!A:A,Groups!U:U)&lt;&gt;3,_xlfn.XLOOKUP(B313,'Base stats'!B:B,'Base stats'!BA:BA),0),0.5))</f>
        <v>No</v>
      </c>
      <c r="Y313" s="7" t="str">
        <f>IF(X313="No","No",MAX(_xlfn.XLOOKUP(_xlfn.XLOOKUP(B313,'Base stats'!B:B,'Base stats'!E:E),Groups!A:A,Groups!V:V),MROUND(_xlfn.XLOOKUP(_xlfn.XLOOKUP(B313,'Base stats'!B:B,'Base stats'!E:E),Groups!A:A,Groups!V:V)*_xlfn.XLOOKUP(B313,'Base stats'!B:B,'Base stats'!C:C)^0.165,0.05)))</f>
        <v>No</v>
      </c>
      <c r="Z313" s="7" t="str">
        <f>IF(X313="No","No",_xlfn.XLOOKUP(_xlfn.XLOOKUP(B313,'Base stats'!B:B,'Base stats'!E:E),Groups!A:A,Groups!W:W))</f>
        <v>No</v>
      </c>
      <c r="AA313" s="7" t="str">
        <f>IF(X313="No","No",_xlfn.XLOOKUP(_xlfn.XLOOKUP(B313,'Base stats'!B:B,'Base stats'!E:E),Groups!A:A,Groups!X:X))</f>
        <v>No</v>
      </c>
      <c r="AB313" s="7" t="str">
        <f>IF(X313="No","No",_xlfn.XLOOKUP(_xlfn.XLOOKUP(B313,'Base stats'!B:B,'Base stats'!E:E),Groups!A:A,Groups!Y:Y))</f>
        <v>No</v>
      </c>
      <c r="AC313" s="7" t="str">
        <f>_xlfn.XLOOKUP(Animals!B313,'Base stats'!B:B,'Base stats'!X:X)</f>
        <v>False</v>
      </c>
      <c r="AD313" s="13">
        <f>IF(_xlfn.XLOOKUP(B313,'Base stats'!B:B,'Base stats'!AT:AT)="No","No",MROUND((LOG10(_xlfn.XLOOKUP(B313,'Base stats'!B:B,'Base stats'!AT:AT))*(AO313^0.75)+(_xlfn.XLOOKUP(B313,'Base stats'!B:B,'Base stats'!AT:AT)/1000)^(2/3)+_xlfn.XLOOKUP(B313,'Base stats'!B:B,'Base stats'!AX:AX)+_xlfn.XLOOKUP(B313,'Base stats'!B:B,'Base stats'!BA:BA))+0.5,0.5))</f>
        <v>5</v>
      </c>
      <c r="AE313" s="7">
        <f>IF(AD313="No","No",MAX(_xlfn.XLOOKUP(_xlfn.XLOOKUP(B313,'Base stats'!B:B,'Base stats'!E:E),Groups!A:A,Groups!Z:Z),MROUND(_xlfn.XLOOKUP(_xlfn.XLOOKUP(B313,'Base stats'!B:B,'Base stats'!E:E),Groups!A:A,Groups!Z:Z)*_xlfn.XLOOKUP(B313,'Base stats'!B:B,'Base stats'!C:C)^0.165,0.05)))</f>
        <v>1.6500000000000001</v>
      </c>
      <c r="AF313" s="7" t="str">
        <f>IF(AD313="No","No",_xlfn.XLOOKUP(_xlfn.XLOOKUP(B313,'Base stats'!B:B,'Base stats'!E:E),Groups!A:A,Groups!AA:AA))</f>
        <v>Mouth</v>
      </c>
      <c r="AG313" s="7" t="str">
        <f>IF(AD313="No","No",_xlfn.XLOOKUP(_xlfn.XLOOKUP(B313,'Base stats'!B:B,'Base stats'!E:E),Groups!A:A,Groups!AB:AB))</f>
        <v>radula</v>
      </c>
      <c r="AH313" s="7" t="str">
        <f>IF(AD313="No","No",_xlfn.XLOOKUP(_xlfn.XLOOKUP(B313,'Base stats'!B:B,'Base stats'!E:E),Groups!A:A,Groups!AC:AC))</f>
        <v>Bite</v>
      </c>
      <c r="AI313" s="13" t="str">
        <f>IF(_xlfn.XLOOKUP(_xlfn.XLOOKUP(B313,'Base stats'!B:B,'Base stats'!E:E),Groups!A:A,Groups!AD:AD)=0,"No",MROUND((LOG10(_xlfn.XLOOKUP(B313,'Base stats'!B:B,'Base stats'!AS:AS))*(AO313^0.75)+(_xlfn.XLOOKUP(B313,'Base stats'!B:B,'Base stats'!AS:AS)/1000)^(2/3)+_xlfn.XLOOKUP(B313,'Base stats'!B:B,'Base stats'!AY:AY)+_xlfn.XLOOKUP(B313,'Base stats'!B:B,'Base stats'!BA:BA))+0.5,0.5))</f>
        <v>No</v>
      </c>
      <c r="AJ313" s="7" t="str">
        <f>IF(AI313="No","No",MAX(_xlfn.XLOOKUP(_xlfn.XLOOKUP(B313,'Base stats'!B:B,'Base stats'!E:E),Groups!A:A,Groups!AE:AE),MROUND(_xlfn.XLOOKUP(_xlfn.XLOOKUP(B313,'Base stats'!B:B,'Base stats'!E:E),Groups!A:A,Groups!AE:AE)*IF(_xlfn.XLOOKUP(_xlfn.XLOOKUP(B313,'Base stats'!B:B,'Base stats'!E:E),Groups!A:A,Groups!AJ:AJ)="Photonozoa",0.6,1)*_xlfn.XLOOKUP(B313,'Base stats'!B:B,'Base stats'!C:C)^0.165,0.05)))</f>
        <v>No</v>
      </c>
      <c r="AK313" s="7" t="str">
        <f>IF(AI313="No","No",_xlfn.XLOOKUP(_xlfn.XLOOKUP(B313,'Base stats'!B:B,'Base stats'!E:E),Groups!A:A,Groups!AF:AF))</f>
        <v>No</v>
      </c>
      <c r="AL313" s="7" t="str">
        <f>IF(AI313="No","No",_xlfn.XLOOKUP(_xlfn.XLOOKUP(B313,'Base stats'!B:B,'Base stats'!E:E),Groups!A:A,Groups!AG:AG))</f>
        <v>No</v>
      </c>
      <c r="AM313" s="7" t="str">
        <f>IF(AI313="No","No",_xlfn.XLOOKUP(_xlfn.XLOOKUP(B313,'Base stats'!B:B,'Base stats'!E:E),Groups!A:A,Groups!AH:AH))</f>
        <v>No</v>
      </c>
      <c r="AN313" s="2" t="str">
        <f t="shared" si="28"/>
        <v>No</v>
      </c>
      <c r="AO313" s="2">
        <f>MROUND(IF(AND(_xlfn.XLOOKUP(B313,'Base stats'!B:B,'Base stats'!C:C)&gt;=0.5,_xlfn.XLOOKUP(B313,'Base stats'!B:B,'Base stats'!C:C)&lt;=0.8),
IF(_xlfn.XLOOKUP(B313,'Base stats'!B:B,'Base stats'!C:C)&lt;0.1,0.05,IF(_xlfn.XLOOKUP(B313,'Base stats'!B:B,'Base stats'!C:C)&lt;=70,(_xlfn.XLOOKUP(B313,'Base stats'!B:B,'Base stats'!C:C)/70)^0.426489913056526,IF(_xlfn.XLOOKUP(B313,'Base stats'!B:B,'Base stats'!C:C)&lt;=400,(_xlfn.XLOOKUP(B313,'Base stats'!B:B,'Base stats'!C:C)/70)^0.572811455315093,IF(_xlfn.XLOOKUP(B313,'Base stats'!B:B,'Base stats'!C:C)&lt;=2000,2.71391647193063*(_xlfn.XLOOKUP(B313,'Base stats'!B:B,'Base stats'!C:C)/400)^0.252459582904293,3.74314280240376*(_xlfn.XLOOKUP(B313,'Base stats'!B:B,'Base stats'!C:C)/2000)^0.357012633876913)))),
IF(_xlfn.XLOOKUP(B313,'Base stats'!B:B,'Base stats'!C:C)&lt;0.1,0.05,IF(_xlfn.XLOOKUP(B313,'Base stats'!B:B,'Base stats'!C:C)&lt;0.4,0.1,IF(_xlfn.XLOOKUP(B313,'Base stats'!B:B,'Base stats'!C:C)&lt;=70,(_xlfn.XLOOKUP(B313,'Base stats'!B:B,'Base stats'!C:C)/70)^0.445823913056526,IF(_xlfn.XLOOKUP(B313,'Base stats'!B:B,'Base stats'!C:C)&lt;=400,(_xlfn.XLOOKUP(B313,'Base stats'!B:B,'Base stats'!C:C)/70)^0.572811455315093,IF(_xlfn.XLOOKUP(B313,'Base stats'!B:B,'Base stats'!C:C)&lt;=2000,2.71391647193063*(_xlfn.XLOOKUP(B313,'Base stats'!B:B,'Base stats'!C:C)/400)^0.252459582904293,3.74314280240376*(_xlfn.XLOOKUP(B313,'Base stats'!B:B,'Base stats'!C:C)/2000)^0.357012633876913)))))),
IF(_xlfn.XLOOKUP(B313,'Base stats'!B:B,'Base stats'!C:C)&lt;0.1,0.05,IF(_xlfn.XLOOKUP(B313,'Base stats'!B:B,'Base stats'!C:C)&lt;=100,0.05,IF(_xlfn.XLOOKUP(B313,'Base stats'!B:B,'Base stats'!C:C)&lt;=250,0.1,IF(_xlfn.XLOOKUP(B313,'Base stats'!B:B,'Base stats'!C:C)&lt;=4000,0.25,0.5)))))</f>
        <v>0.55000000000000004</v>
      </c>
      <c r="AP313" s="8">
        <f>MROUND(AO313*_xlfn.XLOOKUP(_xlfn.XLOOKUP(B313,'Base stats'!B:B,'Base stats'!E:E),Groups!A:A,Groups!AI:AI)*_xlfn.XLOOKUP(B313,'Base stats'!B:B,'Base stats'!Z:Z),0.05)</f>
        <v>0.55000000000000004</v>
      </c>
      <c r="AQ313" s="8">
        <f>MAX(0.01,MROUND(IF(CC313="True",0.196*(AO313*100*1000)^0.889,IF(_xlfn.XLOOKUP(_xlfn.XLOOKUP(B313,'Base stats'!B:B,'Base stats'!E:E),Groups!A:A,Groups!AJ:AJ)="Bird",10.5*(AO313*100*1000)^0.681,4.82*(AO313*100*1000)^0.734))/(4.82*(1*100*1000)^0.734)/IF(AO313&lt;3.5,2,IF(AO313=3.5,1.5,1.25))*(1+0.132282374779864/(AO313^0.994035016789033+0.00905238001496948)),0.05))</f>
        <v>0.1</v>
      </c>
      <c r="AR313" s="9">
        <f>IFERROR(MROUND(_xlfn.XLOOKUP(B313,'Base stats'!B:B,'Base stats'!H:H)/IF(_xlfn.XLOOKUP(B313,'Base stats'!B:B,'Base stats'!I:I)&lt;&gt;1,(122.5/70),1.2),IF(_xlfn.XLOOKUP(B313,'Base stats'!B:B,'Base stats'!H:H)&gt;=30,5,IF(_xlfn.XLOOKUP(B313,'Base stats'!B:B,'Base stats'!H:H)&gt;=15,3,IF(_xlfn.XLOOKUP(B313,'Base stats'!B:B,'Base stats'!H:H)&gt;=10,2,1)))),"Immortal")</f>
        <v>15</v>
      </c>
      <c r="AS313" s="35">
        <f>IFERROR(IF(OR(_xlfn.XLOOKUP(B313,'Base stats'!B:B,'Base stats'!F:F)="Atypical reproduction",_xlfn.XLOOKUP(B313,'Base stats'!B:B,'Base stats'!F:F)="Lay eggs"),"Lay eggs",MIN(20,MAX(5.5,ROUND(((_xlfn.XLOOKUP(B313,'Base stats'!B:B,'Base stats'!F:F)-25)*(14.5/615) + 5.5)*2,0)/2))),"Unknown")</f>
        <v>7.5</v>
      </c>
      <c r="AT313" s="8">
        <f>IF(_xlfn.XLOOKUP(B313,'Base stats'!B:B,'Base stats'!G:G)="Atypical reproduction","No",IFERROR(MAX(IF(_xlfn.XLOOKUP(B313,'Base stats'!B:B,'Base stats'!G:G)&lt;0.5,0.2,0.3),MROUND(_xlfn.XLOOKUP(B313,'Base stats'!B:B,'Base stats'!G:G)/(365/60),0.2)),"Unknown"))</f>
        <v>0.8</v>
      </c>
      <c r="AU313" s="8">
        <f t="shared" si="29"/>
        <v>0.4</v>
      </c>
      <c r="AV313" s="8">
        <f>IFERROR(IFERROR(MROUND(_xlfn.XLOOKUP(B313,'Base stats'!B:B,'Base stats'!J:J),0.1),"Lay eggs"),"Cannot breed")</f>
        <v>10</v>
      </c>
      <c r="AW313" s="2" t="str">
        <f t="shared" si="30"/>
        <v>false</v>
      </c>
      <c r="AX313" s="2" t="str">
        <f>IF(_xlfn.XLOOKUP(_xlfn.XLOOKUP(Animals!B313,'Base stats'!B:B,'Base stats'!E:E),Groups!A:A,Groups!AK:AK)=1,"true","false")</f>
        <v>false</v>
      </c>
      <c r="AY313" s="25" t="str">
        <f>IF(_xlfn.XLOOKUP(B313,'Base stats'!B:B,'Base stats'!Y:Y)="Liquor","Liquor, CarnivoreAnimalStrict",IF(AND(_xlfn.XLOOKUP(B313,'Base stats'!B:B,'Base stats'!Y:Y)="Carnivore",_xlfn.XLOOKUP(_xlfn.XLOOKUP(B313,'Base stats'!B:B,'Base stats'!E:E),Groups!A:A,Groups!AJ:AJ)="Photonozoa"),"CarnivoreAnimalStrict, OvivoreAnimal",IF(_xlfn.XLOOKUP(B313,'Base stats'!B:B,'Base stats'!Y:Y)="Carnivore","CarnivoreAnimal, OvivoreAnimal",IF(_xlfn.XLOOKUP(B313,'Base stats'!B:B,'Base stats'!Y:Y)="Dendrovore","VegetarianRoughAnimal, DendrovoreAnimal",IF(_xlfn.XLOOKUP(B313,'Base stats'!B:B,'Base stats'!Y:Y)="Herbivore","VegetarianRoughAnimal",IF(_xlfn.XLOOKUP(B313,'Base stats'!B:B,'Base stats'!Y:Y)="OmnivoreRough","OmnivoreRoughAnimal, OvivoreAnimal","OmnivoreAnimal, OvivoreAnimal"))))))</f>
        <v>VegetarianRoughAnimal</v>
      </c>
      <c r="AZ313" s="2" t="str">
        <f>IF(_xlfn.XLOOKUP(_xlfn.XLOOKUP(B313,'Base stats'!B:B,'Base stats'!E:E),Groups!A:A,Groups!D:D)=1,MROUND((1-J313)*5+1,2)*IF(J313&lt;=0.4,2,1),"No")</f>
        <v>No</v>
      </c>
      <c r="BA313" s="2" t="str">
        <f>IF(AND(_xlfn.XLOOKUP(B313,'Base stats'!B:B,'Base stats'!AH:AH)="&lt;li&gt;Seal&lt;/li&gt;",G313="Odyssey"),"&lt;li&gt;AEXP_Seal&lt;/li&gt;",_xlfn.XLOOKUP(B313,'Base stats'!B:B,'Base stats'!AH:AH))</f>
        <v>&lt;li&gt;AA_Helixien&lt;/li&gt;</v>
      </c>
      <c r="BB313" s="2" t="str">
        <f>_xlfn.XLOOKUP(B313,'Base stats'!B:B,'Base stats'!AG:AG)</f>
        <v>No</v>
      </c>
      <c r="BC313" s="23" t="str">
        <f>_xlfn.XLOOKUP(_xlfn.XLOOKUP(B313,'Base stats'!B:B,'Base stats'!E:E),Groups!A:A,Groups!AL:AL)</f>
        <v>Snail</v>
      </c>
      <c r="BD313" s="23">
        <f>MIN(1,MROUND(IF(AND(AO313&lt;0.5,_xlfn.XLOOKUP(B313,'Base stats'!B:B,'Base stats'!AA:AA)=0),0,IF(OR(_xlfn.XLOOKUP(Animals!B313,'Base stats'!B:B,'Base stats'!O:O)=2,_xlfn.XLOOKUP(_xlfn.XLOOKUP(B313,'Base stats'!B:B,'Base stats'!E:E),Groups!A:A,Groups!AN:AN)=0),0,_xlfn.XLOOKUP(_xlfn.XLOOKUP(B313,'Base stats'!B:B,'Base stats'!E:E),Groups!A:A,Groups!AN:AN)/IF(_xlfn.XLOOKUP(Animals!B313,'Base stats'!B:B,'Base stats'!O:O)=1,2,1)))+_xlfn.XLOOKUP(B313,'Base stats'!B:B,'Base stats'!AC:AC),0.005))</f>
        <v>0</v>
      </c>
      <c r="BE313" s="23">
        <f>MIN(1,MROUND(IF(AND(AO313&lt;0.5,_xlfn.XLOOKUP(B313,'Base stats'!B:B,'Base stats'!AA:AA)=0),0,IF(_xlfn.XLOOKUP(_xlfn.XLOOKUP(B313,'Base stats'!B:B,'Base stats'!E:E),Groups!A:A,Groups!AO:AO)=0,0,_xlfn.XLOOKUP(_xlfn.XLOOKUP(B313,'Base stats'!B:B,'Base stats'!E:E),Groups!A:A,Groups!AO:AO)/IF(_xlfn.XLOOKUP(Animals!B313,'Base stats'!B:B,'Base stats'!O:O)=2,3,1)))+_xlfn.XLOOKUP(B313,'Base stats'!B:B,'Base stats'!AD:AD),0.005))</f>
        <v>0</v>
      </c>
      <c r="BF313" s="2" t="str">
        <f>IF(J313&gt;0.3,"No",_xlfn.XLOOKUP(_xlfn.XLOOKUP(Animals!B313,'Base stats'!B:B,'Base stats'!E:E),Groups!A:A,Groups!AP:AP))</f>
        <v>No</v>
      </c>
      <c r="BG313" s="2" t="str">
        <f>IF(AND(J313&lt;=0.65,_xlfn.XLOOKUP(_xlfn.XLOOKUP(Animals!B313,'Base stats'!B:B,'Base stats'!E:E),Groups!A:A,Groups!AP:AP)&lt;&gt;"No",_xlfn.XLOOKUP(_xlfn.XLOOKUP(B313,'Base stats'!B:B,'Base stats'!E:E),Groups!A:A,Groups!D:D)=0),MROUND((80/3)*IF(_xlfn.XLOOKUP(B313,'Base stats'!B:B,'Base stats'!O:O)=2,0.2,AO313) + 24*(1-IF(BF313="No",0,BF313)) + 16/3, 12),"No")</f>
        <v>No</v>
      </c>
      <c r="BH313" s="2">
        <f>IF(AND(_xlfn.XLOOKUP(_xlfn.XLOOKUP(B313,'Base stats'!B:B,'Base stats'!E:E),Groups!A:A,Groups!AQ:AQ)=1,AO313&lt;=0.35),8,12)</f>
        <v>12</v>
      </c>
      <c r="BI313" s="2" t="str">
        <f>IF(_xlfn.XLOOKUP(_xlfn.XLOOKUP(B313,'Base stats'!B:B,'Base stats'!E:E),Groups!A:A,Groups!D:D)=0,_xlfn.XLOOKUP(_xlfn.XLOOKUP(B313,'Base stats'!B:B,'Base stats'!E:E),Groups!A:A,Groups!AR:AR),"None")</f>
        <v>None</v>
      </c>
      <c r="BJ313" s="2" t="str">
        <f>IF(AND(_xlfn.XLOOKUP(_xlfn.XLOOKUP(B313,'Base stats'!B:B,'Base stats'!E:E),Groups!A:A,Groups!AS:AS)=1,OR(_xlfn.XLOOKUP(B313,'Base stats'!B:B,'Base stats'!Y:Y)="Carnivore",_xlfn.XLOOKUP(B313,'Base stats'!B:B,'Base stats'!Y:Y)="Omnivore")),"true","false")</f>
        <v>false</v>
      </c>
      <c r="BK313" s="2" t="str">
        <f>IF(BJ313="true",MROUND(IF(AND(AO313&gt;0.5,OR(_xlfn.XLOOKUP(_xlfn.XLOOKUP(B313,'Base stats'!B:B,'Base stats'!E:E),Groups!A:A,Groups!AJ:AJ)="Photonozoa",_xlfn.XLOOKUP(_xlfn.XLOOKUP(B313,'Base stats'!B:B,'Base stats'!E:E),Groups!A:A,Groups!AJ:AJ)="Mammal")),Animals!AO313*1.75*IF(AW313="true",1.5,1),IF(AO313&lt;0.5,Animals!AO313*0.5,Animals!AO313)),IF(AO313&gt;2,0.5,IF(AO313&gt;0.5,0.25,0.1))),"No")</f>
        <v>No</v>
      </c>
      <c r="BL313" s="2">
        <f t="shared" si="31"/>
        <v>0</v>
      </c>
      <c r="BM313" s="25" t="str">
        <f>IF(_xlfn.XLOOKUP(B313,'Base stats'!B:B,'Base stats'!AN:AN)="Standard","No",MROUND((_xlfn.XLOOKUP(B313,'Base stats'!B:B,'Base stats'!AN:AN)/3.6)/I313,0.1))</f>
        <v>No</v>
      </c>
      <c r="BN313" s="25" t="str">
        <f t="shared" si="32"/>
        <v>false</v>
      </c>
      <c r="BO313" s="25" t="str">
        <f>IF(AND(OR(_xlfn.XLOOKUP(B313,'Base stats'!B:B,'Base stats'!Y:Y)="Carnivore",_xlfn.XLOOKUP(B313,'Base stats'!B:B,'Base stats'!Y:Y)="Omnivore",_xlfn.XLOOKUP(B313,'Base stats'!B:B,'Base stats'!Y:Y)="OmnivoreRough"),_xlfn.XLOOKUP(_xlfn.XLOOKUP(B313,'Base stats'!B:B,'Base stats'!E:E),Groups!A:A,Groups!AT:AT)=1),"true","false")</f>
        <v>false</v>
      </c>
      <c r="BP313" s="25" t="str" cm="1">
        <f t="array" ref="BP313">IF(
  _xlfn.TEXTJOIN(", ",TRUE,
    IF(AND(BJ313="true",AO313&gt;0.5,BI313&lt;&gt;"None"),"AttackTarget",""),
    IF(AND(_xlfn.XLOOKUP(_xlfn.XLOOKUP(B313,'Base stats'!B:B,'Base stats'!E:E),Groups!A:A,Groups!AJ:AJ="Mammal"),OR(_xlfn.XLOOKUP(B313,'Base stats'!B:B,'Base stats'!Y:Y)="Omnivore",_xlfn.XLOOKUP(B313,'Base stats'!B:B,'Base stats'!Y:Y)="OmnivoreRough")),"Forage",""),
    IF(BG313&lt;=36,"Comfort",""),
    IF(_xlfn.XLOOKUP(B313,'Base stats'!B:B,'Base stats'!AE:AE)&lt;&gt;"No",_xlfn.XLOOKUP(B313,'Base stats'!B:B,'Base stats'!AE:AE),"")
  ) = "",
  "No",
  _xlfn.TEXTJOIN(", ",TRUE,
    IF(AND(BJ313="true",AO313&gt;0.5,BI313&lt;&gt;"None"),"AttackTarget",""),
    IF(AND(_xlfn.XLOOKUP(_xlfn.XLOOKUP(B313,'Base stats'!B:B,'Base stats'!E:E),Groups!A:A,Groups!AJ:AJ="Mammal"),OR(_xlfn.XLOOKUP(B313,'Base stats'!B:B,'Base stats'!Y:Y)="Omnivore",_xlfn.XLOOKUP(B313,'Base stats'!B:B,'Base stats'!Y:Y)="OmnivoreRough")),"Forage",""),
    IF(BG313&lt;=36,"Comfort",""),
    IF(_xlfn.XLOOKUP(B313,'Base stats'!B:B,'Base stats'!AE:AE)&lt;&gt;"No",_xlfn.XLOOKUP(B313,'Base stats'!B:B,'Base stats'!AE:AE),"")
  )
)</f>
        <v>No</v>
      </c>
      <c r="BQ313" s="25" t="str">
        <f>IF(
   AND(
      'Base stats'!AN313="Standard",_xlfn.XLOOKUP(_xlfn.XLOOKUP(B313,'Base stats'!B:B,'Base stats'!E:E),Groups!A:A,Groups!AU:AU)=0,
      OR(
      BO313="True"
      )
   ),
   10,
   IF(
       OR(BM313&lt;&gt;"No",_xlfn.XLOOKUP(_xlfn.XLOOKUP(B313,'Base stats'!B:B,'Base stats'!E:E),Groups!A:A,Groups!AU:AU)=1),
      1,
      "No"
   )
)</f>
        <v>No</v>
      </c>
      <c r="BR313" s="9">
        <f>MROUND((1 + ((0.2*IF(OR(Q313="No",R313="No",R313=0),0,Q313/R313)
+IF(OR(V313="No",S313="No",T313="No"),0,S313/T313*(LEN(V313)-LEN(SUBSTITUTE(V313,",",""))+1))
+IF(OR(X313="No",Y313="No"),0,X313/Y313)
+IF(OR(AD313="No",AE313="No"),0,AD313/AE313)
+IF(OR(AL313="No",AI313="No",AJ313="No"),0,AI313/AJ313*(LEN(AL313)-LEN(SUBSTITUTE(AL313,",",""))+1))
)/(0.2*IF(OR(Q313="No",R313="No",R313=0),0,1)
+IF(OR(V313="No",S313="No",T313="No"),0,LEN(V313)-LEN(SUBSTITUTE(V313,",",""))+1)
+IF(OR(X313="No",Y313="No"),0,1)
+IF(OR(AD313="No",AE313="No"),0,1)
+IF(OR(AL313="No",AI313="No",AJ313="No"),0,LEN(AL313)-LEN(SUBSTITUTE(AL313,",",""))+1))*62%)* 2)*(1 + (AP313 / (IF(_xlfn.XLOOKUP(_xlfn.XLOOKUP(B313,'Base stats'!B:B,'Base stats'!E:E),Groups!A:A,Groups!AJ:AJ)="Photonozoa",0.3,1)) + _xlfn.XLOOKUP(B313,'Base stats'!B:B,'Base stats'!AV:AV) * 1.8) * 2) * 2.5 + 10 + I313 * 2,5)+IF(_xlfn.XLOOKUP(B313,'Base stats'!B:B,'Base stats'!AK:AK)=1,50,0)</f>
        <v>45</v>
      </c>
      <c r="BS313" s="8">
        <f t="shared" si="33"/>
        <v>0.2</v>
      </c>
      <c r="BT313" s="8" t="str">
        <f>_xlfn.XLOOKUP(B313,'Base stats'!B:B,'Base stats'!AF:AF)</f>
        <v>No</v>
      </c>
      <c r="BU313" s="2" t="str">
        <f>IF(AND(J313&lt;=0.95,OR(_xlfn.XLOOKUP(B313,'Base stats'!B:B,'Base stats'!AK:AK)=1,_xlfn.XLOOKUP(B313,'Base stats'!B:B,'Base stats'!Y:Y)="Carnivore",_xlfn.XLOOKUP(B313,'Base stats'!B:B,'Base stats'!Y:Y)="Omnivore",BE313&gt;0.1)),"true","false")</f>
        <v>false</v>
      </c>
      <c r="BV313" s="2" t="str">
        <f>IF(_xlfn.XLOOKUP(B313,'Base stats'!B:B,'Base stats'!AI:AI)=1,"true","false")</f>
        <v>false</v>
      </c>
      <c r="BW313" s="25" t="str">
        <f>IF(E313="BaseInsect","AnimalInsect",
IF(J313&gt;0.95,"AnimalExotic",
_xlfn.TEXTJOIN(", ",TRUE,
IF(OR(_xlfn.XLOOKUP(B313,'Base stats'!B:B,'Base stats'!AM:AM)=1,AND(_xlfn.XLOOKUP(B313,'Base stats'!B:B,'Base stats'!O:O)=0,_xlfn.XLOOKUP(_xlfn.XLOOKUP(B313,'Base stats'!B:B,'Base stats'!E:E),Groups!A:A,Groups!B:B)&gt;0)),"AnimalUncommon","AnimalCommon"),
IF(AND(_xlfn.XLOOKUP(B313,'Base stats'!B:B,'Base stats'!O:O)=2,_xlfn.XLOOKUP(_xlfn.XLOOKUP(B313,'Base stats'!B:B,'Base stats'!E:E),Groups!A:A,Groups!D:D)=0),"AnimalPet",IF(AND(_xlfn.XLOOKUP(B313,'Base stats'!B:B,'Base stats'!O:O)&lt;&gt;0,_xlfn.XLOOKUP(_xlfn.XLOOKUP(B313,'Base stats'!B:B,'Base stats'!E:E),Groups!A:A,Groups!D:D)&lt;&gt;0),"AnimalFarm","")),
IF(OR(_xlfn.XLOOKUP(B313,'Base stats'!B:B,'Base stats'!AK:AK)=1,AND(BI313&lt;&gt;"None",BR313&gt;=60),ISNUMBER(SEARCH("Attack target",BP313))),"AnimalFighter","")
)))</f>
        <v>AnimalUncommon</v>
      </c>
      <c r="BX313" s="25" t="str">
        <f>IF(G313="None",TRIM(
SUBSTITUTE(
IF(COUNTIF(Biomes!B$2:B$259,"="&amp;$C313)&gt;0,Biomes!B$1&amp;", ","")&amp;
IF(COUNTIF(Biomes!C$2:C$259,"="&amp;$C313)&gt;0,Biomes!C$1&amp;", ","")&amp;
IF(COUNTIF(Biomes!D$2:D$259,"="&amp;$C313)&gt;0,Biomes!D$1&amp;", ","")&amp;
IF(COUNTIF(Biomes!F$2:F$259,"="&amp;$C313)&gt;0,Biomes!F$1&amp;", ","")&amp;
IF(COUNTIF(Biomes!G$2:G$259,"="&amp;$C313)&gt;0,Biomes!G$1&amp;", ","")&amp;
IF(COUNTIF(Biomes!H$2:H$259,"="&amp;$C313)&gt;0,Biomes!H$1&amp;", ","")&amp;
IF(COUNTIF(Biomes!I$2:I$259,"="&amp;$C313)&gt;0,Biomes!I$1&amp;", ","")&amp;
IF(COUNTIF(Biomes!J$2:J$259,"="&amp;$C313)&gt;0,Biomes!J$1&amp;", ","")&amp;
IF(COUNTIF(Biomes!M$2:M$259,"="&amp;$C313)&gt;0,Biomes!M$1&amp;", ","")&amp;
IF(COUNTIF(Biomes!N$2:N$259,"="&amp;$C313)&gt;0,Biomes!N$1&amp;", ","")&amp;
IF(COUNTIF(Biomes!O$2:O$259,"="&amp;$C313)&gt;0,Biomes!O$1&amp;", ","")&amp;
IF(COUNTIF(Biomes!P$2:P$259,"="&amp;$C313)&gt;0,Biomes!P$1&amp;", ","")&amp;
IF(COUNTIF(Biomes!K$2:K$259,"="&amp;$C313)&gt;0,Biomes!K$1&amp;", ","")&amp;
IF(COUNTIF(Biomes!Q$3:Q$259,"="&amp;$C313)&gt;0,Biomes!Q$1&amp;", ","")&amp;
IF(COUNTIF(Biomes!L$2:L$259,"="&amp;$C313)&gt;0,Biomes!L$1&amp;", ","")&amp;
IF(COUNTIF(Biomes!E$2:E$259,"="&amp;$C313)&gt;0,Biomes!E$1&amp;", ","")&amp;IF(COUNTIF(Biomes!S$2:S$259,"="&amp;$C313)&gt;0,Biomes!S$1&amp;", ","")&amp;
IF(COUNTIF(Biomes!R$2:R$259,"="&amp;$C313)&gt;0,Biomes!R$1&amp;", ",""),", ","")
),_xlfn.XLOOKUP(B313,B:B,BX:BX))</f>
        <v>TropicalRainforest TropicalSwamp Glowforest</v>
      </c>
      <c r="BY313" s="25" t="str">
        <f>IF(_xlfn.XLOOKUP(B313,'Base stats'!B:B,'Base stats'!AJ:AJ)=1,"true","false")</f>
        <v>false</v>
      </c>
      <c r="BZ313" s="25">
        <f>IF(_xlfn.XLOOKUP(B313,'Base stats'!B:B,'Base stats'!N:N)=1,"No",MAX(0.001,MIN(MROUND(IF(AND(BJ313="True",CC313="False"),POWER(10,3.47*LOG10(_xlfn.XLOOKUP(B313,'Base stats'!B:B,'Base stats'!C:C)*1000)^-0.96),POWER(10,4.15*LOG10(_xlfn.XLOOKUP(B313,'Base stats'!B:B,'Base stats'!C:C)*1000)^-0.73))*IF(_xlfn.XLOOKUP(B313,'Base stats'!B:B,'Base stats'!AK:AK)=1,0.5,1)*IF(_xlfn.XLOOKUP(B313,'Base stats'!B:B,'Base stats'!AM:AM)=1,0.1,1)/100,IF(_xlfn.XLOOKUP(B313,'Base stats'!B:B,'Base stats'!AM:AM)=1,0.001,0.025)),0.5)))</f>
        <v>2.7E-2</v>
      </c>
      <c r="CA313" s="25" t="str">
        <f>IF(P313="Standard","No",MAX(0.001,MIN(MROUND(IF(AND(BJ313="True",CC313="False"),POWER(10,3.47*LOG10(_xlfn.XLOOKUP(B313,'Base stats'!B:B,'Base stats'!C:C)*1000)^-0.96),POWER(10,4.15*LOG10(_xlfn.XLOOKUP(B313,'Base stats'!B:B,'Base stats'!C:C)*1000)^-0.73))*IF(_xlfn.XLOOKUP(B313,'Base stats'!B:B,'Base stats'!AM:AM)=1,0.1,1)*_xlfn.XLOOKUP(B313,'Base stats'!B:B,'Base stats'!R:R)/100,IF(_xlfn.XLOOKUP(B313,'Base stats'!B:B,'Base stats'!AM:AM)=1,0.001,0.025)),0.5)))</f>
        <v>No</v>
      </c>
      <c r="CB313" s="25" t="str">
        <f>IF(_xlfn.XLOOKUP(_xlfn.XLOOKUP(B313,'Base stats'!B:B,'Base stats'!E:E),Groups!A:A,Groups!AJ:AJ)="Mammal","True","False")</f>
        <v>False</v>
      </c>
      <c r="CC313" s="25" t="str">
        <f>IF(OR(_xlfn.XLOOKUP(_xlfn.XLOOKUP(B313,'Base stats'!B:B,'Base stats'!E:E),Groups!A:A,Groups!AJ:AJ)="Reptile",_xlfn.XLOOKUP(_xlfn.XLOOKUP(B313,'Base stats'!B:B,'Base stats'!E:E),Groups!A:A,Groups!AJ:AJ)="Amphibian",_xlfn.XLOOKUP(_xlfn.XLOOKUP(B313,'Base stats'!B:B,'Base stats'!E:E),Groups!A:A,Groups!AJ:AJ)="Invertebrate"),"True","False")</f>
        <v>True</v>
      </c>
      <c r="CD313" s="25" t="str">
        <f t="shared" si="34"/>
        <v>False</v>
      </c>
      <c r="CE313" s="25" t="str">
        <f>IF(_xlfn.XLOOKUP(_xlfn.XLOOKUP(B313,'Base stats'!B:B,'Base stats'!E:E),Groups!A:A,Groups!AX:AX),"True","False")</f>
        <v>False</v>
      </c>
      <c r="CF313" s="25" t="str">
        <f>IF(_xlfn.XLOOKUP(_xlfn.XLOOKUP(B313,'Base stats'!B:B,'Base stats'!E:E),Groups!A:A,Groups!AY:AY),"True","False")</f>
        <v>False</v>
      </c>
      <c r="CG313" s="25" t="str">
        <f>IF(_xlfn.XLOOKUP(_xlfn.XLOOKUP(B313,'Base stats'!B:B,'Base stats'!E:E),Groups!A:A,Groups!AW:AW),"True","False")</f>
        <v>False</v>
      </c>
      <c r="CH313" s="25" t="str">
        <f>IF(
OR(
_xlfn.XLOOKUP(_xlfn.XLOOKUP(B313,'Base stats'!B:B,'Base stats'!E:E),Groups!A:A,Groups!AZ:AZ)=0,
AND(
_xlfn.XLOOKUP(B313,'Base stats'!B:B,'Base stats'!Y:Y)&lt;&gt;"Carnivore",
_xlfn.XLOOKUP(B313,'Base stats'!B:B,'Base stats'!Y:Y)&lt;&gt;"Omnivore",
_xlfn.XLOOKUP(B313,'Base stats'!B:B,'Base stats'!Y:Y)&lt;&gt;"OmnivoreRough"
)
),
"No",
IF(
_xlfn.XLOOKUP(_xlfn.XLOOKUP(B313,'Base stats'!B:B,'Base stats'!E:E),Groups!A:A,Groups!AZ:AZ)=1,
"Flesh",
IF(
_xlfn.XLOOKUP(_xlfn.XLOOKUP(B313,'Base stats'!B:B,'Base stats'!E:E),Groups!A:A,Groups!AZ:AZ)=2,
"Bone",
""
)
)
)</f>
        <v>No</v>
      </c>
      <c r="CI313" s="25" t="str">
        <f>IF(_xlfn.XLOOKUP(_xlfn.XLOOKUP(B313,'Base stats'!B:B,'Base stats'!E:E),Groups!A:A,Groups!BB:BB),"True","False")</f>
        <v>False</v>
      </c>
      <c r="CJ313" s="25" t="str">
        <f>IF(_xlfn.XLOOKUP(_xlfn.XLOOKUP(B313,'Base stats'!B:B,'Base stats'!E:E),Groups!A:A,Groups!BA:BA),"True","False")</f>
        <v>False</v>
      </c>
    </row>
    <row r="314" spans="1:88" ht="16.5" thickTop="1" thickBot="1" x14ac:dyDescent="0.3">
      <c r="A314" s="26" t="s">
        <v>1540</v>
      </c>
      <c r="B314" s="6" t="str">
        <f>_xlfn.XLOOKUP(A314,'Base stats'!A:A,'Base stats'!B:B)</f>
        <v>Bos radiatus</v>
      </c>
      <c r="C314" s="28" t="s">
        <v>1541</v>
      </c>
      <c r="D314" s="28" t="s">
        <v>1341</v>
      </c>
      <c r="E314" s="28" t="s">
        <v>673</v>
      </c>
      <c r="F314" s="28" t="s">
        <v>673</v>
      </c>
      <c r="G314" s="28" t="s">
        <v>673</v>
      </c>
      <c r="H314" s="2">
        <f>MROUND((
  (IF(AND(_xlfn.XLOOKUP(B314,'Base stats'!B:B,'Base stats'!AL:AL)=0,BI314="None",_xlfn.XLOOKUP(_xlfn.XLOOKUP(B314,'Base stats'!B:B,'Base stats'!E:E),Groups!A:A,Groups!B:B)=0), (18 + BR314 * 2.7) * 0.5,
    IF(AND(_xlfn.XLOOKUP(B314,'Base stats'!B:B,'Base stats'!AL:AL)=0,OR(AO314&lt;0.55,AND(BI314="Intermediate",_xlfn.XLOOKUP(_xlfn.XLOOKUP(B314,'Base stats'!B:B,'Base stats'!E:E),Groups!A:A,Groups!B:B)&lt;2))), (18 + BR314 * 2.7),
      IF(OR(BI314="Advanced",_xlfn.XLOOKUP(B314,'Base stats'!B:B,'Base stats'!AL:AL)=1,_xlfn.XLOOKUP(_xlfn.XLOOKUP(B314,'Base stats'!B:B,'Base stats'!E:E),Groups!A:A,Groups!B:B)=2), (18 + BR314 * 2.7) + 250, (18 + BR314 * 2.7))
    )
  ))
  + AO314 * 80
  + IF(COUNTIF(EggMilk!K$2:K$998, A314) &gt; 0, 125, 0)
  + IF(COUNTIF(EggMilk!P$2:P$998, A314) &gt; 0, 90, 0)
  + IF(COUNTIF(EggMilk!A$2:A$998, A314) &gt; 0, 90, 0)
)
* (0.8 + 0.4 * J314)
* 0.75,25)</f>
        <v>300</v>
      </c>
      <c r="I314" s="2">
        <f>MROUND(ROUNDDOWN(_xlfn.XLOOKUP(B314,'Base stats'!B:B,'Base stats'!L:L)/3.6/(23.3/11),1),0.5)</f>
        <v>4</v>
      </c>
      <c r="J314" s="2">
        <f>IF(OR(_xlfn.XLOOKUP(B314,'Base stats'!B:B,'Base stats'!AB:AB)=1,_xlfn.XLOOKUP(_xlfn.XLOOKUP(B314,'Base stats'!B:B,'Base stats'!E:E),Groups!A:A,Groups!C:C)="Untamable"),1,IF(_xlfn.XLOOKUP(B314,'Base stats'!B:B,'Base stats'!AL:AL)=1,0.99,MIN(MROUND((1-0.6282*EXP(-0.459*AO314))*_xlfn.XLOOKUP(_xlfn.XLOOKUP(B314,'Base stats'!B:B,'Base stats'!E:E),Groups!A:A,Groups!C:C)*IF(_xlfn.XLOOKUP(B314,'Base stats'!B:B,'Base stats'!O:O)=1,0.5,IF(_xlfn.XLOOKUP(B314,'Base stats'!B:B,'Base stats'!O:O)=2,0,1)),0.05),IF(AO314&gt;3.5,0.985,0.95))))</f>
        <v>0.35000000000000003</v>
      </c>
      <c r="K314" s="2">
        <f>ROUNDUP(AO314*_xlfn.XLOOKUP(_xlfn.XLOOKUP(B314,'Base stats'!B:B,'Base stats'!E:E),Groups!A:A,Groups!E:E),0)</f>
        <v>13</v>
      </c>
      <c r="L314" s="2">
        <f>IF(OR(_xlfn.XLOOKUP(_xlfn.XLOOKUP(B314,'Base stats'!B:B,'Base stats'!E:E),Groups!A:A,Groups!F:F)=2,ISNUMBER(SEARCH("SeaIce",BX314)),ISNUMBER(SEARCH("IceSheet",BX314))),-50,IF(OR(ISNUMBER(SEARCH("GlacialPlain",BX314)),ISNUMBER(SEARCH("Tundra",BX314))),-40,IF(OR(ISNUMBER(SEARCH("Alpine",BX314)),ISNUMBER(SEARCH("BorealForest",BX314)),ISNUMBER(SEARCH("ColdBog",BX314))),-30,IF(OR(ISNUMBER(SEARCH("TemperateForest",BX314)),ISNUMBER(SEARCH("TemperateSwamp",BX314))),-20,IF(_xlfn.XLOOKUP(_xlfn.XLOOKUP(B314,'Base stats'!B:B,'Base stats'!E:E),Groups!A:A,Groups!F:F)=1,-15,IF(OR(ISNUMBER(SEARCH("Desert",BX314)),ISNUMBER(SEARCH("ExtremeDesert",BX314))),-10,IF(OR(ISNUMBER(SEARCH("Grasslands",BX314)),ISNUMBER(SEARCH("TropicalRainforest",BX314)),ISNUMBER(SEARCH("TropicalSwamp",BX314))),10,0)))))))-IF(CC314="False",MIN(IFERROR(MAX(MROUND(LOG10(_xlfn.XLOOKUP(B314,'Base stats'!B:B,'Base stats'!C:C)^(2/3))*10,5),5),5),30))-_xlfn.XLOOKUP(B314,'Base stats'!B:B,'Base stats'!P:P)+IF(CC314="True",5,0)</f>
        <v>-65</v>
      </c>
      <c r="M314" s="2">
        <f>IF(OR(_xlfn.XLOOKUP(_xlfn.XLOOKUP(B314,'Base stats'!B:B,'Base stats'!E:E),Groups!A:A,Groups!G:G)=2,ISNUMBER(SEARCH("Desert",BX314)),ISNUMBER(SEARCH("ExtremeDesert",BX314)),ISNUMBER(SEARCH("LavaField",BX314))),50,IF(ISNUMBER(SEARCH("Grasslands",BX314)),45,IF(OR(_xlfn.XLOOKUP(_xlfn.XLOOKUP(B314,'Base stats'!B:B,'Base stats'!E:E),Groups!A:A,Groups!G:G)=1,ISNUMBER(SEARCH("TropicalRainforest",BX314)),ISNUMBER(SEARCH("TropicalSwamp",BX314))),40,IF(OR(ISNUMBER(SEARCH("TemperateForest",BX314)),ISNUMBER(SEARCH("TemperateSwamp",BX314))),35,IF(OR(ISNUMBER(SEARCH("Alpine",BX314)),ISNUMBER(SEARCH("BorealForest",BX314)),ISNUMBER(SEARCH("ColdBog",BX314))),30,IF(ISNUMBER(OR(ISNUMBER(SEARCH("GlacialPlain",BX314)),SEARCH("Tundra",BX314))),25,IF(OR(ISNUMBER(SEARCH("SeaIce",BX314)),ISNUMBER(SEARCH("IceSheet",BX314)),ISNUMBER(SEARCH("TropicalSwamp",BX314))),10,35)))))))+_xlfn.XLOOKUP(B314,'Base stats'!B:B,'Base stats'!Q:Q)</f>
        <v>50</v>
      </c>
      <c r="N314" s="8" t="str">
        <f>IF(
_xlfn.XLOOKUP(
_xlfn.XLOOKUP(B314,'Base stats'!B:B,'Base stats'!E:E),
Groups!A:A,
Groups!L:L
)=1,
MIN(
MROUND(
IF(
_xlfn.XLOOKUP(B314,'Animals CE'!B:B,'Animals CE'!Z:Z)&lt;=1.5,
_xlfn.XLOOKUP(B314,'Animals CE'!B:B,'Animals CE'!Z:Z)/2+0.05,
0.8+
(_xlfn.XLOOKUP(B314,'Animals CE'!B:B,'Animals CE'!Z:Z)-1.5)
*0.02
),
0.05
),
200%
),
"No"
)</f>
        <v>No</v>
      </c>
      <c r="O314" s="8" t="str">
        <f>IF(
_xlfn.XLOOKUP(
_xlfn.XLOOKUP(B314,'Base stats'!B:B,'Base stats'!E:E),
Groups!A:A,
Groups!L:L
)=1,
MIN(
MROUND(
IF(
_xlfn.XLOOKUP(B314,'Animals CE'!B:B,'Animals CE'!AA:AA)&lt;=1.5,
_xlfn.XLOOKUP(B314,'Animals CE'!B:B,'Animals CE'!AA:AA)/2+0.05,
0.8+
(_xlfn.XLOOKUP(B314,'Animals CE'!B:B,'Animals CE'!AA:AA)-1.5)
*0.02
),
0.05
),
200%
),
"No"
)</f>
        <v>No</v>
      </c>
      <c r="P314" s="2">
        <f>_xlfn.XLOOKUP(B314,'Base stats'!B:B,'Base stats'!R:R)</f>
        <v>1</v>
      </c>
      <c r="Q314" s="13">
        <f>MROUND((LOG10(_xlfn.XLOOKUP(B314,'Base stats'!B:B,'Base stats'!AR:AR))*(AO314^0.5)+(_xlfn.XLOOKUP(B314,'Base stats'!B:B,'Base stats'!AR:AR)/1000)^(2/3)+_xlfn.XLOOKUP(B314,'Base stats'!B:B,'Base stats'!BA:BA)/2)+0.5,0.5)</f>
        <v>14</v>
      </c>
      <c r="R314" s="7">
        <f>IF(Q314="No","No",MAX(1,MROUND(_xlfn.XLOOKUP(B314,'Base stats'!B:B,'Base stats'!C:C)^0.165,0.05)))</f>
        <v>2.6500000000000004</v>
      </c>
      <c r="S314" s="13">
        <f>IF(_xlfn.XLOOKUP(_xlfn.XLOOKUP(B314,'Base stats'!B:B,'Base stats'!E:E),Groups!A:A,Groups!P:P)=0,"No",MROUND((LOG10(_xlfn.XLOOKUP(B314,'Base stats'!B:B,'Base stats'!AS:AS))*(AO314^0.5)+(_xlfn.XLOOKUP(B314,'Base stats'!B:B,'Base stats'!AS:AS)/1000)^(2/3)+_xlfn.XLOOKUP(B314,'Base stats'!B:B,'Base stats'!BA:BA))+_xlfn.XLOOKUP(B314,'Base stats'!B:B,'Base stats'!AY:AY)+0.5,0.5))</f>
        <v>17</v>
      </c>
      <c r="T314" s="7">
        <f>IF(S314="No","No",MAX(_xlfn.XLOOKUP(_xlfn.XLOOKUP(B314,'Base stats'!B:B,'Base stats'!E:E),Groups!A:A,Groups!Q:Q),MROUND(_xlfn.XLOOKUP(_xlfn.XLOOKUP(B314,'Base stats'!B:B,'Base stats'!E:E),Groups!A:A,Groups!Q:Q)*_xlfn.XLOOKUP(B314,'Base stats'!B:B,'Base stats'!C:C)^0.165,0.05)))</f>
        <v>2.6500000000000004</v>
      </c>
      <c r="U314" s="7" t="str">
        <f>IF(S314="No","No",_xlfn.XLOOKUP(_xlfn.XLOOKUP(B314,'Base stats'!B:B,'Base stats'!E:E),Groups!A:A,Groups!R:R))</f>
        <v>FrontLeftLeg, FrontRightLeg</v>
      </c>
      <c r="V314" s="7" t="str">
        <f>IF(S314="No","No",_xlfn.XLOOKUP(_xlfn.XLOOKUP(B314,'Base stats'!B:B,'Base stats'!E:E),Groups!A:A,Groups!S:S))</f>
        <v>left hoof, right hoof</v>
      </c>
      <c r="W314" s="7" t="str">
        <f>IF(S314="No","No",_xlfn.XLOOKUP(_xlfn.XLOOKUP(B314,'Base stats'!B:B,'Base stats'!E:E),Groups!A:A,Groups!T:T))</f>
        <v>Blunt</v>
      </c>
      <c r="X314" s="13">
        <f>IF(_xlfn.XLOOKUP(B314,'Base stats'!B:B,'Base stats'!W:W)="No","No",MROUND((LOG10(_xlfn.XLOOKUP(B314,'Base stats'!B:B,'Base stats'!AU:AU))*(AO314^0.5)+(_xlfn.XLOOKUP(B314,'Base stats'!B:B,'Base stats'!AU:AU)/1000)^(2/3)+_xlfn.XLOOKUP(B314,'Base stats'!B:B,'Base stats'!AZ:AZ))+0.5+IF(_xlfn.XLOOKUP(_xlfn.XLOOKUP(B314,'Base stats'!B:B,'Base stats'!E:E),Groups!A:A,Groups!U:U)&lt;&gt;3,_xlfn.XLOOKUP(B314,'Base stats'!B:B,'Base stats'!BA:BA),0),0.5))</f>
        <v>14</v>
      </c>
      <c r="Y314" s="7">
        <f>IF(X314="No","No",MAX(_xlfn.XLOOKUP(_xlfn.XLOOKUP(B314,'Base stats'!B:B,'Base stats'!E:E),Groups!A:A,Groups!V:V),MROUND(_xlfn.XLOOKUP(_xlfn.XLOOKUP(B314,'Base stats'!B:B,'Base stats'!E:E),Groups!A:A,Groups!V:V)*_xlfn.XLOOKUP(B314,'Base stats'!B:B,'Base stats'!C:C)^0.165,0.05)))</f>
        <v>2.25</v>
      </c>
      <c r="Z314" s="7" t="str">
        <f>IF(X314="No","No",_xlfn.XLOOKUP(_xlfn.XLOOKUP(B314,'Base stats'!B:B,'Base stats'!E:E),Groups!A:A,Groups!W:W))</f>
        <v>HeadAttackTool</v>
      </c>
      <c r="AA314" s="7" t="str">
        <f>IF(X314="No","No",_xlfn.XLOOKUP(_xlfn.XLOOKUP(B314,'Base stats'!B:B,'Base stats'!E:E),Groups!A:A,Groups!X:X))</f>
        <v>horn</v>
      </c>
      <c r="AB314" s="7" t="str">
        <f>IF(X314="No","No",_xlfn.XLOOKUP(_xlfn.XLOOKUP(B314,'Base stats'!B:B,'Base stats'!E:E),Groups!A:A,Groups!Y:Y))</f>
        <v>Scratch</v>
      </c>
      <c r="AC314" s="7" t="str">
        <f>_xlfn.XLOOKUP(Animals!B314,'Base stats'!B:B,'Base stats'!X:X)</f>
        <v>True</v>
      </c>
      <c r="AD314" s="13" t="str">
        <f>IF(_xlfn.XLOOKUP(B314,'Base stats'!B:B,'Base stats'!AT:AT)="No","No",MROUND((LOG10(_xlfn.XLOOKUP(B314,'Base stats'!B:B,'Base stats'!AT:AT))*(AO314^0.75)+(_xlfn.XLOOKUP(B314,'Base stats'!B:B,'Base stats'!AT:AT)/1000)^(2/3)+_xlfn.XLOOKUP(B314,'Base stats'!B:B,'Base stats'!AX:AX)+_xlfn.XLOOKUP(B314,'Base stats'!B:B,'Base stats'!BA:BA))+0.5,0.5))</f>
        <v>No</v>
      </c>
      <c r="AE314" s="7" t="str">
        <f>IF(AD314="No","No",MAX(_xlfn.XLOOKUP(_xlfn.XLOOKUP(B314,'Base stats'!B:B,'Base stats'!E:E),Groups!A:A,Groups!Z:Z),MROUND(_xlfn.XLOOKUP(_xlfn.XLOOKUP(B314,'Base stats'!B:B,'Base stats'!E:E),Groups!A:A,Groups!Z:Z)*_xlfn.XLOOKUP(B314,'Base stats'!B:B,'Base stats'!C:C)^0.165,0.05)))</f>
        <v>No</v>
      </c>
      <c r="AF314" s="7" t="str">
        <f>IF(AD314="No","No",_xlfn.XLOOKUP(_xlfn.XLOOKUP(B314,'Base stats'!B:B,'Base stats'!E:E),Groups!A:A,Groups!AA:AA))</f>
        <v>No</v>
      </c>
      <c r="AG314" s="7" t="str">
        <f>IF(AD314="No","No",_xlfn.XLOOKUP(_xlfn.XLOOKUP(B314,'Base stats'!B:B,'Base stats'!E:E),Groups!A:A,Groups!AB:AB))</f>
        <v>No</v>
      </c>
      <c r="AH314" s="7" t="str">
        <f>IF(AD314="No","No",_xlfn.XLOOKUP(_xlfn.XLOOKUP(B314,'Base stats'!B:B,'Base stats'!E:E),Groups!A:A,Groups!AC:AC))</f>
        <v>No</v>
      </c>
      <c r="AI314" s="13" t="str">
        <f>IF(_xlfn.XLOOKUP(_xlfn.XLOOKUP(B314,'Base stats'!B:B,'Base stats'!E:E),Groups!A:A,Groups!AD:AD)=0,"No",MROUND((LOG10(_xlfn.XLOOKUP(B314,'Base stats'!B:B,'Base stats'!AS:AS))*(AO314^0.75)+(_xlfn.XLOOKUP(B314,'Base stats'!B:B,'Base stats'!AS:AS)/1000)^(2/3)+_xlfn.XLOOKUP(B314,'Base stats'!B:B,'Base stats'!AY:AY)+_xlfn.XLOOKUP(B314,'Base stats'!B:B,'Base stats'!BA:BA))+0.5,0.5))</f>
        <v>No</v>
      </c>
      <c r="AJ314" s="7" t="str">
        <f>IF(AI314="No","No",MAX(_xlfn.XLOOKUP(_xlfn.XLOOKUP(B314,'Base stats'!B:B,'Base stats'!E:E),Groups!A:A,Groups!AE:AE),MROUND(_xlfn.XLOOKUP(_xlfn.XLOOKUP(B314,'Base stats'!B:B,'Base stats'!E:E),Groups!A:A,Groups!AE:AE)*IF(_xlfn.XLOOKUP(_xlfn.XLOOKUP(B314,'Base stats'!B:B,'Base stats'!E:E),Groups!A:A,Groups!AJ:AJ)="Photonozoa",0.6,1)*_xlfn.XLOOKUP(B314,'Base stats'!B:B,'Base stats'!C:C)^0.165,0.05)))</f>
        <v>No</v>
      </c>
      <c r="AK314" s="7" t="str">
        <f>IF(AI314="No","No",_xlfn.XLOOKUP(_xlfn.XLOOKUP(B314,'Base stats'!B:B,'Base stats'!E:E),Groups!A:A,Groups!AF:AF))</f>
        <v>No</v>
      </c>
      <c r="AL314" s="7" t="str">
        <f>IF(AI314="No","No",_xlfn.XLOOKUP(_xlfn.XLOOKUP(B314,'Base stats'!B:B,'Base stats'!E:E),Groups!A:A,Groups!AG:AG))</f>
        <v>No</v>
      </c>
      <c r="AM314" s="7" t="str">
        <f>IF(AI314="No","No",_xlfn.XLOOKUP(_xlfn.XLOOKUP(B314,'Base stats'!B:B,'Base stats'!E:E),Groups!A:A,Groups!AH:AH))</f>
        <v>No</v>
      </c>
      <c r="AN314" s="2" t="str">
        <f t="shared" si="28"/>
        <v>No</v>
      </c>
      <c r="AO314" s="2">
        <f>MROUND(IF(AND(_xlfn.XLOOKUP(B314,'Base stats'!B:B,'Base stats'!C:C)&gt;=0.5,_xlfn.XLOOKUP(B314,'Base stats'!B:B,'Base stats'!C:C)&lt;=0.8),
IF(_xlfn.XLOOKUP(B314,'Base stats'!B:B,'Base stats'!C:C)&lt;0.1,0.05,IF(_xlfn.XLOOKUP(B314,'Base stats'!B:B,'Base stats'!C:C)&lt;=70,(_xlfn.XLOOKUP(B314,'Base stats'!B:B,'Base stats'!C:C)/70)^0.426489913056526,IF(_xlfn.XLOOKUP(B314,'Base stats'!B:B,'Base stats'!C:C)&lt;=400,(_xlfn.XLOOKUP(B314,'Base stats'!B:B,'Base stats'!C:C)/70)^0.572811455315093,IF(_xlfn.XLOOKUP(B314,'Base stats'!B:B,'Base stats'!C:C)&lt;=2000,2.71391647193063*(_xlfn.XLOOKUP(B314,'Base stats'!B:B,'Base stats'!C:C)/400)^0.252459582904293,3.74314280240376*(_xlfn.XLOOKUP(B314,'Base stats'!B:B,'Base stats'!C:C)/2000)^0.357012633876913)))),
IF(_xlfn.XLOOKUP(B314,'Base stats'!B:B,'Base stats'!C:C)&lt;0.1,0.05,IF(_xlfn.XLOOKUP(B314,'Base stats'!B:B,'Base stats'!C:C)&lt;0.4,0.1,IF(_xlfn.XLOOKUP(B314,'Base stats'!B:B,'Base stats'!C:C)&lt;=70,(_xlfn.XLOOKUP(B314,'Base stats'!B:B,'Base stats'!C:C)/70)^0.445823913056526,IF(_xlfn.XLOOKUP(B314,'Base stats'!B:B,'Base stats'!C:C)&lt;=400,(_xlfn.XLOOKUP(B314,'Base stats'!B:B,'Base stats'!C:C)/70)^0.572811455315093,IF(_xlfn.XLOOKUP(B314,'Base stats'!B:B,'Base stats'!C:C)&lt;=2000,2.71391647193063*(_xlfn.XLOOKUP(B314,'Base stats'!B:B,'Base stats'!C:C)/400)^0.252459582904293,3.74314280240376*(_xlfn.XLOOKUP(B314,'Base stats'!B:B,'Base stats'!C:C)/2000)^0.357012633876913)))))),
IF(_xlfn.XLOOKUP(B314,'Base stats'!B:B,'Base stats'!C:C)&lt;0.1,0.05,IF(_xlfn.XLOOKUP(B314,'Base stats'!B:B,'Base stats'!C:C)&lt;=100,0.05,IF(_xlfn.XLOOKUP(B314,'Base stats'!B:B,'Base stats'!C:C)&lt;=250,0.1,IF(_xlfn.XLOOKUP(B314,'Base stats'!B:B,'Base stats'!C:C)&lt;=4000,0.25,0.5)))))</f>
        <v>2.5</v>
      </c>
      <c r="AP314" s="8">
        <f>MROUND(AO314*_xlfn.XLOOKUP(_xlfn.XLOOKUP(B314,'Base stats'!B:B,'Base stats'!E:E),Groups!A:A,Groups!AI:AI)*_xlfn.XLOOKUP(B314,'Base stats'!B:B,'Base stats'!Z:Z),0.05)</f>
        <v>2.5</v>
      </c>
      <c r="AQ314" s="8">
        <f>MAX(0.01,MROUND(IF(CC314="True",0.196*(AO314*100*1000)^0.889,IF(_xlfn.XLOOKUP(_xlfn.XLOOKUP(B314,'Base stats'!B:B,'Base stats'!E:E),Groups!A:A,Groups!AJ:AJ)="Bird",10.5*(AO314*100*1000)^0.681,4.82*(AO314*100*1000)^0.734))/(4.82*(1*100*1000)^0.734)/IF(AO314&lt;3.5,2,IF(AO314=3.5,1.5,1.25))*(1+0.132282374779864/(AO314^0.994035016789033+0.00905238001496948)),0.05))</f>
        <v>1.05</v>
      </c>
      <c r="AR314" s="9">
        <f>IFERROR(MROUND(_xlfn.XLOOKUP(B314,'Base stats'!B:B,'Base stats'!H:H)/IF(_xlfn.XLOOKUP(B314,'Base stats'!B:B,'Base stats'!I:I)&lt;&gt;1,(122.5/70),1.2),IF(_xlfn.XLOOKUP(B314,'Base stats'!B:B,'Base stats'!H:H)&gt;=30,5,IF(_xlfn.XLOOKUP(B314,'Base stats'!B:B,'Base stats'!H:H)&gt;=15,3,IF(_xlfn.XLOOKUP(B314,'Base stats'!B:B,'Base stats'!H:H)&gt;=10,2,1)))),"Immortal")</f>
        <v>18</v>
      </c>
      <c r="AS314" s="35">
        <f>IFERROR(IF(OR(_xlfn.XLOOKUP(B314,'Base stats'!B:B,'Base stats'!F:F)="Atypical reproduction",_xlfn.XLOOKUP(B314,'Base stats'!B:B,'Base stats'!F:F)="Lay eggs"),"Lay eggs",MIN(20,MAX(5.5,ROUND(((_xlfn.XLOOKUP(B314,'Base stats'!B:B,'Base stats'!F:F)-25)*(14.5/615) + 5.5)*2,0)/2))),"Unknown")</f>
        <v>11.5</v>
      </c>
      <c r="AT314" s="8">
        <f>IF(_xlfn.XLOOKUP(B314,'Base stats'!B:B,'Base stats'!G:G)="Atypical reproduction","No",IFERROR(MAX(IF(_xlfn.XLOOKUP(B314,'Base stats'!B:B,'Base stats'!G:G)&lt;0.5,0.2,0.3),MROUND(_xlfn.XLOOKUP(B314,'Base stats'!B:B,'Base stats'!G:G)/(365/60),0.2)),"Unknown"))</f>
        <v>0.3</v>
      </c>
      <c r="AU314" s="8">
        <f t="shared" si="29"/>
        <v>0.15000000000000002</v>
      </c>
      <c r="AV314" s="8">
        <f>IFERROR(IFERROR(MROUND(_xlfn.XLOOKUP(B314,'Base stats'!B:B,'Base stats'!J:J),0.1),"Lay eggs"),"Cannot breed")</f>
        <v>1</v>
      </c>
      <c r="AW314" s="2" t="str">
        <f t="shared" si="30"/>
        <v>true</v>
      </c>
      <c r="AX314" s="2" t="str">
        <f>IF(_xlfn.XLOOKUP(_xlfn.XLOOKUP(Animals!B314,'Base stats'!B:B,'Base stats'!E:E),Groups!A:A,Groups!AK:AK)=1,"true","false")</f>
        <v>true</v>
      </c>
      <c r="AY314" s="25" t="str">
        <f>IF(_xlfn.XLOOKUP(B314,'Base stats'!B:B,'Base stats'!Y:Y)="Liquor","Liquor, CarnivoreAnimalStrict",IF(AND(_xlfn.XLOOKUP(B314,'Base stats'!B:B,'Base stats'!Y:Y)="Carnivore",_xlfn.XLOOKUP(_xlfn.XLOOKUP(B314,'Base stats'!B:B,'Base stats'!E:E),Groups!A:A,Groups!AJ:AJ)="Photonozoa"),"CarnivoreAnimalStrict, OvivoreAnimal",IF(_xlfn.XLOOKUP(B314,'Base stats'!B:B,'Base stats'!Y:Y)="Carnivore","CarnivoreAnimal, OvivoreAnimal",IF(_xlfn.XLOOKUP(B314,'Base stats'!B:B,'Base stats'!Y:Y)="Dendrovore","VegetarianRoughAnimal, DendrovoreAnimal",IF(_xlfn.XLOOKUP(B314,'Base stats'!B:B,'Base stats'!Y:Y)="Herbivore","VegetarianRoughAnimal",IF(_xlfn.XLOOKUP(B314,'Base stats'!B:B,'Base stats'!Y:Y)="OmnivoreRough","OmnivoreRoughAnimal, OvivoreAnimal","OmnivoreAnimal, OvivoreAnimal"))))))</f>
        <v>VegetarianRoughAnimal</v>
      </c>
      <c r="AZ314" s="2">
        <f>IF(_xlfn.XLOOKUP(_xlfn.XLOOKUP(B314,'Base stats'!B:B,'Base stats'!E:E),Groups!A:A,Groups!D:D)=1,MROUND((1-J314)*5+1,2)*IF(J314&lt;=0.4,2,1),"No")</f>
        <v>8</v>
      </c>
      <c r="BA314" s="2" t="str">
        <f>IF(AND(_xlfn.XLOOKUP(B314,'Base stats'!B:B,'Base stats'!AH:AH)="&lt;li&gt;Seal&lt;/li&gt;",G314="Odyssey"),"&lt;li&gt;AEXP_Seal&lt;/li&gt;",_xlfn.XLOOKUP(B314,'Base stats'!B:B,'Base stats'!AH:AH))</f>
        <v>&lt;li&gt;Cow&lt;/li&gt;</v>
      </c>
      <c r="BB314" s="2" t="str">
        <f>_xlfn.XLOOKUP(B314,'Base stats'!B:B,'Base stats'!AG:AG)</f>
        <v>Leather_Chitin</v>
      </c>
      <c r="BC314" s="23" t="str">
        <f>_xlfn.XLOOKUP(_xlfn.XLOOKUP(B314,'Base stats'!B:B,'Base stats'!E:E),Groups!A:A,Groups!AL:AL)</f>
        <v>QuadrupedAnimalWithHooves</v>
      </c>
      <c r="BD314" s="23">
        <f>MIN(1,MROUND(IF(AND(AO314&lt;0.5,_xlfn.XLOOKUP(B314,'Base stats'!B:B,'Base stats'!AA:AA)=0),0,IF(OR(_xlfn.XLOOKUP(Animals!B314,'Base stats'!B:B,'Base stats'!O:O)=2,_xlfn.XLOOKUP(_xlfn.XLOOKUP(B314,'Base stats'!B:B,'Base stats'!E:E),Groups!A:A,Groups!AN:AN)=0),0,_xlfn.XLOOKUP(_xlfn.XLOOKUP(B314,'Base stats'!B:B,'Base stats'!E:E),Groups!A:A,Groups!AN:AN)/IF(_xlfn.XLOOKUP(Animals!B314,'Base stats'!B:B,'Base stats'!O:O)=1,2,1)))+_xlfn.XLOOKUP(B314,'Base stats'!B:B,'Base stats'!AC:AC),0.005))</f>
        <v>0</v>
      </c>
      <c r="BE314" s="23">
        <f>MIN(1,MROUND(IF(AND(AO314&lt;0.5,_xlfn.XLOOKUP(B314,'Base stats'!B:B,'Base stats'!AA:AA)=0),0,IF(_xlfn.XLOOKUP(_xlfn.XLOOKUP(B314,'Base stats'!B:B,'Base stats'!E:E),Groups!A:A,Groups!AO:AO)=0,0,_xlfn.XLOOKUP(_xlfn.XLOOKUP(B314,'Base stats'!B:B,'Base stats'!E:E),Groups!A:A,Groups!AO:AO)/IF(_xlfn.XLOOKUP(Animals!B314,'Base stats'!B:B,'Base stats'!O:O)=2,3,1)))+_xlfn.XLOOKUP(B314,'Base stats'!B:B,'Base stats'!AD:AD),0.005))</f>
        <v>0</v>
      </c>
      <c r="BF314" s="2" t="str">
        <f>IF(J314&gt;0.3,"No",_xlfn.XLOOKUP(_xlfn.XLOOKUP(Animals!B314,'Base stats'!B:B,'Base stats'!E:E),Groups!A:A,Groups!AP:AP))</f>
        <v>No</v>
      </c>
      <c r="BG314" s="2" t="str">
        <f>IF(AND(J314&lt;=0.65,_xlfn.XLOOKUP(_xlfn.XLOOKUP(Animals!B314,'Base stats'!B:B,'Base stats'!E:E),Groups!A:A,Groups!AP:AP)&lt;&gt;"No",_xlfn.XLOOKUP(_xlfn.XLOOKUP(B314,'Base stats'!B:B,'Base stats'!E:E),Groups!A:A,Groups!D:D)=0),MROUND((80/3)*IF(_xlfn.XLOOKUP(B314,'Base stats'!B:B,'Base stats'!O:O)=2,0.2,AO314) + 24*(1-IF(BF314="No",0,BF314)) + 16/3, 12),"No")</f>
        <v>No</v>
      </c>
      <c r="BH314" s="2">
        <f>IF(AND(_xlfn.XLOOKUP(_xlfn.XLOOKUP(B314,'Base stats'!B:B,'Base stats'!E:E),Groups!A:A,Groups!AQ:AQ)=1,AO314&lt;=0.35),8,12)</f>
        <v>12</v>
      </c>
      <c r="BI314" s="2" t="str">
        <f>IF(_xlfn.XLOOKUP(_xlfn.XLOOKUP(B314,'Base stats'!B:B,'Base stats'!E:E),Groups!A:A,Groups!D:D)=0,_xlfn.XLOOKUP(_xlfn.XLOOKUP(B314,'Base stats'!B:B,'Base stats'!E:E),Groups!A:A,Groups!AR:AR),"None")</f>
        <v>None</v>
      </c>
      <c r="BJ314" s="2" t="str">
        <f>IF(AND(_xlfn.XLOOKUP(_xlfn.XLOOKUP(B314,'Base stats'!B:B,'Base stats'!E:E),Groups!A:A,Groups!AS:AS)=1,OR(_xlfn.XLOOKUP(B314,'Base stats'!B:B,'Base stats'!Y:Y)="Carnivore",_xlfn.XLOOKUP(B314,'Base stats'!B:B,'Base stats'!Y:Y)="Omnivore")),"true","false")</f>
        <v>false</v>
      </c>
      <c r="BK314" s="2" t="str">
        <f>IF(BJ314="true",MROUND(IF(AND(AO314&gt;0.5,OR(_xlfn.XLOOKUP(_xlfn.XLOOKUP(B314,'Base stats'!B:B,'Base stats'!E:E),Groups!A:A,Groups!AJ:AJ)="Photonozoa",_xlfn.XLOOKUP(_xlfn.XLOOKUP(B314,'Base stats'!B:B,'Base stats'!E:E),Groups!A:A,Groups!AJ:AJ)="Mammal")),Animals!AO314*1.75*IF(AW314="true",1.5,1),IF(AO314&lt;0.5,Animals!AO314*0.5,Animals!AO314)),IF(AO314&gt;2,0.5,IF(AO314&gt;0.5,0.25,0.1))),"No")</f>
        <v>No</v>
      </c>
      <c r="BL314" s="2">
        <f t="shared" si="31"/>
        <v>0</v>
      </c>
      <c r="BM314" s="25" t="str">
        <f>IF(_xlfn.XLOOKUP(B314,'Base stats'!B:B,'Base stats'!AN:AN)="Standard","No",MROUND((_xlfn.XLOOKUP(B314,'Base stats'!B:B,'Base stats'!AN:AN)/3.6)/I314,0.1))</f>
        <v>No</v>
      </c>
      <c r="BN314" s="25" t="str">
        <f t="shared" si="32"/>
        <v>false</v>
      </c>
      <c r="BO314" s="25" t="str">
        <f>IF(AND(OR(_xlfn.XLOOKUP(B314,'Base stats'!B:B,'Base stats'!Y:Y)="Carnivore",_xlfn.XLOOKUP(B314,'Base stats'!B:B,'Base stats'!Y:Y)="Omnivore",_xlfn.XLOOKUP(B314,'Base stats'!B:B,'Base stats'!Y:Y)="OmnivoreRough"),_xlfn.XLOOKUP(_xlfn.XLOOKUP(B314,'Base stats'!B:B,'Base stats'!E:E),Groups!A:A,Groups!AT:AT)=1),"true","false")</f>
        <v>false</v>
      </c>
      <c r="BP314" s="25" t="str" cm="1">
        <f t="array" ref="BP314">IF(
  _xlfn.TEXTJOIN(", ",TRUE,
    IF(AND(BJ314="true",AO314&gt;0.5,BI314&lt;&gt;"None"),"AttackTarget",""),
    IF(AND(_xlfn.XLOOKUP(_xlfn.XLOOKUP(B314,'Base stats'!B:B,'Base stats'!E:E),Groups!A:A,Groups!AJ:AJ="Mammal"),OR(_xlfn.XLOOKUP(B314,'Base stats'!B:B,'Base stats'!Y:Y)="Omnivore",_xlfn.XLOOKUP(B314,'Base stats'!B:B,'Base stats'!Y:Y)="OmnivoreRough")),"Forage",""),
    IF(BG314&lt;=36,"Comfort",""),
    IF(_xlfn.XLOOKUP(B314,'Base stats'!B:B,'Base stats'!AE:AE)&lt;&gt;"No",_xlfn.XLOOKUP(B314,'Base stats'!B:B,'Base stats'!AE:AE),"")
  ) = "",
  "No",
  _xlfn.TEXTJOIN(", ",TRUE,
    IF(AND(BJ314="true",AO314&gt;0.5,BI314&lt;&gt;"None"),"AttackTarget",""),
    IF(AND(_xlfn.XLOOKUP(_xlfn.XLOOKUP(B314,'Base stats'!B:B,'Base stats'!E:E),Groups!A:A,Groups!AJ:AJ="Mammal"),OR(_xlfn.XLOOKUP(B314,'Base stats'!B:B,'Base stats'!Y:Y)="Omnivore",_xlfn.XLOOKUP(B314,'Base stats'!B:B,'Base stats'!Y:Y)="OmnivoreRough")),"Forage",""),
    IF(BG314&lt;=36,"Comfort",""),
    IF(_xlfn.XLOOKUP(B314,'Base stats'!B:B,'Base stats'!AE:AE)&lt;&gt;"No",_xlfn.XLOOKUP(B314,'Base stats'!B:B,'Base stats'!AE:AE),"")
  )
)</f>
        <v>No</v>
      </c>
      <c r="BQ314" s="25" t="str">
        <f>IF(
   AND(
      'Base stats'!AN314="Standard",_xlfn.XLOOKUP(_xlfn.XLOOKUP(B314,'Base stats'!B:B,'Base stats'!E:E),Groups!A:A,Groups!AU:AU)=0,
      OR(
      BO314="True"
      )
   ),
   10,
   IF(
       OR(BM314&lt;&gt;"No",_xlfn.XLOOKUP(_xlfn.XLOOKUP(B314,'Base stats'!B:B,'Base stats'!E:E),Groups!A:A,Groups!AU:AU)=1),
      1,
      "No"
   )
)</f>
        <v>No</v>
      </c>
      <c r="BR314" s="9">
        <f>MROUND((1 + ((0.2*IF(OR(Q314="No",R314="No",R314=0),0,Q314/R314)
+IF(OR(V314="No",S314="No",T314="No"),0,S314/T314*(LEN(V314)-LEN(SUBSTITUTE(V314,",",""))+1))
+IF(OR(X314="No",Y314="No"),0,X314/Y314)
+IF(OR(AD314="No",AE314="No"),0,AD314/AE314)
+IF(OR(AL314="No",AI314="No",AJ314="No"),0,AI314/AJ314*(LEN(AL314)-LEN(SUBSTITUTE(AL314,",",""))+1))
)/(0.2*IF(OR(Q314="No",R314="No",R314=0),0,1)
+IF(OR(V314="No",S314="No",T314="No"),0,LEN(V314)-LEN(SUBSTITUTE(V314,",",""))+1)
+IF(OR(X314="No",Y314="No"),0,1)
+IF(OR(AD314="No",AE314="No"),0,1)
+IF(OR(AL314="No",AI314="No",AJ314="No"),0,LEN(AL314)-LEN(SUBSTITUTE(AL314,",",""))+1))*62%)* 2)*(1 + (AP314 / (IF(_xlfn.XLOOKUP(_xlfn.XLOOKUP(B314,'Base stats'!B:B,'Base stats'!E:E),Groups!A:A,Groups!AJ:AJ)="Photonozoa",0.3,1)) + _xlfn.XLOOKUP(B314,'Base stats'!B:B,'Base stats'!AV:AV) * 1.8) * 2) * 2.5 + 10 + I314 * 2,5)+IF(_xlfn.XLOOKUP(B314,'Base stats'!B:B,'Base stats'!AK:AK)=1,50,0)</f>
        <v>150</v>
      </c>
      <c r="BS314" s="8">
        <f t="shared" si="33"/>
        <v>1.35</v>
      </c>
      <c r="BT314" s="8" t="str">
        <f>_xlfn.XLOOKUP(B314,'Base stats'!B:B,'Base stats'!AF:AF)</f>
        <v>3~10</v>
      </c>
      <c r="BU314" s="2" t="str">
        <f>IF(AND(J314&lt;=0.95,OR(_xlfn.XLOOKUP(B314,'Base stats'!B:B,'Base stats'!AK:AK)=1,_xlfn.XLOOKUP(B314,'Base stats'!B:B,'Base stats'!Y:Y)="Carnivore",_xlfn.XLOOKUP(B314,'Base stats'!B:B,'Base stats'!Y:Y)="Omnivore",BE314&gt;0.1)),"true","false")</f>
        <v>false</v>
      </c>
      <c r="BV314" s="2" t="str">
        <f>IF(_xlfn.XLOOKUP(B314,'Base stats'!B:B,'Base stats'!AI:AI)=1,"true","false")</f>
        <v>true</v>
      </c>
      <c r="BW314" s="25" t="str">
        <f>IF(E314="BaseInsect","AnimalInsect",
IF(J314&gt;0.95,"AnimalExotic",
_xlfn.TEXTJOIN(", ",TRUE,
IF(OR(_xlfn.XLOOKUP(B314,'Base stats'!B:B,'Base stats'!AM:AM)=1,AND(_xlfn.XLOOKUP(B314,'Base stats'!B:B,'Base stats'!O:O)=0,_xlfn.XLOOKUP(_xlfn.XLOOKUP(B314,'Base stats'!B:B,'Base stats'!E:E),Groups!A:A,Groups!B:B)&gt;0)),"AnimalUncommon","AnimalCommon"),
IF(AND(_xlfn.XLOOKUP(B314,'Base stats'!B:B,'Base stats'!O:O)=2,_xlfn.XLOOKUP(_xlfn.XLOOKUP(B314,'Base stats'!B:B,'Base stats'!E:E),Groups!A:A,Groups!D:D)=0),"AnimalPet",IF(AND(_xlfn.XLOOKUP(B314,'Base stats'!B:B,'Base stats'!O:O)&lt;&gt;0,_xlfn.XLOOKUP(_xlfn.XLOOKUP(B314,'Base stats'!B:B,'Base stats'!E:E),Groups!A:A,Groups!D:D)&lt;&gt;0),"AnimalFarm","")),
IF(OR(_xlfn.XLOOKUP(B314,'Base stats'!B:B,'Base stats'!AK:AK)=1,AND(BI314&lt;&gt;"None",BR314&gt;=60),ISNUMBER(SEARCH("Attack target",BP314))),"AnimalFighter","")
)))</f>
        <v>AnimalUncommon, AnimalFarm</v>
      </c>
      <c r="BX314" s="25" t="str">
        <f>IF(G314="None",TRIM(
SUBSTITUTE(
IF(COUNTIF(Biomes!B$2:B$259,"="&amp;$C314)&gt;0,Biomes!B$1&amp;", ","")&amp;
IF(COUNTIF(Biomes!C$2:C$259,"="&amp;$C314)&gt;0,Biomes!C$1&amp;", ","")&amp;
IF(COUNTIF(Biomes!D$2:D$259,"="&amp;$C314)&gt;0,Biomes!D$1&amp;", ","")&amp;
IF(COUNTIF(Biomes!F$2:F$259,"="&amp;$C314)&gt;0,Biomes!F$1&amp;", ","")&amp;
IF(COUNTIF(Biomes!G$2:G$259,"="&amp;$C314)&gt;0,Biomes!G$1&amp;", ","")&amp;
IF(COUNTIF(Biomes!H$2:H$259,"="&amp;$C314)&gt;0,Biomes!H$1&amp;", ","")&amp;
IF(COUNTIF(Biomes!I$2:I$259,"="&amp;$C314)&gt;0,Biomes!I$1&amp;", ","")&amp;
IF(COUNTIF(Biomes!J$2:J$259,"="&amp;$C314)&gt;0,Biomes!J$1&amp;", ","")&amp;
IF(COUNTIF(Biomes!M$2:M$259,"="&amp;$C314)&gt;0,Biomes!M$1&amp;", ","")&amp;
IF(COUNTIF(Biomes!N$2:N$259,"="&amp;$C314)&gt;0,Biomes!N$1&amp;", ","")&amp;
IF(COUNTIF(Biomes!O$2:O$259,"="&amp;$C314)&gt;0,Biomes!O$1&amp;", ","")&amp;
IF(COUNTIF(Biomes!P$2:P$259,"="&amp;$C314)&gt;0,Biomes!P$1&amp;", ","")&amp;
IF(COUNTIF(Biomes!K$2:K$259,"="&amp;$C314)&gt;0,Biomes!K$1&amp;", ","")&amp;
IF(COUNTIF(Biomes!Q$3:Q$259,"="&amp;$C314)&gt;0,Biomes!Q$1&amp;", ","")&amp;
IF(COUNTIF(Biomes!L$2:L$259,"="&amp;$C314)&gt;0,Biomes!L$1&amp;", ","")&amp;
IF(COUNTIF(Biomes!E$2:E$259,"="&amp;$C314)&gt;0,Biomes!E$1&amp;", ","")&amp;IF(COUNTIF(Biomes!S$2:S$259,"="&amp;$C314)&gt;0,Biomes!S$1&amp;", ","")&amp;
IF(COUNTIF(Biomes!R$2:R$259,"="&amp;$C314)&gt;0,Biomes!R$1&amp;", ",""),", ","")
),_xlfn.XLOOKUP(B314,B:B,BX:BX))</f>
        <v>SeaIce IceSheet Tundra BorealForest ColdBog TemperateForest TemperateSwamp AridShrubland Desert ExtremeDesert TropicalRainforest TropicalSwamp Grasslands Glowforest LavaField GlacialPlain Scarlands</v>
      </c>
      <c r="BY314" s="25" t="str">
        <f>IF(_xlfn.XLOOKUP(B314,'Base stats'!B:B,'Base stats'!AJ:AJ)=1,"true","false")</f>
        <v>false</v>
      </c>
      <c r="BZ314" s="25" t="str">
        <f>IF(_xlfn.XLOOKUP(B314,'Base stats'!B:B,'Base stats'!N:N)=1,"No",MAX(0.001,MIN(MROUND(IF(AND(BJ314="True",CC314="False"),POWER(10,3.47*LOG10(_xlfn.XLOOKUP(B314,'Base stats'!B:B,'Base stats'!C:C)*1000)^-0.96),POWER(10,4.15*LOG10(_xlfn.XLOOKUP(B314,'Base stats'!B:B,'Base stats'!C:C)*1000)^-0.73))*IF(_xlfn.XLOOKUP(B314,'Base stats'!B:B,'Base stats'!AK:AK)=1,0.5,1)*IF(_xlfn.XLOOKUP(B314,'Base stats'!B:B,'Base stats'!AM:AM)=1,0.1,1)/100,IF(_xlfn.XLOOKUP(B314,'Base stats'!B:B,'Base stats'!AM:AM)=1,0.001,0.025)),0.5)))</f>
        <v>No</v>
      </c>
      <c r="CA314" s="25">
        <f>IF(P314="Standard","No",MAX(0.001,MIN(MROUND(IF(AND(BJ314="True",CC314="False"),POWER(10,3.47*LOG10(_xlfn.XLOOKUP(B314,'Base stats'!B:B,'Base stats'!C:C)*1000)^-0.96),POWER(10,4.15*LOG10(_xlfn.XLOOKUP(B314,'Base stats'!B:B,'Base stats'!C:C)*1000)^-0.73))*IF(_xlfn.XLOOKUP(B314,'Base stats'!B:B,'Base stats'!AM:AM)=1,0.1,1)*_xlfn.XLOOKUP(B314,'Base stats'!B:B,'Base stats'!R:R)/100,IF(_xlfn.XLOOKUP(B314,'Base stats'!B:B,'Base stats'!AM:AM)=1,0.001,0.025)),0.5)))</f>
        <v>1.4999999999999999E-2</v>
      </c>
      <c r="CB314" s="25" t="str">
        <f>IF(_xlfn.XLOOKUP(_xlfn.XLOOKUP(B314,'Base stats'!B:B,'Base stats'!E:E),Groups!A:A,Groups!AJ:AJ)="Mammal","True","False")</f>
        <v>True</v>
      </c>
      <c r="CC314" s="25" t="str">
        <f>IF(OR(_xlfn.XLOOKUP(_xlfn.XLOOKUP(B314,'Base stats'!B:B,'Base stats'!E:E),Groups!A:A,Groups!AJ:AJ)="Reptile",_xlfn.XLOOKUP(_xlfn.XLOOKUP(B314,'Base stats'!B:B,'Base stats'!E:E),Groups!A:A,Groups!AJ:AJ)="Amphibian",_xlfn.XLOOKUP(_xlfn.XLOOKUP(B314,'Base stats'!B:B,'Base stats'!E:E),Groups!A:A,Groups!AJ:AJ)="Invertebrate"),"True","False")</f>
        <v>False</v>
      </c>
      <c r="CD314" s="25" t="str">
        <f t="shared" si="34"/>
        <v>False</v>
      </c>
      <c r="CE314" s="25" t="str">
        <f>IF(_xlfn.XLOOKUP(_xlfn.XLOOKUP(B314,'Base stats'!B:B,'Base stats'!E:E),Groups!A:A,Groups!AX:AX),"True","False")</f>
        <v>False</v>
      </c>
      <c r="CF314" s="25" t="str">
        <f>IF(_xlfn.XLOOKUP(_xlfn.XLOOKUP(B314,'Base stats'!B:B,'Base stats'!E:E),Groups!A:A,Groups!AY:AY),"True","False")</f>
        <v>False</v>
      </c>
      <c r="CG314" s="25" t="str">
        <f>IF(_xlfn.XLOOKUP(_xlfn.XLOOKUP(B314,'Base stats'!B:B,'Base stats'!E:E),Groups!A:A,Groups!AW:AW),"True","False")</f>
        <v>False</v>
      </c>
      <c r="CH314" s="25" t="str">
        <f>IF(
OR(
_xlfn.XLOOKUP(_xlfn.XLOOKUP(B314,'Base stats'!B:B,'Base stats'!E:E),Groups!A:A,Groups!AZ:AZ)=0,
AND(
_xlfn.XLOOKUP(B314,'Base stats'!B:B,'Base stats'!Y:Y)&lt;&gt;"Carnivore",
_xlfn.XLOOKUP(B314,'Base stats'!B:B,'Base stats'!Y:Y)&lt;&gt;"Omnivore",
_xlfn.XLOOKUP(B314,'Base stats'!B:B,'Base stats'!Y:Y)&lt;&gt;"OmnivoreRough"
)
),
"No",
IF(
_xlfn.XLOOKUP(_xlfn.XLOOKUP(B314,'Base stats'!B:B,'Base stats'!E:E),Groups!A:A,Groups!AZ:AZ)=1,
"Flesh",
IF(
_xlfn.XLOOKUP(_xlfn.XLOOKUP(B314,'Base stats'!B:B,'Base stats'!E:E),Groups!A:A,Groups!AZ:AZ)=2,
"Bone",
""
)
)
)</f>
        <v>No</v>
      </c>
      <c r="CI314" s="25" t="str">
        <f>IF(_xlfn.XLOOKUP(_xlfn.XLOOKUP(B314,'Base stats'!B:B,'Base stats'!E:E),Groups!A:A,Groups!BB:BB),"True","False")</f>
        <v>True</v>
      </c>
      <c r="CJ314" s="25" t="str">
        <f>IF(_xlfn.XLOOKUP(_xlfn.XLOOKUP(B314,'Base stats'!B:B,'Base stats'!E:E),Groups!A:A,Groups!BA:BA),"True","False")</f>
        <v>False</v>
      </c>
    </row>
    <row r="315" spans="1:88" ht="16.5" thickTop="1" thickBot="1" x14ac:dyDescent="0.3">
      <c r="A315" s="26" t="s">
        <v>1542</v>
      </c>
      <c r="B315" s="6" t="str">
        <f>_xlfn.XLOOKUP(A315,'Base stats'!A:A,'Base stats'!B:B)</f>
        <v>Caridea raptrix</v>
      </c>
      <c r="C315" s="28" t="s">
        <v>1543</v>
      </c>
      <c r="D315" s="28" t="s">
        <v>1341</v>
      </c>
      <c r="E315" s="28" t="s">
        <v>673</v>
      </c>
      <c r="F315" s="28" t="s">
        <v>673</v>
      </c>
      <c r="G315" s="28" t="s">
        <v>673</v>
      </c>
      <c r="H315" s="2">
        <f>MROUND((
  (IF(AND(_xlfn.XLOOKUP(B315,'Base stats'!B:B,'Base stats'!AL:AL)=0,BI315="None",_xlfn.XLOOKUP(_xlfn.XLOOKUP(B315,'Base stats'!B:B,'Base stats'!E:E),Groups!A:A,Groups!B:B)=0), (18 + BR315 * 2.7) * 0.5,
    IF(AND(_xlfn.XLOOKUP(B315,'Base stats'!B:B,'Base stats'!AL:AL)=0,OR(AO315&lt;0.55,AND(BI315="Intermediate",_xlfn.XLOOKUP(_xlfn.XLOOKUP(B315,'Base stats'!B:B,'Base stats'!E:E),Groups!A:A,Groups!B:B)&lt;2))), (18 + BR315 * 2.7),
      IF(OR(BI315="Advanced",_xlfn.XLOOKUP(B315,'Base stats'!B:B,'Base stats'!AL:AL)=1,_xlfn.XLOOKUP(_xlfn.XLOOKUP(B315,'Base stats'!B:B,'Base stats'!E:E),Groups!A:A,Groups!B:B)=2), (18 + BR315 * 2.7) + 250, (18 + BR315 * 2.7))
    )
  ))
  + AO315 * 80
  + IF(COUNTIF(EggMilk!K$2:K$998, A315) &gt; 0, 125, 0)
  + IF(COUNTIF(EggMilk!P$2:P$998, A315) &gt; 0, 90, 0)
  + IF(COUNTIF(EggMilk!A$2:A$998, A315) &gt; 0, 90, 0)
)
* (0.8 + 0.4 * J315)
* 0.75,25)</f>
        <v>1200</v>
      </c>
      <c r="I315" s="2">
        <f>MROUND(ROUNDDOWN(_xlfn.XLOOKUP(B315,'Base stats'!B:B,'Base stats'!L:L)/3.6/(23.3/11),1),0.5)</f>
        <v>3</v>
      </c>
      <c r="J315" s="2">
        <f>IF(OR(_xlfn.XLOOKUP(B315,'Base stats'!B:B,'Base stats'!AB:AB)=1,_xlfn.XLOOKUP(_xlfn.XLOOKUP(B315,'Base stats'!B:B,'Base stats'!E:E),Groups!A:A,Groups!C:C)="Untamable"),1,IF(_xlfn.XLOOKUP(B315,'Base stats'!B:B,'Base stats'!AL:AL)=1,0.99,MIN(MROUND((1-0.6282*EXP(-0.459*AO315))*_xlfn.XLOOKUP(_xlfn.XLOOKUP(B315,'Base stats'!B:B,'Base stats'!E:E),Groups!A:A,Groups!C:C)*IF(_xlfn.XLOOKUP(B315,'Base stats'!B:B,'Base stats'!O:O)=1,0.5,IF(_xlfn.XLOOKUP(B315,'Base stats'!B:B,'Base stats'!O:O)=2,0,1)),0.05),IF(AO315&gt;3.5,0.985,0.95))))</f>
        <v>0.9</v>
      </c>
      <c r="K315" s="2">
        <f>ROUNDUP(AO315*_xlfn.XLOOKUP(_xlfn.XLOOKUP(B315,'Base stats'!B:B,'Base stats'!E:E),Groups!A:A,Groups!E:E),0)</f>
        <v>3</v>
      </c>
      <c r="L315" s="2">
        <f>IF(OR(_xlfn.XLOOKUP(_xlfn.XLOOKUP(B315,'Base stats'!B:B,'Base stats'!E:E),Groups!A:A,Groups!F:F)=2,ISNUMBER(SEARCH("SeaIce",BX315)),ISNUMBER(SEARCH("IceSheet",BX315))),-50,IF(OR(ISNUMBER(SEARCH("GlacialPlain",BX315)),ISNUMBER(SEARCH("Tundra",BX315))),-40,IF(OR(ISNUMBER(SEARCH("Alpine",BX315)),ISNUMBER(SEARCH("BorealForest",BX315)),ISNUMBER(SEARCH("ColdBog",BX315))),-30,IF(OR(ISNUMBER(SEARCH("TemperateForest",BX315)),ISNUMBER(SEARCH("TemperateSwamp",BX315))),-20,IF(_xlfn.XLOOKUP(_xlfn.XLOOKUP(B315,'Base stats'!B:B,'Base stats'!E:E),Groups!A:A,Groups!F:F)=1,-15,IF(OR(ISNUMBER(SEARCH("Desert",BX315)),ISNUMBER(SEARCH("ExtremeDesert",BX315))),-10,IF(OR(ISNUMBER(SEARCH("Grasslands",BX315)),ISNUMBER(SEARCH("TropicalRainforest",BX315)),ISNUMBER(SEARCH("TropicalSwamp",BX315))),10,0)))))))-IF(CC315="False",MIN(IFERROR(MAX(MROUND(LOG10(_xlfn.XLOOKUP(B315,'Base stats'!B:B,'Base stats'!C:C)^(2/3))*10,5),5),5),30))-_xlfn.XLOOKUP(B315,'Base stats'!B:B,'Base stats'!P:P)+IF(CC315="True",5,0)</f>
        <v>-5</v>
      </c>
      <c r="M315" s="2">
        <f>IF(OR(_xlfn.XLOOKUP(_xlfn.XLOOKUP(B315,'Base stats'!B:B,'Base stats'!E:E),Groups!A:A,Groups!G:G)=2,ISNUMBER(SEARCH("Desert",BX315)),ISNUMBER(SEARCH("ExtremeDesert",BX315)),ISNUMBER(SEARCH("LavaField",BX315))),50,IF(ISNUMBER(SEARCH("Grasslands",BX315)),45,IF(OR(_xlfn.XLOOKUP(_xlfn.XLOOKUP(B315,'Base stats'!B:B,'Base stats'!E:E),Groups!A:A,Groups!G:G)=1,ISNUMBER(SEARCH("TropicalRainforest",BX315)),ISNUMBER(SEARCH("TropicalSwamp",BX315))),40,IF(OR(ISNUMBER(SEARCH("TemperateForest",BX315)),ISNUMBER(SEARCH("TemperateSwamp",BX315))),35,IF(OR(ISNUMBER(SEARCH("Alpine",BX315)),ISNUMBER(SEARCH("BorealForest",BX315)),ISNUMBER(SEARCH("ColdBog",BX315))),30,IF(ISNUMBER(OR(ISNUMBER(SEARCH("GlacialPlain",BX315)),SEARCH("Tundra",BX315))),25,IF(OR(ISNUMBER(SEARCH("SeaIce",BX315)),ISNUMBER(SEARCH("IceSheet",BX315)),ISNUMBER(SEARCH("TropicalSwamp",BX315))),10,35)))))))+_xlfn.XLOOKUP(B315,'Base stats'!B:B,'Base stats'!Q:Q)</f>
        <v>50</v>
      </c>
      <c r="N315" s="8">
        <f>IF(
_xlfn.XLOOKUP(
_xlfn.XLOOKUP(B315,'Base stats'!B:B,'Base stats'!E:E),
Groups!A:A,
Groups!L:L
)=1,
MIN(
MROUND(
IF(
_xlfn.XLOOKUP(B315,'Animals CE'!B:B,'Animals CE'!Z:Z)&lt;=1.5,
_xlfn.XLOOKUP(B315,'Animals CE'!B:B,'Animals CE'!Z:Z)/2+0.05,
0.8+
(_xlfn.XLOOKUP(B315,'Animals CE'!B:B,'Animals CE'!Z:Z)-1.5)
*0.02
),
0.05
),
200%
),
"No"
)</f>
        <v>0.85000000000000009</v>
      </c>
      <c r="O315" s="8">
        <f>IF(
_xlfn.XLOOKUP(
_xlfn.XLOOKUP(B315,'Base stats'!B:B,'Base stats'!E:E),
Groups!A:A,
Groups!L:L
)=1,
MIN(
MROUND(
IF(
_xlfn.XLOOKUP(B315,'Animals CE'!B:B,'Animals CE'!AA:AA)&lt;=1.5,
_xlfn.XLOOKUP(B315,'Animals CE'!B:B,'Animals CE'!AA:AA)/2+0.05,
0.8+
(_xlfn.XLOOKUP(B315,'Animals CE'!B:B,'Animals CE'!AA:AA)-1.5)
*0.02
),
0.05
),
200%
),
"No"
)</f>
        <v>0.85000000000000009</v>
      </c>
      <c r="P315" s="2" t="str">
        <f>_xlfn.XLOOKUP(B315,'Base stats'!B:B,'Base stats'!R:R)</f>
        <v>Standard</v>
      </c>
      <c r="Q315" s="13">
        <f>MROUND((LOG10(_xlfn.XLOOKUP(B315,'Base stats'!B:B,'Base stats'!AR:AR))*(AO315^0.5)+(_xlfn.XLOOKUP(B315,'Base stats'!B:B,'Base stats'!AR:AR)/1000)^(2/3)+_xlfn.XLOOKUP(B315,'Base stats'!B:B,'Base stats'!BA:BA)/2)+0.5,0.5)</f>
        <v>15</v>
      </c>
      <c r="R315" s="7">
        <f>IF(Q315="No","No",MAX(1,MROUND(_xlfn.XLOOKUP(B315,'Base stats'!B:B,'Base stats'!C:C)^0.165,0.05)))</f>
        <v>2.75</v>
      </c>
      <c r="S315" s="13" t="str">
        <f>IF(_xlfn.XLOOKUP(_xlfn.XLOOKUP(B315,'Base stats'!B:B,'Base stats'!E:E),Groups!A:A,Groups!P:P)=0,"No",MROUND((LOG10(_xlfn.XLOOKUP(B315,'Base stats'!B:B,'Base stats'!AS:AS))*(AO315^0.5)+(_xlfn.XLOOKUP(B315,'Base stats'!B:B,'Base stats'!AS:AS)/1000)^(2/3)+_xlfn.XLOOKUP(B315,'Base stats'!B:B,'Base stats'!BA:BA))+_xlfn.XLOOKUP(B315,'Base stats'!B:B,'Base stats'!AY:AY)+0.5,0.5))</f>
        <v>No</v>
      </c>
      <c r="T315" s="7" t="str">
        <f>IF(S315="No","No",MAX(_xlfn.XLOOKUP(_xlfn.XLOOKUP(B315,'Base stats'!B:B,'Base stats'!E:E),Groups!A:A,Groups!Q:Q),MROUND(_xlfn.XLOOKUP(_xlfn.XLOOKUP(B315,'Base stats'!B:B,'Base stats'!E:E),Groups!A:A,Groups!Q:Q)*_xlfn.XLOOKUP(B315,'Base stats'!B:B,'Base stats'!C:C)^0.165,0.05)))</f>
        <v>No</v>
      </c>
      <c r="U315" s="7" t="str">
        <f>IF(S315="No","No",_xlfn.XLOOKUP(_xlfn.XLOOKUP(B315,'Base stats'!B:B,'Base stats'!E:E),Groups!A:A,Groups!R:R))</f>
        <v>No</v>
      </c>
      <c r="V315" s="7" t="str">
        <f>IF(S315="No","No",_xlfn.XLOOKUP(_xlfn.XLOOKUP(B315,'Base stats'!B:B,'Base stats'!E:E),Groups!A:A,Groups!S:S))</f>
        <v>No</v>
      </c>
      <c r="W315" s="7" t="str">
        <f>IF(S315="No","No",_xlfn.XLOOKUP(_xlfn.XLOOKUP(B315,'Base stats'!B:B,'Base stats'!E:E),Groups!A:A,Groups!T:T))</f>
        <v>No</v>
      </c>
      <c r="X315" s="13" t="str">
        <f>IF(_xlfn.XLOOKUP(B315,'Base stats'!B:B,'Base stats'!W:W)="No","No",MROUND((LOG10(_xlfn.XLOOKUP(B315,'Base stats'!B:B,'Base stats'!AU:AU))*(AO315^0.5)+(_xlfn.XLOOKUP(B315,'Base stats'!B:B,'Base stats'!AU:AU)/1000)^(2/3)+_xlfn.XLOOKUP(B315,'Base stats'!B:B,'Base stats'!AZ:AZ))+0.5+IF(_xlfn.XLOOKUP(_xlfn.XLOOKUP(B315,'Base stats'!B:B,'Base stats'!E:E),Groups!A:A,Groups!U:U)&lt;&gt;3,_xlfn.XLOOKUP(B315,'Base stats'!B:B,'Base stats'!BA:BA),0),0.5))</f>
        <v>No</v>
      </c>
      <c r="Y315" s="7" t="str">
        <f>IF(X315="No","No",MAX(_xlfn.XLOOKUP(_xlfn.XLOOKUP(B315,'Base stats'!B:B,'Base stats'!E:E),Groups!A:A,Groups!V:V),MROUND(_xlfn.XLOOKUP(_xlfn.XLOOKUP(B315,'Base stats'!B:B,'Base stats'!E:E),Groups!A:A,Groups!V:V)*_xlfn.XLOOKUP(B315,'Base stats'!B:B,'Base stats'!C:C)^0.165,0.05)))</f>
        <v>No</v>
      </c>
      <c r="Z315" s="7" t="str">
        <f>IF(X315="No","No",_xlfn.XLOOKUP(_xlfn.XLOOKUP(B315,'Base stats'!B:B,'Base stats'!E:E),Groups!A:A,Groups!W:W))</f>
        <v>No</v>
      </c>
      <c r="AA315" s="7" t="str">
        <f>IF(X315="No","No",_xlfn.XLOOKUP(_xlfn.XLOOKUP(B315,'Base stats'!B:B,'Base stats'!E:E),Groups!A:A,Groups!X:X))</f>
        <v>No</v>
      </c>
      <c r="AB315" s="7" t="str">
        <f>IF(X315="No","No",_xlfn.XLOOKUP(_xlfn.XLOOKUP(B315,'Base stats'!B:B,'Base stats'!E:E),Groups!A:A,Groups!Y:Y))</f>
        <v>No</v>
      </c>
      <c r="AC315" s="7" t="str">
        <f>_xlfn.XLOOKUP(Animals!B315,'Base stats'!B:B,'Base stats'!X:X)</f>
        <v>False</v>
      </c>
      <c r="AD315" s="13">
        <f>IF(_xlfn.XLOOKUP(B315,'Base stats'!B:B,'Base stats'!AT:AT)="No","No",MROUND((LOG10(_xlfn.XLOOKUP(B315,'Base stats'!B:B,'Base stats'!AT:AT))*(AO315^0.75)+(_xlfn.XLOOKUP(B315,'Base stats'!B:B,'Base stats'!AT:AT)/1000)^(2/3)+_xlfn.XLOOKUP(B315,'Base stats'!B:B,'Base stats'!AX:AX)+_xlfn.XLOOKUP(B315,'Base stats'!B:B,'Base stats'!BA:BA))+0.5,0.5))</f>
        <v>40</v>
      </c>
      <c r="AE315" s="7">
        <f>IF(AD315="No","No",MAX(_xlfn.XLOOKUP(_xlfn.XLOOKUP(B315,'Base stats'!B:B,'Base stats'!E:E),Groups!A:A,Groups!Z:Z),MROUND(_xlfn.XLOOKUP(_xlfn.XLOOKUP(B315,'Base stats'!B:B,'Base stats'!E:E),Groups!A:A,Groups!Z:Z)*_xlfn.XLOOKUP(B315,'Base stats'!B:B,'Base stats'!C:C)^0.165,0.05)))</f>
        <v>3.3000000000000003</v>
      </c>
      <c r="AF315" s="7" t="str">
        <f>IF(AD315="No","No",_xlfn.XLOOKUP(_xlfn.XLOOKUP(B315,'Base stats'!B:B,'Base stats'!E:E),Groups!A:A,Groups!AA:AA))</f>
        <v>Mouth</v>
      </c>
      <c r="AG315" s="7" t="str">
        <f>IF(AD315="No","No",_xlfn.XLOOKUP(_xlfn.XLOOKUP(B315,'Base stats'!B:B,'Base stats'!E:E),Groups!A:A,Groups!AB:AB))</f>
        <v>mandibles</v>
      </c>
      <c r="AH315" s="7" t="str">
        <f>IF(AD315="No","No",_xlfn.XLOOKUP(_xlfn.XLOOKUP(B315,'Base stats'!B:B,'Base stats'!E:E),Groups!A:A,Groups!AC:AC))</f>
        <v>Bite</v>
      </c>
      <c r="AI315" s="13">
        <f>IF(_xlfn.XLOOKUP(_xlfn.XLOOKUP(B315,'Base stats'!B:B,'Base stats'!E:E),Groups!A:A,Groups!AD:AD)=0,"No",MROUND((LOG10(_xlfn.XLOOKUP(B315,'Base stats'!B:B,'Base stats'!AS:AS))*(AO315^0.75)+(_xlfn.XLOOKUP(B315,'Base stats'!B:B,'Base stats'!AS:AS)/1000)^(2/3)+_xlfn.XLOOKUP(B315,'Base stats'!B:B,'Base stats'!AY:AY)+_xlfn.XLOOKUP(B315,'Base stats'!B:B,'Base stats'!BA:BA))+0.5,0.5))</f>
        <v>41.5</v>
      </c>
      <c r="AJ315" s="7">
        <f>IF(AI315="No","No",MAX(_xlfn.XLOOKUP(_xlfn.XLOOKUP(B315,'Base stats'!B:B,'Base stats'!E:E),Groups!A:A,Groups!AE:AE),MROUND(_xlfn.XLOOKUP(_xlfn.XLOOKUP(B315,'Base stats'!B:B,'Base stats'!E:E),Groups!A:A,Groups!AE:AE)*IF(_xlfn.XLOOKUP(_xlfn.XLOOKUP(B315,'Base stats'!B:B,'Base stats'!E:E),Groups!A:A,Groups!AJ:AJ)="Photonozoa",0.6,1)*_xlfn.XLOOKUP(B315,'Base stats'!B:B,'Base stats'!C:C)^0.165,0.05)))</f>
        <v>3</v>
      </c>
      <c r="AK315" s="7" t="str">
        <f>IF(AI315="No","No",_xlfn.XLOOKUP(_xlfn.XLOOKUP(B315,'Base stats'!B:B,'Base stats'!E:E),Groups!A:A,Groups!AF:AF))</f>
        <v>FrontLeftPaw, FrontRightPaw</v>
      </c>
      <c r="AL315" s="7" t="str">
        <f>IF(AI315="No","No",_xlfn.XLOOKUP(_xlfn.XLOOKUP(B315,'Base stats'!B:B,'Base stats'!E:E),Groups!A:A,Groups!AG:AG))</f>
        <v>left blade, right blade</v>
      </c>
      <c r="AM315" s="7" t="str">
        <f>IF(AI315="No","No",_xlfn.XLOOKUP(_xlfn.XLOOKUP(B315,'Base stats'!B:B,'Base stats'!E:E),Groups!A:A,Groups!AH:AH))</f>
        <v>Scratch</v>
      </c>
      <c r="AN315" s="2">
        <f t="shared" si="28"/>
        <v>30</v>
      </c>
      <c r="AO315" s="2">
        <f>MROUND(IF(AND(_xlfn.XLOOKUP(B315,'Base stats'!B:B,'Base stats'!C:C)&gt;=0.5,_xlfn.XLOOKUP(B315,'Base stats'!B:B,'Base stats'!C:C)&lt;=0.8),
IF(_xlfn.XLOOKUP(B315,'Base stats'!B:B,'Base stats'!C:C)&lt;0.1,0.05,IF(_xlfn.XLOOKUP(B315,'Base stats'!B:B,'Base stats'!C:C)&lt;=70,(_xlfn.XLOOKUP(B315,'Base stats'!B:B,'Base stats'!C:C)/70)^0.426489913056526,IF(_xlfn.XLOOKUP(B315,'Base stats'!B:B,'Base stats'!C:C)&lt;=400,(_xlfn.XLOOKUP(B315,'Base stats'!B:B,'Base stats'!C:C)/70)^0.572811455315093,IF(_xlfn.XLOOKUP(B315,'Base stats'!B:B,'Base stats'!C:C)&lt;=2000,2.71391647193063*(_xlfn.XLOOKUP(B315,'Base stats'!B:B,'Base stats'!C:C)/400)^0.252459582904293,3.74314280240376*(_xlfn.XLOOKUP(B315,'Base stats'!B:B,'Base stats'!C:C)/2000)^0.357012633876913)))),
IF(_xlfn.XLOOKUP(B315,'Base stats'!B:B,'Base stats'!C:C)&lt;0.1,0.05,IF(_xlfn.XLOOKUP(B315,'Base stats'!B:B,'Base stats'!C:C)&lt;0.4,0.1,IF(_xlfn.XLOOKUP(B315,'Base stats'!B:B,'Base stats'!C:C)&lt;=70,(_xlfn.XLOOKUP(B315,'Base stats'!B:B,'Base stats'!C:C)/70)^0.445823913056526,IF(_xlfn.XLOOKUP(B315,'Base stats'!B:B,'Base stats'!C:C)&lt;=400,(_xlfn.XLOOKUP(B315,'Base stats'!B:B,'Base stats'!C:C)/70)^0.572811455315093,IF(_xlfn.XLOOKUP(B315,'Base stats'!B:B,'Base stats'!C:C)&lt;=2000,2.71391647193063*(_xlfn.XLOOKUP(B315,'Base stats'!B:B,'Base stats'!C:C)/400)^0.252459582904293,3.74314280240376*(_xlfn.XLOOKUP(B315,'Base stats'!B:B,'Base stats'!C:C)/2000)^0.357012633876913)))))),
IF(_xlfn.XLOOKUP(B315,'Base stats'!B:B,'Base stats'!C:C)&lt;0.1,0.05,IF(_xlfn.XLOOKUP(B315,'Base stats'!B:B,'Base stats'!C:C)&lt;=100,0.05,IF(_xlfn.XLOOKUP(B315,'Base stats'!B:B,'Base stats'!C:C)&lt;=250,0.1,IF(_xlfn.XLOOKUP(B315,'Base stats'!B:B,'Base stats'!C:C)&lt;=4000,0.25,0.5)))))</f>
        <v>2.75</v>
      </c>
      <c r="AP315" s="8">
        <f>MROUND(AO315*_xlfn.XLOOKUP(_xlfn.XLOOKUP(B315,'Base stats'!B:B,'Base stats'!E:E),Groups!A:A,Groups!AI:AI)*_xlfn.XLOOKUP(B315,'Base stats'!B:B,'Base stats'!Z:Z),0.05)</f>
        <v>2.75</v>
      </c>
      <c r="AQ315" s="8">
        <f>MAX(0.01,MROUND(IF(CC315="True",0.196*(AO315*100*1000)^0.889,IF(_xlfn.XLOOKUP(_xlfn.XLOOKUP(B315,'Base stats'!B:B,'Base stats'!E:E),Groups!A:A,Groups!AJ:AJ)="Bird",10.5*(AO315*100*1000)^0.681,4.82*(AO315*100*1000)^0.734))/(4.82*(1*100*1000)^0.734)/IF(AO315&lt;3.5,2,IF(AO315=3.5,1.5,1.25))*(1+0.132282374779864/(AO315^0.994035016789033+0.00905238001496948)),0.05))</f>
        <v>0.30000000000000004</v>
      </c>
      <c r="AR315" s="9">
        <f>IFERROR(MROUND(_xlfn.XLOOKUP(B315,'Base stats'!B:B,'Base stats'!H:H)/IF(_xlfn.XLOOKUP(B315,'Base stats'!B:B,'Base stats'!I:I)&lt;&gt;1,(122.5/70),1.2),IF(_xlfn.XLOOKUP(B315,'Base stats'!B:B,'Base stats'!H:H)&gt;=30,5,IF(_xlfn.XLOOKUP(B315,'Base stats'!B:B,'Base stats'!H:H)&gt;=15,3,IF(_xlfn.XLOOKUP(B315,'Base stats'!B:B,'Base stats'!H:H)&gt;=10,2,1)))),"Immortal")</f>
        <v>18</v>
      </c>
      <c r="AS315" s="35">
        <f>IFERROR(IF(OR(_xlfn.XLOOKUP(B315,'Base stats'!B:B,'Base stats'!F:F)="Atypical reproduction",_xlfn.XLOOKUP(B315,'Base stats'!B:B,'Base stats'!F:F)="Lay eggs"),"Lay eggs",MIN(20,MAX(5.5,ROUND(((_xlfn.XLOOKUP(B315,'Base stats'!B:B,'Base stats'!F:F)-25)*(14.5/615) + 5.5)*2,0)/2))),"Unknown")</f>
        <v>8.5</v>
      </c>
      <c r="AT315" s="8">
        <f>IF(_xlfn.XLOOKUP(B315,'Base stats'!B:B,'Base stats'!G:G)="Atypical reproduction","No",IFERROR(MAX(IF(_xlfn.XLOOKUP(B315,'Base stats'!B:B,'Base stats'!G:G)&lt;0.5,0.2,0.3),MROUND(_xlfn.XLOOKUP(B315,'Base stats'!B:B,'Base stats'!G:G)/(365/60),0.2)),"Unknown"))</f>
        <v>0.60000000000000009</v>
      </c>
      <c r="AU315" s="8">
        <f t="shared" si="29"/>
        <v>0.30000000000000004</v>
      </c>
      <c r="AV315" s="8">
        <f>IFERROR(IFERROR(MROUND(_xlfn.XLOOKUP(B315,'Base stats'!B:B,'Base stats'!J:J),0.1),"Lay eggs"),"Cannot breed")</f>
        <v>3</v>
      </c>
      <c r="AW315" s="2" t="str">
        <f t="shared" si="30"/>
        <v>false</v>
      </c>
      <c r="AX315" s="2" t="str">
        <f>IF(_xlfn.XLOOKUP(_xlfn.XLOOKUP(Animals!B315,'Base stats'!B:B,'Base stats'!E:E),Groups!A:A,Groups!AK:AK)=1,"true","false")</f>
        <v>false</v>
      </c>
      <c r="AY315" s="25" t="str">
        <f>IF(_xlfn.XLOOKUP(B315,'Base stats'!B:B,'Base stats'!Y:Y)="Liquor","Liquor, CarnivoreAnimalStrict",IF(AND(_xlfn.XLOOKUP(B315,'Base stats'!B:B,'Base stats'!Y:Y)="Carnivore",_xlfn.XLOOKUP(_xlfn.XLOOKUP(B315,'Base stats'!B:B,'Base stats'!E:E),Groups!A:A,Groups!AJ:AJ)="Photonozoa"),"CarnivoreAnimalStrict, OvivoreAnimal",IF(_xlfn.XLOOKUP(B315,'Base stats'!B:B,'Base stats'!Y:Y)="Carnivore","CarnivoreAnimal, OvivoreAnimal",IF(_xlfn.XLOOKUP(B315,'Base stats'!B:B,'Base stats'!Y:Y)="Dendrovore","VegetarianRoughAnimal, DendrovoreAnimal",IF(_xlfn.XLOOKUP(B315,'Base stats'!B:B,'Base stats'!Y:Y)="Herbivore","VegetarianRoughAnimal",IF(_xlfn.XLOOKUP(B315,'Base stats'!B:B,'Base stats'!Y:Y)="OmnivoreRough","OmnivoreRoughAnimal, OvivoreAnimal","OmnivoreAnimal, OvivoreAnimal"))))))</f>
        <v>CarnivoreAnimal, OvivoreAnimal</v>
      </c>
      <c r="AZ315" s="2" t="str">
        <f>IF(_xlfn.XLOOKUP(_xlfn.XLOOKUP(B315,'Base stats'!B:B,'Base stats'!E:E),Groups!A:A,Groups!D:D)=1,MROUND((1-J315)*5+1,2)*IF(J315&lt;=0.4,2,1),"No")</f>
        <v>No</v>
      </c>
      <c r="BA315" s="2" t="str">
        <f>IF(AND(_xlfn.XLOOKUP(B315,'Base stats'!B:B,'Base stats'!AH:AH)="&lt;li&gt;Seal&lt;/li&gt;",G315="Odyssey"),"&lt;li&gt;AEXP_Seal&lt;/li&gt;",_xlfn.XLOOKUP(B315,'Base stats'!B:B,'Base stats'!AH:AH))</f>
        <v>&lt;li&gt;Megaspider&lt;/li&gt;</v>
      </c>
      <c r="BB315" s="2" t="str">
        <f>_xlfn.XLOOKUP(B315,'Base stats'!B:B,'Base stats'!AG:AG)</f>
        <v>Leather_RaptorPlates</v>
      </c>
      <c r="BC315" s="23" t="str">
        <f>_xlfn.XLOOKUP(_xlfn.XLOOKUP(B315,'Base stats'!B:B,'Base stats'!E:E),Groups!A:A,Groups!AL:AL)</f>
        <v>SnakeWithTwoLimbs</v>
      </c>
      <c r="BD315" s="23">
        <f>MIN(1,MROUND(IF(AND(AO315&lt;0.5,_xlfn.XLOOKUP(B315,'Base stats'!B:B,'Base stats'!AA:AA)=0),0,IF(OR(_xlfn.XLOOKUP(Animals!B315,'Base stats'!B:B,'Base stats'!O:O)=2,_xlfn.XLOOKUP(_xlfn.XLOOKUP(B315,'Base stats'!B:B,'Base stats'!E:E),Groups!A:A,Groups!AN:AN)=0),0,_xlfn.XLOOKUP(_xlfn.XLOOKUP(B315,'Base stats'!B:B,'Base stats'!E:E),Groups!A:A,Groups!AN:AN)/IF(_xlfn.XLOOKUP(Animals!B315,'Base stats'!B:B,'Base stats'!O:O)=1,2,1)))+_xlfn.XLOOKUP(B315,'Base stats'!B:B,'Base stats'!AC:AC),0.005))</f>
        <v>0.1</v>
      </c>
      <c r="BE315" s="23">
        <f>MIN(1,MROUND(IF(AND(AO315&lt;0.5,_xlfn.XLOOKUP(B315,'Base stats'!B:B,'Base stats'!AA:AA)=0),0,IF(_xlfn.XLOOKUP(_xlfn.XLOOKUP(B315,'Base stats'!B:B,'Base stats'!E:E),Groups!A:A,Groups!AO:AO)=0,0,_xlfn.XLOOKUP(_xlfn.XLOOKUP(B315,'Base stats'!B:B,'Base stats'!E:E),Groups!A:A,Groups!AO:AO)/IF(_xlfn.XLOOKUP(Animals!B315,'Base stats'!B:B,'Base stats'!O:O)=2,3,1)))+_xlfn.XLOOKUP(B315,'Base stats'!B:B,'Base stats'!AD:AD),0.005))</f>
        <v>1</v>
      </c>
      <c r="BF315" s="2" t="str">
        <f>IF(J315&gt;0.3,"No",_xlfn.XLOOKUP(_xlfn.XLOOKUP(Animals!B315,'Base stats'!B:B,'Base stats'!E:E),Groups!A:A,Groups!AP:AP))</f>
        <v>No</v>
      </c>
      <c r="BG315" s="2" t="str">
        <f>IF(AND(J315&lt;=0.65,_xlfn.XLOOKUP(_xlfn.XLOOKUP(Animals!B315,'Base stats'!B:B,'Base stats'!E:E),Groups!A:A,Groups!AP:AP)&lt;&gt;"No",_xlfn.XLOOKUP(_xlfn.XLOOKUP(B315,'Base stats'!B:B,'Base stats'!E:E),Groups!A:A,Groups!D:D)=0),MROUND((80/3)*IF(_xlfn.XLOOKUP(B315,'Base stats'!B:B,'Base stats'!O:O)=2,0.2,AO315) + 24*(1-IF(BF315="No",0,BF315)) + 16/3, 12),"No")</f>
        <v>No</v>
      </c>
      <c r="BH315" s="2">
        <f>IF(AND(_xlfn.XLOOKUP(_xlfn.XLOOKUP(B315,'Base stats'!B:B,'Base stats'!E:E),Groups!A:A,Groups!AQ:AQ)=1,AO315&lt;=0.35),8,12)</f>
        <v>12</v>
      </c>
      <c r="BI315" s="2" t="str">
        <f>IF(_xlfn.XLOOKUP(_xlfn.XLOOKUP(B315,'Base stats'!B:B,'Base stats'!E:E),Groups!A:A,Groups!D:D)=0,_xlfn.XLOOKUP(_xlfn.XLOOKUP(B315,'Base stats'!B:B,'Base stats'!E:E),Groups!A:A,Groups!AR:AR),"None")</f>
        <v>Intermediate</v>
      </c>
      <c r="BJ315" s="2" t="str">
        <f>IF(AND(_xlfn.XLOOKUP(_xlfn.XLOOKUP(B315,'Base stats'!B:B,'Base stats'!E:E),Groups!A:A,Groups!AS:AS)=1,OR(_xlfn.XLOOKUP(B315,'Base stats'!B:B,'Base stats'!Y:Y)="Carnivore",_xlfn.XLOOKUP(B315,'Base stats'!B:B,'Base stats'!Y:Y)="Omnivore")),"true","false")</f>
        <v>true</v>
      </c>
      <c r="BK315" s="2">
        <f>IF(BJ315="true",MROUND(IF(AND(AO315&gt;0.5,OR(_xlfn.XLOOKUP(_xlfn.XLOOKUP(B315,'Base stats'!B:B,'Base stats'!E:E),Groups!A:A,Groups!AJ:AJ)="Photonozoa",_xlfn.XLOOKUP(_xlfn.XLOOKUP(B315,'Base stats'!B:B,'Base stats'!E:E),Groups!A:A,Groups!AJ:AJ)="Mammal")),Animals!AO315*1.75*IF(AW315="true",1.5,1),IF(AO315&lt;0.5,Animals!AO315*0.5,Animals!AO315)),IF(AO315&gt;2,0.5,IF(AO315&gt;0.5,0.25,0.1))),"No")</f>
        <v>3</v>
      </c>
      <c r="BL315" s="2">
        <f t="shared" si="31"/>
        <v>1</v>
      </c>
      <c r="BM315" s="25" t="str">
        <f>IF(_xlfn.XLOOKUP(B315,'Base stats'!B:B,'Base stats'!AN:AN)="Standard","No",MROUND((_xlfn.XLOOKUP(B315,'Base stats'!B:B,'Base stats'!AN:AN)/3.6)/I315,0.1))</f>
        <v>No</v>
      </c>
      <c r="BN315" s="25" t="str">
        <f t="shared" si="32"/>
        <v>false</v>
      </c>
      <c r="BO315" s="25" t="str">
        <f>IF(AND(OR(_xlfn.XLOOKUP(B315,'Base stats'!B:B,'Base stats'!Y:Y)="Carnivore",_xlfn.XLOOKUP(B315,'Base stats'!B:B,'Base stats'!Y:Y)="Omnivore",_xlfn.XLOOKUP(B315,'Base stats'!B:B,'Base stats'!Y:Y)="OmnivoreRough"),_xlfn.XLOOKUP(_xlfn.XLOOKUP(B315,'Base stats'!B:B,'Base stats'!E:E),Groups!A:A,Groups!AT:AT)=1),"true","false")</f>
        <v>false</v>
      </c>
      <c r="BP315" s="25" t="str" cm="1">
        <f t="array" ref="BP315">IF(
  _xlfn.TEXTJOIN(", ",TRUE,
    IF(AND(BJ315="true",AO315&gt;0.5,BI315&lt;&gt;"None"),"AttackTarget",""),
    IF(AND(_xlfn.XLOOKUP(_xlfn.XLOOKUP(B315,'Base stats'!B:B,'Base stats'!E:E),Groups!A:A,Groups!AJ:AJ="Mammal"),OR(_xlfn.XLOOKUP(B315,'Base stats'!B:B,'Base stats'!Y:Y)="Omnivore",_xlfn.XLOOKUP(B315,'Base stats'!B:B,'Base stats'!Y:Y)="OmnivoreRough")),"Forage",""),
    IF(BG315&lt;=36,"Comfort",""),
    IF(_xlfn.XLOOKUP(B315,'Base stats'!B:B,'Base stats'!AE:AE)&lt;&gt;"No",_xlfn.XLOOKUP(B315,'Base stats'!B:B,'Base stats'!AE:AE),"")
  ) = "",
  "No",
  _xlfn.TEXTJOIN(", ",TRUE,
    IF(AND(BJ315="true",AO315&gt;0.5,BI315&lt;&gt;"None"),"AttackTarget",""),
    IF(AND(_xlfn.XLOOKUP(_xlfn.XLOOKUP(B315,'Base stats'!B:B,'Base stats'!E:E),Groups!A:A,Groups!AJ:AJ="Mammal"),OR(_xlfn.XLOOKUP(B315,'Base stats'!B:B,'Base stats'!Y:Y)="Omnivore",_xlfn.XLOOKUP(B315,'Base stats'!B:B,'Base stats'!Y:Y)="OmnivoreRough")),"Forage",""),
    IF(BG315&lt;=36,"Comfort",""),
    IF(_xlfn.XLOOKUP(B315,'Base stats'!B:B,'Base stats'!AE:AE)&lt;&gt;"No",_xlfn.XLOOKUP(B315,'Base stats'!B:B,'Base stats'!AE:AE),"")
  )
)</f>
        <v>AttackTarget</v>
      </c>
      <c r="BQ315" s="25" t="str">
        <f>IF(
   AND(
      'Base stats'!AN315="Standard",_xlfn.XLOOKUP(_xlfn.XLOOKUP(B315,'Base stats'!B:B,'Base stats'!E:E),Groups!A:A,Groups!AU:AU)=0,
      OR(
      BO315="True"
      )
   ),
   10,
   IF(
       OR(BM315&lt;&gt;"No",_xlfn.XLOOKUP(_xlfn.XLOOKUP(B315,'Base stats'!B:B,'Base stats'!E:E),Groups!A:A,Groups!AU:AU)=1),
      1,
      "No"
   )
)</f>
        <v>No</v>
      </c>
      <c r="BR315" s="9">
        <f>MROUND((1 + ((0.2*IF(OR(Q315="No",R315="No",R315=0),0,Q315/R315)
+IF(OR(V315="No",S315="No",T315="No"),0,S315/T315*(LEN(V315)-LEN(SUBSTITUTE(V315,",",""))+1))
+IF(OR(X315="No",Y315="No"),0,X315/Y315)
+IF(OR(AD315="No",AE315="No"),0,AD315/AE315)
+IF(OR(AL315="No",AI315="No",AJ315="No"),0,AI315/AJ315*(LEN(AL315)-LEN(SUBSTITUTE(AL315,",",""))+1))
)/(0.2*IF(OR(Q315="No",R315="No",R315=0),0,1)
+IF(OR(V315="No",S315="No",T315="No"),0,LEN(V315)-LEN(SUBSTITUTE(V315,",",""))+1)
+IF(OR(X315="No",Y315="No"),0,1)
+IF(OR(AD315="No",AE315="No"),0,1)
+IF(OR(AL315="No",AI315="No",AJ315="No"),0,LEN(AL315)-LEN(SUBSTITUTE(AL315,",",""))+1))*62%)* 2)*(1 + (AP315 / (IF(_xlfn.XLOOKUP(_xlfn.XLOOKUP(B315,'Base stats'!B:B,'Base stats'!E:E),Groups!A:A,Groups!AJ:AJ)="Photonozoa",0.3,1)) + _xlfn.XLOOKUP(B315,'Base stats'!B:B,'Base stats'!AV:AV) * 1.8) * 2) * 2.5 + 10 + I315 * 2,5)+IF(_xlfn.XLOOKUP(B315,'Base stats'!B:B,'Base stats'!AK:AK)=1,50,0)</f>
        <v>420</v>
      </c>
      <c r="BS315" s="8">
        <f t="shared" si="33"/>
        <v>0.8</v>
      </c>
      <c r="BT315" s="8" t="str">
        <f>_xlfn.XLOOKUP(B315,'Base stats'!B:B,'Base stats'!AF:AF)</f>
        <v>No</v>
      </c>
      <c r="BU315" s="2" t="str">
        <f>IF(AND(J315&lt;=0.95,OR(_xlfn.XLOOKUP(B315,'Base stats'!B:B,'Base stats'!AK:AK)=1,_xlfn.XLOOKUP(B315,'Base stats'!B:B,'Base stats'!Y:Y)="Carnivore",_xlfn.XLOOKUP(B315,'Base stats'!B:B,'Base stats'!Y:Y)="Omnivore",BE315&gt;0.1)),"true","false")</f>
        <v>true</v>
      </c>
      <c r="BV315" s="2" t="str">
        <f>IF(_xlfn.XLOOKUP(B315,'Base stats'!B:B,'Base stats'!AI:AI)=1,"true","false")</f>
        <v>false</v>
      </c>
      <c r="BW315" s="25" t="str">
        <f>IF(E315="BaseInsect","AnimalInsect",
IF(J315&gt;0.95,"AnimalExotic",
_xlfn.TEXTJOIN(", ",TRUE,
IF(OR(_xlfn.XLOOKUP(B315,'Base stats'!B:B,'Base stats'!AM:AM)=1,AND(_xlfn.XLOOKUP(B315,'Base stats'!B:B,'Base stats'!O:O)=0,_xlfn.XLOOKUP(_xlfn.XLOOKUP(B315,'Base stats'!B:B,'Base stats'!E:E),Groups!A:A,Groups!B:B)&gt;0)),"AnimalUncommon","AnimalCommon"),
IF(AND(_xlfn.XLOOKUP(B315,'Base stats'!B:B,'Base stats'!O:O)=2,_xlfn.XLOOKUP(_xlfn.XLOOKUP(B315,'Base stats'!B:B,'Base stats'!E:E),Groups!A:A,Groups!D:D)=0),"AnimalPet",IF(AND(_xlfn.XLOOKUP(B315,'Base stats'!B:B,'Base stats'!O:O)&lt;&gt;0,_xlfn.XLOOKUP(_xlfn.XLOOKUP(B315,'Base stats'!B:B,'Base stats'!E:E),Groups!A:A,Groups!D:D)&lt;&gt;0),"AnimalFarm","")),
IF(OR(_xlfn.XLOOKUP(B315,'Base stats'!B:B,'Base stats'!AK:AK)=1,AND(BI315&lt;&gt;"None",BR315&gt;=60),ISNUMBER(SEARCH("Attack target",BP315))),"AnimalFighter","")
)))</f>
        <v>AnimalUncommon, AnimalFighter</v>
      </c>
      <c r="BX315" s="25" t="str">
        <f>IF(G315="None",TRIM(
SUBSTITUTE(
IF(COUNTIF(Biomes!B$2:B$259,"="&amp;$C315)&gt;0,Biomes!B$1&amp;", ","")&amp;
IF(COUNTIF(Biomes!C$2:C$259,"="&amp;$C315)&gt;0,Biomes!C$1&amp;", ","")&amp;
IF(COUNTIF(Biomes!D$2:D$259,"="&amp;$C315)&gt;0,Biomes!D$1&amp;", ","")&amp;
IF(COUNTIF(Biomes!F$2:F$259,"="&amp;$C315)&gt;0,Biomes!F$1&amp;", ","")&amp;
IF(COUNTIF(Biomes!G$2:G$259,"="&amp;$C315)&gt;0,Biomes!G$1&amp;", ","")&amp;
IF(COUNTIF(Biomes!H$2:H$259,"="&amp;$C315)&gt;0,Biomes!H$1&amp;", ","")&amp;
IF(COUNTIF(Biomes!I$2:I$259,"="&amp;$C315)&gt;0,Biomes!I$1&amp;", ","")&amp;
IF(COUNTIF(Biomes!J$2:J$259,"="&amp;$C315)&gt;0,Biomes!J$1&amp;", ","")&amp;
IF(COUNTIF(Biomes!M$2:M$259,"="&amp;$C315)&gt;0,Biomes!M$1&amp;", ","")&amp;
IF(COUNTIF(Biomes!N$2:N$259,"="&amp;$C315)&gt;0,Biomes!N$1&amp;", ","")&amp;
IF(COUNTIF(Biomes!O$2:O$259,"="&amp;$C315)&gt;0,Biomes!O$1&amp;", ","")&amp;
IF(COUNTIF(Biomes!P$2:P$259,"="&amp;$C315)&gt;0,Biomes!P$1&amp;", ","")&amp;
IF(COUNTIF(Biomes!K$2:K$259,"="&amp;$C315)&gt;0,Biomes!K$1&amp;", ","")&amp;
IF(COUNTIF(Biomes!Q$3:Q$259,"="&amp;$C315)&gt;0,Biomes!Q$1&amp;", ","")&amp;
IF(COUNTIF(Biomes!L$2:L$259,"="&amp;$C315)&gt;0,Biomes!L$1&amp;", ","")&amp;
IF(COUNTIF(Biomes!E$2:E$259,"="&amp;$C315)&gt;0,Biomes!E$1&amp;", ","")&amp;IF(COUNTIF(Biomes!S$2:S$259,"="&amp;$C315)&gt;0,Biomes!S$1&amp;", ","")&amp;
IF(COUNTIF(Biomes!R$2:R$259,"="&amp;$C315)&gt;0,Biomes!R$1&amp;", ",""),", ","")
),_xlfn.XLOOKUP(B315,B:B,BX:BX))</f>
        <v>AridShrubland Desert TropicalRainforest TropicalSwamp Grasslands Glowforest LavaField</v>
      </c>
      <c r="BY315" s="25" t="str">
        <f>IF(_xlfn.XLOOKUP(B315,'Base stats'!B:B,'Base stats'!AJ:AJ)=1,"true","false")</f>
        <v>false</v>
      </c>
      <c r="BZ315" s="25">
        <f>IF(_xlfn.XLOOKUP(B315,'Base stats'!B:B,'Base stats'!N:N)=1,"No",MAX(0.001,MIN(MROUND(IF(AND(BJ315="True",CC315="False"),POWER(10,3.47*LOG10(_xlfn.XLOOKUP(B315,'Base stats'!B:B,'Base stats'!C:C)*1000)^-0.96),POWER(10,4.15*LOG10(_xlfn.XLOOKUP(B315,'Base stats'!B:B,'Base stats'!C:C)*1000)^-0.73))*IF(_xlfn.XLOOKUP(B315,'Base stats'!B:B,'Base stats'!AK:AK)=1,0.5,1)*IF(_xlfn.XLOOKUP(B315,'Base stats'!B:B,'Base stats'!AM:AM)=1,0.1,1)/100,IF(_xlfn.XLOOKUP(B315,'Base stats'!B:B,'Base stats'!AM:AM)=1,0.001,0.025)),0.5)))</f>
        <v>1.4999999999999999E-2</v>
      </c>
      <c r="CA315" s="25" t="str">
        <f>IF(P315="Standard","No",MAX(0.001,MIN(MROUND(IF(AND(BJ315="True",CC315="False"),POWER(10,3.47*LOG10(_xlfn.XLOOKUP(B315,'Base stats'!B:B,'Base stats'!C:C)*1000)^-0.96),POWER(10,4.15*LOG10(_xlfn.XLOOKUP(B315,'Base stats'!B:B,'Base stats'!C:C)*1000)^-0.73))*IF(_xlfn.XLOOKUP(B315,'Base stats'!B:B,'Base stats'!AM:AM)=1,0.1,1)*_xlfn.XLOOKUP(B315,'Base stats'!B:B,'Base stats'!R:R)/100,IF(_xlfn.XLOOKUP(B315,'Base stats'!B:B,'Base stats'!AM:AM)=1,0.001,0.025)),0.5)))</f>
        <v>No</v>
      </c>
      <c r="CB315" s="25" t="str">
        <f>IF(_xlfn.XLOOKUP(_xlfn.XLOOKUP(B315,'Base stats'!B:B,'Base stats'!E:E),Groups!A:A,Groups!AJ:AJ)="Mammal","True","False")</f>
        <v>False</v>
      </c>
      <c r="CC315" s="25" t="str">
        <f>IF(OR(_xlfn.XLOOKUP(_xlfn.XLOOKUP(B315,'Base stats'!B:B,'Base stats'!E:E),Groups!A:A,Groups!AJ:AJ)="Reptile",_xlfn.XLOOKUP(_xlfn.XLOOKUP(B315,'Base stats'!B:B,'Base stats'!E:E),Groups!A:A,Groups!AJ:AJ)="Amphibian",_xlfn.XLOOKUP(_xlfn.XLOOKUP(B315,'Base stats'!B:B,'Base stats'!E:E),Groups!A:A,Groups!AJ:AJ)="Invertebrate"),"True","False")</f>
        <v>True</v>
      </c>
      <c r="CD315" s="25" t="str">
        <f t="shared" si="34"/>
        <v>False</v>
      </c>
      <c r="CE315" s="25" t="str">
        <f>IF(_xlfn.XLOOKUP(_xlfn.XLOOKUP(B315,'Base stats'!B:B,'Base stats'!E:E),Groups!A:A,Groups!AX:AX),"True","False")</f>
        <v>False</v>
      </c>
      <c r="CF315" s="25" t="str">
        <f>IF(_xlfn.XLOOKUP(_xlfn.XLOOKUP(B315,'Base stats'!B:B,'Base stats'!E:E),Groups!A:A,Groups!AY:AY),"True","False")</f>
        <v>False</v>
      </c>
      <c r="CG315" s="25" t="str">
        <f>IF(_xlfn.XLOOKUP(_xlfn.XLOOKUP(B315,'Base stats'!B:B,'Base stats'!E:E),Groups!A:A,Groups!AW:AW),"True","False")</f>
        <v>False</v>
      </c>
      <c r="CH315" s="25" t="str">
        <f>IF(
OR(
_xlfn.XLOOKUP(_xlfn.XLOOKUP(B315,'Base stats'!B:B,'Base stats'!E:E),Groups!A:A,Groups!AZ:AZ)=0,
AND(
_xlfn.XLOOKUP(B315,'Base stats'!B:B,'Base stats'!Y:Y)&lt;&gt;"Carnivore",
_xlfn.XLOOKUP(B315,'Base stats'!B:B,'Base stats'!Y:Y)&lt;&gt;"Omnivore",
_xlfn.XLOOKUP(B315,'Base stats'!B:B,'Base stats'!Y:Y)&lt;&gt;"OmnivoreRough"
)
),
"No",
IF(
_xlfn.XLOOKUP(_xlfn.XLOOKUP(B315,'Base stats'!B:B,'Base stats'!E:E),Groups!A:A,Groups!AZ:AZ)=1,
"Flesh",
IF(
_xlfn.XLOOKUP(_xlfn.XLOOKUP(B315,'Base stats'!B:B,'Base stats'!E:E),Groups!A:A,Groups!AZ:AZ)=2,
"Bone",
""
)
)
)</f>
        <v>No</v>
      </c>
      <c r="CI315" s="25" t="str">
        <f>IF(_xlfn.XLOOKUP(_xlfn.XLOOKUP(B315,'Base stats'!B:B,'Base stats'!E:E),Groups!A:A,Groups!BB:BB),"True","False")</f>
        <v>False</v>
      </c>
      <c r="CJ315" s="25" t="str">
        <f>IF(_xlfn.XLOOKUP(_xlfn.XLOOKUP(B315,'Base stats'!B:B,'Base stats'!E:E),Groups!A:A,Groups!BA:BA),"True","False")</f>
        <v>False</v>
      </c>
    </row>
    <row r="316" spans="1:88" ht="16.5" thickTop="1" thickBot="1" x14ac:dyDescent="0.3">
      <c r="A316" s="26" t="s">
        <v>1544</v>
      </c>
      <c r="B316" s="6" t="str">
        <f>_xlfn.XLOOKUP(A316,'Base stats'!A:A,'Base stats'!B:B)</f>
        <v>Devastator rapax</v>
      </c>
      <c r="C316" s="28" t="s">
        <v>1545</v>
      </c>
      <c r="D316" s="28" t="s">
        <v>1341</v>
      </c>
      <c r="E316" s="28" t="s">
        <v>1748</v>
      </c>
      <c r="F316" s="28" t="s">
        <v>673</v>
      </c>
      <c r="G316" s="28" t="s">
        <v>673</v>
      </c>
      <c r="H316" s="2">
        <f>MROUND((
  (IF(AND(_xlfn.XLOOKUP(B316,'Base stats'!B:B,'Base stats'!AL:AL)=0,BI316="None",_xlfn.XLOOKUP(_xlfn.XLOOKUP(B316,'Base stats'!B:B,'Base stats'!E:E),Groups!A:A,Groups!B:B)=0), (18 + BR316 * 2.7) * 0.5,
    IF(AND(_xlfn.XLOOKUP(B316,'Base stats'!B:B,'Base stats'!AL:AL)=0,OR(AO316&lt;0.55,AND(BI316="Intermediate",_xlfn.XLOOKUP(_xlfn.XLOOKUP(B316,'Base stats'!B:B,'Base stats'!E:E),Groups!A:A,Groups!B:B)&lt;2))), (18 + BR316 * 2.7),
      IF(OR(BI316="Advanced",_xlfn.XLOOKUP(B316,'Base stats'!B:B,'Base stats'!AL:AL)=1,_xlfn.XLOOKUP(_xlfn.XLOOKUP(B316,'Base stats'!B:B,'Base stats'!E:E),Groups!A:A,Groups!B:B)=2), (18 + BR316 * 2.7) + 250, (18 + BR316 * 2.7))
    )
  ))
  + AO316 * 80
  + IF(COUNTIF(EggMilk!K$2:K$998, A316) &gt; 0, 125, 0)
  + IF(COUNTIF(EggMilk!P$2:P$998, A316) &gt; 0, 90, 0)
  + IF(COUNTIF(EggMilk!A$2:A$998, A316) &gt; 0, 90, 0)
)
* (0.8 + 0.4 * J316)
* 0.75,25)</f>
        <v>1275</v>
      </c>
      <c r="I316" s="2">
        <f>MROUND(ROUNDDOWN(_xlfn.XLOOKUP(B316,'Base stats'!B:B,'Base stats'!L:L)/3.6/(23.3/11),1),0.5)</f>
        <v>2.5</v>
      </c>
      <c r="J316" s="2">
        <f>IF(OR(_xlfn.XLOOKUP(B316,'Base stats'!B:B,'Base stats'!AB:AB)=1,_xlfn.XLOOKUP(_xlfn.XLOOKUP(B316,'Base stats'!B:B,'Base stats'!E:E),Groups!A:A,Groups!C:C)="Untamable"),1,IF(_xlfn.XLOOKUP(B316,'Base stats'!B:B,'Base stats'!AL:AL)=1,0.99,MIN(MROUND((1-0.6282*EXP(-0.459*AO316))*_xlfn.XLOOKUP(_xlfn.XLOOKUP(B316,'Base stats'!B:B,'Base stats'!E:E),Groups!A:A,Groups!C:C)*IF(_xlfn.XLOOKUP(B316,'Base stats'!B:B,'Base stats'!O:O)=1,0.5,IF(_xlfn.XLOOKUP(B316,'Base stats'!B:B,'Base stats'!O:O)=2,0,1)),0.05),IF(AO316&gt;3.5,0.985,0.95))))</f>
        <v>0.9</v>
      </c>
      <c r="K316" s="2">
        <f>ROUNDUP(AO316*_xlfn.XLOOKUP(_xlfn.XLOOKUP(B316,'Base stats'!B:B,'Base stats'!E:E),Groups!A:A,Groups!E:E),0)</f>
        <v>3</v>
      </c>
      <c r="L316" s="2">
        <f>IF(OR(_xlfn.XLOOKUP(_xlfn.XLOOKUP(B316,'Base stats'!B:B,'Base stats'!E:E),Groups!A:A,Groups!F:F)=2,ISNUMBER(SEARCH("SeaIce",BX316)),ISNUMBER(SEARCH("IceSheet",BX316))),-50,IF(OR(ISNUMBER(SEARCH("GlacialPlain",BX316)),ISNUMBER(SEARCH("Tundra",BX316))),-40,IF(OR(ISNUMBER(SEARCH("Alpine",BX316)),ISNUMBER(SEARCH("BorealForest",BX316)),ISNUMBER(SEARCH("ColdBog",BX316))),-30,IF(OR(ISNUMBER(SEARCH("TemperateForest",BX316)),ISNUMBER(SEARCH("TemperateSwamp",BX316))),-20,IF(_xlfn.XLOOKUP(_xlfn.XLOOKUP(B316,'Base stats'!B:B,'Base stats'!E:E),Groups!A:A,Groups!F:F)=1,-15,IF(OR(ISNUMBER(SEARCH("Desert",BX316)),ISNUMBER(SEARCH("ExtremeDesert",BX316))),-10,IF(OR(ISNUMBER(SEARCH("Grasslands",BX316)),ISNUMBER(SEARCH("TropicalRainforest",BX316)),ISNUMBER(SEARCH("TropicalSwamp",BX316))),10,0)))))))-IF(CC316="False",MIN(IFERROR(MAX(MROUND(LOG10(_xlfn.XLOOKUP(B316,'Base stats'!B:B,'Base stats'!C:C)^(2/3))*10,5),5),5),30))-_xlfn.XLOOKUP(B316,'Base stats'!B:B,'Base stats'!P:P)+IF(CC316="True",5,0)</f>
        <v>5</v>
      </c>
      <c r="M316" s="2">
        <f>IF(OR(_xlfn.XLOOKUP(_xlfn.XLOOKUP(B316,'Base stats'!B:B,'Base stats'!E:E),Groups!A:A,Groups!G:G)=2,ISNUMBER(SEARCH("Desert",BX316)),ISNUMBER(SEARCH("ExtremeDesert",BX316)),ISNUMBER(SEARCH("LavaField",BX316))),50,IF(ISNUMBER(SEARCH("Grasslands",BX316)),45,IF(OR(_xlfn.XLOOKUP(_xlfn.XLOOKUP(B316,'Base stats'!B:B,'Base stats'!E:E),Groups!A:A,Groups!G:G)=1,ISNUMBER(SEARCH("TropicalRainforest",BX316)),ISNUMBER(SEARCH("TropicalSwamp",BX316))),40,IF(OR(ISNUMBER(SEARCH("TemperateForest",BX316)),ISNUMBER(SEARCH("TemperateSwamp",BX316))),35,IF(OR(ISNUMBER(SEARCH("Alpine",BX316)),ISNUMBER(SEARCH("BorealForest",BX316)),ISNUMBER(SEARCH("ColdBog",BX316))),30,IF(ISNUMBER(OR(ISNUMBER(SEARCH("GlacialPlain",BX316)),SEARCH("Tundra",BX316))),25,IF(OR(ISNUMBER(SEARCH("SeaIce",BX316)),ISNUMBER(SEARCH("IceSheet",BX316)),ISNUMBER(SEARCH("TropicalSwamp",BX316))),10,35)))))))+_xlfn.XLOOKUP(B316,'Base stats'!B:B,'Base stats'!Q:Q)</f>
        <v>50</v>
      </c>
      <c r="N316" s="8">
        <f>IF(
_xlfn.XLOOKUP(
_xlfn.XLOOKUP(B316,'Base stats'!B:B,'Base stats'!E:E),
Groups!A:A,
Groups!L:L
)=1,
MIN(
MROUND(
IF(
_xlfn.XLOOKUP(B316,'Animals CE'!B:B,'Animals CE'!Z:Z)&lt;=1.5,
_xlfn.XLOOKUP(B316,'Animals CE'!B:B,'Animals CE'!Z:Z)/2+0.05,
0.8+
(_xlfn.XLOOKUP(B316,'Animals CE'!B:B,'Animals CE'!Z:Z)-1.5)
*0.02
),
0.05
),
200%
),
"No"
)</f>
        <v>0.85000000000000009</v>
      </c>
      <c r="O316" s="8">
        <f>IF(
_xlfn.XLOOKUP(
_xlfn.XLOOKUP(B316,'Base stats'!B:B,'Base stats'!E:E),
Groups!A:A,
Groups!L:L
)=1,
MIN(
MROUND(
IF(
_xlfn.XLOOKUP(B316,'Animals CE'!B:B,'Animals CE'!AA:AA)&lt;=1.5,
_xlfn.XLOOKUP(B316,'Animals CE'!B:B,'Animals CE'!AA:AA)/2+0.05,
0.8+
(_xlfn.XLOOKUP(B316,'Animals CE'!B:B,'Animals CE'!AA:AA)-1.5)
*0.02
),
0.05
),
200%
),
"No"
)</f>
        <v>0.85000000000000009</v>
      </c>
      <c r="P316" s="2">
        <f>_xlfn.XLOOKUP(B316,'Base stats'!B:B,'Base stats'!R:R)</f>
        <v>1</v>
      </c>
      <c r="Q316" s="13">
        <f>MROUND((LOG10(_xlfn.XLOOKUP(B316,'Base stats'!B:B,'Base stats'!AR:AR))*(AO316^0.5)+(_xlfn.XLOOKUP(B316,'Base stats'!B:B,'Base stats'!AR:AR)/1000)^(2/3)+_xlfn.XLOOKUP(B316,'Base stats'!B:B,'Base stats'!BA:BA)/2)+0.5,0.5)</f>
        <v>14</v>
      </c>
      <c r="R316" s="7">
        <f>IF(Q316="No","No",MAX(1,MROUND(_xlfn.XLOOKUP(B316,'Base stats'!B:B,'Base stats'!C:C)^0.165,0.05)))</f>
        <v>2.6500000000000004</v>
      </c>
      <c r="S316" s="13" t="str">
        <f>IF(_xlfn.XLOOKUP(_xlfn.XLOOKUP(B316,'Base stats'!B:B,'Base stats'!E:E),Groups!A:A,Groups!P:P)=0,"No",MROUND((LOG10(_xlfn.XLOOKUP(B316,'Base stats'!B:B,'Base stats'!AS:AS))*(AO316^0.5)+(_xlfn.XLOOKUP(B316,'Base stats'!B:B,'Base stats'!AS:AS)/1000)^(2/3)+_xlfn.XLOOKUP(B316,'Base stats'!B:B,'Base stats'!BA:BA))+_xlfn.XLOOKUP(B316,'Base stats'!B:B,'Base stats'!AY:AY)+0.5,0.5))</f>
        <v>No</v>
      </c>
      <c r="T316" s="7" t="str">
        <f>IF(S316="No","No",MAX(_xlfn.XLOOKUP(_xlfn.XLOOKUP(B316,'Base stats'!B:B,'Base stats'!E:E),Groups!A:A,Groups!Q:Q),MROUND(_xlfn.XLOOKUP(_xlfn.XLOOKUP(B316,'Base stats'!B:B,'Base stats'!E:E),Groups!A:A,Groups!Q:Q)*_xlfn.XLOOKUP(B316,'Base stats'!B:B,'Base stats'!C:C)^0.165,0.05)))</f>
        <v>No</v>
      </c>
      <c r="U316" s="7" t="str">
        <f>IF(S316="No","No",_xlfn.XLOOKUP(_xlfn.XLOOKUP(B316,'Base stats'!B:B,'Base stats'!E:E),Groups!A:A,Groups!R:R))</f>
        <v>No</v>
      </c>
      <c r="V316" s="7" t="str">
        <f>IF(S316="No","No",_xlfn.XLOOKUP(_xlfn.XLOOKUP(B316,'Base stats'!B:B,'Base stats'!E:E),Groups!A:A,Groups!S:S))</f>
        <v>No</v>
      </c>
      <c r="W316" s="7" t="str">
        <f>IF(S316="No","No",_xlfn.XLOOKUP(_xlfn.XLOOKUP(B316,'Base stats'!B:B,'Base stats'!E:E),Groups!A:A,Groups!T:T))</f>
        <v>No</v>
      </c>
      <c r="X316" s="13" t="str">
        <f>IF(_xlfn.XLOOKUP(B316,'Base stats'!B:B,'Base stats'!W:W)="No","No",MROUND((LOG10(_xlfn.XLOOKUP(B316,'Base stats'!B:B,'Base stats'!AU:AU))*(AO316^0.5)+(_xlfn.XLOOKUP(B316,'Base stats'!B:B,'Base stats'!AU:AU)/1000)^(2/3)+_xlfn.XLOOKUP(B316,'Base stats'!B:B,'Base stats'!AZ:AZ))+0.5+IF(_xlfn.XLOOKUP(_xlfn.XLOOKUP(B316,'Base stats'!B:B,'Base stats'!E:E),Groups!A:A,Groups!U:U)&lt;&gt;3,_xlfn.XLOOKUP(B316,'Base stats'!B:B,'Base stats'!BA:BA),0),0.5))</f>
        <v>No</v>
      </c>
      <c r="Y316" s="7" t="str">
        <f>IF(X316="No","No",MAX(_xlfn.XLOOKUP(_xlfn.XLOOKUP(B316,'Base stats'!B:B,'Base stats'!E:E),Groups!A:A,Groups!V:V),MROUND(_xlfn.XLOOKUP(_xlfn.XLOOKUP(B316,'Base stats'!B:B,'Base stats'!E:E),Groups!A:A,Groups!V:V)*_xlfn.XLOOKUP(B316,'Base stats'!B:B,'Base stats'!C:C)^0.165,0.05)))</f>
        <v>No</v>
      </c>
      <c r="Z316" s="7" t="str">
        <f>IF(X316="No","No",_xlfn.XLOOKUP(_xlfn.XLOOKUP(B316,'Base stats'!B:B,'Base stats'!E:E),Groups!A:A,Groups!W:W))</f>
        <v>No</v>
      </c>
      <c r="AA316" s="7" t="str">
        <f>IF(X316="No","No",_xlfn.XLOOKUP(_xlfn.XLOOKUP(B316,'Base stats'!B:B,'Base stats'!E:E),Groups!A:A,Groups!X:X))</f>
        <v>No</v>
      </c>
      <c r="AB316" s="7" t="str">
        <f>IF(X316="No","No",_xlfn.XLOOKUP(_xlfn.XLOOKUP(B316,'Base stats'!B:B,'Base stats'!E:E),Groups!A:A,Groups!Y:Y))</f>
        <v>No</v>
      </c>
      <c r="AC316" s="7" t="str">
        <f>_xlfn.XLOOKUP(Animals!B316,'Base stats'!B:B,'Base stats'!X:X)</f>
        <v>False</v>
      </c>
      <c r="AD316" s="13">
        <f>IF(_xlfn.XLOOKUP(B316,'Base stats'!B:B,'Base stats'!AT:AT)="No","No",MROUND((LOG10(_xlfn.XLOOKUP(B316,'Base stats'!B:B,'Base stats'!AT:AT))*(AO316^0.75)+(_xlfn.XLOOKUP(B316,'Base stats'!B:B,'Base stats'!AT:AT)/1000)^(2/3)+_xlfn.XLOOKUP(B316,'Base stats'!B:B,'Base stats'!AX:AX)+_xlfn.XLOOKUP(B316,'Base stats'!B:B,'Base stats'!BA:BA))+0.5,0.5))</f>
        <v>41</v>
      </c>
      <c r="AE316" s="7">
        <f>IF(AD316="No","No",MAX(_xlfn.XLOOKUP(_xlfn.XLOOKUP(B316,'Base stats'!B:B,'Base stats'!E:E),Groups!A:A,Groups!Z:Z),MROUND(_xlfn.XLOOKUP(_xlfn.XLOOKUP(B316,'Base stats'!B:B,'Base stats'!E:E),Groups!A:A,Groups!Z:Z)*_xlfn.XLOOKUP(B316,'Base stats'!B:B,'Base stats'!C:C)^0.165,0.05)))</f>
        <v>3.1500000000000004</v>
      </c>
      <c r="AF316" s="7" t="str">
        <f>IF(AD316="No","No",_xlfn.XLOOKUP(_xlfn.XLOOKUP(B316,'Base stats'!B:B,'Base stats'!E:E),Groups!A:A,Groups!AA:AA))</f>
        <v>Mouth</v>
      </c>
      <c r="AG316" s="7" t="str">
        <f>IF(AD316="No","No",_xlfn.XLOOKUP(_xlfn.XLOOKUP(B316,'Base stats'!B:B,'Base stats'!E:E),Groups!A:A,Groups!AB:AB))</f>
        <v>mandibles</v>
      </c>
      <c r="AH316" s="7" t="str">
        <f>IF(AD316="No","No",_xlfn.XLOOKUP(_xlfn.XLOOKUP(B316,'Base stats'!B:B,'Base stats'!E:E),Groups!A:A,Groups!AC:AC))</f>
        <v>Bite</v>
      </c>
      <c r="AI316" s="13">
        <f>IF(_xlfn.XLOOKUP(_xlfn.XLOOKUP(B316,'Base stats'!B:B,'Base stats'!E:E),Groups!A:A,Groups!AD:AD)=0,"No",MROUND((LOG10(_xlfn.XLOOKUP(B316,'Base stats'!B:B,'Base stats'!AS:AS))*(AO316^0.75)+(_xlfn.XLOOKUP(B316,'Base stats'!B:B,'Base stats'!AS:AS)/1000)^(2/3)+_xlfn.XLOOKUP(B316,'Base stats'!B:B,'Base stats'!AY:AY)+_xlfn.XLOOKUP(B316,'Base stats'!B:B,'Base stats'!BA:BA))+0.5,0.5))</f>
        <v>34.5</v>
      </c>
      <c r="AJ316" s="7">
        <f>IF(AI316="No","No",MAX(_xlfn.XLOOKUP(_xlfn.XLOOKUP(B316,'Base stats'!B:B,'Base stats'!E:E),Groups!A:A,Groups!AE:AE),MROUND(_xlfn.XLOOKUP(_xlfn.XLOOKUP(B316,'Base stats'!B:B,'Base stats'!E:E),Groups!A:A,Groups!AE:AE)*IF(_xlfn.XLOOKUP(_xlfn.XLOOKUP(B316,'Base stats'!B:B,'Base stats'!E:E),Groups!A:A,Groups!AJ:AJ)="Photonozoa",0.6,1)*_xlfn.XLOOKUP(B316,'Base stats'!B:B,'Base stats'!C:C)^0.165,0.05)))</f>
        <v>2.9000000000000004</v>
      </c>
      <c r="AK316" s="7" t="str">
        <f>IF(AI316="No","No",_xlfn.XLOOKUP(_xlfn.XLOOKUP(B316,'Base stats'!B:B,'Base stats'!E:E),Groups!A:A,Groups!AF:AF))</f>
        <v>HeadClaw</v>
      </c>
      <c r="AL316" s="7" t="str">
        <f>IF(AI316="No","No",_xlfn.XLOOKUP(_xlfn.XLOOKUP(B316,'Base stats'!B:B,'Base stats'!E:E),Groups!A:A,Groups!AG:AG))</f>
        <v>head claw</v>
      </c>
      <c r="AM316" s="7" t="str">
        <f>IF(AI316="No","No",_xlfn.XLOOKUP(_xlfn.XLOOKUP(B316,'Base stats'!B:B,'Base stats'!E:E),Groups!A:A,Groups!AH:AH))</f>
        <v>Scratch</v>
      </c>
      <c r="AN316" s="2">
        <f t="shared" si="28"/>
        <v>30</v>
      </c>
      <c r="AO316" s="2">
        <f>MROUND(IF(AND(_xlfn.XLOOKUP(B316,'Base stats'!B:B,'Base stats'!C:C)&gt;=0.5,_xlfn.XLOOKUP(B316,'Base stats'!B:B,'Base stats'!C:C)&lt;=0.8),
IF(_xlfn.XLOOKUP(B316,'Base stats'!B:B,'Base stats'!C:C)&lt;0.1,0.05,IF(_xlfn.XLOOKUP(B316,'Base stats'!B:B,'Base stats'!C:C)&lt;=70,(_xlfn.XLOOKUP(B316,'Base stats'!B:B,'Base stats'!C:C)/70)^0.426489913056526,IF(_xlfn.XLOOKUP(B316,'Base stats'!B:B,'Base stats'!C:C)&lt;=400,(_xlfn.XLOOKUP(B316,'Base stats'!B:B,'Base stats'!C:C)/70)^0.572811455315093,IF(_xlfn.XLOOKUP(B316,'Base stats'!B:B,'Base stats'!C:C)&lt;=2000,2.71391647193063*(_xlfn.XLOOKUP(B316,'Base stats'!B:B,'Base stats'!C:C)/400)^0.252459582904293,3.74314280240376*(_xlfn.XLOOKUP(B316,'Base stats'!B:B,'Base stats'!C:C)/2000)^0.357012633876913)))),
IF(_xlfn.XLOOKUP(B316,'Base stats'!B:B,'Base stats'!C:C)&lt;0.1,0.05,IF(_xlfn.XLOOKUP(B316,'Base stats'!B:B,'Base stats'!C:C)&lt;0.4,0.1,IF(_xlfn.XLOOKUP(B316,'Base stats'!B:B,'Base stats'!C:C)&lt;=70,(_xlfn.XLOOKUP(B316,'Base stats'!B:B,'Base stats'!C:C)/70)^0.445823913056526,IF(_xlfn.XLOOKUP(B316,'Base stats'!B:B,'Base stats'!C:C)&lt;=400,(_xlfn.XLOOKUP(B316,'Base stats'!B:B,'Base stats'!C:C)/70)^0.572811455315093,IF(_xlfn.XLOOKUP(B316,'Base stats'!B:B,'Base stats'!C:C)&lt;=2000,2.71391647193063*(_xlfn.XLOOKUP(B316,'Base stats'!B:B,'Base stats'!C:C)/400)^0.252459582904293,3.74314280240376*(_xlfn.XLOOKUP(B316,'Base stats'!B:B,'Base stats'!C:C)/2000)^0.357012633876913)))))),
IF(_xlfn.XLOOKUP(B316,'Base stats'!B:B,'Base stats'!C:C)&lt;0.1,0.05,IF(_xlfn.XLOOKUP(B316,'Base stats'!B:B,'Base stats'!C:C)&lt;=100,0.05,IF(_xlfn.XLOOKUP(B316,'Base stats'!B:B,'Base stats'!C:C)&lt;=250,0.1,IF(_xlfn.XLOOKUP(B316,'Base stats'!B:B,'Base stats'!C:C)&lt;=4000,0.25,0.5)))))</f>
        <v>2.5</v>
      </c>
      <c r="AP316" s="8">
        <f>MROUND(AO316*_xlfn.XLOOKUP(_xlfn.XLOOKUP(B316,'Base stats'!B:B,'Base stats'!E:E),Groups!A:A,Groups!AI:AI)*_xlfn.XLOOKUP(B316,'Base stats'!B:B,'Base stats'!Z:Z),0.05)</f>
        <v>2.5</v>
      </c>
      <c r="AQ316" s="8">
        <f>MAX(0.01,MROUND(IF(CC316="True",0.196*(AO316*100*1000)^0.889,IF(_xlfn.XLOOKUP(_xlfn.XLOOKUP(B316,'Base stats'!B:B,'Base stats'!E:E),Groups!A:A,Groups!AJ:AJ)="Bird",10.5*(AO316*100*1000)^0.681,4.82*(AO316*100*1000)^0.734))/(4.82*(1*100*1000)^0.734)/IF(AO316&lt;3.5,2,IF(AO316=3.5,1.5,1.25))*(1+0.132282374779864/(AO316^0.994035016789033+0.00905238001496948)),0.05))</f>
        <v>0.30000000000000004</v>
      </c>
      <c r="AR316" s="9">
        <f>IFERROR(MROUND(_xlfn.XLOOKUP(B316,'Base stats'!B:B,'Base stats'!H:H)/IF(_xlfn.XLOOKUP(B316,'Base stats'!B:B,'Base stats'!I:I)&lt;&gt;1,(122.5/70),1.2),IF(_xlfn.XLOOKUP(B316,'Base stats'!B:B,'Base stats'!H:H)&gt;=30,5,IF(_xlfn.XLOOKUP(B316,'Base stats'!B:B,'Base stats'!H:H)&gt;=15,3,IF(_xlfn.XLOOKUP(B316,'Base stats'!B:B,'Base stats'!H:H)&gt;=10,2,1)))),"Immortal")</f>
        <v>12</v>
      </c>
      <c r="AS316" s="35" t="str">
        <f>IFERROR(IF(OR(_xlfn.XLOOKUP(B316,'Base stats'!B:B,'Base stats'!F:F)="Atypical reproduction",_xlfn.XLOOKUP(B316,'Base stats'!B:B,'Base stats'!F:F)="Lay eggs"),"Lay eggs",MIN(20,MAX(5.5,ROUND(((_xlfn.XLOOKUP(B316,'Base stats'!B:B,'Base stats'!F:F)-25)*(14.5/615) + 5.5)*2,0)/2))),"Unknown")</f>
        <v>Lay eggs</v>
      </c>
      <c r="AT316" s="8">
        <f>IF(_xlfn.XLOOKUP(B316,'Base stats'!B:B,'Base stats'!G:G)="Atypical reproduction","No",IFERROR(MAX(IF(_xlfn.XLOOKUP(B316,'Base stats'!B:B,'Base stats'!G:G)&lt;0.5,0.2,0.3),MROUND(_xlfn.XLOOKUP(B316,'Base stats'!B:B,'Base stats'!G:G)/(365/60),0.2)),"Unknown"))</f>
        <v>0.4</v>
      </c>
      <c r="AU316" s="8">
        <f t="shared" si="29"/>
        <v>0.2</v>
      </c>
      <c r="AV316" s="8" t="str">
        <f>IFERROR(IFERROR(MROUND(_xlfn.XLOOKUP(B316,'Base stats'!B:B,'Base stats'!J:J),0.1),"Lay eggs"),"Cannot breed")</f>
        <v>Lay eggs</v>
      </c>
      <c r="AW316" s="2" t="str">
        <f t="shared" si="30"/>
        <v>false</v>
      </c>
      <c r="AX316" s="2" t="str">
        <f>IF(_xlfn.XLOOKUP(_xlfn.XLOOKUP(Animals!B316,'Base stats'!B:B,'Base stats'!E:E),Groups!A:A,Groups!AK:AK)=1,"true","false")</f>
        <v>false</v>
      </c>
      <c r="AY316" s="25" t="str">
        <f>IF(_xlfn.XLOOKUP(B316,'Base stats'!B:B,'Base stats'!Y:Y)="Liquor","Liquor, CarnivoreAnimalStrict",IF(AND(_xlfn.XLOOKUP(B316,'Base stats'!B:B,'Base stats'!Y:Y)="Carnivore",_xlfn.XLOOKUP(_xlfn.XLOOKUP(B316,'Base stats'!B:B,'Base stats'!E:E),Groups!A:A,Groups!AJ:AJ)="Photonozoa"),"CarnivoreAnimalStrict, OvivoreAnimal",IF(_xlfn.XLOOKUP(B316,'Base stats'!B:B,'Base stats'!Y:Y)="Carnivore","CarnivoreAnimal, OvivoreAnimal",IF(_xlfn.XLOOKUP(B316,'Base stats'!B:B,'Base stats'!Y:Y)="Dendrovore","VegetarianRoughAnimal, DendrovoreAnimal",IF(_xlfn.XLOOKUP(B316,'Base stats'!B:B,'Base stats'!Y:Y)="Herbivore","VegetarianRoughAnimal",IF(_xlfn.XLOOKUP(B316,'Base stats'!B:B,'Base stats'!Y:Y)="OmnivoreRough","OmnivoreRoughAnimal, OvivoreAnimal","OmnivoreAnimal, OvivoreAnimal"))))))</f>
        <v>OmnivoreAnimal, OvivoreAnimal</v>
      </c>
      <c r="AZ316" s="2" t="str">
        <f>IF(_xlfn.XLOOKUP(_xlfn.XLOOKUP(B316,'Base stats'!B:B,'Base stats'!E:E),Groups!A:A,Groups!D:D)=1,MROUND((1-J316)*5+1,2)*IF(J316&lt;=0.4,2,1),"No")</f>
        <v>No</v>
      </c>
      <c r="BA316" s="2" t="str">
        <f>IF(AND(_xlfn.XLOOKUP(B316,'Base stats'!B:B,'Base stats'!AH:AH)="&lt;li&gt;Seal&lt;/li&gt;",G316="Odyssey"),"&lt;li&gt;AEXP_Seal&lt;/li&gt;",_xlfn.XLOOKUP(B316,'Base stats'!B:B,'Base stats'!AH:AH))</f>
        <v>&lt;li&gt;Megaspider&lt;/li&gt;</v>
      </c>
      <c r="BB316" s="2" t="str">
        <f>_xlfn.XLOOKUP(B316,'Base stats'!B:B,'Base stats'!AG:AG)</f>
        <v>Leather_BlackChitin</v>
      </c>
      <c r="BC316" s="23" t="str">
        <f>_xlfn.XLOOKUP(_xlfn.XLOOKUP(B316,'Base stats'!B:B,'Base stats'!E:E),Groups!A:A,Groups!AL:AL)</f>
        <v>BeetleLikeWithClaw</v>
      </c>
      <c r="BD316" s="23">
        <f>MIN(1,MROUND(IF(AND(AO316&lt;0.5,_xlfn.XLOOKUP(B316,'Base stats'!B:B,'Base stats'!AA:AA)=0),0,IF(OR(_xlfn.XLOOKUP(Animals!B316,'Base stats'!B:B,'Base stats'!O:O)=2,_xlfn.XLOOKUP(_xlfn.XLOOKUP(B316,'Base stats'!B:B,'Base stats'!E:E),Groups!A:A,Groups!AN:AN)=0),0,_xlfn.XLOOKUP(_xlfn.XLOOKUP(B316,'Base stats'!B:B,'Base stats'!E:E),Groups!A:A,Groups!AN:AN)/IF(_xlfn.XLOOKUP(Animals!B316,'Base stats'!B:B,'Base stats'!O:O)=1,2,1)))+_xlfn.XLOOKUP(B316,'Base stats'!B:B,'Base stats'!AC:AC),0.005))</f>
        <v>0.1</v>
      </c>
      <c r="BE316" s="23">
        <f>MIN(1,MROUND(IF(AND(AO316&lt;0.5,_xlfn.XLOOKUP(B316,'Base stats'!B:B,'Base stats'!AA:AA)=0),0,IF(_xlfn.XLOOKUP(_xlfn.XLOOKUP(B316,'Base stats'!B:B,'Base stats'!E:E),Groups!A:A,Groups!AO:AO)=0,0,_xlfn.XLOOKUP(_xlfn.XLOOKUP(B316,'Base stats'!B:B,'Base stats'!E:E),Groups!A:A,Groups!AO:AO)/IF(_xlfn.XLOOKUP(Animals!B316,'Base stats'!B:B,'Base stats'!O:O)=2,3,1)))+_xlfn.XLOOKUP(B316,'Base stats'!B:B,'Base stats'!AD:AD),0.005))</f>
        <v>1</v>
      </c>
      <c r="BF316" s="2" t="str">
        <f>IF(J316&gt;0.3,"No",_xlfn.XLOOKUP(_xlfn.XLOOKUP(Animals!B316,'Base stats'!B:B,'Base stats'!E:E),Groups!A:A,Groups!AP:AP))</f>
        <v>No</v>
      </c>
      <c r="BG316" s="2" t="str">
        <f>IF(AND(J316&lt;=0.65,_xlfn.XLOOKUP(_xlfn.XLOOKUP(Animals!B316,'Base stats'!B:B,'Base stats'!E:E),Groups!A:A,Groups!AP:AP)&lt;&gt;"No",_xlfn.XLOOKUP(_xlfn.XLOOKUP(B316,'Base stats'!B:B,'Base stats'!E:E),Groups!A:A,Groups!D:D)=0),MROUND((80/3)*IF(_xlfn.XLOOKUP(B316,'Base stats'!B:B,'Base stats'!O:O)=2,0.2,AO316) + 24*(1-IF(BF316="No",0,BF316)) + 16/3, 12),"No")</f>
        <v>No</v>
      </c>
      <c r="BH316" s="2">
        <f>IF(AND(_xlfn.XLOOKUP(_xlfn.XLOOKUP(B316,'Base stats'!B:B,'Base stats'!E:E),Groups!A:A,Groups!AQ:AQ)=1,AO316&lt;=0.35),8,12)</f>
        <v>12</v>
      </c>
      <c r="BI316" s="2" t="str">
        <f>IF(_xlfn.XLOOKUP(_xlfn.XLOOKUP(B316,'Base stats'!B:B,'Base stats'!E:E),Groups!A:A,Groups!D:D)=0,_xlfn.XLOOKUP(_xlfn.XLOOKUP(B316,'Base stats'!B:B,'Base stats'!E:E),Groups!A:A,Groups!AR:AR),"None")</f>
        <v>Advanced</v>
      </c>
      <c r="BJ316" s="2" t="str">
        <f>IF(AND(_xlfn.XLOOKUP(_xlfn.XLOOKUP(B316,'Base stats'!B:B,'Base stats'!E:E),Groups!A:A,Groups!AS:AS)=1,OR(_xlfn.XLOOKUP(B316,'Base stats'!B:B,'Base stats'!Y:Y)="Carnivore",_xlfn.XLOOKUP(B316,'Base stats'!B:B,'Base stats'!Y:Y)="Omnivore")),"true","false")</f>
        <v>true</v>
      </c>
      <c r="BK316" s="2">
        <f>IF(BJ316="true",MROUND(IF(AND(AO316&gt;0.5,OR(_xlfn.XLOOKUP(_xlfn.XLOOKUP(B316,'Base stats'!B:B,'Base stats'!E:E),Groups!A:A,Groups!AJ:AJ)="Photonozoa",_xlfn.XLOOKUP(_xlfn.XLOOKUP(B316,'Base stats'!B:B,'Base stats'!E:E),Groups!A:A,Groups!AJ:AJ)="Mammal")),Animals!AO316*1.75*IF(AW316="true",1.5,1),IF(AO316&lt;0.5,Animals!AO316*0.5,Animals!AO316)),IF(AO316&gt;2,0.5,IF(AO316&gt;0.5,0.25,0.1))),"No")</f>
        <v>2.5</v>
      </c>
      <c r="BL316" s="2">
        <f t="shared" si="31"/>
        <v>1</v>
      </c>
      <c r="BM316" s="25" t="str">
        <f>IF(_xlfn.XLOOKUP(B316,'Base stats'!B:B,'Base stats'!AN:AN)="Standard","No",MROUND((_xlfn.XLOOKUP(B316,'Base stats'!B:B,'Base stats'!AN:AN)/3.6)/I316,0.1))</f>
        <v>No</v>
      </c>
      <c r="BN316" s="25" t="str">
        <f t="shared" si="32"/>
        <v>false</v>
      </c>
      <c r="BO316" s="25" t="str">
        <f>IF(AND(OR(_xlfn.XLOOKUP(B316,'Base stats'!B:B,'Base stats'!Y:Y)="Carnivore",_xlfn.XLOOKUP(B316,'Base stats'!B:B,'Base stats'!Y:Y)="Omnivore",_xlfn.XLOOKUP(B316,'Base stats'!B:B,'Base stats'!Y:Y)="OmnivoreRough"),_xlfn.XLOOKUP(_xlfn.XLOOKUP(B316,'Base stats'!B:B,'Base stats'!E:E),Groups!A:A,Groups!AT:AT)=1),"true","false")</f>
        <v>false</v>
      </c>
      <c r="BP316" s="25" t="str" cm="1">
        <f t="array" ref="BP316">IF(
  _xlfn.TEXTJOIN(", ",TRUE,
    IF(AND(BJ316="true",AO316&gt;0.5,BI316&lt;&gt;"None"),"AttackTarget",""),
    IF(AND(_xlfn.XLOOKUP(_xlfn.XLOOKUP(B316,'Base stats'!B:B,'Base stats'!E:E),Groups!A:A,Groups!AJ:AJ="Mammal"),OR(_xlfn.XLOOKUP(B316,'Base stats'!B:B,'Base stats'!Y:Y)="Omnivore",_xlfn.XLOOKUP(B316,'Base stats'!B:B,'Base stats'!Y:Y)="OmnivoreRough")),"Forage",""),
    IF(BG316&lt;=36,"Comfort",""),
    IF(_xlfn.XLOOKUP(B316,'Base stats'!B:B,'Base stats'!AE:AE)&lt;&gt;"No",_xlfn.XLOOKUP(B316,'Base stats'!B:B,'Base stats'!AE:AE),"")
  ) = "",
  "No",
  _xlfn.TEXTJOIN(", ",TRUE,
    IF(AND(BJ316="true",AO316&gt;0.5,BI316&lt;&gt;"None"),"AttackTarget",""),
    IF(AND(_xlfn.XLOOKUP(_xlfn.XLOOKUP(B316,'Base stats'!B:B,'Base stats'!E:E),Groups!A:A,Groups!AJ:AJ="Mammal"),OR(_xlfn.XLOOKUP(B316,'Base stats'!B:B,'Base stats'!Y:Y)="Omnivore",_xlfn.XLOOKUP(B316,'Base stats'!B:B,'Base stats'!Y:Y)="OmnivoreRough")),"Forage",""),
    IF(BG316&lt;=36,"Comfort",""),
    IF(_xlfn.XLOOKUP(B316,'Base stats'!B:B,'Base stats'!AE:AE)&lt;&gt;"No",_xlfn.XLOOKUP(B316,'Base stats'!B:B,'Base stats'!AE:AE),"")
  )
)</f>
        <v>AttackTarget</v>
      </c>
      <c r="BQ316" s="25" t="str">
        <f>IF(
   AND(
      'Base stats'!AN316="Standard",_xlfn.XLOOKUP(_xlfn.XLOOKUP(B316,'Base stats'!B:B,'Base stats'!E:E),Groups!A:A,Groups!AU:AU)=0,
      OR(
      BO316="True"
      )
   ),
   10,
   IF(
       OR(BM316&lt;&gt;"No",_xlfn.XLOOKUP(_xlfn.XLOOKUP(B316,'Base stats'!B:B,'Base stats'!E:E),Groups!A:A,Groups!AU:AU)=1),
      1,
      "No"
   )
)</f>
        <v>No</v>
      </c>
      <c r="BR316" s="9">
        <f>MROUND((1 + ((0.2*IF(OR(Q316="No",R316="No",R316=0),0,Q316/R316)
+IF(OR(V316="No",S316="No",T316="No"),0,S316/T316*(LEN(V316)-LEN(SUBSTITUTE(V316,",",""))+1))
+IF(OR(X316="No",Y316="No"),0,X316/Y316)
+IF(OR(AD316="No",AE316="No"),0,AD316/AE316)
+IF(OR(AL316="No",AI316="No",AJ316="No"),0,AI316/AJ316*(LEN(AL316)-LEN(SUBSTITUTE(AL316,",",""))+1))
)/(0.2*IF(OR(Q316="No",R316="No",R316=0),0,1)
+IF(OR(V316="No",S316="No",T316="No"),0,LEN(V316)-LEN(SUBSTITUTE(V316,",",""))+1)
+IF(OR(X316="No",Y316="No"),0,1)
+IF(OR(AD316="No",AE316="No"),0,1)
+IF(OR(AL316="No",AI316="No",AJ316="No"),0,LEN(AL316)-LEN(SUBSTITUTE(AL316,",",""))+1))*62%)* 2)*(1 + (AP316 / (IF(_xlfn.XLOOKUP(_xlfn.XLOOKUP(B316,'Base stats'!B:B,'Base stats'!E:E),Groups!A:A,Groups!AJ:AJ)="Photonozoa",0.3,1)) + _xlfn.XLOOKUP(B316,'Base stats'!B:B,'Base stats'!AV:AV) * 1.8) * 2) * 2.5 + 10 + I316 * 2,5)+IF(_xlfn.XLOOKUP(B316,'Base stats'!B:B,'Base stats'!AK:AK)=1,50,0)</f>
        <v>370</v>
      </c>
      <c r="BS316" s="8">
        <f t="shared" si="33"/>
        <v>0.75</v>
      </c>
      <c r="BT316" s="8" t="str">
        <f>_xlfn.XLOOKUP(B316,'Base stats'!B:B,'Base stats'!AF:AF)</f>
        <v>No</v>
      </c>
      <c r="BU316" s="2" t="str">
        <f>IF(AND(J316&lt;=0.95,OR(_xlfn.XLOOKUP(B316,'Base stats'!B:B,'Base stats'!AK:AK)=1,_xlfn.XLOOKUP(B316,'Base stats'!B:B,'Base stats'!Y:Y)="Carnivore",_xlfn.XLOOKUP(B316,'Base stats'!B:B,'Base stats'!Y:Y)="Omnivore",BE316&gt;0.1)),"true","false")</f>
        <v>true</v>
      </c>
      <c r="BV316" s="2" t="str">
        <f>IF(_xlfn.XLOOKUP(B316,'Base stats'!B:B,'Base stats'!AI:AI)=1,"true","false")</f>
        <v>false</v>
      </c>
      <c r="BW316" s="25" t="str">
        <f>IF(E316="BaseInsect","AnimalInsect",
IF(J316&gt;0.95,"AnimalExotic",
_xlfn.TEXTJOIN(", ",TRUE,
IF(OR(_xlfn.XLOOKUP(B316,'Base stats'!B:B,'Base stats'!AM:AM)=1,AND(_xlfn.XLOOKUP(B316,'Base stats'!B:B,'Base stats'!O:O)=0,_xlfn.XLOOKUP(_xlfn.XLOOKUP(B316,'Base stats'!B:B,'Base stats'!E:E),Groups!A:A,Groups!B:B)&gt;0)),"AnimalUncommon","AnimalCommon"),
IF(AND(_xlfn.XLOOKUP(B316,'Base stats'!B:B,'Base stats'!O:O)=2,_xlfn.XLOOKUP(_xlfn.XLOOKUP(B316,'Base stats'!B:B,'Base stats'!E:E),Groups!A:A,Groups!D:D)=0),"AnimalPet",IF(AND(_xlfn.XLOOKUP(B316,'Base stats'!B:B,'Base stats'!O:O)&lt;&gt;0,_xlfn.XLOOKUP(_xlfn.XLOOKUP(B316,'Base stats'!B:B,'Base stats'!E:E),Groups!A:A,Groups!D:D)&lt;&gt;0),"AnimalFarm","")),
IF(OR(_xlfn.XLOOKUP(B316,'Base stats'!B:B,'Base stats'!AK:AK)=1,AND(BI316&lt;&gt;"None",BR316&gt;=60),ISNUMBER(SEARCH("Attack target",BP316))),"AnimalFighter","")
)))</f>
        <v>AnimalUncommon, AnimalFighter</v>
      </c>
      <c r="BX316" s="25" t="str">
        <f>IF(G316="None",TRIM(
SUBSTITUTE(
IF(COUNTIF(Biomes!B$2:B$259,"="&amp;$C316)&gt;0,Biomes!B$1&amp;", ","")&amp;
IF(COUNTIF(Biomes!C$2:C$259,"="&amp;$C316)&gt;0,Biomes!C$1&amp;", ","")&amp;
IF(COUNTIF(Biomes!D$2:D$259,"="&amp;$C316)&gt;0,Biomes!D$1&amp;", ","")&amp;
IF(COUNTIF(Biomes!F$2:F$259,"="&amp;$C316)&gt;0,Biomes!F$1&amp;", ","")&amp;
IF(COUNTIF(Biomes!G$2:G$259,"="&amp;$C316)&gt;0,Biomes!G$1&amp;", ","")&amp;
IF(COUNTIF(Biomes!H$2:H$259,"="&amp;$C316)&gt;0,Biomes!H$1&amp;", ","")&amp;
IF(COUNTIF(Biomes!I$2:I$259,"="&amp;$C316)&gt;0,Biomes!I$1&amp;", ","")&amp;
IF(COUNTIF(Biomes!J$2:J$259,"="&amp;$C316)&gt;0,Biomes!J$1&amp;", ","")&amp;
IF(COUNTIF(Biomes!M$2:M$259,"="&amp;$C316)&gt;0,Biomes!M$1&amp;", ","")&amp;
IF(COUNTIF(Biomes!N$2:N$259,"="&amp;$C316)&gt;0,Biomes!N$1&amp;", ","")&amp;
IF(COUNTIF(Biomes!O$2:O$259,"="&amp;$C316)&gt;0,Biomes!O$1&amp;", ","")&amp;
IF(COUNTIF(Biomes!P$2:P$259,"="&amp;$C316)&gt;0,Biomes!P$1&amp;", ","")&amp;
IF(COUNTIF(Biomes!K$2:K$259,"="&amp;$C316)&gt;0,Biomes!K$1&amp;", ","")&amp;
IF(COUNTIF(Biomes!Q$3:Q$259,"="&amp;$C316)&gt;0,Biomes!Q$1&amp;", ","")&amp;
IF(COUNTIF(Biomes!L$2:L$259,"="&amp;$C316)&gt;0,Biomes!L$1&amp;", ","")&amp;
IF(COUNTIF(Biomes!E$2:E$259,"="&amp;$C316)&gt;0,Biomes!E$1&amp;", ","")&amp;IF(COUNTIF(Biomes!S$2:S$259,"="&amp;$C316)&gt;0,Biomes!S$1&amp;", ","")&amp;
IF(COUNTIF(Biomes!R$2:R$259,"="&amp;$C316)&gt;0,Biomes!R$1&amp;", ",""),", ","")
),_xlfn.XLOOKUP(B316,B:B,BX:BX))</f>
        <v/>
      </c>
      <c r="BY316" s="25" t="str">
        <f>IF(_xlfn.XLOOKUP(B316,'Base stats'!B:B,'Base stats'!AJ:AJ)=1,"true","false")</f>
        <v>false</v>
      </c>
      <c r="BZ316" s="25">
        <f>IF(_xlfn.XLOOKUP(B316,'Base stats'!B:B,'Base stats'!N:N)=1,"No",MAX(0.001,MIN(MROUND(IF(AND(BJ316="True",CC316="False"),POWER(10,3.47*LOG10(_xlfn.XLOOKUP(B316,'Base stats'!B:B,'Base stats'!C:C)*1000)^-0.96),POWER(10,4.15*LOG10(_xlfn.XLOOKUP(B316,'Base stats'!B:B,'Base stats'!C:C)*1000)^-0.73))*IF(_xlfn.XLOOKUP(B316,'Base stats'!B:B,'Base stats'!AK:AK)=1,0.5,1)*IF(_xlfn.XLOOKUP(B316,'Base stats'!B:B,'Base stats'!AM:AM)=1,0.1,1)/100,IF(_xlfn.XLOOKUP(B316,'Base stats'!B:B,'Base stats'!AM:AM)=1,0.001,0.025)),0.5)))</f>
        <v>1.4999999999999999E-2</v>
      </c>
      <c r="CA316" s="25">
        <f>IF(P316="Standard","No",MAX(0.001,MIN(MROUND(IF(AND(BJ316="True",CC316="False"),POWER(10,3.47*LOG10(_xlfn.XLOOKUP(B316,'Base stats'!B:B,'Base stats'!C:C)*1000)^-0.96),POWER(10,4.15*LOG10(_xlfn.XLOOKUP(B316,'Base stats'!B:B,'Base stats'!C:C)*1000)^-0.73))*IF(_xlfn.XLOOKUP(B316,'Base stats'!B:B,'Base stats'!AM:AM)=1,0.1,1)*_xlfn.XLOOKUP(B316,'Base stats'!B:B,'Base stats'!R:R)/100,IF(_xlfn.XLOOKUP(B316,'Base stats'!B:B,'Base stats'!AM:AM)=1,0.001,0.025)),0.5)))</f>
        <v>1.4999999999999999E-2</v>
      </c>
      <c r="CB316" s="25" t="str">
        <f>IF(_xlfn.XLOOKUP(_xlfn.XLOOKUP(B316,'Base stats'!B:B,'Base stats'!E:E),Groups!A:A,Groups!AJ:AJ)="Mammal","True","False")</f>
        <v>False</v>
      </c>
      <c r="CC316" s="25" t="str">
        <f>IF(OR(_xlfn.XLOOKUP(_xlfn.XLOOKUP(B316,'Base stats'!B:B,'Base stats'!E:E),Groups!A:A,Groups!AJ:AJ)="Reptile",_xlfn.XLOOKUP(_xlfn.XLOOKUP(B316,'Base stats'!B:B,'Base stats'!E:E),Groups!A:A,Groups!AJ:AJ)="Amphibian",_xlfn.XLOOKUP(_xlfn.XLOOKUP(B316,'Base stats'!B:B,'Base stats'!E:E),Groups!A:A,Groups!AJ:AJ)="Invertebrate"),"True","False")</f>
        <v>True</v>
      </c>
      <c r="CD316" s="25" t="str">
        <f t="shared" si="34"/>
        <v>False</v>
      </c>
      <c r="CE316" s="25" t="str">
        <f>IF(_xlfn.XLOOKUP(_xlfn.XLOOKUP(B316,'Base stats'!B:B,'Base stats'!E:E),Groups!A:A,Groups!AX:AX),"True","False")</f>
        <v>False</v>
      </c>
      <c r="CF316" s="25" t="str">
        <f>IF(_xlfn.XLOOKUP(_xlfn.XLOOKUP(B316,'Base stats'!B:B,'Base stats'!E:E),Groups!A:A,Groups!AY:AY),"True","False")</f>
        <v>False</v>
      </c>
      <c r="CG316" s="25" t="str">
        <f>IF(_xlfn.XLOOKUP(_xlfn.XLOOKUP(B316,'Base stats'!B:B,'Base stats'!E:E),Groups!A:A,Groups!AW:AW),"True","False")</f>
        <v>False</v>
      </c>
      <c r="CH316" s="25" t="str">
        <f>IF(
OR(
_xlfn.XLOOKUP(_xlfn.XLOOKUP(B316,'Base stats'!B:B,'Base stats'!E:E),Groups!A:A,Groups!AZ:AZ)=0,
AND(
_xlfn.XLOOKUP(B316,'Base stats'!B:B,'Base stats'!Y:Y)&lt;&gt;"Carnivore",
_xlfn.XLOOKUP(B316,'Base stats'!B:B,'Base stats'!Y:Y)&lt;&gt;"Omnivore",
_xlfn.XLOOKUP(B316,'Base stats'!B:B,'Base stats'!Y:Y)&lt;&gt;"OmnivoreRough"
)
),
"No",
IF(
_xlfn.XLOOKUP(_xlfn.XLOOKUP(B316,'Base stats'!B:B,'Base stats'!E:E),Groups!A:A,Groups!AZ:AZ)=1,
"Flesh",
IF(
_xlfn.XLOOKUP(_xlfn.XLOOKUP(B316,'Base stats'!B:B,'Base stats'!E:E),Groups!A:A,Groups!AZ:AZ)=2,
"Bone",
""
)
)
)</f>
        <v>Bone</v>
      </c>
      <c r="CI316" s="25" t="str">
        <f>IF(_xlfn.XLOOKUP(_xlfn.XLOOKUP(B316,'Base stats'!B:B,'Base stats'!E:E),Groups!A:A,Groups!BB:BB),"True","False")</f>
        <v>False</v>
      </c>
      <c r="CJ316" s="25" t="str">
        <f>IF(_xlfn.XLOOKUP(_xlfn.XLOOKUP(B316,'Base stats'!B:B,'Base stats'!E:E),Groups!A:A,Groups!BA:BA),"True","False")</f>
        <v>False</v>
      </c>
    </row>
    <row r="317" spans="1:88" ht="16.5" thickTop="1" thickBot="1" x14ac:dyDescent="0.3">
      <c r="A317" s="26" t="s">
        <v>1546</v>
      </c>
      <c r="B317" s="6" t="str">
        <f>_xlfn.XLOOKUP(A317,'Base stats'!A:A,'Base stats'!B:B)</f>
        <v>Salvator electronis</v>
      </c>
      <c r="C317" s="28" t="s">
        <v>1547</v>
      </c>
      <c r="D317" s="28" t="s">
        <v>1341</v>
      </c>
      <c r="E317" s="28" t="s">
        <v>673</v>
      </c>
      <c r="F317" s="28" t="s">
        <v>673</v>
      </c>
      <c r="G317" s="28" t="s">
        <v>673</v>
      </c>
      <c r="H317" s="2">
        <f>MROUND((
  (IF(AND(_xlfn.XLOOKUP(B317,'Base stats'!B:B,'Base stats'!AL:AL)=0,BI317="None",_xlfn.XLOOKUP(_xlfn.XLOOKUP(B317,'Base stats'!B:B,'Base stats'!E:E),Groups!A:A,Groups!B:B)=0), (18 + BR317 * 2.7) * 0.5,
    IF(AND(_xlfn.XLOOKUP(B317,'Base stats'!B:B,'Base stats'!AL:AL)=0,OR(AO317&lt;0.55,AND(BI317="Intermediate",_xlfn.XLOOKUP(_xlfn.XLOOKUP(B317,'Base stats'!B:B,'Base stats'!E:E),Groups!A:A,Groups!B:B)&lt;2))), (18 + BR317 * 2.7),
      IF(OR(BI317="Advanced",_xlfn.XLOOKUP(B317,'Base stats'!B:B,'Base stats'!AL:AL)=1,_xlfn.XLOOKUP(_xlfn.XLOOKUP(B317,'Base stats'!B:B,'Base stats'!E:E),Groups!A:A,Groups!B:B)=2), (18 + BR317 * 2.7) + 250, (18 + BR317 * 2.7))
    )
  ))
  + AO317 * 80
  + IF(COUNTIF(EggMilk!K$2:K$998, A317) &gt; 0, 125, 0)
  + IF(COUNTIF(EggMilk!P$2:P$998, A317) &gt; 0, 90, 0)
  + IF(COUNTIF(EggMilk!A$2:A$998, A317) &gt; 0, 90, 0)
)
* (0.8 + 0.4 * J317)
* 0.75,25)</f>
        <v>300</v>
      </c>
      <c r="I317" s="2">
        <f>MROUND(ROUNDDOWN(_xlfn.XLOOKUP(B317,'Base stats'!B:B,'Base stats'!L:L)/3.6/(23.3/11),1),0.5)</f>
        <v>2.5</v>
      </c>
      <c r="J317" s="2">
        <f>IF(OR(_xlfn.XLOOKUP(B317,'Base stats'!B:B,'Base stats'!AB:AB)=1,_xlfn.XLOOKUP(_xlfn.XLOOKUP(B317,'Base stats'!B:B,'Base stats'!E:E),Groups!A:A,Groups!C:C)="Untamable"),1,IF(_xlfn.XLOOKUP(B317,'Base stats'!B:B,'Base stats'!AL:AL)=1,0.99,MIN(MROUND((1-0.6282*EXP(-0.459*AO317))*_xlfn.XLOOKUP(_xlfn.XLOOKUP(B317,'Base stats'!B:B,'Base stats'!E:E),Groups!A:A,Groups!C:C)*IF(_xlfn.XLOOKUP(B317,'Base stats'!B:B,'Base stats'!O:O)=1,0.5,IF(_xlfn.XLOOKUP(B317,'Base stats'!B:B,'Base stats'!O:O)=2,0,1)),0.05),IF(AO317&gt;3.5,0.985,0.95))))</f>
        <v>0.8</v>
      </c>
      <c r="K317" s="2">
        <f>ROUNDUP(AO317*_xlfn.XLOOKUP(_xlfn.XLOOKUP(B317,'Base stats'!B:B,'Base stats'!E:E),Groups!A:A,Groups!E:E),0)</f>
        <v>1</v>
      </c>
      <c r="L317" s="2">
        <f>IF(OR(_xlfn.XLOOKUP(_xlfn.XLOOKUP(B317,'Base stats'!B:B,'Base stats'!E:E),Groups!A:A,Groups!F:F)=2,ISNUMBER(SEARCH("SeaIce",BX317)),ISNUMBER(SEARCH("IceSheet",BX317))),-50,IF(OR(ISNUMBER(SEARCH("GlacialPlain",BX317)),ISNUMBER(SEARCH("Tundra",BX317))),-40,IF(OR(ISNUMBER(SEARCH("Alpine",BX317)),ISNUMBER(SEARCH("BorealForest",BX317)),ISNUMBER(SEARCH("ColdBog",BX317))),-30,IF(OR(ISNUMBER(SEARCH("TemperateForest",BX317)),ISNUMBER(SEARCH("TemperateSwamp",BX317))),-20,IF(_xlfn.XLOOKUP(_xlfn.XLOOKUP(B317,'Base stats'!B:B,'Base stats'!E:E),Groups!A:A,Groups!F:F)=1,-15,IF(OR(ISNUMBER(SEARCH("Desert",BX317)),ISNUMBER(SEARCH("ExtremeDesert",BX317))),-10,IF(OR(ISNUMBER(SEARCH("Grasslands",BX317)),ISNUMBER(SEARCH("TropicalRainforest",BX317)),ISNUMBER(SEARCH("TropicalSwamp",BX317))),10,0)))))))-IF(CC317="False",MIN(IFERROR(MAX(MROUND(LOG10(_xlfn.XLOOKUP(B317,'Base stats'!B:B,'Base stats'!C:C)^(2/3))*10,5),5),5),30))-_xlfn.XLOOKUP(B317,'Base stats'!B:B,'Base stats'!P:P)+IF(CC317="True",5,0)</f>
        <v>15</v>
      </c>
      <c r="M317" s="2">
        <f>IF(OR(_xlfn.XLOOKUP(_xlfn.XLOOKUP(B317,'Base stats'!B:B,'Base stats'!E:E),Groups!A:A,Groups!G:G)=2,ISNUMBER(SEARCH("Desert",BX317)),ISNUMBER(SEARCH("ExtremeDesert",BX317)),ISNUMBER(SEARCH("LavaField",BX317))),50,IF(ISNUMBER(SEARCH("Grasslands",BX317)),45,IF(OR(_xlfn.XLOOKUP(_xlfn.XLOOKUP(B317,'Base stats'!B:B,'Base stats'!E:E),Groups!A:A,Groups!G:G)=1,ISNUMBER(SEARCH("TropicalRainforest",BX317)),ISNUMBER(SEARCH("TropicalSwamp",BX317))),40,IF(OR(ISNUMBER(SEARCH("TemperateForest",BX317)),ISNUMBER(SEARCH("TemperateSwamp",BX317))),35,IF(OR(ISNUMBER(SEARCH("Alpine",BX317)),ISNUMBER(SEARCH("BorealForest",BX317)),ISNUMBER(SEARCH("ColdBog",BX317))),30,IF(ISNUMBER(OR(ISNUMBER(SEARCH("GlacialPlain",BX317)),SEARCH("Tundra",BX317))),25,IF(OR(ISNUMBER(SEARCH("SeaIce",BX317)),ISNUMBER(SEARCH("IceSheet",BX317)),ISNUMBER(SEARCH("TropicalSwamp",BX317))),10,35)))))))+_xlfn.XLOOKUP(B317,'Base stats'!B:B,'Base stats'!Q:Q)</f>
        <v>40</v>
      </c>
      <c r="N317" s="8" t="str">
        <f>IF(
_xlfn.XLOOKUP(
_xlfn.XLOOKUP(B317,'Base stats'!B:B,'Base stats'!E:E),
Groups!A:A,
Groups!L:L
)=1,
MIN(
MROUND(
IF(
_xlfn.XLOOKUP(B317,'Animals CE'!B:B,'Animals CE'!Z:Z)&lt;=1.5,
_xlfn.XLOOKUP(B317,'Animals CE'!B:B,'Animals CE'!Z:Z)/2+0.05,
0.8+
(_xlfn.XLOOKUP(B317,'Animals CE'!B:B,'Animals CE'!Z:Z)-1.5)
*0.02
),
0.05
),
200%
),
"No"
)</f>
        <v>No</v>
      </c>
      <c r="O317" s="8" t="str">
        <f>IF(
_xlfn.XLOOKUP(
_xlfn.XLOOKUP(B317,'Base stats'!B:B,'Base stats'!E:E),
Groups!A:A,
Groups!L:L
)=1,
MIN(
MROUND(
IF(
_xlfn.XLOOKUP(B317,'Animals CE'!B:B,'Animals CE'!AA:AA)&lt;=1.5,
_xlfn.XLOOKUP(B317,'Animals CE'!B:B,'Animals CE'!AA:AA)/2+0.05,
0.8+
(_xlfn.XLOOKUP(B317,'Animals CE'!B:B,'Animals CE'!AA:AA)-1.5)
*0.02
),
0.05
),
200%
),
"No"
)</f>
        <v>No</v>
      </c>
      <c r="P317" s="2" t="str">
        <f>_xlfn.XLOOKUP(B317,'Base stats'!B:B,'Base stats'!R:R)</f>
        <v>Standard</v>
      </c>
      <c r="Q317" s="13">
        <f>MROUND((LOG10(_xlfn.XLOOKUP(B317,'Base stats'!B:B,'Base stats'!AR:AR))*(AO317^0.5)+(_xlfn.XLOOKUP(B317,'Base stats'!B:B,'Base stats'!AR:AR)/1000)^(2/3)+_xlfn.XLOOKUP(B317,'Base stats'!B:B,'Base stats'!BA:BA)/2)+0.5,0.5)</f>
        <v>7</v>
      </c>
      <c r="R317" s="7">
        <f>IF(Q317="No","No",MAX(1,MROUND(_xlfn.XLOOKUP(B317,'Base stats'!B:B,'Base stats'!C:C)^0.165,0.05)))</f>
        <v>2</v>
      </c>
      <c r="S317" s="13" t="str">
        <f>IF(_xlfn.XLOOKUP(_xlfn.XLOOKUP(B317,'Base stats'!B:B,'Base stats'!E:E),Groups!A:A,Groups!P:P)=0,"No",MROUND((LOG10(_xlfn.XLOOKUP(B317,'Base stats'!B:B,'Base stats'!AS:AS))*(AO317^0.5)+(_xlfn.XLOOKUP(B317,'Base stats'!B:B,'Base stats'!AS:AS)/1000)^(2/3)+_xlfn.XLOOKUP(B317,'Base stats'!B:B,'Base stats'!BA:BA))+_xlfn.XLOOKUP(B317,'Base stats'!B:B,'Base stats'!AY:AY)+0.5,0.5))</f>
        <v>No</v>
      </c>
      <c r="T317" s="7" t="str">
        <f>IF(S317="No","No",MAX(_xlfn.XLOOKUP(_xlfn.XLOOKUP(B317,'Base stats'!B:B,'Base stats'!E:E),Groups!A:A,Groups!Q:Q),MROUND(_xlfn.XLOOKUP(_xlfn.XLOOKUP(B317,'Base stats'!B:B,'Base stats'!E:E),Groups!A:A,Groups!Q:Q)*_xlfn.XLOOKUP(B317,'Base stats'!B:B,'Base stats'!C:C)^0.165,0.05)))</f>
        <v>No</v>
      </c>
      <c r="U317" s="7" t="str">
        <f>IF(S317="No","No",_xlfn.XLOOKUP(_xlfn.XLOOKUP(B317,'Base stats'!B:B,'Base stats'!E:E),Groups!A:A,Groups!R:R))</f>
        <v>No</v>
      </c>
      <c r="V317" s="7" t="str">
        <f>IF(S317="No","No",_xlfn.XLOOKUP(_xlfn.XLOOKUP(B317,'Base stats'!B:B,'Base stats'!E:E),Groups!A:A,Groups!S:S))</f>
        <v>No</v>
      </c>
      <c r="W317" s="7" t="str">
        <f>IF(S317="No","No",_xlfn.XLOOKUP(_xlfn.XLOOKUP(B317,'Base stats'!B:B,'Base stats'!E:E),Groups!A:A,Groups!T:T))</f>
        <v>No</v>
      </c>
      <c r="X317" s="13" t="str">
        <f>IF(_xlfn.XLOOKUP(B317,'Base stats'!B:B,'Base stats'!W:W)="No","No",MROUND((LOG10(_xlfn.XLOOKUP(B317,'Base stats'!B:B,'Base stats'!AU:AU))*(AO317^0.5)+(_xlfn.XLOOKUP(B317,'Base stats'!B:B,'Base stats'!AU:AU)/1000)^(2/3)+_xlfn.XLOOKUP(B317,'Base stats'!B:B,'Base stats'!AZ:AZ))+0.5+IF(_xlfn.XLOOKUP(_xlfn.XLOOKUP(B317,'Base stats'!B:B,'Base stats'!E:E),Groups!A:A,Groups!U:U)&lt;&gt;3,_xlfn.XLOOKUP(B317,'Base stats'!B:B,'Base stats'!BA:BA),0),0.5))</f>
        <v>No</v>
      </c>
      <c r="Y317" s="7" t="str">
        <f>IF(X317="No","No",MAX(_xlfn.XLOOKUP(_xlfn.XLOOKUP(B317,'Base stats'!B:B,'Base stats'!E:E),Groups!A:A,Groups!V:V),MROUND(_xlfn.XLOOKUP(_xlfn.XLOOKUP(B317,'Base stats'!B:B,'Base stats'!E:E),Groups!A:A,Groups!V:V)*_xlfn.XLOOKUP(B317,'Base stats'!B:B,'Base stats'!C:C)^0.165,0.05)))</f>
        <v>No</v>
      </c>
      <c r="Z317" s="7" t="str">
        <f>IF(X317="No","No",_xlfn.XLOOKUP(_xlfn.XLOOKUP(B317,'Base stats'!B:B,'Base stats'!E:E),Groups!A:A,Groups!W:W))</f>
        <v>No</v>
      </c>
      <c r="AA317" s="7" t="str">
        <f>IF(X317="No","No",_xlfn.XLOOKUP(_xlfn.XLOOKUP(B317,'Base stats'!B:B,'Base stats'!E:E),Groups!A:A,Groups!X:X))</f>
        <v>No</v>
      </c>
      <c r="AB317" s="7" t="str">
        <f>IF(X317="No","No",_xlfn.XLOOKUP(_xlfn.XLOOKUP(B317,'Base stats'!B:B,'Base stats'!E:E),Groups!A:A,Groups!Y:Y))</f>
        <v>No</v>
      </c>
      <c r="AC317" s="7" t="str">
        <f>_xlfn.XLOOKUP(Animals!B317,'Base stats'!B:B,'Base stats'!X:X)</f>
        <v>False</v>
      </c>
      <c r="AD317" s="13">
        <f>IF(_xlfn.XLOOKUP(B317,'Base stats'!B:B,'Base stats'!AT:AT)="No","No",MROUND((LOG10(_xlfn.XLOOKUP(B317,'Base stats'!B:B,'Base stats'!AT:AT))*(AO317^0.75)+(_xlfn.XLOOKUP(B317,'Base stats'!B:B,'Base stats'!AT:AT)/1000)^(2/3)+_xlfn.XLOOKUP(B317,'Base stats'!B:B,'Base stats'!AX:AX)+_xlfn.XLOOKUP(B317,'Base stats'!B:B,'Base stats'!BA:BA))+0.5,0.5))</f>
        <v>13.5</v>
      </c>
      <c r="AE317" s="7">
        <f>IF(AD317="No","No",MAX(_xlfn.XLOOKUP(_xlfn.XLOOKUP(B317,'Base stats'!B:B,'Base stats'!E:E),Groups!A:A,Groups!Z:Z),MROUND(_xlfn.XLOOKUP(_xlfn.XLOOKUP(B317,'Base stats'!B:B,'Base stats'!E:E),Groups!A:A,Groups!Z:Z)*_xlfn.XLOOKUP(B317,'Base stats'!B:B,'Base stats'!C:C)^0.165,0.05)))</f>
        <v>1.7000000000000002</v>
      </c>
      <c r="AF317" s="7" t="str">
        <f>IF(AD317="No","No",_xlfn.XLOOKUP(_xlfn.XLOOKUP(B317,'Base stats'!B:B,'Base stats'!E:E),Groups!A:A,Groups!AA:AA))</f>
        <v>Teeth</v>
      </c>
      <c r="AG317" s="7" t="str">
        <f>IF(AD317="No","No",_xlfn.XLOOKUP(_xlfn.XLOOKUP(B317,'Base stats'!B:B,'Base stats'!E:E),Groups!A:A,Groups!AB:AB))</f>
        <v>teeth</v>
      </c>
      <c r="AH317" s="7" t="str">
        <f>IF(AD317="No","No",_xlfn.XLOOKUP(_xlfn.XLOOKUP(B317,'Base stats'!B:B,'Base stats'!E:E),Groups!A:A,Groups!AC:AC))</f>
        <v>ToxicBite</v>
      </c>
      <c r="AI317" s="13">
        <f>IF(_xlfn.XLOOKUP(_xlfn.XLOOKUP(B317,'Base stats'!B:B,'Base stats'!E:E),Groups!A:A,Groups!AD:AD)=0,"No",MROUND((LOG10(_xlfn.XLOOKUP(B317,'Base stats'!B:B,'Base stats'!AS:AS))*(AO317^0.75)+(_xlfn.XLOOKUP(B317,'Base stats'!B:B,'Base stats'!AS:AS)/1000)^(2/3)+_xlfn.XLOOKUP(B317,'Base stats'!B:B,'Base stats'!AY:AY)+_xlfn.XLOOKUP(B317,'Base stats'!B:B,'Base stats'!BA:BA))+0.5,0.5))</f>
        <v>10</v>
      </c>
      <c r="AJ317" s="7">
        <f>IF(AI317="No","No",MAX(_xlfn.XLOOKUP(_xlfn.XLOOKUP(B317,'Base stats'!B:B,'Base stats'!E:E),Groups!A:A,Groups!AE:AE),MROUND(_xlfn.XLOOKUP(_xlfn.XLOOKUP(B317,'Base stats'!B:B,'Base stats'!E:E),Groups!A:A,Groups!AE:AE)*IF(_xlfn.XLOOKUP(_xlfn.XLOOKUP(B317,'Base stats'!B:B,'Base stats'!E:E),Groups!A:A,Groups!AJ:AJ)="Photonozoa",0.6,1)*_xlfn.XLOOKUP(B317,'Base stats'!B:B,'Base stats'!C:C)^0.165,0.05)))</f>
        <v>1.4000000000000001</v>
      </c>
      <c r="AK317" s="7" t="str">
        <f>IF(AI317="No","No",_xlfn.XLOOKUP(_xlfn.XLOOKUP(B317,'Base stats'!B:B,'Base stats'!E:E),Groups!A:A,Groups!AF:AF))</f>
        <v>FrontLeftClaws, FrontRightClaws</v>
      </c>
      <c r="AL317" s="7" t="str">
        <f>IF(AI317="No","No",_xlfn.XLOOKUP(_xlfn.XLOOKUP(B317,'Base stats'!B:B,'Base stats'!E:E),Groups!A:A,Groups!AG:AG))</f>
        <v>left claw, right claw</v>
      </c>
      <c r="AM317" s="7" t="str">
        <f>IF(AI317="No","No",_xlfn.XLOOKUP(_xlfn.XLOOKUP(B317,'Base stats'!B:B,'Base stats'!E:E),Groups!A:A,Groups!AH:AH))</f>
        <v>Scratch</v>
      </c>
      <c r="AN317" s="2">
        <f t="shared" si="28"/>
        <v>20</v>
      </c>
      <c r="AO317" s="2">
        <f>MROUND(IF(AND(_xlfn.XLOOKUP(B317,'Base stats'!B:B,'Base stats'!C:C)&gt;=0.5,_xlfn.XLOOKUP(B317,'Base stats'!B:B,'Base stats'!C:C)&lt;=0.8),
IF(_xlfn.XLOOKUP(B317,'Base stats'!B:B,'Base stats'!C:C)&lt;0.1,0.05,IF(_xlfn.XLOOKUP(B317,'Base stats'!B:B,'Base stats'!C:C)&lt;=70,(_xlfn.XLOOKUP(B317,'Base stats'!B:B,'Base stats'!C:C)/70)^0.426489913056526,IF(_xlfn.XLOOKUP(B317,'Base stats'!B:B,'Base stats'!C:C)&lt;=400,(_xlfn.XLOOKUP(B317,'Base stats'!B:B,'Base stats'!C:C)/70)^0.572811455315093,IF(_xlfn.XLOOKUP(B317,'Base stats'!B:B,'Base stats'!C:C)&lt;=2000,2.71391647193063*(_xlfn.XLOOKUP(B317,'Base stats'!B:B,'Base stats'!C:C)/400)^0.252459582904293,3.74314280240376*(_xlfn.XLOOKUP(B317,'Base stats'!B:B,'Base stats'!C:C)/2000)^0.357012633876913)))),
IF(_xlfn.XLOOKUP(B317,'Base stats'!B:B,'Base stats'!C:C)&lt;0.1,0.05,IF(_xlfn.XLOOKUP(B317,'Base stats'!B:B,'Base stats'!C:C)&lt;0.4,0.1,IF(_xlfn.XLOOKUP(B317,'Base stats'!B:B,'Base stats'!C:C)&lt;=70,(_xlfn.XLOOKUP(B317,'Base stats'!B:B,'Base stats'!C:C)/70)^0.445823913056526,IF(_xlfn.XLOOKUP(B317,'Base stats'!B:B,'Base stats'!C:C)&lt;=400,(_xlfn.XLOOKUP(B317,'Base stats'!B:B,'Base stats'!C:C)/70)^0.572811455315093,IF(_xlfn.XLOOKUP(B317,'Base stats'!B:B,'Base stats'!C:C)&lt;=2000,2.71391647193063*(_xlfn.XLOOKUP(B317,'Base stats'!B:B,'Base stats'!C:C)/400)^0.252459582904293,3.74314280240376*(_xlfn.XLOOKUP(B317,'Base stats'!B:B,'Base stats'!C:C)/2000)^0.357012633876913)))))),
IF(_xlfn.XLOOKUP(B317,'Base stats'!B:B,'Base stats'!C:C)&lt;0.1,0.05,IF(_xlfn.XLOOKUP(B317,'Base stats'!B:B,'Base stats'!C:C)&lt;=100,0.05,IF(_xlfn.XLOOKUP(B317,'Base stats'!B:B,'Base stats'!C:C)&lt;=250,0.1,IF(_xlfn.XLOOKUP(B317,'Base stats'!B:B,'Base stats'!C:C)&lt;=4000,0.25,0.5)))))</f>
        <v>1</v>
      </c>
      <c r="AP317" s="8">
        <f>MROUND(AO317*_xlfn.XLOOKUP(_xlfn.XLOOKUP(B317,'Base stats'!B:B,'Base stats'!E:E),Groups!A:A,Groups!AI:AI)*_xlfn.XLOOKUP(B317,'Base stats'!B:B,'Base stats'!Z:Z),0.05)</f>
        <v>1.2000000000000002</v>
      </c>
      <c r="AQ317" s="8">
        <f>MAX(0.01,MROUND(IF(CC317="True",0.196*(AO317*100*1000)^0.889,IF(_xlfn.XLOOKUP(_xlfn.XLOOKUP(B317,'Base stats'!B:B,'Base stats'!E:E),Groups!A:A,Groups!AJ:AJ)="Bird",10.5*(AO317*100*1000)^0.681,4.82*(AO317*100*1000)^0.734))/(4.82*(1*100*1000)^0.734)/IF(AO317&lt;3.5,2,IF(AO317=3.5,1.5,1.25))*(1+0.132282374779864/(AO317^0.994035016789033+0.00905238001496948)),0.05))</f>
        <v>0.15000000000000002</v>
      </c>
      <c r="AR317" s="9">
        <f>IFERROR(MROUND(_xlfn.XLOOKUP(B317,'Base stats'!B:B,'Base stats'!H:H)/IF(_xlfn.XLOOKUP(B317,'Base stats'!B:B,'Base stats'!I:I)&lt;&gt;1,(122.5/70),1.2),IF(_xlfn.XLOOKUP(B317,'Base stats'!B:B,'Base stats'!H:H)&gt;=30,5,IF(_xlfn.XLOOKUP(B317,'Base stats'!B:B,'Base stats'!H:H)&gt;=15,3,IF(_xlfn.XLOOKUP(B317,'Base stats'!B:B,'Base stats'!H:H)&gt;=10,2,1)))),"Immortal")</f>
        <v>25</v>
      </c>
      <c r="AS317" s="35" t="str">
        <f>IFERROR(IF(OR(_xlfn.XLOOKUP(B317,'Base stats'!B:B,'Base stats'!F:F)="Atypical reproduction",_xlfn.XLOOKUP(B317,'Base stats'!B:B,'Base stats'!F:F)="Lay eggs"),"Lay eggs",MIN(20,MAX(5.5,ROUND(((_xlfn.XLOOKUP(B317,'Base stats'!B:B,'Base stats'!F:F)-25)*(14.5/615) + 5.5)*2,0)/2))),"Unknown")</f>
        <v>Lay eggs</v>
      </c>
      <c r="AT317" s="8">
        <f>IF(_xlfn.XLOOKUP(B317,'Base stats'!B:B,'Base stats'!G:G)="Atypical reproduction","No",IFERROR(MAX(IF(_xlfn.XLOOKUP(B317,'Base stats'!B:B,'Base stats'!G:G)&lt;0.5,0.2,0.3),MROUND(_xlfn.XLOOKUP(B317,'Base stats'!B:B,'Base stats'!G:G)/(365/60),0.2)),"Unknown"))</f>
        <v>0.60000000000000009</v>
      </c>
      <c r="AU317" s="8">
        <f t="shared" si="29"/>
        <v>0.30000000000000004</v>
      </c>
      <c r="AV317" s="8" t="str">
        <f>IFERROR(IFERROR(MROUND(_xlfn.XLOOKUP(B317,'Base stats'!B:B,'Base stats'!J:J),0.1),"Lay eggs"),"Cannot breed")</f>
        <v>Lay eggs</v>
      </c>
      <c r="AW317" s="2" t="str">
        <f t="shared" si="30"/>
        <v>false</v>
      </c>
      <c r="AX317" s="2" t="str">
        <f>IF(_xlfn.XLOOKUP(_xlfn.XLOOKUP(Animals!B317,'Base stats'!B:B,'Base stats'!E:E),Groups!A:A,Groups!AK:AK)=1,"true","false")</f>
        <v>false</v>
      </c>
      <c r="AY317" s="25" t="str">
        <f>IF(_xlfn.XLOOKUP(B317,'Base stats'!B:B,'Base stats'!Y:Y)="Liquor","Liquor, CarnivoreAnimalStrict",IF(AND(_xlfn.XLOOKUP(B317,'Base stats'!B:B,'Base stats'!Y:Y)="Carnivore",_xlfn.XLOOKUP(_xlfn.XLOOKUP(B317,'Base stats'!B:B,'Base stats'!E:E),Groups!A:A,Groups!AJ:AJ)="Photonozoa"),"CarnivoreAnimalStrict, OvivoreAnimal",IF(_xlfn.XLOOKUP(B317,'Base stats'!B:B,'Base stats'!Y:Y)="Carnivore","CarnivoreAnimal, OvivoreAnimal",IF(_xlfn.XLOOKUP(B317,'Base stats'!B:B,'Base stats'!Y:Y)="Dendrovore","VegetarianRoughAnimal, DendrovoreAnimal",IF(_xlfn.XLOOKUP(B317,'Base stats'!B:B,'Base stats'!Y:Y)="Herbivore","VegetarianRoughAnimal",IF(_xlfn.XLOOKUP(B317,'Base stats'!B:B,'Base stats'!Y:Y)="OmnivoreRough","OmnivoreRoughAnimal, OvivoreAnimal","OmnivoreAnimal, OvivoreAnimal"))))))</f>
        <v>CarnivoreAnimal, OvivoreAnimal</v>
      </c>
      <c r="AZ317" s="2" t="str">
        <f>IF(_xlfn.XLOOKUP(_xlfn.XLOOKUP(B317,'Base stats'!B:B,'Base stats'!E:E),Groups!A:A,Groups!D:D)=1,MROUND((1-J317)*5+1,2)*IF(J317&lt;=0.4,2,1),"No")</f>
        <v>No</v>
      </c>
      <c r="BA317" s="2" t="str">
        <f>IF(AND(_xlfn.XLOOKUP(B317,'Base stats'!B:B,'Base stats'!AH:AH)="&lt;li&gt;Seal&lt;/li&gt;",G317="Odyssey"),"&lt;li&gt;AEXP_Seal&lt;/li&gt;",_xlfn.XLOOKUP(B317,'Base stats'!B:B,'Base stats'!AH:AH))</f>
        <v>&lt;li&gt;Iguana&lt;/li&gt;</v>
      </c>
      <c r="BB317" s="2" t="str">
        <f>_xlfn.XLOOKUP(B317,'Base stats'!B:B,'Base stats'!AG:AG)</f>
        <v>Leather_Lizard</v>
      </c>
      <c r="BC317" s="23" t="str">
        <f>_xlfn.XLOOKUP(_xlfn.XLOOKUP(B317,'Base stats'!B:B,'Base stats'!E:E),Groups!A:A,Groups!AL:AL)</f>
        <v>QuadrupedAnimalWithClawsTailAndJowl</v>
      </c>
      <c r="BD317" s="23">
        <f>MIN(1,MROUND(IF(AND(AO317&lt;0.5,_xlfn.XLOOKUP(B317,'Base stats'!B:B,'Base stats'!AA:AA)=0),0,IF(OR(_xlfn.XLOOKUP(Animals!B317,'Base stats'!B:B,'Base stats'!O:O)=2,_xlfn.XLOOKUP(_xlfn.XLOOKUP(B317,'Base stats'!B:B,'Base stats'!E:E),Groups!A:A,Groups!AN:AN)=0),0,_xlfn.XLOOKUP(_xlfn.XLOOKUP(B317,'Base stats'!B:B,'Base stats'!E:E),Groups!A:A,Groups!AN:AN)/IF(_xlfn.XLOOKUP(Animals!B317,'Base stats'!B:B,'Base stats'!O:O)=1,2,1)))+_xlfn.XLOOKUP(B317,'Base stats'!B:B,'Base stats'!AC:AC),0.005))</f>
        <v>0.1</v>
      </c>
      <c r="BE317" s="23">
        <f>MIN(1,MROUND(IF(AND(AO317&lt;0.5,_xlfn.XLOOKUP(B317,'Base stats'!B:B,'Base stats'!AA:AA)=0),0,IF(_xlfn.XLOOKUP(_xlfn.XLOOKUP(B317,'Base stats'!B:B,'Base stats'!E:E),Groups!A:A,Groups!AO:AO)=0,0,_xlfn.XLOOKUP(_xlfn.XLOOKUP(B317,'Base stats'!B:B,'Base stats'!E:E),Groups!A:A,Groups!AO:AO)/IF(_xlfn.XLOOKUP(Animals!B317,'Base stats'!B:B,'Base stats'!O:O)=2,3,1)))+_xlfn.XLOOKUP(B317,'Base stats'!B:B,'Base stats'!AD:AD),0.005))</f>
        <v>0.3</v>
      </c>
      <c r="BF317" s="2" t="str">
        <f>IF(J317&gt;0.3,"No",_xlfn.XLOOKUP(_xlfn.XLOOKUP(Animals!B317,'Base stats'!B:B,'Base stats'!E:E),Groups!A:A,Groups!AP:AP))</f>
        <v>No</v>
      </c>
      <c r="BG317" s="2" t="str">
        <f>IF(AND(J317&lt;=0.65,_xlfn.XLOOKUP(_xlfn.XLOOKUP(Animals!B317,'Base stats'!B:B,'Base stats'!E:E),Groups!A:A,Groups!AP:AP)&lt;&gt;"No",_xlfn.XLOOKUP(_xlfn.XLOOKUP(B317,'Base stats'!B:B,'Base stats'!E:E),Groups!A:A,Groups!D:D)=0),MROUND((80/3)*IF(_xlfn.XLOOKUP(B317,'Base stats'!B:B,'Base stats'!O:O)=2,0.2,AO317) + 24*(1-IF(BF317="No",0,BF317)) + 16/3, 12),"No")</f>
        <v>No</v>
      </c>
      <c r="BH317" s="2">
        <f>IF(AND(_xlfn.XLOOKUP(_xlfn.XLOOKUP(B317,'Base stats'!B:B,'Base stats'!E:E),Groups!A:A,Groups!AQ:AQ)=1,AO317&lt;=0.35),8,12)</f>
        <v>12</v>
      </c>
      <c r="BI317" s="2" t="str">
        <f>IF(_xlfn.XLOOKUP(_xlfn.XLOOKUP(B317,'Base stats'!B:B,'Base stats'!E:E),Groups!A:A,Groups!D:D)=0,_xlfn.XLOOKUP(_xlfn.XLOOKUP(B317,'Base stats'!B:B,'Base stats'!E:E),Groups!A:A,Groups!AR:AR),"None")</f>
        <v>Intermediate</v>
      </c>
      <c r="BJ317" s="2" t="str">
        <f>IF(AND(_xlfn.XLOOKUP(_xlfn.XLOOKUP(B317,'Base stats'!B:B,'Base stats'!E:E),Groups!A:A,Groups!AS:AS)=1,OR(_xlfn.XLOOKUP(B317,'Base stats'!B:B,'Base stats'!Y:Y)="Carnivore",_xlfn.XLOOKUP(B317,'Base stats'!B:B,'Base stats'!Y:Y)="Omnivore")),"true","false")</f>
        <v>true</v>
      </c>
      <c r="BK317" s="2">
        <f>IF(BJ317="true",MROUND(IF(AND(AO317&gt;0.5,OR(_xlfn.XLOOKUP(_xlfn.XLOOKUP(B317,'Base stats'!B:B,'Base stats'!E:E),Groups!A:A,Groups!AJ:AJ)="Photonozoa",_xlfn.XLOOKUP(_xlfn.XLOOKUP(B317,'Base stats'!B:B,'Base stats'!E:E),Groups!A:A,Groups!AJ:AJ)="Mammal")),Animals!AO317*1.75*IF(AW317="true",1.5,1),IF(AO317&lt;0.5,Animals!AO317*0.5,Animals!AO317)),IF(AO317&gt;2,0.5,IF(AO317&gt;0.5,0.25,0.1))),"No")</f>
        <v>1</v>
      </c>
      <c r="BL317" s="2">
        <f t="shared" si="31"/>
        <v>1</v>
      </c>
      <c r="BM317" s="25" t="str">
        <f>IF(_xlfn.XLOOKUP(B317,'Base stats'!B:B,'Base stats'!AN:AN)="Standard","No",MROUND((_xlfn.XLOOKUP(B317,'Base stats'!B:B,'Base stats'!AN:AN)/3.6)/I317,0.1))</f>
        <v>No</v>
      </c>
      <c r="BN317" s="25" t="str">
        <f t="shared" si="32"/>
        <v>false</v>
      </c>
      <c r="BO317" s="25" t="str">
        <f>IF(AND(OR(_xlfn.XLOOKUP(B317,'Base stats'!B:B,'Base stats'!Y:Y)="Carnivore",_xlfn.XLOOKUP(B317,'Base stats'!B:B,'Base stats'!Y:Y)="Omnivore",_xlfn.XLOOKUP(B317,'Base stats'!B:B,'Base stats'!Y:Y)="OmnivoreRough"),_xlfn.XLOOKUP(_xlfn.XLOOKUP(B317,'Base stats'!B:B,'Base stats'!E:E),Groups!A:A,Groups!AT:AT)=1),"true","false")</f>
        <v>false</v>
      </c>
      <c r="BP317" s="25" t="str" cm="1">
        <f t="array" ref="BP317">IF(
  _xlfn.TEXTJOIN(", ",TRUE,
    IF(AND(BJ317="true",AO317&gt;0.5,BI317&lt;&gt;"None"),"AttackTarget",""),
    IF(AND(_xlfn.XLOOKUP(_xlfn.XLOOKUP(B317,'Base stats'!B:B,'Base stats'!E:E),Groups!A:A,Groups!AJ:AJ="Mammal"),OR(_xlfn.XLOOKUP(B317,'Base stats'!B:B,'Base stats'!Y:Y)="Omnivore",_xlfn.XLOOKUP(B317,'Base stats'!B:B,'Base stats'!Y:Y)="OmnivoreRough")),"Forage",""),
    IF(BG317&lt;=36,"Comfort",""),
    IF(_xlfn.XLOOKUP(B317,'Base stats'!B:B,'Base stats'!AE:AE)&lt;&gt;"No",_xlfn.XLOOKUP(B317,'Base stats'!B:B,'Base stats'!AE:AE),"")
  ) = "",
  "No",
  _xlfn.TEXTJOIN(", ",TRUE,
    IF(AND(BJ317="true",AO317&gt;0.5,BI317&lt;&gt;"None"),"AttackTarget",""),
    IF(AND(_xlfn.XLOOKUP(_xlfn.XLOOKUP(B317,'Base stats'!B:B,'Base stats'!E:E),Groups!A:A,Groups!AJ:AJ="Mammal"),OR(_xlfn.XLOOKUP(B317,'Base stats'!B:B,'Base stats'!Y:Y)="Omnivore",_xlfn.XLOOKUP(B317,'Base stats'!B:B,'Base stats'!Y:Y)="OmnivoreRough")),"Forage",""),
    IF(BG317&lt;=36,"Comfort",""),
    IF(_xlfn.XLOOKUP(B317,'Base stats'!B:B,'Base stats'!AE:AE)&lt;&gt;"No",_xlfn.XLOOKUP(B317,'Base stats'!B:B,'Base stats'!AE:AE),"")
  )
)</f>
        <v>AttackTarget</v>
      </c>
      <c r="BQ317" s="25" t="str">
        <f>IF(
   AND(
      'Base stats'!AN317="Standard",_xlfn.XLOOKUP(_xlfn.XLOOKUP(B317,'Base stats'!B:B,'Base stats'!E:E),Groups!A:A,Groups!AU:AU)=0,
      OR(
      BO317="True"
      )
   ),
   10,
   IF(
       OR(BM317&lt;&gt;"No",_xlfn.XLOOKUP(_xlfn.XLOOKUP(B317,'Base stats'!B:B,'Base stats'!E:E),Groups!A:A,Groups!AU:AU)=1),
      1,
      "No"
   )
)</f>
        <v>No</v>
      </c>
      <c r="BR317" s="9">
        <f>MROUND((1 + ((0.2*IF(OR(Q317="No",R317="No",R317=0),0,Q317/R317)
+IF(OR(V317="No",S317="No",T317="No"),0,S317/T317*(LEN(V317)-LEN(SUBSTITUTE(V317,",",""))+1))
+IF(OR(X317="No",Y317="No"),0,X317/Y317)
+IF(OR(AD317="No",AE317="No"),0,AD317/AE317)
+IF(OR(AL317="No",AI317="No",AJ317="No"),0,AI317/AJ317*(LEN(AL317)-LEN(SUBSTITUTE(AL317,",",""))+1))
)/(0.2*IF(OR(Q317="No",R317="No",R317=0),0,1)
+IF(OR(V317="No",S317="No",T317="No"),0,LEN(V317)-LEN(SUBSTITUTE(V317,",",""))+1)
+IF(OR(X317="No",Y317="No"),0,1)
+IF(OR(AD317="No",AE317="No"),0,1)
+IF(OR(AL317="No",AI317="No",AJ317="No"),0,LEN(AL317)-LEN(SUBSTITUTE(AL317,",",""))+1))*62%)* 2)*(1 + (AP317 / (IF(_xlfn.XLOOKUP(_xlfn.XLOOKUP(B317,'Base stats'!B:B,'Base stats'!E:E),Groups!A:A,Groups!AJ:AJ)="Photonozoa",0.3,1)) + _xlfn.XLOOKUP(B317,'Base stats'!B:B,'Base stats'!AV:AV) * 1.8) * 2) * 2.5 + 10 + I317 * 2,5)+IF(_xlfn.XLOOKUP(B317,'Base stats'!B:B,'Base stats'!AK:AK)=1,50,0)</f>
        <v>100</v>
      </c>
      <c r="BS317" s="8">
        <f t="shared" si="33"/>
        <v>0.30000000000000004</v>
      </c>
      <c r="BT317" s="8" t="str">
        <f>_xlfn.XLOOKUP(B317,'Base stats'!B:B,'Base stats'!AF:AF)</f>
        <v>No</v>
      </c>
      <c r="BU317" s="2" t="str">
        <f>IF(AND(J317&lt;=0.95,OR(_xlfn.XLOOKUP(B317,'Base stats'!B:B,'Base stats'!AK:AK)=1,_xlfn.XLOOKUP(B317,'Base stats'!B:B,'Base stats'!Y:Y)="Carnivore",_xlfn.XLOOKUP(B317,'Base stats'!B:B,'Base stats'!Y:Y)="Omnivore",BE317&gt;0.1)),"true","false")</f>
        <v>true</v>
      </c>
      <c r="BV317" s="2" t="str">
        <f>IF(_xlfn.XLOOKUP(B317,'Base stats'!B:B,'Base stats'!AI:AI)=1,"true","false")</f>
        <v>false</v>
      </c>
      <c r="BW317" s="25" t="str">
        <f>IF(E317="BaseInsect","AnimalInsect",
IF(J317&gt;0.95,"AnimalExotic",
_xlfn.TEXTJOIN(", ",TRUE,
IF(OR(_xlfn.XLOOKUP(B317,'Base stats'!B:B,'Base stats'!AM:AM)=1,AND(_xlfn.XLOOKUP(B317,'Base stats'!B:B,'Base stats'!O:O)=0,_xlfn.XLOOKUP(_xlfn.XLOOKUP(B317,'Base stats'!B:B,'Base stats'!E:E),Groups!A:A,Groups!B:B)&gt;0)),"AnimalUncommon","AnimalCommon"),
IF(AND(_xlfn.XLOOKUP(B317,'Base stats'!B:B,'Base stats'!O:O)=2,_xlfn.XLOOKUP(_xlfn.XLOOKUP(B317,'Base stats'!B:B,'Base stats'!E:E),Groups!A:A,Groups!D:D)=0),"AnimalPet",IF(AND(_xlfn.XLOOKUP(B317,'Base stats'!B:B,'Base stats'!O:O)&lt;&gt;0,_xlfn.XLOOKUP(_xlfn.XLOOKUP(B317,'Base stats'!B:B,'Base stats'!E:E),Groups!A:A,Groups!D:D)&lt;&gt;0),"AnimalFarm","")),
IF(OR(_xlfn.XLOOKUP(B317,'Base stats'!B:B,'Base stats'!AK:AK)=1,AND(BI317&lt;&gt;"None",BR317&gt;=60),ISNUMBER(SEARCH("Attack target",BP317))),"AnimalFighter","")
)))</f>
        <v>AnimalUncommon, AnimalFighter</v>
      </c>
      <c r="BX317" s="25" t="str">
        <f>IF(G317="None",TRIM(
SUBSTITUTE(
IF(COUNTIF(Biomes!B$2:B$259,"="&amp;$C317)&gt;0,Biomes!B$1&amp;", ","")&amp;
IF(COUNTIF(Biomes!C$2:C$259,"="&amp;$C317)&gt;0,Biomes!C$1&amp;", ","")&amp;
IF(COUNTIF(Biomes!D$2:D$259,"="&amp;$C317)&gt;0,Biomes!D$1&amp;", ","")&amp;
IF(COUNTIF(Biomes!F$2:F$259,"="&amp;$C317)&gt;0,Biomes!F$1&amp;", ","")&amp;
IF(COUNTIF(Biomes!G$2:G$259,"="&amp;$C317)&gt;0,Biomes!G$1&amp;", ","")&amp;
IF(COUNTIF(Biomes!H$2:H$259,"="&amp;$C317)&gt;0,Biomes!H$1&amp;", ","")&amp;
IF(COUNTIF(Biomes!I$2:I$259,"="&amp;$C317)&gt;0,Biomes!I$1&amp;", ","")&amp;
IF(COUNTIF(Biomes!J$2:J$259,"="&amp;$C317)&gt;0,Biomes!J$1&amp;", ","")&amp;
IF(COUNTIF(Biomes!M$2:M$259,"="&amp;$C317)&gt;0,Biomes!M$1&amp;", ","")&amp;
IF(COUNTIF(Biomes!N$2:N$259,"="&amp;$C317)&gt;0,Biomes!N$1&amp;", ","")&amp;
IF(COUNTIF(Biomes!O$2:O$259,"="&amp;$C317)&gt;0,Biomes!O$1&amp;", ","")&amp;
IF(COUNTIF(Biomes!P$2:P$259,"="&amp;$C317)&gt;0,Biomes!P$1&amp;", ","")&amp;
IF(COUNTIF(Biomes!K$2:K$259,"="&amp;$C317)&gt;0,Biomes!K$1&amp;", ","")&amp;
IF(COUNTIF(Biomes!Q$3:Q$259,"="&amp;$C317)&gt;0,Biomes!Q$1&amp;", ","")&amp;
IF(COUNTIF(Biomes!L$2:L$259,"="&amp;$C317)&gt;0,Biomes!L$1&amp;", ","")&amp;
IF(COUNTIF(Biomes!E$2:E$259,"="&amp;$C317)&gt;0,Biomes!E$1&amp;", ","")&amp;IF(COUNTIF(Biomes!S$2:S$259,"="&amp;$C317)&gt;0,Biomes!S$1&amp;", ","")&amp;
IF(COUNTIF(Biomes!R$2:R$259,"="&amp;$C317)&gt;0,Biomes!R$1&amp;", ",""),", ","")
),_xlfn.XLOOKUP(B317,B:B,BX:BX))</f>
        <v>TropicalRainforest TropicalSwamp</v>
      </c>
      <c r="BY317" s="25" t="str">
        <f>IF(_xlfn.XLOOKUP(B317,'Base stats'!B:B,'Base stats'!AJ:AJ)=1,"true","false")</f>
        <v>false</v>
      </c>
      <c r="BZ317" s="25">
        <f>IF(_xlfn.XLOOKUP(B317,'Base stats'!B:B,'Base stats'!N:N)=1,"No",MAX(0.001,MIN(MROUND(IF(AND(BJ317="True",CC317="False"),POWER(10,3.47*LOG10(_xlfn.XLOOKUP(B317,'Base stats'!B:B,'Base stats'!C:C)*1000)^-0.96),POWER(10,4.15*LOG10(_xlfn.XLOOKUP(B317,'Base stats'!B:B,'Base stats'!C:C)*1000)^-0.73))*IF(_xlfn.XLOOKUP(B317,'Base stats'!B:B,'Base stats'!AK:AK)=1,0.5,1)*IF(_xlfn.XLOOKUP(B317,'Base stats'!B:B,'Base stats'!AM:AM)=1,0.1,1)/100,IF(_xlfn.XLOOKUP(B317,'Base stats'!B:B,'Base stats'!AM:AM)=1,0.001,0.025)),0.5)))</f>
        <v>0.02</v>
      </c>
      <c r="CA317" s="25" t="str">
        <f>IF(P317="Standard","No",MAX(0.001,MIN(MROUND(IF(AND(BJ317="True",CC317="False"),POWER(10,3.47*LOG10(_xlfn.XLOOKUP(B317,'Base stats'!B:B,'Base stats'!C:C)*1000)^-0.96),POWER(10,4.15*LOG10(_xlfn.XLOOKUP(B317,'Base stats'!B:B,'Base stats'!C:C)*1000)^-0.73))*IF(_xlfn.XLOOKUP(B317,'Base stats'!B:B,'Base stats'!AM:AM)=1,0.1,1)*_xlfn.XLOOKUP(B317,'Base stats'!B:B,'Base stats'!R:R)/100,IF(_xlfn.XLOOKUP(B317,'Base stats'!B:B,'Base stats'!AM:AM)=1,0.001,0.025)),0.5)))</f>
        <v>No</v>
      </c>
      <c r="CB317" s="25" t="str">
        <f>IF(_xlfn.XLOOKUP(_xlfn.XLOOKUP(B317,'Base stats'!B:B,'Base stats'!E:E),Groups!A:A,Groups!AJ:AJ)="Mammal","True","False")</f>
        <v>False</v>
      </c>
      <c r="CC317" s="25" t="str">
        <f>IF(OR(_xlfn.XLOOKUP(_xlfn.XLOOKUP(B317,'Base stats'!B:B,'Base stats'!E:E),Groups!A:A,Groups!AJ:AJ)="Reptile",_xlfn.XLOOKUP(_xlfn.XLOOKUP(B317,'Base stats'!B:B,'Base stats'!E:E),Groups!A:A,Groups!AJ:AJ)="Amphibian",_xlfn.XLOOKUP(_xlfn.XLOOKUP(B317,'Base stats'!B:B,'Base stats'!E:E),Groups!A:A,Groups!AJ:AJ)="Invertebrate"),"True","False")</f>
        <v>True</v>
      </c>
      <c r="CD317" s="25" t="str">
        <f t="shared" si="34"/>
        <v>False</v>
      </c>
      <c r="CE317" s="25" t="str">
        <f>IF(_xlfn.XLOOKUP(_xlfn.XLOOKUP(B317,'Base stats'!B:B,'Base stats'!E:E),Groups!A:A,Groups!AX:AX),"True","False")</f>
        <v>False</v>
      </c>
      <c r="CF317" s="25" t="str">
        <f>IF(_xlfn.XLOOKUP(_xlfn.XLOOKUP(B317,'Base stats'!B:B,'Base stats'!E:E),Groups!A:A,Groups!AY:AY),"True","False")</f>
        <v>False</v>
      </c>
      <c r="CG317" s="25" t="str">
        <f>IF(_xlfn.XLOOKUP(_xlfn.XLOOKUP(B317,'Base stats'!B:B,'Base stats'!E:E),Groups!A:A,Groups!AW:AW),"True","False")</f>
        <v>False</v>
      </c>
      <c r="CH317" s="25" t="str">
        <f>IF(
OR(
_xlfn.XLOOKUP(_xlfn.XLOOKUP(B317,'Base stats'!B:B,'Base stats'!E:E),Groups!A:A,Groups!AZ:AZ)=0,
AND(
_xlfn.XLOOKUP(B317,'Base stats'!B:B,'Base stats'!Y:Y)&lt;&gt;"Carnivore",
_xlfn.XLOOKUP(B317,'Base stats'!B:B,'Base stats'!Y:Y)&lt;&gt;"Omnivore",
_xlfn.XLOOKUP(B317,'Base stats'!B:B,'Base stats'!Y:Y)&lt;&gt;"OmnivoreRough"
)
),
"No",
IF(
_xlfn.XLOOKUP(_xlfn.XLOOKUP(B317,'Base stats'!B:B,'Base stats'!E:E),Groups!A:A,Groups!AZ:AZ)=1,
"Flesh",
IF(
_xlfn.XLOOKUP(_xlfn.XLOOKUP(B317,'Base stats'!B:B,'Base stats'!E:E),Groups!A:A,Groups!AZ:AZ)=2,
"Bone",
""
)
)
)</f>
        <v>No</v>
      </c>
      <c r="CI317" s="25" t="str">
        <f>IF(_xlfn.XLOOKUP(_xlfn.XLOOKUP(B317,'Base stats'!B:B,'Base stats'!E:E),Groups!A:A,Groups!BB:BB),"True","False")</f>
        <v>False</v>
      </c>
      <c r="CJ317" s="25" t="str">
        <f>IF(_xlfn.XLOOKUP(_xlfn.XLOOKUP(B317,'Base stats'!B:B,'Base stats'!E:E),Groups!A:A,Groups!BA:BA),"True","False")</f>
        <v>False</v>
      </c>
    </row>
    <row r="318" spans="1:88" ht="16.5" thickTop="1" thickBot="1" x14ac:dyDescent="0.3">
      <c r="A318" s="26" t="s">
        <v>1548</v>
      </c>
      <c r="B318" s="6" t="str">
        <f>_xlfn.XLOOKUP(A318,'Base stats'!A:A,'Base stats'!B:B)</f>
        <v>Jaculus acutis</v>
      </c>
      <c r="C318" s="28" t="s">
        <v>1549</v>
      </c>
      <c r="D318" s="28" t="s">
        <v>1341</v>
      </c>
      <c r="E318" s="28" t="s">
        <v>673</v>
      </c>
      <c r="F318" s="28" t="s">
        <v>673</v>
      </c>
      <c r="G318" s="28" t="s">
        <v>673</v>
      </c>
      <c r="H318" s="2">
        <f>MROUND((
  (IF(AND(_xlfn.XLOOKUP(B318,'Base stats'!B:B,'Base stats'!AL:AL)=0,BI318="None",_xlfn.XLOOKUP(_xlfn.XLOOKUP(B318,'Base stats'!B:B,'Base stats'!E:E),Groups!A:A,Groups!B:B)=0), (18 + BR318 * 2.7) * 0.5,
    IF(AND(_xlfn.XLOOKUP(B318,'Base stats'!B:B,'Base stats'!AL:AL)=0,OR(AO318&lt;0.55,AND(BI318="Intermediate",_xlfn.XLOOKUP(_xlfn.XLOOKUP(B318,'Base stats'!B:B,'Base stats'!E:E),Groups!A:A,Groups!B:B)&lt;2))), (18 + BR318 * 2.7),
      IF(OR(BI318="Advanced",_xlfn.XLOOKUP(B318,'Base stats'!B:B,'Base stats'!AL:AL)=1,_xlfn.XLOOKUP(_xlfn.XLOOKUP(B318,'Base stats'!B:B,'Base stats'!E:E),Groups!A:A,Groups!B:B)=2), (18 + BR318 * 2.7) + 250, (18 + BR318 * 2.7))
    )
  ))
  + AO318 * 80
  + IF(COUNTIF(EggMilk!K$2:K$998, A318) &gt; 0, 125, 0)
  + IF(COUNTIF(EggMilk!P$2:P$998, A318) &gt; 0, 90, 0)
  + IF(COUNTIF(EggMilk!A$2:A$998, A318) &gt; 0, 90, 0)
)
* (0.8 + 0.4 * J318)
* 0.75,25)</f>
        <v>625</v>
      </c>
      <c r="I318" s="2">
        <f>MROUND(ROUNDDOWN(_xlfn.XLOOKUP(B318,'Base stats'!B:B,'Base stats'!L:L)/3.6/(23.3/11),1),0.5)</f>
        <v>8.5</v>
      </c>
      <c r="J318" s="2">
        <f>IF(OR(_xlfn.XLOOKUP(B318,'Base stats'!B:B,'Base stats'!AB:AB)=1,_xlfn.XLOOKUP(_xlfn.XLOOKUP(B318,'Base stats'!B:B,'Base stats'!E:E),Groups!A:A,Groups!C:C)="Untamable"),1,IF(_xlfn.XLOOKUP(B318,'Base stats'!B:B,'Base stats'!AL:AL)=1,0.99,MIN(MROUND((1-0.6282*EXP(-0.459*AO318))*_xlfn.XLOOKUP(_xlfn.XLOOKUP(B318,'Base stats'!B:B,'Base stats'!E:E),Groups!A:A,Groups!C:C)*IF(_xlfn.XLOOKUP(B318,'Base stats'!B:B,'Base stats'!O:O)=1,0.5,IF(_xlfn.XLOOKUP(B318,'Base stats'!B:B,'Base stats'!O:O)=2,0,1)),0.05),IF(AO318&gt;3.5,0.985,0.95))))</f>
        <v>0.8</v>
      </c>
      <c r="K318" s="2">
        <f>ROUNDUP(AO318*_xlfn.XLOOKUP(_xlfn.XLOOKUP(B318,'Base stats'!B:B,'Base stats'!E:E),Groups!A:A,Groups!E:E),0)</f>
        <v>2</v>
      </c>
      <c r="L318" s="2">
        <f>IF(OR(_xlfn.XLOOKUP(_xlfn.XLOOKUP(B318,'Base stats'!B:B,'Base stats'!E:E),Groups!A:A,Groups!F:F)=2,ISNUMBER(SEARCH("SeaIce",BX318)),ISNUMBER(SEARCH("IceSheet",BX318))),-50,IF(OR(ISNUMBER(SEARCH("GlacialPlain",BX318)),ISNUMBER(SEARCH("Tundra",BX318))),-40,IF(OR(ISNUMBER(SEARCH("Alpine",BX318)),ISNUMBER(SEARCH("BorealForest",BX318)),ISNUMBER(SEARCH("ColdBog",BX318))),-30,IF(OR(ISNUMBER(SEARCH("TemperateForest",BX318)),ISNUMBER(SEARCH("TemperateSwamp",BX318))),-20,IF(_xlfn.XLOOKUP(_xlfn.XLOOKUP(B318,'Base stats'!B:B,'Base stats'!E:E),Groups!A:A,Groups!F:F)=1,-15,IF(OR(ISNUMBER(SEARCH("Desert",BX318)),ISNUMBER(SEARCH("ExtremeDesert",BX318))),-10,IF(OR(ISNUMBER(SEARCH("Grasslands",BX318)),ISNUMBER(SEARCH("TropicalRainforest",BX318)),ISNUMBER(SEARCH("TropicalSwamp",BX318))),10,0)))))))-IF(CC318="False",MIN(IFERROR(MAX(MROUND(LOG10(_xlfn.XLOOKUP(B318,'Base stats'!B:B,'Base stats'!C:C)^(2/3))*10,5),5),5),30))-_xlfn.XLOOKUP(B318,'Base stats'!B:B,'Base stats'!P:P)+IF(CC318="True",5,0)</f>
        <v>-30</v>
      </c>
      <c r="M318" s="2">
        <f>IF(OR(_xlfn.XLOOKUP(_xlfn.XLOOKUP(B318,'Base stats'!B:B,'Base stats'!E:E),Groups!A:A,Groups!G:G)=2,ISNUMBER(SEARCH("Desert",BX318)),ISNUMBER(SEARCH("ExtremeDesert",BX318)),ISNUMBER(SEARCH("LavaField",BX318))),50,IF(ISNUMBER(SEARCH("Grasslands",BX318)),45,IF(OR(_xlfn.XLOOKUP(_xlfn.XLOOKUP(B318,'Base stats'!B:B,'Base stats'!E:E),Groups!A:A,Groups!G:G)=1,ISNUMBER(SEARCH("TropicalRainforest",BX318)),ISNUMBER(SEARCH("TropicalSwamp",BX318))),40,IF(OR(ISNUMBER(SEARCH("TemperateForest",BX318)),ISNUMBER(SEARCH("TemperateSwamp",BX318))),35,IF(OR(ISNUMBER(SEARCH("Alpine",BX318)),ISNUMBER(SEARCH("BorealForest",BX318)),ISNUMBER(SEARCH("ColdBog",BX318))),30,IF(ISNUMBER(OR(ISNUMBER(SEARCH("GlacialPlain",BX318)),SEARCH("Tundra",BX318))),25,IF(OR(ISNUMBER(SEARCH("SeaIce",BX318)),ISNUMBER(SEARCH("IceSheet",BX318)),ISNUMBER(SEARCH("TropicalSwamp",BX318))),10,35)))))))+_xlfn.XLOOKUP(B318,'Base stats'!B:B,'Base stats'!Q:Q)</f>
        <v>50</v>
      </c>
      <c r="N318" s="8" t="str">
        <f>IF(
_xlfn.XLOOKUP(
_xlfn.XLOOKUP(B318,'Base stats'!B:B,'Base stats'!E:E),
Groups!A:A,
Groups!L:L
)=1,
MIN(
MROUND(
IF(
_xlfn.XLOOKUP(B318,'Animals CE'!B:B,'Animals CE'!Z:Z)&lt;=1.5,
_xlfn.XLOOKUP(B318,'Animals CE'!B:B,'Animals CE'!Z:Z)/2+0.05,
0.8+
(_xlfn.XLOOKUP(B318,'Animals CE'!B:B,'Animals CE'!Z:Z)-1.5)
*0.02
),
0.05
),
200%
),
"No"
)</f>
        <v>No</v>
      </c>
      <c r="O318" s="8" t="str">
        <f>IF(
_xlfn.XLOOKUP(
_xlfn.XLOOKUP(B318,'Base stats'!B:B,'Base stats'!E:E),
Groups!A:A,
Groups!L:L
)=1,
MIN(
MROUND(
IF(
_xlfn.XLOOKUP(B318,'Animals CE'!B:B,'Animals CE'!AA:AA)&lt;=1.5,
_xlfn.XLOOKUP(B318,'Animals CE'!B:B,'Animals CE'!AA:AA)/2+0.05,
0.8+
(_xlfn.XLOOKUP(B318,'Animals CE'!B:B,'Animals CE'!AA:AA)-1.5)
*0.02
),
0.05
),
200%
),
"No"
)</f>
        <v>No</v>
      </c>
      <c r="P318" s="2" t="str">
        <f>_xlfn.XLOOKUP(B318,'Base stats'!B:B,'Base stats'!R:R)</f>
        <v>Standard</v>
      </c>
      <c r="Q318" s="13">
        <f>MROUND((LOG10(_xlfn.XLOOKUP(B318,'Base stats'!B:B,'Base stats'!AR:AR))*(AO318^0.5)+(_xlfn.XLOOKUP(B318,'Base stats'!B:B,'Base stats'!AR:AR)/1000)^(2/3)+_xlfn.XLOOKUP(B318,'Base stats'!B:B,'Base stats'!BA:BA)/2)+0.5,0.5)</f>
        <v>8.5</v>
      </c>
      <c r="R318" s="7">
        <f>IF(Q318="No","No",MAX(1,MROUND(_xlfn.XLOOKUP(B318,'Base stats'!B:B,'Base stats'!C:C)^0.165,0.05)))</f>
        <v>2.15</v>
      </c>
      <c r="S318" s="13" t="str">
        <f>IF(_xlfn.XLOOKUP(_xlfn.XLOOKUP(B318,'Base stats'!B:B,'Base stats'!E:E),Groups!A:A,Groups!P:P)=0,"No",MROUND((LOG10(_xlfn.XLOOKUP(B318,'Base stats'!B:B,'Base stats'!AS:AS))*(AO318^0.5)+(_xlfn.XLOOKUP(B318,'Base stats'!B:B,'Base stats'!AS:AS)/1000)^(2/3)+_xlfn.XLOOKUP(B318,'Base stats'!B:B,'Base stats'!BA:BA))+_xlfn.XLOOKUP(B318,'Base stats'!B:B,'Base stats'!AY:AY)+0.5,0.5))</f>
        <v>No</v>
      </c>
      <c r="T318" s="7" t="str">
        <f>IF(S318="No","No",MAX(_xlfn.XLOOKUP(_xlfn.XLOOKUP(B318,'Base stats'!B:B,'Base stats'!E:E),Groups!A:A,Groups!Q:Q),MROUND(_xlfn.XLOOKUP(_xlfn.XLOOKUP(B318,'Base stats'!B:B,'Base stats'!E:E),Groups!A:A,Groups!Q:Q)*_xlfn.XLOOKUP(B318,'Base stats'!B:B,'Base stats'!C:C)^0.165,0.05)))</f>
        <v>No</v>
      </c>
      <c r="U318" s="7" t="str">
        <f>IF(S318="No","No",_xlfn.XLOOKUP(_xlfn.XLOOKUP(B318,'Base stats'!B:B,'Base stats'!E:E),Groups!A:A,Groups!R:R))</f>
        <v>No</v>
      </c>
      <c r="V318" s="7" t="str">
        <f>IF(S318="No","No",_xlfn.XLOOKUP(_xlfn.XLOOKUP(B318,'Base stats'!B:B,'Base stats'!E:E),Groups!A:A,Groups!S:S))</f>
        <v>No</v>
      </c>
      <c r="W318" s="7" t="str">
        <f>IF(S318="No","No",_xlfn.XLOOKUP(_xlfn.XLOOKUP(B318,'Base stats'!B:B,'Base stats'!E:E),Groups!A:A,Groups!T:T))</f>
        <v>No</v>
      </c>
      <c r="X318" s="13" t="str">
        <f>IF(_xlfn.XLOOKUP(B318,'Base stats'!B:B,'Base stats'!W:W)="No","No",MROUND((LOG10(_xlfn.XLOOKUP(B318,'Base stats'!B:B,'Base stats'!AU:AU))*(AO318^0.5)+(_xlfn.XLOOKUP(B318,'Base stats'!B:B,'Base stats'!AU:AU)/1000)^(2/3)+_xlfn.XLOOKUP(B318,'Base stats'!B:B,'Base stats'!AZ:AZ))+0.5+IF(_xlfn.XLOOKUP(_xlfn.XLOOKUP(B318,'Base stats'!B:B,'Base stats'!E:E),Groups!A:A,Groups!U:U)&lt;&gt;3,_xlfn.XLOOKUP(B318,'Base stats'!B:B,'Base stats'!BA:BA),0),0.5))</f>
        <v>No</v>
      </c>
      <c r="Y318" s="7" t="str">
        <f>IF(X318="No","No",MAX(_xlfn.XLOOKUP(_xlfn.XLOOKUP(B318,'Base stats'!B:B,'Base stats'!E:E),Groups!A:A,Groups!V:V),MROUND(_xlfn.XLOOKUP(_xlfn.XLOOKUP(B318,'Base stats'!B:B,'Base stats'!E:E),Groups!A:A,Groups!V:V)*_xlfn.XLOOKUP(B318,'Base stats'!B:B,'Base stats'!C:C)^0.165,0.05)))</f>
        <v>No</v>
      </c>
      <c r="Z318" s="7" t="str">
        <f>IF(X318="No","No",_xlfn.XLOOKUP(_xlfn.XLOOKUP(B318,'Base stats'!B:B,'Base stats'!E:E),Groups!A:A,Groups!W:W))</f>
        <v>No</v>
      </c>
      <c r="AA318" s="7" t="str">
        <f>IF(X318="No","No",_xlfn.XLOOKUP(_xlfn.XLOOKUP(B318,'Base stats'!B:B,'Base stats'!E:E),Groups!A:A,Groups!X:X))</f>
        <v>No</v>
      </c>
      <c r="AB318" s="7" t="str">
        <f>IF(X318="No","No",_xlfn.XLOOKUP(_xlfn.XLOOKUP(B318,'Base stats'!B:B,'Base stats'!E:E),Groups!A:A,Groups!Y:Y))</f>
        <v>No</v>
      </c>
      <c r="AC318" s="7" t="str">
        <f>_xlfn.XLOOKUP(Animals!B318,'Base stats'!B:B,'Base stats'!X:X)</f>
        <v>False</v>
      </c>
      <c r="AD318" s="13">
        <f>IF(_xlfn.XLOOKUP(B318,'Base stats'!B:B,'Base stats'!AT:AT)="No","No",MROUND((LOG10(_xlfn.XLOOKUP(B318,'Base stats'!B:B,'Base stats'!AT:AT))*(AO318^0.75)+(_xlfn.XLOOKUP(B318,'Base stats'!B:B,'Base stats'!AT:AT)/1000)^(2/3)+_xlfn.XLOOKUP(B318,'Base stats'!B:B,'Base stats'!AX:AX)+_xlfn.XLOOKUP(B318,'Base stats'!B:B,'Base stats'!BA:BA))+0.5,0.5))</f>
        <v>16</v>
      </c>
      <c r="AE318" s="7">
        <f>IF(AD318="No","No",MAX(_xlfn.XLOOKUP(_xlfn.XLOOKUP(B318,'Base stats'!B:B,'Base stats'!E:E),Groups!A:A,Groups!Z:Z),MROUND(_xlfn.XLOOKUP(_xlfn.XLOOKUP(B318,'Base stats'!B:B,'Base stats'!E:E),Groups!A:A,Groups!Z:Z)*_xlfn.XLOOKUP(B318,'Base stats'!B:B,'Base stats'!C:C)^0.165,0.05)))</f>
        <v>1.7000000000000002</v>
      </c>
      <c r="AF318" s="7" t="str">
        <f>IF(AD318="No","No",_xlfn.XLOOKUP(_xlfn.XLOOKUP(B318,'Base stats'!B:B,'Base stats'!E:E),Groups!A:A,Groups!AA:AA))</f>
        <v>Teeth</v>
      </c>
      <c r="AG318" s="7" t="str">
        <f>IF(AD318="No","No",_xlfn.XLOOKUP(_xlfn.XLOOKUP(B318,'Base stats'!B:B,'Base stats'!E:E),Groups!A:A,Groups!AB:AB))</f>
        <v>canines</v>
      </c>
      <c r="AH318" s="7" t="str">
        <f>IF(AD318="No","No",_xlfn.XLOOKUP(_xlfn.XLOOKUP(B318,'Base stats'!B:B,'Base stats'!E:E),Groups!A:A,Groups!AC:AC))</f>
        <v>Bite</v>
      </c>
      <c r="AI318" s="13">
        <f>IF(_xlfn.XLOOKUP(_xlfn.XLOOKUP(B318,'Base stats'!B:B,'Base stats'!E:E),Groups!A:A,Groups!AD:AD)=0,"No",MROUND((LOG10(_xlfn.XLOOKUP(B318,'Base stats'!B:B,'Base stats'!AS:AS))*(AO318^0.75)+(_xlfn.XLOOKUP(B318,'Base stats'!B:B,'Base stats'!AS:AS)/1000)^(2/3)+_xlfn.XLOOKUP(B318,'Base stats'!B:B,'Base stats'!AY:AY)+_xlfn.XLOOKUP(B318,'Base stats'!B:B,'Base stats'!BA:BA))+0.5,0.5))</f>
        <v>12.5</v>
      </c>
      <c r="AJ318" s="7">
        <f>IF(AI318="No","No",MAX(_xlfn.XLOOKUP(_xlfn.XLOOKUP(B318,'Base stats'!B:B,'Base stats'!E:E),Groups!A:A,Groups!AE:AE),MROUND(_xlfn.XLOOKUP(_xlfn.XLOOKUP(B318,'Base stats'!B:B,'Base stats'!E:E),Groups!A:A,Groups!AE:AE)*IF(_xlfn.XLOOKUP(_xlfn.XLOOKUP(B318,'Base stats'!B:B,'Base stats'!E:E),Groups!A:A,Groups!AJ:AJ)="Photonozoa",0.6,1)*_xlfn.XLOOKUP(B318,'Base stats'!B:B,'Base stats'!C:C)^0.165,0.05)))</f>
        <v>1.5</v>
      </c>
      <c r="AK318" s="7" t="str">
        <f>IF(AI318="No","No",_xlfn.XLOOKUP(_xlfn.XLOOKUP(B318,'Base stats'!B:B,'Base stats'!E:E),Groups!A:A,Groups!AF:AF))</f>
        <v>FrontLeftPaw, FrontRightPaw</v>
      </c>
      <c r="AL318" s="7" t="str">
        <f>IF(AI318="No","No",_xlfn.XLOOKUP(_xlfn.XLOOKUP(B318,'Base stats'!B:B,'Base stats'!E:E),Groups!A:A,Groups!AG:AG))</f>
        <v>left claw, right claw</v>
      </c>
      <c r="AM318" s="7" t="str">
        <f>IF(AI318="No","No",_xlfn.XLOOKUP(_xlfn.XLOOKUP(B318,'Base stats'!B:B,'Base stats'!E:E),Groups!A:A,Groups!AH:AH))</f>
        <v>AA_InfectedClaws</v>
      </c>
      <c r="AN318" s="2">
        <f t="shared" si="28"/>
        <v>20</v>
      </c>
      <c r="AO318" s="2">
        <f>MROUND(IF(AND(_xlfn.XLOOKUP(B318,'Base stats'!B:B,'Base stats'!C:C)&gt;=0.5,_xlfn.XLOOKUP(B318,'Base stats'!B:B,'Base stats'!C:C)&lt;=0.8),
IF(_xlfn.XLOOKUP(B318,'Base stats'!B:B,'Base stats'!C:C)&lt;0.1,0.05,IF(_xlfn.XLOOKUP(B318,'Base stats'!B:B,'Base stats'!C:C)&lt;=70,(_xlfn.XLOOKUP(B318,'Base stats'!B:B,'Base stats'!C:C)/70)^0.426489913056526,IF(_xlfn.XLOOKUP(B318,'Base stats'!B:B,'Base stats'!C:C)&lt;=400,(_xlfn.XLOOKUP(B318,'Base stats'!B:B,'Base stats'!C:C)/70)^0.572811455315093,IF(_xlfn.XLOOKUP(B318,'Base stats'!B:B,'Base stats'!C:C)&lt;=2000,2.71391647193063*(_xlfn.XLOOKUP(B318,'Base stats'!B:B,'Base stats'!C:C)/400)^0.252459582904293,3.74314280240376*(_xlfn.XLOOKUP(B318,'Base stats'!B:B,'Base stats'!C:C)/2000)^0.357012633876913)))),
IF(_xlfn.XLOOKUP(B318,'Base stats'!B:B,'Base stats'!C:C)&lt;0.1,0.05,IF(_xlfn.XLOOKUP(B318,'Base stats'!B:B,'Base stats'!C:C)&lt;0.4,0.1,IF(_xlfn.XLOOKUP(B318,'Base stats'!B:B,'Base stats'!C:C)&lt;=70,(_xlfn.XLOOKUP(B318,'Base stats'!B:B,'Base stats'!C:C)/70)^0.445823913056526,IF(_xlfn.XLOOKUP(B318,'Base stats'!B:B,'Base stats'!C:C)&lt;=400,(_xlfn.XLOOKUP(B318,'Base stats'!B:B,'Base stats'!C:C)/70)^0.572811455315093,IF(_xlfn.XLOOKUP(B318,'Base stats'!B:B,'Base stats'!C:C)&lt;=2000,2.71391647193063*(_xlfn.XLOOKUP(B318,'Base stats'!B:B,'Base stats'!C:C)/400)^0.252459582904293,3.74314280240376*(_xlfn.XLOOKUP(B318,'Base stats'!B:B,'Base stats'!C:C)/2000)^0.357012633876913)))))),
IF(_xlfn.XLOOKUP(B318,'Base stats'!B:B,'Base stats'!C:C)&lt;0.1,0.05,IF(_xlfn.XLOOKUP(B318,'Base stats'!B:B,'Base stats'!C:C)&lt;=100,0.05,IF(_xlfn.XLOOKUP(B318,'Base stats'!B:B,'Base stats'!C:C)&lt;=250,0.1,IF(_xlfn.XLOOKUP(B318,'Base stats'!B:B,'Base stats'!C:C)&lt;=4000,0.25,0.5)))))</f>
        <v>1.25</v>
      </c>
      <c r="AP318" s="8">
        <f>MROUND(AO318*_xlfn.XLOOKUP(_xlfn.XLOOKUP(B318,'Base stats'!B:B,'Base stats'!E:E),Groups!A:A,Groups!AI:AI)*_xlfn.XLOOKUP(B318,'Base stats'!B:B,'Base stats'!Z:Z),0.05)</f>
        <v>1.5</v>
      </c>
      <c r="AQ318" s="8">
        <f>MAX(0.01,MROUND(IF(CC318="True",0.196*(AO318*100*1000)^0.889,IF(_xlfn.XLOOKUP(_xlfn.XLOOKUP(B318,'Base stats'!B:B,'Base stats'!E:E),Groups!A:A,Groups!AJ:AJ)="Bird",10.5*(AO318*100*1000)^0.681,4.82*(AO318*100*1000)^0.734))/(4.82*(1*100*1000)^0.734)/IF(AO318&lt;3.5,2,IF(AO318=3.5,1.5,1.25))*(1+0.132282374779864/(AO318^0.994035016789033+0.00905238001496948)),0.05))</f>
        <v>0.65</v>
      </c>
      <c r="AR318" s="9">
        <f>IFERROR(MROUND(_xlfn.XLOOKUP(B318,'Base stats'!B:B,'Base stats'!H:H)/IF(_xlfn.XLOOKUP(B318,'Base stats'!B:B,'Base stats'!I:I)&lt;&gt;1,(122.5/70),1.2),IF(_xlfn.XLOOKUP(B318,'Base stats'!B:B,'Base stats'!H:H)&gt;=30,5,IF(_xlfn.XLOOKUP(B318,'Base stats'!B:B,'Base stats'!H:H)&gt;=15,3,IF(_xlfn.XLOOKUP(B318,'Base stats'!B:B,'Base stats'!H:H)&gt;=10,2,1)))),"Immortal")</f>
        <v>25</v>
      </c>
      <c r="AS318" s="35">
        <f>IFERROR(IF(OR(_xlfn.XLOOKUP(B318,'Base stats'!B:B,'Base stats'!F:F)="Atypical reproduction",_xlfn.XLOOKUP(B318,'Base stats'!B:B,'Base stats'!F:F)="Lay eggs"),"Lay eggs",MIN(20,MAX(5.5,ROUND(((_xlfn.XLOOKUP(B318,'Base stats'!B:B,'Base stats'!F:F)-25)*(14.5/615) + 5.5)*2,0)/2))),"Unknown")</f>
        <v>7.5</v>
      </c>
      <c r="AT318" s="8">
        <f>IF(_xlfn.XLOOKUP(B318,'Base stats'!B:B,'Base stats'!G:G)="Atypical reproduction","No",IFERROR(MAX(IF(_xlfn.XLOOKUP(B318,'Base stats'!B:B,'Base stats'!G:G)&lt;0.5,0.2,0.3),MROUND(_xlfn.XLOOKUP(B318,'Base stats'!B:B,'Base stats'!G:G)/(365/60),0.2)),"Unknown"))</f>
        <v>0.4</v>
      </c>
      <c r="AU318" s="8">
        <f t="shared" si="29"/>
        <v>0.2</v>
      </c>
      <c r="AV318" s="8">
        <f>IFERROR(IFERROR(MROUND(_xlfn.XLOOKUP(B318,'Base stats'!B:B,'Base stats'!J:J),0.1),"Lay eggs"),"Cannot breed")</f>
        <v>2</v>
      </c>
      <c r="AW318" s="2" t="str">
        <f t="shared" si="30"/>
        <v>false</v>
      </c>
      <c r="AX318" s="2" t="str">
        <f>IF(_xlfn.XLOOKUP(_xlfn.XLOOKUP(Animals!B318,'Base stats'!B:B,'Base stats'!E:E),Groups!A:A,Groups!AK:AK)=1,"true","false")</f>
        <v>false</v>
      </c>
      <c r="AY318" s="25" t="str">
        <f>IF(_xlfn.XLOOKUP(B318,'Base stats'!B:B,'Base stats'!Y:Y)="Liquor","Liquor, CarnivoreAnimalStrict",IF(AND(_xlfn.XLOOKUP(B318,'Base stats'!B:B,'Base stats'!Y:Y)="Carnivore",_xlfn.XLOOKUP(_xlfn.XLOOKUP(B318,'Base stats'!B:B,'Base stats'!E:E),Groups!A:A,Groups!AJ:AJ)="Photonozoa"),"CarnivoreAnimalStrict, OvivoreAnimal",IF(_xlfn.XLOOKUP(B318,'Base stats'!B:B,'Base stats'!Y:Y)="Carnivore","CarnivoreAnimal, OvivoreAnimal",IF(_xlfn.XLOOKUP(B318,'Base stats'!B:B,'Base stats'!Y:Y)="Dendrovore","VegetarianRoughAnimal, DendrovoreAnimal",IF(_xlfn.XLOOKUP(B318,'Base stats'!B:B,'Base stats'!Y:Y)="Herbivore","VegetarianRoughAnimal",IF(_xlfn.XLOOKUP(B318,'Base stats'!B:B,'Base stats'!Y:Y)="OmnivoreRough","OmnivoreRoughAnimal, OvivoreAnimal","OmnivoreAnimal, OvivoreAnimal"))))))</f>
        <v>CarnivoreAnimal, OvivoreAnimal</v>
      </c>
      <c r="AZ318" s="2" t="str">
        <f>IF(_xlfn.XLOOKUP(_xlfn.XLOOKUP(B318,'Base stats'!B:B,'Base stats'!E:E),Groups!A:A,Groups!D:D)=1,MROUND((1-J318)*5+1,2)*IF(J318&lt;=0.4,2,1),"No")</f>
        <v>No</v>
      </c>
      <c r="BA318" s="2" t="str">
        <f>IF(AND(_xlfn.XLOOKUP(B318,'Base stats'!B:B,'Base stats'!AH:AH)="&lt;li&gt;Seal&lt;/li&gt;",G318="Odyssey"),"&lt;li&gt;AEXP_Seal&lt;/li&gt;",_xlfn.XLOOKUP(B318,'Base stats'!B:B,'Base stats'!AH:AH))</f>
        <v>No</v>
      </c>
      <c r="BB318" s="2" t="str">
        <f>_xlfn.XLOOKUP(B318,'Base stats'!B:B,'Base stats'!AG:AG)</f>
        <v>Leather_Plain</v>
      </c>
      <c r="BC318" s="23" t="str">
        <f>_xlfn.XLOOKUP(_xlfn.XLOOKUP(B318,'Base stats'!B:B,'Base stats'!E:E),Groups!A:A,Groups!AL:AL)</f>
        <v>QuadrupedAnimalWithPawsAndTail</v>
      </c>
      <c r="BD318" s="23">
        <f>MIN(1,MROUND(IF(AND(AO318&lt;0.5,_xlfn.XLOOKUP(B318,'Base stats'!B:B,'Base stats'!AA:AA)=0),0,IF(OR(_xlfn.XLOOKUP(Animals!B318,'Base stats'!B:B,'Base stats'!O:O)=2,_xlfn.XLOOKUP(_xlfn.XLOOKUP(B318,'Base stats'!B:B,'Base stats'!E:E),Groups!A:A,Groups!AN:AN)=0),0,_xlfn.XLOOKUP(_xlfn.XLOOKUP(B318,'Base stats'!B:B,'Base stats'!E:E),Groups!A:A,Groups!AN:AN)/IF(_xlfn.XLOOKUP(Animals!B318,'Base stats'!B:B,'Base stats'!O:O)=1,2,1)))+_xlfn.XLOOKUP(B318,'Base stats'!B:B,'Base stats'!AC:AC),0.005))</f>
        <v>0.1</v>
      </c>
      <c r="BE318" s="23">
        <f>MIN(1,MROUND(IF(AND(AO318&lt;0.5,_xlfn.XLOOKUP(B318,'Base stats'!B:B,'Base stats'!AA:AA)=0),0,IF(_xlfn.XLOOKUP(_xlfn.XLOOKUP(B318,'Base stats'!B:B,'Base stats'!E:E),Groups!A:A,Groups!AO:AO)=0,0,_xlfn.XLOOKUP(_xlfn.XLOOKUP(B318,'Base stats'!B:B,'Base stats'!E:E),Groups!A:A,Groups!AO:AO)/IF(_xlfn.XLOOKUP(Animals!B318,'Base stats'!B:B,'Base stats'!O:O)=2,3,1)))+_xlfn.XLOOKUP(B318,'Base stats'!B:B,'Base stats'!AD:AD),0.005))</f>
        <v>0.3</v>
      </c>
      <c r="BF318" s="2" t="str">
        <f>IF(J318&gt;0.3,"No",_xlfn.XLOOKUP(_xlfn.XLOOKUP(Animals!B318,'Base stats'!B:B,'Base stats'!E:E),Groups!A:A,Groups!AP:AP))</f>
        <v>No</v>
      </c>
      <c r="BG318" s="2" t="str">
        <f>IF(AND(J318&lt;=0.65,_xlfn.XLOOKUP(_xlfn.XLOOKUP(Animals!B318,'Base stats'!B:B,'Base stats'!E:E),Groups!A:A,Groups!AP:AP)&lt;&gt;"No",_xlfn.XLOOKUP(_xlfn.XLOOKUP(B318,'Base stats'!B:B,'Base stats'!E:E),Groups!A:A,Groups!D:D)=0),MROUND((80/3)*IF(_xlfn.XLOOKUP(B318,'Base stats'!B:B,'Base stats'!O:O)=2,0.2,AO318) + 24*(1-IF(BF318="No",0,BF318)) + 16/3, 12),"No")</f>
        <v>No</v>
      </c>
      <c r="BH318" s="2">
        <f>IF(AND(_xlfn.XLOOKUP(_xlfn.XLOOKUP(B318,'Base stats'!B:B,'Base stats'!E:E),Groups!A:A,Groups!AQ:AQ)=1,AO318&lt;=0.35),8,12)</f>
        <v>12</v>
      </c>
      <c r="BI318" s="2" t="str">
        <f>IF(_xlfn.XLOOKUP(_xlfn.XLOOKUP(B318,'Base stats'!B:B,'Base stats'!E:E),Groups!A:A,Groups!D:D)=0,_xlfn.XLOOKUP(_xlfn.XLOOKUP(B318,'Base stats'!B:B,'Base stats'!E:E),Groups!A:A,Groups!AR:AR),"None")</f>
        <v>Advanced</v>
      </c>
      <c r="BJ318" s="2" t="str">
        <f>IF(AND(_xlfn.XLOOKUP(_xlfn.XLOOKUP(B318,'Base stats'!B:B,'Base stats'!E:E),Groups!A:A,Groups!AS:AS)=1,OR(_xlfn.XLOOKUP(B318,'Base stats'!B:B,'Base stats'!Y:Y)="Carnivore",_xlfn.XLOOKUP(B318,'Base stats'!B:B,'Base stats'!Y:Y)="Omnivore")),"true","false")</f>
        <v>true</v>
      </c>
      <c r="BK318" s="2">
        <f>IF(BJ318="true",MROUND(IF(AND(AO318&gt;0.5,OR(_xlfn.XLOOKUP(_xlfn.XLOOKUP(B318,'Base stats'!B:B,'Base stats'!E:E),Groups!A:A,Groups!AJ:AJ)="Photonozoa",_xlfn.XLOOKUP(_xlfn.XLOOKUP(B318,'Base stats'!B:B,'Base stats'!E:E),Groups!A:A,Groups!AJ:AJ)="Mammal")),Animals!AO318*1.75*IF(AW318="true",1.5,1),IF(AO318&lt;0.5,Animals!AO318*0.5,Animals!AO318)),IF(AO318&gt;2,0.5,IF(AO318&gt;0.5,0.25,0.1))),"No")</f>
        <v>2.25</v>
      </c>
      <c r="BL318" s="2">
        <f t="shared" si="31"/>
        <v>1</v>
      </c>
      <c r="BM318" s="25" t="str">
        <f>IF(_xlfn.XLOOKUP(B318,'Base stats'!B:B,'Base stats'!AN:AN)="Standard","No",MROUND((_xlfn.XLOOKUP(B318,'Base stats'!B:B,'Base stats'!AN:AN)/3.6)/I318,0.1))</f>
        <v>No</v>
      </c>
      <c r="BN318" s="25" t="str">
        <f t="shared" si="32"/>
        <v>false</v>
      </c>
      <c r="BO318" s="25" t="str">
        <f>IF(AND(OR(_xlfn.XLOOKUP(B318,'Base stats'!B:B,'Base stats'!Y:Y)="Carnivore",_xlfn.XLOOKUP(B318,'Base stats'!B:B,'Base stats'!Y:Y)="Omnivore",_xlfn.XLOOKUP(B318,'Base stats'!B:B,'Base stats'!Y:Y)="OmnivoreRough"),_xlfn.XLOOKUP(_xlfn.XLOOKUP(B318,'Base stats'!B:B,'Base stats'!E:E),Groups!A:A,Groups!AT:AT)=1),"true","false")</f>
        <v>false</v>
      </c>
      <c r="BP318" s="25" t="str" cm="1">
        <f t="array" ref="BP318">IF(
  _xlfn.TEXTJOIN(", ",TRUE,
    IF(AND(BJ318="true",AO318&gt;0.5,BI318&lt;&gt;"None"),"AttackTarget",""),
    IF(AND(_xlfn.XLOOKUP(_xlfn.XLOOKUP(B318,'Base stats'!B:B,'Base stats'!E:E),Groups!A:A,Groups!AJ:AJ="Mammal"),OR(_xlfn.XLOOKUP(B318,'Base stats'!B:B,'Base stats'!Y:Y)="Omnivore",_xlfn.XLOOKUP(B318,'Base stats'!B:B,'Base stats'!Y:Y)="OmnivoreRough")),"Forage",""),
    IF(BG318&lt;=36,"Comfort",""),
    IF(_xlfn.XLOOKUP(B318,'Base stats'!B:B,'Base stats'!AE:AE)&lt;&gt;"No",_xlfn.XLOOKUP(B318,'Base stats'!B:B,'Base stats'!AE:AE),"")
  ) = "",
  "No",
  _xlfn.TEXTJOIN(", ",TRUE,
    IF(AND(BJ318="true",AO318&gt;0.5,BI318&lt;&gt;"None"),"AttackTarget",""),
    IF(AND(_xlfn.XLOOKUP(_xlfn.XLOOKUP(B318,'Base stats'!B:B,'Base stats'!E:E),Groups!A:A,Groups!AJ:AJ="Mammal"),OR(_xlfn.XLOOKUP(B318,'Base stats'!B:B,'Base stats'!Y:Y)="Omnivore",_xlfn.XLOOKUP(B318,'Base stats'!B:B,'Base stats'!Y:Y)="OmnivoreRough")),"Forage",""),
    IF(BG318&lt;=36,"Comfort",""),
    IF(_xlfn.XLOOKUP(B318,'Base stats'!B:B,'Base stats'!AE:AE)&lt;&gt;"No",_xlfn.XLOOKUP(B318,'Base stats'!B:B,'Base stats'!AE:AE),"")
  )
)</f>
        <v>AttackTarget</v>
      </c>
      <c r="BQ318" s="25" t="str">
        <f>IF(
   AND(
      'Base stats'!AN318="Standard",_xlfn.XLOOKUP(_xlfn.XLOOKUP(B318,'Base stats'!B:B,'Base stats'!E:E),Groups!A:A,Groups!AU:AU)=0,
      OR(
      BO318="True"
      )
   ),
   10,
   IF(
       OR(BM318&lt;&gt;"No",_xlfn.XLOOKUP(_xlfn.XLOOKUP(B318,'Base stats'!B:B,'Base stats'!E:E),Groups!A:A,Groups!AU:AU)=1),
      1,
      "No"
   )
)</f>
        <v>No</v>
      </c>
      <c r="BR318" s="9">
        <f>MROUND((1 + ((0.2*IF(OR(Q318="No",R318="No",R318=0),0,Q318/R318)
+IF(OR(V318="No",S318="No",T318="No"),0,S318/T318*(LEN(V318)-LEN(SUBSTITUTE(V318,",",""))+1))
+IF(OR(X318="No",Y318="No"),0,X318/Y318)
+IF(OR(AD318="No",AE318="No"),0,AD318/AE318)
+IF(OR(AL318="No",AI318="No",AJ318="No"),0,AI318/AJ318*(LEN(AL318)-LEN(SUBSTITUTE(AL318,",",""))+1))
)/(0.2*IF(OR(Q318="No",R318="No",R318=0),0,1)
+IF(OR(V318="No",S318="No",T318="No"),0,LEN(V318)-LEN(SUBSTITUTE(V318,",",""))+1)
+IF(OR(X318="No",Y318="No"),0,1)
+IF(OR(AD318="No",AE318="No"),0,1)
+IF(OR(AL318="No",AI318="No",AJ318="No"),0,LEN(AL318)-LEN(SUBSTITUTE(AL318,",",""))+1))*62%)* 2)*(1 + (AP318 / (IF(_xlfn.XLOOKUP(_xlfn.XLOOKUP(B318,'Base stats'!B:B,'Base stats'!E:E),Groups!A:A,Groups!AJ:AJ)="Photonozoa",0.3,1)) + _xlfn.XLOOKUP(B318,'Base stats'!B:B,'Base stats'!AV:AV) * 1.8) * 2) * 2.5 + 10 + I318 * 2,5)+IF(_xlfn.XLOOKUP(B318,'Base stats'!B:B,'Base stats'!AK:AK)=1,50,0)</f>
        <v>140</v>
      </c>
      <c r="BS318" s="8">
        <f t="shared" si="33"/>
        <v>0.75</v>
      </c>
      <c r="BT318" s="8" t="str">
        <f>_xlfn.XLOOKUP(B318,'Base stats'!B:B,'Base stats'!AF:AF)</f>
        <v>No</v>
      </c>
      <c r="BU318" s="2" t="str">
        <f>IF(AND(J318&lt;=0.95,OR(_xlfn.XLOOKUP(B318,'Base stats'!B:B,'Base stats'!AK:AK)=1,_xlfn.XLOOKUP(B318,'Base stats'!B:B,'Base stats'!Y:Y)="Carnivore",_xlfn.XLOOKUP(B318,'Base stats'!B:B,'Base stats'!Y:Y)="Omnivore",BE318&gt;0.1)),"true","false")</f>
        <v>true</v>
      </c>
      <c r="BV318" s="2" t="str">
        <f>IF(_xlfn.XLOOKUP(B318,'Base stats'!B:B,'Base stats'!AI:AI)=1,"true","false")</f>
        <v>false</v>
      </c>
      <c r="BW318" s="25" t="str">
        <f>IF(E318="BaseInsect","AnimalInsect",
IF(J318&gt;0.95,"AnimalExotic",
_xlfn.TEXTJOIN(", ",TRUE,
IF(OR(_xlfn.XLOOKUP(B318,'Base stats'!B:B,'Base stats'!AM:AM)=1,AND(_xlfn.XLOOKUP(B318,'Base stats'!B:B,'Base stats'!O:O)=0,_xlfn.XLOOKUP(_xlfn.XLOOKUP(B318,'Base stats'!B:B,'Base stats'!E:E),Groups!A:A,Groups!B:B)&gt;0)),"AnimalUncommon","AnimalCommon"),
IF(AND(_xlfn.XLOOKUP(B318,'Base stats'!B:B,'Base stats'!O:O)=2,_xlfn.XLOOKUP(_xlfn.XLOOKUP(B318,'Base stats'!B:B,'Base stats'!E:E),Groups!A:A,Groups!D:D)=0),"AnimalPet",IF(AND(_xlfn.XLOOKUP(B318,'Base stats'!B:B,'Base stats'!O:O)&lt;&gt;0,_xlfn.XLOOKUP(_xlfn.XLOOKUP(B318,'Base stats'!B:B,'Base stats'!E:E),Groups!A:A,Groups!D:D)&lt;&gt;0),"AnimalFarm","")),
IF(OR(_xlfn.XLOOKUP(B318,'Base stats'!B:B,'Base stats'!AK:AK)=1,AND(BI318&lt;&gt;"None",BR318&gt;=60),ISNUMBER(SEARCH("Attack target",BP318))),"AnimalFighter","")
)))</f>
        <v>AnimalUncommon, AnimalFighter</v>
      </c>
      <c r="BX318" s="25" t="str">
        <f>IF(G318="None",TRIM(
SUBSTITUTE(
IF(COUNTIF(Biomes!B$2:B$259,"="&amp;$C318)&gt;0,Biomes!B$1&amp;", ","")&amp;
IF(COUNTIF(Biomes!C$2:C$259,"="&amp;$C318)&gt;0,Biomes!C$1&amp;", ","")&amp;
IF(COUNTIF(Biomes!D$2:D$259,"="&amp;$C318)&gt;0,Biomes!D$1&amp;", ","")&amp;
IF(COUNTIF(Biomes!F$2:F$259,"="&amp;$C318)&gt;0,Biomes!F$1&amp;", ","")&amp;
IF(COUNTIF(Biomes!G$2:G$259,"="&amp;$C318)&gt;0,Biomes!G$1&amp;", ","")&amp;
IF(COUNTIF(Biomes!H$2:H$259,"="&amp;$C318)&gt;0,Biomes!H$1&amp;", ","")&amp;
IF(COUNTIF(Biomes!I$2:I$259,"="&amp;$C318)&gt;0,Biomes!I$1&amp;", ","")&amp;
IF(COUNTIF(Biomes!J$2:J$259,"="&amp;$C318)&gt;0,Biomes!J$1&amp;", ","")&amp;
IF(COUNTIF(Biomes!M$2:M$259,"="&amp;$C318)&gt;0,Biomes!M$1&amp;", ","")&amp;
IF(COUNTIF(Biomes!N$2:N$259,"="&amp;$C318)&gt;0,Biomes!N$1&amp;", ","")&amp;
IF(COUNTIF(Biomes!O$2:O$259,"="&amp;$C318)&gt;0,Biomes!O$1&amp;", ","")&amp;
IF(COUNTIF(Biomes!P$2:P$259,"="&amp;$C318)&gt;0,Biomes!P$1&amp;", ","")&amp;
IF(COUNTIF(Biomes!K$2:K$259,"="&amp;$C318)&gt;0,Biomes!K$1&amp;", ","")&amp;
IF(COUNTIF(Biomes!Q$3:Q$259,"="&amp;$C318)&gt;0,Biomes!Q$1&amp;", ","")&amp;
IF(COUNTIF(Biomes!L$2:L$259,"="&amp;$C318)&gt;0,Biomes!L$1&amp;", ","")&amp;
IF(COUNTIF(Biomes!E$2:E$259,"="&amp;$C318)&gt;0,Biomes!E$1&amp;", ","")&amp;IF(COUNTIF(Biomes!S$2:S$259,"="&amp;$C318)&gt;0,Biomes!S$1&amp;", ","")&amp;
IF(COUNTIF(Biomes!R$2:R$259,"="&amp;$C318)&gt;0,Biomes!R$1&amp;", ",""),", ","")
),_xlfn.XLOOKUP(B318,B:B,BX:BX))</f>
        <v>AridShrubland Desert Grasslands LavaField</v>
      </c>
      <c r="BY318" s="25" t="str">
        <f>IF(_xlfn.XLOOKUP(B318,'Base stats'!B:B,'Base stats'!AJ:AJ)=1,"true","false")</f>
        <v>false</v>
      </c>
      <c r="BZ318" s="25">
        <f>IF(_xlfn.XLOOKUP(B318,'Base stats'!B:B,'Base stats'!N:N)=1,"No",MAX(0.001,MIN(MROUND(IF(AND(BJ318="True",CC318="False"),POWER(10,3.47*LOG10(_xlfn.XLOOKUP(B318,'Base stats'!B:B,'Base stats'!C:C)*1000)^-0.96),POWER(10,4.15*LOG10(_xlfn.XLOOKUP(B318,'Base stats'!B:B,'Base stats'!C:C)*1000)^-0.73))*IF(_xlfn.XLOOKUP(B318,'Base stats'!B:B,'Base stats'!AK:AK)=1,0.5,1)*IF(_xlfn.XLOOKUP(B318,'Base stats'!B:B,'Base stats'!AM:AM)=1,0.1,1)/100,IF(_xlfn.XLOOKUP(B318,'Base stats'!B:B,'Base stats'!AM:AM)=1,0.001,0.025)),0.5)))</f>
        <v>5.0000000000000001E-3</v>
      </c>
      <c r="CA318" s="25" t="str">
        <f>IF(P318="Standard","No",MAX(0.001,MIN(MROUND(IF(AND(BJ318="True",CC318="False"),POWER(10,3.47*LOG10(_xlfn.XLOOKUP(B318,'Base stats'!B:B,'Base stats'!C:C)*1000)^-0.96),POWER(10,4.15*LOG10(_xlfn.XLOOKUP(B318,'Base stats'!B:B,'Base stats'!C:C)*1000)^-0.73))*IF(_xlfn.XLOOKUP(B318,'Base stats'!B:B,'Base stats'!AM:AM)=1,0.1,1)*_xlfn.XLOOKUP(B318,'Base stats'!B:B,'Base stats'!R:R)/100,IF(_xlfn.XLOOKUP(B318,'Base stats'!B:B,'Base stats'!AM:AM)=1,0.001,0.025)),0.5)))</f>
        <v>No</v>
      </c>
      <c r="CB318" s="25" t="str">
        <f>IF(_xlfn.XLOOKUP(_xlfn.XLOOKUP(B318,'Base stats'!B:B,'Base stats'!E:E),Groups!A:A,Groups!AJ:AJ)="Mammal","True","False")</f>
        <v>True</v>
      </c>
      <c r="CC318" s="25" t="str">
        <f>IF(OR(_xlfn.XLOOKUP(_xlfn.XLOOKUP(B318,'Base stats'!B:B,'Base stats'!E:E),Groups!A:A,Groups!AJ:AJ)="Reptile",_xlfn.XLOOKUP(_xlfn.XLOOKUP(B318,'Base stats'!B:B,'Base stats'!E:E),Groups!A:A,Groups!AJ:AJ)="Amphibian",_xlfn.XLOOKUP(_xlfn.XLOOKUP(B318,'Base stats'!B:B,'Base stats'!E:E),Groups!A:A,Groups!AJ:AJ)="Invertebrate"),"True","False")</f>
        <v>False</v>
      </c>
      <c r="CD318" s="25" t="str">
        <f t="shared" si="34"/>
        <v>False</v>
      </c>
      <c r="CE318" s="25" t="str">
        <f>IF(_xlfn.XLOOKUP(_xlfn.XLOOKUP(B318,'Base stats'!B:B,'Base stats'!E:E),Groups!A:A,Groups!AX:AX),"True","False")</f>
        <v>False</v>
      </c>
      <c r="CF318" s="25" t="str">
        <f>IF(_xlfn.XLOOKUP(_xlfn.XLOOKUP(B318,'Base stats'!B:B,'Base stats'!E:E),Groups!A:A,Groups!AY:AY),"True","False")</f>
        <v>False</v>
      </c>
      <c r="CG318" s="25" t="str">
        <f>IF(_xlfn.XLOOKUP(_xlfn.XLOOKUP(B318,'Base stats'!B:B,'Base stats'!E:E),Groups!A:A,Groups!AW:AW),"True","False")</f>
        <v>False</v>
      </c>
      <c r="CH318" s="25" t="str">
        <f>IF(
OR(
_xlfn.XLOOKUP(_xlfn.XLOOKUP(B318,'Base stats'!B:B,'Base stats'!E:E),Groups!A:A,Groups!AZ:AZ)=0,
AND(
_xlfn.XLOOKUP(B318,'Base stats'!B:B,'Base stats'!Y:Y)&lt;&gt;"Carnivore",
_xlfn.XLOOKUP(B318,'Base stats'!B:B,'Base stats'!Y:Y)&lt;&gt;"Omnivore",
_xlfn.XLOOKUP(B318,'Base stats'!B:B,'Base stats'!Y:Y)&lt;&gt;"OmnivoreRough"
)
),
"No",
IF(
_xlfn.XLOOKUP(_xlfn.XLOOKUP(B318,'Base stats'!B:B,'Base stats'!E:E),Groups!A:A,Groups!AZ:AZ)=1,
"Flesh",
IF(
_xlfn.XLOOKUP(_xlfn.XLOOKUP(B318,'Base stats'!B:B,'Base stats'!E:E),Groups!A:A,Groups!AZ:AZ)=2,
"Bone",
""
)
)
)</f>
        <v>Bone</v>
      </c>
      <c r="CI318" s="25" t="str">
        <f>IF(_xlfn.XLOOKUP(_xlfn.XLOOKUP(B318,'Base stats'!B:B,'Base stats'!E:E),Groups!A:A,Groups!BB:BB),"True","False")</f>
        <v>True</v>
      </c>
      <c r="CJ318" s="25" t="str">
        <f>IF(_xlfn.XLOOKUP(_xlfn.XLOOKUP(B318,'Base stats'!B:B,'Base stats'!E:E),Groups!A:A,Groups!BA:BA),"True","False")</f>
        <v>False</v>
      </c>
    </row>
    <row r="319" spans="1:88" ht="16.5" thickTop="1" thickBot="1" x14ac:dyDescent="0.3">
      <c r="A319" s="26" t="s">
        <v>1550</v>
      </c>
      <c r="B319" s="6" t="str">
        <f>_xlfn.XLOOKUP(A319,'Base stats'!A:A,'Base stats'!B:B)</f>
        <v>Protofluidum rubrum</v>
      </c>
      <c r="C319" s="28" t="s">
        <v>1551</v>
      </c>
      <c r="D319" s="28" t="s">
        <v>1341</v>
      </c>
      <c r="E319" s="28" t="s">
        <v>673</v>
      </c>
      <c r="F319" s="28" t="s">
        <v>673</v>
      </c>
      <c r="G319" s="28" t="s">
        <v>673</v>
      </c>
      <c r="H319" s="2">
        <f>MROUND((
  (IF(AND(_xlfn.XLOOKUP(B319,'Base stats'!B:B,'Base stats'!AL:AL)=0,BI319="None",_xlfn.XLOOKUP(_xlfn.XLOOKUP(B319,'Base stats'!B:B,'Base stats'!E:E),Groups!A:A,Groups!B:B)=0), (18 + BR319 * 2.7) * 0.5,
    IF(AND(_xlfn.XLOOKUP(B319,'Base stats'!B:B,'Base stats'!AL:AL)=0,OR(AO319&lt;0.55,AND(BI319="Intermediate",_xlfn.XLOOKUP(_xlfn.XLOOKUP(B319,'Base stats'!B:B,'Base stats'!E:E),Groups!A:A,Groups!B:B)&lt;2))), (18 + BR319 * 2.7),
      IF(OR(BI319="Advanced",_xlfn.XLOOKUP(B319,'Base stats'!B:B,'Base stats'!AL:AL)=1,_xlfn.XLOOKUP(_xlfn.XLOOKUP(B319,'Base stats'!B:B,'Base stats'!E:E),Groups!A:A,Groups!B:B)=2), (18 + BR319 * 2.7) + 250, (18 + BR319 * 2.7))
    )
  ))
  + AO319 * 80
  + IF(COUNTIF(EggMilk!K$2:K$998, A319) &gt; 0, 125, 0)
  + IF(COUNTIF(EggMilk!P$2:P$998, A319) &gt; 0, 90, 0)
  + IF(COUNTIF(EggMilk!A$2:A$998, A319) &gt; 0, 90, 0)
)
* (0.8 + 0.4 * J319)
* 0.75,25)</f>
        <v>225</v>
      </c>
      <c r="I319" s="2">
        <f>MROUND(ROUNDDOWN(_xlfn.XLOOKUP(B319,'Base stats'!B:B,'Base stats'!L:L)/3.6/(23.3/11),1),0.5)</f>
        <v>1.5</v>
      </c>
      <c r="J319" s="2">
        <f>IF(OR(_xlfn.XLOOKUP(B319,'Base stats'!B:B,'Base stats'!AB:AB)=1,_xlfn.XLOOKUP(_xlfn.XLOOKUP(B319,'Base stats'!B:B,'Base stats'!E:E),Groups!A:A,Groups!C:C)="Untamable"),1,IF(_xlfn.XLOOKUP(B319,'Base stats'!B:B,'Base stats'!AL:AL)=1,0.99,MIN(MROUND((1-0.6282*EXP(-0.459*AO319))*_xlfn.XLOOKUP(_xlfn.XLOOKUP(B319,'Base stats'!B:B,'Base stats'!E:E),Groups!A:A,Groups!C:C)*IF(_xlfn.XLOOKUP(B319,'Base stats'!B:B,'Base stats'!O:O)=1,0.5,IF(_xlfn.XLOOKUP(B319,'Base stats'!B:B,'Base stats'!O:O)=2,0,1)),0.05),IF(AO319&gt;3.5,0.985,0.95))))</f>
        <v>0.60000000000000009</v>
      </c>
      <c r="K319" s="2">
        <f>ROUNDUP(AO319*_xlfn.XLOOKUP(_xlfn.XLOOKUP(B319,'Base stats'!B:B,'Base stats'!E:E),Groups!A:A,Groups!E:E),0)</f>
        <v>1</v>
      </c>
      <c r="L319" s="2">
        <f>IF(OR(_xlfn.XLOOKUP(_xlfn.XLOOKUP(B319,'Base stats'!B:B,'Base stats'!E:E),Groups!A:A,Groups!F:F)=2,ISNUMBER(SEARCH("SeaIce",BX319)),ISNUMBER(SEARCH("IceSheet",BX319))),-50,IF(OR(ISNUMBER(SEARCH("GlacialPlain",BX319)),ISNUMBER(SEARCH("Tundra",BX319))),-40,IF(OR(ISNUMBER(SEARCH("Alpine",BX319)),ISNUMBER(SEARCH("BorealForest",BX319)),ISNUMBER(SEARCH("ColdBog",BX319))),-30,IF(OR(ISNUMBER(SEARCH("TemperateForest",BX319)),ISNUMBER(SEARCH("TemperateSwamp",BX319))),-20,IF(_xlfn.XLOOKUP(_xlfn.XLOOKUP(B319,'Base stats'!B:B,'Base stats'!E:E),Groups!A:A,Groups!F:F)=1,-15,IF(OR(ISNUMBER(SEARCH("Desert",BX319)),ISNUMBER(SEARCH("ExtremeDesert",BX319))),-10,IF(OR(ISNUMBER(SEARCH("Grasslands",BX319)),ISNUMBER(SEARCH("TropicalRainforest",BX319)),ISNUMBER(SEARCH("TropicalSwamp",BX319))),10,0)))))))-IF(CC319="False",MIN(IFERROR(MAX(MROUND(LOG10(_xlfn.XLOOKUP(B319,'Base stats'!B:B,'Base stats'!C:C)^(2/3))*10,5),5),5),30))-_xlfn.XLOOKUP(B319,'Base stats'!B:B,'Base stats'!P:P)+IF(CC319="True",5,0)</f>
        <v>5</v>
      </c>
      <c r="M319" s="2">
        <f>IF(OR(_xlfn.XLOOKUP(_xlfn.XLOOKUP(B319,'Base stats'!B:B,'Base stats'!E:E),Groups!A:A,Groups!G:G)=2,ISNUMBER(SEARCH("Desert",BX319)),ISNUMBER(SEARCH("ExtremeDesert",BX319)),ISNUMBER(SEARCH("LavaField",BX319))),50,IF(ISNUMBER(SEARCH("Grasslands",BX319)),45,IF(OR(_xlfn.XLOOKUP(_xlfn.XLOOKUP(B319,'Base stats'!B:B,'Base stats'!E:E),Groups!A:A,Groups!G:G)=1,ISNUMBER(SEARCH("TropicalRainforest",BX319)),ISNUMBER(SEARCH("TropicalSwamp",BX319))),40,IF(OR(ISNUMBER(SEARCH("TemperateForest",BX319)),ISNUMBER(SEARCH("TemperateSwamp",BX319))),35,IF(OR(ISNUMBER(SEARCH("Alpine",BX319)),ISNUMBER(SEARCH("BorealForest",BX319)),ISNUMBER(SEARCH("ColdBog",BX319))),30,IF(ISNUMBER(OR(ISNUMBER(SEARCH("GlacialPlain",BX319)),SEARCH("Tundra",BX319))),25,IF(OR(ISNUMBER(SEARCH("SeaIce",BX319)),ISNUMBER(SEARCH("IceSheet",BX319)),ISNUMBER(SEARCH("TropicalSwamp",BX319))),10,35)))))))+_xlfn.XLOOKUP(B319,'Base stats'!B:B,'Base stats'!Q:Q)</f>
        <v>35</v>
      </c>
      <c r="N319" s="8" t="str">
        <f>IF(
_xlfn.XLOOKUP(
_xlfn.XLOOKUP(B319,'Base stats'!B:B,'Base stats'!E:E),
Groups!A:A,
Groups!L:L
)=1,
MIN(
MROUND(
IF(
_xlfn.XLOOKUP(B319,'Animals CE'!B:B,'Animals CE'!Z:Z)&lt;=1.5,
_xlfn.XLOOKUP(B319,'Animals CE'!B:B,'Animals CE'!Z:Z)/2+0.05,
0.8+
(_xlfn.XLOOKUP(B319,'Animals CE'!B:B,'Animals CE'!Z:Z)-1.5)
*0.02
),
0.05
),
200%
),
"No"
)</f>
        <v>No</v>
      </c>
      <c r="O319" s="8" t="str">
        <f>IF(
_xlfn.XLOOKUP(
_xlfn.XLOOKUP(B319,'Base stats'!B:B,'Base stats'!E:E),
Groups!A:A,
Groups!L:L
)=1,
MIN(
MROUND(
IF(
_xlfn.XLOOKUP(B319,'Animals CE'!B:B,'Animals CE'!AA:AA)&lt;=1.5,
_xlfn.XLOOKUP(B319,'Animals CE'!B:B,'Animals CE'!AA:AA)/2+0.05,
0.8+
(_xlfn.XLOOKUP(B319,'Animals CE'!B:B,'Animals CE'!AA:AA)-1.5)
*0.02
),
0.05
),
200%
),
"No"
)</f>
        <v>No</v>
      </c>
      <c r="P319" s="2" t="str">
        <f>_xlfn.XLOOKUP(B319,'Base stats'!B:B,'Base stats'!R:R)</f>
        <v>Standard</v>
      </c>
      <c r="Q319" s="13">
        <f>MROUND((LOG10(_xlfn.XLOOKUP(B319,'Base stats'!B:B,'Base stats'!AR:AR))*(AO319^0.5)+(_xlfn.XLOOKUP(B319,'Base stats'!B:B,'Base stats'!AR:AR)/1000)^(2/3)+_xlfn.XLOOKUP(B319,'Base stats'!B:B,'Base stats'!BA:BA)/2)+0.5,0.5)</f>
        <v>7</v>
      </c>
      <c r="R319" s="7">
        <f>IF(Q319="No","No",MAX(1,MROUND(_xlfn.XLOOKUP(B319,'Base stats'!B:B,'Base stats'!C:C)^0.165,0.05)))</f>
        <v>1.9500000000000002</v>
      </c>
      <c r="S319" s="13" t="str">
        <f>IF(_xlfn.XLOOKUP(_xlfn.XLOOKUP(B319,'Base stats'!B:B,'Base stats'!E:E),Groups!A:A,Groups!P:P)=0,"No",MROUND((LOG10(_xlfn.XLOOKUP(B319,'Base stats'!B:B,'Base stats'!AS:AS))*(AO319^0.5)+(_xlfn.XLOOKUP(B319,'Base stats'!B:B,'Base stats'!AS:AS)/1000)^(2/3)+_xlfn.XLOOKUP(B319,'Base stats'!B:B,'Base stats'!BA:BA))+_xlfn.XLOOKUP(B319,'Base stats'!B:B,'Base stats'!AY:AY)+0.5,0.5))</f>
        <v>No</v>
      </c>
      <c r="T319" s="7" t="str">
        <f>IF(S319="No","No",MAX(_xlfn.XLOOKUP(_xlfn.XLOOKUP(B319,'Base stats'!B:B,'Base stats'!E:E),Groups!A:A,Groups!Q:Q),MROUND(_xlfn.XLOOKUP(_xlfn.XLOOKUP(B319,'Base stats'!B:B,'Base stats'!E:E),Groups!A:A,Groups!Q:Q)*_xlfn.XLOOKUP(B319,'Base stats'!B:B,'Base stats'!C:C)^0.165,0.05)))</f>
        <v>No</v>
      </c>
      <c r="U319" s="7" t="str">
        <f>IF(S319="No","No",_xlfn.XLOOKUP(_xlfn.XLOOKUP(B319,'Base stats'!B:B,'Base stats'!E:E),Groups!A:A,Groups!R:R))</f>
        <v>No</v>
      </c>
      <c r="V319" s="7" t="str">
        <f>IF(S319="No","No",_xlfn.XLOOKUP(_xlfn.XLOOKUP(B319,'Base stats'!B:B,'Base stats'!E:E),Groups!A:A,Groups!S:S))</f>
        <v>No</v>
      </c>
      <c r="W319" s="7" t="str">
        <f>IF(S319="No","No",_xlfn.XLOOKUP(_xlfn.XLOOKUP(B319,'Base stats'!B:B,'Base stats'!E:E),Groups!A:A,Groups!T:T))</f>
        <v>No</v>
      </c>
      <c r="X319" s="13" t="str">
        <f>IF(_xlfn.XLOOKUP(B319,'Base stats'!B:B,'Base stats'!W:W)="No","No",MROUND((LOG10(_xlfn.XLOOKUP(B319,'Base stats'!B:B,'Base stats'!AU:AU))*(AO319^0.5)+(_xlfn.XLOOKUP(B319,'Base stats'!B:B,'Base stats'!AU:AU)/1000)^(2/3)+_xlfn.XLOOKUP(B319,'Base stats'!B:B,'Base stats'!AZ:AZ))+0.5+IF(_xlfn.XLOOKUP(_xlfn.XLOOKUP(B319,'Base stats'!B:B,'Base stats'!E:E),Groups!A:A,Groups!U:U)&lt;&gt;3,_xlfn.XLOOKUP(B319,'Base stats'!B:B,'Base stats'!BA:BA),0),0.5))</f>
        <v>No</v>
      </c>
      <c r="Y319" s="7" t="str">
        <f>IF(X319="No","No",MAX(_xlfn.XLOOKUP(_xlfn.XLOOKUP(B319,'Base stats'!B:B,'Base stats'!E:E),Groups!A:A,Groups!V:V),MROUND(_xlfn.XLOOKUP(_xlfn.XLOOKUP(B319,'Base stats'!B:B,'Base stats'!E:E),Groups!A:A,Groups!V:V)*_xlfn.XLOOKUP(B319,'Base stats'!B:B,'Base stats'!C:C)^0.165,0.05)))</f>
        <v>No</v>
      </c>
      <c r="Z319" s="7" t="str">
        <f>IF(X319="No","No",_xlfn.XLOOKUP(_xlfn.XLOOKUP(B319,'Base stats'!B:B,'Base stats'!E:E),Groups!A:A,Groups!W:W))</f>
        <v>No</v>
      </c>
      <c r="AA319" s="7" t="str">
        <f>IF(X319="No","No",_xlfn.XLOOKUP(_xlfn.XLOOKUP(B319,'Base stats'!B:B,'Base stats'!E:E),Groups!A:A,Groups!X:X))</f>
        <v>No</v>
      </c>
      <c r="AB319" s="7" t="str">
        <f>IF(X319="No","No",_xlfn.XLOOKUP(_xlfn.XLOOKUP(B319,'Base stats'!B:B,'Base stats'!E:E),Groups!A:A,Groups!Y:Y))</f>
        <v>No</v>
      </c>
      <c r="AC319" s="7" t="str">
        <f>_xlfn.XLOOKUP(Animals!B319,'Base stats'!B:B,'Base stats'!X:X)</f>
        <v>False</v>
      </c>
      <c r="AD319" s="13" t="str">
        <f>IF(_xlfn.XLOOKUP(B319,'Base stats'!B:B,'Base stats'!AT:AT)="No","No",MROUND((LOG10(_xlfn.XLOOKUP(B319,'Base stats'!B:B,'Base stats'!AT:AT))*(AO319^0.75)+(_xlfn.XLOOKUP(B319,'Base stats'!B:B,'Base stats'!AT:AT)/1000)^(2/3)+_xlfn.XLOOKUP(B319,'Base stats'!B:B,'Base stats'!AX:AX)+_xlfn.XLOOKUP(B319,'Base stats'!B:B,'Base stats'!BA:BA))+0.5,0.5))</f>
        <v>No</v>
      </c>
      <c r="AE319" s="7" t="str">
        <f>IF(AD319="No","No",MAX(_xlfn.XLOOKUP(_xlfn.XLOOKUP(B319,'Base stats'!B:B,'Base stats'!E:E),Groups!A:A,Groups!Z:Z),MROUND(_xlfn.XLOOKUP(_xlfn.XLOOKUP(B319,'Base stats'!B:B,'Base stats'!E:E),Groups!A:A,Groups!Z:Z)*_xlfn.XLOOKUP(B319,'Base stats'!B:B,'Base stats'!C:C)^0.165,0.05)))</f>
        <v>No</v>
      </c>
      <c r="AF319" s="7" t="str">
        <f>IF(AD319="No","No",_xlfn.XLOOKUP(_xlfn.XLOOKUP(B319,'Base stats'!B:B,'Base stats'!E:E),Groups!A:A,Groups!AA:AA))</f>
        <v>No</v>
      </c>
      <c r="AG319" s="7" t="str">
        <f>IF(AD319="No","No",_xlfn.XLOOKUP(_xlfn.XLOOKUP(B319,'Base stats'!B:B,'Base stats'!E:E),Groups!A:A,Groups!AB:AB))</f>
        <v>No</v>
      </c>
      <c r="AH319" s="7" t="str">
        <f>IF(AD319="No","No",_xlfn.XLOOKUP(_xlfn.XLOOKUP(B319,'Base stats'!B:B,'Base stats'!E:E),Groups!A:A,Groups!AC:AC))</f>
        <v>No</v>
      </c>
      <c r="AI319" s="13">
        <f>IF(_xlfn.XLOOKUP(_xlfn.XLOOKUP(B319,'Base stats'!B:B,'Base stats'!E:E),Groups!A:A,Groups!AD:AD)=0,"No",MROUND((LOG10(_xlfn.XLOOKUP(B319,'Base stats'!B:B,'Base stats'!AS:AS))*(AO319^0.75)+(_xlfn.XLOOKUP(B319,'Base stats'!B:B,'Base stats'!AS:AS)/1000)^(2/3)+_xlfn.XLOOKUP(B319,'Base stats'!B:B,'Base stats'!AY:AY)+_xlfn.XLOOKUP(B319,'Base stats'!B:B,'Base stats'!BA:BA))+0.5,0.5))</f>
        <v>8.5</v>
      </c>
      <c r="AJ319" s="7">
        <f>IF(AI319="No","No",MAX(_xlfn.XLOOKUP(_xlfn.XLOOKUP(B319,'Base stats'!B:B,'Base stats'!E:E),Groups!A:A,Groups!AE:AE),MROUND(_xlfn.XLOOKUP(_xlfn.XLOOKUP(B319,'Base stats'!B:B,'Base stats'!E:E),Groups!A:A,Groups!AE:AE)*IF(_xlfn.XLOOKUP(_xlfn.XLOOKUP(B319,'Base stats'!B:B,'Base stats'!E:E),Groups!A:A,Groups!AJ:AJ)="Photonozoa",0.6,1)*_xlfn.XLOOKUP(B319,'Base stats'!B:B,'Base stats'!C:C)^0.165,0.05)))</f>
        <v>1.4500000000000002</v>
      </c>
      <c r="AK319" s="7" t="str">
        <f>IF(AI319="No","No",_xlfn.XLOOKUP(_xlfn.XLOOKUP(B319,'Base stats'!B:B,'Base stats'!E:E),Groups!A:A,Groups!AF:AF))</f>
        <v>Arms</v>
      </c>
      <c r="AL319" s="7" t="str">
        <f>IF(AI319="No","No",_xlfn.XLOOKUP(_xlfn.XLOOKUP(B319,'Base stats'!B:B,'Base stats'!E:E),Groups!A:A,Groups!AG:AG))</f>
        <v>arms</v>
      </c>
      <c r="AM319" s="7" t="str">
        <f>IF(AI319="No","No",_xlfn.XLOOKUP(_xlfn.XLOOKUP(B319,'Base stats'!B:B,'Base stats'!E:E),Groups!A:A,Groups!AH:AH))</f>
        <v>Blunt</v>
      </c>
      <c r="AN319" s="2" t="str">
        <f t="shared" si="28"/>
        <v>No</v>
      </c>
      <c r="AO319" s="2">
        <f>MROUND(IF(AND(_xlfn.XLOOKUP(B319,'Base stats'!B:B,'Base stats'!C:C)&gt;=0.5,_xlfn.XLOOKUP(B319,'Base stats'!B:B,'Base stats'!C:C)&lt;=0.8),
IF(_xlfn.XLOOKUP(B319,'Base stats'!B:B,'Base stats'!C:C)&lt;0.1,0.05,IF(_xlfn.XLOOKUP(B319,'Base stats'!B:B,'Base stats'!C:C)&lt;=70,(_xlfn.XLOOKUP(B319,'Base stats'!B:B,'Base stats'!C:C)/70)^0.426489913056526,IF(_xlfn.XLOOKUP(B319,'Base stats'!B:B,'Base stats'!C:C)&lt;=400,(_xlfn.XLOOKUP(B319,'Base stats'!B:B,'Base stats'!C:C)/70)^0.572811455315093,IF(_xlfn.XLOOKUP(B319,'Base stats'!B:B,'Base stats'!C:C)&lt;=2000,2.71391647193063*(_xlfn.XLOOKUP(B319,'Base stats'!B:B,'Base stats'!C:C)/400)^0.252459582904293,3.74314280240376*(_xlfn.XLOOKUP(B319,'Base stats'!B:B,'Base stats'!C:C)/2000)^0.357012633876913)))),
IF(_xlfn.XLOOKUP(B319,'Base stats'!B:B,'Base stats'!C:C)&lt;0.1,0.05,IF(_xlfn.XLOOKUP(B319,'Base stats'!B:B,'Base stats'!C:C)&lt;0.4,0.1,IF(_xlfn.XLOOKUP(B319,'Base stats'!B:B,'Base stats'!C:C)&lt;=70,(_xlfn.XLOOKUP(B319,'Base stats'!B:B,'Base stats'!C:C)/70)^0.445823913056526,IF(_xlfn.XLOOKUP(B319,'Base stats'!B:B,'Base stats'!C:C)&lt;=400,(_xlfn.XLOOKUP(B319,'Base stats'!B:B,'Base stats'!C:C)/70)^0.572811455315093,IF(_xlfn.XLOOKUP(B319,'Base stats'!B:B,'Base stats'!C:C)&lt;=2000,2.71391647193063*(_xlfn.XLOOKUP(B319,'Base stats'!B:B,'Base stats'!C:C)/400)^0.252459582904293,3.74314280240376*(_xlfn.XLOOKUP(B319,'Base stats'!B:B,'Base stats'!C:C)/2000)^0.357012633876913)))))),
IF(_xlfn.XLOOKUP(B319,'Base stats'!B:B,'Base stats'!C:C)&lt;0.1,0.05,IF(_xlfn.XLOOKUP(B319,'Base stats'!B:B,'Base stats'!C:C)&lt;=100,0.05,IF(_xlfn.XLOOKUP(B319,'Base stats'!B:B,'Base stats'!C:C)&lt;=250,0.1,IF(_xlfn.XLOOKUP(B319,'Base stats'!B:B,'Base stats'!C:C)&lt;=4000,0.25,0.5)))))</f>
        <v>0.95000000000000007</v>
      </c>
      <c r="AP319" s="8">
        <f>MROUND(AO319*_xlfn.XLOOKUP(_xlfn.XLOOKUP(B319,'Base stats'!B:B,'Base stats'!E:E),Groups!A:A,Groups!AI:AI)*_xlfn.XLOOKUP(B319,'Base stats'!B:B,'Base stats'!Z:Z),0.05)</f>
        <v>0.95000000000000007</v>
      </c>
      <c r="AQ319" s="8">
        <f>MAX(0.01,MROUND(IF(CC319="True",0.196*(AO319*100*1000)^0.889,IF(_xlfn.XLOOKUP(_xlfn.XLOOKUP(B319,'Base stats'!B:B,'Base stats'!E:E),Groups!A:A,Groups!AJ:AJ)="Bird",10.5*(AO319*100*1000)^0.681,4.82*(AO319*100*1000)^0.734))/(4.82*(1*100*1000)^0.734)/IF(AO319&lt;3.5,2,IF(AO319=3.5,1.5,1.25))*(1+0.132282374779864/(AO319^0.994035016789033+0.00905238001496948)),0.05))</f>
        <v>0.15000000000000002</v>
      </c>
      <c r="AR319" s="9">
        <f>IFERROR(MROUND(_xlfn.XLOOKUP(B319,'Base stats'!B:B,'Base stats'!H:H)/IF(_xlfn.XLOOKUP(B319,'Base stats'!B:B,'Base stats'!I:I)&lt;&gt;1,(122.5/70),1.2),IF(_xlfn.XLOOKUP(B319,'Base stats'!B:B,'Base stats'!H:H)&gt;=30,5,IF(_xlfn.XLOOKUP(B319,'Base stats'!B:B,'Base stats'!H:H)&gt;=15,3,IF(_xlfn.XLOOKUP(B319,'Base stats'!B:B,'Base stats'!H:H)&gt;=10,2,1)))),"Immortal")</f>
        <v>3</v>
      </c>
      <c r="AS319" s="35" t="str">
        <f>IFERROR(IF(OR(_xlfn.XLOOKUP(B319,'Base stats'!B:B,'Base stats'!F:F)="Atypical reproduction",_xlfn.XLOOKUP(B319,'Base stats'!B:B,'Base stats'!F:F)="Lay eggs"),"Lay eggs",MIN(20,MAX(5.5,ROUND(((_xlfn.XLOOKUP(B319,'Base stats'!B:B,'Base stats'!F:F)-25)*(14.5/615) + 5.5)*2,0)/2))),"Unknown")</f>
        <v>Lay eggs</v>
      </c>
      <c r="AT319" s="8">
        <f>IF(_xlfn.XLOOKUP(B319,'Base stats'!B:B,'Base stats'!G:G)="Atypical reproduction","No",IFERROR(MAX(IF(_xlfn.XLOOKUP(B319,'Base stats'!B:B,'Base stats'!G:G)&lt;0.5,0.2,0.3),MROUND(_xlfn.XLOOKUP(B319,'Base stats'!B:B,'Base stats'!G:G)/(365/60),0.2)),"Unknown"))</f>
        <v>0.3</v>
      </c>
      <c r="AU319" s="8">
        <f t="shared" si="29"/>
        <v>0.15000000000000002</v>
      </c>
      <c r="AV319" s="8" t="str">
        <f>IFERROR(IFERROR(MROUND(_xlfn.XLOOKUP(B319,'Base stats'!B:B,'Base stats'!J:J),0.1),"Lay eggs"),"Cannot breed")</f>
        <v>Lay eggs</v>
      </c>
      <c r="AW319" s="2" t="str">
        <f t="shared" si="30"/>
        <v>false</v>
      </c>
      <c r="AX319" s="2" t="str">
        <f>IF(_xlfn.XLOOKUP(_xlfn.XLOOKUP(Animals!B319,'Base stats'!B:B,'Base stats'!E:E),Groups!A:A,Groups!AK:AK)=1,"true","false")</f>
        <v>false</v>
      </c>
      <c r="AY319" s="25" t="str">
        <f>IF(_xlfn.XLOOKUP(B319,'Base stats'!B:B,'Base stats'!Y:Y)="Liquor","Liquor, CarnivoreAnimalStrict",IF(AND(_xlfn.XLOOKUP(B319,'Base stats'!B:B,'Base stats'!Y:Y)="Carnivore",_xlfn.XLOOKUP(_xlfn.XLOOKUP(B319,'Base stats'!B:B,'Base stats'!E:E),Groups!A:A,Groups!AJ:AJ)="Photonozoa"),"CarnivoreAnimalStrict, OvivoreAnimal",IF(_xlfn.XLOOKUP(B319,'Base stats'!B:B,'Base stats'!Y:Y)="Carnivore","CarnivoreAnimal, OvivoreAnimal",IF(_xlfn.XLOOKUP(B319,'Base stats'!B:B,'Base stats'!Y:Y)="Dendrovore","VegetarianRoughAnimal, DendrovoreAnimal",IF(_xlfn.XLOOKUP(B319,'Base stats'!B:B,'Base stats'!Y:Y)="Herbivore","VegetarianRoughAnimal",IF(_xlfn.XLOOKUP(B319,'Base stats'!B:B,'Base stats'!Y:Y)="OmnivoreRough","OmnivoreRoughAnimal, OvivoreAnimal","OmnivoreAnimal, OvivoreAnimal"))))))</f>
        <v>VegetarianRoughAnimal</v>
      </c>
      <c r="AZ319" s="2">
        <f>IF(_xlfn.XLOOKUP(_xlfn.XLOOKUP(B319,'Base stats'!B:B,'Base stats'!E:E),Groups!A:A,Groups!D:D)=1,MROUND((1-J319)*5+1,2)*IF(J319&lt;=0.4,2,1),"No")</f>
        <v>4</v>
      </c>
      <c r="BA319" s="2" t="str">
        <f>IF(AND(_xlfn.XLOOKUP(B319,'Base stats'!B:B,'Base stats'!AH:AH)="&lt;li&gt;Seal&lt;/li&gt;",G319="Odyssey"),"&lt;li&gt;AEXP_Seal&lt;/li&gt;",_xlfn.XLOOKUP(B319,'Base stats'!B:B,'Base stats'!AH:AH))</f>
        <v>&lt;li&gt;Megaspider&lt;/li&gt;</v>
      </c>
      <c r="BB319" s="2" t="str">
        <f>_xlfn.XLOOKUP(B319,'Base stats'!B:B,'Base stats'!AG:AG)</f>
        <v>No</v>
      </c>
      <c r="BC319" s="23" t="str">
        <f>_xlfn.XLOOKUP(_xlfn.XLOOKUP(B319,'Base stats'!B:B,'Base stats'!E:E),Groups!A:A,Groups!AL:AL)</f>
        <v>GooBody</v>
      </c>
      <c r="BD319" s="23">
        <f>MIN(1,MROUND(IF(AND(AO319&lt;0.5,_xlfn.XLOOKUP(B319,'Base stats'!B:B,'Base stats'!AA:AA)=0),0,IF(OR(_xlfn.XLOOKUP(Animals!B319,'Base stats'!B:B,'Base stats'!O:O)=2,_xlfn.XLOOKUP(_xlfn.XLOOKUP(B319,'Base stats'!B:B,'Base stats'!E:E),Groups!A:A,Groups!AN:AN)=0),0,_xlfn.XLOOKUP(_xlfn.XLOOKUP(B319,'Base stats'!B:B,'Base stats'!E:E),Groups!A:A,Groups!AN:AN)/IF(_xlfn.XLOOKUP(Animals!B319,'Base stats'!B:B,'Base stats'!O:O)=1,2,1)))+_xlfn.XLOOKUP(B319,'Base stats'!B:B,'Base stats'!AC:AC),0.005))</f>
        <v>0</v>
      </c>
      <c r="BE319" s="23">
        <f>MIN(1,MROUND(IF(AND(AO319&lt;0.5,_xlfn.XLOOKUP(B319,'Base stats'!B:B,'Base stats'!AA:AA)=0),0,IF(_xlfn.XLOOKUP(_xlfn.XLOOKUP(B319,'Base stats'!B:B,'Base stats'!E:E),Groups!A:A,Groups!AO:AO)=0,0,_xlfn.XLOOKUP(_xlfn.XLOOKUP(B319,'Base stats'!B:B,'Base stats'!E:E),Groups!A:A,Groups!AO:AO)/IF(_xlfn.XLOOKUP(Animals!B319,'Base stats'!B:B,'Base stats'!O:O)=2,3,1)))+_xlfn.XLOOKUP(B319,'Base stats'!B:B,'Base stats'!AD:AD),0.005))</f>
        <v>0</v>
      </c>
      <c r="BF319" s="2" t="str">
        <f>IF(J319&gt;0.3,"No",_xlfn.XLOOKUP(_xlfn.XLOOKUP(Animals!B319,'Base stats'!B:B,'Base stats'!E:E),Groups!A:A,Groups!AP:AP))</f>
        <v>No</v>
      </c>
      <c r="BG319" s="2" t="str">
        <f>IF(AND(J319&lt;=0.65,_xlfn.XLOOKUP(_xlfn.XLOOKUP(Animals!B319,'Base stats'!B:B,'Base stats'!E:E),Groups!A:A,Groups!AP:AP)&lt;&gt;"No",_xlfn.XLOOKUP(_xlfn.XLOOKUP(B319,'Base stats'!B:B,'Base stats'!E:E),Groups!A:A,Groups!D:D)=0),MROUND((80/3)*IF(_xlfn.XLOOKUP(B319,'Base stats'!B:B,'Base stats'!O:O)=2,0.2,AO319) + 24*(1-IF(BF319="No",0,BF319)) + 16/3, 12),"No")</f>
        <v>No</v>
      </c>
      <c r="BH319" s="2">
        <f>IF(AND(_xlfn.XLOOKUP(_xlfn.XLOOKUP(B319,'Base stats'!B:B,'Base stats'!E:E),Groups!A:A,Groups!AQ:AQ)=1,AO319&lt;=0.35),8,12)</f>
        <v>12</v>
      </c>
      <c r="BI319" s="2" t="str">
        <f>IF(_xlfn.XLOOKUP(_xlfn.XLOOKUP(B319,'Base stats'!B:B,'Base stats'!E:E),Groups!A:A,Groups!D:D)=0,_xlfn.XLOOKUP(_xlfn.XLOOKUP(B319,'Base stats'!B:B,'Base stats'!E:E),Groups!A:A,Groups!AR:AR),"None")</f>
        <v>None</v>
      </c>
      <c r="BJ319" s="2" t="str">
        <f>IF(AND(_xlfn.XLOOKUP(_xlfn.XLOOKUP(B319,'Base stats'!B:B,'Base stats'!E:E),Groups!A:A,Groups!AS:AS)=1,OR(_xlfn.XLOOKUP(B319,'Base stats'!B:B,'Base stats'!Y:Y)="Carnivore",_xlfn.XLOOKUP(B319,'Base stats'!B:B,'Base stats'!Y:Y)="Omnivore")),"true","false")</f>
        <v>false</v>
      </c>
      <c r="BK319" s="2" t="str">
        <f>IF(BJ319="true",MROUND(IF(AND(AO319&gt;0.5,OR(_xlfn.XLOOKUP(_xlfn.XLOOKUP(B319,'Base stats'!B:B,'Base stats'!E:E),Groups!A:A,Groups!AJ:AJ)="Photonozoa",_xlfn.XLOOKUP(_xlfn.XLOOKUP(B319,'Base stats'!B:B,'Base stats'!E:E),Groups!A:A,Groups!AJ:AJ)="Mammal")),Animals!AO319*1.75*IF(AW319="true",1.5,1),IF(AO319&lt;0.5,Animals!AO319*0.5,Animals!AO319)),IF(AO319&gt;2,0.5,IF(AO319&gt;0.5,0.25,0.1))),"No")</f>
        <v>No</v>
      </c>
      <c r="BL319" s="2">
        <f t="shared" si="31"/>
        <v>0</v>
      </c>
      <c r="BM319" s="25" t="str">
        <f>IF(_xlfn.XLOOKUP(B319,'Base stats'!B:B,'Base stats'!AN:AN)="Standard","No",MROUND((_xlfn.XLOOKUP(B319,'Base stats'!B:B,'Base stats'!AN:AN)/3.6)/I319,0.1))</f>
        <v>No</v>
      </c>
      <c r="BN319" s="25" t="str">
        <f t="shared" si="32"/>
        <v>false</v>
      </c>
      <c r="BO319" s="25" t="str">
        <f>IF(AND(OR(_xlfn.XLOOKUP(B319,'Base stats'!B:B,'Base stats'!Y:Y)="Carnivore",_xlfn.XLOOKUP(B319,'Base stats'!B:B,'Base stats'!Y:Y)="Omnivore",_xlfn.XLOOKUP(B319,'Base stats'!B:B,'Base stats'!Y:Y)="OmnivoreRough"),_xlfn.XLOOKUP(_xlfn.XLOOKUP(B319,'Base stats'!B:B,'Base stats'!E:E),Groups!A:A,Groups!AT:AT)=1),"true","false")</f>
        <v>false</v>
      </c>
      <c r="BP319" s="25" t="str" cm="1">
        <f t="array" ref="BP319">IF(
  _xlfn.TEXTJOIN(", ",TRUE,
    IF(AND(BJ319="true",AO319&gt;0.5,BI319&lt;&gt;"None"),"AttackTarget",""),
    IF(AND(_xlfn.XLOOKUP(_xlfn.XLOOKUP(B319,'Base stats'!B:B,'Base stats'!E:E),Groups!A:A,Groups!AJ:AJ="Mammal"),OR(_xlfn.XLOOKUP(B319,'Base stats'!B:B,'Base stats'!Y:Y)="Omnivore",_xlfn.XLOOKUP(B319,'Base stats'!B:B,'Base stats'!Y:Y)="OmnivoreRough")),"Forage",""),
    IF(BG319&lt;=36,"Comfort",""),
    IF(_xlfn.XLOOKUP(B319,'Base stats'!B:B,'Base stats'!AE:AE)&lt;&gt;"No",_xlfn.XLOOKUP(B319,'Base stats'!B:B,'Base stats'!AE:AE),"")
  ) = "",
  "No",
  _xlfn.TEXTJOIN(", ",TRUE,
    IF(AND(BJ319="true",AO319&gt;0.5,BI319&lt;&gt;"None"),"AttackTarget",""),
    IF(AND(_xlfn.XLOOKUP(_xlfn.XLOOKUP(B319,'Base stats'!B:B,'Base stats'!E:E),Groups!A:A,Groups!AJ:AJ="Mammal"),OR(_xlfn.XLOOKUP(B319,'Base stats'!B:B,'Base stats'!Y:Y)="Omnivore",_xlfn.XLOOKUP(B319,'Base stats'!B:B,'Base stats'!Y:Y)="OmnivoreRough")),"Forage",""),
    IF(BG319&lt;=36,"Comfort",""),
    IF(_xlfn.XLOOKUP(B319,'Base stats'!B:B,'Base stats'!AE:AE)&lt;&gt;"No",_xlfn.XLOOKUP(B319,'Base stats'!B:B,'Base stats'!AE:AE),"")
  )
)</f>
        <v>No</v>
      </c>
      <c r="BQ319" s="25" t="str">
        <f>IF(
   AND(
      'Base stats'!AN319="Standard",_xlfn.XLOOKUP(_xlfn.XLOOKUP(B319,'Base stats'!B:B,'Base stats'!E:E),Groups!A:A,Groups!AU:AU)=0,
      OR(
      BO319="True"
      )
   ),
   10,
   IF(
       OR(BM319&lt;&gt;"No",_xlfn.XLOOKUP(_xlfn.XLOOKUP(B319,'Base stats'!B:B,'Base stats'!E:E),Groups!A:A,Groups!AU:AU)=1),
      1,
      "No"
   )
)</f>
        <v>No</v>
      </c>
      <c r="BR319" s="9">
        <f>MROUND((1 + ((0.2*IF(OR(Q319="No",R319="No",R319=0),0,Q319/R319)
+IF(OR(V319="No",S319="No",T319="No"),0,S319/T319*(LEN(V319)-LEN(SUBSTITUTE(V319,",",""))+1))
+IF(OR(X319="No",Y319="No"),0,X319/Y319)
+IF(OR(AD319="No",AE319="No"),0,AD319/AE319)
+IF(OR(AL319="No",AI319="No",AJ319="No"),0,AI319/AJ319*(LEN(AL319)-LEN(SUBSTITUTE(AL319,",",""))+1))
)/(0.2*IF(OR(Q319="No",R319="No",R319=0),0,1)
+IF(OR(V319="No",S319="No",T319="No"),0,LEN(V319)-LEN(SUBSTITUTE(V319,",",""))+1)
+IF(OR(X319="No",Y319="No"),0,1)
+IF(OR(AD319="No",AE319="No"),0,1)
+IF(OR(AL319="No",AI319="No",AJ319="No"),0,LEN(AL319)-LEN(SUBSTITUTE(AL319,",",""))+1))*62%)* 2)*(1 + (AP319 / (IF(_xlfn.XLOOKUP(_xlfn.XLOOKUP(B319,'Base stats'!B:B,'Base stats'!E:E),Groups!A:A,Groups!AJ:AJ)="Photonozoa",0.3,1)) + _xlfn.XLOOKUP(B319,'Base stats'!B:B,'Base stats'!AV:AV) * 1.8) * 2) * 2.5 + 10 + I319 * 2,5)+IF(_xlfn.XLOOKUP(B319,'Base stats'!B:B,'Base stats'!AK:AK)=1,50,0)</f>
        <v>70</v>
      </c>
      <c r="BS319" s="8">
        <f t="shared" si="33"/>
        <v>0.30000000000000004</v>
      </c>
      <c r="BT319" s="8" t="str">
        <f>_xlfn.XLOOKUP(B319,'Base stats'!B:B,'Base stats'!AF:AF)</f>
        <v>No</v>
      </c>
      <c r="BU319" s="2" t="str">
        <f>IF(AND(J319&lt;=0.95,OR(_xlfn.XLOOKUP(B319,'Base stats'!B:B,'Base stats'!AK:AK)=1,_xlfn.XLOOKUP(B319,'Base stats'!B:B,'Base stats'!Y:Y)="Carnivore",_xlfn.XLOOKUP(B319,'Base stats'!B:B,'Base stats'!Y:Y)="Omnivore",BE319&gt;0.1)),"true","false")</f>
        <v>false</v>
      </c>
      <c r="BV319" s="2" t="str">
        <f>IF(_xlfn.XLOOKUP(B319,'Base stats'!B:B,'Base stats'!AI:AI)=1,"true","false")</f>
        <v>false</v>
      </c>
      <c r="BW319" s="25" t="str">
        <f>IF(E319="BaseInsect","AnimalInsect",
IF(J319&gt;0.95,"AnimalExotic",
_xlfn.TEXTJOIN(", ",TRUE,
IF(OR(_xlfn.XLOOKUP(B319,'Base stats'!B:B,'Base stats'!AM:AM)=1,AND(_xlfn.XLOOKUP(B319,'Base stats'!B:B,'Base stats'!O:O)=0,_xlfn.XLOOKUP(_xlfn.XLOOKUP(B319,'Base stats'!B:B,'Base stats'!E:E),Groups!A:A,Groups!B:B)&gt;0)),"AnimalUncommon","AnimalCommon"),
IF(AND(_xlfn.XLOOKUP(B319,'Base stats'!B:B,'Base stats'!O:O)=2,_xlfn.XLOOKUP(_xlfn.XLOOKUP(B319,'Base stats'!B:B,'Base stats'!E:E),Groups!A:A,Groups!D:D)=0),"AnimalPet",IF(AND(_xlfn.XLOOKUP(B319,'Base stats'!B:B,'Base stats'!O:O)&lt;&gt;0,_xlfn.XLOOKUP(_xlfn.XLOOKUP(B319,'Base stats'!B:B,'Base stats'!E:E),Groups!A:A,Groups!D:D)&lt;&gt;0),"AnimalFarm","")),
IF(OR(_xlfn.XLOOKUP(B319,'Base stats'!B:B,'Base stats'!AK:AK)=1,AND(BI319&lt;&gt;"None",BR319&gt;=60),ISNUMBER(SEARCH("Attack target",BP319))),"AnimalFighter","")
)))</f>
        <v>AnimalUncommon</v>
      </c>
      <c r="BX319" s="25" t="str">
        <f>IF(G319="None",TRIM(
SUBSTITUTE(
IF(COUNTIF(Biomes!B$2:B$259,"="&amp;$C319)&gt;0,Biomes!B$1&amp;", ","")&amp;
IF(COUNTIF(Biomes!C$2:C$259,"="&amp;$C319)&gt;0,Biomes!C$1&amp;", ","")&amp;
IF(COUNTIF(Biomes!D$2:D$259,"="&amp;$C319)&gt;0,Biomes!D$1&amp;", ","")&amp;
IF(COUNTIF(Biomes!F$2:F$259,"="&amp;$C319)&gt;0,Biomes!F$1&amp;", ","")&amp;
IF(COUNTIF(Biomes!G$2:G$259,"="&amp;$C319)&gt;0,Biomes!G$1&amp;", ","")&amp;
IF(COUNTIF(Biomes!H$2:H$259,"="&amp;$C319)&gt;0,Biomes!H$1&amp;", ","")&amp;
IF(COUNTIF(Biomes!I$2:I$259,"="&amp;$C319)&gt;0,Biomes!I$1&amp;", ","")&amp;
IF(COUNTIF(Biomes!J$2:J$259,"="&amp;$C319)&gt;0,Biomes!J$1&amp;", ","")&amp;
IF(COUNTIF(Biomes!M$2:M$259,"="&amp;$C319)&gt;0,Biomes!M$1&amp;", ","")&amp;
IF(COUNTIF(Biomes!N$2:N$259,"="&amp;$C319)&gt;0,Biomes!N$1&amp;", ","")&amp;
IF(COUNTIF(Biomes!O$2:O$259,"="&amp;$C319)&gt;0,Biomes!O$1&amp;", ","")&amp;
IF(COUNTIF(Biomes!P$2:P$259,"="&amp;$C319)&gt;0,Biomes!P$1&amp;", ","")&amp;
IF(COUNTIF(Biomes!K$2:K$259,"="&amp;$C319)&gt;0,Biomes!K$1&amp;", ","")&amp;
IF(COUNTIF(Biomes!Q$3:Q$259,"="&amp;$C319)&gt;0,Biomes!Q$1&amp;", ","")&amp;
IF(COUNTIF(Biomes!L$2:L$259,"="&amp;$C319)&gt;0,Biomes!L$1&amp;", ","")&amp;
IF(COUNTIF(Biomes!E$2:E$259,"="&amp;$C319)&gt;0,Biomes!E$1&amp;", ","")&amp;IF(COUNTIF(Biomes!S$2:S$259,"="&amp;$C319)&gt;0,Biomes!S$1&amp;", ","")&amp;
IF(COUNTIF(Biomes!R$2:R$259,"="&amp;$C319)&gt;0,Biomes!R$1&amp;", ",""),", ","")
),_xlfn.XLOOKUP(B319,B:B,BX:BX))</f>
        <v/>
      </c>
      <c r="BY319" s="25" t="str">
        <f>IF(_xlfn.XLOOKUP(B319,'Base stats'!B:B,'Base stats'!AJ:AJ)=1,"true","false")</f>
        <v>false</v>
      </c>
      <c r="BZ319" s="25">
        <f>IF(_xlfn.XLOOKUP(B319,'Base stats'!B:B,'Base stats'!N:N)=1,"No",MAX(0.001,MIN(MROUND(IF(AND(BJ319="True",CC319="False"),POWER(10,3.47*LOG10(_xlfn.XLOOKUP(B319,'Base stats'!B:B,'Base stats'!C:C)*1000)^-0.96),POWER(10,4.15*LOG10(_xlfn.XLOOKUP(B319,'Base stats'!B:B,'Base stats'!C:C)*1000)^-0.73))*IF(_xlfn.XLOOKUP(B319,'Base stats'!B:B,'Base stats'!AK:AK)=1,0.5,1)*IF(_xlfn.XLOOKUP(B319,'Base stats'!B:B,'Base stats'!AM:AM)=1,0.1,1)/100,IF(_xlfn.XLOOKUP(B319,'Base stats'!B:B,'Base stats'!AM:AM)=1,0.001,0.025)),0.5)))</f>
        <v>2.1000000000000001E-2</v>
      </c>
      <c r="CA319" s="25" t="str">
        <f>IF(P319="Standard","No",MAX(0.001,MIN(MROUND(IF(AND(BJ319="True",CC319="False"),POWER(10,3.47*LOG10(_xlfn.XLOOKUP(B319,'Base stats'!B:B,'Base stats'!C:C)*1000)^-0.96),POWER(10,4.15*LOG10(_xlfn.XLOOKUP(B319,'Base stats'!B:B,'Base stats'!C:C)*1000)^-0.73))*IF(_xlfn.XLOOKUP(B319,'Base stats'!B:B,'Base stats'!AM:AM)=1,0.1,1)*_xlfn.XLOOKUP(B319,'Base stats'!B:B,'Base stats'!R:R)/100,IF(_xlfn.XLOOKUP(B319,'Base stats'!B:B,'Base stats'!AM:AM)=1,0.001,0.025)),0.5)))</f>
        <v>No</v>
      </c>
      <c r="CB319" s="25" t="str">
        <f>IF(_xlfn.XLOOKUP(_xlfn.XLOOKUP(B319,'Base stats'!B:B,'Base stats'!E:E),Groups!A:A,Groups!AJ:AJ)="Mammal","True","False")</f>
        <v>False</v>
      </c>
      <c r="CC319" s="25" t="str">
        <f>IF(OR(_xlfn.XLOOKUP(_xlfn.XLOOKUP(B319,'Base stats'!B:B,'Base stats'!E:E),Groups!A:A,Groups!AJ:AJ)="Reptile",_xlfn.XLOOKUP(_xlfn.XLOOKUP(B319,'Base stats'!B:B,'Base stats'!E:E),Groups!A:A,Groups!AJ:AJ)="Amphibian",_xlfn.XLOOKUP(_xlfn.XLOOKUP(B319,'Base stats'!B:B,'Base stats'!E:E),Groups!A:A,Groups!AJ:AJ)="Invertebrate"),"True","False")</f>
        <v>True</v>
      </c>
      <c r="CD319" s="25" t="str">
        <f t="shared" si="34"/>
        <v>False</v>
      </c>
      <c r="CE319" s="25" t="str">
        <f>IF(_xlfn.XLOOKUP(_xlfn.XLOOKUP(B319,'Base stats'!B:B,'Base stats'!E:E),Groups!A:A,Groups!AX:AX),"True","False")</f>
        <v>True</v>
      </c>
      <c r="CF319" s="25" t="str">
        <f>IF(_xlfn.XLOOKUP(_xlfn.XLOOKUP(B319,'Base stats'!B:B,'Base stats'!E:E),Groups!A:A,Groups!AY:AY),"True","False")</f>
        <v>False</v>
      </c>
      <c r="CG319" s="25" t="str">
        <f>IF(_xlfn.XLOOKUP(_xlfn.XLOOKUP(B319,'Base stats'!B:B,'Base stats'!E:E),Groups!A:A,Groups!AW:AW),"True","False")</f>
        <v>True</v>
      </c>
      <c r="CH319" s="25" t="str">
        <f>IF(
OR(
_xlfn.XLOOKUP(_xlfn.XLOOKUP(B319,'Base stats'!B:B,'Base stats'!E:E),Groups!A:A,Groups!AZ:AZ)=0,
AND(
_xlfn.XLOOKUP(B319,'Base stats'!B:B,'Base stats'!Y:Y)&lt;&gt;"Carnivore",
_xlfn.XLOOKUP(B319,'Base stats'!B:B,'Base stats'!Y:Y)&lt;&gt;"Omnivore",
_xlfn.XLOOKUP(B319,'Base stats'!B:B,'Base stats'!Y:Y)&lt;&gt;"OmnivoreRough"
)
),
"No",
IF(
_xlfn.XLOOKUP(_xlfn.XLOOKUP(B319,'Base stats'!B:B,'Base stats'!E:E),Groups!A:A,Groups!AZ:AZ)=1,
"Flesh",
IF(
_xlfn.XLOOKUP(_xlfn.XLOOKUP(B319,'Base stats'!B:B,'Base stats'!E:E),Groups!A:A,Groups!AZ:AZ)=2,
"Bone",
""
)
)
)</f>
        <v>No</v>
      </c>
      <c r="CI319" s="25" t="str">
        <f>IF(_xlfn.XLOOKUP(_xlfn.XLOOKUP(B319,'Base stats'!B:B,'Base stats'!E:E),Groups!A:A,Groups!BB:BB),"True","False")</f>
        <v>False</v>
      </c>
      <c r="CJ319" s="25" t="str">
        <f>IF(_xlfn.XLOOKUP(_xlfn.XLOOKUP(B319,'Base stats'!B:B,'Base stats'!E:E),Groups!A:A,Groups!BA:BA),"True","False")</f>
        <v>False</v>
      </c>
    </row>
    <row r="320" spans="1:88" ht="16.5" thickTop="1" thickBot="1" x14ac:dyDescent="0.3">
      <c r="A320" s="26" t="s">
        <v>1552</v>
      </c>
      <c r="B320" s="6" t="str">
        <f>_xlfn.XLOOKUP(A320,'Base stats'!A:A,'Base stats'!B:B)</f>
        <v>Sporus ruber</v>
      </c>
      <c r="C320" s="28" t="s">
        <v>1553</v>
      </c>
      <c r="D320" s="28" t="s">
        <v>1341</v>
      </c>
      <c r="E320" s="28" t="s">
        <v>673</v>
      </c>
      <c r="F320" s="28" t="s">
        <v>673</v>
      </c>
      <c r="G320" s="28" t="s">
        <v>673</v>
      </c>
      <c r="H320" s="2">
        <f>MROUND((
  (IF(AND(_xlfn.XLOOKUP(B320,'Base stats'!B:B,'Base stats'!AL:AL)=0,BI320="None",_xlfn.XLOOKUP(_xlfn.XLOOKUP(B320,'Base stats'!B:B,'Base stats'!E:E),Groups!A:A,Groups!B:B)=0), (18 + BR320 * 2.7) * 0.5,
    IF(AND(_xlfn.XLOOKUP(B320,'Base stats'!B:B,'Base stats'!AL:AL)=0,OR(AO320&lt;0.55,AND(BI320="Intermediate",_xlfn.XLOOKUP(_xlfn.XLOOKUP(B320,'Base stats'!B:B,'Base stats'!E:E),Groups!A:A,Groups!B:B)&lt;2))), (18 + BR320 * 2.7),
      IF(OR(BI320="Advanced",_xlfn.XLOOKUP(B320,'Base stats'!B:B,'Base stats'!AL:AL)=1,_xlfn.XLOOKUP(_xlfn.XLOOKUP(B320,'Base stats'!B:B,'Base stats'!E:E),Groups!A:A,Groups!B:B)=2), (18 + BR320 * 2.7) + 250, (18 + BR320 * 2.7))
    )
  ))
  + AO320 * 80
  + IF(COUNTIF(EggMilk!K$2:K$998, A320) &gt; 0, 125, 0)
  + IF(COUNTIF(EggMilk!P$2:P$998, A320) &gt; 0, 90, 0)
  + IF(COUNTIF(EggMilk!A$2:A$998, A320) &gt; 0, 90, 0)
)
* (0.8 + 0.4 * J320)
* 0.75,25)</f>
        <v>600</v>
      </c>
      <c r="I320" s="2">
        <f>MROUND(ROUNDDOWN(_xlfn.XLOOKUP(B320,'Base stats'!B:B,'Base stats'!L:L)/3.6/(23.3/11),1),0.5)</f>
        <v>3</v>
      </c>
      <c r="J320" s="2">
        <f>IF(OR(_xlfn.XLOOKUP(B320,'Base stats'!B:B,'Base stats'!AB:AB)=1,_xlfn.XLOOKUP(_xlfn.XLOOKUP(B320,'Base stats'!B:B,'Base stats'!E:E),Groups!A:A,Groups!C:C)="Untamable"),1,IF(_xlfn.XLOOKUP(B320,'Base stats'!B:B,'Base stats'!AL:AL)=1,0.99,MIN(MROUND((1-0.6282*EXP(-0.459*AO320))*_xlfn.XLOOKUP(_xlfn.XLOOKUP(B320,'Base stats'!B:B,'Base stats'!E:E),Groups!A:A,Groups!C:C)*IF(_xlfn.XLOOKUP(B320,'Base stats'!B:B,'Base stats'!O:O)=1,0.5,IF(_xlfn.XLOOKUP(B320,'Base stats'!B:B,'Base stats'!O:O)=2,0,1)),0.05),IF(AO320&gt;3.5,0.985,0.95))))</f>
        <v>0.75</v>
      </c>
      <c r="K320" s="2">
        <f>ROUNDUP(AO320*_xlfn.XLOOKUP(_xlfn.XLOOKUP(B320,'Base stats'!B:B,'Base stats'!E:E),Groups!A:A,Groups!E:E),0)</f>
        <v>2</v>
      </c>
      <c r="L320" s="2">
        <f>IF(OR(_xlfn.XLOOKUP(_xlfn.XLOOKUP(B320,'Base stats'!B:B,'Base stats'!E:E),Groups!A:A,Groups!F:F)=2,ISNUMBER(SEARCH("SeaIce",BX320)),ISNUMBER(SEARCH("IceSheet",BX320))),-50,IF(OR(ISNUMBER(SEARCH("GlacialPlain",BX320)),ISNUMBER(SEARCH("Tundra",BX320))),-40,IF(OR(ISNUMBER(SEARCH("Alpine",BX320)),ISNUMBER(SEARCH("BorealForest",BX320)),ISNUMBER(SEARCH("ColdBog",BX320))),-30,IF(OR(ISNUMBER(SEARCH("TemperateForest",BX320)),ISNUMBER(SEARCH("TemperateSwamp",BX320))),-20,IF(_xlfn.XLOOKUP(_xlfn.XLOOKUP(B320,'Base stats'!B:B,'Base stats'!E:E),Groups!A:A,Groups!F:F)=1,-15,IF(OR(ISNUMBER(SEARCH("Desert",BX320)),ISNUMBER(SEARCH("ExtremeDesert",BX320))),-10,IF(OR(ISNUMBER(SEARCH("Grasslands",BX320)),ISNUMBER(SEARCH("TropicalRainforest",BX320)),ISNUMBER(SEARCH("TropicalSwamp",BX320))),10,0)))))))-IF(CC320="False",MIN(IFERROR(MAX(MROUND(LOG10(_xlfn.XLOOKUP(B320,'Base stats'!B:B,'Base stats'!C:C)^(2/3))*10,5),5),5),30))-_xlfn.XLOOKUP(B320,'Base stats'!B:B,'Base stats'!P:P)+IF(CC320="True",5,0)</f>
        <v>5</v>
      </c>
      <c r="M320" s="2">
        <f>IF(OR(_xlfn.XLOOKUP(_xlfn.XLOOKUP(B320,'Base stats'!B:B,'Base stats'!E:E),Groups!A:A,Groups!G:G)=2,ISNUMBER(SEARCH("Desert",BX320)),ISNUMBER(SEARCH("ExtremeDesert",BX320)),ISNUMBER(SEARCH("LavaField",BX320))),50,IF(ISNUMBER(SEARCH("Grasslands",BX320)),45,IF(OR(_xlfn.XLOOKUP(_xlfn.XLOOKUP(B320,'Base stats'!B:B,'Base stats'!E:E),Groups!A:A,Groups!G:G)=1,ISNUMBER(SEARCH("TropicalRainforest",BX320)),ISNUMBER(SEARCH("TropicalSwamp",BX320))),40,IF(OR(ISNUMBER(SEARCH("TemperateForest",BX320)),ISNUMBER(SEARCH("TemperateSwamp",BX320))),35,IF(OR(ISNUMBER(SEARCH("Alpine",BX320)),ISNUMBER(SEARCH("BorealForest",BX320)),ISNUMBER(SEARCH("ColdBog",BX320))),30,IF(ISNUMBER(OR(ISNUMBER(SEARCH("GlacialPlain",BX320)),SEARCH("Tundra",BX320))),25,IF(OR(ISNUMBER(SEARCH("SeaIce",BX320)),ISNUMBER(SEARCH("IceSheet",BX320)),ISNUMBER(SEARCH("TropicalSwamp",BX320))),10,35)))))))+_xlfn.XLOOKUP(B320,'Base stats'!B:B,'Base stats'!Q:Q)</f>
        <v>35</v>
      </c>
      <c r="N320" s="8" t="str">
        <f>IF(
_xlfn.XLOOKUP(
_xlfn.XLOOKUP(B320,'Base stats'!B:B,'Base stats'!E:E),
Groups!A:A,
Groups!L:L
)=1,
MIN(
MROUND(
IF(
_xlfn.XLOOKUP(B320,'Animals CE'!B:B,'Animals CE'!Z:Z)&lt;=1.5,
_xlfn.XLOOKUP(B320,'Animals CE'!B:B,'Animals CE'!Z:Z)/2+0.05,
0.8+
(_xlfn.XLOOKUP(B320,'Animals CE'!B:B,'Animals CE'!Z:Z)-1.5)
*0.02
),
0.05
),
200%
),
"No"
)</f>
        <v>No</v>
      </c>
      <c r="O320" s="8" t="str">
        <f>IF(
_xlfn.XLOOKUP(
_xlfn.XLOOKUP(B320,'Base stats'!B:B,'Base stats'!E:E),
Groups!A:A,
Groups!L:L
)=1,
MIN(
MROUND(
IF(
_xlfn.XLOOKUP(B320,'Animals CE'!B:B,'Animals CE'!AA:AA)&lt;=1.5,
_xlfn.XLOOKUP(B320,'Animals CE'!B:B,'Animals CE'!AA:AA)/2+0.05,
0.8+
(_xlfn.XLOOKUP(B320,'Animals CE'!B:B,'Animals CE'!AA:AA)-1.5)
*0.02
),
0.05
),
200%
),
"No"
)</f>
        <v>No</v>
      </c>
      <c r="P320" s="2" t="str">
        <f>_xlfn.XLOOKUP(B320,'Base stats'!B:B,'Base stats'!R:R)</f>
        <v>Standard</v>
      </c>
      <c r="Q320" s="13">
        <f>MROUND((LOG10(_xlfn.XLOOKUP(B320,'Base stats'!B:B,'Base stats'!AR:AR))*(AO320^0.5)+(_xlfn.XLOOKUP(B320,'Base stats'!B:B,'Base stats'!AR:AR)/1000)^(2/3)+_xlfn.XLOOKUP(B320,'Base stats'!B:B,'Base stats'!BA:BA)/2)+0.5,0.5)</f>
        <v>11.5</v>
      </c>
      <c r="R320" s="7">
        <f>IF(Q320="No","No",MAX(1,MROUND(_xlfn.XLOOKUP(B320,'Base stats'!B:B,'Base stats'!C:C)^0.165,0.05)))</f>
        <v>2.4500000000000002</v>
      </c>
      <c r="S320" s="13" t="str">
        <f>IF(_xlfn.XLOOKUP(_xlfn.XLOOKUP(B320,'Base stats'!B:B,'Base stats'!E:E),Groups!A:A,Groups!P:P)=0,"No",MROUND((LOG10(_xlfn.XLOOKUP(B320,'Base stats'!B:B,'Base stats'!AS:AS))*(AO320^0.5)+(_xlfn.XLOOKUP(B320,'Base stats'!B:B,'Base stats'!AS:AS)/1000)^(2/3)+_xlfn.XLOOKUP(B320,'Base stats'!B:B,'Base stats'!BA:BA))+_xlfn.XLOOKUP(B320,'Base stats'!B:B,'Base stats'!AY:AY)+0.5,0.5))</f>
        <v>No</v>
      </c>
      <c r="T320" s="7" t="str">
        <f>IF(S320="No","No",MAX(_xlfn.XLOOKUP(_xlfn.XLOOKUP(B320,'Base stats'!B:B,'Base stats'!E:E),Groups!A:A,Groups!Q:Q),MROUND(_xlfn.XLOOKUP(_xlfn.XLOOKUP(B320,'Base stats'!B:B,'Base stats'!E:E),Groups!A:A,Groups!Q:Q)*_xlfn.XLOOKUP(B320,'Base stats'!B:B,'Base stats'!C:C)^0.165,0.05)))</f>
        <v>No</v>
      </c>
      <c r="U320" s="7" t="str">
        <f>IF(S320="No","No",_xlfn.XLOOKUP(_xlfn.XLOOKUP(B320,'Base stats'!B:B,'Base stats'!E:E),Groups!A:A,Groups!R:R))</f>
        <v>No</v>
      </c>
      <c r="V320" s="7" t="str">
        <f>IF(S320="No","No",_xlfn.XLOOKUP(_xlfn.XLOOKUP(B320,'Base stats'!B:B,'Base stats'!E:E),Groups!A:A,Groups!S:S))</f>
        <v>No</v>
      </c>
      <c r="W320" s="7" t="str">
        <f>IF(S320="No","No",_xlfn.XLOOKUP(_xlfn.XLOOKUP(B320,'Base stats'!B:B,'Base stats'!E:E),Groups!A:A,Groups!T:T))</f>
        <v>No</v>
      </c>
      <c r="X320" s="13" t="str">
        <f>IF(_xlfn.XLOOKUP(B320,'Base stats'!B:B,'Base stats'!W:W)="No","No",MROUND((LOG10(_xlfn.XLOOKUP(B320,'Base stats'!B:B,'Base stats'!AU:AU))*(AO320^0.5)+(_xlfn.XLOOKUP(B320,'Base stats'!B:B,'Base stats'!AU:AU)/1000)^(2/3)+_xlfn.XLOOKUP(B320,'Base stats'!B:B,'Base stats'!AZ:AZ))+0.5+IF(_xlfn.XLOOKUP(_xlfn.XLOOKUP(B320,'Base stats'!B:B,'Base stats'!E:E),Groups!A:A,Groups!U:U)&lt;&gt;3,_xlfn.XLOOKUP(B320,'Base stats'!B:B,'Base stats'!BA:BA),0),0.5))</f>
        <v>No</v>
      </c>
      <c r="Y320" s="7" t="str">
        <f>IF(X320="No","No",MAX(_xlfn.XLOOKUP(_xlfn.XLOOKUP(B320,'Base stats'!B:B,'Base stats'!E:E),Groups!A:A,Groups!V:V),MROUND(_xlfn.XLOOKUP(_xlfn.XLOOKUP(B320,'Base stats'!B:B,'Base stats'!E:E),Groups!A:A,Groups!V:V)*_xlfn.XLOOKUP(B320,'Base stats'!B:B,'Base stats'!C:C)^0.165,0.05)))</f>
        <v>No</v>
      </c>
      <c r="Z320" s="7" t="str">
        <f>IF(X320="No","No",_xlfn.XLOOKUP(_xlfn.XLOOKUP(B320,'Base stats'!B:B,'Base stats'!E:E),Groups!A:A,Groups!W:W))</f>
        <v>No</v>
      </c>
      <c r="AA320" s="7" t="str">
        <f>IF(X320="No","No",_xlfn.XLOOKUP(_xlfn.XLOOKUP(B320,'Base stats'!B:B,'Base stats'!E:E),Groups!A:A,Groups!X:X))</f>
        <v>No</v>
      </c>
      <c r="AB320" s="7" t="str">
        <f>IF(X320="No","No",_xlfn.XLOOKUP(_xlfn.XLOOKUP(B320,'Base stats'!B:B,'Base stats'!E:E),Groups!A:A,Groups!Y:Y))</f>
        <v>No</v>
      </c>
      <c r="AC320" s="7" t="str">
        <f>_xlfn.XLOOKUP(Animals!B320,'Base stats'!B:B,'Base stats'!X:X)</f>
        <v>False</v>
      </c>
      <c r="AD320" s="13" t="str">
        <f>IF(_xlfn.XLOOKUP(B320,'Base stats'!B:B,'Base stats'!AT:AT)="No","No",MROUND((LOG10(_xlfn.XLOOKUP(B320,'Base stats'!B:B,'Base stats'!AT:AT))*(AO320^0.75)+(_xlfn.XLOOKUP(B320,'Base stats'!B:B,'Base stats'!AT:AT)/1000)^(2/3)+_xlfn.XLOOKUP(B320,'Base stats'!B:B,'Base stats'!AX:AX)+_xlfn.XLOOKUP(B320,'Base stats'!B:B,'Base stats'!BA:BA))+0.5,0.5))</f>
        <v>No</v>
      </c>
      <c r="AE320" s="7" t="str">
        <f>IF(AD320="No","No",MAX(_xlfn.XLOOKUP(_xlfn.XLOOKUP(B320,'Base stats'!B:B,'Base stats'!E:E),Groups!A:A,Groups!Z:Z),MROUND(_xlfn.XLOOKUP(_xlfn.XLOOKUP(B320,'Base stats'!B:B,'Base stats'!E:E),Groups!A:A,Groups!Z:Z)*_xlfn.XLOOKUP(B320,'Base stats'!B:B,'Base stats'!C:C)^0.165,0.05)))</f>
        <v>No</v>
      </c>
      <c r="AF320" s="7" t="str">
        <f>IF(AD320="No","No",_xlfn.XLOOKUP(_xlfn.XLOOKUP(B320,'Base stats'!B:B,'Base stats'!E:E),Groups!A:A,Groups!AA:AA))</f>
        <v>No</v>
      </c>
      <c r="AG320" s="7" t="str">
        <f>IF(AD320="No","No",_xlfn.XLOOKUP(_xlfn.XLOOKUP(B320,'Base stats'!B:B,'Base stats'!E:E),Groups!A:A,Groups!AB:AB))</f>
        <v>No</v>
      </c>
      <c r="AH320" s="7" t="str">
        <f>IF(AD320="No","No",_xlfn.XLOOKUP(_xlfn.XLOOKUP(B320,'Base stats'!B:B,'Base stats'!E:E),Groups!A:A,Groups!AC:AC))</f>
        <v>No</v>
      </c>
      <c r="AI320" s="13">
        <f>IF(_xlfn.XLOOKUP(_xlfn.XLOOKUP(B320,'Base stats'!B:B,'Base stats'!E:E),Groups!A:A,Groups!AD:AD)=0,"No",MROUND((LOG10(_xlfn.XLOOKUP(B320,'Base stats'!B:B,'Base stats'!AS:AS))*(AO320^0.75)+(_xlfn.XLOOKUP(B320,'Base stats'!B:B,'Base stats'!AS:AS)/1000)^(2/3)+_xlfn.XLOOKUP(B320,'Base stats'!B:B,'Base stats'!AY:AY)+_xlfn.XLOOKUP(B320,'Base stats'!B:B,'Base stats'!BA:BA))+0.5,0.5))</f>
        <v>15.5</v>
      </c>
      <c r="AJ320" s="7">
        <f>IF(AI320="No","No",MAX(_xlfn.XLOOKUP(_xlfn.XLOOKUP(B320,'Base stats'!B:B,'Base stats'!E:E),Groups!A:A,Groups!AE:AE),MROUND(_xlfn.XLOOKUP(_xlfn.XLOOKUP(B320,'Base stats'!B:B,'Base stats'!E:E),Groups!A:A,Groups!AE:AE)*IF(_xlfn.XLOOKUP(_xlfn.XLOOKUP(B320,'Base stats'!B:B,'Base stats'!E:E),Groups!A:A,Groups!AJ:AJ)="Photonozoa",0.6,1)*_xlfn.XLOOKUP(B320,'Base stats'!B:B,'Base stats'!C:C)^0.165,0.05)))</f>
        <v>1.85</v>
      </c>
      <c r="AK320" s="7" t="str">
        <f>IF(AI320="No","No",_xlfn.XLOOKUP(_xlfn.XLOOKUP(B320,'Base stats'!B:B,'Base stats'!E:E),Groups!A:A,Groups!AF:AF))</f>
        <v>Arms</v>
      </c>
      <c r="AL320" s="7" t="str">
        <f>IF(AI320="No","No",_xlfn.XLOOKUP(_xlfn.XLOOKUP(B320,'Base stats'!B:B,'Base stats'!E:E),Groups!A:A,Groups!AG:AG))</f>
        <v>tentacles</v>
      </c>
      <c r="AM320" s="7" t="str">
        <f>IF(AI320="No","No",_xlfn.XLOOKUP(_xlfn.XLOOKUP(B320,'Base stats'!B:B,'Base stats'!E:E),Groups!A:A,Groups!AH:AH))</f>
        <v>Blunt</v>
      </c>
      <c r="AN320" s="2" t="str">
        <f t="shared" si="28"/>
        <v>No</v>
      </c>
      <c r="AO320" s="2">
        <f>MROUND(IF(AND(_xlfn.XLOOKUP(B320,'Base stats'!B:B,'Base stats'!C:C)&gt;=0.5,_xlfn.XLOOKUP(B320,'Base stats'!B:B,'Base stats'!C:C)&lt;=0.8),
IF(_xlfn.XLOOKUP(B320,'Base stats'!B:B,'Base stats'!C:C)&lt;0.1,0.05,IF(_xlfn.XLOOKUP(B320,'Base stats'!B:B,'Base stats'!C:C)&lt;=70,(_xlfn.XLOOKUP(B320,'Base stats'!B:B,'Base stats'!C:C)/70)^0.426489913056526,IF(_xlfn.XLOOKUP(B320,'Base stats'!B:B,'Base stats'!C:C)&lt;=400,(_xlfn.XLOOKUP(B320,'Base stats'!B:B,'Base stats'!C:C)/70)^0.572811455315093,IF(_xlfn.XLOOKUP(B320,'Base stats'!B:B,'Base stats'!C:C)&lt;=2000,2.71391647193063*(_xlfn.XLOOKUP(B320,'Base stats'!B:B,'Base stats'!C:C)/400)^0.252459582904293,3.74314280240376*(_xlfn.XLOOKUP(B320,'Base stats'!B:B,'Base stats'!C:C)/2000)^0.357012633876913)))),
IF(_xlfn.XLOOKUP(B320,'Base stats'!B:B,'Base stats'!C:C)&lt;0.1,0.05,IF(_xlfn.XLOOKUP(B320,'Base stats'!B:B,'Base stats'!C:C)&lt;0.4,0.1,IF(_xlfn.XLOOKUP(B320,'Base stats'!B:B,'Base stats'!C:C)&lt;=70,(_xlfn.XLOOKUP(B320,'Base stats'!B:B,'Base stats'!C:C)/70)^0.445823913056526,IF(_xlfn.XLOOKUP(B320,'Base stats'!B:B,'Base stats'!C:C)&lt;=400,(_xlfn.XLOOKUP(B320,'Base stats'!B:B,'Base stats'!C:C)/70)^0.572811455315093,IF(_xlfn.XLOOKUP(B320,'Base stats'!B:B,'Base stats'!C:C)&lt;=2000,2.71391647193063*(_xlfn.XLOOKUP(B320,'Base stats'!B:B,'Base stats'!C:C)/400)^0.252459582904293,3.74314280240376*(_xlfn.XLOOKUP(B320,'Base stats'!B:B,'Base stats'!C:C)/2000)^0.357012633876913)))))),
IF(_xlfn.XLOOKUP(B320,'Base stats'!B:B,'Base stats'!C:C)&lt;0.1,0.05,IF(_xlfn.XLOOKUP(B320,'Base stats'!B:B,'Base stats'!C:C)&lt;=100,0.05,IF(_xlfn.XLOOKUP(B320,'Base stats'!B:B,'Base stats'!C:C)&lt;=250,0.1,IF(_xlfn.XLOOKUP(B320,'Base stats'!B:B,'Base stats'!C:C)&lt;=4000,0.25,0.5)))))</f>
        <v>2</v>
      </c>
      <c r="AP320" s="8">
        <f>MROUND(AO320*_xlfn.XLOOKUP(_xlfn.XLOOKUP(B320,'Base stats'!B:B,'Base stats'!E:E),Groups!A:A,Groups!AI:AI)*_xlfn.XLOOKUP(B320,'Base stats'!B:B,'Base stats'!Z:Z),0.05)</f>
        <v>2</v>
      </c>
      <c r="AQ320" s="8">
        <f>MAX(0.01,MROUND(IF(CC320="True",0.196*(AO320*100*1000)^0.889,IF(_xlfn.XLOOKUP(_xlfn.XLOOKUP(B320,'Base stats'!B:B,'Base stats'!E:E),Groups!A:A,Groups!AJ:AJ)="Bird",10.5*(AO320*100*1000)^0.681,4.82*(AO320*100*1000)^0.734))/(4.82*(1*100*1000)^0.734)/IF(AO320&lt;3.5,2,IF(AO320=3.5,1.5,1.25))*(1+0.132282374779864/(AO320^0.994035016789033+0.00905238001496948)),0.05))</f>
        <v>0.25</v>
      </c>
      <c r="AR320" s="9">
        <f>IFERROR(MROUND(_xlfn.XLOOKUP(B320,'Base stats'!B:B,'Base stats'!H:H)/IF(_xlfn.XLOOKUP(B320,'Base stats'!B:B,'Base stats'!I:I)&lt;&gt;1,(122.5/70),1.2),IF(_xlfn.XLOOKUP(B320,'Base stats'!B:B,'Base stats'!H:H)&gt;=30,5,IF(_xlfn.XLOOKUP(B320,'Base stats'!B:B,'Base stats'!H:H)&gt;=15,3,IF(_xlfn.XLOOKUP(B320,'Base stats'!B:B,'Base stats'!H:H)&gt;=10,2,1)))),"Immortal")</f>
        <v>3</v>
      </c>
      <c r="AS320" s="35" t="str">
        <f>IFERROR(IF(OR(_xlfn.XLOOKUP(B320,'Base stats'!B:B,'Base stats'!F:F)="Atypical reproduction",_xlfn.XLOOKUP(B320,'Base stats'!B:B,'Base stats'!F:F)="Lay eggs"),"Lay eggs",MIN(20,MAX(5.5,ROUND(((_xlfn.XLOOKUP(B320,'Base stats'!B:B,'Base stats'!F:F)-25)*(14.5/615) + 5.5)*2,0)/2))),"Unknown")</f>
        <v>Lay eggs</v>
      </c>
      <c r="AT320" s="8">
        <f>IF(_xlfn.XLOOKUP(B320,'Base stats'!B:B,'Base stats'!G:G)="Atypical reproduction","No",IFERROR(MAX(IF(_xlfn.XLOOKUP(B320,'Base stats'!B:B,'Base stats'!G:G)&lt;0.5,0.2,0.3),MROUND(_xlfn.XLOOKUP(B320,'Base stats'!B:B,'Base stats'!G:G)/(365/60),0.2)),"Unknown"))</f>
        <v>0.3</v>
      </c>
      <c r="AU320" s="8">
        <f t="shared" si="29"/>
        <v>0.15000000000000002</v>
      </c>
      <c r="AV320" s="8" t="str">
        <f>IFERROR(IFERROR(MROUND(_xlfn.XLOOKUP(B320,'Base stats'!B:B,'Base stats'!J:J),0.1),"Lay eggs"),"Cannot breed")</f>
        <v>Lay eggs</v>
      </c>
      <c r="AW320" s="2" t="str">
        <f t="shared" si="30"/>
        <v>false</v>
      </c>
      <c r="AX320" s="2" t="str">
        <f>IF(_xlfn.XLOOKUP(_xlfn.XLOOKUP(Animals!B320,'Base stats'!B:B,'Base stats'!E:E),Groups!A:A,Groups!AK:AK)=1,"true","false")</f>
        <v>false</v>
      </c>
      <c r="AY320" s="25" t="str">
        <f>IF(_xlfn.XLOOKUP(B320,'Base stats'!B:B,'Base stats'!Y:Y)="Liquor","Liquor, CarnivoreAnimalStrict",IF(AND(_xlfn.XLOOKUP(B320,'Base stats'!B:B,'Base stats'!Y:Y)="Carnivore",_xlfn.XLOOKUP(_xlfn.XLOOKUP(B320,'Base stats'!B:B,'Base stats'!E:E),Groups!A:A,Groups!AJ:AJ)="Photonozoa"),"CarnivoreAnimalStrict, OvivoreAnimal",IF(_xlfn.XLOOKUP(B320,'Base stats'!B:B,'Base stats'!Y:Y)="Carnivore","CarnivoreAnimal, OvivoreAnimal",IF(_xlfn.XLOOKUP(B320,'Base stats'!B:B,'Base stats'!Y:Y)="Dendrovore","VegetarianRoughAnimal, DendrovoreAnimal",IF(_xlfn.XLOOKUP(B320,'Base stats'!B:B,'Base stats'!Y:Y)="Herbivore","VegetarianRoughAnimal",IF(_xlfn.XLOOKUP(B320,'Base stats'!B:B,'Base stats'!Y:Y)="OmnivoreRough","OmnivoreRoughAnimal, OvivoreAnimal","OmnivoreAnimal, OvivoreAnimal"))))))</f>
        <v>VegetarianRoughAnimal</v>
      </c>
      <c r="AZ320" s="2">
        <f>IF(_xlfn.XLOOKUP(_xlfn.XLOOKUP(B320,'Base stats'!B:B,'Base stats'!E:E),Groups!A:A,Groups!D:D)=1,MROUND((1-J320)*5+1,2)*IF(J320&lt;=0.4,2,1),"No")</f>
        <v>2</v>
      </c>
      <c r="BA320" s="2" t="str">
        <f>IF(AND(_xlfn.XLOOKUP(B320,'Base stats'!B:B,'Base stats'!AH:AH)="&lt;li&gt;Seal&lt;/li&gt;",G320="Odyssey"),"&lt;li&gt;AEXP_Seal&lt;/li&gt;",_xlfn.XLOOKUP(B320,'Base stats'!B:B,'Base stats'!AH:AH))</f>
        <v>&lt;li&gt;Megaspider&lt;/li&gt;</v>
      </c>
      <c r="BB320" s="2" t="str">
        <f>_xlfn.XLOOKUP(B320,'Base stats'!B:B,'Base stats'!AG:AG)</f>
        <v>No</v>
      </c>
      <c r="BC320" s="23" t="str">
        <f>_xlfn.XLOOKUP(_xlfn.XLOOKUP(B320,'Base stats'!B:B,'Base stats'!E:E),Groups!A:A,Groups!AL:AL)</f>
        <v>Jellyfish</v>
      </c>
      <c r="BD320" s="23">
        <f>MIN(1,MROUND(IF(AND(AO320&lt;0.5,_xlfn.XLOOKUP(B320,'Base stats'!B:B,'Base stats'!AA:AA)=0),0,IF(OR(_xlfn.XLOOKUP(Animals!B320,'Base stats'!B:B,'Base stats'!O:O)=2,_xlfn.XLOOKUP(_xlfn.XLOOKUP(B320,'Base stats'!B:B,'Base stats'!E:E),Groups!A:A,Groups!AN:AN)=0),0,_xlfn.XLOOKUP(_xlfn.XLOOKUP(B320,'Base stats'!B:B,'Base stats'!E:E),Groups!A:A,Groups!AN:AN)/IF(_xlfn.XLOOKUP(Animals!B320,'Base stats'!B:B,'Base stats'!O:O)=1,2,1)))+_xlfn.XLOOKUP(B320,'Base stats'!B:B,'Base stats'!AC:AC),0.005))</f>
        <v>0</v>
      </c>
      <c r="BE320" s="23">
        <f>MIN(1,MROUND(IF(AND(AO320&lt;0.5,_xlfn.XLOOKUP(B320,'Base stats'!B:B,'Base stats'!AA:AA)=0),0,IF(_xlfn.XLOOKUP(_xlfn.XLOOKUP(B320,'Base stats'!B:B,'Base stats'!E:E),Groups!A:A,Groups!AO:AO)=0,0,_xlfn.XLOOKUP(_xlfn.XLOOKUP(B320,'Base stats'!B:B,'Base stats'!E:E),Groups!A:A,Groups!AO:AO)/IF(_xlfn.XLOOKUP(Animals!B320,'Base stats'!B:B,'Base stats'!O:O)=2,3,1)))+_xlfn.XLOOKUP(B320,'Base stats'!B:B,'Base stats'!AD:AD),0.005))</f>
        <v>0</v>
      </c>
      <c r="BF320" s="2" t="str">
        <f>IF(J320&gt;0.3,"No",_xlfn.XLOOKUP(_xlfn.XLOOKUP(Animals!B320,'Base stats'!B:B,'Base stats'!E:E),Groups!A:A,Groups!AP:AP))</f>
        <v>No</v>
      </c>
      <c r="BG320" s="2" t="str">
        <f>IF(AND(J320&lt;=0.65,_xlfn.XLOOKUP(_xlfn.XLOOKUP(Animals!B320,'Base stats'!B:B,'Base stats'!E:E),Groups!A:A,Groups!AP:AP)&lt;&gt;"No",_xlfn.XLOOKUP(_xlfn.XLOOKUP(B320,'Base stats'!B:B,'Base stats'!E:E),Groups!A:A,Groups!D:D)=0),MROUND((80/3)*IF(_xlfn.XLOOKUP(B320,'Base stats'!B:B,'Base stats'!O:O)=2,0.2,AO320) + 24*(1-IF(BF320="No",0,BF320)) + 16/3, 12),"No")</f>
        <v>No</v>
      </c>
      <c r="BH320" s="2">
        <f>IF(AND(_xlfn.XLOOKUP(_xlfn.XLOOKUP(B320,'Base stats'!B:B,'Base stats'!E:E),Groups!A:A,Groups!AQ:AQ)=1,AO320&lt;=0.35),8,12)</f>
        <v>12</v>
      </c>
      <c r="BI320" s="2" t="str">
        <f>IF(_xlfn.XLOOKUP(_xlfn.XLOOKUP(B320,'Base stats'!B:B,'Base stats'!E:E),Groups!A:A,Groups!D:D)=0,_xlfn.XLOOKUP(_xlfn.XLOOKUP(B320,'Base stats'!B:B,'Base stats'!E:E),Groups!A:A,Groups!AR:AR),"None")</f>
        <v>None</v>
      </c>
      <c r="BJ320" s="2" t="str">
        <f>IF(AND(_xlfn.XLOOKUP(_xlfn.XLOOKUP(B320,'Base stats'!B:B,'Base stats'!E:E),Groups!A:A,Groups!AS:AS)=1,OR(_xlfn.XLOOKUP(B320,'Base stats'!B:B,'Base stats'!Y:Y)="Carnivore",_xlfn.XLOOKUP(B320,'Base stats'!B:B,'Base stats'!Y:Y)="Omnivore")),"true","false")</f>
        <v>false</v>
      </c>
      <c r="BK320" s="2" t="str">
        <f>IF(BJ320="true",MROUND(IF(AND(AO320&gt;0.5,OR(_xlfn.XLOOKUP(_xlfn.XLOOKUP(B320,'Base stats'!B:B,'Base stats'!E:E),Groups!A:A,Groups!AJ:AJ)="Photonozoa",_xlfn.XLOOKUP(_xlfn.XLOOKUP(B320,'Base stats'!B:B,'Base stats'!E:E),Groups!A:A,Groups!AJ:AJ)="Mammal")),Animals!AO320*1.75*IF(AW320="true",1.5,1),IF(AO320&lt;0.5,Animals!AO320*0.5,Animals!AO320)),IF(AO320&gt;2,0.5,IF(AO320&gt;0.5,0.25,0.1))),"No")</f>
        <v>No</v>
      </c>
      <c r="BL320" s="2">
        <f t="shared" si="31"/>
        <v>0</v>
      </c>
      <c r="BM320" s="25" t="str">
        <f>IF(_xlfn.XLOOKUP(B320,'Base stats'!B:B,'Base stats'!AN:AN)="Standard","No",MROUND((_xlfn.XLOOKUP(B320,'Base stats'!B:B,'Base stats'!AN:AN)/3.6)/I320,0.1))</f>
        <v>No</v>
      </c>
      <c r="BN320" s="25" t="str">
        <f t="shared" si="32"/>
        <v>false</v>
      </c>
      <c r="BO320" s="25" t="str">
        <f>IF(AND(OR(_xlfn.XLOOKUP(B320,'Base stats'!B:B,'Base stats'!Y:Y)="Carnivore",_xlfn.XLOOKUP(B320,'Base stats'!B:B,'Base stats'!Y:Y)="Omnivore",_xlfn.XLOOKUP(B320,'Base stats'!B:B,'Base stats'!Y:Y)="OmnivoreRough"),_xlfn.XLOOKUP(_xlfn.XLOOKUP(B320,'Base stats'!B:B,'Base stats'!E:E),Groups!A:A,Groups!AT:AT)=1),"true","false")</f>
        <v>false</v>
      </c>
      <c r="BP320" s="25" t="str" cm="1">
        <f t="array" ref="BP320">IF(
  _xlfn.TEXTJOIN(", ",TRUE,
    IF(AND(BJ320="true",AO320&gt;0.5,BI320&lt;&gt;"None"),"AttackTarget",""),
    IF(AND(_xlfn.XLOOKUP(_xlfn.XLOOKUP(B320,'Base stats'!B:B,'Base stats'!E:E),Groups!A:A,Groups!AJ:AJ="Mammal"),OR(_xlfn.XLOOKUP(B320,'Base stats'!B:B,'Base stats'!Y:Y)="Omnivore",_xlfn.XLOOKUP(B320,'Base stats'!B:B,'Base stats'!Y:Y)="OmnivoreRough")),"Forage",""),
    IF(BG320&lt;=36,"Comfort",""),
    IF(_xlfn.XLOOKUP(B320,'Base stats'!B:B,'Base stats'!AE:AE)&lt;&gt;"No",_xlfn.XLOOKUP(B320,'Base stats'!B:B,'Base stats'!AE:AE),"")
  ) = "",
  "No",
  _xlfn.TEXTJOIN(", ",TRUE,
    IF(AND(BJ320="true",AO320&gt;0.5,BI320&lt;&gt;"None"),"AttackTarget",""),
    IF(AND(_xlfn.XLOOKUP(_xlfn.XLOOKUP(B320,'Base stats'!B:B,'Base stats'!E:E),Groups!A:A,Groups!AJ:AJ="Mammal"),OR(_xlfn.XLOOKUP(B320,'Base stats'!B:B,'Base stats'!Y:Y)="Omnivore",_xlfn.XLOOKUP(B320,'Base stats'!B:B,'Base stats'!Y:Y)="OmnivoreRough")),"Forage",""),
    IF(BG320&lt;=36,"Comfort",""),
    IF(_xlfn.XLOOKUP(B320,'Base stats'!B:B,'Base stats'!AE:AE)&lt;&gt;"No",_xlfn.XLOOKUP(B320,'Base stats'!B:B,'Base stats'!AE:AE),"")
  )
)</f>
        <v>No</v>
      </c>
      <c r="BQ320" s="25" t="str">
        <f>IF(
   AND(
      'Base stats'!AN320="Standard",_xlfn.XLOOKUP(_xlfn.XLOOKUP(B320,'Base stats'!B:B,'Base stats'!E:E),Groups!A:A,Groups!AU:AU)=0,
      OR(
      BO320="True"
      )
   ),
   10,
   IF(
       OR(BM320&lt;&gt;"No",_xlfn.XLOOKUP(_xlfn.XLOOKUP(B320,'Base stats'!B:B,'Base stats'!E:E),Groups!A:A,Groups!AU:AU)=1),
      1,
      "No"
   )
)</f>
        <v>No</v>
      </c>
      <c r="BR320" s="9">
        <f>MROUND((1 + ((0.2*IF(OR(Q320="No",R320="No",R320=0),0,Q320/R320)
+IF(OR(V320="No",S320="No",T320="No"),0,S320/T320*(LEN(V320)-LEN(SUBSTITUTE(V320,",",""))+1))
+IF(OR(X320="No",Y320="No"),0,X320/Y320)
+IF(OR(AD320="No",AE320="No"),0,AD320/AE320)
+IF(OR(AL320="No",AI320="No",AJ320="No"),0,AI320/AJ320*(LEN(AL320)-LEN(SUBSTITUTE(AL320,",",""))+1))
)/(0.2*IF(OR(Q320="No",R320="No",R320=0),0,1)
+IF(OR(V320="No",S320="No",T320="No"),0,LEN(V320)-LEN(SUBSTITUTE(V320,",",""))+1)
+IF(OR(X320="No",Y320="No"),0,1)
+IF(OR(AD320="No",AE320="No"),0,1)
+IF(OR(AL320="No",AI320="No",AJ320="No"),0,LEN(AL320)-LEN(SUBSTITUTE(AL320,",",""))+1))*62%)* 2)*(1 + (AP320 / (IF(_xlfn.XLOOKUP(_xlfn.XLOOKUP(B320,'Base stats'!B:B,'Base stats'!E:E),Groups!A:A,Groups!AJ:AJ)="Photonozoa",0.3,1)) + _xlfn.XLOOKUP(B320,'Base stats'!B:B,'Base stats'!AV:AV) * 1.8) * 2) * 2.5 + 10 + I320 * 2,5)+IF(_xlfn.XLOOKUP(B320,'Base stats'!B:B,'Base stats'!AK:AK)=1,50,0)</f>
        <v>200</v>
      </c>
      <c r="BS320" s="8">
        <f t="shared" si="33"/>
        <v>0.60000000000000009</v>
      </c>
      <c r="BT320" s="8" t="str">
        <f>_xlfn.XLOOKUP(B320,'Base stats'!B:B,'Base stats'!AF:AF)</f>
        <v>No</v>
      </c>
      <c r="BU320" s="2" t="str">
        <f>IF(AND(J320&lt;=0.95,OR(_xlfn.XLOOKUP(B320,'Base stats'!B:B,'Base stats'!AK:AK)=1,_xlfn.XLOOKUP(B320,'Base stats'!B:B,'Base stats'!Y:Y)="Carnivore",_xlfn.XLOOKUP(B320,'Base stats'!B:B,'Base stats'!Y:Y)="Omnivore",BE320&gt;0.1)),"true","false")</f>
        <v>true</v>
      </c>
      <c r="BV320" s="2" t="str">
        <f>IF(_xlfn.XLOOKUP(B320,'Base stats'!B:B,'Base stats'!AI:AI)=1,"true","false")</f>
        <v>false</v>
      </c>
      <c r="BW320" s="25" t="str">
        <f>IF(E320="BaseInsect","AnimalInsect",
IF(J320&gt;0.95,"AnimalExotic",
_xlfn.TEXTJOIN(", ",TRUE,
IF(OR(_xlfn.XLOOKUP(B320,'Base stats'!B:B,'Base stats'!AM:AM)=1,AND(_xlfn.XLOOKUP(B320,'Base stats'!B:B,'Base stats'!O:O)=0,_xlfn.XLOOKUP(_xlfn.XLOOKUP(B320,'Base stats'!B:B,'Base stats'!E:E),Groups!A:A,Groups!B:B)&gt;0)),"AnimalUncommon","AnimalCommon"),
IF(AND(_xlfn.XLOOKUP(B320,'Base stats'!B:B,'Base stats'!O:O)=2,_xlfn.XLOOKUP(_xlfn.XLOOKUP(B320,'Base stats'!B:B,'Base stats'!E:E),Groups!A:A,Groups!D:D)=0),"AnimalPet",IF(AND(_xlfn.XLOOKUP(B320,'Base stats'!B:B,'Base stats'!O:O)&lt;&gt;0,_xlfn.XLOOKUP(_xlfn.XLOOKUP(B320,'Base stats'!B:B,'Base stats'!E:E),Groups!A:A,Groups!D:D)&lt;&gt;0),"AnimalFarm","")),
IF(OR(_xlfn.XLOOKUP(B320,'Base stats'!B:B,'Base stats'!AK:AK)=1,AND(BI320&lt;&gt;"None",BR320&gt;=60),ISNUMBER(SEARCH("Attack target",BP320))),"AnimalFighter","")
)))</f>
        <v>AnimalUncommon, AnimalFighter</v>
      </c>
      <c r="BX320" s="25" t="str">
        <f>IF(G320="None",TRIM(
SUBSTITUTE(
IF(COUNTIF(Biomes!B$2:B$259,"="&amp;$C320)&gt;0,Biomes!B$1&amp;", ","")&amp;
IF(COUNTIF(Biomes!C$2:C$259,"="&amp;$C320)&gt;0,Biomes!C$1&amp;", ","")&amp;
IF(COUNTIF(Biomes!D$2:D$259,"="&amp;$C320)&gt;0,Biomes!D$1&amp;", ","")&amp;
IF(COUNTIF(Biomes!F$2:F$259,"="&amp;$C320)&gt;0,Biomes!F$1&amp;", ","")&amp;
IF(COUNTIF(Biomes!G$2:G$259,"="&amp;$C320)&gt;0,Biomes!G$1&amp;", ","")&amp;
IF(COUNTIF(Biomes!H$2:H$259,"="&amp;$C320)&gt;0,Biomes!H$1&amp;", ","")&amp;
IF(COUNTIF(Biomes!I$2:I$259,"="&amp;$C320)&gt;0,Biomes!I$1&amp;", ","")&amp;
IF(COUNTIF(Biomes!J$2:J$259,"="&amp;$C320)&gt;0,Biomes!J$1&amp;", ","")&amp;
IF(COUNTIF(Biomes!M$2:M$259,"="&amp;$C320)&gt;0,Biomes!M$1&amp;", ","")&amp;
IF(COUNTIF(Biomes!N$2:N$259,"="&amp;$C320)&gt;0,Biomes!N$1&amp;", ","")&amp;
IF(COUNTIF(Biomes!O$2:O$259,"="&amp;$C320)&gt;0,Biomes!O$1&amp;", ","")&amp;
IF(COUNTIF(Biomes!P$2:P$259,"="&amp;$C320)&gt;0,Biomes!P$1&amp;", ","")&amp;
IF(COUNTIF(Biomes!K$2:K$259,"="&amp;$C320)&gt;0,Biomes!K$1&amp;", ","")&amp;
IF(COUNTIF(Biomes!Q$3:Q$259,"="&amp;$C320)&gt;0,Biomes!Q$1&amp;", ","")&amp;
IF(COUNTIF(Biomes!L$2:L$259,"="&amp;$C320)&gt;0,Biomes!L$1&amp;", ","")&amp;
IF(COUNTIF(Biomes!E$2:E$259,"="&amp;$C320)&gt;0,Biomes!E$1&amp;", ","")&amp;IF(COUNTIF(Biomes!S$2:S$259,"="&amp;$C320)&gt;0,Biomes!S$1&amp;", ","")&amp;
IF(COUNTIF(Biomes!R$2:R$259,"="&amp;$C320)&gt;0,Biomes!R$1&amp;", ",""),", ","")
),_xlfn.XLOOKUP(B320,B:B,BX:BX))</f>
        <v/>
      </c>
      <c r="BY320" s="25" t="str">
        <f>IF(_xlfn.XLOOKUP(B320,'Base stats'!B:B,'Base stats'!AJ:AJ)=1,"true","false")</f>
        <v>false</v>
      </c>
      <c r="BZ320" s="25">
        <f>IF(_xlfn.XLOOKUP(B320,'Base stats'!B:B,'Base stats'!N:N)=1,"No",MAX(0.001,MIN(MROUND(IF(AND(BJ320="True",CC320="False"),POWER(10,3.47*LOG10(_xlfn.XLOOKUP(B320,'Base stats'!B:B,'Base stats'!C:C)*1000)^-0.96),POWER(10,4.15*LOG10(_xlfn.XLOOKUP(B320,'Base stats'!B:B,'Base stats'!C:C)*1000)^-0.73))*IF(_xlfn.XLOOKUP(B320,'Base stats'!B:B,'Base stats'!AK:AK)=1,0.5,1)*IF(_xlfn.XLOOKUP(B320,'Base stats'!B:B,'Base stats'!AM:AM)=1,0.1,1)/100,IF(_xlfn.XLOOKUP(B320,'Base stats'!B:B,'Base stats'!AM:AM)=1,0.001,0.025)),0.5)))</f>
        <v>8.0000000000000002E-3</v>
      </c>
      <c r="CA320" s="25" t="str">
        <f>IF(P320="Standard","No",MAX(0.001,MIN(MROUND(IF(AND(BJ320="True",CC320="False"),POWER(10,3.47*LOG10(_xlfn.XLOOKUP(B320,'Base stats'!B:B,'Base stats'!C:C)*1000)^-0.96),POWER(10,4.15*LOG10(_xlfn.XLOOKUP(B320,'Base stats'!B:B,'Base stats'!C:C)*1000)^-0.73))*IF(_xlfn.XLOOKUP(B320,'Base stats'!B:B,'Base stats'!AM:AM)=1,0.1,1)*_xlfn.XLOOKUP(B320,'Base stats'!B:B,'Base stats'!R:R)/100,IF(_xlfn.XLOOKUP(B320,'Base stats'!B:B,'Base stats'!AM:AM)=1,0.001,0.025)),0.5)))</f>
        <v>No</v>
      </c>
      <c r="CB320" s="25" t="str">
        <f>IF(_xlfn.XLOOKUP(_xlfn.XLOOKUP(B320,'Base stats'!B:B,'Base stats'!E:E),Groups!A:A,Groups!AJ:AJ)="Mammal","True","False")</f>
        <v>False</v>
      </c>
      <c r="CC320" s="25" t="str">
        <f>IF(OR(_xlfn.XLOOKUP(_xlfn.XLOOKUP(B320,'Base stats'!B:B,'Base stats'!E:E),Groups!A:A,Groups!AJ:AJ)="Reptile",_xlfn.XLOOKUP(_xlfn.XLOOKUP(B320,'Base stats'!B:B,'Base stats'!E:E),Groups!A:A,Groups!AJ:AJ)="Amphibian",_xlfn.XLOOKUP(_xlfn.XLOOKUP(B320,'Base stats'!B:B,'Base stats'!E:E),Groups!A:A,Groups!AJ:AJ)="Invertebrate"),"True","False")</f>
        <v>True</v>
      </c>
      <c r="CD320" s="25" t="str">
        <f t="shared" si="34"/>
        <v>False</v>
      </c>
      <c r="CE320" s="25" t="str">
        <f>IF(_xlfn.XLOOKUP(_xlfn.XLOOKUP(B320,'Base stats'!B:B,'Base stats'!E:E),Groups!A:A,Groups!AX:AX),"True","False")</f>
        <v>False</v>
      </c>
      <c r="CF320" s="25" t="str">
        <f>IF(_xlfn.XLOOKUP(_xlfn.XLOOKUP(B320,'Base stats'!B:B,'Base stats'!E:E),Groups!A:A,Groups!AY:AY),"True","False")</f>
        <v>False</v>
      </c>
      <c r="CG320" s="25" t="str">
        <f>IF(_xlfn.XLOOKUP(_xlfn.XLOOKUP(B320,'Base stats'!B:B,'Base stats'!E:E),Groups!A:A,Groups!AW:AW),"True","False")</f>
        <v>False</v>
      </c>
      <c r="CH320" s="25" t="str">
        <f>IF(
OR(
_xlfn.XLOOKUP(_xlfn.XLOOKUP(B320,'Base stats'!B:B,'Base stats'!E:E),Groups!A:A,Groups!AZ:AZ)=0,
AND(
_xlfn.XLOOKUP(B320,'Base stats'!B:B,'Base stats'!Y:Y)&lt;&gt;"Carnivore",
_xlfn.XLOOKUP(B320,'Base stats'!B:B,'Base stats'!Y:Y)&lt;&gt;"Omnivore",
_xlfn.XLOOKUP(B320,'Base stats'!B:B,'Base stats'!Y:Y)&lt;&gt;"OmnivoreRough"
)
),
"No",
IF(
_xlfn.XLOOKUP(_xlfn.XLOOKUP(B320,'Base stats'!B:B,'Base stats'!E:E),Groups!A:A,Groups!AZ:AZ)=1,
"Flesh",
IF(
_xlfn.XLOOKUP(_xlfn.XLOOKUP(B320,'Base stats'!B:B,'Base stats'!E:E),Groups!A:A,Groups!AZ:AZ)=2,
"Bone",
""
)
)
)</f>
        <v>No</v>
      </c>
      <c r="CI320" s="25" t="str">
        <f>IF(_xlfn.XLOOKUP(_xlfn.XLOOKUP(B320,'Base stats'!B:B,'Base stats'!E:E),Groups!A:A,Groups!BB:BB),"True","False")</f>
        <v>False</v>
      </c>
      <c r="CJ320" s="25" t="str">
        <f>IF(_xlfn.XLOOKUP(_xlfn.XLOOKUP(B320,'Base stats'!B:B,'Base stats'!E:E),Groups!A:A,Groups!BA:BA),"True","False")</f>
        <v>False</v>
      </c>
    </row>
    <row r="321" spans="1:88" ht="16.5" thickTop="1" thickBot="1" x14ac:dyDescent="0.3">
      <c r="A321" s="26" t="s">
        <v>1554</v>
      </c>
      <c r="B321" s="6" t="str">
        <f>_xlfn.XLOOKUP(A321,'Base stats'!A:A,'Base stats'!B:B)</f>
        <v>Canis lacerator</v>
      </c>
      <c r="C321" s="28" t="s">
        <v>1555</v>
      </c>
      <c r="D321" s="28" t="s">
        <v>1341</v>
      </c>
      <c r="E321" s="28" t="s">
        <v>673</v>
      </c>
      <c r="F321" s="28" t="s">
        <v>673</v>
      </c>
      <c r="G321" s="28" t="s">
        <v>673</v>
      </c>
      <c r="H321" s="2">
        <f>MROUND((
  (IF(AND(_xlfn.XLOOKUP(B321,'Base stats'!B:B,'Base stats'!AL:AL)=0,BI321="None",_xlfn.XLOOKUP(_xlfn.XLOOKUP(B321,'Base stats'!B:B,'Base stats'!E:E),Groups!A:A,Groups!B:B)=0), (18 + BR321 * 2.7) * 0.5,
    IF(AND(_xlfn.XLOOKUP(B321,'Base stats'!B:B,'Base stats'!AL:AL)=0,OR(AO321&lt;0.55,AND(BI321="Intermediate",_xlfn.XLOOKUP(_xlfn.XLOOKUP(B321,'Base stats'!B:B,'Base stats'!E:E),Groups!A:A,Groups!B:B)&lt;2))), (18 + BR321 * 2.7),
      IF(OR(BI321="Advanced",_xlfn.XLOOKUP(B321,'Base stats'!B:B,'Base stats'!AL:AL)=1,_xlfn.XLOOKUP(_xlfn.XLOOKUP(B321,'Base stats'!B:B,'Base stats'!E:E),Groups!A:A,Groups!B:B)=2), (18 + BR321 * 2.7) + 250, (18 + BR321 * 2.7))
    )
  ))
  + AO321 * 80
  + IF(COUNTIF(EggMilk!K$2:K$998, A321) &gt; 0, 125, 0)
  + IF(COUNTIF(EggMilk!P$2:P$998, A321) &gt; 0, 90, 0)
  + IF(COUNTIF(EggMilk!A$2:A$998, A321) &gt; 0, 90, 0)
)
* (0.8 + 0.4 * J321)
* 0.75,25)</f>
        <v>475</v>
      </c>
      <c r="I321" s="2">
        <f>MROUND(ROUNDDOWN(_xlfn.XLOOKUP(B321,'Base stats'!B:B,'Base stats'!L:L)/3.6/(23.3/11),1),0.5)</f>
        <v>8.5</v>
      </c>
      <c r="J321" s="2">
        <f>IF(OR(_xlfn.XLOOKUP(B321,'Base stats'!B:B,'Base stats'!AB:AB)=1,_xlfn.XLOOKUP(_xlfn.XLOOKUP(B321,'Base stats'!B:B,'Base stats'!E:E),Groups!A:A,Groups!C:C)="Untamable"),1,IF(_xlfn.XLOOKUP(B321,'Base stats'!B:B,'Base stats'!AL:AL)=1,0.99,MIN(MROUND((1-0.6282*EXP(-0.459*AO321))*_xlfn.XLOOKUP(_xlfn.XLOOKUP(B321,'Base stats'!B:B,'Base stats'!E:E),Groups!A:A,Groups!C:C)*IF(_xlfn.XLOOKUP(B321,'Base stats'!B:B,'Base stats'!O:O)=1,0.5,IF(_xlfn.XLOOKUP(B321,'Base stats'!B:B,'Base stats'!O:O)=2,0,1)),0.05),IF(AO321&gt;3.5,0.985,0.95))))</f>
        <v>0.4</v>
      </c>
      <c r="K321" s="2">
        <f>ROUNDUP(AO321*_xlfn.XLOOKUP(_xlfn.XLOOKUP(B321,'Base stats'!B:B,'Base stats'!E:E),Groups!A:A,Groups!E:E),0)</f>
        <v>2</v>
      </c>
      <c r="L321" s="2">
        <f>IF(OR(_xlfn.XLOOKUP(_xlfn.XLOOKUP(B321,'Base stats'!B:B,'Base stats'!E:E),Groups!A:A,Groups!F:F)=2,ISNUMBER(SEARCH("SeaIce",BX321)),ISNUMBER(SEARCH("IceSheet",BX321))),-50,IF(OR(ISNUMBER(SEARCH("GlacialPlain",BX321)),ISNUMBER(SEARCH("Tundra",BX321))),-40,IF(OR(ISNUMBER(SEARCH("Alpine",BX321)),ISNUMBER(SEARCH("BorealForest",BX321)),ISNUMBER(SEARCH("ColdBog",BX321))),-30,IF(OR(ISNUMBER(SEARCH("TemperateForest",BX321)),ISNUMBER(SEARCH("TemperateSwamp",BX321))),-20,IF(_xlfn.XLOOKUP(_xlfn.XLOOKUP(B321,'Base stats'!B:B,'Base stats'!E:E),Groups!A:A,Groups!F:F)=1,-15,IF(OR(ISNUMBER(SEARCH("Desert",BX321)),ISNUMBER(SEARCH("ExtremeDesert",BX321))),-10,IF(OR(ISNUMBER(SEARCH("Grasslands",BX321)),ISNUMBER(SEARCH("TropicalRainforest",BX321)),ISNUMBER(SEARCH("TropicalSwamp",BX321))),10,0)))))))-IF(CC321="False",MIN(IFERROR(MAX(MROUND(LOG10(_xlfn.XLOOKUP(B321,'Base stats'!B:B,'Base stats'!C:C)^(2/3))*10,5),5),5),30))-_xlfn.XLOOKUP(B321,'Base stats'!B:B,'Base stats'!P:P)+IF(CC321="True",5,0)</f>
        <v>-30</v>
      </c>
      <c r="M321" s="2">
        <f>IF(OR(_xlfn.XLOOKUP(_xlfn.XLOOKUP(B321,'Base stats'!B:B,'Base stats'!E:E),Groups!A:A,Groups!G:G)=2,ISNUMBER(SEARCH("Desert",BX321)),ISNUMBER(SEARCH("ExtremeDesert",BX321)),ISNUMBER(SEARCH("LavaField",BX321))),50,IF(ISNUMBER(SEARCH("Grasslands",BX321)),45,IF(OR(_xlfn.XLOOKUP(_xlfn.XLOOKUP(B321,'Base stats'!B:B,'Base stats'!E:E),Groups!A:A,Groups!G:G)=1,ISNUMBER(SEARCH("TropicalRainforest",BX321)),ISNUMBER(SEARCH("TropicalSwamp",BX321))),40,IF(OR(ISNUMBER(SEARCH("TemperateForest",BX321)),ISNUMBER(SEARCH("TemperateSwamp",BX321))),35,IF(OR(ISNUMBER(SEARCH("Alpine",BX321)),ISNUMBER(SEARCH("BorealForest",BX321)),ISNUMBER(SEARCH("ColdBog",BX321))),30,IF(ISNUMBER(OR(ISNUMBER(SEARCH("GlacialPlain",BX321)),SEARCH("Tundra",BX321))),25,IF(OR(ISNUMBER(SEARCH("SeaIce",BX321)),ISNUMBER(SEARCH("IceSheet",BX321)),ISNUMBER(SEARCH("TropicalSwamp",BX321))),10,35)))))))+_xlfn.XLOOKUP(B321,'Base stats'!B:B,'Base stats'!Q:Q)</f>
        <v>35</v>
      </c>
      <c r="N321" s="8" t="str">
        <f>IF(
_xlfn.XLOOKUP(
_xlfn.XLOOKUP(B321,'Base stats'!B:B,'Base stats'!E:E),
Groups!A:A,
Groups!L:L
)=1,
MIN(
MROUND(
IF(
_xlfn.XLOOKUP(B321,'Animals CE'!B:B,'Animals CE'!Z:Z)&lt;=1.5,
_xlfn.XLOOKUP(B321,'Animals CE'!B:B,'Animals CE'!Z:Z)/2+0.05,
0.8+
(_xlfn.XLOOKUP(B321,'Animals CE'!B:B,'Animals CE'!Z:Z)-1.5)
*0.02
),
0.05
),
200%
),
"No"
)</f>
        <v>No</v>
      </c>
      <c r="O321" s="8" t="str">
        <f>IF(
_xlfn.XLOOKUP(
_xlfn.XLOOKUP(B321,'Base stats'!B:B,'Base stats'!E:E),
Groups!A:A,
Groups!L:L
)=1,
MIN(
MROUND(
IF(
_xlfn.XLOOKUP(B321,'Animals CE'!B:B,'Animals CE'!AA:AA)&lt;=1.5,
_xlfn.XLOOKUP(B321,'Animals CE'!B:B,'Animals CE'!AA:AA)/2+0.05,
0.8+
(_xlfn.XLOOKUP(B321,'Animals CE'!B:B,'Animals CE'!AA:AA)-1.5)
*0.02
),
0.05
),
200%
),
"No"
)</f>
        <v>No</v>
      </c>
      <c r="P321" s="2" t="str">
        <f>_xlfn.XLOOKUP(B321,'Base stats'!B:B,'Base stats'!R:R)</f>
        <v>Standard</v>
      </c>
      <c r="Q321" s="13">
        <f>MROUND((LOG10(_xlfn.XLOOKUP(B321,'Base stats'!B:B,'Base stats'!AR:AR))*(AO321^0.5)+(_xlfn.XLOOKUP(B321,'Base stats'!B:B,'Base stats'!AR:AR)/1000)^(2/3)+_xlfn.XLOOKUP(B321,'Base stats'!B:B,'Base stats'!BA:BA)/2)+0.5,0.5)</f>
        <v>8</v>
      </c>
      <c r="R321" s="7">
        <f>IF(Q321="No","No",MAX(1,MROUND(_xlfn.XLOOKUP(B321,'Base stats'!B:B,'Base stats'!C:C)^0.165,0.05)))</f>
        <v>2.1</v>
      </c>
      <c r="S321" s="13" t="str">
        <f>IF(_xlfn.XLOOKUP(_xlfn.XLOOKUP(B321,'Base stats'!B:B,'Base stats'!E:E),Groups!A:A,Groups!P:P)=0,"No",MROUND((LOG10(_xlfn.XLOOKUP(B321,'Base stats'!B:B,'Base stats'!AS:AS))*(AO321^0.5)+(_xlfn.XLOOKUP(B321,'Base stats'!B:B,'Base stats'!AS:AS)/1000)^(2/3)+_xlfn.XLOOKUP(B321,'Base stats'!B:B,'Base stats'!BA:BA))+_xlfn.XLOOKUP(B321,'Base stats'!B:B,'Base stats'!AY:AY)+0.5,0.5))</f>
        <v>No</v>
      </c>
      <c r="T321" s="7" t="str">
        <f>IF(S321="No","No",MAX(_xlfn.XLOOKUP(_xlfn.XLOOKUP(B321,'Base stats'!B:B,'Base stats'!E:E),Groups!A:A,Groups!Q:Q),MROUND(_xlfn.XLOOKUP(_xlfn.XLOOKUP(B321,'Base stats'!B:B,'Base stats'!E:E),Groups!A:A,Groups!Q:Q)*_xlfn.XLOOKUP(B321,'Base stats'!B:B,'Base stats'!C:C)^0.165,0.05)))</f>
        <v>No</v>
      </c>
      <c r="U321" s="7" t="str">
        <f>IF(S321="No","No",_xlfn.XLOOKUP(_xlfn.XLOOKUP(B321,'Base stats'!B:B,'Base stats'!E:E),Groups!A:A,Groups!R:R))</f>
        <v>No</v>
      </c>
      <c r="V321" s="7" t="str">
        <f>IF(S321="No","No",_xlfn.XLOOKUP(_xlfn.XLOOKUP(B321,'Base stats'!B:B,'Base stats'!E:E),Groups!A:A,Groups!S:S))</f>
        <v>No</v>
      </c>
      <c r="W321" s="7" t="str">
        <f>IF(S321="No","No",_xlfn.XLOOKUP(_xlfn.XLOOKUP(B321,'Base stats'!B:B,'Base stats'!E:E),Groups!A:A,Groups!T:T))</f>
        <v>No</v>
      </c>
      <c r="X321" s="13">
        <f>IF(_xlfn.XLOOKUP(B321,'Base stats'!B:B,'Base stats'!W:W)="No","No",MROUND((LOG10(_xlfn.XLOOKUP(B321,'Base stats'!B:B,'Base stats'!AU:AU))*(AO321^0.5)+(_xlfn.XLOOKUP(B321,'Base stats'!B:B,'Base stats'!AU:AU)/1000)^(2/3)+_xlfn.XLOOKUP(B321,'Base stats'!B:B,'Base stats'!AZ:AZ))+0.5+IF(_xlfn.XLOOKUP(_xlfn.XLOOKUP(B321,'Base stats'!B:B,'Base stats'!E:E),Groups!A:A,Groups!U:U)&lt;&gt;3,_xlfn.XLOOKUP(B321,'Base stats'!B:B,'Base stats'!BA:BA),0),0.5))</f>
        <v>9</v>
      </c>
      <c r="Y321" s="7">
        <f>IF(X321="No","No",MAX(_xlfn.XLOOKUP(_xlfn.XLOOKUP(B321,'Base stats'!B:B,'Base stats'!E:E),Groups!A:A,Groups!V:V),MROUND(_xlfn.XLOOKUP(_xlfn.XLOOKUP(B321,'Base stats'!B:B,'Base stats'!E:E),Groups!A:A,Groups!V:V)*_xlfn.XLOOKUP(B321,'Base stats'!B:B,'Base stats'!C:C)^0.165,0.05)))</f>
        <v>1.8</v>
      </c>
      <c r="Z321" s="7" t="str">
        <f>IF(X321="No","No",_xlfn.XLOOKUP(_xlfn.XLOOKUP(B321,'Base stats'!B:B,'Base stats'!E:E),Groups!A:A,Groups!W:W))</f>
        <v>HeadAttackTool</v>
      </c>
      <c r="AA321" s="7" t="str">
        <f>IF(X321="No","No",_xlfn.XLOOKUP(_xlfn.XLOOKUP(B321,'Base stats'!B:B,'Base stats'!E:E),Groups!A:A,Groups!X:X))</f>
        <v>shoulder claw</v>
      </c>
      <c r="AB321" s="7" t="str">
        <f>IF(X321="No","No",_xlfn.XLOOKUP(_xlfn.XLOOKUP(B321,'Base stats'!B:B,'Base stats'!E:E),Groups!A:A,Groups!Y:Y))</f>
        <v>Scratch</v>
      </c>
      <c r="AC321" s="7" t="str">
        <f>_xlfn.XLOOKUP(Animals!B321,'Base stats'!B:B,'Base stats'!X:X)</f>
        <v>False</v>
      </c>
      <c r="AD321" s="13">
        <f>IF(_xlfn.XLOOKUP(B321,'Base stats'!B:B,'Base stats'!AT:AT)="No","No",MROUND((LOG10(_xlfn.XLOOKUP(B321,'Base stats'!B:B,'Base stats'!AT:AT))*(AO321^0.75)+(_xlfn.XLOOKUP(B321,'Base stats'!B:B,'Base stats'!AT:AT)/1000)^(2/3)+_xlfn.XLOOKUP(B321,'Base stats'!B:B,'Base stats'!AX:AX)+_xlfn.XLOOKUP(B321,'Base stats'!B:B,'Base stats'!BA:BA))+0.5,0.5))</f>
        <v>15.5</v>
      </c>
      <c r="AE321" s="7">
        <f>IF(AD321="No","No",MAX(_xlfn.XLOOKUP(_xlfn.XLOOKUP(B321,'Base stats'!B:B,'Base stats'!E:E),Groups!A:A,Groups!Z:Z),MROUND(_xlfn.XLOOKUP(_xlfn.XLOOKUP(B321,'Base stats'!B:B,'Base stats'!E:E),Groups!A:A,Groups!Z:Z)*_xlfn.XLOOKUP(B321,'Base stats'!B:B,'Base stats'!C:C)^0.165,0.05)))</f>
        <v>1.7000000000000002</v>
      </c>
      <c r="AF321" s="7" t="str">
        <f>IF(AD321="No","No",_xlfn.XLOOKUP(_xlfn.XLOOKUP(B321,'Base stats'!B:B,'Base stats'!E:E),Groups!A:A,Groups!AA:AA))</f>
        <v>Teeth</v>
      </c>
      <c r="AG321" s="7" t="str">
        <f>IF(AD321="No","No",_xlfn.XLOOKUP(_xlfn.XLOOKUP(B321,'Base stats'!B:B,'Base stats'!E:E),Groups!A:A,Groups!AB:AB))</f>
        <v>canines</v>
      </c>
      <c r="AH321" s="7" t="str">
        <f>IF(AD321="No","No",_xlfn.XLOOKUP(_xlfn.XLOOKUP(B321,'Base stats'!B:B,'Base stats'!E:E),Groups!A:A,Groups!AC:AC))</f>
        <v>Bite</v>
      </c>
      <c r="AI321" s="13">
        <f>IF(_xlfn.XLOOKUP(_xlfn.XLOOKUP(B321,'Base stats'!B:B,'Base stats'!E:E),Groups!A:A,Groups!AD:AD)=0,"No",MROUND((LOG10(_xlfn.XLOOKUP(B321,'Base stats'!B:B,'Base stats'!AS:AS))*(AO321^0.75)+(_xlfn.XLOOKUP(B321,'Base stats'!B:B,'Base stats'!AS:AS)/1000)^(2/3)+_xlfn.XLOOKUP(B321,'Base stats'!B:B,'Base stats'!AY:AY)+_xlfn.XLOOKUP(B321,'Base stats'!B:B,'Base stats'!BA:BA))+0.5,0.5))</f>
        <v>10</v>
      </c>
      <c r="AJ321" s="7">
        <f>IF(AI321="No","No",MAX(_xlfn.XLOOKUP(_xlfn.XLOOKUP(B321,'Base stats'!B:B,'Base stats'!E:E),Groups!A:A,Groups!AE:AE),MROUND(_xlfn.XLOOKUP(_xlfn.XLOOKUP(B321,'Base stats'!B:B,'Base stats'!E:E),Groups!A:A,Groups!AE:AE)*IF(_xlfn.XLOOKUP(_xlfn.XLOOKUP(B321,'Base stats'!B:B,'Base stats'!E:E),Groups!A:A,Groups!AJ:AJ)="Photonozoa",0.6,1)*_xlfn.XLOOKUP(B321,'Base stats'!B:B,'Base stats'!C:C)^0.165,0.05)))</f>
        <v>1.4500000000000002</v>
      </c>
      <c r="AK321" s="7" t="str">
        <f>IF(AI321="No","No",_xlfn.XLOOKUP(_xlfn.XLOOKUP(B321,'Base stats'!B:B,'Base stats'!E:E),Groups!A:A,Groups!AF:AF))</f>
        <v>FrontLeftPaw, FrontRightPaw</v>
      </c>
      <c r="AL321" s="7" t="str">
        <f>IF(AI321="No","No",_xlfn.XLOOKUP(_xlfn.XLOOKUP(B321,'Base stats'!B:B,'Base stats'!E:E),Groups!A:A,Groups!AG:AG))</f>
        <v>left claw, right claw</v>
      </c>
      <c r="AM321" s="7" t="str">
        <f>IF(AI321="No","No",_xlfn.XLOOKUP(_xlfn.XLOOKUP(B321,'Base stats'!B:B,'Base stats'!E:E),Groups!A:A,Groups!AH:AH))</f>
        <v>AA_InfectedClaws</v>
      </c>
      <c r="AN321" s="2">
        <f t="shared" si="28"/>
        <v>20</v>
      </c>
      <c r="AO321" s="2">
        <f>MROUND(IF(AND(_xlfn.XLOOKUP(B321,'Base stats'!B:B,'Base stats'!C:C)&gt;=0.5,_xlfn.XLOOKUP(B321,'Base stats'!B:B,'Base stats'!C:C)&lt;=0.8),
IF(_xlfn.XLOOKUP(B321,'Base stats'!B:B,'Base stats'!C:C)&lt;0.1,0.05,IF(_xlfn.XLOOKUP(B321,'Base stats'!B:B,'Base stats'!C:C)&lt;=70,(_xlfn.XLOOKUP(B321,'Base stats'!B:B,'Base stats'!C:C)/70)^0.426489913056526,IF(_xlfn.XLOOKUP(B321,'Base stats'!B:B,'Base stats'!C:C)&lt;=400,(_xlfn.XLOOKUP(B321,'Base stats'!B:B,'Base stats'!C:C)/70)^0.572811455315093,IF(_xlfn.XLOOKUP(B321,'Base stats'!B:B,'Base stats'!C:C)&lt;=2000,2.71391647193063*(_xlfn.XLOOKUP(B321,'Base stats'!B:B,'Base stats'!C:C)/400)^0.252459582904293,3.74314280240376*(_xlfn.XLOOKUP(B321,'Base stats'!B:B,'Base stats'!C:C)/2000)^0.357012633876913)))),
IF(_xlfn.XLOOKUP(B321,'Base stats'!B:B,'Base stats'!C:C)&lt;0.1,0.05,IF(_xlfn.XLOOKUP(B321,'Base stats'!B:B,'Base stats'!C:C)&lt;0.4,0.1,IF(_xlfn.XLOOKUP(B321,'Base stats'!B:B,'Base stats'!C:C)&lt;=70,(_xlfn.XLOOKUP(B321,'Base stats'!B:B,'Base stats'!C:C)/70)^0.445823913056526,IF(_xlfn.XLOOKUP(B321,'Base stats'!B:B,'Base stats'!C:C)&lt;=400,(_xlfn.XLOOKUP(B321,'Base stats'!B:B,'Base stats'!C:C)/70)^0.572811455315093,IF(_xlfn.XLOOKUP(B321,'Base stats'!B:B,'Base stats'!C:C)&lt;=2000,2.71391647193063*(_xlfn.XLOOKUP(B321,'Base stats'!B:B,'Base stats'!C:C)/400)^0.252459582904293,3.74314280240376*(_xlfn.XLOOKUP(B321,'Base stats'!B:B,'Base stats'!C:C)/2000)^0.357012633876913)))))),
IF(_xlfn.XLOOKUP(B321,'Base stats'!B:B,'Base stats'!C:C)&lt;0.1,0.05,IF(_xlfn.XLOOKUP(B321,'Base stats'!B:B,'Base stats'!C:C)&lt;=100,0.05,IF(_xlfn.XLOOKUP(B321,'Base stats'!B:B,'Base stats'!C:C)&lt;=250,0.1,IF(_xlfn.XLOOKUP(B321,'Base stats'!B:B,'Base stats'!C:C)&lt;=4000,0.25,0.5)))))</f>
        <v>1.1500000000000001</v>
      </c>
      <c r="AP321" s="8">
        <f>MROUND(AO321*_xlfn.XLOOKUP(_xlfn.XLOOKUP(B321,'Base stats'!B:B,'Base stats'!E:E),Groups!A:A,Groups!AI:AI)*_xlfn.XLOOKUP(B321,'Base stats'!B:B,'Base stats'!Z:Z),0.05)</f>
        <v>1.4000000000000001</v>
      </c>
      <c r="AQ321" s="8">
        <f>MAX(0.01,MROUND(IF(CC321="True",0.196*(AO321*100*1000)^0.889,IF(_xlfn.XLOOKUP(_xlfn.XLOOKUP(B321,'Base stats'!B:B,'Base stats'!E:E),Groups!A:A,Groups!AJ:AJ)="Bird",10.5*(AO321*100*1000)^0.681,4.82*(AO321*100*1000)^0.734))/(4.82*(1*100*1000)^0.734)/IF(AO321&lt;3.5,2,IF(AO321=3.5,1.5,1.25))*(1+0.132282374779864/(AO321^0.994035016789033+0.00905238001496948)),0.05))</f>
        <v>0.60000000000000009</v>
      </c>
      <c r="AR321" s="9">
        <f>IFERROR(MROUND(_xlfn.XLOOKUP(B321,'Base stats'!B:B,'Base stats'!H:H)/IF(_xlfn.XLOOKUP(B321,'Base stats'!B:B,'Base stats'!I:I)&lt;&gt;1,(122.5/70),1.2),IF(_xlfn.XLOOKUP(B321,'Base stats'!B:B,'Base stats'!H:H)&gt;=30,5,IF(_xlfn.XLOOKUP(B321,'Base stats'!B:B,'Base stats'!H:H)&gt;=15,3,IF(_xlfn.XLOOKUP(B321,'Base stats'!B:B,'Base stats'!H:H)&gt;=10,2,1)))),"Immortal")</f>
        <v>15</v>
      </c>
      <c r="AS321" s="35">
        <f>IFERROR(IF(OR(_xlfn.XLOOKUP(B321,'Base stats'!B:B,'Base stats'!F:F)="Atypical reproduction",_xlfn.XLOOKUP(B321,'Base stats'!B:B,'Base stats'!F:F)="Lay eggs"),"Lay eggs",MIN(20,MAX(5.5,ROUND(((_xlfn.XLOOKUP(B321,'Base stats'!B:B,'Base stats'!F:F)-25)*(14.5/615) + 5.5)*2,0)/2))),"Unknown")</f>
        <v>7.5</v>
      </c>
      <c r="AT321" s="8">
        <f>IF(_xlfn.XLOOKUP(B321,'Base stats'!B:B,'Base stats'!G:G)="Atypical reproduction","No",IFERROR(MAX(IF(_xlfn.XLOOKUP(B321,'Base stats'!B:B,'Base stats'!G:G)&lt;0.5,0.2,0.3),MROUND(_xlfn.XLOOKUP(B321,'Base stats'!B:B,'Base stats'!G:G)/(365/60),0.2)),"Unknown"))</f>
        <v>0.4</v>
      </c>
      <c r="AU321" s="8">
        <f t="shared" si="29"/>
        <v>0.2</v>
      </c>
      <c r="AV321" s="8">
        <f>IFERROR(IFERROR(MROUND(_xlfn.XLOOKUP(B321,'Base stats'!B:B,'Base stats'!J:J),0.1),"Lay eggs"),"Cannot breed")</f>
        <v>3</v>
      </c>
      <c r="AW321" s="2" t="str">
        <f t="shared" si="30"/>
        <v>true</v>
      </c>
      <c r="AX321" s="2" t="str">
        <f>IF(_xlfn.XLOOKUP(_xlfn.XLOOKUP(Animals!B321,'Base stats'!B:B,'Base stats'!E:E),Groups!A:A,Groups!AK:AK)=1,"true","false")</f>
        <v>false</v>
      </c>
      <c r="AY321" s="25" t="str">
        <f>IF(_xlfn.XLOOKUP(B321,'Base stats'!B:B,'Base stats'!Y:Y)="Liquor","Liquor, CarnivoreAnimalStrict",IF(AND(_xlfn.XLOOKUP(B321,'Base stats'!B:B,'Base stats'!Y:Y)="Carnivore",_xlfn.XLOOKUP(_xlfn.XLOOKUP(B321,'Base stats'!B:B,'Base stats'!E:E),Groups!A:A,Groups!AJ:AJ)="Photonozoa"),"CarnivoreAnimalStrict, OvivoreAnimal",IF(_xlfn.XLOOKUP(B321,'Base stats'!B:B,'Base stats'!Y:Y)="Carnivore","CarnivoreAnimal, OvivoreAnimal",IF(_xlfn.XLOOKUP(B321,'Base stats'!B:B,'Base stats'!Y:Y)="Dendrovore","VegetarianRoughAnimal, DendrovoreAnimal",IF(_xlfn.XLOOKUP(B321,'Base stats'!B:B,'Base stats'!Y:Y)="Herbivore","VegetarianRoughAnimal",IF(_xlfn.XLOOKUP(B321,'Base stats'!B:B,'Base stats'!Y:Y)="OmnivoreRough","OmnivoreRoughAnimal, OvivoreAnimal","OmnivoreAnimal, OvivoreAnimal"))))))</f>
        <v>CarnivoreAnimal, OvivoreAnimal</v>
      </c>
      <c r="AZ321" s="2" t="str">
        <f>IF(_xlfn.XLOOKUP(_xlfn.XLOOKUP(B321,'Base stats'!B:B,'Base stats'!E:E),Groups!A:A,Groups!D:D)=1,MROUND((1-J321)*5+1,2)*IF(J321&lt;=0.4,2,1),"No")</f>
        <v>No</v>
      </c>
      <c r="BA321" s="2" t="str">
        <f>IF(AND(_xlfn.XLOOKUP(B321,'Base stats'!B:B,'Base stats'!AH:AH)="&lt;li&gt;Seal&lt;/li&gt;",G321="Odyssey"),"&lt;li&gt;AEXP_Seal&lt;/li&gt;",_xlfn.XLOOKUP(B321,'Base stats'!B:B,'Base stats'!AH:AH))</f>
        <v>&lt;li&gt;YorkshireTerrier&lt;/li&gt;</v>
      </c>
      <c r="BB321" s="2" t="str">
        <f>_xlfn.XLOOKUP(B321,'Base stats'!B:B,'Base stats'!AG:AG)</f>
        <v>Leather_Dog</v>
      </c>
      <c r="BC321" s="23" t="str">
        <f>_xlfn.XLOOKUP(_xlfn.XLOOKUP(B321,'Base stats'!B:B,'Base stats'!E:E),Groups!A:A,Groups!AL:AL)</f>
        <v>QuadrupedAnimalWithPawsAndTail</v>
      </c>
      <c r="BD321" s="23">
        <f>MIN(1,MROUND(IF(AND(AO321&lt;0.5,_xlfn.XLOOKUP(B321,'Base stats'!B:B,'Base stats'!AA:AA)=0),0,IF(OR(_xlfn.XLOOKUP(Animals!B321,'Base stats'!B:B,'Base stats'!O:O)=2,_xlfn.XLOOKUP(_xlfn.XLOOKUP(B321,'Base stats'!B:B,'Base stats'!E:E),Groups!A:A,Groups!AN:AN)=0),0,_xlfn.XLOOKUP(_xlfn.XLOOKUP(B321,'Base stats'!B:B,'Base stats'!E:E),Groups!A:A,Groups!AN:AN)/IF(_xlfn.XLOOKUP(Animals!B321,'Base stats'!B:B,'Base stats'!O:O)=1,2,1)))+_xlfn.XLOOKUP(B321,'Base stats'!B:B,'Base stats'!AC:AC),0.005))</f>
        <v>0.05</v>
      </c>
      <c r="BE321" s="23">
        <f>MIN(1,MROUND(IF(AND(AO321&lt;0.5,_xlfn.XLOOKUP(B321,'Base stats'!B:B,'Base stats'!AA:AA)=0),0,IF(_xlfn.XLOOKUP(_xlfn.XLOOKUP(B321,'Base stats'!B:B,'Base stats'!E:E),Groups!A:A,Groups!AO:AO)=0,0,_xlfn.XLOOKUP(_xlfn.XLOOKUP(B321,'Base stats'!B:B,'Base stats'!E:E),Groups!A:A,Groups!AO:AO)/IF(_xlfn.XLOOKUP(Animals!B321,'Base stats'!B:B,'Base stats'!O:O)=2,3,1)))+_xlfn.XLOOKUP(B321,'Base stats'!B:B,'Base stats'!AD:AD),0.005))</f>
        <v>0.3</v>
      </c>
      <c r="BF321" s="2" t="str">
        <f>IF(J321&gt;0.3,"No",_xlfn.XLOOKUP(_xlfn.XLOOKUP(Animals!B321,'Base stats'!B:B,'Base stats'!E:E),Groups!A:A,Groups!AP:AP))</f>
        <v>No</v>
      </c>
      <c r="BG321" s="2">
        <f>IF(AND(J321&lt;=0.65,_xlfn.XLOOKUP(_xlfn.XLOOKUP(Animals!B321,'Base stats'!B:B,'Base stats'!E:E),Groups!A:A,Groups!AP:AP)&lt;&gt;"No",_xlfn.XLOOKUP(_xlfn.XLOOKUP(B321,'Base stats'!B:B,'Base stats'!E:E),Groups!A:A,Groups!D:D)=0),MROUND((80/3)*IF(_xlfn.XLOOKUP(B321,'Base stats'!B:B,'Base stats'!O:O)=2,0.2,AO321) + 24*(1-IF(BF321="No",0,BF321)) + 16/3, 12),"No")</f>
        <v>60</v>
      </c>
      <c r="BH321" s="2">
        <f>IF(AND(_xlfn.XLOOKUP(_xlfn.XLOOKUP(B321,'Base stats'!B:B,'Base stats'!E:E),Groups!A:A,Groups!AQ:AQ)=1,AO321&lt;=0.35),8,12)</f>
        <v>12</v>
      </c>
      <c r="BI321" s="2" t="str">
        <f>IF(_xlfn.XLOOKUP(_xlfn.XLOOKUP(B321,'Base stats'!B:B,'Base stats'!E:E),Groups!A:A,Groups!D:D)=0,_xlfn.XLOOKUP(_xlfn.XLOOKUP(B321,'Base stats'!B:B,'Base stats'!E:E),Groups!A:A,Groups!AR:AR),"None")</f>
        <v>Advanced</v>
      </c>
      <c r="BJ321" s="2" t="str">
        <f>IF(AND(_xlfn.XLOOKUP(_xlfn.XLOOKUP(B321,'Base stats'!B:B,'Base stats'!E:E),Groups!A:A,Groups!AS:AS)=1,OR(_xlfn.XLOOKUP(B321,'Base stats'!B:B,'Base stats'!Y:Y)="Carnivore",_xlfn.XLOOKUP(B321,'Base stats'!B:B,'Base stats'!Y:Y)="Omnivore")),"true","false")</f>
        <v>true</v>
      </c>
      <c r="BK321" s="2">
        <f>IF(BJ321="true",MROUND(IF(AND(AO321&gt;0.5,OR(_xlfn.XLOOKUP(_xlfn.XLOOKUP(B321,'Base stats'!B:B,'Base stats'!E:E),Groups!A:A,Groups!AJ:AJ)="Photonozoa",_xlfn.XLOOKUP(_xlfn.XLOOKUP(B321,'Base stats'!B:B,'Base stats'!E:E),Groups!A:A,Groups!AJ:AJ)="Mammal")),Animals!AO321*1.75*IF(AW321="true",1.5,1),IF(AO321&lt;0.5,Animals!AO321*0.5,Animals!AO321)),IF(AO321&gt;2,0.5,IF(AO321&gt;0.5,0.25,0.1))),"No")</f>
        <v>3</v>
      </c>
      <c r="BL321" s="2">
        <f t="shared" si="31"/>
        <v>1</v>
      </c>
      <c r="BM321" s="25" t="str">
        <f>IF(_xlfn.XLOOKUP(B321,'Base stats'!B:B,'Base stats'!AN:AN)="Standard","No",MROUND((_xlfn.XLOOKUP(B321,'Base stats'!B:B,'Base stats'!AN:AN)/3.6)/I321,0.1))</f>
        <v>No</v>
      </c>
      <c r="BN321" s="25" t="str">
        <f t="shared" si="32"/>
        <v>false</v>
      </c>
      <c r="BO321" s="25" t="str">
        <f>IF(AND(OR(_xlfn.XLOOKUP(B321,'Base stats'!B:B,'Base stats'!Y:Y)="Carnivore",_xlfn.XLOOKUP(B321,'Base stats'!B:B,'Base stats'!Y:Y)="Omnivore",_xlfn.XLOOKUP(B321,'Base stats'!B:B,'Base stats'!Y:Y)="OmnivoreRough"),_xlfn.XLOOKUP(_xlfn.XLOOKUP(B321,'Base stats'!B:B,'Base stats'!E:E),Groups!A:A,Groups!AT:AT)=1),"true","false")</f>
        <v>false</v>
      </c>
      <c r="BP321" s="25" t="str" cm="1">
        <f t="array" ref="BP321">IF(
  _xlfn.TEXTJOIN(", ",TRUE,
    IF(AND(BJ321="true",AO321&gt;0.5,BI321&lt;&gt;"None"),"AttackTarget",""),
    IF(AND(_xlfn.XLOOKUP(_xlfn.XLOOKUP(B321,'Base stats'!B:B,'Base stats'!E:E),Groups!A:A,Groups!AJ:AJ="Mammal"),OR(_xlfn.XLOOKUP(B321,'Base stats'!B:B,'Base stats'!Y:Y)="Omnivore",_xlfn.XLOOKUP(B321,'Base stats'!B:B,'Base stats'!Y:Y)="OmnivoreRough")),"Forage",""),
    IF(BG321&lt;=36,"Comfort",""),
    IF(_xlfn.XLOOKUP(B321,'Base stats'!B:B,'Base stats'!AE:AE)&lt;&gt;"No",_xlfn.XLOOKUP(B321,'Base stats'!B:B,'Base stats'!AE:AE),"")
  ) = "",
  "No",
  _xlfn.TEXTJOIN(", ",TRUE,
    IF(AND(BJ321="true",AO321&gt;0.5,BI321&lt;&gt;"None"),"AttackTarget",""),
    IF(AND(_xlfn.XLOOKUP(_xlfn.XLOOKUP(B321,'Base stats'!B:B,'Base stats'!E:E),Groups!A:A,Groups!AJ:AJ="Mammal"),OR(_xlfn.XLOOKUP(B321,'Base stats'!B:B,'Base stats'!Y:Y)="Omnivore",_xlfn.XLOOKUP(B321,'Base stats'!B:B,'Base stats'!Y:Y)="OmnivoreRough")),"Forage",""),
    IF(BG321&lt;=36,"Comfort",""),
    IF(_xlfn.XLOOKUP(B321,'Base stats'!B:B,'Base stats'!AE:AE)&lt;&gt;"No",_xlfn.XLOOKUP(B321,'Base stats'!B:B,'Base stats'!AE:AE),"")
  )
)</f>
        <v>AttackTarget</v>
      </c>
      <c r="BQ321" s="25" t="str">
        <f>IF(
   AND(
      'Base stats'!AN321="Standard",_xlfn.XLOOKUP(_xlfn.XLOOKUP(B321,'Base stats'!B:B,'Base stats'!E:E),Groups!A:A,Groups!AU:AU)=0,
      OR(
      BO321="True"
      )
   ),
   10,
   IF(
       OR(BM321&lt;&gt;"No",_xlfn.XLOOKUP(_xlfn.XLOOKUP(B321,'Base stats'!B:B,'Base stats'!E:E),Groups!A:A,Groups!AU:AU)=1),
      1,
      "No"
   )
)</f>
        <v>No</v>
      </c>
      <c r="BR321" s="9">
        <f>MROUND((1 + ((0.2*IF(OR(Q321="No",R321="No",R321=0),0,Q321/R321)
+IF(OR(V321="No",S321="No",T321="No"),0,S321/T321*(LEN(V321)-LEN(SUBSTITUTE(V321,",",""))+1))
+IF(OR(X321="No",Y321="No"),0,X321/Y321)
+IF(OR(AD321="No",AE321="No"),0,AD321/AE321)
+IF(OR(AL321="No",AI321="No",AJ321="No"),0,AI321/AJ321*(LEN(AL321)-LEN(SUBSTITUTE(AL321,",",""))+1))
)/(0.2*IF(OR(Q321="No",R321="No",R321=0),0,1)
+IF(OR(V321="No",S321="No",T321="No"),0,LEN(V321)-LEN(SUBSTITUTE(V321,",",""))+1)
+IF(OR(X321="No",Y321="No"),0,1)
+IF(OR(AD321="No",AE321="No"),0,1)
+IF(OR(AL321="No",AI321="No",AJ321="No"),0,LEN(AL321)-LEN(SUBSTITUTE(AL321,",",""))+1))*62%)* 2)*(1 + (AP321 / (IF(_xlfn.XLOOKUP(_xlfn.XLOOKUP(B321,'Base stats'!B:B,'Base stats'!E:E),Groups!A:A,Groups!AJ:AJ)="Photonozoa",0.3,1)) + _xlfn.XLOOKUP(B321,'Base stats'!B:B,'Base stats'!AV:AV) * 1.8) * 2) * 2.5 + 10 + I321 * 2,5)+IF(_xlfn.XLOOKUP(B321,'Base stats'!B:B,'Base stats'!AK:AK)=1,50,0)</f>
        <v>115</v>
      </c>
      <c r="BS321" s="8">
        <f t="shared" si="33"/>
        <v>0.70000000000000007</v>
      </c>
      <c r="BT321" s="8" t="str">
        <f>_xlfn.XLOOKUP(B321,'Base stats'!B:B,'Base stats'!AF:AF)</f>
        <v>1~3</v>
      </c>
      <c r="BU321" s="2" t="str">
        <f>IF(AND(J321&lt;=0.95,OR(_xlfn.XLOOKUP(B321,'Base stats'!B:B,'Base stats'!AK:AK)=1,_xlfn.XLOOKUP(B321,'Base stats'!B:B,'Base stats'!Y:Y)="Carnivore",_xlfn.XLOOKUP(B321,'Base stats'!B:B,'Base stats'!Y:Y)="Omnivore",BE321&gt;0.1)),"true","false")</f>
        <v>true</v>
      </c>
      <c r="BV321" s="2" t="str">
        <f>IF(_xlfn.XLOOKUP(B321,'Base stats'!B:B,'Base stats'!AI:AI)=1,"true","false")</f>
        <v>false</v>
      </c>
      <c r="BW321" s="25" t="str">
        <f>IF(E321="BaseInsect","AnimalInsect",
IF(J321&gt;0.95,"AnimalExotic",
_xlfn.TEXTJOIN(", ",TRUE,
IF(OR(_xlfn.XLOOKUP(B321,'Base stats'!B:B,'Base stats'!AM:AM)=1,AND(_xlfn.XLOOKUP(B321,'Base stats'!B:B,'Base stats'!O:O)=0,_xlfn.XLOOKUP(_xlfn.XLOOKUP(B321,'Base stats'!B:B,'Base stats'!E:E),Groups!A:A,Groups!B:B)&gt;0)),"AnimalUncommon","AnimalCommon"),
IF(AND(_xlfn.XLOOKUP(B321,'Base stats'!B:B,'Base stats'!O:O)=2,_xlfn.XLOOKUP(_xlfn.XLOOKUP(B321,'Base stats'!B:B,'Base stats'!E:E),Groups!A:A,Groups!D:D)=0),"AnimalPet",IF(AND(_xlfn.XLOOKUP(B321,'Base stats'!B:B,'Base stats'!O:O)&lt;&gt;0,_xlfn.XLOOKUP(_xlfn.XLOOKUP(B321,'Base stats'!B:B,'Base stats'!E:E),Groups!A:A,Groups!D:D)&lt;&gt;0),"AnimalFarm","")),
IF(OR(_xlfn.XLOOKUP(B321,'Base stats'!B:B,'Base stats'!AK:AK)=1,AND(BI321&lt;&gt;"None",BR321&gt;=60),ISNUMBER(SEARCH("Attack target",BP321))),"AnimalFighter","")
)))</f>
        <v>AnimalUncommon, AnimalFighter</v>
      </c>
      <c r="BX321" s="25" t="str">
        <f>IF(G321="None",TRIM(
SUBSTITUTE(
IF(COUNTIF(Biomes!B$2:B$259,"="&amp;$C321)&gt;0,Biomes!B$1&amp;", ","")&amp;
IF(COUNTIF(Biomes!C$2:C$259,"="&amp;$C321)&gt;0,Biomes!C$1&amp;", ","")&amp;
IF(COUNTIF(Biomes!D$2:D$259,"="&amp;$C321)&gt;0,Biomes!D$1&amp;", ","")&amp;
IF(COUNTIF(Biomes!F$2:F$259,"="&amp;$C321)&gt;0,Biomes!F$1&amp;", ","")&amp;
IF(COUNTIF(Biomes!G$2:G$259,"="&amp;$C321)&gt;0,Biomes!G$1&amp;", ","")&amp;
IF(COUNTIF(Biomes!H$2:H$259,"="&amp;$C321)&gt;0,Biomes!H$1&amp;", ","")&amp;
IF(COUNTIF(Biomes!I$2:I$259,"="&amp;$C321)&gt;0,Biomes!I$1&amp;", ","")&amp;
IF(COUNTIF(Biomes!J$2:J$259,"="&amp;$C321)&gt;0,Biomes!J$1&amp;", ","")&amp;
IF(COUNTIF(Biomes!M$2:M$259,"="&amp;$C321)&gt;0,Biomes!M$1&amp;", ","")&amp;
IF(COUNTIF(Biomes!N$2:N$259,"="&amp;$C321)&gt;0,Biomes!N$1&amp;", ","")&amp;
IF(COUNTIF(Biomes!O$2:O$259,"="&amp;$C321)&gt;0,Biomes!O$1&amp;", ","")&amp;
IF(COUNTIF(Biomes!P$2:P$259,"="&amp;$C321)&gt;0,Biomes!P$1&amp;", ","")&amp;
IF(COUNTIF(Biomes!K$2:K$259,"="&amp;$C321)&gt;0,Biomes!K$1&amp;", ","")&amp;
IF(COUNTIF(Biomes!Q$3:Q$259,"="&amp;$C321)&gt;0,Biomes!Q$1&amp;", ","")&amp;
IF(COUNTIF(Biomes!L$2:L$259,"="&amp;$C321)&gt;0,Biomes!L$1&amp;", ","")&amp;
IF(COUNTIF(Biomes!E$2:E$259,"="&amp;$C321)&gt;0,Biomes!E$1&amp;", ","")&amp;IF(COUNTIF(Biomes!S$2:S$259,"="&amp;$C321)&gt;0,Biomes!S$1&amp;", ","")&amp;
IF(COUNTIF(Biomes!R$2:R$259,"="&amp;$C321)&gt;0,Biomes!R$1&amp;", ",""),", ","")
),_xlfn.XLOOKUP(B321,B:B,BX:BX))</f>
        <v/>
      </c>
      <c r="BY321" s="25" t="str">
        <f>IF(_xlfn.XLOOKUP(B321,'Base stats'!B:B,'Base stats'!AJ:AJ)=1,"true","false")</f>
        <v>false</v>
      </c>
      <c r="BZ321" s="25">
        <f>IF(_xlfn.XLOOKUP(B321,'Base stats'!B:B,'Base stats'!N:N)=1,"No",MAX(0.001,MIN(MROUND(IF(AND(BJ321="True",CC321="False"),POWER(10,3.47*LOG10(_xlfn.XLOOKUP(B321,'Base stats'!B:B,'Base stats'!C:C)*1000)^-0.96),POWER(10,4.15*LOG10(_xlfn.XLOOKUP(B321,'Base stats'!B:B,'Base stats'!C:C)*1000)^-0.73))*IF(_xlfn.XLOOKUP(B321,'Base stats'!B:B,'Base stats'!AK:AK)=1,0.5,1)*IF(_xlfn.XLOOKUP(B321,'Base stats'!B:B,'Base stats'!AM:AM)=1,0.1,1)/100,IF(_xlfn.XLOOKUP(B321,'Base stats'!B:B,'Base stats'!AM:AM)=1,0.001,0.025)),0.5)))</f>
        <v>6.0000000000000001E-3</v>
      </c>
      <c r="CA321" s="25" t="str">
        <f>IF(P321="Standard","No",MAX(0.001,MIN(MROUND(IF(AND(BJ321="True",CC321="False"),POWER(10,3.47*LOG10(_xlfn.XLOOKUP(B321,'Base stats'!B:B,'Base stats'!C:C)*1000)^-0.96),POWER(10,4.15*LOG10(_xlfn.XLOOKUP(B321,'Base stats'!B:B,'Base stats'!C:C)*1000)^-0.73))*IF(_xlfn.XLOOKUP(B321,'Base stats'!B:B,'Base stats'!AM:AM)=1,0.1,1)*_xlfn.XLOOKUP(B321,'Base stats'!B:B,'Base stats'!R:R)/100,IF(_xlfn.XLOOKUP(B321,'Base stats'!B:B,'Base stats'!AM:AM)=1,0.001,0.025)),0.5)))</f>
        <v>No</v>
      </c>
      <c r="CB321" s="25" t="str">
        <f>IF(_xlfn.XLOOKUP(_xlfn.XLOOKUP(B321,'Base stats'!B:B,'Base stats'!E:E),Groups!A:A,Groups!AJ:AJ)="Mammal","True","False")</f>
        <v>True</v>
      </c>
      <c r="CC321" s="25" t="str">
        <f>IF(OR(_xlfn.XLOOKUP(_xlfn.XLOOKUP(B321,'Base stats'!B:B,'Base stats'!E:E),Groups!A:A,Groups!AJ:AJ)="Reptile",_xlfn.XLOOKUP(_xlfn.XLOOKUP(B321,'Base stats'!B:B,'Base stats'!E:E),Groups!A:A,Groups!AJ:AJ)="Amphibian",_xlfn.XLOOKUP(_xlfn.XLOOKUP(B321,'Base stats'!B:B,'Base stats'!E:E),Groups!A:A,Groups!AJ:AJ)="Invertebrate"),"True","False")</f>
        <v>False</v>
      </c>
      <c r="CD321" s="25" t="str">
        <f t="shared" si="34"/>
        <v>False</v>
      </c>
      <c r="CE321" s="25" t="str">
        <f>IF(_xlfn.XLOOKUP(_xlfn.XLOOKUP(B321,'Base stats'!B:B,'Base stats'!E:E),Groups!A:A,Groups!AX:AX),"True","False")</f>
        <v>False</v>
      </c>
      <c r="CF321" s="25" t="str">
        <f>IF(_xlfn.XLOOKUP(_xlfn.XLOOKUP(B321,'Base stats'!B:B,'Base stats'!E:E),Groups!A:A,Groups!AY:AY),"True","False")</f>
        <v>False</v>
      </c>
      <c r="CG321" s="25" t="str">
        <f>IF(_xlfn.XLOOKUP(_xlfn.XLOOKUP(B321,'Base stats'!B:B,'Base stats'!E:E),Groups!A:A,Groups!AW:AW),"True","False")</f>
        <v>False</v>
      </c>
      <c r="CH321" s="25" t="str">
        <f>IF(
OR(
_xlfn.XLOOKUP(_xlfn.XLOOKUP(B321,'Base stats'!B:B,'Base stats'!E:E),Groups!A:A,Groups!AZ:AZ)=0,
AND(
_xlfn.XLOOKUP(B321,'Base stats'!B:B,'Base stats'!Y:Y)&lt;&gt;"Carnivore",
_xlfn.XLOOKUP(B321,'Base stats'!B:B,'Base stats'!Y:Y)&lt;&gt;"Omnivore",
_xlfn.XLOOKUP(B321,'Base stats'!B:B,'Base stats'!Y:Y)&lt;&gt;"OmnivoreRough"
)
),
"No",
IF(
_xlfn.XLOOKUP(_xlfn.XLOOKUP(B321,'Base stats'!B:B,'Base stats'!E:E),Groups!A:A,Groups!AZ:AZ)=1,
"Flesh",
IF(
_xlfn.XLOOKUP(_xlfn.XLOOKUP(B321,'Base stats'!B:B,'Base stats'!E:E),Groups!A:A,Groups!AZ:AZ)=2,
"Bone",
""
)
)
)</f>
        <v>Bone</v>
      </c>
      <c r="CI321" s="25" t="str">
        <f>IF(_xlfn.XLOOKUP(_xlfn.XLOOKUP(B321,'Base stats'!B:B,'Base stats'!E:E),Groups!A:A,Groups!BB:BB),"True","False")</f>
        <v>True</v>
      </c>
      <c r="CJ321" s="25" t="str">
        <f>IF(_xlfn.XLOOKUP(_xlfn.XLOOKUP(B321,'Base stats'!B:B,'Base stats'!E:E),Groups!A:A,Groups!BA:BA),"True","False")</f>
        <v>False</v>
      </c>
    </row>
    <row r="322" spans="1:88" ht="16.5" thickTop="1" thickBot="1" x14ac:dyDescent="0.3">
      <c r="A322" s="26" t="s">
        <v>1556</v>
      </c>
      <c r="B322" s="6" t="str">
        <f>_xlfn.XLOOKUP(A322,'Base stats'!A:A,'Base stats'!B:B)</f>
        <v>Varanus squamosus</v>
      </c>
      <c r="C322" s="28" t="s">
        <v>1557</v>
      </c>
      <c r="D322" s="28" t="s">
        <v>1341</v>
      </c>
      <c r="E322" s="28" t="s">
        <v>673</v>
      </c>
      <c r="F322" s="28" t="s">
        <v>673</v>
      </c>
      <c r="G322" s="28" t="s">
        <v>673</v>
      </c>
      <c r="H322" s="2">
        <f>MROUND((
  (IF(AND(_xlfn.XLOOKUP(B322,'Base stats'!B:B,'Base stats'!AL:AL)=0,BI322="None",_xlfn.XLOOKUP(_xlfn.XLOOKUP(B322,'Base stats'!B:B,'Base stats'!E:E),Groups!A:A,Groups!B:B)=0), (18 + BR322 * 2.7) * 0.5,
    IF(AND(_xlfn.XLOOKUP(B322,'Base stats'!B:B,'Base stats'!AL:AL)=0,OR(AO322&lt;0.55,AND(BI322="Intermediate",_xlfn.XLOOKUP(_xlfn.XLOOKUP(B322,'Base stats'!B:B,'Base stats'!E:E),Groups!A:A,Groups!B:B)&lt;2))), (18 + BR322 * 2.7),
      IF(OR(BI322="Advanced",_xlfn.XLOOKUP(B322,'Base stats'!B:B,'Base stats'!AL:AL)=1,_xlfn.XLOOKUP(_xlfn.XLOOKUP(B322,'Base stats'!B:B,'Base stats'!E:E),Groups!A:A,Groups!B:B)=2), (18 + BR322 * 2.7) + 250, (18 + BR322 * 2.7))
    )
  ))
  + AO322 * 80
  + IF(COUNTIF(EggMilk!K$2:K$998, A322) &gt; 0, 125, 0)
  + IF(COUNTIF(EggMilk!P$2:P$998, A322) &gt; 0, 90, 0)
  + IF(COUNTIF(EggMilk!A$2:A$998, A322) &gt; 0, 90, 0)
)
* (0.8 + 0.4 * J322)
* 0.75,25)</f>
        <v>375</v>
      </c>
      <c r="I322" s="2">
        <f>MROUND(ROUNDDOWN(_xlfn.XLOOKUP(B322,'Base stats'!B:B,'Base stats'!L:L)/3.6/(23.3/11),1),0.5)</f>
        <v>2.5</v>
      </c>
      <c r="J322" s="2">
        <f>IF(OR(_xlfn.XLOOKUP(B322,'Base stats'!B:B,'Base stats'!AB:AB)=1,_xlfn.XLOOKUP(_xlfn.XLOOKUP(B322,'Base stats'!B:B,'Base stats'!E:E),Groups!A:A,Groups!C:C)="Untamable"),1,IF(_xlfn.XLOOKUP(B322,'Base stats'!B:B,'Base stats'!AL:AL)=1,0.99,MIN(MROUND((1-0.6282*EXP(-0.459*AO322))*_xlfn.XLOOKUP(_xlfn.XLOOKUP(B322,'Base stats'!B:B,'Base stats'!E:E),Groups!A:A,Groups!C:C)*IF(_xlfn.XLOOKUP(B322,'Base stats'!B:B,'Base stats'!O:O)=1,0.5,IF(_xlfn.XLOOKUP(B322,'Base stats'!B:B,'Base stats'!O:O)=2,0,1)),0.05),IF(AO322&gt;3.5,0.985,0.95))))</f>
        <v>0.85000000000000009</v>
      </c>
      <c r="K322" s="2">
        <f>ROUNDUP(AO322*_xlfn.XLOOKUP(_xlfn.XLOOKUP(B322,'Base stats'!B:B,'Base stats'!E:E),Groups!A:A,Groups!E:E),0)</f>
        <v>2</v>
      </c>
      <c r="L322" s="2">
        <f>IF(OR(_xlfn.XLOOKUP(_xlfn.XLOOKUP(B322,'Base stats'!B:B,'Base stats'!E:E),Groups!A:A,Groups!F:F)=2,ISNUMBER(SEARCH("SeaIce",BX322)),ISNUMBER(SEARCH("IceSheet",BX322))),-50,IF(OR(ISNUMBER(SEARCH("GlacialPlain",BX322)),ISNUMBER(SEARCH("Tundra",BX322))),-40,IF(OR(ISNUMBER(SEARCH("Alpine",BX322)),ISNUMBER(SEARCH("BorealForest",BX322)),ISNUMBER(SEARCH("ColdBog",BX322))),-30,IF(OR(ISNUMBER(SEARCH("TemperateForest",BX322)),ISNUMBER(SEARCH("TemperateSwamp",BX322))),-20,IF(_xlfn.XLOOKUP(_xlfn.XLOOKUP(B322,'Base stats'!B:B,'Base stats'!E:E),Groups!A:A,Groups!F:F)=1,-15,IF(OR(ISNUMBER(SEARCH("Desert",BX322)),ISNUMBER(SEARCH("ExtremeDesert",BX322))),-10,IF(OR(ISNUMBER(SEARCH("Grasslands",BX322)),ISNUMBER(SEARCH("TropicalRainforest",BX322)),ISNUMBER(SEARCH("TropicalSwamp",BX322))),10,0)))))))-IF(CC322="False",MIN(IFERROR(MAX(MROUND(LOG10(_xlfn.XLOOKUP(B322,'Base stats'!B:B,'Base stats'!C:C)^(2/3))*10,5),5),5),30))-_xlfn.XLOOKUP(B322,'Base stats'!B:B,'Base stats'!P:P)+IF(CC322="True",5,0)</f>
        <v>-5</v>
      </c>
      <c r="M322" s="2">
        <f>IF(OR(_xlfn.XLOOKUP(_xlfn.XLOOKUP(B322,'Base stats'!B:B,'Base stats'!E:E),Groups!A:A,Groups!G:G)=2,ISNUMBER(SEARCH("Desert",BX322)),ISNUMBER(SEARCH("ExtremeDesert",BX322)),ISNUMBER(SEARCH("LavaField",BX322))),50,IF(ISNUMBER(SEARCH("Grasslands",BX322)),45,IF(OR(_xlfn.XLOOKUP(_xlfn.XLOOKUP(B322,'Base stats'!B:B,'Base stats'!E:E),Groups!A:A,Groups!G:G)=1,ISNUMBER(SEARCH("TropicalRainforest",BX322)),ISNUMBER(SEARCH("TropicalSwamp",BX322))),40,IF(OR(ISNUMBER(SEARCH("TemperateForest",BX322)),ISNUMBER(SEARCH("TemperateSwamp",BX322))),35,IF(OR(ISNUMBER(SEARCH("Alpine",BX322)),ISNUMBER(SEARCH("BorealForest",BX322)),ISNUMBER(SEARCH("ColdBog",BX322))),30,IF(ISNUMBER(OR(ISNUMBER(SEARCH("GlacialPlain",BX322)),SEARCH("Tundra",BX322))),25,IF(OR(ISNUMBER(SEARCH("SeaIce",BX322)),ISNUMBER(SEARCH("IceSheet",BX322)),ISNUMBER(SEARCH("TropicalSwamp",BX322))),10,35)))))))+_xlfn.XLOOKUP(B322,'Base stats'!B:B,'Base stats'!Q:Q)</f>
        <v>50</v>
      </c>
      <c r="N322" s="8" t="str">
        <f>IF(
_xlfn.XLOOKUP(
_xlfn.XLOOKUP(B322,'Base stats'!B:B,'Base stats'!E:E),
Groups!A:A,
Groups!L:L
)=1,
MIN(
MROUND(
IF(
_xlfn.XLOOKUP(B322,'Animals CE'!B:B,'Animals CE'!Z:Z)&lt;=1.5,
_xlfn.XLOOKUP(B322,'Animals CE'!B:B,'Animals CE'!Z:Z)/2+0.05,
0.8+
(_xlfn.XLOOKUP(B322,'Animals CE'!B:B,'Animals CE'!Z:Z)-1.5)
*0.02
),
0.05
),
200%
),
"No"
)</f>
        <v>No</v>
      </c>
      <c r="O322" s="8" t="str">
        <f>IF(
_xlfn.XLOOKUP(
_xlfn.XLOOKUP(B322,'Base stats'!B:B,'Base stats'!E:E),
Groups!A:A,
Groups!L:L
)=1,
MIN(
MROUND(
IF(
_xlfn.XLOOKUP(B322,'Animals CE'!B:B,'Animals CE'!AA:AA)&lt;=1.5,
_xlfn.XLOOKUP(B322,'Animals CE'!B:B,'Animals CE'!AA:AA)/2+0.05,
0.8+
(_xlfn.XLOOKUP(B322,'Animals CE'!B:B,'Animals CE'!AA:AA)-1.5)
*0.02
),
0.05
),
200%
),
"No"
)</f>
        <v>No</v>
      </c>
      <c r="P322" s="2" t="str">
        <f>_xlfn.XLOOKUP(B322,'Base stats'!B:B,'Base stats'!R:R)</f>
        <v>Standard</v>
      </c>
      <c r="Q322" s="13">
        <f>MROUND((LOG10(_xlfn.XLOOKUP(B322,'Base stats'!B:B,'Base stats'!AR:AR))*(AO322^0.5)+(_xlfn.XLOOKUP(B322,'Base stats'!B:B,'Base stats'!AR:AR)/1000)^(2/3)+_xlfn.XLOOKUP(B322,'Base stats'!B:B,'Base stats'!BA:BA)/2)+0.5,0.5)</f>
        <v>8.5</v>
      </c>
      <c r="R322" s="7">
        <f>IF(Q322="No","No",MAX(1,MROUND(_xlfn.XLOOKUP(B322,'Base stats'!B:B,'Base stats'!C:C)^0.165,0.05)))</f>
        <v>2.15</v>
      </c>
      <c r="S322" s="13" t="str">
        <f>IF(_xlfn.XLOOKUP(_xlfn.XLOOKUP(B322,'Base stats'!B:B,'Base stats'!E:E),Groups!A:A,Groups!P:P)=0,"No",MROUND((LOG10(_xlfn.XLOOKUP(B322,'Base stats'!B:B,'Base stats'!AS:AS))*(AO322^0.5)+(_xlfn.XLOOKUP(B322,'Base stats'!B:B,'Base stats'!AS:AS)/1000)^(2/3)+_xlfn.XLOOKUP(B322,'Base stats'!B:B,'Base stats'!BA:BA))+_xlfn.XLOOKUP(B322,'Base stats'!B:B,'Base stats'!AY:AY)+0.5,0.5))</f>
        <v>No</v>
      </c>
      <c r="T322" s="7" t="str">
        <f>IF(S322="No","No",MAX(_xlfn.XLOOKUP(_xlfn.XLOOKUP(B322,'Base stats'!B:B,'Base stats'!E:E),Groups!A:A,Groups!Q:Q),MROUND(_xlfn.XLOOKUP(_xlfn.XLOOKUP(B322,'Base stats'!B:B,'Base stats'!E:E),Groups!A:A,Groups!Q:Q)*_xlfn.XLOOKUP(B322,'Base stats'!B:B,'Base stats'!C:C)^0.165,0.05)))</f>
        <v>No</v>
      </c>
      <c r="U322" s="7" t="str">
        <f>IF(S322="No","No",_xlfn.XLOOKUP(_xlfn.XLOOKUP(B322,'Base stats'!B:B,'Base stats'!E:E),Groups!A:A,Groups!R:R))</f>
        <v>No</v>
      </c>
      <c r="V322" s="7" t="str">
        <f>IF(S322="No","No",_xlfn.XLOOKUP(_xlfn.XLOOKUP(B322,'Base stats'!B:B,'Base stats'!E:E),Groups!A:A,Groups!S:S))</f>
        <v>No</v>
      </c>
      <c r="W322" s="7" t="str">
        <f>IF(S322="No","No",_xlfn.XLOOKUP(_xlfn.XLOOKUP(B322,'Base stats'!B:B,'Base stats'!E:E),Groups!A:A,Groups!T:T))</f>
        <v>No</v>
      </c>
      <c r="X322" s="13" t="str">
        <f>IF(_xlfn.XLOOKUP(B322,'Base stats'!B:B,'Base stats'!W:W)="No","No",MROUND((LOG10(_xlfn.XLOOKUP(B322,'Base stats'!B:B,'Base stats'!AU:AU))*(AO322^0.5)+(_xlfn.XLOOKUP(B322,'Base stats'!B:B,'Base stats'!AU:AU)/1000)^(2/3)+_xlfn.XLOOKUP(B322,'Base stats'!B:B,'Base stats'!AZ:AZ))+0.5+IF(_xlfn.XLOOKUP(_xlfn.XLOOKUP(B322,'Base stats'!B:B,'Base stats'!E:E),Groups!A:A,Groups!U:U)&lt;&gt;3,_xlfn.XLOOKUP(B322,'Base stats'!B:B,'Base stats'!BA:BA),0),0.5))</f>
        <v>No</v>
      </c>
      <c r="Y322" s="7" t="str">
        <f>IF(X322="No","No",MAX(_xlfn.XLOOKUP(_xlfn.XLOOKUP(B322,'Base stats'!B:B,'Base stats'!E:E),Groups!A:A,Groups!V:V),MROUND(_xlfn.XLOOKUP(_xlfn.XLOOKUP(B322,'Base stats'!B:B,'Base stats'!E:E),Groups!A:A,Groups!V:V)*_xlfn.XLOOKUP(B322,'Base stats'!B:B,'Base stats'!C:C)^0.165,0.05)))</f>
        <v>No</v>
      </c>
      <c r="Z322" s="7" t="str">
        <f>IF(X322="No","No",_xlfn.XLOOKUP(_xlfn.XLOOKUP(B322,'Base stats'!B:B,'Base stats'!E:E),Groups!A:A,Groups!W:W))</f>
        <v>No</v>
      </c>
      <c r="AA322" s="7" t="str">
        <f>IF(X322="No","No",_xlfn.XLOOKUP(_xlfn.XLOOKUP(B322,'Base stats'!B:B,'Base stats'!E:E),Groups!A:A,Groups!X:X))</f>
        <v>No</v>
      </c>
      <c r="AB322" s="7" t="str">
        <f>IF(X322="No","No",_xlfn.XLOOKUP(_xlfn.XLOOKUP(B322,'Base stats'!B:B,'Base stats'!E:E),Groups!A:A,Groups!Y:Y))</f>
        <v>No</v>
      </c>
      <c r="AC322" s="7" t="str">
        <f>_xlfn.XLOOKUP(Animals!B322,'Base stats'!B:B,'Base stats'!X:X)</f>
        <v>False</v>
      </c>
      <c r="AD322" s="13">
        <f>IF(_xlfn.XLOOKUP(B322,'Base stats'!B:B,'Base stats'!AT:AT)="No","No",MROUND((LOG10(_xlfn.XLOOKUP(B322,'Base stats'!B:B,'Base stats'!AT:AT))*(AO322^0.75)+(_xlfn.XLOOKUP(B322,'Base stats'!B:B,'Base stats'!AT:AT)/1000)^(2/3)+_xlfn.XLOOKUP(B322,'Base stats'!B:B,'Base stats'!AX:AX)+_xlfn.XLOOKUP(B322,'Base stats'!B:B,'Base stats'!BA:BA))+0.5,0.5))</f>
        <v>13</v>
      </c>
      <c r="AE322" s="7">
        <f>IF(AD322="No","No",MAX(_xlfn.XLOOKUP(_xlfn.XLOOKUP(B322,'Base stats'!B:B,'Base stats'!E:E),Groups!A:A,Groups!Z:Z),MROUND(_xlfn.XLOOKUP(_xlfn.XLOOKUP(B322,'Base stats'!B:B,'Base stats'!E:E),Groups!A:A,Groups!Z:Z)*_xlfn.XLOOKUP(B322,'Base stats'!B:B,'Base stats'!C:C)^0.165,0.05)))</f>
        <v>1.8</v>
      </c>
      <c r="AF322" s="7" t="str">
        <f>IF(AD322="No","No",_xlfn.XLOOKUP(_xlfn.XLOOKUP(B322,'Base stats'!B:B,'Base stats'!E:E),Groups!A:A,Groups!AA:AA))</f>
        <v>Teeth</v>
      </c>
      <c r="AG322" s="7" t="str">
        <f>IF(AD322="No","No",_xlfn.XLOOKUP(_xlfn.XLOOKUP(B322,'Base stats'!B:B,'Base stats'!E:E),Groups!A:A,Groups!AB:AB))</f>
        <v>teeth</v>
      </c>
      <c r="AH322" s="7" t="str">
        <f>IF(AD322="No","No",_xlfn.XLOOKUP(_xlfn.XLOOKUP(B322,'Base stats'!B:B,'Base stats'!E:E),Groups!A:A,Groups!AC:AC))</f>
        <v>ToxicBite</v>
      </c>
      <c r="AI322" s="13">
        <f>IF(_xlfn.XLOOKUP(_xlfn.XLOOKUP(B322,'Base stats'!B:B,'Base stats'!E:E),Groups!A:A,Groups!AD:AD)=0,"No",MROUND((LOG10(_xlfn.XLOOKUP(B322,'Base stats'!B:B,'Base stats'!AS:AS))*(AO322^0.75)+(_xlfn.XLOOKUP(B322,'Base stats'!B:B,'Base stats'!AS:AS)/1000)^(2/3)+_xlfn.XLOOKUP(B322,'Base stats'!B:B,'Base stats'!AY:AY)+_xlfn.XLOOKUP(B322,'Base stats'!B:B,'Base stats'!BA:BA))+0.5,0.5))</f>
        <v>12</v>
      </c>
      <c r="AJ322" s="7">
        <f>IF(AI322="No","No",MAX(_xlfn.XLOOKUP(_xlfn.XLOOKUP(B322,'Base stats'!B:B,'Base stats'!E:E),Groups!A:A,Groups!AE:AE),MROUND(_xlfn.XLOOKUP(_xlfn.XLOOKUP(B322,'Base stats'!B:B,'Base stats'!E:E),Groups!A:A,Groups!AE:AE)*IF(_xlfn.XLOOKUP(_xlfn.XLOOKUP(B322,'Base stats'!B:B,'Base stats'!E:E),Groups!A:A,Groups!AJ:AJ)="Photonozoa",0.6,1)*_xlfn.XLOOKUP(B322,'Base stats'!B:B,'Base stats'!C:C)^0.165,0.05)))</f>
        <v>1.5</v>
      </c>
      <c r="AK322" s="7" t="str">
        <f>IF(AI322="No","No",_xlfn.XLOOKUP(_xlfn.XLOOKUP(B322,'Base stats'!B:B,'Base stats'!E:E),Groups!A:A,Groups!AF:AF))</f>
        <v>FrontLeftClaws, FrontRightClaws</v>
      </c>
      <c r="AL322" s="7" t="str">
        <f>IF(AI322="No","No",_xlfn.XLOOKUP(_xlfn.XLOOKUP(B322,'Base stats'!B:B,'Base stats'!E:E),Groups!A:A,Groups!AG:AG))</f>
        <v>left claw, right claw</v>
      </c>
      <c r="AM322" s="7" t="str">
        <f>IF(AI322="No","No",_xlfn.XLOOKUP(_xlfn.XLOOKUP(B322,'Base stats'!B:B,'Base stats'!E:E),Groups!A:A,Groups!AH:AH))</f>
        <v>Scratch</v>
      </c>
      <c r="AN322" s="2">
        <f t="shared" si="28"/>
        <v>20</v>
      </c>
      <c r="AO322" s="2">
        <f>MROUND(IF(AND(_xlfn.XLOOKUP(B322,'Base stats'!B:B,'Base stats'!C:C)&gt;=0.5,_xlfn.XLOOKUP(B322,'Base stats'!B:B,'Base stats'!C:C)&lt;=0.8),
IF(_xlfn.XLOOKUP(B322,'Base stats'!B:B,'Base stats'!C:C)&lt;0.1,0.05,IF(_xlfn.XLOOKUP(B322,'Base stats'!B:B,'Base stats'!C:C)&lt;=70,(_xlfn.XLOOKUP(B322,'Base stats'!B:B,'Base stats'!C:C)/70)^0.426489913056526,IF(_xlfn.XLOOKUP(B322,'Base stats'!B:B,'Base stats'!C:C)&lt;=400,(_xlfn.XLOOKUP(B322,'Base stats'!B:B,'Base stats'!C:C)/70)^0.572811455315093,IF(_xlfn.XLOOKUP(B322,'Base stats'!B:B,'Base stats'!C:C)&lt;=2000,2.71391647193063*(_xlfn.XLOOKUP(B322,'Base stats'!B:B,'Base stats'!C:C)/400)^0.252459582904293,3.74314280240376*(_xlfn.XLOOKUP(B322,'Base stats'!B:B,'Base stats'!C:C)/2000)^0.357012633876913)))),
IF(_xlfn.XLOOKUP(B322,'Base stats'!B:B,'Base stats'!C:C)&lt;0.1,0.05,IF(_xlfn.XLOOKUP(B322,'Base stats'!B:B,'Base stats'!C:C)&lt;0.4,0.1,IF(_xlfn.XLOOKUP(B322,'Base stats'!B:B,'Base stats'!C:C)&lt;=70,(_xlfn.XLOOKUP(B322,'Base stats'!B:B,'Base stats'!C:C)/70)^0.445823913056526,IF(_xlfn.XLOOKUP(B322,'Base stats'!B:B,'Base stats'!C:C)&lt;=400,(_xlfn.XLOOKUP(B322,'Base stats'!B:B,'Base stats'!C:C)/70)^0.572811455315093,IF(_xlfn.XLOOKUP(B322,'Base stats'!B:B,'Base stats'!C:C)&lt;=2000,2.71391647193063*(_xlfn.XLOOKUP(B322,'Base stats'!B:B,'Base stats'!C:C)/400)^0.252459582904293,3.74314280240376*(_xlfn.XLOOKUP(B322,'Base stats'!B:B,'Base stats'!C:C)/2000)^0.357012633876913)))))),
IF(_xlfn.XLOOKUP(B322,'Base stats'!B:B,'Base stats'!C:C)&lt;0.1,0.05,IF(_xlfn.XLOOKUP(B322,'Base stats'!B:B,'Base stats'!C:C)&lt;=100,0.05,IF(_xlfn.XLOOKUP(B322,'Base stats'!B:B,'Base stats'!C:C)&lt;=250,0.1,IF(_xlfn.XLOOKUP(B322,'Base stats'!B:B,'Base stats'!C:C)&lt;=4000,0.25,0.5)))))</f>
        <v>1.25</v>
      </c>
      <c r="AP322" s="8">
        <f>MROUND(AO322*_xlfn.XLOOKUP(_xlfn.XLOOKUP(B322,'Base stats'!B:B,'Base stats'!E:E),Groups!A:A,Groups!AI:AI)*_xlfn.XLOOKUP(B322,'Base stats'!B:B,'Base stats'!Z:Z),0.05)</f>
        <v>1.5</v>
      </c>
      <c r="AQ322" s="8">
        <f>MAX(0.01,MROUND(IF(CC322="True",0.196*(AO322*100*1000)^0.889,IF(_xlfn.XLOOKUP(_xlfn.XLOOKUP(B322,'Base stats'!B:B,'Base stats'!E:E),Groups!A:A,Groups!AJ:AJ)="Bird",10.5*(AO322*100*1000)^0.681,4.82*(AO322*100*1000)^0.734))/(4.82*(1*100*1000)^0.734)/IF(AO322&lt;3.5,2,IF(AO322=3.5,1.5,1.25))*(1+0.132282374779864/(AO322^0.994035016789033+0.00905238001496948)),0.05))</f>
        <v>0.15000000000000002</v>
      </c>
      <c r="AR322" s="9">
        <f>IFERROR(MROUND(_xlfn.XLOOKUP(B322,'Base stats'!B:B,'Base stats'!H:H)/IF(_xlfn.XLOOKUP(B322,'Base stats'!B:B,'Base stats'!I:I)&lt;&gt;1,(122.5/70),1.2),IF(_xlfn.XLOOKUP(B322,'Base stats'!B:B,'Base stats'!H:H)&gt;=30,5,IF(_xlfn.XLOOKUP(B322,'Base stats'!B:B,'Base stats'!H:H)&gt;=15,3,IF(_xlfn.XLOOKUP(B322,'Base stats'!B:B,'Base stats'!H:H)&gt;=10,2,1)))),"Immortal")</f>
        <v>35</v>
      </c>
      <c r="AS322" s="35" t="str">
        <f>IFERROR(IF(OR(_xlfn.XLOOKUP(B322,'Base stats'!B:B,'Base stats'!F:F)="Atypical reproduction",_xlfn.XLOOKUP(B322,'Base stats'!B:B,'Base stats'!F:F)="Lay eggs"),"Lay eggs",MIN(20,MAX(5.5,ROUND(((_xlfn.XLOOKUP(B322,'Base stats'!B:B,'Base stats'!F:F)-25)*(14.5/615) + 5.5)*2,0)/2))),"Unknown")</f>
        <v>Lay eggs</v>
      </c>
      <c r="AT322" s="8">
        <f>IF(_xlfn.XLOOKUP(B322,'Base stats'!B:B,'Base stats'!G:G)="Atypical reproduction","No",IFERROR(MAX(IF(_xlfn.XLOOKUP(B322,'Base stats'!B:B,'Base stats'!G:G)&lt;0.5,0.2,0.3),MROUND(_xlfn.XLOOKUP(B322,'Base stats'!B:B,'Base stats'!G:G)/(365/60),0.2)),"Unknown"))</f>
        <v>0.8</v>
      </c>
      <c r="AU322" s="8">
        <f t="shared" si="29"/>
        <v>0.4</v>
      </c>
      <c r="AV322" s="8" t="str">
        <f>IFERROR(IFERROR(MROUND(_xlfn.XLOOKUP(B322,'Base stats'!B:B,'Base stats'!J:J),0.1),"Lay eggs"),"Cannot breed")</f>
        <v>Lay eggs</v>
      </c>
      <c r="AW322" s="2" t="str">
        <f t="shared" si="30"/>
        <v>false</v>
      </c>
      <c r="AX322" s="2" t="str">
        <f>IF(_xlfn.XLOOKUP(_xlfn.XLOOKUP(Animals!B322,'Base stats'!B:B,'Base stats'!E:E),Groups!A:A,Groups!AK:AK)=1,"true","false")</f>
        <v>false</v>
      </c>
      <c r="AY322" s="25" t="str">
        <f>IF(_xlfn.XLOOKUP(B322,'Base stats'!B:B,'Base stats'!Y:Y)="Liquor","Liquor, CarnivoreAnimalStrict",IF(AND(_xlfn.XLOOKUP(B322,'Base stats'!B:B,'Base stats'!Y:Y)="Carnivore",_xlfn.XLOOKUP(_xlfn.XLOOKUP(B322,'Base stats'!B:B,'Base stats'!E:E),Groups!A:A,Groups!AJ:AJ)="Photonozoa"),"CarnivoreAnimalStrict, OvivoreAnimal",IF(_xlfn.XLOOKUP(B322,'Base stats'!B:B,'Base stats'!Y:Y)="Carnivore","CarnivoreAnimal, OvivoreAnimal",IF(_xlfn.XLOOKUP(B322,'Base stats'!B:B,'Base stats'!Y:Y)="Dendrovore","VegetarianRoughAnimal, DendrovoreAnimal",IF(_xlfn.XLOOKUP(B322,'Base stats'!B:B,'Base stats'!Y:Y)="Herbivore","VegetarianRoughAnimal",IF(_xlfn.XLOOKUP(B322,'Base stats'!B:B,'Base stats'!Y:Y)="OmnivoreRough","OmnivoreRoughAnimal, OvivoreAnimal","OmnivoreAnimal, OvivoreAnimal"))))))</f>
        <v>CarnivoreAnimal, OvivoreAnimal</v>
      </c>
      <c r="AZ322" s="2" t="str">
        <f>IF(_xlfn.XLOOKUP(_xlfn.XLOOKUP(B322,'Base stats'!B:B,'Base stats'!E:E),Groups!A:A,Groups!D:D)=1,MROUND((1-J322)*5+1,2)*IF(J322&lt;=0.4,2,1),"No")</f>
        <v>No</v>
      </c>
      <c r="BA322" s="2" t="str">
        <f>IF(AND(_xlfn.XLOOKUP(B322,'Base stats'!B:B,'Base stats'!AH:AH)="&lt;li&gt;Seal&lt;/li&gt;",G322="Odyssey"),"&lt;li&gt;AEXP_Seal&lt;/li&gt;",_xlfn.XLOOKUP(B322,'Base stats'!B:B,'Base stats'!AH:AH))</f>
        <v>&lt;li&gt;Iguana&lt;/li&gt;</v>
      </c>
      <c r="BB322" s="2" t="str">
        <f>_xlfn.XLOOKUP(B322,'Base stats'!B:B,'Base stats'!AG:AG)</f>
        <v>Leather_Lizard</v>
      </c>
      <c r="BC322" s="23" t="str">
        <f>_xlfn.XLOOKUP(_xlfn.XLOOKUP(B322,'Base stats'!B:B,'Base stats'!E:E),Groups!A:A,Groups!AL:AL)</f>
        <v>QuadrupedAnimalWithClawsTailAndJowl</v>
      </c>
      <c r="BD322" s="23">
        <f>MIN(1,MROUND(IF(AND(AO322&lt;0.5,_xlfn.XLOOKUP(B322,'Base stats'!B:B,'Base stats'!AA:AA)=0),0,IF(OR(_xlfn.XLOOKUP(Animals!B322,'Base stats'!B:B,'Base stats'!O:O)=2,_xlfn.XLOOKUP(_xlfn.XLOOKUP(B322,'Base stats'!B:B,'Base stats'!E:E),Groups!A:A,Groups!AN:AN)=0),0,_xlfn.XLOOKUP(_xlfn.XLOOKUP(B322,'Base stats'!B:B,'Base stats'!E:E),Groups!A:A,Groups!AN:AN)/IF(_xlfn.XLOOKUP(Animals!B322,'Base stats'!B:B,'Base stats'!O:O)=1,2,1)))+_xlfn.XLOOKUP(B322,'Base stats'!B:B,'Base stats'!AC:AC),0.005))</f>
        <v>0.1</v>
      </c>
      <c r="BE322" s="23">
        <f>MIN(1,MROUND(IF(AND(AO322&lt;0.5,_xlfn.XLOOKUP(B322,'Base stats'!B:B,'Base stats'!AA:AA)=0),0,IF(_xlfn.XLOOKUP(_xlfn.XLOOKUP(B322,'Base stats'!B:B,'Base stats'!E:E),Groups!A:A,Groups!AO:AO)=0,0,_xlfn.XLOOKUP(_xlfn.XLOOKUP(B322,'Base stats'!B:B,'Base stats'!E:E),Groups!A:A,Groups!AO:AO)/IF(_xlfn.XLOOKUP(Animals!B322,'Base stats'!B:B,'Base stats'!O:O)=2,3,1)))+_xlfn.XLOOKUP(B322,'Base stats'!B:B,'Base stats'!AD:AD),0.005))</f>
        <v>0.3</v>
      </c>
      <c r="BF322" s="2" t="str">
        <f>IF(J322&gt;0.3,"No",_xlfn.XLOOKUP(_xlfn.XLOOKUP(Animals!B322,'Base stats'!B:B,'Base stats'!E:E),Groups!A:A,Groups!AP:AP))</f>
        <v>No</v>
      </c>
      <c r="BG322" s="2" t="str">
        <f>IF(AND(J322&lt;=0.65,_xlfn.XLOOKUP(_xlfn.XLOOKUP(Animals!B322,'Base stats'!B:B,'Base stats'!E:E),Groups!A:A,Groups!AP:AP)&lt;&gt;"No",_xlfn.XLOOKUP(_xlfn.XLOOKUP(B322,'Base stats'!B:B,'Base stats'!E:E),Groups!A:A,Groups!D:D)=0),MROUND((80/3)*IF(_xlfn.XLOOKUP(B322,'Base stats'!B:B,'Base stats'!O:O)=2,0.2,AO322) + 24*(1-IF(BF322="No",0,BF322)) + 16/3, 12),"No")</f>
        <v>No</v>
      </c>
      <c r="BH322" s="2">
        <f>IF(AND(_xlfn.XLOOKUP(_xlfn.XLOOKUP(B322,'Base stats'!B:B,'Base stats'!E:E),Groups!A:A,Groups!AQ:AQ)=1,AO322&lt;=0.35),8,12)</f>
        <v>12</v>
      </c>
      <c r="BI322" s="2" t="str">
        <f>IF(_xlfn.XLOOKUP(_xlfn.XLOOKUP(B322,'Base stats'!B:B,'Base stats'!E:E),Groups!A:A,Groups!D:D)=0,_xlfn.XLOOKUP(_xlfn.XLOOKUP(B322,'Base stats'!B:B,'Base stats'!E:E),Groups!A:A,Groups!AR:AR),"None")</f>
        <v>Intermediate</v>
      </c>
      <c r="BJ322" s="2" t="str">
        <f>IF(AND(_xlfn.XLOOKUP(_xlfn.XLOOKUP(B322,'Base stats'!B:B,'Base stats'!E:E),Groups!A:A,Groups!AS:AS)=1,OR(_xlfn.XLOOKUP(B322,'Base stats'!B:B,'Base stats'!Y:Y)="Carnivore",_xlfn.XLOOKUP(B322,'Base stats'!B:B,'Base stats'!Y:Y)="Omnivore")),"true","false")</f>
        <v>true</v>
      </c>
      <c r="BK322" s="2">
        <f>IF(BJ322="true",MROUND(IF(AND(AO322&gt;0.5,OR(_xlfn.XLOOKUP(_xlfn.XLOOKUP(B322,'Base stats'!B:B,'Base stats'!E:E),Groups!A:A,Groups!AJ:AJ)="Photonozoa",_xlfn.XLOOKUP(_xlfn.XLOOKUP(B322,'Base stats'!B:B,'Base stats'!E:E),Groups!A:A,Groups!AJ:AJ)="Mammal")),Animals!AO322*1.75*IF(AW322="true",1.5,1),IF(AO322&lt;0.5,Animals!AO322*0.5,Animals!AO322)),IF(AO322&gt;2,0.5,IF(AO322&gt;0.5,0.25,0.1))),"No")</f>
        <v>1.25</v>
      </c>
      <c r="BL322" s="2">
        <f t="shared" si="31"/>
        <v>1</v>
      </c>
      <c r="BM322" s="25" t="str">
        <f>IF(_xlfn.XLOOKUP(B322,'Base stats'!B:B,'Base stats'!AN:AN)="Standard","No",MROUND((_xlfn.XLOOKUP(B322,'Base stats'!B:B,'Base stats'!AN:AN)/3.6)/I322,0.1))</f>
        <v>No</v>
      </c>
      <c r="BN322" s="25" t="str">
        <f t="shared" si="32"/>
        <v>false</v>
      </c>
      <c r="BO322" s="25" t="str">
        <f>IF(AND(OR(_xlfn.XLOOKUP(B322,'Base stats'!B:B,'Base stats'!Y:Y)="Carnivore",_xlfn.XLOOKUP(B322,'Base stats'!B:B,'Base stats'!Y:Y)="Omnivore",_xlfn.XLOOKUP(B322,'Base stats'!B:B,'Base stats'!Y:Y)="OmnivoreRough"),_xlfn.XLOOKUP(_xlfn.XLOOKUP(B322,'Base stats'!B:B,'Base stats'!E:E),Groups!A:A,Groups!AT:AT)=1),"true","false")</f>
        <v>false</v>
      </c>
      <c r="BP322" s="25" t="str" cm="1">
        <f t="array" ref="BP322">IF(
  _xlfn.TEXTJOIN(", ",TRUE,
    IF(AND(BJ322="true",AO322&gt;0.5,BI322&lt;&gt;"None"),"AttackTarget",""),
    IF(AND(_xlfn.XLOOKUP(_xlfn.XLOOKUP(B322,'Base stats'!B:B,'Base stats'!E:E),Groups!A:A,Groups!AJ:AJ="Mammal"),OR(_xlfn.XLOOKUP(B322,'Base stats'!B:B,'Base stats'!Y:Y)="Omnivore",_xlfn.XLOOKUP(B322,'Base stats'!B:B,'Base stats'!Y:Y)="OmnivoreRough")),"Forage",""),
    IF(BG322&lt;=36,"Comfort",""),
    IF(_xlfn.XLOOKUP(B322,'Base stats'!B:B,'Base stats'!AE:AE)&lt;&gt;"No",_xlfn.XLOOKUP(B322,'Base stats'!B:B,'Base stats'!AE:AE),"")
  ) = "",
  "No",
  _xlfn.TEXTJOIN(", ",TRUE,
    IF(AND(BJ322="true",AO322&gt;0.5,BI322&lt;&gt;"None"),"AttackTarget",""),
    IF(AND(_xlfn.XLOOKUP(_xlfn.XLOOKUP(B322,'Base stats'!B:B,'Base stats'!E:E),Groups!A:A,Groups!AJ:AJ="Mammal"),OR(_xlfn.XLOOKUP(B322,'Base stats'!B:B,'Base stats'!Y:Y)="Omnivore",_xlfn.XLOOKUP(B322,'Base stats'!B:B,'Base stats'!Y:Y)="OmnivoreRough")),"Forage",""),
    IF(BG322&lt;=36,"Comfort",""),
    IF(_xlfn.XLOOKUP(B322,'Base stats'!B:B,'Base stats'!AE:AE)&lt;&gt;"No",_xlfn.XLOOKUP(B322,'Base stats'!B:B,'Base stats'!AE:AE),"")
  )
)</f>
        <v>AttackTarget</v>
      </c>
      <c r="BQ322" s="25" t="str">
        <f>IF(
   AND(
      'Base stats'!AN322="Standard",_xlfn.XLOOKUP(_xlfn.XLOOKUP(B322,'Base stats'!B:B,'Base stats'!E:E),Groups!A:A,Groups!AU:AU)=0,
      OR(
      BO322="True"
      )
   ),
   10,
   IF(
       OR(BM322&lt;&gt;"No",_xlfn.XLOOKUP(_xlfn.XLOOKUP(B322,'Base stats'!B:B,'Base stats'!E:E),Groups!A:A,Groups!AU:AU)=1),
      1,
      "No"
   )
)</f>
        <v>No</v>
      </c>
      <c r="BR322" s="9">
        <f>MROUND((1 + ((0.2*IF(OR(Q322="No",R322="No",R322=0),0,Q322/R322)
+IF(OR(V322="No",S322="No",T322="No"),0,S322/T322*(LEN(V322)-LEN(SUBSTITUTE(V322,",",""))+1))
+IF(OR(X322="No",Y322="No"),0,X322/Y322)
+IF(OR(AD322="No",AE322="No"),0,AD322/AE322)
+IF(OR(AL322="No",AI322="No",AJ322="No"),0,AI322/AJ322*(LEN(AL322)-LEN(SUBSTITUTE(AL322,",",""))+1))
)/(0.2*IF(OR(Q322="No",R322="No",R322=0),0,1)
+IF(OR(V322="No",S322="No",T322="No"),0,LEN(V322)-LEN(SUBSTITUTE(V322,",",""))+1)
+IF(OR(X322="No",Y322="No"),0,1)
+IF(OR(AD322="No",AE322="No"),0,1)
+IF(OR(AL322="No",AI322="No",AJ322="No"),0,LEN(AL322)-LEN(SUBSTITUTE(AL322,",",""))+1))*62%)* 2)*(1 + (AP322 / (IF(_xlfn.XLOOKUP(_xlfn.XLOOKUP(B322,'Base stats'!B:B,'Base stats'!E:E),Groups!A:A,Groups!AJ:AJ)="Photonozoa",0.3,1)) + _xlfn.XLOOKUP(B322,'Base stats'!B:B,'Base stats'!AV:AV) * 1.8) * 2) * 2.5 + 10 + I322 * 2,5)+IF(_xlfn.XLOOKUP(B322,'Base stats'!B:B,'Base stats'!AK:AK)=1,50,0)</f>
        <v>120</v>
      </c>
      <c r="BS322" s="8">
        <f t="shared" si="33"/>
        <v>0.35000000000000003</v>
      </c>
      <c r="BT322" s="8" t="str">
        <f>_xlfn.XLOOKUP(B322,'Base stats'!B:B,'Base stats'!AF:AF)</f>
        <v>No</v>
      </c>
      <c r="BU322" s="2" t="str">
        <f>IF(AND(J322&lt;=0.95,OR(_xlfn.XLOOKUP(B322,'Base stats'!B:B,'Base stats'!AK:AK)=1,_xlfn.XLOOKUP(B322,'Base stats'!B:B,'Base stats'!Y:Y)="Carnivore",_xlfn.XLOOKUP(B322,'Base stats'!B:B,'Base stats'!Y:Y)="Omnivore",BE322&gt;0.1)),"true","false")</f>
        <v>true</v>
      </c>
      <c r="BV322" s="2" t="str">
        <f>IF(_xlfn.XLOOKUP(B322,'Base stats'!B:B,'Base stats'!AI:AI)=1,"true","false")</f>
        <v>false</v>
      </c>
      <c r="BW322" s="25" t="str">
        <f>IF(E322="BaseInsect","AnimalInsect",
IF(J322&gt;0.95,"AnimalExotic",
_xlfn.TEXTJOIN(", ",TRUE,
IF(OR(_xlfn.XLOOKUP(B322,'Base stats'!B:B,'Base stats'!AM:AM)=1,AND(_xlfn.XLOOKUP(B322,'Base stats'!B:B,'Base stats'!O:O)=0,_xlfn.XLOOKUP(_xlfn.XLOOKUP(B322,'Base stats'!B:B,'Base stats'!E:E),Groups!A:A,Groups!B:B)&gt;0)),"AnimalUncommon","AnimalCommon"),
IF(AND(_xlfn.XLOOKUP(B322,'Base stats'!B:B,'Base stats'!O:O)=2,_xlfn.XLOOKUP(_xlfn.XLOOKUP(B322,'Base stats'!B:B,'Base stats'!E:E),Groups!A:A,Groups!D:D)=0),"AnimalPet",IF(AND(_xlfn.XLOOKUP(B322,'Base stats'!B:B,'Base stats'!O:O)&lt;&gt;0,_xlfn.XLOOKUP(_xlfn.XLOOKUP(B322,'Base stats'!B:B,'Base stats'!E:E),Groups!A:A,Groups!D:D)&lt;&gt;0),"AnimalFarm","")),
IF(OR(_xlfn.XLOOKUP(B322,'Base stats'!B:B,'Base stats'!AK:AK)=1,AND(BI322&lt;&gt;"None",BR322&gt;=60),ISNUMBER(SEARCH("Attack target",BP322))),"AnimalFighter","")
)))</f>
        <v>AnimalUncommon, AnimalFighter</v>
      </c>
      <c r="BX322" s="25" t="str">
        <f>IF(G322="None",TRIM(
SUBSTITUTE(
IF(COUNTIF(Biomes!B$2:B$259,"="&amp;$C322)&gt;0,Biomes!B$1&amp;", ","")&amp;
IF(COUNTIF(Biomes!C$2:C$259,"="&amp;$C322)&gt;0,Biomes!C$1&amp;", ","")&amp;
IF(COUNTIF(Biomes!D$2:D$259,"="&amp;$C322)&gt;0,Biomes!D$1&amp;", ","")&amp;
IF(COUNTIF(Biomes!F$2:F$259,"="&amp;$C322)&gt;0,Biomes!F$1&amp;", ","")&amp;
IF(COUNTIF(Biomes!G$2:G$259,"="&amp;$C322)&gt;0,Biomes!G$1&amp;", ","")&amp;
IF(COUNTIF(Biomes!H$2:H$259,"="&amp;$C322)&gt;0,Biomes!H$1&amp;", ","")&amp;
IF(COUNTIF(Biomes!I$2:I$259,"="&amp;$C322)&gt;0,Biomes!I$1&amp;", ","")&amp;
IF(COUNTIF(Biomes!J$2:J$259,"="&amp;$C322)&gt;0,Biomes!J$1&amp;", ","")&amp;
IF(COUNTIF(Biomes!M$2:M$259,"="&amp;$C322)&gt;0,Biomes!M$1&amp;", ","")&amp;
IF(COUNTIF(Biomes!N$2:N$259,"="&amp;$C322)&gt;0,Biomes!N$1&amp;", ","")&amp;
IF(COUNTIF(Biomes!O$2:O$259,"="&amp;$C322)&gt;0,Biomes!O$1&amp;", ","")&amp;
IF(COUNTIF(Biomes!P$2:P$259,"="&amp;$C322)&gt;0,Biomes!P$1&amp;", ","")&amp;
IF(COUNTIF(Biomes!K$2:K$259,"="&amp;$C322)&gt;0,Biomes!K$1&amp;", ","")&amp;
IF(COUNTIF(Biomes!Q$3:Q$259,"="&amp;$C322)&gt;0,Biomes!Q$1&amp;", ","")&amp;
IF(COUNTIF(Biomes!L$2:L$259,"="&amp;$C322)&gt;0,Biomes!L$1&amp;", ","")&amp;
IF(COUNTIF(Biomes!E$2:E$259,"="&amp;$C322)&gt;0,Biomes!E$1&amp;", ","")&amp;IF(COUNTIF(Biomes!S$2:S$259,"="&amp;$C322)&gt;0,Biomes!S$1&amp;", ","")&amp;
IF(COUNTIF(Biomes!R$2:R$259,"="&amp;$C322)&gt;0,Biomes!R$1&amp;", ",""),", ","")
),_xlfn.XLOOKUP(B322,B:B,BX:BX))</f>
        <v>AridShrubland Desert Grasslands LavaField</v>
      </c>
      <c r="BY322" s="25" t="str">
        <f>IF(_xlfn.XLOOKUP(B322,'Base stats'!B:B,'Base stats'!AJ:AJ)=1,"true","false")</f>
        <v>false</v>
      </c>
      <c r="BZ322" s="25">
        <f>IF(_xlfn.XLOOKUP(B322,'Base stats'!B:B,'Base stats'!N:N)=1,"No",MAX(0.001,MIN(MROUND(IF(AND(BJ322="True",CC322="False"),POWER(10,3.47*LOG10(_xlfn.XLOOKUP(B322,'Base stats'!B:B,'Base stats'!C:C)*1000)^-0.96),POWER(10,4.15*LOG10(_xlfn.XLOOKUP(B322,'Base stats'!B:B,'Base stats'!C:C)*1000)^-0.73))*IF(_xlfn.XLOOKUP(B322,'Base stats'!B:B,'Base stats'!AK:AK)=1,0.5,1)*IF(_xlfn.XLOOKUP(B322,'Base stats'!B:B,'Base stats'!AM:AM)=1,0.1,1)/100,IF(_xlfn.XLOOKUP(B322,'Base stats'!B:B,'Base stats'!AM:AM)=1,0.001,0.025)),0.5)))</f>
        <v>1.9E-2</v>
      </c>
      <c r="CA322" s="25" t="str">
        <f>IF(P322="Standard","No",MAX(0.001,MIN(MROUND(IF(AND(BJ322="True",CC322="False"),POWER(10,3.47*LOG10(_xlfn.XLOOKUP(B322,'Base stats'!B:B,'Base stats'!C:C)*1000)^-0.96),POWER(10,4.15*LOG10(_xlfn.XLOOKUP(B322,'Base stats'!B:B,'Base stats'!C:C)*1000)^-0.73))*IF(_xlfn.XLOOKUP(B322,'Base stats'!B:B,'Base stats'!AM:AM)=1,0.1,1)*_xlfn.XLOOKUP(B322,'Base stats'!B:B,'Base stats'!R:R)/100,IF(_xlfn.XLOOKUP(B322,'Base stats'!B:B,'Base stats'!AM:AM)=1,0.001,0.025)),0.5)))</f>
        <v>No</v>
      </c>
      <c r="CB322" s="25" t="str">
        <f>IF(_xlfn.XLOOKUP(_xlfn.XLOOKUP(B322,'Base stats'!B:B,'Base stats'!E:E),Groups!A:A,Groups!AJ:AJ)="Mammal","True","False")</f>
        <v>False</v>
      </c>
      <c r="CC322" s="25" t="str">
        <f>IF(OR(_xlfn.XLOOKUP(_xlfn.XLOOKUP(B322,'Base stats'!B:B,'Base stats'!E:E),Groups!A:A,Groups!AJ:AJ)="Reptile",_xlfn.XLOOKUP(_xlfn.XLOOKUP(B322,'Base stats'!B:B,'Base stats'!E:E),Groups!A:A,Groups!AJ:AJ)="Amphibian",_xlfn.XLOOKUP(_xlfn.XLOOKUP(B322,'Base stats'!B:B,'Base stats'!E:E),Groups!A:A,Groups!AJ:AJ)="Invertebrate"),"True","False")</f>
        <v>True</v>
      </c>
      <c r="CD322" s="25" t="str">
        <f t="shared" si="34"/>
        <v>False</v>
      </c>
      <c r="CE322" s="25" t="str">
        <f>IF(_xlfn.XLOOKUP(_xlfn.XLOOKUP(B322,'Base stats'!B:B,'Base stats'!E:E),Groups!A:A,Groups!AX:AX),"True","False")</f>
        <v>False</v>
      </c>
      <c r="CF322" s="25" t="str">
        <f>IF(_xlfn.XLOOKUP(_xlfn.XLOOKUP(B322,'Base stats'!B:B,'Base stats'!E:E),Groups!A:A,Groups!AY:AY),"True","False")</f>
        <v>False</v>
      </c>
      <c r="CG322" s="25" t="str">
        <f>IF(_xlfn.XLOOKUP(_xlfn.XLOOKUP(B322,'Base stats'!B:B,'Base stats'!E:E),Groups!A:A,Groups!AW:AW),"True","False")</f>
        <v>False</v>
      </c>
      <c r="CH322" s="25" t="str">
        <f>IF(
OR(
_xlfn.XLOOKUP(_xlfn.XLOOKUP(B322,'Base stats'!B:B,'Base stats'!E:E),Groups!A:A,Groups!AZ:AZ)=0,
AND(
_xlfn.XLOOKUP(B322,'Base stats'!B:B,'Base stats'!Y:Y)&lt;&gt;"Carnivore",
_xlfn.XLOOKUP(B322,'Base stats'!B:B,'Base stats'!Y:Y)&lt;&gt;"Omnivore",
_xlfn.XLOOKUP(B322,'Base stats'!B:B,'Base stats'!Y:Y)&lt;&gt;"OmnivoreRough"
)
),
"No",
IF(
_xlfn.XLOOKUP(_xlfn.XLOOKUP(B322,'Base stats'!B:B,'Base stats'!E:E),Groups!A:A,Groups!AZ:AZ)=1,
"Flesh",
IF(
_xlfn.XLOOKUP(_xlfn.XLOOKUP(B322,'Base stats'!B:B,'Base stats'!E:E),Groups!A:A,Groups!AZ:AZ)=2,
"Bone",
""
)
)
)</f>
        <v>Flesh</v>
      </c>
      <c r="CI322" s="25" t="str">
        <f>IF(_xlfn.XLOOKUP(_xlfn.XLOOKUP(B322,'Base stats'!B:B,'Base stats'!E:E),Groups!A:A,Groups!BB:BB),"True","False")</f>
        <v>False</v>
      </c>
      <c r="CJ322" s="25" t="str">
        <f>IF(_xlfn.XLOOKUP(_xlfn.XLOOKUP(B322,'Base stats'!B:B,'Base stats'!E:E),Groups!A:A,Groups!BA:BA),"True","False")</f>
        <v>False</v>
      </c>
    </row>
    <row r="323" spans="1:88" ht="16.5" thickTop="1" thickBot="1" x14ac:dyDescent="0.3">
      <c r="A323" s="26" t="s">
        <v>1558</v>
      </c>
      <c r="B323" s="6" t="str">
        <f>_xlfn.XLOOKUP(A323,'Base stats'!A:A,'Base stats'!B:B)</f>
        <v>Avis regalis</v>
      </c>
      <c r="C323" s="28" t="s">
        <v>1559</v>
      </c>
      <c r="D323" s="28" t="s">
        <v>1341</v>
      </c>
      <c r="E323" s="28" t="s">
        <v>673</v>
      </c>
      <c r="F323" s="28" t="s">
        <v>673</v>
      </c>
      <c r="G323" s="28" t="s">
        <v>673</v>
      </c>
      <c r="H323" s="2">
        <f>MROUND((
  (IF(AND(_xlfn.XLOOKUP(B323,'Base stats'!B:B,'Base stats'!AL:AL)=0,BI323="None",_xlfn.XLOOKUP(_xlfn.XLOOKUP(B323,'Base stats'!B:B,'Base stats'!E:E),Groups!A:A,Groups!B:B)=0), (18 + BR323 * 2.7) * 0.5,
    IF(AND(_xlfn.XLOOKUP(B323,'Base stats'!B:B,'Base stats'!AL:AL)=0,OR(AO323&lt;0.55,AND(BI323="Intermediate",_xlfn.XLOOKUP(_xlfn.XLOOKUP(B323,'Base stats'!B:B,'Base stats'!E:E),Groups!A:A,Groups!B:B)&lt;2))), (18 + BR323 * 2.7),
      IF(OR(BI323="Advanced",_xlfn.XLOOKUP(B323,'Base stats'!B:B,'Base stats'!AL:AL)=1,_xlfn.XLOOKUP(_xlfn.XLOOKUP(B323,'Base stats'!B:B,'Base stats'!E:E),Groups!A:A,Groups!B:B)=2), (18 + BR323 * 2.7) + 250, (18 + BR323 * 2.7))
    )
  ))
  + AO323 * 80
  + IF(COUNTIF(EggMilk!K$2:K$998, A323) &gt; 0, 125, 0)
  + IF(COUNTIF(EggMilk!P$2:P$998, A323) &gt; 0, 90, 0)
  + IF(COUNTIF(EggMilk!A$2:A$998, A323) &gt; 0, 90, 0)
)
* (0.8 + 0.4 * J323)
* 0.75,25)</f>
        <v>450</v>
      </c>
      <c r="I323" s="2">
        <f>MROUND(ROUNDDOWN(_xlfn.XLOOKUP(B323,'Base stats'!B:B,'Base stats'!L:L)/3.6/(23.3/11),1),0.5)</f>
        <v>9</v>
      </c>
      <c r="J323" s="2">
        <f>IF(OR(_xlfn.XLOOKUP(B323,'Base stats'!B:B,'Base stats'!AB:AB)=1,_xlfn.XLOOKUP(_xlfn.XLOOKUP(B323,'Base stats'!B:B,'Base stats'!E:E),Groups!A:A,Groups!C:C)="Untamable"),1,IF(_xlfn.XLOOKUP(B323,'Base stats'!B:B,'Base stats'!AL:AL)=1,0.99,MIN(MROUND((1-0.6282*EXP(-0.459*AO323))*_xlfn.XLOOKUP(_xlfn.XLOOKUP(B323,'Base stats'!B:B,'Base stats'!E:E),Groups!A:A,Groups!C:C)*IF(_xlfn.XLOOKUP(B323,'Base stats'!B:B,'Base stats'!O:O)=1,0.5,IF(_xlfn.XLOOKUP(B323,'Base stats'!B:B,'Base stats'!O:O)=2,0,1)),0.05),IF(AO323&gt;3.5,0.985,0.95))))</f>
        <v>0.9</v>
      </c>
      <c r="K323" s="2">
        <f>ROUNDUP(AO323*_xlfn.XLOOKUP(_xlfn.XLOOKUP(B323,'Base stats'!B:B,'Base stats'!E:E),Groups!A:A,Groups!E:E),0)</f>
        <v>20</v>
      </c>
      <c r="L323" s="2">
        <f>IF(OR(_xlfn.XLOOKUP(_xlfn.XLOOKUP(B323,'Base stats'!B:B,'Base stats'!E:E),Groups!A:A,Groups!F:F)=2,ISNUMBER(SEARCH("SeaIce",BX323)),ISNUMBER(SEARCH("IceSheet",BX323))),-50,IF(OR(ISNUMBER(SEARCH("GlacialPlain",BX323)),ISNUMBER(SEARCH("Tundra",BX323))),-40,IF(OR(ISNUMBER(SEARCH("Alpine",BX323)),ISNUMBER(SEARCH("BorealForest",BX323)),ISNUMBER(SEARCH("ColdBog",BX323))),-30,IF(OR(ISNUMBER(SEARCH("TemperateForest",BX323)),ISNUMBER(SEARCH("TemperateSwamp",BX323))),-20,IF(_xlfn.XLOOKUP(_xlfn.XLOOKUP(B323,'Base stats'!B:B,'Base stats'!E:E),Groups!A:A,Groups!F:F)=1,-15,IF(OR(ISNUMBER(SEARCH("Desert",BX323)),ISNUMBER(SEARCH("ExtremeDesert",BX323))),-10,IF(OR(ISNUMBER(SEARCH("Grasslands",BX323)),ISNUMBER(SEARCH("TropicalRainforest",BX323)),ISNUMBER(SEARCH("TropicalSwamp",BX323))),10,0)))))))-IF(CC323="False",MIN(IFERROR(MAX(MROUND(LOG10(_xlfn.XLOOKUP(B323,'Base stats'!B:B,'Base stats'!C:C)^(2/3))*10,5),5),5),30))-_xlfn.XLOOKUP(B323,'Base stats'!B:B,'Base stats'!P:P)+IF(CC323="True",5,0)</f>
        <v>-15</v>
      </c>
      <c r="M323" s="2">
        <f>IF(OR(_xlfn.XLOOKUP(_xlfn.XLOOKUP(B323,'Base stats'!B:B,'Base stats'!E:E),Groups!A:A,Groups!G:G)=2,ISNUMBER(SEARCH("Desert",BX323)),ISNUMBER(SEARCH("ExtremeDesert",BX323)),ISNUMBER(SEARCH("LavaField",BX323))),50,IF(ISNUMBER(SEARCH("Grasslands",BX323)),45,IF(OR(_xlfn.XLOOKUP(_xlfn.XLOOKUP(B323,'Base stats'!B:B,'Base stats'!E:E),Groups!A:A,Groups!G:G)=1,ISNUMBER(SEARCH("TropicalRainforest",BX323)),ISNUMBER(SEARCH("TropicalSwamp",BX323))),40,IF(OR(ISNUMBER(SEARCH("TemperateForest",BX323)),ISNUMBER(SEARCH("TemperateSwamp",BX323))),35,IF(OR(ISNUMBER(SEARCH("Alpine",BX323)),ISNUMBER(SEARCH("BorealForest",BX323)),ISNUMBER(SEARCH("ColdBog",BX323))),30,IF(ISNUMBER(OR(ISNUMBER(SEARCH("GlacialPlain",BX323)),SEARCH("Tundra",BX323))),25,IF(OR(ISNUMBER(SEARCH("SeaIce",BX323)),ISNUMBER(SEARCH("IceSheet",BX323)),ISNUMBER(SEARCH("TropicalSwamp",BX323))),10,35)))))))+_xlfn.XLOOKUP(B323,'Base stats'!B:B,'Base stats'!Q:Q)</f>
        <v>35</v>
      </c>
      <c r="N323" s="8" t="str">
        <f>IF(
_xlfn.XLOOKUP(
_xlfn.XLOOKUP(B323,'Base stats'!B:B,'Base stats'!E:E),
Groups!A:A,
Groups!L:L
)=1,
MIN(
MROUND(
IF(
_xlfn.XLOOKUP(B323,'Animals CE'!B:B,'Animals CE'!Z:Z)&lt;=1.5,
_xlfn.XLOOKUP(B323,'Animals CE'!B:B,'Animals CE'!Z:Z)/2+0.05,
0.8+
(_xlfn.XLOOKUP(B323,'Animals CE'!B:B,'Animals CE'!Z:Z)-1.5)
*0.02
),
0.05
),
200%
),
"No"
)</f>
        <v>No</v>
      </c>
      <c r="O323" s="8" t="str">
        <f>IF(
_xlfn.XLOOKUP(
_xlfn.XLOOKUP(B323,'Base stats'!B:B,'Base stats'!E:E),
Groups!A:A,
Groups!L:L
)=1,
MIN(
MROUND(
IF(
_xlfn.XLOOKUP(B323,'Animals CE'!B:B,'Animals CE'!AA:AA)&lt;=1.5,
_xlfn.XLOOKUP(B323,'Animals CE'!B:B,'Animals CE'!AA:AA)/2+0.05,
0.8+
(_xlfn.XLOOKUP(B323,'Animals CE'!B:B,'Animals CE'!AA:AA)-1.5)
*0.02
),
0.05
),
200%
),
"No"
)</f>
        <v>No</v>
      </c>
      <c r="P323" s="2" t="str">
        <f>_xlfn.XLOOKUP(B323,'Base stats'!B:B,'Base stats'!R:R)</f>
        <v>Standard</v>
      </c>
      <c r="Q323" s="13">
        <f>MROUND((LOG10(_xlfn.XLOOKUP(B323,'Base stats'!B:B,'Base stats'!AR:AR))*(AO323^0.5)+(_xlfn.XLOOKUP(B323,'Base stats'!B:B,'Base stats'!AR:AR)/1000)^(2/3)+_xlfn.XLOOKUP(B323,'Base stats'!B:B,'Base stats'!BA:BA)/2)+0.5,0.5)</f>
        <v>11</v>
      </c>
      <c r="R323" s="7">
        <f>IF(Q323="No","No",MAX(1,MROUND(_xlfn.XLOOKUP(B323,'Base stats'!B:B,'Base stats'!C:C)^0.165,0.05)))</f>
        <v>2.4000000000000004</v>
      </c>
      <c r="S323" s="13">
        <f>IF(_xlfn.XLOOKUP(_xlfn.XLOOKUP(B323,'Base stats'!B:B,'Base stats'!E:E),Groups!A:A,Groups!P:P)=0,"No",MROUND((LOG10(_xlfn.XLOOKUP(B323,'Base stats'!B:B,'Base stats'!AS:AS))*(AO323^0.5)+(_xlfn.XLOOKUP(B323,'Base stats'!B:B,'Base stats'!AS:AS)/1000)^(2/3)+_xlfn.XLOOKUP(B323,'Base stats'!B:B,'Base stats'!BA:BA))+_xlfn.XLOOKUP(B323,'Base stats'!B:B,'Base stats'!AY:AY)+0.5,0.5))</f>
        <v>17</v>
      </c>
      <c r="T323" s="7">
        <f>IF(S323="No","No",MAX(_xlfn.XLOOKUP(_xlfn.XLOOKUP(B323,'Base stats'!B:B,'Base stats'!E:E),Groups!A:A,Groups!Q:Q),MROUND(_xlfn.XLOOKUP(_xlfn.XLOOKUP(B323,'Base stats'!B:B,'Base stats'!E:E),Groups!A:A,Groups!Q:Q)*_xlfn.XLOOKUP(B323,'Base stats'!B:B,'Base stats'!C:C)^0.165,0.05)))</f>
        <v>2.4000000000000004</v>
      </c>
      <c r="U323" s="7" t="str">
        <f>IF(S323="No","No",_xlfn.XLOOKUP(_xlfn.XLOOKUP(B323,'Base stats'!B:B,'Base stats'!E:E),Groups!A:A,Groups!R:R))</f>
        <v>Feet</v>
      </c>
      <c r="V323" s="7" t="str">
        <f>IF(S323="No","No",_xlfn.XLOOKUP(_xlfn.XLOOKUP(B323,'Base stats'!B:B,'Base stats'!E:E),Groups!A:A,Groups!S:S))</f>
        <v>rear left claw, rear  right claw</v>
      </c>
      <c r="W323" s="7" t="str">
        <f>IF(S323="No","No",_xlfn.XLOOKUP(_xlfn.XLOOKUP(B323,'Base stats'!B:B,'Base stats'!E:E),Groups!A:A,Groups!T:T))</f>
        <v>Scratch</v>
      </c>
      <c r="X323" s="13" t="str">
        <f>IF(_xlfn.XLOOKUP(B323,'Base stats'!B:B,'Base stats'!W:W)="No","No",MROUND((LOG10(_xlfn.XLOOKUP(B323,'Base stats'!B:B,'Base stats'!AU:AU))*(AO323^0.5)+(_xlfn.XLOOKUP(B323,'Base stats'!B:B,'Base stats'!AU:AU)/1000)^(2/3)+_xlfn.XLOOKUP(B323,'Base stats'!B:B,'Base stats'!AZ:AZ))+0.5+IF(_xlfn.XLOOKUP(_xlfn.XLOOKUP(B323,'Base stats'!B:B,'Base stats'!E:E),Groups!A:A,Groups!U:U)&lt;&gt;3,_xlfn.XLOOKUP(B323,'Base stats'!B:B,'Base stats'!BA:BA),0),0.5))</f>
        <v>No</v>
      </c>
      <c r="Y323" s="7" t="str">
        <f>IF(X323="No","No",MAX(_xlfn.XLOOKUP(_xlfn.XLOOKUP(B323,'Base stats'!B:B,'Base stats'!E:E),Groups!A:A,Groups!V:V),MROUND(_xlfn.XLOOKUP(_xlfn.XLOOKUP(B323,'Base stats'!B:B,'Base stats'!E:E),Groups!A:A,Groups!V:V)*_xlfn.XLOOKUP(B323,'Base stats'!B:B,'Base stats'!C:C)^0.165,0.05)))</f>
        <v>No</v>
      </c>
      <c r="Z323" s="7" t="str">
        <f>IF(X323="No","No",_xlfn.XLOOKUP(_xlfn.XLOOKUP(B323,'Base stats'!B:B,'Base stats'!E:E),Groups!A:A,Groups!W:W))</f>
        <v>No</v>
      </c>
      <c r="AA323" s="7" t="str">
        <f>IF(X323="No","No",_xlfn.XLOOKUP(_xlfn.XLOOKUP(B323,'Base stats'!B:B,'Base stats'!E:E),Groups!A:A,Groups!X:X))</f>
        <v>No</v>
      </c>
      <c r="AB323" s="7" t="str">
        <f>IF(X323="No","No",_xlfn.XLOOKUP(_xlfn.XLOOKUP(B323,'Base stats'!B:B,'Base stats'!E:E),Groups!A:A,Groups!Y:Y))</f>
        <v>No</v>
      </c>
      <c r="AC323" s="7" t="str">
        <f>_xlfn.XLOOKUP(Animals!B323,'Base stats'!B:B,'Base stats'!X:X)</f>
        <v>False</v>
      </c>
      <c r="AD323" s="13">
        <f>IF(_xlfn.XLOOKUP(B323,'Base stats'!B:B,'Base stats'!AT:AT)="No","No",MROUND((LOG10(_xlfn.XLOOKUP(B323,'Base stats'!B:B,'Base stats'!AT:AT))*(AO323^0.75)+(_xlfn.XLOOKUP(B323,'Base stats'!B:B,'Base stats'!AT:AT)/1000)^(2/3)+_xlfn.XLOOKUP(B323,'Base stats'!B:B,'Base stats'!AX:AX)+_xlfn.XLOOKUP(B323,'Base stats'!B:B,'Base stats'!BA:BA))+0.5,0.5))</f>
        <v>11</v>
      </c>
      <c r="AE323" s="7">
        <f>IF(AD323="No","No",MAX(_xlfn.XLOOKUP(_xlfn.XLOOKUP(B323,'Base stats'!B:B,'Base stats'!E:E),Groups!A:A,Groups!Z:Z),MROUND(_xlfn.XLOOKUP(_xlfn.XLOOKUP(B323,'Base stats'!B:B,'Base stats'!E:E),Groups!A:A,Groups!Z:Z)*_xlfn.XLOOKUP(B323,'Base stats'!B:B,'Base stats'!C:C)^0.165,0.05)))</f>
        <v>1.9000000000000001</v>
      </c>
      <c r="AF323" s="7" t="str">
        <f>IF(AD323="No","No",_xlfn.XLOOKUP(_xlfn.XLOOKUP(B323,'Base stats'!B:B,'Base stats'!E:E),Groups!A:A,Groups!AA:AA))</f>
        <v>Beak</v>
      </c>
      <c r="AG323" s="7" t="str">
        <f>IF(AD323="No","No",_xlfn.XLOOKUP(_xlfn.XLOOKUP(B323,'Base stats'!B:B,'Base stats'!E:E),Groups!A:A,Groups!AB:AB))</f>
        <v>beak</v>
      </c>
      <c r="AH323" s="7" t="str">
        <f>IF(AD323="No","No",_xlfn.XLOOKUP(_xlfn.XLOOKUP(B323,'Base stats'!B:B,'Base stats'!E:E),Groups!A:A,Groups!AC:AC))</f>
        <v>Blunt</v>
      </c>
      <c r="AI323" s="13" t="str">
        <f>IF(_xlfn.XLOOKUP(_xlfn.XLOOKUP(B323,'Base stats'!B:B,'Base stats'!E:E),Groups!A:A,Groups!AD:AD)=0,"No",MROUND((LOG10(_xlfn.XLOOKUP(B323,'Base stats'!B:B,'Base stats'!AS:AS))*(AO323^0.75)+(_xlfn.XLOOKUP(B323,'Base stats'!B:B,'Base stats'!AS:AS)/1000)^(2/3)+_xlfn.XLOOKUP(B323,'Base stats'!B:B,'Base stats'!AY:AY)+_xlfn.XLOOKUP(B323,'Base stats'!B:B,'Base stats'!BA:BA))+0.5,0.5))</f>
        <v>No</v>
      </c>
      <c r="AJ323" s="7" t="str">
        <f>IF(AI323="No","No",MAX(_xlfn.XLOOKUP(_xlfn.XLOOKUP(B323,'Base stats'!B:B,'Base stats'!E:E),Groups!A:A,Groups!AE:AE),MROUND(_xlfn.XLOOKUP(_xlfn.XLOOKUP(B323,'Base stats'!B:B,'Base stats'!E:E),Groups!A:A,Groups!AE:AE)*IF(_xlfn.XLOOKUP(_xlfn.XLOOKUP(B323,'Base stats'!B:B,'Base stats'!E:E),Groups!A:A,Groups!AJ:AJ)="Photonozoa",0.6,1)*_xlfn.XLOOKUP(B323,'Base stats'!B:B,'Base stats'!C:C)^0.165,0.05)))</f>
        <v>No</v>
      </c>
      <c r="AK323" s="7" t="str">
        <f>IF(AI323="No","No",_xlfn.XLOOKUP(_xlfn.XLOOKUP(B323,'Base stats'!B:B,'Base stats'!E:E),Groups!A:A,Groups!AF:AF))</f>
        <v>No</v>
      </c>
      <c r="AL323" s="7" t="str">
        <f>IF(AI323="No","No",_xlfn.XLOOKUP(_xlfn.XLOOKUP(B323,'Base stats'!B:B,'Base stats'!E:E),Groups!A:A,Groups!AG:AG))</f>
        <v>No</v>
      </c>
      <c r="AM323" s="7" t="str">
        <f>IF(AI323="No","No",_xlfn.XLOOKUP(_xlfn.XLOOKUP(B323,'Base stats'!B:B,'Base stats'!E:E),Groups!A:A,Groups!AH:AH))</f>
        <v>No</v>
      </c>
      <c r="AN323" s="2" t="str">
        <f t="shared" ref="AN323:AN377" si="35">IF(BJ323="false","No",MROUND(AO323*5+15*1,5))</f>
        <v>No</v>
      </c>
      <c r="AO323" s="2">
        <f>MROUND(IF(AND(_xlfn.XLOOKUP(B323,'Base stats'!B:B,'Base stats'!C:C)&gt;=0.5,_xlfn.XLOOKUP(B323,'Base stats'!B:B,'Base stats'!C:C)&lt;=0.8),
IF(_xlfn.XLOOKUP(B323,'Base stats'!B:B,'Base stats'!C:C)&lt;0.1,0.05,IF(_xlfn.XLOOKUP(B323,'Base stats'!B:B,'Base stats'!C:C)&lt;=70,(_xlfn.XLOOKUP(B323,'Base stats'!B:B,'Base stats'!C:C)/70)^0.426489913056526,IF(_xlfn.XLOOKUP(B323,'Base stats'!B:B,'Base stats'!C:C)&lt;=400,(_xlfn.XLOOKUP(B323,'Base stats'!B:B,'Base stats'!C:C)/70)^0.572811455315093,IF(_xlfn.XLOOKUP(B323,'Base stats'!B:B,'Base stats'!C:C)&lt;=2000,2.71391647193063*(_xlfn.XLOOKUP(B323,'Base stats'!B:B,'Base stats'!C:C)/400)^0.252459582904293,3.74314280240376*(_xlfn.XLOOKUP(B323,'Base stats'!B:B,'Base stats'!C:C)/2000)^0.357012633876913)))),
IF(_xlfn.XLOOKUP(B323,'Base stats'!B:B,'Base stats'!C:C)&lt;0.1,0.05,IF(_xlfn.XLOOKUP(B323,'Base stats'!B:B,'Base stats'!C:C)&lt;0.4,0.1,IF(_xlfn.XLOOKUP(B323,'Base stats'!B:B,'Base stats'!C:C)&lt;=70,(_xlfn.XLOOKUP(B323,'Base stats'!B:B,'Base stats'!C:C)/70)^0.445823913056526,IF(_xlfn.XLOOKUP(B323,'Base stats'!B:B,'Base stats'!C:C)&lt;=400,(_xlfn.XLOOKUP(B323,'Base stats'!B:B,'Base stats'!C:C)/70)^0.572811455315093,IF(_xlfn.XLOOKUP(B323,'Base stats'!B:B,'Base stats'!C:C)&lt;=2000,2.71391647193063*(_xlfn.XLOOKUP(B323,'Base stats'!B:B,'Base stats'!C:C)/400)^0.252459582904293,3.74314280240376*(_xlfn.XLOOKUP(B323,'Base stats'!B:B,'Base stats'!C:C)/2000)^0.357012633876913)))))),
IF(_xlfn.XLOOKUP(B323,'Base stats'!B:B,'Base stats'!C:C)&lt;0.1,0.05,IF(_xlfn.XLOOKUP(B323,'Base stats'!B:B,'Base stats'!C:C)&lt;=100,0.05,IF(_xlfn.XLOOKUP(B323,'Base stats'!B:B,'Base stats'!C:C)&lt;=250,0.1,IF(_xlfn.XLOOKUP(B323,'Base stats'!B:B,'Base stats'!C:C)&lt;=4000,0.25,0.5)))))</f>
        <v>1.8</v>
      </c>
      <c r="AP323" s="8">
        <f>MROUND(AO323*_xlfn.XLOOKUP(_xlfn.XLOOKUP(B323,'Base stats'!B:B,'Base stats'!E:E),Groups!A:A,Groups!AI:AI)*_xlfn.XLOOKUP(B323,'Base stats'!B:B,'Base stats'!Z:Z),0.05)</f>
        <v>1.8</v>
      </c>
      <c r="AQ323" s="8">
        <f>MAX(0.01,MROUND(IF(CC323="True",0.196*(AO323*100*1000)^0.889,IF(_xlfn.XLOOKUP(_xlfn.XLOOKUP(B323,'Base stats'!B:B,'Base stats'!E:E),Groups!A:A,Groups!AJ:AJ)="Bird",10.5*(AO323*100*1000)^0.681,4.82*(AO323*100*1000)^0.734))/(4.82*(1*100*1000)^0.734)/IF(AO323&lt;3.5,2,IF(AO323=3.5,1.5,1.25))*(1+0.132282374779864/(AO323^0.994035016789033+0.00905238001496948)),0.05))</f>
        <v>0.95000000000000007</v>
      </c>
      <c r="AR323" s="9">
        <f>IFERROR(MROUND(_xlfn.XLOOKUP(B323,'Base stats'!B:B,'Base stats'!H:H)/IF(_xlfn.XLOOKUP(B323,'Base stats'!B:B,'Base stats'!I:I)&lt;&gt;1,(122.5/70),1.2),IF(_xlfn.XLOOKUP(B323,'Base stats'!B:B,'Base stats'!H:H)&gt;=30,5,IF(_xlfn.XLOOKUP(B323,'Base stats'!B:B,'Base stats'!H:H)&gt;=15,3,IF(_xlfn.XLOOKUP(B323,'Base stats'!B:B,'Base stats'!H:H)&gt;=10,2,1)))),"Immortal")</f>
        <v>30</v>
      </c>
      <c r="AS323" s="35" t="str">
        <f>IFERROR(IF(OR(_xlfn.XLOOKUP(B323,'Base stats'!B:B,'Base stats'!F:F)="Atypical reproduction",_xlfn.XLOOKUP(B323,'Base stats'!B:B,'Base stats'!F:F)="Lay eggs"),"Lay eggs",MIN(20,MAX(5.5,ROUND(((_xlfn.XLOOKUP(B323,'Base stats'!B:B,'Base stats'!F:F)-25)*(14.5/615) + 5.5)*2,0)/2))),"Unknown")</f>
        <v>Lay eggs</v>
      </c>
      <c r="AT323" s="8">
        <f>IF(_xlfn.XLOOKUP(B323,'Base stats'!B:B,'Base stats'!G:G)="Atypical reproduction","No",IFERROR(MAX(IF(_xlfn.XLOOKUP(B323,'Base stats'!B:B,'Base stats'!G:G)&lt;0.5,0.2,0.3),MROUND(_xlfn.XLOOKUP(B323,'Base stats'!B:B,'Base stats'!G:G)/(365/60),0.2)),"Unknown"))</f>
        <v>0.4</v>
      </c>
      <c r="AU323" s="8">
        <f t="shared" ref="AU323:AU377" si="36">IF(AT323="No","No",IFERROR(MROUND(AT323/2,0.05),"Unknown"))</f>
        <v>0.2</v>
      </c>
      <c r="AV323" s="8" t="str">
        <f>IFERROR(IFERROR(MROUND(_xlfn.XLOOKUP(B323,'Base stats'!B:B,'Base stats'!J:J),0.1),"Lay eggs"),"Cannot breed")</f>
        <v>Lay eggs</v>
      </c>
      <c r="AW323" s="2" t="str">
        <f t="shared" ref="AW323:AW377" si="37">IF(BT323="No","false","true")</f>
        <v>true</v>
      </c>
      <c r="AX323" s="2" t="str">
        <f>IF(_xlfn.XLOOKUP(_xlfn.XLOOKUP(Animals!B323,'Base stats'!B:B,'Base stats'!E:E),Groups!A:A,Groups!AK:AK)=1,"true","false")</f>
        <v>false</v>
      </c>
      <c r="AY323" s="25" t="str">
        <f>IF(_xlfn.XLOOKUP(B323,'Base stats'!B:B,'Base stats'!Y:Y)="Liquor","Liquor, CarnivoreAnimalStrict",IF(AND(_xlfn.XLOOKUP(B323,'Base stats'!B:B,'Base stats'!Y:Y)="Carnivore",_xlfn.XLOOKUP(_xlfn.XLOOKUP(B323,'Base stats'!B:B,'Base stats'!E:E),Groups!A:A,Groups!AJ:AJ)="Photonozoa"),"CarnivoreAnimalStrict, OvivoreAnimal",IF(_xlfn.XLOOKUP(B323,'Base stats'!B:B,'Base stats'!Y:Y)="Carnivore","CarnivoreAnimal, OvivoreAnimal",IF(_xlfn.XLOOKUP(B323,'Base stats'!B:B,'Base stats'!Y:Y)="Dendrovore","VegetarianRoughAnimal, DendrovoreAnimal",IF(_xlfn.XLOOKUP(B323,'Base stats'!B:B,'Base stats'!Y:Y)="Herbivore","VegetarianRoughAnimal",IF(_xlfn.XLOOKUP(B323,'Base stats'!B:B,'Base stats'!Y:Y)="OmnivoreRough","OmnivoreRoughAnimal, OvivoreAnimal","OmnivoreAnimal, OvivoreAnimal"))))))</f>
        <v>OmnivoreRoughAnimal, OvivoreAnimal</v>
      </c>
      <c r="AZ323" s="2" t="str">
        <f>IF(_xlfn.XLOOKUP(_xlfn.XLOOKUP(B323,'Base stats'!B:B,'Base stats'!E:E),Groups!A:A,Groups!D:D)=1,MROUND((1-J323)*5+1,2)*IF(J323&lt;=0.4,2,1),"No")</f>
        <v>No</v>
      </c>
      <c r="BA323" s="2" t="str">
        <f>IF(AND(_xlfn.XLOOKUP(B323,'Base stats'!B:B,'Base stats'!AH:AH)="&lt;li&gt;Seal&lt;/li&gt;",G323="Odyssey"),"&lt;li&gt;AEXP_Seal&lt;/li&gt;",_xlfn.XLOOKUP(B323,'Base stats'!B:B,'Base stats'!AH:AH))</f>
        <v>&lt;li&gt;AA_MeadowAve&lt;/li&gt;</v>
      </c>
      <c r="BB323" s="2" t="str">
        <f>_xlfn.XLOOKUP(B323,'Base stats'!B:B,'Base stats'!AG:AG)</f>
        <v>Leather_Bird</v>
      </c>
      <c r="BC323" s="23" t="str">
        <f>_xlfn.XLOOKUP(_xlfn.XLOOKUP(B323,'Base stats'!B:B,'Base stats'!E:E),Groups!A:A,Groups!AL:AL)</f>
        <v>Bird</v>
      </c>
      <c r="BD323" s="23">
        <f>MIN(1,MROUND(IF(AND(AO323&lt;0.5,_xlfn.XLOOKUP(B323,'Base stats'!B:B,'Base stats'!AA:AA)=0),0,IF(OR(_xlfn.XLOOKUP(Animals!B323,'Base stats'!B:B,'Base stats'!O:O)=2,_xlfn.XLOOKUP(_xlfn.XLOOKUP(B323,'Base stats'!B:B,'Base stats'!E:E),Groups!A:A,Groups!AN:AN)=0),0,_xlfn.XLOOKUP(_xlfn.XLOOKUP(B323,'Base stats'!B:B,'Base stats'!E:E),Groups!A:A,Groups!AN:AN)/IF(_xlfn.XLOOKUP(Animals!B323,'Base stats'!B:B,'Base stats'!O:O)=1,2,1)))+_xlfn.XLOOKUP(B323,'Base stats'!B:B,'Base stats'!AC:AC),0.005))</f>
        <v>2.5000000000000001E-2</v>
      </c>
      <c r="BE323" s="23">
        <f>MIN(1,MROUND(IF(AND(AO323&lt;0.5,_xlfn.XLOOKUP(B323,'Base stats'!B:B,'Base stats'!AA:AA)=0),0,IF(_xlfn.XLOOKUP(_xlfn.XLOOKUP(B323,'Base stats'!B:B,'Base stats'!E:E),Groups!A:A,Groups!AO:AO)=0,0,_xlfn.XLOOKUP(_xlfn.XLOOKUP(B323,'Base stats'!B:B,'Base stats'!E:E),Groups!A:A,Groups!AO:AO)/IF(_xlfn.XLOOKUP(Animals!B323,'Base stats'!B:B,'Base stats'!O:O)=2,3,1)))+_xlfn.XLOOKUP(B323,'Base stats'!B:B,'Base stats'!AD:AD),0.005))</f>
        <v>0.1</v>
      </c>
      <c r="BF323" s="2" t="str">
        <f>IF(J323&gt;0.3,"No",_xlfn.XLOOKUP(_xlfn.XLOOKUP(Animals!B323,'Base stats'!B:B,'Base stats'!E:E),Groups!A:A,Groups!AP:AP))</f>
        <v>No</v>
      </c>
      <c r="BG323" s="2" t="str">
        <f>IF(AND(J323&lt;=0.65,_xlfn.XLOOKUP(_xlfn.XLOOKUP(Animals!B323,'Base stats'!B:B,'Base stats'!E:E),Groups!A:A,Groups!AP:AP)&lt;&gt;"No",_xlfn.XLOOKUP(_xlfn.XLOOKUP(B323,'Base stats'!B:B,'Base stats'!E:E),Groups!A:A,Groups!D:D)=0),MROUND((80/3)*IF(_xlfn.XLOOKUP(B323,'Base stats'!B:B,'Base stats'!O:O)=2,0.2,AO323) + 24*(1-IF(BF323="No",0,BF323)) + 16/3, 12),"No")</f>
        <v>No</v>
      </c>
      <c r="BH323" s="2">
        <f>IF(AND(_xlfn.XLOOKUP(_xlfn.XLOOKUP(B323,'Base stats'!B:B,'Base stats'!E:E),Groups!A:A,Groups!AQ:AQ)=1,AO323&lt;=0.35),8,12)</f>
        <v>12</v>
      </c>
      <c r="BI323" s="2" t="str">
        <f>IF(_xlfn.XLOOKUP(_xlfn.XLOOKUP(B323,'Base stats'!B:B,'Base stats'!E:E),Groups!A:A,Groups!D:D)=0,_xlfn.XLOOKUP(_xlfn.XLOOKUP(B323,'Base stats'!B:B,'Base stats'!E:E),Groups!A:A,Groups!AR:AR),"None")</f>
        <v>Intermediate</v>
      </c>
      <c r="BJ323" s="2" t="str">
        <f>IF(AND(_xlfn.XLOOKUP(_xlfn.XLOOKUP(B323,'Base stats'!B:B,'Base stats'!E:E),Groups!A:A,Groups!AS:AS)=1,OR(_xlfn.XLOOKUP(B323,'Base stats'!B:B,'Base stats'!Y:Y)="Carnivore",_xlfn.XLOOKUP(B323,'Base stats'!B:B,'Base stats'!Y:Y)="Omnivore")),"true","false")</f>
        <v>false</v>
      </c>
      <c r="BK323" s="2" t="str">
        <f>IF(BJ323="true",MROUND(IF(AND(AO323&gt;0.5,OR(_xlfn.XLOOKUP(_xlfn.XLOOKUP(B323,'Base stats'!B:B,'Base stats'!E:E),Groups!A:A,Groups!AJ:AJ)="Photonozoa",_xlfn.XLOOKUP(_xlfn.XLOOKUP(B323,'Base stats'!B:B,'Base stats'!E:E),Groups!A:A,Groups!AJ:AJ)="Mammal")),Animals!AO323*1.75*IF(AW323="true",1.5,1),IF(AO323&lt;0.5,Animals!AO323*0.5,Animals!AO323)),IF(AO323&gt;2,0.5,IF(AO323&gt;0.5,0.25,0.1))),"No")</f>
        <v>No</v>
      </c>
      <c r="BL323" s="2">
        <f t="shared" ref="BL323:BL377" si="38">IF(BI323&lt;&gt;"None",1,0)</f>
        <v>1</v>
      </c>
      <c r="BM323" s="25" t="str">
        <f>IF(_xlfn.XLOOKUP(B323,'Base stats'!B:B,'Base stats'!AN:AN)="Standard","No",MROUND((_xlfn.XLOOKUP(B323,'Base stats'!B:B,'Base stats'!AN:AN)/3.6)/I323,0.1))</f>
        <v>No</v>
      </c>
      <c r="BN323" s="25" t="str">
        <f t="shared" ref="BN323:BN377" si="39">IF(OR(BM323&lt;&gt;"No",BQ323=1),"true","false")</f>
        <v>false</v>
      </c>
      <c r="BO323" s="25" t="str">
        <f>IF(AND(OR(_xlfn.XLOOKUP(B323,'Base stats'!B:B,'Base stats'!Y:Y)="Carnivore",_xlfn.XLOOKUP(B323,'Base stats'!B:B,'Base stats'!Y:Y)="Omnivore",_xlfn.XLOOKUP(B323,'Base stats'!B:B,'Base stats'!Y:Y)="OmnivoreRough"),_xlfn.XLOOKUP(_xlfn.XLOOKUP(B323,'Base stats'!B:B,'Base stats'!E:E),Groups!A:A,Groups!AT:AT)=1),"true","false")</f>
        <v>false</v>
      </c>
      <c r="BP323" s="25" t="str" cm="1">
        <f t="array" ref="BP323">IF(
  _xlfn.TEXTJOIN(", ",TRUE,
    IF(AND(BJ323="true",AO323&gt;0.5,BI323&lt;&gt;"None"),"AttackTarget",""),
    IF(AND(_xlfn.XLOOKUP(_xlfn.XLOOKUP(B323,'Base stats'!B:B,'Base stats'!E:E),Groups!A:A,Groups!AJ:AJ="Mammal"),OR(_xlfn.XLOOKUP(B323,'Base stats'!B:B,'Base stats'!Y:Y)="Omnivore",_xlfn.XLOOKUP(B323,'Base stats'!B:B,'Base stats'!Y:Y)="OmnivoreRough")),"Forage",""),
    IF(BG323&lt;=36,"Comfort",""),
    IF(_xlfn.XLOOKUP(B323,'Base stats'!B:B,'Base stats'!AE:AE)&lt;&gt;"No",_xlfn.XLOOKUP(B323,'Base stats'!B:B,'Base stats'!AE:AE),"")
  ) = "",
  "No",
  _xlfn.TEXTJOIN(", ",TRUE,
    IF(AND(BJ323="true",AO323&gt;0.5,BI323&lt;&gt;"None"),"AttackTarget",""),
    IF(AND(_xlfn.XLOOKUP(_xlfn.XLOOKUP(B323,'Base stats'!B:B,'Base stats'!E:E),Groups!A:A,Groups!AJ:AJ="Mammal"),OR(_xlfn.XLOOKUP(B323,'Base stats'!B:B,'Base stats'!Y:Y)="Omnivore",_xlfn.XLOOKUP(B323,'Base stats'!B:B,'Base stats'!Y:Y)="OmnivoreRough")),"Forage",""),
    IF(BG323&lt;=36,"Comfort",""),
    IF(_xlfn.XLOOKUP(B323,'Base stats'!B:B,'Base stats'!AE:AE)&lt;&gt;"No",_xlfn.XLOOKUP(B323,'Base stats'!B:B,'Base stats'!AE:AE),"")
  )
)</f>
        <v>No</v>
      </c>
      <c r="BQ323" s="25" t="str">
        <f>IF(
   AND(
      'Base stats'!AN323="Standard",_xlfn.XLOOKUP(_xlfn.XLOOKUP(B323,'Base stats'!B:B,'Base stats'!E:E),Groups!A:A,Groups!AU:AU)=0,
      OR(
      BO323="True"
      )
   ),
   10,
   IF(
       OR(BM323&lt;&gt;"No",_xlfn.XLOOKUP(_xlfn.XLOOKUP(B323,'Base stats'!B:B,'Base stats'!E:E),Groups!A:A,Groups!AU:AU)=1),
      1,
      "No"
   )
)</f>
        <v>No</v>
      </c>
      <c r="BR323" s="9">
        <f>MROUND((1 + ((0.2*IF(OR(Q323="No",R323="No",R323=0),0,Q323/R323)
+IF(OR(V323="No",S323="No",T323="No"),0,S323/T323*(LEN(V323)-LEN(SUBSTITUTE(V323,",",""))+1))
+IF(OR(X323="No",Y323="No"),0,X323/Y323)
+IF(OR(AD323="No",AE323="No"),0,AD323/AE323)
+IF(OR(AL323="No",AI323="No",AJ323="No"),0,AI323/AJ323*(LEN(AL323)-LEN(SUBSTITUTE(AL323,",",""))+1))
)/(0.2*IF(OR(Q323="No",R323="No",R323=0),0,1)
+IF(OR(V323="No",S323="No",T323="No"),0,LEN(V323)-LEN(SUBSTITUTE(V323,",",""))+1)
+IF(OR(X323="No",Y323="No"),0,1)
+IF(OR(AD323="No",AE323="No"),0,1)
+IF(OR(AL323="No",AI323="No",AJ323="No"),0,LEN(AL323)-LEN(SUBSTITUTE(AL323,",",""))+1))*62%)* 2)*(1 + (AP323 / (IF(_xlfn.XLOOKUP(_xlfn.XLOOKUP(B323,'Base stats'!B:B,'Base stats'!E:E),Groups!A:A,Groups!AJ:AJ)="Photonozoa",0.3,1)) + _xlfn.XLOOKUP(B323,'Base stats'!B:B,'Base stats'!AV:AV) * 1.8) * 2) * 2.5 + 10 + I323 * 2,5)+IF(_xlfn.XLOOKUP(B323,'Base stats'!B:B,'Base stats'!AK:AK)=1,50,0)</f>
        <v>135</v>
      </c>
      <c r="BS323" s="8">
        <f t="shared" ref="BS323:BS377" si="40">MROUND(AO323 * 0.2 + AQ323 * 0.8,0.05)</f>
        <v>1.1000000000000001</v>
      </c>
      <c r="BT323" s="8" t="str">
        <f>_xlfn.XLOOKUP(B323,'Base stats'!B:B,'Base stats'!AF:AF)</f>
        <v>2~6</v>
      </c>
      <c r="BU323" s="2" t="str">
        <f>IF(AND(J323&lt;=0.95,OR(_xlfn.XLOOKUP(B323,'Base stats'!B:B,'Base stats'!AK:AK)=1,_xlfn.XLOOKUP(B323,'Base stats'!B:B,'Base stats'!Y:Y)="Carnivore",_xlfn.XLOOKUP(B323,'Base stats'!B:B,'Base stats'!Y:Y)="Omnivore",BE323&gt;0.1)),"true","false")</f>
        <v>false</v>
      </c>
      <c r="BV323" s="2" t="str">
        <f>IF(_xlfn.XLOOKUP(B323,'Base stats'!B:B,'Base stats'!AI:AI)=1,"true","false")</f>
        <v>true</v>
      </c>
      <c r="BW323" s="25" t="str">
        <f>IF(E323="BaseInsect","AnimalInsect",
IF(J323&gt;0.95,"AnimalExotic",
_xlfn.TEXTJOIN(", ",TRUE,
IF(OR(_xlfn.XLOOKUP(B323,'Base stats'!B:B,'Base stats'!AM:AM)=1,AND(_xlfn.XLOOKUP(B323,'Base stats'!B:B,'Base stats'!O:O)=0,_xlfn.XLOOKUP(_xlfn.XLOOKUP(B323,'Base stats'!B:B,'Base stats'!E:E),Groups!A:A,Groups!B:B)&gt;0)),"AnimalUncommon","AnimalCommon"),
IF(AND(_xlfn.XLOOKUP(B323,'Base stats'!B:B,'Base stats'!O:O)=2,_xlfn.XLOOKUP(_xlfn.XLOOKUP(B323,'Base stats'!B:B,'Base stats'!E:E),Groups!A:A,Groups!D:D)=0),"AnimalPet",IF(AND(_xlfn.XLOOKUP(B323,'Base stats'!B:B,'Base stats'!O:O)&lt;&gt;0,_xlfn.XLOOKUP(_xlfn.XLOOKUP(B323,'Base stats'!B:B,'Base stats'!E:E),Groups!A:A,Groups!D:D)&lt;&gt;0),"AnimalFarm","")),
IF(OR(_xlfn.XLOOKUP(B323,'Base stats'!B:B,'Base stats'!AK:AK)=1,AND(BI323&lt;&gt;"None",BR323&gt;=60),ISNUMBER(SEARCH("Attack target",BP323))),"AnimalFighter","")
)))</f>
        <v>AnimalUncommon, AnimalFighter</v>
      </c>
      <c r="BX323" s="25" t="str">
        <f>IF(G323="None",TRIM(
SUBSTITUTE(
IF(COUNTIF(Biomes!B$2:B$259,"="&amp;$C323)&gt;0,Biomes!B$1&amp;", ","")&amp;
IF(COUNTIF(Biomes!C$2:C$259,"="&amp;$C323)&gt;0,Biomes!C$1&amp;", ","")&amp;
IF(COUNTIF(Biomes!D$2:D$259,"="&amp;$C323)&gt;0,Biomes!D$1&amp;", ","")&amp;
IF(COUNTIF(Biomes!F$2:F$259,"="&amp;$C323)&gt;0,Biomes!F$1&amp;", ","")&amp;
IF(COUNTIF(Biomes!G$2:G$259,"="&amp;$C323)&gt;0,Biomes!G$1&amp;", ","")&amp;
IF(COUNTIF(Biomes!H$2:H$259,"="&amp;$C323)&gt;0,Biomes!H$1&amp;", ","")&amp;
IF(COUNTIF(Biomes!I$2:I$259,"="&amp;$C323)&gt;0,Biomes!I$1&amp;", ","")&amp;
IF(COUNTIF(Biomes!J$2:J$259,"="&amp;$C323)&gt;0,Biomes!J$1&amp;", ","")&amp;
IF(COUNTIF(Biomes!M$2:M$259,"="&amp;$C323)&gt;0,Biomes!M$1&amp;", ","")&amp;
IF(COUNTIF(Biomes!N$2:N$259,"="&amp;$C323)&gt;0,Biomes!N$1&amp;", ","")&amp;
IF(COUNTIF(Biomes!O$2:O$259,"="&amp;$C323)&gt;0,Biomes!O$1&amp;", ","")&amp;
IF(COUNTIF(Biomes!P$2:P$259,"="&amp;$C323)&gt;0,Biomes!P$1&amp;", ","")&amp;
IF(COUNTIF(Biomes!K$2:K$259,"="&amp;$C323)&gt;0,Biomes!K$1&amp;", ","")&amp;
IF(COUNTIF(Biomes!Q$3:Q$259,"="&amp;$C323)&gt;0,Biomes!Q$1&amp;", ","")&amp;
IF(COUNTIF(Biomes!L$2:L$259,"="&amp;$C323)&gt;0,Biomes!L$1&amp;", ","")&amp;
IF(COUNTIF(Biomes!E$2:E$259,"="&amp;$C323)&gt;0,Biomes!E$1&amp;", ","")&amp;IF(COUNTIF(Biomes!S$2:S$259,"="&amp;$C323)&gt;0,Biomes!S$1&amp;", ","")&amp;
IF(COUNTIF(Biomes!R$2:R$259,"="&amp;$C323)&gt;0,Biomes!R$1&amp;", ",""),", ","")
),_xlfn.XLOOKUP(B323,B:B,BX:BX))</f>
        <v/>
      </c>
      <c r="BY323" s="25" t="str">
        <f>IF(_xlfn.XLOOKUP(B323,'Base stats'!B:B,'Base stats'!AJ:AJ)=1,"true","false")</f>
        <v>false</v>
      </c>
      <c r="BZ323" s="25">
        <f>IF(_xlfn.XLOOKUP(B323,'Base stats'!B:B,'Base stats'!N:N)=1,"No",MAX(0.001,MIN(MROUND(IF(AND(BJ323="True",CC323="False"),POWER(10,3.47*LOG10(_xlfn.XLOOKUP(B323,'Base stats'!B:B,'Base stats'!C:C)*1000)^-0.96),POWER(10,4.15*LOG10(_xlfn.XLOOKUP(B323,'Base stats'!B:B,'Base stats'!C:C)*1000)^-0.73))*IF(_xlfn.XLOOKUP(B323,'Base stats'!B:B,'Base stats'!AK:AK)=1,0.5,1)*IF(_xlfn.XLOOKUP(B323,'Base stats'!B:B,'Base stats'!AM:AM)=1,0.1,1)/100,IF(_xlfn.XLOOKUP(B323,'Base stats'!B:B,'Base stats'!AM:AM)=1,0.001,0.025)),0.5)))</f>
        <v>1.7000000000000001E-2</v>
      </c>
      <c r="CA323" s="25" t="str">
        <f>IF(P323="Standard","No",MAX(0.001,MIN(MROUND(IF(AND(BJ323="True",CC323="False"),POWER(10,3.47*LOG10(_xlfn.XLOOKUP(B323,'Base stats'!B:B,'Base stats'!C:C)*1000)^-0.96),POWER(10,4.15*LOG10(_xlfn.XLOOKUP(B323,'Base stats'!B:B,'Base stats'!C:C)*1000)^-0.73))*IF(_xlfn.XLOOKUP(B323,'Base stats'!B:B,'Base stats'!AM:AM)=1,0.1,1)*_xlfn.XLOOKUP(B323,'Base stats'!B:B,'Base stats'!R:R)/100,IF(_xlfn.XLOOKUP(B323,'Base stats'!B:B,'Base stats'!AM:AM)=1,0.001,0.025)),0.5)))</f>
        <v>No</v>
      </c>
      <c r="CB323" s="25" t="str">
        <f>IF(_xlfn.XLOOKUP(_xlfn.XLOOKUP(B323,'Base stats'!B:B,'Base stats'!E:E),Groups!A:A,Groups!AJ:AJ)="Mammal","True","False")</f>
        <v>False</v>
      </c>
      <c r="CC323" s="25" t="str">
        <f>IF(OR(_xlfn.XLOOKUP(_xlfn.XLOOKUP(B323,'Base stats'!B:B,'Base stats'!E:E),Groups!A:A,Groups!AJ:AJ)="Reptile",_xlfn.XLOOKUP(_xlfn.XLOOKUP(B323,'Base stats'!B:B,'Base stats'!E:E),Groups!A:A,Groups!AJ:AJ)="Amphibian",_xlfn.XLOOKUP(_xlfn.XLOOKUP(B323,'Base stats'!B:B,'Base stats'!E:E),Groups!A:A,Groups!AJ:AJ)="Invertebrate"),"True","False")</f>
        <v>False</v>
      </c>
      <c r="CD323" s="25" t="str">
        <f t="shared" ref="CD323:CD377" si="41">IF(J323&gt;0.95,"True","False")</f>
        <v>False</v>
      </c>
      <c r="CE323" s="25" t="str">
        <f>IF(_xlfn.XLOOKUP(_xlfn.XLOOKUP(B323,'Base stats'!B:B,'Base stats'!E:E),Groups!A:A,Groups!AX:AX),"True","False")</f>
        <v>False</v>
      </c>
      <c r="CF323" s="25" t="str">
        <f>IF(_xlfn.XLOOKUP(_xlfn.XLOOKUP(B323,'Base stats'!B:B,'Base stats'!E:E),Groups!A:A,Groups!AY:AY),"True","False")</f>
        <v>False</v>
      </c>
      <c r="CG323" s="25" t="str">
        <f>IF(_xlfn.XLOOKUP(_xlfn.XLOOKUP(B323,'Base stats'!B:B,'Base stats'!E:E),Groups!A:A,Groups!AW:AW),"True","False")</f>
        <v>False</v>
      </c>
      <c r="CH323" s="25" t="str">
        <f>IF(
OR(
_xlfn.XLOOKUP(_xlfn.XLOOKUP(B323,'Base stats'!B:B,'Base stats'!E:E),Groups!A:A,Groups!AZ:AZ)=0,
AND(
_xlfn.XLOOKUP(B323,'Base stats'!B:B,'Base stats'!Y:Y)&lt;&gt;"Carnivore",
_xlfn.XLOOKUP(B323,'Base stats'!B:B,'Base stats'!Y:Y)&lt;&gt;"Omnivore",
_xlfn.XLOOKUP(B323,'Base stats'!B:B,'Base stats'!Y:Y)&lt;&gt;"OmnivoreRough"
)
),
"No",
IF(
_xlfn.XLOOKUP(_xlfn.XLOOKUP(B323,'Base stats'!B:B,'Base stats'!E:E),Groups!A:A,Groups!AZ:AZ)=1,
"Flesh",
IF(
_xlfn.XLOOKUP(_xlfn.XLOOKUP(B323,'Base stats'!B:B,'Base stats'!E:E),Groups!A:A,Groups!AZ:AZ)=2,
"Bone",
""
)
)
)</f>
        <v>No</v>
      </c>
      <c r="CI323" s="25" t="str">
        <f>IF(_xlfn.XLOOKUP(_xlfn.XLOOKUP(B323,'Base stats'!B:B,'Base stats'!E:E),Groups!A:A,Groups!BB:BB),"True","False")</f>
        <v>True</v>
      </c>
      <c r="CJ323" s="25" t="str">
        <f>IF(_xlfn.XLOOKUP(_xlfn.XLOOKUP(B323,'Base stats'!B:B,'Base stats'!E:E),Groups!A:A,Groups!BA:BA),"True","False")</f>
        <v>False</v>
      </c>
    </row>
    <row r="324" spans="1:88" ht="16.5" thickTop="1" thickBot="1" x14ac:dyDescent="0.3">
      <c r="A324" s="26" t="s">
        <v>1560</v>
      </c>
      <c r="B324" s="6" t="str">
        <f>_xlfn.XLOOKUP(A324,'Base stats'!A:A,'Base stats'!B:B)</f>
        <v>Panthera arenae</v>
      </c>
      <c r="C324" s="28" t="s">
        <v>1561</v>
      </c>
      <c r="D324" s="28" t="s">
        <v>1341</v>
      </c>
      <c r="E324" s="28" t="s">
        <v>673</v>
      </c>
      <c r="F324" s="28" t="s">
        <v>673</v>
      </c>
      <c r="G324" s="28" t="s">
        <v>673</v>
      </c>
      <c r="H324" s="2">
        <f>MROUND((
  (IF(AND(_xlfn.XLOOKUP(B324,'Base stats'!B:B,'Base stats'!AL:AL)=0,BI324="None",_xlfn.XLOOKUP(_xlfn.XLOOKUP(B324,'Base stats'!B:B,'Base stats'!E:E),Groups!A:A,Groups!B:B)=0), (18 + BR324 * 2.7) * 0.5,
    IF(AND(_xlfn.XLOOKUP(B324,'Base stats'!B:B,'Base stats'!AL:AL)=0,OR(AO324&lt;0.55,AND(BI324="Intermediate",_xlfn.XLOOKUP(_xlfn.XLOOKUP(B324,'Base stats'!B:B,'Base stats'!E:E),Groups!A:A,Groups!B:B)&lt;2))), (18 + BR324 * 2.7),
      IF(OR(BI324="Advanced",_xlfn.XLOOKUP(B324,'Base stats'!B:B,'Base stats'!AL:AL)=1,_xlfn.XLOOKUP(_xlfn.XLOOKUP(B324,'Base stats'!B:B,'Base stats'!E:E),Groups!A:A,Groups!B:B)=2), (18 + BR324 * 2.7) + 250, (18 + BR324 * 2.7))
    )
  ))
  + AO324 * 80
  + IF(COUNTIF(EggMilk!K$2:K$998, A324) &gt; 0, 125, 0)
  + IF(COUNTIF(EggMilk!P$2:P$998, A324) &gt; 0, 90, 0)
  + IF(COUNTIF(EggMilk!A$2:A$998, A324) &gt; 0, 90, 0)
)
* (0.8 + 0.4 * J324)
* 0.75,25)</f>
        <v>1075</v>
      </c>
      <c r="I324" s="2">
        <f>MROUND(ROUNDDOWN(_xlfn.XLOOKUP(B324,'Base stats'!B:B,'Base stats'!L:L)/3.6/(23.3/11),1),0.5)</f>
        <v>7.5</v>
      </c>
      <c r="J324" s="2">
        <f>IF(OR(_xlfn.XLOOKUP(B324,'Base stats'!B:B,'Base stats'!AB:AB)=1,_xlfn.XLOOKUP(_xlfn.XLOOKUP(B324,'Base stats'!B:B,'Base stats'!E:E),Groups!A:A,Groups!C:C)="Untamable"),1,IF(_xlfn.XLOOKUP(B324,'Base stats'!B:B,'Base stats'!AL:AL)=1,0.99,MIN(MROUND((1-0.6282*EXP(-0.459*AO324))*_xlfn.XLOOKUP(_xlfn.XLOOKUP(B324,'Base stats'!B:B,'Base stats'!E:E),Groups!A:A,Groups!C:C)*IF(_xlfn.XLOOKUP(B324,'Base stats'!B:B,'Base stats'!O:O)=1,0.5,IF(_xlfn.XLOOKUP(B324,'Base stats'!B:B,'Base stats'!O:O)=2,0,1)),0.05),IF(AO324&gt;3.5,0.985,0.95))))</f>
        <v>0.95</v>
      </c>
      <c r="K324" s="2">
        <f>ROUNDUP(AO324*_xlfn.XLOOKUP(_xlfn.XLOOKUP(B324,'Base stats'!B:B,'Base stats'!E:E),Groups!A:A,Groups!E:E),0)</f>
        <v>3</v>
      </c>
      <c r="L324" s="2">
        <f>IF(OR(_xlfn.XLOOKUP(_xlfn.XLOOKUP(B324,'Base stats'!B:B,'Base stats'!E:E),Groups!A:A,Groups!F:F)=2,ISNUMBER(SEARCH("SeaIce",BX324)),ISNUMBER(SEARCH("IceSheet",BX324))),-50,IF(OR(ISNUMBER(SEARCH("GlacialPlain",BX324)),ISNUMBER(SEARCH("Tundra",BX324))),-40,IF(OR(ISNUMBER(SEARCH("Alpine",BX324)),ISNUMBER(SEARCH("BorealForest",BX324)),ISNUMBER(SEARCH("ColdBog",BX324))),-30,IF(OR(ISNUMBER(SEARCH("TemperateForest",BX324)),ISNUMBER(SEARCH("TemperateSwamp",BX324))),-20,IF(_xlfn.XLOOKUP(_xlfn.XLOOKUP(B324,'Base stats'!B:B,'Base stats'!E:E),Groups!A:A,Groups!F:F)=1,-15,IF(OR(ISNUMBER(SEARCH("Desert",BX324)),ISNUMBER(SEARCH("ExtremeDesert",BX324))),-10,IF(OR(ISNUMBER(SEARCH("Grasslands",BX324)),ISNUMBER(SEARCH("TropicalRainforest",BX324)),ISNUMBER(SEARCH("TropicalSwamp",BX324))),10,0)))))))-IF(CC324="False",MIN(IFERROR(MAX(MROUND(LOG10(_xlfn.XLOOKUP(B324,'Base stats'!B:B,'Base stats'!C:C)^(2/3))*10,5),5),5),30))-_xlfn.XLOOKUP(B324,'Base stats'!B:B,'Base stats'!P:P)+IF(CC324="True",5,0)</f>
        <v>-30</v>
      </c>
      <c r="M324" s="2">
        <f>IF(OR(_xlfn.XLOOKUP(_xlfn.XLOOKUP(B324,'Base stats'!B:B,'Base stats'!E:E),Groups!A:A,Groups!G:G)=2,ISNUMBER(SEARCH("Desert",BX324)),ISNUMBER(SEARCH("ExtremeDesert",BX324)),ISNUMBER(SEARCH("LavaField",BX324))),50,IF(ISNUMBER(SEARCH("Grasslands",BX324)),45,IF(OR(_xlfn.XLOOKUP(_xlfn.XLOOKUP(B324,'Base stats'!B:B,'Base stats'!E:E),Groups!A:A,Groups!G:G)=1,ISNUMBER(SEARCH("TropicalRainforest",BX324)),ISNUMBER(SEARCH("TropicalSwamp",BX324))),40,IF(OR(ISNUMBER(SEARCH("TemperateForest",BX324)),ISNUMBER(SEARCH("TemperateSwamp",BX324))),35,IF(OR(ISNUMBER(SEARCH("Alpine",BX324)),ISNUMBER(SEARCH("BorealForest",BX324)),ISNUMBER(SEARCH("ColdBog",BX324))),30,IF(ISNUMBER(OR(ISNUMBER(SEARCH("GlacialPlain",BX324)),SEARCH("Tundra",BX324))),25,IF(OR(ISNUMBER(SEARCH("SeaIce",BX324)),ISNUMBER(SEARCH("IceSheet",BX324)),ISNUMBER(SEARCH("TropicalSwamp",BX324))),10,35)))))))+_xlfn.XLOOKUP(B324,'Base stats'!B:B,'Base stats'!Q:Q)</f>
        <v>50</v>
      </c>
      <c r="N324" s="8" t="str">
        <f>IF(
_xlfn.XLOOKUP(
_xlfn.XLOOKUP(B324,'Base stats'!B:B,'Base stats'!E:E),
Groups!A:A,
Groups!L:L
)=1,
MIN(
MROUND(
IF(
_xlfn.XLOOKUP(B324,'Animals CE'!B:B,'Animals CE'!Z:Z)&lt;=1.5,
_xlfn.XLOOKUP(B324,'Animals CE'!B:B,'Animals CE'!Z:Z)/2+0.05,
0.8+
(_xlfn.XLOOKUP(B324,'Animals CE'!B:B,'Animals CE'!Z:Z)-1.5)
*0.02
),
0.05
),
200%
),
"No"
)</f>
        <v>No</v>
      </c>
      <c r="O324" s="8" t="str">
        <f>IF(
_xlfn.XLOOKUP(
_xlfn.XLOOKUP(B324,'Base stats'!B:B,'Base stats'!E:E),
Groups!A:A,
Groups!L:L
)=1,
MIN(
MROUND(
IF(
_xlfn.XLOOKUP(B324,'Animals CE'!B:B,'Animals CE'!AA:AA)&lt;=1.5,
_xlfn.XLOOKUP(B324,'Animals CE'!B:B,'Animals CE'!AA:AA)/2+0.05,
0.8+
(_xlfn.XLOOKUP(B324,'Animals CE'!B:B,'Animals CE'!AA:AA)-1.5)
*0.02
),
0.05
),
200%
),
"No"
)</f>
        <v>No</v>
      </c>
      <c r="P324" s="2" t="str">
        <f>_xlfn.XLOOKUP(B324,'Base stats'!B:B,'Base stats'!R:R)</f>
        <v>Standard</v>
      </c>
      <c r="Q324" s="13">
        <f>MROUND((LOG10(_xlfn.XLOOKUP(B324,'Base stats'!B:B,'Base stats'!AR:AR))*(AO324^0.5)+(_xlfn.XLOOKUP(B324,'Base stats'!B:B,'Base stats'!AR:AR)/1000)^(2/3)+_xlfn.XLOOKUP(B324,'Base stats'!B:B,'Base stats'!BA:BA)/2)+0.5,0.5)</f>
        <v>13</v>
      </c>
      <c r="R324" s="7">
        <f>IF(Q324="No","No",MAX(1,MROUND(_xlfn.XLOOKUP(B324,'Base stats'!B:B,'Base stats'!C:C)^0.165,0.05)))</f>
        <v>2.5500000000000003</v>
      </c>
      <c r="S324" s="13" t="str">
        <f>IF(_xlfn.XLOOKUP(_xlfn.XLOOKUP(B324,'Base stats'!B:B,'Base stats'!E:E),Groups!A:A,Groups!P:P)=0,"No",MROUND((LOG10(_xlfn.XLOOKUP(B324,'Base stats'!B:B,'Base stats'!AS:AS))*(AO324^0.5)+(_xlfn.XLOOKUP(B324,'Base stats'!B:B,'Base stats'!AS:AS)/1000)^(2/3)+_xlfn.XLOOKUP(B324,'Base stats'!B:B,'Base stats'!BA:BA))+_xlfn.XLOOKUP(B324,'Base stats'!B:B,'Base stats'!AY:AY)+0.5,0.5))</f>
        <v>No</v>
      </c>
      <c r="T324" s="7" t="str">
        <f>IF(S324="No","No",MAX(_xlfn.XLOOKUP(_xlfn.XLOOKUP(B324,'Base stats'!B:B,'Base stats'!E:E),Groups!A:A,Groups!Q:Q),MROUND(_xlfn.XLOOKUP(_xlfn.XLOOKUP(B324,'Base stats'!B:B,'Base stats'!E:E),Groups!A:A,Groups!Q:Q)*_xlfn.XLOOKUP(B324,'Base stats'!B:B,'Base stats'!C:C)^0.165,0.05)))</f>
        <v>No</v>
      </c>
      <c r="U324" s="7" t="str">
        <f>IF(S324="No","No",_xlfn.XLOOKUP(_xlfn.XLOOKUP(B324,'Base stats'!B:B,'Base stats'!E:E),Groups!A:A,Groups!R:R))</f>
        <v>No</v>
      </c>
      <c r="V324" s="7" t="str">
        <f>IF(S324="No","No",_xlfn.XLOOKUP(_xlfn.XLOOKUP(B324,'Base stats'!B:B,'Base stats'!E:E),Groups!A:A,Groups!S:S))</f>
        <v>No</v>
      </c>
      <c r="W324" s="7" t="str">
        <f>IF(S324="No","No",_xlfn.XLOOKUP(_xlfn.XLOOKUP(B324,'Base stats'!B:B,'Base stats'!E:E),Groups!A:A,Groups!T:T))</f>
        <v>No</v>
      </c>
      <c r="X324" s="13" t="str">
        <f>IF(_xlfn.XLOOKUP(B324,'Base stats'!B:B,'Base stats'!W:W)="No","No",MROUND((LOG10(_xlfn.XLOOKUP(B324,'Base stats'!B:B,'Base stats'!AU:AU))*(AO324^0.5)+(_xlfn.XLOOKUP(B324,'Base stats'!B:B,'Base stats'!AU:AU)/1000)^(2/3)+_xlfn.XLOOKUP(B324,'Base stats'!B:B,'Base stats'!AZ:AZ))+0.5+IF(_xlfn.XLOOKUP(_xlfn.XLOOKUP(B324,'Base stats'!B:B,'Base stats'!E:E),Groups!A:A,Groups!U:U)&lt;&gt;3,_xlfn.XLOOKUP(B324,'Base stats'!B:B,'Base stats'!BA:BA),0),0.5))</f>
        <v>No</v>
      </c>
      <c r="Y324" s="7" t="str">
        <f>IF(X324="No","No",MAX(_xlfn.XLOOKUP(_xlfn.XLOOKUP(B324,'Base stats'!B:B,'Base stats'!E:E),Groups!A:A,Groups!V:V),MROUND(_xlfn.XLOOKUP(_xlfn.XLOOKUP(B324,'Base stats'!B:B,'Base stats'!E:E),Groups!A:A,Groups!V:V)*_xlfn.XLOOKUP(B324,'Base stats'!B:B,'Base stats'!C:C)^0.165,0.05)))</f>
        <v>No</v>
      </c>
      <c r="Z324" s="7" t="str">
        <f>IF(X324="No","No",_xlfn.XLOOKUP(_xlfn.XLOOKUP(B324,'Base stats'!B:B,'Base stats'!E:E),Groups!A:A,Groups!W:W))</f>
        <v>No</v>
      </c>
      <c r="AA324" s="7" t="str">
        <f>IF(X324="No","No",_xlfn.XLOOKUP(_xlfn.XLOOKUP(B324,'Base stats'!B:B,'Base stats'!E:E),Groups!A:A,Groups!X:X))</f>
        <v>No</v>
      </c>
      <c r="AB324" s="7" t="str">
        <f>IF(X324="No","No",_xlfn.XLOOKUP(_xlfn.XLOOKUP(B324,'Base stats'!B:B,'Base stats'!E:E),Groups!A:A,Groups!Y:Y))</f>
        <v>No</v>
      </c>
      <c r="AC324" s="7" t="str">
        <f>_xlfn.XLOOKUP(Animals!B324,'Base stats'!B:B,'Base stats'!X:X)</f>
        <v>False</v>
      </c>
      <c r="AD324" s="13">
        <f>IF(_xlfn.XLOOKUP(B324,'Base stats'!B:B,'Base stats'!AT:AT)="No","No",MROUND((LOG10(_xlfn.XLOOKUP(B324,'Base stats'!B:B,'Base stats'!AT:AT))*(AO324^0.75)+(_xlfn.XLOOKUP(B324,'Base stats'!B:B,'Base stats'!AT:AT)/1000)^(2/3)+_xlfn.XLOOKUP(B324,'Base stats'!B:B,'Base stats'!AX:AX)+_xlfn.XLOOKUP(B324,'Base stats'!B:B,'Base stats'!BA:BA))+0.5,0.5))</f>
        <v>23.5</v>
      </c>
      <c r="AE324" s="7">
        <f>IF(AD324="No","No",MAX(_xlfn.XLOOKUP(_xlfn.XLOOKUP(B324,'Base stats'!B:B,'Base stats'!E:E),Groups!A:A,Groups!Z:Z),MROUND(_xlfn.XLOOKUP(_xlfn.XLOOKUP(B324,'Base stats'!B:B,'Base stats'!E:E),Groups!A:A,Groups!Z:Z)*_xlfn.XLOOKUP(B324,'Base stats'!B:B,'Base stats'!C:C)^0.165,0.05)))</f>
        <v>1.8</v>
      </c>
      <c r="AF324" s="7" t="str">
        <f>IF(AD324="No","No",_xlfn.XLOOKUP(_xlfn.XLOOKUP(B324,'Base stats'!B:B,'Base stats'!E:E),Groups!A:A,Groups!AA:AA))</f>
        <v>Teeth</v>
      </c>
      <c r="AG324" s="7" t="str">
        <f>IF(AD324="No","No",_xlfn.XLOOKUP(_xlfn.XLOOKUP(B324,'Base stats'!B:B,'Base stats'!E:E),Groups!A:A,Groups!AB:AB))</f>
        <v>canines</v>
      </c>
      <c r="AH324" s="7" t="str">
        <f>IF(AD324="No","No",_xlfn.XLOOKUP(_xlfn.XLOOKUP(B324,'Base stats'!B:B,'Base stats'!E:E),Groups!A:A,Groups!AC:AC))</f>
        <v>Bite</v>
      </c>
      <c r="AI324" s="13">
        <f>IF(_xlfn.XLOOKUP(_xlfn.XLOOKUP(B324,'Base stats'!B:B,'Base stats'!E:E),Groups!A:A,Groups!AD:AD)=0,"No",MROUND((LOG10(_xlfn.XLOOKUP(B324,'Base stats'!B:B,'Base stats'!AS:AS))*(AO324^0.75)+(_xlfn.XLOOKUP(B324,'Base stats'!B:B,'Base stats'!AS:AS)/1000)^(2/3)+_xlfn.XLOOKUP(B324,'Base stats'!B:B,'Base stats'!AY:AY)+_xlfn.XLOOKUP(B324,'Base stats'!B:B,'Base stats'!BA:BA))+0.5,0.5))</f>
        <v>20.5</v>
      </c>
      <c r="AJ324" s="7">
        <f>IF(AI324="No","No",MAX(_xlfn.XLOOKUP(_xlfn.XLOOKUP(B324,'Base stats'!B:B,'Base stats'!E:E),Groups!A:A,Groups!AE:AE),MROUND(_xlfn.XLOOKUP(_xlfn.XLOOKUP(B324,'Base stats'!B:B,'Base stats'!E:E),Groups!A:A,Groups!AE:AE)*IF(_xlfn.XLOOKUP(_xlfn.XLOOKUP(B324,'Base stats'!B:B,'Base stats'!E:E),Groups!A:A,Groups!AJ:AJ)="Photonozoa",0.6,1)*_xlfn.XLOOKUP(B324,'Base stats'!B:B,'Base stats'!C:C)^0.165,0.05)))</f>
        <v>1.6500000000000001</v>
      </c>
      <c r="AK324" s="7" t="str">
        <f>IF(AI324="No","No",_xlfn.XLOOKUP(_xlfn.XLOOKUP(B324,'Base stats'!B:B,'Base stats'!E:E),Groups!A:A,Groups!AF:AF))</f>
        <v>FrontLeftPaw, FrontRightPaw</v>
      </c>
      <c r="AL324" s="7" t="str">
        <f>IF(AI324="No","No",_xlfn.XLOOKUP(_xlfn.XLOOKUP(B324,'Base stats'!B:B,'Base stats'!E:E),Groups!A:A,Groups!AG:AG))</f>
        <v>left claw, right claw</v>
      </c>
      <c r="AM324" s="7" t="str">
        <f>IF(AI324="No","No",_xlfn.XLOOKUP(_xlfn.XLOOKUP(B324,'Base stats'!B:B,'Base stats'!E:E),Groups!A:A,Groups!AH:AH))</f>
        <v>Scratch</v>
      </c>
      <c r="AN324" s="2">
        <f t="shared" si="35"/>
        <v>25</v>
      </c>
      <c r="AO324" s="2">
        <f>MROUND(IF(AND(_xlfn.XLOOKUP(B324,'Base stats'!B:B,'Base stats'!C:C)&gt;=0.5,_xlfn.XLOOKUP(B324,'Base stats'!B:B,'Base stats'!C:C)&lt;=0.8),
IF(_xlfn.XLOOKUP(B324,'Base stats'!B:B,'Base stats'!C:C)&lt;0.1,0.05,IF(_xlfn.XLOOKUP(B324,'Base stats'!B:B,'Base stats'!C:C)&lt;=70,(_xlfn.XLOOKUP(B324,'Base stats'!B:B,'Base stats'!C:C)/70)^0.426489913056526,IF(_xlfn.XLOOKUP(B324,'Base stats'!B:B,'Base stats'!C:C)&lt;=400,(_xlfn.XLOOKUP(B324,'Base stats'!B:B,'Base stats'!C:C)/70)^0.572811455315093,IF(_xlfn.XLOOKUP(B324,'Base stats'!B:B,'Base stats'!C:C)&lt;=2000,2.71391647193063*(_xlfn.XLOOKUP(B324,'Base stats'!B:B,'Base stats'!C:C)/400)^0.252459582904293,3.74314280240376*(_xlfn.XLOOKUP(B324,'Base stats'!B:B,'Base stats'!C:C)/2000)^0.357012633876913)))),
IF(_xlfn.XLOOKUP(B324,'Base stats'!B:B,'Base stats'!C:C)&lt;0.1,0.05,IF(_xlfn.XLOOKUP(B324,'Base stats'!B:B,'Base stats'!C:C)&lt;0.4,0.1,IF(_xlfn.XLOOKUP(B324,'Base stats'!B:B,'Base stats'!C:C)&lt;=70,(_xlfn.XLOOKUP(B324,'Base stats'!B:B,'Base stats'!C:C)/70)^0.445823913056526,IF(_xlfn.XLOOKUP(B324,'Base stats'!B:B,'Base stats'!C:C)&lt;=400,(_xlfn.XLOOKUP(B324,'Base stats'!B:B,'Base stats'!C:C)/70)^0.572811455315093,IF(_xlfn.XLOOKUP(B324,'Base stats'!B:B,'Base stats'!C:C)&lt;=2000,2.71391647193063*(_xlfn.XLOOKUP(B324,'Base stats'!B:B,'Base stats'!C:C)/400)^0.252459582904293,3.74314280240376*(_xlfn.XLOOKUP(B324,'Base stats'!B:B,'Base stats'!C:C)/2000)^0.357012633876913)))))),
IF(_xlfn.XLOOKUP(B324,'Base stats'!B:B,'Base stats'!C:C)&lt;0.1,0.05,IF(_xlfn.XLOOKUP(B324,'Base stats'!B:B,'Base stats'!C:C)&lt;=100,0.05,IF(_xlfn.XLOOKUP(B324,'Base stats'!B:B,'Base stats'!C:C)&lt;=250,0.1,IF(_xlfn.XLOOKUP(B324,'Base stats'!B:B,'Base stats'!C:C)&lt;=4000,0.25,0.5)))))</f>
        <v>2.25</v>
      </c>
      <c r="AP324" s="8">
        <f>MROUND(AO324*_xlfn.XLOOKUP(_xlfn.XLOOKUP(B324,'Base stats'!B:B,'Base stats'!E:E),Groups!A:A,Groups!AI:AI)*_xlfn.XLOOKUP(B324,'Base stats'!B:B,'Base stats'!Z:Z),0.05)</f>
        <v>2.7</v>
      </c>
      <c r="AQ324" s="8">
        <f>MAX(0.01,MROUND(IF(CC324="True",0.196*(AO324*100*1000)^0.889,IF(_xlfn.XLOOKUP(_xlfn.XLOOKUP(B324,'Base stats'!B:B,'Base stats'!E:E),Groups!A:A,Groups!AJ:AJ)="Bird",10.5*(AO324*100*1000)^0.681,4.82*(AO324*100*1000)^0.734))/(4.82*(1*100*1000)^0.734)/IF(AO324&lt;3.5,2,IF(AO324=3.5,1.5,1.25))*(1+0.132282374779864/(AO324^0.994035016789033+0.00905238001496948)),0.05))</f>
        <v>0.95000000000000007</v>
      </c>
      <c r="AR324" s="9">
        <f>IFERROR(MROUND(_xlfn.XLOOKUP(B324,'Base stats'!B:B,'Base stats'!H:H)/IF(_xlfn.XLOOKUP(B324,'Base stats'!B:B,'Base stats'!I:I)&lt;&gt;1,(122.5/70),1.2),IF(_xlfn.XLOOKUP(B324,'Base stats'!B:B,'Base stats'!H:H)&gt;=30,5,IF(_xlfn.XLOOKUP(B324,'Base stats'!B:B,'Base stats'!H:H)&gt;=15,3,IF(_xlfn.XLOOKUP(B324,'Base stats'!B:B,'Base stats'!H:H)&gt;=10,2,1)))),"Immortal")</f>
        <v>24</v>
      </c>
      <c r="AS324" s="35">
        <f>IFERROR(IF(OR(_xlfn.XLOOKUP(B324,'Base stats'!B:B,'Base stats'!F:F)="Atypical reproduction",_xlfn.XLOOKUP(B324,'Base stats'!B:B,'Base stats'!F:F)="Lay eggs"),"Lay eggs",MIN(20,MAX(5.5,ROUND(((_xlfn.XLOOKUP(B324,'Base stats'!B:B,'Base stats'!F:F)-25)*(14.5/615) + 5.5)*2,0)/2))),"Unknown")</f>
        <v>7.5</v>
      </c>
      <c r="AT324" s="8">
        <f>IF(_xlfn.XLOOKUP(B324,'Base stats'!B:B,'Base stats'!G:G)="Atypical reproduction","No",IFERROR(MAX(IF(_xlfn.XLOOKUP(B324,'Base stats'!B:B,'Base stats'!G:G)&lt;0.5,0.2,0.3),MROUND(_xlfn.XLOOKUP(B324,'Base stats'!B:B,'Base stats'!G:G)/(365/60),0.2)),"Unknown"))</f>
        <v>0.4</v>
      </c>
      <c r="AU324" s="8">
        <f t="shared" si="36"/>
        <v>0.2</v>
      </c>
      <c r="AV324" s="8">
        <f>IFERROR(IFERROR(MROUND(_xlfn.XLOOKUP(B324,'Base stats'!B:B,'Base stats'!J:J),0.1),"Lay eggs"),"Cannot breed")</f>
        <v>3</v>
      </c>
      <c r="AW324" s="2" t="str">
        <f t="shared" si="37"/>
        <v>false</v>
      </c>
      <c r="AX324" s="2" t="str">
        <f>IF(_xlfn.XLOOKUP(_xlfn.XLOOKUP(Animals!B324,'Base stats'!B:B,'Base stats'!E:E),Groups!A:A,Groups!AK:AK)=1,"true","false")</f>
        <v>false</v>
      </c>
      <c r="AY324" s="25" t="str">
        <f>IF(_xlfn.XLOOKUP(B324,'Base stats'!B:B,'Base stats'!Y:Y)="Liquor","Liquor, CarnivoreAnimalStrict",IF(AND(_xlfn.XLOOKUP(B324,'Base stats'!B:B,'Base stats'!Y:Y)="Carnivore",_xlfn.XLOOKUP(_xlfn.XLOOKUP(B324,'Base stats'!B:B,'Base stats'!E:E),Groups!A:A,Groups!AJ:AJ)="Photonozoa"),"CarnivoreAnimalStrict, OvivoreAnimal",IF(_xlfn.XLOOKUP(B324,'Base stats'!B:B,'Base stats'!Y:Y)="Carnivore","CarnivoreAnimal, OvivoreAnimal",IF(_xlfn.XLOOKUP(B324,'Base stats'!B:B,'Base stats'!Y:Y)="Dendrovore","VegetarianRoughAnimal, DendrovoreAnimal",IF(_xlfn.XLOOKUP(B324,'Base stats'!B:B,'Base stats'!Y:Y)="Herbivore","VegetarianRoughAnimal",IF(_xlfn.XLOOKUP(B324,'Base stats'!B:B,'Base stats'!Y:Y)="OmnivoreRough","OmnivoreRoughAnimal, OvivoreAnimal","OmnivoreAnimal, OvivoreAnimal"))))))</f>
        <v>CarnivoreAnimal, OvivoreAnimal</v>
      </c>
      <c r="AZ324" s="2" t="str">
        <f>IF(_xlfn.XLOOKUP(_xlfn.XLOOKUP(B324,'Base stats'!B:B,'Base stats'!E:E),Groups!A:A,Groups!D:D)=1,MROUND((1-J324)*5+1,2)*IF(J324&lt;=0.4,2,1),"No")</f>
        <v>No</v>
      </c>
      <c r="BA324" s="2" t="str">
        <f>IF(AND(_xlfn.XLOOKUP(B324,'Base stats'!B:B,'Base stats'!AH:AH)="&lt;li&gt;Seal&lt;/li&gt;",G324="Odyssey"),"&lt;li&gt;AEXP_Seal&lt;/li&gt;",_xlfn.XLOOKUP(B324,'Base stats'!B:B,'Base stats'!AH:AH))</f>
        <v>&lt;li&gt;AA_ArcticLion&lt;/li&gt;</v>
      </c>
      <c r="BB324" s="2" t="str">
        <f>_xlfn.XLOOKUP(B324,'Base stats'!B:B,'Base stats'!AG:AG)</f>
        <v>AA_SandLion_Leather</v>
      </c>
      <c r="BC324" s="23" t="str">
        <f>_xlfn.XLOOKUP(_xlfn.XLOOKUP(B324,'Base stats'!B:B,'Base stats'!E:E),Groups!A:A,Groups!AL:AL)</f>
        <v>QuadrupedAnimalWithPawsAndTail</v>
      </c>
      <c r="BD324" s="23">
        <f>MIN(1,MROUND(IF(AND(AO324&lt;0.5,_xlfn.XLOOKUP(B324,'Base stats'!B:B,'Base stats'!AA:AA)=0),0,IF(OR(_xlfn.XLOOKUP(Animals!B324,'Base stats'!B:B,'Base stats'!O:O)=2,_xlfn.XLOOKUP(_xlfn.XLOOKUP(B324,'Base stats'!B:B,'Base stats'!E:E),Groups!A:A,Groups!AN:AN)=0),0,_xlfn.XLOOKUP(_xlfn.XLOOKUP(B324,'Base stats'!B:B,'Base stats'!E:E),Groups!A:A,Groups!AN:AN)/IF(_xlfn.XLOOKUP(Animals!B324,'Base stats'!B:B,'Base stats'!O:O)=1,2,1)))+_xlfn.XLOOKUP(B324,'Base stats'!B:B,'Base stats'!AC:AC),0.005))</f>
        <v>0.1</v>
      </c>
      <c r="BE324" s="23">
        <f>MIN(1,MROUND(IF(AND(AO324&lt;0.5,_xlfn.XLOOKUP(B324,'Base stats'!B:B,'Base stats'!AA:AA)=0),0,IF(_xlfn.XLOOKUP(_xlfn.XLOOKUP(B324,'Base stats'!B:B,'Base stats'!E:E),Groups!A:A,Groups!AO:AO)=0,0,_xlfn.XLOOKUP(_xlfn.XLOOKUP(B324,'Base stats'!B:B,'Base stats'!E:E),Groups!A:A,Groups!AO:AO)/IF(_xlfn.XLOOKUP(Animals!B324,'Base stats'!B:B,'Base stats'!O:O)=2,3,1)))+_xlfn.XLOOKUP(B324,'Base stats'!B:B,'Base stats'!AD:AD),0.005))</f>
        <v>0.3</v>
      </c>
      <c r="BF324" s="2" t="str">
        <f>IF(J324&gt;0.3,"No",_xlfn.XLOOKUP(_xlfn.XLOOKUP(Animals!B324,'Base stats'!B:B,'Base stats'!E:E),Groups!A:A,Groups!AP:AP))</f>
        <v>No</v>
      </c>
      <c r="BG324" s="2" t="str">
        <f>IF(AND(J324&lt;=0.65,_xlfn.XLOOKUP(_xlfn.XLOOKUP(Animals!B324,'Base stats'!B:B,'Base stats'!E:E),Groups!A:A,Groups!AP:AP)&lt;&gt;"No",_xlfn.XLOOKUP(_xlfn.XLOOKUP(B324,'Base stats'!B:B,'Base stats'!E:E),Groups!A:A,Groups!D:D)=0),MROUND((80/3)*IF(_xlfn.XLOOKUP(B324,'Base stats'!B:B,'Base stats'!O:O)=2,0.2,AO324) + 24*(1-IF(BF324="No",0,BF324)) + 16/3, 12),"No")</f>
        <v>No</v>
      </c>
      <c r="BH324" s="2">
        <f>IF(AND(_xlfn.XLOOKUP(_xlfn.XLOOKUP(B324,'Base stats'!B:B,'Base stats'!E:E),Groups!A:A,Groups!AQ:AQ)=1,AO324&lt;=0.35),8,12)</f>
        <v>12</v>
      </c>
      <c r="BI324" s="2" t="str">
        <f>IF(_xlfn.XLOOKUP(_xlfn.XLOOKUP(B324,'Base stats'!B:B,'Base stats'!E:E),Groups!A:A,Groups!D:D)=0,_xlfn.XLOOKUP(_xlfn.XLOOKUP(B324,'Base stats'!B:B,'Base stats'!E:E),Groups!A:A,Groups!AR:AR),"None")</f>
        <v>Intermediate</v>
      </c>
      <c r="BJ324" s="2" t="str">
        <f>IF(AND(_xlfn.XLOOKUP(_xlfn.XLOOKUP(B324,'Base stats'!B:B,'Base stats'!E:E),Groups!A:A,Groups!AS:AS)=1,OR(_xlfn.XLOOKUP(B324,'Base stats'!B:B,'Base stats'!Y:Y)="Carnivore",_xlfn.XLOOKUP(B324,'Base stats'!B:B,'Base stats'!Y:Y)="Omnivore")),"true","false")</f>
        <v>true</v>
      </c>
      <c r="BK324" s="2">
        <f>IF(BJ324="true",MROUND(IF(AND(AO324&gt;0.5,OR(_xlfn.XLOOKUP(_xlfn.XLOOKUP(B324,'Base stats'!B:B,'Base stats'!E:E),Groups!A:A,Groups!AJ:AJ)="Photonozoa",_xlfn.XLOOKUP(_xlfn.XLOOKUP(B324,'Base stats'!B:B,'Base stats'!E:E),Groups!A:A,Groups!AJ:AJ)="Mammal")),Animals!AO324*1.75*IF(AW324="true",1.5,1),IF(AO324&lt;0.5,Animals!AO324*0.5,Animals!AO324)),IF(AO324&gt;2,0.5,IF(AO324&gt;0.5,0.25,0.1))),"No")</f>
        <v>4</v>
      </c>
      <c r="BL324" s="2">
        <f t="shared" si="38"/>
        <v>1</v>
      </c>
      <c r="BM324" s="25" t="str">
        <f>IF(_xlfn.XLOOKUP(B324,'Base stats'!B:B,'Base stats'!AN:AN)="Standard","No",MROUND((_xlfn.XLOOKUP(B324,'Base stats'!B:B,'Base stats'!AN:AN)/3.6)/I324,0.1))</f>
        <v>No</v>
      </c>
      <c r="BN324" s="25" t="str">
        <f t="shared" si="39"/>
        <v>false</v>
      </c>
      <c r="BO324" s="25" t="str">
        <f>IF(AND(OR(_xlfn.XLOOKUP(B324,'Base stats'!B:B,'Base stats'!Y:Y)="Carnivore",_xlfn.XLOOKUP(B324,'Base stats'!B:B,'Base stats'!Y:Y)="Omnivore",_xlfn.XLOOKUP(B324,'Base stats'!B:B,'Base stats'!Y:Y)="OmnivoreRough"),_xlfn.XLOOKUP(_xlfn.XLOOKUP(B324,'Base stats'!B:B,'Base stats'!E:E),Groups!A:A,Groups!AT:AT)=1),"true","false")</f>
        <v>false</v>
      </c>
      <c r="BP324" s="25" t="str" cm="1">
        <f t="array" ref="BP324">IF(
  _xlfn.TEXTJOIN(", ",TRUE,
    IF(AND(BJ324="true",AO324&gt;0.5,BI324&lt;&gt;"None"),"AttackTarget",""),
    IF(AND(_xlfn.XLOOKUP(_xlfn.XLOOKUP(B324,'Base stats'!B:B,'Base stats'!E:E),Groups!A:A,Groups!AJ:AJ="Mammal"),OR(_xlfn.XLOOKUP(B324,'Base stats'!B:B,'Base stats'!Y:Y)="Omnivore",_xlfn.XLOOKUP(B324,'Base stats'!B:B,'Base stats'!Y:Y)="OmnivoreRough")),"Forage",""),
    IF(BG324&lt;=36,"Comfort",""),
    IF(_xlfn.XLOOKUP(B324,'Base stats'!B:B,'Base stats'!AE:AE)&lt;&gt;"No",_xlfn.XLOOKUP(B324,'Base stats'!B:B,'Base stats'!AE:AE),"")
  ) = "",
  "No",
  _xlfn.TEXTJOIN(", ",TRUE,
    IF(AND(BJ324="true",AO324&gt;0.5,BI324&lt;&gt;"None"),"AttackTarget",""),
    IF(AND(_xlfn.XLOOKUP(_xlfn.XLOOKUP(B324,'Base stats'!B:B,'Base stats'!E:E),Groups!A:A,Groups!AJ:AJ="Mammal"),OR(_xlfn.XLOOKUP(B324,'Base stats'!B:B,'Base stats'!Y:Y)="Omnivore",_xlfn.XLOOKUP(B324,'Base stats'!B:B,'Base stats'!Y:Y)="OmnivoreRough")),"Forage",""),
    IF(BG324&lt;=36,"Comfort",""),
    IF(_xlfn.XLOOKUP(B324,'Base stats'!B:B,'Base stats'!AE:AE)&lt;&gt;"No",_xlfn.XLOOKUP(B324,'Base stats'!B:B,'Base stats'!AE:AE),"")
  )
)</f>
        <v>AttackTarget</v>
      </c>
      <c r="BQ324" s="25" t="str">
        <f>IF(
   AND(
      'Base stats'!AN324="Standard",_xlfn.XLOOKUP(_xlfn.XLOOKUP(B324,'Base stats'!B:B,'Base stats'!E:E),Groups!A:A,Groups!AU:AU)=0,
      OR(
      BO324="True"
      )
   ),
   10,
   IF(
       OR(BM324&lt;&gt;"No",_xlfn.XLOOKUP(_xlfn.XLOOKUP(B324,'Base stats'!B:B,'Base stats'!E:E),Groups!A:A,Groups!AU:AU)=1),
      1,
      "No"
   )
)</f>
        <v>No</v>
      </c>
      <c r="BR324" s="9">
        <f>MROUND((1 + ((0.2*IF(OR(Q324="No",R324="No",R324=0),0,Q324/R324)
+IF(OR(V324="No",S324="No",T324="No"),0,S324/T324*(LEN(V324)-LEN(SUBSTITUTE(V324,",",""))+1))
+IF(OR(X324="No",Y324="No"),0,X324/Y324)
+IF(OR(AD324="No",AE324="No"),0,AD324/AE324)
+IF(OR(AL324="No",AI324="No",AJ324="No"),0,AI324/AJ324*(LEN(AL324)-LEN(SUBSTITUTE(AL324,",",""))+1))
)/(0.2*IF(OR(Q324="No",R324="No",R324=0),0,1)
+IF(OR(V324="No",S324="No",T324="No"),0,LEN(V324)-LEN(SUBSTITUTE(V324,",",""))+1)
+IF(OR(X324="No",Y324="No"),0,1)
+IF(OR(AD324="No",AE324="No"),0,1)
+IF(OR(AL324="No",AI324="No",AJ324="No"),0,LEN(AL324)-LEN(SUBSTITUTE(AL324,",",""))+1))*62%)* 2)*(1 + (AP324 / (IF(_xlfn.XLOOKUP(_xlfn.XLOOKUP(B324,'Base stats'!B:B,'Base stats'!E:E),Groups!A:A,Groups!AJ:AJ)="Photonozoa",0.3,1)) + _xlfn.XLOOKUP(B324,'Base stats'!B:B,'Base stats'!AV:AV) * 1.8) * 2) * 2.5 + 10 + I324 * 2,5)+IF(_xlfn.XLOOKUP(B324,'Base stats'!B:B,'Base stats'!AK:AK)=1,50,0)</f>
        <v>280</v>
      </c>
      <c r="BS324" s="8">
        <f t="shared" si="40"/>
        <v>1.2000000000000002</v>
      </c>
      <c r="BT324" s="8" t="str">
        <f>_xlfn.XLOOKUP(B324,'Base stats'!B:B,'Base stats'!AF:AF)</f>
        <v>No</v>
      </c>
      <c r="BU324" s="2" t="str">
        <f>IF(AND(J324&lt;=0.95,OR(_xlfn.XLOOKUP(B324,'Base stats'!B:B,'Base stats'!AK:AK)=1,_xlfn.XLOOKUP(B324,'Base stats'!B:B,'Base stats'!Y:Y)="Carnivore",_xlfn.XLOOKUP(B324,'Base stats'!B:B,'Base stats'!Y:Y)="Omnivore",BE324&gt;0.1)),"true","false")</f>
        <v>true</v>
      </c>
      <c r="BV324" s="2" t="str">
        <f>IF(_xlfn.XLOOKUP(B324,'Base stats'!B:B,'Base stats'!AI:AI)=1,"true","false")</f>
        <v>false</v>
      </c>
      <c r="BW324" s="25" t="str">
        <f>IF(E324="BaseInsect","AnimalInsect",
IF(J324&gt;0.95,"AnimalExotic",
_xlfn.TEXTJOIN(", ",TRUE,
IF(OR(_xlfn.XLOOKUP(B324,'Base stats'!B:B,'Base stats'!AM:AM)=1,AND(_xlfn.XLOOKUP(B324,'Base stats'!B:B,'Base stats'!O:O)=0,_xlfn.XLOOKUP(_xlfn.XLOOKUP(B324,'Base stats'!B:B,'Base stats'!E:E),Groups!A:A,Groups!B:B)&gt;0)),"AnimalUncommon","AnimalCommon"),
IF(AND(_xlfn.XLOOKUP(B324,'Base stats'!B:B,'Base stats'!O:O)=2,_xlfn.XLOOKUP(_xlfn.XLOOKUP(B324,'Base stats'!B:B,'Base stats'!E:E),Groups!A:A,Groups!D:D)=0),"AnimalPet",IF(AND(_xlfn.XLOOKUP(B324,'Base stats'!B:B,'Base stats'!O:O)&lt;&gt;0,_xlfn.XLOOKUP(_xlfn.XLOOKUP(B324,'Base stats'!B:B,'Base stats'!E:E),Groups!A:A,Groups!D:D)&lt;&gt;0),"AnimalFarm","")),
IF(OR(_xlfn.XLOOKUP(B324,'Base stats'!B:B,'Base stats'!AK:AK)=1,AND(BI324&lt;&gt;"None",BR324&gt;=60),ISNUMBER(SEARCH("Attack target",BP324))),"AnimalFighter","")
)))</f>
        <v>AnimalUncommon, AnimalFighter</v>
      </c>
      <c r="BX324" s="25" t="str">
        <f>IF(G324="None",TRIM(
SUBSTITUTE(
IF(COUNTIF(Biomes!B$2:B$259,"="&amp;$C324)&gt;0,Biomes!B$1&amp;", ","")&amp;
IF(COUNTIF(Biomes!C$2:C$259,"="&amp;$C324)&gt;0,Biomes!C$1&amp;", ","")&amp;
IF(COUNTIF(Biomes!D$2:D$259,"="&amp;$C324)&gt;0,Biomes!D$1&amp;", ","")&amp;
IF(COUNTIF(Biomes!F$2:F$259,"="&amp;$C324)&gt;0,Biomes!F$1&amp;", ","")&amp;
IF(COUNTIF(Biomes!G$2:G$259,"="&amp;$C324)&gt;0,Biomes!G$1&amp;", ","")&amp;
IF(COUNTIF(Biomes!H$2:H$259,"="&amp;$C324)&gt;0,Biomes!H$1&amp;", ","")&amp;
IF(COUNTIF(Biomes!I$2:I$259,"="&amp;$C324)&gt;0,Biomes!I$1&amp;", ","")&amp;
IF(COUNTIF(Biomes!J$2:J$259,"="&amp;$C324)&gt;0,Biomes!J$1&amp;", ","")&amp;
IF(COUNTIF(Biomes!M$2:M$259,"="&amp;$C324)&gt;0,Biomes!M$1&amp;", ","")&amp;
IF(COUNTIF(Biomes!N$2:N$259,"="&amp;$C324)&gt;0,Biomes!N$1&amp;", ","")&amp;
IF(COUNTIF(Biomes!O$2:O$259,"="&amp;$C324)&gt;0,Biomes!O$1&amp;", ","")&amp;
IF(COUNTIF(Biomes!P$2:P$259,"="&amp;$C324)&gt;0,Biomes!P$1&amp;", ","")&amp;
IF(COUNTIF(Biomes!K$2:K$259,"="&amp;$C324)&gt;0,Biomes!K$1&amp;", ","")&amp;
IF(COUNTIF(Biomes!Q$3:Q$259,"="&amp;$C324)&gt;0,Biomes!Q$1&amp;", ","")&amp;
IF(COUNTIF(Biomes!L$2:L$259,"="&amp;$C324)&gt;0,Biomes!L$1&amp;", ","")&amp;
IF(COUNTIF(Biomes!E$2:E$259,"="&amp;$C324)&gt;0,Biomes!E$1&amp;", ","")&amp;IF(COUNTIF(Biomes!S$2:S$259,"="&amp;$C324)&gt;0,Biomes!S$1&amp;", ","")&amp;
IF(COUNTIF(Biomes!R$2:R$259,"="&amp;$C324)&gt;0,Biomes!R$1&amp;", ",""),", ","")
),_xlfn.XLOOKUP(B324,B:B,BX:BX))</f>
        <v>AridShrubland Desert ExtremeDesert LavaField</v>
      </c>
      <c r="BY324" s="25" t="str">
        <f>IF(_xlfn.XLOOKUP(B324,'Base stats'!B:B,'Base stats'!AJ:AJ)=1,"true","false")</f>
        <v>false</v>
      </c>
      <c r="BZ324" s="25">
        <f>IF(_xlfn.XLOOKUP(B324,'Base stats'!B:B,'Base stats'!N:N)=1,"No",MAX(0.001,MIN(MROUND(IF(AND(BJ324="True",CC324="False"),POWER(10,3.47*LOG10(_xlfn.XLOOKUP(B324,'Base stats'!B:B,'Base stats'!C:C)*1000)^-0.96),POWER(10,4.15*LOG10(_xlfn.XLOOKUP(B324,'Base stats'!B:B,'Base stats'!C:C)*1000)^-0.73))*IF(_xlfn.XLOOKUP(B324,'Base stats'!B:B,'Base stats'!AK:AK)=1,0.5,1)*IF(_xlfn.XLOOKUP(B324,'Base stats'!B:B,'Base stats'!AM:AM)=1,0.1,1)/100,IF(_xlfn.XLOOKUP(B324,'Base stats'!B:B,'Base stats'!AM:AM)=1,0.001,0.025)),0.5)))</f>
        <v>5.0000000000000001E-3</v>
      </c>
      <c r="CA324" s="25" t="str">
        <f>IF(P324="Standard","No",MAX(0.001,MIN(MROUND(IF(AND(BJ324="True",CC324="False"),POWER(10,3.47*LOG10(_xlfn.XLOOKUP(B324,'Base stats'!B:B,'Base stats'!C:C)*1000)^-0.96),POWER(10,4.15*LOG10(_xlfn.XLOOKUP(B324,'Base stats'!B:B,'Base stats'!C:C)*1000)^-0.73))*IF(_xlfn.XLOOKUP(B324,'Base stats'!B:B,'Base stats'!AM:AM)=1,0.1,1)*_xlfn.XLOOKUP(B324,'Base stats'!B:B,'Base stats'!R:R)/100,IF(_xlfn.XLOOKUP(B324,'Base stats'!B:B,'Base stats'!AM:AM)=1,0.001,0.025)),0.5)))</f>
        <v>No</v>
      </c>
      <c r="CB324" s="25" t="str">
        <f>IF(_xlfn.XLOOKUP(_xlfn.XLOOKUP(B324,'Base stats'!B:B,'Base stats'!E:E),Groups!A:A,Groups!AJ:AJ)="Mammal","True","False")</f>
        <v>True</v>
      </c>
      <c r="CC324" s="25" t="str">
        <f>IF(OR(_xlfn.XLOOKUP(_xlfn.XLOOKUP(B324,'Base stats'!B:B,'Base stats'!E:E),Groups!A:A,Groups!AJ:AJ)="Reptile",_xlfn.XLOOKUP(_xlfn.XLOOKUP(B324,'Base stats'!B:B,'Base stats'!E:E),Groups!A:A,Groups!AJ:AJ)="Amphibian",_xlfn.XLOOKUP(_xlfn.XLOOKUP(B324,'Base stats'!B:B,'Base stats'!E:E),Groups!A:A,Groups!AJ:AJ)="Invertebrate"),"True","False")</f>
        <v>False</v>
      </c>
      <c r="CD324" s="25" t="str">
        <f t="shared" si="41"/>
        <v>False</v>
      </c>
      <c r="CE324" s="25" t="str">
        <f>IF(_xlfn.XLOOKUP(_xlfn.XLOOKUP(B324,'Base stats'!B:B,'Base stats'!E:E),Groups!A:A,Groups!AX:AX),"True","False")</f>
        <v>False</v>
      </c>
      <c r="CF324" s="25" t="str">
        <f>IF(_xlfn.XLOOKUP(_xlfn.XLOOKUP(B324,'Base stats'!B:B,'Base stats'!E:E),Groups!A:A,Groups!AY:AY),"True","False")</f>
        <v>False</v>
      </c>
      <c r="CG324" s="25" t="str">
        <f>IF(_xlfn.XLOOKUP(_xlfn.XLOOKUP(B324,'Base stats'!B:B,'Base stats'!E:E),Groups!A:A,Groups!AW:AW),"True","False")</f>
        <v>False</v>
      </c>
      <c r="CH324" s="25" t="str">
        <f>IF(
OR(
_xlfn.XLOOKUP(_xlfn.XLOOKUP(B324,'Base stats'!B:B,'Base stats'!E:E),Groups!A:A,Groups!AZ:AZ)=0,
AND(
_xlfn.XLOOKUP(B324,'Base stats'!B:B,'Base stats'!Y:Y)&lt;&gt;"Carnivore",
_xlfn.XLOOKUP(B324,'Base stats'!B:B,'Base stats'!Y:Y)&lt;&gt;"Omnivore",
_xlfn.XLOOKUP(B324,'Base stats'!B:B,'Base stats'!Y:Y)&lt;&gt;"OmnivoreRough"
)
),
"No",
IF(
_xlfn.XLOOKUP(_xlfn.XLOOKUP(B324,'Base stats'!B:B,'Base stats'!E:E),Groups!A:A,Groups!AZ:AZ)=1,
"Flesh",
IF(
_xlfn.XLOOKUP(_xlfn.XLOOKUP(B324,'Base stats'!B:B,'Base stats'!E:E),Groups!A:A,Groups!AZ:AZ)=2,
"Bone",
""
)
)
)</f>
        <v>No</v>
      </c>
      <c r="CI324" s="25" t="str">
        <f>IF(_xlfn.XLOOKUP(_xlfn.XLOOKUP(B324,'Base stats'!B:B,'Base stats'!E:E),Groups!A:A,Groups!BB:BB),"True","False")</f>
        <v>True</v>
      </c>
      <c r="CJ324" s="25" t="str">
        <f>IF(_xlfn.XLOOKUP(_xlfn.XLOOKUP(B324,'Base stats'!B:B,'Base stats'!E:E),Groups!A:A,Groups!BA:BA),"True","False")</f>
        <v>False</v>
      </c>
    </row>
    <row r="325" spans="1:88" ht="16.5" thickTop="1" thickBot="1" x14ac:dyDescent="0.3">
      <c r="A325" s="26" t="s">
        <v>1562</v>
      </c>
      <c r="B325" s="6" t="str">
        <f>_xlfn.XLOOKUP(A325,'Base stats'!A:A,'Base stats'!B:B)</f>
        <v>Carcharofelis arenae</v>
      </c>
      <c r="C325" s="28" t="s">
        <v>1563</v>
      </c>
      <c r="D325" s="28" t="s">
        <v>1341</v>
      </c>
      <c r="E325" s="28" t="s">
        <v>673</v>
      </c>
      <c r="F325" s="28" t="s">
        <v>673</v>
      </c>
      <c r="G325" s="28" t="s">
        <v>673</v>
      </c>
      <c r="H325" s="2">
        <f>MROUND((
  (IF(AND(_xlfn.XLOOKUP(B325,'Base stats'!B:B,'Base stats'!AL:AL)=0,BI325="None",_xlfn.XLOOKUP(_xlfn.XLOOKUP(B325,'Base stats'!B:B,'Base stats'!E:E),Groups!A:A,Groups!B:B)=0), (18 + BR325 * 2.7) * 0.5,
    IF(AND(_xlfn.XLOOKUP(B325,'Base stats'!B:B,'Base stats'!AL:AL)=0,OR(AO325&lt;0.55,AND(BI325="Intermediate",_xlfn.XLOOKUP(_xlfn.XLOOKUP(B325,'Base stats'!B:B,'Base stats'!E:E),Groups!A:A,Groups!B:B)&lt;2))), (18 + BR325 * 2.7),
      IF(OR(BI325="Advanced",_xlfn.XLOOKUP(B325,'Base stats'!B:B,'Base stats'!AL:AL)=1,_xlfn.XLOOKUP(_xlfn.XLOOKUP(B325,'Base stats'!B:B,'Base stats'!E:E),Groups!A:A,Groups!B:B)=2), (18 + BR325 * 2.7) + 250, (18 + BR325 * 2.7))
    )
  ))
  + AO325 * 80
  + IF(COUNTIF(EggMilk!K$2:K$998, A325) &gt; 0, 125, 0)
  + IF(COUNTIF(EggMilk!P$2:P$998, A325) &gt; 0, 90, 0)
  + IF(COUNTIF(EggMilk!A$2:A$998, A325) &gt; 0, 90, 0)
)
* (0.8 + 0.4 * J325)
* 0.75,25)</f>
        <v>975</v>
      </c>
      <c r="I325" s="2">
        <f>MROUND(ROUNDDOWN(_xlfn.XLOOKUP(B325,'Base stats'!B:B,'Base stats'!L:L)/3.6/(23.3/11),1),0.5)</f>
        <v>2.5</v>
      </c>
      <c r="J325" s="2">
        <f>IF(OR(_xlfn.XLOOKUP(B325,'Base stats'!B:B,'Base stats'!AB:AB)=1,_xlfn.XLOOKUP(_xlfn.XLOOKUP(B325,'Base stats'!B:B,'Base stats'!E:E),Groups!A:A,Groups!C:C)="Untamable"),1,IF(_xlfn.XLOOKUP(B325,'Base stats'!B:B,'Base stats'!AL:AL)=1,0.99,MIN(MROUND((1-0.6282*EXP(-0.459*AO325))*_xlfn.XLOOKUP(_xlfn.XLOOKUP(B325,'Base stats'!B:B,'Base stats'!E:E),Groups!A:A,Groups!C:C)*IF(_xlfn.XLOOKUP(B325,'Base stats'!B:B,'Base stats'!O:O)=1,0.5,IF(_xlfn.XLOOKUP(B325,'Base stats'!B:B,'Base stats'!O:O)=2,0,1)),0.05),IF(AO325&gt;3.5,0.985,0.95))))</f>
        <v>0.95</v>
      </c>
      <c r="K325" s="2">
        <f>ROUNDUP(AO325*_xlfn.XLOOKUP(_xlfn.XLOOKUP(B325,'Base stats'!B:B,'Base stats'!E:E),Groups!A:A,Groups!E:E),0)</f>
        <v>3</v>
      </c>
      <c r="L325" s="2">
        <f>IF(OR(_xlfn.XLOOKUP(_xlfn.XLOOKUP(B325,'Base stats'!B:B,'Base stats'!E:E),Groups!A:A,Groups!F:F)=2,ISNUMBER(SEARCH("SeaIce",BX325)),ISNUMBER(SEARCH("IceSheet",BX325))),-50,IF(OR(ISNUMBER(SEARCH("GlacialPlain",BX325)),ISNUMBER(SEARCH("Tundra",BX325))),-40,IF(OR(ISNUMBER(SEARCH("Alpine",BX325)),ISNUMBER(SEARCH("BorealForest",BX325)),ISNUMBER(SEARCH("ColdBog",BX325))),-30,IF(OR(ISNUMBER(SEARCH("TemperateForest",BX325)),ISNUMBER(SEARCH("TemperateSwamp",BX325))),-20,IF(_xlfn.XLOOKUP(_xlfn.XLOOKUP(B325,'Base stats'!B:B,'Base stats'!E:E),Groups!A:A,Groups!F:F)=1,-15,IF(OR(ISNUMBER(SEARCH("Desert",BX325)),ISNUMBER(SEARCH("ExtremeDesert",BX325))),-10,IF(OR(ISNUMBER(SEARCH("Grasslands",BX325)),ISNUMBER(SEARCH("TropicalRainforest",BX325)),ISNUMBER(SEARCH("TropicalSwamp",BX325))),10,0)))))))-IF(CC325="False",MIN(IFERROR(MAX(MROUND(LOG10(_xlfn.XLOOKUP(B325,'Base stats'!B:B,'Base stats'!C:C)^(2/3))*10,5),5),5),30))-_xlfn.XLOOKUP(B325,'Base stats'!B:B,'Base stats'!P:P)+IF(CC325="True",5,0)</f>
        <v>-5</v>
      </c>
      <c r="M325" s="2">
        <f>IF(OR(_xlfn.XLOOKUP(_xlfn.XLOOKUP(B325,'Base stats'!B:B,'Base stats'!E:E),Groups!A:A,Groups!G:G)=2,ISNUMBER(SEARCH("Desert",BX325)),ISNUMBER(SEARCH("ExtremeDesert",BX325)),ISNUMBER(SEARCH("LavaField",BX325))),50,IF(ISNUMBER(SEARCH("Grasslands",BX325)),45,IF(OR(_xlfn.XLOOKUP(_xlfn.XLOOKUP(B325,'Base stats'!B:B,'Base stats'!E:E),Groups!A:A,Groups!G:G)=1,ISNUMBER(SEARCH("TropicalRainforest",BX325)),ISNUMBER(SEARCH("TropicalSwamp",BX325))),40,IF(OR(ISNUMBER(SEARCH("TemperateForest",BX325)),ISNUMBER(SEARCH("TemperateSwamp",BX325))),35,IF(OR(ISNUMBER(SEARCH("Alpine",BX325)),ISNUMBER(SEARCH("BorealForest",BX325)),ISNUMBER(SEARCH("ColdBog",BX325))),30,IF(ISNUMBER(OR(ISNUMBER(SEARCH("GlacialPlain",BX325)),SEARCH("Tundra",BX325))),25,IF(OR(ISNUMBER(SEARCH("SeaIce",BX325)),ISNUMBER(SEARCH("IceSheet",BX325)),ISNUMBER(SEARCH("TropicalSwamp",BX325))),10,35)))))))+_xlfn.XLOOKUP(B325,'Base stats'!B:B,'Base stats'!Q:Q)</f>
        <v>50</v>
      </c>
      <c r="N325" s="8" t="str">
        <f>IF(
_xlfn.XLOOKUP(
_xlfn.XLOOKUP(B325,'Base stats'!B:B,'Base stats'!E:E),
Groups!A:A,
Groups!L:L
)=1,
MIN(
MROUND(
IF(
_xlfn.XLOOKUP(B325,'Animals CE'!B:B,'Animals CE'!Z:Z)&lt;=1.5,
_xlfn.XLOOKUP(B325,'Animals CE'!B:B,'Animals CE'!Z:Z)/2+0.05,
0.8+
(_xlfn.XLOOKUP(B325,'Animals CE'!B:B,'Animals CE'!Z:Z)-1.5)
*0.02
),
0.05
),
200%
),
"No"
)</f>
        <v>No</v>
      </c>
      <c r="O325" s="8" t="str">
        <f>IF(
_xlfn.XLOOKUP(
_xlfn.XLOOKUP(B325,'Base stats'!B:B,'Base stats'!E:E),
Groups!A:A,
Groups!L:L
)=1,
MIN(
MROUND(
IF(
_xlfn.XLOOKUP(B325,'Animals CE'!B:B,'Animals CE'!AA:AA)&lt;=1.5,
_xlfn.XLOOKUP(B325,'Animals CE'!B:B,'Animals CE'!AA:AA)/2+0.05,
0.8+
(_xlfn.XLOOKUP(B325,'Animals CE'!B:B,'Animals CE'!AA:AA)-1.5)
*0.02
),
0.05
),
200%
),
"No"
)</f>
        <v>No</v>
      </c>
      <c r="P325" s="2" t="str">
        <f>_xlfn.XLOOKUP(B325,'Base stats'!B:B,'Base stats'!R:R)</f>
        <v>Standard</v>
      </c>
      <c r="Q325" s="13">
        <f>MROUND((LOG10(_xlfn.XLOOKUP(B325,'Base stats'!B:B,'Base stats'!AR:AR))*(AO325^0.5)+(_xlfn.XLOOKUP(B325,'Base stats'!B:B,'Base stats'!AR:AR)/1000)^(2/3)+_xlfn.XLOOKUP(B325,'Base stats'!B:B,'Base stats'!BA:BA)/2)+0.5,0.5)</f>
        <v>15.5</v>
      </c>
      <c r="R325" s="7">
        <f>IF(Q325="No","No",MAX(1,MROUND(_xlfn.XLOOKUP(B325,'Base stats'!B:B,'Base stats'!C:C)^0.165,0.05)))</f>
        <v>2.8000000000000003</v>
      </c>
      <c r="S325" s="13" t="str">
        <f>IF(_xlfn.XLOOKUP(_xlfn.XLOOKUP(B325,'Base stats'!B:B,'Base stats'!E:E),Groups!A:A,Groups!P:P)=0,"No",MROUND((LOG10(_xlfn.XLOOKUP(B325,'Base stats'!B:B,'Base stats'!AS:AS))*(AO325^0.5)+(_xlfn.XLOOKUP(B325,'Base stats'!B:B,'Base stats'!AS:AS)/1000)^(2/3)+_xlfn.XLOOKUP(B325,'Base stats'!B:B,'Base stats'!BA:BA))+_xlfn.XLOOKUP(B325,'Base stats'!B:B,'Base stats'!AY:AY)+0.5,0.5))</f>
        <v>No</v>
      </c>
      <c r="T325" s="7" t="str">
        <f>IF(S325="No","No",MAX(_xlfn.XLOOKUP(_xlfn.XLOOKUP(B325,'Base stats'!B:B,'Base stats'!E:E),Groups!A:A,Groups!Q:Q),MROUND(_xlfn.XLOOKUP(_xlfn.XLOOKUP(B325,'Base stats'!B:B,'Base stats'!E:E),Groups!A:A,Groups!Q:Q)*_xlfn.XLOOKUP(B325,'Base stats'!B:B,'Base stats'!C:C)^0.165,0.05)))</f>
        <v>No</v>
      </c>
      <c r="U325" s="7" t="str">
        <f>IF(S325="No","No",_xlfn.XLOOKUP(_xlfn.XLOOKUP(B325,'Base stats'!B:B,'Base stats'!E:E),Groups!A:A,Groups!R:R))</f>
        <v>No</v>
      </c>
      <c r="V325" s="7" t="str">
        <f>IF(S325="No","No",_xlfn.XLOOKUP(_xlfn.XLOOKUP(B325,'Base stats'!B:B,'Base stats'!E:E),Groups!A:A,Groups!S:S))</f>
        <v>No</v>
      </c>
      <c r="W325" s="7" t="str">
        <f>IF(S325="No","No",_xlfn.XLOOKUP(_xlfn.XLOOKUP(B325,'Base stats'!B:B,'Base stats'!E:E),Groups!A:A,Groups!T:T))</f>
        <v>No</v>
      </c>
      <c r="X325" s="13" t="str">
        <f>IF(_xlfn.XLOOKUP(B325,'Base stats'!B:B,'Base stats'!W:W)="No","No",MROUND((LOG10(_xlfn.XLOOKUP(B325,'Base stats'!B:B,'Base stats'!AU:AU))*(AO325^0.5)+(_xlfn.XLOOKUP(B325,'Base stats'!B:B,'Base stats'!AU:AU)/1000)^(2/3)+_xlfn.XLOOKUP(B325,'Base stats'!B:B,'Base stats'!AZ:AZ))+0.5+IF(_xlfn.XLOOKUP(_xlfn.XLOOKUP(B325,'Base stats'!B:B,'Base stats'!E:E),Groups!A:A,Groups!U:U)&lt;&gt;3,_xlfn.XLOOKUP(B325,'Base stats'!B:B,'Base stats'!BA:BA),0),0.5))</f>
        <v>No</v>
      </c>
      <c r="Y325" s="7" t="str">
        <f>IF(X325="No","No",MAX(_xlfn.XLOOKUP(_xlfn.XLOOKUP(B325,'Base stats'!B:B,'Base stats'!E:E),Groups!A:A,Groups!V:V),MROUND(_xlfn.XLOOKUP(_xlfn.XLOOKUP(B325,'Base stats'!B:B,'Base stats'!E:E),Groups!A:A,Groups!V:V)*_xlfn.XLOOKUP(B325,'Base stats'!B:B,'Base stats'!C:C)^0.165,0.05)))</f>
        <v>No</v>
      </c>
      <c r="Z325" s="7" t="str">
        <f>IF(X325="No","No",_xlfn.XLOOKUP(_xlfn.XLOOKUP(B325,'Base stats'!B:B,'Base stats'!E:E),Groups!A:A,Groups!W:W))</f>
        <v>No</v>
      </c>
      <c r="AA325" s="7" t="str">
        <f>IF(X325="No","No",_xlfn.XLOOKUP(_xlfn.XLOOKUP(B325,'Base stats'!B:B,'Base stats'!E:E),Groups!A:A,Groups!X:X))</f>
        <v>No</v>
      </c>
      <c r="AB325" s="7" t="str">
        <f>IF(X325="No","No",_xlfn.XLOOKUP(_xlfn.XLOOKUP(B325,'Base stats'!B:B,'Base stats'!E:E),Groups!A:A,Groups!Y:Y))</f>
        <v>No</v>
      </c>
      <c r="AC325" s="7" t="str">
        <f>_xlfn.XLOOKUP(Animals!B325,'Base stats'!B:B,'Base stats'!X:X)</f>
        <v>False</v>
      </c>
      <c r="AD325" s="13">
        <f>IF(_xlfn.XLOOKUP(B325,'Base stats'!B:B,'Base stats'!AT:AT)="No","No",MROUND((LOG10(_xlfn.XLOOKUP(B325,'Base stats'!B:B,'Base stats'!AT:AT))*(AO325^0.75)+(_xlfn.XLOOKUP(B325,'Base stats'!B:B,'Base stats'!AT:AT)/1000)^(2/3)+_xlfn.XLOOKUP(B325,'Base stats'!B:B,'Base stats'!AX:AX)+_xlfn.XLOOKUP(B325,'Base stats'!B:B,'Base stats'!BA:BA))+0.5,0.5))</f>
        <v>32</v>
      </c>
      <c r="AE325" s="7">
        <f>IF(AD325="No","No",MAX(_xlfn.XLOOKUP(_xlfn.XLOOKUP(B325,'Base stats'!B:B,'Base stats'!E:E),Groups!A:A,Groups!Z:Z),MROUND(_xlfn.XLOOKUP(_xlfn.XLOOKUP(B325,'Base stats'!B:B,'Base stats'!E:E),Groups!A:A,Groups!Z:Z)*_xlfn.XLOOKUP(B325,'Base stats'!B:B,'Base stats'!C:C)^0.165,0.05)))</f>
        <v>2.35</v>
      </c>
      <c r="AF325" s="7" t="str">
        <f>IF(AD325="No","No",_xlfn.XLOOKUP(_xlfn.XLOOKUP(B325,'Base stats'!B:B,'Base stats'!E:E),Groups!A:A,Groups!AA:AA))</f>
        <v>Teeth</v>
      </c>
      <c r="AG325" s="7" t="str">
        <f>IF(AD325="No","No",_xlfn.XLOOKUP(_xlfn.XLOOKUP(B325,'Base stats'!B:B,'Base stats'!E:E),Groups!A:A,Groups!AB:AB))</f>
        <v>teeth</v>
      </c>
      <c r="AH325" s="7" t="str">
        <f>IF(AD325="No","No",_xlfn.XLOOKUP(_xlfn.XLOOKUP(B325,'Base stats'!B:B,'Base stats'!E:E),Groups!A:A,Groups!AC:AC))</f>
        <v>ToxicBite</v>
      </c>
      <c r="AI325" s="13">
        <f>IF(_xlfn.XLOOKUP(_xlfn.XLOOKUP(B325,'Base stats'!B:B,'Base stats'!E:E),Groups!A:A,Groups!AD:AD)=0,"No",MROUND((LOG10(_xlfn.XLOOKUP(B325,'Base stats'!B:B,'Base stats'!AS:AS))*(AO325^0.75)+(_xlfn.XLOOKUP(B325,'Base stats'!B:B,'Base stats'!AS:AS)/1000)^(2/3)+_xlfn.XLOOKUP(B325,'Base stats'!B:B,'Base stats'!AY:AY)+_xlfn.XLOOKUP(B325,'Base stats'!B:B,'Base stats'!BA:BA))+0.5,0.5))</f>
        <v>23</v>
      </c>
      <c r="AJ325" s="7">
        <f>IF(AI325="No","No",MAX(_xlfn.XLOOKUP(_xlfn.XLOOKUP(B325,'Base stats'!B:B,'Base stats'!E:E),Groups!A:A,Groups!AE:AE),MROUND(_xlfn.XLOOKUP(_xlfn.XLOOKUP(B325,'Base stats'!B:B,'Base stats'!E:E),Groups!A:A,Groups!AE:AE)*IF(_xlfn.XLOOKUP(_xlfn.XLOOKUP(B325,'Base stats'!B:B,'Base stats'!E:E),Groups!A:A,Groups!AJ:AJ)="Photonozoa",0.6,1)*_xlfn.XLOOKUP(B325,'Base stats'!B:B,'Base stats'!C:C)^0.165,0.05)))</f>
        <v>1.9500000000000002</v>
      </c>
      <c r="AK325" s="7" t="str">
        <f>IF(AI325="No","No",_xlfn.XLOOKUP(_xlfn.XLOOKUP(B325,'Base stats'!B:B,'Base stats'!E:E),Groups!A:A,Groups!AF:AF))</f>
        <v>FrontLeftClaws, FrontRightClaws</v>
      </c>
      <c r="AL325" s="7" t="str">
        <f>IF(AI325="No","No",_xlfn.XLOOKUP(_xlfn.XLOOKUP(B325,'Base stats'!B:B,'Base stats'!E:E),Groups!A:A,Groups!AG:AG))</f>
        <v>left claw, right claw</v>
      </c>
      <c r="AM325" s="7" t="str">
        <f>IF(AI325="No","No",_xlfn.XLOOKUP(_xlfn.XLOOKUP(B325,'Base stats'!B:B,'Base stats'!E:E),Groups!A:A,Groups!AH:AH))</f>
        <v>Scratch</v>
      </c>
      <c r="AN325" s="2">
        <f t="shared" si="35"/>
        <v>30</v>
      </c>
      <c r="AO325" s="2">
        <f>MROUND(IF(AND(_xlfn.XLOOKUP(B325,'Base stats'!B:B,'Base stats'!C:C)&gt;=0.5,_xlfn.XLOOKUP(B325,'Base stats'!B:B,'Base stats'!C:C)&lt;=0.8),
IF(_xlfn.XLOOKUP(B325,'Base stats'!B:B,'Base stats'!C:C)&lt;0.1,0.05,IF(_xlfn.XLOOKUP(B325,'Base stats'!B:B,'Base stats'!C:C)&lt;=70,(_xlfn.XLOOKUP(B325,'Base stats'!B:B,'Base stats'!C:C)/70)^0.426489913056526,IF(_xlfn.XLOOKUP(B325,'Base stats'!B:B,'Base stats'!C:C)&lt;=400,(_xlfn.XLOOKUP(B325,'Base stats'!B:B,'Base stats'!C:C)/70)^0.572811455315093,IF(_xlfn.XLOOKUP(B325,'Base stats'!B:B,'Base stats'!C:C)&lt;=2000,2.71391647193063*(_xlfn.XLOOKUP(B325,'Base stats'!B:B,'Base stats'!C:C)/400)^0.252459582904293,3.74314280240376*(_xlfn.XLOOKUP(B325,'Base stats'!B:B,'Base stats'!C:C)/2000)^0.357012633876913)))),
IF(_xlfn.XLOOKUP(B325,'Base stats'!B:B,'Base stats'!C:C)&lt;0.1,0.05,IF(_xlfn.XLOOKUP(B325,'Base stats'!B:B,'Base stats'!C:C)&lt;0.4,0.1,IF(_xlfn.XLOOKUP(B325,'Base stats'!B:B,'Base stats'!C:C)&lt;=70,(_xlfn.XLOOKUP(B325,'Base stats'!B:B,'Base stats'!C:C)/70)^0.445823913056526,IF(_xlfn.XLOOKUP(B325,'Base stats'!B:B,'Base stats'!C:C)&lt;=400,(_xlfn.XLOOKUP(B325,'Base stats'!B:B,'Base stats'!C:C)/70)^0.572811455315093,IF(_xlfn.XLOOKUP(B325,'Base stats'!B:B,'Base stats'!C:C)&lt;=2000,2.71391647193063*(_xlfn.XLOOKUP(B325,'Base stats'!B:B,'Base stats'!C:C)/400)^0.252459582904293,3.74314280240376*(_xlfn.XLOOKUP(B325,'Base stats'!B:B,'Base stats'!C:C)/2000)^0.357012633876913)))))),
IF(_xlfn.XLOOKUP(B325,'Base stats'!B:B,'Base stats'!C:C)&lt;0.1,0.05,IF(_xlfn.XLOOKUP(B325,'Base stats'!B:B,'Base stats'!C:C)&lt;=100,0.05,IF(_xlfn.XLOOKUP(B325,'Base stats'!B:B,'Base stats'!C:C)&lt;=250,0.1,IF(_xlfn.XLOOKUP(B325,'Base stats'!B:B,'Base stats'!C:C)&lt;=4000,0.25,0.5)))))</f>
        <v>2.75</v>
      </c>
      <c r="AP325" s="8">
        <f>MROUND(AO325*_xlfn.XLOOKUP(_xlfn.XLOOKUP(B325,'Base stats'!B:B,'Base stats'!E:E),Groups!A:A,Groups!AI:AI)*_xlfn.XLOOKUP(B325,'Base stats'!B:B,'Base stats'!Z:Z),0.05)</f>
        <v>3.3000000000000003</v>
      </c>
      <c r="AQ325" s="8">
        <f>MAX(0.01,MROUND(IF(CC325="True",0.196*(AO325*100*1000)^0.889,IF(_xlfn.XLOOKUP(_xlfn.XLOOKUP(B325,'Base stats'!B:B,'Base stats'!E:E),Groups!A:A,Groups!AJ:AJ)="Bird",10.5*(AO325*100*1000)^0.681,4.82*(AO325*100*1000)^0.734))/(4.82*(1*100*1000)^0.734)/IF(AO325&lt;3.5,2,IF(AO325=3.5,1.5,1.25))*(1+0.132282374779864/(AO325^0.994035016789033+0.00905238001496948)),0.05))</f>
        <v>0.30000000000000004</v>
      </c>
      <c r="AR325" s="9">
        <f>IFERROR(MROUND(_xlfn.XLOOKUP(B325,'Base stats'!B:B,'Base stats'!H:H)/IF(_xlfn.XLOOKUP(B325,'Base stats'!B:B,'Base stats'!I:I)&lt;&gt;1,(122.5/70),1.2),IF(_xlfn.XLOOKUP(B325,'Base stats'!B:B,'Base stats'!H:H)&gt;=30,5,IF(_xlfn.XLOOKUP(B325,'Base stats'!B:B,'Base stats'!H:H)&gt;=15,3,IF(_xlfn.XLOOKUP(B325,'Base stats'!B:B,'Base stats'!H:H)&gt;=10,2,1)))),"Immortal")</f>
        <v>35</v>
      </c>
      <c r="AS325" s="35" t="str">
        <f>IFERROR(IF(OR(_xlfn.XLOOKUP(B325,'Base stats'!B:B,'Base stats'!F:F)="Atypical reproduction",_xlfn.XLOOKUP(B325,'Base stats'!B:B,'Base stats'!F:F)="Lay eggs"),"Lay eggs",MIN(20,MAX(5.5,ROUND(((_xlfn.XLOOKUP(B325,'Base stats'!B:B,'Base stats'!F:F)-25)*(14.5/615) + 5.5)*2,0)/2))),"Unknown")</f>
        <v>Lay eggs</v>
      </c>
      <c r="AT325" s="8">
        <f>IF(_xlfn.XLOOKUP(B325,'Base stats'!B:B,'Base stats'!G:G)="Atypical reproduction","No",IFERROR(MAX(IF(_xlfn.XLOOKUP(B325,'Base stats'!B:B,'Base stats'!G:G)&lt;0.5,0.2,0.3),MROUND(_xlfn.XLOOKUP(B325,'Base stats'!B:B,'Base stats'!G:G)/(365/60),0.2)),"Unknown"))</f>
        <v>0.8</v>
      </c>
      <c r="AU325" s="8">
        <f t="shared" si="36"/>
        <v>0.4</v>
      </c>
      <c r="AV325" s="8" t="str">
        <f>IFERROR(IFERROR(MROUND(_xlfn.XLOOKUP(B325,'Base stats'!B:B,'Base stats'!J:J),0.1),"Lay eggs"),"Cannot breed")</f>
        <v>Lay eggs</v>
      </c>
      <c r="AW325" s="2" t="str">
        <f t="shared" si="37"/>
        <v>false</v>
      </c>
      <c r="AX325" s="2" t="str">
        <f>IF(_xlfn.XLOOKUP(_xlfn.XLOOKUP(Animals!B325,'Base stats'!B:B,'Base stats'!E:E),Groups!A:A,Groups!AK:AK)=1,"true","false")</f>
        <v>false</v>
      </c>
      <c r="AY325" s="25" t="str">
        <f>IF(_xlfn.XLOOKUP(B325,'Base stats'!B:B,'Base stats'!Y:Y)="Liquor","Liquor, CarnivoreAnimalStrict",IF(AND(_xlfn.XLOOKUP(B325,'Base stats'!B:B,'Base stats'!Y:Y)="Carnivore",_xlfn.XLOOKUP(_xlfn.XLOOKUP(B325,'Base stats'!B:B,'Base stats'!E:E),Groups!A:A,Groups!AJ:AJ)="Photonozoa"),"CarnivoreAnimalStrict, OvivoreAnimal",IF(_xlfn.XLOOKUP(B325,'Base stats'!B:B,'Base stats'!Y:Y)="Carnivore","CarnivoreAnimal, OvivoreAnimal",IF(_xlfn.XLOOKUP(B325,'Base stats'!B:B,'Base stats'!Y:Y)="Dendrovore","VegetarianRoughAnimal, DendrovoreAnimal",IF(_xlfn.XLOOKUP(B325,'Base stats'!B:B,'Base stats'!Y:Y)="Herbivore","VegetarianRoughAnimal",IF(_xlfn.XLOOKUP(B325,'Base stats'!B:B,'Base stats'!Y:Y)="OmnivoreRough","OmnivoreRoughAnimal, OvivoreAnimal","OmnivoreAnimal, OvivoreAnimal"))))))</f>
        <v>CarnivoreAnimal, OvivoreAnimal</v>
      </c>
      <c r="AZ325" s="2" t="str">
        <f>IF(_xlfn.XLOOKUP(_xlfn.XLOOKUP(B325,'Base stats'!B:B,'Base stats'!E:E),Groups!A:A,Groups!D:D)=1,MROUND((1-J325)*5+1,2)*IF(J325&lt;=0.4,2,1),"No")</f>
        <v>No</v>
      </c>
      <c r="BA325" s="2" t="str">
        <f>IF(AND(_xlfn.XLOOKUP(B325,'Base stats'!B:B,'Base stats'!AH:AH)="&lt;li&gt;Seal&lt;/li&gt;",G325="Odyssey"),"&lt;li&gt;AEXP_Seal&lt;/li&gt;",_xlfn.XLOOKUP(B325,'Base stats'!B:B,'Base stats'!AH:AH))</f>
        <v>&lt;li&gt;Iguana&lt;/li&gt;</v>
      </c>
      <c r="BB325" s="2" t="str">
        <f>_xlfn.XLOOKUP(B325,'Base stats'!B:B,'Base stats'!AG:AG)</f>
        <v>Leather_Lizard</v>
      </c>
      <c r="BC325" s="23" t="str">
        <f>_xlfn.XLOOKUP(_xlfn.XLOOKUP(B325,'Base stats'!B:B,'Base stats'!E:E),Groups!A:A,Groups!AL:AL)</f>
        <v>QuadrupedAnimalWithClawsTailAndJowl</v>
      </c>
      <c r="BD325" s="23">
        <f>MIN(1,MROUND(IF(AND(AO325&lt;0.5,_xlfn.XLOOKUP(B325,'Base stats'!B:B,'Base stats'!AA:AA)=0),0,IF(OR(_xlfn.XLOOKUP(Animals!B325,'Base stats'!B:B,'Base stats'!O:O)=2,_xlfn.XLOOKUP(_xlfn.XLOOKUP(B325,'Base stats'!B:B,'Base stats'!E:E),Groups!A:A,Groups!AN:AN)=0),0,_xlfn.XLOOKUP(_xlfn.XLOOKUP(B325,'Base stats'!B:B,'Base stats'!E:E),Groups!A:A,Groups!AN:AN)/IF(_xlfn.XLOOKUP(Animals!B325,'Base stats'!B:B,'Base stats'!O:O)=1,2,1)))+_xlfn.XLOOKUP(B325,'Base stats'!B:B,'Base stats'!AC:AC),0.005))</f>
        <v>0.1</v>
      </c>
      <c r="BE325" s="23">
        <f>MIN(1,MROUND(IF(AND(AO325&lt;0.5,_xlfn.XLOOKUP(B325,'Base stats'!B:B,'Base stats'!AA:AA)=0),0,IF(_xlfn.XLOOKUP(_xlfn.XLOOKUP(B325,'Base stats'!B:B,'Base stats'!E:E),Groups!A:A,Groups!AO:AO)=0,0,_xlfn.XLOOKUP(_xlfn.XLOOKUP(B325,'Base stats'!B:B,'Base stats'!E:E),Groups!A:A,Groups!AO:AO)/IF(_xlfn.XLOOKUP(Animals!B325,'Base stats'!B:B,'Base stats'!O:O)=2,3,1)))+_xlfn.XLOOKUP(B325,'Base stats'!B:B,'Base stats'!AD:AD),0.005))</f>
        <v>0.3</v>
      </c>
      <c r="BF325" s="2" t="str">
        <f>IF(J325&gt;0.3,"No",_xlfn.XLOOKUP(_xlfn.XLOOKUP(Animals!B325,'Base stats'!B:B,'Base stats'!E:E),Groups!A:A,Groups!AP:AP))</f>
        <v>No</v>
      </c>
      <c r="BG325" s="2" t="str">
        <f>IF(AND(J325&lt;=0.65,_xlfn.XLOOKUP(_xlfn.XLOOKUP(Animals!B325,'Base stats'!B:B,'Base stats'!E:E),Groups!A:A,Groups!AP:AP)&lt;&gt;"No",_xlfn.XLOOKUP(_xlfn.XLOOKUP(B325,'Base stats'!B:B,'Base stats'!E:E),Groups!A:A,Groups!D:D)=0),MROUND((80/3)*IF(_xlfn.XLOOKUP(B325,'Base stats'!B:B,'Base stats'!O:O)=2,0.2,AO325) + 24*(1-IF(BF325="No",0,BF325)) + 16/3, 12),"No")</f>
        <v>No</v>
      </c>
      <c r="BH325" s="2">
        <f>IF(AND(_xlfn.XLOOKUP(_xlfn.XLOOKUP(B325,'Base stats'!B:B,'Base stats'!E:E),Groups!A:A,Groups!AQ:AQ)=1,AO325&lt;=0.35),8,12)</f>
        <v>12</v>
      </c>
      <c r="BI325" s="2" t="str">
        <f>IF(_xlfn.XLOOKUP(_xlfn.XLOOKUP(B325,'Base stats'!B:B,'Base stats'!E:E),Groups!A:A,Groups!D:D)=0,_xlfn.XLOOKUP(_xlfn.XLOOKUP(B325,'Base stats'!B:B,'Base stats'!E:E),Groups!A:A,Groups!AR:AR),"None")</f>
        <v>Intermediate</v>
      </c>
      <c r="BJ325" s="2" t="str">
        <f>IF(AND(_xlfn.XLOOKUP(_xlfn.XLOOKUP(B325,'Base stats'!B:B,'Base stats'!E:E),Groups!A:A,Groups!AS:AS)=1,OR(_xlfn.XLOOKUP(B325,'Base stats'!B:B,'Base stats'!Y:Y)="Carnivore",_xlfn.XLOOKUP(B325,'Base stats'!B:B,'Base stats'!Y:Y)="Omnivore")),"true","false")</f>
        <v>true</v>
      </c>
      <c r="BK325" s="2">
        <f>IF(BJ325="true",MROUND(IF(AND(AO325&gt;0.5,OR(_xlfn.XLOOKUP(_xlfn.XLOOKUP(B325,'Base stats'!B:B,'Base stats'!E:E),Groups!A:A,Groups!AJ:AJ)="Photonozoa",_xlfn.XLOOKUP(_xlfn.XLOOKUP(B325,'Base stats'!B:B,'Base stats'!E:E),Groups!A:A,Groups!AJ:AJ)="Mammal")),Animals!AO325*1.75*IF(AW325="true",1.5,1),IF(AO325&lt;0.5,Animals!AO325*0.5,Animals!AO325)),IF(AO325&gt;2,0.5,IF(AO325&gt;0.5,0.25,0.1))),"No")</f>
        <v>3</v>
      </c>
      <c r="BL325" s="2">
        <f t="shared" si="38"/>
        <v>1</v>
      </c>
      <c r="BM325" s="25" t="str">
        <f>IF(_xlfn.XLOOKUP(B325,'Base stats'!B:B,'Base stats'!AN:AN)="Standard","No",MROUND((_xlfn.XLOOKUP(B325,'Base stats'!B:B,'Base stats'!AN:AN)/3.6)/I325,0.1))</f>
        <v>No</v>
      </c>
      <c r="BN325" s="25" t="str">
        <f t="shared" si="39"/>
        <v>false</v>
      </c>
      <c r="BO325" s="25" t="str">
        <f>IF(AND(OR(_xlfn.XLOOKUP(B325,'Base stats'!B:B,'Base stats'!Y:Y)="Carnivore",_xlfn.XLOOKUP(B325,'Base stats'!B:B,'Base stats'!Y:Y)="Omnivore",_xlfn.XLOOKUP(B325,'Base stats'!B:B,'Base stats'!Y:Y)="OmnivoreRough"),_xlfn.XLOOKUP(_xlfn.XLOOKUP(B325,'Base stats'!B:B,'Base stats'!E:E),Groups!A:A,Groups!AT:AT)=1),"true","false")</f>
        <v>false</v>
      </c>
      <c r="BP325" s="25" t="str" cm="1">
        <f t="array" ref="BP325">IF(
  _xlfn.TEXTJOIN(", ",TRUE,
    IF(AND(BJ325="true",AO325&gt;0.5,BI325&lt;&gt;"None"),"AttackTarget",""),
    IF(AND(_xlfn.XLOOKUP(_xlfn.XLOOKUP(B325,'Base stats'!B:B,'Base stats'!E:E),Groups!A:A,Groups!AJ:AJ="Mammal"),OR(_xlfn.XLOOKUP(B325,'Base stats'!B:B,'Base stats'!Y:Y)="Omnivore",_xlfn.XLOOKUP(B325,'Base stats'!B:B,'Base stats'!Y:Y)="OmnivoreRough")),"Forage",""),
    IF(BG325&lt;=36,"Comfort",""),
    IF(_xlfn.XLOOKUP(B325,'Base stats'!B:B,'Base stats'!AE:AE)&lt;&gt;"No",_xlfn.XLOOKUP(B325,'Base stats'!B:B,'Base stats'!AE:AE),"")
  ) = "",
  "No",
  _xlfn.TEXTJOIN(", ",TRUE,
    IF(AND(BJ325="true",AO325&gt;0.5,BI325&lt;&gt;"None"),"AttackTarget",""),
    IF(AND(_xlfn.XLOOKUP(_xlfn.XLOOKUP(B325,'Base stats'!B:B,'Base stats'!E:E),Groups!A:A,Groups!AJ:AJ="Mammal"),OR(_xlfn.XLOOKUP(B325,'Base stats'!B:B,'Base stats'!Y:Y)="Omnivore",_xlfn.XLOOKUP(B325,'Base stats'!B:B,'Base stats'!Y:Y)="OmnivoreRough")),"Forage",""),
    IF(BG325&lt;=36,"Comfort",""),
    IF(_xlfn.XLOOKUP(B325,'Base stats'!B:B,'Base stats'!AE:AE)&lt;&gt;"No",_xlfn.XLOOKUP(B325,'Base stats'!B:B,'Base stats'!AE:AE),"")
  )
)</f>
        <v>AttackTarget</v>
      </c>
      <c r="BQ325" s="25" t="str">
        <f>IF(
   AND(
      'Base stats'!AN325="Standard",_xlfn.XLOOKUP(_xlfn.XLOOKUP(B325,'Base stats'!B:B,'Base stats'!E:E),Groups!A:A,Groups!AU:AU)=0,
      OR(
      BO325="True"
      )
   ),
   10,
   IF(
       OR(BM325&lt;&gt;"No",_xlfn.XLOOKUP(_xlfn.XLOOKUP(B325,'Base stats'!B:B,'Base stats'!E:E),Groups!A:A,Groups!AU:AU)=1),
      1,
      "No"
   )
)</f>
        <v>No</v>
      </c>
      <c r="BR325" s="9">
        <f>MROUND((1 + ((0.2*IF(OR(Q325="No",R325="No",R325=0),0,Q325/R325)
+IF(OR(V325="No",S325="No",T325="No"),0,S325/T325*(LEN(V325)-LEN(SUBSTITUTE(V325,",",""))+1))
+IF(OR(X325="No",Y325="No"),0,X325/Y325)
+IF(OR(AD325="No",AE325="No"),0,AD325/AE325)
+IF(OR(AL325="No",AI325="No",AJ325="No"),0,AI325/AJ325*(LEN(AL325)-LEN(SUBSTITUTE(AL325,",",""))+1))
)/(0.2*IF(OR(Q325="No",R325="No",R325=0),0,1)
+IF(OR(V325="No",S325="No",T325="No"),0,LEN(V325)-LEN(SUBSTITUTE(V325,",",""))+1)
+IF(OR(X325="No",Y325="No"),0,1)
+IF(OR(AD325="No",AE325="No"),0,1)
+IF(OR(AL325="No",AI325="No",AJ325="No"),0,LEN(AL325)-LEN(SUBSTITUTE(AL325,",",""))+1))*62%)* 2)*(1 + (AP325 / (IF(_xlfn.XLOOKUP(_xlfn.XLOOKUP(B325,'Base stats'!B:B,'Base stats'!E:E),Groups!A:A,Groups!AJ:AJ)="Photonozoa",0.3,1)) + _xlfn.XLOOKUP(B325,'Base stats'!B:B,'Base stats'!AV:AV) * 1.8) * 2) * 2.5 + 10 + I325 * 2,5)+IF(_xlfn.XLOOKUP(B325,'Base stats'!B:B,'Base stats'!AK:AK)=1,50,0)</f>
        <v>315</v>
      </c>
      <c r="BS325" s="8">
        <f t="shared" si="40"/>
        <v>0.8</v>
      </c>
      <c r="BT325" s="8" t="str">
        <f>_xlfn.XLOOKUP(B325,'Base stats'!B:B,'Base stats'!AF:AF)</f>
        <v>No</v>
      </c>
      <c r="BU325" s="2" t="str">
        <f>IF(AND(J325&lt;=0.95,OR(_xlfn.XLOOKUP(B325,'Base stats'!B:B,'Base stats'!AK:AK)=1,_xlfn.XLOOKUP(B325,'Base stats'!B:B,'Base stats'!Y:Y)="Carnivore",_xlfn.XLOOKUP(B325,'Base stats'!B:B,'Base stats'!Y:Y)="Omnivore",BE325&gt;0.1)),"true","false")</f>
        <v>true</v>
      </c>
      <c r="BV325" s="2" t="str">
        <f>IF(_xlfn.XLOOKUP(B325,'Base stats'!B:B,'Base stats'!AI:AI)=1,"true","false")</f>
        <v>false</v>
      </c>
      <c r="BW325" s="25" t="str">
        <f>IF(E325="BaseInsect","AnimalInsect",
IF(J325&gt;0.95,"AnimalExotic",
_xlfn.TEXTJOIN(", ",TRUE,
IF(OR(_xlfn.XLOOKUP(B325,'Base stats'!B:B,'Base stats'!AM:AM)=1,AND(_xlfn.XLOOKUP(B325,'Base stats'!B:B,'Base stats'!O:O)=0,_xlfn.XLOOKUP(_xlfn.XLOOKUP(B325,'Base stats'!B:B,'Base stats'!E:E),Groups!A:A,Groups!B:B)&gt;0)),"AnimalUncommon","AnimalCommon"),
IF(AND(_xlfn.XLOOKUP(B325,'Base stats'!B:B,'Base stats'!O:O)=2,_xlfn.XLOOKUP(_xlfn.XLOOKUP(B325,'Base stats'!B:B,'Base stats'!E:E),Groups!A:A,Groups!D:D)=0),"AnimalPet",IF(AND(_xlfn.XLOOKUP(B325,'Base stats'!B:B,'Base stats'!O:O)&lt;&gt;0,_xlfn.XLOOKUP(_xlfn.XLOOKUP(B325,'Base stats'!B:B,'Base stats'!E:E),Groups!A:A,Groups!D:D)&lt;&gt;0),"AnimalFarm","")),
IF(OR(_xlfn.XLOOKUP(B325,'Base stats'!B:B,'Base stats'!AK:AK)=1,AND(BI325&lt;&gt;"None",BR325&gt;=60),ISNUMBER(SEARCH("Attack target",BP325))),"AnimalFighter","")
)))</f>
        <v>AnimalUncommon, AnimalFighter</v>
      </c>
      <c r="BX325" s="25" t="str">
        <f>IF(G325="None",TRIM(
SUBSTITUTE(
IF(COUNTIF(Biomes!B$2:B$259,"="&amp;$C325)&gt;0,Biomes!B$1&amp;", ","")&amp;
IF(COUNTIF(Biomes!C$2:C$259,"="&amp;$C325)&gt;0,Biomes!C$1&amp;", ","")&amp;
IF(COUNTIF(Biomes!D$2:D$259,"="&amp;$C325)&gt;0,Biomes!D$1&amp;", ","")&amp;
IF(COUNTIF(Biomes!F$2:F$259,"="&amp;$C325)&gt;0,Biomes!F$1&amp;", ","")&amp;
IF(COUNTIF(Biomes!G$2:G$259,"="&amp;$C325)&gt;0,Biomes!G$1&amp;", ","")&amp;
IF(COUNTIF(Biomes!H$2:H$259,"="&amp;$C325)&gt;0,Biomes!H$1&amp;", ","")&amp;
IF(COUNTIF(Biomes!I$2:I$259,"="&amp;$C325)&gt;0,Biomes!I$1&amp;", ","")&amp;
IF(COUNTIF(Biomes!J$2:J$259,"="&amp;$C325)&gt;0,Biomes!J$1&amp;", ","")&amp;
IF(COUNTIF(Biomes!M$2:M$259,"="&amp;$C325)&gt;0,Biomes!M$1&amp;", ","")&amp;
IF(COUNTIF(Biomes!N$2:N$259,"="&amp;$C325)&gt;0,Biomes!N$1&amp;", ","")&amp;
IF(COUNTIF(Biomes!O$2:O$259,"="&amp;$C325)&gt;0,Biomes!O$1&amp;", ","")&amp;
IF(COUNTIF(Biomes!P$2:P$259,"="&amp;$C325)&gt;0,Biomes!P$1&amp;", ","")&amp;
IF(COUNTIF(Biomes!K$2:K$259,"="&amp;$C325)&gt;0,Biomes!K$1&amp;", ","")&amp;
IF(COUNTIF(Biomes!Q$3:Q$259,"="&amp;$C325)&gt;0,Biomes!Q$1&amp;", ","")&amp;
IF(COUNTIF(Biomes!L$2:L$259,"="&amp;$C325)&gt;0,Biomes!L$1&amp;", ","")&amp;
IF(COUNTIF(Biomes!E$2:E$259,"="&amp;$C325)&gt;0,Biomes!E$1&amp;", ","")&amp;IF(COUNTIF(Biomes!S$2:S$259,"="&amp;$C325)&gt;0,Biomes!S$1&amp;", ","")&amp;
IF(COUNTIF(Biomes!R$2:R$259,"="&amp;$C325)&gt;0,Biomes!R$1&amp;", ",""),", ","")
),_xlfn.XLOOKUP(B325,B:B,BX:BX))</f>
        <v>AridShrubland Desert ExtremeDesert LavaField</v>
      </c>
      <c r="BY325" s="25" t="str">
        <f>IF(_xlfn.XLOOKUP(B325,'Base stats'!B:B,'Base stats'!AJ:AJ)=1,"true","false")</f>
        <v>false</v>
      </c>
      <c r="BZ325" s="25">
        <f>IF(_xlfn.XLOOKUP(B325,'Base stats'!B:B,'Base stats'!N:N)=1,"No",MAX(0.001,MIN(MROUND(IF(AND(BJ325="True",CC325="False"),POWER(10,3.47*LOG10(_xlfn.XLOOKUP(B325,'Base stats'!B:B,'Base stats'!C:C)*1000)^-0.96),POWER(10,4.15*LOG10(_xlfn.XLOOKUP(B325,'Base stats'!B:B,'Base stats'!C:C)*1000)^-0.73))*IF(_xlfn.XLOOKUP(B325,'Base stats'!B:B,'Base stats'!AK:AK)=1,0.5,1)*IF(_xlfn.XLOOKUP(B325,'Base stats'!B:B,'Base stats'!AM:AM)=1,0.1,1)/100,IF(_xlfn.XLOOKUP(B325,'Base stats'!B:B,'Base stats'!AM:AM)=1,0.001,0.025)),0.5)))</f>
        <v>0.15000000000000002</v>
      </c>
      <c r="CA325" s="25" t="str">
        <f>IF(P325="Standard","No",MAX(0.001,MIN(MROUND(IF(AND(BJ325="True",CC325="False"),POWER(10,3.47*LOG10(_xlfn.XLOOKUP(B325,'Base stats'!B:B,'Base stats'!C:C)*1000)^-0.96),POWER(10,4.15*LOG10(_xlfn.XLOOKUP(B325,'Base stats'!B:B,'Base stats'!C:C)*1000)^-0.73))*IF(_xlfn.XLOOKUP(B325,'Base stats'!B:B,'Base stats'!AM:AM)=1,0.1,1)*_xlfn.XLOOKUP(B325,'Base stats'!B:B,'Base stats'!R:R)/100,IF(_xlfn.XLOOKUP(B325,'Base stats'!B:B,'Base stats'!AM:AM)=1,0.001,0.025)),0.5)))</f>
        <v>No</v>
      </c>
      <c r="CB325" s="25" t="str">
        <f>IF(_xlfn.XLOOKUP(_xlfn.XLOOKUP(B325,'Base stats'!B:B,'Base stats'!E:E),Groups!A:A,Groups!AJ:AJ)="Mammal","True","False")</f>
        <v>False</v>
      </c>
      <c r="CC325" s="25" t="str">
        <f>IF(OR(_xlfn.XLOOKUP(_xlfn.XLOOKUP(B325,'Base stats'!B:B,'Base stats'!E:E),Groups!A:A,Groups!AJ:AJ)="Reptile",_xlfn.XLOOKUP(_xlfn.XLOOKUP(B325,'Base stats'!B:B,'Base stats'!E:E),Groups!A:A,Groups!AJ:AJ)="Amphibian",_xlfn.XLOOKUP(_xlfn.XLOOKUP(B325,'Base stats'!B:B,'Base stats'!E:E),Groups!A:A,Groups!AJ:AJ)="Invertebrate"),"True","False")</f>
        <v>True</v>
      </c>
      <c r="CD325" s="25" t="str">
        <f t="shared" si="41"/>
        <v>False</v>
      </c>
      <c r="CE325" s="25" t="str">
        <f>IF(_xlfn.XLOOKUP(_xlfn.XLOOKUP(B325,'Base stats'!B:B,'Base stats'!E:E),Groups!A:A,Groups!AX:AX),"True","False")</f>
        <v>False</v>
      </c>
      <c r="CF325" s="25" t="str">
        <f>IF(_xlfn.XLOOKUP(_xlfn.XLOOKUP(B325,'Base stats'!B:B,'Base stats'!E:E),Groups!A:A,Groups!AY:AY),"True","False")</f>
        <v>False</v>
      </c>
      <c r="CG325" s="25" t="str">
        <f>IF(_xlfn.XLOOKUP(_xlfn.XLOOKUP(B325,'Base stats'!B:B,'Base stats'!E:E),Groups!A:A,Groups!AW:AW),"True","False")</f>
        <v>False</v>
      </c>
      <c r="CH325" s="25" t="str">
        <f>IF(
OR(
_xlfn.XLOOKUP(_xlfn.XLOOKUP(B325,'Base stats'!B:B,'Base stats'!E:E),Groups!A:A,Groups!AZ:AZ)=0,
AND(
_xlfn.XLOOKUP(B325,'Base stats'!B:B,'Base stats'!Y:Y)&lt;&gt;"Carnivore",
_xlfn.XLOOKUP(B325,'Base stats'!B:B,'Base stats'!Y:Y)&lt;&gt;"Omnivore",
_xlfn.XLOOKUP(B325,'Base stats'!B:B,'Base stats'!Y:Y)&lt;&gt;"OmnivoreRough"
)
),
"No",
IF(
_xlfn.XLOOKUP(_xlfn.XLOOKUP(B325,'Base stats'!B:B,'Base stats'!E:E),Groups!A:A,Groups!AZ:AZ)=1,
"Flesh",
IF(
_xlfn.XLOOKUP(_xlfn.XLOOKUP(B325,'Base stats'!B:B,'Base stats'!E:E),Groups!A:A,Groups!AZ:AZ)=2,
"Bone",
""
)
)
)</f>
        <v>No</v>
      </c>
      <c r="CI325" s="25" t="str">
        <f>IF(_xlfn.XLOOKUP(_xlfn.XLOOKUP(B325,'Base stats'!B:B,'Base stats'!E:E),Groups!A:A,Groups!BB:BB),"True","False")</f>
        <v>False</v>
      </c>
      <c r="CJ325" s="25" t="str">
        <f>IF(_xlfn.XLOOKUP(_xlfn.XLOOKUP(B325,'Base stats'!B:B,'Base stats'!E:E),Groups!A:A,Groups!BA:BA),"True","False")</f>
        <v>False</v>
      </c>
    </row>
    <row r="326" spans="1:88" ht="16.5" thickTop="1" thickBot="1" x14ac:dyDescent="0.3">
      <c r="A326" s="26" t="s">
        <v>1564</v>
      </c>
      <c r="B326" s="6" t="str">
        <f>_xlfn.XLOOKUP(A326,'Base stats'!A:A,'Base stats'!B:B)</f>
        <v>Loligo arenae</v>
      </c>
      <c r="C326" s="28" t="s">
        <v>1565</v>
      </c>
      <c r="D326" s="28" t="s">
        <v>1341</v>
      </c>
      <c r="E326" s="28" t="s">
        <v>673</v>
      </c>
      <c r="F326" s="28" t="s">
        <v>673</v>
      </c>
      <c r="G326" s="28" t="s">
        <v>673</v>
      </c>
      <c r="H326" s="2">
        <f>MROUND((
  (IF(AND(_xlfn.XLOOKUP(B326,'Base stats'!B:B,'Base stats'!AL:AL)=0,BI326="None",_xlfn.XLOOKUP(_xlfn.XLOOKUP(B326,'Base stats'!B:B,'Base stats'!E:E),Groups!A:A,Groups!B:B)=0), (18 + BR326 * 2.7) * 0.5,
    IF(AND(_xlfn.XLOOKUP(B326,'Base stats'!B:B,'Base stats'!AL:AL)=0,OR(AO326&lt;0.55,AND(BI326="Intermediate",_xlfn.XLOOKUP(_xlfn.XLOOKUP(B326,'Base stats'!B:B,'Base stats'!E:E),Groups!A:A,Groups!B:B)&lt;2))), (18 + BR326 * 2.7),
      IF(OR(BI326="Advanced",_xlfn.XLOOKUP(B326,'Base stats'!B:B,'Base stats'!AL:AL)=1,_xlfn.XLOOKUP(_xlfn.XLOOKUP(B326,'Base stats'!B:B,'Base stats'!E:E),Groups!A:A,Groups!B:B)=2), (18 + BR326 * 2.7) + 250, (18 + BR326 * 2.7))
    )
  ))
  + AO326 * 80
  + IF(COUNTIF(EggMilk!K$2:K$998, A326) &gt; 0, 125, 0)
  + IF(COUNTIF(EggMilk!P$2:P$998, A326) &gt; 0, 90, 0)
  + IF(COUNTIF(EggMilk!A$2:A$998, A326) &gt; 0, 90, 0)
)
* (0.8 + 0.4 * J326)
* 0.75,25)</f>
        <v>350</v>
      </c>
      <c r="I326" s="2">
        <f>MROUND(ROUNDDOWN(_xlfn.XLOOKUP(B326,'Base stats'!B:B,'Base stats'!L:L)/3.6/(23.3/11),1),0.5)</f>
        <v>1.5</v>
      </c>
      <c r="J326" s="2">
        <f>IF(OR(_xlfn.XLOOKUP(B326,'Base stats'!B:B,'Base stats'!AB:AB)=1,_xlfn.XLOOKUP(_xlfn.XLOOKUP(B326,'Base stats'!B:B,'Base stats'!E:E),Groups!A:A,Groups!C:C)="Untamable"),1,IF(_xlfn.XLOOKUP(B326,'Base stats'!B:B,'Base stats'!AL:AL)=1,0.99,MIN(MROUND((1-0.6282*EXP(-0.459*AO326))*_xlfn.XLOOKUP(_xlfn.XLOOKUP(B326,'Base stats'!B:B,'Base stats'!E:E),Groups!A:A,Groups!C:C)*IF(_xlfn.XLOOKUP(B326,'Base stats'!B:B,'Base stats'!O:O)=1,0.5,IF(_xlfn.XLOOKUP(B326,'Base stats'!B:B,'Base stats'!O:O)=2,0,1)),0.05),IF(AO326&gt;3.5,0.985,0.95))))</f>
        <v>0.35000000000000003</v>
      </c>
      <c r="K326" s="2">
        <f>ROUNDUP(AO326*_xlfn.XLOOKUP(_xlfn.XLOOKUP(B326,'Base stats'!B:B,'Base stats'!E:E),Groups!A:A,Groups!E:E),0)</f>
        <v>2</v>
      </c>
      <c r="L326" s="2">
        <f>IF(OR(_xlfn.XLOOKUP(_xlfn.XLOOKUP(B326,'Base stats'!B:B,'Base stats'!E:E),Groups!A:A,Groups!F:F)=2,ISNUMBER(SEARCH("SeaIce",BX326)),ISNUMBER(SEARCH("IceSheet",BX326))),-50,IF(OR(ISNUMBER(SEARCH("GlacialPlain",BX326)),ISNUMBER(SEARCH("Tundra",BX326))),-40,IF(OR(ISNUMBER(SEARCH("Alpine",BX326)),ISNUMBER(SEARCH("BorealForest",BX326)),ISNUMBER(SEARCH("ColdBog",BX326))),-30,IF(OR(ISNUMBER(SEARCH("TemperateForest",BX326)),ISNUMBER(SEARCH("TemperateSwamp",BX326))),-20,IF(_xlfn.XLOOKUP(_xlfn.XLOOKUP(B326,'Base stats'!B:B,'Base stats'!E:E),Groups!A:A,Groups!F:F)=1,-15,IF(OR(ISNUMBER(SEARCH("Desert",BX326)),ISNUMBER(SEARCH("ExtremeDesert",BX326))),-10,IF(OR(ISNUMBER(SEARCH("Grasslands",BX326)),ISNUMBER(SEARCH("TropicalRainforest",BX326)),ISNUMBER(SEARCH("TropicalSwamp",BX326))),10,0)))))))-IF(CC326="False",MIN(IFERROR(MAX(MROUND(LOG10(_xlfn.XLOOKUP(B326,'Base stats'!B:B,'Base stats'!C:C)^(2/3))*10,5),5),5),30))-_xlfn.XLOOKUP(B326,'Base stats'!B:B,'Base stats'!P:P)+IF(CC326="True",5,0)</f>
        <v>-5</v>
      </c>
      <c r="M326" s="2">
        <f>IF(OR(_xlfn.XLOOKUP(_xlfn.XLOOKUP(B326,'Base stats'!B:B,'Base stats'!E:E),Groups!A:A,Groups!G:G)=2,ISNUMBER(SEARCH("Desert",BX326)),ISNUMBER(SEARCH("ExtremeDesert",BX326)),ISNUMBER(SEARCH("LavaField",BX326))),50,IF(ISNUMBER(SEARCH("Grasslands",BX326)),45,IF(OR(_xlfn.XLOOKUP(_xlfn.XLOOKUP(B326,'Base stats'!B:B,'Base stats'!E:E),Groups!A:A,Groups!G:G)=1,ISNUMBER(SEARCH("TropicalRainforest",BX326)),ISNUMBER(SEARCH("TropicalSwamp",BX326))),40,IF(OR(ISNUMBER(SEARCH("TemperateForest",BX326)),ISNUMBER(SEARCH("TemperateSwamp",BX326))),35,IF(OR(ISNUMBER(SEARCH("Alpine",BX326)),ISNUMBER(SEARCH("BorealForest",BX326)),ISNUMBER(SEARCH("ColdBog",BX326))),30,IF(ISNUMBER(OR(ISNUMBER(SEARCH("GlacialPlain",BX326)),SEARCH("Tundra",BX326))),25,IF(OR(ISNUMBER(SEARCH("SeaIce",BX326)),ISNUMBER(SEARCH("IceSheet",BX326)),ISNUMBER(SEARCH("TropicalSwamp",BX326))),10,35)))))))+_xlfn.XLOOKUP(B326,'Base stats'!B:B,'Base stats'!Q:Q)</f>
        <v>50</v>
      </c>
      <c r="N326" s="8" t="str">
        <f>IF(
_xlfn.XLOOKUP(
_xlfn.XLOOKUP(B326,'Base stats'!B:B,'Base stats'!E:E),
Groups!A:A,
Groups!L:L
)=1,
MIN(
MROUND(
IF(
_xlfn.XLOOKUP(B326,'Animals CE'!B:B,'Animals CE'!Z:Z)&lt;=1.5,
_xlfn.XLOOKUP(B326,'Animals CE'!B:B,'Animals CE'!Z:Z)/2+0.05,
0.8+
(_xlfn.XLOOKUP(B326,'Animals CE'!B:B,'Animals CE'!Z:Z)-1.5)
*0.02
),
0.05
),
200%
),
"No"
)</f>
        <v>No</v>
      </c>
      <c r="O326" s="8" t="str">
        <f>IF(
_xlfn.XLOOKUP(
_xlfn.XLOOKUP(B326,'Base stats'!B:B,'Base stats'!E:E),
Groups!A:A,
Groups!L:L
)=1,
MIN(
MROUND(
IF(
_xlfn.XLOOKUP(B326,'Animals CE'!B:B,'Animals CE'!AA:AA)&lt;=1.5,
_xlfn.XLOOKUP(B326,'Animals CE'!B:B,'Animals CE'!AA:AA)/2+0.05,
0.8+
(_xlfn.XLOOKUP(B326,'Animals CE'!B:B,'Animals CE'!AA:AA)-1.5)
*0.02
),
0.05
),
200%
),
"No"
)</f>
        <v>No</v>
      </c>
      <c r="P326" s="2">
        <f>_xlfn.XLOOKUP(B326,'Base stats'!B:B,'Base stats'!R:R)</f>
        <v>0.8</v>
      </c>
      <c r="Q326" s="13">
        <f>MROUND((LOG10(_xlfn.XLOOKUP(B326,'Base stats'!B:B,'Base stats'!AR:AR))*(AO326^0.5)+(_xlfn.XLOOKUP(B326,'Base stats'!B:B,'Base stats'!AR:AR)/1000)^(2/3)+_xlfn.XLOOKUP(B326,'Base stats'!B:B,'Base stats'!BA:BA)/2)+0.5,0.5)</f>
        <v>11</v>
      </c>
      <c r="R326" s="7">
        <f>IF(Q326="No","No",MAX(1,MROUND(_xlfn.XLOOKUP(B326,'Base stats'!B:B,'Base stats'!C:C)^0.165,0.05)))</f>
        <v>2.4000000000000004</v>
      </c>
      <c r="S326" s="13" t="str">
        <f>IF(_xlfn.XLOOKUP(_xlfn.XLOOKUP(B326,'Base stats'!B:B,'Base stats'!E:E),Groups!A:A,Groups!P:P)=0,"No",MROUND((LOG10(_xlfn.XLOOKUP(B326,'Base stats'!B:B,'Base stats'!AS:AS))*(AO326^0.5)+(_xlfn.XLOOKUP(B326,'Base stats'!B:B,'Base stats'!AS:AS)/1000)^(2/3)+_xlfn.XLOOKUP(B326,'Base stats'!B:B,'Base stats'!BA:BA))+_xlfn.XLOOKUP(B326,'Base stats'!B:B,'Base stats'!AY:AY)+0.5,0.5))</f>
        <v>No</v>
      </c>
      <c r="T326" s="7" t="str">
        <f>IF(S326="No","No",MAX(_xlfn.XLOOKUP(_xlfn.XLOOKUP(B326,'Base stats'!B:B,'Base stats'!E:E),Groups!A:A,Groups!Q:Q),MROUND(_xlfn.XLOOKUP(_xlfn.XLOOKUP(B326,'Base stats'!B:B,'Base stats'!E:E),Groups!A:A,Groups!Q:Q)*_xlfn.XLOOKUP(B326,'Base stats'!B:B,'Base stats'!C:C)^0.165,0.05)))</f>
        <v>No</v>
      </c>
      <c r="U326" s="7" t="str">
        <f>IF(S326="No","No",_xlfn.XLOOKUP(_xlfn.XLOOKUP(B326,'Base stats'!B:B,'Base stats'!E:E),Groups!A:A,Groups!R:R))</f>
        <v>No</v>
      </c>
      <c r="V326" s="7" t="str">
        <f>IF(S326="No","No",_xlfn.XLOOKUP(_xlfn.XLOOKUP(B326,'Base stats'!B:B,'Base stats'!E:E),Groups!A:A,Groups!S:S))</f>
        <v>No</v>
      </c>
      <c r="W326" s="7" t="str">
        <f>IF(S326="No","No",_xlfn.XLOOKUP(_xlfn.XLOOKUP(B326,'Base stats'!B:B,'Base stats'!E:E),Groups!A:A,Groups!T:T))</f>
        <v>No</v>
      </c>
      <c r="X326" s="13" t="str">
        <f>IF(_xlfn.XLOOKUP(B326,'Base stats'!B:B,'Base stats'!W:W)="No","No",MROUND((LOG10(_xlfn.XLOOKUP(B326,'Base stats'!B:B,'Base stats'!AU:AU))*(AO326^0.5)+(_xlfn.XLOOKUP(B326,'Base stats'!B:B,'Base stats'!AU:AU)/1000)^(2/3)+_xlfn.XLOOKUP(B326,'Base stats'!B:B,'Base stats'!AZ:AZ))+0.5+IF(_xlfn.XLOOKUP(_xlfn.XLOOKUP(B326,'Base stats'!B:B,'Base stats'!E:E),Groups!A:A,Groups!U:U)&lt;&gt;3,_xlfn.XLOOKUP(B326,'Base stats'!B:B,'Base stats'!BA:BA),0),0.5))</f>
        <v>No</v>
      </c>
      <c r="Y326" s="7" t="str">
        <f>IF(X326="No","No",MAX(_xlfn.XLOOKUP(_xlfn.XLOOKUP(B326,'Base stats'!B:B,'Base stats'!E:E),Groups!A:A,Groups!V:V),MROUND(_xlfn.XLOOKUP(_xlfn.XLOOKUP(B326,'Base stats'!B:B,'Base stats'!E:E),Groups!A:A,Groups!V:V)*_xlfn.XLOOKUP(B326,'Base stats'!B:B,'Base stats'!C:C)^0.165,0.05)))</f>
        <v>No</v>
      </c>
      <c r="Z326" s="7" t="str">
        <f>IF(X326="No","No",_xlfn.XLOOKUP(_xlfn.XLOOKUP(B326,'Base stats'!B:B,'Base stats'!E:E),Groups!A:A,Groups!W:W))</f>
        <v>No</v>
      </c>
      <c r="AA326" s="7" t="str">
        <f>IF(X326="No","No",_xlfn.XLOOKUP(_xlfn.XLOOKUP(B326,'Base stats'!B:B,'Base stats'!E:E),Groups!A:A,Groups!X:X))</f>
        <v>No</v>
      </c>
      <c r="AB326" s="7" t="str">
        <f>IF(X326="No","No",_xlfn.XLOOKUP(_xlfn.XLOOKUP(B326,'Base stats'!B:B,'Base stats'!E:E),Groups!A:A,Groups!Y:Y))</f>
        <v>No</v>
      </c>
      <c r="AC326" s="7" t="str">
        <f>_xlfn.XLOOKUP(Animals!B326,'Base stats'!B:B,'Base stats'!X:X)</f>
        <v>False</v>
      </c>
      <c r="AD326" s="13">
        <f>IF(_xlfn.XLOOKUP(B326,'Base stats'!B:B,'Base stats'!AT:AT)="No","No",MROUND((LOG10(_xlfn.XLOOKUP(B326,'Base stats'!B:B,'Base stats'!AT:AT))*(AO326^0.75)+(_xlfn.XLOOKUP(B326,'Base stats'!B:B,'Base stats'!AT:AT)/1000)^(2/3)+_xlfn.XLOOKUP(B326,'Base stats'!B:B,'Base stats'!AX:AX)+_xlfn.XLOOKUP(B326,'Base stats'!B:B,'Base stats'!BA:BA))+0.5,0.5))</f>
        <v>18</v>
      </c>
      <c r="AE326" s="7">
        <f>IF(AD326="No","No",MAX(_xlfn.XLOOKUP(_xlfn.XLOOKUP(B326,'Base stats'!B:B,'Base stats'!E:E),Groups!A:A,Groups!Z:Z),MROUND(_xlfn.XLOOKUP(_xlfn.XLOOKUP(B326,'Base stats'!B:B,'Base stats'!E:E),Groups!A:A,Groups!Z:Z)*_xlfn.XLOOKUP(B326,'Base stats'!B:B,'Base stats'!C:C)^0.165,0.05)))</f>
        <v>2.4000000000000004</v>
      </c>
      <c r="AF326" s="7" t="str">
        <f>IF(AD326="No","No",_xlfn.XLOOKUP(_xlfn.XLOOKUP(B326,'Base stats'!B:B,'Base stats'!E:E),Groups!A:A,Groups!AA:AA))</f>
        <v>Beak</v>
      </c>
      <c r="AG326" s="7" t="str">
        <f>IF(AD326="No","No",_xlfn.XLOOKUP(_xlfn.XLOOKUP(B326,'Base stats'!B:B,'Base stats'!E:E),Groups!A:A,Groups!AB:AB))</f>
        <v>beak</v>
      </c>
      <c r="AH326" s="7" t="str">
        <f>IF(AD326="No","No",_xlfn.XLOOKUP(_xlfn.XLOOKUP(B326,'Base stats'!B:B,'Base stats'!E:E),Groups!A:A,Groups!AC:AC))</f>
        <v>Bite</v>
      </c>
      <c r="AI326" s="13">
        <f>IF(_xlfn.XLOOKUP(_xlfn.XLOOKUP(B326,'Base stats'!B:B,'Base stats'!E:E),Groups!A:A,Groups!AD:AD)=0,"No",MROUND((LOG10(_xlfn.XLOOKUP(B326,'Base stats'!B:B,'Base stats'!AS:AS))*(AO326^0.75)+(_xlfn.XLOOKUP(B326,'Base stats'!B:B,'Base stats'!AS:AS)/1000)^(2/3)+_xlfn.XLOOKUP(B326,'Base stats'!B:B,'Base stats'!AY:AY)+_xlfn.XLOOKUP(B326,'Base stats'!B:B,'Base stats'!BA:BA))+0.5,0.5))</f>
        <v>14.5</v>
      </c>
      <c r="AJ326" s="7">
        <f>IF(AI326="No","No",MAX(_xlfn.XLOOKUP(_xlfn.XLOOKUP(B326,'Base stats'!B:B,'Base stats'!E:E),Groups!A:A,Groups!AE:AE),MROUND(_xlfn.XLOOKUP(_xlfn.XLOOKUP(B326,'Base stats'!B:B,'Base stats'!E:E),Groups!A:A,Groups!AE:AE)*IF(_xlfn.XLOOKUP(_xlfn.XLOOKUP(B326,'Base stats'!B:B,'Base stats'!E:E),Groups!A:A,Groups!AJ:AJ)="Photonozoa",0.6,1)*_xlfn.XLOOKUP(B326,'Base stats'!B:B,'Base stats'!C:C)^0.165,0.05)))</f>
        <v>1.8</v>
      </c>
      <c r="AK326" s="7" t="str">
        <f>IF(AI326="No","No",_xlfn.XLOOKUP(_xlfn.XLOOKUP(B326,'Base stats'!B:B,'Base stats'!E:E),Groups!A:A,Groups!AF:AF))</f>
        <v>Arms</v>
      </c>
      <c r="AL326" s="7" t="str">
        <f>IF(AI326="No","No",_xlfn.XLOOKUP(_xlfn.XLOOKUP(B326,'Base stats'!B:B,'Base stats'!E:E),Groups!A:A,Groups!AG:AG))</f>
        <v>tentacles</v>
      </c>
      <c r="AM326" s="7" t="str">
        <f>IF(AI326="No","No",_xlfn.XLOOKUP(_xlfn.XLOOKUP(B326,'Base stats'!B:B,'Base stats'!E:E),Groups!A:A,Groups!AH:AH))</f>
        <v>Blunt</v>
      </c>
      <c r="AN326" s="2" t="str">
        <f t="shared" si="35"/>
        <v>No</v>
      </c>
      <c r="AO326" s="2">
        <f>MROUND(IF(AND(_xlfn.XLOOKUP(B326,'Base stats'!B:B,'Base stats'!C:C)&gt;=0.5,_xlfn.XLOOKUP(B326,'Base stats'!B:B,'Base stats'!C:C)&lt;=0.8),
IF(_xlfn.XLOOKUP(B326,'Base stats'!B:B,'Base stats'!C:C)&lt;0.1,0.05,IF(_xlfn.XLOOKUP(B326,'Base stats'!B:B,'Base stats'!C:C)&lt;=70,(_xlfn.XLOOKUP(B326,'Base stats'!B:B,'Base stats'!C:C)/70)^0.426489913056526,IF(_xlfn.XLOOKUP(B326,'Base stats'!B:B,'Base stats'!C:C)&lt;=400,(_xlfn.XLOOKUP(B326,'Base stats'!B:B,'Base stats'!C:C)/70)^0.572811455315093,IF(_xlfn.XLOOKUP(B326,'Base stats'!B:B,'Base stats'!C:C)&lt;=2000,2.71391647193063*(_xlfn.XLOOKUP(B326,'Base stats'!B:B,'Base stats'!C:C)/400)^0.252459582904293,3.74314280240376*(_xlfn.XLOOKUP(B326,'Base stats'!B:B,'Base stats'!C:C)/2000)^0.357012633876913)))),
IF(_xlfn.XLOOKUP(B326,'Base stats'!B:B,'Base stats'!C:C)&lt;0.1,0.05,IF(_xlfn.XLOOKUP(B326,'Base stats'!B:B,'Base stats'!C:C)&lt;0.4,0.1,IF(_xlfn.XLOOKUP(B326,'Base stats'!B:B,'Base stats'!C:C)&lt;=70,(_xlfn.XLOOKUP(B326,'Base stats'!B:B,'Base stats'!C:C)/70)^0.445823913056526,IF(_xlfn.XLOOKUP(B326,'Base stats'!B:B,'Base stats'!C:C)&lt;=400,(_xlfn.XLOOKUP(B326,'Base stats'!B:B,'Base stats'!C:C)/70)^0.572811455315093,IF(_xlfn.XLOOKUP(B326,'Base stats'!B:B,'Base stats'!C:C)&lt;=2000,2.71391647193063*(_xlfn.XLOOKUP(B326,'Base stats'!B:B,'Base stats'!C:C)/400)^0.252459582904293,3.74314280240376*(_xlfn.XLOOKUP(B326,'Base stats'!B:B,'Base stats'!C:C)/2000)^0.357012633876913)))))),
IF(_xlfn.XLOOKUP(B326,'Base stats'!B:B,'Base stats'!C:C)&lt;0.1,0.05,IF(_xlfn.XLOOKUP(B326,'Base stats'!B:B,'Base stats'!C:C)&lt;=100,0.05,IF(_xlfn.XLOOKUP(B326,'Base stats'!B:B,'Base stats'!C:C)&lt;=250,0.1,IF(_xlfn.XLOOKUP(B326,'Base stats'!B:B,'Base stats'!C:C)&lt;=4000,0.25,0.5)))))</f>
        <v>1.8</v>
      </c>
      <c r="AP326" s="8">
        <f>MROUND(AO326*_xlfn.XLOOKUP(_xlfn.XLOOKUP(B326,'Base stats'!B:B,'Base stats'!E:E),Groups!A:A,Groups!AI:AI)*_xlfn.XLOOKUP(B326,'Base stats'!B:B,'Base stats'!Z:Z),0.05)</f>
        <v>1.8</v>
      </c>
      <c r="AQ326" s="8">
        <f>MAX(0.01,MROUND(IF(CC326="True",0.196*(AO326*100*1000)^0.889,IF(_xlfn.XLOOKUP(_xlfn.XLOOKUP(B326,'Base stats'!B:B,'Base stats'!E:E),Groups!A:A,Groups!AJ:AJ)="Bird",10.5*(AO326*100*1000)^0.681,4.82*(AO326*100*1000)^0.734))/(4.82*(1*100*1000)^0.734)/IF(AO326&lt;3.5,2,IF(AO326=3.5,1.5,1.25))*(1+0.132282374779864/(AO326^0.994035016789033+0.00905238001496948)),0.05))</f>
        <v>0.2</v>
      </c>
      <c r="AR326" s="9">
        <f>IFERROR(MROUND(_xlfn.XLOOKUP(B326,'Base stats'!B:B,'Base stats'!H:H)/IF(_xlfn.XLOOKUP(B326,'Base stats'!B:B,'Base stats'!I:I)&lt;&gt;1,(122.5/70),1.2),IF(_xlfn.XLOOKUP(B326,'Base stats'!B:B,'Base stats'!H:H)&gt;=30,5,IF(_xlfn.XLOOKUP(B326,'Base stats'!B:B,'Base stats'!H:H)&gt;=15,3,IF(_xlfn.XLOOKUP(B326,'Base stats'!B:B,'Base stats'!H:H)&gt;=10,2,1)))),"Immortal")</f>
        <v>18</v>
      </c>
      <c r="AS326" s="35">
        <f>IFERROR(IF(OR(_xlfn.XLOOKUP(B326,'Base stats'!B:B,'Base stats'!F:F)="Atypical reproduction",_xlfn.XLOOKUP(B326,'Base stats'!B:B,'Base stats'!F:F)="Lay eggs"),"Lay eggs",MIN(20,MAX(5.5,ROUND(((_xlfn.XLOOKUP(B326,'Base stats'!B:B,'Base stats'!F:F)-25)*(14.5/615) + 5.5)*2,0)/2))),"Unknown")</f>
        <v>9.5</v>
      </c>
      <c r="AT326" s="8">
        <f>IF(_xlfn.XLOOKUP(B326,'Base stats'!B:B,'Base stats'!G:G)="Atypical reproduction","No",IFERROR(MAX(IF(_xlfn.XLOOKUP(B326,'Base stats'!B:B,'Base stats'!G:G)&lt;0.5,0.2,0.3),MROUND(_xlfn.XLOOKUP(B326,'Base stats'!B:B,'Base stats'!G:G)/(365/60),0.2)),"Unknown"))</f>
        <v>0.3</v>
      </c>
      <c r="AU326" s="8">
        <f t="shared" si="36"/>
        <v>0.15000000000000002</v>
      </c>
      <c r="AV326" s="8">
        <f>IFERROR(IFERROR(MROUND(_xlfn.XLOOKUP(B326,'Base stats'!B:B,'Base stats'!J:J),0.1),"Lay eggs"),"Cannot breed")</f>
        <v>3</v>
      </c>
      <c r="AW326" s="2" t="str">
        <f t="shared" si="37"/>
        <v>false</v>
      </c>
      <c r="AX326" s="2" t="str">
        <f>IF(_xlfn.XLOOKUP(_xlfn.XLOOKUP(Animals!B326,'Base stats'!B:B,'Base stats'!E:E),Groups!A:A,Groups!AK:AK)=1,"true","false")</f>
        <v>false</v>
      </c>
      <c r="AY326" s="25" t="str">
        <f>IF(_xlfn.XLOOKUP(B326,'Base stats'!B:B,'Base stats'!Y:Y)="Liquor","Liquor, CarnivoreAnimalStrict",IF(AND(_xlfn.XLOOKUP(B326,'Base stats'!B:B,'Base stats'!Y:Y)="Carnivore",_xlfn.XLOOKUP(_xlfn.XLOOKUP(B326,'Base stats'!B:B,'Base stats'!E:E),Groups!A:A,Groups!AJ:AJ)="Photonozoa"),"CarnivoreAnimalStrict, OvivoreAnimal",IF(_xlfn.XLOOKUP(B326,'Base stats'!B:B,'Base stats'!Y:Y)="Carnivore","CarnivoreAnimal, OvivoreAnimal",IF(_xlfn.XLOOKUP(B326,'Base stats'!B:B,'Base stats'!Y:Y)="Dendrovore","VegetarianRoughAnimal, DendrovoreAnimal",IF(_xlfn.XLOOKUP(B326,'Base stats'!B:B,'Base stats'!Y:Y)="Herbivore","VegetarianRoughAnimal",IF(_xlfn.XLOOKUP(B326,'Base stats'!B:B,'Base stats'!Y:Y)="OmnivoreRough","OmnivoreRoughAnimal, OvivoreAnimal","OmnivoreAnimal, OvivoreAnimal"))))))</f>
        <v>OmnivoreRoughAnimal, OvivoreAnimal</v>
      </c>
      <c r="AZ326" s="2">
        <f>IF(_xlfn.XLOOKUP(_xlfn.XLOOKUP(B326,'Base stats'!B:B,'Base stats'!E:E),Groups!A:A,Groups!D:D)=1,MROUND((1-J326)*5+1,2)*IF(J326&lt;=0.4,2,1),"No")</f>
        <v>8</v>
      </c>
      <c r="BA326" s="2" t="str">
        <f>IF(AND(_xlfn.XLOOKUP(B326,'Base stats'!B:B,'Base stats'!AH:AH)="&lt;li&gt;Seal&lt;/li&gt;",G326="Odyssey"),"&lt;li&gt;AEXP_Seal&lt;/li&gt;",_xlfn.XLOOKUP(B326,'Base stats'!B:B,'Base stats'!AH:AH))</f>
        <v>No</v>
      </c>
      <c r="BB326" s="2" t="str">
        <f>_xlfn.XLOOKUP(B326,'Base stats'!B:B,'Base stats'!AG:AG)</f>
        <v>No</v>
      </c>
      <c r="BC326" s="23" t="str">
        <f>_xlfn.XLOOKUP(_xlfn.XLOOKUP(B326,'Base stats'!B:B,'Base stats'!E:E),Groups!A:A,Groups!AL:AL)</f>
        <v>CephalopodBiped</v>
      </c>
      <c r="BD326" s="23">
        <f>MIN(1,MROUND(IF(AND(AO326&lt;0.5,_xlfn.XLOOKUP(B326,'Base stats'!B:B,'Base stats'!AA:AA)=0),0,IF(OR(_xlfn.XLOOKUP(Animals!B326,'Base stats'!B:B,'Base stats'!O:O)=2,_xlfn.XLOOKUP(_xlfn.XLOOKUP(B326,'Base stats'!B:B,'Base stats'!E:E),Groups!A:A,Groups!AN:AN)=0),0,_xlfn.XLOOKUP(_xlfn.XLOOKUP(B326,'Base stats'!B:B,'Base stats'!E:E),Groups!A:A,Groups!AN:AN)/IF(_xlfn.XLOOKUP(Animals!B326,'Base stats'!B:B,'Base stats'!O:O)=1,2,1)))+_xlfn.XLOOKUP(B326,'Base stats'!B:B,'Base stats'!AC:AC),0.005))</f>
        <v>1.4999999999999999E-2</v>
      </c>
      <c r="BE326" s="23">
        <f>MIN(1,MROUND(IF(AND(AO326&lt;0.5,_xlfn.XLOOKUP(B326,'Base stats'!B:B,'Base stats'!AA:AA)=0),0,IF(_xlfn.XLOOKUP(_xlfn.XLOOKUP(B326,'Base stats'!B:B,'Base stats'!E:E),Groups!A:A,Groups!AO:AO)=0,0,_xlfn.XLOOKUP(_xlfn.XLOOKUP(B326,'Base stats'!B:B,'Base stats'!E:E),Groups!A:A,Groups!AO:AO)/IF(_xlfn.XLOOKUP(Animals!B326,'Base stats'!B:B,'Base stats'!O:O)=2,3,1)))+_xlfn.XLOOKUP(B326,'Base stats'!B:B,'Base stats'!AD:AD),0.005))</f>
        <v>0.1</v>
      </c>
      <c r="BF326" s="2" t="str">
        <f>IF(J326&gt;0.3,"No",_xlfn.XLOOKUP(_xlfn.XLOOKUP(Animals!B326,'Base stats'!B:B,'Base stats'!E:E),Groups!A:A,Groups!AP:AP))</f>
        <v>No</v>
      </c>
      <c r="BG326" s="2" t="str">
        <f>IF(AND(J326&lt;=0.65,_xlfn.XLOOKUP(_xlfn.XLOOKUP(Animals!B326,'Base stats'!B:B,'Base stats'!E:E),Groups!A:A,Groups!AP:AP)&lt;&gt;"No",_xlfn.XLOOKUP(_xlfn.XLOOKUP(B326,'Base stats'!B:B,'Base stats'!E:E),Groups!A:A,Groups!D:D)=0),MROUND((80/3)*IF(_xlfn.XLOOKUP(B326,'Base stats'!B:B,'Base stats'!O:O)=2,0.2,AO326) + 24*(1-IF(BF326="No",0,BF326)) + 16/3, 12),"No")</f>
        <v>No</v>
      </c>
      <c r="BH326" s="2">
        <f>IF(AND(_xlfn.XLOOKUP(_xlfn.XLOOKUP(B326,'Base stats'!B:B,'Base stats'!E:E),Groups!A:A,Groups!AQ:AQ)=1,AO326&lt;=0.35),8,12)</f>
        <v>12</v>
      </c>
      <c r="BI326" s="2" t="str">
        <f>IF(_xlfn.XLOOKUP(_xlfn.XLOOKUP(B326,'Base stats'!B:B,'Base stats'!E:E),Groups!A:A,Groups!D:D)=0,_xlfn.XLOOKUP(_xlfn.XLOOKUP(B326,'Base stats'!B:B,'Base stats'!E:E),Groups!A:A,Groups!AR:AR),"None")</f>
        <v>None</v>
      </c>
      <c r="BJ326" s="2" t="str">
        <f>IF(AND(_xlfn.XLOOKUP(_xlfn.XLOOKUP(B326,'Base stats'!B:B,'Base stats'!E:E),Groups!A:A,Groups!AS:AS)=1,OR(_xlfn.XLOOKUP(B326,'Base stats'!B:B,'Base stats'!Y:Y)="Carnivore",_xlfn.XLOOKUP(B326,'Base stats'!B:B,'Base stats'!Y:Y)="Omnivore")),"true","false")</f>
        <v>false</v>
      </c>
      <c r="BK326" s="2" t="str">
        <f>IF(BJ326="true",MROUND(IF(AND(AO326&gt;0.5,OR(_xlfn.XLOOKUP(_xlfn.XLOOKUP(B326,'Base stats'!B:B,'Base stats'!E:E),Groups!A:A,Groups!AJ:AJ)="Photonozoa",_xlfn.XLOOKUP(_xlfn.XLOOKUP(B326,'Base stats'!B:B,'Base stats'!E:E),Groups!A:A,Groups!AJ:AJ)="Mammal")),Animals!AO326*1.75*IF(AW326="true",1.5,1),IF(AO326&lt;0.5,Animals!AO326*0.5,Animals!AO326)),IF(AO326&gt;2,0.5,IF(AO326&gt;0.5,0.25,0.1))),"No")</f>
        <v>No</v>
      </c>
      <c r="BL326" s="2">
        <f t="shared" si="38"/>
        <v>0</v>
      </c>
      <c r="BM326" s="25" t="str">
        <f>IF(_xlfn.XLOOKUP(B326,'Base stats'!B:B,'Base stats'!AN:AN)="Standard","No",MROUND((_xlfn.XLOOKUP(B326,'Base stats'!B:B,'Base stats'!AN:AN)/3.6)/I326,0.1))</f>
        <v>No</v>
      </c>
      <c r="BN326" s="25" t="str">
        <f t="shared" si="39"/>
        <v>false</v>
      </c>
      <c r="BO326" s="25" t="str">
        <f>IF(AND(OR(_xlfn.XLOOKUP(B326,'Base stats'!B:B,'Base stats'!Y:Y)="Carnivore",_xlfn.XLOOKUP(B326,'Base stats'!B:B,'Base stats'!Y:Y)="Omnivore",_xlfn.XLOOKUP(B326,'Base stats'!B:B,'Base stats'!Y:Y)="OmnivoreRough"),_xlfn.XLOOKUP(_xlfn.XLOOKUP(B326,'Base stats'!B:B,'Base stats'!E:E),Groups!A:A,Groups!AT:AT)=1),"true","false")</f>
        <v>false</v>
      </c>
      <c r="BP326" s="25" t="str" cm="1">
        <f t="array" ref="BP326">IF(
  _xlfn.TEXTJOIN(", ",TRUE,
    IF(AND(BJ326="true",AO326&gt;0.5,BI326&lt;&gt;"None"),"AttackTarget",""),
    IF(AND(_xlfn.XLOOKUP(_xlfn.XLOOKUP(B326,'Base stats'!B:B,'Base stats'!E:E),Groups!A:A,Groups!AJ:AJ="Mammal"),OR(_xlfn.XLOOKUP(B326,'Base stats'!B:B,'Base stats'!Y:Y)="Omnivore",_xlfn.XLOOKUP(B326,'Base stats'!B:B,'Base stats'!Y:Y)="OmnivoreRough")),"Forage",""),
    IF(BG326&lt;=36,"Comfort",""),
    IF(_xlfn.XLOOKUP(B326,'Base stats'!B:B,'Base stats'!AE:AE)&lt;&gt;"No",_xlfn.XLOOKUP(B326,'Base stats'!B:B,'Base stats'!AE:AE),"")
  ) = "",
  "No",
  _xlfn.TEXTJOIN(", ",TRUE,
    IF(AND(BJ326="true",AO326&gt;0.5,BI326&lt;&gt;"None"),"AttackTarget",""),
    IF(AND(_xlfn.XLOOKUP(_xlfn.XLOOKUP(B326,'Base stats'!B:B,'Base stats'!E:E),Groups!A:A,Groups!AJ:AJ="Mammal"),OR(_xlfn.XLOOKUP(B326,'Base stats'!B:B,'Base stats'!Y:Y)="Omnivore",_xlfn.XLOOKUP(B326,'Base stats'!B:B,'Base stats'!Y:Y)="OmnivoreRough")),"Forage",""),
    IF(BG326&lt;=36,"Comfort",""),
    IF(_xlfn.XLOOKUP(B326,'Base stats'!B:B,'Base stats'!AE:AE)&lt;&gt;"No",_xlfn.XLOOKUP(B326,'Base stats'!B:B,'Base stats'!AE:AE),"")
  )
)</f>
        <v>No</v>
      </c>
      <c r="BQ326" s="25" t="str">
        <f>IF(
   AND(
      'Base stats'!AN326="Standard",_xlfn.XLOOKUP(_xlfn.XLOOKUP(B326,'Base stats'!B:B,'Base stats'!E:E),Groups!A:A,Groups!AU:AU)=0,
      OR(
      BO326="True"
      )
   ),
   10,
   IF(
       OR(BM326&lt;&gt;"No",_xlfn.XLOOKUP(_xlfn.XLOOKUP(B326,'Base stats'!B:B,'Base stats'!E:E),Groups!A:A,Groups!AU:AU)=1),
      1,
      "No"
   )
)</f>
        <v>No</v>
      </c>
      <c r="BR326" s="9">
        <f>MROUND((1 + ((0.2*IF(OR(Q326="No",R326="No",R326=0),0,Q326/R326)
+IF(OR(V326="No",S326="No",T326="No"),0,S326/T326*(LEN(V326)-LEN(SUBSTITUTE(V326,",",""))+1))
+IF(OR(X326="No",Y326="No"),0,X326/Y326)
+IF(OR(AD326="No",AE326="No"),0,AD326/AE326)
+IF(OR(AL326="No",AI326="No",AJ326="No"),0,AI326/AJ326*(LEN(AL326)-LEN(SUBSTITUTE(AL326,",",""))+1))
)/(0.2*IF(OR(Q326="No",R326="No",R326=0),0,1)
+IF(OR(V326="No",S326="No",T326="No"),0,LEN(V326)-LEN(SUBSTITUTE(V326,",",""))+1)
+IF(OR(X326="No",Y326="No"),0,1)
+IF(OR(AD326="No",AE326="No"),0,1)
+IF(OR(AL326="No",AI326="No",AJ326="No"),0,LEN(AL326)-LEN(SUBSTITUTE(AL326,",",""))+1))*62%)* 2)*(1 + (AP326 / (IF(_xlfn.XLOOKUP(_xlfn.XLOOKUP(B326,'Base stats'!B:B,'Base stats'!E:E),Groups!A:A,Groups!AJ:AJ)="Photonozoa",0.3,1)) + _xlfn.XLOOKUP(B326,'Base stats'!B:B,'Base stats'!AV:AV) * 1.8) * 2) * 2.5 + 10 + I326 * 2,5)+IF(_xlfn.XLOOKUP(B326,'Base stats'!B:B,'Base stats'!AK:AK)=1,50,0)</f>
        <v>130</v>
      </c>
      <c r="BS326" s="8">
        <f t="shared" si="40"/>
        <v>0.5</v>
      </c>
      <c r="BT326" s="8" t="str">
        <f>_xlfn.XLOOKUP(B326,'Base stats'!B:B,'Base stats'!AF:AF)</f>
        <v>No</v>
      </c>
      <c r="BU326" s="2" t="str">
        <f>IF(AND(J326&lt;=0.95,OR(_xlfn.XLOOKUP(B326,'Base stats'!B:B,'Base stats'!AK:AK)=1,_xlfn.XLOOKUP(B326,'Base stats'!B:B,'Base stats'!Y:Y)="Carnivore",_xlfn.XLOOKUP(B326,'Base stats'!B:B,'Base stats'!Y:Y)="Omnivore",BE326&gt;0.1)),"true","false")</f>
        <v>false</v>
      </c>
      <c r="BV326" s="2" t="str">
        <f>IF(_xlfn.XLOOKUP(B326,'Base stats'!B:B,'Base stats'!AI:AI)=1,"true","false")</f>
        <v>false</v>
      </c>
      <c r="BW326" s="25" t="str">
        <f>IF(E326="BaseInsect","AnimalInsect",
IF(J326&gt;0.95,"AnimalExotic",
_xlfn.TEXTJOIN(", ",TRUE,
IF(OR(_xlfn.XLOOKUP(B326,'Base stats'!B:B,'Base stats'!AM:AM)=1,AND(_xlfn.XLOOKUP(B326,'Base stats'!B:B,'Base stats'!O:O)=0,_xlfn.XLOOKUP(_xlfn.XLOOKUP(B326,'Base stats'!B:B,'Base stats'!E:E),Groups!A:A,Groups!B:B)&gt;0)),"AnimalUncommon","AnimalCommon"),
IF(AND(_xlfn.XLOOKUP(B326,'Base stats'!B:B,'Base stats'!O:O)=2,_xlfn.XLOOKUP(_xlfn.XLOOKUP(B326,'Base stats'!B:B,'Base stats'!E:E),Groups!A:A,Groups!D:D)=0),"AnimalPet",IF(AND(_xlfn.XLOOKUP(B326,'Base stats'!B:B,'Base stats'!O:O)&lt;&gt;0,_xlfn.XLOOKUP(_xlfn.XLOOKUP(B326,'Base stats'!B:B,'Base stats'!E:E),Groups!A:A,Groups!D:D)&lt;&gt;0),"AnimalFarm","")),
IF(OR(_xlfn.XLOOKUP(B326,'Base stats'!B:B,'Base stats'!AK:AK)=1,AND(BI326&lt;&gt;"None",BR326&gt;=60),ISNUMBER(SEARCH("Attack target",BP326))),"AnimalFighter","")
)))</f>
        <v>AnimalCommon, AnimalFarm</v>
      </c>
      <c r="BX326" s="25" t="str">
        <f>IF(G326="None",TRIM(
SUBSTITUTE(
IF(COUNTIF(Biomes!B$2:B$259,"="&amp;$C326)&gt;0,Biomes!B$1&amp;", ","")&amp;
IF(COUNTIF(Biomes!C$2:C$259,"="&amp;$C326)&gt;0,Biomes!C$1&amp;", ","")&amp;
IF(COUNTIF(Biomes!D$2:D$259,"="&amp;$C326)&gt;0,Biomes!D$1&amp;", ","")&amp;
IF(COUNTIF(Biomes!F$2:F$259,"="&amp;$C326)&gt;0,Biomes!F$1&amp;", ","")&amp;
IF(COUNTIF(Biomes!G$2:G$259,"="&amp;$C326)&gt;0,Biomes!G$1&amp;", ","")&amp;
IF(COUNTIF(Biomes!H$2:H$259,"="&amp;$C326)&gt;0,Biomes!H$1&amp;", ","")&amp;
IF(COUNTIF(Biomes!I$2:I$259,"="&amp;$C326)&gt;0,Biomes!I$1&amp;", ","")&amp;
IF(COUNTIF(Biomes!J$2:J$259,"="&amp;$C326)&gt;0,Biomes!J$1&amp;", ","")&amp;
IF(COUNTIF(Biomes!M$2:M$259,"="&amp;$C326)&gt;0,Biomes!M$1&amp;", ","")&amp;
IF(COUNTIF(Biomes!N$2:N$259,"="&amp;$C326)&gt;0,Biomes!N$1&amp;", ","")&amp;
IF(COUNTIF(Biomes!O$2:O$259,"="&amp;$C326)&gt;0,Biomes!O$1&amp;", ","")&amp;
IF(COUNTIF(Biomes!P$2:P$259,"="&amp;$C326)&gt;0,Biomes!P$1&amp;", ","")&amp;
IF(COUNTIF(Biomes!K$2:K$259,"="&amp;$C326)&gt;0,Biomes!K$1&amp;", ","")&amp;
IF(COUNTIF(Biomes!Q$3:Q$259,"="&amp;$C326)&gt;0,Biomes!Q$1&amp;", ","")&amp;
IF(COUNTIF(Biomes!L$2:L$259,"="&amp;$C326)&gt;0,Biomes!L$1&amp;", ","")&amp;
IF(COUNTIF(Biomes!E$2:E$259,"="&amp;$C326)&gt;0,Biomes!E$1&amp;", ","")&amp;IF(COUNTIF(Biomes!S$2:S$259,"="&amp;$C326)&gt;0,Biomes!S$1&amp;", ","")&amp;
IF(COUNTIF(Biomes!R$2:R$259,"="&amp;$C326)&gt;0,Biomes!R$1&amp;", ",""),", ","")
),_xlfn.XLOOKUP(B326,B:B,BX:BX))</f>
        <v>AridShrubland Desert ExtremeDesert LavaField</v>
      </c>
      <c r="BY326" s="25" t="str">
        <f>IF(_xlfn.XLOOKUP(B326,'Base stats'!B:B,'Base stats'!AJ:AJ)=1,"true","false")</f>
        <v>false</v>
      </c>
      <c r="BZ326" s="25">
        <f>IF(_xlfn.XLOOKUP(B326,'Base stats'!B:B,'Base stats'!N:N)=1,"No",MAX(0.001,MIN(MROUND(IF(AND(BJ326="True",CC326="False"),POWER(10,3.47*LOG10(_xlfn.XLOOKUP(B326,'Base stats'!B:B,'Base stats'!C:C)*1000)^-0.96),POWER(10,4.15*LOG10(_xlfn.XLOOKUP(B326,'Base stats'!B:B,'Base stats'!C:C)*1000)^-0.73))*IF(_xlfn.XLOOKUP(B326,'Base stats'!B:B,'Base stats'!AK:AK)=1,0.5,1)*IF(_xlfn.XLOOKUP(B326,'Base stats'!B:B,'Base stats'!AM:AM)=1,0.1,1)/100,IF(_xlfn.XLOOKUP(B326,'Base stats'!B:B,'Base stats'!AM:AM)=1,0.001,0.025)),0.5)))</f>
        <v>0.17500000000000002</v>
      </c>
      <c r="CA326" s="25">
        <f>IF(P326="Standard","No",MAX(0.001,MIN(MROUND(IF(AND(BJ326="True",CC326="False"),POWER(10,3.47*LOG10(_xlfn.XLOOKUP(B326,'Base stats'!B:B,'Base stats'!C:C)*1000)^-0.96),POWER(10,4.15*LOG10(_xlfn.XLOOKUP(B326,'Base stats'!B:B,'Base stats'!C:C)*1000)^-0.73))*IF(_xlfn.XLOOKUP(B326,'Base stats'!B:B,'Base stats'!AM:AM)=1,0.1,1)*_xlfn.XLOOKUP(B326,'Base stats'!B:B,'Base stats'!R:R)/100,IF(_xlfn.XLOOKUP(B326,'Base stats'!B:B,'Base stats'!AM:AM)=1,0.001,0.025)),0.5)))</f>
        <v>0.125</v>
      </c>
      <c r="CB326" s="25" t="str">
        <f>IF(_xlfn.XLOOKUP(_xlfn.XLOOKUP(B326,'Base stats'!B:B,'Base stats'!E:E),Groups!A:A,Groups!AJ:AJ)="Mammal","True","False")</f>
        <v>False</v>
      </c>
      <c r="CC326" s="25" t="str">
        <f>IF(OR(_xlfn.XLOOKUP(_xlfn.XLOOKUP(B326,'Base stats'!B:B,'Base stats'!E:E),Groups!A:A,Groups!AJ:AJ)="Reptile",_xlfn.XLOOKUP(_xlfn.XLOOKUP(B326,'Base stats'!B:B,'Base stats'!E:E),Groups!A:A,Groups!AJ:AJ)="Amphibian",_xlfn.XLOOKUP(_xlfn.XLOOKUP(B326,'Base stats'!B:B,'Base stats'!E:E),Groups!A:A,Groups!AJ:AJ)="Invertebrate"),"True","False")</f>
        <v>True</v>
      </c>
      <c r="CD326" s="25" t="str">
        <f t="shared" si="41"/>
        <v>False</v>
      </c>
      <c r="CE326" s="25" t="str">
        <f>IF(_xlfn.XLOOKUP(_xlfn.XLOOKUP(B326,'Base stats'!B:B,'Base stats'!E:E),Groups!A:A,Groups!AX:AX),"True","False")</f>
        <v>False</v>
      </c>
      <c r="CF326" s="25" t="str">
        <f>IF(_xlfn.XLOOKUP(_xlfn.XLOOKUP(B326,'Base stats'!B:B,'Base stats'!E:E),Groups!A:A,Groups!AY:AY),"True","False")</f>
        <v>False</v>
      </c>
      <c r="CG326" s="25" t="str">
        <f>IF(_xlfn.XLOOKUP(_xlfn.XLOOKUP(B326,'Base stats'!B:B,'Base stats'!E:E),Groups!A:A,Groups!AW:AW),"True","False")</f>
        <v>False</v>
      </c>
      <c r="CH326" s="25" t="str">
        <f>IF(
OR(
_xlfn.XLOOKUP(_xlfn.XLOOKUP(B326,'Base stats'!B:B,'Base stats'!E:E),Groups!A:A,Groups!AZ:AZ)=0,
AND(
_xlfn.XLOOKUP(B326,'Base stats'!B:B,'Base stats'!Y:Y)&lt;&gt;"Carnivore",
_xlfn.XLOOKUP(B326,'Base stats'!B:B,'Base stats'!Y:Y)&lt;&gt;"Omnivore",
_xlfn.XLOOKUP(B326,'Base stats'!B:B,'Base stats'!Y:Y)&lt;&gt;"OmnivoreRough"
)
),
"No",
IF(
_xlfn.XLOOKUP(_xlfn.XLOOKUP(B326,'Base stats'!B:B,'Base stats'!E:E),Groups!A:A,Groups!AZ:AZ)=1,
"Flesh",
IF(
_xlfn.XLOOKUP(_xlfn.XLOOKUP(B326,'Base stats'!B:B,'Base stats'!E:E),Groups!A:A,Groups!AZ:AZ)=2,
"Bone",
""
)
)
)</f>
        <v>No</v>
      </c>
      <c r="CI326" s="25" t="str">
        <f>IF(_xlfn.XLOOKUP(_xlfn.XLOOKUP(B326,'Base stats'!B:B,'Base stats'!E:E),Groups!A:A,Groups!BB:BB),"True","False")</f>
        <v>False</v>
      </c>
      <c r="CJ326" s="25" t="str">
        <f>IF(_xlfn.XLOOKUP(_xlfn.XLOOKUP(B326,'Base stats'!B:B,'Base stats'!E:E),Groups!A:A,Groups!BA:BA),"True","False")</f>
        <v>False</v>
      </c>
    </row>
    <row r="327" spans="1:88" ht="16.5" thickTop="1" thickBot="1" x14ac:dyDescent="0.3">
      <c r="A327" s="26" t="s">
        <v>1566</v>
      </c>
      <c r="B327" s="6" t="str">
        <f>_xlfn.XLOOKUP(A327,'Base stats'!A:A,'Base stats'!B:B)</f>
        <v>Crepiscuovis umbrosus</v>
      </c>
      <c r="C327" s="28" t="s">
        <v>1567</v>
      </c>
      <c r="D327" s="28" t="s">
        <v>1341</v>
      </c>
      <c r="E327" s="28" t="s">
        <v>673</v>
      </c>
      <c r="F327" s="28" t="s">
        <v>673</v>
      </c>
      <c r="G327" s="28" t="s">
        <v>673</v>
      </c>
      <c r="H327" s="2">
        <f>MROUND((
  (IF(AND(_xlfn.XLOOKUP(B327,'Base stats'!B:B,'Base stats'!AL:AL)=0,BI327="None",_xlfn.XLOOKUP(_xlfn.XLOOKUP(B327,'Base stats'!B:B,'Base stats'!E:E),Groups!A:A,Groups!B:B)=0), (18 + BR327 * 2.7) * 0.5,
    IF(AND(_xlfn.XLOOKUP(B327,'Base stats'!B:B,'Base stats'!AL:AL)=0,OR(AO327&lt;0.55,AND(BI327="Intermediate",_xlfn.XLOOKUP(_xlfn.XLOOKUP(B327,'Base stats'!B:B,'Base stats'!E:E),Groups!A:A,Groups!B:B)&lt;2))), (18 + BR327 * 2.7),
      IF(OR(BI327="Advanced",_xlfn.XLOOKUP(B327,'Base stats'!B:B,'Base stats'!AL:AL)=1,_xlfn.XLOOKUP(_xlfn.XLOOKUP(B327,'Base stats'!B:B,'Base stats'!E:E),Groups!A:A,Groups!B:B)=2), (18 + BR327 * 2.7) + 250, (18 + BR327 * 2.7))
    )
  ))
  + AO327 * 80
  + IF(COUNTIF(EggMilk!K$2:K$998, A327) &gt; 0, 125, 0)
  + IF(COUNTIF(EggMilk!P$2:P$998, A327) &gt; 0, 90, 0)
  + IF(COUNTIF(EggMilk!A$2:A$998, A327) &gt; 0, 90, 0)
)
* (0.8 + 0.4 * J327)
* 0.75,25)</f>
        <v>350</v>
      </c>
      <c r="I327" s="2">
        <f>MROUND(ROUNDDOWN(_xlfn.XLOOKUP(B327,'Base stats'!B:B,'Base stats'!L:L)/3.6/(23.3/11),1),0.5)</f>
        <v>6</v>
      </c>
      <c r="J327" s="2">
        <f>IF(OR(_xlfn.XLOOKUP(B327,'Base stats'!B:B,'Base stats'!AB:AB)=1,_xlfn.XLOOKUP(_xlfn.XLOOKUP(B327,'Base stats'!B:B,'Base stats'!E:E),Groups!A:A,Groups!C:C)="Untamable"),1,IF(_xlfn.XLOOKUP(B327,'Base stats'!B:B,'Base stats'!AL:AL)=1,0.99,MIN(MROUND((1-0.6282*EXP(-0.459*AO327))*_xlfn.XLOOKUP(_xlfn.XLOOKUP(B327,'Base stats'!B:B,'Base stats'!E:E),Groups!A:A,Groups!C:C)*IF(_xlfn.XLOOKUP(B327,'Base stats'!B:B,'Base stats'!O:O)=1,0.5,IF(_xlfn.XLOOKUP(B327,'Base stats'!B:B,'Base stats'!O:O)=2,0,1)),0.05),IF(AO327&gt;3.5,0.985,0.95))))</f>
        <v>0.70000000000000007</v>
      </c>
      <c r="K327" s="2">
        <f>ROUNDUP(AO327*_xlfn.XLOOKUP(_xlfn.XLOOKUP(B327,'Base stats'!B:B,'Base stats'!E:E),Groups!A:A,Groups!E:E),0)</f>
        <v>13</v>
      </c>
      <c r="L327" s="2">
        <f>IF(OR(_xlfn.XLOOKUP(_xlfn.XLOOKUP(B327,'Base stats'!B:B,'Base stats'!E:E),Groups!A:A,Groups!F:F)=2,ISNUMBER(SEARCH("SeaIce",BX327)),ISNUMBER(SEARCH("IceSheet",BX327))),-50,IF(OR(ISNUMBER(SEARCH("GlacialPlain",BX327)),ISNUMBER(SEARCH("Tundra",BX327))),-40,IF(OR(ISNUMBER(SEARCH("Alpine",BX327)),ISNUMBER(SEARCH("BorealForest",BX327)),ISNUMBER(SEARCH("ColdBog",BX327))),-30,IF(OR(ISNUMBER(SEARCH("TemperateForest",BX327)),ISNUMBER(SEARCH("TemperateSwamp",BX327))),-20,IF(_xlfn.XLOOKUP(_xlfn.XLOOKUP(B327,'Base stats'!B:B,'Base stats'!E:E),Groups!A:A,Groups!F:F)=1,-15,IF(OR(ISNUMBER(SEARCH("Desert",BX327)),ISNUMBER(SEARCH("ExtremeDesert",BX327))),-10,IF(OR(ISNUMBER(SEARCH("Grasslands",BX327)),ISNUMBER(SEARCH("TropicalRainforest",BX327)),ISNUMBER(SEARCH("TropicalSwamp",BX327))),10,0)))))))-IF(CC327="False",MIN(IFERROR(MAX(MROUND(LOG10(_xlfn.XLOOKUP(B327,'Base stats'!B:B,'Base stats'!C:C)^(2/3))*10,5),5),5),30))-_xlfn.XLOOKUP(B327,'Base stats'!B:B,'Base stats'!P:P)+IF(CC327="True",5,0)</f>
        <v>-30</v>
      </c>
      <c r="M327" s="2">
        <f>IF(OR(_xlfn.XLOOKUP(_xlfn.XLOOKUP(B327,'Base stats'!B:B,'Base stats'!E:E),Groups!A:A,Groups!G:G)=2,ISNUMBER(SEARCH("Desert",BX327)),ISNUMBER(SEARCH("ExtremeDesert",BX327)),ISNUMBER(SEARCH("LavaField",BX327))),50,IF(ISNUMBER(SEARCH("Grasslands",BX327)),45,IF(OR(_xlfn.XLOOKUP(_xlfn.XLOOKUP(B327,'Base stats'!B:B,'Base stats'!E:E),Groups!A:A,Groups!G:G)=1,ISNUMBER(SEARCH("TropicalRainforest",BX327)),ISNUMBER(SEARCH("TropicalSwamp",BX327))),40,IF(OR(ISNUMBER(SEARCH("TemperateForest",BX327)),ISNUMBER(SEARCH("TemperateSwamp",BX327))),35,IF(OR(ISNUMBER(SEARCH("Alpine",BX327)),ISNUMBER(SEARCH("BorealForest",BX327)),ISNUMBER(SEARCH("ColdBog",BX327))),30,IF(ISNUMBER(OR(ISNUMBER(SEARCH("GlacialPlain",BX327)),SEARCH("Tundra",BX327))),25,IF(OR(ISNUMBER(SEARCH("SeaIce",BX327)),ISNUMBER(SEARCH("IceSheet",BX327)),ISNUMBER(SEARCH("TropicalSwamp",BX327))),10,35)))))))+_xlfn.XLOOKUP(B327,'Base stats'!B:B,'Base stats'!Q:Q)</f>
        <v>35</v>
      </c>
      <c r="N327" s="8" t="str">
        <f>IF(
_xlfn.XLOOKUP(
_xlfn.XLOOKUP(B327,'Base stats'!B:B,'Base stats'!E:E),
Groups!A:A,
Groups!L:L
)=1,
MIN(
MROUND(
IF(
_xlfn.XLOOKUP(B327,'Animals CE'!B:B,'Animals CE'!Z:Z)&lt;=1.5,
_xlfn.XLOOKUP(B327,'Animals CE'!B:B,'Animals CE'!Z:Z)/2+0.05,
0.8+
(_xlfn.XLOOKUP(B327,'Animals CE'!B:B,'Animals CE'!Z:Z)-1.5)
*0.02
),
0.05
),
200%
),
"No"
)</f>
        <v>No</v>
      </c>
      <c r="O327" s="8" t="str">
        <f>IF(
_xlfn.XLOOKUP(
_xlfn.XLOOKUP(B327,'Base stats'!B:B,'Base stats'!E:E),
Groups!A:A,
Groups!L:L
)=1,
MIN(
MROUND(
IF(
_xlfn.XLOOKUP(B327,'Animals CE'!B:B,'Animals CE'!AA:AA)&lt;=1.5,
_xlfn.XLOOKUP(B327,'Animals CE'!B:B,'Animals CE'!AA:AA)/2+0.05,
0.8+
(_xlfn.XLOOKUP(B327,'Animals CE'!B:B,'Animals CE'!AA:AA)-1.5)
*0.02
),
0.05
),
200%
),
"No"
)</f>
        <v>No</v>
      </c>
      <c r="P327" s="2" t="str">
        <f>_xlfn.XLOOKUP(B327,'Base stats'!B:B,'Base stats'!R:R)</f>
        <v>Standard</v>
      </c>
      <c r="Q327" s="13">
        <f>MROUND((LOG10(_xlfn.XLOOKUP(B327,'Base stats'!B:B,'Base stats'!AR:AR))*(AO327^0.5)+(_xlfn.XLOOKUP(B327,'Base stats'!B:B,'Base stats'!AR:AR)/1000)^(2/3)+_xlfn.XLOOKUP(B327,'Base stats'!B:B,'Base stats'!BA:BA)/2)+0.5,0.5)</f>
        <v>14</v>
      </c>
      <c r="R327" s="7">
        <f>IF(Q327="No","No",MAX(1,MROUND(_xlfn.XLOOKUP(B327,'Base stats'!B:B,'Base stats'!C:C)^0.165,0.05)))</f>
        <v>2.6500000000000004</v>
      </c>
      <c r="S327" s="13">
        <f>IF(_xlfn.XLOOKUP(_xlfn.XLOOKUP(B327,'Base stats'!B:B,'Base stats'!E:E),Groups!A:A,Groups!P:P)=0,"No",MROUND((LOG10(_xlfn.XLOOKUP(B327,'Base stats'!B:B,'Base stats'!AS:AS))*(AO327^0.5)+(_xlfn.XLOOKUP(B327,'Base stats'!B:B,'Base stats'!AS:AS)/1000)^(2/3)+_xlfn.XLOOKUP(B327,'Base stats'!B:B,'Base stats'!BA:BA))+_xlfn.XLOOKUP(B327,'Base stats'!B:B,'Base stats'!AY:AY)+0.5,0.5))</f>
        <v>17</v>
      </c>
      <c r="T327" s="7">
        <f>IF(S327="No","No",MAX(_xlfn.XLOOKUP(_xlfn.XLOOKUP(B327,'Base stats'!B:B,'Base stats'!E:E),Groups!A:A,Groups!Q:Q),MROUND(_xlfn.XLOOKUP(_xlfn.XLOOKUP(B327,'Base stats'!B:B,'Base stats'!E:E),Groups!A:A,Groups!Q:Q)*_xlfn.XLOOKUP(B327,'Base stats'!B:B,'Base stats'!C:C)^0.165,0.05)))</f>
        <v>2.6500000000000004</v>
      </c>
      <c r="U327" s="7" t="str">
        <f>IF(S327="No","No",_xlfn.XLOOKUP(_xlfn.XLOOKUP(B327,'Base stats'!B:B,'Base stats'!E:E),Groups!A:A,Groups!R:R))</f>
        <v>FrontLeftLeg, FrontRightLeg</v>
      </c>
      <c r="V327" s="7" t="str">
        <f>IF(S327="No","No",_xlfn.XLOOKUP(_xlfn.XLOOKUP(B327,'Base stats'!B:B,'Base stats'!E:E),Groups!A:A,Groups!S:S))</f>
        <v>left hoof, right hoof</v>
      </c>
      <c r="W327" s="7" t="str">
        <f>IF(S327="No","No",_xlfn.XLOOKUP(_xlfn.XLOOKUP(B327,'Base stats'!B:B,'Base stats'!E:E),Groups!A:A,Groups!T:T))</f>
        <v>Blunt</v>
      </c>
      <c r="X327" s="13">
        <f>IF(_xlfn.XLOOKUP(B327,'Base stats'!B:B,'Base stats'!W:W)="No","No",MROUND((LOG10(_xlfn.XLOOKUP(B327,'Base stats'!B:B,'Base stats'!AU:AU))*(AO327^0.5)+(_xlfn.XLOOKUP(B327,'Base stats'!B:B,'Base stats'!AU:AU)/1000)^(2/3)+_xlfn.XLOOKUP(B327,'Base stats'!B:B,'Base stats'!AZ:AZ))+0.5+IF(_xlfn.XLOOKUP(_xlfn.XLOOKUP(B327,'Base stats'!B:B,'Base stats'!E:E),Groups!A:A,Groups!U:U)&lt;&gt;3,_xlfn.XLOOKUP(B327,'Base stats'!B:B,'Base stats'!BA:BA),0),0.5))</f>
        <v>19</v>
      </c>
      <c r="Y327" s="7">
        <f>IF(X327="No","No",MAX(_xlfn.XLOOKUP(_xlfn.XLOOKUP(B327,'Base stats'!B:B,'Base stats'!E:E),Groups!A:A,Groups!V:V),MROUND(_xlfn.XLOOKUP(_xlfn.XLOOKUP(B327,'Base stats'!B:B,'Base stats'!E:E),Groups!A:A,Groups!V:V)*_xlfn.XLOOKUP(B327,'Base stats'!B:B,'Base stats'!C:C)^0.165,0.05)))</f>
        <v>2.25</v>
      </c>
      <c r="Z327" s="7" t="str">
        <f>IF(X327="No","No",_xlfn.XLOOKUP(_xlfn.XLOOKUP(B327,'Base stats'!B:B,'Base stats'!E:E),Groups!A:A,Groups!W:W))</f>
        <v>HeadAttackTool</v>
      </c>
      <c r="AA327" s="7" t="str">
        <f>IF(X327="No","No",_xlfn.XLOOKUP(_xlfn.XLOOKUP(B327,'Base stats'!B:B,'Base stats'!E:E),Groups!A:A,Groups!X:X))</f>
        <v>horn</v>
      </c>
      <c r="AB327" s="7" t="str">
        <f>IF(X327="No","No",_xlfn.XLOOKUP(_xlfn.XLOOKUP(B327,'Base stats'!B:B,'Base stats'!E:E),Groups!A:A,Groups!Y:Y))</f>
        <v>Blunt</v>
      </c>
      <c r="AC327" s="7" t="str">
        <f>_xlfn.XLOOKUP(Animals!B327,'Base stats'!B:B,'Base stats'!X:X)</f>
        <v>False</v>
      </c>
      <c r="AD327" s="13" t="str">
        <f>IF(_xlfn.XLOOKUP(B327,'Base stats'!B:B,'Base stats'!AT:AT)="No","No",MROUND((LOG10(_xlfn.XLOOKUP(B327,'Base stats'!B:B,'Base stats'!AT:AT))*(AO327^0.75)+(_xlfn.XLOOKUP(B327,'Base stats'!B:B,'Base stats'!AT:AT)/1000)^(2/3)+_xlfn.XLOOKUP(B327,'Base stats'!B:B,'Base stats'!AX:AX)+_xlfn.XLOOKUP(B327,'Base stats'!B:B,'Base stats'!BA:BA))+0.5,0.5))</f>
        <v>No</v>
      </c>
      <c r="AE327" s="7" t="str">
        <f>IF(AD327="No","No",MAX(_xlfn.XLOOKUP(_xlfn.XLOOKUP(B327,'Base stats'!B:B,'Base stats'!E:E),Groups!A:A,Groups!Z:Z),MROUND(_xlfn.XLOOKUP(_xlfn.XLOOKUP(B327,'Base stats'!B:B,'Base stats'!E:E),Groups!A:A,Groups!Z:Z)*_xlfn.XLOOKUP(B327,'Base stats'!B:B,'Base stats'!C:C)^0.165,0.05)))</f>
        <v>No</v>
      </c>
      <c r="AF327" s="7" t="str">
        <f>IF(AD327="No","No",_xlfn.XLOOKUP(_xlfn.XLOOKUP(B327,'Base stats'!B:B,'Base stats'!E:E),Groups!A:A,Groups!AA:AA))</f>
        <v>No</v>
      </c>
      <c r="AG327" s="7" t="str">
        <f>IF(AD327="No","No",_xlfn.XLOOKUP(_xlfn.XLOOKUP(B327,'Base stats'!B:B,'Base stats'!E:E),Groups!A:A,Groups!AB:AB))</f>
        <v>No</v>
      </c>
      <c r="AH327" s="7" t="str">
        <f>IF(AD327="No","No",_xlfn.XLOOKUP(_xlfn.XLOOKUP(B327,'Base stats'!B:B,'Base stats'!E:E),Groups!A:A,Groups!AC:AC))</f>
        <v>No</v>
      </c>
      <c r="AI327" s="13" t="str">
        <f>IF(_xlfn.XLOOKUP(_xlfn.XLOOKUP(B327,'Base stats'!B:B,'Base stats'!E:E),Groups!A:A,Groups!AD:AD)=0,"No",MROUND((LOG10(_xlfn.XLOOKUP(B327,'Base stats'!B:B,'Base stats'!AS:AS))*(AO327^0.75)+(_xlfn.XLOOKUP(B327,'Base stats'!B:B,'Base stats'!AS:AS)/1000)^(2/3)+_xlfn.XLOOKUP(B327,'Base stats'!B:B,'Base stats'!AY:AY)+_xlfn.XLOOKUP(B327,'Base stats'!B:B,'Base stats'!BA:BA))+0.5,0.5))</f>
        <v>No</v>
      </c>
      <c r="AJ327" s="7" t="str">
        <f>IF(AI327="No","No",MAX(_xlfn.XLOOKUP(_xlfn.XLOOKUP(B327,'Base stats'!B:B,'Base stats'!E:E),Groups!A:A,Groups!AE:AE),MROUND(_xlfn.XLOOKUP(_xlfn.XLOOKUP(B327,'Base stats'!B:B,'Base stats'!E:E),Groups!A:A,Groups!AE:AE)*IF(_xlfn.XLOOKUP(_xlfn.XLOOKUP(B327,'Base stats'!B:B,'Base stats'!E:E),Groups!A:A,Groups!AJ:AJ)="Photonozoa",0.6,1)*_xlfn.XLOOKUP(B327,'Base stats'!B:B,'Base stats'!C:C)^0.165,0.05)))</f>
        <v>No</v>
      </c>
      <c r="AK327" s="7" t="str">
        <f>IF(AI327="No","No",_xlfn.XLOOKUP(_xlfn.XLOOKUP(B327,'Base stats'!B:B,'Base stats'!E:E),Groups!A:A,Groups!AF:AF))</f>
        <v>No</v>
      </c>
      <c r="AL327" s="7" t="str">
        <f>IF(AI327="No","No",_xlfn.XLOOKUP(_xlfn.XLOOKUP(B327,'Base stats'!B:B,'Base stats'!E:E),Groups!A:A,Groups!AG:AG))</f>
        <v>No</v>
      </c>
      <c r="AM327" s="7" t="str">
        <f>IF(AI327="No","No",_xlfn.XLOOKUP(_xlfn.XLOOKUP(B327,'Base stats'!B:B,'Base stats'!E:E),Groups!A:A,Groups!AH:AH))</f>
        <v>No</v>
      </c>
      <c r="AN327" s="2" t="str">
        <f t="shared" si="35"/>
        <v>No</v>
      </c>
      <c r="AO327" s="2">
        <f>MROUND(IF(AND(_xlfn.XLOOKUP(B327,'Base stats'!B:B,'Base stats'!C:C)&gt;=0.5,_xlfn.XLOOKUP(B327,'Base stats'!B:B,'Base stats'!C:C)&lt;=0.8),
IF(_xlfn.XLOOKUP(B327,'Base stats'!B:B,'Base stats'!C:C)&lt;0.1,0.05,IF(_xlfn.XLOOKUP(B327,'Base stats'!B:B,'Base stats'!C:C)&lt;=70,(_xlfn.XLOOKUP(B327,'Base stats'!B:B,'Base stats'!C:C)/70)^0.426489913056526,IF(_xlfn.XLOOKUP(B327,'Base stats'!B:B,'Base stats'!C:C)&lt;=400,(_xlfn.XLOOKUP(B327,'Base stats'!B:B,'Base stats'!C:C)/70)^0.572811455315093,IF(_xlfn.XLOOKUP(B327,'Base stats'!B:B,'Base stats'!C:C)&lt;=2000,2.71391647193063*(_xlfn.XLOOKUP(B327,'Base stats'!B:B,'Base stats'!C:C)/400)^0.252459582904293,3.74314280240376*(_xlfn.XLOOKUP(B327,'Base stats'!B:B,'Base stats'!C:C)/2000)^0.357012633876913)))),
IF(_xlfn.XLOOKUP(B327,'Base stats'!B:B,'Base stats'!C:C)&lt;0.1,0.05,IF(_xlfn.XLOOKUP(B327,'Base stats'!B:B,'Base stats'!C:C)&lt;0.4,0.1,IF(_xlfn.XLOOKUP(B327,'Base stats'!B:B,'Base stats'!C:C)&lt;=70,(_xlfn.XLOOKUP(B327,'Base stats'!B:B,'Base stats'!C:C)/70)^0.445823913056526,IF(_xlfn.XLOOKUP(B327,'Base stats'!B:B,'Base stats'!C:C)&lt;=400,(_xlfn.XLOOKUP(B327,'Base stats'!B:B,'Base stats'!C:C)/70)^0.572811455315093,IF(_xlfn.XLOOKUP(B327,'Base stats'!B:B,'Base stats'!C:C)&lt;=2000,2.71391647193063*(_xlfn.XLOOKUP(B327,'Base stats'!B:B,'Base stats'!C:C)/400)^0.252459582904293,3.74314280240376*(_xlfn.XLOOKUP(B327,'Base stats'!B:B,'Base stats'!C:C)/2000)^0.357012633876913)))))),
IF(_xlfn.XLOOKUP(B327,'Base stats'!B:B,'Base stats'!C:C)&lt;0.1,0.05,IF(_xlfn.XLOOKUP(B327,'Base stats'!B:B,'Base stats'!C:C)&lt;=100,0.05,IF(_xlfn.XLOOKUP(B327,'Base stats'!B:B,'Base stats'!C:C)&lt;=250,0.1,IF(_xlfn.XLOOKUP(B327,'Base stats'!B:B,'Base stats'!C:C)&lt;=4000,0.25,0.5)))))</f>
        <v>2.5</v>
      </c>
      <c r="AP327" s="8">
        <f>MROUND(AO327*_xlfn.XLOOKUP(_xlfn.XLOOKUP(B327,'Base stats'!B:B,'Base stats'!E:E),Groups!A:A,Groups!AI:AI)*_xlfn.XLOOKUP(B327,'Base stats'!B:B,'Base stats'!Z:Z),0.05)</f>
        <v>2.5</v>
      </c>
      <c r="AQ327" s="8">
        <f>MAX(0.01,MROUND(IF(CC327="True",0.196*(AO327*100*1000)^0.889,IF(_xlfn.XLOOKUP(_xlfn.XLOOKUP(B327,'Base stats'!B:B,'Base stats'!E:E),Groups!A:A,Groups!AJ:AJ)="Bird",10.5*(AO327*100*1000)^0.681,4.82*(AO327*100*1000)^0.734))/(4.82*(1*100*1000)^0.734)/IF(AO327&lt;3.5,2,IF(AO327=3.5,1.5,1.25))*(1+0.132282374779864/(AO327^0.994035016789033+0.00905238001496948)),0.05))</f>
        <v>1.05</v>
      </c>
      <c r="AR327" s="9">
        <f>IFERROR(MROUND(_xlfn.XLOOKUP(B327,'Base stats'!B:B,'Base stats'!H:H)/IF(_xlfn.XLOOKUP(B327,'Base stats'!B:B,'Base stats'!I:I)&lt;&gt;1,(122.5/70),1.2),IF(_xlfn.XLOOKUP(B327,'Base stats'!B:B,'Base stats'!H:H)&gt;=30,5,IF(_xlfn.XLOOKUP(B327,'Base stats'!B:B,'Base stats'!H:H)&gt;=15,3,IF(_xlfn.XLOOKUP(B327,'Base stats'!B:B,'Base stats'!H:H)&gt;=10,2,1)))),"Immortal")</f>
        <v>15</v>
      </c>
      <c r="AS327" s="35">
        <f>IFERROR(IF(OR(_xlfn.XLOOKUP(B327,'Base stats'!B:B,'Base stats'!F:F)="Atypical reproduction",_xlfn.XLOOKUP(B327,'Base stats'!B:B,'Base stats'!F:F)="Lay eggs"),"Lay eggs",MIN(20,MAX(5.5,ROUND(((_xlfn.XLOOKUP(B327,'Base stats'!B:B,'Base stats'!F:F)-25)*(14.5/615) + 5.5)*2,0)/2))),"Unknown")</f>
        <v>10</v>
      </c>
      <c r="AT327" s="8">
        <f>IF(_xlfn.XLOOKUP(B327,'Base stats'!B:B,'Base stats'!G:G)="Atypical reproduction","No",IFERROR(MAX(IF(_xlfn.XLOOKUP(B327,'Base stats'!B:B,'Base stats'!G:G)&lt;0.5,0.2,0.3),MROUND(_xlfn.XLOOKUP(B327,'Base stats'!B:B,'Base stats'!G:G)/(365/60),0.2)),"Unknown"))</f>
        <v>0.4</v>
      </c>
      <c r="AU327" s="8">
        <f t="shared" si="36"/>
        <v>0.2</v>
      </c>
      <c r="AV327" s="8">
        <f>IFERROR(IFERROR(MROUND(_xlfn.XLOOKUP(B327,'Base stats'!B:B,'Base stats'!J:J),0.1),"Lay eggs"),"Cannot breed")</f>
        <v>1</v>
      </c>
      <c r="AW327" s="2" t="str">
        <f t="shared" si="37"/>
        <v>true</v>
      </c>
      <c r="AX327" s="2" t="str">
        <f>IF(_xlfn.XLOOKUP(_xlfn.XLOOKUP(Animals!B327,'Base stats'!B:B,'Base stats'!E:E),Groups!A:A,Groups!AK:AK)=1,"true","false")</f>
        <v>true</v>
      </c>
      <c r="AY327" s="25" t="str">
        <f>IF(_xlfn.XLOOKUP(B327,'Base stats'!B:B,'Base stats'!Y:Y)="Liquor","Liquor, CarnivoreAnimalStrict",IF(AND(_xlfn.XLOOKUP(B327,'Base stats'!B:B,'Base stats'!Y:Y)="Carnivore",_xlfn.XLOOKUP(_xlfn.XLOOKUP(B327,'Base stats'!B:B,'Base stats'!E:E),Groups!A:A,Groups!AJ:AJ)="Photonozoa"),"CarnivoreAnimalStrict, OvivoreAnimal",IF(_xlfn.XLOOKUP(B327,'Base stats'!B:B,'Base stats'!Y:Y)="Carnivore","CarnivoreAnimal, OvivoreAnimal",IF(_xlfn.XLOOKUP(B327,'Base stats'!B:B,'Base stats'!Y:Y)="Dendrovore","VegetarianRoughAnimal, DendrovoreAnimal",IF(_xlfn.XLOOKUP(B327,'Base stats'!B:B,'Base stats'!Y:Y)="Herbivore","VegetarianRoughAnimal",IF(_xlfn.XLOOKUP(B327,'Base stats'!B:B,'Base stats'!Y:Y)="OmnivoreRough","OmnivoreRoughAnimal, OvivoreAnimal","OmnivoreAnimal, OvivoreAnimal"))))))</f>
        <v>VegetarianRoughAnimal</v>
      </c>
      <c r="AZ327" s="2">
        <f>IF(_xlfn.XLOOKUP(_xlfn.XLOOKUP(B327,'Base stats'!B:B,'Base stats'!E:E),Groups!A:A,Groups!D:D)=1,MROUND((1-J327)*5+1,2)*IF(J327&lt;=0.4,2,1),"No")</f>
        <v>2</v>
      </c>
      <c r="BA327" s="2" t="str">
        <f>IF(AND(_xlfn.XLOOKUP(B327,'Base stats'!B:B,'Base stats'!AH:AH)="&lt;li&gt;Seal&lt;/li&gt;",G327="Odyssey"),"&lt;li&gt;AEXP_Seal&lt;/li&gt;",_xlfn.XLOOKUP(B327,'Base stats'!B:B,'Base stats'!AH:AH))</f>
        <v>&lt;li&gt;Sheep&lt;/li&gt;</v>
      </c>
      <c r="BB327" s="2" t="str">
        <f>_xlfn.XLOOKUP(B327,'Base stats'!B:B,'Base stats'!AG:AG)</f>
        <v>Leather_Night</v>
      </c>
      <c r="BC327" s="23" t="str">
        <f>_xlfn.XLOOKUP(_xlfn.XLOOKUP(B327,'Base stats'!B:B,'Base stats'!E:E),Groups!A:A,Groups!AL:AL)</f>
        <v>QuadrupedAnimalWithHooves</v>
      </c>
      <c r="BD327" s="23">
        <f>MIN(1,MROUND(IF(AND(AO327&lt;0.5,_xlfn.XLOOKUP(B327,'Base stats'!B:B,'Base stats'!AA:AA)=0),0,IF(OR(_xlfn.XLOOKUP(Animals!B327,'Base stats'!B:B,'Base stats'!O:O)=2,_xlfn.XLOOKUP(_xlfn.XLOOKUP(B327,'Base stats'!B:B,'Base stats'!E:E),Groups!A:A,Groups!AN:AN)=0),0,_xlfn.XLOOKUP(_xlfn.XLOOKUP(B327,'Base stats'!B:B,'Base stats'!E:E),Groups!A:A,Groups!AN:AN)/IF(_xlfn.XLOOKUP(Animals!B327,'Base stats'!B:B,'Base stats'!O:O)=1,2,1)))+_xlfn.XLOOKUP(B327,'Base stats'!B:B,'Base stats'!AC:AC),0.005))</f>
        <v>0</v>
      </c>
      <c r="BE327" s="23">
        <f>MIN(1,MROUND(IF(AND(AO327&lt;0.5,_xlfn.XLOOKUP(B327,'Base stats'!B:B,'Base stats'!AA:AA)=0),0,IF(_xlfn.XLOOKUP(_xlfn.XLOOKUP(B327,'Base stats'!B:B,'Base stats'!E:E),Groups!A:A,Groups!AO:AO)=0,0,_xlfn.XLOOKUP(_xlfn.XLOOKUP(B327,'Base stats'!B:B,'Base stats'!E:E),Groups!A:A,Groups!AO:AO)/IF(_xlfn.XLOOKUP(Animals!B327,'Base stats'!B:B,'Base stats'!O:O)=2,3,1)))+_xlfn.XLOOKUP(B327,'Base stats'!B:B,'Base stats'!AD:AD),0.005))</f>
        <v>0</v>
      </c>
      <c r="BF327" s="2" t="str">
        <f>IF(J327&gt;0.3,"No",_xlfn.XLOOKUP(_xlfn.XLOOKUP(Animals!B327,'Base stats'!B:B,'Base stats'!E:E),Groups!A:A,Groups!AP:AP))</f>
        <v>No</v>
      </c>
      <c r="BG327" s="2" t="str">
        <f>IF(AND(J327&lt;=0.65,_xlfn.XLOOKUP(_xlfn.XLOOKUP(Animals!B327,'Base stats'!B:B,'Base stats'!E:E),Groups!A:A,Groups!AP:AP)&lt;&gt;"No",_xlfn.XLOOKUP(_xlfn.XLOOKUP(B327,'Base stats'!B:B,'Base stats'!E:E),Groups!A:A,Groups!D:D)=0),MROUND((80/3)*IF(_xlfn.XLOOKUP(B327,'Base stats'!B:B,'Base stats'!O:O)=2,0.2,AO327) + 24*(1-IF(BF327="No",0,BF327)) + 16/3, 12),"No")</f>
        <v>No</v>
      </c>
      <c r="BH327" s="2">
        <f>IF(AND(_xlfn.XLOOKUP(_xlfn.XLOOKUP(B327,'Base stats'!B:B,'Base stats'!E:E),Groups!A:A,Groups!AQ:AQ)=1,AO327&lt;=0.35),8,12)</f>
        <v>12</v>
      </c>
      <c r="BI327" s="2" t="str">
        <f>IF(_xlfn.XLOOKUP(_xlfn.XLOOKUP(B327,'Base stats'!B:B,'Base stats'!E:E),Groups!A:A,Groups!D:D)=0,_xlfn.XLOOKUP(_xlfn.XLOOKUP(B327,'Base stats'!B:B,'Base stats'!E:E),Groups!A:A,Groups!AR:AR),"None")</f>
        <v>None</v>
      </c>
      <c r="BJ327" s="2" t="str">
        <f>IF(AND(_xlfn.XLOOKUP(_xlfn.XLOOKUP(B327,'Base stats'!B:B,'Base stats'!E:E),Groups!A:A,Groups!AS:AS)=1,OR(_xlfn.XLOOKUP(B327,'Base stats'!B:B,'Base stats'!Y:Y)="Carnivore",_xlfn.XLOOKUP(B327,'Base stats'!B:B,'Base stats'!Y:Y)="Omnivore")),"true","false")</f>
        <v>false</v>
      </c>
      <c r="BK327" s="2" t="str">
        <f>IF(BJ327="true",MROUND(IF(AND(AO327&gt;0.5,OR(_xlfn.XLOOKUP(_xlfn.XLOOKUP(B327,'Base stats'!B:B,'Base stats'!E:E),Groups!A:A,Groups!AJ:AJ)="Photonozoa",_xlfn.XLOOKUP(_xlfn.XLOOKUP(B327,'Base stats'!B:B,'Base stats'!E:E),Groups!A:A,Groups!AJ:AJ)="Mammal")),Animals!AO327*1.75*IF(AW327="true",1.5,1),IF(AO327&lt;0.5,Animals!AO327*0.5,Animals!AO327)),IF(AO327&gt;2,0.5,IF(AO327&gt;0.5,0.25,0.1))),"No")</f>
        <v>No</v>
      </c>
      <c r="BL327" s="2">
        <f t="shared" si="38"/>
        <v>0</v>
      </c>
      <c r="BM327" s="25" t="str">
        <f>IF(_xlfn.XLOOKUP(B327,'Base stats'!B:B,'Base stats'!AN:AN)="Standard","No",MROUND((_xlfn.XLOOKUP(B327,'Base stats'!B:B,'Base stats'!AN:AN)/3.6)/I327,0.1))</f>
        <v>No</v>
      </c>
      <c r="BN327" s="25" t="str">
        <f t="shared" si="39"/>
        <v>false</v>
      </c>
      <c r="BO327" s="25" t="str">
        <f>IF(AND(OR(_xlfn.XLOOKUP(B327,'Base stats'!B:B,'Base stats'!Y:Y)="Carnivore",_xlfn.XLOOKUP(B327,'Base stats'!B:B,'Base stats'!Y:Y)="Omnivore",_xlfn.XLOOKUP(B327,'Base stats'!B:B,'Base stats'!Y:Y)="OmnivoreRough"),_xlfn.XLOOKUP(_xlfn.XLOOKUP(B327,'Base stats'!B:B,'Base stats'!E:E),Groups!A:A,Groups!AT:AT)=1),"true","false")</f>
        <v>false</v>
      </c>
      <c r="BP327" s="25" t="str" cm="1">
        <f t="array" ref="BP327">IF(
  _xlfn.TEXTJOIN(", ",TRUE,
    IF(AND(BJ327="true",AO327&gt;0.5,BI327&lt;&gt;"None"),"AttackTarget",""),
    IF(AND(_xlfn.XLOOKUP(_xlfn.XLOOKUP(B327,'Base stats'!B:B,'Base stats'!E:E),Groups!A:A,Groups!AJ:AJ="Mammal"),OR(_xlfn.XLOOKUP(B327,'Base stats'!B:B,'Base stats'!Y:Y)="Omnivore",_xlfn.XLOOKUP(B327,'Base stats'!B:B,'Base stats'!Y:Y)="OmnivoreRough")),"Forage",""),
    IF(BG327&lt;=36,"Comfort",""),
    IF(_xlfn.XLOOKUP(B327,'Base stats'!B:B,'Base stats'!AE:AE)&lt;&gt;"No",_xlfn.XLOOKUP(B327,'Base stats'!B:B,'Base stats'!AE:AE),"")
  ) = "",
  "No",
  _xlfn.TEXTJOIN(", ",TRUE,
    IF(AND(BJ327="true",AO327&gt;0.5,BI327&lt;&gt;"None"),"AttackTarget",""),
    IF(AND(_xlfn.XLOOKUP(_xlfn.XLOOKUP(B327,'Base stats'!B:B,'Base stats'!E:E),Groups!A:A,Groups!AJ:AJ="Mammal"),OR(_xlfn.XLOOKUP(B327,'Base stats'!B:B,'Base stats'!Y:Y)="Omnivore",_xlfn.XLOOKUP(B327,'Base stats'!B:B,'Base stats'!Y:Y)="OmnivoreRough")),"Forage",""),
    IF(BG327&lt;=36,"Comfort",""),
    IF(_xlfn.XLOOKUP(B327,'Base stats'!B:B,'Base stats'!AE:AE)&lt;&gt;"No",_xlfn.XLOOKUP(B327,'Base stats'!B:B,'Base stats'!AE:AE),"")
  )
)</f>
        <v>No</v>
      </c>
      <c r="BQ327" s="25" t="str">
        <f>IF(
   AND(
      'Base stats'!AN327="Standard",_xlfn.XLOOKUP(_xlfn.XLOOKUP(B327,'Base stats'!B:B,'Base stats'!E:E),Groups!A:A,Groups!AU:AU)=0,
      OR(
      BO327="True"
      )
   ),
   10,
   IF(
       OR(BM327&lt;&gt;"No",_xlfn.XLOOKUP(_xlfn.XLOOKUP(B327,'Base stats'!B:B,'Base stats'!E:E),Groups!A:A,Groups!AU:AU)=1),
      1,
      "No"
   )
)</f>
        <v>No</v>
      </c>
      <c r="BR327" s="9">
        <f>MROUND((1 + ((0.2*IF(OR(Q327="No",R327="No",R327=0),0,Q327/R327)
+IF(OR(V327="No",S327="No",T327="No"),0,S327/T327*(LEN(V327)-LEN(SUBSTITUTE(V327,",",""))+1))
+IF(OR(X327="No",Y327="No"),0,X327/Y327)
+IF(OR(AD327="No",AE327="No"),0,AD327/AE327)
+IF(OR(AL327="No",AI327="No",AJ327="No"),0,AI327/AJ327*(LEN(AL327)-LEN(SUBSTITUTE(AL327,",",""))+1))
)/(0.2*IF(OR(Q327="No",R327="No",R327=0),0,1)
+IF(OR(V327="No",S327="No",T327="No"),0,LEN(V327)-LEN(SUBSTITUTE(V327,",",""))+1)
+IF(OR(X327="No",Y327="No"),0,1)
+IF(OR(AD327="No",AE327="No"),0,1)
+IF(OR(AL327="No",AI327="No",AJ327="No"),0,LEN(AL327)-LEN(SUBSTITUTE(AL327,",",""))+1))*62%)* 2)*(1 + (AP327 / (IF(_xlfn.XLOOKUP(_xlfn.XLOOKUP(B327,'Base stats'!B:B,'Base stats'!E:E),Groups!A:A,Groups!AJ:AJ)="Photonozoa",0.3,1)) + _xlfn.XLOOKUP(B327,'Base stats'!B:B,'Base stats'!AV:AV) * 1.8) * 2) * 2.5 + 10 + I327 * 2,5)+IF(_xlfn.XLOOKUP(B327,'Base stats'!B:B,'Base stats'!AK:AK)=1,50,0)</f>
        <v>165</v>
      </c>
      <c r="BS327" s="8">
        <f t="shared" si="40"/>
        <v>1.35</v>
      </c>
      <c r="BT327" s="8" t="str">
        <f>_xlfn.XLOOKUP(B327,'Base stats'!B:B,'Base stats'!AF:AF)</f>
        <v>3~10</v>
      </c>
      <c r="BU327" s="2" t="str">
        <f>IF(AND(J327&lt;=0.95,OR(_xlfn.XLOOKUP(B327,'Base stats'!B:B,'Base stats'!AK:AK)=1,_xlfn.XLOOKUP(B327,'Base stats'!B:B,'Base stats'!Y:Y)="Carnivore",_xlfn.XLOOKUP(B327,'Base stats'!B:B,'Base stats'!Y:Y)="Omnivore",BE327&gt;0.1)),"true","false")</f>
        <v>false</v>
      </c>
      <c r="BV327" s="2" t="str">
        <f>IF(_xlfn.XLOOKUP(B327,'Base stats'!B:B,'Base stats'!AI:AI)=1,"true","false")</f>
        <v>false</v>
      </c>
      <c r="BW327" s="25" t="str">
        <f>IF(E327="BaseInsect","AnimalInsect",
IF(J327&gt;0.95,"AnimalExotic",
_xlfn.TEXTJOIN(", ",TRUE,
IF(OR(_xlfn.XLOOKUP(B327,'Base stats'!B:B,'Base stats'!AM:AM)=1,AND(_xlfn.XLOOKUP(B327,'Base stats'!B:B,'Base stats'!O:O)=0,_xlfn.XLOOKUP(_xlfn.XLOOKUP(B327,'Base stats'!B:B,'Base stats'!E:E),Groups!A:A,Groups!B:B)&gt;0)),"AnimalUncommon","AnimalCommon"),
IF(AND(_xlfn.XLOOKUP(B327,'Base stats'!B:B,'Base stats'!O:O)=2,_xlfn.XLOOKUP(_xlfn.XLOOKUP(B327,'Base stats'!B:B,'Base stats'!E:E),Groups!A:A,Groups!D:D)=0),"AnimalPet",IF(AND(_xlfn.XLOOKUP(B327,'Base stats'!B:B,'Base stats'!O:O)&lt;&gt;0,_xlfn.XLOOKUP(_xlfn.XLOOKUP(B327,'Base stats'!B:B,'Base stats'!E:E),Groups!A:A,Groups!D:D)&lt;&gt;0),"AnimalFarm","")),
IF(OR(_xlfn.XLOOKUP(B327,'Base stats'!B:B,'Base stats'!AK:AK)=1,AND(BI327&lt;&gt;"None",BR327&gt;=60),ISNUMBER(SEARCH("Attack target",BP327))),"AnimalFighter","")
)))</f>
        <v>AnimalCommon</v>
      </c>
      <c r="BX327" s="25" t="str">
        <f>IF(G327="None",TRIM(
SUBSTITUTE(
IF(COUNTIF(Biomes!B$2:B$259,"="&amp;$C327)&gt;0,Biomes!B$1&amp;", ","")&amp;
IF(COUNTIF(Biomes!C$2:C$259,"="&amp;$C327)&gt;0,Biomes!C$1&amp;", ","")&amp;
IF(COUNTIF(Biomes!D$2:D$259,"="&amp;$C327)&gt;0,Biomes!D$1&amp;", ","")&amp;
IF(COUNTIF(Biomes!F$2:F$259,"="&amp;$C327)&gt;0,Biomes!F$1&amp;", ","")&amp;
IF(COUNTIF(Biomes!G$2:G$259,"="&amp;$C327)&gt;0,Biomes!G$1&amp;", ","")&amp;
IF(COUNTIF(Biomes!H$2:H$259,"="&amp;$C327)&gt;0,Biomes!H$1&amp;", ","")&amp;
IF(COUNTIF(Biomes!I$2:I$259,"="&amp;$C327)&gt;0,Biomes!I$1&amp;", ","")&amp;
IF(COUNTIF(Biomes!J$2:J$259,"="&amp;$C327)&gt;0,Biomes!J$1&amp;", ","")&amp;
IF(COUNTIF(Biomes!M$2:M$259,"="&amp;$C327)&gt;0,Biomes!M$1&amp;", ","")&amp;
IF(COUNTIF(Biomes!N$2:N$259,"="&amp;$C327)&gt;0,Biomes!N$1&amp;", ","")&amp;
IF(COUNTIF(Biomes!O$2:O$259,"="&amp;$C327)&gt;0,Biomes!O$1&amp;", ","")&amp;
IF(COUNTIF(Biomes!P$2:P$259,"="&amp;$C327)&gt;0,Biomes!P$1&amp;", ","")&amp;
IF(COUNTIF(Biomes!K$2:K$259,"="&amp;$C327)&gt;0,Biomes!K$1&amp;", ","")&amp;
IF(COUNTIF(Biomes!Q$3:Q$259,"="&amp;$C327)&gt;0,Biomes!Q$1&amp;", ","")&amp;
IF(COUNTIF(Biomes!L$2:L$259,"="&amp;$C327)&gt;0,Biomes!L$1&amp;", ","")&amp;
IF(COUNTIF(Biomes!E$2:E$259,"="&amp;$C327)&gt;0,Biomes!E$1&amp;", ","")&amp;IF(COUNTIF(Biomes!S$2:S$259,"="&amp;$C327)&gt;0,Biomes!S$1&amp;", ","")&amp;
IF(COUNTIF(Biomes!R$2:R$259,"="&amp;$C327)&gt;0,Biomes!R$1&amp;", ",""),", ","")
),_xlfn.XLOOKUP(B327,B:B,BX:BX))</f>
        <v>Glowforest</v>
      </c>
      <c r="BY327" s="25" t="str">
        <f>IF(_xlfn.XLOOKUP(B327,'Base stats'!B:B,'Base stats'!AJ:AJ)=1,"true","false")</f>
        <v>false</v>
      </c>
      <c r="BZ327" s="25">
        <f>IF(_xlfn.XLOOKUP(B327,'Base stats'!B:B,'Base stats'!N:N)=1,"No",MAX(0.001,MIN(MROUND(IF(AND(BJ327="True",CC327="False"),POWER(10,3.47*LOG10(_xlfn.XLOOKUP(B327,'Base stats'!B:B,'Base stats'!C:C)*1000)^-0.96),POWER(10,4.15*LOG10(_xlfn.XLOOKUP(B327,'Base stats'!B:B,'Base stats'!C:C)*1000)^-0.73))*IF(_xlfn.XLOOKUP(B327,'Base stats'!B:B,'Base stats'!AK:AK)=1,0.5,1)*IF(_xlfn.XLOOKUP(B327,'Base stats'!B:B,'Base stats'!AM:AM)=1,0.1,1)/100,IF(_xlfn.XLOOKUP(B327,'Base stats'!B:B,'Base stats'!AM:AM)=1,0.001,0.025)),0.5)))</f>
        <v>0.15000000000000002</v>
      </c>
      <c r="CA327" s="25" t="str">
        <f>IF(P327="Standard","No",MAX(0.001,MIN(MROUND(IF(AND(BJ327="True",CC327="False"),POWER(10,3.47*LOG10(_xlfn.XLOOKUP(B327,'Base stats'!B:B,'Base stats'!C:C)*1000)^-0.96),POWER(10,4.15*LOG10(_xlfn.XLOOKUP(B327,'Base stats'!B:B,'Base stats'!C:C)*1000)^-0.73))*IF(_xlfn.XLOOKUP(B327,'Base stats'!B:B,'Base stats'!AM:AM)=1,0.1,1)*_xlfn.XLOOKUP(B327,'Base stats'!B:B,'Base stats'!R:R)/100,IF(_xlfn.XLOOKUP(B327,'Base stats'!B:B,'Base stats'!AM:AM)=1,0.001,0.025)),0.5)))</f>
        <v>No</v>
      </c>
      <c r="CB327" s="25" t="str">
        <f>IF(_xlfn.XLOOKUP(_xlfn.XLOOKUP(B327,'Base stats'!B:B,'Base stats'!E:E),Groups!A:A,Groups!AJ:AJ)="Mammal","True","False")</f>
        <v>True</v>
      </c>
      <c r="CC327" s="25" t="str">
        <f>IF(OR(_xlfn.XLOOKUP(_xlfn.XLOOKUP(B327,'Base stats'!B:B,'Base stats'!E:E),Groups!A:A,Groups!AJ:AJ)="Reptile",_xlfn.XLOOKUP(_xlfn.XLOOKUP(B327,'Base stats'!B:B,'Base stats'!E:E),Groups!A:A,Groups!AJ:AJ)="Amphibian",_xlfn.XLOOKUP(_xlfn.XLOOKUP(B327,'Base stats'!B:B,'Base stats'!E:E),Groups!A:A,Groups!AJ:AJ)="Invertebrate"),"True","False")</f>
        <v>False</v>
      </c>
      <c r="CD327" s="25" t="str">
        <f t="shared" si="41"/>
        <v>False</v>
      </c>
      <c r="CE327" s="25" t="str">
        <f>IF(_xlfn.XLOOKUP(_xlfn.XLOOKUP(B327,'Base stats'!B:B,'Base stats'!E:E),Groups!A:A,Groups!AX:AX),"True","False")</f>
        <v>False</v>
      </c>
      <c r="CF327" s="25" t="str">
        <f>IF(_xlfn.XLOOKUP(_xlfn.XLOOKUP(B327,'Base stats'!B:B,'Base stats'!E:E),Groups!A:A,Groups!AY:AY),"True","False")</f>
        <v>False</v>
      </c>
      <c r="CG327" s="25" t="str">
        <f>IF(_xlfn.XLOOKUP(_xlfn.XLOOKUP(B327,'Base stats'!B:B,'Base stats'!E:E),Groups!A:A,Groups!AW:AW),"True","False")</f>
        <v>False</v>
      </c>
      <c r="CH327" s="25" t="str">
        <f>IF(
OR(
_xlfn.XLOOKUP(_xlfn.XLOOKUP(B327,'Base stats'!B:B,'Base stats'!E:E),Groups!A:A,Groups!AZ:AZ)=0,
AND(
_xlfn.XLOOKUP(B327,'Base stats'!B:B,'Base stats'!Y:Y)&lt;&gt;"Carnivore",
_xlfn.XLOOKUP(B327,'Base stats'!B:B,'Base stats'!Y:Y)&lt;&gt;"Omnivore",
_xlfn.XLOOKUP(B327,'Base stats'!B:B,'Base stats'!Y:Y)&lt;&gt;"OmnivoreRough"
)
),
"No",
IF(
_xlfn.XLOOKUP(_xlfn.XLOOKUP(B327,'Base stats'!B:B,'Base stats'!E:E),Groups!A:A,Groups!AZ:AZ)=1,
"Flesh",
IF(
_xlfn.XLOOKUP(_xlfn.XLOOKUP(B327,'Base stats'!B:B,'Base stats'!E:E),Groups!A:A,Groups!AZ:AZ)=2,
"Bone",
""
)
)
)</f>
        <v>No</v>
      </c>
      <c r="CI327" s="25" t="str">
        <f>IF(_xlfn.XLOOKUP(_xlfn.XLOOKUP(B327,'Base stats'!B:B,'Base stats'!E:E),Groups!A:A,Groups!BB:BB),"True","False")</f>
        <v>True</v>
      </c>
      <c r="CJ327" s="25" t="str">
        <f>IF(_xlfn.XLOOKUP(_xlfn.XLOOKUP(B327,'Base stats'!B:B,'Base stats'!E:E),Groups!A:A,Groups!BA:BA),"True","False")</f>
        <v>False</v>
      </c>
    </row>
    <row r="328" spans="1:88" ht="16.5" thickTop="1" thickBot="1" x14ac:dyDescent="0.3">
      <c r="A328" s="26" t="s">
        <v>1568</v>
      </c>
      <c r="B328" s="6" t="str">
        <f>_xlfn.XLOOKUP(A328,'Base stats'!A:A,'Base stats'!B:B)</f>
        <v>Capra electronica</v>
      </c>
      <c r="C328" s="28" t="s">
        <v>1569</v>
      </c>
      <c r="D328" s="28" t="s">
        <v>1341</v>
      </c>
      <c r="E328" s="28" t="s">
        <v>673</v>
      </c>
      <c r="F328" s="28" t="s">
        <v>673</v>
      </c>
      <c r="G328" s="28" t="s">
        <v>673</v>
      </c>
      <c r="H328" s="2">
        <f>MROUND((
  (IF(AND(_xlfn.XLOOKUP(B328,'Base stats'!B:B,'Base stats'!AL:AL)=0,BI328="None",_xlfn.XLOOKUP(_xlfn.XLOOKUP(B328,'Base stats'!B:B,'Base stats'!E:E),Groups!A:A,Groups!B:B)=0), (18 + BR328 * 2.7) * 0.5,
    IF(AND(_xlfn.XLOOKUP(B328,'Base stats'!B:B,'Base stats'!AL:AL)=0,OR(AO328&lt;0.55,AND(BI328="Intermediate",_xlfn.XLOOKUP(_xlfn.XLOOKUP(B328,'Base stats'!B:B,'Base stats'!E:E),Groups!A:A,Groups!B:B)&lt;2))), (18 + BR328 * 2.7),
      IF(OR(BI328="Advanced",_xlfn.XLOOKUP(B328,'Base stats'!B:B,'Base stats'!AL:AL)=1,_xlfn.XLOOKUP(_xlfn.XLOOKUP(B328,'Base stats'!B:B,'Base stats'!E:E),Groups!A:A,Groups!B:B)=2), (18 + BR328 * 2.7) + 250, (18 + BR328 * 2.7))
    )
  ))
  + AO328 * 80
  + IF(COUNTIF(EggMilk!K$2:K$998, A328) &gt; 0, 125, 0)
  + IF(COUNTIF(EggMilk!P$2:P$998, A328) &gt; 0, 90, 0)
  + IF(COUNTIF(EggMilk!A$2:A$998, A328) &gt; 0, 90, 0)
)
* (0.8 + 0.4 * J328)
* 0.75,25)</f>
        <v>125</v>
      </c>
      <c r="I328" s="2">
        <f>MROUND(ROUNDDOWN(_xlfn.XLOOKUP(B328,'Base stats'!B:B,'Base stats'!L:L)/3.6/(23.3/11),1),0.5)</f>
        <v>6</v>
      </c>
      <c r="J328" s="2">
        <f>IF(OR(_xlfn.XLOOKUP(B328,'Base stats'!B:B,'Base stats'!AB:AB)=1,_xlfn.XLOOKUP(_xlfn.XLOOKUP(B328,'Base stats'!B:B,'Base stats'!E:E),Groups!A:A,Groups!C:C)="Untamable"),1,IF(_xlfn.XLOOKUP(B328,'Base stats'!B:B,'Base stats'!AL:AL)=1,0.99,MIN(MROUND((1-0.6282*EXP(-0.459*AO328))*_xlfn.XLOOKUP(_xlfn.XLOOKUP(B328,'Base stats'!B:B,'Base stats'!E:E),Groups!A:A,Groups!C:C)*IF(_xlfn.XLOOKUP(B328,'Base stats'!B:B,'Base stats'!O:O)=1,0.5,IF(_xlfn.XLOOKUP(B328,'Base stats'!B:B,'Base stats'!O:O)=2,0,1)),0.05),IF(AO328&gt;3.5,0.985,0.95))))</f>
        <v>0</v>
      </c>
      <c r="K328" s="2">
        <f>ROUNDUP(AO328*_xlfn.XLOOKUP(_xlfn.XLOOKUP(B328,'Base stats'!B:B,'Base stats'!E:E),Groups!A:A,Groups!E:E),0)</f>
        <v>6</v>
      </c>
      <c r="L328" s="2">
        <f>IF(OR(_xlfn.XLOOKUP(_xlfn.XLOOKUP(B328,'Base stats'!B:B,'Base stats'!E:E),Groups!A:A,Groups!F:F)=2,ISNUMBER(SEARCH("SeaIce",BX328)),ISNUMBER(SEARCH("IceSheet",BX328))),-50,IF(OR(ISNUMBER(SEARCH("GlacialPlain",BX328)),ISNUMBER(SEARCH("Tundra",BX328))),-40,IF(OR(ISNUMBER(SEARCH("Alpine",BX328)),ISNUMBER(SEARCH("BorealForest",BX328)),ISNUMBER(SEARCH("ColdBog",BX328))),-30,IF(OR(ISNUMBER(SEARCH("TemperateForest",BX328)),ISNUMBER(SEARCH("TemperateSwamp",BX328))),-20,IF(_xlfn.XLOOKUP(_xlfn.XLOOKUP(B328,'Base stats'!B:B,'Base stats'!E:E),Groups!A:A,Groups!F:F)=1,-15,IF(OR(ISNUMBER(SEARCH("Desert",BX328)),ISNUMBER(SEARCH("ExtremeDesert",BX328))),-10,IF(OR(ISNUMBER(SEARCH("Grasslands",BX328)),ISNUMBER(SEARCH("TropicalRainforest",BX328)),ISNUMBER(SEARCH("TropicalSwamp",BX328))),10,0)))))))-IF(CC328="False",MIN(IFERROR(MAX(MROUND(LOG10(_xlfn.XLOOKUP(B328,'Base stats'!B:B,'Base stats'!C:C)^(2/3))*10,5),5),5),30))-_xlfn.XLOOKUP(B328,'Base stats'!B:B,'Base stats'!P:P)+IF(CC328="True",5,0)</f>
        <v>-30</v>
      </c>
      <c r="M328" s="2">
        <f>IF(OR(_xlfn.XLOOKUP(_xlfn.XLOOKUP(B328,'Base stats'!B:B,'Base stats'!E:E),Groups!A:A,Groups!G:G)=2,ISNUMBER(SEARCH("Desert",BX328)),ISNUMBER(SEARCH("ExtremeDesert",BX328)),ISNUMBER(SEARCH("LavaField",BX328))),50,IF(ISNUMBER(SEARCH("Grasslands",BX328)),45,IF(OR(_xlfn.XLOOKUP(_xlfn.XLOOKUP(B328,'Base stats'!B:B,'Base stats'!E:E),Groups!A:A,Groups!G:G)=1,ISNUMBER(SEARCH("TropicalRainforest",BX328)),ISNUMBER(SEARCH("TropicalSwamp",BX328))),40,IF(OR(ISNUMBER(SEARCH("TemperateForest",BX328)),ISNUMBER(SEARCH("TemperateSwamp",BX328))),35,IF(OR(ISNUMBER(SEARCH("Alpine",BX328)),ISNUMBER(SEARCH("BorealForest",BX328)),ISNUMBER(SEARCH("ColdBog",BX328))),30,IF(ISNUMBER(OR(ISNUMBER(SEARCH("GlacialPlain",BX328)),SEARCH("Tundra",BX328))),25,IF(OR(ISNUMBER(SEARCH("SeaIce",BX328)),ISNUMBER(SEARCH("IceSheet",BX328)),ISNUMBER(SEARCH("TropicalSwamp",BX328))),10,35)))))))+_xlfn.XLOOKUP(B328,'Base stats'!B:B,'Base stats'!Q:Q)</f>
        <v>35</v>
      </c>
      <c r="N328" s="8" t="str">
        <f>IF(
_xlfn.XLOOKUP(
_xlfn.XLOOKUP(B328,'Base stats'!B:B,'Base stats'!E:E),
Groups!A:A,
Groups!L:L
)=1,
MIN(
MROUND(
IF(
_xlfn.XLOOKUP(B328,'Animals CE'!B:B,'Animals CE'!Z:Z)&lt;=1.5,
_xlfn.XLOOKUP(B328,'Animals CE'!B:B,'Animals CE'!Z:Z)/2+0.05,
0.8+
(_xlfn.XLOOKUP(B328,'Animals CE'!B:B,'Animals CE'!Z:Z)-1.5)
*0.02
),
0.05
),
200%
),
"No"
)</f>
        <v>No</v>
      </c>
      <c r="O328" s="8" t="str">
        <f>IF(
_xlfn.XLOOKUP(
_xlfn.XLOOKUP(B328,'Base stats'!B:B,'Base stats'!E:E),
Groups!A:A,
Groups!L:L
)=1,
MIN(
MROUND(
IF(
_xlfn.XLOOKUP(B328,'Animals CE'!B:B,'Animals CE'!AA:AA)&lt;=1.5,
_xlfn.XLOOKUP(B328,'Animals CE'!B:B,'Animals CE'!AA:AA)/2+0.05,
0.8+
(_xlfn.XLOOKUP(B328,'Animals CE'!B:B,'Animals CE'!AA:AA)-1.5)
*0.02
),
0.05
),
200%
),
"No"
)</f>
        <v>No</v>
      </c>
      <c r="P328" s="2" t="str">
        <f>_xlfn.XLOOKUP(B328,'Base stats'!B:B,'Base stats'!R:R)</f>
        <v>Standard</v>
      </c>
      <c r="Q328" s="13">
        <f>MROUND((LOG10(_xlfn.XLOOKUP(B328,'Base stats'!B:B,'Base stats'!AR:AR))*(AO328^0.5)+(_xlfn.XLOOKUP(B328,'Base stats'!B:B,'Base stats'!AR:AR)/1000)^(2/3)+_xlfn.XLOOKUP(B328,'Base stats'!B:B,'Base stats'!BA:BA)/2)+0.5,0.5)</f>
        <v>8</v>
      </c>
      <c r="R328" s="7">
        <f>IF(Q328="No","No",MAX(1,MROUND(_xlfn.XLOOKUP(B328,'Base stats'!B:B,'Base stats'!C:C)^0.165,0.05)))</f>
        <v>2.1</v>
      </c>
      <c r="S328" s="13">
        <f>IF(_xlfn.XLOOKUP(_xlfn.XLOOKUP(B328,'Base stats'!B:B,'Base stats'!E:E),Groups!A:A,Groups!P:P)=0,"No",MROUND((LOG10(_xlfn.XLOOKUP(B328,'Base stats'!B:B,'Base stats'!AS:AS))*(AO328^0.5)+(_xlfn.XLOOKUP(B328,'Base stats'!B:B,'Base stats'!AS:AS)/1000)^(2/3)+_xlfn.XLOOKUP(B328,'Base stats'!B:B,'Base stats'!BA:BA))+_xlfn.XLOOKUP(B328,'Base stats'!B:B,'Base stats'!AY:AY)+0.5,0.5))</f>
        <v>10</v>
      </c>
      <c r="T328" s="7">
        <f>IF(S328="No","No",MAX(_xlfn.XLOOKUP(_xlfn.XLOOKUP(B328,'Base stats'!B:B,'Base stats'!E:E),Groups!A:A,Groups!Q:Q),MROUND(_xlfn.XLOOKUP(_xlfn.XLOOKUP(B328,'Base stats'!B:B,'Base stats'!E:E),Groups!A:A,Groups!Q:Q)*_xlfn.XLOOKUP(B328,'Base stats'!B:B,'Base stats'!C:C)^0.165,0.05)))</f>
        <v>2.1</v>
      </c>
      <c r="U328" s="7" t="str">
        <f>IF(S328="No","No",_xlfn.XLOOKUP(_xlfn.XLOOKUP(B328,'Base stats'!B:B,'Base stats'!E:E),Groups!A:A,Groups!R:R))</f>
        <v>FrontLeftLeg, FrontRightLeg</v>
      </c>
      <c r="V328" s="7" t="str">
        <f>IF(S328="No","No",_xlfn.XLOOKUP(_xlfn.XLOOKUP(B328,'Base stats'!B:B,'Base stats'!E:E),Groups!A:A,Groups!S:S))</f>
        <v>left hoof, right hoof</v>
      </c>
      <c r="W328" s="7" t="str">
        <f>IF(S328="No","No",_xlfn.XLOOKUP(_xlfn.XLOOKUP(B328,'Base stats'!B:B,'Base stats'!E:E),Groups!A:A,Groups!T:T))</f>
        <v>Blunt</v>
      </c>
      <c r="X328" s="13">
        <f>IF(_xlfn.XLOOKUP(B328,'Base stats'!B:B,'Base stats'!W:W)="No","No",MROUND((LOG10(_xlfn.XLOOKUP(B328,'Base stats'!B:B,'Base stats'!AU:AU))*(AO328^0.5)+(_xlfn.XLOOKUP(B328,'Base stats'!B:B,'Base stats'!AU:AU)/1000)^(2/3)+_xlfn.XLOOKUP(B328,'Base stats'!B:B,'Base stats'!AZ:AZ))+0.5+IF(_xlfn.XLOOKUP(_xlfn.XLOOKUP(B328,'Base stats'!B:B,'Base stats'!E:E),Groups!A:A,Groups!U:U)&lt;&gt;3,_xlfn.XLOOKUP(B328,'Base stats'!B:B,'Base stats'!BA:BA),0),0.5))</f>
        <v>14.5</v>
      </c>
      <c r="Y328" s="7">
        <f>IF(X328="No","No",MAX(_xlfn.XLOOKUP(_xlfn.XLOOKUP(B328,'Base stats'!B:B,'Base stats'!E:E),Groups!A:A,Groups!V:V),MROUND(_xlfn.XLOOKUP(_xlfn.XLOOKUP(B328,'Base stats'!B:B,'Base stats'!E:E),Groups!A:A,Groups!V:V)*_xlfn.XLOOKUP(B328,'Base stats'!B:B,'Base stats'!C:C)^0.165,0.05)))</f>
        <v>1.8</v>
      </c>
      <c r="Z328" s="7" t="str">
        <f>IF(X328="No","No",_xlfn.XLOOKUP(_xlfn.XLOOKUP(B328,'Base stats'!B:B,'Base stats'!E:E),Groups!A:A,Groups!W:W))</f>
        <v>HeadAttackTool</v>
      </c>
      <c r="AA328" s="7" t="str">
        <f>IF(X328="No","No",_xlfn.XLOOKUP(_xlfn.XLOOKUP(B328,'Base stats'!B:B,'Base stats'!E:E),Groups!A:A,Groups!X:X))</f>
        <v>horn</v>
      </c>
      <c r="AB328" s="7" t="str">
        <f>IF(X328="No","No",_xlfn.XLOOKUP(_xlfn.XLOOKUP(B328,'Base stats'!B:B,'Base stats'!E:E),Groups!A:A,Groups!Y:Y))</f>
        <v>Blunt</v>
      </c>
      <c r="AC328" s="7" t="str">
        <f>_xlfn.XLOOKUP(Animals!B328,'Base stats'!B:B,'Base stats'!X:X)</f>
        <v>False</v>
      </c>
      <c r="AD328" s="13" t="str">
        <f>IF(_xlfn.XLOOKUP(B328,'Base stats'!B:B,'Base stats'!AT:AT)="No","No",MROUND((LOG10(_xlfn.XLOOKUP(B328,'Base stats'!B:B,'Base stats'!AT:AT))*(AO328^0.75)+(_xlfn.XLOOKUP(B328,'Base stats'!B:B,'Base stats'!AT:AT)/1000)^(2/3)+_xlfn.XLOOKUP(B328,'Base stats'!B:B,'Base stats'!AX:AX)+_xlfn.XLOOKUP(B328,'Base stats'!B:B,'Base stats'!BA:BA))+0.5,0.5))</f>
        <v>No</v>
      </c>
      <c r="AE328" s="7" t="str">
        <f>IF(AD328="No","No",MAX(_xlfn.XLOOKUP(_xlfn.XLOOKUP(B328,'Base stats'!B:B,'Base stats'!E:E),Groups!A:A,Groups!Z:Z),MROUND(_xlfn.XLOOKUP(_xlfn.XLOOKUP(B328,'Base stats'!B:B,'Base stats'!E:E),Groups!A:A,Groups!Z:Z)*_xlfn.XLOOKUP(B328,'Base stats'!B:B,'Base stats'!C:C)^0.165,0.05)))</f>
        <v>No</v>
      </c>
      <c r="AF328" s="7" t="str">
        <f>IF(AD328="No","No",_xlfn.XLOOKUP(_xlfn.XLOOKUP(B328,'Base stats'!B:B,'Base stats'!E:E),Groups!A:A,Groups!AA:AA))</f>
        <v>No</v>
      </c>
      <c r="AG328" s="7" t="str">
        <f>IF(AD328="No","No",_xlfn.XLOOKUP(_xlfn.XLOOKUP(B328,'Base stats'!B:B,'Base stats'!E:E),Groups!A:A,Groups!AB:AB))</f>
        <v>No</v>
      </c>
      <c r="AH328" s="7" t="str">
        <f>IF(AD328="No","No",_xlfn.XLOOKUP(_xlfn.XLOOKUP(B328,'Base stats'!B:B,'Base stats'!E:E),Groups!A:A,Groups!AC:AC))</f>
        <v>No</v>
      </c>
      <c r="AI328" s="13" t="str">
        <f>IF(_xlfn.XLOOKUP(_xlfn.XLOOKUP(B328,'Base stats'!B:B,'Base stats'!E:E),Groups!A:A,Groups!AD:AD)=0,"No",MROUND((LOG10(_xlfn.XLOOKUP(B328,'Base stats'!B:B,'Base stats'!AS:AS))*(AO328^0.75)+(_xlfn.XLOOKUP(B328,'Base stats'!B:B,'Base stats'!AS:AS)/1000)^(2/3)+_xlfn.XLOOKUP(B328,'Base stats'!B:B,'Base stats'!AY:AY)+_xlfn.XLOOKUP(B328,'Base stats'!B:B,'Base stats'!BA:BA))+0.5,0.5))</f>
        <v>No</v>
      </c>
      <c r="AJ328" s="7" t="str">
        <f>IF(AI328="No","No",MAX(_xlfn.XLOOKUP(_xlfn.XLOOKUP(B328,'Base stats'!B:B,'Base stats'!E:E),Groups!A:A,Groups!AE:AE),MROUND(_xlfn.XLOOKUP(_xlfn.XLOOKUP(B328,'Base stats'!B:B,'Base stats'!E:E),Groups!A:A,Groups!AE:AE)*IF(_xlfn.XLOOKUP(_xlfn.XLOOKUP(B328,'Base stats'!B:B,'Base stats'!E:E),Groups!A:A,Groups!AJ:AJ)="Photonozoa",0.6,1)*_xlfn.XLOOKUP(B328,'Base stats'!B:B,'Base stats'!C:C)^0.165,0.05)))</f>
        <v>No</v>
      </c>
      <c r="AK328" s="7" t="str">
        <f>IF(AI328="No","No",_xlfn.XLOOKUP(_xlfn.XLOOKUP(B328,'Base stats'!B:B,'Base stats'!E:E),Groups!A:A,Groups!AF:AF))</f>
        <v>No</v>
      </c>
      <c r="AL328" s="7" t="str">
        <f>IF(AI328="No","No",_xlfn.XLOOKUP(_xlfn.XLOOKUP(B328,'Base stats'!B:B,'Base stats'!E:E),Groups!A:A,Groups!AG:AG))</f>
        <v>No</v>
      </c>
      <c r="AM328" s="7" t="str">
        <f>IF(AI328="No","No",_xlfn.XLOOKUP(_xlfn.XLOOKUP(B328,'Base stats'!B:B,'Base stats'!E:E),Groups!A:A,Groups!AH:AH))</f>
        <v>No</v>
      </c>
      <c r="AN328" s="2" t="str">
        <f t="shared" si="35"/>
        <v>No</v>
      </c>
      <c r="AO328" s="2">
        <f>MROUND(IF(AND(_xlfn.XLOOKUP(B328,'Base stats'!B:B,'Base stats'!C:C)&gt;=0.5,_xlfn.XLOOKUP(B328,'Base stats'!B:B,'Base stats'!C:C)&lt;=0.8),
IF(_xlfn.XLOOKUP(B328,'Base stats'!B:B,'Base stats'!C:C)&lt;0.1,0.05,IF(_xlfn.XLOOKUP(B328,'Base stats'!B:B,'Base stats'!C:C)&lt;=70,(_xlfn.XLOOKUP(B328,'Base stats'!B:B,'Base stats'!C:C)/70)^0.426489913056526,IF(_xlfn.XLOOKUP(B328,'Base stats'!B:B,'Base stats'!C:C)&lt;=400,(_xlfn.XLOOKUP(B328,'Base stats'!B:B,'Base stats'!C:C)/70)^0.572811455315093,IF(_xlfn.XLOOKUP(B328,'Base stats'!B:B,'Base stats'!C:C)&lt;=2000,2.71391647193063*(_xlfn.XLOOKUP(B328,'Base stats'!B:B,'Base stats'!C:C)/400)^0.252459582904293,3.74314280240376*(_xlfn.XLOOKUP(B328,'Base stats'!B:B,'Base stats'!C:C)/2000)^0.357012633876913)))),
IF(_xlfn.XLOOKUP(B328,'Base stats'!B:B,'Base stats'!C:C)&lt;0.1,0.05,IF(_xlfn.XLOOKUP(B328,'Base stats'!B:B,'Base stats'!C:C)&lt;0.4,0.1,IF(_xlfn.XLOOKUP(B328,'Base stats'!B:B,'Base stats'!C:C)&lt;=70,(_xlfn.XLOOKUP(B328,'Base stats'!B:B,'Base stats'!C:C)/70)^0.445823913056526,IF(_xlfn.XLOOKUP(B328,'Base stats'!B:B,'Base stats'!C:C)&lt;=400,(_xlfn.XLOOKUP(B328,'Base stats'!B:B,'Base stats'!C:C)/70)^0.572811455315093,IF(_xlfn.XLOOKUP(B328,'Base stats'!B:B,'Base stats'!C:C)&lt;=2000,2.71391647193063*(_xlfn.XLOOKUP(B328,'Base stats'!B:B,'Base stats'!C:C)/400)^0.252459582904293,3.74314280240376*(_xlfn.XLOOKUP(B328,'Base stats'!B:B,'Base stats'!C:C)/2000)^0.357012633876913)))))),
IF(_xlfn.XLOOKUP(B328,'Base stats'!B:B,'Base stats'!C:C)&lt;0.1,0.05,IF(_xlfn.XLOOKUP(B328,'Base stats'!B:B,'Base stats'!C:C)&lt;=100,0.05,IF(_xlfn.XLOOKUP(B328,'Base stats'!B:B,'Base stats'!C:C)&lt;=250,0.1,IF(_xlfn.XLOOKUP(B328,'Base stats'!B:B,'Base stats'!C:C)&lt;=4000,0.25,0.5)))))</f>
        <v>1.1500000000000001</v>
      </c>
      <c r="AP328" s="8">
        <f>MROUND(AO328*_xlfn.XLOOKUP(_xlfn.XLOOKUP(B328,'Base stats'!B:B,'Base stats'!E:E),Groups!A:A,Groups!AI:AI)*_xlfn.XLOOKUP(B328,'Base stats'!B:B,'Base stats'!Z:Z),0.05)</f>
        <v>1.1500000000000001</v>
      </c>
      <c r="AQ328" s="8">
        <f>MAX(0.01,MROUND(IF(CC328="True",0.196*(AO328*100*1000)^0.889,IF(_xlfn.XLOOKUP(_xlfn.XLOOKUP(B328,'Base stats'!B:B,'Base stats'!E:E),Groups!A:A,Groups!AJ:AJ)="Bird",10.5*(AO328*100*1000)^0.681,4.82*(AO328*100*1000)^0.734))/(4.82*(1*100*1000)^0.734)/IF(AO328&lt;3.5,2,IF(AO328=3.5,1.5,1.25))*(1+0.132282374779864/(AO328^0.994035016789033+0.00905238001496948)),0.05))</f>
        <v>0.60000000000000009</v>
      </c>
      <c r="AR328" s="9">
        <f>IFERROR(MROUND(_xlfn.XLOOKUP(B328,'Base stats'!B:B,'Base stats'!H:H)/IF(_xlfn.XLOOKUP(B328,'Base stats'!B:B,'Base stats'!I:I)&lt;&gt;1,(122.5/70),1.2),IF(_xlfn.XLOOKUP(B328,'Base stats'!B:B,'Base stats'!H:H)&gt;=30,5,IF(_xlfn.XLOOKUP(B328,'Base stats'!B:B,'Base stats'!H:H)&gt;=15,3,IF(_xlfn.XLOOKUP(B328,'Base stats'!B:B,'Base stats'!H:H)&gt;=10,2,1)))),"Immortal")</f>
        <v>15</v>
      </c>
      <c r="AS328" s="35">
        <f>IFERROR(IF(OR(_xlfn.XLOOKUP(B328,'Base stats'!B:B,'Base stats'!F:F)="Atypical reproduction",_xlfn.XLOOKUP(B328,'Base stats'!B:B,'Base stats'!F:F)="Lay eggs"),"Lay eggs",MIN(20,MAX(5.5,ROUND(((_xlfn.XLOOKUP(B328,'Base stats'!B:B,'Base stats'!F:F)-25)*(14.5/615) + 5.5)*2,0)/2))),"Unknown")</f>
        <v>9</v>
      </c>
      <c r="AT328" s="8">
        <f>IF(_xlfn.XLOOKUP(B328,'Base stats'!B:B,'Base stats'!G:G)="Atypical reproduction","No",IFERROR(MAX(IF(_xlfn.XLOOKUP(B328,'Base stats'!B:B,'Base stats'!G:G)&lt;0.5,0.2,0.3),MROUND(_xlfn.XLOOKUP(B328,'Base stats'!B:B,'Base stats'!G:G)/(365/60),0.2)),"Unknown"))</f>
        <v>0.4</v>
      </c>
      <c r="AU328" s="8">
        <f t="shared" si="36"/>
        <v>0.2</v>
      </c>
      <c r="AV328" s="8">
        <f>IFERROR(IFERROR(MROUND(_xlfn.XLOOKUP(B328,'Base stats'!B:B,'Base stats'!J:J),0.1),"Lay eggs"),"Cannot breed")</f>
        <v>1</v>
      </c>
      <c r="AW328" s="2" t="str">
        <f t="shared" si="37"/>
        <v>true</v>
      </c>
      <c r="AX328" s="2" t="str">
        <f>IF(_xlfn.XLOOKUP(_xlfn.XLOOKUP(Animals!B328,'Base stats'!B:B,'Base stats'!E:E),Groups!A:A,Groups!AK:AK)=1,"true","false")</f>
        <v>true</v>
      </c>
      <c r="AY328" s="25" t="str">
        <f>IF(_xlfn.XLOOKUP(B328,'Base stats'!B:B,'Base stats'!Y:Y)="Liquor","Liquor, CarnivoreAnimalStrict",IF(AND(_xlfn.XLOOKUP(B328,'Base stats'!B:B,'Base stats'!Y:Y)="Carnivore",_xlfn.XLOOKUP(_xlfn.XLOOKUP(B328,'Base stats'!B:B,'Base stats'!E:E),Groups!A:A,Groups!AJ:AJ)="Photonozoa"),"CarnivoreAnimalStrict, OvivoreAnimal",IF(_xlfn.XLOOKUP(B328,'Base stats'!B:B,'Base stats'!Y:Y)="Carnivore","CarnivoreAnimal, OvivoreAnimal",IF(_xlfn.XLOOKUP(B328,'Base stats'!B:B,'Base stats'!Y:Y)="Dendrovore","VegetarianRoughAnimal, DendrovoreAnimal",IF(_xlfn.XLOOKUP(B328,'Base stats'!B:B,'Base stats'!Y:Y)="Herbivore","VegetarianRoughAnimal",IF(_xlfn.XLOOKUP(B328,'Base stats'!B:B,'Base stats'!Y:Y)="OmnivoreRough","OmnivoreRoughAnimal, OvivoreAnimal","OmnivoreAnimal, OvivoreAnimal"))))))</f>
        <v>VegetarianRoughAnimal</v>
      </c>
      <c r="AZ328" s="2">
        <f>IF(_xlfn.XLOOKUP(_xlfn.XLOOKUP(B328,'Base stats'!B:B,'Base stats'!E:E),Groups!A:A,Groups!D:D)=1,MROUND((1-J328)*5+1,2)*IF(J328&lt;=0.4,2,1),"No")</f>
        <v>12</v>
      </c>
      <c r="BA328" s="2" t="str">
        <f>IF(AND(_xlfn.XLOOKUP(B328,'Base stats'!B:B,'Base stats'!AH:AH)="&lt;li&gt;Seal&lt;/li&gt;",G328="Odyssey"),"&lt;li&gt;AEXP_Seal&lt;/li&gt;",_xlfn.XLOOKUP(B328,'Base stats'!B:B,'Base stats'!AH:AH))</f>
        <v>&lt;li&gt;Goat&lt;/li&gt;</v>
      </c>
      <c r="BB328" s="2" t="str">
        <f>_xlfn.XLOOKUP(B328,'Base stats'!B:B,'Base stats'!AG:AG)</f>
        <v>Leather_Plain</v>
      </c>
      <c r="BC328" s="23" t="str">
        <f>_xlfn.XLOOKUP(_xlfn.XLOOKUP(B328,'Base stats'!B:B,'Base stats'!E:E),Groups!A:A,Groups!AL:AL)</f>
        <v>QuadrupedAnimalWithHooves</v>
      </c>
      <c r="BD328" s="23">
        <f>MIN(1,MROUND(IF(AND(AO328&lt;0.5,_xlfn.XLOOKUP(B328,'Base stats'!B:B,'Base stats'!AA:AA)=0),0,IF(OR(_xlfn.XLOOKUP(Animals!B328,'Base stats'!B:B,'Base stats'!O:O)=2,_xlfn.XLOOKUP(_xlfn.XLOOKUP(B328,'Base stats'!B:B,'Base stats'!E:E),Groups!A:A,Groups!AN:AN)=0),0,_xlfn.XLOOKUP(_xlfn.XLOOKUP(B328,'Base stats'!B:B,'Base stats'!E:E),Groups!A:A,Groups!AN:AN)/IF(_xlfn.XLOOKUP(Animals!B328,'Base stats'!B:B,'Base stats'!O:O)=1,2,1)))+_xlfn.XLOOKUP(B328,'Base stats'!B:B,'Base stats'!AC:AC),0.005))</f>
        <v>0</v>
      </c>
      <c r="BE328" s="23">
        <f>MIN(1,MROUND(IF(AND(AO328&lt;0.5,_xlfn.XLOOKUP(B328,'Base stats'!B:B,'Base stats'!AA:AA)=0),0,IF(_xlfn.XLOOKUP(_xlfn.XLOOKUP(B328,'Base stats'!B:B,'Base stats'!E:E),Groups!A:A,Groups!AO:AO)=0,0,_xlfn.XLOOKUP(_xlfn.XLOOKUP(B328,'Base stats'!B:B,'Base stats'!E:E),Groups!A:A,Groups!AO:AO)/IF(_xlfn.XLOOKUP(Animals!B328,'Base stats'!B:B,'Base stats'!O:O)=2,3,1)))+_xlfn.XLOOKUP(B328,'Base stats'!B:B,'Base stats'!AD:AD),0.005))</f>
        <v>0</v>
      </c>
      <c r="BF328" s="2" t="str">
        <f>IF(J328&gt;0.3,"No",_xlfn.XLOOKUP(_xlfn.XLOOKUP(Animals!B328,'Base stats'!B:B,'Base stats'!E:E),Groups!A:A,Groups!AP:AP))</f>
        <v>No</v>
      </c>
      <c r="BG328" s="2" t="str">
        <f>IF(AND(J328&lt;=0.65,_xlfn.XLOOKUP(_xlfn.XLOOKUP(Animals!B328,'Base stats'!B:B,'Base stats'!E:E),Groups!A:A,Groups!AP:AP)&lt;&gt;"No",_xlfn.XLOOKUP(_xlfn.XLOOKUP(B328,'Base stats'!B:B,'Base stats'!E:E),Groups!A:A,Groups!D:D)=0),MROUND((80/3)*IF(_xlfn.XLOOKUP(B328,'Base stats'!B:B,'Base stats'!O:O)=2,0.2,AO328) + 24*(1-IF(BF328="No",0,BF328)) + 16/3, 12),"No")</f>
        <v>No</v>
      </c>
      <c r="BH328" s="2">
        <f>IF(AND(_xlfn.XLOOKUP(_xlfn.XLOOKUP(B328,'Base stats'!B:B,'Base stats'!E:E),Groups!A:A,Groups!AQ:AQ)=1,AO328&lt;=0.35),8,12)</f>
        <v>12</v>
      </c>
      <c r="BI328" s="2" t="str">
        <f>IF(_xlfn.XLOOKUP(_xlfn.XLOOKUP(B328,'Base stats'!B:B,'Base stats'!E:E),Groups!A:A,Groups!D:D)=0,_xlfn.XLOOKUP(_xlfn.XLOOKUP(B328,'Base stats'!B:B,'Base stats'!E:E),Groups!A:A,Groups!AR:AR),"None")</f>
        <v>None</v>
      </c>
      <c r="BJ328" s="2" t="str">
        <f>IF(AND(_xlfn.XLOOKUP(_xlfn.XLOOKUP(B328,'Base stats'!B:B,'Base stats'!E:E),Groups!A:A,Groups!AS:AS)=1,OR(_xlfn.XLOOKUP(B328,'Base stats'!B:B,'Base stats'!Y:Y)="Carnivore",_xlfn.XLOOKUP(B328,'Base stats'!B:B,'Base stats'!Y:Y)="Omnivore")),"true","false")</f>
        <v>false</v>
      </c>
      <c r="BK328" s="2" t="str">
        <f>IF(BJ328="true",MROUND(IF(AND(AO328&gt;0.5,OR(_xlfn.XLOOKUP(_xlfn.XLOOKUP(B328,'Base stats'!B:B,'Base stats'!E:E),Groups!A:A,Groups!AJ:AJ)="Photonozoa",_xlfn.XLOOKUP(_xlfn.XLOOKUP(B328,'Base stats'!B:B,'Base stats'!E:E),Groups!A:A,Groups!AJ:AJ)="Mammal")),Animals!AO328*1.75*IF(AW328="true",1.5,1),IF(AO328&lt;0.5,Animals!AO328*0.5,Animals!AO328)),IF(AO328&gt;2,0.5,IF(AO328&gt;0.5,0.25,0.1))),"No")</f>
        <v>No</v>
      </c>
      <c r="BL328" s="2">
        <f t="shared" si="38"/>
        <v>0</v>
      </c>
      <c r="BM328" s="25" t="str">
        <f>IF(_xlfn.XLOOKUP(B328,'Base stats'!B:B,'Base stats'!AN:AN)="Standard","No",MROUND((_xlfn.XLOOKUP(B328,'Base stats'!B:B,'Base stats'!AN:AN)/3.6)/I328,0.1))</f>
        <v>No</v>
      </c>
      <c r="BN328" s="25" t="str">
        <f t="shared" si="39"/>
        <v>false</v>
      </c>
      <c r="BO328" s="25" t="str">
        <f>IF(AND(OR(_xlfn.XLOOKUP(B328,'Base stats'!B:B,'Base stats'!Y:Y)="Carnivore",_xlfn.XLOOKUP(B328,'Base stats'!B:B,'Base stats'!Y:Y)="Omnivore",_xlfn.XLOOKUP(B328,'Base stats'!B:B,'Base stats'!Y:Y)="OmnivoreRough"),_xlfn.XLOOKUP(_xlfn.XLOOKUP(B328,'Base stats'!B:B,'Base stats'!E:E),Groups!A:A,Groups!AT:AT)=1),"true","false")</f>
        <v>false</v>
      </c>
      <c r="BP328" s="25" t="str" cm="1">
        <f t="array" ref="BP328">IF(
  _xlfn.TEXTJOIN(", ",TRUE,
    IF(AND(BJ328="true",AO328&gt;0.5,BI328&lt;&gt;"None"),"AttackTarget",""),
    IF(AND(_xlfn.XLOOKUP(_xlfn.XLOOKUP(B328,'Base stats'!B:B,'Base stats'!E:E),Groups!A:A,Groups!AJ:AJ="Mammal"),OR(_xlfn.XLOOKUP(B328,'Base stats'!B:B,'Base stats'!Y:Y)="Omnivore",_xlfn.XLOOKUP(B328,'Base stats'!B:B,'Base stats'!Y:Y)="OmnivoreRough")),"Forage",""),
    IF(BG328&lt;=36,"Comfort",""),
    IF(_xlfn.XLOOKUP(B328,'Base stats'!B:B,'Base stats'!AE:AE)&lt;&gt;"No",_xlfn.XLOOKUP(B328,'Base stats'!B:B,'Base stats'!AE:AE),"")
  ) = "",
  "No",
  _xlfn.TEXTJOIN(", ",TRUE,
    IF(AND(BJ328="true",AO328&gt;0.5,BI328&lt;&gt;"None"),"AttackTarget",""),
    IF(AND(_xlfn.XLOOKUP(_xlfn.XLOOKUP(B328,'Base stats'!B:B,'Base stats'!E:E),Groups!A:A,Groups!AJ:AJ="Mammal"),OR(_xlfn.XLOOKUP(B328,'Base stats'!B:B,'Base stats'!Y:Y)="Omnivore",_xlfn.XLOOKUP(B328,'Base stats'!B:B,'Base stats'!Y:Y)="OmnivoreRough")),"Forage",""),
    IF(BG328&lt;=36,"Comfort",""),
    IF(_xlfn.XLOOKUP(B328,'Base stats'!B:B,'Base stats'!AE:AE)&lt;&gt;"No",_xlfn.XLOOKUP(B328,'Base stats'!B:B,'Base stats'!AE:AE),"")
  )
)</f>
        <v>No</v>
      </c>
      <c r="BQ328" s="25" t="str">
        <f>IF(
   AND(
      'Base stats'!AN328="Standard",_xlfn.XLOOKUP(_xlfn.XLOOKUP(B328,'Base stats'!B:B,'Base stats'!E:E),Groups!A:A,Groups!AU:AU)=0,
      OR(
      BO328="True"
      )
   ),
   10,
   IF(
       OR(BM328&lt;&gt;"No",_xlfn.XLOOKUP(_xlfn.XLOOKUP(B328,'Base stats'!B:B,'Base stats'!E:E),Groups!A:A,Groups!AU:AU)=1),
      1,
      "No"
   )
)</f>
        <v>No</v>
      </c>
      <c r="BR328" s="9">
        <f>MROUND((1 + ((0.2*IF(OR(Q328="No",R328="No",R328=0),0,Q328/R328)
+IF(OR(V328="No",S328="No",T328="No"),0,S328/T328*(LEN(V328)-LEN(SUBSTITUTE(V328,",",""))+1))
+IF(OR(X328="No",Y328="No"),0,X328/Y328)
+IF(OR(AD328="No",AE328="No"),0,AD328/AE328)
+IF(OR(AL328="No",AI328="No",AJ328="No"),0,AI328/AJ328*(LEN(AL328)-LEN(SUBSTITUTE(AL328,",",""))+1))
)/(0.2*IF(OR(Q328="No",R328="No",R328=0),0,1)
+IF(OR(V328="No",S328="No",T328="No"),0,LEN(V328)-LEN(SUBSTITUTE(V328,",",""))+1)
+IF(OR(X328="No",Y328="No"),0,1)
+IF(OR(AD328="No",AE328="No"),0,1)
+IF(OR(AL328="No",AI328="No",AJ328="No"),0,LEN(AL328)-LEN(SUBSTITUTE(AL328,",",""))+1))*62%)* 2)*(1 + (AP328 / (IF(_xlfn.XLOOKUP(_xlfn.XLOOKUP(B328,'Base stats'!B:B,'Base stats'!E:E),Groups!A:A,Groups!AJ:AJ)="Photonozoa",0.3,1)) + _xlfn.XLOOKUP(B328,'Base stats'!B:B,'Base stats'!AV:AV) * 1.8) * 2) * 2.5 + 10 + I328 * 2,5)+IF(_xlfn.XLOOKUP(B328,'Base stats'!B:B,'Base stats'!AK:AK)=1,50,0)</f>
        <v>90</v>
      </c>
      <c r="BS328" s="8">
        <f t="shared" si="40"/>
        <v>0.70000000000000007</v>
      </c>
      <c r="BT328" s="8" t="str">
        <f>_xlfn.XLOOKUP(B328,'Base stats'!B:B,'Base stats'!AF:AF)</f>
        <v>3~10</v>
      </c>
      <c r="BU328" s="2" t="str">
        <f>IF(AND(J328&lt;=0.95,OR(_xlfn.XLOOKUP(B328,'Base stats'!B:B,'Base stats'!AK:AK)=1,_xlfn.XLOOKUP(B328,'Base stats'!B:B,'Base stats'!Y:Y)="Carnivore",_xlfn.XLOOKUP(B328,'Base stats'!B:B,'Base stats'!Y:Y)="Omnivore",BE328&gt;0.1)),"true","false")</f>
        <v>false</v>
      </c>
      <c r="BV328" s="2" t="str">
        <f>IF(_xlfn.XLOOKUP(B328,'Base stats'!B:B,'Base stats'!AI:AI)=1,"true","false")</f>
        <v>false</v>
      </c>
      <c r="BW328" s="25" t="str">
        <f>IF(E328="BaseInsect","AnimalInsect",
IF(J328&gt;0.95,"AnimalExotic",
_xlfn.TEXTJOIN(", ",TRUE,
IF(OR(_xlfn.XLOOKUP(B328,'Base stats'!B:B,'Base stats'!AM:AM)=1,AND(_xlfn.XLOOKUP(B328,'Base stats'!B:B,'Base stats'!O:O)=0,_xlfn.XLOOKUP(_xlfn.XLOOKUP(B328,'Base stats'!B:B,'Base stats'!E:E),Groups!A:A,Groups!B:B)&gt;0)),"AnimalUncommon","AnimalCommon"),
IF(AND(_xlfn.XLOOKUP(B328,'Base stats'!B:B,'Base stats'!O:O)=2,_xlfn.XLOOKUP(_xlfn.XLOOKUP(B328,'Base stats'!B:B,'Base stats'!E:E),Groups!A:A,Groups!D:D)=0),"AnimalPet",IF(AND(_xlfn.XLOOKUP(B328,'Base stats'!B:B,'Base stats'!O:O)&lt;&gt;0,_xlfn.XLOOKUP(_xlfn.XLOOKUP(B328,'Base stats'!B:B,'Base stats'!E:E),Groups!A:A,Groups!D:D)&lt;&gt;0),"AnimalFarm","")),
IF(OR(_xlfn.XLOOKUP(B328,'Base stats'!B:B,'Base stats'!AK:AK)=1,AND(BI328&lt;&gt;"None",BR328&gt;=60),ISNUMBER(SEARCH("Attack target",BP328))),"AnimalFighter","")
)))</f>
        <v>AnimalUncommon, AnimalFarm</v>
      </c>
      <c r="BX328" s="25" t="str">
        <f>IF(G328="None",TRIM(
SUBSTITUTE(
IF(COUNTIF(Biomes!B$2:B$259,"="&amp;$C328)&gt;0,Biomes!B$1&amp;", ","")&amp;
IF(COUNTIF(Biomes!C$2:C$259,"="&amp;$C328)&gt;0,Biomes!C$1&amp;", ","")&amp;
IF(COUNTIF(Biomes!D$2:D$259,"="&amp;$C328)&gt;0,Biomes!D$1&amp;", ","")&amp;
IF(COUNTIF(Biomes!F$2:F$259,"="&amp;$C328)&gt;0,Biomes!F$1&amp;", ","")&amp;
IF(COUNTIF(Biomes!G$2:G$259,"="&amp;$C328)&gt;0,Biomes!G$1&amp;", ","")&amp;
IF(COUNTIF(Biomes!H$2:H$259,"="&amp;$C328)&gt;0,Biomes!H$1&amp;", ","")&amp;
IF(COUNTIF(Biomes!I$2:I$259,"="&amp;$C328)&gt;0,Biomes!I$1&amp;", ","")&amp;
IF(COUNTIF(Biomes!J$2:J$259,"="&amp;$C328)&gt;0,Biomes!J$1&amp;", ","")&amp;
IF(COUNTIF(Biomes!M$2:M$259,"="&amp;$C328)&gt;0,Biomes!M$1&amp;", ","")&amp;
IF(COUNTIF(Biomes!N$2:N$259,"="&amp;$C328)&gt;0,Biomes!N$1&amp;", ","")&amp;
IF(COUNTIF(Biomes!O$2:O$259,"="&amp;$C328)&gt;0,Biomes!O$1&amp;", ","")&amp;
IF(COUNTIF(Biomes!P$2:P$259,"="&amp;$C328)&gt;0,Biomes!P$1&amp;", ","")&amp;
IF(COUNTIF(Biomes!K$2:K$259,"="&amp;$C328)&gt;0,Biomes!K$1&amp;", ","")&amp;
IF(COUNTIF(Biomes!Q$3:Q$259,"="&amp;$C328)&gt;0,Biomes!Q$1&amp;", ","")&amp;
IF(COUNTIF(Biomes!L$2:L$259,"="&amp;$C328)&gt;0,Biomes!L$1&amp;", ","")&amp;
IF(COUNTIF(Biomes!E$2:E$259,"="&amp;$C328)&gt;0,Biomes!E$1&amp;", ","")&amp;IF(COUNTIF(Biomes!S$2:S$259,"="&amp;$C328)&gt;0,Biomes!S$1&amp;", ","")&amp;
IF(COUNTIF(Biomes!R$2:R$259,"="&amp;$C328)&gt;0,Biomes!R$1&amp;", ",""),", ","")
),_xlfn.XLOOKUP(B328,B:B,BX:BX))</f>
        <v/>
      </c>
      <c r="BY328" s="25" t="str">
        <f>IF(_xlfn.XLOOKUP(B328,'Base stats'!B:B,'Base stats'!AJ:AJ)=1,"true","false")</f>
        <v>false</v>
      </c>
      <c r="BZ328" s="25">
        <f>IF(_xlfn.XLOOKUP(B328,'Base stats'!B:B,'Base stats'!N:N)=1,"No",MAX(0.001,MIN(MROUND(IF(AND(BJ328="True",CC328="False"),POWER(10,3.47*LOG10(_xlfn.XLOOKUP(B328,'Base stats'!B:B,'Base stats'!C:C)*1000)^-0.96),POWER(10,4.15*LOG10(_xlfn.XLOOKUP(B328,'Base stats'!B:B,'Base stats'!C:C)*1000)^-0.73))*IF(_xlfn.XLOOKUP(B328,'Base stats'!B:B,'Base stats'!AK:AK)=1,0.5,1)*IF(_xlfn.XLOOKUP(B328,'Base stats'!B:B,'Base stats'!AM:AM)=1,0.1,1)/100,IF(_xlfn.XLOOKUP(B328,'Base stats'!B:B,'Base stats'!AM:AM)=1,0.001,0.025)),0.5)))</f>
        <v>0.02</v>
      </c>
      <c r="CA328" s="25" t="str">
        <f>IF(P328="Standard","No",MAX(0.001,MIN(MROUND(IF(AND(BJ328="True",CC328="False"),POWER(10,3.47*LOG10(_xlfn.XLOOKUP(B328,'Base stats'!B:B,'Base stats'!C:C)*1000)^-0.96),POWER(10,4.15*LOG10(_xlfn.XLOOKUP(B328,'Base stats'!B:B,'Base stats'!C:C)*1000)^-0.73))*IF(_xlfn.XLOOKUP(B328,'Base stats'!B:B,'Base stats'!AM:AM)=1,0.1,1)*_xlfn.XLOOKUP(B328,'Base stats'!B:B,'Base stats'!R:R)/100,IF(_xlfn.XLOOKUP(B328,'Base stats'!B:B,'Base stats'!AM:AM)=1,0.001,0.025)),0.5)))</f>
        <v>No</v>
      </c>
      <c r="CB328" s="25" t="str">
        <f>IF(_xlfn.XLOOKUP(_xlfn.XLOOKUP(B328,'Base stats'!B:B,'Base stats'!E:E),Groups!A:A,Groups!AJ:AJ)="Mammal","True","False")</f>
        <v>True</v>
      </c>
      <c r="CC328" s="25" t="str">
        <f>IF(OR(_xlfn.XLOOKUP(_xlfn.XLOOKUP(B328,'Base stats'!B:B,'Base stats'!E:E),Groups!A:A,Groups!AJ:AJ)="Reptile",_xlfn.XLOOKUP(_xlfn.XLOOKUP(B328,'Base stats'!B:B,'Base stats'!E:E),Groups!A:A,Groups!AJ:AJ)="Amphibian",_xlfn.XLOOKUP(_xlfn.XLOOKUP(B328,'Base stats'!B:B,'Base stats'!E:E),Groups!A:A,Groups!AJ:AJ)="Invertebrate"),"True","False")</f>
        <v>False</v>
      </c>
      <c r="CD328" s="25" t="str">
        <f t="shared" si="41"/>
        <v>False</v>
      </c>
      <c r="CE328" s="25" t="str">
        <f>IF(_xlfn.XLOOKUP(_xlfn.XLOOKUP(B328,'Base stats'!B:B,'Base stats'!E:E),Groups!A:A,Groups!AX:AX),"True","False")</f>
        <v>False</v>
      </c>
      <c r="CF328" s="25" t="str">
        <f>IF(_xlfn.XLOOKUP(_xlfn.XLOOKUP(B328,'Base stats'!B:B,'Base stats'!E:E),Groups!A:A,Groups!AY:AY),"True","False")</f>
        <v>False</v>
      </c>
      <c r="CG328" s="25" t="str">
        <f>IF(_xlfn.XLOOKUP(_xlfn.XLOOKUP(B328,'Base stats'!B:B,'Base stats'!E:E),Groups!A:A,Groups!AW:AW),"True","False")</f>
        <v>False</v>
      </c>
      <c r="CH328" s="25" t="str">
        <f>IF(
OR(
_xlfn.XLOOKUP(_xlfn.XLOOKUP(B328,'Base stats'!B:B,'Base stats'!E:E),Groups!A:A,Groups!AZ:AZ)=0,
AND(
_xlfn.XLOOKUP(B328,'Base stats'!B:B,'Base stats'!Y:Y)&lt;&gt;"Carnivore",
_xlfn.XLOOKUP(B328,'Base stats'!B:B,'Base stats'!Y:Y)&lt;&gt;"Omnivore",
_xlfn.XLOOKUP(B328,'Base stats'!B:B,'Base stats'!Y:Y)&lt;&gt;"OmnivoreRough"
)
),
"No",
IF(
_xlfn.XLOOKUP(_xlfn.XLOOKUP(B328,'Base stats'!B:B,'Base stats'!E:E),Groups!A:A,Groups!AZ:AZ)=1,
"Flesh",
IF(
_xlfn.XLOOKUP(_xlfn.XLOOKUP(B328,'Base stats'!B:B,'Base stats'!E:E),Groups!A:A,Groups!AZ:AZ)=2,
"Bone",
""
)
)
)</f>
        <v>No</v>
      </c>
      <c r="CI328" s="25" t="str">
        <f>IF(_xlfn.XLOOKUP(_xlfn.XLOOKUP(B328,'Base stats'!B:B,'Base stats'!E:E),Groups!A:A,Groups!BB:BB),"True","False")</f>
        <v>True</v>
      </c>
      <c r="CJ328" s="25" t="str">
        <f>IF(_xlfn.XLOOKUP(_xlfn.XLOOKUP(B328,'Base stats'!B:B,'Base stats'!E:E),Groups!A:A,Groups!BA:BA),"True","False")</f>
        <v>False</v>
      </c>
    </row>
    <row r="329" spans="1:88" ht="16.5" thickTop="1" thickBot="1" x14ac:dyDescent="0.3">
      <c r="A329" s="26" t="s">
        <v>1570</v>
      </c>
      <c r="B329" s="6" t="str">
        <f>_xlfn.XLOOKUP(A329,'Base stats'!A:A,'Base stats'!B:B)</f>
        <v>Canis saltator</v>
      </c>
      <c r="C329" s="28" t="s">
        <v>1571</v>
      </c>
      <c r="D329" s="28" t="s">
        <v>1341</v>
      </c>
      <c r="E329" s="28" t="s">
        <v>673</v>
      </c>
      <c r="F329" s="28" t="s">
        <v>673</v>
      </c>
      <c r="G329" s="28" t="s">
        <v>673</v>
      </c>
      <c r="H329" s="2">
        <f>MROUND((
  (IF(AND(_xlfn.XLOOKUP(B329,'Base stats'!B:B,'Base stats'!AL:AL)=0,BI329="None",_xlfn.XLOOKUP(_xlfn.XLOOKUP(B329,'Base stats'!B:B,'Base stats'!E:E),Groups!A:A,Groups!B:B)=0), (18 + BR329 * 2.7) * 0.5,
    IF(AND(_xlfn.XLOOKUP(B329,'Base stats'!B:B,'Base stats'!AL:AL)=0,OR(AO329&lt;0.55,AND(BI329="Intermediate",_xlfn.XLOOKUP(_xlfn.XLOOKUP(B329,'Base stats'!B:B,'Base stats'!E:E),Groups!A:A,Groups!B:B)&lt;2))), (18 + BR329 * 2.7),
      IF(OR(BI329="Advanced",_xlfn.XLOOKUP(B329,'Base stats'!B:B,'Base stats'!AL:AL)=1,_xlfn.XLOOKUP(_xlfn.XLOOKUP(B329,'Base stats'!B:B,'Base stats'!E:E),Groups!A:A,Groups!B:B)=2), (18 + BR329 * 2.7) + 250, (18 + BR329 * 2.7))
    )
  ))
  + AO329 * 80
  + IF(COUNTIF(EggMilk!K$2:K$998, A329) &gt; 0, 125, 0)
  + IF(COUNTIF(EggMilk!P$2:P$998, A329) &gt; 0, 90, 0)
  + IF(COUNTIF(EggMilk!A$2:A$998, A329) &gt; 0, 90, 0)
)
* (0.8 + 0.4 * J329)
* 0.75,25)</f>
        <v>425</v>
      </c>
      <c r="I329" s="2">
        <f>MROUND(ROUNDDOWN(_xlfn.XLOOKUP(B329,'Base stats'!B:B,'Base stats'!L:L)/3.6/(23.3/11),1),0.5)</f>
        <v>8.5</v>
      </c>
      <c r="J329" s="2">
        <f>IF(OR(_xlfn.XLOOKUP(B329,'Base stats'!B:B,'Base stats'!AB:AB)=1,_xlfn.XLOOKUP(_xlfn.XLOOKUP(B329,'Base stats'!B:B,'Base stats'!E:E),Groups!A:A,Groups!C:C)="Untamable"),1,IF(_xlfn.XLOOKUP(B329,'Base stats'!B:B,'Base stats'!AL:AL)=1,0.99,MIN(MROUND((1-0.6282*EXP(-0.459*AO329))*_xlfn.XLOOKUP(_xlfn.XLOOKUP(B329,'Base stats'!B:B,'Base stats'!E:E),Groups!A:A,Groups!C:C)*IF(_xlfn.XLOOKUP(B329,'Base stats'!B:B,'Base stats'!O:O)=1,0.5,IF(_xlfn.XLOOKUP(B329,'Base stats'!B:B,'Base stats'!O:O)=2,0,1)),0.05),IF(AO329&gt;3.5,0.985,0.95))))</f>
        <v>0.35000000000000003</v>
      </c>
      <c r="K329" s="2">
        <f>ROUNDUP(AO329*_xlfn.XLOOKUP(_xlfn.XLOOKUP(B329,'Base stats'!B:B,'Base stats'!E:E),Groups!A:A,Groups!E:E),0)</f>
        <v>1</v>
      </c>
      <c r="L329" s="2">
        <f>IF(OR(_xlfn.XLOOKUP(_xlfn.XLOOKUP(B329,'Base stats'!B:B,'Base stats'!E:E),Groups!A:A,Groups!F:F)=2,ISNUMBER(SEARCH("SeaIce",BX329)),ISNUMBER(SEARCH("IceSheet",BX329))),-50,IF(OR(ISNUMBER(SEARCH("GlacialPlain",BX329)),ISNUMBER(SEARCH("Tundra",BX329))),-40,IF(OR(ISNUMBER(SEARCH("Alpine",BX329)),ISNUMBER(SEARCH("BorealForest",BX329)),ISNUMBER(SEARCH("ColdBog",BX329))),-30,IF(OR(ISNUMBER(SEARCH("TemperateForest",BX329)),ISNUMBER(SEARCH("TemperateSwamp",BX329))),-20,IF(_xlfn.XLOOKUP(_xlfn.XLOOKUP(B329,'Base stats'!B:B,'Base stats'!E:E),Groups!A:A,Groups!F:F)=1,-15,IF(OR(ISNUMBER(SEARCH("Desert",BX329)),ISNUMBER(SEARCH("ExtremeDesert",BX329))),-10,IF(OR(ISNUMBER(SEARCH("Grasslands",BX329)),ISNUMBER(SEARCH("TropicalRainforest",BX329)),ISNUMBER(SEARCH("TropicalSwamp",BX329))),10,0)))))))-IF(CC329="False",MIN(IFERROR(MAX(MROUND(LOG10(_xlfn.XLOOKUP(B329,'Base stats'!B:B,'Base stats'!C:C)^(2/3))*10,5),5),5),30))-_xlfn.XLOOKUP(B329,'Base stats'!B:B,'Base stats'!P:P)+IF(CC329="True",5,0)</f>
        <v>-25</v>
      </c>
      <c r="M329" s="2">
        <f>IF(OR(_xlfn.XLOOKUP(_xlfn.XLOOKUP(B329,'Base stats'!B:B,'Base stats'!E:E),Groups!A:A,Groups!G:G)=2,ISNUMBER(SEARCH("Desert",BX329)),ISNUMBER(SEARCH("ExtremeDesert",BX329)),ISNUMBER(SEARCH("LavaField",BX329))),50,IF(ISNUMBER(SEARCH("Grasslands",BX329)),45,IF(OR(_xlfn.XLOOKUP(_xlfn.XLOOKUP(B329,'Base stats'!B:B,'Base stats'!E:E),Groups!A:A,Groups!G:G)=1,ISNUMBER(SEARCH("TropicalRainforest",BX329)),ISNUMBER(SEARCH("TropicalSwamp",BX329))),40,IF(OR(ISNUMBER(SEARCH("TemperateForest",BX329)),ISNUMBER(SEARCH("TemperateSwamp",BX329))),35,IF(OR(ISNUMBER(SEARCH("Alpine",BX329)),ISNUMBER(SEARCH("BorealForest",BX329)),ISNUMBER(SEARCH("ColdBog",BX329))),30,IF(ISNUMBER(OR(ISNUMBER(SEARCH("GlacialPlain",BX329)),SEARCH("Tundra",BX329))),25,IF(OR(ISNUMBER(SEARCH("SeaIce",BX329)),ISNUMBER(SEARCH("IceSheet",BX329)),ISNUMBER(SEARCH("TropicalSwamp",BX329))),10,35)))))))+_xlfn.XLOOKUP(B329,'Base stats'!B:B,'Base stats'!Q:Q)</f>
        <v>35</v>
      </c>
      <c r="N329" s="8" t="str">
        <f>IF(
_xlfn.XLOOKUP(
_xlfn.XLOOKUP(B329,'Base stats'!B:B,'Base stats'!E:E),
Groups!A:A,
Groups!L:L
)=1,
MIN(
MROUND(
IF(
_xlfn.XLOOKUP(B329,'Animals CE'!B:B,'Animals CE'!Z:Z)&lt;=1.5,
_xlfn.XLOOKUP(B329,'Animals CE'!B:B,'Animals CE'!Z:Z)/2+0.05,
0.8+
(_xlfn.XLOOKUP(B329,'Animals CE'!B:B,'Animals CE'!Z:Z)-1.5)
*0.02
),
0.05
),
200%
),
"No"
)</f>
        <v>No</v>
      </c>
      <c r="O329" s="8" t="str">
        <f>IF(
_xlfn.XLOOKUP(
_xlfn.XLOOKUP(B329,'Base stats'!B:B,'Base stats'!E:E),
Groups!A:A,
Groups!L:L
)=1,
MIN(
MROUND(
IF(
_xlfn.XLOOKUP(B329,'Animals CE'!B:B,'Animals CE'!AA:AA)&lt;=1.5,
_xlfn.XLOOKUP(B329,'Animals CE'!B:B,'Animals CE'!AA:AA)/2+0.05,
0.8+
(_xlfn.XLOOKUP(B329,'Animals CE'!B:B,'Animals CE'!AA:AA)-1.5)
*0.02
),
0.05
),
200%
),
"No"
)</f>
        <v>No</v>
      </c>
      <c r="P329" s="2" t="str">
        <f>_xlfn.XLOOKUP(B329,'Base stats'!B:B,'Base stats'!R:R)</f>
        <v>Standard</v>
      </c>
      <c r="Q329" s="13">
        <f>MROUND((LOG10(_xlfn.XLOOKUP(B329,'Base stats'!B:B,'Base stats'!AR:AR))*(AO329^0.5)+(_xlfn.XLOOKUP(B329,'Base stats'!B:B,'Base stats'!AR:AR)/1000)^(2/3)+_xlfn.XLOOKUP(B329,'Base stats'!B:B,'Base stats'!BA:BA)/2)+0.5,0.5)</f>
        <v>6</v>
      </c>
      <c r="R329" s="7">
        <f>IF(Q329="No","No",MAX(1,MROUND(_xlfn.XLOOKUP(B329,'Base stats'!B:B,'Base stats'!C:C)^0.165,0.05)))</f>
        <v>1.85</v>
      </c>
      <c r="S329" s="13" t="str">
        <f>IF(_xlfn.XLOOKUP(_xlfn.XLOOKUP(B329,'Base stats'!B:B,'Base stats'!E:E),Groups!A:A,Groups!P:P)=0,"No",MROUND((LOG10(_xlfn.XLOOKUP(B329,'Base stats'!B:B,'Base stats'!AS:AS))*(AO329^0.5)+(_xlfn.XLOOKUP(B329,'Base stats'!B:B,'Base stats'!AS:AS)/1000)^(2/3)+_xlfn.XLOOKUP(B329,'Base stats'!B:B,'Base stats'!BA:BA))+_xlfn.XLOOKUP(B329,'Base stats'!B:B,'Base stats'!AY:AY)+0.5,0.5))</f>
        <v>No</v>
      </c>
      <c r="T329" s="7" t="str">
        <f>IF(S329="No","No",MAX(_xlfn.XLOOKUP(_xlfn.XLOOKUP(B329,'Base stats'!B:B,'Base stats'!E:E),Groups!A:A,Groups!Q:Q),MROUND(_xlfn.XLOOKUP(_xlfn.XLOOKUP(B329,'Base stats'!B:B,'Base stats'!E:E),Groups!A:A,Groups!Q:Q)*_xlfn.XLOOKUP(B329,'Base stats'!B:B,'Base stats'!C:C)^0.165,0.05)))</f>
        <v>No</v>
      </c>
      <c r="U329" s="7" t="str">
        <f>IF(S329="No","No",_xlfn.XLOOKUP(_xlfn.XLOOKUP(B329,'Base stats'!B:B,'Base stats'!E:E),Groups!A:A,Groups!R:R))</f>
        <v>No</v>
      </c>
      <c r="V329" s="7" t="str">
        <f>IF(S329="No","No",_xlfn.XLOOKUP(_xlfn.XLOOKUP(B329,'Base stats'!B:B,'Base stats'!E:E),Groups!A:A,Groups!S:S))</f>
        <v>No</v>
      </c>
      <c r="W329" s="7" t="str">
        <f>IF(S329="No","No",_xlfn.XLOOKUP(_xlfn.XLOOKUP(B329,'Base stats'!B:B,'Base stats'!E:E),Groups!A:A,Groups!T:T))</f>
        <v>No</v>
      </c>
      <c r="X329" s="13" t="str">
        <f>IF(_xlfn.XLOOKUP(B329,'Base stats'!B:B,'Base stats'!W:W)="No","No",MROUND((LOG10(_xlfn.XLOOKUP(B329,'Base stats'!B:B,'Base stats'!AU:AU))*(AO329^0.5)+(_xlfn.XLOOKUP(B329,'Base stats'!B:B,'Base stats'!AU:AU)/1000)^(2/3)+_xlfn.XLOOKUP(B329,'Base stats'!B:B,'Base stats'!AZ:AZ))+0.5+IF(_xlfn.XLOOKUP(_xlfn.XLOOKUP(B329,'Base stats'!B:B,'Base stats'!E:E),Groups!A:A,Groups!U:U)&lt;&gt;3,_xlfn.XLOOKUP(B329,'Base stats'!B:B,'Base stats'!BA:BA),0),0.5))</f>
        <v>No</v>
      </c>
      <c r="Y329" s="7" t="str">
        <f>IF(X329="No","No",MAX(_xlfn.XLOOKUP(_xlfn.XLOOKUP(B329,'Base stats'!B:B,'Base stats'!E:E),Groups!A:A,Groups!V:V),MROUND(_xlfn.XLOOKUP(_xlfn.XLOOKUP(B329,'Base stats'!B:B,'Base stats'!E:E),Groups!A:A,Groups!V:V)*_xlfn.XLOOKUP(B329,'Base stats'!B:B,'Base stats'!C:C)^0.165,0.05)))</f>
        <v>No</v>
      </c>
      <c r="Z329" s="7" t="str">
        <f>IF(X329="No","No",_xlfn.XLOOKUP(_xlfn.XLOOKUP(B329,'Base stats'!B:B,'Base stats'!E:E),Groups!A:A,Groups!W:W))</f>
        <v>No</v>
      </c>
      <c r="AA329" s="7" t="str">
        <f>IF(X329="No","No",_xlfn.XLOOKUP(_xlfn.XLOOKUP(B329,'Base stats'!B:B,'Base stats'!E:E),Groups!A:A,Groups!X:X))</f>
        <v>No</v>
      </c>
      <c r="AB329" s="7" t="str">
        <f>IF(X329="No","No",_xlfn.XLOOKUP(_xlfn.XLOOKUP(B329,'Base stats'!B:B,'Base stats'!E:E),Groups!A:A,Groups!Y:Y))</f>
        <v>No</v>
      </c>
      <c r="AC329" s="7" t="str">
        <f>_xlfn.XLOOKUP(Animals!B329,'Base stats'!B:B,'Base stats'!X:X)</f>
        <v>False</v>
      </c>
      <c r="AD329" s="13">
        <f>IF(_xlfn.XLOOKUP(B329,'Base stats'!B:B,'Base stats'!AT:AT)="No","No",MROUND((LOG10(_xlfn.XLOOKUP(B329,'Base stats'!B:B,'Base stats'!AT:AT))*(AO329^0.75)+(_xlfn.XLOOKUP(B329,'Base stats'!B:B,'Base stats'!AT:AT)/1000)^(2/3)+_xlfn.XLOOKUP(B329,'Base stats'!B:B,'Base stats'!AX:AX)+_xlfn.XLOOKUP(B329,'Base stats'!B:B,'Base stats'!BA:BA))+0.5,0.5))</f>
        <v>11.5</v>
      </c>
      <c r="AE329" s="7">
        <f>IF(AD329="No","No",MAX(_xlfn.XLOOKUP(_xlfn.XLOOKUP(B329,'Base stats'!B:B,'Base stats'!E:E),Groups!A:A,Groups!Z:Z),MROUND(_xlfn.XLOOKUP(_xlfn.XLOOKUP(B329,'Base stats'!B:B,'Base stats'!E:E),Groups!A:A,Groups!Z:Z)*_xlfn.XLOOKUP(B329,'Base stats'!B:B,'Base stats'!C:C)^0.165,0.05)))</f>
        <v>1.4500000000000002</v>
      </c>
      <c r="AF329" s="7" t="str">
        <f>IF(AD329="No","No",_xlfn.XLOOKUP(_xlfn.XLOOKUP(B329,'Base stats'!B:B,'Base stats'!E:E),Groups!A:A,Groups!AA:AA))</f>
        <v>Teeth</v>
      </c>
      <c r="AG329" s="7" t="str">
        <f>IF(AD329="No","No",_xlfn.XLOOKUP(_xlfn.XLOOKUP(B329,'Base stats'!B:B,'Base stats'!E:E),Groups!A:A,Groups!AB:AB))</f>
        <v>canines</v>
      </c>
      <c r="AH329" s="7" t="str">
        <f>IF(AD329="No","No",_xlfn.XLOOKUP(_xlfn.XLOOKUP(B329,'Base stats'!B:B,'Base stats'!E:E),Groups!A:A,Groups!AC:AC))</f>
        <v>Bite</v>
      </c>
      <c r="AI329" s="13" t="str">
        <f>IF(_xlfn.XLOOKUP(_xlfn.XLOOKUP(B329,'Base stats'!B:B,'Base stats'!E:E),Groups!A:A,Groups!AD:AD)=0,"No",MROUND((LOG10(_xlfn.XLOOKUP(B329,'Base stats'!B:B,'Base stats'!AS:AS))*(AO329^0.75)+(_xlfn.XLOOKUP(B329,'Base stats'!B:B,'Base stats'!AS:AS)/1000)^(2/3)+_xlfn.XLOOKUP(B329,'Base stats'!B:B,'Base stats'!AY:AY)+_xlfn.XLOOKUP(B329,'Base stats'!B:B,'Base stats'!BA:BA))+0.5,0.5))</f>
        <v>No</v>
      </c>
      <c r="AJ329" s="7" t="str">
        <f>IF(AI329="No","No",MAX(_xlfn.XLOOKUP(_xlfn.XLOOKUP(B329,'Base stats'!B:B,'Base stats'!E:E),Groups!A:A,Groups!AE:AE),MROUND(_xlfn.XLOOKUP(_xlfn.XLOOKUP(B329,'Base stats'!B:B,'Base stats'!E:E),Groups!A:A,Groups!AE:AE)*IF(_xlfn.XLOOKUP(_xlfn.XLOOKUP(B329,'Base stats'!B:B,'Base stats'!E:E),Groups!A:A,Groups!AJ:AJ)="Photonozoa",0.6,1)*_xlfn.XLOOKUP(B329,'Base stats'!B:B,'Base stats'!C:C)^0.165,0.05)))</f>
        <v>No</v>
      </c>
      <c r="AK329" s="7" t="str">
        <f>IF(AI329="No","No",_xlfn.XLOOKUP(_xlfn.XLOOKUP(B329,'Base stats'!B:B,'Base stats'!E:E),Groups!A:A,Groups!AF:AF))</f>
        <v>No</v>
      </c>
      <c r="AL329" s="7" t="str">
        <f>IF(AI329="No","No",_xlfn.XLOOKUP(_xlfn.XLOOKUP(B329,'Base stats'!B:B,'Base stats'!E:E),Groups!A:A,Groups!AG:AG))</f>
        <v>No</v>
      </c>
      <c r="AM329" s="7" t="str">
        <f>IF(AI329="No","No",_xlfn.XLOOKUP(_xlfn.XLOOKUP(B329,'Base stats'!B:B,'Base stats'!E:E),Groups!A:A,Groups!AH:AH))</f>
        <v>No</v>
      </c>
      <c r="AN329" s="2">
        <f t="shared" si="35"/>
        <v>20</v>
      </c>
      <c r="AO329" s="2">
        <f>MROUND(IF(AND(_xlfn.XLOOKUP(B329,'Base stats'!B:B,'Base stats'!C:C)&gt;=0.5,_xlfn.XLOOKUP(B329,'Base stats'!B:B,'Base stats'!C:C)&lt;=0.8),
IF(_xlfn.XLOOKUP(B329,'Base stats'!B:B,'Base stats'!C:C)&lt;0.1,0.05,IF(_xlfn.XLOOKUP(B329,'Base stats'!B:B,'Base stats'!C:C)&lt;=70,(_xlfn.XLOOKUP(B329,'Base stats'!B:B,'Base stats'!C:C)/70)^0.426489913056526,IF(_xlfn.XLOOKUP(B329,'Base stats'!B:B,'Base stats'!C:C)&lt;=400,(_xlfn.XLOOKUP(B329,'Base stats'!B:B,'Base stats'!C:C)/70)^0.572811455315093,IF(_xlfn.XLOOKUP(B329,'Base stats'!B:B,'Base stats'!C:C)&lt;=2000,2.71391647193063*(_xlfn.XLOOKUP(B329,'Base stats'!B:B,'Base stats'!C:C)/400)^0.252459582904293,3.74314280240376*(_xlfn.XLOOKUP(B329,'Base stats'!B:B,'Base stats'!C:C)/2000)^0.357012633876913)))),
IF(_xlfn.XLOOKUP(B329,'Base stats'!B:B,'Base stats'!C:C)&lt;0.1,0.05,IF(_xlfn.XLOOKUP(B329,'Base stats'!B:B,'Base stats'!C:C)&lt;0.4,0.1,IF(_xlfn.XLOOKUP(B329,'Base stats'!B:B,'Base stats'!C:C)&lt;=70,(_xlfn.XLOOKUP(B329,'Base stats'!B:B,'Base stats'!C:C)/70)^0.445823913056526,IF(_xlfn.XLOOKUP(B329,'Base stats'!B:B,'Base stats'!C:C)&lt;=400,(_xlfn.XLOOKUP(B329,'Base stats'!B:B,'Base stats'!C:C)/70)^0.572811455315093,IF(_xlfn.XLOOKUP(B329,'Base stats'!B:B,'Base stats'!C:C)&lt;=2000,2.71391647193063*(_xlfn.XLOOKUP(B329,'Base stats'!B:B,'Base stats'!C:C)/400)^0.252459582904293,3.74314280240376*(_xlfn.XLOOKUP(B329,'Base stats'!B:B,'Base stats'!C:C)/2000)^0.357012633876913)))))),
IF(_xlfn.XLOOKUP(B329,'Base stats'!B:B,'Base stats'!C:C)&lt;0.1,0.05,IF(_xlfn.XLOOKUP(B329,'Base stats'!B:B,'Base stats'!C:C)&lt;=100,0.05,IF(_xlfn.XLOOKUP(B329,'Base stats'!B:B,'Base stats'!C:C)&lt;=250,0.1,IF(_xlfn.XLOOKUP(B329,'Base stats'!B:B,'Base stats'!C:C)&lt;=4000,0.25,0.5)))))</f>
        <v>0.8</v>
      </c>
      <c r="AP329" s="8">
        <f>MROUND(AO329*_xlfn.XLOOKUP(_xlfn.XLOOKUP(B329,'Base stats'!B:B,'Base stats'!E:E),Groups!A:A,Groups!AI:AI)*_xlfn.XLOOKUP(B329,'Base stats'!B:B,'Base stats'!Z:Z),0.05)</f>
        <v>0.95000000000000007</v>
      </c>
      <c r="AQ329" s="8">
        <f>MAX(0.01,MROUND(IF(CC329="True",0.196*(AO329*100*1000)^0.889,IF(_xlfn.XLOOKUP(_xlfn.XLOOKUP(B329,'Base stats'!B:B,'Base stats'!E:E),Groups!A:A,Groups!AJ:AJ)="Bird",10.5*(AO329*100*1000)^0.681,4.82*(AO329*100*1000)^0.734))/(4.82*(1*100*1000)^0.734)/IF(AO329&lt;3.5,2,IF(AO329=3.5,1.5,1.25))*(1+0.132282374779864/(AO329^0.994035016789033+0.00905238001496948)),0.05))</f>
        <v>0.5</v>
      </c>
      <c r="AR329" s="9">
        <f>IFERROR(MROUND(_xlfn.XLOOKUP(B329,'Base stats'!B:B,'Base stats'!H:H)/IF(_xlfn.XLOOKUP(B329,'Base stats'!B:B,'Base stats'!I:I)&lt;&gt;1,(122.5/70),1.2),IF(_xlfn.XLOOKUP(B329,'Base stats'!B:B,'Base stats'!H:H)&gt;=30,5,IF(_xlfn.XLOOKUP(B329,'Base stats'!B:B,'Base stats'!H:H)&gt;=15,3,IF(_xlfn.XLOOKUP(B329,'Base stats'!B:B,'Base stats'!H:H)&gt;=10,2,1)))),"Immortal")</f>
        <v>18</v>
      </c>
      <c r="AS329" s="35">
        <f>IFERROR(IF(OR(_xlfn.XLOOKUP(B329,'Base stats'!B:B,'Base stats'!F:F)="Atypical reproduction",_xlfn.XLOOKUP(B329,'Base stats'!B:B,'Base stats'!F:F)="Lay eggs"),"Lay eggs",MIN(20,MAX(5.5,ROUND(((_xlfn.XLOOKUP(B329,'Base stats'!B:B,'Base stats'!F:F)-25)*(14.5/615) + 5.5)*2,0)/2))),"Unknown")</f>
        <v>6.5</v>
      </c>
      <c r="AT329" s="8">
        <f>IF(_xlfn.XLOOKUP(B329,'Base stats'!B:B,'Base stats'!G:G)="Atypical reproduction","No",IFERROR(MAX(IF(_xlfn.XLOOKUP(B329,'Base stats'!B:B,'Base stats'!G:G)&lt;0.5,0.2,0.3),MROUND(_xlfn.XLOOKUP(B329,'Base stats'!B:B,'Base stats'!G:G)/(365/60),0.2)),"Unknown"))</f>
        <v>0.4</v>
      </c>
      <c r="AU329" s="8">
        <f t="shared" si="36"/>
        <v>0.2</v>
      </c>
      <c r="AV329" s="8">
        <f>IFERROR(IFERROR(MROUND(_xlfn.XLOOKUP(B329,'Base stats'!B:B,'Base stats'!J:J),0.1),"Lay eggs"),"Cannot breed")</f>
        <v>6</v>
      </c>
      <c r="AW329" s="2" t="str">
        <f t="shared" si="37"/>
        <v>true</v>
      </c>
      <c r="AX329" s="2" t="str">
        <f>IF(_xlfn.XLOOKUP(_xlfn.XLOOKUP(Animals!B329,'Base stats'!B:B,'Base stats'!E:E),Groups!A:A,Groups!AK:AK)=1,"true","false")</f>
        <v>false</v>
      </c>
      <c r="AY329" s="25" t="str">
        <f>IF(_xlfn.XLOOKUP(B329,'Base stats'!B:B,'Base stats'!Y:Y)="Liquor","Liquor, CarnivoreAnimalStrict",IF(AND(_xlfn.XLOOKUP(B329,'Base stats'!B:B,'Base stats'!Y:Y)="Carnivore",_xlfn.XLOOKUP(_xlfn.XLOOKUP(B329,'Base stats'!B:B,'Base stats'!E:E),Groups!A:A,Groups!AJ:AJ)="Photonozoa"),"CarnivoreAnimalStrict, OvivoreAnimal",IF(_xlfn.XLOOKUP(B329,'Base stats'!B:B,'Base stats'!Y:Y)="Carnivore","CarnivoreAnimal, OvivoreAnimal",IF(_xlfn.XLOOKUP(B329,'Base stats'!B:B,'Base stats'!Y:Y)="Dendrovore","VegetarianRoughAnimal, DendrovoreAnimal",IF(_xlfn.XLOOKUP(B329,'Base stats'!B:B,'Base stats'!Y:Y)="Herbivore","VegetarianRoughAnimal",IF(_xlfn.XLOOKUP(B329,'Base stats'!B:B,'Base stats'!Y:Y)="OmnivoreRough","OmnivoreRoughAnimal, OvivoreAnimal","OmnivoreAnimal, OvivoreAnimal"))))))</f>
        <v>CarnivoreAnimal, OvivoreAnimal</v>
      </c>
      <c r="AZ329" s="2" t="str">
        <f>IF(_xlfn.XLOOKUP(_xlfn.XLOOKUP(B329,'Base stats'!B:B,'Base stats'!E:E),Groups!A:A,Groups!D:D)=1,MROUND((1-J329)*5+1,2)*IF(J329&lt;=0.4,2,1),"No")</f>
        <v>No</v>
      </c>
      <c r="BA329" s="2" t="str">
        <f>IF(AND(_xlfn.XLOOKUP(B329,'Base stats'!B:B,'Base stats'!AH:AH)="&lt;li&gt;Seal&lt;/li&gt;",G329="Odyssey"),"&lt;li&gt;AEXP_Seal&lt;/li&gt;",_xlfn.XLOOKUP(B329,'Base stats'!B:B,'Base stats'!AH:AH))</f>
        <v>&lt;li&gt;YorkshireTerrier&lt;/li&gt;</v>
      </c>
      <c r="BB329" s="2" t="str">
        <f>_xlfn.XLOOKUP(B329,'Base stats'!B:B,'Base stats'!AG:AG)</f>
        <v>Leather_Dog</v>
      </c>
      <c r="BC329" s="23" t="str">
        <f>_xlfn.XLOOKUP(_xlfn.XLOOKUP(B329,'Base stats'!B:B,'Base stats'!E:E),Groups!A:A,Groups!AL:AL)</f>
        <v>QuadrupedAnimalWithPawsAndTail</v>
      </c>
      <c r="BD329" s="23">
        <f>MIN(1,MROUND(IF(AND(AO329&lt;0.5,_xlfn.XLOOKUP(B329,'Base stats'!B:B,'Base stats'!AA:AA)=0),0,IF(OR(_xlfn.XLOOKUP(Animals!B329,'Base stats'!B:B,'Base stats'!O:O)=2,_xlfn.XLOOKUP(_xlfn.XLOOKUP(B329,'Base stats'!B:B,'Base stats'!E:E),Groups!A:A,Groups!AN:AN)=0),0,_xlfn.XLOOKUP(_xlfn.XLOOKUP(B329,'Base stats'!B:B,'Base stats'!E:E),Groups!A:A,Groups!AN:AN)/IF(_xlfn.XLOOKUP(Animals!B329,'Base stats'!B:B,'Base stats'!O:O)=1,2,1)))+_xlfn.XLOOKUP(B329,'Base stats'!B:B,'Base stats'!AC:AC),0.005))</f>
        <v>0.05</v>
      </c>
      <c r="BE329" s="23">
        <f>MIN(1,MROUND(IF(AND(AO329&lt;0.5,_xlfn.XLOOKUP(B329,'Base stats'!B:B,'Base stats'!AA:AA)=0),0,IF(_xlfn.XLOOKUP(_xlfn.XLOOKUP(B329,'Base stats'!B:B,'Base stats'!E:E),Groups!A:A,Groups!AO:AO)=0,0,_xlfn.XLOOKUP(_xlfn.XLOOKUP(B329,'Base stats'!B:B,'Base stats'!E:E),Groups!A:A,Groups!AO:AO)/IF(_xlfn.XLOOKUP(Animals!B329,'Base stats'!B:B,'Base stats'!O:O)=2,3,1)))+_xlfn.XLOOKUP(B329,'Base stats'!B:B,'Base stats'!AD:AD),0.005))</f>
        <v>0.3</v>
      </c>
      <c r="BF329" s="2" t="str">
        <f>IF(J329&gt;0.3,"No",_xlfn.XLOOKUP(_xlfn.XLOOKUP(Animals!B329,'Base stats'!B:B,'Base stats'!E:E),Groups!A:A,Groups!AP:AP))</f>
        <v>No</v>
      </c>
      <c r="BG329" s="2">
        <f>IF(AND(J329&lt;=0.65,_xlfn.XLOOKUP(_xlfn.XLOOKUP(Animals!B329,'Base stats'!B:B,'Base stats'!E:E),Groups!A:A,Groups!AP:AP)&lt;&gt;"No",_xlfn.XLOOKUP(_xlfn.XLOOKUP(B329,'Base stats'!B:B,'Base stats'!E:E),Groups!A:A,Groups!D:D)=0),MROUND((80/3)*IF(_xlfn.XLOOKUP(B329,'Base stats'!B:B,'Base stats'!O:O)=2,0.2,AO329) + 24*(1-IF(BF329="No",0,BF329)) + 16/3, 12),"No")</f>
        <v>48</v>
      </c>
      <c r="BH329" s="2">
        <f>IF(AND(_xlfn.XLOOKUP(_xlfn.XLOOKUP(B329,'Base stats'!B:B,'Base stats'!E:E),Groups!A:A,Groups!AQ:AQ)=1,AO329&lt;=0.35),8,12)</f>
        <v>12</v>
      </c>
      <c r="BI329" s="2" t="str">
        <f>IF(_xlfn.XLOOKUP(_xlfn.XLOOKUP(B329,'Base stats'!B:B,'Base stats'!E:E),Groups!A:A,Groups!D:D)=0,_xlfn.XLOOKUP(_xlfn.XLOOKUP(B329,'Base stats'!B:B,'Base stats'!E:E),Groups!A:A,Groups!AR:AR),"None")</f>
        <v>Advanced</v>
      </c>
      <c r="BJ329" s="2" t="str">
        <f>IF(AND(_xlfn.XLOOKUP(_xlfn.XLOOKUP(B329,'Base stats'!B:B,'Base stats'!E:E),Groups!A:A,Groups!AS:AS)=1,OR(_xlfn.XLOOKUP(B329,'Base stats'!B:B,'Base stats'!Y:Y)="Carnivore",_xlfn.XLOOKUP(B329,'Base stats'!B:B,'Base stats'!Y:Y)="Omnivore")),"true","false")</f>
        <v>true</v>
      </c>
      <c r="BK329" s="2">
        <f>IF(BJ329="true",MROUND(IF(AND(AO329&gt;0.5,OR(_xlfn.XLOOKUP(_xlfn.XLOOKUP(B329,'Base stats'!B:B,'Base stats'!E:E),Groups!A:A,Groups!AJ:AJ)="Photonozoa",_xlfn.XLOOKUP(_xlfn.XLOOKUP(B329,'Base stats'!B:B,'Base stats'!E:E),Groups!A:A,Groups!AJ:AJ)="Mammal")),Animals!AO329*1.75*IF(AW329="true",1.5,1),IF(AO329&lt;0.5,Animals!AO329*0.5,Animals!AO329)),IF(AO329&gt;2,0.5,IF(AO329&gt;0.5,0.25,0.1))),"No")</f>
        <v>2</v>
      </c>
      <c r="BL329" s="2">
        <f t="shared" si="38"/>
        <v>1</v>
      </c>
      <c r="BM329" s="25" t="str">
        <f>IF(_xlfn.XLOOKUP(B329,'Base stats'!B:B,'Base stats'!AN:AN)="Standard","No",MROUND((_xlfn.XLOOKUP(B329,'Base stats'!B:B,'Base stats'!AN:AN)/3.6)/I329,0.1))</f>
        <v>No</v>
      </c>
      <c r="BN329" s="25" t="str">
        <f t="shared" si="39"/>
        <v>false</v>
      </c>
      <c r="BO329" s="25" t="str">
        <f>IF(AND(OR(_xlfn.XLOOKUP(B329,'Base stats'!B:B,'Base stats'!Y:Y)="Carnivore",_xlfn.XLOOKUP(B329,'Base stats'!B:B,'Base stats'!Y:Y)="Omnivore",_xlfn.XLOOKUP(B329,'Base stats'!B:B,'Base stats'!Y:Y)="OmnivoreRough"),_xlfn.XLOOKUP(_xlfn.XLOOKUP(B329,'Base stats'!B:B,'Base stats'!E:E),Groups!A:A,Groups!AT:AT)=1),"true","false")</f>
        <v>false</v>
      </c>
      <c r="BP329" s="25" t="str" cm="1">
        <f t="array" ref="BP329">IF(
  _xlfn.TEXTJOIN(", ",TRUE,
    IF(AND(BJ329="true",AO329&gt;0.5,BI329&lt;&gt;"None"),"AttackTarget",""),
    IF(AND(_xlfn.XLOOKUP(_xlfn.XLOOKUP(B329,'Base stats'!B:B,'Base stats'!E:E),Groups!A:A,Groups!AJ:AJ="Mammal"),OR(_xlfn.XLOOKUP(B329,'Base stats'!B:B,'Base stats'!Y:Y)="Omnivore",_xlfn.XLOOKUP(B329,'Base stats'!B:B,'Base stats'!Y:Y)="OmnivoreRough")),"Forage",""),
    IF(BG329&lt;=36,"Comfort",""),
    IF(_xlfn.XLOOKUP(B329,'Base stats'!B:B,'Base stats'!AE:AE)&lt;&gt;"No",_xlfn.XLOOKUP(B329,'Base stats'!B:B,'Base stats'!AE:AE),"")
  ) = "",
  "No",
  _xlfn.TEXTJOIN(", ",TRUE,
    IF(AND(BJ329="true",AO329&gt;0.5,BI329&lt;&gt;"None"),"AttackTarget",""),
    IF(AND(_xlfn.XLOOKUP(_xlfn.XLOOKUP(B329,'Base stats'!B:B,'Base stats'!E:E),Groups!A:A,Groups!AJ:AJ="Mammal"),OR(_xlfn.XLOOKUP(B329,'Base stats'!B:B,'Base stats'!Y:Y)="Omnivore",_xlfn.XLOOKUP(B329,'Base stats'!B:B,'Base stats'!Y:Y)="OmnivoreRough")),"Forage",""),
    IF(BG329&lt;=36,"Comfort",""),
    IF(_xlfn.XLOOKUP(B329,'Base stats'!B:B,'Base stats'!AE:AE)&lt;&gt;"No",_xlfn.XLOOKUP(B329,'Base stats'!B:B,'Base stats'!AE:AE),"")
  )
)</f>
        <v>AttackTarget</v>
      </c>
      <c r="BQ329" s="25" t="str">
        <f>IF(
   AND(
      'Base stats'!AN329="Standard",_xlfn.XLOOKUP(_xlfn.XLOOKUP(B329,'Base stats'!B:B,'Base stats'!E:E),Groups!A:A,Groups!AU:AU)=0,
      OR(
      BO329="True"
      )
   ),
   10,
   IF(
       OR(BM329&lt;&gt;"No",_xlfn.XLOOKUP(_xlfn.XLOOKUP(B329,'Base stats'!B:B,'Base stats'!E:E),Groups!A:A,Groups!AU:AU)=1),
      1,
      "No"
   )
)</f>
        <v>No</v>
      </c>
      <c r="BR329" s="9">
        <f>MROUND((1 + ((0.2*IF(OR(Q329="No",R329="No",R329=0),0,Q329/R329)
+IF(OR(V329="No",S329="No",T329="No"),0,S329/T329*(LEN(V329)-LEN(SUBSTITUTE(V329,",",""))+1))
+IF(OR(X329="No",Y329="No"),0,X329/Y329)
+IF(OR(AD329="No",AE329="No"),0,AD329/AE329)
+IF(OR(AL329="No",AI329="No",AJ329="No"),0,AI329/AJ329*(LEN(AL329)-LEN(SUBSTITUTE(AL329,",",""))+1))
)/(0.2*IF(OR(Q329="No",R329="No",R329=0),0,1)
+IF(OR(V329="No",S329="No",T329="No"),0,LEN(V329)-LEN(SUBSTITUTE(V329,",",""))+1)
+IF(OR(X329="No",Y329="No"),0,1)
+IF(OR(AD329="No",AE329="No"),0,1)
+IF(OR(AL329="No",AI329="No",AJ329="No"),0,LEN(AL329)-LEN(SUBSTITUTE(AL329,",",""))+1))*62%)* 2)*(1 + (AP329 / (IF(_xlfn.XLOOKUP(_xlfn.XLOOKUP(B329,'Base stats'!B:B,'Base stats'!E:E),Groups!A:A,Groups!AJ:AJ)="Photonozoa",0.3,1)) + _xlfn.XLOOKUP(B329,'Base stats'!B:B,'Base stats'!AV:AV) * 1.8) * 2) * 2.5 + 10 + I329 * 2,5)+IF(_xlfn.XLOOKUP(B329,'Base stats'!B:B,'Base stats'!AK:AK)=1,50,0)</f>
        <v>100</v>
      </c>
      <c r="BS329" s="8">
        <f t="shared" si="40"/>
        <v>0.55000000000000004</v>
      </c>
      <c r="BT329" s="8" t="str">
        <f>_xlfn.XLOOKUP(B329,'Base stats'!B:B,'Base stats'!AF:AF)</f>
        <v>2~6</v>
      </c>
      <c r="BU329" s="2" t="str">
        <f>IF(AND(J329&lt;=0.95,OR(_xlfn.XLOOKUP(B329,'Base stats'!B:B,'Base stats'!AK:AK)=1,_xlfn.XLOOKUP(B329,'Base stats'!B:B,'Base stats'!Y:Y)="Carnivore",_xlfn.XLOOKUP(B329,'Base stats'!B:B,'Base stats'!Y:Y)="Omnivore",BE329&gt;0.1)),"true","false")</f>
        <v>true</v>
      </c>
      <c r="BV329" s="2" t="str">
        <f>IF(_xlfn.XLOOKUP(B329,'Base stats'!B:B,'Base stats'!AI:AI)=1,"true","false")</f>
        <v>false</v>
      </c>
      <c r="BW329" s="25" t="str">
        <f>IF(E329="BaseInsect","AnimalInsect",
IF(J329&gt;0.95,"AnimalExotic",
_xlfn.TEXTJOIN(", ",TRUE,
IF(OR(_xlfn.XLOOKUP(B329,'Base stats'!B:B,'Base stats'!AM:AM)=1,AND(_xlfn.XLOOKUP(B329,'Base stats'!B:B,'Base stats'!O:O)=0,_xlfn.XLOOKUP(_xlfn.XLOOKUP(B329,'Base stats'!B:B,'Base stats'!E:E),Groups!A:A,Groups!B:B)&gt;0)),"AnimalUncommon","AnimalCommon"),
IF(AND(_xlfn.XLOOKUP(B329,'Base stats'!B:B,'Base stats'!O:O)=2,_xlfn.XLOOKUP(_xlfn.XLOOKUP(B329,'Base stats'!B:B,'Base stats'!E:E),Groups!A:A,Groups!D:D)=0),"AnimalPet",IF(AND(_xlfn.XLOOKUP(B329,'Base stats'!B:B,'Base stats'!O:O)&lt;&gt;0,_xlfn.XLOOKUP(_xlfn.XLOOKUP(B329,'Base stats'!B:B,'Base stats'!E:E),Groups!A:A,Groups!D:D)&lt;&gt;0),"AnimalFarm","")),
IF(OR(_xlfn.XLOOKUP(B329,'Base stats'!B:B,'Base stats'!AK:AK)=1,AND(BI329&lt;&gt;"None",BR329&gt;=60),ISNUMBER(SEARCH("Attack target",BP329))),"AnimalFighter","")
)))</f>
        <v>AnimalUncommon, AnimalFighter</v>
      </c>
      <c r="BX329" s="25" t="str">
        <f>IF(G329="None",TRIM(
SUBSTITUTE(
IF(COUNTIF(Biomes!B$2:B$259,"="&amp;$C329)&gt;0,Biomes!B$1&amp;", ","")&amp;
IF(COUNTIF(Biomes!C$2:C$259,"="&amp;$C329)&gt;0,Biomes!C$1&amp;", ","")&amp;
IF(COUNTIF(Biomes!D$2:D$259,"="&amp;$C329)&gt;0,Biomes!D$1&amp;", ","")&amp;
IF(COUNTIF(Biomes!F$2:F$259,"="&amp;$C329)&gt;0,Biomes!F$1&amp;", ","")&amp;
IF(COUNTIF(Biomes!G$2:G$259,"="&amp;$C329)&gt;0,Biomes!G$1&amp;", ","")&amp;
IF(COUNTIF(Biomes!H$2:H$259,"="&amp;$C329)&gt;0,Biomes!H$1&amp;", ","")&amp;
IF(COUNTIF(Biomes!I$2:I$259,"="&amp;$C329)&gt;0,Biomes!I$1&amp;", ","")&amp;
IF(COUNTIF(Biomes!J$2:J$259,"="&amp;$C329)&gt;0,Biomes!J$1&amp;", ","")&amp;
IF(COUNTIF(Biomes!M$2:M$259,"="&amp;$C329)&gt;0,Biomes!M$1&amp;", ","")&amp;
IF(COUNTIF(Biomes!N$2:N$259,"="&amp;$C329)&gt;0,Biomes!N$1&amp;", ","")&amp;
IF(COUNTIF(Biomes!O$2:O$259,"="&amp;$C329)&gt;0,Biomes!O$1&amp;", ","")&amp;
IF(COUNTIF(Biomes!P$2:P$259,"="&amp;$C329)&gt;0,Biomes!P$1&amp;", ","")&amp;
IF(COUNTIF(Biomes!K$2:K$259,"="&amp;$C329)&gt;0,Biomes!K$1&amp;", ","")&amp;
IF(COUNTIF(Biomes!Q$3:Q$259,"="&amp;$C329)&gt;0,Biomes!Q$1&amp;", ","")&amp;
IF(COUNTIF(Biomes!L$2:L$259,"="&amp;$C329)&gt;0,Biomes!L$1&amp;", ","")&amp;
IF(COUNTIF(Biomes!E$2:E$259,"="&amp;$C329)&gt;0,Biomes!E$1&amp;", ","")&amp;IF(COUNTIF(Biomes!S$2:S$259,"="&amp;$C329)&gt;0,Biomes!S$1&amp;", ","")&amp;
IF(COUNTIF(Biomes!R$2:R$259,"="&amp;$C329)&gt;0,Biomes!R$1&amp;", ",""),", ","")
),_xlfn.XLOOKUP(B329,B:B,BX:BX))</f>
        <v/>
      </c>
      <c r="BY329" s="25" t="str">
        <f>IF(_xlfn.XLOOKUP(B329,'Base stats'!B:B,'Base stats'!AJ:AJ)=1,"true","false")</f>
        <v>false</v>
      </c>
      <c r="BZ329" s="25">
        <f>IF(_xlfn.XLOOKUP(B329,'Base stats'!B:B,'Base stats'!N:N)=1,"No",MAX(0.001,MIN(MROUND(IF(AND(BJ329="True",CC329="False"),POWER(10,3.47*LOG10(_xlfn.XLOOKUP(B329,'Base stats'!B:B,'Base stats'!C:C)*1000)^-0.96),POWER(10,4.15*LOG10(_xlfn.XLOOKUP(B329,'Base stats'!B:B,'Base stats'!C:C)*1000)^-0.73))*IF(_xlfn.XLOOKUP(B329,'Base stats'!B:B,'Base stats'!AK:AK)=1,0.5,1)*IF(_xlfn.XLOOKUP(B329,'Base stats'!B:B,'Base stats'!AM:AM)=1,0.1,1)/100,IF(_xlfn.XLOOKUP(B329,'Base stats'!B:B,'Base stats'!AM:AM)=1,0.001,0.025)),0.5)))</f>
        <v>6.0000000000000001E-3</v>
      </c>
      <c r="CA329" s="25" t="str">
        <f>IF(P329="Standard","No",MAX(0.001,MIN(MROUND(IF(AND(BJ329="True",CC329="False"),POWER(10,3.47*LOG10(_xlfn.XLOOKUP(B329,'Base stats'!B:B,'Base stats'!C:C)*1000)^-0.96),POWER(10,4.15*LOG10(_xlfn.XLOOKUP(B329,'Base stats'!B:B,'Base stats'!C:C)*1000)^-0.73))*IF(_xlfn.XLOOKUP(B329,'Base stats'!B:B,'Base stats'!AM:AM)=1,0.1,1)*_xlfn.XLOOKUP(B329,'Base stats'!B:B,'Base stats'!R:R)/100,IF(_xlfn.XLOOKUP(B329,'Base stats'!B:B,'Base stats'!AM:AM)=1,0.001,0.025)),0.5)))</f>
        <v>No</v>
      </c>
      <c r="CB329" s="25" t="str">
        <f>IF(_xlfn.XLOOKUP(_xlfn.XLOOKUP(B329,'Base stats'!B:B,'Base stats'!E:E),Groups!A:A,Groups!AJ:AJ)="Mammal","True","False")</f>
        <v>True</v>
      </c>
      <c r="CC329" s="25" t="str">
        <f>IF(OR(_xlfn.XLOOKUP(_xlfn.XLOOKUP(B329,'Base stats'!B:B,'Base stats'!E:E),Groups!A:A,Groups!AJ:AJ)="Reptile",_xlfn.XLOOKUP(_xlfn.XLOOKUP(B329,'Base stats'!B:B,'Base stats'!E:E),Groups!A:A,Groups!AJ:AJ)="Amphibian",_xlfn.XLOOKUP(_xlfn.XLOOKUP(B329,'Base stats'!B:B,'Base stats'!E:E),Groups!A:A,Groups!AJ:AJ)="Invertebrate"),"True","False")</f>
        <v>False</v>
      </c>
      <c r="CD329" s="25" t="str">
        <f t="shared" si="41"/>
        <v>False</v>
      </c>
      <c r="CE329" s="25" t="str">
        <f>IF(_xlfn.XLOOKUP(_xlfn.XLOOKUP(B329,'Base stats'!B:B,'Base stats'!E:E),Groups!A:A,Groups!AX:AX),"True","False")</f>
        <v>False</v>
      </c>
      <c r="CF329" s="25" t="str">
        <f>IF(_xlfn.XLOOKUP(_xlfn.XLOOKUP(B329,'Base stats'!B:B,'Base stats'!E:E),Groups!A:A,Groups!AY:AY),"True","False")</f>
        <v>False</v>
      </c>
      <c r="CG329" s="25" t="str">
        <f>IF(_xlfn.XLOOKUP(_xlfn.XLOOKUP(B329,'Base stats'!B:B,'Base stats'!E:E),Groups!A:A,Groups!AW:AW),"True","False")</f>
        <v>False</v>
      </c>
      <c r="CH329" s="25" t="str">
        <f>IF(
OR(
_xlfn.XLOOKUP(_xlfn.XLOOKUP(B329,'Base stats'!B:B,'Base stats'!E:E),Groups!A:A,Groups!AZ:AZ)=0,
AND(
_xlfn.XLOOKUP(B329,'Base stats'!B:B,'Base stats'!Y:Y)&lt;&gt;"Carnivore",
_xlfn.XLOOKUP(B329,'Base stats'!B:B,'Base stats'!Y:Y)&lt;&gt;"Omnivore",
_xlfn.XLOOKUP(B329,'Base stats'!B:B,'Base stats'!Y:Y)&lt;&gt;"OmnivoreRough"
)
),
"No",
IF(
_xlfn.XLOOKUP(_xlfn.XLOOKUP(B329,'Base stats'!B:B,'Base stats'!E:E),Groups!A:A,Groups!AZ:AZ)=1,
"Flesh",
IF(
_xlfn.XLOOKUP(_xlfn.XLOOKUP(B329,'Base stats'!B:B,'Base stats'!E:E),Groups!A:A,Groups!AZ:AZ)=2,
"Bone",
""
)
)
)</f>
        <v>No</v>
      </c>
      <c r="CI329" s="25" t="str">
        <f>IF(_xlfn.XLOOKUP(_xlfn.XLOOKUP(B329,'Base stats'!B:B,'Base stats'!E:E),Groups!A:A,Groups!BB:BB),"True","False")</f>
        <v>True</v>
      </c>
      <c r="CJ329" s="25" t="str">
        <f>IF(_xlfn.XLOOKUP(_xlfn.XLOOKUP(B329,'Base stats'!B:B,'Base stats'!E:E),Groups!A:A,Groups!BA:BA),"True","False")</f>
        <v>False</v>
      </c>
    </row>
    <row r="330" spans="1:88" ht="16.5" thickTop="1" thickBot="1" x14ac:dyDescent="0.3">
      <c r="A330" s="26" t="s">
        <v>1572</v>
      </c>
      <c r="B330" s="6" t="str">
        <f>_xlfn.XLOOKUP(A330,'Base stats'!A:A,'Base stats'!B:B)</f>
        <v>Anguilla coelestis</v>
      </c>
      <c r="C330" s="28" t="s">
        <v>1573</v>
      </c>
      <c r="D330" s="28" t="s">
        <v>1341</v>
      </c>
      <c r="E330" s="28" t="s">
        <v>673</v>
      </c>
      <c r="F330" s="28" t="s">
        <v>673</v>
      </c>
      <c r="G330" s="28" t="s">
        <v>673</v>
      </c>
      <c r="H330" s="2">
        <f>MROUND((
  (IF(AND(_xlfn.XLOOKUP(B330,'Base stats'!B:B,'Base stats'!AL:AL)=0,BI330="None",_xlfn.XLOOKUP(_xlfn.XLOOKUP(B330,'Base stats'!B:B,'Base stats'!E:E),Groups!A:A,Groups!B:B)=0), (18 + BR330 * 2.7) * 0.5,
    IF(AND(_xlfn.XLOOKUP(B330,'Base stats'!B:B,'Base stats'!AL:AL)=0,OR(AO330&lt;0.55,AND(BI330="Intermediate",_xlfn.XLOOKUP(_xlfn.XLOOKUP(B330,'Base stats'!B:B,'Base stats'!E:E),Groups!A:A,Groups!B:B)&lt;2))), (18 + BR330 * 2.7),
      IF(OR(BI330="Advanced",_xlfn.XLOOKUP(B330,'Base stats'!B:B,'Base stats'!AL:AL)=1,_xlfn.XLOOKUP(_xlfn.XLOOKUP(B330,'Base stats'!B:B,'Base stats'!E:E),Groups!A:A,Groups!B:B)=2), (18 + BR330 * 2.7) + 250, (18 + BR330 * 2.7))
    )
  ))
  + AO330 * 80
  + IF(COUNTIF(EggMilk!K$2:K$998, A330) &gt; 0, 125, 0)
  + IF(COUNTIF(EggMilk!P$2:P$998, A330) &gt; 0, 90, 0)
  + IF(COUNTIF(EggMilk!A$2:A$998, A330) &gt; 0, 90, 0)
)
* (0.8 + 0.4 * J330)
* 0.75,25)</f>
        <v>125</v>
      </c>
      <c r="I330" s="2">
        <f>MROUND(ROUNDDOWN(_xlfn.XLOOKUP(B330,'Base stats'!B:B,'Base stats'!L:L)/3.6/(23.3/11),1),0.5)</f>
        <v>3</v>
      </c>
      <c r="J330" s="2">
        <f>IF(OR(_xlfn.XLOOKUP(B330,'Base stats'!B:B,'Base stats'!AB:AB)=1,_xlfn.XLOOKUP(_xlfn.XLOOKUP(B330,'Base stats'!B:B,'Base stats'!E:E),Groups!A:A,Groups!C:C)="Untamable"),1,IF(_xlfn.XLOOKUP(B330,'Base stats'!B:B,'Base stats'!AL:AL)=1,0.99,MIN(MROUND((1-0.6282*EXP(-0.459*AO330))*_xlfn.XLOOKUP(_xlfn.XLOOKUP(B330,'Base stats'!B:B,'Base stats'!E:E),Groups!A:A,Groups!C:C)*IF(_xlfn.XLOOKUP(B330,'Base stats'!B:B,'Base stats'!O:O)=1,0.5,IF(_xlfn.XLOOKUP(B330,'Base stats'!B:B,'Base stats'!O:O)=2,0,1)),0.05),IF(AO330&gt;3.5,0.985,0.95))))</f>
        <v>0.70000000000000007</v>
      </c>
      <c r="K330" s="2">
        <f>ROUNDUP(AO330*_xlfn.XLOOKUP(_xlfn.XLOOKUP(B330,'Base stats'!B:B,'Base stats'!E:E),Groups!A:A,Groups!E:E),0)</f>
        <v>1</v>
      </c>
      <c r="L330" s="2">
        <f>IF(OR(_xlfn.XLOOKUP(_xlfn.XLOOKUP(B330,'Base stats'!B:B,'Base stats'!E:E),Groups!A:A,Groups!F:F)=2,ISNUMBER(SEARCH("SeaIce",BX330)),ISNUMBER(SEARCH("IceSheet",BX330))),-50,IF(OR(ISNUMBER(SEARCH("GlacialPlain",BX330)),ISNUMBER(SEARCH("Tundra",BX330))),-40,IF(OR(ISNUMBER(SEARCH("Alpine",BX330)),ISNUMBER(SEARCH("BorealForest",BX330)),ISNUMBER(SEARCH("ColdBog",BX330))),-30,IF(OR(ISNUMBER(SEARCH("TemperateForest",BX330)),ISNUMBER(SEARCH("TemperateSwamp",BX330))),-20,IF(_xlfn.XLOOKUP(_xlfn.XLOOKUP(B330,'Base stats'!B:B,'Base stats'!E:E),Groups!A:A,Groups!F:F)=1,-15,IF(OR(ISNUMBER(SEARCH("Desert",BX330)),ISNUMBER(SEARCH("ExtremeDesert",BX330))),-10,IF(OR(ISNUMBER(SEARCH("Grasslands",BX330)),ISNUMBER(SEARCH("TropicalRainforest",BX330)),ISNUMBER(SEARCH("TropicalSwamp",BX330))),10,0)))))))-IF(CC330="False",MIN(IFERROR(MAX(MROUND(LOG10(_xlfn.XLOOKUP(B330,'Base stats'!B:B,'Base stats'!C:C)^(2/3))*10,5),5),5),30))-_xlfn.XLOOKUP(B330,'Base stats'!B:B,'Base stats'!P:P)+IF(CC330="True",5,0)</f>
        <v>5</v>
      </c>
      <c r="M330" s="2">
        <f>IF(OR(_xlfn.XLOOKUP(_xlfn.XLOOKUP(B330,'Base stats'!B:B,'Base stats'!E:E),Groups!A:A,Groups!G:G)=2,ISNUMBER(SEARCH("Desert",BX330)),ISNUMBER(SEARCH("ExtremeDesert",BX330)),ISNUMBER(SEARCH("LavaField",BX330))),50,IF(ISNUMBER(SEARCH("Grasslands",BX330)),45,IF(OR(_xlfn.XLOOKUP(_xlfn.XLOOKUP(B330,'Base stats'!B:B,'Base stats'!E:E),Groups!A:A,Groups!G:G)=1,ISNUMBER(SEARCH("TropicalRainforest",BX330)),ISNUMBER(SEARCH("TropicalSwamp",BX330))),40,IF(OR(ISNUMBER(SEARCH("TemperateForest",BX330)),ISNUMBER(SEARCH("TemperateSwamp",BX330))),35,IF(OR(ISNUMBER(SEARCH("Alpine",BX330)),ISNUMBER(SEARCH("BorealForest",BX330)),ISNUMBER(SEARCH("ColdBog",BX330))),30,IF(ISNUMBER(OR(ISNUMBER(SEARCH("GlacialPlain",BX330)),SEARCH("Tundra",BX330))),25,IF(OR(ISNUMBER(SEARCH("SeaIce",BX330)),ISNUMBER(SEARCH("IceSheet",BX330)),ISNUMBER(SEARCH("TropicalSwamp",BX330))),10,35)))))))+_xlfn.XLOOKUP(B330,'Base stats'!B:B,'Base stats'!Q:Q)</f>
        <v>35</v>
      </c>
      <c r="N330" s="8" t="str">
        <f>IF(
_xlfn.XLOOKUP(
_xlfn.XLOOKUP(B330,'Base stats'!B:B,'Base stats'!E:E),
Groups!A:A,
Groups!L:L
)=1,
MIN(
MROUND(
IF(
_xlfn.XLOOKUP(B330,'Animals CE'!B:B,'Animals CE'!Z:Z)&lt;=1.5,
_xlfn.XLOOKUP(B330,'Animals CE'!B:B,'Animals CE'!Z:Z)/2+0.05,
0.8+
(_xlfn.XLOOKUP(B330,'Animals CE'!B:B,'Animals CE'!Z:Z)-1.5)
*0.02
),
0.05
),
200%
),
"No"
)</f>
        <v>No</v>
      </c>
      <c r="O330" s="8" t="str">
        <f>IF(
_xlfn.XLOOKUP(
_xlfn.XLOOKUP(B330,'Base stats'!B:B,'Base stats'!E:E),
Groups!A:A,
Groups!L:L
)=1,
MIN(
MROUND(
IF(
_xlfn.XLOOKUP(B330,'Animals CE'!B:B,'Animals CE'!AA:AA)&lt;=1.5,
_xlfn.XLOOKUP(B330,'Animals CE'!B:B,'Animals CE'!AA:AA)/2+0.05,
0.8+
(_xlfn.XLOOKUP(B330,'Animals CE'!B:B,'Animals CE'!AA:AA)-1.5)
*0.02
),
0.05
),
200%
),
"No"
)</f>
        <v>No</v>
      </c>
      <c r="P330" s="2" t="str">
        <f>_xlfn.XLOOKUP(B330,'Base stats'!B:B,'Base stats'!R:R)</f>
        <v>Standard</v>
      </c>
      <c r="Q330" s="13">
        <f>MROUND((LOG10(_xlfn.XLOOKUP(B330,'Base stats'!B:B,'Base stats'!AR:AR))*(AO330^0.5)+(_xlfn.XLOOKUP(B330,'Base stats'!B:B,'Base stats'!AR:AR)/1000)^(2/3)+_xlfn.XLOOKUP(B330,'Base stats'!B:B,'Base stats'!BA:BA)/2)+0.5,0.5)</f>
        <v>3.5</v>
      </c>
      <c r="R330" s="7">
        <f>IF(Q330="No","No",MAX(1,MROUND(_xlfn.XLOOKUP(B330,'Base stats'!B:B,'Base stats'!C:C)^0.165,0.05)))</f>
        <v>1.4500000000000002</v>
      </c>
      <c r="S330" s="13" t="str">
        <f>IF(_xlfn.XLOOKUP(_xlfn.XLOOKUP(B330,'Base stats'!B:B,'Base stats'!E:E),Groups!A:A,Groups!P:P)=0,"No",MROUND((LOG10(_xlfn.XLOOKUP(B330,'Base stats'!B:B,'Base stats'!AS:AS))*(AO330^0.5)+(_xlfn.XLOOKUP(B330,'Base stats'!B:B,'Base stats'!AS:AS)/1000)^(2/3)+_xlfn.XLOOKUP(B330,'Base stats'!B:B,'Base stats'!BA:BA))+_xlfn.XLOOKUP(B330,'Base stats'!B:B,'Base stats'!AY:AY)+0.5,0.5))</f>
        <v>No</v>
      </c>
      <c r="T330" s="7" t="str">
        <f>IF(S330="No","No",MAX(_xlfn.XLOOKUP(_xlfn.XLOOKUP(B330,'Base stats'!B:B,'Base stats'!E:E),Groups!A:A,Groups!Q:Q),MROUND(_xlfn.XLOOKUP(_xlfn.XLOOKUP(B330,'Base stats'!B:B,'Base stats'!E:E),Groups!A:A,Groups!Q:Q)*_xlfn.XLOOKUP(B330,'Base stats'!B:B,'Base stats'!C:C)^0.165,0.05)))</f>
        <v>No</v>
      </c>
      <c r="U330" s="7" t="str">
        <f>IF(S330="No","No",_xlfn.XLOOKUP(_xlfn.XLOOKUP(B330,'Base stats'!B:B,'Base stats'!E:E),Groups!A:A,Groups!R:R))</f>
        <v>No</v>
      </c>
      <c r="V330" s="7" t="str">
        <f>IF(S330="No","No",_xlfn.XLOOKUP(_xlfn.XLOOKUP(B330,'Base stats'!B:B,'Base stats'!E:E),Groups!A:A,Groups!S:S))</f>
        <v>No</v>
      </c>
      <c r="W330" s="7" t="str">
        <f>IF(S330="No","No",_xlfn.XLOOKUP(_xlfn.XLOOKUP(B330,'Base stats'!B:B,'Base stats'!E:E),Groups!A:A,Groups!T:T))</f>
        <v>No</v>
      </c>
      <c r="X330" s="13" t="str">
        <f>IF(_xlfn.XLOOKUP(B330,'Base stats'!B:B,'Base stats'!W:W)="No","No",MROUND((LOG10(_xlfn.XLOOKUP(B330,'Base stats'!B:B,'Base stats'!AU:AU))*(AO330^0.5)+(_xlfn.XLOOKUP(B330,'Base stats'!B:B,'Base stats'!AU:AU)/1000)^(2/3)+_xlfn.XLOOKUP(B330,'Base stats'!B:B,'Base stats'!AZ:AZ))+0.5+IF(_xlfn.XLOOKUP(_xlfn.XLOOKUP(B330,'Base stats'!B:B,'Base stats'!E:E),Groups!A:A,Groups!U:U)&lt;&gt;3,_xlfn.XLOOKUP(B330,'Base stats'!B:B,'Base stats'!BA:BA),0),0.5))</f>
        <v>No</v>
      </c>
      <c r="Y330" s="7" t="str">
        <f>IF(X330="No","No",MAX(_xlfn.XLOOKUP(_xlfn.XLOOKUP(B330,'Base stats'!B:B,'Base stats'!E:E),Groups!A:A,Groups!V:V),MROUND(_xlfn.XLOOKUP(_xlfn.XLOOKUP(B330,'Base stats'!B:B,'Base stats'!E:E),Groups!A:A,Groups!V:V)*_xlfn.XLOOKUP(B330,'Base stats'!B:B,'Base stats'!C:C)^0.165,0.05)))</f>
        <v>No</v>
      </c>
      <c r="Z330" s="7" t="str">
        <f>IF(X330="No","No",_xlfn.XLOOKUP(_xlfn.XLOOKUP(B330,'Base stats'!B:B,'Base stats'!E:E),Groups!A:A,Groups!W:W))</f>
        <v>No</v>
      </c>
      <c r="AA330" s="7" t="str">
        <f>IF(X330="No","No",_xlfn.XLOOKUP(_xlfn.XLOOKUP(B330,'Base stats'!B:B,'Base stats'!E:E),Groups!A:A,Groups!X:X))</f>
        <v>No</v>
      </c>
      <c r="AB330" s="7" t="str">
        <f>IF(X330="No","No",_xlfn.XLOOKUP(_xlfn.XLOOKUP(B330,'Base stats'!B:B,'Base stats'!E:E),Groups!A:A,Groups!Y:Y))</f>
        <v>No</v>
      </c>
      <c r="AC330" s="7" t="str">
        <f>_xlfn.XLOOKUP(Animals!B330,'Base stats'!B:B,'Base stats'!X:X)</f>
        <v>False</v>
      </c>
      <c r="AD330" s="13">
        <f>IF(_xlfn.XLOOKUP(B330,'Base stats'!B:B,'Base stats'!AT:AT)="No","No",MROUND((LOG10(_xlfn.XLOOKUP(B330,'Base stats'!B:B,'Base stats'!AT:AT))*(AO330^0.75)+(_xlfn.XLOOKUP(B330,'Base stats'!B:B,'Base stats'!AT:AT)/1000)^(2/3)+_xlfn.XLOOKUP(B330,'Base stats'!B:B,'Base stats'!AX:AX)+_xlfn.XLOOKUP(B330,'Base stats'!B:B,'Base stats'!BA:BA))+0.5,0.5))</f>
        <v>4.5</v>
      </c>
      <c r="AE330" s="7">
        <f>IF(AD330="No","No",MAX(_xlfn.XLOOKUP(_xlfn.XLOOKUP(B330,'Base stats'!B:B,'Base stats'!E:E),Groups!A:A,Groups!Z:Z),MROUND(_xlfn.XLOOKUP(_xlfn.XLOOKUP(B330,'Base stats'!B:B,'Base stats'!E:E),Groups!A:A,Groups!Z:Z)*_xlfn.XLOOKUP(B330,'Base stats'!B:B,'Base stats'!C:C)^0.165,0.05)))</f>
        <v>1.1500000000000001</v>
      </c>
      <c r="AF330" s="7" t="str">
        <f>IF(AD330="No","No",_xlfn.XLOOKUP(_xlfn.XLOOKUP(B330,'Base stats'!B:B,'Base stats'!E:E),Groups!A:A,Groups!AA:AA))</f>
        <v>Mouth</v>
      </c>
      <c r="AG330" s="7" t="str">
        <f>IF(AD330="No","No",_xlfn.XLOOKUP(_xlfn.XLOOKUP(B330,'Base stats'!B:B,'Base stats'!E:E),Groups!A:A,Groups!AB:AB))</f>
        <v>teeth</v>
      </c>
      <c r="AH330" s="7" t="str">
        <f>IF(AD330="No","No",_xlfn.XLOOKUP(_xlfn.XLOOKUP(B330,'Base stats'!B:B,'Base stats'!E:E),Groups!A:A,Groups!AC:AC))</f>
        <v>AA_Electric</v>
      </c>
      <c r="AI330" s="13" t="str">
        <f>IF(_xlfn.XLOOKUP(_xlfn.XLOOKUP(B330,'Base stats'!B:B,'Base stats'!E:E),Groups!A:A,Groups!AD:AD)=0,"No",MROUND((LOG10(_xlfn.XLOOKUP(B330,'Base stats'!B:B,'Base stats'!AS:AS))*(AO330^0.75)+(_xlfn.XLOOKUP(B330,'Base stats'!B:B,'Base stats'!AS:AS)/1000)^(2/3)+_xlfn.XLOOKUP(B330,'Base stats'!B:B,'Base stats'!AY:AY)+_xlfn.XLOOKUP(B330,'Base stats'!B:B,'Base stats'!BA:BA))+0.5,0.5))</f>
        <v>No</v>
      </c>
      <c r="AJ330" s="7" t="str">
        <f>IF(AI330="No","No",MAX(_xlfn.XLOOKUP(_xlfn.XLOOKUP(B330,'Base stats'!B:B,'Base stats'!E:E),Groups!A:A,Groups!AE:AE),MROUND(_xlfn.XLOOKUP(_xlfn.XLOOKUP(B330,'Base stats'!B:B,'Base stats'!E:E),Groups!A:A,Groups!AE:AE)*IF(_xlfn.XLOOKUP(_xlfn.XLOOKUP(B330,'Base stats'!B:B,'Base stats'!E:E),Groups!A:A,Groups!AJ:AJ)="Photonozoa",0.6,1)*_xlfn.XLOOKUP(B330,'Base stats'!B:B,'Base stats'!C:C)^0.165,0.05)))</f>
        <v>No</v>
      </c>
      <c r="AK330" s="7" t="str">
        <f>IF(AI330="No","No",_xlfn.XLOOKUP(_xlfn.XLOOKUP(B330,'Base stats'!B:B,'Base stats'!E:E),Groups!A:A,Groups!AF:AF))</f>
        <v>No</v>
      </c>
      <c r="AL330" s="7" t="str">
        <f>IF(AI330="No","No",_xlfn.XLOOKUP(_xlfn.XLOOKUP(B330,'Base stats'!B:B,'Base stats'!E:E),Groups!A:A,Groups!AG:AG))</f>
        <v>No</v>
      </c>
      <c r="AM330" s="7" t="str">
        <f>IF(AI330="No","No",_xlfn.XLOOKUP(_xlfn.XLOOKUP(B330,'Base stats'!B:B,'Base stats'!E:E),Groups!A:A,Groups!AH:AH))</f>
        <v>No</v>
      </c>
      <c r="AN330" s="2">
        <f t="shared" si="35"/>
        <v>15</v>
      </c>
      <c r="AO330" s="2">
        <f>MROUND(IF(AND(_xlfn.XLOOKUP(B330,'Base stats'!B:B,'Base stats'!C:C)&gt;=0.5,_xlfn.XLOOKUP(B330,'Base stats'!B:B,'Base stats'!C:C)&lt;=0.8),
IF(_xlfn.XLOOKUP(B330,'Base stats'!B:B,'Base stats'!C:C)&lt;0.1,0.05,IF(_xlfn.XLOOKUP(B330,'Base stats'!B:B,'Base stats'!C:C)&lt;=70,(_xlfn.XLOOKUP(B330,'Base stats'!B:B,'Base stats'!C:C)/70)^0.426489913056526,IF(_xlfn.XLOOKUP(B330,'Base stats'!B:B,'Base stats'!C:C)&lt;=400,(_xlfn.XLOOKUP(B330,'Base stats'!B:B,'Base stats'!C:C)/70)^0.572811455315093,IF(_xlfn.XLOOKUP(B330,'Base stats'!B:B,'Base stats'!C:C)&lt;=2000,2.71391647193063*(_xlfn.XLOOKUP(B330,'Base stats'!B:B,'Base stats'!C:C)/400)^0.252459582904293,3.74314280240376*(_xlfn.XLOOKUP(B330,'Base stats'!B:B,'Base stats'!C:C)/2000)^0.357012633876913)))),
IF(_xlfn.XLOOKUP(B330,'Base stats'!B:B,'Base stats'!C:C)&lt;0.1,0.05,IF(_xlfn.XLOOKUP(B330,'Base stats'!B:B,'Base stats'!C:C)&lt;0.4,0.1,IF(_xlfn.XLOOKUP(B330,'Base stats'!B:B,'Base stats'!C:C)&lt;=70,(_xlfn.XLOOKUP(B330,'Base stats'!B:B,'Base stats'!C:C)/70)^0.445823913056526,IF(_xlfn.XLOOKUP(B330,'Base stats'!B:B,'Base stats'!C:C)&lt;=400,(_xlfn.XLOOKUP(B330,'Base stats'!B:B,'Base stats'!C:C)/70)^0.572811455315093,IF(_xlfn.XLOOKUP(B330,'Base stats'!B:B,'Base stats'!C:C)&lt;=2000,2.71391647193063*(_xlfn.XLOOKUP(B330,'Base stats'!B:B,'Base stats'!C:C)/400)^0.252459582904293,3.74314280240376*(_xlfn.XLOOKUP(B330,'Base stats'!B:B,'Base stats'!C:C)/2000)^0.357012633876913)))))),
IF(_xlfn.XLOOKUP(B330,'Base stats'!B:B,'Base stats'!C:C)&lt;0.1,0.05,IF(_xlfn.XLOOKUP(B330,'Base stats'!B:B,'Base stats'!C:C)&lt;=100,0.05,IF(_xlfn.XLOOKUP(B330,'Base stats'!B:B,'Base stats'!C:C)&lt;=250,0.1,IF(_xlfn.XLOOKUP(B330,'Base stats'!B:B,'Base stats'!C:C)&lt;=4000,0.25,0.5)))))</f>
        <v>0.4</v>
      </c>
      <c r="AP330" s="8">
        <f>MROUND(AO330*_xlfn.XLOOKUP(_xlfn.XLOOKUP(B330,'Base stats'!B:B,'Base stats'!E:E),Groups!A:A,Groups!AI:AI)*_xlfn.XLOOKUP(B330,'Base stats'!B:B,'Base stats'!Z:Z),0.05)</f>
        <v>0.4</v>
      </c>
      <c r="AQ330" s="8">
        <f>MAX(0.01,MROUND(IF(CC330="True",0.196*(AO330*100*1000)^0.889,IF(_xlfn.XLOOKUP(_xlfn.XLOOKUP(B330,'Base stats'!B:B,'Base stats'!E:E),Groups!A:A,Groups!AJ:AJ)="Bird",10.5*(AO330*100*1000)^0.681,4.82*(AO330*100*1000)^0.734))/(4.82*(1*100*1000)^0.734)/IF(AO330&lt;3.5,2,IF(AO330=3.5,1.5,1.25))*(1+0.132282374779864/(AO330^0.994035016789033+0.00905238001496948)),0.05))</f>
        <v>0.05</v>
      </c>
      <c r="AR330" s="9">
        <f>IFERROR(MROUND(_xlfn.XLOOKUP(B330,'Base stats'!B:B,'Base stats'!H:H)/IF(_xlfn.XLOOKUP(B330,'Base stats'!B:B,'Base stats'!I:I)&lt;&gt;1,(122.5/70),1.2),IF(_xlfn.XLOOKUP(B330,'Base stats'!B:B,'Base stats'!H:H)&gt;=30,5,IF(_xlfn.XLOOKUP(B330,'Base stats'!B:B,'Base stats'!H:H)&gt;=15,3,IF(_xlfn.XLOOKUP(B330,'Base stats'!B:B,'Base stats'!H:H)&gt;=10,2,1)))),"Immortal")</f>
        <v>18</v>
      </c>
      <c r="AS330" s="35">
        <f>IFERROR(IF(OR(_xlfn.XLOOKUP(B330,'Base stats'!B:B,'Base stats'!F:F)="Atypical reproduction",_xlfn.XLOOKUP(B330,'Base stats'!B:B,'Base stats'!F:F)="Lay eggs"),"Lay eggs",MIN(20,MAX(5.5,ROUND(((_xlfn.XLOOKUP(B330,'Base stats'!B:B,'Base stats'!F:F)-25)*(14.5/615) + 5.5)*2,0)/2))),"Unknown")</f>
        <v>7</v>
      </c>
      <c r="AT330" s="8">
        <f>IF(_xlfn.XLOOKUP(B330,'Base stats'!B:B,'Base stats'!G:G)="Atypical reproduction","No",IFERROR(MAX(IF(_xlfn.XLOOKUP(B330,'Base stats'!B:B,'Base stats'!G:G)&lt;0.5,0.2,0.3),MROUND(_xlfn.XLOOKUP(B330,'Base stats'!B:B,'Base stats'!G:G)/(365/60),0.2)),"Unknown"))</f>
        <v>0.8</v>
      </c>
      <c r="AU330" s="8">
        <f t="shared" si="36"/>
        <v>0.4</v>
      </c>
      <c r="AV330" s="8">
        <f>IFERROR(IFERROR(MROUND(_xlfn.XLOOKUP(B330,'Base stats'!B:B,'Base stats'!J:J),0.1),"Lay eggs"),"Cannot breed")</f>
        <v>3</v>
      </c>
      <c r="AW330" s="2" t="str">
        <f t="shared" si="37"/>
        <v>false</v>
      </c>
      <c r="AX330" s="2" t="str">
        <f>IF(_xlfn.XLOOKUP(_xlfn.XLOOKUP(Animals!B330,'Base stats'!B:B,'Base stats'!E:E),Groups!A:A,Groups!AK:AK)=1,"true","false")</f>
        <v>false</v>
      </c>
      <c r="AY330" s="25" t="str">
        <f>IF(_xlfn.XLOOKUP(B330,'Base stats'!B:B,'Base stats'!Y:Y)="Liquor","Liquor, CarnivoreAnimalStrict",IF(AND(_xlfn.XLOOKUP(B330,'Base stats'!B:B,'Base stats'!Y:Y)="Carnivore",_xlfn.XLOOKUP(_xlfn.XLOOKUP(B330,'Base stats'!B:B,'Base stats'!E:E),Groups!A:A,Groups!AJ:AJ)="Photonozoa"),"CarnivoreAnimalStrict, OvivoreAnimal",IF(_xlfn.XLOOKUP(B330,'Base stats'!B:B,'Base stats'!Y:Y)="Carnivore","CarnivoreAnimal, OvivoreAnimal",IF(_xlfn.XLOOKUP(B330,'Base stats'!B:B,'Base stats'!Y:Y)="Dendrovore","VegetarianRoughAnimal, DendrovoreAnimal",IF(_xlfn.XLOOKUP(B330,'Base stats'!B:B,'Base stats'!Y:Y)="Herbivore","VegetarianRoughAnimal",IF(_xlfn.XLOOKUP(B330,'Base stats'!B:B,'Base stats'!Y:Y)="OmnivoreRough","OmnivoreRoughAnimal, OvivoreAnimal","OmnivoreAnimal, OvivoreAnimal"))))))</f>
        <v>CarnivoreAnimal, OvivoreAnimal</v>
      </c>
      <c r="AZ330" s="2" t="str">
        <f>IF(_xlfn.XLOOKUP(_xlfn.XLOOKUP(B330,'Base stats'!B:B,'Base stats'!E:E),Groups!A:A,Groups!D:D)=1,MROUND((1-J330)*5+1,2)*IF(J330&lt;=0.4,2,1),"No")</f>
        <v>No</v>
      </c>
      <c r="BA330" s="2" t="str">
        <f>IF(AND(_xlfn.XLOOKUP(B330,'Base stats'!B:B,'Base stats'!AH:AH)="&lt;li&gt;Seal&lt;/li&gt;",G330="Odyssey"),"&lt;li&gt;AEXP_Seal&lt;/li&gt;",_xlfn.XLOOKUP(B330,'Base stats'!B:B,'Base stats'!AH:AH))</f>
        <v>No</v>
      </c>
      <c r="BB330" s="2" t="str">
        <f>_xlfn.XLOOKUP(B330,'Base stats'!B:B,'Base stats'!AG:AG)</f>
        <v>No</v>
      </c>
      <c r="BC330" s="23" t="str">
        <f>_xlfn.XLOOKUP(_xlfn.XLOOKUP(B330,'Base stats'!B:B,'Base stats'!E:E),Groups!A:A,Groups!AL:AL)</f>
        <v>Snake</v>
      </c>
      <c r="BD330" s="23">
        <f>MIN(1,MROUND(IF(AND(AO330&lt;0.5,_xlfn.XLOOKUP(B330,'Base stats'!B:B,'Base stats'!AA:AA)=0),0,IF(OR(_xlfn.XLOOKUP(Animals!B330,'Base stats'!B:B,'Base stats'!O:O)=2,_xlfn.XLOOKUP(_xlfn.XLOOKUP(B330,'Base stats'!B:B,'Base stats'!E:E),Groups!A:A,Groups!AN:AN)=0),0,_xlfn.XLOOKUP(_xlfn.XLOOKUP(B330,'Base stats'!B:B,'Base stats'!E:E),Groups!A:A,Groups!AN:AN)/IF(_xlfn.XLOOKUP(Animals!B330,'Base stats'!B:B,'Base stats'!O:O)=1,2,1)))+_xlfn.XLOOKUP(B330,'Base stats'!B:B,'Base stats'!AC:AC),0.005))</f>
        <v>0.1</v>
      </c>
      <c r="BE330" s="23">
        <f>MIN(1,MROUND(IF(AND(AO330&lt;0.5,_xlfn.XLOOKUP(B330,'Base stats'!B:B,'Base stats'!AA:AA)=0),0,IF(_xlfn.XLOOKUP(_xlfn.XLOOKUP(B330,'Base stats'!B:B,'Base stats'!E:E),Groups!A:A,Groups!AO:AO)=0,0,_xlfn.XLOOKUP(_xlfn.XLOOKUP(B330,'Base stats'!B:B,'Base stats'!E:E),Groups!A:A,Groups!AO:AO)/IF(_xlfn.XLOOKUP(Animals!B330,'Base stats'!B:B,'Base stats'!O:O)=2,3,1)))+_xlfn.XLOOKUP(B330,'Base stats'!B:B,'Base stats'!AD:AD),0.005))</f>
        <v>0.3</v>
      </c>
      <c r="BF330" s="2" t="str">
        <f>IF(J330&gt;0.3,"No",_xlfn.XLOOKUP(_xlfn.XLOOKUP(Animals!B330,'Base stats'!B:B,'Base stats'!E:E),Groups!A:A,Groups!AP:AP))</f>
        <v>No</v>
      </c>
      <c r="BG330" s="2" t="str">
        <f>IF(AND(J330&lt;=0.65,_xlfn.XLOOKUP(_xlfn.XLOOKUP(Animals!B330,'Base stats'!B:B,'Base stats'!E:E),Groups!A:A,Groups!AP:AP)&lt;&gt;"No",_xlfn.XLOOKUP(_xlfn.XLOOKUP(B330,'Base stats'!B:B,'Base stats'!E:E),Groups!A:A,Groups!D:D)=0),MROUND((80/3)*IF(_xlfn.XLOOKUP(B330,'Base stats'!B:B,'Base stats'!O:O)=2,0.2,AO330) + 24*(1-IF(BF330="No",0,BF330)) + 16/3, 12),"No")</f>
        <v>No</v>
      </c>
      <c r="BH330" s="2">
        <f>IF(AND(_xlfn.XLOOKUP(_xlfn.XLOOKUP(B330,'Base stats'!B:B,'Base stats'!E:E),Groups!A:A,Groups!AQ:AQ)=1,AO330&lt;=0.35),8,12)</f>
        <v>12</v>
      </c>
      <c r="BI330" s="2" t="str">
        <f>IF(_xlfn.XLOOKUP(_xlfn.XLOOKUP(B330,'Base stats'!B:B,'Base stats'!E:E),Groups!A:A,Groups!D:D)=0,_xlfn.XLOOKUP(_xlfn.XLOOKUP(B330,'Base stats'!B:B,'Base stats'!E:E),Groups!A:A,Groups!AR:AR),"None")</f>
        <v>Intermediate</v>
      </c>
      <c r="BJ330" s="2" t="str">
        <f>IF(AND(_xlfn.XLOOKUP(_xlfn.XLOOKUP(B330,'Base stats'!B:B,'Base stats'!E:E),Groups!A:A,Groups!AS:AS)=1,OR(_xlfn.XLOOKUP(B330,'Base stats'!B:B,'Base stats'!Y:Y)="Carnivore",_xlfn.XLOOKUP(B330,'Base stats'!B:B,'Base stats'!Y:Y)="Omnivore")),"true","false")</f>
        <v>true</v>
      </c>
      <c r="BK330" s="2">
        <f>IF(BJ330="true",MROUND(IF(AND(AO330&gt;0.5,OR(_xlfn.XLOOKUP(_xlfn.XLOOKUP(B330,'Base stats'!B:B,'Base stats'!E:E),Groups!A:A,Groups!AJ:AJ)="Photonozoa",_xlfn.XLOOKUP(_xlfn.XLOOKUP(B330,'Base stats'!B:B,'Base stats'!E:E),Groups!A:A,Groups!AJ:AJ)="Mammal")),Animals!AO330*1.75*IF(AW330="true",1.5,1),IF(AO330&lt;0.5,Animals!AO330*0.5,Animals!AO330)),IF(AO330&gt;2,0.5,IF(AO330&gt;0.5,0.25,0.1))),"No")</f>
        <v>0.2</v>
      </c>
      <c r="BL330" s="2">
        <f t="shared" si="38"/>
        <v>1</v>
      </c>
      <c r="BM330" s="25" t="str">
        <f>IF(_xlfn.XLOOKUP(B330,'Base stats'!B:B,'Base stats'!AN:AN)="Standard","No",MROUND((_xlfn.XLOOKUP(B330,'Base stats'!B:B,'Base stats'!AN:AN)/3.6)/I330,0.1))</f>
        <v>No</v>
      </c>
      <c r="BN330" s="25" t="str">
        <f t="shared" si="39"/>
        <v>false</v>
      </c>
      <c r="BO330" s="25" t="str">
        <f>IF(AND(OR(_xlfn.XLOOKUP(B330,'Base stats'!B:B,'Base stats'!Y:Y)="Carnivore",_xlfn.XLOOKUP(B330,'Base stats'!B:B,'Base stats'!Y:Y)="Omnivore",_xlfn.XLOOKUP(B330,'Base stats'!B:B,'Base stats'!Y:Y)="OmnivoreRough"),_xlfn.XLOOKUP(_xlfn.XLOOKUP(B330,'Base stats'!B:B,'Base stats'!E:E),Groups!A:A,Groups!AT:AT)=1),"true","false")</f>
        <v>false</v>
      </c>
      <c r="BP330" s="25" t="str" cm="1">
        <f t="array" ref="BP330">IF(
  _xlfn.TEXTJOIN(", ",TRUE,
    IF(AND(BJ330="true",AO330&gt;0.5,BI330&lt;&gt;"None"),"AttackTarget",""),
    IF(AND(_xlfn.XLOOKUP(_xlfn.XLOOKUP(B330,'Base stats'!B:B,'Base stats'!E:E),Groups!A:A,Groups!AJ:AJ="Mammal"),OR(_xlfn.XLOOKUP(B330,'Base stats'!B:B,'Base stats'!Y:Y)="Omnivore",_xlfn.XLOOKUP(B330,'Base stats'!B:B,'Base stats'!Y:Y)="OmnivoreRough")),"Forage",""),
    IF(BG330&lt;=36,"Comfort",""),
    IF(_xlfn.XLOOKUP(B330,'Base stats'!B:B,'Base stats'!AE:AE)&lt;&gt;"No",_xlfn.XLOOKUP(B330,'Base stats'!B:B,'Base stats'!AE:AE),"")
  ) = "",
  "No",
  _xlfn.TEXTJOIN(", ",TRUE,
    IF(AND(BJ330="true",AO330&gt;0.5,BI330&lt;&gt;"None"),"AttackTarget",""),
    IF(AND(_xlfn.XLOOKUP(_xlfn.XLOOKUP(B330,'Base stats'!B:B,'Base stats'!E:E),Groups!A:A,Groups!AJ:AJ="Mammal"),OR(_xlfn.XLOOKUP(B330,'Base stats'!B:B,'Base stats'!Y:Y)="Omnivore",_xlfn.XLOOKUP(B330,'Base stats'!B:B,'Base stats'!Y:Y)="OmnivoreRough")),"Forage",""),
    IF(BG330&lt;=36,"Comfort",""),
    IF(_xlfn.XLOOKUP(B330,'Base stats'!B:B,'Base stats'!AE:AE)&lt;&gt;"No",_xlfn.XLOOKUP(B330,'Base stats'!B:B,'Base stats'!AE:AE),"")
  )
)</f>
        <v>No</v>
      </c>
      <c r="BQ330" s="25" t="str">
        <f>IF(
   AND(
      'Base stats'!AN330="Standard",_xlfn.XLOOKUP(_xlfn.XLOOKUP(B330,'Base stats'!B:B,'Base stats'!E:E),Groups!A:A,Groups!AU:AU)=0,
      OR(
      BO330="True"
      )
   ),
   10,
   IF(
       OR(BM330&lt;&gt;"No",_xlfn.XLOOKUP(_xlfn.XLOOKUP(B330,'Base stats'!B:B,'Base stats'!E:E),Groups!A:A,Groups!AU:AU)=1),
      1,
      "No"
   )
)</f>
        <v>No</v>
      </c>
      <c r="BR330" s="9">
        <f>MROUND((1 + ((0.2*IF(OR(Q330="No",R330="No",R330=0),0,Q330/R330)
+IF(OR(V330="No",S330="No",T330="No"),0,S330/T330*(LEN(V330)-LEN(SUBSTITUTE(V330,",",""))+1))
+IF(OR(X330="No",Y330="No"),0,X330/Y330)
+IF(OR(AD330="No",AE330="No"),0,AD330/AE330)
+IF(OR(AL330="No",AI330="No",AJ330="No"),0,AI330/AJ330*(LEN(AL330)-LEN(SUBSTITUTE(AL330,",",""))+1))
)/(0.2*IF(OR(Q330="No",R330="No",R330=0),0,1)
+IF(OR(V330="No",S330="No",T330="No"),0,LEN(V330)-LEN(SUBSTITUTE(V330,",",""))+1)
+IF(OR(X330="No",Y330="No"),0,1)
+IF(OR(AD330="No",AE330="No"),0,1)
+IF(OR(AL330="No",AI330="No",AJ330="No"),0,LEN(AL330)-LEN(SUBSTITUTE(AL330,",",""))+1))*62%)* 2)*(1 + (AP330 / (IF(_xlfn.XLOOKUP(_xlfn.XLOOKUP(B330,'Base stats'!B:B,'Base stats'!E:E),Groups!A:A,Groups!AJ:AJ)="Photonozoa",0.3,1)) + _xlfn.XLOOKUP(B330,'Base stats'!B:B,'Base stats'!AV:AV) * 1.8) * 2) * 2.5 + 10 + I330 * 2,5)+IF(_xlfn.XLOOKUP(B330,'Base stats'!B:B,'Base stats'!AK:AK)=1,50,0)</f>
        <v>40</v>
      </c>
      <c r="BS330" s="8">
        <f t="shared" si="40"/>
        <v>0.1</v>
      </c>
      <c r="BT330" s="8" t="str">
        <f>_xlfn.XLOOKUP(B330,'Base stats'!B:B,'Base stats'!AF:AF)</f>
        <v>No</v>
      </c>
      <c r="BU330" s="2" t="str">
        <f>IF(AND(J330&lt;=0.95,OR(_xlfn.XLOOKUP(B330,'Base stats'!B:B,'Base stats'!AK:AK)=1,_xlfn.XLOOKUP(B330,'Base stats'!B:B,'Base stats'!Y:Y)="Carnivore",_xlfn.XLOOKUP(B330,'Base stats'!B:B,'Base stats'!Y:Y)="Omnivore",BE330&gt;0.1)),"true","false")</f>
        <v>true</v>
      </c>
      <c r="BV330" s="2" t="str">
        <f>IF(_xlfn.XLOOKUP(B330,'Base stats'!B:B,'Base stats'!AI:AI)=1,"true","false")</f>
        <v>false</v>
      </c>
      <c r="BW330" s="25" t="str">
        <f>IF(E330="BaseInsect","AnimalInsect",
IF(J330&gt;0.95,"AnimalExotic",
_xlfn.TEXTJOIN(", ",TRUE,
IF(OR(_xlfn.XLOOKUP(B330,'Base stats'!B:B,'Base stats'!AM:AM)=1,AND(_xlfn.XLOOKUP(B330,'Base stats'!B:B,'Base stats'!O:O)=0,_xlfn.XLOOKUP(_xlfn.XLOOKUP(B330,'Base stats'!B:B,'Base stats'!E:E),Groups!A:A,Groups!B:B)&gt;0)),"AnimalUncommon","AnimalCommon"),
IF(AND(_xlfn.XLOOKUP(B330,'Base stats'!B:B,'Base stats'!O:O)=2,_xlfn.XLOOKUP(_xlfn.XLOOKUP(B330,'Base stats'!B:B,'Base stats'!E:E),Groups!A:A,Groups!D:D)=0),"AnimalPet",IF(AND(_xlfn.XLOOKUP(B330,'Base stats'!B:B,'Base stats'!O:O)&lt;&gt;0,_xlfn.XLOOKUP(_xlfn.XLOOKUP(B330,'Base stats'!B:B,'Base stats'!E:E),Groups!A:A,Groups!D:D)&lt;&gt;0),"AnimalFarm","")),
IF(OR(_xlfn.XLOOKUP(B330,'Base stats'!B:B,'Base stats'!AK:AK)=1,AND(BI330&lt;&gt;"None",BR330&gt;=60),ISNUMBER(SEARCH("Attack target",BP330))),"AnimalFighter","")
)))</f>
        <v>AnimalUncommon</v>
      </c>
      <c r="BX330" s="25" t="str">
        <f>IF(G330="None",TRIM(
SUBSTITUTE(
IF(COUNTIF(Biomes!B$2:B$259,"="&amp;$C330)&gt;0,Biomes!B$1&amp;", ","")&amp;
IF(COUNTIF(Biomes!C$2:C$259,"="&amp;$C330)&gt;0,Biomes!C$1&amp;", ","")&amp;
IF(COUNTIF(Biomes!D$2:D$259,"="&amp;$C330)&gt;0,Biomes!D$1&amp;", ","")&amp;
IF(COUNTIF(Biomes!F$2:F$259,"="&amp;$C330)&gt;0,Biomes!F$1&amp;", ","")&amp;
IF(COUNTIF(Biomes!G$2:G$259,"="&amp;$C330)&gt;0,Biomes!G$1&amp;", ","")&amp;
IF(COUNTIF(Biomes!H$2:H$259,"="&amp;$C330)&gt;0,Biomes!H$1&amp;", ","")&amp;
IF(COUNTIF(Biomes!I$2:I$259,"="&amp;$C330)&gt;0,Biomes!I$1&amp;", ","")&amp;
IF(COUNTIF(Biomes!J$2:J$259,"="&amp;$C330)&gt;0,Biomes!J$1&amp;", ","")&amp;
IF(COUNTIF(Biomes!M$2:M$259,"="&amp;$C330)&gt;0,Biomes!M$1&amp;", ","")&amp;
IF(COUNTIF(Biomes!N$2:N$259,"="&amp;$C330)&gt;0,Biomes!N$1&amp;", ","")&amp;
IF(COUNTIF(Biomes!O$2:O$259,"="&amp;$C330)&gt;0,Biomes!O$1&amp;", ","")&amp;
IF(COUNTIF(Biomes!P$2:P$259,"="&amp;$C330)&gt;0,Biomes!P$1&amp;", ","")&amp;
IF(COUNTIF(Biomes!K$2:K$259,"="&amp;$C330)&gt;0,Biomes!K$1&amp;", ","")&amp;
IF(COUNTIF(Biomes!Q$3:Q$259,"="&amp;$C330)&gt;0,Biomes!Q$1&amp;", ","")&amp;
IF(COUNTIF(Biomes!L$2:L$259,"="&amp;$C330)&gt;0,Biomes!L$1&amp;", ","")&amp;
IF(COUNTIF(Biomes!E$2:E$259,"="&amp;$C330)&gt;0,Biomes!E$1&amp;", ","")&amp;IF(COUNTIF(Biomes!S$2:S$259,"="&amp;$C330)&gt;0,Biomes!S$1&amp;", ","")&amp;
IF(COUNTIF(Biomes!R$2:R$259,"="&amp;$C330)&gt;0,Biomes!R$1&amp;", ",""),", ","")
),_xlfn.XLOOKUP(B330,B:B,BX:BX))</f>
        <v/>
      </c>
      <c r="BY330" s="25" t="str">
        <f>IF(_xlfn.XLOOKUP(B330,'Base stats'!B:B,'Base stats'!AJ:AJ)=1,"true","false")</f>
        <v>false</v>
      </c>
      <c r="BZ330" s="25">
        <f>IF(_xlfn.XLOOKUP(B330,'Base stats'!B:B,'Base stats'!N:N)=1,"No",MAX(0.001,MIN(MROUND(IF(AND(BJ330="True",CC330="False"),POWER(10,3.47*LOG10(_xlfn.XLOOKUP(B330,'Base stats'!B:B,'Base stats'!C:C)*1000)^-0.96),POWER(10,4.15*LOG10(_xlfn.XLOOKUP(B330,'Base stats'!B:B,'Base stats'!C:C)*1000)^-0.73))*IF(_xlfn.XLOOKUP(B330,'Base stats'!B:B,'Base stats'!AK:AK)=1,0.5,1)*IF(_xlfn.XLOOKUP(B330,'Base stats'!B:B,'Base stats'!AM:AM)=1,0.1,1)/100,IF(_xlfn.XLOOKUP(B330,'Base stats'!B:B,'Base stats'!AM:AM)=1,0.001,0.025)),0.5)))</f>
        <v>3.2000000000000001E-2</v>
      </c>
      <c r="CA330" s="25" t="str">
        <f>IF(P330="Standard","No",MAX(0.001,MIN(MROUND(IF(AND(BJ330="True",CC330="False"),POWER(10,3.47*LOG10(_xlfn.XLOOKUP(B330,'Base stats'!B:B,'Base stats'!C:C)*1000)^-0.96),POWER(10,4.15*LOG10(_xlfn.XLOOKUP(B330,'Base stats'!B:B,'Base stats'!C:C)*1000)^-0.73))*IF(_xlfn.XLOOKUP(B330,'Base stats'!B:B,'Base stats'!AM:AM)=1,0.1,1)*_xlfn.XLOOKUP(B330,'Base stats'!B:B,'Base stats'!R:R)/100,IF(_xlfn.XLOOKUP(B330,'Base stats'!B:B,'Base stats'!AM:AM)=1,0.001,0.025)),0.5)))</f>
        <v>No</v>
      </c>
      <c r="CB330" s="25" t="str">
        <f>IF(_xlfn.XLOOKUP(_xlfn.XLOOKUP(B330,'Base stats'!B:B,'Base stats'!E:E),Groups!A:A,Groups!AJ:AJ)="Mammal","True","False")</f>
        <v>False</v>
      </c>
      <c r="CC330" s="25" t="str">
        <f>IF(OR(_xlfn.XLOOKUP(_xlfn.XLOOKUP(B330,'Base stats'!B:B,'Base stats'!E:E),Groups!A:A,Groups!AJ:AJ)="Reptile",_xlfn.XLOOKUP(_xlfn.XLOOKUP(B330,'Base stats'!B:B,'Base stats'!E:E),Groups!A:A,Groups!AJ:AJ)="Amphibian",_xlfn.XLOOKUP(_xlfn.XLOOKUP(B330,'Base stats'!B:B,'Base stats'!E:E),Groups!A:A,Groups!AJ:AJ)="Invertebrate"),"True","False")</f>
        <v>True</v>
      </c>
      <c r="CD330" s="25" t="str">
        <f t="shared" si="41"/>
        <v>False</v>
      </c>
      <c r="CE330" s="25" t="str">
        <f>IF(_xlfn.XLOOKUP(_xlfn.XLOOKUP(B330,'Base stats'!B:B,'Base stats'!E:E),Groups!A:A,Groups!AX:AX),"True","False")</f>
        <v>False</v>
      </c>
      <c r="CF330" s="25" t="str">
        <f>IF(_xlfn.XLOOKUP(_xlfn.XLOOKUP(B330,'Base stats'!B:B,'Base stats'!E:E),Groups!A:A,Groups!AY:AY),"True","False")</f>
        <v>False</v>
      </c>
      <c r="CG330" s="25" t="str">
        <f>IF(_xlfn.XLOOKUP(_xlfn.XLOOKUP(B330,'Base stats'!B:B,'Base stats'!E:E),Groups!A:A,Groups!AW:AW),"True","False")</f>
        <v>False</v>
      </c>
      <c r="CH330" s="25" t="str">
        <f>IF(
OR(
_xlfn.XLOOKUP(_xlfn.XLOOKUP(B330,'Base stats'!B:B,'Base stats'!E:E),Groups!A:A,Groups!AZ:AZ)=0,
AND(
_xlfn.XLOOKUP(B330,'Base stats'!B:B,'Base stats'!Y:Y)&lt;&gt;"Carnivore",
_xlfn.XLOOKUP(B330,'Base stats'!B:B,'Base stats'!Y:Y)&lt;&gt;"Omnivore",
_xlfn.XLOOKUP(B330,'Base stats'!B:B,'Base stats'!Y:Y)&lt;&gt;"OmnivoreRough"
)
),
"No",
IF(
_xlfn.XLOOKUP(_xlfn.XLOOKUP(B330,'Base stats'!B:B,'Base stats'!E:E),Groups!A:A,Groups!AZ:AZ)=1,
"Flesh",
IF(
_xlfn.XLOOKUP(_xlfn.XLOOKUP(B330,'Base stats'!B:B,'Base stats'!E:E),Groups!A:A,Groups!AZ:AZ)=2,
"Bone",
""
)
)
)</f>
        <v>No</v>
      </c>
      <c r="CI330" s="25" t="str">
        <f>IF(_xlfn.XLOOKUP(_xlfn.XLOOKUP(B330,'Base stats'!B:B,'Base stats'!E:E),Groups!A:A,Groups!BB:BB),"True","False")</f>
        <v>False</v>
      </c>
      <c r="CJ330" s="25" t="str">
        <f>IF(_xlfn.XLOOKUP(_xlfn.XLOOKUP(B330,'Base stats'!B:B,'Base stats'!E:E),Groups!A:A,Groups!BA:BA),"True","False")</f>
        <v>True</v>
      </c>
    </row>
    <row r="331" spans="1:88" ht="16.5" thickTop="1" thickBot="1" x14ac:dyDescent="0.3">
      <c r="A331" s="26" t="s">
        <v>1574</v>
      </c>
      <c r="B331" s="6" t="str">
        <f>_xlfn.XLOOKUP(A331,'Base stats'!A:A,'Base stats'!B:B)</f>
        <v>Technoscolopendra mucosa</v>
      </c>
      <c r="C331" s="28" t="s">
        <v>1575</v>
      </c>
      <c r="D331" s="28" t="s">
        <v>1341</v>
      </c>
      <c r="E331" s="28" t="s">
        <v>673</v>
      </c>
      <c r="F331" s="28" t="s">
        <v>673</v>
      </c>
      <c r="G331" s="28" t="s">
        <v>673</v>
      </c>
      <c r="H331" s="2">
        <f>MROUND((
  (IF(AND(_xlfn.XLOOKUP(B331,'Base stats'!B:B,'Base stats'!AL:AL)=0,BI331="None",_xlfn.XLOOKUP(_xlfn.XLOOKUP(B331,'Base stats'!B:B,'Base stats'!E:E),Groups!A:A,Groups!B:B)=0), (18 + BR331 * 2.7) * 0.5,
    IF(AND(_xlfn.XLOOKUP(B331,'Base stats'!B:B,'Base stats'!AL:AL)=0,OR(AO331&lt;0.55,AND(BI331="Intermediate",_xlfn.XLOOKUP(_xlfn.XLOOKUP(B331,'Base stats'!B:B,'Base stats'!E:E),Groups!A:A,Groups!B:B)&lt;2))), (18 + BR331 * 2.7),
      IF(OR(BI331="Advanced",_xlfn.XLOOKUP(B331,'Base stats'!B:B,'Base stats'!AL:AL)=1,_xlfn.XLOOKUP(_xlfn.XLOOKUP(B331,'Base stats'!B:B,'Base stats'!E:E),Groups!A:A,Groups!B:B)=2), (18 + BR331 * 2.7) + 250, (18 + BR331 * 2.7))
    )
  ))
  + AO331 * 80
  + IF(COUNTIF(EggMilk!K$2:K$998, A331) &gt; 0, 125, 0)
  + IF(COUNTIF(EggMilk!P$2:P$998, A331) &gt; 0, 90, 0)
  + IF(COUNTIF(EggMilk!A$2:A$998, A331) &gt; 0, 90, 0)
)
* (0.8 + 0.4 * J331)
* 0.75,25)</f>
        <v>925</v>
      </c>
      <c r="I331" s="2">
        <f>MROUND(ROUNDDOWN(_xlfn.XLOOKUP(B331,'Base stats'!B:B,'Base stats'!L:L)/3.6/(23.3/11),1),0.5)</f>
        <v>1</v>
      </c>
      <c r="J331" s="2">
        <f>IF(OR(_xlfn.XLOOKUP(B331,'Base stats'!B:B,'Base stats'!AB:AB)=1,_xlfn.XLOOKUP(_xlfn.XLOOKUP(B331,'Base stats'!B:B,'Base stats'!E:E),Groups!A:A,Groups!C:C)="Untamable"),1,IF(_xlfn.XLOOKUP(B331,'Base stats'!B:B,'Base stats'!AL:AL)=1,0.99,MIN(MROUND((1-0.6282*EXP(-0.459*AO331))*_xlfn.XLOOKUP(_xlfn.XLOOKUP(B331,'Base stats'!B:B,'Base stats'!E:E),Groups!A:A,Groups!C:C)*IF(_xlfn.XLOOKUP(B331,'Base stats'!B:B,'Base stats'!O:O)=1,0.5,IF(_xlfn.XLOOKUP(B331,'Base stats'!B:B,'Base stats'!O:O)=2,0,1)),0.05),IF(AO331&gt;3.5,0.985,0.95))))</f>
        <v>0</v>
      </c>
      <c r="K331" s="2">
        <f>ROUNDUP(AO331*_xlfn.XLOOKUP(_xlfn.XLOOKUP(B331,'Base stats'!B:B,'Base stats'!E:E),Groups!A:A,Groups!E:E),0)</f>
        <v>5</v>
      </c>
      <c r="L331" s="2">
        <f>IF(OR(_xlfn.XLOOKUP(_xlfn.XLOOKUP(B331,'Base stats'!B:B,'Base stats'!E:E),Groups!A:A,Groups!F:F)=2,ISNUMBER(SEARCH("SeaIce",BX331)),ISNUMBER(SEARCH("IceSheet",BX331))),-50,IF(OR(ISNUMBER(SEARCH("GlacialPlain",BX331)),ISNUMBER(SEARCH("Tundra",BX331))),-40,IF(OR(ISNUMBER(SEARCH("Alpine",BX331)),ISNUMBER(SEARCH("BorealForest",BX331)),ISNUMBER(SEARCH("ColdBog",BX331))),-30,IF(OR(ISNUMBER(SEARCH("TemperateForest",BX331)),ISNUMBER(SEARCH("TemperateSwamp",BX331))),-20,IF(_xlfn.XLOOKUP(_xlfn.XLOOKUP(B331,'Base stats'!B:B,'Base stats'!E:E),Groups!A:A,Groups!F:F)=1,-15,IF(OR(ISNUMBER(SEARCH("Desert",BX331)),ISNUMBER(SEARCH("ExtremeDesert",BX331))),-10,IF(OR(ISNUMBER(SEARCH("Grasslands",BX331)),ISNUMBER(SEARCH("TropicalRainforest",BX331)),ISNUMBER(SEARCH("TropicalSwamp",BX331))),10,0)))))))-IF(CC331="False",MIN(IFERROR(MAX(MROUND(LOG10(_xlfn.XLOOKUP(B331,'Base stats'!B:B,'Base stats'!C:C)^(2/3))*10,5),5),5),30))-_xlfn.XLOOKUP(B331,'Base stats'!B:B,'Base stats'!P:P)+IF(CC331="True",5,0)</f>
        <v>-95</v>
      </c>
      <c r="M331" s="2">
        <f>IF(OR(_xlfn.XLOOKUP(_xlfn.XLOOKUP(B331,'Base stats'!B:B,'Base stats'!E:E),Groups!A:A,Groups!G:G)=2,ISNUMBER(SEARCH("Desert",BX331)),ISNUMBER(SEARCH("ExtremeDesert",BX331)),ISNUMBER(SEARCH("LavaField",BX331))),50,IF(ISNUMBER(SEARCH("Grasslands",BX331)),45,IF(OR(_xlfn.XLOOKUP(_xlfn.XLOOKUP(B331,'Base stats'!B:B,'Base stats'!E:E),Groups!A:A,Groups!G:G)=1,ISNUMBER(SEARCH("TropicalRainforest",BX331)),ISNUMBER(SEARCH("TropicalSwamp",BX331))),40,IF(OR(ISNUMBER(SEARCH("TemperateForest",BX331)),ISNUMBER(SEARCH("TemperateSwamp",BX331))),35,IF(OR(ISNUMBER(SEARCH("Alpine",BX331)),ISNUMBER(SEARCH("BorealForest",BX331)),ISNUMBER(SEARCH("ColdBog",BX331))),30,IF(ISNUMBER(OR(ISNUMBER(SEARCH("GlacialPlain",BX331)),SEARCH("Tundra",BX331))),25,IF(OR(ISNUMBER(SEARCH("SeaIce",BX331)),ISNUMBER(SEARCH("IceSheet",BX331)),ISNUMBER(SEARCH("TropicalSwamp",BX331))),10,35)))))))+_xlfn.XLOOKUP(B331,'Base stats'!B:B,'Base stats'!Q:Q)</f>
        <v>135</v>
      </c>
      <c r="N331" s="8">
        <f>IF(
_xlfn.XLOOKUP(
_xlfn.XLOOKUP(B331,'Base stats'!B:B,'Base stats'!E:E),
Groups!A:A,
Groups!L:L
)=1,
MIN(
MROUND(
IF(
_xlfn.XLOOKUP(B331,'Animals CE'!B:B,'Animals CE'!Z:Z)&lt;=1.5,
_xlfn.XLOOKUP(B331,'Animals CE'!B:B,'Animals CE'!Z:Z)/2+0.05,
0.8+
(_xlfn.XLOOKUP(B331,'Animals CE'!B:B,'Animals CE'!Z:Z)-1.5)
*0.02
),
0.05
),
200%
),
"No"
)</f>
        <v>1</v>
      </c>
      <c r="O331" s="8">
        <f>IF(
_xlfn.XLOOKUP(
_xlfn.XLOOKUP(B331,'Base stats'!B:B,'Base stats'!E:E),
Groups!A:A,
Groups!L:L
)=1,
MIN(
MROUND(
IF(
_xlfn.XLOOKUP(B331,'Animals CE'!B:B,'Animals CE'!AA:AA)&lt;=1.5,
_xlfn.XLOOKUP(B331,'Animals CE'!B:B,'Animals CE'!AA:AA)/2+0.05,
0.8+
(_xlfn.XLOOKUP(B331,'Animals CE'!B:B,'Animals CE'!AA:AA)-1.5)
*0.02
),
0.05
),
200%
),
"No"
)</f>
        <v>0.9</v>
      </c>
      <c r="P331" s="2">
        <f>_xlfn.XLOOKUP(B331,'Base stats'!B:B,'Base stats'!R:R)</f>
        <v>1</v>
      </c>
      <c r="Q331" s="13">
        <f>MROUND((LOG10(_xlfn.XLOOKUP(B331,'Base stats'!B:B,'Base stats'!AR:AR))*(AO331^0.5)+(_xlfn.XLOOKUP(B331,'Base stats'!B:B,'Base stats'!AR:AR)/1000)^(2/3)+_xlfn.XLOOKUP(B331,'Base stats'!B:B,'Base stats'!BA:BA)/2)+0.5,0.5)</f>
        <v>34</v>
      </c>
      <c r="R331" s="7">
        <f>IF(Q331="No","No",MAX(1,MROUND(_xlfn.XLOOKUP(B331,'Base stats'!B:B,'Base stats'!C:C)^0.165,0.05)))</f>
        <v>3.95</v>
      </c>
      <c r="S331" s="13" t="str">
        <f>IF(_xlfn.XLOOKUP(_xlfn.XLOOKUP(B331,'Base stats'!B:B,'Base stats'!E:E),Groups!A:A,Groups!P:P)=0,"No",MROUND((LOG10(_xlfn.XLOOKUP(B331,'Base stats'!B:B,'Base stats'!AS:AS))*(AO331^0.5)+(_xlfn.XLOOKUP(B331,'Base stats'!B:B,'Base stats'!AS:AS)/1000)^(2/3)+_xlfn.XLOOKUP(B331,'Base stats'!B:B,'Base stats'!BA:BA))+_xlfn.XLOOKUP(B331,'Base stats'!B:B,'Base stats'!AY:AY)+0.5,0.5))</f>
        <v>No</v>
      </c>
      <c r="T331" s="7" t="str">
        <f>IF(S331="No","No",MAX(_xlfn.XLOOKUP(_xlfn.XLOOKUP(B331,'Base stats'!B:B,'Base stats'!E:E),Groups!A:A,Groups!Q:Q),MROUND(_xlfn.XLOOKUP(_xlfn.XLOOKUP(B331,'Base stats'!B:B,'Base stats'!E:E),Groups!A:A,Groups!Q:Q)*_xlfn.XLOOKUP(B331,'Base stats'!B:B,'Base stats'!C:C)^0.165,0.05)))</f>
        <v>No</v>
      </c>
      <c r="U331" s="7" t="str">
        <f>IF(S331="No","No",_xlfn.XLOOKUP(_xlfn.XLOOKUP(B331,'Base stats'!B:B,'Base stats'!E:E),Groups!A:A,Groups!R:R))</f>
        <v>No</v>
      </c>
      <c r="V331" s="7" t="str">
        <f>IF(S331="No","No",_xlfn.XLOOKUP(_xlfn.XLOOKUP(B331,'Base stats'!B:B,'Base stats'!E:E),Groups!A:A,Groups!S:S))</f>
        <v>No</v>
      </c>
      <c r="W331" s="7" t="str">
        <f>IF(S331="No","No",_xlfn.XLOOKUP(_xlfn.XLOOKUP(B331,'Base stats'!B:B,'Base stats'!E:E),Groups!A:A,Groups!T:T))</f>
        <v>No</v>
      </c>
      <c r="X331" s="13" t="str">
        <f>IF(_xlfn.XLOOKUP(B331,'Base stats'!B:B,'Base stats'!W:W)="No","No",MROUND((LOG10(_xlfn.XLOOKUP(B331,'Base stats'!B:B,'Base stats'!AU:AU))*(AO331^0.5)+(_xlfn.XLOOKUP(B331,'Base stats'!B:B,'Base stats'!AU:AU)/1000)^(2/3)+_xlfn.XLOOKUP(B331,'Base stats'!B:B,'Base stats'!AZ:AZ))+0.5+IF(_xlfn.XLOOKUP(_xlfn.XLOOKUP(B331,'Base stats'!B:B,'Base stats'!E:E),Groups!A:A,Groups!U:U)&lt;&gt;3,_xlfn.XLOOKUP(B331,'Base stats'!B:B,'Base stats'!BA:BA),0),0.5))</f>
        <v>No</v>
      </c>
      <c r="Y331" s="7" t="str">
        <f>IF(X331="No","No",MAX(_xlfn.XLOOKUP(_xlfn.XLOOKUP(B331,'Base stats'!B:B,'Base stats'!E:E),Groups!A:A,Groups!V:V),MROUND(_xlfn.XLOOKUP(_xlfn.XLOOKUP(B331,'Base stats'!B:B,'Base stats'!E:E),Groups!A:A,Groups!V:V)*_xlfn.XLOOKUP(B331,'Base stats'!B:B,'Base stats'!C:C)^0.165,0.05)))</f>
        <v>No</v>
      </c>
      <c r="Z331" s="7" t="str">
        <f>IF(X331="No","No",_xlfn.XLOOKUP(_xlfn.XLOOKUP(B331,'Base stats'!B:B,'Base stats'!E:E),Groups!A:A,Groups!W:W))</f>
        <v>No</v>
      </c>
      <c r="AA331" s="7" t="str">
        <f>IF(X331="No","No",_xlfn.XLOOKUP(_xlfn.XLOOKUP(B331,'Base stats'!B:B,'Base stats'!E:E),Groups!A:A,Groups!X:X))</f>
        <v>No</v>
      </c>
      <c r="AB331" s="7" t="str">
        <f>IF(X331="No","No",_xlfn.XLOOKUP(_xlfn.XLOOKUP(B331,'Base stats'!B:B,'Base stats'!E:E),Groups!A:A,Groups!Y:Y))</f>
        <v>No</v>
      </c>
      <c r="AC331" s="7" t="str">
        <f>_xlfn.XLOOKUP(Animals!B331,'Base stats'!B:B,'Base stats'!X:X)</f>
        <v>False</v>
      </c>
      <c r="AD331" s="13" t="str">
        <f>IF(_xlfn.XLOOKUP(B331,'Base stats'!B:B,'Base stats'!AT:AT)="No","No",MROUND((LOG10(_xlfn.XLOOKUP(B331,'Base stats'!B:B,'Base stats'!AT:AT))*(AO331^0.75)+(_xlfn.XLOOKUP(B331,'Base stats'!B:B,'Base stats'!AT:AT)/1000)^(2/3)+_xlfn.XLOOKUP(B331,'Base stats'!B:B,'Base stats'!AX:AX)+_xlfn.XLOOKUP(B331,'Base stats'!B:B,'Base stats'!BA:BA))+0.5,0.5))</f>
        <v>No</v>
      </c>
      <c r="AE331" s="7" t="str">
        <f>IF(AD331="No","No",MAX(_xlfn.XLOOKUP(_xlfn.XLOOKUP(B331,'Base stats'!B:B,'Base stats'!E:E),Groups!A:A,Groups!Z:Z),MROUND(_xlfn.XLOOKUP(_xlfn.XLOOKUP(B331,'Base stats'!B:B,'Base stats'!E:E),Groups!A:A,Groups!Z:Z)*_xlfn.XLOOKUP(B331,'Base stats'!B:B,'Base stats'!C:C)^0.165,0.05)))</f>
        <v>No</v>
      </c>
      <c r="AF331" s="7" t="str">
        <f>IF(AD331="No","No",_xlfn.XLOOKUP(_xlfn.XLOOKUP(B331,'Base stats'!B:B,'Base stats'!E:E),Groups!A:A,Groups!AA:AA))</f>
        <v>No</v>
      </c>
      <c r="AG331" s="7" t="str">
        <f>IF(AD331="No","No",_xlfn.XLOOKUP(_xlfn.XLOOKUP(B331,'Base stats'!B:B,'Base stats'!E:E),Groups!A:A,Groups!AB:AB))</f>
        <v>No</v>
      </c>
      <c r="AH331" s="7" t="str">
        <f>IF(AD331="No","No",_xlfn.XLOOKUP(_xlfn.XLOOKUP(B331,'Base stats'!B:B,'Base stats'!E:E),Groups!A:A,Groups!AC:AC))</f>
        <v>No</v>
      </c>
      <c r="AI331" s="13" t="str">
        <f>IF(_xlfn.XLOOKUP(_xlfn.XLOOKUP(B331,'Base stats'!B:B,'Base stats'!E:E),Groups!A:A,Groups!AD:AD)=0,"No",MROUND((LOG10(_xlfn.XLOOKUP(B331,'Base stats'!B:B,'Base stats'!AS:AS))*(AO331^0.75)+(_xlfn.XLOOKUP(B331,'Base stats'!B:B,'Base stats'!AS:AS)/1000)^(2/3)+_xlfn.XLOOKUP(B331,'Base stats'!B:B,'Base stats'!AY:AY)+_xlfn.XLOOKUP(B331,'Base stats'!B:B,'Base stats'!BA:BA))+0.5,0.5))</f>
        <v>No</v>
      </c>
      <c r="AJ331" s="7" t="str">
        <f>IF(AI331="No","No",MAX(_xlfn.XLOOKUP(_xlfn.XLOOKUP(B331,'Base stats'!B:B,'Base stats'!E:E),Groups!A:A,Groups!AE:AE),MROUND(_xlfn.XLOOKUP(_xlfn.XLOOKUP(B331,'Base stats'!B:B,'Base stats'!E:E),Groups!A:A,Groups!AE:AE)*IF(_xlfn.XLOOKUP(_xlfn.XLOOKUP(B331,'Base stats'!B:B,'Base stats'!E:E),Groups!A:A,Groups!AJ:AJ)="Photonozoa",0.6,1)*_xlfn.XLOOKUP(B331,'Base stats'!B:B,'Base stats'!C:C)^0.165,0.05)))</f>
        <v>No</v>
      </c>
      <c r="AK331" s="7" t="str">
        <f>IF(AI331="No","No",_xlfn.XLOOKUP(_xlfn.XLOOKUP(B331,'Base stats'!B:B,'Base stats'!E:E),Groups!A:A,Groups!AF:AF))</f>
        <v>No</v>
      </c>
      <c r="AL331" s="7" t="str">
        <f>IF(AI331="No","No",_xlfn.XLOOKUP(_xlfn.XLOOKUP(B331,'Base stats'!B:B,'Base stats'!E:E),Groups!A:A,Groups!AG:AG))</f>
        <v>No</v>
      </c>
      <c r="AM331" s="7" t="str">
        <f>IF(AI331="No","No",_xlfn.XLOOKUP(_xlfn.XLOOKUP(B331,'Base stats'!B:B,'Base stats'!E:E),Groups!A:A,Groups!AH:AH))</f>
        <v>No</v>
      </c>
      <c r="AN331" s="2" t="str">
        <f t="shared" si="35"/>
        <v>No</v>
      </c>
      <c r="AO331" s="2">
        <f>MROUND(IF(AND(_xlfn.XLOOKUP(B331,'Base stats'!B:B,'Base stats'!C:C)&gt;=0.5,_xlfn.XLOOKUP(B331,'Base stats'!B:B,'Base stats'!C:C)&lt;=0.8),
IF(_xlfn.XLOOKUP(B331,'Base stats'!B:B,'Base stats'!C:C)&lt;0.1,0.05,IF(_xlfn.XLOOKUP(B331,'Base stats'!B:B,'Base stats'!C:C)&lt;=70,(_xlfn.XLOOKUP(B331,'Base stats'!B:B,'Base stats'!C:C)/70)^0.426489913056526,IF(_xlfn.XLOOKUP(B331,'Base stats'!B:B,'Base stats'!C:C)&lt;=400,(_xlfn.XLOOKUP(B331,'Base stats'!B:B,'Base stats'!C:C)/70)^0.572811455315093,IF(_xlfn.XLOOKUP(B331,'Base stats'!B:B,'Base stats'!C:C)&lt;=2000,2.71391647193063*(_xlfn.XLOOKUP(B331,'Base stats'!B:B,'Base stats'!C:C)/400)^0.252459582904293,3.74314280240376*(_xlfn.XLOOKUP(B331,'Base stats'!B:B,'Base stats'!C:C)/2000)^0.357012633876913)))),
IF(_xlfn.XLOOKUP(B331,'Base stats'!B:B,'Base stats'!C:C)&lt;0.1,0.05,IF(_xlfn.XLOOKUP(B331,'Base stats'!B:B,'Base stats'!C:C)&lt;0.4,0.1,IF(_xlfn.XLOOKUP(B331,'Base stats'!B:B,'Base stats'!C:C)&lt;=70,(_xlfn.XLOOKUP(B331,'Base stats'!B:B,'Base stats'!C:C)/70)^0.445823913056526,IF(_xlfn.XLOOKUP(B331,'Base stats'!B:B,'Base stats'!C:C)&lt;=400,(_xlfn.XLOOKUP(B331,'Base stats'!B:B,'Base stats'!C:C)/70)^0.572811455315093,IF(_xlfn.XLOOKUP(B331,'Base stats'!B:B,'Base stats'!C:C)&lt;=2000,2.71391647193063*(_xlfn.XLOOKUP(B331,'Base stats'!B:B,'Base stats'!C:C)/400)^0.252459582904293,3.74314280240376*(_xlfn.XLOOKUP(B331,'Base stats'!B:B,'Base stats'!C:C)/2000)^0.357012633876913)))))),
IF(_xlfn.XLOOKUP(B331,'Base stats'!B:B,'Base stats'!C:C)&lt;0.1,0.05,IF(_xlfn.XLOOKUP(B331,'Base stats'!B:B,'Base stats'!C:C)&lt;=100,0.05,IF(_xlfn.XLOOKUP(B331,'Base stats'!B:B,'Base stats'!C:C)&lt;=250,0.1,IF(_xlfn.XLOOKUP(B331,'Base stats'!B:B,'Base stats'!C:C)&lt;=4000,0.25,0.5)))))</f>
        <v>4.75</v>
      </c>
      <c r="AP331" s="8">
        <f>MROUND(AO331*_xlfn.XLOOKUP(_xlfn.XLOOKUP(B331,'Base stats'!B:B,'Base stats'!E:E),Groups!A:A,Groups!AI:AI)*_xlfn.XLOOKUP(B331,'Base stats'!B:B,'Base stats'!Z:Z),0.05)</f>
        <v>4.75</v>
      </c>
      <c r="AQ331" s="8">
        <f>MAX(0.01,MROUND(IF(CC331="True",0.196*(AO331*100*1000)^0.889,IF(_xlfn.XLOOKUP(_xlfn.XLOOKUP(B331,'Base stats'!B:B,'Base stats'!E:E),Groups!A:A,Groups!AJ:AJ)="Bird",10.5*(AO331*100*1000)^0.681,4.82*(AO331*100*1000)^0.734))/(4.82*(1*100*1000)^0.734)/IF(AO331&lt;3.5,2,IF(AO331=3.5,1.5,1.25))*(1+0.132282374779864/(AO331^0.994035016789033+0.00905238001496948)),0.05))</f>
        <v>0.8</v>
      </c>
      <c r="AR331" s="9">
        <f>IFERROR(MROUND(_xlfn.XLOOKUP(B331,'Base stats'!B:B,'Base stats'!H:H)/IF(_xlfn.XLOOKUP(B331,'Base stats'!B:B,'Base stats'!I:I)&lt;&gt;1,(122.5/70),1.2),IF(_xlfn.XLOOKUP(B331,'Base stats'!B:B,'Base stats'!H:H)&gt;=30,5,IF(_xlfn.XLOOKUP(B331,'Base stats'!B:B,'Base stats'!H:H)&gt;=15,3,IF(_xlfn.XLOOKUP(B331,'Base stats'!B:B,'Base stats'!H:H)&gt;=10,2,1)))),"Immortal")</f>
        <v>2500</v>
      </c>
      <c r="AS331" s="35" t="str">
        <f>IFERROR(IF(OR(_xlfn.XLOOKUP(B331,'Base stats'!B:B,'Base stats'!F:F)="Atypical reproduction",_xlfn.XLOOKUP(B331,'Base stats'!B:B,'Base stats'!F:F)="Lay eggs"),"Lay eggs",MIN(20,MAX(5.5,ROUND(((_xlfn.XLOOKUP(B331,'Base stats'!B:B,'Base stats'!F:F)-25)*(14.5/615) + 5.5)*2,0)/2))),"Unknown")</f>
        <v>Lay eggs</v>
      </c>
      <c r="AT331" s="8" t="str">
        <f>IF(_xlfn.XLOOKUP(B331,'Base stats'!B:B,'Base stats'!G:G)="Atypical reproduction","No",IFERROR(MAX(IF(_xlfn.XLOOKUP(B331,'Base stats'!B:B,'Base stats'!G:G)&lt;0.5,0.2,0.3),MROUND(_xlfn.XLOOKUP(B331,'Base stats'!B:B,'Base stats'!G:G)/(365/60),0.2)),"Unknown"))</f>
        <v>No</v>
      </c>
      <c r="AU331" s="8" t="str">
        <f t="shared" si="36"/>
        <v>No</v>
      </c>
      <c r="AV331" s="8" t="str">
        <f>IFERROR(IFERROR(MROUND(_xlfn.XLOOKUP(B331,'Base stats'!B:B,'Base stats'!J:J),0.1),"Lay eggs"),"Cannot breed")</f>
        <v>Lay eggs</v>
      </c>
      <c r="AW331" s="2" t="str">
        <f t="shared" si="37"/>
        <v>false</v>
      </c>
      <c r="AX331" s="2" t="str">
        <f>IF(_xlfn.XLOOKUP(_xlfn.XLOOKUP(Animals!B331,'Base stats'!B:B,'Base stats'!E:E),Groups!A:A,Groups!AK:AK)=1,"true","false")</f>
        <v>false</v>
      </c>
      <c r="AY331" s="25" t="str">
        <f>IF(_xlfn.XLOOKUP(B331,'Base stats'!B:B,'Base stats'!Y:Y)="Liquor","Liquor, CarnivoreAnimalStrict",IF(AND(_xlfn.XLOOKUP(B331,'Base stats'!B:B,'Base stats'!Y:Y)="Carnivore",_xlfn.XLOOKUP(_xlfn.XLOOKUP(B331,'Base stats'!B:B,'Base stats'!E:E),Groups!A:A,Groups!AJ:AJ)="Photonozoa"),"CarnivoreAnimalStrict, OvivoreAnimal",IF(_xlfn.XLOOKUP(B331,'Base stats'!B:B,'Base stats'!Y:Y)="Carnivore","CarnivoreAnimal, OvivoreAnimal",IF(_xlfn.XLOOKUP(B331,'Base stats'!B:B,'Base stats'!Y:Y)="Dendrovore","VegetarianRoughAnimal, DendrovoreAnimal",IF(_xlfn.XLOOKUP(B331,'Base stats'!B:B,'Base stats'!Y:Y)="Herbivore","VegetarianRoughAnimal",IF(_xlfn.XLOOKUP(B331,'Base stats'!B:B,'Base stats'!Y:Y)="OmnivoreRough","OmnivoreRoughAnimal, OvivoreAnimal","OmnivoreAnimal, OvivoreAnimal"))))))</f>
        <v>OmnivoreRoughAnimal, OvivoreAnimal</v>
      </c>
      <c r="AZ331" s="2">
        <f>IF(_xlfn.XLOOKUP(_xlfn.XLOOKUP(B331,'Base stats'!B:B,'Base stats'!E:E),Groups!A:A,Groups!D:D)=1,MROUND((1-J331)*5+1,2)*IF(J331&lt;=0.4,2,1),"No")</f>
        <v>12</v>
      </c>
      <c r="BA331" s="2" t="str">
        <f>IF(AND(_xlfn.XLOOKUP(B331,'Base stats'!B:B,'Base stats'!AH:AH)="&lt;li&gt;Seal&lt;/li&gt;",G331="Odyssey"),"&lt;li&gt;AEXP_Seal&lt;/li&gt;",_xlfn.XLOOKUP(B331,'Base stats'!B:B,'Base stats'!AH:AH))</f>
        <v>No</v>
      </c>
      <c r="BB331" s="2" t="str">
        <f>_xlfn.XLOOKUP(B331,'Base stats'!B:B,'Base stats'!AG:AG)</f>
        <v>No</v>
      </c>
      <c r="BC331" s="23" t="str">
        <f>_xlfn.XLOOKUP(_xlfn.XLOOKUP(B331,'Base stats'!B:B,'Base stats'!E:E),Groups!A:A,Groups!AL:AL)</f>
        <v>MechanicalCentipede</v>
      </c>
      <c r="BD331" s="23">
        <f>MIN(1,MROUND(IF(AND(AO331&lt;0.5,_xlfn.XLOOKUP(B331,'Base stats'!B:B,'Base stats'!AA:AA)=0),0,IF(OR(_xlfn.XLOOKUP(Animals!B331,'Base stats'!B:B,'Base stats'!O:O)=2,_xlfn.XLOOKUP(_xlfn.XLOOKUP(B331,'Base stats'!B:B,'Base stats'!E:E),Groups!A:A,Groups!AN:AN)=0),0,_xlfn.XLOOKUP(_xlfn.XLOOKUP(B331,'Base stats'!B:B,'Base stats'!E:E),Groups!A:A,Groups!AN:AN)/IF(_xlfn.XLOOKUP(Animals!B331,'Base stats'!B:B,'Base stats'!O:O)=1,2,1)))+_xlfn.XLOOKUP(B331,'Base stats'!B:B,'Base stats'!AC:AC),0.005))</f>
        <v>0</v>
      </c>
      <c r="BE331" s="23">
        <f>MIN(1,MROUND(IF(AND(AO331&lt;0.5,_xlfn.XLOOKUP(B331,'Base stats'!B:B,'Base stats'!AA:AA)=0),0,IF(_xlfn.XLOOKUP(_xlfn.XLOOKUP(B331,'Base stats'!B:B,'Base stats'!E:E),Groups!A:A,Groups!AO:AO)=0,0,_xlfn.XLOOKUP(_xlfn.XLOOKUP(B331,'Base stats'!B:B,'Base stats'!E:E),Groups!A:A,Groups!AO:AO)/IF(_xlfn.XLOOKUP(Animals!B331,'Base stats'!B:B,'Base stats'!O:O)=2,3,1)))+_xlfn.XLOOKUP(B331,'Base stats'!B:B,'Base stats'!AD:AD),0.005))</f>
        <v>0</v>
      </c>
      <c r="BF331" s="2" t="str">
        <f>IF(J331&gt;0.3,"No",_xlfn.XLOOKUP(_xlfn.XLOOKUP(Animals!B331,'Base stats'!B:B,'Base stats'!E:E),Groups!A:A,Groups!AP:AP))</f>
        <v>No</v>
      </c>
      <c r="BG331" s="2" t="str">
        <f>IF(AND(J331&lt;=0.65,_xlfn.XLOOKUP(_xlfn.XLOOKUP(Animals!B331,'Base stats'!B:B,'Base stats'!E:E),Groups!A:A,Groups!AP:AP)&lt;&gt;"No",_xlfn.XLOOKUP(_xlfn.XLOOKUP(B331,'Base stats'!B:B,'Base stats'!E:E),Groups!A:A,Groups!D:D)=0),MROUND((80/3)*IF(_xlfn.XLOOKUP(B331,'Base stats'!B:B,'Base stats'!O:O)=2,0.2,AO331) + 24*(1-IF(BF331="No",0,BF331)) + 16/3, 12),"No")</f>
        <v>No</v>
      </c>
      <c r="BH331" s="2">
        <f>IF(AND(_xlfn.XLOOKUP(_xlfn.XLOOKUP(B331,'Base stats'!B:B,'Base stats'!E:E),Groups!A:A,Groups!AQ:AQ)=1,AO331&lt;=0.35),8,12)</f>
        <v>12</v>
      </c>
      <c r="BI331" s="2" t="str">
        <f>IF(_xlfn.XLOOKUP(_xlfn.XLOOKUP(B331,'Base stats'!B:B,'Base stats'!E:E),Groups!A:A,Groups!D:D)=0,_xlfn.XLOOKUP(_xlfn.XLOOKUP(B331,'Base stats'!B:B,'Base stats'!E:E),Groups!A:A,Groups!AR:AR),"None")</f>
        <v>None</v>
      </c>
      <c r="BJ331" s="2" t="str">
        <f>IF(AND(_xlfn.XLOOKUP(_xlfn.XLOOKUP(B331,'Base stats'!B:B,'Base stats'!E:E),Groups!A:A,Groups!AS:AS)=1,OR(_xlfn.XLOOKUP(B331,'Base stats'!B:B,'Base stats'!Y:Y)="Carnivore",_xlfn.XLOOKUP(B331,'Base stats'!B:B,'Base stats'!Y:Y)="Omnivore")),"true","false")</f>
        <v>false</v>
      </c>
      <c r="BK331" s="2" t="str">
        <f>IF(BJ331="true",MROUND(IF(AND(AO331&gt;0.5,OR(_xlfn.XLOOKUP(_xlfn.XLOOKUP(B331,'Base stats'!B:B,'Base stats'!E:E),Groups!A:A,Groups!AJ:AJ)="Photonozoa",_xlfn.XLOOKUP(_xlfn.XLOOKUP(B331,'Base stats'!B:B,'Base stats'!E:E),Groups!A:A,Groups!AJ:AJ)="Mammal")),Animals!AO331*1.75*IF(AW331="true",1.5,1),IF(AO331&lt;0.5,Animals!AO331*0.5,Animals!AO331)),IF(AO331&gt;2,0.5,IF(AO331&gt;0.5,0.25,0.1))),"No")</f>
        <v>No</v>
      </c>
      <c r="BL331" s="2">
        <f t="shared" si="38"/>
        <v>0</v>
      </c>
      <c r="BM331" s="25" t="str">
        <f>IF(_xlfn.XLOOKUP(B331,'Base stats'!B:B,'Base stats'!AN:AN)="Standard","No",MROUND((_xlfn.XLOOKUP(B331,'Base stats'!B:B,'Base stats'!AN:AN)/3.6)/I331,0.1))</f>
        <v>No</v>
      </c>
      <c r="BN331" s="25" t="str">
        <f t="shared" si="39"/>
        <v>false</v>
      </c>
      <c r="BO331" s="25" t="str">
        <f>IF(AND(OR(_xlfn.XLOOKUP(B331,'Base stats'!B:B,'Base stats'!Y:Y)="Carnivore",_xlfn.XLOOKUP(B331,'Base stats'!B:B,'Base stats'!Y:Y)="Omnivore",_xlfn.XLOOKUP(B331,'Base stats'!B:B,'Base stats'!Y:Y)="OmnivoreRough"),_xlfn.XLOOKUP(_xlfn.XLOOKUP(B331,'Base stats'!B:B,'Base stats'!E:E),Groups!A:A,Groups!AT:AT)=1),"true","false")</f>
        <v>false</v>
      </c>
      <c r="BP331" s="25" t="str" cm="1">
        <f t="array" ref="BP331">IF(
  _xlfn.TEXTJOIN(", ",TRUE,
    IF(AND(BJ331="true",AO331&gt;0.5,BI331&lt;&gt;"None"),"AttackTarget",""),
    IF(AND(_xlfn.XLOOKUP(_xlfn.XLOOKUP(B331,'Base stats'!B:B,'Base stats'!E:E),Groups!A:A,Groups!AJ:AJ="Mammal"),OR(_xlfn.XLOOKUP(B331,'Base stats'!B:B,'Base stats'!Y:Y)="Omnivore",_xlfn.XLOOKUP(B331,'Base stats'!B:B,'Base stats'!Y:Y)="OmnivoreRough")),"Forage",""),
    IF(BG331&lt;=36,"Comfort",""),
    IF(_xlfn.XLOOKUP(B331,'Base stats'!B:B,'Base stats'!AE:AE)&lt;&gt;"No",_xlfn.XLOOKUP(B331,'Base stats'!B:B,'Base stats'!AE:AE),"")
  ) = "",
  "No",
  _xlfn.TEXTJOIN(", ",TRUE,
    IF(AND(BJ331="true",AO331&gt;0.5,BI331&lt;&gt;"None"),"AttackTarget",""),
    IF(AND(_xlfn.XLOOKUP(_xlfn.XLOOKUP(B331,'Base stats'!B:B,'Base stats'!E:E),Groups!A:A,Groups!AJ:AJ="Mammal"),OR(_xlfn.XLOOKUP(B331,'Base stats'!B:B,'Base stats'!Y:Y)="Omnivore",_xlfn.XLOOKUP(B331,'Base stats'!B:B,'Base stats'!Y:Y)="OmnivoreRough")),"Forage",""),
    IF(BG331&lt;=36,"Comfort",""),
    IF(_xlfn.XLOOKUP(B331,'Base stats'!B:B,'Base stats'!AE:AE)&lt;&gt;"No",_xlfn.XLOOKUP(B331,'Base stats'!B:B,'Base stats'!AE:AE),"")
  )
)</f>
        <v>No</v>
      </c>
      <c r="BQ331" s="25" t="str">
        <f>IF(
   AND(
      'Base stats'!AN331="Standard",_xlfn.XLOOKUP(_xlfn.XLOOKUP(B331,'Base stats'!B:B,'Base stats'!E:E),Groups!A:A,Groups!AU:AU)=0,
      OR(
      BO331="True"
      )
   ),
   10,
   IF(
       OR(BM331&lt;&gt;"No",_xlfn.XLOOKUP(_xlfn.XLOOKUP(B331,'Base stats'!B:B,'Base stats'!E:E),Groups!A:A,Groups!AU:AU)=1),
      1,
      "No"
   )
)</f>
        <v>No</v>
      </c>
      <c r="BR331" s="9">
        <f>MROUND((1 + ((0.2*IF(OR(Q331="No",R331="No",R331=0),0,Q331/R331)
+IF(OR(V331="No",S331="No",T331="No"),0,S331/T331*(LEN(V331)-LEN(SUBSTITUTE(V331,",",""))+1))
+IF(OR(X331="No",Y331="No"),0,X331/Y331)
+IF(OR(AD331="No",AE331="No"),0,AD331/AE331)
+IF(OR(AL331="No",AI331="No",AJ331="No"),0,AI331/AJ331*(LEN(AL331)-LEN(SUBSTITUTE(AL331,",",""))+1))
)/(0.2*IF(OR(Q331="No",R331="No",R331=0),0,1)
+IF(OR(V331="No",S331="No",T331="No"),0,LEN(V331)-LEN(SUBSTITUTE(V331,",",""))+1)
+IF(OR(X331="No",Y331="No"),0,1)
+IF(OR(AD331="No",AE331="No"),0,1)
+IF(OR(AL331="No",AI331="No",AJ331="No"),0,LEN(AL331)-LEN(SUBSTITUTE(AL331,",",""))+1))*62%)* 2)*(1 + (AP331 / (IF(_xlfn.XLOOKUP(_xlfn.XLOOKUP(B331,'Base stats'!B:B,'Base stats'!E:E),Groups!A:A,Groups!AJ:AJ)="Photonozoa",0.3,1)) + _xlfn.XLOOKUP(B331,'Base stats'!B:B,'Base stats'!AV:AV) * 1.8) * 2) * 2.5 + 10 + I331 * 2,5)+IF(_xlfn.XLOOKUP(B331,'Base stats'!B:B,'Base stats'!AK:AK)=1,50,0)</f>
        <v>420</v>
      </c>
      <c r="BS331" s="8">
        <f t="shared" si="40"/>
        <v>1.6</v>
      </c>
      <c r="BT331" s="8" t="str">
        <f>_xlfn.XLOOKUP(B331,'Base stats'!B:B,'Base stats'!AF:AF)</f>
        <v>No</v>
      </c>
      <c r="BU331" s="2" t="str">
        <f>IF(AND(J331&lt;=0.95,OR(_xlfn.XLOOKUP(B331,'Base stats'!B:B,'Base stats'!AK:AK)=1,_xlfn.XLOOKUP(B331,'Base stats'!B:B,'Base stats'!Y:Y)="Carnivore",_xlfn.XLOOKUP(B331,'Base stats'!B:B,'Base stats'!Y:Y)="Omnivore",BE331&gt;0.1)),"true","false")</f>
        <v>false</v>
      </c>
      <c r="BV331" s="2" t="str">
        <f>IF(_xlfn.XLOOKUP(B331,'Base stats'!B:B,'Base stats'!AI:AI)=1,"true","false")</f>
        <v>false</v>
      </c>
      <c r="BW331" s="25" t="str">
        <f>IF(E331="BaseInsect","AnimalInsect",
IF(J331&gt;0.95,"AnimalExotic",
_xlfn.TEXTJOIN(", ",TRUE,
IF(OR(_xlfn.XLOOKUP(B331,'Base stats'!B:B,'Base stats'!AM:AM)=1,AND(_xlfn.XLOOKUP(B331,'Base stats'!B:B,'Base stats'!O:O)=0,_xlfn.XLOOKUP(_xlfn.XLOOKUP(B331,'Base stats'!B:B,'Base stats'!E:E),Groups!A:A,Groups!B:B)&gt;0)),"AnimalUncommon","AnimalCommon"),
IF(AND(_xlfn.XLOOKUP(B331,'Base stats'!B:B,'Base stats'!O:O)=2,_xlfn.XLOOKUP(_xlfn.XLOOKUP(B331,'Base stats'!B:B,'Base stats'!E:E),Groups!A:A,Groups!D:D)=0),"AnimalPet",IF(AND(_xlfn.XLOOKUP(B331,'Base stats'!B:B,'Base stats'!O:O)&lt;&gt;0,_xlfn.XLOOKUP(_xlfn.XLOOKUP(B331,'Base stats'!B:B,'Base stats'!E:E),Groups!A:A,Groups!D:D)&lt;&gt;0),"AnimalFarm","")),
IF(OR(_xlfn.XLOOKUP(B331,'Base stats'!B:B,'Base stats'!AK:AK)=1,AND(BI331&lt;&gt;"None",BR331&gt;=60),ISNUMBER(SEARCH("Attack target",BP331))),"AnimalFighter","")
)))</f>
        <v>AnimalUncommon, AnimalFarm</v>
      </c>
      <c r="BX331" s="25" t="str">
        <f>IF(G331="None",TRIM(
SUBSTITUTE(
IF(COUNTIF(Biomes!B$2:B$259,"="&amp;$C331)&gt;0,Biomes!B$1&amp;", ","")&amp;
IF(COUNTIF(Biomes!C$2:C$259,"="&amp;$C331)&gt;0,Biomes!C$1&amp;", ","")&amp;
IF(COUNTIF(Biomes!D$2:D$259,"="&amp;$C331)&gt;0,Biomes!D$1&amp;", ","")&amp;
IF(COUNTIF(Biomes!F$2:F$259,"="&amp;$C331)&gt;0,Biomes!F$1&amp;", ","")&amp;
IF(COUNTIF(Biomes!G$2:G$259,"="&amp;$C331)&gt;0,Biomes!G$1&amp;", ","")&amp;
IF(COUNTIF(Biomes!H$2:H$259,"="&amp;$C331)&gt;0,Biomes!H$1&amp;", ","")&amp;
IF(COUNTIF(Biomes!I$2:I$259,"="&amp;$C331)&gt;0,Biomes!I$1&amp;", ","")&amp;
IF(COUNTIF(Biomes!J$2:J$259,"="&amp;$C331)&gt;0,Biomes!J$1&amp;", ","")&amp;
IF(COUNTIF(Biomes!M$2:M$259,"="&amp;$C331)&gt;0,Biomes!M$1&amp;", ","")&amp;
IF(COUNTIF(Biomes!N$2:N$259,"="&amp;$C331)&gt;0,Biomes!N$1&amp;", ","")&amp;
IF(COUNTIF(Biomes!O$2:O$259,"="&amp;$C331)&gt;0,Biomes!O$1&amp;", ","")&amp;
IF(COUNTIF(Biomes!P$2:P$259,"="&amp;$C331)&gt;0,Biomes!P$1&amp;", ","")&amp;
IF(COUNTIF(Biomes!K$2:K$259,"="&amp;$C331)&gt;0,Biomes!K$1&amp;", ","")&amp;
IF(COUNTIF(Biomes!Q$3:Q$259,"="&amp;$C331)&gt;0,Biomes!Q$1&amp;", ","")&amp;
IF(COUNTIF(Biomes!L$2:L$259,"="&amp;$C331)&gt;0,Biomes!L$1&amp;", ","")&amp;
IF(COUNTIF(Biomes!E$2:E$259,"="&amp;$C331)&gt;0,Biomes!E$1&amp;", ","")&amp;IF(COUNTIF(Biomes!S$2:S$259,"="&amp;$C331)&gt;0,Biomes!S$1&amp;", ","")&amp;
IF(COUNTIF(Biomes!R$2:R$259,"="&amp;$C331)&gt;0,Biomes!R$1&amp;", ",""),", ","")
),_xlfn.XLOOKUP(B331,B:B,BX:BX))</f>
        <v/>
      </c>
      <c r="BY331" s="25" t="str">
        <f>IF(_xlfn.XLOOKUP(B331,'Base stats'!B:B,'Base stats'!AJ:AJ)=1,"true","false")</f>
        <v>false</v>
      </c>
      <c r="BZ331" s="25" t="str">
        <f>IF(_xlfn.XLOOKUP(B331,'Base stats'!B:B,'Base stats'!N:N)=1,"No",MAX(0.001,MIN(MROUND(IF(AND(BJ331="True",CC331="False"),POWER(10,3.47*LOG10(_xlfn.XLOOKUP(B331,'Base stats'!B:B,'Base stats'!C:C)*1000)^-0.96),POWER(10,4.15*LOG10(_xlfn.XLOOKUP(B331,'Base stats'!B:B,'Base stats'!C:C)*1000)^-0.73))*IF(_xlfn.XLOOKUP(B331,'Base stats'!B:B,'Base stats'!AK:AK)=1,0.5,1)*IF(_xlfn.XLOOKUP(B331,'Base stats'!B:B,'Base stats'!AM:AM)=1,0.1,1)/100,IF(_xlfn.XLOOKUP(B331,'Base stats'!B:B,'Base stats'!AM:AM)=1,0.001,0.025)),0.5)))</f>
        <v>No</v>
      </c>
      <c r="CA331" s="25">
        <f>IF(P331="Standard","No",MAX(0.001,MIN(MROUND(IF(AND(BJ331="True",CC331="False"),POWER(10,3.47*LOG10(_xlfn.XLOOKUP(B331,'Base stats'!B:B,'Base stats'!C:C)*1000)^-0.96),POWER(10,4.15*LOG10(_xlfn.XLOOKUP(B331,'Base stats'!B:B,'Base stats'!C:C)*1000)^-0.73))*IF(_xlfn.XLOOKUP(B331,'Base stats'!B:B,'Base stats'!AM:AM)=1,0.1,1)*_xlfn.XLOOKUP(B331,'Base stats'!B:B,'Base stats'!R:R)/100,IF(_xlfn.XLOOKUP(B331,'Base stats'!B:B,'Base stats'!AM:AM)=1,0.001,0.025)),0.5)))</f>
        <v>1.0999999999999999E-2</v>
      </c>
      <c r="CB331" s="25" t="str">
        <f>IF(_xlfn.XLOOKUP(_xlfn.XLOOKUP(B331,'Base stats'!B:B,'Base stats'!E:E),Groups!A:A,Groups!AJ:AJ)="Mammal","True","False")</f>
        <v>False</v>
      </c>
      <c r="CC331" s="25" t="str">
        <f>IF(OR(_xlfn.XLOOKUP(_xlfn.XLOOKUP(B331,'Base stats'!B:B,'Base stats'!E:E),Groups!A:A,Groups!AJ:AJ)="Reptile",_xlfn.XLOOKUP(_xlfn.XLOOKUP(B331,'Base stats'!B:B,'Base stats'!E:E),Groups!A:A,Groups!AJ:AJ)="Amphibian",_xlfn.XLOOKUP(_xlfn.XLOOKUP(B331,'Base stats'!B:B,'Base stats'!E:E),Groups!A:A,Groups!AJ:AJ)="Invertebrate"),"True","False")</f>
        <v>True</v>
      </c>
      <c r="CD331" s="25" t="str">
        <f t="shared" si="41"/>
        <v>False</v>
      </c>
      <c r="CE331" s="25" t="str">
        <f>IF(_xlfn.XLOOKUP(_xlfn.XLOOKUP(B331,'Base stats'!B:B,'Base stats'!E:E),Groups!A:A,Groups!AX:AX),"True","False")</f>
        <v>True</v>
      </c>
      <c r="CF331" s="25" t="str">
        <f>IF(_xlfn.XLOOKUP(_xlfn.XLOOKUP(B331,'Base stats'!B:B,'Base stats'!E:E),Groups!A:A,Groups!AY:AY),"True","False")</f>
        <v>True</v>
      </c>
      <c r="CG331" s="25" t="str">
        <f>IF(_xlfn.XLOOKUP(_xlfn.XLOOKUP(B331,'Base stats'!B:B,'Base stats'!E:E),Groups!A:A,Groups!AW:AW),"True","False")</f>
        <v>True</v>
      </c>
      <c r="CH331" s="25" t="str">
        <f>IF(
OR(
_xlfn.XLOOKUP(_xlfn.XLOOKUP(B331,'Base stats'!B:B,'Base stats'!E:E),Groups!A:A,Groups!AZ:AZ)=0,
AND(
_xlfn.XLOOKUP(B331,'Base stats'!B:B,'Base stats'!Y:Y)&lt;&gt;"Carnivore",
_xlfn.XLOOKUP(B331,'Base stats'!B:B,'Base stats'!Y:Y)&lt;&gt;"Omnivore",
_xlfn.XLOOKUP(B331,'Base stats'!B:B,'Base stats'!Y:Y)&lt;&gt;"OmnivoreRough"
)
),
"No",
IF(
_xlfn.XLOOKUP(_xlfn.XLOOKUP(B331,'Base stats'!B:B,'Base stats'!E:E),Groups!A:A,Groups!AZ:AZ)=1,
"Flesh",
IF(
_xlfn.XLOOKUP(_xlfn.XLOOKUP(B331,'Base stats'!B:B,'Base stats'!E:E),Groups!A:A,Groups!AZ:AZ)=2,
"Bone",
""
)
)
)</f>
        <v>Bone</v>
      </c>
      <c r="CI331" s="25" t="str">
        <f>IF(_xlfn.XLOOKUP(_xlfn.XLOOKUP(B331,'Base stats'!B:B,'Base stats'!E:E),Groups!A:A,Groups!BB:BB),"True","False")</f>
        <v>False</v>
      </c>
      <c r="CJ331" s="25" t="str">
        <f>IF(_xlfn.XLOOKUP(_xlfn.XLOOKUP(B331,'Base stats'!B:B,'Base stats'!E:E),Groups!A:A,Groups!BA:BA),"True","False")</f>
        <v>False</v>
      </c>
    </row>
    <row r="332" spans="1:88" ht="16.5" thickTop="1" thickBot="1" x14ac:dyDescent="0.3">
      <c r="A332" s="26" t="s">
        <v>1576</v>
      </c>
      <c r="B332" s="6" t="str">
        <f>_xlfn.XLOOKUP(A332,'Base stats'!A:A,'Base stats'!B:B)</f>
        <v>Caprabos aculeus</v>
      </c>
      <c r="C332" s="28" t="s">
        <v>1577</v>
      </c>
      <c r="D332" s="28" t="s">
        <v>1341</v>
      </c>
      <c r="E332" s="28" t="s">
        <v>673</v>
      </c>
      <c r="F332" s="28" t="s">
        <v>673</v>
      </c>
      <c r="G332" s="28" t="s">
        <v>673</v>
      </c>
      <c r="H332" s="2">
        <f>MROUND((
  (IF(AND(_xlfn.XLOOKUP(B332,'Base stats'!B:B,'Base stats'!AL:AL)=0,BI332="None",_xlfn.XLOOKUP(_xlfn.XLOOKUP(B332,'Base stats'!B:B,'Base stats'!E:E),Groups!A:A,Groups!B:B)=0), (18 + BR332 * 2.7) * 0.5,
    IF(AND(_xlfn.XLOOKUP(B332,'Base stats'!B:B,'Base stats'!AL:AL)=0,OR(AO332&lt;0.55,AND(BI332="Intermediate",_xlfn.XLOOKUP(_xlfn.XLOOKUP(B332,'Base stats'!B:B,'Base stats'!E:E),Groups!A:A,Groups!B:B)&lt;2))), (18 + BR332 * 2.7),
      IF(OR(BI332="Advanced",_xlfn.XLOOKUP(B332,'Base stats'!B:B,'Base stats'!AL:AL)=1,_xlfn.XLOOKUP(_xlfn.XLOOKUP(B332,'Base stats'!B:B,'Base stats'!E:E),Groups!A:A,Groups!B:B)=2), (18 + BR332 * 2.7) + 250, (18 + BR332 * 2.7))
    )
  ))
  + AO332 * 80
  + IF(COUNTIF(EggMilk!K$2:K$998, A332) &gt; 0, 125, 0)
  + IF(COUNTIF(EggMilk!P$2:P$998, A332) &gt; 0, 90, 0)
  + IF(COUNTIF(EggMilk!A$2:A$998, A332) &gt; 0, 90, 0)
)
* (0.8 + 0.4 * J332)
* 0.75,25)</f>
        <v>275</v>
      </c>
      <c r="I332" s="2">
        <f>MROUND(ROUNDDOWN(_xlfn.XLOOKUP(B332,'Base stats'!B:B,'Base stats'!L:L)/3.6/(23.3/11),1),0.5)</f>
        <v>4</v>
      </c>
      <c r="J332" s="2">
        <f>IF(OR(_xlfn.XLOOKUP(B332,'Base stats'!B:B,'Base stats'!AB:AB)=1,_xlfn.XLOOKUP(_xlfn.XLOOKUP(B332,'Base stats'!B:B,'Base stats'!E:E),Groups!A:A,Groups!C:C)="Untamable"),1,IF(_xlfn.XLOOKUP(B332,'Base stats'!B:B,'Base stats'!AL:AL)=1,0.99,MIN(MROUND((1-0.6282*EXP(-0.459*AO332))*_xlfn.XLOOKUP(_xlfn.XLOOKUP(B332,'Base stats'!B:B,'Base stats'!E:E),Groups!A:A,Groups!C:C)*IF(_xlfn.XLOOKUP(B332,'Base stats'!B:B,'Base stats'!O:O)=1,0.5,IF(_xlfn.XLOOKUP(B332,'Base stats'!B:B,'Base stats'!O:O)=2,0,1)),0.05),IF(AO332&gt;3.5,0.985,0.95))))</f>
        <v>0</v>
      </c>
      <c r="K332" s="2">
        <f>ROUNDUP(AO332*_xlfn.XLOOKUP(_xlfn.XLOOKUP(B332,'Base stats'!B:B,'Base stats'!E:E),Groups!A:A,Groups!E:E),0)</f>
        <v>14</v>
      </c>
      <c r="L332" s="2">
        <f>IF(OR(_xlfn.XLOOKUP(_xlfn.XLOOKUP(B332,'Base stats'!B:B,'Base stats'!E:E),Groups!A:A,Groups!F:F)=2,ISNUMBER(SEARCH("SeaIce",BX332)),ISNUMBER(SEARCH("IceSheet",BX332))),-50,IF(OR(ISNUMBER(SEARCH("GlacialPlain",BX332)),ISNUMBER(SEARCH("Tundra",BX332))),-40,IF(OR(ISNUMBER(SEARCH("Alpine",BX332)),ISNUMBER(SEARCH("BorealForest",BX332)),ISNUMBER(SEARCH("ColdBog",BX332))),-30,IF(OR(ISNUMBER(SEARCH("TemperateForest",BX332)),ISNUMBER(SEARCH("TemperateSwamp",BX332))),-20,IF(_xlfn.XLOOKUP(_xlfn.XLOOKUP(B332,'Base stats'!B:B,'Base stats'!E:E),Groups!A:A,Groups!F:F)=1,-15,IF(OR(ISNUMBER(SEARCH("Desert",BX332)),ISNUMBER(SEARCH("ExtremeDesert",BX332))),-10,IF(OR(ISNUMBER(SEARCH("Grasslands",BX332)),ISNUMBER(SEARCH("TropicalRainforest",BX332)),ISNUMBER(SEARCH("TropicalSwamp",BX332))),10,0)))))))-IF(CC332="False",MIN(IFERROR(MAX(MROUND(LOG10(_xlfn.XLOOKUP(B332,'Base stats'!B:B,'Base stats'!C:C)^(2/3))*10,5),5),5),30))-_xlfn.XLOOKUP(B332,'Base stats'!B:B,'Base stats'!P:P)+IF(CC332="True",5,0)</f>
        <v>-35</v>
      </c>
      <c r="M332" s="2">
        <f>IF(OR(_xlfn.XLOOKUP(_xlfn.XLOOKUP(B332,'Base stats'!B:B,'Base stats'!E:E),Groups!A:A,Groups!G:G)=2,ISNUMBER(SEARCH("Desert",BX332)),ISNUMBER(SEARCH("ExtremeDesert",BX332)),ISNUMBER(SEARCH("LavaField",BX332))),50,IF(ISNUMBER(SEARCH("Grasslands",BX332)),45,IF(OR(_xlfn.XLOOKUP(_xlfn.XLOOKUP(B332,'Base stats'!B:B,'Base stats'!E:E),Groups!A:A,Groups!G:G)=1,ISNUMBER(SEARCH("TropicalRainforest",BX332)),ISNUMBER(SEARCH("TropicalSwamp",BX332))),40,IF(OR(ISNUMBER(SEARCH("TemperateForest",BX332)),ISNUMBER(SEARCH("TemperateSwamp",BX332))),35,IF(OR(ISNUMBER(SEARCH("Alpine",BX332)),ISNUMBER(SEARCH("BorealForest",BX332)),ISNUMBER(SEARCH("ColdBog",BX332))),30,IF(ISNUMBER(OR(ISNUMBER(SEARCH("GlacialPlain",BX332)),SEARCH("Tundra",BX332))),25,IF(OR(ISNUMBER(SEARCH("SeaIce",BX332)),ISNUMBER(SEARCH("IceSheet",BX332)),ISNUMBER(SEARCH("TropicalSwamp",BX332))),10,35)))))))+_xlfn.XLOOKUP(B332,'Base stats'!B:B,'Base stats'!Q:Q)</f>
        <v>35</v>
      </c>
      <c r="N332" s="8" t="str">
        <f>IF(
_xlfn.XLOOKUP(
_xlfn.XLOOKUP(B332,'Base stats'!B:B,'Base stats'!E:E),
Groups!A:A,
Groups!L:L
)=1,
MIN(
MROUND(
IF(
_xlfn.XLOOKUP(B332,'Animals CE'!B:B,'Animals CE'!Z:Z)&lt;=1.5,
_xlfn.XLOOKUP(B332,'Animals CE'!B:B,'Animals CE'!Z:Z)/2+0.05,
0.8+
(_xlfn.XLOOKUP(B332,'Animals CE'!B:B,'Animals CE'!Z:Z)-1.5)
*0.02
),
0.05
),
200%
),
"No"
)</f>
        <v>No</v>
      </c>
      <c r="O332" s="8" t="str">
        <f>IF(
_xlfn.XLOOKUP(
_xlfn.XLOOKUP(B332,'Base stats'!B:B,'Base stats'!E:E),
Groups!A:A,
Groups!L:L
)=1,
MIN(
MROUND(
IF(
_xlfn.XLOOKUP(B332,'Animals CE'!B:B,'Animals CE'!AA:AA)&lt;=1.5,
_xlfn.XLOOKUP(B332,'Animals CE'!B:B,'Animals CE'!AA:AA)/2+0.05,
0.8+
(_xlfn.XLOOKUP(B332,'Animals CE'!B:B,'Animals CE'!AA:AA)-1.5)
*0.02
),
0.05
),
200%
),
"No"
)</f>
        <v>No</v>
      </c>
      <c r="P332" s="2" t="str">
        <f>_xlfn.XLOOKUP(B332,'Base stats'!B:B,'Base stats'!R:R)</f>
        <v>Standard</v>
      </c>
      <c r="Q332" s="13">
        <f>MROUND((LOG10(_xlfn.XLOOKUP(B332,'Base stats'!B:B,'Base stats'!AR:AR))*(AO332^0.5)+(_xlfn.XLOOKUP(B332,'Base stats'!B:B,'Base stats'!AR:AR)/1000)^(2/3)+_xlfn.XLOOKUP(B332,'Base stats'!B:B,'Base stats'!BA:BA)/2)+0.5,0.5)</f>
        <v>15</v>
      </c>
      <c r="R332" s="7">
        <f>IF(Q332="No","No",MAX(1,MROUND(_xlfn.XLOOKUP(B332,'Base stats'!B:B,'Base stats'!C:C)^0.165,0.05)))</f>
        <v>2.7</v>
      </c>
      <c r="S332" s="13">
        <f>IF(_xlfn.XLOOKUP(_xlfn.XLOOKUP(B332,'Base stats'!B:B,'Base stats'!E:E),Groups!A:A,Groups!P:P)=0,"No",MROUND((LOG10(_xlfn.XLOOKUP(B332,'Base stats'!B:B,'Base stats'!AS:AS))*(AO332^0.5)+(_xlfn.XLOOKUP(B332,'Base stats'!B:B,'Base stats'!AS:AS)/1000)^(2/3)+_xlfn.XLOOKUP(B332,'Base stats'!B:B,'Base stats'!BA:BA))+_xlfn.XLOOKUP(B332,'Base stats'!B:B,'Base stats'!AY:AY)+0.5,0.5))</f>
        <v>18.5</v>
      </c>
      <c r="T332" s="7">
        <f>IF(S332="No","No",MAX(_xlfn.XLOOKUP(_xlfn.XLOOKUP(B332,'Base stats'!B:B,'Base stats'!E:E),Groups!A:A,Groups!Q:Q),MROUND(_xlfn.XLOOKUP(_xlfn.XLOOKUP(B332,'Base stats'!B:B,'Base stats'!E:E),Groups!A:A,Groups!Q:Q)*_xlfn.XLOOKUP(B332,'Base stats'!B:B,'Base stats'!C:C)^0.165,0.05)))</f>
        <v>2.7</v>
      </c>
      <c r="U332" s="7" t="str">
        <f>IF(S332="No","No",_xlfn.XLOOKUP(_xlfn.XLOOKUP(B332,'Base stats'!B:B,'Base stats'!E:E),Groups!A:A,Groups!R:R))</f>
        <v>FrontLeftLeg, FrontRightLeg</v>
      </c>
      <c r="V332" s="7" t="str">
        <f>IF(S332="No","No",_xlfn.XLOOKUP(_xlfn.XLOOKUP(B332,'Base stats'!B:B,'Base stats'!E:E),Groups!A:A,Groups!S:S))</f>
        <v>left hoof, right hoof</v>
      </c>
      <c r="W332" s="7" t="str">
        <f>IF(S332="No","No",_xlfn.XLOOKUP(_xlfn.XLOOKUP(B332,'Base stats'!B:B,'Base stats'!E:E),Groups!A:A,Groups!T:T))</f>
        <v>Blunt</v>
      </c>
      <c r="X332" s="13">
        <f>IF(_xlfn.XLOOKUP(B332,'Base stats'!B:B,'Base stats'!W:W)="No","No",MROUND((LOG10(_xlfn.XLOOKUP(B332,'Base stats'!B:B,'Base stats'!AU:AU))*(AO332^0.5)+(_xlfn.XLOOKUP(B332,'Base stats'!B:B,'Base stats'!AU:AU)/1000)^(2/3)+_xlfn.XLOOKUP(B332,'Base stats'!B:B,'Base stats'!AZ:AZ))+0.5+IF(_xlfn.XLOOKUP(_xlfn.XLOOKUP(B332,'Base stats'!B:B,'Base stats'!E:E),Groups!A:A,Groups!U:U)&lt;&gt;3,_xlfn.XLOOKUP(B332,'Base stats'!B:B,'Base stats'!BA:BA),0),0.5))</f>
        <v>14.5</v>
      </c>
      <c r="Y332" s="7">
        <f>IF(X332="No","No",MAX(_xlfn.XLOOKUP(_xlfn.XLOOKUP(B332,'Base stats'!B:B,'Base stats'!E:E),Groups!A:A,Groups!V:V),MROUND(_xlfn.XLOOKUP(_xlfn.XLOOKUP(B332,'Base stats'!B:B,'Base stats'!E:E),Groups!A:A,Groups!V:V)*_xlfn.XLOOKUP(B332,'Base stats'!B:B,'Base stats'!C:C)^0.165,0.05)))</f>
        <v>2.3000000000000003</v>
      </c>
      <c r="Z332" s="7" t="str">
        <f>IF(X332="No","No",_xlfn.XLOOKUP(_xlfn.XLOOKUP(B332,'Base stats'!B:B,'Base stats'!E:E),Groups!A:A,Groups!W:W))</f>
        <v>HeadAttackTool</v>
      </c>
      <c r="AA332" s="7" t="str">
        <f>IF(X332="No","No",_xlfn.XLOOKUP(_xlfn.XLOOKUP(B332,'Base stats'!B:B,'Base stats'!E:E),Groups!A:A,Groups!X:X))</f>
        <v>horn</v>
      </c>
      <c r="AB332" s="7" t="str">
        <f>IF(X332="No","No",_xlfn.XLOOKUP(_xlfn.XLOOKUP(B332,'Base stats'!B:B,'Base stats'!E:E),Groups!A:A,Groups!Y:Y))</f>
        <v>Blunt</v>
      </c>
      <c r="AC332" s="7" t="str">
        <f>_xlfn.XLOOKUP(Animals!B332,'Base stats'!B:B,'Base stats'!X:X)</f>
        <v>True</v>
      </c>
      <c r="AD332" s="13" t="str">
        <f>IF(_xlfn.XLOOKUP(B332,'Base stats'!B:B,'Base stats'!AT:AT)="No","No",MROUND((LOG10(_xlfn.XLOOKUP(B332,'Base stats'!B:B,'Base stats'!AT:AT))*(AO332^0.75)+(_xlfn.XLOOKUP(B332,'Base stats'!B:B,'Base stats'!AT:AT)/1000)^(2/3)+_xlfn.XLOOKUP(B332,'Base stats'!B:B,'Base stats'!AX:AX)+_xlfn.XLOOKUP(B332,'Base stats'!B:B,'Base stats'!BA:BA))+0.5,0.5))</f>
        <v>No</v>
      </c>
      <c r="AE332" s="7" t="str">
        <f>IF(AD332="No","No",MAX(_xlfn.XLOOKUP(_xlfn.XLOOKUP(B332,'Base stats'!B:B,'Base stats'!E:E),Groups!A:A,Groups!Z:Z),MROUND(_xlfn.XLOOKUP(_xlfn.XLOOKUP(B332,'Base stats'!B:B,'Base stats'!E:E),Groups!A:A,Groups!Z:Z)*_xlfn.XLOOKUP(B332,'Base stats'!B:B,'Base stats'!C:C)^0.165,0.05)))</f>
        <v>No</v>
      </c>
      <c r="AF332" s="7" t="str">
        <f>IF(AD332="No","No",_xlfn.XLOOKUP(_xlfn.XLOOKUP(B332,'Base stats'!B:B,'Base stats'!E:E),Groups!A:A,Groups!AA:AA))</f>
        <v>No</v>
      </c>
      <c r="AG332" s="7" t="str">
        <f>IF(AD332="No","No",_xlfn.XLOOKUP(_xlfn.XLOOKUP(B332,'Base stats'!B:B,'Base stats'!E:E),Groups!A:A,Groups!AB:AB))</f>
        <v>No</v>
      </c>
      <c r="AH332" s="7" t="str">
        <f>IF(AD332="No","No",_xlfn.XLOOKUP(_xlfn.XLOOKUP(B332,'Base stats'!B:B,'Base stats'!E:E),Groups!A:A,Groups!AC:AC))</f>
        <v>No</v>
      </c>
      <c r="AI332" s="13" t="str">
        <f>IF(_xlfn.XLOOKUP(_xlfn.XLOOKUP(B332,'Base stats'!B:B,'Base stats'!E:E),Groups!A:A,Groups!AD:AD)=0,"No",MROUND((LOG10(_xlfn.XLOOKUP(B332,'Base stats'!B:B,'Base stats'!AS:AS))*(AO332^0.75)+(_xlfn.XLOOKUP(B332,'Base stats'!B:B,'Base stats'!AS:AS)/1000)^(2/3)+_xlfn.XLOOKUP(B332,'Base stats'!B:B,'Base stats'!AY:AY)+_xlfn.XLOOKUP(B332,'Base stats'!B:B,'Base stats'!BA:BA))+0.5,0.5))</f>
        <v>No</v>
      </c>
      <c r="AJ332" s="7" t="str">
        <f>IF(AI332="No","No",MAX(_xlfn.XLOOKUP(_xlfn.XLOOKUP(B332,'Base stats'!B:B,'Base stats'!E:E),Groups!A:A,Groups!AE:AE),MROUND(_xlfn.XLOOKUP(_xlfn.XLOOKUP(B332,'Base stats'!B:B,'Base stats'!E:E),Groups!A:A,Groups!AE:AE)*IF(_xlfn.XLOOKUP(_xlfn.XLOOKUP(B332,'Base stats'!B:B,'Base stats'!E:E),Groups!A:A,Groups!AJ:AJ)="Photonozoa",0.6,1)*_xlfn.XLOOKUP(B332,'Base stats'!B:B,'Base stats'!C:C)^0.165,0.05)))</f>
        <v>No</v>
      </c>
      <c r="AK332" s="7" t="str">
        <f>IF(AI332="No","No",_xlfn.XLOOKUP(_xlfn.XLOOKUP(B332,'Base stats'!B:B,'Base stats'!E:E),Groups!A:A,Groups!AF:AF))</f>
        <v>No</v>
      </c>
      <c r="AL332" s="7" t="str">
        <f>IF(AI332="No","No",_xlfn.XLOOKUP(_xlfn.XLOOKUP(B332,'Base stats'!B:B,'Base stats'!E:E),Groups!A:A,Groups!AG:AG))</f>
        <v>No</v>
      </c>
      <c r="AM332" s="7" t="str">
        <f>IF(AI332="No","No",_xlfn.XLOOKUP(_xlfn.XLOOKUP(B332,'Base stats'!B:B,'Base stats'!E:E),Groups!A:A,Groups!AH:AH))</f>
        <v>No</v>
      </c>
      <c r="AN332" s="2" t="str">
        <f t="shared" si="35"/>
        <v>No</v>
      </c>
      <c r="AO332" s="2">
        <f>MROUND(IF(AND(_xlfn.XLOOKUP(B332,'Base stats'!B:B,'Base stats'!C:C)&gt;=0.5,_xlfn.XLOOKUP(B332,'Base stats'!B:B,'Base stats'!C:C)&lt;=0.8),
IF(_xlfn.XLOOKUP(B332,'Base stats'!B:B,'Base stats'!C:C)&lt;0.1,0.05,IF(_xlfn.XLOOKUP(B332,'Base stats'!B:B,'Base stats'!C:C)&lt;=70,(_xlfn.XLOOKUP(B332,'Base stats'!B:B,'Base stats'!C:C)/70)^0.426489913056526,IF(_xlfn.XLOOKUP(B332,'Base stats'!B:B,'Base stats'!C:C)&lt;=400,(_xlfn.XLOOKUP(B332,'Base stats'!B:B,'Base stats'!C:C)/70)^0.572811455315093,IF(_xlfn.XLOOKUP(B332,'Base stats'!B:B,'Base stats'!C:C)&lt;=2000,2.71391647193063*(_xlfn.XLOOKUP(B332,'Base stats'!B:B,'Base stats'!C:C)/400)^0.252459582904293,3.74314280240376*(_xlfn.XLOOKUP(B332,'Base stats'!B:B,'Base stats'!C:C)/2000)^0.357012633876913)))),
IF(_xlfn.XLOOKUP(B332,'Base stats'!B:B,'Base stats'!C:C)&lt;0.1,0.05,IF(_xlfn.XLOOKUP(B332,'Base stats'!B:B,'Base stats'!C:C)&lt;0.4,0.1,IF(_xlfn.XLOOKUP(B332,'Base stats'!B:B,'Base stats'!C:C)&lt;=70,(_xlfn.XLOOKUP(B332,'Base stats'!B:B,'Base stats'!C:C)/70)^0.445823913056526,IF(_xlfn.XLOOKUP(B332,'Base stats'!B:B,'Base stats'!C:C)&lt;=400,(_xlfn.XLOOKUP(B332,'Base stats'!B:B,'Base stats'!C:C)/70)^0.572811455315093,IF(_xlfn.XLOOKUP(B332,'Base stats'!B:B,'Base stats'!C:C)&lt;=2000,2.71391647193063*(_xlfn.XLOOKUP(B332,'Base stats'!B:B,'Base stats'!C:C)/400)^0.252459582904293,3.74314280240376*(_xlfn.XLOOKUP(B332,'Base stats'!B:B,'Base stats'!C:C)/2000)^0.357012633876913)))))),
IF(_xlfn.XLOOKUP(B332,'Base stats'!B:B,'Base stats'!C:C)&lt;0.1,0.05,IF(_xlfn.XLOOKUP(B332,'Base stats'!B:B,'Base stats'!C:C)&lt;=100,0.05,IF(_xlfn.XLOOKUP(B332,'Base stats'!B:B,'Base stats'!C:C)&lt;=250,0.1,IF(_xlfn.XLOOKUP(B332,'Base stats'!B:B,'Base stats'!C:C)&lt;=4000,0.25,0.5)))))</f>
        <v>2.75</v>
      </c>
      <c r="AP332" s="8">
        <f>MROUND(AO332*_xlfn.XLOOKUP(_xlfn.XLOOKUP(B332,'Base stats'!B:B,'Base stats'!E:E),Groups!A:A,Groups!AI:AI)*_xlfn.XLOOKUP(B332,'Base stats'!B:B,'Base stats'!Z:Z),0.05)</f>
        <v>2.75</v>
      </c>
      <c r="AQ332" s="8">
        <f>MAX(0.01,MROUND(IF(CC332="True",0.196*(AO332*100*1000)^0.889,IF(_xlfn.XLOOKUP(_xlfn.XLOOKUP(B332,'Base stats'!B:B,'Base stats'!E:E),Groups!A:A,Groups!AJ:AJ)="Bird",10.5*(AO332*100*1000)^0.681,4.82*(AO332*100*1000)^0.734))/(4.82*(1*100*1000)^0.734)/IF(AO332&lt;3.5,2,IF(AO332=3.5,1.5,1.25))*(1+0.132282374779864/(AO332^0.994035016789033+0.00905238001496948)),0.05))</f>
        <v>1.1000000000000001</v>
      </c>
      <c r="AR332" s="9">
        <f>IFERROR(MROUND(_xlfn.XLOOKUP(B332,'Base stats'!B:B,'Base stats'!H:H)/IF(_xlfn.XLOOKUP(B332,'Base stats'!B:B,'Base stats'!I:I)&lt;&gt;1,(122.5/70),1.2),IF(_xlfn.XLOOKUP(B332,'Base stats'!B:B,'Base stats'!H:H)&gt;=30,5,IF(_xlfn.XLOOKUP(B332,'Base stats'!B:B,'Base stats'!H:H)&gt;=15,3,IF(_xlfn.XLOOKUP(B332,'Base stats'!B:B,'Base stats'!H:H)&gt;=10,2,1)))),"Immortal")</f>
        <v>18</v>
      </c>
      <c r="AS332" s="35">
        <f>IFERROR(IF(OR(_xlfn.XLOOKUP(B332,'Base stats'!B:B,'Base stats'!F:F)="Atypical reproduction",_xlfn.XLOOKUP(B332,'Base stats'!B:B,'Base stats'!F:F)="Lay eggs"),"Lay eggs",MIN(20,MAX(5.5,ROUND(((_xlfn.XLOOKUP(B332,'Base stats'!B:B,'Base stats'!F:F)-25)*(14.5/615) + 5.5)*2,0)/2))),"Unknown")</f>
        <v>10.5</v>
      </c>
      <c r="AT332" s="8">
        <f>IF(_xlfn.XLOOKUP(B332,'Base stats'!B:B,'Base stats'!G:G)="Atypical reproduction","No",IFERROR(MAX(IF(_xlfn.XLOOKUP(B332,'Base stats'!B:B,'Base stats'!G:G)&lt;0.5,0.2,0.3),MROUND(_xlfn.XLOOKUP(B332,'Base stats'!B:B,'Base stats'!G:G)/(365/60),0.2)),"Unknown"))</f>
        <v>0.3</v>
      </c>
      <c r="AU332" s="8">
        <f t="shared" si="36"/>
        <v>0.15000000000000002</v>
      </c>
      <c r="AV332" s="8">
        <f>IFERROR(IFERROR(MROUND(_xlfn.XLOOKUP(B332,'Base stats'!B:B,'Base stats'!J:J),0.1),"Lay eggs"),"Cannot breed")</f>
        <v>1</v>
      </c>
      <c r="AW332" s="2" t="str">
        <f t="shared" si="37"/>
        <v>true</v>
      </c>
      <c r="AX332" s="2" t="str">
        <f>IF(_xlfn.XLOOKUP(_xlfn.XLOOKUP(Animals!B332,'Base stats'!B:B,'Base stats'!E:E),Groups!A:A,Groups!AK:AK)=1,"true","false")</f>
        <v>true</v>
      </c>
      <c r="AY332" s="25" t="str">
        <f>IF(_xlfn.XLOOKUP(B332,'Base stats'!B:B,'Base stats'!Y:Y)="Liquor","Liquor, CarnivoreAnimalStrict",IF(AND(_xlfn.XLOOKUP(B332,'Base stats'!B:B,'Base stats'!Y:Y)="Carnivore",_xlfn.XLOOKUP(_xlfn.XLOOKUP(B332,'Base stats'!B:B,'Base stats'!E:E),Groups!A:A,Groups!AJ:AJ)="Photonozoa"),"CarnivoreAnimalStrict, OvivoreAnimal",IF(_xlfn.XLOOKUP(B332,'Base stats'!B:B,'Base stats'!Y:Y)="Carnivore","CarnivoreAnimal, OvivoreAnimal",IF(_xlfn.XLOOKUP(B332,'Base stats'!B:B,'Base stats'!Y:Y)="Dendrovore","VegetarianRoughAnimal, DendrovoreAnimal",IF(_xlfn.XLOOKUP(B332,'Base stats'!B:B,'Base stats'!Y:Y)="Herbivore","VegetarianRoughAnimal",IF(_xlfn.XLOOKUP(B332,'Base stats'!B:B,'Base stats'!Y:Y)="OmnivoreRough","OmnivoreRoughAnimal, OvivoreAnimal","OmnivoreAnimal, OvivoreAnimal"))))))</f>
        <v>VegetarianRoughAnimal</v>
      </c>
      <c r="AZ332" s="2">
        <f>IF(_xlfn.XLOOKUP(_xlfn.XLOOKUP(B332,'Base stats'!B:B,'Base stats'!E:E),Groups!A:A,Groups!D:D)=1,MROUND((1-J332)*5+1,2)*IF(J332&lt;=0.4,2,1),"No")</f>
        <v>12</v>
      </c>
      <c r="BA332" s="2" t="str">
        <f>IF(AND(_xlfn.XLOOKUP(B332,'Base stats'!B:B,'Base stats'!AH:AH)="&lt;li&gt;Seal&lt;/li&gt;",G332="Odyssey"),"&lt;li&gt;AEXP_Seal&lt;/li&gt;",_xlfn.XLOOKUP(B332,'Base stats'!B:B,'Base stats'!AH:AH))</f>
        <v>&lt;li&gt;Cow&lt;/li&gt;</v>
      </c>
      <c r="BB332" s="2" t="str">
        <f>_xlfn.XLOOKUP(B332,'Base stats'!B:B,'Base stats'!AG:AG)</f>
        <v>Leather_Plain</v>
      </c>
      <c r="BC332" s="23" t="str">
        <f>_xlfn.XLOOKUP(_xlfn.XLOOKUP(B332,'Base stats'!B:B,'Base stats'!E:E),Groups!A:A,Groups!AL:AL)</f>
        <v>QuadrupedAnimalWithHooves</v>
      </c>
      <c r="BD332" s="23">
        <f>MIN(1,MROUND(IF(AND(AO332&lt;0.5,_xlfn.XLOOKUP(B332,'Base stats'!B:B,'Base stats'!AA:AA)=0),0,IF(OR(_xlfn.XLOOKUP(Animals!B332,'Base stats'!B:B,'Base stats'!O:O)=2,_xlfn.XLOOKUP(_xlfn.XLOOKUP(B332,'Base stats'!B:B,'Base stats'!E:E),Groups!A:A,Groups!AN:AN)=0),0,_xlfn.XLOOKUP(_xlfn.XLOOKUP(B332,'Base stats'!B:B,'Base stats'!E:E),Groups!A:A,Groups!AN:AN)/IF(_xlfn.XLOOKUP(Animals!B332,'Base stats'!B:B,'Base stats'!O:O)=1,2,1)))+_xlfn.XLOOKUP(B332,'Base stats'!B:B,'Base stats'!AC:AC),0.005))</f>
        <v>0</v>
      </c>
      <c r="BE332" s="23">
        <f>MIN(1,MROUND(IF(AND(AO332&lt;0.5,_xlfn.XLOOKUP(B332,'Base stats'!B:B,'Base stats'!AA:AA)=0),0,IF(_xlfn.XLOOKUP(_xlfn.XLOOKUP(B332,'Base stats'!B:B,'Base stats'!E:E),Groups!A:A,Groups!AO:AO)=0,0,_xlfn.XLOOKUP(_xlfn.XLOOKUP(B332,'Base stats'!B:B,'Base stats'!E:E),Groups!A:A,Groups!AO:AO)/IF(_xlfn.XLOOKUP(Animals!B332,'Base stats'!B:B,'Base stats'!O:O)=2,3,1)))+_xlfn.XLOOKUP(B332,'Base stats'!B:B,'Base stats'!AD:AD),0.005))</f>
        <v>0</v>
      </c>
      <c r="BF332" s="2" t="str">
        <f>IF(J332&gt;0.3,"No",_xlfn.XLOOKUP(_xlfn.XLOOKUP(Animals!B332,'Base stats'!B:B,'Base stats'!E:E),Groups!A:A,Groups!AP:AP))</f>
        <v>No</v>
      </c>
      <c r="BG332" s="2" t="str">
        <f>IF(AND(J332&lt;=0.65,_xlfn.XLOOKUP(_xlfn.XLOOKUP(Animals!B332,'Base stats'!B:B,'Base stats'!E:E),Groups!A:A,Groups!AP:AP)&lt;&gt;"No",_xlfn.XLOOKUP(_xlfn.XLOOKUP(B332,'Base stats'!B:B,'Base stats'!E:E),Groups!A:A,Groups!D:D)=0),MROUND((80/3)*IF(_xlfn.XLOOKUP(B332,'Base stats'!B:B,'Base stats'!O:O)=2,0.2,AO332) + 24*(1-IF(BF332="No",0,BF332)) + 16/3, 12),"No")</f>
        <v>No</v>
      </c>
      <c r="BH332" s="2">
        <f>IF(AND(_xlfn.XLOOKUP(_xlfn.XLOOKUP(B332,'Base stats'!B:B,'Base stats'!E:E),Groups!A:A,Groups!AQ:AQ)=1,AO332&lt;=0.35),8,12)</f>
        <v>12</v>
      </c>
      <c r="BI332" s="2" t="str">
        <f>IF(_xlfn.XLOOKUP(_xlfn.XLOOKUP(B332,'Base stats'!B:B,'Base stats'!E:E),Groups!A:A,Groups!D:D)=0,_xlfn.XLOOKUP(_xlfn.XLOOKUP(B332,'Base stats'!B:B,'Base stats'!E:E),Groups!A:A,Groups!AR:AR),"None")</f>
        <v>None</v>
      </c>
      <c r="BJ332" s="2" t="str">
        <f>IF(AND(_xlfn.XLOOKUP(_xlfn.XLOOKUP(B332,'Base stats'!B:B,'Base stats'!E:E),Groups!A:A,Groups!AS:AS)=1,OR(_xlfn.XLOOKUP(B332,'Base stats'!B:B,'Base stats'!Y:Y)="Carnivore",_xlfn.XLOOKUP(B332,'Base stats'!B:B,'Base stats'!Y:Y)="Omnivore")),"true","false")</f>
        <v>false</v>
      </c>
      <c r="BK332" s="2" t="str">
        <f>IF(BJ332="true",MROUND(IF(AND(AO332&gt;0.5,OR(_xlfn.XLOOKUP(_xlfn.XLOOKUP(B332,'Base stats'!B:B,'Base stats'!E:E),Groups!A:A,Groups!AJ:AJ)="Photonozoa",_xlfn.XLOOKUP(_xlfn.XLOOKUP(B332,'Base stats'!B:B,'Base stats'!E:E),Groups!A:A,Groups!AJ:AJ)="Mammal")),Animals!AO332*1.75*IF(AW332="true",1.5,1),IF(AO332&lt;0.5,Animals!AO332*0.5,Animals!AO332)),IF(AO332&gt;2,0.5,IF(AO332&gt;0.5,0.25,0.1))),"No")</f>
        <v>No</v>
      </c>
      <c r="BL332" s="2">
        <f t="shared" si="38"/>
        <v>0</v>
      </c>
      <c r="BM332" s="25" t="str">
        <f>IF(_xlfn.XLOOKUP(B332,'Base stats'!B:B,'Base stats'!AN:AN)="Standard","No",MROUND((_xlfn.XLOOKUP(B332,'Base stats'!B:B,'Base stats'!AN:AN)/3.6)/I332,0.1))</f>
        <v>No</v>
      </c>
      <c r="BN332" s="25" t="str">
        <f t="shared" si="39"/>
        <v>false</v>
      </c>
      <c r="BO332" s="25" t="str">
        <f>IF(AND(OR(_xlfn.XLOOKUP(B332,'Base stats'!B:B,'Base stats'!Y:Y)="Carnivore",_xlfn.XLOOKUP(B332,'Base stats'!B:B,'Base stats'!Y:Y)="Omnivore",_xlfn.XLOOKUP(B332,'Base stats'!B:B,'Base stats'!Y:Y)="OmnivoreRough"),_xlfn.XLOOKUP(_xlfn.XLOOKUP(B332,'Base stats'!B:B,'Base stats'!E:E),Groups!A:A,Groups!AT:AT)=1),"true","false")</f>
        <v>false</v>
      </c>
      <c r="BP332" s="25" t="str" cm="1">
        <f t="array" ref="BP332">IF(
  _xlfn.TEXTJOIN(", ",TRUE,
    IF(AND(BJ332="true",AO332&gt;0.5,BI332&lt;&gt;"None"),"AttackTarget",""),
    IF(AND(_xlfn.XLOOKUP(_xlfn.XLOOKUP(B332,'Base stats'!B:B,'Base stats'!E:E),Groups!A:A,Groups!AJ:AJ="Mammal"),OR(_xlfn.XLOOKUP(B332,'Base stats'!B:B,'Base stats'!Y:Y)="Omnivore",_xlfn.XLOOKUP(B332,'Base stats'!B:B,'Base stats'!Y:Y)="OmnivoreRough")),"Forage",""),
    IF(BG332&lt;=36,"Comfort",""),
    IF(_xlfn.XLOOKUP(B332,'Base stats'!B:B,'Base stats'!AE:AE)&lt;&gt;"No",_xlfn.XLOOKUP(B332,'Base stats'!B:B,'Base stats'!AE:AE),"")
  ) = "",
  "No",
  _xlfn.TEXTJOIN(", ",TRUE,
    IF(AND(BJ332="true",AO332&gt;0.5,BI332&lt;&gt;"None"),"AttackTarget",""),
    IF(AND(_xlfn.XLOOKUP(_xlfn.XLOOKUP(B332,'Base stats'!B:B,'Base stats'!E:E),Groups!A:A,Groups!AJ:AJ="Mammal"),OR(_xlfn.XLOOKUP(B332,'Base stats'!B:B,'Base stats'!Y:Y)="Omnivore",_xlfn.XLOOKUP(B332,'Base stats'!B:B,'Base stats'!Y:Y)="OmnivoreRough")),"Forage",""),
    IF(BG332&lt;=36,"Comfort",""),
    IF(_xlfn.XLOOKUP(B332,'Base stats'!B:B,'Base stats'!AE:AE)&lt;&gt;"No",_xlfn.XLOOKUP(B332,'Base stats'!B:B,'Base stats'!AE:AE),"")
  )
)</f>
        <v>No</v>
      </c>
      <c r="BQ332" s="25" t="str">
        <f>IF(
   AND(
      'Base stats'!AN332="Standard",_xlfn.XLOOKUP(_xlfn.XLOOKUP(B332,'Base stats'!B:B,'Base stats'!E:E),Groups!A:A,Groups!AU:AU)=0,
      OR(
      BO332="True"
      )
   ),
   10,
   IF(
       OR(BM332&lt;&gt;"No",_xlfn.XLOOKUP(_xlfn.XLOOKUP(B332,'Base stats'!B:B,'Base stats'!E:E),Groups!A:A,Groups!AU:AU)=1),
      1,
      "No"
   )
)</f>
        <v>No</v>
      </c>
      <c r="BR332" s="9">
        <f>MROUND((1 + ((0.2*IF(OR(Q332="No",R332="No",R332=0),0,Q332/R332)
+IF(OR(V332="No",S332="No",T332="No"),0,S332/T332*(LEN(V332)-LEN(SUBSTITUTE(V332,",",""))+1))
+IF(OR(X332="No",Y332="No"),0,X332/Y332)
+IF(OR(AD332="No",AE332="No"),0,AD332/AE332)
+IF(OR(AL332="No",AI332="No",AJ332="No"),0,AI332/AJ332*(LEN(AL332)-LEN(SUBSTITUTE(AL332,",",""))+1))
)/(0.2*IF(OR(Q332="No",R332="No",R332=0),0,1)
+IF(OR(V332="No",S332="No",T332="No"),0,LEN(V332)-LEN(SUBSTITUTE(V332,",",""))+1)
+IF(OR(X332="No",Y332="No"),0,1)
+IF(OR(AD332="No",AE332="No"),0,1)
+IF(OR(AL332="No",AI332="No",AJ332="No"),0,LEN(AL332)-LEN(SUBSTITUTE(AL332,",",""))+1))*62%)* 2)*(1 + (AP332 / (IF(_xlfn.XLOOKUP(_xlfn.XLOOKUP(B332,'Base stats'!B:B,'Base stats'!E:E),Groups!A:A,Groups!AJ:AJ)="Photonozoa",0.3,1)) + _xlfn.XLOOKUP(B332,'Base stats'!B:B,'Base stats'!AV:AV) * 1.8) * 2) * 2.5 + 10 + I332 * 2,5)+IF(_xlfn.XLOOKUP(B332,'Base stats'!B:B,'Base stats'!AK:AK)=1,50,0)</f>
        <v>165</v>
      </c>
      <c r="BS332" s="8">
        <f t="shared" si="40"/>
        <v>1.4500000000000002</v>
      </c>
      <c r="BT332" s="8" t="str">
        <f>_xlfn.XLOOKUP(B332,'Base stats'!B:B,'Base stats'!AF:AF)</f>
        <v>3~10</v>
      </c>
      <c r="BU332" s="2" t="str">
        <f>IF(AND(J332&lt;=0.95,OR(_xlfn.XLOOKUP(B332,'Base stats'!B:B,'Base stats'!AK:AK)=1,_xlfn.XLOOKUP(B332,'Base stats'!B:B,'Base stats'!Y:Y)="Carnivore",_xlfn.XLOOKUP(B332,'Base stats'!B:B,'Base stats'!Y:Y)="Omnivore",BE332&gt;0.1)),"true","false")</f>
        <v>false</v>
      </c>
      <c r="BV332" s="2" t="str">
        <f>IF(_xlfn.XLOOKUP(B332,'Base stats'!B:B,'Base stats'!AI:AI)=1,"true","false")</f>
        <v>true</v>
      </c>
      <c r="BW332" s="25" t="str">
        <f>IF(E332="BaseInsect","AnimalInsect",
IF(J332&gt;0.95,"AnimalExotic",
_xlfn.TEXTJOIN(", ",TRUE,
IF(OR(_xlfn.XLOOKUP(B332,'Base stats'!B:B,'Base stats'!AM:AM)=1,AND(_xlfn.XLOOKUP(B332,'Base stats'!B:B,'Base stats'!O:O)=0,_xlfn.XLOOKUP(_xlfn.XLOOKUP(B332,'Base stats'!B:B,'Base stats'!E:E),Groups!A:A,Groups!B:B)&gt;0)),"AnimalUncommon","AnimalCommon"),
IF(AND(_xlfn.XLOOKUP(B332,'Base stats'!B:B,'Base stats'!O:O)=2,_xlfn.XLOOKUP(_xlfn.XLOOKUP(B332,'Base stats'!B:B,'Base stats'!E:E),Groups!A:A,Groups!D:D)=0),"AnimalPet",IF(AND(_xlfn.XLOOKUP(B332,'Base stats'!B:B,'Base stats'!O:O)&lt;&gt;0,_xlfn.XLOOKUP(_xlfn.XLOOKUP(B332,'Base stats'!B:B,'Base stats'!E:E),Groups!A:A,Groups!D:D)&lt;&gt;0),"AnimalFarm","")),
IF(OR(_xlfn.XLOOKUP(B332,'Base stats'!B:B,'Base stats'!AK:AK)=1,AND(BI332&lt;&gt;"None",BR332&gt;=60),ISNUMBER(SEARCH("Attack target",BP332))),"AnimalFighter","")
)))</f>
        <v>AnimalUncommon, AnimalFarm</v>
      </c>
      <c r="BX332" s="25" t="str">
        <f>IF(G332="None",TRIM(
SUBSTITUTE(
IF(COUNTIF(Biomes!B$2:B$259,"="&amp;$C332)&gt;0,Biomes!B$1&amp;", ","")&amp;
IF(COUNTIF(Biomes!C$2:C$259,"="&amp;$C332)&gt;0,Biomes!C$1&amp;", ","")&amp;
IF(COUNTIF(Biomes!D$2:D$259,"="&amp;$C332)&gt;0,Biomes!D$1&amp;", ","")&amp;
IF(COUNTIF(Biomes!F$2:F$259,"="&amp;$C332)&gt;0,Biomes!F$1&amp;", ","")&amp;
IF(COUNTIF(Biomes!G$2:G$259,"="&amp;$C332)&gt;0,Biomes!G$1&amp;", ","")&amp;
IF(COUNTIF(Biomes!H$2:H$259,"="&amp;$C332)&gt;0,Biomes!H$1&amp;", ","")&amp;
IF(COUNTIF(Biomes!I$2:I$259,"="&amp;$C332)&gt;0,Biomes!I$1&amp;", ","")&amp;
IF(COUNTIF(Biomes!J$2:J$259,"="&amp;$C332)&gt;0,Biomes!J$1&amp;", ","")&amp;
IF(COUNTIF(Biomes!M$2:M$259,"="&amp;$C332)&gt;0,Biomes!M$1&amp;", ","")&amp;
IF(COUNTIF(Biomes!N$2:N$259,"="&amp;$C332)&gt;0,Biomes!N$1&amp;", ","")&amp;
IF(COUNTIF(Biomes!O$2:O$259,"="&amp;$C332)&gt;0,Biomes!O$1&amp;", ","")&amp;
IF(COUNTIF(Biomes!P$2:P$259,"="&amp;$C332)&gt;0,Biomes!P$1&amp;", ","")&amp;
IF(COUNTIF(Biomes!K$2:K$259,"="&amp;$C332)&gt;0,Biomes!K$1&amp;", ","")&amp;
IF(COUNTIF(Biomes!Q$3:Q$259,"="&amp;$C332)&gt;0,Biomes!Q$1&amp;", ","")&amp;
IF(COUNTIF(Biomes!L$2:L$259,"="&amp;$C332)&gt;0,Biomes!L$1&amp;", ","")&amp;
IF(COUNTIF(Biomes!E$2:E$259,"="&amp;$C332)&gt;0,Biomes!E$1&amp;", ","")&amp;IF(COUNTIF(Biomes!S$2:S$259,"="&amp;$C332)&gt;0,Biomes!S$1&amp;", ","")&amp;
IF(COUNTIF(Biomes!R$2:R$259,"="&amp;$C332)&gt;0,Biomes!R$1&amp;", ",""),", ","")
),_xlfn.XLOOKUP(B332,B:B,BX:BX))</f>
        <v/>
      </c>
      <c r="BY332" s="25" t="str">
        <f>IF(_xlfn.XLOOKUP(B332,'Base stats'!B:B,'Base stats'!AJ:AJ)=1,"true","false")</f>
        <v>false</v>
      </c>
      <c r="BZ332" s="25">
        <f>IF(_xlfn.XLOOKUP(B332,'Base stats'!B:B,'Base stats'!N:N)=1,"No",MAX(0.001,MIN(MROUND(IF(AND(BJ332="True",CC332="False"),POWER(10,3.47*LOG10(_xlfn.XLOOKUP(B332,'Base stats'!B:B,'Base stats'!C:C)*1000)^-0.96),POWER(10,4.15*LOG10(_xlfn.XLOOKUP(B332,'Base stats'!B:B,'Base stats'!C:C)*1000)^-0.73))*IF(_xlfn.XLOOKUP(B332,'Base stats'!B:B,'Base stats'!AK:AK)=1,0.5,1)*IF(_xlfn.XLOOKUP(B332,'Base stats'!B:B,'Base stats'!AM:AM)=1,0.1,1)/100,IF(_xlfn.XLOOKUP(B332,'Base stats'!B:B,'Base stats'!AM:AM)=1,0.001,0.025)),0.5)))</f>
        <v>1.4999999999999999E-2</v>
      </c>
      <c r="CA332" s="25" t="str">
        <f>IF(P332="Standard","No",MAX(0.001,MIN(MROUND(IF(AND(BJ332="True",CC332="False"),POWER(10,3.47*LOG10(_xlfn.XLOOKUP(B332,'Base stats'!B:B,'Base stats'!C:C)*1000)^-0.96),POWER(10,4.15*LOG10(_xlfn.XLOOKUP(B332,'Base stats'!B:B,'Base stats'!C:C)*1000)^-0.73))*IF(_xlfn.XLOOKUP(B332,'Base stats'!B:B,'Base stats'!AM:AM)=1,0.1,1)*_xlfn.XLOOKUP(B332,'Base stats'!B:B,'Base stats'!R:R)/100,IF(_xlfn.XLOOKUP(B332,'Base stats'!B:B,'Base stats'!AM:AM)=1,0.001,0.025)),0.5)))</f>
        <v>No</v>
      </c>
      <c r="CB332" s="25" t="str">
        <f>IF(_xlfn.XLOOKUP(_xlfn.XLOOKUP(B332,'Base stats'!B:B,'Base stats'!E:E),Groups!A:A,Groups!AJ:AJ)="Mammal","True","False")</f>
        <v>True</v>
      </c>
      <c r="CC332" s="25" t="str">
        <f>IF(OR(_xlfn.XLOOKUP(_xlfn.XLOOKUP(B332,'Base stats'!B:B,'Base stats'!E:E),Groups!A:A,Groups!AJ:AJ)="Reptile",_xlfn.XLOOKUP(_xlfn.XLOOKUP(B332,'Base stats'!B:B,'Base stats'!E:E),Groups!A:A,Groups!AJ:AJ)="Amphibian",_xlfn.XLOOKUP(_xlfn.XLOOKUP(B332,'Base stats'!B:B,'Base stats'!E:E),Groups!A:A,Groups!AJ:AJ)="Invertebrate"),"True","False")</f>
        <v>False</v>
      </c>
      <c r="CD332" s="25" t="str">
        <f t="shared" si="41"/>
        <v>False</v>
      </c>
      <c r="CE332" s="25" t="str">
        <f>IF(_xlfn.XLOOKUP(_xlfn.XLOOKUP(B332,'Base stats'!B:B,'Base stats'!E:E),Groups!A:A,Groups!AX:AX),"True","False")</f>
        <v>False</v>
      </c>
      <c r="CF332" s="25" t="str">
        <f>IF(_xlfn.XLOOKUP(_xlfn.XLOOKUP(B332,'Base stats'!B:B,'Base stats'!E:E),Groups!A:A,Groups!AY:AY),"True","False")</f>
        <v>False</v>
      </c>
      <c r="CG332" s="25" t="str">
        <f>IF(_xlfn.XLOOKUP(_xlfn.XLOOKUP(B332,'Base stats'!B:B,'Base stats'!E:E),Groups!A:A,Groups!AW:AW),"True","False")</f>
        <v>False</v>
      </c>
      <c r="CH332" s="25" t="str">
        <f>IF(
OR(
_xlfn.XLOOKUP(_xlfn.XLOOKUP(B332,'Base stats'!B:B,'Base stats'!E:E),Groups!A:A,Groups!AZ:AZ)=0,
AND(
_xlfn.XLOOKUP(B332,'Base stats'!B:B,'Base stats'!Y:Y)&lt;&gt;"Carnivore",
_xlfn.XLOOKUP(B332,'Base stats'!B:B,'Base stats'!Y:Y)&lt;&gt;"Omnivore",
_xlfn.XLOOKUP(B332,'Base stats'!B:B,'Base stats'!Y:Y)&lt;&gt;"OmnivoreRough"
)
),
"No",
IF(
_xlfn.XLOOKUP(_xlfn.XLOOKUP(B332,'Base stats'!B:B,'Base stats'!E:E),Groups!A:A,Groups!AZ:AZ)=1,
"Flesh",
IF(
_xlfn.XLOOKUP(_xlfn.XLOOKUP(B332,'Base stats'!B:B,'Base stats'!E:E),Groups!A:A,Groups!AZ:AZ)=2,
"Bone",
""
)
)
)</f>
        <v>No</v>
      </c>
      <c r="CI332" s="25" t="str">
        <f>IF(_xlfn.XLOOKUP(_xlfn.XLOOKUP(B332,'Base stats'!B:B,'Base stats'!E:E),Groups!A:A,Groups!BB:BB),"True","False")</f>
        <v>True</v>
      </c>
      <c r="CJ332" s="25" t="str">
        <f>IF(_xlfn.XLOOKUP(_xlfn.XLOOKUP(B332,'Base stats'!B:B,'Base stats'!E:E),Groups!A:A,Groups!BA:BA),"True","False")</f>
        <v>False</v>
      </c>
    </row>
    <row r="333" spans="1:88" ht="16.5" thickTop="1" thickBot="1" x14ac:dyDescent="0.3">
      <c r="A333" s="26" t="s">
        <v>1578</v>
      </c>
      <c r="B333" s="6" t="str">
        <f>_xlfn.XLOOKUP(A333,'Base stats'!A:A,'Base stats'!B:B)</f>
        <v>Megacancer montanus</v>
      </c>
      <c r="C333" s="28" t="s">
        <v>1579</v>
      </c>
      <c r="D333" s="28" t="s">
        <v>1341</v>
      </c>
      <c r="E333" s="28" t="s">
        <v>673</v>
      </c>
      <c r="F333" s="28" t="s">
        <v>673</v>
      </c>
      <c r="G333" s="28" t="s">
        <v>673</v>
      </c>
      <c r="H333" s="2">
        <f>MROUND((
  (IF(AND(_xlfn.XLOOKUP(B333,'Base stats'!B:B,'Base stats'!AL:AL)=0,BI333="None",_xlfn.XLOOKUP(_xlfn.XLOOKUP(B333,'Base stats'!B:B,'Base stats'!E:E),Groups!A:A,Groups!B:B)=0), (18 + BR333 * 2.7) * 0.5,
    IF(AND(_xlfn.XLOOKUP(B333,'Base stats'!B:B,'Base stats'!AL:AL)=0,OR(AO333&lt;0.55,AND(BI333="Intermediate",_xlfn.XLOOKUP(_xlfn.XLOOKUP(B333,'Base stats'!B:B,'Base stats'!E:E),Groups!A:A,Groups!B:B)&lt;2))), (18 + BR333 * 2.7),
      IF(OR(BI333="Advanced",_xlfn.XLOOKUP(B333,'Base stats'!B:B,'Base stats'!AL:AL)=1,_xlfn.XLOOKUP(_xlfn.XLOOKUP(B333,'Base stats'!B:B,'Base stats'!E:E),Groups!A:A,Groups!B:B)=2), (18 + BR333 * 2.7) + 250, (18 + BR333 * 2.7))
    )
  ))
  + AO333 * 80
  + IF(COUNTIF(EggMilk!K$2:K$998, A333) &gt; 0, 125, 0)
  + IF(COUNTIF(EggMilk!P$2:P$998, A333) &gt; 0, 90, 0)
  + IF(COUNTIF(EggMilk!A$2:A$998, A333) &gt; 0, 90, 0)
)
* (0.8 + 0.4 * J333)
* 0.75,25)</f>
        <v>2200</v>
      </c>
      <c r="I333" s="2">
        <f>MROUND(ROUNDDOWN(_xlfn.XLOOKUP(B333,'Base stats'!B:B,'Base stats'!L:L)/3.6/(23.3/11),1),0.5)</f>
        <v>1</v>
      </c>
      <c r="J333" s="2">
        <f>IF(OR(_xlfn.XLOOKUP(B333,'Base stats'!B:B,'Base stats'!AB:AB)=1,_xlfn.XLOOKUP(_xlfn.XLOOKUP(B333,'Base stats'!B:B,'Base stats'!E:E),Groups!A:A,Groups!C:C)="Untamable"),1,IF(_xlfn.XLOOKUP(B333,'Base stats'!B:B,'Base stats'!AL:AL)=1,0.99,MIN(MROUND((1-0.6282*EXP(-0.459*AO333))*_xlfn.XLOOKUP(_xlfn.XLOOKUP(B333,'Base stats'!B:B,'Base stats'!E:E),Groups!A:A,Groups!C:C)*IF(_xlfn.XLOOKUP(B333,'Base stats'!B:B,'Base stats'!O:O)=1,0.5,IF(_xlfn.XLOOKUP(B333,'Base stats'!B:B,'Base stats'!O:O)=2,0,1)),0.05),IF(AO333&gt;3.5,0.985,0.95))))</f>
        <v>1</v>
      </c>
      <c r="K333" s="2">
        <f>ROUNDUP(AO333*_xlfn.XLOOKUP(_xlfn.XLOOKUP(B333,'Base stats'!B:B,'Base stats'!E:E),Groups!A:A,Groups!E:E),0)</f>
        <v>10</v>
      </c>
      <c r="L333" s="2">
        <f>IF(OR(_xlfn.XLOOKUP(_xlfn.XLOOKUP(B333,'Base stats'!B:B,'Base stats'!E:E),Groups!A:A,Groups!F:F)=2,ISNUMBER(SEARCH("SeaIce",BX333)),ISNUMBER(SEARCH("IceSheet",BX333))),-50,IF(OR(ISNUMBER(SEARCH("GlacialPlain",BX333)),ISNUMBER(SEARCH("Tundra",BX333))),-40,IF(OR(ISNUMBER(SEARCH("Alpine",BX333)),ISNUMBER(SEARCH("BorealForest",BX333)),ISNUMBER(SEARCH("ColdBog",BX333))),-30,IF(OR(ISNUMBER(SEARCH("TemperateForest",BX333)),ISNUMBER(SEARCH("TemperateSwamp",BX333))),-20,IF(_xlfn.XLOOKUP(_xlfn.XLOOKUP(B333,'Base stats'!B:B,'Base stats'!E:E),Groups!A:A,Groups!F:F)=1,-15,IF(OR(ISNUMBER(SEARCH("Desert",BX333)),ISNUMBER(SEARCH("ExtremeDesert",BX333))),-10,IF(OR(ISNUMBER(SEARCH("Grasslands",BX333)),ISNUMBER(SEARCH("TropicalRainforest",BX333)),ISNUMBER(SEARCH("TropicalSwamp",BX333))),10,0)))))))-IF(CC333="False",MIN(IFERROR(MAX(MROUND(LOG10(_xlfn.XLOOKUP(B333,'Base stats'!B:B,'Base stats'!C:C)^(2/3))*10,5),5),5),30))-_xlfn.XLOOKUP(B333,'Base stats'!B:B,'Base stats'!P:P)+IF(CC333="True",5,0)</f>
        <v>5</v>
      </c>
      <c r="M333" s="2">
        <f>IF(OR(_xlfn.XLOOKUP(_xlfn.XLOOKUP(B333,'Base stats'!B:B,'Base stats'!E:E),Groups!A:A,Groups!G:G)=2,ISNUMBER(SEARCH("Desert",BX333)),ISNUMBER(SEARCH("ExtremeDesert",BX333)),ISNUMBER(SEARCH("LavaField",BX333))),50,IF(ISNUMBER(SEARCH("Grasslands",BX333)),45,IF(OR(_xlfn.XLOOKUP(_xlfn.XLOOKUP(B333,'Base stats'!B:B,'Base stats'!E:E),Groups!A:A,Groups!G:G)=1,ISNUMBER(SEARCH("TropicalRainforest",BX333)),ISNUMBER(SEARCH("TropicalSwamp",BX333))),40,IF(OR(ISNUMBER(SEARCH("TemperateForest",BX333)),ISNUMBER(SEARCH("TemperateSwamp",BX333))),35,IF(OR(ISNUMBER(SEARCH("Alpine",BX333)),ISNUMBER(SEARCH("BorealForest",BX333)),ISNUMBER(SEARCH("ColdBog",BX333))),30,IF(ISNUMBER(OR(ISNUMBER(SEARCH("GlacialPlain",BX333)),SEARCH("Tundra",BX333))),25,IF(OR(ISNUMBER(SEARCH("SeaIce",BX333)),ISNUMBER(SEARCH("IceSheet",BX333)),ISNUMBER(SEARCH("TropicalSwamp",BX333))),10,35)))))))+_xlfn.XLOOKUP(B333,'Base stats'!B:B,'Base stats'!Q:Q)</f>
        <v>35</v>
      </c>
      <c r="N333" s="8">
        <f>IF(
_xlfn.XLOOKUP(
_xlfn.XLOOKUP(B333,'Base stats'!B:B,'Base stats'!E:E),
Groups!A:A,
Groups!L:L
)=1,
MIN(
MROUND(
IF(
_xlfn.XLOOKUP(B333,'Animals CE'!B:B,'Animals CE'!Z:Z)&lt;=1.5,
_xlfn.XLOOKUP(B333,'Animals CE'!B:B,'Animals CE'!Z:Z)/2+0.05,
0.8+
(_xlfn.XLOOKUP(B333,'Animals CE'!B:B,'Animals CE'!Z:Z)-1.5)
*0.02
),
0.05
),
200%
),
"No"
)</f>
        <v>1</v>
      </c>
      <c r="O333" s="8">
        <f>IF(
_xlfn.XLOOKUP(
_xlfn.XLOOKUP(B333,'Base stats'!B:B,'Base stats'!E:E),
Groups!A:A,
Groups!L:L
)=1,
MIN(
MROUND(
IF(
_xlfn.XLOOKUP(B333,'Animals CE'!B:B,'Animals CE'!AA:AA)&lt;=1.5,
_xlfn.XLOOKUP(B333,'Animals CE'!B:B,'Animals CE'!AA:AA)/2+0.05,
0.8+
(_xlfn.XLOOKUP(B333,'Animals CE'!B:B,'Animals CE'!AA:AA)-1.5)
*0.02
),
0.05
),
200%
),
"No"
)</f>
        <v>0.2</v>
      </c>
      <c r="P333" s="2" t="str">
        <f>_xlfn.XLOOKUP(B333,'Base stats'!B:B,'Base stats'!R:R)</f>
        <v>Standard</v>
      </c>
      <c r="Q333" s="13">
        <f>MROUND((LOG10(_xlfn.XLOOKUP(B333,'Base stats'!B:B,'Base stats'!AR:AR))*(AO333^0.5)+(_xlfn.XLOOKUP(B333,'Base stats'!B:B,'Base stats'!AR:AR)/1000)^(2/3)+_xlfn.XLOOKUP(B333,'Base stats'!B:B,'Base stats'!BA:BA)/2)+0.5,0.5)</f>
        <v>81.5</v>
      </c>
      <c r="R333" s="7">
        <f>IF(Q333="No","No",MAX(1,MROUND(_xlfn.XLOOKUP(B333,'Base stats'!B:B,'Base stats'!C:C)^0.165,0.05)))</f>
        <v>5.5</v>
      </c>
      <c r="S333" s="13" t="str">
        <f>IF(_xlfn.XLOOKUP(_xlfn.XLOOKUP(B333,'Base stats'!B:B,'Base stats'!E:E),Groups!A:A,Groups!P:P)=0,"No",MROUND((LOG10(_xlfn.XLOOKUP(B333,'Base stats'!B:B,'Base stats'!AS:AS))*(AO333^0.5)+(_xlfn.XLOOKUP(B333,'Base stats'!B:B,'Base stats'!AS:AS)/1000)^(2/3)+_xlfn.XLOOKUP(B333,'Base stats'!B:B,'Base stats'!BA:BA))+_xlfn.XLOOKUP(B333,'Base stats'!B:B,'Base stats'!AY:AY)+0.5,0.5))</f>
        <v>No</v>
      </c>
      <c r="T333" s="7" t="str">
        <f>IF(S333="No","No",MAX(_xlfn.XLOOKUP(_xlfn.XLOOKUP(B333,'Base stats'!B:B,'Base stats'!E:E),Groups!A:A,Groups!Q:Q),MROUND(_xlfn.XLOOKUP(_xlfn.XLOOKUP(B333,'Base stats'!B:B,'Base stats'!E:E),Groups!A:A,Groups!Q:Q)*_xlfn.XLOOKUP(B333,'Base stats'!B:B,'Base stats'!C:C)^0.165,0.05)))</f>
        <v>No</v>
      </c>
      <c r="U333" s="7" t="str">
        <f>IF(S333="No","No",_xlfn.XLOOKUP(_xlfn.XLOOKUP(B333,'Base stats'!B:B,'Base stats'!E:E),Groups!A:A,Groups!R:R))</f>
        <v>No</v>
      </c>
      <c r="V333" s="7" t="str">
        <f>IF(S333="No","No",_xlfn.XLOOKUP(_xlfn.XLOOKUP(B333,'Base stats'!B:B,'Base stats'!E:E),Groups!A:A,Groups!S:S))</f>
        <v>No</v>
      </c>
      <c r="W333" s="7" t="str">
        <f>IF(S333="No","No",_xlfn.XLOOKUP(_xlfn.XLOOKUP(B333,'Base stats'!B:B,'Base stats'!E:E),Groups!A:A,Groups!T:T))</f>
        <v>No</v>
      </c>
      <c r="X333" s="13" t="str">
        <f>IF(_xlfn.XLOOKUP(B333,'Base stats'!B:B,'Base stats'!W:W)="No","No",MROUND((LOG10(_xlfn.XLOOKUP(B333,'Base stats'!B:B,'Base stats'!AU:AU))*(AO333^0.5)+(_xlfn.XLOOKUP(B333,'Base stats'!B:B,'Base stats'!AU:AU)/1000)^(2/3)+_xlfn.XLOOKUP(B333,'Base stats'!B:B,'Base stats'!AZ:AZ))+0.5+IF(_xlfn.XLOOKUP(_xlfn.XLOOKUP(B333,'Base stats'!B:B,'Base stats'!E:E),Groups!A:A,Groups!U:U)&lt;&gt;3,_xlfn.XLOOKUP(B333,'Base stats'!B:B,'Base stats'!BA:BA),0),0.5))</f>
        <v>No</v>
      </c>
      <c r="Y333" s="7" t="str">
        <f>IF(X333="No","No",MAX(_xlfn.XLOOKUP(_xlfn.XLOOKUP(B333,'Base stats'!B:B,'Base stats'!E:E),Groups!A:A,Groups!V:V),MROUND(_xlfn.XLOOKUP(_xlfn.XLOOKUP(B333,'Base stats'!B:B,'Base stats'!E:E),Groups!A:A,Groups!V:V)*_xlfn.XLOOKUP(B333,'Base stats'!B:B,'Base stats'!C:C)^0.165,0.05)))</f>
        <v>No</v>
      </c>
      <c r="Z333" s="7" t="str">
        <f>IF(X333="No","No",_xlfn.XLOOKUP(_xlfn.XLOOKUP(B333,'Base stats'!B:B,'Base stats'!E:E),Groups!A:A,Groups!W:W))</f>
        <v>No</v>
      </c>
      <c r="AA333" s="7" t="str">
        <f>IF(X333="No","No",_xlfn.XLOOKUP(_xlfn.XLOOKUP(B333,'Base stats'!B:B,'Base stats'!E:E),Groups!A:A,Groups!X:X))</f>
        <v>No</v>
      </c>
      <c r="AB333" s="7" t="str">
        <f>IF(X333="No","No",_xlfn.XLOOKUP(_xlfn.XLOOKUP(B333,'Base stats'!B:B,'Base stats'!E:E),Groups!A:A,Groups!Y:Y))</f>
        <v>No</v>
      </c>
      <c r="AC333" s="7" t="str">
        <f>_xlfn.XLOOKUP(Animals!B333,'Base stats'!B:B,'Base stats'!X:X)</f>
        <v>False</v>
      </c>
      <c r="AD333" s="13" t="str">
        <f>IF(_xlfn.XLOOKUP(B333,'Base stats'!B:B,'Base stats'!AT:AT)="No","No",MROUND((LOG10(_xlfn.XLOOKUP(B333,'Base stats'!B:B,'Base stats'!AT:AT))*(AO333^0.75)+(_xlfn.XLOOKUP(B333,'Base stats'!B:B,'Base stats'!AT:AT)/1000)^(2/3)+_xlfn.XLOOKUP(B333,'Base stats'!B:B,'Base stats'!AX:AX)+_xlfn.XLOOKUP(B333,'Base stats'!B:B,'Base stats'!BA:BA))+0.5,0.5))</f>
        <v>No</v>
      </c>
      <c r="AE333" s="7" t="str">
        <f>IF(AD333="No","No",MAX(_xlfn.XLOOKUP(_xlfn.XLOOKUP(B333,'Base stats'!B:B,'Base stats'!E:E),Groups!A:A,Groups!Z:Z),MROUND(_xlfn.XLOOKUP(_xlfn.XLOOKUP(B333,'Base stats'!B:B,'Base stats'!E:E),Groups!A:A,Groups!Z:Z)*_xlfn.XLOOKUP(B333,'Base stats'!B:B,'Base stats'!C:C)^0.165,0.05)))</f>
        <v>No</v>
      </c>
      <c r="AF333" s="7" t="str">
        <f>IF(AD333="No","No",_xlfn.XLOOKUP(_xlfn.XLOOKUP(B333,'Base stats'!B:B,'Base stats'!E:E),Groups!A:A,Groups!AA:AA))</f>
        <v>No</v>
      </c>
      <c r="AG333" s="7" t="str">
        <f>IF(AD333="No","No",_xlfn.XLOOKUP(_xlfn.XLOOKUP(B333,'Base stats'!B:B,'Base stats'!E:E),Groups!A:A,Groups!AB:AB))</f>
        <v>No</v>
      </c>
      <c r="AH333" s="7" t="str">
        <f>IF(AD333="No","No",_xlfn.XLOOKUP(_xlfn.XLOOKUP(B333,'Base stats'!B:B,'Base stats'!E:E),Groups!A:A,Groups!AC:AC))</f>
        <v>No</v>
      </c>
      <c r="AI333" s="13">
        <f>IF(_xlfn.XLOOKUP(_xlfn.XLOOKUP(B333,'Base stats'!B:B,'Base stats'!E:E),Groups!A:A,Groups!AD:AD)=0,"No",MROUND((LOG10(_xlfn.XLOOKUP(B333,'Base stats'!B:B,'Base stats'!AS:AS))*(AO333^0.75)+(_xlfn.XLOOKUP(B333,'Base stats'!B:B,'Base stats'!AS:AS)/1000)^(2/3)+_xlfn.XLOOKUP(B333,'Base stats'!B:B,'Base stats'!AY:AY)+_xlfn.XLOOKUP(B333,'Base stats'!B:B,'Base stats'!BA:BA))+0.5,0.5))</f>
        <v>106.5</v>
      </c>
      <c r="AJ333" s="7">
        <f>IF(AI333="No","No",MAX(_xlfn.XLOOKUP(_xlfn.XLOOKUP(B333,'Base stats'!B:B,'Base stats'!E:E),Groups!A:A,Groups!AE:AE),MROUND(_xlfn.XLOOKUP(_xlfn.XLOOKUP(B333,'Base stats'!B:B,'Base stats'!E:E),Groups!A:A,Groups!AE:AE)*IF(_xlfn.XLOOKUP(_xlfn.XLOOKUP(B333,'Base stats'!B:B,'Base stats'!E:E),Groups!A:A,Groups!AJ:AJ)="Photonozoa",0.6,1)*_xlfn.XLOOKUP(B333,'Base stats'!B:B,'Base stats'!C:C)^0.165,0.05)))</f>
        <v>6.6000000000000005</v>
      </c>
      <c r="AK333" s="7" t="str">
        <f>IF(AI333="No","No",_xlfn.XLOOKUP(_xlfn.XLOOKUP(B333,'Base stats'!B:B,'Base stats'!E:E),Groups!A:A,Groups!AF:AF))</f>
        <v>FrontLeftClaws, FrontRightClaws</v>
      </c>
      <c r="AL333" s="7" t="str">
        <f>IF(AI333="No","No",_xlfn.XLOOKUP(_xlfn.XLOOKUP(B333,'Base stats'!B:B,'Base stats'!E:E),Groups!A:A,Groups!AG:AG))</f>
        <v>left claw, right claw</v>
      </c>
      <c r="AM333" s="7" t="str">
        <f>IF(AI333="No","No",_xlfn.XLOOKUP(_xlfn.XLOOKUP(B333,'Base stats'!B:B,'Base stats'!E:E),Groups!A:A,Groups!AH:AH))</f>
        <v>Scratch</v>
      </c>
      <c r="AN333" s="2" t="str">
        <f t="shared" si="35"/>
        <v>No</v>
      </c>
      <c r="AO333" s="2">
        <f>MROUND(IF(AND(_xlfn.XLOOKUP(B333,'Base stats'!B:B,'Base stats'!C:C)&gt;=0.5,_xlfn.XLOOKUP(B333,'Base stats'!B:B,'Base stats'!C:C)&lt;=0.8),
IF(_xlfn.XLOOKUP(B333,'Base stats'!B:B,'Base stats'!C:C)&lt;0.1,0.05,IF(_xlfn.XLOOKUP(B333,'Base stats'!B:B,'Base stats'!C:C)&lt;=70,(_xlfn.XLOOKUP(B333,'Base stats'!B:B,'Base stats'!C:C)/70)^0.426489913056526,IF(_xlfn.XLOOKUP(B333,'Base stats'!B:B,'Base stats'!C:C)&lt;=400,(_xlfn.XLOOKUP(B333,'Base stats'!B:B,'Base stats'!C:C)/70)^0.572811455315093,IF(_xlfn.XLOOKUP(B333,'Base stats'!B:B,'Base stats'!C:C)&lt;=2000,2.71391647193063*(_xlfn.XLOOKUP(B333,'Base stats'!B:B,'Base stats'!C:C)/400)^0.252459582904293,3.74314280240376*(_xlfn.XLOOKUP(B333,'Base stats'!B:B,'Base stats'!C:C)/2000)^0.357012633876913)))),
IF(_xlfn.XLOOKUP(B333,'Base stats'!B:B,'Base stats'!C:C)&lt;0.1,0.05,IF(_xlfn.XLOOKUP(B333,'Base stats'!B:B,'Base stats'!C:C)&lt;0.4,0.1,IF(_xlfn.XLOOKUP(B333,'Base stats'!B:B,'Base stats'!C:C)&lt;=70,(_xlfn.XLOOKUP(B333,'Base stats'!B:B,'Base stats'!C:C)/70)^0.445823913056526,IF(_xlfn.XLOOKUP(B333,'Base stats'!B:B,'Base stats'!C:C)&lt;=400,(_xlfn.XLOOKUP(B333,'Base stats'!B:B,'Base stats'!C:C)/70)^0.572811455315093,IF(_xlfn.XLOOKUP(B333,'Base stats'!B:B,'Base stats'!C:C)&lt;=2000,2.71391647193063*(_xlfn.XLOOKUP(B333,'Base stats'!B:B,'Base stats'!C:C)/400)^0.252459582904293,3.74314280240376*(_xlfn.XLOOKUP(B333,'Base stats'!B:B,'Base stats'!C:C)/2000)^0.357012633876913)))))),
IF(_xlfn.XLOOKUP(B333,'Base stats'!B:B,'Base stats'!C:C)&lt;0.1,0.05,IF(_xlfn.XLOOKUP(B333,'Base stats'!B:B,'Base stats'!C:C)&lt;=100,0.05,IF(_xlfn.XLOOKUP(B333,'Base stats'!B:B,'Base stats'!C:C)&lt;=250,0.1,IF(_xlfn.XLOOKUP(B333,'Base stats'!B:B,'Base stats'!C:C)&lt;=4000,0.25,0.5)))))</f>
        <v>10</v>
      </c>
      <c r="AP333" s="8">
        <f>MROUND(AO333*_xlfn.XLOOKUP(_xlfn.XLOOKUP(B333,'Base stats'!B:B,'Base stats'!E:E),Groups!A:A,Groups!AI:AI)*_xlfn.XLOOKUP(B333,'Base stats'!B:B,'Base stats'!Z:Z),0.05)</f>
        <v>10</v>
      </c>
      <c r="AQ333" s="8">
        <f>MAX(0.01,MROUND(IF(CC333="True",0.196*(AO333*100*1000)^0.889,IF(_xlfn.XLOOKUP(_xlfn.XLOOKUP(B333,'Base stats'!B:B,'Base stats'!E:E),Groups!A:A,Groups!AJ:AJ)="Bird",10.5*(AO333*100*1000)^0.681,4.82*(AO333*100*1000)^0.734))/(4.82*(1*100*1000)^0.734)/IF(AO333&lt;3.5,2,IF(AO333=3.5,1.5,1.25))*(1+0.132282374779864/(AO333^0.994035016789033+0.00905238001496948)),0.05))</f>
        <v>1.5</v>
      </c>
      <c r="AR333" s="9">
        <f>IFERROR(MROUND(_xlfn.XLOOKUP(B333,'Base stats'!B:B,'Base stats'!H:H)/IF(_xlfn.XLOOKUP(B333,'Base stats'!B:B,'Base stats'!I:I)&lt;&gt;1,(122.5/70),1.2),IF(_xlfn.XLOOKUP(B333,'Base stats'!B:B,'Base stats'!H:H)&gt;=30,5,IF(_xlfn.XLOOKUP(B333,'Base stats'!B:B,'Base stats'!H:H)&gt;=15,3,IF(_xlfn.XLOOKUP(B333,'Base stats'!B:B,'Base stats'!H:H)&gt;=10,2,1)))),"Immortal")</f>
        <v>585</v>
      </c>
      <c r="AS333" s="35">
        <f>IFERROR(IF(OR(_xlfn.XLOOKUP(B333,'Base stats'!B:B,'Base stats'!F:F)="Atypical reproduction",_xlfn.XLOOKUP(B333,'Base stats'!B:B,'Base stats'!F:F)="Lay eggs"),"Lay eggs",MIN(20,MAX(5.5,ROUND(((_xlfn.XLOOKUP(B333,'Base stats'!B:B,'Base stats'!F:F)-25)*(14.5/615) + 5.5)*2,0)/2))),"Unknown")</f>
        <v>12</v>
      </c>
      <c r="AT333" s="8">
        <f>IF(_xlfn.XLOOKUP(B333,'Base stats'!B:B,'Base stats'!G:G)="Atypical reproduction","No",IFERROR(MAX(IF(_xlfn.XLOOKUP(B333,'Base stats'!B:B,'Base stats'!G:G)&lt;0.5,0.2,0.3),MROUND(_xlfn.XLOOKUP(B333,'Base stats'!B:B,'Base stats'!G:G)/(365/60),0.2)),"Unknown"))</f>
        <v>16.400000000000002</v>
      </c>
      <c r="AU333" s="8">
        <f t="shared" si="36"/>
        <v>8.2000000000000011</v>
      </c>
      <c r="AV333" s="8">
        <f>IFERROR(IFERROR(MROUND(_xlfn.XLOOKUP(B333,'Base stats'!B:B,'Base stats'!J:J),0.1),"Lay eggs"),"Cannot breed")</f>
        <v>2</v>
      </c>
      <c r="AW333" s="2" t="str">
        <f t="shared" si="37"/>
        <v>false</v>
      </c>
      <c r="AX333" s="2" t="str">
        <f>IF(_xlfn.XLOOKUP(_xlfn.XLOOKUP(Animals!B333,'Base stats'!B:B,'Base stats'!E:E),Groups!A:A,Groups!AK:AK)=1,"true","false")</f>
        <v>false</v>
      </c>
      <c r="AY333" s="25" t="str">
        <f>IF(_xlfn.XLOOKUP(B333,'Base stats'!B:B,'Base stats'!Y:Y)="Liquor","Liquor, CarnivoreAnimalStrict",IF(AND(_xlfn.XLOOKUP(B333,'Base stats'!B:B,'Base stats'!Y:Y)="Carnivore",_xlfn.XLOOKUP(_xlfn.XLOOKUP(B333,'Base stats'!B:B,'Base stats'!E:E),Groups!A:A,Groups!AJ:AJ)="Photonozoa"),"CarnivoreAnimalStrict, OvivoreAnimal",IF(_xlfn.XLOOKUP(B333,'Base stats'!B:B,'Base stats'!Y:Y)="Carnivore","CarnivoreAnimal, OvivoreAnimal",IF(_xlfn.XLOOKUP(B333,'Base stats'!B:B,'Base stats'!Y:Y)="Dendrovore","VegetarianRoughAnimal, DendrovoreAnimal",IF(_xlfn.XLOOKUP(B333,'Base stats'!B:B,'Base stats'!Y:Y)="Herbivore","VegetarianRoughAnimal",IF(_xlfn.XLOOKUP(B333,'Base stats'!B:B,'Base stats'!Y:Y)="OmnivoreRough","OmnivoreRoughAnimal, OvivoreAnimal","OmnivoreAnimal, OvivoreAnimal"))))))</f>
        <v>OmnivoreRoughAnimal, OvivoreAnimal</v>
      </c>
      <c r="AZ333" s="2">
        <f>IF(_xlfn.XLOOKUP(_xlfn.XLOOKUP(B333,'Base stats'!B:B,'Base stats'!E:E),Groups!A:A,Groups!D:D)=1,MROUND((1-J333)*5+1,2)*IF(J333&lt;=0.4,2,1),"No")</f>
        <v>2</v>
      </c>
      <c r="BA333" s="2" t="str">
        <f>IF(AND(_xlfn.XLOOKUP(B333,'Base stats'!B:B,'Base stats'!AH:AH)="&lt;li&gt;Seal&lt;/li&gt;",G333="Odyssey"),"&lt;li&gt;AEXP_Seal&lt;/li&gt;",_xlfn.XLOOKUP(B333,'Base stats'!B:B,'Base stats'!AH:AH))</f>
        <v>&lt;li&gt;AA_BoulderMit&lt;/li&gt;</v>
      </c>
      <c r="BB333" s="2" t="str">
        <f>_xlfn.XLOOKUP(B333,'Base stats'!B:B,'Base stats'!AG:AG)</f>
        <v>No</v>
      </c>
      <c r="BC333" s="23" t="str">
        <f>_xlfn.XLOOKUP(_xlfn.XLOOKUP(B333,'Base stats'!B:B,'Base stats'!E:E),Groups!A:A,Groups!AL:AL)</f>
        <v>Crab</v>
      </c>
      <c r="BD333" s="23">
        <f>MIN(1,MROUND(IF(AND(AO333&lt;0.5,_xlfn.XLOOKUP(B333,'Base stats'!B:B,'Base stats'!AA:AA)=0),0,IF(OR(_xlfn.XLOOKUP(Animals!B333,'Base stats'!B:B,'Base stats'!O:O)=2,_xlfn.XLOOKUP(_xlfn.XLOOKUP(B333,'Base stats'!B:B,'Base stats'!E:E),Groups!A:A,Groups!AN:AN)=0),0,_xlfn.XLOOKUP(_xlfn.XLOOKUP(B333,'Base stats'!B:B,'Base stats'!E:E),Groups!A:A,Groups!AN:AN)/IF(_xlfn.XLOOKUP(Animals!B333,'Base stats'!B:B,'Base stats'!O:O)=1,2,1)))+_xlfn.XLOOKUP(B333,'Base stats'!B:B,'Base stats'!AC:AC),0.005))</f>
        <v>2.5000000000000001E-2</v>
      </c>
      <c r="BE333" s="23">
        <f>MIN(1,MROUND(IF(AND(AO333&lt;0.5,_xlfn.XLOOKUP(B333,'Base stats'!B:B,'Base stats'!AA:AA)=0),0,IF(_xlfn.XLOOKUP(_xlfn.XLOOKUP(B333,'Base stats'!B:B,'Base stats'!E:E),Groups!A:A,Groups!AO:AO)=0,0,_xlfn.XLOOKUP(_xlfn.XLOOKUP(B333,'Base stats'!B:B,'Base stats'!E:E),Groups!A:A,Groups!AO:AO)/IF(_xlfn.XLOOKUP(Animals!B333,'Base stats'!B:B,'Base stats'!O:O)=2,3,1)))+_xlfn.XLOOKUP(B333,'Base stats'!B:B,'Base stats'!AD:AD),0.005))</f>
        <v>0.1</v>
      </c>
      <c r="BF333" s="2" t="str">
        <f>IF(J333&gt;0.3,"No",_xlfn.XLOOKUP(_xlfn.XLOOKUP(Animals!B333,'Base stats'!B:B,'Base stats'!E:E),Groups!A:A,Groups!AP:AP))</f>
        <v>No</v>
      </c>
      <c r="BG333" s="2" t="str">
        <f>IF(AND(J333&lt;=0.65,_xlfn.XLOOKUP(_xlfn.XLOOKUP(Animals!B333,'Base stats'!B:B,'Base stats'!E:E),Groups!A:A,Groups!AP:AP)&lt;&gt;"No",_xlfn.XLOOKUP(_xlfn.XLOOKUP(B333,'Base stats'!B:B,'Base stats'!E:E),Groups!A:A,Groups!D:D)=0),MROUND((80/3)*IF(_xlfn.XLOOKUP(B333,'Base stats'!B:B,'Base stats'!O:O)=2,0.2,AO333) + 24*(1-IF(BF333="No",0,BF333)) + 16/3, 12),"No")</f>
        <v>No</v>
      </c>
      <c r="BH333" s="2">
        <f>IF(AND(_xlfn.XLOOKUP(_xlfn.XLOOKUP(B333,'Base stats'!B:B,'Base stats'!E:E),Groups!A:A,Groups!AQ:AQ)=1,AO333&lt;=0.35),8,12)</f>
        <v>12</v>
      </c>
      <c r="BI333" s="2" t="str">
        <f>IF(_xlfn.XLOOKUP(_xlfn.XLOOKUP(B333,'Base stats'!B:B,'Base stats'!E:E),Groups!A:A,Groups!D:D)=0,_xlfn.XLOOKUP(_xlfn.XLOOKUP(B333,'Base stats'!B:B,'Base stats'!E:E),Groups!A:A,Groups!AR:AR),"None")</f>
        <v>None</v>
      </c>
      <c r="BJ333" s="2" t="str">
        <f>IF(AND(_xlfn.XLOOKUP(_xlfn.XLOOKUP(B333,'Base stats'!B:B,'Base stats'!E:E),Groups!A:A,Groups!AS:AS)=1,OR(_xlfn.XLOOKUP(B333,'Base stats'!B:B,'Base stats'!Y:Y)="Carnivore",_xlfn.XLOOKUP(B333,'Base stats'!B:B,'Base stats'!Y:Y)="Omnivore")),"true","false")</f>
        <v>false</v>
      </c>
      <c r="BK333" s="2" t="str">
        <f>IF(BJ333="true",MROUND(IF(AND(AO333&gt;0.5,OR(_xlfn.XLOOKUP(_xlfn.XLOOKUP(B333,'Base stats'!B:B,'Base stats'!E:E),Groups!A:A,Groups!AJ:AJ)="Photonozoa",_xlfn.XLOOKUP(_xlfn.XLOOKUP(B333,'Base stats'!B:B,'Base stats'!E:E),Groups!A:A,Groups!AJ:AJ)="Mammal")),Animals!AO333*1.75*IF(AW333="true",1.5,1),IF(AO333&lt;0.5,Animals!AO333*0.5,Animals!AO333)),IF(AO333&gt;2,0.5,IF(AO333&gt;0.5,0.25,0.1))),"No")</f>
        <v>No</v>
      </c>
      <c r="BL333" s="2">
        <f t="shared" si="38"/>
        <v>0</v>
      </c>
      <c r="BM333" s="25" t="str">
        <f>IF(_xlfn.XLOOKUP(B333,'Base stats'!B:B,'Base stats'!AN:AN)="Standard","No",MROUND((_xlfn.XLOOKUP(B333,'Base stats'!B:B,'Base stats'!AN:AN)/3.6)/I333,0.1))</f>
        <v>No</v>
      </c>
      <c r="BN333" s="25" t="str">
        <f t="shared" si="39"/>
        <v>true</v>
      </c>
      <c r="BO333" s="25" t="str">
        <f>IF(AND(OR(_xlfn.XLOOKUP(B333,'Base stats'!B:B,'Base stats'!Y:Y)="Carnivore",_xlfn.XLOOKUP(B333,'Base stats'!B:B,'Base stats'!Y:Y)="Omnivore",_xlfn.XLOOKUP(B333,'Base stats'!B:B,'Base stats'!Y:Y)="OmnivoreRough"),_xlfn.XLOOKUP(_xlfn.XLOOKUP(B333,'Base stats'!B:B,'Base stats'!E:E),Groups!A:A,Groups!AT:AT)=1),"true","false")</f>
        <v>false</v>
      </c>
      <c r="BP333" s="25" t="str" cm="1">
        <f t="array" ref="BP333">IF(
  _xlfn.TEXTJOIN(", ",TRUE,
    IF(AND(BJ333="true",AO333&gt;0.5,BI333&lt;&gt;"None"),"AttackTarget",""),
    IF(AND(_xlfn.XLOOKUP(_xlfn.XLOOKUP(B333,'Base stats'!B:B,'Base stats'!E:E),Groups!A:A,Groups!AJ:AJ="Mammal"),OR(_xlfn.XLOOKUP(B333,'Base stats'!B:B,'Base stats'!Y:Y)="Omnivore",_xlfn.XLOOKUP(B333,'Base stats'!B:B,'Base stats'!Y:Y)="OmnivoreRough")),"Forage",""),
    IF(BG333&lt;=36,"Comfort",""),
    IF(_xlfn.XLOOKUP(B333,'Base stats'!B:B,'Base stats'!AE:AE)&lt;&gt;"No",_xlfn.XLOOKUP(B333,'Base stats'!B:B,'Base stats'!AE:AE),"")
  ) = "",
  "No",
  _xlfn.TEXTJOIN(", ",TRUE,
    IF(AND(BJ333="true",AO333&gt;0.5,BI333&lt;&gt;"None"),"AttackTarget",""),
    IF(AND(_xlfn.XLOOKUP(_xlfn.XLOOKUP(B333,'Base stats'!B:B,'Base stats'!E:E),Groups!A:A,Groups!AJ:AJ="Mammal"),OR(_xlfn.XLOOKUP(B333,'Base stats'!B:B,'Base stats'!Y:Y)="Omnivore",_xlfn.XLOOKUP(B333,'Base stats'!B:B,'Base stats'!Y:Y)="OmnivoreRough")),"Forage",""),
    IF(BG333&lt;=36,"Comfort",""),
    IF(_xlfn.XLOOKUP(B333,'Base stats'!B:B,'Base stats'!AE:AE)&lt;&gt;"No",_xlfn.XLOOKUP(B333,'Base stats'!B:B,'Base stats'!AE:AE),"")
  )
)</f>
        <v>No</v>
      </c>
      <c r="BQ333" s="25">
        <f>IF(
   AND(
      'Base stats'!AN333="Standard",_xlfn.XLOOKUP(_xlfn.XLOOKUP(B333,'Base stats'!B:B,'Base stats'!E:E),Groups!A:A,Groups!AU:AU)=0,
      OR(
      BO333="True"
      )
   ),
   10,
   IF(
       OR(BM333&lt;&gt;"No",_xlfn.XLOOKUP(_xlfn.XLOOKUP(B333,'Base stats'!B:B,'Base stats'!E:E),Groups!A:A,Groups!AU:AU)=1),
      1,
      "No"
   )
)</f>
        <v>1</v>
      </c>
      <c r="BR333" s="9">
        <f>MROUND((1 + ((0.2*IF(OR(Q333="No",R333="No",R333=0),0,Q333/R333)
+IF(OR(V333="No",S333="No",T333="No"),0,S333/T333*(LEN(V333)-LEN(SUBSTITUTE(V333,",",""))+1))
+IF(OR(X333="No",Y333="No"),0,X333/Y333)
+IF(OR(AD333="No",AE333="No"),0,AD333/AE333)
+IF(OR(AL333="No",AI333="No",AJ333="No"),0,AI333/AJ333*(LEN(AL333)-LEN(SUBSTITUTE(AL333,",",""))+1))
)/(0.2*IF(OR(Q333="No",R333="No",R333=0),0,1)
+IF(OR(V333="No",S333="No",T333="No"),0,LEN(V333)-LEN(SUBSTITUTE(V333,",",""))+1)
+IF(OR(X333="No",Y333="No"),0,1)
+IF(OR(AD333="No",AE333="No"),0,1)
+IF(OR(AL333="No",AI333="No",AJ333="No"),0,LEN(AL333)-LEN(SUBSTITUTE(AL333,",",""))+1))*62%)* 2)*(1 + (AP333 / (IF(_xlfn.XLOOKUP(_xlfn.XLOOKUP(B333,'Base stats'!B:B,'Base stats'!E:E),Groups!A:A,Groups!AJ:AJ)="Photonozoa",0.3,1)) + _xlfn.XLOOKUP(B333,'Base stats'!B:B,'Base stats'!AV:AV) * 1.8) * 2) * 2.5 + 10 + I333 * 2,5)+IF(_xlfn.XLOOKUP(B333,'Base stats'!B:B,'Base stats'!AK:AK)=1,50,0)</f>
        <v>1220</v>
      </c>
      <c r="BS333" s="8">
        <f t="shared" si="40"/>
        <v>3.2</v>
      </c>
      <c r="BT333" s="8" t="str">
        <f>_xlfn.XLOOKUP(B333,'Base stats'!B:B,'Base stats'!AF:AF)</f>
        <v>No</v>
      </c>
      <c r="BU333" s="2" t="str">
        <f>IF(AND(J333&lt;=0.95,OR(_xlfn.XLOOKUP(B333,'Base stats'!B:B,'Base stats'!AK:AK)=1,_xlfn.XLOOKUP(B333,'Base stats'!B:B,'Base stats'!Y:Y)="Carnivore",_xlfn.XLOOKUP(B333,'Base stats'!B:B,'Base stats'!Y:Y)="Omnivore",BE333&gt;0.1)),"true","false")</f>
        <v>false</v>
      </c>
      <c r="BV333" s="2" t="str">
        <f>IF(_xlfn.XLOOKUP(B333,'Base stats'!B:B,'Base stats'!AI:AI)=1,"true","false")</f>
        <v>false</v>
      </c>
      <c r="BW333" s="25" t="str">
        <f>IF(E333="BaseInsect","AnimalInsect",
IF(J333&gt;0.95,"AnimalExotic",
_xlfn.TEXTJOIN(", ",TRUE,
IF(OR(_xlfn.XLOOKUP(B333,'Base stats'!B:B,'Base stats'!AM:AM)=1,AND(_xlfn.XLOOKUP(B333,'Base stats'!B:B,'Base stats'!O:O)=0,_xlfn.XLOOKUP(_xlfn.XLOOKUP(B333,'Base stats'!B:B,'Base stats'!E:E),Groups!A:A,Groups!B:B)&gt;0)),"AnimalUncommon","AnimalCommon"),
IF(AND(_xlfn.XLOOKUP(B333,'Base stats'!B:B,'Base stats'!O:O)=2,_xlfn.XLOOKUP(_xlfn.XLOOKUP(B333,'Base stats'!B:B,'Base stats'!E:E),Groups!A:A,Groups!D:D)=0),"AnimalPet",IF(AND(_xlfn.XLOOKUP(B333,'Base stats'!B:B,'Base stats'!O:O)&lt;&gt;0,_xlfn.XLOOKUP(_xlfn.XLOOKUP(B333,'Base stats'!B:B,'Base stats'!E:E),Groups!A:A,Groups!D:D)&lt;&gt;0),"AnimalFarm","")),
IF(OR(_xlfn.XLOOKUP(B333,'Base stats'!B:B,'Base stats'!AK:AK)=1,AND(BI333&lt;&gt;"None",BR333&gt;=60),ISNUMBER(SEARCH("Attack target",BP333))),"AnimalFighter","")
)))</f>
        <v>AnimalExotic</v>
      </c>
      <c r="BX333" s="25" t="str">
        <f>IF(G333="None",TRIM(
SUBSTITUTE(
IF(COUNTIF(Biomes!B$2:B$259,"="&amp;$C333)&gt;0,Biomes!B$1&amp;", ","")&amp;
IF(COUNTIF(Biomes!C$2:C$259,"="&amp;$C333)&gt;0,Biomes!C$1&amp;", ","")&amp;
IF(COUNTIF(Biomes!D$2:D$259,"="&amp;$C333)&gt;0,Biomes!D$1&amp;", ","")&amp;
IF(COUNTIF(Biomes!F$2:F$259,"="&amp;$C333)&gt;0,Biomes!F$1&amp;", ","")&amp;
IF(COUNTIF(Biomes!G$2:G$259,"="&amp;$C333)&gt;0,Biomes!G$1&amp;", ","")&amp;
IF(COUNTIF(Biomes!H$2:H$259,"="&amp;$C333)&gt;0,Biomes!H$1&amp;", ","")&amp;
IF(COUNTIF(Biomes!I$2:I$259,"="&amp;$C333)&gt;0,Biomes!I$1&amp;", ","")&amp;
IF(COUNTIF(Biomes!J$2:J$259,"="&amp;$C333)&gt;0,Biomes!J$1&amp;", ","")&amp;
IF(COUNTIF(Biomes!M$2:M$259,"="&amp;$C333)&gt;0,Biomes!M$1&amp;", ","")&amp;
IF(COUNTIF(Biomes!N$2:N$259,"="&amp;$C333)&gt;0,Biomes!N$1&amp;", ","")&amp;
IF(COUNTIF(Biomes!O$2:O$259,"="&amp;$C333)&gt;0,Biomes!O$1&amp;", ","")&amp;
IF(COUNTIF(Biomes!P$2:P$259,"="&amp;$C333)&gt;0,Biomes!P$1&amp;", ","")&amp;
IF(COUNTIF(Biomes!K$2:K$259,"="&amp;$C333)&gt;0,Biomes!K$1&amp;", ","")&amp;
IF(COUNTIF(Biomes!Q$3:Q$259,"="&amp;$C333)&gt;0,Biomes!Q$1&amp;", ","")&amp;
IF(COUNTIF(Biomes!L$2:L$259,"="&amp;$C333)&gt;0,Biomes!L$1&amp;", ","")&amp;
IF(COUNTIF(Biomes!E$2:E$259,"="&amp;$C333)&gt;0,Biomes!E$1&amp;", ","")&amp;IF(COUNTIF(Biomes!S$2:S$259,"="&amp;$C333)&gt;0,Biomes!S$1&amp;", ","")&amp;
IF(COUNTIF(Biomes!R$2:R$259,"="&amp;$C333)&gt;0,Biomes!R$1&amp;", ",""),", ","")
),_xlfn.XLOOKUP(B333,B:B,BX:BX))</f>
        <v/>
      </c>
      <c r="BY333" s="25" t="str">
        <f>IF(_xlfn.XLOOKUP(B333,'Base stats'!B:B,'Base stats'!AJ:AJ)=1,"true","false")</f>
        <v>false</v>
      </c>
      <c r="BZ333" s="25">
        <f>IF(_xlfn.XLOOKUP(B333,'Base stats'!B:B,'Base stats'!N:N)=1,"No",MAX(0.001,MIN(MROUND(IF(AND(BJ333="True",CC333="False"),POWER(10,3.47*LOG10(_xlfn.XLOOKUP(B333,'Base stats'!B:B,'Base stats'!C:C)*1000)^-0.96),POWER(10,4.15*LOG10(_xlfn.XLOOKUP(B333,'Base stats'!B:B,'Base stats'!C:C)*1000)^-0.73))*IF(_xlfn.XLOOKUP(B333,'Base stats'!B:B,'Base stats'!AK:AK)=1,0.5,1)*IF(_xlfn.XLOOKUP(B333,'Base stats'!B:B,'Base stats'!AM:AM)=1,0.1,1)/100,IF(_xlfn.XLOOKUP(B333,'Base stats'!B:B,'Base stats'!AM:AM)=1,0.001,0.025)),0.5)))</f>
        <v>9.0000000000000011E-3</v>
      </c>
      <c r="CA333" s="25" t="str">
        <f>IF(P333="Standard","No",MAX(0.001,MIN(MROUND(IF(AND(BJ333="True",CC333="False"),POWER(10,3.47*LOG10(_xlfn.XLOOKUP(B333,'Base stats'!B:B,'Base stats'!C:C)*1000)^-0.96),POWER(10,4.15*LOG10(_xlfn.XLOOKUP(B333,'Base stats'!B:B,'Base stats'!C:C)*1000)^-0.73))*IF(_xlfn.XLOOKUP(B333,'Base stats'!B:B,'Base stats'!AM:AM)=1,0.1,1)*_xlfn.XLOOKUP(B333,'Base stats'!B:B,'Base stats'!R:R)/100,IF(_xlfn.XLOOKUP(B333,'Base stats'!B:B,'Base stats'!AM:AM)=1,0.001,0.025)),0.5)))</f>
        <v>No</v>
      </c>
      <c r="CB333" s="25" t="str">
        <f>IF(_xlfn.XLOOKUP(_xlfn.XLOOKUP(B333,'Base stats'!B:B,'Base stats'!E:E),Groups!A:A,Groups!AJ:AJ)="Mammal","True","False")</f>
        <v>False</v>
      </c>
      <c r="CC333" s="25" t="str">
        <f>IF(OR(_xlfn.XLOOKUP(_xlfn.XLOOKUP(B333,'Base stats'!B:B,'Base stats'!E:E),Groups!A:A,Groups!AJ:AJ)="Reptile",_xlfn.XLOOKUP(_xlfn.XLOOKUP(B333,'Base stats'!B:B,'Base stats'!E:E),Groups!A:A,Groups!AJ:AJ)="Amphibian",_xlfn.XLOOKUP(_xlfn.XLOOKUP(B333,'Base stats'!B:B,'Base stats'!E:E),Groups!A:A,Groups!AJ:AJ)="Invertebrate"),"True","False")</f>
        <v>True</v>
      </c>
      <c r="CD333" s="25" t="str">
        <f t="shared" si="41"/>
        <v>True</v>
      </c>
      <c r="CE333" s="25" t="str">
        <f>IF(_xlfn.XLOOKUP(_xlfn.XLOOKUP(B333,'Base stats'!B:B,'Base stats'!E:E),Groups!A:A,Groups!AX:AX),"True","False")</f>
        <v>False</v>
      </c>
      <c r="CF333" s="25" t="str">
        <f>IF(_xlfn.XLOOKUP(_xlfn.XLOOKUP(B333,'Base stats'!B:B,'Base stats'!E:E),Groups!A:A,Groups!AY:AY),"True","False")</f>
        <v>False</v>
      </c>
      <c r="CG333" s="25" t="str">
        <f>IF(_xlfn.XLOOKUP(_xlfn.XLOOKUP(B333,'Base stats'!B:B,'Base stats'!E:E),Groups!A:A,Groups!AW:AW),"True","False")</f>
        <v>False</v>
      </c>
      <c r="CH333" s="25" t="str">
        <f>IF(
OR(
_xlfn.XLOOKUP(_xlfn.XLOOKUP(B333,'Base stats'!B:B,'Base stats'!E:E),Groups!A:A,Groups!AZ:AZ)=0,
AND(
_xlfn.XLOOKUP(B333,'Base stats'!B:B,'Base stats'!Y:Y)&lt;&gt;"Carnivore",
_xlfn.XLOOKUP(B333,'Base stats'!B:B,'Base stats'!Y:Y)&lt;&gt;"Omnivore",
_xlfn.XLOOKUP(B333,'Base stats'!B:B,'Base stats'!Y:Y)&lt;&gt;"OmnivoreRough"
)
),
"No",
IF(
_xlfn.XLOOKUP(_xlfn.XLOOKUP(B333,'Base stats'!B:B,'Base stats'!E:E),Groups!A:A,Groups!AZ:AZ)=1,
"Flesh",
IF(
_xlfn.XLOOKUP(_xlfn.XLOOKUP(B333,'Base stats'!B:B,'Base stats'!E:E),Groups!A:A,Groups!AZ:AZ)=2,
"Bone",
""
)
)
)</f>
        <v>Bone</v>
      </c>
      <c r="CI333" s="25" t="str">
        <f>IF(_xlfn.XLOOKUP(_xlfn.XLOOKUP(B333,'Base stats'!B:B,'Base stats'!E:E),Groups!A:A,Groups!BB:BB),"True","False")</f>
        <v>False</v>
      </c>
      <c r="CJ333" s="25" t="str">
        <f>IF(_xlfn.XLOOKUP(_xlfn.XLOOKUP(B333,'Base stats'!B:B,'Base stats'!E:E),Groups!A:A,Groups!BA:BA),"True","False")</f>
        <v>False</v>
      </c>
    </row>
    <row r="334" spans="1:88" ht="16.5" thickTop="1" thickBot="1" x14ac:dyDescent="0.3">
      <c r="A334" s="26" t="s">
        <v>1580</v>
      </c>
      <c r="B334" s="6" t="str">
        <f>_xlfn.XLOOKUP(A334,'Base stats'!A:A,'Base stats'!B:B)</f>
        <v>Vermis collectivus</v>
      </c>
      <c r="C334" s="28" t="s">
        <v>1581</v>
      </c>
      <c r="D334" s="28" t="s">
        <v>1341</v>
      </c>
      <c r="E334" s="28" t="s">
        <v>673</v>
      </c>
      <c r="F334" s="28" t="s">
        <v>673</v>
      </c>
      <c r="G334" s="28" t="s">
        <v>673</v>
      </c>
      <c r="H334" s="2">
        <f>MROUND((
  (IF(AND(_xlfn.XLOOKUP(B334,'Base stats'!B:B,'Base stats'!AL:AL)=0,BI334="None",_xlfn.XLOOKUP(_xlfn.XLOOKUP(B334,'Base stats'!B:B,'Base stats'!E:E),Groups!A:A,Groups!B:B)=0), (18 + BR334 * 2.7) * 0.5,
    IF(AND(_xlfn.XLOOKUP(B334,'Base stats'!B:B,'Base stats'!AL:AL)=0,OR(AO334&lt;0.55,AND(BI334="Intermediate",_xlfn.XLOOKUP(_xlfn.XLOOKUP(B334,'Base stats'!B:B,'Base stats'!E:E),Groups!A:A,Groups!B:B)&lt;2))), (18 + BR334 * 2.7),
      IF(OR(BI334="Advanced",_xlfn.XLOOKUP(B334,'Base stats'!B:B,'Base stats'!AL:AL)=1,_xlfn.XLOOKUP(_xlfn.XLOOKUP(B334,'Base stats'!B:B,'Base stats'!E:E),Groups!A:A,Groups!B:B)=2), (18 + BR334 * 2.7) + 250, (18 + BR334 * 2.7))
    )
  ))
  + AO334 * 80
  + IF(COUNTIF(EggMilk!K$2:K$998, A334) &gt; 0, 125, 0)
  + IF(COUNTIF(EggMilk!P$2:P$998, A334) &gt; 0, 90, 0)
  + IF(COUNTIF(EggMilk!A$2:A$998, A334) &gt; 0, 90, 0)
)
* (0.8 + 0.4 * J334)
* 0.75,25)</f>
        <v>125</v>
      </c>
      <c r="I334" s="2">
        <f>MROUND(ROUNDDOWN(_xlfn.XLOOKUP(B334,'Base stats'!B:B,'Base stats'!L:L)/3.6/(23.3/11),1),0.5)</f>
        <v>3</v>
      </c>
      <c r="J334" s="2">
        <f>IF(OR(_xlfn.XLOOKUP(B334,'Base stats'!B:B,'Base stats'!AB:AB)=1,_xlfn.XLOOKUP(_xlfn.XLOOKUP(B334,'Base stats'!B:B,'Base stats'!E:E),Groups!A:A,Groups!C:C)="Untamable"),1,IF(_xlfn.XLOOKUP(B334,'Base stats'!B:B,'Base stats'!AL:AL)=1,0.99,MIN(MROUND((1-0.6282*EXP(-0.459*AO334))*_xlfn.XLOOKUP(_xlfn.XLOOKUP(B334,'Base stats'!B:B,'Base stats'!E:E),Groups!A:A,Groups!C:C)*IF(_xlfn.XLOOKUP(B334,'Base stats'!B:B,'Base stats'!O:O)=1,0.5,IF(_xlfn.XLOOKUP(B334,'Base stats'!B:B,'Base stats'!O:O)=2,0,1)),0.05),IF(AO334&gt;3.5,0.985,0.95))))</f>
        <v>0.5</v>
      </c>
      <c r="K334" s="2">
        <f>ROUNDUP(AO334*_xlfn.XLOOKUP(_xlfn.XLOOKUP(B334,'Base stats'!B:B,'Base stats'!E:E),Groups!A:A,Groups!E:E),0)</f>
        <v>1</v>
      </c>
      <c r="L334" s="2">
        <f>IF(OR(_xlfn.XLOOKUP(_xlfn.XLOOKUP(B334,'Base stats'!B:B,'Base stats'!E:E),Groups!A:A,Groups!F:F)=2,ISNUMBER(SEARCH("SeaIce",BX334)),ISNUMBER(SEARCH("IceSheet",BX334))),-50,IF(OR(ISNUMBER(SEARCH("GlacialPlain",BX334)),ISNUMBER(SEARCH("Tundra",BX334))),-40,IF(OR(ISNUMBER(SEARCH("Alpine",BX334)),ISNUMBER(SEARCH("BorealForest",BX334)),ISNUMBER(SEARCH("ColdBog",BX334))),-30,IF(OR(ISNUMBER(SEARCH("TemperateForest",BX334)),ISNUMBER(SEARCH("TemperateSwamp",BX334))),-20,IF(_xlfn.XLOOKUP(_xlfn.XLOOKUP(B334,'Base stats'!B:B,'Base stats'!E:E),Groups!A:A,Groups!F:F)=1,-15,IF(OR(ISNUMBER(SEARCH("Desert",BX334)),ISNUMBER(SEARCH("ExtremeDesert",BX334))),-10,IF(OR(ISNUMBER(SEARCH("Grasslands",BX334)),ISNUMBER(SEARCH("TropicalRainforest",BX334)),ISNUMBER(SEARCH("TropicalSwamp",BX334))),10,0)))))))-IF(CC334="False",MIN(IFERROR(MAX(MROUND(LOG10(_xlfn.XLOOKUP(B334,'Base stats'!B:B,'Base stats'!C:C)^(2/3))*10,5),5),5),30))-_xlfn.XLOOKUP(B334,'Base stats'!B:B,'Base stats'!P:P)+IF(CC334="True",5,0)</f>
        <v>-15</v>
      </c>
      <c r="M334" s="2">
        <f>IF(OR(_xlfn.XLOOKUP(_xlfn.XLOOKUP(B334,'Base stats'!B:B,'Base stats'!E:E),Groups!A:A,Groups!G:G)=2,ISNUMBER(SEARCH("Desert",BX334)),ISNUMBER(SEARCH("ExtremeDesert",BX334)),ISNUMBER(SEARCH("LavaField",BX334))),50,IF(ISNUMBER(SEARCH("Grasslands",BX334)),45,IF(OR(_xlfn.XLOOKUP(_xlfn.XLOOKUP(B334,'Base stats'!B:B,'Base stats'!E:E),Groups!A:A,Groups!G:G)=1,ISNUMBER(SEARCH("TropicalRainforest",BX334)),ISNUMBER(SEARCH("TropicalSwamp",BX334))),40,IF(OR(ISNUMBER(SEARCH("TemperateForest",BX334)),ISNUMBER(SEARCH("TemperateSwamp",BX334))),35,IF(OR(ISNUMBER(SEARCH("Alpine",BX334)),ISNUMBER(SEARCH("BorealForest",BX334)),ISNUMBER(SEARCH("ColdBog",BX334))),30,IF(ISNUMBER(OR(ISNUMBER(SEARCH("GlacialPlain",BX334)),SEARCH("Tundra",BX334))),25,IF(OR(ISNUMBER(SEARCH("SeaIce",BX334)),ISNUMBER(SEARCH("IceSheet",BX334)),ISNUMBER(SEARCH("TropicalSwamp",BX334))),10,35)))))))+_xlfn.XLOOKUP(B334,'Base stats'!B:B,'Base stats'!Q:Q)</f>
        <v>50</v>
      </c>
      <c r="N334" s="8">
        <f>IF(
_xlfn.XLOOKUP(
_xlfn.XLOOKUP(B334,'Base stats'!B:B,'Base stats'!E:E),
Groups!A:A,
Groups!L:L
)=1,
MIN(
MROUND(
IF(
_xlfn.XLOOKUP(B334,'Animals CE'!B:B,'Animals CE'!Z:Z)&lt;=1.5,
_xlfn.XLOOKUP(B334,'Animals CE'!B:B,'Animals CE'!Z:Z)/2+0.05,
0.8+
(_xlfn.XLOOKUP(B334,'Animals CE'!B:B,'Animals CE'!Z:Z)-1.5)
*0.02
),
0.05
),
200%
),
"No"
)</f>
        <v>0.25</v>
      </c>
      <c r="O334" s="8">
        <f>IF(
_xlfn.XLOOKUP(
_xlfn.XLOOKUP(B334,'Base stats'!B:B,'Base stats'!E:E),
Groups!A:A,
Groups!L:L
)=1,
MIN(
MROUND(
IF(
_xlfn.XLOOKUP(B334,'Animals CE'!B:B,'Animals CE'!AA:AA)&lt;=1.5,
_xlfn.XLOOKUP(B334,'Animals CE'!B:B,'Animals CE'!AA:AA)/2+0.05,
0.8+
(_xlfn.XLOOKUP(B334,'Animals CE'!B:B,'Animals CE'!AA:AA)-1.5)
*0.02
),
0.05
),
200%
),
"No"
)</f>
        <v>0.1</v>
      </c>
      <c r="P334" s="2">
        <f>_xlfn.XLOOKUP(B334,'Base stats'!B:B,'Base stats'!R:R)</f>
        <v>1</v>
      </c>
      <c r="Q334" s="13">
        <f>MROUND((LOG10(_xlfn.XLOOKUP(B334,'Base stats'!B:B,'Base stats'!AR:AR))*(AO334^0.5)+(_xlfn.XLOOKUP(B334,'Base stats'!B:B,'Base stats'!AR:AR)/1000)^(2/3)+_xlfn.XLOOKUP(B334,'Base stats'!B:B,'Base stats'!BA:BA)/2)+0.5,0.5)</f>
        <v>2.5</v>
      </c>
      <c r="R334" s="7">
        <f>IF(Q334="No","No",MAX(1,MROUND(_xlfn.XLOOKUP(B334,'Base stats'!B:B,'Base stats'!C:C)^0.165,0.05)))</f>
        <v>1.3</v>
      </c>
      <c r="S334" s="13" t="str">
        <f>IF(_xlfn.XLOOKUP(_xlfn.XLOOKUP(B334,'Base stats'!B:B,'Base stats'!E:E),Groups!A:A,Groups!P:P)=0,"No",MROUND((LOG10(_xlfn.XLOOKUP(B334,'Base stats'!B:B,'Base stats'!AS:AS))*(AO334^0.5)+(_xlfn.XLOOKUP(B334,'Base stats'!B:B,'Base stats'!AS:AS)/1000)^(2/3)+_xlfn.XLOOKUP(B334,'Base stats'!B:B,'Base stats'!BA:BA))+_xlfn.XLOOKUP(B334,'Base stats'!B:B,'Base stats'!AY:AY)+0.5,0.5))</f>
        <v>No</v>
      </c>
      <c r="T334" s="7" t="str">
        <f>IF(S334="No","No",MAX(_xlfn.XLOOKUP(_xlfn.XLOOKUP(B334,'Base stats'!B:B,'Base stats'!E:E),Groups!A:A,Groups!Q:Q),MROUND(_xlfn.XLOOKUP(_xlfn.XLOOKUP(B334,'Base stats'!B:B,'Base stats'!E:E),Groups!A:A,Groups!Q:Q)*_xlfn.XLOOKUP(B334,'Base stats'!B:B,'Base stats'!C:C)^0.165,0.05)))</f>
        <v>No</v>
      </c>
      <c r="U334" s="7" t="str">
        <f>IF(S334="No","No",_xlfn.XLOOKUP(_xlfn.XLOOKUP(B334,'Base stats'!B:B,'Base stats'!E:E),Groups!A:A,Groups!R:R))</f>
        <v>No</v>
      </c>
      <c r="V334" s="7" t="str">
        <f>IF(S334="No","No",_xlfn.XLOOKUP(_xlfn.XLOOKUP(B334,'Base stats'!B:B,'Base stats'!E:E),Groups!A:A,Groups!S:S))</f>
        <v>No</v>
      </c>
      <c r="W334" s="7" t="str">
        <f>IF(S334="No","No",_xlfn.XLOOKUP(_xlfn.XLOOKUP(B334,'Base stats'!B:B,'Base stats'!E:E),Groups!A:A,Groups!T:T))</f>
        <v>No</v>
      </c>
      <c r="X334" s="13" t="str">
        <f>IF(_xlfn.XLOOKUP(B334,'Base stats'!B:B,'Base stats'!W:W)="No","No",MROUND((LOG10(_xlfn.XLOOKUP(B334,'Base stats'!B:B,'Base stats'!AU:AU))*(AO334^0.5)+(_xlfn.XLOOKUP(B334,'Base stats'!B:B,'Base stats'!AU:AU)/1000)^(2/3)+_xlfn.XLOOKUP(B334,'Base stats'!B:B,'Base stats'!AZ:AZ))+0.5+IF(_xlfn.XLOOKUP(_xlfn.XLOOKUP(B334,'Base stats'!B:B,'Base stats'!E:E),Groups!A:A,Groups!U:U)&lt;&gt;3,_xlfn.XLOOKUP(B334,'Base stats'!B:B,'Base stats'!BA:BA),0),0.5))</f>
        <v>No</v>
      </c>
      <c r="Y334" s="7" t="str">
        <f>IF(X334="No","No",MAX(_xlfn.XLOOKUP(_xlfn.XLOOKUP(B334,'Base stats'!B:B,'Base stats'!E:E),Groups!A:A,Groups!V:V),MROUND(_xlfn.XLOOKUP(_xlfn.XLOOKUP(B334,'Base stats'!B:B,'Base stats'!E:E),Groups!A:A,Groups!V:V)*_xlfn.XLOOKUP(B334,'Base stats'!B:B,'Base stats'!C:C)^0.165,0.05)))</f>
        <v>No</v>
      </c>
      <c r="Z334" s="7" t="str">
        <f>IF(X334="No","No",_xlfn.XLOOKUP(_xlfn.XLOOKUP(B334,'Base stats'!B:B,'Base stats'!E:E),Groups!A:A,Groups!W:W))</f>
        <v>No</v>
      </c>
      <c r="AA334" s="7" t="str">
        <f>IF(X334="No","No",_xlfn.XLOOKUP(_xlfn.XLOOKUP(B334,'Base stats'!B:B,'Base stats'!E:E),Groups!A:A,Groups!X:X))</f>
        <v>No</v>
      </c>
      <c r="AB334" s="7" t="str">
        <f>IF(X334="No","No",_xlfn.XLOOKUP(_xlfn.XLOOKUP(B334,'Base stats'!B:B,'Base stats'!E:E),Groups!A:A,Groups!Y:Y))</f>
        <v>No</v>
      </c>
      <c r="AC334" s="7" t="str">
        <f>_xlfn.XLOOKUP(Animals!B334,'Base stats'!B:B,'Base stats'!X:X)</f>
        <v>False</v>
      </c>
      <c r="AD334" s="13">
        <f>IF(_xlfn.XLOOKUP(B334,'Base stats'!B:B,'Base stats'!AT:AT)="No","No",MROUND((LOG10(_xlfn.XLOOKUP(B334,'Base stats'!B:B,'Base stats'!AT:AT))*(AO334^0.75)+(_xlfn.XLOOKUP(B334,'Base stats'!B:B,'Base stats'!AT:AT)/1000)^(2/3)+_xlfn.XLOOKUP(B334,'Base stats'!B:B,'Base stats'!AX:AX)+_xlfn.XLOOKUP(B334,'Base stats'!B:B,'Base stats'!BA:BA))+0.5,0.5))</f>
        <v>6.5</v>
      </c>
      <c r="AE334" s="7">
        <f>IF(AD334="No","No",MAX(_xlfn.XLOOKUP(_xlfn.XLOOKUP(B334,'Base stats'!B:B,'Base stats'!E:E),Groups!A:A,Groups!Z:Z),MROUND(_xlfn.XLOOKUP(_xlfn.XLOOKUP(B334,'Base stats'!B:B,'Base stats'!E:E),Groups!A:A,Groups!Z:Z)*_xlfn.XLOOKUP(B334,'Base stats'!B:B,'Base stats'!C:C)^0.165,0.05)))</f>
        <v>1.55</v>
      </c>
      <c r="AF334" s="7" t="str">
        <f>IF(AD334="No","No",_xlfn.XLOOKUP(_xlfn.XLOOKUP(B334,'Base stats'!B:B,'Base stats'!E:E),Groups!A:A,Groups!AA:AA))</f>
        <v>Mouth</v>
      </c>
      <c r="AG334" s="7" t="str">
        <f>IF(AD334="No","No",_xlfn.XLOOKUP(_xlfn.XLOOKUP(B334,'Base stats'!B:B,'Base stats'!E:E),Groups!A:A,Groups!AB:AB))</f>
        <v>mandibles</v>
      </c>
      <c r="AH334" s="7" t="str">
        <f>IF(AD334="No","No",_xlfn.XLOOKUP(_xlfn.XLOOKUP(B334,'Base stats'!B:B,'Base stats'!E:E),Groups!A:A,Groups!AC:AC))</f>
        <v>Bite</v>
      </c>
      <c r="AI334" s="13">
        <f>IF(_xlfn.XLOOKUP(_xlfn.XLOOKUP(B334,'Base stats'!B:B,'Base stats'!E:E),Groups!A:A,Groups!AD:AD)=0,"No",MROUND((LOG10(_xlfn.XLOOKUP(B334,'Base stats'!B:B,'Base stats'!AS:AS))*(AO334^0.75)+(_xlfn.XLOOKUP(B334,'Base stats'!B:B,'Base stats'!AS:AS)/1000)^(2/3)+_xlfn.XLOOKUP(B334,'Base stats'!B:B,'Base stats'!AY:AY)+_xlfn.XLOOKUP(B334,'Base stats'!B:B,'Base stats'!BA:BA))+0.5,0.5))</f>
        <v>4.5</v>
      </c>
      <c r="AJ334" s="7">
        <f>IF(AI334="No","No",MAX(_xlfn.XLOOKUP(_xlfn.XLOOKUP(B334,'Base stats'!B:B,'Base stats'!E:E),Groups!A:A,Groups!AE:AE),MROUND(_xlfn.XLOOKUP(_xlfn.XLOOKUP(B334,'Base stats'!B:B,'Base stats'!E:E),Groups!A:A,Groups!AE:AE)*IF(_xlfn.XLOOKUP(_xlfn.XLOOKUP(B334,'Base stats'!B:B,'Base stats'!E:E),Groups!A:A,Groups!AJ:AJ)="Photonozoa",0.6,1)*_xlfn.XLOOKUP(B334,'Base stats'!B:B,'Base stats'!C:C)^0.165,0.05)))</f>
        <v>1.4000000000000001</v>
      </c>
      <c r="AK334" s="7" t="str">
        <f>IF(AI334="No","No",_xlfn.XLOOKUP(_xlfn.XLOOKUP(B334,'Base stats'!B:B,'Base stats'!E:E),Groups!A:A,Groups!AF:AF))</f>
        <v>HeadClaw</v>
      </c>
      <c r="AL334" s="7" t="str">
        <f>IF(AI334="No","No",_xlfn.XLOOKUP(_xlfn.XLOOKUP(B334,'Base stats'!B:B,'Base stats'!E:E),Groups!A:A,Groups!AG:AG))</f>
        <v>head claw</v>
      </c>
      <c r="AM334" s="7" t="str">
        <f>IF(AI334="No","No",_xlfn.XLOOKUP(_xlfn.XLOOKUP(B334,'Base stats'!B:B,'Base stats'!E:E),Groups!A:A,Groups!AH:AH))</f>
        <v>AA_SwarmlingClaws</v>
      </c>
      <c r="AN334" s="2">
        <f t="shared" si="35"/>
        <v>15</v>
      </c>
      <c r="AO334" s="2">
        <f>MROUND(IF(AND(_xlfn.XLOOKUP(B334,'Base stats'!B:B,'Base stats'!C:C)&gt;=0.5,_xlfn.XLOOKUP(B334,'Base stats'!B:B,'Base stats'!C:C)&lt;=0.8),
IF(_xlfn.XLOOKUP(B334,'Base stats'!B:B,'Base stats'!C:C)&lt;0.1,0.05,IF(_xlfn.XLOOKUP(B334,'Base stats'!B:B,'Base stats'!C:C)&lt;=70,(_xlfn.XLOOKUP(B334,'Base stats'!B:B,'Base stats'!C:C)/70)^0.426489913056526,IF(_xlfn.XLOOKUP(B334,'Base stats'!B:B,'Base stats'!C:C)&lt;=400,(_xlfn.XLOOKUP(B334,'Base stats'!B:B,'Base stats'!C:C)/70)^0.572811455315093,IF(_xlfn.XLOOKUP(B334,'Base stats'!B:B,'Base stats'!C:C)&lt;=2000,2.71391647193063*(_xlfn.XLOOKUP(B334,'Base stats'!B:B,'Base stats'!C:C)/400)^0.252459582904293,3.74314280240376*(_xlfn.XLOOKUP(B334,'Base stats'!B:B,'Base stats'!C:C)/2000)^0.357012633876913)))),
IF(_xlfn.XLOOKUP(B334,'Base stats'!B:B,'Base stats'!C:C)&lt;0.1,0.05,IF(_xlfn.XLOOKUP(B334,'Base stats'!B:B,'Base stats'!C:C)&lt;0.4,0.1,IF(_xlfn.XLOOKUP(B334,'Base stats'!B:B,'Base stats'!C:C)&lt;=70,(_xlfn.XLOOKUP(B334,'Base stats'!B:B,'Base stats'!C:C)/70)^0.445823913056526,IF(_xlfn.XLOOKUP(B334,'Base stats'!B:B,'Base stats'!C:C)&lt;=400,(_xlfn.XLOOKUP(B334,'Base stats'!B:B,'Base stats'!C:C)/70)^0.572811455315093,IF(_xlfn.XLOOKUP(B334,'Base stats'!B:B,'Base stats'!C:C)&lt;=2000,2.71391647193063*(_xlfn.XLOOKUP(B334,'Base stats'!B:B,'Base stats'!C:C)/400)^0.252459582904293,3.74314280240376*(_xlfn.XLOOKUP(B334,'Base stats'!B:B,'Base stats'!C:C)/2000)^0.357012633876913)))))),
IF(_xlfn.XLOOKUP(B334,'Base stats'!B:B,'Base stats'!C:C)&lt;0.1,0.05,IF(_xlfn.XLOOKUP(B334,'Base stats'!B:B,'Base stats'!C:C)&lt;=100,0.05,IF(_xlfn.XLOOKUP(B334,'Base stats'!B:B,'Base stats'!C:C)&lt;=250,0.1,IF(_xlfn.XLOOKUP(B334,'Base stats'!B:B,'Base stats'!C:C)&lt;=4000,0.25,0.5)))))</f>
        <v>0.30000000000000004</v>
      </c>
      <c r="AP334" s="8">
        <f>MROUND(AO334*_xlfn.XLOOKUP(_xlfn.XLOOKUP(B334,'Base stats'!B:B,'Base stats'!E:E),Groups!A:A,Groups!AI:AI)*_xlfn.XLOOKUP(B334,'Base stats'!B:B,'Base stats'!Z:Z),0.05)</f>
        <v>0.30000000000000004</v>
      </c>
      <c r="AQ334" s="8">
        <f>MAX(0.01,MROUND(IF(CC334="True",0.196*(AO334*100*1000)^0.889,IF(_xlfn.XLOOKUP(_xlfn.XLOOKUP(B334,'Base stats'!B:B,'Base stats'!E:E),Groups!A:A,Groups!AJ:AJ)="Bird",10.5*(AO334*100*1000)^0.681,4.82*(AO334*100*1000)^0.734))/(4.82*(1*100*1000)^0.734)/IF(AO334&lt;3.5,2,IF(AO334=3.5,1.5,1.25))*(1+0.132282374779864/(AO334^0.994035016789033+0.00905238001496948)),0.05))</f>
        <v>0.05</v>
      </c>
      <c r="AR334" s="9">
        <f>IFERROR(MROUND(_xlfn.XLOOKUP(B334,'Base stats'!B:B,'Base stats'!H:H)/IF(_xlfn.XLOOKUP(B334,'Base stats'!B:B,'Base stats'!I:I)&lt;&gt;1,(122.5/70),1.2),IF(_xlfn.XLOOKUP(B334,'Base stats'!B:B,'Base stats'!H:H)&gt;=30,5,IF(_xlfn.XLOOKUP(B334,'Base stats'!B:B,'Base stats'!H:H)&gt;=15,3,IF(_xlfn.XLOOKUP(B334,'Base stats'!B:B,'Base stats'!H:H)&gt;=10,2,1)))),"Immortal")</f>
        <v>6</v>
      </c>
      <c r="AS334" s="35" t="str">
        <f>IFERROR(IF(OR(_xlfn.XLOOKUP(B334,'Base stats'!B:B,'Base stats'!F:F)="Atypical reproduction",_xlfn.XLOOKUP(B334,'Base stats'!B:B,'Base stats'!F:F)="Lay eggs"),"Lay eggs",MIN(20,MAX(5.5,ROUND(((_xlfn.XLOOKUP(B334,'Base stats'!B:B,'Base stats'!F:F)-25)*(14.5/615) + 5.5)*2,0)/2))),"Unknown")</f>
        <v>Lay eggs</v>
      </c>
      <c r="AT334" s="8">
        <f>IF(_xlfn.XLOOKUP(B334,'Base stats'!B:B,'Base stats'!G:G)="Atypical reproduction","No",IFERROR(MAX(IF(_xlfn.XLOOKUP(B334,'Base stats'!B:B,'Base stats'!G:G)&lt;0.5,0.2,0.3),MROUND(_xlfn.XLOOKUP(B334,'Base stats'!B:B,'Base stats'!G:G)/(365/60),0.2)),"Unknown"))</f>
        <v>0.3</v>
      </c>
      <c r="AU334" s="8">
        <f t="shared" si="36"/>
        <v>0.15000000000000002</v>
      </c>
      <c r="AV334" s="8" t="str">
        <f>IFERROR(IFERROR(MROUND(_xlfn.XLOOKUP(B334,'Base stats'!B:B,'Base stats'!J:J),0.1),"Lay eggs"),"Cannot breed")</f>
        <v>Lay eggs</v>
      </c>
      <c r="AW334" s="2" t="str">
        <f t="shared" si="37"/>
        <v>true</v>
      </c>
      <c r="AX334" s="2" t="str">
        <f>IF(_xlfn.XLOOKUP(_xlfn.XLOOKUP(Animals!B334,'Base stats'!B:B,'Base stats'!E:E),Groups!A:A,Groups!AK:AK)=1,"true","false")</f>
        <v>false</v>
      </c>
      <c r="AY334" s="25" t="str">
        <f>IF(_xlfn.XLOOKUP(B334,'Base stats'!B:B,'Base stats'!Y:Y)="Liquor","Liquor, CarnivoreAnimalStrict",IF(AND(_xlfn.XLOOKUP(B334,'Base stats'!B:B,'Base stats'!Y:Y)="Carnivore",_xlfn.XLOOKUP(_xlfn.XLOOKUP(B334,'Base stats'!B:B,'Base stats'!E:E),Groups!A:A,Groups!AJ:AJ)="Photonozoa"),"CarnivoreAnimalStrict, OvivoreAnimal",IF(_xlfn.XLOOKUP(B334,'Base stats'!B:B,'Base stats'!Y:Y)="Carnivore","CarnivoreAnimal, OvivoreAnimal",IF(_xlfn.XLOOKUP(B334,'Base stats'!B:B,'Base stats'!Y:Y)="Dendrovore","VegetarianRoughAnimal, DendrovoreAnimal",IF(_xlfn.XLOOKUP(B334,'Base stats'!B:B,'Base stats'!Y:Y)="Herbivore","VegetarianRoughAnimal",IF(_xlfn.XLOOKUP(B334,'Base stats'!B:B,'Base stats'!Y:Y)="OmnivoreRough","OmnivoreRoughAnimal, OvivoreAnimal","OmnivoreAnimal, OvivoreAnimal"))))))</f>
        <v>OmnivoreAnimal, OvivoreAnimal</v>
      </c>
      <c r="AZ334" s="2" t="str">
        <f>IF(_xlfn.XLOOKUP(_xlfn.XLOOKUP(B334,'Base stats'!B:B,'Base stats'!E:E),Groups!A:A,Groups!D:D)=1,MROUND((1-J334)*5+1,2)*IF(J334&lt;=0.4,2,1),"No")</f>
        <v>No</v>
      </c>
      <c r="BA334" s="2" t="str">
        <f>IF(AND(_xlfn.XLOOKUP(B334,'Base stats'!B:B,'Base stats'!AH:AH)="&lt;li&gt;Seal&lt;/li&gt;",G334="Odyssey"),"&lt;li&gt;AEXP_Seal&lt;/li&gt;",_xlfn.XLOOKUP(B334,'Base stats'!B:B,'Base stats'!AH:AH))</f>
        <v>&lt;li&gt;Megaspider&lt;/li&gt;</v>
      </c>
      <c r="BB334" s="2" t="str">
        <f>_xlfn.XLOOKUP(B334,'Base stats'!B:B,'Base stats'!AG:AG)</f>
        <v>Leather_Chitin</v>
      </c>
      <c r="BC334" s="23" t="str">
        <f>_xlfn.XLOOKUP(_xlfn.XLOOKUP(B334,'Base stats'!B:B,'Base stats'!E:E),Groups!A:A,Groups!AL:AL)</f>
        <v>BeetleLikeWithClaw</v>
      </c>
      <c r="BD334" s="23">
        <f>MIN(1,MROUND(IF(AND(AO334&lt;0.5,_xlfn.XLOOKUP(B334,'Base stats'!B:B,'Base stats'!AA:AA)=0),0,IF(OR(_xlfn.XLOOKUP(Animals!B334,'Base stats'!B:B,'Base stats'!O:O)=2,_xlfn.XLOOKUP(_xlfn.XLOOKUP(B334,'Base stats'!B:B,'Base stats'!E:E),Groups!A:A,Groups!AN:AN)=0),0,_xlfn.XLOOKUP(_xlfn.XLOOKUP(B334,'Base stats'!B:B,'Base stats'!E:E),Groups!A:A,Groups!AN:AN)/IF(_xlfn.XLOOKUP(Animals!B334,'Base stats'!B:B,'Base stats'!O:O)=1,2,1)))+_xlfn.XLOOKUP(B334,'Base stats'!B:B,'Base stats'!AC:AC),0.005))</f>
        <v>0</v>
      </c>
      <c r="BE334" s="23">
        <f>MIN(1,MROUND(IF(AND(AO334&lt;0.5,_xlfn.XLOOKUP(B334,'Base stats'!B:B,'Base stats'!AA:AA)=0),0,IF(_xlfn.XLOOKUP(_xlfn.XLOOKUP(B334,'Base stats'!B:B,'Base stats'!E:E),Groups!A:A,Groups!AO:AO)=0,0,_xlfn.XLOOKUP(_xlfn.XLOOKUP(B334,'Base stats'!B:B,'Base stats'!E:E),Groups!A:A,Groups!AO:AO)/IF(_xlfn.XLOOKUP(Animals!B334,'Base stats'!B:B,'Base stats'!O:O)=2,3,1)))+_xlfn.XLOOKUP(B334,'Base stats'!B:B,'Base stats'!AD:AD),0.005))</f>
        <v>0</v>
      </c>
      <c r="BF334" s="2" t="str">
        <f>IF(J334&gt;0.3,"No",_xlfn.XLOOKUP(_xlfn.XLOOKUP(Animals!B334,'Base stats'!B:B,'Base stats'!E:E),Groups!A:A,Groups!AP:AP))</f>
        <v>No</v>
      </c>
      <c r="BG334" s="2" t="str">
        <f>IF(AND(J334&lt;=0.65,_xlfn.XLOOKUP(_xlfn.XLOOKUP(Animals!B334,'Base stats'!B:B,'Base stats'!E:E),Groups!A:A,Groups!AP:AP)&lt;&gt;"No",_xlfn.XLOOKUP(_xlfn.XLOOKUP(B334,'Base stats'!B:B,'Base stats'!E:E),Groups!A:A,Groups!D:D)=0),MROUND((80/3)*IF(_xlfn.XLOOKUP(B334,'Base stats'!B:B,'Base stats'!O:O)=2,0.2,AO334) + 24*(1-IF(BF334="No",0,BF334)) + 16/3, 12),"No")</f>
        <v>No</v>
      </c>
      <c r="BH334" s="2">
        <f>IF(AND(_xlfn.XLOOKUP(_xlfn.XLOOKUP(B334,'Base stats'!B:B,'Base stats'!E:E),Groups!A:A,Groups!AQ:AQ)=1,AO334&lt;=0.35),8,12)</f>
        <v>12</v>
      </c>
      <c r="BI334" s="2" t="str">
        <f>IF(_xlfn.XLOOKUP(_xlfn.XLOOKUP(B334,'Base stats'!B:B,'Base stats'!E:E),Groups!A:A,Groups!D:D)=0,_xlfn.XLOOKUP(_xlfn.XLOOKUP(B334,'Base stats'!B:B,'Base stats'!E:E),Groups!A:A,Groups!AR:AR),"None")</f>
        <v>Advanced</v>
      </c>
      <c r="BJ334" s="2" t="str">
        <f>IF(AND(_xlfn.XLOOKUP(_xlfn.XLOOKUP(B334,'Base stats'!B:B,'Base stats'!E:E),Groups!A:A,Groups!AS:AS)=1,OR(_xlfn.XLOOKUP(B334,'Base stats'!B:B,'Base stats'!Y:Y)="Carnivore",_xlfn.XLOOKUP(B334,'Base stats'!B:B,'Base stats'!Y:Y)="Omnivore")),"true","false")</f>
        <v>true</v>
      </c>
      <c r="BK334" s="2">
        <f>IF(BJ334="true",MROUND(IF(AND(AO334&gt;0.5,OR(_xlfn.XLOOKUP(_xlfn.XLOOKUP(B334,'Base stats'!B:B,'Base stats'!E:E),Groups!A:A,Groups!AJ:AJ)="Photonozoa",_xlfn.XLOOKUP(_xlfn.XLOOKUP(B334,'Base stats'!B:B,'Base stats'!E:E),Groups!A:A,Groups!AJ:AJ)="Mammal")),Animals!AO334*1.75*IF(AW334="true",1.5,1),IF(AO334&lt;0.5,Animals!AO334*0.5,Animals!AO334)),IF(AO334&gt;2,0.5,IF(AO334&gt;0.5,0.25,0.1))),"No")</f>
        <v>0.2</v>
      </c>
      <c r="BL334" s="2">
        <f t="shared" si="38"/>
        <v>1</v>
      </c>
      <c r="BM334" s="25" t="str">
        <f>IF(_xlfn.XLOOKUP(B334,'Base stats'!B:B,'Base stats'!AN:AN)="Standard","No",MROUND((_xlfn.XLOOKUP(B334,'Base stats'!B:B,'Base stats'!AN:AN)/3.6)/I334,0.1))</f>
        <v>No</v>
      </c>
      <c r="BN334" s="25" t="str">
        <f t="shared" si="39"/>
        <v>false</v>
      </c>
      <c r="BO334" s="25" t="str">
        <f>IF(AND(OR(_xlfn.XLOOKUP(B334,'Base stats'!B:B,'Base stats'!Y:Y)="Carnivore",_xlfn.XLOOKUP(B334,'Base stats'!B:B,'Base stats'!Y:Y)="Omnivore",_xlfn.XLOOKUP(B334,'Base stats'!B:B,'Base stats'!Y:Y)="OmnivoreRough"),_xlfn.XLOOKUP(_xlfn.XLOOKUP(B334,'Base stats'!B:B,'Base stats'!E:E),Groups!A:A,Groups!AT:AT)=1),"true","false")</f>
        <v>false</v>
      </c>
      <c r="BP334" s="25" t="str" cm="1">
        <f t="array" ref="BP334">IF(
  _xlfn.TEXTJOIN(", ",TRUE,
    IF(AND(BJ334="true",AO334&gt;0.5,BI334&lt;&gt;"None"),"AttackTarget",""),
    IF(AND(_xlfn.XLOOKUP(_xlfn.XLOOKUP(B334,'Base stats'!B:B,'Base stats'!E:E),Groups!A:A,Groups!AJ:AJ="Mammal"),OR(_xlfn.XLOOKUP(B334,'Base stats'!B:B,'Base stats'!Y:Y)="Omnivore",_xlfn.XLOOKUP(B334,'Base stats'!B:B,'Base stats'!Y:Y)="OmnivoreRough")),"Forage",""),
    IF(BG334&lt;=36,"Comfort",""),
    IF(_xlfn.XLOOKUP(B334,'Base stats'!B:B,'Base stats'!AE:AE)&lt;&gt;"No",_xlfn.XLOOKUP(B334,'Base stats'!B:B,'Base stats'!AE:AE),"")
  ) = "",
  "No",
  _xlfn.TEXTJOIN(", ",TRUE,
    IF(AND(BJ334="true",AO334&gt;0.5,BI334&lt;&gt;"None"),"AttackTarget",""),
    IF(AND(_xlfn.XLOOKUP(_xlfn.XLOOKUP(B334,'Base stats'!B:B,'Base stats'!E:E),Groups!A:A,Groups!AJ:AJ="Mammal"),OR(_xlfn.XLOOKUP(B334,'Base stats'!B:B,'Base stats'!Y:Y)="Omnivore",_xlfn.XLOOKUP(B334,'Base stats'!B:B,'Base stats'!Y:Y)="OmnivoreRough")),"Forage",""),
    IF(BG334&lt;=36,"Comfort",""),
    IF(_xlfn.XLOOKUP(B334,'Base stats'!B:B,'Base stats'!AE:AE)&lt;&gt;"No",_xlfn.XLOOKUP(B334,'Base stats'!B:B,'Base stats'!AE:AE),"")
  )
)</f>
        <v>Forage</v>
      </c>
      <c r="BQ334" s="25" t="str">
        <f>IF(
   AND(
      'Base stats'!AN334="Standard",_xlfn.XLOOKUP(_xlfn.XLOOKUP(B334,'Base stats'!B:B,'Base stats'!E:E),Groups!A:A,Groups!AU:AU)=0,
      OR(
      BO334="True"
      )
   ),
   10,
   IF(
       OR(BM334&lt;&gt;"No",_xlfn.XLOOKUP(_xlfn.XLOOKUP(B334,'Base stats'!B:B,'Base stats'!E:E),Groups!A:A,Groups!AU:AU)=1),
      1,
      "No"
   )
)</f>
        <v>No</v>
      </c>
      <c r="BR334" s="9">
        <f>MROUND((1 + ((0.2*IF(OR(Q334="No",R334="No",R334=0),0,Q334/R334)
+IF(OR(V334="No",S334="No",T334="No"),0,S334/T334*(LEN(V334)-LEN(SUBSTITUTE(V334,",",""))+1))
+IF(OR(X334="No",Y334="No"),0,X334/Y334)
+IF(OR(AD334="No",AE334="No"),0,AD334/AE334)
+IF(OR(AL334="No",AI334="No",AJ334="No"),0,AI334/AJ334*(LEN(AL334)-LEN(SUBSTITUTE(AL334,",",""))+1))
)/(0.2*IF(OR(Q334="No",R334="No",R334=0),0,1)
+IF(OR(V334="No",S334="No",T334="No"),0,LEN(V334)-LEN(SUBSTITUTE(V334,",",""))+1)
+IF(OR(X334="No",Y334="No"),0,1)
+IF(OR(AD334="No",AE334="No"),0,1)
+IF(OR(AL334="No",AI334="No",AJ334="No"),0,LEN(AL334)-LEN(SUBSTITUTE(AL334,",",""))+1))*62%)* 2)*(1 + (AP334 / (IF(_xlfn.XLOOKUP(_xlfn.XLOOKUP(B334,'Base stats'!B:B,'Base stats'!E:E),Groups!A:A,Groups!AJ:AJ)="Photonozoa",0.3,1)) + _xlfn.XLOOKUP(B334,'Base stats'!B:B,'Base stats'!AV:AV) * 1.8) * 2) * 2.5 + 10 + I334 * 2,5)+IF(_xlfn.XLOOKUP(B334,'Base stats'!B:B,'Base stats'!AK:AK)=1,50,0)</f>
        <v>45</v>
      </c>
      <c r="BS334" s="8">
        <f t="shared" si="40"/>
        <v>0.1</v>
      </c>
      <c r="BT334" s="8" t="str">
        <f>_xlfn.XLOOKUP(B334,'Base stats'!B:B,'Base stats'!AF:AF)</f>
        <v>3~10</v>
      </c>
      <c r="BU334" s="2" t="str">
        <f>IF(AND(J334&lt;=0.95,OR(_xlfn.XLOOKUP(B334,'Base stats'!B:B,'Base stats'!AK:AK)=1,_xlfn.XLOOKUP(B334,'Base stats'!B:B,'Base stats'!Y:Y)="Carnivore",_xlfn.XLOOKUP(B334,'Base stats'!B:B,'Base stats'!Y:Y)="Omnivore",BE334&gt;0.1)),"true","false")</f>
        <v>true</v>
      </c>
      <c r="BV334" s="2" t="str">
        <f>IF(_xlfn.XLOOKUP(B334,'Base stats'!B:B,'Base stats'!AI:AI)=1,"true","false")</f>
        <v>false</v>
      </c>
      <c r="BW334" s="25" t="str">
        <f>IF(E334="BaseInsect","AnimalInsect",
IF(J334&gt;0.95,"AnimalExotic",
_xlfn.TEXTJOIN(", ",TRUE,
IF(OR(_xlfn.XLOOKUP(B334,'Base stats'!B:B,'Base stats'!AM:AM)=1,AND(_xlfn.XLOOKUP(B334,'Base stats'!B:B,'Base stats'!O:O)=0,_xlfn.XLOOKUP(_xlfn.XLOOKUP(B334,'Base stats'!B:B,'Base stats'!E:E),Groups!A:A,Groups!B:B)&gt;0)),"AnimalUncommon","AnimalCommon"),
IF(AND(_xlfn.XLOOKUP(B334,'Base stats'!B:B,'Base stats'!O:O)=2,_xlfn.XLOOKUP(_xlfn.XLOOKUP(B334,'Base stats'!B:B,'Base stats'!E:E),Groups!A:A,Groups!D:D)=0),"AnimalPet",IF(AND(_xlfn.XLOOKUP(B334,'Base stats'!B:B,'Base stats'!O:O)&lt;&gt;0,_xlfn.XLOOKUP(_xlfn.XLOOKUP(B334,'Base stats'!B:B,'Base stats'!E:E),Groups!A:A,Groups!D:D)&lt;&gt;0),"AnimalFarm","")),
IF(OR(_xlfn.XLOOKUP(B334,'Base stats'!B:B,'Base stats'!AK:AK)=1,AND(BI334&lt;&gt;"None",BR334&gt;=60),ISNUMBER(SEARCH("Attack target",BP334))),"AnimalFighter","")
)))</f>
        <v>AnimalUncommon</v>
      </c>
      <c r="BX334" s="25" t="str">
        <f>IF(G334="None",TRIM(
SUBSTITUTE(
IF(COUNTIF(Biomes!B$2:B$259,"="&amp;$C334)&gt;0,Biomes!B$1&amp;", ","")&amp;
IF(COUNTIF(Biomes!C$2:C$259,"="&amp;$C334)&gt;0,Biomes!C$1&amp;", ","")&amp;
IF(COUNTIF(Biomes!D$2:D$259,"="&amp;$C334)&gt;0,Biomes!D$1&amp;", ","")&amp;
IF(COUNTIF(Biomes!F$2:F$259,"="&amp;$C334)&gt;0,Biomes!F$1&amp;", ","")&amp;
IF(COUNTIF(Biomes!G$2:G$259,"="&amp;$C334)&gt;0,Biomes!G$1&amp;", ","")&amp;
IF(COUNTIF(Biomes!H$2:H$259,"="&amp;$C334)&gt;0,Biomes!H$1&amp;", ","")&amp;
IF(COUNTIF(Biomes!I$2:I$259,"="&amp;$C334)&gt;0,Biomes!I$1&amp;", ","")&amp;
IF(COUNTIF(Biomes!J$2:J$259,"="&amp;$C334)&gt;0,Biomes!J$1&amp;", ","")&amp;
IF(COUNTIF(Biomes!M$2:M$259,"="&amp;$C334)&gt;0,Biomes!M$1&amp;", ","")&amp;
IF(COUNTIF(Biomes!N$2:N$259,"="&amp;$C334)&gt;0,Biomes!N$1&amp;", ","")&amp;
IF(COUNTIF(Biomes!O$2:O$259,"="&amp;$C334)&gt;0,Biomes!O$1&amp;", ","")&amp;
IF(COUNTIF(Biomes!P$2:P$259,"="&amp;$C334)&gt;0,Biomes!P$1&amp;", ","")&amp;
IF(COUNTIF(Biomes!K$2:K$259,"="&amp;$C334)&gt;0,Biomes!K$1&amp;", ","")&amp;
IF(COUNTIF(Biomes!Q$3:Q$259,"="&amp;$C334)&gt;0,Biomes!Q$1&amp;", ","")&amp;
IF(COUNTIF(Biomes!L$2:L$259,"="&amp;$C334)&gt;0,Biomes!L$1&amp;", ","")&amp;
IF(COUNTIF(Biomes!E$2:E$259,"="&amp;$C334)&gt;0,Biomes!E$1&amp;", ","")&amp;IF(COUNTIF(Biomes!S$2:S$259,"="&amp;$C334)&gt;0,Biomes!S$1&amp;", ","")&amp;
IF(COUNTIF(Biomes!R$2:R$259,"="&amp;$C334)&gt;0,Biomes!R$1&amp;", ",""),", ","")
),_xlfn.XLOOKUP(B334,B:B,BX:BX))</f>
        <v>TemperateForest TemperateSwamp AridShrubland Desert ExtremeDesert TropicalRainforest TropicalSwamp Grasslands Glowforest LavaField Scarlands</v>
      </c>
      <c r="BY334" s="25" t="str">
        <f>IF(_xlfn.XLOOKUP(B334,'Base stats'!B:B,'Base stats'!AJ:AJ)=1,"true","false")</f>
        <v>false</v>
      </c>
      <c r="BZ334" s="25">
        <f>IF(_xlfn.XLOOKUP(B334,'Base stats'!B:B,'Base stats'!N:N)=1,"No",MAX(0.001,MIN(MROUND(IF(AND(BJ334="True",CC334="False"),POWER(10,3.47*LOG10(_xlfn.XLOOKUP(B334,'Base stats'!B:B,'Base stats'!C:C)*1000)^-0.96),POWER(10,4.15*LOG10(_xlfn.XLOOKUP(B334,'Base stats'!B:B,'Base stats'!C:C)*1000)^-0.73))*IF(_xlfn.XLOOKUP(B334,'Base stats'!B:B,'Base stats'!AK:AK)=1,0.5,1)*IF(_xlfn.XLOOKUP(B334,'Base stats'!B:B,'Base stats'!AM:AM)=1,0.1,1)/100,IF(_xlfn.XLOOKUP(B334,'Base stats'!B:B,'Base stats'!AM:AM)=1,0.001,0.025)),0.5)))</f>
        <v>4.1000000000000002E-2</v>
      </c>
      <c r="CA334" s="25">
        <f>IF(P334="Standard","No",MAX(0.001,MIN(MROUND(IF(AND(BJ334="True",CC334="False"),POWER(10,3.47*LOG10(_xlfn.XLOOKUP(B334,'Base stats'!B:B,'Base stats'!C:C)*1000)^-0.96),POWER(10,4.15*LOG10(_xlfn.XLOOKUP(B334,'Base stats'!B:B,'Base stats'!C:C)*1000)^-0.73))*IF(_xlfn.XLOOKUP(B334,'Base stats'!B:B,'Base stats'!AM:AM)=1,0.1,1)*_xlfn.XLOOKUP(B334,'Base stats'!B:B,'Base stats'!R:R)/100,IF(_xlfn.XLOOKUP(B334,'Base stats'!B:B,'Base stats'!AM:AM)=1,0.001,0.025)),0.5)))</f>
        <v>4.1000000000000002E-2</v>
      </c>
      <c r="CB334" s="25" t="str">
        <f>IF(_xlfn.XLOOKUP(_xlfn.XLOOKUP(B334,'Base stats'!B:B,'Base stats'!E:E),Groups!A:A,Groups!AJ:AJ)="Mammal","True","False")</f>
        <v>False</v>
      </c>
      <c r="CC334" s="25" t="str">
        <f>IF(OR(_xlfn.XLOOKUP(_xlfn.XLOOKUP(B334,'Base stats'!B:B,'Base stats'!E:E),Groups!A:A,Groups!AJ:AJ)="Reptile",_xlfn.XLOOKUP(_xlfn.XLOOKUP(B334,'Base stats'!B:B,'Base stats'!E:E),Groups!A:A,Groups!AJ:AJ)="Amphibian",_xlfn.XLOOKUP(_xlfn.XLOOKUP(B334,'Base stats'!B:B,'Base stats'!E:E),Groups!A:A,Groups!AJ:AJ)="Invertebrate"),"True","False")</f>
        <v>True</v>
      </c>
      <c r="CD334" s="25" t="str">
        <f t="shared" si="41"/>
        <v>False</v>
      </c>
      <c r="CE334" s="25" t="str">
        <f>IF(_xlfn.XLOOKUP(_xlfn.XLOOKUP(B334,'Base stats'!B:B,'Base stats'!E:E),Groups!A:A,Groups!AX:AX),"True","False")</f>
        <v>False</v>
      </c>
      <c r="CF334" s="25" t="str">
        <f>IF(_xlfn.XLOOKUP(_xlfn.XLOOKUP(B334,'Base stats'!B:B,'Base stats'!E:E),Groups!A:A,Groups!AY:AY),"True","False")</f>
        <v>False</v>
      </c>
      <c r="CG334" s="25" t="str">
        <f>IF(_xlfn.XLOOKUP(_xlfn.XLOOKUP(B334,'Base stats'!B:B,'Base stats'!E:E),Groups!A:A,Groups!AW:AW),"True","False")</f>
        <v>False</v>
      </c>
      <c r="CH334" s="25" t="str">
        <f>IF(
OR(
_xlfn.XLOOKUP(_xlfn.XLOOKUP(B334,'Base stats'!B:B,'Base stats'!E:E),Groups!A:A,Groups!AZ:AZ)=0,
AND(
_xlfn.XLOOKUP(B334,'Base stats'!B:B,'Base stats'!Y:Y)&lt;&gt;"Carnivore",
_xlfn.XLOOKUP(B334,'Base stats'!B:B,'Base stats'!Y:Y)&lt;&gt;"Omnivore",
_xlfn.XLOOKUP(B334,'Base stats'!B:B,'Base stats'!Y:Y)&lt;&gt;"OmnivoreRough"
)
),
"No",
IF(
_xlfn.XLOOKUP(_xlfn.XLOOKUP(B334,'Base stats'!B:B,'Base stats'!E:E),Groups!A:A,Groups!AZ:AZ)=1,
"Flesh",
IF(
_xlfn.XLOOKUP(_xlfn.XLOOKUP(B334,'Base stats'!B:B,'Base stats'!E:E),Groups!A:A,Groups!AZ:AZ)=2,
"Bone",
""
)
)
)</f>
        <v>Bone</v>
      </c>
      <c r="CI334" s="25" t="str">
        <f>IF(_xlfn.XLOOKUP(_xlfn.XLOOKUP(B334,'Base stats'!B:B,'Base stats'!E:E),Groups!A:A,Groups!BB:BB),"True","False")</f>
        <v>False</v>
      </c>
      <c r="CJ334" s="25" t="str">
        <f>IF(_xlfn.XLOOKUP(_xlfn.XLOOKUP(B334,'Base stats'!B:B,'Base stats'!E:E),Groups!A:A,Groups!BA:BA),"True","False")</f>
        <v>False</v>
      </c>
    </row>
    <row r="335" spans="1:88" ht="16.5" thickTop="1" thickBot="1" x14ac:dyDescent="0.3">
      <c r="A335" s="26" t="s">
        <v>1582</v>
      </c>
      <c r="B335" s="6" t="str">
        <f>_xlfn.XLOOKUP(A335,'Base stats'!A:A,'Base stats'!B:B)</f>
        <v>Petrovorax asphaltus</v>
      </c>
      <c r="C335" s="28" t="s">
        <v>1583</v>
      </c>
      <c r="D335" s="28" t="s">
        <v>1341</v>
      </c>
      <c r="E335" s="28" t="s">
        <v>673</v>
      </c>
      <c r="F335" s="28" t="s">
        <v>673</v>
      </c>
      <c r="G335" s="28" t="s">
        <v>673</v>
      </c>
      <c r="H335" s="2">
        <f>MROUND((
  (IF(AND(_xlfn.XLOOKUP(B335,'Base stats'!B:B,'Base stats'!AL:AL)=0,BI335="None",_xlfn.XLOOKUP(_xlfn.XLOOKUP(B335,'Base stats'!B:B,'Base stats'!E:E),Groups!A:A,Groups!B:B)=0), (18 + BR335 * 2.7) * 0.5,
    IF(AND(_xlfn.XLOOKUP(B335,'Base stats'!B:B,'Base stats'!AL:AL)=0,OR(AO335&lt;0.55,AND(BI335="Intermediate",_xlfn.XLOOKUP(_xlfn.XLOOKUP(B335,'Base stats'!B:B,'Base stats'!E:E),Groups!A:A,Groups!B:B)&lt;2))), (18 + BR335 * 2.7),
      IF(OR(BI335="Advanced",_xlfn.XLOOKUP(B335,'Base stats'!B:B,'Base stats'!AL:AL)=1,_xlfn.XLOOKUP(_xlfn.XLOOKUP(B335,'Base stats'!B:B,'Base stats'!E:E),Groups!A:A,Groups!B:B)=2), (18 + BR335 * 2.7) + 250, (18 + BR335 * 2.7))
    )
  ))
  + AO335 * 80
  + IF(COUNTIF(EggMilk!K$2:K$998, A335) &gt; 0, 125, 0)
  + IF(COUNTIF(EggMilk!P$2:P$998, A335) &gt; 0, 90, 0)
  + IF(COUNTIF(EggMilk!A$2:A$998, A335) &gt; 0, 90, 0)
)
* (0.8 + 0.4 * J335)
* 0.75,25)</f>
        <v>400</v>
      </c>
      <c r="I335" s="2">
        <f>MROUND(ROUNDDOWN(_xlfn.XLOOKUP(B335,'Base stats'!B:B,'Base stats'!L:L)/3.6/(23.3/11),1),0.5)</f>
        <v>1.5</v>
      </c>
      <c r="J335" s="2">
        <f>IF(OR(_xlfn.XLOOKUP(B335,'Base stats'!B:B,'Base stats'!AB:AB)=1,_xlfn.XLOOKUP(_xlfn.XLOOKUP(B335,'Base stats'!B:B,'Base stats'!E:E),Groups!A:A,Groups!C:C)="Untamable"),1,IF(_xlfn.XLOOKUP(B335,'Base stats'!B:B,'Base stats'!AL:AL)=1,0.99,MIN(MROUND((1-0.6282*EXP(-0.459*AO335))*_xlfn.XLOOKUP(_xlfn.XLOOKUP(B335,'Base stats'!B:B,'Base stats'!E:E),Groups!A:A,Groups!C:C)*IF(_xlfn.XLOOKUP(B335,'Base stats'!B:B,'Base stats'!O:O)=1,0.5,IF(_xlfn.XLOOKUP(B335,'Base stats'!B:B,'Base stats'!O:O)=2,0,1)),0.05),IF(AO335&gt;3.5,0.985,0.95))))</f>
        <v>0.75</v>
      </c>
      <c r="K335" s="2">
        <f>ROUNDUP(AO335*_xlfn.XLOOKUP(_xlfn.XLOOKUP(B335,'Base stats'!B:B,'Base stats'!E:E),Groups!A:A,Groups!E:E),0)</f>
        <v>2</v>
      </c>
      <c r="L335" s="2">
        <f>IF(OR(_xlfn.XLOOKUP(_xlfn.XLOOKUP(B335,'Base stats'!B:B,'Base stats'!E:E),Groups!A:A,Groups!F:F)=2,ISNUMBER(SEARCH("SeaIce",BX335)),ISNUMBER(SEARCH("IceSheet",BX335))),-50,IF(OR(ISNUMBER(SEARCH("GlacialPlain",BX335)),ISNUMBER(SEARCH("Tundra",BX335))),-40,IF(OR(ISNUMBER(SEARCH("Alpine",BX335)),ISNUMBER(SEARCH("BorealForest",BX335)),ISNUMBER(SEARCH("ColdBog",BX335))),-30,IF(OR(ISNUMBER(SEARCH("TemperateForest",BX335)),ISNUMBER(SEARCH("TemperateSwamp",BX335))),-20,IF(_xlfn.XLOOKUP(_xlfn.XLOOKUP(B335,'Base stats'!B:B,'Base stats'!E:E),Groups!A:A,Groups!F:F)=1,-15,IF(OR(ISNUMBER(SEARCH("Desert",BX335)),ISNUMBER(SEARCH("ExtremeDesert",BX335))),-10,IF(OR(ISNUMBER(SEARCH("Grasslands",BX335)),ISNUMBER(SEARCH("TropicalRainforest",BX335)),ISNUMBER(SEARCH("TropicalSwamp",BX335))),10,0)))))))-IF(CC335="False",MIN(IFERROR(MAX(MROUND(LOG10(_xlfn.XLOOKUP(B335,'Base stats'!B:B,'Base stats'!C:C)^(2/3))*10,5),5),5),30))-_xlfn.XLOOKUP(B335,'Base stats'!B:B,'Base stats'!P:P)+IF(CC335="True",5,0)</f>
        <v>-15</v>
      </c>
      <c r="M335" s="2">
        <f>IF(OR(_xlfn.XLOOKUP(_xlfn.XLOOKUP(B335,'Base stats'!B:B,'Base stats'!E:E),Groups!A:A,Groups!G:G)=2,ISNUMBER(SEARCH("Desert",BX335)),ISNUMBER(SEARCH("ExtremeDesert",BX335)),ISNUMBER(SEARCH("LavaField",BX335))),50,IF(ISNUMBER(SEARCH("Grasslands",BX335)),45,IF(OR(_xlfn.XLOOKUP(_xlfn.XLOOKUP(B335,'Base stats'!B:B,'Base stats'!E:E),Groups!A:A,Groups!G:G)=1,ISNUMBER(SEARCH("TropicalRainforest",BX335)),ISNUMBER(SEARCH("TropicalSwamp",BX335))),40,IF(OR(ISNUMBER(SEARCH("TemperateForest",BX335)),ISNUMBER(SEARCH("TemperateSwamp",BX335))),35,IF(OR(ISNUMBER(SEARCH("Alpine",BX335)),ISNUMBER(SEARCH("BorealForest",BX335)),ISNUMBER(SEARCH("ColdBog",BX335))),30,IF(ISNUMBER(OR(ISNUMBER(SEARCH("GlacialPlain",BX335)),SEARCH("Tundra",BX335))),25,IF(OR(ISNUMBER(SEARCH("SeaIce",BX335)),ISNUMBER(SEARCH("IceSheet",BX335)),ISNUMBER(SEARCH("TropicalSwamp",BX335))),10,35)))))))+_xlfn.XLOOKUP(B335,'Base stats'!B:B,'Base stats'!Q:Q)</f>
        <v>50</v>
      </c>
      <c r="N335" s="8" t="str">
        <f>IF(
_xlfn.XLOOKUP(
_xlfn.XLOOKUP(B335,'Base stats'!B:B,'Base stats'!E:E),
Groups!A:A,
Groups!L:L
)=1,
MIN(
MROUND(
IF(
_xlfn.XLOOKUP(B335,'Animals CE'!B:B,'Animals CE'!Z:Z)&lt;=1.5,
_xlfn.XLOOKUP(B335,'Animals CE'!B:B,'Animals CE'!Z:Z)/2+0.05,
0.8+
(_xlfn.XLOOKUP(B335,'Animals CE'!B:B,'Animals CE'!Z:Z)-1.5)
*0.02
),
0.05
),
200%
),
"No"
)</f>
        <v>No</v>
      </c>
      <c r="O335" s="8" t="str">
        <f>IF(
_xlfn.XLOOKUP(
_xlfn.XLOOKUP(B335,'Base stats'!B:B,'Base stats'!E:E),
Groups!A:A,
Groups!L:L
)=1,
MIN(
MROUND(
IF(
_xlfn.XLOOKUP(B335,'Animals CE'!B:B,'Animals CE'!AA:AA)&lt;=1.5,
_xlfn.XLOOKUP(B335,'Animals CE'!B:B,'Animals CE'!AA:AA)/2+0.05,
0.8+
(_xlfn.XLOOKUP(B335,'Animals CE'!B:B,'Animals CE'!AA:AA)-1.5)
*0.02
),
0.05
),
200%
),
"No"
)</f>
        <v>No</v>
      </c>
      <c r="P335" s="2">
        <f>_xlfn.XLOOKUP(B335,'Base stats'!B:B,'Base stats'!R:R)</f>
        <v>1</v>
      </c>
      <c r="Q335" s="13">
        <f>MROUND((LOG10(_xlfn.XLOOKUP(B335,'Base stats'!B:B,'Base stats'!AR:AR))*(AO335^0.5)+(_xlfn.XLOOKUP(B335,'Base stats'!B:B,'Base stats'!AR:AR)/1000)^(2/3)+_xlfn.XLOOKUP(B335,'Base stats'!B:B,'Base stats'!BA:BA)/2)+0.5,0.5)</f>
        <v>11</v>
      </c>
      <c r="R335" s="7">
        <f>IF(Q335="No","No",MAX(1,MROUND(_xlfn.XLOOKUP(B335,'Base stats'!B:B,'Base stats'!C:C)^0.165,0.05)))</f>
        <v>2.4000000000000004</v>
      </c>
      <c r="S335" s="13" t="str">
        <f>IF(_xlfn.XLOOKUP(_xlfn.XLOOKUP(B335,'Base stats'!B:B,'Base stats'!E:E),Groups!A:A,Groups!P:P)=0,"No",MROUND((LOG10(_xlfn.XLOOKUP(B335,'Base stats'!B:B,'Base stats'!AS:AS))*(AO335^0.5)+(_xlfn.XLOOKUP(B335,'Base stats'!B:B,'Base stats'!AS:AS)/1000)^(2/3)+_xlfn.XLOOKUP(B335,'Base stats'!B:B,'Base stats'!BA:BA))+_xlfn.XLOOKUP(B335,'Base stats'!B:B,'Base stats'!AY:AY)+0.5,0.5))</f>
        <v>No</v>
      </c>
      <c r="T335" s="7" t="str">
        <f>IF(S335="No","No",MAX(_xlfn.XLOOKUP(_xlfn.XLOOKUP(B335,'Base stats'!B:B,'Base stats'!E:E),Groups!A:A,Groups!Q:Q),MROUND(_xlfn.XLOOKUP(_xlfn.XLOOKUP(B335,'Base stats'!B:B,'Base stats'!E:E),Groups!A:A,Groups!Q:Q)*_xlfn.XLOOKUP(B335,'Base stats'!B:B,'Base stats'!C:C)^0.165,0.05)))</f>
        <v>No</v>
      </c>
      <c r="U335" s="7" t="str">
        <f>IF(S335="No","No",_xlfn.XLOOKUP(_xlfn.XLOOKUP(B335,'Base stats'!B:B,'Base stats'!E:E),Groups!A:A,Groups!R:R))</f>
        <v>No</v>
      </c>
      <c r="V335" s="7" t="str">
        <f>IF(S335="No","No",_xlfn.XLOOKUP(_xlfn.XLOOKUP(B335,'Base stats'!B:B,'Base stats'!E:E),Groups!A:A,Groups!S:S))</f>
        <v>No</v>
      </c>
      <c r="W335" s="7" t="str">
        <f>IF(S335="No","No",_xlfn.XLOOKUP(_xlfn.XLOOKUP(B335,'Base stats'!B:B,'Base stats'!E:E),Groups!A:A,Groups!T:T))</f>
        <v>No</v>
      </c>
      <c r="X335" s="13" t="str">
        <f>IF(_xlfn.XLOOKUP(B335,'Base stats'!B:B,'Base stats'!W:W)="No","No",MROUND((LOG10(_xlfn.XLOOKUP(B335,'Base stats'!B:B,'Base stats'!AU:AU))*(AO335^0.5)+(_xlfn.XLOOKUP(B335,'Base stats'!B:B,'Base stats'!AU:AU)/1000)^(2/3)+_xlfn.XLOOKUP(B335,'Base stats'!B:B,'Base stats'!AZ:AZ))+0.5+IF(_xlfn.XLOOKUP(_xlfn.XLOOKUP(B335,'Base stats'!B:B,'Base stats'!E:E),Groups!A:A,Groups!U:U)&lt;&gt;3,_xlfn.XLOOKUP(B335,'Base stats'!B:B,'Base stats'!BA:BA),0),0.5))</f>
        <v>No</v>
      </c>
      <c r="Y335" s="7" t="str">
        <f>IF(X335="No","No",MAX(_xlfn.XLOOKUP(_xlfn.XLOOKUP(B335,'Base stats'!B:B,'Base stats'!E:E),Groups!A:A,Groups!V:V),MROUND(_xlfn.XLOOKUP(_xlfn.XLOOKUP(B335,'Base stats'!B:B,'Base stats'!E:E),Groups!A:A,Groups!V:V)*_xlfn.XLOOKUP(B335,'Base stats'!B:B,'Base stats'!C:C)^0.165,0.05)))</f>
        <v>No</v>
      </c>
      <c r="Z335" s="7" t="str">
        <f>IF(X335="No","No",_xlfn.XLOOKUP(_xlfn.XLOOKUP(B335,'Base stats'!B:B,'Base stats'!E:E),Groups!A:A,Groups!W:W))</f>
        <v>No</v>
      </c>
      <c r="AA335" s="7" t="str">
        <f>IF(X335="No","No",_xlfn.XLOOKUP(_xlfn.XLOOKUP(B335,'Base stats'!B:B,'Base stats'!E:E),Groups!A:A,Groups!X:X))</f>
        <v>No</v>
      </c>
      <c r="AB335" s="7" t="str">
        <f>IF(X335="No","No",_xlfn.XLOOKUP(_xlfn.XLOOKUP(B335,'Base stats'!B:B,'Base stats'!E:E),Groups!A:A,Groups!Y:Y))</f>
        <v>No</v>
      </c>
      <c r="AC335" s="7" t="str">
        <f>_xlfn.XLOOKUP(Animals!B335,'Base stats'!B:B,'Base stats'!X:X)</f>
        <v>False</v>
      </c>
      <c r="AD335" s="13">
        <f>IF(_xlfn.XLOOKUP(B335,'Base stats'!B:B,'Base stats'!AT:AT)="No","No",MROUND((LOG10(_xlfn.XLOOKUP(B335,'Base stats'!B:B,'Base stats'!AT:AT))*(AO335^0.75)+(_xlfn.XLOOKUP(B335,'Base stats'!B:B,'Base stats'!AT:AT)/1000)^(2/3)+_xlfn.XLOOKUP(B335,'Base stats'!B:B,'Base stats'!AX:AX)+_xlfn.XLOOKUP(B335,'Base stats'!B:B,'Base stats'!BA:BA))+0.5,0.5))</f>
        <v>16</v>
      </c>
      <c r="AE335" s="7">
        <f>IF(AD335="No","No",MAX(_xlfn.XLOOKUP(_xlfn.XLOOKUP(B335,'Base stats'!B:B,'Base stats'!E:E),Groups!A:A,Groups!Z:Z),MROUND(_xlfn.XLOOKUP(_xlfn.XLOOKUP(B335,'Base stats'!B:B,'Base stats'!E:E),Groups!A:A,Groups!Z:Z)*_xlfn.XLOOKUP(B335,'Base stats'!B:B,'Base stats'!C:C)^0.165,0.05)))</f>
        <v>2.4000000000000004</v>
      </c>
      <c r="AF335" s="7" t="str">
        <f>IF(AD335="No","No",_xlfn.XLOOKUP(_xlfn.XLOOKUP(B335,'Base stats'!B:B,'Base stats'!E:E),Groups!A:A,Groups!AA:AA))</f>
        <v>Beak</v>
      </c>
      <c r="AG335" s="7" t="str">
        <f>IF(AD335="No","No",_xlfn.XLOOKUP(_xlfn.XLOOKUP(B335,'Base stats'!B:B,'Base stats'!E:E),Groups!A:A,Groups!AB:AB))</f>
        <v>beak</v>
      </c>
      <c r="AH335" s="7" t="str">
        <f>IF(AD335="No","No",_xlfn.XLOOKUP(_xlfn.XLOOKUP(B335,'Base stats'!B:B,'Base stats'!E:E),Groups!A:A,Groups!AC:AC))</f>
        <v>Bite</v>
      </c>
      <c r="AI335" s="13">
        <f>IF(_xlfn.XLOOKUP(_xlfn.XLOOKUP(B335,'Base stats'!B:B,'Base stats'!E:E),Groups!A:A,Groups!AD:AD)=0,"No",MROUND((LOG10(_xlfn.XLOOKUP(B335,'Base stats'!B:B,'Base stats'!AS:AS))*(AO335^0.75)+(_xlfn.XLOOKUP(B335,'Base stats'!B:B,'Base stats'!AS:AS)/1000)^(2/3)+_xlfn.XLOOKUP(B335,'Base stats'!B:B,'Base stats'!AY:AY)+_xlfn.XLOOKUP(B335,'Base stats'!B:B,'Base stats'!BA:BA))+0.5,0.5))</f>
        <v>14.5</v>
      </c>
      <c r="AJ335" s="7">
        <f>IF(AI335="No","No",MAX(_xlfn.XLOOKUP(_xlfn.XLOOKUP(B335,'Base stats'!B:B,'Base stats'!E:E),Groups!A:A,Groups!AE:AE),MROUND(_xlfn.XLOOKUP(_xlfn.XLOOKUP(B335,'Base stats'!B:B,'Base stats'!E:E),Groups!A:A,Groups!AE:AE)*IF(_xlfn.XLOOKUP(_xlfn.XLOOKUP(B335,'Base stats'!B:B,'Base stats'!E:E),Groups!A:A,Groups!AJ:AJ)="Photonozoa",0.6,1)*_xlfn.XLOOKUP(B335,'Base stats'!B:B,'Base stats'!C:C)^0.165,0.05)))</f>
        <v>1.8</v>
      </c>
      <c r="AK335" s="7" t="str">
        <f>IF(AI335="No","No",_xlfn.XLOOKUP(_xlfn.XLOOKUP(B335,'Base stats'!B:B,'Base stats'!E:E),Groups!A:A,Groups!AF:AF))</f>
        <v>Arms</v>
      </c>
      <c r="AL335" s="7" t="str">
        <f>IF(AI335="No","No",_xlfn.XLOOKUP(_xlfn.XLOOKUP(B335,'Base stats'!B:B,'Base stats'!E:E),Groups!A:A,Groups!AG:AG))</f>
        <v>tentacles</v>
      </c>
      <c r="AM335" s="7" t="str">
        <f>IF(AI335="No","No",_xlfn.XLOOKUP(_xlfn.XLOOKUP(B335,'Base stats'!B:B,'Base stats'!E:E),Groups!A:A,Groups!AH:AH))</f>
        <v>Blunt</v>
      </c>
      <c r="AN335" s="2" t="str">
        <f t="shared" si="35"/>
        <v>No</v>
      </c>
      <c r="AO335" s="2">
        <f>MROUND(IF(AND(_xlfn.XLOOKUP(B335,'Base stats'!B:B,'Base stats'!C:C)&gt;=0.5,_xlfn.XLOOKUP(B335,'Base stats'!B:B,'Base stats'!C:C)&lt;=0.8),
IF(_xlfn.XLOOKUP(B335,'Base stats'!B:B,'Base stats'!C:C)&lt;0.1,0.05,IF(_xlfn.XLOOKUP(B335,'Base stats'!B:B,'Base stats'!C:C)&lt;=70,(_xlfn.XLOOKUP(B335,'Base stats'!B:B,'Base stats'!C:C)/70)^0.426489913056526,IF(_xlfn.XLOOKUP(B335,'Base stats'!B:B,'Base stats'!C:C)&lt;=400,(_xlfn.XLOOKUP(B335,'Base stats'!B:B,'Base stats'!C:C)/70)^0.572811455315093,IF(_xlfn.XLOOKUP(B335,'Base stats'!B:B,'Base stats'!C:C)&lt;=2000,2.71391647193063*(_xlfn.XLOOKUP(B335,'Base stats'!B:B,'Base stats'!C:C)/400)^0.252459582904293,3.74314280240376*(_xlfn.XLOOKUP(B335,'Base stats'!B:B,'Base stats'!C:C)/2000)^0.357012633876913)))),
IF(_xlfn.XLOOKUP(B335,'Base stats'!B:B,'Base stats'!C:C)&lt;0.1,0.05,IF(_xlfn.XLOOKUP(B335,'Base stats'!B:B,'Base stats'!C:C)&lt;0.4,0.1,IF(_xlfn.XLOOKUP(B335,'Base stats'!B:B,'Base stats'!C:C)&lt;=70,(_xlfn.XLOOKUP(B335,'Base stats'!B:B,'Base stats'!C:C)/70)^0.445823913056526,IF(_xlfn.XLOOKUP(B335,'Base stats'!B:B,'Base stats'!C:C)&lt;=400,(_xlfn.XLOOKUP(B335,'Base stats'!B:B,'Base stats'!C:C)/70)^0.572811455315093,IF(_xlfn.XLOOKUP(B335,'Base stats'!B:B,'Base stats'!C:C)&lt;=2000,2.71391647193063*(_xlfn.XLOOKUP(B335,'Base stats'!B:B,'Base stats'!C:C)/400)^0.252459582904293,3.74314280240376*(_xlfn.XLOOKUP(B335,'Base stats'!B:B,'Base stats'!C:C)/2000)^0.357012633876913)))))),
IF(_xlfn.XLOOKUP(B335,'Base stats'!B:B,'Base stats'!C:C)&lt;0.1,0.05,IF(_xlfn.XLOOKUP(B335,'Base stats'!B:B,'Base stats'!C:C)&lt;=100,0.05,IF(_xlfn.XLOOKUP(B335,'Base stats'!B:B,'Base stats'!C:C)&lt;=250,0.1,IF(_xlfn.XLOOKUP(B335,'Base stats'!B:B,'Base stats'!C:C)&lt;=4000,0.25,0.5)))))</f>
        <v>1.8</v>
      </c>
      <c r="AP335" s="8">
        <f>MROUND(AO335*_xlfn.XLOOKUP(_xlfn.XLOOKUP(B335,'Base stats'!B:B,'Base stats'!E:E),Groups!A:A,Groups!AI:AI)*_xlfn.XLOOKUP(B335,'Base stats'!B:B,'Base stats'!Z:Z),0.05)</f>
        <v>1.8</v>
      </c>
      <c r="AQ335" s="8">
        <f>MAX(0.01,MROUND(IF(CC335="True",0.196*(AO335*100*1000)^0.889,IF(_xlfn.XLOOKUP(_xlfn.XLOOKUP(B335,'Base stats'!B:B,'Base stats'!E:E),Groups!A:A,Groups!AJ:AJ)="Bird",10.5*(AO335*100*1000)^0.681,4.82*(AO335*100*1000)^0.734))/(4.82*(1*100*1000)^0.734)/IF(AO335&lt;3.5,2,IF(AO335=3.5,1.5,1.25))*(1+0.132282374779864/(AO335^0.994035016789033+0.00905238001496948)),0.05))</f>
        <v>0.2</v>
      </c>
      <c r="AR335" s="9">
        <f>IFERROR(MROUND(_xlfn.XLOOKUP(B335,'Base stats'!B:B,'Base stats'!H:H)/IF(_xlfn.XLOOKUP(B335,'Base stats'!B:B,'Base stats'!I:I)&lt;&gt;1,(122.5/70),1.2),IF(_xlfn.XLOOKUP(B335,'Base stats'!B:B,'Base stats'!H:H)&gt;=30,5,IF(_xlfn.XLOOKUP(B335,'Base stats'!B:B,'Base stats'!H:H)&gt;=15,3,IF(_xlfn.XLOOKUP(B335,'Base stats'!B:B,'Base stats'!H:H)&gt;=10,2,1)))),"Immortal")</f>
        <v>18</v>
      </c>
      <c r="AS335" s="35">
        <f>IFERROR(IF(OR(_xlfn.XLOOKUP(B335,'Base stats'!B:B,'Base stats'!F:F)="Atypical reproduction",_xlfn.XLOOKUP(B335,'Base stats'!B:B,'Base stats'!F:F)="Lay eggs"),"Lay eggs",MIN(20,MAX(5.5,ROUND(((_xlfn.XLOOKUP(B335,'Base stats'!B:B,'Base stats'!F:F)-25)*(14.5/615) + 5.5)*2,0)/2))),"Unknown")</f>
        <v>9.5</v>
      </c>
      <c r="AT335" s="8">
        <f>IF(_xlfn.XLOOKUP(B335,'Base stats'!B:B,'Base stats'!G:G)="Atypical reproduction","No",IFERROR(MAX(IF(_xlfn.XLOOKUP(B335,'Base stats'!B:B,'Base stats'!G:G)&lt;0.5,0.2,0.3),MROUND(_xlfn.XLOOKUP(B335,'Base stats'!B:B,'Base stats'!G:G)/(365/60),0.2)),"Unknown"))</f>
        <v>0.3</v>
      </c>
      <c r="AU335" s="8">
        <f t="shared" si="36"/>
        <v>0.15000000000000002</v>
      </c>
      <c r="AV335" s="8">
        <f>IFERROR(IFERROR(MROUND(_xlfn.XLOOKUP(B335,'Base stats'!B:B,'Base stats'!J:J),0.1),"Lay eggs"),"Cannot breed")</f>
        <v>1</v>
      </c>
      <c r="AW335" s="2" t="str">
        <f t="shared" si="37"/>
        <v>false</v>
      </c>
      <c r="AX335" s="2" t="str">
        <f>IF(_xlfn.XLOOKUP(_xlfn.XLOOKUP(Animals!B335,'Base stats'!B:B,'Base stats'!E:E),Groups!A:A,Groups!AK:AK)=1,"true","false")</f>
        <v>false</v>
      </c>
      <c r="AY335" s="25" t="str">
        <f>IF(_xlfn.XLOOKUP(B335,'Base stats'!B:B,'Base stats'!Y:Y)="Liquor","Liquor, CarnivoreAnimalStrict",IF(AND(_xlfn.XLOOKUP(B335,'Base stats'!B:B,'Base stats'!Y:Y)="Carnivore",_xlfn.XLOOKUP(_xlfn.XLOOKUP(B335,'Base stats'!B:B,'Base stats'!E:E),Groups!A:A,Groups!AJ:AJ)="Photonozoa"),"CarnivoreAnimalStrict, OvivoreAnimal",IF(_xlfn.XLOOKUP(B335,'Base stats'!B:B,'Base stats'!Y:Y)="Carnivore","CarnivoreAnimal, OvivoreAnimal",IF(_xlfn.XLOOKUP(B335,'Base stats'!B:B,'Base stats'!Y:Y)="Dendrovore","VegetarianRoughAnimal, DendrovoreAnimal",IF(_xlfn.XLOOKUP(B335,'Base stats'!B:B,'Base stats'!Y:Y)="Herbivore","VegetarianRoughAnimal",IF(_xlfn.XLOOKUP(B335,'Base stats'!B:B,'Base stats'!Y:Y)="OmnivoreRough","OmnivoreRoughAnimal, OvivoreAnimal","OmnivoreAnimal, OvivoreAnimal"))))))</f>
        <v>OmnivoreAnimal, OvivoreAnimal</v>
      </c>
      <c r="AZ335" s="2">
        <f>IF(_xlfn.XLOOKUP(_xlfn.XLOOKUP(B335,'Base stats'!B:B,'Base stats'!E:E),Groups!A:A,Groups!D:D)=1,MROUND((1-J335)*5+1,2)*IF(J335&lt;=0.4,2,1),"No")</f>
        <v>2</v>
      </c>
      <c r="BA335" s="2" t="str">
        <f>IF(AND(_xlfn.XLOOKUP(B335,'Base stats'!B:B,'Base stats'!AH:AH)="&lt;li&gt;Seal&lt;/li&gt;",G335="Odyssey"),"&lt;li&gt;AEXP_Seal&lt;/li&gt;",_xlfn.XLOOKUP(B335,'Base stats'!B:B,'Base stats'!AH:AH))</f>
        <v>&lt;li&gt;AA_SandSquid&lt;/li&gt;</v>
      </c>
      <c r="BB335" s="2" t="str">
        <f>_xlfn.XLOOKUP(B335,'Base stats'!B:B,'Base stats'!AG:AG)</f>
        <v>No</v>
      </c>
      <c r="BC335" s="23" t="str">
        <f>_xlfn.XLOOKUP(_xlfn.XLOOKUP(B335,'Base stats'!B:B,'Base stats'!E:E),Groups!A:A,Groups!AL:AL)</f>
        <v>CephalopodBiped</v>
      </c>
      <c r="BD335" s="23">
        <f>MIN(1,MROUND(IF(AND(AO335&lt;0.5,_xlfn.XLOOKUP(B335,'Base stats'!B:B,'Base stats'!AA:AA)=0),0,IF(OR(_xlfn.XLOOKUP(Animals!B335,'Base stats'!B:B,'Base stats'!O:O)=2,_xlfn.XLOOKUP(_xlfn.XLOOKUP(B335,'Base stats'!B:B,'Base stats'!E:E),Groups!A:A,Groups!AN:AN)=0),0,_xlfn.XLOOKUP(_xlfn.XLOOKUP(B335,'Base stats'!B:B,'Base stats'!E:E),Groups!A:A,Groups!AN:AN)/IF(_xlfn.XLOOKUP(Animals!B335,'Base stats'!B:B,'Base stats'!O:O)=1,2,1)))+_xlfn.XLOOKUP(B335,'Base stats'!B:B,'Base stats'!AC:AC),0.005))</f>
        <v>2.5000000000000001E-2</v>
      </c>
      <c r="BE335" s="23">
        <f>MIN(1,MROUND(IF(AND(AO335&lt;0.5,_xlfn.XLOOKUP(B335,'Base stats'!B:B,'Base stats'!AA:AA)=0),0,IF(_xlfn.XLOOKUP(_xlfn.XLOOKUP(B335,'Base stats'!B:B,'Base stats'!E:E),Groups!A:A,Groups!AO:AO)=0,0,_xlfn.XLOOKUP(_xlfn.XLOOKUP(B335,'Base stats'!B:B,'Base stats'!E:E),Groups!A:A,Groups!AO:AO)/IF(_xlfn.XLOOKUP(Animals!B335,'Base stats'!B:B,'Base stats'!O:O)=2,3,1)))+_xlfn.XLOOKUP(B335,'Base stats'!B:B,'Base stats'!AD:AD),0.005))</f>
        <v>0.1</v>
      </c>
      <c r="BF335" s="2" t="str">
        <f>IF(J335&gt;0.3,"No",_xlfn.XLOOKUP(_xlfn.XLOOKUP(Animals!B335,'Base stats'!B:B,'Base stats'!E:E),Groups!A:A,Groups!AP:AP))</f>
        <v>No</v>
      </c>
      <c r="BG335" s="2" t="str">
        <f>IF(AND(J335&lt;=0.65,_xlfn.XLOOKUP(_xlfn.XLOOKUP(Animals!B335,'Base stats'!B:B,'Base stats'!E:E),Groups!A:A,Groups!AP:AP)&lt;&gt;"No",_xlfn.XLOOKUP(_xlfn.XLOOKUP(B335,'Base stats'!B:B,'Base stats'!E:E),Groups!A:A,Groups!D:D)=0),MROUND((80/3)*IF(_xlfn.XLOOKUP(B335,'Base stats'!B:B,'Base stats'!O:O)=2,0.2,AO335) + 24*(1-IF(BF335="No",0,BF335)) + 16/3, 12),"No")</f>
        <v>No</v>
      </c>
      <c r="BH335" s="2">
        <f>IF(AND(_xlfn.XLOOKUP(_xlfn.XLOOKUP(B335,'Base stats'!B:B,'Base stats'!E:E),Groups!A:A,Groups!AQ:AQ)=1,AO335&lt;=0.35),8,12)</f>
        <v>12</v>
      </c>
      <c r="BI335" s="2" t="str">
        <f>IF(_xlfn.XLOOKUP(_xlfn.XLOOKUP(B335,'Base stats'!B:B,'Base stats'!E:E),Groups!A:A,Groups!D:D)=0,_xlfn.XLOOKUP(_xlfn.XLOOKUP(B335,'Base stats'!B:B,'Base stats'!E:E),Groups!A:A,Groups!AR:AR),"None")</f>
        <v>None</v>
      </c>
      <c r="BJ335" s="2" t="str">
        <f>IF(AND(_xlfn.XLOOKUP(_xlfn.XLOOKUP(B335,'Base stats'!B:B,'Base stats'!E:E),Groups!A:A,Groups!AS:AS)=1,OR(_xlfn.XLOOKUP(B335,'Base stats'!B:B,'Base stats'!Y:Y)="Carnivore",_xlfn.XLOOKUP(B335,'Base stats'!B:B,'Base stats'!Y:Y)="Omnivore")),"true","false")</f>
        <v>false</v>
      </c>
      <c r="BK335" s="2" t="str">
        <f>IF(BJ335="true",MROUND(IF(AND(AO335&gt;0.5,OR(_xlfn.XLOOKUP(_xlfn.XLOOKUP(B335,'Base stats'!B:B,'Base stats'!E:E),Groups!A:A,Groups!AJ:AJ)="Photonozoa",_xlfn.XLOOKUP(_xlfn.XLOOKUP(B335,'Base stats'!B:B,'Base stats'!E:E),Groups!A:A,Groups!AJ:AJ)="Mammal")),Animals!AO335*1.75*IF(AW335="true",1.5,1),IF(AO335&lt;0.5,Animals!AO335*0.5,Animals!AO335)),IF(AO335&gt;2,0.5,IF(AO335&gt;0.5,0.25,0.1))),"No")</f>
        <v>No</v>
      </c>
      <c r="BL335" s="2">
        <f t="shared" si="38"/>
        <v>0</v>
      </c>
      <c r="BM335" s="25" t="str">
        <f>IF(_xlfn.XLOOKUP(B335,'Base stats'!B:B,'Base stats'!AN:AN)="Standard","No",MROUND((_xlfn.XLOOKUP(B335,'Base stats'!B:B,'Base stats'!AN:AN)/3.6)/I335,0.1))</f>
        <v>No</v>
      </c>
      <c r="BN335" s="25" t="str">
        <f t="shared" si="39"/>
        <v>false</v>
      </c>
      <c r="BO335" s="25" t="str">
        <f>IF(AND(OR(_xlfn.XLOOKUP(B335,'Base stats'!B:B,'Base stats'!Y:Y)="Carnivore",_xlfn.XLOOKUP(B335,'Base stats'!B:B,'Base stats'!Y:Y)="Omnivore",_xlfn.XLOOKUP(B335,'Base stats'!B:B,'Base stats'!Y:Y)="OmnivoreRough"),_xlfn.XLOOKUP(_xlfn.XLOOKUP(B335,'Base stats'!B:B,'Base stats'!E:E),Groups!A:A,Groups!AT:AT)=1),"true","false")</f>
        <v>false</v>
      </c>
      <c r="BP335" s="25" t="str" cm="1">
        <f t="array" ref="BP335">IF(
  _xlfn.TEXTJOIN(", ",TRUE,
    IF(AND(BJ335="true",AO335&gt;0.5,BI335&lt;&gt;"None"),"AttackTarget",""),
    IF(AND(_xlfn.XLOOKUP(_xlfn.XLOOKUP(B335,'Base stats'!B:B,'Base stats'!E:E),Groups!A:A,Groups!AJ:AJ="Mammal"),OR(_xlfn.XLOOKUP(B335,'Base stats'!B:B,'Base stats'!Y:Y)="Omnivore",_xlfn.XLOOKUP(B335,'Base stats'!B:B,'Base stats'!Y:Y)="OmnivoreRough")),"Forage",""),
    IF(BG335&lt;=36,"Comfort",""),
    IF(_xlfn.XLOOKUP(B335,'Base stats'!B:B,'Base stats'!AE:AE)&lt;&gt;"No",_xlfn.XLOOKUP(B335,'Base stats'!B:B,'Base stats'!AE:AE),"")
  ) = "",
  "No",
  _xlfn.TEXTJOIN(", ",TRUE,
    IF(AND(BJ335="true",AO335&gt;0.5,BI335&lt;&gt;"None"),"AttackTarget",""),
    IF(AND(_xlfn.XLOOKUP(_xlfn.XLOOKUP(B335,'Base stats'!B:B,'Base stats'!E:E),Groups!A:A,Groups!AJ:AJ="Mammal"),OR(_xlfn.XLOOKUP(B335,'Base stats'!B:B,'Base stats'!Y:Y)="Omnivore",_xlfn.XLOOKUP(B335,'Base stats'!B:B,'Base stats'!Y:Y)="OmnivoreRough")),"Forage",""),
    IF(BG335&lt;=36,"Comfort",""),
    IF(_xlfn.XLOOKUP(B335,'Base stats'!B:B,'Base stats'!AE:AE)&lt;&gt;"No",_xlfn.XLOOKUP(B335,'Base stats'!B:B,'Base stats'!AE:AE),"")
  )
)</f>
        <v>No</v>
      </c>
      <c r="BQ335" s="25" t="str">
        <f>IF(
   AND(
      'Base stats'!AN335="Standard",_xlfn.XLOOKUP(_xlfn.XLOOKUP(B335,'Base stats'!B:B,'Base stats'!E:E),Groups!A:A,Groups!AU:AU)=0,
      OR(
      BO335="True"
      )
   ),
   10,
   IF(
       OR(BM335&lt;&gt;"No",_xlfn.XLOOKUP(_xlfn.XLOOKUP(B335,'Base stats'!B:B,'Base stats'!E:E),Groups!A:A,Groups!AU:AU)=1),
      1,
      "No"
   )
)</f>
        <v>No</v>
      </c>
      <c r="BR335" s="9">
        <f>MROUND((1 + ((0.2*IF(OR(Q335="No",R335="No",R335=0),0,Q335/R335)
+IF(OR(V335="No",S335="No",T335="No"),0,S335/T335*(LEN(V335)-LEN(SUBSTITUTE(V335,",",""))+1))
+IF(OR(X335="No",Y335="No"),0,X335/Y335)
+IF(OR(AD335="No",AE335="No"),0,AD335/AE335)
+IF(OR(AL335="No",AI335="No",AJ335="No"),0,AI335/AJ335*(LEN(AL335)-LEN(SUBSTITUTE(AL335,",",""))+1))
)/(0.2*IF(OR(Q335="No",R335="No",R335=0),0,1)
+IF(OR(V335="No",S335="No",T335="No"),0,LEN(V335)-LEN(SUBSTITUTE(V335,",",""))+1)
+IF(OR(X335="No",Y335="No"),0,1)
+IF(OR(AD335="No",AE335="No"),0,1)
+IF(OR(AL335="No",AI335="No",AJ335="No"),0,LEN(AL335)-LEN(SUBSTITUTE(AL335,",",""))+1))*62%)* 2)*(1 + (AP335 / (IF(_xlfn.XLOOKUP(_xlfn.XLOOKUP(B335,'Base stats'!B:B,'Base stats'!E:E),Groups!A:A,Groups!AJ:AJ)="Photonozoa",0.3,1)) + _xlfn.XLOOKUP(B335,'Base stats'!B:B,'Base stats'!AV:AV) * 1.8) * 2) * 2.5 + 10 + I335 * 2,5)+IF(_xlfn.XLOOKUP(B335,'Base stats'!B:B,'Base stats'!AK:AK)=1,50,0)</f>
        <v>125</v>
      </c>
      <c r="BS335" s="8">
        <f t="shared" si="40"/>
        <v>0.5</v>
      </c>
      <c r="BT335" s="8" t="str">
        <f>_xlfn.XLOOKUP(B335,'Base stats'!B:B,'Base stats'!AF:AF)</f>
        <v>No</v>
      </c>
      <c r="BU335" s="2" t="str">
        <f>IF(AND(J335&lt;=0.95,OR(_xlfn.XLOOKUP(B335,'Base stats'!B:B,'Base stats'!AK:AK)=1,_xlfn.XLOOKUP(B335,'Base stats'!B:B,'Base stats'!Y:Y)="Carnivore",_xlfn.XLOOKUP(B335,'Base stats'!B:B,'Base stats'!Y:Y)="Omnivore",BE335&gt;0.1)),"true","false")</f>
        <v>true</v>
      </c>
      <c r="BV335" s="2" t="str">
        <f>IF(_xlfn.XLOOKUP(B335,'Base stats'!B:B,'Base stats'!AI:AI)=1,"true","false")</f>
        <v>false</v>
      </c>
      <c r="BW335" s="25" t="str">
        <f>IF(E335="BaseInsect","AnimalInsect",
IF(J335&gt;0.95,"AnimalExotic",
_xlfn.TEXTJOIN(", ",TRUE,
IF(OR(_xlfn.XLOOKUP(B335,'Base stats'!B:B,'Base stats'!AM:AM)=1,AND(_xlfn.XLOOKUP(B335,'Base stats'!B:B,'Base stats'!O:O)=0,_xlfn.XLOOKUP(_xlfn.XLOOKUP(B335,'Base stats'!B:B,'Base stats'!E:E),Groups!A:A,Groups!B:B)&gt;0)),"AnimalUncommon","AnimalCommon"),
IF(AND(_xlfn.XLOOKUP(B335,'Base stats'!B:B,'Base stats'!O:O)=2,_xlfn.XLOOKUP(_xlfn.XLOOKUP(B335,'Base stats'!B:B,'Base stats'!E:E),Groups!A:A,Groups!D:D)=0),"AnimalPet",IF(AND(_xlfn.XLOOKUP(B335,'Base stats'!B:B,'Base stats'!O:O)&lt;&gt;0,_xlfn.XLOOKUP(_xlfn.XLOOKUP(B335,'Base stats'!B:B,'Base stats'!E:E),Groups!A:A,Groups!D:D)&lt;&gt;0),"AnimalFarm","")),
IF(OR(_xlfn.XLOOKUP(B335,'Base stats'!B:B,'Base stats'!AK:AK)=1,AND(BI335&lt;&gt;"None",BR335&gt;=60),ISNUMBER(SEARCH("Attack target",BP335))),"AnimalFighter","")
)))</f>
        <v>AnimalUncommon</v>
      </c>
      <c r="BX335" s="25" t="str">
        <f>IF(G335="None",TRIM(
SUBSTITUTE(
IF(COUNTIF(Biomes!B$2:B$259,"="&amp;$C335)&gt;0,Biomes!B$1&amp;", ","")&amp;
IF(COUNTIF(Biomes!C$2:C$259,"="&amp;$C335)&gt;0,Biomes!C$1&amp;", ","")&amp;
IF(COUNTIF(Biomes!D$2:D$259,"="&amp;$C335)&gt;0,Biomes!D$1&amp;", ","")&amp;
IF(COUNTIF(Biomes!F$2:F$259,"="&amp;$C335)&gt;0,Biomes!F$1&amp;", ","")&amp;
IF(COUNTIF(Biomes!G$2:G$259,"="&amp;$C335)&gt;0,Biomes!G$1&amp;", ","")&amp;
IF(COUNTIF(Biomes!H$2:H$259,"="&amp;$C335)&gt;0,Biomes!H$1&amp;", ","")&amp;
IF(COUNTIF(Biomes!I$2:I$259,"="&amp;$C335)&gt;0,Biomes!I$1&amp;", ","")&amp;
IF(COUNTIF(Biomes!J$2:J$259,"="&amp;$C335)&gt;0,Biomes!J$1&amp;", ","")&amp;
IF(COUNTIF(Biomes!M$2:M$259,"="&amp;$C335)&gt;0,Biomes!M$1&amp;", ","")&amp;
IF(COUNTIF(Biomes!N$2:N$259,"="&amp;$C335)&gt;0,Biomes!N$1&amp;", ","")&amp;
IF(COUNTIF(Biomes!O$2:O$259,"="&amp;$C335)&gt;0,Biomes!O$1&amp;", ","")&amp;
IF(COUNTIF(Biomes!P$2:P$259,"="&amp;$C335)&gt;0,Biomes!P$1&amp;", ","")&amp;
IF(COUNTIF(Biomes!K$2:K$259,"="&amp;$C335)&gt;0,Biomes!K$1&amp;", ","")&amp;
IF(COUNTIF(Biomes!Q$3:Q$259,"="&amp;$C335)&gt;0,Biomes!Q$1&amp;", ","")&amp;
IF(COUNTIF(Biomes!L$2:L$259,"="&amp;$C335)&gt;0,Biomes!L$1&amp;", ","")&amp;
IF(COUNTIF(Biomes!E$2:E$259,"="&amp;$C335)&gt;0,Biomes!E$1&amp;", ","")&amp;IF(COUNTIF(Biomes!S$2:S$259,"="&amp;$C335)&gt;0,Biomes!S$1&amp;", ","")&amp;
IF(COUNTIF(Biomes!R$2:R$259,"="&amp;$C335)&gt;0,Biomes!R$1&amp;", ",""),", ","")
),_xlfn.XLOOKUP(B335,B:B,BX:BX))</f>
        <v>TemperateForest TemperateSwamp AridShrubland Desert ExtremeDesert TropicalRainforest TropicalSwamp Grasslands Glowforest LavaField Scarlands</v>
      </c>
      <c r="BY335" s="25" t="str">
        <f>IF(_xlfn.XLOOKUP(B335,'Base stats'!B:B,'Base stats'!AJ:AJ)=1,"true","false")</f>
        <v>false</v>
      </c>
      <c r="BZ335" s="25" t="str">
        <f>IF(_xlfn.XLOOKUP(B335,'Base stats'!B:B,'Base stats'!N:N)=1,"No",MAX(0.001,MIN(MROUND(IF(AND(BJ335="True",CC335="False"),POWER(10,3.47*LOG10(_xlfn.XLOOKUP(B335,'Base stats'!B:B,'Base stats'!C:C)*1000)^-0.96),POWER(10,4.15*LOG10(_xlfn.XLOOKUP(B335,'Base stats'!B:B,'Base stats'!C:C)*1000)^-0.73))*IF(_xlfn.XLOOKUP(B335,'Base stats'!B:B,'Base stats'!AK:AK)=1,0.5,1)*IF(_xlfn.XLOOKUP(B335,'Base stats'!B:B,'Base stats'!AM:AM)=1,0.1,1)/100,IF(_xlfn.XLOOKUP(B335,'Base stats'!B:B,'Base stats'!AM:AM)=1,0.001,0.025)),0.5)))</f>
        <v>No</v>
      </c>
      <c r="CA335" s="25">
        <f>IF(P335="Standard","No",MAX(0.001,MIN(MROUND(IF(AND(BJ335="True",CC335="False"),POWER(10,3.47*LOG10(_xlfn.XLOOKUP(B335,'Base stats'!B:B,'Base stats'!C:C)*1000)^-0.96),POWER(10,4.15*LOG10(_xlfn.XLOOKUP(B335,'Base stats'!B:B,'Base stats'!C:C)*1000)^-0.73))*IF(_xlfn.XLOOKUP(B335,'Base stats'!B:B,'Base stats'!AM:AM)=1,0.1,1)*_xlfn.XLOOKUP(B335,'Base stats'!B:B,'Base stats'!R:R)/100,IF(_xlfn.XLOOKUP(B335,'Base stats'!B:B,'Base stats'!AM:AM)=1,0.001,0.025)),0.5)))</f>
        <v>1.7000000000000001E-2</v>
      </c>
      <c r="CB335" s="25" t="str">
        <f>IF(_xlfn.XLOOKUP(_xlfn.XLOOKUP(B335,'Base stats'!B:B,'Base stats'!E:E),Groups!A:A,Groups!AJ:AJ)="Mammal","True","False")</f>
        <v>False</v>
      </c>
      <c r="CC335" s="25" t="str">
        <f>IF(OR(_xlfn.XLOOKUP(_xlfn.XLOOKUP(B335,'Base stats'!B:B,'Base stats'!E:E),Groups!A:A,Groups!AJ:AJ)="Reptile",_xlfn.XLOOKUP(_xlfn.XLOOKUP(B335,'Base stats'!B:B,'Base stats'!E:E),Groups!A:A,Groups!AJ:AJ)="Amphibian",_xlfn.XLOOKUP(_xlfn.XLOOKUP(B335,'Base stats'!B:B,'Base stats'!E:E),Groups!A:A,Groups!AJ:AJ)="Invertebrate"),"True","False")</f>
        <v>True</v>
      </c>
      <c r="CD335" s="25" t="str">
        <f t="shared" si="41"/>
        <v>False</v>
      </c>
      <c r="CE335" s="25" t="str">
        <f>IF(_xlfn.XLOOKUP(_xlfn.XLOOKUP(B335,'Base stats'!B:B,'Base stats'!E:E),Groups!A:A,Groups!AX:AX),"True","False")</f>
        <v>False</v>
      </c>
      <c r="CF335" s="25" t="str">
        <f>IF(_xlfn.XLOOKUP(_xlfn.XLOOKUP(B335,'Base stats'!B:B,'Base stats'!E:E),Groups!A:A,Groups!AY:AY),"True","False")</f>
        <v>False</v>
      </c>
      <c r="CG335" s="25" t="str">
        <f>IF(_xlfn.XLOOKUP(_xlfn.XLOOKUP(B335,'Base stats'!B:B,'Base stats'!E:E),Groups!A:A,Groups!AW:AW),"True","False")</f>
        <v>False</v>
      </c>
      <c r="CH335" s="25" t="str">
        <f>IF(
OR(
_xlfn.XLOOKUP(_xlfn.XLOOKUP(B335,'Base stats'!B:B,'Base stats'!E:E),Groups!A:A,Groups!AZ:AZ)=0,
AND(
_xlfn.XLOOKUP(B335,'Base stats'!B:B,'Base stats'!Y:Y)&lt;&gt;"Carnivore",
_xlfn.XLOOKUP(B335,'Base stats'!B:B,'Base stats'!Y:Y)&lt;&gt;"Omnivore",
_xlfn.XLOOKUP(B335,'Base stats'!B:B,'Base stats'!Y:Y)&lt;&gt;"OmnivoreRough"
)
),
"No",
IF(
_xlfn.XLOOKUP(_xlfn.XLOOKUP(B335,'Base stats'!B:B,'Base stats'!E:E),Groups!A:A,Groups!AZ:AZ)=1,
"Flesh",
IF(
_xlfn.XLOOKUP(_xlfn.XLOOKUP(B335,'Base stats'!B:B,'Base stats'!E:E),Groups!A:A,Groups!AZ:AZ)=2,
"Bone",
""
)
)
)</f>
        <v>No</v>
      </c>
      <c r="CI335" s="25" t="str">
        <f>IF(_xlfn.XLOOKUP(_xlfn.XLOOKUP(B335,'Base stats'!B:B,'Base stats'!E:E),Groups!A:A,Groups!BB:BB),"True","False")</f>
        <v>False</v>
      </c>
      <c r="CJ335" s="25" t="str">
        <f>IF(_xlfn.XLOOKUP(_xlfn.XLOOKUP(B335,'Base stats'!B:B,'Base stats'!E:E),Groups!A:A,Groups!BA:BA),"True","False")</f>
        <v>False</v>
      </c>
    </row>
    <row r="336" spans="1:88" ht="16.5" thickTop="1" thickBot="1" x14ac:dyDescent="0.3">
      <c r="A336" s="26" t="s">
        <v>1584</v>
      </c>
      <c r="B336" s="6" t="str">
        <f>_xlfn.XLOOKUP(A336,'Base stats'!A:A,'Base stats'!B:B)</f>
        <v>Teratomor primordius</v>
      </c>
      <c r="C336" s="28" t="s">
        <v>1585</v>
      </c>
      <c r="D336" s="28" t="s">
        <v>1341</v>
      </c>
      <c r="E336" s="28" t="s">
        <v>673</v>
      </c>
      <c r="F336" s="28" t="s">
        <v>673</v>
      </c>
      <c r="G336" s="28" t="s">
        <v>673</v>
      </c>
      <c r="H336" s="2">
        <f>MROUND((
  (IF(AND(_xlfn.XLOOKUP(B336,'Base stats'!B:B,'Base stats'!AL:AL)=0,BI336="None",_xlfn.XLOOKUP(_xlfn.XLOOKUP(B336,'Base stats'!B:B,'Base stats'!E:E),Groups!A:A,Groups!B:B)=0), (18 + BR336 * 2.7) * 0.5,
    IF(AND(_xlfn.XLOOKUP(B336,'Base stats'!B:B,'Base stats'!AL:AL)=0,OR(AO336&lt;0.55,AND(BI336="Intermediate",_xlfn.XLOOKUP(_xlfn.XLOOKUP(B336,'Base stats'!B:B,'Base stats'!E:E),Groups!A:A,Groups!B:B)&lt;2))), (18 + BR336 * 2.7),
      IF(OR(BI336="Advanced",_xlfn.XLOOKUP(B336,'Base stats'!B:B,'Base stats'!AL:AL)=1,_xlfn.XLOOKUP(_xlfn.XLOOKUP(B336,'Base stats'!B:B,'Base stats'!E:E),Groups!A:A,Groups!B:B)=2), (18 + BR336 * 2.7) + 250, (18 + BR336 * 2.7))
    )
  ))
  + AO336 * 80
  + IF(COUNTIF(EggMilk!K$2:K$998, A336) &gt; 0, 125, 0)
  + IF(COUNTIF(EggMilk!P$2:P$998, A336) &gt; 0, 90, 0)
  + IF(COUNTIF(EggMilk!A$2:A$998, A336) &gt; 0, 90, 0)
)
* (0.8 + 0.4 * J336)
* 0.75,25)</f>
        <v>700</v>
      </c>
      <c r="I336" s="2">
        <f>MROUND(ROUNDDOWN(_xlfn.XLOOKUP(B336,'Base stats'!B:B,'Base stats'!L:L)/3.6/(23.3/11),1),0.5)</f>
        <v>1.5</v>
      </c>
      <c r="J336" s="2">
        <f>IF(OR(_xlfn.XLOOKUP(B336,'Base stats'!B:B,'Base stats'!AB:AB)=1,_xlfn.XLOOKUP(_xlfn.XLOOKUP(B336,'Base stats'!B:B,'Base stats'!E:E),Groups!A:A,Groups!C:C)="Untamable"),1,IF(_xlfn.XLOOKUP(B336,'Base stats'!B:B,'Base stats'!AL:AL)=1,0.99,MIN(MROUND((1-0.6282*EXP(-0.459*AO336))*_xlfn.XLOOKUP(_xlfn.XLOOKUP(B336,'Base stats'!B:B,'Base stats'!E:E),Groups!A:A,Groups!C:C)*IF(_xlfn.XLOOKUP(B336,'Base stats'!B:B,'Base stats'!O:O)=1,0.5,IF(_xlfn.XLOOKUP(B336,'Base stats'!B:B,'Base stats'!O:O)=2,0,1)),0.05),IF(AO336&gt;3.5,0.985,0.95))))</f>
        <v>0.8</v>
      </c>
      <c r="K336" s="2">
        <f>ROUNDUP(AO336*_xlfn.XLOOKUP(_xlfn.XLOOKUP(B336,'Base stats'!B:B,'Base stats'!E:E),Groups!A:A,Groups!E:E),0)</f>
        <v>3</v>
      </c>
      <c r="L336" s="2">
        <f>IF(OR(_xlfn.XLOOKUP(_xlfn.XLOOKUP(B336,'Base stats'!B:B,'Base stats'!E:E),Groups!A:A,Groups!F:F)=2,ISNUMBER(SEARCH("SeaIce",BX336)),ISNUMBER(SEARCH("IceSheet",BX336))),-50,IF(OR(ISNUMBER(SEARCH("GlacialPlain",BX336)),ISNUMBER(SEARCH("Tundra",BX336))),-40,IF(OR(ISNUMBER(SEARCH("Alpine",BX336)),ISNUMBER(SEARCH("BorealForest",BX336)),ISNUMBER(SEARCH("ColdBog",BX336))),-30,IF(OR(ISNUMBER(SEARCH("TemperateForest",BX336)),ISNUMBER(SEARCH("TemperateSwamp",BX336))),-20,IF(_xlfn.XLOOKUP(_xlfn.XLOOKUP(B336,'Base stats'!B:B,'Base stats'!E:E),Groups!A:A,Groups!F:F)=1,-15,IF(OR(ISNUMBER(SEARCH("Desert",BX336)),ISNUMBER(SEARCH("ExtremeDesert",BX336))),-10,IF(OR(ISNUMBER(SEARCH("Grasslands",BX336)),ISNUMBER(SEARCH("TropicalRainforest",BX336)),ISNUMBER(SEARCH("TropicalSwamp",BX336))),10,0)))))))-IF(CC336="False",MIN(IFERROR(MAX(MROUND(LOG10(_xlfn.XLOOKUP(B336,'Base stats'!B:B,'Base stats'!C:C)^(2/3))*10,5),5),5),30))-_xlfn.XLOOKUP(B336,'Base stats'!B:B,'Base stats'!P:P)+IF(CC336="True",5,0)</f>
        <v>15</v>
      </c>
      <c r="M336" s="2">
        <f>IF(OR(_xlfn.XLOOKUP(_xlfn.XLOOKUP(B336,'Base stats'!B:B,'Base stats'!E:E),Groups!A:A,Groups!G:G)=2,ISNUMBER(SEARCH("Desert",BX336)),ISNUMBER(SEARCH("ExtremeDesert",BX336)),ISNUMBER(SEARCH("LavaField",BX336))),50,IF(ISNUMBER(SEARCH("Grasslands",BX336)),45,IF(OR(_xlfn.XLOOKUP(_xlfn.XLOOKUP(B336,'Base stats'!B:B,'Base stats'!E:E),Groups!A:A,Groups!G:G)=1,ISNUMBER(SEARCH("TropicalRainforest",BX336)),ISNUMBER(SEARCH("TropicalSwamp",BX336))),40,IF(OR(ISNUMBER(SEARCH("TemperateForest",BX336)),ISNUMBER(SEARCH("TemperateSwamp",BX336))),35,IF(OR(ISNUMBER(SEARCH("Alpine",BX336)),ISNUMBER(SEARCH("BorealForest",BX336)),ISNUMBER(SEARCH("ColdBog",BX336))),30,IF(ISNUMBER(OR(ISNUMBER(SEARCH("GlacialPlain",BX336)),SEARCH("Tundra",BX336))),25,IF(OR(ISNUMBER(SEARCH("SeaIce",BX336)),ISNUMBER(SEARCH("IceSheet",BX336)),ISNUMBER(SEARCH("TropicalSwamp",BX336))),10,35)))))))+_xlfn.XLOOKUP(B336,'Base stats'!B:B,'Base stats'!Q:Q)</f>
        <v>40</v>
      </c>
      <c r="N336" s="8" t="str">
        <f>IF(
_xlfn.XLOOKUP(
_xlfn.XLOOKUP(B336,'Base stats'!B:B,'Base stats'!E:E),
Groups!A:A,
Groups!L:L
)=1,
MIN(
MROUND(
IF(
_xlfn.XLOOKUP(B336,'Animals CE'!B:B,'Animals CE'!Z:Z)&lt;=1.5,
_xlfn.XLOOKUP(B336,'Animals CE'!B:B,'Animals CE'!Z:Z)/2+0.05,
0.8+
(_xlfn.XLOOKUP(B336,'Animals CE'!B:B,'Animals CE'!Z:Z)-1.5)
*0.02
),
0.05
),
200%
),
"No"
)</f>
        <v>No</v>
      </c>
      <c r="O336" s="8" t="str">
        <f>IF(
_xlfn.XLOOKUP(
_xlfn.XLOOKUP(B336,'Base stats'!B:B,'Base stats'!E:E),
Groups!A:A,
Groups!L:L
)=1,
MIN(
MROUND(
IF(
_xlfn.XLOOKUP(B336,'Animals CE'!B:B,'Animals CE'!AA:AA)&lt;=1.5,
_xlfn.XLOOKUP(B336,'Animals CE'!B:B,'Animals CE'!AA:AA)/2+0.05,
0.8+
(_xlfn.XLOOKUP(B336,'Animals CE'!B:B,'Animals CE'!AA:AA)-1.5)
*0.02
),
0.05
),
200%
),
"No"
)</f>
        <v>No</v>
      </c>
      <c r="P336" s="2" t="str">
        <f>_xlfn.XLOOKUP(B336,'Base stats'!B:B,'Base stats'!R:R)</f>
        <v>Standard</v>
      </c>
      <c r="Q336" s="13">
        <f>MROUND((LOG10(_xlfn.XLOOKUP(B336,'Base stats'!B:B,'Base stats'!AR:AR))*(AO336^0.5)+(_xlfn.XLOOKUP(B336,'Base stats'!B:B,'Base stats'!AR:AR)/1000)^(2/3)+_xlfn.XLOOKUP(B336,'Base stats'!B:B,'Base stats'!BA:BA)/2)+0.5,0.5)</f>
        <v>15.5</v>
      </c>
      <c r="R336" s="7">
        <f>IF(Q336="No","No",MAX(1,MROUND(_xlfn.XLOOKUP(B336,'Base stats'!B:B,'Base stats'!C:C)^0.165,0.05)))</f>
        <v>2.8000000000000003</v>
      </c>
      <c r="S336" s="13" t="str">
        <f>IF(_xlfn.XLOOKUP(_xlfn.XLOOKUP(B336,'Base stats'!B:B,'Base stats'!E:E),Groups!A:A,Groups!P:P)=0,"No",MROUND((LOG10(_xlfn.XLOOKUP(B336,'Base stats'!B:B,'Base stats'!AS:AS))*(AO336^0.5)+(_xlfn.XLOOKUP(B336,'Base stats'!B:B,'Base stats'!AS:AS)/1000)^(2/3)+_xlfn.XLOOKUP(B336,'Base stats'!B:B,'Base stats'!BA:BA))+_xlfn.XLOOKUP(B336,'Base stats'!B:B,'Base stats'!AY:AY)+0.5,0.5))</f>
        <v>No</v>
      </c>
      <c r="T336" s="7" t="str">
        <f>IF(S336="No","No",MAX(_xlfn.XLOOKUP(_xlfn.XLOOKUP(B336,'Base stats'!B:B,'Base stats'!E:E),Groups!A:A,Groups!Q:Q),MROUND(_xlfn.XLOOKUP(_xlfn.XLOOKUP(B336,'Base stats'!B:B,'Base stats'!E:E),Groups!A:A,Groups!Q:Q)*_xlfn.XLOOKUP(B336,'Base stats'!B:B,'Base stats'!C:C)^0.165,0.05)))</f>
        <v>No</v>
      </c>
      <c r="U336" s="7" t="str">
        <f>IF(S336="No","No",_xlfn.XLOOKUP(_xlfn.XLOOKUP(B336,'Base stats'!B:B,'Base stats'!E:E),Groups!A:A,Groups!R:R))</f>
        <v>No</v>
      </c>
      <c r="V336" s="7" t="str">
        <f>IF(S336="No","No",_xlfn.XLOOKUP(_xlfn.XLOOKUP(B336,'Base stats'!B:B,'Base stats'!E:E),Groups!A:A,Groups!S:S))</f>
        <v>No</v>
      </c>
      <c r="W336" s="7" t="str">
        <f>IF(S336="No","No",_xlfn.XLOOKUP(_xlfn.XLOOKUP(B336,'Base stats'!B:B,'Base stats'!E:E),Groups!A:A,Groups!T:T))</f>
        <v>No</v>
      </c>
      <c r="X336" s="13" t="str">
        <f>IF(_xlfn.XLOOKUP(B336,'Base stats'!B:B,'Base stats'!W:W)="No","No",MROUND((LOG10(_xlfn.XLOOKUP(B336,'Base stats'!B:B,'Base stats'!AU:AU))*(AO336^0.5)+(_xlfn.XLOOKUP(B336,'Base stats'!B:B,'Base stats'!AU:AU)/1000)^(2/3)+_xlfn.XLOOKUP(B336,'Base stats'!B:B,'Base stats'!AZ:AZ))+0.5+IF(_xlfn.XLOOKUP(_xlfn.XLOOKUP(B336,'Base stats'!B:B,'Base stats'!E:E),Groups!A:A,Groups!U:U)&lt;&gt;3,_xlfn.XLOOKUP(B336,'Base stats'!B:B,'Base stats'!BA:BA),0),0.5))</f>
        <v>No</v>
      </c>
      <c r="Y336" s="7" t="str">
        <f>IF(X336="No","No",MAX(_xlfn.XLOOKUP(_xlfn.XLOOKUP(B336,'Base stats'!B:B,'Base stats'!E:E),Groups!A:A,Groups!V:V),MROUND(_xlfn.XLOOKUP(_xlfn.XLOOKUP(B336,'Base stats'!B:B,'Base stats'!E:E),Groups!A:A,Groups!V:V)*_xlfn.XLOOKUP(B336,'Base stats'!B:B,'Base stats'!C:C)^0.165,0.05)))</f>
        <v>No</v>
      </c>
      <c r="Z336" s="7" t="str">
        <f>IF(X336="No","No",_xlfn.XLOOKUP(_xlfn.XLOOKUP(B336,'Base stats'!B:B,'Base stats'!E:E),Groups!A:A,Groups!W:W))</f>
        <v>No</v>
      </c>
      <c r="AA336" s="7" t="str">
        <f>IF(X336="No","No",_xlfn.XLOOKUP(_xlfn.XLOOKUP(B336,'Base stats'!B:B,'Base stats'!E:E),Groups!A:A,Groups!X:X))</f>
        <v>No</v>
      </c>
      <c r="AB336" s="7" t="str">
        <f>IF(X336="No","No",_xlfn.XLOOKUP(_xlfn.XLOOKUP(B336,'Base stats'!B:B,'Base stats'!E:E),Groups!A:A,Groups!Y:Y))</f>
        <v>No</v>
      </c>
      <c r="AC336" s="7" t="str">
        <f>_xlfn.XLOOKUP(Animals!B336,'Base stats'!B:B,'Base stats'!X:X)</f>
        <v>False</v>
      </c>
      <c r="AD336" s="13" t="str">
        <f>IF(_xlfn.XLOOKUP(B336,'Base stats'!B:B,'Base stats'!AT:AT)="No","No",MROUND((LOG10(_xlfn.XLOOKUP(B336,'Base stats'!B:B,'Base stats'!AT:AT))*(AO336^0.75)+(_xlfn.XLOOKUP(B336,'Base stats'!B:B,'Base stats'!AT:AT)/1000)^(2/3)+_xlfn.XLOOKUP(B336,'Base stats'!B:B,'Base stats'!AX:AX)+_xlfn.XLOOKUP(B336,'Base stats'!B:B,'Base stats'!BA:BA))+0.5,0.5))</f>
        <v>No</v>
      </c>
      <c r="AE336" s="7" t="str">
        <f>IF(AD336="No","No",MAX(_xlfn.XLOOKUP(_xlfn.XLOOKUP(B336,'Base stats'!B:B,'Base stats'!E:E),Groups!A:A,Groups!Z:Z),MROUND(_xlfn.XLOOKUP(_xlfn.XLOOKUP(B336,'Base stats'!B:B,'Base stats'!E:E),Groups!A:A,Groups!Z:Z)*_xlfn.XLOOKUP(B336,'Base stats'!B:B,'Base stats'!C:C)^0.165,0.05)))</f>
        <v>No</v>
      </c>
      <c r="AF336" s="7" t="str">
        <f>IF(AD336="No","No",_xlfn.XLOOKUP(_xlfn.XLOOKUP(B336,'Base stats'!B:B,'Base stats'!E:E),Groups!A:A,Groups!AA:AA))</f>
        <v>No</v>
      </c>
      <c r="AG336" s="7" t="str">
        <f>IF(AD336="No","No",_xlfn.XLOOKUP(_xlfn.XLOOKUP(B336,'Base stats'!B:B,'Base stats'!E:E),Groups!A:A,Groups!AB:AB))</f>
        <v>No</v>
      </c>
      <c r="AH336" s="7" t="str">
        <f>IF(AD336="No","No",_xlfn.XLOOKUP(_xlfn.XLOOKUP(B336,'Base stats'!B:B,'Base stats'!E:E),Groups!A:A,Groups!AC:AC))</f>
        <v>No</v>
      </c>
      <c r="AI336" s="13">
        <f>IF(_xlfn.XLOOKUP(_xlfn.XLOOKUP(B336,'Base stats'!B:B,'Base stats'!E:E),Groups!A:A,Groups!AD:AD)=0,"No",MROUND((LOG10(_xlfn.XLOOKUP(B336,'Base stats'!B:B,'Base stats'!AS:AS))*(AO336^0.75)+(_xlfn.XLOOKUP(B336,'Base stats'!B:B,'Base stats'!AS:AS)/1000)^(2/3)+_xlfn.XLOOKUP(B336,'Base stats'!B:B,'Base stats'!AY:AY)+_xlfn.XLOOKUP(B336,'Base stats'!B:B,'Base stats'!BA:BA))+0.5,0.5))</f>
        <v>21</v>
      </c>
      <c r="AJ336" s="7">
        <f>IF(AI336="No","No",MAX(_xlfn.XLOOKUP(_xlfn.XLOOKUP(B336,'Base stats'!B:B,'Base stats'!E:E),Groups!A:A,Groups!AE:AE),MROUND(_xlfn.XLOOKUP(_xlfn.XLOOKUP(B336,'Base stats'!B:B,'Base stats'!E:E),Groups!A:A,Groups!AE:AE)*IF(_xlfn.XLOOKUP(_xlfn.XLOOKUP(B336,'Base stats'!B:B,'Base stats'!E:E),Groups!A:A,Groups!AJ:AJ)="Photonozoa",0.6,1)*_xlfn.XLOOKUP(B336,'Base stats'!B:B,'Base stats'!C:C)^0.165,0.05)))</f>
        <v>2.1</v>
      </c>
      <c r="AK336" s="7" t="str">
        <f>IF(AI336="No","No",_xlfn.XLOOKUP(_xlfn.XLOOKUP(B336,'Base stats'!B:B,'Base stats'!E:E),Groups!A:A,Groups!AF:AF))</f>
        <v>Arms</v>
      </c>
      <c r="AL336" s="7" t="str">
        <f>IF(AI336="No","No",_xlfn.XLOOKUP(_xlfn.XLOOKUP(B336,'Base stats'!B:B,'Base stats'!E:E),Groups!A:A,Groups!AG:AG))</f>
        <v>arms</v>
      </c>
      <c r="AM336" s="7" t="str">
        <f>IF(AI336="No","No",_xlfn.XLOOKUP(_xlfn.XLOOKUP(B336,'Base stats'!B:B,'Base stats'!E:E),Groups!A:A,Groups!AH:AH))</f>
        <v>Blunt</v>
      </c>
      <c r="AN336" s="2" t="str">
        <f t="shared" si="35"/>
        <v>No</v>
      </c>
      <c r="AO336" s="2">
        <f>MROUND(IF(AND(_xlfn.XLOOKUP(B336,'Base stats'!B:B,'Base stats'!C:C)&gt;=0.5,_xlfn.XLOOKUP(B336,'Base stats'!B:B,'Base stats'!C:C)&lt;=0.8),
IF(_xlfn.XLOOKUP(B336,'Base stats'!B:B,'Base stats'!C:C)&lt;0.1,0.05,IF(_xlfn.XLOOKUP(B336,'Base stats'!B:B,'Base stats'!C:C)&lt;=70,(_xlfn.XLOOKUP(B336,'Base stats'!B:B,'Base stats'!C:C)/70)^0.426489913056526,IF(_xlfn.XLOOKUP(B336,'Base stats'!B:B,'Base stats'!C:C)&lt;=400,(_xlfn.XLOOKUP(B336,'Base stats'!B:B,'Base stats'!C:C)/70)^0.572811455315093,IF(_xlfn.XLOOKUP(B336,'Base stats'!B:B,'Base stats'!C:C)&lt;=2000,2.71391647193063*(_xlfn.XLOOKUP(B336,'Base stats'!B:B,'Base stats'!C:C)/400)^0.252459582904293,3.74314280240376*(_xlfn.XLOOKUP(B336,'Base stats'!B:B,'Base stats'!C:C)/2000)^0.357012633876913)))),
IF(_xlfn.XLOOKUP(B336,'Base stats'!B:B,'Base stats'!C:C)&lt;0.1,0.05,IF(_xlfn.XLOOKUP(B336,'Base stats'!B:B,'Base stats'!C:C)&lt;0.4,0.1,IF(_xlfn.XLOOKUP(B336,'Base stats'!B:B,'Base stats'!C:C)&lt;=70,(_xlfn.XLOOKUP(B336,'Base stats'!B:B,'Base stats'!C:C)/70)^0.445823913056526,IF(_xlfn.XLOOKUP(B336,'Base stats'!B:B,'Base stats'!C:C)&lt;=400,(_xlfn.XLOOKUP(B336,'Base stats'!B:B,'Base stats'!C:C)/70)^0.572811455315093,IF(_xlfn.XLOOKUP(B336,'Base stats'!B:B,'Base stats'!C:C)&lt;=2000,2.71391647193063*(_xlfn.XLOOKUP(B336,'Base stats'!B:B,'Base stats'!C:C)/400)^0.252459582904293,3.74314280240376*(_xlfn.XLOOKUP(B336,'Base stats'!B:B,'Base stats'!C:C)/2000)^0.357012633876913)))))),
IF(_xlfn.XLOOKUP(B336,'Base stats'!B:B,'Base stats'!C:C)&lt;0.1,0.05,IF(_xlfn.XLOOKUP(B336,'Base stats'!B:B,'Base stats'!C:C)&lt;=100,0.05,IF(_xlfn.XLOOKUP(B336,'Base stats'!B:B,'Base stats'!C:C)&lt;=250,0.1,IF(_xlfn.XLOOKUP(B336,'Base stats'!B:B,'Base stats'!C:C)&lt;=4000,0.25,0.5)))))</f>
        <v>2.75</v>
      </c>
      <c r="AP336" s="8">
        <f>MROUND(AO336*_xlfn.XLOOKUP(_xlfn.XLOOKUP(B336,'Base stats'!B:B,'Base stats'!E:E),Groups!A:A,Groups!AI:AI)*_xlfn.XLOOKUP(B336,'Base stats'!B:B,'Base stats'!Z:Z),0.05)</f>
        <v>2.75</v>
      </c>
      <c r="AQ336" s="8">
        <f>MAX(0.01,MROUND(IF(CC336="True",0.196*(AO336*100*1000)^0.889,IF(_xlfn.XLOOKUP(_xlfn.XLOOKUP(B336,'Base stats'!B:B,'Base stats'!E:E),Groups!A:A,Groups!AJ:AJ)="Bird",10.5*(AO336*100*1000)^0.681,4.82*(AO336*100*1000)^0.734))/(4.82*(1*100*1000)^0.734)/IF(AO336&lt;3.5,2,IF(AO336=3.5,1.5,1.25))*(1+0.132282374779864/(AO336^0.994035016789033+0.00905238001496948)),0.05))</f>
        <v>0.30000000000000004</v>
      </c>
      <c r="AR336" s="9">
        <f>IFERROR(MROUND(_xlfn.XLOOKUP(B336,'Base stats'!B:B,'Base stats'!H:H)/IF(_xlfn.XLOOKUP(B336,'Base stats'!B:B,'Base stats'!I:I)&lt;&gt;1,(122.5/70),1.2),IF(_xlfn.XLOOKUP(B336,'Base stats'!B:B,'Base stats'!H:H)&gt;=30,5,IF(_xlfn.XLOOKUP(B336,'Base stats'!B:B,'Base stats'!H:H)&gt;=15,3,IF(_xlfn.XLOOKUP(B336,'Base stats'!B:B,'Base stats'!H:H)&gt;=10,2,1)))),"Immortal")</f>
        <v>3</v>
      </c>
      <c r="AS336" s="35" t="str">
        <f>IFERROR(IF(OR(_xlfn.XLOOKUP(B336,'Base stats'!B:B,'Base stats'!F:F)="Atypical reproduction",_xlfn.XLOOKUP(B336,'Base stats'!B:B,'Base stats'!F:F)="Lay eggs"),"Lay eggs",MIN(20,MAX(5.5,ROUND(((_xlfn.XLOOKUP(B336,'Base stats'!B:B,'Base stats'!F:F)-25)*(14.5/615) + 5.5)*2,0)/2))),"Unknown")</f>
        <v>Lay eggs</v>
      </c>
      <c r="AT336" s="8" t="str">
        <f>IF(_xlfn.XLOOKUP(B336,'Base stats'!B:B,'Base stats'!G:G)="Atypical reproduction","No",IFERROR(MAX(IF(_xlfn.XLOOKUP(B336,'Base stats'!B:B,'Base stats'!G:G)&lt;0.5,0.2,0.3),MROUND(_xlfn.XLOOKUP(B336,'Base stats'!B:B,'Base stats'!G:G)/(365/60),0.2)),"Unknown"))</f>
        <v>No</v>
      </c>
      <c r="AU336" s="8" t="str">
        <f t="shared" si="36"/>
        <v>No</v>
      </c>
      <c r="AV336" s="8" t="str">
        <f>IFERROR(IFERROR(MROUND(_xlfn.XLOOKUP(B336,'Base stats'!B:B,'Base stats'!J:J),0.1),"Lay eggs"),"Cannot breed")</f>
        <v>Lay eggs</v>
      </c>
      <c r="AW336" s="2" t="str">
        <f t="shared" si="37"/>
        <v>false</v>
      </c>
      <c r="AX336" s="2" t="str">
        <f>IF(_xlfn.XLOOKUP(_xlfn.XLOOKUP(Animals!B336,'Base stats'!B:B,'Base stats'!E:E),Groups!A:A,Groups!AK:AK)=1,"true","false")</f>
        <v>false</v>
      </c>
      <c r="AY336" s="25" t="str">
        <f>IF(_xlfn.XLOOKUP(B336,'Base stats'!B:B,'Base stats'!Y:Y)="Liquor","Liquor, CarnivoreAnimalStrict",IF(AND(_xlfn.XLOOKUP(B336,'Base stats'!B:B,'Base stats'!Y:Y)="Carnivore",_xlfn.XLOOKUP(_xlfn.XLOOKUP(B336,'Base stats'!B:B,'Base stats'!E:E),Groups!A:A,Groups!AJ:AJ)="Photonozoa"),"CarnivoreAnimalStrict, OvivoreAnimal",IF(_xlfn.XLOOKUP(B336,'Base stats'!B:B,'Base stats'!Y:Y)="Carnivore","CarnivoreAnimal, OvivoreAnimal",IF(_xlfn.XLOOKUP(B336,'Base stats'!B:B,'Base stats'!Y:Y)="Dendrovore","VegetarianRoughAnimal, DendrovoreAnimal",IF(_xlfn.XLOOKUP(B336,'Base stats'!B:B,'Base stats'!Y:Y)="Herbivore","VegetarianRoughAnimal",IF(_xlfn.XLOOKUP(B336,'Base stats'!B:B,'Base stats'!Y:Y)="OmnivoreRough","OmnivoreRoughAnimal, OvivoreAnimal","OmnivoreAnimal, OvivoreAnimal"))))))</f>
        <v>VegetarianRoughAnimal</v>
      </c>
      <c r="AZ336" s="2">
        <f>IF(_xlfn.XLOOKUP(_xlfn.XLOOKUP(B336,'Base stats'!B:B,'Base stats'!E:E),Groups!A:A,Groups!D:D)=1,MROUND((1-J336)*5+1,2)*IF(J336&lt;=0.4,2,1),"No")</f>
        <v>2</v>
      </c>
      <c r="BA336" s="2" t="str">
        <f>IF(AND(_xlfn.XLOOKUP(B336,'Base stats'!B:B,'Base stats'!AH:AH)="&lt;li&gt;Seal&lt;/li&gt;",G336="Odyssey"),"&lt;li&gt;AEXP_Seal&lt;/li&gt;",_xlfn.XLOOKUP(B336,'Base stats'!B:B,'Base stats'!AH:AH))</f>
        <v>&lt;li&gt;Megaspider&lt;/li&gt;</v>
      </c>
      <c r="BB336" s="2" t="str">
        <f>_xlfn.XLOOKUP(B336,'Base stats'!B:B,'Base stats'!AG:AG)</f>
        <v>No</v>
      </c>
      <c r="BC336" s="23" t="str">
        <f>_xlfn.XLOOKUP(_xlfn.XLOOKUP(B336,'Base stats'!B:B,'Base stats'!E:E),Groups!A:A,Groups!AL:AL)</f>
        <v>GooBody</v>
      </c>
      <c r="BD336" s="23">
        <f>MIN(1,MROUND(IF(AND(AO336&lt;0.5,_xlfn.XLOOKUP(B336,'Base stats'!B:B,'Base stats'!AA:AA)=0),0,IF(OR(_xlfn.XLOOKUP(Animals!B336,'Base stats'!B:B,'Base stats'!O:O)=2,_xlfn.XLOOKUP(_xlfn.XLOOKUP(B336,'Base stats'!B:B,'Base stats'!E:E),Groups!A:A,Groups!AN:AN)=0),0,_xlfn.XLOOKUP(_xlfn.XLOOKUP(B336,'Base stats'!B:B,'Base stats'!E:E),Groups!A:A,Groups!AN:AN)/IF(_xlfn.XLOOKUP(Animals!B336,'Base stats'!B:B,'Base stats'!O:O)=1,2,1)))+_xlfn.XLOOKUP(B336,'Base stats'!B:B,'Base stats'!AC:AC),0.005))</f>
        <v>0</v>
      </c>
      <c r="BE336" s="23">
        <f>MIN(1,MROUND(IF(AND(AO336&lt;0.5,_xlfn.XLOOKUP(B336,'Base stats'!B:B,'Base stats'!AA:AA)=0),0,IF(_xlfn.XLOOKUP(_xlfn.XLOOKUP(B336,'Base stats'!B:B,'Base stats'!E:E),Groups!A:A,Groups!AO:AO)=0,0,_xlfn.XLOOKUP(_xlfn.XLOOKUP(B336,'Base stats'!B:B,'Base stats'!E:E),Groups!A:A,Groups!AO:AO)/IF(_xlfn.XLOOKUP(Animals!B336,'Base stats'!B:B,'Base stats'!O:O)=2,3,1)))+_xlfn.XLOOKUP(B336,'Base stats'!B:B,'Base stats'!AD:AD),0.005))</f>
        <v>0</v>
      </c>
      <c r="BF336" s="2" t="str">
        <f>IF(J336&gt;0.3,"No",_xlfn.XLOOKUP(_xlfn.XLOOKUP(Animals!B336,'Base stats'!B:B,'Base stats'!E:E),Groups!A:A,Groups!AP:AP))</f>
        <v>No</v>
      </c>
      <c r="BG336" s="2" t="str">
        <f>IF(AND(J336&lt;=0.65,_xlfn.XLOOKUP(_xlfn.XLOOKUP(Animals!B336,'Base stats'!B:B,'Base stats'!E:E),Groups!A:A,Groups!AP:AP)&lt;&gt;"No",_xlfn.XLOOKUP(_xlfn.XLOOKUP(B336,'Base stats'!B:B,'Base stats'!E:E),Groups!A:A,Groups!D:D)=0),MROUND((80/3)*IF(_xlfn.XLOOKUP(B336,'Base stats'!B:B,'Base stats'!O:O)=2,0.2,AO336) + 24*(1-IF(BF336="No",0,BF336)) + 16/3, 12),"No")</f>
        <v>No</v>
      </c>
      <c r="BH336" s="2">
        <f>IF(AND(_xlfn.XLOOKUP(_xlfn.XLOOKUP(B336,'Base stats'!B:B,'Base stats'!E:E),Groups!A:A,Groups!AQ:AQ)=1,AO336&lt;=0.35),8,12)</f>
        <v>12</v>
      </c>
      <c r="BI336" s="2" t="str">
        <f>IF(_xlfn.XLOOKUP(_xlfn.XLOOKUP(B336,'Base stats'!B:B,'Base stats'!E:E),Groups!A:A,Groups!D:D)=0,_xlfn.XLOOKUP(_xlfn.XLOOKUP(B336,'Base stats'!B:B,'Base stats'!E:E),Groups!A:A,Groups!AR:AR),"None")</f>
        <v>None</v>
      </c>
      <c r="BJ336" s="2" t="str">
        <f>IF(AND(_xlfn.XLOOKUP(_xlfn.XLOOKUP(B336,'Base stats'!B:B,'Base stats'!E:E),Groups!A:A,Groups!AS:AS)=1,OR(_xlfn.XLOOKUP(B336,'Base stats'!B:B,'Base stats'!Y:Y)="Carnivore",_xlfn.XLOOKUP(B336,'Base stats'!B:B,'Base stats'!Y:Y)="Omnivore")),"true","false")</f>
        <v>false</v>
      </c>
      <c r="BK336" s="2" t="str">
        <f>IF(BJ336="true",MROUND(IF(AND(AO336&gt;0.5,OR(_xlfn.XLOOKUP(_xlfn.XLOOKUP(B336,'Base stats'!B:B,'Base stats'!E:E),Groups!A:A,Groups!AJ:AJ)="Photonozoa",_xlfn.XLOOKUP(_xlfn.XLOOKUP(B336,'Base stats'!B:B,'Base stats'!E:E),Groups!A:A,Groups!AJ:AJ)="Mammal")),Animals!AO336*1.75*IF(AW336="true",1.5,1),IF(AO336&lt;0.5,Animals!AO336*0.5,Animals!AO336)),IF(AO336&gt;2,0.5,IF(AO336&gt;0.5,0.25,0.1))),"No")</f>
        <v>No</v>
      </c>
      <c r="BL336" s="2">
        <f t="shared" si="38"/>
        <v>0</v>
      </c>
      <c r="BM336" s="25" t="str">
        <f>IF(_xlfn.XLOOKUP(B336,'Base stats'!B:B,'Base stats'!AN:AN)="Standard","No",MROUND((_xlfn.XLOOKUP(B336,'Base stats'!B:B,'Base stats'!AN:AN)/3.6)/I336,0.1))</f>
        <v>No</v>
      </c>
      <c r="BN336" s="25" t="str">
        <f t="shared" si="39"/>
        <v>false</v>
      </c>
      <c r="BO336" s="25" t="str">
        <f>IF(AND(OR(_xlfn.XLOOKUP(B336,'Base stats'!B:B,'Base stats'!Y:Y)="Carnivore",_xlfn.XLOOKUP(B336,'Base stats'!B:B,'Base stats'!Y:Y)="Omnivore",_xlfn.XLOOKUP(B336,'Base stats'!B:B,'Base stats'!Y:Y)="OmnivoreRough"),_xlfn.XLOOKUP(_xlfn.XLOOKUP(B336,'Base stats'!B:B,'Base stats'!E:E),Groups!A:A,Groups!AT:AT)=1),"true","false")</f>
        <v>false</v>
      </c>
      <c r="BP336" s="25" t="str" cm="1">
        <f t="array" ref="BP336">IF(
  _xlfn.TEXTJOIN(", ",TRUE,
    IF(AND(BJ336="true",AO336&gt;0.5,BI336&lt;&gt;"None"),"AttackTarget",""),
    IF(AND(_xlfn.XLOOKUP(_xlfn.XLOOKUP(B336,'Base stats'!B:B,'Base stats'!E:E),Groups!A:A,Groups!AJ:AJ="Mammal"),OR(_xlfn.XLOOKUP(B336,'Base stats'!B:B,'Base stats'!Y:Y)="Omnivore",_xlfn.XLOOKUP(B336,'Base stats'!B:B,'Base stats'!Y:Y)="OmnivoreRough")),"Forage",""),
    IF(BG336&lt;=36,"Comfort",""),
    IF(_xlfn.XLOOKUP(B336,'Base stats'!B:B,'Base stats'!AE:AE)&lt;&gt;"No",_xlfn.XLOOKUP(B336,'Base stats'!B:B,'Base stats'!AE:AE),"")
  ) = "",
  "No",
  _xlfn.TEXTJOIN(", ",TRUE,
    IF(AND(BJ336="true",AO336&gt;0.5,BI336&lt;&gt;"None"),"AttackTarget",""),
    IF(AND(_xlfn.XLOOKUP(_xlfn.XLOOKUP(B336,'Base stats'!B:B,'Base stats'!E:E),Groups!A:A,Groups!AJ:AJ="Mammal"),OR(_xlfn.XLOOKUP(B336,'Base stats'!B:B,'Base stats'!Y:Y)="Omnivore",_xlfn.XLOOKUP(B336,'Base stats'!B:B,'Base stats'!Y:Y)="OmnivoreRough")),"Forage",""),
    IF(BG336&lt;=36,"Comfort",""),
    IF(_xlfn.XLOOKUP(B336,'Base stats'!B:B,'Base stats'!AE:AE)&lt;&gt;"No",_xlfn.XLOOKUP(B336,'Base stats'!B:B,'Base stats'!AE:AE),"")
  )
)</f>
        <v>No</v>
      </c>
      <c r="BQ336" s="25" t="str">
        <f>IF(
   AND(
      'Base stats'!AN336="Standard",_xlfn.XLOOKUP(_xlfn.XLOOKUP(B336,'Base stats'!B:B,'Base stats'!E:E),Groups!A:A,Groups!AU:AU)=0,
      OR(
      BO336="True"
      )
   ),
   10,
   IF(
       OR(BM336&lt;&gt;"No",_xlfn.XLOOKUP(_xlfn.XLOOKUP(B336,'Base stats'!B:B,'Base stats'!E:E),Groups!A:A,Groups!AU:AU)=1),
      1,
      "No"
   )
)</f>
        <v>No</v>
      </c>
      <c r="BR336" s="9">
        <f>MROUND((1 + ((0.2*IF(OR(Q336="No",R336="No",R336=0),0,Q336/R336)
+IF(OR(V336="No",S336="No",T336="No"),0,S336/T336*(LEN(V336)-LEN(SUBSTITUTE(V336,",",""))+1))
+IF(OR(X336="No",Y336="No"),0,X336/Y336)
+IF(OR(AD336="No",AE336="No"),0,AD336/AE336)
+IF(OR(AL336="No",AI336="No",AJ336="No"),0,AI336/AJ336*(LEN(AL336)-LEN(SUBSTITUTE(AL336,",",""))+1))
)/(0.2*IF(OR(Q336="No",R336="No",R336=0),0,1)
+IF(OR(V336="No",S336="No",T336="No"),0,LEN(V336)-LEN(SUBSTITUTE(V336,",",""))+1)
+IF(OR(X336="No",Y336="No"),0,1)
+IF(OR(AD336="No",AE336="No"),0,1)
+IF(OR(AL336="No",AI336="No",AJ336="No"),0,LEN(AL336)-LEN(SUBSTITUTE(AL336,",",""))+1))*62%)* 2)*(1 + (AP336 / (IF(_xlfn.XLOOKUP(_xlfn.XLOOKUP(B336,'Base stats'!B:B,'Base stats'!E:E),Groups!A:A,Groups!AJ:AJ)="Photonozoa",0.3,1)) + _xlfn.XLOOKUP(B336,'Base stats'!B:B,'Base stats'!AV:AV) * 1.8) * 2) * 2.5 + 10 + I336 * 2,5)+IF(_xlfn.XLOOKUP(B336,'Base stats'!B:B,'Base stats'!AK:AK)=1,50,0)</f>
        <v>215</v>
      </c>
      <c r="BS336" s="8">
        <f t="shared" si="40"/>
        <v>0.8</v>
      </c>
      <c r="BT336" s="8" t="str">
        <f>_xlfn.XLOOKUP(B336,'Base stats'!B:B,'Base stats'!AF:AF)</f>
        <v>No</v>
      </c>
      <c r="BU336" s="2" t="str">
        <f>IF(AND(J336&lt;=0.95,OR(_xlfn.XLOOKUP(B336,'Base stats'!B:B,'Base stats'!AK:AK)=1,_xlfn.XLOOKUP(B336,'Base stats'!B:B,'Base stats'!Y:Y)="Carnivore",_xlfn.XLOOKUP(B336,'Base stats'!B:B,'Base stats'!Y:Y)="Omnivore",BE336&gt;0.1)),"true","false")</f>
        <v>false</v>
      </c>
      <c r="BV336" s="2" t="str">
        <f>IF(_xlfn.XLOOKUP(B336,'Base stats'!B:B,'Base stats'!AI:AI)=1,"true","false")</f>
        <v>false</v>
      </c>
      <c r="BW336" s="25" t="str">
        <f>IF(E336="BaseInsect","AnimalInsect",
IF(J336&gt;0.95,"AnimalExotic",
_xlfn.TEXTJOIN(", ",TRUE,
IF(OR(_xlfn.XLOOKUP(B336,'Base stats'!B:B,'Base stats'!AM:AM)=1,AND(_xlfn.XLOOKUP(B336,'Base stats'!B:B,'Base stats'!O:O)=0,_xlfn.XLOOKUP(_xlfn.XLOOKUP(B336,'Base stats'!B:B,'Base stats'!E:E),Groups!A:A,Groups!B:B)&gt;0)),"AnimalUncommon","AnimalCommon"),
IF(AND(_xlfn.XLOOKUP(B336,'Base stats'!B:B,'Base stats'!O:O)=2,_xlfn.XLOOKUP(_xlfn.XLOOKUP(B336,'Base stats'!B:B,'Base stats'!E:E),Groups!A:A,Groups!D:D)=0),"AnimalPet",IF(AND(_xlfn.XLOOKUP(B336,'Base stats'!B:B,'Base stats'!O:O)&lt;&gt;0,_xlfn.XLOOKUP(_xlfn.XLOOKUP(B336,'Base stats'!B:B,'Base stats'!E:E),Groups!A:A,Groups!D:D)&lt;&gt;0),"AnimalFarm","")),
IF(OR(_xlfn.XLOOKUP(B336,'Base stats'!B:B,'Base stats'!AK:AK)=1,AND(BI336&lt;&gt;"None",BR336&gt;=60),ISNUMBER(SEARCH("Attack target",BP336))),"AnimalFighter","")
)))</f>
        <v>AnimalUncommon</v>
      </c>
      <c r="BX336" s="25" t="str">
        <f>IF(G336="None",TRIM(
SUBSTITUTE(
IF(COUNTIF(Biomes!B$2:B$259,"="&amp;$C336)&gt;0,Biomes!B$1&amp;", ","")&amp;
IF(COUNTIF(Biomes!C$2:C$259,"="&amp;$C336)&gt;0,Biomes!C$1&amp;", ","")&amp;
IF(COUNTIF(Biomes!D$2:D$259,"="&amp;$C336)&gt;0,Biomes!D$1&amp;", ","")&amp;
IF(COUNTIF(Biomes!F$2:F$259,"="&amp;$C336)&gt;0,Biomes!F$1&amp;", ","")&amp;
IF(COUNTIF(Biomes!G$2:G$259,"="&amp;$C336)&gt;0,Biomes!G$1&amp;", ","")&amp;
IF(COUNTIF(Biomes!H$2:H$259,"="&amp;$C336)&gt;0,Biomes!H$1&amp;", ","")&amp;
IF(COUNTIF(Biomes!I$2:I$259,"="&amp;$C336)&gt;0,Biomes!I$1&amp;", ","")&amp;
IF(COUNTIF(Biomes!J$2:J$259,"="&amp;$C336)&gt;0,Biomes!J$1&amp;", ","")&amp;
IF(COUNTIF(Biomes!M$2:M$259,"="&amp;$C336)&gt;0,Biomes!M$1&amp;", ","")&amp;
IF(COUNTIF(Biomes!N$2:N$259,"="&amp;$C336)&gt;0,Biomes!N$1&amp;", ","")&amp;
IF(COUNTIF(Biomes!O$2:O$259,"="&amp;$C336)&gt;0,Biomes!O$1&amp;", ","")&amp;
IF(COUNTIF(Biomes!P$2:P$259,"="&amp;$C336)&gt;0,Biomes!P$1&amp;", ","")&amp;
IF(COUNTIF(Biomes!K$2:K$259,"="&amp;$C336)&gt;0,Biomes!K$1&amp;", ","")&amp;
IF(COUNTIF(Biomes!Q$3:Q$259,"="&amp;$C336)&gt;0,Biomes!Q$1&amp;", ","")&amp;
IF(COUNTIF(Biomes!L$2:L$259,"="&amp;$C336)&gt;0,Biomes!L$1&amp;", ","")&amp;
IF(COUNTIF(Biomes!E$2:E$259,"="&amp;$C336)&gt;0,Biomes!E$1&amp;", ","")&amp;IF(COUNTIF(Biomes!S$2:S$259,"="&amp;$C336)&gt;0,Biomes!S$1&amp;", ","")&amp;
IF(COUNTIF(Biomes!R$2:R$259,"="&amp;$C336)&gt;0,Biomes!R$1&amp;", ",""),", ","")
),_xlfn.XLOOKUP(B336,B:B,BX:BX))</f>
        <v>TropicalRainforest TropicalSwamp Glowforest Scarlands</v>
      </c>
      <c r="BY336" s="25" t="str">
        <f>IF(_xlfn.XLOOKUP(B336,'Base stats'!B:B,'Base stats'!AJ:AJ)=1,"true","false")</f>
        <v>false</v>
      </c>
      <c r="BZ336" s="25">
        <f>IF(_xlfn.XLOOKUP(B336,'Base stats'!B:B,'Base stats'!N:N)=1,"No",MAX(0.001,MIN(MROUND(IF(AND(BJ336="True",CC336="False"),POWER(10,3.47*LOG10(_xlfn.XLOOKUP(B336,'Base stats'!B:B,'Base stats'!C:C)*1000)^-0.96),POWER(10,4.15*LOG10(_xlfn.XLOOKUP(B336,'Base stats'!B:B,'Base stats'!C:C)*1000)^-0.73))*IF(_xlfn.XLOOKUP(B336,'Base stats'!B:B,'Base stats'!AK:AK)=1,0.5,1)*IF(_xlfn.XLOOKUP(B336,'Base stats'!B:B,'Base stats'!AM:AM)=1,0.1,1)/100,IF(_xlfn.XLOOKUP(B336,'Base stats'!B:B,'Base stats'!AM:AM)=1,0.001,0.025)),0.5)))</f>
        <v>1.4999999999999999E-2</v>
      </c>
      <c r="CA336" s="25" t="str">
        <f>IF(P336="Standard","No",MAX(0.001,MIN(MROUND(IF(AND(BJ336="True",CC336="False"),POWER(10,3.47*LOG10(_xlfn.XLOOKUP(B336,'Base stats'!B:B,'Base stats'!C:C)*1000)^-0.96),POWER(10,4.15*LOG10(_xlfn.XLOOKUP(B336,'Base stats'!B:B,'Base stats'!C:C)*1000)^-0.73))*IF(_xlfn.XLOOKUP(B336,'Base stats'!B:B,'Base stats'!AM:AM)=1,0.1,1)*_xlfn.XLOOKUP(B336,'Base stats'!B:B,'Base stats'!R:R)/100,IF(_xlfn.XLOOKUP(B336,'Base stats'!B:B,'Base stats'!AM:AM)=1,0.001,0.025)),0.5)))</f>
        <v>No</v>
      </c>
      <c r="CB336" s="25" t="str">
        <f>IF(_xlfn.XLOOKUP(_xlfn.XLOOKUP(B336,'Base stats'!B:B,'Base stats'!E:E),Groups!A:A,Groups!AJ:AJ)="Mammal","True","False")</f>
        <v>False</v>
      </c>
      <c r="CC336" s="25" t="str">
        <f>IF(OR(_xlfn.XLOOKUP(_xlfn.XLOOKUP(B336,'Base stats'!B:B,'Base stats'!E:E),Groups!A:A,Groups!AJ:AJ)="Reptile",_xlfn.XLOOKUP(_xlfn.XLOOKUP(B336,'Base stats'!B:B,'Base stats'!E:E),Groups!A:A,Groups!AJ:AJ)="Amphibian",_xlfn.XLOOKUP(_xlfn.XLOOKUP(B336,'Base stats'!B:B,'Base stats'!E:E),Groups!A:A,Groups!AJ:AJ)="Invertebrate"),"True","False")</f>
        <v>True</v>
      </c>
      <c r="CD336" s="25" t="str">
        <f t="shared" si="41"/>
        <v>False</v>
      </c>
      <c r="CE336" s="25" t="str">
        <f>IF(_xlfn.XLOOKUP(_xlfn.XLOOKUP(B336,'Base stats'!B:B,'Base stats'!E:E),Groups!A:A,Groups!AX:AX),"True","False")</f>
        <v>True</v>
      </c>
      <c r="CF336" s="25" t="str">
        <f>IF(_xlfn.XLOOKUP(_xlfn.XLOOKUP(B336,'Base stats'!B:B,'Base stats'!E:E),Groups!A:A,Groups!AY:AY),"True","False")</f>
        <v>False</v>
      </c>
      <c r="CG336" s="25" t="str">
        <f>IF(_xlfn.XLOOKUP(_xlfn.XLOOKUP(B336,'Base stats'!B:B,'Base stats'!E:E),Groups!A:A,Groups!AW:AW),"True","False")</f>
        <v>True</v>
      </c>
      <c r="CH336" s="25" t="str">
        <f>IF(
OR(
_xlfn.XLOOKUP(_xlfn.XLOOKUP(B336,'Base stats'!B:B,'Base stats'!E:E),Groups!A:A,Groups!AZ:AZ)=0,
AND(
_xlfn.XLOOKUP(B336,'Base stats'!B:B,'Base stats'!Y:Y)&lt;&gt;"Carnivore",
_xlfn.XLOOKUP(B336,'Base stats'!B:B,'Base stats'!Y:Y)&lt;&gt;"Omnivore",
_xlfn.XLOOKUP(B336,'Base stats'!B:B,'Base stats'!Y:Y)&lt;&gt;"OmnivoreRough"
)
),
"No",
IF(
_xlfn.XLOOKUP(_xlfn.XLOOKUP(B336,'Base stats'!B:B,'Base stats'!E:E),Groups!A:A,Groups!AZ:AZ)=1,
"Flesh",
IF(
_xlfn.XLOOKUP(_xlfn.XLOOKUP(B336,'Base stats'!B:B,'Base stats'!E:E),Groups!A:A,Groups!AZ:AZ)=2,
"Bone",
""
)
)
)</f>
        <v>No</v>
      </c>
      <c r="CI336" s="25" t="str">
        <f>IF(_xlfn.XLOOKUP(_xlfn.XLOOKUP(B336,'Base stats'!B:B,'Base stats'!E:E),Groups!A:A,Groups!BB:BB),"True","False")</f>
        <v>False</v>
      </c>
      <c r="CJ336" s="25" t="str">
        <f>IF(_xlfn.XLOOKUP(_xlfn.XLOOKUP(B336,'Base stats'!B:B,'Base stats'!E:E),Groups!A:A,Groups!BA:BA),"True","False")</f>
        <v>False</v>
      </c>
    </row>
    <row r="337" spans="1:88" ht="16.5" thickTop="1" thickBot="1" x14ac:dyDescent="0.3">
      <c r="A337" s="26" t="s">
        <v>1586</v>
      </c>
      <c r="B337" s="6" t="str">
        <f>_xlfn.XLOOKUP(A337,'Base stats'!A:A,'Base stats'!B:B)</f>
        <v>Terramorpha mutabilis</v>
      </c>
      <c r="C337" s="28" t="s">
        <v>1587</v>
      </c>
      <c r="D337" s="28" t="s">
        <v>1341</v>
      </c>
      <c r="E337" s="28" t="s">
        <v>673</v>
      </c>
      <c r="F337" s="28" t="s">
        <v>673</v>
      </c>
      <c r="G337" s="28" t="s">
        <v>673</v>
      </c>
      <c r="H337" s="2">
        <f>MROUND((
  (IF(AND(_xlfn.XLOOKUP(B337,'Base stats'!B:B,'Base stats'!AL:AL)=0,BI337="None",_xlfn.XLOOKUP(_xlfn.XLOOKUP(B337,'Base stats'!B:B,'Base stats'!E:E),Groups!A:A,Groups!B:B)=0), (18 + BR337 * 2.7) * 0.5,
    IF(AND(_xlfn.XLOOKUP(B337,'Base stats'!B:B,'Base stats'!AL:AL)=0,OR(AO337&lt;0.55,AND(BI337="Intermediate",_xlfn.XLOOKUP(_xlfn.XLOOKUP(B337,'Base stats'!B:B,'Base stats'!E:E),Groups!A:A,Groups!B:B)&lt;2))), (18 + BR337 * 2.7),
      IF(OR(BI337="Advanced",_xlfn.XLOOKUP(B337,'Base stats'!B:B,'Base stats'!AL:AL)=1,_xlfn.XLOOKUP(_xlfn.XLOOKUP(B337,'Base stats'!B:B,'Base stats'!E:E),Groups!A:A,Groups!B:B)=2), (18 + BR337 * 2.7) + 250, (18 + BR337 * 2.7))
    )
  ))
  + AO337 * 80
  + IF(COUNTIF(EggMilk!K$2:K$998, A337) &gt; 0, 125, 0)
  + IF(COUNTIF(EggMilk!P$2:P$998, A337) &gt; 0, 90, 0)
  + IF(COUNTIF(EggMilk!A$2:A$998, A337) &gt; 0, 90, 0)
)
* (0.8 + 0.4 * J337)
* 0.75,25)</f>
        <v>175</v>
      </c>
      <c r="I337" s="2">
        <f>MROUND(ROUNDDOWN(_xlfn.XLOOKUP(B337,'Base stats'!B:B,'Base stats'!L:L)/3.6/(23.3/11),1),0.5)</f>
        <v>1</v>
      </c>
      <c r="J337" s="2">
        <f>IF(OR(_xlfn.XLOOKUP(B337,'Base stats'!B:B,'Base stats'!AB:AB)=1,_xlfn.XLOOKUP(_xlfn.XLOOKUP(B337,'Base stats'!B:B,'Base stats'!E:E),Groups!A:A,Groups!C:C)="Untamable"),1,IF(_xlfn.XLOOKUP(B337,'Base stats'!B:B,'Base stats'!AL:AL)=1,0.99,MIN(MROUND((1-0.6282*EXP(-0.459*AO337))*_xlfn.XLOOKUP(_xlfn.XLOOKUP(B337,'Base stats'!B:B,'Base stats'!E:E),Groups!A:A,Groups!C:C)*IF(_xlfn.XLOOKUP(B337,'Base stats'!B:B,'Base stats'!O:O)=1,0.5,IF(_xlfn.XLOOKUP(B337,'Base stats'!B:B,'Base stats'!O:O)=2,0,1)),0.05),IF(AO337&gt;3.5,0.985,0.95))))</f>
        <v>0.55000000000000004</v>
      </c>
      <c r="K337" s="2">
        <f>ROUNDUP(AO337*_xlfn.XLOOKUP(_xlfn.XLOOKUP(B337,'Base stats'!B:B,'Base stats'!E:E),Groups!A:A,Groups!E:E),0)</f>
        <v>9</v>
      </c>
      <c r="L337" s="2">
        <f>IF(OR(_xlfn.XLOOKUP(_xlfn.XLOOKUP(B337,'Base stats'!B:B,'Base stats'!E:E),Groups!A:A,Groups!F:F)=2,ISNUMBER(SEARCH("SeaIce",BX337)),ISNUMBER(SEARCH("IceSheet",BX337))),-50,IF(OR(ISNUMBER(SEARCH("GlacialPlain",BX337)),ISNUMBER(SEARCH("Tundra",BX337))),-40,IF(OR(ISNUMBER(SEARCH("Alpine",BX337)),ISNUMBER(SEARCH("BorealForest",BX337)),ISNUMBER(SEARCH("ColdBog",BX337))),-30,IF(OR(ISNUMBER(SEARCH("TemperateForest",BX337)),ISNUMBER(SEARCH("TemperateSwamp",BX337))),-20,IF(_xlfn.XLOOKUP(_xlfn.XLOOKUP(B337,'Base stats'!B:B,'Base stats'!E:E),Groups!A:A,Groups!F:F)=1,-15,IF(OR(ISNUMBER(SEARCH("Desert",BX337)),ISNUMBER(SEARCH("ExtremeDesert",BX337))),-10,IF(OR(ISNUMBER(SEARCH("Grasslands",BX337)),ISNUMBER(SEARCH("TropicalRainforest",BX337)),ISNUMBER(SEARCH("TropicalSwamp",BX337))),10,0)))))))-IF(CC337="False",MIN(IFERROR(MAX(MROUND(LOG10(_xlfn.XLOOKUP(B337,'Base stats'!B:B,'Base stats'!C:C)^(2/3))*10,5),5),5),30))-_xlfn.XLOOKUP(B337,'Base stats'!B:B,'Base stats'!P:P)+IF(CC337="True",5,0)</f>
        <v>-15</v>
      </c>
      <c r="M337" s="2">
        <f>IF(OR(_xlfn.XLOOKUP(_xlfn.XLOOKUP(B337,'Base stats'!B:B,'Base stats'!E:E),Groups!A:A,Groups!G:G)=2,ISNUMBER(SEARCH("Desert",BX337)),ISNUMBER(SEARCH("ExtremeDesert",BX337)),ISNUMBER(SEARCH("LavaField",BX337))),50,IF(ISNUMBER(SEARCH("Grasslands",BX337)),45,IF(OR(_xlfn.XLOOKUP(_xlfn.XLOOKUP(B337,'Base stats'!B:B,'Base stats'!E:E),Groups!A:A,Groups!G:G)=1,ISNUMBER(SEARCH("TropicalRainforest",BX337)),ISNUMBER(SEARCH("TropicalSwamp",BX337))),40,IF(OR(ISNUMBER(SEARCH("TemperateForest",BX337)),ISNUMBER(SEARCH("TemperateSwamp",BX337))),35,IF(OR(ISNUMBER(SEARCH("Alpine",BX337)),ISNUMBER(SEARCH("BorealForest",BX337)),ISNUMBER(SEARCH("ColdBog",BX337))),30,IF(ISNUMBER(OR(ISNUMBER(SEARCH("GlacialPlain",BX337)),SEARCH("Tundra",BX337))),25,IF(OR(ISNUMBER(SEARCH("SeaIce",BX337)),ISNUMBER(SEARCH("IceSheet",BX337)),ISNUMBER(SEARCH("TropicalSwamp",BX337))),10,35)))))))+_xlfn.XLOOKUP(B337,'Base stats'!B:B,'Base stats'!Q:Q)</f>
        <v>50</v>
      </c>
      <c r="N337" s="8">
        <f>IF(
_xlfn.XLOOKUP(
_xlfn.XLOOKUP(B337,'Base stats'!B:B,'Base stats'!E:E),
Groups!A:A,
Groups!L:L
)=1,
MIN(
MROUND(
IF(
_xlfn.XLOOKUP(B337,'Animals CE'!B:B,'Animals CE'!Z:Z)&lt;=1.5,
_xlfn.XLOOKUP(B337,'Animals CE'!B:B,'Animals CE'!Z:Z)/2+0.05,
0.8+
(_xlfn.XLOOKUP(B337,'Animals CE'!B:B,'Animals CE'!Z:Z)-1.5)
*0.02
),
0.05
),
200%
),
"No"
)</f>
        <v>0.1</v>
      </c>
      <c r="O337" s="8">
        <f>IF(
_xlfn.XLOOKUP(
_xlfn.XLOOKUP(B337,'Base stats'!B:B,'Base stats'!E:E),
Groups!A:A,
Groups!L:L
)=1,
MIN(
MROUND(
IF(
_xlfn.XLOOKUP(B337,'Animals CE'!B:B,'Animals CE'!AA:AA)&lt;=1.5,
_xlfn.XLOOKUP(B337,'Animals CE'!B:B,'Animals CE'!AA:AA)/2+0.05,
0.8+
(_xlfn.XLOOKUP(B337,'Animals CE'!B:B,'Animals CE'!AA:AA)-1.5)
*0.02
),
0.05
),
200%
),
"No"
)</f>
        <v>0.15000000000000002</v>
      </c>
      <c r="P337" s="2" t="str">
        <f>_xlfn.XLOOKUP(B337,'Base stats'!B:B,'Base stats'!R:R)</f>
        <v>Standard</v>
      </c>
      <c r="Q337" s="13">
        <f>MROUND((LOG10(_xlfn.XLOOKUP(B337,'Base stats'!B:B,'Base stats'!AR:AR))*(AO337^0.5)+(_xlfn.XLOOKUP(B337,'Base stats'!B:B,'Base stats'!AR:AR)/1000)^(2/3)+_xlfn.XLOOKUP(B337,'Base stats'!B:B,'Base stats'!BA:BA)/2)+0.5,0.5)</f>
        <v>6</v>
      </c>
      <c r="R337" s="7">
        <f>IF(Q337="No","No",MAX(1,MROUND(_xlfn.XLOOKUP(B337,'Base stats'!B:B,'Base stats'!C:C)^0.165,0.05)))</f>
        <v>1.85</v>
      </c>
      <c r="S337" s="13" t="str">
        <f>IF(_xlfn.XLOOKUP(_xlfn.XLOOKUP(B337,'Base stats'!B:B,'Base stats'!E:E),Groups!A:A,Groups!P:P)=0,"No",MROUND((LOG10(_xlfn.XLOOKUP(B337,'Base stats'!B:B,'Base stats'!AS:AS))*(AO337^0.5)+(_xlfn.XLOOKUP(B337,'Base stats'!B:B,'Base stats'!AS:AS)/1000)^(2/3)+_xlfn.XLOOKUP(B337,'Base stats'!B:B,'Base stats'!BA:BA))+_xlfn.XLOOKUP(B337,'Base stats'!B:B,'Base stats'!AY:AY)+0.5,0.5))</f>
        <v>No</v>
      </c>
      <c r="T337" s="7" t="str">
        <f>IF(S337="No","No",MAX(_xlfn.XLOOKUP(_xlfn.XLOOKUP(B337,'Base stats'!B:B,'Base stats'!E:E),Groups!A:A,Groups!Q:Q),MROUND(_xlfn.XLOOKUP(_xlfn.XLOOKUP(B337,'Base stats'!B:B,'Base stats'!E:E),Groups!A:A,Groups!Q:Q)*_xlfn.XLOOKUP(B337,'Base stats'!B:B,'Base stats'!C:C)^0.165,0.05)))</f>
        <v>No</v>
      </c>
      <c r="U337" s="7" t="str">
        <f>IF(S337="No","No",_xlfn.XLOOKUP(_xlfn.XLOOKUP(B337,'Base stats'!B:B,'Base stats'!E:E),Groups!A:A,Groups!R:R))</f>
        <v>No</v>
      </c>
      <c r="V337" s="7" t="str">
        <f>IF(S337="No","No",_xlfn.XLOOKUP(_xlfn.XLOOKUP(B337,'Base stats'!B:B,'Base stats'!E:E),Groups!A:A,Groups!S:S))</f>
        <v>No</v>
      </c>
      <c r="W337" s="7" t="str">
        <f>IF(S337="No","No",_xlfn.XLOOKUP(_xlfn.XLOOKUP(B337,'Base stats'!B:B,'Base stats'!E:E),Groups!A:A,Groups!T:T))</f>
        <v>No</v>
      </c>
      <c r="X337" s="13" t="str">
        <f>IF(_xlfn.XLOOKUP(B337,'Base stats'!B:B,'Base stats'!W:W)="No","No",MROUND((LOG10(_xlfn.XLOOKUP(B337,'Base stats'!B:B,'Base stats'!AU:AU))*(AO337^0.5)+(_xlfn.XLOOKUP(B337,'Base stats'!B:B,'Base stats'!AU:AU)/1000)^(2/3)+_xlfn.XLOOKUP(B337,'Base stats'!B:B,'Base stats'!AZ:AZ))+0.5+IF(_xlfn.XLOOKUP(_xlfn.XLOOKUP(B337,'Base stats'!B:B,'Base stats'!E:E),Groups!A:A,Groups!U:U)&lt;&gt;3,_xlfn.XLOOKUP(B337,'Base stats'!B:B,'Base stats'!BA:BA),0),0.5))</f>
        <v>No</v>
      </c>
      <c r="Y337" s="7" t="str">
        <f>IF(X337="No","No",MAX(_xlfn.XLOOKUP(_xlfn.XLOOKUP(B337,'Base stats'!B:B,'Base stats'!E:E),Groups!A:A,Groups!V:V),MROUND(_xlfn.XLOOKUP(_xlfn.XLOOKUP(B337,'Base stats'!B:B,'Base stats'!E:E),Groups!A:A,Groups!V:V)*_xlfn.XLOOKUP(B337,'Base stats'!B:B,'Base stats'!C:C)^0.165,0.05)))</f>
        <v>No</v>
      </c>
      <c r="Z337" s="7" t="str">
        <f>IF(X337="No","No",_xlfn.XLOOKUP(_xlfn.XLOOKUP(B337,'Base stats'!B:B,'Base stats'!E:E),Groups!A:A,Groups!W:W))</f>
        <v>No</v>
      </c>
      <c r="AA337" s="7" t="str">
        <f>IF(X337="No","No",_xlfn.XLOOKUP(_xlfn.XLOOKUP(B337,'Base stats'!B:B,'Base stats'!E:E),Groups!A:A,Groups!X:X))</f>
        <v>No</v>
      </c>
      <c r="AB337" s="7" t="str">
        <f>IF(X337="No","No",_xlfn.XLOOKUP(_xlfn.XLOOKUP(B337,'Base stats'!B:B,'Base stats'!E:E),Groups!A:A,Groups!Y:Y))</f>
        <v>No</v>
      </c>
      <c r="AC337" s="7" t="str">
        <f>_xlfn.XLOOKUP(Animals!B337,'Base stats'!B:B,'Base stats'!X:X)</f>
        <v>False</v>
      </c>
      <c r="AD337" s="13">
        <f>IF(_xlfn.XLOOKUP(B337,'Base stats'!B:B,'Base stats'!AT:AT)="No","No",MROUND((LOG10(_xlfn.XLOOKUP(B337,'Base stats'!B:B,'Base stats'!AT:AT))*(AO337^0.75)+(_xlfn.XLOOKUP(B337,'Base stats'!B:B,'Base stats'!AT:AT)/1000)^(2/3)+_xlfn.XLOOKUP(B337,'Base stats'!B:B,'Base stats'!AX:AX)+_xlfn.XLOOKUP(B337,'Base stats'!B:B,'Base stats'!BA:BA))+0.5,0.5))</f>
        <v>8.5</v>
      </c>
      <c r="AE337" s="7">
        <f>IF(AD337="No","No",MAX(_xlfn.XLOOKUP(_xlfn.XLOOKUP(B337,'Base stats'!B:B,'Base stats'!E:E),Groups!A:A,Groups!Z:Z),MROUND(_xlfn.XLOOKUP(_xlfn.XLOOKUP(B337,'Base stats'!B:B,'Base stats'!E:E),Groups!A:A,Groups!Z:Z)*_xlfn.XLOOKUP(B337,'Base stats'!B:B,'Base stats'!C:C)^0.165,0.05)))</f>
        <v>1.85</v>
      </c>
      <c r="AF337" s="7" t="str">
        <f>IF(AD337="No","No",_xlfn.XLOOKUP(_xlfn.XLOOKUP(B337,'Base stats'!B:B,'Base stats'!E:E),Groups!A:A,Groups!AA:AA))</f>
        <v>Mouth</v>
      </c>
      <c r="AG337" s="7" t="str">
        <f>IF(AD337="No","No",_xlfn.XLOOKUP(_xlfn.XLOOKUP(B337,'Base stats'!B:B,'Base stats'!E:E),Groups!A:A,Groups!AB:AB))</f>
        <v>radula</v>
      </c>
      <c r="AH337" s="7" t="str">
        <f>IF(AD337="No","No",_xlfn.XLOOKUP(_xlfn.XLOOKUP(B337,'Base stats'!B:B,'Base stats'!E:E),Groups!A:A,Groups!AC:AC))</f>
        <v>Bite</v>
      </c>
      <c r="AI337" s="13" t="str">
        <f>IF(_xlfn.XLOOKUP(_xlfn.XLOOKUP(B337,'Base stats'!B:B,'Base stats'!E:E),Groups!A:A,Groups!AD:AD)=0,"No",MROUND((LOG10(_xlfn.XLOOKUP(B337,'Base stats'!B:B,'Base stats'!AS:AS))*(AO337^0.75)+(_xlfn.XLOOKUP(B337,'Base stats'!B:B,'Base stats'!AS:AS)/1000)^(2/3)+_xlfn.XLOOKUP(B337,'Base stats'!B:B,'Base stats'!AY:AY)+_xlfn.XLOOKUP(B337,'Base stats'!B:B,'Base stats'!BA:BA))+0.5,0.5))</f>
        <v>No</v>
      </c>
      <c r="AJ337" s="7" t="str">
        <f>IF(AI337="No","No",MAX(_xlfn.XLOOKUP(_xlfn.XLOOKUP(B337,'Base stats'!B:B,'Base stats'!E:E),Groups!A:A,Groups!AE:AE),MROUND(_xlfn.XLOOKUP(_xlfn.XLOOKUP(B337,'Base stats'!B:B,'Base stats'!E:E),Groups!A:A,Groups!AE:AE)*IF(_xlfn.XLOOKUP(_xlfn.XLOOKUP(B337,'Base stats'!B:B,'Base stats'!E:E),Groups!A:A,Groups!AJ:AJ)="Photonozoa",0.6,1)*_xlfn.XLOOKUP(B337,'Base stats'!B:B,'Base stats'!C:C)^0.165,0.05)))</f>
        <v>No</v>
      </c>
      <c r="AK337" s="7" t="str">
        <f>IF(AI337="No","No",_xlfn.XLOOKUP(_xlfn.XLOOKUP(B337,'Base stats'!B:B,'Base stats'!E:E),Groups!A:A,Groups!AF:AF))</f>
        <v>No</v>
      </c>
      <c r="AL337" s="7" t="str">
        <f>IF(AI337="No","No",_xlfn.XLOOKUP(_xlfn.XLOOKUP(B337,'Base stats'!B:B,'Base stats'!E:E),Groups!A:A,Groups!AG:AG))</f>
        <v>No</v>
      </c>
      <c r="AM337" s="7" t="str">
        <f>IF(AI337="No","No",_xlfn.XLOOKUP(_xlfn.XLOOKUP(B337,'Base stats'!B:B,'Base stats'!E:E),Groups!A:A,Groups!AH:AH))</f>
        <v>No</v>
      </c>
      <c r="AN337" s="2" t="str">
        <f t="shared" si="35"/>
        <v>No</v>
      </c>
      <c r="AO337" s="2">
        <f>MROUND(IF(AND(_xlfn.XLOOKUP(B337,'Base stats'!B:B,'Base stats'!C:C)&gt;=0.5,_xlfn.XLOOKUP(B337,'Base stats'!B:B,'Base stats'!C:C)&lt;=0.8),
IF(_xlfn.XLOOKUP(B337,'Base stats'!B:B,'Base stats'!C:C)&lt;0.1,0.05,IF(_xlfn.XLOOKUP(B337,'Base stats'!B:B,'Base stats'!C:C)&lt;=70,(_xlfn.XLOOKUP(B337,'Base stats'!B:B,'Base stats'!C:C)/70)^0.426489913056526,IF(_xlfn.XLOOKUP(B337,'Base stats'!B:B,'Base stats'!C:C)&lt;=400,(_xlfn.XLOOKUP(B337,'Base stats'!B:B,'Base stats'!C:C)/70)^0.572811455315093,IF(_xlfn.XLOOKUP(B337,'Base stats'!B:B,'Base stats'!C:C)&lt;=2000,2.71391647193063*(_xlfn.XLOOKUP(B337,'Base stats'!B:B,'Base stats'!C:C)/400)^0.252459582904293,3.74314280240376*(_xlfn.XLOOKUP(B337,'Base stats'!B:B,'Base stats'!C:C)/2000)^0.357012633876913)))),
IF(_xlfn.XLOOKUP(B337,'Base stats'!B:B,'Base stats'!C:C)&lt;0.1,0.05,IF(_xlfn.XLOOKUP(B337,'Base stats'!B:B,'Base stats'!C:C)&lt;0.4,0.1,IF(_xlfn.XLOOKUP(B337,'Base stats'!B:B,'Base stats'!C:C)&lt;=70,(_xlfn.XLOOKUP(B337,'Base stats'!B:B,'Base stats'!C:C)/70)^0.445823913056526,IF(_xlfn.XLOOKUP(B337,'Base stats'!B:B,'Base stats'!C:C)&lt;=400,(_xlfn.XLOOKUP(B337,'Base stats'!B:B,'Base stats'!C:C)/70)^0.572811455315093,IF(_xlfn.XLOOKUP(B337,'Base stats'!B:B,'Base stats'!C:C)&lt;=2000,2.71391647193063*(_xlfn.XLOOKUP(B337,'Base stats'!B:B,'Base stats'!C:C)/400)^0.252459582904293,3.74314280240376*(_xlfn.XLOOKUP(B337,'Base stats'!B:B,'Base stats'!C:C)/2000)^0.357012633876913)))))),
IF(_xlfn.XLOOKUP(B337,'Base stats'!B:B,'Base stats'!C:C)&lt;0.1,0.05,IF(_xlfn.XLOOKUP(B337,'Base stats'!B:B,'Base stats'!C:C)&lt;=100,0.05,IF(_xlfn.XLOOKUP(B337,'Base stats'!B:B,'Base stats'!C:C)&lt;=250,0.1,IF(_xlfn.XLOOKUP(B337,'Base stats'!B:B,'Base stats'!C:C)&lt;=4000,0.25,0.5)))))</f>
        <v>0.8</v>
      </c>
      <c r="AP337" s="8">
        <f>MROUND(AO337*_xlfn.XLOOKUP(_xlfn.XLOOKUP(B337,'Base stats'!B:B,'Base stats'!E:E),Groups!A:A,Groups!AI:AI)*_xlfn.XLOOKUP(B337,'Base stats'!B:B,'Base stats'!Z:Z),0.05)</f>
        <v>0.8</v>
      </c>
      <c r="AQ337" s="8">
        <f>MAX(0.01,MROUND(IF(CC337="True",0.196*(AO337*100*1000)^0.889,IF(_xlfn.XLOOKUP(_xlfn.XLOOKUP(B337,'Base stats'!B:B,'Base stats'!E:E),Groups!A:A,Groups!AJ:AJ)="Bird",10.5*(AO337*100*1000)^0.681,4.82*(AO337*100*1000)^0.734))/(4.82*(1*100*1000)^0.734)/IF(AO337&lt;3.5,2,IF(AO337=3.5,1.5,1.25))*(1+0.132282374779864/(AO337^0.994035016789033+0.00905238001496948)),0.05))</f>
        <v>0.1</v>
      </c>
      <c r="AR337" s="9">
        <f>IFERROR(MROUND(_xlfn.XLOOKUP(B337,'Base stats'!B:B,'Base stats'!H:H)/IF(_xlfn.XLOOKUP(B337,'Base stats'!B:B,'Base stats'!I:I)&lt;&gt;1,(122.5/70),1.2),IF(_xlfn.XLOOKUP(B337,'Base stats'!B:B,'Base stats'!H:H)&gt;=30,5,IF(_xlfn.XLOOKUP(B337,'Base stats'!B:B,'Base stats'!H:H)&gt;=15,3,IF(_xlfn.XLOOKUP(B337,'Base stats'!B:B,'Base stats'!H:H)&gt;=10,2,1)))),"Immortal")</f>
        <v>18</v>
      </c>
      <c r="AS337" s="35">
        <f>IFERROR(IF(OR(_xlfn.XLOOKUP(B337,'Base stats'!B:B,'Base stats'!F:F)="Atypical reproduction",_xlfn.XLOOKUP(B337,'Base stats'!B:B,'Base stats'!F:F)="Lay eggs"),"Lay eggs",MIN(20,MAX(5.5,ROUND(((_xlfn.XLOOKUP(B337,'Base stats'!B:B,'Base stats'!F:F)-25)*(14.5/615) + 5.5)*2,0)/2))),"Unknown")</f>
        <v>8</v>
      </c>
      <c r="AT337" s="8">
        <f>IF(_xlfn.XLOOKUP(B337,'Base stats'!B:B,'Base stats'!G:G)="Atypical reproduction","No",IFERROR(MAX(IF(_xlfn.XLOOKUP(B337,'Base stats'!B:B,'Base stats'!G:G)&lt;0.5,0.2,0.3),MROUND(_xlfn.XLOOKUP(B337,'Base stats'!B:B,'Base stats'!G:G)/(365/60),0.2)),"Unknown"))</f>
        <v>0.3</v>
      </c>
      <c r="AU337" s="8">
        <f t="shared" si="36"/>
        <v>0.15000000000000002</v>
      </c>
      <c r="AV337" s="8">
        <f>IFERROR(IFERROR(MROUND(_xlfn.XLOOKUP(B337,'Base stats'!B:B,'Base stats'!J:J),0.1),"Lay eggs"),"Cannot breed")</f>
        <v>1</v>
      </c>
      <c r="AW337" s="2" t="str">
        <f t="shared" si="37"/>
        <v>false</v>
      </c>
      <c r="AX337" s="2" t="str">
        <f>IF(_xlfn.XLOOKUP(_xlfn.XLOOKUP(Animals!B337,'Base stats'!B:B,'Base stats'!E:E),Groups!A:A,Groups!AK:AK)=1,"true","false")</f>
        <v>false</v>
      </c>
      <c r="AY337" s="25" t="str">
        <f>IF(_xlfn.XLOOKUP(B337,'Base stats'!B:B,'Base stats'!Y:Y)="Liquor","Liquor, CarnivoreAnimalStrict",IF(AND(_xlfn.XLOOKUP(B337,'Base stats'!B:B,'Base stats'!Y:Y)="Carnivore",_xlfn.XLOOKUP(_xlfn.XLOOKUP(B337,'Base stats'!B:B,'Base stats'!E:E),Groups!A:A,Groups!AJ:AJ)="Photonozoa"),"CarnivoreAnimalStrict, OvivoreAnimal",IF(_xlfn.XLOOKUP(B337,'Base stats'!B:B,'Base stats'!Y:Y)="Carnivore","CarnivoreAnimal, OvivoreAnimal",IF(_xlfn.XLOOKUP(B337,'Base stats'!B:B,'Base stats'!Y:Y)="Dendrovore","VegetarianRoughAnimal, DendrovoreAnimal",IF(_xlfn.XLOOKUP(B337,'Base stats'!B:B,'Base stats'!Y:Y)="Herbivore","VegetarianRoughAnimal",IF(_xlfn.XLOOKUP(B337,'Base stats'!B:B,'Base stats'!Y:Y)="OmnivoreRough","OmnivoreRoughAnimal, OvivoreAnimal","OmnivoreAnimal, OvivoreAnimal"))))))</f>
        <v>VegetarianRoughAnimal</v>
      </c>
      <c r="AZ337" s="2">
        <f>IF(_xlfn.XLOOKUP(_xlfn.XLOOKUP(B337,'Base stats'!B:B,'Base stats'!E:E),Groups!A:A,Groups!D:D)=1,MROUND((1-J337)*5+1,2)*IF(J337&lt;=0.4,2,1),"No")</f>
        <v>4</v>
      </c>
      <c r="BA337" s="2" t="str">
        <f>IF(AND(_xlfn.XLOOKUP(B337,'Base stats'!B:B,'Base stats'!AH:AH)="&lt;li&gt;Seal&lt;/li&gt;",G337="Odyssey"),"&lt;li&gt;AEXP_Seal&lt;/li&gt;",_xlfn.XLOOKUP(B337,'Base stats'!B:B,'Base stats'!AH:AH))</f>
        <v>&lt;li&gt;AA_BoulderMit&lt;/li&gt;</v>
      </c>
      <c r="BB337" s="2" t="str">
        <f>_xlfn.XLOOKUP(B337,'Base stats'!B:B,'Base stats'!AG:AG)</f>
        <v>No</v>
      </c>
      <c r="BC337" s="23" t="str">
        <f>_xlfn.XLOOKUP(_xlfn.XLOOKUP(B337,'Base stats'!B:B,'Base stats'!E:E),Groups!A:A,Groups!AL:AL)</f>
        <v>Slug</v>
      </c>
      <c r="BD337" s="23">
        <f>MIN(1,MROUND(IF(AND(AO337&lt;0.5,_xlfn.XLOOKUP(B337,'Base stats'!B:B,'Base stats'!AA:AA)=0),0,IF(OR(_xlfn.XLOOKUP(Animals!B337,'Base stats'!B:B,'Base stats'!O:O)=2,_xlfn.XLOOKUP(_xlfn.XLOOKUP(B337,'Base stats'!B:B,'Base stats'!E:E),Groups!A:A,Groups!AN:AN)=0),0,_xlfn.XLOOKUP(_xlfn.XLOOKUP(B337,'Base stats'!B:B,'Base stats'!E:E),Groups!A:A,Groups!AN:AN)/IF(_xlfn.XLOOKUP(Animals!B337,'Base stats'!B:B,'Base stats'!O:O)=1,2,1)))+_xlfn.XLOOKUP(B337,'Base stats'!B:B,'Base stats'!AC:AC),0.005))</f>
        <v>0</v>
      </c>
      <c r="BE337" s="23">
        <f>MIN(1,MROUND(IF(AND(AO337&lt;0.5,_xlfn.XLOOKUP(B337,'Base stats'!B:B,'Base stats'!AA:AA)=0),0,IF(_xlfn.XLOOKUP(_xlfn.XLOOKUP(B337,'Base stats'!B:B,'Base stats'!E:E),Groups!A:A,Groups!AO:AO)=0,0,_xlfn.XLOOKUP(_xlfn.XLOOKUP(B337,'Base stats'!B:B,'Base stats'!E:E),Groups!A:A,Groups!AO:AO)/IF(_xlfn.XLOOKUP(Animals!B337,'Base stats'!B:B,'Base stats'!O:O)=2,3,1)))+_xlfn.XLOOKUP(B337,'Base stats'!B:B,'Base stats'!AD:AD),0.005))</f>
        <v>0</v>
      </c>
      <c r="BF337" s="2" t="str">
        <f>IF(J337&gt;0.3,"No",_xlfn.XLOOKUP(_xlfn.XLOOKUP(Animals!B337,'Base stats'!B:B,'Base stats'!E:E),Groups!A:A,Groups!AP:AP))</f>
        <v>No</v>
      </c>
      <c r="BG337" s="2" t="str">
        <f>IF(AND(J337&lt;=0.65,_xlfn.XLOOKUP(_xlfn.XLOOKUP(Animals!B337,'Base stats'!B:B,'Base stats'!E:E),Groups!A:A,Groups!AP:AP)&lt;&gt;"No",_xlfn.XLOOKUP(_xlfn.XLOOKUP(B337,'Base stats'!B:B,'Base stats'!E:E),Groups!A:A,Groups!D:D)=0),MROUND((80/3)*IF(_xlfn.XLOOKUP(B337,'Base stats'!B:B,'Base stats'!O:O)=2,0.2,AO337) + 24*(1-IF(BF337="No",0,BF337)) + 16/3, 12),"No")</f>
        <v>No</v>
      </c>
      <c r="BH337" s="2">
        <f>IF(AND(_xlfn.XLOOKUP(_xlfn.XLOOKUP(B337,'Base stats'!B:B,'Base stats'!E:E),Groups!A:A,Groups!AQ:AQ)=1,AO337&lt;=0.35),8,12)</f>
        <v>12</v>
      </c>
      <c r="BI337" s="2" t="str">
        <f>IF(_xlfn.XLOOKUP(_xlfn.XLOOKUP(B337,'Base stats'!B:B,'Base stats'!E:E),Groups!A:A,Groups!D:D)=0,_xlfn.XLOOKUP(_xlfn.XLOOKUP(B337,'Base stats'!B:B,'Base stats'!E:E),Groups!A:A,Groups!AR:AR),"None")</f>
        <v>None</v>
      </c>
      <c r="BJ337" s="2" t="str">
        <f>IF(AND(_xlfn.XLOOKUP(_xlfn.XLOOKUP(B337,'Base stats'!B:B,'Base stats'!E:E),Groups!A:A,Groups!AS:AS)=1,OR(_xlfn.XLOOKUP(B337,'Base stats'!B:B,'Base stats'!Y:Y)="Carnivore",_xlfn.XLOOKUP(B337,'Base stats'!B:B,'Base stats'!Y:Y)="Omnivore")),"true","false")</f>
        <v>false</v>
      </c>
      <c r="BK337" s="2" t="str">
        <f>IF(BJ337="true",MROUND(IF(AND(AO337&gt;0.5,OR(_xlfn.XLOOKUP(_xlfn.XLOOKUP(B337,'Base stats'!B:B,'Base stats'!E:E),Groups!A:A,Groups!AJ:AJ)="Photonozoa",_xlfn.XLOOKUP(_xlfn.XLOOKUP(B337,'Base stats'!B:B,'Base stats'!E:E),Groups!A:A,Groups!AJ:AJ)="Mammal")),Animals!AO337*1.75*IF(AW337="true",1.5,1),IF(AO337&lt;0.5,Animals!AO337*0.5,Animals!AO337)),IF(AO337&gt;2,0.5,IF(AO337&gt;0.5,0.25,0.1))),"No")</f>
        <v>No</v>
      </c>
      <c r="BL337" s="2">
        <f t="shared" si="38"/>
        <v>0</v>
      </c>
      <c r="BM337" s="25" t="str">
        <f>IF(_xlfn.XLOOKUP(B337,'Base stats'!B:B,'Base stats'!AN:AN)="Standard","No",MROUND((_xlfn.XLOOKUP(B337,'Base stats'!B:B,'Base stats'!AN:AN)/3.6)/I337,0.1))</f>
        <v>No</v>
      </c>
      <c r="BN337" s="25" t="str">
        <f t="shared" si="39"/>
        <v>false</v>
      </c>
      <c r="BO337" s="25" t="str">
        <f>IF(AND(OR(_xlfn.XLOOKUP(B337,'Base stats'!B:B,'Base stats'!Y:Y)="Carnivore",_xlfn.XLOOKUP(B337,'Base stats'!B:B,'Base stats'!Y:Y)="Omnivore",_xlfn.XLOOKUP(B337,'Base stats'!B:B,'Base stats'!Y:Y)="OmnivoreRough"),_xlfn.XLOOKUP(_xlfn.XLOOKUP(B337,'Base stats'!B:B,'Base stats'!E:E),Groups!A:A,Groups!AT:AT)=1),"true","false")</f>
        <v>false</v>
      </c>
      <c r="BP337" s="25" t="str" cm="1">
        <f t="array" ref="BP337">IF(
  _xlfn.TEXTJOIN(", ",TRUE,
    IF(AND(BJ337="true",AO337&gt;0.5,BI337&lt;&gt;"None"),"AttackTarget",""),
    IF(AND(_xlfn.XLOOKUP(_xlfn.XLOOKUP(B337,'Base stats'!B:B,'Base stats'!E:E),Groups!A:A,Groups!AJ:AJ="Mammal"),OR(_xlfn.XLOOKUP(B337,'Base stats'!B:B,'Base stats'!Y:Y)="Omnivore",_xlfn.XLOOKUP(B337,'Base stats'!B:B,'Base stats'!Y:Y)="OmnivoreRough")),"Forage",""),
    IF(BG337&lt;=36,"Comfort",""),
    IF(_xlfn.XLOOKUP(B337,'Base stats'!B:B,'Base stats'!AE:AE)&lt;&gt;"No",_xlfn.XLOOKUP(B337,'Base stats'!B:B,'Base stats'!AE:AE),"")
  ) = "",
  "No",
  _xlfn.TEXTJOIN(", ",TRUE,
    IF(AND(BJ337="true",AO337&gt;0.5,BI337&lt;&gt;"None"),"AttackTarget",""),
    IF(AND(_xlfn.XLOOKUP(_xlfn.XLOOKUP(B337,'Base stats'!B:B,'Base stats'!E:E),Groups!A:A,Groups!AJ:AJ="Mammal"),OR(_xlfn.XLOOKUP(B337,'Base stats'!B:B,'Base stats'!Y:Y)="Omnivore",_xlfn.XLOOKUP(B337,'Base stats'!B:B,'Base stats'!Y:Y)="OmnivoreRough")),"Forage",""),
    IF(BG337&lt;=36,"Comfort",""),
    IF(_xlfn.XLOOKUP(B337,'Base stats'!B:B,'Base stats'!AE:AE)&lt;&gt;"No",_xlfn.XLOOKUP(B337,'Base stats'!B:B,'Base stats'!AE:AE),"")
  )
)</f>
        <v>No</v>
      </c>
      <c r="BQ337" s="25" t="str">
        <f>IF(
   AND(
      'Base stats'!AN337="Standard",_xlfn.XLOOKUP(_xlfn.XLOOKUP(B337,'Base stats'!B:B,'Base stats'!E:E),Groups!A:A,Groups!AU:AU)=0,
      OR(
      BO337="True"
      )
   ),
   10,
   IF(
       OR(BM337&lt;&gt;"No",_xlfn.XLOOKUP(_xlfn.XLOOKUP(B337,'Base stats'!B:B,'Base stats'!E:E),Groups!A:A,Groups!AU:AU)=1),
      1,
      "No"
   )
)</f>
        <v>No</v>
      </c>
      <c r="BR337" s="9">
        <f>MROUND((1 + ((0.2*IF(OR(Q337="No",R337="No",R337=0),0,Q337/R337)
+IF(OR(V337="No",S337="No",T337="No"),0,S337/T337*(LEN(V337)-LEN(SUBSTITUTE(V337,",",""))+1))
+IF(OR(X337="No",Y337="No"),0,X337/Y337)
+IF(OR(AD337="No",AE337="No"),0,AD337/AE337)
+IF(OR(AL337="No",AI337="No",AJ337="No"),0,AI337/AJ337*(LEN(AL337)-LEN(SUBSTITUTE(AL337,",",""))+1))
)/(0.2*IF(OR(Q337="No",R337="No",R337=0),0,1)
+IF(OR(V337="No",S337="No",T337="No"),0,LEN(V337)-LEN(SUBSTITUTE(V337,",",""))+1)
+IF(OR(X337="No",Y337="No"),0,1)
+IF(OR(AD337="No",AE337="No"),0,1)
+IF(OR(AL337="No",AI337="No",AJ337="No"),0,LEN(AL337)-LEN(SUBSTITUTE(AL337,",",""))+1))*62%)* 2)*(1 + (AP337 / (IF(_xlfn.XLOOKUP(_xlfn.XLOOKUP(B337,'Base stats'!B:B,'Base stats'!E:E),Groups!A:A,Groups!AJ:AJ)="Photonozoa",0.3,1)) + _xlfn.XLOOKUP(B337,'Base stats'!B:B,'Base stats'!AV:AV) * 1.8) * 2) * 2.5 + 10 + I337 * 2,5)+IF(_xlfn.XLOOKUP(B337,'Base stats'!B:B,'Base stats'!AK:AK)=1,50,0)</f>
        <v>60</v>
      </c>
      <c r="BS337" s="8">
        <f t="shared" si="40"/>
        <v>0.25</v>
      </c>
      <c r="BT337" s="8" t="str">
        <f>_xlfn.XLOOKUP(B337,'Base stats'!B:B,'Base stats'!AF:AF)</f>
        <v>No</v>
      </c>
      <c r="BU337" s="2" t="str">
        <f>IF(AND(J337&lt;=0.95,OR(_xlfn.XLOOKUP(B337,'Base stats'!B:B,'Base stats'!AK:AK)=1,_xlfn.XLOOKUP(B337,'Base stats'!B:B,'Base stats'!Y:Y)="Carnivore",_xlfn.XLOOKUP(B337,'Base stats'!B:B,'Base stats'!Y:Y)="Omnivore",BE337&gt;0.1)),"true","false")</f>
        <v>false</v>
      </c>
      <c r="BV337" s="2" t="str">
        <f>IF(_xlfn.XLOOKUP(B337,'Base stats'!B:B,'Base stats'!AI:AI)=1,"true","false")</f>
        <v>false</v>
      </c>
      <c r="BW337" s="25" t="str">
        <f>IF(E337="BaseInsect","AnimalInsect",
IF(J337&gt;0.95,"AnimalExotic",
_xlfn.TEXTJOIN(", ",TRUE,
IF(OR(_xlfn.XLOOKUP(B337,'Base stats'!B:B,'Base stats'!AM:AM)=1,AND(_xlfn.XLOOKUP(B337,'Base stats'!B:B,'Base stats'!O:O)=0,_xlfn.XLOOKUP(_xlfn.XLOOKUP(B337,'Base stats'!B:B,'Base stats'!E:E),Groups!A:A,Groups!B:B)&gt;0)),"AnimalUncommon","AnimalCommon"),
IF(AND(_xlfn.XLOOKUP(B337,'Base stats'!B:B,'Base stats'!O:O)=2,_xlfn.XLOOKUP(_xlfn.XLOOKUP(B337,'Base stats'!B:B,'Base stats'!E:E),Groups!A:A,Groups!D:D)=0),"AnimalPet",IF(AND(_xlfn.XLOOKUP(B337,'Base stats'!B:B,'Base stats'!O:O)&lt;&gt;0,_xlfn.XLOOKUP(_xlfn.XLOOKUP(B337,'Base stats'!B:B,'Base stats'!E:E),Groups!A:A,Groups!D:D)&lt;&gt;0),"AnimalFarm","")),
IF(OR(_xlfn.XLOOKUP(B337,'Base stats'!B:B,'Base stats'!AK:AK)=1,AND(BI337&lt;&gt;"None",BR337&gt;=60),ISNUMBER(SEARCH("Attack target",BP337))),"AnimalFighter","")
)))</f>
        <v>AnimalUncommon</v>
      </c>
      <c r="BX337" s="25" t="str">
        <f>IF(G337="None",TRIM(
SUBSTITUTE(
IF(COUNTIF(Biomes!B$2:B$259,"="&amp;$C337)&gt;0,Biomes!B$1&amp;", ","")&amp;
IF(COUNTIF(Biomes!C$2:C$259,"="&amp;$C337)&gt;0,Biomes!C$1&amp;", ","")&amp;
IF(COUNTIF(Biomes!D$2:D$259,"="&amp;$C337)&gt;0,Biomes!D$1&amp;", ","")&amp;
IF(COUNTIF(Biomes!F$2:F$259,"="&amp;$C337)&gt;0,Biomes!F$1&amp;", ","")&amp;
IF(COUNTIF(Biomes!G$2:G$259,"="&amp;$C337)&gt;0,Biomes!G$1&amp;", ","")&amp;
IF(COUNTIF(Biomes!H$2:H$259,"="&amp;$C337)&gt;0,Biomes!H$1&amp;", ","")&amp;
IF(COUNTIF(Biomes!I$2:I$259,"="&amp;$C337)&gt;0,Biomes!I$1&amp;", ","")&amp;
IF(COUNTIF(Biomes!J$2:J$259,"="&amp;$C337)&gt;0,Biomes!J$1&amp;", ","")&amp;
IF(COUNTIF(Biomes!M$2:M$259,"="&amp;$C337)&gt;0,Biomes!M$1&amp;", ","")&amp;
IF(COUNTIF(Biomes!N$2:N$259,"="&amp;$C337)&gt;0,Biomes!N$1&amp;", ","")&amp;
IF(COUNTIF(Biomes!O$2:O$259,"="&amp;$C337)&gt;0,Biomes!O$1&amp;", ","")&amp;
IF(COUNTIF(Biomes!P$2:P$259,"="&amp;$C337)&gt;0,Biomes!P$1&amp;", ","")&amp;
IF(COUNTIF(Biomes!K$2:K$259,"="&amp;$C337)&gt;0,Biomes!K$1&amp;", ","")&amp;
IF(COUNTIF(Biomes!Q$3:Q$259,"="&amp;$C337)&gt;0,Biomes!Q$1&amp;", ","")&amp;
IF(COUNTIF(Biomes!L$2:L$259,"="&amp;$C337)&gt;0,Biomes!L$1&amp;", ","")&amp;
IF(COUNTIF(Biomes!E$2:E$259,"="&amp;$C337)&gt;0,Biomes!E$1&amp;", ","")&amp;IF(COUNTIF(Biomes!S$2:S$259,"="&amp;$C337)&gt;0,Biomes!S$1&amp;", ","")&amp;
IF(COUNTIF(Biomes!R$2:R$259,"="&amp;$C337)&gt;0,Biomes!R$1&amp;", ",""),", ","")
),_xlfn.XLOOKUP(B337,B:B,BX:BX))</f>
        <v>TemperateForest TemperateSwamp AridShrubland Desert ExtremeDesert TropicalRainforest TropicalSwamp Grasslands Glowforest LavaField Scarlands</v>
      </c>
      <c r="BY337" s="25" t="str">
        <f>IF(_xlfn.XLOOKUP(B337,'Base stats'!B:B,'Base stats'!AJ:AJ)=1,"true","false")</f>
        <v>false</v>
      </c>
      <c r="BZ337" s="25">
        <f>IF(_xlfn.XLOOKUP(B337,'Base stats'!B:B,'Base stats'!N:N)=1,"No",MAX(0.001,MIN(MROUND(IF(AND(BJ337="True",CC337="False"),POWER(10,3.47*LOG10(_xlfn.XLOOKUP(B337,'Base stats'!B:B,'Base stats'!C:C)*1000)^-0.96),POWER(10,4.15*LOG10(_xlfn.XLOOKUP(B337,'Base stats'!B:B,'Base stats'!C:C)*1000)^-0.73))*IF(_xlfn.XLOOKUP(B337,'Base stats'!B:B,'Base stats'!AK:AK)=1,0.5,1)*IF(_xlfn.XLOOKUP(B337,'Base stats'!B:B,'Base stats'!AM:AM)=1,0.1,1)/100,IF(_xlfn.XLOOKUP(B337,'Base stats'!B:B,'Base stats'!AM:AM)=1,0.001,0.025)),0.5)))</f>
        <v>2.3E-2</v>
      </c>
      <c r="CA337" s="25" t="str">
        <f>IF(P337="Standard","No",MAX(0.001,MIN(MROUND(IF(AND(BJ337="True",CC337="False"),POWER(10,3.47*LOG10(_xlfn.XLOOKUP(B337,'Base stats'!B:B,'Base stats'!C:C)*1000)^-0.96),POWER(10,4.15*LOG10(_xlfn.XLOOKUP(B337,'Base stats'!B:B,'Base stats'!C:C)*1000)^-0.73))*IF(_xlfn.XLOOKUP(B337,'Base stats'!B:B,'Base stats'!AM:AM)=1,0.1,1)*_xlfn.XLOOKUP(B337,'Base stats'!B:B,'Base stats'!R:R)/100,IF(_xlfn.XLOOKUP(B337,'Base stats'!B:B,'Base stats'!AM:AM)=1,0.001,0.025)),0.5)))</f>
        <v>No</v>
      </c>
      <c r="CB337" s="25" t="str">
        <f>IF(_xlfn.XLOOKUP(_xlfn.XLOOKUP(B337,'Base stats'!B:B,'Base stats'!E:E),Groups!A:A,Groups!AJ:AJ)="Mammal","True","False")</f>
        <v>False</v>
      </c>
      <c r="CC337" s="25" t="str">
        <f>IF(OR(_xlfn.XLOOKUP(_xlfn.XLOOKUP(B337,'Base stats'!B:B,'Base stats'!E:E),Groups!A:A,Groups!AJ:AJ)="Reptile",_xlfn.XLOOKUP(_xlfn.XLOOKUP(B337,'Base stats'!B:B,'Base stats'!E:E),Groups!A:A,Groups!AJ:AJ)="Amphibian",_xlfn.XLOOKUP(_xlfn.XLOOKUP(B337,'Base stats'!B:B,'Base stats'!E:E),Groups!A:A,Groups!AJ:AJ)="Invertebrate"),"True","False")</f>
        <v>True</v>
      </c>
      <c r="CD337" s="25" t="str">
        <f t="shared" si="41"/>
        <v>False</v>
      </c>
      <c r="CE337" s="25" t="str">
        <f>IF(_xlfn.XLOOKUP(_xlfn.XLOOKUP(B337,'Base stats'!B:B,'Base stats'!E:E),Groups!A:A,Groups!AX:AX),"True","False")</f>
        <v>False</v>
      </c>
      <c r="CF337" s="25" t="str">
        <f>IF(_xlfn.XLOOKUP(_xlfn.XLOOKUP(B337,'Base stats'!B:B,'Base stats'!E:E),Groups!A:A,Groups!AY:AY),"True","False")</f>
        <v>False</v>
      </c>
      <c r="CG337" s="25" t="str">
        <f>IF(_xlfn.XLOOKUP(_xlfn.XLOOKUP(B337,'Base stats'!B:B,'Base stats'!E:E),Groups!A:A,Groups!AW:AW),"True","False")</f>
        <v>False</v>
      </c>
      <c r="CH337" s="25" t="str">
        <f>IF(
OR(
_xlfn.XLOOKUP(_xlfn.XLOOKUP(B337,'Base stats'!B:B,'Base stats'!E:E),Groups!A:A,Groups!AZ:AZ)=0,
AND(
_xlfn.XLOOKUP(B337,'Base stats'!B:B,'Base stats'!Y:Y)&lt;&gt;"Carnivore",
_xlfn.XLOOKUP(B337,'Base stats'!B:B,'Base stats'!Y:Y)&lt;&gt;"Omnivore",
_xlfn.XLOOKUP(B337,'Base stats'!B:B,'Base stats'!Y:Y)&lt;&gt;"OmnivoreRough"
)
),
"No",
IF(
_xlfn.XLOOKUP(_xlfn.XLOOKUP(B337,'Base stats'!B:B,'Base stats'!E:E),Groups!A:A,Groups!AZ:AZ)=1,
"Flesh",
IF(
_xlfn.XLOOKUP(_xlfn.XLOOKUP(B337,'Base stats'!B:B,'Base stats'!E:E),Groups!A:A,Groups!AZ:AZ)=2,
"Bone",
""
)
)
)</f>
        <v>No</v>
      </c>
      <c r="CI337" s="25" t="str">
        <f>IF(_xlfn.XLOOKUP(_xlfn.XLOOKUP(B337,'Base stats'!B:B,'Base stats'!E:E),Groups!A:A,Groups!BB:BB),"True","False")</f>
        <v>False</v>
      </c>
      <c r="CJ337" s="25" t="str">
        <f>IF(_xlfn.XLOOKUP(_xlfn.XLOOKUP(B337,'Base stats'!B:B,'Base stats'!E:E),Groups!A:A,Groups!BA:BA),"True","False")</f>
        <v>False</v>
      </c>
    </row>
    <row r="338" spans="1:88" ht="16.5" thickTop="1" thickBot="1" x14ac:dyDescent="0.3">
      <c r="A338" s="26" t="s">
        <v>1588</v>
      </c>
      <c r="B338" s="6" t="str">
        <f>_xlfn.XLOOKUP(A338,'Base stats'!A:A,'Base stats'!B:B)</f>
        <v>Limax tetrapodium</v>
      </c>
      <c r="C338" s="28" t="s">
        <v>1589</v>
      </c>
      <c r="D338" s="28" t="s">
        <v>1341</v>
      </c>
      <c r="E338" s="28" t="s">
        <v>673</v>
      </c>
      <c r="F338" s="28" t="s">
        <v>673</v>
      </c>
      <c r="G338" s="28" t="s">
        <v>673</v>
      </c>
      <c r="H338" s="2">
        <f>MROUND((
  (IF(AND(_xlfn.XLOOKUP(B338,'Base stats'!B:B,'Base stats'!AL:AL)=0,BI338="None",_xlfn.XLOOKUP(_xlfn.XLOOKUP(B338,'Base stats'!B:B,'Base stats'!E:E),Groups!A:A,Groups!B:B)=0), (18 + BR338 * 2.7) * 0.5,
    IF(AND(_xlfn.XLOOKUP(B338,'Base stats'!B:B,'Base stats'!AL:AL)=0,OR(AO338&lt;0.55,AND(BI338="Intermediate",_xlfn.XLOOKUP(_xlfn.XLOOKUP(B338,'Base stats'!B:B,'Base stats'!E:E),Groups!A:A,Groups!B:B)&lt;2))), (18 + BR338 * 2.7),
      IF(OR(BI338="Advanced",_xlfn.XLOOKUP(B338,'Base stats'!B:B,'Base stats'!AL:AL)=1,_xlfn.XLOOKUP(_xlfn.XLOOKUP(B338,'Base stats'!B:B,'Base stats'!E:E),Groups!A:A,Groups!B:B)=2), (18 + BR338 * 2.7) + 250, (18 + BR338 * 2.7))
    )
  ))
  + AO338 * 80
  + IF(COUNTIF(EggMilk!K$2:K$998, A338) &gt; 0, 125, 0)
  + IF(COUNTIF(EggMilk!P$2:P$998, A338) &gt; 0, 90, 0)
  + IF(COUNTIF(EggMilk!A$2:A$998, A338) &gt; 0, 90, 0)
)
* (0.8 + 0.4 * J338)
* 0.75,25)</f>
        <v>1600</v>
      </c>
      <c r="I338" s="2">
        <f>MROUND(ROUNDDOWN(_xlfn.XLOOKUP(B338,'Base stats'!B:B,'Base stats'!L:L)/3.6/(23.3/11),1),0.5)</f>
        <v>0.5</v>
      </c>
      <c r="J338" s="2">
        <f>IF(OR(_xlfn.XLOOKUP(B338,'Base stats'!B:B,'Base stats'!AB:AB)=1,_xlfn.XLOOKUP(_xlfn.XLOOKUP(B338,'Base stats'!B:B,'Base stats'!E:E),Groups!A:A,Groups!C:C)="Untamable"),1,IF(_xlfn.XLOOKUP(B338,'Base stats'!B:B,'Base stats'!AL:AL)=1,0.99,MIN(MROUND((1-0.6282*EXP(-0.459*AO338))*_xlfn.XLOOKUP(_xlfn.XLOOKUP(B338,'Base stats'!B:B,'Base stats'!E:E),Groups!A:A,Groups!C:C)*IF(_xlfn.XLOOKUP(B338,'Base stats'!B:B,'Base stats'!O:O)=1,0.5,IF(_xlfn.XLOOKUP(B338,'Base stats'!B:B,'Base stats'!O:O)=2,0,1)),0.05),IF(AO338&gt;3.5,0.985,0.95))))</f>
        <v>0.99</v>
      </c>
      <c r="K338" s="2">
        <f>ROUNDUP(AO338*_xlfn.XLOOKUP(_xlfn.XLOOKUP(B338,'Base stats'!B:B,'Base stats'!E:E),Groups!A:A,Groups!E:E),0)</f>
        <v>55</v>
      </c>
      <c r="L338" s="2">
        <f>IF(OR(_xlfn.XLOOKUP(_xlfn.XLOOKUP(B338,'Base stats'!B:B,'Base stats'!E:E),Groups!A:A,Groups!F:F)=2,ISNUMBER(SEARCH("SeaIce",BX338)),ISNUMBER(SEARCH("IceSheet",BX338))),-50,IF(OR(ISNUMBER(SEARCH("GlacialPlain",BX338)),ISNUMBER(SEARCH("Tundra",BX338))),-40,IF(OR(ISNUMBER(SEARCH("Alpine",BX338)),ISNUMBER(SEARCH("BorealForest",BX338)),ISNUMBER(SEARCH("ColdBog",BX338))),-30,IF(OR(ISNUMBER(SEARCH("TemperateForest",BX338)),ISNUMBER(SEARCH("TemperateSwamp",BX338))),-20,IF(_xlfn.XLOOKUP(_xlfn.XLOOKUP(B338,'Base stats'!B:B,'Base stats'!E:E),Groups!A:A,Groups!F:F)=1,-15,IF(OR(ISNUMBER(SEARCH("Desert",BX338)),ISNUMBER(SEARCH("ExtremeDesert",BX338))),-10,IF(OR(ISNUMBER(SEARCH("Grasslands",BX338)),ISNUMBER(SEARCH("TropicalRainforest",BX338)),ISNUMBER(SEARCH("TropicalSwamp",BX338))),10,0)))))))-IF(CC338="False",MIN(IFERROR(MAX(MROUND(LOG10(_xlfn.XLOOKUP(B338,'Base stats'!B:B,'Base stats'!C:C)^(2/3))*10,5),5),5),30))-_xlfn.XLOOKUP(B338,'Base stats'!B:B,'Base stats'!P:P)+IF(CC338="True",5,0)</f>
        <v>5</v>
      </c>
      <c r="M338" s="2">
        <f>IF(OR(_xlfn.XLOOKUP(_xlfn.XLOOKUP(B338,'Base stats'!B:B,'Base stats'!E:E),Groups!A:A,Groups!G:G)=2,ISNUMBER(SEARCH("Desert",BX338)),ISNUMBER(SEARCH("ExtremeDesert",BX338)),ISNUMBER(SEARCH("LavaField",BX338))),50,IF(ISNUMBER(SEARCH("Grasslands",BX338)),45,IF(OR(_xlfn.XLOOKUP(_xlfn.XLOOKUP(B338,'Base stats'!B:B,'Base stats'!E:E),Groups!A:A,Groups!G:G)=1,ISNUMBER(SEARCH("TropicalRainforest",BX338)),ISNUMBER(SEARCH("TropicalSwamp",BX338))),40,IF(OR(ISNUMBER(SEARCH("TemperateForest",BX338)),ISNUMBER(SEARCH("TemperateSwamp",BX338))),35,IF(OR(ISNUMBER(SEARCH("Alpine",BX338)),ISNUMBER(SEARCH("BorealForest",BX338)),ISNUMBER(SEARCH("ColdBog",BX338))),30,IF(ISNUMBER(OR(ISNUMBER(SEARCH("GlacialPlain",BX338)),SEARCH("Tundra",BX338))),25,IF(OR(ISNUMBER(SEARCH("SeaIce",BX338)),ISNUMBER(SEARCH("IceSheet",BX338)),ISNUMBER(SEARCH("TropicalSwamp",BX338))),10,35)))))))+_xlfn.XLOOKUP(B338,'Base stats'!B:B,'Base stats'!Q:Q)</f>
        <v>35</v>
      </c>
      <c r="N338" s="8">
        <f>IF(
_xlfn.XLOOKUP(
_xlfn.XLOOKUP(B338,'Base stats'!B:B,'Base stats'!E:E),
Groups!A:A,
Groups!L:L
)=1,
MIN(
MROUND(
IF(
_xlfn.XLOOKUP(B338,'Animals CE'!B:B,'Animals CE'!Z:Z)&lt;=1.5,
_xlfn.XLOOKUP(B338,'Animals CE'!B:B,'Animals CE'!Z:Z)/2+0.05,
0.8+
(_xlfn.XLOOKUP(B338,'Animals CE'!B:B,'Animals CE'!Z:Z)-1.5)
*0.02
),
0.05
),
200%
),
"No"
)</f>
        <v>0.15000000000000002</v>
      </c>
      <c r="O338" s="8">
        <f>IF(
_xlfn.XLOOKUP(
_xlfn.XLOOKUP(B338,'Base stats'!B:B,'Base stats'!E:E),
Groups!A:A,
Groups!L:L
)=1,
MIN(
MROUND(
IF(
_xlfn.XLOOKUP(B338,'Animals CE'!B:B,'Animals CE'!AA:AA)&lt;=1.5,
_xlfn.XLOOKUP(B338,'Animals CE'!B:B,'Animals CE'!AA:AA)/2+0.05,
0.8+
(_xlfn.XLOOKUP(B338,'Animals CE'!B:B,'Animals CE'!AA:AA)-1.5)
*0.02
),
0.05
),
200%
),
"No"
)</f>
        <v>0.5</v>
      </c>
      <c r="P338" s="2" t="str">
        <f>_xlfn.XLOOKUP(B338,'Base stats'!B:B,'Base stats'!R:R)</f>
        <v>Standard</v>
      </c>
      <c r="Q338" s="13">
        <f>MROUND((LOG10(_xlfn.XLOOKUP(B338,'Base stats'!B:B,'Base stats'!AR:AR))*(AO338^0.5)+(_xlfn.XLOOKUP(B338,'Base stats'!B:B,'Base stats'!AR:AR)/1000)^(2/3)+_xlfn.XLOOKUP(B338,'Base stats'!B:B,'Base stats'!BA:BA)/2)+0.5,0.5)</f>
        <v>36</v>
      </c>
      <c r="R338" s="7">
        <f>IF(Q338="No","No",MAX(1,MROUND(_xlfn.XLOOKUP(B338,'Base stats'!B:B,'Base stats'!C:C)^0.165,0.05)))</f>
        <v>4</v>
      </c>
      <c r="S338" s="13" t="str">
        <f>IF(_xlfn.XLOOKUP(_xlfn.XLOOKUP(B338,'Base stats'!B:B,'Base stats'!E:E),Groups!A:A,Groups!P:P)=0,"No",MROUND((LOG10(_xlfn.XLOOKUP(B338,'Base stats'!B:B,'Base stats'!AS:AS))*(AO338^0.5)+(_xlfn.XLOOKUP(B338,'Base stats'!B:B,'Base stats'!AS:AS)/1000)^(2/3)+_xlfn.XLOOKUP(B338,'Base stats'!B:B,'Base stats'!BA:BA))+_xlfn.XLOOKUP(B338,'Base stats'!B:B,'Base stats'!AY:AY)+0.5,0.5))</f>
        <v>No</v>
      </c>
      <c r="T338" s="7" t="str">
        <f>IF(S338="No","No",MAX(_xlfn.XLOOKUP(_xlfn.XLOOKUP(B338,'Base stats'!B:B,'Base stats'!E:E),Groups!A:A,Groups!Q:Q),MROUND(_xlfn.XLOOKUP(_xlfn.XLOOKUP(B338,'Base stats'!B:B,'Base stats'!E:E),Groups!A:A,Groups!Q:Q)*_xlfn.XLOOKUP(B338,'Base stats'!B:B,'Base stats'!C:C)^0.165,0.05)))</f>
        <v>No</v>
      </c>
      <c r="U338" s="7" t="str">
        <f>IF(S338="No","No",_xlfn.XLOOKUP(_xlfn.XLOOKUP(B338,'Base stats'!B:B,'Base stats'!E:E),Groups!A:A,Groups!R:R))</f>
        <v>No</v>
      </c>
      <c r="V338" s="7" t="str">
        <f>IF(S338="No","No",_xlfn.XLOOKUP(_xlfn.XLOOKUP(B338,'Base stats'!B:B,'Base stats'!E:E),Groups!A:A,Groups!S:S))</f>
        <v>No</v>
      </c>
      <c r="W338" s="7" t="str">
        <f>IF(S338="No","No",_xlfn.XLOOKUP(_xlfn.XLOOKUP(B338,'Base stats'!B:B,'Base stats'!E:E),Groups!A:A,Groups!T:T))</f>
        <v>No</v>
      </c>
      <c r="X338" s="13" t="str">
        <f>IF(_xlfn.XLOOKUP(B338,'Base stats'!B:B,'Base stats'!W:W)="No","No",MROUND((LOG10(_xlfn.XLOOKUP(B338,'Base stats'!B:B,'Base stats'!AU:AU))*(AO338^0.5)+(_xlfn.XLOOKUP(B338,'Base stats'!B:B,'Base stats'!AU:AU)/1000)^(2/3)+_xlfn.XLOOKUP(B338,'Base stats'!B:B,'Base stats'!AZ:AZ))+0.5+IF(_xlfn.XLOOKUP(_xlfn.XLOOKUP(B338,'Base stats'!B:B,'Base stats'!E:E),Groups!A:A,Groups!U:U)&lt;&gt;3,_xlfn.XLOOKUP(B338,'Base stats'!B:B,'Base stats'!BA:BA),0),0.5))</f>
        <v>No</v>
      </c>
      <c r="Y338" s="7" t="str">
        <f>IF(X338="No","No",MAX(_xlfn.XLOOKUP(_xlfn.XLOOKUP(B338,'Base stats'!B:B,'Base stats'!E:E),Groups!A:A,Groups!V:V),MROUND(_xlfn.XLOOKUP(_xlfn.XLOOKUP(B338,'Base stats'!B:B,'Base stats'!E:E),Groups!A:A,Groups!V:V)*_xlfn.XLOOKUP(B338,'Base stats'!B:B,'Base stats'!C:C)^0.165,0.05)))</f>
        <v>No</v>
      </c>
      <c r="Z338" s="7" t="str">
        <f>IF(X338="No","No",_xlfn.XLOOKUP(_xlfn.XLOOKUP(B338,'Base stats'!B:B,'Base stats'!E:E),Groups!A:A,Groups!W:W))</f>
        <v>No</v>
      </c>
      <c r="AA338" s="7" t="str">
        <f>IF(X338="No","No",_xlfn.XLOOKUP(_xlfn.XLOOKUP(B338,'Base stats'!B:B,'Base stats'!E:E),Groups!A:A,Groups!X:X))</f>
        <v>No</v>
      </c>
      <c r="AB338" s="7" t="str">
        <f>IF(X338="No","No",_xlfn.XLOOKUP(_xlfn.XLOOKUP(B338,'Base stats'!B:B,'Base stats'!E:E),Groups!A:A,Groups!Y:Y))</f>
        <v>No</v>
      </c>
      <c r="AC338" s="7" t="str">
        <f>_xlfn.XLOOKUP(Animals!B338,'Base stats'!B:B,'Base stats'!X:X)</f>
        <v>False</v>
      </c>
      <c r="AD338" s="13">
        <f>IF(_xlfn.XLOOKUP(B338,'Base stats'!B:B,'Base stats'!AT:AT)="No","No",MROUND((LOG10(_xlfn.XLOOKUP(B338,'Base stats'!B:B,'Base stats'!AT:AT))*(AO338^0.75)+(_xlfn.XLOOKUP(B338,'Base stats'!B:B,'Base stats'!AT:AT)/1000)^(2/3)+_xlfn.XLOOKUP(B338,'Base stats'!B:B,'Base stats'!AX:AX)+_xlfn.XLOOKUP(B338,'Base stats'!B:B,'Base stats'!BA:BA))+0.5,0.5))</f>
        <v>40</v>
      </c>
      <c r="AE338" s="7">
        <f>IF(AD338="No","No",MAX(_xlfn.XLOOKUP(_xlfn.XLOOKUP(B338,'Base stats'!B:B,'Base stats'!E:E),Groups!A:A,Groups!Z:Z),MROUND(_xlfn.XLOOKUP(_xlfn.XLOOKUP(B338,'Base stats'!B:B,'Base stats'!E:E),Groups!A:A,Groups!Z:Z)*_xlfn.XLOOKUP(B338,'Base stats'!B:B,'Base stats'!C:C)^0.165,0.05)))</f>
        <v>4</v>
      </c>
      <c r="AF338" s="7" t="str">
        <f>IF(AD338="No","No",_xlfn.XLOOKUP(_xlfn.XLOOKUP(B338,'Base stats'!B:B,'Base stats'!E:E),Groups!A:A,Groups!AA:AA))</f>
        <v>Mouth</v>
      </c>
      <c r="AG338" s="7" t="str">
        <f>IF(AD338="No","No",_xlfn.XLOOKUP(_xlfn.XLOOKUP(B338,'Base stats'!B:B,'Base stats'!E:E),Groups!A:A,Groups!AB:AB))</f>
        <v>radula</v>
      </c>
      <c r="AH338" s="7" t="str">
        <f>IF(AD338="No","No",_xlfn.XLOOKUP(_xlfn.XLOOKUP(B338,'Base stats'!B:B,'Base stats'!E:E),Groups!A:A,Groups!AC:AC))</f>
        <v>Bite</v>
      </c>
      <c r="AI338" s="13" t="str">
        <f>IF(_xlfn.XLOOKUP(_xlfn.XLOOKUP(B338,'Base stats'!B:B,'Base stats'!E:E),Groups!A:A,Groups!AD:AD)=0,"No",MROUND((LOG10(_xlfn.XLOOKUP(B338,'Base stats'!B:B,'Base stats'!AS:AS))*(AO338^0.75)+(_xlfn.XLOOKUP(B338,'Base stats'!B:B,'Base stats'!AS:AS)/1000)^(2/3)+_xlfn.XLOOKUP(B338,'Base stats'!B:B,'Base stats'!AY:AY)+_xlfn.XLOOKUP(B338,'Base stats'!B:B,'Base stats'!BA:BA))+0.5,0.5))</f>
        <v>No</v>
      </c>
      <c r="AJ338" s="7" t="str">
        <f>IF(AI338="No","No",MAX(_xlfn.XLOOKUP(_xlfn.XLOOKUP(B338,'Base stats'!B:B,'Base stats'!E:E),Groups!A:A,Groups!AE:AE),MROUND(_xlfn.XLOOKUP(_xlfn.XLOOKUP(B338,'Base stats'!B:B,'Base stats'!E:E),Groups!A:A,Groups!AE:AE)*IF(_xlfn.XLOOKUP(_xlfn.XLOOKUP(B338,'Base stats'!B:B,'Base stats'!E:E),Groups!A:A,Groups!AJ:AJ)="Photonozoa",0.6,1)*_xlfn.XLOOKUP(B338,'Base stats'!B:B,'Base stats'!C:C)^0.165,0.05)))</f>
        <v>No</v>
      </c>
      <c r="AK338" s="7" t="str">
        <f>IF(AI338="No","No",_xlfn.XLOOKUP(_xlfn.XLOOKUP(B338,'Base stats'!B:B,'Base stats'!E:E),Groups!A:A,Groups!AF:AF))</f>
        <v>No</v>
      </c>
      <c r="AL338" s="7" t="str">
        <f>IF(AI338="No","No",_xlfn.XLOOKUP(_xlfn.XLOOKUP(B338,'Base stats'!B:B,'Base stats'!E:E),Groups!A:A,Groups!AG:AG))</f>
        <v>No</v>
      </c>
      <c r="AM338" s="7" t="str">
        <f>IF(AI338="No","No",_xlfn.XLOOKUP(_xlfn.XLOOKUP(B338,'Base stats'!B:B,'Base stats'!E:E),Groups!A:A,Groups!AH:AH))</f>
        <v>No</v>
      </c>
      <c r="AN338" s="2" t="str">
        <f t="shared" si="35"/>
        <v>No</v>
      </c>
      <c r="AO338" s="2">
        <f>MROUND(IF(AND(_xlfn.XLOOKUP(B338,'Base stats'!B:B,'Base stats'!C:C)&gt;=0.5,_xlfn.XLOOKUP(B338,'Base stats'!B:B,'Base stats'!C:C)&lt;=0.8),
IF(_xlfn.XLOOKUP(B338,'Base stats'!B:B,'Base stats'!C:C)&lt;0.1,0.05,IF(_xlfn.XLOOKUP(B338,'Base stats'!B:B,'Base stats'!C:C)&lt;=70,(_xlfn.XLOOKUP(B338,'Base stats'!B:B,'Base stats'!C:C)/70)^0.426489913056526,IF(_xlfn.XLOOKUP(B338,'Base stats'!B:B,'Base stats'!C:C)&lt;=400,(_xlfn.XLOOKUP(B338,'Base stats'!B:B,'Base stats'!C:C)/70)^0.572811455315093,IF(_xlfn.XLOOKUP(B338,'Base stats'!B:B,'Base stats'!C:C)&lt;=2000,2.71391647193063*(_xlfn.XLOOKUP(B338,'Base stats'!B:B,'Base stats'!C:C)/400)^0.252459582904293,3.74314280240376*(_xlfn.XLOOKUP(B338,'Base stats'!B:B,'Base stats'!C:C)/2000)^0.357012633876913)))),
IF(_xlfn.XLOOKUP(B338,'Base stats'!B:B,'Base stats'!C:C)&lt;0.1,0.05,IF(_xlfn.XLOOKUP(B338,'Base stats'!B:B,'Base stats'!C:C)&lt;0.4,0.1,IF(_xlfn.XLOOKUP(B338,'Base stats'!B:B,'Base stats'!C:C)&lt;=70,(_xlfn.XLOOKUP(B338,'Base stats'!B:B,'Base stats'!C:C)/70)^0.445823913056526,IF(_xlfn.XLOOKUP(B338,'Base stats'!B:B,'Base stats'!C:C)&lt;=400,(_xlfn.XLOOKUP(B338,'Base stats'!B:B,'Base stats'!C:C)/70)^0.572811455315093,IF(_xlfn.XLOOKUP(B338,'Base stats'!B:B,'Base stats'!C:C)&lt;=2000,2.71391647193063*(_xlfn.XLOOKUP(B338,'Base stats'!B:B,'Base stats'!C:C)/400)^0.252459582904293,3.74314280240376*(_xlfn.XLOOKUP(B338,'Base stats'!B:B,'Base stats'!C:C)/2000)^0.357012633876913)))))),
IF(_xlfn.XLOOKUP(B338,'Base stats'!B:B,'Base stats'!C:C)&lt;0.1,0.05,IF(_xlfn.XLOOKUP(B338,'Base stats'!B:B,'Base stats'!C:C)&lt;=100,0.05,IF(_xlfn.XLOOKUP(B338,'Base stats'!B:B,'Base stats'!C:C)&lt;=250,0.1,IF(_xlfn.XLOOKUP(B338,'Base stats'!B:B,'Base stats'!C:C)&lt;=4000,0.25,0.5)))))</f>
        <v>5</v>
      </c>
      <c r="AP338" s="8">
        <f>MROUND(AO338*_xlfn.XLOOKUP(_xlfn.XLOOKUP(B338,'Base stats'!B:B,'Base stats'!E:E),Groups!A:A,Groups!AI:AI)*_xlfn.XLOOKUP(B338,'Base stats'!B:B,'Base stats'!Z:Z),0.05)</f>
        <v>5</v>
      </c>
      <c r="AQ338" s="8">
        <f>MAX(0.01,MROUND(IF(CC338="True",0.196*(AO338*100*1000)^0.889,IF(_xlfn.XLOOKUP(_xlfn.XLOOKUP(B338,'Base stats'!B:B,'Base stats'!E:E),Groups!A:A,Groups!AJ:AJ)="Bird",10.5*(AO338*100*1000)^0.681,4.82*(AO338*100*1000)^0.734))/(4.82*(1*100*1000)^0.734)/IF(AO338&lt;3.5,2,IF(AO338=3.5,1.5,1.25))*(1+0.132282374779864/(AO338^0.994035016789033+0.00905238001496948)),0.05))</f>
        <v>0.85000000000000009</v>
      </c>
      <c r="AR338" s="9">
        <f>IFERROR(MROUND(_xlfn.XLOOKUP(B338,'Base stats'!B:B,'Base stats'!H:H)/IF(_xlfn.XLOOKUP(B338,'Base stats'!B:B,'Base stats'!I:I)&lt;&gt;1,(122.5/70),1.2),IF(_xlfn.XLOOKUP(B338,'Base stats'!B:B,'Base stats'!H:H)&gt;=30,5,IF(_xlfn.XLOOKUP(B338,'Base stats'!B:B,'Base stats'!H:H)&gt;=15,3,IF(_xlfn.XLOOKUP(B338,'Base stats'!B:B,'Base stats'!H:H)&gt;=10,2,1)))),"Immortal")</f>
        <v>100</v>
      </c>
      <c r="AS338" s="35">
        <f>IFERROR(IF(OR(_xlfn.XLOOKUP(B338,'Base stats'!B:B,'Base stats'!F:F)="Atypical reproduction",_xlfn.XLOOKUP(B338,'Base stats'!B:B,'Base stats'!F:F)="Lay eggs"),"Lay eggs",MIN(20,MAX(5.5,ROUND(((_xlfn.XLOOKUP(B338,'Base stats'!B:B,'Base stats'!F:F)-25)*(14.5/615) + 5.5)*2,0)/2))),"Unknown")</f>
        <v>16</v>
      </c>
      <c r="AT338" s="8">
        <f>IF(_xlfn.XLOOKUP(B338,'Base stats'!B:B,'Base stats'!G:G)="Atypical reproduction","No",IFERROR(MAX(IF(_xlfn.XLOOKUP(B338,'Base stats'!B:B,'Base stats'!G:G)&lt;0.5,0.2,0.3),MROUND(_xlfn.XLOOKUP(B338,'Base stats'!B:B,'Base stats'!G:G)/(365/60),0.2)),"Unknown"))</f>
        <v>2.4000000000000004</v>
      </c>
      <c r="AU338" s="8">
        <f t="shared" si="36"/>
        <v>1.2000000000000002</v>
      </c>
      <c r="AV338" s="8" t="str">
        <f>IFERROR(IFERROR(MROUND(_xlfn.XLOOKUP(B338,'Base stats'!B:B,'Base stats'!J:J),0.1),"Lay eggs"),"Cannot breed")</f>
        <v>Lay eggs</v>
      </c>
      <c r="AW338" s="2" t="str">
        <f t="shared" si="37"/>
        <v>false</v>
      </c>
      <c r="AX338" s="2" t="str">
        <f>IF(_xlfn.XLOOKUP(_xlfn.XLOOKUP(Animals!B338,'Base stats'!B:B,'Base stats'!E:E),Groups!A:A,Groups!AK:AK)=1,"true","false")</f>
        <v>false</v>
      </c>
      <c r="AY338" s="25" t="str">
        <f>IF(_xlfn.XLOOKUP(B338,'Base stats'!B:B,'Base stats'!Y:Y)="Liquor","Liquor, CarnivoreAnimalStrict",IF(AND(_xlfn.XLOOKUP(B338,'Base stats'!B:B,'Base stats'!Y:Y)="Carnivore",_xlfn.XLOOKUP(_xlfn.XLOOKUP(B338,'Base stats'!B:B,'Base stats'!E:E),Groups!A:A,Groups!AJ:AJ)="Photonozoa"),"CarnivoreAnimalStrict, OvivoreAnimal",IF(_xlfn.XLOOKUP(B338,'Base stats'!B:B,'Base stats'!Y:Y)="Carnivore","CarnivoreAnimal, OvivoreAnimal",IF(_xlfn.XLOOKUP(B338,'Base stats'!B:B,'Base stats'!Y:Y)="Dendrovore","VegetarianRoughAnimal, DendrovoreAnimal",IF(_xlfn.XLOOKUP(B338,'Base stats'!B:B,'Base stats'!Y:Y)="Herbivore","VegetarianRoughAnimal",IF(_xlfn.XLOOKUP(B338,'Base stats'!B:B,'Base stats'!Y:Y)="OmnivoreRough","OmnivoreRoughAnimal, OvivoreAnimal","OmnivoreAnimal, OvivoreAnimal"))))))</f>
        <v>VegetarianRoughAnimal</v>
      </c>
      <c r="AZ338" s="2" t="str">
        <f>IF(_xlfn.XLOOKUP(_xlfn.XLOOKUP(B338,'Base stats'!B:B,'Base stats'!E:E),Groups!A:A,Groups!D:D)=1,MROUND((1-J338)*5+1,2)*IF(J338&lt;=0.4,2,1),"No")</f>
        <v>No</v>
      </c>
      <c r="BA338" s="2" t="str">
        <f>IF(AND(_xlfn.XLOOKUP(B338,'Base stats'!B:B,'Base stats'!AH:AH)="&lt;li&gt;Seal&lt;/li&gt;",G338="Odyssey"),"&lt;li&gt;AEXP_Seal&lt;/li&gt;",_xlfn.XLOOKUP(B338,'Base stats'!B:B,'Base stats'!AH:AH))</f>
        <v>&lt;li&gt;AA_Helixien&lt;/li&gt;</v>
      </c>
      <c r="BB338" s="2" t="str">
        <f>_xlfn.XLOOKUP(B338,'Base stats'!B:B,'Base stats'!AG:AG)</f>
        <v>No</v>
      </c>
      <c r="BC338" s="23" t="str">
        <f>_xlfn.XLOOKUP(_xlfn.XLOOKUP(B338,'Base stats'!B:B,'Base stats'!E:E),Groups!A:A,Groups!AL:AL)</f>
        <v>Slug</v>
      </c>
      <c r="BD338" s="23">
        <f>MIN(1,MROUND(IF(AND(AO338&lt;0.5,_xlfn.XLOOKUP(B338,'Base stats'!B:B,'Base stats'!AA:AA)=0),0,IF(OR(_xlfn.XLOOKUP(Animals!B338,'Base stats'!B:B,'Base stats'!O:O)=2,_xlfn.XLOOKUP(_xlfn.XLOOKUP(B338,'Base stats'!B:B,'Base stats'!E:E),Groups!A:A,Groups!AN:AN)=0),0,_xlfn.XLOOKUP(_xlfn.XLOOKUP(B338,'Base stats'!B:B,'Base stats'!E:E),Groups!A:A,Groups!AN:AN)/IF(_xlfn.XLOOKUP(Animals!B338,'Base stats'!B:B,'Base stats'!O:O)=1,2,1)))+_xlfn.XLOOKUP(B338,'Base stats'!B:B,'Base stats'!AC:AC),0.005))</f>
        <v>0</v>
      </c>
      <c r="BE338" s="23">
        <f>MIN(1,MROUND(IF(AND(AO338&lt;0.5,_xlfn.XLOOKUP(B338,'Base stats'!B:B,'Base stats'!AA:AA)=0),0,IF(_xlfn.XLOOKUP(_xlfn.XLOOKUP(B338,'Base stats'!B:B,'Base stats'!E:E),Groups!A:A,Groups!AO:AO)=0,0,_xlfn.XLOOKUP(_xlfn.XLOOKUP(B338,'Base stats'!B:B,'Base stats'!E:E),Groups!A:A,Groups!AO:AO)/IF(_xlfn.XLOOKUP(Animals!B338,'Base stats'!B:B,'Base stats'!O:O)=2,3,1)))+_xlfn.XLOOKUP(B338,'Base stats'!B:B,'Base stats'!AD:AD),0.005))</f>
        <v>0.3</v>
      </c>
      <c r="BF338" s="2" t="str">
        <f>IF(J338&gt;0.3,"No",_xlfn.XLOOKUP(_xlfn.XLOOKUP(Animals!B338,'Base stats'!B:B,'Base stats'!E:E),Groups!A:A,Groups!AP:AP))</f>
        <v>No</v>
      </c>
      <c r="BG338" s="2" t="str">
        <f>IF(AND(J338&lt;=0.65,_xlfn.XLOOKUP(_xlfn.XLOOKUP(Animals!B338,'Base stats'!B:B,'Base stats'!E:E),Groups!A:A,Groups!AP:AP)&lt;&gt;"No",_xlfn.XLOOKUP(_xlfn.XLOOKUP(B338,'Base stats'!B:B,'Base stats'!E:E),Groups!A:A,Groups!D:D)=0),MROUND((80/3)*IF(_xlfn.XLOOKUP(B338,'Base stats'!B:B,'Base stats'!O:O)=2,0.2,AO338) + 24*(1-IF(BF338="No",0,BF338)) + 16/3, 12),"No")</f>
        <v>No</v>
      </c>
      <c r="BH338" s="2">
        <f>IF(AND(_xlfn.XLOOKUP(_xlfn.XLOOKUP(B338,'Base stats'!B:B,'Base stats'!E:E),Groups!A:A,Groups!AQ:AQ)=1,AO338&lt;=0.35),8,12)</f>
        <v>12</v>
      </c>
      <c r="BI338" s="2" t="str">
        <f>IF(_xlfn.XLOOKUP(_xlfn.XLOOKUP(B338,'Base stats'!B:B,'Base stats'!E:E),Groups!A:A,Groups!D:D)=0,_xlfn.XLOOKUP(_xlfn.XLOOKUP(B338,'Base stats'!B:B,'Base stats'!E:E),Groups!A:A,Groups!AR:AR),"None")</f>
        <v>Intermediate</v>
      </c>
      <c r="BJ338" s="2" t="str">
        <f>IF(AND(_xlfn.XLOOKUP(_xlfn.XLOOKUP(B338,'Base stats'!B:B,'Base stats'!E:E),Groups!A:A,Groups!AS:AS)=1,OR(_xlfn.XLOOKUP(B338,'Base stats'!B:B,'Base stats'!Y:Y)="Carnivore",_xlfn.XLOOKUP(B338,'Base stats'!B:B,'Base stats'!Y:Y)="Omnivore")),"true","false")</f>
        <v>false</v>
      </c>
      <c r="BK338" s="2" t="str">
        <f>IF(BJ338="true",MROUND(IF(AND(AO338&gt;0.5,OR(_xlfn.XLOOKUP(_xlfn.XLOOKUP(B338,'Base stats'!B:B,'Base stats'!E:E),Groups!A:A,Groups!AJ:AJ)="Photonozoa",_xlfn.XLOOKUP(_xlfn.XLOOKUP(B338,'Base stats'!B:B,'Base stats'!E:E),Groups!A:A,Groups!AJ:AJ)="Mammal")),Animals!AO338*1.75*IF(AW338="true",1.5,1),IF(AO338&lt;0.5,Animals!AO338*0.5,Animals!AO338)),IF(AO338&gt;2,0.5,IF(AO338&gt;0.5,0.25,0.1))),"No")</f>
        <v>No</v>
      </c>
      <c r="BL338" s="2">
        <f t="shared" si="38"/>
        <v>1</v>
      </c>
      <c r="BM338" s="25" t="str">
        <f>IF(_xlfn.XLOOKUP(B338,'Base stats'!B:B,'Base stats'!AN:AN)="Standard","No",MROUND((_xlfn.XLOOKUP(B338,'Base stats'!B:B,'Base stats'!AN:AN)/3.6)/I338,0.1))</f>
        <v>No</v>
      </c>
      <c r="BN338" s="25" t="str">
        <f t="shared" si="39"/>
        <v>false</v>
      </c>
      <c r="BO338" s="25" t="str">
        <f>IF(AND(OR(_xlfn.XLOOKUP(B338,'Base stats'!B:B,'Base stats'!Y:Y)="Carnivore",_xlfn.XLOOKUP(B338,'Base stats'!B:B,'Base stats'!Y:Y)="Omnivore",_xlfn.XLOOKUP(B338,'Base stats'!B:B,'Base stats'!Y:Y)="OmnivoreRough"),_xlfn.XLOOKUP(_xlfn.XLOOKUP(B338,'Base stats'!B:B,'Base stats'!E:E),Groups!A:A,Groups!AT:AT)=1),"true","false")</f>
        <v>false</v>
      </c>
      <c r="BP338" s="25" t="str" cm="1">
        <f t="array" ref="BP338">IF(
  _xlfn.TEXTJOIN(", ",TRUE,
    IF(AND(BJ338="true",AO338&gt;0.5,BI338&lt;&gt;"None"),"AttackTarget",""),
    IF(AND(_xlfn.XLOOKUP(_xlfn.XLOOKUP(B338,'Base stats'!B:B,'Base stats'!E:E),Groups!A:A,Groups!AJ:AJ="Mammal"),OR(_xlfn.XLOOKUP(B338,'Base stats'!B:B,'Base stats'!Y:Y)="Omnivore",_xlfn.XLOOKUP(B338,'Base stats'!B:B,'Base stats'!Y:Y)="OmnivoreRough")),"Forage",""),
    IF(BG338&lt;=36,"Comfort",""),
    IF(_xlfn.XLOOKUP(B338,'Base stats'!B:B,'Base stats'!AE:AE)&lt;&gt;"No",_xlfn.XLOOKUP(B338,'Base stats'!B:B,'Base stats'!AE:AE),"")
  ) = "",
  "No",
  _xlfn.TEXTJOIN(", ",TRUE,
    IF(AND(BJ338="true",AO338&gt;0.5,BI338&lt;&gt;"None"),"AttackTarget",""),
    IF(AND(_xlfn.XLOOKUP(_xlfn.XLOOKUP(B338,'Base stats'!B:B,'Base stats'!E:E),Groups!A:A,Groups!AJ:AJ="Mammal"),OR(_xlfn.XLOOKUP(B338,'Base stats'!B:B,'Base stats'!Y:Y)="Omnivore",_xlfn.XLOOKUP(B338,'Base stats'!B:B,'Base stats'!Y:Y)="OmnivoreRough")),"Forage",""),
    IF(BG338&lt;=36,"Comfort",""),
    IF(_xlfn.XLOOKUP(B338,'Base stats'!B:B,'Base stats'!AE:AE)&lt;&gt;"No",_xlfn.XLOOKUP(B338,'Base stats'!B:B,'Base stats'!AE:AE),"")
  )
)</f>
        <v>No</v>
      </c>
      <c r="BQ338" s="25" t="str">
        <f>IF(
   AND(
      'Base stats'!AN338="Standard",_xlfn.XLOOKUP(_xlfn.XLOOKUP(B338,'Base stats'!B:B,'Base stats'!E:E),Groups!A:A,Groups!AU:AU)=0,
      OR(
      BO338="True"
      )
   ),
   10,
   IF(
       OR(BM338&lt;&gt;"No",_xlfn.XLOOKUP(_xlfn.XLOOKUP(B338,'Base stats'!B:B,'Base stats'!E:E),Groups!A:A,Groups!AU:AU)=1),
      1,
      "No"
   )
)</f>
        <v>No</v>
      </c>
      <c r="BR338" s="9">
        <f>MROUND((1 + ((0.2*IF(OR(Q338="No",R338="No",R338=0),0,Q338/R338)
+IF(OR(V338="No",S338="No",T338="No"),0,S338/T338*(LEN(V338)-LEN(SUBSTITUTE(V338,",",""))+1))
+IF(OR(X338="No",Y338="No"),0,X338/Y338)
+IF(OR(AD338="No",AE338="No"),0,AD338/AE338)
+IF(OR(AL338="No",AI338="No",AJ338="No"),0,AI338/AJ338*(LEN(AL338)-LEN(SUBSTITUTE(AL338,",",""))+1))
)/(0.2*IF(OR(Q338="No",R338="No",R338=0),0,1)
+IF(OR(V338="No",S338="No",T338="No"),0,LEN(V338)-LEN(SUBSTITUTE(V338,",",""))+1)
+IF(OR(X338="No",Y338="No"),0,1)
+IF(OR(AD338="No",AE338="No"),0,1)
+IF(OR(AL338="No",AI338="No",AJ338="No"),0,LEN(AL338)-LEN(SUBSTITUTE(AL338,",",""))+1))*62%)* 2)*(1 + (AP338 / (IF(_xlfn.XLOOKUP(_xlfn.XLOOKUP(B338,'Base stats'!B:B,'Base stats'!E:E),Groups!A:A,Groups!AJ:AJ)="Photonozoa",0.3,1)) + _xlfn.XLOOKUP(B338,'Base stats'!B:B,'Base stats'!AV:AV) * 1.8) * 2) * 2.5 + 10 + I338 * 2,5)+IF(_xlfn.XLOOKUP(B338,'Base stats'!B:B,'Base stats'!AK:AK)=1,50,0)</f>
        <v>410</v>
      </c>
      <c r="BS338" s="8">
        <f t="shared" si="40"/>
        <v>1.7000000000000002</v>
      </c>
      <c r="BT338" s="8" t="str">
        <f>_xlfn.XLOOKUP(B338,'Base stats'!B:B,'Base stats'!AF:AF)</f>
        <v>No</v>
      </c>
      <c r="BU338" s="2" t="str">
        <f>IF(AND(J338&lt;=0.95,OR(_xlfn.XLOOKUP(B338,'Base stats'!B:B,'Base stats'!AK:AK)=1,_xlfn.XLOOKUP(B338,'Base stats'!B:B,'Base stats'!Y:Y)="Carnivore",_xlfn.XLOOKUP(B338,'Base stats'!B:B,'Base stats'!Y:Y)="Omnivore",BE338&gt;0.1)),"true","false")</f>
        <v>false</v>
      </c>
      <c r="BV338" s="2" t="str">
        <f>IF(_xlfn.XLOOKUP(B338,'Base stats'!B:B,'Base stats'!AI:AI)=1,"true","false")</f>
        <v>false</v>
      </c>
      <c r="BW338" s="25" t="str">
        <f>IF(E338="BaseInsect","AnimalInsect",
IF(J338&gt;0.95,"AnimalExotic",
_xlfn.TEXTJOIN(", ",TRUE,
IF(OR(_xlfn.XLOOKUP(B338,'Base stats'!B:B,'Base stats'!AM:AM)=1,AND(_xlfn.XLOOKUP(B338,'Base stats'!B:B,'Base stats'!O:O)=0,_xlfn.XLOOKUP(_xlfn.XLOOKUP(B338,'Base stats'!B:B,'Base stats'!E:E),Groups!A:A,Groups!B:B)&gt;0)),"AnimalUncommon","AnimalCommon"),
IF(AND(_xlfn.XLOOKUP(B338,'Base stats'!B:B,'Base stats'!O:O)=2,_xlfn.XLOOKUP(_xlfn.XLOOKUP(B338,'Base stats'!B:B,'Base stats'!E:E),Groups!A:A,Groups!D:D)=0),"AnimalPet",IF(AND(_xlfn.XLOOKUP(B338,'Base stats'!B:B,'Base stats'!O:O)&lt;&gt;0,_xlfn.XLOOKUP(_xlfn.XLOOKUP(B338,'Base stats'!B:B,'Base stats'!E:E),Groups!A:A,Groups!D:D)&lt;&gt;0),"AnimalFarm","")),
IF(OR(_xlfn.XLOOKUP(B338,'Base stats'!B:B,'Base stats'!AK:AK)=1,AND(BI338&lt;&gt;"None",BR338&gt;=60),ISNUMBER(SEARCH("Attack target",BP338))),"AnimalFighter","")
)))</f>
        <v>AnimalExotic</v>
      </c>
      <c r="BX338" s="25" t="str">
        <f>IF(G338="None",TRIM(
SUBSTITUTE(
IF(COUNTIF(Biomes!B$2:B$259,"="&amp;$C338)&gt;0,Biomes!B$1&amp;", ","")&amp;
IF(COUNTIF(Biomes!C$2:C$259,"="&amp;$C338)&gt;0,Biomes!C$1&amp;", ","")&amp;
IF(COUNTIF(Biomes!D$2:D$259,"="&amp;$C338)&gt;0,Biomes!D$1&amp;", ","")&amp;
IF(COUNTIF(Biomes!F$2:F$259,"="&amp;$C338)&gt;0,Biomes!F$1&amp;", ","")&amp;
IF(COUNTIF(Biomes!G$2:G$259,"="&amp;$C338)&gt;0,Biomes!G$1&amp;", ","")&amp;
IF(COUNTIF(Biomes!H$2:H$259,"="&amp;$C338)&gt;0,Biomes!H$1&amp;", ","")&amp;
IF(COUNTIF(Biomes!I$2:I$259,"="&amp;$C338)&gt;0,Biomes!I$1&amp;", ","")&amp;
IF(COUNTIF(Biomes!J$2:J$259,"="&amp;$C338)&gt;0,Biomes!J$1&amp;", ","")&amp;
IF(COUNTIF(Biomes!M$2:M$259,"="&amp;$C338)&gt;0,Biomes!M$1&amp;", ","")&amp;
IF(COUNTIF(Biomes!N$2:N$259,"="&amp;$C338)&gt;0,Biomes!N$1&amp;", ","")&amp;
IF(COUNTIF(Biomes!O$2:O$259,"="&amp;$C338)&gt;0,Biomes!O$1&amp;", ","")&amp;
IF(COUNTIF(Biomes!P$2:P$259,"="&amp;$C338)&gt;0,Biomes!P$1&amp;", ","")&amp;
IF(COUNTIF(Biomes!K$2:K$259,"="&amp;$C338)&gt;0,Biomes!K$1&amp;", ","")&amp;
IF(COUNTIF(Biomes!Q$3:Q$259,"="&amp;$C338)&gt;0,Biomes!Q$1&amp;", ","")&amp;
IF(COUNTIF(Biomes!L$2:L$259,"="&amp;$C338)&gt;0,Biomes!L$1&amp;", ","")&amp;
IF(COUNTIF(Biomes!E$2:E$259,"="&amp;$C338)&gt;0,Biomes!E$1&amp;", ","")&amp;IF(COUNTIF(Biomes!S$2:S$259,"="&amp;$C338)&gt;0,Biomes!S$1&amp;", ","")&amp;
IF(COUNTIF(Biomes!R$2:R$259,"="&amp;$C338)&gt;0,Biomes!R$1&amp;", ",""),", ","")
),_xlfn.XLOOKUP(B338,B:B,BX:BX))</f>
        <v/>
      </c>
      <c r="BY338" s="25" t="str">
        <f>IF(_xlfn.XLOOKUP(B338,'Base stats'!B:B,'Base stats'!AJ:AJ)=1,"true","false")</f>
        <v>false</v>
      </c>
      <c r="BZ338" s="25">
        <f>IF(_xlfn.XLOOKUP(B338,'Base stats'!B:B,'Base stats'!N:N)=1,"No",MAX(0.001,MIN(MROUND(IF(AND(BJ338="True",CC338="False"),POWER(10,3.47*LOG10(_xlfn.XLOOKUP(B338,'Base stats'!B:B,'Base stats'!C:C)*1000)^-0.96),POWER(10,4.15*LOG10(_xlfn.XLOOKUP(B338,'Base stats'!B:B,'Base stats'!C:C)*1000)^-0.73))*IF(_xlfn.XLOOKUP(B338,'Base stats'!B:B,'Base stats'!AK:AK)=1,0.5,1)*IF(_xlfn.XLOOKUP(B338,'Base stats'!B:B,'Base stats'!AM:AM)=1,0.1,1)/100,IF(_xlfn.XLOOKUP(B338,'Base stats'!B:B,'Base stats'!AM:AM)=1,0.001,0.025)),0.5)))</f>
        <v>1.0999999999999999E-2</v>
      </c>
      <c r="CA338" s="25" t="str">
        <f>IF(P338="Standard","No",MAX(0.001,MIN(MROUND(IF(AND(BJ338="True",CC338="False"),POWER(10,3.47*LOG10(_xlfn.XLOOKUP(B338,'Base stats'!B:B,'Base stats'!C:C)*1000)^-0.96),POWER(10,4.15*LOG10(_xlfn.XLOOKUP(B338,'Base stats'!B:B,'Base stats'!C:C)*1000)^-0.73))*IF(_xlfn.XLOOKUP(B338,'Base stats'!B:B,'Base stats'!AM:AM)=1,0.1,1)*_xlfn.XLOOKUP(B338,'Base stats'!B:B,'Base stats'!R:R)/100,IF(_xlfn.XLOOKUP(B338,'Base stats'!B:B,'Base stats'!AM:AM)=1,0.001,0.025)),0.5)))</f>
        <v>No</v>
      </c>
      <c r="CB338" s="25" t="str">
        <f>IF(_xlfn.XLOOKUP(_xlfn.XLOOKUP(B338,'Base stats'!B:B,'Base stats'!E:E),Groups!A:A,Groups!AJ:AJ)="Mammal","True","False")</f>
        <v>False</v>
      </c>
      <c r="CC338" s="25" t="str">
        <f>IF(OR(_xlfn.XLOOKUP(_xlfn.XLOOKUP(B338,'Base stats'!B:B,'Base stats'!E:E),Groups!A:A,Groups!AJ:AJ)="Reptile",_xlfn.XLOOKUP(_xlfn.XLOOKUP(B338,'Base stats'!B:B,'Base stats'!E:E),Groups!A:A,Groups!AJ:AJ)="Amphibian",_xlfn.XLOOKUP(_xlfn.XLOOKUP(B338,'Base stats'!B:B,'Base stats'!E:E),Groups!A:A,Groups!AJ:AJ)="Invertebrate"),"True","False")</f>
        <v>True</v>
      </c>
      <c r="CD338" s="25" t="str">
        <f t="shared" si="41"/>
        <v>True</v>
      </c>
      <c r="CE338" s="25" t="str">
        <f>IF(_xlfn.XLOOKUP(_xlfn.XLOOKUP(B338,'Base stats'!B:B,'Base stats'!E:E),Groups!A:A,Groups!AX:AX),"True","False")</f>
        <v>False</v>
      </c>
      <c r="CF338" s="25" t="str">
        <f>IF(_xlfn.XLOOKUP(_xlfn.XLOOKUP(B338,'Base stats'!B:B,'Base stats'!E:E),Groups!A:A,Groups!AY:AY),"True","False")</f>
        <v>False</v>
      </c>
      <c r="CG338" s="25" t="str">
        <f>IF(_xlfn.XLOOKUP(_xlfn.XLOOKUP(B338,'Base stats'!B:B,'Base stats'!E:E),Groups!A:A,Groups!AW:AW),"True","False")</f>
        <v>False</v>
      </c>
      <c r="CH338" s="25" t="str">
        <f>IF(
OR(
_xlfn.XLOOKUP(_xlfn.XLOOKUP(B338,'Base stats'!B:B,'Base stats'!E:E),Groups!A:A,Groups!AZ:AZ)=0,
AND(
_xlfn.XLOOKUP(B338,'Base stats'!B:B,'Base stats'!Y:Y)&lt;&gt;"Carnivore",
_xlfn.XLOOKUP(B338,'Base stats'!B:B,'Base stats'!Y:Y)&lt;&gt;"Omnivore",
_xlfn.XLOOKUP(B338,'Base stats'!B:B,'Base stats'!Y:Y)&lt;&gt;"OmnivoreRough"
)
),
"No",
IF(
_xlfn.XLOOKUP(_xlfn.XLOOKUP(B338,'Base stats'!B:B,'Base stats'!E:E),Groups!A:A,Groups!AZ:AZ)=1,
"Flesh",
IF(
_xlfn.XLOOKUP(_xlfn.XLOOKUP(B338,'Base stats'!B:B,'Base stats'!E:E),Groups!A:A,Groups!AZ:AZ)=2,
"Bone",
""
)
)
)</f>
        <v>No</v>
      </c>
      <c r="CI338" s="25" t="str">
        <f>IF(_xlfn.XLOOKUP(_xlfn.XLOOKUP(B338,'Base stats'!B:B,'Base stats'!E:E),Groups!A:A,Groups!BB:BB),"True","False")</f>
        <v>False</v>
      </c>
      <c r="CJ338" s="25" t="str">
        <f>IF(_xlfn.XLOOKUP(_xlfn.XLOOKUP(B338,'Base stats'!B:B,'Base stats'!E:E),Groups!A:A,Groups!BA:BA),"True","False")</f>
        <v>False</v>
      </c>
    </row>
    <row r="339" spans="1:88" ht="16.5" thickTop="1" thickBot="1" x14ac:dyDescent="0.3">
      <c r="A339" s="26" t="s">
        <v>1590</v>
      </c>
      <c r="B339" s="6" t="str">
        <f>_xlfn.XLOOKUP(A339,'Base stats'!A:A,'Base stats'!B:B)</f>
        <v>Thermophis titan</v>
      </c>
      <c r="C339" s="28" t="s">
        <v>1591</v>
      </c>
      <c r="D339" s="28" t="s">
        <v>1341</v>
      </c>
      <c r="E339" s="28" t="s">
        <v>1748</v>
      </c>
      <c r="F339" s="28" t="s">
        <v>673</v>
      </c>
      <c r="G339" s="28" t="s">
        <v>673</v>
      </c>
      <c r="H339" s="2">
        <f>MROUND((
  (IF(AND(_xlfn.XLOOKUP(B339,'Base stats'!B:B,'Base stats'!AL:AL)=0,BI339="None",_xlfn.XLOOKUP(_xlfn.XLOOKUP(B339,'Base stats'!B:B,'Base stats'!E:E),Groups!A:A,Groups!B:B)=0), (18 + BR339 * 2.7) * 0.5,
    IF(AND(_xlfn.XLOOKUP(B339,'Base stats'!B:B,'Base stats'!AL:AL)=0,OR(AO339&lt;0.55,AND(BI339="Intermediate",_xlfn.XLOOKUP(_xlfn.XLOOKUP(B339,'Base stats'!B:B,'Base stats'!E:E),Groups!A:A,Groups!B:B)&lt;2))), (18 + BR339 * 2.7),
      IF(OR(BI339="Advanced",_xlfn.XLOOKUP(B339,'Base stats'!B:B,'Base stats'!AL:AL)=1,_xlfn.XLOOKUP(_xlfn.XLOOKUP(B339,'Base stats'!B:B,'Base stats'!E:E),Groups!A:A,Groups!B:B)=2), (18 + BR339 * 2.7) + 250, (18 + BR339 * 2.7))
    )
  ))
  + AO339 * 80
  + IF(COUNTIF(EggMilk!K$2:K$998, A339) &gt; 0, 125, 0)
  + IF(COUNTIF(EggMilk!P$2:P$998, A339) &gt; 0, 90, 0)
  + IF(COUNTIF(EggMilk!A$2:A$998, A339) &gt; 0, 90, 0)
)
* (0.8 + 0.4 * J339)
* 0.75,25)</f>
        <v>1375</v>
      </c>
      <c r="I339" s="2">
        <f>MROUND(ROUNDDOWN(_xlfn.XLOOKUP(B339,'Base stats'!B:B,'Base stats'!L:L)/3.6/(23.3/11),1),0.5)</f>
        <v>2.5</v>
      </c>
      <c r="J339" s="2">
        <f>IF(OR(_xlfn.XLOOKUP(B339,'Base stats'!B:B,'Base stats'!AB:AB)=1,_xlfn.XLOOKUP(_xlfn.XLOOKUP(B339,'Base stats'!B:B,'Base stats'!E:E),Groups!A:A,Groups!C:C)="Untamable"),1,IF(_xlfn.XLOOKUP(B339,'Base stats'!B:B,'Base stats'!AL:AL)=1,0.99,MIN(MROUND((1-0.6282*EXP(-0.459*AO339))*_xlfn.XLOOKUP(_xlfn.XLOOKUP(B339,'Base stats'!B:B,'Base stats'!E:E),Groups!A:A,Groups!C:C)*IF(_xlfn.XLOOKUP(B339,'Base stats'!B:B,'Base stats'!O:O)=1,0.5,IF(_xlfn.XLOOKUP(B339,'Base stats'!B:B,'Base stats'!O:O)=2,0,1)),0.05),IF(AO339&gt;3.5,0.985,0.95))))</f>
        <v>0.9</v>
      </c>
      <c r="K339" s="2">
        <f>ROUNDUP(AO339*_xlfn.XLOOKUP(_xlfn.XLOOKUP(B339,'Base stats'!B:B,'Base stats'!E:E),Groups!A:A,Groups!E:E),0)</f>
        <v>3</v>
      </c>
      <c r="L339" s="2">
        <f>IF(OR(_xlfn.XLOOKUP(_xlfn.XLOOKUP(B339,'Base stats'!B:B,'Base stats'!E:E),Groups!A:A,Groups!F:F)=2,ISNUMBER(SEARCH("SeaIce",BX339)),ISNUMBER(SEARCH("IceSheet",BX339))),-50,IF(OR(ISNUMBER(SEARCH("GlacialPlain",BX339)),ISNUMBER(SEARCH("Tundra",BX339))),-40,IF(OR(ISNUMBER(SEARCH("Alpine",BX339)),ISNUMBER(SEARCH("BorealForest",BX339)),ISNUMBER(SEARCH("ColdBog",BX339))),-30,IF(OR(ISNUMBER(SEARCH("TemperateForest",BX339)),ISNUMBER(SEARCH("TemperateSwamp",BX339))),-20,IF(_xlfn.XLOOKUP(_xlfn.XLOOKUP(B339,'Base stats'!B:B,'Base stats'!E:E),Groups!A:A,Groups!F:F)=1,-15,IF(OR(ISNUMBER(SEARCH("Desert",BX339)),ISNUMBER(SEARCH("ExtremeDesert",BX339))),-10,IF(OR(ISNUMBER(SEARCH("Grasslands",BX339)),ISNUMBER(SEARCH("TropicalRainforest",BX339)),ISNUMBER(SEARCH("TropicalSwamp",BX339))),10,0)))))))-IF(CC339="False",MIN(IFERROR(MAX(MROUND(LOG10(_xlfn.XLOOKUP(B339,'Base stats'!B:B,'Base stats'!C:C)^(2/3))*10,5),5),5),30))-_xlfn.XLOOKUP(B339,'Base stats'!B:B,'Base stats'!P:P)+IF(CC339="True",5,0)</f>
        <v>5</v>
      </c>
      <c r="M339" s="2">
        <f>IF(OR(_xlfn.XLOOKUP(_xlfn.XLOOKUP(B339,'Base stats'!B:B,'Base stats'!E:E),Groups!A:A,Groups!G:G)=2,ISNUMBER(SEARCH("Desert",BX339)),ISNUMBER(SEARCH("ExtremeDesert",BX339)),ISNUMBER(SEARCH("LavaField",BX339))),50,IF(ISNUMBER(SEARCH("Grasslands",BX339)),45,IF(OR(_xlfn.XLOOKUP(_xlfn.XLOOKUP(B339,'Base stats'!B:B,'Base stats'!E:E),Groups!A:A,Groups!G:G)=1,ISNUMBER(SEARCH("TropicalRainforest",BX339)),ISNUMBER(SEARCH("TropicalSwamp",BX339))),40,IF(OR(ISNUMBER(SEARCH("TemperateForest",BX339)),ISNUMBER(SEARCH("TemperateSwamp",BX339))),35,IF(OR(ISNUMBER(SEARCH("Alpine",BX339)),ISNUMBER(SEARCH("BorealForest",BX339)),ISNUMBER(SEARCH("ColdBog",BX339))),30,IF(ISNUMBER(OR(ISNUMBER(SEARCH("GlacialPlain",BX339)),SEARCH("Tundra",BX339))),25,IF(OR(ISNUMBER(SEARCH("SeaIce",BX339)),ISNUMBER(SEARCH("IceSheet",BX339)),ISNUMBER(SEARCH("TropicalSwamp",BX339))),10,35)))))))+_xlfn.XLOOKUP(B339,'Base stats'!B:B,'Base stats'!Q:Q)</f>
        <v>50</v>
      </c>
      <c r="N339" s="8">
        <f>IF(
_xlfn.XLOOKUP(
_xlfn.XLOOKUP(B339,'Base stats'!B:B,'Base stats'!E:E),
Groups!A:A,
Groups!L:L
)=1,
MIN(
MROUND(
IF(
_xlfn.XLOOKUP(B339,'Animals CE'!B:B,'Animals CE'!Z:Z)&lt;=1.5,
_xlfn.XLOOKUP(B339,'Animals CE'!B:B,'Animals CE'!Z:Z)/2+0.05,
0.8+
(_xlfn.XLOOKUP(B339,'Animals CE'!B:B,'Animals CE'!Z:Z)-1.5)
*0.02
),
0.05
),
200%
),
"No"
)</f>
        <v>0.85000000000000009</v>
      </c>
      <c r="O339" s="8">
        <f>IF(
_xlfn.XLOOKUP(
_xlfn.XLOOKUP(B339,'Base stats'!B:B,'Base stats'!E:E),
Groups!A:A,
Groups!L:L
)=1,
MIN(
MROUND(
IF(
_xlfn.XLOOKUP(B339,'Animals CE'!B:B,'Animals CE'!AA:AA)&lt;=1.5,
_xlfn.XLOOKUP(B339,'Animals CE'!B:B,'Animals CE'!AA:AA)/2+0.05,
0.8+
(_xlfn.XLOOKUP(B339,'Animals CE'!B:B,'Animals CE'!AA:AA)-1.5)
*0.02
),
0.05
),
200%
),
"No"
)</f>
        <v>0.85000000000000009</v>
      </c>
      <c r="P339" s="2">
        <f>_xlfn.XLOOKUP(B339,'Base stats'!B:B,'Base stats'!R:R)</f>
        <v>1</v>
      </c>
      <c r="Q339" s="13">
        <f>MROUND((LOG10(_xlfn.XLOOKUP(B339,'Base stats'!B:B,'Base stats'!AR:AR))*(AO339^0.5)+(_xlfn.XLOOKUP(B339,'Base stats'!B:B,'Base stats'!AR:AR)/1000)^(2/3)+_xlfn.XLOOKUP(B339,'Base stats'!B:B,'Base stats'!BA:BA)/2)+0.5,0.5)</f>
        <v>15</v>
      </c>
      <c r="R339" s="7">
        <f>IF(Q339="No","No",MAX(1,MROUND(_xlfn.XLOOKUP(B339,'Base stats'!B:B,'Base stats'!C:C)^0.165,0.05)))</f>
        <v>2.75</v>
      </c>
      <c r="S339" s="13" t="str">
        <f>IF(_xlfn.XLOOKUP(_xlfn.XLOOKUP(B339,'Base stats'!B:B,'Base stats'!E:E),Groups!A:A,Groups!P:P)=0,"No",MROUND((LOG10(_xlfn.XLOOKUP(B339,'Base stats'!B:B,'Base stats'!AS:AS))*(AO339^0.5)+(_xlfn.XLOOKUP(B339,'Base stats'!B:B,'Base stats'!AS:AS)/1000)^(2/3)+_xlfn.XLOOKUP(B339,'Base stats'!B:B,'Base stats'!BA:BA))+_xlfn.XLOOKUP(B339,'Base stats'!B:B,'Base stats'!AY:AY)+0.5,0.5))</f>
        <v>No</v>
      </c>
      <c r="T339" s="7" t="str">
        <f>IF(S339="No","No",MAX(_xlfn.XLOOKUP(_xlfn.XLOOKUP(B339,'Base stats'!B:B,'Base stats'!E:E),Groups!A:A,Groups!Q:Q),MROUND(_xlfn.XLOOKUP(_xlfn.XLOOKUP(B339,'Base stats'!B:B,'Base stats'!E:E),Groups!A:A,Groups!Q:Q)*_xlfn.XLOOKUP(B339,'Base stats'!B:B,'Base stats'!C:C)^0.165,0.05)))</f>
        <v>No</v>
      </c>
      <c r="U339" s="7" t="str">
        <f>IF(S339="No","No",_xlfn.XLOOKUP(_xlfn.XLOOKUP(B339,'Base stats'!B:B,'Base stats'!E:E),Groups!A:A,Groups!R:R))</f>
        <v>No</v>
      </c>
      <c r="V339" s="7" t="str">
        <f>IF(S339="No","No",_xlfn.XLOOKUP(_xlfn.XLOOKUP(B339,'Base stats'!B:B,'Base stats'!E:E),Groups!A:A,Groups!S:S))</f>
        <v>No</v>
      </c>
      <c r="W339" s="7" t="str">
        <f>IF(S339="No","No",_xlfn.XLOOKUP(_xlfn.XLOOKUP(B339,'Base stats'!B:B,'Base stats'!E:E),Groups!A:A,Groups!T:T))</f>
        <v>No</v>
      </c>
      <c r="X339" s="13" t="str">
        <f>IF(_xlfn.XLOOKUP(B339,'Base stats'!B:B,'Base stats'!W:W)="No","No",MROUND((LOG10(_xlfn.XLOOKUP(B339,'Base stats'!B:B,'Base stats'!AU:AU))*(AO339^0.5)+(_xlfn.XLOOKUP(B339,'Base stats'!B:B,'Base stats'!AU:AU)/1000)^(2/3)+_xlfn.XLOOKUP(B339,'Base stats'!B:B,'Base stats'!AZ:AZ))+0.5+IF(_xlfn.XLOOKUP(_xlfn.XLOOKUP(B339,'Base stats'!B:B,'Base stats'!E:E),Groups!A:A,Groups!U:U)&lt;&gt;3,_xlfn.XLOOKUP(B339,'Base stats'!B:B,'Base stats'!BA:BA),0),0.5))</f>
        <v>No</v>
      </c>
      <c r="Y339" s="7" t="str">
        <f>IF(X339="No","No",MAX(_xlfn.XLOOKUP(_xlfn.XLOOKUP(B339,'Base stats'!B:B,'Base stats'!E:E),Groups!A:A,Groups!V:V),MROUND(_xlfn.XLOOKUP(_xlfn.XLOOKUP(B339,'Base stats'!B:B,'Base stats'!E:E),Groups!A:A,Groups!V:V)*_xlfn.XLOOKUP(B339,'Base stats'!B:B,'Base stats'!C:C)^0.165,0.05)))</f>
        <v>No</v>
      </c>
      <c r="Z339" s="7" t="str">
        <f>IF(X339="No","No",_xlfn.XLOOKUP(_xlfn.XLOOKUP(B339,'Base stats'!B:B,'Base stats'!E:E),Groups!A:A,Groups!W:W))</f>
        <v>No</v>
      </c>
      <c r="AA339" s="7" t="str">
        <f>IF(X339="No","No",_xlfn.XLOOKUP(_xlfn.XLOOKUP(B339,'Base stats'!B:B,'Base stats'!E:E),Groups!A:A,Groups!X:X))</f>
        <v>No</v>
      </c>
      <c r="AB339" s="7" t="str">
        <f>IF(X339="No","No",_xlfn.XLOOKUP(_xlfn.XLOOKUP(B339,'Base stats'!B:B,'Base stats'!E:E),Groups!A:A,Groups!Y:Y))</f>
        <v>No</v>
      </c>
      <c r="AC339" s="7" t="str">
        <f>_xlfn.XLOOKUP(Animals!B339,'Base stats'!B:B,'Base stats'!X:X)</f>
        <v>False</v>
      </c>
      <c r="AD339" s="13">
        <f>IF(_xlfn.XLOOKUP(B339,'Base stats'!B:B,'Base stats'!AT:AT)="No","No",MROUND((LOG10(_xlfn.XLOOKUP(B339,'Base stats'!B:B,'Base stats'!AT:AT))*(AO339^0.75)+(_xlfn.XLOOKUP(B339,'Base stats'!B:B,'Base stats'!AT:AT)/1000)^(2/3)+_xlfn.XLOOKUP(B339,'Base stats'!B:B,'Base stats'!AX:AX)+_xlfn.XLOOKUP(B339,'Base stats'!B:B,'Base stats'!BA:BA))+0.5,0.5))</f>
        <v>43</v>
      </c>
      <c r="AE339" s="7">
        <f>IF(AD339="No","No",MAX(_xlfn.XLOOKUP(_xlfn.XLOOKUP(B339,'Base stats'!B:B,'Base stats'!E:E),Groups!A:A,Groups!Z:Z),MROUND(_xlfn.XLOOKUP(_xlfn.XLOOKUP(B339,'Base stats'!B:B,'Base stats'!E:E),Groups!A:A,Groups!Z:Z)*_xlfn.XLOOKUP(B339,'Base stats'!B:B,'Base stats'!C:C)^0.165,0.05)))</f>
        <v>3.3000000000000003</v>
      </c>
      <c r="AF339" s="7" t="str">
        <f>IF(AD339="No","No",_xlfn.XLOOKUP(_xlfn.XLOOKUP(B339,'Base stats'!B:B,'Base stats'!E:E),Groups!A:A,Groups!AA:AA))</f>
        <v>Mouth</v>
      </c>
      <c r="AG339" s="7" t="str">
        <f>IF(AD339="No","No",_xlfn.XLOOKUP(_xlfn.XLOOKUP(B339,'Base stats'!B:B,'Base stats'!E:E),Groups!A:A,Groups!AB:AB))</f>
        <v>mandibles</v>
      </c>
      <c r="AH339" s="7" t="str">
        <f>IF(AD339="No","No",_xlfn.XLOOKUP(_xlfn.XLOOKUP(B339,'Base stats'!B:B,'Base stats'!E:E),Groups!A:A,Groups!AC:AC))</f>
        <v>Bite</v>
      </c>
      <c r="AI339" s="13">
        <f>IF(_xlfn.XLOOKUP(_xlfn.XLOOKUP(B339,'Base stats'!B:B,'Base stats'!E:E),Groups!A:A,Groups!AD:AD)=0,"No",MROUND((LOG10(_xlfn.XLOOKUP(B339,'Base stats'!B:B,'Base stats'!AS:AS))*(AO339^0.75)+(_xlfn.XLOOKUP(B339,'Base stats'!B:B,'Base stats'!AS:AS)/1000)^(2/3)+_xlfn.XLOOKUP(B339,'Base stats'!B:B,'Base stats'!AY:AY)+_xlfn.XLOOKUP(B339,'Base stats'!B:B,'Base stats'!BA:BA))+0.5,0.5))</f>
        <v>37.5</v>
      </c>
      <c r="AJ339" s="7">
        <f>IF(AI339="No","No",MAX(_xlfn.XLOOKUP(_xlfn.XLOOKUP(B339,'Base stats'!B:B,'Base stats'!E:E),Groups!A:A,Groups!AE:AE),MROUND(_xlfn.XLOOKUP(_xlfn.XLOOKUP(B339,'Base stats'!B:B,'Base stats'!E:E),Groups!A:A,Groups!AE:AE)*IF(_xlfn.XLOOKUP(_xlfn.XLOOKUP(B339,'Base stats'!B:B,'Base stats'!E:E),Groups!A:A,Groups!AJ:AJ)="Photonozoa",0.6,1)*_xlfn.XLOOKUP(B339,'Base stats'!B:B,'Base stats'!C:C)^0.165,0.05)))</f>
        <v>3</v>
      </c>
      <c r="AK339" s="7" t="str">
        <f>IF(AI339="No","No",_xlfn.XLOOKUP(_xlfn.XLOOKUP(B339,'Base stats'!B:B,'Base stats'!E:E),Groups!A:A,Groups!AF:AF))</f>
        <v>HeadClaw</v>
      </c>
      <c r="AL339" s="7" t="str">
        <f>IF(AI339="No","No",_xlfn.XLOOKUP(_xlfn.XLOOKUP(B339,'Base stats'!B:B,'Base stats'!E:E),Groups!A:A,Groups!AG:AG))</f>
        <v>head claw</v>
      </c>
      <c r="AM339" s="7" t="str">
        <f>IF(AI339="No","No",_xlfn.XLOOKUP(_xlfn.XLOOKUP(B339,'Base stats'!B:B,'Base stats'!E:E),Groups!A:A,Groups!AH:AH))</f>
        <v>Scratch</v>
      </c>
      <c r="AN339" s="2">
        <f t="shared" si="35"/>
        <v>30</v>
      </c>
      <c r="AO339" s="2">
        <f>MROUND(IF(AND(_xlfn.XLOOKUP(B339,'Base stats'!B:B,'Base stats'!C:C)&gt;=0.5,_xlfn.XLOOKUP(B339,'Base stats'!B:B,'Base stats'!C:C)&lt;=0.8),
IF(_xlfn.XLOOKUP(B339,'Base stats'!B:B,'Base stats'!C:C)&lt;0.1,0.05,IF(_xlfn.XLOOKUP(B339,'Base stats'!B:B,'Base stats'!C:C)&lt;=70,(_xlfn.XLOOKUP(B339,'Base stats'!B:B,'Base stats'!C:C)/70)^0.426489913056526,IF(_xlfn.XLOOKUP(B339,'Base stats'!B:B,'Base stats'!C:C)&lt;=400,(_xlfn.XLOOKUP(B339,'Base stats'!B:B,'Base stats'!C:C)/70)^0.572811455315093,IF(_xlfn.XLOOKUP(B339,'Base stats'!B:B,'Base stats'!C:C)&lt;=2000,2.71391647193063*(_xlfn.XLOOKUP(B339,'Base stats'!B:B,'Base stats'!C:C)/400)^0.252459582904293,3.74314280240376*(_xlfn.XLOOKUP(B339,'Base stats'!B:B,'Base stats'!C:C)/2000)^0.357012633876913)))),
IF(_xlfn.XLOOKUP(B339,'Base stats'!B:B,'Base stats'!C:C)&lt;0.1,0.05,IF(_xlfn.XLOOKUP(B339,'Base stats'!B:B,'Base stats'!C:C)&lt;0.4,0.1,IF(_xlfn.XLOOKUP(B339,'Base stats'!B:B,'Base stats'!C:C)&lt;=70,(_xlfn.XLOOKUP(B339,'Base stats'!B:B,'Base stats'!C:C)/70)^0.445823913056526,IF(_xlfn.XLOOKUP(B339,'Base stats'!B:B,'Base stats'!C:C)&lt;=400,(_xlfn.XLOOKUP(B339,'Base stats'!B:B,'Base stats'!C:C)/70)^0.572811455315093,IF(_xlfn.XLOOKUP(B339,'Base stats'!B:B,'Base stats'!C:C)&lt;=2000,2.71391647193063*(_xlfn.XLOOKUP(B339,'Base stats'!B:B,'Base stats'!C:C)/400)^0.252459582904293,3.74314280240376*(_xlfn.XLOOKUP(B339,'Base stats'!B:B,'Base stats'!C:C)/2000)^0.357012633876913)))))),
IF(_xlfn.XLOOKUP(B339,'Base stats'!B:B,'Base stats'!C:C)&lt;0.1,0.05,IF(_xlfn.XLOOKUP(B339,'Base stats'!B:B,'Base stats'!C:C)&lt;=100,0.05,IF(_xlfn.XLOOKUP(B339,'Base stats'!B:B,'Base stats'!C:C)&lt;=250,0.1,IF(_xlfn.XLOOKUP(B339,'Base stats'!B:B,'Base stats'!C:C)&lt;=4000,0.25,0.5)))))</f>
        <v>2.75</v>
      </c>
      <c r="AP339" s="8">
        <f>MROUND(AO339*_xlfn.XLOOKUP(_xlfn.XLOOKUP(B339,'Base stats'!B:B,'Base stats'!E:E),Groups!A:A,Groups!AI:AI)*_xlfn.XLOOKUP(B339,'Base stats'!B:B,'Base stats'!Z:Z),0.05)</f>
        <v>2.75</v>
      </c>
      <c r="AQ339" s="8">
        <f>MAX(0.01,MROUND(IF(CC339="True",0.196*(AO339*100*1000)^0.889,IF(_xlfn.XLOOKUP(_xlfn.XLOOKUP(B339,'Base stats'!B:B,'Base stats'!E:E),Groups!A:A,Groups!AJ:AJ)="Bird",10.5*(AO339*100*1000)^0.681,4.82*(AO339*100*1000)^0.734))/(4.82*(1*100*1000)^0.734)/IF(AO339&lt;3.5,2,IF(AO339=3.5,1.5,1.25))*(1+0.132282374779864/(AO339^0.994035016789033+0.00905238001496948)),0.05))</f>
        <v>0.30000000000000004</v>
      </c>
      <c r="AR339" s="9">
        <f>IFERROR(MROUND(_xlfn.XLOOKUP(B339,'Base stats'!B:B,'Base stats'!H:H)/IF(_xlfn.XLOOKUP(B339,'Base stats'!B:B,'Base stats'!I:I)&lt;&gt;1,(122.5/70),1.2),IF(_xlfn.XLOOKUP(B339,'Base stats'!B:B,'Base stats'!H:H)&gt;=30,5,IF(_xlfn.XLOOKUP(B339,'Base stats'!B:B,'Base stats'!H:H)&gt;=15,3,IF(_xlfn.XLOOKUP(B339,'Base stats'!B:B,'Base stats'!H:H)&gt;=10,2,1)))),"Immortal")</f>
        <v>12</v>
      </c>
      <c r="AS339" s="35" t="str">
        <f>IFERROR(IF(OR(_xlfn.XLOOKUP(B339,'Base stats'!B:B,'Base stats'!F:F)="Atypical reproduction",_xlfn.XLOOKUP(B339,'Base stats'!B:B,'Base stats'!F:F)="Lay eggs"),"Lay eggs",MIN(20,MAX(5.5,ROUND(((_xlfn.XLOOKUP(B339,'Base stats'!B:B,'Base stats'!F:F)-25)*(14.5/615) + 5.5)*2,0)/2))),"Unknown")</f>
        <v>Lay eggs</v>
      </c>
      <c r="AT339" s="8">
        <f>IF(_xlfn.XLOOKUP(B339,'Base stats'!B:B,'Base stats'!G:G)="Atypical reproduction","No",IFERROR(MAX(IF(_xlfn.XLOOKUP(B339,'Base stats'!B:B,'Base stats'!G:G)&lt;0.5,0.2,0.3),MROUND(_xlfn.XLOOKUP(B339,'Base stats'!B:B,'Base stats'!G:G)/(365/60),0.2)),"Unknown"))</f>
        <v>0.4</v>
      </c>
      <c r="AU339" s="8">
        <f t="shared" si="36"/>
        <v>0.2</v>
      </c>
      <c r="AV339" s="8" t="str">
        <f>IFERROR(IFERROR(MROUND(_xlfn.XLOOKUP(B339,'Base stats'!B:B,'Base stats'!J:J),0.1),"Lay eggs"),"Cannot breed")</f>
        <v>Lay eggs</v>
      </c>
      <c r="AW339" s="2" t="str">
        <f t="shared" si="37"/>
        <v>false</v>
      </c>
      <c r="AX339" s="2" t="str">
        <f>IF(_xlfn.XLOOKUP(_xlfn.XLOOKUP(Animals!B339,'Base stats'!B:B,'Base stats'!E:E),Groups!A:A,Groups!AK:AK)=1,"true","false")</f>
        <v>false</v>
      </c>
      <c r="AY339" s="25" t="str">
        <f>IF(_xlfn.XLOOKUP(B339,'Base stats'!B:B,'Base stats'!Y:Y)="Liquor","Liquor, CarnivoreAnimalStrict",IF(AND(_xlfn.XLOOKUP(B339,'Base stats'!B:B,'Base stats'!Y:Y)="Carnivore",_xlfn.XLOOKUP(_xlfn.XLOOKUP(B339,'Base stats'!B:B,'Base stats'!E:E),Groups!A:A,Groups!AJ:AJ)="Photonozoa"),"CarnivoreAnimalStrict, OvivoreAnimal",IF(_xlfn.XLOOKUP(B339,'Base stats'!B:B,'Base stats'!Y:Y)="Carnivore","CarnivoreAnimal, OvivoreAnimal",IF(_xlfn.XLOOKUP(B339,'Base stats'!B:B,'Base stats'!Y:Y)="Dendrovore","VegetarianRoughAnimal, DendrovoreAnimal",IF(_xlfn.XLOOKUP(B339,'Base stats'!B:B,'Base stats'!Y:Y)="Herbivore","VegetarianRoughAnimal",IF(_xlfn.XLOOKUP(B339,'Base stats'!B:B,'Base stats'!Y:Y)="OmnivoreRough","OmnivoreRoughAnimal, OvivoreAnimal","OmnivoreAnimal, OvivoreAnimal"))))))</f>
        <v>OmnivoreAnimal, OvivoreAnimal</v>
      </c>
      <c r="AZ339" s="2" t="str">
        <f>IF(_xlfn.XLOOKUP(_xlfn.XLOOKUP(B339,'Base stats'!B:B,'Base stats'!E:E),Groups!A:A,Groups!D:D)=1,MROUND((1-J339)*5+1,2)*IF(J339&lt;=0.4,2,1),"No")</f>
        <v>No</v>
      </c>
      <c r="BA339" s="2" t="str">
        <f>IF(AND(_xlfn.XLOOKUP(B339,'Base stats'!B:B,'Base stats'!AH:AH)="&lt;li&gt;Seal&lt;/li&gt;",G339="Odyssey"),"&lt;li&gt;AEXP_Seal&lt;/li&gt;",_xlfn.XLOOKUP(B339,'Base stats'!B:B,'Base stats'!AH:AH))</f>
        <v>&lt;li&gt;Megaspider&lt;/li&gt;</v>
      </c>
      <c r="BB339" s="2" t="str">
        <f>_xlfn.XLOOKUP(B339,'Base stats'!B:B,'Base stats'!AG:AG)</f>
        <v>Leather_BlackChitin</v>
      </c>
      <c r="BC339" s="23" t="str">
        <f>_xlfn.XLOOKUP(_xlfn.XLOOKUP(B339,'Base stats'!B:B,'Base stats'!E:E),Groups!A:A,Groups!AL:AL)</f>
        <v>BeetleLikeWithClaw</v>
      </c>
      <c r="BD339" s="23">
        <f>MIN(1,MROUND(IF(AND(AO339&lt;0.5,_xlfn.XLOOKUP(B339,'Base stats'!B:B,'Base stats'!AA:AA)=0),0,IF(OR(_xlfn.XLOOKUP(Animals!B339,'Base stats'!B:B,'Base stats'!O:O)=2,_xlfn.XLOOKUP(_xlfn.XLOOKUP(B339,'Base stats'!B:B,'Base stats'!E:E),Groups!A:A,Groups!AN:AN)=0),0,_xlfn.XLOOKUP(_xlfn.XLOOKUP(B339,'Base stats'!B:B,'Base stats'!E:E),Groups!A:A,Groups!AN:AN)/IF(_xlfn.XLOOKUP(Animals!B339,'Base stats'!B:B,'Base stats'!O:O)=1,2,1)))+_xlfn.XLOOKUP(B339,'Base stats'!B:B,'Base stats'!AC:AC),0.005))</f>
        <v>0.1</v>
      </c>
      <c r="BE339" s="23">
        <f>MIN(1,MROUND(IF(AND(AO339&lt;0.5,_xlfn.XLOOKUP(B339,'Base stats'!B:B,'Base stats'!AA:AA)=0),0,IF(_xlfn.XLOOKUP(_xlfn.XLOOKUP(B339,'Base stats'!B:B,'Base stats'!E:E),Groups!A:A,Groups!AO:AO)=0,0,_xlfn.XLOOKUP(_xlfn.XLOOKUP(B339,'Base stats'!B:B,'Base stats'!E:E),Groups!A:A,Groups!AO:AO)/IF(_xlfn.XLOOKUP(Animals!B339,'Base stats'!B:B,'Base stats'!O:O)=2,3,1)))+_xlfn.XLOOKUP(B339,'Base stats'!B:B,'Base stats'!AD:AD),0.005))</f>
        <v>1</v>
      </c>
      <c r="BF339" s="2" t="str">
        <f>IF(J339&gt;0.3,"No",_xlfn.XLOOKUP(_xlfn.XLOOKUP(Animals!B339,'Base stats'!B:B,'Base stats'!E:E),Groups!A:A,Groups!AP:AP))</f>
        <v>No</v>
      </c>
      <c r="BG339" s="2" t="str">
        <f>IF(AND(J339&lt;=0.65,_xlfn.XLOOKUP(_xlfn.XLOOKUP(Animals!B339,'Base stats'!B:B,'Base stats'!E:E),Groups!A:A,Groups!AP:AP)&lt;&gt;"No",_xlfn.XLOOKUP(_xlfn.XLOOKUP(B339,'Base stats'!B:B,'Base stats'!E:E),Groups!A:A,Groups!D:D)=0),MROUND((80/3)*IF(_xlfn.XLOOKUP(B339,'Base stats'!B:B,'Base stats'!O:O)=2,0.2,AO339) + 24*(1-IF(BF339="No",0,BF339)) + 16/3, 12),"No")</f>
        <v>No</v>
      </c>
      <c r="BH339" s="2">
        <f>IF(AND(_xlfn.XLOOKUP(_xlfn.XLOOKUP(B339,'Base stats'!B:B,'Base stats'!E:E),Groups!A:A,Groups!AQ:AQ)=1,AO339&lt;=0.35),8,12)</f>
        <v>12</v>
      </c>
      <c r="BI339" s="2" t="str">
        <f>IF(_xlfn.XLOOKUP(_xlfn.XLOOKUP(B339,'Base stats'!B:B,'Base stats'!E:E),Groups!A:A,Groups!D:D)=0,_xlfn.XLOOKUP(_xlfn.XLOOKUP(B339,'Base stats'!B:B,'Base stats'!E:E),Groups!A:A,Groups!AR:AR),"None")</f>
        <v>Advanced</v>
      </c>
      <c r="BJ339" s="2" t="str">
        <f>IF(AND(_xlfn.XLOOKUP(_xlfn.XLOOKUP(B339,'Base stats'!B:B,'Base stats'!E:E),Groups!A:A,Groups!AS:AS)=1,OR(_xlfn.XLOOKUP(B339,'Base stats'!B:B,'Base stats'!Y:Y)="Carnivore",_xlfn.XLOOKUP(B339,'Base stats'!B:B,'Base stats'!Y:Y)="Omnivore")),"true","false")</f>
        <v>true</v>
      </c>
      <c r="BK339" s="2">
        <f>IF(BJ339="true",MROUND(IF(AND(AO339&gt;0.5,OR(_xlfn.XLOOKUP(_xlfn.XLOOKUP(B339,'Base stats'!B:B,'Base stats'!E:E),Groups!A:A,Groups!AJ:AJ)="Photonozoa",_xlfn.XLOOKUP(_xlfn.XLOOKUP(B339,'Base stats'!B:B,'Base stats'!E:E),Groups!A:A,Groups!AJ:AJ)="Mammal")),Animals!AO339*1.75*IF(AW339="true",1.5,1),IF(AO339&lt;0.5,Animals!AO339*0.5,Animals!AO339)),IF(AO339&gt;2,0.5,IF(AO339&gt;0.5,0.25,0.1))),"No")</f>
        <v>3</v>
      </c>
      <c r="BL339" s="2">
        <f t="shared" si="38"/>
        <v>1</v>
      </c>
      <c r="BM339" s="25" t="str">
        <f>IF(_xlfn.XLOOKUP(B339,'Base stats'!B:B,'Base stats'!AN:AN)="Standard","No",MROUND((_xlfn.XLOOKUP(B339,'Base stats'!B:B,'Base stats'!AN:AN)/3.6)/I339,0.1))</f>
        <v>No</v>
      </c>
      <c r="BN339" s="25" t="str">
        <f t="shared" si="39"/>
        <v>false</v>
      </c>
      <c r="BO339" s="25" t="str">
        <f>IF(AND(OR(_xlfn.XLOOKUP(B339,'Base stats'!B:B,'Base stats'!Y:Y)="Carnivore",_xlfn.XLOOKUP(B339,'Base stats'!B:B,'Base stats'!Y:Y)="Omnivore",_xlfn.XLOOKUP(B339,'Base stats'!B:B,'Base stats'!Y:Y)="OmnivoreRough"),_xlfn.XLOOKUP(_xlfn.XLOOKUP(B339,'Base stats'!B:B,'Base stats'!E:E),Groups!A:A,Groups!AT:AT)=1),"true","false")</f>
        <v>false</v>
      </c>
      <c r="BP339" s="25" t="str" cm="1">
        <f t="array" ref="BP339">IF(
  _xlfn.TEXTJOIN(", ",TRUE,
    IF(AND(BJ339="true",AO339&gt;0.5,BI339&lt;&gt;"None"),"AttackTarget",""),
    IF(AND(_xlfn.XLOOKUP(_xlfn.XLOOKUP(B339,'Base stats'!B:B,'Base stats'!E:E),Groups!A:A,Groups!AJ:AJ="Mammal"),OR(_xlfn.XLOOKUP(B339,'Base stats'!B:B,'Base stats'!Y:Y)="Omnivore",_xlfn.XLOOKUP(B339,'Base stats'!B:B,'Base stats'!Y:Y)="OmnivoreRough")),"Forage",""),
    IF(BG339&lt;=36,"Comfort",""),
    IF(_xlfn.XLOOKUP(B339,'Base stats'!B:B,'Base stats'!AE:AE)&lt;&gt;"No",_xlfn.XLOOKUP(B339,'Base stats'!B:B,'Base stats'!AE:AE),"")
  ) = "",
  "No",
  _xlfn.TEXTJOIN(", ",TRUE,
    IF(AND(BJ339="true",AO339&gt;0.5,BI339&lt;&gt;"None"),"AttackTarget",""),
    IF(AND(_xlfn.XLOOKUP(_xlfn.XLOOKUP(B339,'Base stats'!B:B,'Base stats'!E:E),Groups!A:A,Groups!AJ:AJ="Mammal"),OR(_xlfn.XLOOKUP(B339,'Base stats'!B:B,'Base stats'!Y:Y)="Omnivore",_xlfn.XLOOKUP(B339,'Base stats'!B:B,'Base stats'!Y:Y)="OmnivoreRough")),"Forage",""),
    IF(BG339&lt;=36,"Comfort",""),
    IF(_xlfn.XLOOKUP(B339,'Base stats'!B:B,'Base stats'!AE:AE)&lt;&gt;"No",_xlfn.XLOOKUP(B339,'Base stats'!B:B,'Base stats'!AE:AE),"")
  )
)</f>
        <v>AttackTarget</v>
      </c>
      <c r="BQ339" s="25" t="str">
        <f>IF(
   AND(
      'Base stats'!AN339="Standard",_xlfn.XLOOKUP(_xlfn.XLOOKUP(B339,'Base stats'!B:B,'Base stats'!E:E),Groups!A:A,Groups!AU:AU)=0,
      OR(
      BO339="True"
      )
   ),
   10,
   IF(
       OR(BM339&lt;&gt;"No",_xlfn.XLOOKUP(_xlfn.XLOOKUP(B339,'Base stats'!B:B,'Base stats'!E:E),Groups!A:A,Groups!AU:AU)=1),
      1,
      "No"
   )
)</f>
        <v>No</v>
      </c>
      <c r="BR339" s="9">
        <f>MROUND((1 + ((0.2*IF(OR(Q339="No",R339="No",R339=0),0,Q339/R339)
+IF(OR(V339="No",S339="No",T339="No"),0,S339/T339*(LEN(V339)-LEN(SUBSTITUTE(V339,",",""))+1))
+IF(OR(X339="No",Y339="No"),0,X339/Y339)
+IF(OR(AD339="No",AE339="No"),0,AD339/AE339)
+IF(OR(AL339="No",AI339="No",AJ339="No"),0,AI339/AJ339*(LEN(AL339)-LEN(SUBSTITUTE(AL339,",",""))+1))
)/(0.2*IF(OR(Q339="No",R339="No",R339=0),0,1)
+IF(OR(V339="No",S339="No",T339="No"),0,LEN(V339)-LEN(SUBSTITUTE(V339,",",""))+1)
+IF(OR(X339="No",Y339="No"),0,1)
+IF(OR(AD339="No",AE339="No"),0,1)
+IF(OR(AL339="No",AI339="No",AJ339="No"),0,LEN(AL339)-LEN(SUBSTITUTE(AL339,",",""))+1))*62%)* 2)*(1 + (AP339 / (IF(_xlfn.XLOOKUP(_xlfn.XLOOKUP(B339,'Base stats'!B:B,'Base stats'!E:E),Groups!A:A,Groups!AJ:AJ)="Photonozoa",0.3,1)) + _xlfn.XLOOKUP(B339,'Base stats'!B:B,'Base stats'!AV:AV) * 1.8) * 2) * 2.5 + 10 + I339 * 2,5)+IF(_xlfn.XLOOKUP(B339,'Base stats'!B:B,'Base stats'!AK:AK)=1,50,0)</f>
        <v>400</v>
      </c>
      <c r="BS339" s="8">
        <f t="shared" si="40"/>
        <v>0.8</v>
      </c>
      <c r="BT339" s="8" t="str">
        <f>_xlfn.XLOOKUP(B339,'Base stats'!B:B,'Base stats'!AF:AF)</f>
        <v>No</v>
      </c>
      <c r="BU339" s="2" t="str">
        <f>IF(AND(J339&lt;=0.95,OR(_xlfn.XLOOKUP(B339,'Base stats'!B:B,'Base stats'!AK:AK)=1,_xlfn.XLOOKUP(B339,'Base stats'!B:B,'Base stats'!Y:Y)="Carnivore",_xlfn.XLOOKUP(B339,'Base stats'!B:B,'Base stats'!Y:Y)="Omnivore",BE339&gt;0.1)),"true","false")</f>
        <v>true</v>
      </c>
      <c r="BV339" s="2" t="str">
        <f>IF(_xlfn.XLOOKUP(B339,'Base stats'!B:B,'Base stats'!AI:AI)=1,"true","false")</f>
        <v>false</v>
      </c>
      <c r="BW339" s="25" t="str">
        <f>IF(E339="BaseInsect","AnimalInsect",
IF(J339&gt;0.95,"AnimalExotic",
_xlfn.TEXTJOIN(", ",TRUE,
IF(OR(_xlfn.XLOOKUP(B339,'Base stats'!B:B,'Base stats'!AM:AM)=1,AND(_xlfn.XLOOKUP(B339,'Base stats'!B:B,'Base stats'!O:O)=0,_xlfn.XLOOKUP(_xlfn.XLOOKUP(B339,'Base stats'!B:B,'Base stats'!E:E),Groups!A:A,Groups!B:B)&gt;0)),"AnimalUncommon","AnimalCommon"),
IF(AND(_xlfn.XLOOKUP(B339,'Base stats'!B:B,'Base stats'!O:O)=2,_xlfn.XLOOKUP(_xlfn.XLOOKUP(B339,'Base stats'!B:B,'Base stats'!E:E),Groups!A:A,Groups!D:D)=0),"AnimalPet",IF(AND(_xlfn.XLOOKUP(B339,'Base stats'!B:B,'Base stats'!O:O)&lt;&gt;0,_xlfn.XLOOKUP(_xlfn.XLOOKUP(B339,'Base stats'!B:B,'Base stats'!E:E),Groups!A:A,Groups!D:D)&lt;&gt;0),"AnimalFarm","")),
IF(OR(_xlfn.XLOOKUP(B339,'Base stats'!B:B,'Base stats'!AK:AK)=1,AND(BI339&lt;&gt;"None",BR339&gt;=60),ISNUMBER(SEARCH("Attack target",BP339))),"AnimalFighter","")
)))</f>
        <v>AnimalUncommon, AnimalFighter</v>
      </c>
      <c r="BX339" s="25" t="str">
        <f>IF(G339="None",TRIM(
SUBSTITUTE(
IF(COUNTIF(Biomes!B$2:B$259,"="&amp;$C339)&gt;0,Biomes!B$1&amp;", ","")&amp;
IF(COUNTIF(Biomes!C$2:C$259,"="&amp;$C339)&gt;0,Biomes!C$1&amp;", ","")&amp;
IF(COUNTIF(Biomes!D$2:D$259,"="&amp;$C339)&gt;0,Biomes!D$1&amp;", ","")&amp;
IF(COUNTIF(Biomes!F$2:F$259,"="&amp;$C339)&gt;0,Biomes!F$1&amp;", ","")&amp;
IF(COUNTIF(Biomes!G$2:G$259,"="&amp;$C339)&gt;0,Biomes!G$1&amp;", ","")&amp;
IF(COUNTIF(Biomes!H$2:H$259,"="&amp;$C339)&gt;0,Biomes!H$1&amp;", ","")&amp;
IF(COUNTIF(Biomes!I$2:I$259,"="&amp;$C339)&gt;0,Biomes!I$1&amp;", ","")&amp;
IF(COUNTIF(Biomes!J$2:J$259,"="&amp;$C339)&gt;0,Biomes!J$1&amp;", ","")&amp;
IF(COUNTIF(Biomes!M$2:M$259,"="&amp;$C339)&gt;0,Biomes!M$1&amp;", ","")&amp;
IF(COUNTIF(Biomes!N$2:N$259,"="&amp;$C339)&gt;0,Biomes!N$1&amp;", ","")&amp;
IF(COUNTIF(Biomes!O$2:O$259,"="&amp;$C339)&gt;0,Biomes!O$1&amp;", ","")&amp;
IF(COUNTIF(Biomes!P$2:P$259,"="&amp;$C339)&gt;0,Biomes!P$1&amp;", ","")&amp;
IF(COUNTIF(Biomes!K$2:K$259,"="&amp;$C339)&gt;0,Biomes!K$1&amp;", ","")&amp;
IF(COUNTIF(Biomes!Q$3:Q$259,"="&amp;$C339)&gt;0,Biomes!Q$1&amp;", ","")&amp;
IF(COUNTIF(Biomes!L$2:L$259,"="&amp;$C339)&gt;0,Biomes!L$1&amp;", ","")&amp;
IF(COUNTIF(Biomes!E$2:E$259,"="&amp;$C339)&gt;0,Biomes!E$1&amp;", ","")&amp;IF(COUNTIF(Biomes!S$2:S$259,"="&amp;$C339)&gt;0,Biomes!S$1&amp;", ","")&amp;
IF(COUNTIF(Biomes!R$2:R$259,"="&amp;$C339)&gt;0,Biomes!R$1&amp;", ",""),", ","")
),_xlfn.XLOOKUP(B339,B:B,BX:BX))</f>
        <v/>
      </c>
      <c r="BY339" s="25" t="str">
        <f>IF(_xlfn.XLOOKUP(B339,'Base stats'!B:B,'Base stats'!AJ:AJ)=1,"true","false")</f>
        <v>false</v>
      </c>
      <c r="BZ339" s="25">
        <f>IF(_xlfn.XLOOKUP(B339,'Base stats'!B:B,'Base stats'!N:N)=1,"No",MAX(0.001,MIN(MROUND(IF(AND(BJ339="True",CC339="False"),POWER(10,3.47*LOG10(_xlfn.XLOOKUP(B339,'Base stats'!B:B,'Base stats'!C:C)*1000)^-0.96),POWER(10,4.15*LOG10(_xlfn.XLOOKUP(B339,'Base stats'!B:B,'Base stats'!C:C)*1000)^-0.73))*IF(_xlfn.XLOOKUP(B339,'Base stats'!B:B,'Base stats'!AK:AK)=1,0.5,1)*IF(_xlfn.XLOOKUP(B339,'Base stats'!B:B,'Base stats'!AM:AM)=1,0.1,1)/100,IF(_xlfn.XLOOKUP(B339,'Base stats'!B:B,'Base stats'!AM:AM)=1,0.001,0.025)),0.5)))</f>
        <v>1.4999999999999999E-2</v>
      </c>
      <c r="CA339" s="25">
        <f>IF(P339="Standard","No",MAX(0.001,MIN(MROUND(IF(AND(BJ339="True",CC339="False"),POWER(10,3.47*LOG10(_xlfn.XLOOKUP(B339,'Base stats'!B:B,'Base stats'!C:C)*1000)^-0.96),POWER(10,4.15*LOG10(_xlfn.XLOOKUP(B339,'Base stats'!B:B,'Base stats'!C:C)*1000)^-0.73))*IF(_xlfn.XLOOKUP(B339,'Base stats'!B:B,'Base stats'!AM:AM)=1,0.1,1)*_xlfn.XLOOKUP(B339,'Base stats'!B:B,'Base stats'!R:R)/100,IF(_xlfn.XLOOKUP(B339,'Base stats'!B:B,'Base stats'!AM:AM)=1,0.001,0.025)),0.5)))</f>
        <v>1.4999999999999999E-2</v>
      </c>
      <c r="CB339" s="25" t="str">
        <f>IF(_xlfn.XLOOKUP(_xlfn.XLOOKUP(B339,'Base stats'!B:B,'Base stats'!E:E),Groups!A:A,Groups!AJ:AJ)="Mammal","True","False")</f>
        <v>False</v>
      </c>
      <c r="CC339" s="25" t="str">
        <f>IF(OR(_xlfn.XLOOKUP(_xlfn.XLOOKUP(B339,'Base stats'!B:B,'Base stats'!E:E),Groups!A:A,Groups!AJ:AJ)="Reptile",_xlfn.XLOOKUP(_xlfn.XLOOKUP(B339,'Base stats'!B:B,'Base stats'!E:E),Groups!A:A,Groups!AJ:AJ)="Amphibian",_xlfn.XLOOKUP(_xlfn.XLOOKUP(B339,'Base stats'!B:B,'Base stats'!E:E),Groups!A:A,Groups!AJ:AJ)="Invertebrate"),"True","False")</f>
        <v>True</v>
      </c>
      <c r="CD339" s="25" t="str">
        <f t="shared" si="41"/>
        <v>False</v>
      </c>
      <c r="CE339" s="25" t="str">
        <f>IF(_xlfn.XLOOKUP(_xlfn.XLOOKUP(B339,'Base stats'!B:B,'Base stats'!E:E),Groups!A:A,Groups!AX:AX),"True","False")</f>
        <v>False</v>
      </c>
      <c r="CF339" s="25" t="str">
        <f>IF(_xlfn.XLOOKUP(_xlfn.XLOOKUP(B339,'Base stats'!B:B,'Base stats'!E:E),Groups!A:A,Groups!AY:AY),"True","False")</f>
        <v>False</v>
      </c>
      <c r="CG339" s="25" t="str">
        <f>IF(_xlfn.XLOOKUP(_xlfn.XLOOKUP(B339,'Base stats'!B:B,'Base stats'!E:E),Groups!A:A,Groups!AW:AW),"True","False")</f>
        <v>False</v>
      </c>
      <c r="CH339" s="25" t="str">
        <f>IF(
OR(
_xlfn.XLOOKUP(_xlfn.XLOOKUP(B339,'Base stats'!B:B,'Base stats'!E:E),Groups!A:A,Groups!AZ:AZ)=0,
AND(
_xlfn.XLOOKUP(B339,'Base stats'!B:B,'Base stats'!Y:Y)&lt;&gt;"Carnivore",
_xlfn.XLOOKUP(B339,'Base stats'!B:B,'Base stats'!Y:Y)&lt;&gt;"Omnivore",
_xlfn.XLOOKUP(B339,'Base stats'!B:B,'Base stats'!Y:Y)&lt;&gt;"OmnivoreRough"
)
),
"No",
IF(
_xlfn.XLOOKUP(_xlfn.XLOOKUP(B339,'Base stats'!B:B,'Base stats'!E:E),Groups!A:A,Groups!AZ:AZ)=1,
"Flesh",
IF(
_xlfn.XLOOKUP(_xlfn.XLOOKUP(B339,'Base stats'!B:B,'Base stats'!E:E),Groups!A:A,Groups!AZ:AZ)=2,
"Bone",
""
)
)
)</f>
        <v>Bone</v>
      </c>
      <c r="CI339" s="25" t="str">
        <f>IF(_xlfn.XLOOKUP(_xlfn.XLOOKUP(B339,'Base stats'!B:B,'Base stats'!E:E),Groups!A:A,Groups!BB:BB),"True","False")</f>
        <v>False</v>
      </c>
      <c r="CJ339" s="25" t="str">
        <f>IF(_xlfn.XLOOKUP(_xlfn.XLOOKUP(B339,'Base stats'!B:B,'Base stats'!E:E),Groups!A:A,Groups!BA:BA),"True","False")</f>
        <v>False</v>
      </c>
    </row>
    <row r="340" spans="1:88" ht="16.5" thickTop="1" thickBot="1" x14ac:dyDescent="0.3">
      <c r="A340" s="26" t="s">
        <v>1592</v>
      </c>
      <c r="B340" s="6" t="str">
        <f>_xlfn.XLOOKUP(A340,'Base stats'!A:A,'Base stats'!B:B)</f>
        <v>Bestia tonitrus</v>
      </c>
      <c r="C340" s="28" t="s">
        <v>1593</v>
      </c>
      <c r="D340" s="28" t="s">
        <v>1341</v>
      </c>
      <c r="E340" s="28" t="s">
        <v>673</v>
      </c>
      <c r="F340" s="28" t="s">
        <v>673</v>
      </c>
      <c r="G340" s="28" t="s">
        <v>673</v>
      </c>
      <c r="H340" s="2">
        <f>MROUND((
  (IF(AND(_xlfn.XLOOKUP(B340,'Base stats'!B:B,'Base stats'!AL:AL)=0,BI340="None",_xlfn.XLOOKUP(_xlfn.XLOOKUP(B340,'Base stats'!B:B,'Base stats'!E:E),Groups!A:A,Groups!B:B)=0), (18 + BR340 * 2.7) * 0.5,
    IF(AND(_xlfn.XLOOKUP(B340,'Base stats'!B:B,'Base stats'!AL:AL)=0,OR(AO340&lt;0.55,AND(BI340="Intermediate",_xlfn.XLOOKUP(_xlfn.XLOOKUP(B340,'Base stats'!B:B,'Base stats'!E:E),Groups!A:A,Groups!B:B)&lt;2))), (18 + BR340 * 2.7),
      IF(OR(BI340="Advanced",_xlfn.XLOOKUP(B340,'Base stats'!B:B,'Base stats'!AL:AL)=1,_xlfn.XLOOKUP(_xlfn.XLOOKUP(B340,'Base stats'!B:B,'Base stats'!E:E),Groups!A:A,Groups!B:B)=2), (18 + BR340 * 2.7) + 250, (18 + BR340 * 2.7))
    )
  ))
  + AO340 * 80
  + IF(COUNTIF(EggMilk!K$2:K$998, A340) &gt; 0, 125, 0)
  + IF(COUNTIF(EggMilk!P$2:P$998, A340) &gt; 0, 90, 0)
  + IF(COUNTIF(EggMilk!A$2:A$998, A340) &gt; 0, 90, 0)
)
* (0.8 + 0.4 * J340)
* 0.75,25)</f>
        <v>1200</v>
      </c>
      <c r="I340" s="2">
        <f>MROUND(ROUNDDOWN(_xlfn.XLOOKUP(B340,'Base stats'!B:B,'Base stats'!L:L)/3.6/(23.3/11),1),0.5)</f>
        <v>7</v>
      </c>
      <c r="J340" s="2">
        <f>IF(OR(_xlfn.XLOOKUP(B340,'Base stats'!B:B,'Base stats'!AB:AB)=1,_xlfn.XLOOKUP(_xlfn.XLOOKUP(B340,'Base stats'!B:B,'Base stats'!E:E),Groups!A:A,Groups!C:C)="Untamable"),1,IF(_xlfn.XLOOKUP(B340,'Base stats'!B:B,'Base stats'!AL:AL)=1,0.99,MIN(MROUND((1-0.6282*EXP(-0.459*AO340))*_xlfn.XLOOKUP(_xlfn.XLOOKUP(B340,'Base stats'!B:B,'Base stats'!E:E),Groups!A:A,Groups!C:C)*IF(_xlfn.XLOOKUP(B340,'Base stats'!B:B,'Base stats'!O:O)=1,0.5,IF(_xlfn.XLOOKUP(B340,'Base stats'!B:B,'Base stats'!O:O)=2,0,1)),0.05),IF(AO340&gt;3.5,0.985,0.95))))</f>
        <v>0.85000000000000009</v>
      </c>
      <c r="K340" s="2">
        <f>ROUNDUP(AO340*_xlfn.XLOOKUP(_xlfn.XLOOKUP(B340,'Base stats'!B:B,'Base stats'!E:E),Groups!A:A,Groups!E:E),0)</f>
        <v>12</v>
      </c>
      <c r="L340" s="2">
        <f>IF(OR(_xlfn.XLOOKUP(_xlfn.XLOOKUP(B340,'Base stats'!B:B,'Base stats'!E:E),Groups!A:A,Groups!F:F)=2,ISNUMBER(SEARCH("SeaIce",BX340)),ISNUMBER(SEARCH("IceSheet",BX340))),-50,IF(OR(ISNUMBER(SEARCH("GlacialPlain",BX340)),ISNUMBER(SEARCH("Tundra",BX340))),-40,IF(OR(ISNUMBER(SEARCH("Alpine",BX340)),ISNUMBER(SEARCH("BorealForest",BX340)),ISNUMBER(SEARCH("ColdBog",BX340))),-30,IF(OR(ISNUMBER(SEARCH("TemperateForest",BX340)),ISNUMBER(SEARCH("TemperateSwamp",BX340))),-20,IF(_xlfn.XLOOKUP(_xlfn.XLOOKUP(B340,'Base stats'!B:B,'Base stats'!E:E),Groups!A:A,Groups!F:F)=1,-15,IF(OR(ISNUMBER(SEARCH("Desert",BX340)),ISNUMBER(SEARCH("ExtremeDesert",BX340))),-10,IF(OR(ISNUMBER(SEARCH("Grasslands",BX340)),ISNUMBER(SEARCH("TropicalRainforest",BX340)),ISNUMBER(SEARCH("TropicalSwamp",BX340))),10,0)))))))-IF(CC340="False",MIN(IFERROR(MAX(MROUND(LOG10(_xlfn.XLOOKUP(B340,'Base stats'!B:B,'Base stats'!C:C)^(2/3))*10,5),5),5),30))-_xlfn.XLOOKUP(B340,'Base stats'!B:B,'Base stats'!P:P)+IF(CC340="True",5,0)</f>
        <v>-65</v>
      </c>
      <c r="M340" s="2">
        <f>IF(OR(_xlfn.XLOOKUP(_xlfn.XLOOKUP(B340,'Base stats'!B:B,'Base stats'!E:E),Groups!A:A,Groups!G:G)=2,ISNUMBER(SEARCH("Desert",BX340)),ISNUMBER(SEARCH("ExtremeDesert",BX340)),ISNUMBER(SEARCH("LavaField",BX340))),50,IF(ISNUMBER(SEARCH("Grasslands",BX340)),45,IF(OR(_xlfn.XLOOKUP(_xlfn.XLOOKUP(B340,'Base stats'!B:B,'Base stats'!E:E),Groups!A:A,Groups!G:G)=1,ISNUMBER(SEARCH("TropicalRainforest",BX340)),ISNUMBER(SEARCH("TropicalSwamp",BX340))),40,IF(OR(ISNUMBER(SEARCH("TemperateForest",BX340)),ISNUMBER(SEARCH("TemperateSwamp",BX340))),35,IF(OR(ISNUMBER(SEARCH("Alpine",BX340)),ISNUMBER(SEARCH("BorealForest",BX340)),ISNUMBER(SEARCH("ColdBog",BX340))),30,IF(ISNUMBER(OR(ISNUMBER(SEARCH("GlacialPlain",BX340)),SEARCH("Tundra",BX340))),25,IF(OR(ISNUMBER(SEARCH("SeaIce",BX340)),ISNUMBER(SEARCH("IceSheet",BX340)),ISNUMBER(SEARCH("TropicalSwamp",BX340))),10,35)))))))+_xlfn.XLOOKUP(B340,'Base stats'!B:B,'Base stats'!Q:Q)</f>
        <v>50</v>
      </c>
      <c r="N340" s="8">
        <f>IF(
_xlfn.XLOOKUP(
_xlfn.XLOOKUP(B340,'Base stats'!B:B,'Base stats'!E:E),
Groups!A:A,
Groups!L:L
)=1,
MIN(
MROUND(
IF(
_xlfn.XLOOKUP(B340,'Animals CE'!B:B,'Animals CE'!Z:Z)&lt;=1.5,
_xlfn.XLOOKUP(B340,'Animals CE'!B:B,'Animals CE'!Z:Z)/2+0.05,
0.8+
(_xlfn.XLOOKUP(B340,'Animals CE'!B:B,'Animals CE'!Z:Z)-1.5)
*0.02
),
0.05
),
200%
),
"No"
)</f>
        <v>0.85000000000000009</v>
      </c>
      <c r="O340" s="8">
        <f>IF(
_xlfn.XLOOKUP(
_xlfn.XLOOKUP(B340,'Base stats'!B:B,'Base stats'!E:E),
Groups!A:A,
Groups!L:L
)=1,
MIN(
MROUND(
IF(
_xlfn.XLOOKUP(B340,'Animals CE'!B:B,'Animals CE'!AA:AA)&lt;=1.5,
_xlfn.XLOOKUP(B340,'Animals CE'!B:B,'Animals CE'!AA:AA)/2+0.05,
0.8+
(_xlfn.XLOOKUP(B340,'Animals CE'!B:B,'Animals CE'!AA:AA)-1.5)
*0.02
),
0.05
),
200%
),
"No"
)</f>
        <v>0.9</v>
      </c>
      <c r="P340" s="2" t="str">
        <f>_xlfn.XLOOKUP(B340,'Base stats'!B:B,'Base stats'!R:R)</f>
        <v>Standard</v>
      </c>
      <c r="Q340" s="13">
        <f>MROUND((LOG10(_xlfn.XLOOKUP(B340,'Base stats'!B:B,'Base stats'!AR:AR))*(AO340^0.5)+(_xlfn.XLOOKUP(B340,'Base stats'!B:B,'Base stats'!AR:AR)/1000)^(2/3)+_xlfn.XLOOKUP(B340,'Base stats'!B:B,'Base stats'!BA:BA)/2)+0.5,0.5)</f>
        <v>13</v>
      </c>
      <c r="R340" s="7">
        <f>IF(Q340="No","No",MAX(1,MROUND(_xlfn.XLOOKUP(B340,'Base stats'!B:B,'Base stats'!C:C)^0.165,0.05)))</f>
        <v>2.5500000000000003</v>
      </c>
      <c r="S340" s="13">
        <f>IF(_xlfn.XLOOKUP(_xlfn.XLOOKUP(B340,'Base stats'!B:B,'Base stats'!E:E),Groups!A:A,Groups!P:P)=0,"No",MROUND((LOG10(_xlfn.XLOOKUP(B340,'Base stats'!B:B,'Base stats'!AS:AS))*(AO340^0.5)+(_xlfn.XLOOKUP(B340,'Base stats'!B:B,'Base stats'!AS:AS)/1000)^(2/3)+_xlfn.XLOOKUP(B340,'Base stats'!B:B,'Base stats'!BA:BA))+_xlfn.XLOOKUP(B340,'Base stats'!B:B,'Base stats'!AY:AY)+0.5,0.5))</f>
        <v>16</v>
      </c>
      <c r="T340" s="7">
        <f>IF(S340="No","No",MAX(_xlfn.XLOOKUP(_xlfn.XLOOKUP(B340,'Base stats'!B:B,'Base stats'!E:E),Groups!A:A,Groups!Q:Q),MROUND(_xlfn.XLOOKUP(_xlfn.XLOOKUP(B340,'Base stats'!B:B,'Base stats'!E:E),Groups!A:A,Groups!Q:Q)*_xlfn.XLOOKUP(B340,'Base stats'!B:B,'Base stats'!C:C)^0.165,0.05)))</f>
        <v>2.3000000000000003</v>
      </c>
      <c r="U340" s="7" t="str">
        <f>IF(S340="No","No",_xlfn.XLOOKUP(_xlfn.XLOOKUP(B340,'Base stats'!B:B,'Base stats'!E:E),Groups!A:A,Groups!R:R))</f>
        <v>FrontLeftLeg, FrontRightLeg</v>
      </c>
      <c r="V340" s="7" t="str">
        <f>IF(S340="No","No",_xlfn.XLOOKUP(_xlfn.XLOOKUP(B340,'Base stats'!B:B,'Base stats'!E:E),Groups!A:A,Groups!S:S))</f>
        <v>left foot, right foot</v>
      </c>
      <c r="W340" s="7" t="str">
        <f>IF(S340="No","No",_xlfn.XLOOKUP(_xlfn.XLOOKUP(B340,'Base stats'!B:B,'Base stats'!E:E),Groups!A:A,Groups!T:T))</f>
        <v>Blunt</v>
      </c>
      <c r="X340" s="13">
        <f>IF(_xlfn.XLOOKUP(B340,'Base stats'!B:B,'Base stats'!W:W)="No","No",MROUND((LOG10(_xlfn.XLOOKUP(B340,'Base stats'!B:B,'Base stats'!AU:AU))*(AO340^0.5)+(_xlfn.XLOOKUP(B340,'Base stats'!B:B,'Base stats'!AU:AU)/1000)^(2/3)+_xlfn.XLOOKUP(B340,'Base stats'!B:B,'Base stats'!AZ:AZ))+0.5+IF(_xlfn.XLOOKUP(_xlfn.XLOOKUP(B340,'Base stats'!B:B,'Base stats'!E:E),Groups!A:A,Groups!U:U)&lt;&gt;3,_xlfn.XLOOKUP(B340,'Base stats'!B:B,'Base stats'!BA:BA),0),0.5))</f>
        <v>20.5</v>
      </c>
      <c r="Y340" s="7">
        <f>IF(X340="No","No",MAX(_xlfn.XLOOKUP(_xlfn.XLOOKUP(B340,'Base stats'!B:B,'Base stats'!E:E),Groups!A:A,Groups!V:V),MROUND(_xlfn.XLOOKUP(_xlfn.XLOOKUP(B340,'Base stats'!B:B,'Base stats'!E:E),Groups!A:A,Groups!V:V)*_xlfn.XLOOKUP(B340,'Base stats'!B:B,'Base stats'!C:C)^0.165,0.05)))</f>
        <v>1.55</v>
      </c>
      <c r="Z340" s="7" t="str">
        <f>IF(X340="No","No",_xlfn.XLOOKUP(_xlfn.XLOOKUP(B340,'Base stats'!B:B,'Base stats'!E:E),Groups!A:A,Groups!W:W))</f>
        <v>HeadAttackTool</v>
      </c>
      <c r="AA340" s="7" t="str">
        <f>IF(X340="No","No",_xlfn.XLOOKUP(_xlfn.XLOOKUP(B340,'Base stats'!B:B,'Base stats'!E:E),Groups!A:A,Groups!X:X))</f>
        <v>horn</v>
      </c>
      <c r="AB340" s="7" t="str">
        <f>IF(X340="No","No",_xlfn.XLOOKUP(_xlfn.XLOOKUP(B340,'Base stats'!B:B,'Base stats'!E:E),Groups!A:A,Groups!Y:Y))</f>
        <v>Scratch</v>
      </c>
      <c r="AC340" s="7" t="str">
        <f>_xlfn.XLOOKUP(Animals!B340,'Base stats'!B:B,'Base stats'!X:X)</f>
        <v>False</v>
      </c>
      <c r="AD340" s="13">
        <f>IF(_xlfn.XLOOKUP(B340,'Base stats'!B:B,'Base stats'!AT:AT)="No","No",MROUND((LOG10(_xlfn.XLOOKUP(B340,'Base stats'!B:B,'Base stats'!AT:AT))*(AO340^0.75)+(_xlfn.XLOOKUP(B340,'Base stats'!B:B,'Base stats'!AT:AT)/1000)^(2/3)+_xlfn.XLOOKUP(B340,'Base stats'!B:B,'Base stats'!AX:AX)+_xlfn.XLOOKUP(B340,'Base stats'!B:B,'Base stats'!BA:BA))+0.5,0.5))</f>
        <v>20.5</v>
      </c>
      <c r="AE340" s="7">
        <f>IF(AD340="No","No",MAX(_xlfn.XLOOKUP(_xlfn.XLOOKUP(B340,'Base stats'!B:B,'Base stats'!E:E),Groups!A:A,Groups!Z:Z),MROUND(_xlfn.XLOOKUP(_xlfn.XLOOKUP(B340,'Base stats'!B:B,'Base stats'!E:E),Groups!A:A,Groups!Z:Z)*_xlfn.XLOOKUP(B340,'Base stats'!B:B,'Base stats'!C:C)^0.165,0.05)))</f>
        <v>2.2000000000000002</v>
      </c>
      <c r="AF340" s="7" t="str">
        <f>IF(AD340="No","No",_xlfn.XLOOKUP(_xlfn.XLOOKUP(B340,'Base stats'!B:B,'Base stats'!E:E),Groups!A:A,Groups!AA:AA))</f>
        <v>Teeth</v>
      </c>
      <c r="AG340" s="7" t="str">
        <f>IF(AD340="No","No",_xlfn.XLOOKUP(_xlfn.XLOOKUP(B340,'Base stats'!B:B,'Base stats'!E:E),Groups!A:A,Groups!AB:AB))</f>
        <v>teeth</v>
      </c>
      <c r="AH340" s="7" t="str">
        <f>IF(AD340="No","No",_xlfn.XLOOKUP(_xlfn.XLOOKUP(B340,'Base stats'!B:B,'Base stats'!E:E),Groups!A:A,Groups!AC:AC))</f>
        <v>Bite</v>
      </c>
      <c r="AI340" s="13" t="str">
        <f>IF(_xlfn.XLOOKUP(_xlfn.XLOOKUP(B340,'Base stats'!B:B,'Base stats'!E:E),Groups!A:A,Groups!AD:AD)=0,"No",MROUND((LOG10(_xlfn.XLOOKUP(B340,'Base stats'!B:B,'Base stats'!AS:AS))*(AO340^0.75)+(_xlfn.XLOOKUP(B340,'Base stats'!B:B,'Base stats'!AS:AS)/1000)^(2/3)+_xlfn.XLOOKUP(B340,'Base stats'!B:B,'Base stats'!AY:AY)+_xlfn.XLOOKUP(B340,'Base stats'!B:B,'Base stats'!BA:BA))+0.5,0.5))</f>
        <v>No</v>
      </c>
      <c r="AJ340" s="7" t="str">
        <f>IF(AI340="No","No",MAX(_xlfn.XLOOKUP(_xlfn.XLOOKUP(B340,'Base stats'!B:B,'Base stats'!E:E),Groups!A:A,Groups!AE:AE),MROUND(_xlfn.XLOOKUP(_xlfn.XLOOKUP(B340,'Base stats'!B:B,'Base stats'!E:E),Groups!A:A,Groups!AE:AE)*IF(_xlfn.XLOOKUP(_xlfn.XLOOKUP(B340,'Base stats'!B:B,'Base stats'!E:E),Groups!A:A,Groups!AJ:AJ)="Photonozoa",0.6,1)*_xlfn.XLOOKUP(B340,'Base stats'!B:B,'Base stats'!C:C)^0.165,0.05)))</f>
        <v>No</v>
      </c>
      <c r="AK340" s="7" t="str">
        <f>IF(AI340="No","No",_xlfn.XLOOKUP(_xlfn.XLOOKUP(B340,'Base stats'!B:B,'Base stats'!E:E),Groups!A:A,Groups!AF:AF))</f>
        <v>No</v>
      </c>
      <c r="AL340" s="7" t="str">
        <f>IF(AI340="No","No",_xlfn.XLOOKUP(_xlfn.XLOOKUP(B340,'Base stats'!B:B,'Base stats'!E:E),Groups!A:A,Groups!AG:AG))</f>
        <v>No</v>
      </c>
      <c r="AM340" s="7" t="str">
        <f>IF(AI340="No","No",_xlfn.XLOOKUP(_xlfn.XLOOKUP(B340,'Base stats'!B:B,'Base stats'!E:E),Groups!A:A,Groups!AH:AH))</f>
        <v>No</v>
      </c>
      <c r="AN340" s="2" t="str">
        <f t="shared" si="35"/>
        <v>No</v>
      </c>
      <c r="AO340" s="2">
        <f>MROUND(IF(AND(_xlfn.XLOOKUP(B340,'Base stats'!B:B,'Base stats'!C:C)&gt;=0.5,_xlfn.XLOOKUP(B340,'Base stats'!B:B,'Base stats'!C:C)&lt;=0.8),
IF(_xlfn.XLOOKUP(B340,'Base stats'!B:B,'Base stats'!C:C)&lt;0.1,0.05,IF(_xlfn.XLOOKUP(B340,'Base stats'!B:B,'Base stats'!C:C)&lt;=70,(_xlfn.XLOOKUP(B340,'Base stats'!B:B,'Base stats'!C:C)/70)^0.426489913056526,IF(_xlfn.XLOOKUP(B340,'Base stats'!B:B,'Base stats'!C:C)&lt;=400,(_xlfn.XLOOKUP(B340,'Base stats'!B:B,'Base stats'!C:C)/70)^0.572811455315093,IF(_xlfn.XLOOKUP(B340,'Base stats'!B:B,'Base stats'!C:C)&lt;=2000,2.71391647193063*(_xlfn.XLOOKUP(B340,'Base stats'!B:B,'Base stats'!C:C)/400)^0.252459582904293,3.74314280240376*(_xlfn.XLOOKUP(B340,'Base stats'!B:B,'Base stats'!C:C)/2000)^0.357012633876913)))),
IF(_xlfn.XLOOKUP(B340,'Base stats'!B:B,'Base stats'!C:C)&lt;0.1,0.05,IF(_xlfn.XLOOKUP(B340,'Base stats'!B:B,'Base stats'!C:C)&lt;0.4,0.1,IF(_xlfn.XLOOKUP(B340,'Base stats'!B:B,'Base stats'!C:C)&lt;=70,(_xlfn.XLOOKUP(B340,'Base stats'!B:B,'Base stats'!C:C)/70)^0.445823913056526,IF(_xlfn.XLOOKUP(B340,'Base stats'!B:B,'Base stats'!C:C)&lt;=400,(_xlfn.XLOOKUP(B340,'Base stats'!B:B,'Base stats'!C:C)/70)^0.572811455315093,IF(_xlfn.XLOOKUP(B340,'Base stats'!B:B,'Base stats'!C:C)&lt;=2000,2.71391647193063*(_xlfn.XLOOKUP(B340,'Base stats'!B:B,'Base stats'!C:C)/400)^0.252459582904293,3.74314280240376*(_xlfn.XLOOKUP(B340,'Base stats'!B:B,'Base stats'!C:C)/2000)^0.357012633876913)))))),
IF(_xlfn.XLOOKUP(B340,'Base stats'!B:B,'Base stats'!C:C)&lt;0.1,0.05,IF(_xlfn.XLOOKUP(B340,'Base stats'!B:B,'Base stats'!C:C)&lt;=100,0.05,IF(_xlfn.XLOOKUP(B340,'Base stats'!B:B,'Base stats'!C:C)&lt;=250,0.1,IF(_xlfn.XLOOKUP(B340,'Base stats'!B:B,'Base stats'!C:C)&lt;=4000,0.25,0.5)))))</f>
        <v>2.25</v>
      </c>
      <c r="AP340" s="8">
        <f>MROUND(AO340*_xlfn.XLOOKUP(_xlfn.XLOOKUP(B340,'Base stats'!B:B,'Base stats'!E:E),Groups!A:A,Groups!AI:AI)*_xlfn.XLOOKUP(B340,'Base stats'!B:B,'Base stats'!Z:Z),0.05)</f>
        <v>3.4000000000000004</v>
      </c>
      <c r="AQ340" s="8">
        <f>MAX(0.01,MROUND(IF(CC340="True",0.196*(AO340*100*1000)^0.889,IF(_xlfn.XLOOKUP(_xlfn.XLOOKUP(B340,'Base stats'!B:B,'Base stats'!E:E),Groups!A:A,Groups!AJ:AJ)="Bird",10.5*(AO340*100*1000)^0.681,4.82*(AO340*100*1000)^0.734))/(4.82*(1*100*1000)^0.734)/IF(AO340&lt;3.5,2,IF(AO340=3.5,1.5,1.25))*(1+0.132282374779864/(AO340^0.994035016789033+0.00905238001496948)),0.05))</f>
        <v>0.95000000000000007</v>
      </c>
      <c r="AR340" s="9">
        <f>IFERROR(MROUND(_xlfn.XLOOKUP(B340,'Base stats'!B:B,'Base stats'!H:H)/IF(_xlfn.XLOOKUP(B340,'Base stats'!B:B,'Base stats'!I:I)&lt;&gt;1,(122.5/70),1.2),IF(_xlfn.XLOOKUP(B340,'Base stats'!B:B,'Base stats'!H:H)&gt;=30,5,IF(_xlfn.XLOOKUP(B340,'Base stats'!B:B,'Base stats'!H:H)&gt;=15,3,IF(_xlfn.XLOOKUP(B340,'Base stats'!B:B,'Base stats'!H:H)&gt;=10,2,1)))),"Immortal")</f>
        <v>21</v>
      </c>
      <c r="AS340" s="35">
        <f>IFERROR(IF(OR(_xlfn.XLOOKUP(B340,'Base stats'!B:B,'Base stats'!F:F)="Atypical reproduction",_xlfn.XLOOKUP(B340,'Base stats'!B:B,'Base stats'!F:F)="Lay eggs"),"Lay eggs",MIN(20,MAX(5.5,ROUND(((_xlfn.XLOOKUP(B340,'Base stats'!B:B,'Base stats'!F:F)-25)*(14.5/615) + 5.5)*2,0)/2))),"Unknown")</f>
        <v>10</v>
      </c>
      <c r="AT340" s="8">
        <f>IF(_xlfn.XLOOKUP(B340,'Base stats'!B:B,'Base stats'!G:G)="Atypical reproduction","No",IFERROR(MAX(IF(_xlfn.XLOOKUP(B340,'Base stats'!B:B,'Base stats'!G:G)&lt;0.5,0.2,0.3),MROUND(_xlfn.XLOOKUP(B340,'Base stats'!B:B,'Base stats'!G:G)/(365/60),0.2)),"Unknown"))</f>
        <v>0.3</v>
      </c>
      <c r="AU340" s="8">
        <f t="shared" si="36"/>
        <v>0.15000000000000002</v>
      </c>
      <c r="AV340" s="8">
        <f>IFERROR(IFERROR(MROUND(_xlfn.XLOOKUP(B340,'Base stats'!B:B,'Base stats'!J:J),0.1),"Lay eggs"),"Cannot breed")</f>
        <v>1</v>
      </c>
      <c r="AW340" s="2" t="str">
        <f t="shared" si="37"/>
        <v>false</v>
      </c>
      <c r="AX340" s="2" t="str">
        <f>IF(_xlfn.XLOOKUP(_xlfn.XLOOKUP(Animals!B340,'Base stats'!B:B,'Base stats'!E:E),Groups!A:A,Groups!AK:AK)=1,"true","false")</f>
        <v>false</v>
      </c>
      <c r="AY340" s="25" t="str">
        <f>IF(_xlfn.XLOOKUP(B340,'Base stats'!B:B,'Base stats'!Y:Y)="Liquor","Liquor, CarnivoreAnimalStrict",IF(AND(_xlfn.XLOOKUP(B340,'Base stats'!B:B,'Base stats'!Y:Y)="Carnivore",_xlfn.XLOOKUP(_xlfn.XLOOKUP(B340,'Base stats'!B:B,'Base stats'!E:E),Groups!A:A,Groups!AJ:AJ)="Photonozoa"),"CarnivoreAnimalStrict, OvivoreAnimal",IF(_xlfn.XLOOKUP(B340,'Base stats'!B:B,'Base stats'!Y:Y)="Carnivore","CarnivoreAnimal, OvivoreAnimal",IF(_xlfn.XLOOKUP(B340,'Base stats'!B:B,'Base stats'!Y:Y)="Dendrovore","VegetarianRoughAnimal, DendrovoreAnimal",IF(_xlfn.XLOOKUP(B340,'Base stats'!B:B,'Base stats'!Y:Y)="Herbivore","VegetarianRoughAnimal",IF(_xlfn.XLOOKUP(B340,'Base stats'!B:B,'Base stats'!Y:Y)="OmnivoreRough","OmnivoreRoughAnimal, OvivoreAnimal","OmnivoreAnimal, OvivoreAnimal"))))))</f>
        <v>VegetarianRoughAnimal</v>
      </c>
      <c r="AZ340" s="2" t="str">
        <f>IF(_xlfn.XLOOKUP(_xlfn.XLOOKUP(B340,'Base stats'!B:B,'Base stats'!E:E),Groups!A:A,Groups!D:D)=1,MROUND((1-J340)*5+1,2)*IF(J340&lt;=0.4,2,1),"No")</f>
        <v>No</v>
      </c>
      <c r="BA340" s="2" t="str">
        <f>IF(AND(_xlfn.XLOOKUP(B340,'Base stats'!B:B,'Base stats'!AH:AH)="&lt;li&gt;Seal&lt;/li&gt;",G340="Odyssey"),"&lt;li&gt;AEXP_Seal&lt;/li&gt;",_xlfn.XLOOKUP(B340,'Base stats'!B:B,'Base stats'!AH:AH))</f>
        <v>&lt;li&gt;Thrumbo&lt;/li&gt;</v>
      </c>
      <c r="BB340" s="2" t="str">
        <f>_xlfn.XLOOKUP(B340,'Base stats'!B:B,'Base stats'!AG:AG)</f>
        <v>Leather_Thrumbo</v>
      </c>
      <c r="BC340" s="23" t="str">
        <f>_xlfn.XLOOKUP(_xlfn.XLOOKUP(B340,'Base stats'!B:B,'Base stats'!E:E),Groups!A:A,Groups!AL:AL)</f>
        <v>QuadrupedAnimalWithHoovesTailAndHorn</v>
      </c>
      <c r="BD340" s="23">
        <f>MIN(1,MROUND(IF(AND(AO340&lt;0.5,_xlfn.XLOOKUP(B340,'Base stats'!B:B,'Base stats'!AA:AA)=0),0,IF(OR(_xlfn.XLOOKUP(Animals!B340,'Base stats'!B:B,'Base stats'!O:O)=2,_xlfn.XLOOKUP(_xlfn.XLOOKUP(B340,'Base stats'!B:B,'Base stats'!E:E),Groups!A:A,Groups!AN:AN)=0),0,_xlfn.XLOOKUP(_xlfn.XLOOKUP(B340,'Base stats'!B:B,'Base stats'!E:E),Groups!A:A,Groups!AN:AN)/IF(_xlfn.XLOOKUP(Animals!B340,'Base stats'!B:B,'Base stats'!O:O)=1,2,1)))+_xlfn.XLOOKUP(B340,'Base stats'!B:B,'Base stats'!AC:AC),0.005))</f>
        <v>0.1</v>
      </c>
      <c r="BE340" s="23">
        <f>MIN(1,MROUND(IF(AND(AO340&lt;0.5,_xlfn.XLOOKUP(B340,'Base stats'!B:B,'Base stats'!AA:AA)=0),0,IF(_xlfn.XLOOKUP(_xlfn.XLOOKUP(B340,'Base stats'!B:B,'Base stats'!E:E),Groups!A:A,Groups!AO:AO)=0,0,_xlfn.XLOOKUP(_xlfn.XLOOKUP(B340,'Base stats'!B:B,'Base stats'!E:E),Groups!A:A,Groups!AO:AO)/IF(_xlfn.XLOOKUP(Animals!B340,'Base stats'!B:B,'Base stats'!O:O)=2,3,1)))+_xlfn.XLOOKUP(B340,'Base stats'!B:B,'Base stats'!AD:AD),0.005))</f>
        <v>0.3</v>
      </c>
      <c r="BF340" s="2" t="str">
        <f>IF(J340&gt;0.3,"No",_xlfn.XLOOKUP(_xlfn.XLOOKUP(Animals!B340,'Base stats'!B:B,'Base stats'!E:E),Groups!A:A,Groups!AP:AP))</f>
        <v>No</v>
      </c>
      <c r="BG340" s="2" t="str">
        <f>IF(AND(J340&lt;=0.65,_xlfn.XLOOKUP(_xlfn.XLOOKUP(Animals!B340,'Base stats'!B:B,'Base stats'!E:E),Groups!A:A,Groups!AP:AP)&lt;&gt;"No",_xlfn.XLOOKUP(_xlfn.XLOOKUP(B340,'Base stats'!B:B,'Base stats'!E:E),Groups!A:A,Groups!D:D)=0),MROUND((80/3)*IF(_xlfn.XLOOKUP(B340,'Base stats'!B:B,'Base stats'!O:O)=2,0.2,AO340) + 24*(1-IF(BF340="No",0,BF340)) + 16/3, 12),"No")</f>
        <v>No</v>
      </c>
      <c r="BH340" s="2">
        <f>IF(AND(_xlfn.XLOOKUP(_xlfn.XLOOKUP(B340,'Base stats'!B:B,'Base stats'!E:E),Groups!A:A,Groups!AQ:AQ)=1,AO340&lt;=0.35),8,12)</f>
        <v>12</v>
      </c>
      <c r="BI340" s="2" t="str">
        <f>IF(_xlfn.XLOOKUP(_xlfn.XLOOKUP(B340,'Base stats'!B:B,'Base stats'!E:E),Groups!A:A,Groups!D:D)=0,_xlfn.XLOOKUP(_xlfn.XLOOKUP(B340,'Base stats'!B:B,'Base stats'!E:E),Groups!A:A,Groups!AR:AR),"None")</f>
        <v>Advanced</v>
      </c>
      <c r="BJ340" s="2" t="str">
        <f>IF(AND(_xlfn.XLOOKUP(_xlfn.XLOOKUP(B340,'Base stats'!B:B,'Base stats'!E:E),Groups!A:A,Groups!AS:AS)=1,OR(_xlfn.XLOOKUP(B340,'Base stats'!B:B,'Base stats'!Y:Y)="Carnivore",_xlfn.XLOOKUP(B340,'Base stats'!B:B,'Base stats'!Y:Y)="Omnivore")),"true","false")</f>
        <v>false</v>
      </c>
      <c r="BK340" s="2" t="str">
        <f>IF(BJ340="true",MROUND(IF(AND(AO340&gt;0.5,OR(_xlfn.XLOOKUP(_xlfn.XLOOKUP(B340,'Base stats'!B:B,'Base stats'!E:E),Groups!A:A,Groups!AJ:AJ)="Photonozoa",_xlfn.XLOOKUP(_xlfn.XLOOKUP(B340,'Base stats'!B:B,'Base stats'!E:E),Groups!A:A,Groups!AJ:AJ)="Mammal")),Animals!AO340*1.75*IF(AW340="true",1.5,1),IF(AO340&lt;0.5,Animals!AO340*0.5,Animals!AO340)),IF(AO340&gt;2,0.5,IF(AO340&gt;0.5,0.25,0.1))),"No")</f>
        <v>No</v>
      </c>
      <c r="BL340" s="2">
        <f t="shared" si="38"/>
        <v>1</v>
      </c>
      <c r="BM340" s="25" t="str">
        <f>IF(_xlfn.XLOOKUP(B340,'Base stats'!B:B,'Base stats'!AN:AN)="Standard","No",MROUND((_xlfn.XLOOKUP(B340,'Base stats'!B:B,'Base stats'!AN:AN)/3.6)/I340,0.1))</f>
        <v>No</v>
      </c>
      <c r="BN340" s="25" t="str">
        <f t="shared" si="39"/>
        <v>false</v>
      </c>
      <c r="BO340" s="25" t="str">
        <f>IF(AND(OR(_xlfn.XLOOKUP(B340,'Base stats'!B:B,'Base stats'!Y:Y)="Carnivore",_xlfn.XLOOKUP(B340,'Base stats'!B:B,'Base stats'!Y:Y)="Omnivore",_xlfn.XLOOKUP(B340,'Base stats'!B:B,'Base stats'!Y:Y)="OmnivoreRough"),_xlfn.XLOOKUP(_xlfn.XLOOKUP(B340,'Base stats'!B:B,'Base stats'!E:E),Groups!A:A,Groups!AT:AT)=1),"true","false")</f>
        <v>false</v>
      </c>
      <c r="BP340" s="25" t="str" cm="1">
        <f t="array" ref="BP340">IF(
  _xlfn.TEXTJOIN(", ",TRUE,
    IF(AND(BJ340="true",AO340&gt;0.5,BI340&lt;&gt;"None"),"AttackTarget",""),
    IF(AND(_xlfn.XLOOKUP(_xlfn.XLOOKUP(B340,'Base stats'!B:B,'Base stats'!E:E),Groups!A:A,Groups!AJ:AJ="Mammal"),OR(_xlfn.XLOOKUP(B340,'Base stats'!B:B,'Base stats'!Y:Y)="Omnivore",_xlfn.XLOOKUP(B340,'Base stats'!B:B,'Base stats'!Y:Y)="OmnivoreRough")),"Forage",""),
    IF(BG340&lt;=36,"Comfort",""),
    IF(_xlfn.XLOOKUP(B340,'Base stats'!B:B,'Base stats'!AE:AE)&lt;&gt;"No",_xlfn.XLOOKUP(B340,'Base stats'!B:B,'Base stats'!AE:AE),"")
  ) = "",
  "No",
  _xlfn.TEXTJOIN(", ",TRUE,
    IF(AND(BJ340="true",AO340&gt;0.5,BI340&lt;&gt;"None"),"AttackTarget",""),
    IF(AND(_xlfn.XLOOKUP(_xlfn.XLOOKUP(B340,'Base stats'!B:B,'Base stats'!E:E),Groups!A:A,Groups!AJ:AJ="Mammal"),OR(_xlfn.XLOOKUP(B340,'Base stats'!B:B,'Base stats'!Y:Y)="Omnivore",_xlfn.XLOOKUP(B340,'Base stats'!B:B,'Base stats'!Y:Y)="OmnivoreRough")),"Forage",""),
    IF(BG340&lt;=36,"Comfort",""),
    IF(_xlfn.XLOOKUP(B340,'Base stats'!B:B,'Base stats'!AE:AE)&lt;&gt;"No",_xlfn.XLOOKUP(B340,'Base stats'!B:B,'Base stats'!AE:AE),"")
  )
)</f>
        <v>No</v>
      </c>
      <c r="BQ340" s="25" t="str">
        <f>IF(
   AND(
      'Base stats'!AN340="Standard",_xlfn.XLOOKUP(_xlfn.XLOOKUP(B340,'Base stats'!B:B,'Base stats'!E:E),Groups!A:A,Groups!AU:AU)=0,
      OR(
      BO340="True"
      )
   ),
   10,
   IF(
       OR(BM340&lt;&gt;"No",_xlfn.XLOOKUP(_xlfn.XLOOKUP(B340,'Base stats'!B:B,'Base stats'!E:E),Groups!A:A,Groups!AU:AU)=1),
      1,
      "No"
   )
)</f>
        <v>No</v>
      </c>
      <c r="BR340" s="9">
        <f>MROUND((1 + ((0.2*IF(OR(Q340="No",R340="No",R340=0),0,Q340/R340)
+IF(OR(V340="No",S340="No",T340="No"),0,S340/T340*(LEN(V340)-LEN(SUBSTITUTE(V340,",",""))+1))
+IF(OR(X340="No",Y340="No"),0,X340/Y340)
+IF(OR(AD340="No",AE340="No"),0,AD340/AE340)
+IF(OR(AL340="No",AI340="No",AJ340="No"),0,AI340/AJ340*(LEN(AL340)-LEN(SUBSTITUTE(AL340,",",""))+1))
)/(0.2*IF(OR(Q340="No",R340="No",R340=0),0,1)
+IF(OR(V340="No",S340="No",T340="No"),0,LEN(V340)-LEN(SUBSTITUTE(V340,",",""))+1)
+IF(OR(X340="No",Y340="No"),0,1)
+IF(OR(AD340="No",AE340="No"),0,1)
+IF(OR(AL340="No",AI340="No",AJ340="No"),0,LEN(AL340)-LEN(SUBSTITUTE(AL340,",",""))+1))*62%)* 2)*(1 + (AP340 / (IF(_xlfn.XLOOKUP(_xlfn.XLOOKUP(B340,'Base stats'!B:B,'Base stats'!E:E),Groups!A:A,Groups!AJ:AJ)="Photonozoa",0.3,1)) + _xlfn.XLOOKUP(B340,'Base stats'!B:B,'Base stats'!AV:AV) * 1.8) * 2) * 2.5 + 10 + I340 * 2,5)+IF(_xlfn.XLOOKUP(B340,'Base stats'!B:B,'Base stats'!AK:AK)=1,50,0)</f>
        <v>355</v>
      </c>
      <c r="BS340" s="8">
        <f t="shared" si="40"/>
        <v>1.2000000000000002</v>
      </c>
      <c r="BT340" s="8" t="str">
        <f>_xlfn.XLOOKUP(B340,'Base stats'!B:B,'Base stats'!AF:AF)</f>
        <v>No</v>
      </c>
      <c r="BU340" s="2" t="str">
        <f>IF(AND(J340&lt;=0.95,OR(_xlfn.XLOOKUP(B340,'Base stats'!B:B,'Base stats'!AK:AK)=1,_xlfn.XLOOKUP(B340,'Base stats'!B:B,'Base stats'!Y:Y)="Carnivore",_xlfn.XLOOKUP(B340,'Base stats'!B:B,'Base stats'!Y:Y)="Omnivore",BE340&gt;0.1)),"true","false")</f>
        <v>true</v>
      </c>
      <c r="BV340" s="2" t="str">
        <f>IF(_xlfn.XLOOKUP(B340,'Base stats'!B:B,'Base stats'!AI:AI)=1,"true","false")</f>
        <v>false</v>
      </c>
      <c r="BW340" s="25" t="str">
        <f>IF(E340="BaseInsect","AnimalInsect",
IF(J340&gt;0.95,"AnimalExotic",
_xlfn.TEXTJOIN(", ",TRUE,
IF(OR(_xlfn.XLOOKUP(B340,'Base stats'!B:B,'Base stats'!AM:AM)=1,AND(_xlfn.XLOOKUP(B340,'Base stats'!B:B,'Base stats'!O:O)=0,_xlfn.XLOOKUP(_xlfn.XLOOKUP(B340,'Base stats'!B:B,'Base stats'!E:E),Groups!A:A,Groups!B:B)&gt;0)),"AnimalUncommon","AnimalCommon"),
IF(AND(_xlfn.XLOOKUP(B340,'Base stats'!B:B,'Base stats'!O:O)=2,_xlfn.XLOOKUP(_xlfn.XLOOKUP(B340,'Base stats'!B:B,'Base stats'!E:E),Groups!A:A,Groups!D:D)=0),"AnimalPet",IF(AND(_xlfn.XLOOKUP(B340,'Base stats'!B:B,'Base stats'!O:O)&lt;&gt;0,_xlfn.XLOOKUP(_xlfn.XLOOKUP(B340,'Base stats'!B:B,'Base stats'!E:E),Groups!A:A,Groups!D:D)&lt;&gt;0),"AnimalFarm","")),
IF(OR(_xlfn.XLOOKUP(B340,'Base stats'!B:B,'Base stats'!AK:AK)=1,AND(BI340&lt;&gt;"None",BR340&gt;=60),ISNUMBER(SEARCH("Attack target",BP340))),"AnimalFighter","")
)))</f>
        <v>AnimalUncommon, AnimalFighter</v>
      </c>
      <c r="BX340" s="25" t="str">
        <f>IF(G340="None",TRIM(
SUBSTITUTE(
IF(COUNTIF(Biomes!B$2:B$259,"="&amp;$C340)&gt;0,Biomes!B$1&amp;", ","")&amp;
IF(COUNTIF(Biomes!C$2:C$259,"="&amp;$C340)&gt;0,Biomes!C$1&amp;", ","")&amp;
IF(COUNTIF(Biomes!D$2:D$259,"="&amp;$C340)&gt;0,Biomes!D$1&amp;", ","")&amp;
IF(COUNTIF(Biomes!F$2:F$259,"="&amp;$C340)&gt;0,Biomes!F$1&amp;", ","")&amp;
IF(COUNTIF(Biomes!G$2:G$259,"="&amp;$C340)&gt;0,Biomes!G$1&amp;", ","")&amp;
IF(COUNTIF(Biomes!H$2:H$259,"="&amp;$C340)&gt;0,Biomes!H$1&amp;", ","")&amp;
IF(COUNTIF(Biomes!I$2:I$259,"="&amp;$C340)&gt;0,Biomes!I$1&amp;", ","")&amp;
IF(COUNTIF(Biomes!J$2:J$259,"="&amp;$C340)&gt;0,Biomes!J$1&amp;", ","")&amp;
IF(COUNTIF(Biomes!M$2:M$259,"="&amp;$C340)&gt;0,Biomes!M$1&amp;", ","")&amp;
IF(COUNTIF(Biomes!N$2:N$259,"="&amp;$C340)&gt;0,Biomes!N$1&amp;", ","")&amp;
IF(COUNTIF(Biomes!O$2:O$259,"="&amp;$C340)&gt;0,Biomes!O$1&amp;", ","")&amp;
IF(COUNTIF(Biomes!P$2:P$259,"="&amp;$C340)&gt;0,Biomes!P$1&amp;", ","")&amp;
IF(COUNTIF(Biomes!K$2:K$259,"="&amp;$C340)&gt;0,Biomes!K$1&amp;", ","")&amp;
IF(COUNTIF(Biomes!Q$3:Q$259,"="&amp;$C340)&gt;0,Biomes!Q$1&amp;", ","")&amp;
IF(COUNTIF(Biomes!L$2:L$259,"="&amp;$C340)&gt;0,Biomes!L$1&amp;", ","")&amp;
IF(COUNTIF(Biomes!E$2:E$259,"="&amp;$C340)&gt;0,Biomes!E$1&amp;", ","")&amp;IF(COUNTIF(Biomes!S$2:S$259,"="&amp;$C340)&gt;0,Biomes!S$1&amp;", ","")&amp;
IF(COUNTIF(Biomes!R$2:R$259,"="&amp;$C340)&gt;0,Biomes!R$1&amp;", ",""),", ","")
),_xlfn.XLOOKUP(B340,B:B,BX:BX))</f>
        <v>SeaIce IceSheet Tundra BorealForest ColdBog TemperateForest TemperateSwamp AridShrubland Desert ExtremeDesert TropicalRainforest TropicalSwamp Grasslands Glowforest LavaField GlacialPlain Scarlands</v>
      </c>
      <c r="BY340" s="25" t="str">
        <f>IF(_xlfn.XLOOKUP(B340,'Base stats'!B:B,'Base stats'!AJ:AJ)=1,"true","false")</f>
        <v>false</v>
      </c>
      <c r="BZ340" s="25">
        <f>IF(_xlfn.XLOOKUP(B340,'Base stats'!B:B,'Base stats'!N:N)=1,"No",MAX(0.001,MIN(MROUND(IF(AND(BJ340="True",CC340="False"),POWER(10,3.47*LOG10(_xlfn.XLOOKUP(B340,'Base stats'!B:B,'Base stats'!C:C)*1000)^-0.96),POWER(10,4.15*LOG10(_xlfn.XLOOKUP(B340,'Base stats'!B:B,'Base stats'!C:C)*1000)^-0.73))*IF(_xlfn.XLOOKUP(B340,'Base stats'!B:B,'Base stats'!AK:AK)=1,0.5,1)*IF(_xlfn.XLOOKUP(B340,'Base stats'!B:B,'Base stats'!AM:AM)=1,0.1,1)/100,IF(_xlfn.XLOOKUP(B340,'Base stats'!B:B,'Base stats'!AM:AM)=1,0.001,0.025)),0.5)))</f>
        <v>1.6E-2</v>
      </c>
      <c r="CA340" s="25" t="str">
        <f>IF(P340="Standard","No",MAX(0.001,MIN(MROUND(IF(AND(BJ340="True",CC340="False"),POWER(10,3.47*LOG10(_xlfn.XLOOKUP(B340,'Base stats'!B:B,'Base stats'!C:C)*1000)^-0.96),POWER(10,4.15*LOG10(_xlfn.XLOOKUP(B340,'Base stats'!B:B,'Base stats'!C:C)*1000)^-0.73))*IF(_xlfn.XLOOKUP(B340,'Base stats'!B:B,'Base stats'!AM:AM)=1,0.1,1)*_xlfn.XLOOKUP(B340,'Base stats'!B:B,'Base stats'!R:R)/100,IF(_xlfn.XLOOKUP(B340,'Base stats'!B:B,'Base stats'!AM:AM)=1,0.001,0.025)),0.5)))</f>
        <v>No</v>
      </c>
      <c r="CB340" s="25" t="str">
        <f>IF(_xlfn.XLOOKUP(_xlfn.XLOOKUP(B340,'Base stats'!B:B,'Base stats'!E:E),Groups!A:A,Groups!AJ:AJ)="Mammal","True","False")</f>
        <v>True</v>
      </c>
      <c r="CC340" s="25" t="str">
        <f>IF(OR(_xlfn.XLOOKUP(_xlfn.XLOOKUP(B340,'Base stats'!B:B,'Base stats'!E:E),Groups!A:A,Groups!AJ:AJ)="Reptile",_xlfn.XLOOKUP(_xlfn.XLOOKUP(B340,'Base stats'!B:B,'Base stats'!E:E),Groups!A:A,Groups!AJ:AJ)="Amphibian",_xlfn.XLOOKUP(_xlfn.XLOOKUP(B340,'Base stats'!B:B,'Base stats'!E:E),Groups!A:A,Groups!AJ:AJ)="Invertebrate"),"True","False")</f>
        <v>False</v>
      </c>
      <c r="CD340" s="25" t="str">
        <f t="shared" si="41"/>
        <v>False</v>
      </c>
      <c r="CE340" s="25" t="str">
        <f>IF(_xlfn.XLOOKUP(_xlfn.XLOOKUP(B340,'Base stats'!B:B,'Base stats'!E:E),Groups!A:A,Groups!AX:AX),"True","False")</f>
        <v>False</v>
      </c>
      <c r="CF340" s="25" t="str">
        <f>IF(_xlfn.XLOOKUP(_xlfn.XLOOKUP(B340,'Base stats'!B:B,'Base stats'!E:E),Groups!A:A,Groups!AY:AY),"True","False")</f>
        <v>False</v>
      </c>
      <c r="CG340" s="25" t="str">
        <f>IF(_xlfn.XLOOKUP(_xlfn.XLOOKUP(B340,'Base stats'!B:B,'Base stats'!E:E),Groups!A:A,Groups!AW:AW),"True","False")</f>
        <v>False</v>
      </c>
      <c r="CH340" s="25" t="str">
        <f>IF(
OR(
_xlfn.XLOOKUP(_xlfn.XLOOKUP(B340,'Base stats'!B:B,'Base stats'!E:E),Groups!A:A,Groups!AZ:AZ)=0,
AND(
_xlfn.XLOOKUP(B340,'Base stats'!B:B,'Base stats'!Y:Y)&lt;&gt;"Carnivore",
_xlfn.XLOOKUP(B340,'Base stats'!B:B,'Base stats'!Y:Y)&lt;&gt;"Omnivore",
_xlfn.XLOOKUP(B340,'Base stats'!B:B,'Base stats'!Y:Y)&lt;&gt;"OmnivoreRough"
)
),
"No",
IF(
_xlfn.XLOOKUP(_xlfn.XLOOKUP(B340,'Base stats'!B:B,'Base stats'!E:E),Groups!A:A,Groups!AZ:AZ)=1,
"Flesh",
IF(
_xlfn.XLOOKUP(_xlfn.XLOOKUP(B340,'Base stats'!B:B,'Base stats'!E:E),Groups!A:A,Groups!AZ:AZ)=2,
"Bone",
""
)
)
)</f>
        <v>No</v>
      </c>
      <c r="CI340" s="25" t="str">
        <f>IF(_xlfn.XLOOKUP(_xlfn.XLOOKUP(B340,'Base stats'!B:B,'Base stats'!E:E),Groups!A:A,Groups!BB:BB),"True","False")</f>
        <v>True</v>
      </c>
      <c r="CJ340" s="25" t="str">
        <f>IF(_xlfn.XLOOKUP(_xlfn.XLOOKUP(B340,'Base stats'!B:B,'Base stats'!E:E),Groups!A:A,Groups!BA:BA),"True","False")</f>
        <v>False</v>
      </c>
    </row>
    <row r="341" spans="1:88" ht="16.5" thickTop="1" thickBot="1" x14ac:dyDescent="0.3">
      <c r="A341" s="26" t="s">
        <v>1594</v>
      </c>
      <c r="B341" s="6" t="str">
        <f>_xlfn.XLOOKUP(A341,'Base stats'!A:A,'Base stats'!B:B)</f>
        <v>Crepiscubos tonitrus</v>
      </c>
      <c r="C341" s="28" t="s">
        <v>1595</v>
      </c>
      <c r="D341" s="28" t="s">
        <v>1341</v>
      </c>
      <c r="E341" s="28" t="s">
        <v>673</v>
      </c>
      <c r="F341" s="28" t="s">
        <v>673</v>
      </c>
      <c r="G341" s="28" t="s">
        <v>673</v>
      </c>
      <c r="H341" s="2">
        <f>MROUND((
  (IF(AND(_xlfn.XLOOKUP(B341,'Base stats'!B:B,'Base stats'!AL:AL)=0,BI341="None",_xlfn.XLOOKUP(_xlfn.XLOOKUP(B341,'Base stats'!B:B,'Base stats'!E:E),Groups!A:A,Groups!B:B)=0), (18 + BR341 * 2.7) * 0.5,
    IF(AND(_xlfn.XLOOKUP(B341,'Base stats'!B:B,'Base stats'!AL:AL)=0,OR(AO341&lt;0.55,AND(BI341="Intermediate",_xlfn.XLOOKUP(_xlfn.XLOOKUP(B341,'Base stats'!B:B,'Base stats'!E:E),Groups!A:A,Groups!B:B)&lt;2))), (18 + BR341 * 2.7),
      IF(OR(BI341="Advanced",_xlfn.XLOOKUP(B341,'Base stats'!B:B,'Base stats'!AL:AL)=1,_xlfn.XLOOKUP(_xlfn.XLOOKUP(B341,'Base stats'!B:B,'Base stats'!E:E),Groups!A:A,Groups!B:B)=2), (18 + BR341 * 2.7) + 250, (18 + BR341 * 2.7))
    )
  ))
  + AO341 * 80
  + IF(COUNTIF(EggMilk!K$2:K$998, A341) &gt; 0, 125, 0)
  + IF(COUNTIF(EggMilk!P$2:P$998, A341) &gt; 0, 90, 0)
  + IF(COUNTIF(EggMilk!A$2:A$998, A341) &gt; 0, 90, 0)
)
* (0.8 + 0.4 * J341)
* 0.75,25)</f>
        <v>425</v>
      </c>
      <c r="I341" s="2">
        <f>MROUND(ROUNDDOWN(_xlfn.XLOOKUP(B341,'Base stats'!B:B,'Base stats'!L:L)/3.6/(23.3/11),1),0.5)</f>
        <v>7.5</v>
      </c>
      <c r="J341" s="2">
        <f>IF(OR(_xlfn.XLOOKUP(B341,'Base stats'!B:B,'Base stats'!AB:AB)=1,_xlfn.XLOOKUP(_xlfn.XLOOKUP(B341,'Base stats'!B:B,'Base stats'!E:E),Groups!A:A,Groups!C:C)="Untamable"),1,IF(_xlfn.XLOOKUP(B341,'Base stats'!B:B,'Base stats'!AL:AL)=1,0.99,MIN(MROUND((1-0.6282*EXP(-0.459*AO341))*_xlfn.XLOOKUP(_xlfn.XLOOKUP(B341,'Base stats'!B:B,'Base stats'!E:E),Groups!A:A,Groups!C:C)*IF(_xlfn.XLOOKUP(B341,'Base stats'!B:B,'Base stats'!O:O)=1,0.5,IF(_xlfn.XLOOKUP(B341,'Base stats'!B:B,'Base stats'!O:O)=2,0,1)),0.05),IF(AO341&gt;3.5,0.985,0.95))))</f>
        <v>0.70000000000000007</v>
      </c>
      <c r="K341" s="2">
        <f>ROUNDUP(AO341*_xlfn.XLOOKUP(_xlfn.XLOOKUP(B341,'Base stats'!B:B,'Base stats'!E:E),Groups!A:A,Groups!E:E),0)</f>
        <v>15</v>
      </c>
      <c r="L341" s="2">
        <f>IF(OR(_xlfn.XLOOKUP(_xlfn.XLOOKUP(B341,'Base stats'!B:B,'Base stats'!E:E),Groups!A:A,Groups!F:F)=2,ISNUMBER(SEARCH("SeaIce",BX341)),ISNUMBER(SEARCH("IceSheet",BX341))),-50,IF(OR(ISNUMBER(SEARCH("GlacialPlain",BX341)),ISNUMBER(SEARCH("Tundra",BX341))),-40,IF(OR(ISNUMBER(SEARCH("Alpine",BX341)),ISNUMBER(SEARCH("BorealForest",BX341)),ISNUMBER(SEARCH("ColdBog",BX341))),-30,IF(OR(ISNUMBER(SEARCH("TemperateForest",BX341)),ISNUMBER(SEARCH("TemperateSwamp",BX341))),-20,IF(_xlfn.XLOOKUP(_xlfn.XLOOKUP(B341,'Base stats'!B:B,'Base stats'!E:E),Groups!A:A,Groups!F:F)=1,-15,IF(OR(ISNUMBER(SEARCH("Desert",BX341)),ISNUMBER(SEARCH("ExtremeDesert",BX341))),-10,IF(OR(ISNUMBER(SEARCH("Grasslands",BX341)),ISNUMBER(SEARCH("TropicalRainforest",BX341)),ISNUMBER(SEARCH("TropicalSwamp",BX341))),10,0)))))))-IF(CC341="False",MIN(IFERROR(MAX(MROUND(LOG10(_xlfn.XLOOKUP(B341,'Base stats'!B:B,'Base stats'!C:C)^(2/3))*10,5),5),5),30))-_xlfn.XLOOKUP(B341,'Base stats'!B:B,'Base stats'!P:P)+IF(CC341="True",5,0)</f>
        <v>-35</v>
      </c>
      <c r="M341" s="2">
        <f>IF(OR(_xlfn.XLOOKUP(_xlfn.XLOOKUP(B341,'Base stats'!B:B,'Base stats'!E:E),Groups!A:A,Groups!G:G)=2,ISNUMBER(SEARCH("Desert",BX341)),ISNUMBER(SEARCH("ExtremeDesert",BX341)),ISNUMBER(SEARCH("LavaField",BX341))),50,IF(ISNUMBER(SEARCH("Grasslands",BX341)),45,IF(OR(_xlfn.XLOOKUP(_xlfn.XLOOKUP(B341,'Base stats'!B:B,'Base stats'!E:E),Groups!A:A,Groups!G:G)=1,ISNUMBER(SEARCH("TropicalRainforest",BX341)),ISNUMBER(SEARCH("TropicalSwamp",BX341))),40,IF(OR(ISNUMBER(SEARCH("TemperateForest",BX341)),ISNUMBER(SEARCH("TemperateSwamp",BX341))),35,IF(OR(ISNUMBER(SEARCH("Alpine",BX341)),ISNUMBER(SEARCH("BorealForest",BX341)),ISNUMBER(SEARCH("ColdBog",BX341))),30,IF(ISNUMBER(OR(ISNUMBER(SEARCH("GlacialPlain",BX341)),SEARCH("Tundra",BX341))),25,IF(OR(ISNUMBER(SEARCH("SeaIce",BX341)),ISNUMBER(SEARCH("IceSheet",BX341)),ISNUMBER(SEARCH("TropicalSwamp",BX341))),10,35)))))))+_xlfn.XLOOKUP(B341,'Base stats'!B:B,'Base stats'!Q:Q)</f>
        <v>35</v>
      </c>
      <c r="N341" s="8" t="str">
        <f>IF(
_xlfn.XLOOKUP(
_xlfn.XLOOKUP(B341,'Base stats'!B:B,'Base stats'!E:E),
Groups!A:A,
Groups!L:L
)=1,
MIN(
MROUND(
IF(
_xlfn.XLOOKUP(B341,'Animals CE'!B:B,'Animals CE'!Z:Z)&lt;=1.5,
_xlfn.XLOOKUP(B341,'Animals CE'!B:B,'Animals CE'!Z:Z)/2+0.05,
0.8+
(_xlfn.XLOOKUP(B341,'Animals CE'!B:B,'Animals CE'!Z:Z)-1.5)
*0.02
),
0.05
),
200%
),
"No"
)</f>
        <v>No</v>
      </c>
      <c r="O341" s="8" t="str">
        <f>IF(
_xlfn.XLOOKUP(
_xlfn.XLOOKUP(B341,'Base stats'!B:B,'Base stats'!E:E),
Groups!A:A,
Groups!L:L
)=1,
MIN(
MROUND(
IF(
_xlfn.XLOOKUP(B341,'Animals CE'!B:B,'Animals CE'!AA:AA)&lt;=1.5,
_xlfn.XLOOKUP(B341,'Animals CE'!B:B,'Animals CE'!AA:AA)/2+0.05,
0.8+
(_xlfn.XLOOKUP(B341,'Animals CE'!B:B,'Animals CE'!AA:AA)-1.5)
*0.02
),
0.05
),
200%
),
"No"
)</f>
        <v>No</v>
      </c>
      <c r="P341" s="2" t="str">
        <f>_xlfn.XLOOKUP(B341,'Base stats'!B:B,'Base stats'!R:R)</f>
        <v>Standard</v>
      </c>
      <c r="Q341" s="13">
        <f>MROUND((LOG10(_xlfn.XLOOKUP(B341,'Base stats'!B:B,'Base stats'!AR:AR))*(AO341^0.5)+(_xlfn.XLOOKUP(B341,'Base stats'!B:B,'Base stats'!AR:AR)/1000)^(2/3)+_xlfn.XLOOKUP(B341,'Base stats'!B:B,'Base stats'!BA:BA)/2)+0.5,0.5)</f>
        <v>17.5</v>
      </c>
      <c r="R341" s="7">
        <f>IF(Q341="No","No",MAX(1,MROUND(_xlfn.XLOOKUP(B341,'Base stats'!B:B,'Base stats'!C:C)^0.165,0.05)))</f>
        <v>2.95</v>
      </c>
      <c r="S341" s="13">
        <f>IF(_xlfn.XLOOKUP(_xlfn.XLOOKUP(B341,'Base stats'!B:B,'Base stats'!E:E),Groups!A:A,Groups!P:P)=0,"No",MROUND((LOG10(_xlfn.XLOOKUP(B341,'Base stats'!B:B,'Base stats'!AS:AS))*(AO341^0.5)+(_xlfn.XLOOKUP(B341,'Base stats'!B:B,'Base stats'!AS:AS)/1000)^(2/3)+_xlfn.XLOOKUP(B341,'Base stats'!B:B,'Base stats'!BA:BA))+_xlfn.XLOOKUP(B341,'Base stats'!B:B,'Base stats'!AY:AY)+0.5,0.5))</f>
        <v>21</v>
      </c>
      <c r="T341" s="7">
        <f>IF(S341="No","No",MAX(_xlfn.XLOOKUP(_xlfn.XLOOKUP(B341,'Base stats'!B:B,'Base stats'!E:E),Groups!A:A,Groups!Q:Q),MROUND(_xlfn.XLOOKUP(_xlfn.XLOOKUP(B341,'Base stats'!B:B,'Base stats'!E:E),Groups!A:A,Groups!Q:Q)*_xlfn.XLOOKUP(B341,'Base stats'!B:B,'Base stats'!C:C)^0.165,0.05)))</f>
        <v>2.95</v>
      </c>
      <c r="U341" s="7" t="str">
        <f>IF(S341="No","No",_xlfn.XLOOKUP(_xlfn.XLOOKUP(B341,'Base stats'!B:B,'Base stats'!E:E),Groups!A:A,Groups!R:R))</f>
        <v>FrontLeftLeg, FrontRightLeg</v>
      </c>
      <c r="V341" s="7" t="str">
        <f>IF(S341="No","No",_xlfn.XLOOKUP(_xlfn.XLOOKUP(B341,'Base stats'!B:B,'Base stats'!E:E),Groups!A:A,Groups!S:S))</f>
        <v>left hoof, right hoof</v>
      </c>
      <c r="W341" s="7" t="str">
        <f>IF(S341="No","No",_xlfn.XLOOKUP(_xlfn.XLOOKUP(B341,'Base stats'!B:B,'Base stats'!E:E),Groups!A:A,Groups!T:T))</f>
        <v>Blunt</v>
      </c>
      <c r="X341" s="13">
        <f>IF(_xlfn.XLOOKUP(B341,'Base stats'!B:B,'Base stats'!W:W)="No","No",MROUND((LOG10(_xlfn.XLOOKUP(B341,'Base stats'!B:B,'Base stats'!AU:AU))*(AO341^0.5)+(_xlfn.XLOOKUP(B341,'Base stats'!B:B,'Base stats'!AU:AU)/1000)^(2/3)+_xlfn.XLOOKUP(B341,'Base stats'!B:B,'Base stats'!AZ:AZ))+0.5+IF(_xlfn.XLOOKUP(_xlfn.XLOOKUP(B341,'Base stats'!B:B,'Base stats'!E:E),Groups!A:A,Groups!U:U)&lt;&gt;3,_xlfn.XLOOKUP(B341,'Base stats'!B:B,'Base stats'!BA:BA),0),0.5))</f>
        <v>21.5</v>
      </c>
      <c r="Y341" s="7">
        <f>IF(X341="No","No",MAX(_xlfn.XLOOKUP(_xlfn.XLOOKUP(B341,'Base stats'!B:B,'Base stats'!E:E),Groups!A:A,Groups!V:V),MROUND(_xlfn.XLOOKUP(_xlfn.XLOOKUP(B341,'Base stats'!B:B,'Base stats'!E:E),Groups!A:A,Groups!V:V)*_xlfn.XLOOKUP(B341,'Base stats'!B:B,'Base stats'!C:C)^0.165,0.05)))</f>
        <v>2.5</v>
      </c>
      <c r="Z341" s="7" t="str">
        <f>IF(X341="No","No",_xlfn.XLOOKUP(_xlfn.XLOOKUP(B341,'Base stats'!B:B,'Base stats'!E:E),Groups!A:A,Groups!W:W))</f>
        <v>HeadAttackTool</v>
      </c>
      <c r="AA341" s="7" t="str">
        <f>IF(X341="No","No",_xlfn.XLOOKUP(_xlfn.XLOOKUP(B341,'Base stats'!B:B,'Base stats'!E:E),Groups!A:A,Groups!X:X))</f>
        <v>horn</v>
      </c>
      <c r="AB341" s="7" t="str">
        <f>IF(X341="No","No",_xlfn.XLOOKUP(_xlfn.XLOOKUP(B341,'Base stats'!B:B,'Base stats'!E:E),Groups!A:A,Groups!Y:Y))</f>
        <v>Blunt</v>
      </c>
      <c r="AC341" s="7" t="str">
        <f>_xlfn.XLOOKUP(Animals!B341,'Base stats'!B:B,'Base stats'!X:X)</f>
        <v>False</v>
      </c>
      <c r="AD341" s="13" t="str">
        <f>IF(_xlfn.XLOOKUP(B341,'Base stats'!B:B,'Base stats'!AT:AT)="No","No",MROUND((LOG10(_xlfn.XLOOKUP(B341,'Base stats'!B:B,'Base stats'!AT:AT))*(AO341^0.75)+(_xlfn.XLOOKUP(B341,'Base stats'!B:B,'Base stats'!AT:AT)/1000)^(2/3)+_xlfn.XLOOKUP(B341,'Base stats'!B:B,'Base stats'!AX:AX)+_xlfn.XLOOKUP(B341,'Base stats'!B:B,'Base stats'!BA:BA))+0.5,0.5))</f>
        <v>No</v>
      </c>
      <c r="AE341" s="7" t="str">
        <f>IF(AD341="No","No",MAX(_xlfn.XLOOKUP(_xlfn.XLOOKUP(B341,'Base stats'!B:B,'Base stats'!E:E),Groups!A:A,Groups!Z:Z),MROUND(_xlfn.XLOOKUP(_xlfn.XLOOKUP(B341,'Base stats'!B:B,'Base stats'!E:E),Groups!A:A,Groups!Z:Z)*_xlfn.XLOOKUP(B341,'Base stats'!B:B,'Base stats'!C:C)^0.165,0.05)))</f>
        <v>No</v>
      </c>
      <c r="AF341" s="7" t="str">
        <f>IF(AD341="No","No",_xlfn.XLOOKUP(_xlfn.XLOOKUP(B341,'Base stats'!B:B,'Base stats'!E:E),Groups!A:A,Groups!AA:AA))</f>
        <v>No</v>
      </c>
      <c r="AG341" s="7" t="str">
        <f>IF(AD341="No","No",_xlfn.XLOOKUP(_xlfn.XLOOKUP(B341,'Base stats'!B:B,'Base stats'!E:E),Groups!A:A,Groups!AB:AB))</f>
        <v>No</v>
      </c>
      <c r="AH341" s="7" t="str">
        <f>IF(AD341="No","No",_xlfn.XLOOKUP(_xlfn.XLOOKUP(B341,'Base stats'!B:B,'Base stats'!E:E),Groups!A:A,Groups!AC:AC))</f>
        <v>No</v>
      </c>
      <c r="AI341" s="13" t="str">
        <f>IF(_xlfn.XLOOKUP(_xlfn.XLOOKUP(B341,'Base stats'!B:B,'Base stats'!E:E),Groups!A:A,Groups!AD:AD)=0,"No",MROUND((LOG10(_xlfn.XLOOKUP(B341,'Base stats'!B:B,'Base stats'!AS:AS))*(AO341^0.75)+(_xlfn.XLOOKUP(B341,'Base stats'!B:B,'Base stats'!AS:AS)/1000)^(2/3)+_xlfn.XLOOKUP(B341,'Base stats'!B:B,'Base stats'!AY:AY)+_xlfn.XLOOKUP(B341,'Base stats'!B:B,'Base stats'!BA:BA))+0.5,0.5))</f>
        <v>No</v>
      </c>
      <c r="AJ341" s="7" t="str">
        <f>IF(AI341="No","No",MAX(_xlfn.XLOOKUP(_xlfn.XLOOKUP(B341,'Base stats'!B:B,'Base stats'!E:E),Groups!A:A,Groups!AE:AE),MROUND(_xlfn.XLOOKUP(_xlfn.XLOOKUP(B341,'Base stats'!B:B,'Base stats'!E:E),Groups!A:A,Groups!AE:AE)*IF(_xlfn.XLOOKUP(_xlfn.XLOOKUP(B341,'Base stats'!B:B,'Base stats'!E:E),Groups!A:A,Groups!AJ:AJ)="Photonozoa",0.6,1)*_xlfn.XLOOKUP(B341,'Base stats'!B:B,'Base stats'!C:C)^0.165,0.05)))</f>
        <v>No</v>
      </c>
      <c r="AK341" s="7" t="str">
        <f>IF(AI341="No","No",_xlfn.XLOOKUP(_xlfn.XLOOKUP(B341,'Base stats'!B:B,'Base stats'!E:E),Groups!A:A,Groups!AF:AF))</f>
        <v>No</v>
      </c>
      <c r="AL341" s="7" t="str">
        <f>IF(AI341="No","No",_xlfn.XLOOKUP(_xlfn.XLOOKUP(B341,'Base stats'!B:B,'Base stats'!E:E),Groups!A:A,Groups!AG:AG))</f>
        <v>No</v>
      </c>
      <c r="AM341" s="7" t="str">
        <f>IF(AI341="No","No",_xlfn.XLOOKUP(_xlfn.XLOOKUP(B341,'Base stats'!B:B,'Base stats'!E:E),Groups!A:A,Groups!AH:AH))</f>
        <v>No</v>
      </c>
      <c r="AN341" s="2" t="str">
        <f t="shared" si="35"/>
        <v>No</v>
      </c>
      <c r="AO341" s="2">
        <f>MROUND(IF(AND(_xlfn.XLOOKUP(B341,'Base stats'!B:B,'Base stats'!C:C)&gt;=0.5,_xlfn.XLOOKUP(B341,'Base stats'!B:B,'Base stats'!C:C)&lt;=0.8),
IF(_xlfn.XLOOKUP(B341,'Base stats'!B:B,'Base stats'!C:C)&lt;0.1,0.05,IF(_xlfn.XLOOKUP(B341,'Base stats'!B:B,'Base stats'!C:C)&lt;=70,(_xlfn.XLOOKUP(B341,'Base stats'!B:B,'Base stats'!C:C)/70)^0.426489913056526,IF(_xlfn.XLOOKUP(B341,'Base stats'!B:B,'Base stats'!C:C)&lt;=400,(_xlfn.XLOOKUP(B341,'Base stats'!B:B,'Base stats'!C:C)/70)^0.572811455315093,IF(_xlfn.XLOOKUP(B341,'Base stats'!B:B,'Base stats'!C:C)&lt;=2000,2.71391647193063*(_xlfn.XLOOKUP(B341,'Base stats'!B:B,'Base stats'!C:C)/400)^0.252459582904293,3.74314280240376*(_xlfn.XLOOKUP(B341,'Base stats'!B:B,'Base stats'!C:C)/2000)^0.357012633876913)))),
IF(_xlfn.XLOOKUP(B341,'Base stats'!B:B,'Base stats'!C:C)&lt;0.1,0.05,IF(_xlfn.XLOOKUP(B341,'Base stats'!B:B,'Base stats'!C:C)&lt;0.4,0.1,IF(_xlfn.XLOOKUP(B341,'Base stats'!B:B,'Base stats'!C:C)&lt;=70,(_xlfn.XLOOKUP(B341,'Base stats'!B:B,'Base stats'!C:C)/70)^0.445823913056526,IF(_xlfn.XLOOKUP(B341,'Base stats'!B:B,'Base stats'!C:C)&lt;=400,(_xlfn.XLOOKUP(B341,'Base stats'!B:B,'Base stats'!C:C)/70)^0.572811455315093,IF(_xlfn.XLOOKUP(B341,'Base stats'!B:B,'Base stats'!C:C)&lt;=2000,2.71391647193063*(_xlfn.XLOOKUP(B341,'Base stats'!B:B,'Base stats'!C:C)/400)^0.252459582904293,3.74314280240376*(_xlfn.XLOOKUP(B341,'Base stats'!B:B,'Base stats'!C:C)/2000)^0.357012633876913)))))),
IF(_xlfn.XLOOKUP(B341,'Base stats'!B:B,'Base stats'!C:C)&lt;0.1,0.05,IF(_xlfn.XLOOKUP(B341,'Base stats'!B:B,'Base stats'!C:C)&lt;=100,0.05,IF(_xlfn.XLOOKUP(B341,'Base stats'!B:B,'Base stats'!C:C)&lt;=250,0.1,IF(_xlfn.XLOOKUP(B341,'Base stats'!B:B,'Base stats'!C:C)&lt;=4000,0.25,0.5)))))</f>
        <v>3</v>
      </c>
      <c r="AP341" s="8">
        <f>MROUND(AO341*_xlfn.XLOOKUP(_xlfn.XLOOKUP(B341,'Base stats'!B:B,'Base stats'!E:E),Groups!A:A,Groups!AI:AI)*_xlfn.XLOOKUP(B341,'Base stats'!B:B,'Base stats'!Z:Z),0.05)</f>
        <v>3</v>
      </c>
      <c r="AQ341" s="8">
        <f>MAX(0.01,MROUND(IF(CC341="True",0.196*(AO341*100*1000)^0.889,IF(_xlfn.XLOOKUP(_xlfn.XLOOKUP(B341,'Base stats'!B:B,'Base stats'!E:E),Groups!A:A,Groups!AJ:AJ)="Bird",10.5*(AO341*100*1000)^0.681,4.82*(AO341*100*1000)^0.734))/(4.82*(1*100*1000)^0.734)/IF(AO341&lt;3.5,2,IF(AO341=3.5,1.5,1.25))*(1+0.132282374779864/(AO341^0.994035016789033+0.00905238001496948)),0.05))</f>
        <v>1.1500000000000001</v>
      </c>
      <c r="AR341" s="9">
        <f>IFERROR(MROUND(_xlfn.XLOOKUP(B341,'Base stats'!B:B,'Base stats'!H:H)/IF(_xlfn.XLOOKUP(B341,'Base stats'!B:B,'Base stats'!I:I)&lt;&gt;1,(122.5/70),1.2),IF(_xlfn.XLOOKUP(B341,'Base stats'!B:B,'Base stats'!H:H)&gt;=30,5,IF(_xlfn.XLOOKUP(B341,'Base stats'!B:B,'Base stats'!H:H)&gt;=15,3,IF(_xlfn.XLOOKUP(B341,'Base stats'!B:B,'Base stats'!H:H)&gt;=10,2,1)))),"Immortal")</f>
        <v>20</v>
      </c>
      <c r="AS341" s="35">
        <f>IFERROR(IF(OR(_xlfn.XLOOKUP(B341,'Base stats'!B:B,'Base stats'!F:F)="Atypical reproduction",_xlfn.XLOOKUP(B341,'Base stats'!B:B,'Base stats'!F:F)="Lay eggs"),"Lay eggs",MIN(20,MAX(5.5,ROUND(((_xlfn.XLOOKUP(B341,'Base stats'!B:B,'Base stats'!F:F)-25)*(14.5/615) + 5.5)*2,0)/2))),"Unknown")</f>
        <v>11.5</v>
      </c>
      <c r="AT341" s="8">
        <f>IF(_xlfn.XLOOKUP(B341,'Base stats'!B:B,'Base stats'!G:G)="Atypical reproduction","No",IFERROR(MAX(IF(_xlfn.XLOOKUP(B341,'Base stats'!B:B,'Base stats'!G:G)&lt;0.5,0.2,0.3),MROUND(_xlfn.XLOOKUP(B341,'Base stats'!B:B,'Base stats'!G:G)/(365/60),0.2)),"Unknown"))</f>
        <v>0.4</v>
      </c>
      <c r="AU341" s="8">
        <f t="shared" si="36"/>
        <v>0.2</v>
      </c>
      <c r="AV341" s="8">
        <f>IFERROR(IFERROR(MROUND(_xlfn.XLOOKUP(B341,'Base stats'!B:B,'Base stats'!J:J),0.1),"Lay eggs"),"Cannot breed")</f>
        <v>1</v>
      </c>
      <c r="AW341" s="2" t="str">
        <f t="shared" si="37"/>
        <v>true</v>
      </c>
      <c r="AX341" s="2" t="str">
        <f>IF(_xlfn.XLOOKUP(_xlfn.XLOOKUP(Animals!B341,'Base stats'!B:B,'Base stats'!E:E),Groups!A:A,Groups!AK:AK)=1,"true","false")</f>
        <v>true</v>
      </c>
      <c r="AY341" s="25" t="str">
        <f>IF(_xlfn.XLOOKUP(B341,'Base stats'!B:B,'Base stats'!Y:Y)="Liquor","Liquor, CarnivoreAnimalStrict",IF(AND(_xlfn.XLOOKUP(B341,'Base stats'!B:B,'Base stats'!Y:Y)="Carnivore",_xlfn.XLOOKUP(_xlfn.XLOOKUP(B341,'Base stats'!B:B,'Base stats'!E:E),Groups!A:A,Groups!AJ:AJ)="Photonozoa"),"CarnivoreAnimalStrict, OvivoreAnimal",IF(_xlfn.XLOOKUP(B341,'Base stats'!B:B,'Base stats'!Y:Y)="Carnivore","CarnivoreAnimal, OvivoreAnimal",IF(_xlfn.XLOOKUP(B341,'Base stats'!B:B,'Base stats'!Y:Y)="Dendrovore","VegetarianRoughAnimal, DendrovoreAnimal",IF(_xlfn.XLOOKUP(B341,'Base stats'!B:B,'Base stats'!Y:Y)="Herbivore","VegetarianRoughAnimal",IF(_xlfn.XLOOKUP(B341,'Base stats'!B:B,'Base stats'!Y:Y)="OmnivoreRough","OmnivoreRoughAnimal, OvivoreAnimal","OmnivoreAnimal, OvivoreAnimal"))))))</f>
        <v>VegetarianRoughAnimal</v>
      </c>
      <c r="AZ341" s="2">
        <f>IF(_xlfn.XLOOKUP(_xlfn.XLOOKUP(B341,'Base stats'!B:B,'Base stats'!E:E),Groups!A:A,Groups!D:D)=1,MROUND((1-J341)*5+1,2)*IF(J341&lt;=0.4,2,1),"No")</f>
        <v>2</v>
      </c>
      <c r="BA341" s="2" t="str">
        <f>IF(AND(_xlfn.XLOOKUP(B341,'Base stats'!B:B,'Base stats'!AH:AH)="&lt;li&gt;Seal&lt;/li&gt;",G341="Odyssey"),"&lt;li&gt;AEXP_Seal&lt;/li&gt;",_xlfn.XLOOKUP(B341,'Base stats'!B:B,'Base stats'!AH:AH))</f>
        <v>&lt;li&gt;Sheep&lt;/li&gt;</v>
      </c>
      <c r="BB341" s="2" t="str">
        <f>_xlfn.XLOOKUP(B341,'Base stats'!B:B,'Base stats'!AG:AG)</f>
        <v>Leather_Night</v>
      </c>
      <c r="BC341" s="23" t="str">
        <f>_xlfn.XLOOKUP(_xlfn.XLOOKUP(B341,'Base stats'!B:B,'Base stats'!E:E),Groups!A:A,Groups!AL:AL)</f>
        <v>QuadrupedAnimalWithHooves</v>
      </c>
      <c r="BD341" s="23">
        <f>MIN(1,MROUND(IF(AND(AO341&lt;0.5,_xlfn.XLOOKUP(B341,'Base stats'!B:B,'Base stats'!AA:AA)=0),0,IF(OR(_xlfn.XLOOKUP(Animals!B341,'Base stats'!B:B,'Base stats'!O:O)=2,_xlfn.XLOOKUP(_xlfn.XLOOKUP(B341,'Base stats'!B:B,'Base stats'!E:E),Groups!A:A,Groups!AN:AN)=0),0,_xlfn.XLOOKUP(_xlfn.XLOOKUP(B341,'Base stats'!B:B,'Base stats'!E:E),Groups!A:A,Groups!AN:AN)/IF(_xlfn.XLOOKUP(Animals!B341,'Base stats'!B:B,'Base stats'!O:O)=1,2,1)))+_xlfn.XLOOKUP(B341,'Base stats'!B:B,'Base stats'!AC:AC),0.005))</f>
        <v>0</v>
      </c>
      <c r="BE341" s="23">
        <f>MIN(1,MROUND(IF(AND(AO341&lt;0.5,_xlfn.XLOOKUP(B341,'Base stats'!B:B,'Base stats'!AA:AA)=0),0,IF(_xlfn.XLOOKUP(_xlfn.XLOOKUP(B341,'Base stats'!B:B,'Base stats'!E:E),Groups!A:A,Groups!AO:AO)=0,0,_xlfn.XLOOKUP(_xlfn.XLOOKUP(B341,'Base stats'!B:B,'Base stats'!E:E),Groups!A:A,Groups!AO:AO)/IF(_xlfn.XLOOKUP(Animals!B341,'Base stats'!B:B,'Base stats'!O:O)=2,3,1)))+_xlfn.XLOOKUP(B341,'Base stats'!B:B,'Base stats'!AD:AD),0.005))</f>
        <v>0</v>
      </c>
      <c r="BF341" s="2" t="str">
        <f>IF(J341&gt;0.3,"No",_xlfn.XLOOKUP(_xlfn.XLOOKUP(Animals!B341,'Base stats'!B:B,'Base stats'!E:E),Groups!A:A,Groups!AP:AP))</f>
        <v>No</v>
      </c>
      <c r="BG341" s="2" t="str">
        <f>IF(AND(J341&lt;=0.65,_xlfn.XLOOKUP(_xlfn.XLOOKUP(Animals!B341,'Base stats'!B:B,'Base stats'!E:E),Groups!A:A,Groups!AP:AP)&lt;&gt;"No",_xlfn.XLOOKUP(_xlfn.XLOOKUP(B341,'Base stats'!B:B,'Base stats'!E:E),Groups!A:A,Groups!D:D)=0),MROUND((80/3)*IF(_xlfn.XLOOKUP(B341,'Base stats'!B:B,'Base stats'!O:O)=2,0.2,AO341) + 24*(1-IF(BF341="No",0,BF341)) + 16/3, 12),"No")</f>
        <v>No</v>
      </c>
      <c r="BH341" s="2">
        <f>IF(AND(_xlfn.XLOOKUP(_xlfn.XLOOKUP(B341,'Base stats'!B:B,'Base stats'!E:E),Groups!A:A,Groups!AQ:AQ)=1,AO341&lt;=0.35),8,12)</f>
        <v>12</v>
      </c>
      <c r="BI341" s="2" t="str">
        <f>IF(_xlfn.XLOOKUP(_xlfn.XLOOKUP(B341,'Base stats'!B:B,'Base stats'!E:E),Groups!A:A,Groups!D:D)=0,_xlfn.XLOOKUP(_xlfn.XLOOKUP(B341,'Base stats'!B:B,'Base stats'!E:E),Groups!A:A,Groups!AR:AR),"None")</f>
        <v>None</v>
      </c>
      <c r="BJ341" s="2" t="str">
        <f>IF(AND(_xlfn.XLOOKUP(_xlfn.XLOOKUP(B341,'Base stats'!B:B,'Base stats'!E:E),Groups!A:A,Groups!AS:AS)=1,OR(_xlfn.XLOOKUP(B341,'Base stats'!B:B,'Base stats'!Y:Y)="Carnivore",_xlfn.XLOOKUP(B341,'Base stats'!B:B,'Base stats'!Y:Y)="Omnivore")),"true","false")</f>
        <v>false</v>
      </c>
      <c r="BK341" s="2" t="str">
        <f>IF(BJ341="true",MROUND(IF(AND(AO341&gt;0.5,OR(_xlfn.XLOOKUP(_xlfn.XLOOKUP(B341,'Base stats'!B:B,'Base stats'!E:E),Groups!A:A,Groups!AJ:AJ)="Photonozoa",_xlfn.XLOOKUP(_xlfn.XLOOKUP(B341,'Base stats'!B:B,'Base stats'!E:E),Groups!A:A,Groups!AJ:AJ)="Mammal")),Animals!AO341*1.75*IF(AW341="true",1.5,1),IF(AO341&lt;0.5,Animals!AO341*0.5,Animals!AO341)),IF(AO341&gt;2,0.5,IF(AO341&gt;0.5,0.25,0.1))),"No")</f>
        <v>No</v>
      </c>
      <c r="BL341" s="2">
        <f t="shared" si="38"/>
        <v>0</v>
      </c>
      <c r="BM341" s="25" t="str">
        <f>IF(_xlfn.XLOOKUP(B341,'Base stats'!B:B,'Base stats'!AN:AN)="Standard","No",MROUND((_xlfn.XLOOKUP(B341,'Base stats'!B:B,'Base stats'!AN:AN)/3.6)/I341,0.1))</f>
        <v>No</v>
      </c>
      <c r="BN341" s="25" t="str">
        <f t="shared" si="39"/>
        <v>false</v>
      </c>
      <c r="BO341" s="25" t="str">
        <f>IF(AND(OR(_xlfn.XLOOKUP(B341,'Base stats'!B:B,'Base stats'!Y:Y)="Carnivore",_xlfn.XLOOKUP(B341,'Base stats'!B:B,'Base stats'!Y:Y)="Omnivore",_xlfn.XLOOKUP(B341,'Base stats'!B:B,'Base stats'!Y:Y)="OmnivoreRough"),_xlfn.XLOOKUP(_xlfn.XLOOKUP(B341,'Base stats'!B:B,'Base stats'!E:E),Groups!A:A,Groups!AT:AT)=1),"true","false")</f>
        <v>false</v>
      </c>
      <c r="BP341" s="25" t="str" cm="1">
        <f t="array" ref="BP341">IF(
  _xlfn.TEXTJOIN(", ",TRUE,
    IF(AND(BJ341="true",AO341&gt;0.5,BI341&lt;&gt;"None"),"AttackTarget",""),
    IF(AND(_xlfn.XLOOKUP(_xlfn.XLOOKUP(B341,'Base stats'!B:B,'Base stats'!E:E),Groups!A:A,Groups!AJ:AJ="Mammal"),OR(_xlfn.XLOOKUP(B341,'Base stats'!B:B,'Base stats'!Y:Y)="Omnivore",_xlfn.XLOOKUP(B341,'Base stats'!B:B,'Base stats'!Y:Y)="OmnivoreRough")),"Forage",""),
    IF(BG341&lt;=36,"Comfort",""),
    IF(_xlfn.XLOOKUP(B341,'Base stats'!B:B,'Base stats'!AE:AE)&lt;&gt;"No",_xlfn.XLOOKUP(B341,'Base stats'!B:B,'Base stats'!AE:AE),"")
  ) = "",
  "No",
  _xlfn.TEXTJOIN(", ",TRUE,
    IF(AND(BJ341="true",AO341&gt;0.5,BI341&lt;&gt;"None"),"AttackTarget",""),
    IF(AND(_xlfn.XLOOKUP(_xlfn.XLOOKUP(B341,'Base stats'!B:B,'Base stats'!E:E),Groups!A:A,Groups!AJ:AJ="Mammal"),OR(_xlfn.XLOOKUP(B341,'Base stats'!B:B,'Base stats'!Y:Y)="Omnivore",_xlfn.XLOOKUP(B341,'Base stats'!B:B,'Base stats'!Y:Y)="OmnivoreRough")),"Forage",""),
    IF(BG341&lt;=36,"Comfort",""),
    IF(_xlfn.XLOOKUP(B341,'Base stats'!B:B,'Base stats'!AE:AE)&lt;&gt;"No",_xlfn.XLOOKUP(B341,'Base stats'!B:B,'Base stats'!AE:AE),"")
  )
)</f>
        <v>No</v>
      </c>
      <c r="BQ341" s="25" t="str">
        <f>IF(
   AND(
      'Base stats'!AN341="Standard",_xlfn.XLOOKUP(_xlfn.XLOOKUP(B341,'Base stats'!B:B,'Base stats'!E:E),Groups!A:A,Groups!AU:AU)=0,
      OR(
      BO341="True"
      )
   ),
   10,
   IF(
       OR(BM341&lt;&gt;"No",_xlfn.XLOOKUP(_xlfn.XLOOKUP(B341,'Base stats'!B:B,'Base stats'!E:E),Groups!A:A,Groups!AU:AU)=1),
      1,
      "No"
   )
)</f>
        <v>No</v>
      </c>
      <c r="BR341" s="9">
        <f>MROUND((1 + ((0.2*IF(OR(Q341="No",R341="No",R341=0),0,Q341/R341)
+IF(OR(V341="No",S341="No",T341="No"),0,S341/T341*(LEN(V341)-LEN(SUBSTITUTE(V341,",",""))+1))
+IF(OR(X341="No",Y341="No"),0,X341/Y341)
+IF(OR(AD341="No",AE341="No"),0,AD341/AE341)
+IF(OR(AL341="No",AI341="No",AJ341="No"),0,AI341/AJ341*(LEN(AL341)-LEN(SUBSTITUTE(AL341,",",""))+1))
)/(0.2*IF(OR(Q341="No",R341="No",R341=0),0,1)
+IF(OR(V341="No",S341="No",T341="No"),0,LEN(V341)-LEN(SUBSTITUTE(V341,",",""))+1)
+IF(OR(X341="No",Y341="No"),0,1)
+IF(OR(AD341="No",AE341="No"),0,1)
+IF(OR(AL341="No",AI341="No",AJ341="No"),0,LEN(AL341)-LEN(SUBSTITUTE(AL341,",",""))+1))*62%)* 2)*(1 + (AP341 / (IF(_xlfn.XLOOKUP(_xlfn.XLOOKUP(B341,'Base stats'!B:B,'Base stats'!E:E),Groups!A:A,Groups!AJ:AJ)="Photonozoa",0.3,1)) + _xlfn.XLOOKUP(B341,'Base stats'!B:B,'Base stats'!AV:AV) * 1.8) * 2) * 2.5 + 10 + I341 * 2,5)+IF(_xlfn.XLOOKUP(B341,'Base stats'!B:B,'Base stats'!AK:AK)=1,50,0)</f>
        <v>205</v>
      </c>
      <c r="BS341" s="8">
        <f t="shared" si="40"/>
        <v>1.5</v>
      </c>
      <c r="BT341" s="8" t="str">
        <f>_xlfn.XLOOKUP(B341,'Base stats'!B:B,'Base stats'!AF:AF)</f>
        <v>3~10</v>
      </c>
      <c r="BU341" s="2" t="str">
        <f>IF(AND(J341&lt;=0.95,OR(_xlfn.XLOOKUP(B341,'Base stats'!B:B,'Base stats'!AK:AK)=1,_xlfn.XLOOKUP(B341,'Base stats'!B:B,'Base stats'!Y:Y)="Carnivore",_xlfn.XLOOKUP(B341,'Base stats'!B:B,'Base stats'!Y:Y)="Omnivore",BE341&gt;0.1)),"true","false")</f>
        <v>false</v>
      </c>
      <c r="BV341" s="2" t="str">
        <f>IF(_xlfn.XLOOKUP(B341,'Base stats'!B:B,'Base stats'!AI:AI)=1,"true","false")</f>
        <v>false</v>
      </c>
      <c r="BW341" s="25" t="str">
        <f>IF(E341="BaseInsect","AnimalInsect",
IF(J341&gt;0.95,"AnimalExotic",
_xlfn.TEXTJOIN(", ",TRUE,
IF(OR(_xlfn.XLOOKUP(B341,'Base stats'!B:B,'Base stats'!AM:AM)=1,AND(_xlfn.XLOOKUP(B341,'Base stats'!B:B,'Base stats'!O:O)=0,_xlfn.XLOOKUP(_xlfn.XLOOKUP(B341,'Base stats'!B:B,'Base stats'!E:E),Groups!A:A,Groups!B:B)&gt;0)),"AnimalUncommon","AnimalCommon"),
IF(AND(_xlfn.XLOOKUP(B341,'Base stats'!B:B,'Base stats'!O:O)=2,_xlfn.XLOOKUP(_xlfn.XLOOKUP(B341,'Base stats'!B:B,'Base stats'!E:E),Groups!A:A,Groups!D:D)=0),"AnimalPet",IF(AND(_xlfn.XLOOKUP(B341,'Base stats'!B:B,'Base stats'!O:O)&lt;&gt;0,_xlfn.XLOOKUP(_xlfn.XLOOKUP(B341,'Base stats'!B:B,'Base stats'!E:E),Groups!A:A,Groups!D:D)&lt;&gt;0),"AnimalFarm","")),
IF(OR(_xlfn.XLOOKUP(B341,'Base stats'!B:B,'Base stats'!AK:AK)=1,AND(BI341&lt;&gt;"None",BR341&gt;=60),ISNUMBER(SEARCH("Attack target",BP341))),"AnimalFighter","")
)))</f>
        <v>AnimalCommon</v>
      </c>
      <c r="BX341" s="25" t="str">
        <f>IF(G341="None",TRIM(
SUBSTITUTE(
IF(COUNTIF(Biomes!B$2:B$259,"="&amp;$C341)&gt;0,Biomes!B$1&amp;", ","")&amp;
IF(COUNTIF(Biomes!C$2:C$259,"="&amp;$C341)&gt;0,Biomes!C$1&amp;", ","")&amp;
IF(COUNTIF(Biomes!D$2:D$259,"="&amp;$C341)&gt;0,Biomes!D$1&amp;", ","")&amp;
IF(COUNTIF(Biomes!F$2:F$259,"="&amp;$C341)&gt;0,Biomes!F$1&amp;", ","")&amp;
IF(COUNTIF(Biomes!G$2:G$259,"="&amp;$C341)&gt;0,Biomes!G$1&amp;", ","")&amp;
IF(COUNTIF(Biomes!H$2:H$259,"="&amp;$C341)&gt;0,Biomes!H$1&amp;", ","")&amp;
IF(COUNTIF(Biomes!I$2:I$259,"="&amp;$C341)&gt;0,Biomes!I$1&amp;", ","")&amp;
IF(COUNTIF(Biomes!J$2:J$259,"="&amp;$C341)&gt;0,Biomes!J$1&amp;", ","")&amp;
IF(COUNTIF(Biomes!M$2:M$259,"="&amp;$C341)&gt;0,Biomes!M$1&amp;", ","")&amp;
IF(COUNTIF(Biomes!N$2:N$259,"="&amp;$C341)&gt;0,Biomes!N$1&amp;", ","")&amp;
IF(COUNTIF(Biomes!O$2:O$259,"="&amp;$C341)&gt;0,Biomes!O$1&amp;", ","")&amp;
IF(COUNTIF(Biomes!P$2:P$259,"="&amp;$C341)&gt;0,Biomes!P$1&amp;", ","")&amp;
IF(COUNTIF(Biomes!K$2:K$259,"="&amp;$C341)&gt;0,Biomes!K$1&amp;", ","")&amp;
IF(COUNTIF(Biomes!Q$3:Q$259,"="&amp;$C341)&gt;0,Biomes!Q$1&amp;", ","")&amp;
IF(COUNTIF(Biomes!L$2:L$259,"="&amp;$C341)&gt;0,Biomes!L$1&amp;", ","")&amp;
IF(COUNTIF(Biomes!E$2:E$259,"="&amp;$C341)&gt;0,Biomes!E$1&amp;", ","")&amp;IF(COUNTIF(Biomes!S$2:S$259,"="&amp;$C341)&gt;0,Biomes!S$1&amp;", ","")&amp;
IF(COUNTIF(Biomes!R$2:R$259,"="&amp;$C341)&gt;0,Biomes!R$1&amp;", ",""),", ","")
),_xlfn.XLOOKUP(B341,B:B,BX:BX))</f>
        <v>Glowforest</v>
      </c>
      <c r="BY341" s="25" t="str">
        <f>IF(_xlfn.XLOOKUP(B341,'Base stats'!B:B,'Base stats'!AJ:AJ)=1,"true","false")</f>
        <v>false</v>
      </c>
      <c r="BZ341" s="25">
        <f>IF(_xlfn.XLOOKUP(B341,'Base stats'!B:B,'Base stats'!N:N)=1,"No",MAX(0.001,MIN(MROUND(IF(AND(BJ341="True",CC341="False"),POWER(10,3.47*LOG10(_xlfn.XLOOKUP(B341,'Base stats'!B:B,'Base stats'!C:C)*1000)^-0.96),POWER(10,4.15*LOG10(_xlfn.XLOOKUP(B341,'Base stats'!B:B,'Base stats'!C:C)*1000)^-0.73))*IF(_xlfn.XLOOKUP(B341,'Base stats'!B:B,'Base stats'!AK:AK)=1,0.5,1)*IF(_xlfn.XLOOKUP(B341,'Base stats'!B:B,'Base stats'!AM:AM)=1,0.1,1)/100,IF(_xlfn.XLOOKUP(B341,'Base stats'!B:B,'Base stats'!AM:AM)=1,0.001,0.025)),0.5)))</f>
        <v>0.15000000000000002</v>
      </c>
      <c r="CA341" s="25" t="str">
        <f>IF(P341="Standard","No",MAX(0.001,MIN(MROUND(IF(AND(BJ341="True",CC341="False"),POWER(10,3.47*LOG10(_xlfn.XLOOKUP(B341,'Base stats'!B:B,'Base stats'!C:C)*1000)^-0.96),POWER(10,4.15*LOG10(_xlfn.XLOOKUP(B341,'Base stats'!B:B,'Base stats'!C:C)*1000)^-0.73))*IF(_xlfn.XLOOKUP(B341,'Base stats'!B:B,'Base stats'!AM:AM)=1,0.1,1)*_xlfn.XLOOKUP(B341,'Base stats'!B:B,'Base stats'!R:R)/100,IF(_xlfn.XLOOKUP(B341,'Base stats'!B:B,'Base stats'!AM:AM)=1,0.001,0.025)),0.5)))</f>
        <v>No</v>
      </c>
      <c r="CB341" s="25" t="str">
        <f>IF(_xlfn.XLOOKUP(_xlfn.XLOOKUP(B341,'Base stats'!B:B,'Base stats'!E:E),Groups!A:A,Groups!AJ:AJ)="Mammal","True","False")</f>
        <v>True</v>
      </c>
      <c r="CC341" s="25" t="str">
        <f>IF(OR(_xlfn.XLOOKUP(_xlfn.XLOOKUP(B341,'Base stats'!B:B,'Base stats'!E:E),Groups!A:A,Groups!AJ:AJ)="Reptile",_xlfn.XLOOKUP(_xlfn.XLOOKUP(B341,'Base stats'!B:B,'Base stats'!E:E),Groups!A:A,Groups!AJ:AJ)="Amphibian",_xlfn.XLOOKUP(_xlfn.XLOOKUP(B341,'Base stats'!B:B,'Base stats'!E:E),Groups!A:A,Groups!AJ:AJ)="Invertebrate"),"True","False")</f>
        <v>False</v>
      </c>
      <c r="CD341" s="25" t="str">
        <f t="shared" si="41"/>
        <v>False</v>
      </c>
      <c r="CE341" s="25" t="str">
        <f>IF(_xlfn.XLOOKUP(_xlfn.XLOOKUP(B341,'Base stats'!B:B,'Base stats'!E:E),Groups!A:A,Groups!AX:AX),"True","False")</f>
        <v>False</v>
      </c>
      <c r="CF341" s="25" t="str">
        <f>IF(_xlfn.XLOOKUP(_xlfn.XLOOKUP(B341,'Base stats'!B:B,'Base stats'!E:E),Groups!A:A,Groups!AY:AY),"True","False")</f>
        <v>False</v>
      </c>
      <c r="CG341" s="25" t="str">
        <f>IF(_xlfn.XLOOKUP(_xlfn.XLOOKUP(B341,'Base stats'!B:B,'Base stats'!E:E),Groups!A:A,Groups!AW:AW),"True","False")</f>
        <v>False</v>
      </c>
      <c r="CH341" s="25" t="str">
        <f>IF(
OR(
_xlfn.XLOOKUP(_xlfn.XLOOKUP(B341,'Base stats'!B:B,'Base stats'!E:E),Groups!A:A,Groups!AZ:AZ)=0,
AND(
_xlfn.XLOOKUP(B341,'Base stats'!B:B,'Base stats'!Y:Y)&lt;&gt;"Carnivore",
_xlfn.XLOOKUP(B341,'Base stats'!B:B,'Base stats'!Y:Y)&lt;&gt;"Omnivore",
_xlfn.XLOOKUP(B341,'Base stats'!B:B,'Base stats'!Y:Y)&lt;&gt;"OmnivoreRough"
)
),
"No",
IF(
_xlfn.XLOOKUP(_xlfn.XLOOKUP(B341,'Base stats'!B:B,'Base stats'!E:E),Groups!A:A,Groups!AZ:AZ)=1,
"Flesh",
IF(
_xlfn.XLOOKUP(_xlfn.XLOOKUP(B341,'Base stats'!B:B,'Base stats'!E:E),Groups!A:A,Groups!AZ:AZ)=2,
"Bone",
""
)
)
)</f>
        <v>No</v>
      </c>
      <c r="CI341" s="25" t="str">
        <f>IF(_xlfn.XLOOKUP(_xlfn.XLOOKUP(B341,'Base stats'!B:B,'Base stats'!E:E),Groups!A:A,Groups!BB:BB),"True","False")</f>
        <v>True</v>
      </c>
      <c r="CJ341" s="25" t="str">
        <f>IF(_xlfn.XLOOKUP(_xlfn.XLOOKUP(B341,'Base stats'!B:B,'Base stats'!E:E),Groups!A:A,Groups!BA:BA),"True","False")</f>
        <v>False</v>
      </c>
    </row>
    <row r="342" spans="1:88" ht="16.5" thickTop="1" thickBot="1" x14ac:dyDescent="0.3">
      <c r="A342" s="26" t="s">
        <v>1596</v>
      </c>
      <c r="B342" s="6" t="str">
        <f>_xlfn.XLOOKUP(A342,'Base stats'!A:A,'Base stats'!B:B)</f>
        <v>Oculus immortalis</v>
      </c>
      <c r="C342" s="28" t="s">
        <v>1597</v>
      </c>
      <c r="D342" s="28" t="s">
        <v>1341</v>
      </c>
      <c r="E342" s="28" t="s">
        <v>673</v>
      </c>
      <c r="F342" s="28" t="s">
        <v>673</v>
      </c>
      <c r="G342" s="28" t="s">
        <v>673</v>
      </c>
      <c r="H342" s="2">
        <f>MROUND((
  (IF(AND(_xlfn.XLOOKUP(B342,'Base stats'!B:B,'Base stats'!AL:AL)=0,BI342="None",_xlfn.XLOOKUP(_xlfn.XLOOKUP(B342,'Base stats'!B:B,'Base stats'!E:E),Groups!A:A,Groups!B:B)=0), (18 + BR342 * 2.7) * 0.5,
    IF(AND(_xlfn.XLOOKUP(B342,'Base stats'!B:B,'Base stats'!AL:AL)=0,OR(AO342&lt;0.55,AND(BI342="Intermediate",_xlfn.XLOOKUP(_xlfn.XLOOKUP(B342,'Base stats'!B:B,'Base stats'!E:E),Groups!A:A,Groups!B:B)&lt;2))), (18 + BR342 * 2.7),
      IF(OR(BI342="Advanced",_xlfn.XLOOKUP(B342,'Base stats'!B:B,'Base stats'!AL:AL)=1,_xlfn.XLOOKUP(_xlfn.XLOOKUP(B342,'Base stats'!B:B,'Base stats'!E:E),Groups!A:A,Groups!B:B)=2), (18 + BR342 * 2.7) + 250, (18 + BR342 * 2.7))
    )
  ))
  + AO342 * 80
  + IF(COUNTIF(EggMilk!K$2:K$998, A342) &gt; 0, 125, 0)
  + IF(COUNTIF(EggMilk!P$2:P$998, A342) &gt; 0, 90, 0)
  + IF(COUNTIF(EggMilk!A$2:A$998, A342) &gt; 0, 90, 0)
)
* (0.8 + 0.4 * J342)
* 0.75,25)</f>
        <v>1550</v>
      </c>
      <c r="I342" s="2">
        <f>MROUND(ROUNDDOWN(_xlfn.XLOOKUP(B342,'Base stats'!B:B,'Base stats'!L:L)/3.6/(23.3/11),1),0.5)</f>
        <v>1.5</v>
      </c>
      <c r="J342" s="2">
        <f>IF(OR(_xlfn.XLOOKUP(B342,'Base stats'!B:B,'Base stats'!AB:AB)=1,_xlfn.XLOOKUP(_xlfn.XLOOKUP(B342,'Base stats'!B:B,'Base stats'!E:E),Groups!A:A,Groups!C:C)="Untamable"),1,IF(_xlfn.XLOOKUP(B342,'Base stats'!B:B,'Base stats'!AL:AL)=1,0.99,MIN(MROUND((1-0.6282*EXP(-0.459*AO342))*_xlfn.XLOOKUP(_xlfn.XLOOKUP(B342,'Base stats'!B:B,'Base stats'!E:E),Groups!A:A,Groups!C:C)*IF(_xlfn.XLOOKUP(B342,'Base stats'!B:B,'Base stats'!O:O)=1,0.5,IF(_xlfn.XLOOKUP(B342,'Base stats'!B:B,'Base stats'!O:O)=2,0,1)),0.05),IF(AO342&gt;3.5,0.985,0.95))))</f>
        <v>0.95000000000000007</v>
      </c>
      <c r="K342" s="2">
        <f>ROUNDUP(AO342*_xlfn.XLOOKUP(_xlfn.XLOOKUP(B342,'Base stats'!B:B,'Base stats'!E:E),Groups!A:A,Groups!E:E),0)</f>
        <v>7</v>
      </c>
      <c r="L342" s="2">
        <f>IF(OR(_xlfn.XLOOKUP(_xlfn.XLOOKUP(B342,'Base stats'!B:B,'Base stats'!E:E),Groups!A:A,Groups!F:F)=2,ISNUMBER(SEARCH("SeaIce",BX342)),ISNUMBER(SEARCH("IceSheet",BX342))),-50,IF(OR(ISNUMBER(SEARCH("GlacialPlain",BX342)),ISNUMBER(SEARCH("Tundra",BX342))),-40,IF(OR(ISNUMBER(SEARCH("Alpine",BX342)),ISNUMBER(SEARCH("BorealForest",BX342)),ISNUMBER(SEARCH("ColdBog",BX342))),-30,IF(OR(ISNUMBER(SEARCH("TemperateForest",BX342)),ISNUMBER(SEARCH("TemperateSwamp",BX342))),-20,IF(_xlfn.XLOOKUP(_xlfn.XLOOKUP(B342,'Base stats'!B:B,'Base stats'!E:E),Groups!A:A,Groups!F:F)=1,-15,IF(OR(ISNUMBER(SEARCH("Desert",BX342)),ISNUMBER(SEARCH("ExtremeDesert",BX342))),-10,IF(OR(ISNUMBER(SEARCH("Grasslands",BX342)),ISNUMBER(SEARCH("TropicalRainforest",BX342)),ISNUMBER(SEARCH("TropicalSwamp",BX342))),10,0)))))))-IF(CC342="False",MIN(IFERROR(MAX(MROUND(LOG10(_xlfn.XLOOKUP(B342,'Base stats'!B:B,'Base stats'!C:C)^(2/3))*10,5),5),5),30))-_xlfn.XLOOKUP(B342,'Base stats'!B:B,'Base stats'!P:P)+IF(CC342="True",5,0)</f>
        <v>5</v>
      </c>
      <c r="M342" s="2">
        <f>IF(OR(_xlfn.XLOOKUP(_xlfn.XLOOKUP(B342,'Base stats'!B:B,'Base stats'!E:E),Groups!A:A,Groups!G:G)=2,ISNUMBER(SEARCH("Desert",BX342)),ISNUMBER(SEARCH("ExtremeDesert",BX342)),ISNUMBER(SEARCH("LavaField",BX342))),50,IF(ISNUMBER(SEARCH("Grasslands",BX342)),45,IF(OR(_xlfn.XLOOKUP(_xlfn.XLOOKUP(B342,'Base stats'!B:B,'Base stats'!E:E),Groups!A:A,Groups!G:G)=1,ISNUMBER(SEARCH("TropicalRainforest",BX342)),ISNUMBER(SEARCH("TropicalSwamp",BX342))),40,IF(OR(ISNUMBER(SEARCH("TemperateForest",BX342)),ISNUMBER(SEARCH("TemperateSwamp",BX342))),35,IF(OR(ISNUMBER(SEARCH("Alpine",BX342)),ISNUMBER(SEARCH("BorealForest",BX342)),ISNUMBER(SEARCH("ColdBog",BX342))),30,IF(ISNUMBER(OR(ISNUMBER(SEARCH("GlacialPlain",BX342)),SEARCH("Tundra",BX342))),25,IF(OR(ISNUMBER(SEARCH("SeaIce",BX342)),ISNUMBER(SEARCH("IceSheet",BX342)),ISNUMBER(SEARCH("TropicalSwamp",BX342))),10,35)))))))+_xlfn.XLOOKUP(B342,'Base stats'!B:B,'Base stats'!Q:Q)</f>
        <v>35</v>
      </c>
      <c r="N342" s="8" t="str">
        <f>IF(
_xlfn.XLOOKUP(
_xlfn.XLOOKUP(B342,'Base stats'!B:B,'Base stats'!E:E),
Groups!A:A,
Groups!L:L
)=1,
MIN(
MROUND(
IF(
_xlfn.XLOOKUP(B342,'Animals CE'!B:B,'Animals CE'!Z:Z)&lt;=1.5,
_xlfn.XLOOKUP(B342,'Animals CE'!B:B,'Animals CE'!Z:Z)/2+0.05,
0.8+
(_xlfn.XLOOKUP(B342,'Animals CE'!B:B,'Animals CE'!Z:Z)-1.5)
*0.02
),
0.05
),
200%
),
"No"
)</f>
        <v>No</v>
      </c>
      <c r="O342" s="8" t="str">
        <f>IF(
_xlfn.XLOOKUP(
_xlfn.XLOOKUP(B342,'Base stats'!B:B,'Base stats'!E:E),
Groups!A:A,
Groups!L:L
)=1,
MIN(
MROUND(
IF(
_xlfn.XLOOKUP(B342,'Animals CE'!B:B,'Animals CE'!AA:AA)&lt;=1.5,
_xlfn.XLOOKUP(B342,'Animals CE'!B:B,'Animals CE'!AA:AA)/2+0.05,
0.8+
(_xlfn.XLOOKUP(B342,'Animals CE'!B:B,'Animals CE'!AA:AA)-1.5)
*0.02
),
0.05
),
200%
),
"No"
)</f>
        <v>No</v>
      </c>
      <c r="P342" s="2" t="str">
        <f>_xlfn.XLOOKUP(B342,'Base stats'!B:B,'Base stats'!R:R)</f>
        <v>Standard</v>
      </c>
      <c r="Q342" s="13">
        <f>MROUND((LOG10(_xlfn.XLOOKUP(B342,'Base stats'!B:B,'Base stats'!AR:AR))*(AO342^0.5)+(_xlfn.XLOOKUP(B342,'Base stats'!B:B,'Base stats'!AR:AR)/1000)^(2/3)+_xlfn.XLOOKUP(B342,'Base stats'!B:B,'Base stats'!BA:BA)/2)+0.5,0.5)</f>
        <v>50</v>
      </c>
      <c r="R342" s="7">
        <f>IF(Q342="No","No",MAX(1,MROUND(_xlfn.XLOOKUP(B342,'Base stats'!B:B,'Base stats'!C:C)^0.165,0.05)))</f>
        <v>4.55</v>
      </c>
      <c r="S342" s="13" t="str">
        <f>IF(_xlfn.XLOOKUP(_xlfn.XLOOKUP(B342,'Base stats'!B:B,'Base stats'!E:E),Groups!A:A,Groups!P:P)=0,"No",MROUND((LOG10(_xlfn.XLOOKUP(B342,'Base stats'!B:B,'Base stats'!AS:AS))*(AO342^0.5)+(_xlfn.XLOOKUP(B342,'Base stats'!B:B,'Base stats'!AS:AS)/1000)^(2/3)+_xlfn.XLOOKUP(B342,'Base stats'!B:B,'Base stats'!BA:BA))+_xlfn.XLOOKUP(B342,'Base stats'!B:B,'Base stats'!AY:AY)+0.5,0.5))</f>
        <v>No</v>
      </c>
      <c r="T342" s="7" t="str">
        <f>IF(S342="No","No",MAX(_xlfn.XLOOKUP(_xlfn.XLOOKUP(B342,'Base stats'!B:B,'Base stats'!E:E),Groups!A:A,Groups!Q:Q),MROUND(_xlfn.XLOOKUP(_xlfn.XLOOKUP(B342,'Base stats'!B:B,'Base stats'!E:E),Groups!A:A,Groups!Q:Q)*_xlfn.XLOOKUP(B342,'Base stats'!B:B,'Base stats'!C:C)^0.165,0.05)))</f>
        <v>No</v>
      </c>
      <c r="U342" s="7" t="str">
        <f>IF(S342="No","No",_xlfn.XLOOKUP(_xlfn.XLOOKUP(B342,'Base stats'!B:B,'Base stats'!E:E),Groups!A:A,Groups!R:R))</f>
        <v>No</v>
      </c>
      <c r="V342" s="7" t="str">
        <f>IF(S342="No","No",_xlfn.XLOOKUP(_xlfn.XLOOKUP(B342,'Base stats'!B:B,'Base stats'!E:E),Groups!A:A,Groups!S:S))</f>
        <v>No</v>
      </c>
      <c r="W342" s="7" t="str">
        <f>IF(S342="No","No",_xlfn.XLOOKUP(_xlfn.XLOOKUP(B342,'Base stats'!B:B,'Base stats'!E:E),Groups!A:A,Groups!T:T))</f>
        <v>No</v>
      </c>
      <c r="X342" s="13">
        <f>IF(_xlfn.XLOOKUP(B342,'Base stats'!B:B,'Base stats'!W:W)="No","No",MROUND((LOG10(_xlfn.XLOOKUP(B342,'Base stats'!B:B,'Base stats'!AU:AU))*(AO342^0.5)+(_xlfn.XLOOKUP(B342,'Base stats'!B:B,'Base stats'!AU:AU)/1000)^(2/3)+_xlfn.XLOOKUP(B342,'Base stats'!B:B,'Base stats'!AZ:AZ))+0.5+IF(_xlfn.XLOOKUP(_xlfn.XLOOKUP(B342,'Base stats'!B:B,'Base stats'!E:E),Groups!A:A,Groups!U:U)&lt;&gt;3,_xlfn.XLOOKUP(B342,'Base stats'!B:B,'Base stats'!BA:BA),0),0.5))</f>
        <v>37.5</v>
      </c>
      <c r="Y342" s="7">
        <f>IF(X342="No","No",MAX(_xlfn.XLOOKUP(_xlfn.XLOOKUP(B342,'Base stats'!B:B,'Base stats'!E:E),Groups!A:A,Groups!V:V),MROUND(_xlfn.XLOOKUP(_xlfn.XLOOKUP(B342,'Base stats'!B:B,'Base stats'!E:E),Groups!A:A,Groups!V:V)*_xlfn.XLOOKUP(B342,'Base stats'!B:B,'Base stats'!C:C)^0.165,0.05)))</f>
        <v>5.95</v>
      </c>
      <c r="Z342" s="7" t="str">
        <f>IF(X342="No","No",_xlfn.XLOOKUP(_xlfn.XLOOKUP(B342,'Base stats'!B:B,'Base stats'!E:E),Groups!A:A,Groups!W:W))</f>
        <v>HeadAttackTool</v>
      </c>
      <c r="AA342" s="7" t="str">
        <f>IF(X342="No","No",_xlfn.XLOOKUP(_xlfn.XLOOKUP(B342,'Base stats'!B:B,'Base stats'!E:E),Groups!A:A,Groups!X:X))</f>
        <v>eye</v>
      </c>
      <c r="AB342" s="7" t="str">
        <f>IF(X342="No","No",_xlfn.XLOOKUP(_xlfn.XLOOKUP(B342,'Base stats'!B:B,'Base stats'!E:E),Groups!A:A,Groups!Y:Y))</f>
        <v>Sting</v>
      </c>
      <c r="AC342" s="7" t="str">
        <f>_xlfn.XLOOKUP(Animals!B342,'Base stats'!B:B,'Base stats'!X:X)</f>
        <v>False</v>
      </c>
      <c r="AD342" s="13" t="str">
        <f>IF(_xlfn.XLOOKUP(B342,'Base stats'!B:B,'Base stats'!AT:AT)="No","No",MROUND((LOG10(_xlfn.XLOOKUP(B342,'Base stats'!B:B,'Base stats'!AT:AT))*(AO342^0.75)+(_xlfn.XLOOKUP(B342,'Base stats'!B:B,'Base stats'!AT:AT)/1000)^(2/3)+_xlfn.XLOOKUP(B342,'Base stats'!B:B,'Base stats'!AX:AX)+_xlfn.XLOOKUP(B342,'Base stats'!B:B,'Base stats'!BA:BA))+0.5,0.5))</f>
        <v>No</v>
      </c>
      <c r="AE342" s="7" t="str">
        <f>IF(AD342="No","No",MAX(_xlfn.XLOOKUP(_xlfn.XLOOKUP(B342,'Base stats'!B:B,'Base stats'!E:E),Groups!A:A,Groups!Z:Z),MROUND(_xlfn.XLOOKUP(_xlfn.XLOOKUP(B342,'Base stats'!B:B,'Base stats'!E:E),Groups!A:A,Groups!Z:Z)*_xlfn.XLOOKUP(B342,'Base stats'!B:B,'Base stats'!C:C)^0.165,0.05)))</f>
        <v>No</v>
      </c>
      <c r="AF342" s="7" t="str">
        <f>IF(AD342="No","No",_xlfn.XLOOKUP(_xlfn.XLOOKUP(B342,'Base stats'!B:B,'Base stats'!E:E),Groups!A:A,Groups!AA:AA))</f>
        <v>No</v>
      </c>
      <c r="AG342" s="7" t="str">
        <f>IF(AD342="No","No",_xlfn.XLOOKUP(_xlfn.XLOOKUP(B342,'Base stats'!B:B,'Base stats'!E:E),Groups!A:A,Groups!AB:AB))</f>
        <v>No</v>
      </c>
      <c r="AH342" s="7" t="str">
        <f>IF(AD342="No","No",_xlfn.XLOOKUP(_xlfn.XLOOKUP(B342,'Base stats'!B:B,'Base stats'!E:E),Groups!A:A,Groups!AC:AC))</f>
        <v>No</v>
      </c>
      <c r="AI342" s="13" t="str">
        <f>IF(_xlfn.XLOOKUP(_xlfn.XLOOKUP(B342,'Base stats'!B:B,'Base stats'!E:E),Groups!A:A,Groups!AD:AD)=0,"No",MROUND((LOG10(_xlfn.XLOOKUP(B342,'Base stats'!B:B,'Base stats'!AS:AS))*(AO342^0.75)+(_xlfn.XLOOKUP(B342,'Base stats'!B:B,'Base stats'!AS:AS)/1000)^(2/3)+_xlfn.XLOOKUP(B342,'Base stats'!B:B,'Base stats'!AY:AY)+_xlfn.XLOOKUP(B342,'Base stats'!B:B,'Base stats'!BA:BA))+0.5,0.5))</f>
        <v>No</v>
      </c>
      <c r="AJ342" s="7" t="str">
        <f>IF(AI342="No","No",MAX(_xlfn.XLOOKUP(_xlfn.XLOOKUP(B342,'Base stats'!B:B,'Base stats'!E:E),Groups!A:A,Groups!AE:AE),MROUND(_xlfn.XLOOKUP(_xlfn.XLOOKUP(B342,'Base stats'!B:B,'Base stats'!E:E),Groups!A:A,Groups!AE:AE)*IF(_xlfn.XLOOKUP(_xlfn.XLOOKUP(B342,'Base stats'!B:B,'Base stats'!E:E),Groups!A:A,Groups!AJ:AJ)="Photonozoa",0.6,1)*_xlfn.XLOOKUP(B342,'Base stats'!B:B,'Base stats'!C:C)^0.165,0.05)))</f>
        <v>No</v>
      </c>
      <c r="AK342" s="7" t="str">
        <f>IF(AI342="No","No",_xlfn.XLOOKUP(_xlfn.XLOOKUP(B342,'Base stats'!B:B,'Base stats'!E:E),Groups!A:A,Groups!AF:AF))</f>
        <v>No</v>
      </c>
      <c r="AL342" s="7" t="str">
        <f>IF(AI342="No","No",_xlfn.XLOOKUP(_xlfn.XLOOKUP(B342,'Base stats'!B:B,'Base stats'!E:E),Groups!A:A,Groups!AG:AG))</f>
        <v>No</v>
      </c>
      <c r="AM342" s="7" t="str">
        <f>IF(AI342="No","No",_xlfn.XLOOKUP(_xlfn.XLOOKUP(B342,'Base stats'!B:B,'Base stats'!E:E),Groups!A:A,Groups!AH:AH))</f>
        <v>No</v>
      </c>
      <c r="AN342" s="2" t="str">
        <f t="shared" si="35"/>
        <v>No</v>
      </c>
      <c r="AO342" s="2">
        <f>MROUND(IF(AND(_xlfn.XLOOKUP(B342,'Base stats'!B:B,'Base stats'!C:C)&gt;=0.5,_xlfn.XLOOKUP(B342,'Base stats'!B:B,'Base stats'!C:C)&lt;=0.8),
IF(_xlfn.XLOOKUP(B342,'Base stats'!B:B,'Base stats'!C:C)&lt;0.1,0.05,IF(_xlfn.XLOOKUP(B342,'Base stats'!B:B,'Base stats'!C:C)&lt;=70,(_xlfn.XLOOKUP(B342,'Base stats'!B:B,'Base stats'!C:C)/70)^0.426489913056526,IF(_xlfn.XLOOKUP(B342,'Base stats'!B:B,'Base stats'!C:C)&lt;=400,(_xlfn.XLOOKUP(B342,'Base stats'!B:B,'Base stats'!C:C)/70)^0.572811455315093,IF(_xlfn.XLOOKUP(B342,'Base stats'!B:B,'Base stats'!C:C)&lt;=2000,2.71391647193063*(_xlfn.XLOOKUP(B342,'Base stats'!B:B,'Base stats'!C:C)/400)^0.252459582904293,3.74314280240376*(_xlfn.XLOOKUP(B342,'Base stats'!B:B,'Base stats'!C:C)/2000)^0.357012633876913)))),
IF(_xlfn.XLOOKUP(B342,'Base stats'!B:B,'Base stats'!C:C)&lt;0.1,0.05,IF(_xlfn.XLOOKUP(B342,'Base stats'!B:B,'Base stats'!C:C)&lt;0.4,0.1,IF(_xlfn.XLOOKUP(B342,'Base stats'!B:B,'Base stats'!C:C)&lt;=70,(_xlfn.XLOOKUP(B342,'Base stats'!B:B,'Base stats'!C:C)/70)^0.445823913056526,IF(_xlfn.XLOOKUP(B342,'Base stats'!B:B,'Base stats'!C:C)&lt;=400,(_xlfn.XLOOKUP(B342,'Base stats'!B:B,'Base stats'!C:C)/70)^0.572811455315093,IF(_xlfn.XLOOKUP(B342,'Base stats'!B:B,'Base stats'!C:C)&lt;=2000,2.71391647193063*(_xlfn.XLOOKUP(B342,'Base stats'!B:B,'Base stats'!C:C)/400)^0.252459582904293,3.74314280240376*(_xlfn.XLOOKUP(B342,'Base stats'!B:B,'Base stats'!C:C)/2000)^0.357012633876913)))))),
IF(_xlfn.XLOOKUP(B342,'Base stats'!B:B,'Base stats'!C:C)&lt;0.1,0.05,IF(_xlfn.XLOOKUP(B342,'Base stats'!B:B,'Base stats'!C:C)&lt;=100,0.05,IF(_xlfn.XLOOKUP(B342,'Base stats'!B:B,'Base stats'!C:C)&lt;=250,0.1,IF(_xlfn.XLOOKUP(B342,'Base stats'!B:B,'Base stats'!C:C)&lt;=4000,0.25,0.5)))))</f>
        <v>6.5</v>
      </c>
      <c r="AP342" s="8">
        <f>MROUND(AO342*_xlfn.XLOOKUP(_xlfn.XLOOKUP(B342,'Base stats'!B:B,'Base stats'!E:E),Groups!A:A,Groups!AI:AI)*_xlfn.XLOOKUP(B342,'Base stats'!B:B,'Base stats'!Z:Z),0.05)</f>
        <v>6.5</v>
      </c>
      <c r="AQ342" s="8">
        <f>MAX(0.01,MROUND(IF(CC342="True",0.196*(AO342*100*1000)^0.889,IF(_xlfn.XLOOKUP(_xlfn.XLOOKUP(B342,'Base stats'!B:B,'Base stats'!E:E),Groups!A:A,Groups!AJ:AJ)="Bird",10.5*(AO342*100*1000)^0.681,4.82*(AO342*100*1000)^0.734))/(4.82*(1*100*1000)^0.734)/IF(AO342&lt;3.5,2,IF(AO342=3.5,1.5,1.25))*(1+0.132282374779864/(AO342^0.994035016789033+0.00905238001496948)),0.05))</f>
        <v>1.05</v>
      </c>
      <c r="AR342" s="9">
        <f>IFERROR(MROUND(_xlfn.XLOOKUP(B342,'Base stats'!B:B,'Base stats'!H:H)/IF(_xlfn.XLOOKUP(B342,'Base stats'!B:B,'Base stats'!I:I)&lt;&gt;1,(122.5/70),1.2),IF(_xlfn.XLOOKUP(B342,'Base stats'!B:B,'Base stats'!H:H)&gt;=30,5,IF(_xlfn.XLOOKUP(B342,'Base stats'!B:B,'Base stats'!H:H)&gt;=15,3,IF(_xlfn.XLOOKUP(B342,'Base stats'!B:B,'Base stats'!H:H)&gt;=10,2,1)))),"Immortal")</f>
        <v>250</v>
      </c>
      <c r="AS342" s="35" t="str">
        <f>IFERROR(IF(OR(_xlfn.XLOOKUP(B342,'Base stats'!B:B,'Base stats'!F:F)="Atypical reproduction",_xlfn.XLOOKUP(B342,'Base stats'!B:B,'Base stats'!F:F)="Lay eggs"),"Lay eggs",MIN(20,MAX(5.5,ROUND(((_xlfn.XLOOKUP(B342,'Base stats'!B:B,'Base stats'!F:F)-25)*(14.5/615) + 5.5)*2,0)/2))),"Unknown")</f>
        <v>Lay eggs</v>
      </c>
      <c r="AT342" s="8" t="str">
        <f>IF(_xlfn.XLOOKUP(B342,'Base stats'!B:B,'Base stats'!G:G)="Atypical reproduction","No",IFERROR(MAX(IF(_xlfn.XLOOKUP(B342,'Base stats'!B:B,'Base stats'!G:G)&lt;0.5,0.2,0.3),MROUND(_xlfn.XLOOKUP(B342,'Base stats'!B:B,'Base stats'!G:G)/(365/60),0.2)),"Unknown"))</f>
        <v>No</v>
      </c>
      <c r="AU342" s="8" t="str">
        <f t="shared" si="36"/>
        <v>No</v>
      </c>
      <c r="AV342" s="8" t="str">
        <f>IFERROR(IFERROR(MROUND(_xlfn.XLOOKUP(B342,'Base stats'!B:B,'Base stats'!J:J),0.1),"Lay eggs"),"Cannot breed")</f>
        <v>Lay eggs</v>
      </c>
      <c r="AW342" s="2" t="str">
        <f t="shared" si="37"/>
        <v>false</v>
      </c>
      <c r="AX342" s="2" t="str">
        <f>IF(_xlfn.XLOOKUP(_xlfn.XLOOKUP(Animals!B342,'Base stats'!B:B,'Base stats'!E:E),Groups!A:A,Groups!AK:AK)=1,"true","false")</f>
        <v>false</v>
      </c>
      <c r="AY342" s="25" t="str">
        <f>IF(_xlfn.XLOOKUP(B342,'Base stats'!B:B,'Base stats'!Y:Y)="Liquor","Liquor, CarnivoreAnimalStrict",IF(AND(_xlfn.XLOOKUP(B342,'Base stats'!B:B,'Base stats'!Y:Y)="Carnivore",_xlfn.XLOOKUP(_xlfn.XLOOKUP(B342,'Base stats'!B:B,'Base stats'!E:E),Groups!A:A,Groups!AJ:AJ)="Photonozoa"),"CarnivoreAnimalStrict, OvivoreAnimal",IF(_xlfn.XLOOKUP(B342,'Base stats'!B:B,'Base stats'!Y:Y)="Carnivore","CarnivoreAnimal, OvivoreAnimal",IF(_xlfn.XLOOKUP(B342,'Base stats'!B:B,'Base stats'!Y:Y)="Dendrovore","VegetarianRoughAnimal, DendrovoreAnimal",IF(_xlfn.XLOOKUP(B342,'Base stats'!B:B,'Base stats'!Y:Y)="Herbivore","VegetarianRoughAnimal",IF(_xlfn.XLOOKUP(B342,'Base stats'!B:B,'Base stats'!Y:Y)="OmnivoreRough","OmnivoreRoughAnimal, OvivoreAnimal","OmnivoreAnimal, OvivoreAnimal"))))))</f>
        <v>OmnivoreAnimal, OvivoreAnimal</v>
      </c>
      <c r="AZ342" s="2" t="str">
        <f>IF(_xlfn.XLOOKUP(_xlfn.XLOOKUP(B342,'Base stats'!B:B,'Base stats'!E:E),Groups!A:A,Groups!D:D)=1,MROUND((1-J342)*5+1,2)*IF(J342&lt;=0.4,2,1),"No")</f>
        <v>No</v>
      </c>
      <c r="BA342" s="2" t="str">
        <f>IF(AND(_xlfn.XLOOKUP(B342,'Base stats'!B:B,'Base stats'!AH:AH)="&lt;li&gt;Seal&lt;/li&gt;",G342="Odyssey"),"&lt;li&gt;AEXP_Seal&lt;/li&gt;",_xlfn.XLOOKUP(B342,'Base stats'!B:B,'Base stats'!AH:AH))</f>
        <v>&lt;li&gt;Pig&lt;/li&gt;</v>
      </c>
      <c r="BB342" s="2" t="str">
        <f>_xlfn.XLOOKUP(B342,'Base stats'!B:B,'Base stats'!AG:AG)</f>
        <v>Leather_Chitin</v>
      </c>
      <c r="BC342" s="23" t="str">
        <f>_xlfn.XLOOKUP(_xlfn.XLOOKUP(B342,'Base stats'!B:B,'Base stats'!E:E),Groups!A:A,Groups!AL:AL)</f>
        <v>AA_EyeBody</v>
      </c>
      <c r="BD342" s="23">
        <f>MIN(1,MROUND(IF(AND(AO342&lt;0.5,_xlfn.XLOOKUP(B342,'Base stats'!B:B,'Base stats'!AA:AA)=0),0,IF(OR(_xlfn.XLOOKUP(Animals!B342,'Base stats'!B:B,'Base stats'!O:O)=2,_xlfn.XLOOKUP(_xlfn.XLOOKUP(B342,'Base stats'!B:B,'Base stats'!E:E),Groups!A:A,Groups!AN:AN)=0),0,_xlfn.XLOOKUP(_xlfn.XLOOKUP(B342,'Base stats'!B:B,'Base stats'!E:E),Groups!A:A,Groups!AN:AN)/IF(_xlfn.XLOOKUP(Animals!B342,'Base stats'!B:B,'Base stats'!O:O)=1,2,1)))+_xlfn.XLOOKUP(B342,'Base stats'!B:B,'Base stats'!AC:AC),0.005))</f>
        <v>0</v>
      </c>
      <c r="BE342" s="23">
        <f>MIN(1,MROUND(IF(AND(AO342&lt;0.5,_xlfn.XLOOKUP(B342,'Base stats'!B:B,'Base stats'!AA:AA)=0),0,IF(_xlfn.XLOOKUP(_xlfn.XLOOKUP(B342,'Base stats'!B:B,'Base stats'!E:E),Groups!A:A,Groups!AO:AO)=0,0,_xlfn.XLOOKUP(_xlfn.XLOOKUP(B342,'Base stats'!B:B,'Base stats'!E:E),Groups!A:A,Groups!AO:AO)/IF(_xlfn.XLOOKUP(Animals!B342,'Base stats'!B:B,'Base stats'!O:O)=2,3,1)))+_xlfn.XLOOKUP(B342,'Base stats'!B:B,'Base stats'!AD:AD),0.005))</f>
        <v>0</v>
      </c>
      <c r="BF342" s="2" t="str">
        <f>IF(J342&gt;0.3,"No",_xlfn.XLOOKUP(_xlfn.XLOOKUP(Animals!B342,'Base stats'!B:B,'Base stats'!E:E),Groups!A:A,Groups!AP:AP))</f>
        <v>No</v>
      </c>
      <c r="BG342" s="2" t="str">
        <f>IF(AND(J342&lt;=0.65,_xlfn.XLOOKUP(_xlfn.XLOOKUP(Animals!B342,'Base stats'!B:B,'Base stats'!E:E),Groups!A:A,Groups!AP:AP)&lt;&gt;"No",_xlfn.XLOOKUP(_xlfn.XLOOKUP(B342,'Base stats'!B:B,'Base stats'!E:E),Groups!A:A,Groups!D:D)=0),MROUND((80/3)*IF(_xlfn.XLOOKUP(B342,'Base stats'!B:B,'Base stats'!O:O)=2,0.2,AO342) + 24*(1-IF(BF342="No",0,BF342)) + 16/3, 12),"No")</f>
        <v>No</v>
      </c>
      <c r="BH342" s="2">
        <f>IF(AND(_xlfn.XLOOKUP(_xlfn.XLOOKUP(B342,'Base stats'!B:B,'Base stats'!E:E),Groups!A:A,Groups!AQ:AQ)=1,AO342&lt;=0.35),8,12)</f>
        <v>12</v>
      </c>
      <c r="BI342" s="2" t="str">
        <f>IF(_xlfn.XLOOKUP(_xlfn.XLOOKUP(B342,'Base stats'!B:B,'Base stats'!E:E),Groups!A:A,Groups!D:D)=0,_xlfn.XLOOKUP(_xlfn.XLOOKUP(B342,'Base stats'!B:B,'Base stats'!E:E),Groups!A:A,Groups!AR:AR),"None")</f>
        <v>Intermediate</v>
      </c>
      <c r="BJ342" s="2" t="str">
        <f>IF(AND(_xlfn.XLOOKUP(_xlfn.XLOOKUP(B342,'Base stats'!B:B,'Base stats'!E:E),Groups!A:A,Groups!AS:AS)=1,OR(_xlfn.XLOOKUP(B342,'Base stats'!B:B,'Base stats'!Y:Y)="Carnivore",_xlfn.XLOOKUP(B342,'Base stats'!B:B,'Base stats'!Y:Y)="Omnivore")),"true","false")</f>
        <v>false</v>
      </c>
      <c r="BK342" s="2" t="str">
        <f>IF(BJ342="true",MROUND(IF(AND(AO342&gt;0.5,OR(_xlfn.XLOOKUP(_xlfn.XLOOKUP(B342,'Base stats'!B:B,'Base stats'!E:E),Groups!A:A,Groups!AJ:AJ)="Photonozoa",_xlfn.XLOOKUP(_xlfn.XLOOKUP(B342,'Base stats'!B:B,'Base stats'!E:E),Groups!A:A,Groups!AJ:AJ)="Mammal")),Animals!AO342*1.75*IF(AW342="true",1.5,1),IF(AO342&lt;0.5,Animals!AO342*0.5,Animals!AO342)),IF(AO342&gt;2,0.5,IF(AO342&gt;0.5,0.25,0.1))),"No")</f>
        <v>No</v>
      </c>
      <c r="BL342" s="2">
        <f t="shared" si="38"/>
        <v>1</v>
      </c>
      <c r="BM342" s="25" t="str">
        <f>IF(_xlfn.XLOOKUP(B342,'Base stats'!B:B,'Base stats'!AN:AN)="Standard","No",MROUND((_xlfn.XLOOKUP(B342,'Base stats'!B:B,'Base stats'!AN:AN)/3.6)/I342,0.1))</f>
        <v>No</v>
      </c>
      <c r="BN342" s="25" t="str">
        <f t="shared" si="39"/>
        <v>false</v>
      </c>
      <c r="BO342" s="25" t="str">
        <f>IF(AND(OR(_xlfn.XLOOKUP(B342,'Base stats'!B:B,'Base stats'!Y:Y)="Carnivore",_xlfn.XLOOKUP(B342,'Base stats'!B:B,'Base stats'!Y:Y)="Omnivore",_xlfn.XLOOKUP(B342,'Base stats'!B:B,'Base stats'!Y:Y)="OmnivoreRough"),_xlfn.XLOOKUP(_xlfn.XLOOKUP(B342,'Base stats'!B:B,'Base stats'!E:E),Groups!A:A,Groups!AT:AT)=1),"true","false")</f>
        <v>false</v>
      </c>
      <c r="BP342" s="25" t="str" cm="1">
        <f t="array" ref="BP342">IF(
  _xlfn.TEXTJOIN(", ",TRUE,
    IF(AND(BJ342="true",AO342&gt;0.5,BI342&lt;&gt;"None"),"AttackTarget",""),
    IF(AND(_xlfn.XLOOKUP(_xlfn.XLOOKUP(B342,'Base stats'!B:B,'Base stats'!E:E),Groups!A:A,Groups!AJ:AJ="Mammal"),OR(_xlfn.XLOOKUP(B342,'Base stats'!B:B,'Base stats'!Y:Y)="Omnivore",_xlfn.XLOOKUP(B342,'Base stats'!B:B,'Base stats'!Y:Y)="OmnivoreRough")),"Forage",""),
    IF(BG342&lt;=36,"Comfort",""),
    IF(_xlfn.XLOOKUP(B342,'Base stats'!B:B,'Base stats'!AE:AE)&lt;&gt;"No",_xlfn.XLOOKUP(B342,'Base stats'!B:B,'Base stats'!AE:AE),"")
  ) = "",
  "No",
  _xlfn.TEXTJOIN(", ",TRUE,
    IF(AND(BJ342="true",AO342&gt;0.5,BI342&lt;&gt;"None"),"AttackTarget",""),
    IF(AND(_xlfn.XLOOKUP(_xlfn.XLOOKUP(B342,'Base stats'!B:B,'Base stats'!E:E),Groups!A:A,Groups!AJ:AJ="Mammal"),OR(_xlfn.XLOOKUP(B342,'Base stats'!B:B,'Base stats'!Y:Y)="Omnivore",_xlfn.XLOOKUP(B342,'Base stats'!B:B,'Base stats'!Y:Y)="OmnivoreRough")),"Forage",""),
    IF(BG342&lt;=36,"Comfort",""),
    IF(_xlfn.XLOOKUP(B342,'Base stats'!B:B,'Base stats'!AE:AE)&lt;&gt;"No",_xlfn.XLOOKUP(B342,'Base stats'!B:B,'Base stats'!AE:AE),"")
  )
)</f>
        <v>No</v>
      </c>
      <c r="BQ342" s="25" t="str">
        <f>IF(
   AND(
      'Base stats'!AN342="Standard",_xlfn.XLOOKUP(_xlfn.XLOOKUP(B342,'Base stats'!B:B,'Base stats'!E:E),Groups!A:A,Groups!AU:AU)=0,
      OR(
      BO342="True"
      )
   ),
   10,
   IF(
       OR(BM342&lt;&gt;"No",_xlfn.XLOOKUP(_xlfn.XLOOKUP(B342,'Base stats'!B:B,'Base stats'!E:E),Groups!A:A,Groups!AU:AU)=1),
      1,
      "No"
   )
)</f>
        <v>No</v>
      </c>
      <c r="BR342" s="9">
        <f>MROUND((1 + ((0.2*IF(OR(Q342="No",R342="No",R342=0),0,Q342/R342)
+IF(OR(V342="No",S342="No",T342="No"),0,S342/T342*(LEN(V342)-LEN(SUBSTITUTE(V342,",",""))+1))
+IF(OR(X342="No",Y342="No"),0,X342/Y342)
+IF(OR(AD342="No",AE342="No"),0,AD342/AE342)
+IF(OR(AL342="No",AI342="No",AJ342="No"),0,AI342/AJ342*(LEN(AL342)-LEN(SUBSTITUTE(AL342,",",""))+1))
)/(0.2*IF(OR(Q342="No",R342="No",R342=0),0,1)
+IF(OR(V342="No",S342="No",T342="No"),0,LEN(V342)-LEN(SUBSTITUTE(V342,",",""))+1)
+IF(OR(X342="No",Y342="No"),0,1)
+IF(OR(AD342="No",AE342="No"),0,1)
+IF(OR(AL342="No",AI342="No",AJ342="No"),0,LEN(AL342)-LEN(SUBSTITUTE(AL342,",",""))+1))*62%)* 2)*(1 + (AP342 / (IF(_xlfn.XLOOKUP(_xlfn.XLOOKUP(B342,'Base stats'!B:B,'Base stats'!E:E),Groups!A:A,Groups!AJ:AJ)="Photonozoa",0.3,1)) + _xlfn.XLOOKUP(B342,'Base stats'!B:B,'Base stats'!AV:AV) * 1.8) * 2) * 2.5 + 10 + I342 * 2,5)+IF(_xlfn.XLOOKUP(B342,'Base stats'!B:B,'Base stats'!AK:AK)=1,50,0)</f>
        <v>355</v>
      </c>
      <c r="BS342" s="8">
        <f t="shared" si="40"/>
        <v>2.15</v>
      </c>
      <c r="BT342" s="8" t="str">
        <f>_xlfn.XLOOKUP(B342,'Base stats'!B:B,'Base stats'!AF:AF)</f>
        <v>No</v>
      </c>
      <c r="BU342" s="2" t="str">
        <f>IF(AND(J342&lt;=0.95,OR(_xlfn.XLOOKUP(B342,'Base stats'!B:B,'Base stats'!AK:AK)=1,_xlfn.XLOOKUP(B342,'Base stats'!B:B,'Base stats'!Y:Y)="Carnivore",_xlfn.XLOOKUP(B342,'Base stats'!B:B,'Base stats'!Y:Y)="Omnivore",BE342&gt;0.1)),"true","false")</f>
        <v>true</v>
      </c>
      <c r="BV342" s="2" t="str">
        <f>IF(_xlfn.XLOOKUP(B342,'Base stats'!B:B,'Base stats'!AI:AI)=1,"true","false")</f>
        <v>false</v>
      </c>
      <c r="BW342" s="25" t="str">
        <f>IF(E342="BaseInsect","AnimalInsect",
IF(J342&gt;0.95,"AnimalExotic",
_xlfn.TEXTJOIN(", ",TRUE,
IF(OR(_xlfn.XLOOKUP(B342,'Base stats'!B:B,'Base stats'!AM:AM)=1,AND(_xlfn.XLOOKUP(B342,'Base stats'!B:B,'Base stats'!O:O)=0,_xlfn.XLOOKUP(_xlfn.XLOOKUP(B342,'Base stats'!B:B,'Base stats'!E:E),Groups!A:A,Groups!B:B)&gt;0)),"AnimalUncommon","AnimalCommon"),
IF(AND(_xlfn.XLOOKUP(B342,'Base stats'!B:B,'Base stats'!O:O)=2,_xlfn.XLOOKUP(_xlfn.XLOOKUP(B342,'Base stats'!B:B,'Base stats'!E:E),Groups!A:A,Groups!D:D)=0),"AnimalPet",IF(AND(_xlfn.XLOOKUP(B342,'Base stats'!B:B,'Base stats'!O:O)&lt;&gt;0,_xlfn.XLOOKUP(_xlfn.XLOOKUP(B342,'Base stats'!B:B,'Base stats'!E:E),Groups!A:A,Groups!D:D)&lt;&gt;0),"AnimalFarm","")),
IF(OR(_xlfn.XLOOKUP(B342,'Base stats'!B:B,'Base stats'!AK:AK)=1,AND(BI342&lt;&gt;"None",BR342&gt;=60),ISNUMBER(SEARCH("Attack target",BP342))),"AnimalFighter","")
)))</f>
        <v>AnimalUncommon, AnimalFighter</v>
      </c>
      <c r="BX342" s="25" t="str">
        <f>IF(G342="None",TRIM(
SUBSTITUTE(
IF(COUNTIF(Biomes!B$2:B$259,"="&amp;$C342)&gt;0,Biomes!B$1&amp;", ","")&amp;
IF(COUNTIF(Biomes!C$2:C$259,"="&amp;$C342)&gt;0,Biomes!C$1&amp;", ","")&amp;
IF(COUNTIF(Biomes!D$2:D$259,"="&amp;$C342)&gt;0,Biomes!D$1&amp;", ","")&amp;
IF(COUNTIF(Biomes!F$2:F$259,"="&amp;$C342)&gt;0,Biomes!F$1&amp;", ","")&amp;
IF(COUNTIF(Biomes!G$2:G$259,"="&amp;$C342)&gt;0,Biomes!G$1&amp;", ","")&amp;
IF(COUNTIF(Biomes!H$2:H$259,"="&amp;$C342)&gt;0,Biomes!H$1&amp;", ","")&amp;
IF(COUNTIF(Biomes!I$2:I$259,"="&amp;$C342)&gt;0,Biomes!I$1&amp;", ","")&amp;
IF(COUNTIF(Biomes!J$2:J$259,"="&amp;$C342)&gt;0,Biomes!J$1&amp;", ","")&amp;
IF(COUNTIF(Biomes!M$2:M$259,"="&amp;$C342)&gt;0,Biomes!M$1&amp;", ","")&amp;
IF(COUNTIF(Biomes!N$2:N$259,"="&amp;$C342)&gt;0,Biomes!N$1&amp;", ","")&amp;
IF(COUNTIF(Biomes!O$2:O$259,"="&amp;$C342)&gt;0,Biomes!O$1&amp;", ","")&amp;
IF(COUNTIF(Biomes!P$2:P$259,"="&amp;$C342)&gt;0,Biomes!P$1&amp;", ","")&amp;
IF(COUNTIF(Biomes!K$2:K$259,"="&amp;$C342)&gt;0,Biomes!K$1&amp;", ","")&amp;
IF(COUNTIF(Biomes!Q$3:Q$259,"="&amp;$C342)&gt;0,Biomes!Q$1&amp;", ","")&amp;
IF(COUNTIF(Biomes!L$2:L$259,"="&amp;$C342)&gt;0,Biomes!L$1&amp;", ","")&amp;
IF(COUNTIF(Biomes!E$2:E$259,"="&amp;$C342)&gt;0,Biomes!E$1&amp;", ","")&amp;IF(COUNTIF(Biomes!S$2:S$259,"="&amp;$C342)&gt;0,Biomes!S$1&amp;", ","")&amp;
IF(COUNTIF(Biomes!R$2:R$259,"="&amp;$C342)&gt;0,Biomes!R$1&amp;", ",""),", ","")
),_xlfn.XLOOKUP(B342,B:B,BX:BX))</f>
        <v/>
      </c>
      <c r="BY342" s="25" t="str">
        <f>IF(_xlfn.XLOOKUP(B342,'Base stats'!B:B,'Base stats'!AJ:AJ)=1,"true","false")</f>
        <v>false</v>
      </c>
      <c r="BZ342" s="25">
        <f>IF(_xlfn.XLOOKUP(B342,'Base stats'!B:B,'Base stats'!N:N)=1,"No",MAX(0.001,MIN(MROUND(IF(AND(BJ342="True",CC342="False"),POWER(10,3.47*LOG10(_xlfn.XLOOKUP(B342,'Base stats'!B:B,'Base stats'!C:C)*1000)^-0.96),POWER(10,4.15*LOG10(_xlfn.XLOOKUP(B342,'Base stats'!B:B,'Base stats'!C:C)*1000)^-0.73))*IF(_xlfn.XLOOKUP(B342,'Base stats'!B:B,'Base stats'!AK:AK)=1,0.5,1)*IF(_xlfn.XLOOKUP(B342,'Base stats'!B:B,'Base stats'!AM:AM)=1,0.1,1)/100,IF(_xlfn.XLOOKUP(B342,'Base stats'!B:B,'Base stats'!AM:AM)=1,0.001,0.025)),0.5)))</f>
        <v>0.01</v>
      </c>
      <c r="CA342" s="25" t="str">
        <f>IF(P342="Standard","No",MAX(0.001,MIN(MROUND(IF(AND(BJ342="True",CC342="False"),POWER(10,3.47*LOG10(_xlfn.XLOOKUP(B342,'Base stats'!B:B,'Base stats'!C:C)*1000)^-0.96),POWER(10,4.15*LOG10(_xlfn.XLOOKUP(B342,'Base stats'!B:B,'Base stats'!C:C)*1000)^-0.73))*IF(_xlfn.XLOOKUP(B342,'Base stats'!B:B,'Base stats'!AM:AM)=1,0.1,1)*_xlfn.XLOOKUP(B342,'Base stats'!B:B,'Base stats'!R:R)/100,IF(_xlfn.XLOOKUP(B342,'Base stats'!B:B,'Base stats'!AM:AM)=1,0.001,0.025)),0.5)))</f>
        <v>No</v>
      </c>
      <c r="CB342" s="25" t="str">
        <f>IF(_xlfn.XLOOKUP(_xlfn.XLOOKUP(B342,'Base stats'!B:B,'Base stats'!E:E),Groups!A:A,Groups!AJ:AJ)="Mammal","True","False")</f>
        <v>False</v>
      </c>
      <c r="CC342" s="25" t="str">
        <f>IF(OR(_xlfn.XLOOKUP(_xlfn.XLOOKUP(B342,'Base stats'!B:B,'Base stats'!E:E),Groups!A:A,Groups!AJ:AJ)="Reptile",_xlfn.XLOOKUP(_xlfn.XLOOKUP(B342,'Base stats'!B:B,'Base stats'!E:E),Groups!A:A,Groups!AJ:AJ)="Amphibian",_xlfn.XLOOKUP(_xlfn.XLOOKUP(B342,'Base stats'!B:B,'Base stats'!E:E),Groups!A:A,Groups!AJ:AJ)="Invertebrate"),"True","False")</f>
        <v>True</v>
      </c>
      <c r="CD342" s="25" t="str">
        <f t="shared" si="41"/>
        <v>False</v>
      </c>
      <c r="CE342" s="25" t="str">
        <f>IF(_xlfn.XLOOKUP(_xlfn.XLOOKUP(B342,'Base stats'!B:B,'Base stats'!E:E),Groups!A:A,Groups!AX:AX),"True","False")</f>
        <v>True</v>
      </c>
      <c r="CF342" s="25" t="str">
        <f>IF(_xlfn.XLOOKUP(_xlfn.XLOOKUP(B342,'Base stats'!B:B,'Base stats'!E:E),Groups!A:A,Groups!AY:AY),"True","False")</f>
        <v>True</v>
      </c>
      <c r="CG342" s="25" t="str">
        <f>IF(_xlfn.XLOOKUP(_xlfn.XLOOKUP(B342,'Base stats'!B:B,'Base stats'!E:E),Groups!A:A,Groups!AW:AW),"True","False")</f>
        <v>True</v>
      </c>
      <c r="CH342" s="25" t="str">
        <f>IF(
OR(
_xlfn.XLOOKUP(_xlfn.XLOOKUP(B342,'Base stats'!B:B,'Base stats'!E:E),Groups!A:A,Groups!AZ:AZ)=0,
AND(
_xlfn.XLOOKUP(B342,'Base stats'!B:B,'Base stats'!Y:Y)&lt;&gt;"Carnivore",
_xlfn.XLOOKUP(B342,'Base stats'!B:B,'Base stats'!Y:Y)&lt;&gt;"Omnivore",
_xlfn.XLOOKUP(B342,'Base stats'!B:B,'Base stats'!Y:Y)&lt;&gt;"OmnivoreRough"
)
),
"No",
IF(
_xlfn.XLOOKUP(_xlfn.XLOOKUP(B342,'Base stats'!B:B,'Base stats'!E:E),Groups!A:A,Groups!AZ:AZ)=1,
"Flesh",
IF(
_xlfn.XLOOKUP(_xlfn.XLOOKUP(B342,'Base stats'!B:B,'Base stats'!E:E),Groups!A:A,Groups!AZ:AZ)=2,
"Bone",
""
)
)
)</f>
        <v>No</v>
      </c>
      <c r="CI342" s="25" t="str">
        <f>IF(_xlfn.XLOOKUP(_xlfn.XLOOKUP(B342,'Base stats'!B:B,'Base stats'!E:E),Groups!A:A,Groups!BB:BB),"True","False")</f>
        <v>False</v>
      </c>
      <c r="CJ342" s="25" t="str">
        <f>IF(_xlfn.XLOOKUP(_xlfn.XLOOKUP(B342,'Base stats'!B:B,'Base stats'!E:E),Groups!A:A,Groups!BA:BA),"True","False")</f>
        <v>False</v>
      </c>
    </row>
    <row r="343" spans="1:88" ht="16.5" thickTop="1" thickBot="1" x14ac:dyDescent="0.3">
      <c r="A343" s="26" t="s">
        <v>1598</v>
      </c>
      <c r="B343" s="6" t="str">
        <f>_xlfn.XLOOKUP(A343,'Base stats'!A:A,'Base stats'!B:B)</f>
        <v>Mycopion ferus</v>
      </c>
      <c r="C343" s="28" t="s">
        <v>1599</v>
      </c>
      <c r="D343" s="28" t="s">
        <v>1341</v>
      </c>
      <c r="E343" s="28" t="s">
        <v>673</v>
      </c>
      <c r="F343" s="28" t="s">
        <v>673</v>
      </c>
      <c r="G343" s="28" t="s">
        <v>673</v>
      </c>
      <c r="H343" s="2">
        <f>MROUND((
  (IF(AND(_xlfn.XLOOKUP(B343,'Base stats'!B:B,'Base stats'!AL:AL)=0,BI343="None",_xlfn.XLOOKUP(_xlfn.XLOOKUP(B343,'Base stats'!B:B,'Base stats'!E:E),Groups!A:A,Groups!B:B)=0), (18 + BR343 * 2.7) * 0.5,
    IF(AND(_xlfn.XLOOKUP(B343,'Base stats'!B:B,'Base stats'!AL:AL)=0,OR(AO343&lt;0.55,AND(BI343="Intermediate",_xlfn.XLOOKUP(_xlfn.XLOOKUP(B343,'Base stats'!B:B,'Base stats'!E:E),Groups!A:A,Groups!B:B)&lt;2))), (18 + BR343 * 2.7),
      IF(OR(BI343="Advanced",_xlfn.XLOOKUP(B343,'Base stats'!B:B,'Base stats'!AL:AL)=1,_xlfn.XLOOKUP(_xlfn.XLOOKUP(B343,'Base stats'!B:B,'Base stats'!E:E),Groups!A:A,Groups!B:B)=2), (18 + BR343 * 2.7) + 250, (18 + BR343 * 2.7))
    )
  ))
  + AO343 * 80
  + IF(COUNTIF(EggMilk!K$2:K$998, A343) &gt; 0, 125, 0)
  + IF(COUNTIF(EggMilk!P$2:P$998, A343) &gt; 0, 90, 0)
  + IF(COUNTIF(EggMilk!A$2:A$998, A343) &gt; 0, 90, 0)
)
* (0.8 + 0.4 * J343)
* 0.75,25)</f>
        <v>475</v>
      </c>
      <c r="I343" s="2">
        <f>MROUND(ROUNDDOWN(_xlfn.XLOOKUP(B343,'Base stats'!B:B,'Base stats'!L:L)/3.6/(23.3/11),1),0.5)</f>
        <v>3.5</v>
      </c>
      <c r="J343" s="2">
        <f>IF(OR(_xlfn.XLOOKUP(B343,'Base stats'!B:B,'Base stats'!AB:AB)=1,_xlfn.XLOOKUP(_xlfn.XLOOKUP(B343,'Base stats'!B:B,'Base stats'!E:E),Groups!A:A,Groups!C:C)="Untamable"),1,IF(_xlfn.XLOOKUP(B343,'Base stats'!B:B,'Base stats'!AL:AL)=1,0.99,MIN(MROUND((1-0.6282*EXP(-0.459*AO343))*_xlfn.XLOOKUP(_xlfn.XLOOKUP(B343,'Base stats'!B:B,'Base stats'!E:E),Groups!A:A,Groups!C:C)*IF(_xlfn.XLOOKUP(B343,'Base stats'!B:B,'Base stats'!O:O)=1,0.5,IF(_xlfn.XLOOKUP(B343,'Base stats'!B:B,'Base stats'!O:O)=2,0,1)),0.05),IF(AO343&gt;3.5,0.985,0.95))))</f>
        <v>0.5</v>
      </c>
      <c r="K343" s="2">
        <f>ROUNDUP(AO343*_xlfn.XLOOKUP(_xlfn.XLOOKUP(B343,'Base stats'!B:B,'Base stats'!E:E),Groups!A:A,Groups!E:E),0)</f>
        <v>1</v>
      </c>
      <c r="L343" s="2">
        <f>IF(OR(_xlfn.XLOOKUP(_xlfn.XLOOKUP(B343,'Base stats'!B:B,'Base stats'!E:E),Groups!A:A,Groups!F:F)=2,ISNUMBER(SEARCH("SeaIce",BX343)),ISNUMBER(SEARCH("IceSheet",BX343))),-50,IF(OR(ISNUMBER(SEARCH("GlacialPlain",BX343)),ISNUMBER(SEARCH("Tundra",BX343))),-40,IF(OR(ISNUMBER(SEARCH("Alpine",BX343)),ISNUMBER(SEARCH("BorealForest",BX343)),ISNUMBER(SEARCH("ColdBog",BX343))),-30,IF(OR(ISNUMBER(SEARCH("TemperateForest",BX343)),ISNUMBER(SEARCH("TemperateSwamp",BX343))),-20,IF(_xlfn.XLOOKUP(_xlfn.XLOOKUP(B343,'Base stats'!B:B,'Base stats'!E:E),Groups!A:A,Groups!F:F)=1,-15,IF(OR(ISNUMBER(SEARCH("Desert",BX343)),ISNUMBER(SEARCH("ExtremeDesert",BX343))),-10,IF(OR(ISNUMBER(SEARCH("Grasslands",BX343)),ISNUMBER(SEARCH("TropicalRainforest",BX343)),ISNUMBER(SEARCH("TropicalSwamp",BX343))),10,0)))))))-IF(CC343="False",MIN(IFERROR(MAX(MROUND(LOG10(_xlfn.XLOOKUP(B343,'Base stats'!B:B,'Base stats'!C:C)^(2/3))*10,5),5),5),30))-_xlfn.XLOOKUP(B343,'Base stats'!B:B,'Base stats'!P:P)+IF(CC343="True",5,0)</f>
        <v>-30</v>
      </c>
      <c r="M343" s="2">
        <f>IF(OR(_xlfn.XLOOKUP(_xlfn.XLOOKUP(B343,'Base stats'!B:B,'Base stats'!E:E),Groups!A:A,Groups!G:G)=2,ISNUMBER(SEARCH("Desert",BX343)),ISNUMBER(SEARCH("ExtremeDesert",BX343)),ISNUMBER(SEARCH("LavaField",BX343))),50,IF(ISNUMBER(SEARCH("Grasslands",BX343)),45,IF(OR(_xlfn.XLOOKUP(_xlfn.XLOOKUP(B343,'Base stats'!B:B,'Base stats'!E:E),Groups!A:A,Groups!G:G)=1,ISNUMBER(SEARCH("TropicalRainforest",BX343)),ISNUMBER(SEARCH("TropicalSwamp",BX343))),40,IF(OR(ISNUMBER(SEARCH("TemperateForest",BX343)),ISNUMBER(SEARCH("TemperateSwamp",BX343))),35,IF(OR(ISNUMBER(SEARCH("Alpine",BX343)),ISNUMBER(SEARCH("BorealForest",BX343)),ISNUMBER(SEARCH("ColdBog",BX343))),30,IF(ISNUMBER(OR(ISNUMBER(SEARCH("GlacialPlain",BX343)),SEARCH("Tundra",BX343))),25,IF(OR(ISNUMBER(SEARCH("SeaIce",BX343)),ISNUMBER(SEARCH("IceSheet",BX343)),ISNUMBER(SEARCH("TropicalSwamp",BX343))),10,35)))))))+_xlfn.XLOOKUP(B343,'Base stats'!B:B,'Base stats'!Q:Q)</f>
        <v>40</v>
      </c>
      <c r="N343" s="8">
        <f>IF(
_xlfn.XLOOKUP(
_xlfn.XLOOKUP(B343,'Base stats'!B:B,'Base stats'!E:E),
Groups!A:A,
Groups!L:L
)=1,
MIN(
MROUND(
IF(
_xlfn.XLOOKUP(B343,'Animals CE'!B:B,'Animals CE'!Z:Z)&lt;=1.5,
_xlfn.XLOOKUP(B343,'Animals CE'!B:B,'Animals CE'!Z:Z)/2+0.05,
0.8+
(_xlfn.XLOOKUP(B343,'Animals CE'!B:B,'Animals CE'!Z:Z)-1.5)
*0.02
),
0.05
),
200%
),
"No"
)</f>
        <v>0.8</v>
      </c>
      <c r="O343" s="8">
        <f>IF(
_xlfn.XLOOKUP(
_xlfn.XLOOKUP(B343,'Base stats'!B:B,'Base stats'!E:E),
Groups!A:A,
Groups!L:L
)=1,
MIN(
MROUND(
IF(
_xlfn.XLOOKUP(B343,'Animals CE'!B:B,'Animals CE'!AA:AA)&lt;=1.5,
_xlfn.XLOOKUP(B343,'Animals CE'!B:B,'Animals CE'!AA:AA)/2+0.05,
0.8+
(_xlfn.XLOOKUP(B343,'Animals CE'!B:B,'Animals CE'!AA:AA)-1.5)
*0.02
),
0.05
),
200%
),
"No"
)</f>
        <v>1.1500000000000001</v>
      </c>
      <c r="P343" s="2" t="str">
        <f>_xlfn.XLOOKUP(B343,'Base stats'!B:B,'Base stats'!R:R)</f>
        <v>Standard</v>
      </c>
      <c r="Q343" s="13">
        <f>MROUND((LOG10(_xlfn.XLOOKUP(B343,'Base stats'!B:B,'Base stats'!AR:AR))*(AO343^0.5)+(_xlfn.XLOOKUP(B343,'Base stats'!B:B,'Base stats'!AR:AR)/1000)^(2/3)+_xlfn.XLOOKUP(B343,'Base stats'!B:B,'Base stats'!BA:BA)/2)+0.5,0.5)</f>
        <v>4.5</v>
      </c>
      <c r="R343" s="7">
        <f>IF(Q343="No","No",MAX(1,MROUND(_xlfn.XLOOKUP(B343,'Base stats'!B:B,'Base stats'!C:C)^0.165,0.05)))</f>
        <v>1.6500000000000001</v>
      </c>
      <c r="S343" s="13" t="str">
        <f>IF(_xlfn.XLOOKUP(_xlfn.XLOOKUP(B343,'Base stats'!B:B,'Base stats'!E:E),Groups!A:A,Groups!P:P)=0,"No",MROUND((LOG10(_xlfn.XLOOKUP(B343,'Base stats'!B:B,'Base stats'!AS:AS))*(AO343^0.5)+(_xlfn.XLOOKUP(B343,'Base stats'!B:B,'Base stats'!AS:AS)/1000)^(2/3)+_xlfn.XLOOKUP(B343,'Base stats'!B:B,'Base stats'!BA:BA))+_xlfn.XLOOKUP(B343,'Base stats'!B:B,'Base stats'!AY:AY)+0.5,0.5))</f>
        <v>No</v>
      </c>
      <c r="T343" s="7" t="str">
        <f>IF(S343="No","No",MAX(_xlfn.XLOOKUP(_xlfn.XLOOKUP(B343,'Base stats'!B:B,'Base stats'!E:E),Groups!A:A,Groups!Q:Q),MROUND(_xlfn.XLOOKUP(_xlfn.XLOOKUP(B343,'Base stats'!B:B,'Base stats'!E:E),Groups!A:A,Groups!Q:Q)*_xlfn.XLOOKUP(B343,'Base stats'!B:B,'Base stats'!C:C)^0.165,0.05)))</f>
        <v>No</v>
      </c>
      <c r="U343" s="7" t="str">
        <f>IF(S343="No","No",_xlfn.XLOOKUP(_xlfn.XLOOKUP(B343,'Base stats'!B:B,'Base stats'!E:E),Groups!A:A,Groups!R:R))</f>
        <v>No</v>
      </c>
      <c r="V343" s="7" t="str">
        <f>IF(S343="No","No",_xlfn.XLOOKUP(_xlfn.XLOOKUP(B343,'Base stats'!B:B,'Base stats'!E:E),Groups!A:A,Groups!S:S))</f>
        <v>No</v>
      </c>
      <c r="W343" s="7" t="str">
        <f>IF(S343="No","No",_xlfn.XLOOKUP(_xlfn.XLOOKUP(B343,'Base stats'!B:B,'Base stats'!E:E),Groups!A:A,Groups!T:T))</f>
        <v>No</v>
      </c>
      <c r="X343" s="13" t="str">
        <f>IF(_xlfn.XLOOKUP(B343,'Base stats'!B:B,'Base stats'!W:W)="No","No",MROUND((LOG10(_xlfn.XLOOKUP(B343,'Base stats'!B:B,'Base stats'!AU:AU))*(AO343^0.5)+(_xlfn.XLOOKUP(B343,'Base stats'!B:B,'Base stats'!AU:AU)/1000)^(2/3)+_xlfn.XLOOKUP(B343,'Base stats'!B:B,'Base stats'!AZ:AZ))+0.5+IF(_xlfn.XLOOKUP(_xlfn.XLOOKUP(B343,'Base stats'!B:B,'Base stats'!E:E),Groups!A:A,Groups!U:U)&lt;&gt;3,_xlfn.XLOOKUP(B343,'Base stats'!B:B,'Base stats'!BA:BA),0),0.5))</f>
        <v>No</v>
      </c>
      <c r="Y343" s="7" t="str">
        <f>IF(X343="No","No",MAX(_xlfn.XLOOKUP(_xlfn.XLOOKUP(B343,'Base stats'!B:B,'Base stats'!E:E),Groups!A:A,Groups!V:V),MROUND(_xlfn.XLOOKUP(_xlfn.XLOOKUP(B343,'Base stats'!B:B,'Base stats'!E:E),Groups!A:A,Groups!V:V)*_xlfn.XLOOKUP(B343,'Base stats'!B:B,'Base stats'!C:C)^0.165,0.05)))</f>
        <v>No</v>
      </c>
      <c r="Z343" s="7" t="str">
        <f>IF(X343="No","No",_xlfn.XLOOKUP(_xlfn.XLOOKUP(B343,'Base stats'!B:B,'Base stats'!E:E),Groups!A:A,Groups!W:W))</f>
        <v>No</v>
      </c>
      <c r="AA343" s="7" t="str">
        <f>IF(X343="No","No",_xlfn.XLOOKUP(_xlfn.XLOOKUP(B343,'Base stats'!B:B,'Base stats'!E:E),Groups!A:A,Groups!X:X))</f>
        <v>No</v>
      </c>
      <c r="AB343" s="7" t="str">
        <f>IF(X343="No","No",_xlfn.XLOOKUP(_xlfn.XLOOKUP(B343,'Base stats'!B:B,'Base stats'!E:E),Groups!A:A,Groups!Y:Y))</f>
        <v>No</v>
      </c>
      <c r="AC343" s="7" t="str">
        <f>_xlfn.XLOOKUP(Animals!B343,'Base stats'!B:B,'Base stats'!X:X)</f>
        <v>False</v>
      </c>
      <c r="AD343" s="13">
        <f>IF(_xlfn.XLOOKUP(B343,'Base stats'!B:B,'Base stats'!AT:AT)="No","No",MROUND((LOG10(_xlfn.XLOOKUP(B343,'Base stats'!B:B,'Base stats'!AT:AT))*(AO343^0.75)+(_xlfn.XLOOKUP(B343,'Base stats'!B:B,'Base stats'!AT:AT)/1000)^(2/3)+_xlfn.XLOOKUP(B343,'Base stats'!B:B,'Base stats'!AX:AX)+_xlfn.XLOOKUP(B343,'Base stats'!B:B,'Base stats'!BA:BA))+0.5,0.5))</f>
        <v>7.5</v>
      </c>
      <c r="AE343" s="7">
        <f>IF(AD343="No","No",MAX(_xlfn.XLOOKUP(_xlfn.XLOOKUP(B343,'Base stats'!B:B,'Base stats'!E:E),Groups!A:A,Groups!Z:Z),MROUND(_xlfn.XLOOKUP(_xlfn.XLOOKUP(B343,'Base stats'!B:B,'Base stats'!E:E),Groups!A:A,Groups!Z:Z)*_xlfn.XLOOKUP(B343,'Base stats'!B:B,'Base stats'!C:C)^0.165,0.05)))</f>
        <v>1.6500000000000001</v>
      </c>
      <c r="AF343" s="7" t="str">
        <f>IF(AD343="No","No",_xlfn.XLOOKUP(_xlfn.XLOOKUP(B343,'Base stats'!B:B,'Base stats'!E:E),Groups!A:A,Groups!AA:AA))</f>
        <v>Teeth</v>
      </c>
      <c r="AG343" s="7" t="str">
        <f>IF(AD343="No","No",_xlfn.XLOOKUP(_xlfn.XLOOKUP(B343,'Base stats'!B:B,'Base stats'!E:E),Groups!A:A,Groups!AB:AB))</f>
        <v>teeth</v>
      </c>
      <c r="AH343" s="7" t="str">
        <f>IF(AD343="No","No",_xlfn.XLOOKUP(_xlfn.XLOOKUP(B343,'Base stats'!B:B,'Base stats'!E:E),Groups!A:A,Groups!AC:AC))</f>
        <v>ToxicBite</v>
      </c>
      <c r="AI343" s="13">
        <f>IF(_xlfn.XLOOKUP(_xlfn.XLOOKUP(B343,'Base stats'!B:B,'Base stats'!E:E),Groups!A:A,Groups!AD:AD)=0,"No",MROUND((LOG10(_xlfn.XLOOKUP(B343,'Base stats'!B:B,'Base stats'!AS:AS))*(AO343^0.75)+(_xlfn.XLOOKUP(B343,'Base stats'!B:B,'Base stats'!AS:AS)/1000)^(2/3)+_xlfn.XLOOKUP(B343,'Base stats'!B:B,'Base stats'!AY:AY)+_xlfn.XLOOKUP(B343,'Base stats'!B:B,'Base stats'!BA:BA))+0.5,0.5))</f>
        <v>7</v>
      </c>
      <c r="AJ343" s="7">
        <f>IF(AI343="No","No",MAX(_xlfn.XLOOKUP(_xlfn.XLOOKUP(B343,'Base stats'!B:B,'Base stats'!E:E),Groups!A:A,Groups!AE:AE),MROUND(_xlfn.XLOOKUP(_xlfn.XLOOKUP(B343,'Base stats'!B:B,'Base stats'!E:E),Groups!A:A,Groups!AE:AE)*IF(_xlfn.XLOOKUP(_xlfn.XLOOKUP(B343,'Base stats'!B:B,'Base stats'!E:E),Groups!A:A,Groups!AJ:AJ)="Photonozoa",0.6,1)*_xlfn.XLOOKUP(B343,'Base stats'!B:B,'Base stats'!C:C)^0.165,0.05)))</f>
        <v>1.1500000000000001</v>
      </c>
      <c r="AK343" s="7" t="str">
        <f>IF(AI343="No","No",_xlfn.XLOOKUP(_xlfn.XLOOKUP(B343,'Base stats'!B:B,'Base stats'!E:E),Groups!A:A,Groups!AF:AF))</f>
        <v>FrontLeftPaw, FrontRightPaw</v>
      </c>
      <c r="AL343" s="7" t="str">
        <f>IF(AI343="No","No",_xlfn.XLOOKUP(_xlfn.XLOOKUP(B343,'Base stats'!B:B,'Base stats'!E:E),Groups!A:A,Groups!AG:AG))</f>
        <v>left claw, right claw</v>
      </c>
      <c r="AM343" s="7" t="str">
        <f>IF(AI343="No","No",_xlfn.XLOOKUP(_xlfn.XLOOKUP(B343,'Base stats'!B:B,'Base stats'!E:E),Groups!A:A,Groups!AH:AH))</f>
        <v>Scratch</v>
      </c>
      <c r="AN343" s="2" t="str">
        <f t="shared" si="35"/>
        <v>No</v>
      </c>
      <c r="AO343" s="2">
        <f>MROUND(IF(AND(_xlfn.XLOOKUP(B343,'Base stats'!B:B,'Base stats'!C:C)&gt;=0.5,_xlfn.XLOOKUP(B343,'Base stats'!B:B,'Base stats'!C:C)&lt;=0.8),
IF(_xlfn.XLOOKUP(B343,'Base stats'!B:B,'Base stats'!C:C)&lt;0.1,0.05,IF(_xlfn.XLOOKUP(B343,'Base stats'!B:B,'Base stats'!C:C)&lt;=70,(_xlfn.XLOOKUP(B343,'Base stats'!B:B,'Base stats'!C:C)/70)^0.426489913056526,IF(_xlfn.XLOOKUP(B343,'Base stats'!B:B,'Base stats'!C:C)&lt;=400,(_xlfn.XLOOKUP(B343,'Base stats'!B:B,'Base stats'!C:C)/70)^0.572811455315093,IF(_xlfn.XLOOKUP(B343,'Base stats'!B:B,'Base stats'!C:C)&lt;=2000,2.71391647193063*(_xlfn.XLOOKUP(B343,'Base stats'!B:B,'Base stats'!C:C)/400)^0.252459582904293,3.74314280240376*(_xlfn.XLOOKUP(B343,'Base stats'!B:B,'Base stats'!C:C)/2000)^0.357012633876913)))),
IF(_xlfn.XLOOKUP(B343,'Base stats'!B:B,'Base stats'!C:C)&lt;0.1,0.05,IF(_xlfn.XLOOKUP(B343,'Base stats'!B:B,'Base stats'!C:C)&lt;0.4,0.1,IF(_xlfn.XLOOKUP(B343,'Base stats'!B:B,'Base stats'!C:C)&lt;=70,(_xlfn.XLOOKUP(B343,'Base stats'!B:B,'Base stats'!C:C)/70)^0.445823913056526,IF(_xlfn.XLOOKUP(B343,'Base stats'!B:B,'Base stats'!C:C)&lt;=400,(_xlfn.XLOOKUP(B343,'Base stats'!B:B,'Base stats'!C:C)/70)^0.572811455315093,IF(_xlfn.XLOOKUP(B343,'Base stats'!B:B,'Base stats'!C:C)&lt;=2000,2.71391647193063*(_xlfn.XLOOKUP(B343,'Base stats'!B:B,'Base stats'!C:C)/400)^0.252459582904293,3.74314280240376*(_xlfn.XLOOKUP(B343,'Base stats'!B:B,'Base stats'!C:C)/2000)^0.357012633876913)))))),
IF(_xlfn.XLOOKUP(B343,'Base stats'!B:B,'Base stats'!C:C)&lt;0.1,0.05,IF(_xlfn.XLOOKUP(B343,'Base stats'!B:B,'Base stats'!C:C)&lt;=100,0.05,IF(_xlfn.XLOOKUP(B343,'Base stats'!B:B,'Base stats'!C:C)&lt;=250,0.1,IF(_xlfn.XLOOKUP(B343,'Base stats'!B:B,'Base stats'!C:C)&lt;=4000,0.25,0.5)))))</f>
        <v>0.55000000000000004</v>
      </c>
      <c r="AP343" s="8">
        <f>MROUND(AO343*_xlfn.XLOOKUP(_xlfn.XLOOKUP(B343,'Base stats'!B:B,'Base stats'!E:E),Groups!A:A,Groups!AI:AI)*_xlfn.XLOOKUP(B343,'Base stats'!B:B,'Base stats'!Z:Z),0.05)</f>
        <v>0.55000000000000004</v>
      </c>
      <c r="AQ343" s="8">
        <f>MAX(0.01,MROUND(IF(CC343="True",0.196*(AO343*100*1000)^0.889,IF(_xlfn.XLOOKUP(_xlfn.XLOOKUP(B343,'Base stats'!B:B,'Base stats'!E:E),Groups!A:A,Groups!AJ:AJ)="Bird",10.5*(AO343*100*1000)^0.681,4.82*(AO343*100*1000)^0.734))/(4.82*(1*100*1000)^0.734)/IF(AO343&lt;3.5,2,IF(AO343=3.5,1.5,1.25))*(1+0.132282374779864/(AO343^0.994035016789033+0.00905238001496948)),0.05))</f>
        <v>0.4</v>
      </c>
      <c r="AR343" s="9">
        <f>IFERROR(MROUND(_xlfn.XLOOKUP(B343,'Base stats'!B:B,'Base stats'!H:H)/IF(_xlfn.XLOOKUP(B343,'Base stats'!B:B,'Base stats'!I:I)&lt;&gt;1,(122.5/70),1.2),IF(_xlfn.XLOOKUP(B343,'Base stats'!B:B,'Base stats'!H:H)&gt;=30,5,IF(_xlfn.XLOOKUP(B343,'Base stats'!B:B,'Base stats'!H:H)&gt;=15,3,IF(_xlfn.XLOOKUP(B343,'Base stats'!B:B,'Base stats'!H:H)&gt;=10,2,1)))),"Immortal")</f>
        <v>30</v>
      </c>
      <c r="AS343" s="35" t="str">
        <f>IFERROR(IF(OR(_xlfn.XLOOKUP(B343,'Base stats'!B:B,'Base stats'!F:F)="Atypical reproduction",_xlfn.XLOOKUP(B343,'Base stats'!B:B,'Base stats'!F:F)="Lay eggs"),"Lay eggs",MIN(20,MAX(5.5,ROUND(((_xlfn.XLOOKUP(B343,'Base stats'!B:B,'Base stats'!F:F)-25)*(14.5/615) + 5.5)*2,0)/2))),"Unknown")</f>
        <v>Lay eggs</v>
      </c>
      <c r="AT343" s="8">
        <f>IF(_xlfn.XLOOKUP(B343,'Base stats'!B:B,'Base stats'!G:G)="Atypical reproduction","No",IFERROR(MAX(IF(_xlfn.XLOOKUP(B343,'Base stats'!B:B,'Base stats'!G:G)&lt;0.5,0.2,0.3),MROUND(_xlfn.XLOOKUP(B343,'Base stats'!B:B,'Base stats'!G:G)/(365/60),0.2)),"Unknown"))</f>
        <v>0.4</v>
      </c>
      <c r="AU343" s="8">
        <f t="shared" si="36"/>
        <v>0.2</v>
      </c>
      <c r="AV343" s="8" t="str">
        <f>IFERROR(IFERROR(MROUND(_xlfn.XLOOKUP(B343,'Base stats'!B:B,'Base stats'!J:J),0.1),"Lay eggs"),"Cannot breed")</f>
        <v>Lay eggs</v>
      </c>
      <c r="AW343" s="2" t="str">
        <f t="shared" si="37"/>
        <v>true</v>
      </c>
      <c r="AX343" s="2" t="str">
        <f>IF(_xlfn.XLOOKUP(_xlfn.XLOOKUP(Animals!B343,'Base stats'!B:B,'Base stats'!E:E),Groups!A:A,Groups!AK:AK)=1,"true","false")</f>
        <v>false</v>
      </c>
      <c r="AY343" s="25" t="str">
        <f>IF(_xlfn.XLOOKUP(B343,'Base stats'!B:B,'Base stats'!Y:Y)="Liquor","Liquor, CarnivoreAnimalStrict",IF(AND(_xlfn.XLOOKUP(B343,'Base stats'!B:B,'Base stats'!Y:Y)="Carnivore",_xlfn.XLOOKUP(_xlfn.XLOOKUP(B343,'Base stats'!B:B,'Base stats'!E:E),Groups!A:A,Groups!AJ:AJ)="Photonozoa"),"CarnivoreAnimalStrict, OvivoreAnimal",IF(_xlfn.XLOOKUP(B343,'Base stats'!B:B,'Base stats'!Y:Y)="Carnivore","CarnivoreAnimal, OvivoreAnimal",IF(_xlfn.XLOOKUP(B343,'Base stats'!B:B,'Base stats'!Y:Y)="Dendrovore","VegetarianRoughAnimal, DendrovoreAnimal",IF(_xlfn.XLOOKUP(B343,'Base stats'!B:B,'Base stats'!Y:Y)="Herbivore","VegetarianRoughAnimal",IF(_xlfn.XLOOKUP(B343,'Base stats'!B:B,'Base stats'!Y:Y)="OmnivoreRough","OmnivoreRoughAnimal, OvivoreAnimal","OmnivoreAnimal, OvivoreAnimal"))))))</f>
        <v>VegetarianRoughAnimal</v>
      </c>
      <c r="AZ343" s="2" t="str">
        <f>IF(_xlfn.XLOOKUP(_xlfn.XLOOKUP(B343,'Base stats'!B:B,'Base stats'!E:E),Groups!A:A,Groups!D:D)=1,MROUND((1-J343)*5+1,2)*IF(J343&lt;=0.4,2,1),"No")</f>
        <v>No</v>
      </c>
      <c r="BA343" s="2" t="str">
        <f>IF(AND(_xlfn.XLOOKUP(B343,'Base stats'!B:B,'Base stats'!AH:AH)="&lt;li&gt;Seal&lt;/li&gt;",G343="Odyssey"),"&lt;li&gt;AEXP_Seal&lt;/li&gt;",_xlfn.XLOOKUP(B343,'Base stats'!B:B,'Base stats'!AH:AH))</f>
        <v>No</v>
      </c>
      <c r="BB343" s="2" t="str">
        <f>_xlfn.XLOOKUP(B343,'Base stats'!B:B,'Base stats'!AG:AG)</f>
        <v>No</v>
      </c>
      <c r="BC343" s="23" t="str">
        <f>_xlfn.XLOOKUP(_xlfn.XLOOKUP(B343,'Base stats'!B:B,'Base stats'!E:E),Groups!A:A,Groups!AL:AL)</f>
        <v>QuadrupedAnimalWithPaws</v>
      </c>
      <c r="BD343" s="23">
        <f>MIN(1,MROUND(IF(AND(AO343&lt;0.5,_xlfn.XLOOKUP(B343,'Base stats'!B:B,'Base stats'!AA:AA)=0),0,IF(OR(_xlfn.XLOOKUP(Animals!B343,'Base stats'!B:B,'Base stats'!O:O)=2,_xlfn.XLOOKUP(_xlfn.XLOOKUP(B343,'Base stats'!B:B,'Base stats'!E:E),Groups!A:A,Groups!AN:AN)=0),0,_xlfn.XLOOKUP(_xlfn.XLOOKUP(B343,'Base stats'!B:B,'Base stats'!E:E),Groups!A:A,Groups!AN:AN)/IF(_xlfn.XLOOKUP(Animals!B343,'Base stats'!B:B,'Base stats'!O:O)=1,2,1)))+_xlfn.XLOOKUP(B343,'Base stats'!B:B,'Base stats'!AC:AC),0.005))</f>
        <v>0.1</v>
      </c>
      <c r="BE343" s="23">
        <f>MIN(1,MROUND(IF(AND(AO343&lt;0.5,_xlfn.XLOOKUP(B343,'Base stats'!B:B,'Base stats'!AA:AA)=0),0,IF(_xlfn.XLOOKUP(_xlfn.XLOOKUP(B343,'Base stats'!B:B,'Base stats'!E:E),Groups!A:A,Groups!AO:AO)=0,0,_xlfn.XLOOKUP(_xlfn.XLOOKUP(B343,'Base stats'!B:B,'Base stats'!E:E),Groups!A:A,Groups!AO:AO)/IF(_xlfn.XLOOKUP(Animals!B343,'Base stats'!B:B,'Base stats'!O:O)=2,3,1)))+_xlfn.XLOOKUP(B343,'Base stats'!B:B,'Base stats'!AD:AD),0.005))</f>
        <v>0.3</v>
      </c>
      <c r="BF343" s="2" t="str">
        <f>IF(J343&gt;0.3,"No",_xlfn.XLOOKUP(_xlfn.XLOOKUP(Animals!B343,'Base stats'!B:B,'Base stats'!E:E),Groups!A:A,Groups!AP:AP))</f>
        <v>No</v>
      </c>
      <c r="BG343" s="2" t="str">
        <f>IF(AND(J343&lt;=0.65,_xlfn.XLOOKUP(_xlfn.XLOOKUP(Animals!B343,'Base stats'!B:B,'Base stats'!E:E),Groups!A:A,Groups!AP:AP)&lt;&gt;"No",_xlfn.XLOOKUP(_xlfn.XLOOKUP(B343,'Base stats'!B:B,'Base stats'!E:E),Groups!A:A,Groups!D:D)=0),MROUND((80/3)*IF(_xlfn.XLOOKUP(B343,'Base stats'!B:B,'Base stats'!O:O)=2,0.2,AO343) + 24*(1-IF(BF343="No",0,BF343)) + 16/3, 12),"No")</f>
        <v>No</v>
      </c>
      <c r="BH343" s="2">
        <f>IF(AND(_xlfn.XLOOKUP(_xlfn.XLOOKUP(B343,'Base stats'!B:B,'Base stats'!E:E),Groups!A:A,Groups!AQ:AQ)=1,AO343&lt;=0.35),8,12)</f>
        <v>12</v>
      </c>
      <c r="BI343" s="2" t="str">
        <f>IF(_xlfn.XLOOKUP(_xlfn.XLOOKUP(B343,'Base stats'!B:B,'Base stats'!E:E),Groups!A:A,Groups!D:D)=0,_xlfn.XLOOKUP(_xlfn.XLOOKUP(B343,'Base stats'!B:B,'Base stats'!E:E),Groups!A:A,Groups!AR:AR),"None")</f>
        <v>Intermediate</v>
      </c>
      <c r="BJ343" s="2" t="str">
        <f>IF(AND(_xlfn.XLOOKUP(_xlfn.XLOOKUP(B343,'Base stats'!B:B,'Base stats'!E:E),Groups!A:A,Groups!AS:AS)=1,OR(_xlfn.XLOOKUP(B343,'Base stats'!B:B,'Base stats'!Y:Y)="Carnivore",_xlfn.XLOOKUP(B343,'Base stats'!B:B,'Base stats'!Y:Y)="Omnivore")),"true","false")</f>
        <v>false</v>
      </c>
      <c r="BK343" s="2" t="str">
        <f>IF(BJ343="true",MROUND(IF(AND(AO343&gt;0.5,OR(_xlfn.XLOOKUP(_xlfn.XLOOKUP(B343,'Base stats'!B:B,'Base stats'!E:E),Groups!A:A,Groups!AJ:AJ)="Photonozoa",_xlfn.XLOOKUP(_xlfn.XLOOKUP(B343,'Base stats'!B:B,'Base stats'!E:E),Groups!A:A,Groups!AJ:AJ)="Mammal")),Animals!AO343*1.75*IF(AW343="true",1.5,1),IF(AO343&lt;0.5,Animals!AO343*0.5,Animals!AO343)),IF(AO343&gt;2,0.5,IF(AO343&gt;0.5,0.25,0.1))),"No")</f>
        <v>No</v>
      </c>
      <c r="BL343" s="2">
        <f t="shared" si="38"/>
        <v>1</v>
      </c>
      <c r="BM343" s="25" t="str">
        <f>IF(_xlfn.XLOOKUP(B343,'Base stats'!B:B,'Base stats'!AN:AN)="Standard","No",MROUND((_xlfn.XLOOKUP(B343,'Base stats'!B:B,'Base stats'!AN:AN)/3.6)/I343,0.1))</f>
        <v>No</v>
      </c>
      <c r="BN343" s="25" t="str">
        <f t="shared" si="39"/>
        <v>false</v>
      </c>
      <c r="BO343" s="25" t="str">
        <f>IF(AND(OR(_xlfn.XLOOKUP(B343,'Base stats'!B:B,'Base stats'!Y:Y)="Carnivore",_xlfn.XLOOKUP(B343,'Base stats'!B:B,'Base stats'!Y:Y)="Omnivore",_xlfn.XLOOKUP(B343,'Base stats'!B:B,'Base stats'!Y:Y)="OmnivoreRough"),_xlfn.XLOOKUP(_xlfn.XLOOKUP(B343,'Base stats'!B:B,'Base stats'!E:E),Groups!A:A,Groups!AT:AT)=1),"true","false")</f>
        <v>false</v>
      </c>
      <c r="BP343" s="25" t="str" cm="1">
        <f t="array" ref="BP343">IF(
  _xlfn.TEXTJOIN(", ",TRUE,
    IF(AND(BJ343="true",AO343&gt;0.5,BI343&lt;&gt;"None"),"AttackTarget",""),
    IF(AND(_xlfn.XLOOKUP(_xlfn.XLOOKUP(B343,'Base stats'!B:B,'Base stats'!E:E),Groups!A:A,Groups!AJ:AJ="Mammal"),OR(_xlfn.XLOOKUP(B343,'Base stats'!B:B,'Base stats'!Y:Y)="Omnivore",_xlfn.XLOOKUP(B343,'Base stats'!B:B,'Base stats'!Y:Y)="OmnivoreRough")),"Forage",""),
    IF(BG343&lt;=36,"Comfort",""),
    IF(_xlfn.XLOOKUP(B343,'Base stats'!B:B,'Base stats'!AE:AE)&lt;&gt;"No",_xlfn.XLOOKUP(B343,'Base stats'!B:B,'Base stats'!AE:AE),"")
  ) = "",
  "No",
  _xlfn.TEXTJOIN(", ",TRUE,
    IF(AND(BJ343="true",AO343&gt;0.5,BI343&lt;&gt;"None"),"AttackTarget",""),
    IF(AND(_xlfn.XLOOKUP(_xlfn.XLOOKUP(B343,'Base stats'!B:B,'Base stats'!E:E),Groups!A:A,Groups!AJ:AJ="Mammal"),OR(_xlfn.XLOOKUP(B343,'Base stats'!B:B,'Base stats'!Y:Y)="Omnivore",_xlfn.XLOOKUP(B343,'Base stats'!B:B,'Base stats'!Y:Y)="OmnivoreRough")),"Forage",""),
    IF(BG343&lt;=36,"Comfort",""),
    IF(_xlfn.XLOOKUP(B343,'Base stats'!B:B,'Base stats'!AE:AE)&lt;&gt;"No",_xlfn.XLOOKUP(B343,'Base stats'!B:B,'Base stats'!AE:AE),"")
  )
)</f>
        <v>No</v>
      </c>
      <c r="BQ343" s="25" t="str">
        <f>IF(
   AND(
      'Base stats'!AN343="Standard",_xlfn.XLOOKUP(_xlfn.XLOOKUP(B343,'Base stats'!B:B,'Base stats'!E:E),Groups!A:A,Groups!AU:AU)=0,
      OR(
      BO343="True"
      )
   ),
   10,
   IF(
       OR(BM343&lt;&gt;"No",_xlfn.XLOOKUP(_xlfn.XLOOKUP(B343,'Base stats'!B:B,'Base stats'!E:E),Groups!A:A,Groups!AU:AU)=1),
      1,
      "No"
   )
)</f>
        <v>No</v>
      </c>
      <c r="BR343" s="9">
        <f>MROUND((1 + ((0.2*IF(OR(Q343="No",R343="No",R343=0),0,Q343/R343)
+IF(OR(V343="No",S343="No",T343="No"),0,S343/T343*(LEN(V343)-LEN(SUBSTITUTE(V343,",",""))+1))
+IF(OR(X343="No",Y343="No"),0,X343/Y343)
+IF(OR(AD343="No",AE343="No"),0,AD343/AE343)
+IF(OR(AL343="No",AI343="No",AJ343="No"),0,AI343/AJ343*(LEN(AL343)-LEN(SUBSTITUTE(AL343,",",""))+1))
)/(0.2*IF(OR(Q343="No",R343="No",R343=0),0,1)
+IF(OR(V343="No",S343="No",T343="No"),0,LEN(V343)-LEN(SUBSTITUTE(V343,",",""))+1)
+IF(OR(X343="No",Y343="No"),0,1)
+IF(OR(AD343="No",AE343="No"),0,1)
+IF(OR(AL343="No",AI343="No",AJ343="No"),0,LEN(AL343)-LEN(SUBSTITUTE(AL343,",",""))+1))*62%)* 2)*(1 + (AP343 / (IF(_xlfn.XLOOKUP(_xlfn.XLOOKUP(B343,'Base stats'!B:B,'Base stats'!E:E),Groups!A:A,Groups!AJ:AJ)="Photonozoa",0.3,1)) + _xlfn.XLOOKUP(B343,'Base stats'!B:B,'Base stats'!AV:AV) * 1.8) * 2) * 2.5 + 10 + I343 * 2,5)+IF(_xlfn.XLOOKUP(B343,'Base stats'!B:B,'Base stats'!AK:AK)=1,50,0)</f>
        <v>125</v>
      </c>
      <c r="BS343" s="8">
        <f t="shared" si="40"/>
        <v>0.45</v>
      </c>
      <c r="BT343" s="8" t="str">
        <f>_xlfn.XLOOKUP(B343,'Base stats'!B:B,'Base stats'!AF:AF)</f>
        <v>1~3</v>
      </c>
      <c r="BU343" s="2" t="str">
        <f>IF(AND(J343&lt;=0.95,OR(_xlfn.XLOOKUP(B343,'Base stats'!B:B,'Base stats'!AK:AK)=1,_xlfn.XLOOKUP(B343,'Base stats'!B:B,'Base stats'!Y:Y)="Carnivore",_xlfn.XLOOKUP(B343,'Base stats'!B:B,'Base stats'!Y:Y)="Omnivore",BE343&gt;0.1)),"true","false")</f>
        <v>true</v>
      </c>
      <c r="BV343" s="2" t="str">
        <f>IF(_xlfn.XLOOKUP(B343,'Base stats'!B:B,'Base stats'!AI:AI)=1,"true","false")</f>
        <v>false</v>
      </c>
      <c r="BW343" s="25" t="str">
        <f>IF(E343="BaseInsect","AnimalInsect",
IF(J343&gt;0.95,"AnimalExotic",
_xlfn.TEXTJOIN(", ",TRUE,
IF(OR(_xlfn.XLOOKUP(B343,'Base stats'!B:B,'Base stats'!AM:AM)=1,AND(_xlfn.XLOOKUP(B343,'Base stats'!B:B,'Base stats'!O:O)=0,_xlfn.XLOOKUP(_xlfn.XLOOKUP(B343,'Base stats'!B:B,'Base stats'!E:E),Groups!A:A,Groups!B:B)&gt;0)),"AnimalUncommon","AnimalCommon"),
IF(AND(_xlfn.XLOOKUP(B343,'Base stats'!B:B,'Base stats'!O:O)=2,_xlfn.XLOOKUP(_xlfn.XLOOKUP(B343,'Base stats'!B:B,'Base stats'!E:E),Groups!A:A,Groups!D:D)=0),"AnimalPet",IF(AND(_xlfn.XLOOKUP(B343,'Base stats'!B:B,'Base stats'!O:O)&lt;&gt;0,_xlfn.XLOOKUP(_xlfn.XLOOKUP(B343,'Base stats'!B:B,'Base stats'!E:E),Groups!A:A,Groups!D:D)&lt;&gt;0),"AnimalFarm","")),
IF(OR(_xlfn.XLOOKUP(B343,'Base stats'!B:B,'Base stats'!AK:AK)=1,AND(BI343&lt;&gt;"None",BR343&gt;=60),ISNUMBER(SEARCH("Attack target",BP343))),"AnimalFighter","")
)))</f>
        <v>AnimalUncommon, AnimalFighter</v>
      </c>
      <c r="BX343" s="25" t="str">
        <f>IF(G343="None",TRIM(
SUBSTITUTE(
IF(COUNTIF(Biomes!B$2:B$259,"="&amp;$C343)&gt;0,Biomes!B$1&amp;", ","")&amp;
IF(COUNTIF(Biomes!C$2:C$259,"="&amp;$C343)&gt;0,Biomes!C$1&amp;", ","")&amp;
IF(COUNTIF(Biomes!D$2:D$259,"="&amp;$C343)&gt;0,Biomes!D$1&amp;", ","")&amp;
IF(COUNTIF(Biomes!F$2:F$259,"="&amp;$C343)&gt;0,Biomes!F$1&amp;", ","")&amp;
IF(COUNTIF(Biomes!G$2:G$259,"="&amp;$C343)&gt;0,Biomes!G$1&amp;", ","")&amp;
IF(COUNTIF(Biomes!H$2:H$259,"="&amp;$C343)&gt;0,Biomes!H$1&amp;", ","")&amp;
IF(COUNTIF(Biomes!I$2:I$259,"="&amp;$C343)&gt;0,Biomes!I$1&amp;", ","")&amp;
IF(COUNTIF(Biomes!J$2:J$259,"="&amp;$C343)&gt;0,Biomes!J$1&amp;", ","")&amp;
IF(COUNTIF(Biomes!M$2:M$259,"="&amp;$C343)&gt;0,Biomes!M$1&amp;", ","")&amp;
IF(COUNTIF(Biomes!N$2:N$259,"="&amp;$C343)&gt;0,Biomes!N$1&amp;", ","")&amp;
IF(COUNTIF(Biomes!O$2:O$259,"="&amp;$C343)&gt;0,Biomes!O$1&amp;", ","")&amp;
IF(COUNTIF(Biomes!P$2:P$259,"="&amp;$C343)&gt;0,Biomes!P$1&amp;", ","")&amp;
IF(COUNTIF(Biomes!K$2:K$259,"="&amp;$C343)&gt;0,Biomes!K$1&amp;", ","")&amp;
IF(COUNTIF(Biomes!Q$3:Q$259,"="&amp;$C343)&gt;0,Biomes!Q$1&amp;", ","")&amp;
IF(COUNTIF(Biomes!L$2:L$259,"="&amp;$C343)&gt;0,Biomes!L$1&amp;", ","")&amp;
IF(COUNTIF(Biomes!E$2:E$259,"="&amp;$C343)&gt;0,Biomes!E$1&amp;", ","")&amp;IF(COUNTIF(Biomes!S$2:S$259,"="&amp;$C343)&gt;0,Biomes!S$1&amp;", ","")&amp;
IF(COUNTIF(Biomes!R$2:R$259,"="&amp;$C343)&gt;0,Biomes!R$1&amp;", ",""),", ","")
),_xlfn.XLOOKUP(B343,B:B,BX:BX))</f>
        <v>TemperateForest TemperateSwamp TropicalRainforest TropicalSwamp Glowforest</v>
      </c>
      <c r="BY343" s="25" t="str">
        <f>IF(_xlfn.XLOOKUP(B343,'Base stats'!B:B,'Base stats'!AJ:AJ)=1,"true","false")</f>
        <v>false</v>
      </c>
      <c r="BZ343" s="25">
        <f>IF(_xlfn.XLOOKUP(B343,'Base stats'!B:B,'Base stats'!N:N)=1,"No",MAX(0.001,MIN(MROUND(IF(AND(BJ343="True",CC343="False"),POWER(10,3.47*LOG10(_xlfn.XLOOKUP(B343,'Base stats'!B:B,'Base stats'!C:C)*1000)^-0.96),POWER(10,4.15*LOG10(_xlfn.XLOOKUP(B343,'Base stats'!B:B,'Base stats'!C:C)*1000)^-0.73))*IF(_xlfn.XLOOKUP(B343,'Base stats'!B:B,'Base stats'!AK:AK)=1,0.5,1)*IF(_xlfn.XLOOKUP(B343,'Base stats'!B:B,'Base stats'!AM:AM)=1,0.1,1)/100,IF(_xlfn.XLOOKUP(B343,'Base stats'!B:B,'Base stats'!AM:AM)=1,0.001,0.025)),0.5)))</f>
        <v>2.7E-2</v>
      </c>
      <c r="CA343" s="25" t="str">
        <f>IF(P343="Standard","No",MAX(0.001,MIN(MROUND(IF(AND(BJ343="True",CC343="False"),POWER(10,3.47*LOG10(_xlfn.XLOOKUP(B343,'Base stats'!B:B,'Base stats'!C:C)*1000)^-0.96),POWER(10,4.15*LOG10(_xlfn.XLOOKUP(B343,'Base stats'!B:B,'Base stats'!C:C)*1000)^-0.73))*IF(_xlfn.XLOOKUP(B343,'Base stats'!B:B,'Base stats'!AM:AM)=1,0.1,1)*_xlfn.XLOOKUP(B343,'Base stats'!B:B,'Base stats'!R:R)/100,IF(_xlfn.XLOOKUP(B343,'Base stats'!B:B,'Base stats'!AM:AM)=1,0.001,0.025)),0.5)))</f>
        <v>No</v>
      </c>
      <c r="CB343" s="25" t="str">
        <f>IF(_xlfn.XLOOKUP(_xlfn.XLOOKUP(B343,'Base stats'!B:B,'Base stats'!E:E),Groups!A:A,Groups!AJ:AJ)="Mammal","True","False")</f>
        <v>False</v>
      </c>
      <c r="CC343" s="25" t="str">
        <f>IF(OR(_xlfn.XLOOKUP(_xlfn.XLOOKUP(B343,'Base stats'!B:B,'Base stats'!E:E),Groups!A:A,Groups!AJ:AJ)="Reptile",_xlfn.XLOOKUP(_xlfn.XLOOKUP(B343,'Base stats'!B:B,'Base stats'!E:E),Groups!A:A,Groups!AJ:AJ)="Amphibian",_xlfn.XLOOKUP(_xlfn.XLOOKUP(B343,'Base stats'!B:B,'Base stats'!E:E),Groups!A:A,Groups!AJ:AJ)="Invertebrate"),"True","False")</f>
        <v>False</v>
      </c>
      <c r="CD343" s="25" t="str">
        <f t="shared" si="41"/>
        <v>False</v>
      </c>
      <c r="CE343" s="25" t="str">
        <f>IF(_xlfn.XLOOKUP(_xlfn.XLOOKUP(B343,'Base stats'!B:B,'Base stats'!E:E),Groups!A:A,Groups!AX:AX),"True","False")</f>
        <v>True</v>
      </c>
      <c r="CF343" s="25" t="str">
        <f>IF(_xlfn.XLOOKUP(_xlfn.XLOOKUP(B343,'Base stats'!B:B,'Base stats'!E:E),Groups!A:A,Groups!AY:AY),"True","False")</f>
        <v>True</v>
      </c>
      <c r="CG343" s="25" t="str">
        <f>IF(_xlfn.XLOOKUP(_xlfn.XLOOKUP(B343,'Base stats'!B:B,'Base stats'!E:E),Groups!A:A,Groups!AW:AW),"True","False")</f>
        <v>False</v>
      </c>
      <c r="CH343" s="25" t="str">
        <f>IF(
OR(
_xlfn.XLOOKUP(_xlfn.XLOOKUP(B343,'Base stats'!B:B,'Base stats'!E:E),Groups!A:A,Groups!AZ:AZ)=0,
AND(
_xlfn.XLOOKUP(B343,'Base stats'!B:B,'Base stats'!Y:Y)&lt;&gt;"Carnivore",
_xlfn.XLOOKUP(B343,'Base stats'!B:B,'Base stats'!Y:Y)&lt;&gt;"Omnivore",
_xlfn.XLOOKUP(B343,'Base stats'!B:B,'Base stats'!Y:Y)&lt;&gt;"OmnivoreRough"
)
),
"No",
IF(
_xlfn.XLOOKUP(_xlfn.XLOOKUP(B343,'Base stats'!B:B,'Base stats'!E:E),Groups!A:A,Groups!AZ:AZ)=1,
"Flesh",
IF(
_xlfn.XLOOKUP(_xlfn.XLOOKUP(B343,'Base stats'!B:B,'Base stats'!E:E),Groups!A:A,Groups!AZ:AZ)=2,
"Bone",
""
)
)
)</f>
        <v>No</v>
      </c>
      <c r="CI343" s="25" t="str">
        <f>IF(_xlfn.XLOOKUP(_xlfn.XLOOKUP(B343,'Base stats'!B:B,'Base stats'!E:E),Groups!A:A,Groups!BB:BB),"True","False")</f>
        <v>False</v>
      </c>
      <c r="CJ343" s="25" t="str">
        <f>IF(_xlfn.XLOOKUP(_xlfn.XLOOKUP(B343,'Base stats'!B:B,'Base stats'!E:E),Groups!A:A,Groups!BA:BA),"True","False")</f>
        <v>False</v>
      </c>
    </row>
    <row r="344" spans="1:88" ht="16.5" thickTop="1" thickBot="1" x14ac:dyDescent="0.3">
      <c r="A344" s="26" t="s">
        <v>1600</v>
      </c>
      <c r="B344" s="6" t="str">
        <f>_xlfn.XLOOKUP(A344,'Base stats'!A:A,'Base stats'!B:B)</f>
        <v>Mycopodium ferus</v>
      </c>
      <c r="C344" s="28" t="s">
        <v>1601</v>
      </c>
      <c r="D344" s="28" t="s">
        <v>1341</v>
      </c>
      <c r="E344" s="28" t="s">
        <v>673</v>
      </c>
      <c r="F344" s="28" t="s">
        <v>673</v>
      </c>
      <c r="G344" s="28" t="s">
        <v>673</v>
      </c>
      <c r="H344" s="2">
        <f>MROUND((
  (IF(AND(_xlfn.XLOOKUP(B344,'Base stats'!B:B,'Base stats'!AL:AL)=0,BI344="None",_xlfn.XLOOKUP(_xlfn.XLOOKUP(B344,'Base stats'!B:B,'Base stats'!E:E),Groups!A:A,Groups!B:B)=0), (18 + BR344 * 2.7) * 0.5,
    IF(AND(_xlfn.XLOOKUP(B344,'Base stats'!B:B,'Base stats'!AL:AL)=0,OR(AO344&lt;0.55,AND(BI344="Intermediate",_xlfn.XLOOKUP(_xlfn.XLOOKUP(B344,'Base stats'!B:B,'Base stats'!E:E),Groups!A:A,Groups!B:B)&lt;2))), (18 + BR344 * 2.7),
      IF(OR(BI344="Advanced",_xlfn.XLOOKUP(B344,'Base stats'!B:B,'Base stats'!AL:AL)=1,_xlfn.XLOOKUP(_xlfn.XLOOKUP(B344,'Base stats'!B:B,'Base stats'!E:E),Groups!A:A,Groups!B:B)=2), (18 + BR344 * 2.7) + 250, (18 + BR344 * 2.7))
    )
  ))
  + AO344 * 80
  + IF(COUNTIF(EggMilk!K$2:K$998, A344) &gt; 0, 125, 0)
  + IF(COUNTIF(EggMilk!P$2:P$998, A344) &gt; 0, 90, 0)
  + IF(COUNTIF(EggMilk!A$2:A$998, A344) &gt; 0, 90, 0)
)
* (0.8 + 0.4 * J344)
* 0.75,25)</f>
        <v>2725</v>
      </c>
      <c r="I344" s="2">
        <f>MROUND(ROUNDDOWN(_xlfn.XLOOKUP(B344,'Base stats'!B:B,'Base stats'!L:L)/3.6/(23.3/11),1),0.5)</f>
        <v>2.5</v>
      </c>
      <c r="J344" s="2">
        <f>IF(OR(_xlfn.XLOOKUP(B344,'Base stats'!B:B,'Base stats'!AB:AB)=1,_xlfn.XLOOKUP(_xlfn.XLOOKUP(B344,'Base stats'!B:B,'Base stats'!E:E),Groups!A:A,Groups!C:C)="Untamable"),1,IF(_xlfn.XLOOKUP(B344,'Base stats'!B:B,'Base stats'!AL:AL)=1,0.99,MIN(MROUND((1-0.6282*EXP(-0.459*AO344))*_xlfn.XLOOKUP(_xlfn.XLOOKUP(B344,'Base stats'!B:B,'Base stats'!E:E),Groups!A:A,Groups!C:C)*IF(_xlfn.XLOOKUP(B344,'Base stats'!B:B,'Base stats'!O:O)=1,0.5,IF(_xlfn.XLOOKUP(B344,'Base stats'!B:B,'Base stats'!O:O)=2,0,1)),0.05),IF(AO344&gt;3.5,0.985,0.95))))</f>
        <v>0.95000000000000007</v>
      </c>
      <c r="K344" s="2">
        <f>ROUNDUP(AO344*_xlfn.XLOOKUP(_xlfn.XLOOKUP(B344,'Base stats'!B:B,'Base stats'!E:E),Groups!A:A,Groups!E:E),0)</f>
        <v>5</v>
      </c>
      <c r="L344" s="2">
        <f>IF(OR(_xlfn.XLOOKUP(_xlfn.XLOOKUP(B344,'Base stats'!B:B,'Base stats'!E:E),Groups!A:A,Groups!F:F)=2,ISNUMBER(SEARCH("SeaIce",BX344)),ISNUMBER(SEARCH("IceSheet",BX344))),-50,IF(OR(ISNUMBER(SEARCH("GlacialPlain",BX344)),ISNUMBER(SEARCH("Tundra",BX344))),-40,IF(OR(ISNUMBER(SEARCH("Alpine",BX344)),ISNUMBER(SEARCH("BorealForest",BX344)),ISNUMBER(SEARCH("ColdBog",BX344))),-30,IF(OR(ISNUMBER(SEARCH("TemperateForest",BX344)),ISNUMBER(SEARCH("TemperateSwamp",BX344))),-20,IF(_xlfn.XLOOKUP(_xlfn.XLOOKUP(B344,'Base stats'!B:B,'Base stats'!E:E),Groups!A:A,Groups!F:F)=1,-15,IF(OR(ISNUMBER(SEARCH("Desert",BX344)),ISNUMBER(SEARCH("ExtremeDesert",BX344))),-10,IF(OR(ISNUMBER(SEARCH("Grasslands",BX344)),ISNUMBER(SEARCH("TropicalRainforest",BX344)),ISNUMBER(SEARCH("TropicalSwamp",BX344))),10,0)))))))-IF(CC344="False",MIN(IFERROR(MAX(MROUND(LOG10(_xlfn.XLOOKUP(B344,'Base stats'!B:B,'Base stats'!C:C)^(2/3))*10,5),5),5),30))-_xlfn.XLOOKUP(B344,'Base stats'!B:B,'Base stats'!P:P)+IF(CC344="True",5,0)</f>
        <v>-15</v>
      </c>
      <c r="M344" s="2">
        <f>IF(OR(_xlfn.XLOOKUP(_xlfn.XLOOKUP(B344,'Base stats'!B:B,'Base stats'!E:E),Groups!A:A,Groups!G:G)=2,ISNUMBER(SEARCH("Desert",BX344)),ISNUMBER(SEARCH("ExtremeDesert",BX344)),ISNUMBER(SEARCH("LavaField",BX344))),50,IF(ISNUMBER(SEARCH("Grasslands",BX344)),45,IF(OR(_xlfn.XLOOKUP(_xlfn.XLOOKUP(B344,'Base stats'!B:B,'Base stats'!E:E),Groups!A:A,Groups!G:G)=1,ISNUMBER(SEARCH("TropicalRainforest",BX344)),ISNUMBER(SEARCH("TropicalSwamp",BX344))),40,IF(OR(ISNUMBER(SEARCH("TemperateForest",BX344)),ISNUMBER(SEARCH("TemperateSwamp",BX344))),35,IF(OR(ISNUMBER(SEARCH("Alpine",BX344)),ISNUMBER(SEARCH("BorealForest",BX344)),ISNUMBER(SEARCH("ColdBog",BX344))),30,IF(ISNUMBER(OR(ISNUMBER(SEARCH("GlacialPlain",BX344)),SEARCH("Tundra",BX344))),25,IF(OR(ISNUMBER(SEARCH("SeaIce",BX344)),ISNUMBER(SEARCH("IceSheet",BX344)),ISNUMBER(SEARCH("TropicalSwamp",BX344))),10,35)))))))+_xlfn.XLOOKUP(B344,'Base stats'!B:B,'Base stats'!Q:Q)</f>
        <v>40</v>
      </c>
      <c r="N344" s="8">
        <f>IF(
_xlfn.XLOOKUP(
_xlfn.XLOOKUP(B344,'Base stats'!B:B,'Base stats'!E:E),
Groups!A:A,
Groups!L:L
)=1,
MIN(
MROUND(
IF(
_xlfn.XLOOKUP(B344,'Animals CE'!B:B,'Animals CE'!Z:Z)&lt;=1.5,
_xlfn.XLOOKUP(B344,'Animals CE'!B:B,'Animals CE'!Z:Z)/2+0.05,
0.8+
(_xlfn.XLOOKUP(B344,'Animals CE'!B:B,'Animals CE'!Z:Z)-1.5)
*0.02
),
0.05
),
200%
),
"No"
)</f>
        <v>1.05</v>
      </c>
      <c r="O344" s="8">
        <f>IF(
_xlfn.XLOOKUP(
_xlfn.XLOOKUP(B344,'Base stats'!B:B,'Base stats'!E:E),
Groups!A:A,
Groups!L:L
)=1,
MIN(
MROUND(
IF(
_xlfn.XLOOKUP(B344,'Animals CE'!B:B,'Animals CE'!AA:AA)&lt;=1.5,
_xlfn.XLOOKUP(B344,'Animals CE'!B:B,'Animals CE'!AA:AA)/2+0.05,
0.8+
(_xlfn.XLOOKUP(B344,'Animals CE'!B:B,'Animals CE'!AA:AA)-1.5)
*0.02
),
0.05
),
200%
),
"No"
)</f>
        <v>2</v>
      </c>
      <c r="P344" s="2" t="str">
        <f>_xlfn.XLOOKUP(B344,'Base stats'!B:B,'Base stats'!R:R)</f>
        <v>Standard</v>
      </c>
      <c r="Q344" s="13">
        <f>MROUND((LOG10(_xlfn.XLOOKUP(B344,'Base stats'!B:B,'Base stats'!AR:AR))*(AO344^0.5)+(_xlfn.XLOOKUP(B344,'Base stats'!B:B,'Base stats'!AR:AR)/1000)^(2/3)+_xlfn.XLOOKUP(B344,'Base stats'!B:B,'Base stats'!BA:BA)/2)+0.5,0.5)</f>
        <v>37</v>
      </c>
      <c r="R344" s="7">
        <f>IF(Q344="No","No",MAX(1,MROUND(_xlfn.XLOOKUP(B344,'Base stats'!B:B,'Base stats'!C:C)^0.165,0.05)))</f>
        <v>4.1000000000000005</v>
      </c>
      <c r="S344" s="13" t="str">
        <f>IF(_xlfn.XLOOKUP(_xlfn.XLOOKUP(B344,'Base stats'!B:B,'Base stats'!E:E),Groups!A:A,Groups!P:P)=0,"No",MROUND((LOG10(_xlfn.XLOOKUP(B344,'Base stats'!B:B,'Base stats'!AS:AS))*(AO344^0.5)+(_xlfn.XLOOKUP(B344,'Base stats'!B:B,'Base stats'!AS:AS)/1000)^(2/3)+_xlfn.XLOOKUP(B344,'Base stats'!B:B,'Base stats'!BA:BA))+_xlfn.XLOOKUP(B344,'Base stats'!B:B,'Base stats'!AY:AY)+0.5,0.5))</f>
        <v>No</v>
      </c>
      <c r="T344" s="7" t="str">
        <f>IF(S344="No","No",MAX(_xlfn.XLOOKUP(_xlfn.XLOOKUP(B344,'Base stats'!B:B,'Base stats'!E:E),Groups!A:A,Groups!Q:Q),MROUND(_xlfn.XLOOKUP(_xlfn.XLOOKUP(B344,'Base stats'!B:B,'Base stats'!E:E),Groups!A:A,Groups!Q:Q)*_xlfn.XLOOKUP(B344,'Base stats'!B:B,'Base stats'!C:C)^0.165,0.05)))</f>
        <v>No</v>
      </c>
      <c r="U344" s="7" t="str">
        <f>IF(S344="No","No",_xlfn.XLOOKUP(_xlfn.XLOOKUP(B344,'Base stats'!B:B,'Base stats'!E:E),Groups!A:A,Groups!R:R))</f>
        <v>No</v>
      </c>
      <c r="V344" s="7" t="str">
        <f>IF(S344="No","No",_xlfn.XLOOKUP(_xlfn.XLOOKUP(B344,'Base stats'!B:B,'Base stats'!E:E),Groups!A:A,Groups!S:S))</f>
        <v>No</v>
      </c>
      <c r="W344" s="7" t="str">
        <f>IF(S344="No","No",_xlfn.XLOOKUP(_xlfn.XLOOKUP(B344,'Base stats'!B:B,'Base stats'!E:E),Groups!A:A,Groups!T:T))</f>
        <v>No</v>
      </c>
      <c r="X344" s="13" t="str">
        <f>IF(_xlfn.XLOOKUP(B344,'Base stats'!B:B,'Base stats'!W:W)="No","No",MROUND((LOG10(_xlfn.XLOOKUP(B344,'Base stats'!B:B,'Base stats'!AU:AU))*(AO344^0.5)+(_xlfn.XLOOKUP(B344,'Base stats'!B:B,'Base stats'!AU:AU)/1000)^(2/3)+_xlfn.XLOOKUP(B344,'Base stats'!B:B,'Base stats'!AZ:AZ))+0.5+IF(_xlfn.XLOOKUP(_xlfn.XLOOKUP(B344,'Base stats'!B:B,'Base stats'!E:E),Groups!A:A,Groups!U:U)&lt;&gt;3,_xlfn.XLOOKUP(B344,'Base stats'!B:B,'Base stats'!BA:BA),0),0.5))</f>
        <v>No</v>
      </c>
      <c r="Y344" s="7" t="str">
        <f>IF(X344="No","No",MAX(_xlfn.XLOOKUP(_xlfn.XLOOKUP(B344,'Base stats'!B:B,'Base stats'!E:E),Groups!A:A,Groups!V:V),MROUND(_xlfn.XLOOKUP(_xlfn.XLOOKUP(B344,'Base stats'!B:B,'Base stats'!E:E),Groups!A:A,Groups!V:V)*_xlfn.XLOOKUP(B344,'Base stats'!B:B,'Base stats'!C:C)^0.165,0.05)))</f>
        <v>No</v>
      </c>
      <c r="Z344" s="7" t="str">
        <f>IF(X344="No","No",_xlfn.XLOOKUP(_xlfn.XLOOKUP(B344,'Base stats'!B:B,'Base stats'!E:E),Groups!A:A,Groups!W:W))</f>
        <v>No</v>
      </c>
      <c r="AA344" s="7" t="str">
        <f>IF(X344="No","No",_xlfn.XLOOKUP(_xlfn.XLOOKUP(B344,'Base stats'!B:B,'Base stats'!E:E),Groups!A:A,Groups!X:X))</f>
        <v>No</v>
      </c>
      <c r="AB344" s="7" t="str">
        <f>IF(X344="No","No",_xlfn.XLOOKUP(_xlfn.XLOOKUP(B344,'Base stats'!B:B,'Base stats'!E:E),Groups!A:A,Groups!Y:Y))</f>
        <v>No</v>
      </c>
      <c r="AC344" s="7" t="str">
        <f>_xlfn.XLOOKUP(Animals!B344,'Base stats'!B:B,'Base stats'!X:X)</f>
        <v>False</v>
      </c>
      <c r="AD344" s="13">
        <f>IF(_xlfn.XLOOKUP(B344,'Base stats'!B:B,'Base stats'!AT:AT)="No","No",MROUND((LOG10(_xlfn.XLOOKUP(B344,'Base stats'!B:B,'Base stats'!AT:AT))*(AO344^0.75)+(_xlfn.XLOOKUP(B344,'Base stats'!B:B,'Base stats'!AT:AT)/1000)^(2/3)+_xlfn.XLOOKUP(B344,'Base stats'!B:B,'Base stats'!AX:AX)+_xlfn.XLOOKUP(B344,'Base stats'!B:B,'Base stats'!BA:BA))+0.5,0.5))</f>
        <v>52.5</v>
      </c>
      <c r="AE344" s="7">
        <f>IF(AD344="No","No",MAX(_xlfn.XLOOKUP(_xlfn.XLOOKUP(B344,'Base stats'!B:B,'Base stats'!E:E),Groups!A:A,Groups!Z:Z),MROUND(_xlfn.XLOOKUP(_xlfn.XLOOKUP(B344,'Base stats'!B:B,'Base stats'!E:E),Groups!A:A,Groups!Z:Z)*_xlfn.XLOOKUP(B344,'Base stats'!B:B,'Base stats'!C:C)^0.165,0.05)))</f>
        <v>4.1000000000000005</v>
      </c>
      <c r="AF344" s="7" t="str">
        <f>IF(AD344="No","No",_xlfn.XLOOKUP(_xlfn.XLOOKUP(B344,'Base stats'!B:B,'Base stats'!E:E),Groups!A:A,Groups!AA:AA))</f>
        <v>Teeth</v>
      </c>
      <c r="AG344" s="7" t="str">
        <f>IF(AD344="No","No",_xlfn.XLOOKUP(_xlfn.XLOOKUP(B344,'Base stats'!B:B,'Base stats'!E:E),Groups!A:A,Groups!AB:AB))</f>
        <v>teeth</v>
      </c>
      <c r="AH344" s="7" t="str">
        <f>IF(AD344="No","No",_xlfn.XLOOKUP(_xlfn.XLOOKUP(B344,'Base stats'!B:B,'Base stats'!E:E),Groups!A:A,Groups!AC:AC))</f>
        <v>ToxicBite</v>
      </c>
      <c r="AI344" s="13">
        <f>IF(_xlfn.XLOOKUP(_xlfn.XLOOKUP(B344,'Base stats'!B:B,'Base stats'!E:E),Groups!A:A,Groups!AD:AD)=0,"No",MROUND((LOG10(_xlfn.XLOOKUP(B344,'Base stats'!B:B,'Base stats'!AS:AS))*(AO344^0.75)+(_xlfn.XLOOKUP(B344,'Base stats'!B:B,'Base stats'!AS:AS)/1000)^(2/3)+_xlfn.XLOOKUP(B344,'Base stats'!B:B,'Base stats'!AY:AY)+_xlfn.XLOOKUP(B344,'Base stats'!B:B,'Base stats'!BA:BA))+0.5,0.5))</f>
        <v>53.5</v>
      </c>
      <c r="AJ344" s="7">
        <f>IF(AI344="No","No",MAX(_xlfn.XLOOKUP(_xlfn.XLOOKUP(B344,'Base stats'!B:B,'Base stats'!E:E),Groups!A:A,Groups!AE:AE),MROUND(_xlfn.XLOOKUP(_xlfn.XLOOKUP(B344,'Base stats'!B:B,'Base stats'!E:E),Groups!A:A,Groups!AE:AE)*IF(_xlfn.XLOOKUP(_xlfn.XLOOKUP(B344,'Base stats'!B:B,'Base stats'!E:E),Groups!A:A,Groups!AJ:AJ)="Photonozoa",0.6,1)*_xlfn.XLOOKUP(B344,'Base stats'!B:B,'Base stats'!C:C)^0.165,0.05)))</f>
        <v>2.85</v>
      </c>
      <c r="AK344" s="7" t="str">
        <f>IF(AI344="No","No",_xlfn.XLOOKUP(_xlfn.XLOOKUP(B344,'Base stats'!B:B,'Base stats'!E:E),Groups!A:A,Groups!AF:AF))</f>
        <v>FrontLeftPaw, FrontRightPaw</v>
      </c>
      <c r="AL344" s="7" t="str">
        <f>IF(AI344="No","No",_xlfn.XLOOKUP(_xlfn.XLOOKUP(B344,'Base stats'!B:B,'Base stats'!E:E),Groups!A:A,Groups!AG:AG))</f>
        <v>left claw, right claw</v>
      </c>
      <c r="AM344" s="7" t="str">
        <f>IF(AI344="No","No",_xlfn.XLOOKUP(_xlfn.XLOOKUP(B344,'Base stats'!B:B,'Base stats'!E:E),Groups!A:A,Groups!AH:AH))</f>
        <v>Scratch</v>
      </c>
      <c r="AN344" s="2" t="str">
        <f t="shared" si="35"/>
        <v>No</v>
      </c>
      <c r="AO344" s="2">
        <f>MROUND(IF(AND(_xlfn.XLOOKUP(B344,'Base stats'!B:B,'Base stats'!C:C)&gt;=0.5,_xlfn.XLOOKUP(B344,'Base stats'!B:B,'Base stats'!C:C)&lt;=0.8),
IF(_xlfn.XLOOKUP(B344,'Base stats'!B:B,'Base stats'!C:C)&lt;0.1,0.05,IF(_xlfn.XLOOKUP(B344,'Base stats'!B:B,'Base stats'!C:C)&lt;=70,(_xlfn.XLOOKUP(B344,'Base stats'!B:B,'Base stats'!C:C)/70)^0.426489913056526,IF(_xlfn.XLOOKUP(B344,'Base stats'!B:B,'Base stats'!C:C)&lt;=400,(_xlfn.XLOOKUP(B344,'Base stats'!B:B,'Base stats'!C:C)/70)^0.572811455315093,IF(_xlfn.XLOOKUP(B344,'Base stats'!B:B,'Base stats'!C:C)&lt;=2000,2.71391647193063*(_xlfn.XLOOKUP(B344,'Base stats'!B:B,'Base stats'!C:C)/400)^0.252459582904293,3.74314280240376*(_xlfn.XLOOKUP(B344,'Base stats'!B:B,'Base stats'!C:C)/2000)^0.357012633876913)))),
IF(_xlfn.XLOOKUP(B344,'Base stats'!B:B,'Base stats'!C:C)&lt;0.1,0.05,IF(_xlfn.XLOOKUP(B344,'Base stats'!B:B,'Base stats'!C:C)&lt;0.4,0.1,IF(_xlfn.XLOOKUP(B344,'Base stats'!B:B,'Base stats'!C:C)&lt;=70,(_xlfn.XLOOKUP(B344,'Base stats'!B:B,'Base stats'!C:C)/70)^0.445823913056526,IF(_xlfn.XLOOKUP(B344,'Base stats'!B:B,'Base stats'!C:C)&lt;=400,(_xlfn.XLOOKUP(B344,'Base stats'!B:B,'Base stats'!C:C)/70)^0.572811455315093,IF(_xlfn.XLOOKUP(B344,'Base stats'!B:B,'Base stats'!C:C)&lt;=2000,2.71391647193063*(_xlfn.XLOOKUP(B344,'Base stats'!B:B,'Base stats'!C:C)/400)^0.252459582904293,3.74314280240376*(_xlfn.XLOOKUP(B344,'Base stats'!B:B,'Base stats'!C:C)/2000)^0.357012633876913)))))),
IF(_xlfn.XLOOKUP(B344,'Base stats'!B:B,'Base stats'!C:C)&lt;0.1,0.05,IF(_xlfn.XLOOKUP(B344,'Base stats'!B:B,'Base stats'!C:C)&lt;=100,0.05,IF(_xlfn.XLOOKUP(B344,'Base stats'!B:B,'Base stats'!C:C)&lt;=250,0.1,IF(_xlfn.XLOOKUP(B344,'Base stats'!B:B,'Base stats'!C:C)&lt;=4000,0.25,0.5)))))</f>
        <v>5</v>
      </c>
      <c r="AP344" s="8">
        <f>MROUND(AO344*_xlfn.XLOOKUP(_xlfn.XLOOKUP(B344,'Base stats'!B:B,'Base stats'!E:E),Groups!A:A,Groups!AI:AI)*_xlfn.XLOOKUP(B344,'Base stats'!B:B,'Base stats'!Z:Z),0.05)</f>
        <v>5</v>
      </c>
      <c r="AQ344" s="8">
        <f>MAX(0.01,MROUND(IF(CC344="True",0.196*(AO344*100*1000)^0.889,IF(_xlfn.XLOOKUP(_xlfn.XLOOKUP(B344,'Base stats'!B:B,'Base stats'!E:E),Groups!A:A,Groups!AJ:AJ)="Bird",10.5*(AO344*100*1000)^0.681,4.82*(AO344*100*1000)^0.734))/(4.82*(1*100*1000)^0.734)/IF(AO344&lt;3.5,2,IF(AO344=3.5,1.5,1.25))*(1+0.132282374779864/(AO344^0.994035016789033+0.00905238001496948)),0.05))</f>
        <v>2.7</v>
      </c>
      <c r="AR344" s="9">
        <f>IFERROR(MROUND(_xlfn.XLOOKUP(B344,'Base stats'!B:B,'Base stats'!H:H)/IF(_xlfn.XLOOKUP(B344,'Base stats'!B:B,'Base stats'!I:I)&lt;&gt;1,(122.5/70),1.2),IF(_xlfn.XLOOKUP(B344,'Base stats'!B:B,'Base stats'!H:H)&gt;=30,5,IF(_xlfn.XLOOKUP(B344,'Base stats'!B:B,'Base stats'!H:H)&gt;=15,3,IF(_xlfn.XLOOKUP(B344,'Base stats'!B:B,'Base stats'!H:H)&gt;=10,2,1)))),"Immortal")</f>
        <v>60</v>
      </c>
      <c r="AS344" s="35" t="str">
        <f>IFERROR(IF(OR(_xlfn.XLOOKUP(B344,'Base stats'!B:B,'Base stats'!F:F)="Atypical reproduction",_xlfn.XLOOKUP(B344,'Base stats'!B:B,'Base stats'!F:F)="Lay eggs"),"Lay eggs",MIN(20,MAX(5.5,ROUND(((_xlfn.XLOOKUP(B344,'Base stats'!B:B,'Base stats'!F:F)-25)*(14.5/615) + 5.5)*2,0)/2))),"Unknown")</f>
        <v>Lay eggs</v>
      </c>
      <c r="AT344" s="8">
        <f>IF(_xlfn.XLOOKUP(B344,'Base stats'!B:B,'Base stats'!G:G)="Atypical reproduction","No",IFERROR(MAX(IF(_xlfn.XLOOKUP(B344,'Base stats'!B:B,'Base stats'!G:G)&lt;0.5,0.2,0.3),MROUND(_xlfn.XLOOKUP(B344,'Base stats'!B:B,'Base stats'!G:G)/(365/60),0.2)),"Unknown"))</f>
        <v>1</v>
      </c>
      <c r="AU344" s="8">
        <f t="shared" si="36"/>
        <v>0.5</v>
      </c>
      <c r="AV344" s="8" t="str">
        <f>IFERROR(IFERROR(MROUND(_xlfn.XLOOKUP(B344,'Base stats'!B:B,'Base stats'!J:J),0.1),"Lay eggs"),"Cannot breed")</f>
        <v>Lay eggs</v>
      </c>
      <c r="AW344" s="2" t="str">
        <f t="shared" si="37"/>
        <v>false</v>
      </c>
      <c r="AX344" s="2" t="str">
        <f>IF(_xlfn.XLOOKUP(_xlfn.XLOOKUP(Animals!B344,'Base stats'!B:B,'Base stats'!E:E),Groups!A:A,Groups!AK:AK)=1,"true","false")</f>
        <v>false</v>
      </c>
      <c r="AY344" s="25" t="str">
        <f>IF(_xlfn.XLOOKUP(B344,'Base stats'!B:B,'Base stats'!Y:Y)="Liquor","Liquor, CarnivoreAnimalStrict",IF(AND(_xlfn.XLOOKUP(B344,'Base stats'!B:B,'Base stats'!Y:Y)="Carnivore",_xlfn.XLOOKUP(_xlfn.XLOOKUP(B344,'Base stats'!B:B,'Base stats'!E:E),Groups!A:A,Groups!AJ:AJ)="Photonozoa"),"CarnivoreAnimalStrict, OvivoreAnimal",IF(_xlfn.XLOOKUP(B344,'Base stats'!B:B,'Base stats'!Y:Y)="Carnivore","CarnivoreAnimal, OvivoreAnimal",IF(_xlfn.XLOOKUP(B344,'Base stats'!B:B,'Base stats'!Y:Y)="Dendrovore","VegetarianRoughAnimal, DendrovoreAnimal",IF(_xlfn.XLOOKUP(B344,'Base stats'!B:B,'Base stats'!Y:Y)="Herbivore","VegetarianRoughAnimal",IF(_xlfn.XLOOKUP(B344,'Base stats'!B:B,'Base stats'!Y:Y)="OmnivoreRough","OmnivoreRoughAnimal, OvivoreAnimal","OmnivoreAnimal, OvivoreAnimal"))))))</f>
        <v>VegetarianRoughAnimal</v>
      </c>
      <c r="AZ344" s="2" t="str">
        <f>IF(_xlfn.XLOOKUP(_xlfn.XLOOKUP(B344,'Base stats'!B:B,'Base stats'!E:E),Groups!A:A,Groups!D:D)=1,MROUND((1-J344)*5+1,2)*IF(J344&lt;=0.4,2,1),"No")</f>
        <v>No</v>
      </c>
      <c r="BA344" s="2" t="str">
        <f>IF(AND(_xlfn.XLOOKUP(B344,'Base stats'!B:B,'Base stats'!AH:AH)="&lt;li&gt;Seal&lt;/li&gt;",G344="Odyssey"),"&lt;li&gt;AEXP_Seal&lt;/li&gt;",_xlfn.XLOOKUP(B344,'Base stats'!B:B,'Base stats'!AH:AH))</f>
        <v>No</v>
      </c>
      <c r="BB344" s="2" t="str">
        <f>_xlfn.XLOOKUP(B344,'Base stats'!B:B,'Base stats'!AG:AG)</f>
        <v>No</v>
      </c>
      <c r="BC344" s="23" t="str">
        <f>_xlfn.XLOOKUP(_xlfn.XLOOKUP(B344,'Base stats'!B:B,'Base stats'!E:E),Groups!A:A,Groups!AL:AL)</f>
        <v>QuadrupedAnimalWithPaws</v>
      </c>
      <c r="BD344" s="23">
        <f>MIN(1,MROUND(IF(AND(AO344&lt;0.5,_xlfn.XLOOKUP(B344,'Base stats'!B:B,'Base stats'!AA:AA)=0),0,IF(OR(_xlfn.XLOOKUP(Animals!B344,'Base stats'!B:B,'Base stats'!O:O)=2,_xlfn.XLOOKUP(_xlfn.XLOOKUP(B344,'Base stats'!B:B,'Base stats'!E:E),Groups!A:A,Groups!AN:AN)=0),0,_xlfn.XLOOKUP(_xlfn.XLOOKUP(B344,'Base stats'!B:B,'Base stats'!E:E),Groups!A:A,Groups!AN:AN)/IF(_xlfn.XLOOKUP(Animals!B344,'Base stats'!B:B,'Base stats'!O:O)=1,2,1)))+_xlfn.XLOOKUP(B344,'Base stats'!B:B,'Base stats'!AC:AC),0.005))</f>
        <v>0.1</v>
      </c>
      <c r="BE344" s="23">
        <f>MIN(1,MROUND(IF(AND(AO344&lt;0.5,_xlfn.XLOOKUP(B344,'Base stats'!B:B,'Base stats'!AA:AA)=0),0,IF(_xlfn.XLOOKUP(_xlfn.XLOOKUP(B344,'Base stats'!B:B,'Base stats'!E:E),Groups!A:A,Groups!AO:AO)=0,0,_xlfn.XLOOKUP(_xlfn.XLOOKUP(B344,'Base stats'!B:B,'Base stats'!E:E),Groups!A:A,Groups!AO:AO)/IF(_xlfn.XLOOKUP(Animals!B344,'Base stats'!B:B,'Base stats'!O:O)=2,3,1)))+_xlfn.XLOOKUP(B344,'Base stats'!B:B,'Base stats'!AD:AD),0.005))</f>
        <v>0.3</v>
      </c>
      <c r="BF344" s="2" t="str">
        <f>IF(J344&gt;0.3,"No",_xlfn.XLOOKUP(_xlfn.XLOOKUP(Animals!B344,'Base stats'!B:B,'Base stats'!E:E),Groups!A:A,Groups!AP:AP))</f>
        <v>No</v>
      </c>
      <c r="BG344" s="2" t="str">
        <f>IF(AND(J344&lt;=0.65,_xlfn.XLOOKUP(_xlfn.XLOOKUP(Animals!B344,'Base stats'!B:B,'Base stats'!E:E),Groups!A:A,Groups!AP:AP)&lt;&gt;"No",_xlfn.XLOOKUP(_xlfn.XLOOKUP(B344,'Base stats'!B:B,'Base stats'!E:E),Groups!A:A,Groups!D:D)=0),MROUND((80/3)*IF(_xlfn.XLOOKUP(B344,'Base stats'!B:B,'Base stats'!O:O)=2,0.2,AO344) + 24*(1-IF(BF344="No",0,BF344)) + 16/3, 12),"No")</f>
        <v>No</v>
      </c>
      <c r="BH344" s="2">
        <f>IF(AND(_xlfn.XLOOKUP(_xlfn.XLOOKUP(B344,'Base stats'!B:B,'Base stats'!E:E),Groups!A:A,Groups!AQ:AQ)=1,AO344&lt;=0.35),8,12)</f>
        <v>12</v>
      </c>
      <c r="BI344" s="2" t="str">
        <f>IF(_xlfn.XLOOKUP(_xlfn.XLOOKUP(B344,'Base stats'!B:B,'Base stats'!E:E),Groups!A:A,Groups!D:D)=0,_xlfn.XLOOKUP(_xlfn.XLOOKUP(B344,'Base stats'!B:B,'Base stats'!E:E),Groups!A:A,Groups!AR:AR),"None")</f>
        <v>Intermediate</v>
      </c>
      <c r="BJ344" s="2" t="str">
        <f>IF(AND(_xlfn.XLOOKUP(_xlfn.XLOOKUP(B344,'Base stats'!B:B,'Base stats'!E:E),Groups!A:A,Groups!AS:AS)=1,OR(_xlfn.XLOOKUP(B344,'Base stats'!B:B,'Base stats'!Y:Y)="Carnivore",_xlfn.XLOOKUP(B344,'Base stats'!B:B,'Base stats'!Y:Y)="Omnivore")),"true","false")</f>
        <v>false</v>
      </c>
      <c r="BK344" s="2" t="str">
        <f>IF(BJ344="true",MROUND(IF(AND(AO344&gt;0.5,OR(_xlfn.XLOOKUP(_xlfn.XLOOKUP(B344,'Base stats'!B:B,'Base stats'!E:E),Groups!A:A,Groups!AJ:AJ)="Photonozoa",_xlfn.XLOOKUP(_xlfn.XLOOKUP(B344,'Base stats'!B:B,'Base stats'!E:E),Groups!A:A,Groups!AJ:AJ)="Mammal")),Animals!AO344*1.75*IF(AW344="true",1.5,1),IF(AO344&lt;0.5,Animals!AO344*0.5,Animals!AO344)),IF(AO344&gt;2,0.5,IF(AO344&gt;0.5,0.25,0.1))),"No")</f>
        <v>No</v>
      </c>
      <c r="BL344" s="2">
        <f t="shared" si="38"/>
        <v>1</v>
      </c>
      <c r="BM344" s="25" t="str">
        <f>IF(_xlfn.XLOOKUP(B344,'Base stats'!B:B,'Base stats'!AN:AN)="Standard","No",MROUND((_xlfn.XLOOKUP(B344,'Base stats'!B:B,'Base stats'!AN:AN)/3.6)/I344,0.1))</f>
        <v>No</v>
      </c>
      <c r="BN344" s="25" t="str">
        <f t="shared" si="39"/>
        <v>false</v>
      </c>
      <c r="BO344" s="25" t="str">
        <f>IF(AND(OR(_xlfn.XLOOKUP(B344,'Base stats'!B:B,'Base stats'!Y:Y)="Carnivore",_xlfn.XLOOKUP(B344,'Base stats'!B:B,'Base stats'!Y:Y)="Omnivore",_xlfn.XLOOKUP(B344,'Base stats'!B:B,'Base stats'!Y:Y)="OmnivoreRough"),_xlfn.XLOOKUP(_xlfn.XLOOKUP(B344,'Base stats'!B:B,'Base stats'!E:E),Groups!A:A,Groups!AT:AT)=1),"true","false")</f>
        <v>false</v>
      </c>
      <c r="BP344" s="25" t="str" cm="1">
        <f t="array" ref="BP344">IF(
  _xlfn.TEXTJOIN(", ",TRUE,
    IF(AND(BJ344="true",AO344&gt;0.5,BI344&lt;&gt;"None"),"AttackTarget",""),
    IF(AND(_xlfn.XLOOKUP(_xlfn.XLOOKUP(B344,'Base stats'!B:B,'Base stats'!E:E),Groups!A:A,Groups!AJ:AJ="Mammal"),OR(_xlfn.XLOOKUP(B344,'Base stats'!B:B,'Base stats'!Y:Y)="Omnivore",_xlfn.XLOOKUP(B344,'Base stats'!B:B,'Base stats'!Y:Y)="OmnivoreRough")),"Forage",""),
    IF(BG344&lt;=36,"Comfort",""),
    IF(_xlfn.XLOOKUP(B344,'Base stats'!B:B,'Base stats'!AE:AE)&lt;&gt;"No",_xlfn.XLOOKUP(B344,'Base stats'!B:B,'Base stats'!AE:AE),"")
  ) = "",
  "No",
  _xlfn.TEXTJOIN(", ",TRUE,
    IF(AND(BJ344="true",AO344&gt;0.5,BI344&lt;&gt;"None"),"AttackTarget",""),
    IF(AND(_xlfn.XLOOKUP(_xlfn.XLOOKUP(B344,'Base stats'!B:B,'Base stats'!E:E),Groups!A:A,Groups!AJ:AJ="Mammal"),OR(_xlfn.XLOOKUP(B344,'Base stats'!B:B,'Base stats'!Y:Y)="Omnivore",_xlfn.XLOOKUP(B344,'Base stats'!B:B,'Base stats'!Y:Y)="OmnivoreRough")),"Forage",""),
    IF(BG344&lt;=36,"Comfort",""),
    IF(_xlfn.XLOOKUP(B344,'Base stats'!B:B,'Base stats'!AE:AE)&lt;&gt;"No",_xlfn.XLOOKUP(B344,'Base stats'!B:B,'Base stats'!AE:AE),"")
  )
)</f>
        <v>No</v>
      </c>
      <c r="BQ344" s="25" t="str">
        <f>IF(
   AND(
      'Base stats'!AN344="Standard",_xlfn.XLOOKUP(_xlfn.XLOOKUP(B344,'Base stats'!B:B,'Base stats'!E:E),Groups!A:A,Groups!AU:AU)=0,
      OR(
      BO344="True"
      )
   ),
   10,
   IF(
       OR(BM344&lt;&gt;"No",_xlfn.XLOOKUP(_xlfn.XLOOKUP(B344,'Base stats'!B:B,'Base stats'!E:E),Groups!A:A,Groups!AU:AU)=1),
      1,
      "No"
   )
)</f>
        <v>No</v>
      </c>
      <c r="BR344" s="9">
        <f>MROUND((1 + ((0.2*IF(OR(Q344="No",R344="No",R344=0),0,Q344/R344)
+IF(OR(V344="No",S344="No",T344="No"),0,S344/T344*(LEN(V344)-LEN(SUBSTITUTE(V344,",",""))+1))
+IF(OR(X344="No",Y344="No"),0,X344/Y344)
+IF(OR(AD344="No",AE344="No"),0,AD344/AE344)
+IF(OR(AL344="No",AI344="No",AJ344="No"),0,AI344/AJ344*(LEN(AL344)-LEN(SUBSTITUTE(AL344,",",""))+1))
)/(0.2*IF(OR(Q344="No",R344="No",R344=0),0,1)
+IF(OR(V344="No",S344="No",T344="No"),0,LEN(V344)-LEN(SUBSTITUTE(V344,",",""))+1)
+IF(OR(X344="No",Y344="No"),0,1)
+IF(OR(AD344="No",AE344="No"),0,1)
+IF(OR(AL344="No",AI344="No",AJ344="No"),0,LEN(AL344)-LEN(SUBSTITUTE(AL344,",",""))+1))*62%)* 2)*(1 + (AP344 / (IF(_xlfn.XLOOKUP(_xlfn.XLOOKUP(B344,'Base stats'!B:B,'Base stats'!E:E),Groups!A:A,Groups!AJ:AJ)="Photonozoa",0.3,1)) + _xlfn.XLOOKUP(B344,'Base stats'!B:B,'Base stats'!AV:AV) * 1.8) * 2) * 2.5 + 10 + I344 * 2,5)+IF(_xlfn.XLOOKUP(B344,'Base stats'!B:B,'Base stats'!AK:AK)=1,50,0)</f>
        <v>890</v>
      </c>
      <c r="BS344" s="8">
        <f t="shared" si="40"/>
        <v>3.1500000000000004</v>
      </c>
      <c r="BT344" s="8" t="str">
        <f>_xlfn.XLOOKUP(B344,'Base stats'!B:B,'Base stats'!AF:AF)</f>
        <v>No</v>
      </c>
      <c r="BU344" s="2" t="str">
        <f>IF(AND(J344&lt;=0.95,OR(_xlfn.XLOOKUP(B344,'Base stats'!B:B,'Base stats'!AK:AK)=1,_xlfn.XLOOKUP(B344,'Base stats'!B:B,'Base stats'!Y:Y)="Carnivore",_xlfn.XLOOKUP(B344,'Base stats'!B:B,'Base stats'!Y:Y)="Omnivore",BE344&gt;0.1)),"true","false")</f>
        <v>true</v>
      </c>
      <c r="BV344" s="2" t="str">
        <f>IF(_xlfn.XLOOKUP(B344,'Base stats'!B:B,'Base stats'!AI:AI)=1,"true","false")</f>
        <v>false</v>
      </c>
      <c r="BW344" s="25" t="str">
        <f>IF(E344="BaseInsect","AnimalInsect",
IF(J344&gt;0.95,"AnimalExotic",
_xlfn.TEXTJOIN(", ",TRUE,
IF(OR(_xlfn.XLOOKUP(B344,'Base stats'!B:B,'Base stats'!AM:AM)=1,AND(_xlfn.XLOOKUP(B344,'Base stats'!B:B,'Base stats'!O:O)=0,_xlfn.XLOOKUP(_xlfn.XLOOKUP(B344,'Base stats'!B:B,'Base stats'!E:E),Groups!A:A,Groups!B:B)&gt;0)),"AnimalUncommon","AnimalCommon"),
IF(AND(_xlfn.XLOOKUP(B344,'Base stats'!B:B,'Base stats'!O:O)=2,_xlfn.XLOOKUP(_xlfn.XLOOKUP(B344,'Base stats'!B:B,'Base stats'!E:E),Groups!A:A,Groups!D:D)=0),"AnimalPet",IF(AND(_xlfn.XLOOKUP(B344,'Base stats'!B:B,'Base stats'!O:O)&lt;&gt;0,_xlfn.XLOOKUP(_xlfn.XLOOKUP(B344,'Base stats'!B:B,'Base stats'!E:E),Groups!A:A,Groups!D:D)&lt;&gt;0),"AnimalFarm","")),
IF(OR(_xlfn.XLOOKUP(B344,'Base stats'!B:B,'Base stats'!AK:AK)=1,AND(BI344&lt;&gt;"None",BR344&gt;=60),ISNUMBER(SEARCH("Attack target",BP344))),"AnimalFighter","")
)))</f>
        <v>AnimalUncommon, AnimalFighter</v>
      </c>
      <c r="BX344" s="25" t="str">
        <f>IF(G344="None",TRIM(
SUBSTITUTE(
IF(COUNTIF(Biomes!B$2:B$259,"="&amp;$C344)&gt;0,Biomes!B$1&amp;", ","")&amp;
IF(COUNTIF(Biomes!C$2:C$259,"="&amp;$C344)&gt;0,Biomes!C$1&amp;", ","")&amp;
IF(COUNTIF(Biomes!D$2:D$259,"="&amp;$C344)&gt;0,Biomes!D$1&amp;", ","")&amp;
IF(COUNTIF(Biomes!F$2:F$259,"="&amp;$C344)&gt;0,Biomes!F$1&amp;", ","")&amp;
IF(COUNTIF(Biomes!G$2:G$259,"="&amp;$C344)&gt;0,Biomes!G$1&amp;", ","")&amp;
IF(COUNTIF(Biomes!H$2:H$259,"="&amp;$C344)&gt;0,Biomes!H$1&amp;", ","")&amp;
IF(COUNTIF(Biomes!I$2:I$259,"="&amp;$C344)&gt;0,Biomes!I$1&amp;", ","")&amp;
IF(COUNTIF(Biomes!J$2:J$259,"="&amp;$C344)&gt;0,Biomes!J$1&amp;", ","")&amp;
IF(COUNTIF(Biomes!M$2:M$259,"="&amp;$C344)&gt;0,Biomes!M$1&amp;", ","")&amp;
IF(COUNTIF(Biomes!N$2:N$259,"="&amp;$C344)&gt;0,Biomes!N$1&amp;", ","")&amp;
IF(COUNTIF(Biomes!O$2:O$259,"="&amp;$C344)&gt;0,Biomes!O$1&amp;", ","")&amp;
IF(COUNTIF(Biomes!P$2:P$259,"="&amp;$C344)&gt;0,Biomes!P$1&amp;", ","")&amp;
IF(COUNTIF(Biomes!K$2:K$259,"="&amp;$C344)&gt;0,Biomes!K$1&amp;", ","")&amp;
IF(COUNTIF(Biomes!Q$3:Q$259,"="&amp;$C344)&gt;0,Biomes!Q$1&amp;", ","")&amp;
IF(COUNTIF(Biomes!L$2:L$259,"="&amp;$C344)&gt;0,Biomes!L$1&amp;", ","")&amp;
IF(COUNTIF(Biomes!E$2:E$259,"="&amp;$C344)&gt;0,Biomes!E$1&amp;", ","")&amp;IF(COUNTIF(Biomes!S$2:S$259,"="&amp;$C344)&gt;0,Biomes!S$1&amp;", ","")&amp;
IF(COUNTIF(Biomes!R$2:R$259,"="&amp;$C344)&gt;0,Biomes!R$1&amp;", ",""),", ","")
),_xlfn.XLOOKUP(B344,B:B,BX:BX))</f>
        <v>TropicalRainforest TropicalSwamp Glowforest</v>
      </c>
      <c r="BY344" s="25" t="str">
        <f>IF(_xlfn.XLOOKUP(B344,'Base stats'!B:B,'Base stats'!AJ:AJ)=1,"true","false")</f>
        <v>false</v>
      </c>
      <c r="BZ344" s="25">
        <f>IF(_xlfn.XLOOKUP(B344,'Base stats'!B:B,'Base stats'!N:N)=1,"No",MAX(0.001,MIN(MROUND(IF(AND(BJ344="True",CC344="False"),POWER(10,3.47*LOG10(_xlfn.XLOOKUP(B344,'Base stats'!B:B,'Base stats'!C:C)*1000)^-0.96),POWER(10,4.15*LOG10(_xlfn.XLOOKUP(B344,'Base stats'!B:B,'Base stats'!C:C)*1000)^-0.73))*IF(_xlfn.XLOOKUP(B344,'Base stats'!B:B,'Base stats'!AK:AK)=1,0.5,1)*IF(_xlfn.XLOOKUP(B344,'Base stats'!B:B,'Base stats'!AM:AM)=1,0.1,1)/100,IF(_xlfn.XLOOKUP(B344,'Base stats'!B:B,'Base stats'!AM:AM)=1,0.001,0.025)),0.5)))</f>
        <v>1.0999999999999999E-2</v>
      </c>
      <c r="CA344" s="25" t="str">
        <f>IF(P344="Standard","No",MAX(0.001,MIN(MROUND(IF(AND(BJ344="True",CC344="False"),POWER(10,3.47*LOG10(_xlfn.XLOOKUP(B344,'Base stats'!B:B,'Base stats'!C:C)*1000)^-0.96),POWER(10,4.15*LOG10(_xlfn.XLOOKUP(B344,'Base stats'!B:B,'Base stats'!C:C)*1000)^-0.73))*IF(_xlfn.XLOOKUP(B344,'Base stats'!B:B,'Base stats'!AM:AM)=1,0.1,1)*_xlfn.XLOOKUP(B344,'Base stats'!B:B,'Base stats'!R:R)/100,IF(_xlfn.XLOOKUP(B344,'Base stats'!B:B,'Base stats'!AM:AM)=1,0.001,0.025)),0.5)))</f>
        <v>No</v>
      </c>
      <c r="CB344" s="25" t="str">
        <f>IF(_xlfn.XLOOKUP(_xlfn.XLOOKUP(B344,'Base stats'!B:B,'Base stats'!E:E),Groups!A:A,Groups!AJ:AJ)="Mammal","True","False")</f>
        <v>False</v>
      </c>
      <c r="CC344" s="25" t="str">
        <f>IF(OR(_xlfn.XLOOKUP(_xlfn.XLOOKUP(B344,'Base stats'!B:B,'Base stats'!E:E),Groups!A:A,Groups!AJ:AJ)="Reptile",_xlfn.XLOOKUP(_xlfn.XLOOKUP(B344,'Base stats'!B:B,'Base stats'!E:E),Groups!A:A,Groups!AJ:AJ)="Amphibian",_xlfn.XLOOKUP(_xlfn.XLOOKUP(B344,'Base stats'!B:B,'Base stats'!E:E),Groups!A:A,Groups!AJ:AJ)="Invertebrate"),"True","False")</f>
        <v>False</v>
      </c>
      <c r="CD344" s="25" t="str">
        <f t="shared" si="41"/>
        <v>False</v>
      </c>
      <c r="CE344" s="25" t="str">
        <f>IF(_xlfn.XLOOKUP(_xlfn.XLOOKUP(B344,'Base stats'!B:B,'Base stats'!E:E),Groups!A:A,Groups!AX:AX),"True","False")</f>
        <v>True</v>
      </c>
      <c r="CF344" s="25" t="str">
        <f>IF(_xlfn.XLOOKUP(_xlfn.XLOOKUP(B344,'Base stats'!B:B,'Base stats'!E:E),Groups!A:A,Groups!AY:AY),"True","False")</f>
        <v>True</v>
      </c>
      <c r="CG344" s="25" t="str">
        <f>IF(_xlfn.XLOOKUP(_xlfn.XLOOKUP(B344,'Base stats'!B:B,'Base stats'!E:E),Groups!A:A,Groups!AW:AW),"True","False")</f>
        <v>False</v>
      </c>
      <c r="CH344" s="25" t="str">
        <f>IF(
OR(
_xlfn.XLOOKUP(_xlfn.XLOOKUP(B344,'Base stats'!B:B,'Base stats'!E:E),Groups!A:A,Groups!AZ:AZ)=0,
AND(
_xlfn.XLOOKUP(B344,'Base stats'!B:B,'Base stats'!Y:Y)&lt;&gt;"Carnivore",
_xlfn.XLOOKUP(B344,'Base stats'!B:B,'Base stats'!Y:Y)&lt;&gt;"Omnivore",
_xlfn.XLOOKUP(B344,'Base stats'!B:B,'Base stats'!Y:Y)&lt;&gt;"OmnivoreRough"
)
),
"No",
IF(
_xlfn.XLOOKUP(_xlfn.XLOOKUP(B344,'Base stats'!B:B,'Base stats'!E:E),Groups!A:A,Groups!AZ:AZ)=1,
"Flesh",
IF(
_xlfn.XLOOKUP(_xlfn.XLOOKUP(B344,'Base stats'!B:B,'Base stats'!E:E),Groups!A:A,Groups!AZ:AZ)=2,
"Bone",
""
)
)
)</f>
        <v>No</v>
      </c>
      <c r="CI344" s="25" t="str">
        <f>IF(_xlfn.XLOOKUP(_xlfn.XLOOKUP(B344,'Base stats'!B:B,'Base stats'!E:E),Groups!A:A,Groups!BB:BB),"True","False")</f>
        <v>False</v>
      </c>
      <c r="CJ344" s="25" t="str">
        <f>IF(_xlfn.XLOOKUP(_xlfn.XLOOKUP(B344,'Base stats'!B:B,'Base stats'!E:E),Groups!A:A,Groups!BA:BA),"True","False")</f>
        <v>False</v>
      </c>
    </row>
    <row r="345" spans="1:88" ht="16.5" thickTop="1" thickBot="1" x14ac:dyDescent="0.3">
      <c r="A345" s="26" t="s">
        <v>1602</v>
      </c>
      <c r="B345" s="6" t="str">
        <f>_xlfn.XLOOKUP(A345,'Base stats'!A:A,'Base stats'!B:B)</f>
        <v>Bestia ventus</v>
      </c>
      <c r="C345" s="28" t="s">
        <v>1603</v>
      </c>
      <c r="D345" s="28" t="s">
        <v>1341</v>
      </c>
      <c r="E345" s="28" t="s">
        <v>673</v>
      </c>
      <c r="F345" s="28" t="s">
        <v>673</v>
      </c>
      <c r="G345" s="28" t="s">
        <v>673</v>
      </c>
      <c r="H345" s="2">
        <f>MROUND((
  (IF(AND(_xlfn.XLOOKUP(B345,'Base stats'!B:B,'Base stats'!AL:AL)=0,BI345="None",_xlfn.XLOOKUP(_xlfn.XLOOKUP(B345,'Base stats'!B:B,'Base stats'!E:E),Groups!A:A,Groups!B:B)=0), (18 + BR345 * 2.7) * 0.5,
    IF(AND(_xlfn.XLOOKUP(B345,'Base stats'!B:B,'Base stats'!AL:AL)=0,OR(AO345&lt;0.55,AND(BI345="Intermediate",_xlfn.XLOOKUP(_xlfn.XLOOKUP(B345,'Base stats'!B:B,'Base stats'!E:E),Groups!A:A,Groups!B:B)&lt;2))), (18 + BR345 * 2.7),
      IF(OR(BI345="Advanced",_xlfn.XLOOKUP(B345,'Base stats'!B:B,'Base stats'!AL:AL)=1,_xlfn.XLOOKUP(_xlfn.XLOOKUP(B345,'Base stats'!B:B,'Base stats'!E:E),Groups!A:A,Groups!B:B)=2), (18 + BR345 * 2.7) + 250, (18 + BR345 * 2.7))
    )
  ))
  + AO345 * 80
  + IF(COUNTIF(EggMilk!K$2:K$998, A345) &gt; 0, 125, 0)
  + IF(COUNTIF(EggMilk!P$2:P$998, A345) &gt; 0, 90, 0)
  + IF(COUNTIF(EggMilk!A$2:A$998, A345) &gt; 0, 90, 0)
)
* (0.8 + 0.4 * J345)
* 0.75,25)</f>
        <v>1200</v>
      </c>
      <c r="I345" s="2">
        <f>MROUND(ROUNDDOWN(_xlfn.XLOOKUP(B345,'Base stats'!B:B,'Base stats'!L:L)/3.6/(23.3/11),1),0.5)</f>
        <v>7</v>
      </c>
      <c r="J345" s="2">
        <f>IF(OR(_xlfn.XLOOKUP(B345,'Base stats'!B:B,'Base stats'!AB:AB)=1,_xlfn.XLOOKUP(_xlfn.XLOOKUP(B345,'Base stats'!B:B,'Base stats'!E:E),Groups!A:A,Groups!C:C)="Untamable"),1,IF(_xlfn.XLOOKUP(B345,'Base stats'!B:B,'Base stats'!AL:AL)=1,0.99,MIN(MROUND((1-0.6282*EXP(-0.459*AO345))*_xlfn.XLOOKUP(_xlfn.XLOOKUP(B345,'Base stats'!B:B,'Base stats'!E:E),Groups!A:A,Groups!C:C)*IF(_xlfn.XLOOKUP(B345,'Base stats'!B:B,'Base stats'!O:O)=1,0.5,IF(_xlfn.XLOOKUP(B345,'Base stats'!B:B,'Base stats'!O:O)=2,0,1)),0.05),IF(AO345&gt;3.5,0.985,0.95))))</f>
        <v>0.85000000000000009</v>
      </c>
      <c r="K345" s="2">
        <f>ROUNDUP(AO345*_xlfn.XLOOKUP(_xlfn.XLOOKUP(B345,'Base stats'!B:B,'Base stats'!E:E),Groups!A:A,Groups!E:E),0)</f>
        <v>12</v>
      </c>
      <c r="L345" s="2">
        <f>IF(OR(_xlfn.XLOOKUP(_xlfn.XLOOKUP(B345,'Base stats'!B:B,'Base stats'!E:E),Groups!A:A,Groups!F:F)=2,ISNUMBER(SEARCH("SeaIce",BX345)),ISNUMBER(SEARCH("IceSheet",BX345))),-50,IF(OR(ISNUMBER(SEARCH("GlacialPlain",BX345)),ISNUMBER(SEARCH("Tundra",BX345))),-40,IF(OR(ISNUMBER(SEARCH("Alpine",BX345)),ISNUMBER(SEARCH("BorealForest",BX345)),ISNUMBER(SEARCH("ColdBog",BX345))),-30,IF(OR(ISNUMBER(SEARCH("TemperateForest",BX345)),ISNUMBER(SEARCH("TemperateSwamp",BX345))),-20,IF(_xlfn.XLOOKUP(_xlfn.XLOOKUP(B345,'Base stats'!B:B,'Base stats'!E:E),Groups!A:A,Groups!F:F)=1,-15,IF(OR(ISNUMBER(SEARCH("Desert",BX345)),ISNUMBER(SEARCH("ExtremeDesert",BX345))),-10,IF(OR(ISNUMBER(SEARCH("Grasslands",BX345)),ISNUMBER(SEARCH("TropicalRainforest",BX345)),ISNUMBER(SEARCH("TropicalSwamp",BX345))),10,0)))))))-IF(CC345="False",MIN(IFERROR(MAX(MROUND(LOG10(_xlfn.XLOOKUP(B345,'Base stats'!B:B,'Base stats'!C:C)^(2/3))*10,5),5),5),30))-_xlfn.XLOOKUP(B345,'Base stats'!B:B,'Base stats'!P:P)+IF(CC345="True",5,0)</f>
        <v>-65</v>
      </c>
      <c r="M345" s="2">
        <f>IF(OR(_xlfn.XLOOKUP(_xlfn.XLOOKUP(B345,'Base stats'!B:B,'Base stats'!E:E),Groups!A:A,Groups!G:G)=2,ISNUMBER(SEARCH("Desert",BX345)),ISNUMBER(SEARCH("ExtremeDesert",BX345)),ISNUMBER(SEARCH("LavaField",BX345))),50,IF(ISNUMBER(SEARCH("Grasslands",BX345)),45,IF(OR(_xlfn.XLOOKUP(_xlfn.XLOOKUP(B345,'Base stats'!B:B,'Base stats'!E:E),Groups!A:A,Groups!G:G)=1,ISNUMBER(SEARCH("TropicalRainforest",BX345)),ISNUMBER(SEARCH("TropicalSwamp",BX345))),40,IF(OR(ISNUMBER(SEARCH("TemperateForest",BX345)),ISNUMBER(SEARCH("TemperateSwamp",BX345))),35,IF(OR(ISNUMBER(SEARCH("Alpine",BX345)),ISNUMBER(SEARCH("BorealForest",BX345)),ISNUMBER(SEARCH("ColdBog",BX345))),30,IF(ISNUMBER(OR(ISNUMBER(SEARCH("GlacialPlain",BX345)),SEARCH("Tundra",BX345))),25,IF(OR(ISNUMBER(SEARCH("SeaIce",BX345)),ISNUMBER(SEARCH("IceSheet",BX345)),ISNUMBER(SEARCH("TropicalSwamp",BX345))),10,35)))))))+_xlfn.XLOOKUP(B345,'Base stats'!B:B,'Base stats'!Q:Q)</f>
        <v>50</v>
      </c>
      <c r="N345" s="8">
        <f>IF(
_xlfn.XLOOKUP(
_xlfn.XLOOKUP(B345,'Base stats'!B:B,'Base stats'!E:E),
Groups!A:A,
Groups!L:L
)=1,
MIN(
MROUND(
IF(
_xlfn.XLOOKUP(B345,'Animals CE'!B:B,'Animals CE'!Z:Z)&lt;=1.5,
_xlfn.XLOOKUP(B345,'Animals CE'!B:B,'Animals CE'!Z:Z)/2+0.05,
0.8+
(_xlfn.XLOOKUP(B345,'Animals CE'!B:B,'Animals CE'!Z:Z)-1.5)
*0.02
),
0.05
),
200%
),
"No"
)</f>
        <v>0.85000000000000009</v>
      </c>
      <c r="O345" s="8">
        <f>IF(
_xlfn.XLOOKUP(
_xlfn.XLOOKUP(B345,'Base stats'!B:B,'Base stats'!E:E),
Groups!A:A,
Groups!L:L
)=1,
MIN(
MROUND(
IF(
_xlfn.XLOOKUP(B345,'Animals CE'!B:B,'Animals CE'!AA:AA)&lt;=1.5,
_xlfn.XLOOKUP(B345,'Animals CE'!B:B,'Animals CE'!AA:AA)/2+0.05,
0.8+
(_xlfn.XLOOKUP(B345,'Animals CE'!B:B,'Animals CE'!AA:AA)-1.5)
*0.02
),
0.05
),
200%
),
"No"
)</f>
        <v>0.9</v>
      </c>
      <c r="P345" s="2" t="str">
        <f>_xlfn.XLOOKUP(B345,'Base stats'!B:B,'Base stats'!R:R)</f>
        <v>Standard</v>
      </c>
      <c r="Q345" s="13">
        <f>MROUND((LOG10(_xlfn.XLOOKUP(B345,'Base stats'!B:B,'Base stats'!AR:AR))*(AO345^0.5)+(_xlfn.XLOOKUP(B345,'Base stats'!B:B,'Base stats'!AR:AR)/1000)^(2/3)+_xlfn.XLOOKUP(B345,'Base stats'!B:B,'Base stats'!BA:BA)/2)+0.5,0.5)</f>
        <v>13</v>
      </c>
      <c r="R345" s="7">
        <f>IF(Q345="No","No",MAX(1,MROUND(_xlfn.XLOOKUP(B345,'Base stats'!B:B,'Base stats'!C:C)^0.165,0.05)))</f>
        <v>2.5500000000000003</v>
      </c>
      <c r="S345" s="13">
        <f>IF(_xlfn.XLOOKUP(_xlfn.XLOOKUP(B345,'Base stats'!B:B,'Base stats'!E:E),Groups!A:A,Groups!P:P)=0,"No",MROUND((LOG10(_xlfn.XLOOKUP(B345,'Base stats'!B:B,'Base stats'!AS:AS))*(AO345^0.5)+(_xlfn.XLOOKUP(B345,'Base stats'!B:B,'Base stats'!AS:AS)/1000)^(2/3)+_xlfn.XLOOKUP(B345,'Base stats'!B:B,'Base stats'!BA:BA))+_xlfn.XLOOKUP(B345,'Base stats'!B:B,'Base stats'!AY:AY)+0.5,0.5))</f>
        <v>16</v>
      </c>
      <c r="T345" s="7">
        <f>IF(S345="No","No",MAX(_xlfn.XLOOKUP(_xlfn.XLOOKUP(B345,'Base stats'!B:B,'Base stats'!E:E),Groups!A:A,Groups!Q:Q),MROUND(_xlfn.XLOOKUP(_xlfn.XLOOKUP(B345,'Base stats'!B:B,'Base stats'!E:E),Groups!A:A,Groups!Q:Q)*_xlfn.XLOOKUP(B345,'Base stats'!B:B,'Base stats'!C:C)^0.165,0.05)))</f>
        <v>2.3000000000000003</v>
      </c>
      <c r="U345" s="7" t="str">
        <f>IF(S345="No","No",_xlfn.XLOOKUP(_xlfn.XLOOKUP(B345,'Base stats'!B:B,'Base stats'!E:E),Groups!A:A,Groups!R:R))</f>
        <v>FrontLeftLeg, FrontRightLeg</v>
      </c>
      <c r="V345" s="7" t="str">
        <f>IF(S345="No","No",_xlfn.XLOOKUP(_xlfn.XLOOKUP(B345,'Base stats'!B:B,'Base stats'!E:E),Groups!A:A,Groups!S:S))</f>
        <v>left foot, right foot</v>
      </c>
      <c r="W345" s="7" t="str">
        <f>IF(S345="No","No",_xlfn.XLOOKUP(_xlfn.XLOOKUP(B345,'Base stats'!B:B,'Base stats'!E:E),Groups!A:A,Groups!T:T))</f>
        <v>Blunt</v>
      </c>
      <c r="X345" s="13">
        <f>IF(_xlfn.XLOOKUP(B345,'Base stats'!B:B,'Base stats'!W:W)="No","No",MROUND((LOG10(_xlfn.XLOOKUP(B345,'Base stats'!B:B,'Base stats'!AU:AU))*(AO345^0.5)+(_xlfn.XLOOKUP(B345,'Base stats'!B:B,'Base stats'!AU:AU)/1000)^(2/3)+_xlfn.XLOOKUP(B345,'Base stats'!B:B,'Base stats'!AZ:AZ))+0.5+IF(_xlfn.XLOOKUP(_xlfn.XLOOKUP(B345,'Base stats'!B:B,'Base stats'!E:E),Groups!A:A,Groups!U:U)&lt;&gt;3,_xlfn.XLOOKUP(B345,'Base stats'!B:B,'Base stats'!BA:BA),0),0.5))</f>
        <v>20.5</v>
      </c>
      <c r="Y345" s="7">
        <f>IF(X345="No","No",MAX(_xlfn.XLOOKUP(_xlfn.XLOOKUP(B345,'Base stats'!B:B,'Base stats'!E:E),Groups!A:A,Groups!V:V),MROUND(_xlfn.XLOOKUP(_xlfn.XLOOKUP(B345,'Base stats'!B:B,'Base stats'!E:E),Groups!A:A,Groups!V:V)*_xlfn.XLOOKUP(B345,'Base stats'!B:B,'Base stats'!C:C)^0.165,0.05)))</f>
        <v>1.55</v>
      </c>
      <c r="Z345" s="7" t="str">
        <f>IF(X345="No","No",_xlfn.XLOOKUP(_xlfn.XLOOKUP(B345,'Base stats'!B:B,'Base stats'!E:E),Groups!A:A,Groups!W:W))</f>
        <v>HeadAttackTool</v>
      </c>
      <c r="AA345" s="7" t="str">
        <f>IF(X345="No","No",_xlfn.XLOOKUP(_xlfn.XLOOKUP(B345,'Base stats'!B:B,'Base stats'!E:E),Groups!A:A,Groups!X:X))</f>
        <v>horn</v>
      </c>
      <c r="AB345" s="7" t="str">
        <f>IF(X345="No","No",_xlfn.XLOOKUP(_xlfn.XLOOKUP(B345,'Base stats'!B:B,'Base stats'!E:E),Groups!A:A,Groups!Y:Y))</f>
        <v>Scratch</v>
      </c>
      <c r="AC345" s="7" t="str">
        <f>_xlfn.XLOOKUP(Animals!B345,'Base stats'!B:B,'Base stats'!X:X)</f>
        <v>False</v>
      </c>
      <c r="AD345" s="13">
        <f>IF(_xlfn.XLOOKUP(B345,'Base stats'!B:B,'Base stats'!AT:AT)="No","No",MROUND((LOG10(_xlfn.XLOOKUP(B345,'Base stats'!B:B,'Base stats'!AT:AT))*(AO345^0.75)+(_xlfn.XLOOKUP(B345,'Base stats'!B:B,'Base stats'!AT:AT)/1000)^(2/3)+_xlfn.XLOOKUP(B345,'Base stats'!B:B,'Base stats'!AX:AX)+_xlfn.XLOOKUP(B345,'Base stats'!B:B,'Base stats'!BA:BA))+0.5,0.5))</f>
        <v>20.5</v>
      </c>
      <c r="AE345" s="7">
        <f>IF(AD345="No","No",MAX(_xlfn.XLOOKUP(_xlfn.XLOOKUP(B345,'Base stats'!B:B,'Base stats'!E:E),Groups!A:A,Groups!Z:Z),MROUND(_xlfn.XLOOKUP(_xlfn.XLOOKUP(B345,'Base stats'!B:B,'Base stats'!E:E),Groups!A:A,Groups!Z:Z)*_xlfn.XLOOKUP(B345,'Base stats'!B:B,'Base stats'!C:C)^0.165,0.05)))</f>
        <v>2.2000000000000002</v>
      </c>
      <c r="AF345" s="7" t="str">
        <f>IF(AD345="No","No",_xlfn.XLOOKUP(_xlfn.XLOOKUP(B345,'Base stats'!B:B,'Base stats'!E:E),Groups!A:A,Groups!AA:AA))</f>
        <v>Teeth</v>
      </c>
      <c r="AG345" s="7" t="str">
        <f>IF(AD345="No","No",_xlfn.XLOOKUP(_xlfn.XLOOKUP(B345,'Base stats'!B:B,'Base stats'!E:E),Groups!A:A,Groups!AB:AB))</f>
        <v>teeth</v>
      </c>
      <c r="AH345" s="7" t="str">
        <f>IF(AD345="No","No",_xlfn.XLOOKUP(_xlfn.XLOOKUP(B345,'Base stats'!B:B,'Base stats'!E:E),Groups!A:A,Groups!AC:AC))</f>
        <v>Bite</v>
      </c>
      <c r="AI345" s="13" t="str">
        <f>IF(_xlfn.XLOOKUP(_xlfn.XLOOKUP(B345,'Base stats'!B:B,'Base stats'!E:E),Groups!A:A,Groups!AD:AD)=0,"No",MROUND((LOG10(_xlfn.XLOOKUP(B345,'Base stats'!B:B,'Base stats'!AS:AS))*(AO345^0.75)+(_xlfn.XLOOKUP(B345,'Base stats'!B:B,'Base stats'!AS:AS)/1000)^(2/3)+_xlfn.XLOOKUP(B345,'Base stats'!B:B,'Base stats'!AY:AY)+_xlfn.XLOOKUP(B345,'Base stats'!B:B,'Base stats'!BA:BA))+0.5,0.5))</f>
        <v>No</v>
      </c>
      <c r="AJ345" s="7" t="str">
        <f>IF(AI345="No","No",MAX(_xlfn.XLOOKUP(_xlfn.XLOOKUP(B345,'Base stats'!B:B,'Base stats'!E:E),Groups!A:A,Groups!AE:AE),MROUND(_xlfn.XLOOKUP(_xlfn.XLOOKUP(B345,'Base stats'!B:B,'Base stats'!E:E),Groups!A:A,Groups!AE:AE)*IF(_xlfn.XLOOKUP(_xlfn.XLOOKUP(B345,'Base stats'!B:B,'Base stats'!E:E),Groups!A:A,Groups!AJ:AJ)="Photonozoa",0.6,1)*_xlfn.XLOOKUP(B345,'Base stats'!B:B,'Base stats'!C:C)^0.165,0.05)))</f>
        <v>No</v>
      </c>
      <c r="AK345" s="7" t="str">
        <f>IF(AI345="No","No",_xlfn.XLOOKUP(_xlfn.XLOOKUP(B345,'Base stats'!B:B,'Base stats'!E:E),Groups!A:A,Groups!AF:AF))</f>
        <v>No</v>
      </c>
      <c r="AL345" s="7" t="str">
        <f>IF(AI345="No","No",_xlfn.XLOOKUP(_xlfn.XLOOKUP(B345,'Base stats'!B:B,'Base stats'!E:E),Groups!A:A,Groups!AG:AG))</f>
        <v>No</v>
      </c>
      <c r="AM345" s="7" t="str">
        <f>IF(AI345="No","No",_xlfn.XLOOKUP(_xlfn.XLOOKUP(B345,'Base stats'!B:B,'Base stats'!E:E),Groups!A:A,Groups!AH:AH))</f>
        <v>No</v>
      </c>
      <c r="AN345" s="2" t="str">
        <f t="shared" si="35"/>
        <v>No</v>
      </c>
      <c r="AO345" s="2">
        <f>MROUND(IF(AND(_xlfn.XLOOKUP(B345,'Base stats'!B:B,'Base stats'!C:C)&gt;=0.5,_xlfn.XLOOKUP(B345,'Base stats'!B:B,'Base stats'!C:C)&lt;=0.8),
IF(_xlfn.XLOOKUP(B345,'Base stats'!B:B,'Base stats'!C:C)&lt;0.1,0.05,IF(_xlfn.XLOOKUP(B345,'Base stats'!B:B,'Base stats'!C:C)&lt;=70,(_xlfn.XLOOKUP(B345,'Base stats'!B:B,'Base stats'!C:C)/70)^0.426489913056526,IF(_xlfn.XLOOKUP(B345,'Base stats'!B:B,'Base stats'!C:C)&lt;=400,(_xlfn.XLOOKUP(B345,'Base stats'!B:B,'Base stats'!C:C)/70)^0.572811455315093,IF(_xlfn.XLOOKUP(B345,'Base stats'!B:B,'Base stats'!C:C)&lt;=2000,2.71391647193063*(_xlfn.XLOOKUP(B345,'Base stats'!B:B,'Base stats'!C:C)/400)^0.252459582904293,3.74314280240376*(_xlfn.XLOOKUP(B345,'Base stats'!B:B,'Base stats'!C:C)/2000)^0.357012633876913)))),
IF(_xlfn.XLOOKUP(B345,'Base stats'!B:B,'Base stats'!C:C)&lt;0.1,0.05,IF(_xlfn.XLOOKUP(B345,'Base stats'!B:B,'Base stats'!C:C)&lt;0.4,0.1,IF(_xlfn.XLOOKUP(B345,'Base stats'!B:B,'Base stats'!C:C)&lt;=70,(_xlfn.XLOOKUP(B345,'Base stats'!B:B,'Base stats'!C:C)/70)^0.445823913056526,IF(_xlfn.XLOOKUP(B345,'Base stats'!B:B,'Base stats'!C:C)&lt;=400,(_xlfn.XLOOKUP(B345,'Base stats'!B:B,'Base stats'!C:C)/70)^0.572811455315093,IF(_xlfn.XLOOKUP(B345,'Base stats'!B:B,'Base stats'!C:C)&lt;=2000,2.71391647193063*(_xlfn.XLOOKUP(B345,'Base stats'!B:B,'Base stats'!C:C)/400)^0.252459582904293,3.74314280240376*(_xlfn.XLOOKUP(B345,'Base stats'!B:B,'Base stats'!C:C)/2000)^0.357012633876913)))))),
IF(_xlfn.XLOOKUP(B345,'Base stats'!B:B,'Base stats'!C:C)&lt;0.1,0.05,IF(_xlfn.XLOOKUP(B345,'Base stats'!B:B,'Base stats'!C:C)&lt;=100,0.05,IF(_xlfn.XLOOKUP(B345,'Base stats'!B:B,'Base stats'!C:C)&lt;=250,0.1,IF(_xlfn.XLOOKUP(B345,'Base stats'!B:B,'Base stats'!C:C)&lt;=4000,0.25,0.5)))))</f>
        <v>2.25</v>
      </c>
      <c r="AP345" s="8">
        <f>MROUND(AO345*_xlfn.XLOOKUP(_xlfn.XLOOKUP(B345,'Base stats'!B:B,'Base stats'!E:E),Groups!A:A,Groups!AI:AI)*_xlfn.XLOOKUP(B345,'Base stats'!B:B,'Base stats'!Z:Z),0.05)</f>
        <v>3.4000000000000004</v>
      </c>
      <c r="AQ345" s="8">
        <f>MAX(0.01,MROUND(IF(CC345="True",0.196*(AO345*100*1000)^0.889,IF(_xlfn.XLOOKUP(_xlfn.XLOOKUP(B345,'Base stats'!B:B,'Base stats'!E:E),Groups!A:A,Groups!AJ:AJ)="Bird",10.5*(AO345*100*1000)^0.681,4.82*(AO345*100*1000)^0.734))/(4.82*(1*100*1000)^0.734)/IF(AO345&lt;3.5,2,IF(AO345=3.5,1.5,1.25))*(1+0.132282374779864/(AO345^0.994035016789033+0.00905238001496948)),0.05))</f>
        <v>0.95000000000000007</v>
      </c>
      <c r="AR345" s="9">
        <f>IFERROR(MROUND(_xlfn.XLOOKUP(B345,'Base stats'!B:B,'Base stats'!H:H)/IF(_xlfn.XLOOKUP(B345,'Base stats'!B:B,'Base stats'!I:I)&lt;&gt;1,(122.5/70),1.2),IF(_xlfn.XLOOKUP(B345,'Base stats'!B:B,'Base stats'!H:H)&gt;=30,5,IF(_xlfn.XLOOKUP(B345,'Base stats'!B:B,'Base stats'!H:H)&gt;=15,3,IF(_xlfn.XLOOKUP(B345,'Base stats'!B:B,'Base stats'!H:H)&gt;=10,2,1)))),"Immortal")</f>
        <v>21</v>
      </c>
      <c r="AS345" s="35">
        <f>IFERROR(IF(OR(_xlfn.XLOOKUP(B345,'Base stats'!B:B,'Base stats'!F:F)="Atypical reproduction",_xlfn.XLOOKUP(B345,'Base stats'!B:B,'Base stats'!F:F)="Lay eggs"),"Lay eggs",MIN(20,MAX(5.5,ROUND(((_xlfn.XLOOKUP(B345,'Base stats'!B:B,'Base stats'!F:F)-25)*(14.5/615) + 5.5)*2,0)/2))),"Unknown")</f>
        <v>10</v>
      </c>
      <c r="AT345" s="8">
        <f>IF(_xlfn.XLOOKUP(B345,'Base stats'!B:B,'Base stats'!G:G)="Atypical reproduction","No",IFERROR(MAX(IF(_xlfn.XLOOKUP(B345,'Base stats'!B:B,'Base stats'!G:G)&lt;0.5,0.2,0.3),MROUND(_xlfn.XLOOKUP(B345,'Base stats'!B:B,'Base stats'!G:G)/(365/60),0.2)),"Unknown"))</f>
        <v>0.3</v>
      </c>
      <c r="AU345" s="8">
        <f t="shared" si="36"/>
        <v>0.15000000000000002</v>
      </c>
      <c r="AV345" s="8">
        <f>IFERROR(IFERROR(MROUND(_xlfn.XLOOKUP(B345,'Base stats'!B:B,'Base stats'!J:J),0.1),"Lay eggs"),"Cannot breed")</f>
        <v>1</v>
      </c>
      <c r="AW345" s="2" t="str">
        <f t="shared" si="37"/>
        <v>false</v>
      </c>
      <c r="AX345" s="2" t="str">
        <f>IF(_xlfn.XLOOKUP(_xlfn.XLOOKUP(Animals!B345,'Base stats'!B:B,'Base stats'!E:E),Groups!A:A,Groups!AK:AK)=1,"true","false")</f>
        <v>false</v>
      </c>
      <c r="AY345" s="25" t="str">
        <f>IF(_xlfn.XLOOKUP(B345,'Base stats'!B:B,'Base stats'!Y:Y)="Liquor","Liquor, CarnivoreAnimalStrict",IF(AND(_xlfn.XLOOKUP(B345,'Base stats'!B:B,'Base stats'!Y:Y)="Carnivore",_xlfn.XLOOKUP(_xlfn.XLOOKUP(B345,'Base stats'!B:B,'Base stats'!E:E),Groups!A:A,Groups!AJ:AJ)="Photonozoa"),"CarnivoreAnimalStrict, OvivoreAnimal",IF(_xlfn.XLOOKUP(B345,'Base stats'!B:B,'Base stats'!Y:Y)="Carnivore","CarnivoreAnimal, OvivoreAnimal",IF(_xlfn.XLOOKUP(B345,'Base stats'!B:B,'Base stats'!Y:Y)="Dendrovore","VegetarianRoughAnimal, DendrovoreAnimal",IF(_xlfn.XLOOKUP(B345,'Base stats'!B:B,'Base stats'!Y:Y)="Herbivore","VegetarianRoughAnimal",IF(_xlfn.XLOOKUP(B345,'Base stats'!B:B,'Base stats'!Y:Y)="OmnivoreRough","OmnivoreRoughAnimal, OvivoreAnimal","OmnivoreAnimal, OvivoreAnimal"))))))</f>
        <v>VegetarianRoughAnimal</v>
      </c>
      <c r="AZ345" s="2" t="str">
        <f>IF(_xlfn.XLOOKUP(_xlfn.XLOOKUP(B345,'Base stats'!B:B,'Base stats'!E:E),Groups!A:A,Groups!D:D)=1,MROUND((1-J345)*5+1,2)*IF(J345&lt;=0.4,2,1),"No")</f>
        <v>No</v>
      </c>
      <c r="BA345" s="2" t="str">
        <f>IF(AND(_xlfn.XLOOKUP(B345,'Base stats'!B:B,'Base stats'!AH:AH)="&lt;li&gt;Seal&lt;/li&gt;",G345="Odyssey"),"&lt;li&gt;AEXP_Seal&lt;/li&gt;",_xlfn.XLOOKUP(B345,'Base stats'!B:B,'Base stats'!AH:AH))</f>
        <v>&lt;li&gt;Thrumbo&lt;/li&gt;</v>
      </c>
      <c r="BB345" s="2" t="str">
        <f>_xlfn.XLOOKUP(B345,'Base stats'!B:B,'Base stats'!AG:AG)</f>
        <v>Leather_Thrumbo</v>
      </c>
      <c r="BC345" s="23" t="str">
        <f>_xlfn.XLOOKUP(_xlfn.XLOOKUP(B345,'Base stats'!B:B,'Base stats'!E:E),Groups!A:A,Groups!AL:AL)</f>
        <v>QuadrupedAnimalWithHoovesTailAndHorn</v>
      </c>
      <c r="BD345" s="23">
        <f>MIN(1,MROUND(IF(AND(AO345&lt;0.5,_xlfn.XLOOKUP(B345,'Base stats'!B:B,'Base stats'!AA:AA)=0),0,IF(OR(_xlfn.XLOOKUP(Animals!B345,'Base stats'!B:B,'Base stats'!O:O)=2,_xlfn.XLOOKUP(_xlfn.XLOOKUP(B345,'Base stats'!B:B,'Base stats'!E:E),Groups!A:A,Groups!AN:AN)=0),0,_xlfn.XLOOKUP(_xlfn.XLOOKUP(B345,'Base stats'!B:B,'Base stats'!E:E),Groups!A:A,Groups!AN:AN)/IF(_xlfn.XLOOKUP(Animals!B345,'Base stats'!B:B,'Base stats'!O:O)=1,2,1)))+_xlfn.XLOOKUP(B345,'Base stats'!B:B,'Base stats'!AC:AC),0.005))</f>
        <v>0.1</v>
      </c>
      <c r="BE345" s="23">
        <f>MIN(1,MROUND(IF(AND(AO345&lt;0.5,_xlfn.XLOOKUP(B345,'Base stats'!B:B,'Base stats'!AA:AA)=0),0,IF(_xlfn.XLOOKUP(_xlfn.XLOOKUP(B345,'Base stats'!B:B,'Base stats'!E:E),Groups!A:A,Groups!AO:AO)=0,0,_xlfn.XLOOKUP(_xlfn.XLOOKUP(B345,'Base stats'!B:B,'Base stats'!E:E),Groups!A:A,Groups!AO:AO)/IF(_xlfn.XLOOKUP(Animals!B345,'Base stats'!B:B,'Base stats'!O:O)=2,3,1)))+_xlfn.XLOOKUP(B345,'Base stats'!B:B,'Base stats'!AD:AD),0.005))</f>
        <v>0.3</v>
      </c>
      <c r="BF345" s="2" t="str">
        <f>IF(J345&gt;0.3,"No",_xlfn.XLOOKUP(_xlfn.XLOOKUP(Animals!B345,'Base stats'!B:B,'Base stats'!E:E),Groups!A:A,Groups!AP:AP))</f>
        <v>No</v>
      </c>
      <c r="BG345" s="2" t="str">
        <f>IF(AND(J345&lt;=0.65,_xlfn.XLOOKUP(_xlfn.XLOOKUP(Animals!B345,'Base stats'!B:B,'Base stats'!E:E),Groups!A:A,Groups!AP:AP)&lt;&gt;"No",_xlfn.XLOOKUP(_xlfn.XLOOKUP(B345,'Base stats'!B:B,'Base stats'!E:E),Groups!A:A,Groups!D:D)=0),MROUND((80/3)*IF(_xlfn.XLOOKUP(B345,'Base stats'!B:B,'Base stats'!O:O)=2,0.2,AO345) + 24*(1-IF(BF345="No",0,BF345)) + 16/3, 12),"No")</f>
        <v>No</v>
      </c>
      <c r="BH345" s="2">
        <f>IF(AND(_xlfn.XLOOKUP(_xlfn.XLOOKUP(B345,'Base stats'!B:B,'Base stats'!E:E),Groups!A:A,Groups!AQ:AQ)=1,AO345&lt;=0.35),8,12)</f>
        <v>12</v>
      </c>
      <c r="BI345" s="2" t="str">
        <f>IF(_xlfn.XLOOKUP(_xlfn.XLOOKUP(B345,'Base stats'!B:B,'Base stats'!E:E),Groups!A:A,Groups!D:D)=0,_xlfn.XLOOKUP(_xlfn.XLOOKUP(B345,'Base stats'!B:B,'Base stats'!E:E),Groups!A:A,Groups!AR:AR),"None")</f>
        <v>Advanced</v>
      </c>
      <c r="BJ345" s="2" t="str">
        <f>IF(AND(_xlfn.XLOOKUP(_xlfn.XLOOKUP(B345,'Base stats'!B:B,'Base stats'!E:E),Groups!A:A,Groups!AS:AS)=1,OR(_xlfn.XLOOKUP(B345,'Base stats'!B:B,'Base stats'!Y:Y)="Carnivore",_xlfn.XLOOKUP(B345,'Base stats'!B:B,'Base stats'!Y:Y)="Omnivore")),"true","false")</f>
        <v>false</v>
      </c>
      <c r="BK345" s="2" t="str">
        <f>IF(BJ345="true",MROUND(IF(AND(AO345&gt;0.5,OR(_xlfn.XLOOKUP(_xlfn.XLOOKUP(B345,'Base stats'!B:B,'Base stats'!E:E),Groups!A:A,Groups!AJ:AJ)="Photonozoa",_xlfn.XLOOKUP(_xlfn.XLOOKUP(B345,'Base stats'!B:B,'Base stats'!E:E),Groups!A:A,Groups!AJ:AJ)="Mammal")),Animals!AO345*1.75*IF(AW345="true",1.5,1),IF(AO345&lt;0.5,Animals!AO345*0.5,Animals!AO345)),IF(AO345&gt;2,0.5,IF(AO345&gt;0.5,0.25,0.1))),"No")</f>
        <v>No</v>
      </c>
      <c r="BL345" s="2">
        <f t="shared" si="38"/>
        <v>1</v>
      </c>
      <c r="BM345" s="25" t="str">
        <f>IF(_xlfn.XLOOKUP(B345,'Base stats'!B:B,'Base stats'!AN:AN)="Standard","No",MROUND((_xlfn.XLOOKUP(B345,'Base stats'!B:B,'Base stats'!AN:AN)/3.6)/I345,0.1))</f>
        <v>No</v>
      </c>
      <c r="BN345" s="25" t="str">
        <f t="shared" si="39"/>
        <v>false</v>
      </c>
      <c r="BO345" s="25" t="str">
        <f>IF(AND(OR(_xlfn.XLOOKUP(B345,'Base stats'!B:B,'Base stats'!Y:Y)="Carnivore",_xlfn.XLOOKUP(B345,'Base stats'!B:B,'Base stats'!Y:Y)="Omnivore",_xlfn.XLOOKUP(B345,'Base stats'!B:B,'Base stats'!Y:Y)="OmnivoreRough"),_xlfn.XLOOKUP(_xlfn.XLOOKUP(B345,'Base stats'!B:B,'Base stats'!E:E),Groups!A:A,Groups!AT:AT)=1),"true","false")</f>
        <v>false</v>
      </c>
      <c r="BP345" s="25" t="str" cm="1">
        <f t="array" ref="BP345">IF(
  _xlfn.TEXTJOIN(", ",TRUE,
    IF(AND(BJ345="true",AO345&gt;0.5,BI345&lt;&gt;"None"),"AttackTarget",""),
    IF(AND(_xlfn.XLOOKUP(_xlfn.XLOOKUP(B345,'Base stats'!B:B,'Base stats'!E:E),Groups!A:A,Groups!AJ:AJ="Mammal"),OR(_xlfn.XLOOKUP(B345,'Base stats'!B:B,'Base stats'!Y:Y)="Omnivore",_xlfn.XLOOKUP(B345,'Base stats'!B:B,'Base stats'!Y:Y)="OmnivoreRough")),"Forage",""),
    IF(BG345&lt;=36,"Comfort",""),
    IF(_xlfn.XLOOKUP(B345,'Base stats'!B:B,'Base stats'!AE:AE)&lt;&gt;"No",_xlfn.XLOOKUP(B345,'Base stats'!B:B,'Base stats'!AE:AE),"")
  ) = "",
  "No",
  _xlfn.TEXTJOIN(", ",TRUE,
    IF(AND(BJ345="true",AO345&gt;0.5,BI345&lt;&gt;"None"),"AttackTarget",""),
    IF(AND(_xlfn.XLOOKUP(_xlfn.XLOOKUP(B345,'Base stats'!B:B,'Base stats'!E:E),Groups!A:A,Groups!AJ:AJ="Mammal"),OR(_xlfn.XLOOKUP(B345,'Base stats'!B:B,'Base stats'!Y:Y)="Omnivore",_xlfn.XLOOKUP(B345,'Base stats'!B:B,'Base stats'!Y:Y)="OmnivoreRough")),"Forage",""),
    IF(BG345&lt;=36,"Comfort",""),
    IF(_xlfn.XLOOKUP(B345,'Base stats'!B:B,'Base stats'!AE:AE)&lt;&gt;"No",_xlfn.XLOOKUP(B345,'Base stats'!B:B,'Base stats'!AE:AE),"")
  )
)</f>
        <v>No</v>
      </c>
      <c r="BQ345" s="25" t="str">
        <f>IF(
   AND(
      'Base stats'!AN345="Standard",_xlfn.XLOOKUP(_xlfn.XLOOKUP(B345,'Base stats'!B:B,'Base stats'!E:E),Groups!A:A,Groups!AU:AU)=0,
      OR(
      BO345="True"
      )
   ),
   10,
   IF(
       OR(BM345&lt;&gt;"No",_xlfn.XLOOKUP(_xlfn.XLOOKUP(B345,'Base stats'!B:B,'Base stats'!E:E),Groups!A:A,Groups!AU:AU)=1),
      1,
      "No"
   )
)</f>
        <v>No</v>
      </c>
      <c r="BR345" s="9">
        <f>MROUND((1 + ((0.2*IF(OR(Q345="No",R345="No",R345=0),0,Q345/R345)
+IF(OR(V345="No",S345="No",T345="No"),0,S345/T345*(LEN(V345)-LEN(SUBSTITUTE(V345,",",""))+1))
+IF(OR(X345="No",Y345="No"),0,X345/Y345)
+IF(OR(AD345="No",AE345="No"),0,AD345/AE345)
+IF(OR(AL345="No",AI345="No",AJ345="No"),0,AI345/AJ345*(LEN(AL345)-LEN(SUBSTITUTE(AL345,",",""))+1))
)/(0.2*IF(OR(Q345="No",R345="No",R345=0),0,1)
+IF(OR(V345="No",S345="No",T345="No"),0,LEN(V345)-LEN(SUBSTITUTE(V345,",",""))+1)
+IF(OR(X345="No",Y345="No"),0,1)
+IF(OR(AD345="No",AE345="No"),0,1)
+IF(OR(AL345="No",AI345="No",AJ345="No"),0,LEN(AL345)-LEN(SUBSTITUTE(AL345,",",""))+1))*62%)* 2)*(1 + (AP345 / (IF(_xlfn.XLOOKUP(_xlfn.XLOOKUP(B345,'Base stats'!B:B,'Base stats'!E:E),Groups!A:A,Groups!AJ:AJ)="Photonozoa",0.3,1)) + _xlfn.XLOOKUP(B345,'Base stats'!B:B,'Base stats'!AV:AV) * 1.8) * 2) * 2.5 + 10 + I345 * 2,5)+IF(_xlfn.XLOOKUP(B345,'Base stats'!B:B,'Base stats'!AK:AK)=1,50,0)</f>
        <v>355</v>
      </c>
      <c r="BS345" s="8">
        <f t="shared" si="40"/>
        <v>1.2000000000000002</v>
      </c>
      <c r="BT345" s="8" t="str">
        <f>_xlfn.XLOOKUP(B345,'Base stats'!B:B,'Base stats'!AF:AF)</f>
        <v>No</v>
      </c>
      <c r="BU345" s="2" t="str">
        <f>IF(AND(J345&lt;=0.95,OR(_xlfn.XLOOKUP(B345,'Base stats'!B:B,'Base stats'!AK:AK)=1,_xlfn.XLOOKUP(B345,'Base stats'!B:B,'Base stats'!Y:Y)="Carnivore",_xlfn.XLOOKUP(B345,'Base stats'!B:B,'Base stats'!Y:Y)="Omnivore",BE345&gt;0.1)),"true","false")</f>
        <v>true</v>
      </c>
      <c r="BV345" s="2" t="str">
        <f>IF(_xlfn.XLOOKUP(B345,'Base stats'!B:B,'Base stats'!AI:AI)=1,"true","false")</f>
        <v>false</v>
      </c>
      <c r="BW345" s="25" t="str">
        <f>IF(E345="BaseInsect","AnimalInsect",
IF(J345&gt;0.95,"AnimalExotic",
_xlfn.TEXTJOIN(", ",TRUE,
IF(OR(_xlfn.XLOOKUP(B345,'Base stats'!B:B,'Base stats'!AM:AM)=1,AND(_xlfn.XLOOKUP(B345,'Base stats'!B:B,'Base stats'!O:O)=0,_xlfn.XLOOKUP(_xlfn.XLOOKUP(B345,'Base stats'!B:B,'Base stats'!E:E),Groups!A:A,Groups!B:B)&gt;0)),"AnimalUncommon","AnimalCommon"),
IF(AND(_xlfn.XLOOKUP(B345,'Base stats'!B:B,'Base stats'!O:O)=2,_xlfn.XLOOKUP(_xlfn.XLOOKUP(B345,'Base stats'!B:B,'Base stats'!E:E),Groups!A:A,Groups!D:D)=0),"AnimalPet",IF(AND(_xlfn.XLOOKUP(B345,'Base stats'!B:B,'Base stats'!O:O)&lt;&gt;0,_xlfn.XLOOKUP(_xlfn.XLOOKUP(B345,'Base stats'!B:B,'Base stats'!E:E),Groups!A:A,Groups!D:D)&lt;&gt;0),"AnimalFarm","")),
IF(OR(_xlfn.XLOOKUP(B345,'Base stats'!B:B,'Base stats'!AK:AK)=1,AND(BI345&lt;&gt;"None",BR345&gt;=60),ISNUMBER(SEARCH("Attack target",BP345))),"AnimalFighter","")
)))</f>
        <v>AnimalUncommon, AnimalFighter</v>
      </c>
      <c r="BX345" s="25" t="str">
        <f>IF(G345="None",TRIM(
SUBSTITUTE(
IF(COUNTIF(Biomes!B$2:B$259,"="&amp;$C345)&gt;0,Biomes!B$1&amp;", ","")&amp;
IF(COUNTIF(Biomes!C$2:C$259,"="&amp;$C345)&gt;0,Biomes!C$1&amp;", ","")&amp;
IF(COUNTIF(Biomes!D$2:D$259,"="&amp;$C345)&gt;0,Biomes!D$1&amp;", ","")&amp;
IF(COUNTIF(Biomes!F$2:F$259,"="&amp;$C345)&gt;0,Biomes!F$1&amp;", ","")&amp;
IF(COUNTIF(Biomes!G$2:G$259,"="&amp;$C345)&gt;0,Biomes!G$1&amp;", ","")&amp;
IF(COUNTIF(Biomes!H$2:H$259,"="&amp;$C345)&gt;0,Biomes!H$1&amp;", ","")&amp;
IF(COUNTIF(Biomes!I$2:I$259,"="&amp;$C345)&gt;0,Biomes!I$1&amp;", ","")&amp;
IF(COUNTIF(Biomes!J$2:J$259,"="&amp;$C345)&gt;0,Biomes!J$1&amp;", ","")&amp;
IF(COUNTIF(Biomes!M$2:M$259,"="&amp;$C345)&gt;0,Biomes!M$1&amp;", ","")&amp;
IF(COUNTIF(Biomes!N$2:N$259,"="&amp;$C345)&gt;0,Biomes!N$1&amp;", ","")&amp;
IF(COUNTIF(Biomes!O$2:O$259,"="&amp;$C345)&gt;0,Biomes!O$1&amp;", ","")&amp;
IF(COUNTIF(Biomes!P$2:P$259,"="&amp;$C345)&gt;0,Biomes!P$1&amp;", ","")&amp;
IF(COUNTIF(Biomes!K$2:K$259,"="&amp;$C345)&gt;0,Biomes!K$1&amp;", ","")&amp;
IF(COUNTIF(Biomes!Q$3:Q$259,"="&amp;$C345)&gt;0,Biomes!Q$1&amp;", ","")&amp;
IF(COUNTIF(Biomes!L$2:L$259,"="&amp;$C345)&gt;0,Biomes!L$1&amp;", ","")&amp;
IF(COUNTIF(Biomes!E$2:E$259,"="&amp;$C345)&gt;0,Biomes!E$1&amp;", ","")&amp;IF(COUNTIF(Biomes!S$2:S$259,"="&amp;$C345)&gt;0,Biomes!S$1&amp;", ","")&amp;
IF(COUNTIF(Biomes!R$2:R$259,"="&amp;$C345)&gt;0,Biomes!R$1&amp;", ",""),", ","")
),_xlfn.XLOOKUP(B345,B:B,BX:BX))</f>
        <v>SeaIce IceSheet Tundra BorealForest ColdBog TemperateForest TemperateSwamp AridShrubland Desert ExtremeDesert TropicalRainforest TropicalSwamp Grasslands Glowforest LavaField GlacialPlain Scarlands</v>
      </c>
      <c r="BY345" s="25" t="str">
        <f>IF(_xlfn.XLOOKUP(B345,'Base stats'!B:B,'Base stats'!AJ:AJ)=1,"true","false")</f>
        <v>false</v>
      </c>
      <c r="BZ345" s="25">
        <f>IF(_xlfn.XLOOKUP(B345,'Base stats'!B:B,'Base stats'!N:N)=1,"No",MAX(0.001,MIN(MROUND(IF(AND(BJ345="True",CC345="False"),POWER(10,3.47*LOG10(_xlfn.XLOOKUP(B345,'Base stats'!B:B,'Base stats'!C:C)*1000)^-0.96),POWER(10,4.15*LOG10(_xlfn.XLOOKUP(B345,'Base stats'!B:B,'Base stats'!C:C)*1000)^-0.73))*IF(_xlfn.XLOOKUP(B345,'Base stats'!B:B,'Base stats'!AK:AK)=1,0.5,1)*IF(_xlfn.XLOOKUP(B345,'Base stats'!B:B,'Base stats'!AM:AM)=1,0.1,1)/100,IF(_xlfn.XLOOKUP(B345,'Base stats'!B:B,'Base stats'!AM:AM)=1,0.001,0.025)),0.5)))</f>
        <v>1.6E-2</v>
      </c>
      <c r="CA345" s="25" t="str">
        <f>IF(P345="Standard","No",MAX(0.001,MIN(MROUND(IF(AND(BJ345="True",CC345="False"),POWER(10,3.47*LOG10(_xlfn.XLOOKUP(B345,'Base stats'!B:B,'Base stats'!C:C)*1000)^-0.96),POWER(10,4.15*LOG10(_xlfn.XLOOKUP(B345,'Base stats'!B:B,'Base stats'!C:C)*1000)^-0.73))*IF(_xlfn.XLOOKUP(B345,'Base stats'!B:B,'Base stats'!AM:AM)=1,0.1,1)*_xlfn.XLOOKUP(B345,'Base stats'!B:B,'Base stats'!R:R)/100,IF(_xlfn.XLOOKUP(B345,'Base stats'!B:B,'Base stats'!AM:AM)=1,0.001,0.025)),0.5)))</f>
        <v>No</v>
      </c>
      <c r="CB345" s="25" t="str">
        <f>IF(_xlfn.XLOOKUP(_xlfn.XLOOKUP(B345,'Base stats'!B:B,'Base stats'!E:E),Groups!A:A,Groups!AJ:AJ)="Mammal","True","False")</f>
        <v>True</v>
      </c>
      <c r="CC345" s="25" t="str">
        <f>IF(OR(_xlfn.XLOOKUP(_xlfn.XLOOKUP(B345,'Base stats'!B:B,'Base stats'!E:E),Groups!A:A,Groups!AJ:AJ)="Reptile",_xlfn.XLOOKUP(_xlfn.XLOOKUP(B345,'Base stats'!B:B,'Base stats'!E:E),Groups!A:A,Groups!AJ:AJ)="Amphibian",_xlfn.XLOOKUP(_xlfn.XLOOKUP(B345,'Base stats'!B:B,'Base stats'!E:E),Groups!A:A,Groups!AJ:AJ)="Invertebrate"),"True","False")</f>
        <v>False</v>
      </c>
      <c r="CD345" s="25" t="str">
        <f t="shared" si="41"/>
        <v>False</v>
      </c>
      <c r="CE345" s="25" t="str">
        <f>IF(_xlfn.XLOOKUP(_xlfn.XLOOKUP(B345,'Base stats'!B:B,'Base stats'!E:E),Groups!A:A,Groups!AX:AX),"True","False")</f>
        <v>False</v>
      </c>
      <c r="CF345" s="25" t="str">
        <f>IF(_xlfn.XLOOKUP(_xlfn.XLOOKUP(B345,'Base stats'!B:B,'Base stats'!E:E),Groups!A:A,Groups!AY:AY),"True","False")</f>
        <v>False</v>
      </c>
      <c r="CG345" s="25" t="str">
        <f>IF(_xlfn.XLOOKUP(_xlfn.XLOOKUP(B345,'Base stats'!B:B,'Base stats'!E:E),Groups!A:A,Groups!AW:AW),"True","False")</f>
        <v>False</v>
      </c>
      <c r="CH345" s="25" t="str">
        <f>IF(
OR(
_xlfn.XLOOKUP(_xlfn.XLOOKUP(B345,'Base stats'!B:B,'Base stats'!E:E),Groups!A:A,Groups!AZ:AZ)=0,
AND(
_xlfn.XLOOKUP(B345,'Base stats'!B:B,'Base stats'!Y:Y)&lt;&gt;"Carnivore",
_xlfn.XLOOKUP(B345,'Base stats'!B:B,'Base stats'!Y:Y)&lt;&gt;"Omnivore",
_xlfn.XLOOKUP(B345,'Base stats'!B:B,'Base stats'!Y:Y)&lt;&gt;"OmnivoreRough"
)
),
"No",
IF(
_xlfn.XLOOKUP(_xlfn.XLOOKUP(B345,'Base stats'!B:B,'Base stats'!E:E),Groups!A:A,Groups!AZ:AZ)=1,
"Flesh",
IF(
_xlfn.XLOOKUP(_xlfn.XLOOKUP(B345,'Base stats'!B:B,'Base stats'!E:E),Groups!A:A,Groups!AZ:AZ)=2,
"Bone",
""
)
)
)</f>
        <v>No</v>
      </c>
      <c r="CI345" s="25" t="str">
        <f>IF(_xlfn.XLOOKUP(_xlfn.XLOOKUP(B345,'Base stats'!B:B,'Base stats'!E:E),Groups!A:A,Groups!BB:BB),"True","False")</f>
        <v>True</v>
      </c>
      <c r="CJ345" s="25" t="str">
        <f>IF(_xlfn.XLOOKUP(_xlfn.XLOOKUP(B345,'Base stats'!B:B,'Base stats'!E:E),Groups!A:A,Groups!BA:BA),"True","False")</f>
        <v>False</v>
      </c>
    </row>
    <row r="346" spans="1:88" s="16" customFormat="1" ht="16.5" thickTop="1" thickBot="1" x14ac:dyDescent="0.3">
      <c r="A346" s="26" t="s">
        <v>1893</v>
      </c>
      <c r="B346" s="6" t="str">
        <f>_xlfn.XLOOKUP(A346,'Base stats'!A:A,'Base stats'!B:B)</f>
        <v>Tyrannosaurus rex</v>
      </c>
      <c r="C346" s="28" t="s">
        <v>1897</v>
      </c>
      <c r="D346" s="28" t="s">
        <v>1898</v>
      </c>
      <c r="E346" s="28" t="s">
        <v>673</v>
      </c>
      <c r="F346" s="28" t="s">
        <v>673</v>
      </c>
      <c r="G346" s="28" t="s">
        <v>673</v>
      </c>
      <c r="H346" s="2">
        <f>MROUND((
  (IF(AND(_xlfn.XLOOKUP(B346,'Base stats'!B:B,'Base stats'!AL:AL)=0,BI346="None",_xlfn.XLOOKUP(_xlfn.XLOOKUP(B346,'Base stats'!B:B,'Base stats'!E:E),Groups!A:A,Groups!B:B)=0), (18 + BR346 * 2.7) * 0.5,
    IF(AND(_xlfn.XLOOKUP(B346,'Base stats'!B:B,'Base stats'!AL:AL)=0,OR(AO346&lt;0.55,AND(BI346="Intermediate",_xlfn.XLOOKUP(_xlfn.XLOOKUP(B346,'Base stats'!B:B,'Base stats'!E:E),Groups!A:A,Groups!B:B)&lt;2))), (18 + BR346 * 2.7),
      IF(OR(BI346="Advanced",_xlfn.XLOOKUP(B346,'Base stats'!B:B,'Base stats'!AL:AL)=1,_xlfn.XLOOKUP(_xlfn.XLOOKUP(B346,'Base stats'!B:B,'Base stats'!E:E),Groups!A:A,Groups!B:B)=2), (18 + BR346 * 2.7) + 250, (18 + BR346 * 2.7))
    )
  ))
  + AO346 * 80
  + IF(COUNTIF(EggMilk!K$2:K$998, A346) &gt; 0, 125, 0)
  + IF(COUNTIF(EggMilk!P$2:P$998, A346) &gt; 0, 90, 0)
  + IF(COUNTIF(EggMilk!A$2:A$998, A346) &gt; 0, 90, 0)
)
* (0.8 + 0.4 * J346)
* 0.75,25)</f>
        <v>2475</v>
      </c>
      <c r="I346" s="2">
        <f>MROUND(ROUNDDOWN(_xlfn.XLOOKUP(B346,'Base stats'!B:B,'Base stats'!L:L)/3.6/(23.3/11),1),0.5)</f>
        <v>3.5</v>
      </c>
      <c r="J346" s="2">
        <f>IF(OR(_xlfn.XLOOKUP(B346,'Base stats'!B:B,'Base stats'!AB:AB)=1,_xlfn.XLOOKUP(_xlfn.XLOOKUP(B346,'Base stats'!B:B,'Base stats'!E:E),Groups!A:A,Groups!C:C)="Untamable"),1,IF(_xlfn.XLOOKUP(B346,'Base stats'!B:B,'Base stats'!AL:AL)=1,0.99,MIN(MROUND((1-0.6282*EXP(-0.459*AO346))*_xlfn.XLOOKUP(_xlfn.XLOOKUP(B346,'Base stats'!B:B,'Base stats'!E:E),Groups!A:A,Groups!C:C)*IF(_xlfn.XLOOKUP(B346,'Base stats'!B:B,'Base stats'!O:O)=1,0.5,IF(_xlfn.XLOOKUP(B346,'Base stats'!B:B,'Base stats'!O:O)=2,0,1)),0.05),IF(AO346&gt;3.5,0.985,0.95))))</f>
        <v>0.95000000000000007</v>
      </c>
      <c r="K346" s="2">
        <f>ROUNDUP(AO346*_xlfn.XLOOKUP(_xlfn.XLOOKUP(B346,'Base stats'!B:B,'Base stats'!E:E),Groups!A:A,Groups!E:E),0)</f>
        <v>6</v>
      </c>
      <c r="L346" s="2">
        <f>IF(OR(_xlfn.XLOOKUP(_xlfn.XLOOKUP(B346,'Base stats'!B:B,'Base stats'!E:E),Groups!A:A,Groups!F:F)=2,ISNUMBER(SEARCH("SeaIce",BX346)),ISNUMBER(SEARCH("IceSheet",BX346))),-50,IF(OR(ISNUMBER(SEARCH("GlacialPlain",BX346)),ISNUMBER(SEARCH("Tundra",BX346))),-40,IF(OR(ISNUMBER(SEARCH("Alpine",BX346)),ISNUMBER(SEARCH("BorealForest",BX346)),ISNUMBER(SEARCH("ColdBog",BX346))),-30,IF(OR(ISNUMBER(SEARCH("TemperateForest",BX346)),ISNUMBER(SEARCH("TemperateSwamp",BX346))),-20,IF(_xlfn.XLOOKUP(_xlfn.XLOOKUP(B346,'Base stats'!B:B,'Base stats'!E:E),Groups!A:A,Groups!F:F)=1,-15,IF(OR(ISNUMBER(SEARCH("Desert",BX346)),ISNUMBER(SEARCH("ExtremeDesert",BX346))),-10,IF(OR(ISNUMBER(SEARCH("Grasslands",BX346)),ISNUMBER(SEARCH("TropicalRainforest",BX346)),ISNUMBER(SEARCH("TropicalSwamp",BX346))),10,0)))))))-IF(CC346="False",MIN(IFERROR(MAX(MROUND(LOG10(_xlfn.XLOOKUP(B346,'Base stats'!B:B,'Base stats'!C:C)^(2/3))*10,5),5),5),30))-_xlfn.XLOOKUP(B346,'Base stats'!B:B,'Base stats'!P:P)+IF(CC346="True",5,0)</f>
        <v>-45</v>
      </c>
      <c r="M346" s="2">
        <f>IF(OR(_xlfn.XLOOKUP(_xlfn.XLOOKUP(B346,'Base stats'!B:B,'Base stats'!E:E),Groups!A:A,Groups!G:G)=2,ISNUMBER(SEARCH("Desert",BX346)),ISNUMBER(SEARCH("ExtremeDesert",BX346)),ISNUMBER(SEARCH("LavaField",BX346))),50,IF(ISNUMBER(SEARCH("Grasslands",BX346)),45,IF(OR(_xlfn.XLOOKUP(_xlfn.XLOOKUP(B346,'Base stats'!B:B,'Base stats'!E:E),Groups!A:A,Groups!G:G)=1,ISNUMBER(SEARCH("TropicalRainforest",BX346)),ISNUMBER(SEARCH("TropicalSwamp",BX346))),40,IF(OR(ISNUMBER(SEARCH("TemperateForest",BX346)),ISNUMBER(SEARCH("TemperateSwamp",BX346))),35,IF(OR(ISNUMBER(SEARCH("Alpine",BX346)),ISNUMBER(SEARCH("BorealForest",BX346)),ISNUMBER(SEARCH("ColdBog",BX346))),30,IF(ISNUMBER(OR(ISNUMBER(SEARCH("GlacialPlain",BX346)),SEARCH("Tundra",BX346))),25,IF(OR(ISNUMBER(SEARCH("SeaIce",BX346)),ISNUMBER(SEARCH("IceSheet",BX346)),ISNUMBER(SEARCH("TropicalSwamp",BX346))),10,35)))))))+_xlfn.XLOOKUP(B346,'Base stats'!B:B,'Base stats'!Q:Q)</f>
        <v>35</v>
      </c>
      <c r="N346" s="8" t="str">
        <f>IF(
_xlfn.XLOOKUP(
_xlfn.XLOOKUP(B346,'Base stats'!B:B,'Base stats'!E:E),
Groups!A:A,
Groups!L:L
)=1,
MIN(
MROUND(
IF(
_xlfn.XLOOKUP(B346,'Animals CE'!B:B,'Animals CE'!Z:Z)&lt;=1.5,
_xlfn.XLOOKUP(B346,'Animals CE'!B:B,'Animals CE'!Z:Z)/2+0.05,
0.8+
(_xlfn.XLOOKUP(B346,'Animals CE'!B:B,'Animals CE'!Z:Z)-1.5)
*0.02
),
0.05
),
200%
),
"No"
)</f>
        <v>No</v>
      </c>
      <c r="O346" s="8" t="str">
        <f>IF(
_xlfn.XLOOKUP(
_xlfn.XLOOKUP(B346,'Base stats'!B:B,'Base stats'!E:E),
Groups!A:A,
Groups!L:L
)=1,
MIN(
MROUND(
IF(
_xlfn.XLOOKUP(B346,'Animals CE'!B:B,'Animals CE'!AA:AA)&lt;=1.5,
_xlfn.XLOOKUP(B346,'Animals CE'!B:B,'Animals CE'!AA:AA)/2+0.05,
0.8+
(_xlfn.XLOOKUP(B346,'Animals CE'!B:B,'Animals CE'!AA:AA)-1.5)
*0.02
),
0.05
),
200%
),
"No"
)</f>
        <v>No</v>
      </c>
      <c r="P346" s="2" t="str">
        <f>_xlfn.XLOOKUP(B346,'Base stats'!B:B,'Base stats'!R:R)</f>
        <v>Standard</v>
      </c>
      <c r="Q346" s="13">
        <f>MROUND((LOG10(_xlfn.XLOOKUP(B346,'Base stats'!B:B,'Base stats'!AR:AR))*(AO346^0.5)+(_xlfn.XLOOKUP(B346,'Base stats'!B:B,'Base stats'!AR:AR)/1000)^(2/3)+_xlfn.XLOOKUP(B346,'Base stats'!B:B,'Base stats'!BA:BA)/2)+0.5,0.5)</f>
        <v>39.5</v>
      </c>
      <c r="R346" s="7">
        <f>IF(Q346="No","No",MAX(1,MROUND(_xlfn.XLOOKUP(B346,'Base stats'!B:B,'Base stats'!C:C)^0.165,0.05)))</f>
        <v>4.1500000000000004</v>
      </c>
      <c r="S346" s="13" t="str">
        <f>IF(_xlfn.XLOOKUP(_xlfn.XLOOKUP(B346,'Base stats'!B:B,'Base stats'!E:E),Groups!A:A,Groups!P:P)=0,"No",MROUND((LOG10(_xlfn.XLOOKUP(B346,'Base stats'!B:B,'Base stats'!AS:AS))*(AO346^0.5)+(_xlfn.XLOOKUP(B346,'Base stats'!B:B,'Base stats'!AS:AS)/1000)^(2/3)+_xlfn.XLOOKUP(B346,'Base stats'!B:B,'Base stats'!BA:BA))+_xlfn.XLOOKUP(B346,'Base stats'!B:B,'Base stats'!AY:AY)+0.5,0.5))</f>
        <v>No</v>
      </c>
      <c r="T346" s="7" t="str">
        <f>IF(S346="No","No",MAX(_xlfn.XLOOKUP(_xlfn.XLOOKUP(B346,'Base stats'!B:B,'Base stats'!E:E),Groups!A:A,Groups!Q:Q),MROUND(_xlfn.XLOOKUP(_xlfn.XLOOKUP(B346,'Base stats'!B:B,'Base stats'!E:E),Groups!A:A,Groups!Q:Q)*_xlfn.XLOOKUP(B346,'Base stats'!B:B,'Base stats'!C:C)^0.165,0.05)))</f>
        <v>No</v>
      </c>
      <c r="U346" s="7" t="str">
        <f>IF(S346="No","No",_xlfn.XLOOKUP(_xlfn.XLOOKUP(B346,'Base stats'!B:B,'Base stats'!E:E),Groups!A:A,Groups!R:R))</f>
        <v>No</v>
      </c>
      <c r="V346" s="7" t="str">
        <f>IF(S346="No","No",_xlfn.XLOOKUP(_xlfn.XLOOKUP(B346,'Base stats'!B:B,'Base stats'!E:E),Groups!A:A,Groups!S:S))</f>
        <v>No</v>
      </c>
      <c r="W346" s="7" t="str">
        <f>IF(S346="No","No",_xlfn.XLOOKUP(_xlfn.XLOOKUP(B346,'Base stats'!B:B,'Base stats'!E:E),Groups!A:A,Groups!T:T))</f>
        <v>No</v>
      </c>
      <c r="X346" s="13" t="str">
        <f>IF(_xlfn.XLOOKUP(B346,'Base stats'!B:B,'Base stats'!W:W)="No","No",MROUND((LOG10(_xlfn.XLOOKUP(B346,'Base stats'!B:B,'Base stats'!AU:AU))*(AO346^0.5)+(_xlfn.XLOOKUP(B346,'Base stats'!B:B,'Base stats'!AU:AU)/1000)^(2/3)+_xlfn.XLOOKUP(B346,'Base stats'!B:B,'Base stats'!AZ:AZ))+0.5+IF(_xlfn.XLOOKUP(_xlfn.XLOOKUP(B346,'Base stats'!B:B,'Base stats'!E:E),Groups!A:A,Groups!U:U)&lt;&gt;3,_xlfn.XLOOKUP(B346,'Base stats'!B:B,'Base stats'!BA:BA),0),0.5))</f>
        <v>No</v>
      </c>
      <c r="Y346" s="7" t="str">
        <f>IF(X346="No","No",MAX(_xlfn.XLOOKUP(_xlfn.XLOOKUP(B346,'Base stats'!B:B,'Base stats'!E:E),Groups!A:A,Groups!V:V),MROUND(_xlfn.XLOOKUP(_xlfn.XLOOKUP(B346,'Base stats'!B:B,'Base stats'!E:E),Groups!A:A,Groups!V:V)*_xlfn.XLOOKUP(B346,'Base stats'!B:B,'Base stats'!C:C)^0.165,0.05)))</f>
        <v>No</v>
      </c>
      <c r="Z346" s="7" t="str">
        <f>IF(X346="No","No",_xlfn.XLOOKUP(_xlfn.XLOOKUP(B346,'Base stats'!B:B,'Base stats'!E:E),Groups!A:A,Groups!W:W))</f>
        <v>No</v>
      </c>
      <c r="AA346" s="7" t="str">
        <f>IF(X346="No","No",_xlfn.XLOOKUP(_xlfn.XLOOKUP(B346,'Base stats'!B:B,'Base stats'!E:E),Groups!A:A,Groups!X:X))</f>
        <v>No</v>
      </c>
      <c r="AB346" s="7" t="str">
        <f>IF(X346="No","No",_xlfn.XLOOKUP(_xlfn.XLOOKUP(B346,'Base stats'!B:B,'Base stats'!E:E),Groups!A:A,Groups!Y:Y))</f>
        <v>No</v>
      </c>
      <c r="AC346" s="7" t="str">
        <f>_xlfn.XLOOKUP(Animals!B346,'Base stats'!B:B,'Base stats'!X:X)</f>
        <v>False</v>
      </c>
      <c r="AD346" s="13">
        <f>IF(_xlfn.XLOOKUP(B346,'Base stats'!B:B,'Base stats'!AT:AT)="No","No",MROUND((LOG10(_xlfn.XLOOKUP(B346,'Base stats'!B:B,'Base stats'!AT:AT))*(AO346^0.75)+(_xlfn.XLOOKUP(B346,'Base stats'!B:B,'Base stats'!AT:AT)/1000)^(2/3)+_xlfn.XLOOKUP(B346,'Base stats'!B:B,'Base stats'!AX:AX)+_xlfn.XLOOKUP(B346,'Base stats'!B:B,'Base stats'!BA:BA))+0.5,0.5))</f>
        <v>55</v>
      </c>
      <c r="AE346" s="7">
        <f>IF(AD346="No","No",MAX(_xlfn.XLOOKUP(_xlfn.XLOOKUP(B346,'Base stats'!B:B,'Base stats'!E:E),Groups!A:A,Groups!Z:Z),MROUND(_xlfn.XLOOKUP(_xlfn.XLOOKUP(B346,'Base stats'!B:B,'Base stats'!E:E),Groups!A:A,Groups!Z:Z)*_xlfn.XLOOKUP(B346,'Base stats'!B:B,'Base stats'!C:C)^0.165,0.05)))</f>
        <v>3.1</v>
      </c>
      <c r="AF346" s="7" t="str">
        <f>IF(AD346="No","No",_xlfn.XLOOKUP(_xlfn.XLOOKUP(B346,'Base stats'!B:B,'Base stats'!E:E),Groups!A:A,Groups!AA:AA))</f>
        <v>Teeth</v>
      </c>
      <c r="AG346" s="7" t="str">
        <f>IF(AD346="No","No",_xlfn.XLOOKUP(_xlfn.XLOOKUP(B346,'Base stats'!B:B,'Base stats'!E:E),Groups!A:A,Groups!AB:AB))</f>
        <v>teeth</v>
      </c>
      <c r="AH346" s="7" t="str">
        <f>IF(AD346="No","No",_xlfn.XLOOKUP(_xlfn.XLOOKUP(B346,'Base stats'!B:B,'Base stats'!E:E),Groups!A:A,Groups!AC:AC))</f>
        <v>Bite</v>
      </c>
      <c r="AI346" s="13" t="str">
        <f>IF(_xlfn.XLOOKUP(_xlfn.XLOOKUP(B346,'Base stats'!B:B,'Base stats'!E:E),Groups!A:A,Groups!AD:AD)=0,"No",MROUND((LOG10(_xlfn.XLOOKUP(B346,'Base stats'!B:B,'Base stats'!AS:AS))*(AO346^0.75)+(_xlfn.XLOOKUP(B346,'Base stats'!B:B,'Base stats'!AS:AS)/1000)^(2/3)+_xlfn.XLOOKUP(B346,'Base stats'!B:B,'Base stats'!AY:AY)+_xlfn.XLOOKUP(B346,'Base stats'!B:B,'Base stats'!BA:BA))+0.5,0.5))</f>
        <v>No</v>
      </c>
      <c r="AJ346" s="7" t="str">
        <f>IF(AI346="No","No",MAX(_xlfn.XLOOKUP(_xlfn.XLOOKUP(B346,'Base stats'!B:B,'Base stats'!E:E),Groups!A:A,Groups!AE:AE),MROUND(_xlfn.XLOOKUP(_xlfn.XLOOKUP(B346,'Base stats'!B:B,'Base stats'!E:E),Groups!A:A,Groups!AE:AE)*IF(_xlfn.XLOOKUP(_xlfn.XLOOKUP(B346,'Base stats'!B:B,'Base stats'!E:E),Groups!A:A,Groups!AJ:AJ)="Photonozoa",0.6,1)*_xlfn.XLOOKUP(B346,'Base stats'!B:B,'Base stats'!C:C)^0.165,0.05)))</f>
        <v>No</v>
      </c>
      <c r="AK346" s="7" t="str">
        <f>IF(AI346="No","No",_xlfn.XLOOKUP(_xlfn.XLOOKUP(B346,'Base stats'!B:B,'Base stats'!E:E),Groups!A:A,Groups!AF:AF))</f>
        <v>No</v>
      </c>
      <c r="AL346" s="7" t="str">
        <f>IF(AI346="No","No",_xlfn.XLOOKUP(_xlfn.XLOOKUP(B346,'Base stats'!B:B,'Base stats'!E:E),Groups!A:A,Groups!AG:AG))</f>
        <v>No</v>
      </c>
      <c r="AM346" s="7" t="str">
        <f>IF(AI346="No","No",_xlfn.XLOOKUP(_xlfn.XLOOKUP(B346,'Base stats'!B:B,'Base stats'!E:E),Groups!A:A,Groups!AH:AH))</f>
        <v>No</v>
      </c>
      <c r="AN346" s="2">
        <f t="shared" si="35"/>
        <v>45</v>
      </c>
      <c r="AO346" s="2">
        <f>MROUND(IF(AND(_xlfn.XLOOKUP(B346,'Base stats'!B:B,'Base stats'!C:C)&gt;=0.5,_xlfn.XLOOKUP(B346,'Base stats'!B:B,'Base stats'!C:C)&lt;=0.8),
IF(_xlfn.XLOOKUP(B346,'Base stats'!B:B,'Base stats'!C:C)&lt;0.1,0.05,IF(_xlfn.XLOOKUP(B346,'Base stats'!B:B,'Base stats'!C:C)&lt;=70,(_xlfn.XLOOKUP(B346,'Base stats'!B:B,'Base stats'!C:C)/70)^0.426489913056526,IF(_xlfn.XLOOKUP(B346,'Base stats'!B:B,'Base stats'!C:C)&lt;=400,(_xlfn.XLOOKUP(B346,'Base stats'!B:B,'Base stats'!C:C)/70)^0.572811455315093,IF(_xlfn.XLOOKUP(B346,'Base stats'!B:B,'Base stats'!C:C)&lt;=2000,2.71391647193063*(_xlfn.XLOOKUP(B346,'Base stats'!B:B,'Base stats'!C:C)/400)^0.252459582904293,3.74314280240376*(_xlfn.XLOOKUP(B346,'Base stats'!B:B,'Base stats'!C:C)/2000)^0.357012633876913)))),
IF(_xlfn.XLOOKUP(B346,'Base stats'!B:B,'Base stats'!C:C)&lt;0.1,0.05,IF(_xlfn.XLOOKUP(B346,'Base stats'!B:B,'Base stats'!C:C)&lt;0.4,0.1,IF(_xlfn.XLOOKUP(B346,'Base stats'!B:B,'Base stats'!C:C)&lt;=70,(_xlfn.XLOOKUP(B346,'Base stats'!B:B,'Base stats'!C:C)/70)^0.445823913056526,IF(_xlfn.XLOOKUP(B346,'Base stats'!B:B,'Base stats'!C:C)&lt;=400,(_xlfn.XLOOKUP(B346,'Base stats'!B:B,'Base stats'!C:C)/70)^0.572811455315093,IF(_xlfn.XLOOKUP(B346,'Base stats'!B:B,'Base stats'!C:C)&lt;=2000,2.71391647193063*(_xlfn.XLOOKUP(B346,'Base stats'!B:B,'Base stats'!C:C)/400)^0.252459582904293,3.74314280240376*(_xlfn.XLOOKUP(B346,'Base stats'!B:B,'Base stats'!C:C)/2000)^0.357012633876913)))))),
IF(_xlfn.XLOOKUP(B346,'Base stats'!B:B,'Base stats'!C:C)&lt;0.1,0.05,IF(_xlfn.XLOOKUP(B346,'Base stats'!B:B,'Base stats'!C:C)&lt;=100,0.05,IF(_xlfn.XLOOKUP(B346,'Base stats'!B:B,'Base stats'!C:C)&lt;=250,0.1,IF(_xlfn.XLOOKUP(B346,'Base stats'!B:B,'Base stats'!C:C)&lt;=4000,0.25,0.5)))))</f>
        <v>5.5</v>
      </c>
      <c r="AP346" s="8">
        <f>MROUND(AO346*_xlfn.XLOOKUP(_xlfn.XLOOKUP(B346,'Base stats'!B:B,'Base stats'!E:E),Groups!A:A,Groups!AI:AI)*_xlfn.XLOOKUP(B346,'Base stats'!B:B,'Base stats'!Z:Z),0.05)</f>
        <v>6.6000000000000005</v>
      </c>
      <c r="AQ346" s="8">
        <f>MAX(0.01,MROUND(IF(CC346="True",0.196*(AO346*100*1000)^0.889,IF(_xlfn.XLOOKUP(_xlfn.XLOOKUP(B346,'Base stats'!B:B,'Base stats'!E:E),Groups!A:A,Groups!AJ:AJ)="Bird",10.5*(AO346*100*1000)^0.681,4.82*(AO346*100*1000)^0.734))/(4.82*(1*100*1000)^0.734)/IF(AO346&lt;3.5,2,IF(AO346=3.5,1.5,1.25))*(1+0.132282374779864/(AO346^0.994035016789033+0.00905238001496948)),0.05))</f>
        <v>3.1</v>
      </c>
      <c r="AR346" s="9">
        <f>IFERROR(MROUND(_xlfn.XLOOKUP(B346,'Base stats'!B:B,'Base stats'!H:H)/IF(_xlfn.XLOOKUP(B346,'Base stats'!B:B,'Base stats'!I:I)&lt;&gt;1,(122.5/70),1.2),IF(_xlfn.XLOOKUP(B346,'Base stats'!B:B,'Base stats'!H:H)&gt;=30,5,IF(_xlfn.XLOOKUP(B346,'Base stats'!B:B,'Base stats'!H:H)&gt;=15,3,IF(_xlfn.XLOOKUP(B346,'Base stats'!B:B,'Base stats'!H:H)&gt;=10,2,1)))),"Immortal")</f>
        <v>25</v>
      </c>
      <c r="AS346" s="35" t="str">
        <f>IFERROR(IF(OR(_xlfn.XLOOKUP(B346,'Base stats'!B:B,'Base stats'!F:F)="Atypical reproduction",_xlfn.XLOOKUP(B346,'Base stats'!B:B,'Base stats'!F:F)="Lay eggs"),"Lay eggs",MIN(20,MAX(5.5,ROUND(((_xlfn.XLOOKUP(B346,'Base stats'!B:B,'Base stats'!F:F)-25)*(14.5/615) + 5.5)*2,0)/2))),"Unknown")</f>
        <v>Lay eggs</v>
      </c>
      <c r="AT346" s="8">
        <f>IF(_xlfn.XLOOKUP(B346,'Base stats'!B:B,'Base stats'!G:G)="Atypical reproduction","No",IFERROR(MAX(IF(_xlfn.XLOOKUP(B346,'Base stats'!B:B,'Base stats'!G:G)&lt;0.5,0.2,0.3),MROUND(_xlfn.XLOOKUP(B346,'Base stats'!B:B,'Base stats'!G:G)/(365/60),0.2)),"Unknown"))</f>
        <v>3</v>
      </c>
      <c r="AU346" s="8">
        <f t="shared" si="36"/>
        <v>1.5</v>
      </c>
      <c r="AV346" s="8" t="str">
        <f>IFERROR(IFERROR(MROUND(_xlfn.XLOOKUP(B346,'Base stats'!B:B,'Base stats'!J:J),0.1),"Lay eggs"),"Cannot breed")</f>
        <v>Lay eggs</v>
      </c>
      <c r="AW346" s="2" t="str">
        <f t="shared" si="37"/>
        <v>false</v>
      </c>
      <c r="AX346" s="2" t="str">
        <f>IF(_xlfn.XLOOKUP(_xlfn.XLOOKUP(Animals!B346,'Base stats'!B:B,'Base stats'!E:E),Groups!A:A,Groups!AK:AK)=1,"true","false")</f>
        <v>false</v>
      </c>
      <c r="AY346" s="25" t="str">
        <f>IF(_xlfn.XLOOKUP(B346,'Base stats'!B:B,'Base stats'!Y:Y)="Liquor","Liquor, CarnivoreAnimalStrict",IF(AND(_xlfn.XLOOKUP(B346,'Base stats'!B:B,'Base stats'!Y:Y)="Carnivore",_xlfn.XLOOKUP(_xlfn.XLOOKUP(B346,'Base stats'!B:B,'Base stats'!E:E),Groups!A:A,Groups!AJ:AJ)="Photonozoa"),"CarnivoreAnimalStrict, OvivoreAnimal",IF(_xlfn.XLOOKUP(B346,'Base stats'!B:B,'Base stats'!Y:Y)="Carnivore","CarnivoreAnimal, OvivoreAnimal",IF(_xlfn.XLOOKUP(B346,'Base stats'!B:B,'Base stats'!Y:Y)="Dendrovore","VegetarianRoughAnimal, DendrovoreAnimal",IF(_xlfn.XLOOKUP(B346,'Base stats'!B:B,'Base stats'!Y:Y)="Herbivore","VegetarianRoughAnimal",IF(_xlfn.XLOOKUP(B346,'Base stats'!B:B,'Base stats'!Y:Y)="OmnivoreRough","OmnivoreRoughAnimal, OvivoreAnimal","OmnivoreAnimal, OvivoreAnimal"))))))</f>
        <v>CarnivoreAnimal, OvivoreAnimal</v>
      </c>
      <c r="AZ346" s="2" t="str">
        <f>IF(_xlfn.XLOOKUP(_xlfn.XLOOKUP(B346,'Base stats'!B:B,'Base stats'!E:E),Groups!A:A,Groups!D:D)=1,MROUND((1-J346)*5+1,2)*IF(J346&lt;=0.4,2,1),"No")</f>
        <v>No</v>
      </c>
      <c r="BA346" s="2" t="str">
        <f>IF(AND(_xlfn.XLOOKUP(B346,'Base stats'!B:B,'Base stats'!AH:AH)="&lt;li&gt;Seal&lt;/li&gt;",G346="Odyssey"),"&lt;li&gt;AEXP_Seal&lt;/li&gt;",_xlfn.XLOOKUP(B346,'Base stats'!B:B,'Base stats'!AH:AH))</f>
        <v>No</v>
      </c>
      <c r="BB346" s="2" t="str">
        <f>_xlfn.XLOOKUP(B346,'Base stats'!B:B,'Base stats'!AG:AG)</f>
        <v>Leather_Tyrannosaurus</v>
      </c>
      <c r="BC346" s="23" t="str">
        <f>_xlfn.XLOOKUP(_xlfn.XLOOKUP(B346,'Base stats'!B:B,'Base stats'!E:E),Groups!A:A,Groups!AL:AL)</f>
        <v>Theropod</v>
      </c>
      <c r="BD346" s="23">
        <f>MIN(1,MROUND(IF(AND(AO346&lt;0.5,_xlfn.XLOOKUP(B346,'Base stats'!B:B,'Base stats'!AA:AA)=0),0,IF(OR(_xlfn.XLOOKUP(Animals!B346,'Base stats'!B:B,'Base stats'!O:O)=2,_xlfn.XLOOKUP(_xlfn.XLOOKUP(B346,'Base stats'!B:B,'Base stats'!E:E),Groups!A:A,Groups!AN:AN)=0),0,_xlfn.XLOOKUP(_xlfn.XLOOKUP(B346,'Base stats'!B:B,'Base stats'!E:E),Groups!A:A,Groups!AN:AN)/IF(_xlfn.XLOOKUP(Animals!B346,'Base stats'!B:B,'Base stats'!O:O)=1,2,1)))+_xlfn.XLOOKUP(B346,'Base stats'!B:B,'Base stats'!AC:AC),0.005))</f>
        <v>0.1</v>
      </c>
      <c r="BE346" s="23">
        <f>MIN(1,MROUND(IF(AND(AO346&lt;0.5,_xlfn.XLOOKUP(B346,'Base stats'!B:B,'Base stats'!AA:AA)=0),0,IF(_xlfn.XLOOKUP(_xlfn.XLOOKUP(B346,'Base stats'!B:B,'Base stats'!E:E),Groups!A:A,Groups!AO:AO)=0,0,_xlfn.XLOOKUP(_xlfn.XLOOKUP(B346,'Base stats'!B:B,'Base stats'!E:E),Groups!A:A,Groups!AO:AO)/IF(_xlfn.XLOOKUP(Animals!B346,'Base stats'!B:B,'Base stats'!O:O)=2,3,1)))+_xlfn.XLOOKUP(B346,'Base stats'!B:B,'Base stats'!AD:AD),0.005))</f>
        <v>0.3</v>
      </c>
      <c r="BF346" s="2" t="str">
        <f>IF(J346&gt;0.3,"No",_xlfn.XLOOKUP(_xlfn.XLOOKUP(Animals!B346,'Base stats'!B:B,'Base stats'!E:E),Groups!A:A,Groups!AP:AP))</f>
        <v>No</v>
      </c>
      <c r="BG346" s="2" t="str">
        <f>IF(AND(J346&lt;=0.65,_xlfn.XLOOKUP(_xlfn.XLOOKUP(Animals!B346,'Base stats'!B:B,'Base stats'!E:E),Groups!A:A,Groups!AP:AP)&lt;&gt;"No",_xlfn.XLOOKUP(_xlfn.XLOOKUP(B346,'Base stats'!B:B,'Base stats'!E:E),Groups!A:A,Groups!D:D)=0),MROUND((80/3)*IF(_xlfn.XLOOKUP(B346,'Base stats'!B:B,'Base stats'!O:O)=2,0.2,AO346) + 24*(1-IF(BF346="No",0,BF346)) + 16/3, 12),"No")</f>
        <v>No</v>
      </c>
      <c r="BH346" s="2">
        <f>IF(AND(_xlfn.XLOOKUP(_xlfn.XLOOKUP(B346,'Base stats'!B:B,'Base stats'!E:E),Groups!A:A,Groups!AQ:AQ)=1,AO346&lt;=0.35),8,12)</f>
        <v>12</v>
      </c>
      <c r="BI346" s="2" t="str">
        <f>IF(_xlfn.XLOOKUP(_xlfn.XLOOKUP(B346,'Base stats'!B:B,'Base stats'!E:E),Groups!A:A,Groups!D:D)=0,_xlfn.XLOOKUP(_xlfn.XLOOKUP(B346,'Base stats'!B:B,'Base stats'!E:E),Groups!A:A,Groups!AR:AR),"None")</f>
        <v>Intermediate</v>
      </c>
      <c r="BJ346" s="2" t="str">
        <f>IF(AND(_xlfn.XLOOKUP(_xlfn.XLOOKUP(B346,'Base stats'!B:B,'Base stats'!E:E),Groups!A:A,Groups!AS:AS)=1,OR(_xlfn.XLOOKUP(B346,'Base stats'!B:B,'Base stats'!Y:Y)="Carnivore",_xlfn.XLOOKUP(B346,'Base stats'!B:B,'Base stats'!Y:Y)="Omnivore")),"true","false")</f>
        <v>true</v>
      </c>
      <c r="BK346" s="2">
        <f>IF(BJ346="true",MROUND(IF(AND(AO346&gt;0.5,OR(_xlfn.XLOOKUP(_xlfn.XLOOKUP(B346,'Base stats'!B:B,'Base stats'!E:E),Groups!A:A,Groups!AJ:AJ)="Photonozoa",_xlfn.XLOOKUP(_xlfn.XLOOKUP(B346,'Base stats'!B:B,'Base stats'!E:E),Groups!A:A,Groups!AJ:AJ)="Mammal")),Animals!AO346*1.75*IF(AW346="true",1.5,1),IF(AO346&lt;0.5,Animals!AO346*0.5,Animals!AO346)),IF(AO346&gt;2,0.5,IF(AO346&gt;0.5,0.25,0.1))),"No")</f>
        <v>5.5</v>
      </c>
      <c r="BL346" s="2">
        <f t="shared" si="38"/>
        <v>1</v>
      </c>
      <c r="BM346" s="25" t="str">
        <f>IF(_xlfn.XLOOKUP(B346,'Base stats'!B:B,'Base stats'!AN:AN)="Standard","No",MROUND((_xlfn.XLOOKUP(B346,'Base stats'!B:B,'Base stats'!AN:AN)/3.6)/I346,0.1))</f>
        <v>No</v>
      </c>
      <c r="BN346" s="25" t="str">
        <f t="shared" si="39"/>
        <v>false</v>
      </c>
      <c r="BO346" s="25" t="str">
        <f>IF(AND(OR(_xlfn.XLOOKUP(B346,'Base stats'!B:B,'Base stats'!Y:Y)="Carnivore",_xlfn.XLOOKUP(B346,'Base stats'!B:B,'Base stats'!Y:Y)="Omnivore",_xlfn.XLOOKUP(B346,'Base stats'!B:B,'Base stats'!Y:Y)="OmnivoreRough"),_xlfn.XLOOKUP(_xlfn.XLOOKUP(B346,'Base stats'!B:B,'Base stats'!E:E),Groups!A:A,Groups!AT:AT)=1),"true","false")</f>
        <v>false</v>
      </c>
      <c r="BP346" s="25" t="str" cm="1">
        <f t="array" ref="BP346">IF(
  _xlfn.TEXTJOIN(", ",TRUE,
    IF(AND(BJ346="true",AO346&gt;0.5,BI346&lt;&gt;"None"),"AttackTarget",""),
    IF(AND(_xlfn.XLOOKUP(_xlfn.XLOOKUP(B346,'Base stats'!B:B,'Base stats'!E:E),Groups!A:A,Groups!AJ:AJ="Mammal"),OR(_xlfn.XLOOKUP(B346,'Base stats'!B:B,'Base stats'!Y:Y)="Omnivore",_xlfn.XLOOKUP(B346,'Base stats'!B:B,'Base stats'!Y:Y)="OmnivoreRough")),"Forage",""),
    IF(BG346&lt;=36,"Comfort",""),
    IF(_xlfn.XLOOKUP(B346,'Base stats'!B:B,'Base stats'!AE:AE)&lt;&gt;"No",_xlfn.XLOOKUP(B346,'Base stats'!B:B,'Base stats'!AE:AE),"")
  ) = "",
  "No",
  _xlfn.TEXTJOIN(", ",TRUE,
    IF(AND(BJ346="true",AO346&gt;0.5,BI346&lt;&gt;"None"),"AttackTarget",""),
    IF(AND(_xlfn.XLOOKUP(_xlfn.XLOOKUP(B346,'Base stats'!B:B,'Base stats'!E:E),Groups!A:A,Groups!AJ:AJ="Mammal"),OR(_xlfn.XLOOKUP(B346,'Base stats'!B:B,'Base stats'!Y:Y)="Omnivore",_xlfn.XLOOKUP(B346,'Base stats'!B:B,'Base stats'!Y:Y)="OmnivoreRough")),"Forage",""),
    IF(BG346&lt;=36,"Comfort",""),
    IF(_xlfn.XLOOKUP(B346,'Base stats'!B:B,'Base stats'!AE:AE)&lt;&gt;"No",_xlfn.XLOOKUP(B346,'Base stats'!B:B,'Base stats'!AE:AE),"")
  )
)</f>
        <v>AttackTarget</v>
      </c>
      <c r="BQ346" s="25" t="str">
        <f>IF(
   AND(
      'Base stats'!AN346="Standard",_xlfn.XLOOKUP(_xlfn.XLOOKUP(B346,'Base stats'!B:B,'Base stats'!E:E),Groups!A:A,Groups!AU:AU)=0,
      OR(
      BO346="True"
      )
   ),
   10,
   IF(
       OR(BM346&lt;&gt;"No",_xlfn.XLOOKUP(_xlfn.XLOOKUP(B346,'Base stats'!B:B,'Base stats'!E:E),Groups!A:A,Groups!AU:AU)=1),
      1,
      "No"
   )
)</f>
        <v>No</v>
      </c>
      <c r="BR346" s="9">
        <f>MROUND((1 + ((0.2*IF(OR(Q346="No",R346="No",R346=0),0,Q346/R346)
+IF(OR(V346="No",S346="No",T346="No"),0,S346/T346*(LEN(V346)-LEN(SUBSTITUTE(V346,",",""))+1))
+IF(OR(X346="No",Y346="No"),0,X346/Y346)
+IF(OR(AD346="No",AE346="No"),0,AD346/AE346)
+IF(OR(AL346="No",AI346="No",AJ346="No"),0,AI346/AJ346*(LEN(AL346)-LEN(SUBSTITUTE(AL346,",",""))+1))
)/(0.2*IF(OR(Q346="No",R346="No",R346=0),0,1)
+IF(OR(V346="No",S346="No",T346="No"),0,LEN(V346)-LEN(SUBSTITUTE(V346,",",""))+1)
+IF(OR(X346="No",Y346="No"),0,1)
+IF(OR(AD346="No",AE346="No"),0,1)
+IF(OR(AL346="No",AI346="No",AJ346="No"),0,LEN(AL346)-LEN(SUBSTITUTE(AL346,",",""))+1))*62%)* 2)*(1 + (AP346 / (IF(_xlfn.XLOOKUP(_xlfn.XLOOKUP(B346,'Base stats'!B:B,'Base stats'!E:E),Groups!A:A,Groups!AJ:AJ)="Photonozoa",0.3,1)) + _xlfn.XLOOKUP(B346,'Base stats'!B:B,'Base stats'!AV:AV) * 1.8) * 2) * 2.5 + 10 + I346 * 2,5)+IF(_xlfn.XLOOKUP(B346,'Base stats'!B:B,'Base stats'!AK:AK)=1,50,0)</f>
        <v>775</v>
      </c>
      <c r="BS346" s="8">
        <f t="shared" si="40"/>
        <v>3.6</v>
      </c>
      <c r="BT346" s="8" t="str">
        <f>_xlfn.XLOOKUP(B346,'Base stats'!B:B,'Base stats'!AF:AF)</f>
        <v>No</v>
      </c>
      <c r="BU346" s="2" t="str">
        <f>IF(AND(J346&lt;=0.95,OR(_xlfn.XLOOKUP(B346,'Base stats'!B:B,'Base stats'!AK:AK)=1,_xlfn.XLOOKUP(B346,'Base stats'!B:B,'Base stats'!Y:Y)="Carnivore",_xlfn.XLOOKUP(B346,'Base stats'!B:B,'Base stats'!Y:Y)="Omnivore",BE346&gt;0.1)),"true","false")</f>
        <v>true</v>
      </c>
      <c r="BV346" s="2" t="str">
        <f>IF(_xlfn.XLOOKUP(B346,'Base stats'!B:B,'Base stats'!AI:AI)=1,"true","false")</f>
        <v>false</v>
      </c>
      <c r="BW346" s="25" t="str">
        <f>IF(E346="BaseInsect","AnimalInsect",
IF(J346&gt;0.95,"AnimalExotic",
_xlfn.TEXTJOIN(", ",TRUE,
IF(OR(_xlfn.XLOOKUP(B346,'Base stats'!B:B,'Base stats'!AM:AM)=1,AND(_xlfn.XLOOKUP(B346,'Base stats'!B:B,'Base stats'!O:O)=0,_xlfn.XLOOKUP(_xlfn.XLOOKUP(B346,'Base stats'!B:B,'Base stats'!E:E),Groups!A:A,Groups!B:B)&gt;0)),"AnimalUncommon","AnimalCommon"),
IF(AND(_xlfn.XLOOKUP(B346,'Base stats'!B:B,'Base stats'!O:O)=2,_xlfn.XLOOKUP(_xlfn.XLOOKUP(B346,'Base stats'!B:B,'Base stats'!E:E),Groups!A:A,Groups!D:D)=0),"AnimalPet",IF(AND(_xlfn.XLOOKUP(B346,'Base stats'!B:B,'Base stats'!O:O)&lt;&gt;0,_xlfn.XLOOKUP(_xlfn.XLOOKUP(B346,'Base stats'!B:B,'Base stats'!E:E),Groups!A:A,Groups!D:D)&lt;&gt;0),"AnimalFarm","")),
IF(OR(_xlfn.XLOOKUP(B346,'Base stats'!B:B,'Base stats'!AK:AK)=1,AND(BI346&lt;&gt;"None",BR346&gt;=60),ISNUMBER(SEARCH("Attack target",BP346))),"AnimalFighter","")
)))</f>
        <v>AnimalUncommon, AnimalFighter</v>
      </c>
      <c r="BX346" s="25" t="str">
        <f>IF(G346="None",TRIM(
SUBSTITUTE(
IF(COUNTIF(Biomes!B$2:B$259,"="&amp;$C346)&gt;0,Biomes!B$1&amp;", ","")&amp;
IF(COUNTIF(Biomes!C$2:C$259,"="&amp;$C346)&gt;0,Biomes!C$1&amp;", ","")&amp;
IF(COUNTIF(Biomes!D$2:D$259,"="&amp;$C346)&gt;0,Biomes!D$1&amp;", ","")&amp;
IF(COUNTIF(Biomes!F$2:F$259,"="&amp;$C346)&gt;0,Biomes!F$1&amp;", ","")&amp;
IF(COUNTIF(Biomes!G$2:G$259,"="&amp;$C346)&gt;0,Biomes!G$1&amp;", ","")&amp;
IF(COUNTIF(Biomes!H$2:H$259,"="&amp;$C346)&gt;0,Biomes!H$1&amp;", ","")&amp;
IF(COUNTIF(Biomes!I$2:I$259,"="&amp;$C346)&gt;0,Biomes!I$1&amp;", ","")&amp;
IF(COUNTIF(Biomes!J$2:J$259,"="&amp;$C346)&gt;0,Biomes!J$1&amp;", ","")&amp;
IF(COUNTIF(Biomes!M$2:M$259,"="&amp;$C346)&gt;0,Biomes!M$1&amp;", ","")&amp;
IF(COUNTIF(Biomes!N$2:N$259,"="&amp;$C346)&gt;0,Biomes!N$1&amp;", ","")&amp;
IF(COUNTIF(Biomes!O$2:O$259,"="&amp;$C346)&gt;0,Biomes!O$1&amp;", ","")&amp;
IF(COUNTIF(Biomes!P$2:P$259,"="&amp;$C346)&gt;0,Biomes!P$1&amp;", ","")&amp;
IF(COUNTIF(Biomes!K$2:K$259,"="&amp;$C346)&gt;0,Biomes!K$1&amp;", ","")&amp;
IF(COUNTIF(Biomes!Q$3:Q$259,"="&amp;$C346)&gt;0,Biomes!Q$1&amp;", ","")&amp;
IF(COUNTIF(Biomes!L$2:L$259,"="&amp;$C346)&gt;0,Biomes!L$1&amp;", ","")&amp;
IF(COUNTIF(Biomes!E$2:E$259,"="&amp;$C346)&gt;0,Biomes!E$1&amp;", ","")&amp;IF(COUNTIF(Biomes!S$2:S$259,"="&amp;$C346)&gt;0,Biomes!S$1&amp;", ","")&amp;
IF(COUNTIF(Biomes!R$2:R$259,"="&amp;$C346)&gt;0,Biomes!R$1&amp;", ",""),", ","")
),_xlfn.XLOOKUP(B346,B:B,BX:BX))</f>
        <v>TemperateForest TemperateSwamp</v>
      </c>
      <c r="BY346" s="25" t="str">
        <f>IF(_xlfn.XLOOKUP(B346,'Base stats'!B:B,'Base stats'!AJ:AJ)=1,"true","false")</f>
        <v>false</v>
      </c>
      <c r="BZ346" s="25">
        <f>IF(_xlfn.XLOOKUP(B346,'Base stats'!B:B,'Base stats'!N:N)=1,"No",MAX(0.001,MIN(MROUND(IF(AND(BJ346="True",CC346="False"),POWER(10,3.47*LOG10(_xlfn.XLOOKUP(B346,'Base stats'!B:B,'Base stats'!C:C)*1000)^-0.96),POWER(10,4.15*LOG10(_xlfn.XLOOKUP(B346,'Base stats'!B:B,'Base stats'!C:C)*1000)^-0.73))*IF(_xlfn.XLOOKUP(B346,'Base stats'!B:B,'Base stats'!AK:AK)=1,0.5,1)*IF(_xlfn.XLOOKUP(B346,'Base stats'!B:B,'Base stats'!AM:AM)=1,0.1,1)/100,IF(_xlfn.XLOOKUP(B346,'Base stats'!B:B,'Base stats'!AM:AM)=1,0.001,0.025)),0.5)))</f>
        <v>2.5000000000000001E-2</v>
      </c>
      <c r="CA346" s="25" t="str">
        <f>IF(P346="Standard","No",MAX(0.001,MIN(MROUND(IF(AND(BJ346="True",CC346="False"),POWER(10,3.47*LOG10(_xlfn.XLOOKUP(B346,'Base stats'!B:B,'Base stats'!C:C)*1000)^-0.96),POWER(10,4.15*LOG10(_xlfn.XLOOKUP(B346,'Base stats'!B:B,'Base stats'!C:C)*1000)^-0.73))*IF(_xlfn.XLOOKUP(B346,'Base stats'!B:B,'Base stats'!AM:AM)=1,0.1,1)*_xlfn.XLOOKUP(B346,'Base stats'!B:B,'Base stats'!R:R)/100,IF(_xlfn.XLOOKUP(B346,'Base stats'!B:B,'Base stats'!AM:AM)=1,0.001,0.025)),0.5)))</f>
        <v>No</v>
      </c>
      <c r="CB346" s="25" t="str">
        <f>IF(_xlfn.XLOOKUP(_xlfn.XLOOKUP(B346,'Base stats'!B:B,'Base stats'!E:E),Groups!A:A,Groups!AJ:AJ)="Mammal","True","False")</f>
        <v>False</v>
      </c>
      <c r="CC346" s="25" t="str">
        <f>IF(OR(_xlfn.XLOOKUP(_xlfn.XLOOKUP(B346,'Base stats'!B:B,'Base stats'!E:E),Groups!A:A,Groups!AJ:AJ)="Reptile",_xlfn.XLOOKUP(_xlfn.XLOOKUP(B346,'Base stats'!B:B,'Base stats'!E:E),Groups!A:A,Groups!AJ:AJ)="Amphibian",_xlfn.XLOOKUP(_xlfn.XLOOKUP(B346,'Base stats'!B:B,'Base stats'!E:E),Groups!A:A,Groups!AJ:AJ)="Invertebrate"),"True","False")</f>
        <v>False</v>
      </c>
      <c r="CD346" s="25" t="str">
        <f t="shared" si="41"/>
        <v>False</v>
      </c>
      <c r="CE346" s="25" t="str">
        <f>IF(_xlfn.XLOOKUP(_xlfn.XLOOKUP(B346,'Base stats'!B:B,'Base stats'!E:E),Groups!A:A,Groups!AX:AX),"True","False")</f>
        <v>False</v>
      </c>
      <c r="CF346" s="25" t="str">
        <f>IF(_xlfn.XLOOKUP(_xlfn.XLOOKUP(B346,'Base stats'!B:B,'Base stats'!E:E),Groups!A:A,Groups!AY:AY),"True","False")</f>
        <v>False</v>
      </c>
      <c r="CG346" s="25" t="str">
        <f>IF(_xlfn.XLOOKUP(_xlfn.XLOOKUP(B346,'Base stats'!B:B,'Base stats'!E:E),Groups!A:A,Groups!AW:AW),"True","False")</f>
        <v>False</v>
      </c>
      <c r="CH346" s="25" t="str">
        <f>IF(
OR(
_xlfn.XLOOKUP(_xlfn.XLOOKUP(B346,'Base stats'!B:B,'Base stats'!E:E),Groups!A:A,Groups!AZ:AZ)=0,
AND(
_xlfn.XLOOKUP(B346,'Base stats'!B:B,'Base stats'!Y:Y)&lt;&gt;"Carnivore",
_xlfn.XLOOKUP(B346,'Base stats'!B:B,'Base stats'!Y:Y)&lt;&gt;"Omnivore",
_xlfn.XLOOKUP(B346,'Base stats'!B:B,'Base stats'!Y:Y)&lt;&gt;"OmnivoreRough"
)
),
"No",
IF(
_xlfn.XLOOKUP(_xlfn.XLOOKUP(B346,'Base stats'!B:B,'Base stats'!E:E),Groups!A:A,Groups!AZ:AZ)=1,
"Flesh",
IF(
_xlfn.XLOOKUP(_xlfn.XLOOKUP(B346,'Base stats'!B:B,'Base stats'!E:E),Groups!A:A,Groups!AZ:AZ)=2,
"Bone",
""
)
)
)</f>
        <v>No</v>
      </c>
      <c r="CI346" s="25" t="str">
        <f>IF(_xlfn.XLOOKUP(_xlfn.XLOOKUP(B346,'Base stats'!B:B,'Base stats'!E:E),Groups!A:A,Groups!BB:BB),"True","False")</f>
        <v>False</v>
      </c>
      <c r="CJ346" s="25" t="str">
        <f>IF(_xlfn.XLOOKUP(_xlfn.XLOOKUP(B346,'Base stats'!B:B,'Base stats'!E:E),Groups!A:A,Groups!BA:BA),"True","False")</f>
        <v>False</v>
      </c>
    </row>
    <row r="347" spans="1:88" s="16" customFormat="1" ht="16.5" thickTop="1" thickBot="1" x14ac:dyDescent="0.3">
      <c r="A347" s="26" t="s">
        <v>1899</v>
      </c>
      <c r="B347" s="6" t="str">
        <f>_xlfn.XLOOKUP(A347,'Base stats'!A:A,'Base stats'!B:B)</f>
        <v>Yutyrannus huali</v>
      </c>
      <c r="C347" s="28" t="s">
        <v>1903</v>
      </c>
      <c r="D347" s="28" t="s">
        <v>1898</v>
      </c>
      <c r="E347" s="28" t="s">
        <v>673</v>
      </c>
      <c r="F347" s="28" t="s">
        <v>673</v>
      </c>
      <c r="G347" s="28" t="s">
        <v>673</v>
      </c>
      <c r="H347" s="2">
        <f>MROUND((
  (IF(AND(_xlfn.XLOOKUP(B347,'Base stats'!B:B,'Base stats'!AL:AL)=0,BI347="None",_xlfn.XLOOKUP(_xlfn.XLOOKUP(B347,'Base stats'!B:B,'Base stats'!E:E),Groups!A:A,Groups!B:B)=0), (18 + BR347 * 2.7) * 0.5,
    IF(AND(_xlfn.XLOOKUP(B347,'Base stats'!B:B,'Base stats'!AL:AL)=0,OR(AO347&lt;0.55,AND(BI347="Intermediate",_xlfn.XLOOKUP(_xlfn.XLOOKUP(B347,'Base stats'!B:B,'Base stats'!E:E),Groups!A:A,Groups!B:B)&lt;2))), (18 + BR347 * 2.7),
      IF(OR(BI347="Advanced",_xlfn.XLOOKUP(B347,'Base stats'!B:B,'Base stats'!AL:AL)=1,_xlfn.XLOOKUP(_xlfn.XLOOKUP(B347,'Base stats'!B:B,'Base stats'!E:E),Groups!A:A,Groups!B:B)=2), (18 + BR347 * 2.7) + 250, (18 + BR347 * 2.7))
    )
  ))
  + AO347 * 80
  + IF(COUNTIF(EggMilk!K$2:K$998, A347) &gt; 0, 125, 0)
  + IF(COUNTIF(EggMilk!P$2:P$998, A347) &gt; 0, 90, 0)
  + IF(COUNTIF(EggMilk!A$2:A$998, A347) &gt; 0, 90, 0)
)
* (0.8 + 0.4 * J347)
* 0.75,25)</f>
        <v>1550</v>
      </c>
      <c r="I347" s="2">
        <f>MROUND(ROUNDDOWN(_xlfn.XLOOKUP(B347,'Base stats'!B:B,'Base stats'!L:L)/3.6/(23.3/11),1),0.5)</f>
        <v>4.5</v>
      </c>
      <c r="J347" s="2">
        <f>IF(OR(_xlfn.XLOOKUP(B347,'Base stats'!B:B,'Base stats'!AB:AB)=1,_xlfn.XLOOKUP(_xlfn.XLOOKUP(B347,'Base stats'!B:B,'Base stats'!E:E),Groups!A:A,Groups!C:C)="Untamable"),1,IF(_xlfn.XLOOKUP(B347,'Base stats'!B:B,'Base stats'!AL:AL)=1,0.99,MIN(MROUND((1-0.6282*EXP(-0.459*AO347))*_xlfn.XLOOKUP(_xlfn.XLOOKUP(B347,'Base stats'!B:B,'Base stats'!E:E),Groups!A:A,Groups!C:C)*IF(_xlfn.XLOOKUP(B347,'Base stats'!B:B,'Base stats'!O:O)=1,0.5,IF(_xlfn.XLOOKUP(B347,'Base stats'!B:B,'Base stats'!O:O)=2,0,1)),0.05),IF(AO347&gt;3.5,0.985,0.95))))</f>
        <v>0.9</v>
      </c>
      <c r="K347" s="2">
        <f>ROUNDUP(AO347*_xlfn.XLOOKUP(_xlfn.XLOOKUP(B347,'Base stats'!B:B,'Base stats'!E:E),Groups!A:A,Groups!E:E),0)</f>
        <v>4</v>
      </c>
      <c r="L347" s="2">
        <f>IF(OR(_xlfn.XLOOKUP(_xlfn.XLOOKUP(B347,'Base stats'!B:B,'Base stats'!E:E),Groups!A:A,Groups!F:F)=2,ISNUMBER(SEARCH("SeaIce",BX347)),ISNUMBER(SEARCH("IceSheet",BX347))),-50,IF(OR(ISNUMBER(SEARCH("GlacialPlain",BX347)),ISNUMBER(SEARCH("Tundra",BX347))),-40,IF(OR(ISNUMBER(SEARCH("Alpine",BX347)),ISNUMBER(SEARCH("BorealForest",BX347)),ISNUMBER(SEARCH("ColdBog",BX347))),-30,IF(OR(ISNUMBER(SEARCH("TemperateForest",BX347)),ISNUMBER(SEARCH("TemperateSwamp",BX347))),-20,IF(_xlfn.XLOOKUP(_xlfn.XLOOKUP(B347,'Base stats'!B:B,'Base stats'!E:E),Groups!A:A,Groups!F:F)=1,-15,IF(OR(ISNUMBER(SEARCH("Desert",BX347)),ISNUMBER(SEARCH("ExtremeDesert",BX347))),-10,IF(OR(ISNUMBER(SEARCH("Grasslands",BX347)),ISNUMBER(SEARCH("TropicalRainforest",BX347)),ISNUMBER(SEARCH("TropicalSwamp",BX347))),10,0)))))))-IF(CC347="False",MIN(IFERROR(MAX(MROUND(LOG10(_xlfn.XLOOKUP(B347,'Base stats'!B:B,'Base stats'!C:C)^(2/3))*10,5),5),5),30))-_xlfn.XLOOKUP(B347,'Base stats'!B:B,'Base stats'!P:P)+IF(CC347="True",5,0)</f>
        <v>-60</v>
      </c>
      <c r="M347" s="2">
        <f>IF(OR(_xlfn.XLOOKUP(_xlfn.XLOOKUP(B347,'Base stats'!B:B,'Base stats'!E:E),Groups!A:A,Groups!G:G)=2,ISNUMBER(SEARCH("Desert",BX347)),ISNUMBER(SEARCH("ExtremeDesert",BX347)),ISNUMBER(SEARCH("LavaField",BX347))),50,IF(ISNUMBER(SEARCH("Grasslands",BX347)),45,IF(OR(_xlfn.XLOOKUP(_xlfn.XLOOKUP(B347,'Base stats'!B:B,'Base stats'!E:E),Groups!A:A,Groups!G:G)=1,ISNUMBER(SEARCH("TropicalRainforest",BX347)),ISNUMBER(SEARCH("TropicalSwamp",BX347))),40,IF(OR(ISNUMBER(SEARCH("TemperateForest",BX347)),ISNUMBER(SEARCH("TemperateSwamp",BX347))),35,IF(OR(ISNUMBER(SEARCH("Alpine",BX347)),ISNUMBER(SEARCH("BorealForest",BX347)),ISNUMBER(SEARCH("ColdBog",BX347))),30,IF(ISNUMBER(OR(ISNUMBER(SEARCH("GlacialPlain",BX347)),SEARCH("Tundra",BX347))),25,IF(OR(ISNUMBER(SEARCH("SeaIce",BX347)),ISNUMBER(SEARCH("IceSheet",BX347)),ISNUMBER(SEARCH("TropicalSwamp",BX347))),10,35)))))))+_xlfn.XLOOKUP(B347,'Base stats'!B:B,'Base stats'!Q:Q)</f>
        <v>30</v>
      </c>
      <c r="N347" s="8" t="str">
        <f>IF(
_xlfn.XLOOKUP(
_xlfn.XLOOKUP(B347,'Base stats'!B:B,'Base stats'!E:E),
Groups!A:A,
Groups!L:L
)=1,
MIN(
MROUND(
IF(
_xlfn.XLOOKUP(B347,'Animals CE'!B:B,'Animals CE'!Z:Z)&lt;=1.5,
_xlfn.XLOOKUP(B347,'Animals CE'!B:B,'Animals CE'!Z:Z)/2+0.05,
0.8+
(_xlfn.XLOOKUP(B347,'Animals CE'!B:B,'Animals CE'!Z:Z)-1.5)
*0.02
),
0.05
),
200%
),
"No"
)</f>
        <v>No</v>
      </c>
      <c r="O347" s="8" t="str">
        <f>IF(
_xlfn.XLOOKUP(
_xlfn.XLOOKUP(B347,'Base stats'!B:B,'Base stats'!E:E),
Groups!A:A,
Groups!L:L
)=1,
MIN(
MROUND(
IF(
_xlfn.XLOOKUP(B347,'Animals CE'!B:B,'Animals CE'!AA:AA)&lt;=1.5,
_xlfn.XLOOKUP(B347,'Animals CE'!B:B,'Animals CE'!AA:AA)/2+0.05,
0.8+
(_xlfn.XLOOKUP(B347,'Animals CE'!B:B,'Animals CE'!AA:AA)-1.5)
*0.02
),
0.05
),
200%
),
"No"
)</f>
        <v>No</v>
      </c>
      <c r="P347" s="2" t="str">
        <f>_xlfn.XLOOKUP(B347,'Base stats'!B:B,'Base stats'!R:R)</f>
        <v>Standard</v>
      </c>
      <c r="Q347" s="13">
        <f>MROUND((LOG10(_xlfn.XLOOKUP(B347,'Base stats'!B:B,'Base stats'!AR:AR))*(AO347^0.5)+(_xlfn.XLOOKUP(B347,'Base stats'!B:B,'Base stats'!AR:AR)/1000)^(2/3)+_xlfn.XLOOKUP(B347,'Base stats'!B:B,'Base stats'!BA:BA)/2)+0.5,0.5)</f>
        <v>23</v>
      </c>
      <c r="R347" s="7">
        <f>IF(Q347="No","No",MAX(1,MROUND(_xlfn.XLOOKUP(B347,'Base stats'!B:B,'Base stats'!C:C)^0.165,0.05)))</f>
        <v>3.3000000000000003</v>
      </c>
      <c r="S347" s="13" t="str">
        <f>IF(_xlfn.XLOOKUP(_xlfn.XLOOKUP(B347,'Base stats'!B:B,'Base stats'!E:E),Groups!A:A,Groups!P:P)=0,"No",MROUND((LOG10(_xlfn.XLOOKUP(B347,'Base stats'!B:B,'Base stats'!AS:AS))*(AO347^0.5)+(_xlfn.XLOOKUP(B347,'Base stats'!B:B,'Base stats'!AS:AS)/1000)^(2/3)+_xlfn.XLOOKUP(B347,'Base stats'!B:B,'Base stats'!BA:BA))+_xlfn.XLOOKUP(B347,'Base stats'!B:B,'Base stats'!AY:AY)+0.5,0.5))</f>
        <v>No</v>
      </c>
      <c r="T347" s="7" t="str">
        <f>IF(S347="No","No",MAX(_xlfn.XLOOKUP(_xlfn.XLOOKUP(B347,'Base stats'!B:B,'Base stats'!E:E),Groups!A:A,Groups!Q:Q),MROUND(_xlfn.XLOOKUP(_xlfn.XLOOKUP(B347,'Base stats'!B:B,'Base stats'!E:E),Groups!A:A,Groups!Q:Q)*_xlfn.XLOOKUP(B347,'Base stats'!B:B,'Base stats'!C:C)^0.165,0.05)))</f>
        <v>No</v>
      </c>
      <c r="U347" s="7" t="str">
        <f>IF(S347="No","No",_xlfn.XLOOKUP(_xlfn.XLOOKUP(B347,'Base stats'!B:B,'Base stats'!E:E),Groups!A:A,Groups!R:R))</f>
        <v>No</v>
      </c>
      <c r="V347" s="7" t="str">
        <f>IF(S347="No","No",_xlfn.XLOOKUP(_xlfn.XLOOKUP(B347,'Base stats'!B:B,'Base stats'!E:E),Groups!A:A,Groups!S:S))</f>
        <v>No</v>
      </c>
      <c r="W347" s="7" t="str">
        <f>IF(S347="No","No",_xlfn.XLOOKUP(_xlfn.XLOOKUP(B347,'Base stats'!B:B,'Base stats'!E:E),Groups!A:A,Groups!T:T))</f>
        <v>No</v>
      </c>
      <c r="X347" s="13" t="str">
        <f>IF(_xlfn.XLOOKUP(B347,'Base stats'!B:B,'Base stats'!W:W)="No","No",MROUND((LOG10(_xlfn.XLOOKUP(B347,'Base stats'!B:B,'Base stats'!AU:AU))*(AO347^0.5)+(_xlfn.XLOOKUP(B347,'Base stats'!B:B,'Base stats'!AU:AU)/1000)^(2/3)+_xlfn.XLOOKUP(B347,'Base stats'!B:B,'Base stats'!AZ:AZ))+0.5+IF(_xlfn.XLOOKUP(_xlfn.XLOOKUP(B347,'Base stats'!B:B,'Base stats'!E:E),Groups!A:A,Groups!U:U)&lt;&gt;3,_xlfn.XLOOKUP(B347,'Base stats'!B:B,'Base stats'!BA:BA),0),0.5))</f>
        <v>No</v>
      </c>
      <c r="Y347" s="7" t="str">
        <f>IF(X347="No","No",MAX(_xlfn.XLOOKUP(_xlfn.XLOOKUP(B347,'Base stats'!B:B,'Base stats'!E:E),Groups!A:A,Groups!V:V),MROUND(_xlfn.XLOOKUP(_xlfn.XLOOKUP(B347,'Base stats'!B:B,'Base stats'!E:E),Groups!A:A,Groups!V:V)*_xlfn.XLOOKUP(B347,'Base stats'!B:B,'Base stats'!C:C)^0.165,0.05)))</f>
        <v>No</v>
      </c>
      <c r="Z347" s="7" t="str">
        <f>IF(X347="No","No",_xlfn.XLOOKUP(_xlfn.XLOOKUP(B347,'Base stats'!B:B,'Base stats'!E:E),Groups!A:A,Groups!W:W))</f>
        <v>No</v>
      </c>
      <c r="AA347" s="7" t="str">
        <f>IF(X347="No","No",_xlfn.XLOOKUP(_xlfn.XLOOKUP(B347,'Base stats'!B:B,'Base stats'!E:E),Groups!A:A,Groups!X:X))</f>
        <v>No</v>
      </c>
      <c r="AB347" s="7" t="str">
        <f>IF(X347="No","No",_xlfn.XLOOKUP(_xlfn.XLOOKUP(B347,'Base stats'!B:B,'Base stats'!E:E),Groups!A:A,Groups!Y:Y))</f>
        <v>No</v>
      </c>
      <c r="AC347" s="7" t="str">
        <f>_xlfn.XLOOKUP(Animals!B347,'Base stats'!B:B,'Base stats'!X:X)</f>
        <v>False</v>
      </c>
      <c r="AD347" s="13">
        <f>IF(_xlfn.XLOOKUP(B347,'Base stats'!B:B,'Base stats'!AT:AT)="No","No",MROUND((LOG10(_xlfn.XLOOKUP(B347,'Base stats'!B:B,'Base stats'!AT:AT))*(AO347^0.75)+(_xlfn.XLOOKUP(B347,'Base stats'!B:B,'Base stats'!AT:AT)/1000)^(2/3)+_xlfn.XLOOKUP(B347,'Base stats'!B:B,'Base stats'!AX:AX)+_xlfn.XLOOKUP(B347,'Base stats'!B:B,'Base stats'!BA:BA))+0.5,0.5))</f>
        <v>31.5</v>
      </c>
      <c r="AE347" s="7">
        <f>IF(AD347="No","No",MAX(_xlfn.XLOOKUP(_xlfn.XLOOKUP(B347,'Base stats'!B:B,'Base stats'!E:E),Groups!A:A,Groups!Z:Z),MROUND(_xlfn.XLOOKUP(_xlfn.XLOOKUP(B347,'Base stats'!B:B,'Base stats'!E:E),Groups!A:A,Groups!Z:Z)*_xlfn.XLOOKUP(B347,'Base stats'!B:B,'Base stats'!C:C)^0.165,0.05)))</f>
        <v>2.5</v>
      </c>
      <c r="AF347" s="7" t="str">
        <f>IF(AD347="No","No",_xlfn.XLOOKUP(_xlfn.XLOOKUP(B347,'Base stats'!B:B,'Base stats'!E:E),Groups!A:A,Groups!AA:AA))</f>
        <v>Teeth</v>
      </c>
      <c r="AG347" s="7" t="str">
        <f>IF(AD347="No","No",_xlfn.XLOOKUP(_xlfn.XLOOKUP(B347,'Base stats'!B:B,'Base stats'!E:E),Groups!A:A,Groups!AB:AB))</f>
        <v>teeth</v>
      </c>
      <c r="AH347" s="7" t="str">
        <f>IF(AD347="No","No",_xlfn.XLOOKUP(_xlfn.XLOOKUP(B347,'Base stats'!B:B,'Base stats'!E:E),Groups!A:A,Groups!AC:AC))</f>
        <v>Bite</v>
      </c>
      <c r="AI347" s="13">
        <f>IF(_xlfn.XLOOKUP(_xlfn.XLOOKUP(B347,'Base stats'!B:B,'Base stats'!E:E),Groups!A:A,Groups!AD:AD)=0,"No",MROUND((LOG10(_xlfn.XLOOKUP(B347,'Base stats'!B:B,'Base stats'!AS:AS))*(AO347^0.75)+(_xlfn.XLOOKUP(B347,'Base stats'!B:B,'Base stats'!AS:AS)/1000)^(2/3)+_xlfn.XLOOKUP(B347,'Base stats'!B:B,'Base stats'!AY:AY)+_xlfn.XLOOKUP(B347,'Base stats'!B:B,'Base stats'!BA:BA))+0.5,0.5))</f>
        <v>35</v>
      </c>
      <c r="AJ347" s="7">
        <f>IF(AI347="No","No",MAX(_xlfn.XLOOKUP(_xlfn.XLOOKUP(B347,'Base stats'!B:B,'Base stats'!E:E),Groups!A:A,Groups!AE:AE),MROUND(_xlfn.XLOOKUP(_xlfn.XLOOKUP(B347,'Base stats'!B:B,'Base stats'!E:E),Groups!A:A,Groups!AE:AE)*IF(_xlfn.XLOOKUP(_xlfn.XLOOKUP(B347,'Base stats'!B:B,'Base stats'!E:E),Groups!A:A,Groups!AJ:AJ)="Photonozoa",0.6,1)*_xlfn.XLOOKUP(B347,'Base stats'!B:B,'Base stats'!C:C)^0.165,0.05)))</f>
        <v>2.5</v>
      </c>
      <c r="AK347" s="7" t="str">
        <f>IF(AI347="No","No",_xlfn.XLOOKUP(_xlfn.XLOOKUP(B347,'Base stats'!B:B,'Base stats'!E:E),Groups!A:A,Groups!AF:AF))</f>
        <v>FrontLeftClaws, FrontRightClaws</v>
      </c>
      <c r="AL347" s="7" t="str">
        <f>IF(AI347="No","No",_xlfn.XLOOKUP(_xlfn.XLOOKUP(B347,'Base stats'!B:B,'Base stats'!E:E),Groups!A:A,Groups!AG:AG))</f>
        <v>left claw, right claw</v>
      </c>
      <c r="AM347" s="7" t="str">
        <f>IF(AI347="No","No",_xlfn.XLOOKUP(_xlfn.XLOOKUP(B347,'Base stats'!B:B,'Base stats'!E:E),Groups!A:A,Groups!AH:AH))</f>
        <v>Scratch</v>
      </c>
      <c r="AN347" s="2">
        <f t="shared" si="35"/>
        <v>35</v>
      </c>
      <c r="AO347" s="2">
        <f>MROUND(IF(AND(_xlfn.XLOOKUP(B347,'Base stats'!B:B,'Base stats'!C:C)&gt;=0.5,_xlfn.XLOOKUP(B347,'Base stats'!B:B,'Base stats'!C:C)&lt;=0.8),
IF(_xlfn.XLOOKUP(B347,'Base stats'!B:B,'Base stats'!C:C)&lt;0.1,0.05,IF(_xlfn.XLOOKUP(B347,'Base stats'!B:B,'Base stats'!C:C)&lt;=70,(_xlfn.XLOOKUP(B347,'Base stats'!B:B,'Base stats'!C:C)/70)^0.426489913056526,IF(_xlfn.XLOOKUP(B347,'Base stats'!B:B,'Base stats'!C:C)&lt;=400,(_xlfn.XLOOKUP(B347,'Base stats'!B:B,'Base stats'!C:C)/70)^0.572811455315093,IF(_xlfn.XLOOKUP(B347,'Base stats'!B:B,'Base stats'!C:C)&lt;=2000,2.71391647193063*(_xlfn.XLOOKUP(B347,'Base stats'!B:B,'Base stats'!C:C)/400)^0.252459582904293,3.74314280240376*(_xlfn.XLOOKUP(B347,'Base stats'!B:B,'Base stats'!C:C)/2000)^0.357012633876913)))),
IF(_xlfn.XLOOKUP(B347,'Base stats'!B:B,'Base stats'!C:C)&lt;0.1,0.05,IF(_xlfn.XLOOKUP(B347,'Base stats'!B:B,'Base stats'!C:C)&lt;0.4,0.1,IF(_xlfn.XLOOKUP(B347,'Base stats'!B:B,'Base stats'!C:C)&lt;=70,(_xlfn.XLOOKUP(B347,'Base stats'!B:B,'Base stats'!C:C)/70)^0.445823913056526,IF(_xlfn.XLOOKUP(B347,'Base stats'!B:B,'Base stats'!C:C)&lt;=400,(_xlfn.XLOOKUP(B347,'Base stats'!B:B,'Base stats'!C:C)/70)^0.572811455315093,IF(_xlfn.XLOOKUP(B347,'Base stats'!B:B,'Base stats'!C:C)&lt;=2000,2.71391647193063*(_xlfn.XLOOKUP(B347,'Base stats'!B:B,'Base stats'!C:C)/400)^0.252459582904293,3.74314280240376*(_xlfn.XLOOKUP(B347,'Base stats'!B:B,'Base stats'!C:C)/2000)^0.357012633876913)))))),
IF(_xlfn.XLOOKUP(B347,'Base stats'!B:B,'Base stats'!C:C)&lt;0.1,0.05,IF(_xlfn.XLOOKUP(B347,'Base stats'!B:B,'Base stats'!C:C)&lt;=100,0.05,IF(_xlfn.XLOOKUP(B347,'Base stats'!B:B,'Base stats'!C:C)&lt;=250,0.1,IF(_xlfn.XLOOKUP(B347,'Base stats'!B:B,'Base stats'!C:C)&lt;=4000,0.25,0.5)))))</f>
        <v>3.75</v>
      </c>
      <c r="AP347" s="8">
        <f>MROUND(AO347*_xlfn.XLOOKUP(_xlfn.XLOOKUP(B347,'Base stats'!B:B,'Base stats'!E:E),Groups!A:A,Groups!AI:AI)*_xlfn.XLOOKUP(B347,'Base stats'!B:B,'Base stats'!Z:Z),0.05)</f>
        <v>4.5</v>
      </c>
      <c r="AQ347" s="8">
        <f>MAX(0.01,MROUND(IF(CC347="True",0.196*(AO347*100*1000)^0.889,IF(_xlfn.XLOOKUP(_xlfn.XLOOKUP(B347,'Base stats'!B:B,'Base stats'!E:E),Groups!A:A,Groups!AJ:AJ)="Bird",10.5*(AO347*100*1000)^0.681,4.82*(AO347*100*1000)^0.734))/(4.82*(1*100*1000)^0.734)/IF(AO347&lt;3.5,2,IF(AO347=3.5,1.5,1.25))*(1+0.132282374779864/(AO347^0.994035016789033+0.00905238001496948)),0.05))</f>
        <v>2.4000000000000004</v>
      </c>
      <c r="AR347" s="9">
        <f>IFERROR(MROUND(_xlfn.XLOOKUP(B347,'Base stats'!B:B,'Base stats'!H:H)/IF(_xlfn.XLOOKUP(B347,'Base stats'!B:B,'Base stats'!I:I)&lt;&gt;1,(122.5/70),1.2),IF(_xlfn.XLOOKUP(B347,'Base stats'!B:B,'Base stats'!H:H)&gt;=30,5,IF(_xlfn.XLOOKUP(B347,'Base stats'!B:B,'Base stats'!H:H)&gt;=15,3,IF(_xlfn.XLOOKUP(B347,'Base stats'!B:B,'Base stats'!H:H)&gt;=10,2,1)))),"Immortal")</f>
        <v>21</v>
      </c>
      <c r="AS347" s="35" t="str">
        <f>IFERROR(IF(OR(_xlfn.XLOOKUP(B347,'Base stats'!B:B,'Base stats'!F:F)="Atypical reproduction",_xlfn.XLOOKUP(B347,'Base stats'!B:B,'Base stats'!F:F)="Lay eggs"),"Lay eggs",MIN(20,MAX(5.5,ROUND(((_xlfn.XLOOKUP(B347,'Base stats'!B:B,'Base stats'!F:F)-25)*(14.5/615) + 5.5)*2,0)/2))),"Unknown")</f>
        <v>Lay eggs</v>
      </c>
      <c r="AT347" s="8">
        <f>IF(_xlfn.XLOOKUP(B347,'Base stats'!B:B,'Base stats'!G:G)="Atypical reproduction","No",IFERROR(MAX(IF(_xlfn.XLOOKUP(B347,'Base stats'!B:B,'Base stats'!G:G)&lt;0.5,0.2,0.3),MROUND(_xlfn.XLOOKUP(B347,'Base stats'!B:B,'Base stats'!G:G)/(365/60),0.2)),"Unknown"))</f>
        <v>1.6</v>
      </c>
      <c r="AU347" s="8">
        <f t="shared" si="36"/>
        <v>0.8</v>
      </c>
      <c r="AV347" s="8" t="str">
        <f>IFERROR(IFERROR(MROUND(_xlfn.XLOOKUP(B347,'Base stats'!B:B,'Base stats'!J:J),0.1),"Lay eggs"),"Cannot breed")</f>
        <v>Lay eggs</v>
      </c>
      <c r="AW347" s="2" t="str">
        <f t="shared" si="37"/>
        <v>false</v>
      </c>
      <c r="AX347" s="2" t="str">
        <f>IF(_xlfn.XLOOKUP(_xlfn.XLOOKUP(Animals!B347,'Base stats'!B:B,'Base stats'!E:E),Groups!A:A,Groups!AK:AK)=1,"true","false")</f>
        <v>false</v>
      </c>
      <c r="AY347" s="25" t="str">
        <f>IF(_xlfn.XLOOKUP(B347,'Base stats'!B:B,'Base stats'!Y:Y)="Liquor","Liquor, CarnivoreAnimalStrict",IF(AND(_xlfn.XLOOKUP(B347,'Base stats'!B:B,'Base stats'!Y:Y)="Carnivore",_xlfn.XLOOKUP(_xlfn.XLOOKUP(B347,'Base stats'!B:B,'Base stats'!E:E),Groups!A:A,Groups!AJ:AJ)="Photonozoa"),"CarnivoreAnimalStrict, OvivoreAnimal",IF(_xlfn.XLOOKUP(B347,'Base stats'!B:B,'Base stats'!Y:Y)="Carnivore","CarnivoreAnimal, OvivoreAnimal",IF(_xlfn.XLOOKUP(B347,'Base stats'!B:B,'Base stats'!Y:Y)="Dendrovore","VegetarianRoughAnimal, DendrovoreAnimal",IF(_xlfn.XLOOKUP(B347,'Base stats'!B:B,'Base stats'!Y:Y)="Herbivore","VegetarianRoughAnimal",IF(_xlfn.XLOOKUP(B347,'Base stats'!B:B,'Base stats'!Y:Y)="OmnivoreRough","OmnivoreRoughAnimal, OvivoreAnimal","OmnivoreAnimal, OvivoreAnimal"))))))</f>
        <v>CarnivoreAnimal, OvivoreAnimal</v>
      </c>
      <c r="AZ347" s="2" t="str">
        <f>IF(_xlfn.XLOOKUP(_xlfn.XLOOKUP(B347,'Base stats'!B:B,'Base stats'!E:E),Groups!A:A,Groups!D:D)=1,MROUND((1-J347)*5+1,2)*IF(J347&lt;=0.4,2,1),"No")</f>
        <v>No</v>
      </c>
      <c r="BA347" s="2" t="str">
        <f>IF(AND(_xlfn.XLOOKUP(B347,'Base stats'!B:B,'Base stats'!AH:AH)="&lt;li&gt;Seal&lt;/li&gt;",G347="Odyssey"),"&lt;li&gt;AEXP_Seal&lt;/li&gt;",_xlfn.XLOOKUP(B347,'Base stats'!B:B,'Base stats'!AH:AH))</f>
        <v>No</v>
      </c>
      <c r="BB347" s="2" t="str">
        <f>_xlfn.XLOOKUP(B347,'Base stats'!B:B,'Base stats'!AG:AG)</f>
        <v>Leather_Bluefuzz</v>
      </c>
      <c r="BC347" s="23" t="str">
        <f>_xlfn.XLOOKUP(_xlfn.XLOOKUP(B347,'Base stats'!B:B,'Base stats'!E:E),Groups!A:A,Groups!AL:AL)</f>
        <v>Theropod</v>
      </c>
      <c r="BD347" s="23">
        <f>MIN(1,MROUND(IF(AND(AO347&lt;0.5,_xlfn.XLOOKUP(B347,'Base stats'!B:B,'Base stats'!AA:AA)=0),0,IF(OR(_xlfn.XLOOKUP(Animals!B347,'Base stats'!B:B,'Base stats'!O:O)=2,_xlfn.XLOOKUP(_xlfn.XLOOKUP(B347,'Base stats'!B:B,'Base stats'!E:E),Groups!A:A,Groups!AN:AN)=0),0,_xlfn.XLOOKUP(_xlfn.XLOOKUP(B347,'Base stats'!B:B,'Base stats'!E:E),Groups!A:A,Groups!AN:AN)/IF(_xlfn.XLOOKUP(Animals!B347,'Base stats'!B:B,'Base stats'!O:O)=1,2,1)))+_xlfn.XLOOKUP(B347,'Base stats'!B:B,'Base stats'!AC:AC),0.005))</f>
        <v>0.1</v>
      </c>
      <c r="BE347" s="23">
        <f>MIN(1,MROUND(IF(AND(AO347&lt;0.5,_xlfn.XLOOKUP(B347,'Base stats'!B:B,'Base stats'!AA:AA)=0),0,IF(_xlfn.XLOOKUP(_xlfn.XLOOKUP(B347,'Base stats'!B:B,'Base stats'!E:E),Groups!A:A,Groups!AO:AO)=0,0,_xlfn.XLOOKUP(_xlfn.XLOOKUP(B347,'Base stats'!B:B,'Base stats'!E:E),Groups!A:A,Groups!AO:AO)/IF(_xlfn.XLOOKUP(Animals!B347,'Base stats'!B:B,'Base stats'!O:O)=2,3,1)))+_xlfn.XLOOKUP(B347,'Base stats'!B:B,'Base stats'!AD:AD),0.005))</f>
        <v>0.3</v>
      </c>
      <c r="BF347" s="2" t="str">
        <f>IF(J347&gt;0.3,"No",_xlfn.XLOOKUP(_xlfn.XLOOKUP(Animals!B347,'Base stats'!B:B,'Base stats'!E:E),Groups!A:A,Groups!AP:AP))</f>
        <v>No</v>
      </c>
      <c r="BG347" s="2" t="str">
        <f>IF(AND(J347&lt;=0.65,_xlfn.XLOOKUP(_xlfn.XLOOKUP(Animals!B347,'Base stats'!B:B,'Base stats'!E:E),Groups!A:A,Groups!AP:AP)&lt;&gt;"No",_xlfn.XLOOKUP(_xlfn.XLOOKUP(B347,'Base stats'!B:B,'Base stats'!E:E),Groups!A:A,Groups!D:D)=0),MROUND((80/3)*IF(_xlfn.XLOOKUP(B347,'Base stats'!B:B,'Base stats'!O:O)=2,0.2,AO347) + 24*(1-IF(BF347="No",0,BF347)) + 16/3, 12),"No")</f>
        <v>No</v>
      </c>
      <c r="BH347" s="2">
        <f>IF(AND(_xlfn.XLOOKUP(_xlfn.XLOOKUP(B347,'Base stats'!B:B,'Base stats'!E:E),Groups!A:A,Groups!AQ:AQ)=1,AO347&lt;=0.35),8,12)</f>
        <v>12</v>
      </c>
      <c r="BI347" s="2" t="str">
        <f>IF(_xlfn.XLOOKUP(_xlfn.XLOOKUP(B347,'Base stats'!B:B,'Base stats'!E:E),Groups!A:A,Groups!D:D)=0,_xlfn.XLOOKUP(_xlfn.XLOOKUP(B347,'Base stats'!B:B,'Base stats'!E:E),Groups!A:A,Groups!AR:AR),"None")</f>
        <v>Intermediate</v>
      </c>
      <c r="BJ347" s="2" t="str">
        <f>IF(AND(_xlfn.XLOOKUP(_xlfn.XLOOKUP(B347,'Base stats'!B:B,'Base stats'!E:E),Groups!A:A,Groups!AS:AS)=1,OR(_xlfn.XLOOKUP(B347,'Base stats'!B:B,'Base stats'!Y:Y)="Carnivore",_xlfn.XLOOKUP(B347,'Base stats'!B:B,'Base stats'!Y:Y)="Omnivore")),"true","false")</f>
        <v>true</v>
      </c>
      <c r="BK347" s="2">
        <f>IF(BJ347="true",MROUND(IF(AND(AO347&gt;0.5,OR(_xlfn.XLOOKUP(_xlfn.XLOOKUP(B347,'Base stats'!B:B,'Base stats'!E:E),Groups!A:A,Groups!AJ:AJ)="Photonozoa",_xlfn.XLOOKUP(_xlfn.XLOOKUP(B347,'Base stats'!B:B,'Base stats'!E:E),Groups!A:A,Groups!AJ:AJ)="Mammal")),Animals!AO347*1.75*IF(AW347="true",1.5,1),IF(AO347&lt;0.5,Animals!AO347*0.5,Animals!AO347)),IF(AO347&gt;2,0.5,IF(AO347&gt;0.5,0.25,0.1))),"No")</f>
        <v>4</v>
      </c>
      <c r="BL347" s="2">
        <f t="shared" si="38"/>
        <v>1</v>
      </c>
      <c r="BM347" s="25" t="str">
        <f>IF(_xlfn.XLOOKUP(B347,'Base stats'!B:B,'Base stats'!AN:AN)="Standard","No",MROUND((_xlfn.XLOOKUP(B347,'Base stats'!B:B,'Base stats'!AN:AN)/3.6)/I347,0.1))</f>
        <v>No</v>
      </c>
      <c r="BN347" s="25" t="str">
        <f t="shared" si="39"/>
        <v>false</v>
      </c>
      <c r="BO347" s="25" t="str">
        <f>IF(AND(OR(_xlfn.XLOOKUP(B347,'Base stats'!B:B,'Base stats'!Y:Y)="Carnivore",_xlfn.XLOOKUP(B347,'Base stats'!B:B,'Base stats'!Y:Y)="Omnivore",_xlfn.XLOOKUP(B347,'Base stats'!B:B,'Base stats'!Y:Y)="OmnivoreRough"),_xlfn.XLOOKUP(_xlfn.XLOOKUP(B347,'Base stats'!B:B,'Base stats'!E:E),Groups!A:A,Groups!AT:AT)=1),"true","false")</f>
        <v>false</v>
      </c>
      <c r="BP347" s="25" t="str" cm="1">
        <f t="array" ref="BP347">IF(
  _xlfn.TEXTJOIN(", ",TRUE,
    IF(AND(BJ347="true",AO347&gt;0.5,BI347&lt;&gt;"None"),"AttackTarget",""),
    IF(AND(_xlfn.XLOOKUP(_xlfn.XLOOKUP(B347,'Base stats'!B:B,'Base stats'!E:E),Groups!A:A,Groups!AJ:AJ="Mammal"),OR(_xlfn.XLOOKUP(B347,'Base stats'!B:B,'Base stats'!Y:Y)="Omnivore",_xlfn.XLOOKUP(B347,'Base stats'!B:B,'Base stats'!Y:Y)="OmnivoreRough")),"Forage",""),
    IF(BG347&lt;=36,"Comfort",""),
    IF(_xlfn.XLOOKUP(B347,'Base stats'!B:B,'Base stats'!AE:AE)&lt;&gt;"No",_xlfn.XLOOKUP(B347,'Base stats'!B:B,'Base stats'!AE:AE),"")
  ) = "",
  "No",
  _xlfn.TEXTJOIN(", ",TRUE,
    IF(AND(BJ347="true",AO347&gt;0.5,BI347&lt;&gt;"None"),"AttackTarget",""),
    IF(AND(_xlfn.XLOOKUP(_xlfn.XLOOKUP(B347,'Base stats'!B:B,'Base stats'!E:E),Groups!A:A,Groups!AJ:AJ="Mammal"),OR(_xlfn.XLOOKUP(B347,'Base stats'!B:B,'Base stats'!Y:Y)="Omnivore",_xlfn.XLOOKUP(B347,'Base stats'!B:B,'Base stats'!Y:Y)="OmnivoreRough")),"Forage",""),
    IF(BG347&lt;=36,"Comfort",""),
    IF(_xlfn.XLOOKUP(B347,'Base stats'!B:B,'Base stats'!AE:AE)&lt;&gt;"No",_xlfn.XLOOKUP(B347,'Base stats'!B:B,'Base stats'!AE:AE),"")
  )
)</f>
        <v>AttackTarget</v>
      </c>
      <c r="BQ347" s="25" t="str">
        <f>IF(
   AND(
      'Base stats'!AN347="Standard",_xlfn.XLOOKUP(_xlfn.XLOOKUP(B347,'Base stats'!B:B,'Base stats'!E:E),Groups!A:A,Groups!AU:AU)=0,
      OR(
      BO347="True"
      )
   ),
   10,
   IF(
       OR(BM347&lt;&gt;"No",_xlfn.XLOOKUP(_xlfn.XLOOKUP(B347,'Base stats'!B:B,'Base stats'!E:E),Groups!A:A,Groups!AU:AU)=1),
      1,
      "No"
   )
)</f>
        <v>No</v>
      </c>
      <c r="BR347" s="9">
        <f>MROUND((1 + ((0.2*IF(OR(Q347="No",R347="No",R347=0),0,Q347/R347)
+IF(OR(V347="No",S347="No",T347="No"),0,S347/T347*(LEN(V347)-LEN(SUBSTITUTE(V347,",",""))+1))
+IF(OR(X347="No",Y347="No"),0,X347/Y347)
+IF(OR(AD347="No",AE347="No"),0,AD347/AE347)
+IF(OR(AL347="No",AI347="No",AJ347="No"),0,AI347/AJ347*(LEN(AL347)-LEN(SUBSTITUTE(AL347,",",""))+1))
)/(0.2*IF(OR(Q347="No",R347="No",R347=0),0,1)
+IF(OR(V347="No",S347="No",T347="No"),0,LEN(V347)-LEN(SUBSTITUTE(V347,",",""))+1)
+IF(OR(X347="No",Y347="No"),0,1)
+IF(OR(AD347="No",AE347="No"),0,1)
+IF(OR(AL347="No",AI347="No",AJ347="No"),0,LEN(AL347)-LEN(SUBSTITUTE(AL347,",",""))+1))*62%)* 2)*(1 + (AP347 / (IF(_xlfn.XLOOKUP(_xlfn.XLOOKUP(B347,'Base stats'!B:B,'Base stats'!E:E),Groups!A:A,Groups!AJ:AJ)="Photonozoa",0.3,1)) + _xlfn.XLOOKUP(B347,'Base stats'!B:B,'Base stats'!AV:AV) * 1.8) * 2) * 2.5 + 10 + I347 * 2,5)+IF(_xlfn.XLOOKUP(B347,'Base stats'!B:B,'Base stats'!AK:AK)=1,50,0)</f>
        <v>450</v>
      </c>
      <c r="BS347" s="8">
        <f t="shared" si="40"/>
        <v>2.6500000000000004</v>
      </c>
      <c r="BT347" s="8" t="str">
        <f>_xlfn.XLOOKUP(B347,'Base stats'!B:B,'Base stats'!AF:AF)</f>
        <v>No</v>
      </c>
      <c r="BU347" s="2" t="str">
        <f>IF(AND(J347&lt;=0.95,OR(_xlfn.XLOOKUP(B347,'Base stats'!B:B,'Base stats'!AK:AK)=1,_xlfn.XLOOKUP(B347,'Base stats'!B:B,'Base stats'!Y:Y)="Carnivore",_xlfn.XLOOKUP(B347,'Base stats'!B:B,'Base stats'!Y:Y)="Omnivore",BE347&gt;0.1)),"true","false")</f>
        <v>true</v>
      </c>
      <c r="BV347" s="2" t="str">
        <f>IF(_xlfn.XLOOKUP(B347,'Base stats'!B:B,'Base stats'!AI:AI)=1,"true","false")</f>
        <v>false</v>
      </c>
      <c r="BW347" s="25" t="str">
        <f>IF(E347="BaseInsect","AnimalInsect",
IF(J347&gt;0.95,"AnimalExotic",
_xlfn.TEXTJOIN(", ",TRUE,
IF(OR(_xlfn.XLOOKUP(B347,'Base stats'!B:B,'Base stats'!AM:AM)=1,AND(_xlfn.XLOOKUP(B347,'Base stats'!B:B,'Base stats'!O:O)=0,_xlfn.XLOOKUP(_xlfn.XLOOKUP(B347,'Base stats'!B:B,'Base stats'!E:E),Groups!A:A,Groups!B:B)&gt;0)),"AnimalUncommon","AnimalCommon"),
IF(AND(_xlfn.XLOOKUP(B347,'Base stats'!B:B,'Base stats'!O:O)=2,_xlfn.XLOOKUP(_xlfn.XLOOKUP(B347,'Base stats'!B:B,'Base stats'!E:E),Groups!A:A,Groups!D:D)=0),"AnimalPet",IF(AND(_xlfn.XLOOKUP(B347,'Base stats'!B:B,'Base stats'!O:O)&lt;&gt;0,_xlfn.XLOOKUP(_xlfn.XLOOKUP(B347,'Base stats'!B:B,'Base stats'!E:E),Groups!A:A,Groups!D:D)&lt;&gt;0),"AnimalFarm","")),
IF(OR(_xlfn.XLOOKUP(B347,'Base stats'!B:B,'Base stats'!AK:AK)=1,AND(BI347&lt;&gt;"None",BR347&gt;=60),ISNUMBER(SEARCH("Attack target",BP347))),"AnimalFighter","")
)))</f>
        <v>AnimalUncommon, AnimalFighter</v>
      </c>
      <c r="BX347" s="25" t="str">
        <f>IF(G347="None",TRIM(
SUBSTITUTE(
IF(COUNTIF(Biomes!B$2:B$259,"="&amp;$C347)&gt;0,Biomes!B$1&amp;", ","")&amp;
IF(COUNTIF(Biomes!C$2:C$259,"="&amp;$C347)&gt;0,Biomes!C$1&amp;", ","")&amp;
IF(COUNTIF(Biomes!D$2:D$259,"="&amp;$C347)&gt;0,Biomes!D$1&amp;", ","")&amp;
IF(COUNTIF(Biomes!F$2:F$259,"="&amp;$C347)&gt;0,Biomes!F$1&amp;", ","")&amp;
IF(COUNTIF(Biomes!G$2:G$259,"="&amp;$C347)&gt;0,Biomes!G$1&amp;", ","")&amp;
IF(COUNTIF(Biomes!H$2:H$259,"="&amp;$C347)&gt;0,Biomes!H$1&amp;", ","")&amp;
IF(COUNTIF(Biomes!I$2:I$259,"="&amp;$C347)&gt;0,Biomes!I$1&amp;", ","")&amp;
IF(COUNTIF(Biomes!J$2:J$259,"="&amp;$C347)&gt;0,Biomes!J$1&amp;", ","")&amp;
IF(COUNTIF(Biomes!M$2:M$259,"="&amp;$C347)&gt;0,Biomes!M$1&amp;", ","")&amp;
IF(COUNTIF(Biomes!N$2:N$259,"="&amp;$C347)&gt;0,Biomes!N$1&amp;", ","")&amp;
IF(COUNTIF(Biomes!O$2:O$259,"="&amp;$C347)&gt;0,Biomes!O$1&amp;", ","")&amp;
IF(COUNTIF(Biomes!P$2:P$259,"="&amp;$C347)&gt;0,Biomes!P$1&amp;", ","")&amp;
IF(COUNTIF(Biomes!K$2:K$259,"="&amp;$C347)&gt;0,Biomes!K$1&amp;", ","")&amp;
IF(COUNTIF(Biomes!Q$3:Q$259,"="&amp;$C347)&gt;0,Biomes!Q$1&amp;", ","")&amp;
IF(COUNTIF(Biomes!L$2:L$259,"="&amp;$C347)&gt;0,Biomes!L$1&amp;", ","")&amp;
IF(COUNTIF(Biomes!E$2:E$259,"="&amp;$C347)&gt;0,Biomes!E$1&amp;", ","")&amp;IF(COUNTIF(Biomes!S$2:S$259,"="&amp;$C347)&gt;0,Biomes!S$1&amp;", ","")&amp;
IF(COUNTIF(Biomes!R$2:R$259,"="&amp;$C347)&gt;0,Biomes!R$1&amp;", ",""),", ","")
),_xlfn.XLOOKUP(B347,B:B,BX:BX))</f>
        <v>Tundra BorealForest ColdBog GlacialPlain</v>
      </c>
      <c r="BY347" s="25" t="str">
        <f>IF(_xlfn.XLOOKUP(B347,'Base stats'!B:B,'Base stats'!AJ:AJ)=1,"true","false")</f>
        <v>false</v>
      </c>
      <c r="BZ347" s="25">
        <f>IF(_xlfn.XLOOKUP(B347,'Base stats'!B:B,'Base stats'!N:N)=1,"No",MAX(0.001,MIN(MROUND(IF(AND(BJ347="True",CC347="False"),POWER(10,3.47*LOG10(_xlfn.XLOOKUP(B347,'Base stats'!B:B,'Base stats'!C:C)*1000)^-0.96),POWER(10,4.15*LOG10(_xlfn.XLOOKUP(B347,'Base stats'!B:B,'Base stats'!C:C)*1000)^-0.73))*IF(_xlfn.XLOOKUP(B347,'Base stats'!B:B,'Base stats'!AK:AK)=1,0.5,1)*IF(_xlfn.XLOOKUP(B347,'Base stats'!B:B,'Base stats'!AM:AM)=1,0.1,1)/100,IF(_xlfn.XLOOKUP(B347,'Base stats'!B:B,'Base stats'!AM:AM)=1,0.001,0.025)),0.5)))</f>
        <v>0.05</v>
      </c>
      <c r="CA347" s="25" t="str">
        <f>IF(P347="Standard","No",MAX(0.001,MIN(MROUND(IF(AND(BJ347="True",CC347="False"),POWER(10,3.47*LOG10(_xlfn.XLOOKUP(B347,'Base stats'!B:B,'Base stats'!C:C)*1000)^-0.96),POWER(10,4.15*LOG10(_xlfn.XLOOKUP(B347,'Base stats'!B:B,'Base stats'!C:C)*1000)^-0.73))*IF(_xlfn.XLOOKUP(B347,'Base stats'!B:B,'Base stats'!AM:AM)=1,0.1,1)*_xlfn.XLOOKUP(B347,'Base stats'!B:B,'Base stats'!R:R)/100,IF(_xlfn.XLOOKUP(B347,'Base stats'!B:B,'Base stats'!AM:AM)=1,0.001,0.025)),0.5)))</f>
        <v>No</v>
      </c>
      <c r="CB347" s="25" t="str">
        <f>IF(_xlfn.XLOOKUP(_xlfn.XLOOKUP(B347,'Base stats'!B:B,'Base stats'!E:E),Groups!A:A,Groups!AJ:AJ)="Mammal","True","False")</f>
        <v>False</v>
      </c>
      <c r="CC347" s="25" t="str">
        <f>IF(OR(_xlfn.XLOOKUP(_xlfn.XLOOKUP(B347,'Base stats'!B:B,'Base stats'!E:E),Groups!A:A,Groups!AJ:AJ)="Reptile",_xlfn.XLOOKUP(_xlfn.XLOOKUP(B347,'Base stats'!B:B,'Base stats'!E:E),Groups!A:A,Groups!AJ:AJ)="Amphibian",_xlfn.XLOOKUP(_xlfn.XLOOKUP(B347,'Base stats'!B:B,'Base stats'!E:E),Groups!A:A,Groups!AJ:AJ)="Invertebrate"),"True","False")</f>
        <v>False</v>
      </c>
      <c r="CD347" s="25" t="str">
        <f t="shared" si="41"/>
        <v>False</v>
      </c>
      <c r="CE347" s="25" t="str">
        <f>IF(_xlfn.XLOOKUP(_xlfn.XLOOKUP(B347,'Base stats'!B:B,'Base stats'!E:E),Groups!A:A,Groups!AX:AX),"True","False")</f>
        <v>False</v>
      </c>
      <c r="CF347" s="25" t="str">
        <f>IF(_xlfn.XLOOKUP(_xlfn.XLOOKUP(B347,'Base stats'!B:B,'Base stats'!E:E),Groups!A:A,Groups!AY:AY),"True","False")</f>
        <v>False</v>
      </c>
      <c r="CG347" s="25" t="str">
        <f>IF(_xlfn.XLOOKUP(_xlfn.XLOOKUP(B347,'Base stats'!B:B,'Base stats'!E:E),Groups!A:A,Groups!AW:AW),"True","False")</f>
        <v>False</v>
      </c>
      <c r="CH347" s="25" t="str">
        <f>IF(
OR(
_xlfn.XLOOKUP(_xlfn.XLOOKUP(B347,'Base stats'!B:B,'Base stats'!E:E),Groups!A:A,Groups!AZ:AZ)=0,
AND(
_xlfn.XLOOKUP(B347,'Base stats'!B:B,'Base stats'!Y:Y)&lt;&gt;"Carnivore",
_xlfn.XLOOKUP(B347,'Base stats'!B:B,'Base stats'!Y:Y)&lt;&gt;"Omnivore",
_xlfn.XLOOKUP(B347,'Base stats'!B:B,'Base stats'!Y:Y)&lt;&gt;"OmnivoreRough"
)
),
"No",
IF(
_xlfn.XLOOKUP(_xlfn.XLOOKUP(B347,'Base stats'!B:B,'Base stats'!E:E),Groups!A:A,Groups!AZ:AZ)=1,
"Flesh",
IF(
_xlfn.XLOOKUP(_xlfn.XLOOKUP(B347,'Base stats'!B:B,'Base stats'!E:E),Groups!A:A,Groups!AZ:AZ)=2,
"Bone",
""
)
)
)</f>
        <v>No</v>
      </c>
      <c r="CI347" s="25" t="str">
        <f>IF(_xlfn.XLOOKUP(_xlfn.XLOOKUP(B347,'Base stats'!B:B,'Base stats'!E:E),Groups!A:A,Groups!BB:BB),"True","False")</f>
        <v>False</v>
      </c>
      <c r="CJ347" s="25" t="str">
        <f>IF(_xlfn.XLOOKUP(_xlfn.XLOOKUP(B347,'Base stats'!B:B,'Base stats'!E:E),Groups!A:A,Groups!BA:BA),"True","False")</f>
        <v>False</v>
      </c>
    </row>
    <row r="348" spans="1:88" ht="16.5" thickTop="1" thickBot="1" x14ac:dyDescent="0.3">
      <c r="A348" s="26" t="s">
        <v>1904</v>
      </c>
      <c r="B348" s="6" t="str">
        <f>_xlfn.XLOOKUP(A348,'Base stats'!A:A,'Base stats'!B:B)</f>
        <v>Carnotaurus sastrei</v>
      </c>
      <c r="C348" s="28" t="s">
        <v>1908</v>
      </c>
      <c r="D348" s="28" t="s">
        <v>1898</v>
      </c>
      <c r="E348" s="28" t="s">
        <v>673</v>
      </c>
      <c r="F348" s="28" t="s">
        <v>673</v>
      </c>
      <c r="G348" s="28" t="s">
        <v>673</v>
      </c>
      <c r="H348" s="2">
        <f>MROUND((
  (IF(AND(_xlfn.XLOOKUP(B348,'Base stats'!B:B,'Base stats'!AL:AL)=0,BI348="None",_xlfn.XLOOKUP(_xlfn.XLOOKUP(B348,'Base stats'!B:B,'Base stats'!E:E),Groups!A:A,Groups!B:B)=0), (18 + BR348 * 2.7) * 0.5,
    IF(AND(_xlfn.XLOOKUP(B348,'Base stats'!B:B,'Base stats'!AL:AL)=0,OR(AO348&lt;0.55,AND(BI348="Intermediate",_xlfn.XLOOKUP(_xlfn.XLOOKUP(B348,'Base stats'!B:B,'Base stats'!E:E),Groups!A:A,Groups!B:B)&lt;2))), (18 + BR348 * 2.7),
      IF(OR(BI348="Advanced",_xlfn.XLOOKUP(B348,'Base stats'!B:B,'Base stats'!AL:AL)=1,_xlfn.XLOOKUP(_xlfn.XLOOKUP(B348,'Base stats'!B:B,'Base stats'!E:E),Groups!A:A,Groups!B:B)=2), (18 + BR348 * 2.7) + 250, (18 + BR348 * 2.7))
    )
  ))
  + AO348 * 80
  + IF(COUNTIF(EggMilk!K$2:K$998, A348) &gt; 0, 125, 0)
  + IF(COUNTIF(EggMilk!P$2:P$998, A348) &gt; 0, 90, 0)
  + IF(COUNTIF(EggMilk!A$2:A$998, A348) &gt; 0, 90, 0)
)
* (0.8 + 0.4 * J348)
* 0.75,25)</f>
        <v>1400</v>
      </c>
      <c r="I348" s="2">
        <f>MROUND(ROUNDDOWN(_xlfn.XLOOKUP(B348,'Base stats'!B:B,'Base stats'!L:L)/3.6/(23.3/11),1),0.5)</f>
        <v>7</v>
      </c>
      <c r="J348" s="2">
        <f>IF(OR(_xlfn.XLOOKUP(B348,'Base stats'!B:B,'Base stats'!AB:AB)=1,_xlfn.XLOOKUP(_xlfn.XLOOKUP(B348,'Base stats'!B:B,'Base stats'!E:E),Groups!A:A,Groups!C:C)="Untamable"),1,IF(_xlfn.XLOOKUP(B348,'Base stats'!B:B,'Base stats'!AL:AL)=1,0.99,MIN(MROUND((1-0.6282*EXP(-0.459*AO348))*_xlfn.XLOOKUP(_xlfn.XLOOKUP(B348,'Base stats'!B:B,'Base stats'!E:E),Groups!A:A,Groups!C:C)*IF(_xlfn.XLOOKUP(B348,'Base stats'!B:B,'Base stats'!O:O)=1,0.5,IF(_xlfn.XLOOKUP(B348,'Base stats'!B:B,'Base stats'!O:O)=2,0,1)),0.05),IF(AO348&gt;3.5,0.985,0.95))))</f>
        <v>0.9</v>
      </c>
      <c r="K348" s="2">
        <f>ROUNDUP(AO348*_xlfn.XLOOKUP(_xlfn.XLOOKUP(B348,'Base stats'!B:B,'Base stats'!E:E),Groups!A:A,Groups!E:E),0)</f>
        <v>4</v>
      </c>
      <c r="L348" s="2">
        <f>IF(OR(_xlfn.XLOOKUP(_xlfn.XLOOKUP(B348,'Base stats'!B:B,'Base stats'!E:E),Groups!A:A,Groups!F:F)=2,ISNUMBER(SEARCH("SeaIce",BX348)),ISNUMBER(SEARCH("IceSheet",BX348))),-50,IF(OR(ISNUMBER(SEARCH("GlacialPlain",BX348)),ISNUMBER(SEARCH("Tundra",BX348))),-40,IF(OR(ISNUMBER(SEARCH("Alpine",BX348)),ISNUMBER(SEARCH("BorealForest",BX348)),ISNUMBER(SEARCH("ColdBog",BX348))),-30,IF(OR(ISNUMBER(SEARCH("TemperateForest",BX348)),ISNUMBER(SEARCH("TemperateSwamp",BX348))),-20,IF(_xlfn.XLOOKUP(_xlfn.XLOOKUP(B348,'Base stats'!B:B,'Base stats'!E:E),Groups!A:A,Groups!F:F)=1,-15,IF(OR(ISNUMBER(SEARCH("Desert",BX348)),ISNUMBER(SEARCH("ExtremeDesert",BX348))),-10,IF(OR(ISNUMBER(SEARCH("Grasslands",BX348)),ISNUMBER(SEARCH("TropicalRainforest",BX348)),ISNUMBER(SEARCH("TropicalSwamp",BX348))),10,0)))))))-IF(CC348="False",MIN(IFERROR(MAX(MROUND(LOG10(_xlfn.XLOOKUP(B348,'Base stats'!B:B,'Base stats'!C:C)^(2/3))*10,5),5),5),30))-_xlfn.XLOOKUP(B348,'Base stats'!B:B,'Base stats'!P:P)+IF(CC348="True",5,0)</f>
        <v>-10</v>
      </c>
      <c r="M348" s="2">
        <f>IF(OR(_xlfn.XLOOKUP(_xlfn.XLOOKUP(B348,'Base stats'!B:B,'Base stats'!E:E),Groups!A:A,Groups!G:G)=2,ISNUMBER(SEARCH("Desert",BX348)),ISNUMBER(SEARCH("ExtremeDesert",BX348)),ISNUMBER(SEARCH("LavaField",BX348))),50,IF(ISNUMBER(SEARCH("Grasslands",BX348)),45,IF(OR(_xlfn.XLOOKUP(_xlfn.XLOOKUP(B348,'Base stats'!B:B,'Base stats'!E:E),Groups!A:A,Groups!G:G)=1,ISNUMBER(SEARCH("TropicalRainforest",BX348)),ISNUMBER(SEARCH("TropicalSwamp",BX348))),40,IF(OR(ISNUMBER(SEARCH("TemperateForest",BX348)),ISNUMBER(SEARCH("TemperateSwamp",BX348))),35,IF(OR(ISNUMBER(SEARCH("Alpine",BX348)),ISNUMBER(SEARCH("BorealForest",BX348)),ISNUMBER(SEARCH("ColdBog",BX348))),30,IF(ISNUMBER(OR(ISNUMBER(SEARCH("GlacialPlain",BX348)),SEARCH("Tundra",BX348))),25,IF(OR(ISNUMBER(SEARCH("SeaIce",BX348)),ISNUMBER(SEARCH("IceSheet",BX348)),ISNUMBER(SEARCH("TropicalSwamp",BX348))),10,35)))))))+_xlfn.XLOOKUP(B348,'Base stats'!B:B,'Base stats'!Q:Q)</f>
        <v>50</v>
      </c>
      <c r="N348" s="8" t="str">
        <f>IF(
_xlfn.XLOOKUP(
_xlfn.XLOOKUP(B348,'Base stats'!B:B,'Base stats'!E:E),
Groups!A:A,
Groups!L:L
)=1,
MIN(
MROUND(
IF(
_xlfn.XLOOKUP(B348,'Animals CE'!B:B,'Animals CE'!Z:Z)&lt;=1.5,
_xlfn.XLOOKUP(B348,'Animals CE'!B:B,'Animals CE'!Z:Z)/2+0.05,
0.8+
(_xlfn.XLOOKUP(B348,'Animals CE'!B:B,'Animals CE'!Z:Z)-1.5)
*0.02
),
0.05
),
200%
),
"No"
)</f>
        <v>No</v>
      </c>
      <c r="O348" s="8" t="str">
        <f>IF(
_xlfn.XLOOKUP(
_xlfn.XLOOKUP(B348,'Base stats'!B:B,'Base stats'!E:E),
Groups!A:A,
Groups!L:L
)=1,
MIN(
MROUND(
IF(
_xlfn.XLOOKUP(B348,'Animals CE'!B:B,'Animals CE'!AA:AA)&lt;=1.5,
_xlfn.XLOOKUP(B348,'Animals CE'!B:B,'Animals CE'!AA:AA)/2+0.05,
0.8+
(_xlfn.XLOOKUP(B348,'Animals CE'!B:B,'Animals CE'!AA:AA)-1.5)
*0.02
),
0.05
),
200%
),
"No"
)</f>
        <v>No</v>
      </c>
      <c r="P348" s="2" t="str">
        <f>_xlfn.XLOOKUP(B348,'Base stats'!B:B,'Base stats'!R:R)</f>
        <v>Standard</v>
      </c>
      <c r="Q348" s="13">
        <f>MROUND((LOG10(_xlfn.XLOOKUP(B348,'Base stats'!B:B,'Base stats'!AR:AR))*(AO348^0.5)+(_xlfn.XLOOKUP(B348,'Base stats'!B:B,'Base stats'!AR:AR)/1000)^(2/3)+_xlfn.XLOOKUP(B348,'Base stats'!B:B,'Base stats'!BA:BA)/2)+0.5,0.5)</f>
        <v>24</v>
      </c>
      <c r="R348" s="7">
        <f>IF(Q348="No","No",MAX(1,MROUND(_xlfn.XLOOKUP(B348,'Base stats'!B:B,'Base stats'!C:C)^0.165,0.05)))</f>
        <v>3.35</v>
      </c>
      <c r="S348" s="13" t="str">
        <f>IF(_xlfn.XLOOKUP(_xlfn.XLOOKUP(B348,'Base stats'!B:B,'Base stats'!E:E),Groups!A:A,Groups!P:P)=0,"No",MROUND((LOG10(_xlfn.XLOOKUP(B348,'Base stats'!B:B,'Base stats'!AS:AS))*(AO348^0.5)+(_xlfn.XLOOKUP(B348,'Base stats'!B:B,'Base stats'!AS:AS)/1000)^(2/3)+_xlfn.XLOOKUP(B348,'Base stats'!B:B,'Base stats'!BA:BA))+_xlfn.XLOOKUP(B348,'Base stats'!B:B,'Base stats'!AY:AY)+0.5,0.5))</f>
        <v>No</v>
      </c>
      <c r="T348" s="7" t="str">
        <f>IF(S348="No","No",MAX(_xlfn.XLOOKUP(_xlfn.XLOOKUP(B348,'Base stats'!B:B,'Base stats'!E:E),Groups!A:A,Groups!Q:Q),MROUND(_xlfn.XLOOKUP(_xlfn.XLOOKUP(B348,'Base stats'!B:B,'Base stats'!E:E),Groups!A:A,Groups!Q:Q)*_xlfn.XLOOKUP(B348,'Base stats'!B:B,'Base stats'!C:C)^0.165,0.05)))</f>
        <v>No</v>
      </c>
      <c r="U348" s="7" t="str">
        <f>IF(S348="No","No",_xlfn.XLOOKUP(_xlfn.XLOOKUP(B348,'Base stats'!B:B,'Base stats'!E:E),Groups!A:A,Groups!R:R))</f>
        <v>No</v>
      </c>
      <c r="V348" s="7" t="str">
        <f>IF(S348="No","No",_xlfn.XLOOKUP(_xlfn.XLOOKUP(B348,'Base stats'!B:B,'Base stats'!E:E),Groups!A:A,Groups!S:S))</f>
        <v>No</v>
      </c>
      <c r="W348" s="7" t="str">
        <f>IF(S348="No","No",_xlfn.XLOOKUP(_xlfn.XLOOKUP(B348,'Base stats'!B:B,'Base stats'!E:E),Groups!A:A,Groups!T:T))</f>
        <v>No</v>
      </c>
      <c r="X348" s="13" t="str">
        <f>IF(_xlfn.XLOOKUP(B348,'Base stats'!B:B,'Base stats'!W:W)="No","No",MROUND((LOG10(_xlfn.XLOOKUP(B348,'Base stats'!B:B,'Base stats'!AU:AU))*(AO348^0.5)+(_xlfn.XLOOKUP(B348,'Base stats'!B:B,'Base stats'!AU:AU)/1000)^(2/3)+_xlfn.XLOOKUP(B348,'Base stats'!B:B,'Base stats'!AZ:AZ))+0.5+IF(_xlfn.XLOOKUP(_xlfn.XLOOKUP(B348,'Base stats'!B:B,'Base stats'!E:E),Groups!A:A,Groups!U:U)&lt;&gt;3,_xlfn.XLOOKUP(B348,'Base stats'!B:B,'Base stats'!BA:BA),0),0.5))</f>
        <v>No</v>
      </c>
      <c r="Y348" s="7" t="str">
        <f>IF(X348="No","No",MAX(_xlfn.XLOOKUP(_xlfn.XLOOKUP(B348,'Base stats'!B:B,'Base stats'!E:E),Groups!A:A,Groups!V:V),MROUND(_xlfn.XLOOKUP(_xlfn.XLOOKUP(B348,'Base stats'!B:B,'Base stats'!E:E),Groups!A:A,Groups!V:V)*_xlfn.XLOOKUP(B348,'Base stats'!B:B,'Base stats'!C:C)^0.165,0.05)))</f>
        <v>No</v>
      </c>
      <c r="Z348" s="7" t="str">
        <f>IF(X348="No","No",_xlfn.XLOOKUP(_xlfn.XLOOKUP(B348,'Base stats'!B:B,'Base stats'!E:E),Groups!A:A,Groups!W:W))</f>
        <v>No</v>
      </c>
      <c r="AA348" s="7" t="str">
        <f>IF(X348="No","No",_xlfn.XLOOKUP(_xlfn.XLOOKUP(B348,'Base stats'!B:B,'Base stats'!E:E),Groups!A:A,Groups!X:X))</f>
        <v>No</v>
      </c>
      <c r="AB348" s="7" t="str">
        <f>IF(X348="No","No",_xlfn.XLOOKUP(_xlfn.XLOOKUP(B348,'Base stats'!B:B,'Base stats'!E:E),Groups!A:A,Groups!Y:Y))</f>
        <v>No</v>
      </c>
      <c r="AC348" s="7" t="str">
        <f>_xlfn.XLOOKUP(Animals!B348,'Base stats'!B:B,'Base stats'!X:X)</f>
        <v>False</v>
      </c>
      <c r="AD348" s="13">
        <f>IF(_xlfn.XLOOKUP(B348,'Base stats'!B:B,'Base stats'!AT:AT)="No","No",MROUND((LOG10(_xlfn.XLOOKUP(B348,'Base stats'!B:B,'Base stats'!AT:AT))*(AO348^0.75)+(_xlfn.XLOOKUP(B348,'Base stats'!B:B,'Base stats'!AT:AT)/1000)^(2/3)+_xlfn.XLOOKUP(B348,'Base stats'!B:B,'Base stats'!AX:AX)+_xlfn.XLOOKUP(B348,'Base stats'!B:B,'Base stats'!BA:BA))+0.5,0.5))</f>
        <v>29.5</v>
      </c>
      <c r="AE348" s="7">
        <f>IF(AD348="No","No",MAX(_xlfn.XLOOKUP(_xlfn.XLOOKUP(B348,'Base stats'!B:B,'Base stats'!E:E),Groups!A:A,Groups!Z:Z),MROUND(_xlfn.XLOOKUP(_xlfn.XLOOKUP(B348,'Base stats'!B:B,'Base stats'!E:E),Groups!A:A,Groups!Z:Z)*_xlfn.XLOOKUP(B348,'Base stats'!B:B,'Base stats'!C:C)^0.165,0.05)))</f>
        <v>2.5500000000000003</v>
      </c>
      <c r="AF348" s="7" t="str">
        <f>IF(AD348="No","No",_xlfn.XLOOKUP(_xlfn.XLOOKUP(B348,'Base stats'!B:B,'Base stats'!E:E),Groups!A:A,Groups!AA:AA))</f>
        <v>Teeth</v>
      </c>
      <c r="AG348" s="7" t="str">
        <f>IF(AD348="No","No",_xlfn.XLOOKUP(_xlfn.XLOOKUP(B348,'Base stats'!B:B,'Base stats'!E:E),Groups!A:A,Groups!AB:AB))</f>
        <v>teeth</v>
      </c>
      <c r="AH348" s="7" t="str">
        <f>IF(AD348="No","No",_xlfn.XLOOKUP(_xlfn.XLOOKUP(B348,'Base stats'!B:B,'Base stats'!E:E),Groups!A:A,Groups!AC:AC))</f>
        <v>Bite</v>
      </c>
      <c r="AI348" s="13" t="str">
        <f>IF(_xlfn.XLOOKUP(_xlfn.XLOOKUP(B348,'Base stats'!B:B,'Base stats'!E:E),Groups!A:A,Groups!AD:AD)=0,"No",MROUND((LOG10(_xlfn.XLOOKUP(B348,'Base stats'!B:B,'Base stats'!AS:AS))*(AO348^0.75)+(_xlfn.XLOOKUP(B348,'Base stats'!B:B,'Base stats'!AS:AS)/1000)^(2/3)+_xlfn.XLOOKUP(B348,'Base stats'!B:B,'Base stats'!AY:AY)+_xlfn.XLOOKUP(B348,'Base stats'!B:B,'Base stats'!BA:BA))+0.5,0.5))</f>
        <v>No</v>
      </c>
      <c r="AJ348" s="7" t="str">
        <f>IF(AI348="No","No",MAX(_xlfn.XLOOKUP(_xlfn.XLOOKUP(B348,'Base stats'!B:B,'Base stats'!E:E),Groups!A:A,Groups!AE:AE),MROUND(_xlfn.XLOOKUP(_xlfn.XLOOKUP(B348,'Base stats'!B:B,'Base stats'!E:E),Groups!A:A,Groups!AE:AE)*IF(_xlfn.XLOOKUP(_xlfn.XLOOKUP(B348,'Base stats'!B:B,'Base stats'!E:E),Groups!A:A,Groups!AJ:AJ)="Photonozoa",0.6,1)*_xlfn.XLOOKUP(B348,'Base stats'!B:B,'Base stats'!C:C)^0.165,0.05)))</f>
        <v>No</v>
      </c>
      <c r="AK348" s="7" t="str">
        <f>IF(AI348="No","No",_xlfn.XLOOKUP(_xlfn.XLOOKUP(B348,'Base stats'!B:B,'Base stats'!E:E),Groups!A:A,Groups!AF:AF))</f>
        <v>No</v>
      </c>
      <c r="AL348" s="7" t="str">
        <f>IF(AI348="No","No",_xlfn.XLOOKUP(_xlfn.XLOOKUP(B348,'Base stats'!B:B,'Base stats'!E:E),Groups!A:A,Groups!AG:AG))</f>
        <v>No</v>
      </c>
      <c r="AM348" s="7" t="str">
        <f>IF(AI348="No","No",_xlfn.XLOOKUP(_xlfn.XLOOKUP(B348,'Base stats'!B:B,'Base stats'!E:E),Groups!A:A,Groups!AH:AH))</f>
        <v>No</v>
      </c>
      <c r="AN348" s="2">
        <f t="shared" si="35"/>
        <v>35</v>
      </c>
      <c r="AO348" s="2">
        <f>MROUND(IF(AND(_xlfn.XLOOKUP(B348,'Base stats'!B:B,'Base stats'!C:C)&gt;=0.5,_xlfn.XLOOKUP(B348,'Base stats'!B:B,'Base stats'!C:C)&lt;=0.8),
IF(_xlfn.XLOOKUP(B348,'Base stats'!B:B,'Base stats'!C:C)&lt;0.1,0.05,IF(_xlfn.XLOOKUP(B348,'Base stats'!B:B,'Base stats'!C:C)&lt;=70,(_xlfn.XLOOKUP(B348,'Base stats'!B:B,'Base stats'!C:C)/70)^0.426489913056526,IF(_xlfn.XLOOKUP(B348,'Base stats'!B:B,'Base stats'!C:C)&lt;=400,(_xlfn.XLOOKUP(B348,'Base stats'!B:B,'Base stats'!C:C)/70)^0.572811455315093,IF(_xlfn.XLOOKUP(B348,'Base stats'!B:B,'Base stats'!C:C)&lt;=2000,2.71391647193063*(_xlfn.XLOOKUP(B348,'Base stats'!B:B,'Base stats'!C:C)/400)^0.252459582904293,3.74314280240376*(_xlfn.XLOOKUP(B348,'Base stats'!B:B,'Base stats'!C:C)/2000)^0.357012633876913)))),
IF(_xlfn.XLOOKUP(B348,'Base stats'!B:B,'Base stats'!C:C)&lt;0.1,0.05,IF(_xlfn.XLOOKUP(B348,'Base stats'!B:B,'Base stats'!C:C)&lt;0.4,0.1,IF(_xlfn.XLOOKUP(B348,'Base stats'!B:B,'Base stats'!C:C)&lt;=70,(_xlfn.XLOOKUP(B348,'Base stats'!B:B,'Base stats'!C:C)/70)^0.445823913056526,IF(_xlfn.XLOOKUP(B348,'Base stats'!B:B,'Base stats'!C:C)&lt;=400,(_xlfn.XLOOKUP(B348,'Base stats'!B:B,'Base stats'!C:C)/70)^0.572811455315093,IF(_xlfn.XLOOKUP(B348,'Base stats'!B:B,'Base stats'!C:C)&lt;=2000,2.71391647193063*(_xlfn.XLOOKUP(B348,'Base stats'!B:B,'Base stats'!C:C)/400)^0.252459582904293,3.74314280240376*(_xlfn.XLOOKUP(B348,'Base stats'!B:B,'Base stats'!C:C)/2000)^0.357012633876913)))))),
IF(_xlfn.XLOOKUP(B348,'Base stats'!B:B,'Base stats'!C:C)&lt;0.1,0.05,IF(_xlfn.XLOOKUP(B348,'Base stats'!B:B,'Base stats'!C:C)&lt;=100,0.05,IF(_xlfn.XLOOKUP(B348,'Base stats'!B:B,'Base stats'!C:C)&lt;=250,0.1,IF(_xlfn.XLOOKUP(B348,'Base stats'!B:B,'Base stats'!C:C)&lt;=4000,0.25,0.5)))))</f>
        <v>3.75</v>
      </c>
      <c r="AP348" s="8">
        <f>MROUND(AO348*_xlfn.XLOOKUP(_xlfn.XLOOKUP(B348,'Base stats'!B:B,'Base stats'!E:E),Groups!A:A,Groups!AI:AI)*_xlfn.XLOOKUP(B348,'Base stats'!B:B,'Base stats'!Z:Z),0.05)</f>
        <v>4.5</v>
      </c>
      <c r="AQ348" s="8">
        <f>MAX(0.01,MROUND(IF(CC348="True",0.196*(AO348*100*1000)^0.889,IF(_xlfn.XLOOKUP(_xlfn.XLOOKUP(B348,'Base stats'!B:B,'Base stats'!E:E),Groups!A:A,Groups!AJ:AJ)="Bird",10.5*(AO348*100*1000)^0.681,4.82*(AO348*100*1000)^0.734))/(4.82*(1*100*1000)^0.734)/IF(AO348&lt;3.5,2,IF(AO348=3.5,1.5,1.25))*(1+0.132282374779864/(AO348^0.994035016789033+0.00905238001496948)),0.05))</f>
        <v>2.4000000000000004</v>
      </c>
      <c r="AR348" s="9">
        <f>IFERROR(MROUND(_xlfn.XLOOKUP(B348,'Base stats'!B:B,'Base stats'!H:H)/IF(_xlfn.XLOOKUP(B348,'Base stats'!B:B,'Base stats'!I:I)&lt;&gt;1,(122.5/70),1.2),IF(_xlfn.XLOOKUP(B348,'Base stats'!B:B,'Base stats'!H:H)&gt;=30,5,IF(_xlfn.XLOOKUP(B348,'Base stats'!B:B,'Base stats'!H:H)&gt;=15,3,IF(_xlfn.XLOOKUP(B348,'Base stats'!B:B,'Base stats'!H:H)&gt;=10,2,1)))),"Immortal")</f>
        <v>21</v>
      </c>
      <c r="AS348" s="35" t="str">
        <f>IFERROR(IF(OR(_xlfn.XLOOKUP(B348,'Base stats'!B:B,'Base stats'!F:F)="Atypical reproduction",_xlfn.XLOOKUP(B348,'Base stats'!B:B,'Base stats'!F:F)="Lay eggs"),"Lay eggs",MIN(20,MAX(5.5,ROUND(((_xlfn.XLOOKUP(B348,'Base stats'!B:B,'Base stats'!F:F)-25)*(14.5/615) + 5.5)*2,0)/2))),"Unknown")</f>
        <v>Lay eggs</v>
      </c>
      <c r="AT348" s="8">
        <f>IF(_xlfn.XLOOKUP(B348,'Base stats'!B:B,'Base stats'!G:G)="Atypical reproduction","No",IFERROR(MAX(IF(_xlfn.XLOOKUP(B348,'Base stats'!B:B,'Base stats'!G:G)&lt;0.5,0.2,0.3),MROUND(_xlfn.XLOOKUP(B348,'Base stats'!B:B,'Base stats'!G:G)/(365/60),0.2)),"Unknown"))</f>
        <v>1.6</v>
      </c>
      <c r="AU348" s="8">
        <f t="shared" si="36"/>
        <v>0.8</v>
      </c>
      <c r="AV348" s="8" t="str">
        <f>IFERROR(IFERROR(MROUND(_xlfn.XLOOKUP(B348,'Base stats'!B:B,'Base stats'!J:J),0.1),"Lay eggs"),"Cannot breed")</f>
        <v>Lay eggs</v>
      </c>
      <c r="AW348" s="2" t="str">
        <f t="shared" si="37"/>
        <v>false</v>
      </c>
      <c r="AX348" s="2" t="str">
        <f>IF(_xlfn.XLOOKUP(_xlfn.XLOOKUP(Animals!B348,'Base stats'!B:B,'Base stats'!E:E),Groups!A:A,Groups!AK:AK)=1,"true","false")</f>
        <v>false</v>
      </c>
      <c r="AY348" s="25" t="str">
        <f>IF(_xlfn.XLOOKUP(B348,'Base stats'!B:B,'Base stats'!Y:Y)="Liquor","Liquor, CarnivoreAnimalStrict",IF(AND(_xlfn.XLOOKUP(B348,'Base stats'!B:B,'Base stats'!Y:Y)="Carnivore",_xlfn.XLOOKUP(_xlfn.XLOOKUP(B348,'Base stats'!B:B,'Base stats'!E:E),Groups!A:A,Groups!AJ:AJ)="Photonozoa"),"CarnivoreAnimalStrict, OvivoreAnimal",IF(_xlfn.XLOOKUP(B348,'Base stats'!B:B,'Base stats'!Y:Y)="Carnivore","CarnivoreAnimal, OvivoreAnimal",IF(_xlfn.XLOOKUP(B348,'Base stats'!B:B,'Base stats'!Y:Y)="Dendrovore","VegetarianRoughAnimal, DendrovoreAnimal",IF(_xlfn.XLOOKUP(B348,'Base stats'!B:B,'Base stats'!Y:Y)="Herbivore","VegetarianRoughAnimal",IF(_xlfn.XLOOKUP(B348,'Base stats'!B:B,'Base stats'!Y:Y)="OmnivoreRough","OmnivoreRoughAnimal, OvivoreAnimal","OmnivoreAnimal, OvivoreAnimal"))))))</f>
        <v>CarnivoreAnimal, OvivoreAnimal</v>
      </c>
      <c r="AZ348" s="2" t="str">
        <f>IF(_xlfn.XLOOKUP(_xlfn.XLOOKUP(B348,'Base stats'!B:B,'Base stats'!E:E),Groups!A:A,Groups!D:D)=1,MROUND((1-J348)*5+1,2)*IF(J348&lt;=0.4,2,1),"No")</f>
        <v>No</v>
      </c>
      <c r="BA348" s="2" t="str">
        <f>IF(AND(_xlfn.XLOOKUP(B348,'Base stats'!B:B,'Base stats'!AH:AH)="&lt;li&gt;Seal&lt;/li&gt;",G348="Odyssey"),"&lt;li&gt;AEXP_Seal&lt;/li&gt;",_xlfn.XLOOKUP(B348,'Base stats'!B:B,'Base stats'!AH:AH))</f>
        <v>No</v>
      </c>
      <c r="BB348" s="2" t="str">
        <f>_xlfn.XLOOKUP(B348,'Base stats'!B:B,'Base stats'!AG:AG)</f>
        <v>Leather_Redhide</v>
      </c>
      <c r="BC348" s="23" t="str">
        <f>_xlfn.XLOOKUP(_xlfn.XLOOKUP(B348,'Base stats'!B:B,'Base stats'!E:E),Groups!A:A,Groups!AL:AL)</f>
        <v>Theropod</v>
      </c>
      <c r="BD348" s="23">
        <f>MIN(1,MROUND(IF(AND(AO348&lt;0.5,_xlfn.XLOOKUP(B348,'Base stats'!B:B,'Base stats'!AA:AA)=0),0,IF(OR(_xlfn.XLOOKUP(Animals!B348,'Base stats'!B:B,'Base stats'!O:O)=2,_xlfn.XLOOKUP(_xlfn.XLOOKUP(B348,'Base stats'!B:B,'Base stats'!E:E),Groups!A:A,Groups!AN:AN)=0),0,_xlfn.XLOOKUP(_xlfn.XLOOKUP(B348,'Base stats'!B:B,'Base stats'!E:E),Groups!A:A,Groups!AN:AN)/IF(_xlfn.XLOOKUP(Animals!B348,'Base stats'!B:B,'Base stats'!O:O)=1,2,1)))+_xlfn.XLOOKUP(B348,'Base stats'!B:B,'Base stats'!AC:AC),0.005))</f>
        <v>0.1</v>
      </c>
      <c r="BE348" s="23">
        <f>MIN(1,MROUND(IF(AND(AO348&lt;0.5,_xlfn.XLOOKUP(B348,'Base stats'!B:B,'Base stats'!AA:AA)=0),0,IF(_xlfn.XLOOKUP(_xlfn.XLOOKUP(B348,'Base stats'!B:B,'Base stats'!E:E),Groups!A:A,Groups!AO:AO)=0,0,_xlfn.XLOOKUP(_xlfn.XLOOKUP(B348,'Base stats'!B:B,'Base stats'!E:E),Groups!A:A,Groups!AO:AO)/IF(_xlfn.XLOOKUP(Animals!B348,'Base stats'!B:B,'Base stats'!O:O)=2,3,1)))+_xlfn.XLOOKUP(B348,'Base stats'!B:B,'Base stats'!AD:AD),0.005))</f>
        <v>0.3</v>
      </c>
      <c r="BF348" s="2" t="str">
        <f>IF(J348&gt;0.3,"No",_xlfn.XLOOKUP(_xlfn.XLOOKUP(Animals!B348,'Base stats'!B:B,'Base stats'!E:E),Groups!A:A,Groups!AP:AP))</f>
        <v>No</v>
      </c>
      <c r="BG348" s="2" t="str">
        <f>IF(AND(J348&lt;=0.65,_xlfn.XLOOKUP(_xlfn.XLOOKUP(Animals!B348,'Base stats'!B:B,'Base stats'!E:E),Groups!A:A,Groups!AP:AP)&lt;&gt;"No",_xlfn.XLOOKUP(_xlfn.XLOOKUP(B348,'Base stats'!B:B,'Base stats'!E:E),Groups!A:A,Groups!D:D)=0),MROUND((80/3)*IF(_xlfn.XLOOKUP(B348,'Base stats'!B:B,'Base stats'!O:O)=2,0.2,AO348) + 24*(1-IF(BF348="No",0,BF348)) + 16/3, 12),"No")</f>
        <v>No</v>
      </c>
      <c r="BH348" s="2">
        <f>IF(AND(_xlfn.XLOOKUP(_xlfn.XLOOKUP(B348,'Base stats'!B:B,'Base stats'!E:E),Groups!A:A,Groups!AQ:AQ)=1,AO348&lt;=0.35),8,12)</f>
        <v>12</v>
      </c>
      <c r="BI348" s="2" t="str">
        <f>IF(_xlfn.XLOOKUP(_xlfn.XLOOKUP(B348,'Base stats'!B:B,'Base stats'!E:E),Groups!A:A,Groups!D:D)=0,_xlfn.XLOOKUP(_xlfn.XLOOKUP(B348,'Base stats'!B:B,'Base stats'!E:E),Groups!A:A,Groups!AR:AR),"None")</f>
        <v>Intermediate</v>
      </c>
      <c r="BJ348" s="2" t="str">
        <f>IF(AND(_xlfn.XLOOKUP(_xlfn.XLOOKUP(B348,'Base stats'!B:B,'Base stats'!E:E),Groups!A:A,Groups!AS:AS)=1,OR(_xlfn.XLOOKUP(B348,'Base stats'!B:B,'Base stats'!Y:Y)="Carnivore",_xlfn.XLOOKUP(B348,'Base stats'!B:B,'Base stats'!Y:Y)="Omnivore")),"true","false")</f>
        <v>true</v>
      </c>
      <c r="BK348" s="2">
        <f>IF(BJ348="true",MROUND(IF(AND(AO348&gt;0.5,OR(_xlfn.XLOOKUP(_xlfn.XLOOKUP(B348,'Base stats'!B:B,'Base stats'!E:E),Groups!A:A,Groups!AJ:AJ)="Photonozoa",_xlfn.XLOOKUP(_xlfn.XLOOKUP(B348,'Base stats'!B:B,'Base stats'!E:E),Groups!A:A,Groups!AJ:AJ)="Mammal")),Animals!AO348*1.75*IF(AW348="true",1.5,1),IF(AO348&lt;0.5,Animals!AO348*0.5,Animals!AO348)),IF(AO348&gt;2,0.5,IF(AO348&gt;0.5,0.25,0.1))),"No")</f>
        <v>4</v>
      </c>
      <c r="BL348" s="2">
        <f t="shared" si="38"/>
        <v>1</v>
      </c>
      <c r="BM348" s="25" t="str">
        <f>IF(_xlfn.XLOOKUP(B348,'Base stats'!B:B,'Base stats'!AN:AN)="Standard","No",MROUND((_xlfn.XLOOKUP(B348,'Base stats'!B:B,'Base stats'!AN:AN)/3.6)/I348,0.1))</f>
        <v>No</v>
      </c>
      <c r="BN348" s="25" t="str">
        <f t="shared" si="39"/>
        <v>false</v>
      </c>
      <c r="BO348" s="25" t="str">
        <f>IF(AND(OR(_xlfn.XLOOKUP(B348,'Base stats'!B:B,'Base stats'!Y:Y)="Carnivore",_xlfn.XLOOKUP(B348,'Base stats'!B:B,'Base stats'!Y:Y)="Omnivore",_xlfn.XLOOKUP(B348,'Base stats'!B:B,'Base stats'!Y:Y)="OmnivoreRough"),_xlfn.XLOOKUP(_xlfn.XLOOKUP(B348,'Base stats'!B:B,'Base stats'!E:E),Groups!A:A,Groups!AT:AT)=1),"true","false")</f>
        <v>false</v>
      </c>
      <c r="BP348" s="25" t="str" cm="1">
        <f t="array" ref="BP348">IF(
  _xlfn.TEXTJOIN(", ",TRUE,
    IF(AND(BJ348="true",AO348&gt;0.5,BI348&lt;&gt;"None"),"AttackTarget",""),
    IF(AND(_xlfn.XLOOKUP(_xlfn.XLOOKUP(B348,'Base stats'!B:B,'Base stats'!E:E),Groups!A:A,Groups!AJ:AJ="Mammal"),OR(_xlfn.XLOOKUP(B348,'Base stats'!B:B,'Base stats'!Y:Y)="Omnivore",_xlfn.XLOOKUP(B348,'Base stats'!B:B,'Base stats'!Y:Y)="OmnivoreRough")),"Forage",""),
    IF(BG348&lt;=36,"Comfort",""),
    IF(_xlfn.XLOOKUP(B348,'Base stats'!B:B,'Base stats'!AE:AE)&lt;&gt;"No",_xlfn.XLOOKUP(B348,'Base stats'!B:B,'Base stats'!AE:AE),"")
  ) = "",
  "No",
  _xlfn.TEXTJOIN(", ",TRUE,
    IF(AND(BJ348="true",AO348&gt;0.5,BI348&lt;&gt;"None"),"AttackTarget",""),
    IF(AND(_xlfn.XLOOKUP(_xlfn.XLOOKUP(B348,'Base stats'!B:B,'Base stats'!E:E),Groups!A:A,Groups!AJ:AJ="Mammal"),OR(_xlfn.XLOOKUP(B348,'Base stats'!B:B,'Base stats'!Y:Y)="Omnivore",_xlfn.XLOOKUP(B348,'Base stats'!B:B,'Base stats'!Y:Y)="OmnivoreRough")),"Forage",""),
    IF(BG348&lt;=36,"Comfort",""),
    IF(_xlfn.XLOOKUP(B348,'Base stats'!B:B,'Base stats'!AE:AE)&lt;&gt;"No",_xlfn.XLOOKUP(B348,'Base stats'!B:B,'Base stats'!AE:AE),"")
  )
)</f>
        <v>AttackTarget</v>
      </c>
      <c r="BQ348" s="25" t="str">
        <f>IF(
   AND(
      'Base stats'!AN348="Standard",_xlfn.XLOOKUP(_xlfn.XLOOKUP(B348,'Base stats'!B:B,'Base stats'!E:E),Groups!A:A,Groups!AU:AU)=0,
      OR(
      BO348="True"
      )
   ),
   10,
   IF(
       OR(BM348&lt;&gt;"No",_xlfn.XLOOKUP(_xlfn.XLOOKUP(B348,'Base stats'!B:B,'Base stats'!E:E),Groups!A:A,Groups!AU:AU)=1),
      1,
      "No"
   )
)</f>
        <v>No</v>
      </c>
      <c r="BR348" s="9">
        <f>MROUND((1 + ((0.2*IF(OR(Q348="No",R348="No",R348=0),0,Q348/R348)
+IF(OR(V348="No",S348="No",T348="No"),0,S348/T348*(LEN(V348)-LEN(SUBSTITUTE(V348,",",""))+1))
+IF(OR(X348="No",Y348="No"),0,X348/Y348)
+IF(OR(AD348="No",AE348="No"),0,AD348/AE348)
+IF(OR(AL348="No",AI348="No",AJ348="No"),0,AI348/AJ348*(LEN(AL348)-LEN(SUBSTITUTE(AL348,",",""))+1))
)/(0.2*IF(OR(Q348="No",R348="No",R348=0),0,1)
+IF(OR(V348="No",S348="No",T348="No"),0,LEN(V348)-LEN(SUBSTITUTE(V348,",",""))+1)
+IF(OR(X348="No",Y348="No"),0,1)
+IF(OR(AD348="No",AE348="No"),0,1)
+IF(OR(AL348="No",AI348="No",AJ348="No"),0,LEN(AL348)-LEN(SUBSTITUTE(AL348,",",""))+1))*62%)* 2)*(1 + (AP348 / (IF(_xlfn.XLOOKUP(_xlfn.XLOOKUP(B348,'Base stats'!B:B,'Base stats'!E:E),Groups!A:A,Groups!AJ:AJ)="Photonozoa",0.3,1)) + _xlfn.XLOOKUP(B348,'Base stats'!B:B,'Base stats'!AV:AV) * 1.8) * 2) * 2.5 + 10 + I348 * 2,5)+IF(_xlfn.XLOOKUP(B348,'Base stats'!B:B,'Base stats'!AK:AK)=1,50,0)</f>
        <v>385</v>
      </c>
      <c r="BS348" s="8">
        <f t="shared" si="40"/>
        <v>2.6500000000000004</v>
      </c>
      <c r="BT348" s="8" t="str">
        <f>_xlfn.XLOOKUP(B348,'Base stats'!B:B,'Base stats'!AF:AF)</f>
        <v>No</v>
      </c>
      <c r="BU348" s="2" t="str">
        <f>IF(AND(J348&lt;=0.95,OR(_xlfn.XLOOKUP(B348,'Base stats'!B:B,'Base stats'!AK:AK)=1,_xlfn.XLOOKUP(B348,'Base stats'!B:B,'Base stats'!Y:Y)="Carnivore",_xlfn.XLOOKUP(B348,'Base stats'!B:B,'Base stats'!Y:Y)="Omnivore",BE348&gt;0.1)),"true","false")</f>
        <v>true</v>
      </c>
      <c r="BV348" s="2" t="str">
        <f>IF(_xlfn.XLOOKUP(B348,'Base stats'!B:B,'Base stats'!AI:AI)=1,"true","false")</f>
        <v>false</v>
      </c>
      <c r="BW348" s="25" t="str">
        <f>IF(E348="BaseInsect","AnimalInsect",
IF(J348&gt;0.95,"AnimalExotic",
_xlfn.TEXTJOIN(", ",TRUE,
IF(OR(_xlfn.XLOOKUP(B348,'Base stats'!B:B,'Base stats'!AM:AM)=1,AND(_xlfn.XLOOKUP(B348,'Base stats'!B:B,'Base stats'!O:O)=0,_xlfn.XLOOKUP(_xlfn.XLOOKUP(B348,'Base stats'!B:B,'Base stats'!E:E),Groups!A:A,Groups!B:B)&gt;0)),"AnimalUncommon","AnimalCommon"),
IF(AND(_xlfn.XLOOKUP(B348,'Base stats'!B:B,'Base stats'!O:O)=2,_xlfn.XLOOKUP(_xlfn.XLOOKUP(B348,'Base stats'!B:B,'Base stats'!E:E),Groups!A:A,Groups!D:D)=0),"AnimalPet",IF(AND(_xlfn.XLOOKUP(B348,'Base stats'!B:B,'Base stats'!O:O)&lt;&gt;0,_xlfn.XLOOKUP(_xlfn.XLOOKUP(B348,'Base stats'!B:B,'Base stats'!E:E),Groups!A:A,Groups!D:D)&lt;&gt;0),"AnimalFarm","")),
IF(OR(_xlfn.XLOOKUP(B348,'Base stats'!B:B,'Base stats'!AK:AK)=1,AND(BI348&lt;&gt;"None",BR348&gt;=60),ISNUMBER(SEARCH("Attack target",BP348))),"AnimalFighter","")
)))</f>
        <v>AnimalUncommon, AnimalFighter</v>
      </c>
      <c r="BX348" s="25" t="str">
        <f>IF(G348="None",TRIM(
SUBSTITUTE(
IF(COUNTIF(Biomes!B$2:B$259,"="&amp;$C348)&gt;0,Biomes!B$1&amp;", ","")&amp;
IF(COUNTIF(Biomes!C$2:C$259,"="&amp;$C348)&gt;0,Biomes!C$1&amp;", ","")&amp;
IF(COUNTIF(Biomes!D$2:D$259,"="&amp;$C348)&gt;0,Biomes!D$1&amp;", ","")&amp;
IF(COUNTIF(Biomes!F$2:F$259,"="&amp;$C348)&gt;0,Biomes!F$1&amp;", ","")&amp;
IF(COUNTIF(Biomes!G$2:G$259,"="&amp;$C348)&gt;0,Biomes!G$1&amp;", ","")&amp;
IF(COUNTIF(Biomes!H$2:H$259,"="&amp;$C348)&gt;0,Biomes!H$1&amp;", ","")&amp;
IF(COUNTIF(Biomes!I$2:I$259,"="&amp;$C348)&gt;0,Biomes!I$1&amp;", ","")&amp;
IF(COUNTIF(Biomes!J$2:J$259,"="&amp;$C348)&gt;0,Biomes!J$1&amp;", ","")&amp;
IF(COUNTIF(Biomes!M$2:M$259,"="&amp;$C348)&gt;0,Biomes!M$1&amp;", ","")&amp;
IF(COUNTIF(Biomes!N$2:N$259,"="&amp;$C348)&gt;0,Biomes!N$1&amp;", ","")&amp;
IF(COUNTIF(Biomes!O$2:O$259,"="&amp;$C348)&gt;0,Biomes!O$1&amp;", ","")&amp;
IF(COUNTIF(Biomes!P$2:P$259,"="&amp;$C348)&gt;0,Biomes!P$1&amp;", ","")&amp;
IF(COUNTIF(Biomes!K$2:K$259,"="&amp;$C348)&gt;0,Biomes!K$1&amp;", ","")&amp;
IF(COUNTIF(Biomes!Q$3:Q$259,"="&amp;$C348)&gt;0,Biomes!Q$1&amp;", ","")&amp;
IF(COUNTIF(Biomes!L$2:L$259,"="&amp;$C348)&gt;0,Biomes!L$1&amp;", ","")&amp;
IF(COUNTIF(Biomes!E$2:E$259,"="&amp;$C348)&gt;0,Biomes!E$1&amp;", ","")&amp;IF(COUNTIF(Biomes!S$2:S$259,"="&amp;$C348)&gt;0,Biomes!S$1&amp;", ","")&amp;
IF(COUNTIF(Biomes!R$2:R$259,"="&amp;$C348)&gt;0,Biomes!R$1&amp;", ",""),", ","")
),_xlfn.XLOOKUP(B348,B:B,BX:BX))</f>
        <v>AridShrubland TropicalRainforest TropicalSwamp Grasslands Glowforest LavaField</v>
      </c>
      <c r="BY348" s="25" t="str">
        <f>IF(_xlfn.XLOOKUP(B348,'Base stats'!B:B,'Base stats'!AJ:AJ)=1,"true","false")</f>
        <v>false</v>
      </c>
      <c r="BZ348" s="25">
        <f>IF(_xlfn.XLOOKUP(B348,'Base stats'!B:B,'Base stats'!N:N)=1,"No",MAX(0.001,MIN(MROUND(IF(AND(BJ348="True",CC348="False"),POWER(10,3.47*LOG10(_xlfn.XLOOKUP(B348,'Base stats'!B:B,'Base stats'!C:C)*1000)^-0.96),POWER(10,4.15*LOG10(_xlfn.XLOOKUP(B348,'Base stats'!B:B,'Base stats'!C:C)*1000)^-0.73))*IF(_xlfn.XLOOKUP(B348,'Base stats'!B:B,'Base stats'!AK:AK)=1,0.5,1)*IF(_xlfn.XLOOKUP(B348,'Base stats'!B:B,'Base stats'!AM:AM)=1,0.1,1)/100,IF(_xlfn.XLOOKUP(B348,'Base stats'!B:B,'Base stats'!AM:AM)=1,0.001,0.025)),0.5)))</f>
        <v>0.05</v>
      </c>
      <c r="CA348" s="25" t="str">
        <f>IF(P348="Standard","No",MAX(0.001,MIN(MROUND(IF(AND(BJ348="True",CC348="False"),POWER(10,3.47*LOG10(_xlfn.XLOOKUP(B348,'Base stats'!B:B,'Base stats'!C:C)*1000)^-0.96),POWER(10,4.15*LOG10(_xlfn.XLOOKUP(B348,'Base stats'!B:B,'Base stats'!C:C)*1000)^-0.73))*IF(_xlfn.XLOOKUP(B348,'Base stats'!B:B,'Base stats'!AM:AM)=1,0.1,1)*_xlfn.XLOOKUP(B348,'Base stats'!B:B,'Base stats'!R:R)/100,IF(_xlfn.XLOOKUP(B348,'Base stats'!B:B,'Base stats'!AM:AM)=1,0.001,0.025)),0.5)))</f>
        <v>No</v>
      </c>
      <c r="CB348" s="25" t="str">
        <f>IF(_xlfn.XLOOKUP(_xlfn.XLOOKUP(B348,'Base stats'!B:B,'Base stats'!E:E),Groups!A:A,Groups!AJ:AJ)="Mammal","True","False")</f>
        <v>False</v>
      </c>
      <c r="CC348" s="25" t="str">
        <f>IF(OR(_xlfn.XLOOKUP(_xlfn.XLOOKUP(B348,'Base stats'!B:B,'Base stats'!E:E),Groups!A:A,Groups!AJ:AJ)="Reptile",_xlfn.XLOOKUP(_xlfn.XLOOKUP(B348,'Base stats'!B:B,'Base stats'!E:E),Groups!A:A,Groups!AJ:AJ)="Amphibian",_xlfn.XLOOKUP(_xlfn.XLOOKUP(B348,'Base stats'!B:B,'Base stats'!E:E),Groups!A:A,Groups!AJ:AJ)="Invertebrate"),"True","False")</f>
        <v>False</v>
      </c>
      <c r="CD348" s="25" t="str">
        <f t="shared" si="41"/>
        <v>False</v>
      </c>
      <c r="CE348" s="25" t="str">
        <f>IF(_xlfn.XLOOKUP(_xlfn.XLOOKUP(B348,'Base stats'!B:B,'Base stats'!E:E),Groups!A:A,Groups!AX:AX),"True","False")</f>
        <v>False</v>
      </c>
      <c r="CF348" s="25" t="str">
        <f>IF(_xlfn.XLOOKUP(_xlfn.XLOOKUP(B348,'Base stats'!B:B,'Base stats'!E:E),Groups!A:A,Groups!AY:AY),"True","False")</f>
        <v>False</v>
      </c>
      <c r="CG348" s="25" t="str">
        <f>IF(_xlfn.XLOOKUP(_xlfn.XLOOKUP(B348,'Base stats'!B:B,'Base stats'!E:E),Groups!A:A,Groups!AW:AW),"True","False")</f>
        <v>False</v>
      </c>
      <c r="CH348" s="25" t="str">
        <f>IF(
OR(
_xlfn.XLOOKUP(_xlfn.XLOOKUP(B348,'Base stats'!B:B,'Base stats'!E:E),Groups!A:A,Groups!AZ:AZ)=0,
AND(
_xlfn.XLOOKUP(B348,'Base stats'!B:B,'Base stats'!Y:Y)&lt;&gt;"Carnivore",
_xlfn.XLOOKUP(B348,'Base stats'!B:B,'Base stats'!Y:Y)&lt;&gt;"Omnivore",
_xlfn.XLOOKUP(B348,'Base stats'!B:B,'Base stats'!Y:Y)&lt;&gt;"OmnivoreRough"
)
),
"No",
IF(
_xlfn.XLOOKUP(_xlfn.XLOOKUP(B348,'Base stats'!B:B,'Base stats'!E:E),Groups!A:A,Groups!AZ:AZ)=1,
"Flesh",
IF(
_xlfn.XLOOKUP(_xlfn.XLOOKUP(B348,'Base stats'!B:B,'Base stats'!E:E),Groups!A:A,Groups!AZ:AZ)=2,
"Bone",
""
)
)
)</f>
        <v>No</v>
      </c>
      <c r="CI348" s="25" t="str">
        <f>IF(_xlfn.XLOOKUP(_xlfn.XLOOKUP(B348,'Base stats'!B:B,'Base stats'!E:E),Groups!A:A,Groups!BB:BB),"True","False")</f>
        <v>False</v>
      </c>
      <c r="CJ348" s="25" t="str">
        <f>IF(_xlfn.XLOOKUP(_xlfn.XLOOKUP(B348,'Base stats'!B:B,'Base stats'!E:E),Groups!A:A,Groups!BA:BA),"True","False")</f>
        <v>False</v>
      </c>
    </row>
    <row r="349" spans="1:88" ht="16.5" thickTop="1" thickBot="1" x14ac:dyDescent="0.3">
      <c r="A349" s="26" t="s">
        <v>1910</v>
      </c>
      <c r="B349" s="6" t="str">
        <f>_xlfn.XLOOKUP(A349,'Base stats'!A:A,'Base stats'!B:B)</f>
        <v>Allosaurus fragilis</v>
      </c>
      <c r="C349" s="28" t="s">
        <v>1912</v>
      </c>
      <c r="D349" s="28" t="s">
        <v>1898</v>
      </c>
      <c r="E349" s="28" t="s">
        <v>673</v>
      </c>
      <c r="F349" s="28" t="s">
        <v>673</v>
      </c>
      <c r="G349" s="28" t="s">
        <v>673</v>
      </c>
      <c r="H349" s="2">
        <f>MROUND((
  (IF(AND(_xlfn.XLOOKUP(B349,'Base stats'!B:B,'Base stats'!AL:AL)=0,BI349="None",_xlfn.XLOOKUP(_xlfn.XLOOKUP(B349,'Base stats'!B:B,'Base stats'!E:E),Groups!A:A,Groups!B:B)=0), (18 + BR349 * 2.7) * 0.5,
    IF(AND(_xlfn.XLOOKUP(B349,'Base stats'!B:B,'Base stats'!AL:AL)=0,OR(AO349&lt;0.55,AND(BI349="Intermediate",_xlfn.XLOOKUP(_xlfn.XLOOKUP(B349,'Base stats'!B:B,'Base stats'!E:E),Groups!A:A,Groups!B:B)&lt;2))), (18 + BR349 * 2.7),
      IF(OR(BI349="Advanced",_xlfn.XLOOKUP(B349,'Base stats'!B:B,'Base stats'!AL:AL)=1,_xlfn.XLOOKUP(_xlfn.XLOOKUP(B349,'Base stats'!B:B,'Base stats'!E:E),Groups!A:A,Groups!B:B)=2), (18 + BR349 * 2.7) + 250, (18 + BR349 * 2.7))
    )
  ))
  + AO349 * 80
  + IF(COUNTIF(EggMilk!K$2:K$998, A349) &gt; 0, 125, 0)
  + IF(COUNTIF(EggMilk!P$2:P$998, A349) &gt; 0, 90, 0)
  + IF(COUNTIF(EggMilk!A$2:A$998, A349) &gt; 0, 90, 0)
)
* (0.8 + 0.4 * J349)
* 0.75,25)</f>
        <v>1800</v>
      </c>
      <c r="I349" s="2">
        <f>MROUND(ROUNDDOWN(_xlfn.XLOOKUP(B349,'Base stats'!B:B,'Base stats'!L:L)/3.6/(23.3/11),1),0.5)</f>
        <v>4.5</v>
      </c>
      <c r="J349" s="2">
        <f>IF(OR(_xlfn.XLOOKUP(B349,'Base stats'!B:B,'Base stats'!AB:AB)=1,_xlfn.XLOOKUP(_xlfn.XLOOKUP(B349,'Base stats'!B:B,'Base stats'!E:E),Groups!A:A,Groups!C:C)="Untamable"),1,IF(_xlfn.XLOOKUP(B349,'Base stats'!B:B,'Base stats'!AL:AL)=1,0.99,MIN(MROUND((1-0.6282*EXP(-0.459*AO349))*_xlfn.XLOOKUP(_xlfn.XLOOKUP(B349,'Base stats'!B:B,'Base stats'!E:E),Groups!A:A,Groups!C:C)*IF(_xlfn.XLOOKUP(B349,'Base stats'!B:B,'Base stats'!O:O)=1,0.5,IF(_xlfn.XLOOKUP(B349,'Base stats'!B:B,'Base stats'!O:O)=2,0,1)),0.05),IF(AO349&gt;3.5,0.985,0.95))))</f>
        <v>0.9</v>
      </c>
      <c r="K349" s="2">
        <f>ROUNDUP(AO349*_xlfn.XLOOKUP(_xlfn.XLOOKUP(B349,'Base stats'!B:B,'Base stats'!E:E),Groups!A:A,Groups!E:E),0)</f>
        <v>5</v>
      </c>
      <c r="L349" s="2">
        <f>IF(OR(_xlfn.XLOOKUP(_xlfn.XLOOKUP(B349,'Base stats'!B:B,'Base stats'!E:E),Groups!A:A,Groups!F:F)=2,ISNUMBER(SEARCH("SeaIce",BX349)),ISNUMBER(SEARCH("IceSheet",BX349))),-50,IF(OR(ISNUMBER(SEARCH("GlacialPlain",BX349)),ISNUMBER(SEARCH("Tundra",BX349))),-40,IF(OR(ISNUMBER(SEARCH("Alpine",BX349)),ISNUMBER(SEARCH("BorealForest",BX349)),ISNUMBER(SEARCH("ColdBog",BX349))),-30,IF(OR(ISNUMBER(SEARCH("TemperateForest",BX349)),ISNUMBER(SEARCH("TemperateSwamp",BX349))),-20,IF(_xlfn.XLOOKUP(_xlfn.XLOOKUP(B349,'Base stats'!B:B,'Base stats'!E:E),Groups!A:A,Groups!F:F)=1,-15,IF(OR(ISNUMBER(SEARCH("Desert",BX349)),ISNUMBER(SEARCH("ExtremeDesert",BX349))),-10,IF(OR(ISNUMBER(SEARCH("Grasslands",BX349)),ISNUMBER(SEARCH("TropicalRainforest",BX349)),ISNUMBER(SEARCH("TropicalSwamp",BX349))),10,0)))))))-IF(CC349="False",MIN(IFERROR(MAX(MROUND(LOG10(_xlfn.XLOOKUP(B349,'Base stats'!B:B,'Base stats'!C:C)^(2/3))*10,5),5),5),30))-_xlfn.XLOOKUP(B349,'Base stats'!B:B,'Base stats'!P:P)+IF(CC349="True",5,0)</f>
        <v>-15</v>
      </c>
      <c r="M349" s="2">
        <f>IF(OR(_xlfn.XLOOKUP(_xlfn.XLOOKUP(B349,'Base stats'!B:B,'Base stats'!E:E),Groups!A:A,Groups!G:G)=2,ISNUMBER(SEARCH("Desert",BX349)),ISNUMBER(SEARCH("ExtremeDesert",BX349)),ISNUMBER(SEARCH("LavaField",BX349))),50,IF(ISNUMBER(SEARCH("Grasslands",BX349)),45,IF(OR(_xlfn.XLOOKUP(_xlfn.XLOOKUP(B349,'Base stats'!B:B,'Base stats'!E:E),Groups!A:A,Groups!G:G)=1,ISNUMBER(SEARCH("TropicalRainforest",BX349)),ISNUMBER(SEARCH("TropicalSwamp",BX349))),40,IF(OR(ISNUMBER(SEARCH("TemperateForest",BX349)),ISNUMBER(SEARCH("TemperateSwamp",BX349))),35,IF(OR(ISNUMBER(SEARCH("Alpine",BX349)),ISNUMBER(SEARCH("BorealForest",BX349)),ISNUMBER(SEARCH("ColdBog",BX349))),30,IF(ISNUMBER(OR(ISNUMBER(SEARCH("GlacialPlain",BX349)),SEARCH("Tundra",BX349))),25,IF(OR(ISNUMBER(SEARCH("SeaIce",BX349)),ISNUMBER(SEARCH("IceSheet",BX349)),ISNUMBER(SEARCH("TropicalSwamp",BX349))),10,35)))))))+_xlfn.XLOOKUP(B349,'Base stats'!B:B,'Base stats'!Q:Q)</f>
        <v>50</v>
      </c>
      <c r="N349" s="8" t="str">
        <f>IF(
_xlfn.XLOOKUP(
_xlfn.XLOOKUP(B349,'Base stats'!B:B,'Base stats'!E:E),
Groups!A:A,
Groups!L:L
)=1,
MIN(
MROUND(
IF(
_xlfn.XLOOKUP(B349,'Animals CE'!B:B,'Animals CE'!Z:Z)&lt;=1.5,
_xlfn.XLOOKUP(B349,'Animals CE'!B:B,'Animals CE'!Z:Z)/2+0.05,
0.8+
(_xlfn.XLOOKUP(B349,'Animals CE'!B:B,'Animals CE'!Z:Z)-1.5)
*0.02
),
0.05
),
200%
),
"No"
)</f>
        <v>No</v>
      </c>
      <c r="O349" s="8" t="str">
        <f>IF(
_xlfn.XLOOKUP(
_xlfn.XLOOKUP(B349,'Base stats'!B:B,'Base stats'!E:E),
Groups!A:A,
Groups!L:L
)=1,
MIN(
MROUND(
IF(
_xlfn.XLOOKUP(B349,'Animals CE'!B:B,'Animals CE'!AA:AA)&lt;=1.5,
_xlfn.XLOOKUP(B349,'Animals CE'!B:B,'Animals CE'!AA:AA)/2+0.05,
0.8+
(_xlfn.XLOOKUP(B349,'Animals CE'!B:B,'Animals CE'!AA:AA)-1.5)
*0.02
),
0.05
),
200%
),
"No"
)</f>
        <v>No</v>
      </c>
      <c r="P349" s="2" t="str">
        <f>_xlfn.XLOOKUP(B349,'Base stats'!B:B,'Base stats'!R:R)</f>
        <v>Standard</v>
      </c>
      <c r="Q349" s="13">
        <f>MROUND((LOG10(_xlfn.XLOOKUP(B349,'Base stats'!B:B,'Base stats'!AR:AR))*(AO349^0.5)+(_xlfn.XLOOKUP(B349,'Base stats'!B:B,'Base stats'!AR:AR)/1000)^(2/3)+_xlfn.XLOOKUP(B349,'Base stats'!B:B,'Base stats'!BA:BA)/2)+0.5,0.5)</f>
        <v>29</v>
      </c>
      <c r="R349" s="7">
        <f>IF(Q349="No","No",MAX(1,MROUND(_xlfn.XLOOKUP(B349,'Base stats'!B:B,'Base stats'!C:C)^0.165,0.05)))</f>
        <v>3.7</v>
      </c>
      <c r="S349" s="13" t="str">
        <f>IF(_xlfn.XLOOKUP(_xlfn.XLOOKUP(B349,'Base stats'!B:B,'Base stats'!E:E),Groups!A:A,Groups!P:P)=0,"No",MROUND((LOG10(_xlfn.XLOOKUP(B349,'Base stats'!B:B,'Base stats'!AS:AS))*(AO349^0.5)+(_xlfn.XLOOKUP(B349,'Base stats'!B:B,'Base stats'!AS:AS)/1000)^(2/3)+_xlfn.XLOOKUP(B349,'Base stats'!B:B,'Base stats'!BA:BA))+_xlfn.XLOOKUP(B349,'Base stats'!B:B,'Base stats'!AY:AY)+0.5,0.5))</f>
        <v>No</v>
      </c>
      <c r="T349" s="7" t="str">
        <f>IF(S349="No","No",MAX(_xlfn.XLOOKUP(_xlfn.XLOOKUP(B349,'Base stats'!B:B,'Base stats'!E:E),Groups!A:A,Groups!Q:Q),MROUND(_xlfn.XLOOKUP(_xlfn.XLOOKUP(B349,'Base stats'!B:B,'Base stats'!E:E),Groups!A:A,Groups!Q:Q)*_xlfn.XLOOKUP(B349,'Base stats'!B:B,'Base stats'!C:C)^0.165,0.05)))</f>
        <v>No</v>
      </c>
      <c r="U349" s="7" t="str">
        <f>IF(S349="No","No",_xlfn.XLOOKUP(_xlfn.XLOOKUP(B349,'Base stats'!B:B,'Base stats'!E:E),Groups!A:A,Groups!R:R))</f>
        <v>No</v>
      </c>
      <c r="V349" s="7" t="str">
        <f>IF(S349="No","No",_xlfn.XLOOKUP(_xlfn.XLOOKUP(B349,'Base stats'!B:B,'Base stats'!E:E),Groups!A:A,Groups!S:S))</f>
        <v>No</v>
      </c>
      <c r="W349" s="7" t="str">
        <f>IF(S349="No","No",_xlfn.XLOOKUP(_xlfn.XLOOKUP(B349,'Base stats'!B:B,'Base stats'!E:E),Groups!A:A,Groups!T:T))</f>
        <v>No</v>
      </c>
      <c r="X349" s="13" t="str">
        <f>IF(_xlfn.XLOOKUP(B349,'Base stats'!B:B,'Base stats'!W:W)="No","No",MROUND((LOG10(_xlfn.XLOOKUP(B349,'Base stats'!B:B,'Base stats'!AU:AU))*(AO349^0.5)+(_xlfn.XLOOKUP(B349,'Base stats'!B:B,'Base stats'!AU:AU)/1000)^(2/3)+_xlfn.XLOOKUP(B349,'Base stats'!B:B,'Base stats'!AZ:AZ))+0.5+IF(_xlfn.XLOOKUP(_xlfn.XLOOKUP(B349,'Base stats'!B:B,'Base stats'!E:E),Groups!A:A,Groups!U:U)&lt;&gt;3,_xlfn.XLOOKUP(B349,'Base stats'!B:B,'Base stats'!BA:BA),0),0.5))</f>
        <v>No</v>
      </c>
      <c r="Y349" s="7" t="str">
        <f>IF(X349="No","No",MAX(_xlfn.XLOOKUP(_xlfn.XLOOKUP(B349,'Base stats'!B:B,'Base stats'!E:E),Groups!A:A,Groups!V:V),MROUND(_xlfn.XLOOKUP(_xlfn.XLOOKUP(B349,'Base stats'!B:B,'Base stats'!E:E),Groups!A:A,Groups!V:V)*_xlfn.XLOOKUP(B349,'Base stats'!B:B,'Base stats'!C:C)^0.165,0.05)))</f>
        <v>No</v>
      </c>
      <c r="Z349" s="7" t="str">
        <f>IF(X349="No","No",_xlfn.XLOOKUP(_xlfn.XLOOKUP(B349,'Base stats'!B:B,'Base stats'!E:E),Groups!A:A,Groups!W:W))</f>
        <v>No</v>
      </c>
      <c r="AA349" s="7" t="str">
        <f>IF(X349="No","No",_xlfn.XLOOKUP(_xlfn.XLOOKUP(B349,'Base stats'!B:B,'Base stats'!E:E),Groups!A:A,Groups!X:X))</f>
        <v>No</v>
      </c>
      <c r="AB349" s="7" t="str">
        <f>IF(X349="No","No",_xlfn.XLOOKUP(_xlfn.XLOOKUP(B349,'Base stats'!B:B,'Base stats'!E:E),Groups!A:A,Groups!Y:Y))</f>
        <v>No</v>
      </c>
      <c r="AC349" s="7" t="str">
        <f>_xlfn.XLOOKUP(Animals!B349,'Base stats'!B:B,'Base stats'!X:X)</f>
        <v>False</v>
      </c>
      <c r="AD349" s="13">
        <f>IF(_xlfn.XLOOKUP(B349,'Base stats'!B:B,'Base stats'!AT:AT)="No","No",MROUND((LOG10(_xlfn.XLOOKUP(B349,'Base stats'!B:B,'Base stats'!AT:AT))*(AO349^0.75)+(_xlfn.XLOOKUP(B349,'Base stats'!B:B,'Base stats'!AT:AT)/1000)^(2/3)+_xlfn.XLOOKUP(B349,'Base stats'!B:B,'Base stats'!AX:AX)+_xlfn.XLOOKUP(B349,'Base stats'!B:B,'Base stats'!BA:BA))+0.5,0.5))</f>
        <v>37</v>
      </c>
      <c r="AE349" s="7">
        <f>IF(AD349="No","No",MAX(_xlfn.XLOOKUP(_xlfn.XLOOKUP(B349,'Base stats'!B:B,'Base stats'!E:E),Groups!A:A,Groups!Z:Z),MROUND(_xlfn.XLOOKUP(_xlfn.XLOOKUP(B349,'Base stats'!B:B,'Base stats'!E:E),Groups!A:A,Groups!Z:Z)*_xlfn.XLOOKUP(B349,'Base stats'!B:B,'Base stats'!C:C)^0.165,0.05)))</f>
        <v>2.75</v>
      </c>
      <c r="AF349" s="7" t="str">
        <f>IF(AD349="No","No",_xlfn.XLOOKUP(_xlfn.XLOOKUP(B349,'Base stats'!B:B,'Base stats'!E:E),Groups!A:A,Groups!AA:AA))</f>
        <v>Teeth</v>
      </c>
      <c r="AG349" s="7" t="str">
        <f>IF(AD349="No","No",_xlfn.XLOOKUP(_xlfn.XLOOKUP(B349,'Base stats'!B:B,'Base stats'!E:E),Groups!A:A,Groups!AB:AB))</f>
        <v>teeth</v>
      </c>
      <c r="AH349" s="7" t="str">
        <f>IF(AD349="No","No",_xlfn.XLOOKUP(_xlfn.XLOOKUP(B349,'Base stats'!B:B,'Base stats'!E:E),Groups!A:A,Groups!AC:AC))</f>
        <v>Bite</v>
      </c>
      <c r="AI349" s="13">
        <f>IF(_xlfn.XLOOKUP(_xlfn.XLOOKUP(B349,'Base stats'!B:B,'Base stats'!E:E),Groups!A:A,Groups!AD:AD)=0,"No",MROUND((LOG10(_xlfn.XLOOKUP(B349,'Base stats'!B:B,'Base stats'!AS:AS))*(AO349^0.75)+(_xlfn.XLOOKUP(B349,'Base stats'!B:B,'Base stats'!AS:AS)/1000)^(2/3)+_xlfn.XLOOKUP(B349,'Base stats'!B:B,'Base stats'!AY:AY)+_xlfn.XLOOKUP(B349,'Base stats'!B:B,'Base stats'!BA:BA))+0.5,0.5))</f>
        <v>42.5</v>
      </c>
      <c r="AJ349" s="7">
        <f>IF(AI349="No","No",MAX(_xlfn.XLOOKUP(_xlfn.XLOOKUP(B349,'Base stats'!B:B,'Base stats'!E:E),Groups!A:A,Groups!AE:AE),MROUND(_xlfn.XLOOKUP(_xlfn.XLOOKUP(B349,'Base stats'!B:B,'Base stats'!E:E),Groups!A:A,Groups!AE:AE)*IF(_xlfn.XLOOKUP(_xlfn.XLOOKUP(B349,'Base stats'!B:B,'Base stats'!E:E),Groups!A:A,Groups!AJ:AJ)="Photonozoa",0.6,1)*_xlfn.XLOOKUP(B349,'Base stats'!B:B,'Base stats'!C:C)^0.165,0.05)))</f>
        <v>2.75</v>
      </c>
      <c r="AK349" s="7" t="str">
        <f>IF(AI349="No","No",_xlfn.XLOOKUP(_xlfn.XLOOKUP(B349,'Base stats'!B:B,'Base stats'!E:E),Groups!A:A,Groups!AF:AF))</f>
        <v>FrontLeftClaws, FrontRightClaws</v>
      </c>
      <c r="AL349" s="7" t="str">
        <f>IF(AI349="No","No",_xlfn.XLOOKUP(_xlfn.XLOOKUP(B349,'Base stats'!B:B,'Base stats'!E:E),Groups!A:A,Groups!AG:AG))</f>
        <v>left claw, right claw</v>
      </c>
      <c r="AM349" s="7" t="str">
        <f>IF(AI349="No","No",_xlfn.XLOOKUP(_xlfn.XLOOKUP(B349,'Base stats'!B:B,'Base stats'!E:E),Groups!A:A,Groups!AH:AH))</f>
        <v>Scratch</v>
      </c>
      <c r="AN349" s="2">
        <f t="shared" si="35"/>
        <v>35</v>
      </c>
      <c r="AO349" s="2">
        <f>MROUND(IF(AND(_xlfn.XLOOKUP(B349,'Base stats'!B:B,'Base stats'!C:C)&gt;=0.5,_xlfn.XLOOKUP(B349,'Base stats'!B:B,'Base stats'!C:C)&lt;=0.8),
IF(_xlfn.XLOOKUP(B349,'Base stats'!B:B,'Base stats'!C:C)&lt;0.1,0.05,IF(_xlfn.XLOOKUP(B349,'Base stats'!B:B,'Base stats'!C:C)&lt;=70,(_xlfn.XLOOKUP(B349,'Base stats'!B:B,'Base stats'!C:C)/70)^0.426489913056526,IF(_xlfn.XLOOKUP(B349,'Base stats'!B:B,'Base stats'!C:C)&lt;=400,(_xlfn.XLOOKUP(B349,'Base stats'!B:B,'Base stats'!C:C)/70)^0.572811455315093,IF(_xlfn.XLOOKUP(B349,'Base stats'!B:B,'Base stats'!C:C)&lt;=2000,2.71391647193063*(_xlfn.XLOOKUP(B349,'Base stats'!B:B,'Base stats'!C:C)/400)^0.252459582904293,3.74314280240376*(_xlfn.XLOOKUP(B349,'Base stats'!B:B,'Base stats'!C:C)/2000)^0.357012633876913)))),
IF(_xlfn.XLOOKUP(B349,'Base stats'!B:B,'Base stats'!C:C)&lt;0.1,0.05,IF(_xlfn.XLOOKUP(B349,'Base stats'!B:B,'Base stats'!C:C)&lt;0.4,0.1,IF(_xlfn.XLOOKUP(B349,'Base stats'!B:B,'Base stats'!C:C)&lt;=70,(_xlfn.XLOOKUP(B349,'Base stats'!B:B,'Base stats'!C:C)/70)^0.445823913056526,IF(_xlfn.XLOOKUP(B349,'Base stats'!B:B,'Base stats'!C:C)&lt;=400,(_xlfn.XLOOKUP(B349,'Base stats'!B:B,'Base stats'!C:C)/70)^0.572811455315093,IF(_xlfn.XLOOKUP(B349,'Base stats'!B:B,'Base stats'!C:C)&lt;=2000,2.71391647193063*(_xlfn.XLOOKUP(B349,'Base stats'!B:B,'Base stats'!C:C)/400)^0.252459582904293,3.74314280240376*(_xlfn.XLOOKUP(B349,'Base stats'!B:B,'Base stats'!C:C)/2000)^0.357012633876913)))))),
IF(_xlfn.XLOOKUP(B349,'Base stats'!B:B,'Base stats'!C:C)&lt;0.1,0.05,IF(_xlfn.XLOOKUP(B349,'Base stats'!B:B,'Base stats'!C:C)&lt;=100,0.05,IF(_xlfn.XLOOKUP(B349,'Base stats'!B:B,'Base stats'!C:C)&lt;=250,0.1,IF(_xlfn.XLOOKUP(B349,'Base stats'!B:B,'Base stats'!C:C)&lt;=4000,0.25,0.5)))))</f>
        <v>4.25</v>
      </c>
      <c r="AP349" s="8">
        <f>MROUND(AO349*_xlfn.XLOOKUP(_xlfn.XLOOKUP(B349,'Base stats'!B:B,'Base stats'!E:E),Groups!A:A,Groups!AI:AI)*_xlfn.XLOOKUP(B349,'Base stats'!B:B,'Base stats'!Z:Z),0.05)</f>
        <v>5.1000000000000005</v>
      </c>
      <c r="AQ349" s="8">
        <f>MAX(0.01,MROUND(IF(CC349="True",0.196*(AO349*100*1000)^0.889,IF(_xlfn.XLOOKUP(_xlfn.XLOOKUP(B349,'Base stats'!B:B,'Base stats'!E:E),Groups!A:A,Groups!AJ:AJ)="Bird",10.5*(AO349*100*1000)^0.681,4.82*(AO349*100*1000)^0.734))/(4.82*(1*100*1000)^0.734)/IF(AO349&lt;3.5,2,IF(AO349=3.5,1.5,1.25))*(1+0.132282374779864/(AO349^0.994035016789033+0.00905238001496948)),0.05))</f>
        <v>2.6</v>
      </c>
      <c r="AR349" s="9">
        <f>IFERROR(MROUND(_xlfn.XLOOKUP(B349,'Base stats'!B:B,'Base stats'!H:H)/IF(_xlfn.XLOOKUP(B349,'Base stats'!B:B,'Base stats'!I:I)&lt;&gt;1,(122.5/70),1.2),IF(_xlfn.XLOOKUP(B349,'Base stats'!B:B,'Base stats'!H:H)&gt;=30,5,IF(_xlfn.XLOOKUP(B349,'Base stats'!B:B,'Base stats'!H:H)&gt;=15,3,IF(_xlfn.XLOOKUP(B349,'Base stats'!B:B,'Base stats'!H:H)&gt;=10,2,1)))),"Immortal")</f>
        <v>21</v>
      </c>
      <c r="AS349" s="35" t="str">
        <f>IFERROR(IF(OR(_xlfn.XLOOKUP(B349,'Base stats'!B:B,'Base stats'!F:F)="Atypical reproduction",_xlfn.XLOOKUP(B349,'Base stats'!B:B,'Base stats'!F:F)="Lay eggs"),"Lay eggs",MIN(20,MAX(5.5,ROUND(((_xlfn.XLOOKUP(B349,'Base stats'!B:B,'Base stats'!F:F)-25)*(14.5/615) + 5.5)*2,0)/2))),"Unknown")</f>
        <v>Lay eggs</v>
      </c>
      <c r="AT349" s="8">
        <f>IF(_xlfn.XLOOKUP(B349,'Base stats'!B:B,'Base stats'!G:G)="Atypical reproduction","No",IFERROR(MAX(IF(_xlfn.XLOOKUP(B349,'Base stats'!B:B,'Base stats'!G:G)&lt;0.5,0.2,0.3),MROUND(_xlfn.XLOOKUP(B349,'Base stats'!B:B,'Base stats'!G:G)/(365/60),0.2)),"Unknown"))</f>
        <v>1.6</v>
      </c>
      <c r="AU349" s="8">
        <f t="shared" si="36"/>
        <v>0.8</v>
      </c>
      <c r="AV349" s="8" t="str">
        <f>IFERROR(IFERROR(MROUND(_xlfn.XLOOKUP(B349,'Base stats'!B:B,'Base stats'!J:J),0.1),"Lay eggs"),"Cannot breed")</f>
        <v>Lay eggs</v>
      </c>
      <c r="AW349" s="2" t="str">
        <f t="shared" si="37"/>
        <v>false</v>
      </c>
      <c r="AX349" s="2" t="str">
        <f>IF(_xlfn.XLOOKUP(_xlfn.XLOOKUP(Animals!B349,'Base stats'!B:B,'Base stats'!E:E),Groups!A:A,Groups!AK:AK)=1,"true","false")</f>
        <v>false</v>
      </c>
      <c r="AY349" s="25" t="str">
        <f>IF(_xlfn.XLOOKUP(B349,'Base stats'!B:B,'Base stats'!Y:Y)="Liquor","Liquor, CarnivoreAnimalStrict",IF(AND(_xlfn.XLOOKUP(B349,'Base stats'!B:B,'Base stats'!Y:Y)="Carnivore",_xlfn.XLOOKUP(_xlfn.XLOOKUP(B349,'Base stats'!B:B,'Base stats'!E:E),Groups!A:A,Groups!AJ:AJ)="Photonozoa"),"CarnivoreAnimalStrict, OvivoreAnimal",IF(_xlfn.XLOOKUP(B349,'Base stats'!B:B,'Base stats'!Y:Y)="Carnivore","CarnivoreAnimal, OvivoreAnimal",IF(_xlfn.XLOOKUP(B349,'Base stats'!B:B,'Base stats'!Y:Y)="Dendrovore","VegetarianRoughAnimal, DendrovoreAnimal",IF(_xlfn.XLOOKUP(B349,'Base stats'!B:B,'Base stats'!Y:Y)="Herbivore","VegetarianRoughAnimal",IF(_xlfn.XLOOKUP(B349,'Base stats'!B:B,'Base stats'!Y:Y)="OmnivoreRough","OmnivoreRoughAnimal, OvivoreAnimal","OmnivoreAnimal, OvivoreAnimal"))))))</f>
        <v>CarnivoreAnimal, OvivoreAnimal</v>
      </c>
      <c r="AZ349" s="2" t="str">
        <f>IF(_xlfn.XLOOKUP(_xlfn.XLOOKUP(B349,'Base stats'!B:B,'Base stats'!E:E),Groups!A:A,Groups!D:D)=1,MROUND((1-J349)*5+1,2)*IF(J349&lt;=0.4,2,1),"No")</f>
        <v>No</v>
      </c>
      <c r="BA349" s="2" t="str">
        <f>IF(AND(_xlfn.XLOOKUP(B349,'Base stats'!B:B,'Base stats'!AH:AH)="&lt;li&gt;Seal&lt;/li&gt;",G349="Odyssey"),"&lt;li&gt;AEXP_Seal&lt;/li&gt;",_xlfn.XLOOKUP(B349,'Base stats'!B:B,'Base stats'!AH:AH))</f>
        <v>No</v>
      </c>
      <c r="BB349" s="2" t="str">
        <f>_xlfn.XLOOKUP(B349,'Base stats'!B:B,'Base stats'!AG:AG)</f>
        <v>Leather_Theropod</v>
      </c>
      <c r="BC349" s="23" t="str">
        <f>_xlfn.XLOOKUP(_xlfn.XLOOKUP(B349,'Base stats'!B:B,'Base stats'!E:E),Groups!A:A,Groups!AL:AL)</f>
        <v>Theropod</v>
      </c>
      <c r="BD349" s="23">
        <f>MIN(1,MROUND(IF(AND(AO349&lt;0.5,_xlfn.XLOOKUP(B349,'Base stats'!B:B,'Base stats'!AA:AA)=0),0,IF(OR(_xlfn.XLOOKUP(Animals!B349,'Base stats'!B:B,'Base stats'!O:O)=2,_xlfn.XLOOKUP(_xlfn.XLOOKUP(B349,'Base stats'!B:B,'Base stats'!E:E),Groups!A:A,Groups!AN:AN)=0),0,_xlfn.XLOOKUP(_xlfn.XLOOKUP(B349,'Base stats'!B:B,'Base stats'!E:E),Groups!A:A,Groups!AN:AN)/IF(_xlfn.XLOOKUP(Animals!B349,'Base stats'!B:B,'Base stats'!O:O)=1,2,1)))+_xlfn.XLOOKUP(B349,'Base stats'!B:B,'Base stats'!AC:AC),0.005))</f>
        <v>0.1</v>
      </c>
      <c r="BE349" s="23">
        <f>MIN(1,MROUND(IF(AND(AO349&lt;0.5,_xlfn.XLOOKUP(B349,'Base stats'!B:B,'Base stats'!AA:AA)=0),0,IF(_xlfn.XLOOKUP(_xlfn.XLOOKUP(B349,'Base stats'!B:B,'Base stats'!E:E),Groups!A:A,Groups!AO:AO)=0,0,_xlfn.XLOOKUP(_xlfn.XLOOKUP(B349,'Base stats'!B:B,'Base stats'!E:E),Groups!A:A,Groups!AO:AO)/IF(_xlfn.XLOOKUP(Animals!B349,'Base stats'!B:B,'Base stats'!O:O)=2,3,1)))+_xlfn.XLOOKUP(B349,'Base stats'!B:B,'Base stats'!AD:AD),0.005))</f>
        <v>0.3</v>
      </c>
      <c r="BF349" s="2" t="str">
        <f>IF(J349&gt;0.3,"No",_xlfn.XLOOKUP(_xlfn.XLOOKUP(Animals!B349,'Base stats'!B:B,'Base stats'!E:E),Groups!A:A,Groups!AP:AP))</f>
        <v>No</v>
      </c>
      <c r="BG349" s="2" t="str">
        <f>IF(AND(J349&lt;=0.65,_xlfn.XLOOKUP(_xlfn.XLOOKUP(Animals!B349,'Base stats'!B:B,'Base stats'!E:E),Groups!A:A,Groups!AP:AP)&lt;&gt;"No",_xlfn.XLOOKUP(_xlfn.XLOOKUP(B349,'Base stats'!B:B,'Base stats'!E:E),Groups!A:A,Groups!D:D)=0),MROUND((80/3)*IF(_xlfn.XLOOKUP(B349,'Base stats'!B:B,'Base stats'!O:O)=2,0.2,AO349) + 24*(1-IF(BF349="No",0,BF349)) + 16/3, 12),"No")</f>
        <v>No</v>
      </c>
      <c r="BH349" s="2">
        <f>IF(AND(_xlfn.XLOOKUP(_xlfn.XLOOKUP(B349,'Base stats'!B:B,'Base stats'!E:E),Groups!A:A,Groups!AQ:AQ)=1,AO349&lt;=0.35),8,12)</f>
        <v>12</v>
      </c>
      <c r="BI349" s="2" t="str">
        <f>IF(_xlfn.XLOOKUP(_xlfn.XLOOKUP(B349,'Base stats'!B:B,'Base stats'!E:E),Groups!A:A,Groups!D:D)=0,_xlfn.XLOOKUP(_xlfn.XLOOKUP(B349,'Base stats'!B:B,'Base stats'!E:E),Groups!A:A,Groups!AR:AR),"None")</f>
        <v>Intermediate</v>
      </c>
      <c r="BJ349" s="2" t="str">
        <f>IF(AND(_xlfn.XLOOKUP(_xlfn.XLOOKUP(B349,'Base stats'!B:B,'Base stats'!E:E),Groups!A:A,Groups!AS:AS)=1,OR(_xlfn.XLOOKUP(B349,'Base stats'!B:B,'Base stats'!Y:Y)="Carnivore",_xlfn.XLOOKUP(B349,'Base stats'!B:B,'Base stats'!Y:Y)="Omnivore")),"true","false")</f>
        <v>true</v>
      </c>
      <c r="BK349" s="2">
        <f>IF(BJ349="true",MROUND(IF(AND(AO349&gt;0.5,OR(_xlfn.XLOOKUP(_xlfn.XLOOKUP(B349,'Base stats'!B:B,'Base stats'!E:E),Groups!A:A,Groups!AJ:AJ)="Photonozoa",_xlfn.XLOOKUP(_xlfn.XLOOKUP(B349,'Base stats'!B:B,'Base stats'!E:E),Groups!A:A,Groups!AJ:AJ)="Mammal")),Animals!AO349*1.75*IF(AW349="true",1.5,1),IF(AO349&lt;0.5,Animals!AO349*0.5,Animals!AO349)),IF(AO349&gt;2,0.5,IF(AO349&gt;0.5,0.25,0.1))),"No")</f>
        <v>4.5</v>
      </c>
      <c r="BL349" s="2">
        <f t="shared" si="38"/>
        <v>1</v>
      </c>
      <c r="BM349" s="25" t="str">
        <f>IF(_xlfn.XLOOKUP(B349,'Base stats'!B:B,'Base stats'!AN:AN)="Standard","No",MROUND((_xlfn.XLOOKUP(B349,'Base stats'!B:B,'Base stats'!AN:AN)/3.6)/I349,0.1))</f>
        <v>No</v>
      </c>
      <c r="BN349" s="25" t="str">
        <f t="shared" si="39"/>
        <v>false</v>
      </c>
      <c r="BO349" s="25" t="str">
        <f>IF(AND(OR(_xlfn.XLOOKUP(B349,'Base stats'!B:B,'Base stats'!Y:Y)="Carnivore",_xlfn.XLOOKUP(B349,'Base stats'!B:B,'Base stats'!Y:Y)="Omnivore",_xlfn.XLOOKUP(B349,'Base stats'!B:B,'Base stats'!Y:Y)="OmnivoreRough"),_xlfn.XLOOKUP(_xlfn.XLOOKUP(B349,'Base stats'!B:B,'Base stats'!E:E),Groups!A:A,Groups!AT:AT)=1),"true","false")</f>
        <v>false</v>
      </c>
      <c r="BP349" s="25" t="str" cm="1">
        <f t="array" ref="BP349">IF(
  _xlfn.TEXTJOIN(", ",TRUE,
    IF(AND(BJ349="true",AO349&gt;0.5,BI349&lt;&gt;"None"),"AttackTarget",""),
    IF(AND(_xlfn.XLOOKUP(_xlfn.XLOOKUP(B349,'Base stats'!B:B,'Base stats'!E:E),Groups!A:A,Groups!AJ:AJ="Mammal"),OR(_xlfn.XLOOKUP(B349,'Base stats'!B:B,'Base stats'!Y:Y)="Omnivore",_xlfn.XLOOKUP(B349,'Base stats'!B:B,'Base stats'!Y:Y)="OmnivoreRough")),"Forage",""),
    IF(BG349&lt;=36,"Comfort",""),
    IF(_xlfn.XLOOKUP(B349,'Base stats'!B:B,'Base stats'!AE:AE)&lt;&gt;"No",_xlfn.XLOOKUP(B349,'Base stats'!B:B,'Base stats'!AE:AE),"")
  ) = "",
  "No",
  _xlfn.TEXTJOIN(", ",TRUE,
    IF(AND(BJ349="true",AO349&gt;0.5,BI349&lt;&gt;"None"),"AttackTarget",""),
    IF(AND(_xlfn.XLOOKUP(_xlfn.XLOOKUP(B349,'Base stats'!B:B,'Base stats'!E:E),Groups!A:A,Groups!AJ:AJ="Mammal"),OR(_xlfn.XLOOKUP(B349,'Base stats'!B:B,'Base stats'!Y:Y)="Omnivore",_xlfn.XLOOKUP(B349,'Base stats'!B:B,'Base stats'!Y:Y)="OmnivoreRough")),"Forage",""),
    IF(BG349&lt;=36,"Comfort",""),
    IF(_xlfn.XLOOKUP(B349,'Base stats'!B:B,'Base stats'!AE:AE)&lt;&gt;"No",_xlfn.XLOOKUP(B349,'Base stats'!B:B,'Base stats'!AE:AE),"")
  )
)</f>
        <v>AttackTarget</v>
      </c>
      <c r="BQ349" s="25" t="str">
        <f>IF(
   AND(
      'Base stats'!AN349="Standard",_xlfn.XLOOKUP(_xlfn.XLOOKUP(B349,'Base stats'!B:B,'Base stats'!E:E),Groups!A:A,Groups!AU:AU)=0,
      OR(
      BO349="True"
      )
   ),
   10,
   IF(
       OR(BM349&lt;&gt;"No",_xlfn.XLOOKUP(_xlfn.XLOOKUP(B349,'Base stats'!B:B,'Base stats'!E:E),Groups!A:A,Groups!AU:AU)=1),
      1,
      "No"
   )
)</f>
        <v>No</v>
      </c>
      <c r="BR349" s="9">
        <f>MROUND((1 + ((0.2*IF(OR(Q349="No",R349="No",R349=0),0,Q349/R349)
+IF(OR(V349="No",S349="No",T349="No"),0,S349/T349*(LEN(V349)-LEN(SUBSTITUTE(V349,",",""))+1))
+IF(OR(X349="No",Y349="No"),0,X349/Y349)
+IF(OR(AD349="No",AE349="No"),0,AD349/AE349)
+IF(OR(AL349="No",AI349="No",AJ349="No"),0,AI349/AJ349*(LEN(AL349)-LEN(SUBSTITUTE(AL349,",",""))+1))
)/(0.2*IF(OR(Q349="No",R349="No",R349=0),0,1)
+IF(OR(V349="No",S349="No",T349="No"),0,LEN(V349)-LEN(SUBSTITUTE(V349,",",""))+1)
+IF(OR(X349="No",Y349="No"),0,1)
+IF(OR(AD349="No",AE349="No"),0,1)
+IF(OR(AL349="No",AI349="No",AJ349="No"),0,LEN(AL349)-LEN(SUBSTITUTE(AL349,",",""))+1))*62%)* 2)*(1 + (AP349 / (IF(_xlfn.XLOOKUP(_xlfn.XLOOKUP(B349,'Base stats'!B:B,'Base stats'!E:E),Groups!A:A,Groups!AJ:AJ)="Photonozoa",0.3,1)) + _xlfn.XLOOKUP(B349,'Base stats'!B:B,'Base stats'!AV:AV) * 1.8) * 2) * 2.5 + 10 + I349 * 2,5)+IF(_xlfn.XLOOKUP(B349,'Base stats'!B:B,'Base stats'!AK:AK)=1,50,0)</f>
        <v>545</v>
      </c>
      <c r="BS349" s="8">
        <f t="shared" si="40"/>
        <v>2.95</v>
      </c>
      <c r="BT349" s="8" t="str">
        <f>_xlfn.XLOOKUP(B349,'Base stats'!B:B,'Base stats'!AF:AF)</f>
        <v>No</v>
      </c>
      <c r="BU349" s="2" t="str">
        <f>IF(AND(J349&lt;=0.95,OR(_xlfn.XLOOKUP(B349,'Base stats'!B:B,'Base stats'!AK:AK)=1,_xlfn.XLOOKUP(B349,'Base stats'!B:B,'Base stats'!Y:Y)="Carnivore",_xlfn.XLOOKUP(B349,'Base stats'!B:B,'Base stats'!Y:Y)="Omnivore",BE349&gt;0.1)),"true","false")</f>
        <v>true</v>
      </c>
      <c r="BV349" s="2" t="str">
        <f>IF(_xlfn.XLOOKUP(B349,'Base stats'!B:B,'Base stats'!AI:AI)=1,"true","false")</f>
        <v>false</v>
      </c>
      <c r="BW349" s="25" t="str">
        <f>IF(E349="BaseInsect","AnimalInsect",
IF(J349&gt;0.95,"AnimalExotic",
_xlfn.TEXTJOIN(", ",TRUE,
IF(OR(_xlfn.XLOOKUP(B349,'Base stats'!B:B,'Base stats'!AM:AM)=1,AND(_xlfn.XLOOKUP(B349,'Base stats'!B:B,'Base stats'!O:O)=0,_xlfn.XLOOKUP(_xlfn.XLOOKUP(B349,'Base stats'!B:B,'Base stats'!E:E),Groups!A:A,Groups!B:B)&gt;0)),"AnimalUncommon","AnimalCommon"),
IF(AND(_xlfn.XLOOKUP(B349,'Base stats'!B:B,'Base stats'!O:O)=2,_xlfn.XLOOKUP(_xlfn.XLOOKUP(B349,'Base stats'!B:B,'Base stats'!E:E),Groups!A:A,Groups!D:D)=0),"AnimalPet",IF(AND(_xlfn.XLOOKUP(B349,'Base stats'!B:B,'Base stats'!O:O)&lt;&gt;0,_xlfn.XLOOKUP(_xlfn.XLOOKUP(B349,'Base stats'!B:B,'Base stats'!E:E),Groups!A:A,Groups!D:D)&lt;&gt;0),"AnimalFarm","")),
IF(OR(_xlfn.XLOOKUP(B349,'Base stats'!B:B,'Base stats'!AK:AK)=1,AND(BI349&lt;&gt;"None",BR349&gt;=60),ISNUMBER(SEARCH("Attack target",BP349))),"AnimalFighter","")
)))</f>
        <v>AnimalUncommon, AnimalFighter</v>
      </c>
      <c r="BX349" s="25" t="str">
        <f>IF(G349="None",TRIM(
SUBSTITUTE(
IF(COUNTIF(Biomes!B$2:B$259,"="&amp;$C349)&gt;0,Biomes!B$1&amp;", ","")&amp;
IF(COUNTIF(Biomes!C$2:C$259,"="&amp;$C349)&gt;0,Biomes!C$1&amp;", ","")&amp;
IF(COUNTIF(Biomes!D$2:D$259,"="&amp;$C349)&gt;0,Biomes!D$1&amp;", ","")&amp;
IF(COUNTIF(Biomes!F$2:F$259,"="&amp;$C349)&gt;0,Biomes!F$1&amp;", ","")&amp;
IF(COUNTIF(Biomes!G$2:G$259,"="&amp;$C349)&gt;0,Biomes!G$1&amp;", ","")&amp;
IF(COUNTIF(Biomes!H$2:H$259,"="&amp;$C349)&gt;0,Biomes!H$1&amp;", ","")&amp;
IF(COUNTIF(Biomes!I$2:I$259,"="&amp;$C349)&gt;0,Biomes!I$1&amp;", ","")&amp;
IF(COUNTIF(Biomes!J$2:J$259,"="&amp;$C349)&gt;0,Biomes!J$1&amp;", ","")&amp;
IF(COUNTIF(Biomes!M$2:M$259,"="&amp;$C349)&gt;0,Biomes!M$1&amp;", ","")&amp;
IF(COUNTIF(Biomes!N$2:N$259,"="&amp;$C349)&gt;0,Biomes!N$1&amp;", ","")&amp;
IF(COUNTIF(Biomes!O$2:O$259,"="&amp;$C349)&gt;0,Biomes!O$1&amp;", ","")&amp;
IF(COUNTIF(Biomes!P$2:P$259,"="&amp;$C349)&gt;0,Biomes!P$1&amp;", ","")&amp;
IF(COUNTIF(Biomes!K$2:K$259,"="&amp;$C349)&gt;0,Biomes!K$1&amp;", ","")&amp;
IF(COUNTIF(Biomes!Q$3:Q$259,"="&amp;$C349)&gt;0,Biomes!Q$1&amp;", ","")&amp;
IF(COUNTIF(Biomes!L$2:L$259,"="&amp;$C349)&gt;0,Biomes!L$1&amp;", ","")&amp;
IF(COUNTIF(Biomes!E$2:E$259,"="&amp;$C349)&gt;0,Biomes!E$1&amp;", ","")&amp;IF(COUNTIF(Biomes!S$2:S$259,"="&amp;$C349)&gt;0,Biomes!S$1&amp;", ","")&amp;
IF(COUNTIF(Biomes!R$2:R$259,"="&amp;$C349)&gt;0,Biomes!R$1&amp;", ",""),", ","")
),_xlfn.XLOOKUP(B349,B:B,BX:BX))</f>
        <v>AridShrubland Grasslands LavaField</v>
      </c>
      <c r="BY349" s="25" t="str">
        <f>IF(_xlfn.XLOOKUP(B349,'Base stats'!B:B,'Base stats'!AJ:AJ)=1,"true","false")</f>
        <v>false</v>
      </c>
      <c r="BZ349" s="25">
        <f>IF(_xlfn.XLOOKUP(B349,'Base stats'!B:B,'Base stats'!N:N)=1,"No",MAX(0.001,MIN(MROUND(IF(AND(BJ349="True",CC349="False"),POWER(10,3.47*LOG10(_xlfn.XLOOKUP(B349,'Base stats'!B:B,'Base stats'!C:C)*1000)^-0.96),POWER(10,4.15*LOG10(_xlfn.XLOOKUP(B349,'Base stats'!B:B,'Base stats'!C:C)*1000)^-0.73))*IF(_xlfn.XLOOKUP(B349,'Base stats'!B:B,'Base stats'!AK:AK)=1,0.5,1)*IF(_xlfn.XLOOKUP(B349,'Base stats'!B:B,'Base stats'!AM:AM)=1,0.1,1)/100,IF(_xlfn.XLOOKUP(B349,'Base stats'!B:B,'Base stats'!AM:AM)=1,0.001,0.025)),0.5)))</f>
        <v>0.05</v>
      </c>
      <c r="CA349" s="25" t="str">
        <f>IF(P349="Standard","No",MAX(0.001,MIN(MROUND(IF(AND(BJ349="True",CC349="False"),POWER(10,3.47*LOG10(_xlfn.XLOOKUP(B349,'Base stats'!B:B,'Base stats'!C:C)*1000)^-0.96),POWER(10,4.15*LOG10(_xlfn.XLOOKUP(B349,'Base stats'!B:B,'Base stats'!C:C)*1000)^-0.73))*IF(_xlfn.XLOOKUP(B349,'Base stats'!B:B,'Base stats'!AM:AM)=1,0.1,1)*_xlfn.XLOOKUP(B349,'Base stats'!B:B,'Base stats'!R:R)/100,IF(_xlfn.XLOOKUP(B349,'Base stats'!B:B,'Base stats'!AM:AM)=1,0.001,0.025)),0.5)))</f>
        <v>No</v>
      </c>
      <c r="CB349" s="25" t="str">
        <f>IF(_xlfn.XLOOKUP(_xlfn.XLOOKUP(B349,'Base stats'!B:B,'Base stats'!E:E),Groups!A:A,Groups!AJ:AJ)="Mammal","True","False")</f>
        <v>False</v>
      </c>
      <c r="CC349" s="25" t="str">
        <f>IF(OR(_xlfn.XLOOKUP(_xlfn.XLOOKUP(B349,'Base stats'!B:B,'Base stats'!E:E),Groups!A:A,Groups!AJ:AJ)="Reptile",_xlfn.XLOOKUP(_xlfn.XLOOKUP(B349,'Base stats'!B:B,'Base stats'!E:E),Groups!A:A,Groups!AJ:AJ)="Amphibian",_xlfn.XLOOKUP(_xlfn.XLOOKUP(B349,'Base stats'!B:B,'Base stats'!E:E),Groups!A:A,Groups!AJ:AJ)="Invertebrate"),"True","False")</f>
        <v>False</v>
      </c>
      <c r="CD349" s="25" t="str">
        <f t="shared" si="41"/>
        <v>False</v>
      </c>
      <c r="CE349" s="25" t="str">
        <f>IF(_xlfn.XLOOKUP(_xlfn.XLOOKUP(B349,'Base stats'!B:B,'Base stats'!E:E),Groups!A:A,Groups!AX:AX),"True","False")</f>
        <v>False</v>
      </c>
      <c r="CF349" s="25" t="str">
        <f>IF(_xlfn.XLOOKUP(_xlfn.XLOOKUP(B349,'Base stats'!B:B,'Base stats'!E:E),Groups!A:A,Groups!AY:AY),"True","False")</f>
        <v>False</v>
      </c>
      <c r="CG349" s="25" t="str">
        <f>IF(_xlfn.XLOOKUP(_xlfn.XLOOKUP(B349,'Base stats'!B:B,'Base stats'!E:E),Groups!A:A,Groups!AW:AW),"True","False")</f>
        <v>False</v>
      </c>
      <c r="CH349" s="25" t="str">
        <f>IF(
OR(
_xlfn.XLOOKUP(_xlfn.XLOOKUP(B349,'Base stats'!B:B,'Base stats'!E:E),Groups!A:A,Groups!AZ:AZ)=0,
AND(
_xlfn.XLOOKUP(B349,'Base stats'!B:B,'Base stats'!Y:Y)&lt;&gt;"Carnivore",
_xlfn.XLOOKUP(B349,'Base stats'!B:B,'Base stats'!Y:Y)&lt;&gt;"Omnivore",
_xlfn.XLOOKUP(B349,'Base stats'!B:B,'Base stats'!Y:Y)&lt;&gt;"OmnivoreRough"
)
),
"No",
IF(
_xlfn.XLOOKUP(_xlfn.XLOOKUP(B349,'Base stats'!B:B,'Base stats'!E:E),Groups!A:A,Groups!AZ:AZ)=1,
"Flesh",
IF(
_xlfn.XLOOKUP(_xlfn.XLOOKUP(B349,'Base stats'!B:B,'Base stats'!E:E),Groups!A:A,Groups!AZ:AZ)=2,
"Bone",
""
)
)
)</f>
        <v>No</v>
      </c>
      <c r="CI349" s="25" t="str">
        <f>IF(_xlfn.XLOOKUP(_xlfn.XLOOKUP(B349,'Base stats'!B:B,'Base stats'!E:E),Groups!A:A,Groups!BB:BB),"True","False")</f>
        <v>False</v>
      </c>
      <c r="CJ349" s="25" t="str">
        <f>IF(_xlfn.XLOOKUP(_xlfn.XLOOKUP(B349,'Base stats'!B:B,'Base stats'!E:E),Groups!A:A,Groups!BA:BA),"True","False")</f>
        <v>False</v>
      </c>
    </row>
    <row r="350" spans="1:88" ht="16.5" thickTop="1" thickBot="1" x14ac:dyDescent="0.3">
      <c r="A350" s="26" t="s">
        <v>1916</v>
      </c>
      <c r="B350" s="6" t="str">
        <f>_xlfn.XLOOKUP(A350,'Base stats'!A:A,'Base stats'!B:B)</f>
        <v>Spinosaurus aegyptiacus</v>
      </c>
      <c r="C350" s="28" t="s">
        <v>2055</v>
      </c>
      <c r="D350" s="28" t="s">
        <v>1898</v>
      </c>
      <c r="E350" s="28" t="s">
        <v>673</v>
      </c>
      <c r="F350" s="28" t="s">
        <v>673</v>
      </c>
      <c r="G350" s="28" t="s">
        <v>673</v>
      </c>
      <c r="H350" s="2">
        <f>MROUND((
  (IF(AND(_xlfn.XLOOKUP(B350,'Base stats'!B:B,'Base stats'!AL:AL)=0,BI350="None",_xlfn.XLOOKUP(_xlfn.XLOOKUP(B350,'Base stats'!B:B,'Base stats'!E:E),Groups!A:A,Groups!B:B)=0), (18 + BR350 * 2.7) * 0.5,
    IF(AND(_xlfn.XLOOKUP(B350,'Base stats'!B:B,'Base stats'!AL:AL)=0,OR(AO350&lt;0.55,AND(BI350="Intermediate",_xlfn.XLOOKUP(_xlfn.XLOOKUP(B350,'Base stats'!B:B,'Base stats'!E:E),Groups!A:A,Groups!B:B)&lt;2))), (18 + BR350 * 2.7),
      IF(OR(BI350="Advanced",_xlfn.XLOOKUP(B350,'Base stats'!B:B,'Base stats'!AL:AL)=1,_xlfn.XLOOKUP(_xlfn.XLOOKUP(B350,'Base stats'!B:B,'Base stats'!E:E),Groups!A:A,Groups!B:B)=2), (18 + BR350 * 2.7) + 250, (18 + BR350 * 2.7))
    )
  ))
  + AO350 * 80
  + IF(COUNTIF(EggMilk!K$2:K$998, A350) &gt; 0, 125, 0)
  + IF(COUNTIF(EggMilk!P$2:P$998, A350) &gt; 0, 90, 0)
  + IF(COUNTIF(EggMilk!A$2:A$998, A350) &gt; 0, 90, 0)
)
* (0.8 + 0.4 * J350)
* 0.75,25)</f>
        <v>2275</v>
      </c>
      <c r="I350" s="2">
        <f>MROUND(ROUNDDOWN(_xlfn.XLOOKUP(B350,'Base stats'!B:B,'Base stats'!L:L)/3.6/(23.3/11),1),0.5)</f>
        <v>3.5</v>
      </c>
      <c r="J350" s="2">
        <f>IF(OR(_xlfn.XLOOKUP(B350,'Base stats'!B:B,'Base stats'!AB:AB)=1,_xlfn.XLOOKUP(_xlfn.XLOOKUP(B350,'Base stats'!B:B,'Base stats'!E:E),Groups!A:A,Groups!C:C)="Untamable"),1,IF(_xlfn.XLOOKUP(B350,'Base stats'!B:B,'Base stats'!AL:AL)=1,0.99,MIN(MROUND((1-0.6282*EXP(-0.459*AO350))*_xlfn.XLOOKUP(_xlfn.XLOOKUP(B350,'Base stats'!B:B,'Base stats'!E:E),Groups!A:A,Groups!C:C)*IF(_xlfn.XLOOKUP(B350,'Base stats'!B:B,'Base stats'!O:O)=1,0.5,IF(_xlfn.XLOOKUP(B350,'Base stats'!B:B,'Base stats'!O:O)=2,0,1)),0.05),IF(AO350&gt;3.5,0.985,0.95))))</f>
        <v>0.95000000000000007</v>
      </c>
      <c r="K350" s="2">
        <f>ROUNDUP(AO350*_xlfn.XLOOKUP(_xlfn.XLOOKUP(B350,'Base stats'!B:B,'Base stats'!E:E),Groups!A:A,Groups!E:E),0)</f>
        <v>5</v>
      </c>
      <c r="L350" s="2">
        <f>IF(OR(_xlfn.XLOOKUP(_xlfn.XLOOKUP(B350,'Base stats'!B:B,'Base stats'!E:E),Groups!A:A,Groups!F:F)=2,ISNUMBER(SEARCH("SeaIce",BX350)),ISNUMBER(SEARCH("IceSheet",BX350))),-50,IF(OR(ISNUMBER(SEARCH("GlacialPlain",BX350)),ISNUMBER(SEARCH("Tundra",BX350))),-40,IF(OR(ISNUMBER(SEARCH("Alpine",BX350)),ISNUMBER(SEARCH("BorealForest",BX350)),ISNUMBER(SEARCH("ColdBog",BX350))),-30,IF(OR(ISNUMBER(SEARCH("TemperateForest",BX350)),ISNUMBER(SEARCH("TemperateSwamp",BX350))),-20,IF(_xlfn.XLOOKUP(_xlfn.XLOOKUP(B350,'Base stats'!B:B,'Base stats'!E:E),Groups!A:A,Groups!F:F)=1,-15,IF(OR(ISNUMBER(SEARCH("Desert",BX350)),ISNUMBER(SEARCH("ExtremeDesert",BX350))),-10,IF(OR(ISNUMBER(SEARCH("Grasslands",BX350)),ISNUMBER(SEARCH("TropicalRainforest",BX350)),ISNUMBER(SEARCH("TropicalSwamp",BX350))),10,0)))))))-IF(CC350="False",MIN(IFERROR(MAX(MROUND(LOG10(_xlfn.XLOOKUP(B350,'Base stats'!B:B,'Base stats'!C:C)^(2/3))*10,5),5),5),30))-_xlfn.XLOOKUP(B350,'Base stats'!B:B,'Base stats'!P:P)+IF(CC350="True",5,0)</f>
        <v>-15</v>
      </c>
      <c r="M350" s="2">
        <f>IF(OR(_xlfn.XLOOKUP(_xlfn.XLOOKUP(B350,'Base stats'!B:B,'Base stats'!E:E),Groups!A:A,Groups!G:G)=2,ISNUMBER(SEARCH("Desert",BX350)),ISNUMBER(SEARCH("ExtremeDesert",BX350)),ISNUMBER(SEARCH("LavaField",BX350))),50,IF(ISNUMBER(SEARCH("Grasslands",BX350)),45,IF(OR(_xlfn.XLOOKUP(_xlfn.XLOOKUP(B350,'Base stats'!B:B,'Base stats'!E:E),Groups!A:A,Groups!G:G)=1,ISNUMBER(SEARCH("TropicalRainforest",BX350)),ISNUMBER(SEARCH("TropicalSwamp",BX350))),40,IF(OR(ISNUMBER(SEARCH("TemperateForest",BX350)),ISNUMBER(SEARCH("TemperateSwamp",BX350))),35,IF(OR(ISNUMBER(SEARCH("Alpine",BX350)),ISNUMBER(SEARCH("BorealForest",BX350)),ISNUMBER(SEARCH("ColdBog",BX350))),30,IF(ISNUMBER(OR(ISNUMBER(SEARCH("GlacialPlain",BX350)),SEARCH("Tundra",BX350))),25,IF(OR(ISNUMBER(SEARCH("SeaIce",BX350)),ISNUMBER(SEARCH("IceSheet",BX350)),ISNUMBER(SEARCH("TropicalSwamp",BX350))),10,35)))))))+_xlfn.XLOOKUP(B350,'Base stats'!B:B,'Base stats'!Q:Q)</f>
        <v>40</v>
      </c>
      <c r="N350" s="8" t="str">
        <f>IF(
_xlfn.XLOOKUP(
_xlfn.XLOOKUP(B350,'Base stats'!B:B,'Base stats'!E:E),
Groups!A:A,
Groups!L:L
)=1,
MIN(
MROUND(
IF(
_xlfn.XLOOKUP(B350,'Animals CE'!B:B,'Animals CE'!Z:Z)&lt;=1.5,
_xlfn.XLOOKUP(B350,'Animals CE'!B:B,'Animals CE'!Z:Z)/2+0.05,
0.8+
(_xlfn.XLOOKUP(B350,'Animals CE'!B:B,'Animals CE'!Z:Z)-1.5)
*0.02
),
0.05
),
200%
),
"No"
)</f>
        <v>No</v>
      </c>
      <c r="O350" s="8" t="str">
        <f>IF(
_xlfn.XLOOKUP(
_xlfn.XLOOKUP(B350,'Base stats'!B:B,'Base stats'!E:E),
Groups!A:A,
Groups!L:L
)=1,
MIN(
MROUND(
IF(
_xlfn.XLOOKUP(B350,'Animals CE'!B:B,'Animals CE'!AA:AA)&lt;=1.5,
_xlfn.XLOOKUP(B350,'Animals CE'!B:B,'Animals CE'!AA:AA)/2+0.05,
0.8+
(_xlfn.XLOOKUP(B350,'Animals CE'!B:B,'Animals CE'!AA:AA)-1.5)
*0.02
),
0.05
),
200%
),
"No"
)</f>
        <v>No</v>
      </c>
      <c r="P350" s="2" t="str">
        <f>_xlfn.XLOOKUP(B350,'Base stats'!B:B,'Base stats'!R:R)</f>
        <v>Standard</v>
      </c>
      <c r="Q350" s="13">
        <f>MROUND((LOG10(_xlfn.XLOOKUP(B350,'Base stats'!B:B,'Base stats'!AR:AR))*(AO350^0.5)+(_xlfn.XLOOKUP(B350,'Base stats'!B:B,'Base stats'!AR:AR)/1000)^(2/3)+_xlfn.XLOOKUP(B350,'Base stats'!B:B,'Base stats'!BA:BA)/2)+0.5,0.5)</f>
        <v>37</v>
      </c>
      <c r="R350" s="7">
        <f>IF(Q350="No","No",MAX(1,MROUND(_xlfn.XLOOKUP(B350,'Base stats'!B:B,'Base stats'!C:C)^0.165,0.05)))</f>
        <v>4.05</v>
      </c>
      <c r="S350" s="13" t="str">
        <f>IF(_xlfn.XLOOKUP(_xlfn.XLOOKUP(B350,'Base stats'!B:B,'Base stats'!E:E),Groups!A:A,Groups!P:P)=0,"No",MROUND((LOG10(_xlfn.XLOOKUP(B350,'Base stats'!B:B,'Base stats'!AS:AS))*(AO350^0.5)+(_xlfn.XLOOKUP(B350,'Base stats'!B:B,'Base stats'!AS:AS)/1000)^(2/3)+_xlfn.XLOOKUP(B350,'Base stats'!B:B,'Base stats'!BA:BA))+_xlfn.XLOOKUP(B350,'Base stats'!B:B,'Base stats'!AY:AY)+0.5,0.5))</f>
        <v>No</v>
      </c>
      <c r="T350" s="7" t="str">
        <f>IF(S350="No","No",MAX(_xlfn.XLOOKUP(_xlfn.XLOOKUP(B350,'Base stats'!B:B,'Base stats'!E:E),Groups!A:A,Groups!Q:Q),MROUND(_xlfn.XLOOKUP(_xlfn.XLOOKUP(B350,'Base stats'!B:B,'Base stats'!E:E),Groups!A:A,Groups!Q:Q)*_xlfn.XLOOKUP(B350,'Base stats'!B:B,'Base stats'!C:C)^0.165,0.05)))</f>
        <v>No</v>
      </c>
      <c r="U350" s="7" t="str">
        <f>IF(S350="No","No",_xlfn.XLOOKUP(_xlfn.XLOOKUP(B350,'Base stats'!B:B,'Base stats'!E:E),Groups!A:A,Groups!R:R))</f>
        <v>No</v>
      </c>
      <c r="V350" s="7" t="str">
        <f>IF(S350="No","No",_xlfn.XLOOKUP(_xlfn.XLOOKUP(B350,'Base stats'!B:B,'Base stats'!E:E),Groups!A:A,Groups!S:S))</f>
        <v>No</v>
      </c>
      <c r="W350" s="7" t="str">
        <f>IF(S350="No","No",_xlfn.XLOOKUP(_xlfn.XLOOKUP(B350,'Base stats'!B:B,'Base stats'!E:E),Groups!A:A,Groups!T:T))</f>
        <v>No</v>
      </c>
      <c r="X350" s="13" t="str">
        <f>IF(_xlfn.XLOOKUP(B350,'Base stats'!B:B,'Base stats'!W:W)="No","No",MROUND((LOG10(_xlfn.XLOOKUP(B350,'Base stats'!B:B,'Base stats'!AU:AU))*(AO350^0.5)+(_xlfn.XLOOKUP(B350,'Base stats'!B:B,'Base stats'!AU:AU)/1000)^(2/3)+_xlfn.XLOOKUP(B350,'Base stats'!B:B,'Base stats'!AZ:AZ))+0.5+IF(_xlfn.XLOOKUP(_xlfn.XLOOKUP(B350,'Base stats'!B:B,'Base stats'!E:E),Groups!A:A,Groups!U:U)&lt;&gt;3,_xlfn.XLOOKUP(B350,'Base stats'!B:B,'Base stats'!BA:BA),0),0.5))</f>
        <v>No</v>
      </c>
      <c r="Y350" s="7" t="str">
        <f>IF(X350="No","No",MAX(_xlfn.XLOOKUP(_xlfn.XLOOKUP(B350,'Base stats'!B:B,'Base stats'!E:E),Groups!A:A,Groups!V:V),MROUND(_xlfn.XLOOKUP(_xlfn.XLOOKUP(B350,'Base stats'!B:B,'Base stats'!E:E),Groups!A:A,Groups!V:V)*_xlfn.XLOOKUP(B350,'Base stats'!B:B,'Base stats'!C:C)^0.165,0.05)))</f>
        <v>No</v>
      </c>
      <c r="Z350" s="7" t="str">
        <f>IF(X350="No","No",_xlfn.XLOOKUP(_xlfn.XLOOKUP(B350,'Base stats'!B:B,'Base stats'!E:E),Groups!A:A,Groups!W:W))</f>
        <v>No</v>
      </c>
      <c r="AA350" s="7" t="str">
        <f>IF(X350="No","No",_xlfn.XLOOKUP(_xlfn.XLOOKUP(B350,'Base stats'!B:B,'Base stats'!E:E),Groups!A:A,Groups!X:X))</f>
        <v>No</v>
      </c>
      <c r="AB350" s="7" t="str">
        <f>IF(X350="No","No",_xlfn.XLOOKUP(_xlfn.XLOOKUP(B350,'Base stats'!B:B,'Base stats'!E:E),Groups!A:A,Groups!Y:Y))</f>
        <v>No</v>
      </c>
      <c r="AC350" s="7" t="str">
        <f>_xlfn.XLOOKUP(Animals!B350,'Base stats'!B:B,'Base stats'!X:X)</f>
        <v>False</v>
      </c>
      <c r="AD350" s="13">
        <f>IF(_xlfn.XLOOKUP(B350,'Base stats'!B:B,'Base stats'!AT:AT)="No","No",MROUND((LOG10(_xlfn.XLOOKUP(B350,'Base stats'!B:B,'Base stats'!AT:AT))*(AO350^0.75)+(_xlfn.XLOOKUP(B350,'Base stats'!B:B,'Base stats'!AT:AT)/1000)^(2/3)+_xlfn.XLOOKUP(B350,'Base stats'!B:B,'Base stats'!AX:AX)+_xlfn.XLOOKUP(B350,'Base stats'!B:B,'Base stats'!BA:BA))+0.5,0.5))</f>
        <v>42.5</v>
      </c>
      <c r="AE350" s="7">
        <f>IF(AD350="No","No",MAX(_xlfn.XLOOKUP(_xlfn.XLOOKUP(B350,'Base stats'!B:B,'Base stats'!E:E),Groups!A:A,Groups!Z:Z),MROUND(_xlfn.XLOOKUP(_xlfn.XLOOKUP(B350,'Base stats'!B:B,'Base stats'!E:E),Groups!A:A,Groups!Z:Z)*_xlfn.XLOOKUP(B350,'Base stats'!B:B,'Base stats'!C:C)^0.165,0.05)))</f>
        <v>3.0500000000000003</v>
      </c>
      <c r="AF350" s="7" t="str">
        <f>IF(AD350="No","No",_xlfn.XLOOKUP(_xlfn.XLOOKUP(B350,'Base stats'!B:B,'Base stats'!E:E),Groups!A:A,Groups!AA:AA))</f>
        <v>Teeth</v>
      </c>
      <c r="AG350" s="7" t="str">
        <f>IF(AD350="No","No",_xlfn.XLOOKUP(_xlfn.XLOOKUP(B350,'Base stats'!B:B,'Base stats'!E:E),Groups!A:A,Groups!AB:AB))</f>
        <v>teeth</v>
      </c>
      <c r="AH350" s="7" t="str">
        <f>IF(AD350="No","No",_xlfn.XLOOKUP(_xlfn.XLOOKUP(B350,'Base stats'!B:B,'Base stats'!E:E),Groups!A:A,Groups!AC:AC))</f>
        <v>Bite</v>
      </c>
      <c r="AI350" s="13">
        <f>IF(_xlfn.XLOOKUP(_xlfn.XLOOKUP(B350,'Base stats'!B:B,'Base stats'!E:E),Groups!A:A,Groups!AD:AD)=0,"No",MROUND((LOG10(_xlfn.XLOOKUP(B350,'Base stats'!B:B,'Base stats'!AS:AS))*(AO350^0.75)+(_xlfn.XLOOKUP(B350,'Base stats'!B:B,'Base stats'!AS:AS)/1000)^(2/3)+_xlfn.XLOOKUP(B350,'Base stats'!B:B,'Base stats'!AY:AY)+_xlfn.XLOOKUP(B350,'Base stats'!B:B,'Base stats'!BA:BA))+0.5,0.5))</f>
        <v>54.5</v>
      </c>
      <c r="AJ350" s="7">
        <f>IF(AI350="No","No",MAX(_xlfn.XLOOKUP(_xlfn.XLOOKUP(B350,'Base stats'!B:B,'Base stats'!E:E),Groups!A:A,Groups!AE:AE),MROUND(_xlfn.XLOOKUP(_xlfn.XLOOKUP(B350,'Base stats'!B:B,'Base stats'!E:E),Groups!A:A,Groups!AE:AE)*IF(_xlfn.XLOOKUP(_xlfn.XLOOKUP(B350,'Base stats'!B:B,'Base stats'!E:E),Groups!A:A,Groups!AJ:AJ)="Photonozoa",0.6,1)*_xlfn.XLOOKUP(B350,'Base stats'!B:B,'Base stats'!C:C)^0.165,0.05)))</f>
        <v>3.0500000000000003</v>
      </c>
      <c r="AK350" s="7" t="str">
        <f>IF(AI350="No","No",_xlfn.XLOOKUP(_xlfn.XLOOKUP(B350,'Base stats'!B:B,'Base stats'!E:E),Groups!A:A,Groups!AF:AF))</f>
        <v>FrontLeftClaws, FrontRightClaws</v>
      </c>
      <c r="AL350" s="7" t="str">
        <f>IF(AI350="No","No",_xlfn.XLOOKUP(_xlfn.XLOOKUP(B350,'Base stats'!B:B,'Base stats'!E:E),Groups!A:A,Groups!AG:AG))</f>
        <v>left claw, right claw</v>
      </c>
      <c r="AM350" s="7" t="str">
        <f>IF(AI350="No","No",_xlfn.XLOOKUP(_xlfn.XLOOKUP(B350,'Base stats'!B:B,'Base stats'!E:E),Groups!A:A,Groups!AH:AH))</f>
        <v>Scratch</v>
      </c>
      <c r="AN350" s="2">
        <f t="shared" si="35"/>
        <v>40</v>
      </c>
      <c r="AO350" s="2">
        <f>MROUND(IF(AND(_xlfn.XLOOKUP(B350,'Base stats'!B:B,'Base stats'!C:C)&gt;=0.5,_xlfn.XLOOKUP(B350,'Base stats'!B:B,'Base stats'!C:C)&lt;=0.8),
IF(_xlfn.XLOOKUP(B350,'Base stats'!B:B,'Base stats'!C:C)&lt;0.1,0.05,IF(_xlfn.XLOOKUP(B350,'Base stats'!B:B,'Base stats'!C:C)&lt;=70,(_xlfn.XLOOKUP(B350,'Base stats'!B:B,'Base stats'!C:C)/70)^0.426489913056526,IF(_xlfn.XLOOKUP(B350,'Base stats'!B:B,'Base stats'!C:C)&lt;=400,(_xlfn.XLOOKUP(B350,'Base stats'!B:B,'Base stats'!C:C)/70)^0.572811455315093,IF(_xlfn.XLOOKUP(B350,'Base stats'!B:B,'Base stats'!C:C)&lt;=2000,2.71391647193063*(_xlfn.XLOOKUP(B350,'Base stats'!B:B,'Base stats'!C:C)/400)^0.252459582904293,3.74314280240376*(_xlfn.XLOOKUP(B350,'Base stats'!B:B,'Base stats'!C:C)/2000)^0.357012633876913)))),
IF(_xlfn.XLOOKUP(B350,'Base stats'!B:B,'Base stats'!C:C)&lt;0.1,0.05,IF(_xlfn.XLOOKUP(B350,'Base stats'!B:B,'Base stats'!C:C)&lt;0.4,0.1,IF(_xlfn.XLOOKUP(B350,'Base stats'!B:B,'Base stats'!C:C)&lt;=70,(_xlfn.XLOOKUP(B350,'Base stats'!B:B,'Base stats'!C:C)/70)^0.445823913056526,IF(_xlfn.XLOOKUP(B350,'Base stats'!B:B,'Base stats'!C:C)&lt;=400,(_xlfn.XLOOKUP(B350,'Base stats'!B:B,'Base stats'!C:C)/70)^0.572811455315093,IF(_xlfn.XLOOKUP(B350,'Base stats'!B:B,'Base stats'!C:C)&lt;=2000,2.71391647193063*(_xlfn.XLOOKUP(B350,'Base stats'!B:B,'Base stats'!C:C)/400)^0.252459582904293,3.74314280240376*(_xlfn.XLOOKUP(B350,'Base stats'!B:B,'Base stats'!C:C)/2000)^0.357012633876913)))))),
IF(_xlfn.XLOOKUP(B350,'Base stats'!B:B,'Base stats'!C:C)&lt;0.1,0.05,IF(_xlfn.XLOOKUP(B350,'Base stats'!B:B,'Base stats'!C:C)&lt;=100,0.05,IF(_xlfn.XLOOKUP(B350,'Base stats'!B:B,'Base stats'!C:C)&lt;=250,0.1,IF(_xlfn.XLOOKUP(B350,'Base stats'!B:B,'Base stats'!C:C)&lt;=4000,0.25,0.5)))))</f>
        <v>5</v>
      </c>
      <c r="AP350" s="8">
        <f>MROUND(AO350*_xlfn.XLOOKUP(_xlfn.XLOOKUP(B350,'Base stats'!B:B,'Base stats'!E:E),Groups!A:A,Groups!AI:AI)*_xlfn.XLOOKUP(B350,'Base stats'!B:B,'Base stats'!Z:Z),0.05)</f>
        <v>6</v>
      </c>
      <c r="AQ350" s="8">
        <f>MAX(0.01,MROUND(IF(CC350="True",0.196*(AO350*100*1000)^0.889,IF(_xlfn.XLOOKUP(_xlfn.XLOOKUP(B350,'Base stats'!B:B,'Base stats'!E:E),Groups!A:A,Groups!AJ:AJ)="Bird",10.5*(AO350*100*1000)^0.681,4.82*(AO350*100*1000)^0.734))/(4.82*(1*100*1000)^0.734)/IF(AO350&lt;3.5,2,IF(AO350=3.5,1.5,1.25))*(1+0.132282374779864/(AO350^0.994035016789033+0.00905238001496948)),0.05))</f>
        <v>2.9000000000000004</v>
      </c>
      <c r="AR350" s="9">
        <f>IFERROR(MROUND(_xlfn.XLOOKUP(B350,'Base stats'!B:B,'Base stats'!H:H)/IF(_xlfn.XLOOKUP(B350,'Base stats'!B:B,'Base stats'!I:I)&lt;&gt;1,(122.5/70),1.2),IF(_xlfn.XLOOKUP(B350,'Base stats'!B:B,'Base stats'!H:H)&gt;=30,5,IF(_xlfn.XLOOKUP(B350,'Base stats'!B:B,'Base stats'!H:H)&gt;=15,3,IF(_xlfn.XLOOKUP(B350,'Base stats'!B:B,'Base stats'!H:H)&gt;=10,2,1)))),"Immortal")</f>
        <v>25</v>
      </c>
      <c r="AS350" s="35" t="str">
        <f>IFERROR(IF(OR(_xlfn.XLOOKUP(B350,'Base stats'!B:B,'Base stats'!F:F)="Atypical reproduction",_xlfn.XLOOKUP(B350,'Base stats'!B:B,'Base stats'!F:F)="Lay eggs"),"Lay eggs",MIN(20,MAX(5.5,ROUND(((_xlfn.XLOOKUP(B350,'Base stats'!B:B,'Base stats'!F:F)-25)*(14.5/615) + 5.5)*2,0)/2))),"Unknown")</f>
        <v>Lay eggs</v>
      </c>
      <c r="AT350" s="8">
        <f>IF(_xlfn.XLOOKUP(B350,'Base stats'!B:B,'Base stats'!G:G)="Atypical reproduction","No",IFERROR(MAX(IF(_xlfn.XLOOKUP(B350,'Base stats'!B:B,'Base stats'!G:G)&lt;0.5,0.2,0.3),MROUND(_xlfn.XLOOKUP(B350,'Base stats'!B:B,'Base stats'!G:G)/(365/60),0.2)),"Unknown"))</f>
        <v>3</v>
      </c>
      <c r="AU350" s="8">
        <f t="shared" si="36"/>
        <v>1.5</v>
      </c>
      <c r="AV350" s="8" t="str">
        <f>IFERROR(IFERROR(MROUND(_xlfn.XLOOKUP(B350,'Base stats'!B:B,'Base stats'!J:J),0.1),"Lay eggs"),"Cannot breed")</f>
        <v>Lay eggs</v>
      </c>
      <c r="AW350" s="2" t="str">
        <f t="shared" si="37"/>
        <v>false</v>
      </c>
      <c r="AX350" s="2" t="str">
        <f>IF(_xlfn.XLOOKUP(_xlfn.XLOOKUP(Animals!B350,'Base stats'!B:B,'Base stats'!E:E),Groups!A:A,Groups!AK:AK)=1,"true","false")</f>
        <v>false</v>
      </c>
      <c r="AY350" s="25" t="str">
        <f>IF(_xlfn.XLOOKUP(B350,'Base stats'!B:B,'Base stats'!Y:Y)="Liquor","Liquor, CarnivoreAnimalStrict",IF(AND(_xlfn.XLOOKUP(B350,'Base stats'!B:B,'Base stats'!Y:Y)="Carnivore",_xlfn.XLOOKUP(_xlfn.XLOOKUP(B350,'Base stats'!B:B,'Base stats'!E:E),Groups!A:A,Groups!AJ:AJ)="Photonozoa"),"CarnivoreAnimalStrict, OvivoreAnimal",IF(_xlfn.XLOOKUP(B350,'Base stats'!B:B,'Base stats'!Y:Y)="Carnivore","CarnivoreAnimal, OvivoreAnimal",IF(_xlfn.XLOOKUP(B350,'Base stats'!B:B,'Base stats'!Y:Y)="Dendrovore","VegetarianRoughAnimal, DendrovoreAnimal",IF(_xlfn.XLOOKUP(B350,'Base stats'!B:B,'Base stats'!Y:Y)="Herbivore","VegetarianRoughAnimal",IF(_xlfn.XLOOKUP(B350,'Base stats'!B:B,'Base stats'!Y:Y)="OmnivoreRough","OmnivoreRoughAnimal, OvivoreAnimal","OmnivoreAnimal, OvivoreAnimal"))))))</f>
        <v>CarnivoreAnimal, OvivoreAnimal</v>
      </c>
      <c r="AZ350" s="2" t="str">
        <f>IF(_xlfn.XLOOKUP(_xlfn.XLOOKUP(B350,'Base stats'!B:B,'Base stats'!E:E),Groups!A:A,Groups!D:D)=1,MROUND((1-J350)*5+1,2)*IF(J350&lt;=0.4,2,1),"No")</f>
        <v>No</v>
      </c>
      <c r="BA350" s="2" t="str">
        <f>IF(AND(_xlfn.XLOOKUP(B350,'Base stats'!B:B,'Base stats'!AH:AH)="&lt;li&gt;Seal&lt;/li&gt;",G350="Odyssey"),"&lt;li&gt;AEXP_Seal&lt;/li&gt;",_xlfn.XLOOKUP(B350,'Base stats'!B:B,'Base stats'!AH:AH))</f>
        <v>No</v>
      </c>
      <c r="BB350" s="2" t="str">
        <f>_xlfn.XLOOKUP(B350,'Base stats'!B:B,'Base stats'!AG:AG)</f>
        <v>Leather_Spinosaurus</v>
      </c>
      <c r="BC350" s="23" t="str">
        <f>_xlfn.XLOOKUP(_xlfn.XLOOKUP(B350,'Base stats'!B:B,'Base stats'!E:E),Groups!A:A,Groups!AL:AL)</f>
        <v>Theropod</v>
      </c>
      <c r="BD350" s="23">
        <f>MIN(1,MROUND(IF(AND(AO350&lt;0.5,_xlfn.XLOOKUP(B350,'Base stats'!B:B,'Base stats'!AA:AA)=0),0,IF(OR(_xlfn.XLOOKUP(Animals!B350,'Base stats'!B:B,'Base stats'!O:O)=2,_xlfn.XLOOKUP(_xlfn.XLOOKUP(B350,'Base stats'!B:B,'Base stats'!E:E),Groups!A:A,Groups!AN:AN)=0),0,_xlfn.XLOOKUP(_xlfn.XLOOKUP(B350,'Base stats'!B:B,'Base stats'!E:E),Groups!A:A,Groups!AN:AN)/IF(_xlfn.XLOOKUP(Animals!B350,'Base stats'!B:B,'Base stats'!O:O)=1,2,1)))+_xlfn.XLOOKUP(B350,'Base stats'!B:B,'Base stats'!AC:AC),0.005))</f>
        <v>0.1</v>
      </c>
      <c r="BE350" s="23">
        <f>MIN(1,MROUND(IF(AND(AO350&lt;0.5,_xlfn.XLOOKUP(B350,'Base stats'!B:B,'Base stats'!AA:AA)=0),0,IF(_xlfn.XLOOKUP(_xlfn.XLOOKUP(B350,'Base stats'!B:B,'Base stats'!E:E),Groups!A:A,Groups!AO:AO)=0,0,_xlfn.XLOOKUP(_xlfn.XLOOKUP(B350,'Base stats'!B:B,'Base stats'!E:E),Groups!A:A,Groups!AO:AO)/IF(_xlfn.XLOOKUP(Animals!B350,'Base stats'!B:B,'Base stats'!O:O)=2,3,1)))+_xlfn.XLOOKUP(B350,'Base stats'!B:B,'Base stats'!AD:AD),0.005))</f>
        <v>0.3</v>
      </c>
      <c r="BF350" s="2" t="str">
        <f>IF(J350&gt;0.3,"No",_xlfn.XLOOKUP(_xlfn.XLOOKUP(Animals!B350,'Base stats'!B:B,'Base stats'!E:E),Groups!A:A,Groups!AP:AP))</f>
        <v>No</v>
      </c>
      <c r="BG350" s="2" t="str">
        <f>IF(AND(J350&lt;=0.65,_xlfn.XLOOKUP(_xlfn.XLOOKUP(Animals!B350,'Base stats'!B:B,'Base stats'!E:E),Groups!A:A,Groups!AP:AP)&lt;&gt;"No",_xlfn.XLOOKUP(_xlfn.XLOOKUP(B350,'Base stats'!B:B,'Base stats'!E:E),Groups!A:A,Groups!D:D)=0),MROUND((80/3)*IF(_xlfn.XLOOKUP(B350,'Base stats'!B:B,'Base stats'!O:O)=2,0.2,AO350) + 24*(1-IF(BF350="No",0,BF350)) + 16/3, 12),"No")</f>
        <v>No</v>
      </c>
      <c r="BH350" s="2">
        <f>IF(AND(_xlfn.XLOOKUP(_xlfn.XLOOKUP(B350,'Base stats'!B:B,'Base stats'!E:E),Groups!A:A,Groups!AQ:AQ)=1,AO350&lt;=0.35),8,12)</f>
        <v>12</v>
      </c>
      <c r="BI350" s="2" t="str">
        <f>IF(_xlfn.XLOOKUP(_xlfn.XLOOKUP(B350,'Base stats'!B:B,'Base stats'!E:E),Groups!A:A,Groups!D:D)=0,_xlfn.XLOOKUP(_xlfn.XLOOKUP(B350,'Base stats'!B:B,'Base stats'!E:E),Groups!A:A,Groups!AR:AR),"None")</f>
        <v>Intermediate</v>
      </c>
      <c r="BJ350" s="2" t="str">
        <f>IF(AND(_xlfn.XLOOKUP(_xlfn.XLOOKUP(B350,'Base stats'!B:B,'Base stats'!E:E),Groups!A:A,Groups!AS:AS)=1,OR(_xlfn.XLOOKUP(B350,'Base stats'!B:B,'Base stats'!Y:Y)="Carnivore",_xlfn.XLOOKUP(B350,'Base stats'!B:B,'Base stats'!Y:Y)="Omnivore")),"true","false")</f>
        <v>true</v>
      </c>
      <c r="BK350" s="2">
        <f>IF(BJ350="true",MROUND(IF(AND(AO350&gt;0.5,OR(_xlfn.XLOOKUP(_xlfn.XLOOKUP(B350,'Base stats'!B:B,'Base stats'!E:E),Groups!A:A,Groups!AJ:AJ)="Photonozoa",_xlfn.XLOOKUP(_xlfn.XLOOKUP(B350,'Base stats'!B:B,'Base stats'!E:E),Groups!A:A,Groups!AJ:AJ)="Mammal")),Animals!AO350*1.75*IF(AW350="true",1.5,1),IF(AO350&lt;0.5,Animals!AO350*0.5,Animals!AO350)),IF(AO350&gt;2,0.5,IF(AO350&gt;0.5,0.25,0.1))),"No")</f>
        <v>5</v>
      </c>
      <c r="BL350" s="2">
        <f t="shared" si="38"/>
        <v>1</v>
      </c>
      <c r="BM350" s="25" t="str">
        <f>IF(_xlfn.XLOOKUP(B350,'Base stats'!B:B,'Base stats'!AN:AN)="Standard","No",MROUND((_xlfn.XLOOKUP(B350,'Base stats'!B:B,'Base stats'!AN:AN)/3.6)/I350,0.1))</f>
        <v>No</v>
      </c>
      <c r="BN350" s="25" t="str">
        <f t="shared" si="39"/>
        <v>false</v>
      </c>
      <c r="BO350" s="25" t="str">
        <f>IF(AND(OR(_xlfn.XLOOKUP(B350,'Base stats'!B:B,'Base stats'!Y:Y)="Carnivore",_xlfn.XLOOKUP(B350,'Base stats'!B:B,'Base stats'!Y:Y)="Omnivore",_xlfn.XLOOKUP(B350,'Base stats'!B:B,'Base stats'!Y:Y)="OmnivoreRough"),_xlfn.XLOOKUP(_xlfn.XLOOKUP(B350,'Base stats'!B:B,'Base stats'!E:E),Groups!A:A,Groups!AT:AT)=1),"true","false")</f>
        <v>false</v>
      </c>
      <c r="BP350" s="25" t="str" cm="1">
        <f t="array" ref="BP350">IF(
  _xlfn.TEXTJOIN(", ",TRUE,
    IF(AND(BJ350="true",AO350&gt;0.5,BI350&lt;&gt;"None"),"AttackTarget",""),
    IF(AND(_xlfn.XLOOKUP(_xlfn.XLOOKUP(B350,'Base stats'!B:B,'Base stats'!E:E),Groups!A:A,Groups!AJ:AJ="Mammal"),OR(_xlfn.XLOOKUP(B350,'Base stats'!B:B,'Base stats'!Y:Y)="Omnivore",_xlfn.XLOOKUP(B350,'Base stats'!B:B,'Base stats'!Y:Y)="OmnivoreRough")),"Forage",""),
    IF(BG350&lt;=36,"Comfort",""),
    IF(_xlfn.XLOOKUP(B350,'Base stats'!B:B,'Base stats'!AE:AE)&lt;&gt;"No",_xlfn.XLOOKUP(B350,'Base stats'!B:B,'Base stats'!AE:AE),"")
  ) = "",
  "No",
  _xlfn.TEXTJOIN(", ",TRUE,
    IF(AND(BJ350="true",AO350&gt;0.5,BI350&lt;&gt;"None"),"AttackTarget",""),
    IF(AND(_xlfn.XLOOKUP(_xlfn.XLOOKUP(B350,'Base stats'!B:B,'Base stats'!E:E),Groups!A:A,Groups!AJ:AJ="Mammal"),OR(_xlfn.XLOOKUP(B350,'Base stats'!B:B,'Base stats'!Y:Y)="Omnivore",_xlfn.XLOOKUP(B350,'Base stats'!B:B,'Base stats'!Y:Y)="OmnivoreRough")),"Forage",""),
    IF(BG350&lt;=36,"Comfort",""),
    IF(_xlfn.XLOOKUP(B350,'Base stats'!B:B,'Base stats'!AE:AE)&lt;&gt;"No",_xlfn.XLOOKUP(B350,'Base stats'!B:B,'Base stats'!AE:AE),"")
  )
)</f>
        <v>AttackTarget</v>
      </c>
      <c r="BQ350" s="25" t="str">
        <f>IF(
   AND(
      'Base stats'!AN350="Standard",_xlfn.XLOOKUP(_xlfn.XLOOKUP(B350,'Base stats'!B:B,'Base stats'!E:E),Groups!A:A,Groups!AU:AU)=0,
      OR(
      BO350="True"
      )
   ),
   10,
   IF(
       OR(BM350&lt;&gt;"No",_xlfn.XLOOKUP(_xlfn.XLOOKUP(B350,'Base stats'!B:B,'Base stats'!E:E),Groups!A:A,Groups!AU:AU)=1),
      1,
      "No"
   )
)</f>
        <v>No</v>
      </c>
      <c r="BR350" s="9">
        <f>MROUND((1 + ((0.2*IF(OR(Q350="No",R350="No",R350=0),0,Q350/R350)
+IF(OR(V350="No",S350="No",T350="No"),0,S350/T350*(LEN(V350)-LEN(SUBSTITUTE(V350,",",""))+1))
+IF(OR(X350="No",Y350="No"),0,X350/Y350)
+IF(OR(AD350="No",AE350="No"),0,AD350/AE350)
+IF(OR(AL350="No",AI350="No",AJ350="No"),0,AI350/AJ350*(LEN(AL350)-LEN(SUBSTITUTE(AL350,",",""))+1))
)/(0.2*IF(OR(Q350="No",R350="No",R350=0),0,1)
+IF(OR(V350="No",S350="No",T350="No"),0,LEN(V350)-LEN(SUBSTITUTE(V350,",",""))+1)
+IF(OR(X350="No",Y350="No"),0,1)
+IF(OR(AD350="No",AE350="No"),0,1)
+IF(OR(AL350="No",AI350="No",AJ350="No"),0,LEN(AL350)-LEN(SUBSTITUTE(AL350,",",""))+1))*62%)* 2)*(1 + (AP350 / (IF(_xlfn.XLOOKUP(_xlfn.XLOOKUP(B350,'Base stats'!B:B,'Base stats'!E:E),Groups!A:A,Groups!AJ:AJ)="Photonozoa",0.3,1)) + _xlfn.XLOOKUP(B350,'Base stats'!B:B,'Base stats'!AV:AV) * 1.8) * 2) * 2.5 + 10 + I350 * 2,5)+IF(_xlfn.XLOOKUP(B350,'Base stats'!B:B,'Base stats'!AK:AK)=1,50,0)</f>
        <v>700</v>
      </c>
      <c r="BS350" s="8">
        <f t="shared" si="40"/>
        <v>3.3000000000000003</v>
      </c>
      <c r="BT350" s="8" t="str">
        <f>_xlfn.XLOOKUP(B350,'Base stats'!B:B,'Base stats'!AF:AF)</f>
        <v>No</v>
      </c>
      <c r="BU350" s="2" t="str">
        <f>IF(AND(J350&lt;=0.95,OR(_xlfn.XLOOKUP(B350,'Base stats'!B:B,'Base stats'!AK:AK)=1,_xlfn.XLOOKUP(B350,'Base stats'!B:B,'Base stats'!Y:Y)="Carnivore",_xlfn.XLOOKUP(B350,'Base stats'!B:B,'Base stats'!Y:Y)="Omnivore",BE350&gt;0.1)),"true","false")</f>
        <v>true</v>
      </c>
      <c r="BV350" s="2" t="str">
        <f>IF(_xlfn.XLOOKUP(B350,'Base stats'!B:B,'Base stats'!AI:AI)=1,"true","false")</f>
        <v>false</v>
      </c>
      <c r="BW350" s="25" t="str">
        <f>IF(E350="BaseInsect","AnimalInsect",
IF(J350&gt;0.95,"AnimalExotic",
_xlfn.TEXTJOIN(", ",TRUE,
IF(OR(_xlfn.XLOOKUP(B350,'Base stats'!B:B,'Base stats'!AM:AM)=1,AND(_xlfn.XLOOKUP(B350,'Base stats'!B:B,'Base stats'!O:O)=0,_xlfn.XLOOKUP(_xlfn.XLOOKUP(B350,'Base stats'!B:B,'Base stats'!E:E),Groups!A:A,Groups!B:B)&gt;0)),"AnimalUncommon","AnimalCommon"),
IF(AND(_xlfn.XLOOKUP(B350,'Base stats'!B:B,'Base stats'!O:O)=2,_xlfn.XLOOKUP(_xlfn.XLOOKUP(B350,'Base stats'!B:B,'Base stats'!E:E),Groups!A:A,Groups!D:D)=0),"AnimalPet",IF(AND(_xlfn.XLOOKUP(B350,'Base stats'!B:B,'Base stats'!O:O)&lt;&gt;0,_xlfn.XLOOKUP(_xlfn.XLOOKUP(B350,'Base stats'!B:B,'Base stats'!E:E),Groups!A:A,Groups!D:D)&lt;&gt;0),"AnimalFarm","")),
IF(OR(_xlfn.XLOOKUP(B350,'Base stats'!B:B,'Base stats'!AK:AK)=1,AND(BI350&lt;&gt;"None",BR350&gt;=60),ISNUMBER(SEARCH("Attack target",BP350))),"AnimalFighter","")
)))</f>
        <v>AnimalUncommon, AnimalFighter</v>
      </c>
      <c r="BX350" s="25" t="str">
        <f>IF(G350="None",TRIM(
SUBSTITUTE(
IF(COUNTIF(Biomes!B$2:B$259,"="&amp;$C350)&gt;0,Biomes!B$1&amp;", ","")&amp;
IF(COUNTIF(Biomes!C$2:C$259,"="&amp;$C350)&gt;0,Biomes!C$1&amp;", ","")&amp;
IF(COUNTIF(Biomes!D$2:D$259,"="&amp;$C350)&gt;0,Biomes!D$1&amp;", ","")&amp;
IF(COUNTIF(Biomes!F$2:F$259,"="&amp;$C350)&gt;0,Biomes!F$1&amp;", ","")&amp;
IF(COUNTIF(Biomes!G$2:G$259,"="&amp;$C350)&gt;0,Biomes!G$1&amp;", ","")&amp;
IF(COUNTIF(Biomes!H$2:H$259,"="&amp;$C350)&gt;0,Biomes!H$1&amp;", ","")&amp;
IF(COUNTIF(Biomes!I$2:I$259,"="&amp;$C350)&gt;0,Biomes!I$1&amp;", ","")&amp;
IF(COUNTIF(Biomes!J$2:J$259,"="&amp;$C350)&gt;0,Biomes!J$1&amp;", ","")&amp;
IF(COUNTIF(Biomes!M$2:M$259,"="&amp;$C350)&gt;0,Biomes!M$1&amp;", ","")&amp;
IF(COUNTIF(Biomes!N$2:N$259,"="&amp;$C350)&gt;0,Biomes!N$1&amp;", ","")&amp;
IF(COUNTIF(Biomes!O$2:O$259,"="&amp;$C350)&gt;0,Biomes!O$1&amp;", ","")&amp;
IF(COUNTIF(Biomes!P$2:P$259,"="&amp;$C350)&gt;0,Biomes!P$1&amp;", ","")&amp;
IF(COUNTIF(Biomes!K$2:K$259,"="&amp;$C350)&gt;0,Biomes!K$1&amp;", ","")&amp;
IF(COUNTIF(Biomes!Q$3:Q$259,"="&amp;$C350)&gt;0,Biomes!Q$1&amp;", ","")&amp;
IF(COUNTIF(Biomes!L$2:L$259,"="&amp;$C350)&gt;0,Biomes!L$1&amp;", ","")&amp;
IF(COUNTIF(Biomes!E$2:E$259,"="&amp;$C350)&gt;0,Biomes!E$1&amp;", ","")&amp;IF(COUNTIF(Biomes!S$2:S$259,"="&amp;$C350)&gt;0,Biomes!S$1&amp;", ","")&amp;
IF(COUNTIF(Biomes!R$2:R$259,"="&amp;$C350)&gt;0,Biomes!R$1&amp;", ",""),", ","")
),_xlfn.XLOOKUP(B350,B:B,BX:BX))</f>
        <v>TropicalRainforest TropicalSwamp Glowforest</v>
      </c>
      <c r="BY350" s="25" t="str">
        <f>IF(_xlfn.XLOOKUP(B350,'Base stats'!B:B,'Base stats'!AJ:AJ)=1,"true","false")</f>
        <v>false</v>
      </c>
      <c r="BZ350" s="25">
        <f>IF(_xlfn.XLOOKUP(B350,'Base stats'!B:B,'Base stats'!N:N)=1,"No",MAX(0.001,MIN(MROUND(IF(AND(BJ350="True",CC350="False"),POWER(10,3.47*LOG10(_xlfn.XLOOKUP(B350,'Base stats'!B:B,'Base stats'!C:C)*1000)^-0.96),POWER(10,4.15*LOG10(_xlfn.XLOOKUP(B350,'Base stats'!B:B,'Base stats'!C:C)*1000)^-0.73))*IF(_xlfn.XLOOKUP(B350,'Base stats'!B:B,'Base stats'!AK:AK)=1,0.5,1)*IF(_xlfn.XLOOKUP(B350,'Base stats'!B:B,'Base stats'!AM:AM)=1,0.1,1)/100,IF(_xlfn.XLOOKUP(B350,'Base stats'!B:B,'Base stats'!AM:AM)=1,0.001,0.025)),0.5)))</f>
        <v>2.5000000000000001E-2</v>
      </c>
      <c r="CA350" s="25" t="str">
        <f>IF(P350="Standard","No",MAX(0.001,MIN(MROUND(IF(AND(BJ350="True",CC350="False"),POWER(10,3.47*LOG10(_xlfn.XLOOKUP(B350,'Base stats'!B:B,'Base stats'!C:C)*1000)^-0.96),POWER(10,4.15*LOG10(_xlfn.XLOOKUP(B350,'Base stats'!B:B,'Base stats'!C:C)*1000)^-0.73))*IF(_xlfn.XLOOKUP(B350,'Base stats'!B:B,'Base stats'!AM:AM)=1,0.1,1)*_xlfn.XLOOKUP(B350,'Base stats'!B:B,'Base stats'!R:R)/100,IF(_xlfn.XLOOKUP(B350,'Base stats'!B:B,'Base stats'!AM:AM)=1,0.001,0.025)),0.5)))</f>
        <v>No</v>
      </c>
      <c r="CB350" s="25" t="str">
        <f>IF(_xlfn.XLOOKUP(_xlfn.XLOOKUP(B350,'Base stats'!B:B,'Base stats'!E:E),Groups!A:A,Groups!AJ:AJ)="Mammal","True","False")</f>
        <v>False</v>
      </c>
      <c r="CC350" s="25" t="str">
        <f>IF(OR(_xlfn.XLOOKUP(_xlfn.XLOOKUP(B350,'Base stats'!B:B,'Base stats'!E:E),Groups!A:A,Groups!AJ:AJ)="Reptile",_xlfn.XLOOKUP(_xlfn.XLOOKUP(B350,'Base stats'!B:B,'Base stats'!E:E),Groups!A:A,Groups!AJ:AJ)="Amphibian",_xlfn.XLOOKUP(_xlfn.XLOOKUP(B350,'Base stats'!B:B,'Base stats'!E:E),Groups!A:A,Groups!AJ:AJ)="Invertebrate"),"True","False")</f>
        <v>False</v>
      </c>
      <c r="CD350" s="25" t="str">
        <f t="shared" si="41"/>
        <v>False</v>
      </c>
      <c r="CE350" s="25" t="str">
        <f>IF(_xlfn.XLOOKUP(_xlfn.XLOOKUP(B350,'Base stats'!B:B,'Base stats'!E:E),Groups!A:A,Groups!AX:AX),"True","False")</f>
        <v>False</v>
      </c>
      <c r="CF350" s="25" t="str">
        <f>IF(_xlfn.XLOOKUP(_xlfn.XLOOKUP(B350,'Base stats'!B:B,'Base stats'!E:E),Groups!A:A,Groups!AY:AY),"True","False")</f>
        <v>False</v>
      </c>
      <c r="CG350" s="25" t="str">
        <f>IF(_xlfn.XLOOKUP(_xlfn.XLOOKUP(B350,'Base stats'!B:B,'Base stats'!E:E),Groups!A:A,Groups!AW:AW),"True","False")</f>
        <v>False</v>
      </c>
      <c r="CH350" s="25" t="str">
        <f>IF(
OR(
_xlfn.XLOOKUP(_xlfn.XLOOKUP(B350,'Base stats'!B:B,'Base stats'!E:E),Groups!A:A,Groups!AZ:AZ)=0,
AND(
_xlfn.XLOOKUP(B350,'Base stats'!B:B,'Base stats'!Y:Y)&lt;&gt;"Carnivore",
_xlfn.XLOOKUP(B350,'Base stats'!B:B,'Base stats'!Y:Y)&lt;&gt;"Omnivore",
_xlfn.XLOOKUP(B350,'Base stats'!B:B,'Base stats'!Y:Y)&lt;&gt;"OmnivoreRough"
)
),
"No",
IF(
_xlfn.XLOOKUP(_xlfn.XLOOKUP(B350,'Base stats'!B:B,'Base stats'!E:E),Groups!A:A,Groups!AZ:AZ)=1,
"Flesh",
IF(
_xlfn.XLOOKUP(_xlfn.XLOOKUP(B350,'Base stats'!B:B,'Base stats'!E:E),Groups!A:A,Groups!AZ:AZ)=2,
"Bone",
""
)
)
)</f>
        <v>No</v>
      </c>
      <c r="CI350" s="25" t="str">
        <f>IF(_xlfn.XLOOKUP(_xlfn.XLOOKUP(B350,'Base stats'!B:B,'Base stats'!E:E),Groups!A:A,Groups!BB:BB),"True","False")</f>
        <v>False</v>
      </c>
      <c r="CJ350" s="25" t="str">
        <f>IF(_xlfn.XLOOKUP(_xlfn.XLOOKUP(B350,'Base stats'!B:B,'Base stats'!E:E),Groups!A:A,Groups!BA:BA),"True","False")</f>
        <v>False</v>
      </c>
    </row>
    <row r="351" spans="1:88" ht="16.5" thickTop="1" thickBot="1" x14ac:dyDescent="0.3">
      <c r="A351" s="26" t="s">
        <v>1920</v>
      </c>
      <c r="B351" s="6" t="str">
        <f>_xlfn.XLOOKUP(A351,'Base stats'!A:A,'Base stats'!B:B)</f>
        <v>Baryonyx walkeri</v>
      </c>
      <c r="C351" s="28" t="s">
        <v>2056</v>
      </c>
      <c r="D351" s="28" t="s">
        <v>1898</v>
      </c>
      <c r="E351" s="28" t="s">
        <v>673</v>
      </c>
      <c r="F351" s="28" t="s">
        <v>673</v>
      </c>
      <c r="G351" s="28" t="s">
        <v>673</v>
      </c>
      <c r="H351" s="2">
        <f>MROUND((
  (IF(AND(_xlfn.XLOOKUP(B351,'Base stats'!B:B,'Base stats'!AL:AL)=0,BI351="None",_xlfn.XLOOKUP(_xlfn.XLOOKUP(B351,'Base stats'!B:B,'Base stats'!E:E),Groups!A:A,Groups!B:B)=0), (18 + BR351 * 2.7) * 0.5,
    IF(AND(_xlfn.XLOOKUP(B351,'Base stats'!B:B,'Base stats'!AL:AL)=0,OR(AO351&lt;0.55,AND(BI351="Intermediate",_xlfn.XLOOKUP(_xlfn.XLOOKUP(B351,'Base stats'!B:B,'Base stats'!E:E),Groups!A:A,Groups!B:B)&lt;2))), (18 + BR351 * 2.7),
      IF(OR(BI351="Advanced",_xlfn.XLOOKUP(B351,'Base stats'!B:B,'Base stats'!AL:AL)=1,_xlfn.XLOOKUP(_xlfn.XLOOKUP(B351,'Base stats'!B:B,'Base stats'!E:E),Groups!A:A,Groups!B:B)=2), (18 + BR351 * 2.7) + 250, (18 + BR351 * 2.7))
    )
  ))
  + AO351 * 80
  + IF(COUNTIF(EggMilk!K$2:K$998, A351) &gt; 0, 125, 0)
  + IF(COUNTIF(EggMilk!P$2:P$998, A351) &gt; 0, 90, 0)
  + IF(COUNTIF(EggMilk!A$2:A$998, A351) &gt; 0, 90, 0)
)
* (0.8 + 0.4 * J351)
* 0.75,25)</f>
        <v>1525</v>
      </c>
      <c r="I351" s="2">
        <f>MROUND(ROUNDDOWN(_xlfn.XLOOKUP(B351,'Base stats'!B:B,'Base stats'!L:L)/3.6/(23.3/11),1),0.5)</f>
        <v>4.5</v>
      </c>
      <c r="J351" s="2">
        <f>IF(OR(_xlfn.XLOOKUP(B351,'Base stats'!B:B,'Base stats'!AB:AB)=1,_xlfn.XLOOKUP(_xlfn.XLOOKUP(B351,'Base stats'!B:B,'Base stats'!E:E),Groups!A:A,Groups!C:C)="Untamable"),1,IF(_xlfn.XLOOKUP(B351,'Base stats'!B:B,'Base stats'!AL:AL)=1,0.99,MIN(MROUND((1-0.6282*EXP(-0.459*AO351))*_xlfn.XLOOKUP(_xlfn.XLOOKUP(B351,'Base stats'!B:B,'Base stats'!E:E),Groups!A:A,Groups!C:C)*IF(_xlfn.XLOOKUP(B351,'Base stats'!B:B,'Base stats'!O:O)=1,0.5,IF(_xlfn.XLOOKUP(B351,'Base stats'!B:B,'Base stats'!O:O)=2,0,1)),0.05),IF(AO351&gt;3.5,0.985,0.95))))</f>
        <v>0.9</v>
      </c>
      <c r="K351" s="2">
        <f>ROUNDUP(AO351*_xlfn.XLOOKUP(_xlfn.XLOOKUP(B351,'Base stats'!B:B,'Base stats'!E:E),Groups!A:A,Groups!E:E),0)</f>
        <v>4</v>
      </c>
      <c r="L351" s="2">
        <f>IF(OR(_xlfn.XLOOKUP(_xlfn.XLOOKUP(B351,'Base stats'!B:B,'Base stats'!E:E),Groups!A:A,Groups!F:F)=2,ISNUMBER(SEARCH("SeaIce",BX351)),ISNUMBER(SEARCH("IceSheet",BX351))),-50,IF(OR(ISNUMBER(SEARCH("GlacialPlain",BX351)),ISNUMBER(SEARCH("Tundra",BX351))),-40,IF(OR(ISNUMBER(SEARCH("Alpine",BX351)),ISNUMBER(SEARCH("BorealForest",BX351)),ISNUMBER(SEARCH("ColdBog",BX351))),-30,IF(OR(ISNUMBER(SEARCH("TemperateForest",BX351)),ISNUMBER(SEARCH("TemperateSwamp",BX351))),-20,IF(_xlfn.XLOOKUP(_xlfn.XLOOKUP(B351,'Base stats'!B:B,'Base stats'!E:E),Groups!A:A,Groups!F:F)=1,-15,IF(OR(ISNUMBER(SEARCH("Desert",BX351)),ISNUMBER(SEARCH("ExtremeDesert",BX351))),-10,IF(OR(ISNUMBER(SEARCH("Grasslands",BX351)),ISNUMBER(SEARCH("TropicalRainforest",BX351)),ISNUMBER(SEARCH("TropicalSwamp",BX351))),10,0)))))))-IF(CC351="False",MIN(IFERROR(MAX(MROUND(LOG10(_xlfn.XLOOKUP(B351,'Base stats'!B:B,'Base stats'!C:C)^(2/3))*10,5),5),5),30))-_xlfn.XLOOKUP(B351,'Base stats'!B:B,'Base stats'!P:P)+IF(CC351="True",5,0)</f>
        <v>-10</v>
      </c>
      <c r="M351" s="2">
        <f>IF(OR(_xlfn.XLOOKUP(_xlfn.XLOOKUP(B351,'Base stats'!B:B,'Base stats'!E:E),Groups!A:A,Groups!G:G)=2,ISNUMBER(SEARCH("Desert",BX351)),ISNUMBER(SEARCH("ExtremeDesert",BX351)),ISNUMBER(SEARCH("LavaField",BX351))),50,IF(ISNUMBER(SEARCH("Grasslands",BX351)),45,IF(OR(_xlfn.XLOOKUP(_xlfn.XLOOKUP(B351,'Base stats'!B:B,'Base stats'!E:E),Groups!A:A,Groups!G:G)=1,ISNUMBER(SEARCH("TropicalRainforest",BX351)),ISNUMBER(SEARCH("TropicalSwamp",BX351))),40,IF(OR(ISNUMBER(SEARCH("TemperateForest",BX351)),ISNUMBER(SEARCH("TemperateSwamp",BX351))),35,IF(OR(ISNUMBER(SEARCH("Alpine",BX351)),ISNUMBER(SEARCH("BorealForest",BX351)),ISNUMBER(SEARCH("ColdBog",BX351))),30,IF(ISNUMBER(OR(ISNUMBER(SEARCH("GlacialPlain",BX351)),SEARCH("Tundra",BX351))),25,IF(OR(ISNUMBER(SEARCH("SeaIce",BX351)),ISNUMBER(SEARCH("IceSheet",BX351)),ISNUMBER(SEARCH("TropicalSwamp",BX351))),10,35)))))))+_xlfn.XLOOKUP(B351,'Base stats'!B:B,'Base stats'!Q:Q)</f>
        <v>40</v>
      </c>
      <c r="N351" s="8" t="str">
        <f>IF(
_xlfn.XLOOKUP(
_xlfn.XLOOKUP(B351,'Base stats'!B:B,'Base stats'!E:E),
Groups!A:A,
Groups!L:L
)=1,
MIN(
MROUND(
IF(
_xlfn.XLOOKUP(B351,'Animals CE'!B:B,'Animals CE'!Z:Z)&lt;=1.5,
_xlfn.XLOOKUP(B351,'Animals CE'!B:B,'Animals CE'!Z:Z)/2+0.05,
0.8+
(_xlfn.XLOOKUP(B351,'Animals CE'!B:B,'Animals CE'!Z:Z)-1.5)
*0.02
),
0.05
),
200%
),
"No"
)</f>
        <v>No</v>
      </c>
      <c r="O351" s="8" t="str">
        <f>IF(
_xlfn.XLOOKUP(
_xlfn.XLOOKUP(B351,'Base stats'!B:B,'Base stats'!E:E),
Groups!A:A,
Groups!L:L
)=1,
MIN(
MROUND(
IF(
_xlfn.XLOOKUP(B351,'Animals CE'!B:B,'Animals CE'!AA:AA)&lt;=1.5,
_xlfn.XLOOKUP(B351,'Animals CE'!B:B,'Animals CE'!AA:AA)/2+0.05,
0.8+
(_xlfn.XLOOKUP(B351,'Animals CE'!B:B,'Animals CE'!AA:AA)-1.5)
*0.02
),
0.05
),
200%
),
"No"
)</f>
        <v>No</v>
      </c>
      <c r="P351" s="2" t="str">
        <f>_xlfn.XLOOKUP(B351,'Base stats'!B:B,'Base stats'!R:R)</f>
        <v>Standard</v>
      </c>
      <c r="Q351" s="13">
        <f>MROUND((LOG10(_xlfn.XLOOKUP(B351,'Base stats'!B:B,'Base stats'!AR:AR))*(AO351^0.5)+(_xlfn.XLOOKUP(B351,'Base stats'!B:B,'Base stats'!AR:AR)/1000)^(2/3)+_xlfn.XLOOKUP(B351,'Base stats'!B:B,'Base stats'!BA:BA)/2)+0.5,0.5)</f>
        <v>26</v>
      </c>
      <c r="R351" s="7">
        <f>IF(Q351="No","No",MAX(1,MROUND(_xlfn.XLOOKUP(B351,'Base stats'!B:B,'Base stats'!C:C)^0.165,0.05)))</f>
        <v>3.5500000000000003</v>
      </c>
      <c r="S351" s="13" t="str">
        <f>IF(_xlfn.XLOOKUP(_xlfn.XLOOKUP(B351,'Base stats'!B:B,'Base stats'!E:E),Groups!A:A,Groups!P:P)=0,"No",MROUND((LOG10(_xlfn.XLOOKUP(B351,'Base stats'!B:B,'Base stats'!AS:AS))*(AO351^0.5)+(_xlfn.XLOOKUP(B351,'Base stats'!B:B,'Base stats'!AS:AS)/1000)^(2/3)+_xlfn.XLOOKUP(B351,'Base stats'!B:B,'Base stats'!BA:BA))+_xlfn.XLOOKUP(B351,'Base stats'!B:B,'Base stats'!AY:AY)+0.5,0.5))</f>
        <v>No</v>
      </c>
      <c r="T351" s="7" t="str">
        <f>IF(S351="No","No",MAX(_xlfn.XLOOKUP(_xlfn.XLOOKUP(B351,'Base stats'!B:B,'Base stats'!E:E),Groups!A:A,Groups!Q:Q),MROUND(_xlfn.XLOOKUP(_xlfn.XLOOKUP(B351,'Base stats'!B:B,'Base stats'!E:E),Groups!A:A,Groups!Q:Q)*_xlfn.XLOOKUP(B351,'Base stats'!B:B,'Base stats'!C:C)^0.165,0.05)))</f>
        <v>No</v>
      </c>
      <c r="U351" s="7" t="str">
        <f>IF(S351="No","No",_xlfn.XLOOKUP(_xlfn.XLOOKUP(B351,'Base stats'!B:B,'Base stats'!E:E),Groups!A:A,Groups!R:R))</f>
        <v>No</v>
      </c>
      <c r="V351" s="7" t="str">
        <f>IF(S351="No","No",_xlfn.XLOOKUP(_xlfn.XLOOKUP(B351,'Base stats'!B:B,'Base stats'!E:E),Groups!A:A,Groups!S:S))</f>
        <v>No</v>
      </c>
      <c r="W351" s="7" t="str">
        <f>IF(S351="No","No",_xlfn.XLOOKUP(_xlfn.XLOOKUP(B351,'Base stats'!B:B,'Base stats'!E:E),Groups!A:A,Groups!T:T))</f>
        <v>No</v>
      </c>
      <c r="X351" s="13" t="str">
        <f>IF(_xlfn.XLOOKUP(B351,'Base stats'!B:B,'Base stats'!W:W)="No","No",MROUND((LOG10(_xlfn.XLOOKUP(B351,'Base stats'!B:B,'Base stats'!AU:AU))*(AO351^0.5)+(_xlfn.XLOOKUP(B351,'Base stats'!B:B,'Base stats'!AU:AU)/1000)^(2/3)+_xlfn.XLOOKUP(B351,'Base stats'!B:B,'Base stats'!AZ:AZ))+0.5+IF(_xlfn.XLOOKUP(_xlfn.XLOOKUP(B351,'Base stats'!B:B,'Base stats'!E:E),Groups!A:A,Groups!U:U)&lt;&gt;3,_xlfn.XLOOKUP(B351,'Base stats'!B:B,'Base stats'!BA:BA),0),0.5))</f>
        <v>No</v>
      </c>
      <c r="Y351" s="7" t="str">
        <f>IF(X351="No","No",MAX(_xlfn.XLOOKUP(_xlfn.XLOOKUP(B351,'Base stats'!B:B,'Base stats'!E:E),Groups!A:A,Groups!V:V),MROUND(_xlfn.XLOOKUP(_xlfn.XLOOKUP(B351,'Base stats'!B:B,'Base stats'!E:E),Groups!A:A,Groups!V:V)*_xlfn.XLOOKUP(B351,'Base stats'!B:B,'Base stats'!C:C)^0.165,0.05)))</f>
        <v>No</v>
      </c>
      <c r="Z351" s="7" t="str">
        <f>IF(X351="No","No",_xlfn.XLOOKUP(_xlfn.XLOOKUP(B351,'Base stats'!B:B,'Base stats'!E:E),Groups!A:A,Groups!W:W))</f>
        <v>No</v>
      </c>
      <c r="AA351" s="7" t="str">
        <f>IF(X351="No","No",_xlfn.XLOOKUP(_xlfn.XLOOKUP(B351,'Base stats'!B:B,'Base stats'!E:E),Groups!A:A,Groups!X:X))</f>
        <v>No</v>
      </c>
      <c r="AB351" s="7" t="str">
        <f>IF(X351="No","No",_xlfn.XLOOKUP(_xlfn.XLOOKUP(B351,'Base stats'!B:B,'Base stats'!E:E),Groups!A:A,Groups!Y:Y))</f>
        <v>No</v>
      </c>
      <c r="AC351" s="7" t="str">
        <f>_xlfn.XLOOKUP(Animals!B351,'Base stats'!B:B,'Base stats'!X:X)</f>
        <v>False</v>
      </c>
      <c r="AD351" s="13">
        <f>IF(_xlfn.XLOOKUP(B351,'Base stats'!B:B,'Base stats'!AT:AT)="No","No",MROUND((LOG10(_xlfn.XLOOKUP(B351,'Base stats'!B:B,'Base stats'!AT:AT))*(AO351^0.75)+(_xlfn.XLOOKUP(B351,'Base stats'!B:B,'Base stats'!AT:AT)/1000)^(2/3)+_xlfn.XLOOKUP(B351,'Base stats'!B:B,'Base stats'!AX:AX)+_xlfn.XLOOKUP(B351,'Base stats'!B:B,'Base stats'!BA:BA))+0.5,0.5))</f>
        <v>28</v>
      </c>
      <c r="AE351" s="7">
        <f>IF(AD351="No","No",MAX(_xlfn.XLOOKUP(_xlfn.XLOOKUP(B351,'Base stats'!B:B,'Base stats'!E:E),Groups!A:A,Groups!Z:Z),MROUND(_xlfn.XLOOKUP(_xlfn.XLOOKUP(B351,'Base stats'!B:B,'Base stats'!E:E),Groups!A:A,Groups!Z:Z)*_xlfn.XLOOKUP(B351,'Base stats'!B:B,'Base stats'!C:C)^0.165,0.05)))</f>
        <v>2.6500000000000004</v>
      </c>
      <c r="AF351" s="7" t="str">
        <f>IF(AD351="No","No",_xlfn.XLOOKUP(_xlfn.XLOOKUP(B351,'Base stats'!B:B,'Base stats'!E:E),Groups!A:A,Groups!AA:AA))</f>
        <v>Teeth</v>
      </c>
      <c r="AG351" s="7" t="str">
        <f>IF(AD351="No","No",_xlfn.XLOOKUP(_xlfn.XLOOKUP(B351,'Base stats'!B:B,'Base stats'!E:E),Groups!A:A,Groups!AB:AB))</f>
        <v>teeth</v>
      </c>
      <c r="AH351" s="7" t="str">
        <f>IF(AD351="No","No",_xlfn.XLOOKUP(_xlfn.XLOOKUP(B351,'Base stats'!B:B,'Base stats'!E:E),Groups!A:A,Groups!AC:AC))</f>
        <v>Bite</v>
      </c>
      <c r="AI351" s="13">
        <f>IF(_xlfn.XLOOKUP(_xlfn.XLOOKUP(B351,'Base stats'!B:B,'Base stats'!E:E),Groups!A:A,Groups!AD:AD)=0,"No",MROUND((LOG10(_xlfn.XLOOKUP(B351,'Base stats'!B:B,'Base stats'!AS:AS))*(AO351^0.75)+(_xlfn.XLOOKUP(B351,'Base stats'!B:B,'Base stats'!AS:AS)/1000)^(2/3)+_xlfn.XLOOKUP(B351,'Base stats'!B:B,'Base stats'!AY:AY)+_xlfn.XLOOKUP(B351,'Base stats'!B:B,'Base stats'!BA:BA))+0.5,0.5))</f>
        <v>38.5</v>
      </c>
      <c r="AJ351" s="7">
        <f>IF(AI351="No","No",MAX(_xlfn.XLOOKUP(_xlfn.XLOOKUP(B351,'Base stats'!B:B,'Base stats'!E:E),Groups!A:A,Groups!AE:AE),MROUND(_xlfn.XLOOKUP(_xlfn.XLOOKUP(B351,'Base stats'!B:B,'Base stats'!E:E),Groups!A:A,Groups!AE:AE)*IF(_xlfn.XLOOKUP(_xlfn.XLOOKUP(B351,'Base stats'!B:B,'Base stats'!E:E),Groups!A:A,Groups!AJ:AJ)="Photonozoa",0.6,1)*_xlfn.XLOOKUP(B351,'Base stats'!B:B,'Base stats'!C:C)^0.165,0.05)))</f>
        <v>2.6500000000000004</v>
      </c>
      <c r="AK351" s="7" t="str">
        <f>IF(AI351="No","No",_xlfn.XLOOKUP(_xlfn.XLOOKUP(B351,'Base stats'!B:B,'Base stats'!E:E),Groups!A:A,Groups!AF:AF))</f>
        <v>FrontLeftClaws, FrontRightClaws</v>
      </c>
      <c r="AL351" s="7" t="str">
        <f>IF(AI351="No","No",_xlfn.XLOOKUP(_xlfn.XLOOKUP(B351,'Base stats'!B:B,'Base stats'!E:E),Groups!A:A,Groups!AG:AG))</f>
        <v>left claw, right claw</v>
      </c>
      <c r="AM351" s="7" t="str">
        <f>IF(AI351="No","No",_xlfn.XLOOKUP(_xlfn.XLOOKUP(B351,'Base stats'!B:B,'Base stats'!E:E),Groups!A:A,Groups!AH:AH))</f>
        <v>Scratch</v>
      </c>
      <c r="AN351" s="2">
        <f t="shared" si="35"/>
        <v>35</v>
      </c>
      <c r="AO351" s="2">
        <f>MROUND(IF(AND(_xlfn.XLOOKUP(B351,'Base stats'!B:B,'Base stats'!C:C)&gt;=0.5,_xlfn.XLOOKUP(B351,'Base stats'!B:B,'Base stats'!C:C)&lt;=0.8),
IF(_xlfn.XLOOKUP(B351,'Base stats'!B:B,'Base stats'!C:C)&lt;0.1,0.05,IF(_xlfn.XLOOKUP(B351,'Base stats'!B:B,'Base stats'!C:C)&lt;=70,(_xlfn.XLOOKUP(B351,'Base stats'!B:B,'Base stats'!C:C)/70)^0.426489913056526,IF(_xlfn.XLOOKUP(B351,'Base stats'!B:B,'Base stats'!C:C)&lt;=400,(_xlfn.XLOOKUP(B351,'Base stats'!B:B,'Base stats'!C:C)/70)^0.572811455315093,IF(_xlfn.XLOOKUP(B351,'Base stats'!B:B,'Base stats'!C:C)&lt;=2000,2.71391647193063*(_xlfn.XLOOKUP(B351,'Base stats'!B:B,'Base stats'!C:C)/400)^0.252459582904293,3.74314280240376*(_xlfn.XLOOKUP(B351,'Base stats'!B:B,'Base stats'!C:C)/2000)^0.357012633876913)))),
IF(_xlfn.XLOOKUP(B351,'Base stats'!B:B,'Base stats'!C:C)&lt;0.1,0.05,IF(_xlfn.XLOOKUP(B351,'Base stats'!B:B,'Base stats'!C:C)&lt;0.4,0.1,IF(_xlfn.XLOOKUP(B351,'Base stats'!B:B,'Base stats'!C:C)&lt;=70,(_xlfn.XLOOKUP(B351,'Base stats'!B:B,'Base stats'!C:C)/70)^0.445823913056526,IF(_xlfn.XLOOKUP(B351,'Base stats'!B:B,'Base stats'!C:C)&lt;=400,(_xlfn.XLOOKUP(B351,'Base stats'!B:B,'Base stats'!C:C)/70)^0.572811455315093,IF(_xlfn.XLOOKUP(B351,'Base stats'!B:B,'Base stats'!C:C)&lt;=2000,2.71391647193063*(_xlfn.XLOOKUP(B351,'Base stats'!B:B,'Base stats'!C:C)/400)^0.252459582904293,3.74314280240376*(_xlfn.XLOOKUP(B351,'Base stats'!B:B,'Base stats'!C:C)/2000)^0.357012633876913)))))),
IF(_xlfn.XLOOKUP(B351,'Base stats'!B:B,'Base stats'!C:C)&lt;0.1,0.05,IF(_xlfn.XLOOKUP(B351,'Base stats'!B:B,'Base stats'!C:C)&lt;=100,0.05,IF(_xlfn.XLOOKUP(B351,'Base stats'!B:B,'Base stats'!C:C)&lt;=250,0.1,IF(_xlfn.XLOOKUP(B351,'Base stats'!B:B,'Base stats'!C:C)&lt;=4000,0.25,0.5)))))</f>
        <v>3.75</v>
      </c>
      <c r="AP351" s="8">
        <f>MROUND(AO351*_xlfn.XLOOKUP(_xlfn.XLOOKUP(B351,'Base stats'!B:B,'Base stats'!E:E),Groups!A:A,Groups!AI:AI)*_xlfn.XLOOKUP(B351,'Base stats'!B:B,'Base stats'!Z:Z),0.05)</f>
        <v>4.5</v>
      </c>
      <c r="AQ351" s="8">
        <f>MAX(0.01,MROUND(IF(CC351="True",0.196*(AO351*100*1000)^0.889,IF(_xlfn.XLOOKUP(_xlfn.XLOOKUP(B351,'Base stats'!B:B,'Base stats'!E:E),Groups!A:A,Groups!AJ:AJ)="Bird",10.5*(AO351*100*1000)^0.681,4.82*(AO351*100*1000)^0.734))/(4.82*(1*100*1000)^0.734)/IF(AO351&lt;3.5,2,IF(AO351=3.5,1.5,1.25))*(1+0.132282374779864/(AO351^0.994035016789033+0.00905238001496948)),0.05))</f>
        <v>2.4000000000000004</v>
      </c>
      <c r="AR351" s="9">
        <f>IFERROR(MROUND(_xlfn.XLOOKUP(B351,'Base stats'!B:B,'Base stats'!H:H)/IF(_xlfn.XLOOKUP(B351,'Base stats'!B:B,'Base stats'!I:I)&lt;&gt;1,(122.5/70),1.2),IF(_xlfn.XLOOKUP(B351,'Base stats'!B:B,'Base stats'!H:H)&gt;=30,5,IF(_xlfn.XLOOKUP(B351,'Base stats'!B:B,'Base stats'!H:H)&gt;=15,3,IF(_xlfn.XLOOKUP(B351,'Base stats'!B:B,'Base stats'!H:H)&gt;=10,2,1)))),"Immortal")</f>
        <v>21</v>
      </c>
      <c r="AS351" s="35" t="str">
        <f>IFERROR(IF(OR(_xlfn.XLOOKUP(B351,'Base stats'!B:B,'Base stats'!F:F)="Atypical reproduction",_xlfn.XLOOKUP(B351,'Base stats'!B:B,'Base stats'!F:F)="Lay eggs"),"Lay eggs",MIN(20,MAX(5.5,ROUND(((_xlfn.XLOOKUP(B351,'Base stats'!B:B,'Base stats'!F:F)-25)*(14.5/615) + 5.5)*2,0)/2))),"Unknown")</f>
        <v>Lay eggs</v>
      </c>
      <c r="AT351" s="8">
        <f>IF(_xlfn.XLOOKUP(B351,'Base stats'!B:B,'Base stats'!G:G)="Atypical reproduction","No",IFERROR(MAX(IF(_xlfn.XLOOKUP(B351,'Base stats'!B:B,'Base stats'!G:G)&lt;0.5,0.2,0.3),MROUND(_xlfn.XLOOKUP(B351,'Base stats'!B:B,'Base stats'!G:G)/(365/60),0.2)),"Unknown"))</f>
        <v>1.6</v>
      </c>
      <c r="AU351" s="8">
        <f t="shared" si="36"/>
        <v>0.8</v>
      </c>
      <c r="AV351" s="8" t="str">
        <f>IFERROR(IFERROR(MROUND(_xlfn.XLOOKUP(B351,'Base stats'!B:B,'Base stats'!J:J),0.1),"Lay eggs"),"Cannot breed")</f>
        <v>Lay eggs</v>
      </c>
      <c r="AW351" s="2" t="str">
        <f t="shared" si="37"/>
        <v>false</v>
      </c>
      <c r="AX351" s="2" t="str">
        <f>IF(_xlfn.XLOOKUP(_xlfn.XLOOKUP(Animals!B351,'Base stats'!B:B,'Base stats'!E:E),Groups!A:A,Groups!AK:AK)=1,"true","false")</f>
        <v>false</v>
      </c>
      <c r="AY351" s="25" t="str">
        <f>IF(_xlfn.XLOOKUP(B351,'Base stats'!B:B,'Base stats'!Y:Y)="Liquor","Liquor, CarnivoreAnimalStrict",IF(AND(_xlfn.XLOOKUP(B351,'Base stats'!B:B,'Base stats'!Y:Y)="Carnivore",_xlfn.XLOOKUP(_xlfn.XLOOKUP(B351,'Base stats'!B:B,'Base stats'!E:E),Groups!A:A,Groups!AJ:AJ)="Photonozoa"),"CarnivoreAnimalStrict, OvivoreAnimal",IF(_xlfn.XLOOKUP(B351,'Base stats'!B:B,'Base stats'!Y:Y)="Carnivore","CarnivoreAnimal, OvivoreAnimal",IF(_xlfn.XLOOKUP(B351,'Base stats'!B:B,'Base stats'!Y:Y)="Dendrovore","VegetarianRoughAnimal, DendrovoreAnimal",IF(_xlfn.XLOOKUP(B351,'Base stats'!B:B,'Base stats'!Y:Y)="Herbivore","VegetarianRoughAnimal",IF(_xlfn.XLOOKUP(B351,'Base stats'!B:B,'Base stats'!Y:Y)="OmnivoreRough","OmnivoreRoughAnimal, OvivoreAnimal","OmnivoreAnimal, OvivoreAnimal"))))))</f>
        <v>CarnivoreAnimal, OvivoreAnimal</v>
      </c>
      <c r="AZ351" s="2" t="str">
        <f>IF(_xlfn.XLOOKUP(_xlfn.XLOOKUP(B351,'Base stats'!B:B,'Base stats'!E:E),Groups!A:A,Groups!D:D)=1,MROUND((1-J351)*5+1,2)*IF(J351&lt;=0.4,2,1),"No")</f>
        <v>No</v>
      </c>
      <c r="BA351" s="2" t="str">
        <f>IF(AND(_xlfn.XLOOKUP(B351,'Base stats'!B:B,'Base stats'!AH:AH)="&lt;li&gt;Seal&lt;/li&gt;",G351="Odyssey"),"&lt;li&gt;AEXP_Seal&lt;/li&gt;",_xlfn.XLOOKUP(B351,'Base stats'!B:B,'Base stats'!AH:AH))</f>
        <v>No</v>
      </c>
      <c r="BB351" s="2" t="str">
        <f>_xlfn.XLOOKUP(B351,'Base stats'!B:B,'Base stats'!AG:AG)</f>
        <v>Leather_Spinosaurus</v>
      </c>
      <c r="BC351" s="23" t="str">
        <f>_xlfn.XLOOKUP(_xlfn.XLOOKUP(B351,'Base stats'!B:B,'Base stats'!E:E),Groups!A:A,Groups!AL:AL)</f>
        <v>Theropod</v>
      </c>
      <c r="BD351" s="23">
        <f>MIN(1,MROUND(IF(AND(AO351&lt;0.5,_xlfn.XLOOKUP(B351,'Base stats'!B:B,'Base stats'!AA:AA)=0),0,IF(OR(_xlfn.XLOOKUP(Animals!B351,'Base stats'!B:B,'Base stats'!O:O)=2,_xlfn.XLOOKUP(_xlfn.XLOOKUP(B351,'Base stats'!B:B,'Base stats'!E:E),Groups!A:A,Groups!AN:AN)=0),0,_xlfn.XLOOKUP(_xlfn.XLOOKUP(B351,'Base stats'!B:B,'Base stats'!E:E),Groups!A:A,Groups!AN:AN)/IF(_xlfn.XLOOKUP(Animals!B351,'Base stats'!B:B,'Base stats'!O:O)=1,2,1)))+_xlfn.XLOOKUP(B351,'Base stats'!B:B,'Base stats'!AC:AC),0.005))</f>
        <v>0.1</v>
      </c>
      <c r="BE351" s="23">
        <f>MIN(1,MROUND(IF(AND(AO351&lt;0.5,_xlfn.XLOOKUP(B351,'Base stats'!B:B,'Base stats'!AA:AA)=0),0,IF(_xlfn.XLOOKUP(_xlfn.XLOOKUP(B351,'Base stats'!B:B,'Base stats'!E:E),Groups!A:A,Groups!AO:AO)=0,0,_xlfn.XLOOKUP(_xlfn.XLOOKUP(B351,'Base stats'!B:B,'Base stats'!E:E),Groups!A:A,Groups!AO:AO)/IF(_xlfn.XLOOKUP(Animals!B351,'Base stats'!B:B,'Base stats'!O:O)=2,3,1)))+_xlfn.XLOOKUP(B351,'Base stats'!B:B,'Base stats'!AD:AD),0.005))</f>
        <v>0.3</v>
      </c>
      <c r="BF351" s="2" t="str">
        <f>IF(J351&gt;0.3,"No",_xlfn.XLOOKUP(_xlfn.XLOOKUP(Animals!B351,'Base stats'!B:B,'Base stats'!E:E),Groups!A:A,Groups!AP:AP))</f>
        <v>No</v>
      </c>
      <c r="BG351" s="2" t="str">
        <f>IF(AND(J351&lt;=0.65,_xlfn.XLOOKUP(_xlfn.XLOOKUP(Animals!B351,'Base stats'!B:B,'Base stats'!E:E),Groups!A:A,Groups!AP:AP)&lt;&gt;"No",_xlfn.XLOOKUP(_xlfn.XLOOKUP(B351,'Base stats'!B:B,'Base stats'!E:E),Groups!A:A,Groups!D:D)=0),MROUND((80/3)*IF(_xlfn.XLOOKUP(B351,'Base stats'!B:B,'Base stats'!O:O)=2,0.2,AO351) + 24*(1-IF(BF351="No",0,BF351)) + 16/3, 12),"No")</f>
        <v>No</v>
      </c>
      <c r="BH351" s="2">
        <f>IF(AND(_xlfn.XLOOKUP(_xlfn.XLOOKUP(B351,'Base stats'!B:B,'Base stats'!E:E),Groups!A:A,Groups!AQ:AQ)=1,AO351&lt;=0.35),8,12)</f>
        <v>12</v>
      </c>
      <c r="BI351" s="2" t="str">
        <f>IF(_xlfn.XLOOKUP(_xlfn.XLOOKUP(B351,'Base stats'!B:B,'Base stats'!E:E),Groups!A:A,Groups!D:D)=0,_xlfn.XLOOKUP(_xlfn.XLOOKUP(B351,'Base stats'!B:B,'Base stats'!E:E),Groups!A:A,Groups!AR:AR),"None")</f>
        <v>Intermediate</v>
      </c>
      <c r="BJ351" s="2" t="str">
        <f>IF(AND(_xlfn.XLOOKUP(_xlfn.XLOOKUP(B351,'Base stats'!B:B,'Base stats'!E:E),Groups!A:A,Groups!AS:AS)=1,OR(_xlfn.XLOOKUP(B351,'Base stats'!B:B,'Base stats'!Y:Y)="Carnivore",_xlfn.XLOOKUP(B351,'Base stats'!B:B,'Base stats'!Y:Y)="Omnivore")),"true","false")</f>
        <v>true</v>
      </c>
      <c r="BK351" s="2">
        <f>IF(BJ351="true",MROUND(IF(AND(AO351&gt;0.5,OR(_xlfn.XLOOKUP(_xlfn.XLOOKUP(B351,'Base stats'!B:B,'Base stats'!E:E),Groups!A:A,Groups!AJ:AJ)="Photonozoa",_xlfn.XLOOKUP(_xlfn.XLOOKUP(B351,'Base stats'!B:B,'Base stats'!E:E),Groups!A:A,Groups!AJ:AJ)="Mammal")),Animals!AO351*1.75*IF(AW351="true",1.5,1),IF(AO351&lt;0.5,Animals!AO351*0.5,Animals!AO351)),IF(AO351&gt;2,0.5,IF(AO351&gt;0.5,0.25,0.1))),"No")</f>
        <v>4</v>
      </c>
      <c r="BL351" s="2">
        <f t="shared" si="38"/>
        <v>1</v>
      </c>
      <c r="BM351" s="25" t="str">
        <f>IF(_xlfn.XLOOKUP(B351,'Base stats'!B:B,'Base stats'!AN:AN)="Standard","No",MROUND((_xlfn.XLOOKUP(B351,'Base stats'!B:B,'Base stats'!AN:AN)/3.6)/I351,0.1))</f>
        <v>No</v>
      </c>
      <c r="BN351" s="25" t="str">
        <f t="shared" si="39"/>
        <v>false</v>
      </c>
      <c r="BO351" s="25" t="str">
        <f>IF(AND(OR(_xlfn.XLOOKUP(B351,'Base stats'!B:B,'Base stats'!Y:Y)="Carnivore",_xlfn.XLOOKUP(B351,'Base stats'!B:B,'Base stats'!Y:Y)="Omnivore",_xlfn.XLOOKUP(B351,'Base stats'!B:B,'Base stats'!Y:Y)="OmnivoreRough"),_xlfn.XLOOKUP(_xlfn.XLOOKUP(B351,'Base stats'!B:B,'Base stats'!E:E),Groups!A:A,Groups!AT:AT)=1),"true","false")</f>
        <v>false</v>
      </c>
      <c r="BP351" s="25" t="str" cm="1">
        <f t="array" ref="BP351">IF(
  _xlfn.TEXTJOIN(", ",TRUE,
    IF(AND(BJ351="true",AO351&gt;0.5,BI351&lt;&gt;"None"),"AttackTarget",""),
    IF(AND(_xlfn.XLOOKUP(_xlfn.XLOOKUP(B351,'Base stats'!B:B,'Base stats'!E:E),Groups!A:A,Groups!AJ:AJ="Mammal"),OR(_xlfn.XLOOKUP(B351,'Base stats'!B:B,'Base stats'!Y:Y)="Omnivore",_xlfn.XLOOKUP(B351,'Base stats'!B:B,'Base stats'!Y:Y)="OmnivoreRough")),"Forage",""),
    IF(BG351&lt;=36,"Comfort",""),
    IF(_xlfn.XLOOKUP(B351,'Base stats'!B:B,'Base stats'!AE:AE)&lt;&gt;"No",_xlfn.XLOOKUP(B351,'Base stats'!B:B,'Base stats'!AE:AE),"")
  ) = "",
  "No",
  _xlfn.TEXTJOIN(", ",TRUE,
    IF(AND(BJ351="true",AO351&gt;0.5,BI351&lt;&gt;"None"),"AttackTarget",""),
    IF(AND(_xlfn.XLOOKUP(_xlfn.XLOOKUP(B351,'Base stats'!B:B,'Base stats'!E:E),Groups!A:A,Groups!AJ:AJ="Mammal"),OR(_xlfn.XLOOKUP(B351,'Base stats'!B:B,'Base stats'!Y:Y)="Omnivore",_xlfn.XLOOKUP(B351,'Base stats'!B:B,'Base stats'!Y:Y)="OmnivoreRough")),"Forage",""),
    IF(BG351&lt;=36,"Comfort",""),
    IF(_xlfn.XLOOKUP(B351,'Base stats'!B:B,'Base stats'!AE:AE)&lt;&gt;"No",_xlfn.XLOOKUP(B351,'Base stats'!B:B,'Base stats'!AE:AE),"")
  )
)</f>
        <v>AttackTarget</v>
      </c>
      <c r="BQ351" s="25" t="str">
        <f>IF(
   AND(
      'Base stats'!AN351="Standard",_xlfn.XLOOKUP(_xlfn.XLOOKUP(B351,'Base stats'!B:B,'Base stats'!E:E),Groups!A:A,Groups!AU:AU)=0,
      OR(
      BO351="True"
      )
   ),
   10,
   IF(
       OR(BM351&lt;&gt;"No",_xlfn.XLOOKUP(_xlfn.XLOOKUP(B351,'Base stats'!B:B,'Base stats'!E:E),Groups!A:A,Groups!AU:AU)=1),
      1,
      "No"
   )
)</f>
        <v>No</v>
      </c>
      <c r="BR351" s="9">
        <f>MROUND((1 + ((0.2*IF(OR(Q351="No",R351="No",R351=0),0,Q351/R351)
+IF(OR(V351="No",S351="No",T351="No"),0,S351/T351*(LEN(V351)-LEN(SUBSTITUTE(V351,",",""))+1))
+IF(OR(X351="No",Y351="No"),0,X351/Y351)
+IF(OR(AD351="No",AE351="No"),0,AD351/AE351)
+IF(OR(AL351="No",AI351="No",AJ351="No"),0,AI351/AJ351*(LEN(AL351)-LEN(SUBSTITUTE(AL351,",",""))+1))
)/(0.2*IF(OR(Q351="No",R351="No",R351=0),0,1)
+IF(OR(V351="No",S351="No",T351="No"),0,LEN(V351)-LEN(SUBSTITUTE(V351,",",""))+1)
+IF(OR(X351="No",Y351="No"),0,1)
+IF(OR(AD351="No",AE351="No"),0,1)
+IF(OR(AL351="No",AI351="No",AJ351="No"),0,LEN(AL351)-LEN(SUBSTITUTE(AL351,",",""))+1))*62%)* 2)*(1 + (AP351 / (IF(_xlfn.XLOOKUP(_xlfn.XLOOKUP(B351,'Base stats'!B:B,'Base stats'!E:E),Groups!A:A,Groups!AJ:AJ)="Photonozoa",0.3,1)) + _xlfn.XLOOKUP(B351,'Base stats'!B:B,'Base stats'!AV:AV) * 1.8) * 2) * 2.5 + 10 + I351 * 2,5)+IF(_xlfn.XLOOKUP(B351,'Base stats'!B:B,'Base stats'!AK:AK)=1,50,0)</f>
        <v>440</v>
      </c>
      <c r="BS351" s="8">
        <f t="shared" si="40"/>
        <v>2.6500000000000004</v>
      </c>
      <c r="BT351" s="8" t="str">
        <f>_xlfn.XLOOKUP(B351,'Base stats'!B:B,'Base stats'!AF:AF)</f>
        <v>No</v>
      </c>
      <c r="BU351" s="2" t="str">
        <f>IF(AND(J351&lt;=0.95,OR(_xlfn.XLOOKUP(B351,'Base stats'!B:B,'Base stats'!AK:AK)=1,_xlfn.XLOOKUP(B351,'Base stats'!B:B,'Base stats'!Y:Y)="Carnivore",_xlfn.XLOOKUP(B351,'Base stats'!B:B,'Base stats'!Y:Y)="Omnivore",BE351&gt;0.1)),"true","false")</f>
        <v>true</v>
      </c>
      <c r="BV351" s="2" t="str">
        <f>IF(_xlfn.XLOOKUP(B351,'Base stats'!B:B,'Base stats'!AI:AI)=1,"true","false")</f>
        <v>false</v>
      </c>
      <c r="BW351" s="25" t="str">
        <f>IF(E351="BaseInsect","AnimalInsect",
IF(J351&gt;0.95,"AnimalExotic",
_xlfn.TEXTJOIN(", ",TRUE,
IF(OR(_xlfn.XLOOKUP(B351,'Base stats'!B:B,'Base stats'!AM:AM)=1,AND(_xlfn.XLOOKUP(B351,'Base stats'!B:B,'Base stats'!O:O)=0,_xlfn.XLOOKUP(_xlfn.XLOOKUP(B351,'Base stats'!B:B,'Base stats'!E:E),Groups!A:A,Groups!B:B)&gt;0)),"AnimalUncommon","AnimalCommon"),
IF(AND(_xlfn.XLOOKUP(B351,'Base stats'!B:B,'Base stats'!O:O)=2,_xlfn.XLOOKUP(_xlfn.XLOOKUP(B351,'Base stats'!B:B,'Base stats'!E:E),Groups!A:A,Groups!D:D)=0),"AnimalPet",IF(AND(_xlfn.XLOOKUP(B351,'Base stats'!B:B,'Base stats'!O:O)&lt;&gt;0,_xlfn.XLOOKUP(_xlfn.XLOOKUP(B351,'Base stats'!B:B,'Base stats'!E:E),Groups!A:A,Groups!D:D)&lt;&gt;0),"AnimalFarm","")),
IF(OR(_xlfn.XLOOKUP(B351,'Base stats'!B:B,'Base stats'!AK:AK)=1,AND(BI351&lt;&gt;"None",BR351&gt;=60),ISNUMBER(SEARCH("Attack target",BP351))),"AnimalFighter","")
)))</f>
        <v>AnimalUncommon, AnimalFighter</v>
      </c>
      <c r="BX351" s="25" t="str">
        <f>IF(G351="None",TRIM(
SUBSTITUTE(
IF(COUNTIF(Biomes!B$2:B$259,"="&amp;$C351)&gt;0,Biomes!B$1&amp;", ","")&amp;
IF(COUNTIF(Biomes!C$2:C$259,"="&amp;$C351)&gt;0,Biomes!C$1&amp;", ","")&amp;
IF(COUNTIF(Biomes!D$2:D$259,"="&amp;$C351)&gt;0,Biomes!D$1&amp;", ","")&amp;
IF(COUNTIF(Biomes!F$2:F$259,"="&amp;$C351)&gt;0,Biomes!F$1&amp;", ","")&amp;
IF(COUNTIF(Biomes!G$2:G$259,"="&amp;$C351)&gt;0,Biomes!G$1&amp;", ","")&amp;
IF(COUNTIF(Biomes!H$2:H$259,"="&amp;$C351)&gt;0,Biomes!H$1&amp;", ","")&amp;
IF(COUNTIF(Biomes!I$2:I$259,"="&amp;$C351)&gt;0,Biomes!I$1&amp;", ","")&amp;
IF(COUNTIF(Biomes!J$2:J$259,"="&amp;$C351)&gt;0,Biomes!J$1&amp;", ","")&amp;
IF(COUNTIF(Biomes!M$2:M$259,"="&amp;$C351)&gt;0,Biomes!M$1&amp;", ","")&amp;
IF(COUNTIF(Biomes!N$2:N$259,"="&amp;$C351)&gt;0,Biomes!N$1&amp;", ","")&amp;
IF(COUNTIF(Biomes!O$2:O$259,"="&amp;$C351)&gt;0,Biomes!O$1&amp;", ","")&amp;
IF(COUNTIF(Biomes!P$2:P$259,"="&amp;$C351)&gt;0,Biomes!P$1&amp;", ","")&amp;
IF(COUNTIF(Biomes!K$2:K$259,"="&amp;$C351)&gt;0,Biomes!K$1&amp;", ","")&amp;
IF(COUNTIF(Biomes!Q$3:Q$259,"="&amp;$C351)&gt;0,Biomes!Q$1&amp;", ","")&amp;
IF(COUNTIF(Biomes!L$2:L$259,"="&amp;$C351)&gt;0,Biomes!L$1&amp;", ","")&amp;
IF(COUNTIF(Biomes!E$2:E$259,"="&amp;$C351)&gt;0,Biomes!E$1&amp;", ","")&amp;IF(COUNTIF(Biomes!S$2:S$259,"="&amp;$C351)&gt;0,Biomes!S$1&amp;", ","")&amp;
IF(COUNTIF(Biomes!R$2:R$259,"="&amp;$C351)&gt;0,Biomes!R$1&amp;", ",""),", ","")
),_xlfn.XLOOKUP(B351,B:B,BX:BX))</f>
        <v>TropicalRainforest TropicalSwamp Glowforest</v>
      </c>
      <c r="BY351" s="25" t="str">
        <f>IF(_xlfn.XLOOKUP(B351,'Base stats'!B:B,'Base stats'!AJ:AJ)=1,"true","false")</f>
        <v>false</v>
      </c>
      <c r="BZ351" s="25">
        <f>IF(_xlfn.XLOOKUP(B351,'Base stats'!B:B,'Base stats'!N:N)=1,"No",MAX(0.001,MIN(MROUND(IF(AND(BJ351="True",CC351="False"),POWER(10,3.47*LOG10(_xlfn.XLOOKUP(B351,'Base stats'!B:B,'Base stats'!C:C)*1000)^-0.96),POWER(10,4.15*LOG10(_xlfn.XLOOKUP(B351,'Base stats'!B:B,'Base stats'!C:C)*1000)^-0.73))*IF(_xlfn.XLOOKUP(B351,'Base stats'!B:B,'Base stats'!AK:AK)=1,0.5,1)*IF(_xlfn.XLOOKUP(B351,'Base stats'!B:B,'Base stats'!AM:AM)=1,0.1,1)/100,IF(_xlfn.XLOOKUP(B351,'Base stats'!B:B,'Base stats'!AM:AM)=1,0.001,0.025)),0.5)))</f>
        <v>0.05</v>
      </c>
      <c r="CA351" s="25" t="str">
        <f>IF(P351="Standard","No",MAX(0.001,MIN(MROUND(IF(AND(BJ351="True",CC351="False"),POWER(10,3.47*LOG10(_xlfn.XLOOKUP(B351,'Base stats'!B:B,'Base stats'!C:C)*1000)^-0.96),POWER(10,4.15*LOG10(_xlfn.XLOOKUP(B351,'Base stats'!B:B,'Base stats'!C:C)*1000)^-0.73))*IF(_xlfn.XLOOKUP(B351,'Base stats'!B:B,'Base stats'!AM:AM)=1,0.1,1)*_xlfn.XLOOKUP(B351,'Base stats'!B:B,'Base stats'!R:R)/100,IF(_xlfn.XLOOKUP(B351,'Base stats'!B:B,'Base stats'!AM:AM)=1,0.001,0.025)),0.5)))</f>
        <v>No</v>
      </c>
      <c r="CB351" s="25" t="str">
        <f>IF(_xlfn.XLOOKUP(_xlfn.XLOOKUP(B351,'Base stats'!B:B,'Base stats'!E:E),Groups!A:A,Groups!AJ:AJ)="Mammal","True","False")</f>
        <v>False</v>
      </c>
      <c r="CC351" s="25" t="str">
        <f>IF(OR(_xlfn.XLOOKUP(_xlfn.XLOOKUP(B351,'Base stats'!B:B,'Base stats'!E:E),Groups!A:A,Groups!AJ:AJ)="Reptile",_xlfn.XLOOKUP(_xlfn.XLOOKUP(B351,'Base stats'!B:B,'Base stats'!E:E),Groups!A:A,Groups!AJ:AJ)="Amphibian",_xlfn.XLOOKUP(_xlfn.XLOOKUP(B351,'Base stats'!B:B,'Base stats'!E:E),Groups!A:A,Groups!AJ:AJ)="Invertebrate"),"True","False")</f>
        <v>False</v>
      </c>
      <c r="CD351" s="25" t="str">
        <f t="shared" si="41"/>
        <v>False</v>
      </c>
      <c r="CE351" s="25" t="str">
        <f>IF(_xlfn.XLOOKUP(_xlfn.XLOOKUP(B351,'Base stats'!B:B,'Base stats'!E:E),Groups!A:A,Groups!AX:AX),"True","False")</f>
        <v>False</v>
      </c>
      <c r="CF351" s="25" t="str">
        <f>IF(_xlfn.XLOOKUP(_xlfn.XLOOKUP(B351,'Base stats'!B:B,'Base stats'!E:E),Groups!A:A,Groups!AY:AY),"True","False")</f>
        <v>False</v>
      </c>
      <c r="CG351" s="25" t="str">
        <f>IF(_xlfn.XLOOKUP(_xlfn.XLOOKUP(B351,'Base stats'!B:B,'Base stats'!E:E),Groups!A:A,Groups!AW:AW),"True","False")</f>
        <v>False</v>
      </c>
      <c r="CH351" s="25" t="str">
        <f>IF(
OR(
_xlfn.XLOOKUP(_xlfn.XLOOKUP(B351,'Base stats'!B:B,'Base stats'!E:E),Groups!A:A,Groups!AZ:AZ)=0,
AND(
_xlfn.XLOOKUP(B351,'Base stats'!B:B,'Base stats'!Y:Y)&lt;&gt;"Carnivore",
_xlfn.XLOOKUP(B351,'Base stats'!B:B,'Base stats'!Y:Y)&lt;&gt;"Omnivore",
_xlfn.XLOOKUP(B351,'Base stats'!B:B,'Base stats'!Y:Y)&lt;&gt;"OmnivoreRough"
)
),
"No",
IF(
_xlfn.XLOOKUP(_xlfn.XLOOKUP(B351,'Base stats'!B:B,'Base stats'!E:E),Groups!A:A,Groups!AZ:AZ)=1,
"Flesh",
IF(
_xlfn.XLOOKUP(_xlfn.XLOOKUP(B351,'Base stats'!B:B,'Base stats'!E:E),Groups!A:A,Groups!AZ:AZ)=2,
"Bone",
""
)
)
)</f>
        <v>No</v>
      </c>
      <c r="CI351" s="25" t="str">
        <f>IF(_xlfn.XLOOKUP(_xlfn.XLOOKUP(B351,'Base stats'!B:B,'Base stats'!E:E),Groups!A:A,Groups!BB:BB),"True","False")</f>
        <v>False</v>
      </c>
      <c r="CJ351" s="25" t="str">
        <f>IF(_xlfn.XLOOKUP(_xlfn.XLOOKUP(B351,'Base stats'!B:B,'Base stats'!E:E),Groups!A:A,Groups!BA:BA),"True","False")</f>
        <v>False</v>
      </c>
    </row>
    <row r="352" spans="1:88" ht="16.5" thickTop="1" thickBot="1" x14ac:dyDescent="0.3">
      <c r="A352" s="26" t="s">
        <v>1923</v>
      </c>
      <c r="B352" s="6" t="str">
        <f>_xlfn.XLOOKUP(A352,'Base stats'!A:A,'Base stats'!B:B)</f>
        <v>Ankylosaurus magniventris</v>
      </c>
      <c r="C352" s="28" t="s">
        <v>1932</v>
      </c>
      <c r="D352" s="28" t="s">
        <v>1898</v>
      </c>
      <c r="E352" s="28" t="s">
        <v>673</v>
      </c>
      <c r="F352" s="28" t="s">
        <v>673</v>
      </c>
      <c r="G352" s="28" t="s">
        <v>673</v>
      </c>
      <c r="H352" s="2">
        <f>MROUND((
  (IF(AND(_xlfn.XLOOKUP(B352,'Base stats'!B:B,'Base stats'!AL:AL)=0,BI352="None",_xlfn.XLOOKUP(_xlfn.XLOOKUP(B352,'Base stats'!B:B,'Base stats'!E:E),Groups!A:A,Groups!B:B)=0), (18 + BR352 * 2.7) * 0.5,
    IF(AND(_xlfn.XLOOKUP(B352,'Base stats'!B:B,'Base stats'!AL:AL)=0,OR(AO352&lt;0.55,AND(BI352="Intermediate",_xlfn.XLOOKUP(_xlfn.XLOOKUP(B352,'Base stats'!B:B,'Base stats'!E:E),Groups!A:A,Groups!B:B)&lt;2))), (18 + BR352 * 2.7),
      IF(OR(BI352="Advanced",_xlfn.XLOOKUP(B352,'Base stats'!B:B,'Base stats'!AL:AL)=1,_xlfn.XLOOKUP(_xlfn.XLOOKUP(B352,'Base stats'!B:B,'Base stats'!E:E),Groups!A:A,Groups!B:B)=2), (18 + BR352 * 2.7) + 250, (18 + BR352 * 2.7))
    )
  ))
  + AO352 * 80
  + IF(COUNTIF(EggMilk!K$2:K$998, A352) &gt; 0, 125, 0)
  + IF(COUNTIF(EggMilk!P$2:P$998, A352) &gt; 0, 90, 0)
  + IF(COUNTIF(EggMilk!A$2:A$998, A352) &gt; 0, 90, 0)
)
* (0.8 + 0.4 * J352)
* 0.75,25)</f>
        <v>1850</v>
      </c>
      <c r="I352" s="2">
        <f>MROUND(ROUNDDOWN(_xlfn.XLOOKUP(B352,'Base stats'!B:B,'Base stats'!L:L)/3.6/(23.3/11),1),0.5)</f>
        <v>2.5</v>
      </c>
      <c r="J352" s="2">
        <f>IF(OR(_xlfn.XLOOKUP(B352,'Base stats'!B:B,'Base stats'!AB:AB)=1,_xlfn.XLOOKUP(_xlfn.XLOOKUP(B352,'Base stats'!B:B,'Base stats'!E:E),Groups!A:A,Groups!C:C)="Untamable"),1,IF(_xlfn.XLOOKUP(B352,'Base stats'!B:B,'Base stats'!AL:AL)=1,0.99,MIN(MROUND((1-0.6282*EXP(-0.459*AO352))*_xlfn.XLOOKUP(_xlfn.XLOOKUP(B352,'Base stats'!B:B,'Base stats'!E:E),Groups!A:A,Groups!C:C)*IF(_xlfn.XLOOKUP(B352,'Base stats'!B:B,'Base stats'!O:O)=1,0.5,IF(_xlfn.XLOOKUP(B352,'Base stats'!B:B,'Base stats'!O:O)=2,0,1)),0.05),IF(AO352&gt;3.5,0.985,0.95))))</f>
        <v>0.95000000000000007</v>
      </c>
      <c r="K352" s="2">
        <f>ROUNDUP(AO352*_xlfn.XLOOKUP(_xlfn.XLOOKUP(B352,'Base stats'!B:B,'Base stats'!E:E),Groups!A:A,Groups!E:E),0)</f>
        <v>28</v>
      </c>
      <c r="L352" s="2">
        <f>IF(OR(_xlfn.XLOOKUP(_xlfn.XLOOKUP(B352,'Base stats'!B:B,'Base stats'!E:E),Groups!A:A,Groups!F:F)=2,ISNUMBER(SEARCH("SeaIce",BX352)),ISNUMBER(SEARCH("IceSheet",BX352))),-50,IF(OR(ISNUMBER(SEARCH("GlacialPlain",BX352)),ISNUMBER(SEARCH("Tundra",BX352))),-40,IF(OR(ISNUMBER(SEARCH("Alpine",BX352)),ISNUMBER(SEARCH("BorealForest",BX352)),ISNUMBER(SEARCH("ColdBog",BX352))),-30,IF(OR(ISNUMBER(SEARCH("TemperateForest",BX352)),ISNUMBER(SEARCH("TemperateSwamp",BX352))),-20,IF(_xlfn.XLOOKUP(_xlfn.XLOOKUP(B352,'Base stats'!B:B,'Base stats'!E:E),Groups!A:A,Groups!F:F)=1,-15,IF(OR(ISNUMBER(SEARCH("Desert",BX352)),ISNUMBER(SEARCH("ExtremeDesert",BX352))),-10,IF(OR(ISNUMBER(SEARCH("Grasslands",BX352)),ISNUMBER(SEARCH("TropicalRainforest",BX352)),ISNUMBER(SEARCH("TropicalSwamp",BX352))),10,0)))))))-IF(CC352="False",MIN(IFERROR(MAX(MROUND(LOG10(_xlfn.XLOOKUP(B352,'Base stats'!B:B,'Base stats'!C:C)^(2/3))*10,5),5),5),30))-_xlfn.XLOOKUP(B352,'Base stats'!B:B,'Base stats'!P:P)+IF(CC352="True",5,0)</f>
        <v>-45</v>
      </c>
      <c r="M352" s="2">
        <f>IF(OR(_xlfn.XLOOKUP(_xlfn.XLOOKUP(B352,'Base stats'!B:B,'Base stats'!E:E),Groups!A:A,Groups!G:G)=2,ISNUMBER(SEARCH("Desert",BX352)),ISNUMBER(SEARCH("ExtremeDesert",BX352)),ISNUMBER(SEARCH("LavaField",BX352))),50,IF(ISNUMBER(SEARCH("Grasslands",BX352)),45,IF(OR(_xlfn.XLOOKUP(_xlfn.XLOOKUP(B352,'Base stats'!B:B,'Base stats'!E:E),Groups!A:A,Groups!G:G)=1,ISNUMBER(SEARCH("TropicalRainforest",BX352)),ISNUMBER(SEARCH("TropicalSwamp",BX352))),40,IF(OR(ISNUMBER(SEARCH("TemperateForest",BX352)),ISNUMBER(SEARCH("TemperateSwamp",BX352))),35,IF(OR(ISNUMBER(SEARCH("Alpine",BX352)),ISNUMBER(SEARCH("BorealForest",BX352)),ISNUMBER(SEARCH("ColdBog",BX352))),30,IF(ISNUMBER(OR(ISNUMBER(SEARCH("GlacialPlain",BX352)),SEARCH("Tundra",BX352))),25,IF(OR(ISNUMBER(SEARCH("SeaIce",BX352)),ISNUMBER(SEARCH("IceSheet",BX352)),ISNUMBER(SEARCH("TropicalSwamp",BX352))),10,35)))))))+_xlfn.XLOOKUP(B352,'Base stats'!B:B,'Base stats'!Q:Q)</f>
        <v>35</v>
      </c>
      <c r="N352" s="8">
        <f>IF(
_xlfn.XLOOKUP(
_xlfn.XLOOKUP(B352,'Base stats'!B:B,'Base stats'!E:E),
Groups!A:A,
Groups!L:L
)=1,
MIN(
MROUND(
IF(
_xlfn.XLOOKUP(B352,'Animals CE'!B:B,'Animals CE'!Z:Z)&lt;=1.5,
_xlfn.XLOOKUP(B352,'Animals CE'!B:B,'Animals CE'!Z:Z)/2+0.05,
0.8+
(_xlfn.XLOOKUP(B352,'Animals CE'!B:B,'Animals CE'!Z:Z)-1.5)
*0.02
),
0.05
),
200%
),
"No"
)</f>
        <v>0.65</v>
      </c>
      <c r="O352" s="8">
        <f>IF(
_xlfn.XLOOKUP(
_xlfn.XLOOKUP(B352,'Base stats'!B:B,'Base stats'!E:E),
Groups!A:A,
Groups!L:L
)=1,
MIN(
MROUND(
IF(
_xlfn.XLOOKUP(B352,'Animals CE'!B:B,'Animals CE'!AA:AA)&lt;=1.5,
_xlfn.XLOOKUP(B352,'Animals CE'!B:B,'Animals CE'!AA:AA)/2+0.05,
0.8+
(_xlfn.XLOOKUP(B352,'Animals CE'!B:B,'Animals CE'!AA:AA)-1.5)
*0.02
),
0.05
),
200%
),
"No"
)</f>
        <v>0.70000000000000007</v>
      </c>
      <c r="P352" s="2" t="str">
        <f>_xlfn.XLOOKUP(B352,'Base stats'!B:B,'Base stats'!R:R)</f>
        <v>Standard</v>
      </c>
      <c r="Q352" s="13">
        <f>MROUND((LOG10(_xlfn.XLOOKUP(B352,'Base stats'!B:B,'Base stats'!AR:AR))*(AO352^0.5)+(_xlfn.XLOOKUP(B352,'Base stats'!B:B,'Base stats'!AR:AR)/1000)^(2/3)+_xlfn.XLOOKUP(B352,'Base stats'!B:B,'Base stats'!BA:BA)/2)+0.5,0.5)</f>
        <v>41.5</v>
      </c>
      <c r="R352" s="7">
        <f>IF(Q352="No","No",MAX(1,MROUND(_xlfn.XLOOKUP(B352,'Base stats'!B:B,'Base stats'!C:C)^0.165,0.05)))</f>
        <v>4.25</v>
      </c>
      <c r="S352" s="13" t="str">
        <f>IF(_xlfn.XLOOKUP(_xlfn.XLOOKUP(B352,'Base stats'!B:B,'Base stats'!E:E),Groups!A:A,Groups!P:P)=0,"No",MROUND((LOG10(_xlfn.XLOOKUP(B352,'Base stats'!B:B,'Base stats'!AS:AS))*(AO352^0.5)+(_xlfn.XLOOKUP(B352,'Base stats'!B:B,'Base stats'!AS:AS)/1000)^(2/3)+_xlfn.XLOOKUP(B352,'Base stats'!B:B,'Base stats'!BA:BA))+_xlfn.XLOOKUP(B352,'Base stats'!B:B,'Base stats'!AY:AY)+0.5,0.5))</f>
        <v>No</v>
      </c>
      <c r="T352" s="7" t="str">
        <f>IF(S352="No","No",MAX(_xlfn.XLOOKUP(_xlfn.XLOOKUP(B352,'Base stats'!B:B,'Base stats'!E:E),Groups!A:A,Groups!Q:Q),MROUND(_xlfn.XLOOKUP(_xlfn.XLOOKUP(B352,'Base stats'!B:B,'Base stats'!E:E),Groups!A:A,Groups!Q:Q)*_xlfn.XLOOKUP(B352,'Base stats'!B:B,'Base stats'!C:C)^0.165,0.05)))</f>
        <v>No</v>
      </c>
      <c r="U352" s="7" t="str">
        <f>IF(S352="No","No",_xlfn.XLOOKUP(_xlfn.XLOOKUP(B352,'Base stats'!B:B,'Base stats'!E:E),Groups!A:A,Groups!R:R))</f>
        <v>No</v>
      </c>
      <c r="V352" s="7" t="str">
        <f>IF(S352="No","No",_xlfn.XLOOKUP(_xlfn.XLOOKUP(B352,'Base stats'!B:B,'Base stats'!E:E),Groups!A:A,Groups!S:S))</f>
        <v>No</v>
      </c>
      <c r="W352" s="7" t="str">
        <f>IF(S352="No","No",_xlfn.XLOOKUP(_xlfn.XLOOKUP(B352,'Base stats'!B:B,'Base stats'!E:E),Groups!A:A,Groups!T:T))</f>
        <v>No</v>
      </c>
      <c r="X352" s="13">
        <f>IF(_xlfn.XLOOKUP(B352,'Base stats'!B:B,'Base stats'!W:W)="No","No",MROUND((LOG10(_xlfn.XLOOKUP(B352,'Base stats'!B:B,'Base stats'!AU:AU))*(AO352^0.5)+(_xlfn.XLOOKUP(B352,'Base stats'!B:B,'Base stats'!AU:AU)/1000)^(2/3)+_xlfn.XLOOKUP(B352,'Base stats'!B:B,'Base stats'!AZ:AZ))+0.5+IF(_xlfn.XLOOKUP(_xlfn.XLOOKUP(B352,'Base stats'!B:B,'Base stats'!E:E),Groups!A:A,Groups!U:U)&lt;&gt;3,_xlfn.XLOOKUP(B352,'Base stats'!B:B,'Base stats'!BA:BA),0),0.5))</f>
        <v>37.5</v>
      </c>
      <c r="Y352" s="7">
        <f>IF(X352="No","No",MAX(_xlfn.XLOOKUP(_xlfn.XLOOKUP(B352,'Base stats'!B:B,'Base stats'!E:E),Groups!A:A,Groups!V:V),MROUND(_xlfn.XLOOKUP(_xlfn.XLOOKUP(B352,'Base stats'!B:B,'Base stats'!E:E),Groups!A:A,Groups!V:V)*_xlfn.XLOOKUP(B352,'Base stats'!B:B,'Base stats'!C:C)^0.165,0.05)))</f>
        <v>3.6</v>
      </c>
      <c r="Z352" s="7" t="str">
        <f>IF(X352="No","No",_xlfn.XLOOKUP(_xlfn.XLOOKUP(B352,'Base stats'!B:B,'Base stats'!E:E),Groups!A:A,Groups!W:W))</f>
        <v>TailAttackTool</v>
      </c>
      <c r="AA352" s="7" t="str">
        <f>IF(X352="No","No",_xlfn.XLOOKUP(_xlfn.XLOOKUP(B352,'Base stats'!B:B,'Base stats'!E:E),Groups!A:A,Groups!X:X))</f>
        <v>tail</v>
      </c>
      <c r="AB352" s="7" t="str">
        <f>IF(X352="No","No",_xlfn.XLOOKUP(_xlfn.XLOOKUP(B352,'Base stats'!B:B,'Base stats'!E:E),Groups!A:A,Groups!Y:Y))</f>
        <v>Blunt</v>
      </c>
      <c r="AC352" s="7" t="str">
        <f>_xlfn.XLOOKUP(Animals!B352,'Base stats'!B:B,'Base stats'!X:X)</f>
        <v>False</v>
      </c>
      <c r="AD352" s="13" t="str">
        <f>IF(_xlfn.XLOOKUP(B352,'Base stats'!B:B,'Base stats'!AT:AT)="No","No",MROUND((LOG10(_xlfn.XLOOKUP(B352,'Base stats'!B:B,'Base stats'!AT:AT))*(AO352^0.75)+(_xlfn.XLOOKUP(B352,'Base stats'!B:B,'Base stats'!AT:AT)/1000)^(2/3)+_xlfn.XLOOKUP(B352,'Base stats'!B:B,'Base stats'!AX:AX)+_xlfn.XLOOKUP(B352,'Base stats'!B:B,'Base stats'!BA:BA))+0.5,0.5))</f>
        <v>No</v>
      </c>
      <c r="AE352" s="7" t="str">
        <f>IF(AD352="No","No",MAX(_xlfn.XLOOKUP(_xlfn.XLOOKUP(B352,'Base stats'!B:B,'Base stats'!E:E),Groups!A:A,Groups!Z:Z),MROUND(_xlfn.XLOOKUP(_xlfn.XLOOKUP(B352,'Base stats'!B:B,'Base stats'!E:E),Groups!A:A,Groups!Z:Z)*_xlfn.XLOOKUP(B352,'Base stats'!B:B,'Base stats'!C:C)^0.165,0.05)))</f>
        <v>No</v>
      </c>
      <c r="AF352" s="7" t="str">
        <f>IF(AD352="No","No",_xlfn.XLOOKUP(_xlfn.XLOOKUP(B352,'Base stats'!B:B,'Base stats'!E:E),Groups!A:A,Groups!AA:AA))</f>
        <v>No</v>
      </c>
      <c r="AG352" s="7" t="str">
        <f>IF(AD352="No","No",_xlfn.XLOOKUP(_xlfn.XLOOKUP(B352,'Base stats'!B:B,'Base stats'!E:E),Groups!A:A,Groups!AB:AB))</f>
        <v>No</v>
      </c>
      <c r="AH352" s="7" t="str">
        <f>IF(AD352="No","No",_xlfn.XLOOKUP(_xlfn.XLOOKUP(B352,'Base stats'!B:B,'Base stats'!E:E),Groups!A:A,Groups!AC:AC))</f>
        <v>No</v>
      </c>
      <c r="AI352" s="13" t="str">
        <f>IF(_xlfn.XLOOKUP(_xlfn.XLOOKUP(B352,'Base stats'!B:B,'Base stats'!E:E),Groups!A:A,Groups!AD:AD)=0,"No",MROUND((LOG10(_xlfn.XLOOKUP(B352,'Base stats'!B:B,'Base stats'!AS:AS))*(AO352^0.75)+(_xlfn.XLOOKUP(B352,'Base stats'!B:B,'Base stats'!AS:AS)/1000)^(2/3)+_xlfn.XLOOKUP(B352,'Base stats'!B:B,'Base stats'!AY:AY)+_xlfn.XLOOKUP(B352,'Base stats'!B:B,'Base stats'!BA:BA))+0.5,0.5))</f>
        <v>No</v>
      </c>
      <c r="AJ352" s="7" t="str">
        <f>IF(AI352="No","No",MAX(_xlfn.XLOOKUP(_xlfn.XLOOKUP(B352,'Base stats'!B:B,'Base stats'!E:E),Groups!A:A,Groups!AE:AE),MROUND(_xlfn.XLOOKUP(_xlfn.XLOOKUP(B352,'Base stats'!B:B,'Base stats'!E:E),Groups!A:A,Groups!AE:AE)*IF(_xlfn.XLOOKUP(_xlfn.XLOOKUP(B352,'Base stats'!B:B,'Base stats'!E:E),Groups!A:A,Groups!AJ:AJ)="Photonozoa",0.6,1)*_xlfn.XLOOKUP(B352,'Base stats'!B:B,'Base stats'!C:C)^0.165,0.05)))</f>
        <v>No</v>
      </c>
      <c r="AK352" s="7" t="str">
        <f>IF(AI352="No","No",_xlfn.XLOOKUP(_xlfn.XLOOKUP(B352,'Base stats'!B:B,'Base stats'!E:E),Groups!A:A,Groups!AF:AF))</f>
        <v>No</v>
      </c>
      <c r="AL352" s="7" t="str">
        <f>IF(AI352="No","No",_xlfn.XLOOKUP(_xlfn.XLOOKUP(B352,'Base stats'!B:B,'Base stats'!E:E),Groups!A:A,Groups!AG:AG))</f>
        <v>No</v>
      </c>
      <c r="AM352" s="7" t="str">
        <f>IF(AI352="No","No",_xlfn.XLOOKUP(_xlfn.XLOOKUP(B352,'Base stats'!B:B,'Base stats'!E:E),Groups!A:A,Groups!AH:AH))</f>
        <v>No</v>
      </c>
      <c r="AN352" s="2" t="str">
        <f t="shared" si="35"/>
        <v>No</v>
      </c>
      <c r="AO352" s="2">
        <f>MROUND(IF(AND(_xlfn.XLOOKUP(B352,'Base stats'!B:B,'Base stats'!C:C)&gt;=0.5,_xlfn.XLOOKUP(B352,'Base stats'!B:B,'Base stats'!C:C)&lt;=0.8),
IF(_xlfn.XLOOKUP(B352,'Base stats'!B:B,'Base stats'!C:C)&lt;0.1,0.05,IF(_xlfn.XLOOKUP(B352,'Base stats'!B:B,'Base stats'!C:C)&lt;=70,(_xlfn.XLOOKUP(B352,'Base stats'!B:B,'Base stats'!C:C)/70)^0.426489913056526,IF(_xlfn.XLOOKUP(B352,'Base stats'!B:B,'Base stats'!C:C)&lt;=400,(_xlfn.XLOOKUP(B352,'Base stats'!B:B,'Base stats'!C:C)/70)^0.572811455315093,IF(_xlfn.XLOOKUP(B352,'Base stats'!B:B,'Base stats'!C:C)&lt;=2000,2.71391647193063*(_xlfn.XLOOKUP(B352,'Base stats'!B:B,'Base stats'!C:C)/400)^0.252459582904293,3.74314280240376*(_xlfn.XLOOKUP(B352,'Base stats'!B:B,'Base stats'!C:C)/2000)^0.357012633876913)))),
IF(_xlfn.XLOOKUP(B352,'Base stats'!B:B,'Base stats'!C:C)&lt;0.1,0.05,IF(_xlfn.XLOOKUP(B352,'Base stats'!B:B,'Base stats'!C:C)&lt;0.4,0.1,IF(_xlfn.XLOOKUP(B352,'Base stats'!B:B,'Base stats'!C:C)&lt;=70,(_xlfn.XLOOKUP(B352,'Base stats'!B:B,'Base stats'!C:C)/70)^0.445823913056526,IF(_xlfn.XLOOKUP(B352,'Base stats'!B:B,'Base stats'!C:C)&lt;=400,(_xlfn.XLOOKUP(B352,'Base stats'!B:B,'Base stats'!C:C)/70)^0.572811455315093,IF(_xlfn.XLOOKUP(B352,'Base stats'!B:B,'Base stats'!C:C)&lt;=2000,2.71391647193063*(_xlfn.XLOOKUP(B352,'Base stats'!B:B,'Base stats'!C:C)/400)^0.252459582904293,3.74314280240376*(_xlfn.XLOOKUP(B352,'Base stats'!B:B,'Base stats'!C:C)/2000)^0.357012633876913)))))),
IF(_xlfn.XLOOKUP(B352,'Base stats'!B:B,'Base stats'!C:C)&lt;0.1,0.05,IF(_xlfn.XLOOKUP(B352,'Base stats'!B:B,'Base stats'!C:C)&lt;=100,0.05,IF(_xlfn.XLOOKUP(B352,'Base stats'!B:B,'Base stats'!C:C)&lt;=250,0.1,IF(_xlfn.XLOOKUP(B352,'Base stats'!B:B,'Base stats'!C:C)&lt;=4000,0.25,0.5)))))</f>
        <v>5.5</v>
      </c>
      <c r="AP352" s="8">
        <f>MROUND(AO352*_xlfn.XLOOKUP(_xlfn.XLOOKUP(B352,'Base stats'!B:B,'Base stats'!E:E),Groups!A:A,Groups!AI:AI)*_xlfn.XLOOKUP(B352,'Base stats'!B:B,'Base stats'!Z:Z),0.05)</f>
        <v>5.5</v>
      </c>
      <c r="AQ352" s="8">
        <f>MAX(0.01,MROUND(IF(CC352="True",0.196*(AO352*100*1000)^0.889,IF(_xlfn.XLOOKUP(_xlfn.XLOOKUP(B352,'Base stats'!B:B,'Base stats'!E:E),Groups!A:A,Groups!AJ:AJ)="Bird",10.5*(AO352*100*1000)^0.681,4.82*(AO352*100*1000)^0.734))/(4.82*(1*100*1000)^0.734)/IF(AO352&lt;3.5,2,IF(AO352=3.5,1.5,1.25))*(1+0.132282374779864/(AO352^0.994035016789033+0.00905238001496948)),0.05))</f>
        <v>3.1</v>
      </c>
      <c r="AR352" s="9">
        <f>IFERROR(MROUND(_xlfn.XLOOKUP(B352,'Base stats'!B:B,'Base stats'!H:H)/IF(_xlfn.XLOOKUP(B352,'Base stats'!B:B,'Base stats'!I:I)&lt;&gt;1,(122.5/70),1.2),IF(_xlfn.XLOOKUP(B352,'Base stats'!B:B,'Base stats'!H:H)&gt;=30,5,IF(_xlfn.XLOOKUP(B352,'Base stats'!B:B,'Base stats'!H:H)&gt;=15,3,IF(_xlfn.XLOOKUP(B352,'Base stats'!B:B,'Base stats'!H:H)&gt;=10,2,1)))),"Immortal")</f>
        <v>40</v>
      </c>
      <c r="AS352" s="35" t="str">
        <f>IFERROR(IF(OR(_xlfn.XLOOKUP(B352,'Base stats'!B:B,'Base stats'!F:F)="Atypical reproduction",_xlfn.XLOOKUP(B352,'Base stats'!B:B,'Base stats'!F:F)="Lay eggs"),"Lay eggs",MIN(20,MAX(5.5,ROUND(((_xlfn.XLOOKUP(B352,'Base stats'!B:B,'Base stats'!F:F)-25)*(14.5/615) + 5.5)*2,0)/2))),"Unknown")</f>
        <v>Lay eggs</v>
      </c>
      <c r="AT352" s="8">
        <f>IF(_xlfn.XLOOKUP(B352,'Base stats'!B:B,'Base stats'!G:G)="Atypical reproduction","No",IFERROR(MAX(IF(_xlfn.XLOOKUP(B352,'Base stats'!B:B,'Base stats'!G:G)&lt;0.5,0.2,0.3),MROUND(_xlfn.XLOOKUP(B352,'Base stats'!B:B,'Base stats'!G:G)/(365/60),0.2)),"Unknown"))</f>
        <v>3.2</v>
      </c>
      <c r="AU352" s="8">
        <f t="shared" si="36"/>
        <v>1.6</v>
      </c>
      <c r="AV352" s="8" t="str">
        <f>IFERROR(IFERROR(MROUND(_xlfn.XLOOKUP(B352,'Base stats'!B:B,'Base stats'!J:J),0.1),"Lay eggs"),"Cannot breed")</f>
        <v>Lay eggs</v>
      </c>
      <c r="AW352" s="2" t="str">
        <f t="shared" si="37"/>
        <v>false</v>
      </c>
      <c r="AX352" s="2" t="str">
        <f>IF(_xlfn.XLOOKUP(_xlfn.XLOOKUP(Animals!B352,'Base stats'!B:B,'Base stats'!E:E),Groups!A:A,Groups!AK:AK)=1,"true","false")</f>
        <v>false</v>
      </c>
      <c r="AY352" s="25" t="str">
        <f>IF(_xlfn.XLOOKUP(B352,'Base stats'!B:B,'Base stats'!Y:Y)="Liquor","Liquor, CarnivoreAnimalStrict",IF(AND(_xlfn.XLOOKUP(B352,'Base stats'!B:B,'Base stats'!Y:Y)="Carnivore",_xlfn.XLOOKUP(_xlfn.XLOOKUP(B352,'Base stats'!B:B,'Base stats'!E:E),Groups!A:A,Groups!AJ:AJ)="Photonozoa"),"CarnivoreAnimalStrict, OvivoreAnimal",IF(_xlfn.XLOOKUP(B352,'Base stats'!B:B,'Base stats'!Y:Y)="Carnivore","CarnivoreAnimal, OvivoreAnimal",IF(_xlfn.XLOOKUP(B352,'Base stats'!B:B,'Base stats'!Y:Y)="Dendrovore","VegetarianRoughAnimal, DendrovoreAnimal",IF(_xlfn.XLOOKUP(B352,'Base stats'!B:B,'Base stats'!Y:Y)="Herbivore","VegetarianRoughAnimal",IF(_xlfn.XLOOKUP(B352,'Base stats'!B:B,'Base stats'!Y:Y)="OmnivoreRough","OmnivoreRoughAnimal, OvivoreAnimal","OmnivoreAnimal, OvivoreAnimal"))))))</f>
        <v>VegetarianRoughAnimal</v>
      </c>
      <c r="AZ352" s="2">
        <f>IF(_xlfn.XLOOKUP(_xlfn.XLOOKUP(B352,'Base stats'!B:B,'Base stats'!E:E),Groups!A:A,Groups!D:D)=1,MROUND((1-J352)*5+1,2)*IF(J352&lt;=0.4,2,1),"No")</f>
        <v>2</v>
      </c>
      <c r="BA352" s="2" t="str">
        <f>IF(AND(_xlfn.XLOOKUP(B352,'Base stats'!B:B,'Base stats'!AH:AH)="&lt;li&gt;Seal&lt;/li&gt;",G352="Odyssey"),"&lt;li&gt;AEXP_Seal&lt;/li&gt;",_xlfn.XLOOKUP(B352,'Base stats'!B:B,'Base stats'!AH:AH))</f>
        <v>No</v>
      </c>
      <c r="BB352" s="2" t="str">
        <f>_xlfn.XLOOKUP(B352,'Base stats'!B:B,'Base stats'!AG:AG)</f>
        <v>Leather_ArmoredDino</v>
      </c>
      <c r="BC352" s="23" t="str">
        <f>_xlfn.XLOOKUP(_xlfn.XLOOKUP(B352,'Base stats'!B:B,'Base stats'!E:E),Groups!A:A,Groups!AL:AL)</f>
        <v>Thyreophorae</v>
      </c>
      <c r="BD352" s="23">
        <f>MIN(1,MROUND(IF(AND(AO352&lt;0.5,_xlfn.XLOOKUP(B352,'Base stats'!B:B,'Base stats'!AA:AA)=0),0,IF(OR(_xlfn.XLOOKUP(Animals!B352,'Base stats'!B:B,'Base stats'!O:O)=2,_xlfn.XLOOKUP(_xlfn.XLOOKUP(B352,'Base stats'!B:B,'Base stats'!E:E),Groups!A:A,Groups!AN:AN)=0),0,_xlfn.XLOOKUP(_xlfn.XLOOKUP(B352,'Base stats'!B:B,'Base stats'!E:E),Groups!A:A,Groups!AN:AN)/IF(_xlfn.XLOOKUP(Animals!B352,'Base stats'!B:B,'Base stats'!O:O)=1,2,1)))+_xlfn.XLOOKUP(B352,'Base stats'!B:B,'Base stats'!AC:AC),0.005))</f>
        <v>0.1</v>
      </c>
      <c r="BE352" s="23">
        <f>MIN(1,MROUND(IF(AND(AO352&lt;0.5,_xlfn.XLOOKUP(B352,'Base stats'!B:B,'Base stats'!AA:AA)=0),0,IF(_xlfn.XLOOKUP(_xlfn.XLOOKUP(B352,'Base stats'!B:B,'Base stats'!E:E),Groups!A:A,Groups!AO:AO)=0,0,_xlfn.XLOOKUP(_xlfn.XLOOKUP(B352,'Base stats'!B:B,'Base stats'!E:E),Groups!A:A,Groups!AO:AO)/IF(_xlfn.XLOOKUP(Animals!B352,'Base stats'!B:B,'Base stats'!O:O)=2,3,1)))+_xlfn.XLOOKUP(B352,'Base stats'!B:B,'Base stats'!AD:AD),0.005))</f>
        <v>0.3</v>
      </c>
      <c r="BF352" s="2" t="str">
        <f>IF(J352&gt;0.3,"No",_xlfn.XLOOKUP(_xlfn.XLOOKUP(Animals!B352,'Base stats'!B:B,'Base stats'!E:E),Groups!A:A,Groups!AP:AP))</f>
        <v>No</v>
      </c>
      <c r="BG352" s="2" t="str">
        <f>IF(AND(J352&lt;=0.65,_xlfn.XLOOKUP(_xlfn.XLOOKUP(Animals!B352,'Base stats'!B:B,'Base stats'!E:E),Groups!A:A,Groups!AP:AP)&lt;&gt;"No",_xlfn.XLOOKUP(_xlfn.XLOOKUP(B352,'Base stats'!B:B,'Base stats'!E:E),Groups!A:A,Groups!D:D)=0),MROUND((80/3)*IF(_xlfn.XLOOKUP(B352,'Base stats'!B:B,'Base stats'!O:O)=2,0.2,AO352) + 24*(1-IF(BF352="No",0,BF352)) + 16/3, 12),"No")</f>
        <v>No</v>
      </c>
      <c r="BH352" s="2">
        <f>IF(AND(_xlfn.XLOOKUP(_xlfn.XLOOKUP(B352,'Base stats'!B:B,'Base stats'!E:E),Groups!A:A,Groups!AQ:AQ)=1,AO352&lt;=0.35),8,12)</f>
        <v>12</v>
      </c>
      <c r="BI352" s="2" t="str">
        <f>IF(_xlfn.XLOOKUP(_xlfn.XLOOKUP(B352,'Base stats'!B:B,'Base stats'!E:E),Groups!A:A,Groups!D:D)=0,_xlfn.XLOOKUP(_xlfn.XLOOKUP(B352,'Base stats'!B:B,'Base stats'!E:E),Groups!A:A,Groups!AR:AR),"None")</f>
        <v>None</v>
      </c>
      <c r="BJ352" s="2" t="str">
        <f>IF(AND(_xlfn.XLOOKUP(_xlfn.XLOOKUP(B352,'Base stats'!B:B,'Base stats'!E:E),Groups!A:A,Groups!AS:AS)=1,OR(_xlfn.XLOOKUP(B352,'Base stats'!B:B,'Base stats'!Y:Y)="Carnivore",_xlfn.XLOOKUP(B352,'Base stats'!B:B,'Base stats'!Y:Y)="Omnivore")),"true","false")</f>
        <v>false</v>
      </c>
      <c r="BK352" s="2" t="str">
        <f>IF(BJ352="true",MROUND(IF(AND(AO352&gt;0.5,OR(_xlfn.XLOOKUP(_xlfn.XLOOKUP(B352,'Base stats'!B:B,'Base stats'!E:E),Groups!A:A,Groups!AJ:AJ)="Photonozoa",_xlfn.XLOOKUP(_xlfn.XLOOKUP(B352,'Base stats'!B:B,'Base stats'!E:E),Groups!A:A,Groups!AJ:AJ)="Mammal")),Animals!AO352*1.75*IF(AW352="true",1.5,1),IF(AO352&lt;0.5,Animals!AO352*0.5,Animals!AO352)),IF(AO352&gt;2,0.5,IF(AO352&gt;0.5,0.25,0.1))),"No")</f>
        <v>No</v>
      </c>
      <c r="BL352" s="2">
        <f t="shared" si="38"/>
        <v>0</v>
      </c>
      <c r="BM352" s="25" t="str">
        <f>IF(_xlfn.XLOOKUP(B352,'Base stats'!B:B,'Base stats'!AN:AN)="Standard","No",MROUND((_xlfn.XLOOKUP(B352,'Base stats'!B:B,'Base stats'!AN:AN)/3.6)/I352,0.1))</f>
        <v>No</v>
      </c>
      <c r="BN352" s="25" t="str">
        <f t="shared" si="39"/>
        <v>false</v>
      </c>
      <c r="BO352" s="25" t="str">
        <f>IF(AND(OR(_xlfn.XLOOKUP(B352,'Base stats'!B:B,'Base stats'!Y:Y)="Carnivore",_xlfn.XLOOKUP(B352,'Base stats'!B:B,'Base stats'!Y:Y)="Omnivore",_xlfn.XLOOKUP(B352,'Base stats'!B:B,'Base stats'!Y:Y)="OmnivoreRough"),_xlfn.XLOOKUP(_xlfn.XLOOKUP(B352,'Base stats'!B:B,'Base stats'!E:E),Groups!A:A,Groups!AT:AT)=1),"true","false")</f>
        <v>false</v>
      </c>
      <c r="BP352" s="25" t="str" cm="1">
        <f t="array" ref="BP352">IF(
  _xlfn.TEXTJOIN(", ",TRUE,
    IF(AND(BJ352="true",AO352&gt;0.5,BI352&lt;&gt;"None"),"AttackTarget",""),
    IF(AND(_xlfn.XLOOKUP(_xlfn.XLOOKUP(B352,'Base stats'!B:B,'Base stats'!E:E),Groups!A:A,Groups!AJ:AJ="Mammal"),OR(_xlfn.XLOOKUP(B352,'Base stats'!B:B,'Base stats'!Y:Y)="Omnivore",_xlfn.XLOOKUP(B352,'Base stats'!B:B,'Base stats'!Y:Y)="OmnivoreRough")),"Forage",""),
    IF(BG352&lt;=36,"Comfort",""),
    IF(_xlfn.XLOOKUP(B352,'Base stats'!B:B,'Base stats'!AE:AE)&lt;&gt;"No",_xlfn.XLOOKUP(B352,'Base stats'!B:B,'Base stats'!AE:AE),"")
  ) = "",
  "No",
  _xlfn.TEXTJOIN(", ",TRUE,
    IF(AND(BJ352="true",AO352&gt;0.5,BI352&lt;&gt;"None"),"AttackTarget",""),
    IF(AND(_xlfn.XLOOKUP(_xlfn.XLOOKUP(B352,'Base stats'!B:B,'Base stats'!E:E),Groups!A:A,Groups!AJ:AJ="Mammal"),OR(_xlfn.XLOOKUP(B352,'Base stats'!B:B,'Base stats'!Y:Y)="Omnivore",_xlfn.XLOOKUP(B352,'Base stats'!B:B,'Base stats'!Y:Y)="OmnivoreRough")),"Forage",""),
    IF(BG352&lt;=36,"Comfort",""),
    IF(_xlfn.XLOOKUP(B352,'Base stats'!B:B,'Base stats'!AE:AE)&lt;&gt;"No",_xlfn.XLOOKUP(B352,'Base stats'!B:B,'Base stats'!AE:AE),"")
  )
)</f>
        <v>No</v>
      </c>
      <c r="BQ352" s="25" t="str">
        <f>IF(
   AND(
      'Base stats'!AN352="Standard",_xlfn.XLOOKUP(_xlfn.XLOOKUP(B352,'Base stats'!B:B,'Base stats'!E:E),Groups!A:A,Groups!AU:AU)=0,
      OR(
      BO352="True"
      )
   ),
   10,
   IF(
       OR(BM352&lt;&gt;"No",_xlfn.XLOOKUP(_xlfn.XLOOKUP(B352,'Base stats'!B:B,'Base stats'!E:E),Groups!A:A,Groups!AU:AU)=1),
      1,
      "No"
   )
)</f>
        <v>No</v>
      </c>
      <c r="BR352" s="9">
        <f>MROUND((1 + ((0.2*IF(OR(Q352="No",R352="No",R352=0),0,Q352/R352)
+IF(OR(V352="No",S352="No",T352="No"),0,S352/T352*(LEN(V352)-LEN(SUBSTITUTE(V352,",",""))+1))
+IF(OR(X352="No",Y352="No"),0,X352/Y352)
+IF(OR(AD352="No",AE352="No"),0,AD352/AE352)
+IF(OR(AL352="No",AI352="No",AJ352="No"),0,AI352/AJ352*(LEN(AL352)-LEN(SUBSTITUTE(AL352,",",""))+1))
)/(0.2*IF(OR(Q352="No",R352="No",R352=0),0,1)
+IF(OR(V352="No",S352="No",T352="No"),0,LEN(V352)-LEN(SUBSTITUTE(V352,",",""))+1)
+IF(OR(X352="No",Y352="No"),0,1)
+IF(OR(AD352="No",AE352="No"),0,1)
+IF(OR(AL352="No",AI352="No",AJ352="No"),0,LEN(AL352)-LEN(SUBSTITUTE(AL352,",",""))+1))*62%)* 2)*(1 + (AP352 / (IF(_xlfn.XLOOKUP(_xlfn.XLOOKUP(B352,'Base stats'!B:B,'Base stats'!E:E),Groups!A:A,Groups!AJ:AJ)="Photonozoa",0.3,1)) + _xlfn.XLOOKUP(B352,'Base stats'!B:B,'Base stats'!AV:AV) * 1.8) * 2) * 2.5 + 10 + I352 * 2,5)+IF(_xlfn.XLOOKUP(B352,'Base stats'!B:B,'Base stats'!AK:AK)=1,50,0)</f>
        <v>510</v>
      </c>
      <c r="BS352" s="8">
        <f t="shared" si="40"/>
        <v>3.6</v>
      </c>
      <c r="BT352" s="8" t="str">
        <f>_xlfn.XLOOKUP(B352,'Base stats'!B:B,'Base stats'!AF:AF)</f>
        <v>No</v>
      </c>
      <c r="BU352" s="2" t="str">
        <f>IF(AND(J352&lt;=0.95,OR(_xlfn.XLOOKUP(B352,'Base stats'!B:B,'Base stats'!AK:AK)=1,_xlfn.XLOOKUP(B352,'Base stats'!B:B,'Base stats'!Y:Y)="Carnivore",_xlfn.XLOOKUP(B352,'Base stats'!B:B,'Base stats'!Y:Y)="Omnivore",BE352&gt;0.1)),"true","false")</f>
        <v>true</v>
      </c>
      <c r="BV352" s="2" t="str">
        <f>IF(_xlfn.XLOOKUP(B352,'Base stats'!B:B,'Base stats'!AI:AI)=1,"true","false")</f>
        <v>true</v>
      </c>
      <c r="BW352" s="25" t="str">
        <f>IF(E352="BaseInsect","AnimalInsect",
IF(J352&gt;0.95,"AnimalExotic",
_xlfn.TEXTJOIN(", ",TRUE,
IF(OR(_xlfn.XLOOKUP(B352,'Base stats'!B:B,'Base stats'!AM:AM)=1,AND(_xlfn.XLOOKUP(B352,'Base stats'!B:B,'Base stats'!O:O)=0,_xlfn.XLOOKUP(_xlfn.XLOOKUP(B352,'Base stats'!B:B,'Base stats'!E:E),Groups!A:A,Groups!B:B)&gt;0)),"AnimalUncommon","AnimalCommon"),
IF(AND(_xlfn.XLOOKUP(B352,'Base stats'!B:B,'Base stats'!O:O)=2,_xlfn.XLOOKUP(_xlfn.XLOOKUP(B352,'Base stats'!B:B,'Base stats'!E:E),Groups!A:A,Groups!D:D)=0),"AnimalPet",IF(AND(_xlfn.XLOOKUP(B352,'Base stats'!B:B,'Base stats'!O:O)&lt;&gt;0,_xlfn.XLOOKUP(_xlfn.XLOOKUP(B352,'Base stats'!B:B,'Base stats'!E:E),Groups!A:A,Groups!D:D)&lt;&gt;0),"AnimalFarm","")),
IF(OR(_xlfn.XLOOKUP(B352,'Base stats'!B:B,'Base stats'!AK:AK)=1,AND(BI352&lt;&gt;"None",BR352&gt;=60),ISNUMBER(SEARCH("Attack target",BP352))),"AnimalFighter","")
)))</f>
        <v>AnimalUncommon</v>
      </c>
      <c r="BX352" s="25" t="str">
        <f>IF(G352="None",TRIM(
SUBSTITUTE(
IF(COUNTIF(Biomes!B$2:B$259,"="&amp;$C352)&gt;0,Biomes!B$1&amp;", ","")&amp;
IF(COUNTIF(Biomes!C$2:C$259,"="&amp;$C352)&gt;0,Biomes!C$1&amp;", ","")&amp;
IF(COUNTIF(Biomes!D$2:D$259,"="&amp;$C352)&gt;0,Biomes!D$1&amp;", ","")&amp;
IF(COUNTIF(Biomes!F$2:F$259,"="&amp;$C352)&gt;0,Biomes!F$1&amp;", ","")&amp;
IF(COUNTIF(Biomes!G$2:G$259,"="&amp;$C352)&gt;0,Biomes!G$1&amp;", ","")&amp;
IF(COUNTIF(Biomes!H$2:H$259,"="&amp;$C352)&gt;0,Biomes!H$1&amp;", ","")&amp;
IF(COUNTIF(Biomes!I$2:I$259,"="&amp;$C352)&gt;0,Biomes!I$1&amp;", ","")&amp;
IF(COUNTIF(Biomes!J$2:J$259,"="&amp;$C352)&gt;0,Biomes!J$1&amp;", ","")&amp;
IF(COUNTIF(Biomes!M$2:M$259,"="&amp;$C352)&gt;0,Biomes!M$1&amp;", ","")&amp;
IF(COUNTIF(Biomes!N$2:N$259,"="&amp;$C352)&gt;0,Biomes!N$1&amp;", ","")&amp;
IF(COUNTIF(Biomes!O$2:O$259,"="&amp;$C352)&gt;0,Biomes!O$1&amp;", ","")&amp;
IF(COUNTIF(Biomes!P$2:P$259,"="&amp;$C352)&gt;0,Biomes!P$1&amp;", ","")&amp;
IF(COUNTIF(Biomes!K$2:K$259,"="&amp;$C352)&gt;0,Biomes!K$1&amp;", ","")&amp;
IF(COUNTIF(Biomes!Q$3:Q$259,"="&amp;$C352)&gt;0,Biomes!Q$1&amp;", ","")&amp;
IF(COUNTIF(Biomes!L$2:L$259,"="&amp;$C352)&gt;0,Biomes!L$1&amp;", ","")&amp;
IF(COUNTIF(Biomes!E$2:E$259,"="&amp;$C352)&gt;0,Biomes!E$1&amp;", ","")&amp;IF(COUNTIF(Biomes!S$2:S$259,"="&amp;$C352)&gt;0,Biomes!S$1&amp;", ","")&amp;
IF(COUNTIF(Biomes!R$2:R$259,"="&amp;$C352)&gt;0,Biomes!R$1&amp;", ",""),", ","")
),_xlfn.XLOOKUP(B352,B:B,BX:BX))</f>
        <v>TemperateForest TemperateSwamp</v>
      </c>
      <c r="BY352" s="25" t="str">
        <f>IF(_xlfn.XLOOKUP(B352,'Base stats'!B:B,'Base stats'!AJ:AJ)=1,"true","false")</f>
        <v>false</v>
      </c>
      <c r="BZ352" s="25">
        <f>IF(_xlfn.XLOOKUP(B352,'Base stats'!B:B,'Base stats'!N:N)=1,"No",MAX(0.001,MIN(MROUND(IF(AND(BJ352="True",CC352="False"),POWER(10,3.47*LOG10(_xlfn.XLOOKUP(B352,'Base stats'!B:B,'Base stats'!C:C)*1000)^-0.96),POWER(10,4.15*LOG10(_xlfn.XLOOKUP(B352,'Base stats'!B:B,'Base stats'!C:C)*1000)^-0.73))*IF(_xlfn.XLOOKUP(B352,'Base stats'!B:B,'Base stats'!AK:AK)=1,0.5,1)*IF(_xlfn.XLOOKUP(B352,'Base stats'!B:B,'Base stats'!AM:AM)=1,0.1,1)/100,IF(_xlfn.XLOOKUP(B352,'Base stats'!B:B,'Base stats'!AM:AM)=1,0.001,0.025)),0.5)))</f>
        <v>0.1</v>
      </c>
      <c r="CA352" s="25" t="str">
        <f>IF(P352="Standard","No",MAX(0.001,MIN(MROUND(IF(AND(BJ352="True",CC352="False"),POWER(10,3.47*LOG10(_xlfn.XLOOKUP(B352,'Base stats'!B:B,'Base stats'!C:C)*1000)^-0.96),POWER(10,4.15*LOG10(_xlfn.XLOOKUP(B352,'Base stats'!B:B,'Base stats'!C:C)*1000)^-0.73))*IF(_xlfn.XLOOKUP(B352,'Base stats'!B:B,'Base stats'!AM:AM)=1,0.1,1)*_xlfn.XLOOKUP(B352,'Base stats'!B:B,'Base stats'!R:R)/100,IF(_xlfn.XLOOKUP(B352,'Base stats'!B:B,'Base stats'!AM:AM)=1,0.001,0.025)),0.5)))</f>
        <v>No</v>
      </c>
      <c r="CB352" s="25" t="str">
        <f>IF(_xlfn.XLOOKUP(_xlfn.XLOOKUP(B352,'Base stats'!B:B,'Base stats'!E:E),Groups!A:A,Groups!AJ:AJ)="Mammal","True","False")</f>
        <v>False</v>
      </c>
      <c r="CC352" s="25" t="str">
        <f>IF(OR(_xlfn.XLOOKUP(_xlfn.XLOOKUP(B352,'Base stats'!B:B,'Base stats'!E:E),Groups!A:A,Groups!AJ:AJ)="Reptile",_xlfn.XLOOKUP(_xlfn.XLOOKUP(B352,'Base stats'!B:B,'Base stats'!E:E),Groups!A:A,Groups!AJ:AJ)="Amphibian",_xlfn.XLOOKUP(_xlfn.XLOOKUP(B352,'Base stats'!B:B,'Base stats'!E:E),Groups!A:A,Groups!AJ:AJ)="Invertebrate"),"True","False")</f>
        <v>False</v>
      </c>
      <c r="CD352" s="25" t="str">
        <f t="shared" si="41"/>
        <v>False</v>
      </c>
      <c r="CE352" s="25" t="str">
        <f>IF(_xlfn.XLOOKUP(_xlfn.XLOOKUP(B352,'Base stats'!B:B,'Base stats'!E:E),Groups!A:A,Groups!AX:AX),"True","False")</f>
        <v>False</v>
      </c>
      <c r="CF352" s="25" t="str">
        <f>IF(_xlfn.XLOOKUP(_xlfn.XLOOKUP(B352,'Base stats'!B:B,'Base stats'!E:E),Groups!A:A,Groups!AY:AY),"True","False")</f>
        <v>False</v>
      </c>
      <c r="CG352" s="25" t="str">
        <f>IF(_xlfn.XLOOKUP(_xlfn.XLOOKUP(B352,'Base stats'!B:B,'Base stats'!E:E),Groups!A:A,Groups!AW:AW),"True","False")</f>
        <v>False</v>
      </c>
      <c r="CH352" s="25" t="str">
        <f>IF(
OR(
_xlfn.XLOOKUP(_xlfn.XLOOKUP(B352,'Base stats'!B:B,'Base stats'!E:E),Groups!A:A,Groups!AZ:AZ)=0,
AND(
_xlfn.XLOOKUP(B352,'Base stats'!B:B,'Base stats'!Y:Y)&lt;&gt;"Carnivore",
_xlfn.XLOOKUP(B352,'Base stats'!B:B,'Base stats'!Y:Y)&lt;&gt;"Omnivore",
_xlfn.XLOOKUP(B352,'Base stats'!B:B,'Base stats'!Y:Y)&lt;&gt;"OmnivoreRough"
)
),
"No",
IF(
_xlfn.XLOOKUP(_xlfn.XLOOKUP(B352,'Base stats'!B:B,'Base stats'!E:E),Groups!A:A,Groups!AZ:AZ)=1,
"Flesh",
IF(
_xlfn.XLOOKUP(_xlfn.XLOOKUP(B352,'Base stats'!B:B,'Base stats'!E:E),Groups!A:A,Groups!AZ:AZ)=2,
"Bone",
""
)
)
)</f>
        <v>No</v>
      </c>
      <c r="CI352" s="25" t="str">
        <f>IF(_xlfn.XLOOKUP(_xlfn.XLOOKUP(B352,'Base stats'!B:B,'Base stats'!E:E),Groups!A:A,Groups!BB:BB),"True","False")</f>
        <v>False</v>
      </c>
      <c r="CJ352" s="25" t="str">
        <f>IF(_xlfn.XLOOKUP(_xlfn.XLOOKUP(B352,'Base stats'!B:B,'Base stats'!E:E),Groups!A:A,Groups!BA:BA),"True","False")</f>
        <v>False</v>
      </c>
    </row>
    <row r="353" spans="1:88" ht="16.5" thickTop="1" thickBot="1" x14ac:dyDescent="0.3">
      <c r="A353" s="26" t="s">
        <v>1934</v>
      </c>
      <c r="B353" s="6" t="str">
        <f>_xlfn.XLOOKUP(A353,'Base stats'!A:A,'Base stats'!B:B)</f>
        <v>Minmi paravertebra</v>
      </c>
      <c r="C353" s="28" t="s">
        <v>2027</v>
      </c>
      <c r="D353" s="28" t="s">
        <v>1898</v>
      </c>
      <c r="E353" s="28" t="s">
        <v>673</v>
      </c>
      <c r="F353" s="28" t="s">
        <v>673</v>
      </c>
      <c r="G353" s="28" t="s">
        <v>673</v>
      </c>
      <c r="H353" s="2">
        <f>MROUND((
  (IF(AND(_xlfn.XLOOKUP(B353,'Base stats'!B:B,'Base stats'!AL:AL)=0,BI353="None",_xlfn.XLOOKUP(_xlfn.XLOOKUP(B353,'Base stats'!B:B,'Base stats'!E:E),Groups!A:A,Groups!B:B)=0), (18 + BR353 * 2.7) * 0.5,
    IF(AND(_xlfn.XLOOKUP(B353,'Base stats'!B:B,'Base stats'!AL:AL)=0,OR(AO353&lt;0.55,AND(BI353="Intermediate",_xlfn.XLOOKUP(_xlfn.XLOOKUP(B353,'Base stats'!B:B,'Base stats'!E:E),Groups!A:A,Groups!B:B)&lt;2))), (18 + BR353 * 2.7),
      IF(OR(BI353="Advanced",_xlfn.XLOOKUP(B353,'Base stats'!B:B,'Base stats'!AL:AL)=1,_xlfn.XLOOKUP(_xlfn.XLOOKUP(B353,'Base stats'!B:B,'Base stats'!E:E),Groups!A:A,Groups!B:B)=2), (18 + BR353 * 2.7) + 250, (18 + BR353 * 2.7))
    )
  ))
  + AO353 * 80
  + IF(COUNTIF(EggMilk!K$2:K$998, A353) &gt; 0, 125, 0)
  + IF(COUNTIF(EggMilk!P$2:P$998, A353) &gt; 0, 90, 0)
  + IF(COUNTIF(EggMilk!A$2:A$998, A353) &gt; 0, 90, 0)
)
* (0.8 + 0.4 * J353)
* 0.75,25)</f>
        <v>725</v>
      </c>
      <c r="I353" s="2">
        <f>MROUND(ROUNDDOWN(_xlfn.XLOOKUP(B353,'Base stats'!B:B,'Base stats'!L:L)/3.6/(23.3/11),1),0.5)</f>
        <v>4.5</v>
      </c>
      <c r="J353" s="2">
        <f>IF(OR(_xlfn.XLOOKUP(B353,'Base stats'!B:B,'Base stats'!AB:AB)=1,_xlfn.XLOOKUP(_xlfn.XLOOKUP(B353,'Base stats'!B:B,'Base stats'!E:E),Groups!A:A,Groups!C:C)="Untamable"),1,IF(_xlfn.XLOOKUP(B353,'Base stats'!B:B,'Base stats'!AL:AL)=1,0.99,MIN(MROUND((1-0.6282*EXP(-0.459*AO353))*_xlfn.XLOOKUP(_xlfn.XLOOKUP(B353,'Base stats'!B:B,'Base stats'!E:E),Groups!A:A,Groups!C:C)*IF(_xlfn.XLOOKUP(B353,'Base stats'!B:B,'Base stats'!O:O)=1,0.5,IF(_xlfn.XLOOKUP(B353,'Base stats'!B:B,'Base stats'!O:O)=2,0,1)),0.05),IF(AO353&gt;3.5,0.985,0.95))))</f>
        <v>0.8</v>
      </c>
      <c r="K353" s="2">
        <f>ROUNDUP(AO353*_xlfn.XLOOKUP(_xlfn.XLOOKUP(B353,'Base stats'!B:B,'Base stats'!E:E),Groups!A:A,Groups!E:E),0)</f>
        <v>12</v>
      </c>
      <c r="L353" s="2">
        <f>IF(OR(_xlfn.XLOOKUP(_xlfn.XLOOKUP(B353,'Base stats'!B:B,'Base stats'!E:E),Groups!A:A,Groups!F:F)=2,ISNUMBER(SEARCH("SeaIce",BX353)),ISNUMBER(SEARCH("IceSheet",BX353))),-50,IF(OR(ISNUMBER(SEARCH("GlacialPlain",BX353)),ISNUMBER(SEARCH("Tundra",BX353))),-40,IF(OR(ISNUMBER(SEARCH("Alpine",BX353)),ISNUMBER(SEARCH("BorealForest",BX353)),ISNUMBER(SEARCH("ColdBog",BX353))),-30,IF(OR(ISNUMBER(SEARCH("TemperateForest",BX353)),ISNUMBER(SEARCH("TemperateSwamp",BX353))),-20,IF(_xlfn.XLOOKUP(_xlfn.XLOOKUP(B353,'Base stats'!B:B,'Base stats'!E:E),Groups!A:A,Groups!F:F)=1,-15,IF(OR(ISNUMBER(SEARCH("Desert",BX353)),ISNUMBER(SEARCH("ExtremeDesert",BX353))),-10,IF(OR(ISNUMBER(SEARCH("Grasslands",BX353)),ISNUMBER(SEARCH("TropicalRainforest",BX353)),ISNUMBER(SEARCH("TropicalSwamp",BX353))),10,0)))))))-IF(CC353="False",MIN(IFERROR(MAX(MROUND(LOG10(_xlfn.XLOOKUP(B353,'Base stats'!B:B,'Base stats'!C:C)^(2/3))*10,5),5),5),30))-_xlfn.XLOOKUP(B353,'Base stats'!B:B,'Base stats'!P:P)+IF(CC353="True",5,0)</f>
        <v>-35</v>
      </c>
      <c r="M353" s="2">
        <f>IF(OR(_xlfn.XLOOKUP(_xlfn.XLOOKUP(B353,'Base stats'!B:B,'Base stats'!E:E),Groups!A:A,Groups!G:G)=2,ISNUMBER(SEARCH("Desert",BX353)),ISNUMBER(SEARCH("ExtremeDesert",BX353)),ISNUMBER(SEARCH("LavaField",BX353))),50,IF(ISNUMBER(SEARCH("Grasslands",BX353)),45,IF(OR(_xlfn.XLOOKUP(_xlfn.XLOOKUP(B353,'Base stats'!B:B,'Base stats'!E:E),Groups!A:A,Groups!G:G)=1,ISNUMBER(SEARCH("TropicalRainforest",BX353)),ISNUMBER(SEARCH("TropicalSwamp",BX353))),40,IF(OR(ISNUMBER(SEARCH("TemperateForest",BX353)),ISNUMBER(SEARCH("TemperateSwamp",BX353))),35,IF(OR(ISNUMBER(SEARCH("Alpine",BX353)),ISNUMBER(SEARCH("BorealForest",BX353)),ISNUMBER(SEARCH("ColdBog",BX353))),30,IF(ISNUMBER(OR(ISNUMBER(SEARCH("GlacialPlain",BX353)),SEARCH("Tundra",BX353))),25,IF(OR(ISNUMBER(SEARCH("SeaIce",BX353)),ISNUMBER(SEARCH("IceSheet",BX353)),ISNUMBER(SEARCH("TropicalSwamp",BX353))),10,35)))))))+_xlfn.XLOOKUP(B353,'Base stats'!B:B,'Base stats'!Q:Q)</f>
        <v>35</v>
      </c>
      <c r="N353" s="8">
        <f>IF(
_xlfn.XLOOKUP(
_xlfn.XLOOKUP(B353,'Base stats'!B:B,'Base stats'!E:E),
Groups!A:A,
Groups!L:L
)=1,
MIN(
MROUND(
IF(
_xlfn.XLOOKUP(B353,'Animals CE'!B:B,'Animals CE'!Z:Z)&lt;=1.5,
_xlfn.XLOOKUP(B353,'Animals CE'!B:B,'Animals CE'!Z:Z)/2+0.05,
0.8+
(_xlfn.XLOOKUP(B353,'Animals CE'!B:B,'Animals CE'!Z:Z)-1.5)
*0.02
),
0.05
),
200%
),
"No"
)</f>
        <v>0.25</v>
      </c>
      <c r="O353" s="8">
        <f>IF(
_xlfn.XLOOKUP(
_xlfn.XLOOKUP(B353,'Base stats'!B:B,'Base stats'!E:E),
Groups!A:A,
Groups!L:L
)=1,
MIN(
MROUND(
IF(
_xlfn.XLOOKUP(B353,'Animals CE'!B:B,'Animals CE'!AA:AA)&lt;=1.5,
_xlfn.XLOOKUP(B353,'Animals CE'!B:B,'Animals CE'!AA:AA)/2+0.05,
0.8+
(_xlfn.XLOOKUP(B353,'Animals CE'!B:B,'Animals CE'!AA:AA)-1.5)
*0.02
),
0.05
),
200%
),
"No"
)</f>
        <v>0.30000000000000004</v>
      </c>
      <c r="P353" s="2" t="str">
        <f>_xlfn.XLOOKUP(B353,'Base stats'!B:B,'Base stats'!R:R)</f>
        <v>Standard</v>
      </c>
      <c r="Q353" s="13">
        <f>MROUND((LOG10(_xlfn.XLOOKUP(B353,'Base stats'!B:B,'Base stats'!AR:AR))*(AO353^0.5)+(_xlfn.XLOOKUP(B353,'Base stats'!B:B,'Base stats'!AR:AR)/1000)^(2/3)+_xlfn.XLOOKUP(B353,'Base stats'!B:B,'Base stats'!BA:BA)/2)+0.5,0.5)</f>
        <v>13</v>
      </c>
      <c r="R353" s="7">
        <f>IF(Q353="No","No",MAX(1,MROUND(_xlfn.XLOOKUP(B353,'Base stats'!B:B,'Base stats'!C:C)^0.165,0.05)))</f>
        <v>2.5500000000000003</v>
      </c>
      <c r="S353" s="13" t="str">
        <f>IF(_xlfn.XLOOKUP(_xlfn.XLOOKUP(B353,'Base stats'!B:B,'Base stats'!E:E),Groups!A:A,Groups!P:P)=0,"No",MROUND((LOG10(_xlfn.XLOOKUP(B353,'Base stats'!B:B,'Base stats'!AS:AS))*(AO353^0.5)+(_xlfn.XLOOKUP(B353,'Base stats'!B:B,'Base stats'!AS:AS)/1000)^(2/3)+_xlfn.XLOOKUP(B353,'Base stats'!B:B,'Base stats'!BA:BA))+_xlfn.XLOOKUP(B353,'Base stats'!B:B,'Base stats'!AY:AY)+0.5,0.5))</f>
        <v>No</v>
      </c>
      <c r="T353" s="7" t="str">
        <f>IF(S353="No","No",MAX(_xlfn.XLOOKUP(_xlfn.XLOOKUP(B353,'Base stats'!B:B,'Base stats'!E:E),Groups!A:A,Groups!Q:Q),MROUND(_xlfn.XLOOKUP(_xlfn.XLOOKUP(B353,'Base stats'!B:B,'Base stats'!E:E),Groups!A:A,Groups!Q:Q)*_xlfn.XLOOKUP(B353,'Base stats'!B:B,'Base stats'!C:C)^0.165,0.05)))</f>
        <v>No</v>
      </c>
      <c r="U353" s="7" t="str">
        <f>IF(S353="No","No",_xlfn.XLOOKUP(_xlfn.XLOOKUP(B353,'Base stats'!B:B,'Base stats'!E:E),Groups!A:A,Groups!R:R))</f>
        <v>No</v>
      </c>
      <c r="V353" s="7" t="str">
        <f>IF(S353="No","No",_xlfn.XLOOKUP(_xlfn.XLOOKUP(B353,'Base stats'!B:B,'Base stats'!E:E),Groups!A:A,Groups!S:S))</f>
        <v>No</v>
      </c>
      <c r="W353" s="7" t="str">
        <f>IF(S353="No","No",_xlfn.XLOOKUP(_xlfn.XLOOKUP(B353,'Base stats'!B:B,'Base stats'!E:E),Groups!A:A,Groups!T:T))</f>
        <v>No</v>
      </c>
      <c r="X353" s="13">
        <f>IF(_xlfn.XLOOKUP(B353,'Base stats'!B:B,'Base stats'!W:W)="No","No",MROUND((LOG10(_xlfn.XLOOKUP(B353,'Base stats'!B:B,'Base stats'!AU:AU))*(AO353^0.5)+(_xlfn.XLOOKUP(B353,'Base stats'!B:B,'Base stats'!AU:AU)/1000)^(2/3)+_xlfn.XLOOKUP(B353,'Base stats'!B:B,'Base stats'!AZ:AZ))+0.5+IF(_xlfn.XLOOKUP(_xlfn.XLOOKUP(B353,'Base stats'!B:B,'Base stats'!E:E),Groups!A:A,Groups!U:U)&lt;&gt;3,_xlfn.XLOOKUP(B353,'Base stats'!B:B,'Base stats'!BA:BA),0),0.5))</f>
        <v>13.5</v>
      </c>
      <c r="Y353" s="7">
        <f>IF(X353="No","No",MAX(_xlfn.XLOOKUP(_xlfn.XLOOKUP(B353,'Base stats'!B:B,'Base stats'!E:E),Groups!A:A,Groups!V:V),MROUND(_xlfn.XLOOKUP(_xlfn.XLOOKUP(B353,'Base stats'!B:B,'Base stats'!E:E),Groups!A:A,Groups!V:V)*_xlfn.XLOOKUP(B353,'Base stats'!B:B,'Base stats'!C:C)^0.165,0.05)))</f>
        <v>2.2000000000000002</v>
      </c>
      <c r="Z353" s="7" t="str">
        <f>IF(X353="No","No",_xlfn.XLOOKUP(_xlfn.XLOOKUP(B353,'Base stats'!B:B,'Base stats'!E:E),Groups!A:A,Groups!W:W))</f>
        <v>TailAttackTool</v>
      </c>
      <c r="AA353" s="7" t="str">
        <f>IF(X353="No","No",_xlfn.XLOOKUP(_xlfn.XLOOKUP(B353,'Base stats'!B:B,'Base stats'!E:E),Groups!A:A,Groups!X:X))</f>
        <v>tail</v>
      </c>
      <c r="AB353" s="7" t="str">
        <f>IF(X353="No","No",_xlfn.XLOOKUP(_xlfn.XLOOKUP(B353,'Base stats'!B:B,'Base stats'!E:E),Groups!A:A,Groups!Y:Y))</f>
        <v>Blunt</v>
      </c>
      <c r="AC353" s="7" t="str">
        <f>_xlfn.XLOOKUP(Animals!B353,'Base stats'!B:B,'Base stats'!X:X)</f>
        <v>False</v>
      </c>
      <c r="AD353" s="13" t="str">
        <f>IF(_xlfn.XLOOKUP(B353,'Base stats'!B:B,'Base stats'!AT:AT)="No","No",MROUND((LOG10(_xlfn.XLOOKUP(B353,'Base stats'!B:B,'Base stats'!AT:AT))*(AO353^0.75)+(_xlfn.XLOOKUP(B353,'Base stats'!B:B,'Base stats'!AT:AT)/1000)^(2/3)+_xlfn.XLOOKUP(B353,'Base stats'!B:B,'Base stats'!AX:AX)+_xlfn.XLOOKUP(B353,'Base stats'!B:B,'Base stats'!BA:BA))+0.5,0.5))</f>
        <v>No</v>
      </c>
      <c r="AE353" s="7" t="str">
        <f>IF(AD353="No","No",MAX(_xlfn.XLOOKUP(_xlfn.XLOOKUP(B353,'Base stats'!B:B,'Base stats'!E:E),Groups!A:A,Groups!Z:Z),MROUND(_xlfn.XLOOKUP(_xlfn.XLOOKUP(B353,'Base stats'!B:B,'Base stats'!E:E),Groups!A:A,Groups!Z:Z)*_xlfn.XLOOKUP(B353,'Base stats'!B:B,'Base stats'!C:C)^0.165,0.05)))</f>
        <v>No</v>
      </c>
      <c r="AF353" s="7" t="str">
        <f>IF(AD353="No","No",_xlfn.XLOOKUP(_xlfn.XLOOKUP(B353,'Base stats'!B:B,'Base stats'!E:E),Groups!A:A,Groups!AA:AA))</f>
        <v>No</v>
      </c>
      <c r="AG353" s="7" t="str">
        <f>IF(AD353="No","No",_xlfn.XLOOKUP(_xlfn.XLOOKUP(B353,'Base stats'!B:B,'Base stats'!E:E),Groups!A:A,Groups!AB:AB))</f>
        <v>No</v>
      </c>
      <c r="AH353" s="7" t="str">
        <f>IF(AD353="No","No",_xlfn.XLOOKUP(_xlfn.XLOOKUP(B353,'Base stats'!B:B,'Base stats'!E:E),Groups!A:A,Groups!AC:AC))</f>
        <v>No</v>
      </c>
      <c r="AI353" s="13" t="str">
        <f>IF(_xlfn.XLOOKUP(_xlfn.XLOOKUP(B353,'Base stats'!B:B,'Base stats'!E:E),Groups!A:A,Groups!AD:AD)=0,"No",MROUND((LOG10(_xlfn.XLOOKUP(B353,'Base stats'!B:B,'Base stats'!AS:AS))*(AO353^0.75)+(_xlfn.XLOOKUP(B353,'Base stats'!B:B,'Base stats'!AS:AS)/1000)^(2/3)+_xlfn.XLOOKUP(B353,'Base stats'!B:B,'Base stats'!AY:AY)+_xlfn.XLOOKUP(B353,'Base stats'!B:B,'Base stats'!BA:BA))+0.5,0.5))</f>
        <v>No</v>
      </c>
      <c r="AJ353" s="7" t="str">
        <f>IF(AI353="No","No",MAX(_xlfn.XLOOKUP(_xlfn.XLOOKUP(B353,'Base stats'!B:B,'Base stats'!E:E),Groups!A:A,Groups!AE:AE),MROUND(_xlfn.XLOOKUP(_xlfn.XLOOKUP(B353,'Base stats'!B:B,'Base stats'!E:E),Groups!A:A,Groups!AE:AE)*IF(_xlfn.XLOOKUP(_xlfn.XLOOKUP(B353,'Base stats'!B:B,'Base stats'!E:E),Groups!A:A,Groups!AJ:AJ)="Photonozoa",0.6,1)*_xlfn.XLOOKUP(B353,'Base stats'!B:B,'Base stats'!C:C)^0.165,0.05)))</f>
        <v>No</v>
      </c>
      <c r="AK353" s="7" t="str">
        <f>IF(AI353="No","No",_xlfn.XLOOKUP(_xlfn.XLOOKUP(B353,'Base stats'!B:B,'Base stats'!E:E),Groups!A:A,Groups!AF:AF))</f>
        <v>No</v>
      </c>
      <c r="AL353" s="7" t="str">
        <f>IF(AI353="No","No",_xlfn.XLOOKUP(_xlfn.XLOOKUP(B353,'Base stats'!B:B,'Base stats'!E:E),Groups!A:A,Groups!AG:AG))</f>
        <v>No</v>
      </c>
      <c r="AM353" s="7" t="str">
        <f>IF(AI353="No","No",_xlfn.XLOOKUP(_xlfn.XLOOKUP(B353,'Base stats'!B:B,'Base stats'!E:E),Groups!A:A,Groups!AH:AH))</f>
        <v>No</v>
      </c>
      <c r="AN353" s="2" t="str">
        <f t="shared" si="35"/>
        <v>No</v>
      </c>
      <c r="AO353" s="2">
        <f>MROUND(IF(AND(_xlfn.XLOOKUP(B353,'Base stats'!B:B,'Base stats'!C:C)&gt;=0.5,_xlfn.XLOOKUP(B353,'Base stats'!B:B,'Base stats'!C:C)&lt;=0.8),
IF(_xlfn.XLOOKUP(B353,'Base stats'!B:B,'Base stats'!C:C)&lt;0.1,0.05,IF(_xlfn.XLOOKUP(B353,'Base stats'!B:B,'Base stats'!C:C)&lt;=70,(_xlfn.XLOOKUP(B353,'Base stats'!B:B,'Base stats'!C:C)/70)^0.426489913056526,IF(_xlfn.XLOOKUP(B353,'Base stats'!B:B,'Base stats'!C:C)&lt;=400,(_xlfn.XLOOKUP(B353,'Base stats'!B:B,'Base stats'!C:C)/70)^0.572811455315093,IF(_xlfn.XLOOKUP(B353,'Base stats'!B:B,'Base stats'!C:C)&lt;=2000,2.71391647193063*(_xlfn.XLOOKUP(B353,'Base stats'!B:B,'Base stats'!C:C)/400)^0.252459582904293,3.74314280240376*(_xlfn.XLOOKUP(B353,'Base stats'!B:B,'Base stats'!C:C)/2000)^0.357012633876913)))),
IF(_xlfn.XLOOKUP(B353,'Base stats'!B:B,'Base stats'!C:C)&lt;0.1,0.05,IF(_xlfn.XLOOKUP(B353,'Base stats'!B:B,'Base stats'!C:C)&lt;0.4,0.1,IF(_xlfn.XLOOKUP(B353,'Base stats'!B:B,'Base stats'!C:C)&lt;=70,(_xlfn.XLOOKUP(B353,'Base stats'!B:B,'Base stats'!C:C)/70)^0.445823913056526,IF(_xlfn.XLOOKUP(B353,'Base stats'!B:B,'Base stats'!C:C)&lt;=400,(_xlfn.XLOOKUP(B353,'Base stats'!B:B,'Base stats'!C:C)/70)^0.572811455315093,IF(_xlfn.XLOOKUP(B353,'Base stats'!B:B,'Base stats'!C:C)&lt;=2000,2.71391647193063*(_xlfn.XLOOKUP(B353,'Base stats'!B:B,'Base stats'!C:C)/400)^0.252459582904293,3.74314280240376*(_xlfn.XLOOKUP(B353,'Base stats'!B:B,'Base stats'!C:C)/2000)^0.357012633876913)))))),
IF(_xlfn.XLOOKUP(B353,'Base stats'!B:B,'Base stats'!C:C)&lt;0.1,0.05,IF(_xlfn.XLOOKUP(B353,'Base stats'!B:B,'Base stats'!C:C)&lt;=100,0.05,IF(_xlfn.XLOOKUP(B353,'Base stats'!B:B,'Base stats'!C:C)&lt;=250,0.1,IF(_xlfn.XLOOKUP(B353,'Base stats'!B:B,'Base stats'!C:C)&lt;=4000,0.25,0.5)))))</f>
        <v>2.25</v>
      </c>
      <c r="AP353" s="8">
        <f>MROUND(AO353*_xlfn.XLOOKUP(_xlfn.XLOOKUP(B353,'Base stats'!B:B,'Base stats'!E:E),Groups!A:A,Groups!AI:AI)*_xlfn.XLOOKUP(B353,'Base stats'!B:B,'Base stats'!Z:Z),0.05)</f>
        <v>2.25</v>
      </c>
      <c r="AQ353" s="8">
        <f>MAX(0.01,MROUND(IF(CC353="True",0.196*(AO353*100*1000)^0.889,IF(_xlfn.XLOOKUP(_xlfn.XLOOKUP(B353,'Base stats'!B:B,'Base stats'!E:E),Groups!A:A,Groups!AJ:AJ)="Bird",10.5*(AO353*100*1000)^0.681,4.82*(AO353*100*1000)^0.734))/(4.82*(1*100*1000)^0.734)/IF(AO353&lt;3.5,2,IF(AO353=3.5,1.5,1.25))*(1+0.132282374779864/(AO353^0.994035016789033+0.00905238001496948)),0.05))</f>
        <v>1.1000000000000001</v>
      </c>
      <c r="AR353" s="9">
        <f>IFERROR(MROUND(_xlfn.XLOOKUP(B353,'Base stats'!B:B,'Base stats'!H:H)/IF(_xlfn.XLOOKUP(B353,'Base stats'!B:B,'Base stats'!I:I)&lt;&gt;1,(122.5/70),1.2),IF(_xlfn.XLOOKUP(B353,'Base stats'!B:B,'Base stats'!H:H)&gt;=30,5,IF(_xlfn.XLOOKUP(B353,'Base stats'!B:B,'Base stats'!H:H)&gt;=15,3,IF(_xlfn.XLOOKUP(B353,'Base stats'!B:B,'Base stats'!H:H)&gt;=10,2,1)))),"Immortal")</f>
        <v>25</v>
      </c>
      <c r="AS353" s="35" t="str">
        <f>IFERROR(IF(OR(_xlfn.XLOOKUP(B353,'Base stats'!B:B,'Base stats'!F:F)="Atypical reproduction",_xlfn.XLOOKUP(B353,'Base stats'!B:B,'Base stats'!F:F)="Lay eggs"),"Lay eggs",MIN(20,MAX(5.5,ROUND(((_xlfn.XLOOKUP(B353,'Base stats'!B:B,'Base stats'!F:F)-25)*(14.5/615) + 5.5)*2,0)/2))),"Unknown")</f>
        <v>Lay eggs</v>
      </c>
      <c r="AT353" s="8">
        <f>IF(_xlfn.XLOOKUP(B353,'Base stats'!B:B,'Base stats'!G:G)="Atypical reproduction","No",IFERROR(MAX(IF(_xlfn.XLOOKUP(B353,'Base stats'!B:B,'Base stats'!G:G)&lt;0.5,0.2,0.3),MROUND(_xlfn.XLOOKUP(B353,'Base stats'!B:B,'Base stats'!G:G)/(365/60),0.2)),"Unknown"))</f>
        <v>0.8</v>
      </c>
      <c r="AU353" s="8">
        <f t="shared" si="36"/>
        <v>0.4</v>
      </c>
      <c r="AV353" s="8" t="str">
        <f>IFERROR(IFERROR(MROUND(_xlfn.XLOOKUP(B353,'Base stats'!B:B,'Base stats'!J:J),0.1),"Lay eggs"),"Cannot breed")</f>
        <v>Lay eggs</v>
      </c>
      <c r="AW353" s="2" t="str">
        <f t="shared" si="37"/>
        <v>false</v>
      </c>
      <c r="AX353" s="2" t="str">
        <f>IF(_xlfn.XLOOKUP(_xlfn.XLOOKUP(Animals!B353,'Base stats'!B:B,'Base stats'!E:E),Groups!A:A,Groups!AK:AK)=1,"true","false")</f>
        <v>false</v>
      </c>
      <c r="AY353" s="25" t="str">
        <f>IF(_xlfn.XLOOKUP(B353,'Base stats'!B:B,'Base stats'!Y:Y)="Liquor","Liquor, CarnivoreAnimalStrict",IF(AND(_xlfn.XLOOKUP(B353,'Base stats'!B:B,'Base stats'!Y:Y)="Carnivore",_xlfn.XLOOKUP(_xlfn.XLOOKUP(B353,'Base stats'!B:B,'Base stats'!E:E),Groups!A:A,Groups!AJ:AJ)="Photonozoa"),"CarnivoreAnimalStrict, OvivoreAnimal",IF(_xlfn.XLOOKUP(B353,'Base stats'!B:B,'Base stats'!Y:Y)="Carnivore","CarnivoreAnimal, OvivoreAnimal",IF(_xlfn.XLOOKUP(B353,'Base stats'!B:B,'Base stats'!Y:Y)="Dendrovore","VegetarianRoughAnimal, DendrovoreAnimal",IF(_xlfn.XLOOKUP(B353,'Base stats'!B:B,'Base stats'!Y:Y)="Herbivore","VegetarianRoughAnimal",IF(_xlfn.XLOOKUP(B353,'Base stats'!B:B,'Base stats'!Y:Y)="OmnivoreRough","OmnivoreRoughAnimal, OvivoreAnimal","OmnivoreAnimal, OvivoreAnimal"))))))</f>
        <v>VegetarianRoughAnimal</v>
      </c>
      <c r="AZ353" s="2">
        <f>IF(_xlfn.XLOOKUP(_xlfn.XLOOKUP(B353,'Base stats'!B:B,'Base stats'!E:E),Groups!A:A,Groups!D:D)=1,MROUND((1-J353)*5+1,2)*IF(J353&lt;=0.4,2,1),"No")</f>
        <v>2</v>
      </c>
      <c r="BA353" s="2" t="str">
        <f>IF(AND(_xlfn.XLOOKUP(B353,'Base stats'!B:B,'Base stats'!AH:AH)="&lt;li&gt;Seal&lt;/li&gt;",G353="Odyssey"),"&lt;li&gt;AEXP_Seal&lt;/li&gt;",_xlfn.XLOOKUP(B353,'Base stats'!B:B,'Base stats'!AH:AH))</f>
        <v>No</v>
      </c>
      <c r="BB353" s="2" t="str">
        <f>_xlfn.XLOOKUP(B353,'Base stats'!B:B,'Base stats'!AG:AG)</f>
        <v>Leather_ArmoredDino</v>
      </c>
      <c r="BC353" s="23" t="str">
        <f>_xlfn.XLOOKUP(_xlfn.XLOOKUP(B353,'Base stats'!B:B,'Base stats'!E:E),Groups!A:A,Groups!AL:AL)</f>
        <v>Thyreophorae</v>
      </c>
      <c r="BD353" s="23">
        <f>MIN(1,MROUND(IF(AND(AO353&lt;0.5,_xlfn.XLOOKUP(B353,'Base stats'!B:B,'Base stats'!AA:AA)=0),0,IF(OR(_xlfn.XLOOKUP(Animals!B353,'Base stats'!B:B,'Base stats'!O:O)=2,_xlfn.XLOOKUP(_xlfn.XLOOKUP(B353,'Base stats'!B:B,'Base stats'!E:E),Groups!A:A,Groups!AN:AN)=0),0,_xlfn.XLOOKUP(_xlfn.XLOOKUP(B353,'Base stats'!B:B,'Base stats'!E:E),Groups!A:A,Groups!AN:AN)/IF(_xlfn.XLOOKUP(Animals!B353,'Base stats'!B:B,'Base stats'!O:O)=1,2,1)))+_xlfn.XLOOKUP(B353,'Base stats'!B:B,'Base stats'!AC:AC),0.005))</f>
        <v>0.1</v>
      </c>
      <c r="BE353" s="23">
        <f>MIN(1,MROUND(IF(AND(AO353&lt;0.5,_xlfn.XLOOKUP(B353,'Base stats'!B:B,'Base stats'!AA:AA)=0),0,IF(_xlfn.XLOOKUP(_xlfn.XLOOKUP(B353,'Base stats'!B:B,'Base stats'!E:E),Groups!A:A,Groups!AO:AO)=0,0,_xlfn.XLOOKUP(_xlfn.XLOOKUP(B353,'Base stats'!B:B,'Base stats'!E:E),Groups!A:A,Groups!AO:AO)/IF(_xlfn.XLOOKUP(Animals!B353,'Base stats'!B:B,'Base stats'!O:O)=2,3,1)))+_xlfn.XLOOKUP(B353,'Base stats'!B:B,'Base stats'!AD:AD),0.005))</f>
        <v>0.3</v>
      </c>
      <c r="BF353" s="2" t="str">
        <f>IF(J353&gt;0.3,"No",_xlfn.XLOOKUP(_xlfn.XLOOKUP(Animals!B353,'Base stats'!B:B,'Base stats'!E:E),Groups!A:A,Groups!AP:AP))</f>
        <v>No</v>
      </c>
      <c r="BG353" s="2" t="str">
        <f>IF(AND(J353&lt;=0.65,_xlfn.XLOOKUP(_xlfn.XLOOKUP(Animals!B353,'Base stats'!B:B,'Base stats'!E:E),Groups!A:A,Groups!AP:AP)&lt;&gt;"No",_xlfn.XLOOKUP(_xlfn.XLOOKUP(B353,'Base stats'!B:B,'Base stats'!E:E),Groups!A:A,Groups!D:D)=0),MROUND((80/3)*IF(_xlfn.XLOOKUP(B353,'Base stats'!B:B,'Base stats'!O:O)=2,0.2,AO353) + 24*(1-IF(BF353="No",0,BF353)) + 16/3, 12),"No")</f>
        <v>No</v>
      </c>
      <c r="BH353" s="2">
        <f>IF(AND(_xlfn.XLOOKUP(_xlfn.XLOOKUP(B353,'Base stats'!B:B,'Base stats'!E:E),Groups!A:A,Groups!AQ:AQ)=1,AO353&lt;=0.35),8,12)</f>
        <v>12</v>
      </c>
      <c r="BI353" s="2" t="str">
        <f>IF(_xlfn.XLOOKUP(_xlfn.XLOOKUP(B353,'Base stats'!B:B,'Base stats'!E:E),Groups!A:A,Groups!D:D)=0,_xlfn.XLOOKUP(_xlfn.XLOOKUP(B353,'Base stats'!B:B,'Base stats'!E:E),Groups!A:A,Groups!AR:AR),"None")</f>
        <v>None</v>
      </c>
      <c r="BJ353" s="2" t="str">
        <f>IF(AND(_xlfn.XLOOKUP(_xlfn.XLOOKUP(B353,'Base stats'!B:B,'Base stats'!E:E),Groups!A:A,Groups!AS:AS)=1,OR(_xlfn.XLOOKUP(B353,'Base stats'!B:B,'Base stats'!Y:Y)="Carnivore",_xlfn.XLOOKUP(B353,'Base stats'!B:B,'Base stats'!Y:Y)="Omnivore")),"true","false")</f>
        <v>false</v>
      </c>
      <c r="BK353" s="2" t="str">
        <f>IF(BJ353="true",MROUND(IF(AND(AO353&gt;0.5,OR(_xlfn.XLOOKUP(_xlfn.XLOOKUP(B353,'Base stats'!B:B,'Base stats'!E:E),Groups!A:A,Groups!AJ:AJ)="Photonozoa",_xlfn.XLOOKUP(_xlfn.XLOOKUP(B353,'Base stats'!B:B,'Base stats'!E:E),Groups!A:A,Groups!AJ:AJ)="Mammal")),Animals!AO353*1.75*IF(AW353="true",1.5,1),IF(AO353&lt;0.5,Animals!AO353*0.5,Animals!AO353)),IF(AO353&gt;2,0.5,IF(AO353&gt;0.5,0.25,0.1))),"No")</f>
        <v>No</v>
      </c>
      <c r="BL353" s="2">
        <f t="shared" si="38"/>
        <v>0</v>
      </c>
      <c r="BM353" s="25" t="str">
        <f>IF(_xlfn.XLOOKUP(B353,'Base stats'!B:B,'Base stats'!AN:AN)="Standard","No",MROUND((_xlfn.XLOOKUP(B353,'Base stats'!B:B,'Base stats'!AN:AN)/3.6)/I353,0.1))</f>
        <v>No</v>
      </c>
      <c r="BN353" s="25" t="str">
        <f t="shared" si="39"/>
        <v>false</v>
      </c>
      <c r="BO353" s="25" t="str">
        <f>IF(AND(OR(_xlfn.XLOOKUP(B353,'Base stats'!B:B,'Base stats'!Y:Y)="Carnivore",_xlfn.XLOOKUP(B353,'Base stats'!B:B,'Base stats'!Y:Y)="Omnivore",_xlfn.XLOOKUP(B353,'Base stats'!B:B,'Base stats'!Y:Y)="OmnivoreRough"),_xlfn.XLOOKUP(_xlfn.XLOOKUP(B353,'Base stats'!B:B,'Base stats'!E:E),Groups!A:A,Groups!AT:AT)=1),"true","false")</f>
        <v>false</v>
      </c>
      <c r="BP353" s="25" t="str" cm="1">
        <f t="array" ref="BP353">IF(
  _xlfn.TEXTJOIN(", ",TRUE,
    IF(AND(BJ353="true",AO353&gt;0.5,BI353&lt;&gt;"None"),"AttackTarget",""),
    IF(AND(_xlfn.XLOOKUP(_xlfn.XLOOKUP(B353,'Base stats'!B:B,'Base stats'!E:E),Groups!A:A,Groups!AJ:AJ="Mammal"),OR(_xlfn.XLOOKUP(B353,'Base stats'!B:B,'Base stats'!Y:Y)="Omnivore",_xlfn.XLOOKUP(B353,'Base stats'!B:B,'Base stats'!Y:Y)="OmnivoreRough")),"Forage",""),
    IF(BG353&lt;=36,"Comfort",""),
    IF(_xlfn.XLOOKUP(B353,'Base stats'!B:B,'Base stats'!AE:AE)&lt;&gt;"No",_xlfn.XLOOKUP(B353,'Base stats'!B:B,'Base stats'!AE:AE),"")
  ) = "",
  "No",
  _xlfn.TEXTJOIN(", ",TRUE,
    IF(AND(BJ353="true",AO353&gt;0.5,BI353&lt;&gt;"None"),"AttackTarget",""),
    IF(AND(_xlfn.XLOOKUP(_xlfn.XLOOKUP(B353,'Base stats'!B:B,'Base stats'!E:E),Groups!A:A,Groups!AJ:AJ="Mammal"),OR(_xlfn.XLOOKUP(B353,'Base stats'!B:B,'Base stats'!Y:Y)="Omnivore",_xlfn.XLOOKUP(B353,'Base stats'!B:B,'Base stats'!Y:Y)="OmnivoreRough")),"Forage",""),
    IF(BG353&lt;=36,"Comfort",""),
    IF(_xlfn.XLOOKUP(B353,'Base stats'!B:B,'Base stats'!AE:AE)&lt;&gt;"No",_xlfn.XLOOKUP(B353,'Base stats'!B:B,'Base stats'!AE:AE),"")
  )
)</f>
        <v>No</v>
      </c>
      <c r="BQ353" s="25" t="str">
        <f>IF(
   AND(
      'Base stats'!AN353="Standard",_xlfn.XLOOKUP(_xlfn.XLOOKUP(B353,'Base stats'!B:B,'Base stats'!E:E),Groups!A:A,Groups!AU:AU)=0,
      OR(
      BO353="True"
      )
   ),
   10,
   IF(
       OR(BM353&lt;&gt;"No",_xlfn.XLOOKUP(_xlfn.XLOOKUP(B353,'Base stats'!B:B,'Base stats'!E:E),Groups!A:A,Groups!AU:AU)=1),
      1,
      "No"
   )
)</f>
        <v>No</v>
      </c>
      <c r="BR353" s="9">
        <f>MROUND((1 + ((0.2*IF(OR(Q353="No",R353="No",R353=0),0,Q353/R353)
+IF(OR(V353="No",S353="No",T353="No"),0,S353/T353*(LEN(V353)-LEN(SUBSTITUTE(V353,",",""))+1))
+IF(OR(X353="No",Y353="No"),0,X353/Y353)
+IF(OR(AD353="No",AE353="No"),0,AD353/AE353)
+IF(OR(AL353="No",AI353="No",AJ353="No"),0,AI353/AJ353*(LEN(AL353)-LEN(SUBSTITUTE(AL353,",",""))+1))
)/(0.2*IF(OR(Q353="No",R353="No",R353=0),0,1)
+IF(OR(V353="No",S353="No",T353="No"),0,LEN(V353)-LEN(SUBSTITUTE(V353,",",""))+1)
+IF(OR(X353="No",Y353="No"),0,1)
+IF(OR(AD353="No",AE353="No"),0,1)
+IF(OR(AL353="No",AI353="No",AJ353="No"),0,LEN(AL353)-LEN(SUBSTITUTE(AL353,",",""))+1))*62%)* 2)*(1 + (AP353 / (IF(_xlfn.XLOOKUP(_xlfn.XLOOKUP(B353,'Base stats'!B:B,'Base stats'!E:E),Groups!A:A,Groups!AJ:AJ)="Photonozoa",0.3,1)) + _xlfn.XLOOKUP(B353,'Base stats'!B:B,'Base stats'!AV:AV) * 1.8) * 2) * 2.5 + 10 + I353 * 2,5)+IF(_xlfn.XLOOKUP(B353,'Base stats'!B:B,'Base stats'!AK:AK)=1,50,0)</f>
        <v>155</v>
      </c>
      <c r="BS353" s="8">
        <f t="shared" si="40"/>
        <v>1.35</v>
      </c>
      <c r="BT353" s="8" t="str">
        <f>_xlfn.XLOOKUP(B353,'Base stats'!B:B,'Base stats'!AF:AF)</f>
        <v>No</v>
      </c>
      <c r="BU353" s="2" t="str">
        <f>IF(AND(J353&lt;=0.95,OR(_xlfn.XLOOKUP(B353,'Base stats'!B:B,'Base stats'!AK:AK)=1,_xlfn.XLOOKUP(B353,'Base stats'!B:B,'Base stats'!Y:Y)="Carnivore",_xlfn.XLOOKUP(B353,'Base stats'!B:B,'Base stats'!Y:Y)="Omnivore",BE353&gt;0.1)),"true","false")</f>
        <v>true</v>
      </c>
      <c r="BV353" s="2" t="str">
        <f>IF(_xlfn.XLOOKUP(B353,'Base stats'!B:B,'Base stats'!AI:AI)=1,"true","false")</f>
        <v>false</v>
      </c>
      <c r="BW353" s="25" t="str">
        <f>IF(E353="BaseInsect","AnimalInsect",
IF(J353&gt;0.95,"AnimalExotic",
_xlfn.TEXTJOIN(", ",TRUE,
IF(OR(_xlfn.XLOOKUP(B353,'Base stats'!B:B,'Base stats'!AM:AM)=1,AND(_xlfn.XLOOKUP(B353,'Base stats'!B:B,'Base stats'!O:O)=0,_xlfn.XLOOKUP(_xlfn.XLOOKUP(B353,'Base stats'!B:B,'Base stats'!E:E),Groups!A:A,Groups!B:B)&gt;0)),"AnimalUncommon","AnimalCommon"),
IF(AND(_xlfn.XLOOKUP(B353,'Base stats'!B:B,'Base stats'!O:O)=2,_xlfn.XLOOKUP(_xlfn.XLOOKUP(B353,'Base stats'!B:B,'Base stats'!E:E),Groups!A:A,Groups!D:D)=0),"AnimalPet",IF(AND(_xlfn.XLOOKUP(B353,'Base stats'!B:B,'Base stats'!O:O)&lt;&gt;0,_xlfn.XLOOKUP(_xlfn.XLOOKUP(B353,'Base stats'!B:B,'Base stats'!E:E),Groups!A:A,Groups!D:D)&lt;&gt;0),"AnimalFarm","")),
IF(OR(_xlfn.XLOOKUP(B353,'Base stats'!B:B,'Base stats'!AK:AK)=1,AND(BI353&lt;&gt;"None",BR353&gt;=60),ISNUMBER(SEARCH("Attack target",BP353))),"AnimalFighter","")
)))</f>
        <v>AnimalUncommon</v>
      </c>
      <c r="BX353" s="25" t="str">
        <f>IF(G353="None",TRIM(
SUBSTITUTE(
IF(COUNTIF(Biomes!B$2:B$259,"="&amp;$C353)&gt;0,Biomes!B$1&amp;", ","")&amp;
IF(COUNTIF(Biomes!C$2:C$259,"="&amp;$C353)&gt;0,Biomes!C$1&amp;", ","")&amp;
IF(COUNTIF(Biomes!D$2:D$259,"="&amp;$C353)&gt;0,Biomes!D$1&amp;", ","")&amp;
IF(COUNTIF(Biomes!F$2:F$259,"="&amp;$C353)&gt;0,Biomes!F$1&amp;", ","")&amp;
IF(COUNTIF(Biomes!G$2:G$259,"="&amp;$C353)&gt;0,Biomes!G$1&amp;", ","")&amp;
IF(COUNTIF(Biomes!H$2:H$259,"="&amp;$C353)&gt;0,Biomes!H$1&amp;", ","")&amp;
IF(COUNTIF(Biomes!I$2:I$259,"="&amp;$C353)&gt;0,Biomes!I$1&amp;", ","")&amp;
IF(COUNTIF(Biomes!J$2:J$259,"="&amp;$C353)&gt;0,Biomes!J$1&amp;", ","")&amp;
IF(COUNTIF(Biomes!M$2:M$259,"="&amp;$C353)&gt;0,Biomes!M$1&amp;", ","")&amp;
IF(COUNTIF(Biomes!N$2:N$259,"="&amp;$C353)&gt;0,Biomes!N$1&amp;", ","")&amp;
IF(COUNTIF(Biomes!O$2:O$259,"="&amp;$C353)&gt;0,Biomes!O$1&amp;", ","")&amp;
IF(COUNTIF(Biomes!P$2:P$259,"="&amp;$C353)&gt;0,Biomes!P$1&amp;", ","")&amp;
IF(COUNTIF(Biomes!K$2:K$259,"="&amp;$C353)&gt;0,Biomes!K$1&amp;", ","")&amp;
IF(COUNTIF(Biomes!Q$3:Q$259,"="&amp;$C353)&gt;0,Biomes!Q$1&amp;", ","")&amp;
IF(COUNTIF(Biomes!L$2:L$259,"="&amp;$C353)&gt;0,Biomes!L$1&amp;", ","")&amp;
IF(COUNTIF(Biomes!E$2:E$259,"="&amp;$C353)&gt;0,Biomes!E$1&amp;", ","")&amp;IF(COUNTIF(Biomes!S$2:S$259,"="&amp;$C353)&gt;0,Biomes!S$1&amp;", ","")&amp;
IF(COUNTIF(Biomes!R$2:R$259,"="&amp;$C353)&gt;0,Biomes!R$1&amp;", ",""),", ","")
),_xlfn.XLOOKUP(B353,B:B,BX:BX))</f>
        <v>TemperateForest TemperateSwamp</v>
      </c>
      <c r="BY353" s="25" t="str">
        <f>IF(_xlfn.XLOOKUP(B353,'Base stats'!B:B,'Base stats'!AJ:AJ)=1,"true","false")</f>
        <v>false</v>
      </c>
      <c r="BZ353" s="25">
        <f>IF(_xlfn.XLOOKUP(B353,'Base stats'!B:B,'Base stats'!N:N)=1,"No",MAX(0.001,MIN(MROUND(IF(AND(BJ353="True",CC353="False"),POWER(10,3.47*LOG10(_xlfn.XLOOKUP(B353,'Base stats'!B:B,'Base stats'!C:C)*1000)^-0.96),POWER(10,4.15*LOG10(_xlfn.XLOOKUP(B353,'Base stats'!B:B,'Base stats'!C:C)*1000)^-0.73))*IF(_xlfn.XLOOKUP(B353,'Base stats'!B:B,'Base stats'!AK:AK)=1,0.5,1)*IF(_xlfn.XLOOKUP(B353,'Base stats'!B:B,'Base stats'!AM:AM)=1,0.1,1)/100,IF(_xlfn.XLOOKUP(B353,'Base stats'!B:B,'Base stats'!AM:AM)=1,0.001,0.025)),0.5)))</f>
        <v>0.15000000000000002</v>
      </c>
      <c r="CA353" s="25" t="str">
        <f>IF(P353="Standard","No",MAX(0.001,MIN(MROUND(IF(AND(BJ353="True",CC353="False"),POWER(10,3.47*LOG10(_xlfn.XLOOKUP(B353,'Base stats'!B:B,'Base stats'!C:C)*1000)^-0.96),POWER(10,4.15*LOG10(_xlfn.XLOOKUP(B353,'Base stats'!B:B,'Base stats'!C:C)*1000)^-0.73))*IF(_xlfn.XLOOKUP(B353,'Base stats'!B:B,'Base stats'!AM:AM)=1,0.1,1)*_xlfn.XLOOKUP(B353,'Base stats'!B:B,'Base stats'!R:R)/100,IF(_xlfn.XLOOKUP(B353,'Base stats'!B:B,'Base stats'!AM:AM)=1,0.001,0.025)),0.5)))</f>
        <v>No</v>
      </c>
      <c r="CB353" s="25" t="str">
        <f>IF(_xlfn.XLOOKUP(_xlfn.XLOOKUP(B353,'Base stats'!B:B,'Base stats'!E:E),Groups!A:A,Groups!AJ:AJ)="Mammal","True","False")</f>
        <v>False</v>
      </c>
      <c r="CC353" s="25" t="str">
        <f>IF(OR(_xlfn.XLOOKUP(_xlfn.XLOOKUP(B353,'Base stats'!B:B,'Base stats'!E:E),Groups!A:A,Groups!AJ:AJ)="Reptile",_xlfn.XLOOKUP(_xlfn.XLOOKUP(B353,'Base stats'!B:B,'Base stats'!E:E),Groups!A:A,Groups!AJ:AJ)="Amphibian",_xlfn.XLOOKUP(_xlfn.XLOOKUP(B353,'Base stats'!B:B,'Base stats'!E:E),Groups!A:A,Groups!AJ:AJ)="Invertebrate"),"True","False")</f>
        <v>False</v>
      </c>
      <c r="CD353" s="25" t="str">
        <f t="shared" si="41"/>
        <v>False</v>
      </c>
      <c r="CE353" s="25" t="str">
        <f>IF(_xlfn.XLOOKUP(_xlfn.XLOOKUP(B353,'Base stats'!B:B,'Base stats'!E:E),Groups!A:A,Groups!AX:AX),"True","False")</f>
        <v>False</v>
      </c>
      <c r="CF353" s="25" t="str">
        <f>IF(_xlfn.XLOOKUP(_xlfn.XLOOKUP(B353,'Base stats'!B:B,'Base stats'!E:E),Groups!A:A,Groups!AY:AY),"True","False")</f>
        <v>False</v>
      </c>
      <c r="CG353" s="25" t="str">
        <f>IF(_xlfn.XLOOKUP(_xlfn.XLOOKUP(B353,'Base stats'!B:B,'Base stats'!E:E),Groups!A:A,Groups!AW:AW),"True","False")</f>
        <v>False</v>
      </c>
      <c r="CH353" s="25" t="str">
        <f>IF(
OR(
_xlfn.XLOOKUP(_xlfn.XLOOKUP(B353,'Base stats'!B:B,'Base stats'!E:E),Groups!A:A,Groups!AZ:AZ)=0,
AND(
_xlfn.XLOOKUP(B353,'Base stats'!B:B,'Base stats'!Y:Y)&lt;&gt;"Carnivore",
_xlfn.XLOOKUP(B353,'Base stats'!B:B,'Base stats'!Y:Y)&lt;&gt;"Omnivore",
_xlfn.XLOOKUP(B353,'Base stats'!B:B,'Base stats'!Y:Y)&lt;&gt;"OmnivoreRough"
)
),
"No",
IF(
_xlfn.XLOOKUP(_xlfn.XLOOKUP(B353,'Base stats'!B:B,'Base stats'!E:E),Groups!A:A,Groups!AZ:AZ)=1,
"Flesh",
IF(
_xlfn.XLOOKUP(_xlfn.XLOOKUP(B353,'Base stats'!B:B,'Base stats'!E:E),Groups!A:A,Groups!AZ:AZ)=2,
"Bone",
""
)
)
)</f>
        <v>No</v>
      </c>
      <c r="CI353" s="25" t="str">
        <f>IF(_xlfn.XLOOKUP(_xlfn.XLOOKUP(B353,'Base stats'!B:B,'Base stats'!E:E),Groups!A:A,Groups!BB:BB),"True","False")</f>
        <v>False</v>
      </c>
      <c r="CJ353" s="25" t="str">
        <f>IF(_xlfn.XLOOKUP(_xlfn.XLOOKUP(B353,'Base stats'!B:B,'Base stats'!E:E),Groups!A:A,Groups!BA:BA),"True","False")</f>
        <v>False</v>
      </c>
    </row>
    <row r="354" spans="1:88" ht="16.5" thickTop="1" thickBot="1" x14ac:dyDescent="0.3">
      <c r="A354" s="26" t="s">
        <v>1935</v>
      </c>
      <c r="B354" s="6" t="str">
        <f>_xlfn.XLOOKUP(A354,'Base stats'!A:A,'Base stats'!B:B)</f>
        <v>Giraffatitan brancai</v>
      </c>
      <c r="C354" s="28" t="s">
        <v>2028</v>
      </c>
      <c r="D354" s="28" t="s">
        <v>1898</v>
      </c>
      <c r="E354" s="28" t="s">
        <v>673</v>
      </c>
      <c r="F354" s="28" t="s">
        <v>673</v>
      </c>
      <c r="G354" s="28" t="s">
        <v>673</v>
      </c>
      <c r="H354" s="2">
        <f>MROUND((
  (IF(AND(_xlfn.XLOOKUP(B354,'Base stats'!B:B,'Base stats'!AL:AL)=0,BI354="None",_xlfn.XLOOKUP(_xlfn.XLOOKUP(B354,'Base stats'!B:B,'Base stats'!E:E),Groups!A:A,Groups!B:B)=0), (18 + BR354 * 2.7) * 0.5,
    IF(AND(_xlfn.XLOOKUP(B354,'Base stats'!B:B,'Base stats'!AL:AL)=0,OR(AO354&lt;0.55,AND(BI354="Intermediate",_xlfn.XLOOKUP(_xlfn.XLOOKUP(B354,'Base stats'!B:B,'Base stats'!E:E),Groups!A:A,Groups!B:B)&lt;2))), (18 + BR354 * 2.7),
      IF(OR(BI354="Advanced",_xlfn.XLOOKUP(B354,'Base stats'!B:B,'Base stats'!AL:AL)=1,_xlfn.XLOOKUP(_xlfn.XLOOKUP(B354,'Base stats'!B:B,'Base stats'!E:E),Groups!A:A,Groups!B:B)=2), (18 + BR354 * 2.7) + 250, (18 + BR354 * 2.7))
    )
  ))
  + AO354 * 80
  + IF(COUNTIF(EggMilk!K$2:K$998, A354) &gt; 0, 125, 0)
  + IF(COUNTIF(EggMilk!P$2:P$998, A354) &gt; 0, 90, 0)
  + IF(COUNTIF(EggMilk!A$2:A$998, A354) &gt; 0, 90, 0)
)
* (0.8 + 0.4 * J354)
* 0.75,25)</f>
        <v>2850</v>
      </c>
      <c r="I354" s="2">
        <f>MROUND(ROUNDDOWN(_xlfn.XLOOKUP(B354,'Base stats'!B:B,'Base stats'!L:L)/3.6/(23.3/11),1),0.5)</f>
        <v>2</v>
      </c>
      <c r="J354" s="2">
        <f>IF(OR(_xlfn.XLOOKUP(B354,'Base stats'!B:B,'Base stats'!AB:AB)=1,_xlfn.XLOOKUP(_xlfn.XLOOKUP(B354,'Base stats'!B:B,'Base stats'!E:E),Groups!A:A,Groups!C:C)="Untamable"),1,IF(_xlfn.XLOOKUP(B354,'Base stats'!B:B,'Base stats'!AL:AL)=1,0.99,MIN(MROUND((1-0.6282*EXP(-0.459*AO354))*_xlfn.XLOOKUP(_xlfn.XLOOKUP(B354,'Base stats'!B:B,'Base stats'!E:E),Groups!A:A,Groups!C:C)*IF(_xlfn.XLOOKUP(B354,'Base stats'!B:B,'Base stats'!O:O)=1,0.5,IF(_xlfn.XLOOKUP(B354,'Base stats'!B:B,'Base stats'!O:O)=2,0,1)),0.05),IF(AO354&gt;3.5,0.985,0.95))))</f>
        <v>0.95000000000000007</v>
      </c>
      <c r="K354" s="2">
        <f>ROUNDUP(AO354*_xlfn.XLOOKUP(_xlfn.XLOOKUP(B354,'Base stats'!B:B,'Base stats'!E:E),Groups!A:A,Groups!E:E),0)</f>
        <v>45</v>
      </c>
      <c r="L354" s="2">
        <f>IF(OR(_xlfn.XLOOKUP(_xlfn.XLOOKUP(B354,'Base stats'!B:B,'Base stats'!E:E),Groups!A:A,Groups!F:F)=2,ISNUMBER(SEARCH("SeaIce",BX354)),ISNUMBER(SEARCH("IceSheet",BX354))),-50,IF(OR(ISNUMBER(SEARCH("GlacialPlain",BX354)),ISNUMBER(SEARCH("Tundra",BX354))),-40,IF(OR(ISNUMBER(SEARCH("Alpine",BX354)),ISNUMBER(SEARCH("BorealForest",BX354)),ISNUMBER(SEARCH("ColdBog",BX354))),-30,IF(OR(ISNUMBER(SEARCH("TemperateForest",BX354)),ISNUMBER(SEARCH("TemperateSwamp",BX354))),-20,IF(_xlfn.XLOOKUP(_xlfn.XLOOKUP(B354,'Base stats'!B:B,'Base stats'!E:E),Groups!A:A,Groups!F:F)=1,-15,IF(OR(ISNUMBER(SEARCH("Desert",BX354)),ISNUMBER(SEARCH("ExtremeDesert",BX354))),-10,IF(OR(ISNUMBER(SEARCH("Grasslands",BX354)),ISNUMBER(SEARCH("TropicalRainforest",BX354)),ISNUMBER(SEARCH("TropicalSwamp",BX354))),10,0)))))))-IF(CC354="False",MIN(IFERROR(MAX(MROUND(LOG10(_xlfn.XLOOKUP(B354,'Base stats'!B:B,'Base stats'!C:C)^(2/3))*10,5),5),5),30))-_xlfn.XLOOKUP(B354,'Base stats'!B:B,'Base stats'!P:P)+IF(CC354="True",5,0)</f>
        <v>-20</v>
      </c>
      <c r="M354" s="2">
        <f>IF(OR(_xlfn.XLOOKUP(_xlfn.XLOOKUP(B354,'Base stats'!B:B,'Base stats'!E:E),Groups!A:A,Groups!G:G)=2,ISNUMBER(SEARCH("Desert",BX354)),ISNUMBER(SEARCH("ExtremeDesert",BX354)),ISNUMBER(SEARCH("LavaField",BX354))),50,IF(ISNUMBER(SEARCH("Grasslands",BX354)),45,IF(OR(_xlfn.XLOOKUP(_xlfn.XLOOKUP(B354,'Base stats'!B:B,'Base stats'!E:E),Groups!A:A,Groups!G:G)=1,ISNUMBER(SEARCH("TropicalRainforest",BX354)),ISNUMBER(SEARCH("TropicalSwamp",BX354))),40,IF(OR(ISNUMBER(SEARCH("TemperateForest",BX354)),ISNUMBER(SEARCH("TemperateSwamp",BX354))),35,IF(OR(ISNUMBER(SEARCH("Alpine",BX354)),ISNUMBER(SEARCH("BorealForest",BX354)),ISNUMBER(SEARCH("ColdBog",BX354))),30,IF(ISNUMBER(OR(ISNUMBER(SEARCH("GlacialPlain",BX354)),SEARCH("Tundra",BX354))),25,IF(OR(ISNUMBER(SEARCH("SeaIce",BX354)),ISNUMBER(SEARCH("IceSheet",BX354)),ISNUMBER(SEARCH("TropicalSwamp",BX354))),10,35)))))))+_xlfn.XLOOKUP(B354,'Base stats'!B:B,'Base stats'!Q:Q)</f>
        <v>50</v>
      </c>
      <c r="N354" s="8" t="str">
        <f>IF(
_xlfn.XLOOKUP(
_xlfn.XLOOKUP(B354,'Base stats'!B:B,'Base stats'!E:E),
Groups!A:A,
Groups!L:L
)=1,
MIN(
MROUND(
IF(
_xlfn.XLOOKUP(B354,'Animals CE'!B:B,'Animals CE'!Z:Z)&lt;=1.5,
_xlfn.XLOOKUP(B354,'Animals CE'!B:B,'Animals CE'!Z:Z)/2+0.05,
0.8+
(_xlfn.XLOOKUP(B354,'Animals CE'!B:B,'Animals CE'!Z:Z)-1.5)
*0.02
),
0.05
),
200%
),
"No"
)</f>
        <v>No</v>
      </c>
      <c r="O354" s="8" t="str">
        <f>IF(
_xlfn.XLOOKUP(
_xlfn.XLOOKUP(B354,'Base stats'!B:B,'Base stats'!E:E),
Groups!A:A,
Groups!L:L
)=1,
MIN(
MROUND(
IF(
_xlfn.XLOOKUP(B354,'Animals CE'!B:B,'Animals CE'!AA:AA)&lt;=1.5,
_xlfn.XLOOKUP(B354,'Animals CE'!B:B,'Animals CE'!AA:AA)/2+0.05,
0.8+
(_xlfn.XLOOKUP(B354,'Animals CE'!B:B,'Animals CE'!AA:AA)-1.5)
*0.02
),
0.05
),
200%
),
"No"
)</f>
        <v>No</v>
      </c>
      <c r="P354" s="2" t="str">
        <f>_xlfn.XLOOKUP(B354,'Base stats'!B:B,'Base stats'!R:R)</f>
        <v>Standard</v>
      </c>
      <c r="Q354" s="13">
        <f>MROUND((LOG10(_xlfn.XLOOKUP(B354,'Base stats'!B:B,'Base stats'!AR:AR))*(AO354^0.5)+(_xlfn.XLOOKUP(B354,'Base stats'!B:B,'Base stats'!AR:AR)/1000)^(2/3)+_xlfn.XLOOKUP(B354,'Base stats'!B:B,'Base stats'!BA:BA)/2)+0.5,0.5)</f>
        <v>73</v>
      </c>
      <c r="R354" s="7">
        <f>IF(Q354="No","No",MAX(1,MROUND(_xlfn.XLOOKUP(B354,'Base stats'!B:B,'Base stats'!C:C)^0.165,0.05)))</f>
        <v>5.25</v>
      </c>
      <c r="S354" s="13">
        <f>IF(_xlfn.XLOOKUP(_xlfn.XLOOKUP(B354,'Base stats'!B:B,'Base stats'!E:E),Groups!A:A,Groups!P:P)=0,"No",MROUND((LOG10(_xlfn.XLOOKUP(B354,'Base stats'!B:B,'Base stats'!AS:AS))*(AO354^0.5)+(_xlfn.XLOOKUP(B354,'Base stats'!B:B,'Base stats'!AS:AS)/1000)^(2/3)+_xlfn.XLOOKUP(B354,'Base stats'!B:B,'Base stats'!BA:BA))+_xlfn.XLOOKUP(B354,'Base stats'!B:B,'Base stats'!AY:AY)+0.5,0.5))</f>
        <v>81</v>
      </c>
      <c r="T354" s="7">
        <f>IF(S354="No","No",MAX(_xlfn.XLOOKUP(_xlfn.XLOOKUP(B354,'Base stats'!B:B,'Base stats'!E:E),Groups!A:A,Groups!Q:Q),MROUND(_xlfn.XLOOKUP(_xlfn.XLOOKUP(B354,'Base stats'!B:B,'Base stats'!E:E),Groups!A:A,Groups!Q:Q)*_xlfn.XLOOKUP(B354,'Base stats'!B:B,'Base stats'!C:C)^0.165,0.05)))</f>
        <v>6.3000000000000007</v>
      </c>
      <c r="U354" s="7" t="str">
        <f>IF(S354="No","No",_xlfn.XLOOKUP(_xlfn.XLOOKUP(B354,'Base stats'!B:B,'Base stats'!E:E),Groups!A:A,Groups!R:R))</f>
        <v>FrontLeftLeg, FrontRightLeg</v>
      </c>
      <c r="V354" s="7" t="str">
        <f>IF(S354="No","No",_xlfn.XLOOKUP(_xlfn.XLOOKUP(B354,'Base stats'!B:B,'Base stats'!E:E),Groups!A:A,Groups!S:S))</f>
        <v>left leg, right leg</v>
      </c>
      <c r="W354" s="7" t="str">
        <f>IF(S354="No","No",_xlfn.XLOOKUP(_xlfn.XLOOKUP(B354,'Base stats'!B:B,'Base stats'!E:E),Groups!A:A,Groups!T:T))</f>
        <v>Blunt</v>
      </c>
      <c r="X354" s="13" t="str">
        <f>IF(_xlfn.XLOOKUP(B354,'Base stats'!B:B,'Base stats'!W:W)="No","No",MROUND((LOG10(_xlfn.XLOOKUP(B354,'Base stats'!B:B,'Base stats'!AU:AU))*(AO354^0.5)+(_xlfn.XLOOKUP(B354,'Base stats'!B:B,'Base stats'!AU:AU)/1000)^(2/3)+_xlfn.XLOOKUP(B354,'Base stats'!B:B,'Base stats'!AZ:AZ))+0.5+IF(_xlfn.XLOOKUP(_xlfn.XLOOKUP(B354,'Base stats'!B:B,'Base stats'!E:E),Groups!A:A,Groups!U:U)&lt;&gt;3,_xlfn.XLOOKUP(B354,'Base stats'!B:B,'Base stats'!BA:BA),0),0.5))</f>
        <v>No</v>
      </c>
      <c r="Y354" s="7" t="str">
        <f>IF(X354="No","No",MAX(_xlfn.XLOOKUP(_xlfn.XLOOKUP(B354,'Base stats'!B:B,'Base stats'!E:E),Groups!A:A,Groups!V:V),MROUND(_xlfn.XLOOKUP(_xlfn.XLOOKUP(B354,'Base stats'!B:B,'Base stats'!E:E),Groups!A:A,Groups!V:V)*_xlfn.XLOOKUP(B354,'Base stats'!B:B,'Base stats'!C:C)^0.165,0.05)))</f>
        <v>No</v>
      </c>
      <c r="Z354" s="7" t="str">
        <f>IF(X354="No","No",_xlfn.XLOOKUP(_xlfn.XLOOKUP(B354,'Base stats'!B:B,'Base stats'!E:E),Groups!A:A,Groups!W:W))</f>
        <v>No</v>
      </c>
      <c r="AA354" s="7" t="str">
        <f>IF(X354="No","No",_xlfn.XLOOKUP(_xlfn.XLOOKUP(B354,'Base stats'!B:B,'Base stats'!E:E),Groups!A:A,Groups!X:X))</f>
        <v>No</v>
      </c>
      <c r="AB354" s="7" t="str">
        <f>IF(X354="No","No",_xlfn.XLOOKUP(_xlfn.XLOOKUP(B354,'Base stats'!B:B,'Base stats'!E:E),Groups!A:A,Groups!Y:Y))</f>
        <v>No</v>
      </c>
      <c r="AC354" s="7" t="str">
        <f>_xlfn.XLOOKUP(Animals!B354,'Base stats'!B:B,'Base stats'!X:X)</f>
        <v>False</v>
      </c>
      <c r="AD354" s="13" t="str">
        <f>IF(_xlfn.XLOOKUP(B354,'Base stats'!B:B,'Base stats'!AT:AT)="No","No",MROUND((LOG10(_xlfn.XLOOKUP(B354,'Base stats'!B:B,'Base stats'!AT:AT))*(AO354^0.75)+(_xlfn.XLOOKUP(B354,'Base stats'!B:B,'Base stats'!AT:AT)/1000)^(2/3)+_xlfn.XLOOKUP(B354,'Base stats'!B:B,'Base stats'!AX:AX)+_xlfn.XLOOKUP(B354,'Base stats'!B:B,'Base stats'!BA:BA))+0.5,0.5))</f>
        <v>No</v>
      </c>
      <c r="AE354" s="7" t="str">
        <f>IF(AD354="No","No",MAX(_xlfn.XLOOKUP(_xlfn.XLOOKUP(B354,'Base stats'!B:B,'Base stats'!E:E),Groups!A:A,Groups!Z:Z),MROUND(_xlfn.XLOOKUP(_xlfn.XLOOKUP(B354,'Base stats'!B:B,'Base stats'!E:E),Groups!A:A,Groups!Z:Z)*_xlfn.XLOOKUP(B354,'Base stats'!B:B,'Base stats'!C:C)^0.165,0.05)))</f>
        <v>No</v>
      </c>
      <c r="AF354" s="7" t="str">
        <f>IF(AD354="No","No",_xlfn.XLOOKUP(_xlfn.XLOOKUP(B354,'Base stats'!B:B,'Base stats'!E:E),Groups!A:A,Groups!AA:AA))</f>
        <v>No</v>
      </c>
      <c r="AG354" s="7" t="str">
        <f>IF(AD354="No","No",_xlfn.XLOOKUP(_xlfn.XLOOKUP(B354,'Base stats'!B:B,'Base stats'!E:E),Groups!A:A,Groups!AB:AB))</f>
        <v>No</v>
      </c>
      <c r="AH354" s="7" t="str">
        <f>IF(AD354="No","No",_xlfn.XLOOKUP(_xlfn.XLOOKUP(B354,'Base stats'!B:B,'Base stats'!E:E),Groups!A:A,Groups!AC:AC))</f>
        <v>No</v>
      </c>
      <c r="AI354" s="13" t="str">
        <f>IF(_xlfn.XLOOKUP(_xlfn.XLOOKUP(B354,'Base stats'!B:B,'Base stats'!E:E),Groups!A:A,Groups!AD:AD)=0,"No",MROUND((LOG10(_xlfn.XLOOKUP(B354,'Base stats'!B:B,'Base stats'!AS:AS))*(AO354^0.75)+(_xlfn.XLOOKUP(B354,'Base stats'!B:B,'Base stats'!AS:AS)/1000)^(2/3)+_xlfn.XLOOKUP(B354,'Base stats'!B:B,'Base stats'!AY:AY)+_xlfn.XLOOKUP(B354,'Base stats'!B:B,'Base stats'!BA:BA))+0.5,0.5))</f>
        <v>No</v>
      </c>
      <c r="AJ354" s="7" t="str">
        <f>IF(AI354="No","No",MAX(_xlfn.XLOOKUP(_xlfn.XLOOKUP(B354,'Base stats'!B:B,'Base stats'!E:E),Groups!A:A,Groups!AE:AE),MROUND(_xlfn.XLOOKUP(_xlfn.XLOOKUP(B354,'Base stats'!B:B,'Base stats'!E:E),Groups!A:A,Groups!AE:AE)*IF(_xlfn.XLOOKUP(_xlfn.XLOOKUP(B354,'Base stats'!B:B,'Base stats'!E:E),Groups!A:A,Groups!AJ:AJ)="Photonozoa",0.6,1)*_xlfn.XLOOKUP(B354,'Base stats'!B:B,'Base stats'!C:C)^0.165,0.05)))</f>
        <v>No</v>
      </c>
      <c r="AK354" s="7" t="str">
        <f>IF(AI354="No","No",_xlfn.XLOOKUP(_xlfn.XLOOKUP(B354,'Base stats'!B:B,'Base stats'!E:E),Groups!A:A,Groups!AF:AF))</f>
        <v>No</v>
      </c>
      <c r="AL354" s="7" t="str">
        <f>IF(AI354="No","No",_xlfn.XLOOKUP(_xlfn.XLOOKUP(B354,'Base stats'!B:B,'Base stats'!E:E),Groups!A:A,Groups!AG:AG))</f>
        <v>No</v>
      </c>
      <c r="AM354" s="7" t="str">
        <f>IF(AI354="No","No",_xlfn.XLOOKUP(_xlfn.XLOOKUP(B354,'Base stats'!B:B,'Base stats'!E:E),Groups!A:A,Groups!AH:AH))</f>
        <v>No</v>
      </c>
      <c r="AN354" s="2" t="str">
        <f t="shared" si="35"/>
        <v>No</v>
      </c>
      <c r="AO354" s="2">
        <f>MROUND(IF(AND(_xlfn.XLOOKUP(B354,'Base stats'!B:B,'Base stats'!C:C)&gt;=0.5,_xlfn.XLOOKUP(B354,'Base stats'!B:B,'Base stats'!C:C)&lt;=0.8),
IF(_xlfn.XLOOKUP(B354,'Base stats'!B:B,'Base stats'!C:C)&lt;0.1,0.05,IF(_xlfn.XLOOKUP(B354,'Base stats'!B:B,'Base stats'!C:C)&lt;=70,(_xlfn.XLOOKUP(B354,'Base stats'!B:B,'Base stats'!C:C)/70)^0.426489913056526,IF(_xlfn.XLOOKUP(B354,'Base stats'!B:B,'Base stats'!C:C)&lt;=400,(_xlfn.XLOOKUP(B354,'Base stats'!B:B,'Base stats'!C:C)/70)^0.572811455315093,IF(_xlfn.XLOOKUP(B354,'Base stats'!B:B,'Base stats'!C:C)&lt;=2000,2.71391647193063*(_xlfn.XLOOKUP(B354,'Base stats'!B:B,'Base stats'!C:C)/400)^0.252459582904293,3.74314280240376*(_xlfn.XLOOKUP(B354,'Base stats'!B:B,'Base stats'!C:C)/2000)^0.357012633876913)))),
IF(_xlfn.XLOOKUP(B354,'Base stats'!B:B,'Base stats'!C:C)&lt;0.1,0.05,IF(_xlfn.XLOOKUP(B354,'Base stats'!B:B,'Base stats'!C:C)&lt;0.4,0.1,IF(_xlfn.XLOOKUP(B354,'Base stats'!B:B,'Base stats'!C:C)&lt;=70,(_xlfn.XLOOKUP(B354,'Base stats'!B:B,'Base stats'!C:C)/70)^0.445823913056526,IF(_xlfn.XLOOKUP(B354,'Base stats'!B:B,'Base stats'!C:C)&lt;=400,(_xlfn.XLOOKUP(B354,'Base stats'!B:B,'Base stats'!C:C)/70)^0.572811455315093,IF(_xlfn.XLOOKUP(B354,'Base stats'!B:B,'Base stats'!C:C)&lt;=2000,2.71391647193063*(_xlfn.XLOOKUP(B354,'Base stats'!B:B,'Base stats'!C:C)/400)^0.252459582904293,3.74314280240376*(_xlfn.XLOOKUP(B354,'Base stats'!B:B,'Base stats'!C:C)/2000)^0.357012633876913)))))),
IF(_xlfn.XLOOKUP(B354,'Base stats'!B:B,'Base stats'!C:C)&lt;0.1,0.05,IF(_xlfn.XLOOKUP(B354,'Base stats'!B:B,'Base stats'!C:C)&lt;=100,0.05,IF(_xlfn.XLOOKUP(B354,'Base stats'!B:B,'Base stats'!C:C)&lt;=250,0.1,IF(_xlfn.XLOOKUP(B354,'Base stats'!B:B,'Base stats'!C:C)&lt;=4000,0.25,0.5)))))</f>
        <v>9</v>
      </c>
      <c r="AP354" s="8">
        <f>MROUND(AO354*_xlfn.XLOOKUP(_xlfn.XLOOKUP(B354,'Base stats'!B:B,'Base stats'!E:E),Groups!A:A,Groups!AI:AI)*_xlfn.XLOOKUP(B354,'Base stats'!B:B,'Base stats'!Z:Z),0.05)</f>
        <v>9</v>
      </c>
      <c r="AQ354" s="8">
        <f>MAX(0.01,MROUND(IF(CC354="True",0.196*(AO354*100*1000)^0.889,IF(_xlfn.XLOOKUP(_xlfn.XLOOKUP(B354,'Base stats'!B:B,'Base stats'!E:E),Groups!A:A,Groups!AJ:AJ)="Bird",10.5*(AO354*100*1000)^0.681,4.82*(AO354*100*1000)^0.734))/(4.82*(1*100*1000)^0.734)/IF(AO354&lt;3.5,2,IF(AO354=3.5,1.5,1.25))*(1+0.132282374779864/(AO354^0.994035016789033+0.00905238001496948)),0.05))</f>
        <v>4.3</v>
      </c>
      <c r="AR354" s="9">
        <f>IFERROR(MROUND(_xlfn.XLOOKUP(B354,'Base stats'!B:B,'Base stats'!H:H)/IF(_xlfn.XLOOKUP(B354,'Base stats'!B:B,'Base stats'!I:I)&lt;&gt;1,(122.5/70),1.2),IF(_xlfn.XLOOKUP(B354,'Base stats'!B:B,'Base stats'!H:H)&gt;=30,5,IF(_xlfn.XLOOKUP(B354,'Base stats'!B:B,'Base stats'!H:H)&gt;=15,3,IF(_xlfn.XLOOKUP(B354,'Base stats'!B:B,'Base stats'!H:H)&gt;=10,2,1)))),"Immortal")</f>
        <v>25</v>
      </c>
      <c r="AS354" s="35" t="str">
        <f>IFERROR(IF(OR(_xlfn.XLOOKUP(B354,'Base stats'!B:B,'Base stats'!F:F)="Atypical reproduction",_xlfn.XLOOKUP(B354,'Base stats'!B:B,'Base stats'!F:F)="Lay eggs"),"Lay eggs",MIN(20,MAX(5.5,ROUND(((_xlfn.XLOOKUP(B354,'Base stats'!B:B,'Base stats'!F:F)-25)*(14.5/615) + 5.5)*2,0)/2))),"Unknown")</f>
        <v>Lay eggs</v>
      </c>
      <c r="AT354" s="8">
        <f>IF(_xlfn.XLOOKUP(B354,'Base stats'!B:B,'Base stats'!G:G)="Atypical reproduction","No",IFERROR(MAX(IF(_xlfn.XLOOKUP(B354,'Base stats'!B:B,'Base stats'!G:G)&lt;0.5,0.2,0.3),MROUND(_xlfn.XLOOKUP(B354,'Base stats'!B:B,'Base stats'!G:G)/(365/60),0.2)),"Unknown"))</f>
        <v>3.2</v>
      </c>
      <c r="AU354" s="8">
        <f t="shared" si="36"/>
        <v>1.6</v>
      </c>
      <c r="AV354" s="8" t="str">
        <f>IFERROR(IFERROR(MROUND(_xlfn.XLOOKUP(B354,'Base stats'!B:B,'Base stats'!J:J),0.1),"Lay eggs"),"Cannot breed")</f>
        <v>Lay eggs</v>
      </c>
      <c r="AW354" s="2" t="str">
        <f t="shared" si="37"/>
        <v>true</v>
      </c>
      <c r="AX354" s="2" t="str">
        <f>IF(_xlfn.XLOOKUP(_xlfn.XLOOKUP(Animals!B354,'Base stats'!B:B,'Base stats'!E:E),Groups!A:A,Groups!AK:AK)=1,"true","false")</f>
        <v>true</v>
      </c>
      <c r="AY354" s="25" t="str">
        <f>IF(_xlfn.XLOOKUP(B354,'Base stats'!B:B,'Base stats'!Y:Y)="Liquor","Liquor, CarnivoreAnimalStrict",IF(AND(_xlfn.XLOOKUP(B354,'Base stats'!B:B,'Base stats'!Y:Y)="Carnivore",_xlfn.XLOOKUP(_xlfn.XLOOKUP(B354,'Base stats'!B:B,'Base stats'!E:E),Groups!A:A,Groups!AJ:AJ)="Photonozoa"),"CarnivoreAnimalStrict, OvivoreAnimal",IF(_xlfn.XLOOKUP(B354,'Base stats'!B:B,'Base stats'!Y:Y)="Carnivore","CarnivoreAnimal, OvivoreAnimal",IF(_xlfn.XLOOKUP(B354,'Base stats'!B:B,'Base stats'!Y:Y)="Dendrovore","VegetarianRoughAnimal, DendrovoreAnimal",IF(_xlfn.XLOOKUP(B354,'Base stats'!B:B,'Base stats'!Y:Y)="Herbivore","VegetarianRoughAnimal",IF(_xlfn.XLOOKUP(B354,'Base stats'!B:B,'Base stats'!Y:Y)="OmnivoreRough","OmnivoreRoughAnimal, OvivoreAnimal","OmnivoreAnimal, OvivoreAnimal"))))))</f>
        <v>VegetarianRoughAnimal</v>
      </c>
      <c r="AZ354" s="2">
        <f>IF(_xlfn.XLOOKUP(_xlfn.XLOOKUP(B354,'Base stats'!B:B,'Base stats'!E:E),Groups!A:A,Groups!D:D)=1,MROUND((1-J354)*5+1,2)*IF(J354&lt;=0.4,2,1),"No")</f>
        <v>2</v>
      </c>
      <c r="BA354" s="2" t="str">
        <f>IF(AND(_xlfn.XLOOKUP(B354,'Base stats'!B:B,'Base stats'!AH:AH)="&lt;li&gt;Seal&lt;/li&gt;",G354="Odyssey"),"&lt;li&gt;AEXP_Seal&lt;/li&gt;",_xlfn.XLOOKUP(B354,'Base stats'!B:B,'Base stats'!AH:AH))</f>
        <v>No</v>
      </c>
      <c r="BB354" s="2" t="str">
        <f>_xlfn.XLOOKUP(B354,'Base stats'!B:B,'Base stats'!AG:AG)</f>
        <v>Leather_Sauropod</v>
      </c>
      <c r="BC354" s="23" t="str">
        <f>_xlfn.XLOOKUP(_xlfn.XLOOKUP(B354,'Base stats'!B:B,'Base stats'!E:E),Groups!A:A,Groups!AL:AL)</f>
        <v>Sauropod</v>
      </c>
      <c r="BD354" s="23">
        <f>MIN(1,MROUND(IF(AND(AO354&lt;0.5,_xlfn.XLOOKUP(B354,'Base stats'!B:B,'Base stats'!AA:AA)=0),0,IF(OR(_xlfn.XLOOKUP(Animals!B354,'Base stats'!B:B,'Base stats'!O:O)=2,_xlfn.XLOOKUP(_xlfn.XLOOKUP(B354,'Base stats'!B:B,'Base stats'!E:E),Groups!A:A,Groups!AN:AN)=0),0,_xlfn.XLOOKUP(_xlfn.XLOOKUP(B354,'Base stats'!B:B,'Base stats'!E:E),Groups!A:A,Groups!AN:AN)/IF(_xlfn.XLOOKUP(Animals!B354,'Base stats'!B:B,'Base stats'!O:O)=1,2,1)))+_xlfn.XLOOKUP(B354,'Base stats'!B:B,'Base stats'!AC:AC),0.005))</f>
        <v>2.5000000000000001E-2</v>
      </c>
      <c r="BE354" s="23">
        <f>MIN(1,MROUND(IF(AND(AO354&lt;0.5,_xlfn.XLOOKUP(B354,'Base stats'!B:B,'Base stats'!AA:AA)=0),0,IF(_xlfn.XLOOKUP(_xlfn.XLOOKUP(B354,'Base stats'!B:B,'Base stats'!E:E),Groups!A:A,Groups!AO:AO)=0,0,_xlfn.XLOOKUP(_xlfn.XLOOKUP(B354,'Base stats'!B:B,'Base stats'!E:E),Groups!A:A,Groups!AO:AO)/IF(_xlfn.XLOOKUP(Animals!B354,'Base stats'!B:B,'Base stats'!O:O)=2,3,1)))+_xlfn.XLOOKUP(B354,'Base stats'!B:B,'Base stats'!AD:AD),0.005))</f>
        <v>0.1</v>
      </c>
      <c r="BF354" s="2" t="str">
        <f>IF(J354&gt;0.3,"No",_xlfn.XLOOKUP(_xlfn.XLOOKUP(Animals!B354,'Base stats'!B:B,'Base stats'!E:E),Groups!A:A,Groups!AP:AP))</f>
        <v>No</v>
      </c>
      <c r="BG354" s="2" t="str">
        <f>IF(AND(J354&lt;=0.65,_xlfn.XLOOKUP(_xlfn.XLOOKUP(Animals!B354,'Base stats'!B:B,'Base stats'!E:E),Groups!A:A,Groups!AP:AP)&lt;&gt;"No",_xlfn.XLOOKUP(_xlfn.XLOOKUP(B354,'Base stats'!B:B,'Base stats'!E:E),Groups!A:A,Groups!D:D)=0),MROUND((80/3)*IF(_xlfn.XLOOKUP(B354,'Base stats'!B:B,'Base stats'!O:O)=2,0.2,AO354) + 24*(1-IF(BF354="No",0,BF354)) + 16/3, 12),"No")</f>
        <v>No</v>
      </c>
      <c r="BH354" s="2">
        <f>IF(AND(_xlfn.XLOOKUP(_xlfn.XLOOKUP(B354,'Base stats'!B:B,'Base stats'!E:E),Groups!A:A,Groups!AQ:AQ)=1,AO354&lt;=0.35),8,12)</f>
        <v>12</v>
      </c>
      <c r="BI354" s="2" t="str">
        <f>IF(_xlfn.XLOOKUP(_xlfn.XLOOKUP(B354,'Base stats'!B:B,'Base stats'!E:E),Groups!A:A,Groups!D:D)=0,_xlfn.XLOOKUP(_xlfn.XLOOKUP(B354,'Base stats'!B:B,'Base stats'!E:E),Groups!A:A,Groups!AR:AR),"None")</f>
        <v>None</v>
      </c>
      <c r="BJ354" s="2" t="str">
        <f>IF(AND(_xlfn.XLOOKUP(_xlfn.XLOOKUP(B354,'Base stats'!B:B,'Base stats'!E:E),Groups!A:A,Groups!AS:AS)=1,OR(_xlfn.XLOOKUP(B354,'Base stats'!B:B,'Base stats'!Y:Y)="Carnivore",_xlfn.XLOOKUP(B354,'Base stats'!B:B,'Base stats'!Y:Y)="Omnivore")),"true","false")</f>
        <v>false</v>
      </c>
      <c r="BK354" s="2" t="str">
        <f>IF(BJ354="true",MROUND(IF(AND(AO354&gt;0.5,OR(_xlfn.XLOOKUP(_xlfn.XLOOKUP(B354,'Base stats'!B:B,'Base stats'!E:E),Groups!A:A,Groups!AJ:AJ)="Photonozoa",_xlfn.XLOOKUP(_xlfn.XLOOKUP(B354,'Base stats'!B:B,'Base stats'!E:E),Groups!A:A,Groups!AJ:AJ)="Mammal")),Animals!AO354*1.75*IF(AW354="true",1.5,1),IF(AO354&lt;0.5,Animals!AO354*0.5,Animals!AO354)),IF(AO354&gt;2,0.5,IF(AO354&gt;0.5,0.25,0.1))),"No")</f>
        <v>No</v>
      </c>
      <c r="BL354" s="2">
        <f t="shared" si="38"/>
        <v>0</v>
      </c>
      <c r="BM354" s="25" t="str">
        <f>IF(_xlfn.XLOOKUP(B354,'Base stats'!B:B,'Base stats'!AN:AN)="Standard","No",MROUND((_xlfn.XLOOKUP(B354,'Base stats'!B:B,'Base stats'!AN:AN)/3.6)/I354,0.1))</f>
        <v>No</v>
      </c>
      <c r="BN354" s="25" t="str">
        <f t="shared" si="39"/>
        <v>false</v>
      </c>
      <c r="BO354" s="25" t="str">
        <f>IF(AND(OR(_xlfn.XLOOKUP(B354,'Base stats'!B:B,'Base stats'!Y:Y)="Carnivore",_xlfn.XLOOKUP(B354,'Base stats'!B:B,'Base stats'!Y:Y)="Omnivore",_xlfn.XLOOKUP(B354,'Base stats'!B:B,'Base stats'!Y:Y)="OmnivoreRough"),_xlfn.XLOOKUP(_xlfn.XLOOKUP(B354,'Base stats'!B:B,'Base stats'!E:E),Groups!A:A,Groups!AT:AT)=1),"true","false")</f>
        <v>false</v>
      </c>
      <c r="BP354" s="25" t="str" cm="1">
        <f t="array" ref="BP354">IF(
  _xlfn.TEXTJOIN(", ",TRUE,
    IF(AND(BJ354="true",AO354&gt;0.5,BI354&lt;&gt;"None"),"AttackTarget",""),
    IF(AND(_xlfn.XLOOKUP(_xlfn.XLOOKUP(B354,'Base stats'!B:B,'Base stats'!E:E),Groups!A:A,Groups!AJ:AJ="Mammal"),OR(_xlfn.XLOOKUP(B354,'Base stats'!B:B,'Base stats'!Y:Y)="Omnivore",_xlfn.XLOOKUP(B354,'Base stats'!B:B,'Base stats'!Y:Y)="OmnivoreRough")),"Forage",""),
    IF(BG354&lt;=36,"Comfort",""),
    IF(_xlfn.XLOOKUP(B354,'Base stats'!B:B,'Base stats'!AE:AE)&lt;&gt;"No",_xlfn.XLOOKUP(B354,'Base stats'!B:B,'Base stats'!AE:AE),"")
  ) = "",
  "No",
  _xlfn.TEXTJOIN(", ",TRUE,
    IF(AND(BJ354="true",AO354&gt;0.5,BI354&lt;&gt;"None"),"AttackTarget",""),
    IF(AND(_xlfn.XLOOKUP(_xlfn.XLOOKUP(B354,'Base stats'!B:B,'Base stats'!E:E),Groups!A:A,Groups!AJ:AJ="Mammal"),OR(_xlfn.XLOOKUP(B354,'Base stats'!B:B,'Base stats'!Y:Y)="Omnivore",_xlfn.XLOOKUP(B354,'Base stats'!B:B,'Base stats'!Y:Y)="OmnivoreRough")),"Forage",""),
    IF(BG354&lt;=36,"Comfort",""),
    IF(_xlfn.XLOOKUP(B354,'Base stats'!B:B,'Base stats'!AE:AE)&lt;&gt;"No",_xlfn.XLOOKUP(B354,'Base stats'!B:B,'Base stats'!AE:AE),"")
  )
)</f>
        <v>No</v>
      </c>
      <c r="BQ354" s="25" t="str">
        <f>IF(
   AND(
      'Base stats'!AN354="Standard",_xlfn.XLOOKUP(_xlfn.XLOOKUP(B354,'Base stats'!B:B,'Base stats'!E:E),Groups!A:A,Groups!AU:AU)=0,
      OR(
      BO354="True"
      )
   ),
   10,
   IF(
       OR(BM354&lt;&gt;"No",_xlfn.XLOOKUP(_xlfn.XLOOKUP(B354,'Base stats'!B:B,'Base stats'!E:E),Groups!A:A,Groups!AU:AU)=1),
      1,
      "No"
   )
)</f>
        <v>No</v>
      </c>
      <c r="BR354" s="9">
        <f>MROUND((1 + ((0.2*IF(OR(Q354="No",R354="No",R354=0),0,Q354/R354)
+IF(OR(V354="No",S354="No",T354="No"),0,S354/T354*(LEN(V354)-LEN(SUBSTITUTE(V354,",",""))+1))
+IF(OR(X354="No",Y354="No"),0,X354/Y354)
+IF(OR(AD354="No",AE354="No"),0,AD354/AE354)
+IF(OR(AL354="No",AI354="No",AJ354="No"),0,AI354/AJ354*(LEN(AL354)-LEN(SUBSTITUTE(AL354,",",""))+1))
)/(0.2*IF(OR(Q354="No",R354="No",R354=0),0,1)
+IF(OR(V354="No",S354="No",T354="No"),0,LEN(V354)-LEN(SUBSTITUTE(V354,",",""))+1)
+IF(OR(X354="No",Y354="No"),0,1)
+IF(OR(AD354="No",AE354="No"),0,1)
+IF(OR(AL354="No",AI354="No",AJ354="No"),0,LEN(AL354)-LEN(SUBSTITUTE(AL354,",",""))+1))*62%)* 2)*(1 + (AP354 / (IF(_xlfn.XLOOKUP(_xlfn.XLOOKUP(B354,'Base stats'!B:B,'Base stats'!E:E),Groups!A:A,Groups!AJ:AJ)="Photonozoa",0.3,1)) + _xlfn.XLOOKUP(B354,'Base stats'!B:B,'Base stats'!AV:AV) * 1.8) * 2) * 2.5 + 10 + I354 * 2,5)+IF(_xlfn.XLOOKUP(B354,'Base stats'!B:B,'Base stats'!AK:AK)=1,50,0)</f>
        <v>825</v>
      </c>
      <c r="BS354" s="8">
        <f t="shared" si="40"/>
        <v>5.25</v>
      </c>
      <c r="BT354" s="8" t="str">
        <f>_xlfn.XLOOKUP(B354,'Base stats'!B:B,'Base stats'!AF:AF)</f>
        <v>2~6</v>
      </c>
      <c r="BU354" s="2" t="str">
        <f>IF(AND(J354&lt;=0.95,OR(_xlfn.XLOOKUP(B354,'Base stats'!B:B,'Base stats'!AK:AK)=1,_xlfn.XLOOKUP(B354,'Base stats'!B:B,'Base stats'!Y:Y)="Carnivore",_xlfn.XLOOKUP(B354,'Base stats'!B:B,'Base stats'!Y:Y)="Omnivore",BE354&gt;0.1)),"true","false")</f>
        <v>false</v>
      </c>
      <c r="BV354" s="2" t="str">
        <f>IF(_xlfn.XLOOKUP(B354,'Base stats'!B:B,'Base stats'!AI:AI)=1,"true","false")</f>
        <v>false</v>
      </c>
      <c r="BW354" s="25" t="str">
        <f>IF(E354="BaseInsect","AnimalInsect",
IF(J354&gt;0.95,"AnimalExotic",
_xlfn.TEXTJOIN(", ",TRUE,
IF(OR(_xlfn.XLOOKUP(B354,'Base stats'!B:B,'Base stats'!AM:AM)=1,AND(_xlfn.XLOOKUP(B354,'Base stats'!B:B,'Base stats'!O:O)=0,_xlfn.XLOOKUP(_xlfn.XLOOKUP(B354,'Base stats'!B:B,'Base stats'!E:E),Groups!A:A,Groups!B:B)&gt;0)),"AnimalUncommon","AnimalCommon"),
IF(AND(_xlfn.XLOOKUP(B354,'Base stats'!B:B,'Base stats'!O:O)=2,_xlfn.XLOOKUP(_xlfn.XLOOKUP(B354,'Base stats'!B:B,'Base stats'!E:E),Groups!A:A,Groups!D:D)=0),"AnimalPet",IF(AND(_xlfn.XLOOKUP(B354,'Base stats'!B:B,'Base stats'!O:O)&lt;&gt;0,_xlfn.XLOOKUP(_xlfn.XLOOKUP(B354,'Base stats'!B:B,'Base stats'!E:E),Groups!A:A,Groups!D:D)&lt;&gt;0),"AnimalFarm","")),
IF(OR(_xlfn.XLOOKUP(B354,'Base stats'!B:B,'Base stats'!AK:AK)=1,AND(BI354&lt;&gt;"None",BR354&gt;=60),ISNUMBER(SEARCH("Attack target",BP354))),"AnimalFighter","")
)))</f>
        <v>AnimalUncommon</v>
      </c>
      <c r="BX354" s="25" t="str">
        <f>IF(G354="None",TRIM(
SUBSTITUTE(
IF(COUNTIF(Biomes!B$2:B$259,"="&amp;$C354)&gt;0,Biomes!B$1&amp;", ","")&amp;
IF(COUNTIF(Biomes!C$2:C$259,"="&amp;$C354)&gt;0,Biomes!C$1&amp;", ","")&amp;
IF(COUNTIF(Biomes!D$2:D$259,"="&amp;$C354)&gt;0,Biomes!D$1&amp;", ","")&amp;
IF(COUNTIF(Biomes!F$2:F$259,"="&amp;$C354)&gt;0,Biomes!F$1&amp;", ","")&amp;
IF(COUNTIF(Biomes!G$2:G$259,"="&amp;$C354)&gt;0,Biomes!G$1&amp;", ","")&amp;
IF(COUNTIF(Biomes!H$2:H$259,"="&amp;$C354)&gt;0,Biomes!H$1&amp;", ","")&amp;
IF(COUNTIF(Biomes!I$2:I$259,"="&amp;$C354)&gt;0,Biomes!I$1&amp;", ","")&amp;
IF(COUNTIF(Biomes!J$2:J$259,"="&amp;$C354)&gt;0,Biomes!J$1&amp;", ","")&amp;
IF(COUNTIF(Biomes!M$2:M$259,"="&amp;$C354)&gt;0,Biomes!M$1&amp;", ","")&amp;
IF(COUNTIF(Biomes!N$2:N$259,"="&amp;$C354)&gt;0,Biomes!N$1&amp;", ","")&amp;
IF(COUNTIF(Biomes!O$2:O$259,"="&amp;$C354)&gt;0,Biomes!O$1&amp;", ","")&amp;
IF(COUNTIF(Biomes!P$2:P$259,"="&amp;$C354)&gt;0,Biomes!P$1&amp;", ","")&amp;
IF(COUNTIF(Biomes!K$2:K$259,"="&amp;$C354)&gt;0,Biomes!K$1&amp;", ","")&amp;
IF(COUNTIF(Biomes!Q$3:Q$259,"="&amp;$C354)&gt;0,Biomes!Q$1&amp;", ","")&amp;
IF(COUNTIF(Biomes!L$2:L$259,"="&amp;$C354)&gt;0,Biomes!L$1&amp;", ","")&amp;
IF(COUNTIF(Biomes!E$2:E$259,"="&amp;$C354)&gt;0,Biomes!E$1&amp;", ","")&amp;IF(COUNTIF(Biomes!S$2:S$259,"="&amp;$C354)&gt;0,Biomes!S$1&amp;", ","")&amp;
IF(COUNTIF(Biomes!R$2:R$259,"="&amp;$C354)&gt;0,Biomes!R$1&amp;", ",""),", ","")
),_xlfn.XLOOKUP(B354,B:B,BX:BX))</f>
        <v>AridShrubland Grasslands LavaField</v>
      </c>
      <c r="BY354" s="25" t="str">
        <f>IF(_xlfn.XLOOKUP(B354,'Base stats'!B:B,'Base stats'!AJ:AJ)=1,"true","false")</f>
        <v>false</v>
      </c>
      <c r="BZ354" s="25">
        <f>IF(_xlfn.XLOOKUP(B354,'Base stats'!B:B,'Base stats'!N:N)=1,"No",MAX(0.001,MIN(MROUND(IF(AND(BJ354="True",CC354="False"),POWER(10,3.47*LOG10(_xlfn.XLOOKUP(B354,'Base stats'!B:B,'Base stats'!C:C)*1000)^-0.96),POWER(10,4.15*LOG10(_xlfn.XLOOKUP(B354,'Base stats'!B:B,'Base stats'!C:C)*1000)^-0.73))*IF(_xlfn.XLOOKUP(B354,'Base stats'!B:B,'Base stats'!AK:AK)=1,0.5,1)*IF(_xlfn.XLOOKUP(B354,'Base stats'!B:B,'Base stats'!AM:AM)=1,0.1,1)/100,IF(_xlfn.XLOOKUP(B354,'Base stats'!B:B,'Base stats'!AM:AM)=1,0.001,0.025)),0.5)))</f>
        <v>0.1</v>
      </c>
      <c r="CA354" s="25" t="str">
        <f>IF(P354="Standard","No",MAX(0.001,MIN(MROUND(IF(AND(BJ354="True",CC354="False"),POWER(10,3.47*LOG10(_xlfn.XLOOKUP(B354,'Base stats'!B:B,'Base stats'!C:C)*1000)^-0.96),POWER(10,4.15*LOG10(_xlfn.XLOOKUP(B354,'Base stats'!B:B,'Base stats'!C:C)*1000)^-0.73))*IF(_xlfn.XLOOKUP(B354,'Base stats'!B:B,'Base stats'!AM:AM)=1,0.1,1)*_xlfn.XLOOKUP(B354,'Base stats'!B:B,'Base stats'!R:R)/100,IF(_xlfn.XLOOKUP(B354,'Base stats'!B:B,'Base stats'!AM:AM)=1,0.001,0.025)),0.5)))</f>
        <v>No</v>
      </c>
      <c r="CB354" s="25" t="str">
        <f>IF(_xlfn.XLOOKUP(_xlfn.XLOOKUP(B354,'Base stats'!B:B,'Base stats'!E:E),Groups!A:A,Groups!AJ:AJ)="Mammal","True","False")</f>
        <v>False</v>
      </c>
      <c r="CC354" s="25" t="str">
        <f>IF(OR(_xlfn.XLOOKUP(_xlfn.XLOOKUP(B354,'Base stats'!B:B,'Base stats'!E:E),Groups!A:A,Groups!AJ:AJ)="Reptile",_xlfn.XLOOKUP(_xlfn.XLOOKUP(B354,'Base stats'!B:B,'Base stats'!E:E),Groups!A:A,Groups!AJ:AJ)="Amphibian",_xlfn.XLOOKUP(_xlfn.XLOOKUP(B354,'Base stats'!B:B,'Base stats'!E:E),Groups!A:A,Groups!AJ:AJ)="Invertebrate"),"True","False")</f>
        <v>False</v>
      </c>
      <c r="CD354" s="25" t="str">
        <f t="shared" si="41"/>
        <v>False</v>
      </c>
      <c r="CE354" s="25" t="str">
        <f>IF(_xlfn.XLOOKUP(_xlfn.XLOOKUP(B354,'Base stats'!B:B,'Base stats'!E:E),Groups!A:A,Groups!AX:AX),"True","False")</f>
        <v>False</v>
      </c>
      <c r="CF354" s="25" t="str">
        <f>IF(_xlfn.XLOOKUP(_xlfn.XLOOKUP(B354,'Base stats'!B:B,'Base stats'!E:E),Groups!A:A,Groups!AY:AY),"True","False")</f>
        <v>False</v>
      </c>
      <c r="CG354" s="25" t="str">
        <f>IF(_xlfn.XLOOKUP(_xlfn.XLOOKUP(B354,'Base stats'!B:B,'Base stats'!E:E),Groups!A:A,Groups!AW:AW),"True","False")</f>
        <v>False</v>
      </c>
      <c r="CH354" s="25" t="str">
        <f>IF(
OR(
_xlfn.XLOOKUP(_xlfn.XLOOKUP(B354,'Base stats'!B:B,'Base stats'!E:E),Groups!A:A,Groups!AZ:AZ)=0,
AND(
_xlfn.XLOOKUP(B354,'Base stats'!B:B,'Base stats'!Y:Y)&lt;&gt;"Carnivore",
_xlfn.XLOOKUP(B354,'Base stats'!B:B,'Base stats'!Y:Y)&lt;&gt;"Omnivore",
_xlfn.XLOOKUP(B354,'Base stats'!B:B,'Base stats'!Y:Y)&lt;&gt;"OmnivoreRough"
)
),
"No",
IF(
_xlfn.XLOOKUP(_xlfn.XLOOKUP(B354,'Base stats'!B:B,'Base stats'!E:E),Groups!A:A,Groups!AZ:AZ)=1,
"Flesh",
IF(
_xlfn.XLOOKUP(_xlfn.XLOOKUP(B354,'Base stats'!B:B,'Base stats'!E:E),Groups!A:A,Groups!AZ:AZ)=2,
"Bone",
""
)
)
)</f>
        <v>No</v>
      </c>
      <c r="CI354" s="25" t="str">
        <f>IF(_xlfn.XLOOKUP(_xlfn.XLOOKUP(B354,'Base stats'!B:B,'Base stats'!E:E),Groups!A:A,Groups!BB:BB),"True","False")</f>
        <v>False</v>
      </c>
      <c r="CJ354" s="25" t="str">
        <f>IF(_xlfn.XLOOKUP(_xlfn.XLOOKUP(B354,'Base stats'!B:B,'Base stats'!E:E),Groups!A:A,Groups!BA:BA),"True","False")</f>
        <v>False</v>
      </c>
    </row>
    <row r="355" spans="1:88" ht="16.5" thickTop="1" thickBot="1" x14ac:dyDescent="0.3">
      <c r="A355" s="26" t="s">
        <v>1938</v>
      </c>
      <c r="B355" s="6" t="str">
        <f>_xlfn.XLOOKUP(A355,'Base stats'!A:A,'Base stats'!B:B)</f>
        <v>Brontosaurus parvus</v>
      </c>
      <c r="C355" s="28" t="s">
        <v>2029</v>
      </c>
      <c r="D355" s="28" t="s">
        <v>1898</v>
      </c>
      <c r="E355" s="28" t="s">
        <v>673</v>
      </c>
      <c r="F355" s="28" t="s">
        <v>673</v>
      </c>
      <c r="G355" s="28" t="s">
        <v>673</v>
      </c>
      <c r="H355" s="2">
        <f>MROUND((
  (IF(AND(_xlfn.XLOOKUP(B355,'Base stats'!B:B,'Base stats'!AL:AL)=0,BI355="None",_xlfn.XLOOKUP(_xlfn.XLOOKUP(B355,'Base stats'!B:B,'Base stats'!E:E),Groups!A:A,Groups!B:B)=0), (18 + BR355 * 2.7) * 0.5,
    IF(AND(_xlfn.XLOOKUP(B355,'Base stats'!B:B,'Base stats'!AL:AL)=0,OR(AO355&lt;0.55,AND(BI355="Intermediate",_xlfn.XLOOKUP(_xlfn.XLOOKUP(B355,'Base stats'!B:B,'Base stats'!E:E),Groups!A:A,Groups!B:B)&lt;2))), (18 + BR355 * 2.7),
      IF(OR(BI355="Advanced",_xlfn.XLOOKUP(B355,'Base stats'!B:B,'Base stats'!AL:AL)=1,_xlfn.XLOOKUP(_xlfn.XLOOKUP(B355,'Base stats'!B:B,'Base stats'!E:E),Groups!A:A,Groups!B:B)=2), (18 + BR355 * 2.7) + 250, (18 + BR355 * 2.7))
    )
  ))
  + AO355 * 80
  + IF(COUNTIF(EggMilk!K$2:K$998, A355) &gt; 0, 125, 0)
  + IF(COUNTIF(EggMilk!P$2:P$998, A355) &gt; 0, 90, 0)
  + IF(COUNTIF(EggMilk!A$2:A$998, A355) &gt; 0, 90, 0)
)
* (0.8 + 0.4 * J355)
* 0.75,25)</f>
        <v>2250</v>
      </c>
      <c r="I355" s="2">
        <f>MROUND(ROUNDDOWN(_xlfn.XLOOKUP(B355,'Base stats'!B:B,'Base stats'!L:L)/3.6/(23.3/11),1),0.5)</f>
        <v>2</v>
      </c>
      <c r="J355" s="2">
        <f>IF(OR(_xlfn.XLOOKUP(B355,'Base stats'!B:B,'Base stats'!AB:AB)=1,_xlfn.XLOOKUP(_xlfn.XLOOKUP(B355,'Base stats'!B:B,'Base stats'!E:E),Groups!A:A,Groups!C:C)="Untamable"),1,IF(_xlfn.XLOOKUP(B355,'Base stats'!B:B,'Base stats'!AL:AL)=1,0.99,MIN(MROUND((1-0.6282*EXP(-0.459*AO355))*_xlfn.XLOOKUP(_xlfn.XLOOKUP(B355,'Base stats'!B:B,'Base stats'!E:E),Groups!A:A,Groups!C:C)*IF(_xlfn.XLOOKUP(B355,'Base stats'!B:B,'Base stats'!O:O)=1,0.5,IF(_xlfn.XLOOKUP(B355,'Base stats'!B:B,'Base stats'!O:O)=2,0,1)),0.05),IF(AO355&gt;3.5,0.985,0.95))))</f>
        <v>0.95000000000000007</v>
      </c>
      <c r="K355" s="2">
        <f>ROUNDUP(AO355*_xlfn.XLOOKUP(_xlfn.XLOOKUP(B355,'Base stats'!B:B,'Base stats'!E:E),Groups!A:A,Groups!E:E),0)</f>
        <v>38</v>
      </c>
      <c r="L355" s="2">
        <f>IF(OR(_xlfn.XLOOKUP(_xlfn.XLOOKUP(B355,'Base stats'!B:B,'Base stats'!E:E),Groups!A:A,Groups!F:F)=2,ISNUMBER(SEARCH("SeaIce",BX355)),ISNUMBER(SEARCH("IceSheet",BX355))),-50,IF(OR(ISNUMBER(SEARCH("GlacialPlain",BX355)),ISNUMBER(SEARCH("Tundra",BX355))),-40,IF(OR(ISNUMBER(SEARCH("Alpine",BX355)),ISNUMBER(SEARCH("BorealForest",BX355)),ISNUMBER(SEARCH("ColdBog",BX355))),-30,IF(OR(ISNUMBER(SEARCH("TemperateForest",BX355)),ISNUMBER(SEARCH("TemperateSwamp",BX355))),-20,IF(_xlfn.XLOOKUP(_xlfn.XLOOKUP(B355,'Base stats'!B:B,'Base stats'!E:E),Groups!A:A,Groups!F:F)=1,-15,IF(OR(ISNUMBER(SEARCH("Desert",BX355)),ISNUMBER(SEARCH("ExtremeDesert",BX355))),-10,IF(OR(ISNUMBER(SEARCH("Grasslands",BX355)),ISNUMBER(SEARCH("TropicalRainforest",BX355)),ISNUMBER(SEARCH("TropicalSwamp",BX355))),10,0)))))))-IF(CC355="False",MIN(IFERROR(MAX(MROUND(LOG10(_xlfn.XLOOKUP(B355,'Base stats'!B:B,'Base stats'!C:C)^(2/3))*10,5),5),5),30))-_xlfn.XLOOKUP(B355,'Base stats'!B:B,'Base stats'!P:P)+IF(CC355="True",5,0)</f>
        <v>-20</v>
      </c>
      <c r="M355" s="2">
        <f>IF(OR(_xlfn.XLOOKUP(_xlfn.XLOOKUP(B355,'Base stats'!B:B,'Base stats'!E:E),Groups!A:A,Groups!G:G)=2,ISNUMBER(SEARCH("Desert",BX355)),ISNUMBER(SEARCH("ExtremeDesert",BX355)),ISNUMBER(SEARCH("LavaField",BX355))),50,IF(ISNUMBER(SEARCH("Grasslands",BX355)),45,IF(OR(_xlfn.XLOOKUP(_xlfn.XLOOKUP(B355,'Base stats'!B:B,'Base stats'!E:E),Groups!A:A,Groups!G:G)=1,ISNUMBER(SEARCH("TropicalRainforest",BX355)),ISNUMBER(SEARCH("TropicalSwamp",BX355))),40,IF(OR(ISNUMBER(SEARCH("TemperateForest",BX355)),ISNUMBER(SEARCH("TemperateSwamp",BX355))),35,IF(OR(ISNUMBER(SEARCH("Alpine",BX355)),ISNUMBER(SEARCH("BorealForest",BX355)),ISNUMBER(SEARCH("ColdBog",BX355))),30,IF(ISNUMBER(OR(ISNUMBER(SEARCH("GlacialPlain",BX355)),SEARCH("Tundra",BX355))),25,IF(OR(ISNUMBER(SEARCH("SeaIce",BX355)),ISNUMBER(SEARCH("IceSheet",BX355)),ISNUMBER(SEARCH("TropicalSwamp",BX355))),10,35)))))))+_xlfn.XLOOKUP(B355,'Base stats'!B:B,'Base stats'!Q:Q)</f>
        <v>50</v>
      </c>
      <c r="N355" s="8" t="str">
        <f>IF(
_xlfn.XLOOKUP(
_xlfn.XLOOKUP(B355,'Base stats'!B:B,'Base stats'!E:E),
Groups!A:A,
Groups!L:L
)=1,
MIN(
MROUND(
IF(
_xlfn.XLOOKUP(B355,'Animals CE'!B:B,'Animals CE'!Z:Z)&lt;=1.5,
_xlfn.XLOOKUP(B355,'Animals CE'!B:B,'Animals CE'!Z:Z)/2+0.05,
0.8+
(_xlfn.XLOOKUP(B355,'Animals CE'!B:B,'Animals CE'!Z:Z)-1.5)
*0.02
),
0.05
),
200%
),
"No"
)</f>
        <v>No</v>
      </c>
      <c r="O355" s="8" t="str">
        <f>IF(
_xlfn.XLOOKUP(
_xlfn.XLOOKUP(B355,'Base stats'!B:B,'Base stats'!E:E),
Groups!A:A,
Groups!L:L
)=1,
MIN(
MROUND(
IF(
_xlfn.XLOOKUP(B355,'Animals CE'!B:B,'Animals CE'!AA:AA)&lt;=1.5,
_xlfn.XLOOKUP(B355,'Animals CE'!B:B,'Animals CE'!AA:AA)/2+0.05,
0.8+
(_xlfn.XLOOKUP(B355,'Animals CE'!B:B,'Animals CE'!AA:AA)-1.5)
*0.02
),
0.05
),
200%
),
"No"
)</f>
        <v>No</v>
      </c>
      <c r="P355" s="2" t="str">
        <f>_xlfn.XLOOKUP(B355,'Base stats'!B:B,'Base stats'!R:R)</f>
        <v>Standard</v>
      </c>
      <c r="Q355" s="13">
        <f>MROUND((LOG10(_xlfn.XLOOKUP(B355,'Base stats'!B:B,'Base stats'!AR:AR))*(AO355^0.5)+(_xlfn.XLOOKUP(B355,'Base stats'!B:B,'Base stats'!AR:AR)/1000)^(2/3)+_xlfn.XLOOKUP(B355,'Base stats'!B:B,'Base stats'!BA:BA)/2)+0.5,0.5)</f>
        <v>58</v>
      </c>
      <c r="R355" s="7">
        <f>IF(Q355="No","No",MAX(1,MROUND(_xlfn.XLOOKUP(B355,'Base stats'!B:B,'Base stats'!C:C)^0.165,0.05)))</f>
        <v>4.8500000000000005</v>
      </c>
      <c r="S355" s="13">
        <f>IF(_xlfn.XLOOKUP(_xlfn.XLOOKUP(B355,'Base stats'!B:B,'Base stats'!E:E),Groups!A:A,Groups!P:P)=0,"No",MROUND((LOG10(_xlfn.XLOOKUP(B355,'Base stats'!B:B,'Base stats'!AS:AS))*(AO355^0.5)+(_xlfn.XLOOKUP(B355,'Base stats'!B:B,'Base stats'!AS:AS)/1000)^(2/3)+_xlfn.XLOOKUP(B355,'Base stats'!B:B,'Base stats'!BA:BA))+_xlfn.XLOOKUP(B355,'Base stats'!B:B,'Base stats'!AY:AY)+0.5,0.5))</f>
        <v>66</v>
      </c>
      <c r="T355" s="7">
        <f>IF(S355="No","No",MAX(_xlfn.XLOOKUP(_xlfn.XLOOKUP(B355,'Base stats'!B:B,'Base stats'!E:E),Groups!A:A,Groups!Q:Q),MROUND(_xlfn.XLOOKUP(_xlfn.XLOOKUP(B355,'Base stats'!B:B,'Base stats'!E:E),Groups!A:A,Groups!Q:Q)*_xlfn.XLOOKUP(B355,'Base stats'!B:B,'Base stats'!C:C)^0.165,0.05)))</f>
        <v>5.8000000000000007</v>
      </c>
      <c r="U355" s="7" t="str">
        <f>IF(S355="No","No",_xlfn.XLOOKUP(_xlfn.XLOOKUP(B355,'Base stats'!B:B,'Base stats'!E:E),Groups!A:A,Groups!R:R))</f>
        <v>FrontLeftLeg, FrontRightLeg</v>
      </c>
      <c r="V355" s="7" t="str">
        <f>IF(S355="No","No",_xlfn.XLOOKUP(_xlfn.XLOOKUP(B355,'Base stats'!B:B,'Base stats'!E:E),Groups!A:A,Groups!S:S))</f>
        <v>left leg, right leg</v>
      </c>
      <c r="W355" s="7" t="str">
        <f>IF(S355="No","No",_xlfn.XLOOKUP(_xlfn.XLOOKUP(B355,'Base stats'!B:B,'Base stats'!E:E),Groups!A:A,Groups!T:T))</f>
        <v>Blunt</v>
      </c>
      <c r="X355" s="13" t="str">
        <f>IF(_xlfn.XLOOKUP(B355,'Base stats'!B:B,'Base stats'!W:W)="No","No",MROUND((LOG10(_xlfn.XLOOKUP(B355,'Base stats'!B:B,'Base stats'!AU:AU))*(AO355^0.5)+(_xlfn.XLOOKUP(B355,'Base stats'!B:B,'Base stats'!AU:AU)/1000)^(2/3)+_xlfn.XLOOKUP(B355,'Base stats'!B:B,'Base stats'!AZ:AZ))+0.5+IF(_xlfn.XLOOKUP(_xlfn.XLOOKUP(B355,'Base stats'!B:B,'Base stats'!E:E),Groups!A:A,Groups!U:U)&lt;&gt;3,_xlfn.XLOOKUP(B355,'Base stats'!B:B,'Base stats'!BA:BA),0),0.5))</f>
        <v>No</v>
      </c>
      <c r="Y355" s="7" t="str">
        <f>IF(X355="No","No",MAX(_xlfn.XLOOKUP(_xlfn.XLOOKUP(B355,'Base stats'!B:B,'Base stats'!E:E),Groups!A:A,Groups!V:V),MROUND(_xlfn.XLOOKUP(_xlfn.XLOOKUP(B355,'Base stats'!B:B,'Base stats'!E:E),Groups!A:A,Groups!V:V)*_xlfn.XLOOKUP(B355,'Base stats'!B:B,'Base stats'!C:C)^0.165,0.05)))</f>
        <v>No</v>
      </c>
      <c r="Z355" s="7" t="str">
        <f>IF(X355="No","No",_xlfn.XLOOKUP(_xlfn.XLOOKUP(B355,'Base stats'!B:B,'Base stats'!E:E),Groups!A:A,Groups!W:W))</f>
        <v>No</v>
      </c>
      <c r="AA355" s="7" t="str">
        <f>IF(X355="No","No",_xlfn.XLOOKUP(_xlfn.XLOOKUP(B355,'Base stats'!B:B,'Base stats'!E:E),Groups!A:A,Groups!X:X))</f>
        <v>No</v>
      </c>
      <c r="AB355" s="7" t="str">
        <f>IF(X355="No","No",_xlfn.XLOOKUP(_xlfn.XLOOKUP(B355,'Base stats'!B:B,'Base stats'!E:E),Groups!A:A,Groups!Y:Y))</f>
        <v>No</v>
      </c>
      <c r="AC355" s="7" t="str">
        <f>_xlfn.XLOOKUP(Animals!B355,'Base stats'!B:B,'Base stats'!X:X)</f>
        <v>False</v>
      </c>
      <c r="AD355" s="13" t="str">
        <f>IF(_xlfn.XLOOKUP(B355,'Base stats'!B:B,'Base stats'!AT:AT)="No","No",MROUND((LOG10(_xlfn.XLOOKUP(B355,'Base stats'!B:B,'Base stats'!AT:AT))*(AO355^0.75)+(_xlfn.XLOOKUP(B355,'Base stats'!B:B,'Base stats'!AT:AT)/1000)^(2/3)+_xlfn.XLOOKUP(B355,'Base stats'!B:B,'Base stats'!AX:AX)+_xlfn.XLOOKUP(B355,'Base stats'!B:B,'Base stats'!BA:BA))+0.5,0.5))</f>
        <v>No</v>
      </c>
      <c r="AE355" s="7" t="str">
        <f>IF(AD355="No","No",MAX(_xlfn.XLOOKUP(_xlfn.XLOOKUP(B355,'Base stats'!B:B,'Base stats'!E:E),Groups!A:A,Groups!Z:Z),MROUND(_xlfn.XLOOKUP(_xlfn.XLOOKUP(B355,'Base stats'!B:B,'Base stats'!E:E),Groups!A:A,Groups!Z:Z)*_xlfn.XLOOKUP(B355,'Base stats'!B:B,'Base stats'!C:C)^0.165,0.05)))</f>
        <v>No</v>
      </c>
      <c r="AF355" s="7" t="str">
        <f>IF(AD355="No","No",_xlfn.XLOOKUP(_xlfn.XLOOKUP(B355,'Base stats'!B:B,'Base stats'!E:E),Groups!A:A,Groups!AA:AA))</f>
        <v>No</v>
      </c>
      <c r="AG355" s="7" t="str">
        <f>IF(AD355="No","No",_xlfn.XLOOKUP(_xlfn.XLOOKUP(B355,'Base stats'!B:B,'Base stats'!E:E),Groups!A:A,Groups!AB:AB))</f>
        <v>No</v>
      </c>
      <c r="AH355" s="7" t="str">
        <f>IF(AD355="No","No",_xlfn.XLOOKUP(_xlfn.XLOOKUP(B355,'Base stats'!B:B,'Base stats'!E:E),Groups!A:A,Groups!AC:AC))</f>
        <v>No</v>
      </c>
      <c r="AI355" s="13" t="str">
        <f>IF(_xlfn.XLOOKUP(_xlfn.XLOOKUP(B355,'Base stats'!B:B,'Base stats'!E:E),Groups!A:A,Groups!AD:AD)=0,"No",MROUND((LOG10(_xlfn.XLOOKUP(B355,'Base stats'!B:B,'Base stats'!AS:AS))*(AO355^0.75)+(_xlfn.XLOOKUP(B355,'Base stats'!B:B,'Base stats'!AS:AS)/1000)^(2/3)+_xlfn.XLOOKUP(B355,'Base stats'!B:B,'Base stats'!AY:AY)+_xlfn.XLOOKUP(B355,'Base stats'!B:B,'Base stats'!BA:BA))+0.5,0.5))</f>
        <v>No</v>
      </c>
      <c r="AJ355" s="7" t="str">
        <f>IF(AI355="No","No",MAX(_xlfn.XLOOKUP(_xlfn.XLOOKUP(B355,'Base stats'!B:B,'Base stats'!E:E),Groups!A:A,Groups!AE:AE),MROUND(_xlfn.XLOOKUP(_xlfn.XLOOKUP(B355,'Base stats'!B:B,'Base stats'!E:E),Groups!A:A,Groups!AE:AE)*IF(_xlfn.XLOOKUP(_xlfn.XLOOKUP(B355,'Base stats'!B:B,'Base stats'!E:E),Groups!A:A,Groups!AJ:AJ)="Photonozoa",0.6,1)*_xlfn.XLOOKUP(B355,'Base stats'!B:B,'Base stats'!C:C)^0.165,0.05)))</f>
        <v>No</v>
      </c>
      <c r="AK355" s="7" t="str">
        <f>IF(AI355="No","No",_xlfn.XLOOKUP(_xlfn.XLOOKUP(B355,'Base stats'!B:B,'Base stats'!E:E),Groups!A:A,Groups!AF:AF))</f>
        <v>No</v>
      </c>
      <c r="AL355" s="7" t="str">
        <f>IF(AI355="No","No",_xlfn.XLOOKUP(_xlfn.XLOOKUP(B355,'Base stats'!B:B,'Base stats'!E:E),Groups!A:A,Groups!AG:AG))</f>
        <v>No</v>
      </c>
      <c r="AM355" s="7" t="str">
        <f>IF(AI355="No","No",_xlfn.XLOOKUP(_xlfn.XLOOKUP(B355,'Base stats'!B:B,'Base stats'!E:E),Groups!A:A,Groups!AH:AH))</f>
        <v>No</v>
      </c>
      <c r="AN355" s="2" t="str">
        <f t="shared" si="35"/>
        <v>No</v>
      </c>
      <c r="AO355" s="2">
        <f>MROUND(IF(AND(_xlfn.XLOOKUP(B355,'Base stats'!B:B,'Base stats'!C:C)&gt;=0.5,_xlfn.XLOOKUP(B355,'Base stats'!B:B,'Base stats'!C:C)&lt;=0.8),
IF(_xlfn.XLOOKUP(B355,'Base stats'!B:B,'Base stats'!C:C)&lt;0.1,0.05,IF(_xlfn.XLOOKUP(B355,'Base stats'!B:B,'Base stats'!C:C)&lt;=70,(_xlfn.XLOOKUP(B355,'Base stats'!B:B,'Base stats'!C:C)/70)^0.426489913056526,IF(_xlfn.XLOOKUP(B355,'Base stats'!B:B,'Base stats'!C:C)&lt;=400,(_xlfn.XLOOKUP(B355,'Base stats'!B:B,'Base stats'!C:C)/70)^0.572811455315093,IF(_xlfn.XLOOKUP(B355,'Base stats'!B:B,'Base stats'!C:C)&lt;=2000,2.71391647193063*(_xlfn.XLOOKUP(B355,'Base stats'!B:B,'Base stats'!C:C)/400)^0.252459582904293,3.74314280240376*(_xlfn.XLOOKUP(B355,'Base stats'!B:B,'Base stats'!C:C)/2000)^0.357012633876913)))),
IF(_xlfn.XLOOKUP(B355,'Base stats'!B:B,'Base stats'!C:C)&lt;0.1,0.05,IF(_xlfn.XLOOKUP(B355,'Base stats'!B:B,'Base stats'!C:C)&lt;0.4,0.1,IF(_xlfn.XLOOKUP(B355,'Base stats'!B:B,'Base stats'!C:C)&lt;=70,(_xlfn.XLOOKUP(B355,'Base stats'!B:B,'Base stats'!C:C)/70)^0.445823913056526,IF(_xlfn.XLOOKUP(B355,'Base stats'!B:B,'Base stats'!C:C)&lt;=400,(_xlfn.XLOOKUP(B355,'Base stats'!B:B,'Base stats'!C:C)/70)^0.572811455315093,IF(_xlfn.XLOOKUP(B355,'Base stats'!B:B,'Base stats'!C:C)&lt;=2000,2.71391647193063*(_xlfn.XLOOKUP(B355,'Base stats'!B:B,'Base stats'!C:C)/400)^0.252459582904293,3.74314280240376*(_xlfn.XLOOKUP(B355,'Base stats'!B:B,'Base stats'!C:C)/2000)^0.357012633876913)))))),
IF(_xlfn.XLOOKUP(B355,'Base stats'!B:B,'Base stats'!C:C)&lt;0.1,0.05,IF(_xlfn.XLOOKUP(B355,'Base stats'!B:B,'Base stats'!C:C)&lt;=100,0.05,IF(_xlfn.XLOOKUP(B355,'Base stats'!B:B,'Base stats'!C:C)&lt;=250,0.1,IF(_xlfn.XLOOKUP(B355,'Base stats'!B:B,'Base stats'!C:C)&lt;=4000,0.25,0.5)))))</f>
        <v>7.5</v>
      </c>
      <c r="AP355" s="8">
        <f>MROUND(AO355*_xlfn.XLOOKUP(_xlfn.XLOOKUP(B355,'Base stats'!B:B,'Base stats'!E:E),Groups!A:A,Groups!AI:AI)*_xlfn.XLOOKUP(B355,'Base stats'!B:B,'Base stats'!Z:Z),0.05)</f>
        <v>7.5</v>
      </c>
      <c r="AQ355" s="8">
        <f>MAX(0.01,MROUND(IF(CC355="True",0.196*(AO355*100*1000)^0.889,IF(_xlfn.XLOOKUP(_xlfn.XLOOKUP(B355,'Base stats'!B:B,'Base stats'!E:E),Groups!A:A,Groups!AJ:AJ)="Bird",10.5*(AO355*100*1000)^0.681,4.82*(AO355*100*1000)^0.734))/(4.82*(1*100*1000)^0.734)/IF(AO355&lt;3.5,2,IF(AO355=3.5,1.5,1.25))*(1+0.132282374779864/(AO355^0.994035016789033+0.00905238001496948)),0.05))</f>
        <v>3.8000000000000003</v>
      </c>
      <c r="AR355" s="9">
        <f>IFERROR(MROUND(_xlfn.XLOOKUP(B355,'Base stats'!B:B,'Base stats'!H:H)/IF(_xlfn.XLOOKUP(B355,'Base stats'!B:B,'Base stats'!I:I)&lt;&gt;1,(122.5/70),1.2),IF(_xlfn.XLOOKUP(B355,'Base stats'!B:B,'Base stats'!H:H)&gt;=30,5,IF(_xlfn.XLOOKUP(B355,'Base stats'!B:B,'Base stats'!H:H)&gt;=15,3,IF(_xlfn.XLOOKUP(B355,'Base stats'!B:B,'Base stats'!H:H)&gt;=10,2,1)))),"Immortal")</f>
        <v>25</v>
      </c>
      <c r="AS355" s="35" t="str">
        <f>IFERROR(IF(OR(_xlfn.XLOOKUP(B355,'Base stats'!B:B,'Base stats'!F:F)="Atypical reproduction",_xlfn.XLOOKUP(B355,'Base stats'!B:B,'Base stats'!F:F)="Lay eggs"),"Lay eggs",MIN(20,MAX(5.5,ROUND(((_xlfn.XLOOKUP(B355,'Base stats'!B:B,'Base stats'!F:F)-25)*(14.5/615) + 5.5)*2,0)/2))),"Unknown")</f>
        <v>Lay eggs</v>
      </c>
      <c r="AT355" s="8">
        <f>IF(_xlfn.XLOOKUP(B355,'Base stats'!B:B,'Base stats'!G:G)="Atypical reproduction","No",IFERROR(MAX(IF(_xlfn.XLOOKUP(B355,'Base stats'!B:B,'Base stats'!G:G)&lt;0.5,0.2,0.3),MROUND(_xlfn.XLOOKUP(B355,'Base stats'!B:B,'Base stats'!G:G)/(365/60),0.2)),"Unknown"))</f>
        <v>3.2</v>
      </c>
      <c r="AU355" s="8">
        <f t="shared" si="36"/>
        <v>1.6</v>
      </c>
      <c r="AV355" s="8" t="str">
        <f>IFERROR(IFERROR(MROUND(_xlfn.XLOOKUP(B355,'Base stats'!B:B,'Base stats'!J:J),0.1),"Lay eggs"),"Cannot breed")</f>
        <v>Lay eggs</v>
      </c>
      <c r="AW355" s="2" t="str">
        <f t="shared" si="37"/>
        <v>true</v>
      </c>
      <c r="AX355" s="2" t="str">
        <f>IF(_xlfn.XLOOKUP(_xlfn.XLOOKUP(Animals!B355,'Base stats'!B:B,'Base stats'!E:E),Groups!A:A,Groups!AK:AK)=1,"true","false")</f>
        <v>true</v>
      </c>
      <c r="AY355" s="25" t="str">
        <f>IF(_xlfn.XLOOKUP(B355,'Base stats'!B:B,'Base stats'!Y:Y)="Liquor","Liquor, CarnivoreAnimalStrict",IF(AND(_xlfn.XLOOKUP(B355,'Base stats'!B:B,'Base stats'!Y:Y)="Carnivore",_xlfn.XLOOKUP(_xlfn.XLOOKUP(B355,'Base stats'!B:B,'Base stats'!E:E),Groups!A:A,Groups!AJ:AJ)="Photonozoa"),"CarnivoreAnimalStrict, OvivoreAnimal",IF(_xlfn.XLOOKUP(B355,'Base stats'!B:B,'Base stats'!Y:Y)="Carnivore","CarnivoreAnimal, OvivoreAnimal",IF(_xlfn.XLOOKUP(B355,'Base stats'!B:B,'Base stats'!Y:Y)="Dendrovore","VegetarianRoughAnimal, DendrovoreAnimal",IF(_xlfn.XLOOKUP(B355,'Base stats'!B:B,'Base stats'!Y:Y)="Herbivore","VegetarianRoughAnimal",IF(_xlfn.XLOOKUP(B355,'Base stats'!B:B,'Base stats'!Y:Y)="OmnivoreRough","OmnivoreRoughAnimal, OvivoreAnimal","OmnivoreAnimal, OvivoreAnimal"))))))</f>
        <v>VegetarianRoughAnimal</v>
      </c>
      <c r="AZ355" s="2">
        <f>IF(_xlfn.XLOOKUP(_xlfn.XLOOKUP(B355,'Base stats'!B:B,'Base stats'!E:E),Groups!A:A,Groups!D:D)=1,MROUND((1-J355)*5+1,2)*IF(J355&lt;=0.4,2,1),"No")</f>
        <v>2</v>
      </c>
      <c r="BA355" s="2" t="str">
        <f>IF(AND(_xlfn.XLOOKUP(B355,'Base stats'!B:B,'Base stats'!AH:AH)="&lt;li&gt;Seal&lt;/li&gt;",G355="Odyssey"),"&lt;li&gt;AEXP_Seal&lt;/li&gt;",_xlfn.XLOOKUP(B355,'Base stats'!B:B,'Base stats'!AH:AH))</f>
        <v>No</v>
      </c>
      <c r="BB355" s="2" t="str">
        <f>_xlfn.XLOOKUP(B355,'Base stats'!B:B,'Base stats'!AG:AG)</f>
        <v>Leather_Sauropod</v>
      </c>
      <c r="BC355" s="23" t="str">
        <f>_xlfn.XLOOKUP(_xlfn.XLOOKUP(B355,'Base stats'!B:B,'Base stats'!E:E),Groups!A:A,Groups!AL:AL)</f>
        <v>Sauropod</v>
      </c>
      <c r="BD355" s="23">
        <f>MIN(1,MROUND(IF(AND(AO355&lt;0.5,_xlfn.XLOOKUP(B355,'Base stats'!B:B,'Base stats'!AA:AA)=0),0,IF(OR(_xlfn.XLOOKUP(Animals!B355,'Base stats'!B:B,'Base stats'!O:O)=2,_xlfn.XLOOKUP(_xlfn.XLOOKUP(B355,'Base stats'!B:B,'Base stats'!E:E),Groups!A:A,Groups!AN:AN)=0),0,_xlfn.XLOOKUP(_xlfn.XLOOKUP(B355,'Base stats'!B:B,'Base stats'!E:E),Groups!A:A,Groups!AN:AN)/IF(_xlfn.XLOOKUP(Animals!B355,'Base stats'!B:B,'Base stats'!O:O)=1,2,1)))+_xlfn.XLOOKUP(B355,'Base stats'!B:B,'Base stats'!AC:AC),0.005))</f>
        <v>2.5000000000000001E-2</v>
      </c>
      <c r="BE355" s="23">
        <f>MIN(1,MROUND(IF(AND(AO355&lt;0.5,_xlfn.XLOOKUP(B355,'Base stats'!B:B,'Base stats'!AA:AA)=0),0,IF(_xlfn.XLOOKUP(_xlfn.XLOOKUP(B355,'Base stats'!B:B,'Base stats'!E:E),Groups!A:A,Groups!AO:AO)=0,0,_xlfn.XLOOKUP(_xlfn.XLOOKUP(B355,'Base stats'!B:B,'Base stats'!E:E),Groups!A:A,Groups!AO:AO)/IF(_xlfn.XLOOKUP(Animals!B355,'Base stats'!B:B,'Base stats'!O:O)=2,3,1)))+_xlfn.XLOOKUP(B355,'Base stats'!B:B,'Base stats'!AD:AD),0.005))</f>
        <v>0.1</v>
      </c>
      <c r="BF355" s="2" t="str">
        <f>IF(J355&gt;0.3,"No",_xlfn.XLOOKUP(_xlfn.XLOOKUP(Animals!B355,'Base stats'!B:B,'Base stats'!E:E),Groups!A:A,Groups!AP:AP))</f>
        <v>No</v>
      </c>
      <c r="BG355" s="2" t="str">
        <f>IF(AND(J355&lt;=0.65,_xlfn.XLOOKUP(_xlfn.XLOOKUP(Animals!B355,'Base stats'!B:B,'Base stats'!E:E),Groups!A:A,Groups!AP:AP)&lt;&gt;"No",_xlfn.XLOOKUP(_xlfn.XLOOKUP(B355,'Base stats'!B:B,'Base stats'!E:E),Groups!A:A,Groups!D:D)=0),MROUND((80/3)*IF(_xlfn.XLOOKUP(B355,'Base stats'!B:B,'Base stats'!O:O)=2,0.2,AO355) + 24*(1-IF(BF355="No",0,BF355)) + 16/3, 12),"No")</f>
        <v>No</v>
      </c>
      <c r="BH355" s="2">
        <f>IF(AND(_xlfn.XLOOKUP(_xlfn.XLOOKUP(B355,'Base stats'!B:B,'Base stats'!E:E),Groups!A:A,Groups!AQ:AQ)=1,AO355&lt;=0.35),8,12)</f>
        <v>12</v>
      </c>
      <c r="BI355" s="2" t="str">
        <f>IF(_xlfn.XLOOKUP(_xlfn.XLOOKUP(B355,'Base stats'!B:B,'Base stats'!E:E),Groups!A:A,Groups!D:D)=0,_xlfn.XLOOKUP(_xlfn.XLOOKUP(B355,'Base stats'!B:B,'Base stats'!E:E),Groups!A:A,Groups!AR:AR),"None")</f>
        <v>None</v>
      </c>
      <c r="BJ355" s="2" t="str">
        <f>IF(AND(_xlfn.XLOOKUP(_xlfn.XLOOKUP(B355,'Base stats'!B:B,'Base stats'!E:E),Groups!A:A,Groups!AS:AS)=1,OR(_xlfn.XLOOKUP(B355,'Base stats'!B:B,'Base stats'!Y:Y)="Carnivore",_xlfn.XLOOKUP(B355,'Base stats'!B:B,'Base stats'!Y:Y)="Omnivore")),"true","false")</f>
        <v>false</v>
      </c>
      <c r="BK355" s="2" t="str">
        <f>IF(BJ355="true",MROUND(IF(AND(AO355&gt;0.5,OR(_xlfn.XLOOKUP(_xlfn.XLOOKUP(B355,'Base stats'!B:B,'Base stats'!E:E),Groups!A:A,Groups!AJ:AJ)="Photonozoa",_xlfn.XLOOKUP(_xlfn.XLOOKUP(B355,'Base stats'!B:B,'Base stats'!E:E),Groups!A:A,Groups!AJ:AJ)="Mammal")),Animals!AO355*1.75*IF(AW355="true",1.5,1),IF(AO355&lt;0.5,Animals!AO355*0.5,Animals!AO355)),IF(AO355&gt;2,0.5,IF(AO355&gt;0.5,0.25,0.1))),"No")</f>
        <v>No</v>
      </c>
      <c r="BL355" s="2">
        <f t="shared" si="38"/>
        <v>0</v>
      </c>
      <c r="BM355" s="25" t="str">
        <f>IF(_xlfn.XLOOKUP(B355,'Base stats'!B:B,'Base stats'!AN:AN)="Standard","No",MROUND((_xlfn.XLOOKUP(B355,'Base stats'!B:B,'Base stats'!AN:AN)/3.6)/I355,0.1))</f>
        <v>No</v>
      </c>
      <c r="BN355" s="25" t="str">
        <f t="shared" si="39"/>
        <v>false</v>
      </c>
      <c r="BO355" s="25" t="str">
        <f>IF(AND(OR(_xlfn.XLOOKUP(B355,'Base stats'!B:B,'Base stats'!Y:Y)="Carnivore",_xlfn.XLOOKUP(B355,'Base stats'!B:B,'Base stats'!Y:Y)="Omnivore",_xlfn.XLOOKUP(B355,'Base stats'!B:B,'Base stats'!Y:Y)="OmnivoreRough"),_xlfn.XLOOKUP(_xlfn.XLOOKUP(B355,'Base stats'!B:B,'Base stats'!E:E),Groups!A:A,Groups!AT:AT)=1),"true","false")</f>
        <v>false</v>
      </c>
      <c r="BP355" s="25" t="str" cm="1">
        <f t="array" ref="BP355">IF(
  _xlfn.TEXTJOIN(", ",TRUE,
    IF(AND(BJ355="true",AO355&gt;0.5,BI355&lt;&gt;"None"),"AttackTarget",""),
    IF(AND(_xlfn.XLOOKUP(_xlfn.XLOOKUP(B355,'Base stats'!B:B,'Base stats'!E:E),Groups!A:A,Groups!AJ:AJ="Mammal"),OR(_xlfn.XLOOKUP(B355,'Base stats'!B:B,'Base stats'!Y:Y)="Omnivore",_xlfn.XLOOKUP(B355,'Base stats'!B:B,'Base stats'!Y:Y)="OmnivoreRough")),"Forage",""),
    IF(BG355&lt;=36,"Comfort",""),
    IF(_xlfn.XLOOKUP(B355,'Base stats'!B:B,'Base stats'!AE:AE)&lt;&gt;"No",_xlfn.XLOOKUP(B355,'Base stats'!B:B,'Base stats'!AE:AE),"")
  ) = "",
  "No",
  _xlfn.TEXTJOIN(", ",TRUE,
    IF(AND(BJ355="true",AO355&gt;0.5,BI355&lt;&gt;"None"),"AttackTarget",""),
    IF(AND(_xlfn.XLOOKUP(_xlfn.XLOOKUP(B355,'Base stats'!B:B,'Base stats'!E:E),Groups!A:A,Groups!AJ:AJ="Mammal"),OR(_xlfn.XLOOKUP(B355,'Base stats'!B:B,'Base stats'!Y:Y)="Omnivore",_xlfn.XLOOKUP(B355,'Base stats'!B:B,'Base stats'!Y:Y)="OmnivoreRough")),"Forage",""),
    IF(BG355&lt;=36,"Comfort",""),
    IF(_xlfn.XLOOKUP(B355,'Base stats'!B:B,'Base stats'!AE:AE)&lt;&gt;"No",_xlfn.XLOOKUP(B355,'Base stats'!B:B,'Base stats'!AE:AE),"")
  )
)</f>
        <v>No</v>
      </c>
      <c r="BQ355" s="25" t="str">
        <f>IF(
   AND(
      'Base stats'!AN355="Standard",_xlfn.XLOOKUP(_xlfn.XLOOKUP(B355,'Base stats'!B:B,'Base stats'!E:E),Groups!A:A,Groups!AU:AU)=0,
      OR(
      BO355="True"
      )
   ),
   10,
   IF(
       OR(BM355&lt;&gt;"No",_xlfn.XLOOKUP(_xlfn.XLOOKUP(B355,'Base stats'!B:B,'Base stats'!E:E),Groups!A:A,Groups!AU:AU)=1),
      1,
      "No"
   )
)</f>
        <v>No</v>
      </c>
      <c r="BR355" s="9">
        <f>MROUND((1 + ((0.2*IF(OR(Q355="No",R355="No",R355=0),0,Q355/R355)
+IF(OR(V355="No",S355="No",T355="No"),0,S355/T355*(LEN(V355)-LEN(SUBSTITUTE(V355,",",""))+1))
+IF(OR(X355="No",Y355="No"),0,X355/Y355)
+IF(OR(AD355="No",AE355="No"),0,AD355/AE355)
+IF(OR(AL355="No",AI355="No",AJ355="No"),0,AI355/AJ355*(LEN(AL355)-LEN(SUBSTITUTE(AL355,",",""))+1))
)/(0.2*IF(OR(Q355="No",R355="No",R355=0),0,1)
+IF(OR(V355="No",S355="No",T355="No"),0,LEN(V355)-LEN(SUBSTITUTE(V355,",",""))+1)
+IF(OR(X355="No",Y355="No"),0,1)
+IF(OR(AD355="No",AE355="No"),0,1)
+IF(OR(AL355="No",AI355="No",AJ355="No"),0,LEN(AL355)-LEN(SUBSTITUTE(AL355,",",""))+1))*62%)* 2)*(1 + (AP355 / (IF(_xlfn.XLOOKUP(_xlfn.XLOOKUP(B355,'Base stats'!B:B,'Base stats'!E:E),Groups!A:A,Groups!AJ:AJ)="Photonozoa",0.3,1)) + _xlfn.XLOOKUP(B355,'Base stats'!B:B,'Base stats'!AV:AV) * 1.8) * 2) * 2.5 + 10 + I355 * 2,5)+IF(_xlfn.XLOOKUP(B355,'Base stats'!B:B,'Base stats'!AK:AK)=1,50,0)</f>
        <v>620</v>
      </c>
      <c r="BS355" s="8">
        <f t="shared" si="40"/>
        <v>4.55</v>
      </c>
      <c r="BT355" s="8" t="str">
        <f>_xlfn.XLOOKUP(B355,'Base stats'!B:B,'Base stats'!AF:AF)</f>
        <v>2~6</v>
      </c>
      <c r="BU355" s="2" t="str">
        <f>IF(AND(J355&lt;=0.95,OR(_xlfn.XLOOKUP(B355,'Base stats'!B:B,'Base stats'!AK:AK)=1,_xlfn.XLOOKUP(B355,'Base stats'!B:B,'Base stats'!Y:Y)="Carnivore",_xlfn.XLOOKUP(B355,'Base stats'!B:B,'Base stats'!Y:Y)="Omnivore",BE355&gt;0.1)),"true","false")</f>
        <v>false</v>
      </c>
      <c r="BV355" s="2" t="str">
        <f>IF(_xlfn.XLOOKUP(B355,'Base stats'!B:B,'Base stats'!AI:AI)=1,"true","false")</f>
        <v>false</v>
      </c>
      <c r="BW355" s="25" t="str">
        <f>IF(E355="BaseInsect","AnimalInsect",
IF(J355&gt;0.95,"AnimalExotic",
_xlfn.TEXTJOIN(", ",TRUE,
IF(OR(_xlfn.XLOOKUP(B355,'Base stats'!B:B,'Base stats'!AM:AM)=1,AND(_xlfn.XLOOKUP(B355,'Base stats'!B:B,'Base stats'!O:O)=0,_xlfn.XLOOKUP(_xlfn.XLOOKUP(B355,'Base stats'!B:B,'Base stats'!E:E),Groups!A:A,Groups!B:B)&gt;0)),"AnimalUncommon","AnimalCommon"),
IF(AND(_xlfn.XLOOKUP(B355,'Base stats'!B:B,'Base stats'!O:O)=2,_xlfn.XLOOKUP(_xlfn.XLOOKUP(B355,'Base stats'!B:B,'Base stats'!E:E),Groups!A:A,Groups!D:D)=0),"AnimalPet",IF(AND(_xlfn.XLOOKUP(B355,'Base stats'!B:B,'Base stats'!O:O)&lt;&gt;0,_xlfn.XLOOKUP(_xlfn.XLOOKUP(B355,'Base stats'!B:B,'Base stats'!E:E),Groups!A:A,Groups!D:D)&lt;&gt;0),"AnimalFarm","")),
IF(OR(_xlfn.XLOOKUP(B355,'Base stats'!B:B,'Base stats'!AK:AK)=1,AND(BI355&lt;&gt;"None",BR355&gt;=60),ISNUMBER(SEARCH("Attack target",BP355))),"AnimalFighter","")
)))</f>
        <v>AnimalUncommon</v>
      </c>
      <c r="BX355" s="25" t="str">
        <f>IF(G355="None",TRIM(
SUBSTITUTE(
IF(COUNTIF(Biomes!B$2:B$259,"="&amp;$C355)&gt;0,Biomes!B$1&amp;", ","")&amp;
IF(COUNTIF(Biomes!C$2:C$259,"="&amp;$C355)&gt;0,Biomes!C$1&amp;", ","")&amp;
IF(COUNTIF(Biomes!D$2:D$259,"="&amp;$C355)&gt;0,Biomes!D$1&amp;", ","")&amp;
IF(COUNTIF(Biomes!F$2:F$259,"="&amp;$C355)&gt;0,Biomes!F$1&amp;", ","")&amp;
IF(COUNTIF(Biomes!G$2:G$259,"="&amp;$C355)&gt;0,Biomes!G$1&amp;", ","")&amp;
IF(COUNTIF(Biomes!H$2:H$259,"="&amp;$C355)&gt;0,Biomes!H$1&amp;", ","")&amp;
IF(COUNTIF(Biomes!I$2:I$259,"="&amp;$C355)&gt;0,Biomes!I$1&amp;", ","")&amp;
IF(COUNTIF(Biomes!J$2:J$259,"="&amp;$C355)&gt;0,Biomes!J$1&amp;", ","")&amp;
IF(COUNTIF(Biomes!M$2:M$259,"="&amp;$C355)&gt;0,Biomes!M$1&amp;", ","")&amp;
IF(COUNTIF(Biomes!N$2:N$259,"="&amp;$C355)&gt;0,Biomes!N$1&amp;", ","")&amp;
IF(COUNTIF(Biomes!O$2:O$259,"="&amp;$C355)&gt;0,Biomes!O$1&amp;", ","")&amp;
IF(COUNTIF(Biomes!P$2:P$259,"="&amp;$C355)&gt;0,Biomes!P$1&amp;", ","")&amp;
IF(COUNTIF(Biomes!K$2:K$259,"="&amp;$C355)&gt;0,Biomes!K$1&amp;", ","")&amp;
IF(COUNTIF(Biomes!Q$3:Q$259,"="&amp;$C355)&gt;0,Biomes!Q$1&amp;", ","")&amp;
IF(COUNTIF(Biomes!L$2:L$259,"="&amp;$C355)&gt;0,Biomes!L$1&amp;", ","")&amp;
IF(COUNTIF(Biomes!E$2:E$259,"="&amp;$C355)&gt;0,Biomes!E$1&amp;", ","")&amp;IF(COUNTIF(Biomes!S$2:S$259,"="&amp;$C355)&gt;0,Biomes!S$1&amp;", ","")&amp;
IF(COUNTIF(Biomes!R$2:R$259,"="&amp;$C355)&gt;0,Biomes!R$1&amp;", ",""),", ","")
),_xlfn.XLOOKUP(B355,B:B,BX:BX))</f>
        <v>AridShrubland Grasslands LavaField</v>
      </c>
      <c r="BY355" s="25" t="str">
        <f>IF(_xlfn.XLOOKUP(B355,'Base stats'!B:B,'Base stats'!AJ:AJ)=1,"true","false")</f>
        <v>false</v>
      </c>
      <c r="BZ355" s="25">
        <f>IF(_xlfn.XLOOKUP(B355,'Base stats'!B:B,'Base stats'!N:N)=1,"No",MAX(0.001,MIN(MROUND(IF(AND(BJ355="True",CC355="False"),POWER(10,3.47*LOG10(_xlfn.XLOOKUP(B355,'Base stats'!B:B,'Base stats'!C:C)*1000)^-0.96),POWER(10,4.15*LOG10(_xlfn.XLOOKUP(B355,'Base stats'!B:B,'Base stats'!C:C)*1000)^-0.73))*IF(_xlfn.XLOOKUP(B355,'Base stats'!B:B,'Base stats'!AK:AK)=1,0.5,1)*IF(_xlfn.XLOOKUP(B355,'Base stats'!B:B,'Base stats'!AM:AM)=1,0.1,1)/100,IF(_xlfn.XLOOKUP(B355,'Base stats'!B:B,'Base stats'!AM:AM)=1,0.001,0.025)),0.5)))</f>
        <v>0.1</v>
      </c>
      <c r="CA355" s="25" t="str">
        <f>IF(P355="Standard","No",MAX(0.001,MIN(MROUND(IF(AND(BJ355="True",CC355="False"),POWER(10,3.47*LOG10(_xlfn.XLOOKUP(B355,'Base stats'!B:B,'Base stats'!C:C)*1000)^-0.96),POWER(10,4.15*LOG10(_xlfn.XLOOKUP(B355,'Base stats'!B:B,'Base stats'!C:C)*1000)^-0.73))*IF(_xlfn.XLOOKUP(B355,'Base stats'!B:B,'Base stats'!AM:AM)=1,0.1,1)*_xlfn.XLOOKUP(B355,'Base stats'!B:B,'Base stats'!R:R)/100,IF(_xlfn.XLOOKUP(B355,'Base stats'!B:B,'Base stats'!AM:AM)=1,0.001,0.025)),0.5)))</f>
        <v>No</v>
      </c>
      <c r="CB355" s="25" t="str">
        <f>IF(_xlfn.XLOOKUP(_xlfn.XLOOKUP(B355,'Base stats'!B:B,'Base stats'!E:E),Groups!A:A,Groups!AJ:AJ)="Mammal","True","False")</f>
        <v>False</v>
      </c>
      <c r="CC355" s="25" t="str">
        <f>IF(OR(_xlfn.XLOOKUP(_xlfn.XLOOKUP(B355,'Base stats'!B:B,'Base stats'!E:E),Groups!A:A,Groups!AJ:AJ)="Reptile",_xlfn.XLOOKUP(_xlfn.XLOOKUP(B355,'Base stats'!B:B,'Base stats'!E:E),Groups!A:A,Groups!AJ:AJ)="Amphibian",_xlfn.XLOOKUP(_xlfn.XLOOKUP(B355,'Base stats'!B:B,'Base stats'!E:E),Groups!A:A,Groups!AJ:AJ)="Invertebrate"),"True","False")</f>
        <v>False</v>
      </c>
      <c r="CD355" s="25" t="str">
        <f t="shared" si="41"/>
        <v>False</v>
      </c>
      <c r="CE355" s="25" t="str">
        <f>IF(_xlfn.XLOOKUP(_xlfn.XLOOKUP(B355,'Base stats'!B:B,'Base stats'!E:E),Groups!A:A,Groups!AX:AX),"True","False")</f>
        <v>False</v>
      </c>
      <c r="CF355" s="25" t="str">
        <f>IF(_xlfn.XLOOKUP(_xlfn.XLOOKUP(B355,'Base stats'!B:B,'Base stats'!E:E),Groups!A:A,Groups!AY:AY),"True","False")</f>
        <v>False</v>
      </c>
      <c r="CG355" s="25" t="str">
        <f>IF(_xlfn.XLOOKUP(_xlfn.XLOOKUP(B355,'Base stats'!B:B,'Base stats'!E:E),Groups!A:A,Groups!AW:AW),"True","False")</f>
        <v>False</v>
      </c>
      <c r="CH355" s="25" t="str">
        <f>IF(
OR(
_xlfn.XLOOKUP(_xlfn.XLOOKUP(B355,'Base stats'!B:B,'Base stats'!E:E),Groups!A:A,Groups!AZ:AZ)=0,
AND(
_xlfn.XLOOKUP(B355,'Base stats'!B:B,'Base stats'!Y:Y)&lt;&gt;"Carnivore",
_xlfn.XLOOKUP(B355,'Base stats'!B:B,'Base stats'!Y:Y)&lt;&gt;"Omnivore",
_xlfn.XLOOKUP(B355,'Base stats'!B:B,'Base stats'!Y:Y)&lt;&gt;"OmnivoreRough"
)
),
"No",
IF(
_xlfn.XLOOKUP(_xlfn.XLOOKUP(B355,'Base stats'!B:B,'Base stats'!E:E),Groups!A:A,Groups!AZ:AZ)=1,
"Flesh",
IF(
_xlfn.XLOOKUP(_xlfn.XLOOKUP(B355,'Base stats'!B:B,'Base stats'!E:E),Groups!A:A,Groups!AZ:AZ)=2,
"Bone",
""
)
)
)</f>
        <v>No</v>
      </c>
      <c r="CI355" s="25" t="str">
        <f>IF(_xlfn.XLOOKUP(_xlfn.XLOOKUP(B355,'Base stats'!B:B,'Base stats'!E:E),Groups!A:A,Groups!BB:BB),"True","False")</f>
        <v>False</v>
      </c>
      <c r="CJ355" s="25" t="str">
        <f>IF(_xlfn.XLOOKUP(_xlfn.XLOOKUP(B355,'Base stats'!B:B,'Base stats'!E:E),Groups!A:A,Groups!BA:BA),"True","False")</f>
        <v>False</v>
      </c>
    </row>
    <row r="356" spans="1:88" ht="16.5" thickTop="1" thickBot="1" x14ac:dyDescent="0.3">
      <c r="A356" s="26" t="s">
        <v>1941</v>
      </c>
      <c r="B356" s="6" t="str">
        <f>_xlfn.XLOOKUP(A356,'Base stats'!A:A,'Base stats'!B:B)</f>
        <v>Diplodocus longus</v>
      </c>
      <c r="C356" s="28" t="s">
        <v>2030</v>
      </c>
      <c r="D356" s="28" t="s">
        <v>1898</v>
      </c>
      <c r="E356" s="28" t="s">
        <v>673</v>
      </c>
      <c r="F356" s="28" t="s">
        <v>673</v>
      </c>
      <c r="G356" s="28" t="s">
        <v>673</v>
      </c>
      <c r="H356" s="2">
        <f>MROUND((
  (IF(AND(_xlfn.XLOOKUP(B356,'Base stats'!B:B,'Base stats'!AL:AL)=0,BI356="None",_xlfn.XLOOKUP(_xlfn.XLOOKUP(B356,'Base stats'!B:B,'Base stats'!E:E),Groups!A:A,Groups!B:B)=0), (18 + BR356 * 2.7) * 0.5,
    IF(AND(_xlfn.XLOOKUP(B356,'Base stats'!B:B,'Base stats'!AL:AL)=0,OR(AO356&lt;0.55,AND(BI356="Intermediate",_xlfn.XLOOKUP(_xlfn.XLOOKUP(B356,'Base stats'!B:B,'Base stats'!E:E),Groups!A:A,Groups!B:B)&lt;2))), (18 + BR356 * 2.7),
      IF(OR(BI356="Advanced",_xlfn.XLOOKUP(B356,'Base stats'!B:B,'Base stats'!AL:AL)=1,_xlfn.XLOOKUP(_xlfn.XLOOKUP(B356,'Base stats'!B:B,'Base stats'!E:E),Groups!A:A,Groups!B:B)=2), (18 + BR356 * 2.7) + 250, (18 + BR356 * 2.7))
    )
  ))
  + AO356 * 80
  + IF(COUNTIF(EggMilk!K$2:K$998, A356) &gt; 0, 125, 0)
  + IF(COUNTIF(EggMilk!P$2:P$998, A356) &gt; 0, 90, 0)
  + IF(COUNTIF(EggMilk!A$2:A$998, A356) &gt; 0, 90, 0)
)
* (0.8 + 0.4 * J356)
* 0.75,25)</f>
        <v>2225</v>
      </c>
      <c r="I356" s="2">
        <f>MROUND(ROUNDDOWN(_xlfn.XLOOKUP(B356,'Base stats'!B:B,'Base stats'!L:L)/3.6/(23.3/11),1),0.5)</f>
        <v>2</v>
      </c>
      <c r="J356" s="2">
        <f>IF(OR(_xlfn.XLOOKUP(B356,'Base stats'!B:B,'Base stats'!AB:AB)=1,_xlfn.XLOOKUP(_xlfn.XLOOKUP(B356,'Base stats'!B:B,'Base stats'!E:E),Groups!A:A,Groups!C:C)="Untamable"),1,IF(_xlfn.XLOOKUP(B356,'Base stats'!B:B,'Base stats'!AL:AL)=1,0.99,MIN(MROUND((1-0.6282*EXP(-0.459*AO356))*_xlfn.XLOOKUP(_xlfn.XLOOKUP(B356,'Base stats'!B:B,'Base stats'!E:E),Groups!A:A,Groups!C:C)*IF(_xlfn.XLOOKUP(B356,'Base stats'!B:B,'Base stats'!O:O)=1,0.5,IF(_xlfn.XLOOKUP(B356,'Base stats'!B:B,'Base stats'!O:O)=2,0,1)),0.05),IF(AO356&gt;3.5,0.985,0.95))))</f>
        <v>0.95000000000000007</v>
      </c>
      <c r="K356" s="2">
        <f>ROUNDUP(AO356*_xlfn.XLOOKUP(_xlfn.XLOOKUP(B356,'Base stats'!B:B,'Base stats'!E:E),Groups!A:A,Groups!E:E),0)</f>
        <v>38</v>
      </c>
      <c r="L356" s="2">
        <f>IF(OR(_xlfn.XLOOKUP(_xlfn.XLOOKUP(B356,'Base stats'!B:B,'Base stats'!E:E),Groups!A:A,Groups!F:F)=2,ISNUMBER(SEARCH("SeaIce",BX356)),ISNUMBER(SEARCH("IceSheet",BX356))),-50,IF(OR(ISNUMBER(SEARCH("GlacialPlain",BX356)),ISNUMBER(SEARCH("Tundra",BX356))),-40,IF(OR(ISNUMBER(SEARCH("Alpine",BX356)),ISNUMBER(SEARCH("BorealForest",BX356)),ISNUMBER(SEARCH("ColdBog",BX356))),-30,IF(OR(ISNUMBER(SEARCH("TemperateForest",BX356)),ISNUMBER(SEARCH("TemperateSwamp",BX356))),-20,IF(_xlfn.XLOOKUP(_xlfn.XLOOKUP(B356,'Base stats'!B:B,'Base stats'!E:E),Groups!A:A,Groups!F:F)=1,-15,IF(OR(ISNUMBER(SEARCH("Desert",BX356)),ISNUMBER(SEARCH("ExtremeDesert",BX356))),-10,IF(OR(ISNUMBER(SEARCH("Grasslands",BX356)),ISNUMBER(SEARCH("TropicalRainforest",BX356)),ISNUMBER(SEARCH("TropicalSwamp",BX356))),10,0)))))))-IF(CC356="False",MIN(IFERROR(MAX(MROUND(LOG10(_xlfn.XLOOKUP(B356,'Base stats'!B:B,'Base stats'!C:C)^(2/3))*10,5),5),5),30))-_xlfn.XLOOKUP(B356,'Base stats'!B:B,'Base stats'!P:P)+IF(CC356="True",5,0)</f>
        <v>-15</v>
      </c>
      <c r="M356" s="2">
        <f>IF(OR(_xlfn.XLOOKUP(_xlfn.XLOOKUP(B356,'Base stats'!B:B,'Base stats'!E:E),Groups!A:A,Groups!G:G)=2,ISNUMBER(SEARCH("Desert",BX356)),ISNUMBER(SEARCH("ExtremeDesert",BX356)),ISNUMBER(SEARCH("LavaField",BX356))),50,IF(ISNUMBER(SEARCH("Grasslands",BX356)),45,IF(OR(_xlfn.XLOOKUP(_xlfn.XLOOKUP(B356,'Base stats'!B:B,'Base stats'!E:E),Groups!A:A,Groups!G:G)=1,ISNUMBER(SEARCH("TropicalRainforest",BX356)),ISNUMBER(SEARCH("TropicalSwamp",BX356))),40,IF(OR(ISNUMBER(SEARCH("TemperateForest",BX356)),ISNUMBER(SEARCH("TemperateSwamp",BX356))),35,IF(OR(ISNUMBER(SEARCH("Alpine",BX356)),ISNUMBER(SEARCH("BorealForest",BX356)),ISNUMBER(SEARCH("ColdBog",BX356))),30,IF(ISNUMBER(OR(ISNUMBER(SEARCH("GlacialPlain",BX356)),SEARCH("Tundra",BX356))),25,IF(OR(ISNUMBER(SEARCH("SeaIce",BX356)),ISNUMBER(SEARCH("IceSheet",BX356)),ISNUMBER(SEARCH("TropicalSwamp",BX356))),10,35)))))))+_xlfn.XLOOKUP(B356,'Base stats'!B:B,'Base stats'!Q:Q)</f>
        <v>50</v>
      </c>
      <c r="N356" s="8" t="str">
        <f>IF(
_xlfn.XLOOKUP(
_xlfn.XLOOKUP(B356,'Base stats'!B:B,'Base stats'!E:E),
Groups!A:A,
Groups!L:L
)=1,
MIN(
MROUND(
IF(
_xlfn.XLOOKUP(B356,'Animals CE'!B:B,'Animals CE'!Z:Z)&lt;=1.5,
_xlfn.XLOOKUP(B356,'Animals CE'!B:B,'Animals CE'!Z:Z)/2+0.05,
0.8+
(_xlfn.XLOOKUP(B356,'Animals CE'!B:B,'Animals CE'!Z:Z)-1.5)
*0.02
),
0.05
),
200%
),
"No"
)</f>
        <v>No</v>
      </c>
      <c r="O356" s="8" t="str">
        <f>IF(
_xlfn.XLOOKUP(
_xlfn.XLOOKUP(B356,'Base stats'!B:B,'Base stats'!E:E),
Groups!A:A,
Groups!L:L
)=1,
MIN(
MROUND(
IF(
_xlfn.XLOOKUP(B356,'Animals CE'!B:B,'Animals CE'!AA:AA)&lt;=1.5,
_xlfn.XLOOKUP(B356,'Animals CE'!B:B,'Animals CE'!AA:AA)/2+0.05,
0.8+
(_xlfn.XLOOKUP(B356,'Animals CE'!B:B,'Animals CE'!AA:AA)-1.5)
*0.02
),
0.05
),
200%
),
"No"
)</f>
        <v>No</v>
      </c>
      <c r="P356" s="2" t="str">
        <f>_xlfn.XLOOKUP(B356,'Base stats'!B:B,'Base stats'!R:R)</f>
        <v>Standard</v>
      </c>
      <c r="Q356" s="13">
        <f>MROUND((LOG10(_xlfn.XLOOKUP(B356,'Base stats'!B:B,'Base stats'!AR:AR))*(AO356^0.5)+(_xlfn.XLOOKUP(B356,'Base stats'!B:B,'Base stats'!AR:AR)/1000)^(2/3)+_xlfn.XLOOKUP(B356,'Base stats'!B:B,'Base stats'!BA:BA)/2)+0.5,0.5)</f>
        <v>56.5</v>
      </c>
      <c r="R356" s="7">
        <f>IF(Q356="No","No",MAX(1,MROUND(_xlfn.XLOOKUP(B356,'Base stats'!B:B,'Base stats'!C:C)^0.165,0.05)))</f>
        <v>4.75</v>
      </c>
      <c r="S356" s="13">
        <f>IF(_xlfn.XLOOKUP(_xlfn.XLOOKUP(B356,'Base stats'!B:B,'Base stats'!E:E),Groups!A:A,Groups!P:P)=0,"No",MROUND((LOG10(_xlfn.XLOOKUP(B356,'Base stats'!B:B,'Base stats'!AS:AS))*(AO356^0.5)+(_xlfn.XLOOKUP(B356,'Base stats'!B:B,'Base stats'!AS:AS)/1000)^(2/3)+_xlfn.XLOOKUP(B356,'Base stats'!B:B,'Base stats'!BA:BA))+_xlfn.XLOOKUP(B356,'Base stats'!B:B,'Base stats'!AY:AY)+0.5,0.5))</f>
        <v>64</v>
      </c>
      <c r="T356" s="7">
        <f>IF(S356="No","No",MAX(_xlfn.XLOOKUP(_xlfn.XLOOKUP(B356,'Base stats'!B:B,'Base stats'!E:E),Groups!A:A,Groups!Q:Q),MROUND(_xlfn.XLOOKUP(_xlfn.XLOOKUP(B356,'Base stats'!B:B,'Base stats'!E:E),Groups!A:A,Groups!Q:Q)*_xlfn.XLOOKUP(B356,'Base stats'!B:B,'Base stats'!C:C)^0.165,0.05)))</f>
        <v>5.75</v>
      </c>
      <c r="U356" s="7" t="str">
        <f>IF(S356="No","No",_xlfn.XLOOKUP(_xlfn.XLOOKUP(B356,'Base stats'!B:B,'Base stats'!E:E),Groups!A:A,Groups!R:R))</f>
        <v>FrontLeftLeg, FrontRightLeg</v>
      </c>
      <c r="V356" s="7" t="str">
        <f>IF(S356="No","No",_xlfn.XLOOKUP(_xlfn.XLOOKUP(B356,'Base stats'!B:B,'Base stats'!E:E),Groups!A:A,Groups!S:S))</f>
        <v>left leg, right leg</v>
      </c>
      <c r="W356" s="7" t="str">
        <f>IF(S356="No","No",_xlfn.XLOOKUP(_xlfn.XLOOKUP(B356,'Base stats'!B:B,'Base stats'!E:E),Groups!A:A,Groups!T:T))</f>
        <v>Blunt</v>
      </c>
      <c r="X356" s="13" t="str">
        <f>IF(_xlfn.XLOOKUP(B356,'Base stats'!B:B,'Base stats'!W:W)="No","No",MROUND((LOG10(_xlfn.XLOOKUP(B356,'Base stats'!B:B,'Base stats'!AU:AU))*(AO356^0.5)+(_xlfn.XLOOKUP(B356,'Base stats'!B:B,'Base stats'!AU:AU)/1000)^(2/3)+_xlfn.XLOOKUP(B356,'Base stats'!B:B,'Base stats'!AZ:AZ))+0.5+IF(_xlfn.XLOOKUP(_xlfn.XLOOKUP(B356,'Base stats'!B:B,'Base stats'!E:E),Groups!A:A,Groups!U:U)&lt;&gt;3,_xlfn.XLOOKUP(B356,'Base stats'!B:B,'Base stats'!BA:BA),0),0.5))</f>
        <v>No</v>
      </c>
      <c r="Y356" s="7" t="str">
        <f>IF(X356="No","No",MAX(_xlfn.XLOOKUP(_xlfn.XLOOKUP(B356,'Base stats'!B:B,'Base stats'!E:E),Groups!A:A,Groups!V:V),MROUND(_xlfn.XLOOKUP(_xlfn.XLOOKUP(B356,'Base stats'!B:B,'Base stats'!E:E),Groups!A:A,Groups!V:V)*_xlfn.XLOOKUP(B356,'Base stats'!B:B,'Base stats'!C:C)^0.165,0.05)))</f>
        <v>No</v>
      </c>
      <c r="Z356" s="7" t="str">
        <f>IF(X356="No","No",_xlfn.XLOOKUP(_xlfn.XLOOKUP(B356,'Base stats'!B:B,'Base stats'!E:E),Groups!A:A,Groups!W:W))</f>
        <v>No</v>
      </c>
      <c r="AA356" s="7" t="str">
        <f>IF(X356="No","No",_xlfn.XLOOKUP(_xlfn.XLOOKUP(B356,'Base stats'!B:B,'Base stats'!E:E),Groups!A:A,Groups!X:X))</f>
        <v>No</v>
      </c>
      <c r="AB356" s="7" t="str">
        <f>IF(X356="No","No",_xlfn.XLOOKUP(_xlfn.XLOOKUP(B356,'Base stats'!B:B,'Base stats'!E:E),Groups!A:A,Groups!Y:Y))</f>
        <v>No</v>
      </c>
      <c r="AC356" s="7" t="str">
        <f>_xlfn.XLOOKUP(Animals!B356,'Base stats'!B:B,'Base stats'!X:X)</f>
        <v>False</v>
      </c>
      <c r="AD356" s="13" t="str">
        <f>IF(_xlfn.XLOOKUP(B356,'Base stats'!B:B,'Base stats'!AT:AT)="No","No",MROUND((LOG10(_xlfn.XLOOKUP(B356,'Base stats'!B:B,'Base stats'!AT:AT))*(AO356^0.75)+(_xlfn.XLOOKUP(B356,'Base stats'!B:B,'Base stats'!AT:AT)/1000)^(2/3)+_xlfn.XLOOKUP(B356,'Base stats'!B:B,'Base stats'!AX:AX)+_xlfn.XLOOKUP(B356,'Base stats'!B:B,'Base stats'!BA:BA))+0.5,0.5))</f>
        <v>No</v>
      </c>
      <c r="AE356" s="7" t="str">
        <f>IF(AD356="No","No",MAX(_xlfn.XLOOKUP(_xlfn.XLOOKUP(B356,'Base stats'!B:B,'Base stats'!E:E),Groups!A:A,Groups!Z:Z),MROUND(_xlfn.XLOOKUP(_xlfn.XLOOKUP(B356,'Base stats'!B:B,'Base stats'!E:E),Groups!A:A,Groups!Z:Z)*_xlfn.XLOOKUP(B356,'Base stats'!B:B,'Base stats'!C:C)^0.165,0.05)))</f>
        <v>No</v>
      </c>
      <c r="AF356" s="7" t="str">
        <f>IF(AD356="No","No",_xlfn.XLOOKUP(_xlfn.XLOOKUP(B356,'Base stats'!B:B,'Base stats'!E:E),Groups!A:A,Groups!AA:AA))</f>
        <v>No</v>
      </c>
      <c r="AG356" s="7" t="str">
        <f>IF(AD356="No","No",_xlfn.XLOOKUP(_xlfn.XLOOKUP(B356,'Base stats'!B:B,'Base stats'!E:E),Groups!A:A,Groups!AB:AB))</f>
        <v>No</v>
      </c>
      <c r="AH356" s="7" t="str">
        <f>IF(AD356="No","No",_xlfn.XLOOKUP(_xlfn.XLOOKUP(B356,'Base stats'!B:B,'Base stats'!E:E),Groups!A:A,Groups!AC:AC))</f>
        <v>No</v>
      </c>
      <c r="AI356" s="13" t="str">
        <f>IF(_xlfn.XLOOKUP(_xlfn.XLOOKUP(B356,'Base stats'!B:B,'Base stats'!E:E),Groups!A:A,Groups!AD:AD)=0,"No",MROUND((LOG10(_xlfn.XLOOKUP(B356,'Base stats'!B:B,'Base stats'!AS:AS))*(AO356^0.75)+(_xlfn.XLOOKUP(B356,'Base stats'!B:B,'Base stats'!AS:AS)/1000)^(2/3)+_xlfn.XLOOKUP(B356,'Base stats'!B:B,'Base stats'!AY:AY)+_xlfn.XLOOKUP(B356,'Base stats'!B:B,'Base stats'!BA:BA))+0.5,0.5))</f>
        <v>No</v>
      </c>
      <c r="AJ356" s="7" t="str">
        <f>IF(AI356="No","No",MAX(_xlfn.XLOOKUP(_xlfn.XLOOKUP(B356,'Base stats'!B:B,'Base stats'!E:E),Groups!A:A,Groups!AE:AE),MROUND(_xlfn.XLOOKUP(_xlfn.XLOOKUP(B356,'Base stats'!B:B,'Base stats'!E:E),Groups!A:A,Groups!AE:AE)*IF(_xlfn.XLOOKUP(_xlfn.XLOOKUP(B356,'Base stats'!B:B,'Base stats'!E:E),Groups!A:A,Groups!AJ:AJ)="Photonozoa",0.6,1)*_xlfn.XLOOKUP(B356,'Base stats'!B:B,'Base stats'!C:C)^0.165,0.05)))</f>
        <v>No</v>
      </c>
      <c r="AK356" s="7" t="str">
        <f>IF(AI356="No","No",_xlfn.XLOOKUP(_xlfn.XLOOKUP(B356,'Base stats'!B:B,'Base stats'!E:E),Groups!A:A,Groups!AF:AF))</f>
        <v>No</v>
      </c>
      <c r="AL356" s="7" t="str">
        <f>IF(AI356="No","No",_xlfn.XLOOKUP(_xlfn.XLOOKUP(B356,'Base stats'!B:B,'Base stats'!E:E),Groups!A:A,Groups!AG:AG))</f>
        <v>No</v>
      </c>
      <c r="AM356" s="7" t="str">
        <f>IF(AI356="No","No",_xlfn.XLOOKUP(_xlfn.XLOOKUP(B356,'Base stats'!B:B,'Base stats'!E:E),Groups!A:A,Groups!AH:AH))</f>
        <v>No</v>
      </c>
      <c r="AN356" s="2" t="str">
        <f t="shared" si="35"/>
        <v>No</v>
      </c>
      <c r="AO356" s="2">
        <f>MROUND(IF(AND(_xlfn.XLOOKUP(B356,'Base stats'!B:B,'Base stats'!C:C)&gt;=0.5,_xlfn.XLOOKUP(B356,'Base stats'!B:B,'Base stats'!C:C)&lt;=0.8),
IF(_xlfn.XLOOKUP(B356,'Base stats'!B:B,'Base stats'!C:C)&lt;0.1,0.05,IF(_xlfn.XLOOKUP(B356,'Base stats'!B:B,'Base stats'!C:C)&lt;=70,(_xlfn.XLOOKUP(B356,'Base stats'!B:B,'Base stats'!C:C)/70)^0.426489913056526,IF(_xlfn.XLOOKUP(B356,'Base stats'!B:B,'Base stats'!C:C)&lt;=400,(_xlfn.XLOOKUP(B356,'Base stats'!B:B,'Base stats'!C:C)/70)^0.572811455315093,IF(_xlfn.XLOOKUP(B356,'Base stats'!B:B,'Base stats'!C:C)&lt;=2000,2.71391647193063*(_xlfn.XLOOKUP(B356,'Base stats'!B:B,'Base stats'!C:C)/400)^0.252459582904293,3.74314280240376*(_xlfn.XLOOKUP(B356,'Base stats'!B:B,'Base stats'!C:C)/2000)^0.357012633876913)))),
IF(_xlfn.XLOOKUP(B356,'Base stats'!B:B,'Base stats'!C:C)&lt;0.1,0.05,IF(_xlfn.XLOOKUP(B356,'Base stats'!B:B,'Base stats'!C:C)&lt;0.4,0.1,IF(_xlfn.XLOOKUP(B356,'Base stats'!B:B,'Base stats'!C:C)&lt;=70,(_xlfn.XLOOKUP(B356,'Base stats'!B:B,'Base stats'!C:C)/70)^0.445823913056526,IF(_xlfn.XLOOKUP(B356,'Base stats'!B:B,'Base stats'!C:C)&lt;=400,(_xlfn.XLOOKUP(B356,'Base stats'!B:B,'Base stats'!C:C)/70)^0.572811455315093,IF(_xlfn.XLOOKUP(B356,'Base stats'!B:B,'Base stats'!C:C)&lt;=2000,2.71391647193063*(_xlfn.XLOOKUP(B356,'Base stats'!B:B,'Base stats'!C:C)/400)^0.252459582904293,3.74314280240376*(_xlfn.XLOOKUP(B356,'Base stats'!B:B,'Base stats'!C:C)/2000)^0.357012633876913)))))),
IF(_xlfn.XLOOKUP(B356,'Base stats'!B:B,'Base stats'!C:C)&lt;0.1,0.05,IF(_xlfn.XLOOKUP(B356,'Base stats'!B:B,'Base stats'!C:C)&lt;=100,0.05,IF(_xlfn.XLOOKUP(B356,'Base stats'!B:B,'Base stats'!C:C)&lt;=250,0.1,IF(_xlfn.XLOOKUP(B356,'Base stats'!B:B,'Base stats'!C:C)&lt;=4000,0.25,0.5)))))</f>
        <v>7.5</v>
      </c>
      <c r="AP356" s="8">
        <f>MROUND(AO356*_xlfn.XLOOKUP(_xlfn.XLOOKUP(B356,'Base stats'!B:B,'Base stats'!E:E),Groups!A:A,Groups!AI:AI)*_xlfn.XLOOKUP(B356,'Base stats'!B:B,'Base stats'!Z:Z),0.05)</f>
        <v>7.5</v>
      </c>
      <c r="AQ356" s="8">
        <f>MAX(0.01,MROUND(IF(CC356="True",0.196*(AO356*100*1000)^0.889,IF(_xlfn.XLOOKUP(_xlfn.XLOOKUP(B356,'Base stats'!B:B,'Base stats'!E:E),Groups!A:A,Groups!AJ:AJ)="Bird",10.5*(AO356*100*1000)^0.681,4.82*(AO356*100*1000)^0.734))/(4.82*(1*100*1000)^0.734)/IF(AO356&lt;3.5,2,IF(AO356=3.5,1.5,1.25))*(1+0.132282374779864/(AO356^0.994035016789033+0.00905238001496948)),0.05))</f>
        <v>3.8000000000000003</v>
      </c>
      <c r="AR356" s="9">
        <f>IFERROR(MROUND(_xlfn.XLOOKUP(B356,'Base stats'!B:B,'Base stats'!H:H)/IF(_xlfn.XLOOKUP(B356,'Base stats'!B:B,'Base stats'!I:I)&lt;&gt;1,(122.5/70),1.2),IF(_xlfn.XLOOKUP(B356,'Base stats'!B:B,'Base stats'!H:H)&gt;=30,5,IF(_xlfn.XLOOKUP(B356,'Base stats'!B:B,'Base stats'!H:H)&gt;=15,3,IF(_xlfn.XLOOKUP(B356,'Base stats'!B:B,'Base stats'!H:H)&gt;=10,2,1)))),"Immortal")</f>
        <v>25</v>
      </c>
      <c r="AS356" s="35" t="str">
        <f>IFERROR(IF(OR(_xlfn.XLOOKUP(B356,'Base stats'!B:B,'Base stats'!F:F)="Atypical reproduction",_xlfn.XLOOKUP(B356,'Base stats'!B:B,'Base stats'!F:F)="Lay eggs"),"Lay eggs",MIN(20,MAX(5.5,ROUND(((_xlfn.XLOOKUP(B356,'Base stats'!B:B,'Base stats'!F:F)-25)*(14.5/615) + 5.5)*2,0)/2))),"Unknown")</f>
        <v>Lay eggs</v>
      </c>
      <c r="AT356" s="8">
        <f>IF(_xlfn.XLOOKUP(B356,'Base stats'!B:B,'Base stats'!G:G)="Atypical reproduction","No",IFERROR(MAX(IF(_xlfn.XLOOKUP(B356,'Base stats'!B:B,'Base stats'!G:G)&lt;0.5,0.2,0.3),MROUND(_xlfn.XLOOKUP(B356,'Base stats'!B:B,'Base stats'!G:G)/(365/60),0.2)),"Unknown"))</f>
        <v>3.2</v>
      </c>
      <c r="AU356" s="8">
        <f t="shared" si="36"/>
        <v>1.6</v>
      </c>
      <c r="AV356" s="8" t="str">
        <f>IFERROR(IFERROR(MROUND(_xlfn.XLOOKUP(B356,'Base stats'!B:B,'Base stats'!J:J),0.1),"Lay eggs"),"Cannot breed")</f>
        <v>Lay eggs</v>
      </c>
      <c r="AW356" s="2" t="str">
        <f t="shared" si="37"/>
        <v>true</v>
      </c>
      <c r="AX356" s="2" t="str">
        <f>IF(_xlfn.XLOOKUP(_xlfn.XLOOKUP(Animals!B356,'Base stats'!B:B,'Base stats'!E:E),Groups!A:A,Groups!AK:AK)=1,"true","false")</f>
        <v>true</v>
      </c>
      <c r="AY356" s="25" t="str">
        <f>IF(_xlfn.XLOOKUP(B356,'Base stats'!B:B,'Base stats'!Y:Y)="Liquor","Liquor, CarnivoreAnimalStrict",IF(AND(_xlfn.XLOOKUP(B356,'Base stats'!B:B,'Base stats'!Y:Y)="Carnivore",_xlfn.XLOOKUP(_xlfn.XLOOKUP(B356,'Base stats'!B:B,'Base stats'!E:E),Groups!A:A,Groups!AJ:AJ)="Photonozoa"),"CarnivoreAnimalStrict, OvivoreAnimal",IF(_xlfn.XLOOKUP(B356,'Base stats'!B:B,'Base stats'!Y:Y)="Carnivore","CarnivoreAnimal, OvivoreAnimal",IF(_xlfn.XLOOKUP(B356,'Base stats'!B:B,'Base stats'!Y:Y)="Dendrovore","VegetarianRoughAnimal, DendrovoreAnimal",IF(_xlfn.XLOOKUP(B356,'Base stats'!B:B,'Base stats'!Y:Y)="Herbivore","VegetarianRoughAnimal",IF(_xlfn.XLOOKUP(B356,'Base stats'!B:B,'Base stats'!Y:Y)="OmnivoreRough","OmnivoreRoughAnimal, OvivoreAnimal","OmnivoreAnimal, OvivoreAnimal"))))))</f>
        <v>VegetarianRoughAnimal</v>
      </c>
      <c r="AZ356" s="2">
        <f>IF(_xlfn.XLOOKUP(_xlfn.XLOOKUP(B356,'Base stats'!B:B,'Base stats'!E:E),Groups!A:A,Groups!D:D)=1,MROUND((1-J356)*5+1,2)*IF(J356&lt;=0.4,2,1),"No")</f>
        <v>2</v>
      </c>
      <c r="BA356" s="2" t="str">
        <f>IF(AND(_xlfn.XLOOKUP(B356,'Base stats'!B:B,'Base stats'!AH:AH)="&lt;li&gt;Seal&lt;/li&gt;",G356="Odyssey"),"&lt;li&gt;AEXP_Seal&lt;/li&gt;",_xlfn.XLOOKUP(B356,'Base stats'!B:B,'Base stats'!AH:AH))</f>
        <v>No</v>
      </c>
      <c r="BB356" s="2" t="str">
        <f>_xlfn.XLOOKUP(B356,'Base stats'!B:B,'Base stats'!AG:AG)</f>
        <v>Leather_Sauropod</v>
      </c>
      <c r="BC356" s="23" t="str">
        <f>_xlfn.XLOOKUP(_xlfn.XLOOKUP(B356,'Base stats'!B:B,'Base stats'!E:E),Groups!A:A,Groups!AL:AL)</f>
        <v>Sauropod</v>
      </c>
      <c r="BD356" s="23">
        <f>MIN(1,MROUND(IF(AND(AO356&lt;0.5,_xlfn.XLOOKUP(B356,'Base stats'!B:B,'Base stats'!AA:AA)=0),0,IF(OR(_xlfn.XLOOKUP(Animals!B356,'Base stats'!B:B,'Base stats'!O:O)=2,_xlfn.XLOOKUP(_xlfn.XLOOKUP(B356,'Base stats'!B:B,'Base stats'!E:E),Groups!A:A,Groups!AN:AN)=0),0,_xlfn.XLOOKUP(_xlfn.XLOOKUP(B356,'Base stats'!B:B,'Base stats'!E:E),Groups!A:A,Groups!AN:AN)/IF(_xlfn.XLOOKUP(Animals!B356,'Base stats'!B:B,'Base stats'!O:O)=1,2,1)))+_xlfn.XLOOKUP(B356,'Base stats'!B:B,'Base stats'!AC:AC),0.005))</f>
        <v>2.5000000000000001E-2</v>
      </c>
      <c r="BE356" s="23">
        <f>MIN(1,MROUND(IF(AND(AO356&lt;0.5,_xlfn.XLOOKUP(B356,'Base stats'!B:B,'Base stats'!AA:AA)=0),0,IF(_xlfn.XLOOKUP(_xlfn.XLOOKUP(B356,'Base stats'!B:B,'Base stats'!E:E),Groups!A:A,Groups!AO:AO)=0,0,_xlfn.XLOOKUP(_xlfn.XLOOKUP(B356,'Base stats'!B:B,'Base stats'!E:E),Groups!A:A,Groups!AO:AO)/IF(_xlfn.XLOOKUP(Animals!B356,'Base stats'!B:B,'Base stats'!O:O)=2,3,1)))+_xlfn.XLOOKUP(B356,'Base stats'!B:B,'Base stats'!AD:AD),0.005))</f>
        <v>0.1</v>
      </c>
      <c r="BF356" s="2" t="str">
        <f>IF(J356&gt;0.3,"No",_xlfn.XLOOKUP(_xlfn.XLOOKUP(Animals!B356,'Base stats'!B:B,'Base stats'!E:E),Groups!A:A,Groups!AP:AP))</f>
        <v>No</v>
      </c>
      <c r="BG356" s="2" t="str">
        <f>IF(AND(J356&lt;=0.65,_xlfn.XLOOKUP(_xlfn.XLOOKUP(Animals!B356,'Base stats'!B:B,'Base stats'!E:E),Groups!A:A,Groups!AP:AP)&lt;&gt;"No",_xlfn.XLOOKUP(_xlfn.XLOOKUP(B356,'Base stats'!B:B,'Base stats'!E:E),Groups!A:A,Groups!D:D)=0),MROUND((80/3)*IF(_xlfn.XLOOKUP(B356,'Base stats'!B:B,'Base stats'!O:O)=2,0.2,AO356) + 24*(1-IF(BF356="No",0,BF356)) + 16/3, 12),"No")</f>
        <v>No</v>
      </c>
      <c r="BH356" s="2">
        <f>IF(AND(_xlfn.XLOOKUP(_xlfn.XLOOKUP(B356,'Base stats'!B:B,'Base stats'!E:E),Groups!A:A,Groups!AQ:AQ)=1,AO356&lt;=0.35),8,12)</f>
        <v>12</v>
      </c>
      <c r="BI356" s="2" t="str">
        <f>IF(_xlfn.XLOOKUP(_xlfn.XLOOKUP(B356,'Base stats'!B:B,'Base stats'!E:E),Groups!A:A,Groups!D:D)=0,_xlfn.XLOOKUP(_xlfn.XLOOKUP(B356,'Base stats'!B:B,'Base stats'!E:E),Groups!A:A,Groups!AR:AR),"None")</f>
        <v>None</v>
      </c>
      <c r="BJ356" s="2" t="str">
        <f>IF(AND(_xlfn.XLOOKUP(_xlfn.XLOOKUP(B356,'Base stats'!B:B,'Base stats'!E:E),Groups!A:A,Groups!AS:AS)=1,OR(_xlfn.XLOOKUP(B356,'Base stats'!B:B,'Base stats'!Y:Y)="Carnivore",_xlfn.XLOOKUP(B356,'Base stats'!B:B,'Base stats'!Y:Y)="Omnivore")),"true","false")</f>
        <v>false</v>
      </c>
      <c r="BK356" s="2" t="str">
        <f>IF(BJ356="true",MROUND(IF(AND(AO356&gt;0.5,OR(_xlfn.XLOOKUP(_xlfn.XLOOKUP(B356,'Base stats'!B:B,'Base stats'!E:E),Groups!A:A,Groups!AJ:AJ)="Photonozoa",_xlfn.XLOOKUP(_xlfn.XLOOKUP(B356,'Base stats'!B:B,'Base stats'!E:E),Groups!A:A,Groups!AJ:AJ)="Mammal")),Animals!AO356*1.75*IF(AW356="true",1.5,1),IF(AO356&lt;0.5,Animals!AO356*0.5,Animals!AO356)),IF(AO356&gt;2,0.5,IF(AO356&gt;0.5,0.25,0.1))),"No")</f>
        <v>No</v>
      </c>
      <c r="BL356" s="2">
        <f t="shared" si="38"/>
        <v>0</v>
      </c>
      <c r="BM356" s="25" t="str">
        <f>IF(_xlfn.XLOOKUP(B356,'Base stats'!B:B,'Base stats'!AN:AN)="Standard","No",MROUND((_xlfn.XLOOKUP(B356,'Base stats'!B:B,'Base stats'!AN:AN)/3.6)/I356,0.1))</f>
        <v>No</v>
      </c>
      <c r="BN356" s="25" t="str">
        <f t="shared" si="39"/>
        <v>false</v>
      </c>
      <c r="BO356" s="25" t="str">
        <f>IF(AND(OR(_xlfn.XLOOKUP(B356,'Base stats'!B:B,'Base stats'!Y:Y)="Carnivore",_xlfn.XLOOKUP(B356,'Base stats'!B:B,'Base stats'!Y:Y)="Omnivore",_xlfn.XLOOKUP(B356,'Base stats'!B:B,'Base stats'!Y:Y)="OmnivoreRough"),_xlfn.XLOOKUP(_xlfn.XLOOKUP(B356,'Base stats'!B:B,'Base stats'!E:E),Groups!A:A,Groups!AT:AT)=1),"true","false")</f>
        <v>false</v>
      </c>
      <c r="BP356" s="25" t="str" cm="1">
        <f t="array" ref="BP356">IF(
  _xlfn.TEXTJOIN(", ",TRUE,
    IF(AND(BJ356="true",AO356&gt;0.5,BI356&lt;&gt;"None"),"AttackTarget",""),
    IF(AND(_xlfn.XLOOKUP(_xlfn.XLOOKUP(B356,'Base stats'!B:B,'Base stats'!E:E),Groups!A:A,Groups!AJ:AJ="Mammal"),OR(_xlfn.XLOOKUP(B356,'Base stats'!B:B,'Base stats'!Y:Y)="Omnivore",_xlfn.XLOOKUP(B356,'Base stats'!B:B,'Base stats'!Y:Y)="OmnivoreRough")),"Forage",""),
    IF(BG356&lt;=36,"Comfort",""),
    IF(_xlfn.XLOOKUP(B356,'Base stats'!B:B,'Base stats'!AE:AE)&lt;&gt;"No",_xlfn.XLOOKUP(B356,'Base stats'!B:B,'Base stats'!AE:AE),"")
  ) = "",
  "No",
  _xlfn.TEXTJOIN(", ",TRUE,
    IF(AND(BJ356="true",AO356&gt;0.5,BI356&lt;&gt;"None"),"AttackTarget",""),
    IF(AND(_xlfn.XLOOKUP(_xlfn.XLOOKUP(B356,'Base stats'!B:B,'Base stats'!E:E),Groups!A:A,Groups!AJ:AJ="Mammal"),OR(_xlfn.XLOOKUP(B356,'Base stats'!B:B,'Base stats'!Y:Y)="Omnivore",_xlfn.XLOOKUP(B356,'Base stats'!B:B,'Base stats'!Y:Y)="OmnivoreRough")),"Forage",""),
    IF(BG356&lt;=36,"Comfort",""),
    IF(_xlfn.XLOOKUP(B356,'Base stats'!B:B,'Base stats'!AE:AE)&lt;&gt;"No",_xlfn.XLOOKUP(B356,'Base stats'!B:B,'Base stats'!AE:AE),"")
  )
)</f>
        <v>No</v>
      </c>
      <c r="BQ356" s="25" t="str">
        <f>IF(
   AND(
      'Base stats'!AN356="Standard",_xlfn.XLOOKUP(_xlfn.XLOOKUP(B356,'Base stats'!B:B,'Base stats'!E:E),Groups!A:A,Groups!AU:AU)=0,
      OR(
      BO356="True"
      )
   ),
   10,
   IF(
       OR(BM356&lt;&gt;"No",_xlfn.XLOOKUP(_xlfn.XLOOKUP(B356,'Base stats'!B:B,'Base stats'!E:E),Groups!A:A,Groups!AU:AU)=1),
      1,
      "No"
   )
)</f>
        <v>No</v>
      </c>
      <c r="BR356" s="9">
        <f>MROUND((1 + ((0.2*IF(OR(Q356="No",R356="No",R356=0),0,Q356/R356)
+IF(OR(V356="No",S356="No",T356="No"),0,S356/T356*(LEN(V356)-LEN(SUBSTITUTE(V356,",",""))+1))
+IF(OR(X356="No",Y356="No"),0,X356/Y356)
+IF(OR(AD356="No",AE356="No"),0,AD356/AE356)
+IF(OR(AL356="No",AI356="No",AJ356="No"),0,AI356/AJ356*(LEN(AL356)-LEN(SUBSTITUTE(AL356,",",""))+1))
)/(0.2*IF(OR(Q356="No",R356="No",R356=0),0,1)
+IF(OR(V356="No",S356="No",T356="No"),0,LEN(V356)-LEN(SUBSTITUTE(V356,",",""))+1)
+IF(OR(X356="No",Y356="No"),0,1)
+IF(OR(AD356="No",AE356="No"),0,1)
+IF(OR(AL356="No",AI356="No",AJ356="No"),0,LEN(AL356)-LEN(SUBSTITUTE(AL356,",",""))+1))*62%)* 2)*(1 + (AP356 / (IF(_xlfn.XLOOKUP(_xlfn.XLOOKUP(B356,'Base stats'!B:B,'Base stats'!E:E),Groups!A:A,Groups!AJ:AJ)="Photonozoa",0.3,1)) + _xlfn.XLOOKUP(B356,'Base stats'!B:B,'Base stats'!AV:AV) * 1.8) * 2) * 2.5 + 10 + I356 * 2,5)+IF(_xlfn.XLOOKUP(B356,'Base stats'!B:B,'Base stats'!AK:AK)=1,50,0)</f>
        <v>610</v>
      </c>
      <c r="BS356" s="8">
        <f t="shared" si="40"/>
        <v>4.55</v>
      </c>
      <c r="BT356" s="8" t="str">
        <f>_xlfn.XLOOKUP(B356,'Base stats'!B:B,'Base stats'!AF:AF)</f>
        <v>2~6</v>
      </c>
      <c r="BU356" s="2" t="str">
        <f>IF(AND(J356&lt;=0.95,OR(_xlfn.XLOOKUP(B356,'Base stats'!B:B,'Base stats'!AK:AK)=1,_xlfn.XLOOKUP(B356,'Base stats'!B:B,'Base stats'!Y:Y)="Carnivore",_xlfn.XLOOKUP(B356,'Base stats'!B:B,'Base stats'!Y:Y)="Omnivore",BE356&gt;0.1)),"true","false")</f>
        <v>false</v>
      </c>
      <c r="BV356" s="2" t="str">
        <f>IF(_xlfn.XLOOKUP(B356,'Base stats'!B:B,'Base stats'!AI:AI)=1,"true","false")</f>
        <v>false</v>
      </c>
      <c r="BW356" s="25" t="str">
        <f>IF(E356="BaseInsect","AnimalInsect",
IF(J356&gt;0.95,"AnimalExotic",
_xlfn.TEXTJOIN(", ",TRUE,
IF(OR(_xlfn.XLOOKUP(B356,'Base stats'!B:B,'Base stats'!AM:AM)=1,AND(_xlfn.XLOOKUP(B356,'Base stats'!B:B,'Base stats'!O:O)=0,_xlfn.XLOOKUP(_xlfn.XLOOKUP(B356,'Base stats'!B:B,'Base stats'!E:E),Groups!A:A,Groups!B:B)&gt;0)),"AnimalUncommon","AnimalCommon"),
IF(AND(_xlfn.XLOOKUP(B356,'Base stats'!B:B,'Base stats'!O:O)=2,_xlfn.XLOOKUP(_xlfn.XLOOKUP(B356,'Base stats'!B:B,'Base stats'!E:E),Groups!A:A,Groups!D:D)=0),"AnimalPet",IF(AND(_xlfn.XLOOKUP(B356,'Base stats'!B:B,'Base stats'!O:O)&lt;&gt;0,_xlfn.XLOOKUP(_xlfn.XLOOKUP(B356,'Base stats'!B:B,'Base stats'!E:E),Groups!A:A,Groups!D:D)&lt;&gt;0),"AnimalFarm","")),
IF(OR(_xlfn.XLOOKUP(B356,'Base stats'!B:B,'Base stats'!AK:AK)=1,AND(BI356&lt;&gt;"None",BR356&gt;=60),ISNUMBER(SEARCH("Attack target",BP356))),"AnimalFighter","")
)))</f>
        <v>AnimalUncommon</v>
      </c>
      <c r="BX356" s="25" t="str">
        <f>IF(G356="None",TRIM(
SUBSTITUTE(
IF(COUNTIF(Biomes!B$2:B$259,"="&amp;$C356)&gt;0,Biomes!B$1&amp;", ","")&amp;
IF(COUNTIF(Biomes!C$2:C$259,"="&amp;$C356)&gt;0,Biomes!C$1&amp;", ","")&amp;
IF(COUNTIF(Biomes!D$2:D$259,"="&amp;$C356)&gt;0,Biomes!D$1&amp;", ","")&amp;
IF(COUNTIF(Biomes!F$2:F$259,"="&amp;$C356)&gt;0,Biomes!F$1&amp;", ","")&amp;
IF(COUNTIF(Biomes!G$2:G$259,"="&amp;$C356)&gt;0,Biomes!G$1&amp;", ","")&amp;
IF(COUNTIF(Biomes!H$2:H$259,"="&amp;$C356)&gt;0,Biomes!H$1&amp;", ","")&amp;
IF(COUNTIF(Biomes!I$2:I$259,"="&amp;$C356)&gt;0,Biomes!I$1&amp;", ","")&amp;
IF(COUNTIF(Biomes!J$2:J$259,"="&amp;$C356)&gt;0,Biomes!J$1&amp;", ","")&amp;
IF(COUNTIF(Biomes!M$2:M$259,"="&amp;$C356)&gt;0,Biomes!M$1&amp;", ","")&amp;
IF(COUNTIF(Biomes!N$2:N$259,"="&amp;$C356)&gt;0,Biomes!N$1&amp;", ","")&amp;
IF(COUNTIF(Biomes!O$2:O$259,"="&amp;$C356)&gt;0,Biomes!O$1&amp;", ","")&amp;
IF(COUNTIF(Biomes!P$2:P$259,"="&amp;$C356)&gt;0,Biomes!P$1&amp;", ","")&amp;
IF(COUNTIF(Biomes!K$2:K$259,"="&amp;$C356)&gt;0,Biomes!K$1&amp;", ","")&amp;
IF(COUNTIF(Biomes!Q$3:Q$259,"="&amp;$C356)&gt;0,Biomes!Q$1&amp;", ","")&amp;
IF(COUNTIF(Biomes!L$2:L$259,"="&amp;$C356)&gt;0,Biomes!L$1&amp;", ","")&amp;
IF(COUNTIF(Biomes!E$2:E$259,"="&amp;$C356)&gt;0,Biomes!E$1&amp;", ","")&amp;IF(COUNTIF(Biomes!S$2:S$259,"="&amp;$C356)&gt;0,Biomes!S$1&amp;", ","")&amp;
IF(COUNTIF(Biomes!R$2:R$259,"="&amp;$C356)&gt;0,Biomes!R$1&amp;", ",""),", ","")
),_xlfn.XLOOKUP(B356,B:B,BX:BX))</f>
        <v>AridShrubland Grasslands LavaField</v>
      </c>
      <c r="BY356" s="25" t="str">
        <f>IF(_xlfn.XLOOKUP(B356,'Base stats'!B:B,'Base stats'!AJ:AJ)=1,"true","false")</f>
        <v>false</v>
      </c>
      <c r="BZ356" s="25">
        <f>IF(_xlfn.XLOOKUP(B356,'Base stats'!B:B,'Base stats'!N:N)=1,"No",MAX(0.001,MIN(MROUND(IF(AND(BJ356="True",CC356="False"),POWER(10,3.47*LOG10(_xlfn.XLOOKUP(B356,'Base stats'!B:B,'Base stats'!C:C)*1000)^-0.96),POWER(10,4.15*LOG10(_xlfn.XLOOKUP(B356,'Base stats'!B:B,'Base stats'!C:C)*1000)^-0.73))*IF(_xlfn.XLOOKUP(B356,'Base stats'!B:B,'Base stats'!AK:AK)=1,0.5,1)*IF(_xlfn.XLOOKUP(B356,'Base stats'!B:B,'Base stats'!AM:AM)=1,0.1,1)/100,IF(_xlfn.XLOOKUP(B356,'Base stats'!B:B,'Base stats'!AM:AM)=1,0.001,0.025)),0.5)))</f>
        <v>0.1</v>
      </c>
      <c r="CA356" s="25" t="str">
        <f>IF(P356="Standard","No",MAX(0.001,MIN(MROUND(IF(AND(BJ356="True",CC356="False"),POWER(10,3.47*LOG10(_xlfn.XLOOKUP(B356,'Base stats'!B:B,'Base stats'!C:C)*1000)^-0.96),POWER(10,4.15*LOG10(_xlfn.XLOOKUP(B356,'Base stats'!B:B,'Base stats'!C:C)*1000)^-0.73))*IF(_xlfn.XLOOKUP(B356,'Base stats'!B:B,'Base stats'!AM:AM)=1,0.1,1)*_xlfn.XLOOKUP(B356,'Base stats'!B:B,'Base stats'!R:R)/100,IF(_xlfn.XLOOKUP(B356,'Base stats'!B:B,'Base stats'!AM:AM)=1,0.001,0.025)),0.5)))</f>
        <v>No</v>
      </c>
      <c r="CB356" s="25" t="str">
        <f>IF(_xlfn.XLOOKUP(_xlfn.XLOOKUP(B356,'Base stats'!B:B,'Base stats'!E:E),Groups!A:A,Groups!AJ:AJ)="Mammal","True","False")</f>
        <v>False</v>
      </c>
      <c r="CC356" s="25" t="str">
        <f>IF(OR(_xlfn.XLOOKUP(_xlfn.XLOOKUP(B356,'Base stats'!B:B,'Base stats'!E:E),Groups!A:A,Groups!AJ:AJ)="Reptile",_xlfn.XLOOKUP(_xlfn.XLOOKUP(B356,'Base stats'!B:B,'Base stats'!E:E),Groups!A:A,Groups!AJ:AJ)="Amphibian",_xlfn.XLOOKUP(_xlfn.XLOOKUP(B356,'Base stats'!B:B,'Base stats'!E:E),Groups!A:A,Groups!AJ:AJ)="Invertebrate"),"True","False")</f>
        <v>False</v>
      </c>
      <c r="CD356" s="25" t="str">
        <f t="shared" si="41"/>
        <v>False</v>
      </c>
      <c r="CE356" s="25" t="str">
        <f>IF(_xlfn.XLOOKUP(_xlfn.XLOOKUP(B356,'Base stats'!B:B,'Base stats'!E:E),Groups!A:A,Groups!AX:AX),"True","False")</f>
        <v>False</v>
      </c>
      <c r="CF356" s="25" t="str">
        <f>IF(_xlfn.XLOOKUP(_xlfn.XLOOKUP(B356,'Base stats'!B:B,'Base stats'!E:E),Groups!A:A,Groups!AY:AY),"True","False")</f>
        <v>False</v>
      </c>
      <c r="CG356" s="25" t="str">
        <f>IF(_xlfn.XLOOKUP(_xlfn.XLOOKUP(B356,'Base stats'!B:B,'Base stats'!E:E),Groups!A:A,Groups!AW:AW),"True","False")</f>
        <v>False</v>
      </c>
      <c r="CH356" s="25" t="str">
        <f>IF(
OR(
_xlfn.XLOOKUP(_xlfn.XLOOKUP(B356,'Base stats'!B:B,'Base stats'!E:E),Groups!A:A,Groups!AZ:AZ)=0,
AND(
_xlfn.XLOOKUP(B356,'Base stats'!B:B,'Base stats'!Y:Y)&lt;&gt;"Carnivore",
_xlfn.XLOOKUP(B356,'Base stats'!B:B,'Base stats'!Y:Y)&lt;&gt;"Omnivore",
_xlfn.XLOOKUP(B356,'Base stats'!B:B,'Base stats'!Y:Y)&lt;&gt;"OmnivoreRough"
)
),
"No",
IF(
_xlfn.XLOOKUP(_xlfn.XLOOKUP(B356,'Base stats'!B:B,'Base stats'!E:E),Groups!A:A,Groups!AZ:AZ)=1,
"Flesh",
IF(
_xlfn.XLOOKUP(_xlfn.XLOOKUP(B356,'Base stats'!B:B,'Base stats'!E:E),Groups!A:A,Groups!AZ:AZ)=2,
"Bone",
""
)
)
)</f>
        <v>No</v>
      </c>
      <c r="CI356" s="25" t="str">
        <f>IF(_xlfn.XLOOKUP(_xlfn.XLOOKUP(B356,'Base stats'!B:B,'Base stats'!E:E),Groups!A:A,Groups!BB:BB),"True","False")</f>
        <v>False</v>
      </c>
      <c r="CJ356" s="25" t="str">
        <f>IF(_xlfn.XLOOKUP(_xlfn.XLOOKUP(B356,'Base stats'!B:B,'Base stats'!E:E),Groups!A:A,Groups!BA:BA),"True","False")</f>
        <v>False</v>
      </c>
    </row>
    <row r="357" spans="1:88" ht="16.5" thickTop="1" thickBot="1" x14ac:dyDescent="0.3">
      <c r="A357" s="26" t="s">
        <v>1943</v>
      </c>
      <c r="B357" s="6" t="str">
        <f>_xlfn.XLOOKUP(A357,'Base stats'!A:A,'Base stats'!B:B)</f>
        <v>Magyarosaurus transsylvanicus</v>
      </c>
      <c r="C357" s="28" t="s">
        <v>2031</v>
      </c>
      <c r="D357" s="28" t="s">
        <v>1898</v>
      </c>
      <c r="E357" s="28" t="s">
        <v>673</v>
      </c>
      <c r="F357" s="28" t="s">
        <v>673</v>
      </c>
      <c r="G357" s="28" t="s">
        <v>673</v>
      </c>
      <c r="H357" s="2">
        <f>MROUND((
  (IF(AND(_xlfn.XLOOKUP(B357,'Base stats'!B:B,'Base stats'!AL:AL)=0,BI357="None",_xlfn.XLOOKUP(_xlfn.XLOOKUP(B357,'Base stats'!B:B,'Base stats'!E:E),Groups!A:A,Groups!B:B)=0), (18 + BR357 * 2.7) * 0.5,
    IF(AND(_xlfn.XLOOKUP(B357,'Base stats'!B:B,'Base stats'!AL:AL)=0,OR(AO357&lt;0.55,AND(BI357="Intermediate",_xlfn.XLOOKUP(_xlfn.XLOOKUP(B357,'Base stats'!B:B,'Base stats'!E:E),Groups!A:A,Groups!B:B)&lt;2))), (18 + BR357 * 2.7),
      IF(OR(BI357="Advanced",_xlfn.XLOOKUP(B357,'Base stats'!B:B,'Base stats'!AL:AL)=1,_xlfn.XLOOKUP(_xlfn.XLOOKUP(B357,'Base stats'!B:B,'Base stats'!E:E),Groups!A:A,Groups!B:B)=2), (18 + BR357 * 2.7) + 250, (18 + BR357 * 2.7))
    )
  ))
  + AO357 * 80
  + IF(COUNTIF(EggMilk!K$2:K$998, A357) &gt; 0, 125, 0)
  + IF(COUNTIF(EggMilk!P$2:P$998, A357) &gt; 0, 90, 0)
  + IF(COUNTIF(EggMilk!A$2:A$998, A357) &gt; 0, 90, 0)
)
* (0.8 + 0.4 * J357)
* 0.75,25)</f>
        <v>875</v>
      </c>
      <c r="I357" s="2">
        <f>MROUND(ROUNDDOWN(_xlfn.XLOOKUP(B357,'Base stats'!B:B,'Base stats'!L:L)/3.6/(23.3/11),1),0.5)</f>
        <v>4</v>
      </c>
      <c r="J357" s="2">
        <f>IF(OR(_xlfn.XLOOKUP(B357,'Base stats'!B:B,'Base stats'!AB:AB)=1,_xlfn.XLOOKUP(_xlfn.XLOOKUP(B357,'Base stats'!B:B,'Base stats'!E:E),Groups!A:A,Groups!C:C)="Untamable"),1,IF(_xlfn.XLOOKUP(B357,'Base stats'!B:B,'Base stats'!AL:AL)=1,0.99,MIN(MROUND((1-0.6282*EXP(-0.459*AO357))*_xlfn.XLOOKUP(_xlfn.XLOOKUP(B357,'Base stats'!B:B,'Base stats'!E:E),Groups!A:A,Groups!C:C)*IF(_xlfn.XLOOKUP(B357,'Base stats'!B:B,'Base stats'!O:O)=1,0.5,IF(_xlfn.XLOOKUP(B357,'Base stats'!B:B,'Base stats'!O:O)=2,0,1)),0.05),IF(AO357&gt;3.5,0.985,0.95))))</f>
        <v>0.8</v>
      </c>
      <c r="K357" s="2">
        <f>ROUNDUP(AO357*_xlfn.XLOOKUP(_xlfn.XLOOKUP(B357,'Base stats'!B:B,'Base stats'!E:E),Groups!A:A,Groups!E:E),0)</f>
        <v>17</v>
      </c>
      <c r="L357" s="2">
        <f>IF(OR(_xlfn.XLOOKUP(_xlfn.XLOOKUP(B357,'Base stats'!B:B,'Base stats'!E:E),Groups!A:A,Groups!F:F)=2,ISNUMBER(SEARCH("SeaIce",BX357)),ISNUMBER(SEARCH("IceSheet",BX357))),-50,IF(OR(ISNUMBER(SEARCH("GlacialPlain",BX357)),ISNUMBER(SEARCH("Tundra",BX357))),-40,IF(OR(ISNUMBER(SEARCH("Alpine",BX357)),ISNUMBER(SEARCH("BorealForest",BX357)),ISNUMBER(SEARCH("ColdBog",BX357))),-30,IF(OR(ISNUMBER(SEARCH("TemperateForest",BX357)),ISNUMBER(SEARCH("TemperateSwamp",BX357))),-20,IF(_xlfn.XLOOKUP(_xlfn.XLOOKUP(B357,'Base stats'!B:B,'Base stats'!E:E),Groups!A:A,Groups!F:F)=1,-15,IF(OR(ISNUMBER(SEARCH("Desert",BX357)),ISNUMBER(SEARCH("ExtremeDesert",BX357))),-10,IF(OR(ISNUMBER(SEARCH("Grasslands",BX357)),ISNUMBER(SEARCH("TropicalRainforest",BX357)),ISNUMBER(SEARCH("TropicalSwamp",BX357))),10,0)))))))-IF(CC357="False",MIN(IFERROR(MAX(MROUND(LOG10(_xlfn.XLOOKUP(B357,'Base stats'!B:B,'Base stats'!C:C)^(2/3))*10,5),5),5),30))-_xlfn.XLOOKUP(B357,'Base stats'!B:B,'Base stats'!P:P)+IF(CC357="True",5,0)</f>
        <v>-10</v>
      </c>
      <c r="M357" s="2">
        <f>IF(OR(_xlfn.XLOOKUP(_xlfn.XLOOKUP(B357,'Base stats'!B:B,'Base stats'!E:E),Groups!A:A,Groups!G:G)=2,ISNUMBER(SEARCH("Desert",BX357)),ISNUMBER(SEARCH("ExtremeDesert",BX357)),ISNUMBER(SEARCH("LavaField",BX357))),50,IF(ISNUMBER(SEARCH("Grasslands",BX357)),45,IF(OR(_xlfn.XLOOKUP(_xlfn.XLOOKUP(B357,'Base stats'!B:B,'Base stats'!E:E),Groups!A:A,Groups!G:G)=1,ISNUMBER(SEARCH("TropicalRainforest",BX357)),ISNUMBER(SEARCH("TropicalSwamp",BX357))),40,IF(OR(ISNUMBER(SEARCH("TemperateForest",BX357)),ISNUMBER(SEARCH("TemperateSwamp",BX357))),35,IF(OR(ISNUMBER(SEARCH("Alpine",BX357)),ISNUMBER(SEARCH("BorealForest",BX357)),ISNUMBER(SEARCH("ColdBog",BX357))),30,IF(ISNUMBER(OR(ISNUMBER(SEARCH("GlacialPlain",BX357)),SEARCH("Tundra",BX357))),25,IF(OR(ISNUMBER(SEARCH("SeaIce",BX357)),ISNUMBER(SEARCH("IceSheet",BX357)),ISNUMBER(SEARCH("TropicalSwamp",BX357))),10,35)))))))+_xlfn.XLOOKUP(B357,'Base stats'!B:B,'Base stats'!Q:Q)</f>
        <v>40</v>
      </c>
      <c r="N357" s="8" t="str">
        <f>IF(
_xlfn.XLOOKUP(
_xlfn.XLOOKUP(B357,'Base stats'!B:B,'Base stats'!E:E),
Groups!A:A,
Groups!L:L
)=1,
MIN(
MROUND(
IF(
_xlfn.XLOOKUP(B357,'Animals CE'!B:B,'Animals CE'!Z:Z)&lt;=1.5,
_xlfn.XLOOKUP(B357,'Animals CE'!B:B,'Animals CE'!Z:Z)/2+0.05,
0.8+
(_xlfn.XLOOKUP(B357,'Animals CE'!B:B,'Animals CE'!Z:Z)-1.5)
*0.02
),
0.05
),
200%
),
"No"
)</f>
        <v>No</v>
      </c>
      <c r="O357" s="8" t="str">
        <f>IF(
_xlfn.XLOOKUP(
_xlfn.XLOOKUP(B357,'Base stats'!B:B,'Base stats'!E:E),
Groups!A:A,
Groups!L:L
)=1,
MIN(
MROUND(
IF(
_xlfn.XLOOKUP(B357,'Animals CE'!B:B,'Animals CE'!AA:AA)&lt;=1.5,
_xlfn.XLOOKUP(B357,'Animals CE'!B:B,'Animals CE'!AA:AA)/2+0.05,
0.8+
(_xlfn.XLOOKUP(B357,'Animals CE'!B:B,'Animals CE'!AA:AA)-1.5)
*0.02
),
0.05
),
200%
),
"No"
)</f>
        <v>No</v>
      </c>
      <c r="P357" s="2" t="str">
        <f>_xlfn.XLOOKUP(B357,'Base stats'!B:B,'Base stats'!R:R)</f>
        <v>Standard</v>
      </c>
      <c r="Q357" s="13">
        <f>MROUND((LOG10(_xlfn.XLOOKUP(B357,'Base stats'!B:B,'Base stats'!AR:AR))*(AO357^0.5)+(_xlfn.XLOOKUP(B357,'Base stats'!B:B,'Base stats'!AR:AR)/1000)^(2/3)+_xlfn.XLOOKUP(B357,'Base stats'!B:B,'Base stats'!BA:BA)/2)+0.5,0.5)</f>
        <v>18.5</v>
      </c>
      <c r="R357" s="7">
        <f>IF(Q357="No","No",MAX(1,MROUND(_xlfn.XLOOKUP(B357,'Base stats'!B:B,'Base stats'!C:C)^0.165,0.05)))</f>
        <v>3</v>
      </c>
      <c r="S357" s="13">
        <f>IF(_xlfn.XLOOKUP(_xlfn.XLOOKUP(B357,'Base stats'!B:B,'Base stats'!E:E),Groups!A:A,Groups!P:P)=0,"No",MROUND((LOG10(_xlfn.XLOOKUP(B357,'Base stats'!B:B,'Base stats'!AS:AS))*(AO357^0.5)+(_xlfn.XLOOKUP(B357,'Base stats'!B:B,'Base stats'!AS:AS)/1000)^(2/3)+_xlfn.XLOOKUP(B357,'Base stats'!B:B,'Base stats'!BA:BA))+_xlfn.XLOOKUP(B357,'Base stats'!B:B,'Base stats'!AY:AY)+0.5,0.5))</f>
        <v>23</v>
      </c>
      <c r="T357" s="7">
        <f>IF(S357="No","No",MAX(_xlfn.XLOOKUP(_xlfn.XLOOKUP(B357,'Base stats'!B:B,'Base stats'!E:E),Groups!A:A,Groups!Q:Q),MROUND(_xlfn.XLOOKUP(_xlfn.XLOOKUP(B357,'Base stats'!B:B,'Base stats'!E:E),Groups!A:A,Groups!Q:Q)*_xlfn.XLOOKUP(B357,'Base stats'!B:B,'Base stats'!C:C)^0.165,0.05)))</f>
        <v>3.6500000000000004</v>
      </c>
      <c r="U357" s="7" t="str">
        <f>IF(S357="No","No",_xlfn.XLOOKUP(_xlfn.XLOOKUP(B357,'Base stats'!B:B,'Base stats'!E:E),Groups!A:A,Groups!R:R))</f>
        <v>FrontLeftLeg, FrontRightLeg</v>
      </c>
      <c r="V357" s="7" t="str">
        <f>IF(S357="No","No",_xlfn.XLOOKUP(_xlfn.XLOOKUP(B357,'Base stats'!B:B,'Base stats'!E:E),Groups!A:A,Groups!S:S))</f>
        <v>left leg, right leg</v>
      </c>
      <c r="W357" s="7" t="str">
        <f>IF(S357="No","No",_xlfn.XLOOKUP(_xlfn.XLOOKUP(B357,'Base stats'!B:B,'Base stats'!E:E),Groups!A:A,Groups!T:T))</f>
        <v>Blunt</v>
      </c>
      <c r="X357" s="13" t="str">
        <f>IF(_xlfn.XLOOKUP(B357,'Base stats'!B:B,'Base stats'!W:W)="No","No",MROUND((LOG10(_xlfn.XLOOKUP(B357,'Base stats'!B:B,'Base stats'!AU:AU))*(AO357^0.5)+(_xlfn.XLOOKUP(B357,'Base stats'!B:B,'Base stats'!AU:AU)/1000)^(2/3)+_xlfn.XLOOKUP(B357,'Base stats'!B:B,'Base stats'!AZ:AZ))+0.5+IF(_xlfn.XLOOKUP(_xlfn.XLOOKUP(B357,'Base stats'!B:B,'Base stats'!E:E),Groups!A:A,Groups!U:U)&lt;&gt;3,_xlfn.XLOOKUP(B357,'Base stats'!B:B,'Base stats'!BA:BA),0),0.5))</f>
        <v>No</v>
      </c>
      <c r="Y357" s="7" t="str">
        <f>IF(X357="No","No",MAX(_xlfn.XLOOKUP(_xlfn.XLOOKUP(B357,'Base stats'!B:B,'Base stats'!E:E),Groups!A:A,Groups!V:V),MROUND(_xlfn.XLOOKUP(_xlfn.XLOOKUP(B357,'Base stats'!B:B,'Base stats'!E:E),Groups!A:A,Groups!V:V)*_xlfn.XLOOKUP(B357,'Base stats'!B:B,'Base stats'!C:C)^0.165,0.05)))</f>
        <v>No</v>
      </c>
      <c r="Z357" s="7" t="str">
        <f>IF(X357="No","No",_xlfn.XLOOKUP(_xlfn.XLOOKUP(B357,'Base stats'!B:B,'Base stats'!E:E),Groups!A:A,Groups!W:W))</f>
        <v>No</v>
      </c>
      <c r="AA357" s="7" t="str">
        <f>IF(X357="No","No",_xlfn.XLOOKUP(_xlfn.XLOOKUP(B357,'Base stats'!B:B,'Base stats'!E:E),Groups!A:A,Groups!X:X))</f>
        <v>No</v>
      </c>
      <c r="AB357" s="7" t="str">
        <f>IF(X357="No","No",_xlfn.XLOOKUP(_xlfn.XLOOKUP(B357,'Base stats'!B:B,'Base stats'!E:E),Groups!A:A,Groups!Y:Y))</f>
        <v>No</v>
      </c>
      <c r="AC357" s="7" t="str">
        <f>_xlfn.XLOOKUP(Animals!B357,'Base stats'!B:B,'Base stats'!X:X)</f>
        <v>False</v>
      </c>
      <c r="AD357" s="13" t="str">
        <f>IF(_xlfn.XLOOKUP(B357,'Base stats'!B:B,'Base stats'!AT:AT)="No","No",MROUND((LOG10(_xlfn.XLOOKUP(B357,'Base stats'!B:B,'Base stats'!AT:AT))*(AO357^0.75)+(_xlfn.XLOOKUP(B357,'Base stats'!B:B,'Base stats'!AT:AT)/1000)^(2/3)+_xlfn.XLOOKUP(B357,'Base stats'!B:B,'Base stats'!AX:AX)+_xlfn.XLOOKUP(B357,'Base stats'!B:B,'Base stats'!BA:BA))+0.5,0.5))</f>
        <v>No</v>
      </c>
      <c r="AE357" s="7" t="str">
        <f>IF(AD357="No","No",MAX(_xlfn.XLOOKUP(_xlfn.XLOOKUP(B357,'Base stats'!B:B,'Base stats'!E:E),Groups!A:A,Groups!Z:Z),MROUND(_xlfn.XLOOKUP(_xlfn.XLOOKUP(B357,'Base stats'!B:B,'Base stats'!E:E),Groups!A:A,Groups!Z:Z)*_xlfn.XLOOKUP(B357,'Base stats'!B:B,'Base stats'!C:C)^0.165,0.05)))</f>
        <v>No</v>
      </c>
      <c r="AF357" s="7" t="str">
        <f>IF(AD357="No","No",_xlfn.XLOOKUP(_xlfn.XLOOKUP(B357,'Base stats'!B:B,'Base stats'!E:E),Groups!A:A,Groups!AA:AA))</f>
        <v>No</v>
      </c>
      <c r="AG357" s="7" t="str">
        <f>IF(AD357="No","No",_xlfn.XLOOKUP(_xlfn.XLOOKUP(B357,'Base stats'!B:B,'Base stats'!E:E),Groups!A:A,Groups!AB:AB))</f>
        <v>No</v>
      </c>
      <c r="AH357" s="7" t="str">
        <f>IF(AD357="No","No",_xlfn.XLOOKUP(_xlfn.XLOOKUP(B357,'Base stats'!B:B,'Base stats'!E:E),Groups!A:A,Groups!AC:AC))</f>
        <v>No</v>
      </c>
      <c r="AI357" s="13" t="str">
        <f>IF(_xlfn.XLOOKUP(_xlfn.XLOOKUP(B357,'Base stats'!B:B,'Base stats'!E:E),Groups!A:A,Groups!AD:AD)=0,"No",MROUND((LOG10(_xlfn.XLOOKUP(B357,'Base stats'!B:B,'Base stats'!AS:AS))*(AO357^0.75)+(_xlfn.XLOOKUP(B357,'Base stats'!B:B,'Base stats'!AS:AS)/1000)^(2/3)+_xlfn.XLOOKUP(B357,'Base stats'!B:B,'Base stats'!AY:AY)+_xlfn.XLOOKUP(B357,'Base stats'!B:B,'Base stats'!BA:BA))+0.5,0.5))</f>
        <v>No</v>
      </c>
      <c r="AJ357" s="7" t="str">
        <f>IF(AI357="No","No",MAX(_xlfn.XLOOKUP(_xlfn.XLOOKUP(B357,'Base stats'!B:B,'Base stats'!E:E),Groups!A:A,Groups!AE:AE),MROUND(_xlfn.XLOOKUP(_xlfn.XLOOKUP(B357,'Base stats'!B:B,'Base stats'!E:E),Groups!A:A,Groups!AE:AE)*IF(_xlfn.XLOOKUP(_xlfn.XLOOKUP(B357,'Base stats'!B:B,'Base stats'!E:E),Groups!A:A,Groups!AJ:AJ)="Photonozoa",0.6,1)*_xlfn.XLOOKUP(B357,'Base stats'!B:B,'Base stats'!C:C)^0.165,0.05)))</f>
        <v>No</v>
      </c>
      <c r="AK357" s="7" t="str">
        <f>IF(AI357="No","No",_xlfn.XLOOKUP(_xlfn.XLOOKUP(B357,'Base stats'!B:B,'Base stats'!E:E),Groups!A:A,Groups!AF:AF))</f>
        <v>No</v>
      </c>
      <c r="AL357" s="7" t="str">
        <f>IF(AI357="No","No",_xlfn.XLOOKUP(_xlfn.XLOOKUP(B357,'Base stats'!B:B,'Base stats'!E:E),Groups!A:A,Groups!AG:AG))</f>
        <v>No</v>
      </c>
      <c r="AM357" s="7" t="str">
        <f>IF(AI357="No","No",_xlfn.XLOOKUP(_xlfn.XLOOKUP(B357,'Base stats'!B:B,'Base stats'!E:E),Groups!A:A,Groups!AH:AH))</f>
        <v>No</v>
      </c>
      <c r="AN357" s="2" t="str">
        <f t="shared" si="35"/>
        <v>No</v>
      </c>
      <c r="AO357" s="2">
        <f>MROUND(IF(AND(_xlfn.XLOOKUP(B357,'Base stats'!B:B,'Base stats'!C:C)&gt;=0.5,_xlfn.XLOOKUP(B357,'Base stats'!B:B,'Base stats'!C:C)&lt;=0.8),
IF(_xlfn.XLOOKUP(B357,'Base stats'!B:B,'Base stats'!C:C)&lt;0.1,0.05,IF(_xlfn.XLOOKUP(B357,'Base stats'!B:B,'Base stats'!C:C)&lt;=70,(_xlfn.XLOOKUP(B357,'Base stats'!B:B,'Base stats'!C:C)/70)^0.426489913056526,IF(_xlfn.XLOOKUP(B357,'Base stats'!B:B,'Base stats'!C:C)&lt;=400,(_xlfn.XLOOKUP(B357,'Base stats'!B:B,'Base stats'!C:C)/70)^0.572811455315093,IF(_xlfn.XLOOKUP(B357,'Base stats'!B:B,'Base stats'!C:C)&lt;=2000,2.71391647193063*(_xlfn.XLOOKUP(B357,'Base stats'!B:B,'Base stats'!C:C)/400)^0.252459582904293,3.74314280240376*(_xlfn.XLOOKUP(B357,'Base stats'!B:B,'Base stats'!C:C)/2000)^0.357012633876913)))),
IF(_xlfn.XLOOKUP(B357,'Base stats'!B:B,'Base stats'!C:C)&lt;0.1,0.05,IF(_xlfn.XLOOKUP(B357,'Base stats'!B:B,'Base stats'!C:C)&lt;0.4,0.1,IF(_xlfn.XLOOKUP(B357,'Base stats'!B:B,'Base stats'!C:C)&lt;=70,(_xlfn.XLOOKUP(B357,'Base stats'!B:B,'Base stats'!C:C)/70)^0.445823913056526,IF(_xlfn.XLOOKUP(B357,'Base stats'!B:B,'Base stats'!C:C)&lt;=400,(_xlfn.XLOOKUP(B357,'Base stats'!B:B,'Base stats'!C:C)/70)^0.572811455315093,IF(_xlfn.XLOOKUP(B357,'Base stats'!B:B,'Base stats'!C:C)&lt;=2000,2.71391647193063*(_xlfn.XLOOKUP(B357,'Base stats'!B:B,'Base stats'!C:C)/400)^0.252459582904293,3.74314280240376*(_xlfn.XLOOKUP(B357,'Base stats'!B:B,'Base stats'!C:C)/2000)^0.357012633876913)))))),
IF(_xlfn.XLOOKUP(B357,'Base stats'!B:B,'Base stats'!C:C)&lt;0.1,0.05,IF(_xlfn.XLOOKUP(B357,'Base stats'!B:B,'Base stats'!C:C)&lt;=100,0.05,IF(_xlfn.XLOOKUP(B357,'Base stats'!B:B,'Base stats'!C:C)&lt;=250,0.1,IF(_xlfn.XLOOKUP(B357,'Base stats'!B:B,'Base stats'!C:C)&lt;=4000,0.25,0.5)))))</f>
        <v>3.25</v>
      </c>
      <c r="AP357" s="8">
        <f>MROUND(AO357*_xlfn.XLOOKUP(_xlfn.XLOOKUP(B357,'Base stats'!B:B,'Base stats'!E:E),Groups!A:A,Groups!AI:AI)*_xlfn.XLOOKUP(B357,'Base stats'!B:B,'Base stats'!Z:Z),0.05)</f>
        <v>3.25</v>
      </c>
      <c r="AQ357" s="8">
        <f>MAX(0.01,MROUND(IF(CC357="True",0.196*(AO357*100*1000)^0.889,IF(_xlfn.XLOOKUP(_xlfn.XLOOKUP(B357,'Base stats'!B:B,'Base stats'!E:E),Groups!A:A,Groups!AJ:AJ)="Bird",10.5*(AO357*100*1000)^0.681,4.82*(AO357*100*1000)^0.734))/(4.82*(1*100*1000)^0.734)/IF(AO357&lt;3.5,2,IF(AO357=3.5,1.5,1.25))*(1+0.132282374779864/(AO357^0.994035016789033+0.00905238001496948)),0.05))</f>
        <v>1.35</v>
      </c>
      <c r="AR357" s="9">
        <f>IFERROR(MROUND(_xlfn.XLOOKUP(B357,'Base stats'!B:B,'Base stats'!H:H)/IF(_xlfn.XLOOKUP(B357,'Base stats'!B:B,'Base stats'!I:I)&lt;&gt;1,(122.5/70),1.2),IF(_xlfn.XLOOKUP(B357,'Base stats'!B:B,'Base stats'!H:H)&gt;=30,5,IF(_xlfn.XLOOKUP(B357,'Base stats'!B:B,'Base stats'!H:H)&gt;=15,3,IF(_xlfn.XLOOKUP(B357,'Base stats'!B:B,'Base stats'!H:H)&gt;=10,2,1)))),"Immortal")</f>
        <v>18</v>
      </c>
      <c r="AS357" s="35" t="str">
        <f>IFERROR(IF(OR(_xlfn.XLOOKUP(B357,'Base stats'!B:B,'Base stats'!F:F)="Atypical reproduction",_xlfn.XLOOKUP(B357,'Base stats'!B:B,'Base stats'!F:F)="Lay eggs"),"Lay eggs",MIN(20,MAX(5.5,ROUND(((_xlfn.XLOOKUP(B357,'Base stats'!B:B,'Base stats'!F:F)-25)*(14.5/615) + 5.5)*2,0)/2))),"Unknown")</f>
        <v>Lay eggs</v>
      </c>
      <c r="AT357" s="8">
        <f>IF(_xlfn.XLOOKUP(B357,'Base stats'!B:B,'Base stats'!G:G)="Atypical reproduction","No",IFERROR(MAX(IF(_xlfn.XLOOKUP(B357,'Base stats'!B:B,'Base stats'!G:G)&lt;0.5,0.2,0.3),MROUND(_xlfn.XLOOKUP(B357,'Base stats'!B:B,'Base stats'!G:G)/(365/60),0.2)),"Unknown"))</f>
        <v>1.6</v>
      </c>
      <c r="AU357" s="8">
        <f t="shared" si="36"/>
        <v>0.8</v>
      </c>
      <c r="AV357" s="8" t="str">
        <f>IFERROR(IFERROR(MROUND(_xlfn.XLOOKUP(B357,'Base stats'!B:B,'Base stats'!J:J),0.1),"Lay eggs"),"Cannot breed")</f>
        <v>Lay eggs</v>
      </c>
      <c r="AW357" s="2" t="str">
        <f t="shared" si="37"/>
        <v>true</v>
      </c>
      <c r="AX357" s="2" t="str">
        <f>IF(_xlfn.XLOOKUP(_xlfn.XLOOKUP(Animals!B357,'Base stats'!B:B,'Base stats'!E:E),Groups!A:A,Groups!AK:AK)=1,"true","false")</f>
        <v>true</v>
      </c>
      <c r="AY357" s="25" t="str">
        <f>IF(_xlfn.XLOOKUP(B357,'Base stats'!B:B,'Base stats'!Y:Y)="Liquor","Liquor, CarnivoreAnimalStrict",IF(AND(_xlfn.XLOOKUP(B357,'Base stats'!B:B,'Base stats'!Y:Y)="Carnivore",_xlfn.XLOOKUP(_xlfn.XLOOKUP(B357,'Base stats'!B:B,'Base stats'!E:E),Groups!A:A,Groups!AJ:AJ)="Photonozoa"),"CarnivoreAnimalStrict, OvivoreAnimal",IF(_xlfn.XLOOKUP(B357,'Base stats'!B:B,'Base stats'!Y:Y)="Carnivore","CarnivoreAnimal, OvivoreAnimal",IF(_xlfn.XLOOKUP(B357,'Base stats'!B:B,'Base stats'!Y:Y)="Dendrovore","VegetarianRoughAnimal, DendrovoreAnimal",IF(_xlfn.XLOOKUP(B357,'Base stats'!B:B,'Base stats'!Y:Y)="Herbivore","VegetarianRoughAnimal",IF(_xlfn.XLOOKUP(B357,'Base stats'!B:B,'Base stats'!Y:Y)="OmnivoreRough","OmnivoreRoughAnimal, OvivoreAnimal","OmnivoreAnimal, OvivoreAnimal"))))))</f>
        <v>VegetarianRoughAnimal</v>
      </c>
      <c r="AZ357" s="2">
        <f>IF(_xlfn.XLOOKUP(_xlfn.XLOOKUP(B357,'Base stats'!B:B,'Base stats'!E:E),Groups!A:A,Groups!D:D)=1,MROUND((1-J357)*5+1,2)*IF(J357&lt;=0.4,2,1),"No")</f>
        <v>2</v>
      </c>
      <c r="BA357" s="2" t="str">
        <f>IF(AND(_xlfn.XLOOKUP(B357,'Base stats'!B:B,'Base stats'!AH:AH)="&lt;li&gt;Seal&lt;/li&gt;",G357="Odyssey"),"&lt;li&gt;AEXP_Seal&lt;/li&gt;",_xlfn.XLOOKUP(B357,'Base stats'!B:B,'Base stats'!AH:AH))</f>
        <v>No</v>
      </c>
      <c r="BB357" s="2" t="str">
        <f>_xlfn.XLOOKUP(B357,'Base stats'!B:B,'Base stats'!AG:AG)</f>
        <v>Leather_Sauropod</v>
      </c>
      <c r="BC357" s="23" t="str">
        <f>_xlfn.XLOOKUP(_xlfn.XLOOKUP(B357,'Base stats'!B:B,'Base stats'!E:E),Groups!A:A,Groups!AL:AL)</f>
        <v>Sauropod</v>
      </c>
      <c r="BD357" s="23">
        <f>MIN(1,MROUND(IF(AND(AO357&lt;0.5,_xlfn.XLOOKUP(B357,'Base stats'!B:B,'Base stats'!AA:AA)=0),0,IF(OR(_xlfn.XLOOKUP(Animals!B357,'Base stats'!B:B,'Base stats'!O:O)=2,_xlfn.XLOOKUP(_xlfn.XLOOKUP(B357,'Base stats'!B:B,'Base stats'!E:E),Groups!A:A,Groups!AN:AN)=0),0,_xlfn.XLOOKUP(_xlfn.XLOOKUP(B357,'Base stats'!B:B,'Base stats'!E:E),Groups!A:A,Groups!AN:AN)/IF(_xlfn.XLOOKUP(Animals!B357,'Base stats'!B:B,'Base stats'!O:O)=1,2,1)))+_xlfn.XLOOKUP(B357,'Base stats'!B:B,'Base stats'!AC:AC),0.005))</f>
        <v>2.5000000000000001E-2</v>
      </c>
      <c r="BE357" s="23">
        <f>MIN(1,MROUND(IF(AND(AO357&lt;0.5,_xlfn.XLOOKUP(B357,'Base stats'!B:B,'Base stats'!AA:AA)=0),0,IF(_xlfn.XLOOKUP(_xlfn.XLOOKUP(B357,'Base stats'!B:B,'Base stats'!E:E),Groups!A:A,Groups!AO:AO)=0,0,_xlfn.XLOOKUP(_xlfn.XLOOKUP(B357,'Base stats'!B:B,'Base stats'!E:E),Groups!A:A,Groups!AO:AO)/IF(_xlfn.XLOOKUP(Animals!B357,'Base stats'!B:B,'Base stats'!O:O)=2,3,1)))+_xlfn.XLOOKUP(B357,'Base stats'!B:B,'Base stats'!AD:AD),0.005))</f>
        <v>0.1</v>
      </c>
      <c r="BF357" s="2" t="str">
        <f>IF(J357&gt;0.3,"No",_xlfn.XLOOKUP(_xlfn.XLOOKUP(Animals!B357,'Base stats'!B:B,'Base stats'!E:E),Groups!A:A,Groups!AP:AP))</f>
        <v>No</v>
      </c>
      <c r="BG357" s="2" t="str">
        <f>IF(AND(J357&lt;=0.65,_xlfn.XLOOKUP(_xlfn.XLOOKUP(Animals!B357,'Base stats'!B:B,'Base stats'!E:E),Groups!A:A,Groups!AP:AP)&lt;&gt;"No",_xlfn.XLOOKUP(_xlfn.XLOOKUP(B357,'Base stats'!B:B,'Base stats'!E:E),Groups!A:A,Groups!D:D)=0),MROUND((80/3)*IF(_xlfn.XLOOKUP(B357,'Base stats'!B:B,'Base stats'!O:O)=2,0.2,AO357) + 24*(1-IF(BF357="No",0,BF357)) + 16/3, 12),"No")</f>
        <v>No</v>
      </c>
      <c r="BH357" s="2">
        <f>IF(AND(_xlfn.XLOOKUP(_xlfn.XLOOKUP(B357,'Base stats'!B:B,'Base stats'!E:E),Groups!A:A,Groups!AQ:AQ)=1,AO357&lt;=0.35),8,12)</f>
        <v>12</v>
      </c>
      <c r="BI357" s="2" t="str">
        <f>IF(_xlfn.XLOOKUP(_xlfn.XLOOKUP(B357,'Base stats'!B:B,'Base stats'!E:E),Groups!A:A,Groups!D:D)=0,_xlfn.XLOOKUP(_xlfn.XLOOKUP(B357,'Base stats'!B:B,'Base stats'!E:E),Groups!A:A,Groups!AR:AR),"None")</f>
        <v>None</v>
      </c>
      <c r="BJ357" s="2" t="str">
        <f>IF(AND(_xlfn.XLOOKUP(_xlfn.XLOOKUP(B357,'Base stats'!B:B,'Base stats'!E:E),Groups!A:A,Groups!AS:AS)=1,OR(_xlfn.XLOOKUP(B357,'Base stats'!B:B,'Base stats'!Y:Y)="Carnivore",_xlfn.XLOOKUP(B357,'Base stats'!B:B,'Base stats'!Y:Y)="Omnivore")),"true","false")</f>
        <v>false</v>
      </c>
      <c r="BK357" s="2" t="str">
        <f>IF(BJ357="true",MROUND(IF(AND(AO357&gt;0.5,OR(_xlfn.XLOOKUP(_xlfn.XLOOKUP(B357,'Base stats'!B:B,'Base stats'!E:E),Groups!A:A,Groups!AJ:AJ)="Photonozoa",_xlfn.XLOOKUP(_xlfn.XLOOKUP(B357,'Base stats'!B:B,'Base stats'!E:E),Groups!A:A,Groups!AJ:AJ)="Mammal")),Animals!AO357*1.75*IF(AW357="true",1.5,1),IF(AO357&lt;0.5,Animals!AO357*0.5,Animals!AO357)),IF(AO357&gt;2,0.5,IF(AO357&gt;0.5,0.25,0.1))),"No")</f>
        <v>No</v>
      </c>
      <c r="BL357" s="2">
        <f t="shared" si="38"/>
        <v>0</v>
      </c>
      <c r="BM357" s="25" t="str">
        <f>IF(_xlfn.XLOOKUP(B357,'Base stats'!B:B,'Base stats'!AN:AN)="Standard","No",MROUND((_xlfn.XLOOKUP(B357,'Base stats'!B:B,'Base stats'!AN:AN)/3.6)/I357,0.1))</f>
        <v>No</v>
      </c>
      <c r="BN357" s="25" t="str">
        <f t="shared" si="39"/>
        <v>false</v>
      </c>
      <c r="BO357" s="25" t="str">
        <f>IF(AND(OR(_xlfn.XLOOKUP(B357,'Base stats'!B:B,'Base stats'!Y:Y)="Carnivore",_xlfn.XLOOKUP(B357,'Base stats'!B:B,'Base stats'!Y:Y)="Omnivore",_xlfn.XLOOKUP(B357,'Base stats'!B:B,'Base stats'!Y:Y)="OmnivoreRough"),_xlfn.XLOOKUP(_xlfn.XLOOKUP(B357,'Base stats'!B:B,'Base stats'!E:E),Groups!A:A,Groups!AT:AT)=1),"true","false")</f>
        <v>false</v>
      </c>
      <c r="BP357" s="25" t="str" cm="1">
        <f t="array" ref="BP357">IF(
  _xlfn.TEXTJOIN(", ",TRUE,
    IF(AND(BJ357="true",AO357&gt;0.5,BI357&lt;&gt;"None"),"AttackTarget",""),
    IF(AND(_xlfn.XLOOKUP(_xlfn.XLOOKUP(B357,'Base stats'!B:B,'Base stats'!E:E),Groups!A:A,Groups!AJ:AJ="Mammal"),OR(_xlfn.XLOOKUP(B357,'Base stats'!B:B,'Base stats'!Y:Y)="Omnivore",_xlfn.XLOOKUP(B357,'Base stats'!B:B,'Base stats'!Y:Y)="OmnivoreRough")),"Forage",""),
    IF(BG357&lt;=36,"Comfort",""),
    IF(_xlfn.XLOOKUP(B357,'Base stats'!B:B,'Base stats'!AE:AE)&lt;&gt;"No",_xlfn.XLOOKUP(B357,'Base stats'!B:B,'Base stats'!AE:AE),"")
  ) = "",
  "No",
  _xlfn.TEXTJOIN(", ",TRUE,
    IF(AND(BJ357="true",AO357&gt;0.5,BI357&lt;&gt;"None"),"AttackTarget",""),
    IF(AND(_xlfn.XLOOKUP(_xlfn.XLOOKUP(B357,'Base stats'!B:B,'Base stats'!E:E),Groups!A:A,Groups!AJ:AJ="Mammal"),OR(_xlfn.XLOOKUP(B357,'Base stats'!B:B,'Base stats'!Y:Y)="Omnivore",_xlfn.XLOOKUP(B357,'Base stats'!B:B,'Base stats'!Y:Y)="OmnivoreRough")),"Forage",""),
    IF(BG357&lt;=36,"Comfort",""),
    IF(_xlfn.XLOOKUP(B357,'Base stats'!B:B,'Base stats'!AE:AE)&lt;&gt;"No",_xlfn.XLOOKUP(B357,'Base stats'!B:B,'Base stats'!AE:AE),"")
  )
)</f>
        <v>No</v>
      </c>
      <c r="BQ357" s="25" t="str">
        <f>IF(
   AND(
      'Base stats'!AN357="Standard",_xlfn.XLOOKUP(_xlfn.XLOOKUP(B357,'Base stats'!B:B,'Base stats'!E:E),Groups!A:A,Groups!AU:AU)=0,
      OR(
      BO357="True"
      )
   ),
   10,
   IF(
       OR(BM357&lt;&gt;"No",_xlfn.XLOOKUP(_xlfn.XLOOKUP(B357,'Base stats'!B:B,'Base stats'!E:E),Groups!A:A,Groups!AU:AU)=1),
      1,
      "No"
   )
)</f>
        <v>No</v>
      </c>
      <c r="BR357" s="9">
        <f>MROUND((1 + ((0.2*IF(OR(Q357="No",R357="No",R357=0),0,Q357/R357)
+IF(OR(V357="No",S357="No",T357="No"),0,S357/T357*(LEN(V357)-LEN(SUBSTITUTE(V357,",",""))+1))
+IF(OR(X357="No",Y357="No"),0,X357/Y357)
+IF(OR(AD357="No",AE357="No"),0,AD357/AE357)
+IF(OR(AL357="No",AI357="No",AJ357="No"),0,AI357/AJ357*(LEN(AL357)-LEN(SUBSTITUTE(AL357,",",""))+1))
)/(0.2*IF(OR(Q357="No",R357="No",R357=0),0,1)
+IF(OR(V357="No",S357="No",T357="No"),0,LEN(V357)-LEN(SUBSTITUTE(V357,",",""))+1)
+IF(OR(X357="No",Y357="No"),0,1)
+IF(OR(AD357="No",AE357="No"),0,1)
+IF(OR(AL357="No",AI357="No",AJ357="No"),0,LEN(AL357)-LEN(SUBSTITUTE(AL357,",",""))+1))*62%)* 2)*(1 + (AP357 / (IF(_xlfn.XLOOKUP(_xlfn.XLOOKUP(B357,'Base stats'!B:B,'Base stats'!E:E),Groups!A:A,Groups!AJ:AJ)="Photonozoa",0.3,1)) + _xlfn.XLOOKUP(B357,'Base stats'!B:B,'Base stats'!AV:AV) * 1.8) * 2) * 2.5 + 10 + I357 * 2,5)+IF(_xlfn.XLOOKUP(B357,'Base stats'!B:B,'Base stats'!AK:AK)=1,50,0)</f>
        <v>185</v>
      </c>
      <c r="BS357" s="8">
        <f t="shared" si="40"/>
        <v>1.75</v>
      </c>
      <c r="BT357" s="8" t="str">
        <f>_xlfn.XLOOKUP(B357,'Base stats'!B:B,'Base stats'!AF:AF)</f>
        <v>3~8</v>
      </c>
      <c r="BU357" s="2" t="str">
        <f>IF(AND(J357&lt;=0.95,OR(_xlfn.XLOOKUP(B357,'Base stats'!B:B,'Base stats'!AK:AK)=1,_xlfn.XLOOKUP(B357,'Base stats'!B:B,'Base stats'!Y:Y)="Carnivore",_xlfn.XLOOKUP(B357,'Base stats'!B:B,'Base stats'!Y:Y)="Omnivore",BE357&gt;0.1)),"true","false")</f>
        <v>false</v>
      </c>
      <c r="BV357" s="2" t="str">
        <f>IF(_xlfn.XLOOKUP(B357,'Base stats'!B:B,'Base stats'!AI:AI)=1,"true","false")</f>
        <v>true</v>
      </c>
      <c r="BW357" s="25" t="str">
        <f>IF(E357="BaseInsect","AnimalInsect",
IF(J357&gt;0.95,"AnimalExotic",
_xlfn.TEXTJOIN(", ",TRUE,
IF(OR(_xlfn.XLOOKUP(B357,'Base stats'!B:B,'Base stats'!AM:AM)=1,AND(_xlfn.XLOOKUP(B357,'Base stats'!B:B,'Base stats'!O:O)=0,_xlfn.XLOOKUP(_xlfn.XLOOKUP(B357,'Base stats'!B:B,'Base stats'!E:E),Groups!A:A,Groups!B:B)&gt;0)),"AnimalUncommon","AnimalCommon"),
IF(AND(_xlfn.XLOOKUP(B357,'Base stats'!B:B,'Base stats'!O:O)=2,_xlfn.XLOOKUP(_xlfn.XLOOKUP(B357,'Base stats'!B:B,'Base stats'!E:E),Groups!A:A,Groups!D:D)=0),"AnimalPet",IF(AND(_xlfn.XLOOKUP(B357,'Base stats'!B:B,'Base stats'!O:O)&lt;&gt;0,_xlfn.XLOOKUP(_xlfn.XLOOKUP(B357,'Base stats'!B:B,'Base stats'!E:E),Groups!A:A,Groups!D:D)&lt;&gt;0),"AnimalFarm","")),
IF(OR(_xlfn.XLOOKUP(B357,'Base stats'!B:B,'Base stats'!AK:AK)=1,AND(BI357&lt;&gt;"None",BR357&gt;=60),ISNUMBER(SEARCH("Attack target",BP357))),"AnimalFighter","")
)))</f>
        <v>AnimalUncommon</v>
      </c>
      <c r="BX357" s="25" t="str">
        <f>IF(G357="None",TRIM(
SUBSTITUTE(
IF(COUNTIF(Biomes!B$2:B$259,"="&amp;$C357)&gt;0,Biomes!B$1&amp;", ","")&amp;
IF(COUNTIF(Biomes!C$2:C$259,"="&amp;$C357)&gt;0,Biomes!C$1&amp;", ","")&amp;
IF(COUNTIF(Biomes!D$2:D$259,"="&amp;$C357)&gt;0,Biomes!D$1&amp;", ","")&amp;
IF(COUNTIF(Biomes!F$2:F$259,"="&amp;$C357)&gt;0,Biomes!F$1&amp;", ","")&amp;
IF(COUNTIF(Biomes!G$2:G$259,"="&amp;$C357)&gt;0,Biomes!G$1&amp;", ","")&amp;
IF(COUNTIF(Biomes!H$2:H$259,"="&amp;$C357)&gt;0,Biomes!H$1&amp;", ","")&amp;
IF(COUNTIF(Biomes!I$2:I$259,"="&amp;$C357)&gt;0,Biomes!I$1&amp;", ","")&amp;
IF(COUNTIF(Biomes!J$2:J$259,"="&amp;$C357)&gt;0,Biomes!J$1&amp;", ","")&amp;
IF(COUNTIF(Biomes!M$2:M$259,"="&amp;$C357)&gt;0,Biomes!M$1&amp;", ","")&amp;
IF(COUNTIF(Biomes!N$2:N$259,"="&amp;$C357)&gt;0,Biomes!N$1&amp;", ","")&amp;
IF(COUNTIF(Biomes!O$2:O$259,"="&amp;$C357)&gt;0,Biomes!O$1&amp;", ","")&amp;
IF(COUNTIF(Biomes!P$2:P$259,"="&amp;$C357)&gt;0,Biomes!P$1&amp;", ","")&amp;
IF(COUNTIF(Biomes!K$2:K$259,"="&amp;$C357)&gt;0,Biomes!K$1&amp;", ","")&amp;
IF(COUNTIF(Biomes!Q$3:Q$259,"="&amp;$C357)&gt;0,Biomes!Q$1&amp;", ","")&amp;
IF(COUNTIF(Biomes!L$2:L$259,"="&amp;$C357)&gt;0,Biomes!L$1&amp;", ","")&amp;
IF(COUNTIF(Biomes!E$2:E$259,"="&amp;$C357)&gt;0,Biomes!E$1&amp;", ","")&amp;IF(COUNTIF(Biomes!S$2:S$259,"="&amp;$C357)&gt;0,Biomes!S$1&amp;", ","")&amp;
IF(COUNTIF(Biomes!R$2:R$259,"="&amp;$C357)&gt;0,Biomes!R$1&amp;", ",""),", ","")
),_xlfn.XLOOKUP(B357,B:B,BX:BX))</f>
        <v>TropicalRainforest TropicalSwamp Glowforest</v>
      </c>
      <c r="BY357" s="25" t="str">
        <f>IF(_xlfn.XLOOKUP(B357,'Base stats'!B:B,'Base stats'!AJ:AJ)=1,"true","false")</f>
        <v>false</v>
      </c>
      <c r="BZ357" s="25">
        <f>IF(_xlfn.XLOOKUP(B357,'Base stats'!B:B,'Base stats'!N:N)=1,"No",MAX(0.001,MIN(MROUND(IF(AND(BJ357="True",CC357="False"),POWER(10,3.47*LOG10(_xlfn.XLOOKUP(B357,'Base stats'!B:B,'Base stats'!C:C)*1000)^-0.96),POWER(10,4.15*LOG10(_xlfn.XLOOKUP(B357,'Base stats'!B:B,'Base stats'!C:C)*1000)^-0.73))*IF(_xlfn.XLOOKUP(B357,'Base stats'!B:B,'Base stats'!AK:AK)=1,0.5,1)*IF(_xlfn.XLOOKUP(B357,'Base stats'!B:B,'Base stats'!AM:AM)=1,0.1,1)/100,IF(_xlfn.XLOOKUP(B357,'Base stats'!B:B,'Base stats'!AM:AM)=1,0.001,0.025)),0.5)))</f>
        <v>0.125</v>
      </c>
      <c r="CA357" s="25" t="str">
        <f>IF(P357="Standard","No",MAX(0.001,MIN(MROUND(IF(AND(BJ357="True",CC357="False"),POWER(10,3.47*LOG10(_xlfn.XLOOKUP(B357,'Base stats'!B:B,'Base stats'!C:C)*1000)^-0.96),POWER(10,4.15*LOG10(_xlfn.XLOOKUP(B357,'Base stats'!B:B,'Base stats'!C:C)*1000)^-0.73))*IF(_xlfn.XLOOKUP(B357,'Base stats'!B:B,'Base stats'!AM:AM)=1,0.1,1)*_xlfn.XLOOKUP(B357,'Base stats'!B:B,'Base stats'!R:R)/100,IF(_xlfn.XLOOKUP(B357,'Base stats'!B:B,'Base stats'!AM:AM)=1,0.001,0.025)),0.5)))</f>
        <v>No</v>
      </c>
      <c r="CB357" s="25" t="str">
        <f>IF(_xlfn.XLOOKUP(_xlfn.XLOOKUP(B357,'Base stats'!B:B,'Base stats'!E:E),Groups!A:A,Groups!AJ:AJ)="Mammal","True","False")</f>
        <v>False</v>
      </c>
      <c r="CC357" s="25" t="str">
        <f>IF(OR(_xlfn.XLOOKUP(_xlfn.XLOOKUP(B357,'Base stats'!B:B,'Base stats'!E:E),Groups!A:A,Groups!AJ:AJ)="Reptile",_xlfn.XLOOKUP(_xlfn.XLOOKUP(B357,'Base stats'!B:B,'Base stats'!E:E),Groups!A:A,Groups!AJ:AJ)="Amphibian",_xlfn.XLOOKUP(_xlfn.XLOOKUP(B357,'Base stats'!B:B,'Base stats'!E:E),Groups!A:A,Groups!AJ:AJ)="Invertebrate"),"True","False")</f>
        <v>False</v>
      </c>
      <c r="CD357" s="25" t="str">
        <f t="shared" si="41"/>
        <v>False</v>
      </c>
      <c r="CE357" s="25" t="str">
        <f>IF(_xlfn.XLOOKUP(_xlfn.XLOOKUP(B357,'Base stats'!B:B,'Base stats'!E:E),Groups!A:A,Groups!AX:AX),"True","False")</f>
        <v>False</v>
      </c>
      <c r="CF357" s="25" t="str">
        <f>IF(_xlfn.XLOOKUP(_xlfn.XLOOKUP(B357,'Base stats'!B:B,'Base stats'!E:E),Groups!A:A,Groups!AY:AY),"True","False")</f>
        <v>False</v>
      </c>
      <c r="CG357" s="25" t="str">
        <f>IF(_xlfn.XLOOKUP(_xlfn.XLOOKUP(B357,'Base stats'!B:B,'Base stats'!E:E),Groups!A:A,Groups!AW:AW),"True","False")</f>
        <v>False</v>
      </c>
      <c r="CH357" s="25" t="str">
        <f>IF(
OR(
_xlfn.XLOOKUP(_xlfn.XLOOKUP(B357,'Base stats'!B:B,'Base stats'!E:E),Groups!A:A,Groups!AZ:AZ)=0,
AND(
_xlfn.XLOOKUP(B357,'Base stats'!B:B,'Base stats'!Y:Y)&lt;&gt;"Carnivore",
_xlfn.XLOOKUP(B357,'Base stats'!B:B,'Base stats'!Y:Y)&lt;&gt;"Omnivore",
_xlfn.XLOOKUP(B357,'Base stats'!B:B,'Base stats'!Y:Y)&lt;&gt;"OmnivoreRough"
)
),
"No",
IF(
_xlfn.XLOOKUP(_xlfn.XLOOKUP(B357,'Base stats'!B:B,'Base stats'!E:E),Groups!A:A,Groups!AZ:AZ)=1,
"Flesh",
IF(
_xlfn.XLOOKUP(_xlfn.XLOOKUP(B357,'Base stats'!B:B,'Base stats'!E:E),Groups!A:A,Groups!AZ:AZ)=2,
"Bone",
""
)
)
)</f>
        <v>No</v>
      </c>
      <c r="CI357" s="25" t="str">
        <f>IF(_xlfn.XLOOKUP(_xlfn.XLOOKUP(B357,'Base stats'!B:B,'Base stats'!E:E),Groups!A:A,Groups!BB:BB),"True","False")</f>
        <v>False</v>
      </c>
      <c r="CJ357" s="25" t="str">
        <f>IF(_xlfn.XLOOKUP(_xlfn.XLOOKUP(B357,'Base stats'!B:B,'Base stats'!E:E),Groups!A:A,Groups!BA:BA),"True","False")</f>
        <v>False</v>
      </c>
    </row>
    <row r="358" spans="1:88" ht="16.5" thickTop="1" thickBot="1" x14ac:dyDescent="0.3">
      <c r="A358" s="26" t="s">
        <v>1946</v>
      </c>
      <c r="B358" s="6" t="str">
        <f>_xlfn.XLOOKUP(A358,'Base stats'!A:A,'Base stats'!B:B)</f>
        <v>Utahraptor ostrommaysi</v>
      </c>
      <c r="C358" s="28" t="s">
        <v>2032</v>
      </c>
      <c r="D358" s="28" t="s">
        <v>1898</v>
      </c>
      <c r="E358" s="28" t="s">
        <v>673</v>
      </c>
      <c r="F358" s="28" t="s">
        <v>673</v>
      </c>
      <c r="G358" s="28" t="s">
        <v>673</v>
      </c>
      <c r="H358" s="2">
        <f>MROUND((
  (IF(AND(_xlfn.XLOOKUP(B358,'Base stats'!B:B,'Base stats'!AL:AL)=0,BI358="None",_xlfn.XLOOKUP(_xlfn.XLOOKUP(B358,'Base stats'!B:B,'Base stats'!E:E),Groups!A:A,Groups!B:B)=0), (18 + BR358 * 2.7) * 0.5,
    IF(AND(_xlfn.XLOOKUP(B358,'Base stats'!B:B,'Base stats'!AL:AL)=0,OR(AO358&lt;0.55,AND(BI358="Intermediate",_xlfn.XLOOKUP(_xlfn.XLOOKUP(B358,'Base stats'!B:B,'Base stats'!E:E),Groups!A:A,Groups!B:B)&lt;2))), (18 + BR358 * 2.7),
      IF(OR(BI358="Advanced",_xlfn.XLOOKUP(B358,'Base stats'!B:B,'Base stats'!AL:AL)=1,_xlfn.XLOOKUP(_xlfn.XLOOKUP(B358,'Base stats'!B:B,'Base stats'!E:E),Groups!A:A,Groups!B:B)=2), (18 + BR358 * 2.7) + 250, (18 + BR358 * 2.7))
    )
  ))
  + AO358 * 80
  + IF(COUNTIF(EggMilk!K$2:K$998, A358) &gt; 0, 125, 0)
  + IF(COUNTIF(EggMilk!P$2:P$998, A358) &gt; 0, 90, 0)
  + IF(COUNTIF(EggMilk!A$2:A$998, A358) &gt; 0, 90, 0)
)
* (0.8 + 0.4 * J358)
* 0.75,25)</f>
        <v>850</v>
      </c>
      <c r="I358" s="2">
        <f>MROUND(ROUNDDOWN(_xlfn.XLOOKUP(B358,'Base stats'!B:B,'Base stats'!L:L)/3.6/(23.3/11),1),0.5)</f>
        <v>5</v>
      </c>
      <c r="J358" s="2">
        <f>IF(OR(_xlfn.XLOOKUP(B358,'Base stats'!B:B,'Base stats'!AB:AB)=1,_xlfn.XLOOKUP(_xlfn.XLOOKUP(B358,'Base stats'!B:B,'Base stats'!E:E),Groups!A:A,Groups!C:C)="Untamable"),1,IF(_xlfn.XLOOKUP(B358,'Base stats'!B:B,'Base stats'!AL:AL)=1,0.99,MIN(MROUND((1-0.6282*EXP(-0.459*AO358))*_xlfn.XLOOKUP(_xlfn.XLOOKUP(B358,'Base stats'!B:B,'Base stats'!E:E),Groups!A:A,Groups!C:C)*IF(_xlfn.XLOOKUP(B358,'Base stats'!B:B,'Base stats'!O:O)=1,0.5,IF(_xlfn.XLOOKUP(B358,'Base stats'!B:B,'Base stats'!O:O)=2,0,1)),0.05),IF(AO358&gt;3.5,0.985,0.95))))</f>
        <v>0.8</v>
      </c>
      <c r="K358" s="2">
        <f>ROUNDUP(AO358*_xlfn.XLOOKUP(_xlfn.XLOOKUP(B358,'Base stats'!B:B,'Base stats'!E:E),Groups!A:A,Groups!E:E),0)</f>
        <v>3</v>
      </c>
      <c r="L358" s="2">
        <f>IF(OR(_xlfn.XLOOKUP(_xlfn.XLOOKUP(B358,'Base stats'!B:B,'Base stats'!E:E),Groups!A:A,Groups!F:F)=2,ISNUMBER(SEARCH("SeaIce",BX358)),ISNUMBER(SEARCH("IceSheet",BX358))),-50,IF(OR(ISNUMBER(SEARCH("GlacialPlain",BX358)),ISNUMBER(SEARCH("Tundra",BX358))),-40,IF(OR(ISNUMBER(SEARCH("Alpine",BX358)),ISNUMBER(SEARCH("BorealForest",BX358)),ISNUMBER(SEARCH("ColdBog",BX358))),-30,IF(OR(ISNUMBER(SEARCH("TemperateForest",BX358)),ISNUMBER(SEARCH("TemperateSwamp",BX358))),-20,IF(_xlfn.XLOOKUP(_xlfn.XLOOKUP(B358,'Base stats'!B:B,'Base stats'!E:E),Groups!A:A,Groups!F:F)=1,-15,IF(OR(ISNUMBER(SEARCH("Desert",BX358)),ISNUMBER(SEARCH("ExtremeDesert",BX358))),-10,IF(OR(ISNUMBER(SEARCH("Grasslands",BX358)),ISNUMBER(SEARCH("TropicalRainforest",BX358)),ISNUMBER(SEARCH("TropicalSwamp",BX358))),10,0)))))))-IF(CC358="False",MIN(IFERROR(MAX(MROUND(LOG10(_xlfn.XLOOKUP(B358,'Base stats'!B:B,'Base stats'!C:C)^(2/3))*10,5),5),5),30))-_xlfn.XLOOKUP(B358,'Base stats'!B:B,'Base stats'!P:P)+IF(CC358="True",5,0)</f>
        <v>-5</v>
      </c>
      <c r="M358" s="2">
        <f>IF(OR(_xlfn.XLOOKUP(_xlfn.XLOOKUP(B358,'Base stats'!B:B,'Base stats'!E:E),Groups!A:A,Groups!G:G)=2,ISNUMBER(SEARCH("Desert",BX358)),ISNUMBER(SEARCH("ExtremeDesert",BX358)),ISNUMBER(SEARCH("LavaField",BX358))),50,IF(ISNUMBER(SEARCH("Grasslands",BX358)),45,IF(OR(_xlfn.XLOOKUP(_xlfn.XLOOKUP(B358,'Base stats'!B:B,'Base stats'!E:E),Groups!A:A,Groups!G:G)=1,ISNUMBER(SEARCH("TropicalRainforest",BX358)),ISNUMBER(SEARCH("TropicalSwamp",BX358))),40,IF(OR(ISNUMBER(SEARCH("TemperateForest",BX358)),ISNUMBER(SEARCH("TemperateSwamp",BX358))),35,IF(OR(ISNUMBER(SEARCH("Alpine",BX358)),ISNUMBER(SEARCH("BorealForest",BX358)),ISNUMBER(SEARCH("ColdBog",BX358))),30,IF(ISNUMBER(OR(ISNUMBER(SEARCH("GlacialPlain",BX358)),SEARCH("Tundra",BX358))),25,IF(OR(ISNUMBER(SEARCH("SeaIce",BX358)),ISNUMBER(SEARCH("IceSheet",BX358)),ISNUMBER(SEARCH("TropicalSwamp",BX358))),10,35)))))))+_xlfn.XLOOKUP(B358,'Base stats'!B:B,'Base stats'!Q:Q)</f>
        <v>50</v>
      </c>
      <c r="N358" s="8" t="str">
        <f>IF(
_xlfn.XLOOKUP(
_xlfn.XLOOKUP(B358,'Base stats'!B:B,'Base stats'!E:E),
Groups!A:A,
Groups!L:L
)=1,
MIN(
MROUND(
IF(
_xlfn.XLOOKUP(B358,'Animals CE'!B:B,'Animals CE'!Z:Z)&lt;=1.5,
_xlfn.XLOOKUP(B358,'Animals CE'!B:B,'Animals CE'!Z:Z)/2+0.05,
0.8+
(_xlfn.XLOOKUP(B358,'Animals CE'!B:B,'Animals CE'!Z:Z)-1.5)
*0.02
),
0.05
),
200%
),
"No"
)</f>
        <v>No</v>
      </c>
      <c r="O358" s="8" t="str">
        <f>IF(
_xlfn.XLOOKUP(
_xlfn.XLOOKUP(B358,'Base stats'!B:B,'Base stats'!E:E),
Groups!A:A,
Groups!L:L
)=1,
MIN(
MROUND(
IF(
_xlfn.XLOOKUP(B358,'Animals CE'!B:B,'Animals CE'!AA:AA)&lt;=1.5,
_xlfn.XLOOKUP(B358,'Animals CE'!B:B,'Animals CE'!AA:AA)/2+0.05,
0.8+
(_xlfn.XLOOKUP(B358,'Animals CE'!B:B,'Animals CE'!AA:AA)-1.5)
*0.02
),
0.05
),
200%
),
"No"
)</f>
        <v>No</v>
      </c>
      <c r="P358" s="2" t="str">
        <f>_xlfn.XLOOKUP(B358,'Base stats'!B:B,'Base stats'!R:R)</f>
        <v>Standard</v>
      </c>
      <c r="Q358" s="13">
        <f>MROUND((LOG10(_xlfn.XLOOKUP(B358,'Base stats'!B:B,'Base stats'!AR:AR))*(AO358^0.5)+(_xlfn.XLOOKUP(B358,'Base stats'!B:B,'Base stats'!AR:AR)/1000)^(2/3)+_xlfn.XLOOKUP(B358,'Base stats'!B:B,'Base stats'!BA:BA)/2)+0.5,0.5)</f>
        <v>12.5</v>
      </c>
      <c r="R358" s="7">
        <f>IF(Q358="No","No",MAX(1,MROUND(_xlfn.XLOOKUP(B358,'Base stats'!B:B,'Base stats'!C:C)^0.165,0.05)))</f>
        <v>2.5500000000000003</v>
      </c>
      <c r="S358" s="13">
        <f>IF(_xlfn.XLOOKUP(_xlfn.XLOOKUP(B358,'Base stats'!B:B,'Base stats'!E:E),Groups!A:A,Groups!P:P)=0,"No",MROUND((LOG10(_xlfn.XLOOKUP(B358,'Base stats'!B:B,'Base stats'!AS:AS))*(AO358^0.5)+(_xlfn.XLOOKUP(B358,'Base stats'!B:B,'Base stats'!AS:AS)/1000)^(2/3)+_xlfn.XLOOKUP(B358,'Base stats'!B:B,'Base stats'!BA:BA))+_xlfn.XLOOKUP(B358,'Base stats'!B:B,'Base stats'!AY:AY)+0.5,0.5))</f>
        <v>19.5</v>
      </c>
      <c r="T358" s="7">
        <f>IF(S358="No","No",MAX(_xlfn.XLOOKUP(_xlfn.XLOOKUP(B358,'Base stats'!B:B,'Base stats'!E:E),Groups!A:A,Groups!Q:Q),MROUND(_xlfn.XLOOKUP(_xlfn.XLOOKUP(B358,'Base stats'!B:B,'Base stats'!E:E),Groups!A:A,Groups!Q:Q)*_xlfn.XLOOKUP(B358,'Base stats'!B:B,'Base stats'!C:C)^0.165,0.05)))</f>
        <v>2.3000000000000003</v>
      </c>
      <c r="U358" s="7" t="str">
        <f>IF(S358="No","No",_xlfn.XLOOKUP(_xlfn.XLOOKUP(B358,'Base stats'!B:B,'Base stats'!E:E),Groups!A:A,Groups!R:R))</f>
        <v>Feet</v>
      </c>
      <c r="V358" s="7" t="str">
        <f>IF(S358="No","No",_xlfn.XLOOKUP(_xlfn.XLOOKUP(B358,'Base stats'!B:B,'Base stats'!E:E),Groups!A:A,Groups!S:S))</f>
        <v>rear left claw, rear  right claw</v>
      </c>
      <c r="W358" s="7" t="str">
        <f>IF(S358="No","No",_xlfn.XLOOKUP(_xlfn.XLOOKUP(B358,'Base stats'!B:B,'Base stats'!E:E),Groups!A:A,Groups!T:T))</f>
        <v>Scratch</v>
      </c>
      <c r="X358" s="13" t="str">
        <f>IF(_xlfn.XLOOKUP(B358,'Base stats'!B:B,'Base stats'!W:W)="No","No",MROUND((LOG10(_xlfn.XLOOKUP(B358,'Base stats'!B:B,'Base stats'!AU:AU))*(AO358^0.5)+(_xlfn.XLOOKUP(B358,'Base stats'!B:B,'Base stats'!AU:AU)/1000)^(2/3)+_xlfn.XLOOKUP(B358,'Base stats'!B:B,'Base stats'!AZ:AZ))+0.5+IF(_xlfn.XLOOKUP(_xlfn.XLOOKUP(B358,'Base stats'!B:B,'Base stats'!E:E),Groups!A:A,Groups!U:U)&lt;&gt;3,_xlfn.XLOOKUP(B358,'Base stats'!B:B,'Base stats'!BA:BA),0),0.5))</f>
        <v>No</v>
      </c>
      <c r="Y358" s="7" t="str">
        <f>IF(X358="No","No",MAX(_xlfn.XLOOKUP(_xlfn.XLOOKUP(B358,'Base stats'!B:B,'Base stats'!E:E),Groups!A:A,Groups!V:V),MROUND(_xlfn.XLOOKUP(_xlfn.XLOOKUP(B358,'Base stats'!B:B,'Base stats'!E:E),Groups!A:A,Groups!V:V)*_xlfn.XLOOKUP(B358,'Base stats'!B:B,'Base stats'!C:C)^0.165,0.05)))</f>
        <v>No</v>
      </c>
      <c r="Z358" s="7" t="str">
        <f>IF(X358="No","No",_xlfn.XLOOKUP(_xlfn.XLOOKUP(B358,'Base stats'!B:B,'Base stats'!E:E),Groups!A:A,Groups!W:W))</f>
        <v>No</v>
      </c>
      <c r="AA358" s="7" t="str">
        <f>IF(X358="No","No",_xlfn.XLOOKUP(_xlfn.XLOOKUP(B358,'Base stats'!B:B,'Base stats'!E:E),Groups!A:A,Groups!X:X))</f>
        <v>No</v>
      </c>
      <c r="AB358" s="7" t="str">
        <f>IF(X358="No","No",_xlfn.XLOOKUP(_xlfn.XLOOKUP(B358,'Base stats'!B:B,'Base stats'!E:E),Groups!A:A,Groups!Y:Y))</f>
        <v>No</v>
      </c>
      <c r="AC358" s="7" t="str">
        <f>_xlfn.XLOOKUP(Animals!B358,'Base stats'!B:B,'Base stats'!X:X)</f>
        <v>False</v>
      </c>
      <c r="AD358" s="13">
        <f>IF(_xlfn.XLOOKUP(B358,'Base stats'!B:B,'Base stats'!AT:AT)="No","No",MROUND((LOG10(_xlfn.XLOOKUP(B358,'Base stats'!B:B,'Base stats'!AT:AT))*(AO358^0.75)+(_xlfn.XLOOKUP(B358,'Base stats'!B:B,'Base stats'!AT:AT)/1000)^(2/3)+_xlfn.XLOOKUP(B358,'Base stats'!B:B,'Base stats'!AX:AX)+_xlfn.XLOOKUP(B358,'Base stats'!B:B,'Base stats'!BA:BA))+0.5,0.5))</f>
        <v>19</v>
      </c>
      <c r="AE358" s="7">
        <f>IF(AD358="No","No",MAX(_xlfn.XLOOKUP(_xlfn.XLOOKUP(B358,'Base stats'!B:B,'Base stats'!E:E),Groups!A:A,Groups!Z:Z),MROUND(_xlfn.XLOOKUP(_xlfn.XLOOKUP(B358,'Base stats'!B:B,'Base stats'!E:E),Groups!A:A,Groups!Z:Z)*_xlfn.XLOOKUP(B358,'Base stats'!B:B,'Base stats'!C:C)^0.165,0.05)))</f>
        <v>1.9000000000000001</v>
      </c>
      <c r="AF358" s="7" t="str">
        <f>IF(AD358="No","No",_xlfn.XLOOKUP(_xlfn.XLOOKUP(B358,'Base stats'!B:B,'Base stats'!E:E),Groups!A:A,Groups!AA:AA))</f>
        <v>Teeth</v>
      </c>
      <c r="AG358" s="7" t="str">
        <f>IF(AD358="No","No",_xlfn.XLOOKUP(_xlfn.XLOOKUP(B358,'Base stats'!B:B,'Base stats'!E:E),Groups!A:A,Groups!AB:AB))</f>
        <v>teeth</v>
      </c>
      <c r="AH358" s="7" t="str">
        <f>IF(AD358="No","No",_xlfn.XLOOKUP(_xlfn.XLOOKUP(B358,'Base stats'!B:B,'Base stats'!E:E),Groups!A:A,Groups!AC:AC))</f>
        <v>Bite</v>
      </c>
      <c r="AI358" s="13" t="str">
        <f>IF(_xlfn.XLOOKUP(_xlfn.XLOOKUP(B358,'Base stats'!B:B,'Base stats'!E:E),Groups!A:A,Groups!AD:AD)=0,"No",MROUND((LOG10(_xlfn.XLOOKUP(B358,'Base stats'!B:B,'Base stats'!AS:AS))*(AO358^0.75)+(_xlfn.XLOOKUP(B358,'Base stats'!B:B,'Base stats'!AS:AS)/1000)^(2/3)+_xlfn.XLOOKUP(B358,'Base stats'!B:B,'Base stats'!AY:AY)+_xlfn.XLOOKUP(B358,'Base stats'!B:B,'Base stats'!BA:BA))+0.5,0.5))</f>
        <v>No</v>
      </c>
      <c r="AJ358" s="7" t="str">
        <f>IF(AI358="No","No",MAX(_xlfn.XLOOKUP(_xlfn.XLOOKUP(B358,'Base stats'!B:B,'Base stats'!E:E),Groups!A:A,Groups!AE:AE),MROUND(_xlfn.XLOOKUP(_xlfn.XLOOKUP(B358,'Base stats'!B:B,'Base stats'!E:E),Groups!A:A,Groups!AE:AE)*IF(_xlfn.XLOOKUP(_xlfn.XLOOKUP(B358,'Base stats'!B:B,'Base stats'!E:E),Groups!A:A,Groups!AJ:AJ)="Photonozoa",0.6,1)*_xlfn.XLOOKUP(B358,'Base stats'!B:B,'Base stats'!C:C)^0.165,0.05)))</f>
        <v>No</v>
      </c>
      <c r="AK358" s="7" t="str">
        <f>IF(AI358="No","No",_xlfn.XLOOKUP(_xlfn.XLOOKUP(B358,'Base stats'!B:B,'Base stats'!E:E),Groups!A:A,Groups!AF:AF))</f>
        <v>No</v>
      </c>
      <c r="AL358" s="7" t="str">
        <f>IF(AI358="No","No",_xlfn.XLOOKUP(_xlfn.XLOOKUP(B358,'Base stats'!B:B,'Base stats'!E:E),Groups!A:A,Groups!AG:AG))</f>
        <v>No</v>
      </c>
      <c r="AM358" s="7" t="str">
        <f>IF(AI358="No","No",_xlfn.XLOOKUP(_xlfn.XLOOKUP(B358,'Base stats'!B:B,'Base stats'!E:E),Groups!A:A,Groups!AH:AH))</f>
        <v>No</v>
      </c>
      <c r="AN358" s="2">
        <f t="shared" si="35"/>
        <v>25</v>
      </c>
      <c r="AO358" s="2">
        <f>MROUND(IF(AND(_xlfn.XLOOKUP(B358,'Base stats'!B:B,'Base stats'!C:C)&gt;=0.5,_xlfn.XLOOKUP(B358,'Base stats'!B:B,'Base stats'!C:C)&lt;=0.8),
IF(_xlfn.XLOOKUP(B358,'Base stats'!B:B,'Base stats'!C:C)&lt;0.1,0.05,IF(_xlfn.XLOOKUP(B358,'Base stats'!B:B,'Base stats'!C:C)&lt;=70,(_xlfn.XLOOKUP(B358,'Base stats'!B:B,'Base stats'!C:C)/70)^0.426489913056526,IF(_xlfn.XLOOKUP(B358,'Base stats'!B:B,'Base stats'!C:C)&lt;=400,(_xlfn.XLOOKUP(B358,'Base stats'!B:B,'Base stats'!C:C)/70)^0.572811455315093,IF(_xlfn.XLOOKUP(B358,'Base stats'!B:B,'Base stats'!C:C)&lt;=2000,2.71391647193063*(_xlfn.XLOOKUP(B358,'Base stats'!B:B,'Base stats'!C:C)/400)^0.252459582904293,3.74314280240376*(_xlfn.XLOOKUP(B358,'Base stats'!B:B,'Base stats'!C:C)/2000)^0.357012633876913)))),
IF(_xlfn.XLOOKUP(B358,'Base stats'!B:B,'Base stats'!C:C)&lt;0.1,0.05,IF(_xlfn.XLOOKUP(B358,'Base stats'!B:B,'Base stats'!C:C)&lt;0.4,0.1,IF(_xlfn.XLOOKUP(B358,'Base stats'!B:B,'Base stats'!C:C)&lt;=70,(_xlfn.XLOOKUP(B358,'Base stats'!B:B,'Base stats'!C:C)/70)^0.445823913056526,IF(_xlfn.XLOOKUP(B358,'Base stats'!B:B,'Base stats'!C:C)&lt;=400,(_xlfn.XLOOKUP(B358,'Base stats'!B:B,'Base stats'!C:C)/70)^0.572811455315093,IF(_xlfn.XLOOKUP(B358,'Base stats'!B:B,'Base stats'!C:C)&lt;=2000,2.71391647193063*(_xlfn.XLOOKUP(B358,'Base stats'!B:B,'Base stats'!C:C)/400)^0.252459582904293,3.74314280240376*(_xlfn.XLOOKUP(B358,'Base stats'!B:B,'Base stats'!C:C)/2000)^0.357012633876913)))))),
IF(_xlfn.XLOOKUP(B358,'Base stats'!B:B,'Base stats'!C:C)&lt;0.1,0.05,IF(_xlfn.XLOOKUP(B358,'Base stats'!B:B,'Base stats'!C:C)&lt;=100,0.05,IF(_xlfn.XLOOKUP(B358,'Base stats'!B:B,'Base stats'!C:C)&lt;=250,0.1,IF(_xlfn.XLOOKUP(B358,'Base stats'!B:B,'Base stats'!C:C)&lt;=4000,0.25,0.5)))))</f>
        <v>2.25</v>
      </c>
      <c r="AP358" s="8">
        <f>MROUND(AO358*_xlfn.XLOOKUP(_xlfn.XLOOKUP(B358,'Base stats'!B:B,'Base stats'!E:E),Groups!A:A,Groups!AI:AI)*_xlfn.XLOOKUP(B358,'Base stats'!B:B,'Base stats'!Z:Z),0.05)</f>
        <v>2.7</v>
      </c>
      <c r="AQ358" s="8">
        <f>MAX(0.01,MROUND(IF(CC358="True",0.196*(AO358*100*1000)^0.889,IF(_xlfn.XLOOKUP(_xlfn.XLOOKUP(B358,'Base stats'!B:B,'Base stats'!E:E),Groups!A:A,Groups!AJ:AJ)="Bird",10.5*(AO358*100*1000)^0.681,4.82*(AO358*100*1000)^0.734))/(4.82*(1*100*1000)^0.734)/IF(AO358&lt;3.5,2,IF(AO358=3.5,1.5,1.25))*(1+0.132282374779864/(AO358^0.994035016789033+0.00905238001496948)),0.05))</f>
        <v>1.1000000000000001</v>
      </c>
      <c r="AR358" s="9">
        <f>IFERROR(MROUND(_xlfn.XLOOKUP(B358,'Base stats'!B:B,'Base stats'!H:H)/IF(_xlfn.XLOOKUP(B358,'Base stats'!B:B,'Base stats'!I:I)&lt;&gt;1,(122.5/70),1.2),IF(_xlfn.XLOOKUP(B358,'Base stats'!B:B,'Base stats'!H:H)&gt;=30,5,IF(_xlfn.XLOOKUP(B358,'Base stats'!B:B,'Base stats'!H:H)&gt;=15,3,IF(_xlfn.XLOOKUP(B358,'Base stats'!B:B,'Base stats'!H:H)&gt;=10,2,1)))),"Immortal")</f>
        <v>21</v>
      </c>
      <c r="AS358" s="35" t="str">
        <f>IFERROR(IF(OR(_xlfn.XLOOKUP(B358,'Base stats'!B:B,'Base stats'!F:F)="Atypical reproduction",_xlfn.XLOOKUP(B358,'Base stats'!B:B,'Base stats'!F:F)="Lay eggs"),"Lay eggs",MIN(20,MAX(5.5,ROUND(((_xlfn.XLOOKUP(B358,'Base stats'!B:B,'Base stats'!F:F)-25)*(14.5/615) + 5.5)*2,0)/2))),"Unknown")</f>
        <v>Lay eggs</v>
      </c>
      <c r="AT358" s="8">
        <f>IF(_xlfn.XLOOKUP(B358,'Base stats'!B:B,'Base stats'!G:G)="Atypical reproduction","No",IFERROR(MAX(IF(_xlfn.XLOOKUP(B358,'Base stats'!B:B,'Base stats'!G:G)&lt;0.5,0.2,0.3),MROUND(_xlfn.XLOOKUP(B358,'Base stats'!B:B,'Base stats'!G:G)/(365/60),0.2)),"Unknown"))</f>
        <v>0.60000000000000009</v>
      </c>
      <c r="AU358" s="8">
        <f t="shared" si="36"/>
        <v>0.30000000000000004</v>
      </c>
      <c r="AV358" s="8" t="str">
        <f>IFERROR(IFERROR(MROUND(_xlfn.XLOOKUP(B358,'Base stats'!B:B,'Base stats'!J:J),0.1),"Lay eggs"),"Cannot breed")</f>
        <v>Lay eggs</v>
      </c>
      <c r="AW358" s="2" t="str">
        <f t="shared" si="37"/>
        <v>false</v>
      </c>
      <c r="AX358" s="2" t="str">
        <f>IF(_xlfn.XLOOKUP(_xlfn.XLOOKUP(Animals!B358,'Base stats'!B:B,'Base stats'!E:E),Groups!A:A,Groups!AK:AK)=1,"true","false")</f>
        <v>false</v>
      </c>
      <c r="AY358" s="25" t="str">
        <f>IF(_xlfn.XLOOKUP(B358,'Base stats'!B:B,'Base stats'!Y:Y)="Liquor","Liquor, CarnivoreAnimalStrict",IF(AND(_xlfn.XLOOKUP(B358,'Base stats'!B:B,'Base stats'!Y:Y)="Carnivore",_xlfn.XLOOKUP(_xlfn.XLOOKUP(B358,'Base stats'!B:B,'Base stats'!E:E),Groups!A:A,Groups!AJ:AJ)="Photonozoa"),"CarnivoreAnimalStrict, OvivoreAnimal",IF(_xlfn.XLOOKUP(B358,'Base stats'!B:B,'Base stats'!Y:Y)="Carnivore","CarnivoreAnimal, OvivoreAnimal",IF(_xlfn.XLOOKUP(B358,'Base stats'!B:B,'Base stats'!Y:Y)="Dendrovore","VegetarianRoughAnimal, DendrovoreAnimal",IF(_xlfn.XLOOKUP(B358,'Base stats'!B:B,'Base stats'!Y:Y)="Herbivore","VegetarianRoughAnimal",IF(_xlfn.XLOOKUP(B358,'Base stats'!B:B,'Base stats'!Y:Y)="OmnivoreRough","OmnivoreRoughAnimal, OvivoreAnimal","OmnivoreAnimal, OvivoreAnimal"))))))</f>
        <v>CarnivoreAnimal, OvivoreAnimal</v>
      </c>
      <c r="AZ358" s="2" t="str">
        <f>IF(_xlfn.XLOOKUP(_xlfn.XLOOKUP(B358,'Base stats'!B:B,'Base stats'!E:E),Groups!A:A,Groups!D:D)=1,MROUND((1-J358)*5+1,2)*IF(J358&lt;=0.4,2,1),"No")</f>
        <v>No</v>
      </c>
      <c r="BA358" s="2" t="str">
        <f>IF(AND(_xlfn.XLOOKUP(B358,'Base stats'!B:B,'Base stats'!AH:AH)="&lt;li&gt;Seal&lt;/li&gt;",G358="Odyssey"),"&lt;li&gt;AEXP_Seal&lt;/li&gt;",_xlfn.XLOOKUP(B358,'Base stats'!B:B,'Base stats'!AH:AH))</f>
        <v>No</v>
      </c>
      <c r="BB358" s="2" t="str">
        <f>_xlfn.XLOOKUP(B358,'Base stats'!B:B,'Base stats'!AG:AG)</f>
        <v>Leather_Raptor</v>
      </c>
      <c r="BC358" s="23" t="str">
        <f>_xlfn.XLOOKUP(_xlfn.XLOOKUP(B358,'Base stats'!B:B,'Base stats'!E:E),Groups!A:A,Groups!AL:AL)</f>
        <v>Theropod</v>
      </c>
      <c r="BD358" s="23">
        <f>MIN(1,MROUND(IF(AND(AO358&lt;0.5,_xlfn.XLOOKUP(B358,'Base stats'!B:B,'Base stats'!AA:AA)=0),0,IF(OR(_xlfn.XLOOKUP(Animals!B358,'Base stats'!B:B,'Base stats'!O:O)=2,_xlfn.XLOOKUP(_xlfn.XLOOKUP(B358,'Base stats'!B:B,'Base stats'!E:E),Groups!A:A,Groups!AN:AN)=0),0,_xlfn.XLOOKUP(_xlfn.XLOOKUP(B358,'Base stats'!B:B,'Base stats'!E:E),Groups!A:A,Groups!AN:AN)/IF(_xlfn.XLOOKUP(Animals!B358,'Base stats'!B:B,'Base stats'!O:O)=1,2,1)))+_xlfn.XLOOKUP(B358,'Base stats'!B:B,'Base stats'!AC:AC),0.005))</f>
        <v>0.1</v>
      </c>
      <c r="BE358" s="23">
        <f>MIN(1,MROUND(IF(AND(AO358&lt;0.5,_xlfn.XLOOKUP(B358,'Base stats'!B:B,'Base stats'!AA:AA)=0),0,IF(_xlfn.XLOOKUP(_xlfn.XLOOKUP(B358,'Base stats'!B:B,'Base stats'!E:E),Groups!A:A,Groups!AO:AO)=0,0,_xlfn.XLOOKUP(_xlfn.XLOOKUP(B358,'Base stats'!B:B,'Base stats'!E:E),Groups!A:A,Groups!AO:AO)/IF(_xlfn.XLOOKUP(Animals!B358,'Base stats'!B:B,'Base stats'!O:O)=2,3,1)))+_xlfn.XLOOKUP(B358,'Base stats'!B:B,'Base stats'!AD:AD),0.005))</f>
        <v>0.3</v>
      </c>
      <c r="BF358" s="2" t="str">
        <f>IF(J358&gt;0.3,"No",_xlfn.XLOOKUP(_xlfn.XLOOKUP(Animals!B358,'Base stats'!B:B,'Base stats'!E:E),Groups!A:A,Groups!AP:AP))</f>
        <v>No</v>
      </c>
      <c r="BG358" s="2" t="str">
        <f>IF(AND(J358&lt;=0.65,_xlfn.XLOOKUP(_xlfn.XLOOKUP(Animals!B358,'Base stats'!B:B,'Base stats'!E:E),Groups!A:A,Groups!AP:AP)&lt;&gt;"No",_xlfn.XLOOKUP(_xlfn.XLOOKUP(B358,'Base stats'!B:B,'Base stats'!E:E),Groups!A:A,Groups!D:D)=0),MROUND((80/3)*IF(_xlfn.XLOOKUP(B358,'Base stats'!B:B,'Base stats'!O:O)=2,0.2,AO358) + 24*(1-IF(BF358="No",0,BF358)) + 16/3, 12),"No")</f>
        <v>No</v>
      </c>
      <c r="BH358" s="2">
        <f>IF(AND(_xlfn.XLOOKUP(_xlfn.XLOOKUP(B358,'Base stats'!B:B,'Base stats'!E:E),Groups!A:A,Groups!AQ:AQ)=1,AO358&lt;=0.35),8,12)</f>
        <v>12</v>
      </c>
      <c r="BI358" s="2" t="str">
        <f>IF(_xlfn.XLOOKUP(_xlfn.XLOOKUP(B358,'Base stats'!B:B,'Base stats'!E:E),Groups!A:A,Groups!D:D)=0,_xlfn.XLOOKUP(_xlfn.XLOOKUP(B358,'Base stats'!B:B,'Base stats'!E:E),Groups!A:A,Groups!AR:AR),"None")</f>
        <v>Intermediate</v>
      </c>
      <c r="BJ358" s="2" t="str">
        <f>IF(AND(_xlfn.XLOOKUP(_xlfn.XLOOKUP(B358,'Base stats'!B:B,'Base stats'!E:E),Groups!A:A,Groups!AS:AS)=1,OR(_xlfn.XLOOKUP(B358,'Base stats'!B:B,'Base stats'!Y:Y)="Carnivore",_xlfn.XLOOKUP(B358,'Base stats'!B:B,'Base stats'!Y:Y)="Omnivore")),"true","false")</f>
        <v>true</v>
      </c>
      <c r="BK358" s="2">
        <f>IF(BJ358="true",MROUND(IF(AND(AO358&gt;0.5,OR(_xlfn.XLOOKUP(_xlfn.XLOOKUP(B358,'Base stats'!B:B,'Base stats'!E:E),Groups!A:A,Groups!AJ:AJ)="Photonozoa",_xlfn.XLOOKUP(_xlfn.XLOOKUP(B358,'Base stats'!B:B,'Base stats'!E:E),Groups!A:A,Groups!AJ:AJ)="Mammal")),Animals!AO358*1.75*IF(AW358="true",1.5,1),IF(AO358&lt;0.5,Animals!AO358*0.5,Animals!AO358)),IF(AO358&gt;2,0.5,IF(AO358&gt;0.5,0.25,0.1))),"No")</f>
        <v>2.5</v>
      </c>
      <c r="BL358" s="2">
        <f t="shared" si="38"/>
        <v>1</v>
      </c>
      <c r="BM358" s="25" t="str">
        <f>IF(_xlfn.XLOOKUP(B358,'Base stats'!B:B,'Base stats'!AN:AN)="Standard","No",MROUND((_xlfn.XLOOKUP(B358,'Base stats'!B:B,'Base stats'!AN:AN)/3.6)/I358,0.1))</f>
        <v>No</v>
      </c>
      <c r="BN358" s="25" t="str">
        <f t="shared" si="39"/>
        <v>false</v>
      </c>
      <c r="BO358" s="25" t="str">
        <f>IF(AND(OR(_xlfn.XLOOKUP(B358,'Base stats'!B:B,'Base stats'!Y:Y)="Carnivore",_xlfn.XLOOKUP(B358,'Base stats'!B:B,'Base stats'!Y:Y)="Omnivore",_xlfn.XLOOKUP(B358,'Base stats'!B:B,'Base stats'!Y:Y)="OmnivoreRough"),_xlfn.XLOOKUP(_xlfn.XLOOKUP(B358,'Base stats'!B:B,'Base stats'!E:E),Groups!A:A,Groups!AT:AT)=1),"true","false")</f>
        <v>false</v>
      </c>
      <c r="BP358" s="25" t="str" cm="1">
        <f t="array" ref="BP358">IF(
  _xlfn.TEXTJOIN(", ",TRUE,
    IF(AND(BJ358="true",AO358&gt;0.5,BI358&lt;&gt;"None"),"AttackTarget",""),
    IF(AND(_xlfn.XLOOKUP(_xlfn.XLOOKUP(B358,'Base stats'!B:B,'Base stats'!E:E),Groups!A:A,Groups!AJ:AJ="Mammal"),OR(_xlfn.XLOOKUP(B358,'Base stats'!B:B,'Base stats'!Y:Y)="Omnivore",_xlfn.XLOOKUP(B358,'Base stats'!B:B,'Base stats'!Y:Y)="OmnivoreRough")),"Forage",""),
    IF(BG358&lt;=36,"Comfort",""),
    IF(_xlfn.XLOOKUP(B358,'Base stats'!B:B,'Base stats'!AE:AE)&lt;&gt;"No",_xlfn.XLOOKUP(B358,'Base stats'!B:B,'Base stats'!AE:AE),"")
  ) = "",
  "No",
  _xlfn.TEXTJOIN(", ",TRUE,
    IF(AND(BJ358="true",AO358&gt;0.5,BI358&lt;&gt;"None"),"AttackTarget",""),
    IF(AND(_xlfn.XLOOKUP(_xlfn.XLOOKUP(B358,'Base stats'!B:B,'Base stats'!E:E),Groups!A:A,Groups!AJ:AJ="Mammal"),OR(_xlfn.XLOOKUP(B358,'Base stats'!B:B,'Base stats'!Y:Y)="Omnivore",_xlfn.XLOOKUP(B358,'Base stats'!B:B,'Base stats'!Y:Y)="OmnivoreRough")),"Forage",""),
    IF(BG358&lt;=36,"Comfort",""),
    IF(_xlfn.XLOOKUP(B358,'Base stats'!B:B,'Base stats'!AE:AE)&lt;&gt;"No",_xlfn.XLOOKUP(B358,'Base stats'!B:B,'Base stats'!AE:AE),"")
  )
)</f>
        <v>AttackTarget</v>
      </c>
      <c r="BQ358" s="25" t="str">
        <f>IF(
   AND(
      'Base stats'!AN358="Standard",_xlfn.XLOOKUP(_xlfn.XLOOKUP(B358,'Base stats'!B:B,'Base stats'!E:E),Groups!A:A,Groups!AU:AU)=0,
      OR(
      BO358="True"
      )
   ),
   10,
   IF(
       OR(BM358&lt;&gt;"No",_xlfn.XLOOKUP(_xlfn.XLOOKUP(B358,'Base stats'!B:B,'Base stats'!E:E),Groups!A:A,Groups!AU:AU)=1),
      1,
      "No"
   )
)</f>
        <v>No</v>
      </c>
      <c r="BR358" s="9">
        <f>MROUND((1 + ((0.2*IF(OR(Q358="No",R358="No",R358=0),0,Q358/R358)
+IF(OR(V358="No",S358="No",T358="No"),0,S358/T358*(LEN(V358)-LEN(SUBSTITUTE(V358,",",""))+1))
+IF(OR(X358="No",Y358="No"),0,X358/Y358)
+IF(OR(AD358="No",AE358="No"),0,AD358/AE358)
+IF(OR(AL358="No",AI358="No",AJ358="No"),0,AI358/AJ358*(LEN(AL358)-LEN(SUBSTITUTE(AL358,",",""))+1))
)/(0.2*IF(OR(Q358="No",R358="No",R358=0),0,1)
+IF(OR(V358="No",S358="No",T358="No"),0,LEN(V358)-LEN(SUBSTITUTE(V358,",",""))+1)
+IF(OR(X358="No",Y358="No"),0,1)
+IF(OR(AD358="No",AE358="No"),0,1)
+IF(OR(AL358="No",AI358="No",AJ358="No"),0,LEN(AL358)-LEN(SUBSTITUTE(AL358,",",""))+1))*62%)* 2)*(1 + (AP358 / (IF(_xlfn.XLOOKUP(_xlfn.XLOOKUP(B358,'Base stats'!B:B,'Base stats'!E:E),Groups!A:A,Groups!AJ:AJ)="Photonozoa",0.3,1)) + _xlfn.XLOOKUP(B358,'Base stats'!B:B,'Base stats'!AV:AV) * 1.8) * 2) * 2.5 + 10 + I358 * 2,5)+IF(_xlfn.XLOOKUP(B358,'Base stats'!B:B,'Base stats'!AK:AK)=1,50,0)</f>
        <v>210</v>
      </c>
      <c r="BS358" s="8">
        <f t="shared" si="40"/>
        <v>1.35</v>
      </c>
      <c r="BT358" s="8" t="str">
        <f>_xlfn.XLOOKUP(B358,'Base stats'!B:B,'Base stats'!AF:AF)</f>
        <v>No</v>
      </c>
      <c r="BU358" s="2" t="str">
        <f>IF(AND(J358&lt;=0.95,OR(_xlfn.XLOOKUP(B358,'Base stats'!B:B,'Base stats'!AK:AK)=1,_xlfn.XLOOKUP(B358,'Base stats'!B:B,'Base stats'!Y:Y)="Carnivore",_xlfn.XLOOKUP(B358,'Base stats'!B:B,'Base stats'!Y:Y)="Omnivore",BE358&gt;0.1)),"true","false")</f>
        <v>true</v>
      </c>
      <c r="BV358" s="2" t="str">
        <f>IF(_xlfn.XLOOKUP(B358,'Base stats'!B:B,'Base stats'!AI:AI)=1,"true","false")</f>
        <v>false</v>
      </c>
      <c r="BW358" s="25" t="str">
        <f>IF(E358="BaseInsect","AnimalInsect",
IF(J358&gt;0.95,"AnimalExotic",
_xlfn.TEXTJOIN(", ",TRUE,
IF(OR(_xlfn.XLOOKUP(B358,'Base stats'!B:B,'Base stats'!AM:AM)=1,AND(_xlfn.XLOOKUP(B358,'Base stats'!B:B,'Base stats'!O:O)=0,_xlfn.XLOOKUP(_xlfn.XLOOKUP(B358,'Base stats'!B:B,'Base stats'!E:E),Groups!A:A,Groups!B:B)&gt;0)),"AnimalUncommon","AnimalCommon"),
IF(AND(_xlfn.XLOOKUP(B358,'Base stats'!B:B,'Base stats'!O:O)=2,_xlfn.XLOOKUP(_xlfn.XLOOKUP(B358,'Base stats'!B:B,'Base stats'!E:E),Groups!A:A,Groups!D:D)=0),"AnimalPet",IF(AND(_xlfn.XLOOKUP(B358,'Base stats'!B:B,'Base stats'!O:O)&lt;&gt;0,_xlfn.XLOOKUP(_xlfn.XLOOKUP(B358,'Base stats'!B:B,'Base stats'!E:E),Groups!A:A,Groups!D:D)&lt;&gt;0),"AnimalFarm","")),
IF(OR(_xlfn.XLOOKUP(B358,'Base stats'!B:B,'Base stats'!AK:AK)=1,AND(BI358&lt;&gt;"None",BR358&gt;=60),ISNUMBER(SEARCH("Attack target",BP358))),"AnimalFighter","")
)))</f>
        <v>AnimalUncommon, AnimalFighter</v>
      </c>
      <c r="BX358" s="25" t="str">
        <f>IF(G358="None",TRIM(
SUBSTITUTE(
IF(COUNTIF(Biomes!B$2:B$259,"="&amp;$C358)&gt;0,Biomes!B$1&amp;", ","")&amp;
IF(COUNTIF(Biomes!C$2:C$259,"="&amp;$C358)&gt;0,Biomes!C$1&amp;", ","")&amp;
IF(COUNTIF(Biomes!D$2:D$259,"="&amp;$C358)&gt;0,Biomes!D$1&amp;", ","")&amp;
IF(COUNTIF(Biomes!F$2:F$259,"="&amp;$C358)&gt;0,Biomes!F$1&amp;", ","")&amp;
IF(COUNTIF(Biomes!G$2:G$259,"="&amp;$C358)&gt;0,Biomes!G$1&amp;", ","")&amp;
IF(COUNTIF(Biomes!H$2:H$259,"="&amp;$C358)&gt;0,Biomes!H$1&amp;", ","")&amp;
IF(COUNTIF(Biomes!I$2:I$259,"="&amp;$C358)&gt;0,Biomes!I$1&amp;", ","")&amp;
IF(COUNTIF(Biomes!J$2:J$259,"="&amp;$C358)&gt;0,Biomes!J$1&amp;", ","")&amp;
IF(COUNTIF(Biomes!M$2:M$259,"="&amp;$C358)&gt;0,Biomes!M$1&amp;", ","")&amp;
IF(COUNTIF(Biomes!N$2:N$259,"="&amp;$C358)&gt;0,Biomes!N$1&amp;", ","")&amp;
IF(COUNTIF(Biomes!O$2:O$259,"="&amp;$C358)&gt;0,Biomes!O$1&amp;", ","")&amp;
IF(COUNTIF(Biomes!P$2:P$259,"="&amp;$C358)&gt;0,Biomes!P$1&amp;", ","")&amp;
IF(COUNTIF(Biomes!K$2:K$259,"="&amp;$C358)&gt;0,Biomes!K$1&amp;", ","")&amp;
IF(COUNTIF(Biomes!Q$3:Q$259,"="&amp;$C358)&gt;0,Biomes!Q$1&amp;", ","")&amp;
IF(COUNTIF(Biomes!L$2:L$259,"="&amp;$C358)&gt;0,Biomes!L$1&amp;", ","")&amp;
IF(COUNTIF(Biomes!E$2:E$259,"="&amp;$C358)&gt;0,Biomes!E$1&amp;", ","")&amp;IF(COUNTIF(Biomes!S$2:S$259,"="&amp;$C358)&gt;0,Biomes!S$1&amp;", ","")&amp;
IF(COUNTIF(Biomes!R$2:R$259,"="&amp;$C358)&gt;0,Biomes!R$1&amp;", ",""),", ","")
),_xlfn.XLOOKUP(B358,B:B,BX:BX))</f>
        <v>AridShrubland Grasslands LavaField</v>
      </c>
      <c r="BY358" s="25" t="str">
        <f>IF(_xlfn.XLOOKUP(B358,'Base stats'!B:B,'Base stats'!AJ:AJ)=1,"true","false")</f>
        <v>false</v>
      </c>
      <c r="BZ358" s="25">
        <f>IF(_xlfn.XLOOKUP(B358,'Base stats'!B:B,'Base stats'!N:N)=1,"No",MAX(0.001,MIN(MROUND(IF(AND(BJ358="True",CC358="False"),POWER(10,3.47*LOG10(_xlfn.XLOOKUP(B358,'Base stats'!B:B,'Base stats'!C:C)*1000)^-0.96),POWER(10,4.15*LOG10(_xlfn.XLOOKUP(B358,'Base stats'!B:B,'Base stats'!C:C)*1000)^-0.73))*IF(_xlfn.XLOOKUP(B358,'Base stats'!B:B,'Base stats'!AK:AK)=1,0.5,1)*IF(_xlfn.XLOOKUP(B358,'Base stats'!B:B,'Base stats'!AM:AM)=1,0.1,1)/100,IF(_xlfn.XLOOKUP(B358,'Base stats'!B:B,'Base stats'!AM:AM)=1,0.001,0.025)),0.5)))</f>
        <v>0.05</v>
      </c>
      <c r="CA358" s="25" t="str">
        <f>IF(P358="Standard","No",MAX(0.001,MIN(MROUND(IF(AND(BJ358="True",CC358="False"),POWER(10,3.47*LOG10(_xlfn.XLOOKUP(B358,'Base stats'!B:B,'Base stats'!C:C)*1000)^-0.96),POWER(10,4.15*LOG10(_xlfn.XLOOKUP(B358,'Base stats'!B:B,'Base stats'!C:C)*1000)^-0.73))*IF(_xlfn.XLOOKUP(B358,'Base stats'!B:B,'Base stats'!AM:AM)=1,0.1,1)*_xlfn.XLOOKUP(B358,'Base stats'!B:B,'Base stats'!R:R)/100,IF(_xlfn.XLOOKUP(B358,'Base stats'!B:B,'Base stats'!AM:AM)=1,0.001,0.025)),0.5)))</f>
        <v>No</v>
      </c>
      <c r="CB358" s="25" t="str">
        <f>IF(_xlfn.XLOOKUP(_xlfn.XLOOKUP(B358,'Base stats'!B:B,'Base stats'!E:E),Groups!A:A,Groups!AJ:AJ)="Mammal","True","False")</f>
        <v>False</v>
      </c>
      <c r="CC358" s="25" t="str">
        <f>IF(OR(_xlfn.XLOOKUP(_xlfn.XLOOKUP(B358,'Base stats'!B:B,'Base stats'!E:E),Groups!A:A,Groups!AJ:AJ)="Reptile",_xlfn.XLOOKUP(_xlfn.XLOOKUP(B358,'Base stats'!B:B,'Base stats'!E:E),Groups!A:A,Groups!AJ:AJ)="Amphibian",_xlfn.XLOOKUP(_xlfn.XLOOKUP(B358,'Base stats'!B:B,'Base stats'!E:E),Groups!A:A,Groups!AJ:AJ)="Invertebrate"),"True","False")</f>
        <v>False</v>
      </c>
      <c r="CD358" s="25" t="str">
        <f t="shared" si="41"/>
        <v>False</v>
      </c>
      <c r="CE358" s="25" t="str">
        <f>IF(_xlfn.XLOOKUP(_xlfn.XLOOKUP(B358,'Base stats'!B:B,'Base stats'!E:E),Groups!A:A,Groups!AX:AX),"True","False")</f>
        <v>False</v>
      </c>
      <c r="CF358" s="25" t="str">
        <f>IF(_xlfn.XLOOKUP(_xlfn.XLOOKUP(B358,'Base stats'!B:B,'Base stats'!E:E),Groups!A:A,Groups!AY:AY),"True","False")</f>
        <v>False</v>
      </c>
      <c r="CG358" s="25" t="str">
        <f>IF(_xlfn.XLOOKUP(_xlfn.XLOOKUP(B358,'Base stats'!B:B,'Base stats'!E:E),Groups!A:A,Groups!AW:AW),"True","False")</f>
        <v>False</v>
      </c>
      <c r="CH358" s="25" t="str">
        <f>IF(
OR(
_xlfn.XLOOKUP(_xlfn.XLOOKUP(B358,'Base stats'!B:B,'Base stats'!E:E),Groups!A:A,Groups!AZ:AZ)=0,
AND(
_xlfn.XLOOKUP(B358,'Base stats'!B:B,'Base stats'!Y:Y)&lt;&gt;"Carnivore",
_xlfn.XLOOKUP(B358,'Base stats'!B:B,'Base stats'!Y:Y)&lt;&gt;"Omnivore",
_xlfn.XLOOKUP(B358,'Base stats'!B:B,'Base stats'!Y:Y)&lt;&gt;"OmnivoreRough"
)
),
"No",
IF(
_xlfn.XLOOKUP(_xlfn.XLOOKUP(B358,'Base stats'!B:B,'Base stats'!E:E),Groups!A:A,Groups!AZ:AZ)=1,
"Flesh",
IF(
_xlfn.XLOOKUP(_xlfn.XLOOKUP(B358,'Base stats'!B:B,'Base stats'!E:E),Groups!A:A,Groups!AZ:AZ)=2,
"Bone",
""
)
)
)</f>
        <v>No</v>
      </c>
      <c r="CI358" s="25" t="str">
        <f>IF(_xlfn.XLOOKUP(_xlfn.XLOOKUP(B358,'Base stats'!B:B,'Base stats'!E:E),Groups!A:A,Groups!BB:BB),"True","False")</f>
        <v>False</v>
      </c>
      <c r="CJ358" s="25" t="str">
        <f>IF(_xlfn.XLOOKUP(_xlfn.XLOOKUP(B358,'Base stats'!B:B,'Base stats'!E:E),Groups!A:A,Groups!BA:BA),"True","False")</f>
        <v>False</v>
      </c>
    </row>
    <row r="359" spans="1:88" ht="16.5" thickTop="1" thickBot="1" x14ac:dyDescent="0.3">
      <c r="A359" s="26" t="s">
        <v>1950</v>
      </c>
      <c r="B359" s="6" t="str">
        <f>_xlfn.XLOOKUP(A359,'Base stats'!A:A,'Base stats'!B:B)</f>
        <v>Dakotaraptor steini</v>
      </c>
      <c r="C359" s="28" t="s">
        <v>2033</v>
      </c>
      <c r="D359" s="28" t="s">
        <v>1898</v>
      </c>
      <c r="E359" s="28" t="s">
        <v>673</v>
      </c>
      <c r="F359" s="28" t="s">
        <v>673</v>
      </c>
      <c r="G359" s="28" t="s">
        <v>673</v>
      </c>
      <c r="H359" s="2">
        <f>MROUND((
  (IF(AND(_xlfn.XLOOKUP(B359,'Base stats'!B:B,'Base stats'!AL:AL)=0,BI359="None",_xlfn.XLOOKUP(_xlfn.XLOOKUP(B359,'Base stats'!B:B,'Base stats'!E:E),Groups!A:A,Groups!B:B)=0), (18 + BR359 * 2.7) * 0.5,
    IF(AND(_xlfn.XLOOKUP(B359,'Base stats'!B:B,'Base stats'!AL:AL)=0,OR(AO359&lt;0.55,AND(BI359="Intermediate",_xlfn.XLOOKUP(_xlfn.XLOOKUP(B359,'Base stats'!B:B,'Base stats'!E:E),Groups!A:A,Groups!B:B)&lt;2))), (18 + BR359 * 2.7),
      IF(OR(BI359="Advanced",_xlfn.XLOOKUP(B359,'Base stats'!B:B,'Base stats'!AL:AL)=1,_xlfn.XLOOKUP(_xlfn.XLOOKUP(B359,'Base stats'!B:B,'Base stats'!E:E),Groups!A:A,Groups!B:B)=2), (18 + BR359 * 2.7) + 250, (18 + BR359 * 2.7))
    )
  ))
  + AO359 * 80
  + IF(COUNTIF(EggMilk!K$2:K$998, A359) &gt; 0, 125, 0)
  + IF(COUNTIF(EggMilk!P$2:P$998, A359) &gt; 0, 90, 0)
  + IF(COUNTIF(EggMilk!A$2:A$998, A359) &gt; 0, 90, 0)
)
* (0.8 + 0.4 * J359)
* 0.75,25)</f>
        <v>750</v>
      </c>
      <c r="I359" s="2">
        <f>MROUND(ROUNDDOWN(_xlfn.XLOOKUP(B359,'Base stats'!B:B,'Base stats'!L:L)/3.6/(23.3/11),1),0.5)</f>
        <v>5</v>
      </c>
      <c r="J359" s="2">
        <f>IF(OR(_xlfn.XLOOKUP(B359,'Base stats'!B:B,'Base stats'!AB:AB)=1,_xlfn.XLOOKUP(_xlfn.XLOOKUP(B359,'Base stats'!B:B,'Base stats'!E:E),Groups!A:A,Groups!C:C)="Untamable"),1,IF(_xlfn.XLOOKUP(B359,'Base stats'!B:B,'Base stats'!AL:AL)=1,0.99,MIN(MROUND((1-0.6282*EXP(-0.459*AO359))*_xlfn.XLOOKUP(_xlfn.XLOOKUP(B359,'Base stats'!B:B,'Base stats'!E:E),Groups!A:A,Groups!C:C)*IF(_xlfn.XLOOKUP(B359,'Base stats'!B:B,'Base stats'!O:O)=1,0.5,IF(_xlfn.XLOOKUP(B359,'Base stats'!B:B,'Base stats'!O:O)=2,0,1)),0.05),IF(AO359&gt;3.5,0.985,0.95))))</f>
        <v>0.75</v>
      </c>
      <c r="K359" s="2">
        <f>ROUNDUP(AO359*_xlfn.XLOOKUP(_xlfn.XLOOKUP(B359,'Base stats'!B:B,'Base stats'!E:E),Groups!A:A,Groups!E:E),0)</f>
        <v>2</v>
      </c>
      <c r="L359" s="2">
        <f>IF(OR(_xlfn.XLOOKUP(_xlfn.XLOOKUP(B359,'Base stats'!B:B,'Base stats'!E:E),Groups!A:A,Groups!F:F)=2,ISNUMBER(SEARCH("SeaIce",BX359)),ISNUMBER(SEARCH("IceSheet",BX359))),-50,IF(OR(ISNUMBER(SEARCH("GlacialPlain",BX359)),ISNUMBER(SEARCH("Tundra",BX359))),-40,IF(OR(ISNUMBER(SEARCH("Alpine",BX359)),ISNUMBER(SEARCH("BorealForest",BX359)),ISNUMBER(SEARCH("ColdBog",BX359))),-30,IF(OR(ISNUMBER(SEARCH("TemperateForest",BX359)),ISNUMBER(SEARCH("TemperateSwamp",BX359))),-20,IF(_xlfn.XLOOKUP(_xlfn.XLOOKUP(B359,'Base stats'!B:B,'Base stats'!E:E),Groups!A:A,Groups!F:F)=1,-15,IF(OR(ISNUMBER(SEARCH("Desert",BX359)),ISNUMBER(SEARCH("ExtremeDesert",BX359))),-10,IF(OR(ISNUMBER(SEARCH("Grasslands",BX359)),ISNUMBER(SEARCH("TropicalRainforest",BX359)),ISNUMBER(SEARCH("TropicalSwamp",BX359))),10,0)))))))-IF(CC359="False",MIN(IFERROR(MAX(MROUND(LOG10(_xlfn.XLOOKUP(B359,'Base stats'!B:B,'Base stats'!C:C)^(2/3))*10,5),5),5),30))-_xlfn.XLOOKUP(B359,'Base stats'!B:B,'Base stats'!P:P)+IF(CC359="True",5,0)</f>
        <v>-35</v>
      </c>
      <c r="M359" s="2">
        <f>IF(OR(_xlfn.XLOOKUP(_xlfn.XLOOKUP(B359,'Base stats'!B:B,'Base stats'!E:E),Groups!A:A,Groups!G:G)=2,ISNUMBER(SEARCH("Desert",BX359)),ISNUMBER(SEARCH("ExtremeDesert",BX359)),ISNUMBER(SEARCH("LavaField",BX359))),50,IF(ISNUMBER(SEARCH("Grasslands",BX359)),45,IF(OR(_xlfn.XLOOKUP(_xlfn.XLOOKUP(B359,'Base stats'!B:B,'Base stats'!E:E),Groups!A:A,Groups!G:G)=1,ISNUMBER(SEARCH("TropicalRainforest",BX359)),ISNUMBER(SEARCH("TropicalSwamp",BX359))),40,IF(OR(ISNUMBER(SEARCH("TemperateForest",BX359)),ISNUMBER(SEARCH("TemperateSwamp",BX359))),35,IF(OR(ISNUMBER(SEARCH("Alpine",BX359)),ISNUMBER(SEARCH("BorealForest",BX359)),ISNUMBER(SEARCH("ColdBog",BX359))),30,IF(ISNUMBER(OR(ISNUMBER(SEARCH("GlacialPlain",BX359)),SEARCH("Tundra",BX359))),25,IF(OR(ISNUMBER(SEARCH("SeaIce",BX359)),ISNUMBER(SEARCH("IceSheet",BX359)),ISNUMBER(SEARCH("TropicalSwamp",BX359))),10,35)))))))+_xlfn.XLOOKUP(B359,'Base stats'!B:B,'Base stats'!Q:Q)</f>
        <v>35</v>
      </c>
      <c r="N359" s="8" t="str">
        <f>IF(
_xlfn.XLOOKUP(
_xlfn.XLOOKUP(B359,'Base stats'!B:B,'Base stats'!E:E),
Groups!A:A,
Groups!L:L
)=1,
MIN(
MROUND(
IF(
_xlfn.XLOOKUP(B359,'Animals CE'!B:B,'Animals CE'!Z:Z)&lt;=1.5,
_xlfn.XLOOKUP(B359,'Animals CE'!B:B,'Animals CE'!Z:Z)/2+0.05,
0.8+
(_xlfn.XLOOKUP(B359,'Animals CE'!B:B,'Animals CE'!Z:Z)-1.5)
*0.02
),
0.05
),
200%
),
"No"
)</f>
        <v>No</v>
      </c>
      <c r="O359" s="8" t="str">
        <f>IF(
_xlfn.XLOOKUP(
_xlfn.XLOOKUP(B359,'Base stats'!B:B,'Base stats'!E:E),
Groups!A:A,
Groups!L:L
)=1,
MIN(
MROUND(
IF(
_xlfn.XLOOKUP(B359,'Animals CE'!B:B,'Animals CE'!AA:AA)&lt;=1.5,
_xlfn.XLOOKUP(B359,'Animals CE'!B:B,'Animals CE'!AA:AA)/2+0.05,
0.8+
(_xlfn.XLOOKUP(B359,'Animals CE'!B:B,'Animals CE'!AA:AA)-1.5)
*0.02
),
0.05
),
200%
),
"No"
)</f>
        <v>No</v>
      </c>
      <c r="P359" s="2" t="str">
        <f>_xlfn.XLOOKUP(B359,'Base stats'!B:B,'Base stats'!R:R)</f>
        <v>Standard</v>
      </c>
      <c r="Q359" s="13">
        <f>MROUND((LOG10(_xlfn.XLOOKUP(B359,'Base stats'!B:B,'Base stats'!AR:AR))*(AO359^0.5)+(_xlfn.XLOOKUP(B359,'Base stats'!B:B,'Base stats'!AR:AR)/1000)^(2/3)+_xlfn.XLOOKUP(B359,'Base stats'!B:B,'Base stats'!BA:BA)/2)+0.5,0.5)</f>
        <v>11.5</v>
      </c>
      <c r="R359" s="7">
        <f>IF(Q359="No","No",MAX(1,MROUND(_xlfn.XLOOKUP(B359,'Base stats'!B:B,'Base stats'!C:C)^0.165,0.05)))</f>
        <v>2.4500000000000002</v>
      </c>
      <c r="S359" s="13">
        <f>IF(_xlfn.XLOOKUP(_xlfn.XLOOKUP(B359,'Base stats'!B:B,'Base stats'!E:E),Groups!A:A,Groups!P:P)=0,"No",MROUND((LOG10(_xlfn.XLOOKUP(B359,'Base stats'!B:B,'Base stats'!AS:AS))*(AO359^0.5)+(_xlfn.XLOOKUP(B359,'Base stats'!B:B,'Base stats'!AS:AS)/1000)^(2/3)+_xlfn.XLOOKUP(B359,'Base stats'!B:B,'Base stats'!BA:BA))+_xlfn.XLOOKUP(B359,'Base stats'!B:B,'Base stats'!AY:AY)+0.5,0.5))</f>
        <v>18.5</v>
      </c>
      <c r="T359" s="7">
        <f>IF(S359="No","No",MAX(_xlfn.XLOOKUP(_xlfn.XLOOKUP(B359,'Base stats'!B:B,'Base stats'!E:E),Groups!A:A,Groups!Q:Q),MROUND(_xlfn.XLOOKUP(_xlfn.XLOOKUP(B359,'Base stats'!B:B,'Base stats'!E:E),Groups!A:A,Groups!Q:Q)*_xlfn.XLOOKUP(B359,'Base stats'!B:B,'Base stats'!C:C)^0.165,0.05)))</f>
        <v>2.2000000000000002</v>
      </c>
      <c r="U359" s="7" t="str">
        <f>IF(S359="No","No",_xlfn.XLOOKUP(_xlfn.XLOOKUP(B359,'Base stats'!B:B,'Base stats'!E:E),Groups!A:A,Groups!R:R))</f>
        <v>Feet</v>
      </c>
      <c r="V359" s="7" t="str">
        <f>IF(S359="No","No",_xlfn.XLOOKUP(_xlfn.XLOOKUP(B359,'Base stats'!B:B,'Base stats'!E:E),Groups!A:A,Groups!S:S))</f>
        <v>rear left claw, rear  right claw</v>
      </c>
      <c r="W359" s="7" t="str">
        <f>IF(S359="No","No",_xlfn.XLOOKUP(_xlfn.XLOOKUP(B359,'Base stats'!B:B,'Base stats'!E:E),Groups!A:A,Groups!T:T))</f>
        <v>Scratch</v>
      </c>
      <c r="X359" s="13" t="str">
        <f>IF(_xlfn.XLOOKUP(B359,'Base stats'!B:B,'Base stats'!W:W)="No","No",MROUND((LOG10(_xlfn.XLOOKUP(B359,'Base stats'!B:B,'Base stats'!AU:AU))*(AO359^0.5)+(_xlfn.XLOOKUP(B359,'Base stats'!B:B,'Base stats'!AU:AU)/1000)^(2/3)+_xlfn.XLOOKUP(B359,'Base stats'!B:B,'Base stats'!AZ:AZ))+0.5+IF(_xlfn.XLOOKUP(_xlfn.XLOOKUP(B359,'Base stats'!B:B,'Base stats'!E:E),Groups!A:A,Groups!U:U)&lt;&gt;3,_xlfn.XLOOKUP(B359,'Base stats'!B:B,'Base stats'!BA:BA),0),0.5))</f>
        <v>No</v>
      </c>
      <c r="Y359" s="7" t="str">
        <f>IF(X359="No","No",MAX(_xlfn.XLOOKUP(_xlfn.XLOOKUP(B359,'Base stats'!B:B,'Base stats'!E:E),Groups!A:A,Groups!V:V),MROUND(_xlfn.XLOOKUP(_xlfn.XLOOKUP(B359,'Base stats'!B:B,'Base stats'!E:E),Groups!A:A,Groups!V:V)*_xlfn.XLOOKUP(B359,'Base stats'!B:B,'Base stats'!C:C)^0.165,0.05)))</f>
        <v>No</v>
      </c>
      <c r="Z359" s="7" t="str">
        <f>IF(X359="No","No",_xlfn.XLOOKUP(_xlfn.XLOOKUP(B359,'Base stats'!B:B,'Base stats'!E:E),Groups!A:A,Groups!W:W))</f>
        <v>No</v>
      </c>
      <c r="AA359" s="7" t="str">
        <f>IF(X359="No","No",_xlfn.XLOOKUP(_xlfn.XLOOKUP(B359,'Base stats'!B:B,'Base stats'!E:E),Groups!A:A,Groups!X:X))</f>
        <v>No</v>
      </c>
      <c r="AB359" s="7" t="str">
        <f>IF(X359="No","No",_xlfn.XLOOKUP(_xlfn.XLOOKUP(B359,'Base stats'!B:B,'Base stats'!E:E),Groups!A:A,Groups!Y:Y))</f>
        <v>No</v>
      </c>
      <c r="AC359" s="7" t="str">
        <f>_xlfn.XLOOKUP(Animals!B359,'Base stats'!B:B,'Base stats'!X:X)</f>
        <v>False</v>
      </c>
      <c r="AD359" s="13">
        <f>IF(_xlfn.XLOOKUP(B359,'Base stats'!B:B,'Base stats'!AT:AT)="No","No",MROUND((LOG10(_xlfn.XLOOKUP(B359,'Base stats'!B:B,'Base stats'!AT:AT))*(AO359^0.75)+(_xlfn.XLOOKUP(B359,'Base stats'!B:B,'Base stats'!AT:AT)/1000)^(2/3)+_xlfn.XLOOKUP(B359,'Base stats'!B:B,'Base stats'!AX:AX)+_xlfn.XLOOKUP(B359,'Base stats'!B:B,'Base stats'!BA:BA))+0.5,0.5))</f>
        <v>17</v>
      </c>
      <c r="AE359" s="7">
        <f>IF(AD359="No","No",MAX(_xlfn.XLOOKUP(_xlfn.XLOOKUP(B359,'Base stats'!B:B,'Base stats'!E:E),Groups!A:A,Groups!Z:Z),MROUND(_xlfn.XLOOKUP(_xlfn.XLOOKUP(B359,'Base stats'!B:B,'Base stats'!E:E),Groups!A:A,Groups!Z:Z)*_xlfn.XLOOKUP(B359,'Base stats'!B:B,'Base stats'!C:C)^0.165,0.05)))</f>
        <v>1.85</v>
      </c>
      <c r="AF359" s="7" t="str">
        <f>IF(AD359="No","No",_xlfn.XLOOKUP(_xlfn.XLOOKUP(B359,'Base stats'!B:B,'Base stats'!E:E),Groups!A:A,Groups!AA:AA))</f>
        <v>Teeth</v>
      </c>
      <c r="AG359" s="7" t="str">
        <f>IF(AD359="No","No",_xlfn.XLOOKUP(_xlfn.XLOOKUP(B359,'Base stats'!B:B,'Base stats'!E:E),Groups!A:A,Groups!AB:AB))</f>
        <v>teeth</v>
      </c>
      <c r="AH359" s="7" t="str">
        <f>IF(AD359="No","No",_xlfn.XLOOKUP(_xlfn.XLOOKUP(B359,'Base stats'!B:B,'Base stats'!E:E),Groups!A:A,Groups!AC:AC))</f>
        <v>Bite</v>
      </c>
      <c r="AI359" s="13" t="str">
        <f>IF(_xlfn.XLOOKUP(_xlfn.XLOOKUP(B359,'Base stats'!B:B,'Base stats'!E:E),Groups!A:A,Groups!AD:AD)=0,"No",MROUND((LOG10(_xlfn.XLOOKUP(B359,'Base stats'!B:B,'Base stats'!AS:AS))*(AO359^0.75)+(_xlfn.XLOOKUP(B359,'Base stats'!B:B,'Base stats'!AS:AS)/1000)^(2/3)+_xlfn.XLOOKUP(B359,'Base stats'!B:B,'Base stats'!AY:AY)+_xlfn.XLOOKUP(B359,'Base stats'!B:B,'Base stats'!BA:BA))+0.5,0.5))</f>
        <v>No</v>
      </c>
      <c r="AJ359" s="7" t="str">
        <f>IF(AI359="No","No",MAX(_xlfn.XLOOKUP(_xlfn.XLOOKUP(B359,'Base stats'!B:B,'Base stats'!E:E),Groups!A:A,Groups!AE:AE),MROUND(_xlfn.XLOOKUP(_xlfn.XLOOKUP(B359,'Base stats'!B:B,'Base stats'!E:E),Groups!A:A,Groups!AE:AE)*IF(_xlfn.XLOOKUP(_xlfn.XLOOKUP(B359,'Base stats'!B:B,'Base stats'!E:E),Groups!A:A,Groups!AJ:AJ)="Photonozoa",0.6,1)*_xlfn.XLOOKUP(B359,'Base stats'!B:B,'Base stats'!C:C)^0.165,0.05)))</f>
        <v>No</v>
      </c>
      <c r="AK359" s="7" t="str">
        <f>IF(AI359="No","No",_xlfn.XLOOKUP(_xlfn.XLOOKUP(B359,'Base stats'!B:B,'Base stats'!E:E),Groups!A:A,Groups!AF:AF))</f>
        <v>No</v>
      </c>
      <c r="AL359" s="7" t="str">
        <f>IF(AI359="No","No",_xlfn.XLOOKUP(_xlfn.XLOOKUP(B359,'Base stats'!B:B,'Base stats'!E:E),Groups!A:A,Groups!AG:AG))</f>
        <v>No</v>
      </c>
      <c r="AM359" s="7" t="str">
        <f>IF(AI359="No","No",_xlfn.XLOOKUP(_xlfn.XLOOKUP(B359,'Base stats'!B:B,'Base stats'!E:E),Groups!A:A,Groups!AH:AH))</f>
        <v>No</v>
      </c>
      <c r="AN359" s="2">
        <f t="shared" si="35"/>
        <v>25</v>
      </c>
      <c r="AO359" s="2">
        <f>MROUND(IF(AND(_xlfn.XLOOKUP(B359,'Base stats'!B:B,'Base stats'!C:C)&gt;=0.5,_xlfn.XLOOKUP(B359,'Base stats'!B:B,'Base stats'!C:C)&lt;=0.8),
IF(_xlfn.XLOOKUP(B359,'Base stats'!B:B,'Base stats'!C:C)&lt;0.1,0.05,IF(_xlfn.XLOOKUP(B359,'Base stats'!B:B,'Base stats'!C:C)&lt;=70,(_xlfn.XLOOKUP(B359,'Base stats'!B:B,'Base stats'!C:C)/70)^0.426489913056526,IF(_xlfn.XLOOKUP(B359,'Base stats'!B:B,'Base stats'!C:C)&lt;=400,(_xlfn.XLOOKUP(B359,'Base stats'!B:B,'Base stats'!C:C)/70)^0.572811455315093,IF(_xlfn.XLOOKUP(B359,'Base stats'!B:B,'Base stats'!C:C)&lt;=2000,2.71391647193063*(_xlfn.XLOOKUP(B359,'Base stats'!B:B,'Base stats'!C:C)/400)^0.252459582904293,3.74314280240376*(_xlfn.XLOOKUP(B359,'Base stats'!B:B,'Base stats'!C:C)/2000)^0.357012633876913)))),
IF(_xlfn.XLOOKUP(B359,'Base stats'!B:B,'Base stats'!C:C)&lt;0.1,0.05,IF(_xlfn.XLOOKUP(B359,'Base stats'!B:B,'Base stats'!C:C)&lt;0.4,0.1,IF(_xlfn.XLOOKUP(B359,'Base stats'!B:B,'Base stats'!C:C)&lt;=70,(_xlfn.XLOOKUP(B359,'Base stats'!B:B,'Base stats'!C:C)/70)^0.445823913056526,IF(_xlfn.XLOOKUP(B359,'Base stats'!B:B,'Base stats'!C:C)&lt;=400,(_xlfn.XLOOKUP(B359,'Base stats'!B:B,'Base stats'!C:C)/70)^0.572811455315093,IF(_xlfn.XLOOKUP(B359,'Base stats'!B:B,'Base stats'!C:C)&lt;=2000,2.71391647193063*(_xlfn.XLOOKUP(B359,'Base stats'!B:B,'Base stats'!C:C)/400)^0.252459582904293,3.74314280240376*(_xlfn.XLOOKUP(B359,'Base stats'!B:B,'Base stats'!C:C)/2000)^0.357012633876913)))))),
IF(_xlfn.XLOOKUP(B359,'Base stats'!B:B,'Base stats'!C:C)&lt;0.1,0.05,IF(_xlfn.XLOOKUP(B359,'Base stats'!B:B,'Base stats'!C:C)&lt;=100,0.05,IF(_xlfn.XLOOKUP(B359,'Base stats'!B:B,'Base stats'!C:C)&lt;=250,0.1,IF(_xlfn.XLOOKUP(B359,'Base stats'!B:B,'Base stats'!C:C)&lt;=4000,0.25,0.5)))))</f>
        <v>1.9000000000000001</v>
      </c>
      <c r="AP359" s="8">
        <f>MROUND(AO359*_xlfn.XLOOKUP(_xlfn.XLOOKUP(B359,'Base stats'!B:B,'Base stats'!E:E),Groups!A:A,Groups!AI:AI)*_xlfn.XLOOKUP(B359,'Base stats'!B:B,'Base stats'!Z:Z),0.05)</f>
        <v>2.3000000000000003</v>
      </c>
      <c r="AQ359" s="8">
        <f>MAX(0.01,MROUND(IF(CC359="True",0.196*(AO359*100*1000)^0.889,IF(_xlfn.XLOOKUP(_xlfn.XLOOKUP(B359,'Base stats'!B:B,'Base stats'!E:E),Groups!A:A,Groups!AJ:AJ)="Bird",10.5*(AO359*100*1000)^0.681,4.82*(AO359*100*1000)^0.734))/(4.82*(1*100*1000)^0.734)/IF(AO359&lt;3.5,2,IF(AO359=3.5,1.5,1.25))*(1+0.132282374779864/(AO359^0.994035016789033+0.00905238001496948)),0.05))</f>
        <v>1</v>
      </c>
      <c r="AR359" s="9">
        <f>IFERROR(MROUND(_xlfn.XLOOKUP(B359,'Base stats'!B:B,'Base stats'!H:H)/IF(_xlfn.XLOOKUP(B359,'Base stats'!B:B,'Base stats'!I:I)&lt;&gt;1,(122.5/70),1.2),IF(_xlfn.XLOOKUP(B359,'Base stats'!B:B,'Base stats'!H:H)&gt;=30,5,IF(_xlfn.XLOOKUP(B359,'Base stats'!B:B,'Base stats'!H:H)&gt;=15,3,IF(_xlfn.XLOOKUP(B359,'Base stats'!B:B,'Base stats'!H:H)&gt;=10,2,1)))),"Immortal")</f>
        <v>21</v>
      </c>
      <c r="AS359" s="35" t="str">
        <f>IFERROR(IF(OR(_xlfn.XLOOKUP(B359,'Base stats'!B:B,'Base stats'!F:F)="Atypical reproduction",_xlfn.XLOOKUP(B359,'Base stats'!B:B,'Base stats'!F:F)="Lay eggs"),"Lay eggs",MIN(20,MAX(5.5,ROUND(((_xlfn.XLOOKUP(B359,'Base stats'!B:B,'Base stats'!F:F)-25)*(14.5/615) + 5.5)*2,0)/2))),"Unknown")</f>
        <v>Lay eggs</v>
      </c>
      <c r="AT359" s="8">
        <f>IF(_xlfn.XLOOKUP(B359,'Base stats'!B:B,'Base stats'!G:G)="Atypical reproduction","No",IFERROR(MAX(IF(_xlfn.XLOOKUP(B359,'Base stats'!B:B,'Base stats'!G:G)&lt;0.5,0.2,0.3),MROUND(_xlfn.XLOOKUP(B359,'Base stats'!B:B,'Base stats'!G:G)/(365/60),0.2)),"Unknown"))</f>
        <v>0.60000000000000009</v>
      </c>
      <c r="AU359" s="8">
        <f t="shared" si="36"/>
        <v>0.30000000000000004</v>
      </c>
      <c r="AV359" s="8" t="str">
        <f>IFERROR(IFERROR(MROUND(_xlfn.XLOOKUP(B359,'Base stats'!B:B,'Base stats'!J:J),0.1),"Lay eggs"),"Cannot breed")</f>
        <v>Lay eggs</v>
      </c>
      <c r="AW359" s="2" t="str">
        <f t="shared" si="37"/>
        <v>false</v>
      </c>
      <c r="AX359" s="2" t="str">
        <f>IF(_xlfn.XLOOKUP(_xlfn.XLOOKUP(Animals!B359,'Base stats'!B:B,'Base stats'!E:E),Groups!A:A,Groups!AK:AK)=1,"true","false")</f>
        <v>false</v>
      </c>
      <c r="AY359" s="25" t="str">
        <f>IF(_xlfn.XLOOKUP(B359,'Base stats'!B:B,'Base stats'!Y:Y)="Liquor","Liquor, CarnivoreAnimalStrict",IF(AND(_xlfn.XLOOKUP(B359,'Base stats'!B:B,'Base stats'!Y:Y)="Carnivore",_xlfn.XLOOKUP(_xlfn.XLOOKUP(B359,'Base stats'!B:B,'Base stats'!E:E),Groups!A:A,Groups!AJ:AJ)="Photonozoa"),"CarnivoreAnimalStrict, OvivoreAnimal",IF(_xlfn.XLOOKUP(B359,'Base stats'!B:B,'Base stats'!Y:Y)="Carnivore","CarnivoreAnimal, OvivoreAnimal",IF(_xlfn.XLOOKUP(B359,'Base stats'!B:B,'Base stats'!Y:Y)="Dendrovore","VegetarianRoughAnimal, DendrovoreAnimal",IF(_xlfn.XLOOKUP(B359,'Base stats'!B:B,'Base stats'!Y:Y)="Herbivore","VegetarianRoughAnimal",IF(_xlfn.XLOOKUP(B359,'Base stats'!B:B,'Base stats'!Y:Y)="OmnivoreRough","OmnivoreRoughAnimal, OvivoreAnimal","OmnivoreAnimal, OvivoreAnimal"))))))</f>
        <v>CarnivoreAnimal, OvivoreAnimal</v>
      </c>
      <c r="AZ359" s="2" t="str">
        <f>IF(_xlfn.XLOOKUP(_xlfn.XLOOKUP(B359,'Base stats'!B:B,'Base stats'!E:E),Groups!A:A,Groups!D:D)=1,MROUND((1-J359)*5+1,2)*IF(J359&lt;=0.4,2,1),"No")</f>
        <v>No</v>
      </c>
      <c r="BA359" s="2" t="str">
        <f>IF(AND(_xlfn.XLOOKUP(B359,'Base stats'!B:B,'Base stats'!AH:AH)="&lt;li&gt;Seal&lt;/li&gt;",G359="Odyssey"),"&lt;li&gt;AEXP_Seal&lt;/li&gt;",_xlfn.XLOOKUP(B359,'Base stats'!B:B,'Base stats'!AH:AH))</f>
        <v>No</v>
      </c>
      <c r="BB359" s="2" t="str">
        <f>_xlfn.XLOOKUP(B359,'Base stats'!B:B,'Base stats'!AG:AG)</f>
        <v>Leather_Raptor</v>
      </c>
      <c r="BC359" s="23" t="str">
        <f>_xlfn.XLOOKUP(_xlfn.XLOOKUP(B359,'Base stats'!B:B,'Base stats'!E:E),Groups!A:A,Groups!AL:AL)</f>
        <v>Theropod</v>
      </c>
      <c r="BD359" s="23">
        <f>MIN(1,MROUND(IF(AND(AO359&lt;0.5,_xlfn.XLOOKUP(B359,'Base stats'!B:B,'Base stats'!AA:AA)=0),0,IF(OR(_xlfn.XLOOKUP(Animals!B359,'Base stats'!B:B,'Base stats'!O:O)=2,_xlfn.XLOOKUP(_xlfn.XLOOKUP(B359,'Base stats'!B:B,'Base stats'!E:E),Groups!A:A,Groups!AN:AN)=0),0,_xlfn.XLOOKUP(_xlfn.XLOOKUP(B359,'Base stats'!B:B,'Base stats'!E:E),Groups!A:A,Groups!AN:AN)/IF(_xlfn.XLOOKUP(Animals!B359,'Base stats'!B:B,'Base stats'!O:O)=1,2,1)))+_xlfn.XLOOKUP(B359,'Base stats'!B:B,'Base stats'!AC:AC),0.005))</f>
        <v>0.1</v>
      </c>
      <c r="BE359" s="23">
        <f>MIN(1,MROUND(IF(AND(AO359&lt;0.5,_xlfn.XLOOKUP(B359,'Base stats'!B:B,'Base stats'!AA:AA)=0),0,IF(_xlfn.XLOOKUP(_xlfn.XLOOKUP(B359,'Base stats'!B:B,'Base stats'!E:E),Groups!A:A,Groups!AO:AO)=0,0,_xlfn.XLOOKUP(_xlfn.XLOOKUP(B359,'Base stats'!B:B,'Base stats'!E:E),Groups!A:A,Groups!AO:AO)/IF(_xlfn.XLOOKUP(Animals!B359,'Base stats'!B:B,'Base stats'!O:O)=2,3,1)))+_xlfn.XLOOKUP(B359,'Base stats'!B:B,'Base stats'!AD:AD),0.005))</f>
        <v>0.3</v>
      </c>
      <c r="BF359" s="2" t="str">
        <f>IF(J359&gt;0.3,"No",_xlfn.XLOOKUP(_xlfn.XLOOKUP(Animals!B359,'Base stats'!B:B,'Base stats'!E:E),Groups!A:A,Groups!AP:AP))</f>
        <v>No</v>
      </c>
      <c r="BG359" s="2" t="str">
        <f>IF(AND(J359&lt;=0.65,_xlfn.XLOOKUP(_xlfn.XLOOKUP(Animals!B359,'Base stats'!B:B,'Base stats'!E:E),Groups!A:A,Groups!AP:AP)&lt;&gt;"No",_xlfn.XLOOKUP(_xlfn.XLOOKUP(B359,'Base stats'!B:B,'Base stats'!E:E),Groups!A:A,Groups!D:D)=0),MROUND((80/3)*IF(_xlfn.XLOOKUP(B359,'Base stats'!B:B,'Base stats'!O:O)=2,0.2,AO359) + 24*(1-IF(BF359="No",0,BF359)) + 16/3, 12),"No")</f>
        <v>No</v>
      </c>
      <c r="BH359" s="2">
        <f>IF(AND(_xlfn.XLOOKUP(_xlfn.XLOOKUP(B359,'Base stats'!B:B,'Base stats'!E:E),Groups!A:A,Groups!AQ:AQ)=1,AO359&lt;=0.35),8,12)</f>
        <v>12</v>
      </c>
      <c r="BI359" s="2" t="str">
        <f>IF(_xlfn.XLOOKUP(_xlfn.XLOOKUP(B359,'Base stats'!B:B,'Base stats'!E:E),Groups!A:A,Groups!D:D)=0,_xlfn.XLOOKUP(_xlfn.XLOOKUP(B359,'Base stats'!B:B,'Base stats'!E:E),Groups!A:A,Groups!AR:AR),"None")</f>
        <v>Intermediate</v>
      </c>
      <c r="BJ359" s="2" t="str">
        <f>IF(AND(_xlfn.XLOOKUP(_xlfn.XLOOKUP(B359,'Base stats'!B:B,'Base stats'!E:E),Groups!A:A,Groups!AS:AS)=1,OR(_xlfn.XLOOKUP(B359,'Base stats'!B:B,'Base stats'!Y:Y)="Carnivore",_xlfn.XLOOKUP(B359,'Base stats'!B:B,'Base stats'!Y:Y)="Omnivore")),"true","false")</f>
        <v>true</v>
      </c>
      <c r="BK359" s="2">
        <f>IF(BJ359="true",MROUND(IF(AND(AO359&gt;0.5,OR(_xlfn.XLOOKUP(_xlfn.XLOOKUP(B359,'Base stats'!B:B,'Base stats'!E:E),Groups!A:A,Groups!AJ:AJ)="Photonozoa",_xlfn.XLOOKUP(_xlfn.XLOOKUP(B359,'Base stats'!B:B,'Base stats'!E:E),Groups!A:A,Groups!AJ:AJ)="Mammal")),Animals!AO359*1.75*IF(AW359="true",1.5,1),IF(AO359&lt;0.5,Animals!AO359*0.5,Animals!AO359)),IF(AO359&gt;2,0.5,IF(AO359&gt;0.5,0.25,0.1))),"No")</f>
        <v>2</v>
      </c>
      <c r="BL359" s="2">
        <f t="shared" si="38"/>
        <v>1</v>
      </c>
      <c r="BM359" s="25" t="str">
        <f>IF(_xlfn.XLOOKUP(B359,'Base stats'!B:B,'Base stats'!AN:AN)="Standard","No",MROUND((_xlfn.XLOOKUP(B359,'Base stats'!B:B,'Base stats'!AN:AN)/3.6)/I359,0.1))</f>
        <v>No</v>
      </c>
      <c r="BN359" s="25" t="str">
        <f t="shared" si="39"/>
        <v>false</v>
      </c>
      <c r="BO359" s="25" t="str">
        <f>IF(AND(OR(_xlfn.XLOOKUP(B359,'Base stats'!B:B,'Base stats'!Y:Y)="Carnivore",_xlfn.XLOOKUP(B359,'Base stats'!B:B,'Base stats'!Y:Y)="Omnivore",_xlfn.XLOOKUP(B359,'Base stats'!B:B,'Base stats'!Y:Y)="OmnivoreRough"),_xlfn.XLOOKUP(_xlfn.XLOOKUP(B359,'Base stats'!B:B,'Base stats'!E:E),Groups!A:A,Groups!AT:AT)=1),"true","false")</f>
        <v>false</v>
      </c>
      <c r="BP359" s="25" t="str" cm="1">
        <f t="array" ref="BP359">IF(
  _xlfn.TEXTJOIN(", ",TRUE,
    IF(AND(BJ359="true",AO359&gt;0.5,BI359&lt;&gt;"None"),"AttackTarget",""),
    IF(AND(_xlfn.XLOOKUP(_xlfn.XLOOKUP(B359,'Base stats'!B:B,'Base stats'!E:E),Groups!A:A,Groups!AJ:AJ="Mammal"),OR(_xlfn.XLOOKUP(B359,'Base stats'!B:B,'Base stats'!Y:Y)="Omnivore",_xlfn.XLOOKUP(B359,'Base stats'!B:B,'Base stats'!Y:Y)="OmnivoreRough")),"Forage",""),
    IF(BG359&lt;=36,"Comfort",""),
    IF(_xlfn.XLOOKUP(B359,'Base stats'!B:B,'Base stats'!AE:AE)&lt;&gt;"No",_xlfn.XLOOKUP(B359,'Base stats'!B:B,'Base stats'!AE:AE),"")
  ) = "",
  "No",
  _xlfn.TEXTJOIN(", ",TRUE,
    IF(AND(BJ359="true",AO359&gt;0.5,BI359&lt;&gt;"None"),"AttackTarget",""),
    IF(AND(_xlfn.XLOOKUP(_xlfn.XLOOKUP(B359,'Base stats'!B:B,'Base stats'!E:E),Groups!A:A,Groups!AJ:AJ="Mammal"),OR(_xlfn.XLOOKUP(B359,'Base stats'!B:B,'Base stats'!Y:Y)="Omnivore",_xlfn.XLOOKUP(B359,'Base stats'!B:B,'Base stats'!Y:Y)="OmnivoreRough")),"Forage",""),
    IF(BG359&lt;=36,"Comfort",""),
    IF(_xlfn.XLOOKUP(B359,'Base stats'!B:B,'Base stats'!AE:AE)&lt;&gt;"No",_xlfn.XLOOKUP(B359,'Base stats'!B:B,'Base stats'!AE:AE),"")
  )
)</f>
        <v>AttackTarget</v>
      </c>
      <c r="BQ359" s="25" t="str">
        <f>IF(
   AND(
      'Base stats'!AN359="Standard",_xlfn.XLOOKUP(_xlfn.XLOOKUP(B359,'Base stats'!B:B,'Base stats'!E:E),Groups!A:A,Groups!AU:AU)=0,
      OR(
      BO359="True"
      )
   ),
   10,
   IF(
       OR(BM359&lt;&gt;"No",_xlfn.XLOOKUP(_xlfn.XLOOKUP(B359,'Base stats'!B:B,'Base stats'!E:E),Groups!A:A,Groups!AU:AU)=1),
      1,
      "No"
   )
)</f>
        <v>No</v>
      </c>
      <c r="BR359" s="9">
        <f>MROUND((1 + ((0.2*IF(OR(Q359="No",R359="No",R359=0),0,Q359/R359)
+IF(OR(V359="No",S359="No",T359="No"),0,S359/T359*(LEN(V359)-LEN(SUBSTITUTE(V359,",",""))+1))
+IF(OR(X359="No",Y359="No"),0,X359/Y359)
+IF(OR(AD359="No",AE359="No"),0,AD359/AE359)
+IF(OR(AL359="No",AI359="No",AJ359="No"),0,AI359/AJ359*(LEN(AL359)-LEN(SUBSTITUTE(AL359,",",""))+1))
)/(0.2*IF(OR(Q359="No",R359="No",R359=0),0,1)
+IF(OR(V359="No",S359="No",T359="No"),0,LEN(V359)-LEN(SUBSTITUTE(V359,",",""))+1)
+IF(OR(X359="No",Y359="No"),0,1)
+IF(OR(AD359="No",AE359="No"),0,1)
+IF(OR(AL359="No",AI359="No",AJ359="No"),0,LEN(AL359)-LEN(SUBSTITUTE(AL359,",",""))+1))*62%)* 2)*(1 + (AP359 / (IF(_xlfn.XLOOKUP(_xlfn.XLOOKUP(B359,'Base stats'!B:B,'Base stats'!E:E),Groups!A:A,Groups!AJ:AJ)="Photonozoa",0.3,1)) + _xlfn.XLOOKUP(B359,'Base stats'!B:B,'Base stats'!AV:AV) * 1.8) * 2) * 2.5 + 10 + I359 * 2,5)+IF(_xlfn.XLOOKUP(B359,'Base stats'!B:B,'Base stats'!AK:AK)=1,50,0)</f>
        <v>180</v>
      </c>
      <c r="BS359" s="8">
        <f t="shared" si="40"/>
        <v>1.2000000000000002</v>
      </c>
      <c r="BT359" s="8" t="str">
        <f>_xlfn.XLOOKUP(B359,'Base stats'!B:B,'Base stats'!AF:AF)</f>
        <v>No</v>
      </c>
      <c r="BU359" s="2" t="str">
        <f>IF(AND(J359&lt;=0.95,OR(_xlfn.XLOOKUP(B359,'Base stats'!B:B,'Base stats'!AK:AK)=1,_xlfn.XLOOKUP(B359,'Base stats'!B:B,'Base stats'!Y:Y)="Carnivore",_xlfn.XLOOKUP(B359,'Base stats'!B:B,'Base stats'!Y:Y)="Omnivore",BE359&gt;0.1)),"true","false")</f>
        <v>true</v>
      </c>
      <c r="BV359" s="2" t="str">
        <f>IF(_xlfn.XLOOKUP(B359,'Base stats'!B:B,'Base stats'!AI:AI)=1,"true","false")</f>
        <v>false</v>
      </c>
      <c r="BW359" s="25" t="str">
        <f>IF(E359="BaseInsect","AnimalInsect",
IF(J359&gt;0.95,"AnimalExotic",
_xlfn.TEXTJOIN(", ",TRUE,
IF(OR(_xlfn.XLOOKUP(B359,'Base stats'!B:B,'Base stats'!AM:AM)=1,AND(_xlfn.XLOOKUP(B359,'Base stats'!B:B,'Base stats'!O:O)=0,_xlfn.XLOOKUP(_xlfn.XLOOKUP(B359,'Base stats'!B:B,'Base stats'!E:E),Groups!A:A,Groups!B:B)&gt;0)),"AnimalUncommon","AnimalCommon"),
IF(AND(_xlfn.XLOOKUP(B359,'Base stats'!B:B,'Base stats'!O:O)=2,_xlfn.XLOOKUP(_xlfn.XLOOKUP(B359,'Base stats'!B:B,'Base stats'!E:E),Groups!A:A,Groups!D:D)=0),"AnimalPet",IF(AND(_xlfn.XLOOKUP(B359,'Base stats'!B:B,'Base stats'!O:O)&lt;&gt;0,_xlfn.XLOOKUP(_xlfn.XLOOKUP(B359,'Base stats'!B:B,'Base stats'!E:E),Groups!A:A,Groups!D:D)&lt;&gt;0),"AnimalFarm","")),
IF(OR(_xlfn.XLOOKUP(B359,'Base stats'!B:B,'Base stats'!AK:AK)=1,AND(BI359&lt;&gt;"None",BR359&gt;=60),ISNUMBER(SEARCH("Attack target",BP359))),"AnimalFighter","")
)))</f>
        <v>AnimalUncommon, AnimalFighter</v>
      </c>
      <c r="BX359" s="25" t="str">
        <f>IF(G359="None",TRIM(
SUBSTITUTE(
IF(COUNTIF(Biomes!B$2:B$259,"="&amp;$C359)&gt;0,Biomes!B$1&amp;", ","")&amp;
IF(COUNTIF(Biomes!C$2:C$259,"="&amp;$C359)&gt;0,Biomes!C$1&amp;", ","")&amp;
IF(COUNTIF(Biomes!D$2:D$259,"="&amp;$C359)&gt;0,Biomes!D$1&amp;", ","")&amp;
IF(COUNTIF(Biomes!F$2:F$259,"="&amp;$C359)&gt;0,Biomes!F$1&amp;", ","")&amp;
IF(COUNTIF(Biomes!G$2:G$259,"="&amp;$C359)&gt;0,Biomes!G$1&amp;", ","")&amp;
IF(COUNTIF(Biomes!H$2:H$259,"="&amp;$C359)&gt;0,Biomes!H$1&amp;", ","")&amp;
IF(COUNTIF(Biomes!I$2:I$259,"="&amp;$C359)&gt;0,Biomes!I$1&amp;", ","")&amp;
IF(COUNTIF(Biomes!J$2:J$259,"="&amp;$C359)&gt;0,Biomes!J$1&amp;", ","")&amp;
IF(COUNTIF(Biomes!M$2:M$259,"="&amp;$C359)&gt;0,Biomes!M$1&amp;", ","")&amp;
IF(COUNTIF(Biomes!N$2:N$259,"="&amp;$C359)&gt;0,Biomes!N$1&amp;", ","")&amp;
IF(COUNTIF(Biomes!O$2:O$259,"="&amp;$C359)&gt;0,Biomes!O$1&amp;", ","")&amp;
IF(COUNTIF(Biomes!P$2:P$259,"="&amp;$C359)&gt;0,Biomes!P$1&amp;", ","")&amp;
IF(COUNTIF(Biomes!K$2:K$259,"="&amp;$C359)&gt;0,Biomes!K$1&amp;", ","")&amp;
IF(COUNTIF(Biomes!Q$3:Q$259,"="&amp;$C359)&gt;0,Biomes!Q$1&amp;", ","")&amp;
IF(COUNTIF(Biomes!L$2:L$259,"="&amp;$C359)&gt;0,Biomes!L$1&amp;", ","")&amp;
IF(COUNTIF(Biomes!E$2:E$259,"="&amp;$C359)&gt;0,Biomes!E$1&amp;", ","")&amp;IF(COUNTIF(Biomes!S$2:S$259,"="&amp;$C359)&gt;0,Biomes!S$1&amp;", ","")&amp;
IF(COUNTIF(Biomes!R$2:R$259,"="&amp;$C359)&gt;0,Biomes!R$1&amp;", ",""),", ","")
),_xlfn.XLOOKUP(B359,B:B,BX:BX))</f>
        <v>TemperateForest TemperateSwamp</v>
      </c>
      <c r="BY359" s="25" t="str">
        <f>IF(_xlfn.XLOOKUP(B359,'Base stats'!B:B,'Base stats'!AJ:AJ)=1,"true","false")</f>
        <v>false</v>
      </c>
      <c r="BZ359" s="25">
        <f>IF(_xlfn.XLOOKUP(B359,'Base stats'!B:B,'Base stats'!N:N)=1,"No",MAX(0.001,MIN(MROUND(IF(AND(BJ359="True",CC359="False"),POWER(10,3.47*LOG10(_xlfn.XLOOKUP(B359,'Base stats'!B:B,'Base stats'!C:C)*1000)^-0.96),POWER(10,4.15*LOG10(_xlfn.XLOOKUP(B359,'Base stats'!B:B,'Base stats'!C:C)*1000)^-0.73))*IF(_xlfn.XLOOKUP(B359,'Base stats'!B:B,'Base stats'!AK:AK)=1,0.5,1)*IF(_xlfn.XLOOKUP(B359,'Base stats'!B:B,'Base stats'!AM:AM)=1,0.1,1)/100,IF(_xlfn.XLOOKUP(B359,'Base stats'!B:B,'Base stats'!AM:AM)=1,0.001,0.025)),0.5)))</f>
        <v>0.05</v>
      </c>
      <c r="CA359" s="25" t="str">
        <f>IF(P359="Standard","No",MAX(0.001,MIN(MROUND(IF(AND(BJ359="True",CC359="False"),POWER(10,3.47*LOG10(_xlfn.XLOOKUP(B359,'Base stats'!B:B,'Base stats'!C:C)*1000)^-0.96),POWER(10,4.15*LOG10(_xlfn.XLOOKUP(B359,'Base stats'!B:B,'Base stats'!C:C)*1000)^-0.73))*IF(_xlfn.XLOOKUP(B359,'Base stats'!B:B,'Base stats'!AM:AM)=1,0.1,1)*_xlfn.XLOOKUP(B359,'Base stats'!B:B,'Base stats'!R:R)/100,IF(_xlfn.XLOOKUP(B359,'Base stats'!B:B,'Base stats'!AM:AM)=1,0.001,0.025)),0.5)))</f>
        <v>No</v>
      </c>
      <c r="CB359" s="25" t="str">
        <f>IF(_xlfn.XLOOKUP(_xlfn.XLOOKUP(B359,'Base stats'!B:B,'Base stats'!E:E),Groups!A:A,Groups!AJ:AJ)="Mammal","True","False")</f>
        <v>False</v>
      </c>
      <c r="CC359" s="25" t="str">
        <f>IF(OR(_xlfn.XLOOKUP(_xlfn.XLOOKUP(B359,'Base stats'!B:B,'Base stats'!E:E),Groups!A:A,Groups!AJ:AJ)="Reptile",_xlfn.XLOOKUP(_xlfn.XLOOKUP(B359,'Base stats'!B:B,'Base stats'!E:E),Groups!A:A,Groups!AJ:AJ)="Amphibian",_xlfn.XLOOKUP(_xlfn.XLOOKUP(B359,'Base stats'!B:B,'Base stats'!E:E),Groups!A:A,Groups!AJ:AJ)="Invertebrate"),"True","False")</f>
        <v>False</v>
      </c>
      <c r="CD359" s="25" t="str">
        <f t="shared" si="41"/>
        <v>False</v>
      </c>
      <c r="CE359" s="25" t="str">
        <f>IF(_xlfn.XLOOKUP(_xlfn.XLOOKUP(B359,'Base stats'!B:B,'Base stats'!E:E),Groups!A:A,Groups!AX:AX),"True","False")</f>
        <v>False</v>
      </c>
      <c r="CF359" s="25" t="str">
        <f>IF(_xlfn.XLOOKUP(_xlfn.XLOOKUP(B359,'Base stats'!B:B,'Base stats'!E:E),Groups!A:A,Groups!AY:AY),"True","False")</f>
        <v>False</v>
      </c>
      <c r="CG359" s="25" t="str">
        <f>IF(_xlfn.XLOOKUP(_xlfn.XLOOKUP(B359,'Base stats'!B:B,'Base stats'!E:E),Groups!A:A,Groups!AW:AW),"True","False")</f>
        <v>False</v>
      </c>
      <c r="CH359" s="25" t="str">
        <f>IF(
OR(
_xlfn.XLOOKUP(_xlfn.XLOOKUP(B359,'Base stats'!B:B,'Base stats'!E:E),Groups!A:A,Groups!AZ:AZ)=0,
AND(
_xlfn.XLOOKUP(B359,'Base stats'!B:B,'Base stats'!Y:Y)&lt;&gt;"Carnivore",
_xlfn.XLOOKUP(B359,'Base stats'!B:B,'Base stats'!Y:Y)&lt;&gt;"Omnivore",
_xlfn.XLOOKUP(B359,'Base stats'!B:B,'Base stats'!Y:Y)&lt;&gt;"OmnivoreRough"
)
),
"No",
IF(
_xlfn.XLOOKUP(_xlfn.XLOOKUP(B359,'Base stats'!B:B,'Base stats'!E:E),Groups!A:A,Groups!AZ:AZ)=1,
"Flesh",
IF(
_xlfn.XLOOKUP(_xlfn.XLOOKUP(B359,'Base stats'!B:B,'Base stats'!E:E),Groups!A:A,Groups!AZ:AZ)=2,
"Bone",
""
)
)
)</f>
        <v>No</v>
      </c>
      <c r="CI359" s="25" t="str">
        <f>IF(_xlfn.XLOOKUP(_xlfn.XLOOKUP(B359,'Base stats'!B:B,'Base stats'!E:E),Groups!A:A,Groups!BB:BB),"True","False")</f>
        <v>False</v>
      </c>
      <c r="CJ359" s="25" t="str">
        <f>IF(_xlfn.XLOOKUP(_xlfn.XLOOKUP(B359,'Base stats'!B:B,'Base stats'!E:E),Groups!A:A,Groups!BA:BA),"True","False")</f>
        <v>False</v>
      </c>
    </row>
    <row r="360" spans="1:88" ht="16.5" thickTop="1" thickBot="1" x14ac:dyDescent="0.3">
      <c r="A360" s="26" t="s">
        <v>1951</v>
      </c>
      <c r="B360" s="6" t="str">
        <f>_xlfn.XLOOKUP(A360,'Base stats'!A:A,'Base stats'!B:B)</f>
        <v>Dilophosaurus wetherilli</v>
      </c>
      <c r="C360" s="28" t="s">
        <v>2034</v>
      </c>
      <c r="D360" s="28" t="s">
        <v>1898</v>
      </c>
      <c r="E360" s="28" t="s">
        <v>673</v>
      </c>
      <c r="F360" s="28" t="s">
        <v>673</v>
      </c>
      <c r="G360" s="28" t="s">
        <v>673</v>
      </c>
      <c r="H360" s="2">
        <f>MROUND((
  (IF(AND(_xlfn.XLOOKUP(B360,'Base stats'!B:B,'Base stats'!AL:AL)=0,BI360="None",_xlfn.XLOOKUP(_xlfn.XLOOKUP(B360,'Base stats'!B:B,'Base stats'!E:E),Groups!A:A,Groups!B:B)=0), (18 + BR360 * 2.7) * 0.5,
    IF(AND(_xlfn.XLOOKUP(B360,'Base stats'!B:B,'Base stats'!AL:AL)=0,OR(AO360&lt;0.55,AND(BI360="Intermediate",_xlfn.XLOOKUP(_xlfn.XLOOKUP(B360,'Base stats'!B:B,'Base stats'!E:E),Groups!A:A,Groups!B:B)&lt;2))), (18 + BR360 * 2.7),
      IF(OR(BI360="Advanced",_xlfn.XLOOKUP(B360,'Base stats'!B:B,'Base stats'!AL:AL)=1,_xlfn.XLOOKUP(_xlfn.XLOOKUP(B360,'Base stats'!B:B,'Base stats'!E:E),Groups!A:A,Groups!B:B)=2), (18 + BR360 * 2.7) + 250, (18 + BR360 * 2.7))
    )
  ))
  + AO360 * 80
  + IF(COUNTIF(EggMilk!K$2:K$998, A360) &gt; 0, 125, 0)
  + IF(COUNTIF(EggMilk!P$2:P$998, A360) &gt; 0, 90, 0)
  + IF(COUNTIF(EggMilk!A$2:A$998, A360) &gt; 0, 90, 0)
)
* (0.8 + 0.4 * J360)
* 0.75,25)</f>
        <v>1000</v>
      </c>
      <c r="I360" s="2">
        <f>MROUND(ROUNDDOWN(_xlfn.XLOOKUP(B360,'Base stats'!B:B,'Base stats'!L:L)/3.6/(23.3/11),1),0.5)</f>
        <v>5</v>
      </c>
      <c r="J360" s="2">
        <f>IF(OR(_xlfn.XLOOKUP(B360,'Base stats'!B:B,'Base stats'!AB:AB)=1,_xlfn.XLOOKUP(_xlfn.XLOOKUP(B360,'Base stats'!B:B,'Base stats'!E:E),Groups!A:A,Groups!C:C)="Untamable"),1,IF(_xlfn.XLOOKUP(B360,'Base stats'!B:B,'Base stats'!AL:AL)=1,0.99,MIN(MROUND((1-0.6282*EXP(-0.459*AO360))*_xlfn.XLOOKUP(_xlfn.XLOOKUP(B360,'Base stats'!B:B,'Base stats'!E:E),Groups!A:A,Groups!C:C)*IF(_xlfn.XLOOKUP(B360,'Base stats'!B:B,'Base stats'!O:O)=1,0.5,IF(_xlfn.XLOOKUP(B360,'Base stats'!B:B,'Base stats'!O:O)=2,0,1)),0.05),IF(AO360&gt;3.5,0.985,0.95))))</f>
        <v>0.8</v>
      </c>
      <c r="K360" s="2">
        <f>ROUNDUP(AO360*_xlfn.XLOOKUP(_xlfn.XLOOKUP(B360,'Base stats'!B:B,'Base stats'!E:E),Groups!A:A,Groups!E:E),0)</f>
        <v>3</v>
      </c>
      <c r="L360" s="2">
        <f>IF(OR(_xlfn.XLOOKUP(_xlfn.XLOOKUP(B360,'Base stats'!B:B,'Base stats'!E:E),Groups!A:A,Groups!F:F)=2,ISNUMBER(SEARCH("SeaIce",BX360)),ISNUMBER(SEARCH("IceSheet",BX360))),-50,IF(OR(ISNUMBER(SEARCH("GlacialPlain",BX360)),ISNUMBER(SEARCH("Tundra",BX360))),-40,IF(OR(ISNUMBER(SEARCH("Alpine",BX360)),ISNUMBER(SEARCH("BorealForest",BX360)),ISNUMBER(SEARCH("ColdBog",BX360))),-30,IF(OR(ISNUMBER(SEARCH("TemperateForest",BX360)),ISNUMBER(SEARCH("TemperateSwamp",BX360))),-20,IF(_xlfn.XLOOKUP(_xlfn.XLOOKUP(B360,'Base stats'!B:B,'Base stats'!E:E),Groups!A:A,Groups!F:F)=1,-15,IF(OR(ISNUMBER(SEARCH("Desert",BX360)),ISNUMBER(SEARCH("ExtremeDesert",BX360))),-10,IF(OR(ISNUMBER(SEARCH("Grasslands",BX360)),ISNUMBER(SEARCH("TropicalRainforest",BX360)),ISNUMBER(SEARCH("TropicalSwamp",BX360))),10,0)))))))-IF(CC360="False",MIN(IFERROR(MAX(MROUND(LOG10(_xlfn.XLOOKUP(B360,'Base stats'!B:B,'Base stats'!C:C)^(2/3))*10,5),5),5),30))-_xlfn.XLOOKUP(B360,'Base stats'!B:B,'Base stats'!P:P)+IF(CC360="True",5,0)</f>
        <v>-5</v>
      </c>
      <c r="M360" s="2">
        <f>IF(OR(_xlfn.XLOOKUP(_xlfn.XLOOKUP(B360,'Base stats'!B:B,'Base stats'!E:E),Groups!A:A,Groups!G:G)=2,ISNUMBER(SEARCH("Desert",BX360)),ISNUMBER(SEARCH("ExtremeDesert",BX360)),ISNUMBER(SEARCH("LavaField",BX360))),50,IF(ISNUMBER(SEARCH("Grasslands",BX360)),45,IF(OR(_xlfn.XLOOKUP(_xlfn.XLOOKUP(B360,'Base stats'!B:B,'Base stats'!E:E),Groups!A:A,Groups!G:G)=1,ISNUMBER(SEARCH("TropicalRainforest",BX360)),ISNUMBER(SEARCH("TropicalSwamp",BX360))),40,IF(OR(ISNUMBER(SEARCH("TemperateForest",BX360)),ISNUMBER(SEARCH("TemperateSwamp",BX360))),35,IF(OR(ISNUMBER(SEARCH("Alpine",BX360)),ISNUMBER(SEARCH("BorealForest",BX360)),ISNUMBER(SEARCH("ColdBog",BX360))),30,IF(ISNUMBER(OR(ISNUMBER(SEARCH("GlacialPlain",BX360)),SEARCH("Tundra",BX360))),25,IF(OR(ISNUMBER(SEARCH("SeaIce",BX360)),ISNUMBER(SEARCH("IceSheet",BX360)),ISNUMBER(SEARCH("TropicalSwamp",BX360))),10,35)))))))+_xlfn.XLOOKUP(B360,'Base stats'!B:B,'Base stats'!Q:Q)</f>
        <v>40</v>
      </c>
      <c r="N360" s="8" t="str">
        <f>IF(
_xlfn.XLOOKUP(
_xlfn.XLOOKUP(B360,'Base stats'!B:B,'Base stats'!E:E),
Groups!A:A,
Groups!L:L
)=1,
MIN(
MROUND(
IF(
_xlfn.XLOOKUP(B360,'Animals CE'!B:B,'Animals CE'!Z:Z)&lt;=1.5,
_xlfn.XLOOKUP(B360,'Animals CE'!B:B,'Animals CE'!Z:Z)/2+0.05,
0.8+
(_xlfn.XLOOKUP(B360,'Animals CE'!B:B,'Animals CE'!Z:Z)-1.5)
*0.02
),
0.05
),
200%
),
"No"
)</f>
        <v>No</v>
      </c>
      <c r="O360" s="8" t="str">
        <f>IF(
_xlfn.XLOOKUP(
_xlfn.XLOOKUP(B360,'Base stats'!B:B,'Base stats'!E:E),
Groups!A:A,
Groups!L:L
)=1,
MIN(
MROUND(
IF(
_xlfn.XLOOKUP(B360,'Animals CE'!B:B,'Animals CE'!AA:AA)&lt;=1.5,
_xlfn.XLOOKUP(B360,'Animals CE'!B:B,'Animals CE'!AA:AA)/2+0.05,
0.8+
(_xlfn.XLOOKUP(B360,'Animals CE'!B:B,'Animals CE'!AA:AA)-1.5)
*0.02
),
0.05
),
200%
),
"No"
)</f>
        <v>No</v>
      </c>
      <c r="P360" s="2" t="str">
        <f>_xlfn.XLOOKUP(B360,'Base stats'!B:B,'Base stats'!R:R)</f>
        <v>Standard</v>
      </c>
      <c r="Q360" s="13">
        <f>MROUND((LOG10(_xlfn.XLOOKUP(B360,'Base stats'!B:B,'Base stats'!AR:AR))*(AO360^0.5)+(_xlfn.XLOOKUP(B360,'Base stats'!B:B,'Base stats'!AR:AR)/1000)^(2/3)+_xlfn.XLOOKUP(B360,'Base stats'!B:B,'Base stats'!BA:BA)/2)+0.5,0.5)</f>
        <v>14.5</v>
      </c>
      <c r="R360" s="7">
        <f>IF(Q360="No","No",MAX(1,MROUND(_xlfn.XLOOKUP(B360,'Base stats'!B:B,'Base stats'!C:C)^0.165,0.05)))</f>
        <v>2.7</v>
      </c>
      <c r="S360" s="13">
        <f>IF(_xlfn.XLOOKUP(_xlfn.XLOOKUP(B360,'Base stats'!B:B,'Base stats'!E:E),Groups!A:A,Groups!P:P)=0,"No",MROUND((LOG10(_xlfn.XLOOKUP(B360,'Base stats'!B:B,'Base stats'!AS:AS))*(AO360^0.5)+(_xlfn.XLOOKUP(B360,'Base stats'!B:B,'Base stats'!AS:AS)/1000)^(2/3)+_xlfn.XLOOKUP(B360,'Base stats'!B:B,'Base stats'!BA:BA))+_xlfn.XLOOKUP(B360,'Base stats'!B:B,'Base stats'!AY:AY)+0.5,0.5))</f>
        <v>20.5</v>
      </c>
      <c r="T360" s="7">
        <f>IF(S360="No","No",MAX(_xlfn.XLOOKUP(_xlfn.XLOOKUP(B360,'Base stats'!B:B,'Base stats'!E:E),Groups!A:A,Groups!Q:Q),MROUND(_xlfn.XLOOKUP(_xlfn.XLOOKUP(B360,'Base stats'!B:B,'Base stats'!E:E),Groups!A:A,Groups!Q:Q)*_xlfn.XLOOKUP(B360,'Base stats'!B:B,'Base stats'!C:C)^0.165,0.05)))</f>
        <v>2.4000000000000004</v>
      </c>
      <c r="U360" s="7" t="str">
        <f>IF(S360="No","No",_xlfn.XLOOKUP(_xlfn.XLOOKUP(B360,'Base stats'!B:B,'Base stats'!E:E),Groups!A:A,Groups!R:R))</f>
        <v>Feet</v>
      </c>
      <c r="V360" s="7" t="str">
        <f>IF(S360="No","No",_xlfn.XLOOKUP(_xlfn.XLOOKUP(B360,'Base stats'!B:B,'Base stats'!E:E),Groups!A:A,Groups!S:S))</f>
        <v>rear left claw, rear  right claw</v>
      </c>
      <c r="W360" s="7" t="str">
        <f>IF(S360="No","No",_xlfn.XLOOKUP(_xlfn.XLOOKUP(B360,'Base stats'!B:B,'Base stats'!E:E),Groups!A:A,Groups!T:T))</f>
        <v>Scratch</v>
      </c>
      <c r="X360" s="13" t="str">
        <f>IF(_xlfn.XLOOKUP(B360,'Base stats'!B:B,'Base stats'!W:W)="No","No",MROUND((LOG10(_xlfn.XLOOKUP(B360,'Base stats'!B:B,'Base stats'!AU:AU))*(AO360^0.5)+(_xlfn.XLOOKUP(B360,'Base stats'!B:B,'Base stats'!AU:AU)/1000)^(2/3)+_xlfn.XLOOKUP(B360,'Base stats'!B:B,'Base stats'!AZ:AZ))+0.5+IF(_xlfn.XLOOKUP(_xlfn.XLOOKUP(B360,'Base stats'!B:B,'Base stats'!E:E),Groups!A:A,Groups!U:U)&lt;&gt;3,_xlfn.XLOOKUP(B360,'Base stats'!B:B,'Base stats'!BA:BA),0),0.5))</f>
        <v>No</v>
      </c>
      <c r="Y360" s="7" t="str">
        <f>IF(X360="No","No",MAX(_xlfn.XLOOKUP(_xlfn.XLOOKUP(B360,'Base stats'!B:B,'Base stats'!E:E),Groups!A:A,Groups!V:V),MROUND(_xlfn.XLOOKUP(_xlfn.XLOOKUP(B360,'Base stats'!B:B,'Base stats'!E:E),Groups!A:A,Groups!V:V)*_xlfn.XLOOKUP(B360,'Base stats'!B:B,'Base stats'!C:C)^0.165,0.05)))</f>
        <v>No</v>
      </c>
      <c r="Z360" s="7" t="str">
        <f>IF(X360="No","No",_xlfn.XLOOKUP(_xlfn.XLOOKUP(B360,'Base stats'!B:B,'Base stats'!E:E),Groups!A:A,Groups!W:W))</f>
        <v>No</v>
      </c>
      <c r="AA360" s="7" t="str">
        <f>IF(X360="No","No",_xlfn.XLOOKUP(_xlfn.XLOOKUP(B360,'Base stats'!B:B,'Base stats'!E:E),Groups!A:A,Groups!X:X))</f>
        <v>No</v>
      </c>
      <c r="AB360" s="7" t="str">
        <f>IF(X360="No","No",_xlfn.XLOOKUP(_xlfn.XLOOKUP(B360,'Base stats'!B:B,'Base stats'!E:E),Groups!A:A,Groups!Y:Y))</f>
        <v>No</v>
      </c>
      <c r="AC360" s="7" t="str">
        <f>_xlfn.XLOOKUP(Animals!B360,'Base stats'!B:B,'Base stats'!X:X)</f>
        <v>False</v>
      </c>
      <c r="AD360" s="13">
        <f>IF(_xlfn.XLOOKUP(B360,'Base stats'!B:B,'Base stats'!AT:AT)="No","No",MROUND((LOG10(_xlfn.XLOOKUP(B360,'Base stats'!B:B,'Base stats'!AT:AT))*(AO360^0.75)+(_xlfn.XLOOKUP(B360,'Base stats'!B:B,'Base stats'!AT:AT)/1000)^(2/3)+_xlfn.XLOOKUP(B360,'Base stats'!B:B,'Base stats'!AX:AX)+_xlfn.XLOOKUP(B360,'Base stats'!B:B,'Base stats'!BA:BA))+0.5,0.5))</f>
        <v>22.5</v>
      </c>
      <c r="AE360" s="7">
        <f>IF(AD360="No","No",MAX(_xlfn.XLOOKUP(_xlfn.XLOOKUP(B360,'Base stats'!B:B,'Base stats'!E:E),Groups!A:A,Groups!Z:Z),MROUND(_xlfn.XLOOKUP(_xlfn.XLOOKUP(B360,'Base stats'!B:B,'Base stats'!E:E),Groups!A:A,Groups!Z:Z)*_xlfn.XLOOKUP(B360,'Base stats'!B:B,'Base stats'!C:C)^0.165,0.05)))</f>
        <v>2</v>
      </c>
      <c r="AF360" s="7" t="str">
        <f>IF(AD360="No","No",_xlfn.XLOOKUP(_xlfn.XLOOKUP(B360,'Base stats'!B:B,'Base stats'!E:E),Groups!A:A,Groups!AA:AA))</f>
        <v>Teeth</v>
      </c>
      <c r="AG360" s="7" t="str">
        <f>IF(AD360="No","No",_xlfn.XLOOKUP(_xlfn.XLOOKUP(B360,'Base stats'!B:B,'Base stats'!E:E),Groups!A:A,Groups!AB:AB))</f>
        <v>teeth</v>
      </c>
      <c r="AH360" s="7" t="str">
        <f>IF(AD360="No","No",_xlfn.XLOOKUP(_xlfn.XLOOKUP(B360,'Base stats'!B:B,'Base stats'!E:E),Groups!A:A,Groups!AC:AC))</f>
        <v>Bite</v>
      </c>
      <c r="AI360" s="13" t="str">
        <f>IF(_xlfn.XLOOKUP(_xlfn.XLOOKUP(B360,'Base stats'!B:B,'Base stats'!E:E),Groups!A:A,Groups!AD:AD)=0,"No",MROUND((LOG10(_xlfn.XLOOKUP(B360,'Base stats'!B:B,'Base stats'!AS:AS))*(AO360^0.75)+(_xlfn.XLOOKUP(B360,'Base stats'!B:B,'Base stats'!AS:AS)/1000)^(2/3)+_xlfn.XLOOKUP(B360,'Base stats'!B:B,'Base stats'!AY:AY)+_xlfn.XLOOKUP(B360,'Base stats'!B:B,'Base stats'!BA:BA))+0.5,0.5))</f>
        <v>No</v>
      </c>
      <c r="AJ360" s="7" t="str">
        <f>IF(AI360="No","No",MAX(_xlfn.XLOOKUP(_xlfn.XLOOKUP(B360,'Base stats'!B:B,'Base stats'!E:E),Groups!A:A,Groups!AE:AE),MROUND(_xlfn.XLOOKUP(_xlfn.XLOOKUP(B360,'Base stats'!B:B,'Base stats'!E:E),Groups!A:A,Groups!AE:AE)*IF(_xlfn.XLOOKUP(_xlfn.XLOOKUP(B360,'Base stats'!B:B,'Base stats'!E:E),Groups!A:A,Groups!AJ:AJ)="Photonozoa",0.6,1)*_xlfn.XLOOKUP(B360,'Base stats'!B:B,'Base stats'!C:C)^0.165,0.05)))</f>
        <v>No</v>
      </c>
      <c r="AK360" s="7" t="str">
        <f>IF(AI360="No","No",_xlfn.XLOOKUP(_xlfn.XLOOKUP(B360,'Base stats'!B:B,'Base stats'!E:E),Groups!A:A,Groups!AF:AF))</f>
        <v>No</v>
      </c>
      <c r="AL360" s="7" t="str">
        <f>IF(AI360="No","No",_xlfn.XLOOKUP(_xlfn.XLOOKUP(B360,'Base stats'!B:B,'Base stats'!E:E),Groups!A:A,Groups!AG:AG))</f>
        <v>No</v>
      </c>
      <c r="AM360" s="7" t="str">
        <f>IF(AI360="No","No",_xlfn.XLOOKUP(_xlfn.XLOOKUP(B360,'Base stats'!B:B,'Base stats'!E:E),Groups!A:A,Groups!AH:AH))</f>
        <v>No</v>
      </c>
      <c r="AN360" s="2">
        <f t="shared" si="35"/>
        <v>30</v>
      </c>
      <c r="AO360" s="2">
        <f>MROUND(IF(AND(_xlfn.XLOOKUP(B360,'Base stats'!B:B,'Base stats'!C:C)&gt;=0.5,_xlfn.XLOOKUP(B360,'Base stats'!B:B,'Base stats'!C:C)&lt;=0.8),
IF(_xlfn.XLOOKUP(B360,'Base stats'!B:B,'Base stats'!C:C)&lt;0.1,0.05,IF(_xlfn.XLOOKUP(B360,'Base stats'!B:B,'Base stats'!C:C)&lt;=70,(_xlfn.XLOOKUP(B360,'Base stats'!B:B,'Base stats'!C:C)/70)^0.426489913056526,IF(_xlfn.XLOOKUP(B360,'Base stats'!B:B,'Base stats'!C:C)&lt;=400,(_xlfn.XLOOKUP(B360,'Base stats'!B:B,'Base stats'!C:C)/70)^0.572811455315093,IF(_xlfn.XLOOKUP(B360,'Base stats'!B:B,'Base stats'!C:C)&lt;=2000,2.71391647193063*(_xlfn.XLOOKUP(B360,'Base stats'!B:B,'Base stats'!C:C)/400)^0.252459582904293,3.74314280240376*(_xlfn.XLOOKUP(B360,'Base stats'!B:B,'Base stats'!C:C)/2000)^0.357012633876913)))),
IF(_xlfn.XLOOKUP(B360,'Base stats'!B:B,'Base stats'!C:C)&lt;0.1,0.05,IF(_xlfn.XLOOKUP(B360,'Base stats'!B:B,'Base stats'!C:C)&lt;0.4,0.1,IF(_xlfn.XLOOKUP(B360,'Base stats'!B:B,'Base stats'!C:C)&lt;=70,(_xlfn.XLOOKUP(B360,'Base stats'!B:B,'Base stats'!C:C)/70)^0.445823913056526,IF(_xlfn.XLOOKUP(B360,'Base stats'!B:B,'Base stats'!C:C)&lt;=400,(_xlfn.XLOOKUP(B360,'Base stats'!B:B,'Base stats'!C:C)/70)^0.572811455315093,IF(_xlfn.XLOOKUP(B360,'Base stats'!B:B,'Base stats'!C:C)&lt;=2000,2.71391647193063*(_xlfn.XLOOKUP(B360,'Base stats'!B:B,'Base stats'!C:C)/400)^0.252459582904293,3.74314280240376*(_xlfn.XLOOKUP(B360,'Base stats'!B:B,'Base stats'!C:C)/2000)^0.357012633876913)))))),
IF(_xlfn.XLOOKUP(B360,'Base stats'!B:B,'Base stats'!C:C)&lt;0.1,0.05,IF(_xlfn.XLOOKUP(B360,'Base stats'!B:B,'Base stats'!C:C)&lt;=100,0.05,IF(_xlfn.XLOOKUP(B360,'Base stats'!B:B,'Base stats'!C:C)&lt;=250,0.1,IF(_xlfn.XLOOKUP(B360,'Base stats'!B:B,'Base stats'!C:C)&lt;=4000,0.25,0.5)))))</f>
        <v>2.75</v>
      </c>
      <c r="AP360" s="8">
        <f>MROUND(AO360*_xlfn.XLOOKUP(_xlfn.XLOOKUP(B360,'Base stats'!B:B,'Base stats'!E:E),Groups!A:A,Groups!AI:AI)*_xlfn.XLOOKUP(B360,'Base stats'!B:B,'Base stats'!Z:Z),0.05)</f>
        <v>3.3000000000000003</v>
      </c>
      <c r="AQ360" s="8">
        <f>MAX(0.01,MROUND(IF(CC360="True",0.196*(AO360*100*1000)^0.889,IF(_xlfn.XLOOKUP(_xlfn.XLOOKUP(B360,'Base stats'!B:B,'Base stats'!E:E),Groups!A:A,Groups!AJ:AJ)="Bird",10.5*(AO360*100*1000)^0.681,4.82*(AO360*100*1000)^0.734))/(4.82*(1*100*1000)^0.734)/IF(AO360&lt;3.5,2,IF(AO360=3.5,1.5,1.25))*(1+0.132282374779864/(AO360^0.994035016789033+0.00905238001496948)),0.05))</f>
        <v>1.25</v>
      </c>
      <c r="AR360" s="9">
        <f>IFERROR(MROUND(_xlfn.XLOOKUP(B360,'Base stats'!B:B,'Base stats'!H:H)/IF(_xlfn.XLOOKUP(B360,'Base stats'!B:B,'Base stats'!I:I)&lt;&gt;1,(122.5/70),1.2),IF(_xlfn.XLOOKUP(B360,'Base stats'!B:B,'Base stats'!H:H)&gt;=30,5,IF(_xlfn.XLOOKUP(B360,'Base stats'!B:B,'Base stats'!H:H)&gt;=15,3,IF(_xlfn.XLOOKUP(B360,'Base stats'!B:B,'Base stats'!H:H)&gt;=10,2,1)))),"Immortal")</f>
        <v>21</v>
      </c>
      <c r="AS360" s="35" t="str">
        <f>IFERROR(IF(OR(_xlfn.XLOOKUP(B360,'Base stats'!B:B,'Base stats'!F:F)="Atypical reproduction",_xlfn.XLOOKUP(B360,'Base stats'!B:B,'Base stats'!F:F)="Lay eggs"),"Lay eggs",MIN(20,MAX(5.5,ROUND(((_xlfn.XLOOKUP(B360,'Base stats'!B:B,'Base stats'!F:F)-25)*(14.5/615) + 5.5)*2,0)/2))),"Unknown")</f>
        <v>Lay eggs</v>
      </c>
      <c r="AT360" s="8">
        <f>IF(_xlfn.XLOOKUP(B360,'Base stats'!B:B,'Base stats'!G:G)="Atypical reproduction","No",IFERROR(MAX(IF(_xlfn.XLOOKUP(B360,'Base stats'!B:B,'Base stats'!G:G)&lt;0.5,0.2,0.3),MROUND(_xlfn.XLOOKUP(B360,'Base stats'!B:B,'Base stats'!G:G)/(365/60),0.2)),"Unknown"))</f>
        <v>0.60000000000000009</v>
      </c>
      <c r="AU360" s="8">
        <f t="shared" si="36"/>
        <v>0.30000000000000004</v>
      </c>
      <c r="AV360" s="8" t="str">
        <f>IFERROR(IFERROR(MROUND(_xlfn.XLOOKUP(B360,'Base stats'!B:B,'Base stats'!J:J),0.1),"Lay eggs"),"Cannot breed")</f>
        <v>Lay eggs</v>
      </c>
      <c r="AW360" s="2" t="str">
        <f t="shared" si="37"/>
        <v>false</v>
      </c>
      <c r="AX360" s="2" t="str">
        <f>IF(_xlfn.XLOOKUP(_xlfn.XLOOKUP(Animals!B360,'Base stats'!B:B,'Base stats'!E:E),Groups!A:A,Groups!AK:AK)=1,"true","false")</f>
        <v>false</v>
      </c>
      <c r="AY360" s="25" t="str">
        <f>IF(_xlfn.XLOOKUP(B360,'Base stats'!B:B,'Base stats'!Y:Y)="Liquor","Liquor, CarnivoreAnimalStrict",IF(AND(_xlfn.XLOOKUP(B360,'Base stats'!B:B,'Base stats'!Y:Y)="Carnivore",_xlfn.XLOOKUP(_xlfn.XLOOKUP(B360,'Base stats'!B:B,'Base stats'!E:E),Groups!A:A,Groups!AJ:AJ)="Photonozoa"),"CarnivoreAnimalStrict, OvivoreAnimal",IF(_xlfn.XLOOKUP(B360,'Base stats'!B:B,'Base stats'!Y:Y)="Carnivore","CarnivoreAnimal, OvivoreAnimal",IF(_xlfn.XLOOKUP(B360,'Base stats'!B:B,'Base stats'!Y:Y)="Dendrovore","VegetarianRoughAnimal, DendrovoreAnimal",IF(_xlfn.XLOOKUP(B360,'Base stats'!B:B,'Base stats'!Y:Y)="Herbivore","VegetarianRoughAnimal",IF(_xlfn.XLOOKUP(B360,'Base stats'!B:B,'Base stats'!Y:Y)="OmnivoreRough","OmnivoreRoughAnimal, OvivoreAnimal","OmnivoreAnimal, OvivoreAnimal"))))))</f>
        <v>CarnivoreAnimal, OvivoreAnimal</v>
      </c>
      <c r="AZ360" s="2" t="str">
        <f>IF(_xlfn.XLOOKUP(_xlfn.XLOOKUP(B360,'Base stats'!B:B,'Base stats'!E:E),Groups!A:A,Groups!D:D)=1,MROUND((1-J360)*5+1,2)*IF(J360&lt;=0.4,2,1),"No")</f>
        <v>No</v>
      </c>
      <c r="BA360" s="2" t="str">
        <f>IF(AND(_xlfn.XLOOKUP(B360,'Base stats'!B:B,'Base stats'!AH:AH)="&lt;li&gt;Seal&lt;/li&gt;",G360="Odyssey"),"&lt;li&gt;AEXP_Seal&lt;/li&gt;",_xlfn.XLOOKUP(B360,'Base stats'!B:B,'Base stats'!AH:AH))</f>
        <v>No</v>
      </c>
      <c r="BB360" s="2" t="str">
        <f>_xlfn.XLOOKUP(B360,'Base stats'!B:B,'Base stats'!AG:AG)</f>
        <v>Leather_Theropod</v>
      </c>
      <c r="BC360" s="23" t="str">
        <f>_xlfn.XLOOKUP(_xlfn.XLOOKUP(B360,'Base stats'!B:B,'Base stats'!E:E),Groups!A:A,Groups!AL:AL)</f>
        <v>Theropod</v>
      </c>
      <c r="BD360" s="23">
        <f>MIN(1,MROUND(IF(AND(AO360&lt;0.5,_xlfn.XLOOKUP(B360,'Base stats'!B:B,'Base stats'!AA:AA)=0),0,IF(OR(_xlfn.XLOOKUP(Animals!B360,'Base stats'!B:B,'Base stats'!O:O)=2,_xlfn.XLOOKUP(_xlfn.XLOOKUP(B360,'Base stats'!B:B,'Base stats'!E:E),Groups!A:A,Groups!AN:AN)=0),0,_xlfn.XLOOKUP(_xlfn.XLOOKUP(B360,'Base stats'!B:B,'Base stats'!E:E),Groups!A:A,Groups!AN:AN)/IF(_xlfn.XLOOKUP(Animals!B360,'Base stats'!B:B,'Base stats'!O:O)=1,2,1)))+_xlfn.XLOOKUP(B360,'Base stats'!B:B,'Base stats'!AC:AC),0.005))</f>
        <v>0.1</v>
      </c>
      <c r="BE360" s="23">
        <f>MIN(1,MROUND(IF(AND(AO360&lt;0.5,_xlfn.XLOOKUP(B360,'Base stats'!B:B,'Base stats'!AA:AA)=0),0,IF(_xlfn.XLOOKUP(_xlfn.XLOOKUP(B360,'Base stats'!B:B,'Base stats'!E:E),Groups!A:A,Groups!AO:AO)=0,0,_xlfn.XLOOKUP(_xlfn.XLOOKUP(B360,'Base stats'!B:B,'Base stats'!E:E),Groups!A:A,Groups!AO:AO)/IF(_xlfn.XLOOKUP(Animals!B360,'Base stats'!B:B,'Base stats'!O:O)=2,3,1)))+_xlfn.XLOOKUP(B360,'Base stats'!B:B,'Base stats'!AD:AD),0.005))</f>
        <v>0.3</v>
      </c>
      <c r="BF360" s="2" t="str">
        <f>IF(J360&gt;0.3,"No",_xlfn.XLOOKUP(_xlfn.XLOOKUP(Animals!B360,'Base stats'!B:B,'Base stats'!E:E),Groups!A:A,Groups!AP:AP))</f>
        <v>No</v>
      </c>
      <c r="BG360" s="2" t="str">
        <f>IF(AND(J360&lt;=0.65,_xlfn.XLOOKUP(_xlfn.XLOOKUP(Animals!B360,'Base stats'!B:B,'Base stats'!E:E),Groups!A:A,Groups!AP:AP)&lt;&gt;"No",_xlfn.XLOOKUP(_xlfn.XLOOKUP(B360,'Base stats'!B:B,'Base stats'!E:E),Groups!A:A,Groups!D:D)=0),MROUND((80/3)*IF(_xlfn.XLOOKUP(B360,'Base stats'!B:B,'Base stats'!O:O)=2,0.2,AO360) + 24*(1-IF(BF360="No",0,BF360)) + 16/3, 12),"No")</f>
        <v>No</v>
      </c>
      <c r="BH360" s="2">
        <f>IF(AND(_xlfn.XLOOKUP(_xlfn.XLOOKUP(B360,'Base stats'!B:B,'Base stats'!E:E),Groups!A:A,Groups!AQ:AQ)=1,AO360&lt;=0.35),8,12)</f>
        <v>12</v>
      </c>
      <c r="BI360" s="2" t="str">
        <f>IF(_xlfn.XLOOKUP(_xlfn.XLOOKUP(B360,'Base stats'!B:B,'Base stats'!E:E),Groups!A:A,Groups!D:D)=0,_xlfn.XLOOKUP(_xlfn.XLOOKUP(B360,'Base stats'!B:B,'Base stats'!E:E),Groups!A:A,Groups!AR:AR),"None")</f>
        <v>Intermediate</v>
      </c>
      <c r="BJ360" s="2" t="str">
        <f>IF(AND(_xlfn.XLOOKUP(_xlfn.XLOOKUP(B360,'Base stats'!B:B,'Base stats'!E:E),Groups!A:A,Groups!AS:AS)=1,OR(_xlfn.XLOOKUP(B360,'Base stats'!B:B,'Base stats'!Y:Y)="Carnivore",_xlfn.XLOOKUP(B360,'Base stats'!B:B,'Base stats'!Y:Y)="Omnivore")),"true","false")</f>
        <v>true</v>
      </c>
      <c r="BK360" s="2">
        <f>IF(BJ360="true",MROUND(IF(AND(AO360&gt;0.5,OR(_xlfn.XLOOKUP(_xlfn.XLOOKUP(B360,'Base stats'!B:B,'Base stats'!E:E),Groups!A:A,Groups!AJ:AJ)="Photonozoa",_xlfn.XLOOKUP(_xlfn.XLOOKUP(B360,'Base stats'!B:B,'Base stats'!E:E),Groups!A:A,Groups!AJ:AJ)="Mammal")),Animals!AO360*1.75*IF(AW360="true",1.5,1),IF(AO360&lt;0.5,Animals!AO360*0.5,Animals!AO360)),IF(AO360&gt;2,0.5,IF(AO360&gt;0.5,0.25,0.1))),"No")</f>
        <v>3</v>
      </c>
      <c r="BL360" s="2">
        <f t="shared" si="38"/>
        <v>1</v>
      </c>
      <c r="BM360" s="25" t="str">
        <f>IF(_xlfn.XLOOKUP(B360,'Base stats'!B:B,'Base stats'!AN:AN)="Standard","No",MROUND((_xlfn.XLOOKUP(B360,'Base stats'!B:B,'Base stats'!AN:AN)/3.6)/I360,0.1))</f>
        <v>No</v>
      </c>
      <c r="BN360" s="25" t="str">
        <f t="shared" si="39"/>
        <v>false</v>
      </c>
      <c r="BO360" s="25" t="str">
        <f>IF(AND(OR(_xlfn.XLOOKUP(B360,'Base stats'!B:B,'Base stats'!Y:Y)="Carnivore",_xlfn.XLOOKUP(B360,'Base stats'!B:B,'Base stats'!Y:Y)="Omnivore",_xlfn.XLOOKUP(B360,'Base stats'!B:B,'Base stats'!Y:Y)="OmnivoreRough"),_xlfn.XLOOKUP(_xlfn.XLOOKUP(B360,'Base stats'!B:B,'Base stats'!E:E),Groups!A:A,Groups!AT:AT)=1),"true","false")</f>
        <v>false</v>
      </c>
      <c r="BP360" s="25" t="str" cm="1">
        <f t="array" ref="BP360">IF(
  _xlfn.TEXTJOIN(", ",TRUE,
    IF(AND(BJ360="true",AO360&gt;0.5,BI360&lt;&gt;"None"),"AttackTarget",""),
    IF(AND(_xlfn.XLOOKUP(_xlfn.XLOOKUP(B360,'Base stats'!B:B,'Base stats'!E:E),Groups!A:A,Groups!AJ:AJ="Mammal"),OR(_xlfn.XLOOKUP(B360,'Base stats'!B:B,'Base stats'!Y:Y)="Omnivore",_xlfn.XLOOKUP(B360,'Base stats'!B:B,'Base stats'!Y:Y)="OmnivoreRough")),"Forage",""),
    IF(BG360&lt;=36,"Comfort",""),
    IF(_xlfn.XLOOKUP(B360,'Base stats'!B:B,'Base stats'!AE:AE)&lt;&gt;"No",_xlfn.XLOOKUP(B360,'Base stats'!B:B,'Base stats'!AE:AE),"")
  ) = "",
  "No",
  _xlfn.TEXTJOIN(", ",TRUE,
    IF(AND(BJ360="true",AO360&gt;0.5,BI360&lt;&gt;"None"),"AttackTarget",""),
    IF(AND(_xlfn.XLOOKUP(_xlfn.XLOOKUP(B360,'Base stats'!B:B,'Base stats'!E:E),Groups!A:A,Groups!AJ:AJ="Mammal"),OR(_xlfn.XLOOKUP(B360,'Base stats'!B:B,'Base stats'!Y:Y)="Omnivore",_xlfn.XLOOKUP(B360,'Base stats'!B:B,'Base stats'!Y:Y)="OmnivoreRough")),"Forage",""),
    IF(BG360&lt;=36,"Comfort",""),
    IF(_xlfn.XLOOKUP(B360,'Base stats'!B:B,'Base stats'!AE:AE)&lt;&gt;"No",_xlfn.XLOOKUP(B360,'Base stats'!B:B,'Base stats'!AE:AE),"")
  )
)</f>
        <v>AttackTarget</v>
      </c>
      <c r="BQ360" s="25" t="str">
        <f>IF(
   AND(
      'Base stats'!AN360="Standard",_xlfn.XLOOKUP(_xlfn.XLOOKUP(B360,'Base stats'!B:B,'Base stats'!E:E),Groups!A:A,Groups!AU:AU)=0,
      OR(
      BO360="True"
      )
   ),
   10,
   IF(
       OR(BM360&lt;&gt;"No",_xlfn.XLOOKUP(_xlfn.XLOOKUP(B360,'Base stats'!B:B,'Base stats'!E:E),Groups!A:A,Groups!AU:AU)=1),
      1,
      "No"
   )
)</f>
        <v>No</v>
      </c>
      <c r="BR360" s="9">
        <f>MROUND((1 + ((0.2*IF(OR(Q360="No",R360="No",R360=0),0,Q360/R360)
+IF(OR(V360="No",S360="No",T360="No"),0,S360/T360*(LEN(V360)-LEN(SUBSTITUTE(V360,",",""))+1))
+IF(OR(X360="No",Y360="No"),0,X360/Y360)
+IF(OR(AD360="No",AE360="No"),0,AD360/AE360)
+IF(OR(AL360="No",AI360="No",AJ360="No"),0,AI360/AJ360*(LEN(AL360)-LEN(SUBSTITUTE(AL360,",",""))+1))
)/(0.2*IF(OR(Q360="No",R360="No",R360=0),0,1)
+IF(OR(V360="No",S360="No",T360="No"),0,LEN(V360)-LEN(SUBSTITUTE(V360,",",""))+1)
+IF(OR(X360="No",Y360="No"),0,1)
+IF(OR(AD360="No",AE360="No"),0,1)
+IF(OR(AL360="No",AI360="No",AJ360="No"),0,LEN(AL360)-LEN(SUBSTITUTE(AL360,",",""))+1))*62%)* 2)*(1 + (AP360 / (IF(_xlfn.XLOOKUP(_xlfn.XLOOKUP(B360,'Base stats'!B:B,'Base stats'!E:E),Groups!A:A,Groups!AJ:AJ)="Photonozoa",0.3,1)) + _xlfn.XLOOKUP(B360,'Base stats'!B:B,'Base stats'!AV:AV) * 1.8) * 2) * 2.5 + 10 + I360 * 2,5)+IF(_xlfn.XLOOKUP(B360,'Base stats'!B:B,'Base stats'!AK:AK)=1,50,0)</f>
        <v>255</v>
      </c>
      <c r="BS360" s="8">
        <f t="shared" si="40"/>
        <v>1.55</v>
      </c>
      <c r="BT360" s="8" t="str">
        <f>_xlfn.XLOOKUP(B360,'Base stats'!B:B,'Base stats'!AF:AF)</f>
        <v>No</v>
      </c>
      <c r="BU360" s="2" t="str">
        <f>IF(AND(J360&lt;=0.95,OR(_xlfn.XLOOKUP(B360,'Base stats'!B:B,'Base stats'!AK:AK)=1,_xlfn.XLOOKUP(B360,'Base stats'!B:B,'Base stats'!Y:Y)="Carnivore",_xlfn.XLOOKUP(B360,'Base stats'!B:B,'Base stats'!Y:Y)="Omnivore",BE360&gt;0.1)),"true","false")</f>
        <v>true</v>
      </c>
      <c r="BV360" s="2" t="str">
        <f>IF(_xlfn.XLOOKUP(B360,'Base stats'!B:B,'Base stats'!AI:AI)=1,"true","false")</f>
        <v>false</v>
      </c>
      <c r="BW360" s="25" t="str">
        <f>IF(E360="BaseInsect","AnimalInsect",
IF(J360&gt;0.95,"AnimalExotic",
_xlfn.TEXTJOIN(", ",TRUE,
IF(OR(_xlfn.XLOOKUP(B360,'Base stats'!B:B,'Base stats'!AM:AM)=1,AND(_xlfn.XLOOKUP(B360,'Base stats'!B:B,'Base stats'!O:O)=0,_xlfn.XLOOKUP(_xlfn.XLOOKUP(B360,'Base stats'!B:B,'Base stats'!E:E),Groups!A:A,Groups!B:B)&gt;0)),"AnimalUncommon","AnimalCommon"),
IF(AND(_xlfn.XLOOKUP(B360,'Base stats'!B:B,'Base stats'!O:O)=2,_xlfn.XLOOKUP(_xlfn.XLOOKUP(B360,'Base stats'!B:B,'Base stats'!E:E),Groups!A:A,Groups!D:D)=0),"AnimalPet",IF(AND(_xlfn.XLOOKUP(B360,'Base stats'!B:B,'Base stats'!O:O)&lt;&gt;0,_xlfn.XLOOKUP(_xlfn.XLOOKUP(B360,'Base stats'!B:B,'Base stats'!E:E),Groups!A:A,Groups!D:D)&lt;&gt;0),"AnimalFarm","")),
IF(OR(_xlfn.XLOOKUP(B360,'Base stats'!B:B,'Base stats'!AK:AK)=1,AND(BI360&lt;&gt;"None",BR360&gt;=60),ISNUMBER(SEARCH("Attack target",BP360))),"AnimalFighter","")
)))</f>
        <v>AnimalUncommon, AnimalFighter</v>
      </c>
      <c r="BX360" s="25" t="str">
        <f>IF(G360="None",TRIM(
SUBSTITUTE(
IF(COUNTIF(Biomes!B$2:B$259,"="&amp;$C360)&gt;0,Biomes!B$1&amp;", ","")&amp;
IF(COUNTIF(Biomes!C$2:C$259,"="&amp;$C360)&gt;0,Biomes!C$1&amp;", ","")&amp;
IF(COUNTIF(Biomes!D$2:D$259,"="&amp;$C360)&gt;0,Biomes!D$1&amp;", ","")&amp;
IF(COUNTIF(Biomes!F$2:F$259,"="&amp;$C360)&gt;0,Biomes!F$1&amp;", ","")&amp;
IF(COUNTIF(Biomes!G$2:G$259,"="&amp;$C360)&gt;0,Biomes!G$1&amp;", ","")&amp;
IF(COUNTIF(Biomes!H$2:H$259,"="&amp;$C360)&gt;0,Biomes!H$1&amp;", ","")&amp;
IF(COUNTIF(Biomes!I$2:I$259,"="&amp;$C360)&gt;0,Biomes!I$1&amp;", ","")&amp;
IF(COUNTIF(Biomes!J$2:J$259,"="&amp;$C360)&gt;0,Biomes!J$1&amp;", ","")&amp;
IF(COUNTIF(Biomes!M$2:M$259,"="&amp;$C360)&gt;0,Biomes!M$1&amp;", ","")&amp;
IF(COUNTIF(Biomes!N$2:N$259,"="&amp;$C360)&gt;0,Biomes!N$1&amp;", ","")&amp;
IF(COUNTIF(Biomes!O$2:O$259,"="&amp;$C360)&gt;0,Biomes!O$1&amp;", ","")&amp;
IF(COUNTIF(Biomes!P$2:P$259,"="&amp;$C360)&gt;0,Biomes!P$1&amp;", ","")&amp;
IF(COUNTIF(Biomes!K$2:K$259,"="&amp;$C360)&gt;0,Biomes!K$1&amp;", ","")&amp;
IF(COUNTIF(Biomes!Q$3:Q$259,"="&amp;$C360)&gt;0,Biomes!Q$1&amp;", ","")&amp;
IF(COUNTIF(Biomes!L$2:L$259,"="&amp;$C360)&gt;0,Biomes!L$1&amp;", ","")&amp;
IF(COUNTIF(Biomes!E$2:E$259,"="&amp;$C360)&gt;0,Biomes!E$1&amp;", ","")&amp;IF(COUNTIF(Biomes!S$2:S$259,"="&amp;$C360)&gt;0,Biomes!S$1&amp;", ","")&amp;
IF(COUNTIF(Biomes!R$2:R$259,"="&amp;$C360)&gt;0,Biomes!R$1&amp;", ",""),", ","")
),_xlfn.XLOOKUP(B360,B:B,BX:BX))</f>
        <v>TropicalRainforest TropicalSwamp Glowforest</v>
      </c>
      <c r="BY360" s="25" t="str">
        <f>IF(_xlfn.XLOOKUP(B360,'Base stats'!B:B,'Base stats'!AJ:AJ)=1,"true","false")</f>
        <v>false</v>
      </c>
      <c r="BZ360" s="25">
        <f>IF(_xlfn.XLOOKUP(B360,'Base stats'!B:B,'Base stats'!N:N)=1,"No",MAX(0.001,MIN(MROUND(IF(AND(BJ360="True",CC360="False"),POWER(10,3.47*LOG10(_xlfn.XLOOKUP(B360,'Base stats'!B:B,'Base stats'!C:C)*1000)^-0.96),POWER(10,4.15*LOG10(_xlfn.XLOOKUP(B360,'Base stats'!B:B,'Base stats'!C:C)*1000)^-0.73))*IF(_xlfn.XLOOKUP(B360,'Base stats'!B:B,'Base stats'!AK:AK)=1,0.5,1)*IF(_xlfn.XLOOKUP(B360,'Base stats'!B:B,'Base stats'!AM:AM)=1,0.1,1)/100,IF(_xlfn.XLOOKUP(B360,'Base stats'!B:B,'Base stats'!AM:AM)=1,0.001,0.025)),0.5)))</f>
        <v>0.05</v>
      </c>
      <c r="CA360" s="25" t="str">
        <f>IF(P360="Standard","No",MAX(0.001,MIN(MROUND(IF(AND(BJ360="True",CC360="False"),POWER(10,3.47*LOG10(_xlfn.XLOOKUP(B360,'Base stats'!B:B,'Base stats'!C:C)*1000)^-0.96),POWER(10,4.15*LOG10(_xlfn.XLOOKUP(B360,'Base stats'!B:B,'Base stats'!C:C)*1000)^-0.73))*IF(_xlfn.XLOOKUP(B360,'Base stats'!B:B,'Base stats'!AM:AM)=1,0.1,1)*_xlfn.XLOOKUP(B360,'Base stats'!B:B,'Base stats'!R:R)/100,IF(_xlfn.XLOOKUP(B360,'Base stats'!B:B,'Base stats'!AM:AM)=1,0.001,0.025)),0.5)))</f>
        <v>No</v>
      </c>
      <c r="CB360" s="25" t="str">
        <f>IF(_xlfn.XLOOKUP(_xlfn.XLOOKUP(B360,'Base stats'!B:B,'Base stats'!E:E),Groups!A:A,Groups!AJ:AJ)="Mammal","True","False")</f>
        <v>False</v>
      </c>
      <c r="CC360" s="25" t="str">
        <f>IF(OR(_xlfn.XLOOKUP(_xlfn.XLOOKUP(B360,'Base stats'!B:B,'Base stats'!E:E),Groups!A:A,Groups!AJ:AJ)="Reptile",_xlfn.XLOOKUP(_xlfn.XLOOKUP(B360,'Base stats'!B:B,'Base stats'!E:E),Groups!A:A,Groups!AJ:AJ)="Amphibian",_xlfn.XLOOKUP(_xlfn.XLOOKUP(B360,'Base stats'!B:B,'Base stats'!E:E),Groups!A:A,Groups!AJ:AJ)="Invertebrate"),"True","False")</f>
        <v>False</v>
      </c>
      <c r="CD360" s="25" t="str">
        <f t="shared" si="41"/>
        <v>False</v>
      </c>
      <c r="CE360" s="25" t="str">
        <f>IF(_xlfn.XLOOKUP(_xlfn.XLOOKUP(B360,'Base stats'!B:B,'Base stats'!E:E),Groups!A:A,Groups!AX:AX),"True","False")</f>
        <v>False</v>
      </c>
      <c r="CF360" s="25" t="str">
        <f>IF(_xlfn.XLOOKUP(_xlfn.XLOOKUP(B360,'Base stats'!B:B,'Base stats'!E:E),Groups!A:A,Groups!AY:AY),"True","False")</f>
        <v>False</v>
      </c>
      <c r="CG360" s="25" t="str">
        <f>IF(_xlfn.XLOOKUP(_xlfn.XLOOKUP(B360,'Base stats'!B:B,'Base stats'!E:E),Groups!A:A,Groups!AW:AW),"True","False")</f>
        <v>False</v>
      </c>
      <c r="CH360" s="25" t="str">
        <f>IF(
OR(
_xlfn.XLOOKUP(_xlfn.XLOOKUP(B360,'Base stats'!B:B,'Base stats'!E:E),Groups!A:A,Groups!AZ:AZ)=0,
AND(
_xlfn.XLOOKUP(B360,'Base stats'!B:B,'Base stats'!Y:Y)&lt;&gt;"Carnivore",
_xlfn.XLOOKUP(B360,'Base stats'!B:B,'Base stats'!Y:Y)&lt;&gt;"Omnivore",
_xlfn.XLOOKUP(B360,'Base stats'!B:B,'Base stats'!Y:Y)&lt;&gt;"OmnivoreRough"
)
),
"No",
IF(
_xlfn.XLOOKUP(_xlfn.XLOOKUP(B360,'Base stats'!B:B,'Base stats'!E:E),Groups!A:A,Groups!AZ:AZ)=1,
"Flesh",
IF(
_xlfn.XLOOKUP(_xlfn.XLOOKUP(B360,'Base stats'!B:B,'Base stats'!E:E),Groups!A:A,Groups!AZ:AZ)=2,
"Bone",
""
)
)
)</f>
        <v>No</v>
      </c>
      <c r="CI360" s="25" t="str">
        <f>IF(_xlfn.XLOOKUP(_xlfn.XLOOKUP(B360,'Base stats'!B:B,'Base stats'!E:E),Groups!A:A,Groups!BB:BB),"True","False")</f>
        <v>False</v>
      </c>
      <c r="CJ360" s="25" t="str">
        <f>IF(_xlfn.XLOOKUP(_xlfn.XLOOKUP(B360,'Base stats'!B:B,'Base stats'!E:E),Groups!A:A,Groups!BA:BA),"True","False")</f>
        <v>False</v>
      </c>
    </row>
    <row r="361" spans="1:88" ht="16.5" thickTop="1" thickBot="1" x14ac:dyDescent="0.3">
      <c r="A361" s="26" t="s">
        <v>1955</v>
      </c>
      <c r="B361" s="6" t="str">
        <f>_xlfn.XLOOKUP(A361,'Base stats'!A:A,'Base stats'!B:B)</f>
        <v>Velociraptor mongoliensis</v>
      </c>
      <c r="C361" s="28" t="s">
        <v>2035</v>
      </c>
      <c r="D361" s="28" t="s">
        <v>1898</v>
      </c>
      <c r="E361" s="28" t="s">
        <v>673</v>
      </c>
      <c r="F361" s="28" t="s">
        <v>673</v>
      </c>
      <c r="G361" s="28" t="s">
        <v>673</v>
      </c>
      <c r="H361" s="2">
        <f>MROUND((
  (IF(AND(_xlfn.XLOOKUP(B361,'Base stats'!B:B,'Base stats'!AL:AL)=0,BI361="None",_xlfn.XLOOKUP(_xlfn.XLOOKUP(B361,'Base stats'!B:B,'Base stats'!E:E),Groups!A:A,Groups!B:B)=0), (18 + BR361 * 2.7) * 0.5,
    IF(AND(_xlfn.XLOOKUP(B361,'Base stats'!B:B,'Base stats'!AL:AL)=0,OR(AO361&lt;0.55,AND(BI361="Intermediate",_xlfn.XLOOKUP(_xlfn.XLOOKUP(B361,'Base stats'!B:B,'Base stats'!E:E),Groups!A:A,Groups!B:B)&lt;2))), (18 + BR361 * 2.7),
      IF(OR(BI361="Advanced",_xlfn.XLOOKUP(B361,'Base stats'!B:B,'Base stats'!AL:AL)=1,_xlfn.XLOOKUP(_xlfn.XLOOKUP(B361,'Base stats'!B:B,'Base stats'!E:E),Groups!A:A,Groups!B:B)=2), (18 + BR361 * 2.7) + 250, (18 + BR361 * 2.7))
    )
  ))
  + AO361 * 80
  + IF(COUNTIF(EggMilk!K$2:K$998, A361) &gt; 0, 125, 0)
  + IF(COUNTIF(EggMilk!P$2:P$998, A361) &gt; 0, 90, 0)
  + IF(COUNTIF(EggMilk!A$2:A$998, A361) &gt; 0, 90, 0)
)
* (0.8 + 0.4 * J361)
* 0.75,25)</f>
        <v>375</v>
      </c>
      <c r="I361" s="2">
        <f>MROUND(ROUNDDOWN(_xlfn.XLOOKUP(B361,'Base stats'!B:B,'Base stats'!L:L)/3.6/(23.3/11),1),0.5)</f>
        <v>5</v>
      </c>
      <c r="J361" s="2">
        <f>IF(OR(_xlfn.XLOOKUP(B361,'Base stats'!B:B,'Base stats'!AB:AB)=1,_xlfn.XLOOKUP(_xlfn.XLOOKUP(B361,'Base stats'!B:B,'Base stats'!E:E),Groups!A:A,Groups!C:C)="Untamable"),1,IF(_xlfn.XLOOKUP(B361,'Base stats'!B:B,'Base stats'!AL:AL)=1,0.99,MIN(MROUND((1-0.6282*EXP(-0.459*AO361))*_xlfn.XLOOKUP(_xlfn.XLOOKUP(B361,'Base stats'!B:B,'Base stats'!E:E),Groups!A:A,Groups!C:C)*IF(_xlfn.XLOOKUP(B361,'Base stats'!B:B,'Base stats'!O:O)=1,0.5,IF(_xlfn.XLOOKUP(B361,'Base stats'!B:B,'Base stats'!O:O)=2,0,1)),0.05),IF(AO361&gt;3.5,0.985,0.95))))</f>
        <v>0.5</v>
      </c>
      <c r="K361" s="2">
        <f>ROUNDUP(AO361*_xlfn.XLOOKUP(_xlfn.XLOOKUP(B361,'Base stats'!B:B,'Base stats'!E:E),Groups!A:A,Groups!E:E),0)</f>
        <v>1</v>
      </c>
      <c r="L361" s="2">
        <f>IF(OR(_xlfn.XLOOKUP(_xlfn.XLOOKUP(B361,'Base stats'!B:B,'Base stats'!E:E),Groups!A:A,Groups!F:F)=2,ISNUMBER(SEARCH("SeaIce",BX361)),ISNUMBER(SEARCH("IceSheet",BX361))),-50,IF(OR(ISNUMBER(SEARCH("GlacialPlain",BX361)),ISNUMBER(SEARCH("Tundra",BX361))),-40,IF(OR(ISNUMBER(SEARCH("Alpine",BX361)),ISNUMBER(SEARCH("BorealForest",BX361)),ISNUMBER(SEARCH("ColdBog",BX361))),-30,IF(OR(ISNUMBER(SEARCH("TemperateForest",BX361)),ISNUMBER(SEARCH("TemperateSwamp",BX361))),-20,IF(_xlfn.XLOOKUP(_xlfn.XLOOKUP(B361,'Base stats'!B:B,'Base stats'!E:E),Groups!A:A,Groups!F:F)=1,-15,IF(OR(ISNUMBER(SEARCH("Desert",BX361)),ISNUMBER(SEARCH("ExtremeDesert",BX361))),-10,IF(OR(ISNUMBER(SEARCH("Grasslands",BX361)),ISNUMBER(SEARCH("TropicalRainforest",BX361)),ISNUMBER(SEARCH("TropicalSwamp",BX361))),10,0)))))))-IF(CC361="False",MIN(IFERROR(MAX(MROUND(LOG10(_xlfn.XLOOKUP(B361,'Base stats'!B:B,'Base stats'!C:C)^(2/3))*10,5),5),5),30))-_xlfn.XLOOKUP(B361,'Base stats'!B:B,'Base stats'!P:P)+IF(CC361="True",5,0)</f>
        <v>-20</v>
      </c>
      <c r="M361" s="2">
        <f>IF(OR(_xlfn.XLOOKUP(_xlfn.XLOOKUP(B361,'Base stats'!B:B,'Base stats'!E:E),Groups!A:A,Groups!G:G)=2,ISNUMBER(SEARCH("Desert",BX361)),ISNUMBER(SEARCH("ExtremeDesert",BX361)),ISNUMBER(SEARCH("LavaField",BX361))),50,IF(ISNUMBER(SEARCH("Grasslands",BX361)),45,IF(OR(_xlfn.XLOOKUP(_xlfn.XLOOKUP(B361,'Base stats'!B:B,'Base stats'!E:E),Groups!A:A,Groups!G:G)=1,ISNUMBER(SEARCH("TropicalRainforest",BX361)),ISNUMBER(SEARCH("TropicalSwamp",BX361))),40,IF(OR(ISNUMBER(SEARCH("TemperateForest",BX361)),ISNUMBER(SEARCH("TemperateSwamp",BX361))),35,IF(OR(ISNUMBER(SEARCH("Alpine",BX361)),ISNUMBER(SEARCH("BorealForest",BX361)),ISNUMBER(SEARCH("ColdBog",BX361))),30,IF(ISNUMBER(OR(ISNUMBER(SEARCH("GlacialPlain",BX361)),SEARCH("Tundra",BX361))),25,IF(OR(ISNUMBER(SEARCH("SeaIce",BX361)),ISNUMBER(SEARCH("IceSheet",BX361)),ISNUMBER(SEARCH("TropicalSwamp",BX361))),10,35)))))))+_xlfn.XLOOKUP(B361,'Base stats'!B:B,'Base stats'!Q:Q)</f>
        <v>50</v>
      </c>
      <c r="N361" s="8" t="str">
        <f>IF(
_xlfn.XLOOKUP(
_xlfn.XLOOKUP(B361,'Base stats'!B:B,'Base stats'!E:E),
Groups!A:A,
Groups!L:L
)=1,
MIN(
MROUND(
IF(
_xlfn.XLOOKUP(B361,'Animals CE'!B:B,'Animals CE'!Z:Z)&lt;=1.5,
_xlfn.XLOOKUP(B361,'Animals CE'!B:B,'Animals CE'!Z:Z)/2+0.05,
0.8+
(_xlfn.XLOOKUP(B361,'Animals CE'!B:B,'Animals CE'!Z:Z)-1.5)
*0.02
),
0.05
),
200%
),
"No"
)</f>
        <v>No</v>
      </c>
      <c r="O361" s="8" t="str">
        <f>IF(
_xlfn.XLOOKUP(
_xlfn.XLOOKUP(B361,'Base stats'!B:B,'Base stats'!E:E),
Groups!A:A,
Groups!L:L
)=1,
MIN(
MROUND(
IF(
_xlfn.XLOOKUP(B361,'Animals CE'!B:B,'Animals CE'!AA:AA)&lt;=1.5,
_xlfn.XLOOKUP(B361,'Animals CE'!B:B,'Animals CE'!AA:AA)/2+0.05,
0.8+
(_xlfn.XLOOKUP(B361,'Animals CE'!B:B,'Animals CE'!AA:AA)-1.5)
*0.02
),
0.05
),
200%
),
"No"
)</f>
        <v>No</v>
      </c>
      <c r="P361" s="2" t="str">
        <f>_xlfn.XLOOKUP(B361,'Base stats'!B:B,'Base stats'!R:R)</f>
        <v>Standard</v>
      </c>
      <c r="Q361" s="13">
        <f>MROUND((LOG10(_xlfn.XLOOKUP(B361,'Base stats'!B:B,'Base stats'!AR:AR))*(AO361^0.5)+(_xlfn.XLOOKUP(B361,'Base stats'!B:B,'Base stats'!AR:AR)/1000)^(2/3)+_xlfn.XLOOKUP(B361,'Base stats'!B:B,'Base stats'!BA:BA)/2)+0.5,0.5)</f>
        <v>4.5</v>
      </c>
      <c r="R361" s="7">
        <f>IF(Q361="No","No",MAX(1,MROUND(_xlfn.XLOOKUP(B361,'Base stats'!B:B,'Base stats'!C:C)^0.165,0.05)))</f>
        <v>1.6500000000000001</v>
      </c>
      <c r="S361" s="13">
        <f>IF(_xlfn.XLOOKUP(_xlfn.XLOOKUP(B361,'Base stats'!B:B,'Base stats'!E:E),Groups!A:A,Groups!P:P)=0,"No",MROUND((LOG10(_xlfn.XLOOKUP(B361,'Base stats'!B:B,'Base stats'!AS:AS))*(AO361^0.5)+(_xlfn.XLOOKUP(B361,'Base stats'!B:B,'Base stats'!AS:AS)/1000)^(2/3)+_xlfn.XLOOKUP(B361,'Base stats'!B:B,'Base stats'!BA:BA))+_xlfn.XLOOKUP(B361,'Base stats'!B:B,'Base stats'!AY:AY)+0.5,0.5))</f>
        <v>9.5</v>
      </c>
      <c r="T361" s="7">
        <f>IF(S361="No","No",MAX(_xlfn.XLOOKUP(_xlfn.XLOOKUP(B361,'Base stats'!B:B,'Base stats'!E:E),Groups!A:A,Groups!Q:Q),MROUND(_xlfn.XLOOKUP(_xlfn.XLOOKUP(B361,'Base stats'!B:B,'Base stats'!E:E),Groups!A:A,Groups!Q:Q)*_xlfn.XLOOKUP(B361,'Base stats'!B:B,'Base stats'!C:C)^0.165,0.05)))</f>
        <v>1.4500000000000002</v>
      </c>
      <c r="U361" s="7" t="str">
        <f>IF(S361="No","No",_xlfn.XLOOKUP(_xlfn.XLOOKUP(B361,'Base stats'!B:B,'Base stats'!E:E),Groups!A:A,Groups!R:R))</f>
        <v>Feet</v>
      </c>
      <c r="V361" s="7" t="str">
        <f>IF(S361="No","No",_xlfn.XLOOKUP(_xlfn.XLOOKUP(B361,'Base stats'!B:B,'Base stats'!E:E),Groups!A:A,Groups!S:S))</f>
        <v>rear left claw, rear  right claw</v>
      </c>
      <c r="W361" s="7" t="str">
        <f>IF(S361="No","No",_xlfn.XLOOKUP(_xlfn.XLOOKUP(B361,'Base stats'!B:B,'Base stats'!E:E),Groups!A:A,Groups!T:T))</f>
        <v>Scratch</v>
      </c>
      <c r="X361" s="13" t="str">
        <f>IF(_xlfn.XLOOKUP(B361,'Base stats'!B:B,'Base stats'!W:W)="No","No",MROUND((LOG10(_xlfn.XLOOKUP(B361,'Base stats'!B:B,'Base stats'!AU:AU))*(AO361^0.5)+(_xlfn.XLOOKUP(B361,'Base stats'!B:B,'Base stats'!AU:AU)/1000)^(2/3)+_xlfn.XLOOKUP(B361,'Base stats'!B:B,'Base stats'!AZ:AZ))+0.5+IF(_xlfn.XLOOKUP(_xlfn.XLOOKUP(B361,'Base stats'!B:B,'Base stats'!E:E),Groups!A:A,Groups!U:U)&lt;&gt;3,_xlfn.XLOOKUP(B361,'Base stats'!B:B,'Base stats'!BA:BA),0),0.5))</f>
        <v>No</v>
      </c>
      <c r="Y361" s="7" t="str">
        <f>IF(X361="No","No",MAX(_xlfn.XLOOKUP(_xlfn.XLOOKUP(B361,'Base stats'!B:B,'Base stats'!E:E),Groups!A:A,Groups!V:V),MROUND(_xlfn.XLOOKUP(_xlfn.XLOOKUP(B361,'Base stats'!B:B,'Base stats'!E:E),Groups!A:A,Groups!V:V)*_xlfn.XLOOKUP(B361,'Base stats'!B:B,'Base stats'!C:C)^0.165,0.05)))</f>
        <v>No</v>
      </c>
      <c r="Z361" s="7" t="str">
        <f>IF(X361="No","No",_xlfn.XLOOKUP(_xlfn.XLOOKUP(B361,'Base stats'!B:B,'Base stats'!E:E),Groups!A:A,Groups!W:W))</f>
        <v>No</v>
      </c>
      <c r="AA361" s="7" t="str">
        <f>IF(X361="No","No",_xlfn.XLOOKUP(_xlfn.XLOOKUP(B361,'Base stats'!B:B,'Base stats'!E:E),Groups!A:A,Groups!X:X))</f>
        <v>No</v>
      </c>
      <c r="AB361" s="7" t="str">
        <f>IF(X361="No","No",_xlfn.XLOOKUP(_xlfn.XLOOKUP(B361,'Base stats'!B:B,'Base stats'!E:E),Groups!A:A,Groups!Y:Y))</f>
        <v>No</v>
      </c>
      <c r="AC361" s="7" t="str">
        <f>_xlfn.XLOOKUP(Animals!B361,'Base stats'!B:B,'Base stats'!X:X)</f>
        <v>False</v>
      </c>
      <c r="AD361" s="13">
        <f>IF(_xlfn.XLOOKUP(B361,'Base stats'!B:B,'Base stats'!AT:AT)="No","No",MROUND((LOG10(_xlfn.XLOOKUP(B361,'Base stats'!B:B,'Base stats'!AT:AT))*(AO361^0.75)+(_xlfn.XLOOKUP(B361,'Base stats'!B:B,'Base stats'!AT:AT)/1000)^(2/3)+_xlfn.XLOOKUP(B361,'Base stats'!B:B,'Base stats'!AX:AX)+_xlfn.XLOOKUP(B361,'Base stats'!B:B,'Base stats'!BA:BA))+0.5,0.5))</f>
        <v>4.5</v>
      </c>
      <c r="AE361" s="7">
        <f>IF(AD361="No","No",MAX(_xlfn.XLOOKUP(_xlfn.XLOOKUP(B361,'Base stats'!B:B,'Base stats'!E:E),Groups!A:A,Groups!Z:Z),MROUND(_xlfn.XLOOKUP(_xlfn.XLOOKUP(B361,'Base stats'!B:B,'Base stats'!E:E),Groups!A:A,Groups!Z:Z)*_xlfn.XLOOKUP(B361,'Base stats'!B:B,'Base stats'!C:C)^0.165,0.05)))</f>
        <v>1.25</v>
      </c>
      <c r="AF361" s="7" t="str">
        <f>IF(AD361="No","No",_xlfn.XLOOKUP(_xlfn.XLOOKUP(B361,'Base stats'!B:B,'Base stats'!E:E),Groups!A:A,Groups!AA:AA))</f>
        <v>Teeth</v>
      </c>
      <c r="AG361" s="7" t="str">
        <f>IF(AD361="No","No",_xlfn.XLOOKUP(_xlfn.XLOOKUP(B361,'Base stats'!B:B,'Base stats'!E:E),Groups!A:A,Groups!AB:AB))</f>
        <v>teeth</v>
      </c>
      <c r="AH361" s="7" t="str">
        <f>IF(AD361="No","No",_xlfn.XLOOKUP(_xlfn.XLOOKUP(B361,'Base stats'!B:B,'Base stats'!E:E),Groups!A:A,Groups!AC:AC))</f>
        <v>Bite</v>
      </c>
      <c r="AI361" s="13" t="str">
        <f>IF(_xlfn.XLOOKUP(_xlfn.XLOOKUP(B361,'Base stats'!B:B,'Base stats'!E:E),Groups!A:A,Groups!AD:AD)=0,"No",MROUND((LOG10(_xlfn.XLOOKUP(B361,'Base stats'!B:B,'Base stats'!AS:AS))*(AO361^0.75)+(_xlfn.XLOOKUP(B361,'Base stats'!B:B,'Base stats'!AS:AS)/1000)^(2/3)+_xlfn.XLOOKUP(B361,'Base stats'!B:B,'Base stats'!AY:AY)+_xlfn.XLOOKUP(B361,'Base stats'!B:B,'Base stats'!BA:BA))+0.5,0.5))</f>
        <v>No</v>
      </c>
      <c r="AJ361" s="7" t="str">
        <f>IF(AI361="No","No",MAX(_xlfn.XLOOKUP(_xlfn.XLOOKUP(B361,'Base stats'!B:B,'Base stats'!E:E),Groups!A:A,Groups!AE:AE),MROUND(_xlfn.XLOOKUP(_xlfn.XLOOKUP(B361,'Base stats'!B:B,'Base stats'!E:E),Groups!A:A,Groups!AE:AE)*IF(_xlfn.XLOOKUP(_xlfn.XLOOKUP(B361,'Base stats'!B:B,'Base stats'!E:E),Groups!A:A,Groups!AJ:AJ)="Photonozoa",0.6,1)*_xlfn.XLOOKUP(B361,'Base stats'!B:B,'Base stats'!C:C)^0.165,0.05)))</f>
        <v>No</v>
      </c>
      <c r="AK361" s="7" t="str">
        <f>IF(AI361="No","No",_xlfn.XLOOKUP(_xlfn.XLOOKUP(B361,'Base stats'!B:B,'Base stats'!E:E),Groups!A:A,Groups!AF:AF))</f>
        <v>No</v>
      </c>
      <c r="AL361" s="7" t="str">
        <f>IF(AI361="No","No",_xlfn.XLOOKUP(_xlfn.XLOOKUP(B361,'Base stats'!B:B,'Base stats'!E:E),Groups!A:A,Groups!AG:AG))</f>
        <v>No</v>
      </c>
      <c r="AM361" s="7" t="str">
        <f>IF(AI361="No","No",_xlfn.XLOOKUP(_xlfn.XLOOKUP(B361,'Base stats'!B:B,'Base stats'!E:E),Groups!A:A,Groups!AH:AH))</f>
        <v>No</v>
      </c>
      <c r="AN361" s="2">
        <f t="shared" si="35"/>
        <v>20</v>
      </c>
      <c r="AO361" s="2">
        <f>MROUND(IF(AND(_xlfn.XLOOKUP(B361,'Base stats'!B:B,'Base stats'!C:C)&gt;=0.5,_xlfn.XLOOKUP(B361,'Base stats'!B:B,'Base stats'!C:C)&lt;=0.8),
IF(_xlfn.XLOOKUP(B361,'Base stats'!B:B,'Base stats'!C:C)&lt;0.1,0.05,IF(_xlfn.XLOOKUP(B361,'Base stats'!B:B,'Base stats'!C:C)&lt;=70,(_xlfn.XLOOKUP(B361,'Base stats'!B:B,'Base stats'!C:C)/70)^0.426489913056526,IF(_xlfn.XLOOKUP(B361,'Base stats'!B:B,'Base stats'!C:C)&lt;=400,(_xlfn.XLOOKUP(B361,'Base stats'!B:B,'Base stats'!C:C)/70)^0.572811455315093,IF(_xlfn.XLOOKUP(B361,'Base stats'!B:B,'Base stats'!C:C)&lt;=2000,2.71391647193063*(_xlfn.XLOOKUP(B361,'Base stats'!B:B,'Base stats'!C:C)/400)^0.252459582904293,3.74314280240376*(_xlfn.XLOOKUP(B361,'Base stats'!B:B,'Base stats'!C:C)/2000)^0.357012633876913)))),
IF(_xlfn.XLOOKUP(B361,'Base stats'!B:B,'Base stats'!C:C)&lt;0.1,0.05,IF(_xlfn.XLOOKUP(B361,'Base stats'!B:B,'Base stats'!C:C)&lt;0.4,0.1,IF(_xlfn.XLOOKUP(B361,'Base stats'!B:B,'Base stats'!C:C)&lt;=70,(_xlfn.XLOOKUP(B361,'Base stats'!B:B,'Base stats'!C:C)/70)^0.445823913056526,IF(_xlfn.XLOOKUP(B361,'Base stats'!B:B,'Base stats'!C:C)&lt;=400,(_xlfn.XLOOKUP(B361,'Base stats'!B:B,'Base stats'!C:C)/70)^0.572811455315093,IF(_xlfn.XLOOKUP(B361,'Base stats'!B:B,'Base stats'!C:C)&lt;=2000,2.71391647193063*(_xlfn.XLOOKUP(B361,'Base stats'!B:B,'Base stats'!C:C)/400)^0.252459582904293,3.74314280240376*(_xlfn.XLOOKUP(B361,'Base stats'!B:B,'Base stats'!C:C)/2000)^0.357012633876913)))))),
IF(_xlfn.XLOOKUP(B361,'Base stats'!B:B,'Base stats'!C:C)&lt;0.1,0.05,IF(_xlfn.XLOOKUP(B361,'Base stats'!B:B,'Base stats'!C:C)&lt;=100,0.05,IF(_xlfn.XLOOKUP(B361,'Base stats'!B:B,'Base stats'!C:C)&lt;=250,0.1,IF(_xlfn.XLOOKUP(B361,'Base stats'!B:B,'Base stats'!C:C)&lt;=4000,0.25,0.5)))))</f>
        <v>0.55000000000000004</v>
      </c>
      <c r="AP361" s="8">
        <f>MROUND(AO361*_xlfn.XLOOKUP(_xlfn.XLOOKUP(B361,'Base stats'!B:B,'Base stats'!E:E),Groups!A:A,Groups!AI:AI)*_xlfn.XLOOKUP(B361,'Base stats'!B:B,'Base stats'!Z:Z),0.05)</f>
        <v>0.65</v>
      </c>
      <c r="AQ361" s="8">
        <f>MAX(0.01,MROUND(IF(CC361="True",0.196*(AO361*100*1000)^0.889,IF(_xlfn.XLOOKUP(_xlfn.XLOOKUP(B361,'Base stats'!B:B,'Base stats'!E:E),Groups!A:A,Groups!AJ:AJ)="Bird",10.5*(AO361*100*1000)^0.681,4.82*(AO361*100*1000)^0.734))/(4.82*(1*100*1000)^0.734)/IF(AO361&lt;3.5,2,IF(AO361=3.5,1.5,1.25))*(1+0.132282374779864/(AO361^0.994035016789033+0.00905238001496948)),0.05))</f>
        <v>0.5</v>
      </c>
      <c r="AR361" s="9">
        <f>IFERROR(MROUND(_xlfn.XLOOKUP(B361,'Base stats'!B:B,'Base stats'!H:H)/IF(_xlfn.XLOOKUP(B361,'Base stats'!B:B,'Base stats'!I:I)&lt;&gt;1,(122.5/70),1.2),IF(_xlfn.XLOOKUP(B361,'Base stats'!B:B,'Base stats'!H:H)&gt;=30,5,IF(_xlfn.XLOOKUP(B361,'Base stats'!B:B,'Base stats'!H:H)&gt;=15,3,IF(_xlfn.XLOOKUP(B361,'Base stats'!B:B,'Base stats'!H:H)&gt;=10,2,1)))),"Immortal")</f>
        <v>12</v>
      </c>
      <c r="AS361" s="35" t="str">
        <f>IFERROR(IF(OR(_xlfn.XLOOKUP(B361,'Base stats'!B:B,'Base stats'!F:F)="Atypical reproduction",_xlfn.XLOOKUP(B361,'Base stats'!B:B,'Base stats'!F:F)="Lay eggs"),"Lay eggs",MIN(20,MAX(5.5,ROUND(((_xlfn.XLOOKUP(B361,'Base stats'!B:B,'Base stats'!F:F)-25)*(14.5/615) + 5.5)*2,0)/2))),"Unknown")</f>
        <v>Lay eggs</v>
      </c>
      <c r="AT361" s="8">
        <f>IF(_xlfn.XLOOKUP(B361,'Base stats'!B:B,'Base stats'!G:G)="Atypical reproduction","No",IFERROR(MAX(IF(_xlfn.XLOOKUP(B361,'Base stats'!B:B,'Base stats'!G:G)&lt;0.5,0.2,0.3),MROUND(_xlfn.XLOOKUP(B361,'Base stats'!B:B,'Base stats'!G:G)/(365/60),0.2)),"Unknown"))</f>
        <v>0.3</v>
      </c>
      <c r="AU361" s="8">
        <f t="shared" si="36"/>
        <v>0.15000000000000002</v>
      </c>
      <c r="AV361" s="8" t="str">
        <f>IFERROR(IFERROR(MROUND(_xlfn.XLOOKUP(B361,'Base stats'!B:B,'Base stats'!J:J),0.1),"Lay eggs"),"Cannot breed")</f>
        <v>Lay eggs</v>
      </c>
      <c r="AW361" s="2" t="str">
        <f t="shared" si="37"/>
        <v>false</v>
      </c>
      <c r="AX361" s="2" t="str">
        <f>IF(_xlfn.XLOOKUP(_xlfn.XLOOKUP(Animals!B361,'Base stats'!B:B,'Base stats'!E:E),Groups!A:A,Groups!AK:AK)=1,"true","false")</f>
        <v>false</v>
      </c>
      <c r="AY361" s="25" t="str">
        <f>IF(_xlfn.XLOOKUP(B361,'Base stats'!B:B,'Base stats'!Y:Y)="Liquor","Liquor, CarnivoreAnimalStrict",IF(AND(_xlfn.XLOOKUP(B361,'Base stats'!B:B,'Base stats'!Y:Y)="Carnivore",_xlfn.XLOOKUP(_xlfn.XLOOKUP(B361,'Base stats'!B:B,'Base stats'!E:E),Groups!A:A,Groups!AJ:AJ)="Photonozoa"),"CarnivoreAnimalStrict, OvivoreAnimal",IF(_xlfn.XLOOKUP(B361,'Base stats'!B:B,'Base stats'!Y:Y)="Carnivore","CarnivoreAnimal, OvivoreAnimal",IF(_xlfn.XLOOKUP(B361,'Base stats'!B:B,'Base stats'!Y:Y)="Dendrovore","VegetarianRoughAnimal, DendrovoreAnimal",IF(_xlfn.XLOOKUP(B361,'Base stats'!B:B,'Base stats'!Y:Y)="Herbivore","VegetarianRoughAnimal",IF(_xlfn.XLOOKUP(B361,'Base stats'!B:B,'Base stats'!Y:Y)="OmnivoreRough","OmnivoreRoughAnimal, OvivoreAnimal","OmnivoreAnimal, OvivoreAnimal"))))))</f>
        <v>CarnivoreAnimal, OvivoreAnimal</v>
      </c>
      <c r="AZ361" s="2" t="str">
        <f>IF(_xlfn.XLOOKUP(_xlfn.XLOOKUP(B361,'Base stats'!B:B,'Base stats'!E:E),Groups!A:A,Groups!D:D)=1,MROUND((1-J361)*5+1,2)*IF(J361&lt;=0.4,2,1),"No")</f>
        <v>No</v>
      </c>
      <c r="BA361" s="2" t="str">
        <f>IF(AND(_xlfn.XLOOKUP(B361,'Base stats'!B:B,'Base stats'!AH:AH)="&lt;li&gt;Seal&lt;/li&gt;",G361="Odyssey"),"&lt;li&gt;AEXP_Seal&lt;/li&gt;",_xlfn.XLOOKUP(B361,'Base stats'!B:B,'Base stats'!AH:AH))</f>
        <v>No</v>
      </c>
      <c r="BB361" s="2" t="str">
        <f>_xlfn.XLOOKUP(B361,'Base stats'!B:B,'Base stats'!AG:AG)</f>
        <v>Leather_Raptor</v>
      </c>
      <c r="BC361" s="23" t="str">
        <f>_xlfn.XLOOKUP(_xlfn.XLOOKUP(B361,'Base stats'!B:B,'Base stats'!E:E),Groups!A:A,Groups!AL:AL)</f>
        <v>Theropod</v>
      </c>
      <c r="BD361" s="23">
        <f>MIN(1,MROUND(IF(AND(AO361&lt;0.5,_xlfn.XLOOKUP(B361,'Base stats'!B:B,'Base stats'!AA:AA)=0),0,IF(OR(_xlfn.XLOOKUP(Animals!B361,'Base stats'!B:B,'Base stats'!O:O)=2,_xlfn.XLOOKUP(_xlfn.XLOOKUP(B361,'Base stats'!B:B,'Base stats'!E:E),Groups!A:A,Groups!AN:AN)=0),0,_xlfn.XLOOKUP(_xlfn.XLOOKUP(B361,'Base stats'!B:B,'Base stats'!E:E),Groups!A:A,Groups!AN:AN)/IF(_xlfn.XLOOKUP(Animals!B361,'Base stats'!B:B,'Base stats'!O:O)=1,2,1)))+_xlfn.XLOOKUP(B361,'Base stats'!B:B,'Base stats'!AC:AC),0.005))</f>
        <v>0.1</v>
      </c>
      <c r="BE361" s="23">
        <f>MIN(1,MROUND(IF(AND(AO361&lt;0.5,_xlfn.XLOOKUP(B361,'Base stats'!B:B,'Base stats'!AA:AA)=0),0,IF(_xlfn.XLOOKUP(_xlfn.XLOOKUP(B361,'Base stats'!B:B,'Base stats'!E:E),Groups!A:A,Groups!AO:AO)=0,0,_xlfn.XLOOKUP(_xlfn.XLOOKUP(B361,'Base stats'!B:B,'Base stats'!E:E),Groups!A:A,Groups!AO:AO)/IF(_xlfn.XLOOKUP(Animals!B361,'Base stats'!B:B,'Base stats'!O:O)=2,3,1)))+_xlfn.XLOOKUP(B361,'Base stats'!B:B,'Base stats'!AD:AD),0.005))</f>
        <v>0.3</v>
      </c>
      <c r="BF361" s="2" t="str">
        <f>IF(J361&gt;0.3,"No",_xlfn.XLOOKUP(_xlfn.XLOOKUP(Animals!B361,'Base stats'!B:B,'Base stats'!E:E),Groups!A:A,Groups!AP:AP))</f>
        <v>No</v>
      </c>
      <c r="BG361" s="2">
        <f>IF(AND(J361&lt;=0.65,_xlfn.XLOOKUP(_xlfn.XLOOKUP(Animals!B361,'Base stats'!B:B,'Base stats'!E:E),Groups!A:A,Groups!AP:AP)&lt;&gt;"No",_xlfn.XLOOKUP(_xlfn.XLOOKUP(B361,'Base stats'!B:B,'Base stats'!E:E),Groups!A:A,Groups!D:D)=0),MROUND((80/3)*IF(_xlfn.XLOOKUP(B361,'Base stats'!B:B,'Base stats'!O:O)=2,0.2,AO361) + 24*(1-IF(BF361="No",0,BF361)) + 16/3, 12),"No")</f>
        <v>48</v>
      </c>
      <c r="BH361" s="2">
        <f>IF(AND(_xlfn.XLOOKUP(_xlfn.XLOOKUP(B361,'Base stats'!B:B,'Base stats'!E:E),Groups!A:A,Groups!AQ:AQ)=1,AO361&lt;=0.35),8,12)</f>
        <v>12</v>
      </c>
      <c r="BI361" s="2" t="str">
        <f>IF(_xlfn.XLOOKUP(_xlfn.XLOOKUP(B361,'Base stats'!B:B,'Base stats'!E:E),Groups!A:A,Groups!D:D)=0,_xlfn.XLOOKUP(_xlfn.XLOOKUP(B361,'Base stats'!B:B,'Base stats'!E:E),Groups!A:A,Groups!AR:AR),"None")</f>
        <v>Intermediate</v>
      </c>
      <c r="BJ361" s="2" t="str">
        <f>IF(AND(_xlfn.XLOOKUP(_xlfn.XLOOKUP(B361,'Base stats'!B:B,'Base stats'!E:E),Groups!A:A,Groups!AS:AS)=1,OR(_xlfn.XLOOKUP(B361,'Base stats'!B:B,'Base stats'!Y:Y)="Carnivore",_xlfn.XLOOKUP(B361,'Base stats'!B:B,'Base stats'!Y:Y)="Omnivore")),"true","false")</f>
        <v>true</v>
      </c>
      <c r="BK361" s="2">
        <f>IF(BJ361="true",MROUND(IF(AND(AO361&gt;0.5,OR(_xlfn.XLOOKUP(_xlfn.XLOOKUP(B361,'Base stats'!B:B,'Base stats'!E:E),Groups!A:A,Groups!AJ:AJ)="Photonozoa",_xlfn.XLOOKUP(_xlfn.XLOOKUP(B361,'Base stats'!B:B,'Base stats'!E:E),Groups!A:A,Groups!AJ:AJ)="Mammal")),Animals!AO361*1.75*IF(AW361="true",1.5,1),IF(AO361&lt;0.5,Animals!AO361*0.5,Animals!AO361)),IF(AO361&gt;2,0.5,IF(AO361&gt;0.5,0.25,0.1))),"No")</f>
        <v>0.5</v>
      </c>
      <c r="BL361" s="2">
        <f t="shared" si="38"/>
        <v>1</v>
      </c>
      <c r="BM361" s="25" t="str">
        <f>IF(_xlfn.XLOOKUP(B361,'Base stats'!B:B,'Base stats'!AN:AN)="Standard","No",MROUND((_xlfn.XLOOKUP(B361,'Base stats'!B:B,'Base stats'!AN:AN)/3.6)/I361,0.1))</f>
        <v>No</v>
      </c>
      <c r="BN361" s="25" t="str">
        <f t="shared" si="39"/>
        <v>false</v>
      </c>
      <c r="BO361" s="25" t="str">
        <f>IF(AND(OR(_xlfn.XLOOKUP(B361,'Base stats'!B:B,'Base stats'!Y:Y)="Carnivore",_xlfn.XLOOKUP(B361,'Base stats'!B:B,'Base stats'!Y:Y)="Omnivore",_xlfn.XLOOKUP(B361,'Base stats'!B:B,'Base stats'!Y:Y)="OmnivoreRough"),_xlfn.XLOOKUP(_xlfn.XLOOKUP(B361,'Base stats'!B:B,'Base stats'!E:E),Groups!A:A,Groups!AT:AT)=1),"true","false")</f>
        <v>false</v>
      </c>
      <c r="BP361" s="25" t="str" cm="1">
        <f t="array" ref="BP361">IF(
  _xlfn.TEXTJOIN(", ",TRUE,
    IF(AND(BJ361="true",AO361&gt;0.5,BI361&lt;&gt;"None"),"AttackTarget",""),
    IF(AND(_xlfn.XLOOKUP(_xlfn.XLOOKUP(B361,'Base stats'!B:B,'Base stats'!E:E),Groups!A:A,Groups!AJ:AJ="Mammal"),OR(_xlfn.XLOOKUP(B361,'Base stats'!B:B,'Base stats'!Y:Y)="Omnivore",_xlfn.XLOOKUP(B361,'Base stats'!B:B,'Base stats'!Y:Y)="OmnivoreRough")),"Forage",""),
    IF(BG361&lt;=36,"Comfort",""),
    IF(_xlfn.XLOOKUP(B361,'Base stats'!B:B,'Base stats'!AE:AE)&lt;&gt;"No",_xlfn.XLOOKUP(B361,'Base stats'!B:B,'Base stats'!AE:AE),"")
  ) = "",
  "No",
  _xlfn.TEXTJOIN(", ",TRUE,
    IF(AND(BJ361="true",AO361&gt;0.5,BI361&lt;&gt;"None"),"AttackTarget",""),
    IF(AND(_xlfn.XLOOKUP(_xlfn.XLOOKUP(B361,'Base stats'!B:B,'Base stats'!E:E),Groups!A:A,Groups!AJ:AJ="Mammal"),OR(_xlfn.XLOOKUP(B361,'Base stats'!B:B,'Base stats'!Y:Y)="Omnivore",_xlfn.XLOOKUP(B361,'Base stats'!B:B,'Base stats'!Y:Y)="OmnivoreRough")),"Forage",""),
    IF(BG361&lt;=36,"Comfort",""),
    IF(_xlfn.XLOOKUP(B361,'Base stats'!B:B,'Base stats'!AE:AE)&lt;&gt;"No",_xlfn.XLOOKUP(B361,'Base stats'!B:B,'Base stats'!AE:AE),"")
  )
)</f>
        <v>AttackTarget</v>
      </c>
      <c r="BQ361" s="25" t="str">
        <f>IF(
   AND(
      'Base stats'!AN361="Standard",_xlfn.XLOOKUP(_xlfn.XLOOKUP(B361,'Base stats'!B:B,'Base stats'!E:E),Groups!A:A,Groups!AU:AU)=0,
      OR(
      BO361="True"
      )
   ),
   10,
   IF(
       OR(BM361&lt;&gt;"No",_xlfn.XLOOKUP(_xlfn.XLOOKUP(B361,'Base stats'!B:B,'Base stats'!E:E),Groups!A:A,Groups!AU:AU)=1),
      1,
      "No"
   )
)</f>
        <v>No</v>
      </c>
      <c r="BR361" s="9">
        <f>MROUND((1 + ((0.2*IF(OR(Q361="No",R361="No",R361=0),0,Q361/R361)
+IF(OR(V361="No",S361="No",T361="No"),0,S361/T361*(LEN(V361)-LEN(SUBSTITUTE(V361,",",""))+1))
+IF(OR(X361="No",Y361="No"),0,X361/Y361)
+IF(OR(AD361="No",AE361="No"),0,AD361/AE361)
+IF(OR(AL361="No",AI361="No",AJ361="No"),0,AI361/AJ361*(LEN(AL361)-LEN(SUBSTITUTE(AL361,",",""))+1))
)/(0.2*IF(OR(Q361="No",R361="No",R361=0),0,1)
+IF(OR(V361="No",S361="No",T361="No"),0,LEN(V361)-LEN(SUBSTITUTE(V361,",",""))+1)
+IF(OR(X361="No",Y361="No"),0,1)
+IF(OR(AD361="No",AE361="No"),0,1)
+IF(OR(AL361="No",AI361="No",AJ361="No"),0,LEN(AL361)-LEN(SUBSTITUTE(AL361,",",""))+1))*62%)* 2)*(1 + (AP361 / (IF(_xlfn.XLOOKUP(_xlfn.XLOOKUP(B361,'Base stats'!B:B,'Base stats'!E:E),Groups!A:A,Groups!AJ:AJ)="Photonozoa",0.3,1)) + _xlfn.XLOOKUP(B361,'Base stats'!B:B,'Base stats'!AV:AV) * 1.8) * 2) * 2.5 + 10 + I361 * 2,5)+IF(_xlfn.XLOOKUP(B361,'Base stats'!B:B,'Base stats'!AK:AK)=1,50,0)</f>
        <v>65</v>
      </c>
      <c r="BS361" s="8">
        <f t="shared" si="40"/>
        <v>0.5</v>
      </c>
      <c r="BT361" s="8" t="str">
        <f>_xlfn.XLOOKUP(B361,'Base stats'!B:B,'Base stats'!AF:AF)</f>
        <v>No</v>
      </c>
      <c r="BU361" s="2" t="str">
        <f>IF(AND(J361&lt;=0.95,OR(_xlfn.XLOOKUP(B361,'Base stats'!B:B,'Base stats'!AK:AK)=1,_xlfn.XLOOKUP(B361,'Base stats'!B:B,'Base stats'!Y:Y)="Carnivore",_xlfn.XLOOKUP(B361,'Base stats'!B:B,'Base stats'!Y:Y)="Omnivore",BE361&gt;0.1)),"true","false")</f>
        <v>true</v>
      </c>
      <c r="BV361" s="2" t="str">
        <f>IF(_xlfn.XLOOKUP(B361,'Base stats'!B:B,'Base stats'!AI:AI)=1,"true","false")</f>
        <v>false</v>
      </c>
      <c r="BW361" s="25" t="str">
        <f>IF(E361="BaseInsect","AnimalInsect",
IF(J361&gt;0.95,"AnimalExotic",
_xlfn.TEXTJOIN(", ",TRUE,
IF(OR(_xlfn.XLOOKUP(B361,'Base stats'!B:B,'Base stats'!AM:AM)=1,AND(_xlfn.XLOOKUP(B361,'Base stats'!B:B,'Base stats'!O:O)=0,_xlfn.XLOOKUP(_xlfn.XLOOKUP(B361,'Base stats'!B:B,'Base stats'!E:E),Groups!A:A,Groups!B:B)&gt;0)),"AnimalUncommon","AnimalCommon"),
IF(AND(_xlfn.XLOOKUP(B361,'Base stats'!B:B,'Base stats'!O:O)=2,_xlfn.XLOOKUP(_xlfn.XLOOKUP(B361,'Base stats'!B:B,'Base stats'!E:E),Groups!A:A,Groups!D:D)=0),"AnimalPet",IF(AND(_xlfn.XLOOKUP(B361,'Base stats'!B:B,'Base stats'!O:O)&lt;&gt;0,_xlfn.XLOOKUP(_xlfn.XLOOKUP(B361,'Base stats'!B:B,'Base stats'!E:E),Groups!A:A,Groups!D:D)&lt;&gt;0),"AnimalFarm","")),
IF(OR(_xlfn.XLOOKUP(B361,'Base stats'!B:B,'Base stats'!AK:AK)=1,AND(BI361&lt;&gt;"None",BR361&gt;=60),ISNUMBER(SEARCH("Attack target",BP361))),"AnimalFighter","")
)))</f>
        <v>AnimalUncommon, AnimalFighter</v>
      </c>
      <c r="BX361" s="25" t="str">
        <f>IF(G361="None",TRIM(
SUBSTITUTE(
IF(COUNTIF(Biomes!B$2:B$259,"="&amp;$C361)&gt;0,Biomes!B$1&amp;", ","")&amp;
IF(COUNTIF(Biomes!C$2:C$259,"="&amp;$C361)&gt;0,Biomes!C$1&amp;", ","")&amp;
IF(COUNTIF(Biomes!D$2:D$259,"="&amp;$C361)&gt;0,Biomes!D$1&amp;", ","")&amp;
IF(COUNTIF(Biomes!F$2:F$259,"="&amp;$C361)&gt;0,Biomes!F$1&amp;", ","")&amp;
IF(COUNTIF(Biomes!G$2:G$259,"="&amp;$C361)&gt;0,Biomes!G$1&amp;", ","")&amp;
IF(COUNTIF(Biomes!H$2:H$259,"="&amp;$C361)&gt;0,Biomes!H$1&amp;", ","")&amp;
IF(COUNTIF(Biomes!I$2:I$259,"="&amp;$C361)&gt;0,Biomes!I$1&amp;", ","")&amp;
IF(COUNTIF(Biomes!J$2:J$259,"="&amp;$C361)&gt;0,Biomes!J$1&amp;", ","")&amp;
IF(COUNTIF(Biomes!M$2:M$259,"="&amp;$C361)&gt;0,Biomes!M$1&amp;", ","")&amp;
IF(COUNTIF(Biomes!N$2:N$259,"="&amp;$C361)&gt;0,Biomes!N$1&amp;", ","")&amp;
IF(COUNTIF(Biomes!O$2:O$259,"="&amp;$C361)&gt;0,Biomes!O$1&amp;", ","")&amp;
IF(COUNTIF(Biomes!P$2:P$259,"="&amp;$C361)&gt;0,Biomes!P$1&amp;", ","")&amp;
IF(COUNTIF(Biomes!K$2:K$259,"="&amp;$C361)&gt;0,Biomes!K$1&amp;", ","")&amp;
IF(COUNTIF(Biomes!Q$3:Q$259,"="&amp;$C361)&gt;0,Biomes!Q$1&amp;", ","")&amp;
IF(COUNTIF(Biomes!L$2:L$259,"="&amp;$C361)&gt;0,Biomes!L$1&amp;", ","")&amp;
IF(COUNTIF(Biomes!E$2:E$259,"="&amp;$C361)&gt;0,Biomes!E$1&amp;", ","")&amp;IF(COUNTIF(Biomes!S$2:S$259,"="&amp;$C361)&gt;0,Biomes!S$1&amp;", ","")&amp;
IF(COUNTIF(Biomes!R$2:R$259,"="&amp;$C361)&gt;0,Biomes!R$1&amp;", ",""),", ","")
),_xlfn.XLOOKUP(B361,B:B,BX:BX))</f>
        <v>AridShrubland Desert Grasslands LavaField</v>
      </c>
      <c r="BY361" s="25" t="str">
        <f>IF(_xlfn.XLOOKUP(B361,'Base stats'!B:B,'Base stats'!AJ:AJ)=1,"true","false")</f>
        <v>false</v>
      </c>
      <c r="BZ361" s="25">
        <f>IF(_xlfn.XLOOKUP(B361,'Base stats'!B:B,'Base stats'!N:N)=1,"No",MAX(0.001,MIN(MROUND(IF(AND(BJ361="True",CC361="False"),POWER(10,3.47*LOG10(_xlfn.XLOOKUP(B361,'Base stats'!B:B,'Base stats'!C:C)*1000)^-0.96),POWER(10,4.15*LOG10(_xlfn.XLOOKUP(B361,'Base stats'!B:B,'Base stats'!C:C)*1000)^-0.73))*IF(_xlfn.XLOOKUP(B361,'Base stats'!B:B,'Base stats'!AK:AK)=1,0.5,1)*IF(_xlfn.XLOOKUP(B361,'Base stats'!B:B,'Base stats'!AM:AM)=1,0.1,1)/100,IF(_xlfn.XLOOKUP(B361,'Base stats'!B:B,'Base stats'!AM:AM)=1,0.001,0.025)),0.5)))</f>
        <v>7.5000000000000011E-2</v>
      </c>
      <c r="CA361" s="25" t="str">
        <f>IF(P361="Standard","No",MAX(0.001,MIN(MROUND(IF(AND(BJ361="True",CC361="False"),POWER(10,3.47*LOG10(_xlfn.XLOOKUP(B361,'Base stats'!B:B,'Base stats'!C:C)*1000)^-0.96),POWER(10,4.15*LOG10(_xlfn.XLOOKUP(B361,'Base stats'!B:B,'Base stats'!C:C)*1000)^-0.73))*IF(_xlfn.XLOOKUP(B361,'Base stats'!B:B,'Base stats'!AM:AM)=1,0.1,1)*_xlfn.XLOOKUP(B361,'Base stats'!B:B,'Base stats'!R:R)/100,IF(_xlfn.XLOOKUP(B361,'Base stats'!B:B,'Base stats'!AM:AM)=1,0.001,0.025)),0.5)))</f>
        <v>No</v>
      </c>
      <c r="CB361" s="25" t="str">
        <f>IF(_xlfn.XLOOKUP(_xlfn.XLOOKUP(B361,'Base stats'!B:B,'Base stats'!E:E),Groups!A:A,Groups!AJ:AJ)="Mammal","True","False")</f>
        <v>False</v>
      </c>
      <c r="CC361" s="25" t="str">
        <f>IF(OR(_xlfn.XLOOKUP(_xlfn.XLOOKUP(B361,'Base stats'!B:B,'Base stats'!E:E),Groups!A:A,Groups!AJ:AJ)="Reptile",_xlfn.XLOOKUP(_xlfn.XLOOKUP(B361,'Base stats'!B:B,'Base stats'!E:E),Groups!A:A,Groups!AJ:AJ)="Amphibian",_xlfn.XLOOKUP(_xlfn.XLOOKUP(B361,'Base stats'!B:B,'Base stats'!E:E),Groups!A:A,Groups!AJ:AJ)="Invertebrate"),"True","False")</f>
        <v>False</v>
      </c>
      <c r="CD361" s="25" t="str">
        <f t="shared" si="41"/>
        <v>False</v>
      </c>
      <c r="CE361" s="25" t="str">
        <f>IF(_xlfn.XLOOKUP(_xlfn.XLOOKUP(B361,'Base stats'!B:B,'Base stats'!E:E),Groups!A:A,Groups!AX:AX),"True","False")</f>
        <v>False</v>
      </c>
      <c r="CF361" s="25" t="str">
        <f>IF(_xlfn.XLOOKUP(_xlfn.XLOOKUP(B361,'Base stats'!B:B,'Base stats'!E:E),Groups!A:A,Groups!AY:AY),"True","False")</f>
        <v>False</v>
      </c>
      <c r="CG361" s="25" t="str">
        <f>IF(_xlfn.XLOOKUP(_xlfn.XLOOKUP(B361,'Base stats'!B:B,'Base stats'!E:E),Groups!A:A,Groups!AW:AW),"True","False")</f>
        <v>False</v>
      </c>
      <c r="CH361" s="25" t="str">
        <f>IF(
OR(
_xlfn.XLOOKUP(_xlfn.XLOOKUP(B361,'Base stats'!B:B,'Base stats'!E:E),Groups!A:A,Groups!AZ:AZ)=0,
AND(
_xlfn.XLOOKUP(B361,'Base stats'!B:B,'Base stats'!Y:Y)&lt;&gt;"Carnivore",
_xlfn.XLOOKUP(B361,'Base stats'!B:B,'Base stats'!Y:Y)&lt;&gt;"Omnivore",
_xlfn.XLOOKUP(B361,'Base stats'!B:B,'Base stats'!Y:Y)&lt;&gt;"OmnivoreRough"
)
),
"No",
IF(
_xlfn.XLOOKUP(_xlfn.XLOOKUP(B361,'Base stats'!B:B,'Base stats'!E:E),Groups!A:A,Groups!AZ:AZ)=1,
"Flesh",
IF(
_xlfn.XLOOKUP(_xlfn.XLOOKUP(B361,'Base stats'!B:B,'Base stats'!E:E),Groups!A:A,Groups!AZ:AZ)=2,
"Bone",
""
)
)
)</f>
        <v>No</v>
      </c>
      <c r="CI361" s="25" t="str">
        <f>IF(_xlfn.XLOOKUP(_xlfn.XLOOKUP(B361,'Base stats'!B:B,'Base stats'!E:E),Groups!A:A,Groups!BB:BB),"True","False")</f>
        <v>False</v>
      </c>
      <c r="CJ361" s="25" t="str">
        <f>IF(_xlfn.XLOOKUP(_xlfn.XLOOKUP(B361,'Base stats'!B:B,'Base stats'!E:E),Groups!A:A,Groups!BA:BA),"True","False")</f>
        <v>False</v>
      </c>
    </row>
    <row r="362" spans="1:88" ht="16.5" thickTop="1" thickBot="1" x14ac:dyDescent="0.3">
      <c r="A362" s="26" t="s">
        <v>1961</v>
      </c>
      <c r="B362" s="6" t="str">
        <f>_xlfn.XLOOKUP(A362,'Base stats'!A:A,'Base stats'!B:B)</f>
        <v xml:space="preserve">Compsognathus longipes </v>
      </c>
      <c r="C362" s="28" t="s">
        <v>2036</v>
      </c>
      <c r="D362" s="28" t="s">
        <v>1898</v>
      </c>
      <c r="E362" s="28" t="s">
        <v>673</v>
      </c>
      <c r="F362" s="28" t="s">
        <v>673</v>
      </c>
      <c r="G362" s="28" t="s">
        <v>673</v>
      </c>
      <c r="H362" s="2">
        <f>MROUND((
  (IF(AND(_xlfn.XLOOKUP(B362,'Base stats'!B:B,'Base stats'!AL:AL)=0,BI362="None",_xlfn.XLOOKUP(_xlfn.XLOOKUP(B362,'Base stats'!B:B,'Base stats'!E:E),Groups!A:A,Groups!B:B)=0), (18 + BR362 * 2.7) * 0.5,
    IF(AND(_xlfn.XLOOKUP(B362,'Base stats'!B:B,'Base stats'!AL:AL)=0,OR(AO362&lt;0.55,AND(BI362="Intermediate",_xlfn.XLOOKUP(_xlfn.XLOOKUP(B362,'Base stats'!B:B,'Base stats'!E:E),Groups!A:A,Groups!B:B)&lt;2))), (18 + BR362 * 2.7),
      IF(OR(BI362="Advanced",_xlfn.XLOOKUP(B362,'Base stats'!B:B,'Base stats'!AL:AL)=1,_xlfn.XLOOKUP(_xlfn.XLOOKUP(B362,'Base stats'!B:B,'Base stats'!E:E),Groups!A:A,Groups!B:B)=2), (18 + BR362 * 2.7) + 250, (18 + BR362 * 2.7))
    )
  ))
  + AO362 * 80
  + IF(COUNTIF(EggMilk!K$2:K$998, A362) &gt; 0, 125, 0)
  + IF(COUNTIF(EggMilk!P$2:P$998, A362) &gt; 0, 90, 0)
  + IF(COUNTIF(EggMilk!A$2:A$998, A362) &gt; 0, 90, 0)
)
* (0.8 + 0.4 * J362)
* 0.75,25)</f>
        <v>100</v>
      </c>
      <c r="I362" s="2">
        <f>MROUND(ROUNDDOWN(_xlfn.XLOOKUP(B362,'Base stats'!B:B,'Base stats'!L:L)/3.6/(23.3/11),1),0.5)</f>
        <v>3</v>
      </c>
      <c r="J362" s="2">
        <f>IF(OR(_xlfn.XLOOKUP(B362,'Base stats'!B:B,'Base stats'!AB:AB)=1,_xlfn.XLOOKUP(_xlfn.XLOOKUP(B362,'Base stats'!B:B,'Base stats'!E:E),Groups!A:A,Groups!C:C)="Untamable"),1,IF(_xlfn.XLOOKUP(B362,'Base stats'!B:B,'Base stats'!AL:AL)=1,0.99,MIN(MROUND((1-0.6282*EXP(-0.459*AO362))*_xlfn.XLOOKUP(_xlfn.XLOOKUP(B362,'Base stats'!B:B,'Base stats'!E:E),Groups!A:A,Groups!C:C)*IF(_xlfn.XLOOKUP(B362,'Base stats'!B:B,'Base stats'!O:O)=1,0.5,IF(_xlfn.XLOOKUP(B362,'Base stats'!B:B,'Base stats'!O:O)=2,0,1)),0.05),IF(AO362&gt;3.5,0.985,0.95))))</f>
        <v>0.45</v>
      </c>
      <c r="K362" s="2">
        <f>ROUNDUP(AO362*_xlfn.XLOOKUP(_xlfn.XLOOKUP(B362,'Base stats'!B:B,'Base stats'!E:E),Groups!A:A,Groups!E:E),0)</f>
        <v>1</v>
      </c>
      <c r="L362" s="2">
        <f>IF(OR(_xlfn.XLOOKUP(_xlfn.XLOOKUP(B362,'Base stats'!B:B,'Base stats'!E:E),Groups!A:A,Groups!F:F)=2,ISNUMBER(SEARCH("SeaIce",BX362)),ISNUMBER(SEARCH("IceSheet",BX362))),-50,IF(OR(ISNUMBER(SEARCH("GlacialPlain",BX362)),ISNUMBER(SEARCH("Tundra",BX362))),-40,IF(OR(ISNUMBER(SEARCH("Alpine",BX362)),ISNUMBER(SEARCH("BorealForest",BX362)),ISNUMBER(SEARCH("ColdBog",BX362))),-30,IF(OR(ISNUMBER(SEARCH("TemperateForest",BX362)),ISNUMBER(SEARCH("TemperateSwamp",BX362))),-20,IF(_xlfn.XLOOKUP(_xlfn.XLOOKUP(B362,'Base stats'!B:B,'Base stats'!E:E),Groups!A:A,Groups!F:F)=1,-15,IF(OR(ISNUMBER(SEARCH("Desert",BX362)),ISNUMBER(SEARCH("ExtremeDesert",BX362))),-10,IF(OR(ISNUMBER(SEARCH("Grasslands",BX362)),ISNUMBER(SEARCH("TropicalRainforest",BX362)),ISNUMBER(SEARCH("TropicalSwamp",BX362))),10,0)))))))-IF(CC362="False",MIN(IFERROR(MAX(MROUND(LOG10(_xlfn.XLOOKUP(B362,'Base stats'!B:B,'Base stats'!C:C)^(2/3))*10,5),5),5),30))-_xlfn.XLOOKUP(B362,'Base stats'!B:B,'Base stats'!P:P)+IF(CC362="True",5,0)</f>
        <v>5</v>
      </c>
      <c r="M362" s="2">
        <f>IF(OR(_xlfn.XLOOKUP(_xlfn.XLOOKUP(B362,'Base stats'!B:B,'Base stats'!E:E),Groups!A:A,Groups!G:G)=2,ISNUMBER(SEARCH("Desert",BX362)),ISNUMBER(SEARCH("ExtremeDesert",BX362)),ISNUMBER(SEARCH("LavaField",BX362))),50,IF(ISNUMBER(SEARCH("Grasslands",BX362)),45,IF(OR(_xlfn.XLOOKUP(_xlfn.XLOOKUP(B362,'Base stats'!B:B,'Base stats'!E:E),Groups!A:A,Groups!G:G)=1,ISNUMBER(SEARCH("TropicalRainforest",BX362)),ISNUMBER(SEARCH("TropicalSwamp",BX362))),40,IF(OR(ISNUMBER(SEARCH("TemperateForest",BX362)),ISNUMBER(SEARCH("TemperateSwamp",BX362))),35,IF(OR(ISNUMBER(SEARCH("Alpine",BX362)),ISNUMBER(SEARCH("BorealForest",BX362)),ISNUMBER(SEARCH("ColdBog",BX362))),30,IF(ISNUMBER(OR(ISNUMBER(SEARCH("GlacialPlain",BX362)),SEARCH("Tundra",BX362))),25,IF(OR(ISNUMBER(SEARCH("SeaIce",BX362)),ISNUMBER(SEARCH("IceSheet",BX362)),ISNUMBER(SEARCH("TropicalSwamp",BX362))),10,35)))))))+_xlfn.XLOOKUP(B362,'Base stats'!B:B,'Base stats'!Q:Q)</f>
        <v>40</v>
      </c>
      <c r="N362" s="8" t="str">
        <f>IF(
_xlfn.XLOOKUP(
_xlfn.XLOOKUP(B362,'Base stats'!B:B,'Base stats'!E:E),
Groups!A:A,
Groups!L:L
)=1,
MIN(
MROUND(
IF(
_xlfn.XLOOKUP(B362,'Animals CE'!B:B,'Animals CE'!Z:Z)&lt;=1.5,
_xlfn.XLOOKUP(B362,'Animals CE'!B:B,'Animals CE'!Z:Z)/2+0.05,
0.8+
(_xlfn.XLOOKUP(B362,'Animals CE'!B:B,'Animals CE'!Z:Z)-1.5)
*0.02
),
0.05
),
200%
),
"No"
)</f>
        <v>No</v>
      </c>
      <c r="O362" s="8" t="str">
        <f>IF(
_xlfn.XLOOKUP(
_xlfn.XLOOKUP(B362,'Base stats'!B:B,'Base stats'!E:E),
Groups!A:A,
Groups!L:L
)=1,
MIN(
MROUND(
IF(
_xlfn.XLOOKUP(B362,'Animals CE'!B:B,'Animals CE'!AA:AA)&lt;=1.5,
_xlfn.XLOOKUP(B362,'Animals CE'!B:B,'Animals CE'!AA:AA)/2+0.05,
0.8+
(_xlfn.XLOOKUP(B362,'Animals CE'!B:B,'Animals CE'!AA:AA)-1.5)
*0.02
),
0.05
),
200%
),
"No"
)</f>
        <v>No</v>
      </c>
      <c r="P362" s="2" t="str">
        <f>_xlfn.XLOOKUP(B362,'Base stats'!B:B,'Base stats'!R:R)</f>
        <v>Standard</v>
      </c>
      <c r="Q362" s="13">
        <f>MROUND((LOG10(_xlfn.XLOOKUP(B362,'Base stats'!B:B,'Base stats'!AR:AR))*(AO362^0.5)+(_xlfn.XLOOKUP(B362,'Base stats'!B:B,'Base stats'!AR:AR)/1000)^(2/3)+_xlfn.XLOOKUP(B362,'Base stats'!B:B,'Base stats'!BA:BA)/2)+0.5,0.5)</f>
        <v>2.5</v>
      </c>
      <c r="R362" s="7">
        <f>IF(Q362="No","No",MAX(1,MROUND(_xlfn.XLOOKUP(B362,'Base stats'!B:B,'Base stats'!C:C)^0.165,0.05)))</f>
        <v>1.25</v>
      </c>
      <c r="S362" s="13" t="str">
        <f>IF(_xlfn.XLOOKUP(_xlfn.XLOOKUP(B362,'Base stats'!B:B,'Base stats'!E:E),Groups!A:A,Groups!P:P)=0,"No",MROUND((LOG10(_xlfn.XLOOKUP(B362,'Base stats'!B:B,'Base stats'!AS:AS))*(AO362^0.5)+(_xlfn.XLOOKUP(B362,'Base stats'!B:B,'Base stats'!AS:AS)/1000)^(2/3)+_xlfn.XLOOKUP(B362,'Base stats'!B:B,'Base stats'!BA:BA))+_xlfn.XLOOKUP(B362,'Base stats'!B:B,'Base stats'!AY:AY)+0.5,0.5))</f>
        <v>No</v>
      </c>
      <c r="T362" s="7" t="str">
        <f>IF(S362="No","No",MAX(_xlfn.XLOOKUP(_xlfn.XLOOKUP(B362,'Base stats'!B:B,'Base stats'!E:E),Groups!A:A,Groups!Q:Q),MROUND(_xlfn.XLOOKUP(_xlfn.XLOOKUP(B362,'Base stats'!B:B,'Base stats'!E:E),Groups!A:A,Groups!Q:Q)*_xlfn.XLOOKUP(B362,'Base stats'!B:B,'Base stats'!C:C)^0.165,0.05)))</f>
        <v>No</v>
      </c>
      <c r="U362" s="7" t="str">
        <f>IF(S362="No","No",_xlfn.XLOOKUP(_xlfn.XLOOKUP(B362,'Base stats'!B:B,'Base stats'!E:E),Groups!A:A,Groups!R:R))</f>
        <v>No</v>
      </c>
      <c r="V362" s="7" t="str">
        <f>IF(S362="No","No",_xlfn.XLOOKUP(_xlfn.XLOOKUP(B362,'Base stats'!B:B,'Base stats'!E:E),Groups!A:A,Groups!S:S))</f>
        <v>No</v>
      </c>
      <c r="W362" s="7" t="str">
        <f>IF(S362="No","No",_xlfn.XLOOKUP(_xlfn.XLOOKUP(B362,'Base stats'!B:B,'Base stats'!E:E),Groups!A:A,Groups!T:T))</f>
        <v>No</v>
      </c>
      <c r="X362" s="13" t="str">
        <f>IF(_xlfn.XLOOKUP(B362,'Base stats'!B:B,'Base stats'!W:W)="No","No",MROUND((LOG10(_xlfn.XLOOKUP(B362,'Base stats'!B:B,'Base stats'!AU:AU))*(AO362^0.5)+(_xlfn.XLOOKUP(B362,'Base stats'!B:B,'Base stats'!AU:AU)/1000)^(2/3)+_xlfn.XLOOKUP(B362,'Base stats'!B:B,'Base stats'!AZ:AZ))+0.5+IF(_xlfn.XLOOKUP(_xlfn.XLOOKUP(B362,'Base stats'!B:B,'Base stats'!E:E),Groups!A:A,Groups!U:U)&lt;&gt;3,_xlfn.XLOOKUP(B362,'Base stats'!B:B,'Base stats'!BA:BA),0),0.5))</f>
        <v>No</v>
      </c>
      <c r="Y362" s="7" t="str">
        <f>IF(X362="No","No",MAX(_xlfn.XLOOKUP(_xlfn.XLOOKUP(B362,'Base stats'!B:B,'Base stats'!E:E),Groups!A:A,Groups!V:V),MROUND(_xlfn.XLOOKUP(_xlfn.XLOOKUP(B362,'Base stats'!B:B,'Base stats'!E:E),Groups!A:A,Groups!V:V)*_xlfn.XLOOKUP(B362,'Base stats'!B:B,'Base stats'!C:C)^0.165,0.05)))</f>
        <v>No</v>
      </c>
      <c r="Z362" s="7" t="str">
        <f>IF(X362="No","No",_xlfn.XLOOKUP(_xlfn.XLOOKUP(B362,'Base stats'!B:B,'Base stats'!E:E),Groups!A:A,Groups!W:W))</f>
        <v>No</v>
      </c>
      <c r="AA362" s="7" t="str">
        <f>IF(X362="No","No",_xlfn.XLOOKUP(_xlfn.XLOOKUP(B362,'Base stats'!B:B,'Base stats'!E:E),Groups!A:A,Groups!X:X))</f>
        <v>No</v>
      </c>
      <c r="AB362" s="7" t="str">
        <f>IF(X362="No","No",_xlfn.XLOOKUP(_xlfn.XLOOKUP(B362,'Base stats'!B:B,'Base stats'!E:E),Groups!A:A,Groups!Y:Y))</f>
        <v>No</v>
      </c>
      <c r="AC362" s="7" t="str">
        <f>_xlfn.XLOOKUP(Animals!B362,'Base stats'!B:B,'Base stats'!X:X)</f>
        <v>False</v>
      </c>
      <c r="AD362" s="13">
        <f>IF(_xlfn.XLOOKUP(B362,'Base stats'!B:B,'Base stats'!AT:AT)="No","No",MROUND((LOG10(_xlfn.XLOOKUP(B362,'Base stats'!B:B,'Base stats'!AT:AT))*(AO362^0.75)+(_xlfn.XLOOKUP(B362,'Base stats'!B:B,'Base stats'!AT:AT)/1000)^(2/3)+_xlfn.XLOOKUP(B362,'Base stats'!B:B,'Base stats'!AX:AX)+_xlfn.XLOOKUP(B362,'Base stats'!B:B,'Base stats'!BA:BA))+0.5,0.5))</f>
        <v>2.5</v>
      </c>
      <c r="AE362" s="7">
        <f>IF(AD362="No","No",MAX(_xlfn.XLOOKUP(_xlfn.XLOOKUP(B362,'Base stats'!B:B,'Base stats'!E:E),Groups!A:A,Groups!Z:Z),MROUND(_xlfn.XLOOKUP(_xlfn.XLOOKUP(B362,'Base stats'!B:B,'Base stats'!E:E),Groups!A:A,Groups!Z:Z)*_xlfn.XLOOKUP(B362,'Base stats'!B:B,'Base stats'!C:C)^0.165,0.05)))</f>
        <v>0.9</v>
      </c>
      <c r="AF362" s="7" t="str">
        <f>IF(AD362="No","No",_xlfn.XLOOKUP(_xlfn.XLOOKUP(B362,'Base stats'!B:B,'Base stats'!E:E),Groups!A:A,Groups!AA:AA))</f>
        <v>Teeth</v>
      </c>
      <c r="AG362" s="7" t="str">
        <f>IF(AD362="No","No",_xlfn.XLOOKUP(_xlfn.XLOOKUP(B362,'Base stats'!B:B,'Base stats'!E:E),Groups!A:A,Groups!AB:AB))</f>
        <v>teeth</v>
      </c>
      <c r="AH362" s="7" t="str">
        <f>IF(AD362="No","No",_xlfn.XLOOKUP(_xlfn.XLOOKUP(B362,'Base stats'!B:B,'Base stats'!E:E),Groups!A:A,Groups!AC:AC))</f>
        <v>Bite</v>
      </c>
      <c r="AI362" s="13">
        <f>IF(_xlfn.XLOOKUP(_xlfn.XLOOKUP(B362,'Base stats'!B:B,'Base stats'!E:E),Groups!A:A,Groups!AD:AD)=0,"No",MROUND((LOG10(_xlfn.XLOOKUP(B362,'Base stats'!B:B,'Base stats'!AS:AS))*(AO362^0.75)+(_xlfn.XLOOKUP(B362,'Base stats'!B:B,'Base stats'!AS:AS)/1000)^(2/3)+_xlfn.XLOOKUP(B362,'Base stats'!B:B,'Base stats'!AY:AY)+_xlfn.XLOOKUP(B362,'Base stats'!B:B,'Base stats'!BA:BA))+0.5,0.5))</f>
        <v>2.5</v>
      </c>
      <c r="AJ362" s="7">
        <f>IF(AI362="No","No",MAX(_xlfn.XLOOKUP(_xlfn.XLOOKUP(B362,'Base stats'!B:B,'Base stats'!E:E),Groups!A:A,Groups!AE:AE),MROUND(_xlfn.XLOOKUP(_xlfn.XLOOKUP(B362,'Base stats'!B:B,'Base stats'!E:E),Groups!A:A,Groups!AE:AE)*IF(_xlfn.XLOOKUP(_xlfn.XLOOKUP(B362,'Base stats'!B:B,'Base stats'!E:E),Groups!A:A,Groups!AJ:AJ)="Photonozoa",0.6,1)*_xlfn.XLOOKUP(B362,'Base stats'!B:B,'Base stats'!C:C)^0.165,0.05)))</f>
        <v>0.9</v>
      </c>
      <c r="AK362" s="7" t="str">
        <f>IF(AI362="No","No",_xlfn.XLOOKUP(_xlfn.XLOOKUP(B362,'Base stats'!B:B,'Base stats'!E:E),Groups!A:A,Groups!AF:AF))</f>
        <v>FrontLeftClaws, FrontRightClaws</v>
      </c>
      <c r="AL362" s="7" t="str">
        <f>IF(AI362="No","No",_xlfn.XLOOKUP(_xlfn.XLOOKUP(B362,'Base stats'!B:B,'Base stats'!E:E),Groups!A:A,Groups!AG:AG))</f>
        <v>left claw, right claw</v>
      </c>
      <c r="AM362" s="7" t="str">
        <f>IF(AI362="No","No",_xlfn.XLOOKUP(_xlfn.XLOOKUP(B362,'Base stats'!B:B,'Base stats'!E:E),Groups!A:A,Groups!AH:AH))</f>
        <v>Scratch</v>
      </c>
      <c r="AN362" s="2">
        <f t="shared" si="35"/>
        <v>15</v>
      </c>
      <c r="AO362" s="2">
        <f>MROUND(IF(AND(_xlfn.XLOOKUP(B362,'Base stats'!B:B,'Base stats'!C:C)&gt;=0.5,_xlfn.XLOOKUP(B362,'Base stats'!B:B,'Base stats'!C:C)&lt;=0.8),
IF(_xlfn.XLOOKUP(B362,'Base stats'!B:B,'Base stats'!C:C)&lt;0.1,0.05,IF(_xlfn.XLOOKUP(B362,'Base stats'!B:B,'Base stats'!C:C)&lt;=70,(_xlfn.XLOOKUP(B362,'Base stats'!B:B,'Base stats'!C:C)/70)^0.426489913056526,IF(_xlfn.XLOOKUP(B362,'Base stats'!B:B,'Base stats'!C:C)&lt;=400,(_xlfn.XLOOKUP(B362,'Base stats'!B:B,'Base stats'!C:C)/70)^0.572811455315093,IF(_xlfn.XLOOKUP(B362,'Base stats'!B:B,'Base stats'!C:C)&lt;=2000,2.71391647193063*(_xlfn.XLOOKUP(B362,'Base stats'!B:B,'Base stats'!C:C)/400)^0.252459582904293,3.74314280240376*(_xlfn.XLOOKUP(B362,'Base stats'!B:B,'Base stats'!C:C)/2000)^0.357012633876913)))),
IF(_xlfn.XLOOKUP(B362,'Base stats'!B:B,'Base stats'!C:C)&lt;0.1,0.05,IF(_xlfn.XLOOKUP(B362,'Base stats'!B:B,'Base stats'!C:C)&lt;0.4,0.1,IF(_xlfn.XLOOKUP(B362,'Base stats'!B:B,'Base stats'!C:C)&lt;=70,(_xlfn.XLOOKUP(B362,'Base stats'!B:B,'Base stats'!C:C)/70)^0.445823913056526,IF(_xlfn.XLOOKUP(B362,'Base stats'!B:B,'Base stats'!C:C)&lt;=400,(_xlfn.XLOOKUP(B362,'Base stats'!B:B,'Base stats'!C:C)/70)^0.572811455315093,IF(_xlfn.XLOOKUP(B362,'Base stats'!B:B,'Base stats'!C:C)&lt;=2000,2.71391647193063*(_xlfn.XLOOKUP(B362,'Base stats'!B:B,'Base stats'!C:C)/400)^0.252459582904293,3.74314280240376*(_xlfn.XLOOKUP(B362,'Base stats'!B:B,'Base stats'!C:C)/2000)^0.357012633876913)))))),
IF(_xlfn.XLOOKUP(B362,'Base stats'!B:B,'Base stats'!C:C)&lt;0.1,0.05,IF(_xlfn.XLOOKUP(B362,'Base stats'!B:B,'Base stats'!C:C)&lt;=100,0.05,IF(_xlfn.XLOOKUP(B362,'Base stats'!B:B,'Base stats'!C:C)&lt;=250,0.1,IF(_xlfn.XLOOKUP(B362,'Base stats'!B:B,'Base stats'!C:C)&lt;=4000,0.25,0.5)))))</f>
        <v>0.25</v>
      </c>
      <c r="AP362" s="8">
        <f>MROUND(AO362*_xlfn.XLOOKUP(_xlfn.XLOOKUP(B362,'Base stats'!B:B,'Base stats'!E:E),Groups!A:A,Groups!AI:AI)*_xlfn.XLOOKUP(B362,'Base stats'!B:B,'Base stats'!Z:Z),0.05)</f>
        <v>0.30000000000000004</v>
      </c>
      <c r="AQ362" s="8">
        <f>MAX(0.01,MROUND(IF(CC362="True",0.196*(AO362*100*1000)^0.889,IF(_xlfn.XLOOKUP(_xlfn.XLOOKUP(B362,'Base stats'!B:B,'Base stats'!E:E),Groups!A:A,Groups!AJ:AJ)="Bird",10.5*(AO362*100*1000)^0.681,4.82*(AO362*100*1000)^0.734))/(4.82*(1*100*1000)^0.734)/IF(AO362&lt;3.5,2,IF(AO362=3.5,1.5,1.25))*(1+0.132282374779864/(AO362^0.994035016789033+0.00905238001496948)),0.05))</f>
        <v>0.35000000000000003</v>
      </c>
      <c r="AR362" s="9">
        <f>IFERROR(MROUND(_xlfn.XLOOKUP(B362,'Base stats'!B:B,'Base stats'!H:H)/IF(_xlfn.XLOOKUP(B362,'Base stats'!B:B,'Base stats'!I:I)&lt;&gt;1,(122.5/70),1.2),IF(_xlfn.XLOOKUP(B362,'Base stats'!B:B,'Base stats'!H:H)&gt;=30,5,IF(_xlfn.XLOOKUP(B362,'Base stats'!B:B,'Base stats'!H:H)&gt;=15,3,IF(_xlfn.XLOOKUP(B362,'Base stats'!B:B,'Base stats'!H:H)&gt;=10,2,1)))),"Immortal")</f>
        <v>8</v>
      </c>
      <c r="AS362" s="35" t="str">
        <f>IFERROR(IF(OR(_xlfn.XLOOKUP(B362,'Base stats'!B:B,'Base stats'!F:F)="Atypical reproduction",_xlfn.XLOOKUP(B362,'Base stats'!B:B,'Base stats'!F:F)="Lay eggs"),"Lay eggs",MIN(20,MAX(5.5,ROUND(((_xlfn.XLOOKUP(B362,'Base stats'!B:B,'Base stats'!F:F)-25)*(14.5/615) + 5.5)*2,0)/2))),"Unknown")</f>
        <v>Lay eggs</v>
      </c>
      <c r="AT362" s="8">
        <f>IF(_xlfn.XLOOKUP(B362,'Base stats'!B:B,'Base stats'!G:G)="Atypical reproduction","No",IFERROR(MAX(IF(_xlfn.XLOOKUP(B362,'Base stats'!B:B,'Base stats'!G:G)&lt;0.5,0.2,0.3),MROUND(_xlfn.XLOOKUP(B362,'Base stats'!B:B,'Base stats'!G:G)/(365/60),0.2)),"Unknown"))</f>
        <v>0.3</v>
      </c>
      <c r="AU362" s="8">
        <f t="shared" si="36"/>
        <v>0.15000000000000002</v>
      </c>
      <c r="AV362" s="8" t="str">
        <f>IFERROR(IFERROR(MROUND(_xlfn.XLOOKUP(B362,'Base stats'!B:B,'Base stats'!J:J),0.1),"Lay eggs"),"Cannot breed")</f>
        <v>Lay eggs</v>
      </c>
      <c r="AW362" s="2" t="str">
        <f t="shared" si="37"/>
        <v>false</v>
      </c>
      <c r="AX362" s="2" t="str">
        <f>IF(_xlfn.XLOOKUP(_xlfn.XLOOKUP(Animals!B362,'Base stats'!B:B,'Base stats'!E:E),Groups!A:A,Groups!AK:AK)=1,"true","false")</f>
        <v>false</v>
      </c>
      <c r="AY362" s="25" t="str">
        <f>IF(_xlfn.XLOOKUP(B362,'Base stats'!B:B,'Base stats'!Y:Y)="Liquor","Liquor, CarnivoreAnimalStrict",IF(AND(_xlfn.XLOOKUP(B362,'Base stats'!B:B,'Base stats'!Y:Y)="Carnivore",_xlfn.XLOOKUP(_xlfn.XLOOKUP(B362,'Base stats'!B:B,'Base stats'!E:E),Groups!A:A,Groups!AJ:AJ)="Photonozoa"),"CarnivoreAnimalStrict, OvivoreAnimal",IF(_xlfn.XLOOKUP(B362,'Base stats'!B:B,'Base stats'!Y:Y)="Carnivore","CarnivoreAnimal, OvivoreAnimal",IF(_xlfn.XLOOKUP(B362,'Base stats'!B:B,'Base stats'!Y:Y)="Dendrovore","VegetarianRoughAnimal, DendrovoreAnimal",IF(_xlfn.XLOOKUP(B362,'Base stats'!B:B,'Base stats'!Y:Y)="Herbivore","VegetarianRoughAnimal",IF(_xlfn.XLOOKUP(B362,'Base stats'!B:B,'Base stats'!Y:Y)="OmnivoreRough","OmnivoreRoughAnimal, OvivoreAnimal","OmnivoreAnimal, OvivoreAnimal"))))))</f>
        <v>CarnivoreAnimal, OvivoreAnimal</v>
      </c>
      <c r="AZ362" s="2" t="str">
        <f>IF(_xlfn.XLOOKUP(_xlfn.XLOOKUP(B362,'Base stats'!B:B,'Base stats'!E:E),Groups!A:A,Groups!D:D)=1,MROUND((1-J362)*5+1,2)*IF(J362&lt;=0.4,2,1),"No")</f>
        <v>No</v>
      </c>
      <c r="BA362" s="2" t="str">
        <f>IF(AND(_xlfn.XLOOKUP(B362,'Base stats'!B:B,'Base stats'!AH:AH)="&lt;li&gt;Seal&lt;/li&gt;",G362="Odyssey"),"&lt;li&gt;AEXP_Seal&lt;/li&gt;",_xlfn.XLOOKUP(B362,'Base stats'!B:B,'Base stats'!AH:AH))</f>
        <v>No</v>
      </c>
      <c r="BB362" s="2" t="str">
        <f>_xlfn.XLOOKUP(B362,'Base stats'!B:B,'Base stats'!AG:AG)</f>
        <v>Leather_DinosaurSkin</v>
      </c>
      <c r="BC362" s="23" t="str">
        <f>_xlfn.XLOOKUP(_xlfn.XLOOKUP(B362,'Base stats'!B:B,'Base stats'!E:E),Groups!A:A,Groups!AL:AL)</f>
        <v>Theropod</v>
      </c>
      <c r="BD362" s="23">
        <f>MIN(1,MROUND(IF(AND(AO362&lt;0.5,_xlfn.XLOOKUP(B362,'Base stats'!B:B,'Base stats'!AA:AA)=0),0,IF(OR(_xlfn.XLOOKUP(Animals!B362,'Base stats'!B:B,'Base stats'!O:O)=2,_xlfn.XLOOKUP(_xlfn.XLOOKUP(B362,'Base stats'!B:B,'Base stats'!E:E),Groups!A:A,Groups!AN:AN)=0),0,_xlfn.XLOOKUP(_xlfn.XLOOKUP(B362,'Base stats'!B:B,'Base stats'!E:E),Groups!A:A,Groups!AN:AN)/IF(_xlfn.XLOOKUP(Animals!B362,'Base stats'!B:B,'Base stats'!O:O)=1,2,1)))+_xlfn.XLOOKUP(B362,'Base stats'!B:B,'Base stats'!AC:AC),0.005))</f>
        <v>0</v>
      </c>
      <c r="BE362" s="23">
        <f>MIN(1,MROUND(IF(AND(AO362&lt;0.5,_xlfn.XLOOKUP(B362,'Base stats'!B:B,'Base stats'!AA:AA)=0),0,IF(_xlfn.XLOOKUP(_xlfn.XLOOKUP(B362,'Base stats'!B:B,'Base stats'!E:E),Groups!A:A,Groups!AO:AO)=0,0,_xlfn.XLOOKUP(_xlfn.XLOOKUP(B362,'Base stats'!B:B,'Base stats'!E:E),Groups!A:A,Groups!AO:AO)/IF(_xlfn.XLOOKUP(Animals!B362,'Base stats'!B:B,'Base stats'!O:O)=2,3,1)))+_xlfn.XLOOKUP(B362,'Base stats'!B:B,'Base stats'!AD:AD),0.005))</f>
        <v>0</v>
      </c>
      <c r="BF362" s="2" t="str">
        <f>IF(J362&gt;0.3,"No",_xlfn.XLOOKUP(_xlfn.XLOOKUP(Animals!B362,'Base stats'!B:B,'Base stats'!E:E),Groups!A:A,Groups!AP:AP))</f>
        <v>No</v>
      </c>
      <c r="BG362" s="2" t="str">
        <f>IF(AND(J362&lt;=0.65,_xlfn.XLOOKUP(_xlfn.XLOOKUP(Animals!B362,'Base stats'!B:B,'Base stats'!E:E),Groups!A:A,Groups!AP:AP)&lt;&gt;"No",_xlfn.XLOOKUP(_xlfn.XLOOKUP(B362,'Base stats'!B:B,'Base stats'!E:E),Groups!A:A,Groups!D:D)=0),MROUND((80/3)*IF(_xlfn.XLOOKUP(B362,'Base stats'!B:B,'Base stats'!O:O)=2,0.2,AO362) + 24*(1-IF(BF362="No",0,BF362)) + 16/3, 12),"No")</f>
        <v>No</v>
      </c>
      <c r="BH362" s="2">
        <f>IF(AND(_xlfn.XLOOKUP(_xlfn.XLOOKUP(B362,'Base stats'!B:B,'Base stats'!E:E),Groups!A:A,Groups!AQ:AQ)=1,AO362&lt;=0.35),8,12)</f>
        <v>12</v>
      </c>
      <c r="BI362" s="2" t="str">
        <f>IF(_xlfn.XLOOKUP(_xlfn.XLOOKUP(B362,'Base stats'!B:B,'Base stats'!E:E),Groups!A:A,Groups!D:D)=0,_xlfn.XLOOKUP(_xlfn.XLOOKUP(B362,'Base stats'!B:B,'Base stats'!E:E),Groups!A:A,Groups!AR:AR),"None")</f>
        <v>Intermediate</v>
      </c>
      <c r="BJ362" s="2" t="str">
        <f>IF(AND(_xlfn.XLOOKUP(_xlfn.XLOOKUP(B362,'Base stats'!B:B,'Base stats'!E:E),Groups!A:A,Groups!AS:AS)=1,OR(_xlfn.XLOOKUP(B362,'Base stats'!B:B,'Base stats'!Y:Y)="Carnivore",_xlfn.XLOOKUP(B362,'Base stats'!B:B,'Base stats'!Y:Y)="Omnivore")),"true","false")</f>
        <v>true</v>
      </c>
      <c r="BK362" s="2">
        <f>IF(BJ362="true",MROUND(IF(AND(AO362&gt;0.5,OR(_xlfn.XLOOKUP(_xlfn.XLOOKUP(B362,'Base stats'!B:B,'Base stats'!E:E),Groups!A:A,Groups!AJ:AJ)="Photonozoa",_xlfn.XLOOKUP(_xlfn.XLOOKUP(B362,'Base stats'!B:B,'Base stats'!E:E),Groups!A:A,Groups!AJ:AJ)="Mammal")),Animals!AO362*1.75*IF(AW362="true",1.5,1),IF(AO362&lt;0.5,Animals!AO362*0.5,Animals!AO362)),IF(AO362&gt;2,0.5,IF(AO362&gt;0.5,0.25,0.1))),"No")</f>
        <v>0.1</v>
      </c>
      <c r="BL362" s="2">
        <f t="shared" si="38"/>
        <v>1</v>
      </c>
      <c r="BM362" s="25" t="str">
        <f>IF(_xlfn.XLOOKUP(B362,'Base stats'!B:B,'Base stats'!AN:AN)="Standard","No",MROUND((_xlfn.XLOOKUP(B362,'Base stats'!B:B,'Base stats'!AN:AN)/3.6)/I362,0.1))</f>
        <v>No</v>
      </c>
      <c r="BN362" s="25" t="str">
        <f t="shared" si="39"/>
        <v>false</v>
      </c>
      <c r="BO362" s="25" t="str">
        <f>IF(AND(OR(_xlfn.XLOOKUP(B362,'Base stats'!B:B,'Base stats'!Y:Y)="Carnivore",_xlfn.XLOOKUP(B362,'Base stats'!B:B,'Base stats'!Y:Y)="Omnivore",_xlfn.XLOOKUP(B362,'Base stats'!B:B,'Base stats'!Y:Y)="OmnivoreRough"),_xlfn.XLOOKUP(_xlfn.XLOOKUP(B362,'Base stats'!B:B,'Base stats'!E:E),Groups!A:A,Groups!AT:AT)=1),"true","false")</f>
        <v>false</v>
      </c>
      <c r="BP362" s="25" t="str" cm="1">
        <f t="array" ref="BP362">IF(
  _xlfn.TEXTJOIN(", ",TRUE,
    IF(AND(BJ362="true",AO362&gt;0.5,BI362&lt;&gt;"None"),"AttackTarget",""),
    IF(AND(_xlfn.XLOOKUP(_xlfn.XLOOKUP(B362,'Base stats'!B:B,'Base stats'!E:E),Groups!A:A,Groups!AJ:AJ="Mammal"),OR(_xlfn.XLOOKUP(B362,'Base stats'!B:B,'Base stats'!Y:Y)="Omnivore",_xlfn.XLOOKUP(B362,'Base stats'!B:B,'Base stats'!Y:Y)="OmnivoreRough")),"Forage",""),
    IF(BG362&lt;=36,"Comfort",""),
    IF(_xlfn.XLOOKUP(B362,'Base stats'!B:B,'Base stats'!AE:AE)&lt;&gt;"No",_xlfn.XLOOKUP(B362,'Base stats'!B:B,'Base stats'!AE:AE),"")
  ) = "",
  "No",
  _xlfn.TEXTJOIN(", ",TRUE,
    IF(AND(BJ362="true",AO362&gt;0.5,BI362&lt;&gt;"None"),"AttackTarget",""),
    IF(AND(_xlfn.XLOOKUP(_xlfn.XLOOKUP(B362,'Base stats'!B:B,'Base stats'!E:E),Groups!A:A,Groups!AJ:AJ="Mammal"),OR(_xlfn.XLOOKUP(B362,'Base stats'!B:B,'Base stats'!Y:Y)="Omnivore",_xlfn.XLOOKUP(B362,'Base stats'!B:B,'Base stats'!Y:Y)="OmnivoreRough")),"Forage",""),
    IF(BG362&lt;=36,"Comfort",""),
    IF(_xlfn.XLOOKUP(B362,'Base stats'!B:B,'Base stats'!AE:AE)&lt;&gt;"No",_xlfn.XLOOKUP(B362,'Base stats'!B:B,'Base stats'!AE:AE),"")
  )
)</f>
        <v>No</v>
      </c>
      <c r="BQ362" s="25" t="str">
        <f>IF(
   AND(
      'Base stats'!AN362="Standard",_xlfn.XLOOKUP(_xlfn.XLOOKUP(B362,'Base stats'!B:B,'Base stats'!E:E),Groups!A:A,Groups!AU:AU)=0,
      OR(
      BO362="True"
      )
   ),
   10,
   IF(
       OR(BM362&lt;&gt;"No",_xlfn.XLOOKUP(_xlfn.XLOOKUP(B362,'Base stats'!B:B,'Base stats'!E:E),Groups!A:A,Groups!AU:AU)=1),
      1,
      "No"
   )
)</f>
        <v>No</v>
      </c>
      <c r="BR362" s="9">
        <f>MROUND((1 + ((0.2*IF(OR(Q362="No",R362="No",R362=0),0,Q362/R362)
+IF(OR(V362="No",S362="No",T362="No"),0,S362/T362*(LEN(V362)-LEN(SUBSTITUTE(V362,",",""))+1))
+IF(OR(X362="No",Y362="No"),0,X362/Y362)
+IF(OR(AD362="No",AE362="No"),0,AD362/AE362)
+IF(OR(AL362="No",AI362="No",AJ362="No"),0,AI362/AJ362*(LEN(AL362)-LEN(SUBSTITUTE(AL362,",",""))+1))
)/(0.2*IF(OR(Q362="No",R362="No",R362=0),0,1)
+IF(OR(V362="No",S362="No",T362="No"),0,LEN(V362)-LEN(SUBSTITUTE(V362,",",""))+1)
+IF(OR(X362="No",Y362="No"),0,1)
+IF(OR(AD362="No",AE362="No"),0,1)
+IF(OR(AL362="No",AI362="No",AJ362="No"),0,LEN(AL362)-LEN(SUBSTITUTE(AL362,",",""))+1))*62%)* 2)*(1 + (AP362 / (IF(_xlfn.XLOOKUP(_xlfn.XLOOKUP(B362,'Base stats'!B:B,'Base stats'!E:E),Groups!A:A,Groups!AJ:AJ)="Photonozoa",0.3,1)) + _xlfn.XLOOKUP(B362,'Base stats'!B:B,'Base stats'!AV:AV) * 1.8) * 2) * 2.5 + 10 + I362 * 2,5)+IF(_xlfn.XLOOKUP(B362,'Base stats'!B:B,'Base stats'!AK:AK)=1,50,0)</f>
        <v>35</v>
      </c>
      <c r="BS362" s="8">
        <f t="shared" si="40"/>
        <v>0.35000000000000003</v>
      </c>
      <c r="BT362" s="8" t="str">
        <f>_xlfn.XLOOKUP(B362,'Base stats'!B:B,'Base stats'!AF:AF)</f>
        <v>No</v>
      </c>
      <c r="BU362" s="2" t="str">
        <f>IF(AND(J362&lt;=0.95,OR(_xlfn.XLOOKUP(B362,'Base stats'!B:B,'Base stats'!AK:AK)=1,_xlfn.XLOOKUP(B362,'Base stats'!B:B,'Base stats'!Y:Y)="Carnivore",_xlfn.XLOOKUP(B362,'Base stats'!B:B,'Base stats'!Y:Y)="Omnivore",BE362&gt;0.1)),"true","false")</f>
        <v>true</v>
      </c>
      <c r="BV362" s="2" t="str">
        <f>IF(_xlfn.XLOOKUP(B362,'Base stats'!B:B,'Base stats'!AI:AI)=1,"true","false")</f>
        <v>false</v>
      </c>
      <c r="BW362" s="25" t="str">
        <f>IF(E362="BaseInsect","AnimalInsect",
IF(J362&gt;0.95,"AnimalExotic",
_xlfn.TEXTJOIN(", ",TRUE,
IF(OR(_xlfn.XLOOKUP(B362,'Base stats'!B:B,'Base stats'!AM:AM)=1,AND(_xlfn.XLOOKUP(B362,'Base stats'!B:B,'Base stats'!O:O)=0,_xlfn.XLOOKUP(_xlfn.XLOOKUP(B362,'Base stats'!B:B,'Base stats'!E:E),Groups!A:A,Groups!B:B)&gt;0)),"AnimalUncommon","AnimalCommon"),
IF(AND(_xlfn.XLOOKUP(B362,'Base stats'!B:B,'Base stats'!O:O)=2,_xlfn.XLOOKUP(_xlfn.XLOOKUP(B362,'Base stats'!B:B,'Base stats'!E:E),Groups!A:A,Groups!D:D)=0),"AnimalPet",IF(AND(_xlfn.XLOOKUP(B362,'Base stats'!B:B,'Base stats'!O:O)&lt;&gt;0,_xlfn.XLOOKUP(_xlfn.XLOOKUP(B362,'Base stats'!B:B,'Base stats'!E:E),Groups!A:A,Groups!D:D)&lt;&gt;0),"AnimalFarm","")),
IF(OR(_xlfn.XLOOKUP(B362,'Base stats'!B:B,'Base stats'!AK:AK)=1,AND(BI362&lt;&gt;"None",BR362&gt;=60),ISNUMBER(SEARCH("Attack target",BP362))),"AnimalFighter","")
)))</f>
        <v>AnimalUncommon</v>
      </c>
      <c r="BX362" s="25" t="str">
        <f>IF(G362="None",TRIM(
SUBSTITUTE(
IF(COUNTIF(Biomes!B$2:B$259,"="&amp;$C362)&gt;0,Biomes!B$1&amp;", ","")&amp;
IF(COUNTIF(Biomes!C$2:C$259,"="&amp;$C362)&gt;0,Biomes!C$1&amp;", ","")&amp;
IF(COUNTIF(Biomes!D$2:D$259,"="&amp;$C362)&gt;0,Biomes!D$1&amp;", ","")&amp;
IF(COUNTIF(Biomes!F$2:F$259,"="&amp;$C362)&gt;0,Biomes!F$1&amp;", ","")&amp;
IF(COUNTIF(Biomes!G$2:G$259,"="&amp;$C362)&gt;0,Biomes!G$1&amp;", ","")&amp;
IF(COUNTIF(Biomes!H$2:H$259,"="&amp;$C362)&gt;0,Biomes!H$1&amp;", ","")&amp;
IF(COUNTIF(Biomes!I$2:I$259,"="&amp;$C362)&gt;0,Biomes!I$1&amp;", ","")&amp;
IF(COUNTIF(Biomes!J$2:J$259,"="&amp;$C362)&gt;0,Biomes!J$1&amp;", ","")&amp;
IF(COUNTIF(Biomes!M$2:M$259,"="&amp;$C362)&gt;0,Biomes!M$1&amp;", ","")&amp;
IF(COUNTIF(Biomes!N$2:N$259,"="&amp;$C362)&gt;0,Biomes!N$1&amp;", ","")&amp;
IF(COUNTIF(Biomes!O$2:O$259,"="&amp;$C362)&gt;0,Biomes!O$1&amp;", ","")&amp;
IF(COUNTIF(Biomes!P$2:P$259,"="&amp;$C362)&gt;0,Biomes!P$1&amp;", ","")&amp;
IF(COUNTIF(Biomes!K$2:K$259,"="&amp;$C362)&gt;0,Biomes!K$1&amp;", ","")&amp;
IF(COUNTIF(Biomes!Q$3:Q$259,"="&amp;$C362)&gt;0,Biomes!Q$1&amp;", ","")&amp;
IF(COUNTIF(Biomes!L$2:L$259,"="&amp;$C362)&gt;0,Biomes!L$1&amp;", ","")&amp;
IF(COUNTIF(Biomes!E$2:E$259,"="&amp;$C362)&gt;0,Biomes!E$1&amp;", ","")&amp;IF(COUNTIF(Biomes!S$2:S$259,"="&amp;$C362)&gt;0,Biomes!S$1&amp;", ","")&amp;
IF(COUNTIF(Biomes!R$2:R$259,"="&amp;$C362)&gt;0,Biomes!R$1&amp;", ",""),", ","")
),_xlfn.XLOOKUP(B362,B:B,BX:BX))</f>
        <v>TropicalRainforest TropicalSwamp Glowforest</v>
      </c>
      <c r="BY362" s="25" t="str">
        <f>IF(_xlfn.XLOOKUP(B362,'Base stats'!B:B,'Base stats'!AJ:AJ)=1,"true","false")</f>
        <v>false</v>
      </c>
      <c r="BZ362" s="25">
        <f>IF(_xlfn.XLOOKUP(B362,'Base stats'!B:B,'Base stats'!N:N)=1,"No",MAX(0.001,MIN(MROUND(IF(AND(BJ362="True",CC362="False"),POWER(10,3.47*LOG10(_xlfn.XLOOKUP(B362,'Base stats'!B:B,'Base stats'!C:C)*1000)^-0.96),POWER(10,4.15*LOG10(_xlfn.XLOOKUP(B362,'Base stats'!B:B,'Base stats'!C:C)*1000)^-0.73))*IF(_xlfn.XLOOKUP(B362,'Base stats'!B:B,'Base stats'!AK:AK)=1,0.5,1)*IF(_xlfn.XLOOKUP(B362,'Base stats'!B:B,'Base stats'!AM:AM)=1,0.1,1)/100,IF(_xlfn.XLOOKUP(B362,'Base stats'!B:B,'Base stats'!AM:AM)=1,0.001,0.025)),0.5)))</f>
        <v>0.1</v>
      </c>
      <c r="CA362" s="25" t="str">
        <f>IF(P362="Standard","No",MAX(0.001,MIN(MROUND(IF(AND(BJ362="True",CC362="False"),POWER(10,3.47*LOG10(_xlfn.XLOOKUP(B362,'Base stats'!B:B,'Base stats'!C:C)*1000)^-0.96),POWER(10,4.15*LOG10(_xlfn.XLOOKUP(B362,'Base stats'!B:B,'Base stats'!C:C)*1000)^-0.73))*IF(_xlfn.XLOOKUP(B362,'Base stats'!B:B,'Base stats'!AM:AM)=1,0.1,1)*_xlfn.XLOOKUP(B362,'Base stats'!B:B,'Base stats'!R:R)/100,IF(_xlfn.XLOOKUP(B362,'Base stats'!B:B,'Base stats'!AM:AM)=1,0.001,0.025)),0.5)))</f>
        <v>No</v>
      </c>
      <c r="CB362" s="25" t="str">
        <f>IF(_xlfn.XLOOKUP(_xlfn.XLOOKUP(B362,'Base stats'!B:B,'Base stats'!E:E),Groups!A:A,Groups!AJ:AJ)="Mammal","True","False")</f>
        <v>False</v>
      </c>
      <c r="CC362" s="25" t="str">
        <f>IF(OR(_xlfn.XLOOKUP(_xlfn.XLOOKUP(B362,'Base stats'!B:B,'Base stats'!E:E),Groups!A:A,Groups!AJ:AJ)="Reptile",_xlfn.XLOOKUP(_xlfn.XLOOKUP(B362,'Base stats'!B:B,'Base stats'!E:E),Groups!A:A,Groups!AJ:AJ)="Amphibian",_xlfn.XLOOKUP(_xlfn.XLOOKUP(B362,'Base stats'!B:B,'Base stats'!E:E),Groups!A:A,Groups!AJ:AJ)="Invertebrate"),"True","False")</f>
        <v>False</v>
      </c>
      <c r="CD362" s="25" t="str">
        <f t="shared" si="41"/>
        <v>False</v>
      </c>
      <c r="CE362" s="25" t="str">
        <f>IF(_xlfn.XLOOKUP(_xlfn.XLOOKUP(B362,'Base stats'!B:B,'Base stats'!E:E),Groups!A:A,Groups!AX:AX),"True","False")</f>
        <v>False</v>
      </c>
      <c r="CF362" s="25" t="str">
        <f>IF(_xlfn.XLOOKUP(_xlfn.XLOOKUP(B362,'Base stats'!B:B,'Base stats'!E:E),Groups!A:A,Groups!AY:AY),"True","False")</f>
        <v>False</v>
      </c>
      <c r="CG362" s="25" t="str">
        <f>IF(_xlfn.XLOOKUP(_xlfn.XLOOKUP(B362,'Base stats'!B:B,'Base stats'!E:E),Groups!A:A,Groups!AW:AW),"True","False")</f>
        <v>False</v>
      </c>
      <c r="CH362" s="25" t="str">
        <f>IF(
OR(
_xlfn.XLOOKUP(_xlfn.XLOOKUP(B362,'Base stats'!B:B,'Base stats'!E:E),Groups!A:A,Groups!AZ:AZ)=0,
AND(
_xlfn.XLOOKUP(B362,'Base stats'!B:B,'Base stats'!Y:Y)&lt;&gt;"Carnivore",
_xlfn.XLOOKUP(B362,'Base stats'!B:B,'Base stats'!Y:Y)&lt;&gt;"Omnivore",
_xlfn.XLOOKUP(B362,'Base stats'!B:B,'Base stats'!Y:Y)&lt;&gt;"OmnivoreRough"
)
),
"No",
IF(
_xlfn.XLOOKUP(_xlfn.XLOOKUP(B362,'Base stats'!B:B,'Base stats'!E:E),Groups!A:A,Groups!AZ:AZ)=1,
"Flesh",
IF(
_xlfn.XLOOKUP(_xlfn.XLOOKUP(B362,'Base stats'!B:B,'Base stats'!E:E),Groups!A:A,Groups!AZ:AZ)=2,
"Bone",
""
)
)
)</f>
        <v>No</v>
      </c>
      <c r="CI362" s="25" t="str">
        <f>IF(_xlfn.XLOOKUP(_xlfn.XLOOKUP(B362,'Base stats'!B:B,'Base stats'!E:E),Groups!A:A,Groups!BB:BB),"True","False")</f>
        <v>False</v>
      </c>
      <c r="CJ362" s="25" t="str">
        <f>IF(_xlfn.XLOOKUP(_xlfn.XLOOKUP(B362,'Base stats'!B:B,'Base stats'!E:E),Groups!A:A,Groups!BA:BA),"True","False")</f>
        <v>False</v>
      </c>
    </row>
    <row r="363" spans="1:88" ht="16.5" thickTop="1" thickBot="1" x14ac:dyDescent="0.3">
      <c r="A363" s="26" t="s">
        <v>1966</v>
      </c>
      <c r="B363" s="6" t="str">
        <f>_xlfn.XLOOKUP(A363,'Base stats'!A:A,'Base stats'!B:B)</f>
        <v>Gallimimus bullatus</v>
      </c>
      <c r="C363" s="28" t="s">
        <v>2037</v>
      </c>
      <c r="D363" s="28" t="s">
        <v>1898</v>
      </c>
      <c r="E363" s="28" t="s">
        <v>673</v>
      </c>
      <c r="F363" s="28" t="s">
        <v>673</v>
      </c>
      <c r="G363" s="28" t="s">
        <v>673</v>
      </c>
      <c r="H363" s="2">
        <f>MROUND((
  (IF(AND(_xlfn.XLOOKUP(B363,'Base stats'!B:B,'Base stats'!AL:AL)=0,BI363="None",_xlfn.XLOOKUP(_xlfn.XLOOKUP(B363,'Base stats'!B:B,'Base stats'!E:E),Groups!A:A,Groups!B:B)=0), (18 + BR363 * 2.7) * 0.5,
    IF(AND(_xlfn.XLOOKUP(B363,'Base stats'!B:B,'Base stats'!AL:AL)=0,OR(AO363&lt;0.55,AND(BI363="Intermediate",_xlfn.XLOOKUP(_xlfn.XLOOKUP(B363,'Base stats'!B:B,'Base stats'!E:E),Groups!A:A,Groups!B:B)&lt;2))), (18 + BR363 * 2.7),
      IF(OR(BI363="Advanced",_xlfn.XLOOKUP(B363,'Base stats'!B:B,'Base stats'!AL:AL)=1,_xlfn.XLOOKUP(_xlfn.XLOOKUP(B363,'Base stats'!B:B,'Base stats'!E:E),Groups!A:A,Groups!B:B)=2), (18 + BR363 * 2.7) + 250, (18 + BR363 * 2.7))
    )
  ))
  + AO363 * 80
  + IF(COUNTIF(EggMilk!K$2:K$998, A363) &gt; 0, 125, 0)
  + IF(COUNTIF(EggMilk!P$2:P$998, A363) &gt; 0, 90, 0)
  + IF(COUNTIF(EggMilk!A$2:A$998, A363) &gt; 0, 90, 0)
)
* (0.8 + 0.4 * J363)
* 0.75,25)</f>
        <v>850</v>
      </c>
      <c r="I363" s="2">
        <f>MROUND(ROUNDDOWN(_xlfn.XLOOKUP(B363,'Base stats'!B:B,'Base stats'!L:L)/3.6/(23.3/11),1),0.5)</f>
        <v>6.5</v>
      </c>
      <c r="J363" s="2">
        <f>IF(OR(_xlfn.XLOOKUP(B363,'Base stats'!B:B,'Base stats'!AB:AB)=1,_xlfn.XLOOKUP(_xlfn.XLOOKUP(B363,'Base stats'!B:B,'Base stats'!E:E),Groups!A:A,Groups!C:C)="Untamable"),1,IF(_xlfn.XLOOKUP(B363,'Base stats'!B:B,'Base stats'!AL:AL)=1,0.99,MIN(MROUND((1-0.6282*EXP(-0.459*AO363))*_xlfn.XLOOKUP(_xlfn.XLOOKUP(B363,'Base stats'!B:B,'Base stats'!E:E),Groups!A:A,Groups!C:C)*IF(_xlfn.XLOOKUP(B363,'Base stats'!B:B,'Base stats'!O:O)=1,0.5,IF(_xlfn.XLOOKUP(B363,'Base stats'!B:B,'Base stats'!O:O)=2,0,1)),0.05),IF(AO363&gt;3.5,0.985,0.95))))</f>
        <v>0.85000000000000009</v>
      </c>
      <c r="K363" s="2">
        <f>ROUNDUP(AO363*_xlfn.XLOOKUP(_xlfn.XLOOKUP(B363,'Base stats'!B:B,'Base stats'!E:E),Groups!A:A,Groups!E:E),0)</f>
        <v>3</v>
      </c>
      <c r="L363" s="2">
        <f>IF(OR(_xlfn.XLOOKUP(_xlfn.XLOOKUP(B363,'Base stats'!B:B,'Base stats'!E:E),Groups!A:A,Groups!F:F)=2,ISNUMBER(SEARCH("SeaIce",BX363)),ISNUMBER(SEARCH("IceSheet",BX363))),-50,IF(OR(ISNUMBER(SEARCH("GlacialPlain",BX363)),ISNUMBER(SEARCH("Tundra",BX363))),-40,IF(OR(ISNUMBER(SEARCH("Alpine",BX363)),ISNUMBER(SEARCH("BorealForest",BX363)),ISNUMBER(SEARCH("ColdBog",BX363))),-30,IF(OR(ISNUMBER(SEARCH("TemperateForest",BX363)),ISNUMBER(SEARCH("TemperateSwamp",BX363))),-20,IF(_xlfn.XLOOKUP(_xlfn.XLOOKUP(B363,'Base stats'!B:B,'Base stats'!E:E),Groups!A:A,Groups!F:F)=1,-15,IF(OR(ISNUMBER(SEARCH("Desert",BX363)),ISNUMBER(SEARCH("ExtremeDesert",BX363))),-10,IF(OR(ISNUMBER(SEARCH("Grasslands",BX363)),ISNUMBER(SEARCH("TropicalRainforest",BX363)),ISNUMBER(SEARCH("TropicalSwamp",BX363))),10,0)))))))-IF(CC363="False",MIN(IFERROR(MAX(MROUND(LOG10(_xlfn.XLOOKUP(B363,'Base stats'!B:B,'Base stats'!C:C)^(2/3))*10,5),5),5),30))-_xlfn.XLOOKUP(B363,'Base stats'!B:B,'Base stats'!P:P)+IF(CC363="True",5,0)</f>
        <v>-40</v>
      </c>
      <c r="M363" s="2">
        <f>IF(OR(_xlfn.XLOOKUP(_xlfn.XLOOKUP(B363,'Base stats'!B:B,'Base stats'!E:E),Groups!A:A,Groups!G:G)=2,ISNUMBER(SEARCH("Desert",BX363)),ISNUMBER(SEARCH("ExtremeDesert",BX363)),ISNUMBER(SEARCH("LavaField",BX363))),50,IF(ISNUMBER(SEARCH("Grasslands",BX363)),45,IF(OR(_xlfn.XLOOKUP(_xlfn.XLOOKUP(B363,'Base stats'!B:B,'Base stats'!E:E),Groups!A:A,Groups!G:G)=1,ISNUMBER(SEARCH("TropicalRainforest",BX363)),ISNUMBER(SEARCH("TropicalSwamp",BX363))),40,IF(OR(ISNUMBER(SEARCH("TemperateForest",BX363)),ISNUMBER(SEARCH("TemperateSwamp",BX363))),35,IF(OR(ISNUMBER(SEARCH("Alpine",BX363)),ISNUMBER(SEARCH("BorealForest",BX363)),ISNUMBER(SEARCH("ColdBog",BX363))),30,IF(ISNUMBER(OR(ISNUMBER(SEARCH("GlacialPlain",BX363)),SEARCH("Tundra",BX363))),25,IF(OR(ISNUMBER(SEARCH("SeaIce",BX363)),ISNUMBER(SEARCH("IceSheet",BX363)),ISNUMBER(SEARCH("TropicalSwamp",BX363))),10,35)))))))+_xlfn.XLOOKUP(B363,'Base stats'!B:B,'Base stats'!Q:Q)</f>
        <v>35</v>
      </c>
      <c r="N363" s="8" t="str">
        <f>IF(
_xlfn.XLOOKUP(
_xlfn.XLOOKUP(B363,'Base stats'!B:B,'Base stats'!E:E),
Groups!A:A,
Groups!L:L
)=1,
MIN(
MROUND(
IF(
_xlfn.XLOOKUP(B363,'Animals CE'!B:B,'Animals CE'!Z:Z)&lt;=1.5,
_xlfn.XLOOKUP(B363,'Animals CE'!B:B,'Animals CE'!Z:Z)/2+0.05,
0.8+
(_xlfn.XLOOKUP(B363,'Animals CE'!B:B,'Animals CE'!Z:Z)-1.5)
*0.02
),
0.05
),
200%
),
"No"
)</f>
        <v>No</v>
      </c>
      <c r="O363" s="8" t="str">
        <f>IF(
_xlfn.XLOOKUP(
_xlfn.XLOOKUP(B363,'Base stats'!B:B,'Base stats'!E:E),
Groups!A:A,
Groups!L:L
)=1,
MIN(
MROUND(
IF(
_xlfn.XLOOKUP(B363,'Animals CE'!B:B,'Animals CE'!AA:AA)&lt;=1.5,
_xlfn.XLOOKUP(B363,'Animals CE'!B:B,'Animals CE'!AA:AA)/2+0.05,
0.8+
(_xlfn.XLOOKUP(B363,'Animals CE'!B:B,'Animals CE'!AA:AA)-1.5)
*0.02
),
0.05
),
200%
),
"No"
)</f>
        <v>No</v>
      </c>
      <c r="P363" s="2" t="str">
        <f>_xlfn.XLOOKUP(B363,'Base stats'!B:B,'Base stats'!R:R)</f>
        <v>Standard</v>
      </c>
      <c r="Q363" s="13">
        <f>MROUND((LOG10(_xlfn.XLOOKUP(B363,'Base stats'!B:B,'Base stats'!AR:AR))*(AO363^0.5)+(_xlfn.XLOOKUP(B363,'Base stats'!B:B,'Base stats'!AR:AR)/1000)^(2/3)+_xlfn.XLOOKUP(B363,'Base stats'!B:B,'Base stats'!BA:BA)/2)+0.5,0.5)</f>
        <v>16.5</v>
      </c>
      <c r="R363" s="7">
        <f>IF(Q363="No","No",MAX(1,MROUND(_xlfn.XLOOKUP(B363,'Base stats'!B:B,'Base stats'!C:C)^0.165,0.05)))</f>
        <v>2.85</v>
      </c>
      <c r="S363" s="13" t="str">
        <f>IF(_xlfn.XLOOKUP(_xlfn.XLOOKUP(B363,'Base stats'!B:B,'Base stats'!E:E),Groups!A:A,Groups!P:P)=0,"No",MROUND((LOG10(_xlfn.XLOOKUP(B363,'Base stats'!B:B,'Base stats'!AS:AS))*(AO363^0.5)+(_xlfn.XLOOKUP(B363,'Base stats'!B:B,'Base stats'!AS:AS)/1000)^(2/3)+_xlfn.XLOOKUP(B363,'Base stats'!B:B,'Base stats'!BA:BA))+_xlfn.XLOOKUP(B363,'Base stats'!B:B,'Base stats'!AY:AY)+0.5,0.5))</f>
        <v>No</v>
      </c>
      <c r="T363" s="7" t="str">
        <f>IF(S363="No","No",MAX(_xlfn.XLOOKUP(_xlfn.XLOOKUP(B363,'Base stats'!B:B,'Base stats'!E:E),Groups!A:A,Groups!Q:Q),MROUND(_xlfn.XLOOKUP(_xlfn.XLOOKUP(B363,'Base stats'!B:B,'Base stats'!E:E),Groups!A:A,Groups!Q:Q)*_xlfn.XLOOKUP(B363,'Base stats'!B:B,'Base stats'!C:C)^0.165,0.05)))</f>
        <v>No</v>
      </c>
      <c r="U363" s="7" t="str">
        <f>IF(S363="No","No",_xlfn.XLOOKUP(_xlfn.XLOOKUP(B363,'Base stats'!B:B,'Base stats'!E:E),Groups!A:A,Groups!R:R))</f>
        <v>No</v>
      </c>
      <c r="V363" s="7" t="str">
        <f>IF(S363="No","No",_xlfn.XLOOKUP(_xlfn.XLOOKUP(B363,'Base stats'!B:B,'Base stats'!E:E),Groups!A:A,Groups!S:S))</f>
        <v>No</v>
      </c>
      <c r="W363" s="7" t="str">
        <f>IF(S363="No","No",_xlfn.XLOOKUP(_xlfn.XLOOKUP(B363,'Base stats'!B:B,'Base stats'!E:E),Groups!A:A,Groups!T:T))</f>
        <v>No</v>
      </c>
      <c r="X363" s="13" t="str">
        <f>IF(_xlfn.XLOOKUP(B363,'Base stats'!B:B,'Base stats'!W:W)="No","No",MROUND((LOG10(_xlfn.XLOOKUP(B363,'Base stats'!B:B,'Base stats'!AU:AU))*(AO363^0.5)+(_xlfn.XLOOKUP(B363,'Base stats'!B:B,'Base stats'!AU:AU)/1000)^(2/3)+_xlfn.XLOOKUP(B363,'Base stats'!B:B,'Base stats'!AZ:AZ))+0.5+IF(_xlfn.XLOOKUP(_xlfn.XLOOKUP(B363,'Base stats'!B:B,'Base stats'!E:E),Groups!A:A,Groups!U:U)&lt;&gt;3,_xlfn.XLOOKUP(B363,'Base stats'!B:B,'Base stats'!BA:BA),0),0.5))</f>
        <v>No</v>
      </c>
      <c r="Y363" s="7" t="str">
        <f>IF(X363="No","No",MAX(_xlfn.XLOOKUP(_xlfn.XLOOKUP(B363,'Base stats'!B:B,'Base stats'!E:E),Groups!A:A,Groups!V:V),MROUND(_xlfn.XLOOKUP(_xlfn.XLOOKUP(B363,'Base stats'!B:B,'Base stats'!E:E),Groups!A:A,Groups!V:V)*_xlfn.XLOOKUP(B363,'Base stats'!B:B,'Base stats'!C:C)^0.165,0.05)))</f>
        <v>No</v>
      </c>
      <c r="Z363" s="7" t="str">
        <f>IF(X363="No","No",_xlfn.XLOOKUP(_xlfn.XLOOKUP(B363,'Base stats'!B:B,'Base stats'!E:E),Groups!A:A,Groups!W:W))</f>
        <v>No</v>
      </c>
      <c r="AA363" s="7" t="str">
        <f>IF(X363="No","No",_xlfn.XLOOKUP(_xlfn.XLOOKUP(B363,'Base stats'!B:B,'Base stats'!E:E),Groups!A:A,Groups!X:X))</f>
        <v>No</v>
      </c>
      <c r="AB363" s="7" t="str">
        <f>IF(X363="No","No",_xlfn.XLOOKUP(_xlfn.XLOOKUP(B363,'Base stats'!B:B,'Base stats'!E:E),Groups!A:A,Groups!Y:Y))</f>
        <v>No</v>
      </c>
      <c r="AC363" s="7" t="str">
        <f>_xlfn.XLOOKUP(Animals!B363,'Base stats'!B:B,'Base stats'!X:X)</f>
        <v>False</v>
      </c>
      <c r="AD363" s="13">
        <f>IF(_xlfn.XLOOKUP(B363,'Base stats'!B:B,'Base stats'!AT:AT)="No","No",MROUND((LOG10(_xlfn.XLOOKUP(B363,'Base stats'!B:B,'Base stats'!AT:AT))*(AO363^0.75)+(_xlfn.XLOOKUP(B363,'Base stats'!B:B,'Base stats'!AT:AT)/1000)^(2/3)+_xlfn.XLOOKUP(B363,'Base stats'!B:B,'Base stats'!AX:AX)+_xlfn.XLOOKUP(B363,'Base stats'!B:B,'Base stats'!BA:BA))+0.5,0.5))</f>
        <v>14.5</v>
      </c>
      <c r="AE363" s="7">
        <f>IF(AD363="No","No",MAX(_xlfn.XLOOKUP(_xlfn.XLOOKUP(B363,'Base stats'!B:B,'Base stats'!E:E),Groups!A:A,Groups!Z:Z),MROUND(_xlfn.XLOOKUP(_xlfn.XLOOKUP(B363,'Base stats'!B:B,'Base stats'!E:E),Groups!A:A,Groups!Z:Z)*_xlfn.XLOOKUP(B363,'Base stats'!B:B,'Base stats'!C:C)^0.165,0.05)))</f>
        <v>2.85</v>
      </c>
      <c r="AF363" s="7" t="str">
        <f>IF(AD363="No","No",_xlfn.XLOOKUP(_xlfn.XLOOKUP(B363,'Base stats'!B:B,'Base stats'!E:E),Groups!A:A,Groups!AA:AA))</f>
        <v>Teeth</v>
      </c>
      <c r="AG363" s="7" t="str">
        <f>IF(AD363="No","No",_xlfn.XLOOKUP(_xlfn.XLOOKUP(B363,'Base stats'!B:B,'Base stats'!E:E),Groups!A:A,Groups!AB:AB))</f>
        <v>beak</v>
      </c>
      <c r="AH363" s="7" t="str">
        <f>IF(AD363="No","No",_xlfn.XLOOKUP(_xlfn.XLOOKUP(B363,'Base stats'!B:B,'Base stats'!E:E),Groups!A:A,Groups!AC:AC))</f>
        <v>Bite</v>
      </c>
      <c r="AI363" s="13" t="str">
        <f>IF(_xlfn.XLOOKUP(_xlfn.XLOOKUP(B363,'Base stats'!B:B,'Base stats'!E:E),Groups!A:A,Groups!AD:AD)=0,"No",MROUND((LOG10(_xlfn.XLOOKUP(B363,'Base stats'!B:B,'Base stats'!AS:AS))*(AO363^0.75)+(_xlfn.XLOOKUP(B363,'Base stats'!B:B,'Base stats'!AS:AS)/1000)^(2/3)+_xlfn.XLOOKUP(B363,'Base stats'!B:B,'Base stats'!AY:AY)+_xlfn.XLOOKUP(B363,'Base stats'!B:B,'Base stats'!BA:BA))+0.5,0.5))</f>
        <v>No</v>
      </c>
      <c r="AJ363" s="7" t="str">
        <f>IF(AI363="No","No",MAX(_xlfn.XLOOKUP(_xlfn.XLOOKUP(B363,'Base stats'!B:B,'Base stats'!E:E),Groups!A:A,Groups!AE:AE),MROUND(_xlfn.XLOOKUP(_xlfn.XLOOKUP(B363,'Base stats'!B:B,'Base stats'!E:E),Groups!A:A,Groups!AE:AE)*IF(_xlfn.XLOOKUP(_xlfn.XLOOKUP(B363,'Base stats'!B:B,'Base stats'!E:E),Groups!A:A,Groups!AJ:AJ)="Photonozoa",0.6,1)*_xlfn.XLOOKUP(B363,'Base stats'!B:B,'Base stats'!C:C)^0.165,0.05)))</f>
        <v>No</v>
      </c>
      <c r="AK363" s="7" t="str">
        <f>IF(AI363="No","No",_xlfn.XLOOKUP(_xlfn.XLOOKUP(B363,'Base stats'!B:B,'Base stats'!E:E),Groups!A:A,Groups!AF:AF))</f>
        <v>No</v>
      </c>
      <c r="AL363" s="7" t="str">
        <f>IF(AI363="No","No",_xlfn.XLOOKUP(_xlfn.XLOOKUP(B363,'Base stats'!B:B,'Base stats'!E:E),Groups!A:A,Groups!AG:AG))</f>
        <v>No</v>
      </c>
      <c r="AM363" s="7" t="str">
        <f>IF(AI363="No","No",_xlfn.XLOOKUP(_xlfn.XLOOKUP(B363,'Base stats'!B:B,'Base stats'!E:E),Groups!A:A,Groups!AH:AH))</f>
        <v>No</v>
      </c>
      <c r="AN363" s="2" t="str">
        <f t="shared" si="35"/>
        <v>No</v>
      </c>
      <c r="AO363" s="2">
        <f>MROUND(IF(AND(_xlfn.XLOOKUP(B363,'Base stats'!B:B,'Base stats'!C:C)&gt;=0.5,_xlfn.XLOOKUP(B363,'Base stats'!B:B,'Base stats'!C:C)&lt;=0.8),
IF(_xlfn.XLOOKUP(B363,'Base stats'!B:B,'Base stats'!C:C)&lt;0.1,0.05,IF(_xlfn.XLOOKUP(B363,'Base stats'!B:B,'Base stats'!C:C)&lt;=70,(_xlfn.XLOOKUP(B363,'Base stats'!B:B,'Base stats'!C:C)/70)^0.426489913056526,IF(_xlfn.XLOOKUP(B363,'Base stats'!B:B,'Base stats'!C:C)&lt;=400,(_xlfn.XLOOKUP(B363,'Base stats'!B:B,'Base stats'!C:C)/70)^0.572811455315093,IF(_xlfn.XLOOKUP(B363,'Base stats'!B:B,'Base stats'!C:C)&lt;=2000,2.71391647193063*(_xlfn.XLOOKUP(B363,'Base stats'!B:B,'Base stats'!C:C)/400)^0.252459582904293,3.74314280240376*(_xlfn.XLOOKUP(B363,'Base stats'!B:B,'Base stats'!C:C)/2000)^0.357012633876913)))),
IF(_xlfn.XLOOKUP(B363,'Base stats'!B:B,'Base stats'!C:C)&lt;0.1,0.05,IF(_xlfn.XLOOKUP(B363,'Base stats'!B:B,'Base stats'!C:C)&lt;0.4,0.1,IF(_xlfn.XLOOKUP(B363,'Base stats'!B:B,'Base stats'!C:C)&lt;=70,(_xlfn.XLOOKUP(B363,'Base stats'!B:B,'Base stats'!C:C)/70)^0.445823913056526,IF(_xlfn.XLOOKUP(B363,'Base stats'!B:B,'Base stats'!C:C)&lt;=400,(_xlfn.XLOOKUP(B363,'Base stats'!B:B,'Base stats'!C:C)/70)^0.572811455315093,IF(_xlfn.XLOOKUP(B363,'Base stats'!B:B,'Base stats'!C:C)&lt;=2000,2.71391647193063*(_xlfn.XLOOKUP(B363,'Base stats'!B:B,'Base stats'!C:C)/400)^0.252459582904293,3.74314280240376*(_xlfn.XLOOKUP(B363,'Base stats'!B:B,'Base stats'!C:C)/2000)^0.357012633876913)))))),
IF(_xlfn.XLOOKUP(B363,'Base stats'!B:B,'Base stats'!C:C)&lt;0.1,0.05,IF(_xlfn.XLOOKUP(B363,'Base stats'!B:B,'Base stats'!C:C)&lt;=100,0.05,IF(_xlfn.XLOOKUP(B363,'Base stats'!B:B,'Base stats'!C:C)&lt;=250,0.1,IF(_xlfn.XLOOKUP(B363,'Base stats'!B:B,'Base stats'!C:C)&lt;=4000,0.25,0.5)))))</f>
        <v>3</v>
      </c>
      <c r="AP363" s="8">
        <f>MROUND(AO363*_xlfn.XLOOKUP(_xlfn.XLOOKUP(B363,'Base stats'!B:B,'Base stats'!E:E),Groups!A:A,Groups!AI:AI)*_xlfn.XLOOKUP(B363,'Base stats'!B:B,'Base stats'!Z:Z),0.05)</f>
        <v>3.6</v>
      </c>
      <c r="AQ363" s="8">
        <f>MAX(0.01,MROUND(IF(CC363="True",0.196*(AO363*100*1000)^0.889,IF(_xlfn.XLOOKUP(_xlfn.XLOOKUP(B363,'Base stats'!B:B,'Base stats'!E:E),Groups!A:A,Groups!AJ:AJ)="Bird",10.5*(AO363*100*1000)^0.681,4.82*(AO363*100*1000)^0.734))/(4.82*(1*100*1000)^0.734)/IF(AO363&lt;3.5,2,IF(AO363=3.5,1.5,1.25))*(1+0.132282374779864/(AO363^0.994035016789033+0.00905238001496948)),0.05))</f>
        <v>1.3</v>
      </c>
      <c r="AR363" s="9">
        <f>IFERROR(MROUND(_xlfn.XLOOKUP(B363,'Base stats'!B:B,'Base stats'!H:H)/IF(_xlfn.XLOOKUP(B363,'Base stats'!B:B,'Base stats'!I:I)&lt;&gt;1,(122.5/70),1.2),IF(_xlfn.XLOOKUP(B363,'Base stats'!B:B,'Base stats'!H:H)&gt;=30,5,IF(_xlfn.XLOOKUP(B363,'Base stats'!B:B,'Base stats'!H:H)&gt;=15,3,IF(_xlfn.XLOOKUP(B363,'Base stats'!B:B,'Base stats'!H:H)&gt;=10,2,1)))),"Immortal")</f>
        <v>12</v>
      </c>
      <c r="AS363" s="35" t="str">
        <f>IFERROR(IF(OR(_xlfn.XLOOKUP(B363,'Base stats'!B:B,'Base stats'!F:F)="Atypical reproduction",_xlfn.XLOOKUP(B363,'Base stats'!B:B,'Base stats'!F:F)="Lay eggs"),"Lay eggs",MIN(20,MAX(5.5,ROUND(((_xlfn.XLOOKUP(B363,'Base stats'!B:B,'Base stats'!F:F)-25)*(14.5/615) + 5.5)*2,0)/2))),"Unknown")</f>
        <v>Lay eggs</v>
      </c>
      <c r="AT363" s="8">
        <f>IF(_xlfn.XLOOKUP(B363,'Base stats'!B:B,'Base stats'!G:G)="Atypical reproduction","No",IFERROR(MAX(IF(_xlfn.XLOOKUP(B363,'Base stats'!B:B,'Base stats'!G:G)&lt;0.5,0.2,0.3),MROUND(_xlfn.XLOOKUP(B363,'Base stats'!B:B,'Base stats'!G:G)/(365/60),0.2)),"Unknown"))</f>
        <v>0.4</v>
      </c>
      <c r="AU363" s="8">
        <f t="shared" si="36"/>
        <v>0.2</v>
      </c>
      <c r="AV363" s="8" t="str">
        <f>IFERROR(IFERROR(MROUND(_xlfn.XLOOKUP(B363,'Base stats'!B:B,'Base stats'!J:J),0.1),"Lay eggs"),"Cannot breed")</f>
        <v>Lay eggs</v>
      </c>
      <c r="AW363" s="2" t="str">
        <f t="shared" si="37"/>
        <v>true</v>
      </c>
      <c r="AX363" s="2" t="str">
        <f>IF(_xlfn.XLOOKUP(_xlfn.XLOOKUP(Animals!B363,'Base stats'!B:B,'Base stats'!E:E),Groups!A:A,Groups!AK:AK)=1,"true","false")</f>
        <v>false</v>
      </c>
      <c r="AY363" s="25" t="str">
        <f>IF(_xlfn.XLOOKUP(B363,'Base stats'!B:B,'Base stats'!Y:Y)="Liquor","Liquor, CarnivoreAnimalStrict",IF(AND(_xlfn.XLOOKUP(B363,'Base stats'!B:B,'Base stats'!Y:Y)="Carnivore",_xlfn.XLOOKUP(_xlfn.XLOOKUP(B363,'Base stats'!B:B,'Base stats'!E:E),Groups!A:A,Groups!AJ:AJ)="Photonozoa"),"CarnivoreAnimalStrict, OvivoreAnimal",IF(_xlfn.XLOOKUP(B363,'Base stats'!B:B,'Base stats'!Y:Y)="Carnivore","CarnivoreAnimal, OvivoreAnimal",IF(_xlfn.XLOOKUP(B363,'Base stats'!B:B,'Base stats'!Y:Y)="Dendrovore","VegetarianRoughAnimal, DendrovoreAnimal",IF(_xlfn.XLOOKUP(B363,'Base stats'!B:B,'Base stats'!Y:Y)="Herbivore","VegetarianRoughAnimal",IF(_xlfn.XLOOKUP(B363,'Base stats'!B:B,'Base stats'!Y:Y)="OmnivoreRough","OmnivoreRoughAnimal, OvivoreAnimal","OmnivoreAnimal, OvivoreAnimal"))))))</f>
        <v>VegetarianRoughAnimal</v>
      </c>
      <c r="AZ363" s="2">
        <f>IF(_xlfn.XLOOKUP(_xlfn.XLOOKUP(B363,'Base stats'!B:B,'Base stats'!E:E),Groups!A:A,Groups!D:D)=1,MROUND((1-J363)*5+1,2)*IF(J363&lt;=0.4,2,1),"No")</f>
        <v>2</v>
      </c>
      <c r="BA363" s="2" t="str">
        <f>IF(AND(_xlfn.XLOOKUP(B363,'Base stats'!B:B,'Base stats'!AH:AH)="&lt;li&gt;Seal&lt;/li&gt;",G363="Odyssey"),"&lt;li&gt;AEXP_Seal&lt;/li&gt;",_xlfn.XLOOKUP(B363,'Base stats'!B:B,'Base stats'!AH:AH))</f>
        <v>No</v>
      </c>
      <c r="BB363" s="2" t="str">
        <f>_xlfn.XLOOKUP(B363,'Base stats'!B:B,'Base stats'!AG:AG)</f>
        <v>Leather_DinosaurHide</v>
      </c>
      <c r="BC363" s="23" t="str">
        <f>_xlfn.XLOOKUP(_xlfn.XLOOKUP(B363,'Base stats'!B:B,'Base stats'!E:E),Groups!A:A,Groups!AL:AL)</f>
        <v>Theropod</v>
      </c>
      <c r="BD363" s="23">
        <f>MIN(1,MROUND(IF(AND(AO363&lt;0.5,_xlfn.XLOOKUP(B363,'Base stats'!B:B,'Base stats'!AA:AA)=0),0,IF(OR(_xlfn.XLOOKUP(Animals!B363,'Base stats'!B:B,'Base stats'!O:O)=2,_xlfn.XLOOKUP(_xlfn.XLOOKUP(B363,'Base stats'!B:B,'Base stats'!E:E),Groups!A:A,Groups!AN:AN)=0),0,_xlfn.XLOOKUP(_xlfn.XLOOKUP(B363,'Base stats'!B:B,'Base stats'!E:E),Groups!A:A,Groups!AN:AN)/IF(_xlfn.XLOOKUP(Animals!B363,'Base stats'!B:B,'Base stats'!O:O)=1,2,1)))+_xlfn.XLOOKUP(B363,'Base stats'!B:B,'Base stats'!AC:AC),0.005))</f>
        <v>0.1</v>
      </c>
      <c r="BE363" s="23">
        <f>MIN(1,MROUND(IF(AND(AO363&lt;0.5,_xlfn.XLOOKUP(B363,'Base stats'!B:B,'Base stats'!AA:AA)=0),0,IF(_xlfn.XLOOKUP(_xlfn.XLOOKUP(B363,'Base stats'!B:B,'Base stats'!E:E),Groups!A:A,Groups!AO:AO)=0,0,_xlfn.XLOOKUP(_xlfn.XLOOKUP(B363,'Base stats'!B:B,'Base stats'!E:E),Groups!A:A,Groups!AO:AO)/IF(_xlfn.XLOOKUP(Animals!B363,'Base stats'!B:B,'Base stats'!O:O)=2,3,1)))+_xlfn.XLOOKUP(B363,'Base stats'!B:B,'Base stats'!AD:AD),0.005))</f>
        <v>0.3</v>
      </c>
      <c r="BF363" s="2" t="str">
        <f>IF(J363&gt;0.3,"No",_xlfn.XLOOKUP(_xlfn.XLOOKUP(Animals!B363,'Base stats'!B:B,'Base stats'!E:E),Groups!A:A,Groups!AP:AP))</f>
        <v>No</v>
      </c>
      <c r="BG363" s="2" t="str">
        <f>IF(AND(J363&lt;=0.65,_xlfn.XLOOKUP(_xlfn.XLOOKUP(Animals!B363,'Base stats'!B:B,'Base stats'!E:E),Groups!A:A,Groups!AP:AP)&lt;&gt;"No",_xlfn.XLOOKUP(_xlfn.XLOOKUP(B363,'Base stats'!B:B,'Base stats'!E:E),Groups!A:A,Groups!D:D)=0),MROUND((80/3)*IF(_xlfn.XLOOKUP(B363,'Base stats'!B:B,'Base stats'!O:O)=2,0.2,AO363) + 24*(1-IF(BF363="No",0,BF363)) + 16/3, 12),"No")</f>
        <v>No</v>
      </c>
      <c r="BH363" s="2">
        <f>IF(AND(_xlfn.XLOOKUP(_xlfn.XLOOKUP(B363,'Base stats'!B:B,'Base stats'!E:E),Groups!A:A,Groups!AQ:AQ)=1,AO363&lt;=0.35),8,12)</f>
        <v>12</v>
      </c>
      <c r="BI363" s="2" t="str">
        <f>IF(_xlfn.XLOOKUP(_xlfn.XLOOKUP(B363,'Base stats'!B:B,'Base stats'!E:E),Groups!A:A,Groups!D:D)=0,_xlfn.XLOOKUP(_xlfn.XLOOKUP(B363,'Base stats'!B:B,'Base stats'!E:E),Groups!A:A,Groups!AR:AR),"None")</f>
        <v>None</v>
      </c>
      <c r="BJ363" s="2" t="str">
        <f>IF(AND(_xlfn.XLOOKUP(_xlfn.XLOOKUP(B363,'Base stats'!B:B,'Base stats'!E:E),Groups!A:A,Groups!AS:AS)=1,OR(_xlfn.XLOOKUP(B363,'Base stats'!B:B,'Base stats'!Y:Y)="Carnivore",_xlfn.XLOOKUP(B363,'Base stats'!B:B,'Base stats'!Y:Y)="Omnivore")),"true","false")</f>
        <v>false</v>
      </c>
      <c r="BK363" s="2" t="str">
        <f>IF(BJ363="true",MROUND(IF(AND(AO363&gt;0.5,OR(_xlfn.XLOOKUP(_xlfn.XLOOKUP(B363,'Base stats'!B:B,'Base stats'!E:E),Groups!A:A,Groups!AJ:AJ)="Photonozoa",_xlfn.XLOOKUP(_xlfn.XLOOKUP(B363,'Base stats'!B:B,'Base stats'!E:E),Groups!A:A,Groups!AJ:AJ)="Mammal")),Animals!AO363*1.75*IF(AW363="true",1.5,1),IF(AO363&lt;0.5,Animals!AO363*0.5,Animals!AO363)),IF(AO363&gt;2,0.5,IF(AO363&gt;0.5,0.25,0.1))),"No")</f>
        <v>No</v>
      </c>
      <c r="BL363" s="2">
        <f t="shared" si="38"/>
        <v>0</v>
      </c>
      <c r="BM363" s="25" t="str">
        <f>IF(_xlfn.XLOOKUP(B363,'Base stats'!B:B,'Base stats'!AN:AN)="Standard","No",MROUND((_xlfn.XLOOKUP(B363,'Base stats'!B:B,'Base stats'!AN:AN)/3.6)/I363,0.1))</f>
        <v>No</v>
      </c>
      <c r="BN363" s="25" t="str">
        <f t="shared" si="39"/>
        <v>false</v>
      </c>
      <c r="BO363" s="25" t="str">
        <f>IF(AND(OR(_xlfn.XLOOKUP(B363,'Base stats'!B:B,'Base stats'!Y:Y)="Carnivore",_xlfn.XLOOKUP(B363,'Base stats'!B:B,'Base stats'!Y:Y)="Omnivore",_xlfn.XLOOKUP(B363,'Base stats'!B:B,'Base stats'!Y:Y)="OmnivoreRough"),_xlfn.XLOOKUP(_xlfn.XLOOKUP(B363,'Base stats'!B:B,'Base stats'!E:E),Groups!A:A,Groups!AT:AT)=1),"true","false")</f>
        <v>false</v>
      </c>
      <c r="BP363" s="25" t="str" cm="1">
        <f t="array" ref="BP363">IF(
  _xlfn.TEXTJOIN(", ",TRUE,
    IF(AND(BJ363="true",AO363&gt;0.5,BI363&lt;&gt;"None"),"AttackTarget",""),
    IF(AND(_xlfn.XLOOKUP(_xlfn.XLOOKUP(B363,'Base stats'!B:B,'Base stats'!E:E),Groups!A:A,Groups!AJ:AJ="Mammal"),OR(_xlfn.XLOOKUP(B363,'Base stats'!B:B,'Base stats'!Y:Y)="Omnivore",_xlfn.XLOOKUP(B363,'Base stats'!B:B,'Base stats'!Y:Y)="OmnivoreRough")),"Forage",""),
    IF(BG363&lt;=36,"Comfort",""),
    IF(_xlfn.XLOOKUP(B363,'Base stats'!B:B,'Base stats'!AE:AE)&lt;&gt;"No",_xlfn.XLOOKUP(B363,'Base stats'!B:B,'Base stats'!AE:AE),"")
  ) = "",
  "No",
  _xlfn.TEXTJOIN(", ",TRUE,
    IF(AND(BJ363="true",AO363&gt;0.5,BI363&lt;&gt;"None"),"AttackTarget",""),
    IF(AND(_xlfn.XLOOKUP(_xlfn.XLOOKUP(B363,'Base stats'!B:B,'Base stats'!E:E),Groups!A:A,Groups!AJ:AJ="Mammal"),OR(_xlfn.XLOOKUP(B363,'Base stats'!B:B,'Base stats'!Y:Y)="Omnivore",_xlfn.XLOOKUP(B363,'Base stats'!B:B,'Base stats'!Y:Y)="OmnivoreRough")),"Forage",""),
    IF(BG363&lt;=36,"Comfort",""),
    IF(_xlfn.XLOOKUP(B363,'Base stats'!B:B,'Base stats'!AE:AE)&lt;&gt;"No",_xlfn.XLOOKUP(B363,'Base stats'!B:B,'Base stats'!AE:AE),"")
  )
)</f>
        <v>No</v>
      </c>
      <c r="BQ363" s="25" t="str">
        <f>IF(
   AND(
      'Base stats'!AN363="Standard",_xlfn.XLOOKUP(_xlfn.XLOOKUP(B363,'Base stats'!B:B,'Base stats'!E:E),Groups!A:A,Groups!AU:AU)=0,
      OR(
      BO363="True"
      )
   ),
   10,
   IF(
       OR(BM363&lt;&gt;"No",_xlfn.XLOOKUP(_xlfn.XLOOKUP(B363,'Base stats'!B:B,'Base stats'!E:E),Groups!A:A,Groups!AU:AU)=1),
      1,
      "No"
   )
)</f>
        <v>No</v>
      </c>
      <c r="BR363" s="9">
        <f>MROUND((1 + ((0.2*IF(OR(Q363="No",R363="No",R363=0),0,Q363/R363)
+IF(OR(V363="No",S363="No",T363="No"),0,S363/T363*(LEN(V363)-LEN(SUBSTITUTE(V363,",",""))+1))
+IF(OR(X363="No",Y363="No"),0,X363/Y363)
+IF(OR(AD363="No",AE363="No"),0,AD363/AE363)
+IF(OR(AL363="No",AI363="No",AJ363="No"),0,AI363/AJ363*(LEN(AL363)-LEN(SUBSTITUTE(AL363,",",""))+1))
)/(0.2*IF(OR(Q363="No",R363="No",R363=0),0,1)
+IF(OR(V363="No",S363="No",T363="No"),0,LEN(V363)-LEN(SUBSTITUTE(V363,",",""))+1)
+IF(OR(X363="No",Y363="No"),0,1)
+IF(OR(AD363="No",AE363="No"),0,1)
+IF(OR(AL363="No",AI363="No",AJ363="No"),0,LEN(AL363)-LEN(SUBSTITUTE(AL363,",",""))+1))*62%)* 2)*(1 + (AP363 / (IF(_xlfn.XLOOKUP(_xlfn.XLOOKUP(B363,'Base stats'!B:B,'Base stats'!E:E),Groups!A:A,Groups!AJ:AJ)="Photonozoa",0.3,1)) + _xlfn.XLOOKUP(B363,'Base stats'!B:B,'Base stats'!AV:AV) * 1.8) * 2) * 2.5 + 10 + I363 * 2,5)+IF(_xlfn.XLOOKUP(B363,'Base stats'!B:B,'Base stats'!AK:AK)=1,50,0)</f>
        <v>175</v>
      </c>
      <c r="BS363" s="8">
        <f t="shared" si="40"/>
        <v>1.6500000000000001</v>
      </c>
      <c r="BT363" s="8" t="str">
        <f>_xlfn.XLOOKUP(B363,'Base stats'!B:B,'Base stats'!AF:AF)</f>
        <v>3~10</v>
      </c>
      <c r="BU363" s="2" t="str">
        <f>IF(AND(J363&lt;=0.95,OR(_xlfn.XLOOKUP(B363,'Base stats'!B:B,'Base stats'!AK:AK)=1,_xlfn.XLOOKUP(B363,'Base stats'!B:B,'Base stats'!Y:Y)="Carnivore",_xlfn.XLOOKUP(B363,'Base stats'!B:B,'Base stats'!Y:Y)="Omnivore",BE363&gt;0.1)),"true","false")</f>
        <v>true</v>
      </c>
      <c r="BV363" s="2" t="str">
        <f>IF(_xlfn.XLOOKUP(B363,'Base stats'!B:B,'Base stats'!AI:AI)=1,"true","false")</f>
        <v>false</v>
      </c>
      <c r="BW363" s="25" t="str">
        <f>IF(E363="BaseInsect","AnimalInsect",
IF(J363&gt;0.95,"AnimalExotic",
_xlfn.TEXTJOIN(", ",TRUE,
IF(OR(_xlfn.XLOOKUP(B363,'Base stats'!B:B,'Base stats'!AM:AM)=1,AND(_xlfn.XLOOKUP(B363,'Base stats'!B:B,'Base stats'!O:O)=0,_xlfn.XLOOKUP(_xlfn.XLOOKUP(B363,'Base stats'!B:B,'Base stats'!E:E),Groups!A:A,Groups!B:B)&gt;0)),"AnimalUncommon","AnimalCommon"),
IF(AND(_xlfn.XLOOKUP(B363,'Base stats'!B:B,'Base stats'!O:O)=2,_xlfn.XLOOKUP(_xlfn.XLOOKUP(B363,'Base stats'!B:B,'Base stats'!E:E),Groups!A:A,Groups!D:D)=0),"AnimalPet",IF(AND(_xlfn.XLOOKUP(B363,'Base stats'!B:B,'Base stats'!O:O)&lt;&gt;0,_xlfn.XLOOKUP(_xlfn.XLOOKUP(B363,'Base stats'!B:B,'Base stats'!E:E),Groups!A:A,Groups!D:D)&lt;&gt;0),"AnimalFarm","")),
IF(OR(_xlfn.XLOOKUP(B363,'Base stats'!B:B,'Base stats'!AK:AK)=1,AND(BI363&lt;&gt;"None",BR363&gt;=60),ISNUMBER(SEARCH("Attack target",BP363))),"AnimalFighter","")
)))</f>
        <v>AnimalUncommon</v>
      </c>
      <c r="BX363" s="25" t="str">
        <f>IF(G363="None",TRIM(
SUBSTITUTE(
IF(COUNTIF(Biomes!B$2:B$259,"="&amp;$C363)&gt;0,Biomes!B$1&amp;", ","")&amp;
IF(COUNTIF(Biomes!C$2:C$259,"="&amp;$C363)&gt;0,Biomes!C$1&amp;", ","")&amp;
IF(COUNTIF(Biomes!D$2:D$259,"="&amp;$C363)&gt;0,Biomes!D$1&amp;", ","")&amp;
IF(COUNTIF(Biomes!F$2:F$259,"="&amp;$C363)&gt;0,Biomes!F$1&amp;", ","")&amp;
IF(COUNTIF(Biomes!G$2:G$259,"="&amp;$C363)&gt;0,Biomes!G$1&amp;", ","")&amp;
IF(COUNTIF(Biomes!H$2:H$259,"="&amp;$C363)&gt;0,Biomes!H$1&amp;", ","")&amp;
IF(COUNTIF(Biomes!I$2:I$259,"="&amp;$C363)&gt;0,Biomes!I$1&amp;", ","")&amp;
IF(COUNTIF(Biomes!J$2:J$259,"="&amp;$C363)&gt;0,Biomes!J$1&amp;", ","")&amp;
IF(COUNTIF(Biomes!M$2:M$259,"="&amp;$C363)&gt;0,Biomes!M$1&amp;", ","")&amp;
IF(COUNTIF(Biomes!N$2:N$259,"="&amp;$C363)&gt;0,Biomes!N$1&amp;", ","")&amp;
IF(COUNTIF(Biomes!O$2:O$259,"="&amp;$C363)&gt;0,Biomes!O$1&amp;", ","")&amp;
IF(COUNTIF(Biomes!P$2:P$259,"="&amp;$C363)&gt;0,Biomes!P$1&amp;", ","")&amp;
IF(COUNTIF(Biomes!K$2:K$259,"="&amp;$C363)&gt;0,Biomes!K$1&amp;", ","")&amp;
IF(COUNTIF(Biomes!Q$3:Q$259,"="&amp;$C363)&gt;0,Biomes!Q$1&amp;", ","")&amp;
IF(COUNTIF(Biomes!L$2:L$259,"="&amp;$C363)&gt;0,Biomes!L$1&amp;", ","")&amp;
IF(COUNTIF(Biomes!E$2:E$259,"="&amp;$C363)&gt;0,Biomes!E$1&amp;", ","")&amp;IF(COUNTIF(Biomes!S$2:S$259,"="&amp;$C363)&gt;0,Biomes!S$1&amp;", ","")&amp;
IF(COUNTIF(Biomes!R$2:R$259,"="&amp;$C363)&gt;0,Biomes!R$1&amp;", ",""),", ","")
),_xlfn.XLOOKUP(B363,B:B,BX:BX))</f>
        <v>TemperateForest TemperateSwamp</v>
      </c>
      <c r="BY363" s="25" t="str">
        <f>IF(_xlfn.XLOOKUP(B363,'Base stats'!B:B,'Base stats'!AJ:AJ)=1,"true","false")</f>
        <v>false</v>
      </c>
      <c r="BZ363" s="25">
        <f>IF(_xlfn.XLOOKUP(B363,'Base stats'!B:B,'Base stats'!N:N)=1,"No",MAX(0.001,MIN(MROUND(IF(AND(BJ363="True",CC363="False"),POWER(10,3.47*LOG10(_xlfn.XLOOKUP(B363,'Base stats'!B:B,'Base stats'!C:C)*1000)^-0.96),POWER(10,4.15*LOG10(_xlfn.XLOOKUP(B363,'Base stats'!B:B,'Base stats'!C:C)*1000)^-0.73))*IF(_xlfn.XLOOKUP(B363,'Base stats'!B:B,'Base stats'!AK:AK)=1,0.5,1)*IF(_xlfn.XLOOKUP(B363,'Base stats'!B:B,'Base stats'!AM:AM)=1,0.1,1)/100,IF(_xlfn.XLOOKUP(B363,'Base stats'!B:B,'Base stats'!AM:AM)=1,0.001,0.025)),0.5)))</f>
        <v>0.15000000000000002</v>
      </c>
      <c r="CA363" s="25" t="str">
        <f>IF(P363="Standard","No",MAX(0.001,MIN(MROUND(IF(AND(BJ363="True",CC363="False"),POWER(10,3.47*LOG10(_xlfn.XLOOKUP(B363,'Base stats'!B:B,'Base stats'!C:C)*1000)^-0.96),POWER(10,4.15*LOG10(_xlfn.XLOOKUP(B363,'Base stats'!B:B,'Base stats'!C:C)*1000)^-0.73))*IF(_xlfn.XLOOKUP(B363,'Base stats'!B:B,'Base stats'!AM:AM)=1,0.1,1)*_xlfn.XLOOKUP(B363,'Base stats'!B:B,'Base stats'!R:R)/100,IF(_xlfn.XLOOKUP(B363,'Base stats'!B:B,'Base stats'!AM:AM)=1,0.001,0.025)),0.5)))</f>
        <v>No</v>
      </c>
      <c r="CB363" s="25" t="str">
        <f>IF(_xlfn.XLOOKUP(_xlfn.XLOOKUP(B363,'Base stats'!B:B,'Base stats'!E:E),Groups!A:A,Groups!AJ:AJ)="Mammal","True","False")</f>
        <v>False</v>
      </c>
      <c r="CC363" s="25" t="str">
        <f>IF(OR(_xlfn.XLOOKUP(_xlfn.XLOOKUP(B363,'Base stats'!B:B,'Base stats'!E:E),Groups!A:A,Groups!AJ:AJ)="Reptile",_xlfn.XLOOKUP(_xlfn.XLOOKUP(B363,'Base stats'!B:B,'Base stats'!E:E),Groups!A:A,Groups!AJ:AJ)="Amphibian",_xlfn.XLOOKUP(_xlfn.XLOOKUP(B363,'Base stats'!B:B,'Base stats'!E:E),Groups!A:A,Groups!AJ:AJ)="Invertebrate"),"True","False")</f>
        <v>False</v>
      </c>
      <c r="CD363" s="25" t="str">
        <f t="shared" si="41"/>
        <v>False</v>
      </c>
      <c r="CE363" s="25" t="str">
        <f>IF(_xlfn.XLOOKUP(_xlfn.XLOOKUP(B363,'Base stats'!B:B,'Base stats'!E:E),Groups!A:A,Groups!AX:AX),"True","False")</f>
        <v>False</v>
      </c>
      <c r="CF363" s="25" t="str">
        <f>IF(_xlfn.XLOOKUP(_xlfn.XLOOKUP(B363,'Base stats'!B:B,'Base stats'!E:E),Groups!A:A,Groups!AY:AY),"True","False")</f>
        <v>False</v>
      </c>
      <c r="CG363" s="25" t="str">
        <f>IF(_xlfn.XLOOKUP(_xlfn.XLOOKUP(B363,'Base stats'!B:B,'Base stats'!E:E),Groups!A:A,Groups!AW:AW),"True","False")</f>
        <v>False</v>
      </c>
      <c r="CH363" s="25" t="str">
        <f>IF(
OR(
_xlfn.XLOOKUP(_xlfn.XLOOKUP(B363,'Base stats'!B:B,'Base stats'!E:E),Groups!A:A,Groups!AZ:AZ)=0,
AND(
_xlfn.XLOOKUP(B363,'Base stats'!B:B,'Base stats'!Y:Y)&lt;&gt;"Carnivore",
_xlfn.XLOOKUP(B363,'Base stats'!B:B,'Base stats'!Y:Y)&lt;&gt;"Omnivore",
_xlfn.XLOOKUP(B363,'Base stats'!B:B,'Base stats'!Y:Y)&lt;&gt;"OmnivoreRough"
)
),
"No",
IF(
_xlfn.XLOOKUP(_xlfn.XLOOKUP(B363,'Base stats'!B:B,'Base stats'!E:E),Groups!A:A,Groups!AZ:AZ)=1,
"Flesh",
IF(
_xlfn.XLOOKUP(_xlfn.XLOOKUP(B363,'Base stats'!B:B,'Base stats'!E:E),Groups!A:A,Groups!AZ:AZ)=2,
"Bone",
""
)
)
)</f>
        <v>No</v>
      </c>
      <c r="CI363" s="25" t="str">
        <f>IF(_xlfn.XLOOKUP(_xlfn.XLOOKUP(B363,'Base stats'!B:B,'Base stats'!E:E),Groups!A:A,Groups!BB:BB),"True","False")</f>
        <v>False</v>
      </c>
      <c r="CJ363" s="25" t="str">
        <f>IF(_xlfn.XLOOKUP(_xlfn.XLOOKUP(B363,'Base stats'!B:B,'Base stats'!E:E),Groups!A:A,Groups!BA:BA),"True","False")</f>
        <v>False</v>
      </c>
    </row>
    <row r="364" spans="1:88" ht="16.5" thickTop="1" thickBot="1" x14ac:dyDescent="0.3">
      <c r="A364" s="26" t="s">
        <v>1968</v>
      </c>
      <c r="B364" s="6" t="str">
        <f>_xlfn.XLOOKUP(A364,'Base stats'!A:A,'Base stats'!B:B)</f>
        <v>Gigantoraptor erlianensis</v>
      </c>
      <c r="C364" s="28" t="s">
        <v>2038</v>
      </c>
      <c r="D364" s="28" t="s">
        <v>1898</v>
      </c>
      <c r="E364" s="28" t="s">
        <v>673</v>
      </c>
      <c r="F364" s="28" t="s">
        <v>673</v>
      </c>
      <c r="G364" s="28" t="s">
        <v>673</v>
      </c>
      <c r="H364" s="2">
        <f>MROUND((
  (IF(AND(_xlfn.XLOOKUP(B364,'Base stats'!B:B,'Base stats'!AL:AL)=0,BI364="None",_xlfn.XLOOKUP(_xlfn.XLOOKUP(B364,'Base stats'!B:B,'Base stats'!E:E),Groups!A:A,Groups!B:B)=0), (18 + BR364 * 2.7) * 0.5,
    IF(AND(_xlfn.XLOOKUP(B364,'Base stats'!B:B,'Base stats'!AL:AL)=0,OR(AO364&lt;0.55,AND(BI364="Intermediate",_xlfn.XLOOKUP(_xlfn.XLOOKUP(B364,'Base stats'!B:B,'Base stats'!E:E),Groups!A:A,Groups!B:B)&lt;2))), (18 + BR364 * 2.7),
      IF(OR(BI364="Advanced",_xlfn.XLOOKUP(B364,'Base stats'!B:B,'Base stats'!AL:AL)=1,_xlfn.XLOOKUP(_xlfn.XLOOKUP(B364,'Base stats'!B:B,'Base stats'!E:E),Groups!A:A,Groups!B:B)=2), (18 + BR364 * 2.7) + 250, (18 + BR364 * 2.7))
    )
  ))
  + AO364 * 80
  + IF(COUNTIF(EggMilk!K$2:K$998, A364) &gt; 0, 125, 0)
  + IF(COUNTIF(EggMilk!P$2:P$998, A364) &gt; 0, 90, 0)
  + IF(COUNTIF(EggMilk!A$2:A$998, A364) &gt; 0, 90, 0)
)
* (0.8 + 0.4 * J364)
* 0.75,25)</f>
        <v>1500</v>
      </c>
      <c r="I364" s="2">
        <f>MROUND(ROUNDDOWN(_xlfn.XLOOKUP(B364,'Base stats'!B:B,'Base stats'!L:L)/3.6/(23.3/11),1),0.5)</f>
        <v>5</v>
      </c>
      <c r="J364" s="2">
        <f>IF(OR(_xlfn.XLOOKUP(B364,'Base stats'!B:B,'Base stats'!AB:AB)=1,_xlfn.XLOOKUP(_xlfn.XLOOKUP(B364,'Base stats'!B:B,'Base stats'!E:E),Groups!A:A,Groups!C:C)="Untamable"),1,IF(_xlfn.XLOOKUP(B364,'Base stats'!B:B,'Base stats'!AL:AL)=1,0.99,MIN(MROUND((1-0.6282*EXP(-0.459*AO364))*_xlfn.XLOOKUP(_xlfn.XLOOKUP(B364,'Base stats'!B:B,'Base stats'!E:E),Groups!A:A,Groups!C:C)*IF(_xlfn.XLOOKUP(B364,'Base stats'!B:B,'Base stats'!O:O)=1,0.5,IF(_xlfn.XLOOKUP(B364,'Base stats'!B:B,'Base stats'!O:O)=2,0,1)),0.05),IF(AO364&gt;3.5,0.985,0.95))))</f>
        <v>0.9</v>
      </c>
      <c r="K364" s="2">
        <f>ROUNDUP(AO364*_xlfn.XLOOKUP(_xlfn.XLOOKUP(B364,'Base stats'!B:B,'Base stats'!E:E),Groups!A:A,Groups!E:E),0)</f>
        <v>4</v>
      </c>
      <c r="L364" s="2">
        <f>IF(OR(_xlfn.XLOOKUP(_xlfn.XLOOKUP(B364,'Base stats'!B:B,'Base stats'!E:E),Groups!A:A,Groups!F:F)=2,ISNUMBER(SEARCH("SeaIce",BX364)),ISNUMBER(SEARCH("IceSheet",BX364))),-50,IF(OR(ISNUMBER(SEARCH("GlacialPlain",BX364)),ISNUMBER(SEARCH("Tundra",BX364))),-40,IF(OR(ISNUMBER(SEARCH("Alpine",BX364)),ISNUMBER(SEARCH("BorealForest",BX364)),ISNUMBER(SEARCH("ColdBog",BX364))),-30,IF(OR(ISNUMBER(SEARCH("TemperateForest",BX364)),ISNUMBER(SEARCH("TemperateSwamp",BX364))),-20,IF(_xlfn.XLOOKUP(_xlfn.XLOOKUP(B364,'Base stats'!B:B,'Base stats'!E:E),Groups!A:A,Groups!F:F)=1,-15,IF(OR(ISNUMBER(SEARCH("Desert",BX364)),ISNUMBER(SEARCH("ExtremeDesert",BX364))),-10,IF(OR(ISNUMBER(SEARCH("Grasslands",BX364)),ISNUMBER(SEARCH("TropicalRainforest",BX364)),ISNUMBER(SEARCH("TropicalSwamp",BX364))),10,0)))))))-IF(CC364="False",MIN(IFERROR(MAX(MROUND(LOG10(_xlfn.XLOOKUP(B364,'Base stats'!B:B,'Base stats'!C:C)^(2/3))*10,5),5),5),30))-_xlfn.XLOOKUP(B364,'Base stats'!B:B,'Base stats'!P:P)+IF(CC364="True",5,0)</f>
        <v>-10</v>
      </c>
      <c r="M364" s="2">
        <f>IF(OR(_xlfn.XLOOKUP(_xlfn.XLOOKUP(B364,'Base stats'!B:B,'Base stats'!E:E),Groups!A:A,Groups!G:G)=2,ISNUMBER(SEARCH("Desert",BX364)),ISNUMBER(SEARCH("ExtremeDesert",BX364)),ISNUMBER(SEARCH("LavaField",BX364))),50,IF(ISNUMBER(SEARCH("Grasslands",BX364)),45,IF(OR(_xlfn.XLOOKUP(_xlfn.XLOOKUP(B364,'Base stats'!B:B,'Base stats'!E:E),Groups!A:A,Groups!G:G)=1,ISNUMBER(SEARCH("TropicalRainforest",BX364)),ISNUMBER(SEARCH("TropicalSwamp",BX364))),40,IF(OR(ISNUMBER(SEARCH("TemperateForest",BX364)),ISNUMBER(SEARCH("TemperateSwamp",BX364))),35,IF(OR(ISNUMBER(SEARCH("Alpine",BX364)),ISNUMBER(SEARCH("BorealForest",BX364)),ISNUMBER(SEARCH("ColdBog",BX364))),30,IF(ISNUMBER(OR(ISNUMBER(SEARCH("GlacialPlain",BX364)),SEARCH("Tundra",BX364))),25,IF(OR(ISNUMBER(SEARCH("SeaIce",BX364)),ISNUMBER(SEARCH("IceSheet",BX364)),ISNUMBER(SEARCH("TropicalSwamp",BX364))),10,35)))))))+_xlfn.XLOOKUP(B364,'Base stats'!B:B,'Base stats'!Q:Q)</f>
        <v>50</v>
      </c>
      <c r="N364" s="8" t="str">
        <f>IF(
_xlfn.XLOOKUP(
_xlfn.XLOOKUP(B364,'Base stats'!B:B,'Base stats'!E:E),
Groups!A:A,
Groups!L:L
)=1,
MIN(
MROUND(
IF(
_xlfn.XLOOKUP(B364,'Animals CE'!B:B,'Animals CE'!Z:Z)&lt;=1.5,
_xlfn.XLOOKUP(B364,'Animals CE'!B:B,'Animals CE'!Z:Z)/2+0.05,
0.8+
(_xlfn.XLOOKUP(B364,'Animals CE'!B:B,'Animals CE'!Z:Z)-1.5)
*0.02
),
0.05
),
200%
),
"No"
)</f>
        <v>No</v>
      </c>
      <c r="O364" s="8" t="str">
        <f>IF(
_xlfn.XLOOKUP(
_xlfn.XLOOKUP(B364,'Base stats'!B:B,'Base stats'!E:E),
Groups!A:A,
Groups!L:L
)=1,
MIN(
MROUND(
IF(
_xlfn.XLOOKUP(B364,'Animals CE'!B:B,'Animals CE'!AA:AA)&lt;=1.5,
_xlfn.XLOOKUP(B364,'Animals CE'!B:B,'Animals CE'!AA:AA)/2+0.05,
0.8+
(_xlfn.XLOOKUP(B364,'Animals CE'!B:B,'Animals CE'!AA:AA)-1.5)
*0.02
),
0.05
),
200%
),
"No"
)</f>
        <v>No</v>
      </c>
      <c r="P364" s="2" t="str">
        <f>_xlfn.XLOOKUP(B364,'Base stats'!B:B,'Base stats'!R:R)</f>
        <v>Standard</v>
      </c>
      <c r="Q364" s="13">
        <f>MROUND((LOG10(_xlfn.XLOOKUP(B364,'Base stats'!B:B,'Base stats'!AR:AR))*(AO364^0.5)+(_xlfn.XLOOKUP(B364,'Base stats'!B:B,'Base stats'!AR:AR)/1000)^(2/3)+_xlfn.XLOOKUP(B364,'Base stats'!B:B,'Base stats'!BA:BA)/2)+0.5,0.5)</f>
        <v>26</v>
      </c>
      <c r="R364" s="7">
        <f>IF(Q364="No","No",MAX(1,MROUND(_xlfn.XLOOKUP(B364,'Base stats'!B:B,'Base stats'!C:C)^0.165,0.05)))</f>
        <v>3.5500000000000003</v>
      </c>
      <c r="S364" s="13" t="str">
        <f>IF(_xlfn.XLOOKUP(_xlfn.XLOOKUP(B364,'Base stats'!B:B,'Base stats'!E:E),Groups!A:A,Groups!P:P)=0,"No",MROUND((LOG10(_xlfn.XLOOKUP(B364,'Base stats'!B:B,'Base stats'!AS:AS))*(AO364^0.5)+(_xlfn.XLOOKUP(B364,'Base stats'!B:B,'Base stats'!AS:AS)/1000)^(2/3)+_xlfn.XLOOKUP(B364,'Base stats'!B:B,'Base stats'!BA:BA))+_xlfn.XLOOKUP(B364,'Base stats'!B:B,'Base stats'!AY:AY)+0.5,0.5))</f>
        <v>No</v>
      </c>
      <c r="T364" s="7" t="str">
        <f>IF(S364="No","No",MAX(_xlfn.XLOOKUP(_xlfn.XLOOKUP(B364,'Base stats'!B:B,'Base stats'!E:E),Groups!A:A,Groups!Q:Q),MROUND(_xlfn.XLOOKUP(_xlfn.XLOOKUP(B364,'Base stats'!B:B,'Base stats'!E:E),Groups!A:A,Groups!Q:Q)*_xlfn.XLOOKUP(B364,'Base stats'!B:B,'Base stats'!C:C)^0.165,0.05)))</f>
        <v>No</v>
      </c>
      <c r="U364" s="7" t="str">
        <f>IF(S364="No","No",_xlfn.XLOOKUP(_xlfn.XLOOKUP(B364,'Base stats'!B:B,'Base stats'!E:E),Groups!A:A,Groups!R:R))</f>
        <v>No</v>
      </c>
      <c r="V364" s="7" t="str">
        <f>IF(S364="No","No",_xlfn.XLOOKUP(_xlfn.XLOOKUP(B364,'Base stats'!B:B,'Base stats'!E:E),Groups!A:A,Groups!S:S))</f>
        <v>No</v>
      </c>
      <c r="W364" s="7" t="str">
        <f>IF(S364="No","No",_xlfn.XLOOKUP(_xlfn.XLOOKUP(B364,'Base stats'!B:B,'Base stats'!E:E),Groups!A:A,Groups!T:T))</f>
        <v>No</v>
      </c>
      <c r="X364" s="13" t="str">
        <f>IF(_xlfn.XLOOKUP(B364,'Base stats'!B:B,'Base stats'!W:W)="No","No",MROUND((LOG10(_xlfn.XLOOKUP(B364,'Base stats'!B:B,'Base stats'!AU:AU))*(AO364^0.5)+(_xlfn.XLOOKUP(B364,'Base stats'!B:B,'Base stats'!AU:AU)/1000)^(2/3)+_xlfn.XLOOKUP(B364,'Base stats'!B:B,'Base stats'!AZ:AZ))+0.5+IF(_xlfn.XLOOKUP(_xlfn.XLOOKUP(B364,'Base stats'!B:B,'Base stats'!E:E),Groups!A:A,Groups!U:U)&lt;&gt;3,_xlfn.XLOOKUP(B364,'Base stats'!B:B,'Base stats'!BA:BA),0),0.5))</f>
        <v>No</v>
      </c>
      <c r="Y364" s="7" t="str">
        <f>IF(X364="No","No",MAX(_xlfn.XLOOKUP(_xlfn.XLOOKUP(B364,'Base stats'!B:B,'Base stats'!E:E),Groups!A:A,Groups!V:V),MROUND(_xlfn.XLOOKUP(_xlfn.XLOOKUP(B364,'Base stats'!B:B,'Base stats'!E:E),Groups!A:A,Groups!V:V)*_xlfn.XLOOKUP(B364,'Base stats'!B:B,'Base stats'!C:C)^0.165,0.05)))</f>
        <v>No</v>
      </c>
      <c r="Z364" s="7" t="str">
        <f>IF(X364="No","No",_xlfn.XLOOKUP(_xlfn.XLOOKUP(B364,'Base stats'!B:B,'Base stats'!E:E),Groups!A:A,Groups!W:W))</f>
        <v>No</v>
      </c>
      <c r="AA364" s="7" t="str">
        <f>IF(X364="No","No",_xlfn.XLOOKUP(_xlfn.XLOOKUP(B364,'Base stats'!B:B,'Base stats'!E:E),Groups!A:A,Groups!X:X))</f>
        <v>No</v>
      </c>
      <c r="AB364" s="7" t="str">
        <f>IF(X364="No","No",_xlfn.XLOOKUP(_xlfn.XLOOKUP(B364,'Base stats'!B:B,'Base stats'!E:E),Groups!A:A,Groups!Y:Y))</f>
        <v>No</v>
      </c>
      <c r="AC364" s="7" t="str">
        <f>_xlfn.XLOOKUP(Animals!B364,'Base stats'!B:B,'Base stats'!X:X)</f>
        <v>False</v>
      </c>
      <c r="AD364" s="13">
        <f>IF(_xlfn.XLOOKUP(B364,'Base stats'!B:B,'Base stats'!AT:AT)="No","No",MROUND((LOG10(_xlfn.XLOOKUP(B364,'Base stats'!B:B,'Base stats'!AT:AT))*(AO364^0.75)+(_xlfn.XLOOKUP(B364,'Base stats'!B:B,'Base stats'!AT:AT)/1000)^(2/3)+_xlfn.XLOOKUP(B364,'Base stats'!B:B,'Base stats'!AX:AX)+_xlfn.XLOOKUP(B364,'Base stats'!B:B,'Base stats'!BA:BA))+0.5,0.5))</f>
        <v>30.5</v>
      </c>
      <c r="AE364" s="7">
        <f>IF(AD364="No","No",MAX(_xlfn.XLOOKUP(_xlfn.XLOOKUP(B364,'Base stats'!B:B,'Base stats'!E:E),Groups!A:A,Groups!Z:Z),MROUND(_xlfn.XLOOKUP(_xlfn.XLOOKUP(B364,'Base stats'!B:B,'Base stats'!E:E),Groups!A:A,Groups!Z:Z)*_xlfn.XLOOKUP(B364,'Base stats'!B:B,'Base stats'!C:C)^0.165,0.05)))</f>
        <v>3.5500000000000003</v>
      </c>
      <c r="AF364" s="7" t="str">
        <f>IF(AD364="No","No",_xlfn.XLOOKUP(_xlfn.XLOOKUP(B364,'Base stats'!B:B,'Base stats'!E:E),Groups!A:A,Groups!AA:AA))</f>
        <v>Teeth</v>
      </c>
      <c r="AG364" s="7" t="str">
        <f>IF(AD364="No","No",_xlfn.XLOOKUP(_xlfn.XLOOKUP(B364,'Base stats'!B:B,'Base stats'!E:E),Groups!A:A,Groups!AB:AB))</f>
        <v>beak</v>
      </c>
      <c r="AH364" s="7" t="str">
        <f>IF(AD364="No","No",_xlfn.XLOOKUP(_xlfn.XLOOKUP(B364,'Base stats'!B:B,'Base stats'!E:E),Groups!A:A,Groups!AC:AC))</f>
        <v>Bite</v>
      </c>
      <c r="AI364" s="13">
        <f>IF(_xlfn.XLOOKUP(_xlfn.XLOOKUP(B364,'Base stats'!B:B,'Base stats'!E:E),Groups!A:A,Groups!AD:AD)=0,"No",MROUND((LOG10(_xlfn.XLOOKUP(B364,'Base stats'!B:B,'Base stats'!AS:AS))*(AO364^0.75)+(_xlfn.XLOOKUP(B364,'Base stats'!B:B,'Base stats'!AS:AS)/1000)^(2/3)+_xlfn.XLOOKUP(B364,'Base stats'!B:B,'Base stats'!AY:AY)+_xlfn.XLOOKUP(B364,'Base stats'!B:B,'Base stats'!BA:BA))+0.5,0.5))</f>
        <v>38.5</v>
      </c>
      <c r="AJ364" s="7">
        <f>IF(AI364="No","No",MAX(_xlfn.XLOOKUP(_xlfn.XLOOKUP(B364,'Base stats'!B:B,'Base stats'!E:E),Groups!A:A,Groups!AE:AE),MROUND(_xlfn.XLOOKUP(_xlfn.XLOOKUP(B364,'Base stats'!B:B,'Base stats'!E:E),Groups!A:A,Groups!AE:AE)*IF(_xlfn.XLOOKUP(_xlfn.XLOOKUP(B364,'Base stats'!B:B,'Base stats'!E:E),Groups!A:A,Groups!AJ:AJ)="Photonozoa",0.6,1)*_xlfn.XLOOKUP(B364,'Base stats'!B:B,'Base stats'!C:C)^0.165,0.05)))</f>
        <v>2.6500000000000004</v>
      </c>
      <c r="AK364" s="7" t="str">
        <f>IF(AI364="No","No",_xlfn.XLOOKUP(_xlfn.XLOOKUP(B364,'Base stats'!B:B,'Base stats'!E:E),Groups!A:A,Groups!AF:AF))</f>
        <v>FrontLeftClaws, FrontRightClaws</v>
      </c>
      <c r="AL364" s="7" t="str">
        <f>IF(AI364="No","No",_xlfn.XLOOKUP(_xlfn.XLOOKUP(B364,'Base stats'!B:B,'Base stats'!E:E),Groups!A:A,Groups!AG:AG))</f>
        <v>left claw, right claw</v>
      </c>
      <c r="AM364" s="7" t="str">
        <f>IF(AI364="No","No",_xlfn.XLOOKUP(_xlfn.XLOOKUP(B364,'Base stats'!B:B,'Base stats'!E:E),Groups!A:A,Groups!AH:AH))</f>
        <v>Scratch</v>
      </c>
      <c r="AN364" s="2" t="str">
        <f t="shared" si="35"/>
        <v>No</v>
      </c>
      <c r="AO364" s="2">
        <f>MROUND(IF(AND(_xlfn.XLOOKUP(B364,'Base stats'!B:B,'Base stats'!C:C)&gt;=0.5,_xlfn.XLOOKUP(B364,'Base stats'!B:B,'Base stats'!C:C)&lt;=0.8),
IF(_xlfn.XLOOKUP(B364,'Base stats'!B:B,'Base stats'!C:C)&lt;0.1,0.05,IF(_xlfn.XLOOKUP(B364,'Base stats'!B:B,'Base stats'!C:C)&lt;=70,(_xlfn.XLOOKUP(B364,'Base stats'!B:B,'Base stats'!C:C)/70)^0.426489913056526,IF(_xlfn.XLOOKUP(B364,'Base stats'!B:B,'Base stats'!C:C)&lt;=400,(_xlfn.XLOOKUP(B364,'Base stats'!B:B,'Base stats'!C:C)/70)^0.572811455315093,IF(_xlfn.XLOOKUP(B364,'Base stats'!B:B,'Base stats'!C:C)&lt;=2000,2.71391647193063*(_xlfn.XLOOKUP(B364,'Base stats'!B:B,'Base stats'!C:C)/400)^0.252459582904293,3.74314280240376*(_xlfn.XLOOKUP(B364,'Base stats'!B:B,'Base stats'!C:C)/2000)^0.357012633876913)))),
IF(_xlfn.XLOOKUP(B364,'Base stats'!B:B,'Base stats'!C:C)&lt;0.1,0.05,IF(_xlfn.XLOOKUP(B364,'Base stats'!B:B,'Base stats'!C:C)&lt;0.4,0.1,IF(_xlfn.XLOOKUP(B364,'Base stats'!B:B,'Base stats'!C:C)&lt;=70,(_xlfn.XLOOKUP(B364,'Base stats'!B:B,'Base stats'!C:C)/70)^0.445823913056526,IF(_xlfn.XLOOKUP(B364,'Base stats'!B:B,'Base stats'!C:C)&lt;=400,(_xlfn.XLOOKUP(B364,'Base stats'!B:B,'Base stats'!C:C)/70)^0.572811455315093,IF(_xlfn.XLOOKUP(B364,'Base stats'!B:B,'Base stats'!C:C)&lt;=2000,2.71391647193063*(_xlfn.XLOOKUP(B364,'Base stats'!B:B,'Base stats'!C:C)/400)^0.252459582904293,3.74314280240376*(_xlfn.XLOOKUP(B364,'Base stats'!B:B,'Base stats'!C:C)/2000)^0.357012633876913)))))),
IF(_xlfn.XLOOKUP(B364,'Base stats'!B:B,'Base stats'!C:C)&lt;0.1,0.05,IF(_xlfn.XLOOKUP(B364,'Base stats'!B:B,'Base stats'!C:C)&lt;=100,0.05,IF(_xlfn.XLOOKUP(B364,'Base stats'!B:B,'Base stats'!C:C)&lt;=250,0.1,IF(_xlfn.XLOOKUP(B364,'Base stats'!B:B,'Base stats'!C:C)&lt;=4000,0.25,0.5)))))</f>
        <v>3.75</v>
      </c>
      <c r="AP364" s="8">
        <f>MROUND(AO364*_xlfn.XLOOKUP(_xlfn.XLOOKUP(B364,'Base stats'!B:B,'Base stats'!E:E),Groups!A:A,Groups!AI:AI)*_xlfn.XLOOKUP(B364,'Base stats'!B:B,'Base stats'!Z:Z),0.05)</f>
        <v>4.5</v>
      </c>
      <c r="AQ364" s="8">
        <f>MAX(0.01,MROUND(IF(CC364="True",0.196*(AO364*100*1000)^0.889,IF(_xlfn.XLOOKUP(_xlfn.XLOOKUP(B364,'Base stats'!B:B,'Base stats'!E:E),Groups!A:A,Groups!AJ:AJ)="Bird",10.5*(AO364*100*1000)^0.681,4.82*(AO364*100*1000)^0.734))/(4.82*(1*100*1000)^0.734)/IF(AO364&lt;3.5,2,IF(AO364=3.5,1.5,1.25))*(1+0.132282374779864/(AO364^0.994035016789033+0.00905238001496948)),0.05))</f>
        <v>2.4000000000000004</v>
      </c>
      <c r="AR364" s="9">
        <f>IFERROR(MROUND(_xlfn.XLOOKUP(B364,'Base stats'!B:B,'Base stats'!H:H)/IF(_xlfn.XLOOKUP(B364,'Base stats'!B:B,'Base stats'!I:I)&lt;&gt;1,(122.5/70),1.2),IF(_xlfn.XLOOKUP(B364,'Base stats'!B:B,'Base stats'!H:H)&gt;=30,5,IF(_xlfn.XLOOKUP(B364,'Base stats'!B:B,'Base stats'!H:H)&gt;=15,3,IF(_xlfn.XLOOKUP(B364,'Base stats'!B:B,'Base stats'!H:H)&gt;=10,2,1)))),"Immortal")</f>
        <v>21</v>
      </c>
      <c r="AS364" s="35" t="str">
        <f>IFERROR(IF(OR(_xlfn.XLOOKUP(B364,'Base stats'!B:B,'Base stats'!F:F)="Atypical reproduction",_xlfn.XLOOKUP(B364,'Base stats'!B:B,'Base stats'!F:F)="Lay eggs"),"Lay eggs",MIN(20,MAX(5.5,ROUND(((_xlfn.XLOOKUP(B364,'Base stats'!B:B,'Base stats'!F:F)-25)*(14.5/615) + 5.5)*2,0)/2))),"Unknown")</f>
        <v>Lay eggs</v>
      </c>
      <c r="AT364" s="8">
        <f>IF(_xlfn.XLOOKUP(B364,'Base stats'!B:B,'Base stats'!G:G)="Atypical reproduction","No",IFERROR(MAX(IF(_xlfn.XLOOKUP(B364,'Base stats'!B:B,'Base stats'!G:G)&lt;0.5,0.2,0.3),MROUND(_xlfn.XLOOKUP(B364,'Base stats'!B:B,'Base stats'!G:G)/(365/60),0.2)),"Unknown"))</f>
        <v>1.6</v>
      </c>
      <c r="AU364" s="8">
        <f t="shared" si="36"/>
        <v>0.8</v>
      </c>
      <c r="AV364" s="8" t="str">
        <f>IFERROR(IFERROR(MROUND(_xlfn.XLOOKUP(B364,'Base stats'!B:B,'Base stats'!J:J),0.1),"Lay eggs"),"Cannot breed")</f>
        <v>Lay eggs</v>
      </c>
      <c r="AW364" s="2" t="str">
        <f t="shared" si="37"/>
        <v>true</v>
      </c>
      <c r="AX364" s="2" t="str">
        <f>IF(_xlfn.XLOOKUP(_xlfn.XLOOKUP(Animals!B364,'Base stats'!B:B,'Base stats'!E:E),Groups!A:A,Groups!AK:AK)=1,"true","false")</f>
        <v>false</v>
      </c>
      <c r="AY364" s="25" t="str">
        <f>IF(_xlfn.XLOOKUP(B364,'Base stats'!B:B,'Base stats'!Y:Y)="Liquor","Liquor, CarnivoreAnimalStrict",IF(AND(_xlfn.XLOOKUP(B364,'Base stats'!B:B,'Base stats'!Y:Y)="Carnivore",_xlfn.XLOOKUP(_xlfn.XLOOKUP(B364,'Base stats'!B:B,'Base stats'!E:E),Groups!A:A,Groups!AJ:AJ)="Photonozoa"),"CarnivoreAnimalStrict, OvivoreAnimal",IF(_xlfn.XLOOKUP(B364,'Base stats'!B:B,'Base stats'!Y:Y)="Carnivore","CarnivoreAnimal, OvivoreAnimal",IF(_xlfn.XLOOKUP(B364,'Base stats'!B:B,'Base stats'!Y:Y)="Dendrovore","VegetarianRoughAnimal, DendrovoreAnimal",IF(_xlfn.XLOOKUP(B364,'Base stats'!B:B,'Base stats'!Y:Y)="Herbivore","VegetarianRoughAnimal",IF(_xlfn.XLOOKUP(B364,'Base stats'!B:B,'Base stats'!Y:Y)="OmnivoreRough","OmnivoreRoughAnimal, OvivoreAnimal","OmnivoreAnimal, OvivoreAnimal"))))))</f>
        <v>OmnivoreRoughAnimal, OvivoreAnimal</v>
      </c>
      <c r="AZ364" s="2" t="str">
        <f>IF(_xlfn.XLOOKUP(_xlfn.XLOOKUP(B364,'Base stats'!B:B,'Base stats'!E:E),Groups!A:A,Groups!D:D)=1,MROUND((1-J364)*5+1,2)*IF(J364&lt;=0.4,2,1),"No")</f>
        <v>No</v>
      </c>
      <c r="BA364" s="2" t="str">
        <f>IF(AND(_xlfn.XLOOKUP(B364,'Base stats'!B:B,'Base stats'!AH:AH)="&lt;li&gt;Seal&lt;/li&gt;",G364="Odyssey"),"&lt;li&gt;AEXP_Seal&lt;/li&gt;",_xlfn.XLOOKUP(B364,'Base stats'!B:B,'Base stats'!AH:AH))</f>
        <v>No</v>
      </c>
      <c r="BB364" s="2" t="str">
        <f>_xlfn.XLOOKUP(B364,'Base stats'!B:B,'Base stats'!AG:AG)</f>
        <v>Leather_DinosaurHide</v>
      </c>
      <c r="BC364" s="23" t="str">
        <f>_xlfn.XLOOKUP(_xlfn.XLOOKUP(B364,'Base stats'!B:B,'Base stats'!E:E),Groups!A:A,Groups!AL:AL)</f>
        <v>Theropod</v>
      </c>
      <c r="BD364" s="23">
        <f>MIN(1,MROUND(IF(AND(AO364&lt;0.5,_xlfn.XLOOKUP(B364,'Base stats'!B:B,'Base stats'!AA:AA)=0),0,IF(OR(_xlfn.XLOOKUP(Animals!B364,'Base stats'!B:B,'Base stats'!O:O)=2,_xlfn.XLOOKUP(_xlfn.XLOOKUP(B364,'Base stats'!B:B,'Base stats'!E:E),Groups!A:A,Groups!AN:AN)=0),0,_xlfn.XLOOKUP(_xlfn.XLOOKUP(B364,'Base stats'!B:B,'Base stats'!E:E),Groups!A:A,Groups!AN:AN)/IF(_xlfn.XLOOKUP(Animals!B364,'Base stats'!B:B,'Base stats'!O:O)=1,2,1)))+_xlfn.XLOOKUP(B364,'Base stats'!B:B,'Base stats'!AC:AC),0.005))</f>
        <v>0.1</v>
      </c>
      <c r="BE364" s="23">
        <f>MIN(1,MROUND(IF(AND(AO364&lt;0.5,_xlfn.XLOOKUP(B364,'Base stats'!B:B,'Base stats'!AA:AA)=0),0,IF(_xlfn.XLOOKUP(_xlfn.XLOOKUP(B364,'Base stats'!B:B,'Base stats'!E:E),Groups!A:A,Groups!AO:AO)=0,0,_xlfn.XLOOKUP(_xlfn.XLOOKUP(B364,'Base stats'!B:B,'Base stats'!E:E),Groups!A:A,Groups!AO:AO)/IF(_xlfn.XLOOKUP(Animals!B364,'Base stats'!B:B,'Base stats'!O:O)=2,3,1)))+_xlfn.XLOOKUP(B364,'Base stats'!B:B,'Base stats'!AD:AD),0.005))</f>
        <v>0.3</v>
      </c>
      <c r="BF364" s="2" t="str">
        <f>IF(J364&gt;0.3,"No",_xlfn.XLOOKUP(_xlfn.XLOOKUP(Animals!B364,'Base stats'!B:B,'Base stats'!E:E),Groups!A:A,Groups!AP:AP))</f>
        <v>No</v>
      </c>
      <c r="BG364" s="2" t="str">
        <f>IF(AND(J364&lt;=0.65,_xlfn.XLOOKUP(_xlfn.XLOOKUP(Animals!B364,'Base stats'!B:B,'Base stats'!E:E),Groups!A:A,Groups!AP:AP)&lt;&gt;"No",_xlfn.XLOOKUP(_xlfn.XLOOKUP(B364,'Base stats'!B:B,'Base stats'!E:E),Groups!A:A,Groups!D:D)=0),MROUND((80/3)*IF(_xlfn.XLOOKUP(B364,'Base stats'!B:B,'Base stats'!O:O)=2,0.2,AO364) + 24*(1-IF(BF364="No",0,BF364)) + 16/3, 12),"No")</f>
        <v>No</v>
      </c>
      <c r="BH364" s="2">
        <f>IF(AND(_xlfn.XLOOKUP(_xlfn.XLOOKUP(B364,'Base stats'!B:B,'Base stats'!E:E),Groups!A:A,Groups!AQ:AQ)=1,AO364&lt;=0.35),8,12)</f>
        <v>12</v>
      </c>
      <c r="BI364" s="2" t="str">
        <f>IF(_xlfn.XLOOKUP(_xlfn.XLOOKUP(B364,'Base stats'!B:B,'Base stats'!E:E),Groups!A:A,Groups!D:D)=0,_xlfn.XLOOKUP(_xlfn.XLOOKUP(B364,'Base stats'!B:B,'Base stats'!E:E),Groups!A:A,Groups!AR:AR),"None")</f>
        <v>Intermediate</v>
      </c>
      <c r="BJ364" s="2" t="str">
        <f>IF(AND(_xlfn.XLOOKUP(_xlfn.XLOOKUP(B364,'Base stats'!B:B,'Base stats'!E:E),Groups!A:A,Groups!AS:AS)=1,OR(_xlfn.XLOOKUP(B364,'Base stats'!B:B,'Base stats'!Y:Y)="Carnivore",_xlfn.XLOOKUP(B364,'Base stats'!B:B,'Base stats'!Y:Y)="Omnivore")),"true","false")</f>
        <v>false</v>
      </c>
      <c r="BK364" s="2" t="str">
        <f>IF(BJ364="true",MROUND(IF(AND(AO364&gt;0.5,OR(_xlfn.XLOOKUP(_xlfn.XLOOKUP(B364,'Base stats'!B:B,'Base stats'!E:E),Groups!A:A,Groups!AJ:AJ)="Photonozoa",_xlfn.XLOOKUP(_xlfn.XLOOKUP(B364,'Base stats'!B:B,'Base stats'!E:E),Groups!A:A,Groups!AJ:AJ)="Mammal")),Animals!AO364*1.75*IF(AW364="true",1.5,1),IF(AO364&lt;0.5,Animals!AO364*0.5,Animals!AO364)),IF(AO364&gt;2,0.5,IF(AO364&gt;0.5,0.25,0.1))),"No")</f>
        <v>No</v>
      </c>
      <c r="BL364" s="2">
        <f t="shared" si="38"/>
        <v>1</v>
      </c>
      <c r="BM364" s="25" t="str">
        <f>IF(_xlfn.XLOOKUP(B364,'Base stats'!B:B,'Base stats'!AN:AN)="Standard","No",MROUND((_xlfn.XLOOKUP(B364,'Base stats'!B:B,'Base stats'!AN:AN)/3.6)/I364,0.1))</f>
        <v>No</v>
      </c>
      <c r="BN364" s="25" t="str">
        <f t="shared" si="39"/>
        <v>false</v>
      </c>
      <c r="BO364" s="25" t="str">
        <f>IF(AND(OR(_xlfn.XLOOKUP(B364,'Base stats'!B:B,'Base stats'!Y:Y)="Carnivore",_xlfn.XLOOKUP(B364,'Base stats'!B:B,'Base stats'!Y:Y)="Omnivore",_xlfn.XLOOKUP(B364,'Base stats'!B:B,'Base stats'!Y:Y)="OmnivoreRough"),_xlfn.XLOOKUP(_xlfn.XLOOKUP(B364,'Base stats'!B:B,'Base stats'!E:E),Groups!A:A,Groups!AT:AT)=1),"true","false")</f>
        <v>false</v>
      </c>
      <c r="BP364" s="25" t="str" cm="1">
        <f t="array" ref="BP364">IF(
  _xlfn.TEXTJOIN(", ",TRUE,
    IF(AND(BJ364="true",AO364&gt;0.5,BI364&lt;&gt;"None"),"AttackTarget",""),
    IF(AND(_xlfn.XLOOKUP(_xlfn.XLOOKUP(B364,'Base stats'!B:B,'Base stats'!E:E),Groups!A:A,Groups!AJ:AJ="Mammal"),OR(_xlfn.XLOOKUP(B364,'Base stats'!B:B,'Base stats'!Y:Y)="Omnivore",_xlfn.XLOOKUP(B364,'Base stats'!B:B,'Base stats'!Y:Y)="OmnivoreRough")),"Forage",""),
    IF(BG364&lt;=36,"Comfort",""),
    IF(_xlfn.XLOOKUP(B364,'Base stats'!B:B,'Base stats'!AE:AE)&lt;&gt;"No",_xlfn.XLOOKUP(B364,'Base stats'!B:B,'Base stats'!AE:AE),"")
  ) = "",
  "No",
  _xlfn.TEXTJOIN(", ",TRUE,
    IF(AND(BJ364="true",AO364&gt;0.5,BI364&lt;&gt;"None"),"AttackTarget",""),
    IF(AND(_xlfn.XLOOKUP(_xlfn.XLOOKUP(B364,'Base stats'!B:B,'Base stats'!E:E),Groups!A:A,Groups!AJ:AJ="Mammal"),OR(_xlfn.XLOOKUP(B364,'Base stats'!B:B,'Base stats'!Y:Y)="Omnivore",_xlfn.XLOOKUP(B364,'Base stats'!B:B,'Base stats'!Y:Y)="OmnivoreRough")),"Forage",""),
    IF(BG364&lt;=36,"Comfort",""),
    IF(_xlfn.XLOOKUP(B364,'Base stats'!B:B,'Base stats'!AE:AE)&lt;&gt;"No",_xlfn.XLOOKUP(B364,'Base stats'!B:B,'Base stats'!AE:AE),"")
  )
)</f>
        <v>No</v>
      </c>
      <c r="BQ364" s="25" t="str">
        <f>IF(
   AND(
      'Base stats'!AN364="Standard",_xlfn.XLOOKUP(_xlfn.XLOOKUP(B364,'Base stats'!B:B,'Base stats'!E:E),Groups!A:A,Groups!AU:AU)=0,
      OR(
      BO364="True"
      )
   ),
   10,
   IF(
       OR(BM364&lt;&gt;"No",_xlfn.XLOOKUP(_xlfn.XLOOKUP(B364,'Base stats'!B:B,'Base stats'!E:E),Groups!A:A,Groups!AU:AU)=1),
      1,
      "No"
   )
)</f>
        <v>No</v>
      </c>
      <c r="BR364" s="9">
        <f>MROUND((1 + ((0.2*IF(OR(Q364="No",R364="No",R364=0),0,Q364/R364)
+IF(OR(V364="No",S364="No",T364="No"),0,S364/T364*(LEN(V364)-LEN(SUBSTITUTE(V364,",",""))+1))
+IF(OR(X364="No",Y364="No"),0,X364/Y364)
+IF(OR(AD364="No",AE364="No"),0,AD364/AE364)
+IF(OR(AL364="No",AI364="No",AJ364="No"),0,AI364/AJ364*(LEN(AL364)-LEN(SUBSTITUTE(AL364,",",""))+1))
)/(0.2*IF(OR(Q364="No",R364="No",R364=0),0,1)
+IF(OR(V364="No",S364="No",T364="No"),0,LEN(V364)-LEN(SUBSTITUTE(V364,",",""))+1)
+IF(OR(X364="No",Y364="No"),0,1)
+IF(OR(AD364="No",AE364="No"),0,1)
+IF(OR(AL364="No",AI364="No",AJ364="No"),0,LEN(AL364)-LEN(SUBSTITUTE(AL364,",",""))+1))*62%)* 2)*(1 + (AP364 / (IF(_xlfn.XLOOKUP(_xlfn.XLOOKUP(B364,'Base stats'!B:B,'Base stats'!E:E),Groups!A:A,Groups!AJ:AJ)="Photonozoa",0.3,1)) + _xlfn.XLOOKUP(B364,'Base stats'!B:B,'Base stats'!AV:AV) * 1.8) * 2) * 2.5 + 10 + I364 * 2,5)+IF(_xlfn.XLOOKUP(B364,'Base stats'!B:B,'Base stats'!AK:AK)=1,50,0)</f>
        <v>425</v>
      </c>
      <c r="BS364" s="8">
        <f t="shared" si="40"/>
        <v>2.6500000000000004</v>
      </c>
      <c r="BT364" s="8" t="str">
        <f>_xlfn.XLOOKUP(B364,'Base stats'!B:B,'Base stats'!AF:AF)</f>
        <v>2~6</v>
      </c>
      <c r="BU364" s="2" t="str">
        <f>IF(AND(J364&lt;=0.95,OR(_xlfn.XLOOKUP(B364,'Base stats'!B:B,'Base stats'!AK:AK)=1,_xlfn.XLOOKUP(B364,'Base stats'!B:B,'Base stats'!Y:Y)="Carnivore",_xlfn.XLOOKUP(B364,'Base stats'!B:B,'Base stats'!Y:Y)="Omnivore",BE364&gt;0.1)),"true","false")</f>
        <v>true</v>
      </c>
      <c r="BV364" s="2" t="str">
        <f>IF(_xlfn.XLOOKUP(B364,'Base stats'!B:B,'Base stats'!AI:AI)=1,"true","false")</f>
        <v>false</v>
      </c>
      <c r="BW364" s="25" t="str">
        <f>IF(E364="BaseInsect","AnimalInsect",
IF(J364&gt;0.95,"AnimalExotic",
_xlfn.TEXTJOIN(", ",TRUE,
IF(OR(_xlfn.XLOOKUP(B364,'Base stats'!B:B,'Base stats'!AM:AM)=1,AND(_xlfn.XLOOKUP(B364,'Base stats'!B:B,'Base stats'!O:O)=0,_xlfn.XLOOKUP(_xlfn.XLOOKUP(B364,'Base stats'!B:B,'Base stats'!E:E),Groups!A:A,Groups!B:B)&gt;0)),"AnimalUncommon","AnimalCommon"),
IF(AND(_xlfn.XLOOKUP(B364,'Base stats'!B:B,'Base stats'!O:O)=2,_xlfn.XLOOKUP(_xlfn.XLOOKUP(B364,'Base stats'!B:B,'Base stats'!E:E),Groups!A:A,Groups!D:D)=0),"AnimalPet",IF(AND(_xlfn.XLOOKUP(B364,'Base stats'!B:B,'Base stats'!O:O)&lt;&gt;0,_xlfn.XLOOKUP(_xlfn.XLOOKUP(B364,'Base stats'!B:B,'Base stats'!E:E),Groups!A:A,Groups!D:D)&lt;&gt;0),"AnimalFarm","")),
IF(OR(_xlfn.XLOOKUP(B364,'Base stats'!B:B,'Base stats'!AK:AK)=1,AND(BI364&lt;&gt;"None",BR364&gt;=60),ISNUMBER(SEARCH("Attack target",BP364))),"AnimalFighter","")
)))</f>
        <v>AnimalUncommon, AnimalFighter</v>
      </c>
      <c r="BX364" s="25" t="str">
        <f>IF(G364="None",TRIM(
SUBSTITUTE(
IF(COUNTIF(Biomes!B$2:B$259,"="&amp;$C364)&gt;0,Biomes!B$1&amp;", ","")&amp;
IF(COUNTIF(Biomes!C$2:C$259,"="&amp;$C364)&gt;0,Biomes!C$1&amp;", ","")&amp;
IF(COUNTIF(Biomes!D$2:D$259,"="&amp;$C364)&gt;0,Biomes!D$1&amp;", ","")&amp;
IF(COUNTIF(Biomes!F$2:F$259,"="&amp;$C364)&gt;0,Biomes!F$1&amp;", ","")&amp;
IF(COUNTIF(Biomes!G$2:G$259,"="&amp;$C364)&gt;0,Biomes!G$1&amp;", ","")&amp;
IF(COUNTIF(Biomes!H$2:H$259,"="&amp;$C364)&gt;0,Biomes!H$1&amp;", ","")&amp;
IF(COUNTIF(Biomes!I$2:I$259,"="&amp;$C364)&gt;0,Biomes!I$1&amp;", ","")&amp;
IF(COUNTIF(Biomes!J$2:J$259,"="&amp;$C364)&gt;0,Biomes!J$1&amp;", ","")&amp;
IF(COUNTIF(Biomes!M$2:M$259,"="&amp;$C364)&gt;0,Biomes!M$1&amp;", ","")&amp;
IF(COUNTIF(Biomes!N$2:N$259,"="&amp;$C364)&gt;0,Biomes!N$1&amp;", ","")&amp;
IF(COUNTIF(Biomes!O$2:O$259,"="&amp;$C364)&gt;0,Biomes!O$1&amp;", ","")&amp;
IF(COUNTIF(Biomes!P$2:P$259,"="&amp;$C364)&gt;0,Biomes!P$1&amp;", ","")&amp;
IF(COUNTIF(Biomes!K$2:K$259,"="&amp;$C364)&gt;0,Biomes!K$1&amp;", ","")&amp;
IF(COUNTIF(Biomes!Q$3:Q$259,"="&amp;$C364)&gt;0,Biomes!Q$1&amp;", ","")&amp;
IF(COUNTIF(Biomes!L$2:L$259,"="&amp;$C364)&gt;0,Biomes!L$1&amp;", ","")&amp;
IF(COUNTIF(Biomes!E$2:E$259,"="&amp;$C364)&gt;0,Biomes!E$1&amp;", ","")&amp;IF(COUNTIF(Biomes!S$2:S$259,"="&amp;$C364)&gt;0,Biomes!S$1&amp;", ","")&amp;
IF(COUNTIF(Biomes!R$2:R$259,"="&amp;$C364)&gt;0,Biomes!R$1&amp;", ",""),", ","")
),_xlfn.XLOOKUP(B364,B:B,BX:BX))</f>
        <v>AridShrubland Grasslands LavaField</v>
      </c>
      <c r="BY364" s="25" t="str">
        <f>IF(_xlfn.XLOOKUP(B364,'Base stats'!B:B,'Base stats'!AJ:AJ)=1,"true","false")</f>
        <v>false</v>
      </c>
      <c r="BZ364" s="25">
        <f>IF(_xlfn.XLOOKUP(B364,'Base stats'!B:B,'Base stats'!N:N)=1,"No",MAX(0.001,MIN(MROUND(IF(AND(BJ364="True",CC364="False"),POWER(10,3.47*LOG10(_xlfn.XLOOKUP(B364,'Base stats'!B:B,'Base stats'!C:C)*1000)^-0.96),POWER(10,4.15*LOG10(_xlfn.XLOOKUP(B364,'Base stats'!B:B,'Base stats'!C:C)*1000)^-0.73))*IF(_xlfn.XLOOKUP(B364,'Base stats'!B:B,'Base stats'!AK:AK)=1,0.5,1)*IF(_xlfn.XLOOKUP(B364,'Base stats'!B:B,'Base stats'!AM:AM)=1,0.1,1)/100,IF(_xlfn.XLOOKUP(B364,'Base stats'!B:B,'Base stats'!AM:AM)=1,0.001,0.025)),0.5)))</f>
        <v>0.125</v>
      </c>
      <c r="CA364" s="25" t="str">
        <f>IF(P364="Standard","No",MAX(0.001,MIN(MROUND(IF(AND(BJ364="True",CC364="False"),POWER(10,3.47*LOG10(_xlfn.XLOOKUP(B364,'Base stats'!B:B,'Base stats'!C:C)*1000)^-0.96),POWER(10,4.15*LOG10(_xlfn.XLOOKUP(B364,'Base stats'!B:B,'Base stats'!C:C)*1000)^-0.73))*IF(_xlfn.XLOOKUP(B364,'Base stats'!B:B,'Base stats'!AM:AM)=1,0.1,1)*_xlfn.XLOOKUP(B364,'Base stats'!B:B,'Base stats'!R:R)/100,IF(_xlfn.XLOOKUP(B364,'Base stats'!B:B,'Base stats'!AM:AM)=1,0.001,0.025)),0.5)))</f>
        <v>No</v>
      </c>
      <c r="CB364" s="25" t="str">
        <f>IF(_xlfn.XLOOKUP(_xlfn.XLOOKUP(B364,'Base stats'!B:B,'Base stats'!E:E),Groups!A:A,Groups!AJ:AJ)="Mammal","True","False")</f>
        <v>False</v>
      </c>
      <c r="CC364" s="25" t="str">
        <f>IF(OR(_xlfn.XLOOKUP(_xlfn.XLOOKUP(B364,'Base stats'!B:B,'Base stats'!E:E),Groups!A:A,Groups!AJ:AJ)="Reptile",_xlfn.XLOOKUP(_xlfn.XLOOKUP(B364,'Base stats'!B:B,'Base stats'!E:E),Groups!A:A,Groups!AJ:AJ)="Amphibian",_xlfn.XLOOKUP(_xlfn.XLOOKUP(B364,'Base stats'!B:B,'Base stats'!E:E),Groups!A:A,Groups!AJ:AJ)="Invertebrate"),"True","False")</f>
        <v>False</v>
      </c>
      <c r="CD364" s="25" t="str">
        <f t="shared" si="41"/>
        <v>False</v>
      </c>
      <c r="CE364" s="25" t="str">
        <f>IF(_xlfn.XLOOKUP(_xlfn.XLOOKUP(B364,'Base stats'!B:B,'Base stats'!E:E),Groups!A:A,Groups!AX:AX),"True","False")</f>
        <v>False</v>
      </c>
      <c r="CF364" s="25" t="str">
        <f>IF(_xlfn.XLOOKUP(_xlfn.XLOOKUP(B364,'Base stats'!B:B,'Base stats'!E:E),Groups!A:A,Groups!AY:AY),"True","False")</f>
        <v>False</v>
      </c>
      <c r="CG364" s="25" t="str">
        <f>IF(_xlfn.XLOOKUP(_xlfn.XLOOKUP(B364,'Base stats'!B:B,'Base stats'!E:E),Groups!A:A,Groups!AW:AW),"True","False")</f>
        <v>False</v>
      </c>
      <c r="CH364" s="25" t="str">
        <f>IF(
OR(
_xlfn.XLOOKUP(_xlfn.XLOOKUP(B364,'Base stats'!B:B,'Base stats'!E:E),Groups!A:A,Groups!AZ:AZ)=0,
AND(
_xlfn.XLOOKUP(B364,'Base stats'!B:B,'Base stats'!Y:Y)&lt;&gt;"Carnivore",
_xlfn.XLOOKUP(B364,'Base stats'!B:B,'Base stats'!Y:Y)&lt;&gt;"Omnivore",
_xlfn.XLOOKUP(B364,'Base stats'!B:B,'Base stats'!Y:Y)&lt;&gt;"OmnivoreRough"
)
),
"No",
IF(
_xlfn.XLOOKUP(_xlfn.XLOOKUP(B364,'Base stats'!B:B,'Base stats'!E:E),Groups!A:A,Groups!AZ:AZ)=1,
"Flesh",
IF(
_xlfn.XLOOKUP(_xlfn.XLOOKUP(B364,'Base stats'!B:B,'Base stats'!E:E),Groups!A:A,Groups!AZ:AZ)=2,
"Bone",
""
)
)
)</f>
        <v>No</v>
      </c>
      <c r="CI364" s="25" t="str">
        <f>IF(_xlfn.XLOOKUP(_xlfn.XLOOKUP(B364,'Base stats'!B:B,'Base stats'!E:E),Groups!A:A,Groups!BB:BB),"True","False")</f>
        <v>False</v>
      </c>
      <c r="CJ364" s="25" t="str">
        <f>IF(_xlfn.XLOOKUP(_xlfn.XLOOKUP(B364,'Base stats'!B:B,'Base stats'!E:E),Groups!A:A,Groups!BA:BA),"True","False")</f>
        <v>False</v>
      </c>
    </row>
    <row r="365" spans="1:88" ht="16.5" thickTop="1" thickBot="1" x14ac:dyDescent="0.3">
      <c r="A365" s="26" t="s">
        <v>1971</v>
      </c>
      <c r="B365" s="6" t="str">
        <f>_xlfn.XLOOKUP(A365,'Base stats'!A:A,'Base stats'!B:B)</f>
        <v>Iguanodon bernissartensis</v>
      </c>
      <c r="C365" s="28" t="s">
        <v>2039</v>
      </c>
      <c r="D365" s="28" t="s">
        <v>1898</v>
      </c>
      <c r="E365" s="28" t="s">
        <v>673</v>
      </c>
      <c r="F365" s="28" t="s">
        <v>673</v>
      </c>
      <c r="G365" s="28" t="s">
        <v>673</v>
      </c>
      <c r="H365" s="2">
        <f>MROUND((
  (IF(AND(_xlfn.XLOOKUP(B365,'Base stats'!B:B,'Base stats'!AL:AL)=0,BI365="None",_xlfn.XLOOKUP(_xlfn.XLOOKUP(B365,'Base stats'!B:B,'Base stats'!E:E),Groups!A:A,Groups!B:B)=0), (18 + BR365 * 2.7) * 0.5,
    IF(AND(_xlfn.XLOOKUP(B365,'Base stats'!B:B,'Base stats'!AL:AL)=0,OR(AO365&lt;0.55,AND(BI365="Intermediate",_xlfn.XLOOKUP(_xlfn.XLOOKUP(B365,'Base stats'!B:B,'Base stats'!E:E),Groups!A:A,Groups!B:B)&lt;2))), (18 + BR365 * 2.7),
      IF(OR(BI365="Advanced",_xlfn.XLOOKUP(B365,'Base stats'!B:B,'Base stats'!AL:AL)=1,_xlfn.XLOOKUP(_xlfn.XLOOKUP(B365,'Base stats'!B:B,'Base stats'!E:E),Groups!A:A,Groups!B:B)=2), (18 + BR365 * 2.7) + 250, (18 + BR365 * 2.7))
    )
  ))
  + AO365 * 80
  + IF(COUNTIF(EggMilk!K$2:K$998, A365) &gt; 0, 125, 0)
  + IF(COUNTIF(EggMilk!P$2:P$998, A365) &gt; 0, 90, 0)
  + IF(COUNTIF(EggMilk!A$2:A$998, A365) &gt; 0, 90, 0)
)
* (0.8 + 0.4 * J365)
* 0.75,25)</f>
        <v>1500</v>
      </c>
      <c r="I365" s="2">
        <f>MROUND(ROUNDDOWN(_xlfn.XLOOKUP(B365,'Base stats'!B:B,'Base stats'!L:L)/3.6/(23.3/11),1),0.5)</f>
        <v>4</v>
      </c>
      <c r="J365" s="2">
        <f>IF(OR(_xlfn.XLOOKUP(B365,'Base stats'!B:B,'Base stats'!AB:AB)=1,_xlfn.XLOOKUP(_xlfn.XLOOKUP(B365,'Base stats'!B:B,'Base stats'!E:E),Groups!A:A,Groups!C:C)="Untamable"),1,IF(_xlfn.XLOOKUP(B365,'Base stats'!B:B,'Base stats'!AL:AL)=1,0.99,MIN(MROUND((1-0.6282*EXP(-0.459*AO365))*_xlfn.XLOOKUP(_xlfn.XLOOKUP(B365,'Base stats'!B:B,'Base stats'!E:E),Groups!A:A,Groups!C:C)*IF(_xlfn.XLOOKUP(B365,'Base stats'!B:B,'Base stats'!O:O)=1,0.5,IF(_xlfn.XLOOKUP(B365,'Base stats'!B:B,'Base stats'!O:O)=2,0,1)),0.05),IF(AO365&gt;3.5,0.985,0.95))))</f>
        <v>0.95000000000000007</v>
      </c>
      <c r="K365" s="2">
        <f>ROUNDUP(AO365*_xlfn.XLOOKUP(_xlfn.XLOOKUP(B365,'Base stats'!B:B,'Base stats'!E:E),Groups!A:A,Groups!E:E),0)</f>
        <v>24</v>
      </c>
      <c r="L365" s="2">
        <f>IF(OR(_xlfn.XLOOKUP(_xlfn.XLOOKUP(B365,'Base stats'!B:B,'Base stats'!E:E),Groups!A:A,Groups!F:F)=2,ISNUMBER(SEARCH("SeaIce",BX365)),ISNUMBER(SEARCH("IceSheet",BX365))),-50,IF(OR(ISNUMBER(SEARCH("GlacialPlain",BX365)),ISNUMBER(SEARCH("Tundra",BX365))),-40,IF(OR(ISNUMBER(SEARCH("Alpine",BX365)),ISNUMBER(SEARCH("BorealForest",BX365)),ISNUMBER(SEARCH("ColdBog",BX365))),-30,IF(OR(ISNUMBER(SEARCH("TemperateForest",BX365)),ISNUMBER(SEARCH("TemperateSwamp",BX365))),-20,IF(_xlfn.XLOOKUP(_xlfn.XLOOKUP(B365,'Base stats'!B:B,'Base stats'!E:E),Groups!A:A,Groups!F:F)=1,-15,IF(OR(ISNUMBER(SEARCH("Desert",BX365)),ISNUMBER(SEARCH("ExtremeDesert",BX365))),-10,IF(OR(ISNUMBER(SEARCH("Grasslands",BX365)),ISNUMBER(SEARCH("TropicalRainforest",BX365)),ISNUMBER(SEARCH("TropicalSwamp",BX365))),10,0)))))))-IF(CC365="False",MIN(IFERROR(MAX(MROUND(LOG10(_xlfn.XLOOKUP(B365,'Base stats'!B:B,'Base stats'!C:C)^(2/3))*10,5),5),5),30))-_xlfn.XLOOKUP(B365,'Base stats'!B:B,'Base stats'!P:P)+IF(CC365="True",5,0)</f>
        <v>-15</v>
      </c>
      <c r="M365" s="2">
        <f>IF(OR(_xlfn.XLOOKUP(_xlfn.XLOOKUP(B365,'Base stats'!B:B,'Base stats'!E:E),Groups!A:A,Groups!G:G)=2,ISNUMBER(SEARCH("Desert",BX365)),ISNUMBER(SEARCH("ExtremeDesert",BX365)),ISNUMBER(SEARCH("LavaField",BX365))),50,IF(ISNUMBER(SEARCH("Grasslands",BX365)),45,IF(OR(_xlfn.XLOOKUP(_xlfn.XLOOKUP(B365,'Base stats'!B:B,'Base stats'!E:E),Groups!A:A,Groups!G:G)=1,ISNUMBER(SEARCH("TropicalRainforest",BX365)),ISNUMBER(SEARCH("TropicalSwamp",BX365))),40,IF(OR(ISNUMBER(SEARCH("TemperateForest",BX365)),ISNUMBER(SEARCH("TemperateSwamp",BX365))),35,IF(OR(ISNUMBER(SEARCH("Alpine",BX365)),ISNUMBER(SEARCH("BorealForest",BX365)),ISNUMBER(SEARCH("ColdBog",BX365))),30,IF(ISNUMBER(OR(ISNUMBER(SEARCH("GlacialPlain",BX365)),SEARCH("Tundra",BX365))),25,IF(OR(ISNUMBER(SEARCH("SeaIce",BX365)),ISNUMBER(SEARCH("IceSheet",BX365)),ISNUMBER(SEARCH("TropicalSwamp",BX365))),10,35)))))))+_xlfn.XLOOKUP(B365,'Base stats'!B:B,'Base stats'!Q:Q)</f>
        <v>40</v>
      </c>
      <c r="N365" s="8" t="str">
        <f>IF(
_xlfn.XLOOKUP(
_xlfn.XLOOKUP(B365,'Base stats'!B:B,'Base stats'!E:E),
Groups!A:A,
Groups!L:L
)=1,
MIN(
MROUND(
IF(
_xlfn.XLOOKUP(B365,'Animals CE'!B:B,'Animals CE'!Z:Z)&lt;=1.5,
_xlfn.XLOOKUP(B365,'Animals CE'!B:B,'Animals CE'!Z:Z)/2+0.05,
0.8+
(_xlfn.XLOOKUP(B365,'Animals CE'!B:B,'Animals CE'!Z:Z)-1.5)
*0.02
),
0.05
),
200%
),
"No"
)</f>
        <v>No</v>
      </c>
      <c r="O365" s="8" t="str">
        <f>IF(
_xlfn.XLOOKUP(
_xlfn.XLOOKUP(B365,'Base stats'!B:B,'Base stats'!E:E),
Groups!A:A,
Groups!L:L
)=1,
MIN(
MROUND(
IF(
_xlfn.XLOOKUP(B365,'Animals CE'!B:B,'Animals CE'!AA:AA)&lt;=1.5,
_xlfn.XLOOKUP(B365,'Animals CE'!B:B,'Animals CE'!AA:AA)/2+0.05,
0.8+
(_xlfn.XLOOKUP(B365,'Animals CE'!B:B,'Animals CE'!AA:AA)-1.5)
*0.02
),
0.05
),
200%
),
"No"
)</f>
        <v>No</v>
      </c>
      <c r="P365" s="2" t="str">
        <f>_xlfn.XLOOKUP(B365,'Base stats'!B:B,'Base stats'!R:R)</f>
        <v>Standard</v>
      </c>
      <c r="Q365" s="13">
        <f>MROUND((LOG10(_xlfn.XLOOKUP(B365,'Base stats'!B:B,'Base stats'!AR:AR))*(AO365^0.5)+(_xlfn.XLOOKUP(B365,'Base stats'!B:B,'Base stats'!AR:AR)/1000)^(2/3)+_xlfn.XLOOKUP(B365,'Base stats'!B:B,'Base stats'!BA:BA)/2)+0.5,0.5)</f>
        <v>33.5</v>
      </c>
      <c r="R365" s="7">
        <f>IF(Q365="No","No",MAX(1,MROUND(_xlfn.XLOOKUP(B365,'Base stats'!B:B,'Base stats'!C:C)^0.165,0.05)))</f>
        <v>3.9000000000000004</v>
      </c>
      <c r="S365" s="13">
        <f>IF(_xlfn.XLOOKUP(_xlfn.XLOOKUP(B365,'Base stats'!B:B,'Base stats'!E:E),Groups!A:A,Groups!P:P)=0,"No",MROUND((LOG10(_xlfn.XLOOKUP(B365,'Base stats'!B:B,'Base stats'!AS:AS))*(AO365^0.5)+(_xlfn.XLOOKUP(B365,'Base stats'!B:B,'Base stats'!AS:AS)/1000)^(2/3)+_xlfn.XLOOKUP(B365,'Base stats'!B:B,'Base stats'!BA:BA))+_xlfn.XLOOKUP(B365,'Base stats'!B:B,'Base stats'!AY:AY)+0.5,0.5))</f>
        <v>43</v>
      </c>
      <c r="T365" s="7">
        <f>IF(S365="No","No",MAX(_xlfn.XLOOKUP(_xlfn.XLOOKUP(B365,'Base stats'!B:B,'Base stats'!E:E),Groups!A:A,Groups!Q:Q),MROUND(_xlfn.XLOOKUP(_xlfn.XLOOKUP(B365,'Base stats'!B:B,'Base stats'!E:E),Groups!A:A,Groups!Q:Q)*_xlfn.XLOOKUP(B365,'Base stats'!B:B,'Base stats'!C:C)^0.165,0.05)))</f>
        <v>3.9000000000000004</v>
      </c>
      <c r="U365" s="7" t="str">
        <f>IF(S365="No","No",_xlfn.XLOOKUP(_xlfn.XLOOKUP(B365,'Base stats'!B:B,'Base stats'!E:E),Groups!A:A,Groups!R:R))</f>
        <v>FrontLeftLeg, FrontRightLeg</v>
      </c>
      <c r="V365" s="7" t="str">
        <f>IF(S365="No","No",_xlfn.XLOOKUP(_xlfn.XLOOKUP(B365,'Base stats'!B:B,'Base stats'!E:E),Groups!A:A,Groups!S:S))</f>
        <v>left leg, right leg</v>
      </c>
      <c r="W365" s="7" t="str">
        <f>IF(S365="No","No",_xlfn.XLOOKUP(_xlfn.XLOOKUP(B365,'Base stats'!B:B,'Base stats'!E:E),Groups!A:A,Groups!T:T))</f>
        <v>Blunt</v>
      </c>
      <c r="X365" s="13" t="str">
        <f>IF(_xlfn.XLOOKUP(B365,'Base stats'!B:B,'Base stats'!W:W)="No","No",MROUND((LOG10(_xlfn.XLOOKUP(B365,'Base stats'!B:B,'Base stats'!AU:AU))*(AO365^0.5)+(_xlfn.XLOOKUP(B365,'Base stats'!B:B,'Base stats'!AU:AU)/1000)^(2/3)+_xlfn.XLOOKUP(B365,'Base stats'!B:B,'Base stats'!AZ:AZ))+0.5+IF(_xlfn.XLOOKUP(_xlfn.XLOOKUP(B365,'Base stats'!B:B,'Base stats'!E:E),Groups!A:A,Groups!U:U)&lt;&gt;3,_xlfn.XLOOKUP(B365,'Base stats'!B:B,'Base stats'!BA:BA),0),0.5))</f>
        <v>No</v>
      </c>
      <c r="Y365" s="7" t="str">
        <f>IF(X365="No","No",MAX(_xlfn.XLOOKUP(_xlfn.XLOOKUP(B365,'Base stats'!B:B,'Base stats'!E:E),Groups!A:A,Groups!V:V),MROUND(_xlfn.XLOOKUP(_xlfn.XLOOKUP(B365,'Base stats'!B:B,'Base stats'!E:E),Groups!A:A,Groups!V:V)*_xlfn.XLOOKUP(B365,'Base stats'!B:B,'Base stats'!C:C)^0.165,0.05)))</f>
        <v>No</v>
      </c>
      <c r="Z365" s="7" t="str">
        <f>IF(X365="No","No",_xlfn.XLOOKUP(_xlfn.XLOOKUP(B365,'Base stats'!B:B,'Base stats'!E:E),Groups!A:A,Groups!W:W))</f>
        <v>No</v>
      </c>
      <c r="AA365" s="7" t="str">
        <f>IF(X365="No","No",_xlfn.XLOOKUP(_xlfn.XLOOKUP(B365,'Base stats'!B:B,'Base stats'!E:E),Groups!A:A,Groups!X:X))</f>
        <v>No</v>
      </c>
      <c r="AB365" s="7" t="str">
        <f>IF(X365="No","No",_xlfn.XLOOKUP(_xlfn.XLOOKUP(B365,'Base stats'!B:B,'Base stats'!E:E),Groups!A:A,Groups!Y:Y))</f>
        <v>No</v>
      </c>
      <c r="AC365" s="7" t="str">
        <f>_xlfn.XLOOKUP(Animals!B365,'Base stats'!B:B,'Base stats'!X:X)</f>
        <v>False</v>
      </c>
      <c r="AD365" s="13">
        <f>IF(_xlfn.XLOOKUP(B365,'Base stats'!B:B,'Base stats'!AT:AT)="No","No",MROUND((LOG10(_xlfn.XLOOKUP(B365,'Base stats'!B:B,'Base stats'!AT:AT))*(AO365^0.75)+(_xlfn.XLOOKUP(B365,'Base stats'!B:B,'Base stats'!AT:AT)/1000)^(2/3)+_xlfn.XLOOKUP(B365,'Base stats'!B:B,'Base stats'!AX:AX)+_xlfn.XLOOKUP(B365,'Base stats'!B:B,'Base stats'!BA:BA))+0.5,0.5))</f>
        <v>40.5</v>
      </c>
      <c r="AE365" s="7">
        <f>IF(AD365="No","No",MAX(_xlfn.XLOOKUP(_xlfn.XLOOKUP(B365,'Base stats'!B:B,'Base stats'!E:E),Groups!A:A,Groups!Z:Z),MROUND(_xlfn.XLOOKUP(_xlfn.XLOOKUP(B365,'Base stats'!B:B,'Base stats'!E:E),Groups!A:A,Groups!Z:Z)*_xlfn.XLOOKUP(B365,'Base stats'!B:B,'Base stats'!C:C)^0.165,0.05)))</f>
        <v>3.9000000000000004</v>
      </c>
      <c r="AF365" s="7" t="str">
        <f>IF(AD365="No","No",_xlfn.XLOOKUP(_xlfn.XLOOKUP(B365,'Base stats'!B:B,'Base stats'!E:E),Groups!A:A,Groups!AA:AA))</f>
        <v>Teeth</v>
      </c>
      <c r="AG365" s="7" t="str">
        <f>IF(AD365="No","No",_xlfn.XLOOKUP(_xlfn.XLOOKUP(B365,'Base stats'!B:B,'Base stats'!E:E),Groups!A:A,Groups!AB:AB))</f>
        <v>beak</v>
      </c>
      <c r="AH365" s="7" t="str">
        <f>IF(AD365="No","No",_xlfn.XLOOKUP(_xlfn.XLOOKUP(B365,'Base stats'!B:B,'Base stats'!E:E),Groups!A:A,Groups!AC:AC))</f>
        <v>Bite</v>
      </c>
      <c r="AI365" s="13" t="str">
        <f>IF(_xlfn.XLOOKUP(_xlfn.XLOOKUP(B365,'Base stats'!B:B,'Base stats'!E:E),Groups!A:A,Groups!AD:AD)=0,"No",MROUND((LOG10(_xlfn.XLOOKUP(B365,'Base stats'!B:B,'Base stats'!AS:AS))*(AO365^0.75)+(_xlfn.XLOOKUP(B365,'Base stats'!B:B,'Base stats'!AS:AS)/1000)^(2/3)+_xlfn.XLOOKUP(B365,'Base stats'!B:B,'Base stats'!AY:AY)+_xlfn.XLOOKUP(B365,'Base stats'!B:B,'Base stats'!BA:BA))+0.5,0.5))</f>
        <v>No</v>
      </c>
      <c r="AJ365" s="7" t="str">
        <f>IF(AI365="No","No",MAX(_xlfn.XLOOKUP(_xlfn.XLOOKUP(B365,'Base stats'!B:B,'Base stats'!E:E),Groups!A:A,Groups!AE:AE),MROUND(_xlfn.XLOOKUP(_xlfn.XLOOKUP(B365,'Base stats'!B:B,'Base stats'!E:E),Groups!A:A,Groups!AE:AE)*IF(_xlfn.XLOOKUP(_xlfn.XLOOKUP(B365,'Base stats'!B:B,'Base stats'!E:E),Groups!A:A,Groups!AJ:AJ)="Photonozoa",0.6,1)*_xlfn.XLOOKUP(B365,'Base stats'!B:B,'Base stats'!C:C)^0.165,0.05)))</f>
        <v>No</v>
      </c>
      <c r="AK365" s="7" t="str">
        <f>IF(AI365="No","No",_xlfn.XLOOKUP(_xlfn.XLOOKUP(B365,'Base stats'!B:B,'Base stats'!E:E),Groups!A:A,Groups!AF:AF))</f>
        <v>No</v>
      </c>
      <c r="AL365" s="7" t="str">
        <f>IF(AI365="No","No",_xlfn.XLOOKUP(_xlfn.XLOOKUP(B365,'Base stats'!B:B,'Base stats'!E:E),Groups!A:A,Groups!AG:AG))</f>
        <v>No</v>
      </c>
      <c r="AM365" s="7" t="str">
        <f>IF(AI365="No","No",_xlfn.XLOOKUP(_xlfn.XLOOKUP(B365,'Base stats'!B:B,'Base stats'!E:E),Groups!A:A,Groups!AH:AH))</f>
        <v>No</v>
      </c>
      <c r="AN365" s="2" t="str">
        <f t="shared" si="35"/>
        <v>No</v>
      </c>
      <c r="AO365" s="2">
        <f>MROUND(IF(AND(_xlfn.XLOOKUP(B365,'Base stats'!B:B,'Base stats'!C:C)&gt;=0.5,_xlfn.XLOOKUP(B365,'Base stats'!B:B,'Base stats'!C:C)&lt;=0.8),
IF(_xlfn.XLOOKUP(B365,'Base stats'!B:B,'Base stats'!C:C)&lt;0.1,0.05,IF(_xlfn.XLOOKUP(B365,'Base stats'!B:B,'Base stats'!C:C)&lt;=70,(_xlfn.XLOOKUP(B365,'Base stats'!B:B,'Base stats'!C:C)/70)^0.426489913056526,IF(_xlfn.XLOOKUP(B365,'Base stats'!B:B,'Base stats'!C:C)&lt;=400,(_xlfn.XLOOKUP(B365,'Base stats'!B:B,'Base stats'!C:C)/70)^0.572811455315093,IF(_xlfn.XLOOKUP(B365,'Base stats'!B:B,'Base stats'!C:C)&lt;=2000,2.71391647193063*(_xlfn.XLOOKUP(B365,'Base stats'!B:B,'Base stats'!C:C)/400)^0.252459582904293,3.74314280240376*(_xlfn.XLOOKUP(B365,'Base stats'!B:B,'Base stats'!C:C)/2000)^0.357012633876913)))),
IF(_xlfn.XLOOKUP(B365,'Base stats'!B:B,'Base stats'!C:C)&lt;0.1,0.05,IF(_xlfn.XLOOKUP(B365,'Base stats'!B:B,'Base stats'!C:C)&lt;0.4,0.1,IF(_xlfn.XLOOKUP(B365,'Base stats'!B:B,'Base stats'!C:C)&lt;=70,(_xlfn.XLOOKUP(B365,'Base stats'!B:B,'Base stats'!C:C)/70)^0.445823913056526,IF(_xlfn.XLOOKUP(B365,'Base stats'!B:B,'Base stats'!C:C)&lt;=400,(_xlfn.XLOOKUP(B365,'Base stats'!B:B,'Base stats'!C:C)/70)^0.572811455315093,IF(_xlfn.XLOOKUP(B365,'Base stats'!B:B,'Base stats'!C:C)&lt;=2000,2.71391647193063*(_xlfn.XLOOKUP(B365,'Base stats'!B:B,'Base stats'!C:C)/400)^0.252459582904293,3.74314280240376*(_xlfn.XLOOKUP(B365,'Base stats'!B:B,'Base stats'!C:C)/2000)^0.357012633876913)))))),
IF(_xlfn.XLOOKUP(B365,'Base stats'!B:B,'Base stats'!C:C)&lt;0.1,0.05,IF(_xlfn.XLOOKUP(B365,'Base stats'!B:B,'Base stats'!C:C)&lt;=100,0.05,IF(_xlfn.XLOOKUP(B365,'Base stats'!B:B,'Base stats'!C:C)&lt;=250,0.1,IF(_xlfn.XLOOKUP(B365,'Base stats'!B:B,'Base stats'!C:C)&lt;=4000,0.25,0.5)))))</f>
        <v>4.75</v>
      </c>
      <c r="AP365" s="8">
        <f>MROUND(AO365*_xlfn.XLOOKUP(_xlfn.XLOOKUP(B365,'Base stats'!B:B,'Base stats'!E:E),Groups!A:A,Groups!AI:AI)*_xlfn.XLOOKUP(B365,'Base stats'!B:B,'Base stats'!Z:Z),0.05)</f>
        <v>4.75</v>
      </c>
      <c r="AQ365" s="8">
        <f>MAX(0.01,MROUND(IF(CC365="True",0.196*(AO365*100*1000)^0.889,IF(_xlfn.XLOOKUP(_xlfn.XLOOKUP(B365,'Base stats'!B:B,'Base stats'!E:E),Groups!A:A,Groups!AJ:AJ)="Bird",10.5*(AO365*100*1000)^0.681,4.82*(AO365*100*1000)^0.734))/(4.82*(1*100*1000)^0.734)/IF(AO365&lt;3.5,2,IF(AO365=3.5,1.5,1.25))*(1+0.132282374779864/(AO365^0.994035016789033+0.00905238001496948)),0.05))</f>
        <v>2.8000000000000003</v>
      </c>
      <c r="AR365" s="9">
        <f>IFERROR(MROUND(_xlfn.XLOOKUP(B365,'Base stats'!B:B,'Base stats'!H:H)/IF(_xlfn.XLOOKUP(B365,'Base stats'!B:B,'Base stats'!I:I)&lt;&gt;1,(122.5/70),1.2),IF(_xlfn.XLOOKUP(B365,'Base stats'!B:B,'Base stats'!H:H)&gt;=30,5,IF(_xlfn.XLOOKUP(B365,'Base stats'!B:B,'Base stats'!H:H)&gt;=15,3,IF(_xlfn.XLOOKUP(B365,'Base stats'!B:B,'Base stats'!H:H)&gt;=10,2,1)))),"Immortal")</f>
        <v>12</v>
      </c>
      <c r="AS365" s="35" t="str">
        <f>IFERROR(IF(OR(_xlfn.XLOOKUP(B365,'Base stats'!B:B,'Base stats'!F:F)="Atypical reproduction",_xlfn.XLOOKUP(B365,'Base stats'!B:B,'Base stats'!F:F)="Lay eggs"),"Lay eggs",MIN(20,MAX(5.5,ROUND(((_xlfn.XLOOKUP(B365,'Base stats'!B:B,'Base stats'!F:F)-25)*(14.5/615) + 5.5)*2,0)/2))),"Unknown")</f>
        <v>Lay eggs</v>
      </c>
      <c r="AT365" s="8">
        <f>IF(_xlfn.XLOOKUP(B365,'Base stats'!B:B,'Base stats'!G:G)="Atypical reproduction","No",IFERROR(MAX(IF(_xlfn.XLOOKUP(B365,'Base stats'!B:B,'Base stats'!G:G)&lt;0.5,0.2,0.3),MROUND(_xlfn.XLOOKUP(B365,'Base stats'!B:B,'Base stats'!G:G)/(365/60),0.2)),"Unknown"))</f>
        <v>0.4</v>
      </c>
      <c r="AU365" s="8">
        <f t="shared" si="36"/>
        <v>0.2</v>
      </c>
      <c r="AV365" s="8" t="str">
        <f>IFERROR(IFERROR(MROUND(_xlfn.XLOOKUP(B365,'Base stats'!B:B,'Base stats'!J:J),0.1),"Lay eggs"),"Cannot breed")</f>
        <v>Lay eggs</v>
      </c>
      <c r="AW365" s="2" t="str">
        <f t="shared" si="37"/>
        <v>true</v>
      </c>
      <c r="AX365" s="2" t="str">
        <f>IF(_xlfn.XLOOKUP(_xlfn.XLOOKUP(Animals!B365,'Base stats'!B:B,'Base stats'!E:E),Groups!A:A,Groups!AK:AK)=1,"true","false")</f>
        <v>true</v>
      </c>
      <c r="AY365" s="25" t="str">
        <f>IF(_xlfn.XLOOKUP(B365,'Base stats'!B:B,'Base stats'!Y:Y)="Liquor","Liquor, CarnivoreAnimalStrict",IF(AND(_xlfn.XLOOKUP(B365,'Base stats'!B:B,'Base stats'!Y:Y)="Carnivore",_xlfn.XLOOKUP(_xlfn.XLOOKUP(B365,'Base stats'!B:B,'Base stats'!E:E),Groups!A:A,Groups!AJ:AJ)="Photonozoa"),"CarnivoreAnimalStrict, OvivoreAnimal",IF(_xlfn.XLOOKUP(B365,'Base stats'!B:B,'Base stats'!Y:Y)="Carnivore","CarnivoreAnimal, OvivoreAnimal",IF(_xlfn.XLOOKUP(B365,'Base stats'!B:B,'Base stats'!Y:Y)="Dendrovore","VegetarianRoughAnimal, DendrovoreAnimal",IF(_xlfn.XLOOKUP(B365,'Base stats'!B:B,'Base stats'!Y:Y)="Herbivore","VegetarianRoughAnimal",IF(_xlfn.XLOOKUP(B365,'Base stats'!B:B,'Base stats'!Y:Y)="OmnivoreRough","OmnivoreRoughAnimal, OvivoreAnimal","OmnivoreAnimal, OvivoreAnimal"))))))</f>
        <v>VegetarianRoughAnimal</v>
      </c>
      <c r="AZ365" s="2">
        <f>IF(_xlfn.XLOOKUP(_xlfn.XLOOKUP(B365,'Base stats'!B:B,'Base stats'!E:E),Groups!A:A,Groups!D:D)=1,MROUND((1-J365)*5+1,2)*IF(J365&lt;=0.4,2,1),"No")</f>
        <v>2</v>
      </c>
      <c r="BA365" s="2" t="str">
        <f>IF(AND(_xlfn.XLOOKUP(B365,'Base stats'!B:B,'Base stats'!AH:AH)="&lt;li&gt;Seal&lt;/li&gt;",G365="Odyssey"),"&lt;li&gt;AEXP_Seal&lt;/li&gt;",_xlfn.XLOOKUP(B365,'Base stats'!B:B,'Base stats'!AH:AH))</f>
        <v>No</v>
      </c>
      <c r="BB365" s="2" t="str">
        <f>_xlfn.XLOOKUP(B365,'Base stats'!B:B,'Base stats'!AG:AG)</f>
        <v>Leather_DinosaurHide</v>
      </c>
      <c r="BC365" s="23" t="str">
        <f>_xlfn.XLOOKUP(_xlfn.XLOOKUP(B365,'Base stats'!B:B,'Base stats'!E:E),Groups!A:A,Groups!AL:AL)</f>
        <v>Hadrosaurid</v>
      </c>
      <c r="BD365" s="23">
        <f>MIN(1,MROUND(IF(AND(AO365&lt;0.5,_xlfn.XLOOKUP(B365,'Base stats'!B:B,'Base stats'!AA:AA)=0),0,IF(OR(_xlfn.XLOOKUP(Animals!B365,'Base stats'!B:B,'Base stats'!O:O)=2,_xlfn.XLOOKUP(_xlfn.XLOOKUP(B365,'Base stats'!B:B,'Base stats'!E:E),Groups!A:A,Groups!AN:AN)=0),0,_xlfn.XLOOKUP(_xlfn.XLOOKUP(B365,'Base stats'!B:B,'Base stats'!E:E),Groups!A:A,Groups!AN:AN)/IF(_xlfn.XLOOKUP(Animals!B365,'Base stats'!B:B,'Base stats'!O:O)=1,2,1)))+_xlfn.XLOOKUP(B365,'Base stats'!B:B,'Base stats'!AC:AC),0.005))</f>
        <v>2.5000000000000001E-2</v>
      </c>
      <c r="BE365" s="23">
        <f>MIN(1,MROUND(IF(AND(AO365&lt;0.5,_xlfn.XLOOKUP(B365,'Base stats'!B:B,'Base stats'!AA:AA)=0),0,IF(_xlfn.XLOOKUP(_xlfn.XLOOKUP(B365,'Base stats'!B:B,'Base stats'!E:E),Groups!A:A,Groups!AO:AO)=0,0,_xlfn.XLOOKUP(_xlfn.XLOOKUP(B365,'Base stats'!B:B,'Base stats'!E:E),Groups!A:A,Groups!AO:AO)/IF(_xlfn.XLOOKUP(Animals!B365,'Base stats'!B:B,'Base stats'!O:O)=2,3,1)))+_xlfn.XLOOKUP(B365,'Base stats'!B:B,'Base stats'!AD:AD),0.005))</f>
        <v>0.1</v>
      </c>
      <c r="BF365" s="2" t="str">
        <f>IF(J365&gt;0.3,"No",_xlfn.XLOOKUP(_xlfn.XLOOKUP(Animals!B365,'Base stats'!B:B,'Base stats'!E:E),Groups!A:A,Groups!AP:AP))</f>
        <v>No</v>
      </c>
      <c r="BG365" s="2" t="str">
        <f>IF(AND(J365&lt;=0.65,_xlfn.XLOOKUP(_xlfn.XLOOKUP(Animals!B365,'Base stats'!B:B,'Base stats'!E:E),Groups!A:A,Groups!AP:AP)&lt;&gt;"No",_xlfn.XLOOKUP(_xlfn.XLOOKUP(B365,'Base stats'!B:B,'Base stats'!E:E),Groups!A:A,Groups!D:D)=0),MROUND((80/3)*IF(_xlfn.XLOOKUP(B365,'Base stats'!B:B,'Base stats'!O:O)=2,0.2,AO365) + 24*(1-IF(BF365="No",0,BF365)) + 16/3, 12),"No")</f>
        <v>No</v>
      </c>
      <c r="BH365" s="2">
        <f>IF(AND(_xlfn.XLOOKUP(_xlfn.XLOOKUP(B365,'Base stats'!B:B,'Base stats'!E:E),Groups!A:A,Groups!AQ:AQ)=1,AO365&lt;=0.35),8,12)</f>
        <v>12</v>
      </c>
      <c r="BI365" s="2" t="str">
        <f>IF(_xlfn.XLOOKUP(_xlfn.XLOOKUP(B365,'Base stats'!B:B,'Base stats'!E:E),Groups!A:A,Groups!D:D)=0,_xlfn.XLOOKUP(_xlfn.XLOOKUP(B365,'Base stats'!B:B,'Base stats'!E:E),Groups!A:A,Groups!AR:AR),"None")</f>
        <v>None</v>
      </c>
      <c r="BJ365" s="2" t="str">
        <f>IF(AND(_xlfn.XLOOKUP(_xlfn.XLOOKUP(B365,'Base stats'!B:B,'Base stats'!E:E),Groups!A:A,Groups!AS:AS)=1,OR(_xlfn.XLOOKUP(B365,'Base stats'!B:B,'Base stats'!Y:Y)="Carnivore",_xlfn.XLOOKUP(B365,'Base stats'!B:B,'Base stats'!Y:Y)="Omnivore")),"true","false")</f>
        <v>false</v>
      </c>
      <c r="BK365" s="2" t="str">
        <f>IF(BJ365="true",MROUND(IF(AND(AO365&gt;0.5,OR(_xlfn.XLOOKUP(_xlfn.XLOOKUP(B365,'Base stats'!B:B,'Base stats'!E:E),Groups!A:A,Groups!AJ:AJ)="Photonozoa",_xlfn.XLOOKUP(_xlfn.XLOOKUP(B365,'Base stats'!B:B,'Base stats'!E:E),Groups!A:A,Groups!AJ:AJ)="Mammal")),Animals!AO365*1.75*IF(AW365="true",1.5,1),IF(AO365&lt;0.5,Animals!AO365*0.5,Animals!AO365)),IF(AO365&gt;2,0.5,IF(AO365&gt;0.5,0.25,0.1))),"No")</f>
        <v>No</v>
      </c>
      <c r="BL365" s="2">
        <f t="shared" si="38"/>
        <v>0</v>
      </c>
      <c r="BM365" s="25" t="str">
        <f>IF(_xlfn.XLOOKUP(B365,'Base stats'!B:B,'Base stats'!AN:AN)="Standard","No",MROUND((_xlfn.XLOOKUP(B365,'Base stats'!B:B,'Base stats'!AN:AN)/3.6)/I365,0.1))</f>
        <v>No</v>
      </c>
      <c r="BN365" s="25" t="str">
        <f t="shared" si="39"/>
        <v>false</v>
      </c>
      <c r="BO365" s="25" t="str">
        <f>IF(AND(OR(_xlfn.XLOOKUP(B365,'Base stats'!B:B,'Base stats'!Y:Y)="Carnivore",_xlfn.XLOOKUP(B365,'Base stats'!B:B,'Base stats'!Y:Y)="Omnivore",_xlfn.XLOOKUP(B365,'Base stats'!B:B,'Base stats'!Y:Y)="OmnivoreRough"),_xlfn.XLOOKUP(_xlfn.XLOOKUP(B365,'Base stats'!B:B,'Base stats'!E:E),Groups!A:A,Groups!AT:AT)=1),"true","false")</f>
        <v>false</v>
      </c>
      <c r="BP365" s="25" t="str" cm="1">
        <f t="array" ref="BP365">IF(
  _xlfn.TEXTJOIN(", ",TRUE,
    IF(AND(BJ365="true",AO365&gt;0.5,BI365&lt;&gt;"None"),"AttackTarget",""),
    IF(AND(_xlfn.XLOOKUP(_xlfn.XLOOKUP(B365,'Base stats'!B:B,'Base stats'!E:E),Groups!A:A,Groups!AJ:AJ="Mammal"),OR(_xlfn.XLOOKUP(B365,'Base stats'!B:B,'Base stats'!Y:Y)="Omnivore",_xlfn.XLOOKUP(B365,'Base stats'!B:B,'Base stats'!Y:Y)="OmnivoreRough")),"Forage",""),
    IF(BG365&lt;=36,"Comfort",""),
    IF(_xlfn.XLOOKUP(B365,'Base stats'!B:B,'Base stats'!AE:AE)&lt;&gt;"No",_xlfn.XLOOKUP(B365,'Base stats'!B:B,'Base stats'!AE:AE),"")
  ) = "",
  "No",
  _xlfn.TEXTJOIN(", ",TRUE,
    IF(AND(BJ365="true",AO365&gt;0.5,BI365&lt;&gt;"None"),"AttackTarget",""),
    IF(AND(_xlfn.XLOOKUP(_xlfn.XLOOKUP(B365,'Base stats'!B:B,'Base stats'!E:E),Groups!A:A,Groups!AJ:AJ="Mammal"),OR(_xlfn.XLOOKUP(B365,'Base stats'!B:B,'Base stats'!Y:Y)="Omnivore",_xlfn.XLOOKUP(B365,'Base stats'!B:B,'Base stats'!Y:Y)="OmnivoreRough")),"Forage",""),
    IF(BG365&lt;=36,"Comfort",""),
    IF(_xlfn.XLOOKUP(B365,'Base stats'!B:B,'Base stats'!AE:AE)&lt;&gt;"No",_xlfn.XLOOKUP(B365,'Base stats'!B:B,'Base stats'!AE:AE),"")
  )
)</f>
        <v>No</v>
      </c>
      <c r="BQ365" s="25" t="str">
        <f>IF(
   AND(
      'Base stats'!AN365="Standard",_xlfn.XLOOKUP(_xlfn.XLOOKUP(B365,'Base stats'!B:B,'Base stats'!E:E),Groups!A:A,Groups!AU:AU)=0,
      OR(
      BO365="True"
      )
   ),
   10,
   IF(
       OR(BM365&lt;&gt;"No",_xlfn.XLOOKUP(_xlfn.XLOOKUP(B365,'Base stats'!B:B,'Base stats'!E:E),Groups!A:A,Groups!AU:AU)=1),
      1,
      "No"
   )
)</f>
        <v>No</v>
      </c>
      <c r="BR365" s="9">
        <f>MROUND((1 + ((0.2*IF(OR(Q365="No",R365="No",R365=0),0,Q365/R365)
+IF(OR(V365="No",S365="No",T365="No"),0,S365/T365*(LEN(V365)-LEN(SUBSTITUTE(V365,",",""))+1))
+IF(OR(X365="No",Y365="No"),0,X365/Y365)
+IF(OR(AD365="No",AE365="No"),0,AD365/AE365)
+IF(OR(AL365="No",AI365="No",AJ365="No"),0,AI365/AJ365*(LEN(AL365)-LEN(SUBSTITUTE(AL365,",",""))+1))
)/(0.2*IF(OR(Q365="No",R365="No",R365=0),0,1)
+IF(OR(V365="No",S365="No",T365="No"),0,LEN(V365)-LEN(SUBSTITUTE(V365,",",""))+1)
+IF(OR(X365="No",Y365="No"),0,1)
+IF(OR(AD365="No",AE365="No"),0,1)
+IF(OR(AL365="No",AI365="No",AJ365="No"),0,LEN(AL365)-LEN(SUBSTITUTE(AL365,",",""))+1))*62%)* 2)*(1 + (AP365 / (IF(_xlfn.XLOOKUP(_xlfn.XLOOKUP(B365,'Base stats'!B:B,'Base stats'!E:E),Groups!A:A,Groups!AJ:AJ)="Photonozoa",0.3,1)) + _xlfn.XLOOKUP(B365,'Base stats'!B:B,'Base stats'!AV:AV) * 1.8) * 2) * 2.5 + 10 + I365 * 2,5)+IF(_xlfn.XLOOKUP(B365,'Base stats'!B:B,'Base stats'!AK:AK)=1,50,0)</f>
        <v>390</v>
      </c>
      <c r="BS365" s="8">
        <f t="shared" si="40"/>
        <v>3.2</v>
      </c>
      <c r="BT365" s="8" t="str">
        <f>_xlfn.XLOOKUP(B365,'Base stats'!B:B,'Base stats'!AF:AF)</f>
        <v>2~6</v>
      </c>
      <c r="BU365" s="2" t="str">
        <f>IF(AND(J365&lt;=0.95,OR(_xlfn.XLOOKUP(B365,'Base stats'!B:B,'Base stats'!AK:AK)=1,_xlfn.XLOOKUP(B365,'Base stats'!B:B,'Base stats'!Y:Y)="Carnivore",_xlfn.XLOOKUP(B365,'Base stats'!B:B,'Base stats'!Y:Y)="Omnivore",BE365&gt;0.1)),"true","false")</f>
        <v>false</v>
      </c>
      <c r="BV365" s="2" t="str">
        <f>IF(_xlfn.XLOOKUP(B365,'Base stats'!B:B,'Base stats'!AI:AI)=1,"true","false")</f>
        <v>false</v>
      </c>
      <c r="BW365" s="25" t="str">
        <f>IF(E365="BaseInsect","AnimalInsect",
IF(J365&gt;0.95,"AnimalExotic",
_xlfn.TEXTJOIN(", ",TRUE,
IF(OR(_xlfn.XLOOKUP(B365,'Base stats'!B:B,'Base stats'!AM:AM)=1,AND(_xlfn.XLOOKUP(B365,'Base stats'!B:B,'Base stats'!O:O)=0,_xlfn.XLOOKUP(_xlfn.XLOOKUP(B365,'Base stats'!B:B,'Base stats'!E:E),Groups!A:A,Groups!B:B)&gt;0)),"AnimalUncommon","AnimalCommon"),
IF(AND(_xlfn.XLOOKUP(B365,'Base stats'!B:B,'Base stats'!O:O)=2,_xlfn.XLOOKUP(_xlfn.XLOOKUP(B365,'Base stats'!B:B,'Base stats'!E:E),Groups!A:A,Groups!D:D)=0),"AnimalPet",IF(AND(_xlfn.XLOOKUP(B365,'Base stats'!B:B,'Base stats'!O:O)&lt;&gt;0,_xlfn.XLOOKUP(_xlfn.XLOOKUP(B365,'Base stats'!B:B,'Base stats'!E:E),Groups!A:A,Groups!D:D)&lt;&gt;0),"AnimalFarm","")),
IF(OR(_xlfn.XLOOKUP(B365,'Base stats'!B:B,'Base stats'!AK:AK)=1,AND(BI365&lt;&gt;"None",BR365&gt;=60),ISNUMBER(SEARCH("Attack target",BP365))),"AnimalFighter","")
)))</f>
        <v>AnimalUncommon</v>
      </c>
      <c r="BX365" s="25" t="str">
        <f>IF(G365="None",TRIM(
SUBSTITUTE(
IF(COUNTIF(Biomes!B$2:B$259,"="&amp;$C365)&gt;0,Biomes!B$1&amp;", ","")&amp;
IF(COUNTIF(Biomes!C$2:C$259,"="&amp;$C365)&gt;0,Biomes!C$1&amp;", ","")&amp;
IF(COUNTIF(Biomes!D$2:D$259,"="&amp;$C365)&gt;0,Biomes!D$1&amp;", ","")&amp;
IF(COUNTIF(Biomes!F$2:F$259,"="&amp;$C365)&gt;0,Biomes!F$1&amp;", ","")&amp;
IF(COUNTIF(Biomes!G$2:G$259,"="&amp;$C365)&gt;0,Biomes!G$1&amp;", ","")&amp;
IF(COUNTIF(Biomes!H$2:H$259,"="&amp;$C365)&gt;0,Biomes!H$1&amp;", ","")&amp;
IF(COUNTIF(Biomes!I$2:I$259,"="&amp;$C365)&gt;0,Biomes!I$1&amp;", ","")&amp;
IF(COUNTIF(Biomes!J$2:J$259,"="&amp;$C365)&gt;0,Biomes!J$1&amp;", ","")&amp;
IF(COUNTIF(Biomes!M$2:M$259,"="&amp;$C365)&gt;0,Biomes!M$1&amp;", ","")&amp;
IF(COUNTIF(Biomes!N$2:N$259,"="&amp;$C365)&gt;0,Biomes!N$1&amp;", ","")&amp;
IF(COUNTIF(Biomes!O$2:O$259,"="&amp;$C365)&gt;0,Biomes!O$1&amp;", ","")&amp;
IF(COUNTIF(Biomes!P$2:P$259,"="&amp;$C365)&gt;0,Biomes!P$1&amp;", ","")&amp;
IF(COUNTIF(Biomes!K$2:K$259,"="&amp;$C365)&gt;0,Biomes!K$1&amp;", ","")&amp;
IF(COUNTIF(Biomes!Q$3:Q$259,"="&amp;$C365)&gt;0,Biomes!Q$1&amp;", ","")&amp;
IF(COUNTIF(Biomes!L$2:L$259,"="&amp;$C365)&gt;0,Biomes!L$1&amp;", ","")&amp;
IF(COUNTIF(Biomes!E$2:E$259,"="&amp;$C365)&gt;0,Biomes!E$1&amp;", ","")&amp;IF(COUNTIF(Biomes!S$2:S$259,"="&amp;$C365)&gt;0,Biomes!S$1&amp;", ","")&amp;
IF(COUNTIF(Biomes!R$2:R$259,"="&amp;$C365)&gt;0,Biomes!R$1&amp;", ",""),", ","")
),_xlfn.XLOOKUP(B365,B:B,BX:BX))</f>
        <v>TropicalRainforest TropicalSwamp Glowforest</v>
      </c>
      <c r="BY365" s="25" t="str">
        <f>IF(_xlfn.XLOOKUP(B365,'Base stats'!B:B,'Base stats'!AJ:AJ)=1,"true","false")</f>
        <v>false</v>
      </c>
      <c r="BZ365" s="25">
        <f>IF(_xlfn.XLOOKUP(B365,'Base stats'!B:B,'Base stats'!N:N)=1,"No",MAX(0.001,MIN(MROUND(IF(AND(BJ365="True",CC365="False"),POWER(10,3.47*LOG10(_xlfn.XLOOKUP(B365,'Base stats'!B:B,'Base stats'!C:C)*1000)^-0.96),POWER(10,4.15*LOG10(_xlfn.XLOOKUP(B365,'Base stats'!B:B,'Base stats'!C:C)*1000)^-0.73))*IF(_xlfn.XLOOKUP(B365,'Base stats'!B:B,'Base stats'!AK:AK)=1,0.5,1)*IF(_xlfn.XLOOKUP(B365,'Base stats'!B:B,'Base stats'!AM:AM)=1,0.1,1)/100,IF(_xlfn.XLOOKUP(B365,'Base stats'!B:B,'Base stats'!AM:AM)=1,0.001,0.025)),0.5)))</f>
        <v>0.1</v>
      </c>
      <c r="CA365" s="25" t="str">
        <f>IF(P365="Standard","No",MAX(0.001,MIN(MROUND(IF(AND(BJ365="True",CC365="False"),POWER(10,3.47*LOG10(_xlfn.XLOOKUP(B365,'Base stats'!B:B,'Base stats'!C:C)*1000)^-0.96),POWER(10,4.15*LOG10(_xlfn.XLOOKUP(B365,'Base stats'!B:B,'Base stats'!C:C)*1000)^-0.73))*IF(_xlfn.XLOOKUP(B365,'Base stats'!B:B,'Base stats'!AM:AM)=1,0.1,1)*_xlfn.XLOOKUP(B365,'Base stats'!B:B,'Base stats'!R:R)/100,IF(_xlfn.XLOOKUP(B365,'Base stats'!B:B,'Base stats'!AM:AM)=1,0.001,0.025)),0.5)))</f>
        <v>No</v>
      </c>
      <c r="CB365" s="25" t="str">
        <f>IF(_xlfn.XLOOKUP(_xlfn.XLOOKUP(B365,'Base stats'!B:B,'Base stats'!E:E),Groups!A:A,Groups!AJ:AJ)="Mammal","True","False")</f>
        <v>False</v>
      </c>
      <c r="CC365" s="25" t="str">
        <f>IF(OR(_xlfn.XLOOKUP(_xlfn.XLOOKUP(B365,'Base stats'!B:B,'Base stats'!E:E),Groups!A:A,Groups!AJ:AJ)="Reptile",_xlfn.XLOOKUP(_xlfn.XLOOKUP(B365,'Base stats'!B:B,'Base stats'!E:E),Groups!A:A,Groups!AJ:AJ)="Amphibian",_xlfn.XLOOKUP(_xlfn.XLOOKUP(B365,'Base stats'!B:B,'Base stats'!E:E),Groups!A:A,Groups!AJ:AJ)="Invertebrate"),"True","False")</f>
        <v>False</v>
      </c>
      <c r="CD365" s="25" t="str">
        <f t="shared" si="41"/>
        <v>False</v>
      </c>
      <c r="CE365" s="25" t="str">
        <f>IF(_xlfn.XLOOKUP(_xlfn.XLOOKUP(B365,'Base stats'!B:B,'Base stats'!E:E),Groups!A:A,Groups!AX:AX),"True","False")</f>
        <v>False</v>
      </c>
      <c r="CF365" s="25" t="str">
        <f>IF(_xlfn.XLOOKUP(_xlfn.XLOOKUP(B365,'Base stats'!B:B,'Base stats'!E:E),Groups!A:A,Groups!AY:AY),"True","False")</f>
        <v>False</v>
      </c>
      <c r="CG365" s="25" t="str">
        <f>IF(_xlfn.XLOOKUP(_xlfn.XLOOKUP(B365,'Base stats'!B:B,'Base stats'!E:E),Groups!A:A,Groups!AW:AW),"True","False")</f>
        <v>False</v>
      </c>
      <c r="CH365" s="25" t="str">
        <f>IF(
OR(
_xlfn.XLOOKUP(_xlfn.XLOOKUP(B365,'Base stats'!B:B,'Base stats'!E:E),Groups!A:A,Groups!AZ:AZ)=0,
AND(
_xlfn.XLOOKUP(B365,'Base stats'!B:B,'Base stats'!Y:Y)&lt;&gt;"Carnivore",
_xlfn.XLOOKUP(B365,'Base stats'!B:B,'Base stats'!Y:Y)&lt;&gt;"Omnivore",
_xlfn.XLOOKUP(B365,'Base stats'!B:B,'Base stats'!Y:Y)&lt;&gt;"OmnivoreRough"
)
),
"No",
IF(
_xlfn.XLOOKUP(_xlfn.XLOOKUP(B365,'Base stats'!B:B,'Base stats'!E:E),Groups!A:A,Groups!AZ:AZ)=1,
"Flesh",
IF(
_xlfn.XLOOKUP(_xlfn.XLOOKUP(B365,'Base stats'!B:B,'Base stats'!E:E),Groups!A:A,Groups!AZ:AZ)=2,
"Bone",
""
)
)
)</f>
        <v>No</v>
      </c>
      <c r="CI365" s="25" t="str">
        <f>IF(_xlfn.XLOOKUP(_xlfn.XLOOKUP(B365,'Base stats'!B:B,'Base stats'!E:E),Groups!A:A,Groups!BB:BB),"True","False")</f>
        <v>False</v>
      </c>
      <c r="CJ365" s="25" t="str">
        <f>IF(_xlfn.XLOOKUP(_xlfn.XLOOKUP(B365,'Base stats'!B:B,'Base stats'!E:E),Groups!A:A,Groups!BA:BA),"True","False")</f>
        <v>False</v>
      </c>
    </row>
    <row r="366" spans="1:88" ht="16.5" thickTop="1" thickBot="1" x14ac:dyDescent="0.3">
      <c r="A366" s="26" t="s">
        <v>1973</v>
      </c>
      <c r="B366" s="6" t="str">
        <f>_xlfn.XLOOKUP(A366,'Base stats'!A:A,'Base stats'!B:B)</f>
        <v>Parasaurolophus walkeri</v>
      </c>
      <c r="C366" s="28" t="s">
        <v>2040</v>
      </c>
      <c r="D366" s="28" t="s">
        <v>1898</v>
      </c>
      <c r="E366" s="28" t="s">
        <v>673</v>
      </c>
      <c r="F366" s="28" t="s">
        <v>673</v>
      </c>
      <c r="G366" s="28" t="s">
        <v>673</v>
      </c>
      <c r="H366" s="2">
        <f>MROUND((
  (IF(AND(_xlfn.XLOOKUP(B366,'Base stats'!B:B,'Base stats'!AL:AL)=0,BI366="None",_xlfn.XLOOKUP(_xlfn.XLOOKUP(B366,'Base stats'!B:B,'Base stats'!E:E),Groups!A:A,Groups!B:B)=0), (18 + BR366 * 2.7) * 0.5,
    IF(AND(_xlfn.XLOOKUP(B366,'Base stats'!B:B,'Base stats'!AL:AL)=0,OR(AO366&lt;0.55,AND(BI366="Intermediate",_xlfn.XLOOKUP(_xlfn.XLOOKUP(B366,'Base stats'!B:B,'Base stats'!E:E),Groups!A:A,Groups!B:B)&lt;2))), (18 + BR366 * 2.7),
      IF(OR(BI366="Advanced",_xlfn.XLOOKUP(B366,'Base stats'!B:B,'Base stats'!AL:AL)=1,_xlfn.XLOOKUP(_xlfn.XLOOKUP(B366,'Base stats'!B:B,'Base stats'!E:E),Groups!A:A,Groups!B:B)=2), (18 + BR366 * 2.7) + 250, (18 + BR366 * 2.7))
    )
  ))
  + AO366 * 80
  + IF(COUNTIF(EggMilk!K$2:K$998, A366) &gt; 0, 125, 0)
  + IF(COUNTIF(EggMilk!P$2:P$998, A366) &gt; 0, 90, 0)
  + IF(COUNTIF(EggMilk!A$2:A$998, A366) &gt; 0, 90, 0)
)
* (0.8 + 0.4 * J366)
* 0.75,25)</f>
        <v>1550</v>
      </c>
      <c r="I366" s="2">
        <f>MROUND(ROUNDDOWN(_xlfn.XLOOKUP(B366,'Base stats'!B:B,'Base stats'!L:L)/3.6/(23.3/11),1),0.5)</f>
        <v>3.5</v>
      </c>
      <c r="J366" s="2">
        <f>IF(OR(_xlfn.XLOOKUP(B366,'Base stats'!B:B,'Base stats'!AB:AB)=1,_xlfn.XLOOKUP(_xlfn.XLOOKUP(B366,'Base stats'!B:B,'Base stats'!E:E),Groups!A:A,Groups!C:C)="Untamable"),1,IF(_xlfn.XLOOKUP(B366,'Base stats'!B:B,'Base stats'!AL:AL)=1,0.99,MIN(MROUND((1-0.6282*EXP(-0.459*AO366))*_xlfn.XLOOKUP(_xlfn.XLOOKUP(B366,'Base stats'!B:B,'Base stats'!E:E),Groups!A:A,Groups!C:C)*IF(_xlfn.XLOOKUP(B366,'Base stats'!B:B,'Base stats'!O:O)=1,0.5,IF(_xlfn.XLOOKUP(B366,'Base stats'!B:B,'Base stats'!O:O)=2,0,1)),0.05),IF(AO366&gt;3.5,0.985,0.95))))</f>
        <v>0.95000000000000007</v>
      </c>
      <c r="K366" s="2">
        <f>ROUNDUP(AO366*_xlfn.XLOOKUP(_xlfn.XLOOKUP(B366,'Base stats'!B:B,'Base stats'!E:E),Groups!A:A,Groups!E:E),0)</f>
        <v>25</v>
      </c>
      <c r="L366" s="2">
        <f>IF(OR(_xlfn.XLOOKUP(_xlfn.XLOOKUP(B366,'Base stats'!B:B,'Base stats'!E:E),Groups!A:A,Groups!F:F)=2,ISNUMBER(SEARCH("SeaIce",BX366)),ISNUMBER(SEARCH("IceSheet",BX366))),-50,IF(OR(ISNUMBER(SEARCH("GlacialPlain",BX366)),ISNUMBER(SEARCH("Tundra",BX366))),-40,IF(OR(ISNUMBER(SEARCH("Alpine",BX366)),ISNUMBER(SEARCH("BorealForest",BX366)),ISNUMBER(SEARCH("ColdBog",BX366))),-30,IF(OR(ISNUMBER(SEARCH("TemperateForest",BX366)),ISNUMBER(SEARCH("TemperateSwamp",BX366))),-20,IF(_xlfn.XLOOKUP(_xlfn.XLOOKUP(B366,'Base stats'!B:B,'Base stats'!E:E),Groups!A:A,Groups!F:F)=1,-15,IF(OR(ISNUMBER(SEARCH("Desert",BX366)),ISNUMBER(SEARCH("ExtremeDesert",BX366))),-10,IF(OR(ISNUMBER(SEARCH("Grasslands",BX366)),ISNUMBER(SEARCH("TropicalRainforest",BX366)),ISNUMBER(SEARCH("TropicalSwamp",BX366))),10,0)))))))-IF(CC366="False",MIN(IFERROR(MAX(MROUND(LOG10(_xlfn.XLOOKUP(B366,'Base stats'!B:B,'Base stats'!C:C)^(2/3))*10,5),5),5),30))-_xlfn.XLOOKUP(B366,'Base stats'!B:B,'Base stats'!P:P)+IF(CC366="True",5,0)</f>
        <v>-15</v>
      </c>
      <c r="M366" s="2">
        <f>IF(OR(_xlfn.XLOOKUP(_xlfn.XLOOKUP(B366,'Base stats'!B:B,'Base stats'!E:E),Groups!A:A,Groups!G:G)=2,ISNUMBER(SEARCH("Desert",BX366)),ISNUMBER(SEARCH("ExtremeDesert",BX366)),ISNUMBER(SEARCH("LavaField",BX366))),50,IF(ISNUMBER(SEARCH("Grasslands",BX366)),45,IF(OR(_xlfn.XLOOKUP(_xlfn.XLOOKUP(B366,'Base stats'!B:B,'Base stats'!E:E),Groups!A:A,Groups!G:G)=1,ISNUMBER(SEARCH("TropicalRainforest",BX366)),ISNUMBER(SEARCH("TropicalSwamp",BX366))),40,IF(OR(ISNUMBER(SEARCH("TemperateForest",BX366)),ISNUMBER(SEARCH("TemperateSwamp",BX366))),35,IF(OR(ISNUMBER(SEARCH("Alpine",BX366)),ISNUMBER(SEARCH("BorealForest",BX366)),ISNUMBER(SEARCH("ColdBog",BX366))),30,IF(ISNUMBER(OR(ISNUMBER(SEARCH("GlacialPlain",BX366)),SEARCH("Tundra",BX366))),25,IF(OR(ISNUMBER(SEARCH("SeaIce",BX366)),ISNUMBER(SEARCH("IceSheet",BX366)),ISNUMBER(SEARCH("TropicalSwamp",BX366))),10,35)))))))+_xlfn.XLOOKUP(B366,'Base stats'!B:B,'Base stats'!Q:Q)</f>
        <v>40</v>
      </c>
      <c r="N366" s="8" t="str">
        <f>IF(
_xlfn.XLOOKUP(
_xlfn.XLOOKUP(B366,'Base stats'!B:B,'Base stats'!E:E),
Groups!A:A,
Groups!L:L
)=1,
MIN(
MROUND(
IF(
_xlfn.XLOOKUP(B366,'Animals CE'!B:B,'Animals CE'!Z:Z)&lt;=1.5,
_xlfn.XLOOKUP(B366,'Animals CE'!B:B,'Animals CE'!Z:Z)/2+0.05,
0.8+
(_xlfn.XLOOKUP(B366,'Animals CE'!B:B,'Animals CE'!Z:Z)-1.5)
*0.02
),
0.05
),
200%
),
"No"
)</f>
        <v>No</v>
      </c>
      <c r="O366" s="8" t="str">
        <f>IF(
_xlfn.XLOOKUP(
_xlfn.XLOOKUP(B366,'Base stats'!B:B,'Base stats'!E:E),
Groups!A:A,
Groups!L:L
)=1,
MIN(
MROUND(
IF(
_xlfn.XLOOKUP(B366,'Animals CE'!B:B,'Animals CE'!AA:AA)&lt;=1.5,
_xlfn.XLOOKUP(B366,'Animals CE'!B:B,'Animals CE'!AA:AA)/2+0.05,
0.8+
(_xlfn.XLOOKUP(B366,'Animals CE'!B:B,'Animals CE'!AA:AA)-1.5)
*0.02
),
0.05
),
200%
),
"No"
)</f>
        <v>No</v>
      </c>
      <c r="P366" s="2" t="str">
        <f>_xlfn.XLOOKUP(B366,'Base stats'!B:B,'Base stats'!R:R)</f>
        <v>Standard</v>
      </c>
      <c r="Q366" s="13">
        <f>MROUND((LOG10(_xlfn.XLOOKUP(B366,'Base stats'!B:B,'Base stats'!AR:AR))*(AO366^0.5)+(_xlfn.XLOOKUP(B366,'Base stats'!B:B,'Base stats'!AR:AR)/1000)^(2/3)+_xlfn.XLOOKUP(B366,'Base stats'!B:B,'Base stats'!BA:BA)/2)+0.5,0.5)</f>
        <v>37.5</v>
      </c>
      <c r="R366" s="7">
        <f>IF(Q366="No","No",MAX(1,MROUND(_xlfn.XLOOKUP(B366,'Base stats'!B:B,'Base stats'!C:C)^0.165,0.05)))</f>
        <v>4.1000000000000005</v>
      </c>
      <c r="S366" s="13">
        <f>IF(_xlfn.XLOOKUP(_xlfn.XLOOKUP(B366,'Base stats'!B:B,'Base stats'!E:E),Groups!A:A,Groups!P:P)=0,"No",MROUND((LOG10(_xlfn.XLOOKUP(B366,'Base stats'!B:B,'Base stats'!AS:AS))*(AO366^0.5)+(_xlfn.XLOOKUP(B366,'Base stats'!B:B,'Base stats'!AS:AS)/1000)^(2/3)+_xlfn.XLOOKUP(B366,'Base stats'!B:B,'Base stats'!BA:BA))+_xlfn.XLOOKUP(B366,'Base stats'!B:B,'Base stats'!AY:AY)+0.5,0.5))</f>
        <v>44</v>
      </c>
      <c r="T366" s="7">
        <f>IF(S366="No","No",MAX(_xlfn.XLOOKUP(_xlfn.XLOOKUP(B366,'Base stats'!B:B,'Base stats'!E:E),Groups!A:A,Groups!Q:Q),MROUND(_xlfn.XLOOKUP(_xlfn.XLOOKUP(B366,'Base stats'!B:B,'Base stats'!E:E),Groups!A:A,Groups!Q:Q)*_xlfn.XLOOKUP(B366,'Base stats'!B:B,'Base stats'!C:C)^0.165,0.05)))</f>
        <v>4.1000000000000005</v>
      </c>
      <c r="U366" s="7" t="str">
        <f>IF(S366="No","No",_xlfn.XLOOKUP(_xlfn.XLOOKUP(B366,'Base stats'!B:B,'Base stats'!E:E),Groups!A:A,Groups!R:R))</f>
        <v>FrontLeftLeg, FrontRightLeg</v>
      </c>
      <c r="V366" s="7" t="str">
        <f>IF(S366="No","No",_xlfn.XLOOKUP(_xlfn.XLOOKUP(B366,'Base stats'!B:B,'Base stats'!E:E),Groups!A:A,Groups!S:S))</f>
        <v>left leg, right leg</v>
      </c>
      <c r="W366" s="7" t="str">
        <f>IF(S366="No","No",_xlfn.XLOOKUP(_xlfn.XLOOKUP(B366,'Base stats'!B:B,'Base stats'!E:E),Groups!A:A,Groups!T:T))</f>
        <v>Blunt</v>
      </c>
      <c r="X366" s="13" t="str">
        <f>IF(_xlfn.XLOOKUP(B366,'Base stats'!B:B,'Base stats'!W:W)="No","No",MROUND((LOG10(_xlfn.XLOOKUP(B366,'Base stats'!B:B,'Base stats'!AU:AU))*(AO366^0.5)+(_xlfn.XLOOKUP(B366,'Base stats'!B:B,'Base stats'!AU:AU)/1000)^(2/3)+_xlfn.XLOOKUP(B366,'Base stats'!B:B,'Base stats'!AZ:AZ))+0.5+IF(_xlfn.XLOOKUP(_xlfn.XLOOKUP(B366,'Base stats'!B:B,'Base stats'!E:E),Groups!A:A,Groups!U:U)&lt;&gt;3,_xlfn.XLOOKUP(B366,'Base stats'!B:B,'Base stats'!BA:BA),0),0.5))</f>
        <v>No</v>
      </c>
      <c r="Y366" s="7" t="str">
        <f>IF(X366="No","No",MAX(_xlfn.XLOOKUP(_xlfn.XLOOKUP(B366,'Base stats'!B:B,'Base stats'!E:E),Groups!A:A,Groups!V:V),MROUND(_xlfn.XLOOKUP(_xlfn.XLOOKUP(B366,'Base stats'!B:B,'Base stats'!E:E),Groups!A:A,Groups!V:V)*_xlfn.XLOOKUP(B366,'Base stats'!B:B,'Base stats'!C:C)^0.165,0.05)))</f>
        <v>No</v>
      </c>
      <c r="Z366" s="7" t="str">
        <f>IF(X366="No","No",_xlfn.XLOOKUP(_xlfn.XLOOKUP(B366,'Base stats'!B:B,'Base stats'!E:E),Groups!A:A,Groups!W:W))</f>
        <v>No</v>
      </c>
      <c r="AA366" s="7" t="str">
        <f>IF(X366="No","No",_xlfn.XLOOKUP(_xlfn.XLOOKUP(B366,'Base stats'!B:B,'Base stats'!E:E),Groups!A:A,Groups!X:X))</f>
        <v>No</v>
      </c>
      <c r="AB366" s="7" t="str">
        <f>IF(X366="No","No",_xlfn.XLOOKUP(_xlfn.XLOOKUP(B366,'Base stats'!B:B,'Base stats'!E:E),Groups!A:A,Groups!Y:Y))</f>
        <v>No</v>
      </c>
      <c r="AC366" s="7" t="str">
        <f>_xlfn.XLOOKUP(Animals!B366,'Base stats'!B:B,'Base stats'!X:X)</f>
        <v>False</v>
      </c>
      <c r="AD366" s="13" t="str">
        <f>IF(_xlfn.XLOOKUP(B366,'Base stats'!B:B,'Base stats'!AT:AT)="No","No",MROUND((LOG10(_xlfn.XLOOKUP(B366,'Base stats'!B:B,'Base stats'!AT:AT))*(AO366^0.75)+(_xlfn.XLOOKUP(B366,'Base stats'!B:B,'Base stats'!AT:AT)/1000)^(2/3)+_xlfn.XLOOKUP(B366,'Base stats'!B:B,'Base stats'!AX:AX)+_xlfn.XLOOKUP(B366,'Base stats'!B:B,'Base stats'!BA:BA))+0.5,0.5))</f>
        <v>No</v>
      </c>
      <c r="AE366" s="7" t="str">
        <f>IF(AD366="No","No",MAX(_xlfn.XLOOKUP(_xlfn.XLOOKUP(B366,'Base stats'!B:B,'Base stats'!E:E),Groups!A:A,Groups!Z:Z),MROUND(_xlfn.XLOOKUP(_xlfn.XLOOKUP(B366,'Base stats'!B:B,'Base stats'!E:E),Groups!A:A,Groups!Z:Z)*_xlfn.XLOOKUP(B366,'Base stats'!B:B,'Base stats'!C:C)^0.165,0.05)))</f>
        <v>No</v>
      </c>
      <c r="AF366" s="7" t="str">
        <f>IF(AD366="No","No",_xlfn.XLOOKUP(_xlfn.XLOOKUP(B366,'Base stats'!B:B,'Base stats'!E:E),Groups!A:A,Groups!AA:AA))</f>
        <v>No</v>
      </c>
      <c r="AG366" s="7" t="str">
        <f>IF(AD366="No","No",_xlfn.XLOOKUP(_xlfn.XLOOKUP(B366,'Base stats'!B:B,'Base stats'!E:E),Groups!A:A,Groups!AB:AB))</f>
        <v>No</v>
      </c>
      <c r="AH366" s="7" t="str">
        <f>IF(AD366="No","No",_xlfn.XLOOKUP(_xlfn.XLOOKUP(B366,'Base stats'!B:B,'Base stats'!E:E),Groups!A:A,Groups!AC:AC))</f>
        <v>No</v>
      </c>
      <c r="AI366" s="13" t="str">
        <f>IF(_xlfn.XLOOKUP(_xlfn.XLOOKUP(B366,'Base stats'!B:B,'Base stats'!E:E),Groups!A:A,Groups!AD:AD)=0,"No",MROUND((LOG10(_xlfn.XLOOKUP(B366,'Base stats'!B:B,'Base stats'!AS:AS))*(AO366^0.75)+(_xlfn.XLOOKUP(B366,'Base stats'!B:B,'Base stats'!AS:AS)/1000)^(2/3)+_xlfn.XLOOKUP(B366,'Base stats'!B:B,'Base stats'!AY:AY)+_xlfn.XLOOKUP(B366,'Base stats'!B:B,'Base stats'!BA:BA))+0.5,0.5))</f>
        <v>No</v>
      </c>
      <c r="AJ366" s="7" t="str">
        <f>IF(AI366="No","No",MAX(_xlfn.XLOOKUP(_xlfn.XLOOKUP(B366,'Base stats'!B:B,'Base stats'!E:E),Groups!A:A,Groups!AE:AE),MROUND(_xlfn.XLOOKUP(_xlfn.XLOOKUP(B366,'Base stats'!B:B,'Base stats'!E:E),Groups!A:A,Groups!AE:AE)*IF(_xlfn.XLOOKUP(_xlfn.XLOOKUP(B366,'Base stats'!B:B,'Base stats'!E:E),Groups!A:A,Groups!AJ:AJ)="Photonozoa",0.6,1)*_xlfn.XLOOKUP(B366,'Base stats'!B:B,'Base stats'!C:C)^0.165,0.05)))</f>
        <v>No</v>
      </c>
      <c r="AK366" s="7" t="str">
        <f>IF(AI366="No","No",_xlfn.XLOOKUP(_xlfn.XLOOKUP(B366,'Base stats'!B:B,'Base stats'!E:E),Groups!A:A,Groups!AF:AF))</f>
        <v>No</v>
      </c>
      <c r="AL366" s="7" t="str">
        <f>IF(AI366="No","No",_xlfn.XLOOKUP(_xlfn.XLOOKUP(B366,'Base stats'!B:B,'Base stats'!E:E),Groups!A:A,Groups!AG:AG))</f>
        <v>No</v>
      </c>
      <c r="AM366" s="7" t="str">
        <f>IF(AI366="No","No",_xlfn.XLOOKUP(_xlfn.XLOOKUP(B366,'Base stats'!B:B,'Base stats'!E:E),Groups!A:A,Groups!AH:AH))</f>
        <v>No</v>
      </c>
      <c r="AN366" s="2" t="str">
        <f t="shared" si="35"/>
        <v>No</v>
      </c>
      <c r="AO366" s="2">
        <f>MROUND(IF(AND(_xlfn.XLOOKUP(B366,'Base stats'!B:B,'Base stats'!C:C)&gt;=0.5,_xlfn.XLOOKUP(B366,'Base stats'!B:B,'Base stats'!C:C)&lt;=0.8),
IF(_xlfn.XLOOKUP(B366,'Base stats'!B:B,'Base stats'!C:C)&lt;0.1,0.05,IF(_xlfn.XLOOKUP(B366,'Base stats'!B:B,'Base stats'!C:C)&lt;=70,(_xlfn.XLOOKUP(B366,'Base stats'!B:B,'Base stats'!C:C)/70)^0.426489913056526,IF(_xlfn.XLOOKUP(B366,'Base stats'!B:B,'Base stats'!C:C)&lt;=400,(_xlfn.XLOOKUP(B366,'Base stats'!B:B,'Base stats'!C:C)/70)^0.572811455315093,IF(_xlfn.XLOOKUP(B366,'Base stats'!B:B,'Base stats'!C:C)&lt;=2000,2.71391647193063*(_xlfn.XLOOKUP(B366,'Base stats'!B:B,'Base stats'!C:C)/400)^0.252459582904293,3.74314280240376*(_xlfn.XLOOKUP(B366,'Base stats'!B:B,'Base stats'!C:C)/2000)^0.357012633876913)))),
IF(_xlfn.XLOOKUP(B366,'Base stats'!B:B,'Base stats'!C:C)&lt;0.1,0.05,IF(_xlfn.XLOOKUP(B366,'Base stats'!B:B,'Base stats'!C:C)&lt;0.4,0.1,IF(_xlfn.XLOOKUP(B366,'Base stats'!B:B,'Base stats'!C:C)&lt;=70,(_xlfn.XLOOKUP(B366,'Base stats'!B:B,'Base stats'!C:C)/70)^0.445823913056526,IF(_xlfn.XLOOKUP(B366,'Base stats'!B:B,'Base stats'!C:C)&lt;=400,(_xlfn.XLOOKUP(B366,'Base stats'!B:B,'Base stats'!C:C)/70)^0.572811455315093,IF(_xlfn.XLOOKUP(B366,'Base stats'!B:B,'Base stats'!C:C)&lt;=2000,2.71391647193063*(_xlfn.XLOOKUP(B366,'Base stats'!B:B,'Base stats'!C:C)/400)^0.252459582904293,3.74314280240376*(_xlfn.XLOOKUP(B366,'Base stats'!B:B,'Base stats'!C:C)/2000)^0.357012633876913)))))),
IF(_xlfn.XLOOKUP(B366,'Base stats'!B:B,'Base stats'!C:C)&lt;0.1,0.05,IF(_xlfn.XLOOKUP(B366,'Base stats'!B:B,'Base stats'!C:C)&lt;=100,0.05,IF(_xlfn.XLOOKUP(B366,'Base stats'!B:B,'Base stats'!C:C)&lt;=250,0.1,IF(_xlfn.XLOOKUP(B366,'Base stats'!B:B,'Base stats'!C:C)&lt;=4000,0.25,0.5)))))</f>
        <v>5</v>
      </c>
      <c r="AP366" s="8">
        <f>MROUND(AO366*_xlfn.XLOOKUP(_xlfn.XLOOKUP(B366,'Base stats'!B:B,'Base stats'!E:E),Groups!A:A,Groups!AI:AI)*_xlfn.XLOOKUP(B366,'Base stats'!B:B,'Base stats'!Z:Z),0.05)</f>
        <v>5</v>
      </c>
      <c r="AQ366" s="8">
        <f>MAX(0.01,MROUND(IF(CC366="True",0.196*(AO366*100*1000)^0.889,IF(_xlfn.XLOOKUP(_xlfn.XLOOKUP(B366,'Base stats'!B:B,'Base stats'!E:E),Groups!A:A,Groups!AJ:AJ)="Bird",10.5*(AO366*100*1000)^0.681,4.82*(AO366*100*1000)^0.734))/(4.82*(1*100*1000)^0.734)/IF(AO366&lt;3.5,2,IF(AO366=3.5,1.5,1.25))*(1+0.132282374779864/(AO366^0.994035016789033+0.00905238001496948)),0.05))</f>
        <v>2.9000000000000004</v>
      </c>
      <c r="AR366" s="9">
        <f>IFERROR(MROUND(_xlfn.XLOOKUP(B366,'Base stats'!B:B,'Base stats'!H:H)/IF(_xlfn.XLOOKUP(B366,'Base stats'!B:B,'Base stats'!I:I)&lt;&gt;1,(122.5/70),1.2),IF(_xlfn.XLOOKUP(B366,'Base stats'!B:B,'Base stats'!H:H)&gt;=30,5,IF(_xlfn.XLOOKUP(B366,'Base stats'!B:B,'Base stats'!H:H)&gt;=15,3,IF(_xlfn.XLOOKUP(B366,'Base stats'!B:B,'Base stats'!H:H)&gt;=10,2,1)))),"Immortal")</f>
        <v>12</v>
      </c>
      <c r="AS366" s="35" t="str">
        <f>IFERROR(IF(OR(_xlfn.XLOOKUP(B366,'Base stats'!B:B,'Base stats'!F:F)="Atypical reproduction",_xlfn.XLOOKUP(B366,'Base stats'!B:B,'Base stats'!F:F)="Lay eggs"),"Lay eggs",MIN(20,MAX(5.5,ROUND(((_xlfn.XLOOKUP(B366,'Base stats'!B:B,'Base stats'!F:F)-25)*(14.5/615) + 5.5)*2,0)/2))),"Unknown")</f>
        <v>Lay eggs</v>
      </c>
      <c r="AT366" s="8">
        <f>IF(_xlfn.XLOOKUP(B366,'Base stats'!B:B,'Base stats'!G:G)="Atypical reproduction","No",IFERROR(MAX(IF(_xlfn.XLOOKUP(B366,'Base stats'!B:B,'Base stats'!G:G)&lt;0.5,0.2,0.3),MROUND(_xlfn.XLOOKUP(B366,'Base stats'!B:B,'Base stats'!G:G)/(365/60),0.2)),"Unknown"))</f>
        <v>0.4</v>
      </c>
      <c r="AU366" s="8">
        <f t="shared" si="36"/>
        <v>0.2</v>
      </c>
      <c r="AV366" s="8" t="str">
        <f>IFERROR(IFERROR(MROUND(_xlfn.XLOOKUP(B366,'Base stats'!B:B,'Base stats'!J:J),0.1),"Lay eggs"),"Cannot breed")</f>
        <v>Lay eggs</v>
      </c>
      <c r="AW366" s="2" t="str">
        <f t="shared" si="37"/>
        <v>true</v>
      </c>
      <c r="AX366" s="2" t="str">
        <f>IF(_xlfn.XLOOKUP(_xlfn.XLOOKUP(Animals!B366,'Base stats'!B:B,'Base stats'!E:E),Groups!A:A,Groups!AK:AK)=1,"true","false")</f>
        <v>true</v>
      </c>
      <c r="AY366" s="25" t="str">
        <f>IF(_xlfn.XLOOKUP(B366,'Base stats'!B:B,'Base stats'!Y:Y)="Liquor","Liquor, CarnivoreAnimalStrict",IF(AND(_xlfn.XLOOKUP(B366,'Base stats'!B:B,'Base stats'!Y:Y)="Carnivore",_xlfn.XLOOKUP(_xlfn.XLOOKUP(B366,'Base stats'!B:B,'Base stats'!E:E),Groups!A:A,Groups!AJ:AJ)="Photonozoa"),"CarnivoreAnimalStrict, OvivoreAnimal",IF(_xlfn.XLOOKUP(B366,'Base stats'!B:B,'Base stats'!Y:Y)="Carnivore","CarnivoreAnimal, OvivoreAnimal",IF(_xlfn.XLOOKUP(B366,'Base stats'!B:B,'Base stats'!Y:Y)="Dendrovore","VegetarianRoughAnimal, DendrovoreAnimal",IF(_xlfn.XLOOKUP(B366,'Base stats'!B:B,'Base stats'!Y:Y)="Herbivore","VegetarianRoughAnimal",IF(_xlfn.XLOOKUP(B366,'Base stats'!B:B,'Base stats'!Y:Y)="OmnivoreRough","OmnivoreRoughAnimal, OvivoreAnimal","OmnivoreAnimal, OvivoreAnimal"))))))</f>
        <v>VegetarianRoughAnimal</v>
      </c>
      <c r="AZ366" s="2">
        <f>IF(_xlfn.XLOOKUP(_xlfn.XLOOKUP(B366,'Base stats'!B:B,'Base stats'!E:E),Groups!A:A,Groups!D:D)=1,MROUND((1-J366)*5+1,2)*IF(J366&lt;=0.4,2,1),"No")</f>
        <v>2</v>
      </c>
      <c r="BA366" s="2" t="str">
        <f>IF(AND(_xlfn.XLOOKUP(B366,'Base stats'!B:B,'Base stats'!AH:AH)="&lt;li&gt;Seal&lt;/li&gt;",G366="Odyssey"),"&lt;li&gt;AEXP_Seal&lt;/li&gt;",_xlfn.XLOOKUP(B366,'Base stats'!B:B,'Base stats'!AH:AH))</f>
        <v>No</v>
      </c>
      <c r="BB366" s="2" t="str">
        <f>_xlfn.XLOOKUP(B366,'Base stats'!B:B,'Base stats'!AG:AG)</f>
        <v>Leather_DinosaurHide</v>
      </c>
      <c r="BC366" s="23" t="str">
        <f>_xlfn.XLOOKUP(_xlfn.XLOOKUP(B366,'Base stats'!B:B,'Base stats'!E:E),Groups!A:A,Groups!AL:AL)</f>
        <v>Hadrosaurid</v>
      </c>
      <c r="BD366" s="23">
        <f>MIN(1,MROUND(IF(AND(AO366&lt;0.5,_xlfn.XLOOKUP(B366,'Base stats'!B:B,'Base stats'!AA:AA)=0),0,IF(OR(_xlfn.XLOOKUP(Animals!B366,'Base stats'!B:B,'Base stats'!O:O)=2,_xlfn.XLOOKUP(_xlfn.XLOOKUP(B366,'Base stats'!B:B,'Base stats'!E:E),Groups!A:A,Groups!AN:AN)=0),0,_xlfn.XLOOKUP(_xlfn.XLOOKUP(B366,'Base stats'!B:B,'Base stats'!E:E),Groups!A:A,Groups!AN:AN)/IF(_xlfn.XLOOKUP(Animals!B366,'Base stats'!B:B,'Base stats'!O:O)=1,2,1)))+_xlfn.XLOOKUP(B366,'Base stats'!B:B,'Base stats'!AC:AC),0.005))</f>
        <v>0</v>
      </c>
      <c r="BE366" s="23">
        <f>MIN(1,MROUND(IF(AND(AO366&lt;0.5,_xlfn.XLOOKUP(B366,'Base stats'!B:B,'Base stats'!AA:AA)=0),0,IF(_xlfn.XLOOKUP(_xlfn.XLOOKUP(B366,'Base stats'!B:B,'Base stats'!E:E),Groups!A:A,Groups!AO:AO)=0,0,_xlfn.XLOOKUP(_xlfn.XLOOKUP(B366,'Base stats'!B:B,'Base stats'!E:E),Groups!A:A,Groups!AO:AO)/IF(_xlfn.XLOOKUP(Animals!B366,'Base stats'!B:B,'Base stats'!O:O)=2,3,1)))+_xlfn.XLOOKUP(B366,'Base stats'!B:B,'Base stats'!AD:AD),0.005))</f>
        <v>0</v>
      </c>
      <c r="BF366" s="2" t="str">
        <f>IF(J366&gt;0.3,"No",_xlfn.XLOOKUP(_xlfn.XLOOKUP(Animals!B366,'Base stats'!B:B,'Base stats'!E:E),Groups!A:A,Groups!AP:AP))</f>
        <v>No</v>
      </c>
      <c r="BG366" s="2" t="str">
        <f>IF(AND(J366&lt;=0.65,_xlfn.XLOOKUP(_xlfn.XLOOKUP(Animals!B366,'Base stats'!B:B,'Base stats'!E:E),Groups!A:A,Groups!AP:AP)&lt;&gt;"No",_xlfn.XLOOKUP(_xlfn.XLOOKUP(B366,'Base stats'!B:B,'Base stats'!E:E),Groups!A:A,Groups!D:D)=0),MROUND((80/3)*IF(_xlfn.XLOOKUP(B366,'Base stats'!B:B,'Base stats'!O:O)=2,0.2,AO366) + 24*(1-IF(BF366="No",0,BF366)) + 16/3, 12),"No")</f>
        <v>No</v>
      </c>
      <c r="BH366" s="2">
        <f>IF(AND(_xlfn.XLOOKUP(_xlfn.XLOOKUP(B366,'Base stats'!B:B,'Base stats'!E:E),Groups!A:A,Groups!AQ:AQ)=1,AO366&lt;=0.35),8,12)</f>
        <v>12</v>
      </c>
      <c r="BI366" s="2" t="str">
        <f>IF(_xlfn.XLOOKUP(_xlfn.XLOOKUP(B366,'Base stats'!B:B,'Base stats'!E:E),Groups!A:A,Groups!D:D)=0,_xlfn.XLOOKUP(_xlfn.XLOOKUP(B366,'Base stats'!B:B,'Base stats'!E:E),Groups!A:A,Groups!AR:AR),"None")</f>
        <v>None</v>
      </c>
      <c r="BJ366" s="2" t="str">
        <f>IF(AND(_xlfn.XLOOKUP(_xlfn.XLOOKUP(B366,'Base stats'!B:B,'Base stats'!E:E),Groups!A:A,Groups!AS:AS)=1,OR(_xlfn.XLOOKUP(B366,'Base stats'!B:B,'Base stats'!Y:Y)="Carnivore",_xlfn.XLOOKUP(B366,'Base stats'!B:B,'Base stats'!Y:Y)="Omnivore")),"true","false")</f>
        <v>false</v>
      </c>
      <c r="BK366" s="2" t="str">
        <f>IF(BJ366="true",MROUND(IF(AND(AO366&gt;0.5,OR(_xlfn.XLOOKUP(_xlfn.XLOOKUP(B366,'Base stats'!B:B,'Base stats'!E:E),Groups!A:A,Groups!AJ:AJ)="Photonozoa",_xlfn.XLOOKUP(_xlfn.XLOOKUP(B366,'Base stats'!B:B,'Base stats'!E:E),Groups!A:A,Groups!AJ:AJ)="Mammal")),Animals!AO366*1.75*IF(AW366="true",1.5,1),IF(AO366&lt;0.5,Animals!AO366*0.5,Animals!AO366)),IF(AO366&gt;2,0.5,IF(AO366&gt;0.5,0.25,0.1))),"No")</f>
        <v>No</v>
      </c>
      <c r="BL366" s="2">
        <f t="shared" si="38"/>
        <v>0</v>
      </c>
      <c r="BM366" s="25" t="str">
        <f>IF(_xlfn.XLOOKUP(B366,'Base stats'!B:B,'Base stats'!AN:AN)="Standard","No",MROUND((_xlfn.XLOOKUP(B366,'Base stats'!B:B,'Base stats'!AN:AN)/3.6)/I366,0.1))</f>
        <v>No</v>
      </c>
      <c r="BN366" s="25" t="str">
        <f t="shared" si="39"/>
        <v>false</v>
      </c>
      <c r="BO366" s="25" t="str">
        <f>IF(AND(OR(_xlfn.XLOOKUP(B366,'Base stats'!B:B,'Base stats'!Y:Y)="Carnivore",_xlfn.XLOOKUP(B366,'Base stats'!B:B,'Base stats'!Y:Y)="Omnivore",_xlfn.XLOOKUP(B366,'Base stats'!B:B,'Base stats'!Y:Y)="OmnivoreRough"),_xlfn.XLOOKUP(_xlfn.XLOOKUP(B366,'Base stats'!B:B,'Base stats'!E:E),Groups!A:A,Groups!AT:AT)=1),"true","false")</f>
        <v>false</v>
      </c>
      <c r="BP366" s="25" t="str" cm="1">
        <f t="array" ref="BP366">IF(
  _xlfn.TEXTJOIN(", ",TRUE,
    IF(AND(BJ366="true",AO366&gt;0.5,BI366&lt;&gt;"None"),"AttackTarget",""),
    IF(AND(_xlfn.XLOOKUP(_xlfn.XLOOKUP(B366,'Base stats'!B:B,'Base stats'!E:E),Groups!A:A,Groups!AJ:AJ="Mammal"),OR(_xlfn.XLOOKUP(B366,'Base stats'!B:B,'Base stats'!Y:Y)="Omnivore",_xlfn.XLOOKUP(B366,'Base stats'!B:B,'Base stats'!Y:Y)="OmnivoreRough")),"Forage",""),
    IF(BG366&lt;=36,"Comfort",""),
    IF(_xlfn.XLOOKUP(B366,'Base stats'!B:B,'Base stats'!AE:AE)&lt;&gt;"No",_xlfn.XLOOKUP(B366,'Base stats'!B:B,'Base stats'!AE:AE),"")
  ) = "",
  "No",
  _xlfn.TEXTJOIN(", ",TRUE,
    IF(AND(BJ366="true",AO366&gt;0.5,BI366&lt;&gt;"None"),"AttackTarget",""),
    IF(AND(_xlfn.XLOOKUP(_xlfn.XLOOKUP(B366,'Base stats'!B:B,'Base stats'!E:E),Groups!A:A,Groups!AJ:AJ="Mammal"),OR(_xlfn.XLOOKUP(B366,'Base stats'!B:B,'Base stats'!Y:Y)="Omnivore",_xlfn.XLOOKUP(B366,'Base stats'!B:B,'Base stats'!Y:Y)="OmnivoreRough")),"Forage",""),
    IF(BG366&lt;=36,"Comfort",""),
    IF(_xlfn.XLOOKUP(B366,'Base stats'!B:B,'Base stats'!AE:AE)&lt;&gt;"No",_xlfn.XLOOKUP(B366,'Base stats'!B:B,'Base stats'!AE:AE),"")
  )
)</f>
        <v>No</v>
      </c>
      <c r="BQ366" s="25" t="str">
        <f>IF(
   AND(
      'Base stats'!AN366="Standard",_xlfn.XLOOKUP(_xlfn.XLOOKUP(B366,'Base stats'!B:B,'Base stats'!E:E),Groups!A:A,Groups!AU:AU)=0,
      OR(
      BO366="True"
      )
   ),
   10,
   IF(
       OR(BM366&lt;&gt;"No",_xlfn.XLOOKUP(_xlfn.XLOOKUP(B366,'Base stats'!B:B,'Base stats'!E:E),Groups!A:A,Groups!AU:AU)=1),
      1,
      "No"
   )
)</f>
        <v>No</v>
      </c>
      <c r="BR366" s="9">
        <f>MROUND((1 + ((0.2*IF(OR(Q366="No",R366="No",R366=0),0,Q366/R366)
+IF(OR(V366="No",S366="No",T366="No"),0,S366/T366*(LEN(V366)-LEN(SUBSTITUTE(V366,",",""))+1))
+IF(OR(X366="No",Y366="No"),0,X366/Y366)
+IF(OR(AD366="No",AE366="No"),0,AD366/AE366)
+IF(OR(AL366="No",AI366="No",AJ366="No"),0,AI366/AJ366*(LEN(AL366)-LEN(SUBSTITUTE(AL366,",",""))+1))
)/(0.2*IF(OR(Q366="No",R366="No",R366=0),0,1)
+IF(OR(V366="No",S366="No",T366="No"),0,LEN(V366)-LEN(SUBSTITUTE(V366,",",""))+1)
+IF(OR(X366="No",Y366="No"),0,1)
+IF(OR(AD366="No",AE366="No"),0,1)
+IF(OR(AL366="No",AI366="No",AJ366="No"),0,LEN(AL366)-LEN(SUBSTITUTE(AL366,",",""))+1))*62%)* 2)*(1 + (AP366 / (IF(_xlfn.XLOOKUP(_xlfn.XLOOKUP(B366,'Base stats'!B:B,'Base stats'!E:E),Groups!A:A,Groups!AJ:AJ)="Photonozoa",0.3,1)) + _xlfn.XLOOKUP(B366,'Base stats'!B:B,'Base stats'!AV:AV) * 1.8) * 2) * 2.5 + 10 + I366 * 2,5)+IF(_xlfn.XLOOKUP(B366,'Base stats'!B:B,'Base stats'!AK:AK)=1,50,0)</f>
        <v>405</v>
      </c>
      <c r="BS366" s="8">
        <f t="shared" si="40"/>
        <v>3.3000000000000003</v>
      </c>
      <c r="BT366" s="8" t="str">
        <f>_xlfn.XLOOKUP(B366,'Base stats'!B:B,'Base stats'!AF:AF)</f>
        <v>3~10</v>
      </c>
      <c r="BU366" s="2" t="str">
        <f>IF(AND(J366&lt;=0.95,OR(_xlfn.XLOOKUP(B366,'Base stats'!B:B,'Base stats'!AK:AK)=1,_xlfn.XLOOKUP(B366,'Base stats'!B:B,'Base stats'!Y:Y)="Carnivore",_xlfn.XLOOKUP(B366,'Base stats'!B:B,'Base stats'!Y:Y)="Omnivore",BE366&gt;0.1)),"true","false")</f>
        <v>false</v>
      </c>
      <c r="BV366" s="2" t="str">
        <f>IF(_xlfn.XLOOKUP(B366,'Base stats'!B:B,'Base stats'!AI:AI)=1,"true","false")</f>
        <v>false</v>
      </c>
      <c r="BW366" s="25" t="str">
        <f>IF(E366="BaseInsect","AnimalInsect",
IF(J366&gt;0.95,"AnimalExotic",
_xlfn.TEXTJOIN(", ",TRUE,
IF(OR(_xlfn.XLOOKUP(B366,'Base stats'!B:B,'Base stats'!AM:AM)=1,AND(_xlfn.XLOOKUP(B366,'Base stats'!B:B,'Base stats'!O:O)=0,_xlfn.XLOOKUP(_xlfn.XLOOKUP(B366,'Base stats'!B:B,'Base stats'!E:E),Groups!A:A,Groups!B:B)&gt;0)),"AnimalUncommon","AnimalCommon"),
IF(AND(_xlfn.XLOOKUP(B366,'Base stats'!B:B,'Base stats'!O:O)=2,_xlfn.XLOOKUP(_xlfn.XLOOKUP(B366,'Base stats'!B:B,'Base stats'!E:E),Groups!A:A,Groups!D:D)=0),"AnimalPet",IF(AND(_xlfn.XLOOKUP(B366,'Base stats'!B:B,'Base stats'!O:O)&lt;&gt;0,_xlfn.XLOOKUP(_xlfn.XLOOKUP(B366,'Base stats'!B:B,'Base stats'!E:E),Groups!A:A,Groups!D:D)&lt;&gt;0),"AnimalFarm","")),
IF(OR(_xlfn.XLOOKUP(B366,'Base stats'!B:B,'Base stats'!AK:AK)=1,AND(BI366&lt;&gt;"None",BR366&gt;=60),ISNUMBER(SEARCH("Attack target",BP366))),"AnimalFighter","")
)))</f>
        <v>AnimalUncommon</v>
      </c>
      <c r="BX366" s="25" t="str">
        <f>IF(G366="None",TRIM(
SUBSTITUTE(
IF(COUNTIF(Biomes!B$2:B$259,"="&amp;$C366)&gt;0,Biomes!B$1&amp;", ","")&amp;
IF(COUNTIF(Biomes!C$2:C$259,"="&amp;$C366)&gt;0,Biomes!C$1&amp;", ","")&amp;
IF(COUNTIF(Biomes!D$2:D$259,"="&amp;$C366)&gt;0,Biomes!D$1&amp;", ","")&amp;
IF(COUNTIF(Biomes!F$2:F$259,"="&amp;$C366)&gt;0,Biomes!F$1&amp;", ","")&amp;
IF(COUNTIF(Biomes!G$2:G$259,"="&amp;$C366)&gt;0,Biomes!G$1&amp;", ","")&amp;
IF(COUNTIF(Biomes!H$2:H$259,"="&amp;$C366)&gt;0,Biomes!H$1&amp;", ","")&amp;
IF(COUNTIF(Biomes!I$2:I$259,"="&amp;$C366)&gt;0,Biomes!I$1&amp;", ","")&amp;
IF(COUNTIF(Biomes!J$2:J$259,"="&amp;$C366)&gt;0,Biomes!J$1&amp;", ","")&amp;
IF(COUNTIF(Biomes!M$2:M$259,"="&amp;$C366)&gt;0,Biomes!M$1&amp;", ","")&amp;
IF(COUNTIF(Biomes!N$2:N$259,"="&amp;$C366)&gt;0,Biomes!N$1&amp;", ","")&amp;
IF(COUNTIF(Biomes!O$2:O$259,"="&amp;$C366)&gt;0,Biomes!O$1&amp;", ","")&amp;
IF(COUNTIF(Biomes!P$2:P$259,"="&amp;$C366)&gt;0,Biomes!P$1&amp;", ","")&amp;
IF(COUNTIF(Biomes!K$2:K$259,"="&amp;$C366)&gt;0,Biomes!K$1&amp;", ","")&amp;
IF(COUNTIF(Biomes!Q$3:Q$259,"="&amp;$C366)&gt;0,Biomes!Q$1&amp;", ","")&amp;
IF(COUNTIF(Biomes!L$2:L$259,"="&amp;$C366)&gt;0,Biomes!L$1&amp;", ","")&amp;
IF(COUNTIF(Biomes!E$2:E$259,"="&amp;$C366)&gt;0,Biomes!E$1&amp;", ","")&amp;IF(COUNTIF(Biomes!S$2:S$259,"="&amp;$C366)&gt;0,Biomes!S$1&amp;", ","")&amp;
IF(COUNTIF(Biomes!R$2:R$259,"="&amp;$C366)&gt;0,Biomes!R$1&amp;", ",""),", ","")
),_xlfn.XLOOKUP(B366,B:B,BX:BX))</f>
        <v>TropicalRainforest TropicalSwamp Glowforest</v>
      </c>
      <c r="BY366" s="25" t="str">
        <f>IF(_xlfn.XLOOKUP(B366,'Base stats'!B:B,'Base stats'!AJ:AJ)=1,"true","false")</f>
        <v>false</v>
      </c>
      <c r="BZ366" s="25">
        <f>IF(_xlfn.XLOOKUP(B366,'Base stats'!B:B,'Base stats'!N:N)=1,"No",MAX(0.001,MIN(MROUND(IF(AND(BJ366="True",CC366="False"),POWER(10,3.47*LOG10(_xlfn.XLOOKUP(B366,'Base stats'!B:B,'Base stats'!C:C)*1000)^-0.96),POWER(10,4.15*LOG10(_xlfn.XLOOKUP(B366,'Base stats'!B:B,'Base stats'!C:C)*1000)^-0.73))*IF(_xlfn.XLOOKUP(B366,'Base stats'!B:B,'Base stats'!AK:AK)=1,0.5,1)*IF(_xlfn.XLOOKUP(B366,'Base stats'!B:B,'Base stats'!AM:AM)=1,0.1,1)/100,IF(_xlfn.XLOOKUP(B366,'Base stats'!B:B,'Base stats'!AM:AM)=1,0.001,0.025)),0.5)))</f>
        <v>0.1</v>
      </c>
      <c r="CA366" s="25" t="str">
        <f>IF(P366="Standard","No",MAX(0.001,MIN(MROUND(IF(AND(BJ366="True",CC366="False"),POWER(10,3.47*LOG10(_xlfn.XLOOKUP(B366,'Base stats'!B:B,'Base stats'!C:C)*1000)^-0.96),POWER(10,4.15*LOG10(_xlfn.XLOOKUP(B366,'Base stats'!B:B,'Base stats'!C:C)*1000)^-0.73))*IF(_xlfn.XLOOKUP(B366,'Base stats'!B:B,'Base stats'!AM:AM)=1,0.1,1)*_xlfn.XLOOKUP(B366,'Base stats'!B:B,'Base stats'!R:R)/100,IF(_xlfn.XLOOKUP(B366,'Base stats'!B:B,'Base stats'!AM:AM)=1,0.001,0.025)),0.5)))</f>
        <v>No</v>
      </c>
      <c r="CB366" s="25" t="str">
        <f>IF(_xlfn.XLOOKUP(_xlfn.XLOOKUP(B366,'Base stats'!B:B,'Base stats'!E:E),Groups!A:A,Groups!AJ:AJ)="Mammal","True","False")</f>
        <v>False</v>
      </c>
      <c r="CC366" s="25" t="str">
        <f>IF(OR(_xlfn.XLOOKUP(_xlfn.XLOOKUP(B366,'Base stats'!B:B,'Base stats'!E:E),Groups!A:A,Groups!AJ:AJ)="Reptile",_xlfn.XLOOKUP(_xlfn.XLOOKUP(B366,'Base stats'!B:B,'Base stats'!E:E),Groups!A:A,Groups!AJ:AJ)="Amphibian",_xlfn.XLOOKUP(_xlfn.XLOOKUP(B366,'Base stats'!B:B,'Base stats'!E:E),Groups!A:A,Groups!AJ:AJ)="Invertebrate"),"True","False")</f>
        <v>False</v>
      </c>
      <c r="CD366" s="25" t="str">
        <f t="shared" si="41"/>
        <v>False</v>
      </c>
      <c r="CE366" s="25" t="str">
        <f>IF(_xlfn.XLOOKUP(_xlfn.XLOOKUP(B366,'Base stats'!B:B,'Base stats'!E:E),Groups!A:A,Groups!AX:AX),"True","False")</f>
        <v>False</v>
      </c>
      <c r="CF366" s="25" t="str">
        <f>IF(_xlfn.XLOOKUP(_xlfn.XLOOKUP(B366,'Base stats'!B:B,'Base stats'!E:E),Groups!A:A,Groups!AY:AY),"True","False")</f>
        <v>False</v>
      </c>
      <c r="CG366" s="25" t="str">
        <f>IF(_xlfn.XLOOKUP(_xlfn.XLOOKUP(B366,'Base stats'!B:B,'Base stats'!E:E),Groups!A:A,Groups!AW:AW),"True","False")</f>
        <v>False</v>
      </c>
      <c r="CH366" s="25" t="str">
        <f>IF(
OR(
_xlfn.XLOOKUP(_xlfn.XLOOKUP(B366,'Base stats'!B:B,'Base stats'!E:E),Groups!A:A,Groups!AZ:AZ)=0,
AND(
_xlfn.XLOOKUP(B366,'Base stats'!B:B,'Base stats'!Y:Y)&lt;&gt;"Carnivore",
_xlfn.XLOOKUP(B366,'Base stats'!B:B,'Base stats'!Y:Y)&lt;&gt;"Omnivore",
_xlfn.XLOOKUP(B366,'Base stats'!B:B,'Base stats'!Y:Y)&lt;&gt;"OmnivoreRough"
)
),
"No",
IF(
_xlfn.XLOOKUP(_xlfn.XLOOKUP(B366,'Base stats'!B:B,'Base stats'!E:E),Groups!A:A,Groups!AZ:AZ)=1,
"Flesh",
IF(
_xlfn.XLOOKUP(_xlfn.XLOOKUP(B366,'Base stats'!B:B,'Base stats'!E:E),Groups!A:A,Groups!AZ:AZ)=2,
"Bone",
""
)
)
)</f>
        <v>No</v>
      </c>
      <c r="CI366" s="25" t="str">
        <f>IF(_xlfn.XLOOKUP(_xlfn.XLOOKUP(B366,'Base stats'!B:B,'Base stats'!E:E),Groups!A:A,Groups!BB:BB),"True","False")</f>
        <v>False</v>
      </c>
      <c r="CJ366" s="25" t="str">
        <f>IF(_xlfn.XLOOKUP(_xlfn.XLOOKUP(B366,'Base stats'!B:B,'Base stats'!E:E),Groups!A:A,Groups!BA:BA),"True","False")</f>
        <v>False</v>
      </c>
    </row>
    <row r="367" spans="1:88" ht="16.5" thickTop="1" thickBot="1" x14ac:dyDescent="0.3">
      <c r="A367" s="26" t="s">
        <v>1974</v>
      </c>
      <c r="B367" s="6" t="str">
        <f>_xlfn.XLOOKUP(A367,'Base stats'!A:A,'Base stats'!B:B)</f>
        <v>Corythosaurus casuarius</v>
      </c>
      <c r="C367" s="28" t="s">
        <v>2041</v>
      </c>
      <c r="D367" s="28" t="s">
        <v>1898</v>
      </c>
      <c r="E367" s="28" t="s">
        <v>673</v>
      </c>
      <c r="F367" s="28" t="s">
        <v>673</v>
      </c>
      <c r="G367" s="28" t="s">
        <v>673</v>
      </c>
      <c r="H367" s="2">
        <f>MROUND((
  (IF(AND(_xlfn.XLOOKUP(B367,'Base stats'!B:B,'Base stats'!AL:AL)=0,BI367="None",_xlfn.XLOOKUP(_xlfn.XLOOKUP(B367,'Base stats'!B:B,'Base stats'!E:E),Groups!A:A,Groups!B:B)=0), (18 + BR367 * 2.7) * 0.5,
    IF(AND(_xlfn.XLOOKUP(B367,'Base stats'!B:B,'Base stats'!AL:AL)=0,OR(AO367&lt;0.55,AND(BI367="Intermediate",_xlfn.XLOOKUP(_xlfn.XLOOKUP(B367,'Base stats'!B:B,'Base stats'!E:E),Groups!A:A,Groups!B:B)&lt;2))), (18 + BR367 * 2.7),
      IF(OR(BI367="Advanced",_xlfn.XLOOKUP(B367,'Base stats'!B:B,'Base stats'!AL:AL)=1,_xlfn.XLOOKUP(_xlfn.XLOOKUP(B367,'Base stats'!B:B,'Base stats'!E:E),Groups!A:A,Groups!B:B)=2), (18 + BR367 * 2.7) + 250, (18 + BR367 * 2.7))
    )
  ))
  + AO367 * 80
  + IF(COUNTIF(EggMilk!K$2:K$998, A367) &gt; 0, 125, 0)
  + IF(COUNTIF(EggMilk!P$2:P$998, A367) &gt; 0, 90, 0)
  + IF(COUNTIF(EggMilk!A$2:A$998, A367) &gt; 0, 90, 0)
)
* (0.8 + 0.4 * J367)
* 0.75,25)</f>
        <v>1300</v>
      </c>
      <c r="I367" s="2">
        <f>MROUND(ROUNDDOWN(_xlfn.XLOOKUP(B367,'Base stats'!B:B,'Base stats'!L:L)/3.6/(23.3/11),1),0.5)</f>
        <v>4.5</v>
      </c>
      <c r="J367" s="2">
        <f>IF(OR(_xlfn.XLOOKUP(B367,'Base stats'!B:B,'Base stats'!AB:AB)=1,_xlfn.XLOOKUP(_xlfn.XLOOKUP(B367,'Base stats'!B:B,'Base stats'!E:E),Groups!A:A,Groups!C:C)="Untamable"),1,IF(_xlfn.XLOOKUP(B367,'Base stats'!B:B,'Base stats'!AL:AL)=1,0.99,MIN(MROUND((1-0.6282*EXP(-0.459*AO367))*_xlfn.XLOOKUP(_xlfn.XLOOKUP(B367,'Base stats'!B:B,'Base stats'!E:E),Groups!A:A,Groups!C:C)*IF(_xlfn.XLOOKUP(B367,'Base stats'!B:B,'Base stats'!O:O)=1,0.5,IF(_xlfn.XLOOKUP(B367,'Base stats'!B:B,'Base stats'!O:O)=2,0,1)),0.05),IF(AO367&gt;3.5,0.985,0.95))))</f>
        <v>0.9</v>
      </c>
      <c r="K367" s="2">
        <f>ROUNDUP(AO367*_xlfn.XLOOKUP(_xlfn.XLOOKUP(B367,'Base stats'!B:B,'Base stats'!E:E),Groups!A:A,Groups!E:E),0)</f>
        <v>22</v>
      </c>
      <c r="L367" s="2">
        <f>IF(OR(_xlfn.XLOOKUP(_xlfn.XLOOKUP(B367,'Base stats'!B:B,'Base stats'!E:E),Groups!A:A,Groups!F:F)=2,ISNUMBER(SEARCH("SeaIce",BX367)),ISNUMBER(SEARCH("IceSheet",BX367))),-50,IF(OR(ISNUMBER(SEARCH("GlacialPlain",BX367)),ISNUMBER(SEARCH("Tundra",BX367))),-40,IF(OR(ISNUMBER(SEARCH("Alpine",BX367)),ISNUMBER(SEARCH("BorealForest",BX367)),ISNUMBER(SEARCH("ColdBog",BX367))),-30,IF(OR(ISNUMBER(SEARCH("TemperateForest",BX367)),ISNUMBER(SEARCH("TemperateSwamp",BX367))),-20,IF(_xlfn.XLOOKUP(_xlfn.XLOOKUP(B367,'Base stats'!B:B,'Base stats'!E:E),Groups!A:A,Groups!F:F)=1,-15,IF(OR(ISNUMBER(SEARCH("Desert",BX367)),ISNUMBER(SEARCH("ExtremeDesert",BX367))),-10,IF(OR(ISNUMBER(SEARCH("Grasslands",BX367)),ISNUMBER(SEARCH("TropicalRainforest",BX367)),ISNUMBER(SEARCH("TropicalSwamp",BX367))),10,0)))))))-IF(CC367="False",MIN(IFERROR(MAX(MROUND(LOG10(_xlfn.XLOOKUP(B367,'Base stats'!B:B,'Base stats'!C:C)^(2/3))*10,5),5),5),30))-_xlfn.XLOOKUP(B367,'Base stats'!B:B,'Base stats'!P:P)+IF(CC367="True",5,0)</f>
        <v>-45</v>
      </c>
      <c r="M367" s="2">
        <f>IF(OR(_xlfn.XLOOKUP(_xlfn.XLOOKUP(B367,'Base stats'!B:B,'Base stats'!E:E),Groups!A:A,Groups!G:G)=2,ISNUMBER(SEARCH("Desert",BX367)),ISNUMBER(SEARCH("ExtremeDesert",BX367)),ISNUMBER(SEARCH("LavaField",BX367))),50,IF(ISNUMBER(SEARCH("Grasslands",BX367)),45,IF(OR(_xlfn.XLOOKUP(_xlfn.XLOOKUP(B367,'Base stats'!B:B,'Base stats'!E:E),Groups!A:A,Groups!G:G)=1,ISNUMBER(SEARCH("TropicalRainforest",BX367)),ISNUMBER(SEARCH("TropicalSwamp",BX367))),40,IF(OR(ISNUMBER(SEARCH("TemperateForest",BX367)),ISNUMBER(SEARCH("TemperateSwamp",BX367))),35,IF(OR(ISNUMBER(SEARCH("Alpine",BX367)),ISNUMBER(SEARCH("BorealForest",BX367)),ISNUMBER(SEARCH("ColdBog",BX367))),30,IF(ISNUMBER(OR(ISNUMBER(SEARCH("GlacialPlain",BX367)),SEARCH("Tundra",BX367))),25,IF(OR(ISNUMBER(SEARCH("SeaIce",BX367)),ISNUMBER(SEARCH("IceSheet",BX367)),ISNUMBER(SEARCH("TropicalSwamp",BX367))),10,35)))))))+_xlfn.XLOOKUP(B367,'Base stats'!B:B,'Base stats'!Q:Q)</f>
        <v>35</v>
      </c>
      <c r="N367" s="8" t="str">
        <f>IF(
_xlfn.XLOOKUP(
_xlfn.XLOOKUP(B367,'Base stats'!B:B,'Base stats'!E:E),
Groups!A:A,
Groups!L:L
)=1,
MIN(
MROUND(
IF(
_xlfn.XLOOKUP(B367,'Animals CE'!B:B,'Animals CE'!Z:Z)&lt;=1.5,
_xlfn.XLOOKUP(B367,'Animals CE'!B:B,'Animals CE'!Z:Z)/2+0.05,
0.8+
(_xlfn.XLOOKUP(B367,'Animals CE'!B:B,'Animals CE'!Z:Z)-1.5)
*0.02
),
0.05
),
200%
),
"No"
)</f>
        <v>No</v>
      </c>
      <c r="O367" s="8" t="str">
        <f>IF(
_xlfn.XLOOKUP(
_xlfn.XLOOKUP(B367,'Base stats'!B:B,'Base stats'!E:E),
Groups!A:A,
Groups!L:L
)=1,
MIN(
MROUND(
IF(
_xlfn.XLOOKUP(B367,'Animals CE'!B:B,'Animals CE'!AA:AA)&lt;=1.5,
_xlfn.XLOOKUP(B367,'Animals CE'!B:B,'Animals CE'!AA:AA)/2+0.05,
0.8+
(_xlfn.XLOOKUP(B367,'Animals CE'!B:B,'Animals CE'!AA:AA)-1.5)
*0.02
),
0.05
),
200%
),
"No"
)</f>
        <v>No</v>
      </c>
      <c r="P367" s="2" t="str">
        <f>_xlfn.XLOOKUP(B367,'Base stats'!B:B,'Base stats'!R:R)</f>
        <v>Standard</v>
      </c>
      <c r="Q367" s="13">
        <f>MROUND((LOG10(_xlfn.XLOOKUP(B367,'Base stats'!B:B,'Base stats'!AR:AR))*(AO367^0.5)+(_xlfn.XLOOKUP(B367,'Base stats'!B:B,'Base stats'!AR:AR)/1000)^(2/3)+_xlfn.XLOOKUP(B367,'Base stats'!B:B,'Base stats'!BA:BA)/2)+0.5,0.5)</f>
        <v>30.5</v>
      </c>
      <c r="R367" s="7">
        <f>IF(Q367="No","No",MAX(1,MROUND(_xlfn.XLOOKUP(B367,'Base stats'!B:B,'Base stats'!C:C)^0.165,0.05)))</f>
        <v>3.75</v>
      </c>
      <c r="S367" s="13">
        <f>IF(_xlfn.XLOOKUP(_xlfn.XLOOKUP(B367,'Base stats'!B:B,'Base stats'!E:E),Groups!A:A,Groups!P:P)=0,"No",MROUND((LOG10(_xlfn.XLOOKUP(B367,'Base stats'!B:B,'Base stats'!AS:AS))*(AO367^0.5)+(_xlfn.XLOOKUP(B367,'Base stats'!B:B,'Base stats'!AS:AS)/1000)^(2/3)+_xlfn.XLOOKUP(B367,'Base stats'!B:B,'Base stats'!BA:BA))+_xlfn.XLOOKUP(B367,'Base stats'!B:B,'Base stats'!AY:AY)+0.5,0.5))</f>
        <v>36.5</v>
      </c>
      <c r="T367" s="7">
        <f>IF(S367="No","No",MAX(_xlfn.XLOOKUP(_xlfn.XLOOKUP(B367,'Base stats'!B:B,'Base stats'!E:E),Groups!A:A,Groups!Q:Q),MROUND(_xlfn.XLOOKUP(_xlfn.XLOOKUP(B367,'Base stats'!B:B,'Base stats'!E:E),Groups!A:A,Groups!Q:Q)*_xlfn.XLOOKUP(B367,'Base stats'!B:B,'Base stats'!C:C)^0.165,0.05)))</f>
        <v>3.75</v>
      </c>
      <c r="U367" s="7" t="str">
        <f>IF(S367="No","No",_xlfn.XLOOKUP(_xlfn.XLOOKUP(B367,'Base stats'!B:B,'Base stats'!E:E),Groups!A:A,Groups!R:R))</f>
        <v>FrontLeftLeg, FrontRightLeg</v>
      </c>
      <c r="V367" s="7" t="str">
        <f>IF(S367="No","No",_xlfn.XLOOKUP(_xlfn.XLOOKUP(B367,'Base stats'!B:B,'Base stats'!E:E),Groups!A:A,Groups!S:S))</f>
        <v>left leg, right leg</v>
      </c>
      <c r="W367" s="7" t="str">
        <f>IF(S367="No","No",_xlfn.XLOOKUP(_xlfn.XLOOKUP(B367,'Base stats'!B:B,'Base stats'!E:E),Groups!A:A,Groups!T:T))</f>
        <v>Blunt</v>
      </c>
      <c r="X367" s="13" t="str">
        <f>IF(_xlfn.XLOOKUP(B367,'Base stats'!B:B,'Base stats'!W:W)="No","No",MROUND((LOG10(_xlfn.XLOOKUP(B367,'Base stats'!B:B,'Base stats'!AU:AU))*(AO367^0.5)+(_xlfn.XLOOKUP(B367,'Base stats'!B:B,'Base stats'!AU:AU)/1000)^(2/3)+_xlfn.XLOOKUP(B367,'Base stats'!B:B,'Base stats'!AZ:AZ))+0.5+IF(_xlfn.XLOOKUP(_xlfn.XLOOKUP(B367,'Base stats'!B:B,'Base stats'!E:E),Groups!A:A,Groups!U:U)&lt;&gt;3,_xlfn.XLOOKUP(B367,'Base stats'!B:B,'Base stats'!BA:BA),0),0.5))</f>
        <v>No</v>
      </c>
      <c r="Y367" s="7" t="str">
        <f>IF(X367="No","No",MAX(_xlfn.XLOOKUP(_xlfn.XLOOKUP(B367,'Base stats'!B:B,'Base stats'!E:E),Groups!A:A,Groups!V:V),MROUND(_xlfn.XLOOKUP(_xlfn.XLOOKUP(B367,'Base stats'!B:B,'Base stats'!E:E),Groups!A:A,Groups!V:V)*_xlfn.XLOOKUP(B367,'Base stats'!B:B,'Base stats'!C:C)^0.165,0.05)))</f>
        <v>No</v>
      </c>
      <c r="Z367" s="7" t="str">
        <f>IF(X367="No","No",_xlfn.XLOOKUP(_xlfn.XLOOKUP(B367,'Base stats'!B:B,'Base stats'!E:E),Groups!A:A,Groups!W:W))</f>
        <v>No</v>
      </c>
      <c r="AA367" s="7" t="str">
        <f>IF(X367="No","No",_xlfn.XLOOKUP(_xlfn.XLOOKUP(B367,'Base stats'!B:B,'Base stats'!E:E),Groups!A:A,Groups!X:X))</f>
        <v>No</v>
      </c>
      <c r="AB367" s="7" t="str">
        <f>IF(X367="No","No",_xlfn.XLOOKUP(_xlfn.XLOOKUP(B367,'Base stats'!B:B,'Base stats'!E:E),Groups!A:A,Groups!Y:Y))</f>
        <v>No</v>
      </c>
      <c r="AC367" s="7" t="str">
        <f>_xlfn.XLOOKUP(Animals!B367,'Base stats'!B:B,'Base stats'!X:X)</f>
        <v>False</v>
      </c>
      <c r="AD367" s="13" t="str">
        <f>IF(_xlfn.XLOOKUP(B367,'Base stats'!B:B,'Base stats'!AT:AT)="No","No",MROUND((LOG10(_xlfn.XLOOKUP(B367,'Base stats'!B:B,'Base stats'!AT:AT))*(AO367^0.75)+(_xlfn.XLOOKUP(B367,'Base stats'!B:B,'Base stats'!AT:AT)/1000)^(2/3)+_xlfn.XLOOKUP(B367,'Base stats'!B:B,'Base stats'!AX:AX)+_xlfn.XLOOKUP(B367,'Base stats'!B:B,'Base stats'!BA:BA))+0.5,0.5))</f>
        <v>No</v>
      </c>
      <c r="AE367" s="7" t="str">
        <f>IF(AD367="No","No",MAX(_xlfn.XLOOKUP(_xlfn.XLOOKUP(B367,'Base stats'!B:B,'Base stats'!E:E),Groups!A:A,Groups!Z:Z),MROUND(_xlfn.XLOOKUP(_xlfn.XLOOKUP(B367,'Base stats'!B:B,'Base stats'!E:E),Groups!A:A,Groups!Z:Z)*_xlfn.XLOOKUP(B367,'Base stats'!B:B,'Base stats'!C:C)^0.165,0.05)))</f>
        <v>No</v>
      </c>
      <c r="AF367" s="7" t="str">
        <f>IF(AD367="No","No",_xlfn.XLOOKUP(_xlfn.XLOOKUP(B367,'Base stats'!B:B,'Base stats'!E:E),Groups!A:A,Groups!AA:AA))</f>
        <v>No</v>
      </c>
      <c r="AG367" s="7" t="str">
        <f>IF(AD367="No","No",_xlfn.XLOOKUP(_xlfn.XLOOKUP(B367,'Base stats'!B:B,'Base stats'!E:E),Groups!A:A,Groups!AB:AB))</f>
        <v>No</v>
      </c>
      <c r="AH367" s="7" t="str">
        <f>IF(AD367="No","No",_xlfn.XLOOKUP(_xlfn.XLOOKUP(B367,'Base stats'!B:B,'Base stats'!E:E),Groups!A:A,Groups!AC:AC))</f>
        <v>No</v>
      </c>
      <c r="AI367" s="13" t="str">
        <f>IF(_xlfn.XLOOKUP(_xlfn.XLOOKUP(B367,'Base stats'!B:B,'Base stats'!E:E),Groups!A:A,Groups!AD:AD)=0,"No",MROUND((LOG10(_xlfn.XLOOKUP(B367,'Base stats'!B:B,'Base stats'!AS:AS))*(AO367^0.75)+(_xlfn.XLOOKUP(B367,'Base stats'!B:B,'Base stats'!AS:AS)/1000)^(2/3)+_xlfn.XLOOKUP(B367,'Base stats'!B:B,'Base stats'!AY:AY)+_xlfn.XLOOKUP(B367,'Base stats'!B:B,'Base stats'!BA:BA))+0.5,0.5))</f>
        <v>No</v>
      </c>
      <c r="AJ367" s="7" t="str">
        <f>IF(AI367="No","No",MAX(_xlfn.XLOOKUP(_xlfn.XLOOKUP(B367,'Base stats'!B:B,'Base stats'!E:E),Groups!A:A,Groups!AE:AE),MROUND(_xlfn.XLOOKUP(_xlfn.XLOOKUP(B367,'Base stats'!B:B,'Base stats'!E:E),Groups!A:A,Groups!AE:AE)*IF(_xlfn.XLOOKUP(_xlfn.XLOOKUP(B367,'Base stats'!B:B,'Base stats'!E:E),Groups!A:A,Groups!AJ:AJ)="Photonozoa",0.6,1)*_xlfn.XLOOKUP(B367,'Base stats'!B:B,'Base stats'!C:C)^0.165,0.05)))</f>
        <v>No</v>
      </c>
      <c r="AK367" s="7" t="str">
        <f>IF(AI367="No","No",_xlfn.XLOOKUP(_xlfn.XLOOKUP(B367,'Base stats'!B:B,'Base stats'!E:E),Groups!A:A,Groups!AF:AF))</f>
        <v>No</v>
      </c>
      <c r="AL367" s="7" t="str">
        <f>IF(AI367="No","No",_xlfn.XLOOKUP(_xlfn.XLOOKUP(B367,'Base stats'!B:B,'Base stats'!E:E),Groups!A:A,Groups!AG:AG))</f>
        <v>No</v>
      </c>
      <c r="AM367" s="7" t="str">
        <f>IF(AI367="No","No",_xlfn.XLOOKUP(_xlfn.XLOOKUP(B367,'Base stats'!B:B,'Base stats'!E:E),Groups!A:A,Groups!AH:AH))</f>
        <v>No</v>
      </c>
      <c r="AN367" s="2" t="str">
        <f t="shared" si="35"/>
        <v>No</v>
      </c>
      <c r="AO367" s="2">
        <f>MROUND(IF(AND(_xlfn.XLOOKUP(B367,'Base stats'!B:B,'Base stats'!C:C)&gt;=0.5,_xlfn.XLOOKUP(B367,'Base stats'!B:B,'Base stats'!C:C)&lt;=0.8),
IF(_xlfn.XLOOKUP(B367,'Base stats'!B:B,'Base stats'!C:C)&lt;0.1,0.05,IF(_xlfn.XLOOKUP(B367,'Base stats'!B:B,'Base stats'!C:C)&lt;=70,(_xlfn.XLOOKUP(B367,'Base stats'!B:B,'Base stats'!C:C)/70)^0.426489913056526,IF(_xlfn.XLOOKUP(B367,'Base stats'!B:B,'Base stats'!C:C)&lt;=400,(_xlfn.XLOOKUP(B367,'Base stats'!B:B,'Base stats'!C:C)/70)^0.572811455315093,IF(_xlfn.XLOOKUP(B367,'Base stats'!B:B,'Base stats'!C:C)&lt;=2000,2.71391647193063*(_xlfn.XLOOKUP(B367,'Base stats'!B:B,'Base stats'!C:C)/400)^0.252459582904293,3.74314280240376*(_xlfn.XLOOKUP(B367,'Base stats'!B:B,'Base stats'!C:C)/2000)^0.357012633876913)))),
IF(_xlfn.XLOOKUP(B367,'Base stats'!B:B,'Base stats'!C:C)&lt;0.1,0.05,IF(_xlfn.XLOOKUP(B367,'Base stats'!B:B,'Base stats'!C:C)&lt;0.4,0.1,IF(_xlfn.XLOOKUP(B367,'Base stats'!B:B,'Base stats'!C:C)&lt;=70,(_xlfn.XLOOKUP(B367,'Base stats'!B:B,'Base stats'!C:C)/70)^0.445823913056526,IF(_xlfn.XLOOKUP(B367,'Base stats'!B:B,'Base stats'!C:C)&lt;=400,(_xlfn.XLOOKUP(B367,'Base stats'!B:B,'Base stats'!C:C)/70)^0.572811455315093,IF(_xlfn.XLOOKUP(B367,'Base stats'!B:B,'Base stats'!C:C)&lt;=2000,2.71391647193063*(_xlfn.XLOOKUP(B367,'Base stats'!B:B,'Base stats'!C:C)/400)^0.252459582904293,3.74314280240376*(_xlfn.XLOOKUP(B367,'Base stats'!B:B,'Base stats'!C:C)/2000)^0.357012633876913)))))),
IF(_xlfn.XLOOKUP(B367,'Base stats'!B:B,'Base stats'!C:C)&lt;0.1,0.05,IF(_xlfn.XLOOKUP(B367,'Base stats'!B:B,'Base stats'!C:C)&lt;=100,0.05,IF(_xlfn.XLOOKUP(B367,'Base stats'!B:B,'Base stats'!C:C)&lt;=250,0.1,IF(_xlfn.XLOOKUP(B367,'Base stats'!B:B,'Base stats'!C:C)&lt;=4000,0.25,0.5)))))</f>
        <v>4.25</v>
      </c>
      <c r="AP367" s="8">
        <f>MROUND(AO367*_xlfn.XLOOKUP(_xlfn.XLOOKUP(B367,'Base stats'!B:B,'Base stats'!E:E),Groups!A:A,Groups!AI:AI)*_xlfn.XLOOKUP(B367,'Base stats'!B:B,'Base stats'!Z:Z),0.05)</f>
        <v>4.25</v>
      </c>
      <c r="AQ367" s="8">
        <f>MAX(0.01,MROUND(IF(CC367="True",0.196*(AO367*100*1000)^0.889,IF(_xlfn.XLOOKUP(_xlfn.XLOOKUP(B367,'Base stats'!B:B,'Base stats'!E:E),Groups!A:A,Groups!AJ:AJ)="Bird",10.5*(AO367*100*1000)^0.681,4.82*(AO367*100*1000)^0.734))/(4.82*(1*100*1000)^0.734)/IF(AO367&lt;3.5,2,IF(AO367=3.5,1.5,1.25))*(1+0.132282374779864/(AO367^0.994035016789033+0.00905238001496948)),0.05))</f>
        <v>2.6</v>
      </c>
      <c r="AR367" s="9">
        <f>IFERROR(MROUND(_xlfn.XLOOKUP(B367,'Base stats'!B:B,'Base stats'!H:H)/IF(_xlfn.XLOOKUP(B367,'Base stats'!B:B,'Base stats'!I:I)&lt;&gt;1,(122.5/70),1.2),IF(_xlfn.XLOOKUP(B367,'Base stats'!B:B,'Base stats'!H:H)&gt;=30,5,IF(_xlfn.XLOOKUP(B367,'Base stats'!B:B,'Base stats'!H:H)&gt;=15,3,IF(_xlfn.XLOOKUP(B367,'Base stats'!B:B,'Base stats'!H:H)&gt;=10,2,1)))),"Immortal")</f>
        <v>12</v>
      </c>
      <c r="AS367" s="35" t="str">
        <f>IFERROR(IF(OR(_xlfn.XLOOKUP(B367,'Base stats'!B:B,'Base stats'!F:F)="Atypical reproduction",_xlfn.XLOOKUP(B367,'Base stats'!B:B,'Base stats'!F:F)="Lay eggs"),"Lay eggs",MIN(20,MAX(5.5,ROUND(((_xlfn.XLOOKUP(B367,'Base stats'!B:B,'Base stats'!F:F)-25)*(14.5/615) + 5.5)*2,0)/2))),"Unknown")</f>
        <v>Lay eggs</v>
      </c>
      <c r="AT367" s="8">
        <f>IF(_xlfn.XLOOKUP(B367,'Base stats'!B:B,'Base stats'!G:G)="Atypical reproduction","No",IFERROR(MAX(IF(_xlfn.XLOOKUP(B367,'Base stats'!B:B,'Base stats'!G:G)&lt;0.5,0.2,0.3),MROUND(_xlfn.XLOOKUP(B367,'Base stats'!B:B,'Base stats'!G:G)/(365/60),0.2)),"Unknown"))</f>
        <v>0.4</v>
      </c>
      <c r="AU367" s="8">
        <f t="shared" si="36"/>
        <v>0.2</v>
      </c>
      <c r="AV367" s="8" t="str">
        <f>IFERROR(IFERROR(MROUND(_xlfn.XLOOKUP(B367,'Base stats'!B:B,'Base stats'!J:J),0.1),"Lay eggs"),"Cannot breed")</f>
        <v>Lay eggs</v>
      </c>
      <c r="AW367" s="2" t="str">
        <f t="shared" si="37"/>
        <v>true</v>
      </c>
      <c r="AX367" s="2" t="str">
        <f>IF(_xlfn.XLOOKUP(_xlfn.XLOOKUP(Animals!B367,'Base stats'!B:B,'Base stats'!E:E),Groups!A:A,Groups!AK:AK)=1,"true","false")</f>
        <v>true</v>
      </c>
      <c r="AY367" s="25" t="str">
        <f>IF(_xlfn.XLOOKUP(B367,'Base stats'!B:B,'Base stats'!Y:Y)="Liquor","Liquor, CarnivoreAnimalStrict",IF(AND(_xlfn.XLOOKUP(B367,'Base stats'!B:B,'Base stats'!Y:Y)="Carnivore",_xlfn.XLOOKUP(_xlfn.XLOOKUP(B367,'Base stats'!B:B,'Base stats'!E:E),Groups!A:A,Groups!AJ:AJ)="Photonozoa"),"CarnivoreAnimalStrict, OvivoreAnimal",IF(_xlfn.XLOOKUP(B367,'Base stats'!B:B,'Base stats'!Y:Y)="Carnivore","CarnivoreAnimal, OvivoreAnimal",IF(_xlfn.XLOOKUP(B367,'Base stats'!B:B,'Base stats'!Y:Y)="Dendrovore","VegetarianRoughAnimal, DendrovoreAnimal",IF(_xlfn.XLOOKUP(B367,'Base stats'!B:B,'Base stats'!Y:Y)="Herbivore","VegetarianRoughAnimal",IF(_xlfn.XLOOKUP(B367,'Base stats'!B:B,'Base stats'!Y:Y)="OmnivoreRough","OmnivoreRoughAnimal, OvivoreAnimal","OmnivoreAnimal, OvivoreAnimal"))))))</f>
        <v>VegetarianRoughAnimal</v>
      </c>
      <c r="AZ367" s="2">
        <f>IF(_xlfn.XLOOKUP(_xlfn.XLOOKUP(B367,'Base stats'!B:B,'Base stats'!E:E),Groups!A:A,Groups!D:D)=1,MROUND((1-J367)*5+1,2)*IF(J367&lt;=0.4,2,1),"No")</f>
        <v>2</v>
      </c>
      <c r="BA367" s="2" t="str">
        <f>IF(AND(_xlfn.XLOOKUP(B367,'Base stats'!B:B,'Base stats'!AH:AH)="&lt;li&gt;Seal&lt;/li&gt;",G367="Odyssey"),"&lt;li&gt;AEXP_Seal&lt;/li&gt;",_xlfn.XLOOKUP(B367,'Base stats'!B:B,'Base stats'!AH:AH))</f>
        <v>No</v>
      </c>
      <c r="BB367" s="2" t="str">
        <f>_xlfn.XLOOKUP(B367,'Base stats'!B:B,'Base stats'!AG:AG)</f>
        <v>Leather_DinosaurHide</v>
      </c>
      <c r="BC367" s="23" t="str">
        <f>_xlfn.XLOOKUP(_xlfn.XLOOKUP(B367,'Base stats'!B:B,'Base stats'!E:E),Groups!A:A,Groups!AL:AL)</f>
        <v>Hadrosaurid</v>
      </c>
      <c r="BD367" s="23">
        <f>MIN(1,MROUND(IF(AND(AO367&lt;0.5,_xlfn.XLOOKUP(B367,'Base stats'!B:B,'Base stats'!AA:AA)=0),0,IF(OR(_xlfn.XLOOKUP(Animals!B367,'Base stats'!B:B,'Base stats'!O:O)=2,_xlfn.XLOOKUP(_xlfn.XLOOKUP(B367,'Base stats'!B:B,'Base stats'!E:E),Groups!A:A,Groups!AN:AN)=0),0,_xlfn.XLOOKUP(_xlfn.XLOOKUP(B367,'Base stats'!B:B,'Base stats'!E:E),Groups!A:A,Groups!AN:AN)/IF(_xlfn.XLOOKUP(Animals!B367,'Base stats'!B:B,'Base stats'!O:O)=1,2,1)))+_xlfn.XLOOKUP(B367,'Base stats'!B:B,'Base stats'!AC:AC),0.005))</f>
        <v>0</v>
      </c>
      <c r="BE367" s="23">
        <f>MIN(1,MROUND(IF(AND(AO367&lt;0.5,_xlfn.XLOOKUP(B367,'Base stats'!B:B,'Base stats'!AA:AA)=0),0,IF(_xlfn.XLOOKUP(_xlfn.XLOOKUP(B367,'Base stats'!B:B,'Base stats'!E:E),Groups!A:A,Groups!AO:AO)=0,0,_xlfn.XLOOKUP(_xlfn.XLOOKUP(B367,'Base stats'!B:B,'Base stats'!E:E),Groups!A:A,Groups!AO:AO)/IF(_xlfn.XLOOKUP(Animals!B367,'Base stats'!B:B,'Base stats'!O:O)=2,3,1)))+_xlfn.XLOOKUP(B367,'Base stats'!B:B,'Base stats'!AD:AD),0.005))</f>
        <v>0</v>
      </c>
      <c r="BF367" s="2" t="str">
        <f>IF(J367&gt;0.3,"No",_xlfn.XLOOKUP(_xlfn.XLOOKUP(Animals!B367,'Base stats'!B:B,'Base stats'!E:E),Groups!A:A,Groups!AP:AP))</f>
        <v>No</v>
      </c>
      <c r="BG367" s="2" t="str">
        <f>IF(AND(J367&lt;=0.65,_xlfn.XLOOKUP(_xlfn.XLOOKUP(Animals!B367,'Base stats'!B:B,'Base stats'!E:E),Groups!A:A,Groups!AP:AP)&lt;&gt;"No",_xlfn.XLOOKUP(_xlfn.XLOOKUP(B367,'Base stats'!B:B,'Base stats'!E:E),Groups!A:A,Groups!D:D)=0),MROUND((80/3)*IF(_xlfn.XLOOKUP(B367,'Base stats'!B:B,'Base stats'!O:O)=2,0.2,AO367) + 24*(1-IF(BF367="No",0,BF367)) + 16/3, 12),"No")</f>
        <v>No</v>
      </c>
      <c r="BH367" s="2">
        <f>IF(AND(_xlfn.XLOOKUP(_xlfn.XLOOKUP(B367,'Base stats'!B:B,'Base stats'!E:E),Groups!A:A,Groups!AQ:AQ)=1,AO367&lt;=0.35),8,12)</f>
        <v>12</v>
      </c>
      <c r="BI367" s="2" t="str">
        <f>IF(_xlfn.XLOOKUP(_xlfn.XLOOKUP(B367,'Base stats'!B:B,'Base stats'!E:E),Groups!A:A,Groups!D:D)=0,_xlfn.XLOOKUP(_xlfn.XLOOKUP(B367,'Base stats'!B:B,'Base stats'!E:E),Groups!A:A,Groups!AR:AR),"None")</f>
        <v>None</v>
      </c>
      <c r="BJ367" s="2" t="str">
        <f>IF(AND(_xlfn.XLOOKUP(_xlfn.XLOOKUP(B367,'Base stats'!B:B,'Base stats'!E:E),Groups!A:A,Groups!AS:AS)=1,OR(_xlfn.XLOOKUP(B367,'Base stats'!B:B,'Base stats'!Y:Y)="Carnivore",_xlfn.XLOOKUP(B367,'Base stats'!B:B,'Base stats'!Y:Y)="Omnivore")),"true","false")</f>
        <v>false</v>
      </c>
      <c r="BK367" s="2" t="str">
        <f>IF(BJ367="true",MROUND(IF(AND(AO367&gt;0.5,OR(_xlfn.XLOOKUP(_xlfn.XLOOKUP(B367,'Base stats'!B:B,'Base stats'!E:E),Groups!A:A,Groups!AJ:AJ)="Photonozoa",_xlfn.XLOOKUP(_xlfn.XLOOKUP(B367,'Base stats'!B:B,'Base stats'!E:E),Groups!A:A,Groups!AJ:AJ)="Mammal")),Animals!AO367*1.75*IF(AW367="true",1.5,1),IF(AO367&lt;0.5,Animals!AO367*0.5,Animals!AO367)),IF(AO367&gt;2,0.5,IF(AO367&gt;0.5,0.25,0.1))),"No")</f>
        <v>No</v>
      </c>
      <c r="BL367" s="2">
        <f t="shared" si="38"/>
        <v>0</v>
      </c>
      <c r="BM367" s="25" t="str">
        <f>IF(_xlfn.XLOOKUP(B367,'Base stats'!B:B,'Base stats'!AN:AN)="Standard","No",MROUND((_xlfn.XLOOKUP(B367,'Base stats'!B:B,'Base stats'!AN:AN)/3.6)/I367,0.1))</f>
        <v>No</v>
      </c>
      <c r="BN367" s="25" t="str">
        <f t="shared" si="39"/>
        <v>false</v>
      </c>
      <c r="BO367" s="25" t="str">
        <f>IF(AND(OR(_xlfn.XLOOKUP(B367,'Base stats'!B:B,'Base stats'!Y:Y)="Carnivore",_xlfn.XLOOKUP(B367,'Base stats'!B:B,'Base stats'!Y:Y)="Omnivore",_xlfn.XLOOKUP(B367,'Base stats'!B:B,'Base stats'!Y:Y)="OmnivoreRough"),_xlfn.XLOOKUP(_xlfn.XLOOKUP(B367,'Base stats'!B:B,'Base stats'!E:E),Groups!A:A,Groups!AT:AT)=1),"true","false")</f>
        <v>false</v>
      </c>
      <c r="BP367" s="25" t="str" cm="1">
        <f t="array" ref="BP367">IF(
  _xlfn.TEXTJOIN(", ",TRUE,
    IF(AND(BJ367="true",AO367&gt;0.5,BI367&lt;&gt;"None"),"AttackTarget",""),
    IF(AND(_xlfn.XLOOKUP(_xlfn.XLOOKUP(B367,'Base stats'!B:B,'Base stats'!E:E),Groups!A:A,Groups!AJ:AJ="Mammal"),OR(_xlfn.XLOOKUP(B367,'Base stats'!B:B,'Base stats'!Y:Y)="Omnivore",_xlfn.XLOOKUP(B367,'Base stats'!B:B,'Base stats'!Y:Y)="OmnivoreRough")),"Forage",""),
    IF(BG367&lt;=36,"Comfort",""),
    IF(_xlfn.XLOOKUP(B367,'Base stats'!B:B,'Base stats'!AE:AE)&lt;&gt;"No",_xlfn.XLOOKUP(B367,'Base stats'!B:B,'Base stats'!AE:AE),"")
  ) = "",
  "No",
  _xlfn.TEXTJOIN(", ",TRUE,
    IF(AND(BJ367="true",AO367&gt;0.5,BI367&lt;&gt;"None"),"AttackTarget",""),
    IF(AND(_xlfn.XLOOKUP(_xlfn.XLOOKUP(B367,'Base stats'!B:B,'Base stats'!E:E),Groups!A:A,Groups!AJ:AJ="Mammal"),OR(_xlfn.XLOOKUP(B367,'Base stats'!B:B,'Base stats'!Y:Y)="Omnivore",_xlfn.XLOOKUP(B367,'Base stats'!B:B,'Base stats'!Y:Y)="OmnivoreRough")),"Forage",""),
    IF(BG367&lt;=36,"Comfort",""),
    IF(_xlfn.XLOOKUP(B367,'Base stats'!B:B,'Base stats'!AE:AE)&lt;&gt;"No",_xlfn.XLOOKUP(B367,'Base stats'!B:B,'Base stats'!AE:AE),"")
  )
)</f>
        <v>No</v>
      </c>
      <c r="BQ367" s="25" t="str">
        <f>IF(
   AND(
      'Base stats'!AN367="Standard",_xlfn.XLOOKUP(_xlfn.XLOOKUP(B367,'Base stats'!B:B,'Base stats'!E:E),Groups!A:A,Groups!AU:AU)=0,
      OR(
      BO367="True"
      )
   ),
   10,
   IF(
       OR(BM367&lt;&gt;"No",_xlfn.XLOOKUP(_xlfn.XLOOKUP(B367,'Base stats'!B:B,'Base stats'!E:E),Groups!A:A,Groups!AU:AU)=1),
      1,
      "No"
   )
)</f>
        <v>No</v>
      </c>
      <c r="BR367" s="9">
        <f>MROUND((1 + ((0.2*IF(OR(Q367="No",R367="No",R367=0),0,Q367/R367)
+IF(OR(V367="No",S367="No",T367="No"),0,S367/T367*(LEN(V367)-LEN(SUBSTITUTE(V367,",",""))+1))
+IF(OR(X367="No",Y367="No"),0,X367/Y367)
+IF(OR(AD367="No",AE367="No"),0,AD367/AE367)
+IF(OR(AL367="No",AI367="No",AJ367="No"),0,AI367/AJ367*(LEN(AL367)-LEN(SUBSTITUTE(AL367,",",""))+1))
)/(0.2*IF(OR(Q367="No",R367="No",R367=0),0,1)
+IF(OR(V367="No",S367="No",T367="No"),0,LEN(V367)-LEN(SUBSTITUTE(V367,",",""))+1)
+IF(OR(X367="No",Y367="No"),0,1)
+IF(OR(AD367="No",AE367="No"),0,1)
+IF(OR(AL367="No",AI367="No",AJ367="No"),0,LEN(AL367)-LEN(SUBSTITUTE(AL367,",",""))+1))*62%)* 2)*(1 + (AP367 / (IF(_xlfn.XLOOKUP(_xlfn.XLOOKUP(B367,'Base stats'!B:B,'Base stats'!E:E),Groups!A:A,Groups!AJ:AJ)="Photonozoa",0.3,1)) + _xlfn.XLOOKUP(B367,'Base stats'!B:B,'Base stats'!AV:AV) * 1.8) * 2) * 2.5 + 10 + I367 * 2,5)+IF(_xlfn.XLOOKUP(B367,'Base stats'!B:B,'Base stats'!AK:AK)=1,50,0)</f>
        <v>325</v>
      </c>
      <c r="BS367" s="8">
        <f t="shared" si="40"/>
        <v>2.95</v>
      </c>
      <c r="BT367" s="8" t="str">
        <f>_xlfn.XLOOKUP(B367,'Base stats'!B:B,'Base stats'!AF:AF)</f>
        <v>3~10</v>
      </c>
      <c r="BU367" s="2" t="str">
        <f>IF(AND(J367&lt;=0.95,OR(_xlfn.XLOOKUP(B367,'Base stats'!B:B,'Base stats'!AK:AK)=1,_xlfn.XLOOKUP(B367,'Base stats'!B:B,'Base stats'!Y:Y)="Carnivore",_xlfn.XLOOKUP(B367,'Base stats'!B:B,'Base stats'!Y:Y)="Omnivore",BE367&gt;0.1)),"true","false")</f>
        <v>false</v>
      </c>
      <c r="BV367" s="2" t="str">
        <f>IF(_xlfn.XLOOKUP(B367,'Base stats'!B:B,'Base stats'!AI:AI)=1,"true","false")</f>
        <v>false</v>
      </c>
      <c r="BW367" s="25" t="str">
        <f>IF(E367="BaseInsect","AnimalInsect",
IF(J367&gt;0.95,"AnimalExotic",
_xlfn.TEXTJOIN(", ",TRUE,
IF(OR(_xlfn.XLOOKUP(B367,'Base stats'!B:B,'Base stats'!AM:AM)=1,AND(_xlfn.XLOOKUP(B367,'Base stats'!B:B,'Base stats'!O:O)=0,_xlfn.XLOOKUP(_xlfn.XLOOKUP(B367,'Base stats'!B:B,'Base stats'!E:E),Groups!A:A,Groups!B:B)&gt;0)),"AnimalUncommon","AnimalCommon"),
IF(AND(_xlfn.XLOOKUP(B367,'Base stats'!B:B,'Base stats'!O:O)=2,_xlfn.XLOOKUP(_xlfn.XLOOKUP(B367,'Base stats'!B:B,'Base stats'!E:E),Groups!A:A,Groups!D:D)=0),"AnimalPet",IF(AND(_xlfn.XLOOKUP(B367,'Base stats'!B:B,'Base stats'!O:O)&lt;&gt;0,_xlfn.XLOOKUP(_xlfn.XLOOKUP(B367,'Base stats'!B:B,'Base stats'!E:E),Groups!A:A,Groups!D:D)&lt;&gt;0),"AnimalFarm","")),
IF(OR(_xlfn.XLOOKUP(B367,'Base stats'!B:B,'Base stats'!AK:AK)=1,AND(BI367&lt;&gt;"None",BR367&gt;=60),ISNUMBER(SEARCH("Attack target",BP367))),"AnimalFighter","")
)))</f>
        <v>AnimalUncommon</v>
      </c>
      <c r="BX367" s="25" t="str">
        <f>IF(G367="None",TRIM(
SUBSTITUTE(
IF(COUNTIF(Biomes!B$2:B$259,"="&amp;$C367)&gt;0,Biomes!B$1&amp;", ","")&amp;
IF(COUNTIF(Biomes!C$2:C$259,"="&amp;$C367)&gt;0,Biomes!C$1&amp;", ","")&amp;
IF(COUNTIF(Biomes!D$2:D$259,"="&amp;$C367)&gt;0,Biomes!D$1&amp;", ","")&amp;
IF(COUNTIF(Biomes!F$2:F$259,"="&amp;$C367)&gt;0,Biomes!F$1&amp;", ","")&amp;
IF(COUNTIF(Biomes!G$2:G$259,"="&amp;$C367)&gt;0,Biomes!G$1&amp;", ","")&amp;
IF(COUNTIF(Biomes!H$2:H$259,"="&amp;$C367)&gt;0,Biomes!H$1&amp;", ","")&amp;
IF(COUNTIF(Biomes!I$2:I$259,"="&amp;$C367)&gt;0,Biomes!I$1&amp;", ","")&amp;
IF(COUNTIF(Biomes!J$2:J$259,"="&amp;$C367)&gt;0,Biomes!J$1&amp;", ","")&amp;
IF(COUNTIF(Biomes!M$2:M$259,"="&amp;$C367)&gt;0,Biomes!M$1&amp;", ","")&amp;
IF(COUNTIF(Biomes!N$2:N$259,"="&amp;$C367)&gt;0,Biomes!N$1&amp;", ","")&amp;
IF(COUNTIF(Biomes!O$2:O$259,"="&amp;$C367)&gt;0,Biomes!O$1&amp;", ","")&amp;
IF(COUNTIF(Biomes!P$2:P$259,"="&amp;$C367)&gt;0,Biomes!P$1&amp;", ","")&amp;
IF(COUNTIF(Biomes!K$2:K$259,"="&amp;$C367)&gt;0,Biomes!K$1&amp;", ","")&amp;
IF(COUNTIF(Biomes!Q$3:Q$259,"="&amp;$C367)&gt;0,Biomes!Q$1&amp;", ","")&amp;
IF(COUNTIF(Biomes!L$2:L$259,"="&amp;$C367)&gt;0,Biomes!L$1&amp;", ","")&amp;
IF(COUNTIF(Biomes!E$2:E$259,"="&amp;$C367)&gt;0,Biomes!E$1&amp;", ","")&amp;IF(COUNTIF(Biomes!S$2:S$259,"="&amp;$C367)&gt;0,Biomes!S$1&amp;", ","")&amp;
IF(COUNTIF(Biomes!R$2:R$259,"="&amp;$C367)&gt;0,Biomes!R$1&amp;", ",""),", ","")
),_xlfn.XLOOKUP(B367,B:B,BX:BX))</f>
        <v>TemperateForest TemperateSwamp</v>
      </c>
      <c r="BY367" s="25" t="str">
        <f>IF(_xlfn.XLOOKUP(B367,'Base stats'!B:B,'Base stats'!AJ:AJ)=1,"true","false")</f>
        <v>false</v>
      </c>
      <c r="BZ367" s="25">
        <f>IF(_xlfn.XLOOKUP(B367,'Base stats'!B:B,'Base stats'!N:N)=1,"No",MAX(0.001,MIN(MROUND(IF(AND(BJ367="True",CC367="False"),POWER(10,3.47*LOG10(_xlfn.XLOOKUP(B367,'Base stats'!B:B,'Base stats'!C:C)*1000)^-0.96),POWER(10,4.15*LOG10(_xlfn.XLOOKUP(B367,'Base stats'!B:B,'Base stats'!C:C)*1000)^-0.73))*IF(_xlfn.XLOOKUP(B367,'Base stats'!B:B,'Base stats'!AK:AK)=1,0.5,1)*IF(_xlfn.XLOOKUP(B367,'Base stats'!B:B,'Base stats'!AM:AM)=1,0.1,1)/100,IF(_xlfn.XLOOKUP(B367,'Base stats'!B:B,'Base stats'!AM:AM)=1,0.001,0.025)),0.5)))</f>
        <v>0.125</v>
      </c>
      <c r="CA367" s="25" t="str">
        <f>IF(P367="Standard","No",MAX(0.001,MIN(MROUND(IF(AND(BJ367="True",CC367="False"),POWER(10,3.47*LOG10(_xlfn.XLOOKUP(B367,'Base stats'!B:B,'Base stats'!C:C)*1000)^-0.96),POWER(10,4.15*LOG10(_xlfn.XLOOKUP(B367,'Base stats'!B:B,'Base stats'!C:C)*1000)^-0.73))*IF(_xlfn.XLOOKUP(B367,'Base stats'!B:B,'Base stats'!AM:AM)=1,0.1,1)*_xlfn.XLOOKUP(B367,'Base stats'!B:B,'Base stats'!R:R)/100,IF(_xlfn.XLOOKUP(B367,'Base stats'!B:B,'Base stats'!AM:AM)=1,0.001,0.025)),0.5)))</f>
        <v>No</v>
      </c>
      <c r="CB367" s="25" t="str">
        <f>IF(_xlfn.XLOOKUP(_xlfn.XLOOKUP(B367,'Base stats'!B:B,'Base stats'!E:E),Groups!A:A,Groups!AJ:AJ)="Mammal","True","False")</f>
        <v>False</v>
      </c>
      <c r="CC367" s="25" t="str">
        <f>IF(OR(_xlfn.XLOOKUP(_xlfn.XLOOKUP(B367,'Base stats'!B:B,'Base stats'!E:E),Groups!A:A,Groups!AJ:AJ)="Reptile",_xlfn.XLOOKUP(_xlfn.XLOOKUP(B367,'Base stats'!B:B,'Base stats'!E:E),Groups!A:A,Groups!AJ:AJ)="Amphibian",_xlfn.XLOOKUP(_xlfn.XLOOKUP(B367,'Base stats'!B:B,'Base stats'!E:E),Groups!A:A,Groups!AJ:AJ)="Invertebrate"),"True","False")</f>
        <v>False</v>
      </c>
      <c r="CD367" s="25" t="str">
        <f t="shared" si="41"/>
        <v>False</v>
      </c>
      <c r="CE367" s="25" t="str">
        <f>IF(_xlfn.XLOOKUP(_xlfn.XLOOKUP(B367,'Base stats'!B:B,'Base stats'!E:E),Groups!A:A,Groups!AX:AX),"True","False")</f>
        <v>False</v>
      </c>
      <c r="CF367" s="25" t="str">
        <f>IF(_xlfn.XLOOKUP(_xlfn.XLOOKUP(B367,'Base stats'!B:B,'Base stats'!E:E),Groups!A:A,Groups!AY:AY),"True","False")</f>
        <v>False</v>
      </c>
      <c r="CG367" s="25" t="str">
        <f>IF(_xlfn.XLOOKUP(_xlfn.XLOOKUP(B367,'Base stats'!B:B,'Base stats'!E:E),Groups!A:A,Groups!AW:AW),"True","False")</f>
        <v>False</v>
      </c>
      <c r="CH367" s="25" t="str">
        <f>IF(
OR(
_xlfn.XLOOKUP(_xlfn.XLOOKUP(B367,'Base stats'!B:B,'Base stats'!E:E),Groups!A:A,Groups!AZ:AZ)=0,
AND(
_xlfn.XLOOKUP(B367,'Base stats'!B:B,'Base stats'!Y:Y)&lt;&gt;"Carnivore",
_xlfn.XLOOKUP(B367,'Base stats'!B:B,'Base stats'!Y:Y)&lt;&gt;"Omnivore",
_xlfn.XLOOKUP(B367,'Base stats'!B:B,'Base stats'!Y:Y)&lt;&gt;"OmnivoreRough"
)
),
"No",
IF(
_xlfn.XLOOKUP(_xlfn.XLOOKUP(B367,'Base stats'!B:B,'Base stats'!E:E),Groups!A:A,Groups!AZ:AZ)=1,
"Flesh",
IF(
_xlfn.XLOOKUP(_xlfn.XLOOKUP(B367,'Base stats'!B:B,'Base stats'!E:E),Groups!A:A,Groups!AZ:AZ)=2,
"Bone",
""
)
)
)</f>
        <v>No</v>
      </c>
      <c r="CI367" s="25" t="str">
        <f>IF(_xlfn.XLOOKUP(_xlfn.XLOOKUP(B367,'Base stats'!B:B,'Base stats'!E:E),Groups!A:A,Groups!BB:BB),"True","False")</f>
        <v>False</v>
      </c>
      <c r="CJ367" s="25" t="str">
        <f>IF(_xlfn.XLOOKUP(_xlfn.XLOOKUP(B367,'Base stats'!B:B,'Base stats'!E:E),Groups!A:A,Groups!BA:BA),"True","False")</f>
        <v>False</v>
      </c>
    </row>
    <row r="368" spans="1:88" ht="16.5" thickTop="1" thickBot="1" x14ac:dyDescent="0.3">
      <c r="A368" s="26" t="s">
        <v>1975</v>
      </c>
      <c r="B368" s="6" t="str">
        <f>_xlfn.XLOOKUP(A368,'Base stats'!A:A,'Base stats'!B:B)</f>
        <v>Deinocheirus mirificus</v>
      </c>
      <c r="C368" s="28" t="s">
        <v>2042</v>
      </c>
      <c r="D368" s="28" t="s">
        <v>1898</v>
      </c>
      <c r="E368" s="28" t="s">
        <v>673</v>
      </c>
      <c r="F368" s="28" t="s">
        <v>673</v>
      </c>
      <c r="G368" s="28" t="s">
        <v>673</v>
      </c>
      <c r="H368" s="2">
        <f>MROUND((
  (IF(AND(_xlfn.XLOOKUP(B368,'Base stats'!B:B,'Base stats'!AL:AL)=0,BI368="None",_xlfn.XLOOKUP(_xlfn.XLOOKUP(B368,'Base stats'!B:B,'Base stats'!E:E),Groups!A:A,Groups!B:B)=0), (18 + BR368 * 2.7) * 0.5,
    IF(AND(_xlfn.XLOOKUP(B368,'Base stats'!B:B,'Base stats'!AL:AL)=0,OR(AO368&lt;0.55,AND(BI368="Intermediate",_xlfn.XLOOKUP(_xlfn.XLOOKUP(B368,'Base stats'!B:B,'Base stats'!E:E),Groups!A:A,Groups!B:B)&lt;2))), (18 + BR368 * 2.7),
      IF(OR(BI368="Advanced",_xlfn.XLOOKUP(B368,'Base stats'!B:B,'Base stats'!AL:AL)=1,_xlfn.XLOOKUP(_xlfn.XLOOKUP(B368,'Base stats'!B:B,'Base stats'!E:E),Groups!A:A,Groups!B:B)=2), (18 + BR368 * 2.7) + 250, (18 + BR368 * 2.7))
    )
  ))
  + AO368 * 80
  + IF(COUNTIF(EggMilk!K$2:K$998, A368) &gt; 0, 125, 0)
  + IF(COUNTIF(EggMilk!P$2:P$998, A368) &gt; 0, 90, 0)
  + IF(COUNTIF(EggMilk!A$2:A$998, A368) &gt; 0, 90, 0)
)
* (0.8 + 0.4 * J368)
* 0.75,25)</f>
        <v>2375</v>
      </c>
      <c r="I368" s="2">
        <f>MROUND(ROUNDDOWN(_xlfn.XLOOKUP(B368,'Base stats'!B:B,'Base stats'!L:L)/3.6/(23.3/11),1),0.5)</f>
        <v>3.5</v>
      </c>
      <c r="J368" s="2">
        <f>IF(OR(_xlfn.XLOOKUP(B368,'Base stats'!B:B,'Base stats'!AB:AB)=1,_xlfn.XLOOKUP(_xlfn.XLOOKUP(B368,'Base stats'!B:B,'Base stats'!E:E),Groups!A:A,Groups!C:C)="Untamable"),1,IF(_xlfn.XLOOKUP(B368,'Base stats'!B:B,'Base stats'!AL:AL)=1,0.99,MIN(MROUND((1-0.6282*EXP(-0.459*AO368))*_xlfn.XLOOKUP(_xlfn.XLOOKUP(B368,'Base stats'!B:B,'Base stats'!E:E),Groups!A:A,Groups!C:C)*IF(_xlfn.XLOOKUP(B368,'Base stats'!B:B,'Base stats'!O:O)=1,0.5,IF(_xlfn.XLOOKUP(B368,'Base stats'!B:B,'Base stats'!O:O)=2,0,1)),0.05),IF(AO368&gt;3.5,0.985,0.95))))</f>
        <v>0.95000000000000007</v>
      </c>
      <c r="K368" s="2">
        <f>ROUNDUP(AO368*_xlfn.XLOOKUP(_xlfn.XLOOKUP(B368,'Base stats'!B:B,'Base stats'!E:E),Groups!A:A,Groups!E:E),0)</f>
        <v>6</v>
      </c>
      <c r="L368" s="2">
        <f>IF(OR(_xlfn.XLOOKUP(_xlfn.XLOOKUP(B368,'Base stats'!B:B,'Base stats'!E:E),Groups!A:A,Groups!F:F)=2,ISNUMBER(SEARCH("SeaIce",BX368)),ISNUMBER(SEARCH("IceSheet",BX368))),-50,IF(OR(ISNUMBER(SEARCH("GlacialPlain",BX368)),ISNUMBER(SEARCH("Tundra",BX368))),-40,IF(OR(ISNUMBER(SEARCH("Alpine",BX368)),ISNUMBER(SEARCH("BorealForest",BX368)),ISNUMBER(SEARCH("ColdBog",BX368))),-30,IF(OR(ISNUMBER(SEARCH("TemperateForest",BX368)),ISNUMBER(SEARCH("TemperateSwamp",BX368))),-20,IF(_xlfn.XLOOKUP(_xlfn.XLOOKUP(B368,'Base stats'!B:B,'Base stats'!E:E),Groups!A:A,Groups!F:F)=1,-15,IF(OR(ISNUMBER(SEARCH("Desert",BX368)),ISNUMBER(SEARCH("ExtremeDesert",BX368))),-10,IF(OR(ISNUMBER(SEARCH("Grasslands",BX368)),ISNUMBER(SEARCH("TropicalRainforest",BX368)),ISNUMBER(SEARCH("TropicalSwamp",BX368))),10,0)))))))-IF(CC368="False",MIN(IFERROR(MAX(MROUND(LOG10(_xlfn.XLOOKUP(B368,'Base stats'!B:B,'Base stats'!C:C)^(2/3))*10,5),5),5),30))-_xlfn.XLOOKUP(B368,'Base stats'!B:B,'Base stats'!P:P)+IF(CC368="True",5,0)</f>
        <v>-15</v>
      </c>
      <c r="M368" s="2">
        <f>IF(OR(_xlfn.XLOOKUP(_xlfn.XLOOKUP(B368,'Base stats'!B:B,'Base stats'!E:E),Groups!A:A,Groups!G:G)=2,ISNUMBER(SEARCH("Desert",BX368)),ISNUMBER(SEARCH("ExtremeDesert",BX368)),ISNUMBER(SEARCH("LavaField",BX368))),50,IF(ISNUMBER(SEARCH("Grasslands",BX368)),45,IF(OR(_xlfn.XLOOKUP(_xlfn.XLOOKUP(B368,'Base stats'!B:B,'Base stats'!E:E),Groups!A:A,Groups!G:G)=1,ISNUMBER(SEARCH("TropicalRainforest",BX368)),ISNUMBER(SEARCH("TropicalSwamp",BX368))),40,IF(OR(ISNUMBER(SEARCH("TemperateForest",BX368)),ISNUMBER(SEARCH("TemperateSwamp",BX368))),35,IF(OR(ISNUMBER(SEARCH("Alpine",BX368)),ISNUMBER(SEARCH("BorealForest",BX368)),ISNUMBER(SEARCH("ColdBog",BX368))),30,IF(ISNUMBER(OR(ISNUMBER(SEARCH("GlacialPlain",BX368)),SEARCH("Tundra",BX368))),25,IF(OR(ISNUMBER(SEARCH("SeaIce",BX368)),ISNUMBER(SEARCH("IceSheet",BX368)),ISNUMBER(SEARCH("TropicalSwamp",BX368))),10,35)))))))+_xlfn.XLOOKUP(B368,'Base stats'!B:B,'Base stats'!Q:Q)</f>
        <v>40</v>
      </c>
      <c r="N368" s="8" t="str">
        <f>IF(
_xlfn.XLOOKUP(
_xlfn.XLOOKUP(B368,'Base stats'!B:B,'Base stats'!E:E),
Groups!A:A,
Groups!L:L
)=1,
MIN(
MROUND(
IF(
_xlfn.XLOOKUP(B368,'Animals CE'!B:B,'Animals CE'!Z:Z)&lt;=1.5,
_xlfn.XLOOKUP(B368,'Animals CE'!B:B,'Animals CE'!Z:Z)/2+0.05,
0.8+
(_xlfn.XLOOKUP(B368,'Animals CE'!B:B,'Animals CE'!Z:Z)-1.5)
*0.02
),
0.05
),
200%
),
"No"
)</f>
        <v>No</v>
      </c>
      <c r="O368" s="8" t="str">
        <f>IF(
_xlfn.XLOOKUP(
_xlfn.XLOOKUP(B368,'Base stats'!B:B,'Base stats'!E:E),
Groups!A:A,
Groups!L:L
)=1,
MIN(
MROUND(
IF(
_xlfn.XLOOKUP(B368,'Animals CE'!B:B,'Animals CE'!AA:AA)&lt;=1.5,
_xlfn.XLOOKUP(B368,'Animals CE'!B:B,'Animals CE'!AA:AA)/2+0.05,
0.8+
(_xlfn.XLOOKUP(B368,'Animals CE'!B:B,'Animals CE'!AA:AA)-1.5)
*0.02
),
0.05
),
200%
),
"No"
)</f>
        <v>No</v>
      </c>
      <c r="P368" s="2" t="str">
        <f>_xlfn.XLOOKUP(B368,'Base stats'!B:B,'Base stats'!R:R)</f>
        <v>Standard</v>
      </c>
      <c r="Q368" s="13">
        <f>MROUND((LOG10(_xlfn.XLOOKUP(B368,'Base stats'!B:B,'Base stats'!AR:AR))*(AO368^0.5)+(_xlfn.XLOOKUP(B368,'Base stats'!B:B,'Base stats'!AR:AR)/1000)^(2/3)+_xlfn.XLOOKUP(B368,'Base stats'!B:B,'Base stats'!BA:BA)/2)+0.5,0.5)</f>
        <v>41</v>
      </c>
      <c r="R368" s="7">
        <f>IF(Q368="No","No",MAX(1,MROUND(_xlfn.XLOOKUP(B368,'Base stats'!B:B,'Base stats'!C:C)^0.165,0.05)))</f>
        <v>4.25</v>
      </c>
      <c r="S368" s="13" t="str">
        <f>IF(_xlfn.XLOOKUP(_xlfn.XLOOKUP(B368,'Base stats'!B:B,'Base stats'!E:E),Groups!A:A,Groups!P:P)=0,"No",MROUND((LOG10(_xlfn.XLOOKUP(B368,'Base stats'!B:B,'Base stats'!AS:AS))*(AO368^0.5)+(_xlfn.XLOOKUP(B368,'Base stats'!B:B,'Base stats'!AS:AS)/1000)^(2/3)+_xlfn.XLOOKUP(B368,'Base stats'!B:B,'Base stats'!BA:BA))+_xlfn.XLOOKUP(B368,'Base stats'!B:B,'Base stats'!AY:AY)+0.5,0.5))</f>
        <v>No</v>
      </c>
      <c r="T368" s="7" t="str">
        <f>IF(S368="No","No",MAX(_xlfn.XLOOKUP(_xlfn.XLOOKUP(B368,'Base stats'!B:B,'Base stats'!E:E),Groups!A:A,Groups!Q:Q),MROUND(_xlfn.XLOOKUP(_xlfn.XLOOKUP(B368,'Base stats'!B:B,'Base stats'!E:E),Groups!A:A,Groups!Q:Q)*_xlfn.XLOOKUP(B368,'Base stats'!B:B,'Base stats'!C:C)^0.165,0.05)))</f>
        <v>No</v>
      </c>
      <c r="U368" s="7" t="str">
        <f>IF(S368="No","No",_xlfn.XLOOKUP(_xlfn.XLOOKUP(B368,'Base stats'!B:B,'Base stats'!E:E),Groups!A:A,Groups!R:R))</f>
        <v>No</v>
      </c>
      <c r="V368" s="7" t="str">
        <f>IF(S368="No","No",_xlfn.XLOOKUP(_xlfn.XLOOKUP(B368,'Base stats'!B:B,'Base stats'!E:E),Groups!A:A,Groups!S:S))</f>
        <v>No</v>
      </c>
      <c r="W368" s="7" t="str">
        <f>IF(S368="No","No",_xlfn.XLOOKUP(_xlfn.XLOOKUP(B368,'Base stats'!B:B,'Base stats'!E:E),Groups!A:A,Groups!T:T))</f>
        <v>No</v>
      </c>
      <c r="X368" s="13" t="str">
        <f>IF(_xlfn.XLOOKUP(B368,'Base stats'!B:B,'Base stats'!W:W)="No","No",MROUND((LOG10(_xlfn.XLOOKUP(B368,'Base stats'!B:B,'Base stats'!AU:AU))*(AO368^0.5)+(_xlfn.XLOOKUP(B368,'Base stats'!B:B,'Base stats'!AU:AU)/1000)^(2/3)+_xlfn.XLOOKUP(B368,'Base stats'!B:B,'Base stats'!AZ:AZ))+0.5+IF(_xlfn.XLOOKUP(_xlfn.XLOOKUP(B368,'Base stats'!B:B,'Base stats'!E:E),Groups!A:A,Groups!U:U)&lt;&gt;3,_xlfn.XLOOKUP(B368,'Base stats'!B:B,'Base stats'!BA:BA),0),0.5))</f>
        <v>No</v>
      </c>
      <c r="Y368" s="7" t="str">
        <f>IF(X368="No","No",MAX(_xlfn.XLOOKUP(_xlfn.XLOOKUP(B368,'Base stats'!B:B,'Base stats'!E:E),Groups!A:A,Groups!V:V),MROUND(_xlfn.XLOOKUP(_xlfn.XLOOKUP(B368,'Base stats'!B:B,'Base stats'!E:E),Groups!A:A,Groups!V:V)*_xlfn.XLOOKUP(B368,'Base stats'!B:B,'Base stats'!C:C)^0.165,0.05)))</f>
        <v>No</v>
      </c>
      <c r="Z368" s="7" t="str">
        <f>IF(X368="No","No",_xlfn.XLOOKUP(_xlfn.XLOOKUP(B368,'Base stats'!B:B,'Base stats'!E:E),Groups!A:A,Groups!W:W))</f>
        <v>No</v>
      </c>
      <c r="AA368" s="7" t="str">
        <f>IF(X368="No","No",_xlfn.XLOOKUP(_xlfn.XLOOKUP(B368,'Base stats'!B:B,'Base stats'!E:E),Groups!A:A,Groups!X:X))</f>
        <v>No</v>
      </c>
      <c r="AB368" s="7" t="str">
        <f>IF(X368="No","No",_xlfn.XLOOKUP(_xlfn.XLOOKUP(B368,'Base stats'!B:B,'Base stats'!E:E),Groups!A:A,Groups!Y:Y))</f>
        <v>No</v>
      </c>
      <c r="AC368" s="7" t="str">
        <f>_xlfn.XLOOKUP(Animals!B368,'Base stats'!B:B,'Base stats'!X:X)</f>
        <v>False</v>
      </c>
      <c r="AD368" s="13">
        <f>IF(_xlfn.XLOOKUP(B368,'Base stats'!B:B,'Base stats'!AT:AT)="No","No",MROUND((LOG10(_xlfn.XLOOKUP(B368,'Base stats'!B:B,'Base stats'!AT:AT))*(AO368^0.75)+(_xlfn.XLOOKUP(B368,'Base stats'!B:B,'Base stats'!AT:AT)/1000)^(2/3)+_xlfn.XLOOKUP(B368,'Base stats'!B:B,'Base stats'!AX:AX)+_xlfn.XLOOKUP(B368,'Base stats'!B:B,'Base stats'!BA:BA))+0.5,0.5))</f>
        <v>45</v>
      </c>
      <c r="AE368" s="7">
        <f>IF(AD368="No","No",MAX(_xlfn.XLOOKUP(_xlfn.XLOOKUP(B368,'Base stats'!B:B,'Base stats'!E:E),Groups!A:A,Groups!Z:Z),MROUND(_xlfn.XLOOKUP(_xlfn.XLOOKUP(B368,'Base stats'!B:B,'Base stats'!E:E),Groups!A:A,Groups!Z:Z)*_xlfn.XLOOKUP(B368,'Base stats'!B:B,'Base stats'!C:C)^0.165,0.05)))</f>
        <v>4.25</v>
      </c>
      <c r="AF368" s="7" t="str">
        <f>IF(AD368="No","No",_xlfn.XLOOKUP(_xlfn.XLOOKUP(B368,'Base stats'!B:B,'Base stats'!E:E),Groups!A:A,Groups!AA:AA))</f>
        <v>Teeth</v>
      </c>
      <c r="AG368" s="7" t="str">
        <f>IF(AD368="No","No",_xlfn.XLOOKUP(_xlfn.XLOOKUP(B368,'Base stats'!B:B,'Base stats'!E:E),Groups!A:A,Groups!AB:AB))</f>
        <v>beak</v>
      </c>
      <c r="AH368" s="7" t="str">
        <f>IF(AD368="No","No",_xlfn.XLOOKUP(_xlfn.XLOOKUP(B368,'Base stats'!B:B,'Base stats'!E:E),Groups!A:A,Groups!AC:AC))</f>
        <v>Bite</v>
      </c>
      <c r="AI368" s="13">
        <f>IF(_xlfn.XLOOKUP(_xlfn.XLOOKUP(B368,'Base stats'!B:B,'Base stats'!E:E),Groups!A:A,Groups!AD:AD)=0,"No",MROUND((LOG10(_xlfn.XLOOKUP(B368,'Base stats'!B:B,'Base stats'!AS:AS))*(AO368^0.75)+(_xlfn.XLOOKUP(B368,'Base stats'!B:B,'Base stats'!AS:AS)/1000)^(2/3)+_xlfn.XLOOKUP(B368,'Base stats'!B:B,'Base stats'!AY:AY)+_xlfn.XLOOKUP(B368,'Base stats'!B:B,'Base stats'!BA:BA))+0.5,0.5))</f>
        <v>58.5</v>
      </c>
      <c r="AJ368" s="7">
        <f>IF(AI368="No","No",MAX(_xlfn.XLOOKUP(_xlfn.XLOOKUP(B368,'Base stats'!B:B,'Base stats'!E:E),Groups!A:A,Groups!AE:AE),MROUND(_xlfn.XLOOKUP(_xlfn.XLOOKUP(B368,'Base stats'!B:B,'Base stats'!E:E),Groups!A:A,Groups!AE:AE)*IF(_xlfn.XLOOKUP(_xlfn.XLOOKUP(B368,'Base stats'!B:B,'Base stats'!E:E),Groups!A:A,Groups!AJ:AJ)="Photonozoa",0.6,1)*_xlfn.XLOOKUP(B368,'Base stats'!B:B,'Base stats'!C:C)^0.165,0.05)))</f>
        <v>3.2</v>
      </c>
      <c r="AK368" s="7" t="str">
        <f>IF(AI368="No","No",_xlfn.XLOOKUP(_xlfn.XLOOKUP(B368,'Base stats'!B:B,'Base stats'!E:E),Groups!A:A,Groups!AF:AF))</f>
        <v>FrontLeftClaws, FrontRightClaws</v>
      </c>
      <c r="AL368" s="7" t="str">
        <f>IF(AI368="No","No",_xlfn.XLOOKUP(_xlfn.XLOOKUP(B368,'Base stats'!B:B,'Base stats'!E:E),Groups!A:A,Groups!AG:AG))</f>
        <v>left claw, right claw</v>
      </c>
      <c r="AM368" s="7" t="str">
        <f>IF(AI368="No","No",_xlfn.XLOOKUP(_xlfn.XLOOKUP(B368,'Base stats'!B:B,'Base stats'!E:E),Groups!A:A,Groups!AH:AH))</f>
        <v>Scratch</v>
      </c>
      <c r="AN368" s="2" t="str">
        <f t="shared" si="35"/>
        <v>No</v>
      </c>
      <c r="AO368" s="2">
        <f>MROUND(IF(AND(_xlfn.XLOOKUP(B368,'Base stats'!B:B,'Base stats'!C:C)&gt;=0.5,_xlfn.XLOOKUP(B368,'Base stats'!B:B,'Base stats'!C:C)&lt;=0.8),
IF(_xlfn.XLOOKUP(B368,'Base stats'!B:B,'Base stats'!C:C)&lt;0.1,0.05,IF(_xlfn.XLOOKUP(B368,'Base stats'!B:B,'Base stats'!C:C)&lt;=70,(_xlfn.XLOOKUP(B368,'Base stats'!B:B,'Base stats'!C:C)/70)^0.426489913056526,IF(_xlfn.XLOOKUP(B368,'Base stats'!B:B,'Base stats'!C:C)&lt;=400,(_xlfn.XLOOKUP(B368,'Base stats'!B:B,'Base stats'!C:C)/70)^0.572811455315093,IF(_xlfn.XLOOKUP(B368,'Base stats'!B:B,'Base stats'!C:C)&lt;=2000,2.71391647193063*(_xlfn.XLOOKUP(B368,'Base stats'!B:B,'Base stats'!C:C)/400)^0.252459582904293,3.74314280240376*(_xlfn.XLOOKUP(B368,'Base stats'!B:B,'Base stats'!C:C)/2000)^0.357012633876913)))),
IF(_xlfn.XLOOKUP(B368,'Base stats'!B:B,'Base stats'!C:C)&lt;0.1,0.05,IF(_xlfn.XLOOKUP(B368,'Base stats'!B:B,'Base stats'!C:C)&lt;0.4,0.1,IF(_xlfn.XLOOKUP(B368,'Base stats'!B:B,'Base stats'!C:C)&lt;=70,(_xlfn.XLOOKUP(B368,'Base stats'!B:B,'Base stats'!C:C)/70)^0.445823913056526,IF(_xlfn.XLOOKUP(B368,'Base stats'!B:B,'Base stats'!C:C)&lt;=400,(_xlfn.XLOOKUP(B368,'Base stats'!B:B,'Base stats'!C:C)/70)^0.572811455315093,IF(_xlfn.XLOOKUP(B368,'Base stats'!B:B,'Base stats'!C:C)&lt;=2000,2.71391647193063*(_xlfn.XLOOKUP(B368,'Base stats'!B:B,'Base stats'!C:C)/400)^0.252459582904293,3.74314280240376*(_xlfn.XLOOKUP(B368,'Base stats'!B:B,'Base stats'!C:C)/2000)^0.357012633876913)))))),
IF(_xlfn.XLOOKUP(B368,'Base stats'!B:B,'Base stats'!C:C)&lt;0.1,0.05,IF(_xlfn.XLOOKUP(B368,'Base stats'!B:B,'Base stats'!C:C)&lt;=100,0.05,IF(_xlfn.XLOOKUP(B368,'Base stats'!B:B,'Base stats'!C:C)&lt;=250,0.1,IF(_xlfn.XLOOKUP(B368,'Base stats'!B:B,'Base stats'!C:C)&lt;=4000,0.25,0.5)))))</f>
        <v>5.5</v>
      </c>
      <c r="AP368" s="8">
        <f>MROUND(AO368*_xlfn.XLOOKUP(_xlfn.XLOOKUP(B368,'Base stats'!B:B,'Base stats'!E:E),Groups!A:A,Groups!AI:AI)*_xlfn.XLOOKUP(B368,'Base stats'!B:B,'Base stats'!Z:Z),0.05)</f>
        <v>6.6000000000000005</v>
      </c>
      <c r="AQ368" s="8">
        <f>MAX(0.01,MROUND(IF(CC368="True",0.196*(AO368*100*1000)^0.889,IF(_xlfn.XLOOKUP(_xlfn.XLOOKUP(B368,'Base stats'!B:B,'Base stats'!E:E),Groups!A:A,Groups!AJ:AJ)="Bird",10.5*(AO368*100*1000)^0.681,4.82*(AO368*100*1000)^0.734))/(4.82*(1*100*1000)^0.734)/IF(AO368&lt;3.5,2,IF(AO368=3.5,1.5,1.25))*(1+0.132282374779864/(AO368^0.994035016789033+0.00905238001496948)),0.05))</f>
        <v>3.1</v>
      </c>
      <c r="AR368" s="9">
        <f>IFERROR(MROUND(_xlfn.XLOOKUP(B368,'Base stats'!B:B,'Base stats'!H:H)/IF(_xlfn.XLOOKUP(B368,'Base stats'!B:B,'Base stats'!I:I)&lt;&gt;1,(122.5/70),1.2),IF(_xlfn.XLOOKUP(B368,'Base stats'!B:B,'Base stats'!H:H)&gt;=30,5,IF(_xlfn.XLOOKUP(B368,'Base stats'!B:B,'Base stats'!H:H)&gt;=15,3,IF(_xlfn.XLOOKUP(B368,'Base stats'!B:B,'Base stats'!H:H)&gt;=10,2,1)))),"Immortal")</f>
        <v>25</v>
      </c>
      <c r="AS368" s="35" t="str">
        <f>IFERROR(IF(OR(_xlfn.XLOOKUP(B368,'Base stats'!B:B,'Base stats'!F:F)="Atypical reproduction",_xlfn.XLOOKUP(B368,'Base stats'!B:B,'Base stats'!F:F)="Lay eggs"),"Lay eggs",MIN(20,MAX(5.5,ROUND(((_xlfn.XLOOKUP(B368,'Base stats'!B:B,'Base stats'!F:F)-25)*(14.5/615) + 5.5)*2,0)/2))),"Unknown")</f>
        <v>Lay eggs</v>
      </c>
      <c r="AT368" s="8">
        <f>IF(_xlfn.XLOOKUP(B368,'Base stats'!B:B,'Base stats'!G:G)="Atypical reproduction","No",IFERROR(MAX(IF(_xlfn.XLOOKUP(B368,'Base stats'!B:B,'Base stats'!G:G)&lt;0.5,0.2,0.3),MROUND(_xlfn.XLOOKUP(B368,'Base stats'!B:B,'Base stats'!G:G)/(365/60),0.2)),"Unknown"))</f>
        <v>3</v>
      </c>
      <c r="AU368" s="8">
        <f t="shared" si="36"/>
        <v>1.5</v>
      </c>
      <c r="AV368" s="8" t="str">
        <f>IFERROR(IFERROR(MROUND(_xlfn.XLOOKUP(B368,'Base stats'!B:B,'Base stats'!J:J),0.1),"Lay eggs"),"Cannot breed")</f>
        <v>Lay eggs</v>
      </c>
      <c r="AW368" s="2" t="str">
        <f t="shared" si="37"/>
        <v>false</v>
      </c>
      <c r="AX368" s="2" t="str">
        <f>IF(_xlfn.XLOOKUP(_xlfn.XLOOKUP(Animals!B368,'Base stats'!B:B,'Base stats'!E:E),Groups!A:A,Groups!AK:AK)=1,"true","false")</f>
        <v>false</v>
      </c>
      <c r="AY368" s="25" t="str">
        <f>IF(_xlfn.XLOOKUP(B368,'Base stats'!B:B,'Base stats'!Y:Y)="Liquor","Liquor, CarnivoreAnimalStrict",IF(AND(_xlfn.XLOOKUP(B368,'Base stats'!B:B,'Base stats'!Y:Y)="Carnivore",_xlfn.XLOOKUP(_xlfn.XLOOKUP(B368,'Base stats'!B:B,'Base stats'!E:E),Groups!A:A,Groups!AJ:AJ)="Photonozoa"),"CarnivoreAnimalStrict, OvivoreAnimal",IF(_xlfn.XLOOKUP(B368,'Base stats'!B:B,'Base stats'!Y:Y)="Carnivore","CarnivoreAnimal, OvivoreAnimal",IF(_xlfn.XLOOKUP(B368,'Base stats'!B:B,'Base stats'!Y:Y)="Dendrovore","VegetarianRoughAnimal, DendrovoreAnimal",IF(_xlfn.XLOOKUP(B368,'Base stats'!B:B,'Base stats'!Y:Y)="Herbivore","VegetarianRoughAnimal",IF(_xlfn.XLOOKUP(B368,'Base stats'!B:B,'Base stats'!Y:Y)="OmnivoreRough","OmnivoreRoughAnimal, OvivoreAnimal","OmnivoreAnimal, OvivoreAnimal"))))))</f>
        <v>VegetarianRoughAnimal</v>
      </c>
      <c r="AZ368" s="2" t="str">
        <f>IF(_xlfn.XLOOKUP(_xlfn.XLOOKUP(B368,'Base stats'!B:B,'Base stats'!E:E),Groups!A:A,Groups!D:D)=1,MROUND((1-J368)*5+1,2)*IF(J368&lt;=0.4,2,1),"No")</f>
        <v>No</v>
      </c>
      <c r="BA368" s="2" t="str">
        <f>IF(AND(_xlfn.XLOOKUP(B368,'Base stats'!B:B,'Base stats'!AH:AH)="&lt;li&gt;Seal&lt;/li&gt;",G368="Odyssey"),"&lt;li&gt;AEXP_Seal&lt;/li&gt;",_xlfn.XLOOKUP(B368,'Base stats'!B:B,'Base stats'!AH:AH))</f>
        <v>No</v>
      </c>
      <c r="BB368" s="2" t="str">
        <f>_xlfn.XLOOKUP(B368,'Base stats'!B:B,'Base stats'!AG:AG)</f>
        <v>Leather_DinosaurFuzz</v>
      </c>
      <c r="BC368" s="23" t="str">
        <f>_xlfn.XLOOKUP(_xlfn.XLOOKUP(B368,'Base stats'!B:B,'Base stats'!E:E),Groups!A:A,Groups!AL:AL)</f>
        <v>Theropod</v>
      </c>
      <c r="BD368" s="23">
        <f>MIN(1,MROUND(IF(AND(AO368&lt;0.5,_xlfn.XLOOKUP(B368,'Base stats'!B:B,'Base stats'!AA:AA)=0),0,IF(OR(_xlfn.XLOOKUP(Animals!B368,'Base stats'!B:B,'Base stats'!O:O)=2,_xlfn.XLOOKUP(_xlfn.XLOOKUP(B368,'Base stats'!B:B,'Base stats'!E:E),Groups!A:A,Groups!AN:AN)=0),0,_xlfn.XLOOKUP(_xlfn.XLOOKUP(B368,'Base stats'!B:B,'Base stats'!E:E),Groups!A:A,Groups!AN:AN)/IF(_xlfn.XLOOKUP(Animals!B368,'Base stats'!B:B,'Base stats'!O:O)=1,2,1)))+_xlfn.XLOOKUP(B368,'Base stats'!B:B,'Base stats'!AC:AC),0.005))</f>
        <v>0.1</v>
      </c>
      <c r="BE368" s="23">
        <f>MIN(1,MROUND(IF(AND(AO368&lt;0.5,_xlfn.XLOOKUP(B368,'Base stats'!B:B,'Base stats'!AA:AA)=0),0,IF(_xlfn.XLOOKUP(_xlfn.XLOOKUP(B368,'Base stats'!B:B,'Base stats'!E:E),Groups!A:A,Groups!AO:AO)=0,0,_xlfn.XLOOKUP(_xlfn.XLOOKUP(B368,'Base stats'!B:B,'Base stats'!E:E),Groups!A:A,Groups!AO:AO)/IF(_xlfn.XLOOKUP(Animals!B368,'Base stats'!B:B,'Base stats'!O:O)=2,3,1)))+_xlfn.XLOOKUP(B368,'Base stats'!B:B,'Base stats'!AD:AD),0.005))</f>
        <v>0.3</v>
      </c>
      <c r="BF368" s="2" t="str">
        <f>IF(J368&gt;0.3,"No",_xlfn.XLOOKUP(_xlfn.XLOOKUP(Animals!B368,'Base stats'!B:B,'Base stats'!E:E),Groups!A:A,Groups!AP:AP))</f>
        <v>No</v>
      </c>
      <c r="BG368" s="2" t="str">
        <f>IF(AND(J368&lt;=0.65,_xlfn.XLOOKUP(_xlfn.XLOOKUP(Animals!B368,'Base stats'!B:B,'Base stats'!E:E),Groups!A:A,Groups!AP:AP)&lt;&gt;"No",_xlfn.XLOOKUP(_xlfn.XLOOKUP(B368,'Base stats'!B:B,'Base stats'!E:E),Groups!A:A,Groups!D:D)=0),MROUND((80/3)*IF(_xlfn.XLOOKUP(B368,'Base stats'!B:B,'Base stats'!O:O)=2,0.2,AO368) + 24*(1-IF(BF368="No",0,BF368)) + 16/3, 12),"No")</f>
        <v>No</v>
      </c>
      <c r="BH368" s="2">
        <f>IF(AND(_xlfn.XLOOKUP(_xlfn.XLOOKUP(B368,'Base stats'!B:B,'Base stats'!E:E),Groups!A:A,Groups!AQ:AQ)=1,AO368&lt;=0.35),8,12)</f>
        <v>12</v>
      </c>
      <c r="BI368" s="2" t="str">
        <f>IF(_xlfn.XLOOKUP(_xlfn.XLOOKUP(B368,'Base stats'!B:B,'Base stats'!E:E),Groups!A:A,Groups!D:D)=0,_xlfn.XLOOKUP(_xlfn.XLOOKUP(B368,'Base stats'!B:B,'Base stats'!E:E),Groups!A:A,Groups!AR:AR),"None")</f>
        <v>Intermediate</v>
      </c>
      <c r="BJ368" s="2" t="str">
        <f>IF(AND(_xlfn.XLOOKUP(_xlfn.XLOOKUP(B368,'Base stats'!B:B,'Base stats'!E:E),Groups!A:A,Groups!AS:AS)=1,OR(_xlfn.XLOOKUP(B368,'Base stats'!B:B,'Base stats'!Y:Y)="Carnivore",_xlfn.XLOOKUP(B368,'Base stats'!B:B,'Base stats'!Y:Y)="Omnivore")),"true","false")</f>
        <v>false</v>
      </c>
      <c r="BK368" s="2" t="str">
        <f>IF(BJ368="true",MROUND(IF(AND(AO368&gt;0.5,OR(_xlfn.XLOOKUP(_xlfn.XLOOKUP(B368,'Base stats'!B:B,'Base stats'!E:E),Groups!A:A,Groups!AJ:AJ)="Photonozoa",_xlfn.XLOOKUP(_xlfn.XLOOKUP(B368,'Base stats'!B:B,'Base stats'!E:E),Groups!A:A,Groups!AJ:AJ)="Mammal")),Animals!AO368*1.75*IF(AW368="true",1.5,1),IF(AO368&lt;0.5,Animals!AO368*0.5,Animals!AO368)),IF(AO368&gt;2,0.5,IF(AO368&gt;0.5,0.25,0.1))),"No")</f>
        <v>No</v>
      </c>
      <c r="BL368" s="2">
        <f t="shared" si="38"/>
        <v>1</v>
      </c>
      <c r="BM368" s="25" t="str">
        <f>IF(_xlfn.XLOOKUP(B368,'Base stats'!B:B,'Base stats'!AN:AN)="Standard","No",MROUND((_xlfn.XLOOKUP(B368,'Base stats'!B:B,'Base stats'!AN:AN)/3.6)/I368,0.1))</f>
        <v>No</v>
      </c>
      <c r="BN368" s="25" t="str">
        <f t="shared" si="39"/>
        <v>false</v>
      </c>
      <c r="BO368" s="25" t="str">
        <f>IF(AND(OR(_xlfn.XLOOKUP(B368,'Base stats'!B:B,'Base stats'!Y:Y)="Carnivore",_xlfn.XLOOKUP(B368,'Base stats'!B:B,'Base stats'!Y:Y)="Omnivore",_xlfn.XLOOKUP(B368,'Base stats'!B:B,'Base stats'!Y:Y)="OmnivoreRough"),_xlfn.XLOOKUP(_xlfn.XLOOKUP(B368,'Base stats'!B:B,'Base stats'!E:E),Groups!A:A,Groups!AT:AT)=1),"true","false")</f>
        <v>false</v>
      </c>
      <c r="BP368" s="25" t="str" cm="1">
        <f t="array" ref="BP368">IF(
  _xlfn.TEXTJOIN(", ",TRUE,
    IF(AND(BJ368="true",AO368&gt;0.5,BI368&lt;&gt;"None"),"AttackTarget",""),
    IF(AND(_xlfn.XLOOKUP(_xlfn.XLOOKUP(B368,'Base stats'!B:B,'Base stats'!E:E),Groups!A:A,Groups!AJ:AJ="Mammal"),OR(_xlfn.XLOOKUP(B368,'Base stats'!B:B,'Base stats'!Y:Y)="Omnivore",_xlfn.XLOOKUP(B368,'Base stats'!B:B,'Base stats'!Y:Y)="OmnivoreRough")),"Forage",""),
    IF(BG368&lt;=36,"Comfort",""),
    IF(_xlfn.XLOOKUP(B368,'Base stats'!B:B,'Base stats'!AE:AE)&lt;&gt;"No",_xlfn.XLOOKUP(B368,'Base stats'!B:B,'Base stats'!AE:AE),"")
  ) = "",
  "No",
  _xlfn.TEXTJOIN(", ",TRUE,
    IF(AND(BJ368="true",AO368&gt;0.5,BI368&lt;&gt;"None"),"AttackTarget",""),
    IF(AND(_xlfn.XLOOKUP(_xlfn.XLOOKUP(B368,'Base stats'!B:B,'Base stats'!E:E),Groups!A:A,Groups!AJ:AJ="Mammal"),OR(_xlfn.XLOOKUP(B368,'Base stats'!B:B,'Base stats'!Y:Y)="Omnivore",_xlfn.XLOOKUP(B368,'Base stats'!B:B,'Base stats'!Y:Y)="OmnivoreRough")),"Forage",""),
    IF(BG368&lt;=36,"Comfort",""),
    IF(_xlfn.XLOOKUP(B368,'Base stats'!B:B,'Base stats'!AE:AE)&lt;&gt;"No",_xlfn.XLOOKUP(B368,'Base stats'!B:B,'Base stats'!AE:AE),"")
  )
)</f>
        <v>No</v>
      </c>
      <c r="BQ368" s="25" t="str">
        <f>IF(
   AND(
      'Base stats'!AN368="Standard",_xlfn.XLOOKUP(_xlfn.XLOOKUP(B368,'Base stats'!B:B,'Base stats'!E:E),Groups!A:A,Groups!AU:AU)=0,
      OR(
      BO368="True"
      )
   ),
   10,
   IF(
       OR(BM368&lt;&gt;"No",_xlfn.XLOOKUP(_xlfn.XLOOKUP(B368,'Base stats'!B:B,'Base stats'!E:E),Groups!A:A,Groups!AU:AU)=1),
      1,
      "No"
   )
)</f>
        <v>No</v>
      </c>
      <c r="BR368" s="9">
        <f>MROUND((1 + ((0.2*IF(OR(Q368="No",R368="No",R368=0),0,Q368/R368)
+IF(OR(V368="No",S368="No",T368="No"),0,S368/T368*(LEN(V368)-LEN(SUBSTITUTE(V368,",",""))+1))
+IF(OR(X368="No",Y368="No"),0,X368/Y368)
+IF(OR(AD368="No",AE368="No"),0,AD368/AE368)
+IF(OR(AL368="No",AI368="No",AJ368="No"),0,AI368/AJ368*(LEN(AL368)-LEN(SUBSTITUTE(AL368,",",""))+1))
)/(0.2*IF(OR(Q368="No",R368="No",R368=0),0,1)
+IF(OR(V368="No",S368="No",T368="No"),0,LEN(V368)-LEN(SUBSTITUTE(V368,",",""))+1)
+IF(OR(X368="No",Y368="No"),0,1)
+IF(OR(AD368="No",AE368="No"),0,1)
+IF(OR(AL368="No",AI368="No",AJ368="No"),0,LEN(AL368)-LEN(SUBSTITUTE(AL368,",",""))+1))*62%)* 2)*(1 + (AP368 / (IF(_xlfn.XLOOKUP(_xlfn.XLOOKUP(B368,'Base stats'!B:B,'Base stats'!E:E),Groups!A:A,Groups!AJ:AJ)="Photonozoa",0.3,1)) + _xlfn.XLOOKUP(B368,'Base stats'!B:B,'Base stats'!AV:AV) * 1.8) * 2) * 2.5 + 10 + I368 * 2,5)+IF(_xlfn.XLOOKUP(B368,'Base stats'!B:B,'Base stats'!AK:AK)=1,50,0)</f>
        <v>730</v>
      </c>
      <c r="BS368" s="8">
        <f t="shared" si="40"/>
        <v>3.6</v>
      </c>
      <c r="BT368" s="8" t="str">
        <f>_xlfn.XLOOKUP(B368,'Base stats'!B:B,'Base stats'!AF:AF)</f>
        <v>No</v>
      </c>
      <c r="BU368" s="2" t="str">
        <f>IF(AND(J368&lt;=0.95,OR(_xlfn.XLOOKUP(B368,'Base stats'!B:B,'Base stats'!AK:AK)=1,_xlfn.XLOOKUP(B368,'Base stats'!B:B,'Base stats'!Y:Y)="Carnivore",_xlfn.XLOOKUP(B368,'Base stats'!B:B,'Base stats'!Y:Y)="Omnivore",BE368&gt;0.1)),"true","false")</f>
        <v>true</v>
      </c>
      <c r="BV368" s="2" t="str">
        <f>IF(_xlfn.XLOOKUP(B368,'Base stats'!B:B,'Base stats'!AI:AI)=1,"true","false")</f>
        <v>false</v>
      </c>
      <c r="BW368" s="25" t="str">
        <f>IF(E368="BaseInsect","AnimalInsect",
IF(J368&gt;0.95,"AnimalExotic",
_xlfn.TEXTJOIN(", ",TRUE,
IF(OR(_xlfn.XLOOKUP(B368,'Base stats'!B:B,'Base stats'!AM:AM)=1,AND(_xlfn.XLOOKUP(B368,'Base stats'!B:B,'Base stats'!O:O)=0,_xlfn.XLOOKUP(_xlfn.XLOOKUP(B368,'Base stats'!B:B,'Base stats'!E:E),Groups!A:A,Groups!B:B)&gt;0)),"AnimalUncommon","AnimalCommon"),
IF(AND(_xlfn.XLOOKUP(B368,'Base stats'!B:B,'Base stats'!O:O)=2,_xlfn.XLOOKUP(_xlfn.XLOOKUP(B368,'Base stats'!B:B,'Base stats'!E:E),Groups!A:A,Groups!D:D)=0),"AnimalPet",IF(AND(_xlfn.XLOOKUP(B368,'Base stats'!B:B,'Base stats'!O:O)&lt;&gt;0,_xlfn.XLOOKUP(_xlfn.XLOOKUP(B368,'Base stats'!B:B,'Base stats'!E:E),Groups!A:A,Groups!D:D)&lt;&gt;0),"AnimalFarm","")),
IF(OR(_xlfn.XLOOKUP(B368,'Base stats'!B:B,'Base stats'!AK:AK)=1,AND(BI368&lt;&gt;"None",BR368&gt;=60),ISNUMBER(SEARCH("Attack target",BP368))),"AnimalFighter","")
)))</f>
        <v>AnimalUncommon, AnimalFighter</v>
      </c>
      <c r="BX368" s="25" t="str">
        <f>IF(G368="None",TRIM(
SUBSTITUTE(
IF(COUNTIF(Biomes!B$2:B$259,"="&amp;$C368)&gt;0,Biomes!B$1&amp;", ","")&amp;
IF(COUNTIF(Biomes!C$2:C$259,"="&amp;$C368)&gt;0,Biomes!C$1&amp;", ","")&amp;
IF(COUNTIF(Biomes!D$2:D$259,"="&amp;$C368)&gt;0,Biomes!D$1&amp;", ","")&amp;
IF(COUNTIF(Biomes!F$2:F$259,"="&amp;$C368)&gt;0,Biomes!F$1&amp;", ","")&amp;
IF(COUNTIF(Biomes!G$2:G$259,"="&amp;$C368)&gt;0,Biomes!G$1&amp;", ","")&amp;
IF(COUNTIF(Biomes!H$2:H$259,"="&amp;$C368)&gt;0,Biomes!H$1&amp;", ","")&amp;
IF(COUNTIF(Biomes!I$2:I$259,"="&amp;$C368)&gt;0,Biomes!I$1&amp;", ","")&amp;
IF(COUNTIF(Biomes!J$2:J$259,"="&amp;$C368)&gt;0,Biomes!J$1&amp;", ","")&amp;
IF(COUNTIF(Biomes!M$2:M$259,"="&amp;$C368)&gt;0,Biomes!M$1&amp;", ","")&amp;
IF(COUNTIF(Biomes!N$2:N$259,"="&amp;$C368)&gt;0,Biomes!N$1&amp;", ","")&amp;
IF(COUNTIF(Biomes!O$2:O$259,"="&amp;$C368)&gt;0,Biomes!O$1&amp;", ","")&amp;
IF(COUNTIF(Biomes!P$2:P$259,"="&amp;$C368)&gt;0,Biomes!P$1&amp;", ","")&amp;
IF(COUNTIF(Biomes!K$2:K$259,"="&amp;$C368)&gt;0,Biomes!K$1&amp;", ","")&amp;
IF(COUNTIF(Biomes!Q$3:Q$259,"="&amp;$C368)&gt;0,Biomes!Q$1&amp;", ","")&amp;
IF(COUNTIF(Biomes!L$2:L$259,"="&amp;$C368)&gt;0,Biomes!L$1&amp;", ","")&amp;
IF(COUNTIF(Biomes!E$2:E$259,"="&amp;$C368)&gt;0,Biomes!E$1&amp;", ","")&amp;IF(COUNTIF(Biomes!S$2:S$259,"="&amp;$C368)&gt;0,Biomes!S$1&amp;", ","")&amp;
IF(COUNTIF(Biomes!R$2:R$259,"="&amp;$C368)&gt;0,Biomes!R$1&amp;", ",""),", ","")
),_xlfn.XLOOKUP(B368,B:B,BX:BX))</f>
        <v>TropicalRainforest TropicalSwamp Glowforest</v>
      </c>
      <c r="BY368" s="25" t="str">
        <f>IF(_xlfn.XLOOKUP(B368,'Base stats'!B:B,'Base stats'!AJ:AJ)=1,"true","false")</f>
        <v>false</v>
      </c>
      <c r="BZ368" s="25">
        <f>IF(_xlfn.XLOOKUP(B368,'Base stats'!B:B,'Base stats'!N:N)=1,"No",MAX(0.001,MIN(MROUND(IF(AND(BJ368="True",CC368="False"),POWER(10,3.47*LOG10(_xlfn.XLOOKUP(B368,'Base stats'!B:B,'Base stats'!C:C)*1000)^-0.96),POWER(10,4.15*LOG10(_xlfn.XLOOKUP(B368,'Base stats'!B:B,'Base stats'!C:C)*1000)^-0.73))*IF(_xlfn.XLOOKUP(B368,'Base stats'!B:B,'Base stats'!AK:AK)=1,0.5,1)*IF(_xlfn.XLOOKUP(B368,'Base stats'!B:B,'Base stats'!AM:AM)=1,0.1,1)/100,IF(_xlfn.XLOOKUP(B368,'Base stats'!B:B,'Base stats'!AM:AM)=1,0.001,0.025)),0.5)))</f>
        <v>0.1</v>
      </c>
      <c r="CA368" s="25" t="str">
        <f>IF(P368="Standard","No",MAX(0.001,MIN(MROUND(IF(AND(BJ368="True",CC368="False"),POWER(10,3.47*LOG10(_xlfn.XLOOKUP(B368,'Base stats'!B:B,'Base stats'!C:C)*1000)^-0.96),POWER(10,4.15*LOG10(_xlfn.XLOOKUP(B368,'Base stats'!B:B,'Base stats'!C:C)*1000)^-0.73))*IF(_xlfn.XLOOKUP(B368,'Base stats'!B:B,'Base stats'!AM:AM)=1,0.1,1)*_xlfn.XLOOKUP(B368,'Base stats'!B:B,'Base stats'!R:R)/100,IF(_xlfn.XLOOKUP(B368,'Base stats'!B:B,'Base stats'!AM:AM)=1,0.001,0.025)),0.5)))</f>
        <v>No</v>
      </c>
      <c r="CB368" s="25" t="str">
        <f>IF(_xlfn.XLOOKUP(_xlfn.XLOOKUP(B368,'Base stats'!B:B,'Base stats'!E:E),Groups!A:A,Groups!AJ:AJ)="Mammal","True","False")</f>
        <v>False</v>
      </c>
      <c r="CC368" s="25" t="str">
        <f>IF(OR(_xlfn.XLOOKUP(_xlfn.XLOOKUP(B368,'Base stats'!B:B,'Base stats'!E:E),Groups!A:A,Groups!AJ:AJ)="Reptile",_xlfn.XLOOKUP(_xlfn.XLOOKUP(B368,'Base stats'!B:B,'Base stats'!E:E),Groups!A:A,Groups!AJ:AJ)="Amphibian",_xlfn.XLOOKUP(_xlfn.XLOOKUP(B368,'Base stats'!B:B,'Base stats'!E:E),Groups!A:A,Groups!AJ:AJ)="Invertebrate"),"True","False")</f>
        <v>False</v>
      </c>
      <c r="CD368" s="25" t="str">
        <f t="shared" si="41"/>
        <v>False</v>
      </c>
      <c r="CE368" s="25" t="str">
        <f>IF(_xlfn.XLOOKUP(_xlfn.XLOOKUP(B368,'Base stats'!B:B,'Base stats'!E:E),Groups!A:A,Groups!AX:AX),"True","False")</f>
        <v>False</v>
      </c>
      <c r="CF368" s="25" t="str">
        <f>IF(_xlfn.XLOOKUP(_xlfn.XLOOKUP(B368,'Base stats'!B:B,'Base stats'!E:E),Groups!A:A,Groups!AY:AY),"True","False")</f>
        <v>False</v>
      </c>
      <c r="CG368" s="25" t="str">
        <f>IF(_xlfn.XLOOKUP(_xlfn.XLOOKUP(B368,'Base stats'!B:B,'Base stats'!E:E),Groups!A:A,Groups!AW:AW),"True","False")</f>
        <v>False</v>
      </c>
      <c r="CH368" s="25" t="str">
        <f>IF(
OR(
_xlfn.XLOOKUP(_xlfn.XLOOKUP(B368,'Base stats'!B:B,'Base stats'!E:E),Groups!A:A,Groups!AZ:AZ)=0,
AND(
_xlfn.XLOOKUP(B368,'Base stats'!B:B,'Base stats'!Y:Y)&lt;&gt;"Carnivore",
_xlfn.XLOOKUP(B368,'Base stats'!B:B,'Base stats'!Y:Y)&lt;&gt;"Omnivore",
_xlfn.XLOOKUP(B368,'Base stats'!B:B,'Base stats'!Y:Y)&lt;&gt;"OmnivoreRough"
)
),
"No",
IF(
_xlfn.XLOOKUP(_xlfn.XLOOKUP(B368,'Base stats'!B:B,'Base stats'!E:E),Groups!A:A,Groups!AZ:AZ)=1,
"Flesh",
IF(
_xlfn.XLOOKUP(_xlfn.XLOOKUP(B368,'Base stats'!B:B,'Base stats'!E:E),Groups!A:A,Groups!AZ:AZ)=2,
"Bone",
""
)
)
)</f>
        <v>No</v>
      </c>
      <c r="CI368" s="25" t="str">
        <f>IF(_xlfn.XLOOKUP(_xlfn.XLOOKUP(B368,'Base stats'!B:B,'Base stats'!E:E),Groups!A:A,Groups!BB:BB),"True","False")</f>
        <v>False</v>
      </c>
      <c r="CJ368" s="25" t="str">
        <f>IF(_xlfn.XLOOKUP(_xlfn.XLOOKUP(B368,'Base stats'!B:B,'Base stats'!E:E),Groups!A:A,Groups!BA:BA),"True","False")</f>
        <v>False</v>
      </c>
    </row>
    <row r="369" spans="1:88" ht="16.5" thickTop="1" thickBot="1" x14ac:dyDescent="0.3">
      <c r="A369" s="26" t="s">
        <v>1976</v>
      </c>
      <c r="B369" s="6" t="str">
        <f>_xlfn.XLOOKUP(A369,'Base stats'!A:A,'Base stats'!B:B)</f>
        <v>Therizinosaurus cheloniformis</v>
      </c>
      <c r="C369" s="28" t="s">
        <v>2043</v>
      </c>
      <c r="D369" s="28" t="s">
        <v>1898</v>
      </c>
      <c r="E369" s="28" t="s">
        <v>673</v>
      </c>
      <c r="F369" s="28" t="s">
        <v>673</v>
      </c>
      <c r="G369" s="28" t="s">
        <v>673</v>
      </c>
      <c r="H369" s="2">
        <f>MROUND((
  (IF(AND(_xlfn.XLOOKUP(B369,'Base stats'!B:B,'Base stats'!AL:AL)=0,BI369="None",_xlfn.XLOOKUP(_xlfn.XLOOKUP(B369,'Base stats'!B:B,'Base stats'!E:E),Groups!A:A,Groups!B:B)=0), (18 + BR369 * 2.7) * 0.5,
    IF(AND(_xlfn.XLOOKUP(B369,'Base stats'!B:B,'Base stats'!AL:AL)=0,OR(AO369&lt;0.55,AND(BI369="Intermediate",_xlfn.XLOOKUP(_xlfn.XLOOKUP(B369,'Base stats'!B:B,'Base stats'!E:E),Groups!A:A,Groups!B:B)&lt;2))), (18 + BR369 * 2.7),
      IF(OR(BI369="Advanced",_xlfn.XLOOKUP(B369,'Base stats'!B:B,'Base stats'!AL:AL)=1,_xlfn.XLOOKUP(_xlfn.XLOOKUP(B369,'Base stats'!B:B,'Base stats'!E:E),Groups!A:A,Groups!B:B)=2), (18 + BR369 * 2.7) + 250, (18 + BR369 * 2.7))
    )
  ))
  + AO369 * 80
  + IF(COUNTIF(EggMilk!K$2:K$998, A369) &gt; 0, 125, 0)
  + IF(COUNTIF(EggMilk!P$2:P$998, A369) &gt; 0, 90, 0)
  + IF(COUNTIF(EggMilk!A$2:A$998, A369) &gt; 0, 90, 0)
)
* (0.8 + 0.4 * J369)
* 0.75,25)</f>
        <v>2100</v>
      </c>
      <c r="I369" s="2">
        <f>MROUND(ROUNDDOWN(_xlfn.XLOOKUP(B369,'Base stats'!B:B,'Base stats'!L:L)/3.6/(23.3/11),1),0.5)</f>
        <v>3.5</v>
      </c>
      <c r="J369" s="2">
        <f>IF(OR(_xlfn.XLOOKUP(B369,'Base stats'!B:B,'Base stats'!AB:AB)=1,_xlfn.XLOOKUP(_xlfn.XLOOKUP(B369,'Base stats'!B:B,'Base stats'!E:E),Groups!A:A,Groups!C:C)="Untamable"),1,IF(_xlfn.XLOOKUP(B369,'Base stats'!B:B,'Base stats'!AL:AL)=1,0.99,MIN(MROUND((1-0.6282*EXP(-0.459*AO369))*_xlfn.XLOOKUP(_xlfn.XLOOKUP(B369,'Base stats'!B:B,'Base stats'!E:E),Groups!A:A,Groups!C:C)*IF(_xlfn.XLOOKUP(B369,'Base stats'!B:B,'Base stats'!O:O)=1,0.5,IF(_xlfn.XLOOKUP(B369,'Base stats'!B:B,'Base stats'!O:O)=2,0,1)),0.05),IF(AO369&gt;3.5,0.985,0.95))))</f>
        <v>0.95000000000000007</v>
      </c>
      <c r="K369" s="2">
        <f>ROUNDUP(AO369*_xlfn.XLOOKUP(_xlfn.XLOOKUP(B369,'Base stats'!B:B,'Base stats'!E:E),Groups!A:A,Groups!E:E),0)</f>
        <v>5</v>
      </c>
      <c r="L369" s="2">
        <f>IF(OR(_xlfn.XLOOKUP(_xlfn.XLOOKUP(B369,'Base stats'!B:B,'Base stats'!E:E),Groups!A:A,Groups!F:F)=2,ISNUMBER(SEARCH("SeaIce",BX369)),ISNUMBER(SEARCH("IceSheet",BX369))),-50,IF(OR(ISNUMBER(SEARCH("GlacialPlain",BX369)),ISNUMBER(SEARCH("Tundra",BX369))),-40,IF(OR(ISNUMBER(SEARCH("Alpine",BX369)),ISNUMBER(SEARCH("BorealForest",BX369)),ISNUMBER(SEARCH("ColdBog",BX369))),-30,IF(OR(ISNUMBER(SEARCH("TemperateForest",BX369)),ISNUMBER(SEARCH("TemperateSwamp",BX369))),-20,IF(_xlfn.XLOOKUP(_xlfn.XLOOKUP(B369,'Base stats'!B:B,'Base stats'!E:E),Groups!A:A,Groups!F:F)=1,-15,IF(OR(ISNUMBER(SEARCH("Desert",BX369)),ISNUMBER(SEARCH("ExtremeDesert",BX369))),-10,IF(OR(ISNUMBER(SEARCH("Grasslands",BX369)),ISNUMBER(SEARCH("TropicalRainforest",BX369)),ISNUMBER(SEARCH("TropicalSwamp",BX369))),10,0)))))))-IF(CC369="False",MIN(IFERROR(MAX(MROUND(LOG10(_xlfn.XLOOKUP(B369,'Base stats'!B:B,'Base stats'!C:C)^(2/3))*10,5),5),5),30))-_xlfn.XLOOKUP(B369,'Base stats'!B:B,'Base stats'!P:P)+IF(CC369="True",5,0)</f>
        <v>-15</v>
      </c>
      <c r="M369" s="2">
        <f>IF(OR(_xlfn.XLOOKUP(_xlfn.XLOOKUP(B369,'Base stats'!B:B,'Base stats'!E:E),Groups!A:A,Groups!G:G)=2,ISNUMBER(SEARCH("Desert",BX369)),ISNUMBER(SEARCH("ExtremeDesert",BX369)),ISNUMBER(SEARCH("LavaField",BX369))),50,IF(ISNUMBER(SEARCH("Grasslands",BX369)),45,IF(OR(_xlfn.XLOOKUP(_xlfn.XLOOKUP(B369,'Base stats'!B:B,'Base stats'!E:E),Groups!A:A,Groups!G:G)=1,ISNUMBER(SEARCH("TropicalRainforest",BX369)),ISNUMBER(SEARCH("TropicalSwamp",BX369))),40,IF(OR(ISNUMBER(SEARCH("TemperateForest",BX369)),ISNUMBER(SEARCH("TemperateSwamp",BX369))),35,IF(OR(ISNUMBER(SEARCH("Alpine",BX369)),ISNUMBER(SEARCH("BorealForest",BX369)),ISNUMBER(SEARCH("ColdBog",BX369))),30,IF(ISNUMBER(OR(ISNUMBER(SEARCH("GlacialPlain",BX369)),SEARCH("Tundra",BX369))),25,IF(OR(ISNUMBER(SEARCH("SeaIce",BX369)),ISNUMBER(SEARCH("IceSheet",BX369)),ISNUMBER(SEARCH("TropicalSwamp",BX369))),10,35)))))))+_xlfn.XLOOKUP(B369,'Base stats'!B:B,'Base stats'!Q:Q)</f>
        <v>40</v>
      </c>
      <c r="N369" s="8" t="str">
        <f>IF(
_xlfn.XLOOKUP(
_xlfn.XLOOKUP(B369,'Base stats'!B:B,'Base stats'!E:E),
Groups!A:A,
Groups!L:L
)=1,
MIN(
MROUND(
IF(
_xlfn.XLOOKUP(B369,'Animals CE'!B:B,'Animals CE'!Z:Z)&lt;=1.5,
_xlfn.XLOOKUP(B369,'Animals CE'!B:B,'Animals CE'!Z:Z)/2+0.05,
0.8+
(_xlfn.XLOOKUP(B369,'Animals CE'!B:B,'Animals CE'!Z:Z)-1.5)
*0.02
),
0.05
),
200%
),
"No"
)</f>
        <v>No</v>
      </c>
      <c r="O369" s="8" t="str">
        <f>IF(
_xlfn.XLOOKUP(
_xlfn.XLOOKUP(B369,'Base stats'!B:B,'Base stats'!E:E),
Groups!A:A,
Groups!L:L
)=1,
MIN(
MROUND(
IF(
_xlfn.XLOOKUP(B369,'Animals CE'!B:B,'Animals CE'!AA:AA)&lt;=1.5,
_xlfn.XLOOKUP(B369,'Animals CE'!B:B,'Animals CE'!AA:AA)/2+0.05,
0.8+
(_xlfn.XLOOKUP(B369,'Animals CE'!B:B,'Animals CE'!AA:AA)-1.5)
*0.02
),
0.05
),
200%
),
"No"
)</f>
        <v>No</v>
      </c>
      <c r="P369" s="2" t="str">
        <f>_xlfn.XLOOKUP(B369,'Base stats'!B:B,'Base stats'!R:R)</f>
        <v>Standard</v>
      </c>
      <c r="Q369" s="13">
        <f>MROUND((LOG10(_xlfn.XLOOKUP(B369,'Base stats'!B:B,'Base stats'!AR:AR))*(AO369^0.5)+(_xlfn.XLOOKUP(B369,'Base stats'!B:B,'Base stats'!AR:AR)/1000)^(2/3)+_xlfn.XLOOKUP(B369,'Base stats'!B:B,'Base stats'!BA:BA)/2)+0.5,0.5)</f>
        <v>37</v>
      </c>
      <c r="R369" s="7">
        <f>IF(Q369="No","No",MAX(1,MROUND(_xlfn.XLOOKUP(B369,'Base stats'!B:B,'Base stats'!C:C)^0.165,0.05)))</f>
        <v>4.1000000000000005</v>
      </c>
      <c r="S369" s="13" t="str">
        <f>IF(_xlfn.XLOOKUP(_xlfn.XLOOKUP(B369,'Base stats'!B:B,'Base stats'!E:E),Groups!A:A,Groups!P:P)=0,"No",MROUND((LOG10(_xlfn.XLOOKUP(B369,'Base stats'!B:B,'Base stats'!AS:AS))*(AO369^0.5)+(_xlfn.XLOOKUP(B369,'Base stats'!B:B,'Base stats'!AS:AS)/1000)^(2/3)+_xlfn.XLOOKUP(B369,'Base stats'!B:B,'Base stats'!BA:BA))+_xlfn.XLOOKUP(B369,'Base stats'!B:B,'Base stats'!AY:AY)+0.5,0.5))</f>
        <v>No</v>
      </c>
      <c r="T369" s="7" t="str">
        <f>IF(S369="No","No",MAX(_xlfn.XLOOKUP(_xlfn.XLOOKUP(B369,'Base stats'!B:B,'Base stats'!E:E),Groups!A:A,Groups!Q:Q),MROUND(_xlfn.XLOOKUP(_xlfn.XLOOKUP(B369,'Base stats'!B:B,'Base stats'!E:E),Groups!A:A,Groups!Q:Q)*_xlfn.XLOOKUP(B369,'Base stats'!B:B,'Base stats'!C:C)^0.165,0.05)))</f>
        <v>No</v>
      </c>
      <c r="U369" s="7" t="str">
        <f>IF(S369="No","No",_xlfn.XLOOKUP(_xlfn.XLOOKUP(B369,'Base stats'!B:B,'Base stats'!E:E),Groups!A:A,Groups!R:R))</f>
        <v>No</v>
      </c>
      <c r="V369" s="7" t="str">
        <f>IF(S369="No","No",_xlfn.XLOOKUP(_xlfn.XLOOKUP(B369,'Base stats'!B:B,'Base stats'!E:E),Groups!A:A,Groups!S:S))</f>
        <v>No</v>
      </c>
      <c r="W369" s="7" t="str">
        <f>IF(S369="No","No",_xlfn.XLOOKUP(_xlfn.XLOOKUP(B369,'Base stats'!B:B,'Base stats'!E:E),Groups!A:A,Groups!T:T))</f>
        <v>No</v>
      </c>
      <c r="X369" s="13" t="str">
        <f>IF(_xlfn.XLOOKUP(B369,'Base stats'!B:B,'Base stats'!W:W)="No","No",MROUND((LOG10(_xlfn.XLOOKUP(B369,'Base stats'!B:B,'Base stats'!AU:AU))*(AO369^0.5)+(_xlfn.XLOOKUP(B369,'Base stats'!B:B,'Base stats'!AU:AU)/1000)^(2/3)+_xlfn.XLOOKUP(B369,'Base stats'!B:B,'Base stats'!AZ:AZ))+0.5+IF(_xlfn.XLOOKUP(_xlfn.XLOOKUP(B369,'Base stats'!B:B,'Base stats'!E:E),Groups!A:A,Groups!U:U)&lt;&gt;3,_xlfn.XLOOKUP(B369,'Base stats'!B:B,'Base stats'!BA:BA),0),0.5))</f>
        <v>No</v>
      </c>
      <c r="Y369" s="7" t="str">
        <f>IF(X369="No","No",MAX(_xlfn.XLOOKUP(_xlfn.XLOOKUP(B369,'Base stats'!B:B,'Base stats'!E:E),Groups!A:A,Groups!V:V),MROUND(_xlfn.XLOOKUP(_xlfn.XLOOKUP(B369,'Base stats'!B:B,'Base stats'!E:E),Groups!A:A,Groups!V:V)*_xlfn.XLOOKUP(B369,'Base stats'!B:B,'Base stats'!C:C)^0.165,0.05)))</f>
        <v>No</v>
      </c>
      <c r="Z369" s="7" t="str">
        <f>IF(X369="No","No",_xlfn.XLOOKUP(_xlfn.XLOOKUP(B369,'Base stats'!B:B,'Base stats'!E:E),Groups!A:A,Groups!W:W))</f>
        <v>No</v>
      </c>
      <c r="AA369" s="7" t="str">
        <f>IF(X369="No","No",_xlfn.XLOOKUP(_xlfn.XLOOKUP(B369,'Base stats'!B:B,'Base stats'!E:E),Groups!A:A,Groups!X:X))</f>
        <v>No</v>
      </c>
      <c r="AB369" s="7" t="str">
        <f>IF(X369="No","No",_xlfn.XLOOKUP(_xlfn.XLOOKUP(B369,'Base stats'!B:B,'Base stats'!E:E),Groups!A:A,Groups!Y:Y))</f>
        <v>No</v>
      </c>
      <c r="AC369" s="7" t="str">
        <f>_xlfn.XLOOKUP(Animals!B369,'Base stats'!B:B,'Base stats'!X:X)</f>
        <v>False</v>
      </c>
      <c r="AD369" s="13">
        <f>IF(_xlfn.XLOOKUP(B369,'Base stats'!B:B,'Base stats'!AT:AT)="No","No",MROUND((LOG10(_xlfn.XLOOKUP(B369,'Base stats'!B:B,'Base stats'!AT:AT))*(AO369^0.75)+(_xlfn.XLOOKUP(B369,'Base stats'!B:B,'Base stats'!AT:AT)/1000)^(2/3)+_xlfn.XLOOKUP(B369,'Base stats'!B:B,'Base stats'!AX:AX)+_xlfn.XLOOKUP(B369,'Base stats'!B:B,'Base stats'!BA:BA))+0.5,0.5))</f>
        <v>41</v>
      </c>
      <c r="AE369" s="7">
        <f>IF(AD369="No","No",MAX(_xlfn.XLOOKUP(_xlfn.XLOOKUP(B369,'Base stats'!B:B,'Base stats'!E:E),Groups!A:A,Groups!Z:Z),MROUND(_xlfn.XLOOKUP(_xlfn.XLOOKUP(B369,'Base stats'!B:B,'Base stats'!E:E),Groups!A:A,Groups!Z:Z)*_xlfn.XLOOKUP(B369,'Base stats'!B:B,'Base stats'!C:C)^0.165,0.05)))</f>
        <v>4.1000000000000005</v>
      </c>
      <c r="AF369" s="7" t="str">
        <f>IF(AD369="No","No",_xlfn.XLOOKUP(_xlfn.XLOOKUP(B369,'Base stats'!B:B,'Base stats'!E:E),Groups!A:A,Groups!AA:AA))</f>
        <v>Teeth</v>
      </c>
      <c r="AG369" s="7" t="str">
        <f>IF(AD369="No","No",_xlfn.XLOOKUP(_xlfn.XLOOKUP(B369,'Base stats'!B:B,'Base stats'!E:E),Groups!A:A,Groups!AB:AB))</f>
        <v>beak</v>
      </c>
      <c r="AH369" s="7" t="str">
        <f>IF(AD369="No","No",_xlfn.XLOOKUP(_xlfn.XLOOKUP(B369,'Base stats'!B:B,'Base stats'!E:E),Groups!A:A,Groups!AC:AC))</f>
        <v>Bite</v>
      </c>
      <c r="AI369" s="13">
        <f>IF(_xlfn.XLOOKUP(_xlfn.XLOOKUP(B369,'Base stats'!B:B,'Base stats'!E:E),Groups!A:A,Groups!AD:AD)=0,"No",MROUND((LOG10(_xlfn.XLOOKUP(B369,'Base stats'!B:B,'Base stats'!AS:AS))*(AO369^0.75)+(_xlfn.XLOOKUP(B369,'Base stats'!B:B,'Base stats'!AS:AS)/1000)^(2/3)+_xlfn.XLOOKUP(B369,'Base stats'!B:B,'Base stats'!AY:AY)+_xlfn.XLOOKUP(B369,'Base stats'!B:B,'Base stats'!BA:BA))+0.5,0.5))</f>
        <v>52</v>
      </c>
      <c r="AJ369" s="7">
        <f>IF(AI369="No","No",MAX(_xlfn.XLOOKUP(_xlfn.XLOOKUP(B369,'Base stats'!B:B,'Base stats'!E:E),Groups!A:A,Groups!AE:AE),MROUND(_xlfn.XLOOKUP(_xlfn.XLOOKUP(B369,'Base stats'!B:B,'Base stats'!E:E),Groups!A:A,Groups!AE:AE)*IF(_xlfn.XLOOKUP(_xlfn.XLOOKUP(B369,'Base stats'!B:B,'Base stats'!E:E),Groups!A:A,Groups!AJ:AJ)="Photonozoa",0.6,1)*_xlfn.XLOOKUP(B369,'Base stats'!B:B,'Base stats'!C:C)^0.165,0.05)))</f>
        <v>3.0500000000000003</v>
      </c>
      <c r="AK369" s="7" t="str">
        <f>IF(AI369="No","No",_xlfn.XLOOKUP(_xlfn.XLOOKUP(B369,'Base stats'!B:B,'Base stats'!E:E),Groups!A:A,Groups!AF:AF))</f>
        <v>FrontLeftClaws, FrontRightClaws</v>
      </c>
      <c r="AL369" s="7" t="str">
        <f>IF(AI369="No","No",_xlfn.XLOOKUP(_xlfn.XLOOKUP(B369,'Base stats'!B:B,'Base stats'!E:E),Groups!A:A,Groups!AG:AG))</f>
        <v>left claw, right claw</v>
      </c>
      <c r="AM369" s="7" t="str">
        <f>IF(AI369="No","No",_xlfn.XLOOKUP(_xlfn.XLOOKUP(B369,'Base stats'!B:B,'Base stats'!E:E),Groups!A:A,Groups!AH:AH))</f>
        <v>Scratch</v>
      </c>
      <c r="AN369" s="2" t="str">
        <f t="shared" si="35"/>
        <v>No</v>
      </c>
      <c r="AO369" s="2">
        <f>MROUND(IF(AND(_xlfn.XLOOKUP(B369,'Base stats'!B:B,'Base stats'!C:C)&gt;=0.5,_xlfn.XLOOKUP(B369,'Base stats'!B:B,'Base stats'!C:C)&lt;=0.8),
IF(_xlfn.XLOOKUP(B369,'Base stats'!B:B,'Base stats'!C:C)&lt;0.1,0.05,IF(_xlfn.XLOOKUP(B369,'Base stats'!B:B,'Base stats'!C:C)&lt;=70,(_xlfn.XLOOKUP(B369,'Base stats'!B:B,'Base stats'!C:C)/70)^0.426489913056526,IF(_xlfn.XLOOKUP(B369,'Base stats'!B:B,'Base stats'!C:C)&lt;=400,(_xlfn.XLOOKUP(B369,'Base stats'!B:B,'Base stats'!C:C)/70)^0.572811455315093,IF(_xlfn.XLOOKUP(B369,'Base stats'!B:B,'Base stats'!C:C)&lt;=2000,2.71391647193063*(_xlfn.XLOOKUP(B369,'Base stats'!B:B,'Base stats'!C:C)/400)^0.252459582904293,3.74314280240376*(_xlfn.XLOOKUP(B369,'Base stats'!B:B,'Base stats'!C:C)/2000)^0.357012633876913)))),
IF(_xlfn.XLOOKUP(B369,'Base stats'!B:B,'Base stats'!C:C)&lt;0.1,0.05,IF(_xlfn.XLOOKUP(B369,'Base stats'!B:B,'Base stats'!C:C)&lt;0.4,0.1,IF(_xlfn.XLOOKUP(B369,'Base stats'!B:B,'Base stats'!C:C)&lt;=70,(_xlfn.XLOOKUP(B369,'Base stats'!B:B,'Base stats'!C:C)/70)^0.445823913056526,IF(_xlfn.XLOOKUP(B369,'Base stats'!B:B,'Base stats'!C:C)&lt;=400,(_xlfn.XLOOKUP(B369,'Base stats'!B:B,'Base stats'!C:C)/70)^0.572811455315093,IF(_xlfn.XLOOKUP(B369,'Base stats'!B:B,'Base stats'!C:C)&lt;=2000,2.71391647193063*(_xlfn.XLOOKUP(B369,'Base stats'!B:B,'Base stats'!C:C)/400)^0.252459582904293,3.74314280240376*(_xlfn.XLOOKUP(B369,'Base stats'!B:B,'Base stats'!C:C)/2000)^0.357012633876913)))))),
IF(_xlfn.XLOOKUP(B369,'Base stats'!B:B,'Base stats'!C:C)&lt;0.1,0.05,IF(_xlfn.XLOOKUP(B369,'Base stats'!B:B,'Base stats'!C:C)&lt;=100,0.05,IF(_xlfn.XLOOKUP(B369,'Base stats'!B:B,'Base stats'!C:C)&lt;=250,0.1,IF(_xlfn.XLOOKUP(B369,'Base stats'!B:B,'Base stats'!C:C)&lt;=4000,0.25,0.5)))))</f>
        <v>5</v>
      </c>
      <c r="AP369" s="8">
        <f>MROUND(AO369*_xlfn.XLOOKUP(_xlfn.XLOOKUP(B369,'Base stats'!B:B,'Base stats'!E:E),Groups!A:A,Groups!AI:AI)*_xlfn.XLOOKUP(B369,'Base stats'!B:B,'Base stats'!Z:Z),0.05)</f>
        <v>6</v>
      </c>
      <c r="AQ369" s="8">
        <f>MAX(0.01,MROUND(IF(CC369="True",0.196*(AO369*100*1000)^0.889,IF(_xlfn.XLOOKUP(_xlfn.XLOOKUP(B369,'Base stats'!B:B,'Base stats'!E:E),Groups!A:A,Groups!AJ:AJ)="Bird",10.5*(AO369*100*1000)^0.681,4.82*(AO369*100*1000)^0.734))/(4.82*(1*100*1000)^0.734)/IF(AO369&lt;3.5,2,IF(AO369=3.5,1.5,1.25))*(1+0.132282374779864/(AO369^0.994035016789033+0.00905238001496948)),0.05))</f>
        <v>2.9000000000000004</v>
      </c>
      <c r="AR369" s="9">
        <f>IFERROR(MROUND(_xlfn.XLOOKUP(B369,'Base stats'!B:B,'Base stats'!H:H)/IF(_xlfn.XLOOKUP(B369,'Base stats'!B:B,'Base stats'!I:I)&lt;&gt;1,(122.5/70),1.2),IF(_xlfn.XLOOKUP(B369,'Base stats'!B:B,'Base stats'!H:H)&gt;=30,5,IF(_xlfn.XLOOKUP(B369,'Base stats'!B:B,'Base stats'!H:H)&gt;=15,3,IF(_xlfn.XLOOKUP(B369,'Base stats'!B:B,'Base stats'!H:H)&gt;=10,2,1)))),"Immortal")</f>
        <v>25</v>
      </c>
      <c r="AS369" s="35" t="str">
        <f>IFERROR(IF(OR(_xlfn.XLOOKUP(B369,'Base stats'!B:B,'Base stats'!F:F)="Atypical reproduction",_xlfn.XLOOKUP(B369,'Base stats'!B:B,'Base stats'!F:F)="Lay eggs"),"Lay eggs",MIN(20,MAX(5.5,ROUND(((_xlfn.XLOOKUP(B369,'Base stats'!B:B,'Base stats'!F:F)-25)*(14.5/615) + 5.5)*2,0)/2))),"Unknown")</f>
        <v>Lay eggs</v>
      </c>
      <c r="AT369" s="8">
        <f>IF(_xlfn.XLOOKUP(B369,'Base stats'!B:B,'Base stats'!G:G)="Atypical reproduction","No",IFERROR(MAX(IF(_xlfn.XLOOKUP(B369,'Base stats'!B:B,'Base stats'!G:G)&lt;0.5,0.2,0.3),MROUND(_xlfn.XLOOKUP(B369,'Base stats'!B:B,'Base stats'!G:G)/(365/60),0.2)),"Unknown"))</f>
        <v>3</v>
      </c>
      <c r="AU369" s="8">
        <f t="shared" si="36"/>
        <v>1.5</v>
      </c>
      <c r="AV369" s="8" t="str">
        <f>IFERROR(IFERROR(MROUND(_xlfn.XLOOKUP(B369,'Base stats'!B:B,'Base stats'!J:J),0.1),"Lay eggs"),"Cannot breed")</f>
        <v>Lay eggs</v>
      </c>
      <c r="AW369" s="2" t="str">
        <f t="shared" si="37"/>
        <v>false</v>
      </c>
      <c r="AX369" s="2" t="str">
        <f>IF(_xlfn.XLOOKUP(_xlfn.XLOOKUP(Animals!B369,'Base stats'!B:B,'Base stats'!E:E),Groups!A:A,Groups!AK:AK)=1,"true","false")</f>
        <v>false</v>
      </c>
      <c r="AY369" s="25" t="str">
        <f>IF(_xlfn.XLOOKUP(B369,'Base stats'!B:B,'Base stats'!Y:Y)="Liquor","Liquor, CarnivoreAnimalStrict",IF(AND(_xlfn.XLOOKUP(B369,'Base stats'!B:B,'Base stats'!Y:Y)="Carnivore",_xlfn.XLOOKUP(_xlfn.XLOOKUP(B369,'Base stats'!B:B,'Base stats'!E:E),Groups!A:A,Groups!AJ:AJ)="Photonozoa"),"CarnivoreAnimalStrict, OvivoreAnimal",IF(_xlfn.XLOOKUP(B369,'Base stats'!B:B,'Base stats'!Y:Y)="Carnivore","CarnivoreAnimal, OvivoreAnimal",IF(_xlfn.XLOOKUP(B369,'Base stats'!B:B,'Base stats'!Y:Y)="Dendrovore","VegetarianRoughAnimal, DendrovoreAnimal",IF(_xlfn.XLOOKUP(B369,'Base stats'!B:B,'Base stats'!Y:Y)="Herbivore","VegetarianRoughAnimal",IF(_xlfn.XLOOKUP(B369,'Base stats'!B:B,'Base stats'!Y:Y)="OmnivoreRough","OmnivoreRoughAnimal, OvivoreAnimal","OmnivoreAnimal, OvivoreAnimal"))))))</f>
        <v>VegetarianRoughAnimal</v>
      </c>
      <c r="AZ369" s="2" t="str">
        <f>IF(_xlfn.XLOOKUP(_xlfn.XLOOKUP(B369,'Base stats'!B:B,'Base stats'!E:E),Groups!A:A,Groups!D:D)=1,MROUND((1-J369)*5+1,2)*IF(J369&lt;=0.4,2,1),"No")</f>
        <v>No</v>
      </c>
      <c r="BA369" s="2" t="str">
        <f>IF(AND(_xlfn.XLOOKUP(B369,'Base stats'!B:B,'Base stats'!AH:AH)="&lt;li&gt;Seal&lt;/li&gt;",G369="Odyssey"),"&lt;li&gt;AEXP_Seal&lt;/li&gt;",_xlfn.XLOOKUP(B369,'Base stats'!B:B,'Base stats'!AH:AH))</f>
        <v>No</v>
      </c>
      <c r="BB369" s="2" t="str">
        <f>_xlfn.XLOOKUP(B369,'Base stats'!B:B,'Base stats'!AG:AG)</f>
        <v>Leather_DinosaurFuzz</v>
      </c>
      <c r="BC369" s="23" t="str">
        <f>_xlfn.XLOOKUP(_xlfn.XLOOKUP(B369,'Base stats'!B:B,'Base stats'!E:E),Groups!A:A,Groups!AL:AL)</f>
        <v>Theropod</v>
      </c>
      <c r="BD369" s="23">
        <f>MIN(1,MROUND(IF(AND(AO369&lt;0.5,_xlfn.XLOOKUP(B369,'Base stats'!B:B,'Base stats'!AA:AA)=0),0,IF(OR(_xlfn.XLOOKUP(Animals!B369,'Base stats'!B:B,'Base stats'!O:O)=2,_xlfn.XLOOKUP(_xlfn.XLOOKUP(B369,'Base stats'!B:B,'Base stats'!E:E),Groups!A:A,Groups!AN:AN)=0),0,_xlfn.XLOOKUP(_xlfn.XLOOKUP(B369,'Base stats'!B:B,'Base stats'!E:E),Groups!A:A,Groups!AN:AN)/IF(_xlfn.XLOOKUP(Animals!B369,'Base stats'!B:B,'Base stats'!O:O)=1,2,1)))+_xlfn.XLOOKUP(B369,'Base stats'!B:B,'Base stats'!AC:AC),0.005))</f>
        <v>0.1</v>
      </c>
      <c r="BE369" s="23">
        <f>MIN(1,MROUND(IF(AND(AO369&lt;0.5,_xlfn.XLOOKUP(B369,'Base stats'!B:B,'Base stats'!AA:AA)=0),0,IF(_xlfn.XLOOKUP(_xlfn.XLOOKUP(B369,'Base stats'!B:B,'Base stats'!E:E),Groups!A:A,Groups!AO:AO)=0,0,_xlfn.XLOOKUP(_xlfn.XLOOKUP(B369,'Base stats'!B:B,'Base stats'!E:E),Groups!A:A,Groups!AO:AO)/IF(_xlfn.XLOOKUP(Animals!B369,'Base stats'!B:B,'Base stats'!O:O)=2,3,1)))+_xlfn.XLOOKUP(B369,'Base stats'!B:B,'Base stats'!AD:AD),0.005))</f>
        <v>0.3</v>
      </c>
      <c r="BF369" s="2" t="str">
        <f>IF(J369&gt;0.3,"No",_xlfn.XLOOKUP(_xlfn.XLOOKUP(Animals!B369,'Base stats'!B:B,'Base stats'!E:E),Groups!A:A,Groups!AP:AP))</f>
        <v>No</v>
      </c>
      <c r="BG369" s="2" t="str">
        <f>IF(AND(J369&lt;=0.65,_xlfn.XLOOKUP(_xlfn.XLOOKUP(Animals!B369,'Base stats'!B:B,'Base stats'!E:E),Groups!A:A,Groups!AP:AP)&lt;&gt;"No",_xlfn.XLOOKUP(_xlfn.XLOOKUP(B369,'Base stats'!B:B,'Base stats'!E:E),Groups!A:A,Groups!D:D)=0),MROUND((80/3)*IF(_xlfn.XLOOKUP(B369,'Base stats'!B:B,'Base stats'!O:O)=2,0.2,AO369) + 24*(1-IF(BF369="No",0,BF369)) + 16/3, 12),"No")</f>
        <v>No</v>
      </c>
      <c r="BH369" s="2">
        <f>IF(AND(_xlfn.XLOOKUP(_xlfn.XLOOKUP(B369,'Base stats'!B:B,'Base stats'!E:E),Groups!A:A,Groups!AQ:AQ)=1,AO369&lt;=0.35),8,12)</f>
        <v>12</v>
      </c>
      <c r="BI369" s="2" t="str">
        <f>IF(_xlfn.XLOOKUP(_xlfn.XLOOKUP(B369,'Base stats'!B:B,'Base stats'!E:E),Groups!A:A,Groups!D:D)=0,_xlfn.XLOOKUP(_xlfn.XLOOKUP(B369,'Base stats'!B:B,'Base stats'!E:E),Groups!A:A,Groups!AR:AR),"None")</f>
        <v>Intermediate</v>
      </c>
      <c r="BJ369" s="2" t="str">
        <f>IF(AND(_xlfn.XLOOKUP(_xlfn.XLOOKUP(B369,'Base stats'!B:B,'Base stats'!E:E),Groups!A:A,Groups!AS:AS)=1,OR(_xlfn.XLOOKUP(B369,'Base stats'!B:B,'Base stats'!Y:Y)="Carnivore",_xlfn.XLOOKUP(B369,'Base stats'!B:B,'Base stats'!Y:Y)="Omnivore")),"true","false")</f>
        <v>false</v>
      </c>
      <c r="BK369" s="2" t="str">
        <f>IF(BJ369="true",MROUND(IF(AND(AO369&gt;0.5,OR(_xlfn.XLOOKUP(_xlfn.XLOOKUP(B369,'Base stats'!B:B,'Base stats'!E:E),Groups!A:A,Groups!AJ:AJ)="Photonozoa",_xlfn.XLOOKUP(_xlfn.XLOOKUP(B369,'Base stats'!B:B,'Base stats'!E:E),Groups!A:A,Groups!AJ:AJ)="Mammal")),Animals!AO369*1.75*IF(AW369="true",1.5,1),IF(AO369&lt;0.5,Animals!AO369*0.5,Animals!AO369)),IF(AO369&gt;2,0.5,IF(AO369&gt;0.5,0.25,0.1))),"No")</f>
        <v>No</v>
      </c>
      <c r="BL369" s="2">
        <f t="shared" si="38"/>
        <v>1</v>
      </c>
      <c r="BM369" s="25" t="str">
        <f>IF(_xlfn.XLOOKUP(B369,'Base stats'!B:B,'Base stats'!AN:AN)="Standard","No",MROUND((_xlfn.XLOOKUP(B369,'Base stats'!B:B,'Base stats'!AN:AN)/3.6)/I369,0.1))</f>
        <v>No</v>
      </c>
      <c r="BN369" s="25" t="str">
        <f t="shared" si="39"/>
        <v>false</v>
      </c>
      <c r="BO369" s="25" t="str">
        <f>IF(AND(OR(_xlfn.XLOOKUP(B369,'Base stats'!B:B,'Base stats'!Y:Y)="Carnivore",_xlfn.XLOOKUP(B369,'Base stats'!B:B,'Base stats'!Y:Y)="Omnivore",_xlfn.XLOOKUP(B369,'Base stats'!B:B,'Base stats'!Y:Y)="OmnivoreRough"),_xlfn.XLOOKUP(_xlfn.XLOOKUP(B369,'Base stats'!B:B,'Base stats'!E:E),Groups!A:A,Groups!AT:AT)=1),"true","false")</f>
        <v>false</v>
      </c>
      <c r="BP369" s="25" t="str" cm="1">
        <f t="array" ref="BP369">IF(
  _xlfn.TEXTJOIN(", ",TRUE,
    IF(AND(BJ369="true",AO369&gt;0.5,BI369&lt;&gt;"None"),"AttackTarget",""),
    IF(AND(_xlfn.XLOOKUP(_xlfn.XLOOKUP(B369,'Base stats'!B:B,'Base stats'!E:E),Groups!A:A,Groups!AJ:AJ="Mammal"),OR(_xlfn.XLOOKUP(B369,'Base stats'!B:B,'Base stats'!Y:Y)="Omnivore",_xlfn.XLOOKUP(B369,'Base stats'!B:B,'Base stats'!Y:Y)="OmnivoreRough")),"Forage",""),
    IF(BG369&lt;=36,"Comfort",""),
    IF(_xlfn.XLOOKUP(B369,'Base stats'!B:B,'Base stats'!AE:AE)&lt;&gt;"No",_xlfn.XLOOKUP(B369,'Base stats'!B:B,'Base stats'!AE:AE),"")
  ) = "",
  "No",
  _xlfn.TEXTJOIN(", ",TRUE,
    IF(AND(BJ369="true",AO369&gt;0.5,BI369&lt;&gt;"None"),"AttackTarget",""),
    IF(AND(_xlfn.XLOOKUP(_xlfn.XLOOKUP(B369,'Base stats'!B:B,'Base stats'!E:E),Groups!A:A,Groups!AJ:AJ="Mammal"),OR(_xlfn.XLOOKUP(B369,'Base stats'!B:B,'Base stats'!Y:Y)="Omnivore",_xlfn.XLOOKUP(B369,'Base stats'!B:B,'Base stats'!Y:Y)="OmnivoreRough")),"Forage",""),
    IF(BG369&lt;=36,"Comfort",""),
    IF(_xlfn.XLOOKUP(B369,'Base stats'!B:B,'Base stats'!AE:AE)&lt;&gt;"No",_xlfn.XLOOKUP(B369,'Base stats'!B:B,'Base stats'!AE:AE),"")
  )
)</f>
        <v>No</v>
      </c>
      <c r="BQ369" s="25" t="str">
        <f>IF(
   AND(
      'Base stats'!AN369="Standard",_xlfn.XLOOKUP(_xlfn.XLOOKUP(B369,'Base stats'!B:B,'Base stats'!E:E),Groups!A:A,Groups!AU:AU)=0,
      OR(
      BO369="True"
      )
   ),
   10,
   IF(
       OR(BM369&lt;&gt;"No",_xlfn.XLOOKUP(_xlfn.XLOOKUP(B369,'Base stats'!B:B,'Base stats'!E:E),Groups!A:A,Groups!AU:AU)=1),
      1,
      "No"
   )
)</f>
        <v>No</v>
      </c>
      <c r="BR369" s="9">
        <f>MROUND((1 + ((0.2*IF(OR(Q369="No",R369="No",R369=0),0,Q369/R369)
+IF(OR(V369="No",S369="No",T369="No"),0,S369/T369*(LEN(V369)-LEN(SUBSTITUTE(V369,",",""))+1))
+IF(OR(X369="No",Y369="No"),0,X369/Y369)
+IF(OR(AD369="No",AE369="No"),0,AD369/AE369)
+IF(OR(AL369="No",AI369="No",AJ369="No"),0,AI369/AJ369*(LEN(AL369)-LEN(SUBSTITUTE(AL369,",",""))+1))
)/(0.2*IF(OR(Q369="No",R369="No",R369=0),0,1)
+IF(OR(V369="No",S369="No",T369="No"),0,LEN(V369)-LEN(SUBSTITUTE(V369,",",""))+1)
+IF(OR(X369="No",Y369="No"),0,1)
+IF(OR(AD369="No",AE369="No"),0,1)
+IF(OR(AL369="No",AI369="No",AJ369="No"),0,LEN(AL369)-LEN(SUBSTITUTE(AL369,",",""))+1))*62%)* 2)*(1 + (AP369 / (IF(_xlfn.XLOOKUP(_xlfn.XLOOKUP(B369,'Base stats'!B:B,'Base stats'!E:E),Groups!A:A,Groups!AJ:AJ)="Photonozoa",0.3,1)) + _xlfn.XLOOKUP(B369,'Base stats'!B:B,'Base stats'!AV:AV) * 1.8) * 2) * 2.5 + 10 + I369 * 2,5)+IF(_xlfn.XLOOKUP(B369,'Base stats'!B:B,'Base stats'!AK:AK)=1,50,0)</f>
        <v>630</v>
      </c>
      <c r="BS369" s="8">
        <f t="shared" si="40"/>
        <v>3.3000000000000003</v>
      </c>
      <c r="BT369" s="8" t="str">
        <f>_xlfn.XLOOKUP(B369,'Base stats'!B:B,'Base stats'!AF:AF)</f>
        <v>No</v>
      </c>
      <c r="BU369" s="2" t="str">
        <f>IF(AND(J369&lt;=0.95,OR(_xlfn.XLOOKUP(B369,'Base stats'!B:B,'Base stats'!AK:AK)=1,_xlfn.XLOOKUP(B369,'Base stats'!B:B,'Base stats'!Y:Y)="Carnivore",_xlfn.XLOOKUP(B369,'Base stats'!B:B,'Base stats'!Y:Y)="Omnivore",BE369&gt;0.1)),"true","false")</f>
        <v>true</v>
      </c>
      <c r="BV369" s="2" t="str">
        <f>IF(_xlfn.XLOOKUP(B369,'Base stats'!B:B,'Base stats'!AI:AI)=1,"true","false")</f>
        <v>false</v>
      </c>
      <c r="BW369" s="25" t="str">
        <f>IF(E369="BaseInsect","AnimalInsect",
IF(J369&gt;0.95,"AnimalExotic",
_xlfn.TEXTJOIN(", ",TRUE,
IF(OR(_xlfn.XLOOKUP(B369,'Base stats'!B:B,'Base stats'!AM:AM)=1,AND(_xlfn.XLOOKUP(B369,'Base stats'!B:B,'Base stats'!O:O)=0,_xlfn.XLOOKUP(_xlfn.XLOOKUP(B369,'Base stats'!B:B,'Base stats'!E:E),Groups!A:A,Groups!B:B)&gt;0)),"AnimalUncommon","AnimalCommon"),
IF(AND(_xlfn.XLOOKUP(B369,'Base stats'!B:B,'Base stats'!O:O)=2,_xlfn.XLOOKUP(_xlfn.XLOOKUP(B369,'Base stats'!B:B,'Base stats'!E:E),Groups!A:A,Groups!D:D)=0),"AnimalPet",IF(AND(_xlfn.XLOOKUP(B369,'Base stats'!B:B,'Base stats'!O:O)&lt;&gt;0,_xlfn.XLOOKUP(_xlfn.XLOOKUP(B369,'Base stats'!B:B,'Base stats'!E:E),Groups!A:A,Groups!D:D)&lt;&gt;0),"AnimalFarm","")),
IF(OR(_xlfn.XLOOKUP(B369,'Base stats'!B:B,'Base stats'!AK:AK)=1,AND(BI369&lt;&gt;"None",BR369&gt;=60),ISNUMBER(SEARCH("Attack target",BP369))),"AnimalFighter","")
)))</f>
        <v>AnimalUncommon, AnimalFighter</v>
      </c>
      <c r="BX369" s="25" t="str">
        <f>IF(G369="None",TRIM(
SUBSTITUTE(
IF(COUNTIF(Biomes!B$2:B$259,"="&amp;$C369)&gt;0,Biomes!B$1&amp;", ","")&amp;
IF(COUNTIF(Biomes!C$2:C$259,"="&amp;$C369)&gt;0,Biomes!C$1&amp;", ","")&amp;
IF(COUNTIF(Biomes!D$2:D$259,"="&amp;$C369)&gt;0,Biomes!D$1&amp;", ","")&amp;
IF(COUNTIF(Biomes!F$2:F$259,"="&amp;$C369)&gt;0,Biomes!F$1&amp;", ","")&amp;
IF(COUNTIF(Biomes!G$2:G$259,"="&amp;$C369)&gt;0,Biomes!G$1&amp;", ","")&amp;
IF(COUNTIF(Biomes!H$2:H$259,"="&amp;$C369)&gt;0,Biomes!H$1&amp;", ","")&amp;
IF(COUNTIF(Biomes!I$2:I$259,"="&amp;$C369)&gt;0,Biomes!I$1&amp;", ","")&amp;
IF(COUNTIF(Biomes!J$2:J$259,"="&amp;$C369)&gt;0,Biomes!J$1&amp;", ","")&amp;
IF(COUNTIF(Biomes!M$2:M$259,"="&amp;$C369)&gt;0,Biomes!M$1&amp;", ","")&amp;
IF(COUNTIF(Biomes!N$2:N$259,"="&amp;$C369)&gt;0,Biomes!N$1&amp;", ","")&amp;
IF(COUNTIF(Biomes!O$2:O$259,"="&amp;$C369)&gt;0,Biomes!O$1&amp;", ","")&amp;
IF(COUNTIF(Biomes!P$2:P$259,"="&amp;$C369)&gt;0,Biomes!P$1&amp;", ","")&amp;
IF(COUNTIF(Biomes!K$2:K$259,"="&amp;$C369)&gt;0,Biomes!K$1&amp;", ","")&amp;
IF(COUNTIF(Biomes!Q$3:Q$259,"="&amp;$C369)&gt;0,Biomes!Q$1&amp;", ","")&amp;
IF(COUNTIF(Biomes!L$2:L$259,"="&amp;$C369)&gt;0,Biomes!L$1&amp;", ","")&amp;
IF(COUNTIF(Biomes!E$2:E$259,"="&amp;$C369)&gt;0,Biomes!E$1&amp;", ","")&amp;IF(COUNTIF(Biomes!S$2:S$259,"="&amp;$C369)&gt;0,Biomes!S$1&amp;", ","")&amp;
IF(COUNTIF(Biomes!R$2:R$259,"="&amp;$C369)&gt;0,Biomes!R$1&amp;", ",""),", ","")
),_xlfn.XLOOKUP(B369,B:B,BX:BX))</f>
        <v>TropicalRainforest TropicalSwamp Glowforest</v>
      </c>
      <c r="BY369" s="25" t="str">
        <f>IF(_xlfn.XLOOKUP(B369,'Base stats'!B:B,'Base stats'!AJ:AJ)=1,"true","false")</f>
        <v>false</v>
      </c>
      <c r="BZ369" s="25">
        <f>IF(_xlfn.XLOOKUP(B369,'Base stats'!B:B,'Base stats'!N:N)=1,"No",MAX(0.001,MIN(MROUND(IF(AND(BJ369="True",CC369="False"),POWER(10,3.47*LOG10(_xlfn.XLOOKUP(B369,'Base stats'!B:B,'Base stats'!C:C)*1000)^-0.96),POWER(10,4.15*LOG10(_xlfn.XLOOKUP(B369,'Base stats'!B:B,'Base stats'!C:C)*1000)^-0.73))*IF(_xlfn.XLOOKUP(B369,'Base stats'!B:B,'Base stats'!AK:AK)=1,0.5,1)*IF(_xlfn.XLOOKUP(B369,'Base stats'!B:B,'Base stats'!AM:AM)=1,0.1,1)/100,IF(_xlfn.XLOOKUP(B369,'Base stats'!B:B,'Base stats'!AM:AM)=1,0.001,0.025)),0.5)))</f>
        <v>0.1</v>
      </c>
      <c r="CA369" s="25" t="str">
        <f>IF(P369="Standard","No",MAX(0.001,MIN(MROUND(IF(AND(BJ369="True",CC369="False"),POWER(10,3.47*LOG10(_xlfn.XLOOKUP(B369,'Base stats'!B:B,'Base stats'!C:C)*1000)^-0.96),POWER(10,4.15*LOG10(_xlfn.XLOOKUP(B369,'Base stats'!B:B,'Base stats'!C:C)*1000)^-0.73))*IF(_xlfn.XLOOKUP(B369,'Base stats'!B:B,'Base stats'!AM:AM)=1,0.1,1)*_xlfn.XLOOKUP(B369,'Base stats'!B:B,'Base stats'!R:R)/100,IF(_xlfn.XLOOKUP(B369,'Base stats'!B:B,'Base stats'!AM:AM)=1,0.001,0.025)),0.5)))</f>
        <v>No</v>
      </c>
      <c r="CB369" s="25" t="str">
        <f>IF(_xlfn.XLOOKUP(_xlfn.XLOOKUP(B369,'Base stats'!B:B,'Base stats'!E:E),Groups!A:A,Groups!AJ:AJ)="Mammal","True","False")</f>
        <v>False</v>
      </c>
      <c r="CC369" s="25" t="str">
        <f>IF(OR(_xlfn.XLOOKUP(_xlfn.XLOOKUP(B369,'Base stats'!B:B,'Base stats'!E:E),Groups!A:A,Groups!AJ:AJ)="Reptile",_xlfn.XLOOKUP(_xlfn.XLOOKUP(B369,'Base stats'!B:B,'Base stats'!E:E),Groups!A:A,Groups!AJ:AJ)="Amphibian",_xlfn.XLOOKUP(_xlfn.XLOOKUP(B369,'Base stats'!B:B,'Base stats'!E:E),Groups!A:A,Groups!AJ:AJ)="Invertebrate"),"True","False")</f>
        <v>False</v>
      </c>
      <c r="CD369" s="25" t="str">
        <f t="shared" si="41"/>
        <v>False</v>
      </c>
      <c r="CE369" s="25" t="str">
        <f>IF(_xlfn.XLOOKUP(_xlfn.XLOOKUP(B369,'Base stats'!B:B,'Base stats'!E:E),Groups!A:A,Groups!AX:AX),"True","False")</f>
        <v>False</v>
      </c>
      <c r="CF369" s="25" t="str">
        <f>IF(_xlfn.XLOOKUP(_xlfn.XLOOKUP(B369,'Base stats'!B:B,'Base stats'!E:E),Groups!A:A,Groups!AY:AY),"True","False")</f>
        <v>False</v>
      </c>
      <c r="CG369" s="25" t="str">
        <f>IF(_xlfn.XLOOKUP(_xlfn.XLOOKUP(B369,'Base stats'!B:B,'Base stats'!E:E),Groups!A:A,Groups!AW:AW),"True","False")</f>
        <v>False</v>
      </c>
      <c r="CH369" s="25" t="str">
        <f>IF(
OR(
_xlfn.XLOOKUP(_xlfn.XLOOKUP(B369,'Base stats'!B:B,'Base stats'!E:E),Groups!A:A,Groups!AZ:AZ)=0,
AND(
_xlfn.XLOOKUP(B369,'Base stats'!B:B,'Base stats'!Y:Y)&lt;&gt;"Carnivore",
_xlfn.XLOOKUP(B369,'Base stats'!B:B,'Base stats'!Y:Y)&lt;&gt;"Omnivore",
_xlfn.XLOOKUP(B369,'Base stats'!B:B,'Base stats'!Y:Y)&lt;&gt;"OmnivoreRough"
)
),
"No",
IF(
_xlfn.XLOOKUP(_xlfn.XLOOKUP(B369,'Base stats'!B:B,'Base stats'!E:E),Groups!A:A,Groups!AZ:AZ)=1,
"Flesh",
IF(
_xlfn.XLOOKUP(_xlfn.XLOOKUP(B369,'Base stats'!B:B,'Base stats'!E:E),Groups!A:A,Groups!AZ:AZ)=2,
"Bone",
""
)
)
)</f>
        <v>No</v>
      </c>
      <c r="CI369" s="25" t="str">
        <f>IF(_xlfn.XLOOKUP(_xlfn.XLOOKUP(B369,'Base stats'!B:B,'Base stats'!E:E),Groups!A:A,Groups!BB:BB),"True","False")</f>
        <v>False</v>
      </c>
      <c r="CJ369" s="25" t="str">
        <f>IF(_xlfn.XLOOKUP(_xlfn.XLOOKUP(B369,'Base stats'!B:B,'Base stats'!E:E),Groups!A:A,Groups!BA:BA),"True","False")</f>
        <v>False</v>
      </c>
    </row>
    <row r="370" spans="1:88" ht="16.5" thickTop="1" thickBot="1" x14ac:dyDescent="0.3">
      <c r="A370" s="26" t="s">
        <v>1977</v>
      </c>
      <c r="B370" s="6" t="str">
        <f>_xlfn.XLOOKUP(A370,'Base stats'!A:A,'Base stats'!B:B)</f>
        <v>Pachycephalosaurus wyomingensis</v>
      </c>
      <c r="C370" s="28" t="s">
        <v>2044</v>
      </c>
      <c r="D370" s="28" t="s">
        <v>1898</v>
      </c>
      <c r="E370" s="28" t="s">
        <v>673</v>
      </c>
      <c r="F370" s="28" t="s">
        <v>673</v>
      </c>
      <c r="G370" s="28" t="s">
        <v>673</v>
      </c>
      <c r="H370" s="2">
        <f>MROUND((
  (IF(AND(_xlfn.XLOOKUP(B370,'Base stats'!B:B,'Base stats'!AL:AL)=0,BI370="None",_xlfn.XLOOKUP(_xlfn.XLOOKUP(B370,'Base stats'!B:B,'Base stats'!E:E),Groups!A:A,Groups!B:B)=0), (18 + BR370 * 2.7) * 0.5,
    IF(AND(_xlfn.XLOOKUP(B370,'Base stats'!B:B,'Base stats'!AL:AL)=0,OR(AO370&lt;0.55,AND(BI370="Intermediate",_xlfn.XLOOKUP(_xlfn.XLOOKUP(B370,'Base stats'!B:B,'Base stats'!E:E),Groups!A:A,Groups!B:B)&lt;2))), (18 + BR370 * 2.7),
      IF(OR(BI370="Advanced",_xlfn.XLOOKUP(B370,'Base stats'!B:B,'Base stats'!AL:AL)=1,_xlfn.XLOOKUP(_xlfn.XLOOKUP(B370,'Base stats'!B:B,'Base stats'!E:E),Groups!A:A,Groups!B:B)=2), (18 + BR370 * 2.7) + 250, (18 + BR370 * 2.7))
    )
  ))
  + AO370 * 80
  + IF(COUNTIF(EggMilk!K$2:K$998, A370) &gt; 0, 125, 0)
  + IF(COUNTIF(EggMilk!P$2:P$998, A370) &gt; 0, 90, 0)
  + IF(COUNTIF(EggMilk!A$2:A$998, A370) &gt; 0, 90, 0)
)
* (0.8 + 0.4 * J370)
* 0.75,25)</f>
        <v>825</v>
      </c>
      <c r="I370" s="2">
        <f>MROUND(ROUNDDOWN(_xlfn.XLOOKUP(B370,'Base stats'!B:B,'Base stats'!L:L)/3.6/(23.3/11),1),0.5)</f>
        <v>3</v>
      </c>
      <c r="J370" s="2">
        <f>IF(OR(_xlfn.XLOOKUP(B370,'Base stats'!B:B,'Base stats'!AB:AB)=1,_xlfn.XLOOKUP(_xlfn.XLOOKUP(B370,'Base stats'!B:B,'Base stats'!E:E),Groups!A:A,Groups!C:C)="Untamable"),1,IF(_xlfn.XLOOKUP(B370,'Base stats'!B:B,'Base stats'!AL:AL)=1,0.99,MIN(MROUND((1-0.6282*EXP(-0.459*AO370))*_xlfn.XLOOKUP(_xlfn.XLOOKUP(B370,'Base stats'!B:B,'Base stats'!E:E),Groups!A:A,Groups!C:C)*IF(_xlfn.XLOOKUP(B370,'Base stats'!B:B,'Base stats'!O:O)=1,0.5,IF(_xlfn.XLOOKUP(B370,'Base stats'!B:B,'Base stats'!O:O)=2,0,1)),0.05),IF(AO370&gt;3.5,0.985,0.95))))</f>
        <v>0.8</v>
      </c>
      <c r="K370" s="2">
        <f>ROUNDUP(AO370*_xlfn.XLOOKUP(_xlfn.XLOOKUP(B370,'Base stats'!B:B,'Base stats'!E:E),Groups!A:A,Groups!E:E),0)</f>
        <v>13</v>
      </c>
      <c r="L370" s="2">
        <f>IF(OR(_xlfn.XLOOKUP(_xlfn.XLOOKUP(B370,'Base stats'!B:B,'Base stats'!E:E),Groups!A:A,Groups!F:F)=2,ISNUMBER(SEARCH("SeaIce",BX370)),ISNUMBER(SEARCH("IceSheet",BX370))),-50,IF(OR(ISNUMBER(SEARCH("GlacialPlain",BX370)),ISNUMBER(SEARCH("Tundra",BX370))),-40,IF(OR(ISNUMBER(SEARCH("Alpine",BX370)),ISNUMBER(SEARCH("BorealForest",BX370)),ISNUMBER(SEARCH("ColdBog",BX370))),-30,IF(OR(ISNUMBER(SEARCH("TemperateForest",BX370)),ISNUMBER(SEARCH("TemperateSwamp",BX370))),-20,IF(_xlfn.XLOOKUP(_xlfn.XLOOKUP(B370,'Base stats'!B:B,'Base stats'!E:E),Groups!A:A,Groups!F:F)=1,-15,IF(OR(ISNUMBER(SEARCH("Desert",BX370)),ISNUMBER(SEARCH("ExtremeDesert",BX370))),-10,IF(OR(ISNUMBER(SEARCH("Grasslands",BX370)),ISNUMBER(SEARCH("TropicalRainforest",BX370)),ISNUMBER(SEARCH("TropicalSwamp",BX370))),10,0)))))))-IF(CC370="False",MIN(IFERROR(MAX(MROUND(LOG10(_xlfn.XLOOKUP(B370,'Base stats'!B:B,'Base stats'!C:C)^(2/3))*10,5),5),5),30))-_xlfn.XLOOKUP(B370,'Base stats'!B:B,'Base stats'!P:P)+IF(CC370="True",5,0)</f>
        <v>-35</v>
      </c>
      <c r="M370" s="2">
        <f>IF(OR(_xlfn.XLOOKUP(_xlfn.XLOOKUP(B370,'Base stats'!B:B,'Base stats'!E:E),Groups!A:A,Groups!G:G)=2,ISNUMBER(SEARCH("Desert",BX370)),ISNUMBER(SEARCH("ExtremeDesert",BX370)),ISNUMBER(SEARCH("LavaField",BX370))),50,IF(ISNUMBER(SEARCH("Grasslands",BX370)),45,IF(OR(_xlfn.XLOOKUP(_xlfn.XLOOKUP(B370,'Base stats'!B:B,'Base stats'!E:E),Groups!A:A,Groups!G:G)=1,ISNUMBER(SEARCH("TropicalRainforest",BX370)),ISNUMBER(SEARCH("TropicalSwamp",BX370))),40,IF(OR(ISNUMBER(SEARCH("TemperateForest",BX370)),ISNUMBER(SEARCH("TemperateSwamp",BX370))),35,IF(OR(ISNUMBER(SEARCH("Alpine",BX370)),ISNUMBER(SEARCH("BorealForest",BX370)),ISNUMBER(SEARCH("ColdBog",BX370))),30,IF(ISNUMBER(OR(ISNUMBER(SEARCH("GlacialPlain",BX370)),SEARCH("Tundra",BX370))),25,IF(OR(ISNUMBER(SEARCH("SeaIce",BX370)),ISNUMBER(SEARCH("IceSheet",BX370)),ISNUMBER(SEARCH("TropicalSwamp",BX370))),10,35)))))))+_xlfn.XLOOKUP(B370,'Base stats'!B:B,'Base stats'!Q:Q)</f>
        <v>35</v>
      </c>
      <c r="N370" s="8" t="str">
        <f>IF(
_xlfn.XLOOKUP(
_xlfn.XLOOKUP(B370,'Base stats'!B:B,'Base stats'!E:E),
Groups!A:A,
Groups!L:L
)=1,
MIN(
MROUND(
IF(
_xlfn.XLOOKUP(B370,'Animals CE'!B:B,'Animals CE'!Z:Z)&lt;=1.5,
_xlfn.XLOOKUP(B370,'Animals CE'!B:B,'Animals CE'!Z:Z)/2+0.05,
0.8+
(_xlfn.XLOOKUP(B370,'Animals CE'!B:B,'Animals CE'!Z:Z)-1.5)
*0.02
),
0.05
),
200%
),
"No"
)</f>
        <v>No</v>
      </c>
      <c r="O370" s="8" t="str">
        <f>IF(
_xlfn.XLOOKUP(
_xlfn.XLOOKUP(B370,'Base stats'!B:B,'Base stats'!E:E),
Groups!A:A,
Groups!L:L
)=1,
MIN(
MROUND(
IF(
_xlfn.XLOOKUP(B370,'Animals CE'!B:B,'Animals CE'!AA:AA)&lt;=1.5,
_xlfn.XLOOKUP(B370,'Animals CE'!B:B,'Animals CE'!AA:AA)/2+0.05,
0.8+
(_xlfn.XLOOKUP(B370,'Animals CE'!B:B,'Animals CE'!AA:AA)-1.5)
*0.02
),
0.05
),
200%
),
"No"
)</f>
        <v>No</v>
      </c>
      <c r="P370" s="2" t="str">
        <f>_xlfn.XLOOKUP(B370,'Base stats'!B:B,'Base stats'!R:R)</f>
        <v>Standard</v>
      </c>
      <c r="Q370" s="13">
        <f>MROUND((LOG10(_xlfn.XLOOKUP(B370,'Base stats'!B:B,'Base stats'!AR:AR))*(AO370^0.5)+(_xlfn.XLOOKUP(B370,'Base stats'!B:B,'Base stats'!AR:AR)/1000)^(2/3)+_xlfn.XLOOKUP(B370,'Base stats'!B:B,'Base stats'!BA:BA)/2)+0.5,0.5)</f>
        <v>14</v>
      </c>
      <c r="R370" s="7">
        <f>IF(Q370="No","No",MAX(1,MROUND(_xlfn.XLOOKUP(B370,'Base stats'!B:B,'Base stats'!C:C)^0.165,0.05)))</f>
        <v>2.6500000000000004</v>
      </c>
      <c r="S370" s="13" t="str">
        <f>IF(_xlfn.XLOOKUP(_xlfn.XLOOKUP(B370,'Base stats'!B:B,'Base stats'!E:E),Groups!A:A,Groups!P:P)=0,"No",MROUND((LOG10(_xlfn.XLOOKUP(B370,'Base stats'!B:B,'Base stats'!AS:AS))*(AO370^0.5)+(_xlfn.XLOOKUP(B370,'Base stats'!B:B,'Base stats'!AS:AS)/1000)^(2/3)+_xlfn.XLOOKUP(B370,'Base stats'!B:B,'Base stats'!BA:BA))+_xlfn.XLOOKUP(B370,'Base stats'!B:B,'Base stats'!AY:AY)+0.5,0.5))</f>
        <v>No</v>
      </c>
      <c r="T370" s="7" t="str">
        <f>IF(S370="No","No",MAX(_xlfn.XLOOKUP(_xlfn.XLOOKUP(B370,'Base stats'!B:B,'Base stats'!E:E),Groups!A:A,Groups!Q:Q),MROUND(_xlfn.XLOOKUP(_xlfn.XLOOKUP(B370,'Base stats'!B:B,'Base stats'!E:E),Groups!A:A,Groups!Q:Q)*_xlfn.XLOOKUP(B370,'Base stats'!B:B,'Base stats'!C:C)^0.165,0.05)))</f>
        <v>No</v>
      </c>
      <c r="U370" s="7" t="str">
        <f>IF(S370="No","No",_xlfn.XLOOKUP(_xlfn.XLOOKUP(B370,'Base stats'!B:B,'Base stats'!E:E),Groups!A:A,Groups!R:R))</f>
        <v>No</v>
      </c>
      <c r="V370" s="7" t="str">
        <f>IF(S370="No","No",_xlfn.XLOOKUP(_xlfn.XLOOKUP(B370,'Base stats'!B:B,'Base stats'!E:E),Groups!A:A,Groups!S:S))</f>
        <v>No</v>
      </c>
      <c r="W370" s="7" t="str">
        <f>IF(S370="No","No",_xlfn.XLOOKUP(_xlfn.XLOOKUP(B370,'Base stats'!B:B,'Base stats'!E:E),Groups!A:A,Groups!T:T))</f>
        <v>No</v>
      </c>
      <c r="X370" s="13">
        <f>IF(_xlfn.XLOOKUP(B370,'Base stats'!B:B,'Base stats'!W:W)="No","No",MROUND((LOG10(_xlfn.XLOOKUP(B370,'Base stats'!B:B,'Base stats'!AU:AU))*(AO370^0.5)+(_xlfn.XLOOKUP(B370,'Base stats'!B:B,'Base stats'!AU:AU)/1000)^(2/3)+_xlfn.XLOOKUP(B370,'Base stats'!B:B,'Base stats'!AZ:AZ))+0.5+IF(_xlfn.XLOOKUP(_xlfn.XLOOKUP(B370,'Base stats'!B:B,'Base stats'!E:E),Groups!A:A,Groups!U:U)&lt;&gt;3,_xlfn.XLOOKUP(B370,'Base stats'!B:B,'Base stats'!BA:BA),0),0.5))</f>
        <v>22.5</v>
      </c>
      <c r="Y370" s="7">
        <f>IF(X370="No","No",MAX(_xlfn.XLOOKUP(_xlfn.XLOOKUP(B370,'Base stats'!B:B,'Base stats'!E:E),Groups!A:A,Groups!V:V),MROUND(_xlfn.XLOOKUP(_xlfn.XLOOKUP(B370,'Base stats'!B:B,'Base stats'!E:E),Groups!A:A,Groups!V:V)*_xlfn.XLOOKUP(B370,'Base stats'!B:B,'Base stats'!C:C)^0.165,0.05)))</f>
        <v>2.25</v>
      </c>
      <c r="Z370" s="7" t="str">
        <f>IF(X370="No","No",_xlfn.XLOOKUP(_xlfn.XLOOKUP(B370,'Base stats'!B:B,'Base stats'!E:E),Groups!A:A,Groups!W:W))</f>
        <v>HeadAttackTool</v>
      </c>
      <c r="AA370" s="7" t="str">
        <f>IF(X370="No","No",_xlfn.XLOOKUP(_xlfn.XLOOKUP(B370,'Base stats'!B:B,'Base stats'!E:E),Groups!A:A,Groups!X:X))</f>
        <v>head</v>
      </c>
      <c r="AB370" s="7" t="str">
        <f>IF(X370="No","No",_xlfn.XLOOKUP(_xlfn.XLOOKUP(B370,'Base stats'!B:B,'Base stats'!E:E),Groups!A:A,Groups!Y:Y))</f>
        <v>Blunt</v>
      </c>
      <c r="AC370" s="7" t="str">
        <f>_xlfn.XLOOKUP(Animals!B370,'Base stats'!B:B,'Base stats'!X:X)</f>
        <v>False</v>
      </c>
      <c r="AD370" s="13">
        <f>IF(_xlfn.XLOOKUP(B370,'Base stats'!B:B,'Base stats'!AT:AT)="No","No",MROUND((LOG10(_xlfn.XLOOKUP(B370,'Base stats'!B:B,'Base stats'!AT:AT))*(AO370^0.75)+(_xlfn.XLOOKUP(B370,'Base stats'!B:B,'Base stats'!AT:AT)/1000)^(2/3)+_xlfn.XLOOKUP(B370,'Base stats'!B:B,'Base stats'!AX:AX)+_xlfn.XLOOKUP(B370,'Base stats'!B:B,'Base stats'!BA:BA))+0.5,0.5))</f>
        <v>18.5</v>
      </c>
      <c r="AE370" s="7">
        <f>IF(AD370="No","No",MAX(_xlfn.XLOOKUP(_xlfn.XLOOKUP(B370,'Base stats'!B:B,'Base stats'!E:E),Groups!A:A,Groups!Z:Z),MROUND(_xlfn.XLOOKUP(_xlfn.XLOOKUP(B370,'Base stats'!B:B,'Base stats'!E:E),Groups!A:A,Groups!Z:Z)*_xlfn.XLOOKUP(B370,'Base stats'!B:B,'Base stats'!C:C)^0.165,0.05)))</f>
        <v>2.25</v>
      </c>
      <c r="AF370" s="7" t="str">
        <f>IF(AD370="No","No",_xlfn.XLOOKUP(_xlfn.XLOOKUP(B370,'Base stats'!B:B,'Base stats'!E:E),Groups!A:A,Groups!AA:AA))</f>
        <v>Teeth</v>
      </c>
      <c r="AG370" s="7" t="str">
        <f>IF(AD370="No","No",_xlfn.XLOOKUP(_xlfn.XLOOKUP(B370,'Base stats'!B:B,'Base stats'!E:E),Groups!A:A,Groups!AB:AB))</f>
        <v>teeth</v>
      </c>
      <c r="AH370" s="7" t="str">
        <f>IF(AD370="No","No",_xlfn.XLOOKUP(_xlfn.XLOOKUP(B370,'Base stats'!B:B,'Base stats'!E:E),Groups!A:A,Groups!AC:AC))</f>
        <v>Bite</v>
      </c>
      <c r="AI370" s="13" t="str">
        <f>IF(_xlfn.XLOOKUP(_xlfn.XLOOKUP(B370,'Base stats'!B:B,'Base stats'!E:E),Groups!A:A,Groups!AD:AD)=0,"No",MROUND((LOG10(_xlfn.XLOOKUP(B370,'Base stats'!B:B,'Base stats'!AS:AS))*(AO370^0.75)+(_xlfn.XLOOKUP(B370,'Base stats'!B:B,'Base stats'!AS:AS)/1000)^(2/3)+_xlfn.XLOOKUP(B370,'Base stats'!B:B,'Base stats'!AY:AY)+_xlfn.XLOOKUP(B370,'Base stats'!B:B,'Base stats'!BA:BA))+0.5,0.5))</f>
        <v>No</v>
      </c>
      <c r="AJ370" s="7" t="str">
        <f>IF(AI370="No","No",MAX(_xlfn.XLOOKUP(_xlfn.XLOOKUP(B370,'Base stats'!B:B,'Base stats'!E:E),Groups!A:A,Groups!AE:AE),MROUND(_xlfn.XLOOKUP(_xlfn.XLOOKUP(B370,'Base stats'!B:B,'Base stats'!E:E),Groups!A:A,Groups!AE:AE)*IF(_xlfn.XLOOKUP(_xlfn.XLOOKUP(B370,'Base stats'!B:B,'Base stats'!E:E),Groups!A:A,Groups!AJ:AJ)="Photonozoa",0.6,1)*_xlfn.XLOOKUP(B370,'Base stats'!B:B,'Base stats'!C:C)^0.165,0.05)))</f>
        <v>No</v>
      </c>
      <c r="AK370" s="7" t="str">
        <f>IF(AI370="No","No",_xlfn.XLOOKUP(_xlfn.XLOOKUP(B370,'Base stats'!B:B,'Base stats'!E:E),Groups!A:A,Groups!AF:AF))</f>
        <v>No</v>
      </c>
      <c r="AL370" s="7" t="str">
        <f>IF(AI370="No","No",_xlfn.XLOOKUP(_xlfn.XLOOKUP(B370,'Base stats'!B:B,'Base stats'!E:E),Groups!A:A,Groups!AG:AG))</f>
        <v>No</v>
      </c>
      <c r="AM370" s="7" t="str">
        <f>IF(AI370="No","No",_xlfn.XLOOKUP(_xlfn.XLOOKUP(B370,'Base stats'!B:B,'Base stats'!E:E),Groups!A:A,Groups!AH:AH))</f>
        <v>No</v>
      </c>
      <c r="AN370" s="2" t="str">
        <f t="shared" si="35"/>
        <v>No</v>
      </c>
      <c r="AO370" s="2">
        <f>MROUND(IF(AND(_xlfn.XLOOKUP(B370,'Base stats'!B:B,'Base stats'!C:C)&gt;=0.5,_xlfn.XLOOKUP(B370,'Base stats'!B:B,'Base stats'!C:C)&lt;=0.8),
IF(_xlfn.XLOOKUP(B370,'Base stats'!B:B,'Base stats'!C:C)&lt;0.1,0.05,IF(_xlfn.XLOOKUP(B370,'Base stats'!B:B,'Base stats'!C:C)&lt;=70,(_xlfn.XLOOKUP(B370,'Base stats'!B:B,'Base stats'!C:C)/70)^0.426489913056526,IF(_xlfn.XLOOKUP(B370,'Base stats'!B:B,'Base stats'!C:C)&lt;=400,(_xlfn.XLOOKUP(B370,'Base stats'!B:B,'Base stats'!C:C)/70)^0.572811455315093,IF(_xlfn.XLOOKUP(B370,'Base stats'!B:B,'Base stats'!C:C)&lt;=2000,2.71391647193063*(_xlfn.XLOOKUP(B370,'Base stats'!B:B,'Base stats'!C:C)/400)^0.252459582904293,3.74314280240376*(_xlfn.XLOOKUP(B370,'Base stats'!B:B,'Base stats'!C:C)/2000)^0.357012633876913)))),
IF(_xlfn.XLOOKUP(B370,'Base stats'!B:B,'Base stats'!C:C)&lt;0.1,0.05,IF(_xlfn.XLOOKUP(B370,'Base stats'!B:B,'Base stats'!C:C)&lt;0.4,0.1,IF(_xlfn.XLOOKUP(B370,'Base stats'!B:B,'Base stats'!C:C)&lt;=70,(_xlfn.XLOOKUP(B370,'Base stats'!B:B,'Base stats'!C:C)/70)^0.445823913056526,IF(_xlfn.XLOOKUP(B370,'Base stats'!B:B,'Base stats'!C:C)&lt;=400,(_xlfn.XLOOKUP(B370,'Base stats'!B:B,'Base stats'!C:C)/70)^0.572811455315093,IF(_xlfn.XLOOKUP(B370,'Base stats'!B:B,'Base stats'!C:C)&lt;=2000,2.71391647193063*(_xlfn.XLOOKUP(B370,'Base stats'!B:B,'Base stats'!C:C)/400)^0.252459582904293,3.74314280240376*(_xlfn.XLOOKUP(B370,'Base stats'!B:B,'Base stats'!C:C)/2000)^0.357012633876913)))))),
IF(_xlfn.XLOOKUP(B370,'Base stats'!B:B,'Base stats'!C:C)&lt;0.1,0.05,IF(_xlfn.XLOOKUP(B370,'Base stats'!B:B,'Base stats'!C:C)&lt;=100,0.05,IF(_xlfn.XLOOKUP(B370,'Base stats'!B:B,'Base stats'!C:C)&lt;=250,0.1,IF(_xlfn.XLOOKUP(B370,'Base stats'!B:B,'Base stats'!C:C)&lt;=4000,0.25,0.5)))))</f>
        <v>2.5</v>
      </c>
      <c r="AP370" s="8">
        <f>MROUND(AO370*_xlfn.XLOOKUP(_xlfn.XLOOKUP(B370,'Base stats'!B:B,'Base stats'!E:E),Groups!A:A,Groups!AI:AI)*_xlfn.XLOOKUP(B370,'Base stats'!B:B,'Base stats'!Z:Z),0.05)</f>
        <v>2.5</v>
      </c>
      <c r="AQ370" s="8">
        <f>MAX(0.01,MROUND(IF(CC370="True",0.196*(AO370*100*1000)^0.889,IF(_xlfn.XLOOKUP(_xlfn.XLOOKUP(B370,'Base stats'!B:B,'Base stats'!E:E),Groups!A:A,Groups!AJ:AJ)="Bird",10.5*(AO370*100*1000)^0.681,4.82*(AO370*100*1000)^0.734))/(4.82*(1*100*1000)^0.734)/IF(AO370&lt;3.5,2,IF(AO370=3.5,1.5,1.25))*(1+0.132282374779864/(AO370^0.994035016789033+0.00905238001496948)),0.05))</f>
        <v>1.1500000000000001</v>
      </c>
      <c r="AR370" s="9">
        <f>IFERROR(MROUND(_xlfn.XLOOKUP(B370,'Base stats'!B:B,'Base stats'!H:H)/IF(_xlfn.XLOOKUP(B370,'Base stats'!B:B,'Base stats'!I:I)&lt;&gt;1,(122.5/70),1.2),IF(_xlfn.XLOOKUP(B370,'Base stats'!B:B,'Base stats'!H:H)&gt;=30,5,IF(_xlfn.XLOOKUP(B370,'Base stats'!B:B,'Base stats'!H:H)&gt;=15,3,IF(_xlfn.XLOOKUP(B370,'Base stats'!B:B,'Base stats'!H:H)&gt;=10,2,1)))),"Immortal")</f>
        <v>12</v>
      </c>
      <c r="AS370" s="35" t="str">
        <f>IFERROR(IF(OR(_xlfn.XLOOKUP(B370,'Base stats'!B:B,'Base stats'!F:F)="Atypical reproduction",_xlfn.XLOOKUP(B370,'Base stats'!B:B,'Base stats'!F:F)="Lay eggs"),"Lay eggs",MIN(20,MAX(5.5,ROUND(((_xlfn.XLOOKUP(B370,'Base stats'!B:B,'Base stats'!F:F)-25)*(14.5/615) + 5.5)*2,0)/2))),"Unknown")</f>
        <v>Lay eggs</v>
      </c>
      <c r="AT370" s="8">
        <f>IF(_xlfn.XLOOKUP(B370,'Base stats'!B:B,'Base stats'!G:G)="Atypical reproduction","No",IFERROR(MAX(IF(_xlfn.XLOOKUP(B370,'Base stats'!B:B,'Base stats'!G:G)&lt;0.5,0.2,0.3),MROUND(_xlfn.XLOOKUP(B370,'Base stats'!B:B,'Base stats'!G:G)/(365/60),0.2)),"Unknown"))</f>
        <v>0.4</v>
      </c>
      <c r="AU370" s="8">
        <f t="shared" si="36"/>
        <v>0.2</v>
      </c>
      <c r="AV370" s="8" t="str">
        <f>IFERROR(IFERROR(MROUND(_xlfn.XLOOKUP(B370,'Base stats'!B:B,'Base stats'!J:J),0.1),"Lay eggs"),"Cannot breed")</f>
        <v>Lay eggs</v>
      </c>
      <c r="AW370" s="2" t="str">
        <f t="shared" si="37"/>
        <v>true</v>
      </c>
      <c r="AX370" s="2" t="str">
        <f>IF(_xlfn.XLOOKUP(_xlfn.XLOOKUP(Animals!B370,'Base stats'!B:B,'Base stats'!E:E),Groups!A:A,Groups!AK:AK)=1,"true","false")</f>
        <v>true</v>
      </c>
      <c r="AY370" s="25" t="str">
        <f>IF(_xlfn.XLOOKUP(B370,'Base stats'!B:B,'Base stats'!Y:Y)="Liquor","Liquor, CarnivoreAnimalStrict",IF(AND(_xlfn.XLOOKUP(B370,'Base stats'!B:B,'Base stats'!Y:Y)="Carnivore",_xlfn.XLOOKUP(_xlfn.XLOOKUP(B370,'Base stats'!B:B,'Base stats'!E:E),Groups!A:A,Groups!AJ:AJ)="Photonozoa"),"CarnivoreAnimalStrict, OvivoreAnimal",IF(_xlfn.XLOOKUP(B370,'Base stats'!B:B,'Base stats'!Y:Y)="Carnivore","CarnivoreAnimal, OvivoreAnimal",IF(_xlfn.XLOOKUP(B370,'Base stats'!B:B,'Base stats'!Y:Y)="Dendrovore","VegetarianRoughAnimal, DendrovoreAnimal",IF(_xlfn.XLOOKUP(B370,'Base stats'!B:B,'Base stats'!Y:Y)="Herbivore","VegetarianRoughAnimal",IF(_xlfn.XLOOKUP(B370,'Base stats'!B:B,'Base stats'!Y:Y)="OmnivoreRough","OmnivoreRoughAnimal, OvivoreAnimal","OmnivoreAnimal, OvivoreAnimal"))))))</f>
        <v>VegetarianRoughAnimal</v>
      </c>
      <c r="AZ370" s="2">
        <f>IF(_xlfn.XLOOKUP(_xlfn.XLOOKUP(B370,'Base stats'!B:B,'Base stats'!E:E),Groups!A:A,Groups!D:D)=1,MROUND((1-J370)*5+1,2)*IF(J370&lt;=0.4,2,1),"No")</f>
        <v>2</v>
      </c>
      <c r="BA370" s="2" t="str">
        <f>IF(AND(_xlfn.XLOOKUP(B370,'Base stats'!B:B,'Base stats'!AH:AH)="&lt;li&gt;Seal&lt;/li&gt;",G370="Odyssey"),"&lt;li&gt;AEXP_Seal&lt;/li&gt;",_xlfn.XLOOKUP(B370,'Base stats'!B:B,'Base stats'!AH:AH))</f>
        <v>No</v>
      </c>
      <c r="BB370" s="2" t="str">
        <f>_xlfn.XLOOKUP(B370,'Base stats'!B:B,'Base stats'!AG:AG)</f>
        <v>Leather_DinosaurHide</v>
      </c>
      <c r="BC370" s="23" t="str">
        <f>_xlfn.XLOOKUP(_xlfn.XLOOKUP(B370,'Base stats'!B:B,'Base stats'!E:E),Groups!A:A,Groups!AL:AL)</f>
        <v>Theropod</v>
      </c>
      <c r="BD370" s="23">
        <f>MIN(1,MROUND(IF(AND(AO370&lt;0.5,_xlfn.XLOOKUP(B370,'Base stats'!B:B,'Base stats'!AA:AA)=0),0,IF(OR(_xlfn.XLOOKUP(Animals!B370,'Base stats'!B:B,'Base stats'!O:O)=2,_xlfn.XLOOKUP(_xlfn.XLOOKUP(B370,'Base stats'!B:B,'Base stats'!E:E),Groups!A:A,Groups!AN:AN)=0),0,_xlfn.XLOOKUP(_xlfn.XLOOKUP(B370,'Base stats'!B:B,'Base stats'!E:E),Groups!A:A,Groups!AN:AN)/IF(_xlfn.XLOOKUP(Animals!B370,'Base stats'!B:B,'Base stats'!O:O)=1,2,1)))+_xlfn.XLOOKUP(B370,'Base stats'!B:B,'Base stats'!AC:AC),0.005))</f>
        <v>0.1</v>
      </c>
      <c r="BE370" s="23">
        <f>MIN(1,MROUND(IF(AND(AO370&lt;0.5,_xlfn.XLOOKUP(B370,'Base stats'!B:B,'Base stats'!AA:AA)=0),0,IF(_xlfn.XLOOKUP(_xlfn.XLOOKUP(B370,'Base stats'!B:B,'Base stats'!E:E),Groups!A:A,Groups!AO:AO)=0,0,_xlfn.XLOOKUP(_xlfn.XLOOKUP(B370,'Base stats'!B:B,'Base stats'!E:E),Groups!A:A,Groups!AO:AO)/IF(_xlfn.XLOOKUP(Animals!B370,'Base stats'!B:B,'Base stats'!O:O)=2,3,1)))+_xlfn.XLOOKUP(B370,'Base stats'!B:B,'Base stats'!AD:AD),0.005))</f>
        <v>0.3</v>
      </c>
      <c r="BF370" s="2" t="str">
        <f>IF(J370&gt;0.3,"No",_xlfn.XLOOKUP(_xlfn.XLOOKUP(Animals!B370,'Base stats'!B:B,'Base stats'!E:E),Groups!A:A,Groups!AP:AP))</f>
        <v>No</v>
      </c>
      <c r="BG370" s="2" t="str">
        <f>IF(AND(J370&lt;=0.65,_xlfn.XLOOKUP(_xlfn.XLOOKUP(Animals!B370,'Base stats'!B:B,'Base stats'!E:E),Groups!A:A,Groups!AP:AP)&lt;&gt;"No",_xlfn.XLOOKUP(_xlfn.XLOOKUP(B370,'Base stats'!B:B,'Base stats'!E:E),Groups!A:A,Groups!D:D)=0),MROUND((80/3)*IF(_xlfn.XLOOKUP(B370,'Base stats'!B:B,'Base stats'!O:O)=2,0.2,AO370) + 24*(1-IF(BF370="No",0,BF370)) + 16/3, 12),"No")</f>
        <v>No</v>
      </c>
      <c r="BH370" s="2">
        <f>IF(AND(_xlfn.XLOOKUP(_xlfn.XLOOKUP(B370,'Base stats'!B:B,'Base stats'!E:E),Groups!A:A,Groups!AQ:AQ)=1,AO370&lt;=0.35),8,12)</f>
        <v>12</v>
      </c>
      <c r="BI370" s="2" t="str">
        <f>IF(_xlfn.XLOOKUP(_xlfn.XLOOKUP(B370,'Base stats'!B:B,'Base stats'!E:E),Groups!A:A,Groups!D:D)=0,_xlfn.XLOOKUP(_xlfn.XLOOKUP(B370,'Base stats'!B:B,'Base stats'!E:E),Groups!A:A,Groups!AR:AR),"None")</f>
        <v>None</v>
      </c>
      <c r="BJ370" s="2" t="str">
        <f>IF(AND(_xlfn.XLOOKUP(_xlfn.XLOOKUP(B370,'Base stats'!B:B,'Base stats'!E:E),Groups!A:A,Groups!AS:AS)=1,OR(_xlfn.XLOOKUP(B370,'Base stats'!B:B,'Base stats'!Y:Y)="Carnivore",_xlfn.XLOOKUP(B370,'Base stats'!B:B,'Base stats'!Y:Y)="Omnivore")),"true","false")</f>
        <v>false</v>
      </c>
      <c r="BK370" s="2" t="str">
        <f>IF(BJ370="true",MROUND(IF(AND(AO370&gt;0.5,OR(_xlfn.XLOOKUP(_xlfn.XLOOKUP(B370,'Base stats'!B:B,'Base stats'!E:E),Groups!A:A,Groups!AJ:AJ)="Photonozoa",_xlfn.XLOOKUP(_xlfn.XLOOKUP(B370,'Base stats'!B:B,'Base stats'!E:E),Groups!A:A,Groups!AJ:AJ)="Mammal")),Animals!AO370*1.75*IF(AW370="true",1.5,1),IF(AO370&lt;0.5,Animals!AO370*0.5,Animals!AO370)),IF(AO370&gt;2,0.5,IF(AO370&gt;0.5,0.25,0.1))),"No")</f>
        <v>No</v>
      </c>
      <c r="BL370" s="2">
        <f t="shared" si="38"/>
        <v>0</v>
      </c>
      <c r="BM370" s="25" t="str">
        <f>IF(_xlfn.XLOOKUP(B370,'Base stats'!B:B,'Base stats'!AN:AN)="Standard","No",MROUND((_xlfn.XLOOKUP(B370,'Base stats'!B:B,'Base stats'!AN:AN)/3.6)/I370,0.1))</f>
        <v>No</v>
      </c>
      <c r="BN370" s="25" t="str">
        <f t="shared" si="39"/>
        <v>false</v>
      </c>
      <c r="BO370" s="25" t="str">
        <f>IF(AND(OR(_xlfn.XLOOKUP(B370,'Base stats'!B:B,'Base stats'!Y:Y)="Carnivore",_xlfn.XLOOKUP(B370,'Base stats'!B:B,'Base stats'!Y:Y)="Omnivore",_xlfn.XLOOKUP(B370,'Base stats'!B:B,'Base stats'!Y:Y)="OmnivoreRough"),_xlfn.XLOOKUP(_xlfn.XLOOKUP(B370,'Base stats'!B:B,'Base stats'!E:E),Groups!A:A,Groups!AT:AT)=1),"true","false")</f>
        <v>false</v>
      </c>
      <c r="BP370" s="25" t="str" cm="1">
        <f t="array" ref="BP370">IF(
  _xlfn.TEXTJOIN(", ",TRUE,
    IF(AND(BJ370="true",AO370&gt;0.5,BI370&lt;&gt;"None"),"AttackTarget",""),
    IF(AND(_xlfn.XLOOKUP(_xlfn.XLOOKUP(B370,'Base stats'!B:B,'Base stats'!E:E),Groups!A:A,Groups!AJ:AJ="Mammal"),OR(_xlfn.XLOOKUP(B370,'Base stats'!B:B,'Base stats'!Y:Y)="Omnivore",_xlfn.XLOOKUP(B370,'Base stats'!B:B,'Base stats'!Y:Y)="OmnivoreRough")),"Forage",""),
    IF(BG370&lt;=36,"Comfort",""),
    IF(_xlfn.XLOOKUP(B370,'Base stats'!B:B,'Base stats'!AE:AE)&lt;&gt;"No",_xlfn.XLOOKUP(B370,'Base stats'!B:B,'Base stats'!AE:AE),"")
  ) = "",
  "No",
  _xlfn.TEXTJOIN(", ",TRUE,
    IF(AND(BJ370="true",AO370&gt;0.5,BI370&lt;&gt;"None"),"AttackTarget",""),
    IF(AND(_xlfn.XLOOKUP(_xlfn.XLOOKUP(B370,'Base stats'!B:B,'Base stats'!E:E),Groups!A:A,Groups!AJ:AJ="Mammal"),OR(_xlfn.XLOOKUP(B370,'Base stats'!B:B,'Base stats'!Y:Y)="Omnivore",_xlfn.XLOOKUP(B370,'Base stats'!B:B,'Base stats'!Y:Y)="OmnivoreRough")),"Forage",""),
    IF(BG370&lt;=36,"Comfort",""),
    IF(_xlfn.XLOOKUP(B370,'Base stats'!B:B,'Base stats'!AE:AE)&lt;&gt;"No",_xlfn.XLOOKUP(B370,'Base stats'!B:B,'Base stats'!AE:AE),"")
  )
)</f>
        <v>No</v>
      </c>
      <c r="BQ370" s="25" t="str">
        <f>IF(
   AND(
      'Base stats'!AN370="Standard",_xlfn.XLOOKUP(_xlfn.XLOOKUP(B370,'Base stats'!B:B,'Base stats'!E:E),Groups!A:A,Groups!AU:AU)=0,
      OR(
      BO370="True"
      )
   ),
   10,
   IF(
       OR(BM370&lt;&gt;"No",_xlfn.XLOOKUP(_xlfn.XLOOKUP(B370,'Base stats'!B:B,'Base stats'!E:E),Groups!A:A,Groups!AU:AU)=1),
      1,
      "No"
   )
)</f>
        <v>No</v>
      </c>
      <c r="BR370" s="9">
        <f>MROUND((1 + ((0.2*IF(OR(Q370="No",R370="No",R370=0),0,Q370/R370)
+IF(OR(V370="No",S370="No",T370="No"),0,S370/T370*(LEN(V370)-LEN(SUBSTITUTE(V370,",",""))+1))
+IF(OR(X370="No",Y370="No"),0,X370/Y370)
+IF(OR(AD370="No",AE370="No"),0,AD370/AE370)
+IF(OR(AL370="No",AI370="No",AJ370="No"),0,AI370/AJ370*(LEN(AL370)-LEN(SUBSTITUTE(AL370,",",""))+1))
)/(0.2*IF(OR(Q370="No",R370="No",R370=0),0,1)
+IF(OR(V370="No",S370="No",T370="No"),0,LEN(V370)-LEN(SUBSTITUTE(V370,",",""))+1)
+IF(OR(X370="No",Y370="No"),0,1)
+IF(OR(AD370="No",AE370="No"),0,1)
+IF(OR(AL370="No",AI370="No",AJ370="No"),0,LEN(AL370)-LEN(SUBSTITUTE(AL370,",",""))+1))*62%)* 2)*(1 + (AP370 / (IF(_xlfn.XLOOKUP(_xlfn.XLOOKUP(B370,'Base stats'!B:B,'Base stats'!E:E),Groups!A:A,Groups!AJ:AJ)="Photonozoa",0.3,1)) + _xlfn.XLOOKUP(B370,'Base stats'!B:B,'Base stats'!AV:AV) * 1.8) * 2) * 2.5 + 10 + I370 * 2,5)+IF(_xlfn.XLOOKUP(B370,'Base stats'!B:B,'Base stats'!AK:AK)=1,50,0)</f>
        <v>195</v>
      </c>
      <c r="BS370" s="8">
        <f t="shared" si="40"/>
        <v>1.4000000000000001</v>
      </c>
      <c r="BT370" s="8" t="str">
        <f>_xlfn.XLOOKUP(B370,'Base stats'!B:B,'Base stats'!AF:AF)</f>
        <v>3~8</v>
      </c>
      <c r="BU370" s="2" t="str">
        <f>IF(AND(J370&lt;=0.95,OR(_xlfn.XLOOKUP(B370,'Base stats'!B:B,'Base stats'!AK:AK)=1,_xlfn.XLOOKUP(B370,'Base stats'!B:B,'Base stats'!Y:Y)="Carnivore",_xlfn.XLOOKUP(B370,'Base stats'!B:B,'Base stats'!Y:Y)="Omnivore",BE370&gt;0.1)),"true","false")</f>
        <v>true</v>
      </c>
      <c r="BV370" s="2" t="str">
        <f>IF(_xlfn.XLOOKUP(B370,'Base stats'!B:B,'Base stats'!AI:AI)=1,"true","false")</f>
        <v>false</v>
      </c>
      <c r="BW370" s="25" t="str">
        <f>IF(E370="BaseInsect","AnimalInsect",
IF(J370&gt;0.95,"AnimalExotic",
_xlfn.TEXTJOIN(", ",TRUE,
IF(OR(_xlfn.XLOOKUP(B370,'Base stats'!B:B,'Base stats'!AM:AM)=1,AND(_xlfn.XLOOKUP(B370,'Base stats'!B:B,'Base stats'!O:O)=0,_xlfn.XLOOKUP(_xlfn.XLOOKUP(B370,'Base stats'!B:B,'Base stats'!E:E),Groups!A:A,Groups!B:B)&gt;0)),"AnimalUncommon","AnimalCommon"),
IF(AND(_xlfn.XLOOKUP(B370,'Base stats'!B:B,'Base stats'!O:O)=2,_xlfn.XLOOKUP(_xlfn.XLOOKUP(B370,'Base stats'!B:B,'Base stats'!E:E),Groups!A:A,Groups!D:D)=0),"AnimalPet",IF(AND(_xlfn.XLOOKUP(B370,'Base stats'!B:B,'Base stats'!O:O)&lt;&gt;0,_xlfn.XLOOKUP(_xlfn.XLOOKUP(B370,'Base stats'!B:B,'Base stats'!E:E),Groups!A:A,Groups!D:D)&lt;&gt;0),"AnimalFarm","")),
IF(OR(_xlfn.XLOOKUP(B370,'Base stats'!B:B,'Base stats'!AK:AK)=1,AND(BI370&lt;&gt;"None",BR370&gt;=60),ISNUMBER(SEARCH("Attack target",BP370))),"AnimalFighter","")
)))</f>
        <v>AnimalUncommon</v>
      </c>
      <c r="BX370" s="25" t="str">
        <f>IF(G370="None",TRIM(
SUBSTITUTE(
IF(COUNTIF(Biomes!B$2:B$259,"="&amp;$C370)&gt;0,Biomes!B$1&amp;", ","")&amp;
IF(COUNTIF(Biomes!C$2:C$259,"="&amp;$C370)&gt;0,Biomes!C$1&amp;", ","")&amp;
IF(COUNTIF(Biomes!D$2:D$259,"="&amp;$C370)&gt;0,Biomes!D$1&amp;", ","")&amp;
IF(COUNTIF(Biomes!F$2:F$259,"="&amp;$C370)&gt;0,Biomes!F$1&amp;", ","")&amp;
IF(COUNTIF(Biomes!G$2:G$259,"="&amp;$C370)&gt;0,Biomes!G$1&amp;", ","")&amp;
IF(COUNTIF(Biomes!H$2:H$259,"="&amp;$C370)&gt;0,Biomes!H$1&amp;", ","")&amp;
IF(COUNTIF(Biomes!I$2:I$259,"="&amp;$C370)&gt;0,Biomes!I$1&amp;", ","")&amp;
IF(COUNTIF(Biomes!J$2:J$259,"="&amp;$C370)&gt;0,Biomes!J$1&amp;", ","")&amp;
IF(COUNTIF(Biomes!M$2:M$259,"="&amp;$C370)&gt;0,Biomes!M$1&amp;", ","")&amp;
IF(COUNTIF(Biomes!N$2:N$259,"="&amp;$C370)&gt;0,Biomes!N$1&amp;", ","")&amp;
IF(COUNTIF(Biomes!O$2:O$259,"="&amp;$C370)&gt;0,Biomes!O$1&amp;", ","")&amp;
IF(COUNTIF(Biomes!P$2:P$259,"="&amp;$C370)&gt;0,Biomes!P$1&amp;", ","")&amp;
IF(COUNTIF(Biomes!K$2:K$259,"="&amp;$C370)&gt;0,Biomes!K$1&amp;", ","")&amp;
IF(COUNTIF(Biomes!Q$3:Q$259,"="&amp;$C370)&gt;0,Biomes!Q$1&amp;", ","")&amp;
IF(COUNTIF(Biomes!L$2:L$259,"="&amp;$C370)&gt;0,Biomes!L$1&amp;", ","")&amp;
IF(COUNTIF(Biomes!E$2:E$259,"="&amp;$C370)&gt;0,Biomes!E$1&amp;", ","")&amp;IF(COUNTIF(Biomes!S$2:S$259,"="&amp;$C370)&gt;0,Biomes!S$1&amp;", ","")&amp;
IF(COUNTIF(Biomes!R$2:R$259,"="&amp;$C370)&gt;0,Biomes!R$1&amp;", ",""),", ","")
),_xlfn.XLOOKUP(B370,B:B,BX:BX))</f>
        <v>TemperateForest TemperateSwamp</v>
      </c>
      <c r="BY370" s="25" t="str">
        <f>IF(_xlfn.XLOOKUP(B370,'Base stats'!B:B,'Base stats'!AJ:AJ)=1,"true","false")</f>
        <v>false</v>
      </c>
      <c r="BZ370" s="25">
        <f>IF(_xlfn.XLOOKUP(B370,'Base stats'!B:B,'Base stats'!N:N)=1,"No",MAX(0.001,MIN(MROUND(IF(AND(BJ370="True",CC370="False"),POWER(10,3.47*LOG10(_xlfn.XLOOKUP(B370,'Base stats'!B:B,'Base stats'!C:C)*1000)^-0.96),POWER(10,4.15*LOG10(_xlfn.XLOOKUP(B370,'Base stats'!B:B,'Base stats'!C:C)*1000)^-0.73))*IF(_xlfn.XLOOKUP(B370,'Base stats'!B:B,'Base stats'!AK:AK)=1,0.5,1)*IF(_xlfn.XLOOKUP(B370,'Base stats'!B:B,'Base stats'!AM:AM)=1,0.1,1)/100,IF(_xlfn.XLOOKUP(B370,'Base stats'!B:B,'Base stats'!AM:AM)=1,0.001,0.025)),0.5)))</f>
        <v>0.15000000000000002</v>
      </c>
      <c r="CA370" s="25" t="str">
        <f>IF(P370="Standard","No",MAX(0.001,MIN(MROUND(IF(AND(BJ370="True",CC370="False"),POWER(10,3.47*LOG10(_xlfn.XLOOKUP(B370,'Base stats'!B:B,'Base stats'!C:C)*1000)^-0.96),POWER(10,4.15*LOG10(_xlfn.XLOOKUP(B370,'Base stats'!B:B,'Base stats'!C:C)*1000)^-0.73))*IF(_xlfn.XLOOKUP(B370,'Base stats'!B:B,'Base stats'!AM:AM)=1,0.1,1)*_xlfn.XLOOKUP(B370,'Base stats'!B:B,'Base stats'!R:R)/100,IF(_xlfn.XLOOKUP(B370,'Base stats'!B:B,'Base stats'!AM:AM)=1,0.001,0.025)),0.5)))</f>
        <v>No</v>
      </c>
      <c r="CB370" s="25" t="str">
        <f>IF(_xlfn.XLOOKUP(_xlfn.XLOOKUP(B370,'Base stats'!B:B,'Base stats'!E:E),Groups!A:A,Groups!AJ:AJ)="Mammal","True","False")</f>
        <v>False</v>
      </c>
      <c r="CC370" s="25" t="str">
        <f>IF(OR(_xlfn.XLOOKUP(_xlfn.XLOOKUP(B370,'Base stats'!B:B,'Base stats'!E:E),Groups!A:A,Groups!AJ:AJ)="Reptile",_xlfn.XLOOKUP(_xlfn.XLOOKUP(B370,'Base stats'!B:B,'Base stats'!E:E),Groups!A:A,Groups!AJ:AJ)="Amphibian",_xlfn.XLOOKUP(_xlfn.XLOOKUP(B370,'Base stats'!B:B,'Base stats'!E:E),Groups!A:A,Groups!AJ:AJ)="Invertebrate"),"True","False")</f>
        <v>False</v>
      </c>
      <c r="CD370" s="25" t="str">
        <f t="shared" si="41"/>
        <v>False</v>
      </c>
      <c r="CE370" s="25" t="str">
        <f>IF(_xlfn.XLOOKUP(_xlfn.XLOOKUP(B370,'Base stats'!B:B,'Base stats'!E:E),Groups!A:A,Groups!AX:AX),"True","False")</f>
        <v>False</v>
      </c>
      <c r="CF370" s="25" t="str">
        <f>IF(_xlfn.XLOOKUP(_xlfn.XLOOKUP(B370,'Base stats'!B:B,'Base stats'!E:E),Groups!A:A,Groups!AY:AY),"True","False")</f>
        <v>False</v>
      </c>
      <c r="CG370" s="25" t="str">
        <f>IF(_xlfn.XLOOKUP(_xlfn.XLOOKUP(B370,'Base stats'!B:B,'Base stats'!E:E),Groups!A:A,Groups!AW:AW),"True","False")</f>
        <v>False</v>
      </c>
      <c r="CH370" s="25" t="str">
        <f>IF(
OR(
_xlfn.XLOOKUP(_xlfn.XLOOKUP(B370,'Base stats'!B:B,'Base stats'!E:E),Groups!A:A,Groups!AZ:AZ)=0,
AND(
_xlfn.XLOOKUP(B370,'Base stats'!B:B,'Base stats'!Y:Y)&lt;&gt;"Carnivore",
_xlfn.XLOOKUP(B370,'Base stats'!B:B,'Base stats'!Y:Y)&lt;&gt;"Omnivore",
_xlfn.XLOOKUP(B370,'Base stats'!B:B,'Base stats'!Y:Y)&lt;&gt;"OmnivoreRough"
)
),
"No",
IF(
_xlfn.XLOOKUP(_xlfn.XLOOKUP(B370,'Base stats'!B:B,'Base stats'!E:E),Groups!A:A,Groups!AZ:AZ)=1,
"Flesh",
IF(
_xlfn.XLOOKUP(_xlfn.XLOOKUP(B370,'Base stats'!B:B,'Base stats'!E:E),Groups!A:A,Groups!AZ:AZ)=2,
"Bone",
""
)
)
)</f>
        <v>No</v>
      </c>
      <c r="CI370" s="25" t="str">
        <f>IF(_xlfn.XLOOKUP(_xlfn.XLOOKUP(B370,'Base stats'!B:B,'Base stats'!E:E),Groups!A:A,Groups!BB:BB),"True","False")</f>
        <v>False</v>
      </c>
      <c r="CJ370" s="25" t="str">
        <f>IF(_xlfn.XLOOKUP(_xlfn.XLOOKUP(B370,'Base stats'!B:B,'Base stats'!E:E),Groups!A:A,Groups!BA:BA),"True","False")</f>
        <v>False</v>
      </c>
    </row>
    <row r="371" spans="1:88" ht="16.5" thickTop="1" thickBot="1" x14ac:dyDescent="0.3">
      <c r="A371" s="26" t="s">
        <v>1978</v>
      </c>
      <c r="B371" s="6" t="str">
        <f>_xlfn.XLOOKUP(A371,'Base stats'!A:A,'Base stats'!B:B)</f>
        <v>Stygimoloch spinifer</v>
      </c>
      <c r="C371" s="28" t="s">
        <v>2045</v>
      </c>
      <c r="D371" s="28" t="s">
        <v>1898</v>
      </c>
      <c r="E371" s="28" t="s">
        <v>673</v>
      </c>
      <c r="F371" s="28" t="s">
        <v>673</v>
      </c>
      <c r="G371" s="28" t="s">
        <v>673</v>
      </c>
      <c r="H371" s="2">
        <f>MROUND((
  (IF(AND(_xlfn.XLOOKUP(B371,'Base stats'!B:B,'Base stats'!AL:AL)=0,BI371="None",_xlfn.XLOOKUP(_xlfn.XLOOKUP(B371,'Base stats'!B:B,'Base stats'!E:E),Groups!A:A,Groups!B:B)=0), (18 + BR371 * 2.7) * 0.5,
    IF(AND(_xlfn.XLOOKUP(B371,'Base stats'!B:B,'Base stats'!AL:AL)=0,OR(AO371&lt;0.55,AND(BI371="Intermediate",_xlfn.XLOOKUP(_xlfn.XLOOKUP(B371,'Base stats'!B:B,'Base stats'!E:E),Groups!A:A,Groups!B:B)&lt;2))), (18 + BR371 * 2.7),
      IF(OR(BI371="Advanced",_xlfn.XLOOKUP(B371,'Base stats'!B:B,'Base stats'!AL:AL)=1,_xlfn.XLOOKUP(_xlfn.XLOOKUP(B371,'Base stats'!B:B,'Base stats'!E:E),Groups!A:A,Groups!B:B)=2), (18 + BR371 * 2.7) + 250, (18 + BR371 * 2.7))
    )
  ))
  + AO371 * 80
  + IF(COUNTIF(EggMilk!K$2:K$998, A371) &gt; 0, 125, 0)
  + IF(COUNTIF(EggMilk!P$2:P$998, A371) &gt; 0, 90, 0)
  + IF(COUNTIF(EggMilk!A$2:A$998, A371) &gt; 0, 90, 0)
)
* (0.8 + 0.4 * J371)
* 0.75,25)</f>
        <v>450</v>
      </c>
      <c r="I371" s="2">
        <f>MROUND(ROUNDDOWN(_xlfn.XLOOKUP(B371,'Base stats'!B:B,'Base stats'!L:L)/3.6/(23.3/11),1),0.5)</f>
        <v>3</v>
      </c>
      <c r="J371" s="2">
        <f>IF(OR(_xlfn.XLOOKUP(B371,'Base stats'!B:B,'Base stats'!AB:AB)=1,_xlfn.XLOOKUP(_xlfn.XLOOKUP(B371,'Base stats'!B:B,'Base stats'!E:E),Groups!A:A,Groups!C:C)="Untamable"),1,IF(_xlfn.XLOOKUP(B371,'Base stats'!B:B,'Base stats'!AL:AL)=1,0.99,MIN(MROUND((1-0.6282*EXP(-0.459*AO371))*_xlfn.XLOOKUP(_xlfn.XLOOKUP(B371,'Base stats'!B:B,'Base stats'!E:E),Groups!A:A,Groups!C:C)*IF(_xlfn.XLOOKUP(B371,'Base stats'!B:B,'Base stats'!O:O)=1,0.5,IF(_xlfn.XLOOKUP(B371,'Base stats'!B:B,'Base stats'!O:O)=2,0,1)),0.05),IF(AO371&gt;3.5,0.985,0.95))))</f>
        <v>0.60000000000000009</v>
      </c>
      <c r="K371" s="2">
        <f>ROUNDUP(AO371*_xlfn.XLOOKUP(_xlfn.XLOOKUP(B371,'Base stats'!B:B,'Base stats'!E:E),Groups!A:A,Groups!E:E),0)</f>
        <v>6</v>
      </c>
      <c r="L371" s="2">
        <f>IF(OR(_xlfn.XLOOKUP(_xlfn.XLOOKUP(B371,'Base stats'!B:B,'Base stats'!E:E),Groups!A:A,Groups!F:F)=2,ISNUMBER(SEARCH("SeaIce",BX371)),ISNUMBER(SEARCH("IceSheet",BX371))),-50,IF(OR(ISNUMBER(SEARCH("GlacialPlain",BX371)),ISNUMBER(SEARCH("Tundra",BX371))),-40,IF(OR(ISNUMBER(SEARCH("Alpine",BX371)),ISNUMBER(SEARCH("BorealForest",BX371)),ISNUMBER(SEARCH("ColdBog",BX371))),-30,IF(OR(ISNUMBER(SEARCH("TemperateForest",BX371)),ISNUMBER(SEARCH("TemperateSwamp",BX371))),-20,IF(_xlfn.XLOOKUP(_xlfn.XLOOKUP(B371,'Base stats'!B:B,'Base stats'!E:E),Groups!A:A,Groups!F:F)=1,-15,IF(OR(ISNUMBER(SEARCH("Desert",BX371)),ISNUMBER(SEARCH("ExtremeDesert",BX371))),-10,IF(OR(ISNUMBER(SEARCH("Grasslands",BX371)),ISNUMBER(SEARCH("TropicalRainforest",BX371)),ISNUMBER(SEARCH("TropicalSwamp",BX371))),10,0)))))))-IF(CC371="False",MIN(IFERROR(MAX(MROUND(LOG10(_xlfn.XLOOKUP(B371,'Base stats'!B:B,'Base stats'!C:C)^(2/3))*10,5),5),5),30))-_xlfn.XLOOKUP(B371,'Base stats'!B:B,'Base stats'!P:P)+IF(CC371="True",5,0)</f>
        <v>-35</v>
      </c>
      <c r="M371" s="2">
        <f>IF(OR(_xlfn.XLOOKUP(_xlfn.XLOOKUP(B371,'Base stats'!B:B,'Base stats'!E:E),Groups!A:A,Groups!G:G)=2,ISNUMBER(SEARCH("Desert",BX371)),ISNUMBER(SEARCH("ExtremeDesert",BX371)),ISNUMBER(SEARCH("LavaField",BX371))),50,IF(ISNUMBER(SEARCH("Grasslands",BX371)),45,IF(OR(_xlfn.XLOOKUP(_xlfn.XLOOKUP(B371,'Base stats'!B:B,'Base stats'!E:E),Groups!A:A,Groups!G:G)=1,ISNUMBER(SEARCH("TropicalRainforest",BX371)),ISNUMBER(SEARCH("TropicalSwamp",BX371))),40,IF(OR(ISNUMBER(SEARCH("TemperateForest",BX371)),ISNUMBER(SEARCH("TemperateSwamp",BX371))),35,IF(OR(ISNUMBER(SEARCH("Alpine",BX371)),ISNUMBER(SEARCH("BorealForest",BX371)),ISNUMBER(SEARCH("ColdBog",BX371))),30,IF(ISNUMBER(OR(ISNUMBER(SEARCH("GlacialPlain",BX371)),SEARCH("Tundra",BX371))),25,IF(OR(ISNUMBER(SEARCH("SeaIce",BX371)),ISNUMBER(SEARCH("IceSheet",BX371)),ISNUMBER(SEARCH("TropicalSwamp",BX371))),10,35)))))))+_xlfn.XLOOKUP(B371,'Base stats'!B:B,'Base stats'!Q:Q)</f>
        <v>35</v>
      </c>
      <c r="N371" s="8" t="str">
        <f>IF(
_xlfn.XLOOKUP(
_xlfn.XLOOKUP(B371,'Base stats'!B:B,'Base stats'!E:E),
Groups!A:A,
Groups!L:L
)=1,
MIN(
MROUND(
IF(
_xlfn.XLOOKUP(B371,'Animals CE'!B:B,'Animals CE'!Z:Z)&lt;=1.5,
_xlfn.XLOOKUP(B371,'Animals CE'!B:B,'Animals CE'!Z:Z)/2+0.05,
0.8+
(_xlfn.XLOOKUP(B371,'Animals CE'!B:B,'Animals CE'!Z:Z)-1.5)
*0.02
),
0.05
),
200%
),
"No"
)</f>
        <v>No</v>
      </c>
      <c r="O371" s="8" t="str">
        <f>IF(
_xlfn.XLOOKUP(
_xlfn.XLOOKUP(B371,'Base stats'!B:B,'Base stats'!E:E),
Groups!A:A,
Groups!L:L
)=1,
MIN(
MROUND(
IF(
_xlfn.XLOOKUP(B371,'Animals CE'!B:B,'Animals CE'!AA:AA)&lt;=1.5,
_xlfn.XLOOKUP(B371,'Animals CE'!B:B,'Animals CE'!AA:AA)/2+0.05,
0.8+
(_xlfn.XLOOKUP(B371,'Animals CE'!B:B,'Animals CE'!AA:AA)-1.5)
*0.02
),
0.05
),
200%
),
"No"
)</f>
        <v>No</v>
      </c>
      <c r="P371" s="2" t="str">
        <f>_xlfn.XLOOKUP(B371,'Base stats'!B:B,'Base stats'!R:R)</f>
        <v>Standard</v>
      </c>
      <c r="Q371" s="13">
        <f>MROUND((LOG10(_xlfn.XLOOKUP(B371,'Base stats'!B:B,'Base stats'!AR:AR))*(AO371^0.5)+(_xlfn.XLOOKUP(B371,'Base stats'!B:B,'Base stats'!AR:AR)/1000)^(2/3)+_xlfn.XLOOKUP(B371,'Base stats'!B:B,'Base stats'!BA:BA)/2)+0.5,0.5)</f>
        <v>7.5</v>
      </c>
      <c r="R371" s="7">
        <f>IF(Q371="No","No",MAX(1,MROUND(_xlfn.XLOOKUP(B371,'Base stats'!B:B,'Base stats'!C:C)^0.165,0.05)))</f>
        <v>2.1</v>
      </c>
      <c r="S371" s="13" t="str">
        <f>IF(_xlfn.XLOOKUP(_xlfn.XLOOKUP(B371,'Base stats'!B:B,'Base stats'!E:E),Groups!A:A,Groups!P:P)=0,"No",MROUND((LOG10(_xlfn.XLOOKUP(B371,'Base stats'!B:B,'Base stats'!AS:AS))*(AO371^0.5)+(_xlfn.XLOOKUP(B371,'Base stats'!B:B,'Base stats'!AS:AS)/1000)^(2/3)+_xlfn.XLOOKUP(B371,'Base stats'!B:B,'Base stats'!BA:BA))+_xlfn.XLOOKUP(B371,'Base stats'!B:B,'Base stats'!AY:AY)+0.5,0.5))</f>
        <v>No</v>
      </c>
      <c r="T371" s="7" t="str">
        <f>IF(S371="No","No",MAX(_xlfn.XLOOKUP(_xlfn.XLOOKUP(B371,'Base stats'!B:B,'Base stats'!E:E),Groups!A:A,Groups!Q:Q),MROUND(_xlfn.XLOOKUP(_xlfn.XLOOKUP(B371,'Base stats'!B:B,'Base stats'!E:E),Groups!A:A,Groups!Q:Q)*_xlfn.XLOOKUP(B371,'Base stats'!B:B,'Base stats'!C:C)^0.165,0.05)))</f>
        <v>No</v>
      </c>
      <c r="U371" s="7" t="str">
        <f>IF(S371="No","No",_xlfn.XLOOKUP(_xlfn.XLOOKUP(B371,'Base stats'!B:B,'Base stats'!E:E),Groups!A:A,Groups!R:R))</f>
        <v>No</v>
      </c>
      <c r="V371" s="7" t="str">
        <f>IF(S371="No","No",_xlfn.XLOOKUP(_xlfn.XLOOKUP(B371,'Base stats'!B:B,'Base stats'!E:E),Groups!A:A,Groups!S:S))</f>
        <v>No</v>
      </c>
      <c r="W371" s="7" t="str">
        <f>IF(S371="No","No",_xlfn.XLOOKUP(_xlfn.XLOOKUP(B371,'Base stats'!B:B,'Base stats'!E:E),Groups!A:A,Groups!T:T))</f>
        <v>No</v>
      </c>
      <c r="X371" s="13">
        <f>IF(_xlfn.XLOOKUP(B371,'Base stats'!B:B,'Base stats'!W:W)="No","No",MROUND((LOG10(_xlfn.XLOOKUP(B371,'Base stats'!B:B,'Base stats'!AU:AU))*(AO371^0.5)+(_xlfn.XLOOKUP(B371,'Base stats'!B:B,'Base stats'!AU:AU)/1000)^(2/3)+_xlfn.XLOOKUP(B371,'Base stats'!B:B,'Base stats'!AZ:AZ))+0.5+IF(_xlfn.XLOOKUP(_xlfn.XLOOKUP(B371,'Base stats'!B:B,'Base stats'!E:E),Groups!A:A,Groups!U:U)&lt;&gt;3,_xlfn.XLOOKUP(B371,'Base stats'!B:B,'Base stats'!BA:BA),0),0.5))</f>
        <v>13.5</v>
      </c>
      <c r="Y371" s="7">
        <f>IF(X371="No","No",MAX(_xlfn.XLOOKUP(_xlfn.XLOOKUP(B371,'Base stats'!B:B,'Base stats'!E:E),Groups!A:A,Groups!V:V),MROUND(_xlfn.XLOOKUP(_xlfn.XLOOKUP(B371,'Base stats'!B:B,'Base stats'!E:E),Groups!A:A,Groups!V:V)*_xlfn.XLOOKUP(B371,'Base stats'!B:B,'Base stats'!C:C)^0.165,0.05)))</f>
        <v>1.75</v>
      </c>
      <c r="Z371" s="7" t="str">
        <f>IF(X371="No","No",_xlfn.XLOOKUP(_xlfn.XLOOKUP(B371,'Base stats'!B:B,'Base stats'!E:E),Groups!A:A,Groups!W:W))</f>
        <v>HeadAttackTool</v>
      </c>
      <c r="AA371" s="7" t="str">
        <f>IF(X371="No","No",_xlfn.XLOOKUP(_xlfn.XLOOKUP(B371,'Base stats'!B:B,'Base stats'!E:E),Groups!A:A,Groups!X:X))</f>
        <v>head</v>
      </c>
      <c r="AB371" s="7" t="str">
        <f>IF(X371="No","No",_xlfn.XLOOKUP(_xlfn.XLOOKUP(B371,'Base stats'!B:B,'Base stats'!E:E),Groups!A:A,Groups!Y:Y))</f>
        <v>Blunt</v>
      </c>
      <c r="AC371" s="7" t="str">
        <f>_xlfn.XLOOKUP(Animals!B371,'Base stats'!B:B,'Base stats'!X:X)</f>
        <v>False</v>
      </c>
      <c r="AD371" s="13">
        <f>IF(_xlfn.XLOOKUP(B371,'Base stats'!B:B,'Base stats'!AT:AT)="No","No",MROUND((LOG10(_xlfn.XLOOKUP(B371,'Base stats'!B:B,'Base stats'!AT:AT))*(AO371^0.75)+(_xlfn.XLOOKUP(B371,'Base stats'!B:B,'Base stats'!AT:AT)/1000)^(2/3)+_xlfn.XLOOKUP(B371,'Base stats'!B:B,'Base stats'!AX:AX)+_xlfn.XLOOKUP(B371,'Base stats'!B:B,'Base stats'!BA:BA))+0.5,0.5))</f>
        <v>9.5</v>
      </c>
      <c r="AE371" s="7">
        <f>IF(AD371="No","No",MAX(_xlfn.XLOOKUP(_xlfn.XLOOKUP(B371,'Base stats'!B:B,'Base stats'!E:E),Groups!A:A,Groups!Z:Z),MROUND(_xlfn.XLOOKUP(_xlfn.XLOOKUP(B371,'Base stats'!B:B,'Base stats'!E:E),Groups!A:A,Groups!Z:Z)*_xlfn.XLOOKUP(B371,'Base stats'!B:B,'Base stats'!C:C)^0.165,0.05)))</f>
        <v>1.75</v>
      </c>
      <c r="AF371" s="7" t="str">
        <f>IF(AD371="No","No",_xlfn.XLOOKUP(_xlfn.XLOOKUP(B371,'Base stats'!B:B,'Base stats'!E:E),Groups!A:A,Groups!AA:AA))</f>
        <v>Teeth</v>
      </c>
      <c r="AG371" s="7" t="str">
        <f>IF(AD371="No","No",_xlfn.XLOOKUP(_xlfn.XLOOKUP(B371,'Base stats'!B:B,'Base stats'!E:E),Groups!A:A,Groups!AB:AB))</f>
        <v>teeth</v>
      </c>
      <c r="AH371" s="7" t="str">
        <f>IF(AD371="No","No",_xlfn.XLOOKUP(_xlfn.XLOOKUP(B371,'Base stats'!B:B,'Base stats'!E:E),Groups!A:A,Groups!AC:AC))</f>
        <v>Bite</v>
      </c>
      <c r="AI371" s="13" t="str">
        <f>IF(_xlfn.XLOOKUP(_xlfn.XLOOKUP(B371,'Base stats'!B:B,'Base stats'!E:E),Groups!A:A,Groups!AD:AD)=0,"No",MROUND((LOG10(_xlfn.XLOOKUP(B371,'Base stats'!B:B,'Base stats'!AS:AS))*(AO371^0.75)+(_xlfn.XLOOKUP(B371,'Base stats'!B:B,'Base stats'!AS:AS)/1000)^(2/3)+_xlfn.XLOOKUP(B371,'Base stats'!B:B,'Base stats'!AY:AY)+_xlfn.XLOOKUP(B371,'Base stats'!B:B,'Base stats'!BA:BA))+0.5,0.5))</f>
        <v>No</v>
      </c>
      <c r="AJ371" s="7" t="str">
        <f>IF(AI371="No","No",MAX(_xlfn.XLOOKUP(_xlfn.XLOOKUP(B371,'Base stats'!B:B,'Base stats'!E:E),Groups!A:A,Groups!AE:AE),MROUND(_xlfn.XLOOKUP(_xlfn.XLOOKUP(B371,'Base stats'!B:B,'Base stats'!E:E),Groups!A:A,Groups!AE:AE)*IF(_xlfn.XLOOKUP(_xlfn.XLOOKUP(B371,'Base stats'!B:B,'Base stats'!E:E),Groups!A:A,Groups!AJ:AJ)="Photonozoa",0.6,1)*_xlfn.XLOOKUP(B371,'Base stats'!B:B,'Base stats'!C:C)^0.165,0.05)))</f>
        <v>No</v>
      </c>
      <c r="AK371" s="7" t="str">
        <f>IF(AI371="No","No",_xlfn.XLOOKUP(_xlfn.XLOOKUP(B371,'Base stats'!B:B,'Base stats'!E:E),Groups!A:A,Groups!AF:AF))</f>
        <v>No</v>
      </c>
      <c r="AL371" s="7" t="str">
        <f>IF(AI371="No","No",_xlfn.XLOOKUP(_xlfn.XLOOKUP(B371,'Base stats'!B:B,'Base stats'!E:E),Groups!A:A,Groups!AG:AG))</f>
        <v>No</v>
      </c>
      <c r="AM371" s="7" t="str">
        <f>IF(AI371="No","No",_xlfn.XLOOKUP(_xlfn.XLOOKUP(B371,'Base stats'!B:B,'Base stats'!E:E),Groups!A:A,Groups!AH:AH))</f>
        <v>No</v>
      </c>
      <c r="AN371" s="2" t="str">
        <f t="shared" si="35"/>
        <v>No</v>
      </c>
      <c r="AO371" s="2">
        <f>MROUND(IF(AND(_xlfn.XLOOKUP(B371,'Base stats'!B:B,'Base stats'!C:C)&gt;=0.5,_xlfn.XLOOKUP(B371,'Base stats'!B:B,'Base stats'!C:C)&lt;=0.8),
IF(_xlfn.XLOOKUP(B371,'Base stats'!B:B,'Base stats'!C:C)&lt;0.1,0.05,IF(_xlfn.XLOOKUP(B371,'Base stats'!B:B,'Base stats'!C:C)&lt;=70,(_xlfn.XLOOKUP(B371,'Base stats'!B:B,'Base stats'!C:C)/70)^0.426489913056526,IF(_xlfn.XLOOKUP(B371,'Base stats'!B:B,'Base stats'!C:C)&lt;=400,(_xlfn.XLOOKUP(B371,'Base stats'!B:B,'Base stats'!C:C)/70)^0.572811455315093,IF(_xlfn.XLOOKUP(B371,'Base stats'!B:B,'Base stats'!C:C)&lt;=2000,2.71391647193063*(_xlfn.XLOOKUP(B371,'Base stats'!B:B,'Base stats'!C:C)/400)^0.252459582904293,3.74314280240376*(_xlfn.XLOOKUP(B371,'Base stats'!B:B,'Base stats'!C:C)/2000)^0.357012633876913)))),
IF(_xlfn.XLOOKUP(B371,'Base stats'!B:B,'Base stats'!C:C)&lt;0.1,0.05,IF(_xlfn.XLOOKUP(B371,'Base stats'!B:B,'Base stats'!C:C)&lt;0.4,0.1,IF(_xlfn.XLOOKUP(B371,'Base stats'!B:B,'Base stats'!C:C)&lt;=70,(_xlfn.XLOOKUP(B371,'Base stats'!B:B,'Base stats'!C:C)/70)^0.445823913056526,IF(_xlfn.XLOOKUP(B371,'Base stats'!B:B,'Base stats'!C:C)&lt;=400,(_xlfn.XLOOKUP(B371,'Base stats'!B:B,'Base stats'!C:C)/70)^0.572811455315093,IF(_xlfn.XLOOKUP(B371,'Base stats'!B:B,'Base stats'!C:C)&lt;=2000,2.71391647193063*(_xlfn.XLOOKUP(B371,'Base stats'!B:B,'Base stats'!C:C)/400)^0.252459582904293,3.74314280240376*(_xlfn.XLOOKUP(B371,'Base stats'!B:B,'Base stats'!C:C)/2000)^0.357012633876913)))))),
IF(_xlfn.XLOOKUP(B371,'Base stats'!B:B,'Base stats'!C:C)&lt;0.1,0.05,IF(_xlfn.XLOOKUP(B371,'Base stats'!B:B,'Base stats'!C:C)&lt;=100,0.05,IF(_xlfn.XLOOKUP(B371,'Base stats'!B:B,'Base stats'!C:C)&lt;=250,0.1,IF(_xlfn.XLOOKUP(B371,'Base stats'!B:B,'Base stats'!C:C)&lt;=4000,0.25,0.5)))))</f>
        <v>1.1000000000000001</v>
      </c>
      <c r="AP371" s="8">
        <f>MROUND(AO371*_xlfn.XLOOKUP(_xlfn.XLOOKUP(B371,'Base stats'!B:B,'Base stats'!E:E),Groups!A:A,Groups!AI:AI)*_xlfn.XLOOKUP(B371,'Base stats'!B:B,'Base stats'!Z:Z),0.05)</f>
        <v>1.1000000000000001</v>
      </c>
      <c r="AQ371" s="8">
        <f>MAX(0.01,MROUND(IF(CC371="True",0.196*(AO371*100*1000)^0.889,IF(_xlfn.XLOOKUP(_xlfn.XLOOKUP(B371,'Base stats'!B:B,'Base stats'!E:E),Groups!A:A,Groups!AJ:AJ)="Bird",10.5*(AO371*100*1000)^0.681,4.82*(AO371*100*1000)^0.734))/(4.82*(1*100*1000)^0.734)/IF(AO371&lt;3.5,2,IF(AO371=3.5,1.5,1.25))*(1+0.132282374779864/(AO371^0.994035016789033+0.00905238001496948)),0.05))</f>
        <v>0.70000000000000007</v>
      </c>
      <c r="AR371" s="9">
        <f>IFERROR(MROUND(_xlfn.XLOOKUP(B371,'Base stats'!B:B,'Base stats'!H:H)/IF(_xlfn.XLOOKUP(B371,'Base stats'!B:B,'Base stats'!I:I)&lt;&gt;1,(122.5/70),1.2),IF(_xlfn.XLOOKUP(B371,'Base stats'!B:B,'Base stats'!H:H)&gt;=30,5,IF(_xlfn.XLOOKUP(B371,'Base stats'!B:B,'Base stats'!H:H)&gt;=15,3,IF(_xlfn.XLOOKUP(B371,'Base stats'!B:B,'Base stats'!H:H)&gt;=10,2,1)))),"Immortal")</f>
        <v>12</v>
      </c>
      <c r="AS371" s="35" t="str">
        <f>IFERROR(IF(OR(_xlfn.XLOOKUP(B371,'Base stats'!B:B,'Base stats'!F:F)="Atypical reproduction",_xlfn.XLOOKUP(B371,'Base stats'!B:B,'Base stats'!F:F)="Lay eggs"),"Lay eggs",MIN(20,MAX(5.5,ROUND(((_xlfn.XLOOKUP(B371,'Base stats'!B:B,'Base stats'!F:F)-25)*(14.5/615) + 5.5)*2,0)/2))),"Unknown")</f>
        <v>Lay eggs</v>
      </c>
      <c r="AT371" s="8">
        <f>IF(_xlfn.XLOOKUP(B371,'Base stats'!B:B,'Base stats'!G:G)="Atypical reproduction","No",IFERROR(MAX(IF(_xlfn.XLOOKUP(B371,'Base stats'!B:B,'Base stats'!G:G)&lt;0.5,0.2,0.3),MROUND(_xlfn.XLOOKUP(B371,'Base stats'!B:B,'Base stats'!G:G)/(365/60),0.2)),"Unknown"))</f>
        <v>0.4</v>
      </c>
      <c r="AU371" s="8">
        <f t="shared" si="36"/>
        <v>0.2</v>
      </c>
      <c r="AV371" s="8" t="str">
        <f>IFERROR(IFERROR(MROUND(_xlfn.XLOOKUP(B371,'Base stats'!B:B,'Base stats'!J:J),0.1),"Lay eggs"),"Cannot breed")</f>
        <v>Lay eggs</v>
      </c>
      <c r="AW371" s="2" t="str">
        <f t="shared" si="37"/>
        <v>true</v>
      </c>
      <c r="AX371" s="2" t="str">
        <f>IF(_xlfn.XLOOKUP(_xlfn.XLOOKUP(Animals!B371,'Base stats'!B:B,'Base stats'!E:E),Groups!A:A,Groups!AK:AK)=1,"true","false")</f>
        <v>true</v>
      </c>
      <c r="AY371" s="25" t="str">
        <f>IF(_xlfn.XLOOKUP(B371,'Base stats'!B:B,'Base stats'!Y:Y)="Liquor","Liquor, CarnivoreAnimalStrict",IF(AND(_xlfn.XLOOKUP(B371,'Base stats'!B:B,'Base stats'!Y:Y)="Carnivore",_xlfn.XLOOKUP(_xlfn.XLOOKUP(B371,'Base stats'!B:B,'Base stats'!E:E),Groups!A:A,Groups!AJ:AJ)="Photonozoa"),"CarnivoreAnimalStrict, OvivoreAnimal",IF(_xlfn.XLOOKUP(B371,'Base stats'!B:B,'Base stats'!Y:Y)="Carnivore","CarnivoreAnimal, OvivoreAnimal",IF(_xlfn.XLOOKUP(B371,'Base stats'!B:B,'Base stats'!Y:Y)="Dendrovore","VegetarianRoughAnimal, DendrovoreAnimal",IF(_xlfn.XLOOKUP(B371,'Base stats'!B:B,'Base stats'!Y:Y)="Herbivore","VegetarianRoughAnimal",IF(_xlfn.XLOOKUP(B371,'Base stats'!B:B,'Base stats'!Y:Y)="OmnivoreRough","OmnivoreRoughAnimal, OvivoreAnimal","OmnivoreAnimal, OvivoreAnimal"))))))</f>
        <v>VegetarianRoughAnimal</v>
      </c>
      <c r="AZ371" s="2">
        <f>IF(_xlfn.XLOOKUP(_xlfn.XLOOKUP(B371,'Base stats'!B:B,'Base stats'!E:E),Groups!A:A,Groups!D:D)=1,MROUND((1-J371)*5+1,2)*IF(J371&lt;=0.4,2,1),"No")</f>
        <v>4</v>
      </c>
      <c r="BA371" s="2" t="str">
        <f>IF(AND(_xlfn.XLOOKUP(B371,'Base stats'!B:B,'Base stats'!AH:AH)="&lt;li&gt;Seal&lt;/li&gt;",G371="Odyssey"),"&lt;li&gt;AEXP_Seal&lt;/li&gt;",_xlfn.XLOOKUP(B371,'Base stats'!B:B,'Base stats'!AH:AH))</f>
        <v>No</v>
      </c>
      <c r="BB371" s="2" t="str">
        <f>_xlfn.XLOOKUP(B371,'Base stats'!B:B,'Base stats'!AG:AG)</f>
        <v>Leather_DinosaurSkin</v>
      </c>
      <c r="BC371" s="23" t="str">
        <f>_xlfn.XLOOKUP(_xlfn.XLOOKUP(B371,'Base stats'!B:B,'Base stats'!E:E),Groups!A:A,Groups!AL:AL)</f>
        <v>Theropod</v>
      </c>
      <c r="BD371" s="23">
        <f>MIN(1,MROUND(IF(AND(AO371&lt;0.5,_xlfn.XLOOKUP(B371,'Base stats'!B:B,'Base stats'!AA:AA)=0),0,IF(OR(_xlfn.XLOOKUP(Animals!B371,'Base stats'!B:B,'Base stats'!O:O)=2,_xlfn.XLOOKUP(_xlfn.XLOOKUP(B371,'Base stats'!B:B,'Base stats'!E:E),Groups!A:A,Groups!AN:AN)=0),0,_xlfn.XLOOKUP(_xlfn.XLOOKUP(B371,'Base stats'!B:B,'Base stats'!E:E),Groups!A:A,Groups!AN:AN)/IF(_xlfn.XLOOKUP(Animals!B371,'Base stats'!B:B,'Base stats'!O:O)=1,2,1)))+_xlfn.XLOOKUP(B371,'Base stats'!B:B,'Base stats'!AC:AC),0.005))</f>
        <v>0.1</v>
      </c>
      <c r="BE371" s="23">
        <f>MIN(1,MROUND(IF(AND(AO371&lt;0.5,_xlfn.XLOOKUP(B371,'Base stats'!B:B,'Base stats'!AA:AA)=0),0,IF(_xlfn.XLOOKUP(_xlfn.XLOOKUP(B371,'Base stats'!B:B,'Base stats'!E:E),Groups!A:A,Groups!AO:AO)=0,0,_xlfn.XLOOKUP(_xlfn.XLOOKUP(B371,'Base stats'!B:B,'Base stats'!E:E),Groups!A:A,Groups!AO:AO)/IF(_xlfn.XLOOKUP(Animals!B371,'Base stats'!B:B,'Base stats'!O:O)=2,3,1)))+_xlfn.XLOOKUP(B371,'Base stats'!B:B,'Base stats'!AD:AD),0.005))</f>
        <v>0.3</v>
      </c>
      <c r="BF371" s="2" t="str">
        <f>IF(J371&gt;0.3,"No",_xlfn.XLOOKUP(_xlfn.XLOOKUP(Animals!B371,'Base stats'!B:B,'Base stats'!E:E),Groups!A:A,Groups!AP:AP))</f>
        <v>No</v>
      </c>
      <c r="BG371" s="2" t="str">
        <f>IF(AND(J371&lt;=0.65,_xlfn.XLOOKUP(_xlfn.XLOOKUP(Animals!B371,'Base stats'!B:B,'Base stats'!E:E),Groups!A:A,Groups!AP:AP)&lt;&gt;"No",_xlfn.XLOOKUP(_xlfn.XLOOKUP(B371,'Base stats'!B:B,'Base stats'!E:E),Groups!A:A,Groups!D:D)=0),MROUND((80/3)*IF(_xlfn.XLOOKUP(B371,'Base stats'!B:B,'Base stats'!O:O)=2,0.2,AO371) + 24*(1-IF(BF371="No",0,BF371)) + 16/3, 12),"No")</f>
        <v>No</v>
      </c>
      <c r="BH371" s="2">
        <f>IF(AND(_xlfn.XLOOKUP(_xlfn.XLOOKUP(B371,'Base stats'!B:B,'Base stats'!E:E),Groups!A:A,Groups!AQ:AQ)=1,AO371&lt;=0.35),8,12)</f>
        <v>12</v>
      </c>
      <c r="BI371" s="2" t="str">
        <f>IF(_xlfn.XLOOKUP(_xlfn.XLOOKUP(B371,'Base stats'!B:B,'Base stats'!E:E),Groups!A:A,Groups!D:D)=0,_xlfn.XLOOKUP(_xlfn.XLOOKUP(B371,'Base stats'!B:B,'Base stats'!E:E),Groups!A:A,Groups!AR:AR),"None")</f>
        <v>None</v>
      </c>
      <c r="BJ371" s="2" t="str">
        <f>IF(AND(_xlfn.XLOOKUP(_xlfn.XLOOKUP(B371,'Base stats'!B:B,'Base stats'!E:E),Groups!A:A,Groups!AS:AS)=1,OR(_xlfn.XLOOKUP(B371,'Base stats'!B:B,'Base stats'!Y:Y)="Carnivore",_xlfn.XLOOKUP(B371,'Base stats'!B:B,'Base stats'!Y:Y)="Omnivore")),"true","false")</f>
        <v>false</v>
      </c>
      <c r="BK371" s="2" t="str">
        <f>IF(BJ371="true",MROUND(IF(AND(AO371&gt;0.5,OR(_xlfn.XLOOKUP(_xlfn.XLOOKUP(B371,'Base stats'!B:B,'Base stats'!E:E),Groups!A:A,Groups!AJ:AJ)="Photonozoa",_xlfn.XLOOKUP(_xlfn.XLOOKUP(B371,'Base stats'!B:B,'Base stats'!E:E),Groups!A:A,Groups!AJ:AJ)="Mammal")),Animals!AO371*1.75*IF(AW371="true",1.5,1),IF(AO371&lt;0.5,Animals!AO371*0.5,Animals!AO371)),IF(AO371&gt;2,0.5,IF(AO371&gt;0.5,0.25,0.1))),"No")</f>
        <v>No</v>
      </c>
      <c r="BL371" s="2">
        <f t="shared" si="38"/>
        <v>0</v>
      </c>
      <c r="BM371" s="25" t="str">
        <f>IF(_xlfn.XLOOKUP(B371,'Base stats'!B:B,'Base stats'!AN:AN)="Standard","No",MROUND((_xlfn.XLOOKUP(B371,'Base stats'!B:B,'Base stats'!AN:AN)/3.6)/I371,0.1))</f>
        <v>No</v>
      </c>
      <c r="BN371" s="25" t="str">
        <f t="shared" si="39"/>
        <v>false</v>
      </c>
      <c r="BO371" s="25" t="str">
        <f>IF(AND(OR(_xlfn.XLOOKUP(B371,'Base stats'!B:B,'Base stats'!Y:Y)="Carnivore",_xlfn.XLOOKUP(B371,'Base stats'!B:B,'Base stats'!Y:Y)="Omnivore",_xlfn.XLOOKUP(B371,'Base stats'!B:B,'Base stats'!Y:Y)="OmnivoreRough"),_xlfn.XLOOKUP(_xlfn.XLOOKUP(B371,'Base stats'!B:B,'Base stats'!E:E),Groups!A:A,Groups!AT:AT)=1),"true","false")</f>
        <v>false</v>
      </c>
      <c r="BP371" s="25" t="str" cm="1">
        <f t="array" ref="BP371">IF(
  _xlfn.TEXTJOIN(", ",TRUE,
    IF(AND(BJ371="true",AO371&gt;0.5,BI371&lt;&gt;"None"),"AttackTarget",""),
    IF(AND(_xlfn.XLOOKUP(_xlfn.XLOOKUP(B371,'Base stats'!B:B,'Base stats'!E:E),Groups!A:A,Groups!AJ:AJ="Mammal"),OR(_xlfn.XLOOKUP(B371,'Base stats'!B:B,'Base stats'!Y:Y)="Omnivore",_xlfn.XLOOKUP(B371,'Base stats'!B:B,'Base stats'!Y:Y)="OmnivoreRough")),"Forage",""),
    IF(BG371&lt;=36,"Comfort",""),
    IF(_xlfn.XLOOKUP(B371,'Base stats'!B:B,'Base stats'!AE:AE)&lt;&gt;"No",_xlfn.XLOOKUP(B371,'Base stats'!B:B,'Base stats'!AE:AE),"")
  ) = "",
  "No",
  _xlfn.TEXTJOIN(", ",TRUE,
    IF(AND(BJ371="true",AO371&gt;0.5,BI371&lt;&gt;"None"),"AttackTarget",""),
    IF(AND(_xlfn.XLOOKUP(_xlfn.XLOOKUP(B371,'Base stats'!B:B,'Base stats'!E:E),Groups!A:A,Groups!AJ:AJ="Mammal"),OR(_xlfn.XLOOKUP(B371,'Base stats'!B:B,'Base stats'!Y:Y)="Omnivore",_xlfn.XLOOKUP(B371,'Base stats'!B:B,'Base stats'!Y:Y)="OmnivoreRough")),"Forage",""),
    IF(BG371&lt;=36,"Comfort",""),
    IF(_xlfn.XLOOKUP(B371,'Base stats'!B:B,'Base stats'!AE:AE)&lt;&gt;"No",_xlfn.XLOOKUP(B371,'Base stats'!B:B,'Base stats'!AE:AE),"")
  )
)</f>
        <v>No</v>
      </c>
      <c r="BQ371" s="25" t="str">
        <f>IF(
   AND(
      'Base stats'!AN371="Standard",_xlfn.XLOOKUP(_xlfn.XLOOKUP(B371,'Base stats'!B:B,'Base stats'!E:E),Groups!A:A,Groups!AU:AU)=0,
      OR(
      BO371="True"
      )
   ),
   10,
   IF(
       OR(BM371&lt;&gt;"No",_xlfn.XLOOKUP(_xlfn.XLOOKUP(B371,'Base stats'!B:B,'Base stats'!E:E),Groups!A:A,Groups!AU:AU)=1),
      1,
      "No"
   )
)</f>
        <v>No</v>
      </c>
      <c r="BR371" s="9">
        <f>MROUND((1 + ((0.2*IF(OR(Q371="No",R371="No",R371=0),0,Q371/R371)
+IF(OR(V371="No",S371="No",T371="No"),0,S371/T371*(LEN(V371)-LEN(SUBSTITUTE(V371,",",""))+1))
+IF(OR(X371="No",Y371="No"),0,X371/Y371)
+IF(OR(AD371="No",AE371="No"),0,AD371/AE371)
+IF(OR(AL371="No",AI371="No",AJ371="No"),0,AI371/AJ371*(LEN(AL371)-LEN(SUBSTITUTE(AL371,",",""))+1))
)/(0.2*IF(OR(Q371="No",R371="No",R371=0),0,1)
+IF(OR(V371="No",S371="No",T371="No"),0,LEN(V371)-LEN(SUBSTITUTE(V371,",",""))+1)
+IF(OR(X371="No",Y371="No"),0,1)
+IF(OR(AD371="No",AE371="No"),0,1)
+IF(OR(AL371="No",AI371="No",AJ371="No"),0,LEN(AL371)-LEN(SUBSTITUTE(AL371,",",""))+1))*62%)* 2)*(1 + (AP371 / (IF(_xlfn.XLOOKUP(_xlfn.XLOOKUP(B371,'Base stats'!B:B,'Base stats'!E:E),Groups!A:A,Groups!AJ:AJ)="Photonozoa",0.3,1)) + _xlfn.XLOOKUP(B371,'Base stats'!B:B,'Base stats'!AV:AV) * 1.8) * 2) * 2.5 + 10 + I371 * 2,5)+IF(_xlfn.XLOOKUP(B371,'Base stats'!B:B,'Base stats'!AK:AK)=1,50,0)</f>
        <v>85</v>
      </c>
      <c r="BS371" s="8">
        <f t="shared" si="40"/>
        <v>0.8</v>
      </c>
      <c r="BT371" s="8" t="str">
        <f>_xlfn.XLOOKUP(B371,'Base stats'!B:B,'Base stats'!AF:AF)</f>
        <v>3~8</v>
      </c>
      <c r="BU371" s="2" t="str">
        <f>IF(AND(J371&lt;=0.95,OR(_xlfn.XLOOKUP(B371,'Base stats'!B:B,'Base stats'!AK:AK)=1,_xlfn.XLOOKUP(B371,'Base stats'!B:B,'Base stats'!Y:Y)="Carnivore",_xlfn.XLOOKUP(B371,'Base stats'!B:B,'Base stats'!Y:Y)="Omnivore",BE371&gt;0.1)),"true","false")</f>
        <v>true</v>
      </c>
      <c r="BV371" s="2" t="str">
        <f>IF(_xlfn.XLOOKUP(B371,'Base stats'!B:B,'Base stats'!AI:AI)=1,"true","false")</f>
        <v>false</v>
      </c>
      <c r="BW371" s="25" t="str">
        <f>IF(E371="BaseInsect","AnimalInsect",
IF(J371&gt;0.95,"AnimalExotic",
_xlfn.TEXTJOIN(", ",TRUE,
IF(OR(_xlfn.XLOOKUP(B371,'Base stats'!B:B,'Base stats'!AM:AM)=1,AND(_xlfn.XLOOKUP(B371,'Base stats'!B:B,'Base stats'!O:O)=0,_xlfn.XLOOKUP(_xlfn.XLOOKUP(B371,'Base stats'!B:B,'Base stats'!E:E),Groups!A:A,Groups!B:B)&gt;0)),"AnimalUncommon","AnimalCommon"),
IF(AND(_xlfn.XLOOKUP(B371,'Base stats'!B:B,'Base stats'!O:O)=2,_xlfn.XLOOKUP(_xlfn.XLOOKUP(B371,'Base stats'!B:B,'Base stats'!E:E),Groups!A:A,Groups!D:D)=0),"AnimalPet",IF(AND(_xlfn.XLOOKUP(B371,'Base stats'!B:B,'Base stats'!O:O)&lt;&gt;0,_xlfn.XLOOKUP(_xlfn.XLOOKUP(B371,'Base stats'!B:B,'Base stats'!E:E),Groups!A:A,Groups!D:D)&lt;&gt;0),"AnimalFarm","")),
IF(OR(_xlfn.XLOOKUP(B371,'Base stats'!B:B,'Base stats'!AK:AK)=1,AND(BI371&lt;&gt;"None",BR371&gt;=60),ISNUMBER(SEARCH("Attack target",BP371))),"AnimalFighter","")
)))</f>
        <v>AnimalUncommon</v>
      </c>
      <c r="BX371" s="25" t="str">
        <f>IF(G371="None",TRIM(
SUBSTITUTE(
IF(COUNTIF(Biomes!B$2:B$259,"="&amp;$C371)&gt;0,Biomes!B$1&amp;", ","")&amp;
IF(COUNTIF(Biomes!C$2:C$259,"="&amp;$C371)&gt;0,Biomes!C$1&amp;", ","")&amp;
IF(COUNTIF(Biomes!D$2:D$259,"="&amp;$C371)&gt;0,Biomes!D$1&amp;", ","")&amp;
IF(COUNTIF(Biomes!F$2:F$259,"="&amp;$C371)&gt;0,Biomes!F$1&amp;", ","")&amp;
IF(COUNTIF(Biomes!G$2:G$259,"="&amp;$C371)&gt;0,Biomes!G$1&amp;", ","")&amp;
IF(COUNTIF(Biomes!H$2:H$259,"="&amp;$C371)&gt;0,Biomes!H$1&amp;", ","")&amp;
IF(COUNTIF(Biomes!I$2:I$259,"="&amp;$C371)&gt;0,Biomes!I$1&amp;", ","")&amp;
IF(COUNTIF(Biomes!J$2:J$259,"="&amp;$C371)&gt;0,Biomes!J$1&amp;", ","")&amp;
IF(COUNTIF(Biomes!M$2:M$259,"="&amp;$C371)&gt;0,Biomes!M$1&amp;", ","")&amp;
IF(COUNTIF(Biomes!N$2:N$259,"="&amp;$C371)&gt;0,Biomes!N$1&amp;", ","")&amp;
IF(COUNTIF(Biomes!O$2:O$259,"="&amp;$C371)&gt;0,Biomes!O$1&amp;", ","")&amp;
IF(COUNTIF(Biomes!P$2:P$259,"="&amp;$C371)&gt;0,Biomes!P$1&amp;", ","")&amp;
IF(COUNTIF(Biomes!K$2:K$259,"="&amp;$C371)&gt;0,Biomes!K$1&amp;", ","")&amp;
IF(COUNTIF(Biomes!Q$3:Q$259,"="&amp;$C371)&gt;0,Biomes!Q$1&amp;", ","")&amp;
IF(COUNTIF(Biomes!L$2:L$259,"="&amp;$C371)&gt;0,Biomes!L$1&amp;", ","")&amp;
IF(COUNTIF(Biomes!E$2:E$259,"="&amp;$C371)&gt;0,Biomes!E$1&amp;", ","")&amp;IF(COUNTIF(Biomes!S$2:S$259,"="&amp;$C371)&gt;0,Biomes!S$1&amp;", ","")&amp;
IF(COUNTIF(Biomes!R$2:R$259,"="&amp;$C371)&gt;0,Biomes!R$1&amp;", ",""),", ","")
),_xlfn.XLOOKUP(B371,B:B,BX:BX))</f>
        <v>TemperateForest TemperateSwamp</v>
      </c>
      <c r="BY371" s="25" t="str">
        <f>IF(_xlfn.XLOOKUP(B371,'Base stats'!B:B,'Base stats'!AJ:AJ)=1,"true","false")</f>
        <v>false</v>
      </c>
      <c r="BZ371" s="25">
        <f>IF(_xlfn.XLOOKUP(B371,'Base stats'!B:B,'Base stats'!N:N)=1,"No",MAX(0.001,MIN(MROUND(IF(AND(BJ371="True",CC371="False"),POWER(10,3.47*LOG10(_xlfn.XLOOKUP(B371,'Base stats'!B:B,'Base stats'!C:C)*1000)^-0.96),POWER(10,4.15*LOG10(_xlfn.XLOOKUP(B371,'Base stats'!B:B,'Base stats'!C:C)*1000)^-0.73))*IF(_xlfn.XLOOKUP(B371,'Base stats'!B:B,'Base stats'!AK:AK)=1,0.5,1)*IF(_xlfn.XLOOKUP(B371,'Base stats'!B:B,'Base stats'!AM:AM)=1,0.1,1)/100,IF(_xlfn.XLOOKUP(B371,'Base stats'!B:B,'Base stats'!AM:AM)=1,0.001,0.025)),0.5)))</f>
        <v>0.2</v>
      </c>
      <c r="CA371" s="25" t="str">
        <f>IF(P371="Standard","No",MAX(0.001,MIN(MROUND(IF(AND(BJ371="True",CC371="False"),POWER(10,3.47*LOG10(_xlfn.XLOOKUP(B371,'Base stats'!B:B,'Base stats'!C:C)*1000)^-0.96),POWER(10,4.15*LOG10(_xlfn.XLOOKUP(B371,'Base stats'!B:B,'Base stats'!C:C)*1000)^-0.73))*IF(_xlfn.XLOOKUP(B371,'Base stats'!B:B,'Base stats'!AM:AM)=1,0.1,1)*_xlfn.XLOOKUP(B371,'Base stats'!B:B,'Base stats'!R:R)/100,IF(_xlfn.XLOOKUP(B371,'Base stats'!B:B,'Base stats'!AM:AM)=1,0.001,0.025)),0.5)))</f>
        <v>No</v>
      </c>
      <c r="CB371" s="25" t="str">
        <f>IF(_xlfn.XLOOKUP(_xlfn.XLOOKUP(B371,'Base stats'!B:B,'Base stats'!E:E),Groups!A:A,Groups!AJ:AJ)="Mammal","True","False")</f>
        <v>False</v>
      </c>
      <c r="CC371" s="25" t="str">
        <f>IF(OR(_xlfn.XLOOKUP(_xlfn.XLOOKUP(B371,'Base stats'!B:B,'Base stats'!E:E),Groups!A:A,Groups!AJ:AJ)="Reptile",_xlfn.XLOOKUP(_xlfn.XLOOKUP(B371,'Base stats'!B:B,'Base stats'!E:E),Groups!A:A,Groups!AJ:AJ)="Amphibian",_xlfn.XLOOKUP(_xlfn.XLOOKUP(B371,'Base stats'!B:B,'Base stats'!E:E),Groups!A:A,Groups!AJ:AJ)="Invertebrate"),"True","False")</f>
        <v>False</v>
      </c>
      <c r="CD371" s="25" t="str">
        <f t="shared" si="41"/>
        <v>False</v>
      </c>
      <c r="CE371" s="25" t="str">
        <f>IF(_xlfn.XLOOKUP(_xlfn.XLOOKUP(B371,'Base stats'!B:B,'Base stats'!E:E),Groups!A:A,Groups!AX:AX),"True","False")</f>
        <v>False</v>
      </c>
      <c r="CF371" s="25" t="str">
        <f>IF(_xlfn.XLOOKUP(_xlfn.XLOOKUP(B371,'Base stats'!B:B,'Base stats'!E:E),Groups!A:A,Groups!AY:AY),"True","False")</f>
        <v>False</v>
      </c>
      <c r="CG371" s="25" t="str">
        <f>IF(_xlfn.XLOOKUP(_xlfn.XLOOKUP(B371,'Base stats'!B:B,'Base stats'!E:E),Groups!A:A,Groups!AW:AW),"True","False")</f>
        <v>False</v>
      </c>
      <c r="CH371" s="25" t="str">
        <f>IF(
OR(
_xlfn.XLOOKUP(_xlfn.XLOOKUP(B371,'Base stats'!B:B,'Base stats'!E:E),Groups!A:A,Groups!AZ:AZ)=0,
AND(
_xlfn.XLOOKUP(B371,'Base stats'!B:B,'Base stats'!Y:Y)&lt;&gt;"Carnivore",
_xlfn.XLOOKUP(B371,'Base stats'!B:B,'Base stats'!Y:Y)&lt;&gt;"Omnivore",
_xlfn.XLOOKUP(B371,'Base stats'!B:B,'Base stats'!Y:Y)&lt;&gt;"OmnivoreRough"
)
),
"No",
IF(
_xlfn.XLOOKUP(_xlfn.XLOOKUP(B371,'Base stats'!B:B,'Base stats'!E:E),Groups!A:A,Groups!AZ:AZ)=1,
"Flesh",
IF(
_xlfn.XLOOKUP(_xlfn.XLOOKUP(B371,'Base stats'!B:B,'Base stats'!E:E),Groups!A:A,Groups!AZ:AZ)=2,
"Bone",
""
)
)
)</f>
        <v>No</v>
      </c>
      <c r="CI371" s="25" t="str">
        <f>IF(_xlfn.XLOOKUP(_xlfn.XLOOKUP(B371,'Base stats'!B:B,'Base stats'!E:E),Groups!A:A,Groups!BB:BB),"True","False")</f>
        <v>False</v>
      </c>
      <c r="CJ371" s="25" t="str">
        <f>IF(_xlfn.XLOOKUP(_xlfn.XLOOKUP(B371,'Base stats'!B:B,'Base stats'!E:E),Groups!A:A,Groups!BA:BA),"True","False")</f>
        <v>False</v>
      </c>
    </row>
    <row r="372" spans="1:88" ht="16.5" thickTop="1" thickBot="1" x14ac:dyDescent="0.3">
      <c r="A372" s="26" t="s">
        <v>1979</v>
      </c>
      <c r="B372" s="6" t="str">
        <f>_xlfn.XLOOKUP(A372,'Base stats'!A:A,'Base stats'!B:B)</f>
        <v>Dryosaurus altus</v>
      </c>
      <c r="C372" s="28" t="s">
        <v>2046</v>
      </c>
      <c r="D372" s="28" t="s">
        <v>1898</v>
      </c>
      <c r="E372" s="28" t="s">
        <v>673</v>
      </c>
      <c r="F372" s="28" t="s">
        <v>673</v>
      </c>
      <c r="G372" s="28" t="s">
        <v>673</v>
      </c>
      <c r="H372" s="2">
        <f>MROUND((
  (IF(AND(_xlfn.XLOOKUP(B372,'Base stats'!B:B,'Base stats'!AL:AL)=0,BI372="None",_xlfn.XLOOKUP(_xlfn.XLOOKUP(B372,'Base stats'!B:B,'Base stats'!E:E),Groups!A:A,Groups!B:B)=0), (18 + BR372 * 2.7) * 0.5,
    IF(AND(_xlfn.XLOOKUP(B372,'Base stats'!B:B,'Base stats'!AL:AL)=0,OR(AO372&lt;0.55,AND(BI372="Intermediate",_xlfn.XLOOKUP(_xlfn.XLOOKUP(B372,'Base stats'!B:B,'Base stats'!E:E),Groups!A:A,Groups!B:B)&lt;2))), (18 + BR372 * 2.7),
      IF(OR(BI372="Advanced",_xlfn.XLOOKUP(B372,'Base stats'!B:B,'Base stats'!AL:AL)=1,_xlfn.XLOOKUP(_xlfn.XLOOKUP(B372,'Base stats'!B:B,'Base stats'!E:E),Groups!A:A,Groups!B:B)=2), (18 + BR372 * 2.7) + 250, (18 + BR372 * 2.7))
    )
  ))
  + AO372 * 80
  + IF(COUNTIF(EggMilk!K$2:K$998, A372) &gt; 0, 125, 0)
  + IF(COUNTIF(EggMilk!P$2:P$998, A372) &gt; 0, 90, 0)
  + IF(COUNTIF(EggMilk!A$2:A$998, A372) &gt; 0, 90, 0)
)
* (0.8 + 0.4 * J372)
* 0.75,25)</f>
        <v>500</v>
      </c>
      <c r="I372" s="2">
        <f>MROUND(ROUNDDOWN(_xlfn.XLOOKUP(B372,'Base stats'!B:B,'Base stats'!L:L)/3.6/(23.3/11),1),0.5)</f>
        <v>5</v>
      </c>
      <c r="J372" s="2">
        <f>IF(OR(_xlfn.XLOOKUP(B372,'Base stats'!B:B,'Base stats'!AB:AB)=1,_xlfn.XLOOKUP(_xlfn.XLOOKUP(B372,'Base stats'!B:B,'Base stats'!E:E),Groups!A:A,Groups!C:C)="Untamable"),1,IF(_xlfn.XLOOKUP(B372,'Base stats'!B:B,'Base stats'!AL:AL)=1,0.99,MIN(MROUND((1-0.6282*EXP(-0.459*AO372))*_xlfn.XLOOKUP(_xlfn.XLOOKUP(B372,'Base stats'!B:B,'Base stats'!E:E),Groups!A:A,Groups!C:C)*IF(_xlfn.XLOOKUP(B372,'Base stats'!B:B,'Base stats'!O:O)=1,0.5,IF(_xlfn.XLOOKUP(B372,'Base stats'!B:B,'Base stats'!O:O)=2,0,1)),0.05),IF(AO372&gt;3.5,0.985,0.95))))</f>
        <v>0.65</v>
      </c>
      <c r="K372" s="2">
        <f>ROUNDUP(AO372*_xlfn.XLOOKUP(_xlfn.XLOOKUP(B372,'Base stats'!B:B,'Base stats'!E:E),Groups!A:A,Groups!E:E),0)</f>
        <v>2</v>
      </c>
      <c r="L372" s="2">
        <f>IF(OR(_xlfn.XLOOKUP(_xlfn.XLOOKUP(B372,'Base stats'!B:B,'Base stats'!E:E),Groups!A:A,Groups!F:F)=2,ISNUMBER(SEARCH("SeaIce",BX372)),ISNUMBER(SEARCH("IceSheet",BX372))),-50,IF(OR(ISNUMBER(SEARCH("GlacialPlain",BX372)),ISNUMBER(SEARCH("Tundra",BX372))),-40,IF(OR(ISNUMBER(SEARCH("Alpine",BX372)),ISNUMBER(SEARCH("BorealForest",BX372)),ISNUMBER(SEARCH("ColdBog",BX372))),-30,IF(OR(ISNUMBER(SEARCH("TemperateForest",BX372)),ISNUMBER(SEARCH("TemperateSwamp",BX372))),-20,IF(_xlfn.XLOOKUP(_xlfn.XLOOKUP(B372,'Base stats'!B:B,'Base stats'!E:E),Groups!A:A,Groups!F:F)=1,-15,IF(OR(ISNUMBER(SEARCH("Desert",BX372)),ISNUMBER(SEARCH("ExtremeDesert",BX372))),-10,IF(OR(ISNUMBER(SEARCH("Grasslands",BX372)),ISNUMBER(SEARCH("TropicalRainforest",BX372)),ISNUMBER(SEARCH("TropicalSwamp",BX372))),10,0)))))))-IF(CC372="False",MIN(IFERROR(MAX(MROUND(LOG10(_xlfn.XLOOKUP(B372,'Base stats'!B:B,'Base stats'!C:C)^(2/3))*10,5),5),5),30))-_xlfn.XLOOKUP(B372,'Base stats'!B:B,'Base stats'!P:P)+IF(CC372="True",5,0)</f>
        <v>-5</v>
      </c>
      <c r="M372" s="2">
        <f>IF(OR(_xlfn.XLOOKUP(_xlfn.XLOOKUP(B372,'Base stats'!B:B,'Base stats'!E:E),Groups!A:A,Groups!G:G)=2,ISNUMBER(SEARCH("Desert",BX372)),ISNUMBER(SEARCH("ExtremeDesert",BX372)),ISNUMBER(SEARCH("LavaField",BX372))),50,IF(ISNUMBER(SEARCH("Grasslands",BX372)),45,IF(OR(_xlfn.XLOOKUP(_xlfn.XLOOKUP(B372,'Base stats'!B:B,'Base stats'!E:E),Groups!A:A,Groups!G:G)=1,ISNUMBER(SEARCH("TropicalRainforest",BX372)),ISNUMBER(SEARCH("TropicalSwamp",BX372))),40,IF(OR(ISNUMBER(SEARCH("TemperateForest",BX372)),ISNUMBER(SEARCH("TemperateSwamp",BX372))),35,IF(OR(ISNUMBER(SEARCH("Alpine",BX372)),ISNUMBER(SEARCH("BorealForest",BX372)),ISNUMBER(SEARCH("ColdBog",BX372))),30,IF(ISNUMBER(OR(ISNUMBER(SEARCH("GlacialPlain",BX372)),SEARCH("Tundra",BX372))),25,IF(OR(ISNUMBER(SEARCH("SeaIce",BX372)),ISNUMBER(SEARCH("IceSheet",BX372)),ISNUMBER(SEARCH("TropicalSwamp",BX372))),10,35)))))))+_xlfn.XLOOKUP(B372,'Base stats'!B:B,'Base stats'!Q:Q)</f>
        <v>50</v>
      </c>
      <c r="N372" s="8" t="str">
        <f>IF(
_xlfn.XLOOKUP(
_xlfn.XLOOKUP(B372,'Base stats'!B:B,'Base stats'!E:E),
Groups!A:A,
Groups!L:L
)=1,
MIN(
MROUND(
IF(
_xlfn.XLOOKUP(B372,'Animals CE'!B:B,'Animals CE'!Z:Z)&lt;=1.5,
_xlfn.XLOOKUP(B372,'Animals CE'!B:B,'Animals CE'!Z:Z)/2+0.05,
0.8+
(_xlfn.XLOOKUP(B372,'Animals CE'!B:B,'Animals CE'!Z:Z)-1.5)
*0.02
),
0.05
),
200%
),
"No"
)</f>
        <v>No</v>
      </c>
      <c r="O372" s="8" t="str">
        <f>IF(
_xlfn.XLOOKUP(
_xlfn.XLOOKUP(B372,'Base stats'!B:B,'Base stats'!E:E),
Groups!A:A,
Groups!L:L
)=1,
MIN(
MROUND(
IF(
_xlfn.XLOOKUP(B372,'Animals CE'!B:B,'Animals CE'!AA:AA)&lt;=1.5,
_xlfn.XLOOKUP(B372,'Animals CE'!B:B,'Animals CE'!AA:AA)/2+0.05,
0.8+
(_xlfn.XLOOKUP(B372,'Animals CE'!B:B,'Animals CE'!AA:AA)-1.5)
*0.02
),
0.05
),
200%
),
"No"
)</f>
        <v>No</v>
      </c>
      <c r="P372" s="2" t="str">
        <f>_xlfn.XLOOKUP(B372,'Base stats'!B:B,'Base stats'!R:R)</f>
        <v>Standard</v>
      </c>
      <c r="Q372" s="13">
        <f>MROUND((LOG10(_xlfn.XLOOKUP(B372,'Base stats'!B:B,'Base stats'!AR:AR))*(AO372^0.5)+(_xlfn.XLOOKUP(B372,'Base stats'!B:B,'Base stats'!AR:AR)/1000)^(2/3)+_xlfn.XLOOKUP(B372,'Base stats'!B:B,'Base stats'!BA:BA)/2)+0.5,0.5)</f>
        <v>8.5</v>
      </c>
      <c r="R372" s="7">
        <f>IF(Q372="No","No",MAX(1,MROUND(_xlfn.XLOOKUP(B372,'Base stats'!B:B,'Base stats'!C:C)^0.165,0.05)))</f>
        <v>2.15</v>
      </c>
      <c r="S372" s="13" t="str">
        <f>IF(_xlfn.XLOOKUP(_xlfn.XLOOKUP(B372,'Base stats'!B:B,'Base stats'!E:E),Groups!A:A,Groups!P:P)=0,"No",MROUND((LOG10(_xlfn.XLOOKUP(B372,'Base stats'!B:B,'Base stats'!AS:AS))*(AO372^0.5)+(_xlfn.XLOOKUP(B372,'Base stats'!B:B,'Base stats'!AS:AS)/1000)^(2/3)+_xlfn.XLOOKUP(B372,'Base stats'!B:B,'Base stats'!BA:BA))+_xlfn.XLOOKUP(B372,'Base stats'!B:B,'Base stats'!AY:AY)+0.5,0.5))</f>
        <v>No</v>
      </c>
      <c r="T372" s="7" t="str">
        <f>IF(S372="No","No",MAX(_xlfn.XLOOKUP(_xlfn.XLOOKUP(B372,'Base stats'!B:B,'Base stats'!E:E),Groups!A:A,Groups!Q:Q),MROUND(_xlfn.XLOOKUP(_xlfn.XLOOKUP(B372,'Base stats'!B:B,'Base stats'!E:E),Groups!A:A,Groups!Q:Q)*_xlfn.XLOOKUP(B372,'Base stats'!B:B,'Base stats'!C:C)^0.165,0.05)))</f>
        <v>No</v>
      </c>
      <c r="U372" s="7" t="str">
        <f>IF(S372="No","No",_xlfn.XLOOKUP(_xlfn.XLOOKUP(B372,'Base stats'!B:B,'Base stats'!E:E),Groups!A:A,Groups!R:R))</f>
        <v>No</v>
      </c>
      <c r="V372" s="7" t="str">
        <f>IF(S372="No","No",_xlfn.XLOOKUP(_xlfn.XLOOKUP(B372,'Base stats'!B:B,'Base stats'!E:E),Groups!A:A,Groups!S:S))</f>
        <v>No</v>
      </c>
      <c r="W372" s="7" t="str">
        <f>IF(S372="No","No",_xlfn.XLOOKUP(_xlfn.XLOOKUP(B372,'Base stats'!B:B,'Base stats'!E:E),Groups!A:A,Groups!T:T))</f>
        <v>No</v>
      </c>
      <c r="X372" s="13" t="str">
        <f>IF(_xlfn.XLOOKUP(B372,'Base stats'!B:B,'Base stats'!W:W)="No","No",MROUND((LOG10(_xlfn.XLOOKUP(B372,'Base stats'!B:B,'Base stats'!AU:AU))*(AO372^0.5)+(_xlfn.XLOOKUP(B372,'Base stats'!B:B,'Base stats'!AU:AU)/1000)^(2/3)+_xlfn.XLOOKUP(B372,'Base stats'!B:B,'Base stats'!AZ:AZ))+0.5+IF(_xlfn.XLOOKUP(_xlfn.XLOOKUP(B372,'Base stats'!B:B,'Base stats'!E:E),Groups!A:A,Groups!U:U)&lt;&gt;3,_xlfn.XLOOKUP(B372,'Base stats'!B:B,'Base stats'!BA:BA),0),0.5))</f>
        <v>No</v>
      </c>
      <c r="Y372" s="7" t="str">
        <f>IF(X372="No","No",MAX(_xlfn.XLOOKUP(_xlfn.XLOOKUP(B372,'Base stats'!B:B,'Base stats'!E:E),Groups!A:A,Groups!V:V),MROUND(_xlfn.XLOOKUP(_xlfn.XLOOKUP(B372,'Base stats'!B:B,'Base stats'!E:E),Groups!A:A,Groups!V:V)*_xlfn.XLOOKUP(B372,'Base stats'!B:B,'Base stats'!C:C)^0.165,0.05)))</f>
        <v>No</v>
      </c>
      <c r="Z372" s="7" t="str">
        <f>IF(X372="No","No",_xlfn.XLOOKUP(_xlfn.XLOOKUP(B372,'Base stats'!B:B,'Base stats'!E:E),Groups!A:A,Groups!W:W))</f>
        <v>No</v>
      </c>
      <c r="AA372" s="7" t="str">
        <f>IF(X372="No","No",_xlfn.XLOOKUP(_xlfn.XLOOKUP(B372,'Base stats'!B:B,'Base stats'!E:E),Groups!A:A,Groups!X:X))</f>
        <v>No</v>
      </c>
      <c r="AB372" s="7" t="str">
        <f>IF(X372="No","No",_xlfn.XLOOKUP(_xlfn.XLOOKUP(B372,'Base stats'!B:B,'Base stats'!E:E),Groups!A:A,Groups!Y:Y))</f>
        <v>No</v>
      </c>
      <c r="AC372" s="7" t="str">
        <f>_xlfn.XLOOKUP(Animals!B372,'Base stats'!B:B,'Base stats'!X:X)</f>
        <v>False</v>
      </c>
      <c r="AD372" s="13">
        <f>IF(_xlfn.XLOOKUP(B372,'Base stats'!B:B,'Base stats'!AT:AT)="No","No",MROUND((LOG10(_xlfn.XLOOKUP(B372,'Base stats'!B:B,'Base stats'!AT:AT))*(AO372^0.75)+(_xlfn.XLOOKUP(B372,'Base stats'!B:B,'Base stats'!AT:AT)/1000)^(2/3)+_xlfn.XLOOKUP(B372,'Base stats'!B:B,'Base stats'!AX:AX)+_xlfn.XLOOKUP(B372,'Base stats'!B:B,'Base stats'!BA:BA))+0.5,0.5))</f>
        <v>10.5</v>
      </c>
      <c r="AE372" s="7">
        <f>IF(AD372="No","No",MAX(_xlfn.XLOOKUP(_xlfn.XLOOKUP(B372,'Base stats'!B:B,'Base stats'!E:E),Groups!A:A,Groups!Z:Z),MROUND(_xlfn.XLOOKUP(_xlfn.XLOOKUP(B372,'Base stats'!B:B,'Base stats'!E:E),Groups!A:A,Groups!Z:Z)*_xlfn.XLOOKUP(B372,'Base stats'!B:B,'Base stats'!C:C)^0.165,0.05)))</f>
        <v>2.15</v>
      </c>
      <c r="AF372" s="7" t="str">
        <f>IF(AD372="No","No",_xlfn.XLOOKUP(_xlfn.XLOOKUP(B372,'Base stats'!B:B,'Base stats'!E:E),Groups!A:A,Groups!AA:AA))</f>
        <v>Teeth</v>
      </c>
      <c r="AG372" s="7" t="str">
        <f>IF(AD372="No","No",_xlfn.XLOOKUP(_xlfn.XLOOKUP(B372,'Base stats'!B:B,'Base stats'!E:E),Groups!A:A,Groups!AB:AB))</f>
        <v>beak</v>
      </c>
      <c r="AH372" s="7" t="str">
        <f>IF(AD372="No","No",_xlfn.XLOOKUP(_xlfn.XLOOKUP(B372,'Base stats'!B:B,'Base stats'!E:E),Groups!A:A,Groups!AC:AC))</f>
        <v>Bite</v>
      </c>
      <c r="AI372" s="13" t="str">
        <f>IF(_xlfn.XLOOKUP(_xlfn.XLOOKUP(B372,'Base stats'!B:B,'Base stats'!E:E),Groups!A:A,Groups!AD:AD)=0,"No",MROUND((LOG10(_xlfn.XLOOKUP(B372,'Base stats'!B:B,'Base stats'!AS:AS))*(AO372^0.75)+(_xlfn.XLOOKUP(B372,'Base stats'!B:B,'Base stats'!AS:AS)/1000)^(2/3)+_xlfn.XLOOKUP(B372,'Base stats'!B:B,'Base stats'!AY:AY)+_xlfn.XLOOKUP(B372,'Base stats'!B:B,'Base stats'!BA:BA))+0.5,0.5))</f>
        <v>No</v>
      </c>
      <c r="AJ372" s="7" t="str">
        <f>IF(AI372="No","No",MAX(_xlfn.XLOOKUP(_xlfn.XLOOKUP(B372,'Base stats'!B:B,'Base stats'!E:E),Groups!A:A,Groups!AE:AE),MROUND(_xlfn.XLOOKUP(_xlfn.XLOOKUP(B372,'Base stats'!B:B,'Base stats'!E:E),Groups!A:A,Groups!AE:AE)*IF(_xlfn.XLOOKUP(_xlfn.XLOOKUP(B372,'Base stats'!B:B,'Base stats'!E:E),Groups!A:A,Groups!AJ:AJ)="Photonozoa",0.6,1)*_xlfn.XLOOKUP(B372,'Base stats'!B:B,'Base stats'!C:C)^0.165,0.05)))</f>
        <v>No</v>
      </c>
      <c r="AK372" s="7" t="str">
        <f>IF(AI372="No","No",_xlfn.XLOOKUP(_xlfn.XLOOKUP(B372,'Base stats'!B:B,'Base stats'!E:E),Groups!A:A,Groups!AF:AF))</f>
        <v>No</v>
      </c>
      <c r="AL372" s="7" t="str">
        <f>IF(AI372="No","No",_xlfn.XLOOKUP(_xlfn.XLOOKUP(B372,'Base stats'!B:B,'Base stats'!E:E),Groups!A:A,Groups!AG:AG))</f>
        <v>No</v>
      </c>
      <c r="AM372" s="7" t="str">
        <f>IF(AI372="No","No",_xlfn.XLOOKUP(_xlfn.XLOOKUP(B372,'Base stats'!B:B,'Base stats'!E:E),Groups!A:A,Groups!AH:AH))</f>
        <v>No</v>
      </c>
      <c r="AN372" s="2" t="str">
        <f t="shared" si="35"/>
        <v>No</v>
      </c>
      <c r="AO372" s="2">
        <f>MROUND(IF(AND(_xlfn.XLOOKUP(B372,'Base stats'!B:B,'Base stats'!C:C)&gt;=0.5,_xlfn.XLOOKUP(B372,'Base stats'!B:B,'Base stats'!C:C)&lt;=0.8),
IF(_xlfn.XLOOKUP(B372,'Base stats'!B:B,'Base stats'!C:C)&lt;0.1,0.05,IF(_xlfn.XLOOKUP(B372,'Base stats'!B:B,'Base stats'!C:C)&lt;=70,(_xlfn.XLOOKUP(B372,'Base stats'!B:B,'Base stats'!C:C)/70)^0.426489913056526,IF(_xlfn.XLOOKUP(B372,'Base stats'!B:B,'Base stats'!C:C)&lt;=400,(_xlfn.XLOOKUP(B372,'Base stats'!B:B,'Base stats'!C:C)/70)^0.572811455315093,IF(_xlfn.XLOOKUP(B372,'Base stats'!B:B,'Base stats'!C:C)&lt;=2000,2.71391647193063*(_xlfn.XLOOKUP(B372,'Base stats'!B:B,'Base stats'!C:C)/400)^0.252459582904293,3.74314280240376*(_xlfn.XLOOKUP(B372,'Base stats'!B:B,'Base stats'!C:C)/2000)^0.357012633876913)))),
IF(_xlfn.XLOOKUP(B372,'Base stats'!B:B,'Base stats'!C:C)&lt;0.1,0.05,IF(_xlfn.XLOOKUP(B372,'Base stats'!B:B,'Base stats'!C:C)&lt;0.4,0.1,IF(_xlfn.XLOOKUP(B372,'Base stats'!B:B,'Base stats'!C:C)&lt;=70,(_xlfn.XLOOKUP(B372,'Base stats'!B:B,'Base stats'!C:C)/70)^0.445823913056526,IF(_xlfn.XLOOKUP(B372,'Base stats'!B:B,'Base stats'!C:C)&lt;=400,(_xlfn.XLOOKUP(B372,'Base stats'!B:B,'Base stats'!C:C)/70)^0.572811455315093,IF(_xlfn.XLOOKUP(B372,'Base stats'!B:B,'Base stats'!C:C)&lt;=2000,2.71391647193063*(_xlfn.XLOOKUP(B372,'Base stats'!B:B,'Base stats'!C:C)/400)^0.252459582904293,3.74314280240376*(_xlfn.XLOOKUP(B372,'Base stats'!B:B,'Base stats'!C:C)/2000)^0.357012633876913)))))),
IF(_xlfn.XLOOKUP(B372,'Base stats'!B:B,'Base stats'!C:C)&lt;0.1,0.05,IF(_xlfn.XLOOKUP(B372,'Base stats'!B:B,'Base stats'!C:C)&lt;=100,0.05,IF(_xlfn.XLOOKUP(B372,'Base stats'!B:B,'Base stats'!C:C)&lt;=250,0.1,IF(_xlfn.XLOOKUP(B372,'Base stats'!B:B,'Base stats'!C:C)&lt;=4000,0.25,0.5)))))</f>
        <v>1.3</v>
      </c>
      <c r="AP372" s="8">
        <f>MROUND(AO372*_xlfn.XLOOKUP(_xlfn.XLOOKUP(B372,'Base stats'!B:B,'Base stats'!E:E),Groups!A:A,Groups!AI:AI)*_xlfn.XLOOKUP(B372,'Base stats'!B:B,'Base stats'!Z:Z),0.05)</f>
        <v>1.55</v>
      </c>
      <c r="AQ372" s="8">
        <f>MAX(0.01,MROUND(IF(CC372="True",0.196*(AO372*100*1000)^0.889,IF(_xlfn.XLOOKUP(_xlfn.XLOOKUP(B372,'Base stats'!B:B,'Base stats'!E:E),Groups!A:A,Groups!AJ:AJ)="Bird",10.5*(AO372*100*1000)^0.681,4.82*(AO372*100*1000)^0.734))/(4.82*(1*100*1000)^0.734)/IF(AO372&lt;3.5,2,IF(AO372=3.5,1.5,1.25))*(1+0.132282374779864/(AO372^0.994035016789033+0.00905238001496948)),0.05))</f>
        <v>0.8</v>
      </c>
      <c r="AR372" s="9">
        <f>IFERROR(MROUND(_xlfn.XLOOKUP(B372,'Base stats'!B:B,'Base stats'!H:H)/IF(_xlfn.XLOOKUP(B372,'Base stats'!B:B,'Base stats'!I:I)&lt;&gt;1,(122.5/70),1.2),IF(_xlfn.XLOOKUP(B372,'Base stats'!B:B,'Base stats'!H:H)&gt;=30,5,IF(_xlfn.XLOOKUP(B372,'Base stats'!B:B,'Base stats'!H:H)&gt;=15,3,IF(_xlfn.XLOOKUP(B372,'Base stats'!B:B,'Base stats'!H:H)&gt;=10,2,1)))),"Immortal")</f>
        <v>12</v>
      </c>
      <c r="AS372" s="35" t="str">
        <f>IFERROR(IF(OR(_xlfn.XLOOKUP(B372,'Base stats'!B:B,'Base stats'!F:F)="Atypical reproduction",_xlfn.XLOOKUP(B372,'Base stats'!B:B,'Base stats'!F:F)="Lay eggs"),"Lay eggs",MIN(20,MAX(5.5,ROUND(((_xlfn.XLOOKUP(B372,'Base stats'!B:B,'Base stats'!F:F)-25)*(14.5/615) + 5.5)*2,0)/2))),"Unknown")</f>
        <v>Lay eggs</v>
      </c>
      <c r="AT372" s="8">
        <f>IF(_xlfn.XLOOKUP(B372,'Base stats'!B:B,'Base stats'!G:G)="Atypical reproduction","No",IFERROR(MAX(IF(_xlfn.XLOOKUP(B372,'Base stats'!B:B,'Base stats'!G:G)&lt;0.5,0.2,0.3),MROUND(_xlfn.XLOOKUP(B372,'Base stats'!B:B,'Base stats'!G:G)/(365/60),0.2)),"Unknown"))</f>
        <v>0.4</v>
      </c>
      <c r="AU372" s="8">
        <f t="shared" si="36"/>
        <v>0.2</v>
      </c>
      <c r="AV372" s="8" t="str">
        <f>IFERROR(IFERROR(MROUND(_xlfn.XLOOKUP(B372,'Base stats'!B:B,'Base stats'!J:J),0.1),"Lay eggs"),"Cannot breed")</f>
        <v>Lay eggs</v>
      </c>
      <c r="AW372" s="2" t="str">
        <f t="shared" si="37"/>
        <v>true</v>
      </c>
      <c r="AX372" s="2" t="str">
        <f>IF(_xlfn.XLOOKUP(_xlfn.XLOOKUP(Animals!B372,'Base stats'!B:B,'Base stats'!E:E),Groups!A:A,Groups!AK:AK)=1,"true","false")</f>
        <v>false</v>
      </c>
      <c r="AY372" s="25" t="str">
        <f>IF(_xlfn.XLOOKUP(B372,'Base stats'!B:B,'Base stats'!Y:Y)="Liquor","Liquor, CarnivoreAnimalStrict",IF(AND(_xlfn.XLOOKUP(B372,'Base stats'!B:B,'Base stats'!Y:Y)="Carnivore",_xlfn.XLOOKUP(_xlfn.XLOOKUP(B372,'Base stats'!B:B,'Base stats'!E:E),Groups!A:A,Groups!AJ:AJ)="Photonozoa"),"CarnivoreAnimalStrict, OvivoreAnimal",IF(_xlfn.XLOOKUP(B372,'Base stats'!B:B,'Base stats'!Y:Y)="Carnivore","CarnivoreAnimal, OvivoreAnimal",IF(_xlfn.XLOOKUP(B372,'Base stats'!B:B,'Base stats'!Y:Y)="Dendrovore","VegetarianRoughAnimal, DendrovoreAnimal",IF(_xlfn.XLOOKUP(B372,'Base stats'!B:B,'Base stats'!Y:Y)="Herbivore","VegetarianRoughAnimal",IF(_xlfn.XLOOKUP(B372,'Base stats'!B:B,'Base stats'!Y:Y)="OmnivoreRough","OmnivoreRoughAnimal, OvivoreAnimal","OmnivoreAnimal, OvivoreAnimal"))))))</f>
        <v>VegetarianRoughAnimal</v>
      </c>
      <c r="AZ372" s="2">
        <f>IF(_xlfn.XLOOKUP(_xlfn.XLOOKUP(B372,'Base stats'!B:B,'Base stats'!E:E),Groups!A:A,Groups!D:D)=1,MROUND((1-J372)*5+1,2)*IF(J372&lt;=0.4,2,1),"No")</f>
        <v>2</v>
      </c>
      <c r="BA372" s="2" t="str">
        <f>IF(AND(_xlfn.XLOOKUP(B372,'Base stats'!B:B,'Base stats'!AH:AH)="&lt;li&gt;Seal&lt;/li&gt;",G372="Odyssey"),"&lt;li&gt;AEXP_Seal&lt;/li&gt;",_xlfn.XLOOKUP(B372,'Base stats'!B:B,'Base stats'!AH:AH))</f>
        <v>No</v>
      </c>
      <c r="BB372" s="2" t="str">
        <f>_xlfn.XLOOKUP(B372,'Base stats'!B:B,'Base stats'!AG:AG)</f>
        <v>Leather_DinosaurSkin</v>
      </c>
      <c r="BC372" s="23" t="str">
        <f>_xlfn.XLOOKUP(_xlfn.XLOOKUP(B372,'Base stats'!B:B,'Base stats'!E:E),Groups!A:A,Groups!AL:AL)</f>
        <v>Theropod</v>
      </c>
      <c r="BD372" s="23">
        <f>MIN(1,MROUND(IF(AND(AO372&lt;0.5,_xlfn.XLOOKUP(B372,'Base stats'!B:B,'Base stats'!AA:AA)=0),0,IF(OR(_xlfn.XLOOKUP(Animals!B372,'Base stats'!B:B,'Base stats'!O:O)=2,_xlfn.XLOOKUP(_xlfn.XLOOKUP(B372,'Base stats'!B:B,'Base stats'!E:E),Groups!A:A,Groups!AN:AN)=0),0,_xlfn.XLOOKUP(_xlfn.XLOOKUP(B372,'Base stats'!B:B,'Base stats'!E:E),Groups!A:A,Groups!AN:AN)/IF(_xlfn.XLOOKUP(Animals!B372,'Base stats'!B:B,'Base stats'!O:O)=1,2,1)))+_xlfn.XLOOKUP(B372,'Base stats'!B:B,'Base stats'!AC:AC),0.005))</f>
        <v>0.1</v>
      </c>
      <c r="BE372" s="23">
        <f>MIN(1,MROUND(IF(AND(AO372&lt;0.5,_xlfn.XLOOKUP(B372,'Base stats'!B:B,'Base stats'!AA:AA)=0),0,IF(_xlfn.XLOOKUP(_xlfn.XLOOKUP(B372,'Base stats'!B:B,'Base stats'!E:E),Groups!A:A,Groups!AO:AO)=0,0,_xlfn.XLOOKUP(_xlfn.XLOOKUP(B372,'Base stats'!B:B,'Base stats'!E:E),Groups!A:A,Groups!AO:AO)/IF(_xlfn.XLOOKUP(Animals!B372,'Base stats'!B:B,'Base stats'!O:O)=2,3,1)))+_xlfn.XLOOKUP(B372,'Base stats'!B:B,'Base stats'!AD:AD),0.005))</f>
        <v>0.3</v>
      </c>
      <c r="BF372" s="2" t="str">
        <f>IF(J372&gt;0.3,"No",_xlfn.XLOOKUP(_xlfn.XLOOKUP(Animals!B372,'Base stats'!B:B,'Base stats'!E:E),Groups!A:A,Groups!AP:AP))</f>
        <v>No</v>
      </c>
      <c r="BG372" s="2" t="str">
        <f>IF(AND(J372&lt;=0.65,_xlfn.XLOOKUP(_xlfn.XLOOKUP(Animals!B372,'Base stats'!B:B,'Base stats'!E:E),Groups!A:A,Groups!AP:AP)&lt;&gt;"No",_xlfn.XLOOKUP(_xlfn.XLOOKUP(B372,'Base stats'!B:B,'Base stats'!E:E),Groups!A:A,Groups!D:D)=0),MROUND((80/3)*IF(_xlfn.XLOOKUP(B372,'Base stats'!B:B,'Base stats'!O:O)=2,0.2,AO372) + 24*(1-IF(BF372="No",0,BF372)) + 16/3, 12),"No")</f>
        <v>No</v>
      </c>
      <c r="BH372" s="2">
        <f>IF(AND(_xlfn.XLOOKUP(_xlfn.XLOOKUP(B372,'Base stats'!B:B,'Base stats'!E:E),Groups!A:A,Groups!AQ:AQ)=1,AO372&lt;=0.35),8,12)</f>
        <v>12</v>
      </c>
      <c r="BI372" s="2" t="str">
        <f>IF(_xlfn.XLOOKUP(_xlfn.XLOOKUP(B372,'Base stats'!B:B,'Base stats'!E:E),Groups!A:A,Groups!D:D)=0,_xlfn.XLOOKUP(_xlfn.XLOOKUP(B372,'Base stats'!B:B,'Base stats'!E:E),Groups!A:A,Groups!AR:AR),"None")</f>
        <v>None</v>
      </c>
      <c r="BJ372" s="2" t="str">
        <f>IF(AND(_xlfn.XLOOKUP(_xlfn.XLOOKUP(B372,'Base stats'!B:B,'Base stats'!E:E),Groups!A:A,Groups!AS:AS)=1,OR(_xlfn.XLOOKUP(B372,'Base stats'!B:B,'Base stats'!Y:Y)="Carnivore",_xlfn.XLOOKUP(B372,'Base stats'!B:B,'Base stats'!Y:Y)="Omnivore")),"true","false")</f>
        <v>false</v>
      </c>
      <c r="BK372" s="2" t="str">
        <f>IF(BJ372="true",MROUND(IF(AND(AO372&gt;0.5,OR(_xlfn.XLOOKUP(_xlfn.XLOOKUP(B372,'Base stats'!B:B,'Base stats'!E:E),Groups!A:A,Groups!AJ:AJ)="Photonozoa",_xlfn.XLOOKUP(_xlfn.XLOOKUP(B372,'Base stats'!B:B,'Base stats'!E:E),Groups!A:A,Groups!AJ:AJ)="Mammal")),Animals!AO372*1.75*IF(AW372="true",1.5,1),IF(AO372&lt;0.5,Animals!AO372*0.5,Animals!AO372)),IF(AO372&gt;2,0.5,IF(AO372&gt;0.5,0.25,0.1))),"No")</f>
        <v>No</v>
      </c>
      <c r="BL372" s="2">
        <f t="shared" si="38"/>
        <v>0</v>
      </c>
      <c r="BM372" s="25" t="str">
        <f>IF(_xlfn.XLOOKUP(B372,'Base stats'!B:B,'Base stats'!AN:AN)="Standard","No",MROUND((_xlfn.XLOOKUP(B372,'Base stats'!B:B,'Base stats'!AN:AN)/3.6)/I372,0.1))</f>
        <v>No</v>
      </c>
      <c r="BN372" s="25" t="str">
        <f t="shared" si="39"/>
        <v>false</v>
      </c>
      <c r="BO372" s="25" t="str">
        <f>IF(AND(OR(_xlfn.XLOOKUP(B372,'Base stats'!B:B,'Base stats'!Y:Y)="Carnivore",_xlfn.XLOOKUP(B372,'Base stats'!B:B,'Base stats'!Y:Y)="Omnivore",_xlfn.XLOOKUP(B372,'Base stats'!B:B,'Base stats'!Y:Y)="OmnivoreRough"),_xlfn.XLOOKUP(_xlfn.XLOOKUP(B372,'Base stats'!B:B,'Base stats'!E:E),Groups!A:A,Groups!AT:AT)=1),"true","false")</f>
        <v>false</v>
      </c>
      <c r="BP372" s="25" t="str" cm="1">
        <f t="array" ref="BP372">IF(
  _xlfn.TEXTJOIN(", ",TRUE,
    IF(AND(BJ372="true",AO372&gt;0.5,BI372&lt;&gt;"None"),"AttackTarget",""),
    IF(AND(_xlfn.XLOOKUP(_xlfn.XLOOKUP(B372,'Base stats'!B:B,'Base stats'!E:E),Groups!A:A,Groups!AJ:AJ="Mammal"),OR(_xlfn.XLOOKUP(B372,'Base stats'!B:B,'Base stats'!Y:Y)="Omnivore",_xlfn.XLOOKUP(B372,'Base stats'!B:B,'Base stats'!Y:Y)="OmnivoreRough")),"Forage",""),
    IF(BG372&lt;=36,"Comfort",""),
    IF(_xlfn.XLOOKUP(B372,'Base stats'!B:B,'Base stats'!AE:AE)&lt;&gt;"No",_xlfn.XLOOKUP(B372,'Base stats'!B:B,'Base stats'!AE:AE),"")
  ) = "",
  "No",
  _xlfn.TEXTJOIN(", ",TRUE,
    IF(AND(BJ372="true",AO372&gt;0.5,BI372&lt;&gt;"None"),"AttackTarget",""),
    IF(AND(_xlfn.XLOOKUP(_xlfn.XLOOKUP(B372,'Base stats'!B:B,'Base stats'!E:E),Groups!A:A,Groups!AJ:AJ="Mammal"),OR(_xlfn.XLOOKUP(B372,'Base stats'!B:B,'Base stats'!Y:Y)="Omnivore",_xlfn.XLOOKUP(B372,'Base stats'!B:B,'Base stats'!Y:Y)="OmnivoreRough")),"Forage",""),
    IF(BG372&lt;=36,"Comfort",""),
    IF(_xlfn.XLOOKUP(B372,'Base stats'!B:B,'Base stats'!AE:AE)&lt;&gt;"No",_xlfn.XLOOKUP(B372,'Base stats'!B:B,'Base stats'!AE:AE),"")
  )
)</f>
        <v>No</v>
      </c>
      <c r="BQ372" s="25" t="str">
        <f>IF(
   AND(
      'Base stats'!AN372="Standard",_xlfn.XLOOKUP(_xlfn.XLOOKUP(B372,'Base stats'!B:B,'Base stats'!E:E),Groups!A:A,Groups!AU:AU)=0,
      OR(
      BO372="True"
      )
   ),
   10,
   IF(
       OR(BM372&lt;&gt;"No",_xlfn.XLOOKUP(_xlfn.XLOOKUP(B372,'Base stats'!B:B,'Base stats'!E:E),Groups!A:A,Groups!AU:AU)=1),
      1,
      "No"
   )
)</f>
        <v>No</v>
      </c>
      <c r="BR372" s="9">
        <f>MROUND((1 + ((0.2*IF(OR(Q372="No",R372="No",R372=0),0,Q372/R372)
+IF(OR(V372="No",S372="No",T372="No"),0,S372/T372*(LEN(V372)-LEN(SUBSTITUTE(V372,",",""))+1))
+IF(OR(X372="No",Y372="No"),0,X372/Y372)
+IF(OR(AD372="No",AE372="No"),0,AD372/AE372)
+IF(OR(AL372="No",AI372="No",AJ372="No"),0,AI372/AJ372*(LEN(AL372)-LEN(SUBSTITUTE(AL372,",",""))+1))
)/(0.2*IF(OR(Q372="No",R372="No",R372=0),0,1)
+IF(OR(V372="No",S372="No",T372="No"),0,LEN(V372)-LEN(SUBSTITUTE(V372,",",""))+1)
+IF(OR(X372="No",Y372="No"),0,1)
+IF(OR(AD372="No",AE372="No"),0,1)
+IF(OR(AL372="No",AI372="No",AJ372="No"),0,LEN(AL372)-LEN(SUBSTITUTE(AL372,",",""))+1))*62%)* 2)*(1 + (AP372 / (IF(_xlfn.XLOOKUP(_xlfn.XLOOKUP(B372,'Base stats'!B:B,'Base stats'!E:E),Groups!A:A,Groups!AJ:AJ)="Photonozoa",0.3,1)) + _xlfn.XLOOKUP(B372,'Base stats'!B:B,'Base stats'!AV:AV) * 1.8) * 2) * 2.5 + 10 + I372 * 2,5)+IF(_xlfn.XLOOKUP(B372,'Base stats'!B:B,'Base stats'!AK:AK)=1,50,0)</f>
        <v>90</v>
      </c>
      <c r="BS372" s="8">
        <f t="shared" si="40"/>
        <v>0.9</v>
      </c>
      <c r="BT372" s="8" t="str">
        <f>_xlfn.XLOOKUP(B372,'Base stats'!B:B,'Base stats'!AF:AF)</f>
        <v>3~8</v>
      </c>
      <c r="BU372" s="2" t="str">
        <f>IF(AND(J372&lt;=0.95,OR(_xlfn.XLOOKUP(B372,'Base stats'!B:B,'Base stats'!AK:AK)=1,_xlfn.XLOOKUP(B372,'Base stats'!B:B,'Base stats'!Y:Y)="Carnivore",_xlfn.XLOOKUP(B372,'Base stats'!B:B,'Base stats'!Y:Y)="Omnivore",BE372&gt;0.1)),"true","false")</f>
        <v>true</v>
      </c>
      <c r="BV372" s="2" t="str">
        <f>IF(_xlfn.XLOOKUP(B372,'Base stats'!B:B,'Base stats'!AI:AI)=1,"true","false")</f>
        <v>false</v>
      </c>
      <c r="BW372" s="25" t="str">
        <f>IF(E372="BaseInsect","AnimalInsect",
IF(J372&gt;0.95,"AnimalExotic",
_xlfn.TEXTJOIN(", ",TRUE,
IF(OR(_xlfn.XLOOKUP(B372,'Base stats'!B:B,'Base stats'!AM:AM)=1,AND(_xlfn.XLOOKUP(B372,'Base stats'!B:B,'Base stats'!O:O)=0,_xlfn.XLOOKUP(_xlfn.XLOOKUP(B372,'Base stats'!B:B,'Base stats'!E:E),Groups!A:A,Groups!B:B)&gt;0)),"AnimalUncommon","AnimalCommon"),
IF(AND(_xlfn.XLOOKUP(B372,'Base stats'!B:B,'Base stats'!O:O)=2,_xlfn.XLOOKUP(_xlfn.XLOOKUP(B372,'Base stats'!B:B,'Base stats'!E:E),Groups!A:A,Groups!D:D)=0),"AnimalPet",IF(AND(_xlfn.XLOOKUP(B372,'Base stats'!B:B,'Base stats'!O:O)&lt;&gt;0,_xlfn.XLOOKUP(_xlfn.XLOOKUP(B372,'Base stats'!B:B,'Base stats'!E:E),Groups!A:A,Groups!D:D)&lt;&gt;0),"AnimalFarm","")),
IF(OR(_xlfn.XLOOKUP(B372,'Base stats'!B:B,'Base stats'!AK:AK)=1,AND(BI372&lt;&gt;"None",BR372&gt;=60),ISNUMBER(SEARCH("Attack target",BP372))),"AnimalFighter","")
)))</f>
        <v>AnimalUncommon</v>
      </c>
      <c r="BX372" s="25" t="str">
        <f>IF(G372="None",TRIM(
SUBSTITUTE(
IF(COUNTIF(Biomes!B$2:B$259,"="&amp;$C372)&gt;0,Biomes!B$1&amp;", ","")&amp;
IF(COUNTIF(Biomes!C$2:C$259,"="&amp;$C372)&gt;0,Biomes!C$1&amp;", ","")&amp;
IF(COUNTIF(Biomes!D$2:D$259,"="&amp;$C372)&gt;0,Biomes!D$1&amp;", ","")&amp;
IF(COUNTIF(Biomes!F$2:F$259,"="&amp;$C372)&gt;0,Biomes!F$1&amp;", ","")&amp;
IF(COUNTIF(Biomes!G$2:G$259,"="&amp;$C372)&gt;0,Biomes!G$1&amp;", ","")&amp;
IF(COUNTIF(Biomes!H$2:H$259,"="&amp;$C372)&gt;0,Biomes!H$1&amp;", ","")&amp;
IF(COUNTIF(Biomes!I$2:I$259,"="&amp;$C372)&gt;0,Biomes!I$1&amp;", ","")&amp;
IF(COUNTIF(Biomes!J$2:J$259,"="&amp;$C372)&gt;0,Biomes!J$1&amp;", ","")&amp;
IF(COUNTIF(Biomes!M$2:M$259,"="&amp;$C372)&gt;0,Biomes!M$1&amp;", ","")&amp;
IF(COUNTIF(Biomes!N$2:N$259,"="&amp;$C372)&gt;0,Biomes!N$1&amp;", ","")&amp;
IF(COUNTIF(Biomes!O$2:O$259,"="&amp;$C372)&gt;0,Biomes!O$1&amp;", ","")&amp;
IF(COUNTIF(Biomes!P$2:P$259,"="&amp;$C372)&gt;0,Biomes!P$1&amp;", ","")&amp;
IF(COUNTIF(Biomes!K$2:K$259,"="&amp;$C372)&gt;0,Biomes!K$1&amp;", ","")&amp;
IF(COUNTIF(Biomes!Q$3:Q$259,"="&amp;$C372)&gt;0,Biomes!Q$1&amp;", ","")&amp;
IF(COUNTIF(Biomes!L$2:L$259,"="&amp;$C372)&gt;0,Biomes!L$1&amp;", ","")&amp;
IF(COUNTIF(Biomes!E$2:E$259,"="&amp;$C372)&gt;0,Biomes!E$1&amp;", ","")&amp;IF(COUNTIF(Biomes!S$2:S$259,"="&amp;$C372)&gt;0,Biomes!S$1&amp;", ","")&amp;
IF(COUNTIF(Biomes!R$2:R$259,"="&amp;$C372)&gt;0,Biomes!R$1&amp;", ",""),", ","")
),_xlfn.XLOOKUP(B372,B:B,BX:BX))</f>
        <v>AridShrubland TropicalRainforest TropicalSwamp Grasslands Glowforest LavaField</v>
      </c>
      <c r="BY372" s="25" t="str">
        <f>IF(_xlfn.XLOOKUP(B372,'Base stats'!B:B,'Base stats'!AJ:AJ)=1,"true","false")</f>
        <v>false</v>
      </c>
      <c r="BZ372" s="25">
        <f>IF(_xlfn.XLOOKUP(B372,'Base stats'!B:B,'Base stats'!N:N)=1,"No",MAX(0.001,MIN(MROUND(IF(AND(BJ372="True",CC372="False"),POWER(10,3.47*LOG10(_xlfn.XLOOKUP(B372,'Base stats'!B:B,'Base stats'!C:C)*1000)^-0.96),POWER(10,4.15*LOG10(_xlfn.XLOOKUP(B372,'Base stats'!B:B,'Base stats'!C:C)*1000)^-0.73))*IF(_xlfn.XLOOKUP(B372,'Base stats'!B:B,'Base stats'!AK:AK)=1,0.5,1)*IF(_xlfn.XLOOKUP(B372,'Base stats'!B:B,'Base stats'!AM:AM)=1,0.1,1)/100,IF(_xlfn.XLOOKUP(B372,'Base stats'!B:B,'Base stats'!AM:AM)=1,0.001,0.025)),0.5)))</f>
        <v>0.2</v>
      </c>
      <c r="CA372" s="25" t="str">
        <f>IF(P372="Standard","No",MAX(0.001,MIN(MROUND(IF(AND(BJ372="True",CC372="False"),POWER(10,3.47*LOG10(_xlfn.XLOOKUP(B372,'Base stats'!B:B,'Base stats'!C:C)*1000)^-0.96),POWER(10,4.15*LOG10(_xlfn.XLOOKUP(B372,'Base stats'!B:B,'Base stats'!C:C)*1000)^-0.73))*IF(_xlfn.XLOOKUP(B372,'Base stats'!B:B,'Base stats'!AM:AM)=1,0.1,1)*_xlfn.XLOOKUP(B372,'Base stats'!B:B,'Base stats'!R:R)/100,IF(_xlfn.XLOOKUP(B372,'Base stats'!B:B,'Base stats'!AM:AM)=1,0.001,0.025)),0.5)))</f>
        <v>No</v>
      </c>
      <c r="CB372" s="25" t="str">
        <f>IF(_xlfn.XLOOKUP(_xlfn.XLOOKUP(B372,'Base stats'!B:B,'Base stats'!E:E),Groups!A:A,Groups!AJ:AJ)="Mammal","True","False")</f>
        <v>False</v>
      </c>
      <c r="CC372" s="25" t="str">
        <f>IF(OR(_xlfn.XLOOKUP(_xlfn.XLOOKUP(B372,'Base stats'!B:B,'Base stats'!E:E),Groups!A:A,Groups!AJ:AJ)="Reptile",_xlfn.XLOOKUP(_xlfn.XLOOKUP(B372,'Base stats'!B:B,'Base stats'!E:E),Groups!A:A,Groups!AJ:AJ)="Amphibian",_xlfn.XLOOKUP(_xlfn.XLOOKUP(B372,'Base stats'!B:B,'Base stats'!E:E),Groups!A:A,Groups!AJ:AJ)="Invertebrate"),"True","False")</f>
        <v>False</v>
      </c>
      <c r="CD372" s="25" t="str">
        <f t="shared" si="41"/>
        <v>False</v>
      </c>
      <c r="CE372" s="25" t="str">
        <f>IF(_xlfn.XLOOKUP(_xlfn.XLOOKUP(B372,'Base stats'!B:B,'Base stats'!E:E),Groups!A:A,Groups!AX:AX),"True","False")</f>
        <v>False</v>
      </c>
      <c r="CF372" s="25" t="str">
        <f>IF(_xlfn.XLOOKUP(_xlfn.XLOOKUP(B372,'Base stats'!B:B,'Base stats'!E:E),Groups!A:A,Groups!AY:AY),"True","False")</f>
        <v>False</v>
      </c>
      <c r="CG372" s="25" t="str">
        <f>IF(_xlfn.XLOOKUP(_xlfn.XLOOKUP(B372,'Base stats'!B:B,'Base stats'!E:E),Groups!A:A,Groups!AW:AW),"True","False")</f>
        <v>False</v>
      </c>
      <c r="CH372" s="25" t="str">
        <f>IF(
OR(
_xlfn.XLOOKUP(_xlfn.XLOOKUP(B372,'Base stats'!B:B,'Base stats'!E:E),Groups!A:A,Groups!AZ:AZ)=0,
AND(
_xlfn.XLOOKUP(B372,'Base stats'!B:B,'Base stats'!Y:Y)&lt;&gt;"Carnivore",
_xlfn.XLOOKUP(B372,'Base stats'!B:B,'Base stats'!Y:Y)&lt;&gt;"Omnivore",
_xlfn.XLOOKUP(B372,'Base stats'!B:B,'Base stats'!Y:Y)&lt;&gt;"OmnivoreRough"
)
),
"No",
IF(
_xlfn.XLOOKUP(_xlfn.XLOOKUP(B372,'Base stats'!B:B,'Base stats'!E:E),Groups!A:A,Groups!AZ:AZ)=1,
"Flesh",
IF(
_xlfn.XLOOKUP(_xlfn.XLOOKUP(B372,'Base stats'!B:B,'Base stats'!E:E),Groups!A:A,Groups!AZ:AZ)=2,
"Bone",
""
)
)
)</f>
        <v>No</v>
      </c>
      <c r="CI372" s="25" t="str">
        <f>IF(_xlfn.XLOOKUP(_xlfn.XLOOKUP(B372,'Base stats'!B:B,'Base stats'!E:E),Groups!A:A,Groups!BB:BB),"True","False")</f>
        <v>False</v>
      </c>
      <c r="CJ372" s="25" t="str">
        <f>IF(_xlfn.XLOOKUP(_xlfn.XLOOKUP(B372,'Base stats'!B:B,'Base stats'!E:E),Groups!A:A,Groups!BA:BA),"True","False")</f>
        <v>False</v>
      </c>
    </row>
    <row r="373" spans="1:88" ht="16.5" thickTop="1" thickBot="1" x14ac:dyDescent="0.3">
      <c r="A373" s="26" t="s">
        <v>1980</v>
      </c>
      <c r="B373" s="6" t="str">
        <f>_xlfn.XLOOKUP(A373,'Base stats'!A:A,'Base stats'!B:B)</f>
        <v>Stegosaurus stenops</v>
      </c>
      <c r="C373" s="28" t="s">
        <v>2047</v>
      </c>
      <c r="D373" s="28" t="s">
        <v>1898</v>
      </c>
      <c r="E373" s="28" t="s">
        <v>673</v>
      </c>
      <c r="F373" s="28" t="s">
        <v>673</v>
      </c>
      <c r="G373" s="28" t="s">
        <v>673</v>
      </c>
      <c r="H373" s="2">
        <f>MROUND((
  (IF(AND(_xlfn.XLOOKUP(B373,'Base stats'!B:B,'Base stats'!AL:AL)=0,BI373="None",_xlfn.XLOOKUP(_xlfn.XLOOKUP(B373,'Base stats'!B:B,'Base stats'!E:E),Groups!A:A,Groups!B:B)=0), (18 + BR373 * 2.7) * 0.5,
    IF(AND(_xlfn.XLOOKUP(B373,'Base stats'!B:B,'Base stats'!AL:AL)=0,OR(AO373&lt;0.55,AND(BI373="Intermediate",_xlfn.XLOOKUP(_xlfn.XLOOKUP(B373,'Base stats'!B:B,'Base stats'!E:E),Groups!A:A,Groups!B:B)&lt;2))), (18 + BR373 * 2.7),
      IF(OR(BI373="Advanced",_xlfn.XLOOKUP(B373,'Base stats'!B:B,'Base stats'!AL:AL)=1,_xlfn.XLOOKUP(_xlfn.XLOOKUP(B373,'Base stats'!B:B,'Base stats'!E:E),Groups!A:A,Groups!B:B)=2), (18 + BR373 * 2.7) + 250, (18 + BR373 * 2.7))
    )
  ))
  + AO373 * 80
  + IF(COUNTIF(EggMilk!K$2:K$998, A373) &gt; 0, 125, 0)
  + IF(COUNTIF(EggMilk!P$2:P$998, A373) &gt; 0, 90, 0)
  + IF(COUNTIF(EggMilk!A$2:A$998, A373) &gt; 0, 90, 0)
)
* (0.8 + 0.4 * J373)
* 0.75,25)</f>
        <v>1575</v>
      </c>
      <c r="I373" s="2">
        <f>MROUND(ROUNDDOWN(_xlfn.XLOOKUP(B373,'Base stats'!B:B,'Base stats'!L:L)/3.6/(23.3/11),1),0.5)</f>
        <v>3</v>
      </c>
      <c r="J373" s="2">
        <f>IF(OR(_xlfn.XLOOKUP(B373,'Base stats'!B:B,'Base stats'!AB:AB)=1,_xlfn.XLOOKUP(_xlfn.XLOOKUP(B373,'Base stats'!B:B,'Base stats'!E:E),Groups!A:A,Groups!C:C)="Untamable"),1,IF(_xlfn.XLOOKUP(B373,'Base stats'!B:B,'Base stats'!AL:AL)=1,0.99,MIN(MROUND((1-0.6282*EXP(-0.459*AO373))*_xlfn.XLOOKUP(_xlfn.XLOOKUP(B373,'Base stats'!B:B,'Base stats'!E:E),Groups!A:A,Groups!C:C)*IF(_xlfn.XLOOKUP(B373,'Base stats'!B:B,'Base stats'!O:O)=1,0.5,IF(_xlfn.XLOOKUP(B373,'Base stats'!B:B,'Base stats'!O:O)=2,0,1)),0.05),IF(AO373&gt;3.5,0.985,0.95))))</f>
        <v>0.95000000000000007</v>
      </c>
      <c r="K373" s="2">
        <f>ROUNDUP(AO373*_xlfn.XLOOKUP(_xlfn.XLOOKUP(B373,'Base stats'!B:B,'Base stats'!E:E),Groups!A:A,Groups!E:E),0)</f>
        <v>24</v>
      </c>
      <c r="L373" s="2">
        <f>IF(OR(_xlfn.XLOOKUP(_xlfn.XLOOKUP(B373,'Base stats'!B:B,'Base stats'!E:E),Groups!A:A,Groups!F:F)=2,ISNUMBER(SEARCH("SeaIce",BX373)),ISNUMBER(SEARCH("IceSheet",BX373))),-50,IF(OR(ISNUMBER(SEARCH("GlacialPlain",BX373)),ISNUMBER(SEARCH("Tundra",BX373))),-40,IF(OR(ISNUMBER(SEARCH("Alpine",BX373)),ISNUMBER(SEARCH("BorealForest",BX373)),ISNUMBER(SEARCH("ColdBog",BX373))),-30,IF(OR(ISNUMBER(SEARCH("TemperateForest",BX373)),ISNUMBER(SEARCH("TemperateSwamp",BX373))),-20,IF(_xlfn.XLOOKUP(_xlfn.XLOOKUP(B373,'Base stats'!B:B,'Base stats'!E:E),Groups!A:A,Groups!F:F)=1,-15,IF(OR(ISNUMBER(SEARCH("Desert",BX373)),ISNUMBER(SEARCH("ExtremeDesert",BX373))),-10,IF(OR(ISNUMBER(SEARCH("Grasslands",BX373)),ISNUMBER(SEARCH("TropicalRainforest",BX373)),ISNUMBER(SEARCH("TropicalSwamp",BX373))),10,0)))))))-IF(CC373="False",MIN(IFERROR(MAX(MROUND(LOG10(_xlfn.XLOOKUP(B373,'Base stats'!B:B,'Base stats'!C:C)^(2/3))*10,5),5),5),30))-_xlfn.XLOOKUP(B373,'Base stats'!B:B,'Base stats'!P:P)+IF(CC373="True",5,0)</f>
        <v>-15</v>
      </c>
      <c r="M373" s="2">
        <f>IF(OR(_xlfn.XLOOKUP(_xlfn.XLOOKUP(B373,'Base stats'!B:B,'Base stats'!E:E),Groups!A:A,Groups!G:G)=2,ISNUMBER(SEARCH("Desert",BX373)),ISNUMBER(SEARCH("ExtremeDesert",BX373)),ISNUMBER(SEARCH("LavaField",BX373))),50,IF(ISNUMBER(SEARCH("Grasslands",BX373)),45,IF(OR(_xlfn.XLOOKUP(_xlfn.XLOOKUP(B373,'Base stats'!B:B,'Base stats'!E:E),Groups!A:A,Groups!G:G)=1,ISNUMBER(SEARCH("TropicalRainforest",BX373)),ISNUMBER(SEARCH("TropicalSwamp",BX373))),40,IF(OR(ISNUMBER(SEARCH("TemperateForest",BX373)),ISNUMBER(SEARCH("TemperateSwamp",BX373))),35,IF(OR(ISNUMBER(SEARCH("Alpine",BX373)),ISNUMBER(SEARCH("BorealForest",BX373)),ISNUMBER(SEARCH("ColdBog",BX373))),30,IF(ISNUMBER(OR(ISNUMBER(SEARCH("GlacialPlain",BX373)),SEARCH("Tundra",BX373))),25,IF(OR(ISNUMBER(SEARCH("SeaIce",BX373)),ISNUMBER(SEARCH("IceSheet",BX373)),ISNUMBER(SEARCH("TropicalSwamp",BX373))),10,35)))))))+_xlfn.XLOOKUP(B373,'Base stats'!B:B,'Base stats'!Q:Q)</f>
        <v>50</v>
      </c>
      <c r="N373" s="8">
        <f>IF(
_xlfn.XLOOKUP(
_xlfn.XLOOKUP(B373,'Base stats'!B:B,'Base stats'!E:E),
Groups!A:A,
Groups!L:L
)=1,
MIN(
MROUND(
IF(
_xlfn.XLOOKUP(B373,'Animals CE'!B:B,'Animals CE'!Z:Z)&lt;=1.5,
_xlfn.XLOOKUP(B373,'Animals CE'!B:B,'Animals CE'!Z:Z)/2+0.05,
0.8+
(_xlfn.XLOOKUP(B373,'Animals CE'!B:B,'Animals CE'!Z:Z)-1.5)
*0.02
),
0.05
),
200%
),
"No"
)</f>
        <v>0.4</v>
      </c>
      <c r="O373" s="8">
        <f>IF(
_xlfn.XLOOKUP(
_xlfn.XLOOKUP(B373,'Base stats'!B:B,'Base stats'!E:E),
Groups!A:A,
Groups!L:L
)=1,
MIN(
MROUND(
IF(
_xlfn.XLOOKUP(B373,'Animals CE'!B:B,'Animals CE'!AA:AA)&lt;=1.5,
_xlfn.XLOOKUP(B373,'Animals CE'!B:B,'Animals CE'!AA:AA)/2+0.05,
0.8+
(_xlfn.XLOOKUP(B373,'Animals CE'!B:B,'Animals CE'!AA:AA)-1.5)
*0.02
),
0.05
),
200%
),
"No"
)</f>
        <v>0.70000000000000007</v>
      </c>
      <c r="P373" s="2" t="str">
        <f>_xlfn.XLOOKUP(B373,'Base stats'!B:B,'Base stats'!R:R)</f>
        <v>Standard</v>
      </c>
      <c r="Q373" s="13">
        <f>MROUND((LOG10(_xlfn.XLOOKUP(B373,'Base stats'!B:B,'Base stats'!AR:AR))*(AO373^0.5)+(_xlfn.XLOOKUP(B373,'Base stats'!B:B,'Base stats'!AR:AR)/1000)^(2/3)+_xlfn.XLOOKUP(B373,'Base stats'!B:B,'Base stats'!BA:BA)/2)+0.5,0.5)</f>
        <v>34</v>
      </c>
      <c r="R373" s="7">
        <f>IF(Q373="No","No",MAX(1,MROUND(_xlfn.XLOOKUP(B373,'Base stats'!B:B,'Base stats'!C:C)^0.165,0.05)))</f>
        <v>3.9000000000000004</v>
      </c>
      <c r="S373" s="13" t="str">
        <f>IF(_xlfn.XLOOKUP(_xlfn.XLOOKUP(B373,'Base stats'!B:B,'Base stats'!E:E),Groups!A:A,Groups!P:P)=0,"No",MROUND((LOG10(_xlfn.XLOOKUP(B373,'Base stats'!B:B,'Base stats'!AS:AS))*(AO373^0.5)+(_xlfn.XLOOKUP(B373,'Base stats'!B:B,'Base stats'!AS:AS)/1000)^(2/3)+_xlfn.XLOOKUP(B373,'Base stats'!B:B,'Base stats'!BA:BA))+_xlfn.XLOOKUP(B373,'Base stats'!B:B,'Base stats'!AY:AY)+0.5,0.5))</f>
        <v>No</v>
      </c>
      <c r="T373" s="7" t="str">
        <f>IF(S373="No","No",MAX(_xlfn.XLOOKUP(_xlfn.XLOOKUP(B373,'Base stats'!B:B,'Base stats'!E:E),Groups!A:A,Groups!Q:Q),MROUND(_xlfn.XLOOKUP(_xlfn.XLOOKUP(B373,'Base stats'!B:B,'Base stats'!E:E),Groups!A:A,Groups!Q:Q)*_xlfn.XLOOKUP(B373,'Base stats'!B:B,'Base stats'!C:C)^0.165,0.05)))</f>
        <v>No</v>
      </c>
      <c r="U373" s="7" t="str">
        <f>IF(S373="No","No",_xlfn.XLOOKUP(_xlfn.XLOOKUP(B373,'Base stats'!B:B,'Base stats'!E:E),Groups!A:A,Groups!R:R))</f>
        <v>No</v>
      </c>
      <c r="V373" s="7" t="str">
        <f>IF(S373="No","No",_xlfn.XLOOKUP(_xlfn.XLOOKUP(B373,'Base stats'!B:B,'Base stats'!E:E),Groups!A:A,Groups!S:S))</f>
        <v>No</v>
      </c>
      <c r="W373" s="7" t="str">
        <f>IF(S373="No","No",_xlfn.XLOOKUP(_xlfn.XLOOKUP(B373,'Base stats'!B:B,'Base stats'!E:E),Groups!A:A,Groups!T:T))</f>
        <v>No</v>
      </c>
      <c r="X373" s="13">
        <f>IF(_xlfn.XLOOKUP(B373,'Base stats'!B:B,'Base stats'!W:W)="No","No",MROUND((LOG10(_xlfn.XLOOKUP(B373,'Base stats'!B:B,'Base stats'!AU:AU))*(AO373^0.5)+(_xlfn.XLOOKUP(B373,'Base stats'!B:B,'Base stats'!AU:AU)/1000)^(2/3)+_xlfn.XLOOKUP(B373,'Base stats'!B:B,'Base stats'!AZ:AZ))+0.5+IF(_xlfn.XLOOKUP(_xlfn.XLOOKUP(B373,'Base stats'!B:B,'Base stats'!E:E),Groups!A:A,Groups!U:U)&lt;&gt;3,_xlfn.XLOOKUP(B373,'Base stats'!B:B,'Base stats'!BA:BA),0),0.5))</f>
        <v>32.5</v>
      </c>
      <c r="Y373" s="7">
        <f>IF(X373="No","No",MAX(_xlfn.XLOOKUP(_xlfn.XLOOKUP(B373,'Base stats'!B:B,'Base stats'!E:E),Groups!A:A,Groups!V:V),MROUND(_xlfn.XLOOKUP(_xlfn.XLOOKUP(B373,'Base stats'!B:B,'Base stats'!E:E),Groups!A:A,Groups!V:V)*_xlfn.XLOOKUP(B373,'Base stats'!B:B,'Base stats'!C:C)^0.165,0.05)))</f>
        <v>3.35</v>
      </c>
      <c r="Z373" s="7" t="str">
        <f>IF(X373="No","No",_xlfn.XLOOKUP(_xlfn.XLOOKUP(B373,'Base stats'!B:B,'Base stats'!E:E),Groups!A:A,Groups!W:W))</f>
        <v>TailAttackTool</v>
      </c>
      <c r="AA373" s="7" t="str">
        <f>IF(X373="No","No",_xlfn.XLOOKUP(_xlfn.XLOOKUP(B373,'Base stats'!B:B,'Base stats'!E:E),Groups!A:A,Groups!X:X))</f>
        <v>thagomizer</v>
      </c>
      <c r="AB373" s="7" t="str">
        <f>IF(X373="No","No",_xlfn.XLOOKUP(_xlfn.XLOOKUP(B373,'Base stats'!B:B,'Base stats'!E:E),Groups!A:A,Groups!Y:Y))</f>
        <v>Scratch</v>
      </c>
      <c r="AC373" s="7" t="str">
        <f>_xlfn.XLOOKUP(Animals!B373,'Base stats'!B:B,'Base stats'!X:X)</f>
        <v>False</v>
      </c>
      <c r="AD373" s="13" t="str">
        <f>IF(_xlfn.XLOOKUP(B373,'Base stats'!B:B,'Base stats'!AT:AT)="No","No",MROUND((LOG10(_xlfn.XLOOKUP(B373,'Base stats'!B:B,'Base stats'!AT:AT))*(AO373^0.75)+(_xlfn.XLOOKUP(B373,'Base stats'!B:B,'Base stats'!AT:AT)/1000)^(2/3)+_xlfn.XLOOKUP(B373,'Base stats'!B:B,'Base stats'!AX:AX)+_xlfn.XLOOKUP(B373,'Base stats'!B:B,'Base stats'!BA:BA))+0.5,0.5))</f>
        <v>No</v>
      </c>
      <c r="AE373" s="7" t="str">
        <f>IF(AD373="No","No",MAX(_xlfn.XLOOKUP(_xlfn.XLOOKUP(B373,'Base stats'!B:B,'Base stats'!E:E),Groups!A:A,Groups!Z:Z),MROUND(_xlfn.XLOOKUP(_xlfn.XLOOKUP(B373,'Base stats'!B:B,'Base stats'!E:E),Groups!A:A,Groups!Z:Z)*_xlfn.XLOOKUP(B373,'Base stats'!B:B,'Base stats'!C:C)^0.165,0.05)))</f>
        <v>No</v>
      </c>
      <c r="AF373" s="7" t="str">
        <f>IF(AD373="No","No",_xlfn.XLOOKUP(_xlfn.XLOOKUP(B373,'Base stats'!B:B,'Base stats'!E:E),Groups!A:A,Groups!AA:AA))</f>
        <v>No</v>
      </c>
      <c r="AG373" s="7" t="str">
        <f>IF(AD373="No","No",_xlfn.XLOOKUP(_xlfn.XLOOKUP(B373,'Base stats'!B:B,'Base stats'!E:E),Groups!A:A,Groups!AB:AB))</f>
        <v>No</v>
      </c>
      <c r="AH373" s="7" t="str">
        <f>IF(AD373="No","No",_xlfn.XLOOKUP(_xlfn.XLOOKUP(B373,'Base stats'!B:B,'Base stats'!E:E),Groups!A:A,Groups!AC:AC))</f>
        <v>No</v>
      </c>
      <c r="AI373" s="13" t="str">
        <f>IF(_xlfn.XLOOKUP(_xlfn.XLOOKUP(B373,'Base stats'!B:B,'Base stats'!E:E),Groups!A:A,Groups!AD:AD)=0,"No",MROUND((LOG10(_xlfn.XLOOKUP(B373,'Base stats'!B:B,'Base stats'!AS:AS))*(AO373^0.75)+(_xlfn.XLOOKUP(B373,'Base stats'!B:B,'Base stats'!AS:AS)/1000)^(2/3)+_xlfn.XLOOKUP(B373,'Base stats'!B:B,'Base stats'!AY:AY)+_xlfn.XLOOKUP(B373,'Base stats'!B:B,'Base stats'!BA:BA))+0.5,0.5))</f>
        <v>No</v>
      </c>
      <c r="AJ373" s="7" t="str">
        <f>IF(AI373="No","No",MAX(_xlfn.XLOOKUP(_xlfn.XLOOKUP(B373,'Base stats'!B:B,'Base stats'!E:E),Groups!A:A,Groups!AE:AE),MROUND(_xlfn.XLOOKUP(_xlfn.XLOOKUP(B373,'Base stats'!B:B,'Base stats'!E:E),Groups!A:A,Groups!AE:AE)*IF(_xlfn.XLOOKUP(_xlfn.XLOOKUP(B373,'Base stats'!B:B,'Base stats'!E:E),Groups!A:A,Groups!AJ:AJ)="Photonozoa",0.6,1)*_xlfn.XLOOKUP(B373,'Base stats'!B:B,'Base stats'!C:C)^0.165,0.05)))</f>
        <v>No</v>
      </c>
      <c r="AK373" s="7" t="str">
        <f>IF(AI373="No","No",_xlfn.XLOOKUP(_xlfn.XLOOKUP(B373,'Base stats'!B:B,'Base stats'!E:E),Groups!A:A,Groups!AF:AF))</f>
        <v>No</v>
      </c>
      <c r="AL373" s="7" t="str">
        <f>IF(AI373="No","No",_xlfn.XLOOKUP(_xlfn.XLOOKUP(B373,'Base stats'!B:B,'Base stats'!E:E),Groups!A:A,Groups!AG:AG))</f>
        <v>No</v>
      </c>
      <c r="AM373" s="7" t="str">
        <f>IF(AI373="No","No",_xlfn.XLOOKUP(_xlfn.XLOOKUP(B373,'Base stats'!B:B,'Base stats'!E:E),Groups!A:A,Groups!AH:AH))</f>
        <v>No</v>
      </c>
      <c r="AN373" s="2" t="str">
        <f t="shared" si="35"/>
        <v>No</v>
      </c>
      <c r="AO373" s="2">
        <f>MROUND(IF(AND(_xlfn.XLOOKUP(B373,'Base stats'!B:B,'Base stats'!C:C)&gt;=0.5,_xlfn.XLOOKUP(B373,'Base stats'!B:B,'Base stats'!C:C)&lt;=0.8),
IF(_xlfn.XLOOKUP(B373,'Base stats'!B:B,'Base stats'!C:C)&lt;0.1,0.05,IF(_xlfn.XLOOKUP(B373,'Base stats'!B:B,'Base stats'!C:C)&lt;=70,(_xlfn.XLOOKUP(B373,'Base stats'!B:B,'Base stats'!C:C)/70)^0.426489913056526,IF(_xlfn.XLOOKUP(B373,'Base stats'!B:B,'Base stats'!C:C)&lt;=400,(_xlfn.XLOOKUP(B373,'Base stats'!B:B,'Base stats'!C:C)/70)^0.572811455315093,IF(_xlfn.XLOOKUP(B373,'Base stats'!B:B,'Base stats'!C:C)&lt;=2000,2.71391647193063*(_xlfn.XLOOKUP(B373,'Base stats'!B:B,'Base stats'!C:C)/400)^0.252459582904293,3.74314280240376*(_xlfn.XLOOKUP(B373,'Base stats'!B:B,'Base stats'!C:C)/2000)^0.357012633876913)))),
IF(_xlfn.XLOOKUP(B373,'Base stats'!B:B,'Base stats'!C:C)&lt;0.1,0.05,IF(_xlfn.XLOOKUP(B373,'Base stats'!B:B,'Base stats'!C:C)&lt;0.4,0.1,IF(_xlfn.XLOOKUP(B373,'Base stats'!B:B,'Base stats'!C:C)&lt;=70,(_xlfn.XLOOKUP(B373,'Base stats'!B:B,'Base stats'!C:C)/70)^0.445823913056526,IF(_xlfn.XLOOKUP(B373,'Base stats'!B:B,'Base stats'!C:C)&lt;=400,(_xlfn.XLOOKUP(B373,'Base stats'!B:B,'Base stats'!C:C)/70)^0.572811455315093,IF(_xlfn.XLOOKUP(B373,'Base stats'!B:B,'Base stats'!C:C)&lt;=2000,2.71391647193063*(_xlfn.XLOOKUP(B373,'Base stats'!B:B,'Base stats'!C:C)/400)^0.252459582904293,3.74314280240376*(_xlfn.XLOOKUP(B373,'Base stats'!B:B,'Base stats'!C:C)/2000)^0.357012633876913)))))),
IF(_xlfn.XLOOKUP(B373,'Base stats'!B:B,'Base stats'!C:C)&lt;0.1,0.05,IF(_xlfn.XLOOKUP(B373,'Base stats'!B:B,'Base stats'!C:C)&lt;=100,0.05,IF(_xlfn.XLOOKUP(B373,'Base stats'!B:B,'Base stats'!C:C)&lt;=250,0.1,IF(_xlfn.XLOOKUP(B373,'Base stats'!B:B,'Base stats'!C:C)&lt;=4000,0.25,0.5)))))</f>
        <v>4.75</v>
      </c>
      <c r="AP373" s="8">
        <f>MROUND(AO373*_xlfn.XLOOKUP(_xlfn.XLOOKUP(B373,'Base stats'!B:B,'Base stats'!E:E),Groups!A:A,Groups!AI:AI)*_xlfn.XLOOKUP(B373,'Base stats'!B:B,'Base stats'!Z:Z),0.05)</f>
        <v>4.75</v>
      </c>
      <c r="AQ373" s="8">
        <f>MAX(0.01,MROUND(IF(CC373="True",0.196*(AO373*100*1000)^0.889,IF(_xlfn.XLOOKUP(_xlfn.XLOOKUP(B373,'Base stats'!B:B,'Base stats'!E:E),Groups!A:A,Groups!AJ:AJ)="Bird",10.5*(AO373*100*1000)^0.681,4.82*(AO373*100*1000)^0.734))/(4.82*(1*100*1000)^0.734)/IF(AO373&lt;3.5,2,IF(AO373=3.5,1.5,1.25))*(1+0.132282374779864/(AO373^0.994035016789033+0.00905238001496948)),0.05))</f>
        <v>2.8000000000000003</v>
      </c>
      <c r="AR373" s="9">
        <f>IFERROR(MROUND(_xlfn.XLOOKUP(B373,'Base stats'!B:B,'Base stats'!H:H)/IF(_xlfn.XLOOKUP(B373,'Base stats'!B:B,'Base stats'!I:I)&lt;&gt;1,(122.5/70),1.2),IF(_xlfn.XLOOKUP(B373,'Base stats'!B:B,'Base stats'!H:H)&gt;=30,5,IF(_xlfn.XLOOKUP(B373,'Base stats'!B:B,'Base stats'!H:H)&gt;=15,3,IF(_xlfn.XLOOKUP(B373,'Base stats'!B:B,'Base stats'!H:H)&gt;=10,2,1)))),"Immortal")</f>
        <v>40</v>
      </c>
      <c r="AS373" s="35" t="str">
        <f>IFERROR(IF(OR(_xlfn.XLOOKUP(B373,'Base stats'!B:B,'Base stats'!F:F)="Atypical reproduction",_xlfn.XLOOKUP(B373,'Base stats'!B:B,'Base stats'!F:F)="Lay eggs"),"Lay eggs",MIN(20,MAX(5.5,ROUND(((_xlfn.XLOOKUP(B373,'Base stats'!B:B,'Base stats'!F:F)-25)*(14.5/615) + 5.5)*2,0)/2))),"Unknown")</f>
        <v>Lay eggs</v>
      </c>
      <c r="AT373" s="8">
        <f>IF(_xlfn.XLOOKUP(B373,'Base stats'!B:B,'Base stats'!G:G)="Atypical reproduction","No",IFERROR(MAX(IF(_xlfn.XLOOKUP(B373,'Base stats'!B:B,'Base stats'!G:G)&lt;0.5,0.2,0.3),MROUND(_xlfn.XLOOKUP(B373,'Base stats'!B:B,'Base stats'!G:G)/(365/60),0.2)),"Unknown"))</f>
        <v>3.2</v>
      </c>
      <c r="AU373" s="8">
        <f t="shared" si="36"/>
        <v>1.6</v>
      </c>
      <c r="AV373" s="8" t="str">
        <f>IFERROR(IFERROR(MROUND(_xlfn.XLOOKUP(B373,'Base stats'!B:B,'Base stats'!J:J),0.1),"Lay eggs"),"Cannot breed")</f>
        <v>Lay eggs</v>
      </c>
      <c r="AW373" s="2" t="str">
        <f t="shared" si="37"/>
        <v>true</v>
      </c>
      <c r="AX373" s="2" t="str">
        <f>IF(_xlfn.XLOOKUP(_xlfn.XLOOKUP(Animals!B373,'Base stats'!B:B,'Base stats'!E:E),Groups!A:A,Groups!AK:AK)=1,"true","false")</f>
        <v>false</v>
      </c>
      <c r="AY373" s="25" t="str">
        <f>IF(_xlfn.XLOOKUP(B373,'Base stats'!B:B,'Base stats'!Y:Y)="Liquor","Liquor, CarnivoreAnimalStrict",IF(AND(_xlfn.XLOOKUP(B373,'Base stats'!B:B,'Base stats'!Y:Y)="Carnivore",_xlfn.XLOOKUP(_xlfn.XLOOKUP(B373,'Base stats'!B:B,'Base stats'!E:E),Groups!A:A,Groups!AJ:AJ)="Photonozoa"),"CarnivoreAnimalStrict, OvivoreAnimal",IF(_xlfn.XLOOKUP(B373,'Base stats'!B:B,'Base stats'!Y:Y)="Carnivore","CarnivoreAnimal, OvivoreAnimal",IF(_xlfn.XLOOKUP(B373,'Base stats'!B:B,'Base stats'!Y:Y)="Dendrovore","VegetarianRoughAnimal, DendrovoreAnimal",IF(_xlfn.XLOOKUP(B373,'Base stats'!B:B,'Base stats'!Y:Y)="Herbivore","VegetarianRoughAnimal",IF(_xlfn.XLOOKUP(B373,'Base stats'!B:B,'Base stats'!Y:Y)="OmnivoreRough","OmnivoreRoughAnimal, OvivoreAnimal","OmnivoreAnimal, OvivoreAnimal"))))))</f>
        <v>VegetarianRoughAnimal</v>
      </c>
      <c r="AZ373" s="2">
        <f>IF(_xlfn.XLOOKUP(_xlfn.XLOOKUP(B373,'Base stats'!B:B,'Base stats'!E:E),Groups!A:A,Groups!D:D)=1,MROUND((1-J373)*5+1,2)*IF(J373&lt;=0.4,2,1),"No")</f>
        <v>2</v>
      </c>
      <c r="BA373" s="2" t="str">
        <f>IF(AND(_xlfn.XLOOKUP(B373,'Base stats'!B:B,'Base stats'!AH:AH)="&lt;li&gt;Seal&lt;/li&gt;",G373="Odyssey"),"&lt;li&gt;AEXP_Seal&lt;/li&gt;",_xlfn.XLOOKUP(B373,'Base stats'!B:B,'Base stats'!AH:AH))</f>
        <v>No</v>
      </c>
      <c r="BB373" s="2" t="str">
        <f>_xlfn.XLOOKUP(B373,'Base stats'!B:B,'Base stats'!AG:AG)</f>
        <v>Leather_DinosaurHide</v>
      </c>
      <c r="BC373" s="23" t="str">
        <f>_xlfn.XLOOKUP(_xlfn.XLOOKUP(B373,'Base stats'!B:B,'Base stats'!E:E),Groups!A:A,Groups!AL:AL)</f>
        <v>Thyreophorae</v>
      </c>
      <c r="BD373" s="23">
        <f>MIN(1,MROUND(IF(AND(AO373&lt;0.5,_xlfn.XLOOKUP(B373,'Base stats'!B:B,'Base stats'!AA:AA)=0),0,IF(OR(_xlfn.XLOOKUP(Animals!B373,'Base stats'!B:B,'Base stats'!O:O)=2,_xlfn.XLOOKUP(_xlfn.XLOOKUP(B373,'Base stats'!B:B,'Base stats'!E:E),Groups!A:A,Groups!AN:AN)=0),0,_xlfn.XLOOKUP(_xlfn.XLOOKUP(B373,'Base stats'!B:B,'Base stats'!E:E),Groups!A:A,Groups!AN:AN)/IF(_xlfn.XLOOKUP(Animals!B373,'Base stats'!B:B,'Base stats'!O:O)=1,2,1)))+_xlfn.XLOOKUP(B373,'Base stats'!B:B,'Base stats'!AC:AC),0.005))</f>
        <v>0.1</v>
      </c>
      <c r="BE373" s="23">
        <f>MIN(1,MROUND(IF(AND(AO373&lt;0.5,_xlfn.XLOOKUP(B373,'Base stats'!B:B,'Base stats'!AA:AA)=0),0,IF(_xlfn.XLOOKUP(_xlfn.XLOOKUP(B373,'Base stats'!B:B,'Base stats'!E:E),Groups!A:A,Groups!AO:AO)=0,0,_xlfn.XLOOKUP(_xlfn.XLOOKUP(B373,'Base stats'!B:B,'Base stats'!E:E),Groups!A:A,Groups!AO:AO)/IF(_xlfn.XLOOKUP(Animals!B373,'Base stats'!B:B,'Base stats'!O:O)=2,3,1)))+_xlfn.XLOOKUP(B373,'Base stats'!B:B,'Base stats'!AD:AD),0.005))</f>
        <v>0.3</v>
      </c>
      <c r="BF373" s="2" t="str">
        <f>IF(J373&gt;0.3,"No",_xlfn.XLOOKUP(_xlfn.XLOOKUP(Animals!B373,'Base stats'!B:B,'Base stats'!E:E),Groups!A:A,Groups!AP:AP))</f>
        <v>No</v>
      </c>
      <c r="BG373" s="2" t="str">
        <f>IF(AND(J373&lt;=0.65,_xlfn.XLOOKUP(_xlfn.XLOOKUP(Animals!B373,'Base stats'!B:B,'Base stats'!E:E),Groups!A:A,Groups!AP:AP)&lt;&gt;"No",_xlfn.XLOOKUP(_xlfn.XLOOKUP(B373,'Base stats'!B:B,'Base stats'!E:E),Groups!A:A,Groups!D:D)=0),MROUND((80/3)*IF(_xlfn.XLOOKUP(B373,'Base stats'!B:B,'Base stats'!O:O)=2,0.2,AO373) + 24*(1-IF(BF373="No",0,BF373)) + 16/3, 12),"No")</f>
        <v>No</v>
      </c>
      <c r="BH373" s="2">
        <f>IF(AND(_xlfn.XLOOKUP(_xlfn.XLOOKUP(B373,'Base stats'!B:B,'Base stats'!E:E),Groups!A:A,Groups!AQ:AQ)=1,AO373&lt;=0.35),8,12)</f>
        <v>12</v>
      </c>
      <c r="BI373" s="2" t="str">
        <f>IF(_xlfn.XLOOKUP(_xlfn.XLOOKUP(B373,'Base stats'!B:B,'Base stats'!E:E),Groups!A:A,Groups!D:D)=0,_xlfn.XLOOKUP(_xlfn.XLOOKUP(B373,'Base stats'!B:B,'Base stats'!E:E),Groups!A:A,Groups!AR:AR),"None")</f>
        <v>None</v>
      </c>
      <c r="BJ373" s="2" t="str">
        <f>IF(AND(_xlfn.XLOOKUP(_xlfn.XLOOKUP(B373,'Base stats'!B:B,'Base stats'!E:E),Groups!A:A,Groups!AS:AS)=1,OR(_xlfn.XLOOKUP(B373,'Base stats'!B:B,'Base stats'!Y:Y)="Carnivore",_xlfn.XLOOKUP(B373,'Base stats'!B:B,'Base stats'!Y:Y)="Omnivore")),"true","false")</f>
        <v>false</v>
      </c>
      <c r="BK373" s="2" t="str">
        <f>IF(BJ373="true",MROUND(IF(AND(AO373&gt;0.5,OR(_xlfn.XLOOKUP(_xlfn.XLOOKUP(B373,'Base stats'!B:B,'Base stats'!E:E),Groups!A:A,Groups!AJ:AJ)="Photonozoa",_xlfn.XLOOKUP(_xlfn.XLOOKUP(B373,'Base stats'!B:B,'Base stats'!E:E),Groups!A:A,Groups!AJ:AJ)="Mammal")),Animals!AO373*1.75*IF(AW373="true",1.5,1),IF(AO373&lt;0.5,Animals!AO373*0.5,Animals!AO373)),IF(AO373&gt;2,0.5,IF(AO373&gt;0.5,0.25,0.1))),"No")</f>
        <v>No</v>
      </c>
      <c r="BL373" s="2">
        <f t="shared" si="38"/>
        <v>0</v>
      </c>
      <c r="BM373" s="25" t="str">
        <f>IF(_xlfn.XLOOKUP(B373,'Base stats'!B:B,'Base stats'!AN:AN)="Standard","No",MROUND((_xlfn.XLOOKUP(B373,'Base stats'!B:B,'Base stats'!AN:AN)/3.6)/I373,0.1))</f>
        <v>No</v>
      </c>
      <c r="BN373" s="25" t="str">
        <f t="shared" si="39"/>
        <v>false</v>
      </c>
      <c r="BO373" s="25" t="str">
        <f>IF(AND(OR(_xlfn.XLOOKUP(B373,'Base stats'!B:B,'Base stats'!Y:Y)="Carnivore",_xlfn.XLOOKUP(B373,'Base stats'!B:B,'Base stats'!Y:Y)="Omnivore",_xlfn.XLOOKUP(B373,'Base stats'!B:B,'Base stats'!Y:Y)="OmnivoreRough"),_xlfn.XLOOKUP(_xlfn.XLOOKUP(B373,'Base stats'!B:B,'Base stats'!E:E),Groups!A:A,Groups!AT:AT)=1),"true","false")</f>
        <v>false</v>
      </c>
      <c r="BP373" s="25" t="str" cm="1">
        <f t="array" ref="BP373">IF(
  _xlfn.TEXTJOIN(", ",TRUE,
    IF(AND(BJ373="true",AO373&gt;0.5,BI373&lt;&gt;"None"),"AttackTarget",""),
    IF(AND(_xlfn.XLOOKUP(_xlfn.XLOOKUP(B373,'Base stats'!B:B,'Base stats'!E:E),Groups!A:A,Groups!AJ:AJ="Mammal"),OR(_xlfn.XLOOKUP(B373,'Base stats'!B:B,'Base stats'!Y:Y)="Omnivore",_xlfn.XLOOKUP(B373,'Base stats'!B:B,'Base stats'!Y:Y)="OmnivoreRough")),"Forage",""),
    IF(BG373&lt;=36,"Comfort",""),
    IF(_xlfn.XLOOKUP(B373,'Base stats'!B:B,'Base stats'!AE:AE)&lt;&gt;"No",_xlfn.XLOOKUP(B373,'Base stats'!B:B,'Base stats'!AE:AE),"")
  ) = "",
  "No",
  _xlfn.TEXTJOIN(", ",TRUE,
    IF(AND(BJ373="true",AO373&gt;0.5,BI373&lt;&gt;"None"),"AttackTarget",""),
    IF(AND(_xlfn.XLOOKUP(_xlfn.XLOOKUP(B373,'Base stats'!B:B,'Base stats'!E:E),Groups!A:A,Groups!AJ:AJ="Mammal"),OR(_xlfn.XLOOKUP(B373,'Base stats'!B:B,'Base stats'!Y:Y)="Omnivore",_xlfn.XLOOKUP(B373,'Base stats'!B:B,'Base stats'!Y:Y)="OmnivoreRough")),"Forage",""),
    IF(BG373&lt;=36,"Comfort",""),
    IF(_xlfn.XLOOKUP(B373,'Base stats'!B:B,'Base stats'!AE:AE)&lt;&gt;"No",_xlfn.XLOOKUP(B373,'Base stats'!B:B,'Base stats'!AE:AE),"")
  )
)</f>
        <v>No</v>
      </c>
      <c r="BQ373" s="25" t="str">
        <f>IF(
   AND(
      'Base stats'!AN373="Standard",_xlfn.XLOOKUP(_xlfn.XLOOKUP(B373,'Base stats'!B:B,'Base stats'!E:E),Groups!A:A,Groups!AU:AU)=0,
      OR(
      BO373="True"
      )
   ),
   10,
   IF(
       OR(BM373&lt;&gt;"No",_xlfn.XLOOKUP(_xlfn.XLOOKUP(B373,'Base stats'!B:B,'Base stats'!E:E),Groups!A:A,Groups!AU:AU)=1),
      1,
      "No"
   )
)</f>
        <v>No</v>
      </c>
      <c r="BR373" s="9">
        <f>MROUND((1 + ((0.2*IF(OR(Q373="No",R373="No",R373=0),0,Q373/R373)
+IF(OR(V373="No",S373="No",T373="No"),0,S373/T373*(LEN(V373)-LEN(SUBSTITUTE(V373,",",""))+1))
+IF(OR(X373="No",Y373="No"),0,X373/Y373)
+IF(OR(AD373="No",AE373="No"),0,AD373/AE373)
+IF(OR(AL373="No",AI373="No",AJ373="No"),0,AI373/AJ373*(LEN(AL373)-LEN(SUBSTITUTE(AL373,",",""))+1))
)/(0.2*IF(OR(Q373="No",R373="No",R373=0),0,1)
+IF(OR(V373="No",S373="No",T373="No"),0,LEN(V373)-LEN(SUBSTITUTE(V373,",",""))+1)
+IF(OR(X373="No",Y373="No"),0,1)
+IF(OR(AD373="No",AE373="No"),0,1)
+IF(OR(AL373="No",AI373="No",AJ373="No"),0,LEN(AL373)-LEN(SUBSTITUTE(AL373,",",""))+1))*62%)* 2)*(1 + (AP373 / (IF(_xlfn.XLOOKUP(_xlfn.XLOOKUP(B373,'Base stats'!B:B,'Base stats'!E:E),Groups!A:A,Groups!AJ:AJ)="Photonozoa",0.3,1)) + _xlfn.XLOOKUP(B373,'Base stats'!B:B,'Base stats'!AV:AV) * 1.8) * 2) * 2.5 + 10 + I373 * 2,5)+IF(_xlfn.XLOOKUP(B373,'Base stats'!B:B,'Base stats'!AK:AK)=1,50,0)</f>
        <v>415</v>
      </c>
      <c r="BS373" s="8">
        <f t="shared" si="40"/>
        <v>3.2</v>
      </c>
      <c r="BT373" s="8" t="str">
        <f>_xlfn.XLOOKUP(B373,'Base stats'!B:B,'Base stats'!AF:AF)</f>
        <v>2~6</v>
      </c>
      <c r="BU373" s="2" t="str">
        <f>IF(AND(J373&lt;=0.95,OR(_xlfn.XLOOKUP(B373,'Base stats'!B:B,'Base stats'!AK:AK)=1,_xlfn.XLOOKUP(B373,'Base stats'!B:B,'Base stats'!Y:Y)="Carnivore",_xlfn.XLOOKUP(B373,'Base stats'!B:B,'Base stats'!Y:Y)="Omnivore",BE373&gt;0.1)),"true","false")</f>
        <v>true</v>
      </c>
      <c r="BV373" s="2" t="str">
        <f>IF(_xlfn.XLOOKUP(B373,'Base stats'!B:B,'Base stats'!AI:AI)=1,"true","false")</f>
        <v>true</v>
      </c>
      <c r="BW373" s="25" t="str">
        <f>IF(E373="BaseInsect","AnimalInsect",
IF(J373&gt;0.95,"AnimalExotic",
_xlfn.TEXTJOIN(", ",TRUE,
IF(OR(_xlfn.XLOOKUP(B373,'Base stats'!B:B,'Base stats'!AM:AM)=1,AND(_xlfn.XLOOKUP(B373,'Base stats'!B:B,'Base stats'!O:O)=0,_xlfn.XLOOKUP(_xlfn.XLOOKUP(B373,'Base stats'!B:B,'Base stats'!E:E),Groups!A:A,Groups!B:B)&gt;0)),"AnimalUncommon","AnimalCommon"),
IF(AND(_xlfn.XLOOKUP(B373,'Base stats'!B:B,'Base stats'!O:O)=2,_xlfn.XLOOKUP(_xlfn.XLOOKUP(B373,'Base stats'!B:B,'Base stats'!E:E),Groups!A:A,Groups!D:D)=0),"AnimalPet",IF(AND(_xlfn.XLOOKUP(B373,'Base stats'!B:B,'Base stats'!O:O)&lt;&gt;0,_xlfn.XLOOKUP(_xlfn.XLOOKUP(B373,'Base stats'!B:B,'Base stats'!E:E),Groups!A:A,Groups!D:D)&lt;&gt;0),"AnimalFarm","")),
IF(OR(_xlfn.XLOOKUP(B373,'Base stats'!B:B,'Base stats'!AK:AK)=1,AND(BI373&lt;&gt;"None",BR373&gt;=60),ISNUMBER(SEARCH("Attack target",BP373))),"AnimalFighter","")
)))</f>
        <v>AnimalUncommon</v>
      </c>
      <c r="BX373" s="25" t="str">
        <f>IF(G373="None",TRIM(
SUBSTITUTE(
IF(COUNTIF(Biomes!B$2:B$259,"="&amp;$C373)&gt;0,Biomes!B$1&amp;", ","")&amp;
IF(COUNTIF(Biomes!C$2:C$259,"="&amp;$C373)&gt;0,Biomes!C$1&amp;", ","")&amp;
IF(COUNTIF(Biomes!D$2:D$259,"="&amp;$C373)&gt;0,Biomes!D$1&amp;", ","")&amp;
IF(COUNTIF(Biomes!F$2:F$259,"="&amp;$C373)&gt;0,Biomes!F$1&amp;", ","")&amp;
IF(COUNTIF(Biomes!G$2:G$259,"="&amp;$C373)&gt;0,Biomes!G$1&amp;", ","")&amp;
IF(COUNTIF(Biomes!H$2:H$259,"="&amp;$C373)&gt;0,Biomes!H$1&amp;", ","")&amp;
IF(COUNTIF(Biomes!I$2:I$259,"="&amp;$C373)&gt;0,Biomes!I$1&amp;", ","")&amp;
IF(COUNTIF(Biomes!J$2:J$259,"="&amp;$C373)&gt;0,Biomes!J$1&amp;", ","")&amp;
IF(COUNTIF(Biomes!M$2:M$259,"="&amp;$C373)&gt;0,Biomes!M$1&amp;", ","")&amp;
IF(COUNTIF(Biomes!N$2:N$259,"="&amp;$C373)&gt;0,Biomes!N$1&amp;", ","")&amp;
IF(COUNTIF(Biomes!O$2:O$259,"="&amp;$C373)&gt;0,Biomes!O$1&amp;", ","")&amp;
IF(COUNTIF(Biomes!P$2:P$259,"="&amp;$C373)&gt;0,Biomes!P$1&amp;", ","")&amp;
IF(COUNTIF(Biomes!K$2:K$259,"="&amp;$C373)&gt;0,Biomes!K$1&amp;", ","")&amp;
IF(COUNTIF(Biomes!Q$3:Q$259,"="&amp;$C373)&gt;0,Biomes!Q$1&amp;", ","")&amp;
IF(COUNTIF(Biomes!L$2:L$259,"="&amp;$C373)&gt;0,Biomes!L$1&amp;", ","")&amp;
IF(COUNTIF(Biomes!E$2:E$259,"="&amp;$C373)&gt;0,Biomes!E$1&amp;", ","")&amp;IF(COUNTIF(Biomes!S$2:S$259,"="&amp;$C373)&gt;0,Biomes!S$1&amp;", ","")&amp;
IF(COUNTIF(Biomes!R$2:R$259,"="&amp;$C373)&gt;0,Biomes!R$1&amp;", ",""),", ","")
),_xlfn.XLOOKUP(B373,B:B,BX:BX))</f>
        <v>AridShrubland Grasslands LavaField</v>
      </c>
      <c r="BY373" s="25" t="str">
        <f>IF(_xlfn.XLOOKUP(B373,'Base stats'!B:B,'Base stats'!AJ:AJ)=1,"true","false")</f>
        <v>false</v>
      </c>
      <c r="BZ373" s="25">
        <f>IF(_xlfn.XLOOKUP(B373,'Base stats'!B:B,'Base stats'!N:N)=1,"No",MAX(0.001,MIN(MROUND(IF(AND(BJ373="True",CC373="False"),POWER(10,3.47*LOG10(_xlfn.XLOOKUP(B373,'Base stats'!B:B,'Base stats'!C:C)*1000)^-0.96),POWER(10,4.15*LOG10(_xlfn.XLOOKUP(B373,'Base stats'!B:B,'Base stats'!C:C)*1000)^-0.73))*IF(_xlfn.XLOOKUP(B373,'Base stats'!B:B,'Base stats'!AK:AK)=1,0.5,1)*IF(_xlfn.XLOOKUP(B373,'Base stats'!B:B,'Base stats'!AM:AM)=1,0.1,1)/100,IF(_xlfn.XLOOKUP(B373,'Base stats'!B:B,'Base stats'!AM:AM)=1,0.001,0.025)),0.5)))</f>
        <v>0.1</v>
      </c>
      <c r="CA373" s="25" t="str">
        <f>IF(P373="Standard","No",MAX(0.001,MIN(MROUND(IF(AND(BJ373="True",CC373="False"),POWER(10,3.47*LOG10(_xlfn.XLOOKUP(B373,'Base stats'!B:B,'Base stats'!C:C)*1000)^-0.96),POWER(10,4.15*LOG10(_xlfn.XLOOKUP(B373,'Base stats'!B:B,'Base stats'!C:C)*1000)^-0.73))*IF(_xlfn.XLOOKUP(B373,'Base stats'!B:B,'Base stats'!AM:AM)=1,0.1,1)*_xlfn.XLOOKUP(B373,'Base stats'!B:B,'Base stats'!R:R)/100,IF(_xlfn.XLOOKUP(B373,'Base stats'!B:B,'Base stats'!AM:AM)=1,0.001,0.025)),0.5)))</f>
        <v>No</v>
      </c>
      <c r="CB373" s="25" t="str">
        <f>IF(_xlfn.XLOOKUP(_xlfn.XLOOKUP(B373,'Base stats'!B:B,'Base stats'!E:E),Groups!A:A,Groups!AJ:AJ)="Mammal","True","False")</f>
        <v>False</v>
      </c>
      <c r="CC373" s="25" t="str">
        <f>IF(OR(_xlfn.XLOOKUP(_xlfn.XLOOKUP(B373,'Base stats'!B:B,'Base stats'!E:E),Groups!A:A,Groups!AJ:AJ)="Reptile",_xlfn.XLOOKUP(_xlfn.XLOOKUP(B373,'Base stats'!B:B,'Base stats'!E:E),Groups!A:A,Groups!AJ:AJ)="Amphibian",_xlfn.XLOOKUP(_xlfn.XLOOKUP(B373,'Base stats'!B:B,'Base stats'!E:E),Groups!A:A,Groups!AJ:AJ)="Invertebrate"),"True","False")</f>
        <v>False</v>
      </c>
      <c r="CD373" s="25" t="str">
        <f t="shared" si="41"/>
        <v>False</v>
      </c>
      <c r="CE373" s="25" t="str">
        <f>IF(_xlfn.XLOOKUP(_xlfn.XLOOKUP(B373,'Base stats'!B:B,'Base stats'!E:E),Groups!A:A,Groups!AX:AX),"True","False")</f>
        <v>False</v>
      </c>
      <c r="CF373" s="25" t="str">
        <f>IF(_xlfn.XLOOKUP(_xlfn.XLOOKUP(B373,'Base stats'!B:B,'Base stats'!E:E),Groups!A:A,Groups!AY:AY),"True","False")</f>
        <v>False</v>
      </c>
      <c r="CG373" s="25" t="str">
        <f>IF(_xlfn.XLOOKUP(_xlfn.XLOOKUP(B373,'Base stats'!B:B,'Base stats'!E:E),Groups!A:A,Groups!AW:AW),"True","False")</f>
        <v>False</v>
      </c>
      <c r="CH373" s="25" t="str">
        <f>IF(
OR(
_xlfn.XLOOKUP(_xlfn.XLOOKUP(B373,'Base stats'!B:B,'Base stats'!E:E),Groups!A:A,Groups!AZ:AZ)=0,
AND(
_xlfn.XLOOKUP(B373,'Base stats'!B:B,'Base stats'!Y:Y)&lt;&gt;"Carnivore",
_xlfn.XLOOKUP(B373,'Base stats'!B:B,'Base stats'!Y:Y)&lt;&gt;"Omnivore",
_xlfn.XLOOKUP(B373,'Base stats'!B:B,'Base stats'!Y:Y)&lt;&gt;"OmnivoreRough"
)
),
"No",
IF(
_xlfn.XLOOKUP(_xlfn.XLOOKUP(B373,'Base stats'!B:B,'Base stats'!E:E),Groups!A:A,Groups!AZ:AZ)=1,
"Flesh",
IF(
_xlfn.XLOOKUP(_xlfn.XLOOKUP(B373,'Base stats'!B:B,'Base stats'!E:E),Groups!A:A,Groups!AZ:AZ)=2,
"Bone",
""
)
)
)</f>
        <v>No</v>
      </c>
      <c r="CI373" s="25" t="str">
        <f>IF(_xlfn.XLOOKUP(_xlfn.XLOOKUP(B373,'Base stats'!B:B,'Base stats'!E:E),Groups!A:A,Groups!BB:BB),"True","False")</f>
        <v>False</v>
      </c>
      <c r="CJ373" s="25" t="str">
        <f>IF(_xlfn.XLOOKUP(_xlfn.XLOOKUP(B373,'Base stats'!B:B,'Base stats'!E:E),Groups!A:A,Groups!BA:BA),"True","False")</f>
        <v>False</v>
      </c>
    </row>
    <row r="374" spans="1:88" ht="16.5" thickTop="1" thickBot="1" x14ac:dyDescent="0.3">
      <c r="A374" s="26" t="s">
        <v>1981</v>
      </c>
      <c r="B374" s="6" t="str">
        <f>_xlfn.XLOOKUP(A374,'Base stats'!A:A,'Base stats'!B:B)</f>
        <v>Protoceratops andrewsi</v>
      </c>
      <c r="C374" s="28" t="s">
        <v>2048</v>
      </c>
      <c r="D374" s="28" t="s">
        <v>1898</v>
      </c>
      <c r="E374" s="28" t="s">
        <v>673</v>
      </c>
      <c r="F374" s="28" t="s">
        <v>673</v>
      </c>
      <c r="G374" s="28" t="s">
        <v>673</v>
      </c>
      <c r="H374" s="2">
        <f>MROUND((
  (IF(AND(_xlfn.XLOOKUP(B374,'Base stats'!B:B,'Base stats'!AL:AL)=0,BI374="None",_xlfn.XLOOKUP(_xlfn.XLOOKUP(B374,'Base stats'!B:B,'Base stats'!E:E),Groups!A:A,Groups!B:B)=0), (18 + BR374 * 2.7) * 0.5,
    IF(AND(_xlfn.XLOOKUP(B374,'Base stats'!B:B,'Base stats'!AL:AL)=0,OR(AO374&lt;0.55,AND(BI374="Intermediate",_xlfn.XLOOKUP(_xlfn.XLOOKUP(B374,'Base stats'!B:B,'Base stats'!E:E),Groups!A:A,Groups!B:B)&lt;2))), (18 + BR374 * 2.7),
      IF(OR(BI374="Advanced",_xlfn.XLOOKUP(B374,'Base stats'!B:B,'Base stats'!AL:AL)=1,_xlfn.XLOOKUP(_xlfn.XLOOKUP(B374,'Base stats'!B:B,'Base stats'!E:E),Groups!A:A,Groups!B:B)=2), (18 + BR374 * 2.7) + 250, (18 + BR374 * 2.7))
    )
  ))
  + AO374 * 80
  + IF(COUNTIF(EggMilk!K$2:K$998, A374) &gt; 0, 125, 0)
  + IF(COUNTIF(EggMilk!P$2:P$998, A374) &gt; 0, 90, 0)
  + IF(COUNTIF(EggMilk!A$2:A$998, A374) &gt; 0, 90, 0)
)
* (0.8 + 0.4 * J374)
* 0.75,25)</f>
        <v>450</v>
      </c>
      <c r="I374" s="2">
        <f>MROUND(ROUNDDOWN(_xlfn.XLOOKUP(B374,'Base stats'!B:B,'Base stats'!L:L)/3.6/(23.3/11),1),0.5)</f>
        <v>4</v>
      </c>
      <c r="J374" s="2">
        <f>IF(OR(_xlfn.XLOOKUP(B374,'Base stats'!B:B,'Base stats'!AB:AB)=1,_xlfn.XLOOKUP(_xlfn.XLOOKUP(B374,'Base stats'!B:B,'Base stats'!E:E),Groups!A:A,Groups!C:C)="Untamable"),1,IF(_xlfn.XLOOKUP(B374,'Base stats'!B:B,'Base stats'!AL:AL)=1,0.99,MIN(MROUND((1-0.6282*EXP(-0.459*AO374))*_xlfn.XLOOKUP(_xlfn.XLOOKUP(B374,'Base stats'!B:B,'Base stats'!E:E),Groups!A:A,Groups!C:C)*IF(_xlfn.XLOOKUP(B374,'Base stats'!B:B,'Base stats'!O:O)=1,0.5,IF(_xlfn.XLOOKUP(B374,'Base stats'!B:B,'Base stats'!O:O)=2,0,1)),0.05),IF(AO374&gt;3.5,0.985,0.95))))</f>
        <v>0.60000000000000009</v>
      </c>
      <c r="K374" s="2">
        <f>ROUNDUP(AO374*_xlfn.XLOOKUP(_xlfn.XLOOKUP(B374,'Base stats'!B:B,'Base stats'!E:E),Groups!A:A,Groups!E:E),0)</f>
        <v>6</v>
      </c>
      <c r="L374" s="2">
        <f>IF(OR(_xlfn.XLOOKUP(_xlfn.XLOOKUP(B374,'Base stats'!B:B,'Base stats'!E:E),Groups!A:A,Groups!F:F)=2,ISNUMBER(SEARCH("SeaIce",BX374)),ISNUMBER(SEARCH("IceSheet",BX374))),-50,IF(OR(ISNUMBER(SEARCH("GlacialPlain",BX374)),ISNUMBER(SEARCH("Tundra",BX374))),-40,IF(OR(ISNUMBER(SEARCH("Alpine",BX374)),ISNUMBER(SEARCH("BorealForest",BX374)),ISNUMBER(SEARCH("ColdBog",BX374))),-30,IF(OR(ISNUMBER(SEARCH("TemperateForest",BX374)),ISNUMBER(SEARCH("TemperateSwamp",BX374))),-20,IF(_xlfn.XLOOKUP(_xlfn.XLOOKUP(B374,'Base stats'!B:B,'Base stats'!E:E),Groups!A:A,Groups!F:F)=1,-15,IF(OR(ISNUMBER(SEARCH("Desert",BX374)),ISNUMBER(SEARCH("ExtremeDesert",BX374))),-10,IF(OR(ISNUMBER(SEARCH("Grasslands",BX374)),ISNUMBER(SEARCH("TropicalRainforest",BX374)),ISNUMBER(SEARCH("TropicalSwamp",BX374))),10,0)))))))-IF(CC374="False",MIN(IFERROR(MAX(MROUND(LOG10(_xlfn.XLOOKUP(B374,'Base stats'!B:B,'Base stats'!C:C)^(2/3))*10,5),5),5),30))-_xlfn.XLOOKUP(B374,'Base stats'!B:B,'Base stats'!P:P)+IF(CC374="True",5,0)</f>
        <v>-25</v>
      </c>
      <c r="M374" s="2">
        <f>IF(OR(_xlfn.XLOOKUP(_xlfn.XLOOKUP(B374,'Base stats'!B:B,'Base stats'!E:E),Groups!A:A,Groups!G:G)=2,ISNUMBER(SEARCH("Desert",BX374)),ISNUMBER(SEARCH("ExtremeDesert",BX374)),ISNUMBER(SEARCH("LavaField",BX374))),50,IF(ISNUMBER(SEARCH("Grasslands",BX374)),45,IF(OR(_xlfn.XLOOKUP(_xlfn.XLOOKUP(B374,'Base stats'!B:B,'Base stats'!E:E),Groups!A:A,Groups!G:G)=1,ISNUMBER(SEARCH("TropicalRainforest",BX374)),ISNUMBER(SEARCH("TropicalSwamp",BX374))),40,IF(OR(ISNUMBER(SEARCH("TemperateForest",BX374)),ISNUMBER(SEARCH("TemperateSwamp",BX374))),35,IF(OR(ISNUMBER(SEARCH("Alpine",BX374)),ISNUMBER(SEARCH("BorealForest",BX374)),ISNUMBER(SEARCH("ColdBog",BX374))),30,IF(ISNUMBER(OR(ISNUMBER(SEARCH("GlacialPlain",BX374)),SEARCH("Tundra",BX374))),25,IF(OR(ISNUMBER(SEARCH("SeaIce",BX374)),ISNUMBER(SEARCH("IceSheet",BX374)),ISNUMBER(SEARCH("TropicalSwamp",BX374))),10,35)))))))+_xlfn.XLOOKUP(B374,'Base stats'!B:B,'Base stats'!Q:Q)</f>
        <v>50</v>
      </c>
      <c r="N374" s="8">
        <f>IF(
_xlfn.XLOOKUP(
_xlfn.XLOOKUP(B374,'Base stats'!B:B,'Base stats'!E:E),
Groups!A:A,
Groups!L:L
)=1,
MIN(
MROUND(
IF(
_xlfn.XLOOKUP(B374,'Animals CE'!B:B,'Animals CE'!Z:Z)&lt;=1.5,
_xlfn.XLOOKUP(B374,'Animals CE'!B:B,'Animals CE'!Z:Z)/2+0.05,
0.8+
(_xlfn.XLOOKUP(B374,'Animals CE'!B:B,'Animals CE'!Z:Z)-1.5)
*0.02
),
0.05
),
200%
),
"No"
)</f>
        <v>0.1</v>
      </c>
      <c r="O374" s="8">
        <f>IF(
_xlfn.XLOOKUP(
_xlfn.XLOOKUP(B374,'Base stats'!B:B,'Base stats'!E:E),
Groups!A:A,
Groups!L:L
)=1,
MIN(
MROUND(
IF(
_xlfn.XLOOKUP(B374,'Animals CE'!B:B,'Animals CE'!AA:AA)&lt;=1.5,
_xlfn.XLOOKUP(B374,'Animals CE'!B:B,'Animals CE'!AA:AA)/2+0.05,
0.8+
(_xlfn.XLOOKUP(B374,'Animals CE'!B:B,'Animals CE'!AA:AA)-1.5)
*0.02
),
0.05
),
200%
),
"No"
)</f>
        <v>0.15000000000000002</v>
      </c>
      <c r="P374" s="2" t="str">
        <f>_xlfn.XLOOKUP(B374,'Base stats'!B:B,'Base stats'!R:R)</f>
        <v>Standard</v>
      </c>
      <c r="Q374" s="13">
        <f>MROUND((LOG10(_xlfn.XLOOKUP(B374,'Base stats'!B:B,'Base stats'!AR:AR))*(AO374^0.5)+(_xlfn.XLOOKUP(B374,'Base stats'!B:B,'Base stats'!AR:AR)/1000)^(2/3)+_xlfn.XLOOKUP(B374,'Base stats'!B:B,'Base stats'!BA:BA)/2)+0.5,0.5)</f>
        <v>7.5</v>
      </c>
      <c r="R374" s="7">
        <f>IF(Q374="No","No",MAX(1,MROUND(_xlfn.XLOOKUP(B374,'Base stats'!B:B,'Base stats'!C:C)^0.165,0.05)))</f>
        <v>2.0500000000000003</v>
      </c>
      <c r="S374" s="13" t="str">
        <f>IF(_xlfn.XLOOKUP(_xlfn.XLOOKUP(B374,'Base stats'!B:B,'Base stats'!E:E),Groups!A:A,Groups!P:P)=0,"No",MROUND((LOG10(_xlfn.XLOOKUP(B374,'Base stats'!B:B,'Base stats'!AS:AS))*(AO374^0.5)+(_xlfn.XLOOKUP(B374,'Base stats'!B:B,'Base stats'!AS:AS)/1000)^(2/3)+_xlfn.XLOOKUP(B374,'Base stats'!B:B,'Base stats'!BA:BA))+_xlfn.XLOOKUP(B374,'Base stats'!B:B,'Base stats'!AY:AY)+0.5,0.5))</f>
        <v>No</v>
      </c>
      <c r="T374" s="7" t="str">
        <f>IF(S374="No","No",MAX(_xlfn.XLOOKUP(_xlfn.XLOOKUP(B374,'Base stats'!B:B,'Base stats'!E:E),Groups!A:A,Groups!Q:Q),MROUND(_xlfn.XLOOKUP(_xlfn.XLOOKUP(B374,'Base stats'!B:B,'Base stats'!E:E),Groups!A:A,Groups!Q:Q)*_xlfn.XLOOKUP(B374,'Base stats'!B:B,'Base stats'!C:C)^0.165,0.05)))</f>
        <v>No</v>
      </c>
      <c r="U374" s="7" t="str">
        <f>IF(S374="No","No",_xlfn.XLOOKUP(_xlfn.XLOOKUP(B374,'Base stats'!B:B,'Base stats'!E:E),Groups!A:A,Groups!R:R))</f>
        <v>No</v>
      </c>
      <c r="V374" s="7" t="str">
        <f>IF(S374="No","No",_xlfn.XLOOKUP(_xlfn.XLOOKUP(B374,'Base stats'!B:B,'Base stats'!E:E),Groups!A:A,Groups!S:S))</f>
        <v>No</v>
      </c>
      <c r="W374" s="7" t="str">
        <f>IF(S374="No","No",_xlfn.XLOOKUP(_xlfn.XLOOKUP(B374,'Base stats'!B:B,'Base stats'!E:E),Groups!A:A,Groups!T:T))</f>
        <v>No</v>
      </c>
      <c r="X374" s="13" t="str">
        <f>IF(_xlfn.XLOOKUP(B374,'Base stats'!B:B,'Base stats'!W:W)="No","No",MROUND((LOG10(_xlfn.XLOOKUP(B374,'Base stats'!B:B,'Base stats'!AU:AU))*(AO374^0.5)+(_xlfn.XLOOKUP(B374,'Base stats'!B:B,'Base stats'!AU:AU)/1000)^(2/3)+_xlfn.XLOOKUP(B374,'Base stats'!B:B,'Base stats'!AZ:AZ))+0.5+IF(_xlfn.XLOOKUP(_xlfn.XLOOKUP(B374,'Base stats'!B:B,'Base stats'!E:E),Groups!A:A,Groups!U:U)&lt;&gt;3,_xlfn.XLOOKUP(B374,'Base stats'!B:B,'Base stats'!BA:BA),0),0.5))</f>
        <v>No</v>
      </c>
      <c r="Y374" s="7" t="str">
        <f>IF(X374="No","No",MAX(_xlfn.XLOOKUP(_xlfn.XLOOKUP(B374,'Base stats'!B:B,'Base stats'!E:E),Groups!A:A,Groups!V:V),MROUND(_xlfn.XLOOKUP(_xlfn.XLOOKUP(B374,'Base stats'!B:B,'Base stats'!E:E),Groups!A:A,Groups!V:V)*_xlfn.XLOOKUP(B374,'Base stats'!B:B,'Base stats'!C:C)^0.165,0.05)))</f>
        <v>No</v>
      </c>
      <c r="Z374" s="7" t="str">
        <f>IF(X374="No","No",_xlfn.XLOOKUP(_xlfn.XLOOKUP(B374,'Base stats'!B:B,'Base stats'!E:E),Groups!A:A,Groups!W:W))</f>
        <v>No</v>
      </c>
      <c r="AA374" s="7" t="str">
        <f>IF(X374="No","No",_xlfn.XLOOKUP(_xlfn.XLOOKUP(B374,'Base stats'!B:B,'Base stats'!E:E),Groups!A:A,Groups!X:X))</f>
        <v>No</v>
      </c>
      <c r="AB374" s="7" t="str">
        <f>IF(X374="No","No",_xlfn.XLOOKUP(_xlfn.XLOOKUP(B374,'Base stats'!B:B,'Base stats'!E:E),Groups!A:A,Groups!Y:Y))</f>
        <v>No</v>
      </c>
      <c r="AC374" s="7" t="str">
        <f>_xlfn.XLOOKUP(Animals!B374,'Base stats'!B:B,'Base stats'!X:X)</f>
        <v>False</v>
      </c>
      <c r="AD374" s="13">
        <f>IF(_xlfn.XLOOKUP(B374,'Base stats'!B:B,'Base stats'!AT:AT)="No","No",MROUND((LOG10(_xlfn.XLOOKUP(B374,'Base stats'!B:B,'Base stats'!AT:AT))*(AO374^0.75)+(_xlfn.XLOOKUP(B374,'Base stats'!B:B,'Base stats'!AT:AT)/1000)^(2/3)+_xlfn.XLOOKUP(B374,'Base stats'!B:B,'Base stats'!AX:AX)+_xlfn.XLOOKUP(B374,'Base stats'!B:B,'Base stats'!BA:BA))+0.5,0.5))</f>
        <v>9.5</v>
      </c>
      <c r="AE374" s="7">
        <f>IF(AD374="No","No",MAX(_xlfn.XLOOKUP(_xlfn.XLOOKUP(B374,'Base stats'!B:B,'Base stats'!E:E),Groups!A:A,Groups!Z:Z),MROUND(_xlfn.XLOOKUP(_xlfn.XLOOKUP(B374,'Base stats'!B:B,'Base stats'!E:E),Groups!A:A,Groups!Z:Z)*_xlfn.XLOOKUP(B374,'Base stats'!B:B,'Base stats'!C:C)^0.165,0.05)))</f>
        <v>1.75</v>
      </c>
      <c r="AF374" s="7" t="str">
        <f>IF(AD374="No","No",_xlfn.XLOOKUP(_xlfn.XLOOKUP(B374,'Base stats'!B:B,'Base stats'!E:E),Groups!A:A,Groups!AA:AA))</f>
        <v>Teeth</v>
      </c>
      <c r="AG374" s="7" t="str">
        <f>IF(AD374="No","No",_xlfn.XLOOKUP(_xlfn.XLOOKUP(B374,'Base stats'!B:B,'Base stats'!E:E),Groups!A:A,Groups!AB:AB))</f>
        <v>beak</v>
      </c>
      <c r="AH374" s="7" t="str">
        <f>IF(AD374="No","No",_xlfn.XLOOKUP(_xlfn.XLOOKUP(B374,'Base stats'!B:B,'Base stats'!E:E),Groups!A:A,Groups!AC:AC))</f>
        <v>Bite</v>
      </c>
      <c r="AI374" s="13" t="str">
        <f>IF(_xlfn.XLOOKUP(_xlfn.XLOOKUP(B374,'Base stats'!B:B,'Base stats'!E:E),Groups!A:A,Groups!AD:AD)=0,"No",MROUND((LOG10(_xlfn.XLOOKUP(B374,'Base stats'!B:B,'Base stats'!AS:AS))*(AO374^0.75)+(_xlfn.XLOOKUP(B374,'Base stats'!B:B,'Base stats'!AS:AS)/1000)^(2/3)+_xlfn.XLOOKUP(B374,'Base stats'!B:B,'Base stats'!AY:AY)+_xlfn.XLOOKUP(B374,'Base stats'!B:B,'Base stats'!BA:BA))+0.5,0.5))</f>
        <v>No</v>
      </c>
      <c r="AJ374" s="7" t="str">
        <f>IF(AI374="No","No",MAX(_xlfn.XLOOKUP(_xlfn.XLOOKUP(B374,'Base stats'!B:B,'Base stats'!E:E),Groups!A:A,Groups!AE:AE),MROUND(_xlfn.XLOOKUP(_xlfn.XLOOKUP(B374,'Base stats'!B:B,'Base stats'!E:E),Groups!A:A,Groups!AE:AE)*IF(_xlfn.XLOOKUP(_xlfn.XLOOKUP(B374,'Base stats'!B:B,'Base stats'!E:E),Groups!A:A,Groups!AJ:AJ)="Photonozoa",0.6,1)*_xlfn.XLOOKUP(B374,'Base stats'!B:B,'Base stats'!C:C)^0.165,0.05)))</f>
        <v>No</v>
      </c>
      <c r="AK374" s="7" t="str">
        <f>IF(AI374="No","No",_xlfn.XLOOKUP(_xlfn.XLOOKUP(B374,'Base stats'!B:B,'Base stats'!E:E),Groups!A:A,Groups!AF:AF))</f>
        <v>No</v>
      </c>
      <c r="AL374" s="7" t="str">
        <f>IF(AI374="No","No",_xlfn.XLOOKUP(_xlfn.XLOOKUP(B374,'Base stats'!B:B,'Base stats'!E:E),Groups!A:A,Groups!AG:AG))</f>
        <v>No</v>
      </c>
      <c r="AM374" s="7" t="str">
        <f>IF(AI374="No","No",_xlfn.XLOOKUP(_xlfn.XLOOKUP(B374,'Base stats'!B:B,'Base stats'!E:E),Groups!A:A,Groups!AH:AH))</f>
        <v>No</v>
      </c>
      <c r="AN374" s="2" t="str">
        <f t="shared" si="35"/>
        <v>No</v>
      </c>
      <c r="AO374" s="2">
        <f>MROUND(IF(AND(_xlfn.XLOOKUP(B374,'Base stats'!B:B,'Base stats'!C:C)&gt;=0.5,_xlfn.XLOOKUP(B374,'Base stats'!B:B,'Base stats'!C:C)&lt;=0.8),
IF(_xlfn.XLOOKUP(B374,'Base stats'!B:B,'Base stats'!C:C)&lt;0.1,0.05,IF(_xlfn.XLOOKUP(B374,'Base stats'!B:B,'Base stats'!C:C)&lt;=70,(_xlfn.XLOOKUP(B374,'Base stats'!B:B,'Base stats'!C:C)/70)^0.426489913056526,IF(_xlfn.XLOOKUP(B374,'Base stats'!B:B,'Base stats'!C:C)&lt;=400,(_xlfn.XLOOKUP(B374,'Base stats'!B:B,'Base stats'!C:C)/70)^0.572811455315093,IF(_xlfn.XLOOKUP(B374,'Base stats'!B:B,'Base stats'!C:C)&lt;=2000,2.71391647193063*(_xlfn.XLOOKUP(B374,'Base stats'!B:B,'Base stats'!C:C)/400)^0.252459582904293,3.74314280240376*(_xlfn.XLOOKUP(B374,'Base stats'!B:B,'Base stats'!C:C)/2000)^0.357012633876913)))),
IF(_xlfn.XLOOKUP(B374,'Base stats'!B:B,'Base stats'!C:C)&lt;0.1,0.05,IF(_xlfn.XLOOKUP(B374,'Base stats'!B:B,'Base stats'!C:C)&lt;0.4,0.1,IF(_xlfn.XLOOKUP(B374,'Base stats'!B:B,'Base stats'!C:C)&lt;=70,(_xlfn.XLOOKUP(B374,'Base stats'!B:B,'Base stats'!C:C)/70)^0.445823913056526,IF(_xlfn.XLOOKUP(B374,'Base stats'!B:B,'Base stats'!C:C)&lt;=400,(_xlfn.XLOOKUP(B374,'Base stats'!B:B,'Base stats'!C:C)/70)^0.572811455315093,IF(_xlfn.XLOOKUP(B374,'Base stats'!B:B,'Base stats'!C:C)&lt;=2000,2.71391647193063*(_xlfn.XLOOKUP(B374,'Base stats'!B:B,'Base stats'!C:C)/400)^0.252459582904293,3.74314280240376*(_xlfn.XLOOKUP(B374,'Base stats'!B:B,'Base stats'!C:C)/2000)^0.357012633876913)))))),
IF(_xlfn.XLOOKUP(B374,'Base stats'!B:B,'Base stats'!C:C)&lt;0.1,0.05,IF(_xlfn.XLOOKUP(B374,'Base stats'!B:B,'Base stats'!C:C)&lt;=100,0.05,IF(_xlfn.XLOOKUP(B374,'Base stats'!B:B,'Base stats'!C:C)&lt;=250,0.1,IF(_xlfn.XLOOKUP(B374,'Base stats'!B:B,'Base stats'!C:C)&lt;=4000,0.25,0.5)))))</f>
        <v>1.1000000000000001</v>
      </c>
      <c r="AP374" s="8">
        <f>MROUND(AO374*_xlfn.XLOOKUP(_xlfn.XLOOKUP(B374,'Base stats'!B:B,'Base stats'!E:E),Groups!A:A,Groups!AI:AI)*_xlfn.XLOOKUP(B374,'Base stats'!B:B,'Base stats'!Z:Z),0.05)</f>
        <v>1.1000000000000001</v>
      </c>
      <c r="AQ374" s="8">
        <f>MAX(0.01,MROUND(IF(CC374="True",0.196*(AO374*100*1000)^0.889,IF(_xlfn.XLOOKUP(_xlfn.XLOOKUP(B374,'Base stats'!B:B,'Base stats'!E:E),Groups!A:A,Groups!AJ:AJ)="Bird",10.5*(AO374*100*1000)^0.681,4.82*(AO374*100*1000)^0.734))/(4.82*(1*100*1000)^0.734)/IF(AO374&lt;3.5,2,IF(AO374=3.5,1.5,1.25))*(1+0.132282374779864/(AO374^0.994035016789033+0.00905238001496948)),0.05))</f>
        <v>0.70000000000000007</v>
      </c>
      <c r="AR374" s="9">
        <f>IFERROR(MROUND(_xlfn.XLOOKUP(B374,'Base stats'!B:B,'Base stats'!H:H)/IF(_xlfn.XLOOKUP(B374,'Base stats'!B:B,'Base stats'!I:I)&lt;&gt;1,(122.5/70),1.2),IF(_xlfn.XLOOKUP(B374,'Base stats'!B:B,'Base stats'!H:H)&gt;=30,5,IF(_xlfn.XLOOKUP(B374,'Base stats'!B:B,'Base stats'!H:H)&gt;=15,3,IF(_xlfn.XLOOKUP(B374,'Base stats'!B:B,'Base stats'!H:H)&gt;=10,2,1)))),"Immortal")</f>
        <v>12</v>
      </c>
      <c r="AS374" s="35" t="str">
        <f>IFERROR(IF(OR(_xlfn.XLOOKUP(B374,'Base stats'!B:B,'Base stats'!F:F)="Atypical reproduction",_xlfn.XLOOKUP(B374,'Base stats'!B:B,'Base stats'!F:F)="Lay eggs"),"Lay eggs",MIN(20,MAX(5.5,ROUND(((_xlfn.XLOOKUP(B374,'Base stats'!B:B,'Base stats'!F:F)-25)*(14.5/615) + 5.5)*2,0)/2))),"Unknown")</f>
        <v>Lay eggs</v>
      </c>
      <c r="AT374" s="8">
        <f>IF(_xlfn.XLOOKUP(B374,'Base stats'!B:B,'Base stats'!G:G)="Atypical reproduction","No",IFERROR(MAX(IF(_xlfn.XLOOKUP(B374,'Base stats'!B:B,'Base stats'!G:G)&lt;0.5,0.2,0.3),MROUND(_xlfn.XLOOKUP(B374,'Base stats'!B:B,'Base stats'!G:G)/(365/60),0.2)),"Unknown"))</f>
        <v>0.4</v>
      </c>
      <c r="AU374" s="8">
        <f t="shared" si="36"/>
        <v>0.2</v>
      </c>
      <c r="AV374" s="8" t="str">
        <f>IFERROR(IFERROR(MROUND(_xlfn.XLOOKUP(B374,'Base stats'!B:B,'Base stats'!J:J),0.1),"Lay eggs"),"Cannot breed")</f>
        <v>Lay eggs</v>
      </c>
      <c r="AW374" s="2" t="str">
        <f t="shared" si="37"/>
        <v>true</v>
      </c>
      <c r="AX374" s="2" t="str">
        <f>IF(_xlfn.XLOOKUP(_xlfn.XLOOKUP(Animals!B374,'Base stats'!B:B,'Base stats'!E:E),Groups!A:A,Groups!AK:AK)=1,"true","false")</f>
        <v>true</v>
      </c>
      <c r="AY374" s="25" t="str">
        <f>IF(_xlfn.XLOOKUP(B374,'Base stats'!B:B,'Base stats'!Y:Y)="Liquor","Liquor, CarnivoreAnimalStrict",IF(AND(_xlfn.XLOOKUP(B374,'Base stats'!B:B,'Base stats'!Y:Y)="Carnivore",_xlfn.XLOOKUP(_xlfn.XLOOKUP(B374,'Base stats'!B:B,'Base stats'!E:E),Groups!A:A,Groups!AJ:AJ)="Photonozoa"),"CarnivoreAnimalStrict, OvivoreAnimal",IF(_xlfn.XLOOKUP(B374,'Base stats'!B:B,'Base stats'!Y:Y)="Carnivore","CarnivoreAnimal, OvivoreAnimal",IF(_xlfn.XLOOKUP(B374,'Base stats'!B:B,'Base stats'!Y:Y)="Dendrovore","VegetarianRoughAnimal, DendrovoreAnimal",IF(_xlfn.XLOOKUP(B374,'Base stats'!B:B,'Base stats'!Y:Y)="Herbivore","VegetarianRoughAnimal",IF(_xlfn.XLOOKUP(B374,'Base stats'!B:B,'Base stats'!Y:Y)="OmnivoreRough","OmnivoreRoughAnimal, OvivoreAnimal","OmnivoreAnimal, OvivoreAnimal"))))))</f>
        <v>VegetarianRoughAnimal</v>
      </c>
      <c r="AZ374" s="2">
        <f>IF(_xlfn.XLOOKUP(_xlfn.XLOOKUP(B374,'Base stats'!B:B,'Base stats'!E:E),Groups!A:A,Groups!D:D)=1,MROUND((1-J374)*5+1,2)*IF(J374&lt;=0.4,2,1),"No")</f>
        <v>4</v>
      </c>
      <c r="BA374" s="2" t="str">
        <f>IF(AND(_xlfn.XLOOKUP(B374,'Base stats'!B:B,'Base stats'!AH:AH)="&lt;li&gt;Seal&lt;/li&gt;",G374="Odyssey"),"&lt;li&gt;AEXP_Seal&lt;/li&gt;",_xlfn.XLOOKUP(B374,'Base stats'!B:B,'Base stats'!AH:AH))</f>
        <v>No</v>
      </c>
      <c r="BB374" s="2" t="str">
        <f>_xlfn.XLOOKUP(B374,'Base stats'!B:B,'Base stats'!AG:AG)</f>
        <v>Leather_DinosaurSkin</v>
      </c>
      <c r="BC374" s="23" t="str">
        <f>_xlfn.XLOOKUP(_xlfn.XLOOKUP(B374,'Base stats'!B:B,'Base stats'!E:E),Groups!A:A,Groups!AL:AL)</f>
        <v>Ceratops</v>
      </c>
      <c r="BD374" s="23">
        <f>MIN(1,MROUND(IF(AND(AO374&lt;0.5,_xlfn.XLOOKUP(B374,'Base stats'!B:B,'Base stats'!AA:AA)=0),0,IF(OR(_xlfn.XLOOKUP(Animals!B374,'Base stats'!B:B,'Base stats'!O:O)=2,_xlfn.XLOOKUP(_xlfn.XLOOKUP(B374,'Base stats'!B:B,'Base stats'!E:E),Groups!A:A,Groups!AN:AN)=0),0,_xlfn.XLOOKUP(_xlfn.XLOOKUP(B374,'Base stats'!B:B,'Base stats'!E:E),Groups!A:A,Groups!AN:AN)/IF(_xlfn.XLOOKUP(Animals!B374,'Base stats'!B:B,'Base stats'!O:O)=1,2,1)))+_xlfn.XLOOKUP(B374,'Base stats'!B:B,'Base stats'!AC:AC),0.005))</f>
        <v>0.1</v>
      </c>
      <c r="BE374" s="23">
        <f>MIN(1,MROUND(IF(AND(AO374&lt;0.5,_xlfn.XLOOKUP(B374,'Base stats'!B:B,'Base stats'!AA:AA)=0),0,IF(_xlfn.XLOOKUP(_xlfn.XLOOKUP(B374,'Base stats'!B:B,'Base stats'!E:E),Groups!A:A,Groups!AO:AO)=0,0,_xlfn.XLOOKUP(_xlfn.XLOOKUP(B374,'Base stats'!B:B,'Base stats'!E:E),Groups!A:A,Groups!AO:AO)/IF(_xlfn.XLOOKUP(Animals!B374,'Base stats'!B:B,'Base stats'!O:O)=2,3,1)))+_xlfn.XLOOKUP(B374,'Base stats'!B:B,'Base stats'!AD:AD),0.005))</f>
        <v>0.3</v>
      </c>
      <c r="BF374" s="2" t="str">
        <f>IF(J374&gt;0.3,"No",_xlfn.XLOOKUP(_xlfn.XLOOKUP(Animals!B374,'Base stats'!B:B,'Base stats'!E:E),Groups!A:A,Groups!AP:AP))</f>
        <v>No</v>
      </c>
      <c r="BG374" s="2" t="str">
        <f>IF(AND(J374&lt;=0.65,_xlfn.XLOOKUP(_xlfn.XLOOKUP(Animals!B374,'Base stats'!B:B,'Base stats'!E:E),Groups!A:A,Groups!AP:AP)&lt;&gt;"No",_xlfn.XLOOKUP(_xlfn.XLOOKUP(B374,'Base stats'!B:B,'Base stats'!E:E),Groups!A:A,Groups!D:D)=0),MROUND((80/3)*IF(_xlfn.XLOOKUP(B374,'Base stats'!B:B,'Base stats'!O:O)=2,0.2,AO374) + 24*(1-IF(BF374="No",0,BF374)) + 16/3, 12),"No")</f>
        <v>No</v>
      </c>
      <c r="BH374" s="2">
        <f>IF(AND(_xlfn.XLOOKUP(_xlfn.XLOOKUP(B374,'Base stats'!B:B,'Base stats'!E:E),Groups!A:A,Groups!AQ:AQ)=1,AO374&lt;=0.35),8,12)</f>
        <v>12</v>
      </c>
      <c r="BI374" s="2" t="str">
        <f>IF(_xlfn.XLOOKUP(_xlfn.XLOOKUP(B374,'Base stats'!B:B,'Base stats'!E:E),Groups!A:A,Groups!D:D)=0,_xlfn.XLOOKUP(_xlfn.XLOOKUP(B374,'Base stats'!B:B,'Base stats'!E:E),Groups!A:A,Groups!AR:AR),"None")</f>
        <v>None</v>
      </c>
      <c r="BJ374" s="2" t="str">
        <f>IF(AND(_xlfn.XLOOKUP(_xlfn.XLOOKUP(B374,'Base stats'!B:B,'Base stats'!E:E),Groups!A:A,Groups!AS:AS)=1,OR(_xlfn.XLOOKUP(B374,'Base stats'!B:B,'Base stats'!Y:Y)="Carnivore",_xlfn.XLOOKUP(B374,'Base stats'!B:B,'Base stats'!Y:Y)="Omnivore")),"true","false")</f>
        <v>false</v>
      </c>
      <c r="BK374" s="2" t="str">
        <f>IF(BJ374="true",MROUND(IF(AND(AO374&gt;0.5,OR(_xlfn.XLOOKUP(_xlfn.XLOOKUP(B374,'Base stats'!B:B,'Base stats'!E:E),Groups!A:A,Groups!AJ:AJ)="Photonozoa",_xlfn.XLOOKUP(_xlfn.XLOOKUP(B374,'Base stats'!B:B,'Base stats'!E:E),Groups!A:A,Groups!AJ:AJ)="Mammal")),Animals!AO374*1.75*IF(AW374="true",1.5,1),IF(AO374&lt;0.5,Animals!AO374*0.5,Animals!AO374)),IF(AO374&gt;2,0.5,IF(AO374&gt;0.5,0.25,0.1))),"No")</f>
        <v>No</v>
      </c>
      <c r="BL374" s="2">
        <f t="shared" si="38"/>
        <v>0</v>
      </c>
      <c r="BM374" s="25" t="str">
        <f>IF(_xlfn.XLOOKUP(B374,'Base stats'!B:B,'Base stats'!AN:AN)="Standard","No",MROUND((_xlfn.XLOOKUP(B374,'Base stats'!B:B,'Base stats'!AN:AN)/3.6)/I374,0.1))</f>
        <v>No</v>
      </c>
      <c r="BN374" s="25" t="str">
        <f t="shared" si="39"/>
        <v>false</v>
      </c>
      <c r="BO374" s="25" t="str">
        <f>IF(AND(OR(_xlfn.XLOOKUP(B374,'Base stats'!B:B,'Base stats'!Y:Y)="Carnivore",_xlfn.XLOOKUP(B374,'Base stats'!B:B,'Base stats'!Y:Y)="Omnivore",_xlfn.XLOOKUP(B374,'Base stats'!B:B,'Base stats'!Y:Y)="OmnivoreRough"),_xlfn.XLOOKUP(_xlfn.XLOOKUP(B374,'Base stats'!B:B,'Base stats'!E:E),Groups!A:A,Groups!AT:AT)=1),"true","false")</f>
        <v>false</v>
      </c>
      <c r="BP374" s="25" t="str" cm="1">
        <f t="array" ref="BP374">IF(
  _xlfn.TEXTJOIN(", ",TRUE,
    IF(AND(BJ374="true",AO374&gt;0.5,BI374&lt;&gt;"None"),"AttackTarget",""),
    IF(AND(_xlfn.XLOOKUP(_xlfn.XLOOKUP(B374,'Base stats'!B:B,'Base stats'!E:E),Groups!A:A,Groups!AJ:AJ="Mammal"),OR(_xlfn.XLOOKUP(B374,'Base stats'!B:B,'Base stats'!Y:Y)="Omnivore",_xlfn.XLOOKUP(B374,'Base stats'!B:B,'Base stats'!Y:Y)="OmnivoreRough")),"Forage",""),
    IF(BG374&lt;=36,"Comfort",""),
    IF(_xlfn.XLOOKUP(B374,'Base stats'!B:B,'Base stats'!AE:AE)&lt;&gt;"No",_xlfn.XLOOKUP(B374,'Base stats'!B:B,'Base stats'!AE:AE),"")
  ) = "",
  "No",
  _xlfn.TEXTJOIN(", ",TRUE,
    IF(AND(BJ374="true",AO374&gt;0.5,BI374&lt;&gt;"None"),"AttackTarget",""),
    IF(AND(_xlfn.XLOOKUP(_xlfn.XLOOKUP(B374,'Base stats'!B:B,'Base stats'!E:E),Groups!A:A,Groups!AJ:AJ="Mammal"),OR(_xlfn.XLOOKUP(B374,'Base stats'!B:B,'Base stats'!Y:Y)="Omnivore",_xlfn.XLOOKUP(B374,'Base stats'!B:B,'Base stats'!Y:Y)="OmnivoreRough")),"Forage",""),
    IF(BG374&lt;=36,"Comfort",""),
    IF(_xlfn.XLOOKUP(B374,'Base stats'!B:B,'Base stats'!AE:AE)&lt;&gt;"No",_xlfn.XLOOKUP(B374,'Base stats'!B:B,'Base stats'!AE:AE),"")
  )
)</f>
        <v>No</v>
      </c>
      <c r="BQ374" s="25" t="str">
        <f>IF(
   AND(
      'Base stats'!AN374="Standard",_xlfn.XLOOKUP(_xlfn.XLOOKUP(B374,'Base stats'!B:B,'Base stats'!E:E),Groups!A:A,Groups!AU:AU)=0,
      OR(
      BO374="True"
      )
   ),
   10,
   IF(
       OR(BM374&lt;&gt;"No",_xlfn.XLOOKUP(_xlfn.XLOOKUP(B374,'Base stats'!B:B,'Base stats'!E:E),Groups!A:A,Groups!AU:AU)=1),
      1,
      "No"
   )
)</f>
        <v>No</v>
      </c>
      <c r="BR374" s="9">
        <f>MROUND((1 + ((0.2*IF(OR(Q374="No",R374="No",R374=0),0,Q374/R374)
+IF(OR(V374="No",S374="No",T374="No"),0,S374/T374*(LEN(V374)-LEN(SUBSTITUTE(V374,",",""))+1))
+IF(OR(X374="No",Y374="No"),0,X374/Y374)
+IF(OR(AD374="No",AE374="No"),0,AD374/AE374)
+IF(OR(AL374="No",AI374="No",AJ374="No"),0,AI374/AJ374*(LEN(AL374)-LEN(SUBSTITUTE(AL374,",",""))+1))
)/(0.2*IF(OR(Q374="No",R374="No",R374=0),0,1)
+IF(OR(V374="No",S374="No",T374="No"),0,LEN(V374)-LEN(SUBSTITUTE(V374,",",""))+1)
+IF(OR(X374="No",Y374="No"),0,1)
+IF(OR(AD374="No",AE374="No"),0,1)
+IF(OR(AL374="No",AI374="No",AJ374="No"),0,LEN(AL374)-LEN(SUBSTITUTE(AL374,",",""))+1))*62%)* 2)*(1 + (AP374 / (IF(_xlfn.XLOOKUP(_xlfn.XLOOKUP(B374,'Base stats'!B:B,'Base stats'!E:E),Groups!A:A,Groups!AJ:AJ)="Photonozoa",0.3,1)) + _xlfn.XLOOKUP(B374,'Base stats'!B:B,'Base stats'!AV:AV) * 1.8) * 2) * 2.5 + 10 + I374 * 2,5)+IF(_xlfn.XLOOKUP(B374,'Base stats'!B:B,'Base stats'!AK:AK)=1,50,0)</f>
        <v>85</v>
      </c>
      <c r="BS374" s="8">
        <f t="shared" si="40"/>
        <v>0.8</v>
      </c>
      <c r="BT374" s="8" t="str">
        <f>_xlfn.XLOOKUP(B374,'Base stats'!B:B,'Base stats'!AF:AF)</f>
        <v>3~10</v>
      </c>
      <c r="BU374" s="2" t="str">
        <f>IF(AND(J374&lt;=0.95,OR(_xlfn.XLOOKUP(B374,'Base stats'!B:B,'Base stats'!AK:AK)=1,_xlfn.XLOOKUP(B374,'Base stats'!B:B,'Base stats'!Y:Y)="Carnivore",_xlfn.XLOOKUP(B374,'Base stats'!B:B,'Base stats'!Y:Y)="Omnivore",BE374&gt;0.1)),"true","false")</f>
        <v>true</v>
      </c>
      <c r="BV374" s="2" t="str">
        <f>IF(_xlfn.XLOOKUP(B374,'Base stats'!B:B,'Base stats'!AI:AI)=1,"true","false")</f>
        <v>false</v>
      </c>
      <c r="BW374" s="25" t="str">
        <f>IF(E374="BaseInsect","AnimalInsect",
IF(J374&gt;0.95,"AnimalExotic",
_xlfn.TEXTJOIN(", ",TRUE,
IF(OR(_xlfn.XLOOKUP(B374,'Base stats'!B:B,'Base stats'!AM:AM)=1,AND(_xlfn.XLOOKUP(B374,'Base stats'!B:B,'Base stats'!O:O)=0,_xlfn.XLOOKUP(_xlfn.XLOOKUP(B374,'Base stats'!B:B,'Base stats'!E:E),Groups!A:A,Groups!B:B)&gt;0)),"AnimalUncommon","AnimalCommon"),
IF(AND(_xlfn.XLOOKUP(B374,'Base stats'!B:B,'Base stats'!O:O)=2,_xlfn.XLOOKUP(_xlfn.XLOOKUP(B374,'Base stats'!B:B,'Base stats'!E:E),Groups!A:A,Groups!D:D)=0),"AnimalPet",IF(AND(_xlfn.XLOOKUP(B374,'Base stats'!B:B,'Base stats'!O:O)&lt;&gt;0,_xlfn.XLOOKUP(_xlfn.XLOOKUP(B374,'Base stats'!B:B,'Base stats'!E:E),Groups!A:A,Groups!D:D)&lt;&gt;0),"AnimalFarm","")),
IF(OR(_xlfn.XLOOKUP(B374,'Base stats'!B:B,'Base stats'!AK:AK)=1,AND(BI374&lt;&gt;"None",BR374&gt;=60),ISNUMBER(SEARCH("Attack target",BP374))),"AnimalFighter","")
)))</f>
        <v>AnimalUncommon</v>
      </c>
      <c r="BX374" s="25" t="str">
        <f>IF(G374="None",TRIM(
SUBSTITUTE(
IF(COUNTIF(Biomes!B$2:B$259,"="&amp;$C374)&gt;0,Biomes!B$1&amp;", ","")&amp;
IF(COUNTIF(Biomes!C$2:C$259,"="&amp;$C374)&gt;0,Biomes!C$1&amp;", ","")&amp;
IF(COUNTIF(Biomes!D$2:D$259,"="&amp;$C374)&gt;0,Biomes!D$1&amp;", ","")&amp;
IF(COUNTIF(Biomes!F$2:F$259,"="&amp;$C374)&gt;0,Biomes!F$1&amp;", ","")&amp;
IF(COUNTIF(Biomes!G$2:G$259,"="&amp;$C374)&gt;0,Biomes!G$1&amp;", ","")&amp;
IF(COUNTIF(Biomes!H$2:H$259,"="&amp;$C374)&gt;0,Biomes!H$1&amp;", ","")&amp;
IF(COUNTIF(Biomes!I$2:I$259,"="&amp;$C374)&gt;0,Biomes!I$1&amp;", ","")&amp;
IF(COUNTIF(Biomes!J$2:J$259,"="&amp;$C374)&gt;0,Biomes!J$1&amp;", ","")&amp;
IF(COUNTIF(Biomes!M$2:M$259,"="&amp;$C374)&gt;0,Biomes!M$1&amp;", ","")&amp;
IF(COUNTIF(Biomes!N$2:N$259,"="&amp;$C374)&gt;0,Biomes!N$1&amp;", ","")&amp;
IF(COUNTIF(Biomes!O$2:O$259,"="&amp;$C374)&gt;0,Biomes!O$1&amp;", ","")&amp;
IF(COUNTIF(Biomes!P$2:P$259,"="&amp;$C374)&gt;0,Biomes!P$1&amp;", ","")&amp;
IF(COUNTIF(Biomes!K$2:K$259,"="&amp;$C374)&gt;0,Biomes!K$1&amp;", ","")&amp;
IF(COUNTIF(Biomes!Q$3:Q$259,"="&amp;$C374)&gt;0,Biomes!Q$1&amp;", ","")&amp;
IF(COUNTIF(Biomes!L$2:L$259,"="&amp;$C374)&gt;0,Biomes!L$1&amp;", ","")&amp;
IF(COUNTIF(Biomes!E$2:E$259,"="&amp;$C374)&gt;0,Biomes!E$1&amp;", ","")&amp;IF(COUNTIF(Biomes!S$2:S$259,"="&amp;$C374)&gt;0,Biomes!S$1&amp;", ","")&amp;
IF(COUNTIF(Biomes!R$2:R$259,"="&amp;$C374)&gt;0,Biomes!R$1&amp;", ",""),", ","")
),_xlfn.XLOOKUP(B374,B:B,BX:BX))</f>
        <v>AridShrubland Desert Grasslands LavaField</v>
      </c>
      <c r="BY374" s="25" t="str">
        <f>IF(_xlfn.XLOOKUP(B374,'Base stats'!B:B,'Base stats'!AJ:AJ)=1,"true","false")</f>
        <v>false</v>
      </c>
      <c r="BZ374" s="25">
        <f>IF(_xlfn.XLOOKUP(B374,'Base stats'!B:B,'Base stats'!N:N)=1,"No",MAX(0.001,MIN(MROUND(IF(AND(BJ374="True",CC374="False"),POWER(10,3.47*LOG10(_xlfn.XLOOKUP(B374,'Base stats'!B:B,'Base stats'!C:C)*1000)^-0.96),POWER(10,4.15*LOG10(_xlfn.XLOOKUP(B374,'Base stats'!B:B,'Base stats'!C:C)*1000)^-0.73))*IF(_xlfn.XLOOKUP(B374,'Base stats'!B:B,'Base stats'!AK:AK)=1,0.5,1)*IF(_xlfn.XLOOKUP(B374,'Base stats'!B:B,'Base stats'!AM:AM)=1,0.1,1)/100,IF(_xlfn.XLOOKUP(B374,'Base stats'!B:B,'Base stats'!AM:AM)=1,0.001,0.025)),0.5)))</f>
        <v>0.2</v>
      </c>
      <c r="CA374" s="25" t="str">
        <f>IF(P374="Standard","No",MAX(0.001,MIN(MROUND(IF(AND(BJ374="True",CC374="False"),POWER(10,3.47*LOG10(_xlfn.XLOOKUP(B374,'Base stats'!B:B,'Base stats'!C:C)*1000)^-0.96),POWER(10,4.15*LOG10(_xlfn.XLOOKUP(B374,'Base stats'!B:B,'Base stats'!C:C)*1000)^-0.73))*IF(_xlfn.XLOOKUP(B374,'Base stats'!B:B,'Base stats'!AM:AM)=1,0.1,1)*_xlfn.XLOOKUP(B374,'Base stats'!B:B,'Base stats'!R:R)/100,IF(_xlfn.XLOOKUP(B374,'Base stats'!B:B,'Base stats'!AM:AM)=1,0.001,0.025)),0.5)))</f>
        <v>No</v>
      </c>
      <c r="CB374" s="25" t="str">
        <f>IF(_xlfn.XLOOKUP(_xlfn.XLOOKUP(B374,'Base stats'!B:B,'Base stats'!E:E),Groups!A:A,Groups!AJ:AJ)="Mammal","True","False")</f>
        <v>False</v>
      </c>
      <c r="CC374" s="25" t="str">
        <f>IF(OR(_xlfn.XLOOKUP(_xlfn.XLOOKUP(B374,'Base stats'!B:B,'Base stats'!E:E),Groups!A:A,Groups!AJ:AJ)="Reptile",_xlfn.XLOOKUP(_xlfn.XLOOKUP(B374,'Base stats'!B:B,'Base stats'!E:E),Groups!A:A,Groups!AJ:AJ)="Amphibian",_xlfn.XLOOKUP(_xlfn.XLOOKUP(B374,'Base stats'!B:B,'Base stats'!E:E),Groups!A:A,Groups!AJ:AJ)="Invertebrate"),"True","False")</f>
        <v>False</v>
      </c>
      <c r="CD374" s="25" t="str">
        <f t="shared" si="41"/>
        <v>False</v>
      </c>
      <c r="CE374" s="25" t="str">
        <f>IF(_xlfn.XLOOKUP(_xlfn.XLOOKUP(B374,'Base stats'!B:B,'Base stats'!E:E),Groups!A:A,Groups!AX:AX),"True","False")</f>
        <v>False</v>
      </c>
      <c r="CF374" s="25" t="str">
        <f>IF(_xlfn.XLOOKUP(_xlfn.XLOOKUP(B374,'Base stats'!B:B,'Base stats'!E:E),Groups!A:A,Groups!AY:AY),"True","False")</f>
        <v>False</v>
      </c>
      <c r="CG374" s="25" t="str">
        <f>IF(_xlfn.XLOOKUP(_xlfn.XLOOKUP(B374,'Base stats'!B:B,'Base stats'!E:E),Groups!A:A,Groups!AW:AW),"True","False")</f>
        <v>False</v>
      </c>
      <c r="CH374" s="25" t="str">
        <f>IF(
OR(
_xlfn.XLOOKUP(_xlfn.XLOOKUP(B374,'Base stats'!B:B,'Base stats'!E:E),Groups!A:A,Groups!AZ:AZ)=0,
AND(
_xlfn.XLOOKUP(B374,'Base stats'!B:B,'Base stats'!Y:Y)&lt;&gt;"Carnivore",
_xlfn.XLOOKUP(B374,'Base stats'!B:B,'Base stats'!Y:Y)&lt;&gt;"Omnivore",
_xlfn.XLOOKUP(B374,'Base stats'!B:B,'Base stats'!Y:Y)&lt;&gt;"OmnivoreRough"
)
),
"No",
IF(
_xlfn.XLOOKUP(_xlfn.XLOOKUP(B374,'Base stats'!B:B,'Base stats'!E:E),Groups!A:A,Groups!AZ:AZ)=1,
"Flesh",
IF(
_xlfn.XLOOKUP(_xlfn.XLOOKUP(B374,'Base stats'!B:B,'Base stats'!E:E),Groups!A:A,Groups!AZ:AZ)=2,
"Bone",
""
)
)
)</f>
        <v>No</v>
      </c>
      <c r="CI374" s="25" t="str">
        <f>IF(_xlfn.XLOOKUP(_xlfn.XLOOKUP(B374,'Base stats'!B:B,'Base stats'!E:E),Groups!A:A,Groups!BB:BB),"True","False")</f>
        <v>False</v>
      </c>
      <c r="CJ374" s="25" t="str">
        <f>IF(_xlfn.XLOOKUP(_xlfn.XLOOKUP(B374,'Base stats'!B:B,'Base stats'!E:E),Groups!A:A,Groups!BA:BA),"True","False")</f>
        <v>False</v>
      </c>
    </row>
    <row r="375" spans="1:88" ht="16.5" thickTop="1" thickBot="1" x14ac:dyDescent="0.3">
      <c r="A375" s="26" t="s">
        <v>1984</v>
      </c>
      <c r="B375" s="6" t="str">
        <f>_xlfn.XLOOKUP(A375,'Base stats'!A:A,'Base stats'!B:B)</f>
        <v>Triceratops horridus</v>
      </c>
      <c r="C375" s="28" t="s">
        <v>2049</v>
      </c>
      <c r="D375" s="28" t="s">
        <v>1898</v>
      </c>
      <c r="E375" s="28" t="s">
        <v>673</v>
      </c>
      <c r="F375" s="28" t="s">
        <v>673</v>
      </c>
      <c r="G375" s="28" t="s">
        <v>673</v>
      </c>
      <c r="H375" s="2">
        <f>MROUND((
  (IF(AND(_xlfn.XLOOKUP(B375,'Base stats'!B:B,'Base stats'!AL:AL)=0,BI375="None",_xlfn.XLOOKUP(_xlfn.XLOOKUP(B375,'Base stats'!B:B,'Base stats'!E:E),Groups!A:A,Groups!B:B)=0), (18 + BR375 * 2.7) * 0.5,
    IF(AND(_xlfn.XLOOKUP(B375,'Base stats'!B:B,'Base stats'!AL:AL)=0,OR(AO375&lt;0.55,AND(BI375="Intermediate",_xlfn.XLOOKUP(_xlfn.XLOOKUP(B375,'Base stats'!B:B,'Base stats'!E:E),Groups!A:A,Groups!B:B)&lt;2))), (18 + BR375 * 2.7),
      IF(OR(BI375="Advanced",_xlfn.XLOOKUP(B375,'Base stats'!B:B,'Base stats'!AL:AL)=1,_xlfn.XLOOKUP(_xlfn.XLOOKUP(B375,'Base stats'!B:B,'Base stats'!E:E),Groups!A:A,Groups!B:B)=2), (18 + BR375 * 2.7) + 250, (18 + BR375 * 2.7))
    )
  ))
  + AO375 * 80
  + IF(COUNTIF(EggMilk!K$2:K$998, A375) &gt; 0, 125, 0)
  + IF(COUNTIF(EggMilk!P$2:P$998, A375) &gt; 0, 90, 0)
  + IF(COUNTIF(EggMilk!A$2:A$998, A375) &gt; 0, 90, 0)
)
* (0.8 + 0.4 * J375)
* 0.75,25)</f>
        <v>1850</v>
      </c>
      <c r="I375" s="2">
        <f>MROUND(ROUNDDOWN(_xlfn.XLOOKUP(B375,'Base stats'!B:B,'Base stats'!L:L)/3.6/(23.3/11),1),0.5)</f>
        <v>3.5</v>
      </c>
      <c r="J375" s="2">
        <f>IF(OR(_xlfn.XLOOKUP(B375,'Base stats'!B:B,'Base stats'!AB:AB)=1,_xlfn.XLOOKUP(_xlfn.XLOOKUP(B375,'Base stats'!B:B,'Base stats'!E:E),Groups!A:A,Groups!C:C)="Untamable"),1,IF(_xlfn.XLOOKUP(B375,'Base stats'!B:B,'Base stats'!AL:AL)=1,0.99,MIN(MROUND((1-0.6282*EXP(-0.459*AO375))*_xlfn.XLOOKUP(_xlfn.XLOOKUP(B375,'Base stats'!B:B,'Base stats'!E:E),Groups!A:A,Groups!C:C)*IF(_xlfn.XLOOKUP(B375,'Base stats'!B:B,'Base stats'!O:O)=1,0.5,IF(_xlfn.XLOOKUP(B375,'Base stats'!B:B,'Base stats'!O:O)=2,0,1)),0.05),IF(AO375&gt;3.5,0.985,0.95))))</f>
        <v>0.95000000000000007</v>
      </c>
      <c r="K375" s="2">
        <f>ROUNDUP(AO375*_xlfn.XLOOKUP(_xlfn.XLOOKUP(B375,'Base stats'!B:B,'Base stats'!E:E),Groups!A:A,Groups!E:E),0)</f>
        <v>28</v>
      </c>
      <c r="L375" s="2">
        <f>IF(OR(_xlfn.XLOOKUP(_xlfn.XLOOKUP(B375,'Base stats'!B:B,'Base stats'!E:E),Groups!A:A,Groups!F:F)=2,ISNUMBER(SEARCH("SeaIce",BX375)),ISNUMBER(SEARCH("IceSheet",BX375))),-50,IF(OR(ISNUMBER(SEARCH("GlacialPlain",BX375)),ISNUMBER(SEARCH("Tundra",BX375))),-40,IF(OR(ISNUMBER(SEARCH("Alpine",BX375)),ISNUMBER(SEARCH("BorealForest",BX375)),ISNUMBER(SEARCH("ColdBog",BX375))),-30,IF(OR(ISNUMBER(SEARCH("TemperateForest",BX375)),ISNUMBER(SEARCH("TemperateSwamp",BX375))),-20,IF(_xlfn.XLOOKUP(_xlfn.XLOOKUP(B375,'Base stats'!B:B,'Base stats'!E:E),Groups!A:A,Groups!F:F)=1,-15,IF(OR(ISNUMBER(SEARCH("Desert",BX375)),ISNUMBER(SEARCH("ExtremeDesert",BX375))),-10,IF(OR(ISNUMBER(SEARCH("Grasslands",BX375)),ISNUMBER(SEARCH("TropicalRainforest",BX375)),ISNUMBER(SEARCH("TropicalSwamp",BX375))),10,0)))))))-IF(CC375="False",MIN(IFERROR(MAX(MROUND(LOG10(_xlfn.XLOOKUP(B375,'Base stats'!B:B,'Base stats'!C:C)^(2/3))*10,5),5),5),30))-_xlfn.XLOOKUP(B375,'Base stats'!B:B,'Base stats'!P:P)+IF(CC375="True",5,0)</f>
        <v>-45</v>
      </c>
      <c r="M375" s="2">
        <f>IF(OR(_xlfn.XLOOKUP(_xlfn.XLOOKUP(B375,'Base stats'!B:B,'Base stats'!E:E),Groups!A:A,Groups!G:G)=2,ISNUMBER(SEARCH("Desert",BX375)),ISNUMBER(SEARCH("ExtremeDesert",BX375)),ISNUMBER(SEARCH("LavaField",BX375))),50,IF(ISNUMBER(SEARCH("Grasslands",BX375)),45,IF(OR(_xlfn.XLOOKUP(_xlfn.XLOOKUP(B375,'Base stats'!B:B,'Base stats'!E:E),Groups!A:A,Groups!G:G)=1,ISNUMBER(SEARCH("TropicalRainforest",BX375)),ISNUMBER(SEARCH("TropicalSwamp",BX375))),40,IF(OR(ISNUMBER(SEARCH("TemperateForest",BX375)),ISNUMBER(SEARCH("TemperateSwamp",BX375))),35,IF(OR(ISNUMBER(SEARCH("Alpine",BX375)),ISNUMBER(SEARCH("BorealForest",BX375)),ISNUMBER(SEARCH("ColdBog",BX375))),30,IF(ISNUMBER(OR(ISNUMBER(SEARCH("GlacialPlain",BX375)),SEARCH("Tundra",BX375))),25,IF(OR(ISNUMBER(SEARCH("SeaIce",BX375)),ISNUMBER(SEARCH("IceSheet",BX375)),ISNUMBER(SEARCH("TropicalSwamp",BX375))),10,35)))))))+_xlfn.XLOOKUP(B375,'Base stats'!B:B,'Base stats'!Q:Q)</f>
        <v>35</v>
      </c>
      <c r="N375" s="8">
        <f>IF(
_xlfn.XLOOKUP(
_xlfn.XLOOKUP(B375,'Base stats'!B:B,'Base stats'!E:E),
Groups!A:A,
Groups!L:L
)=1,
MIN(
MROUND(
IF(
_xlfn.XLOOKUP(B375,'Animals CE'!B:B,'Animals CE'!Z:Z)&lt;=1.5,
_xlfn.XLOOKUP(B375,'Animals CE'!B:B,'Animals CE'!Z:Z)/2+0.05,
0.8+
(_xlfn.XLOOKUP(B375,'Animals CE'!B:B,'Animals CE'!Z:Z)-1.5)
*0.02
),
0.05
),
200%
),
"No"
)</f>
        <v>0.2</v>
      </c>
      <c r="O375" s="8">
        <f>IF(
_xlfn.XLOOKUP(
_xlfn.XLOOKUP(B375,'Base stats'!B:B,'Base stats'!E:E),
Groups!A:A,
Groups!L:L
)=1,
MIN(
MROUND(
IF(
_xlfn.XLOOKUP(B375,'Animals CE'!B:B,'Animals CE'!AA:AA)&lt;=1.5,
_xlfn.XLOOKUP(B375,'Animals CE'!B:B,'Animals CE'!AA:AA)/2+0.05,
0.8+
(_xlfn.XLOOKUP(B375,'Animals CE'!B:B,'Animals CE'!AA:AA)-1.5)
*0.02
),
0.05
),
200%
),
"No"
)</f>
        <v>0.30000000000000004</v>
      </c>
      <c r="P375" s="2" t="str">
        <f>_xlfn.XLOOKUP(B375,'Base stats'!B:B,'Base stats'!R:R)</f>
        <v>Standard</v>
      </c>
      <c r="Q375" s="13">
        <f>MROUND((LOG10(_xlfn.XLOOKUP(B375,'Base stats'!B:B,'Base stats'!AR:AR))*(AO375^0.5)+(_xlfn.XLOOKUP(B375,'Base stats'!B:B,'Base stats'!AR:AR)/1000)^(2/3)+_xlfn.XLOOKUP(B375,'Base stats'!B:B,'Base stats'!BA:BA)/2)+0.5,0.5)</f>
        <v>41.5</v>
      </c>
      <c r="R375" s="7">
        <f>IF(Q375="No","No",MAX(1,MROUND(_xlfn.XLOOKUP(B375,'Base stats'!B:B,'Base stats'!C:C)^0.165,0.05)))</f>
        <v>4.25</v>
      </c>
      <c r="S375" s="13" t="str">
        <f>IF(_xlfn.XLOOKUP(_xlfn.XLOOKUP(B375,'Base stats'!B:B,'Base stats'!E:E),Groups!A:A,Groups!P:P)=0,"No",MROUND((LOG10(_xlfn.XLOOKUP(B375,'Base stats'!B:B,'Base stats'!AS:AS))*(AO375^0.5)+(_xlfn.XLOOKUP(B375,'Base stats'!B:B,'Base stats'!AS:AS)/1000)^(2/3)+_xlfn.XLOOKUP(B375,'Base stats'!B:B,'Base stats'!BA:BA))+_xlfn.XLOOKUP(B375,'Base stats'!B:B,'Base stats'!AY:AY)+0.5,0.5))</f>
        <v>No</v>
      </c>
      <c r="T375" s="7" t="str">
        <f>IF(S375="No","No",MAX(_xlfn.XLOOKUP(_xlfn.XLOOKUP(B375,'Base stats'!B:B,'Base stats'!E:E),Groups!A:A,Groups!Q:Q),MROUND(_xlfn.XLOOKUP(_xlfn.XLOOKUP(B375,'Base stats'!B:B,'Base stats'!E:E),Groups!A:A,Groups!Q:Q)*_xlfn.XLOOKUP(B375,'Base stats'!B:B,'Base stats'!C:C)^0.165,0.05)))</f>
        <v>No</v>
      </c>
      <c r="U375" s="7" t="str">
        <f>IF(S375="No","No",_xlfn.XLOOKUP(_xlfn.XLOOKUP(B375,'Base stats'!B:B,'Base stats'!E:E),Groups!A:A,Groups!R:R))</f>
        <v>No</v>
      </c>
      <c r="V375" s="7" t="str">
        <f>IF(S375="No","No",_xlfn.XLOOKUP(_xlfn.XLOOKUP(B375,'Base stats'!B:B,'Base stats'!E:E),Groups!A:A,Groups!S:S))</f>
        <v>No</v>
      </c>
      <c r="W375" s="7" t="str">
        <f>IF(S375="No","No",_xlfn.XLOOKUP(_xlfn.XLOOKUP(B375,'Base stats'!B:B,'Base stats'!E:E),Groups!A:A,Groups!T:T))</f>
        <v>No</v>
      </c>
      <c r="X375" s="13">
        <f>IF(_xlfn.XLOOKUP(B375,'Base stats'!B:B,'Base stats'!W:W)="No","No",MROUND((LOG10(_xlfn.XLOOKUP(B375,'Base stats'!B:B,'Base stats'!AU:AU))*(AO375^0.5)+(_xlfn.XLOOKUP(B375,'Base stats'!B:B,'Base stats'!AU:AU)/1000)^(2/3)+_xlfn.XLOOKUP(B375,'Base stats'!B:B,'Base stats'!AZ:AZ))+0.5+IF(_xlfn.XLOOKUP(_xlfn.XLOOKUP(B375,'Base stats'!B:B,'Base stats'!E:E),Groups!A:A,Groups!U:U)&lt;&gt;3,_xlfn.XLOOKUP(B375,'Base stats'!B:B,'Base stats'!BA:BA),0),0.5))</f>
        <v>40</v>
      </c>
      <c r="Y375" s="7">
        <f>IF(X375="No","No",MAX(_xlfn.XLOOKUP(_xlfn.XLOOKUP(B375,'Base stats'!B:B,'Base stats'!E:E),Groups!A:A,Groups!V:V),MROUND(_xlfn.XLOOKUP(_xlfn.XLOOKUP(B375,'Base stats'!B:B,'Base stats'!E:E),Groups!A:A,Groups!V:V)*_xlfn.XLOOKUP(B375,'Base stats'!B:B,'Base stats'!C:C)^0.165,0.05)))</f>
        <v>3.6</v>
      </c>
      <c r="Z375" s="7" t="str">
        <f>IF(X375="No","No",_xlfn.XLOOKUP(_xlfn.XLOOKUP(B375,'Base stats'!B:B,'Base stats'!E:E),Groups!A:A,Groups!W:W))</f>
        <v>HeadAttackTool</v>
      </c>
      <c r="AA375" s="7" t="str">
        <f>IF(X375="No","No",_xlfn.XLOOKUP(_xlfn.XLOOKUP(B375,'Base stats'!B:B,'Base stats'!E:E),Groups!A:A,Groups!X:X))</f>
        <v>horn</v>
      </c>
      <c r="AB375" s="7" t="str">
        <f>IF(X375="No","No",_xlfn.XLOOKUP(_xlfn.XLOOKUP(B375,'Base stats'!B:B,'Base stats'!E:E),Groups!A:A,Groups!Y:Y))</f>
        <v>Scratch</v>
      </c>
      <c r="AC375" s="7" t="str">
        <f>_xlfn.XLOOKUP(Animals!B375,'Base stats'!B:B,'Base stats'!X:X)</f>
        <v>False</v>
      </c>
      <c r="AD375" s="13">
        <f>IF(_xlfn.XLOOKUP(B375,'Base stats'!B:B,'Base stats'!AT:AT)="No","No",MROUND((LOG10(_xlfn.XLOOKUP(B375,'Base stats'!B:B,'Base stats'!AT:AT))*(AO375^0.75)+(_xlfn.XLOOKUP(B375,'Base stats'!B:B,'Base stats'!AT:AT)/1000)^(2/3)+_xlfn.XLOOKUP(B375,'Base stats'!B:B,'Base stats'!AX:AX)+_xlfn.XLOOKUP(B375,'Base stats'!B:B,'Base stats'!BA:BA))+0.5,0.5))</f>
        <v>45</v>
      </c>
      <c r="AE375" s="7">
        <f>IF(AD375="No","No",MAX(_xlfn.XLOOKUP(_xlfn.XLOOKUP(B375,'Base stats'!B:B,'Base stats'!E:E),Groups!A:A,Groups!Z:Z),MROUND(_xlfn.XLOOKUP(_xlfn.XLOOKUP(B375,'Base stats'!B:B,'Base stats'!E:E),Groups!A:A,Groups!Z:Z)*_xlfn.XLOOKUP(B375,'Base stats'!B:B,'Base stats'!C:C)^0.165,0.05)))</f>
        <v>3.6</v>
      </c>
      <c r="AF375" s="7" t="str">
        <f>IF(AD375="No","No",_xlfn.XLOOKUP(_xlfn.XLOOKUP(B375,'Base stats'!B:B,'Base stats'!E:E),Groups!A:A,Groups!AA:AA))</f>
        <v>Teeth</v>
      </c>
      <c r="AG375" s="7" t="str">
        <f>IF(AD375="No","No",_xlfn.XLOOKUP(_xlfn.XLOOKUP(B375,'Base stats'!B:B,'Base stats'!E:E),Groups!A:A,Groups!AB:AB))</f>
        <v>beak</v>
      </c>
      <c r="AH375" s="7" t="str">
        <f>IF(AD375="No","No",_xlfn.XLOOKUP(_xlfn.XLOOKUP(B375,'Base stats'!B:B,'Base stats'!E:E),Groups!A:A,Groups!AC:AC))</f>
        <v>Bite</v>
      </c>
      <c r="AI375" s="13" t="str">
        <f>IF(_xlfn.XLOOKUP(_xlfn.XLOOKUP(B375,'Base stats'!B:B,'Base stats'!E:E),Groups!A:A,Groups!AD:AD)=0,"No",MROUND((LOG10(_xlfn.XLOOKUP(B375,'Base stats'!B:B,'Base stats'!AS:AS))*(AO375^0.75)+(_xlfn.XLOOKUP(B375,'Base stats'!B:B,'Base stats'!AS:AS)/1000)^(2/3)+_xlfn.XLOOKUP(B375,'Base stats'!B:B,'Base stats'!AY:AY)+_xlfn.XLOOKUP(B375,'Base stats'!B:B,'Base stats'!BA:BA))+0.5,0.5))</f>
        <v>No</v>
      </c>
      <c r="AJ375" s="7" t="str">
        <f>IF(AI375="No","No",MAX(_xlfn.XLOOKUP(_xlfn.XLOOKUP(B375,'Base stats'!B:B,'Base stats'!E:E),Groups!A:A,Groups!AE:AE),MROUND(_xlfn.XLOOKUP(_xlfn.XLOOKUP(B375,'Base stats'!B:B,'Base stats'!E:E),Groups!A:A,Groups!AE:AE)*IF(_xlfn.XLOOKUP(_xlfn.XLOOKUP(B375,'Base stats'!B:B,'Base stats'!E:E),Groups!A:A,Groups!AJ:AJ)="Photonozoa",0.6,1)*_xlfn.XLOOKUP(B375,'Base stats'!B:B,'Base stats'!C:C)^0.165,0.05)))</f>
        <v>No</v>
      </c>
      <c r="AK375" s="7" t="str">
        <f>IF(AI375="No","No",_xlfn.XLOOKUP(_xlfn.XLOOKUP(B375,'Base stats'!B:B,'Base stats'!E:E),Groups!A:A,Groups!AF:AF))</f>
        <v>No</v>
      </c>
      <c r="AL375" s="7" t="str">
        <f>IF(AI375="No","No",_xlfn.XLOOKUP(_xlfn.XLOOKUP(B375,'Base stats'!B:B,'Base stats'!E:E),Groups!A:A,Groups!AG:AG))</f>
        <v>No</v>
      </c>
      <c r="AM375" s="7" t="str">
        <f>IF(AI375="No","No",_xlfn.XLOOKUP(_xlfn.XLOOKUP(B375,'Base stats'!B:B,'Base stats'!E:E),Groups!A:A,Groups!AH:AH))</f>
        <v>No</v>
      </c>
      <c r="AN375" s="2" t="str">
        <f t="shared" si="35"/>
        <v>No</v>
      </c>
      <c r="AO375" s="2">
        <f>MROUND(IF(AND(_xlfn.XLOOKUP(B375,'Base stats'!B:B,'Base stats'!C:C)&gt;=0.5,_xlfn.XLOOKUP(B375,'Base stats'!B:B,'Base stats'!C:C)&lt;=0.8),
IF(_xlfn.XLOOKUP(B375,'Base stats'!B:B,'Base stats'!C:C)&lt;0.1,0.05,IF(_xlfn.XLOOKUP(B375,'Base stats'!B:B,'Base stats'!C:C)&lt;=70,(_xlfn.XLOOKUP(B375,'Base stats'!B:B,'Base stats'!C:C)/70)^0.426489913056526,IF(_xlfn.XLOOKUP(B375,'Base stats'!B:B,'Base stats'!C:C)&lt;=400,(_xlfn.XLOOKUP(B375,'Base stats'!B:B,'Base stats'!C:C)/70)^0.572811455315093,IF(_xlfn.XLOOKUP(B375,'Base stats'!B:B,'Base stats'!C:C)&lt;=2000,2.71391647193063*(_xlfn.XLOOKUP(B375,'Base stats'!B:B,'Base stats'!C:C)/400)^0.252459582904293,3.74314280240376*(_xlfn.XLOOKUP(B375,'Base stats'!B:B,'Base stats'!C:C)/2000)^0.357012633876913)))),
IF(_xlfn.XLOOKUP(B375,'Base stats'!B:B,'Base stats'!C:C)&lt;0.1,0.05,IF(_xlfn.XLOOKUP(B375,'Base stats'!B:B,'Base stats'!C:C)&lt;0.4,0.1,IF(_xlfn.XLOOKUP(B375,'Base stats'!B:B,'Base stats'!C:C)&lt;=70,(_xlfn.XLOOKUP(B375,'Base stats'!B:B,'Base stats'!C:C)/70)^0.445823913056526,IF(_xlfn.XLOOKUP(B375,'Base stats'!B:B,'Base stats'!C:C)&lt;=400,(_xlfn.XLOOKUP(B375,'Base stats'!B:B,'Base stats'!C:C)/70)^0.572811455315093,IF(_xlfn.XLOOKUP(B375,'Base stats'!B:B,'Base stats'!C:C)&lt;=2000,2.71391647193063*(_xlfn.XLOOKUP(B375,'Base stats'!B:B,'Base stats'!C:C)/400)^0.252459582904293,3.74314280240376*(_xlfn.XLOOKUP(B375,'Base stats'!B:B,'Base stats'!C:C)/2000)^0.357012633876913)))))),
IF(_xlfn.XLOOKUP(B375,'Base stats'!B:B,'Base stats'!C:C)&lt;0.1,0.05,IF(_xlfn.XLOOKUP(B375,'Base stats'!B:B,'Base stats'!C:C)&lt;=100,0.05,IF(_xlfn.XLOOKUP(B375,'Base stats'!B:B,'Base stats'!C:C)&lt;=250,0.1,IF(_xlfn.XLOOKUP(B375,'Base stats'!B:B,'Base stats'!C:C)&lt;=4000,0.25,0.5)))))</f>
        <v>5.5</v>
      </c>
      <c r="AP375" s="8">
        <f>MROUND(AO375*_xlfn.XLOOKUP(_xlfn.XLOOKUP(B375,'Base stats'!B:B,'Base stats'!E:E),Groups!A:A,Groups!AI:AI)*_xlfn.XLOOKUP(B375,'Base stats'!B:B,'Base stats'!Z:Z),0.05)</f>
        <v>5.5</v>
      </c>
      <c r="AQ375" s="8">
        <f>MAX(0.01,MROUND(IF(CC375="True",0.196*(AO375*100*1000)^0.889,IF(_xlfn.XLOOKUP(_xlfn.XLOOKUP(B375,'Base stats'!B:B,'Base stats'!E:E),Groups!A:A,Groups!AJ:AJ)="Bird",10.5*(AO375*100*1000)^0.681,4.82*(AO375*100*1000)^0.734))/(4.82*(1*100*1000)^0.734)/IF(AO375&lt;3.5,2,IF(AO375=3.5,1.5,1.25))*(1+0.132282374779864/(AO375^0.994035016789033+0.00905238001496948)),0.05))</f>
        <v>3.1</v>
      </c>
      <c r="AR375" s="9">
        <f>IFERROR(MROUND(_xlfn.XLOOKUP(B375,'Base stats'!B:B,'Base stats'!H:H)/IF(_xlfn.XLOOKUP(B375,'Base stats'!B:B,'Base stats'!I:I)&lt;&gt;1,(122.5/70),1.2),IF(_xlfn.XLOOKUP(B375,'Base stats'!B:B,'Base stats'!H:H)&gt;=30,5,IF(_xlfn.XLOOKUP(B375,'Base stats'!B:B,'Base stats'!H:H)&gt;=15,3,IF(_xlfn.XLOOKUP(B375,'Base stats'!B:B,'Base stats'!H:H)&gt;=10,2,1)))),"Immortal")</f>
        <v>21</v>
      </c>
      <c r="AS375" s="35" t="str">
        <f>IFERROR(IF(OR(_xlfn.XLOOKUP(B375,'Base stats'!B:B,'Base stats'!F:F)="Atypical reproduction",_xlfn.XLOOKUP(B375,'Base stats'!B:B,'Base stats'!F:F)="Lay eggs"),"Lay eggs",MIN(20,MAX(5.5,ROUND(((_xlfn.XLOOKUP(B375,'Base stats'!B:B,'Base stats'!F:F)-25)*(14.5/615) + 5.5)*2,0)/2))),"Unknown")</f>
        <v>Lay eggs</v>
      </c>
      <c r="AT375" s="8">
        <f>IF(_xlfn.XLOOKUP(B375,'Base stats'!B:B,'Base stats'!G:G)="Atypical reproduction","No",IFERROR(MAX(IF(_xlfn.XLOOKUP(B375,'Base stats'!B:B,'Base stats'!G:G)&lt;0.5,0.2,0.3),MROUND(_xlfn.XLOOKUP(B375,'Base stats'!B:B,'Base stats'!G:G)/(365/60),0.2)),"Unknown"))</f>
        <v>1.6</v>
      </c>
      <c r="AU375" s="8">
        <f t="shared" si="36"/>
        <v>0.8</v>
      </c>
      <c r="AV375" s="8" t="str">
        <f>IFERROR(IFERROR(MROUND(_xlfn.XLOOKUP(B375,'Base stats'!B:B,'Base stats'!J:J),0.1),"Lay eggs"),"Cannot breed")</f>
        <v>Lay eggs</v>
      </c>
      <c r="AW375" s="2" t="str">
        <f t="shared" si="37"/>
        <v>false</v>
      </c>
      <c r="AX375" s="2" t="str">
        <f>IF(_xlfn.XLOOKUP(_xlfn.XLOOKUP(Animals!B375,'Base stats'!B:B,'Base stats'!E:E),Groups!A:A,Groups!AK:AK)=1,"true","false")</f>
        <v>true</v>
      </c>
      <c r="AY375" s="25" t="str">
        <f>IF(_xlfn.XLOOKUP(B375,'Base stats'!B:B,'Base stats'!Y:Y)="Liquor","Liquor, CarnivoreAnimalStrict",IF(AND(_xlfn.XLOOKUP(B375,'Base stats'!B:B,'Base stats'!Y:Y)="Carnivore",_xlfn.XLOOKUP(_xlfn.XLOOKUP(B375,'Base stats'!B:B,'Base stats'!E:E),Groups!A:A,Groups!AJ:AJ)="Photonozoa"),"CarnivoreAnimalStrict, OvivoreAnimal",IF(_xlfn.XLOOKUP(B375,'Base stats'!B:B,'Base stats'!Y:Y)="Carnivore","CarnivoreAnimal, OvivoreAnimal",IF(_xlfn.XLOOKUP(B375,'Base stats'!B:B,'Base stats'!Y:Y)="Dendrovore","VegetarianRoughAnimal, DendrovoreAnimal",IF(_xlfn.XLOOKUP(B375,'Base stats'!B:B,'Base stats'!Y:Y)="Herbivore","VegetarianRoughAnimal",IF(_xlfn.XLOOKUP(B375,'Base stats'!B:B,'Base stats'!Y:Y)="OmnivoreRough","OmnivoreRoughAnimal, OvivoreAnimal","OmnivoreAnimal, OvivoreAnimal"))))))</f>
        <v>VegetarianRoughAnimal</v>
      </c>
      <c r="AZ375" s="2">
        <f>IF(_xlfn.XLOOKUP(_xlfn.XLOOKUP(B375,'Base stats'!B:B,'Base stats'!E:E),Groups!A:A,Groups!D:D)=1,MROUND((1-J375)*5+1,2)*IF(J375&lt;=0.4,2,1),"No")</f>
        <v>2</v>
      </c>
      <c r="BA375" s="2" t="str">
        <f>IF(AND(_xlfn.XLOOKUP(B375,'Base stats'!B:B,'Base stats'!AH:AH)="&lt;li&gt;Seal&lt;/li&gt;",G375="Odyssey"),"&lt;li&gt;AEXP_Seal&lt;/li&gt;",_xlfn.XLOOKUP(B375,'Base stats'!B:B,'Base stats'!AH:AH))</f>
        <v>No</v>
      </c>
      <c r="BB375" s="2" t="str">
        <f>_xlfn.XLOOKUP(B375,'Base stats'!B:B,'Base stats'!AG:AG)</f>
        <v>Leather_DinosaurHide</v>
      </c>
      <c r="BC375" s="23" t="str">
        <f>_xlfn.XLOOKUP(_xlfn.XLOOKUP(B375,'Base stats'!B:B,'Base stats'!E:E),Groups!A:A,Groups!AL:AL)</f>
        <v>Ceratops</v>
      </c>
      <c r="BD375" s="23">
        <f>MIN(1,MROUND(IF(AND(AO375&lt;0.5,_xlfn.XLOOKUP(B375,'Base stats'!B:B,'Base stats'!AA:AA)=0),0,IF(OR(_xlfn.XLOOKUP(Animals!B375,'Base stats'!B:B,'Base stats'!O:O)=2,_xlfn.XLOOKUP(_xlfn.XLOOKUP(B375,'Base stats'!B:B,'Base stats'!E:E),Groups!A:A,Groups!AN:AN)=0),0,_xlfn.XLOOKUP(_xlfn.XLOOKUP(B375,'Base stats'!B:B,'Base stats'!E:E),Groups!A:A,Groups!AN:AN)/IF(_xlfn.XLOOKUP(Animals!B375,'Base stats'!B:B,'Base stats'!O:O)=1,2,1)))+_xlfn.XLOOKUP(B375,'Base stats'!B:B,'Base stats'!AC:AC),0.005))</f>
        <v>0.1</v>
      </c>
      <c r="BE375" s="23">
        <f>MIN(1,MROUND(IF(AND(AO375&lt;0.5,_xlfn.XLOOKUP(B375,'Base stats'!B:B,'Base stats'!AA:AA)=0),0,IF(_xlfn.XLOOKUP(_xlfn.XLOOKUP(B375,'Base stats'!B:B,'Base stats'!E:E),Groups!A:A,Groups!AO:AO)=0,0,_xlfn.XLOOKUP(_xlfn.XLOOKUP(B375,'Base stats'!B:B,'Base stats'!E:E),Groups!A:A,Groups!AO:AO)/IF(_xlfn.XLOOKUP(Animals!B375,'Base stats'!B:B,'Base stats'!O:O)=2,3,1)))+_xlfn.XLOOKUP(B375,'Base stats'!B:B,'Base stats'!AD:AD),0.005))</f>
        <v>0.3</v>
      </c>
      <c r="BF375" s="2" t="str">
        <f>IF(J375&gt;0.3,"No",_xlfn.XLOOKUP(_xlfn.XLOOKUP(Animals!B375,'Base stats'!B:B,'Base stats'!E:E),Groups!A:A,Groups!AP:AP))</f>
        <v>No</v>
      </c>
      <c r="BG375" s="2" t="str">
        <f>IF(AND(J375&lt;=0.65,_xlfn.XLOOKUP(_xlfn.XLOOKUP(Animals!B375,'Base stats'!B:B,'Base stats'!E:E),Groups!A:A,Groups!AP:AP)&lt;&gt;"No",_xlfn.XLOOKUP(_xlfn.XLOOKUP(B375,'Base stats'!B:B,'Base stats'!E:E),Groups!A:A,Groups!D:D)=0),MROUND((80/3)*IF(_xlfn.XLOOKUP(B375,'Base stats'!B:B,'Base stats'!O:O)=2,0.2,AO375) + 24*(1-IF(BF375="No",0,BF375)) + 16/3, 12),"No")</f>
        <v>No</v>
      </c>
      <c r="BH375" s="2">
        <f>IF(AND(_xlfn.XLOOKUP(_xlfn.XLOOKUP(B375,'Base stats'!B:B,'Base stats'!E:E),Groups!A:A,Groups!AQ:AQ)=1,AO375&lt;=0.35),8,12)</f>
        <v>12</v>
      </c>
      <c r="BI375" s="2" t="str">
        <f>IF(_xlfn.XLOOKUP(_xlfn.XLOOKUP(B375,'Base stats'!B:B,'Base stats'!E:E),Groups!A:A,Groups!D:D)=0,_xlfn.XLOOKUP(_xlfn.XLOOKUP(B375,'Base stats'!B:B,'Base stats'!E:E),Groups!A:A,Groups!AR:AR),"None")</f>
        <v>None</v>
      </c>
      <c r="BJ375" s="2" t="str">
        <f>IF(AND(_xlfn.XLOOKUP(_xlfn.XLOOKUP(B375,'Base stats'!B:B,'Base stats'!E:E),Groups!A:A,Groups!AS:AS)=1,OR(_xlfn.XLOOKUP(B375,'Base stats'!B:B,'Base stats'!Y:Y)="Carnivore",_xlfn.XLOOKUP(B375,'Base stats'!B:B,'Base stats'!Y:Y)="Omnivore")),"true","false")</f>
        <v>false</v>
      </c>
      <c r="BK375" s="2" t="str">
        <f>IF(BJ375="true",MROUND(IF(AND(AO375&gt;0.5,OR(_xlfn.XLOOKUP(_xlfn.XLOOKUP(B375,'Base stats'!B:B,'Base stats'!E:E),Groups!A:A,Groups!AJ:AJ)="Photonozoa",_xlfn.XLOOKUP(_xlfn.XLOOKUP(B375,'Base stats'!B:B,'Base stats'!E:E),Groups!A:A,Groups!AJ:AJ)="Mammal")),Animals!AO375*1.75*IF(AW375="true",1.5,1),IF(AO375&lt;0.5,Animals!AO375*0.5,Animals!AO375)),IF(AO375&gt;2,0.5,IF(AO375&gt;0.5,0.25,0.1))),"No")</f>
        <v>No</v>
      </c>
      <c r="BL375" s="2">
        <f t="shared" si="38"/>
        <v>0</v>
      </c>
      <c r="BM375" s="25" t="str">
        <f>IF(_xlfn.XLOOKUP(B375,'Base stats'!B:B,'Base stats'!AN:AN)="Standard","No",MROUND((_xlfn.XLOOKUP(B375,'Base stats'!B:B,'Base stats'!AN:AN)/3.6)/I375,0.1))</f>
        <v>No</v>
      </c>
      <c r="BN375" s="25" t="str">
        <f t="shared" si="39"/>
        <v>false</v>
      </c>
      <c r="BO375" s="25" t="str">
        <f>IF(AND(OR(_xlfn.XLOOKUP(B375,'Base stats'!B:B,'Base stats'!Y:Y)="Carnivore",_xlfn.XLOOKUP(B375,'Base stats'!B:B,'Base stats'!Y:Y)="Omnivore",_xlfn.XLOOKUP(B375,'Base stats'!B:B,'Base stats'!Y:Y)="OmnivoreRough"),_xlfn.XLOOKUP(_xlfn.XLOOKUP(B375,'Base stats'!B:B,'Base stats'!E:E),Groups!A:A,Groups!AT:AT)=1),"true","false")</f>
        <v>false</v>
      </c>
      <c r="BP375" s="25" t="str" cm="1">
        <f t="array" ref="BP375">IF(
  _xlfn.TEXTJOIN(", ",TRUE,
    IF(AND(BJ375="true",AO375&gt;0.5,BI375&lt;&gt;"None"),"AttackTarget",""),
    IF(AND(_xlfn.XLOOKUP(_xlfn.XLOOKUP(B375,'Base stats'!B:B,'Base stats'!E:E),Groups!A:A,Groups!AJ:AJ="Mammal"),OR(_xlfn.XLOOKUP(B375,'Base stats'!B:B,'Base stats'!Y:Y)="Omnivore",_xlfn.XLOOKUP(B375,'Base stats'!B:B,'Base stats'!Y:Y)="OmnivoreRough")),"Forage",""),
    IF(BG375&lt;=36,"Comfort",""),
    IF(_xlfn.XLOOKUP(B375,'Base stats'!B:B,'Base stats'!AE:AE)&lt;&gt;"No",_xlfn.XLOOKUP(B375,'Base stats'!B:B,'Base stats'!AE:AE),"")
  ) = "",
  "No",
  _xlfn.TEXTJOIN(", ",TRUE,
    IF(AND(BJ375="true",AO375&gt;0.5,BI375&lt;&gt;"None"),"AttackTarget",""),
    IF(AND(_xlfn.XLOOKUP(_xlfn.XLOOKUP(B375,'Base stats'!B:B,'Base stats'!E:E),Groups!A:A,Groups!AJ:AJ="Mammal"),OR(_xlfn.XLOOKUP(B375,'Base stats'!B:B,'Base stats'!Y:Y)="Omnivore",_xlfn.XLOOKUP(B375,'Base stats'!B:B,'Base stats'!Y:Y)="OmnivoreRough")),"Forage",""),
    IF(BG375&lt;=36,"Comfort",""),
    IF(_xlfn.XLOOKUP(B375,'Base stats'!B:B,'Base stats'!AE:AE)&lt;&gt;"No",_xlfn.XLOOKUP(B375,'Base stats'!B:B,'Base stats'!AE:AE),"")
  )
)</f>
        <v>No</v>
      </c>
      <c r="BQ375" s="25" t="str">
        <f>IF(
   AND(
      'Base stats'!AN375="Standard",_xlfn.XLOOKUP(_xlfn.XLOOKUP(B375,'Base stats'!B:B,'Base stats'!E:E),Groups!A:A,Groups!AU:AU)=0,
      OR(
      BO375="True"
      )
   ),
   10,
   IF(
       OR(BM375&lt;&gt;"No",_xlfn.XLOOKUP(_xlfn.XLOOKUP(B375,'Base stats'!B:B,'Base stats'!E:E),Groups!A:A,Groups!AU:AU)=1),
      1,
      "No"
   )
)</f>
        <v>No</v>
      </c>
      <c r="BR375" s="9">
        <f>MROUND((1 + ((0.2*IF(OR(Q375="No",R375="No",R375=0),0,Q375/R375)
+IF(OR(V375="No",S375="No",T375="No"),0,S375/T375*(LEN(V375)-LEN(SUBSTITUTE(V375,",",""))+1))
+IF(OR(X375="No",Y375="No"),0,X375/Y375)
+IF(OR(AD375="No",AE375="No"),0,AD375/AE375)
+IF(OR(AL375="No",AI375="No",AJ375="No"),0,AI375/AJ375*(LEN(AL375)-LEN(SUBSTITUTE(AL375,",",""))+1))
)/(0.2*IF(OR(Q375="No",R375="No",R375=0),0,1)
+IF(OR(V375="No",S375="No",T375="No"),0,LEN(V375)-LEN(SUBSTITUTE(V375,",",""))+1)
+IF(OR(X375="No",Y375="No"),0,1)
+IF(OR(AD375="No",AE375="No"),0,1)
+IF(OR(AL375="No",AI375="No",AJ375="No"),0,LEN(AL375)-LEN(SUBSTITUTE(AL375,",",""))+1))*62%)* 2)*(1 + (AP375 / (IF(_xlfn.XLOOKUP(_xlfn.XLOOKUP(B375,'Base stats'!B:B,'Base stats'!E:E),Groups!A:A,Groups!AJ:AJ)="Photonozoa",0.3,1)) + _xlfn.XLOOKUP(B375,'Base stats'!B:B,'Base stats'!AV:AV) * 1.8) * 2) * 2.5 + 10 + I375 * 2,5)+IF(_xlfn.XLOOKUP(B375,'Base stats'!B:B,'Base stats'!AK:AK)=1,50,0)</f>
        <v>515</v>
      </c>
      <c r="BS375" s="8">
        <f t="shared" si="40"/>
        <v>3.6</v>
      </c>
      <c r="BT375" s="8" t="str">
        <f>_xlfn.XLOOKUP(B375,'Base stats'!B:B,'Base stats'!AF:AF)</f>
        <v>No</v>
      </c>
      <c r="BU375" s="2" t="str">
        <f>IF(AND(J375&lt;=0.95,OR(_xlfn.XLOOKUP(B375,'Base stats'!B:B,'Base stats'!AK:AK)=1,_xlfn.XLOOKUP(B375,'Base stats'!B:B,'Base stats'!Y:Y)="Carnivore",_xlfn.XLOOKUP(B375,'Base stats'!B:B,'Base stats'!Y:Y)="Omnivore",BE375&gt;0.1)),"true","false")</f>
        <v>true</v>
      </c>
      <c r="BV375" s="2" t="str">
        <f>IF(_xlfn.XLOOKUP(B375,'Base stats'!B:B,'Base stats'!AI:AI)=1,"true","false")</f>
        <v>true</v>
      </c>
      <c r="BW375" s="25" t="str">
        <f>IF(E375="BaseInsect","AnimalInsect",
IF(J375&gt;0.95,"AnimalExotic",
_xlfn.TEXTJOIN(", ",TRUE,
IF(OR(_xlfn.XLOOKUP(B375,'Base stats'!B:B,'Base stats'!AM:AM)=1,AND(_xlfn.XLOOKUP(B375,'Base stats'!B:B,'Base stats'!O:O)=0,_xlfn.XLOOKUP(_xlfn.XLOOKUP(B375,'Base stats'!B:B,'Base stats'!E:E),Groups!A:A,Groups!B:B)&gt;0)),"AnimalUncommon","AnimalCommon"),
IF(AND(_xlfn.XLOOKUP(B375,'Base stats'!B:B,'Base stats'!O:O)=2,_xlfn.XLOOKUP(_xlfn.XLOOKUP(B375,'Base stats'!B:B,'Base stats'!E:E),Groups!A:A,Groups!D:D)=0),"AnimalPet",IF(AND(_xlfn.XLOOKUP(B375,'Base stats'!B:B,'Base stats'!O:O)&lt;&gt;0,_xlfn.XLOOKUP(_xlfn.XLOOKUP(B375,'Base stats'!B:B,'Base stats'!E:E),Groups!A:A,Groups!D:D)&lt;&gt;0),"AnimalFarm","")),
IF(OR(_xlfn.XLOOKUP(B375,'Base stats'!B:B,'Base stats'!AK:AK)=1,AND(BI375&lt;&gt;"None",BR375&gt;=60),ISNUMBER(SEARCH("Attack target",BP375))),"AnimalFighter","")
)))</f>
        <v>AnimalUncommon</v>
      </c>
      <c r="BX375" s="25" t="str">
        <f>IF(G375="None",TRIM(
SUBSTITUTE(
IF(COUNTIF(Biomes!B$2:B$259,"="&amp;$C375)&gt;0,Biomes!B$1&amp;", ","")&amp;
IF(COUNTIF(Biomes!C$2:C$259,"="&amp;$C375)&gt;0,Biomes!C$1&amp;", ","")&amp;
IF(COUNTIF(Biomes!D$2:D$259,"="&amp;$C375)&gt;0,Biomes!D$1&amp;", ","")&amp;
IF(COUNTIF(Biomes!F$2:F$259,"="&amp;$C375)&gt;0,Biomes!F$1&amp;", ","")&amp;
IF(COUNTIF(Biomes!G$2:G$259,"="&amp;$C375)&gt;0,Biomes!G$1&amp;", ","")&amp;
IF(COUNTIF(Biomes!H$2:H$259,"="&amp;$C375)&gt;0,Biomes!H$1&amp;", ","")&amp;
IF(COUNTIF(Biomes!I$2:I$259,"="&amp;$C375)&gt;0,Biomes!I$1&amp;", ","")&amp;
IF(COUNTIF(Biomes!J$2:J$259,"="&amp;$C375)&gt;0,Biomes!J$1&amp;", ","")&amp;
IF(COUNTIF(Biomes!M$2:M$259,"="&amp;$C375)&gt;0,Biomes!M$1&amp;", ","")&amp;
IF(COUNTIF(Biomes!N$2:N$259,"="&amp;$C375)&gt;0,Biomes!N$1&amp;", ","")&amp;
IF(COUNTIF(Biomes!O$2:O$259,"="&amp;$C375)&gt;0,Biomes!O$1&amp;", ","")&amp;
IF(COUNTIF(Biomes!P$2:P$259,"="&amp;$C375)&gt;0,Biomes!P$1&amp;", ","")&amp;
IF(COUNTIF(Biomes!K$2:K$259,"="&amp;$C375)&gt;0,Biomes!K$1&amp;", ","")&amp;
IF(COUNTIF(Biomes!Q$3:Q$259,"="&amp;$C375)&gt;0,Biomes!Q$1&amp;", ","")&amp;
IF(COUNTIF(Biomes!L$2:L$259,"="&amp;$C375)&gt;0,Biomes!L$1&amp;", ","")&amp;
IF(COUNTIF(Biomes!E$2:E$259,"="&amp;$C375)&gt;0,Biomes!E$1&amp;", ","")&amp;IF(COUNTIF(Biomes!S$2:S$259,"="&amp;$C375)&gt;0,Biomes!S$1&amp;", ","")&amp;
IF(COUNTIF(Biomes!R$2:R$259,"="&amp;$C375)&gt;0,Biomes!R$1&amp;", ",""),", ","")
),_xlfn.XLOOKUP(B375,B:B,BX:BX))</f>
        <v>TemperateForest TemperateSwamp</v>
      </c>
      <c r="BY375" s="25" t="str">
        <f>IF(_xlfn.XLOOKUP(B375,'Base stats'!B:B,'Base stats'!AJ:AJ)=1,"true","false")</f>
        <v>false</v>
      </c>
      <c r="BZ375" s="25">
        <f>IF(_xlfn.XLOOKUP(B375,'Base stats'!B:B,'Base stats'!N:N)=1,"No",MAX(0.001,MIN(MROUND(IF(AND(BJ375="True",CC375="False"),POWER(10,3.47*LOG10(_xlfn.XLOOKUP(B375,'Base stats'!B:B,'Base stats'!C:C)*1000)^-0.96),POWER(10,4.15*LOG10(_xlfn.XLOOKUP(B375,'Base stats'!B:B,'Base stats'!C:C)*1000)^-0.73))*IF(_xlfn.XLOOKUP(B375,'Base stats'!B:B,'Base stats'!AK:AK)=1,0.5,1)*IF(_xlfn.XLOOKUP(B375,'Base stats'!B:B,'Base stats'!AM:AM)=1,0.1,1)/100,IF(_xlfn.XLOOKUP(B375,'Base stats'!B:B,'Base stats'!AM:AM)=1,0.001,0.025)),0.5)))</f>
        <v>0.1</v>
      </c>
      <c r="CA375" s="25" t="str">
        <f>IF(P375="Standard","No",MAX(0.001,MIN(MROUND(IF(AND(BJ375="True",CC375="False"),POWER(10,3.47*LOG10(_xlfn.XLOOKUP(B375,'Base stats'!B:B,'Base stats'!C:C)*1000)^-0.96),POWER(10,4.15*LOG10(_xlfn.XLOOKUP(B375,'Base stats'!B:B,'Base stats'!C:C)*1000)^-0.73))*IF(_xlfn.XLOOKUP(B375,'Base stats'!B:B,'Base stats'!AM:AM)=1,0.1,1)*_xlfn.XLOOKUP(B375,'Base stats'!B:B,'Base stats'!R:R)/100,IF(_xlfn.XLOOKUP(B375,'Base stats'!B:B,'Base stats'!AM:AM)=1,0.001,0.025)),0.5)))</f>
        <v>No</v>
      </c>
      <c r="CB375" s="25" t="str">
        <f>IF(_xlfn.XLOOKUP(_xlfn.XLOOKUP(B375,'Base stats'!B:B,'Base stats'!E:E),Groups!A:A,Groups!AJ:AJ)="Mammal","True","False")</f>
        <v>False</v>
      </c>
      <c r="CC375" s="25" t="str">
        <f>IF(OR(_xlfn.XLOOKUP(_xlfn.XLOOKUP(B375,'Base stats'!B:B,'Base stats'!E:E),Groups!A:A,Groups!AJ:AJ)="Reptile",_xlfn.XLOOKUP(_xlfn.XLOOKUP(B375,'Base stats'!B:B,'Base stats'!E:E),Groups!A:A,Groups!AJ:AJ)="Amphibian",_xlfn.XLOOKUP(_xlfn.XLOOKUP(B375,'Base stats'!B:B,'Base stats'!E:E),Groups!A:A,Groups!AJ:AJ)="Invertebrate"),"True","False")</f>
        <v>False</v>
      </c>
      <c r="CD375" s="25" t="str">
        <f t="shared" si="41"/>
        <v>False</v>
      </c>
      <c r="CE375" s="25" t="str">
        <f>IF(_xlfn.XLOOKUP(_xlfn.XLOOKUP(B375,'Base stats'!B:B,'Base stats'!E:E),Groups!A:A,Groups!AX:AX),"True","False")</f>
        <v>False</v>
      </c>
      <c r="CF375" s="25" t="str">
        <f>IF(_xlfn.XLOOKUP(_xlfn.XLOOKUP(B375,'Base stats'!B:B,'Base stats'!E:E),Groups!A:A,Groups!AY:AY),"True","False")</f>
        <v>False</v>
      </c>
      <c r="CG375" s="25" t="str">
        <f>IF(_xlfn.XLOOKUP(_xlfn.XLOOKUP(B375,'Base stats'!B:B,'Base stats'!E:E),Groups!A:A,Groups!AW:AW),"True","False")</f>
        <v>False</v>
      </c>
      <c r="CH375" s="25" t="str">
        <f>IF(
OR(
_xlfn.XLOOKUP(_xlfn.XLOOKUP(B375,'Base stats'!B:B,'Base stats'!E:E),Groups!A:A,Groups!AZ:AZ)=0,
AND(
_xlfn.XLOOKUP(B375,'Base stats'!B:B,'Base stats'!Y:Y)&lt;&gt;"Carnivore",
_xlfn.XLOOKUP(B375,'Base stats'!B:B,'Base stats'!Y:Y)&lt;&gt;"Omnivore",
_xlfn.XLOOKUP(B375,'Base stats'!B:B,'Base stats'!Y:Y)&lt;&gt;"OmnivoreRough"
)
),
"No",
IF(
_xlfn.XLOOKUP(_xlfn.XLOOKUP(B375,'Base stats'!B:B,'Base stats'!E:E),Groups!A:A,Groups!AZ:AZ)=1,
"Flesh",
IF(
_xlfn.XLOOKUP(_xlfn.XLOOKUP(B375,'Base stats'!B:B,'Base stats'!E:E),Groups!A:A,Groups!AZ:AZ)=2,
"Bone",
""
)
)
)</f>
        <v>No</v>
      </c>
      <c r="CI375" s="25" t="str">
        <f>IF(_xlfn.XLOOKUP(_xlfn.XLOOKUP(B375,'Base stats'!B:B,'Base stats'!E:E),Groups!A:A,Groups!BB:BB),"True","False")</f>
        <v>False</v>
      </c>
      <c r="CJ375" s="25" t="str">
        <f>IF(_xlfn.XLOOKUP(_xlfn.XLOOKUP(B375,'Base stats'!B:B,'Base stats'!E:E),Groups!A:A,Groups!BA:BA),"True","False")</f>
        <v>False</v>
      </c>
    </row>
    <row r="376" spans="1:88" ht="16.5" thickTop="1" thickBot="1" x14ac:dyDescent="0.3">
      <c r="A376" s="26" t="s">
        <v>1982</v>
      </c>
      <c r="B376" s="6" t="str">
        <f>_xlfn.XLOOKUP(A376,'Base stats'!A:A,'Base stats'!B:B)</f>
        <v>Quetzalcoatlus northropi</v>
      </c>
      <c r="C376" s="28" t="s">
        <v>2050</v>
      </c>
      <c r="D376" s="28" t="s">
        <v>1898</v>
      </c>
      <c r="E376" s="28" t="s">
        <v>673</v>
      </c>
      <c r="F376" s="28" t="s">
        <v>673</v>
      </c>
      <c r="G376" s="28" t="s">
        <v>673</v>
      </c>
      <c r="H376" s="2">
        <f>MROUND((
  (IF(AND(_xlfn.XLOOKUP(B376,'Base stats'!B:B,'Base stats'!AL:AL)=0,BI376="None",_xlfn.XLOOKUP(_xlfn.XLOOKUP(B376,'Base stats'!B:B,'Base stats'!E:E),Groups!A:A,Groups!B:B)=0), (18 + BR376 * 2.7) * 0.5,
    IF(AND(_xlfn.XLOOKUP(B376,'Base stats'!B:B,'Base stats'!AL:AL)=0,OR(AO376&lt;0.55,AND(BI376="Intermediate",_xlfn.XLOOKUP(_xlfn.XLOOKUP(B376,'Base stats'!B:B,'Base stats'!E:E),Groups!A:A,Groups!B:B)&lt;2))), (18 + BR376 * 2.7),
      IF(OR(BI376="Advanced",_xlfn.XLOOKUP(B376,'Base stats'!B:B,'Base stats'!AL:AL)=1,_xlfn.XLOOKUP(_xlfn.XLOOKUP(B376,'Base stats'!B:B,'Base stats'!E:E),Groups!A:A,Groups!B:B)=2), (18 + BR376 * 2.7) + 250, (18 + BR376 * 2.7))
    )
  ))
  + AO376 * 80
  + IF(COUNTIF(EggMilk!K$2:K$998, A376) &gt; 0, 125, 0)
  + IF(COUNTIF(EggMilk!P$2:P$998, A376) &gt; 0, 90, 0)
  + IF(COUNTIF(EggMilk!A$2:A$998, A376) &gt; 0, 90, 0)
)
* (0.8 + 0.4 * J376)
* 0.75,25)</f>
        <v>1000</v>
      </c>
      <c r="I376" s="2">
        <f>MROUND(ROUNDDOWN(_xlfn.XLOOKUP(B376,'Base stats'!B:B,'Base stats'!L:L)/3.6/(23.3/11),1),0.5)</f>
        <v>4</v>
      </c>
      <c r="J376" s="2">
        <f>IF(OR(_xlfn.XLOOKUP(B376,'Base stats'!B:B,'Base stats'!AB:AB)=1,_xlfn.XLOOKUP(_xlfn.XLOOKUP(B376,'Base stats'!B:B,'Base stats'!E:E),Groups!A:A,Groups!C:C)="Untamable"),1,IF(_xlfn.XLOOKUP(B376,'Base stats'!B:B,'Base stats'!AL:AL)=1,0.99,MIN(MROUND((1-0.6282*EXP(-0.459*AO376))*_xlfn.XLOOKUP(_xlfn.XLOOKUP(B376,'Base stats'!B:B,'Base stats'!E:E),Groups!A:A,Groups!C:C)*IF(_xlfn.XLOOKUP(B376,'Base stats'!B:B,'Base stats'!O:O)=1,0.5,IF(_xlfn.XLOOKUP(B376,'Base stats'!B:B,'Base stats'!O:O)=2,0,1)),0.05),IF(AO376&gt;3.5,0.985,0.95))))</f>
        <v>0.85000000000000009</v>
      </c>
      <c r="K376" s="2">
        <f>ROUNDUP(AO376*_xlfn.XLOOKUP(_xlfn.XLOOKUP(B376,'Base stats'!B:B,'Base stats'!E:E),Groups!A:A,Groups!E:E),0)</f>
        <v>3</v>
      </c>
      <c r="L376" s="2">
        <f>IF(OR(_xlfn.XLOOKUP(_xlfn.XLOOKUP(B376,'Base stats'!B:B,'Base stats'!E:E),Groups!A:A,Groups!F:F)=2,ISNUMBER(SEARCH("SeaIce",BX376)),ISNUMBER(SEARCH("IceSheet",BX376))),-50,IF(OR(ISNUMBER(SEARCH("GlacialPlain",BX376)),ISNUMBER(SEARCH("Tundra",BX376))),-40,IF(OR(ISNUMBER(SEARCH("Alpine",BX376)),ISNUMBER(SEARCH("BorealForest",BX376)),ISNUMBER(SEARCH("ColdBog",BX376))),-30,IF(OR(ISNUMBER(SEARCH("TemperateForest",BX376)),ISNUMBER(SEARCH("TemperateSwamp",BX376))),-20,IF(_xlfn.XLOOKUP(_xlfn.XLOOKUP(B376,'Base stats'!B:B,'Base stats'!E:E),Groups!A:A,Groups!F:F)=1,-15,IF(OR(ISNUMBER(SEARCH("Desert",BX376)),ISNUMBER(SEARCH("ExtremeDesert",BX376))),-10,IF(OR(ISNUMBER(SEARCH("Grasslands",BX376)),ISNUMBER(SEARCH("TropicalRainforest",BX376)),ISNUMBER(SEARCH("TropicalSwamp",BX376))),10,0)))))))-IF(CC376="False",MIN(IFERROR(MAX(MROUND(LOG10(_xlfn.XLOOKUP(B376,'Base stats'!B:B,'Base stats'!C:C)^(2/3))*10,5),5),5),30))-_xlfn.XLOOKUP(B376,'Base stats'!B:B,'Base stats'!P:P)+IF(CC376="True",5,0)</f>
        <v>-40</v>
      </c>
      <c r="M376" s="2">
        <f>IF(OR(_xlfn.XLOOKUP(_xlfn.XLOOKUP(B376,'Base stats'!B:B,'Base stats'!E:E),Groups!A:A,Groups!G:G)=2,ISNUMBER(SEARCH("Desert",BX376)),ISNUMBER(SEARCH("ExtremeDesert",BX376)),ISNUMBER(SEARCH("LavaField",BX376))),50,IF(ISNUMBER(SEARCH("Grasslands",BX376)),45,IF(OR(_xlfn.XLOOKUP(_xlfn.XLOOKUP(B376,'Base stats'!B:B,'Base stats'!E:E),Groups!A:A,Groups!G:G)=1,ISNUMBER(SEARCH("TropicalRainforest",BX376)),ISNUMBER(SEARCH("TropicalSwamp",BX376))),40,IF(OR(ISNUMBER(SEARCH("TemperateForest",BX376)),ISNUMBER(SEARCH("TemperateSwamp",BX376))),35,IF(OR(ISNUMBER(SEARCH("Alpine",BX376)),ISNUMBER(SEARCH("BorealForest",BX376)),ISNUMBER(SEARCH("ColdBog",BX376))),30,IF(ISNUMBER(OR(ISNUMBER(SEARCH("GlacialPlain",BX376)),SEARCH("Tundra",BX376))),25,IF(OR(ISNUMBER(SEARCH("SeaIce",BX376)),ISNUMBER(SEARCH("IceSheet",BX376)),ISNUMBER(SEARCH("TropicalSwamp",BX376))),10,35)))))))+_xlfn.XLOOKUP(B376,'Base stats'!B:B,'Base stats'!Q:Q)</f>
        <v>50</v>
      </c>
      <c r="N376" s="8" t="str">
        <f>IF(
_xlfn.XLOOKUP(
_xlfn.XLOOKUP(B376,'Base stats'!B:B,'Base stats'!E:E),
Groups!A:A,
Groups!L:L
)=1,
MIN(
MROUND(
IF(
_xlfn.XLOOKUP(B376,'Animals CE'!B:B,'Animals CE'!Z:Z)&lt;=1.5,
_xlfn.XLOOKUP(B376,'Animals CE'!B:B,'Animals CE'!Z:Z)/2+0.05,
0.8+
(_xlfn.XLOOKUP(B376,'Animals CE'!B:B,'Animals CE'!Z:Z)-1.5)
*0.02
),
0.05
),
200%
),
"No"
)</f>
        <v>No</v>
      </c>
      <c r="O376" s="8" t="str">
        <f>IF(
_xlfn.XLOOKUP(
_xlfn.XLOOKUP(B376,'Base stats'!B:B,'Base stats'!E:E),
Groups!A:A,
Groups!L:L
)=1,
MIN(
MROUND(
IF(
_xlfn.XLOOKUP(B376,'Animals CE'!B:B,'Animals CE'!AA:AA)&lt;=1.5,
_xlfn.XLOOKUP(B376,'Animals CE'!B:B,'Animals CE'!AA:AA)/2+0.05,
0.8+
(_xlfn.XLOOKUP(B376,'Animals CE'!B:B,'Animals CE'!AA:AA)-1.5)
*0.02
),
0.05
),
200%
),
"No"
)</f>
        <v>No</v>
      </c>
      <c r="P376" s="2" t="str">
        <f>_xlfn.XLOOKUP(B376,'Base stats'!B:B,'Base stats'!R:R)</f>
        <v>Standard</v>
      </c>
      <c r="Q376" s="13">
        <f>MROUND((LOG10(_xlfn.XLOOKUP(B376,'Base stats'!B:B,'Base stats'!AR:AR))*(AO376^0.5)+(_xlfn.XLOOKUP(B376,'Base stats'!B:B,'Base stats'!AR:AR)/1000)^(2/3)+_xlfn.XLOOKUP(B376,'Base stats'!B:B,'Base stats'!BA:BA)/2)+0.5,0.5)</f>
        <v>16.5</v>
      </c>
      <c r="R376" s="7">
        <f>IF(Q376="No","No",MAX(1,MROUND(_xlfn.XLOOKUP(B376,'Base stats'!B:B,'Base stats'!C:C)^0.165,0.05)))</f>
        <v>2.85</v>
      </c>
      <c r="S376" s="13" t="str">
        <f>IF(_xlfn.XLOOKUP(_xlfn.XLOOKUP(B376,'Base stats'!B:B,'Base stats'!E:E),Groups!A:A,Groups!P:P)=0,"No",MROUND((LOG10(_xlfn.XLOOKUP(B376,'Base stats'!B:B,'Base stats'!AS:AS))*(AO376^0.5)+(_xlfn.XLOOKUP(B376,'Base stats'!B:B,'Base stats'!AS:AS)/1000)^(2/3)+_xlfn.XLOOKUP(B376,'Base stats'!B:B,'Base stats'!BA:BA))+_xlfn.XLOOKUP(B376,'Base stats'!B:B,'Base stats'!AY:AY)+0.5,0.5))</f>
        <v>No</v>
      </c>
      <c r="T376" s="7" t="str">
        <f>IF(S376="No","No",MAX(_xlfn.XLOOKUP(_xlfn.XLOOKUP(B376,'Base stats'!B:B,'Base stats'!E:E),Groups!A:A,Groups!Q:Q),MROUND(_xlfn.XLOOKUP(_xlfn.XLOOKUP(B376,'Base stats'!B:B,'Base stats'!E:E),Groups!A:A,Groups!Q:Q)*_xlfn.XLOOKUP(B376,'Base stats'!B:B,'Base stats'!C:C)^0.165,0.05)))</f>
        <v>No</v>
      </c>
      <c r="U376" s="7" t="str">
        <f>IF(S376="No","No",_xlfn.XLOOKUP(_xlfn.XLOOKUP(B376,'Base stats'!B:B,'Base stats'!E:E),Groups!A:A,Groups!R:R))</f>
        <v>No</v>
      </c>
      <c r="V376" s="7" t="str">
        <f>IF(S376="No","No",_xlfn.XLOOKUP(_xlfn.XLOOKUP(B376,'Base stats'!B:B,'Base stats'!E:E),Groups!A:A,Groups!S:S))</f>
        <v>No</v>
      </c>
      <c r="W376" s="7" t="str">
        <f>IF(S376="No","No",_xlfn.XLOOKUP(_xlfn.XLOOKUP(B376,'Base stats'!B:B,'Base stats'!E:E),Groups!A:A,Groups!T:T))</f>
        <v>No</v>
      </c>
      <c r="X376" s="13" t="str">
        <f>IF(_xlfn.XLOOKUP(B376,'Base stats'!B:B,'Base stats'!W:W)="No","No",MROUND((LOG10(_xlfn.XLOOKUP(B376,'Base stats'!B:B,'Base stats'!AU:AU))*(AO376^0.5)+(_xlfn.XLOOKUP(B376,'Base stats'!B:B,'Base stats'!AU:AU)/1000)^(2/3)+_xlfn.XLOOKUP(B376,'Base stats'!B:B,'Base stats'!AZ:AZ))+0.5+IF(_xlfn.XLOOKUP(_xlfn.XLOOKUP(B376,'Base stats'!B:B,'Base stats'!E:E),Groups!A:A,Groups!U:U)&lt;&gt;3,_xlfn.XLOOKUP(B376,'Base stats'!B:B,'Base stats'!BA:BA),0),0.5))</f>
        <v>No</v>
      </c>
      <c r="Y376" s="7" t="str">
        <f>IF(X376="No","No",MAX(_xlfn.XLOOKUP(_xlfn.XLOOKUP(B376,'Base stats'!B:B,'Base stats'!E:E),Groups!A:A,Groups!V:V),MROUND(_xlfn.XLOOKUP(_xlfn.XLOOKUP(B376,'Base stats'!B:B,'Base stats'!E:E),Groups!A:A,Groups!V:V)*_xlfn.XLOOKUP(B376,'Base stats'!B:B,'Base stats'!C:C)^0.165,0.05)))</f>
        <v>No</v>
      </c>
      <c r="Z376" s="7" t="str">
        <f>IF(X376="No","No",_xlfn.XLOOKUP(_xlfn.XLOOKUP(B376,'Base stats'!B:B,'Base stats'!E:E),Groups!A:A,Groups!W:W))</f>
        <v>No</v>
      </c>
      <c r="AA376" s="7" t="str">
        <f>IF(X376="No","No",_xlfn.XLOOKUP(_xlfn.XLOOKUP(B376,'Base stats'!B:B,'Base stats'!E:E),Groups!A:A,Groups!X:X))</f>
        <v>No</v>
      </c>
      <c r="AB376" s="7" t="str">
        <f>IF(X376="No","No",_xlfn.XLOOKUP(_xlfn.XLOOKUP(B376,'Base stats'!B:B,'Base stats'!E:E),Groups!A:A,Groups!Y:Y))</f>
        <v>No</v>
      </c>
      <c r="AC376" s="7" t="str">
        <f>_xlfn.XLOOKUP(Animals!B376,'Base stats'!B:B,'Base stats'!X:X)</f>
        <v>False</v>
      </c>
      <c r="AD376" s="13">
        <f>IF(_xlfn.XLOOKUP(B376,'Base stats'!B:B,'Base stats'!AT:AT)="No","No",MROUND((LOG10(_xlfn.XLOOKUP(B376,'Base stats'!B:B,'Base stats'!AT:AT))*(AO376^0.75)+(_xlfn.XLOOKUP(B376,'Base stats'!B:B,'Base stats'!AT:AT)/1000)^(2/3)+_xlfn.XLOOKUP(B376,'Base stats'!B:B,'Base stats'!AX:AX)+_xlfn.XLOOKUP(B376,'Base stats'!B:B,'Base stats'!BA:BA))+0.5,0.5))</f>
        <v>30</v>
      </c>
      <c r="AE376" s="7">
        <f>IF(AD376="No","No",MAX(_xlfn.XLOOKUP(_xlfn.XLOOKUP(B376,'Base stats'!B:B,'Base stats'!E:E),Groups!A:A,Groups!Z:Z),MROUND(_xlfn.XLOOKUP(_xlfn.XLOOKUP(B376,'Base stats'!B:B,'Base stats'!E:E),Groups!A:A,Groups!Z:Z)*_xlfn.XLOOKUP(B376,'Base stats'!B:B,'Base stats'!C:C)^0.165,0.05)))</f>
        <v>2.85</v>
      </c>
      <c r="AF376" s="7" t="str">
        <f>IF(AD376="No","No",_xlfn.XLOOKUP(_xlfn.XLOOKUP(B376,'Base stats'!B:B,'Base stats'!E:E),Groups!A:A,Groups!AA:AA))</f>
        <v>Beak</v>
      </c>
      <c r="AG376" s="7" t="str">
        <f>IF(AD376="No","No",_xlfn.XLOOKUP(_xlfn.XLOOKUP(B376,'Base stats'!B:B,'Base stats'!E:E),Groups!A:A,Groups!AB:AB))</f>
        <v>beak</v>
      </c>
      <c r="AH376" s="7" t="str">
        <f>IF(AD376="No","No",_xlfn.XLOOKUP(_xlfn.XLOOKUP(B376,'Base stats'!B:B,'Base stats'!E:E),Groups!A:A,Groups!AC:AC))</f>
        <v>Blunt</v>
      </c>
      <c r="AI376" s="13" t="str">
        <f>IF(_xlfn.XLOOKUP(_xlfn.XLOOKUP(B376,'Base stats'!B:B,'Base stats'!E:E),Groups!A:A,Groups!AD:AD)=0,"No",MROUND((LOG10(_xlfn.XLOOKUP(B376,'Base stats'!B:B,'Base stats'!AS:AS))*(AO376^0.75)+(_xlfn.XLOOKUP(B376,'Base stats'!B:B,'Base stats'!AS:AS)/1000)^(2/3)+_xlfn.XLOOKUP(B376,'Base stats'!B:B,'Base stats'!AY:AY)+_xlfn.XLOOKUP(B376,'Base stats'!B:B,'Base stats'!BA:BA))+0.5,0.5))</f>
        <v>No</v>
      </c>
      <c r="AJ376" s="7" t="str">
        <f>IF(AI376="No","No",MAX(_xlfn.XLOOKUP(_xlfn.XLOOKUP(B376,'Base stats'!B:B,'Base stats'!E:E),Groups!A:A,Groups!AE:AE),MROUND(_xlfn.XLOOKUP(_xlfn.XLOOKUP(B376,'Base stats'!B:B,'Base stats'!E:E),Groups!A:A,Groups!AE:AE)*IF(_xlfn.XLOOKUP(_xlfn.XLOOKUP(B376,'Base stats'!B:B,'Base stats'!E:E),Groups!A:A,Groups!AJ:AJ)="Photonozoa",0.6,1)*_xlfn.XLOOKUP(B376,'Base stats'!B:B,'Base stats'!C:C)^0.165,0.05)))</f>
        <v>No</v>
      </c>
      <c r="AK376" s="7" t="str">
        <f>IF(AI376="No","No",_xlfn.XLOOKUP(_xlfn.XLOOKUP(B376,'Base stats'!B:B,'Base stats'!E:E),Groups!A:A,Groups!AF:AF))</f>
        <v>No</v>
      </c>
      <c r="AL376" s="7" t="str">
        <f>IF(AI376="No","No",_xlfn.XLOOKUP(_xlfn.XLOOKUP(B376,'Base stats'!B:B,'Base stats'!E:E),Groups!A:A,Groups!AG:AG))</f>
        <v>No</v>
      </c>
      <c r="AM376" s="7" t="str">
        <f>IF(AI376="No","No",_xlfn.XLOOKUP(_xlfn.XLOOKUP(B376,'Base stats'!B:B,'Base stats'!E:E),Groups!A:A,Groups!AH:AH))</f>
        <v>No</v>
      </c>
      <c r="AN376" s="2">
        <f t="shared" si="35"/>
        <v>30</v>
      </c>
      <c r="AO376" s="2">
        <f>MROUND(IF(AND(_xlfn.XLOOKUP(B376,'Base stats'!B:B,'Base stats'!C:C)&gt;=0.5,_xlfn.XLOOKUP(B376,'Base stats'!B:B,'Base stats'!C:C)&lt;=0.8),
IF(_xlfn.XLOOKUP(B376,'Base stats'!B:B,'Base stats'!C:C)&lt;0.1,0.05,IF(_xlfn.XLOOKUP(B376,'Base stats'!B:B,'Base stats'!C:C)&lt;=70,(_xlfn.XLOOKUP(B376,'Base stats'!B:B,'Base stats'!C:C)/70)^0.426489913056526,IF(_xlfn.XLOOKUP(B376,'Base stats'!B:B,'Base stats'!C:C)&lt;=400,(_xlfn.XLOOKUP(B376,'Base stats'!B:B,'Base stats'!C:C)/70)^0.572811455315093,IF(_xlfn.XLOOKUP(B376,'Base stats'!B:B,'Base stats'!C:C)&lt;=2000,2.71391647193063*(_xlfn.XLOOKUP(B376,'Base stats'!B:B,'Base stats'!C:C)/400)^0.252459582904293,3.74314280240376*(_xlfn.XLOOKUP(B376,'Base stats'!B:B,'Base stats'!C:C)/2000)^0.357012633876913)))),
IF(_xlfn.XLOOKUP(B376,'Base stats'!B:B,'Base stats'!C:C)&lt;0.1,0.05,IF(_xlfn.XLOOKUP(B376,'Base stats'!B:B,'Base stats'!C:C)&lt;0.4,0.1,IF(_xlfn.XLOOKUP(B376,'Base stats'!B:B,'Base stats'!C:C)&lt;=70,(_xlfn.XLOOKUP(B376,'Base stats'!B:B,'Base stats'!C:C)/70)^0.445823913056526,IF(_xlfn.XLOOKUP(B376,'Base stats'!B:B,'Base stats'!C:C)&lt;=400,(_xlfn.XLOOKUP(B376,'Base stats'!B:B,'Base stats'!C:C)/70)^0.572811455315093,IF(_xlfn.XLOOKUP(B376,'Base stats'!B:B,'Base stats'!C:C)&lt;=2000,2.71391647193063*(_xlfn.XLOOKUP(B376,'Base stats'!B:B,'Base stats'!C:C)/400)^0.252459582904293,3.74314280240376*(_xlfn.XLOOKUP(B376,'Base stats'!B:B,'Base stats'!C:C)/2000)^0.357012633876913)))))),
IF(_xlfn.XLOOKUP(B376,'Base stats'!B:B,'Base stats'!C:C)&lt;0.1,0.05,IF(_xlfn.XLOOKUP(B376,'Base stats'!B:B,'Base stats'!C:C)&lt;=100,0.05,IF(_xlfn.XLOOKUP(B376,'Base stats'!B:B,'Base stats'!C:C)&lt;=250,0.1,IF(_xlfn.XLOOKUP(B376,'Base stats'!B:B,'Base stats'!C:C)&lt;=4000,0.25,0.5)))))</f>
        <v>3</v>
      </c>
      <c r="AP376" s="8">
        <f>MROUND(AO376*_xlfn.XLOOKUP(_xlfn.XLOOKUP(B376,'Base stats'!B:B,'Base stats'!E:E),Groups!A:A,Groups!AI:AI)*_xlfn.XLOOKUP(B376,'Base stats'!B:B,'Base stats'!Z:Z),0.05)</f>
        <v>3</v>
      </c>
      <c r="AQ376" s="8">
        <f>MAX(0.01,MROUND(IF(CC376="True",0.196*(AO376*100*1000)^0.889,IF(_xlfn.XLOOKUP(_xlfn.XLOOKUP(B376,'Base stats'!B:B,'Base stats'!E:E),Groups!A:A,Groups!AJ:AJ)="Bird",10.5*(AO376*100*1000)^0.681,4.82*(AO376*100*1000)^0.734))/(4.82*(1*100*1000)^0.734)/IF(AO376&lt;3.5,2,IF(AO376=3.5,1.5,1.25))*(1+0.132282374779864/(AO376^0.994035016789033+0.00905238001496948)),0.05))</f>
        <v>1.3</v>
      </c>
      <c r="AR376" s="9">
        <f>IFERROR(MROUND(_xlfn.XLOOKUP(B376,'Base stats'!B:B,'Base stats'!H:H)/IF(_xlfn.XLOOKUP(B376,'Base stats'!B:B,'Base stats'!I:I)&lt;&gt;1,(122.5/70),1.2),IF(_xlfn.XLOOKUP(B376,'Base stats'!B:B,'Base stats'!H:H)&gt;=30,5,IF(_xlfn.XLOOKUP(B376,'Base stats'!B:B,'Base stats'!H:H)&gt;=15,3,IF(_xlfn.XLOOKUP(B376,'Base stats'!B:B,'Base stats'!H:H)&gt;=10,2,1)))),"Immortal")</f>
        <v>18</v>
      </c>
      <c r="AS376" s="35" t="str">
        <f>IFERROR(IF(OR(_xlfn.XLOOKUP(B376,'Base stats'!B:B,'Base stats'!F:F)="Atypical reproduction",_xlfn.XLOOKUP(B376,'Base stats'!B:B,'Base stats'!F:F)="Lay eggs"),"Lay eggs",MIN(20,MAX(5.5,ROUND(((_xlfn.XLOOKUP(B376,'Base stats'!B:B,'Base stats'!F:F)-25)*(14.5/615) + 5.5)*2,0)/2))),"Unknown")</f>
        <v>Lay eggs</v>
      </c>
      <c r="AT376" s="8">
        <f>IF(_xlfn.XLOOKUP(B376,'Base stats'!B:B,'Base stats'!G:G)="Atypical reproduction","No",IFERROR(MAX(IF(_xlfn.XLOOKUP(B376,'Base stats'!B:B,'Base stats'!G:G)&lt;0.5,0.2,0.3),MROUND(_xlfn.XLOOKUP(B376,'Base stats'!B:B,'Base stats'!G:G)/(365/60),0.2)),"Unknown"))</f>
        <v>0.8</v>
      </c>
      <c r="AU376" s="8">
        <f t="shared" si="36"/>
        <v>0.4</v>
      </c>
      <c r="AV376" s="8" t="str">
        <f>IFERROR(IFERROR(MROUND(_xlfn.XLOOKUP(B376,'Base stats'!B:B,'Base stats'!J:J),0.1),"Lay eggs"),"Cannot breed")</f>
        <v>Lay eggs</v>
      </c>
      <c r="AW376" s="2" t="str">
        <f t="shared" si="37"/>
        <v>false</v>
      </c>
      <c r="AX376" s="2" t="str">
        <f>IF(_xlfn.XLOOKUP(_xlfn.XLOOKUP(Animals!B376,'Base stats'!B:B,'Base stats'!E:E),Groups!A:A,Groups!AK:AK)=1,"true","false")</f>
        <v>false</v>
      </c>
      <c r="AY376" s="25" t="str">
        <f>IF(_xlfn.XLOOKUP(B376,'Base stats'!B:B,'Base stats'!Y:Y)="Liquor","Liquor, CarnivoreAnimalStrict",IF(AND(_xlfn.XLOOKUP(B376,'Base stats'!B:B,'Base stats'!Y:Y)="Carnivore",_xlfn.XLOOKUP(_xlfn.XLOOKUP(B376,'Base stats'!B:B,'Base stats'!E:E),Groups!A:A,Groups!AJ:AJ)="Photonozoa"),"CarnivoreAnimalStrict, OvivoreAnimal",IF(_xlfn.XLOOKUP(B376,'Base stats'!B:B,'Base stats'!Y:Y)="Carnivore","CarnivoreAnimal, OvivoreAnimal",IF(_xlfn.XLOOKUP(B376,'Base stats'!B:B,'Base stats'!Y:Y)="Dendrovore","VegetarianRoughAnimal, DendrovoreAnimal",IF(_xlfn.XLOOKUP(B376,'Base stats'!B:B,'Base stats'!Y:Y)="Herbivore","VegetarianRoughAnimal",IF(_xlfn.XLOOKUP(B376,'Base stats'!B:B,'Base stats'!Y:Y)="OmnivoreRough","OmnivoreRoughAnimal, OvivoreAnimal","OmnivoreAnimal, OvivoreAnimal"))))))</f>
        <v>CarnivoreAnimal, OvivoreAnimal</v>
      </c>
      <c r="AZ376" s="2">
        <f>IF(_xlfn.XLOOKUP(_xlfn.XLOOKUP(B376,'Base stats'!B:B,'Base stats'!E:E),Groups!A:A,Groups!D:D)=1,MROUND((1-J376)*5+1,2)*IF(J376&lt;=0.4,2,1),"No")</f>
        <v>2</v>
      </c>
      <c r="BA376" s="2" t="str">
        <f>IF(AND(_xlfn.XLOOKUP(B376,'Base stats'!B:B,'Base stats'!AH:AH)="&lt;li&gt;Seal&lt;/li&gt;",G376="Odyssey"),"&lt;li&gt;AEXP_Seal&lt;/li&gt;",_xlfn.XLOOKUP(B376,'Base stats'!B:B,'Base stats'!AH:AH))</f>
        <v>No</v>
      </c>
      <c r="BB376" s="2" t="str">
        <f>_xlfn.XLOOKUP(B376,'Base stats'!B:B,'Base stats'!AG:AG)</f>
        <v>Leather_PterosaurSkin</v>
      </c>
      <c r="BC376" s="23" t="str">
        <f>_xlfn.XLOOKUP(_xlfn.XLOOKUP(B376,'Base stats'!B:B,'Base stats'!E:E),Groups!A:A,Groups!AL:AL)</f>
        <v>Bird</v>
      </c>
      <c r="BD376" s="23">
        <f>MIN(1,MROUND(IF(AND(AO376&lt;0.5,_xlfn.XLOOKUP(B376,'Base stats'!B:B,'Base stats'!AA:AA)=0),0,IF(OR(_xlfn.XLOOKUP(Animals!B376,'Base stats'!B:B,'Base stats'!O:O)=2,_xlfn.XLOOKUP(_xlfn.XLOOKUP(B376,'Base stats'!B:B,'Base stats'!E:E),Groups!A:A,Groups!AN:AN)=0),0,_xlfn.XLOOKUP(_xlfn.XLOOKUP(B376,'Base stats'!B:B,'Base stats'!E:E),Groups!A:A,Groups!AN:AN)/IF(_xlfn.XLOOKUP(Animals!B376,'Base stats'!B:B,'Base stats'!O:O)=1,2,1)))+_xlfn.XLOOKUP(B376,'Base stats'!B:B,'Base stats'!AC:AC),0.005))</f>
        <v>0</v>
      </c>
      <c r="BE376" s="23">
        <f>MIN(1,MROUND(IF(AND(AO376&lt;0.5,_xlfn.XLOOKUP(B376,'Base stats'!B:B,'Base stats'!AA:AA)=0),0,IF(_xlfn.XLOOKUP(_xlfn.XLOOKUP(B376,'Base stats'!B:B,'Base stats'!E:E),Groups!A:A,Groups!AO:AO)=0,0,_xlfn.XLOOKUP(_xlfn.XLOOKUP(B376,'Base stats'!B:B,'Base stats'!E:E),Groups!A:A,Groups!AO:AO)/IF(_xlfn.XLOOKUP(Animals!B376,'Base stats'!B:B,'Base stats'!O:O)=2,3,1)))+_xlfn.XLOOKUP(B376,'Base stats'!B:B,'Base stats'!AD:AD),0.005))</f>
        <v>0</v>
      </c>
      <c r="BF376" s="2" t="str">
        <f>IF(J376&gt;0.3,"No",_xlfn.XLOOKUP(_xlfn.XLOOKUP(Animals!B376,'Base stats'!B:B,'Base stats'!E:E),Groups!A:A,Groups!AP:AP))</f>
        <v>No</v>
      </c>
      <c r="BG376" s="2" t="str">
        <f>IF(AND(J376&lt;=0.65,_xlfn.XLOOKUP(_xlfn.XLOOKUP(Animals!B376,'Base stats'!B:B,'Base stats'!E:E),Groups!A:A,Groups!AP:AP)&lt;&gt;"No",_xlfn.XLOOKUP(_xlfn.XLOOKUP(B376,'Base stats'!B:B,'Base stats'!E:E),Groups!A:A,Groups!D:D)=0),MROUND((80/3)*IF(_xlfn.XLOOKUP(B376,'Base stats'!B:B,'Base stats'!O:O)=2,0.2,AO376) + 24*(1-IF(BF376="No",0,BF376)) + 16/3, 12),"No")</f>
        <v>No</v>
      </c>
      <c r="BH376" s="2">
        <f>IF(AND(_xlfn.XLOOKUP(_xlfn.XLOOKUP(B376,'Base stats'!B:B,'Base stats'!E:E),Groups!A:A,Groups!AQ:AQ)=1,AO376&lt;=0.35),8,12)</f>
        <v>12</v>
      </c>
      <c r="BI376" s="2" t="str">
        <f>IF(_xlfn.XLOOKUP(_xlfn.XLOOKUP(B376,'Base stats'!B:B,'Base stats'!E:E),Groups!A:A,Groups!D:D)=0,_xlfn.XLOOKUP(_xlfn.XLOOKUP(B376,'Base stats'!B:B,'Base stats'!E:E),Groups!A:A,Groups!AR:AR),"None")</f>
        <v>None</v>
      </c>
      <c r="BJ376" s="2" t="str">
        <f>IF(AND(_xlfn.XLOOKUP(_xlfn.XLOOKUP(B376,'Base stats'!B:B,'Base stats'!E:E),Groups!A:A,Groups!AS:AS)=1,OR(_xlfn.XLOOKUP(B376,'Base stats'!B:B,'Base stats'!Y:Y)="Carnivore",_xlfn.XLOOKUP(B376,'Base stats'!B:B,'Base stats'!Y:Y)="Omnivore")),"true","false")</f>
        <v>true</v>
      </c>
      <c r="BK376" s="2">
        <f>IF(BJ376="true",MROUND(IF(AND(AO376&gt;0.5,OR(_xlfn.XLOOKUP(_xlfn.XLOOKUP(B376,'Base stats'!B:B,'Base stats'!E:E),Groups!A:A,Groups!AJ:AJ)="Photonozoa",_xlfn.XLOOKUP(_xlfn.XLOOKUP(B376,'Base stats'!B:B,'Base stats'!E:E),Groups!A:A,Groups!AJ:AJ)="Mammal")),Animals!AO376*1.75*IF(AW376="true",1.5,1),IF(AO376&lt;0.5,Animals!AO376*0.5,Animals!AO376)),IF(AO376&gt;2,0.5,IF(AO376&gt;0.5,0.25,0.1))),"No")</f>
        <v>3</v>
      </c>
      <c r="BL376" s="2">
        <f t="shared" si="38"/>
        <v>0</v>
      </c>
      <c r="BM376" s="25" t="str">
        <f>IF(_xlfn.XLOOKUP(B376,'Base stats'!B:B,'Base stats'!AN:AN)="Standard","No",MROUND((_xlfn.XLOOKUP(B376,'Base stats'!B:B,'Base stats'!AN:AN)/3.6)/I376,0.1))</f>
        <v>No</v>
      </c>
      <c r="BN376" s="25" t="str">
        <f t="shared" si="39"/>
        <v>false</v>
      </c>
      <c r="BO376" s="25" t="str">
        <f>IF(AND(OR(_xlfn.XLOOKUP(B376,'Base stats'!B:B,'Base stats'!Y:Y)="Carnivore",_xlfn.XLOOKUP(B376,'Base stats'!B:B,'Base stats'!Y:Y)="Omnivore",_xlfn.XLOOKUP(B376,'Base stats'!B:B,'Base stats'!Y:Y)="OmnivoreRough"),_xlfn.XLOOKUP(_xlfn.XLOOKUP(B376,'Base stats'!B:B,'Base stats'!E:E),Groups!A:A,Groups!AT:AT)=1),"true","false")</f>
        <v>false</v>
      </c>
      <c r="BP376" s="25" t="str" cm="1">
        <f t="array" ref="BP376">IF(
  _xlfn.TEXTJOIN(", ",TRUE,
    IF(AND(BJ376="true",AO376&gt;0.5,BI376&lt;&gt;"None"),"AttackTarget",""),
    IF(AND(_xlfn.XLOOKUP(_xlfn.XLOOKUP(B376,'Base stats'!B:B,'Base stats'!E:E),Groups!A:A,Groups!AJ:AJ="Mammal"),OR(_xlfn.XLOOKUP(B376,'Base stats'!B:B,'Base stats'!Y:Y)="Omnivore",_xlfn.XLOOKUP(B376,'Base stats'!B:B,'Base stats'!Y:Y)="OmnivoreRough")),"Forage",""),
    IF(BG376&lt;=36,"Comfort",""),
    IF(_xlfn.XLOOKUP(B376,'Base stats'!B:B,'Base stats'!AE:AE)&lt;&gt;"No",_xlfn.XLOOKUP(B376,'Base stats'!B:B,'Base stats'!AE:AE),"")
  ) = "",
  "No",
  _xlfn.TEXTJOIN(", ",TRUE,
    IF(AND(BJ376="true",AO376&gt;0.5,BI376&lt;&gt;"None"),"AttackTarget",""),
    IF(AND(_xlfn.XLOOKUP(_xlfn.XLOOKUP(B376,'Base stats'!B:B,'Base stats'!E:E),Groups!A:A,Groups!AJ:AJ="Mammal"),OR(_xlfn.XLOOKUP(B376,'Base stats'!B:B,'Base stats'!Y:Y)="Omnivore",_xlfn.XLOOKUP(B376,'Base stats'!B:B,'Base stats'!Y:Y)="OmnivoreRough")),"Forage",""),
    IF(BG376&lt;=36,"Comfort",""),
    IF(_xlfn.XLOOKUP(B376,'Base stats'!B:B,'Base stats'!AE:AE)&lt;&gt;"No",_xlfn.XLOOKUP(B376,'Base stats'!B:B,'Base stats'!AE:AE),"")
  )
)</f>
        <v>No</v>
      </c>
      <c r="BQ376" s="25" t="str">
        <f>IF(
   AND(
      'Base stats'!AN376="Standard",_xlfn.XLOOKUP(_xlfn.XLOOKUP(B376,'Base stats'!B:B,'Base stats'!E:E),Groups!A:A,Groups!AU:AU)=0,
      OR(
      BO376="True"
      )
   ),
   10,
   IF(
       OR(BM376&lt;&gt;"No",_xlfn.XLOOKUP(_xlfn.XLOOKUP(B376,'Base stats'!B:B,'Base stats'!E:E),Groups!A:A,Groups!AU:AU)=1),
      1,
      "No"
   )
)</f>
        <v>No</v>
      </c>
      <c r="BR376" s="9">
        <f>MROUND((1 + ((0.2*IF(OR(Q376="No",R376="No",R376=0),0,Q376/R376)
+IF(OR(V376="No",S376="No",T376="No"),0,S376/T376*(LEN(V376)-LEN(SUBSTITUTE(V376,",",""))+1))
+IF(OR(X376="No",Y376="No"),0,X376/Y376)
+IF(OR(AD376="No",AE376="No"),0,AD376/AE376)
+IF(OR(AL376="No",AI376="No",AJ376="No"),0,AI376/AJ376*(LEN(AL376)-LEN(SUBSTITUTE(AL376,",",""))+1))
)/(0.2*IF(OR(Q376="No",R376="No",R376=0),0,1)
+IF(OR(V376="No",S376="No",T376="No"),0,LEN(V376)-LEN(SUBSTITUTE(V376,",",""))+1)
+IF(OR(X376="No",Y376="No"),0,1)
+IF(OR(AD376="No",AE376="No"),0,1)
+IF(OR(AL376="No",AI376="No",AJ376="No"),0,LEN(AL376)-LEN(SUBSTITUTE(AL376,",",""))+1))*62%)* 2)*(1 + (AP376 / (IF(_xlfn.XLOOKUP(_xlfn.XLOOKUP(B376,'Base stats'!B:B,'Base stats'!E:E),Groups!A:A,Groups!AJ:AJ)="Photonozoa",0.3,1)) + _xlfn.XLOOKUP(B376,'Base stats'!B:B,'Base stats'!AV:AV) * 1.8) * 2) * 2.5 + 10 + I376 * 2,5)+IF(_xlfn.XLOOKUP(B376,'Base stats'!B:B,'Base stats'!AK:AK)=1,50,0)</f>
        <v>245</v>
      </c>
      <c r="BS376" s="8">
        <f t="shared" si="40"/>
        <v>1.6500000000000001</v>
      </c>
      <c r="BT376" s="8" t="str">
        <f>_xlfn.XLOOKUP(B376,'Base stats'!B:B,'Base stats'!AF:AF)</f>
        <v>No</v>
      </c>
      <c r="BU376" s="2" t="str">
        <f>IF(AND(J376&lt;=0.95,OR(_xlfn.XLOOKUP(B376,'Base stats'!B:B,'Base stats'!AK:AK)=1,_xlfn.XLOOKUP(B376,'Base stats'!B:B,'Base stats'!Y:Y)="Carnivore",_xlfn.XLOOKUP(B376,'Base stats'!B:B,'Base stats'!Y:Y)="Omnivore",BE376&gt;0.1)),"true","false")</f>
        <v>true</v>
      </c>
      <c r="BV376" s="2" t="str">
        <f>IF(_xlfn.XLOOKUP(B376,'Base stats'!B:B,'Base stats'!AI:AI)=1,"true","false")</f>
        <v>false</v>
      </c>
      <c r="BW376" s="25" t="str">
        <f>IF(E376="BaseInsect","AnimalInsect",
IF(J376&gt;0.95,"AnimalExotic",
_xlfn.TEXTJOIN(", ",TRUE,
IF(OR(_xlfn.XLOOKUP(B376,'Base stats'!B:B,'Base stats'!AM:AM)=1,AND(_xlfn.XLOOKUP(B376,'Base stats'!B:B,'Base stats'!O:O)=0,_xlfn.XLOOKUP(_xlfn.XLOOKUP(B376,'Base stats'!B:B,'Base stats'!E:E),Groups!A:A,Groups!B:B)&gt;0)),"AnimalUncommon","AnimalCommon"),
IF(AND(_xlfn.XLOOKUP(B376,'Base stats'!B:B,'Base stats'!O:O)=2,_xlfn.XLOOKUP(_xlfn.XLOOKUP(B376,'Base stats'!B:B,'Base stats'!E:E),Groups!A:A,Groups!D:D)=0),"AnimalPet",IF(AND(_xlfn.XLOOKUP(B376,'Base stats'!B:B,'Base stats'!O:O)&lt;&gt;0,_xlfn.XLOOKUP(_xlfn.XLOOKUP(B376,'Base stats'!B:B,'Base stats'!E:E),Groups!A:A,Groups!D:D)&lt;&gt;0),"AnimalFarm","")),
IF(OR(_xlfn.XLOOKUP(B376,'Base stats'!B:B,'Base stats'!AK:AK)=1,AND(BI376&lt;&gt;"None",BR376&gt;=60),ISNUMBER(SEARCH("Attack target",BP376))),"AnimalFighter","")
)))</f>
        <v>AnimalUncommon</v>
      </c>
      <c r="BX376" s="25" t="str">
        <f>IF(G376="None",TRIM(
SUBSTITUTE(
IF(COUNTIF(Biomes!B$2:B$259,"="&amp;$C376)&gt;0,Biomes!B$1&amp;", ","")&amp;
IF(COUNTIF(Biomes!C$2:C$259,"="&amp;$C376)&gt;0,Biomes!C$1&amp;", ","")&amp;
IF(COUNTIF(Biomes!D$2:D$259,"="&amp;$C376)&gt;0,Biomes!D$1&amp;", ","")&amp;
IF(COUNTIF(Biomes!F$2:F$259,"="&amp;$C376)&gt;0,Biomes!F$1&amp;", ","")&amp;
IF(COUNTIF(Biomes!G$2:G$259,"="&amp;$C376)&gt;0,Biomes!G$1&amp;", ","")&amp;
IF(COUNTIF(Biomes!H$2:H$259,"="&amp;$C376)&gt;0,Biomes!H$1&amp;", ","")&amp;
IF(COUNTIF(Biomes!I$2:I$259,"="&amp;$C376)&gt;0,Biomes!I$1&amp;", ","")&amp;
IF(COUNTIF(Biomes!J$2:J$259,"="&amp;$C376)&gt;0,Biomes!J$1&amp;", ","")&amp;
IF(COUNTIF(Biomes!M$2:M$259,"="&amp;$C376)&gt;0,Biomes!M$1&amp;", ","")&amp;
IF(COUNTIF(Biomes!N$2:N$259,"="&amp;$C376)&gt;0,Biomes!N$1&amp;", ","")&amp;
IF(COUNTIF(Biomes!O$2:O$259,"="&amp;$C376)&gt;0,Biomes!O$1&amp;", ","")&amp;
IF(COUNTIF(Biomes!P$2:P$259,"="&amp;$C376)&gt;0,Biomes!P$1&amp;", ","")&amp;
IF(COUNTIF(Biomes!K$2:K$259,"="&amp;$C376)&gt;0,Biomes!K$1&amp;", ","")&amp;
IF(COUNTIF(Biomes!Q$3:Q$259,"="&amp;$C376)&gt;0,Biomes!Q$1&amp;", ","")&amp;
IF(COUNTIF(Biomes!L$2:L$259,"="&amp;$C376)&gt;0,Biomes!L$1&amp;", ","")&amp;
IF(COUNTIF(Biomes!E$2:E$259,"="&amp;$C376)&gt;0,Biomes!E$1&amp;", ","")&amp;IF(COUNTIF(Biomes!S$2:S$259,"="&amp;$C376)&gt;0,Biomes!S$1&amp;", ","")&amp;
IF(COUNTIF(Biomes!R$2:R$259,"="&amp;$C376)&gt;0,Biomes!R$1&amp;", ",""),", ","")
),_xlfn.XLOOKUP(B376,B:B,BX:BX))</f>
        <v>TemperateForest TemperateSwamp AridShrubland TropicalRainforest TropicalSwamp Grasslands Glowforest LavaField</v>
      </c>
      <c r="BY376" s="25" t="str">
        <f>IF(_xlfn.XLOOKUP(B376,'Base stats'!B:B,'Base stats'!AJ:AJ)=1,"true","false")</f>
        <v>false</v>
      </c>
      <c r="BZ376" s="25">
        <f>IF(_xlfn.XLOOKUP(B376,'Base stats'!B:B,'Base stats'!N:N)=1,"No",MAX(0.001,MIN(MROUND(IF(AND(BJ376="True",CC376="False"),POWER(10,3.47*LOG10(_xlfn.XLOOKUP(B376,'Base stats'!B:B,'Base stats'!C:C)*1000)^-0.96),POWER(10,4.15*LOG10(_xlfn.XLOOKUP(B376,'Base stats'!B:B,'Base stats'!C:C)*1000)^-0.73))*IF(_xlfn.XLOOKUP(B376,'Base stats'!B:B,'Base stats'!AK:AK)=1,0.5,1)*IF(_xlfn.XLOOKUP(B376,'Base stats'!B:B,'Base stats'!AM:AM)=1,0.1,1)/100,IF(_xlfn.XLOOKUP(B376,'Base stats'!B:B,'Base stats'!AM:AM)=1,0.001,0.025)),0.5)))</f>
        <v>0.05</v>
      </c>
      <c r="CA376" s="25" t="str">
        <f>IF(P376="Standard","No",MAX(0.001,MIN(MROUND(IF(AND(BJ376="True",CC376="False"),POWER(10,3.47*LOG10(_xlfn.XLOOKUP(B376,'Base stats'!B:B,'Base stats'!C:C)*1000)^-0.96),POWER(10,4.15*LOG10(_xlfn.XLOOKUP(B376,'Base stats'!B:B,'Base stats'!C:C)*1000)^-0.73))*IF(_xlfn.XLOOKUP(B376,'Base stats'!B:B,'Base stats'!AM:AM)=1,0.1,1)*_xlfn.XLOOKUP(B376,'Base stats'!B:B,'Base stats'!R:R)/100,IF(_xlfn.XLOOKUP(B376,'Base stats'!B:B,'Base stats'!AM:AM)=1,0.001,0.025)),0.5)))</f>
        <v>No</v>
      </c>
      <c r="CB376" s="25" t="str">
        <f>IF(_xlfn.XLOOKUP(_xlfn.XLOOKUP(B376,'Base stats'!B:B,'Base stats'!E:E),Groups!A:A,Groups!AJ:AJ)="Mammal","True","False")</f>
        <v>False</v>
      </c>
      <c r="CC376" s="25" t="str">
        <f>IF(OR(_xlfn.XLOOKUP(_xlfn.XLOOKUP(B376,'Base stats'!B:B,'Base stats'!E:E),Groups!A:A,Groups!AJ:AJ)="Reptile",_xlfn.XLOOKUP(_xlfn.XLOOKUP(B376,'Base stats'!B:B,'Base stats'!E:E),Groups!A:A,Groups!AJ:AJ)="Amphibian",_xlfn.XLOOKUP(_xlfn.XLOOKUP(B376,'Base stats'!B:B,'Base stats'!E:E),Groups!A:A,Groups!AJ:AJ)="Invertebrate"),"True","False")</f>
        <v>False</v>
      </c>
      <c r="CD376" s="25" t="str">
        <f t="shared" si="41"/>
        <v>False</v>
      </c>
      <c r="CE376" s="25" t="str">
        <f>IF(_xlfn.XLOOKUP(_xlfn.XLOOKUP(B376,'Base stats'!B:B,'Base stats'!E:E),Groups!A:A,Groups!AX:AX),"True","False")</f>
        <v>False</v>
      </c>
      <c r="CF376" s="25" t="str">
        <f>IF(_xlfn.XLOOKUP(_xlfn.XLOOKUP(B376,'Base stats'!B:B,'Base stats'!E:E),Groups!A:A,Groups!AY:AY),"True","False")</f>
        <v>False</v>
      </c>
      <c r="CG376" s="25" t="str">
        <f>IF(_xlfn.XLOOKUP(_xlfn.XLOOKUP(B376,'Base stats'!B:B,'Base stats'!E:E),Groups!A:A,Groups!AW:AW),"True","False")</f>
        <v>False</v>
      </c>
      <c r="CH376" s="25" t="str">
        <f>IF(
OR(
_xlfn.XLOOKUP(_xlfn.XLOOKUP(B376,'Base stats'!B:B,'Base stats'!E:E),Groups!A:A,Groups!AZ:AZ)=0,
AND(
_xlfn.XLOOKUP(B376,'Base stats'!B:B,'Base stats'!Y:Y)&lt;&gt;"Carnivore",
_xlfn.XLOOKUP(B376,'Base stats'!B:B,'Base stats'!Y:Y)&lt;&gt;"Omnivore",
_xlfn.XLOOKUP(B376,'Base stats'!B:B,'Base stats'!Y:Y)&lt;&gt;"OmnivoreRough"
)
),
"No",
IF(
_xlfn.XLOOKUP(_xlfn.XLOOKUP(B376,'Base stats'!B:B,'Base stats'!E:E),Groups!A:A,Groups!AZ:AZ)=1,
"Flesh",
IF(
_xlfn.XLOOKUP(_xlfn.XLOOKUP(B376,'Base stats'!B:B,'Base stats'!E:E),Groups!A:A,Groups!AZ:AZ)=2,
"Bone",
""
)
)
)</f>
        <v>No</v>
      </c>
      <c r="CI376" s="25" t="str">
        <f>IF(_xlfn.XLOOKUP(_xlfn.XLOOKUP(B376,'Base stats'!B:B,'Base stats'!E:E),Groups!A:A,Groups!BB:BB),"True","False")</f>
        <v>True</v>
      </c>
      <c r="CJ376" s="25" t="str">
        <f>IF(_xlfn.XLOOKUP(_xlfn.XLOOKUP(B376,'Base stats'!B:B,'Base stats'!E:E),Groups!A:A,Groups!BA:BA),"True","False")</f>
        <v>False</v>
      </c>
    </row>
    <row r="377" spans="1:88" ht="16.5" thickTop="1" thickBot="1" x14ac:dyDescent="0.3">
      <c r="A377" s="26" t="s">
        <v>1983</v>
      </c>
      <c r="B377" s="6" t="str">
        <f>_xlfn.XLOOKUP(A377,'Base stats'!A:A,'Base stats'!B:B)</f>
        <v>Pteranodon longiceps</v>
      </c>
      <c r="C377" s="28" t="s">
        <v>2051</v>
      </c>
      <c r="D377" s="28" t="s">
        <v>1898</v>
      </c>
      <c r="E377" s="28" t="s">
        <v>673</v>
      </c>
      <c r="F377" s="28" t="s">
        <v>673</v>
      </c>
      <c r="G377" s="28" t="s">
        <v>673</v>
      </c>
      <c r="H377" s="2">
        <f>MROUND((
  (IF(AND(_xlfn.XLOOKUP(B377,'Base stats'!B:B,'Base stats'!AL:AL)=0,BI377="None",_xlfn.XLOOKUP(_xlfn.XLOOKUP(B377,'Base stats'!B:B,'Base stats'!E:E),Groups!A:A,Groups!B:B)=0), (18 + BR377 * 2.7) * 0.5,
    IF(AND(_xlfn.XLOOKUP(B377,'Base stats'!B:B,'Base stats'!AL:AL)=0,OR(AO377&lt;0.55,AND(BI377="Intermediate",_xlfn.XLOOKUP(_xlfn.XLOOKUP(B377,'Base stats'!B:B,'Base stats'!E:E),Groups!A:A,Groups!B:B)&lt;2))), (18 + BR377 * 2.7),
      IF(OR(BI377="Advanced",_xlfn.XLOOKUP(B377,'Base stats'!B:B,'Base stats'!AL:AL)=1,_xlfn.XLOOKUP(_xlfn.XLOOKUP(B377,'Base stats'!B:B,'Base stats'!E:E),Groups!A:A,Groups!B:B)=2), (18 + BR377 * 2.7) + 250, (18 + BR377 * 2.7))
    )
  ))
  + AO377 * 80
  + IF(COUNTIF(EggMilk!K$2:K$998, A377) &gt; 0, 125, 0)
  + IF(COUNTIF(EggMilk!P$2:P$998, A377) &gt; 0, 90, 0)
  + IF(COUNTIF(EggMilk!A$2:A$998, A377) &gt; 0, 90, 0)
)
* (0.8 + 0.4 * J377)
* 0.75,25)</f>
        <v>350</v>
      </c>
      <c r="I377" s="2">
        <f>MROUND(ROUNDDOWN(_xlfn.XLOOKUP(B377,'Base stats'!B:B,'Base stats'!L:L)/3.6/(23.3/11),1),0.5)</f>
        <v>2</v>
      </c>
      <c r="J377" s="2">
        <f>IF(OR(_xlfn.XLOOKUP(B377,'Base stats'!B:B,'Base stats'!AB:AB)=1,_xlfn.XLOOKUP(_xlfn.XLOOKUP(B377,'Base stats'!B:B,'Base stats'!E:E),Groups!A:A,Groups!C:C)="Untamable"),1,IF(_xlfn.XLOOKUP(B377,'Base stats'!B:B,'Base stats'!AL:AL)=1,0.99,MIN(MROUND((1-0.6282*EXP(-0.459*AO377))*_xlfn.XLOOKUP(_xlfn.XLOOKUP(B377,'Base stats'!B:B,'Base stats'!E:E),Groups!A:A,Groups!C:C)*IF(_xlfn.XLOOKUP(B377,'Base stats'!B:B,'Base stats'!O:O)=1,0.5,IF(_xlfn.XLOOKUP(B377,'Base stats'!B:B,'Base stats'!O:O)=2,0,1)),0.05),IF(AO377&gt;3.5,0.985,0.95))))</f>
        <v>0.5</v>
      </c>
      <c r="K377" s="2">
        <f>ROUNDUP(AO377*_xlfn.XLOOKUP(_xlfn.XLOOKUP(B377,'Base stats'!B:B,'Base stats'!E:E),Groups!A:A,Groups!E:E),0)</f>
        <v>1</v>
      </c>
      <c r="L377" s="2">
        <f>IF(OR(_xlfn.XLOOKUP(_xlfn.XLOOKUP(B377,'Base stats'!B:B,'Base stats'!E:E),Groups!A:A,Groups!F:F)=2,ISNUMBER(SEARCH("SeaIce",BX377)),ISNUMBER(SEARCH("IceSheet",BX377))),-50,IF(OR(ISNUMBER(SEARCH("GlacialPlain",BX377)),ISNUMBER(SEARCH("Tundra",BX377))),-40,IF(OR(ISNUMBER(SEARCH("Alpine",BX377)),ISNUMBER(SEARCH("BorealForest",BX377)),ISNUMBER(SEARCH("ColdBog",BX377))),-30,IF(OR(ISNUMBER(SEARCH("TemperateForest",BX377)),ISNUMBER(SEARCH("TemperateSwamp",BX377))),-20,IF(_xlfn.XLOOKUP(_xlfn.XLOOKUP(B377,'Base stats'!B:B,'Base stats'!E:E),Groups!A:A,Groups!F:F)=1,-15,IF(OR(ISNUMBER(SEARCH("Desert",BX377)),ISNUMBER(SEARCH("ExtremeDesert",BX377))),-10,IF(OR(ISNUMBER(SEARCH("Grasslands",BX377)),ISNUMBER(SEARCH("TropicalRainforest",BX377)),ISNUMBER(SEARCH("TropicalSwamp",BX377))),10,0)))))))-IF(CC377="False",MIN(IFERROR(MAX(MROUND(LOG10(_xlfn.XLOOKUP(B377,'Base stats'!B:B,'Base stats'!C:C)^(2/3))*10,5),5),5),30))-_xlfn.XLOOKUP(B377,'Base stats'!B:B,'Base stats'!P:P)+IF(CC377="True",5,0)</f>
        <v>-30</v>
      </c>
      <c r="M377" s="2">
        <f>IF(OR(_xlfn.XLOOKUP(_xlfn.XLOOKUP(B377,'Base stats'!B:B,'Base stats'!E:E),Groups!A:A,Groups!G:G)=2,ISNUMBER(SEARCH("Desert",BX377)),ISNUMBER(SEARCH("ExtremeDesert",BX377)),ISNUMBER(SEARCH("LavaField",BX377))),50,IF(ISNUMBER(SEARCH("Grasslands",BX377)),45,IF(OR(_xlfn.XLOOKUP(_xlfn.XLOOKUP(B377,'Base stats'!B:B,'Base stats'!E:E),Groups!A:A,Groups!G:G)=1,ISNUMBER(SEARCH("TropicalRainforest",BX377)),ISNUMBER(SEARCH("TropicalSwamp",BX377))),40,IF(OR(ISNUMBER(SEARCH("TemperateForest",BX377)),ISNUMBER(SEARCH("TemperateSwamp",BX377))),35,IF(OR(ISNUMBER(SEARCH("Alpine",BX377)),ISNUMBER(SEARCH("BorealForest",BX377)),ISNUMBER(SEARCH("ColdBog",BX377))),30,IF(ISNUMBER(OR(ISNUMBER(SEARCH("GlacialPlain",BX377)),SEARCH("Tundra",BX377))),25,IF(OR(ISNUMBER(SEARCH("SeaIce",BX377)),ISNUMBER(SEARCH("IceSheet",BX377)),ISNUMBER(SEARCH("TropicalSwamp",BX377))),10,35)))))))+_xlfn.XLOOKUP(B377,'Base stats'!B:B,'Base stats'!Q:Q)</f>
        <v>50</v>
      </c>
      <c r="N377" s="8" t="str">
        <f>IF(
_xlfn.XLOOKUP(
_xlfn.XLOOKUP(B377,'Base stats'!B:B,'Base stats'!E:E),
Groups!A:A,
Groups!L:L
)=1,
MIN(
MROUND(
IF(
_xlfn.XLOOKUP(B377,'Animals CE'!B:B,'Animals CE'!Z:Z)&lt;=1.5,
_xlfn.XLOOKUP(B377,'Animals CE'!B:B,'Animals CE'!Z:Z)/2+0.05,
0.8+
(_xlfn.XLOOKUP(B377,'Animals CE'!B:B,'Animals CE'!Z:Z)-1.5)
*0.02
),
0.05
),
200%
),
"No"
)</f>
        <v>No</v>
      </c>
      <c r="O377" s="8" t="str">
        <f>IF(
_xlfn.XLOOKUP(
_xlfn.XLOOKUP(B377,'Base stats'!B:B,'Base stats'!E:E),
Groups!A:A,
Groups!L:L
)=1,
MIN(
MROUND(
IF(
_xlfn.XLOOKUP(B377,'Animals CE'!B:B,'Animals CE'!AA:AA)&lt;=1.5,
_xlfn.XLOOKUP(B377,'Animals CE'!B:B,'Animals CE'!AA:AA)/2+0.05,
0.8+
(_xlfn.XLOOKUP(B377,'Animals CE'!B:B,'Animals CE'!AA:AA)-1.5)
*0.02
),
0.05
),
200%
),
"No"
)</f>
        <v>No</v>
      </c>
      <c r="P377" s="2" t="str">
        <f>_xlfn.XLOOKUP(B377,'Base stats'!B:B,'Base stats'!R:R)</f>
        <v>Standard</v>
      </c>
      <c r="Q377" s="13">
        <f>MROUND((LOG10(_xlfn.XLOOKUP(B377,'Base stats'!B:B,'Base stats'!AR:AR))*(AO377^0.5)+(_xlfn.XLOOKUP(B377,'Base stats'!B:B,'Base stats'!AR:AR)/1000)^(2/3)+_xlfn.XLOOKUP(B377,'Base stats'!B:B,'Base stats'!BA:BA)/2)+0.5,0.5)</f>
        <v>4.5</v>
      </c>
      <c r="R377" s="7">
        <f>IF(Q377="No","No",MAX(1,MROUND(_xlfn.XLOOKUP(B377,'Base stats'!B:B,'Base stats'!C:C)^0.165,0.05)))</f>
        <v>1.6</v>
      </c>
      <c r="S377" s="13" t="str">
        <f>IF(_xlfn.XLOOKUP(_xlfn.XLOOKUP(B377,'Base stats'!B:B,'Base stats'!E:E),Groups!A:A,Groups!P:P)=0,"No",MROUND((LOG10(_xlfn.XLOOKUP(B377,'Base stats'!B:B,'Base stats'!AS:AS))*(AO377^0.5)+(_xlfn.XLOOKUP(B377,'Base stats'!B:B,'Base stats'!AS:AS)/1000)^(2/3)+_xlfn.XLOOKUP(B377,'Base stats'!B:B,'Base stats'!BA:BA))+_xlfn.XLOOKUP(B377,'Base stats'!B:B,'Base stats'!AY:AY)+0.5,0.5))</f>
        <v>No</v>
      </c>
      <c r="T377" s="7" t="str">
        <f>IF(S377="No","No",MAX(_xlfn.XLOOKUP(_xlfn.XLOOKUP(B377,'Base stats'!B:B,'Base stats'!E:E),Groups!A:A,Groups!Q:Q),MROUND(_xlfn.XLOOKUP(_xlfn.XLOOKUP(B377,'Base stats'!B:B,'Base stats'!E:E),Groups!A:A,Groups!Q:Q)*_xlfn.XLOOKUP(B377,'Base stats'!B:B,'Base stats'!C:C)^0.165,0.05)))</f>
        <v>No</v>
      </c>
      <c r="U377" s="7" t="str">
        <f>IF(S377="No","No",_xlfn.XLOOKUP(_xlfn.XLOOKUP(B377,'Base stats'!B:B,'Base stats'!E:E),Groups!A:A,Groups!R:R))</f>
        <v>No</v>
      </c>
      <c r="V377" s="7" t="str">
        <f>IF(S377="No","No",_xlfn.XLOOKUP(_xlfn.XLOOKUP(B377,'Base stats'!B:B,'Base stats'!E:E),Groups!A:A,Groups!S:S))</f>
        <v>No</v>
      </c>
      <c r="W377" s="7" t="str">
        <f>IF(S377="No","No",_xlfn.XLOOKUP(_xlfn.XLOOKUP(B377,'Base stats'!B:B,'Base stats'!E:E),Groups!A:A,Groups!T:T))</f>
        <v>No</v>
      </c>
      <c r="X377" s="13" t="str">
        <f>IF(_xlfn.XLOOKUP(B377,'Base stats'!B:B,'Base stats'!W:W)="No","No",MROUND((LOG10(_xlfn.XLOOKUP(B377,'Base stats'!B:B,'Base stats'!AU:AU))*(AO377^0.5)+(_xlfn.XLOOKUP(B377,'Base stats'!B:B,'Base stats'!AU:AU)/1000)^(2/3)+_xlfn.XLOOKUP(B377,'Base stats'!B:B,'Base stats'!AZ:AZ))+0.5+IF(_xlfn.XLOOKUP(_xlfn.XLOOKUP(B377,'Base stats'!B:B,'Base stats'!E:E),Groups!A:A,Groups!U:U)&lt;&gt;3,_xlfn.XLOOKUP(B377,'Base stats'!B:B,'Base stats'!BA:BA),0),0.5))</f>
        <v>No</v>
      </c>
      <c r="Y377" s="7" t="str">
        <f>IF(X377="No","No",MAX(_xlfn.XLOOKUP(_xlfn.XLOOKUP(B377,'Base stats'!B:B,'Base stats'!E:E),Groups!A:A,Groups!V:V),MROUND(_xlfn.XLOOKUP(_xlfn.XLOOKUP(B377,'Base stats'!B:B,'Base stats'!E:E),Groups!A:A,Groups!V:V)*_xlfn.XLOOKUP(B377,'Base stats'!B:B,'Base stats'!C:C)^0.165,0.05)))</f>
        <v>No</v>
      </c>
      <c r="Z377" s="7" t="str">
        <f>IF(X377="No","No",_xlfn.XLOOKUP(_xlfn.XLOOKUP(B377,'Base stats'!B:B,'Base stats'!E:E),Groups!A:A,Groups!W:W))</f>
        <v>No</v>
      </c>
      <c r="AA377" s="7" t="str">
        <f>IF(X377="No","No",_xlfn.XLOOKUP(_xlfn.XLOOKUP(B377,'Base stats'!B:B,'Base stats'!E:E),Groups!A:A,Groups!X:X))</f>
        <v>No</v>
      </c>
      <c r="AB377" s="7" t="str">
        <f>IF(X377="No","No",_xlfn.XLOOKUP(_xlfn.XLOOKUP(B377,'Base stats'!B:B,'Base stats'!E:E),Groups!A:A,Groups!Y:Y))</f>
        <v>No</v>
      </c>
      <c r="AC377" s="7" t="str">
        <f>_xlfn.XLOOKUP(Animals!B377,'Base stats'!B:B,'Base stats'!X:X)</f>
        <v>False</v>
      </c>
      <c r="AD377" s="13">
        <f>IF(_xlfn.XLOOKUP(B377,'Base stats'!B:B,'Base stats'!AT:AT)="No","No",MROUND((LOG10(_xlfn.XLOOKUP(B377,'Base stats'!B:B,'Base stats'!AT:AT))*(AO377^0.75)+(_xlfn.XLOOKUP(B377,'Base stats'!B:B,'Base stats'!AT:AT)/1000)^(2/3)+_xlfn.XLOOKUP(B377,'Base stats'!B:B,'Base stats'!AX:AX)+_xlfn.XLOOKUP(B377,'Base stats'!B:B,'Base stats'!BA:BA))+0.5,0.5))</f>
        <v>10.5</v>
      </c>
      <c r="AE377" s="7">
        <f>IF(AD377="No","No",MAX(_xlfn.XLOOKUP(_xlfn.XLOOKUP(B377,'Base stats'!B:B,'Base stats'!E:E),Groups!A:A,Groups!Z:Z),MROUND(_xlfn.XLOOKUP(_xlfn.XLOOKUP(B377,'Base stats'!B:B,'Base stats'!E:E),Groups!A:A,Groups!Z:Z)*_xlfn.XLOOKUP(B377,'Base stats'!B:B,'Base stats'!C:C)^0.165,0.05)))</f>
        <v>1.6</v>
      </c>
      <c r="AF377" s="7" t="str">
        <f>IF(AD377="No","No",_xlfn.XLOOKUP(_xlfn.XLOOKUP(B377,'Base stats'!B:B,'Base stats'!E:E),Groups!A:A,Groups!AA:AA))</f>
        <v>Beak</v>
      </c>
      <c r="AG377" s="7" t="str">
        <f>IF(AD377="No","No",_xlfn.XLOOKUP(_xlfn.XLOOKUP(B377,'Base stats'!B:B,'Base stats'!E:E),Groups!A:A,Groups!AB:AB))</f>
        <v>beak</v>
      </c>
      <c r="AH377" s="7" t="str">
        <f>IF(AD377="No","No",_xlfn.XLOOKUP(_xlfn.XLOOKUP(B377,'Base stats'!B:B,'Base stats'!E:E),Groups!A:A,Groups!AC:AC))</f>
        <v>Blunt</v>
      </c>
      <c r="AI377" s="13" t="str">
        <f>IF(_xlfn.XLOOKUP(_xlfn.XLOOKUP(B377,'Base stats'!B:B,'Base stats'!E:E),Groups!A:A,Groups!AD:AD)=0,"No",MROUND((LOG10(_xlfn.XLOOKUP(B377,'Base stats'!B:B,'Base stats'!AS:AS))*(AO377^0.75)+(_xlfn.XLOOKUP(B377,'Base stats'!B:B,'Base stats'!AS:AS)/1000)^(2/3)+_xlfn.XLOOKUP(B377,'Base stats'!B:B,'Base stats'!AY:AY)+_xlfn.XLOOKUP(B377,'Base stats'!B:B,'Base stats'!BA:BA))+0.5,0.5))</f>
        <v>No</v>
      </c>
      <c r="AJ377" s="7" t="str">
        <f>IF(AI377="No","No",MAX(_xlfn.XLOOKUP(_xlfn.XLOOKUP(B377,'Base stats'!B:B,'Base stats'!E:E),Groups!A:A,Groups!AE:AE),MROUND(_xlfn.XLOOKUP(_xlfn.XLOOKUP(B377,'Base stats'!B:B,'Base stats'!E:E),Groups!A:A,Groups!AE:AE)*IF(_xlfn.XLOOKUP(_xlfn.XLOOKUP(B377,'Base stats'!B:B,'Base stats'!E:E),Groups!A:A,Groups!AJ:AJ)="Photonozoa",0.6,1)*_xlfn.XLOOKUP(B377,'Base stats'!B:B,'Base stats'!C:C)^0.165,0.05)))</f>
        <v>No</v>
      </c>
      <c r="AK377" s="7" t="str">
        <f>IF(AI377="No","No",_xlfn.XLOOKUP(_xlfn.XLOOKUP(B377,'Base stats'!B:B,'Base stats'!E:E),Groups!A:A,Groups!AF:AF))</f>
        <v>No</v>
      </c>
      <c r="AL377" s="7" t="str">
        <f>IF(AI377="No","No",_xlfn.XLOOKUP(_xlfn.XLOOKUP(B377,'Base stats'!B:B,'Base stats'!E:E),Groups!A:A,Groups!AG:AG))</f>
        <v>No</v>
      </c>
      <c r="AM377" s="7" t="str">
        <f>IF(AI377="No","No",_xlfn.XLOOKUP(_xlfn.XLOOKUP(B377,'Base stats'!B:B,'Base stats'!E:E),Groups!A:A,Groups!AH:AH))</f>
        <v>No</v>
      </c>
      <c r="AN377" s="2" t="str">
        <f t="shared" si="35"/>
        <v>No</v>
      </c>
      <c r="AO377" s="2">
        <f>MROUND(IF(AND(_xlfn.XLOOKUP(B377,'Base stats'!B:B,'Base stats'!C:C)&gt;=0.5,_xlfn.XLOOKUP(B377,'Base stats'!B:B,'Base stats'!C:C)&lt;=0.8),
IF(_xlfn.XLOOKUP(B377,'Base stats'!B:B,'Base stats'!C:C)&lt;0.1,0.05,IF(_xlfn.XLOOKUP(B377,'Base stats'!B:B,'Base stats'!C:C)&lt;=70,(_xlfn.XLOOKUP(B377,'Base stats'!B:B,'Base stats'!C:C)/70)^0.426489913056526,IF(_xlfn.XLOOKUP(B377,'Base stats'!B:B,'Base stats'!C:C)&lt;=400,(_xlfn.XLOOKUP(B377,'Base stats'!B:B,'Base stats'!C:C)/70)^0.572811455315093,IF(_xlfn.XLOOKUP(B377,'Base stats'!B:B,'Base stats'!C:C)&lt;=2000,2.71391647193063*(_xlfn.XLOOKUP(B377,'Base stats'!B:B,'Base stats'!C:C)/400)^0.252459582904293,3.74314280240376*(_xlfn.XLOOKUP(B377,'Base stats'!B:B,'Base stats'!C:C)/2000)^0.357012633876913)))),
IF(_xlfn.XLOOKUP(B377,'Base stats'!B:B,'Base stats'!C:C)&lt;0.1,0.05,IF(_xlfn.XLOOKUP(B377,'Base stats'!B:B,'Base stats'!C:C)&lt;0.4,0.1,IF(_xlfn.XLOOKUP(B377,'Base stats'!B:B,'Base stats'!C:C)&lt;=70,(_xlfn.XLOOKUP(B377,'Base stats'!B:B,'Base stats'!C:C)/70)^0.445823913056526,IF(_xlfn.XLOOKUP(B377,'Base stats'!B:B,'Base stats'!C:C)&lt;=400,(_xlfn.XLOOKUP(B377,'Base stats'!B:B,'Base stats'!C:C)/70)^0.572811455315093,IF(_xlfn.XLOOKUP(B377,'Base stats'!B:B,'Base stats'!C:C)&lt;=2000,2.71391647193063*(_xlfn.XLOOKUP(B377,'Base stats'!B:B,'Base stats'!C:C)/400)^0.252459582904293,3.74314280240376*(_xlfn.XLOOKUP(B377,'Base stats'!B:B,'Base stats'!C:C)/2000)^0.357012633876913)))))),
IF(_xlfn.XLOOKUP(B377,'Base stats'!B:B,'Base stats'!C:C)&lt;0.1,0.05,IF(_xlfn.XLOOKUP(B377,'Base stats'!B:B,'Base stats'!C:C)&lt;=100,0.05,IF(_xlfn.XLOOKUP(B377,'Base stats'!B:B,'Base stats'!C:C)&lt;=250,0.1,IF(_xlfn.XLOOKUP(B377,'Base stats'!B:B,'Base stats'!C:C)&lt;=4000,0.25,0.5)))))</f>
        <v>0.55000000000000004</v>
      </c>
      <c r="AP377" s="8">
        <f>MROUND(AO377*_xlfn.XLOOKUP(_xlfn.XLOOKUP(B377,'Base stats'!B:B,'Base stats'!E:E),Groups!A:A,Groups!AI:AI)*_xlfn.XLOOKUP(B377,'Base stats'!B:B,'Base stats'!Z:Z),0.05)</f>
        <v>0.55000000000000004</v>
      </c>
      <c r="AQ377" s="8">
        <f>MAX(0.01,MROUND(IF(CC377="True",0.196*(AO377*100*1000)^0.889,IF(_xlfn.XLOOKUP(_xlfn.XLOOKUP(B377,'Base stats'!B:B,'Base stats'!E:E),Groups!A:A,Groups!AJ:AJ)="Bird",10.5*(AO377*100*1000)^0.681,4.82*(AO377*100*1000)^0.734))/(4.82*(1*100*1000)^0.734)/IF(AO377&lt;3.5,2,IF(AO377=3.5,1.5,1.25))*(1+0.132282374779864/(AO377^0.994035016789033+0.00905238001496948)),0.05))</f>
        <v>0.5</v>
      </c>
      <c r="AR377" s="9">
        <f>IFERROR(MROUND(_xlfn.XLOOKUP(B377,'Base stats'!B:B,'Base stats'!H:H)/IF(_xlfn.XLOOKUP(B377,'Base stats'!B:B,'Base stats'!I:I)&lt;&gt;1,(122.5/70),1.2),IF(_xlfn.XLOOKUP(B377,'Base stats'!B:B,'Base stats'!H:H)&gt;=30,5,IF(_xlfn.XLOOKUP(B377,'Base stats'!B:B,'Base stats'!H:H)&gt;=15,3,IF(_xlfn.XLOOKUP(B377,'Base stats'!B:B,'Base stats'!H:H)&gt;=10,2,1)))),"Immortal")</f>
        <v>12</v>
      </c>
      <c r="AS377" s="35" t="str">
        <f>IFERROR(IF(OR(_xlfn.XLOOKUP(B377,'Base stats'!B:B,'Base stats'!F:F)="Atypical reproduction",_xlfn.XLOOKUP(B377,'Base stats'!B:B,'Base stats'!F:F)="Lay eggs"),"Lay eggs",MIN(20,MAX(5.5,ROUND(((_xlfn.XLOOKUP(B377,'Base stats'!B:B,'Base stats'!F:F)-25)*(14.5/615) + 5.5)*2,0)/2))),"Unknown")</f>
        <v>Lay eggs</v>
      </c>
      <c r="AT377" s="8">
        <f>IF(_xlfn.XLOOKUP(B377,'Base stats'!B:B,'Base stats'!G:G)="Atypical reproduction","No",IFERROR(MAX(IF(_xlfn.XLOOKUP(B377,'Base stats'!B:B,'Base stats'!G:G)&lt;0.5,0.2,0.3),MROUND(_xlfn.XLOOKUP(B377,'Base stats'!B:B,'Base stats'!G:G)/(365/60),0.2)),"Unknown"))</f>
        <v>0.3</v>
      </c>
      <c r="AU377" s="8">
        <f t="shared" si="36"/>
        <v>0.15000000000000002</v>
      </c>
      <c r="AV377" s="8" t="str">
        <f>IFERROR(IFERROR(MROUND(_xlfn.XLOOKUP(B377,'Base stats'!B:B,'Base stats'!J:J),0.1),"Lay eggs"),"Cannot breed")</f>
        <v>Lay eggs</v>
      </c>
      <c r="AW377" s="2" t="str">
        <f t="shared" si="37"/>
        <v>false</v>
      </c>
      <c r="AX377" s="2" t="str">
        <f>IF(_xlfn.XLOOKUP(_xlfn.XLOOKUP(Animals!B377,'Base stats'!B:B,'Base stats'!E:E),Groups!A:A,Groups!AK:AK)=1,"true","false")</f>
        <v>false</v>
      </c>
      <c r="AY377" s="25" t="str">
        <f>IF(_xlfn.XLOOKUP(B377,'Base stats'!B:B,'Base stats'!Y:Y)="Liquor","Liquor, CarnivoreAnimalStrict",IF(AND(_xlfn.XLOOKUP(B377,'Base stats'!B:B,'Base stats'!Y:Y)="Carnivore",_xlfn.XLOOKUP(_xlfn.XLOOKUP(B377,'Base stats'!B:B,'Base stats'!E:E),Groups!A:A,Groups!AJ:AJ)="Photonozoa"),"CarnivoreAnimalStrict, OvivoreAnimal",IF(_xlfn.XLOOKUP(B377,'Base stats'!B:B,'Base stats'!Y:Y)="Carnivore","CarnivoreAnimal, OvivoreAnimal",IF(_xlfn.XLOOKUP(B377,'Base stats'!B:B,'Base stats'!Y:Y)="Dendrovore","VegetarianRoughAnimal, DendrovoreAnimal",IF(_xlfn.XLOOKUP(B377,'Base stats'!B:B,'Base stats'!Y:Y)="Herbivore","VegetarianRoughAnimal",IF(_xlfn.XLOOKUP(B377,'Base stats'!B:B,'Base stats'!Y:Y)="OmnivoreRough","OmnivoreRoughAnimal, OvivoreAnimal","OmnivoreAnimal, OvivoreAnimal"))))))</f>
        <v>CarnivoreAnimal, OvivoreAnimal</v>
      </c>
      <c r="AZ377" s="2">
        <f>IF(_xlfn.XLOOKUP(_xlfn.XLOOKUP(B377,'Base stats'!B:B,'Base stats'!E:E),Groups!A:A,Groups!D:D)=1,MROUND((1-J377)*5+1,2)*IF(J377&lt;=0.4,2,1),"No")</f>
        <v>4</v>
      </c>
      <c r="BA377" s="2" t="str">
        <f>IF(AND(_xlfn.XLOOKUP(B377,'Base stats'!B:B,'Base stats'!AH:AH)="&lt;li&gt;Seal&lt;/li&gt;",G377="Odyssey"),"&lt;li&gt;AEXP_Seal&lt;/li&gt;",_xlfn.XLOOKUP(B377,'Base stats'!B:B,'Base stats'!AH:AH))</f>
        <v>No</v>
      </c>
      <c r="BB377" s="2" t="str">
        <f>_xlfn.XLOOKUP(B377,'Base stats'!B:B,'Base stats'!AG:AG)</f>
        <v>Leather_PterosaurSkin</v>
      </c>
      <c r="BC377" s="23" t="str">
        <f>_xlfn.XLOOKUP(_xlfn.XLOOKUP(B377,'Base stats'!B:B,'Base stats'!E:E),Groups!A:A,Groups!AL:AL)</f>
        <v>Bird</v>
      </c>
      <c r="BD377" s="23">
        <f>MIN(1,MROUND(IF(AND(AO377&lt;0.5,_xlfn.XLOOKUP(B377,'Base stats'!B:B,'Base stats'!AA:AA)=0),0,IF(OR(_xlfn.XLOOKUP(Animals!B377,'Base stats'!B:B,'Base stats'!O:O)=2,_xlfn.XLOOKUP(_xlfn.XLOOKUP(B377,'Base stats'!B:B,'Base stats'!E:E),Groups!A:A,Groups!AN:AN)=0),0,_xlfn.XLOOKUP(_xlfn.XLOOKUP(B377,'Base stats'!B:B,'Base stats'!E:E),Groups!A:A,Groups!AN:AN)/IF(_xlfn.XLOOKUP(Animals!B377,'Base stats'!B:B,'Base stats'!O:O)=1,2,1)))+_xlfn.XLOOKUP(B377,'Base stats'!B:B,'Base stats'!AC:AC),0.005))</f>
        <v>0</v>
      </c>
      <c r="BE377" s="23">
        <f>MIN(1,MROUND(IF(AND(AO377&lt;0.5,_xlfn.XLOOKUP(B377,'Base stats'!B:B,'Base stats'!AA:AA)=0),0,IF(_xlfn.XLOOKUP(_xlfn.XLOOKUP(B377,'Base stats'!B:B,'Base stats'!E:E),Groups!A:A,Groups!AO:AO)=0,0,_xlfn.XLOOKUP(_xlfn.XLOOKUP(B377,'Base stats'!B:B,'Base stats'!E:E),Groups!A:A,Groups!AO:AO)/IF(_xlfn.XLOOKUP(Animals!B377,'Base stats'!B:B,'Base stats'!O:O)=2,3,1)))+_xlfn.XLOOKUP(B377,'Base stats'!B:B,'Base stats'!AD:AD),0.005))</f>
        <v>0</v>
      </c>
      <c r="BF377" s="2" t="str">
        <f>IF(J377&gt;0.3,"No",_xlfn.XLOOKUP(_xlfn.XLOOKUP(Animals!B377,'Base stats'!B:B,'Base stats'!E:E),Groups!A:A,Groups!AP:AP))</f>
        <v>No</v>
      </c>
      <c r="BG377" s="2" t="str">
        <f>IF(AND(J377&lt;=0.65,_xlfn.XLOOKUP(_xlfn.XLOOKUP(Animals!B377,'Base stats'!B:B,'Base stats'!E:E),Groups!A:A,Groups!AP:AP)&lt;&gt;"No",_xlfn.XLOOKUP(_xlfn.XLOOKUP(B377,'Base stats'!B:B,'Base stats'!E:E),Groups!A:A,Groups!D:D)=0),MROUND((80/3)*IF(_xlfn.XLOOKUP(B377,'Base stats'!B:B,'Base stats'!O:O)=2,0.2,AO377) + 24*(1-IF(BF377="No",0,BF377)) + 16/3, 12),"No")</f>
        <v>No</v>
      </c>
      <c r="BH377" s="2">
        <f>IF(AND(_xlfn.XLOOKUP(_xlfn.XLOOKUP(B377,'Base stats'!B:B,'Base stats'!E:E),Groups!A:A,Groups!AQ:AQ)=1,AO377&lt;=0.35),8,12)</f>
        <v>12</v>
      </c>
      <c r="BI377" s="2" t="str">
        <f>IF(_xlfn.XLOOKUP(_xlfn.XLOOKUP(B377,'Base stats'!B:B,'Base stats'!E:E),Groups!A:A,Groups!D:D)=0,_xlfn.XLOOKUP(_xlfn.XLOOKUP(B377,'Base stats'!B:B,'Base stats'!E:E),Groups!A:A,Groups!AR:AR),"None")</f>
        <v>None</v>
      </c>
      <c r="BJ377" s="2" t="str">
        <f>IF(AND(_xlfn.XLOOKUP(_xlfn.XLOOKUP(B377,'Base stats'!B:B,'Base stats'!E:E),Groups!A:A,Groups!AS:AS)=1,OR(_xlfn.XLOOKUP(B377,'Base stats'!B:B,'Base stats'!Y:Y)="Carnivore",_xlfn.XLOOKUP(B377,'Base stats'!B:B,'Base stats'!Y:Y)="Omnivore")),"true","false")</f>
        <v>false</v>
      </c>
      <c r="BK377" s="2" t="str">
        <f>IF(BJ377="true",MROUND(IF(AND(AO377&gt;0.5,OR(_xlfn.XLOOKUP(_xlfn.XLOOKUP(B377,'Base stats'!B:B,'Base stats'!E:E),Groups!A:A,Groups!AJ:AJ)="Photonozoa",_xlfn.XLOOKUP(_xlfn.XLOOKUP(B377,'Base stats'!B:B,'Base stats'!E:E),Groups!A:A,Groups!AJ:AJ)="Mammal")),Animals!AO377*1.75*IF(AW377="true",1.5,1),IF(AO377&lt;0.5,Animals!AO377*0.5,Animals!AO377)),IF(AO377&gt;2,0.5,IF(AO377&gt;0.5,0.25,0.1))),"No")</f>
        <v>No</v>
      </c>
      <c r="BL377" s="2">
        <f t="shared" si="38"/>
        <v>0</v>
      </c>
      <c r="BM377" s="25" t="str">
        <f>IF(_xlfn.XLOOKUP(B377,'Base stats'!B:B,'Base stats'!AN:AN)="Standard","No",MROUND((_xlfn.XLOOKUP(B377,'Base stats'!B:B,'Base stats'!AN:AN)/3.6)/I377,0.1))</f>
        <v>No</v>
      </c>
      <c r="BN377" s="25" t="str">
        <f t="shared" si="39"/>
        <v>false</v>
      </c>
      <c r="BO377" s="25" t="str">
        <f>IF(AND(OR(_xlfn.XLOOKUP(B377,'Base stats'!B:B,'Base stats'!Y:Y)="Carnivore",_xlfn.XLOOKUP(B377,'Base stats'!B:B,'Base stats'!Y:Y)="Omnivore",_xlfn.XLOOKUP(B377,'Base stats'!B:B,'Base stats'!Y:Y)="OmnivoreRough"),_xlfn.XLOOKUP(_xlfn.XLOOKUP(B377,'Base stats'!B:B,'Base stats'!E:E),Groups!A:A,Groups!AT:AT)=1),"true","false")</f>
        <v>false</v>
      </c>
      <c r="BP377" s="25" t="str" cm="1">
        <f t="array" ref="BP377">IF(
  _xlfn.TEXTJOIN(", ",TRUE,
    IF(AND(BJ377="true",AO377&gt;0.5,BI377&lt;&gt;"None"),"AttackTarget",""),
    IF(AND(_xlfn.XLOOKUP(_xlfn.XLOOKUP(B377,'Base stats'!B:B,'Base stats'!E:E),Groups!A:A,Groups!AJ:AJ="Mammal"),OR(_xlfn.XLOOKUP(B377,'Base stats'!B:B,'Base stats'!Y:Y)="Omnivore",_xlfn.XLOOKUP(B377,'Base stats'!B:B,'Base stats'!Y:Y)="OmnivoreRough")),"Forage",""),
    IF(BG377&lt;=36,"Comfort",""),
    IF(_xlfn.XLOOKUP(B377,'Base stats'!B:B,'Base stats'!AE:AE)&lt;&gt;"No",_xlfn.XLOOKUP(B377,'Base stats'!B:B,'Base stats'!AE:AE),"")
  ) = "",
  "No",
  _xlfn.TEXTJOIN(", ",TRUE,
    IF(AND(BJ377="true",AO377&gt;0.5,BI377&lt;&gt;"None"),"AttackTarget",""),
    IF(AND(_xlfn.XLOOKUP(_xlfn.XLOOKUP(B377,'Base stats'!B:B,'Base stats'!E:E),Groups!A:A,Groups!AJ:AJ="Mammal"),OR(_xlfn.XLOOKUP(B377,'Base stats'!B:B,'Base stats'!Y:Y)="Omnivore",_xlfn.XLOOKUP(B377,'Base stats'!B:B,'Base stats'!Y:Y)="OmnivoreRough")),"Forage",""),
    IF(BG377&lt;=36,"Comfort",""),
    IF(_xlfn.XLOOKUP(B377,'Base stats'!B:B,'Base stats'!AE:AE)&lt;&gt;"No",_xlfn.XLOOKUP(B377,'Base stats'!B:B,'Base stats'!AE:AE),"")
  )
)</f>
        <v>No</v>
      </c>
      <c r="BQ377" s="25" t="str">
        <f>IF(
   AND(
      'Base stats'!AN377="Standard",_xlfn.XLOOKUP(_xlfn.XLOOKUP(B377,'Base stats'!B:B,'Base stats'!E:E),Groups!A:A,Groups!AU:AU)=0,
      OR(
      BO377="True"
      )
   ),
   10,
   IF(
       OR(BM377&lt;&gt;"No",_xlfn.XLOOKUP(_xlfn.XLOOKUP(B377,'Base stats'!B:B,'Base stats'!E:E),Groups!A:A,Groups!AU:AU)=1),
      1,
      "No"
   )
)</f>
        <v>No</v>
      </c>
      <c r="BR377" s="9">
        <f>MROUND((1 + ((0.2*IF(OR(Q377="No",R377="No",R377=0),0,Q377/R377)
+IF(OR(V377="No",S377="No",T377="No"),0,S377/T377*(LEN(V377)-LEN(SUBSTITUTE(V377,",",""))+1))
+IF(OR(X377="No",Y377="No"),0,X377/Y377)
+IF(OR(AD377="No",AE377="No"),0,AD377/AE377)
+IF(OR(AL377="No",AI377="No",AJ377="No"),0,AI377/AJ377*(LEN(AL377)-LEN(SUBSTITUTE(AL377,",",""))+1))
)/(0.2*IF(OR(Q377="No",R377="No",R377=0),0,1)
+IF(OR(V377="No",S377="No",T377="No"),0,LEN(V377)-LEN(SUBSTITUTE(V377,",",""))+1)
+IF(OR(X377="No",Y377="No"),0,1)
+IF(OR(AD377="No",AE377="No"),0,1)
+IF(OR(AL377="No",AI377="No",AJ377="No"),0,LEN(AL377)-LEN(SUBSTITUTE(AL377,",",""))+1))*62%)* 2)*(1 + (AP377 / (IF(_xlfn.XLOOKUP(_xlfn.XLOOKUP(B377,'Base stats'!B:B,'Base stats'!E:E),Groups!A:A,Groups!AJ:AJ)="Photonozoa",0.3,1)) + _xlfn.XLOOKUP(B377,'Base stats'!B:B,'Base stats'!AV:AV) * 1.8) * 2) * 2.5 + 10 + I377 * 2,5)+IF(_xlfn.XLOOKUP(B377,'Base stats'!B:B,'Base stats'!AK:AK)=1,50,0)</f>
        <v>60</v>
      </c>
      <c r="BS377" s="8">
        <f t="shared" si="40"/>
        <v>0.5</v>
      </c>
      <c r="BT377" s="8" t="str">
        <f>_xlfn.XLOOKUP(B377,'Base stats'!B:B,'Base stats'!AF:AF)</f>
        <v>No</v>
      </c>
      <c r="BU377" s="2" t="str">
        <f>IF(AND(J377&lt;=0.95,OR(_xlfn.XLOOKUP(B377,'Base stats'!B:B,'Base stats'!AK:AK)=1,_xlfn.XLOOKUP(B377,'Base stats'!B:B,'Base stats'!Y:Y)="Carnivore",_xlfn.XLOOKUP(B377,'Base stats'!B:B,'Base stats'!Y:Y)="Omnivore",BE377&gt;0.1)),"true","false")</f>
        <v>true</v>
      </c>
      <c r="BV377" s="2" t="str">
        <f>IF(_xlfn.XLOOKUP(B377,'Base stats'!B:B,'Base stats'!AI:AI)=1,"true","false")</f>
        <v>false</v>
      </c>
      <c r="BW377" s="25" t="str">
        <f>IF(E377="BaseInsect","AnimalInsect",
IF(J377&gt;0.95,"AnimalExotic",
_xlfn.TEXTJOIN(", ",TRUE,
IF(OR(_xlfn.XLOOKUP(B377,'Base stats'!B:B,'Base stats'!AM:AM)=1,AND(_xlfn.XLOOKUP(B377,'Base stats'!B:B,'Base stats'!O:O)=0,_xlfn.XLOOKUP(_xlfn.XLOOKUP(B377,'Base stats'!B:B,'Base stats'!E:E),Groups!A:A,Groups!B:B)&gt;0)),"AnimalUncommon","AnimalCommon"),
IF(AND(_xlfn.XLOOKUP(B377,'Base stats'!B:B,'Base stats'!O:O)=2,_xlfn.XLOOKUP(_xlfn.XLOOKUP(B377,'Base stats'!B:B,'Base stats'!E:E),Groups!A:A,Groups!D:D)=0),"AnimalPet",IF(AND(_xlfn.XLOOKUP(B377,'Base stats'!B:B,'Base stats'!O:O)&lt;&gt;0,_xlfn.XLOOKUP(_xlfn.XLOOKUP(B377,'Base stats'!B:B,'Base stats'!E:E),Groups!A:A,Groups!D:D)&lt;&gt;0),"AnimalFarm","")),
IF(OR(_xlfn.XLOOKUP(B377,'Base stats'!B:B,'Base stats'!AK:AK)=1,AND(BI377&lt;&gt;"None",BR377&gt;=60),ISNUMBER(SEARCH("Attack target",BP377))),"AnimalFighter","")
)))</f>
        <v>AnimalUncommon</v>
      </c>
      <c r="BX377" s="25" t="str">
        <f>IF(G377="None",TRIM(
SUBSTITUTE(
IF(COUNTIF(Biomes!B$2:B$259,"="&amp;$C377)&gt;0,Biomes!B$1&amp;", ","")&amp;
IF(COUNTIF(Biomes!C$2:C$259,"="&amp;$C377)&gt;0,Biomes!C$1&amp;", ","")&amp;
IF(COUNTIF(Biomes!D$2:D$259,"="&amp;$C377)&gt;0,Biomes!D$1&amp;", ","")&amp;
IF(COUNTIF(Biomes!F$2:F$259,"="&amp;$C377)&gt;0,Biomes!F$1&amp;", ","")&amp;
IF(COUNTIF(Biomes!G$2:G$259,"="&amp;$C377)&gt;0,Biomes!G$1&amp;", ","")&amp;
IF(COUNTIF(Biomes!H$2:H$259,"="&amp;$C377)&gt;0,Biomes!H$1&amp;", ","")&amp;
IF(COUNTIF(Biomes!I$2:I$259,"="&amp;$C377)&gt;0,Biomes!I$1&amp;", ","")&amp;
IF(COUNTIF(Biomes!J$2:J$259,"="&amp;$C377)&gt;0,Biomes!J$1&amp;", ","")&amp;
IF(COUNTIF(Biomes!M$2:M$259,"="&amp;$C377)&gt;0,Biomes!M$1&amp;", ","")&amp;
IF(COUNTIF(Biomes!N$2:N$259,"="&amp;$C377)&gt;0,Biomes!N$1&amp;", ","")&amp;
IF(COUNTIF(Biomes!O$2:O$259,"="&amp;$C377)&gt;0,Biomes!O$1&amp;", ","")&amp;
IF(COUNTIF(Biomes!P$2:P$259,"="&amp;$C377)&gt;0,Biomes!P$1&amp;", ","")&amp;
IF(COUNTIF(Biomes!K$2:K$259,"="&amp;$C377)&gt;0,Biomes!K$1&amp;", ","")&amp;
IF(COUNTIF(Biomes!Q$3:Q$259,"="&amp;$C377)&gt;0,Biomes!Q$1&amp;", ","")&amp;
IF(COUNTIF(Biomes!L$2:L$259,"="&amp;$C377)&gt;0,Biomes!L$1&amp;", ","")&amp;
IF(COUNTIF(Biomes!E$2:E$259,"="&amp;$C377)&gt;0,Biomes!E$1&amp;", ","")&amp;IF(COUNTIF(Biomes!S$2:S$259,"="&amp;$C377)&gt;0,Biomes!S$1&amp;", ","")&amp;
IF(COUNTIF(Biomes!R$2:R$259,"="&amp;$C377)&gt;0,Biomes!R$1&amp;", ",""),", ","")
),_xlfn.XLOOKUP(B377,B:B,BX:BX))</f>
        <v>TemperateForest TemperateSwamp AridShrubland TropicalRainforest TropicalSwamp Grasslands Glowforest LavaField</v>
      </c>
      <c r="BY377" s="25" t="str">
        <f>IF(_xlfn.XLOOKUP(B377,'Base stats'!B:B,'Base stats'!AJ:AJ)=1,"true","false")</f>
        <v>false</v>
      </c>
      <c r="BZ377" s="25">
        <f>IF(_xlfn.XLOOKUP(B377,'Base stats'!B:B,'Base stats'!N:N)=1,"No",MAX(0.001,MIN(MROUND(IF(AND(BJ377="True",CC377="False"),POWER(10,3.47*LOG10(_xlfn.XLOOKUP(B377,'Base stats'!B:B,'Base stats'!C:C)*1000)^-0.96),POWER(10,4.15*LOG10(_xlfn.XLOOKUP(B377,'Base stats'!B:B,'Base stats'!C:C)*1000)^-0.73))*IF(_xlfn.XLOOKUP(B377,'Base stats'!B:B,'Base stats'!AK:AK)=1,0.5,1)*IF(_xlfn.XLOOKUP(B377,'Base stats'!B:B,'Base stats'!AM:AM)=1,0.1,1)/100,IF(_xlfn.XLOOKUP(B377,'Base stats'!B:B,'Base stats'!AM:AM)=1,0.001,0.025)),0.5)))</f>
        <v>0.27500000000000002</v>
      </c>
      <c r="CA377" s="25" t="str">
        <f>IF(P377="Standard","No",MAX(0.001,MIN(MROUND(IF(AND(BJ377="True",CC377="False"),POWER(10,3.47*LOG10(_xlfn.XLOOKUP(B377,'Base stats'!B:B,'Base stats'!C:C)*1000)^-0.96),POWER(10,4.15*LOG10(_xlfn.XLOOKUP(B377,'Base stats'!B:B,'Base stats'!C:C)*1000)^-0.73))*IF(_xlfn.XLOOKUP(B377,'Base stats'!B:B,'Base stats'!AM:AM)=1,0.1,1)*_xlfn.XLOOKUP(B377,'Base stats'!B:B,'Base stats'!R:R)/100,IF(_xlfn.XLOOKUP(B377,'Base stats'!B:B,'Base stats'!AM:AM)=1,0.001,0.025)),0.5)))</f>
        <v>No</v>
      </c>
      <c r="CB377" s="25" t="str">
        <f>IF(_xlfn.XLOOKUP(_xlfn.XLOOKUP(B377,'Base stats'!B:B,'Base stats'!E:E),Groups!A:A,Groups!AJ:AJ)="Mammal","True","False")</f>
        <v>False</v>
      </c>
      <c r="CC377" s="25" t="str">
        <f>IF(OR(_xlfn.XLOOKUP(_xlfn.XLOOKUP(B377,'Base stats'!B:B,'Base stats'!E:E),Groups!A:A,Groups!AJ:AJ)="Reptile",_xlfn.XLOOKUP(_xlfn.XLOOKUP(B377,'Base stats'!B:B,'Base stats'!E:E),Groups!A:A,Groups!AJ:AJ)="Amphibian",_xlfn.XLOOKUP(_xlfn.XLOOKUP(B377,'Base stats'!B:B,'Base stats'!E:E),Groups!A:A,Groups!AJ:AJ)="Invertebrate"),"True","False")</f>
        <v>False</v>
      </c>
      <c r="CD377" s="25" t="str">
        <f t="shared" si="41"/>
        <v>False</v>
      </c>
      <c r="CE377" s="25" t="str">
        <f>IF(_xlfn.XLOOKUP(_xlfn.XLOOKUP(B377,'Base stats'!B:B,'Base stats'!E:E),Groups!A:A,Groups!AX:AX),"True","False")</f>
        <v>False</v>
      </c>
      <c r="CF377" s="25" t="str">
        <f>IF(_xlfn.XLOOKUP(_xlfn.XLOOKUP(B377,'Base stats'!B:B,'Base stats'!E:E),Groups!A:A,Groups!AY:AY),"True","False")</f>
        <v>False</v>
      </c>
      <c r="CG377" s="25" t="str">
        <f>IF(_xlfn.XLOOKUP(_xlfn.XLOOKUP(B377,'Base stats'!B:B,'Base stats'!E:E),Groups!A:A,Groups!AW:AW),"True","False")</f>
        <v>False</v>
      </c>
      <c r="CH377" s="25" t="str">
        <f>IF(
OR(
_xlfn.XLOOKUP(_xlfn.XLOOKUP(B377,'Base stats'!B:B,'Base stats'!E:E),Groups!A:A,Groups!AZ:AZ)=0,
AND(
_xlfn.XLOOKUP(B377,'Base stats'!B:B,'Base stats'!Y:Y)&lt;&gt;"Carnivore",
_xlfn.XLOOKUP(B377,'Base stats'!B:B,'Base stats'!Y:Y)&lt;&gt;"Omnivore",
_xlfn.XLOOKUP(B377,'Base stats'!B:B,'Base stats'!Y:Y)&lt;&gt;"OmnivoreRough"
)
),
"No",
IF(
_xlfn.XLOOKUP(_xlfn.XLOOKUP(B377,'Base stats'!B:B,'Base stats'!E:E),Groups!A:A,Groups!AZ:AZ)=1,
"Flesh",
IF(
_xlfn.XLOOKUP(_xlfn.XLOOKUP(B377,'Base stats'!B:B,'Base stats'!E:E),Groups!A:A,Groups!AZ:AZ)=2,
"Bone",
""
)
)
)</f>
        <v>No</v>
      </c>
      <c r="CI377" s="25" t="str">
        <f>IF(_xlfn.XLOOKUP(_xlfn.XLOOKUP(B377,'Base stats'!B:B,'Base stats'!E:E),Groups!A:A,Groups!BB:BB),"True","False")</f>
        <v>True</v>
      </c>
      <c r="CJ377" s="25" t="str">
        <f>IF(_xlfn.XLOOKUP(_xlfn.XLOOKUP(B377,'Base stats'!B:B,'Base stats'!E:E),Groups!A:A,Groups!BA:BA),"True","False")</f>
        <v>False</v>
      </c>
    </row>
    <row r="378" spans="1:88" ht="16.5" thickTop="1" thickBot="1" x14ac:dyDescent="0.3">
      <c r="A378" s="26" t="s">
        <v>2067</v>
      </c>
      <c r="B378" s="6" t="str">
        <f>_xlfn.XLOOKUP(A378,'Base stats'!A:A,'Base stats'!B:B)</f>
        <v xml:space="preserve">Arthropleura armata </v>
      </c>
      <c r="C378" s="28" t="s">
        <v>2120</v>
      </c>
      <c r="D378" s="28" t="s">
        <v>2126</v>
      </c>
      <c r="E378" s="28" t="s">
        <v>673</v>
      </c>
      <c r="F378" s="28" t="s">
        <v>673</v>
      </c>
      <c r="G378" s="28" t="s">
        <v>673</v>
      </c>
      <c r="H378" s="2">
        <f>MROUND((
  (IF(AND(_xlfn.XLOOKUP(B378,'Base stats'!B:B,'Base stats'!AL:AL)=0,BI378="None",_xlfn.XLOOKUP(_xlfn.XLOOKUP(B378,'Base stats'!B:B,'Base stats'!E:E),Groups!A:A,Groups!B:B)=0), (18 + BR378 * 2.7) * 0.5,
    IF(AND(_xlfn.XLOOKUP(B378,'Base stats'!B:B,'Base stats'!AL:AL)=0,OR(AO378&lt;0.55,AND(BI378="Intermediate",_xlfn.XLOOKUP(_xlfn.XLOOKUP(B378,'Base stats'!B:B,'Base stats'!E:E),Groups!A:A,Groups!B:B)&lt;2))), (18 + BR378 * 2.7),
      IF(OR(BI378="Advanced",_xlfn.XLOOKUP(B378,'Base stats'!B:B,'Base stats'!AL:AL)=1,_xlfn.XLOOKUP(_xlfn.XLOOKUP(B378,'Base stats'!B:B,'Base stats'!E:E),Groups!A:A,Groups!B:B)=2), (18 + BR378 * 2.7) + 250, (18 + BR378 * 2.7))
    )
  ))
  + AO378 * 80
  + IF(COUNTIF(EggMilk!K$2:K$998, A378) &gt; 0, 125, 0)
  + IF(COUNTIF(EggMilk!P$2:P$998, A378) &gt; 0, 90, 0)
  + IF(COUNTIF(EggMilk!A$2:A$998, A378) &gt; 0, 90, 0)
)
* (0.8 + 0.4 * J378)
* 0.75,25)</f>
        <v>350</v>
      </c>
      <c r="I378" s="2">
        <f>MROUND(ROUNDDOWN(_xlfn.XLOOKUP(B378,'Base stats'!B:B,'Base stats'!L:L)/3.6/(23.3/11),1),0.5)</f>
        <v>1.5</v>
      </c>
      <c r="J378" s="2">
        <f>IF(OR(_xlfn.XLOOKUP(B378,'Base stats'!B:B,'Base stats'!AB:AB)=1,_xlfn.XLOOKUP(_xlfn.XLOOKUP(B378,'Base stats'!B:B,'Base stats'!E:E),Groups!A:A,Groups!C:C)="Untamable"),1,IF(_xlfn.XLOOKUP(B378,'Base stats'!B:B,'Base stats'!AL:AL)=1,0.99,MIN(MROUND((1-0.6282*EXP(-0.459*AO378))*_xlfn.XLOOKUP(_xlfn.XLOOKUP(B378,'Base stats'!B:B,'Base stats'!E:E),Groups!A:A,Groups!C:C)*IF(_xlfn.XLOOKUP(B378,'Base stats'!B:B,'Base stats'!O:O)=1,0.5,IF(_xlfn.XLOOKUP(B378,'Base stats'!B:B,'Base stats'!O:O)=2,0,1)),0.05),IF(AO378&gt;3.5,0.985,0.95))))</f>
        <v>0.55000000000000004</v>
      </c>
      <c r="K378" s="2">
        <f>ROUNDUP(AO378*_xlfn.XLOOKUP(_xlfn.XLOOKUP(B378,'Base stats'!B:B,'Base stats'!E:E),Groups!A:A,Groups!E:E),0)</f>
        <v>1</v>
      </c>
      <c r="L378" s="2">
        <f>IF(OR(_xlfn.XLOOKUP(_xlfn.XLOOKUP(B378,'Base stats'!B:B,'Base stats'!E:E),Groups!A:A,Groups!F:F)=2,ISNUMBER(SEARCH("SeaIce",BX378)),ISNUMBER(SEARCH("IceSheet",BX378))),-50,IF(OR(ISNUMBER(SEARCH("GlacialPlain",BX378)),ISNUMBER(SEARCH("Tundra",BX378))),-40,IF(OR(ISNUMBER(SEARCH("Alpine",BX378)),ISNUMBER(SEARCH("BorealForest",BX378)),ISNUMBER(SEARCH("ColdBog",BX378))),-30,IF(OR(ISNUMBER(SEARCH("TemperateForest",BX378)),ISNUMBER(SEARCH("TemperateSwamp",BX378))),-20,IF(_xlfn.XLOOKUP(_xlfn.XLOOKUP(B378,'Base stats'!B:B,'Base stats'!E:E),Groups!A:A,Groups!F:F)=1,-15,IF(OR(ISNUMBER(SEARCH("Desert",BX378)),ISNUMBER(SEARCH("ExtremeDesert",BX378))),-10,IF(OR(ISNUMBER(SEARCH("Grasslands",BX378)),ISNUMBER(SEARCH("TropicalRainforest",BX378)),ISNUMBER(SEARCH("TropicalSwamp",BX378))),10,0)))))))-IF(CC378="False",MIN(IFERROR(MAX(MROUND(LOG10(_xlfn.XLOOKUP(B378,'Base stats'!B:B,'Base stats'!C:C)^(2/3))*10,5),5),5),30))-_xlfn.XLOOKUP(B378,'Base stats'!B:B,'Base stats'!P:P)+IF(CC378="True",5,0)</f>
        <v>5</v>
      </c>
      <c r="M378" s="2">
        <f>IF(OR(_xlfn.XLOOKUP(_xlfn.XLOOKUP(B378,'Base stats'!B:B,'Base stats'!E:E),Groups!A:A,Groups!G:G)=2,ISNUMBER(SEARCH("Desert",BX378)),ISNUMBER(SEARCH("ExtremeDesert",BX378)),ISNUMBER(SEARCH("LavaField",BX378))),50,IF(ISNUMBER(SEARCH("Grasslands",BX378)),45,IF(OR(_xlfn.XLOOKUP(_xlfn.XLOOKUP(B378,'Base stats'!B:B,'Base stats'!E:E),Groups!A:A,Groups!G:G)=1,ISNUMBER(SEARCH("TropicalRainforest",BX378)),ISNUMBER(SEARCH("TropicalSwamp",BX378))),40,IF(OR(ISNUMBER(SEARCH("TemperateForest",BX378)),ISNUMBER(SEARCH("TemperateSwamp",BX378))),35,IF(OR(ISNUMBER(SEARCH("Alpine",BX378)),ISNUMBER(SEARCH("BorealForest",BX378)),ISNUMBER(SEARCH("ColdBog",BX378))),30,IF(ISNUMBER(OR(ISNUMBER(SEARCH("GlacialPlain",BX378)),SEARCH("Tundra",BX378))),25,IF(OR(ISNUMBER(SEARCH("SeaIce",BX378)),ISNUMBER(SEARCH("IceSheet",BX378)),ISNUMBER(SEARCH("TropicalSwamp",BX378))),10,35)))))))+_xlfn.XLOOKUP(B378,'Base stats'!B:B,'Base stats'!Q:Q)</f>
        <v>35</v>
      </c>
      <c r="N378" s="8">
        <f>IF(
_xlfn.XLOOKUP(
_xlfn.XLOOKUP(B378,'Base stats'!B:B,'Base stats'!E:E),
Groups!A:A,
Groups!L:L
)=1,
MIN(
MROUND(
IF(
_xlfn.XLOOKUP(B378,'Animals CE'!B:B,'Animals CE'!Z:Z)&lt;=1.5,
_xlfn.XLOOKUP(B378,'Animals CE'!B:B,'Animals CE'!Z:Z)/2+0.05,
0.8+
(_xlfn.XLOOKUP(B378,'Animals CE'!B:B,'Animals CE'!Z:Z)-1.5)
*0.02
),
0.05
),
200%
),
"No"
)</f>
        <v>0.8</v>
      </c>
      <c r="O378" s="8">
        <f>IF(
_xlfn.XLOOKUP(
_xlfn.XLOOKUP(B378,'Base stats'!B:B,'Base stats'!E:E),
Groups!A:A,
Groups!L:L
)=1,
MIN(
MROUND(
IF(
_xlfn.XLOOKUP(B378,'Animals CE'!B:B,'Animals CE'!AA:AA)&lt;=1.5,
_xlfn.XLOOKUP(B378,'Animals CE'!B:B,'Animals CE'!AA:AA)/2+0.05,
0.8+
(_xlfn.XLOOKUP(B378,'Animals CE'!B:B,'Animals CE'!AA:AA)-1.5)
*0.02
),
0.05
),
200%
),
"No"
)</f>
        <v>0.75</v>
      </c>
      <c r="P378" s="2" t="str">
        <f>_xlfn.XLOOKUP(B378,'Base stats'!B:B,'Base stats'!R:R)</f>
        <v>Standard</v>
      </c>
      <c r="Q378" s="13">
        <f>MROUND((LOG10(_xlfn.XLOOKUP(B378,'Base stats'!B:B,'Base stats'!AR:AR))*(AO378^0.5)+(_xlfn.XLOOKUP(B378,'Base stats'!B:B,'Base stats'!AR:AR)/1000)^(2/3)+_xlfn.XLOOKUP(B378,'Base stats'!B:B,'Base stats'!BA:BA)/2)+0.5,0.5)</f>
        <v>6.5</v>
      </c>
      <c r="R378" s="7">
        <f>IF(Q378="No","No",MAX(1,MROUND(_xlfn.XLOOKUP(B378,'Base stats'!B:B,'Base stats'!C:C)^0.165,0.05)))</f>
        <v>1.9000000000000001</v>
      </c>
      <c r="S378" s="13" t="str">
        <f>IF(_xlfn.XLOOKUP(_xlfn.XLOOKUP(B378,'Base stats'!B:B,'Base stats'!E:E),Groups!A:A,Groups!P:P)=0,"No",MROUND((LOG10(_xlfn.XLOOKUP(B378,'Base stats'!B:B,'Base stats'!AS:AS))*(AO378^0.5)+(_xlfn.XLOOKUP(B378,'Base stats'!B:B,'Base stats'!AS:AS)/1000)^(2/3)+_xlfn.XLOOKUP(B378,'Base stats'!B:B,'Base stats'!BA:BA))+_xlfn.XLOOKUP(B378,'Base stats'!B:B,'Base stats'!AY:AY)+0.5,0.5))</f>
        <v>No</v>
      </c>
      <c r="T378" s="7" t="str">
        <f>IF(S378="No","No",MAX(_xlfn.XLOOKUP(_xlfn.XLOOKUP(B378,'Base stats'!B:B,'Base stats'!E:E),Groups!A:A,Groups!Q:Q),MROUND(_xlfn.XLOOKUP(_xlfn.XLOOKUP(B378,'Base stats'!B:B,'Base stats'!E:E),Groups!A:A,Groups!Q:Q)*_xlfn.XLOOKUP(B378,'Base stats'!B:B,'Base stats'!C:C)^0.165,0.05)))</f>
        <v>No</v>
      </c>
      <c r="U378" s="7" t="str">
        <f>IF(S378="No","No",_xlfn.XLOOKUP(_xlfn.XLOOKUP(B378,'Base stats'!B:B,'Base stats'!E:E),Groups!A:A,Groups!R:R))</f>
        <v>No</v>
      </c>
      <c r="V378" s="7" t="str">
        <f>IF(S378="No","No",_xlfn.XLOOKUP(_xlfn.XLOOKUP(B378,'Base stats'!B:B,'Base stats'!E:E),Groups!A:A,Groups!S:S))</f>
        <v>No</v>
      </c>
      <c r="W378" s="7" t="str">
        <f>IF(S378="No","No",_xlfn.XLOOKUP(_xlfn.XLOOKUP(B378,'Base stats'!B:B,'Base stats'!E:E),Groups!A:A,Groups!T:T))</f>
        <v>No</v>
      </c>
      <c r="X378" s="13" t="str">
        <f>IF(_xlfn.XLOOKUP(B378,'Base stats'!B:B,'Base stats'!W:W)="No","No",MROUND((LOG10(_xlfn.XLOOKUP(B378,'Base stats'!B:B,'Base stats'!AU:AU))*(AO378^0.5)+(_xlfn.XLOOKUP(B378,'Base stats'!B:B,'Base stats'!AU:AU)/1000)^(2/3)+_xlfn.XLOOKUP(B378,'Base stats'!B:B,'Base stats'!AZ:AZ))+0.5+IF(_xlfn.XLOOKUP(_xlfn.XLOOKUP(B378,'Base stats'!B:B,'Base stats'!E:E),Groups!A:A,Groups!U:U)&lt;&gt;3,_xlfn.XLOOKUP(B378,'Base stats'!B:B,'Base stats'!BA:BA),0),0.5))</f>
        <v>No</v>
      </c>
      <c r="Y378" s="7" t="str">
        <f>IF(X378="No","No",MAX(_xlfn.XLOOKUP(_xlfn.XLOOKUP(B378,'Base stats'!B:B,'Base stats'!E:E),Groups!A:A,Groups!V:V),MROUND(_xlfn.XLOOKUP(_xlfn.XLOOKUP(B378,'Base stats'!B:B,'Base stats'!E:E),Groups!A:A,Groups!V:V)*_xlfn.XLOOKUP(B378,'Base stats'!B:B,'Base stats'!C:C)^0.165,0.05)))</f>
        <v>No</v>
      </c>
      <c r="Z378" s="7" t="str">
        <f>IF(X378="No","No",_xlfn.XLOOKUP(_xlfn.XLOOKUP(B378,'Base stats'!B:B,'Base stats'!E:E),Groups!A:A,Groups!W:W))</f>
        <v>No</v>
      </c>
      <c r="AA378" s="7" t="str">
        <f>IF(X378="No","No",_xlfn.XLOOKUP(_xlfn.XLOOKUP(B378,'Base stats'!B:B,'Base stats'!E:E),Groups!A:A,Groups!X:X))</f>
        <v>No</v>
      </c>
      <c r="AB378" s="7" t="str">
        <f>IF(X378="No","No",_xlfn.XLOOKUP(_xlfn.XLOOKUP(B378,'Base stats'!B:B,'Base stats'!E:E),Groups!A:A,Groups!Y:Y))</f>
        <v>No</v>
      </c>
      <c r="AC378" s="7" t="str">
        <f>_xlfn.XLOOKUP(Animals!B378,'Base stats'!B:B,'Base stats'!X:X)</f>
        <v>False</v>
      </c>
      <c r="AD378" s="13">
        <f>IF(_xlfn.XLOOKUP(B378,'Base stats'!B:B,'Base stats'!AT:AT)="No","No",MROUND((LOG10(_xlfn.XLOOKUP(B378,'Base stats'!B:B,'Base stats'!AT:AT))*(AO378^0.75)+(_xlfn.XLOOKUP(B378,'Base stats'!B:B,'Base stats'!AT:AT)/1000)^(2/3)+_xlfn.XLOOKUP(B378,'Base stats'!B:B,'Base stats'!AX:AX)+_xlfn.XLOOKUP(B378,'Base stats'!B:B,'Base stats'!BA:BA))+0.5,0.5))</f>
        <v>17</v>
      </c>
      <c r="AE378" s="7">
        <f>IF(AD378="No","No",MAX(_xlfn.XLOOKUP(_xlfn.XLOOKUP(B378,'Base stats'!B:B,'Base stats'!E:E),Groups!A:A,Groups!Z:Z),MROUND(_xlfn.XLOOKUP(_xlfn.XLOOKUP(B378,'Base stats'!B:B,'Base stats'!E:E),Groups!A:A,Groups!Z:Z)*_xlfn.XLOOKUP(B378,'Base stats'!B:B,'Base stats'!C:C)^0.165,0.05)))</f>
        <v>2.5</v>
      </c>
      <c r="AF378" s="7" t="str">
        <f>IF(AD378="No","No",_xlfn.XLOOKUP(_xlfn.XLOOKUP(B378,'Base stats'!B:B,'Base stats'!E:E),Groups!A:A,Groups!AA:AA))</f>
        <v>Mouth</v>
      </c>
      <c r="AG378" s="7" t="str">
        <f>IF(AD378="No","No",_xlfn.XLOOKUP(_xlfn.XLOOKUP(B378,'Base stats'!B:B,'Base stats'!E:E),Groups!A:A,Groups!AB:AB))</f>
        <v>mandibles</v>
      </c>
      <c r="AH378" s="7" t="str">
        <f>IF(AD378="No","No",_xlfn.XLOOKUP(_xlfn.XLOOKUP(B378,'Base stats'!B:B,'Base stats'!E:E),Groups!A:A,Groups!AC:AC))</f>
        <v>Bite</v>
      </c>
      <c r="AI378" s="13" t="str">
        <f>IF(_xlfn.XLOOKUP(_xlfn.XLOOKUP(B378,'Base stats'!B:B,'Base stats'!E:E),Groups!A:A,Groups!AD:AD)=0,"No",MROUND((LOG10(_xlfn.XLOOKUP(B378,'Base stats'!B:B,'Base stats'!AS:AS))*(AO378^0.75)+(_xlfn.XLOOKUP(B378,'Base stats'!B:B,'Base stats'!AS:AS)/1000)^(2/3)+_xlfn.XLOOKUP(B378,'Base stats'!B:B,'Base stats'!AY:AY)+_xlfn.XLOOKUP(B378,'Base stats'!B:B,'Base stats'!BA:BA))+0.5,0.5))</f>
        <v>No</v>
      </c>
      <c r="AJ378" s="7" t="str">
        <f>IF(AI378="No","No",MAX(_xlfn.XLOOKUP(_xlfn.XLOOKUP(B378,'Base stats'!B:B,'Base stats'!E:E),Groups!A:A,Groups!AE:AE),MROUND(_xlfn.XLOOKUP(_xlfn.XLOOKUP(B378,'Base stats'!B:B,'Base stats'!E:E),Groups!A:A,Groups!AE:AE)*IF(_xlfn.XLOOKUP(_xlfn.XLOOKUP(B378,'Base stats'!B:B,'Base stats'!E:E),Groups!A:A,Groups!AJ:AJ)="Photonozoa",0.6,1)*_xlfn.XLOOKUP(B378,'Base stats'!B:B,'Base stats'!C:C)^0.165,0.05)))</f>
        <v>No</v>
      </c>
      <c r="AK378" s="7" t="str">
        <f>IF(AI378="No","No",_xlfn.XLOOKUP(_xlfn.XLOOKUP(B378,'Base stats'!B:B,'Base stats'!E:E),Groups!A:A,Groups!AF:AF))</f>
        <v>No</v>
      </c>
      <c r="AL378" s="7" t="str">
        <f>IF(AI378="No","No",_xlfn.XLOOKUP(_xlfn.XLOOKUP(B378,'Base stats'!B:B,'Base stats'!E:E),Groups!A:A,Groups!AG:AG))</f>
        <v>No</v>
      </c>
      <c r="AM378" s="7" t="str">
        <f>IF(AI378="No","No",_xlfn.XLOOKUP(_xlfn.XLOOKUP(B378,'Base stats'!B:B,'Base stats'!E:E),Groups!A:A,Groups!AH:AH))</f>
        <v>No</v>
      </c>
      <c r="AN378" s="2" t="str">
        <f t="shared" ref="AN378:AN383" si="42">IF(BJ378="false","No",MROUND(AO378*5+15*1,5))</f>
        <v>No</v>
      </c>
      <c r="AO378" s="2">
        <f>MROUND(IF(AND(_xlfn.XLOOKUP(B378,'Base stats'!B:B,'Base stats'!C:C)&gt;=0.5,_xlfn.XLOOKUP(B378,'Base stats'!B:B,'Base stats'!C:C)&lt;=0.8),
IF(_xlfn.XLOOKUP(B378,'Base stats'!B:B,'Base stats'!C:C)&lt;0.1,0.05,IF(_xlfn.XLOOKUP(B378,'Base stats'!B:B,'Base stats'!C:C)&lt;=70,(_xlfn.XLOOKUP(B378,'Base stats'!B:B,'Base stats'!C:C)/70)^0.426489913056526,IF(_xlfn.XLOOKUP(B378,'Base stats'!B:B,'Base stats'!C:C)&lt;=400,(_xlfn.XLOOKUP(B378,'Base stats'!B:B,'Base stats'!C:C)/70)^0.572811455315093,IF(_xlfn.XLOOKUP(B378,'Base stats'!B:B,'Base stats'!C:C)&lt;=2000,2.71391647193063*(_xlfn.XLOOKUP(B378,'Base stats'!B:B,'Base stats'!C:C)/400)^0.252459582904293,3.74314280240376*(_xlfn.XLOOKUP(B378,'Base stats'!B:B,'Base stats'!C:C)/2000)^0.357012633876913)))),
IF(_xlfn.XLOOKUP(B378,'Base stats'!B:B,'Base stats'!C:C)&lt;0.1,0.05,IF(_xlfn.XLOOKUP(B378,'Base stats'!B:B,'Base stats'!C:C)&lt;0.4,0.1,IF(_xlfn.XLOOKUP(B378,'Base stats'!B:B,'Base stats'!C:C)&lt;=70,(_xlfn.XLOOKUP(B378,'Base stats'!B:B,'Base stats'!C:C)/70)^0.445823913056526,IF(_xlfn.XLOOKUP(B378,'Base stats'!B:B,'Base stats'!C:C)&lt;=400,(_xlfn.XLOOKUP(B378,'Base stats'!B:B,'Base stats'!C:C)/70)^0.572811455315093,IF(_xlfn.XLOOKUP(B378,'Base stats'!B:B,'Base stats'!C:C)&lt;=2000,2.71391647193063*(_xlfn.XLOOKUP(B378,'Base stats'!B:B,'Base stats'!C:C)/400)^0.252459582904293,3.74314280240376*(_xlfn.XLOOKUP(B378,'Base stats'!B:B,'Base stats'!C:C)/2000)^0.357012633876913)))))),
IF(_xlfn.XLOOKUP(B378,'Base stats'!B:B,'Base stats'!C:C)&lt;0.1,0.05,IF(_xlfn.XLOOKUP(B378,'Base stats'!B:B,'Base stats'!C:C)&lt;=100,0.05,IF(_xlfn.XLOOKUP(B378,'Base stats'!B:B,'Base stats'!C:C)&lt;=250,0.1,IF(_xlfn.XLOOKUP(B378,'Base stats'!B:B,'Base stats'!C:C)&lt;=4000,0.25,0.5)))))</f>
        <v>0.85000000000000009</v>
      </c>
      <c r="AP378" s="8">
        <f>MROUND(AO378*_xlfn.XLOOKUP(_xlfn.XLOOKUP(B378,'Base stats'!B:B,'Base stats'!E:E),Groups!A:A,Groups!AI:AI)*_xlfn.XLOOKUP(B378,'Base stats'!B:B,'Base stats'!Z:Z),0.05)</f>
        <v>0.85000000000000009</v>
      </c>
      <c r="AQ378" s="8">
        <f>MAX(0.01,MROUND(IF(CC378="True",0.196*(AO378*100*1000)^0.889,IF(_xlfn.XLOOKUP(_xlfn.XLOOKUP(B378,'Base stats'!B:B,'Base stats'!E:E),Groups!A:A,Groups!AJ:AJ)="Bird",10.5*(AO378*100*1000)^0.681,4.82*(AO378*100*1000)^0.734))/(4.82*(1*100*1000)^0.734)/IF(AO378&lt;3.5,2,IF(AO378=3.5,1.5,1.25))*(1+0.132282374779864/(AO378^0.994035016789033+0.00905238001496948)),0.05))</f>
        <v>0.1</v>
      </c>
      <c r="AR378" s="9">
        <f>IFERROR(MROUND(_xlfn.XLOOKUP(B378,'Base stats'!B:B,'Base stats'!H:H)/IF(_xlfn.XLOOKUP(B378,'Base stats'!B:B,'Base stats'!I:I)&lt;&gt;1,(122.5/70),1.2),IF(_xlfn.XLOOKUP(B378,'Base stats'!B:B,'Base stats'!H:H)&gt;=30,5,IF(_xlfn.XLOOKUP(B378,'Base stats'!B:B,'Base stats'!H:H)&gt;=15,3,IF(_xlfn.XLOOKUP(B378,'Base stats'!B:B,'Base stats'!H:H)&gt;=10,2,1)))),"Immortal")</f>
        <v>18</v>
      </c>
      <c r="AS378" s="35" t="str">
        <f>IFERROR(IF(OR(_xlfn.XLOOKUP(B378,'Base stats'!B:B,'Base stats'!F:F)="Atypical reproduction",_xlfn.XLOOKUP(B378,'Base stats'!B:B,'Base stats'!F:F)="Lay eggs"),"Lay eggs",MIN(20,MAX(5.5,ROUND(((_xlfn.XLOOKUP(B378,'Base stats'!B:B,'Base stats'!F:F)-25)*(14.5/615) + 5.5)*2,0)/2))),"Unknown")</f>
        <v>Lay eggs</v>
      </c>
      <c r="AT378" s="8">
        <f>IF(_xlfn.XLOOKUP(B378,'Base stats'!B:B,'Base stats'!G:G)="Atypical reproduction","No",IFERROR(MAX(IF(_xlfn.XLOOKUP(B378,'Base stats'!B:B,'Base stats'!G:G)&lt;0.5,0.2,0.3),MROUND(_xlfn.XLOOKUP(B378,'Base stats'!B:B,'Base stats'!G:G)/(365/60),0.2)),"Unknown"))</f>
        <v>0.8</v>
      </c>
      <c r="AU378" s="8">
        <f t="shared" ref="AU378:AU383" si="43">IF(AT378="No","No",IFERROR(MROUND(AT378/2,0.05),"Unknown"))</f>
        <v>0.4</v>
      </c>
      <c r="AV378" s="8" t="str">
        <f>IFERROR(IFERROR(MROUND(_xlfn.XLOOKUP(B378,'Base stats'!B:B,'Base stats'!J:J),0.1),"Lay eggs"),"Cannot breed")</f>
        <v>Lay eggs</v>
      </c>
      <c r="AW378" s="2" t="str">
        <f t="shared" ref="AW378:AW383" si="44">IF(BT378="No","false","true")</f>
        <v>false</v>
      </c>
      <c r="AX378" s="2" t="str">
        <f>IF(_xlfn.XLOOKUP(_xlfn.XLOOKUP(Animals!B378,'Base stats'!B:B,'Base stats'!E:E),Groups!A:A,Groups!AK:AK)=1,"true","false")</f>
        <v>false</v>
      </c>
      <c r="AY378" s="25" t="str">
        <f>IF(_xlfn.XLOOKUP(B378,'Base stats'!B:B,'Base stats'!Y:Y)="Liquor","Liquor, CarnivoreAnimalStrict",IF(AND(_xlfn.XLOOKUP(B378,'Base stats'!B:B,'Base stats'!Y:Y)="Carnivore",_xlfn.XLOOKUP(_xlfn.XLOOKUP(B378,'Base stats'!B:B,'Base stats'!E:E),Groups!A:A,Groups!AJ:AJ)="Photonozoa"),"CarnivoreAnimalStrict, OvivoreAnimal",IF(_xlfn.XLOOKUP(B378,'Base stats'!B:B,'Base stats'!Y:Y)="Carnivore","CarnivoreAnimal, OvivoreAnimal",IF(_xlfn.XLOOKUP(B378,'Base stats'!B:B,'Base stats'!Y:Y)="Dendrovore","VegetarianRoughAnimal, DendrovoreAnimal",IF(_xlfn.XLOOKUP(B378,'Base stats'!B:B,'Base stats'!Y:Y)="Herbivore","VegetarianRoughAnimal",IF(_xlfn.XLOOKUP(B378,'Base stats'!B:B,'Base stats'!Y:Y)="OmnivoreRough","OmnivoreRoughAnimal, OvivoreAnimal","OmnivoreAnimal, OvivoreAnimal"))))))</f>
        <v>VegetarianRoughAnimal</v>
      </c>
      <c r="AZ378" s="2">
        <f>IF(_xlfn.XLOOKUP(_xlfn.XLOOKUP(B378,'Base stats'!B:B,'Base stats'!E:E),Groups!A:A,Groups!D:D)=1,MROUND((1-J378)*5+1,2)*IF(J378&lt;=0.4,2,1),"No")</f>
        <v>4</v>
      </c>
      <c r="BA378" s="2" t="str">
        <f>IF(AND(_xlfn.XLOOKUP(B378,'Base stats'!B:B,'Base stats'!AH:AH)="&lt;li&gt;Seal&lt;/li&gt;",G378="Odyssey"),"&lt;li&gt;AEXP_Seal&lt;/li&gt;",_xlfn.XLOOKUP(B378,'Base stats'!B:B,'Base stats'!AH:AH))</f>
        <v>&lt;li&gt;Megaspider&lt;/li&gt;</v>
      </c>
      <c r="BB378" s="2" t="str">
        <f>_xlfn.XLOOKUP(B378,'Base stats'!B:B,'Base stats'!AG:AG)</f>
        <v>Leather_Chitin</v>
      </c>
      <c r="BC378" s="23" t="str">
        <f>_xlfn.XLOOKUP(_xlfn.XLOOKUP(B378,'Base stats'!B:B,'Base stats'!E:E),Groups!A:A,Groups!AL:AL)</f>
        <v>Larva</v>
      </c>
      <c r="BD378" s="23">
        <f>MIN(1,MROUND(IF(AND(AO378&lt;0.5,_xlfn.XLOOKUP(B378,'Base stats'!B:B,'Base stats'!AA:AA)=0),0,IF(OR(_xlfn.XLOOKUP(Animals!B378,'Base stats'!B:B,'Base stats'!O:O)=2,_xlfn.XLOOKUP(_xlfn.XLOOKUP(B378,'Base stats'!B:B,'Base stats'!E:E),Groups!A:A,Groups!AN:AN)=0),0,_xlfn.XLOOKUP(_xlfn.XLOOKUP(B378,'Base stats'!B:B,'Base stats'!E:E),Groups!A:A,Groups!AN:AN)/IF(_xlfn.XLOOKUP(Animals!B378,'Base stats'!B:B,'Base stats'!O:O)=1,2,1)))+_xlfn.XLOOKUP(B378,'Base stats'!B:B,'Base stats'!AC:AC),0.005))</f>
        <v>0.1</v>
      </c>
      <c r="BE378" s="23">
        <f>MIN(1,MROUND(IF(AND(AO378&lt;0.5,_xlfn.XLOOKUP(B378,'Base stats'!B:B,'Base stats'!AA:AA)=0),0,IF(_xlfn.XLOOKUP(_xlfn.XLOOKUP(B378,'Base stats'!B:B,'Base stats'!E:E),Groups!A:A,Groups!AO:AO)=0,0,_xlfn.XLOOKUP(_xlfn.XLOOKUP(B378,'Base stats'!B:B,'Base stats'!E:E),Groups!A:A,Groups!AO:AO)/IF(_xlfn.XLOOKUP(Animals!B378,'Base stats'!B:B,'Base stats'!O:O)=2,3,1)))+_xlfn.XLOOKUP(B378,'Base stats'!B:B,'Base stats'!AD:AD),0.005))</f>
        <v>0.3</v>
      </c>
      <c r="BF378" s="2" t="str">
        <f>IF(J378&gt;0.3,"No",_xlfn.XLOOKUP(_xlfn.XLOOKUP(Animals!B378,'Base stats'!B:B,'Base stats'!E:E),Groups!A:A,Groups!AP:AP))</f>
        <v>No</v>
      </c>
      <c r="BG378" s="2" t="str">
        <f>IF(AND(J378&lt;=0.65,_xlfn.XLOOKUP(_xlfn.XLOOKUP(Animals!B378,'Base stats'!B:B,'Base stats'!E:E),Groups!A:A,Groups!AP:AP)&lt;&gt;"No",_xlfn.XLOOKUP(_xlfn.XLOOKUP(B378,'Base stats'!B:B,'Base stats'!E:E),Groups!A:A,Groups!D:D)=0),MROUND((80/3)*IF(_xlfn.XLOOKUP(B378,'Base stats'!B:B,'Base stats'!O:O)=2,0.2,AO378) + 24*(1-IF(BF378="No",0,BF378)) + 16/3, 12),"No")</f>
        <v>No</v>
      </c>
      <c r="BH378" s="2">
        <f>IF(AND(_xlfn.XLOOKUP(_xlfn.XLOOKUP(B378,'Base stats'!B:B,'Base stats'!E:E),Groups!A:A,Groups!AQ:AQ)=1,AO378&lt;=0.35),8,12)</f>
        <v>12</v>
      </c>
      <c r="BI378" s="2" t="str">
        <f>IF(_xlfn.XLOOKUP(_xlfn.XLOOKUP(B378,'Base stats'!B:B,'Base stats'!E:E),Groups!A:A,Groups!D:D)=0,_xlfn.XLOOKUP(_xlfn.XLOOKUP(B378,'Base stats'!B:B,'Base stats'!E:E),Groups!A:A,Groups!AR:AR),"None")</f>
        <v>None</v>
      </c>
      <c r="BJ378" s="2" t="str">
        <f>IF(AND(_xlfn.XLOOKUP(_xlfn.XLOOKUP(B378,'Base stats'!B:B,'Base stats'!E:E),Groups!A:A,Groups!AS:AS)=1,OR(_xlfn.XLOOKUP(B378,'Base stats'!B:B,'Base stats'!Y:Y)="Carnivore",_xlfn.XLOOKUP(B378,'Base stats'!B:B,'Base stats'!Y:Y)="Omnivore")),"true","false")</f>
        <v>false</v>
      </c>
      <c r="BK378" s="2" t="str">
        <f>IF(BJ378="true",MROUND(IF(AND(AO378&gt;0.5,OR(_xlfn.XLOOKUP(_xlfn.XLOOKUP(B378,'Base stats'!B:B,'Base stats'!E:E),Groups!A:A,Groups!AJ:AJ)="Photonozoa",_xlfn.XLOOKUP(_xlfn.XLOOKUP(B378,'Base stats'!B:B,'Base stats'!E:E),Groups!A:A,Groups!AJ:AJ)="Mammal")),Animals!AO378*1.75*IF(AW378="true",1.5,1),IF(AO378&lt;0.5,Animals!AO378*0.5,Animals!AO378)),IF(AO378&gt;2,0.5,IF(AO378&gt;0.5,0.25,0.1))),"No")</f>
        <v>No</v>
      </c>
      <c r="BL378" s="2">
        <f t="shared" ref="BL378:BL383" si="45">IF(BI378&lt;&gt;"None",1,0)</f>
        <v>0</v>
      </c>
      <c r="BM378" s="25" t="str">
        <f>IF(_xlfn.XLOOKUP(B378,'Base stats'!B:B,'Base stats'!AN:AN)="Standard","No",MROUND((_xlfn.XLOOKUP(B378,'Base stats'!B:B,'Base stats'!AN:AN)/3.6)/I378,0.1))</f>
        <v>No</v>
      </c>
      <c r="BN378" s="25" t="str">
        <f t="shared" ref="BN378:BN383" si="46">IF(OR(BM378&lt;&gt;"No",BQ378=1),"true","false")</f>
        <v>false</v>
      </c>
      <c r="BO378" s="25" t="str">
        <f>IF(AND(OR(_xlfn.XLOOKUP(B378,'Base stats'!B:B,'Base stats'!Y:Y)="Carnivore",_xlfn.XLOOKUP(B378,'Base stats'!B:B,'Base stats'!Y:Y)="Omnivore",_xlfn.XLOOKUP(B378,'Base stats'!B:B,'Base stats'!Y:Y)="OmnivoreRough"),_xlfn.XLOOKUP(_xlfn.XLOOKUP(B378,'Base stats'!B:B,'Base stats'!E:E),Groups!A:A,Groups!AT:AT)=1),"true","false")</f>
        <v>false</v>
      </c>
      <c r="BP378" s="25" t="str" cm="1">
        <f t="array" ref="BP378">IF(
  _xlfn.TEXTJOIN(", ",TRUE,
    IF(AND(BJ378="true",AO378&gt;0.5,BI378&lt;&gt;"None"),"AttackTarget",""),
    IF(AND(_xlfn.XLOOKUP(_xlfn.XLOOKUP(B378,'Base stats'!B:B,'Base stats'!E:E),Groups!A:A,Groups!AJ:AJ="Mammal"),OR(_xlfn.XLOOKUP(B378,'Base stats'!B:B,'Base stats'!Y:Y)="Omnivore",_xlfn.XLOOKUP(B378,'Base stats'!B:B,'Base stats'!Y:Y)="OmnivoreRough")),"Forage",""),
    IF(BG378&lt;=36,"Comfort",""),
    IF(_xlfn.XLOOKUP(B378,'Base stats'!B:B,'Base stats'!AE:AE)&lt;&gt;"No",_xlfn.XLOOKUP(B378,'Base stats'!B:B,'Base stats'!AE:AE),"")
  ) = "",
  "No",
  _xlfn.TEXTJOIN(", ",TRUE,
    IF(AND(BJ378="true",AO378&gt;0.5,BI378&lt;&gt;"None"),"AttackTarget",""),
    IF(AND(_xlfn.XLOOKUP(_xlfn.XLOOKUP(B378,'Base stats'!B:B,'Base stats'!E:E),Groups!A:A,Groups!AJ:AJ="Mammal"),OR(_xlfn.XLOOKUP(B378,'Base stats'!B:B,'Base stats'!Y:Y)="Omnivore",_xlfn.XLOOKUP(B378,'Base stats'!B:B,'Base stats'!Y:Y)="OmnivoreRough")),"Forage",""),
    IF(BG378&lt;=36,"Comfort",""),
    IF(_xlfn.XLOOKUP(B378,'Base stats'!B:B,'Base stats'!AE:AE)&lt;&gt;"No",_xlfn.XLOOKUP(B378,'Base stats'!B:B,'Base stats'!AE:AE),"")
  )
)</f>
        <v>No</v>
      </c>
      <c r="BQ378" s="25" t="str">
        <f>IF(
   AND(
      'Base stats'!AN378="Standard",_xlfn.XLOOKUP(_xlfn.XLOOKUP(B378,'Base stats'!B:B,'Base stats'!E:E),Groups!A:A,Groups!AU:AU)=0,
      OR(
      BO378="True"
      )
   ),
   10,
   IF(
       OR(BM378&lt;&gt;"No",_xlfn.XLOOKUP(_xlfn.XLOOKUP(B378,'Base stats'!B:B,'Base stats'!E:E),Groups!A:A,Groups!AU:AU)=1),
      1,
      "No"
   )
)</f>
        <v>No</v>
      </c>
      <c r="BR378" s="9">
        <f>MROUND((1 + ((0.2*IF(OR(Q378="No",R378="No",R378=0),0,Q378/R378)
+IF(OR(V378="No",S378="No",T378="No"),0,S378/T378*(LEN(V378)-LEN(SUBSTITUTE(V378,",",""))+1))
+IF(OR(X378="No",Y378="No"),0,X378/Y378)
+IF(OR(AD378="No",AE378="No"),0,AD378/AE378)
+IF(OR(AL378="No",AI378="No",AJ378="No"),0,AI378/AJ378*(LEN(AL378)-LEN(SUBSTITUTE(AL378,",",""))+1))
)/(0.2*IF(OR(Q378="No",R378="No",R378=0),0,1)
+IF(OR(V378="No",S378="No",T378="No"),0,LEN(V378)-LEN(SUBSTITUTE(V378,",",""))+1)
+IF(OR(X378="No",Y378="No"),0,1)
+IF(OR(AD378="No",AE378="No"),0,1)
+IF(OR(AL378="No",AI378="No",AJ378="No"),0,LEN(AL378)-LEN(SUBSTITUTE(AL378,",",""))+1))*62%)* 2)*(1 + (AP378 / (IF(_xlfn.XLOOKUP(_xlfn.XLOOKUP(B378,'Base stats'!B:B,'Base stats'!E:E),Groups!A:A,Groups!AJ:AJ)="Photonozoa",0.3,1)) + _xlfn.XLOOKUP(B378,'Base stats'!B:B,'Base stats'!AV:AV) * 1.8) * 2) * 2.5 + 10 + I378 * 2,5)+IF(_xlfn.XLOOKUP(B378,'Base stats'!B:B,'Base stats'!AK:AK)=1,50,0)</f>
        <v>135</v>
      </c>
      <c r="BS378" s="8">
        <f t="shared" ref="BS378:BS383" si="47">MROUND(AO378 * 0.2 + AQ378 * 0.8,0.05)</f>
        <v>0.25</v>
      </c>
      <c r="BT378" s="8" t="str">
        <f>_xlfn.XLOOKUP(B378,'Base stats'!B:B,'Base stats'!AF:AF)</f>
        <v>No</v>
      </c>
      <c r="BU378" s="2" t="str">
        <f>IF(AND(J378&lt;=0.95,OR(_xlfn.XLOOKUP(B378,'Base stats'!B:B,'Base stats'!AK:AK)=1,_xlfn.XLOOKUP(B378,'Base stats'!B:B,'Base stats'!Y:Y)="Carnivore",_xlfn.XLOOKUP(B378,'Base stats'!B:B,'Base stats'!Y:Y)="Omnivore",BE378&gt;0.1)),"true","false")</f>
        <v>true</v>
      </c>
      <c r="BV378" s="2" t="str">
        <f>IF(_xlfn.XLOOKUP(B378,'Base stats'!B:B,'Base stats'!AI:AI)=1,"true","false")</f>
        <v>true</v>
      </c>
      <c r="BW378" s="25" t="str">
        <f>IF(E378="BaseInsect","AnimalInsect",
IF(J378&gt;0.95,"AnimalExotic",
_xlfn.TEXTJOIN(", ",TRUE,
IF(OR(_xlfn.XLOOKUP(B378,'Base stats'!B:B,'Base stats'!AM:AM)=1,AND(_xlfn.XLOOKUP(B378,'Base stats'!B:B,'Base stats'!O:O)=0,_xlfn.XLOOKUP(_xlfn.XLOOKUP(B378,'Base stats'!B:B,'Base stats'!E:E),Groups!A:A,Groups!B:B)&gt;0)),"AnimalUncommon","AnimalCommon"),
IF(AND(_xlfn.XLOOKUP(B378,'Base stats'!B:B,'Base stats'!O:O)=2,_xlfn.XLOOKUP(_xlfn.XLOOKUP(B378,'Base stats'!B:B,'Base stats'!E:E),Groups!A:A,Groups!D:D)=0),"AnimalPet",IF(AND(_xlfn.XLOOKUP(B378,'Base stats'!B:B,'Base stats'!O:O)&lt;&gt;0,_xlfn.XLOOKUP(_xlfn.XLOOKUP(B378,'Base stats'!B:B,'Base stats'!E:E),Groups!A:A,Groups!D:D)&lt;&gt;0),"AnimalFarm","")),
IF(OR(_xlfn.XLOOKUP(B378,'Base stats'!B:B,'Base stats'!AK:AK)=1,AND(BI378&lt;&gt;"None",BR378&gt;=60),ISNUMBER(SEARCH("Attack target",BP378))),"AnimalFighter","")
)))</f>
        <v>AnimalUncommon</v>
      </c>
      <c r="BX378" s="25" t="str">
        <f>IF(G378="None",TRIM(
SUBSTITUTE(
IF(COUNTIF(Biomes!B$2:B$259,"="&amp;$C378)&gt;0,Biomes!B$1&amp;", ","")&amp;
IF(COUNTIF(Biomes!C$2:C$259,"="&amp;$C378)&gt;0,Biomes!C$1&amp;", ","")&amp;
IF(COUNTIF(Biomes!D$2:D$259,"="&amp;$C378)&gt;0,Biomes!D$1&amp;", ","")&amp;
IF(COUNTIF(Biomes!F$2:F$259,"="&amp;$C378)&gt;0,Biomes!F$1&amp;", ","")&amp;
IF(COUNTIF(Biomes!G$2:G$259,"="&amp;$C378)&gt;0,Biomes!G$1&amp;", ","")&amp;
IF(COUNTIF(Biomes!H$2:H$259,"="&amp;$C378)&gt;0,Biomes!H$1&amp;", ","")&amp;
IF(COUNTIF(Biomes!I$2:I$259,"="&amp;$C378)&gt;0,Biomes!I$1&amp;", ","")&amp;
IF(COUNTIF(Biomes!J$2:J$259,"="&amp;$C378)&gt;0,Biomes!J$1&amp;", ","")&amp;
IF(COUNTIF(Biomes!M$2:M$259,"="&amp;$C378)&gt;0,Biomes!M$1&amp;", ","")&amp;
IF(COUNTIF(Biomes!N$2:N$259,"="&amp;$C378)&gt;0,Biomes!N$1&amp;", ","")&amp;
IF(COUNTIF(Biomes!O$2:O$259,"="&amp;$C378)&gt;0,Biomes!O$1&amp;", ","")&amp;
IF(COUNTIF(Biomes!P$2:P$259,"="&amp;$C378)&gt;0,Biomes!P$1&amp;", ","")&amp;
IF(COUNTIF(Biomes!K$2:K$259,"="&amp;$C378)&gt;0,Biomes!K$1&amp;", ","")&amp;
IF(COUNTIF(Biomes!Q$3:Q$259,"="&amp;$C378)&gt;0,Biomes!Q$1&amp;", ","")&amp;
IF(COUNTIF(Biomes!L$2:L$259,"="&amp;$C378)&gt;0,Biomes!L$1&amp;", ","")&amp;
IF(COUNTIF(Biomes!E$2:E$259,"="&amp;$C378)&gt;0,Biomes!E$1&amp;", ","")&amp;IF(COUNTIF(Biomes!S$2:S$259,"="&amp;$C378)&gt;0,Biomes!S$1&amp;", ","")&amp;
IF(COUNTIF(Biomes!R$2:R$259,"="&amp;$C378)&gt;0,Biomes!R$1&amp;", ",""),", ","")
),_xlfn.XLOOKUP(B378,B:B,BX:BX))</f>
        <v/>
      </c>
      <c r="BY378" s="25" t="str">
        <f>IF(_xlfn.XLOOKUP(B378,'Base stats'!B:B,'Base stats'!AJ:AJ)=1,"true","false")</f>
        <v>false</v>
      </c>
      <c r="BZ378" s="25">
        <f>IF(_xlfn.XLOOKUP(B378,'Base stats'!B:B,'Base stats'!N:N)=1,"No",MAX(0.001,MIN(MROUND(IF(AND(BJ378="True",CC378="False"),POWER(10,3.47*LOG10(_xlfn.XLOOKUP(B378,'Base stats'!B:B,'Base stats'!C:C)*1000)^-0.96),POWER(10,4.15*LOG10(_xlfn.XLOOKUP(B378,'Base stats'!B:B,'Base stats'!C:C)*1000)^-0.73))*IF(_xlfn.XLOOKUP(B378,'Base stats'!B:B,'Base stats'!AK:AK)=1,0.5,1)*IF(_xlfn.XLOOKUP(B378,'Base stats'!B:B,'Base stats'!AM:AM)=1,0.1,1)/100,IF(_xlfn.XLOOKUP(B378,'Base stats'!B:B,'Base stats'!AM:AM)=1,0.001,0.025)),0.5)))</f>
        <v>0.22500000000000001</v>
      </c>
      <c r="CA378" s="25" t="str">
        <f>IF(P378="Standard","No",MAX(0.001,MIN(MROUND(IF(AND(BJ378="True",CC378="False"),POWER(10,3.47*LOG10(_xlfn.XLOOKUP(B378,'Base stats'!B:B,'Base stats'!C:C)*1000)^-0.96),POWER(10,4.15*LOG10(_xlfn.XLOOKUP(B378,'Base stats'!B:B,'Base stats'!C:C)*1000)^-0.73))*IF(_xlfn.XLOOKUP(B378,'Base stats'!B:B,'Base stats'!AM:AM)=1,0.1,1)*_xlfn.XLOOKUP(B378,'Base stats'!B:B,'Base stats'!R:R)/100,IF(_xlfn.XLOOKUP(B378,'Base stats'!B:B,'Base stats'!AM:AM)=1,0.001,0.025)),0.5)))</f>
        <v>No</v>
      </c>
      <c r="CB378" s="25" t="str">
        <f>IF(_xlfn.XLOOKUP(_xlfn.XLOOKUP(B378,'Base stats'!B:B,'Base stats'!E:E),Groups!A:A,Groups!AJ:AJ)="Mammal","True","False")</f>
        <v>False</v>
      </c>
      <c r="CC378" s="25" t="str">
        <f>IF(OR(_xlfn.XLOOKUP(_xlfn.XLOOKUP(B378,'Base stats'!B:B,'Base stats'!E:E),Groups!A:A,Groups!AJ:AJ)="Reptile",_xlfn.XLOOKUP(_xlfn.XLOOKUP(B378,'Base stats'!B:B,'Base stats'!E:E),Groups!A:A,Groups!AJ:AJ)="Amphibian",_xlfn.XLOOKUP(_xlfn.XLOOKUP(B378,'Base stats'!B:B,'Base stats'!E:E),Groups!A:A,Groups!AJ:AJ)="Invertebrate"),"True","False")</f>
        <v>True</v>
      </c>
      <c r="CD378" s="25" t="str">
        <f t="shared" ref="CD378:CD383" si="48">IF(J378&gt;0.95,"True","False")</f>
        <v>False</v>
      </c>
      <c r="CE378" s="25" t="str">
        <f>IF(_xlfn.XLOOKUP(_xlfn.XLOOKUP(B378,'Base stats'!B:B,'Base stats'!E:E),Groups!A:A,Groups!AX:AX),"True","False")</f>
        <v>False</v>
      </c>
      <c r="CF378" s="25" t="str">
        <f>IF(_xlfn.XLOOKUP(_xlfn.XLOOKUP(B378,'Base stats'!B:B,'Base stats'!E:E),Groups!A:A,Groups!AY:AY),"True","False")</f>
        <v>False</v>
      </c>
      <c r="CG378" s="25" t="str">
        <f>IF(_xlfn.XLOOKUP(_xlfn.XLOOKUP(B378,'Base stats'!B:B,'Base stats'!E:E),Groups!A:A,Groups!AW:AW),"True","False")</f>
        <v>False</v>
      </c>
      <c r="CH378" s="25" t="str">
        <f>IF(
OR(
_xlfn.XLOOKUP(_xlfn.XLOOKUP(B378,'Base stats'!B:B,'Base stats'!E:E),Groups!A:A,Groups!AZ:AZ)=0,
AND(
_xlfn.XLOOKUP(B378,'Base stats'!B:B,'Base stats'!Y:Y)&lt;&gt;"Carnivore",
_xlfn.XLOOKUP(B378,'Base stats'!B:B,'Base stats'!Y:Y)&lt;&gt;"Omnivore",
_xlfn.XLOOKUP(B378,'Base stats'!B:B,'Base stats'!Y:Y)&lt;&gt;"OmnivoreRough"
)
),
"No",
IF(
_xlfn.XLOOKUP(_xlfn.XLOOKUP(B378,'Base stats'!B:B,'Base stats'!E:E),Groups!A:A,Groups!AZ:AZ)=1,
"Flesh",
IF(
_xlfn.XLOOKUP(_xlfn.XLOOKUP(B378,'Base stats'!B:B,'Base stats'!E:E),Groups!A:A,Groups!AZ:AZ)=2,
"Bone",
""
)
)
)</f>
        <v>No</v>
      </c>
      <c r="CI378" s="25" t="str">
        <f>IF(_xlfn.XLOOKUP(_xlfn.XLOOKUP(B378,'Base stats'!B:B,'Base stats'!E:E),Groups!A:A,Groups!BB:BB),"True","False")</f>
        <v>False</v>
      </c>
      <c r="CJ378" s="25" t="str">
        <f>IF(_xlfn.XLOOKUP(_xlfn.XLOOKUP(B378,'Base stats'!B:B,'Base stats'!E:E),Groups!A:A,Groups!BA:BA),"True","False")</f>
        <v>False</v>
      </c>
    </row>
    <row r="379" spans="1:88" ht="16.5" thickTop="1" thickBot="1" x14ac:dyDescent="0.3">
      <c r="A379" s="26" t="s">
        <v>2068</v>
      </c>
      <c r="B379" s="6" t="str">
        <f>_xlfn.XLOOKUP(A379,'Base stats'!A:A,'Base stats'!B:B)</f>
        <v>Doedicurus clavicaudatus</v>
      </c>
      <c r="C379" s="28" t="s">
        <v>2121</v>
      </c>
      <c r="D379" s="28" t="s">
        <v>2126</v>
      </c>
      <c r="E379" s="28" t="s">
        <v>673</v>
      </c>
      <c r="F379" s="28" t="s">
        <v>673</v>
      </c>
      <c r="G379" s="28" t="s">
        <v>673</v>
      </c>
      <c r="H379" s="2">
        <f>MROUND((
  (IF(AND(_xlfn.XLOOKUP(B379,'Base stats'!B:B,'Base stats'!AL:AL)=0,BI379="None",_xlfn.XLOOKUP(_xlfn.XLOOKUP(B379,'Base stats'!B:B,'Base stats'!E:E),Groups!A:A,Groups!B:B)=0), (18 + BR379 * 2.7) * 0.5,
    IF(AND(_xlfn.XLOOKUP(B379,'Base stats'!B:B,'Base stats'!AL:AL)=0,OR(AO379&lt;0.55,AND(BI379="Intermediate",_xlfn.XLOOKUP(_xlfn.XLOOKUP(B379,'Base stats'!B:B,'Base stats'!E:E),Groups!A:A,Groups!B:B)&lt;2))), (18 + BR379 * 2.7),
      IF(OR(BI379="Advanced",_xlfn.XLOOKUP(B379,'Base stats'!B:B,'Base stats'!AL:AL)=1,_xlfn.XLOOKUP(_xlfn.XLOOKUP(B379,'Base stats'!B:B,'Base stats'!E:E),Groups!A:A,Groups!B:B)=2), (18 + BR379 * 2.7) + 250, (18 + BR379 * 2.7))
    )
  ))
  + AO379 * 80
  + IF(COUNTIF(EggMilk!K$2:K$998, A379) &gt; 0, 125, 0)
  + IF(COUNTIF(EggMilk!P$2:P$998, A379) &gt; 0, 90, 0)
  + IF(COUNTIF(EggMilk!A$2:A$998, A379) &gt; 0, 90, 0)
)
* (0.8 + 0.4 * J379)
* 0.75,25)</f>
        <v>1400</v>
      </c>
      <c r="I379" s="2">
        <f>MROUND(ROUNDDOWN(_xlfn.XLOOKUP(B379,'Base stats'!B:B,'Base stats'!L:L)/3.6/(23.3/11),1),0.5)</f>
        <v>3</v>
      </c>
      <c r="J379" s="2">
        <f>IF(OR(_xlfn.XLOOKUP(B379,'Base stats'!B:B,'Base stats'!AB:AB)=1,_xlfn.XLOOKUP(_xlfn.XLOOKUP(B379,'Base stats'!B:B,'Base stats'!E:E),Groups!A:A,Groups!C:C)="Untamable"),1,IF(_xlfn.XLOOKUP(B379,'Base stats'!B:B,'Base stats'!AL:AL)=1,0.99,MIN(MROUND((1-0.6282*EXP(-0.459*AO379))*_xlfn.XLOOKUP(_xlfn.XLOOKUP(B379,'Base stats'!B:B,'Base stats'!E:E),Groups!A:A,Groups!C:C)*IF(_xlfn.XLOOKUP(B379,'Base stats'!B:B,'Base stats'!O:O)=1,0.5,IF(_xlfn.XLOOKUP(B379,'Base stats'!B:B,'Base stats'!O:O)=2,0,1)),0.05),IF(AO379&gt;3.5,0.985,0.95))))</f>
        <v>0.9</v>
      </c>
      <c r="K379" s="2">
        <f>ROUNDUP(AO379*_xlfn.XLOOKUP(_xlfn.XLOOKUP(B379,'Base stats'!B:B,'Base stats'!E:E),Groups!A:A,Groups!E:E),0)</f>
        <v>4</v>
      </c>
      <c r="L379" s="2">
        <f>IF(OR(_xlfn.XLOOKUP(_xlfn.XLOOKUP(B379,'Base stats'!B:B,'Base stats'!E:E),Groups!A:A,Groups!F:F)=2,ISNUMBER(SEARCH("SeaIce",BX379)),ISNUMBER(SEARCH("IceSheet",BX379))),-50,IF(OR(ISNUMBER(SEARCH("GlacialPlain",BX379)),ISNUMBER(SEARCH("Tundra",BX379))),-40,IF(OR(ISNUMBER(SEARCH("Alpine",BX379)),ISNUMBER(SEARCH("BorealForest",BX379)),ISNUMBER(SEARCH("ColdBog",BX379))),-30,IF(OR(ISNUMBER(SEARCH("TemperateForest",BX379)),ISNUMBER(SEARCH("TemperateSwamp",BX379))),-20,IF(_xlfn.XLOOKUP(_xlfn.XLOOKUP(B379,'Base stats'!B:B,'Base stats'!E:E),Groups!A:A,Groups!F:F)=1,-15,IF(OR(ISNUMBER(SEARCH("Desert",BX379)),ISNUMBER(SEARCH("ExtremeDesert",BX379))),-10,IF(OR(ISNUMBER(SEARCH("Grasslands",BX379)),ISNUMBER(SEARCH("TropicalRainforest",BX379)),ISNUMBER(SEARCH("TropicalSwamp",BX379))),10,0)))))))-IF(CC379="False",MIN(IFERROR(MAX(MROUND(LOG10(_xlfn.XLOOKUP(B379,'Base stats'!B:B,'Base stats'!C:C)^(2/3))*10,5),5),5),30))-_xlfn.XLOOKUP(B379,'Base stats'!B:B,'Base stats'!P:P)+IF(CC379="True",5,0)</f>
        <v>-20</v>
      </c>
      <c r="M379" s="2">
        <f>IF(OR(_xlfn.XLOOKUP(_xlfn.XLOOKUP(B379,'Base stats'!B:B,'Base stats'!E:E),Groups!A:A,Groups!G:G)=2,ISNUMBER(SEARCH("Desert",BX379)),ISNUMBER(SEARCH("ExtremeDesert",BX379)),ISNUMBER(SEARCH("LavaField",BX379))),50,IF(ISNUMBER(SEARCH("Grasslands",BX379)),45,IF(OR(_xlfn.XLOOKUP(_xlfn.XLOOKUP(B379,'Base stats'!B:B,'Base stats'!E:E),Groups!A:A,Groups!G:G)=1,ISNUMBER(SEARCH("TropicalRainforest",BX379)),ISNUMBER(SEARCH("TropicalSwamp",BX379))),40,IF(OR(ISNUMBER(SEARCH("TemperateForest",BX379)),ISNUMBER(SEARCH("TemperateSwamp",BX379))),35,IF(OR(ISNUMBER(SEARCH("Alpine",BX379)),ISNUMBER(SEARCH("BorealForest",BX379)),ISNUMBER(SEARCH("ColdBog",BX379))),30,IF(ISNUMBER(OR(ISNUMBER(SEARCH("GlacialPlain",BX379)),SEARCH("Tundra",BX379))),25,IF(OR(ISNUMBER(SEARCH("SeaIce",BX379)),ISNUMBER(SEARCH("IceSheet",BX379)),ISNUMBER(SEARCH("TropicalSwamp",BX379))),10,35)))))))+_xlfn.XLOOKUP(B379,'Base stats'!B:B,'Base stats'!Q:Q)</f>
        <v>35</v>
      </c>
      <c r="N379" s="8">
        <f>IF(
_xlfn.XLOOKUP(
_xlfn.XLOOKUP(B379,'Base stats'!B:B,'Base stats'!E:E),
Groups!A:A,
Groups!L:L
)=1,
MIN(
MROUND(
IF(
_xlfn.XLOOKUP(B379,'Animals CE'!B:B,'Animals CE'!Z:Z)&lt;=1.5,
_xlfn.XLOOKUP(B379,'Animals CE'!B:B,'Animals CE'!Z:Z)/2+0.05,
0.8+
(_xlfn.XLOOKUP(B379,'Animals CE'!B:B,'Animals CE'!Z:Z)-1.5)
*0.02
),
0.05
),
200%
),
"No"
)</f>
        <v>0.85000000000000009</v>
      </c>
      <c r="O379" s="8">
        <f>IF(
_xlfn.XLOOKUP(
_xlfn.XLOOKUP(B379,'Base stats'!B:B,'Base stats'!E:E),
Groups!A:A,
Groups!L:L
)=1,
MIN(
MROUND(
IF(
_xlfn.XLOOKUP(B379,'Animals CE'!B:B,'Animals CE'!AA:AA)&lt;=1.5,
_xlfn.XLOOKUP(B379,'Animals CE'!B:B,'Animals CE'!AA:AA)/2+0.05,
0.8+
(_xlfn.XLOOKUP(B379,'Animals CE'!B:B,'Animals CE'!AA:AA)-1.5)
*0.02
),
0.05
),
200%
),
"No"
)</f>
        <v>0.8</v>
      </c>
      <c r="P379" s="2" t="str">
        <f>_xlfn.XLOOKUP(B379,'Base stats'!B:B,'Base stats'!R:R)</f>
        <v>Standard</v>
      </c>
      <c r="Q379" s="13">
        <f>MROUND((LOG10(_xlfn.XLOOKUP(B379,'Base stats'!B:B,'Base stats'!AR:AR))*(AO379^0.5)+(_xlfn.XLOOKUP(B379,'Base stats'!B:B,'Base stats'!AR:AR)/1000)^(2/3)+_xlfn.XLOOKUP(B379,'Base stats'!B:B,'Base stats'!BA:BA)/2)+0.5,0.5)</f>
        <v>23</v>
      </c>
      <c r="R379" s="7">
        <f>IF(Q379="No","No",MAX(1,MROUND(_xlfn.XLOOKUP(B379,'Base stats'!B:B,'Base stats'!C:C)^0.165,0.05)))</f>
        <v>3.3000000000000003</v>
      </c>
      <c r="S379" s="13" t="str">
        <f>IF(_xlfn.XLOOKUP(_xlfn.XLOOKUP(B379,'Base stats'!B:B,'Base stats'!E:E),Groups!A:A,Groups!P:P)=0,"No",MROUND((LOG10(_xlfn.XLOOKUP(B379,'Base stats'!B:B,'Base stats'!AS:AS))*(AO379^0.5)+(_xlfn.XLOOKUP(B379,'Base stats'!B:B,'Base stats'!AS:AS)/1000)^(2/3)+_xlfn.XLOOKUP(B379,'Base stats'!B:B,'Base stats'!BA:BA))+_xlfn.XLOOKUP(B379,'Base stats'!B:B,'Base stats'!AY:AY)+0.5,0.5))</f>
        <v>No</v>
      </c>
      <c r="T379" s="7" t="str">
        <f>IF(S379="No","No",MAX(_xlfn.XLOOKUP(_xlfn.XLOOKUP(B379,'Base stats'!B:B,'Base stats'!E:E),Groups!A:A,Groups!Q:Q),MROUND(_xlfn.XLOOKUP(_xlfn.XLOOKUP(B379,'Base stats'!B:B,'Base stats'!E:E),Groups!A:A,Groups!Q:Q)*_xlfn.XLOOKUP(B379,'Base stats'!B:B,'Base stats'!C:C)^0.165,0.05)))</f>
        <v>No</v>
      </c>
      <c r="U379" s="7" t="str">
        <f>IF(S379="No","No",_xlfn.XLOOKUP(_xlfn.XLOOKUP(B379,'Base stats'!B:B,'Base stats'!E:E),Groups!A:A,Groups!R:R))</f>
        <v>No</v>
      </c>
      <c r="V379" s="7" t="str">
        <f>IF(S379="No","No",_xlfn.XLOOKUP(_xlfn.XLOOKUP(B379,'Base stats'!B:B,'Base stats'!E:E),Groups!A:A,Groups!S:S))</f>
        <v>No</v>
      </c>
      <c r="W379" s="7" t="str">
        <f>IF(S379="No","No",_xlfn.XLOOKUP(_xlfn.XLOOKUP(B379,'Base stats'!B:B,'Base stats'!E:E),Groups!A:A,Groups!T:T))</f>
        <v>No</v>
      </c>
      <c r="X379" s="13">
        <f>IF(_xlfn.XLOOKUP(B379,'Base stats'!B:B,'Base stats'!W:W)="No","No",MROUND((LOG10(_xlfn.XLOOKUP(B379,'Base stats'!B:B,'Base stats'!AU:AU))*(AO379^0.5)+(_xlfn.XLOOKUP(B379,'Base stats'!B:B,'Base stats'!AU:AU)/1000)^(2/3)+_xlfn.XLOOKUP(B379,'Base stats'!B:B,'Base stats'!AZ:AZ))+0.5+IF(_xlfn.XLOOKUP(_xlfn.XLOOKUP(B379,'Base stats'!B:B,'Base stats'!E:E),Groups!A:A,Groups!U:U)&lt;&gt;3,_xlfn.XLOOKUP(B379,'Base stats'!B:B,'Base stats'!BA:BA),0),0.5))</f>
        <v>27</v>
      </c>
      <c r="Y379" s="7">
        <f>IF(X379="No","No",MAX(_xlfn.XLOOKUP(_xlfn.XLOOKUP(B379,'Base stats'!B:B,'Base stats'!E:E),Groups!A:A,Groups!V:V),MROUND(_xlfn.XLOOKUP(_xlfn.XLOOKUP(B379,'Base stats'!B:B,'Base stats'!E:E),Groups!A:A,Groups!V:V)*_xlfn.XLOOKUP(B379,'Base stats'!B:B,'Base stats'!C:C)^0.165,0.05)))</f>
        <v>2.8000000000000003</v>
      </c>
      <c r="Z379" s="7" t="str">
        <f>IF(X379="No","No",_xlfn.XLOOKUP(_xlfn.XLOOKUP(B379,'Base stats'!B:B,'Base stats'!E:E),Groups!A:A,Groups!W:W))</f>
        <v>TailAttackTool</v>
      </c>
      <c r="AA379" s="7" t="str">
        <f>IF(X379="No","No",_xlfn.XLOOKUP(_xlfn.XLOOKUP(B379,'Base stats'!B:B,'Base stats'!E:E),Groups!A:A,Groups!X:X))</f>
        <v>tail</v>
      </c>
      <c r="AB379" s="7" t="str">
        <f>IF(X379="No","No",_xlfn.XLOOKUP(_xlfn.XLOOKUP(B379,'Base stats'!B:B,'Base stats'!E:E),Groups!A:A,Groups!Y:Y))</f>
        <v>Blunt</v>
      </c>
      <c r="AC379" s="7" t="str">
        <f>_xlfn.XLOOKUP(Animals!B379,'Base stats'!B:B,'Base stats'!X:X)</f>
        <v>False</v>
      </c>
      <c r="AD379" s="13">
        <f>IF(_xlfn.XLOOKUP(B379,'Base stats'!B:B,'Base stats'!AT:AT)="No","No",MROUND((LOG10(_xlfn.XLOOKUP(B379,'Base stats'!B:B,'Base stats'!AT:AT))*(AO379^0.75)+(_xlfn.XLOOKUP(B379,'Base stats'!B:B,'Base stats'!AT:AT)/1000)^(2/3)+_xlfn.XLOOKUP(B379,'Base stats'!B:B,'Base stats'!AX:AX)+_xlfn.XLOOKUP(B379,'Base stats'!B:B,'Base stats'!BA:BA))+0.5,0.5))</f>
        <v>29</v>
      </c>
      <c r="AE379" s="7">
        <f>IF(AD379="No","No",MAX(_xlfn.XLOOKUP(_xlfn.XLOOKUP(B379,'Base stats'!B:B,'Base stats'!E:E),Groups!A:A,Groups!Z:Z),MROUND(_xlfn.XLOOKUP(_xlfn.XLOOKUP(B379,'Base stats'!B:B,'Base stats'!E:E),Groups!A:A,Groups!Z:Z)*_xlfn.XLOOKUP(B379,'Base stats'!B:B,'Base stats'!C:C)^0.165,0.05)))</f>
        <v>2.8000000000000003</v>
      </c>
      <c r="AF379" s="7" t="str">
        <f>IF(AD379="No","No",_xlfn.XLOOKUP(_xlfn.XLOOKUP(B379,'Base stats'!B:B,'Base stats'!E:E),Groups!A:A,Groups!AA:AA))</f>
        <v>Teeth</v>
      </c>
      <c r="AG379" s="7" t="str">
        <f>IF(AD379="No","No",_xlfn.XLOOKUP(_xlfn.XLOOKUP(B379,'Base stats'!B:B,'Base stats'!E:E),Groups!A:A,Groups!AB:AB))</f>
        <v>teeth</v>
      </c>
      <c r="AH379" s="7" t="str">
        <f>IF(AD379="No","No",_xlfn.XLOOKUP(_xlfn.XLOOKUP(B379,'Base stats'!B:B,'Base stats'!E:E),Groups!A:A,Groups!AC:AC))</f>
        <v>Bite</v>
      </c>
      <c r="AI379" s="13" t="str">
        <f>IF(_xlfn.XLOOKUP(_xlfn.XLOOKUP(B379,'Base stats'!B:B,'Base stats'!E:E),Groups!A:A,Groups!AD:AD)=0,"No",MROUND((LOG10(_xlfn.XLOOKUP(B379,'Base stats'!B:B,'Base stats'!AS:AS))*(AO379^0.75)+(_xlfn.XLOOKUP(B379,'Base stats'!B:B,'Base stats'!AS:AS)/1000)^(2/3)+_xlfn.XLOOKUP(B379,'Base stats'!B:B,'Base stats'!AY:AY)+_xlfn.XLOOKUP(B379,'Base stats'!B:B,'Base stats'!BA:BA))+0.5,0.5))</f>
        <v>No</v>
      </c>
      <c r="AJ379" s="7" t="str">
        <f>IF(AI379="No","No",MAX(_xlfn.XLOOKUP(_xlfn.XLOOKUP(B379,'Base stats'!B:B,'Base stats'!E:E),Groups!A:A,Groups!AE:AE),MROUND(_xlfn.XLOOKUP(_xlfn.XLOOKUP(B379,'Base stats'!B:B,'Base stats'!E:E),Groups!A:A,Groups!AE:AE)*IF(_xlfn.XLOOKUP(_xlfn.XLOOKUP(B379,'Base stats'!B:B,'Base stats'!E:E),Groups!A:A,Groups!AJ:AJ)="Photonozoa",0.6,1)*_xlfn.XLOOKUP(B379,'Base stats'!B:B,'Base stats'!C:C)^0.165,0.05)))</f>
        <v>No</v>
      </c>
      <c r="AK379" s="7" t="str">
        <f>IF(AI379="No","No",_xlfn.XLOOKUP(_xlfn.XLOOKUP(B379,'Base stats'!B:B,'Base stats'!E:E),Groups!A:A,Groups!AF:AF))</f>
        <v>No</v>
      </c>
      <c r="AL379" s="7" t="str">
        <f>IF(AI379="No","No",_xlfn.XLOOKUP(_xlfn.XLOOKUP(B379,'Base stats'!B:B,'Base stats'!E:E),Groups!A:A,Groups!AG:AG))</f>
        <v>No</v>
      </c>
      <c r="AM379" s="7" t="str">
        <f>IF(AI379="No","No",_xlfn.XLOOKUP(_xlfn.XLOOKUP(B379,'Base stats'!B:B,'Base stats'!E:E),Groups!A:A,Groups!AH:AH))</f>
        <v>No</v>
      </c>
      <c r="AN379" s="2" t="str">
        <f t="shared" si="42"/>
        <v>No</v>
      </c>
      <c r="AO379" s="2">
        <f>MROUND(IF(AND(_xlfn.XLOOKUP(B379,'Base stats'!B:B,'Base stats'!C:C)&gt;=0.5,_xlfn.XLOOKUP(B379,'Base stats'!B:B,'Base stats'!C:C)&lt;=0.8),
IF(_xlfn.XLOOKUP(B379,'Base stats'!B:B,'Base stats'!C:C)&lt;0.1,0.05,IF(_xlfn.XLOOKUP(B379,'Base stats'!B:B,'Base stats'!C:C)&lt;=70,(_xlfn.XLOOKUP(B379,'Base stats'!B:B,'Base stats'!C:C)/70)^0.426489913056526,IF(_xlfn.XLOOKUP(B379,'Base stats'!B:B,'Base stats'!C:C)&lt;=400,(_xlfn.XLOOKUP(B379,'Base stats'!B:B,'Base stats'!C:C)/70)^0.572811455315093,IF(_xlfn.XLOOKUP(B379,'Base stats'!B:B,'Base stats'!C:C)&lt;=2000,2.71391647193063*(_xlfn.XLOOKUP(B379,'Base stats'!B:B,'Base stats'!C:C)/400)^0.252459582904293,3.74314280240376*(_xlfn.XLOOKUP(B379,'Base stats'!B:B,'Base stats'!C:C)/2000)^0.357012633876913)))),
IF(_xlfn.XLOOKUP(B379,'Base stats'!B:B,'Base stats'!C:C)&lt;0.1,0.05,IF(_xlfn.XLOOKUP(B379,'Base stats'!B:B,'Base stats'!C:C)&lt;0.4,0.1,IF(_xlfn.XLOOKUP(B379,'Base stats'!B:B,'Base stats'!C:C)&lt;=70,(_xlfn.XLOOKUP(B379,'Base stats'!B:B,'Base stats'!C:C)/70)^0.445823913056526,IF(_xlfn.XLOOKUP(B379,'Base stats'!B:B,'Base stats'!C:C)&lt;=400,(_xlfn.XLOOKUP(B379,'Base stats'!B:B,'Base stats'!C:C)/70)^0.572811455315093,IF(_xlfn.XLOOKUP(B379,'Base stats'!B:B,'Base stats'!C:C)&lt;=2000,2.71391647193063*(_xlfn.XLOOKUP(B379,'Base stats'!B:B,'Base stats'!C:C)/400)^0.252459582904293,3.74314280240376*(_xlfn.XLOOKUP(B379,'Base stats'!B:B,'Base stats'!C:C)/2000)^0.357012633876913)))))),
IF(_xlfn.XLOOKUP(B379,'Base stats'!B:B,'Base stats'!C:C)&lt;0.1,0.05,IF(_xlfn.XLOOKUP(B379,'Base stats'!B:B,'Base stats'!C:C)&lt;=100,0.05,IF(_xlfn.XLOOKUP(B379,'Base stats'!B:B,'Base stats'!C:C)&lt;=250,0.1,IF(_xlfn.XLOOKUP(B379,'Base stats'!B:B,'Base stats'!C:C)&lt;=4000,0.25,0.5)))))</f>
        <v>3.75</v>
      </c>
      <c r="AP379" s="8">
        <f>MROUND(AO379*_xlfn.XLOOKUP(_xlfn.XLOOKUP(B379,'Base stats'!B:B,'Base stats'!E:E),Groups!A:A,Groups!AI:AI)*_xlfn.XLOOKUP(B379,'Base stats'!B:B,'Base stats'!Z:Z),0.05)</f>
        <v>3.75</v>
      </c>
      <c r="AQ379" s="8">
        <f>MAX(0.01,MROUND(IF(CC379="True",0.196*(AO379*100*1000)^0.889,IF(_xlfn.XLOOKUP(_xlfn.XLOOKUP(B379,'Base stats'!B:B,'Base stats'!E:E),Groups!A:A,Groups!AJ:AJ)="Bird",10.5*(AO379*100*1000)^0.681,4.82*(AO379*100*1000)^0.734))/(4.82*(1*100*1000)^0.734)/IF(AO379&lt;3.5,2,IF(AO379=3.5,1.5,1.25))*(1+0.132282374779864/(AO379^0.994035016789033+0.00905238001496948)),0.05))</f>
        <v>2.2000000000000002</v>
      </c>
      <c r="AR379" s="9">
        <f>IFERROR(MROUND(_xlfn.XLOOKUP(B379,'Base stats'!B:B,'Base stats'!H:H)/IF(_xlfn.XLOOKUP(B379,'Base stats'!B:B,'Base stats'!I:I)&lt;&gt;1,(122.5/70),1.2),IF(_xlfn.XLOOKUP(B379,'Base stats'!B:B,'Base stats'!H:H)&gt;=30,5,IF(_xlfn.XLOOKUP(B379,'Base stats'!B:B,'Base stats'!H:H)&gt;=15,3,IF(_xlfn.XLOOKUP(B379,'Base stats'!B:B,'Base stats'!H:H)&gt;=10,2,1)))),"Immortal")</f>
        <v>40</v>
      </c>
      <c r="AS379" s="35">
        <f>IFERROR(IF(OR(_xlfn.XLOOKUP(B379,'Base stats'!B:B,'Base stats'!F:F)="Atypical reproduction",_xlfn.XLOOKUP(B379,'Base stats'!B:B,'Base stats'!F:F)="Lay eggs"),"Lay eggs",MIN(20,MAX(5.5,ROUND(((_xlfn.XLOOKUP(B379,'Base stats'!B:B,'Base stats'!F:F)-25)*(14.5/615) + 5.5)*2,0)/2))),"Unknown")</f>
        <v>13</v>
      </c>
      <c r="AT379" s="8">
        <f>IF(_xlfn.XLOOKUP(B379,'Base stats'!B:B,'Base stats'!G:G)="Atypical reproduction","No",IFERROR(MAX(IF(_xlfn.XLOOKUP(B379,'Base stats'!B:B,'Base stats'!G:G)&lt;0.5,0.2,0.3),MROUND(_xlfn.XLOOKUP(B379,'Base stats'!B:B,'Base stats'!G:G)/(365/60),0.2)),"Unknown"))</f>
        <v>0.8</v>
      </c>
      <c r="AU379" s="8">
        <f t="shared" si="43"/>
        <v>0.4</v>
      </c>
      <c r="AV379" s="8">
        <f>IFERROR(IFERROR(MROUND(_xlfn.XLOOKUP(B379,'Base stats'!B:B,'Base stats'!J:J),0.1),"Lay eggs"),"Cannot breed")</f>
        <v>1</v>
      </c>
      <c r="AW379" s="2" t="str">
        <f t="shared" si="44"/>
        <v>false</v>
      </c>
      <c r="AX379" s="2" t="str">
        <f>IF(_xlfn.XLOOKUP(_xlfn.XLOOKUP(Animals!B379,'Base stats'!B:B,'Base stats'!E:E),Groups!A:A,Groups!AK:AK)=1,"true","false")</f>
        <v>false</v>
      </c>
      <c r="AY379" s="25" t="str">
        <f>IF(_xlfn.XLOOKUP(B379,'Base stats'!B:B,'Base stats'!Y:Y)="Liquor","Liquor, CarnivoreAnimalStrict",IF(AND(_xlfn.XLOOKUP(B379,'Base stats'!B:B,'Base stats'!Y:Y)="Carnivore",_xlfn.XLOOKUP(_xlfn.XLOOKUP(B379,'Base stats'!B:B,'Base stats'!E:E),Groups!A:A,Groups!AJ:AJ)="Photonozoa"),"CarnivoreAnimalStrict, OvivoreAnimal",IF(_xlfn.XLOOKUP(B379,'Base stats'!B:B,'Base stats'!Y:Y)="Carnivore","CarnivoreAnimal, OvivoreAnimal",IF(_xlfn.XLOOKUP(B379,'Base stats'!B:B,'Base stats'!Y:Y)="Dendrovore","VegetarianRoughAnimal, DendrovoreAnimal",IF(_xlfn.XLOOKUP(B379,'Base stats'!B:B,'Base stats'!Y:Y)="Herbivore","VegetarianRoughAnimal",IF(_xlfn.XLOOKUP(B379,'Base stats'!B:B,'Base stats'!Y:Y)="OmnivoreRough","OmnivoreRoughAnimal, OvivoreAnimal","OmnivoreAnimal, OvivoreAnimal"))))))</f>
        <v>VegetarianRoughAnimal</v>
      </c>
      <c r="AZ379" s="2">
        <f>IF(_xlfn.XLOOKUP(_xlfn.XLOOKUP(B379,'Base stats'!B:B,'Base stats'!E:E),Groups!A:A,Groups!D:D)=1,MROUND((1-J379)*5+1,2)*IF(J379&lt;=0.4,2,1),"No")</f>
        <v>2</v>
      </c>
      <c r="BA379" s="2" t="str">
        <f>IF(AND(_xlfn.XLOOKUP(B379,'Base stats'!B:B,'Base stats'!AH:AH)="&lt;li&gt;Seal&lt;/li&gt;",G379="Odyssey"),"&lt;li&gt;AEXP_Seal&lt;/li&gt;",_xlfn.XLOOKUP(B379,'Base stats'!B:B,'Base stats'!AH:AH))</f>
        <v>No</v>
      </c>
      <c r="BB379" s="2" t="str">
        <f>_xlfn.XLOOKUP(B379,'Base stats'!B:B,'Base stats'!AG:AG)</f>
        <v>Leather_Heavy</v>
      </c>
      <c r="BC379" s="23" t="str">
        <f>_xlfn.XLOOKUP(_xlfn.XLOOKUP(B379,'Base stats'!B:B,'Base stats'!E:E),Groups!A:A,Groups!AL:AL)</f>
        <v>QuadrupedAnimalWithPawsAndTailAttackTool</v>
      </c>
      <c r="BD379" s="23">
        <f>MIN(1,MROUND(IF(AND(AO379&lt;0.5,_xlfn.XLOOKUP(B379,'Base stats'!B:B,'Base stats'!AA:AA)=0),0,IF(OR(_xlfn.XLOOKUP(Animals!B379,'Base stats'!B:B,'Base stats'!O:O)=2,_xlfn.XLOOKUP(_xlfn.XLOOKUP(B379,'Base stats'!B:B,'Base stats'!E:E),Groups!A:A,Groups!AN:AN)=0),0,_xlfn.XLOOKUP(_xlfn.XLOOKUP(B379,'Base stats'!B:B,'Base stats'!E:E),Groups!A:A,Groups!AN:AN)/IF(_xlfn.XLOOKUP(Animals!B379,'Base stats'!B:B,'Base stats'!O:O)=1,2,1)))+_xlfn.XLOOKUP(B379,'Base stats'!B:B,'Base stats'!AC:AC),0.005))</f>
        <v>2.5000000000000001E-2</v>
      </c>
      <c r="BE379" s="23">
        <f>MIN(1,MROUND(IF(AND(AO379&lt;0.5,_xlfn.XLOOKUP(B379,'Base stats'!B:B,'Base stats'!AA:AA)=0),0,IF(_xlfn.XLOOKUP(_xlfn.XLOOKUP(B379,'Base stats'!B:B,'Base stats'!E:E),Groups!A:A,Groups!AO:AO)=0,0,_xlfn.XLOOKUP(_xlfn.XLOOKUP(B379,'Base stats'!B:B,'Base stats'!E:E),Groups!A:A,Groups!AO:AO)/IF(_xlfn.XLOOKUP(Animals!B379,'Base stats'!B:B,'Base stats'!O:O)=2,3,1)))+_xlfn.XLOOKUP(B379,'Base stats'!B:B,'Base stats'!AD:AD),0.005))</f>
        <v>0.1</v>
      </c>
      <c r="BF379" s="2" t="str">
        <f>IF(J379&gt;0.3,"No",_xlfn.XLOOKUP(_xlfn.XLOOKUP(Animals!B379,'Base stats'!B:B,'Base stats'!E:E),Groups!A:A,Groups!AP:AP))</f>
        <v>No</v>
      </c>
      <c r="BG379" s="2" t="str">
        <f>IF(AND(J379&lt;=0.65,_xlfn.XLOOKUP(_xlfn.XLOOKUP(Animals!B379,'Base stats'!B:B,'Base stats'!E:E),Groups!A:A,Groups!AP:AP)&lt;&gt;"No",_xlfn.XLOOKUP(_xlfn.XLOOKUP(B379,'Base stats'!B:B,'Base stats'!E:E),Groups!A:A,Groups!D:D)=0),MROUND((80/3)*IF(_xlfn.XLOOKUP(B379,'Base stats'!B:B,'Base stats'!O:O)=2,0.2,AO379) + 24*(1-IF(BF379="No",0,BF379)) + 16/3, 12),"No")</f>
        <v>No</v>
      </c>
      <c r="BH379" s="2">
        <f>IF(AND(_xlfn.XLOOKUP(_xlfn.XLOOKUP(B379,'Base stats'!B:B,'Base stats'!E:E),Groups!A:A,Groups!AQ:AQ)=1,AO379&lt;=0.35),8,12)</f>
        <v>12</v>
      </c>
      <c r="BI379" s="2" t="str">
        <f>IF(_xlfn.XLOOKUP(_xlfn.XLOOKUP(B379,'Base stats'!B:B,'Base stats'!E:E),Groups!A:A,Groups!D:D)=0,_xlfn.XLOOKUP(_xlfn.XLOOKUP(B379,'Base stats'!B:B,'Base stats'!E:E),Groups!A:A,Groups!AR:AR),"None")</f>
        <v>None</v>
      </c>
      <c r="BJ379" s="2" t="str">
        <f>IF(AND(_xlfn.XLOOKUP(_xlfn.XLOOKUP(B379,'Base stats'!B:B,'Base stats'!E:E),Groups!A:A,Groups!AS:AS)=1,OR(_xlfn.XLOOKUP(B379,'Base stats'!B:B,'Base stats'!Y:Y)="Carnivore",_xlfn.XLOOKUP(B379,'Base stats'!B:B,'Base stats'!Y:Y)="Omnivore")),"true","false")</f>
        <v>false</v>
      </c>
      <c r="BK379" s="2" t="str">
        <f>IF(BJ379="true",MROUND(IF(AND(AO379&gt;0.5,OR(_xlfn.XLOOKUP(_xlfn.XLOOKUP(B379,'Base stats'!B:B,'Base stats'!E:E),Groups!A:A,Groups!AJ:AJ)="Photonozoa",_xlfn.XLOOKUP(_xlfn.XLOOKUP(B379,'Base stats'!B:B,'Base stats'!E:E),Groups!A:A,Groups!AJ:AJ)="Mammal")),Animals!AO379*1.75*IF(AW379="true",1.5,1),IF(AO379&lt;0.5,Animals!AO379*0.5,Animals!AO379)),IF(AO379&gt;2,0.5,IF(AO379&gt;0.5,0.25,0.1))),"No")</f>
        <v>No</v>
      </c>
      <c r="BL379" s="2">
        <f t="shared" si="45"/>
        <v>0</v>
      </c>
      <c r="BM379" s="25" t="str">
        <f>IF(_xlfn.XLOOKUP(B379,'Base stats'!B:B,'Base stats'!AN:AN)="Standard","No",MROUND((_xlfn.XLOOKUP(B379,'Base stats'!B:B,'Base stats'!AN:AN)/3.6)/I379,0.1))</f>
        <v>No</v>
      </c>
      <c r="BN379" s="25" t="str">
        <f t="shared" si="46"/>
        <v>false</v>
      </c>
      <c r="BO379" s="25" t="str">
        <f>IF(AND(OR(_xlfn.XLOOKUP(B379,'Base stats'!B:B,'Base stats'!Y:Y)="Carnivore",_xlfn.XLOOKUP(B379,'Base stats'!B:B,'Base stats'!Y:Y)="Omnivore",_xlfn.XLOOKUP(B379,'Base stats'!B:B,'Base stats'!Y:Y)="OmnivoreRough"),_xlfn.XLOOKUP(_xlfn.XLOOKUP(B379,'Base stats'!B:B,'Base stats'!E:E),Groups!A:A,Groups!AT:AT)=1),"true","false")</f>
        <v>false</v>
      </c>
      <c r="BP379" s="25" t="str" cm="1">
        <f t="array" ref="BP379">IF(
  _xlfn.TEXTJOIN(", ",TRUE,
    IF(AND(BJ379="true",AO379&gt;0.5,BI379&lt;&gt;"None"),"AttackTarget",""),
    IF(AND(_xlfn.XLOOKUP(_xlfn.XLOOKUP(B379,'Base stats'!B:B,'Base stats'!E:E),Groups!A:A,Groups!AJ:AJ="Mammal"),OR(_xlfn.XLOOKUP(B379,'Base stats'!B:B,'Base stats'!Y:Y)="Omnivore",_xlfn.XLOOKUP(B379,'Base stats'!B:B,'Base stats'!Y:Y)="OmnivoreRough")),"Forage",""),
    IF(BG379&lt;=36,"Comfort",""),
    IF(_xlfn.XLOOKUP(B379,'Base stats'!B:B,'Base stats'!AE:AE)&lt;&gt;"No",_xlfn.XLOOKUP(B379,'Base stats'!B:B,'Base stats'!AE:AE),"")
  ) = "",
  "No",
  _xlfn.TEXTJOIN(", ",TRUE,
    IF(AND(BJ379="true",AO379&gt;0.5,BI379&lt;&gt;"None"),"AttackTarget",""),
    IF(AND(_xlfn.XLOOKUP(_xlfn.XLOOKUP(B379,'Base stats'!B:B,'Base stats'!E:E),Groups!A:A,Groups!AJ:AJ="Mammal"),OR(_xlfn.XLOOKUP(B379,'Base stats'!B:B,'Base stats'!Y:Y)="Omnivore",_xlfn.XLOOKUP(B379,'Base stats'!B:B,'Base stats'!Y:Y)="OmnivoreRough")),"Forage",""),
    IF(BG379&lt;=36,"Comfort",""),
    IF(_xlfn.XLOOKUP(B379,'Base stats'!B:B,'Base stats'!AE:AE)&lt;&gt;"No",_xlfn.XLOOKUP(B379,'Base stats'!B:B,'Base stats'!AE:AE),"")
  )
)</f>
        <v>No</v>
      </c>
      <c r="BQ379" s="25" t="str">
        <f>IF(
   AND(
      'Base stats'!AN379="Standard",_xlfn.XLOOKUP(_xlfn.XLOOKUP(B379,'Base stats'!B:B,'Base stats'!E:E),Groups!A:A,Groups!AU:AU)=0,
      OR(
      BO379="True"
      )
   ),
   10,
   IF(
       OR(BM379&lt;&gt;"No",_xlfn.XLOOKUP(_xlfn.XLOOKUP(B379,'Base stats'!B:B,'Base stats'!E:E),Groups!A:A,Groups!AU:AU)=1),
      1,
      "No"
   )
)</f>
        <v>No</v>
      </c>
      <c r="BR379" s="9">
        <f>MROUND((1 + ((0.2*IF(OR(Q379="No",R379="No",R379=0),0,Q379/R379)
+IF(OR(V379="No",S379="No",T379="No"),0,S379/T379*(LEN(V379)-LEN(SUBSTITUTE(V379,",",""))+1))
+IF(OR(X379="No",Y379="No"),0,X379/Y379)
+IF(OR(AD379="No",AE379="No"),0,AD379/AE379)
+IF(OR(AL379="No",AI379="No",AJ379="No"),0,AI379/AJ379*(LEN(AL379)-LEN(SUBSTITUTE(AL379,",",""))+1))
)/(0.2*IF(OR(Q379="No",R379="No",R379=0),0,1)
+IF(OR(V379="No",S379="No",T379="No"),0,LEN(V379)-LEN(SUBSTITUTE(V379,",",""))+1)
+IF(OR(X379="No",Y379="No"),0,1)
+IF(OR(AD379="No",AE379="No"),0,1)
+IF(OR(AL379="No",AI379="No",AJ379="No"),0,LEN(AL379)-LEN(SUBSTITUTE(AL379,",",""))+1))*62%)* 2)*(1 + (AP379 / (IF(_xlfn.XLOOKUP(_xlfn.XLOOKUP(B379,'Base stats'!B:B,'Base stats'!E:E),Groups!A:A,Groups!AJ:AJ)="Photonozoa",0.3,1)) + _xlfn.XLOOKUP(B379,'Base stats'!B:B,'Base stats'!AV:AV) * 1.8) * 2) * 2.5 + 10 + I379 * 2,5)+IF(_xlfn.XLOOKUP(B379,'Base stats'!B:B,'Base stats'!AK:AK)=1,50,0)</f>
        <v>390</v>
      </c>
      <c r="BS379" s="8">
        <f t="shared" si="47"/>
        <v>2.5</v>
      </c>
      <c r="BT379" s="8" t="str">
        <f>_xlfn.XLOOKUP(B379,'Base stats'!B:B,'Base stats'!AF:AF)</f>
        <v>No</v>
      </c>
      <c r="BU379" s="2" t="str">
        <f>IF(AND(J379&lt;=0.95,OR(_xlfn.XLOOKUP(B379,'Base stats'!B:B,'Base stats'!AK:AK)=1,_xlfn.XLOOKUP(B379,'Base stats'!B:B,'Base stats'!Y:Y)="Carnivore",_xlfn.XLOOKUP(B379,'Base stats'!B:B,'Base stats'!Y:Y)="Omnivore",BE379&gt;0.1)),"true","false")</f>
        <v>false</v>
      </c>
      <c r="BV379" s="2" t="str">
        <f>IF(_xlfn.XLOOKUP(B379,'Base stats'!B:B,'Base stats'!AI:AI)=1,"true","false")</f>
        <v>true</v>
      </c>
      <c r="BW379" s="25" t="str">
        <f>IF(E379="BaseInsect","AnimalInsect",
IF(J379&gt;0.95,"AnimalExotic",
_xlfn.TEXTJOIN(", ",TRUE,
IF(OR(_xlfn.XLOOKUP(B379,'Base stats'!B:B,'Base stats'!AM:AM)=1,AND(_xlfn.XLOOKUP(B379,'Base stats'!B:B,'Base stats'!O:O)=0,_xlfn.XLOOKUP(_xlfn.XLOOKUP(B379,'Base stats'!B:B,'Base stats'!E:E),Groups!A:A,Groups!B:B)&gt;0)),"AnimalUncommon","AnimalCommon"),
IF(AND(_xlfn.XLOOKUP(B379,'Base stats'!B:B,'Base stats'!O:O)=2,_xlfn.XLOOKUP(_xlfn.XLOOKUP(B379,'Base stats'!B:B,'Base stats'!E:E),Groups!A:A,Groups!D:D)=0),"AnimalPet",IF(AND(_xlfn.XLOOKUP(B379,'Base stats'!B:B,'Base stats'!O:O)&lt;&gt;0,_xlfn.XLOOKUP(_xlfn.XLOOKUP(B379,'Base stats'!B:B,'Base stats'!E:E),Groups!A:A,Groups!D:D)&lt;&gt;0),"AnimalFarm","")),
IF(OR(_xlfn.XLOOKUP(B379,'Base stats'!B:B,'Base stats'!AK:AK)=1,AND(BI379&lt;&gt;"None",BR379&gt;=60),ISNUMBER(SEARCH("Attack target",BP379))),"AnimalFighter","")
)))</f>
        <v>AnimalUncommon</v>
      </c>
      <c r="BX379" s="25" t="str">
        <f>IF(G379="None",TRIM(
SUBSTITUTE(
IF(COUNTIF(Biomes!B$2:B$259,"="&amp;$C379)&gt;0,Biomes!B$1&amp;", ","")&amp;
IF(COUNTIF(Biomes!C$2:C$259,"="&amp;$C379)&gt;0,Biomes!C$1&amp;", ","")&amp;
IF(COUNTIF(Biomes!D$2:D$259,"="&amp;$C379)&gt;0,Biomes!D$1&amp;", ","")&amp;
IF(COUNTIF(Biomes!F$2:F$259,"="&amp;$C379)&gt;0,Biomes!F$1&amp;", ","")&amp;
IF(COUNTIF(Biomes!G$2:G$259,"="&amp;$C379)&gt;0,Biomes!G$1&amp;", ","")&amp;
IF(COUNTIF(Biomes!H$2:H$259,"="&amp;$C379)&gt;0,Biomes!H$1&amp;", ","")&amp;
IF(COUNTIF(Biomes!I$2:I$259,"="&amp;$C379)&gt;0,Biomes!I$1&amp;", ","")&amp;
IF(COUNTIF(Biomes!J$2:J$259,"="&amp;$C379)&gt;0,Biomes!J$1&amp;", ","")&amp;
IF(COUNTIF(Biomes!M$2:M$259,"="&amp;$C379)&gt;0,Biomes!M$1&amp;", ","")&amp;
IF(COUNTIF(Biomes!N$2:N$259,"="&amp;$C379)&gt;0,Biomes!N$1&amp;", ","")&amp;
IF(COUNTIF(Biomes!O$2:O$259,"="&amp;$C379)&gt;0,Biomes!O$1&amp;", ","")&amp;
IF(COUNTIF(Biomes!P$2:P$259,"="&amp;$C379)&gt;0,Biomes!P$1&amp;", ","")&amp;
IF(COUNTIF(Biomes!K$2:K$259,"="&amp;$C379)&gt;0,Biomes!K$1&amp;", ","")&amp;
IF(COUNTIF(Biomes!Q$3:Q$259,"="&amp;$C379)&gt;0,Biomes!Q$1&amp;", ","")&amp;
IF(COUNTIF(Biomes!L$2:L$259,"="&amp;$C379)&gt;0,Biomes!L$1&amp;", ","")&amp;
IF(COUNTIF(Biomes!E$2:E$259,"="&amp;$C379)&gt;0,Biomes!E$1&amp;", ","")&amp;IF(COUNTIF(Biomes!S$2:S$259,"="&amp;$C379)&gt;0,Biomes!S$1&amp;", ","")&amp;
IF(COUNTIF(Biomes!R$2:R$259,"="&amp;$C379)&gt;0,Biomes!R$1&amp;", ",""),", ","")
),_xlfn.XLOOKUP(B379,B:B,BX:BX))</f>
        <v/>
      </c>
      <c r="BY379" s="25" t="str">
        <f>IF(_xlfn.XLOOKUP(B379,'Base stats'!B:B,'Base stats'!AJ:AJ)=1,"true","false")</f>
        <v>false</v>
      </c>
      <c r="BZ379" s="25">
        <f>IF(_xlfn.XLOOKUP(B379,'Base stats'!B:B,'Base stats'!N:N)=1,"No",MAX(0.001,MIN(MROUND(IF(AND(BJ379="True",CC379="False"),POWER(10,3.47*LOG10(_xlfn.XLOOKUP(B379,'Base stats'!B:B,'Base stats'!C:C)*1000)^-0.96),POWER(10,4.15*LOG10(_xlfn.XLOOKUP(B379,'Base stats'!B:B,'Base stats'!C:C)*1000)^-0.73))*IF(_xlfn.XLOOKUP(B379,'Base stats'!B:B,'Base stats'!AK:AK)=1,0.5,1)*IF(_xlfn.XLOOKUP(B379,'Base stats'!B:B,'Base stats'!AM:AM)=1,0.1,1)/100,IF(_xlfn.XLOOKUP(B379,'Base stats'!B:B,'Base stats'!AM:AM)=1,0.001,0.025)),0.5)))</f>
        <v>0.125</v>
      </c>
      <c r="CA379" s="25" t="str">
        <f>IF(P379="Standard","No",MAX(0.001,MIN(MROUND(IF(AND(BJ379="True",CC379="False"),POWER(10,3.47*LOG10(_xlfn.XLOOKUP(B379,'Base stats'!B:B,'Base stats'!C:C)*1000)^-0.96),POWER(10,4.15*LOG10(_xlfn.XLOOKUP(B379,'Base stats'!B:B,'Base stats'!C:C)*1000)^-0.73))*IF(_xlfn.XLOOKUP(B379,'Base stats'!B:B,'Base stats'!AM:AM)=1,0.1,1)*_xlfn.XLOOKUP(B379,'Base stats'!B:B,'Base stats'!R:R)/100,IF(_xlfn.XLOOKUP(B379,'Base stats'!B:B,'Base stats'!AM:AM)=1,0.001,0.025)),0.5)))</f>
        <v>No</v>
      </c>
      <c r="CB379" s="25" t="str">
        <f>IF(_xlfn.XLOOKUP(_xlfn.XLOOKUP(B379,'Base stats'!B:B,'Base stats'!E:E),Groups!A:A,Groups!AJ:AJ)="Mammal","True","False")</f>
        <v>True</v>
      </c>
      <c r="CC379" s="25" t="str">
        <f>IF(OR(_xlfn.XLOOKUP(_xlfn.XLOOKUP(B379,'Base stats'!B:B,'Base stats'!E:E),Groups!A:A,Groups!AJ:AJ)="Reptile",_xlfn.XLOOKUP(_xlfn.XLOOKUP(B379,'Base stats'!B:B,'Base stats'!E:E),Groups!A:A,Groups!AJ:AJ)="Amphibian",_xlfn.XLOOKUP(_xlfn.XLOOKUP(B379,'Base stats'!B:B,'Base stats'!E:E),Groups!A:A,Groups!AJ:AJ)="Invertebrate"),"True","False")</f>
        <v>False</v>
      </c>
      <c r="CD379" s="25" t="str">
        <f t="shared" si="48"/>
        <v>False</v>
      </c>
      <c r="CE379" s="25" t="str">
        <f>IF(_xlfn.XLOOKUP(_xlfn.XLOOKUP(B379,'Base stats'!B:B,'Base stats'!E:E),Groups!A:A,Groups!AX:AX),"True","False")</f>
        <v>False</v>
      </c>
      <c r="CF379" s="25" t="str">
        <f>IF(_xlfn.XLOOKUP(_xlfn.XLOOKUP(B379,'Base stats'!B:B,'Base stats'!E:E),Groups!A:A,Groups!AY:AY),"True","False")</f>
        <v>False</v>
      </c>
      <c r="CG379" s="25" t="str">
        <f>IF(_xlfn.XLOOKUP(_xlfn.XLOOKUP(B379,'Base stats'!B:B,'Base stats'!E:E),Groups!A:A,Groups!AW:AW),"True","False")</f>
        <v>False</v>
      </c>
      <c r="CH379" s="25" t="str">
        <f>IF(
OR(
_xlfn.XLOOKUP(_xlfn.XLOOKUP(B379,'Base stats'!B:B,'Base stats'!E:E),Groups!A:A,Groups!AZ:AZ)=0,
AND(
_xlfn.XLOOKUP(B379,'Base stats'!B:B,'Base stats'!Y:Y)&lt;&gt;"Carnivore",
_xlfn.XLOOKUP(B379,'Base stats'!B:B,'Base stats'!Y:Y)&lt;&gt;"Omnivore",
_xlfn.XLOOKUP(B379,'Base stats'!B:B,'Base stats'!Y:Y)&lt;&gt;"OmnivoreRough"
)
),
"No",
IF(
_xlfn.XLOOKUP(_xlfn.XLOOKUP(B379,'Base stats'!B:B,'Base stats'!E:E),Groups!A:A,Groups!AZ:AZ)=1,
"Flesh",
IF(
_xlfn.XLOOKUP(_xlfn.XLOOKUP(B379,'Base stats'!B:B,'Base stats'!E:E),Groups!A:A,Groups!AZ:AZ)=2,
"Bone",
""
)
)
)</f>
        <v>No</v>
      </c>
      <c r="CI379" s="25" t="str">
        <f>IF(_xlfn.XLOOKUP(_xlfn.XLOOKUP(B379,'Base stats'!B:B,'Base stats'!E:E),Groups!A:A,Groups!BB:BB),"True","False")</f>
        <v>True</v>
      </c>
      <c r="CJ379" s="25" t="str">
        <f>IF(_xlfn.XLOOKUP(_xlfn.XLOOKUP(B379,'Base stats'!B:B,'Base stats'!E:E),Groups!A:A,Groups!BA:BA),"True","False")</f>
        <v>False</v>
      </c>
    </row>
    <row r="380" spans="1:88" ht="16.5" thickTop="1" thickBot="1" x14ac:dyDescent="0.3">
      <c r="A380" s="26" t="s">
        <v>2069</v>
      </c>
      <c r="B380" s="6" t="str">
        <f>_xlfn.XLOOKUP(A380,'Base stats'!A:A,'Base stats'!B:B)</f>
        <v>Daeodon shoshonensis</v>
      </c>
      <c r="C380" s="28" t="s">
        <v>2122</v>
      </c>
      <c r="D380" s="28" t="s">
        <v>2126</v>
      </c>
      <c r="E380" s="28" t="s">
        <v>673</v>
      </c>
      <c r="F380" s="28" t="s">
        <v>673</v>
      </c>
      <c r="G380" s="28" t="s">
        <v>673</v>
      </c>
      <c r="H380" s="2">
        <f>MROUND((
  (IF(AND(_xlfn.XLOOKUP(B380,'Base stats'!B:B,'Base stats'!AL:AL)=0,BI380="None",_xlfn.XLOOKUP(_xlfn.XLOOKUP(B380,'Base stats'!B:B,'Base stats'!E:E),Groups!A:A,Groups!B:B)=0), (18 + BR380 * 2.7) * 0.5,
    IF(AND(_xlfn.XLOOKUP(B380,'Base stats'!B:B,'Base stats'!AL:AL)=0,OR(AO380&lt;0.55,AND(BI380="Intermediate",_xlfn.XLOOKUP(_xlfn.XLOOKUP(B380,'Base stats'!B:B,'Base stats'!E:E),Groups!A:A,Groups!B:B)&lt;2))), (18 + BR380 * 2.7),
      IF(OR(BI380="Advanced",_xlfn.XLOOKUP(B380,'Base stats'!B:B,'Base stats'!AL:AL)=1,_xlfn.XLOOKUP(_xlfn.XLOOKUP(B380,'Base stats'!B:B,'Base stats'!E:E),Groups!A:A,Groups!B:B)=2), (18 + BR380 * 2.7) + 250, (18 + BR380 * 2.7))
    )
  ))
  + AO380 * 80
  + IF(COUNTIF(EggMilk!K$2:K$998, A380) &gt; 0, 125, 0)
  + IF(COUNTIF(EggMilk!P$2:P$998, A380) &gt; 0, 90, 0)
  + IF(COUNTIF(EggMilk!A$2:A$998, A380) &gt; 0, 90, 0)
)
* (0.8 + 0.4 * J380)
* 0.75,25)</f>
        <v>1000</v>
      </c>
      <c r="I380" s="2">
        <f>MROUND(ROUNDDOWN(_xlfn.XLOOKUP(B380,'Base stats'!B:B,'Base stats'!L:L)/3.6/(23.3/11),1),0.5)</f>
        <v>5</v>
      </c>
      <c r="J380" s="2">
        <f>IF(OR(_xlfn.XLOOKUP(B380,'Base stats'!B:B,'Base stats'!AB:AB)=1,_xlfn.XLOOKUP(_xlfn.XLOOKUP(B380,'Base stats'!B:B,'Base stats'!E:E),Groups!A:A,Groups!C:C)="Untamable"),1,IF(_xlfn.XLOOKUP(B380,'Base stats'!B:B,'Base stats'!AL:AL)=1,0.99,MIN(MROUND((1-0.6282*EXP(-0.459*AO380))*_xlfn.XLOOKUP(_xlfn.XLOOKUP(B380,'Base stats'!B:B,'Base stats'!E:E),Groups!A:A,Groups!C:C)*IF(_xlfn.XLOOKUP(B380,'Base stats'!B:B,'Base stats'!O:O)=1,0.5,IF(_xlfn.XLOOKUP(B380,'Base stats'!B:B,'Base stats'!O:O)=2,0,1)),0.05),IF(AO380&gt;3.5,0.985,0.95))))</f>
        <v>0.85000000000000009</v>
      </c>
      <c r="K380" s="2">
        <f>ROUNDUP(AO380*_xlfn.XLOOKUP(_xlfn.XLOOKUP(B380,'Base stats'!B:B,'Base stats'!E:E),Groups!A:A,Groups!E:E),0)</f>
        <v>17</v>
      </c>
      <c r="L380" s="2">
        <f>IF(OR(_xlfn.XLOOKUP(_xlfn.XLOOKUP(B380,'Base stats'!B:B,'Base stats'!E:E),Groups!A:A,Groups!F:F)=2,ISNUMBER(SEARCH("SeaIce",BX380)),ISNUMBER(SEARCH("IceSheet",BX380))),-50,IF(OR(ISNUMBER(SEARCH("GlacialPlain",BX380)),ISNUMBER(SEARCH("Tundra",BX380))),-40,IF(OR(ISNUMBER(SEARCH("Alpine",BX380)),ISNUMBER(SEARCH("BorealForest",BX380)),ISNUMBER(SEARCH("ColdBog",BX380))),-30,IF(OR(ISNUMBER(SEARCH("TemperateForest",BX380)),ISNUMBER(SEARCH("TemperateSwamp",BX380))),-20,IF(_xlfn.XLOOKUP(_xlfn.XLOOKUP(B380,'Base stats'!B:B,'Base stats'!E:E),Groups!A:A,Groups!F:F)=1,-15,IF(OR(ISNUMBER(SEARCH("Desert",BX380)),ISNUMBER(SEARCH("ExtremeDesert",BX380))),-10,IF(OR(ISNUMBER(SEARCH("Grasslands",BX380)),ISNUMBER(SEARCH("TropicalRainforest",BX380)),ISNUMBER(SEARCH("TropicalSwamp",BX380))),10,0)))))))-IF(CC380="False",MIN(IFERROR(MAX(MROUND(LOG10(_xlfn.XLOOKUP(B380,'Base stats'!B:B,'Base stats'!C:C)^(2/3))*10,5),5),5),30))-_xlfn.XLOOKUP(B380,'Base stats'!B:B,'Base stats'!P:P)+IF(CC380="True",5,0)</f>
        <v>-20</v>
      </c>
      <c r="M380" s="2">
        <f>IF(OR(_xlfn.XLOOKUP(_xlfn.XLOOKUP(B380,'Base stats'!B:B,'Base stats'!E:E),Groups!A:A,Groups!G:G)=2,ISNUMBER(SEARCH("Desert",BX380)),ISNUMBER(SEARCH("ExtremeDesert",BX380)),ISNUMBER(SEARCH("LavaField",BX380))),50,IF(ISNUMBER(SEARCH("Grasslands",BX380)),45,IF(OR(_xlfn.XLOOKUP(_xlfn.XLOOKUP(B380,'Base stats'!B:B,'Base stats'!E:E),Groups!A:A,Groups!G:G)=1,ISNUMBER(SEARCH("TropicalRainforest",BX380)),ISNUMBER(SEARCH("TropicalSwamp",BX380))),40,IF(OR(ISNUMBER(SEARCH("TemperateForest",BX380)),ISNUMBER(SEARCH("TemperateSwamp",BX380))),35,IF(OR(ISNUMBER(SEARCH("Alpine",BX380)),ISNUMBER(SEARCH("BorealForest",BX380)),ISNUMBER(SEARCH("ColdBog",BX380))),30,IF(ISNUMBER(OR(ISNUMBER(SEARCH("GlacialPlain",BX380)),SEARCH("Tundra",BX380))),25,IF(OR(ISNUMBER(SEARCH("SeaIce",BX380)),ISNUMBER(SEARCH("IceSheet",BX380)),ISNUMBER(SEARCH("TropicalSwamp",BX380))),10,35)))))))+_xlfn.XLOOKUP(B380,'Base stats'!B:B,'Base stats'!Q:Q)</f>
        <v>35</v>
      </c>
      <c r="N380" s="8" t="str">
        <f>IF(
_xlfn.XLOOKUP(
_xlfn.XLOOKUP(B380,'Base stats'!B:B,'Base stats'!E:E),
Groups!A:A,
Groups!L:L
)=1,
MIN(
MROUND(
IF(
_xlfn.XLOOKUP(B380,'Animals CE'!B:B,'Animals CE'!Z:Z)&lt;=1.5,
_xlfn.XLOOKUP(B380,'Animals CE'!B:B,'Animals CE'!Z:Z)/2+0.05,
0.8+
(_xlfn.XLOOKUP(B380,'Animals CE'!B:B,'Animals CE'!Z:Z)-1.5)
*0.02
),
0.05
),
200%
),
"No"
)</f>
        <v>No</v>
      </c>
      <c r="O380" s="8" t="str">
        <f>IF(
_xlfn.XLOOKUP(
_xlfn.XLOOKUP(B380,'Base stats'!B:B,'Base stats'!E:E),
Groups!A:A,
Groups!L:L
)=1,
MIN(
MROUND(
IF(
_xlfn.XLOOKUP(B380,'Animals CE'!B:B,'Animals CE'!AA:AA)&lt;=1.5,
_xlfn.XLOOKUP(B380,'Animals CE'!B:B,'Animals CE'!AA:AA)/2+0.05,
0.8+
(_xlfn.XLOOKUP(B380,'Animals CE'!B:B,'Animals CE'!AA:AA)-1.5)
*0.02
),
0.05
),
200%
),
"No"
)</f>
        <v>No</v>
      </c>
      <c r="P380" s="2" t="str">
        <f>_xlfn.XLOOKUP(B380,'Base stats'!B:B,'Base stats'!R:R)</f>
        <v>Standard</v>
      </c>
      <c r="Q380" s="13">
        <f>MROUND((LOG10(_xlfn.XLOOKUP(B380,'Base stats'!B:B,'Base stats'!AR:AR))*(AO380^0.5)+(_xlfn.XLOOKUP(B380,'Base stats'!B:B,'Base stats'!AR:AR)/1000)^(2/3)+_xlfn.XLOOKUP(B380,'Base stats'!B:B,'Base stats'!BA:BA)/2)+0.5,0.5)</f>
        <v>18.5</v>
      </c>
      <c r="R380" s="7">
        <f>IF(Q380="No","No",MAX(1,MROUND(_xlfn.XLOOKUP(B380,'Base stats'!B:B,'Base stats'!C:C)^0.165,0.05)))</f>
        <v>3</v>
      </c>
      <c r="S380" s="13" t="str">
        <f>IF(_xlfn.XLOOKUP(_xlfn.XLOOKUP(B380,'Base stats'!B:B,'Base stats'!E:E),Groups!A:A,Groups!P:P)=0,"No",MROUND((LOG10(_xlfn.XLOOKUP(B380,'Base stats'!B:B,'Base stats'!AS:AS))*(AO380^0.5)+(_xlfn.XLOOKUP(B380,'Base stats'!B:B,'Base stats'!AS:AS)/1000)^(2/3)+_xlfn.XLOOKUP(B380,'Base stats'!B:B,'Base stats'!BA:BA))+_xlfn.XLOOKUP(B380,'Base stats'!B:B,'Base stats'!AY:AY)+0.5,0.5))</f>
        <v>No</v>
      </c>
      <c r="T380" s="7" t="str">
        <f>IF(S380="No","No",MAX(_xlfn.XLOOKUP(_xlfn.XLOOKUP(B380,'Base stats'!B:B,'Base stats'!E:E),Groups!A:A,Groups!Q:Q),MROUND(_xlfn.XLOOKUP(_xlfn.XLOOKUP(B380,'Base stats'!B:B,'Base stats'!E:E),Groups!A:A,Groups!Q:Q)*_xlfn.XLOOKUP(B380,'Base stats'!B:B,'Base stats'!C:C)^0.165,0.05)))</f>
        <v>No</v>
      </c>
      <c r="U380" s="7" t="str">
        <f>IF(S380="No","No",_xlfn.XLOOKUP(_xlfn.XLOOKUP(B380,'Base stats'!B:B,'Base stats'!E:E),Groups!A:A,Groups!R:R))</f>
        <v>No</v>
      </c>
      <c r="V380" s="7" t="str">
        <f>IF(S380="No","No",_xlfn.XLOOKUP(_xlfn.XLOOKUP(B380,'Base stats'!B:B,'Base stats'!E:E),Groups!A:A,Groups!S:S))</f>
        <v>No</v>
      </c>
      <c r="W380" s="7" t="str">
        <f>IF(S380="No","No",_xlfn.XLOOKUP(_xlfn.XLOOKUP(B380,'Base stats'!B:B,'Base stats'!E:E),Groups!A:A,Groups!T:T))</f>
        <v>No</v>
      </c>
      <c r="X380" s="13" t="str">
        <f>IF(_xlfn.XLOOKUP(B380,'Base stats'!B:B,'Base stats'!W:W)="No","No",MROUND((LOG10(_xlfn.XLOOKUP(B380,'Base stats'!B:B,'Base stats'!AU:AU))*(AO380^0.5)+(_xlfn.XLOOKUP(B380,'Base stats'!B:B,'Base stats'!AU:AU)/1000)^(2/3)+_xlfn.XLOOKUP(B380,'Base stats'!B:B,'Base stats'!AZ:AZ))+0.5+IF(_xlfn.XLOOKUP(_xlfn.XLOOKUP(B380,'Base stats'!B:B,'Base stats'!E:E),Groups!A:A,Groups!U:U)&lt;&gt;3,_xlfn.XLOOKUP(B380,'Base stats'!B:B,'Base stats'!BA:BA),0),0.5))</f>
        <v>No</v>
      </c>
      <c r="Y380" s="7" t="str">
        <f>IF(X380="No","No",MAX(_xlfn.XLOOKUP(_xlfn.XLOOKUP(B380,'Base stats'!B:B,'Base stats'!E:E),Groups!A:A,Groups!V:V),MROUND(_xlfn.XLOOKUP(_xlfn.XLOOKUP(B380,'Base stats'!B:B,'Base stats'!E:E),Groups!A:A,Groups!V:V)*_xlfn.XLOOKUP(B380,'Base stats'!B:B,'Base stats'!C:C)^0.165,0.05)))</f>
        <v>No</v>
      </c>
      <c r="Z380" s="7" t="str">
        <f>IF(X380="No","No",_xlfn.XLOOKUP(_xlfn.XLOOKUP(B380,'Base stats'!B:B,'Base stats'!E:E),Groups!A:A,Groups!W:W))</f>
        <v>No</v>
      </c>
      <c r="AA380" s="7" t="str">
        <f>IF(X380="No","No",_xlfn.XLOOKUP(_xlfn.XLOOKUP(B380,'Base stats'!B:B,'Base stats'!E:E),Groups!A:A,Groups!X:X))</f>
        <v>No</v>
      </c>
      <c r="AB380" s="7" t="str">
        <f>IF(X380="No","No",_xlfn.XLOOKUP(_xlfn.XLOOKUP(B380,'Base stats'!B:B,'Base stats'!E:E),Groups!A:A,Groups!Y:Y))</f>
        <v>No</v>
      </c>
      <c r="AC380" s="7" t="str">
        <f>_xlfn.XLOOKUP(Animals!B380,'Base stats'!B:B,'Base stats'!X:X)</f>
        <v>False</v>
      </c>
      <c r="AD380" s="13">
        <f>IF(_xlfn.XLOOKUP(B380,'Base stats'!B:B,'Base stats'!AT:AT)="No","No",MROUND((LOG10(_xlfn.XLOOKUP(B380,'Base stats'!B:B,'Base stats'!AT:AT))*(AO380^0.75)+(_xlfn.XLOOKUP(B380,'Base stats'!B:B,'Base stats'!AT:AT)/1000)^(2/3)+_xlfn.XLOOKUP(B380,'Base stats'!B:B,'Base stats'!AX:AX)+_xlfn.XLOOKUP(B380,'Base stats'!B:B,'Base stats'!BA:BA))+0.5,0.5))</f>
        <v>30.5</v>
      </c>
      <c r="AE380" s="7">
        <f>IF(AD380="No","No",MAX(_xlfn.XLOOKUP(_xlfn.XLOOKUP(B380,'Base stats'!B:B,'Base stats'!E:E),Groups!A:A,Groups!Z:Z),MROUND(_xlfn.XLOOKUP(_xlfn.XLOOKUP(B380,'Base stats'!B:B,'Base stats'!E:E),Groups!A:A,Groups!Z:Z)*_xlfn.XLOOKUP(B380,'Base stats'!B:B,'Base stats'!C:C)^0.165,0.05)))</f>
        <v>3.3000000000000003</v>
      </c>
      <c r="AF380" s="7" t="str">
        <f>IF(AD380="No","No",_xlfn.XLOOKUP(_xlfn.XLOOKUP(B380,'Base stats'!B:B,'Base stats'!E:E),Groups!A:A,Groups!AA:AA))</f>
        <v>Teeth</v>
      </c>
      <c r="AG380" s="7" t="str">
        <f>IF(AD380="No","No",_xlfn.XLOOKUP(_xlfn.XLOOKUP(B380,'Base stats'!B:B,'Base stats'!E:E),Groups!A:A,Groups!AB:AB))</f>
        <v>teeth</v>
      </c>
      <c r="AH380" s="7" t="str">
        <f>IF(AD380="No","No",_xlfn.XLOOKUP(_xlfn.XLOOKUP(B380,'Base stats'!B:B,'Base stats'!E:E),Groups!A:A,Groups!AC:AC))</f>
        <v>Bite</v>
      </c>
      <c r="AI380" s="13" t="str">
        <f>IF(_xlfn.XLOOKUP(_xlfn.XLOOKUP(B380,'Base stats'!B:B,'Base stats'!E:E),Groups!A:A,Groups!AD:AD)=0,"No",MROUND((LOG10(_xlfn.XLOOKUP(B380,'Base stats'!B:B,'Base stats'!AS:AS))*(AO380^0.75)+(_xlfn.XLOOKUP(B380,'Base stats'!B:B,'Base stats'!AS:AS)/1000)^(2/3)+_xlfn.XLOOKUP(B380,'Base stats'!B:B,'Base stats'!AY:AY)+_xlfn.XLOOKUP(B380,'Base stats'!B:B,'Base stats'!BA:BA))+0.5,0.5))</f>
        <v>No</v>
      </c>
      <c r="AJ380" s="7" t="str">
        <f>IF(AI380="No","No",MAX(_xlfn.XLOOKUP(_xlfn.XLOOKUP(B380,'Base stats'!B:B,'Base stats'!E:E),Groups!A:A,Groups!AE:AE),MROUND(_xlfn.XLOOKUP(_xlfn.XLOOKUP(B380,'Base stats'!B:B,'Base stats'!E:E),Groups!A:A,Groups!AE:AE)*IF(_xlfn.XLOOKUP(_xlfn.XLOOKUP(B380,'Base stats'!B:B,'Base stats'!E:E),Groups!A:A,Groups!AJ:AJ)="Photonozoa",0.6,1)*_xlfn.XLOOKUP(B380,'Base stats'!B:B,'Base stats'!C:C)^0.165,0.05)))</f>
        <v>No</v>
      </c>
      <c r="AK380" s="7" t="str">
        <f>IF(AI380="No","No",_xlfn.XLOOKUP(_xlfn.XLOOKUP(B380,'Base stats'!B:B,'Base stats'!E:E),Groups!A:A,Groups!AF:AF))</f>
        <v>No</v>
      </c>
      <c r="AL380" s="7" t="str">
        <f>IF(AI380="No","No",_xlfn.XLOOKUP(_xlfn.XLOOKUP(B380,'Base stats'!B:B,'Base stats'!E:E),Groups!A:A,Groups!AG:AG))</f>
        <v>No</v>
      </c>
      <c r="AM380" s="7" t="str">
        <f>IF(AI380="No","No",_xlfn.XLOOKUP(_xlfn.XLOOKUP(B380,'Base stats'!B:B,'Base stats'!E:E),Groups!A:A,Groups!AH:AH))</f>
        <v>No</v>
      </c>
      <c r="AN380" s="2" t="str">
        <f t="shared" si="42"/>
        <v>No</v>
      </c>
      <c r="AO380" s="2">
        <f>MROUND(IF(AND(_xlfn.XLOOKUP(B380,'Base stats'!B:B,'Base stats'!C:C)&gt;=0.5,_xlfn.XLOOKUP(B380,'Base stats'!B:B,'Base stats'!C:C)&lt;=0.8),
IF(_xlfn.XLOOKUP(B380,'Base stats'!B:B,'Base stats'!C:C)&lt;0.1,0.05,IF(_xlfn.XLOOKUP(B380,'Base stats'!B:B,'Base stats'!C:C)&lt;=70,(_xlfn.XLOOKUP(B380,'Base stats'!B:B,'Base stats'!C:C)/70)^0.426489913056526,IF(_xlfn.XLOOKUP(B380,'Base stats'!B:B,'Base stats'!C:C)&lt;=400,(_xlfn.XLOOKUP(B380,'Base stats'!B:B,'Base stats'!C:C)/70)^0.572811455315093,IF(_xlfn.XLOOKUP(B380,'Base stats'!B:B,'Base stats'!C:C)&lt;=2000,2.71391647193063*(_xlfn.XLOOKUP(B380,'Base stats'!B:B,'Base stats'!C:C)/400)^0.252459582904293,3.74314280240376*(_xlfn.XLOOKUP(B380,'Base stats'!B:B,'Base stats'!C:C)/2000)^0.357012633876913)))),
IF(_xlfn.XLOOKUP(B380,'Base stats'!B:B,'Base stats'!C:C)&lt;0.1,0.05,IF(_xlfn.XLOOKUP(B380,'Base stats'!B:B,'Base stats'!C:C)&lt;0.4,0.1,IF(_xlfn.XLOOKUP(B380,'Base stats'!B:B,'Base stats'!C:C)&lt;=70,(_xlfn.XLOOKUP(B380,'Base stats'!B:B,'Base stats'!C:C)/70)^0.445823913056526,IF(_xlfn.XLOOKUP(B380,'Base stats'!B:B,'Base stats'!C:C)&lt;=400,(_xlfn.XLOOKUP(B380,'Base stats'!B:B,'Base stats'!C:C)/70)^0.572811455315093,IF(_xlfn.XLOOKUP(B380,'Base stats'!B:B,'Base stats'!C:C)&lt;=2000,2.71391647193063*(_xlfn.XLOOKUP(B380,'Base stats'!B:B,'Base stats'!C:C)/400)^0.252459582904293,3.74314280240376*(_xlfn.XLOOKUP(B380,'Base stats'!B:B,'Base stats'!C:C)/2000)^0.357012633876913)))))),
IF(_xlfn.XLOOKUP(B380,'Base stats'!B:B,'Base stats'!C:C)&lt;0.1,0.05,IF(_xlfn.XLOOKUP(B380,'Base stats'!B:B,'Base stats'!C:C)&lt;=100,0.05,IF(_xlfn.XLOOKUP(B380,'Base stats'!B:B,'Base stats'!C:C)&lt;=250,0.1,IF(_xlfn.XLOOKUP(B380,'Base stats'!B:B,'Base stats'!C:C)&lt;=4000,0.25,0.5)))))</f>
        <v>3.25</v>
      </c>
      <c r="AP380" s="8">
        <f>MROUND(AO380*_xlfn.XLOOKUP(_xlfn.XLOOKUP(B380,'Base stats'!B:B,'Base stats'!E:E),Groups!A:A,Groups!AI:AI)*_xlfn.XLOOKUP(B380,'Base stats'!B:B,'Base stats'!Z:Z),0.05)</f>
        <v>3.25</v>
      </c>
      <c r="AQ380" s="8">
        <f>MAX(0.01,MROUND(IF(CC380="True",0.196*(AO380*100*1000)^0.889,IF(_xlfn.XLOOKUP(_xlfn.XLOOKUP(B380,'Base stats'!B:B,'Base stats'!E:E),Groups!A:A,Groups!AJ:AJ)="Bird",10.5*(AO380*100*1000)^0.681,4.82*(AO380*100*1000)^0.734))/(4.82*(1*100*1000)^0.734)/IF(AO380&lt;3.5,2,IF(AO380=3.5,1.5,1.25))*(1+0.132282374779864/(AO380^0.994035016789033+0.00905238001496948)),0.05))</f>
        <v>1.25</v>
      </c>
      <c r="AR380" s="9">
        <f>IFERROR(MROUND(_xlfn.XLOOKUP(B380,'Base stats'!B:B,'Base stats'!H:H)/IF(_xlfn.XLOOKUP(B380,'Base stats'!B:B,'Base stats'!I:I)&lt;&gt;1,(122.5/70),1.2),IF(_xlfn.XLOOKUP(B380,'Base stats'!B:B,'Base stats'!H:H)&gt;=30,5,IF(_xlfn.XLOOKUP(B380,'Base stats'!B:B,'Base stats'!H:H)&gt;=15,3,IF(_xlfn.XLOOKUP(B380,'Base stats'!B:B,'Base stats'!H:H)&gt;=10,2,1)))),"Immortal")</f>
        <v>15</v>
      </c>
      <c r="AS380" s="35">
        <f>IFERROR(IF(OR(_xlfn.XLOOKUP(B380,'Base stats'!B:B,'Base stats'!F:F)="Atypical reproduction",_xlfn.XLOOKUP(B380,'Base stats'!B:B,'Base stats'!F:F)="Lay eggs"),"Lay eggs",MIN(20,MAX(5.5,ROUND(((_xlfn.XLOOKUP(B380,'Base stats'!B:B,'Base stats'!F:F)-25)*(14.5/615) + 5.5)*2,0)/2))),"Unknown")</f>
        <v>11.5</v>
      </c>
      <c r="AT380" s="8">
        <f>IF(_xlfn.XLOOKUP(B380,'Base stats'!B:B,'Base stats'!G:G)="Atypical reproduction","No",IFERROR(MAX(IF(_xlfn.XLOOKUP(B380,'Base stats'!B:B,'Base stats'!G:G)&lt;0.5,0.2,0.3),MROUND(_xlfn.XLOOKUP(B380,'Base stats'!B:B,'Base stats'!G:G)/(365/60),0.2)),"Unknown"))</f>
        <v>0.60000000000000009</v>
      </c>
      <c r="AU380" s="8">
        <f t="shared" si="43"/>
        <v>0.30000000000000004</v>
      </c>
      <c r="AV380" s="8">
        <f>IFERROR(IFERROR(MROUND(_xlfn.XLOOKUP(B380,'Base stats'!B:B,'Base stats'!J:J),0.1),"Lay eggs"),"Cannot breed")</f>
        <v>1</v>
      </c>
      <c r="AW380" s="2" t="str">
        <f t="shared" si="44"/>
        <v>false</v>
      </c>
      <c r="AX380" s="2" t="str">
        <f>IF(_xlfn.XLOOKUP(_xlfn.XLOOKUP(Animals!B380,'Base stats'!B:B,'Base stats'!E:E),Groups!A:A,Groups!AK:AK)=1,"true","false")</f>
        <v>false</v>
      </c>
      <c r="AY380" s="25" t="str">
        <f>IF(_xlfn.XLOOKUP(B380,'Base stats'!B:B,'Base stats'!Y:Y)="Liquor","Liquor, CarnivoreAnimalStrict",IF(AND(_xlfn.XLOOKUP(B380,'Base stats'!B:B,'Base stats'!Y:Y)="Carnivore",_xlfn.XLOOKUP(_xlfn.XLOOKUP(B380,'Base stats'!B:B,'Base stats'!E:E),Groups!A:A,Groups!AJ:AJ)="Photonozoa"),"CarnivoreAnimalStrict, OvivoreAnimal",IF(_xlfn.XLOOKUP(B380,'Base stats'!B:B,'Base stats'!Y:Y)="Carnivore","CarnivoreAnimal, OvivoreAnimal",IF(_xlfn.XLOOKUP(B380,'Base stats'!B:B,'Base stats'!Y:Y)="Dendrovore","VegetarianRoughAnimal, DendrovoreAnimal",IF(_xlfn.XLOOKUP(B380,'Base stats'!B:B,'Base stats'!Y:Y)="Herbivore","VegetarianRoughAnimal",IF(_xlfn.XLOOKUP(B380,'Base stats'!B:B,'Base stats'!Y:Y)="OmnivoreRough","OmnivoreRoughAnimal, OvivoreAnimal","OmnivoreAnimal, OvivoreAnimal"))))))</f>
        <v>OmnivoreRoughAnimal, OvivoreAnimal</v>
      </c>
      <c r="AZ380" s="2" t="str">
        <f>IF(_xlfn.XLOOKUP(_xlfn.XLOOKUP(B380,'Base stats'!B:B,'Base stats'!E:E),Groups!A:A,Groups!D:D)=1,MROUND((1-J380)*5+1,2)*IF(J380&lt;=0.4,2,1),"No")</f>
        <v>No</v>
      </c>
      <c r="BA380" s="2" t="str">
        <f>IF(AND(_xlfn.XLOOKUP(B380,'Base stats'!B:B,'Base stats'!AH:AH)="&lt;li&gt;Seal&lt;/li&gt;",G380="Odyssey"),"&lt;li&gt;AEXP_Seal&lt;/li&gt;",_xlfn.XLOOKUP(B380,'Base stats'!B:B,'Base stats'!AH:AH))</f>
        <v>&lt;li&gt;Pig&lt;/li&gt;</v>
      </c>
      <c r="BB380" s="2" t="str">
        <f>_xlfn.XLOOKUP(B380,'Base stats'!B:B,'Base stats'!AG:AG)</f>
        <v>Leather_Pig</v>
      </c>
      <c r="BC380" s="23" t="str">
        <f>_xlfn.XLOOKUP(_xlfn.XLOOKUP(B380,'Base stats'!B:B,'Base stats'!E:E),Groups!A:A,Groups!AL:AL)</f>
        <v>QuadrupedAnimalWithHooves</v>
      </c>
      <c r="BD380" s="23">
        <f>MIN(1,MROUND(IF(AND(AO380&lt;0.5,_xlfn.XLOOKUP(B380,'Base stats'!B:B,'Base stats'!AA:AA)=0),0,IF(OR(_xlfn.XLOOKUP(Animals!B380,'Base stats'!B:B,'Base stats'!O:O)=2,_xlfn.XLOOKUP(_xlfn.XLOOKUP(B380,'Base stats'!B:B,'Base stats'!E:E),Groups!A:A,Groups!AN:AN)=0),0,_xlfn.XLOOKUP(_xlfn.XLOOKUP(B380,'Base stats'!B:B,'Base stats'!E:E),Groups!A:A,Groups!AN:AN)/IF(_xlfn.XLOOKUP(Animals!B380,'Base stats'!B:B,'Base stats'!O:O)=1,2,1)))+_xlfn.XLOOKUP(B380,'Base stats'!B:B,'Base stats'!AC:AC),0.005))</f>
        <v>0</v>
      </c>
      <c r="BE380" s="23">
        <f>MIN(1,MROUND(IF(AND(AO380&lt;0.5,_xlfn.XLOOKUP(B380,'Base stats'!B:B,'Base stats'!AA:AA)=0),0,IF(_xlfn.XLOOKUP(_xlfn.XLOOKUP(B380,'Base stats'!B:B,'Base stats'!E:E),Groups!A:A,Groups!AO:AO)=0,0,_xlfn.XLOOKUP(_xlfn.XLOOKUP(B380,'Base stats'!B:B,'Base stats'!E:E),Groups!A:A,Groups!AO:AO)/IF(_xlfn.XLOOKUP(Animals!B380,'Base stats'!B:B,'Base stats'!O:O)=2,3,1)))+_xlfn.XLOOKUP(B380,'Base stats'!B:B,'Base stats'!AD:AD),0.005))</f>
        <v>0</v>
      </c>
      <c r="BF380" s="2" t="str">
        <f>IF(J380&gt;0.3,"No",_xlfn.XLOOKUP(_xlfn.XLOOKUP(Animals!B380,'Base stats'!B:B,'Base stats'!E:E),Groups!A:A,Groups!AP:AP))</f>
        <v>No</v>
      </c>
      <c r="BG380" s="2" t="str">
        <f>IF(AND(J380&lt;=0.65,_xlfn.XLOOKUP(_xlfn.XLOOKUP(Animals!B380,'Base stats'!B:B,'Base stats'!E:E),Groups!A:A,Groups!AP:AP)&lt;&gt;"No",_xlfn.XLOOKUP(_xlfn.XLOOKUP(B380,'Base stats'!B:B,'Base stats'!E:E),Groups!A:A,Groups!D:D)=0),MROUND((80/3)*IF(_xlfn.XLOOKUP(B380,'Base stats'!B:B,'Base stats'!O:O)=2,0.2,AO380) + 24*(1-IF(BF380="No",0,BF380)) + 16/3, 12),"No")</f>
        <v>No</v>
      </c>
      <c r="BH380" s="2">
        <f>IF(AND(_xlfn.XLOOKUP(_xlfn.XLOOKUP(B380,'Base stats'!B:B,'Base stats'!E:E),Groups!A:A,Groups!AQ:AQ)=1,AO380&lt;=0.35),8,12)</f>
        <v>12</v>
      </c>
      <c r="BI380" s="2" t="str">
        <f>IF(_xlfn.XLOOKUP(_xlfn.XLOOKUP(B380,'Base stats'!B:B,'Base stats'!E:E),Groups!A:A,Groups!D:D)=0,_xlfn.XLOOKUP(_xlfn.XLOOKUP(B380,'Base stats'!B:B,'Base stats'!E:E),Groups!A:A,Groups!AR:AR),"None")</f>
        <v>Intermediate</v>
      </c>
      <c r="BJ380" s="2" t="str">
        <f>IF(AND(_xlfn.XLOOKUP(_xlfn.XLOOKUP(B380,'Base stats'!B:B,'Base stats'!E:E),Groups!A:A,Groups!AS:AS)=1,OR(_xlfn.XLOOKUP(B380,'Base stats'!B:B,'Base stats'!Y:Y)="Carnivore",_xlfn.XLOOKUP(B380,'Base stats'!B:B,'Base stats'!Y:Y)="Omnivore")),"true","false")</f>
        <v>false</v>
      </c>
      <c r="BK380" s="2" t="str">
        <f>IF(BJ380="true",MROUND(IF(AND(AO380&gt;0.5,OR(_xlfn.XLOOKUP(_xlfn.XLOOKUP(B380,'Base stats'!B:B,'Base stats'!E:E),Groups!A:A,Groups!AJ:AJ)="Photonozoa",_xlfn.XLOOKUP(_xlfn.XLOOKUP(B380,'Base stats'!B:B,'Base stats'!E:E),Groups!A:A,Groups!AJ:AJ)="Mammal")),Animals!AO380*1.75*IF(AW380="true",1.5,1),IF(AO380&lt;0.5,Animals!AO380*0.5,Animals!AO380)),IF(AO380&gt;2,0.5,IF(AO380&gt;0.5,0.25,0.1))),"No")</f>
        <v>No</v>
      </c>
      <c r="BL380" s="2">
        <f t="shared" si="45"/>
        <v>1</v>
      </c>
      <c r="BM380" s="25" t="str">
        <f>IF(_xlfn.XLOOKUP(B380,'Base stats'!B:B,'Base stats'!AN:AN)="Standard","No",MROUND((_xlfn.XLOOKUP(B380,'Base stats'!B:B,'Base stats'!AN:AN)/3.6)/I380,0.1))</f>
        <v>No</v>
      </c>
      <c r="BN380" s="25" t="str">
        <f t="shared" si="46"/>
        <v>false</v>
      </c>
      <c r="BO380" s="25" t="str">
        <f>IF(AND(OR(_xlfn.XLOOKUP(B380,'Base stats'!B:B,'Base stats'!Y:Y)="Carnivore",_xlfn.XLOOKUP(B380,'Base stats'!B:B,'Base stats'!Y:Y)="Omnivore",_xlfn.XLOOKUP(B380,'Base stats'!B:B,'Base stats'!Y:Y)="OmnivoreRough"),_xlfn.XLOOKUP(_xlfn.XLOOKUP(B380,'Base stats'!B:B,'Base stats'!E:E),Groups!A:A,Groups!AT:AT)=1),"true","false")</f>
        <v>false</v>
      </c>
      <c r="BP380" s="25" t="str" cm="1">
        <f t="array" ref="BP380">IF(
  _xlfn.TEXTJOIN(", ",TRUE,
    IF(AND(BJ380="true",AO380&gt;0.5,BI380&lt;&gt;"None"),"AttackTarget",""),
    IF(AND(_xlfn.XLOOKUP(_xlfn.XLOOKUP(B380,'Base stats'!B:B,'Base stats'!E:E),Groups!A:A,Groups!AJ:AJ="Mammal"),OR(_xlfn.XLOOKUP(B380,'Base stats'!B:B,'Base stats'!Y:Y)="Omnivore",_xlfn.XLOOKUP(B380,'Base stats'!B:B,'Base stats'!Y:Y)="OmnivoreRough")),"Forage",""),
    IF(BG380&lt;=36,"Comfort",""),
    IF(_xlfn.XLOOKUP(B380,'Base stats'!B:B,'Base stats'!AE:AE)&lt;&gt;"No",_xlfn.XLOOKUP(B380,'Base stats'!B:B,'Base stats'!AE:AE),"")
  ) = "",
  "No",
  _xlfn.TEXTJOIN(", ",TRUE,
    IF(AND(BJ380="true",AO380&gt;0.5,BI380&lt;&gt;"None"),"AttackTarget",""),
    IF(AND(_xlfn.XLOOKUP(_xlfn.XLOOKUP(B380,'Base stats'!B:B,'Base stats'!E:E),Groups!A:A,Groups!AJ:AJ="Mammal"),OR(_xlfn.XLOOKUP(B380,'Base stats'!B:B,'Base stats'!Y:Y)="Omnivore",_xlfn.XLOOKUP(B380,'Base stats'!B:B,'Base stats'!Y:Y)="OmnivoreRough")),"Forage",""),
    IF(BG380&lt;=36,"Comfort",""),
    IF(_xlfn.XLOOKUP(B380,'Base stats'!B:B,'Base stats'!AE:AE)&lt;&gt;"No",_xlfn.XLOOKUP(B380,'Base stats'!B:B,'Base stats'!AE:AE),"")
  )
)</f>
        <v>Forage</v>
      </c>
      <c r="BQ380" s="25" t="str">
        <f>IF(
   AND(
      'Base stats'!AN380="Standard",_xlfn.XLOOKUP(_xlfn.XLOOKUP(B380,'Base stats'!B:B,'Base stats'!E:E),Groups!A:A,Groups!AU:AU)=0,
      OR(
      BO380="True"
      )
   ),
   10,
   IF(
       OR(BM380&lt;&gt;"No",_xlfn.XLOOKUP(_xlfn.XLOOKUP(B380,'Base stats'!B:B,'Base stats'!E:E),Groups!A:A,Groups!AU:AU)=1),
      1,
      "No"
   )
)</f>
        <v>No</v>
      </c>
      <c r="BR380" s="9">
        <f>MROUND((1 + ((0.2*IF(OR(Q380="No",R380="No",R380=0),0,Q380/R380)
+IF(OR(V380="No",S380="No",T380="No"),0,S380/T380*(LEN(V380)-LEN(SUBSTITUTE(V380,",",""))+1))
+IF(OR(X380="No",Y380="No"),0,X380/Y380)
+IF(OR(AD380="No",AE380="No"),0,AD380/AE380)
+IF(OR(AL380="No",AI380="No",AJ380="No"),0,AI380/AJ380*(LEN(AL380)-LEN(SUBSTITUTE(AL380,",",""))+1))
)/(0.2*IF(OR(Q380="No",R380="No",R380=0),0,1)
+IF(OR(V380="No",S380="No",T380="No"),0,LEN(V380)-LEN(SUBSTITUTE(V380,",",""))+1)
+IF(OR(X380="No",Y380="No"),0,1)
+IF(OR(AD380="No",AE380="No"),0,1)
+IF(OR(AL380="No",AI380="No",AJ380="No"),0,LEN(AL380)-LEN(SUBSTITUTE(AL380,",",""))+1))*62%)* 2)*(1 + (AP380 / (IF(_xlfn.XLOOKUP(_xlfn.XLOOKUP(B380,'Base stats'!B:B,'Base stats'!E:E),Groups!A:A,Groups!AJ:AJ)="Photonozoa",0.3,1)) + _xlfn.XLOOKUP(B380,'Base stats'!B:B,'Base stats'!AV:AV) * 1.8) * 2) * 2.5 + 10 + I380 * 2,5)+IF(_xlfn.XLOOKUP(B380,'Base stats'!B:B,'Base stats'!AK:AK)=1,50,0)</f>
        <v>240</v>
      </c>
      <c r="BS380" s="8">
        <f t="shared" si="47"/>
        <v>1.6500000000000001</v>
      </c>
      <c r="BT380" s="8" t="str">
        <f>_xlfn.XLOOKUP(B380,'Base stats'!B:B,'Base stats'!AF:AF)</f>
        <v>No</v>
      </c>
      <c r="BU380" s="2" t="str">
        <f>IF(AND(J380&lt;=0.95,OR(_xlfn.XLOOKUP(B380,'Base stats'!B:B,'Base stats'!AK:AK)=1,_xlfn.XLOOKUP(B380,'Base stats'!B:B,'Base stats'!Y:Y)="Carnivore",_xlfn.XLOOKUP(B380,'Base stats'!B:B,'Base stats'!Y:Y)="Omnivore",BE380&gt;0.1)),"true","false")</f>
        <v>false</v>
      </c>
      <c r="BV380" s="2" t="str">
        <f>IF(_xlfn.XLOOKUP(B380,'Base stats'!B:B,'Base stats'!AI:AI)=1,"true","false")</f>
        <v>false</v>
      </c>
      <c r="BW380" s="25" t="str">
        <f>IF(E380="BaseInsect","AnimalInsect",
IF(J380&gt;0.95,"AnimalExotic",
_xlfn.TEXTJOIN(", ",TRUE,
IF(OR(_xlfn.XLOOKUP(B380,'Base stats'!B:B,'Base stats'!AM:AM)=1,AND(_xlfn.XLOOKUP(B380,'Base stats'!B:B,'Base stats'!O:O)=0,_xlfn.XLOOKUP(_xlfn.XLOOKUP(B380,'Base stats'!B:B,'Base stats'!E:E),Groups!A:A,Groups!B:B)&gt;0)),"AnimalUncommon","AnimalCommon"),
IF(AND(_xlfn.XLOOKUP(B380,'Base stats'!B:B,'Base stats'!O:O)=2,_xlfn.XLOOKUP(_xlfn.XLOOKUP(B380,'Base stats'!B:B,'Base stats'!E:E),Groups!A:A,Groups!D:D)=0),"AnimalPet",IF(AND(_xlfn.XLOOKUP(B380,'Base stats'!B:B,'Base stats'!O:O)&lt;&gt;0,_xlfn.XLOOKUP(_xlfn.XLOOKUP(B380,'Base stats'!B:B,'Base stats'!E:E),Groups!A:A,Groups!D:D)&lt;&gt;0),"AnimalFarm","")),
IF(OR(_xlfn.XLOOKUP(B380,'Base stats'!B:B,'Base stats'!AK:AK)=1,AND(BI380&lt;&gt;"None",BR380&gt;=60),ISNUMBER(SEARCH("Attack target",BP380))),"AnimalFighter","")
)))</f>
        <v>AnimalUncommon, AnimalFighter</v>
      </c>
      <c r="BX380" s="25" t="str">
        <f>IF(G380="None",TRIM(
SUBSTITUTE(
IF(COUNTIF(Biomes!B$2:B$259,"="&amp;$C380)&gt;0,Biomes!B$1&amp;", ","")&amp;
IF(COUNTIF(Biomes!C$2:C$259,"="&amp;$C380)&gt;0,Biomes!C$1&amp;", ","")&amp;
IF(COUNTIF(Biomes!D$2:D$259,"="&amp;$C380)&gt;0,Biomes!D$1&amp;", ","")&amp;
IF(COUNTIF(Biomes!F$2:F$259,"="&amp;$C380)&gt;0,Biomes!F$1&amp;", ","")&amp;
IF(COUNTIF(Biomes!G$2:G$259,"="&amp;$C380)&gt;0,Biomes!G$1&amp;", ","")&amp;
IF(COUNTIF(Biomes!H$2:H$259,"="&amp;$C380)&gt;0,Biomes!H$1&amp;", ","")&amp;
IF(COUNTIF(Biomes!I$2:I$259,"="&amp;$C380)&gt;0,Biomes!I$1&amp;", ","")&amp;
IF(COUNTIF(Biomes!J$2:J$259,"="&amp;$C380)&gt;0,Biomes!J$1&amp;", ","")&amp;
IF(COUNTIF(Biomes!M$2:M$259,"="&amp;$C380)&gt;0,Biomes!M$1&amp;", ","")&amp;
IF(COUNTIF(Biomes!N$2:N$259,"="&amp;$C380)&gt;0,Biomes!N$1&amp;", ","")&amp;
IF(COUNTIF(Biomes!O$2:O$259,"="&amp;$C380)&gt;0,Biomes!O$1&amp;", ","")&amp;
IF(COUNTIF(Biomes!P$2:P$259,"="&amp;$C380)&gt;0,Biomes!P$1&amp;", ","")&amp;
IF(COUNTIF(Biomes!K$2:K$259,"="&amp;$C380)&gt;0,Biomes!K$1&amp;", ","")&amp;
IF(COUNTIF(Biomes!Q$3:Q$259,"="&amp;$C380)&gt;0,Biomes!Q$1&amp;", ","")&amp;
IF(COUNTIF(Biomes!L$2:L$259,"="&amp;$C380)&gt;0,Biomes!L$1&amp;", ","")&amp;
IF(COUNTIF(Biomes!E$2:E$259,"="&amp;$C380)&gt;0,Biomes!E$1&amp;", ","")&amp;IF(COUNTIF(Biomes!S$2:S$259,"="&amp;$C380)&gt;0,Biomes!S$1&amp;", ","")&amp;
IF(COUNTIF(Biomes!R$2:R$259,"="&amp;$C380)&gt;0,Biomes!R$1&amp;", ",""),", ","")
),_xlfn.XLOOKUP(B380,B:B,BX:BX))</f>
        <v/>
      </c>
      <c r="BY380" s="25" t="str">
        <f>IF(_xlfn.XLOOKUP(B380,'Base stats'!B:B,'Base stats'!AJ:AJ)=1,"true","false")</f>
        <v>false</v>
      </c>
      <c r="BZ380" s="25">
        <f>IF(_xlfn.XLOOKUP(B380,'Base stats'!B:B,'Base stats'!N:N)=1,"No",MAX(0.001,MIN(MROUND(IF(AND(BJ380="True",CC380="False"),POWER(10,3.47*LOG10(_xlfn.XLOOKUP(B380,'Base stats'!B:B,'Base stats'!C:C)*1000)^-0.96),POWER(10,4.15*LOG10(_xlfn.XLOOKUP(B380,'Base stats'!B:B,'Base stats'!C:C)*1000)^-0.73))*IF(_xlfn.XLOOKUP(B380,'Base stats'!B:B,'Base stats'!AK:AK)=1,0.5,1)*IF(_xlfn.XLOOKUP(B380,'Base stats'!B:B,'Base stats'!AM:AM)=1,0.1,1)/100,IF(_xlfn.XLOOKUP(B380,'Base stats'!B:B,'Base stats'!AM:AM)=1,0.001,0.025)),0.5)))</f>
        <v>0.15000000000000002</v>
      </c>
      <c r="CA380" s="25" t="str">
        <f>IF(P380="Standard","No",MAX(0.001,MIN(MROUND(IF(AND(BJ380="True",CC380="False"),POWER(10,3.47*LOG10(_xlfn.XLOOKUP(B380,'Base stats'!B:B,'Base stats'!C:C)*1000)^-0.96),POWER(10,4.15*LOG10(_xlfn.XLOOKUP(B380,'Base stats'!B:B,'Base stats'!C:C)*1000)^-0.73))*IF(_xlfn.XLOOKUP(B380,'Base stats'!B:B,'Base stats'!AM:AM)=1,0.1,1)*_xlfn.XLOOKUP(B380,'Base stats'!B:B,'Base stats'!R:R)/100,IF(_xlfn.XLOOKUP(B380,'Base stats'!B:B,'Base stats'!AM:AM)=1,0.001,0.025)),0.5)))</f>
        <v>No</v>
      </c>
      <c r="CB380" s="25" t="str">
        <f>IF(_xlfn.XLOOKUP(_xlfn.XLOOKUP(B380,'Base stats'!B:B,'Base stats'!E:E),Groups!A:A,Groups!AJ:AJ)="Mammal","True","False")</f>
        <v>True</v>
      </c>
      <c r="CC380" s="25" t="str">
        <f>IF(OR(_xlfn.XLOOKUP(_xlfn.XLOOKUP(B380,'Base stats'!B:B,'Base stats'!E:E),Groups!A:A,Groups!AJ:AJ)="Reptile",_xlfn.XLOOKUP(_xlfn.XLOOKUP(B380,'Base stats'!B:B,'Base stats'!E:E),Groups!A:A,Groups!AJ:AJ)="Amphibian",_xlfn.XLOOKUP(_xlfn.XLOOKUP(B380,'Base stats'!B:B,'Base stats'!E:E),Groups!A:A,Groups!AJ:AJ)="Invertebrate"),"True","False")</f>
        <v>False</v>
      </c>
      <c r="CD380" s="25" t="str">
        <f t="shared" si="48"/>
        <v>False</v>
      </c>
      <c r="CE380" s="25" t="str">
        <f>IF(_xlfn.XLOOKUP(_xlfn.XLOOKUP(B380,'Base stats'!B:B,'Base stats'!E:E),Groups!A:A,Groups!AX:AX),"True","False")</f>
        <v>False</v>
      </c>
      <c r="CF380" s="25" t="str">
        <f>IF(_xlfn.XLOOKUP(_xlfn.XLOOKUP(B380,'Base stats'!B:B,'Base stats'!E:E),Groups!A:A,Groups!AY:AY),"True","False")</f>
        <v>False</v>
      </c>
      <c r="CG380" s="25" t="str">
        <f>IF(_xlfn.XLOOKUP(_xlfn.XLOOKUP(B380,'Base stats'!B:B,'Base stats'!E:E),Groups!A:A,Groups!AW:AW),"True","False")</f>
        <v>False</v>
      </c>
      <c r="CH380" s="25" t="str">
        <f>IF(
OR(
_xlfn.XLOOKUP(_xlfn.XLOOKUP(B380,'Base stats'!B:B,'Base stats'!E:E),Groups!A:A,Groups!AZ:AZ)=0,
AND(
_xlfn.XLOOKUP(B380,'Base stats'!B:B,'Base stats'!Y:Y)&lt;&gt;"Carnivore",
_xlfn.XLOOKUP(B380,'Base stats'!B:B,'Base stats'!Y:Y)&lt;&gt;"Omnivore",
_xlfn.XLOOKUP(B380,'Base stats'!B:B,'Base stats'!Y:Y)&lt;&gt;"OmnivoreRough"
)
),
"No",
IF(
_xlfn.XLOOKUP(_xlfn.XLOOKUP(B380,'Base stats'!B:B,'Base stats'!E:E),Groups!A:A,Groups!AZ:AZ)=1,
"Flesh",
IF(
_xlfn.XLOOKUP(_xlfn.XLOOKUP(B380,'Base stats'!B:B,'Base stats'!E:E),Groups!A:A,Groups!AZ:AZ)=2,
"Bone",
""
)
)
)</f>
        <v>Bone</v>
      </c>
      <c r="CI380" s="25" t="str">
        <f>IF(_xlfn.XLOOKUP(_xlfn.XLOOKUP(B380,'Base stats'!B:B,'Base stats'!E:E),Groups!A:A,Groups!BB:BB),"True","False")</f>
        <v>True</v>
      </c>
      <c r="CJ380" s="25" t="str">
        <f>IF(_xlfn.XLOOKUP(_xlfn.XLOOKUP(B380,'Base stats'!B:B,'Base stats'!E:E),Groups!A:A,Groups!BA:BA),"True","False")</f>
        <v>False</v>
      </c>
    </row>
    <row r="381" spans="1:88" ht="16.5" thickTop="1" thickBot="1" x14ac:dyDescent="0.3">
      <c r="A381" s="26" t="s">
        <v>2070</v>
      </c>
      <c r="B381" s="6" t="str">
        <f>_xlfn.XLOOKUP(A381,'Base stats'!A:A,'Base stats'!B:B)</f>
        <v>Gigantopithecus blacki</v>
      </c>
      <c r="C381" s="28" t="s">
        <v>2123</v>
      </c>
      <c r="D381" s="28" t="s">
        <v>2126</v>
      </c>
      <c r="E381" s="28" t="s">
        <v>673</v>
      </c>
      <c r="F381" s="28" t="s">
        <v>673</v>
      </c>
      <c r="G381" s="28" t="s">
        <v>673</v>
      </c>
      <c r="H381" s="2">
        <f>MROUND((
  (IF(AND(_xlfn.XLOOKUP(B381,'Base stats'!B:B,'Base stats'!AL:AL)=0,BI381="None",_xlfn.XLOOKUP(_xlfn.XLOOKUP(B381,'Base stats'!B:B,'Base stats'!E:E),Groups!A:A,Groups!B:B)=0), (18 + BR381 * 2.7) * 0.5,
    IF(AND(_xlfn.XLOOKUP(B381,'Base stats'!B:B,'Base stats'!AL:AL)=0,OR(AO381&lt;0.55,AND(BI381="Intermediate",_xlfn.XLOOKUP(_xlfn.XLOOKUP(B381,'Base stats'!B:B,'Base stats'!E:E),Groups!A:A,Groups!B:B)&lt;2))), (18 + BR381 * 2.7),
      IF(OR(BI381="Advanced",_xlfn.XLOOKUP(B381,'Base stats'!B:B,'Base stats'!AL:AL)=1,_xlfn.XLOOKUP(_xlfn.XLOOKUP(B381,'Base stats'!B:B,'Base stats'!E:E),Groups!A:A,Groups!B:B)=2), (18 + BR381 * 2.7) + 250, (18 + BR381 * 2.7))
    )
  ))
  + AO381 * 80
  + IF(COUNTIF(EggMilk!K$2:K$998, A381) &gt; 0, 125, 0)
  + IF(COUNTIF(EggMilk!P$2:P$998, A381) &gt; 0, 90, 0)
  + IF(COUNTIF(EggMilk!A$2:A$998, A381) &gt; 0, 90, 0)
)
* (0.8 + 0.4 * J381)
* 0.75,25)</f>
        <v>825</v>
      </c>
      <c r="I381" s="2">
        <f>MROUND(ROUNDDOWN(_xlfn.XLOOKUP(B381,'Base stats'!B:B,'Base stats'!L:L)/3.6/(23.3/11),1),0.5)</f>
        <v>4</v>
      </c>
      <c r="J381" s="2">
        <f>IF(OR(_xlfn.XLOOKUP(B381,'Base stats'!B:B,'Base stats'!AB:AB)=1,_xlfn.XLOOKUP(_xlfn.XLOOKUP(B381,'Base stats'!B:B,'Base stats'!E:E),Groups!A:A,Groups!C:C)="Untamable"),1,IF(_xlfn.XLOOKUP(B381,'Base stats'!B:B,'Base stats'!AL:AL)=1,0.99,MIN(MROUND((1-0.6282*EXP(-0.459*AO381))*_xlfn.XLOOKUP(_xlfn.XLOOKUP(B381,'Base stats'!B:B,'Base stats'!E:E),Groups!A:A,Groups!C:C)*IF(_xlfn.XLOOKUP(B381,'Base stats'!B:B,'Base stats'!O:O)=1,0.5,IF(_xlfn.XLOOKUP(B381,'Base stats'!B:B,'Base stats'!O:O)=2,0,1)),0.05),IF(AO381&gt;3.5,0.985,0.95))))</f>
        <v>0.95</v>
      </c>
      <c r="K381" s="2">
        <f>ROUNDUP(AO381*_xlfn.XLOOKUP(_xlfn.XLOOKUP(B381,'Base stats'!B:B,'Base stats'!E:E),Groups!A:A,Groups!E:E),0)</f>
        <v>3</v>
      </c>
      <c r="L381" s="2">
        <f>IF(OR(_xlfn.XLOOKUP(_xlfn.XLOOKUP(B381,'Base stats'!B:B,'Base stats'!E:E),Groups!A:A,Groups!F:F)=2,ISNUMBER(SEARCH("SeaIce",BX381)),ISNUMBER(SEARCH("IceSheet",BX381))),-50,IF(OR(ISNUMBER(SEARCH("GlacialPlain",BX381)),ISNUMBER(SEARCH("Tundra",BX381))),-40,IF(OR(ISNUMBER(SEARCH("Alpine",BX381)),ISNUMBER(SEARCH("BorealForest",BX381)),ISNUMBER(SEARCH("ColdBog",BX381))),-30,IF(OR(ISNUMBER(SEARCH("TemperateForest",BX381)),ISNUMBER(SEARCH("TemperateSwamp",BX381))),-20,IF(_xlfn.XLOOKUP(_xlfn.XLOOKUP(B381,'Base stats'!B:B,'Base stats'!E:E),Groups!A:A,Groups!F:F)=1,-15,IF(OR(ISNUMBER(SEARCH("Desert",BX381)),ISNUMBER(SEARCH("ExtremeDesert",BX381))),-10,IF(OR(ISNUMBER(SEARCH("Grasslands",BX381)),ISNUMBER(SEARCH("TropicalRainforest",BX381)),ISNUMBER(SEARCH("TropicalSwamp",BX381))),10,0)))))))-IF(CC381="False",MIN(IFERROR(MAX(MROUND(LOG10(_xlfn.XLOOKUP(B381,'Base stats'!B:B,'Base stats'!C:C)^(2/3))*10,5),5),5),30))-_xlfn.XLOOKUP(B381,'Base stats'!B:B,'Base stats'!P:P)+IF(CC381="True",5,0)</f>
        <v>-15</v>
      </c>
      <c r="M381" s="2">
        <f>IF(OR(_xlfn.XLOOKUP(_xlfn.XLOOKUP(B381,'Base stats'!B:B,'Base stats'!E:E),Groups!A:A,Groups!G:G)=2,ISNUMBER(SEARCH("Desert",BX381)),ISNUMBER(SEARCH("ExtremeDesert",BX381)),ISNUMBER(SEARCH("LavaField",BX381))),50,IF(ISNUMBER(SEARCH("Grasslands",BX381)),45,IF(OR(_xlfn.XLOOKUP(_xlfn.XLOOKUP(B381,'Base stats'!B:B,'Base stats'!E:E),Groups!A:A,Groups!G:G)=1,ISNUMBER(SEARCH("TropicalRainforest",BX381)),ISNUMBER(SEARCH("TropicalSwamp",BX381))),40,IF(OR(ISNUMBER(SEARCH("TemperateForest",BX381)),ISNUMBER(SEARCH("TemperateSwamp",BX381))),35,IF(OR(ISNUMBER(SEARCH("Alpine",BX381)),ISNUMBER(SEARCH("BorealForest",BX381)),ISNUMBER(SEARCH("ColdBog",BX381))),30,IF(ISNUMBER(OR(ISNUMBER(SEARCH("GlacialPlain",BX381)),SEARCH("Tundra",BX381))),25,IF(OR(ISNUMBER(SEARCH("SeaIce",BX381)),ISNUMBER(SEARCH("IceSheet",BX381)),ISNUMBER(SEARCH("TropicalSwamp",BX381))),10,35)))))))+_xlfn.XLOOKUP(B381,'Base stats'!B:B,'Base stats'!Q:Q)</f>
        <v>35</v>
      </c>
      <c r="N381" s="8" t="str">
        <f>IF(
_xlfn.XLOOKUP(
_xlfn.XLOOKUP(B381,'Base stats'!B:B,'Base stats'!E:E),
Groups!A:A,
Groups!L:L
)=1,
MIN(
MROUND(
IF(
_xlfn.XLOOKUP(B381,'Animals CE'!B:B,'Animals CE'!Z:Z)&lt;=1.5,
_xlfn.XLOOKUP(B381,'Animals CE'!B:B,'Animals CE'!Z:Z)/2+0.05,
0.8+
(_xlfn.XLOOKUP(B381,'Animals CE'!B:B,'Animals CE'!Z:Z)-1.5)
*0.02
),
0.05
),
200%
),
"No"
)</f>
        <v>No</v>
      </c>
      <c r="O381" s="8" t="str">
        <f>IF(
_xlfn.XLOOKUP(
_xlfn.XLOOKUP(B381,'Base stats'!B:B,'Base stats'!E:E),
Groups!A:A,
Groups!L:L
)=1,
MIN(
MROUND(
IF(
_xlfn.XLOOKUP(B381,'Animals CE'!B:B,'Animals CE'!AA:AA)&lt;=1.5,
_xlfn.XLOOKUP(B381,'Animals CE'!B:B,'Animals CE'!AA:AA)/2+0.05,
0.8+
(_xlfn.XLOOKUP(B381,'Animals CE'!B:B,'Animals CE'!AA:AA)-1.5)
*0.02
),
0.05
),
200%
),
"No"
)</f>
        <v>No</v>
      </c>
      <c r="P381" s="2" t="str">
        <f>_xlfn.XLOOKUP(B381,'Base stats'!B:B,'Base stats'!R:R)</f>
        <v>Standard</v>
      </c>
      <c r="Q381" s="13">
        <f>MROUND((LOG10(_xlfn.XLOOKUP(B381,'Base stats'!B:B,'Base stats'!AR:AR))*(AO381^0.5)+(_xlfn.XLOOKUP(B381,'Base stats'!B:B,'Base stats'!AR:AR)/1000)^(2/3)+_xlfn.XLOOKUP(B381,'Base stats'!B:B,'Base stats'!BA:BA)/2)+0.5,0.5)</f>
        <v>12</v>
      </c>
      <c r="R381" s="7">
        <f>IF(Q381="No","No",MAX(1,MROUND(_xlfn.XLOOKUP(B381,'Base stats'!B:B,'Base stats'!C:C)^0.165,0.05)))</f>
        <v>2.5</v>
      </c>
      <c r="S381" s="13" t="str">
        <f>IF(_xlfn.XLOOKUP(_xlfn.XLOOKUP(B381,'Base stats'!B:B,'Base stats'!E:E),Groups!A:A,Groups!P:P)=0,"No",MROUND((LOG10(_xlfn.XLOOKUP(B381,'Base stats'!B:B,'Base stats'!AS:AS))*(AO381^0.5)+(_xlfn.XLOOKUP(B381,'Base stats'!B:B,'Base stats'!AS:AS)/1000)^(2/3)+_xlfn.XLOOKUP(B381,'Base stats'!B:B,'Base stats'!BA:BA))+_xlfn.XLOOKUP(B381,'Base stats'!B:B,'Base stats'!AY:AY)+0.5,0.5))</f>
        <v>No</v>
      </c>
      <c r="T381" s="7" t="str">
        <f>IF(S381="No","No",MAX(_xlfn.XLOOKUP(_xlfn.XLOOKUP(B381,'Base stats'!B:B,'Base stats'!E:E),Groups!A:A,Groups!Q:Q),MROUND(_xlfn.XLOOKUP(_xlfn.XLOOKUP(B381,'Base stats'!B:B,'Base stats'!E:E),Groups!A:A,Groups!Q:Q)*_xlfn.XLOOKUP(B381,'Base stats'!B:B,'Base stats'!C:C)^0.165,0.05)))</f>
        <v>No</v>
      </c>
      <c r="U381" s="7" t="str">
        <f>IF(S381="No","No",_xlfn.XLOOKUP(_xlfn.XLOOKUP(B381,'Base stats'!B:B,'Base stats'!E:E),Groups!A:A,Groups!R:R))</f>
        <v>No</v>
      </c>
      <c r="V381" s="7" t="str">
        <f>IF(S381="No","No",_xlfn.XLOOKUP(_xlfn.XLOOKUP(B381,'Base stats'!B:B,'Base stats'!E:E),Groups!A:A,Groups!S:S))</f>
        <v>No</v>
      </c>
      <c r="W381" s="7" t="str">
        <f>IF(S381="No","No",_xlfn.XLOOKUP(_xlfn.XLOOKUP(B381,'Base stats'!B:B,'Base stats'!E:E),Groups!A:A,Groups!T:T))</f>
        <v>No</v>
      </c>
      <c r="X381" s="13" t="str">
        <f>IF(_xlfn.XLOOKUP(B381,'Base stats'!B:B,'Base stats'!W:W)="No","No",MROUND((LOG10(_xlfn.XLOOKUP(B381,'Base stats'!B:B,'Base stats'!AU:AU))*(AO381^0.5)+(_xlfn.XLOOKUP(B381,'Base stats'!B:B,'Base stats'!AU:AU)/1000)^(2/3)+_xlfn.XLOOKUP(B381,'Base stats'!B:B,'Base stats'!AZ:AZ))+0.5+IF(_xlfn.XLOOKUP(_xlfn.XLOOKUP(B381,'Base stats'!B:B,'Base stats'!E:E),Groups!A:A,Groups!U:U)&lt;&gt;3,_xlfn.XLOOKUP(B381,'Base stats'!B:B,'Base stats'!BA:BA),0),0.5))</f>
        <v>No</v>
      </c>
      <c r="Y381" s="7" t="str">
        <f>IF(X381="No","No",MAX(_xlfn.XLOOKUP(_xlfn.XLOOKUP(B381,'Base stats'!B:B,'Base stats'!E:E),Groups!A:A,Groups!V:V),MROUND(_xlfn.XLOOKUP(_xlfn.XLOOKUP(B381,'Base stats'!B:B,'Base stats'!E:E),Groups!A:A,Groups!V:V)*_xlfn.XLOOKUP(B381,'Base stats'!B:B,'Base stats'!C:C)^0.165,0.05)))</f>
        <v>No</v>
      </c>
      <c r="Z381" s="7" t="str">
        <f>IF(X381="No","No",_xlfn.XLOOKUP(_xlfn.XLOOKUP(B381,'Base stats'!B:B,'Base stats'!E:E),Groups!A:A,Groups!W:W))</f>
        <v>No</v>
      </c>
      <c r="AA381" s="7" t="str">
        <f>IF(X381="No","No",_xlfn.XLOOKUP(_xlfn.XLOOKUP(B381,'Base stats'!B:B,'Base stats'!E:E),Groups!A:A,Groups!X:X))</f>
        <v>No</v>
      </c>
      <c r="AB381" s="7" t="str">
        <f>IF(X381="No","No",_xlfn.XLOOKUP(_xlfn.XLOOKUP(B381,'Base stats'!B:B,'Base stats'!E:E),Groups!A:A,Groups!Y:Y))</f>
        <v>No</v>
      </c>
      <c r="AC381" s="7" t="str">
        <f>_xlfn.XLOOKUP(Animals!B381,'Base stats'!B:B,'Base stats'!X:X)</f>
        <v>False</v>
      </c>
      <c r="AD381" s="13">
        <f>IF(_xlfn.XLOOKUP(B381,'Base stats'!B:B,'Base stats'!AT:AT)="No","No",MROUND((LOG10(_xlfn.XLOOKUP(B381,'Base stats'!B:B,'Base stats'!AT:AT))*(AO381^0.75)+(_xlfn.XLOOKUP(B381,'Base stats'!B:B,'Base stats'!AT:AT)/1000)^(2/3)+_xlfn.XLOOKUP(B381,'Base stats'!B:B,'Base stats'!AX:AX)+_xlfn.XLOOKUP(B381,'Base stats'!B:B,'Base stats'!BA:BA))+0.5,0.5))</f>
        <v>18.5</v>
      </c>
      <c r="AE381" s="7">
        <f>IF(AD381="No","No",MAX(_xlfn.XLOOKUP(_xlfn.XLOOKUP(B381,'Base stats'!B:B,'Base stats'!E:E),Groups!A:A,Groups!Z:Z),MROUND(_xlfn.XLOOKUP(_xlfn.XLOOKUP(B381,'Base stats'!B:B,'Base stats'!E:E),Groups!A:A,Groups!Z:Z)*_xlfn.XLOOKUP(B381,'Base stats'!B:B,'Base stats'!C:C)^0.165,0.05)))</f>
        <v>2.1</v>
      </c>
      <c r="AF381" s="7" t="str">
        <f>IF(AD381="No","No",_xlfn.XLOOKUP(_xlfn.XLOOKUP(B381,'Base stats'!B:B,'Base stats'!E:E),Groups!A:A,Groups!AA:AA))</f>
        <v>Teeth</v>
      </c>
      <c r="AG381" s="7" t="str">
        <f>IF(AD381="No","No",_xlfn.XLOOKUP(_xlfn.XLOOKUP(B381,'Base stats'!B:B,'Base stats'!E:E),Groups!A:A,Groups!AB:AB))</f>
        <v>canines</v>
      </c>
      <c r="AH381" s="7" t="str">
        <f>IF(AD381="No","No",_xlfn.XLOOKUP(_xlfn.XLOOKUP(B381,'Base stats'!B:B,'Base stats'!E:E),Groups!A:A,Groups!AC:AC))</f>
        <v>Bite</v>
      </c>
      <c r="AI381" s="13">
        <f>IF(_xlfn.XLOOKUP(_xlfn.XLOOKUP(B381,'Base stats'!B:B,'Base stats'!E:E),Groups!A:A,Groups!AD:AD)=0,"No",MROUND((LOG10(_xlfn.XLOOKUP(B381,'Base stats'!B:B,'Base stats'!AS:AS))*(AO381^0.75)+(_xlfn.XLOOKUP(B381,'Base stats'!B:B,'Base stats'!AS:AS)/1000)^(2/3)+_xlfn.XLOOKUP(B381,'Base stats'!B:B,'Base stats'!AY:AY)+_xlfn.XLOOKUP(B381,'Base stats'!B:B,'Base stats'!BA:BA))+0.5,0.5))</f>
        <v>16</v>
      </c>
      <c r="AJ381" s="7">
        <f>IF(AI381="No","No",MAX(_xlfn.XLOOKUP(_xlfn.XLOOKUP(B381,'Base stats'!B:B,'Base stats'!E:E),Groups!A:A,Groups!AE:AE),MROUND(_xlfn.XLOOKUP(_xlfn.XLOOKUP(B381,'Base stats'!B:B,'Base stats'!E:E),Groups!A:A,Groups!AE:AE)*IF(_xlfn.XLOOKUP(_xlfn.XLOOKUP(B381,'Base stats'!B:B,'Base stats'!E:E),Groups!A:A,Groups!AJ:AJ)="Photonozoa",0.6,1)*_xlfn.XLOOKUP(B381,'Base stats'!B:B,'Base stats'!C:C)^0.165,0.05)))</f>
        <v>1.6</v>
      </c>
      <c r="AK381" s="7" t="str">
        <f>IF(AI381="No","No",_xlfn.XLOOKUP(_xlfn.XLOOKUP(B381,'Base stats'!B:B,'Base stats'!E:E),Groups!A:A,Groups!AF:AF))</f>
        <v>LeftHand, RightHand</v>
      </c>
      <c r="AL381" s="7" t="str">
        <f>IF(AI381="No","No",_xlfn.XLOOKUP(_xlfn.XLOOKUP(B381,'Base stats'!B:B,'Base stats'!E:E),Groups!A:A,Groups!AG:AG))</f>
        <v>left fist, right fist</v>
      </c>
      <c r="AM381" s="7" t="str">
        <f>IF(AI381="No","No",_xlfn.XLOOKUP(_xlfn.XLOOKUP(B381,'Base stats'!B:B,'Base stats'!E:E),Groups!A:A,Groups!AH:AH))</f>
        <v>Blunt</v>
      </c>
      <c r="AN381" s="2" t="str">
        <f t="shared" si="42"/>
        <v>No</v>
      </c>
      <c r="AO381" s="2">
        <f>MROUND(IF(AND(_xlfn.XLOOKUP(B381,'Base stats'!B:B,'Base stats'!C:C)&gt;=0.5,_xlfn.XLOOKUP(B381,'Base stats'!B:B,'Base stats'!C:C)&lt;=0.8),
IF(_xlfn.XLOOKUP(B381,'Base stats'!B:B,'Base stats'!C:C)&lt;0.1,0.05,IF(_xlfn.XLOOKUP(B381,'Base stats'!B:B,'Base stats'!C:C)&lt;=70,(_xlfn.XLOOKUP(B381,'Base stats'!B:B,'Base stats'!C:C)/70)^0.426489913056526,IF(_xlfn.XLOOKUP(B381,'Base stats'!B:B,'Base stats'!C:C)&lt;=400,(_xlfn.XLOOKUP(B381,'Base stats'!B:B,'Base stats'!C:C)/70)^0.572811455315093,IF(_xlfn.XLOOKUP(B381,'Base stats'!B:B,'Base stats'!C:C)&lt;=2000,2.71391647193063*(_xlfn.XLOOKUP(B381,'Base stats'!B:B,'Base stats'!C:C)/400)^0.252459582904293,3.74314280240376*(_xlfn.XLOOKUP(B381,'Base stats'!B:B,'Base stats'!C:C)/2000)^0.357012633876913)))),
IF(_xlfn.XLOOKUP(B381,'Base stats'!B:B,'Base stats'!C:C)&lt;0.1,0.05,IF(_xlfn.XLOOKUP(B381,'Base stats'!B:B,'Base stats'!C:C)&lt;0.4,0.1,IF(_xlfn.XLOOKUP(B381,'Base stats'!B:B,'Base stats'!C:C)&lt;=70,(_xlfn.XLOOKUP(B381,'Base stats'!B:B,'Base stats'!C:C)/70)^0.445823913056526,IF(_xlfn.XLOOKUP(B381,'Base stats'!B:B,'Base stats'!C:C)&lt;=400,(_xlfn.XLOOKUP(B381,'Base stats'!B:B,'Base stats'!C:C)/70)^0.572811455315093,IF(_xlfn.XLOOKUP(B381,'Base stats'!B:B,'Base stats'!C:C)&lt;=2000,2.71391647193063*(_xlfn.XLOOKUP(B381,'Base stats'!B:B,'Base stats'!C:C)/400)^0.252459582904293,3.74314280240376*(_xlfn.XLOOKUP(B381,'Base stats'!B:B,'Base stats'!C:C)/2000)^0.357012633876913)))))),
IF(_xlfn.XLOOKUP(B381,'Base stats'!B:B,'Base stats'!C:C)&lt;0.1,0.05,IF(_xlfn.XLOOKUP(B381,'Base stats'!B:B,'Base stats'!C:C)&lt;=100,0.05,IF(_xlfn.XLOOKUP(B381,'Base stats'!B:B,'Base stats'!C:C)&lt;=250,0.1,IF(_xlfn.XLOOKUP(B381,'Base stats'!B:B,'Base stats'!C:C)&lt;=4000,0.25,0.5)))))</f>
        <v>2.1</v>
      </c>
      <c r="AP381" s="8">
        <f>MROUND(AO381*_xlfn.XLOOKUP(_xlfn.XLOOKUP(B381,'Base stats'!B:B,'Base stats'!E:E),Groups!A:A,Groups!AI:AI)*_xlfn.XLOOKUP(B381,'Base stats'!B:B,'Base stats'!Z:Z),0.05)</f>
        <v>2.1</v>
      </c>
      <c r="AQ381" s="8">
        <f>MAX(0.01,MROUND(IF(CC381="True",0.196*(AO381*100*1000)^0.889,IF(_xlfn.XLOOKUP(_xlfn.XLOOKUP(B381,'Base stats'!B:B,'Base stats'!E:E),Groups!A:A,Groups!AJ:AJ)="Bird",10.5*(AO381*100*1000)^0.681,4.82*(AO381*100*1000)^0.734))/(4.82*(1*100*1000)^0.734)/IF(AO381&lt;3.5,2,IF(AO381=3.5,1.5,1.25))*(1+0.132282374779864/(AO381^0.994035016789033+0.00905238001496948)),0.05))</f>
        <v>0.9</v>
      </c>
      <c r="AR381" s="9">
        <f>IFERROR(MROUND(_xlfn.XLOOKUP(B381,'Base stats'!B:B,'Base stats'!H:H)/IF(_xlfn.XLOOKUP(B381,'Base stats'!B:B,'Base stats'!I:I)&lt;&gt;1,(122.5/70),1.2),IF(_xlfn.XLOOKUP(B381,'Base stats'!B:B,'Base stats'!H:H)&gt;=30,5,IF(_xlfn.XLOOKUP(B381,'Base stats'!B:B,'Base stats'!H:H)&gt;=15,3,IF(_xlfn.XLOOKUP(B381,'Base stats'!B:B,'Base stats'!H:H)&gt;=10,2,1)))),"Immortal")</f>
        <v>50</v>
      </c>
      <c r="AS381" s="35">
        <f>IFERROR(IF(OR(_xlfn.XLOOKUP(B381,'Base stats'!B:B,'Base stats'!F:F)="Atypical reproduction",_xlfn.XLOOKUP(B381,'Base stats'!B:B,'Base stats'!F:F)="Lay eggs"),"Lay eggs",MIN(20,MAX(5.5,ROUND(((_xlfn.XLOOKUP(B381,'Base stats'!B:B,'Base stats'!F:F)-25)*(14.5/615) + 5.5)*2,0)/2))),"Unknown")</f>
        <v>11</v>
      </c>
      <c r="AT381" s="8">
        <f>IF(_xlfn.XLOOKUP(B381,'Base stats'!B:B,'Base stats'!G:G)="Atypical reproduction","No",IFERROR(MAX(IF(_xlfn.XLOOKUP(B381,'Base stats'!B:B,'Base stats'!G:G)&lt;0.5,0.2,0.3),MROUND(_xlfn.XLOOKUP(B381,'Base stats'!B:B,'Base stats'!G:G)/(365/60),0.2)),"Unknown"))</f>
        <v>1.4000000000000001</v>
      </c>
      <c r="AU381" s="8">
        <f t="shared" si="43"/>
        <v>0.70000000000000007</v>
      </c>
      <c r="AV381" s="8">
        <f>IFERROR(IFERROR(MROUND(_xlfn.XLOOKUP(B381,'Base stats'!B:B,'Base stats'!J:J),0.1),"Lay eggs"),"Cannot breed")</f>
        <v>1</v>
      </c>
      <c r="AW381" s="2" t="str">
        <f t="shared" si="44"/>
        <v>true</v>
      </c>
      <c r="AX381" s="2" t="str">
        <f>IF(_xlfn.XLOOKUP(_xlfn.XLOOKUP(Animals!B381,'Base stats'!B:B,'Base stats'!E:E),Groups!A:A,Groups!AK:AK)=1,"true","false")</f>
        <v>false</v>
      </c>
      <c r="AY381" s="25" t="str">
        <f>IF(_xlfn.XLOOKUP(B381,'Base stats'!B:B,'Base stats'!Y:Y)="Liquor","Liquor, CarnivoreAnimalStrict",IF(AND(_xlfn.XLOOKUP(B381,'Base stats'!B:B,'Base stats'!Y:Y)="Carnivore",_xlfn.XLOOKUP(_xlfn.XLOOKUP(B381,'Base stats'!B:B,'Base stats'!E:E),Groups!A:A,Groups!AJ:AJ)="Photonozoa"),"CarnivoreAnimalStrict, OvivoreAnimal",IF(_xlfn.XLOOKUP(B381,'Base stats'!B:B,'Base stats'!Y:Y)="Carnivore","CarnivoreAnimal, OvivoreAnimal",IF(_xlfn.XLOOKUP(B381,'Base stats'!B:B,'Base stats'!Y:Y)="Dendrovore","VegetarianRoughAnimal, DendrovoreAnimal",IF(_xlfn.XLOOKUP(B381,'Base stats'!B:B,'Base stats'!Y:Y)="Herbivore","VegetarianRoughAnimal",IF(_xlfn.XLOOKUP(B381,'Base stats'!B:B,'Base stats'!Y:Y)="OmnivoreRough","OmnivoreRoughAnimal, OvivoreAnimal","OmnivoreAnimal, OvivoreAnimal"))))))</f>
        <v>VegetarianRoughAnimal</v>
      </c>
      <c r="AZ381" s="2" t="str">
        <f>IF(_xlfn.XLOOKUP(_xlfn.XLOOKUP(B381,'Base stats'!B:B,'Base stats'!E:E),Groups!A:A,Groups!D:D)=1,MROUND((1-J381)*5+1,2)*IF(J381&lt;=0.4,2,1),"No")</f>
        <v>No</v>
      </c>
      <c r="BA381" s="2" t="str">
        <f>IF(AND(_xlfn.XLOOKUP(B381,'Base stats'!B:B,'Base stats'!AH:AH)="&lt;li&gt;Seal&lt;/li&gt;",G381="Odyssey"),"&lt;li&gt;AEXP_Seal&lt;/li&gt;",_xlfn.XLOOKUP(B381,'Base stats'!B:B,'Base stats'!AH:AH))</f>
        <v>&lt;li&gt;Monkey&lt;/li&gt;</v>
      </c>
      <c r="BB381" s="2" t="str">
        <f>_xlfn.XLOOKUP(B381,'Base stats'!B:B,'Base stats'!AG:AG)</f>
        <v>Leather_Light</v>
      </c>
      <c r="BC381" s="23" t="str">
        <f>_xlfn.XLOOKUP(_xlfn.XLOOKUP(B381,'Base stats'!B:B,'Base stats'!E:E),Groups!A:A,Groups!AL:AL)</f>
        <v>Ape</v>
      </c>
      <c r="BD381" s="23">
        <f>MIN(1,MROUND(IF(AND(AO381&lt;0.5,_xlfn.XLOOKUP(B381,'Base stats'!B:B,'Base stats'!AA:AA)=0),0,IF(OR(_xlfn.XLOOKUP(Animals!B381,'Base stats'!B:B,'Base stats'!O:O)=2,_xlfn.XLOOKUP(_xlfn.XLOOKUP(B381,'Base stats'!B:B,'Base stats'!E:E),Groups!A:A,Groups!AN:AN)=0),0,_xlfn.XLOOKUP(_xlfn.XLOOKUP(B381,'Base stats'!B:B,'Base stats'!E:E),Groups!A:A,Groups!AN:AN)/IF(_xlfn.XLOOKUP(Animals!B381,'Base stats'!B:B,'Base stats'!O:O)=1,2,1)))+_xlfn.XLOOKUP(B381,'Base stats'!B:B,'Base stats'!AC:AC),0.005))</f>
        <v>2.5000000000000001E-2</v>
      </c>
      <c r="BE381" s="23">
        <f>MIN(1,MROUND(IF(AND(AO381&lt;0.5,_xlfn.XLOOKUP(B381,'Base stats'!B:B,'Base stats'!AA:AA)=0),0,IF(_xlfn.XLOOKUP(_xlfn.XLOOKUP(B381,'Base stats'!B:B,'Base stats'!E:E),Groups!A:A,Groups!AO:AO)=0,0,_xlfn.XLOOKUP(_xlfn.XLOOKUP(B381,'Base stats'!B:B,'Base stats'!E:E),Groups!A:A,Groups!AO:AO)/IF(_xlfn.XLOOKUP(Animals!B381,'Base stats'!B:B,'Base stats'!O:O)=2,3,1)))+_xlfn.XLOOKUP(B381,'Base stats'!B:B,'Base stats'!AD:AD),0.005))</f>
        <v>0.1</v>
      </c>
      <c r="BF381" s="2" t="str">
        <f>IF(J381&gt;0.3,"No",_xlfn.XLOOKUP(_xlfn.XLOOKUP(Animals!B381,'Base stats'!B:B,'Base stats'!E:E),Groups!A:A,Groups!AP:AP))</f>
        <v>No</v>
      </c>
      <c r="BG381" s="2" t="str">
        <f>IF(AND(J381&lt;=0.65,_xlfn.XLOOKUP(_xlfn.XLOOKUP(Animals!B381,'Base stats'!B:B,'Base stats'!E:E),Groups!A:A,Groups!AP:AP)&lt;&gt;"No",_xlfn.XLOOKUP(_xlfn.XLOOKUP(B381,'Base stats'!B:B,'Base stats'!E:E),Groups!A:A,Groups!D:D)=0),MROUND((80/3)*IF(_xlfn.XLOOKUP(B381,'Base stats'!B:B,'Base stats'!O:O)=2,0.2,AO381) + 24*(1-IF(BF381="No",0,BF381)) + 16/3, 12),"No")</f>
        <v>No</v>
      </c>
      <c r="BH381" s="2">
        <f>IF(AND(_xlfn.XLOOKUP(_xlfn.XLOOKUP(B381,'Base stats'!B:B,'Base stats'!E:E),Groups!A:A,Groups!AQ:AQ)=1,AO381&lt;=0.35),8,12)</f>
        <v>12</v>
      </c>
      <c r="BI381" s="2" t="str">
        <f>IF(_xlfn.XLOOKUP(_xlfn.XLOOKUP(B381,'Base stats'!B:B,'Base stats'!E:E),Groups!A:A,Groups!D:D)=0,_xlfn.XLOOKUP(_xlfn.XLOOKUP(B381,'Base stats'!B:B,'Base stats'!E:E),Groups!A:A,Groups!AR:AR),"None")</f>
        <v>Advanced</v>
      </c>
      <c r="BJ381" s="2" t="str">
        <f>IF(AND(_xlfn.XLOOKUP(_xlfn.XLOOKUP(B381,'Base stats'!B:B,'Base stats'!E:E),Groups!A:A,Groups!AS:AS)=1,OR(_xlfn.XLOOKUP(B381,'Base stats'!B:B,'Base stats'!Y:Y)="Carnivore",_xlfn.XLOOKUP(B381,'Base stats'!B:B,'Base stats'!Y:Y)="Omnivore")),"true","false")</f>
        <v>false</v>
      </c>
      <c r="BK381" s="2" t="str">
        <f>IF(BJ381="true",MROUND(IF(AND(AO381&gt;0.5,OR(_xlfn.XLOOKUP(_xlfn.XLOOKUP(B381,'Base stats'!B:B,'Base stats'!E:E),Groups!A:A,Groups!AJ:AJ)="Photonozoa",_xlfn.XLOOKUP(_xlfn.XLOOKUP(B381,'Base stats'!B:B,'Base stats'!E:E),Groups!A:A,Groups!AJ:AJ)="Mammal")),Animals!AO381*1.75*IF(AW381="true",1.5,1),IF(AO381&lt;0.5,Animals!AO381*0.5,Animals!AO381)),IF(AO381&gt;2,0.5,IF(AO381&gt;0.5,0.25,0.1))),"No")</f>
        <v>No</v>
      </c>
      <c r="BL381" s="2">
        <f t="shared" si="45"/>
        <v>1</v>
      </c>
      <c r="BM381" s="25" t="str">
        <f>IF(_xlfn.XLOOKUP(B381,'Base stats'!B:B,'Base stats'!AN:AN)="Standard","No",MROUND((_xlfn.XLOOKUP(B381,'Base stats'!B:B,'Base stats'!AN:AN)/3.6)/I381,0.1))</f>
        <v>No</v>
      </c>
      <c r="BN381" s="25" t="str">
        <f t="shared" si="46"/>
        <v>false</v>
      </c>
      <c r="BO381" s="25" t="str">
        <f>IF(AND(OR(_xlfn.XLOOKUP(B381,'Base stats'!B:B,'Base stats'!Y:Y)="Carnivore",_xlfn.XLOOKUP(B381,'Base stats'!B:B,'Base stats'!Y:Y)="Omnivore",_xlfn.XLOOKUP(B381,'Base stats'!B:B,'Base stats'!Y:Y)="OmnivoreRough"),_xlfn.XLOOKUP(_xlfn.XLOOKUP(B381,'Base stats'!B:B,'Base stats'!E:E),Groups!A:A,Groups!AT:AT)=1),"true","false")</f>
        <v>false</v>
      </c>
      <c r="BP381" s="25" t="str" cm="1">
        <f t="array" ref="BP381">IF(
  _xlfn.TEXTJOIN(", ",TRUE,
    IF(AND(BJ381="true",AO381&gt;0.5,BI381&lt;&gt;"None"),"AttackTarget",""),
    IF(AND(_xlfn.XLOOKUP(_xlfn.XLOOKUP(B381,'Base stats'!B:B,'Base stats'!E:E),Groups!A:A,Groups!AJ:AJ="Mammal"),OR(_xlfn.XLOOKUP(B381,'Base stats'!B:B,'Base stats'!Y:Y)="Omnivore",_xlfn.XLOOKUP(B381,'Base stats'!B:B,'Base stats'!Y:Y)="OmnivoreRough")),"Forage",""),
    IF(BG381&lt;=36,"Comfort",""),
    IF(_xlfn.XLOOKUP(B381,'Base stats'!B:B,'Base stats'!AE:AE)&lt;&gt;"No",_xlfn.XLOOKUP(B381,'Base stats'!B:B,'Base stats'!AE:AE),"")
  ) = "",
  "No",
  _xlfn.TEXTJOIN(", ",TRUE,
    IF(AND(BJ381="true",AO381&gt;0.5,BI381&lt;&gt;"None"),"AttackTarget",""),
    IF(AND(_xlfn.XLOOKUP(_xlfn.XLOOKUP(B381,'Base stats'!B:B,'Base stats'!E:E),Groups!A:A,Groups!AJ:AJ="Mammal"),OR(_xlfn.XLOOKUP(B381,'Base stats'!B:B,'Base stats'!Y:Y)="Omnivore",_xlfn.XLOOKUP(B381,'Base stats'!B:B,'Base stats'!Y:Y)="OmnivoreRough")),"Forage",""),
    IF(BG381&lt;=36,"Comfort",""),
    IF(_xlfn.XLOOKUP(B381,'Base stats'!B:B,'Base stats'!AE:AE)&lt;&gt;"No",_xlfn.XLOOKUP(B381,'Base stats'!B:B,'Base stats'!AE:AE),"")
  )
)</f>
        <v>Forage</v>
      </c>
      <c r="BQ381" s="25" t="str">
        <f>IF(
   AND(
      'Base stats'!AN381="Standard",_xlfn.XLOOKUP(_xlfn.XLOOKUP(B381,'Base stats'!B:B,'Base stats'!E:E),Groups!A:A,Groups!AU:AU)=0,
      OR(
      BO381="True"
      )
   ),
   10,
   IF(
       OR(BM381&lt;&gt;"No",_xlfn.XLOOKUP(_xlfn.XLOOKUP(B381,'Base stats'!B:B,'Base stats'!E:E),Groups!A:A,Groups!AU:AU)=1),
      1,
      "No"
   )
)</f>
        <v>No</v>
      </c>
      <c r="BR381" s="9">
        <f>MROUND((1 + ((0.2*IF(OR(Q381="No",R381="No",R381=0),0,Q381/R381)
+IF(OR(V381="No",S381="No",T381="No"),0,S381/T381*(LEN(V381)-LEN(SUBSTITUTE(V381,",",""))+1))
+IF(OR(X381="No",Y381="No"),0,X381/Y381)
+IF(OR(AD381="No",AE381="No"),0,AD381/AE381)
+IF(OR(AL381="No",AI381="No",AJ381="No"),0,AI381/AJ381*(LEN(AL381)-LEN(SUBSTITUTE(AL381,",",""))+1))
)/(0.2*IF(OR(Q381="No",R381="No",R381=0),0,1)
+IF(OR(V381="No",S381="No",T381="No"),0,LEN(V381)-LEN(SUBSTITUTE(V381,",",""))+1)
+IF(OR(X381="No",Y381="No"),0,1)
+IF(OR(AD381="No",AE381="No"),0,1)
+IF(OR(AL381="No",AI381="No",AJ381="No"),0,LEN(AL381)-LEN(SUBSTITUTE(AL381,",",""))+1))*62%)* 2)*(1 + (AP381 / (IF(_xlfn.XLOOKUP(_xlfn.XLOOKUP(B381,'Base stats'!B:B,'Base stats'!E:E),Groups!A:A,Groups!AJ:AJ)="Photonozoa",0.3,1)) + _xlfn.XLOOKUP(B381,'Base stats'!B:B,'Base stats'!AV:AV) * 1.8) * 2) * 2.5 + 10 + I381 * 2,5)+IF(_xlfn.XLOOKUP(B381,'Base stats'!B:B,'Base stats'!AK:AK)=1,50,0)</f>
        <v>180</v>
      </c>
      <c r="BS381" s="8">
        <f t="shared" si="47"/>
        <v>1.1500000000000001</v>
      </c>
      <c r="BT381" s="8" t="str">
        <f>_xlfn.XLOOKUP(B381,'Base stats'!B:B,'Base stats'!AF:AF)</f>
        <v>2~6</v>
      </c>
      <c r="BU381" s="2" t="str">
        <f>IF(AND(J381&lt;=0.95,OR(_xlfn.XLOOKUP(B381,'Base stats'!B:B,'Base stats'!AK:AK)=1,_xlfn.XLOOKUP(B381,'Base stats'!B:B,'Base stats'!Y:Y)="Carnivore",_xlfn.XLOOKUP(B381,'Base stats'!B:B,'Base stats'!Y:Y)="Omnivore",BE381&gt;0.1)),"true","false")</f>
        <v>false</v>
      </c>
      <c r="BV381" s="2" t="str">
        <f>IF(_xlfn.XLOOKUP(B381,'Base stats'!B:B,'Base stats'!AI:AI)=1,"true","false")</f>
        <v>true</v>
      </c>
      <c r="BW381" s="25" t="str">
        <f>IF(E381="BaseInsect","AnimalInsect",
IF(J381&gt;0.95,"AnimalExotic",
_xlfn.TEXTJOIN(", ",TRUE,
IF(OR(_xlfn.XLOOKUP(B381,'Base stats'!B:B,'Base stats'!AM:AM)=1,AND(_xlfn.XLOOKUP(B381,'Base stats'!B:B,'Base stats'!O:O)=0,_xlfn.XLOOKUP(_xlfn.XLOOKUP(B381,'Base stats'!B:B,'Base stats'!E:E),Groups!A:A,Groups!B:B)&gt;0)),"AnimalUncommon","AnimalCommon"),
IF(AND(_xlfn.XLOOKUP(B381,'Base stats'!B:B,'Base stats'!O:O)=2,_xlfn.XLOOKUP(_xlfn.XLOOKUP(B381,'Base stats'!B:B,'Base stats'!E:E),Groups!A:A,Groups!D:D)=0),"AnimalPet",IF(AND(_xlfn.XLOOKUP(B381,'Base stats'!B:B,'Base stats'!O:O)&lt;&gt;0,_xlfn.XLOOKUP(_xlfn.XLOOKUP(B381,'Base stats'!B:B,'Base stats'!E:E),Groups!A:A,Groups!D:D)&lt;&gt;0),"AnimalFarm","")),
IF(OR(_xlfn.XLOOKUP(B381,'Base stats'!B:B,'Base stats'!AK:AK)=1,AND(BI381&lt;&gt;"None",BR381&gt;=60),ISNUMBER(SEARCH("Attack target",BP381))),"AnimalFighter","")
)))</f>
        <v>AnimalUncommon, AnimalFighter</v>
      </c>
      <c r="BX381" s="25" t="str">
        <f>IF(G381="None",TRIM(
SUBSTITUTE(
IF(COUNTIF(Biomes!B$2:B$259,"="&amp;$C381)&gt;0,Biomes!B$1&amp;", ","")&amp;
IF(COUNTIF(Biomes!C$2:C$259,"="&amp;$C381)&gt;0,Biomes!C$1&amp;", ","")&amp;
IF(COUNTIF(Biomes!D$2:D$259,"="&amp;$C381)&gt;0,Biomes!D$1&amp;", ","")&amp;
IF(COUNTIF(Biomes!F$2:F$259,"="&amp;$C381)&gt;0,Biomes!F$1&amp;", ","")&amp;
IF(COUNTIF(Biomes!G$2:G$259,"="&amp;$C381)&gt;0,Biomes!G$1&amp;", ","")&amp;
IF(COUNTIF(Biomes!H$2:H$259,"="&amp;$C381)&gt;0,Biomes!H$1&amp;", ","")&amp;
IF(COUNTIF(Biomes!I$2:I$259,"="&amp;$C381)&gt;0,Biomes!I$1&amp;", ","")&amp;
IF(COUNTIF(Biomes!J$2:J$259,"="&amp;$C381)&gt;0,Biomes!J$1&amp;", ","")&amp;
IF(COUNTIF(Biomes!M$2:M$259,"="&amp;$C381)&gt;0,Biomes!M$1&amp;", ","")&amp;
IF(COUNTIF(Biomes!N$2:N$259,"="&amp;$C381)&gt;0,Biomes!N$1&amp;", ","")&amp;
IF(COUNTIF(Biomes!O$2:O$259,"="&amp;$C381)&gt;0,Biomes!O$1&amp;", ","")&amp;
IF(COUNTIF(Biomes!P$2:P$259,"="&amp;$C381)&gt;0,Biomes!P$1&amp;", ","")&amp;
IF(COUNTIF(Biomes!K$2:K$259,"="&amp;$C381)&gt;0,Biomes!K$1&amp;", ","")&amp;
IF(COUNTIF(Biomes!Q$3:Q$259,"="&amp;$C381)&gt;0,Biomes!Q$1&amp;", ","")&amp;
IF(COUNTIF(Biomes!L$2:L$259,"="&amp;$C381)&gt;0,Biomes!L$1&amp;", ","")&amp;
IF(COUNTIF(Biomes!E$2:E$259,"="&amp;$C381)&gt;0,Biomes!E$1&amp;", ","")&amp;IF(COUNTIF(Biomes!S$2:S$259,"="&amp;$C381)&gt;0,Biomes!S$1&amp;", ","")&amp;
IF(COUNTIF(Biomes!R$2:R$259,"="&amp;$C381)&gt;0,Biomes!R$1&amp;", ",""),", ","")
),_xlfn.XLOOKUP(B381,B:B,BX:BX))</f>
        <v/>
      </c>
      <c r="BY381" s="25" t="str">
        <f>IF(_xlfn.XLOOKUP(B381,'Base stats'!B:B,'Base stats'!AJ:AJ)=1,"true","false")</f>
        <v>false</v>
      </c>
      <c r="BZ381" s="25">
        <f>IF(_xlfn.XLOOKUP(B381,'Base stats'!B:B,'Base stats'!N:N)=1,"No",MAX(0.001,MIN(MROUND(IF(AND(BJ381="True",CC381="False"),POWER(10,3.47*LOG10(_xlfn.XLOOKUP(B381,'Base stats'!B:B,'Base stats'!C:C)*1000)^-0.96),POWER(10,4.15*LOG10(_xlfn.XLOOKUP(B381,'Base stats'!B:B,'Base stats'!C:C)*1000)^-0.73))*IF(_xlfn.XLOOKUP(B381,'Base stats'!B:B,'Base stats'!AK:AK)=1,0.5,1)*IF(_xlfn.XLOOKUP(B381,'Base stats'!B:B,'Base stats'!AM:AM)=1,0.1,1)/100,IF(_xlfn.XLOOKUP(B381,'Base stats'!B:B,'Base stats'!AM:AM)=1,0.001,0.025)),0.5)))</f>
        <v>0.17500000000000002</v>
      </c>
      <c r="CA381" s="25" t="str">
        <f>IF(P381="Standard","No",MAX(0.001,MIN(MROUND(IF(AND(BJ381="True",CC381="False"),POWER(10,3.47*LOG10(_xlfn.XLOOKUP(B381,'Base stats'!B:B,'Base stats'!C:C)*1000)^-0.96),POWER(10,4.15*LOG10(_xlfn.XLOOKUP(B381,'Base stats'!B:B,'Base stats'!C:C)*1000)^-0.73))*IF(_xlfn.XLOOKUP(B381,'Base stats'!B:B,'Base stats'!AM:AM)=1,0.1,1)*_xlfn.XLOOKUP(B381,'Base stats'!B:B,'Base stats'!R:R)/100,IF(_xlfn.XLOOKUP(B381,'Base stats'!B:B,'Base stats'!AM:AM)=1,0.001,0.025)),0.5)))</f>
        <v>No</v>
      </c>
      <c r="CB381" s="25" t="str">
        <f>IF(_xlfn.XLOOKUP(_xlfn.XLOOKUP(B381,'Base stats'!B:B,'Base stats'!E:E),Groups!A:A,Groups!AJ:AJ)="Mammal","True","False")</f>
        <v>True</v>
      </c>
      <c r="CC381" s="25" t="str">
        <f>IF(OR(_xlfn.XLOOKUP(_xlfn.XLOOKUP(B381,'Base stats'!B:B,'Base stats'!E:E),Groups!A:A,Groups!AJ:AJ)="Reptile",_xlfn.XLOOKUP(_xlfn.XLOOKUP(B381,'Base stats'!B:B,'Base stats'!E:E),Groups!A:A,Groups!AJ:AJ)="Amphibian",_xlfn.XLOOKUP(_xlfn.XLOOKUP(B381,'Base stats'!B:B,'Base stats'!E:E),Groups!A:A,Groups!AJ:AJ)="Invertebrate"),"True","False")</f>
        <v>False</v>
      </c>
      <c r="CD381" s="25" t="str">
        <f t="shared" si="48"/>
        <v>False</v>
      </c>
      <c r="CE381" s="25" t="str">
        <f>IF(_xlfn.XLOOKUP(_xlfn.XLOOKUP(B381,'Base stats'!B:B,'Base stats'!E:E),Groups!A:A,Groups!AX:AX),"True","False")</f>
        <v>False</v>
      </c>
      <c r="CF381" s="25" t="str">
        <f>IF(_xlfn.XLOOKUP(_xlfn.XLOOKUP(B381,'Base stats'!B:B,'Base stats'!E:E),Groups!A:A,Groups!AY:AY),"True","False")</f>
        <v>False</v>
      </c>
      <c r="CG381" s="25" t="str">
        <f>IF(_xlfn.XLOOKUP(_xlfn.XLOOKUP(B381,'Base stats'!B:B,'Base stats'!E:E),Groups!A:A,Groups!AW:AW),"True","False")</f>
        <v>False</v>
      </c>
      <c r="CH381" s="25" t="str">
        <f>IF(
OR(
_xlfn.XLOOKUP(_xlfn.XLOOKUP(B381,'Base stats'!B:B,'Base stats'!E:E),Groups!A:A,Groups!AZ:AZ)=0,
AND(
_xlfn.XLOOKUP(B381,'Base stats'!B:B,'Base stats'!Y:Y)&lt;&gt;"Carnivore",
_xlfn.XLOOKUP(B381,'Base stats'!B:B,'Base stats'!Y:Y)&lt;&gt;"Omnivore",
_xlfn.XLOOKUP(B381,'Base stats'!B:B,'Base stats'!Y:Y)&lt;&gt;"OmnivoreRough"
)
),
"No",
IF(
_xlfn.XLOOKUP(_xlfn.XLOOKUP(B381,'Base stats'!B:B,'Base stats'!E:E),Groups!A:A,Groups!AZ:AZ)=1,
"Flesh",
IF(
_xlfn.XLOOKUP(_xlfn.XLOOKUP(B381,'Base stats'!B:B,'Base stats'!E:E),Groups!A:A,Groups!AZ:AZ)=2,
"Bone",
""
)
)
)</f>
        <v>No</v>
      </c>
      <c r="CI381" s="25" t="str">
        <f>IF(_xlfn.XLOOKUP(_xlfn.XLOOKUP(B381,'Base stats'!B:B,'Base stats'!E:E),Groups!A:A,Groups!BB:BB),"True","False")</f>
        <v>True</v>
      </c>
      <c r="CJ381" s="25" t="str">
        <f>IF(_xlfn.XLOOKUP(_xlfn.XLOOKUP(B381,'Base stats'!B:B,'Base stats'!E:E),Groups!A:A,Groups!BA:BA),"True","False")</f>
        <v>False</v>
      </c>
    </row>
    <row r="382" spans="1:88" ht="16.5" thickTop="1" thickBot="1" x14ac:dyDescent="0.3">
      <c r="A382" s="26" t="s">
        <v>2071</v>
      </c>
      <c r="B382" s="6" t="str">
        <f>_xlfn.XLOOKUP(A382,'Base stats'!A:A,'Base stats'!B:B)</f>
        <v>Paraceratherium transouralicum</v>
      </c>
      <c r="C382" s="28" t="s">
        <v>2124</v>
      </c>
      <c r="D382" s="28" t="s">
        <v>2126</v>
      </c>
      <c r="E382" s="28" t="s">
        <v>673</v>
      </c>
      <c r="F382" s="28" t="s">
        <v>673</v>
      </c>
      <c r="G382" s="28" t="s">
        <v>673</v>
      </c>
      <c r="H382" s="2">
        <f>MROUND((
  (IF(AND(_xlfn.XLOOKUP(B382,'Base stats'!B:B,'Base stats'!AL:AL)=0,BI382="None",_xlfn.XLOOKUP(_xlfn.XLOOKUP(B382,'Base stats'!B:B,'Base stats'!E:E),Groups!A:A,Groups!B:B)=0), (18 + BR382 * 2.7) * 0.5,
    IF(AND(_xlfn.XLOOKUP(B382,'Base stats'!B:B,'Base stats'!AL:AL)=0,OR(AO382&lt;0.55,AND(BI382="Intermediate",_xlfn.XLOOKUP(_xlfn.XLOOKUP(B382,'Base stats'!B:B,'Base stats'!E:E),Groups!A:A,Groups!B:B)&lt;2))), (18 + BR382 * 2.7),
      IF(OR(BI382="Advanced",_xlfn.XLOOKUP(B382,'Base stats'!B:B,'Base stats'!AL:AL)=1,_xlfn.XLOOKUP(_xlfn.XLOOKUP(B382,'Base stats'!B:B,'Base stats'!E:E),Groups!A:A,Groups!B:B)=2), (18 + BR382 * 2.7) + 250, (18 + BR382 * 2.7))
    )
  ))
  + AO382 * 80
  + IF(COUNTIF(EggMilk!K$2:K$998, A382) &gt; 0, 125, 0)
  + IF(COUNTIF(EggMilk!P$2:P$998, A382) &gt; 0, 90, 0)
  + IF(COUNTIF(EggMilk!A$2:A$998, A382) &gt; 0, 90, 0)
)
* (0.8 + 0.4 * J382)
* 0.75,25)</f>
        <v>3150</v>
      </c>
      <c r="I382" s="2">
        <f>MROUND(ROUNDDOWN(_xlfn.XLOOKUP(B382,'Base stats'!B:B,'Base stats'!L:L)/3.6/(23.3/11),1),0.5)</f>
        <v>3.5</v>
      </c>
      <c r="J382" s="2">
        <f>IF(OR(_xlfn.XLOOKUP(B382,'Base stats'!B:B,'Base stats'!AB:AB)=1,_xlfn.XLOOKUP(_xlfn.XLOOKUP(B382,'Base stats'!B:B,'Base stats'!E:E),Groups!A:A,Groups!C:C)="Untamable"),1,IF(_xlfn.XLOOKUP(B382,'Base stats'!B:B,'Base stats'!AL:AL)=1,0.99,MIN(MROUND((1-0.6282*EXP(-0.459*AO382))*_xlfn.XLOOKUP(_xlfn.XLOOKUP(B382,'Base stats'!B:B,'Base stats'!E:E),Groups!A:A,Groups!C:C)*IF(_xlfn.XLOOKUP(B382,'Base stats'!B:B,'Base stats'!O:O)=1,0.5,IF(_xlfn.XLOOKUP(B382,'Base stats'!B:B,'Base stats'!O:O)=2,0,1)),0.05),IF(AO382&gt;3.5,0.985,0.95))))</f>
        <v>0.98499999999999999</v>
      </c>
      <c r="K382" s="2">
        <f>ROUNDUP(AO382*_xlfn.XLOOKUP(_xlfn.XLOOKUP(B382,'Base stats'!B:B,'Base stats'!E:E),Groups!A:A,Groups!E:E),0)</f>
        <v>40</v>
      </c>
      <c r="L382" s="2">
        <f>IF(OR(_xlfn.XLOOKUP(_xlfn.XLOOKUP(B382,'Base stats'!B:B,'Base stats'!E:E),Groups!A:A,Groups!F:F)=2,ISNUMBER(SEARCH("SeaIce",BX382)),ISNUMBER(SEARCH("IceSheet",BX382))),-50,IF(OR(ISNUMBER(SEARCH("GlacialPlain",BX382)),ISNUMBER(SEARCH("Tundra",BX382))),-40,IF(OR(ISNUMBER(SEARCH("Alpine",BX382)),ISNUMBER(SEARCH("BorealForest",BX382)),ISNUMBER(SEARCH("ColdBog",BX382))),-30,IF(OR(ISNUMBER(SEARCH("TemperateForest",BX382)),ISNUMBER(SEARCH("TemperateSwamp",BX382))),-20,IF(_xlfn.XLOOKUP(_xlfn.XLOOKUP(B382,'Base stats'!B:B,'Base stats'!E:E),Groups!A:A,Groups!F:F)=1,-15,IF(OR(ISNUMBER(SEARCH("Desert",BX382)),ISNUMBER(SEARCH("ExtremeDesert",BX382))),-10,IF(OR(ISNUMBER(SEARCH("Grasslands",BX382)),ISNUMBER(SEARCH("TropicalRainforest",BX382)),ISNUMBER(SEARCH("TropicalSwamp",BX382))),10,0)))))))-IF(CC382="False",MIN(IFERROR(MAX(MROUND(LOG10(_xlfn.XLOOKUP(B382,'Base stats'!B:B,'Base stats'!C:C)^(2/3))*10,5),5),5),30))-_xlfn.XLOOKUP(B382,'Base stats'!B:B,'Base stats'!P:P)+IF(CC382="True",5,0)</f>
        <v>-30</v>
      </c>
      <c r="M382" s="2">
        <f>IF(OR(_xlfn.XLOOKUP(_xlfn.XLOOKUP(B382,'Base stats'!B:B,'Base stats'!E:E),Groups!A:A,Groups!G:G)=2,ISNUMBER(SEARCH("Desert",BX382)),ISNUMBER(SEARCH("ExtremeDesert",BX382)),ISNUMBER(SEARCH("LavaField",BX382))),50,IF(ISNUMBER(SEARCH("Grasslands",BX382)),45,IF(OR(_xlfn.XLOOKUP(_xlfn.XLOOKUP(B382,'Base stats'!B:B,'Base stats'!E:E),Groups!A:A,Groups!G:G)=1,ISNUMBER(SEARCH("TropicalRainforest",BX382)),ISNUMBER(SEARCH("TropicalSwamp",BX382))),40,IF(OR(ISNUMBER(SEARCH("TemperateForest",BX382)),ISNUMBER(SEARCH("TemperateSwamp",BX382))),35,IF(OR(ISNUMBER(SEARCH("Alpine",BX382)),ISNUMBER(SEARCH("BorealForest",BX382)),ISNUMBER(SEARCH("ColdBog",BX382))),30,IF(ISNUMBER(OR(ISNUMBER(SEARCH("GlacialPlain",BX382)),SEARCH("Tundra",BX382))),25,IF(OR(ISNUMBER(SEARCH("SeaIce",BX382)),ISNUMBER(SEARCH("IceSheet",BX382)),ISNUMBER(SEARCH("TropicalSwamp",BX382))),10,35)))))))+_xlfn.XLOOKUP(B382,'Base stats'!B:B,'Base stats'!Q:Q)</f>
        <v>35</v>
      </c>
      <c r="N382" s="8">
        <f>IF(
_xlfn.XLOOKUP(
_xlfn.XLOOKUP(B382,'Base stats'!B:B,'Base stats'!E:E),
Groups!A:A,
Groups!L:L
)=1,
MIN(
MROUND(
IF(
_xlfn.XLOOKUP(B382,'Animals CE'!B:B,'Animals CE'!Z:Z)&lt;=1.5,
_xlfn.XLOOKUP(B382,'Animals CE'!B:B,'Animals CE'!Z:Z)/2+0.05,
0.8+
(_xlfn.XLOOKUP(B382,'Animals CE'!B:B,'Animals CE'!Z:Z)-1.5)
*0.02
),
0.05
),
200%
),
"No"
)</f>
        <v>0.30000000000000004</v>
      </c>
      <c r="O382" s="8">
        <f>IF(
_xlfn.XLOOKUP(
_xlfn.XLOOKUP(B382,'Base stats'!B:B,'Base stats'!E:E),
Groups!A:A,
Groups!L:L
)=1,
MIN(
MROUND(
IF(
_xlfn.XLOOKUP(B382,'Animals CE'!B:B,'Animals CE'!AA:AA)&lt;=1.5,
_xlfn.XLOOKUP(B382,'Animals CE'!B:B,'Animals CE'!AA:AA)/2+0.05,
0.8+
(_xlfn.XLOOKUP(B382,'Animals CE'!B:B,'Animals CE'!AA:AA)-1.5)
*0.02
),
0.05
),
200%
),
"No"
)</f>
        <v>0.35000000000000003</v>
      </c>
      <c r="P382" s="2" t="str">
        <f>_xlfn.XLOOKUP(B382,'Base stats'!B:B,'Base stats'!R:R)</f>
        <v>Standard</v>
      </c>
      <c r="Q382" s="13">
        <f>MROUND((LOG10(_xlfn.XLOOKUP(B382,'Base stats'!B:B,'Base stats'!AR:AR))*(AO382^0.5)+(_xlfn.XLOOKUP(B382,'Base stats'!B:B,'Base stats'!AR:AR)/1000)^(2/3)+_xlfn.XLOOKUP(B382,'Base stats'!B:B,'Base stats'!BA:BA)/2)+0.5,0.5)</f>
        <v>63.5</v>
      </c>
      <c r="R382" s="7">
        <f>IF(Q382="No","No",MAX(1,MROUND(_xlfn.XLOOKUP(B382,'Base stats'!B:B,'Base stats'!C:C)^0.165,0.05)))</f>
        <v>5</v>
      </c>
      <c r="S382" s="13" t="str">
        <f>IF(_xlfn.XLOOKUP(_xlfn.XLOOKUP(B382,'Base stats'!B:B,'Base stats'!E:E),Groups!A:A,Groups!P:P)=0,"No",MROUND((LOG10(_xlfn.XLOOKUP(B382,'Base stats'!B:B,'Base stats'!AS:AS))*(AO382^0.5)+(_xlfn.XLOOKUP(B382,'Base stats'!B:B,'Base stats'!AS:AS)/1000)^(2/3)+_xlfn.XLOOKUP(B382,'Base stats'!B:B,'Base stats'!BA:BA))+_xlfn.XLOOKUP(B382,'Base stats'!B:B,'Base stats'!AY:AY)+0.5,0.5))</f>
        <v>No</v>
      </c>
      <c r="T382" s="7" t="str">
        <f>IF(S382="No","No",MAX(_xlfn.XLOOKUP(_xlfn.XLOOKUP(B382,'Base stats'!B:B,'Base stats'!E:E),Groups!A:A,Groups!Q:Q),MROUND(_xlfn.XLOOKUP(_xlfn.XLOOKUP(B382,'Base stats'!B:B,'Base stats'!E:E),Groups!A:A,Groups!Q:Q)*_xlfn.XLOOKUP(B382,'Base stats'!B:B,'Base stats'!C:C)^0.165,0.05)))</f>
        <v>No</v>
      </c>
      <c r="U382" s="7" t="str">
        <f>IF(S382="No","No",_xlfn.XLOOKUP(_xlfn.XLOOKUP(B382,'Base stats'!B:B,'Base stats'!E:E),Groups!A:A,Groups!R:R))</f>
        <v>No</v>
      </c>
      <c r="V382" s="7" t="str">
        <f>IF(S382="No","No",_xlfn.XLOOKUP(_xlfn.XLOOKUP(B382,'Base stats'!B:B,'Base stats'!E:E),Groups!A:A,Groups!S:S))</f>
        <v>No</v>
      </c>
      <c r="W382" s="7" t="str">
        <f>IF(S382="No","No",_xlfn.XLOOKUP(_xlfn.XLOOKUP(B382,'Base stats'!B:B,'Base stats'!E:E),Groups!A:A,Groups!T:T))</f>
        <v>No</v>
      </c>
      <c r="X382" s="13" t="str">
        <f>IF(_xlfn.XLOOKUP(B382,'Base stats'!B:B,'Base stats'!W:W)="No","No",MROUND((LOG10(_xlfn.XLOOKUP(B382,'Base stats'!B:B,'Base stats'!AU:AU))*(AO382^0.5)+(_xlfn.XLOOKUP(B382,'Base stats'!B:B,'Base stats'!AU:AU)/1000)^(2/3)+_xlfn.XLOOKUP(B382,'Base stats'!B:B,'Base stats'!AZ:AZ))+0.5+IF(_xlfn.XLOOKUP(_xlfn.XLOOKUP(B382,'Base stats'!B:B,'Base stats'!E:E),Groups!A:A,Groups!U:U)&lt;&gt;3,_xlfn.XLOOKUP(B382,'Base stats'!B:B,'Base stats'!BA:BA),0),0.5))</f>
        <v>No</v>
      </c>
      <c r="Y382" s="7" t="str">
        <f>IF(X382="No","No",MAX(_xlfn.XLOOKUP(_xlfn.XLOOKUP(B382,'Base stats'!B:B,'Base stats'!E:E),Groups!A:A,Groups!V:V),MROUND(_xlfn.XLOOKUP(_xlfn.XLOOKUP(B382,'Base stats'!B:B,'Base stats'!E:E),Groups!A:A,Groups!V:V)*_xlfn.XLOOKUP(B382,'Base stats'!B:B,'Base stats'!C:C)^0.165,0.05)))</f>
        <v>No</v>
      </c>
      <c r="Z382" s="7" t="str">
        <f>IF(X382="No","No",_xlfn.XLOOKUP(_xlfn.XLOOKUP(B382,'Base stats'!B:B,'Base stats'!E:E),Groups!A:A,Groups!W:W))</f>
        <v>No</v>
      </c>
      <c r="AA382" s="7" t="str">
        <f>IF(X382="No","No",_xlfn.XLOOKUP(_xlfn.XLOOKUP(B382,'Base stats'!B:B,'Base stats'!E:E),Groups!A:A,Groups!X:X))</f>
        <v>No</v>
      </c>
      <c r="AB382" s="7" t="str">
        <f>IF(X382="No","No",_xlfn.XLOOKUP(_xlfn.XLOOKUP(B382,'Base stats'!B:B,'Base stats'!E:E),Groups!A:A,Groups!Y:Y))</f>
        <v>No</v>
      </c>
      <c r="AC382" s="7" t="str">
        <f>_xlfn.XLOOKUP(Animals!B382,'Base stats'!B:B,'Base stats'!X:X)</f>
        <v>False</v>
      </c>
      <c r="AD382" s="13">
        <f>IF(_xlfn.XLOOKUP(B382,'Base stats'!B:B,'Base stats'!AT:AT)="No","No",MROUND((LOG10(_xlfn.XLOOKUP(B382,'Base stats'!B:B,'Base stats'!AT:AT))*(AO382^0.75)+(_xlfn.XLOOKUP(B382,'Base stats'!B:B,'Base stats'!AT:AT)/1000)^(2/3)+_xlfn.XLOOKUP(B382,'Base stats'!B:B,'Base stats'!AX:AX)+_xlfn.XLOOKUP(B382,'Base stats'!B:B,'Base stats'!BA:BA))+0.5,0.5))</f>
        <v>68.5</v>
      </c>
      <c r="AE382" s="7">
        <f>IF(AD382="No","No",MAX(_xlfn.XLOOKUP(_xlfn.XLOOKUP(B382,'Base stats'!B:B,'Base stats'!E:E),Groups!A:A,Groups!Z:Z),MROUND(_xlfn.XLOOKUP(_xlfn.XLOOKUP(B382,'Base stats'!B:B,'Base stats'!E:E),Groups!A:A,Groups!Z:Z)*_xlfn.XLOOKUP(B382,'Base stats'!B:B,'Base stats'!C:C)^0.165,0.05)))</f>
        <v>5</v>
      </c>
      <c r="AF382" s="7" t="str">
        <f>IF(AD382="No","No",_xlfn.XLOOKUP(_xlfn.XLOOKUP(B382,'Base stats'!B:B,'Base stats'!E:E),Groups!A:A,Groups!AA:AA))</f>
        <v>Teeth</v>
      </c>
      <c r="AG382" s="7" t="str">
        <f>IF(AD382="No","No",_xlfn.XLOOKUP(_xlfn.XLOOKUP(B382,'Base stats'!B:B,'Base stats'!E:E),Groups!A:A,Groups!AB:AB))</f>
        <v>teeth</v>
      </c>
      <c r="AH382" s="7" t="str">
        <f>IF(AD382="No","No",_xlfn.XLOOKUP(_xlfn.XLOOKUP(B382,'Base stats'!B:B,'Base stats'!E:E),Groups!A:A,Groups!AC:AC))</f>
        <v>Bite</v>
      </c>
      <c r="AI382" s="13" t="str">
        <f>IF(_xlfn.XLOOKUP(_xlfn.XLOOKUP(B382,'Base stats'!B:B,'Base stats'!E:E),Groups!A:A,Groups!AD:AD)=0,"No",MROUND((LOG10(_xlfn.XLOOKUP(B382,'Base stats'!B:B,'Base stats'!AS:AS))*(AO382^0.75)+(_xlfn.XLOOKUP(B382,'Base stats'!B:B,'Base stats'!AS:AS)/1000)^(2/3)+_xlfn.XLOOKUP(B382,'Base stats'!B:B,'Base stats'!AY:AY)+_xlfn.XLOOKUP(B382,'Base stats'!B:B,'Base stats'!BA:BA))+0.5,0.5))</f>
        <v>No</v>
      </c>
      <c r="AJ382" s="7" t="str">
        <f>IF(AI382="No","No",MAX(_xlfn.XLOOKUP(_xlfn.XLOOKUP(B382,'Base stats'!B:B,'Base stats'!E:E),Groups!A:A,Groups!AE:AE),MROUND(_xlfn.XLOOKUP(_xlfn.XLOOKUP(B382,'Base stats'!B:B,'Base stats'!E:E),Groups!A:A,Groups!AE:AE)*IF(_xlfn.XLOOKUP(_xlfn.XLOOKUP(B382,'Base stats'!B:B,'Base stats'!E:E),Groups!A:A,Groups!AJ:AJ)="Photonozoa",0.6,1)*_xlfn.XLOOKUP(B382,'Base stats'!B:B,'Base stats'!C:C)^0.165,0.05)))</f>
        <v>No</v>
      </c>
      <c r="AK382" s="7" t="str">
        <f>IF(AI382="No","No",_xlfn.XLOOKUP(_xlfn.XLOOKUP(B382,'Base stats'!B:B,'Base stats'!E:E),Groups!A:A,Groups!AF:AF))</f>
        <v>No</v>
      </c>
      <c r="AL382" s="7" t="str">
        <f>IF(AI382="No","No",_xlfn.XLOOKUP(_xlfn.XLOOKUP(B382,'Base stats'!B:B,'Base stats'!E:E),Groups!A:A,Groups!AG:AG))</f>
        <v>No</v>
      </c>
      <c r="AM382" s="7" t="str">
        <f>IF(AI382="No","No",_xlfn.XLOOKUP(_xlfn.XLOOKUP(B382,'Base stats'!B:B,'Base stats'!E:E),Groups!A:A,Groups!AH:AH))</f>
        <v>No</v>
      </c>
      <c r="AN382" s="2" t="str">
        <f t="shared" si="42"/>
        <v>No</v>
      </c>
      <c r="AO382" s="2">
        <f>MROUND(IF(AND(_xlfn.XLOOKUP(B382,'Base stats'!B:B,'Base stats'!C:C)&gt;=0.5,_xlfn.XLOOKUP(B382,'Base stats'!B:B,'Base stats'!C:C)&lt;=0.8),
IF(_xlfn.XLOOKUP(B382,'Base stats'!B:B,'Base stats'!C:C)&lt;0.1,0.05,IF(_xlfn.XLOOKUP(B382,'Base stats'!B:B,'Base stats'!C:C)&lt;=70,(_xlfn.XLOOKUP(B382,'Base stats'!B:B,'Base stats'!C:C)/70)^0.426489913056526,IF(_xlfn.XLOOKUP(B382,'Base stats'!B:B,'Base stats'!C:C)&lt;=400,(_xlfn.XLOOKUP(B382,'Base stats'!B:B,'Base stats'!C:C)/70)^0.572811455315093,IF(_xlfn.XLOOKUP(B382,'Base stats'!B:B,'Base stats'!C:C)&lt;=2000,2.71391647193063*(_xlfn.XLOOKUP(B382,'Base stats'!B:B,'Base stats'!C:C)/400)^0.252459582904293,3.74314280240376*(_xlfn.XLOOKUP(B382,'Base stats'!B:B,'Base stats'!C:C)/2000)^0.357012633876913)))),
IF(_xlfn.XLOOKUP(B382,'Base stats'!B:B,'Base stats'!C:C)&lt;0.1,0.05,IF(_xlfn.XLOOKUP(B382,'Base stats'!B:B,'Base stats'!C:C)&lt;0.4,0.1,IF(_xlfn.XLOOKUP(B382,'Base stats'!B:B,'Base stats'!C:C)&lt;=70,(_xlfn.XLOOKUP(B382,'Base stats'!B:B,'Base stats'!C:C)/70)^0.445823913056526,IF(_xlfn.XLOOKUP(B382,'Base stats'!B:B,'Base stats'!C:C)&lt;=400,(_xlfn.XLOOKUP(B382,'Base stats'!B:B,'Base stats'!C:C)/70)^0.572811455315093,IF(_xlfn.XLOOKUP(B382,'Base stats'!B:B,'Base stats'!C:C)&lt;=2000,2.71391647193063*(_xlfn.XLOOKUP(B382,'Base stats'!B:B,'Base stats'!C:C)/400)^0.252459582904293,3.74314280240376*(_xlfn.XLOOKUP(B382,'Base stats'!B:B,'Base stats'!C:C)/2000)^0.357012633876913)))))),
IF(_xlfn.XLOOKUP(B382,'Base stats'!B:B,'Base stats'!C:C)&lt;0.1,0.05,IF(_xlfn.XLOOKUP(B382,'Base stats'!B:B,'Base stats'!C:C)&lt;=100,0.05,IF(_xlfn.XLOOKUP(B382,'Base stats'!B:B,'Base stats'!C:C)&lt;=250,0.1,IF(_xlfn.XLOOKUP(B382,'Base stats'!B:B,'Base stats'!C:C)&lt;=4000,0.25,0.5)))))</f>
        <v>8</v>
      </c>
      <c r="AP382" s="8">
        <f>MROUND(AO382*_xlfn.XLOOKUP(_xlfn.XLOOKUP(B382,'Base stats'!B:B,'Base stats'!E:E),Groups!A:A,Groups!AI:AI)*_xlfn.XLOOKUP(B382,'Base stats'!B:B,'Base stats'!Z:Z),0.05)</f>
        <v>9.6000000000000014</v>
      </c>
      <c r="AQ382" s="8">
        <f>MAX(0.01,MROUND(IF(CC382="True",0.196*(AO382*100*1000)^0.889,IF(_xlfn.XLOOKUP(_xlfn.XLOOKUP(B382,'Base stats'!B:B,'Base stats'!E:E),Groups!A:A,Groups!AJ:AJ)="Bird",10.5*(AO382*100*1000)^0.681,4.82*(AO382*100*1000)^0.734))/(4.82*(1*100*1000)^0.734)/IF(AO382&lt;3.5,2,IF(AO382=3.5,1.5,1.25))*(1+0.132282374779864/(AO382^0.994035016789033+0.00905238001496948)),0.05))</f>
        <v>3.75</v>
      </c>
      <c r="AR382" s="9">
        <f>IFERROR(MROUND(_xlfn.XLOOKUP(B382,'Base stats'!B:B,'Base stats'!H:H)/IF(_xlfn.XLOOKUP(B382,'Base stats'!B:B,'Base stats'!I:I)&lt;&gt;1,(122.5/70),1.2),IF(_xlfn.XLOOKUP(B382,'Base stats'!B:B,'Base stats'!H:H)&gt;=30,5,IF(_xlfn.XLOOKUP(B382,'Base stats'!B:B,'Base stats'!H:H)&gt;=15,3,IF(_xlfn.XLOOKUP(B382,'Base stats'!B:B,'Base stats'!H:H)&gt;=10,2,1)))),"Immortal")</f>
        <v>55</v>
      </c>
      <c r="AS382" s="35">
        <f>IFERROR(IF(OR(_xlfn.XLOOKUP(B382,'Base stats'!B:B,'Base stats'!F:F)="Atypical reproduction",_xlfn.XLOOKUP(B382,'Base stats'!B:B,'Base stats'!F:F)="Lay eggs"),"Lay eggs",MIN(20,MAX(5.5,ROUND(((_xlfn.XLOOKUP(B382,'Base stats'!B:B,'Base stats'!F:F)-25)*(14.5/615) + 5.5)*2,0)/2))),"Unknown")</f>
        <v>20</v>
      </c>
      <c r="AT382" s="8">
        <f>IF(_xlfn.XLOOKUP(B382,'Base stats'!B:B,'Base stats'!G:G)="Atypical reproduction","No",IFERROR(MAX(IF(_xlfn.XLOOKUP(B382,'Base stats'!B:B,'Base stats'!G:G)&lt;0.5,0.2,0.3),MROUND(_xlfn.XLOOKUP(B382,'Base stats'!B:B,'Base stats'!G:G)/(365/60),0.2)),"Unknown"))</f>
        <v>1.8</v>
      </c>
      <c r="AU382" s="8">
        <f t="shared" si="43"/>
        <v>0.9</v>
      </c>
      <c r="AV382" s="8">
        <f>IFERROR(IFERROR(MROUND(_xlfn.XLOOKUP(B382,'Base stats'!B:B,'Base stats'!J:J),0.1),"Lay eggs"),"Cannot breed")</f>
        <v>1</v>
      </c>
      <c r="AW382" s="2" t="str">
        <f t="shared" si="44"/>
        <v>false</v>
      </c>
      <c r="AX382" s="2" t="str">
        <f>IF(_xlfn.XLOOKUP(_xlfn.XLOOKUP(Animals!B382,'Base stats'!B:B,'Base stats'!E:E),Groups!A:A,Groups!AK:AK)=1,"true","false")</f>
        <v>false</v>
      </c>
      <c r="AY382" s="25" t="str">
        <f>IF(_xlfn.XLOOKUP(B382,'Base stats'!B:B,'Base stats'!Y:Y)="Liquor","Liquor, CarnivoreAnimalStrict",IF(AND(_xlfn.XLOOKUP(B382,'Base stats'!B:B,'Base stats'!Y:Y)="Carnivore",_xlfn.XLOOKUP(_xlfn.XLOOKUP(B382,'Base stats'!B:B,'Base stats'!E:E),Groups!A:A,Groups!AJ:AJ)="Photonozoa"),"CarnivoreAnimalStrict, OvivoreAnimal",IF(_xlfn.XLOOKUP(B382,'Base stats'!B:B,'Base stats'!Y:Y)="Carnivore","CarnivoreAnimal, OvivoreAnimal",IF(_xlfn.XLOOKUP(B382,'Base stats'!B:B,'Base stats'!Y:Y)="Dendrovore","VegetarianRoughAnimal, DendrovoreAnimal",IF(_xlfn.XLOOKUP(B382,'Base stats'!B:B,'Base stats'!Y:Y)="Herbivore","VegetarianRoughAnimal",IF(_xlfn.XLOOKUP(B382,'Base stats'!B:B,'Base stats'!Y:Y)="OmnivoreRough","OmnivoreRoughAnimal, OvivoreAnimal","OmnivoreAnimal, OvivoreAnimal"))))))</f>
        <v>VegetarianRoughAnimal</v>
      </c>
      <c r="AZ382" s="2">
        <f>IF(_xlfn.XLOOKUP(_xlfn.XLOOKUP(B382,'Base stats'!B:B,'Base stats'!E:E),Groups!A:A,Groups!D:D)=1,MROUND((1-J382)*5+1,2)*IF(J382&lt;=0.4,2,1),"No")</f>
        <v>2</v>
      </c>
      <c r="BA382" s="2" t="str">
        <f>IF(AND(_xlfn.XLOOKUP(B382,'Base stats'!B:B,'Base stats'!AH:AH)="&lt;li&gt;Seal&lt;/li&gt;",G382="Odyssey"),"&lt;li&gt;AEXP_Seal&lt;/li&gt;",_xlfn.XLOOKUP(B382,'Base stats'!B:B,'Base stats'!AH:AH))</f>
        <v>&lt;li&gt;Rhinoceros&lt;/li&gt;</v>
      </c>
      <c r="BB382" s="2" t="str">
        <f>_xlfn.XLOOKUP(B382,'Base stats'!B:B,'Base stats'!AG:AG)</f>
        <v>Leather_Rhinoceros</v>
      </c>
      <c r="BC382" s="23" t="str">
        <f>_xlfn.XLOOKUP(_xlfn.XLOOKUP(B382,'Base stats'!B:B,'Base stats'!E:E),Groups!A:A,Groups!AL:AL)</f>
        <v>QuadrupedAnimalWithHooves</v>
      </c>
      <c r="BD382" s="23">
        <f>MIN(1,MROUND(IF(AND(AO382&lt;0.5,_xlfn.XLOOKUP(B382,'Base stats'!B:B,'Base stats'!AA:AA)=0),0,IF(OR(_xlfn.XLOOKUP(Animals!B382,'Base stats'!B:B,'Base stats'!O:O)=2,_xlfn.XLOOKUP(_xlfn.XLOOKUP(B382,'Base stats'!B:B,'Base stats'!E:E),Groups!A:A,Groups!AN:AN)=0),0,_xlfn.XLOOKUP(_xlfn.XLOOKUP(B382,'Base stats'!B:B,'Base stats'!E:E),Groups!A:A,Groups!AN:AN)/IF(_xlfn.XLOOKUP(Animals!B382,'Base stats'!B:B,'Base stats'!O:O)=1,2,1)))+_xlfn.XLOOKUP(B382,'Base stats'!B:B,'Base stats'!AC:AC),0.005))</f>
        <v>0.1</v>
      </c>
      <c r="BE382" s="23">
        <f>MIN(1,MROUND(IF(AND(AO382&lt;0.5,_xlfn.XLOOKUP(B382,'Base stats'!B:B,'Base stats'!AA:AA)=0),0,IF(_xlfn.XLOOKUP(_xlfn.XLOOKUP(B382,'Base stats'!B:B,'Base stats'!E:E),Groups!A:A,Groups!AO:AO)=0,0,_xlfn.XLOOKUP(_xlfn.XLOOKUP(B382,'Base stats'!B:B,'Base stats'!E:E),Groups!A:A,Groups!AO:AO)/IF(_xlfn.XLOOKUP(Animals!B382,'Base stats'!B:B,'Base stats'!O:O)=2,3,1)))+_xlfn.XLOOKUP(B382,'Base stats'!B:B,'Base stats'!AD:AD),0.005))</f>
        <v>0.3</v>
      </c>
      <c r="BF382" s="2" t="str">
        <f>IF(J382&gt;0.3,"No",_xlfn.XLOOKUP(_xlfn.XLOOKUP(Animals!B382,'Base stats'!B:B,'Base stats'!E:E),Groups!A:A,Groups!AP:AP))</f>
        <v>No</v>
      </c>
      <c r="BG382" s="2" t="str">
        <f>IF(AND(J382&lt;=0.65,_xlfn.XLOOKUP(_xlfn.XLOOKUP(Animals!B382,'Base stats'!B:B,'Base stats'!E:E),Groups!A:A,Groups!AP:AP)&lt;&gt;"No",_xlfn.XLOOKUP(_xlfn.XLOOKUP(B382,'Base stats'!B:B,'Base stats'!E:E),Groups!A:A,Groups!D:D)=0),MROUND((80/3)*IF(_xlfn.XLOOKUP(B382,'Base stats'!B:B,'Base stats'!O:O)=2,0.2,AO382) + 24*(1-IF(BF382="No",0,BF382)) + 16/3, 12),"No")</f>
        <v>No</v>
      </c>
      <c r="BH382" s="2">
        <f>IF(AND(_xlfn.XLOOKUP(_xlfn.XLOOKUP(B382,'Base stats'!B:B,'Base stats'!E:E),Groups!A:A,Groups!AQ:AQ)=1,AO382&lt;=0.35),8,12)</f>
        <v>12</v>
      </c>
      <c r="BI382" s="2" t="str">
        <f>IF(_xlfn.XLOOKUP(_xlfn.XLOOKUP(B382,'Base stats'!B:B,'Base stats'!E:E),Groups!A:A,Groups!D:D)=0,_xlfn.XLOOKUP(_xlfn.XLOOKUP(B382,'Base stats'!B:B,'Base stats'!E:E),Groups!A:A,Groups!AR:AR),"None")</f>
        <v>None</v>
      </c>
      <c r="BJ382" s="2" t="str">
        <f>IF(AND(_xlfn.XLOOKUP(_xlfn.XLOOKUP(B382,'Base stats'!B:B,'Base stats'!E:E),Groups!A:A,Groups!AS:AS)=1,OR(_xlfn.XLOOKUP(B382,'Base stats'!B:B,'Base stats'!Y:Y)="Carnivore",_xlfn.XLOOKUP(B382,'Base stats'!B:B,'Base stats'!Y:Y)="Omnivore")),"true","false")</f>
        <v>false</v>
      </c>
      <c r="BK382" s="2" t="str">
        <f>IF(BJ382="true",MROUND(IF(AND(AO382&gt;0.5,OR(_xlfn.XLOOKUP(_xlfn.XLOOKUP(B382,'Base stats'!B:B,'Base stats'!E:E),Groups!A:A,Groups!AJ:AJ)="Photonozoa",_xlfn.XLOOKUP(_xlfn.XLOOKUP(B382,'Base stats'!B:B,'Base stats'!E:E),Groups!A:A,Groups!AJ:AJ)="Mammal")),Animals!AO382*1.75*IF(AW382="true",1.5,1),IF(AO382&lt;0.5,Animals!AO382*0.5,Animals!AO382)),IF(AO382&gt;2,0.5,IF(AO382&gt;0.5,0.25,0.1))),"No")</f>
        <v>No</v>
      </c>
      <c r="BL382" s="2">
        <f t="shared" si="45"/>
        <v>0</v>
      </c>
      <c r="BM382" s="25" t="str">
        <f>IF(_xlfn.XLOOKUP(B382,'Base stats'!B:B,'Base stats'!AN:AN)="Standard","No",MROUND((_xlfn.XLOOKUP(B382,'Base stats'!B:B,'Base stats'!AN:AN)/3.6)/I382,0.1))</f>
        <v>No</v>
      </c>
      <c r="BN382" s="25" t="str">
        <f t="shared" si="46"/>
        <v>false</v>
      </c>
      <c r="BO382" s="25" t="str">
        <f>IF(AND(OR(_xlfn.XLOOKUP(B382,'Base stats'!B:B,'Base stats'!Y:Y)="Carnivore",_xlfn.XLOOKUP(B382,'Base stats'!B:B,'Base stats'!Y:Y)="Omnivore",_xlfn.XLOOKUP(B382,'Base stats'!B:B,'Base stats'!Y:Y)="OmnivoreRough"),_xlfn.XLOOKUP(_xlfn.XLOOKUP(B382,'Base stats'!B:B,'Base stats'!E:E),Groups!A:A,Groups!AT:AT)=1),"true","false")</f>
        <v>false</v>
      </c>
      <c r="BP382" s="25" t="str" cm="1">
        <f t="array" ref="BP382">IF(
  _xlfn.TEXTJOIN(", ",TRUE,
    IF(AND(BJ382="true",AO382&gt;0.5,BI382&lt;&gt;"None"),"AttackTarget",""),
    IF(AND(_xlfn.XLOOKUP(_xlfn.XLOOKUP(B382,'Base stats'!B:B,'Base stats'!E:E),Groups!A:A,Groups!AJ:AJ="Mammal"),OR(_xlfn.XLOOKUP(B382,'Base stats'!B:B,'Base stats'!Y:Y)="Omnivore",_xlfn.XLOOKUP(B382,'Base stats'!B:B,'Base stats'!Y:Y)="OmnivoreRough")),"Forage",""),
    IF(BG382&lt;=36,"Comfort",""),
    IF(_xlfn.XLOOKUP(B382,'Base stats'!B:B,'Base stats'!AE:AE)&lt;&gt;"No",_xlfn.XLOOKUP(B382,'Base stats'!B:B,'Base stats'!AE:AE),"")
  ) = "",
  "No",
  _xlfn.TEXTJOIN(", ",TRUE,
    IF(AND(BJ382="true",AO382&gt;0.5,BI382&lt;&gt;"None"),"AttackTarget",""),
    IF(AND(_xlfn.XLOOKUP(_xlfn.XLOOKUP(B382,'Base stats'!B:B,'Base stats'!E:E),Groups!A:A,Groups!AJ:AJ="Mammal"),OR(_xlfn.XLOOKUP(B382,'Base stats'!B:B,'Base stats'!Y:Y)="Omnivore",_xlfn.XLOOKUP(B382,'Base stats'!B:B,'Base stats'!Y:Y)="OmnivoreRough")),"Forage",""),
    IF(BG382&lt;=36,"Comfort",""),
    IF(_xlfn.XLOOKUP(B382,'Base stats'!B:B,'Base stats'!AE:AE)&lt;&gt;"No",_xlfn.XLOOKUP(B382,'Base stats'!B:B,'Base stats'!AE:AE),"")
  )
)</f>
        <v>No</v>
      </c>
      <c r="BQ382" s="25" t="str">
        <f>IF(
   AND(
      'Base stats'!AN382="Standard",_xlfn.XLOOKUP(_xlfn.XLOOKUP(B382,'Base stats'!B:B,'Base stats'!E:E),Groups!A:A,Groups!AU:AU)=0,
      OR(
      BO382="True"
      )
   ),
   10,
   IF(
       OR(BM382&lt;&gt;"No",_xlfn.XLOOKUP(_xlfn.XLOOKUP(B382,'Base stats'!B:B,'Base stats'!E:E),Groups!A:A,Groups!AU:AU)=1),
      1,
      "No"
   )
)</f>
        <v>No</v>
      </c>
      <c r="BR382" s="9">
        <f>MROUND((1 + ((0.2*IF(OR(Q382="No",R382="No",R382=0),0,Q382/R382)
+IF(OR(V382="No",S382="No",T382="No"),0,S382/T382*(LEN(V382)-LEN(SUBSTITUTE(V382,",",""))+1))
+IF(OR(X382="No",Y382="No"),0,X382/Y382)
+IF(OR(AD382="No",AE382="No"),0,AD382/AE382)
+IF(OR(AL382="No",AI382="No",AJ382="No"),0,AI382/AJ382*(LEN(AL382)-LEN(SUBSTITUTE(AL382,",",""))+1))
)/(0.2*IF(OR(Q382="No",R382="No",R382=0),0,1)
+IF(OR(V382="No",S382="No",T382="No"),0,LEN(V382)-LEN(SUBSTITUTE(V382,",",""))+1)
+IF(OR(X382="No",Y382="No"),0,1)
+IF(OR(AD382="No",AE382="No"),0,1)
+IF(OR(AL382="No",AI382="No",AJ382="No"),0,LEN(AL382)-LEN(SUBSTITUTE(AL382,",",""))+1))*62%)* 2)*(1 + (AP382 / (IF(_xlfn.XLOOKUP(_xlfn.XLOOKUP(B382,'Base stats'!B:B,'Base stats'!E:E),Groups!A:A,Groups!AJ:AJ)="Photonozoa",0.3,1)) + _xlfn.XLOOKUP(B382,'Base stats'!B:B,'Base stats'!AV:AV) * 1.8) * 2) * 2.5 + 10 + I382 * 2,5)+IF(_xlfn.XLOOKUP(B382,'Base stats'!B:B,'Base stats'!AK:AK)=1,50,0)</f>
        <v>965</v>
      </c>
      <c r="BS382" s="8">
        <f t="shared" si="47"/>
        <v>4.6000000000000005</v>
      </c>
      <c r="BT382" s="8" t="str">
        <f>_xlfn.XLOOKUP(B382,'Base stats'!B:B,'Base stats'!AF:AF)</f>
        <v>No</v>
      </c>
      <c r="BU382" s="2" t="str">
        <f>IF(AND(J382&lt;=0.95,OR(_xlfn.XLOOKUP(B382,'Base stats'!B:B,'Base stats'!AK:AK)=1,_xlfn.XLOOKUP(B382,'Base stats'!B:B,'Base stats'!Y:Y)="Carnivore",_xlfn.XLOOKUP(B382,'Base stats'!B:B,'Base stats'!Y:Y)="Omnivore",BE382&gt;0.1)),"true","false")</f>
        <v>false</v>
      </c>
      <c r="BV382" s="2" t="str">
        <f>IF(_xlfn.XLOOKUP(B382,'Base stats'!B:B,'Base stats'!AI:AI)=1,"true","false")</f>
        <v>true</v>
      </c>
      <c r="BW382" s="25" t="str">
        <f>IF(E382="BaseInsect","AnimalInsect",
IF(J382&gt;0.95,"AnimalExotic",
_xlfn.TEXTJOIN(", ",TRUE,
IF(OR(_xlfn.XLOOKUP(B382,'Base stats'!B:B,'Base stats'!AM:AM)=1,AND(_xlfn.XLOOKUP(B382,'Base stats'!B:B,'Base stats'!O:O)=0,_xlfn.XLOOKUP(_xlfn.XLOOKUP(B382,'Base stats'!B:B,'Base stats'!E:E),Groups!A:A,Groups!B:B)&gt;0)),"AnimalUncommon","AnimalCommon"),
IF(AND(_xlfn.XLOOKUP(B382,'Base stats'!B:B,'Base stats'!O:O)=2,_xlfn.XLOOKUP(_xlfn.XLOOKUP(B382,'Base stats'!B:B,'Base stats'!E:E),Groups!A:A,Groups!D:D)=0),"AnimalPet",IF(AND(_xlfn.XLOOKUP(B382,'Base stats'!B:B,'Base stats'!O:O)&lt;&gt;0,_xlfn.XLOOKUP(_xlfn.XLOOKUP(B382,'Base stats'!B:B,'Base stats'!E:E),Groups!A:A,Groups!D:D)&lt;&gt;0),"AnimalFarm","")),
IF(OR(_xlfn.XLOOKUP(B382,'Base stats'!B:B,'Base stats'!AK:AK)=1,AND(BI382&lt;&gt;"None",BR382&gt;=60),ISNUMBER(SEARCH("Attack target",BP382))),"AnimalFighter","")
)))</f>
        <v>AnimalExotic</v>
      </c>
      <c r="BX382" s="25" t="str">
        <f>IF(G382="None",TRIM(
SUBSTITUTE(
IF(COUNTIF(Biomes!B$2:B$259,"="&amp;$C382)&gt;0,Biomes!B$1&amp;", ","")&amp;
IF(COUNTIF(Biomes!C$2:C$259,"="&amp;$C382)&gt;0,Biomes!C$1&amp;", ","")&amp;
IF(COUNTIF(Biomes!D$2:D$259,"="&amp;$C382)&gt;0,Biomes!D$1&amp;", ","")&amp;
IF(COUNTIF(Biomes!F$2:F$259,"="&amp;$C382)&gt;0,Biomes!F$1&amp;", ","")&amp;
IF(COUNTIF(Biomes!G$2:G$259,"="&amp;$C382)&gt;0,Biomes!G$1&amp;", ","")&amp;
IF(COUNTIF(Biomes!H$2:H$259,"="&amp;$C382)&gt;0,Biomes!H$1&amp;", ","")&amp;
IF(COUNTIF(Biomes!I$2:I$259,"="&amp;$C382)&gt;0,Biomes!I$1&amp;", ","")&amp;
IF(COUNTIF(Biomes!J$2:J$259,"="&amp;$C382)&gt;0,Biomes!J$1&amp;", ","")&amp;
IF(COUNTIF(Biomes!M$2:M$259,"="&amp;$C382)&gt;0,Biomes!M$1&amp;", ","")&amp;
IF(COUNTIF(Biomes!N$2:N$259,"="&amp;$C382)&gt;0,Biomes!N$1&amp;", ","")&amp;
IF(COUNTIF(Biomes!O$2:O$259,"="&amp;$C382)&gt;0,Biomes!O$1&amp;", ","")&amp;
IF(COUNTIF(Biomes!P$2:P$259,"="&amp;$C382)&gt;0,Biomes!P$1&amp;", ","")&amp;
IF(COUNTIF(Biomes!K$2:K$259,"="&amp;$C382)&gt;0,Biomes!K$1&amp;", ","")&amp;
IF(COUNTIF(Biomes!Q$3:Q$259,"="&amp;$C382)&gt;0,Biomes!Q$1&amp;", ","")&amp;
IF(COUNTIF(Biomes!L$2:L$259,"="&amp;$C382)&gt;0,Biomes!L$1&amp;", ","")&amp;
IF(COUNTIF(Biomes!E$2:E$259,"="&amp;$C382)&gt;0,Biomes!E$1&amp;", ","")&amp;IF(COUNTIF(Biomes!S$2:S$259,"="&amp;$C382)&gt;0,Biomes!S$1&amp;", ","")&amp;
IF(COUNTIF(Biomes!R$2:R$259,"="&amp;$C382)&gt;0,Biomes!R$1&amp;", ",""),", ","")
),_xlfn.XLOOKUP(B382,B:B,BX:BX))</f>
        <v/>
      </c>
      <c r="BY382" s="25" t="str">
        <f>IF(_xlfn.XLOOKUP(B382,'Base stats'!B:B,'Base stats'!AJ:AJ)=1,"true","false")</f>
        <v>false</v>
      </c>
      <c r="BZ382" s="25">
        <f>IF(_xlfn.XLOOKUP(B382,'Base stats'!B:B,'Base stats'!N:N)=1,"No",MAX(0.001,MIN(MROUND(IF(AND(BJ382="True",CC382="False"),POWER(10,3.47*LOG10(_xlfn.XLOOKUP(B382,'Base stats'!B:B,'Base stats'!C:C)*1000)^-0.96),POWER(10,4.15*LOG10(_xlfn.XLOOKUP(B382,'Base stats'!B:B,'Base stats'!C:C)*1000)^-0.73))*IF(_xlfn.XLOOKUP(B382,'Base stats'!B:B,'Base stats'!AK:AK)=1,0.5,1)*IF(_xlfn.XLOOKUP(B382,'Base stats'!B:B,'Base stats'!AM:AM)=1,0.1,1)/100,IF(_xlfn.XLOOKUP(B382,'Base stats'!B:B,'Base stats'!AM:AM)=1,0.001,0.025)),0.5)))</f>
        <v>0.1</v>
      </c>
      <c r="CA382" s="25" t="str">
        <f>IF(P382="Standard","No",MAX(0.001,MIN(MROUND(IF(AND(BJ382="True",CC382="False"),POWER(10,3.47*LOG10(_xlfn.XLOOKUP(B382,'Base stats'!B:B,'Base stats'!C:C)*1000)^-0.96),POWER(10,4.15*LOG10(_xlfn.XLOOKUP(B382,'Base stats'!B:B,'Base stats'!C:C)*1000)^-0.73))*IF(_xlfn.XLOOKUP(B382,'Base stats'!B:B,'Base stats'!AM:AM)=1,0.1,1)*_xlfn.XLOOKUP(B382,'Base stats'!B:B,'Base stats'!R:R)/100,IF(_xlfn.XLOOKUP(B382,'Base stats'!B:B,'Base stats'!AM:AM)=1,0.001,0.025)),0.5)))</f>
        <v>No</v>
      </c>
      <c r="CB382" s="25" t="str">
        <f>IF(_xlfn.XLOOKUP(_xlfn.XLOOKUP(B382,'Base stats'!B:B,'Base stats'!E:E),Groups!A:A,Groups!AJ:AJ)="Mammal","True","False")</f>
        <v>True</v>
      </c>
      <c r="CC382" s="25" t="str">
        <f>IF(OR(_xlfn.XLOOKUP(_xlfn.XLOOKUP(B382,'Base stats'!B:B,'Base stats'!E:E),Groups!A:A,Groups!AJ:AJ)="Reptile",_xlfn.XLOOKUP(_xlfn.XLOOKUP(B382,'Base stats'!B:B,'Base stats'!E:E),Groups!A:A,Groups!AJ:AJ)="Amphibian",_xlfn.XLOOKUP(_xlfn.XLOOKUP(B382,'Base stats'!B:B,'Base stats'!E:E),Groups!A:A,Groups!AJ:AJ)="Invertebrate"),"True","False")</f>
        <v>False</v>
      </c>
      <c r="CD382" s="25" t="str">
        <f t="shared" si="48"/>
        <v>True</v>
      </c>
      <c r="CE382" s="25" t="str">
        <f>IF(_xlfn.XLOOKUP(_xlfn.XLOOKUP(B382,'Base stats'!B:B,'Base stats'!E:E),Groups!A:A,Groups!AX:AX),"True","False")</f>
        <v>False</v>
      </c>
      <c r="CF382" s="25" t="str">
        <f>IF(_xlfn.XLOOKUP(_xlfn.XLOOKUP(B382,'Base stats'!B:B,'Base stats'!E:E),Groups!A:A,Groups!AY:AY),"True","False")</f>
        <v>False</v>
      </c>
      <c r="CG382" s="25" t="str">
        <f>IF(_xlfn.XLOOKUP(_xlfn.XLOOKUP(B382,'Base stats'!B:B,'Base stats'!E:E),Groups!A:A,Groups!AW:AW),"True","False")</f>
        <v>False</v>
      </c>
      <c r="CH382" s="25" t="str">
        <f>IF(
OR(
_xlfn.XLOOKUP(_xlfn.XLOOKUP(B382,'Base stats'!B:B,'Base stats'!E:E),Groups!A:A,Groups!AZ:AZ)=0,
AND(
_xlfn.XLOOKUP(B382,'Base stats'!B:B,'Base stats'!Y:Y)&lt;&gt;"Carnivore",
_xlfn.XLOOKUP(B382,'Base stats'!B:B,'Base stats'!Y:Y)&lt;&gt;"Omnivore",
_xlfn.XLOOKUP(B382,'Base stats'!B:B,'Base stats'!Y:Y)&lt;&gt;"OmnivoreRough"
)
),
"No",
IF(
_xlfn.XLOOKUP(_xlfn.XLOOKUP(B382,'Base stats'!B:B,'Base stats'!E:E),Groups!A:A,Groups!AZ:AZ)=1,
"Flesh",
IF(
_xlfn.XLOOKUP(_xlfn.XLOOKUP(B382,'Base stats'!B:B,'Base stats'!E:E),Groups!A:A,Groups!AZ:AZ)=2,
"Bone",
""
)
)
)</f>
        <v>No</v>
      </c>
      <c r="CI382" s="25" t="str">
        <f>IF(_xlfn.XLOOKUP(_xlfn.XLOOKUP(B382,'Base stats'!B:B,'Base stats'!E:E),Groups!A:A,Groups!BB:BB),"True","False")</f>
        <v>True</v>
      </c>
      <c r="CJ382" s="25" t="str">
        <f>IF(_xlfn.XLOOKUP(_xlfn.XLOOKUP(B382,'Base stats'!B:B,'Base stats'!E:E),Groups!A:A,Groups!BA:BA),"True","False")</f>
        <v>False</v>
      </c>
    </row>
    <row r="383" spans="1:88" ht="16.5" thickTop="1" thickBot="1" x14ac:dyDescent="0.3">
      <c r="A383" s="26" t="s">
        <v>2072</v>
      </c>
      <c r="B383" s="6" t="str">
        <f>_xlfn.XLOOKUP(A383,'Base stats'!A:A,'Base stats'!B:B)</f>
        <v>Titanis walleri</v>
      </c>
      <c r="C383" s="28" t="s">
        <v>2125</v>
      </c>
      <c r="D383" s="28" t="s">
        <v>2126</v>
      </c>
      <c r="E383" s="28" t="s">
        <v>673</v>
      </c>
      <c r="F383" s="28" t="s">
        <v>673</v>
      </c>
      <c r="G383" s="28" t="s">
        <v>673</v>
      </c>
      <c r="H383" s="2">
        <f>MROUND((
  (IF(AND(_xlfn.XLOOKUP(B383,'Base stats'!B:B,'Base stats'!AL:AL)=0,BI383="None",_xlfn.XLOOKUP(_xlfn.XLOOKUP(B383,'Base stats'!B:B,'Base stats'!E:E),Groups!A:A,Groups!B:B)=0), (18 + BR383 * 2.7) * 0.5,
    IF(AND(_xlfn.XLOOKUP(B383,'Base stats'!B:B,'Base stats'!AL:AL)=0,OR(AO383&lt;0.55,AND(BI383="Intermediate",_xlfn.XLOOKUP(_xlfn.XLOOKUP(B383,'Base stats'!B:B,'Base stats'!E:E),Groups!A:A,Groups!B:B)&lt;2))), (18 + BR383 * 2.7),
      IF(OR(BI383="Advanced",_xlfn.XLOOKUP(B383,'Base stats'!B:B,'Base stats'!AL:AL)=1,_xlfn.XLOOKUP(_xlfn.XLOOKUP(B383,'Base stats'!B:B,'Base stats'!E:E),Groups!A:A,Groups!B:B)=2), (18 + BR383 * 2.7) + 250, (18 + BR383 * 2.7))
    )
  ))
  + AO383 * 80
  + IF(COUNTIF(EggMilk!K$2:K$998, A383) &gt; 0, 125, 0)
  + IF(COUNTIF(EggMilk!P$2:P$998, A383) &gt; 0, 90, 0)
  + IF(COUNTIF(EggMilk!A$2:A$998, A383) &gt; 0, 90, 0)
)
* (0.8 + 0.4 * J383)
* 0.75,25)</f>
        <v>425</v>
      </c>
      <c r="I383" s="2">
        <f>MROUND(ROUNDDOWN(_xlfn.XLOOKUP(B383,'Base stats'!B:B,'Base stats'!L:L)/3.6/(23.3/11),1),0.5)</f>
        <v>5.5</v>
      </c>
      <c r="J383" s="2">
        <f>IF(OR(_xlfn.XLOOKUP(B383,'Base stats'!B:B,'Base stats'!AB:AB)=1,_xlfn.XLOOKUP(_xlfn.XLOOKUP(B383,'Base stats'!B:B,'Base stats'!E:E),Groups!A:A,Groups!C:C)="Untamable"),1,IF(_xlfn.XLOOKUP(B383,'Base stats'!B:B,'Base stats'!AL:AL)=1,0.99,MIN(MROUND((1-0.6282*EXP(-0.459*AO383))*_xlfn.XLOOKUP(_xlfn.XLOOKUP(B383,'Base stats'!B:B,'Base stats'!E:E),Groups!A:A,Groups!C:C)*IF(_xlfn.XLOOKUP(B383,'Base stats'!B:B,'Base stats'!O:O)=1,0.5,IF(_xlfn.XLOOKUP(B383,'Base stats'!B:B,'Base stats'!O:O)=2,0,1)),0.05),IF(AO383&gt;3.5,0.985,0.95))))</f>
        <v>0.85000000000000009</v>
      </c>
      <c r="K383" s="2">
        <f>ROUNDUP(AO383*_xlfn.XLOOKUP(_xlfn.XLOOKUP(B383,'Base stats'!B:B,'Base stats'!E:E),Groups!A:A,Groups!E:E),0)</f>
        <v>17</v>
      </c>
      <c r="L383" s="2">
        <f>IF(OR(_xlfn.XLOOKUP(_xlfn.XLOOKUP(B383,'Base stats'!B:B,'Base stats'!E:E),Groups!A:A,Groups!F:F)=2,ISNUMBER(SEARCH("SeaIce",BX383)),ISNUMBER(SEARCH("IceSheet",BX383))),-50,IF(OR(ISNUMBER(SEARCH("GlacialPlain",BX383)),ISNUMBER(SEARCH("Tundra",BX383))),-40,IF(OR(ISNUMBER(SEARCH("Alpine",BX383)),ISNUMBER(SEARCH("BorealForest",BX383)),ISNUMBER(SEARCH("ColdBog",BX383))),-30,IF(OR(ISNUMBER(SEARCH("TemperateForest",BX383)),ISNUMBER(SEARCH("TemperateSwamp",BX383))),-20,IF(_xlfn.XLOOKUP(_xlfn.XLOOKUP(B383,'Base stats'!B:B,'Base stats'!E:E),Groups!A:A,Groups!F:F)=1,-15,IF(OR(ISNUMBER(SEARCH("Desert",BX383)),ISNUMBER(SEARCH("ExtremeDesert",BX383))),-10,IF(OR(ISNUMBER(SEARCH("Grasslands",BX383)),ISNUMBER(SEARCH("TropicalRainforest",BX383)),ISNUMBER(SEARCH("TropicalSwamp",BX383))),10,0)))))))-IF(CC383="False",MIN(IFERROR(MAX(MROUND(LOG10(_xlfn.XLOOKUP(B383,'Base stats'!B:B,'Base stats'!C:C)^(2/3))*10,5),5),5),30))-_xlfn.XLOOKUP(B383,'Base stats'!B:B,'Base stats'!P:P)+IF(CC383="True",5,0)</f>
        <v>-15</v>
      </c>
      <c r="M383" s="2">
        <f>IF(OR(_xlfn.XLOOKUP(_xlfn.XLOOKUP(B383,'Base stats'!B:B,'Base stats'!E:E),Groups!A:A,Groups!G:G)=2,ISNUMBER(SEARCH("Desert",BX383)),ISNUMBER(SEARCH("ExtremeDesert",BX383)),ISNUMBER(SEARCH("LavaField",BX383))),50,IF(ISNUMBER(SEARCH("Grasslands",BX383)),45,IF(OR(_xlfn.XLOOKUP(_xlfn.XLOOKUP(B383,'Base stats'!B:B,'Base stats'!E:E),Groups!A:A,Groups!G:G)=1,ISNUMBER(SEARCH("TropicalRainforest",BX383)),ISNUMBER(SEARCH("TropicalSwamp",BX383))),40,IF(OR(ISNUMBER(SEARCH("TemperateForest",BX383)),ISNUMBER(SEARCH("TemperateSwamp",BX383))),35,IF(OR(ISNUMBER(SEARCH("Alpine",BX383)),ISNUMBER(SEARCH("BorealForest",BX383)),ISNUMBER(SEARCH("ColdBog",BX383))),30,IF(ISNUMBER(OR(ISNUMBER(SEARCH("GlacialPlain",BX383)),SEARCH("Tundra",BX383))),25,IF(OR(ISNUMBER(SEARCH("SeaIce",BX383)),ISNUMBER(SEARCH("IceSheet",BX383)),ISNUMBER(SEARCH("TropicalSwamp",BX383))),10,35)))))))+_xlfn.XLOOKUP(B383,'Base stats'!B:B,'Base stats'!Q:Q)</f>
        <v>35</v>
      </c>
      <c r="N383" s="8" t="str">
        <f>IF(
_xlfn.XLOOKUP(
_xlfn.XLOOKUP(B383,'Base stats'!B:B,'Base stats'!E:E),
Groups!A:A,
Groups!L:L
)=1,
MIN(
MROUND(
IF(
_xlfn.XLOOKUP(B383,'Animals CE'!B:B,'Animals CE'!Z:Z)&lt;=1.5,
_xlfn.XLOOKUP(B383,'Animals CE'!B:B,'Animals CE'!Z:Z)/2+0.05,
0.8+
(_xlfn.XLOOKUP(B383,'Animals CE'!B:B,'Animals CE'!Z:Z)-1.5)
*0.02
),
0.05
),
200%
),
"No"
)</f>
        <v>No</v>
      </c>
      <c r="O383" s="8" t="str">
        <f>IF(
_xlfn.XLOOKUP(
_xlfn.XLOOKUP(B383,'Base stats'!B:B,'Base stats'!E:E),
Groups!A:A,
Groups!L:L
)=1,
MIN(
MROUND(
IF(
_xlfn.XLOOKUP(B383,'Animals CE'!B:B,'Animals CE'!AA:AA)&lt;=1.5,
_xlfn.XLOOKUP(B383,'Animals CE'!B:B,'Animals CE'!AA:AA)/2+0.05,
0.8+
(_xlfn.XLOOKUP(B383,'Animals CE'!B:B,'Animals CE'!AA:AA)-1.5)
*0.02
),
0.05
),
200%
),
"No"
)</f>
        <v>No</v>
      </c>
      <c r="P383" s="2" t="str">
        <f>_xlfn.XLOOKUP(B383,'Base stats'!B:B,'Base stats'!R:R)</f>
        <v>Standard</v>
      </c>
      <c r="Q383" s="13">
        <f>MROUND((LOG10(_xlfn.XLOOKUP(B383,'Base stats'!B:B,'Base stats'!AR:AR))*(AO383^0.5)+(_xlfn.XLOOKUP(B383,'Base stats'!B:B,'Base stats'!AR:AR)/1000)^(2/3)+_xlfn.XLOOKUP(B383,'Base stats'!B:B,'Base stats'!BA:BA)/2)+0.5,0.5)</f>
        <v>9.5</v>
      </c>
      <c r="R383" s="7">
        <f>IF(Q383="No","No",MAX(1,MROUND(_xlfn.XLOOKUP(B383,'Base stats'!B:B,'Base stats'!C:C)^0.165,0.05)))</f>
        <v>2.3000000000000003</v>
      </c>
      <c r="S383" s="13">
        <f>IF(_xlfn.XLOOKUP(_xlfn.XLOOKUP(B383,'Base stats'!B:B,'Base stats'!E:E),Groups!A:A,Groups!P:P)=0,"No",MROUND((LOG10(_xlfn.XLOOKUP(B383,'Base stats'!B:B,'Base stats'!AS:AS))*(AO383^0.5)+(_xlfn.XLOOKUP(B383,'Base stats'!B:B,'Base stats'!AS:AS)/1000)^(2/3)+_xlfn.XLOOKUP(B383,'Base stats'!B:B,'Base stats'!BA:BA))+_xlfn.XLOOKUP(B383,'Base stats'!B:B,'Base stats'!AY:AY)+0.5,0.5))</f>
        <v>14</v>
      </c>
      <c r="T383" s="7">
        <f>IF(S383="No","No",MAX(_xlfn.XLOOKUP(_xlfn.XLOOKUP(B383,'Base stats'!B:B,'Base stats'!E:E),Groups!A:A,Groups!Q:Q),MROUND(_xlfn.XLOOKUP(_xlfn.XLOOKUP(B383,'Base stats'!B:B,'Base stats'!E:E),Groups!A:A,Groups!Q:Q)*_xlfn.XLOOKUP(B383,'Base stats'!B:B,'Base stats'!C:C)^0.165,0.05)))</f>
        <v>2.3000000000000003</v>
      </c>
      <c r="U383" s="7" t="str">
        <f>IF(S383="No","No",_xlfn.XLOOKUP(_xlfn.XLOOKUP(B383,'Base stats'!B:B,'Base stats'!E:E),Groups!A:A,Groups!R:R))</f>
        <v>Feet</v>
      </c>
      <c r="V383" s="7" t="str">
        <f>IF(S383="No","No",_xlfn.XLOOKUP(_xlfn.XLOOKUP(B383,'Base stats'!B:B,'Base stats'!E:E),Groups!A:A,Groups!S:S))</f>
        <v>rear left claw, rear  right claw</v>
      </c>
      <c r="W383" s="7" t="str">
        <f>IF(S383="No","No",_xlfn.XLOOKUP(_xlfn.XLOOKUP(B383,'Base stats'!B:B,'Base stats'!E:E),Groups!A:A,Groups!T:T))</f>
        <v>Scratch</v>
      </c>
      <c r="X383" s="13" t="str">
        <f>IF(_xlfn.XLOOKUP(B383,'Base stats'!B:B,'Base stats'!W:W)="No","No",MROUND((LOG10(_xlfn.XLOOKUP(B383,'Base stats'!B:B,'Base stats'!AU:AU))*(AO383^0.5)+(_xlfn.XLOOKUP(B383,'Base stats'!B:B,'Base stats'!AU:AU)/1000)^(2/3)+_xlfn.XLOOKUP(B383,'Base stats'!B:B,'Base stats'!AZ:AZ))+0.5+IF(_xlfn.XLOOKUP(_xlfn.XLOOKUP(B383,'Base stats'!B:B,'Base stats'!E:E),Groups!A:A,Groups!U:U)&lt;&gt;3,_xlfn.XLOOKUP(B383,'Base stats'!B:B,'Base stats'!BA:BA),0),0.5))</f>
        <v>No</v>
      </c>
      <c r="Y383" s="7" t="str">
        <f>IF(X383="No","No",MAX(_xlfn.XLOOKUP(_xlfn.XLOOKUP(B383,'Base stats'!B:B,'Base stats'!E:E),Groups!A:A,Groups!V:V),MROUND(_xlfn.XLOOKUP(_xlfn.XLOOKUP(B383,'Base stats'!B:B,'Base stats'!E:E),Groups!A:A,Groups!V:V)*_xlfn.XLOOKUP(B383,'Base stats'!B:B,'Base stats'!C:C)^0.165,0.05)))</f>
        <v>No</v>
      </c>
      <c r="Z383" s="7" t="str">
        <f>IF(X383="No","No",_xlfn.XLOOKUP(_xlfn.XLOOKUP(B383,'Base stats'!B:B,'Base stats'!E:E),Groups!A:A,Groups!W:W))</f>
        <v>No</v>
      </c>
      <c r="AA383" s="7" t="str">
        <f>IF(X383="No","No",_xlfn.XLOOKUP(_xlfn.XLOOKUP(B383,'Base stats'!B:B,'Base stats'!E:E),Groups!A:A,Groups!X:X))</f>
        <v>No</v>
      </c>
      <c r="AB383" s="7" t="str">
        <f>IF(X383="No","No",_xlfn.XLOOKUP(_xlfn.XLOOKUP(B383,'Base stats'!B:B,'Base stats'!E:E),Groups!A:A,Groups!Y:Y))</f>
        <v>No</v>
      </c>
      <c r="AC383" s="7" t="str">
        <f>_xlfn.XLOOKUP(Animals!B383,'Base stats'!B:B,'Base stats'!X:X)</f>
        <v>False</v>
      </c>
      <c r="AD383" s="13">
        <f>IF(_xlfn.XLOOKUP(B383,'Base stats'!B:B,'Base stats'!AT:AT)="No","No",MROUND((LOG10(_xlfn.XLOOKUP(B383,'Base stats'!B:B,'Base stats'!AT:AT))*(AO383^0.75)+(_xlfn.XLOOKUP(B383,'Base stats'!B:B,'Base stats'!AT:AT)/1000)^(2/3)+_xlfn.XLOOKUP(B383,'Base stats'!B:B,'Base stats'!AX:AX)+_xlfn.XLOOKUP(B383,'Base stats'!B:B,'Base stats'!BA:BA))+0.5,0.5))</f>
        <v>10</v>
      </c>
      <c r="AE383" s="7">
        <f>IF(AD383="No","No",MAX(_xlfn.XLOOKUP(_xlfn.XLOOKUP(B383,'Base stats'!B:B,'Base stats'!E:E),Groups!A:A,Groups!Z:Z),MROUND(_xlfn.XLOOKUP(_xlfn.XLOOKUP(B383,'Base stats'!B:B,'Base stats'!E:E),Groups!A:A,Groups!Z:Z)*_xlfn.XLOOKUP(B383,'Base stats'!B:B,'Base stats'!C:C)^0.165,0.05)))</f>
        <v>1.85</v>
      </c>
      <c r="AF383" s="7" t="str">
        <f>IF(AD383="No","No",_xlfn.XLOOKUP(_xlfn.XLOOKUP(B383,'Base stats'!B:B,'Base stats'!E:E),Groups!A:A,Groups!AA:AA))</f>
        <v>Beak</v>
      </c>
      <c r="AG383" s="7" t="str">
        <f>IF(AD383="No","No",_xlfn.XLOOKUP(_xlfn.XLOOKUP(B383,'Base stats'!B:B,'Base stats'!E:E),Groups!A:A,Groups!AB:AB))</f>
        <v>beak</v>
      </c>
      <c r="AH383" s="7" t="str">
        <f>IF(AD383="No","No",_xlfn.XLOOKUP(_xlfn.XLOOKUP(B383,'Base stats'!B:B,'Base stats'!E:E),Groups!A:A,Groups!AC:AC))</f>
        <v>Blunt</v>
      </c>
      <c r="AI383" s="13" t="str">
        <f>IF(_xlfn.XLOOKUP(_xlfn.XLOOKUP(B383,'Base stats'!B:B,'Base stats'!E:E),Groups!A:A,Groups!AD:AD)=0,"No",MROUND((LOG10(_xlfn.XLOOKUP(B383,'Base stats'!B:B,'Base stats'!AS:AS))*(AO383^0.75)+(_xlfn.XLOOKUP(B383,'Base stats'!B:B,'Base stats'!AS:AS)/1000)^(2/3)+_xlfn.XLOOKUP(B383,'Base stats'!B:B,'Base stats'!AY:AY)+_xlfn.XLOOKUP(B383,'Base stats'!B:B,'Base stats'!BA:BA))+0.5,0.5))</f>
        <v>No</v>
      </c>
      <c r="AJ383" s="7" t="str">
        <f>IF(AI383="No","No",MAX(_xlfn.XLOOKUP(_xlfn.XLOOKUP(B383,'Base stats'!B:B,'Base stats'!E:E),Groups!A:A,Groups!AE:AE),MROUND(_xlfn.XLOOKUP(_xlfn.XLOOKUP(B383,'Base stats'!B:B,'Base stats'!E:E),Groups!A:A,Groups!AE:AE)*IF(_xlfn.XLOOKUP(_xlfn.XLOOKUP(B383,'Base stats'!B:B,'Base stats'!E:E),Groups!A:A,Groups!AJ:AJ)="Photonozoa",0.6,1)*_xlfn.XLOOKUP(B383,'Base stats'!B:B,'Base stats'!C:C)^0.165,0.05)))</f>
        <v>No</v>
      </c>
      <c r="AK383" s="7" t="str">
        <f>IF(AI383="No","No",_xlfn.XLOOKUP(_xlfn.XLOOKUP(B383,'Base stats'!B:B,'Base stats'!E:E),Groups!A:A,Groups!AF:AF))</f>
        <v>No</v>
      </c>
      <c r="AL383" s="7" t="str">
        <f>IF(AI383="No","No",_xlfn.XLOOKUP(_xlfn.XLOOKUP(B383,'Base stats'!B:B,'Base stats'!E:E),Groups!A:A,Groups!AG:AG))</f>
        <v>No</v>
      </c>
      <c r="AM383" s="7" t="str">
        <f>IF(AI383="No","No",_xlfn.XLOOKUP(_xlfn.XLOOKUP(B383,'Base stats'!B:B,'Base stats'!E:E),Groups!A:A,Groups!AH:AH))</f>
        <v>No</v>
      </c>
      <c r="AN383" s="2">
        <f t="shared" si="42"/>
        <v>25</v>
      </c>
      <c r="AO383" s="2">
        <f>MROUND(IF(AND(_xlfn.XLOOKUP(B383,'Base stats'!B:B,'Base stats'!C:C)&gt;=0.5,_xlfn.XLOOKUP(B383,'Base stats'!B:B,'Base stats'!C:C)&lt;=0.8),
IF(_xlfn.XLOOKUP(B383,'Base stats'!B:B,'Base stats'!C:C)&lt;0.1,0.05,IF(_xlfn.XLOOKUP(B383,'Base stats'!B:B,'Base stats'!C:C)&lt;=70,(_xlfn.XLOOKUP(B383,'Base stats'!B:B,'Base stats'!C:C)/70)^0.426489913056526,IF(_xlfn.XLOOKUP(B383,'Base stats'!B:B,'Base stats'!C:C)&lt;=400,(_xlfn.XLOOKUP(B383,'Base stats'!B:B,'Base stats'!C:C)/70)^0.572811455315093,IF(_xlfn.XLOOKUP(B383,'Base stats'!B:B,'Base stats'!C:C)&lt;=2000,2.71391647193063*(_xlfn.XLOOKUP(B383,'Base stats'!B:B,'Base stats'!C:C)/400)^0.252459582904293,3.74314280240376*(_xlfn.XLOOKUP(B383,'Base stats'!B:B,'Base stats'!C:C)/2000)^0.357012633876913)))),
IF(_xlfn.XLOOKUP(B383,'Base stats'!B:B,'Base stats'!C:C)&lt;0.1,0.05,IF(_xlfn.XLOOKUP(B383,'Base stats'!B:B,'Base stats'!C:C)&lt;0.4,0.1,IF(_xlfn.XLOOKUP(B383,'Base stats'!B:B,'Base stats'!C:C)&lt;=70,(_xlfn.XLOOKUP(B383,'Base stats'!B:B,'Base stats'!C:C)/70)^0.445823913056526,IF(_xlfn.XLOOKUP(B383,'Base stats'!B:B,'Base stats'!C:C)&lt;=400,(_xlfn.XLOOKUP(B383,'Base stats'!B:B,'Base stats'!C:C)/70)^0.572811455315093,IF(_xlfn.XLOOKUP(B383,'Base stats'!B:B,'Base stats'!C:C)&lt;=2000,2.71391647193063*(_xlfn.XLOOKUP(B383,'Base stats'!B:B,'Base stats'!C:C)/400)^0.252459582904293,3.74314280240376*(_xlfn.XLOOKUP(B383,'Base stats'!B:B,'Base stats'!C:C)/2000)^0.357012633876913)))))),
IF(_xlfn.XLOOKUP(B383,'Base stats'!B:B,'Base stats'!C:C)&lt;0.1,0.05,IF(_xlfn.XLOOKUP(B383,'Base stats'!B:B,'Base stats'!C:C)&lt;=100,0.05,IF(_xlfn.XLOOKUP(B383,'Base stats'!B:B,'Base stats'!C:C)&lt;=250,0.1,IF(_xlfn.XLOOKUP(B383,'Base stats'!B:B,'Base stats'!C:C)&lt;=4000,0.25,0.5)))))</f>
        <v>1.5</v>
      </c>
      <c r="AP383" s="8">
        <f>MROUND(AO383*_xlfn.XLOOKUP(_xlfn.XLOOKUP(B383,'Base stats'!B:B,'Base stats'!E:E),Groups!A:A,Groups!AI:AI)*_xlfn.XLOOKUP(B383,'Base stats'!B:B,'Base stats'!Z:Z),0.05)</f>
        <v>0</v>
      </c>
      <c r="AQ383" s="8">
        <f>MAX(0.01,MROUND(IF(CC383="True",0.196*(AO383*100*1000)^0.889,IF(_xlfn.XLOOKUP(_xlfn.XLOOKUP(B383,'Base stats'!B:B,'Base stats'!E:E),Groups!A:A,Groups!AJ:AJ)="Bird",10.5*(AO383*100*1000)^0.681,4.82*(AO383*100*1000)^0.734))/(4.82*(1*100*1000)^0.734)/IF(AO383&lt;3.5,2,IF(AO383=3.5,1.5,1.25))*(1+0.132282374779864/(AO383^0.994035016789033+0.00905238001496948)),0.05))</f>
        <v>0.85000000000000009</v>
      </c>
      <c r="AR383" s="9">
        <f>IFERROR(MROUND(_xlfn.XLOOKUP(B383,'Base stats'!B:B,'Base stats'!H:H)/IF(_xlfn.XLOOKUP(B383,'Base stats'!B:B,'Base stats'!I:I)&lt;&gt;1,(122.5/70),1.2),IF(_xlfn.XLOOKUP(B383,'Base stats'!B:B,'Base stats'!H:H)&gt;=30,5,IF(_xlfn.XLOOKUP(B383,'Base stats'!B:B,'Base stats'!H:H)&gt;=15,3,IF(_xlfn.XLOOKUP(B383,'Base stats'!B:B,'Base stats'!H:H)&gt;=10,2,1)))),"Immortal")</f>
        <v>35</v>
      </c>
      <c r="AS383" s="35" t="str">
        <f>IFERROR(IF(OR(_xlfn.XLOOKUP(B383,'Base stats'!B:B,'Base stats'!F:F)="Atypical reproduction",_xlfn.XLOOKUP(B383,'Base stats'!B:B,'Base stats'!F:F)="Lay eggs"),"Lay eggs",MIN(20,MAX(5.5,ROUND(((_xlfn.XLOOKUP(B383,'Base stats'!B:B,'Base stats'!F:F)-25)*(14.5/615) + 5.5)*2,0)/2))),"Unknown")</f>
        <v>Lay eggs</v>
      </c>
      <c r="AT383" s="8">
        <f>IF(_xlfn.XLOOKUP(B383,'Base stats'!B:B,'Base stats'!G:G)="Atypical reproduction","No",IFERROR(MAX(IF(_xlfn.XLOOKUP(B383,'Base stats'!B:B,'Base stats'!G:G)&lt;0.5,0.2,0.3),MROUND(_xlfn.XLOOKUP(B383,'Base stats'!B:B,'Base stats'!G:G)/(365/60),0.2)),"Unknown"))</f>
        <v>0.4</v>
      </c>
      <c r="AU383" s="8">
        <f t="shared" si="43"/>
        <v>0.2</v>
      </c>
      <c r="AV383" s="8" t="str">
        <f>IFERROR(IFERROR(MROUND(_xlfn.XLOOKUP(B383,'Base stats'!B:B,'Base stats'!J:J),0.1),"Lay eggs"),"Cannot breed")</f>
        <v>Lay eggs</v>
      </c>
      <c r="AW383" s="2" t="str">
        <f t="shared" si="44"/>
        <v>false</v>
      </c>
      <c r="AX383" s="2" t="str">
        <f>IF(_xlfn.XLOOKUP(_xlfn.XLOOKUP(Animals!B383,'Base stats'!B:B,'Base stats'!E:E),Groups!A:A,Groups!AK:AK)=1,"true","false")</f>
        <v>false</v>
      </c>
      <c r="AY383" s="25" t="str">
        <f>IF(_xlfn.XLOOKUP(B383,'Base stats'!B:B,'Base stats'!Y:Y)="Liquor","Liquor, CarnivoreAnimalStrict",IF(AND(_xlfn.XLOOKUP(B383,'Base stats'!B:B,'Base stats'!Y:Y)="Carnivore",_xlfn.XLOOKUP(_xlfn.XLOOKUP(B383,'Base stats'!B:B,'Base stats'!E:E),Groups!A:A,Groups!AJ:AJ)="Photonozoa"),"CarnivoreAnimalStrict, OvivoreAnimal",IF(_xlfn.XLOOKUP(B383,'Base stats'!B:B,'Base stats'!Y:Y)="Carnivore","CarnivoreAnimal, OvivoreAnimal",IF(_xlfn.XLOOKUP(B383,'Base stats'!B:B,'Base stats'!Y:Y)="Dendrovore","VegetarianRoughAnimal, DendrovoreAnimal",IF(_xlfn.XLOOKUP(B383,'Base stats'!B:B,'Base stats'!Y:Y)="Herbivore","VegetarianRoughAnimal",IF(_xlfn.XLOOKUP(B383,'Base stats'!B:B,'Base stats'!Y:Y)="OmnivoreRough","OmnivoreRoughAnimal, OvivoreAnimal","OmnivoreAnimal, OvivoreAnimal"))))))</f>
        <v>CarnivoreAnimal, OvivoreAnimal</v>
      </c>
      <c r="AZ383" s="2" t="str">
        <f>IF(_xlfn.XLOOKUP(_xlfn.XLOOKUP(B383,'Base stats'!B:B,'Base stats'!E:E),Groups!A:A,Groups!D:D)=1,MROUND((1-J383)*5+1,2)*IF(J383&lt;=0.4,2,1),"No")</f>
        <v>No</v>
      </c>
      <c r="BA383" s="2" t="str">
        <f>IF(AND(_xlfn.XLOOKUP(B383,'Base stats'!B:B,'Base stats'!AH:AH)="&lt;li&gt;Seal&lt;/li&gt;",G383="Odyssey"),"&lt;li&gt;AEXP_Seal&lt;/li&gt;",_xlfn.XLOOKUP(B383,'Base stats'!B:B,'Base stats'!AH:AH))</f>
        <v>&lt;li&gt;Cassowary&lt;/li&gt;</v>
      </c>
      <c r="BB383" s="2" t="str">
        <f>_xlfn.XLOOKUP(B383,'Base stats'!B:B,'Base stats'!AG:AG)</f>
        <v>Leather_Bird</v>
      </c>
      <c r="BC383" s="23" t="str">
        <f>_xlfn.XLOOKUP(_xlfn.XLOOKUP(B383,'Base stats'!B:B,'Base stats'!E:E),Groups!A:A,Groups!AL:AL)</f>
        <v>Bird</v>
      </c>
      <c r="BD383" s="23">
        <f>MIN(1,MROUND(IF(AND(AO383&lt;0.5,_xlfn.XLOOKUP(B383,'Base stats'!B:B,'Base stats'!AA:AA)=0),0,IF(OR(_xlfn.XLOOKUP(Animals!B383,'Base stats'!B:B,'Base stats'!O:O)=2,_xlfn.XLOOKUP(_xlfn.XLOOKUP(B383,'Base stats'!B:B,'Base stats'!E:E),Groups!A:A,Groups!AN:AN)=0),0,_xlfn.XLOOKUP(_xlfn.XLOOKUP(B383,'Base stats'!B:B,'Base stats'!E:E),Groups!A:A,Groups!AN:AN)/IF(_xlfn.XLOOKUP(Animals!B383,'Base stats'!B:B,'Base stats'!O:O)=1,2,1)))+_xlfn.XLOOKUP(B383,'Base stats'!B:B,'Base stats'!AC:AC),0.005))</f>
        <v>0.1</v>
      </c>
      <c r="BE383" s="23">
        <f>MIN(1,MROUND(IF(AND(AO383&lt;0.5,_xlfn.XLOOKUP(B383,'Base stats'!B:B,'Base stats'!AA:AA)=0),0,IF(_xlfn.XLOOKUP(_xlfn.XLOOKUP(B383,'Base stats'!B:B,'Base stats'!E:E),Groups!A:A,Groups!AO:AO)=0,0,_xlfn.XLOOKUP(_xlfn.XLOOKUP(B383,'Base stats'!B:B,'Base stats'!E:E),Groups!A:A,Groups!AO:AO)/IF(_xlfn.XLOOKUP(Animals!B383,'Base stats'!B:B,'Base stats'!O:O)=2,3,1)))+_xlfn.XLOOKUP(B383,'Base stats'!B:B,'Base stats'!AD:AD),0.005))</f>
        <v>0.3</v>
      </c>
      <c r="BF383" s="2" t="str">
        <f>IF(J383&gt;0.3,"No",_xlfn.XLOOKUP(_xlfn.XLOOKUP(Animals!B383,'Base stats'!B:B,'Base stats'!E:E),Groups!A:A,Groups!AP:AP))</f>
        <v>No</v>
      </c>
      <c r="BG383" s="2" t="str">
        <f>IF(AND(J383&lt;=0.65,_xlfn.XLOOKUP(_xlfn.XLOOKUP(Animals!B383,'Base stats'!B:B,'Base stats'!E:E),Groups!A:A,Groups!AP:AP)&lt;&gt;"No",_xlfn.XLOOKUP(_xlfn.XLOOKUP(B383,'Base stats'!B:B,'Base stats'!E:E),Groups!A:A,Groups!D:D)=0),MROUND((80/3)*IF(_xlfn.XLOOKUP(B383,'Base stats'!B:B,'Base stats'!O:O)=2,0.2,AO383) + 24*(1-IF(BF383="No",0,BF383)) + 16/3, 12),"No")</f>
        <v>No</v>
      </c>
      <c r="BH383" s="2">
        <f>IF(AND(_xlfn.XLOOKUP(_xlfn.XLOOKUP(B383,'Base stats'!B:B,'Base stats'!E:E),Groups!A:A,Groups!AQ:AQ)=1,AO383&lt;=0.35),8,12)</f>
        <v>12</v>
      </c>
      <c r="BI383" s="2" t="str">
        <f>IF(_xlfn.XLOOKUP(_xlfn.XLOOKUP(B383,'Base stats'!B:B,'Base stats'!E:E),Groups!A:A,Groups!D:D)=0,_xlfn.XLOOKUP(_xlfn.XLOOKUP(B383,'Base stats'!B:B,'Base stats'!E:E),Groups!A:A,Groups!AR:AR),"None")</f>
        <v>Intermediate</v>
      </c>
      <c r="BJ383" s="2" t="str">
        <f>IF(AND(_xlfn.XLOOKUP(_xlfn.XLOOKUP(B383,'Base stats'!B:B,'Base stats'!E:E),Groups!A:A,Groups!AS:AS)=1,OR(_xlfn.XLOOKUP(B383,'Base stats'!B:B,'Base stats'!Y:Y)="Carnivore",_xlfn.XLOOKUP(B383,'Base stats'!B:B,'Base stats'!Y:Y)="Omnivore")),"true","false")</f>
        <v>true</v>
      </c>
      <c r="BK383" s="2">
        <f>IF(BJ383="true",MROUND(IF(AND(AO383&gt;0.5,OR(_xlfn.XLOOKUP(_xlfn.XLOOKUP(B383,'Base stats'!B:B,'Base stats'!E:E),Groups!A:A,Groups!AJ:AJ)="Photonozoa",_xlfn.XLOOKUP(_xlfn.XLOOKUP(B383,'Base stats'!B:B,'Base stats'!E:E),Groups!A:A,Groups!AJ:AJ)="Mammal")),Animals!AO383*1.75*IF(AW383="true",1.5,1),IF(AO383&lt;0.5,Animals!AO383*0.5,Animals!AO383)),IF(AO383&gt;2,0.5,IF(AO383&gt;0.5,0.25,0.1))),"No")</f>
        <v>1.5</v>
      </c>
      <c r="BL383" s="2">
        <f t="shared" si="45"/>
        <v>1</v>
      </c>
      <c r="BM383" s="25" t="str">
        <f>IF(_xlfn.XLOOKUP(B383,'Base stats'!B:B,'Base stats'!AN:AN)="Standard","No",MROUND((_xlfn.XLOOKUP(B383,'Base stats'!B:B,'Base stats'!AN:AN)/3.6)/I383,0.1))</f>
        <v>No</v>
      </c>
      <c r="BN383" s="25" t="str">
        <f t="shared" si="46"/>
        <v>false</v>
      </c>
      <c r="BO383" s="25" t="str">
        <f>IF(AND(OR(_xlfn.XLOOKUP(B383,'Base stats'!B:B,'Base stats'!Y:Y)="Carnivore",_xlfn.XLOOKUP(B383,'Base stats'!B:B,'Base stats'!Y:Y)="Omnivore",_xlfn.XLOOKUP(B383,'Base stats'!B:B,'Base stats'!Y:Y)="OmnivoreRough"),_xlfn.XLOOKUP(_xlfn.XLOOKUP(B383,'Base stats'!B:B,'Base stats'!E:E),Groups!A:A,Groups!AT:AT)=1),"true","false")</f>
        <v>false</v>
      </c>
      <c r="BP383" s="25" t="str" cm="1">
        <f t="array" ref="BP383">IF(
  _xlfn.TEXTJOIN(", ",TRUE,
    IF(AND(BJ383="true",AO383&gt;0.5,BI383&lt;&gt;"None"),"AttackTarget",""),
    IF(AND(_xlfn.XLOOKUP(_xlfn.XLOOKUP(B383,'Base stats'!B:B,'Base stats'!E:E),Groups!A:A,Groups!AJ:AJ="Mammal"),OR(_xlfn.XLOOKUP(B383,'Base stats'!B:B,'Base stats'!Y:Y)="Omnivore",_xlfn.XLOOKUP(B383,'Base stats'!B:B,'Base stats'!Y:Y)="OmnivoreRough")),"Forage",""),
    IF(BG383&lt;=36,"Comfort",""),
    IF(_xlfn.XLOOKUP(B383,'Base stats'!B:B,'Base stats'!AE:AE)&lt;&gt;"No",_xlfn.XLOOKUP(B383,'Base stats'!B:B,'Base stats'!AE:AE),"")
  ) = "",
  "No",
  _xlfn.TEXTJOIN(", ",TRUE,
    IF(AND(BJ383="true",AO383&gt;0.5,BI383&lt;&gt;"None"),"AttackTarget",""),
    IF(AND(_xlfn.XLOOKUP(_xlfn.XLOOKUP(B383,'Base stats'!B:B,'Base stats'!E:E),Groups!A:A,Groups!AJ:AJ="Mammal"),OR(_xlfn.XLOOKUP(B383,'Base stats'!B:B,'Base stats'!Y:Y)="Omnivore",_xlfn.XLOOKUP(B383,'Base stats'!B:B,'Base stats'!Y:Y)="OmnivoreRough")),"Forage",""),
    IF(BG383&lt;=36,"Comfort",""),
    IF(_xlfn.XLOOKUP(B383,'Base stats'!B:B,'Base stats'!AE:AE)&lt;&gt;"No",_xlfn.XLOOKUP(B383,'Base stats'!B:B,'Base stats'!AE:AE),"")
  )
)</f>
        <v>AttackTarget</v>
      </c>
      <c r="BQ383" s="25" t="str">
        <f>IF(
   AND(
      'Base stats'!AN383="Standard",_xlfn.XLOOKUP(_xlfn.XLOOKUP(B383,'Base stats'!B:B,'Base stats'!E:E),Groups!A:A,Groups!AU:AU)=0,
      OR(
      BO383="True"
      )
   ),
   10,
   IF(
       OR(BM383&lt;&gt;"No",_xlfn.XLOOKUP(_xlfn.XLOOKUP(B383,'Base stats'!B:B,'Base stats'!E:E),Groups!A:A,Groups!AU:AU)=1),
      1,
      "No"
   )
)</f>
        <v>No</v>
      </c>
      <c r="BR383" s="9">
        <f>MROUND((1 + ((0.2*IF(OR(Q383="No",R383="No",R383=0),0,Q383/R383)
+IF(OR(V383="No",S383="No",T383="No"),0,S383/T383*(LEN(V383)-LEN(SUBSTITUTE(V383,",",""))+1))
+IF(OR(X383="No",Y383="No"),0,X383/Y383)
+IF(OR(AD383="No",AE383="No"),0,AD383/AE383)
+IF(OR(AL383="No",AI383="No",AJ383="No"),0,AI383/AJ383*(LEN(AL383)-LEN(SUBSTITUTE(AL383,",",""))+1))
)/(0.2*IF(OR(Q383="No",R383="No",R383=0),0,1)
+IF(OR(V383="No",S383="No",T383="No"),0,LEN(V383)-LEN(SUBSTITUTE(V383,",",""))+1)
+IF(OR(X383="No",Y383="No"),0,1)
+IF(OR(AD383="No",AE383="No"),0,1)
+IF(OR(AL383="No",AI383="No",AJ383="No"),0,LEN(AL383)-LEN(SUBSTITUTE(AL383,",",""))+1))*62%)* 2)*(1 + (AP383 / (IF(_xlfn.XLOOKUP(_xlfn.XLOOKUP(B383,'Base stats'!B:B,'Base stats'!E:E),Groups!A:A,Groups!AJ:AJ)="Photonozoa",0.3,1)) + _xlfn.XLOOKUP(B383,'Base stats'!B:B,'Base stats'!AV:AV) * 1.8) * 2) * 2.5 + 10 + I383 * 2,5)+IF(_xlfn.XLOOKUP(B383,'Base stats'!B:B,'Base stats'!AK:AK)=1,50,0)</f>
        <v>40</v>
      </c>
      <c r="BS383" s="8">
        <f t="shared" si="47"/>
        <v>1</v>
      </c>
      <c r="BT383" s="8" t="str">
        <f>_xlfn.XLOOKUP(B383,'Base stats'!B:B,'Base stats'!AF:AF)</f>
        <v>No</v>
      </c>
      <c r="BU383" s="2" t="str">
        <f>IF(AND(J383&lt;=0.95,OR(_xlfn.XLOOKUP(B383,'Base stats'!B:B,'Base stats'!AK:AK)=1,_xlfn.XLOOKUP(B383,'Base stats'!B:B,'Base stats'!Y:Y)="Carnivore",_xlfn.XLOOKUP(B383,'Base stats'!B:B,'Base stats'!Y:Y)="Omnivore",BE383&gt;0.1)),"true","false")</f>
        <v>true</v>
      </c>
      <c r="BV383" s="2" t="str">
        <f>IF(_xlfn.XLOOKUP(B383,'Base stats'!B:B,'Base stats'!AI:AI)=1,"true","false")</f>
        <v>true</v>
      </c>
      <c r="BW383" s="25" t="str">
        <f>IF(E383="BaseInsect","AnimalInsect",
IF(J383&gt;0.95,"AnimalExotic",
_xlfn.TEXTJOIN(", ",TRUE,
IF(OR(_xlfn.XLOOKUP(B383,'Base stats'!B:B,'Base stats'!AM:AM)=1,AND(_xlfn.XLOOKUP(B383,'Base stats'!B:B,'Base stats'!O:O)=0,_xlfn.XLOOKUP(_xlfn.XLOOKUP(B383,'Base stats'!B:B,'Base stats'!E:E),Groups!A:A,Groups!B:B)&gt;0)),"AnimalUncommon","AnimalCommon"),
IF(AND(_xlfn.XLOOKUP(B383,'Base stats'!B:B,'Base stats'!O:O)=2,_xlfn.XLOOKUP(_xlfn.XLOOKUP(B383,'Base stats'!B:B,'Base stats'!E:E),Groups!A:A,Groups!D:D)=0),"AnimalPet",IF(AND(_xlfn.XLOOKUP(B383,'Base stats'!B:B,'Base stats'!O:O)&lt;&gt;0,_xlfn.XLOOKUP(_xlfn.XLOOKUP(B383,'Base stats'!B:B,'Base stats'!E:E),Groups!A:A,Groups!D:D)&lt;&gt;0),"AnimalFarm","")),
IF(OR(_xlfn.XLOOKUP(B383,'Base stats'!B:B,'Base stats'!AK:AK)=1,AND(BI383&lt;&gt;"None",BR383&gt;=60),ISNUMBER(SEARCH("Attack target",BP383))),"AnimalFighter","")
)))</f>
        <v>AnimalUncommon</v>
      </c>
      <c r="BX383" s="25" t="str">
        <f>IF(G383="None",TRIM(
SUBSTITUTE(
IF(COUNTIF(Biomes!B$2:B$259,"="&amp;$C383)&gt;0,Biomes!B$1&amp;", ","")&amp;
IF(COUNTIF(Biomes!C$2:C$259,"="&amp;$C383)&gt;0,Biomes!C$1&amp;", ","")&amp;
IF(COUNTIF(Biomes!D$2:D$259,"="&amp;$C383)&gt;0,Biomes!D$1&amp;", ","")&amp;
IF(COUNTIF(Biomes!F$2:F$259,"="&amp;$C383)&gt;0,Biomes!F$1&amp;", ","")&amp;
IF(COUNTIF(Biomes!G$2:G$259,"="&amp;$C383)&gt;0,Biomes!G$1&amp;", ","")&amp;
IF(COUNTIF(Biomes!H$2:H$259,"="&amp;$C383)&gt;0,Biomes!H$1&amp;", ","")&amp;
IF(COUNTIF(Biomes!I$2:I$259,"="&amp;$C383)&gt;0,Biomes!I$1&amp;", ","")&amp;
IF(COUNTIF(Biomes!J$2:J$259,"="&amp;$C383)&gt;0,Biomes!J$1&amp;", ","")&amp;
IF(COUNTIF(Biomes!M$2:M$259,"="&amp;$C383)&gt;0,Biomes!M$1&amp;", ","")&amp;
IF(COUNTIF(Biomes!N$2:N$259,"="&amp;$C383)&gt;0,Biomes!N$1&amp;", ","")&amp;
IF(COUNTIF(Biomes!O$2:O$259,"="&amp;$C383)&gt;0,Biomes!O$1&amp;", ","")&amp;
IF(COUNTIF(Biomes!P$2:P$259,"="&amp;$C383)&gt;0,Biomes!P$1&amp;", ","")&amp;
IF(COUNTIF(Biomes!K$2:K$259,"="&amp;$C383)&gt;0,Biomes!K$1&amp;", ","")&amp;
IF(COUNTIF(Biomes!Q$3:Q$259,"="&amp;$C383)&gt;0,Biomes!Q$1&amp;", ","")&amp;
IF(COUNTIF(Biomes!L$2:L$259,"="&amp;$C383)&gt;0,Biomes!L$1&amp;", ","")&amp;
IF(COUNTIF(Biomes!E$2:E$259,"="&amp;$C383)&gt;0,Biomes!E$1&amp;", ","")&amp;IF(COUNTIF(Biomes!S$2:S$259,"="&amp;$C383)&gt;0,Biomes!S$1&amp;", ","")&amp;
IF(COUNTIF(Biomes!R$2:R$259,"="&amp;$C383)&gt;0,Biomes!R$1&amp;", ",""),", ","")
),_xlfn.XLOOKUP(B383,B:B,BX:BX))</f>
        <v/>
      </c>
      <c r="BY383" s="25" t="str">
        <f>IF(_xlfn.XLOOKUP(B383,'Base stats'!B:B,'Base stats'!AJ:AJ)=1,"true","false")</f>
        <v>false</v>
      </c>
      <c r="BZ383" s="25">
        <f>IF(_xlfn.XLOOKUP(B383,'Base stats'!B:B,'Base stats'!N:N)=1,"No",MAX(0.001,MIN(MROUND(IF(AND(BJ383="True",CC383="False"),POWER(10,3.47*LOG10(_xlfn.XLOOKUP(B383,'Base stats'!B:B,'Base stats'!C:C)*1000)^-0.96),POWER(10,4.15*LOG10(_xlfn.XLOOKUP(B383,'Base stats'!B:B,'Base stats'!C:C)*1000)^-0.73))*IF(_xlfn.XLOOKUP(B383,'Base stats'!B:B,'Base stats'!AK:AK)=1,0.5,1)*IF(_xlfn.XLOOKUP(B383,'Base stats'!B:B,'Base stats'!AM:AM)=1,0.1,1)/100,IF(_xlfn.XLOOKUP(B383,'Base stats'!B:B,'Base stats'!AM:AM)=1,0.001,0.025)),0.5)))</f>
        <v>0.05</v>
      </c>
      <c r="CA383" s="25" t="str">
        <f>IF(P383="Standard","No",MAX(0.001,MIN(MROUND(IF(AND(BJ383="True",CC383="False"),POWER(10,3.47*LOG10(_xlfn.XLOOKUP(B383,'Base stats'!B:B,'Base stats'!C:C)*1000)^-0.96),POWER(10,4.15*LOG10(_xlfn.XLOOKUP(B383,'Base stats'!B:B,'Base stats'!C:C)*1000)^-0.73))*IF(_xlfn.XLOOKUP(B383,'Base stats'!B:B,'Base stats'!AM:AM)=1,0.1,1)*_xlfn.XLOOKUP(B383,'Base stats'!B:B,'Base stats'!R:R)/100,IF(_xlfn.XLOOKUP(B383,'Base stats'!B:B,'Base stats'!AM:AM)=1,0.001,0.025)),0.5)))</f>
        <v>No</v>
      </c>
      <c r="CB383" s="25" t="str">
        <f>IF(_xlfn.XLOOKUP(_xlfn.XLOOKUP(B383,'Base stats'!B:B,'Base stats'!E:E),Groups!A:A,Groups!AJ:AJ)="Mammal","True","False")</f>
        <v>False</v>
      </c>
      <c r="CC383" s="25" t="str">
        <f>IF(OR(_xlfn.XLOOKUP(_xlfn.XLOOKUP(B383,'Base stats'!B:B,'Base stats'!E:E),Groups!A:A,Groups!AJ:AJ)="Reptile",_xlfn.XLOOKUP(_xlfn.XLOOKUP(B383,'Base stats'!B:B,'Base stats'!E:E),Groups!A:A,Groups!AJ:AJ)="Amphibian",_xlfn.XLOOKUP(_xlfn.XLOOKUP(B383,'Base stats'!B:B,'Base stats'!E:E),Groups!A:A,Groups!AJ:AJ)="Invertebrate"),"True","False")</f>
        <v>False</v>
      </c>
      <c r="CD383" s="25" t="str">
        <f t="shared" si="48"/>
        <v>False</v>
      </c>
      <c r="CE383" s="25" t="str">
        <f>IF(_xlfn.XLOOKUP(_xlfn.XLOOKUP(B383,'Base stats'!B:B,'Base stats'!E:E),Groups!A:A,Groups!AX:AX),"True","False")</f>
        <v>False</v>
      </c>
      <c r="CF383" s="25" t="str">
        <f>IF(_xlfn.XLOOKUP(_xlfn.XLOOKUP(B383,'Base stats'!B:B,'Base stats'!E:E),Groups!A:A,Groups!AY:AY),"True","False")</f>
        <v>False</v>
      </c>
      <c r="CG383" s="25" t="str">
        <f>IF(_xlfn.XLOOKUP(_xlfn.XLOOKUP(B383,'Base stats'!B:B,'Base stats'!E:E),Groups!A:A,Groups!AW:AW),"True","False")</f>
        <v>False</v>
      </c>
      <c r="CH383" s="25" t="str">
        <f>IF(
OR(
_xlfn.XLOOKUP(_xlfn.XLOOKUP(B383,'Base stats'!B:B,'Base stats'!E:E),Groups!A:A,Groups!AZ:AZ)=0,
AND(
_xlfn.XLOOKUP(B383,'Base stats'!B:B,'Base stats'!Y:Y)&lt;&gt;"Carnivore",
_xlfn.XLOOKUP(B383,'Base stats'!B:B,'Base stats'!Y:Y)&lt;&gt;"Omnivore",
_xlfn.XLOOKUP(B383,'Base stats'!B:B,'Base stats'!Y:Y)&lt;&gt;"OmnivoreRough"
)
),
"No",
IF(
_xlfn.XLOOKUP(_xlfn.XLOOKUP(B383,'Base stats'!B:B,'Base stats'!E:E),Groups!A:A,Groups!AZ:AZ)=1,
"Flesh",
IF(
_xlfn.XLOOKUP(_xlfn.XLOOKUP(B383,'Base stats'!B:B,'Base stats'!E:E),Groups!A:A,Groups!AZ:AZ)=2,
"Bone",
""
)
)
)</f>
        <v>No</v>
      </c>
      <c r="CI383" s="25" t="str">
        <f>IF(_xlfn.XLOOKUP(_xlfn.XLOOKUP(B383,'Base stats'!B:B,'Base stats'!E:E),Groups!A:A,Groups!BB:BB),"True","False")</f>
        <v>True</v>
      </c>
      <c r="CJ383" s="25" t="str">
        <f>IF(_xlfn.XLOOKUP(_xlfn.XLOOKUP(B383,'Base stats'!B:B,'Base stats'!E:E),Groups!A:A,Groups!BA:BA),"True","False")</f>
        <v>False</v>
      </c>
    </row>
    <row r="384" spans="1:88" ht="16.5" thickTop="1" thickBot="1" x14ac:dyDescent="0.3">
      <c r="A384" s="26" t="s">
        <v>2073</v>
      </c>
      <c r="B384" s="6" t="str">
        <f>_xlfn.XLOOKUP(A384,'Base stats'!A:A,'Base stats'!B:B)</f>
        <v>Titanoboa cerrejonensis</v>
      </c>
      <c r="C384" s="28" t="str">
        <f>"&lt;li&gt;"&amp;A384&amp;"&lt;/li&gt;"</f>
        <v>&lt;li&gt;Titanoboa&lt;/li&gt;</v>
      </c>
      <c r="D384" s="28" t="s">
        <v>2126</v>
      </c>
      <c r="E384" s="28" t="s">
        <v>673</v>
      </c>
      <c r="F384" s="28" t="s">
        <v>673</v>
      </c>
      <c r="G384" s="28" t="s">
        <v>673</v>
      </c>
      <c r="H384" s="2">
        <f>MROUND((
  (IF(AND(_xlfn.XLOOKUP(B384,'Base stats'!B:B,'Base stats'!AL:AL)=0,BI384="None",_xlfn.XLOOKUP(_xlfn.XLOOKUP(B384,'Base stats'!B:B,'Base stats'!E:E),Groups!A:A,Groups!B:B)=0), (18 + BR384 * 2.7) * 0.5,
    IF(AND(_xlfn.XLOOKUP(B384,'Base stats'!B:B,'Base stats'!AL:AL)=0,OR(AO384&lt;0.55,AND(BI384="Intermediate",_xlfn.XLOOKUP(_xlfn.XLOOKUP(B384,'Base stats'!B:B,'Base stats'!E:E),Groups!A:A,Groups!B:B)&lt;2))), (18 + BR384 * 2.7),
      IF(OR(BI384="Advanced",_xlfn.XLOOKUP(B384,'Base stats'!B:B,'Base stats'!AL:AL)=1,_xlfn.XLOOKUP(_xlfn.XLOOKUP(B384,'Base stats'!B:B,'Base stats'!E:E),Groups!A:A,Groups!B:B)=2), (18 + BR384 * 2.7) + 250, (18 + BR384 * 2.7))
    )
  ))
  + AO384 * 80
  + IF(COUNTIF(EggMilk!K$2:K$998, A384) &gt; 0, 125, 0)
  + IF(COUNTIF(EggMilk!P$2:P$998, A384) &gt; 0, 90, 0)
  + IF(COUNTIF(EggMilk!A$2:A$998, A384) &gt; 0, 90, 0)
)
* (0.8 + 0.4 * J384)
* 0.75,25)</f>
        <v>1150</v>
      </c>
      <c r="I384" s="2">
        <f>MROUND(ROUNDDOWN(_xlfn.XLOOKUP(B384,'Base stats'!B:B,'Base stats'!L:L)/3.6/(23.3/11),1),0.5)</f>
        <v>1.5</v>
      </c>
      <c r="J384" s="2">
        <f>IF(OR(_xlfn.XLOOKUP(B384,'Base stats'!B:B,'Base stats'!AB:AB)=1,_xlfn.XLOOKUP(_xlfn.XLOOKUP(B384,'Base stats'!B:B,'Base stats'!E:E),Groups!A:A,Groups!C:C)="Untamable"),1,IF(_xlfn.XLOOKUP(B384,'Base stats'!B:B,'Base stats'!AL:AL)=1,0.99,MIN(MROUND((1-0.6282*EXP(-0.459*AO384))*_xlfn.XLOOKUP(_xlfn.XLOOKUP(B384,'Base stats'!B:B,'Base stats'!E:E),Groups!A:A,Groups!C:C)*IF(_xlfn.XLOOKUP(B384,'Base stats'!B:B,'Base stats'!O:O)=1,0.5,IF(_xlfn.XLOOKUP(B384,'Base stats'!B:B,'Base stats'!O:O)=2,0,1)),0.05),IF(AO384&gt;3.5,0.985,0.95))))</f>
        <v>0.95</v>
      </c>
      <c r="K384" s="2">
        <f>ROUNDUP(AO384*_xlfn.XLOOKUP(_xlfn.XLOOKUP(B384,'Base stats'!B:B,'Base stats'!E:E),Groups!A:A,Groups!E:E),0)</f>
        <v>4</v>
      </c>
      <c r="L384" s="2">
        <f>IF(OR(_xlfn.XLOOKUP(_xlfn.XLOOKUP(B384,'Base stats'!B:B,'Base stats'!E:E),Groups!A:A,Groups!F:F)=2,ISNUMBER(SEARCH("SeaIce",BX384)),ISNUMBER(SEARCH("IceSheet",BX384))),-50,IF(OR(ISNUMBER(SEARCH("GlacialPlain",BX384)),ISNUMBER(SEARCH("Tundra",BX384))),-40,IF(OR(ISNUMBER(SEARCH("Alpine",BX384)),ISNUMBER(SEARCH("BorealForest",BX384)),ISNUMBER(SEARCH("ColdBog",BX384))),-30,IF(OR(ISNUMBER(SEARCH("TemperateForest",BX384)),ISNUMBER(SEARCH("TemperateSwamp",BX384))),-20,IF(_xlfn.XLOOKUP(_xlfn.XLOOKUP(B384,'Base stats'!B:B,'Base stats'!E:E),Groups!A:A,Groups!F:F)=1,-15,IF(OR(ISNUMBER(SEARCH("Desert",BX384)),ISNUMBER(SEARCH("ExtremeDesert",BX384))),-10,IF(OR(ISNUMBER(SEARCH("Grasslands",BX384)),ISNUMBER(SEARCH("TropicalRainforest",BX384)),ISNUMBER(SEARCH("TropicalSwamp",BX384))),10,0)))))))-IF(CC384="False",MIN(IFERROR(MAX(MROUND(LOG10(_xlfn.XLOOKUP(B384,'Base stats'!B:B,'Base stats'!C:C)^(2/3))*10,5),5),5),30))-_xlfn.XLOOKUP(B384,'Base stats'!B:B,'Base stats'!P:P)+IF(CC384="True",5,0)</f>
        <v>5</v>
      </c>
      <c r="M384" s="2">
        <f>IF(OR(_xlfn.XLOOKUP(_xlfn.XLOOKUP(B384,'Base stats'!B:B,'Base stats'!E:E),Groups!A:A,Groups!G:G)=2,ISNUMBER(SEARCH("Desert",BX384)),ISNUMBER(SEARCH("ExtremeDesert",BX384)),ISNUMBER(SEARCH("LavaField",BX384))),50,IF(ISNUMBER(SEARCH("Grasslands",BX384)),45,IF(OR(_xlfn.XLOOKUP(_xlfn.XLOOKUP(B384,'Base stats'!B:B,'Base stats'!E:E),Groups!A:A,Groups!G:G)=1,ISNUMBER(SEARCH("TropicalRainforest",BX384)),ISNUMBER(SEARCH("TropicalSwamp",BX384))),40,IF(OR(ISNUMBER(SEARCH("TemperateForest",BX384)),ISNUMBER(SEARCH("TemperateSwamp",BX384))),35,IF(OR(ISNUMBER(SEARCH("Alpine",BX384)),ISNUMBER(SEARCH("BorealForest",BX384)),ISNUMBER(SEARCH("ColdBog",BX384))),30,IF(ISNUMBER(OR(ISNUMBER(SEARCH("GlacialPlain",BX384)),SEARCH("Tundra",BX384))),25,IF(OR(ISNUMBER(SEARCH("SeaIce",BX384)),ISNUMBER(SEARCH("IceSheet",BX384)),ISNUMBER(SEARCH("TropicalSwamp",BX384))),10,35)))))))+_xlfn.XLOOKUP(B384,'Base stats'!B:B,'Base stats'!Q:Q)</f>
        <v>35</v>
      </c>
      <c r="N384" s="8" t="str">
        <f>IF(
_xlfn.XLOOKUP(
_xlfn.XLOOKUP(B384,'Base stats'!B:B,'Base stats'!E:E),
Groups!A:A,
Groups!L:L
)=1,
MIN(
MROUND(
IF(
_xlfn.XLOOKUP(B384,'Animals CE'!B:B,'Animals CE'!Z:Z)&lt;=1.5,
_xlfn.XLOOKUP(B384,'Animals CE'!B:B,'Animals CE'!Z:Z)/2+0.05,
0.8+
(_xlfn.XLOOKUP(B384,'Animals CE'!B:B,'Animals CE'!Z:Z)-1.5)
*0.02
),
0.05
),
200%
),
"No"
)</f>
        <v>No</v>
      </c>
      <c r="O384" s="8" t="str">
        <f>IF(
_xlfn.XLOOKUP(
_xlfn.XLOOKUP(B384,'Base stats'!B:B,'Base stats'!E:E),
Groups!A:A,
Groups!L:L
)=1,
MIN(
MROUND(
IF(
_xlfn.XLOOKUP(B384,'Animals CE'!B:B,'Animals CE'!AA:AA)&lt;=1.5,
_xlfn.XLOOKUP(B384,'Animals CE'!B:B,'Animals CE'!AA:AA)/2+0.05,
0.8+
(_xlfn.XLOOKUP(B384,'Animals CE'!B:B,'Animals CE'!AA:AA)-1.5)
*0.02
),
0.05
),
200%
),
"No"
)</f>
        <v>No</v>
      </c>
      <c r="P384" s="2" t="str">
        <f>_xlfn.XLOOKUP(B384,'Base stats'!B:B,'Base stats'!R:R)</f>
        <v>Standard</v>
      </c>
      <c r="Q384" s="13">
        <f>MROUND((LOG10(_xlfn.XLOOKUP(B384,'Base stats'!B:B,'Base stats'!AR:AR))*(AO384^0.5)+(_xlfn.XLOOKUP(B384,'Base stats'!B:B,'Base stats'!AR:AR)/1000)^(2/3)+_xlfn.XLOOKUP(B384,'Base stats'!B:B,'Base stats'!BA:BA)/2)+0.5,0.5)</f>
        <v>21</v>
      </c>
      <c r="R384" s="7">
        <f>IF(Q384="No","No",MAX(1,MROUND(_xlfn.XLOOKUP(B384,'Base stats'!B:B,'Base stats'!C:C)^0.165,0.05)))</f>
        <v>3.2</v>
      </c>
      <c r="S384" s="13" t="str">
        <f>IF(_xlfn.XLOOKUP(_xlfn.XLOOKUP(B384,'Base stats'!B:B,'Base stats'!E:E),Groups!A:A,Groups!P:P)=0,"No",MROUND((LOG10(_xlfn.XLOOKUP(B384,'Base stats'!B:B,'Base stats'!AS:AS))*(AO384^0.5)+(_xlfn.XLOOKUP(B384,'Base stats'!B:B,'Base stats'!AS:AS)/1000)^(2/3)+_xlfn.XLOOKUP(B384,'Base stats'!B:B,'Base stats'!BA:BA))+_xlfn.XLOOKUP(B384,'Base stats'!B:B,'Base stats'!AY:AY)+0.5,0.5))</f>
        <v>No</v>
      </c>
      <c r="T384" s="7" t="str">
        <f>IF(S384="No","No",MAX(_xlfn.XLOOKUP(_xlfn.XLOOKUP(B384,'Base stats'!B:B,'Base stats'!E:E),Groups!A:A,Groups!Q:Q),MROUND(_xlfn.XLOOKUP(_xlfn.XLOOKUP(B384,'Base stats'!B:B,'Base stats'!E:E),Groups!A:A,Groups!Q:Q)*_xlfn.XLOOKUP(B384,'Base stats'!B:B,'Base stats'!C:C)^0.165,0.05)))</f>
        <v>No</v>
      </c>
      <c r="U384" s="7" t="str">
        <f>IF(S384="No","No",_xlfn.XLOOKUP(_xlfn.XLOOKUP(B384,'Base stats'!B:B,'Base stats'!E:E),Groups!A:A,Groups!R:R))</f>
        <v>No</v>
      </c>
      <c r="V384" s="7" t="str">
        <f>IF(S384="No","No",_xlfn.XLOOKUP(_xlfn.XLOOKUP(B384,'Base stats'!B:B,'Base stats'!E:E),Groups!A:A,Groups!S:S))</f>
        <v>No</v>
      </c>
      <c r="W384" s="7" t="str">
        <f>IF(S384="No","No",_xlfn.XLOOKUP(_xlfn.XLOOKUP(B384,'Base stats'!B:B,'Base stats'!E:E),Groups!A:A,Groups!T:T))</f>
        <v>No</v>
      </c>
      <c r="X384" s="13" t="str">
        <f>IF(_xlfn.XLOOKUP(B384,'Base stats'!B:B,'Base stats'!W:W)="No","No",MROUND((LOG10(_xlfn.XLOOKUP(B384,'Base stats'!B:B,'Base stats'!AU:AU))*(AO384^0.5)+(_xlfn.XLOOKUP(B384,'Base stats'!B:B,'Base stats'!AU:AU)/1000)^(2/3)+_xlfn.XLOOKUP(B384,'Base stats'!B:B,'Base stats'!AZ:AZ))+0.5+IF(_xlfn.XLOOKUP(_xlfn.XLOOKUP(B384,'Base stats'!B:B,'Base stats'!E:E),Groups!A:A,Groups!U:U)&lt;&gt;3,_xlfn.XLOOKUP(B384,'Base stats'!B:B,'Base stats'!BA:BA),0),0.5))</f>
        <v>No</v>
      </c>
      <c r="Y384" s="7" t="str">
        <f>IF(X384="No","No",MAX(_xlfn.XLOOKUP(_xlfn.XLOOKUP(B384,'Base stats'!B:B,'Base stats'!E:E),Groups!A:A,Groups!V:V),MROUND(_xlfn.XLOOKUP(_xlfn.XLOOKUP(B384,'Base stats'!B:B,'Base stats'!E:E),Groups!A:A,Groups!V:V)*_xlfn.XLOOKUP(B384,'Base stats'!B:B,'Base stats'!C:C)^0.165,0.05)))</f>
        <v>No</v>
      </c>
      <c r="Z384" s="7" t="str">
        <f>IF(X384="No","No",_xlfn.XLOOKUP(_xlfn.XLOOKUP(B384,'Base stats'!B:B,'Base stats'!E:E),Groups!A:A,Groups!W:W))</f>
        <v>No</v>
      </c>
      <c r="AA384" s="7" t="str">
        <f>IF(X384="No","No",_xlfn.XLOOKUP(_xlfn.XLOOKUP(B384,'Base stats'!B:B,'Base stats'!E:E),Groups!A:A,Groups!X:X))</f>
        <v>No</v>
      </c>
      <c r="AB384" s="7" t="str">
        <f>IF(X384="No","No",_xlfn.XLOOKUP(_xlfn.XLOOKUP(B384,'Base stats'!B:B,'Base stats'!E:E),Groups!A:A,Groups!Y:Y))</f>
        <v>No</v>
      </c>
      <c r="AC384" s="7" t="str">
        <f>_xlfn.XLOOKUP(Animals!B384,'Base stats'!B:B,'Base stats'!X:X)</f>
        <v>False</v>
      </c>
      <c r="AD384" s="13">
        <f>IF(_xlfn.XLOOKUP(B384,'Base stats'!B:B,'Base stats'!AT:AT)="No","No",MROUND((LOG10(_xlfn.XLOOKUP(B384,'Base stats'!B:B,'Base stats'!AT:AT))*(AO384^0.75)+(_xlfn.XLOOKUP(B384,'Base stats'!B:B,'Base stats'!AT:AT)/1000)^(2/3)+_xlfn.XLOOKUP(B384,'Base stats'!B:B,'Base stats'!AX:AX)+_xlfn.XLOOKUP(B384,'Base stats'!B:B,'Base stats'!BA:BA))+0.5,0.5))</f>
        <v>27</v>
      </c>
      <c r="AE384" s="7">
        <f>IF(AD384="No","No",MAX(_xlfn.XLOOKUP(_xlfn.XLOOKUP(B384,'Base stats'!B:B,'Base stats'!E:E),Groups!A:A,Groups!Z:Z),MROUND(_xlfn.XLOOKUP(_xlfn.XLOOKUP(B384,'Base stats'!B:B,'Base stats'!E:E),Groups!A:A,Groups!Z:Z)*_xlfn.XLOOKUP(B384,'Base stats'!B:B,'Base stats'!C:C)^0.165,0.05)))</f>
        <v>2.5500000000000003</v>
      </c>
      <c r="AF384" s="7" t="str">
        <f>IF(AD384="No","No",_xlfn.XLOOKUP(_xlfn.XLOOKUP(B384,'Base stats'!B:B,'Base stats'!E:E),Groups!A:A,Groups!AA:AA))</f>
        <v>Mouth</v>
      </c>
      <c r="AG384" s="7" t="str">
        <f>IF(AD384="No","No",_xlfn.XLOOKUP(_xlfn.XLOOKUP(B384,'Base stats'!B:B,'Base stats'!E:E),Groups!A:A,Groups!AB:AB))</f>
        <v>fangs</v>
      </c>
      <c r="AH384" s="7" t="str">
        <f>IF(AD384="No","No",_xlfn.XLOOKUP(_xlfn.XLOOKUP(B384,'Base stats'!B:B,'Base stats'!E:E),Groups!A:A,Groups!AC:AC))</f>
        <v>Bite</v>
      </c>
      <c r="AI384" s="13" t="str">
        <f>IF(_xlfn.XLOOKUP(_xlfn.XLOOKUP(B384,'Base stats'!B:B,'Base stats'!E:E),Groups!A:A,Groups!AD:AD)=0,"No",MROUND((LOG10(_xlfn.XLOOKUP(B384,'Base stats'!B:B,'Base stats'!AS:AS))*(AO384^0.75)+(_xlfn.XLOOKUP(B384,'Base stats'!B:B,'Base stats'!AS:AS)/1000)^(2/3)+_xlfn.XLOOKUP(B384,'Base stats'!B:B,'Base stats'!AY:AY)+_xlfn.XLOOKUP(B384,'Base stats'!B:B,'Base stats'!BA:BA))+0.5,0.5))</f>
        <v>No</v>
      </c>
      <c r="AJ384" s="7" t="str">
        <f>IF(AI384="No","No",MAX(_xlfn.XLOOKUP(_xlfn.XLOOKUP(B384,'Base stats'!B:B,'Base stats'!E:E),Groups!A:A,Groups!AE:AE),MROUND(_xlfn.XLOOKUP(_xlfn.XLOOKUP(B384,'Base stats'!B:B,'Base stats'!E:E),Groups!A:A,Groups!AE:AE)*IF(_xlfn.XLOOKUP(_xlfn.XLOOKUP(B384,'Base stats'!B:B,'Base stats'!E:E),Groups!A:A,Groups!AJ:AJ)="Photonozoa",0.6,1)*_xlfn.XLOOKUP(B384,'Base stats'!B:B,'Base stats'!C:C)^0.165,0.05)))</f>
        <v>No</v>
      </c>
      <c r="AK384" s="7" t="str">
        <f>IF(AI384="No","No",_xlfn.XLOOKUP(_xlfn.XLOOKUP(B384,'Base stats'!B:B,'Base stats'!E:E),Groups!A:A,Groups!AF:AF))</f>
        <v>No</v>
      </c>
      <c r="AL384" s="7" t="str">
        <f>IF(AI384="No","No",_xlfn.XLOOKUP(_xlfn.XLOOKUP(B384,'Base stats'!B:B,'Base stats'!E:E),Groups!A:A,Groups!AG:AG))</f>
        <v>No</v>
      </c>
      <c r="AM384" s="7" t="str">
        <f>IF(AI384="No","No",_xlfn.XLOOKUP(_xlfn.XLOOKUP(B384,'Base stats'!B:B,'Base stats'!E:E),Groups!A:A,Groups!AH:AH))</f>
        <v>No</v>
      </c>
      <c r="AN384" s="2">
        <f t="shared" ref="AN384:AN415" si="49">IF(BJ384="false","No",MROUND(AO384*5+15*1,5))</f>
        <v>35</v>
      </c>
      <c r="AO384" s="2">
        <f>MROUND(IF(AND(_xlfn.XLOOKUP(B384,'Base stats'!B:B,'Base stats'!C:C)&gt;=0.5,_xlfn.XLOOKUP(B384,'Base stats'!B:B,'Base stats'!C:C)&lt;=0.8),
IF(_xlfn.XLOOKUP(B384,'Base stats'!B:B,'Base stats'!C:C)&lt;0.1,0.05,IF(_xlfn.XLOOKUP(B384,'Base stats'!B:B,'Base stats'!C:C)&lt;=70,(_xlfn.XLOOKUP(B384,'Base stats'!B:B,'Base stats'!C:C)/70)^0.426489913056526,IF(_xlfn.XLOOKUP(B384,'Base stats'!B:B,'Base stats'!C:C)&lt;=400,(_xlfn.XLOOKUP(B384,'Base stats'!B:B,'Base stats'!C:C)/70)^0.572811455315093,IF(_xlfn.XLOOKUP(B384,'Base stats'!B:B,'Base stats'!C:C)&lt;=2000,2.71391647193063*(_xlfn.XLOOKUP(B384,'Base stats'!B:B,'Base stats'!C:C)/400)^0.252459582904293,3.74314280240376*(_xlfn.XLOOKUP(B384,'Base stats'!B:B,'Base stats'!C:C)/2000)^0.357012633876913)))),
IF(_xlfn.XLOOKUP(B384,'Base stats'!B:B,'Base stats'!C:C)&lt;0.1,0.05,IF(_xlfn.XLOOKUP(B384,'Base stats'!B:B,'Base stats'!C:C)&lt;0.4,0.1,IF(_xlfn.XLOOKUP(B384,'Base stats'!B:B,'Base stats'!C:C)&lt;=70,(_xlfn.XLOOKUP(B384,'Base stats'!B:B,'Base stats'!C:C)/70)^0.445823913056526,IF(_xlfn.XLOOKUP(B384,'Base stats'!B:B,'Base stats'!C:C)&lt;=400,(_xlfn.XLOOKUP(B384,'Base stats'!B:B,'Base stats'!C:C)/70)^0.572811455315093,IF(_xlfn.XLOOKUP(B384,'Base stats'!B:B,'Base stats'!C:C)&lt;=2000,2.71391647193063*(_xlfn.XLOOKUP(B384,'Base stats'!B:B,'Base stats'!C:C)/400)^0.252459582904293,3.74314280240376*(_xlfn.XLOOKUP(B384,'Base stats'!B:B,'Base stats'!C:C)/2000)^0.357012633876913)))))),
IF(_xlfn.XLOOKUP(B384,'Base stats'!B:B,'Base stats'!C:C)&lt;0.1,0.05,IF(_xlfn.XLOOKUP(B384,'Base stats'!B:B,'Base stats'!C:C)&lt;=100,0.05,IF(_xlfn.XLOOKUP(B384,'Base stats'!B:B,'Base stats'!C:C)&lt;=250,0.1,IF(_xlfn.XLOOKUP(B384,'Base stats'!B:B,'Base stats'!C:C)&lt;=4000,0.25,0.5)))))</f>
        <v>3.5</v>
      </c>
      <c r="AP384" s="8">
        <f>MROUND(AO384*_xlfn.XLOOKUP(_xlfn.XLOOKUP(B384,'Base stats'!B:B,'Base stats'!E:E),Groups!A:A,Groups!AI:AI)*_xlfn.XLOOKUP(B384,'Base stats'!B:B,'Base stats'!Z:Z),0.05)</f>
        <v>3.5</v>
      </c>
      <c r="AQ384" s="8">
        <f>MAX(0.01,MROUND(IF(CC384="True",0.196*(AO384*100*1000)^0.889,IF(_xlfn.XLOOKUP(_xlfn.XLOOKUP(B384,'Base stats'!B:B,'Base stats'!E:E),Groups!A:A,Groups!AJ:AJ)="Bird",10.5*(AO384*100*1000)^0.681,4.82*(AO384*100*1000)^0.734))/(4.82*(1*100*1000)^0.734)/IF(AO384&lt;3.5,2,IF(AO384=3.5,1.5,1.25))*(1+0.132282374779864/(AO384^0.994035016789033+0.00905238001496948)),0.05))</f>
        <v>0.5</v>
      </c>
      <c r="AR384" s="9">
        <f>IFERROR(MROUND(_xlfn.XLOOKUP(B384,'Base stats'!B:B,'Base stats'!H:H)/IF(_xlfn.XLOOKUP(B384,'Base stats'!B:B,'Base stats'!I:I)&lt;&gt;1,(122.5/70),1.2),IF(_xlfn.XLOOKUP(B384,'Base stats'!B:B,'Base stats'!H:H)&gt;=30,5,IF(_xlfn.XLOOKUP(B384,'Base stats'!B:B,'Base stats'!H:H)&gt;=15,3,IF(_xlfn.XLOOKUP(B384,'Base stats'!B:B,'Base stats'!H:H)&gt;=10,2,1)))),"Immortal")</f>
        <v>35</v>
      </c>
      <c r="AS384" s="35">
        <f>IFERROR(IF(OR(_xlfn.XLOOKUP(B384,'Base stats'!B:B,'Base stats'!F:F)="Atypical reproduction",_xlfn.XLOOKUP(B384,'Base stats'!B:B,'Base stats'!F:F)="Lay eggs"),"Lay eggs",MIN(20,MAX(5.5,ROUND(((_xlfn.XLOOKUP(B384,'Base stats'!B:B,'Base stats'!F:F)-25)*(14.5/615) + 5.5)*2,0)/2))),"Unknown")</f>
        <v>13.5</v>
      </c>
      <c r="AT384" s="8">
        <f>IF(_xlfn.XLOOKUP(B384,'Base stats'!B:B,'Base stats'!G:G)="Atypical reproduction","No",IFERROR(MAX(IF(_xlfn.XLOOKUP(B384,'Base stats'!B:B,'Base stats'!G:G)&lt;0.5,0.2,0.3),MROUND(_xlfn.XLOOKUP(B384,'Base stats'!B:B,'Base stats'!G:G)/(365/60),0.2)),"Unknown"))</f>
        <v>2.4000000000000004</v>
      </c>
      <c r="AU384" s="8">
        <f t="shared" ref="AU384:AU415" si="50">IF(AT384="No","No",IFERROR(MROUND(AT384/2,0.05),"Unknown"))</f>
        <v>1.2000000000000002</v>
      </c>
      <c r="AV384" s="8">
        <f>IFERROR(IFERROR(MROUND(_xlfn.XLOOKUP(B384,'Base stats'!B:B,'Base stats'!J:J),0.1),"Lay eggs"),"Cannot breed")</f>
        <v>25</v>
      </c>
      <c r="AW384" s="2" t="str">
        <f t="shared" ref="AW384:AW415" si="51">IF(BT384="No","false","true")</f>
        <v>false</v>
      </c>
      <c r="AX384" s="2" t="str">
        <f>IF(_xlfn.XLOOKUP(_xlfn.XLOOKUP(Animals!B384,'Base stats'!B:B,'Base stats'!E:E),Groups!A:A,Groups!AK:AK)=1,"true","false")</f>
        <v>false</v>
      </c>
      <c r="AY384" s="25" t="str">
        <f>IF(_xlfn.XLOOKUP(B384,'Base stats'!B:B,'Base stats'!Y:Y)="Liquor","Liquor, CarnivoreAnimalStrict",IF(AND(_xlfn.XLOOKUP(B384,'Base stats'!B:B,'Base stats'!Y:Y)="Carnivore",_xlfn.XLOOKUP(_xlfn.XLOOKUP(B384,'Base stats'!B:B,'Base stats'!E:E),Groups!A:A,Groups!AJ:AJ)="Photonozoa"),"CarnivoreAnimalStrict, OvivoreAnimal",IF(_xlfn.XLOOKUP(B384,'Base stats'!B:B,'Base stats'!Y:Y)="Carnivore","CarnivoreAnimal, OvivoreAnimal",IF(_xlfn.XLOOKUP(B384,'Base stats'!B:B,'Base stats'!Y:Y)="Dendrovore","VegetarianRoughAnimal, DendrovoreAnimal",IF(_xlfn.XLOOKUP(B384,'Base stats'!B:B,'Base stats'!Y:Y)="Herbivore","VegetarianRoughAnimal",IF(_xlfn.XLOOKUP(B384,'Base stats'!B:B,'Base stats'!Y:Y)="OmnivoreRough","OmnivoreRoughAnimal, OvivoreAnimal","OmnivoreAnimal, OvivoreAnimal"))))))</f>
        <v>CarnivoreAnimal, OvivoreAnimal</v>
      </c>
      <c r="AZ384" s="2" t="str">
        <f>IF(_xlfn.XLOOKUP(_xlfn.XLOOKUP(B384,'Base stats'!B:B,'Base stats'!E:E),Groups!A:A,Groups!D:D)=1,MROUND((1-J384)*5+1,2)*IF(J384&lt;=0.4,2,1),"No")</f>
        <v>No</v>
      </c>
      <c r="BA384" s="2" t="str">
        <f>IF(AND(_xlfn.XLOOKUP(B384,'Base stats'!B:B,'Base stats'!AH:AH)="&lt;li&gt;Seal&lt;/li&gt;",G384="Odyssey"),"&lt;li&gt;AEXP_Seal&lt;/li&gt;",_xlfn.XLOOKUP(B384,'Base stats'!B:B,'Base stats'!AH:AH))</f>
        <v>&lt;li&gt;Cobra&lt;/li&gt;</v>
      </c>
      <c r="BB384" s="2" t="str">
        <f>_xlfn.XLOOKUP(B384,'Base stats'!B:B,'Base stats'!AG:AG)</f>
        <v>Leather_Lizard</v>
      </c>
      <c r="BC384" s="23" t="str">
        <f>_xlfn.XLOOKUP(_xlfn.XLOOKUP(B384,'Base stats'!B:B,'Base stats'!E:E),Groups!A:A,Groups!AL:AL)</f>
        <v>Snake</v>
      </c>
      <c r="BD384" s="23">
        <f>MIN(1,MROUND(IF(AND(AO384&lt;0.5,_xlfn.XLOOKUP(B384,'Base stats'!B:B,'Base stats'!AA:AA)=0),0,IF(OR(_xlfn.XLOOKUP(Animals!B384,'Base stats'!B:B,'Base stats'!O:O)=2,_xlfn.XLOOKUP(_xlfn.XLOOKUP(B384,'Base stats'!B:B,'Base stats'!E:E),Groups!A:A,Groups!AN:AN)=0),0,_xlfn.XLOOKUP(_xlfn.XLOOKUP(B384,'Base stats'!B:B,'Base stats'!E:E),Groups!A:A,Groups!AN:AN)/IF(_xlfn.XLOOKUP(Animals!B384,'Base stats'!B:B,'Base stats'!O:O)=1,2,1)))+_xlfn.XLOOKUP(B384,'Base stats'!B:B,'Base stats'!AC:AC),0.005))</f>
        <v>0.1</v>
      </c>
      <c r="BE384" s="23">
        <f>MIN(1,MROUND(IF(AND(AO384&lt;0.5,_xlfn.XLOOKUP(B384,'Base stats'!B:B,'Base stats'!AA:AA)=0),0,IF(_xlfn.XLOOKUP(_xlfn.XLOOKUP(B384,'Base stats'!B:B,'Base stats'!E:E),Groups!A:A,Groups!AO:AO)=0,0,_xlfn.XLOOKUP(_xlfn.XLOOKUP(B384,'Base stats'!B:B,'Base stats'!E:E),Groups!A:A,Groups!AO:AO)/IF(_xlfn.XLOOKUP(Animals!B384,'Base stats'!B:B,'Base stats'!O:O)=2,3,1)))+_xlfn.XLOOKUP(B384,'Base stats'!B:B,'Base stats'!AD:AD),0.005))</f>
        <v>0.3</v>
      </c>
      <c r="BF384" s="2" t="str">
        <f>IF(J384&gt;0.3,"No",_xlfn.XLOOKUP(_xlfn.XLOOKUP(Animals!B384,'Base stats'!B:B,'Base stats'!E:E),Groups!A:A,Groups!AP:AP))</f>
        <v>No</v>
      </c>
      <c r="BG384" s="2" t="str">
        <f>IF(AND(J384&lt;=0.65,_xlfn.XLOOKUP(_xlfn.XLOOKUP(Animals!B384,'Base stats'!B:B,'Base stats'!E:E),Groups!A:A,Groups!AP:AP)&lt;&gt;"No",_xlfn.XLOOKUP(_xlfn.XLOOKUP(B384,'Base stats'!B:B,'Base stats'!E:E),Groups!A:A,Groups!D:D)=0),MROUND((80/3)*IF(_xlfn.XLOOKUP(B384,'Base stats'!B:B,'Base stats'!O:O)=2,0.2,AO384) + 24*(1-IF(BF384="No",0,BF384)) + 16/3, 12),"No")</f>
        <v>No</v>
      </c>
      <c r="BH384" s="2">
        <f>IF(AND(_xlfn.XLOOKUP(_xlfn.XLOOKUP(B384,'Base stats'!B:B,'Base stats'!E:E),Groups!A:A,Groups!AQ:AQ)=1,AO384&lt;=0.35),8,12)</f>
        <v>12</v>
      </c>
      <c r="BI384" s="2" t="str">
        <f>IF(_xlfn.XLOOKUP(_xlfn.XLOOKUP(B384,'Base stats'!B:B,'Base stats'!E:E),Groups!A:A,Groups!D:D)=0,_xlfn.XLOOKUP(_xlfn.XLOOKUP(B384,'Base stats'!B:B,'Base stats'!E:E),Groups!A:A,Groups!AR:AR),"None")</f>
        <v>None</v>
      </c>
      <c r="BJ384" s="2" t="str">
        <f>IF(AND(_xlfn.XLOOKUP(_xlfn.XLOOKUP(B384,'Base stats'!B:B,'Base stats'!E:E),Groups!A:A,Groups!AS:AS)=1,OR(_xlfn.XLOOKUP(B384,'Base stats'!B:B,'Base stats'!Y:Y)="Carnivore",_xlfn.XLOOKUP(B384,'Base stats'!B:B,'Base stats'!Y:Y)="Omnivore")),"true","false")</f>
        <v>true</v>
      </c>
      <c r="BK384" s="2">
        <f>IF(BJ384="true",MROUND(IF(AND(AO384&gt;0.5,OR(_xlfn.XLOOKUP(_xlfn.XLOOKUP(B384,'Base stats'!B:B,'Base stats'!E:E),Groups!A:A,Groups!AJ:AJ)="Photonozoa",_xlfn.XLOOKUP(_xlfn.XLOOKUP(B384,'Base stats'!B:B,'Base stats'!E:E),Groups!A:A,Groups!AJ:AJ)="Mammal")),Animals!AO384*1.75*IF(AW384="true",1.5,1),IF(AO384&lt;0.5,Animals!AO384*0.5,Animals!AO384)),IF(AO384&gt;2,0.5,IF(AO384&gt;0.5,0.25,0.1))),"No")</f>
        <v>3.5</v>
      </c>
      <c r="BL384" s="2">
        <f t="shared" ref="BL384:BL415" si="52">IF(BI384&lt;&gt;"None",1,0)</f>
        <v>0</v>
      </c>
      <c r="BM384" s="25">
        <f>IF(_xlfn.XLOOKUP(B384,'Base stats'!B:B,'Base stats'!AN:AN)="Standard","No",MROUND((_xlfn.XLOOKUP(B384,'Base stats'!B:B,'Base stats'!AN:AN)/3.6)/I384,0.1))</f>
        <v>2.8000000000000003</v>
      </c>
      <c r="BN384" s="25" t="str">
        <f t="shared" ref="BN384:BN415" si="53">IF(OR(BM384&lt;&gt;"No",BQ384=1),"true","false")</f>
        <v>true</v>
      </c>
      <c r="BO384" s="25" t="str">
        <f>IF(AND(OR(_xlfn.XLOOKUP(B384,'Base stats'!B:B,'Base stats'!Y:Y)="Carnivore",_xlfn.XLOOKUP(B384,'Base stats'!B:B,'Base stats'!Y:Y)="Omnivore",_xlfn.XLOOKUP(B384,'Base stats'!B:B,'Base stats'!Y:Y)="OmnivoreRough"),_xlfn.XLOOKUP(_xlfn.XLOOKUP(B384,'Base stats'!B:B,'Base stats'!E:E),Groups!A:A,Groups!AT:AT)=1),"true","false")</f>
        <v>false</v>
      </c>
      <c r="BP384" s="25" t="str" cm="1">
        <f t="array" ref="BP384">IF(
  _xlfn.TEXTJOIN(", ",TRUE,
    IF(AND(BJ384="true",AO384&gt;0.5,BI384&lt;&gt;"None"),"AttackTarget",""),
    IF(AND(_xlfn.XLOOKUP(_xlfn.XLOOKUP(B384,'Base stats'!B:B,'Base stats'!E:E),Groups!A:A,Groups!AJ:AJ="Mammal"),OR(_xlfn.XLOOKUP(B384,'Base stats'!B:B,'Base stats'!Y:Y)="Omnivore",_xlfn.XLOOKUP(B384,'Base stats'!B:B,'Base stats'!Y:Y)="OmnivoreRough")),"Forage",""),
    IF(BG384&lt;=36,"Comfort",""),
    IF(_xlfn.XLOOKUP(B384,'Base stats'!B:B,'Base stats'!AE:AE)&lt;&gt;"No",_xlfn.XLOOKUP(B384,'Base stats'!B:B,'Base stats'!AE:AE),"")
  ) = "",
  "No",
  _xlfn.TEXTJOIN(", ",TRUE,
    IF(AND(BJ384="true",AO384&gt;0.5,BI384&lt;&gt;"None"),"AttackTarget",""),
    IF(AND(_xlfn.XLOOKUP(_xlfn.XLOOKUP(B384,'Base stats'!B:B,'Base stats'!E:E),Groups!A:A,Groups!AJ:AJ="Mammal"),OR(_xlfn.XLOOKUP(B384,'Base stats'!B:B,'Base stats'!Y:Y)="Omnivore",_xlfn.XLOOKUP(B384,'Base stats'!B:B,'Base stats'!Y:Y)="OmnivoreRough")),"Forage",""),
    IF(BG384&lt;=36,"Comfort",""),
    IF(_xlfn.XLOOKUP(B384,'Base stats'!B:B,'Base stats'!AE:AE)&lt;&gt;"No",_xlfn.XLOOKUP(B384,'Base stats'!B:B,'Base stats'!AE:AE),"")
  )
)</f>
        <v>No</v>
      </c>
      <c r="BQ384" s="25">
        <f>IF(
   AND(
      'Base stats'!AN384="Standard",_xlfn.XLOOKUP(_xlfn.XLOOKUP(B384,'Base stats'!B:B,'Base stats'!E:E),Groups!A:A,Groups!AU:AU)=0,
      OR(
      BO384="True"
      )
   ),
   10,
   IF(
       OR(BM384&lt;&gt;"No",_xlfn.XLOOKUP(_xlfn.XLOOKUP(B384,'Base stats'!B:B,'Base stats'!E:E),Groups!A:A,Groups!AU:AU)=1),
      1,
      "No"
   )
)</f>
        <v>1</v>
      </c>
      <c r="BR384" s="9">
        <f>MROUND((1 + ((0.2*IF(OR(Q384="No",R384="No",R384=0),0,Q384/R384)
+IF(OR(V384="No",S384="No",T384="No"),0,S384/T384*(LEN(V384)-LEN(SUBSTITUTE(V384,",",""))+1))
+IF(OR(X384="No",Y384="No"),0,X384/Y384)
+IF(OR(AD384="No",AE384="No"),0,AD384/AE384)
+IF(OR(AL384="No",AI384="No",AJ384="No"),0,AI384/AJ384*(LEN(AL384)-LEN(SUBSTITUTE(AL384,",",""))+1))
)/(0.2*IF(OR(Q384="No",R384="No",R384=0),0,1)
+IF(OR(V384="No",S384="No",T384="No"),0,LEN(V384)-LEN(SUBSTITUTE(V384,",",""))+1)
+IF(OR(X384="No",Y384="No"),0,1)
+IF(OR(AD384="No",AE384="No"),0,1)
+IF(OR(AL384="No",AI384="No",AJ384="No"),0,LEN(AL384)-LEN(SUBSTITUTE(AL384,",",""))+1))*62%)* 2)*(1 + (AP384 / (IF(_xlfn.XLOOKUP(_xlfn.XLOOKUP(B384,'Base stats'!B:B,'Base stats'!E:E),Groups!A:A,Groups!AJ:AJ)="Photonozoa",0.3,1)) + _xlfn.XLOOKUP(B384,'Base stats'!B:B,'Base stats'!AV:AV) * 1.8) * 2) * 2.5 + 10 + I384 * 2,5)+IF(_xlfn.XLOOKUP(B384,'Base stats'!B:B,'Base stats'!AK:AK)=1,50,0)</f>
        <v>280</v>
      </c>
      <c r="BS384" s="8">
        <f t="shared" ref="BS384:BS415" si="54">MROUND(AO384 * 0.2 + AQ384 * 0.8,0.05)</f>
        <v>1.1000000000000001</v>
      </c>
      <c r="BT384" s="8" t="str">
        <f>_xlfn.XLOOKUP(B384,'Base stats'!B:B,'Base stats'!AF:AF)</f>
        <v>No</v>
      </c>
      <c r="BU384" s="2" t="str">
        <f>IF(AND(J384&lt;=0.95,OR(_xlfn.XLOOKUP(B384,'Base stats'!B:B,'Base stats'!AK:AK)=1,_xlfn.XLOOKUP(B384,'Base stats'!B:B,'Base stats'!Y:Y)="Carnivore",_xlfn.XLOOKUP(B384,'Base stats'!B:B,'Base stats'!Y:Y)="Omnivore",BE384&gt;0.1)),"true","false")</f>
        <v>true</v>
      </c>
      <c r="BV384" s="2" t="str">
        <f>IF(_xlfn.XLOOKUP(B384,'Base stats'!B:B,'Base stats'!AI:AI)=1,"true","false")</f>
        <v>false</v>
      </c>
      <c r="BW384" s="25" t="str">
        <f>IF(E384="BaseInsect","AnimalInsect",
IF(J384&gt;0.95,"AnimalExotic",
_xlfn.TEXTJOIN(", ",TRUE,
IF(OR(_xlfn.XLOOKUP(B384,'Base stats'!B:B,'Base stats'!AM:AM)=1,AND(_xlfn.XLOOKUP(B384,'Base stats'!B:B,'Base stats'!O:O)=0,_xlfn.XLOOKUP(_xlfn.XLOOKUP(B384,'Base stats'!B:B,'Base stats'!E:E),Groups!A:A,Groups!B:B)&gt;0)),"AnimalUncommon","AnimalCommon"),
IF(AND(_xlfn.XLOOKUP(B384,'Base stats'!B:B,'Base stats'!O:O)=2,_xlfn.XLOOKUP(_xlfn.XLOOKUP(B384,'Base stats'!B:B,'Base stats'!E:E),Groups!A:A,Groups!D:D)=0),"AnimalPet",IF(AND(_xlfn.XLOOKUP(B384,'Base stats'!B:B,'Base stats'!O:O)&lt;&gt;0,_xlfn.XLOOKUP(_xlfn.XLOOKUP(B384,'Base stats'!B:B,'Base stats'!E:E),Groups!A:A,Groups!D:D)&lt;&gt;0),"AnimalFarm","")),
IF(OR(_xlfn.XLOOKUP(B384,'Base stats'!B:B,'Base stats'!AK:AK)=1,AND(BI384&lt;&gt;"None",BR384&gt;=60),ISNUMBER(SEARCH("Attack target",BP384))),"AnimalFighter","")
)))</f>
        <v>AnimalUncommon</v>
      </c>
      <c r="BX384" s="25" t="str">
        <f>IF(G384="None",TRIM(
SUBSTITUTE(
IF(COUNTIF(Biomes!B$2:B$259,"="&amp;$C384)&gt;0,Biomes!B$1&amp;", ","")&amp;
IF(COUNTIF(Biomes!C$2:C$259,"="&amp;$C384)&gt;0,Biomes!C$1&amp;", ","")&amp;
IF(COUNTIF(Biomes!D$2:D$259,"="&amp;$C384)&gt;0,Biomes!D$1&amp;", ","")&amp;
IF(COUNTIF(Biomes!F$2:F$259,"="&amp;$C384)&gt;0,Biomes!F$1&amp;", ","")&amp;
IF(COUNTIF(Biomes!G$2:G$259,"="&amp;$C384)&gt;0,Biomes!G$1&amp;", ","")&amp;
IF(COUNTIF(Biomes!H$2:H$259,"="&amp;$C384)&gt;0,Biomes!H$1&amp;", ","")&amp;
IF(COUNTIF(Biomes!I$2:I$259,"="&amp;$C384)&gt;0,Biomes!I$1&amp;", ","")&amp;
IF(COUNTIF(Biomes!J$2:J$259,"="&amp;$C384)&gt;0,Biomes!J$1&amp;", ","")&amp;
IF(COUNTIF(Biomes!M$2:M$259,"="&amp;$C384)&gt;0,Biomes!M$1&amp;", ","")&amp;
IF(COUNTIF(Biomes!N$2:N$259,"="&amp;$C384)&gt;0,Biomes!N$1&amp;", ","")&amp;
IF(COUNTIF(Biomes!O$2:O$259,"="&amp;$C384)&gt;0,Biomes!O$1&amp;", ","")&amp;
IF(COUNTIF(Biomes!P$2:P$259,"="&amp;$C384)&gt;0,Biomes!P$1&amp;", ","")&amp;
IF(COUNTIF(Biomes!K$2:K$259,"="&amp;$C384)&gt;0,Biomes!K$1&amp;", ","")&amp;
IF(COUNTIF(Biomes!Q$3:Q$259,"="&amp;$C384)&gt;0,Biomes!Q$1&amp;", ","")&amp;
IF(COUNTIF(Biomes!L$2:L$259,"="&amp;$C384)&gt;0,Biomes!L$1&amp;", ","")&amp;
IF(COUNTIF(Biomes!E$2:E$259,"="&amp;$C384)&gt;0,Biomes!E$1&amp;", ","")&amp;IF(COUNTIF(Biomes!S$2:S$259,"="&amp;$C384)&gt;0,Biomes!S$1&amp;", ","")&amp;
IF(COUNTIF(Biomes!R$2:R$259,"="&amp;$C384)&gt;0,Biomes!R$1&amp;", ",""),", ","")
),_xlfn.XLOOKUP(B384,B:B,BX:BX))</f>
        <v/>
      </c>
      <c r="BY384" s="25" t="str">
        <f>IF(_xlfn.XLOOKUP(B384,'Base stats'!B:B,'Base stats'!AJ:AJ)=1,"true","false")</f>
        <v>false</v>
      </c>
      <c r="BZ384" s="25">
        <f>IF(_xlfn.XLOOKUP(B384,'Base stats'!B:B,'Base stats'!N:N)=1,"No",MAX(0.001,MIN(MROUND(IF(AND(BJ384="True",CC384="False"),POWER(10,3.47*LOG10(_xlfn.XLOOKUP(B384,'Base stats'!B:B,'Base stats'!C:C)*1000)^-0.96),POWER(10,4.15*LOG10(_xlfn.XLOOKUP(B384,'Base stats'!B:B,'Base stats'!C:C)*1000)^-0.73))*IF(_xlfn.XLOOKUP(B384,'Base stats'!B:B,'Base stats'!AK:AK)=1,0.5,1)*IF(_xlfn.XLOOKUP(B384,'Base stats'!B:B,'Base stats'!AM:AM)=1,0.1,1)/100,IF(_xlfn.XLOOKUP(B384,'Base stats'!B:B,'Base stats'!AM:AM)=1,0.001,0.025)),0.5)))</f>
        <v>0.125</v>
      </c>
      <c r="CA384" s="25" t="str">
        <f>IF(P384="Standard","No",MAX(0.001,MIN(MROUND(IF(AND(BJ384="True",CC384="False"),POWER(10,3.47*LOG10(_xlfn.XLOOKUP(B384,'Base stats'!B:B,'Base stats'!C:C)*1000)^-0.96),POWER(10,4.15*LOG10(_xlfn.XLOOKUP(B384,'Base stats'!B:B,'Base stats'!C:C)*1000)^-0.73))*IF(_xlfn.XLOOKUP(B384,'Base stats'!B:B,'Base stats'!AM:AM)=1,0.1,1)*_xlfn.XLOOKUP(B384,'Base stats'!B:B,'Base stats'!R:R)/100,IF(_xlfn.XLOOKUP(B384,'Base stats'!B:B,'Base stats'!AM:AM)=1,0.001,0.025)),0.5)))</f>
        <v>No</v>
      </c>
      <c r="CB384" s="25" t="str">
        <f>IF(_xlfn.XLOOKUP(_xlfn.XLOOKUP(B384,'Base stats'!B:B,'Base stats'!E:E),Groups!A:A,Groups!AJ:AJ)="Mammal","True","False")</f>
        <v>False</v>
      </c>
      <c r="CC384" s="25" t="str">
        <f>IF(OR(_xlfn.XLOOKUP(_xlfn.XLOOKUP(B384,'Base stats'!B:B,'Base stats'!E:E),Groups!A:A,Groups!AJ:AJ)="Reptile",_xlfn.XLOOKUP(_xlfn.XLOOKUP(B384,'Base stats'!B:B,'Base stats'!E:E),Groups!A:A,Groups!AJ:AJ)="Amphibian",_xlfn.XLOOKUP(_xlfn.XLOOKUP(B384,'Base stats'!B:B,'Base stats'!E:E),Groups!A:A,Groups!AJ:AJ)="Invertebrate"),"True","False")</f>
        <v>True</v>
      </c>
      <c r="CD384" s="25" t="str">
        <f t="shared" ref="CD384:CD415" si="55">IF(J384&gt;0.95,"True","False")</f>
        <v>False</v>
      </c>
      <c r="CE384" s="25" t="str">
        <f>IF(_xlfn.XLOOKUP(_xlfn.XLOOKUP(B384,'Base stats'!B:B,'Base stats'!E:E),Groups!A:A,Groups!AX:AX),"True","False")</f>
        <v>False</v>
      </c>
      <c r="CF384" s="25" t="str">
        <f>IF(_xlfn.XLOOKUP(_xlfn.XLOOKUP(B384,'Base stats'!B:B,'Base stats'!E:E),Groups!A:A,Groups!AY:AY),"True","False")</f>
        <v>False</v>
      </c>
      <c r="CG384" s="25" t="str">
        <f>IF(_xlfn.XLOOKUP(_xlfn.XLOOKUP(B384,'Base stats'!B:B,'Base stats'!E:E),Groups!A:A,Groups!AW:AW),"True","False")</f>
        <v>False</v>
      </c>
      <c r="CH384" s="25" t="str">
        <f>IF(
OR(
_xlfn.XLOOKUP(_xlfn.XLOOKUP(B384,'Base stats'!B:B,'Base stats'!E:E),Groups!A:A,Groups!AZ:AZ)=0,
AND(
_xlfn.XLOOKUP(B384,'Base stats'!B:B,'Base stats'!Y:Y)&lt;&gt;"Carnivore",
_xlfn.XLOOKUP(B384,'Base stats'!B:B,'Base stats'!Y:Y)&lt;&gt;"Omnivore",
_xlfn.XLOOKUP(B384,'Base stats'!B:B,'Base stats'!Y:Y)&lt;&gt;"OmnivoreRough"
)
),
"No",
IF(
_xlfn.XLOOKUP(_xlfn.XLOOKUP(B384,'Base stats'!B:B,'Base stats'!E:E),Groups!A:A,Groups!AZ:AZ)=1,
"Flesh",
IF(
_xlfn.XLOOKUP(_xlfn.XLOOKUP(B384,'Base stats'!B:B,'Base stats'!E:E),Groups!A:A,Groups!AZ:AZ)=2,
"Bone",
""
)
)
)</f>
        <v>No</v>
      </c>
      <c r="CI384" s="25" t="str">
        <f>IF(_xlfn.XLOOKUP(_xlfn.XLOOKUP(B384,'Base stats'!B:B,'Base stats'!E:E),Groups!A:A,Groups!BB:BB),"True","False")</f>
        <v>False</v>
      </c>
      <c r="CJ384" s="25" t="str">
        <f>IF(_xlfn.XLOOKUP(_xlfn.XLOOKUP(B384,'Base stats'!B:B,'Base stats'!E:E),Groups!A:A,Groups!BA:BA),"True","False")</f>
        <v>True</v>
      </c>
    </row>
    <row r="385" spans="1:88" ht="16.5" thickTop="1" thickBot="1" x14ac:dyDescent="0.3">
      <c r="A385" s="26" t="s">
        <v>2074</v>
      </c>
      <c r="B385" s="6" t="str">
        <f>_xlfn.XLOOKUP(A385,'Base stats'!A:A,'Base stats'!B:B)</f>
        <v xml:space="preserve">Mammuthus primigenius </v>
      </c>
      <c r="C385" s="28" t="str">
        <f t="shared" ref="C385:C415" si="56">"&lt;li&gt;"&amp;A385&amp;"&lt;/li&gt;"</f>
        <v>&lt;li&gt;WoollyMammoth&lt;/li&gt;</v>
      </c>
      <c r="D385" s="28" t="s">
        <v>2126</v>
      </c>
      <c r="E385" s="28" t="s">
        <v>673</v>
      </c>
      <c r="F385" s="28" t="s">
        <v>673</v>
      </c>
      <c r="G385" s="28" t="s">
        <v>673</v>
      </c>
      <c r="H385" s="2">
        <f>MROUND((
  (IF(AND(_xlfn.XLOOKUP(B385,'Base stats'!B:B,'Base stats'!AL:AL)=0,BI385="None",_xlfn.XLOOKUP(_xlfn.XLOOKUP(B385,'Base stats'!B:B,'Base stats'!E:E),Groups!A:A,Groups!B:B)=0), (18 + BR385 * 2.7) * 0.5,
    IF(AND(_xlfn.XLOOKUP(B385,'Base stats'!B:B,'Base stats'!AL:AL)=0,OR(AO385&lt;0.55,AND(BI385="Intermediate",_xlfn.XLOOKUP(_xlfn.XLOOKUP(B385,'Base stats'!B:B,'Base stats'!E:E),Groups!A:A,Groups!B:B)&lt;2))), (18 + BR385 * 2.7),
      IF(OR(BI385="Advanced",_xlfn.XLOOKUP(B385,'Base stats'!B:B,'Base stats'!AL:AL)=1,_xlfn.XLOOKUP(_xlfn.XLOOKUP(B385,'Base stats'!B:B,'Base stats'!E:E),Groups!A:A,Groups!B:B)=2), (18 + BR385 * 2.7) + 250, (18 + BR385 * 2.7))
    )
  ))
  + AO385 * 80
  + IF(COUNTIF(EggMilk!K$2:K$998, A385) &gt; 0, 125, 0)
  + IF(COUNTIF(EggMilk!P$2:P$998, A385) &gt; 0, 90, 0)
  + IF(COUNTIF(EggMilk!A$2:A$998, A385) &gt; 0, 90, 0)
)
* (0.8 + 0.4 * J385)
* 0.75,25)</f>
        <v>1700</v>
      </c>
      <c r="I385" s="2">
        <f>MROUND(ROUNDDOWN(_xlfn.XLOOKUP(B385,'Base stats'!B:B,'Base stats'!L:L)/3.6/(23.3/11),1),0.5)</f>
        <v>3.5</v>
      </c>
      <c r="J385" s="2">
        <f>IF(OR(_xlfn.XLOOKUP(B385,'Base stats'!B:B,'Base stats'!AB:AB)=1,_xlfn.XLOOKUP(_xlfn.XLOOKUP(B385,'Base stats'!B:B,'Base stats'!E:E),Groups!A:A,Groups!C:C)="Untamable"),1,IF(_xlfn.XLOOKUP(B385,'Base stats'!B:B,'Base stats'!AL:AL)=1,0.99,MIN(MROUND((1-0.6282*EXP(-0.459*AO385))*_xlfn.XLOOKUP(_xlfn.XLOOKUP(B385,'Base stats'!B:B,'Base stats'!E:E),Groups!A:A,Groups!C:C)*IF(_xlfn.XLOOKUP(B385,'Base stats'!B:B,'Base stats'!O:O)=1,0.5,IF(_xlfn.XLOOKUP(B385,'Base stats'!B:B,'Base stats'!O:O)=2,0,1)),0.05),IF(AO385&gt;3.5,0.985,0.95))))</f>
        <v>0.95000000000000007</v>
      </c>
      <c r="K385" s="2">
        <f>ROUNDUP(AO385*_xlfn.XLOOKUP(_xlfn.XLOOKUP(B385,'Base stats'!B:B,'Base stats'!E:E),Groups!A:A,Groups!E:E),0)</f>
        <v>25</v>
      </c>
      <c r="L385" s="2">
        <f>IF(OR(_xlfn.XLOOKUP(_xlfn.XLOOKUP(B385,'Base stats'!B:B,'Base stats'!E:E),Groups!A:A,Groups!F:F)=2,ISNUMBER(SEARCH("SeaIce",BX385)),ISNUMBER(SEARCH("IceSheet",BX385))),-50,IF(OR(ISNUMBER(SEARCH("GlacialPlain",BX385)),ISNUMBER(SEARCH("Tundra",BX385))),-40,IF(OR(ISNUMBER(SEARCH("Alpine",BX385)),ISNUMBER(SEARCH("BorealForest",BX385)),ISNUMBER(SEARCH("ColdBog",BX385))),-30,IF(OR(ISNUMBER(SEARCH("TemperateForest",BX385)),ISNUMBER(SEARCH("TemperateSwamp",BX385))),-20,IF(_xlfn.XLOOKUP(_xlfn.XLOOKUP(B385,'Base stats'!B:B,'Base stats'!E:E),Groups!A:A,Groups!F:F)=1,-15,IF(OR(ISNUMBER(SEARCH("Desert",BX385)),ISNUMBER(SEARCH("ExtremeDesert",BX385))),-10,IF(OR(ISNUMBER(SEARCH("Grasslands",BX385)),ISNUMBER(SEARCH("TropicalRainforest",BX385)),ISNUMBER(SEARCH("TropicalSwamp",BX385))),10,0)))))))-IF(CC385="False",MIN(IFERROR(MAX(MROUND(LOG10(_xlfn.XLOOKUP(B385,'Base stats'!B:B,'Base stats'!C:C)^(2/3))*10,5),5),5),30))-_xlfn.XLOOKUP(B385,'Base stats'!B:B,'Base stats'!P:P)+IF(CC385="True",5,0)</f>
        <v>-25</v>
      </c>
      <c r="M385" s="2">
        <f>IF(OR(_xlfn.XLOOKUP(_xlfn.XLOOKUP(B385,'Base stats'!B:B,'Base stats'!E:E),Groups!A:A,Groups!G:G)=2,ISNUMBER(SEARCH("Desert",BX385)),ISNUMBER(SEARCH("ExtremeDesert",BX385)),ISNUMBER(SEARCH("LavaField",BX385))),50,IF(ISNUMBER(SEARCH("Grasslands",BX385)),45,IF(OR(_xlfn.XLOOKUP(_xlfn.XLOOKUP(B385,'Base stats'!B:B,'Base stats'!E:E),Groups!A:A,Groups!G:G)=1,ISNUMBER(SEARCH("TropicalRainforest",BX385)),ISNUMBER(SEARCH("TropicalSwamp",BX385))),40,IF(OR(ISNUMBER(SEARCH("TemperateForest",BX385)),ISNUMBER(SEARCH("TemperateSwamp",BX385))),35,IF(OR(ISNUMBER(SEARCH("Alpine",BX385)),ISNUMBER(SEARCH("BorealForest",BX385)),ISNUMBER(SEARCH("ColdBog",BX385))),30,IF(ISNUMBER(OR(ISNUMBER(SEARCH("GlacialPlain",BX385)),SEARCH("Tundra",BX385))),25,IF(OR(ISNUMBER(SEARCH("SeaIce",BX385)),ISNUMBER(SEARCH("IceSheet",BX385)),ISNUMBER(SEARCH("TropicalSwamp",BX385))),10,35)))))))+_xlfn.XLOOKUP(B385,'Base stats'!B:B,'Base stats'!Q:Q)</f>
        <v>35</v>
      </c>
      <c r="N385" s="8" t="str">
        <f>IF(
_xlfn.XLOOKUP(
_xlfn.XLOOKUP(B385,'Base stats'!B:B,'Base stats'!E:E),
Groups!A:A,
Groups!L:L
)=1,
MIN(
MROUND(
IF(
_xlfn.XLOOKUP(B385,'Animals CE'!B:B,'Animals CE'!Z:Z)&lt;=1.5,
_xlfn.XLOOKUP(B385,'Animals CE'!B:B,'Animals CE'!Z:Z)/2+0.05,
0.8+
(_xlfn.XLOOKUP(B385,'Animals CE'!B:B,'Animals CE'!Z:Z)-1.5)
*0.02
),
0.05
),
200%
),
"No"
)</f>
        <v>No</v>
      </c>
      <c r="O385" s="8" t="str">
        <f>IF(
_xlfn.XLOOKUP(
_xlfn.XLOOKUP(B385,'Base stats'!B:B,'Base stats'!E:E),
Groups!A:A,
Groups!L:L
)=1,
MIN(
MROUND(
IF(
_xlfn.XLOOKUP(B385,'Animals CE'!B:B,'Animals CE'!AA:AA)&lt;=1.5,
_xlfn.XLOOKUP(B385,'Animals CE'!B:B,'Animals CE'!AA:AA)/2+0.05,
0.8+
(_xlfn.XLOOKUP(B385,'Animals CE'!B:B,'Animals CE'!AA:AA)-1.5)
*0.02
),
0.05
),
200%
),
"No"
)</f>
        <v>No</v>
      </c>
      <c r="P385" s="2" t="str">
        <f>_xlfn.XLOOKUP(B385,'Base stats'!B:B,'Base stats'!R:R)</f>
        <v>Standard</v>
      </c>
      <c r="Q385" s="13">
        <f>MROUND((LOG10(_xlfn.XLOOKUP(B385,'Base stats'!B:B,'Base stats'!AR:AR))*(AO385^0.5)+(_xlfn.XLOOKUP(B385,'Base stats'!B:B,'Base stats'!AR:AR)/1000)^(2/3)+_xlfn.XLOOKUP(B385,'Base stats'!B:B,'Base stats'!BA:BA)/2)+0.5,0.5)</f>
        <v>36</v>
      </c>
      <c r="R385" s="7">
        <f>IF(Q385="No","No",MAX(1,MROUND(_xlfn.XLOOKUP(B385,'Base stats'!B:B,'Base stats'!C:C)^0.165,0.05)))</f>
        <v>4</v>
      </c>
      <c r="S385" s="13">
        <f>IF(_xlfn.XLOOKUP(_xlfn.XLOOKUP(B385,'Base stats'!B:B,'Base stats'!E:E),Groups!A:A,Groups!P:P)=0,"No",MROUND((LOG10(_xlfn.XLOOKUP(B385,'Base stats'!B:B,'Base stats'!AS:AS))*(AO385^0.5)+(_xlfn.XLOOKUP(B385,'Base stats'!B:B,'Base stats'!AS:AS)/1000)^(2/3)+_xlfn.XLOOKUP(B385,'Base stats'!B:B,'Base stats'!BA:BA))+_xlfn.XLOOKUP(B385,'Base stats'!B:B,'Base stats'!AY:AY)+0.5,0.5))</f>
        <v>42</v>
      </c>
      <c r="T385" s="7">
        <f>IF(S385="No","No",MAX(_xlfn.XLOOKUP(_xlfn.XLOOKUP(B385,'Base stats'!B:B,'Base stats'!E:E),Groups!A:A,Groups!Q:Q),MROUND(_xlfn.XLOOKUP(_xlfn.XLOOKUP(B385,'Base stats'!B:B,'Base stats'!E:E),Groups!A:A,Groups!Q:Q)*_xlfn.XLOOKUP(B385,'Base stats'!B:B,'Base stats'!C:C)^0.165,0.05)))</f>
        <v>3.6</v>
      </c>
      <c r="U385" s="7" t="str">
        <f>IF(S385="No","No",_xlfn.XLOOKUP(_xlfn.XLOOKUP(B385,'Base stats'!B:B,'Base stats'!E:E),Groups!A:A,Groups!R:R))</f>
        <v>FrontLeftLeg, FrontRightLeg</v>
      </c>
      <c r="V385" s="7" t="str">
        <f>IF(S385="No","No",_xlfn.XLOOKUP(_xlfn.XLOOKUP(B385,'Base stats'!B:B,'Base stats'!E:E),Groups!A:A,Groups!S:S))</f>
        <v>left foot, right foot</v>
      </c>
      <c r="W385" s="7" t="str">
        <f>IF(S385="No","No",_xlfn.XLOOKUP(_xlfn.XLOOKUP(B385,'Base stats'!B:B,'Base stats'!E:E),Groups!A:A,Groups!T:T))</f>
        <v>Blunt</v>
      </c>
      <c r="X385" s="13">
        <f>IF(_xlfn.XLOOKUP(B385,'Base stats'!B:B,'Base stats'!W:W)="No","No",MROUND((LOG10(_xlfn.XLOOKUP(B385,'Base stats'!B:B,'Base stats'!AU:AU))*(AO385^0.5)+(_xlfn.XLOOKUP(B385,'Base stats'!B:B,'Base stats'!AU:AU)/1000)^(2/3)+_xlfn.XLOOKUP(B385,'Base stats'!B:B,'Base stats'!AZ:AZ))+0.5+IF(_xlfn.XLOOKUP(_xlfn.XLOOKUP(B385,'Base stats'!B:B,'Base stats'!E:E),Groups!A:A,Groups!U:U)&lt;&gt;3,_xlfn.XLOOKUP(B385,'Base stats'!B:B,'Base stats'!BA:BA),0),0.5))</f>
        <v>38.5</v>
      </c>
      <c r="Y385" s="7">
        <f>IF(X385="No","No",MAX(_xlfn.XLOOKUP(_xlfn.XLOOKUP(B385,'Base stats'!B:B,'Base stats'!E:E),Groups!A:A,Groups!V:V),MROUND(_xlfn.XLOOKUP(_xlfn.XLOOKUP(B385,'Base stats'!B:B,'Base stats'!E:E),Groups!A:A,Groups!V:V)*_xlfn.XLOOKUP(B385,'Base stats'!B:B,'Base stats'!C:C)^0.165,0.05)))</f>
        <v>2.8000000000000003</v>
      </c>
      <c r="Z385" s="7" t="str">
        <f>IF(X385="No","No",_xlfn.XLOOKUP(_xlfn.XLOOKUP(B385,'Base stats'!B:B,'Base stats'!E:E),Groups!A:A,Groups!W:W))</f>
        <v>TuskAttackTool</v>
      </c>
      <c r="AA385" s="7" t="str">
        <f>IF(X385="No","No",_xlfn.XLOOKUP(_xlfn.XLOOKUP(B385,'Base stats'!B:B,'Base stats'!E:E),Groups!A:A,Groups!X:X))</f>
        <v>tusk</v>
      </c>
      <c r="AB385" s="7" t="str">
        <f>IF(X385="No","No",_xlfn.XLOOKUP(_xlfn.XLOOKUP(B385,'Base stats'!B:B,'Base stats'!E:E),Groups!A:A,Groups!Y:Y))</f>
        <v>Scratch</v>
      </c>
      <c r="AC385" s="7" t="str">
        <f>_xlfn.XLOOKUP(Animals!B385,'Base stats'!B:B,'Base stats'!X:X)</f>
        <v>False</v>
      </c>
      <c r="AD385" s="13" t="str">
        <f>IF(_xlfn.XLOOKUP(B385,'Base stats'!B:B,'Base stats'!AT:AT)="No","No",MROUND((LOG10(_xlfn.XLOOKUP(B385,'Base stats'!B:B,'Base stats'!AT:AT))*(AO385^0.75)+(_xlfn.XLOOKUP(B385,'Base stats'!B:B,'Base stats'!AT:AT)/1000)^(2/3)+_xlfn.XLOOKUP(B385,'Base stats'!B:B,'Base stats'!AX:AX)+_xlfn.XLOOKUP(B385,'Base stats'!B:B,'Base stats'!BA:BA))+0.5,0.5))</f>
        <v>No</v>
      </c>
      <c r="AE385" s="7" t="str">
        <f>IF(AD385="No","No",MAX(_xlfn.XLOOKUP(_xlfn.XLOOKUP(B385,'Base stats'!B:B,'Base stats'!E:E),Groups!A:A,Groups!Z:Z),MROUND(_xlfn.XLOOKUP(_xlfn.XLOOKUP(B385,'Base stats'!B:B,'Base stats'!E:E),Groups!A:A,Groups!Z:Z)*_xlfn.XLOOKUP(B385,'Base stats'!B:B,'Base stats'!C:C)^0.165,0.05)))</f>
        <v>No</v>
      </c>
      <c r="AF385" s="7" t="str">
        <f>IF(AD385="No","No",_xlfn.XLOOKUP(_xlfn.XLOOKUP(B385,'Base stats'!B:B,'Base stats'!E:E),Groups!A:A,Groups!AA:AA))</f>
        <v>No</v>
      </c>
      <c r="AG385" s="7" t="str">
        <f>IF(AD385="No","No",_xlfn.XLOOKUP(_xlfn.XLOOKUP(B385,'Base stats'!B:B,'Base stats'!E:E),Groups!A:A,Groups!AB:AB))</f>
        <v>No</v>
      </c>
      <c r="AH385" s="7" t="str">
        <f>IF(AD385="No","No",_xlfn.XLOOKUP(_xlfn.XLOOKUP(B385,'Base stats'!B:B,'Base stats'!E:E),Groups!A:A,Groups!AC:AC))</f>
        <v>No</v>
      </c>
      <c r="AI385" s="13" t="str">
        <f>IF(_xlfn.XLOOKUP(_xlfn.XLOOKUP(B385,'Base stats'!B:B,'Base stats'!E:E),Groups!A:A,Groups!AD:AD)=0,"No",MROUND((LOG10(_xlfn.XLOOKUP(B385,'Base stats'!B:B,'Base stats'!AS:AS))*(AO385^0.75)+(_xlfn.XLOOKUP(B385,'Base stats'!B:B,'Base stats'!AS:AS)/1000)^(2/3)+_xlfn.XLOOKUP(B385,'Base stats'!B:B,'Base stats'!AY:AY)+_xlfn.XLOOKUP(B385,'Base stats'!B:B,'Base stats'!BA:BA))+0.5,0.5))</f>
        <v>No</v>
      </c>
      <c r="AJ385" s="7" t="str">
        <f>IF(AI385="No","No",MAX(_xlfn.XLOOKUP(_xlfn.XLOOKUP(B385,'Base stats'!B:B,'Base stats'!E:E),Groups!A:A,Groups!AE:AE),MROUND(_xlfn.XLOOKUP(_xlfn.XLOOKUP(B385,'Base stats'!B:B,'Base stats'!E:E),Groups!A:A,Groups!AE:AE)*IF(_xlfn.XLOOKUP(_xlfn.XLOOKUP(B385,'Base stats'!B:B,'Base stats'!E:E),Groups!A:A,Groups!AJ:AJ)="Photonozoa",0.6,1)*_xlfn.XLOOKUP(B385,'Base stats'!B:B,'Base stats'!C:C)^0.165,0.05)))</f>
        <v>No</v>
      </c>
      <c r="AK385" s="7" t="str">
        <f>IF(AI385="No","No",_xlfn.XLOOKUP(_xlfn.XLOOKUP(B385,'Base stats'!B:B,'Base stats'!E:E),Groups!A:A,Groups!AF:AF))</f>
        <v>No</v>
      </c>
      <c r="AL385" s="7" t="str">
        <f>IF(AI385="No","No",_xlfn.XLOOKUP(_xlfn.XLOOKUP(B385,'Base stats'!B:B,'Base stats'!E:E),Groups!A:A,Groups!AG:AG))</f>
        <v>No</v>
      </c>
      <c r="AM385" s="7" t="str">
        <f>IF(AI385="No","No",_xlfn.XLOOKUP(_xlfn.XLOOKUP(B385,'Base stats'!B:B,'Base stats'!E:E),Groups!A:A,Groups!AH:AH))</f>
        <v>No</v>
      </c>
      <c r="AN385" s="2" t="str">
        <f t="shared" si="49"/>
        <v>No</v>
      </c>
      <c r="AO385" s="2">
        <f>MROUND(IF(AND(_xlfn.XLOOKUP(B385,'Base stats'!B:B,'Base stats'!C:C)&gt;=0.5,_xlfn.XLOOKUP(B385,'Base stats'!B:B,'Base stats'!C:C)&lt;=0.8),
IF(_xlfn.XLOOKUP(B385,'Base stats'!B:B,'Base stats'!C:C)&lt;0.1,0.05,IF(_xlfn.XLOOKUP(B385,'Base stats'!B:B,'Base stats'!C:C)&lt;=70,(_xlfn.XLOOKUP(B385,'Base stats'!B:B,'Base stats'!C:C)/70)^0.426489913056526,IF(_xlfn.XLOOKUP(B385,'Base stats'!B:B,'Base stats'!C:C)&lt;=400,(_xlfn.XLOOKUP(B385,'Base stats'!B:B,'Base stats'!C:C)/70)^0.572811455315093,IF(_xlfn.XLOOKUP(B385,'Base stats'!B:B,'Base stats'!C:C)&lt;=2000,2.71391647193063*(_xlfn.XLOOKUP(B385,'Base stats'!B:B,'Base stats'!C:C)/400)^0.252459582904293,3.74314280240376*(_xlfn.XLOOKUP(B385,'Base stats'!B:B,'Base stats'!C:C)/2000)^0.357012633876913)))),
IF(_xlfn.XLOOKUP(B385,'Base stats'!B:B,'Base stats'!C:C)&lt;0.1,0.05,IF(_xlfn.XLOOKUP(B385,'Base stats'!B:B,'Base stats'!C:C)&lt;0.4,0.1,IF(_xlfn.XLOOKUP(B385,'Base stats'!B:B,'Base stats'!C:C)&lt;=70,(_xlfn.XLOOKUP(B385,'Base stats'!B:B,'Base stats'!C:C)/70)^0.445823913056526,IF(_xlfn.XLOOKUP(B385,'Base stats'!B:B,'Base stats'!C:C)&lt;=400,(_xlfn.XLOOKUP(B385,'Base stats'!B:B,'Base stats'!C:C)/70)^0.572811455315093,IF(_xlfn.XLOOKUP(B385,'Base stats'!B:B,'Base stats'!C:C)&lt;=2000,2.71391647193063*(_xlfn.XLOOKUP(B385,'Base stats'!B:B,'Base stats'!C:C)/400)^0.252459582904293,3.74314280240376*(_xlfn.XLOOKUP(B385,'Base stats'!B:B,'Base stats'!C:C)/2000)^0.357012633876913)))))),
IF(_xlfn.XLOOKUP(B385,'Base stats'!B:B,'Base stats'!C:C)&lt;0.1,0.05,IF(_xlfn.XLOOKUP(B385,'Base stats'!B:B,'Base stats'!C:C)&lt;=100,0.05,IF(_xlfn.XLOOKUP(B385,'Base stats'!B:B,'Base stats'!C:C)&lt;=250,0.1,IF(_xlfn.XLOOKUP(B385,'Base stats'!B:B,'Base stats'!C:C)&lt;=4000,0.25,0.5)))))</f>
        <v>5</v>
      </c>
      <c r="AP385" s="8">
        <f>MROUND(AO385*_xlfn.XLOOKUP(_xlfn.XLOOKUP(B385,'Base stats'!B:B,'Base stats'!E:E),Groups!A:A,Groups!AI:AI)*_xlfn.XLOOKUP(B385,'Base stats'!B:B,'Base stats'!Z:Z),0.05)</f>
        <v>5</v>
      </c>
      <c r="AQ385" s="8">
        <f>MAX(0.01,MROUND(IF(CC385="True",0.196*(AO385*100*1000)^0.889,IF(_xlfn.XLOOKUP(_xlfn.XLOOKUP(B385,'Base stats'!B:B,'Base stats'!E:E),Groups!A:A,Groups!AJ:AJ)="Bird",10.5*(AO385*100*1000)^0.681,4.82*(AO385*100*1000)^0.734))/(4.82*(1*100*1000)^0.734)/IF(AO385&lt;3.5,2,IF(AO385=3.5,1.5,1.25))*(1+0.132282374779864/(AO385^0.994035016789033+0.00905238001496948)),0.05))</f>
        <v>2.7</v>
      </c>
      <c r="AR385" s="9">
        <f>IFERROR(MROUND(_xlfn.XLOOKUP(B385,'Base stats'!B:B,'Base stats'!H:H)/IF(_xlfn.XLOOKUP(B385,'Base stats'!B:B,'Base stats'!I:I)&lt;&gt;1,(122.5/70),1.2),IF(_xlfn.XLOOKUP(B385,'Base stats'!B:B,'Base stats'!H:H)&gt;=30,5,IF(_xlfn.XLOOKUP(B385,'Base stats'!B:B,'Base stats'!H:H)&gt;=15,3,IF(_xlfn.XLOOKUP(B385,'Base stats'!B:B,'Base stats'!H:H)&gt;=10,2,1)))),"Immortal")</f>
        <v>55</v>
      </c>
      <c r="AS385" s="35">
        <f>IFERROR(IF(OR(_xlfn.XLOOKUP(B385,'Base stats'!B:B,'Base stats'!F:F)="Atypical reproduction",_xlfn.XLOOKUP(B385,'Base stats'!B:B,'Base stats'!F:F)="Lay eggs"),"Lay eggs",MIN(20,MAX(5.5,ROUND(((_xlfn.XLOOKUP(B385,'Base stats'!B:B,'Base stats'!F:F)-25)*(14.5/615) + 5.5)*2,0)/2))),"Unknown")</f>
        <v>20</v>
      </c>
      <c r="AT385" s="8">
        <f>IF(_xlfn.XLOOKUP(B385,'Base stats'!B:B,'Base stats'!G:G)="Atypical reproduction","No",IFERROR(MAX(IF(_xlfn.XLOOKUP(B385,'Base stats'!B:B,'Base stats'!G:G)&lt;0.5,0.2,0.3),MROUND(_xlfn.XLOOKUP(B385,'Base stats'!B:B,'Base stats'!G:G)/(365/60),0.2)),"Unknown"))</f>
        <v>1.8</v>
      </c>
      <c r="AU385" s="8">
        <f t="shared" si="50"/>
        <v>0.9</v>
      </c>
      <c r="AV385" s="8">
        <f>IFERROR(IFERROR(MROUND(_xlfn.XLOOKUP(B385,'Base stats'!B:B,'Base stats'!J:J),0.1),"Lay eggs"),"Cannot breed")</f>
        <v>1</v>
      </c>
      <c r="AW385" s="2" t="str">
        <f t="shared" si="51"/>
        <v>true</v>
      </c>
      <c r="AX385" s="2" t="str">
        <f>IF(_xlfn.XLOOKUP(_xlfn.XLOOKUP(Animals!B385,'Base stats'!B:B,'Base stats'!E:E),Groups!A:A,Groups!AK:AK)=1,"true","false")</f>
        <v>true</v>
      </c>
      <c r="AY385" s="25" t="str">
        <f>IF(_xlfn.XLOOKUP(B385,'Base stats'!B:B,'Base stats'!Y:Y)="Liquor","Liquor, CarnivoreAnimalStrict",IF(AND(_xlfn.XLOOKUP(B385,'Base stats'!B:B,'Base stats'!Y:Y)="Carnivore",_xlfn.XLOOKUP(_xlfn.XLOOKUP(B385,'Base stats'!B:B,'Base stats'!E:E),Groups!A:A,Groups!AJ:AJ)="Photonozoa"),"CarnivoreAnimalStrict, OvivoreAnimal",IF(_xlfn.XLOOKUP(B385,'Base stats'!B:B,'Base stats'!Y:Y)="Carnivore","CarnivoreAnimal, OvivoreAnimal",IF(_xlfn.XLOOKUP(B385,'Base stats'!B:B,'Base stats'!Y:Y)="Dendrovore","VegetarianRoughAnimal, DendrovoreAnimal",IF(_xlfn.XLOOKUP(B385,'Base stats'!B:B,'Base stats'!Y:Y)="Herbivore","VegetarianRoughAnimal",IF(_xlfn.XLOOKUP(B385,'Base stats'!B:B,'Base stats'!Y:Y)="OmnivoreRough","OmnivoreRoughAnimal, OvivoreAnimal","OmnivoreAnimal, OvivoreAnimal"))))))</f>
        <v>VegetarianRoughAnimal</v>
      </c>
      <c r="AZ385" s="2" t="str">
        <f>IF(_xlfn.XLOOKUP(_xlfn.XLOOKUP(B385,'Base stats'!B:B,'Base stats'!E:E),Groups!A:A,Groups!D:D)=1,MROUND((1-J385)*5+1,2)*IF(J385&lt;=0.4,2,1),"No")</f>
        <v>No</v>
      </c>
      <c r="BA385" s="2" t="str">
        <f>IF(AND(_xlfn.XLOOKUP(B385,'Base stats'!B:B,'Base stats'!AH:AH)="&lt;li&gt;Seal&lt;/li&gt;",G385="Odyssey"),"&lt;li&gt;AEXP_Seal&lt;/li&gt;",_xlfn.XLOOKUP(B385,'Base stats'!B:B,'Base stats'!AH:AH))</f>
        <v>&lt;li&gt;Elephant&lt;/li&gt;</v>
      </c>
      <c r="BB385" s="2" t="str">
        <f>_xlfn.XLOOKUP(B385,'Base stats'!B:B,'Base stats'!AG:AG)</f>
        <v>Leather_Mastodon</v>
      </c>
      <c r="BC385" s="23" t="str">
        <f>_xlfn.XLOOKUP(_xlfn.XLOOKUP(B385,'Base stats'!B:B,'Base stats'!E:E),Groups!A:A,Groups!AL:AL)</f>
        <v>QuadrupedAnimalWithHoovesTusksAndTrunk</v>
      </c>
      <c r="BD385" s="23">
        <f>MIN(1,MROUND(IF(AND(AO385&lt;0.5,_xlfn.XLOOKUP(B385,'Base stats'!B:B,'Base stats'!AA:AA)=0),0,IF(OR(_xlfn.XLOOKUP(Animals!B385,'Base stats'!B:B,'Base stats'!O:O)=2,_xlfn.XLOOKUP(_xlfn.XLOOKUP(B385,'Base stats'!B:B,'Base stats'!E:E),Groups!A:A,Groups!AN:AN)=0),0,_xlfn.XLOOKUP(_xlfn.XLOOKUP(B385,'Base stats'!B:B,'Base stats'!E:E),Groups!A:A,Groups!AN:AN)/IF(_xlfn.XLOOKUP(Animals!B385,'Base stats'!B:B,'Base stats'!O:O)=1,2,1)))+_xlfn.XLOOKUP(B385,'Base stats'!B:B,'Base stats'!AC:AC),0.005))</f>
        <v>2.5000000000000001E-2</v>
      </c>
      <c r="BE385" s="23">
        <f>MIN(1,MROUND(IF(AND(AO385&lt;0.5,_xlfn.XLOOKUP(B385,'Base stats'!B:B,'Base stats'!AA:AA)=0),0,IF(_xlfn.XLOOKUP(_xlfn.XLOOKUP(B385,'Base stats'!B:B,'Base stats'!E:E),Groups!A:A,Groups!AO:AO)=0,0,_xlfn.XLOOKUP(_xlfn.XLOOKUP(B385,'Base stats'!B:B,'Base stats'!E:E),Groups!A:A,Groups!AO:AO)/IF(_xlfn.XLOOKUP(Animals!B385,'Base stats'!B:B,'Base stats'!O:O)=2,3,1)))+_xlfn.XLOOKUP(B385,'Base stats'!B:B,'Base stats'!AD:AD),0.005))</f>
        <v>0.3</v>
      </c>
      <c r="BF385" s="2" t="str">
        <f>IF(J385&gt;0.3,"No",_xlfn.XLOOKUP(_xlfn.XLOOKUP(Animals!B385,'Base stats'!B:B,'Base stats'!E:E),Groups!A:A,Groups!AP:AP))</f>
        <v>No</v>
      </c>
      <c r="BG385" s="2" t="str">
        <f>IF(AND(J385&lt;=0.65,_xlfn.XLOOKUP(_xlfn.XLOOKUP(Animals!B385,'Base stats'!B:B,'Base stats'!E:E),Groups!A:A,Groups!AP:AP)&lt;&gt;"No",_xlfn.XLOOKUP(_xlfn.XLOOKUP(B385,'Base stats'!B:B,'Base stats'!E:E),Groups!A:A,Groups!D:D)=0),MROUND((80/3)*IF(_xlfn.XLOOKUP(B385,'Base stats'!B:B,'Base stats'!O:O)=2,0.2,AO385) + 24*(1-IF(BF385="No",0,BF385)) + 16/3, 12),"No")</f>
        <v>No</v>
      </c>
      <c r="BH385" s="2">
        <f>IF(AND(_xlfn.XLOOKUP(_xlfn.XLOOKUP(B385,'Base stats'!B:B,'Base stats'!E:E),Groups!A:A,Groups!AQ:AQ)=1,AO385&lt;=0.35),8,12)</f>
        <v>12</v>
      </c>
      <c r="BI385" s="2" t="str">
        <f>IF(_xlfn.XLOOKUP(_xlfn.XLOOKUP(B385,'Base stats'!B:B,'Base stats'!E:E),Groups!A:A,Groups!D:D)=0,_xlfn.XLOOKUP(_xlfn.XLOOKUP(B385,'Base stats'!B:B,'Base stats'!E:E),Groups!A:A,Groups!AR:AR),"None")</f>
        <v>Advanced</v>
      </c>
      <c r="BJ385" s="2" t="str">
        <f>IF(AND(_xlfn.XLOOKUP(_xlfn.XLOOKUP(B385,'Base stats'!B:B,'Base stats'!E:E),Groups!A:A,Groups!AS:AS)=1,OR(_xlfn.XLOOKUP(B385,'Base stats'!B:B,'Base stats'!Y:Y)="Carnivore",_xlfn.XLOOKUP(B385,'Base stats'!B:B,'Base stats'!Y:Y)="Omnivore")),"true","false")</f>
        <v>false</v>
      </c>
      <c r="BK385" s="2" t="str">
        <f>IF(BJ385="true",MROUND(IF(AND(AO385&gt;0.5,OR(_xlfn.XLOOKUP(_xlfn.XLOOKUP(B385,'Base stats'!B:B,'Base stats'!E:E),Groups!A:A,Groups!AJ:AJ)="Photonozoa",_xlfn.XLOOKUP(_xlfn.XLOOKUP(B385,'Base stats'!B:B,'Base stats'!E:E),Groups!A:A,Groups!AJ:AJ)="Mammal")),Animals!AO385*1.75*IF(AW385="true",1.5,1),IF(AO385&lt;0.5,Animals!AO385*0.5,Animals!AO385)),IF(AO385&gt;2,0.5,IF(AO385&gt;0.5,0.25,0.1))),"No")</f>
        <v>No</v>
      </c>
      <c r="BL385" s="2">
        <f t="shared" si="52"/>
        <v>1</v>
      </c>
      <c r="BM385" s="25" t="str">
        <f>IF(_xlfn.XLOOKUP(B385,'Base stats'!B:B,'Base stats'!AN:AN)="Standard","No",MROUND((_xlfn.XLOOKUP(B385,'Base stats'!B:B,'Base stats'!AN:AN)/3.6)/I385,0.1))</f>
        <v>No</v>
      </c>
      <c r="BN385" s="25" t="str">
        <f t="shared" si="53"/>
        <v>false</v>
      </c>
      <c r="BO385" s="25" t="str">
        <f>IF(AND(OR(_xlfn.XLOOKUP(B385,'Base stats'!B:B,'Base stats'!Y:Y)="Carnivore",_xlfn.XLOOKUP(B385,'Base stats'!B:B,'Base stats'!Y:Y)="Omnivore",_xlfn.XLOOKUP(B385,'Base stats'!B:B,'Base stats'!Y:Y)="OmnivoreRough"),_xlfn.XLOOKUP(_xlfn.XLOOKUP(B385,'Base stats'!B:B,'Base stats'!E:E),Groups!A:A,Groups!AT:AT)=1),"true","false")</f>
        <v>false</v>
      </c>
      <c r="BP385" s="25" t="str" cm="1">
        <f t="array" ref="BP385">IF(
  _xlfn.TEXTJOIN(", ",TRUE,
    IF(AND(BJ385="true",AO385&gt;0.5,BI385&lt;&gt;"None"),"AttackTarget",""),
    IF(AND(_xlfn.XLOOKUP(_xlfn.XLOOKUP(B385,'Base stats'!B:B,'Base stats'!E:E),Groups!A:A,Groups!AJ:AJ="Mammal"),OR(_xlfn.XLOOKUP(B385,'Base stats'!B:B,'Base stats'!Y:Y)="Omnivore",_xlfn.XLOOKUP(B385,'Base stats'!B:B,'Base stats'!Y:Y)="OmnivoreRough")),"Forage",""),
    IF(BG385&lt;=36,"Comfort",""),
    IF(_xlfn.XLOOKUP(B385,'Base stats'!B:B,'Base stats'!AE:AE)&lt;&gt;"No",_xlfn.XLOOKUP(B385,'Base stats'!B:B,'Base stats'!AE:AE),"")
  ) = "",
  "No",
  _xlfn.TEXTJOIN(", ",TRUE,
    IF(AND(BJ385="true",AO385&gt;0.5,BI385&lt;&gt;"None"),"AttackTarget",""),
    IF(AND(_xlfn.XLOOKUP(_xlfn.XLOOKUP(B385,'Base stats'!B:B,'Base stats'!E:E),Groups!A:A,Groups!AJ:AJ="Mammal"),OR(_xlfn.XLOOKUP(B385,'Base stats'!B:B,'Base stats'!Y:Y)="Omnivore",_xlfn.XLOOKUP(B385,'Base stats'!B:B,'Base stats'!Y:Y)="OmnivoreRough")),"Forage",""),
    IF(BG385&lt;=36,"Comfort",""),
    IF(_xlfn.XLOOKUP(B385,'Base stats'!B:B,'Base stats'!AE:AE)&lt;&gt;"No",_xlfn.XLOOKUP(B385,'Base stats'!B:B,'Base stats'!AE:AE),"")
  )
)</f>
        <v>WarTrumpet</v>
      </c>
      <c r="BQ385" s="25" t="str">
        <f>IF(
   AND(
      'Base stats'!AN385="Standard",_xlfn.XLOOKUP(_xlfn.XLOOKUP(B385,'Base stats'!B:B,'Base stats'!E:E),Groups!A:A,Groups!AU:AU)=0,
      OR(
      BO385="True"
      )
   ),
   10,
   IF(
       OR(BM385&lt;&gt;"No",_xlfn.XLOOKUP(_xlfn.XLOOKUP(B385,'Base stats'!B:B,'Base stats'!E:E),Groups!A:A,Groups!AU:AU)=1),
      1,
      "No"
   )
)</f>
        <v>No</v>
      </c>
      <c r="BR385" s="9">
        <f>MROUND((1 + ((0.2*IF(OR(Q385="No",R385="No",R385=0),0,Q385/R385)
+IF(OR(V385="No",S385="No",T385="No"),0,S385/T385*(LEN(V385)-LEN(SUBSTITUTE(V385,",",""))+1))
+IF(OR(X385="No",Y385="No"),0,X385/Y385)
+IF(OR(AD385="No",AE385="No"),0,AD385/AE385)
+IF(OR(AL385="No",AI385="No",AJ385="No"),0,AI385/AJ385*(LEN(AL385)-LEN(SUBSTITUTE(AL385,",",""))+1))
)/(0.2*IF(OR(Q385="No",R385="No",R385=0),0,1)
+IF(OR(V385="No",S385="No",T385="No"),0,LEN(V385)-LEN(SUBSTITUTE(V385,",",""))+1)
+IF(OR(X385="No",Y385="No"),0,1)
+IF(OR(AD385="No",AE385="No"),0,1)
+IF(OR(AL385="No",AI385="No",AJ385="No"),0,LEN(AL385)-LEN(SUBSTITUTE(AL385,",",""))+1))*62%)* 2)*(1 + (AP385 / (IF(_xlfn.XLOOKUP(_xlfn.XLOOKUP(B385,'Base stats'!B:B,'Base stats'!E:E),Groups!A:A,Groups!AJ:AJ)="Photonozoa",0.3,1)) + _xlfn.XLOOKUP(B385,'Base stats'!B:B,'Base stats'!AV:AV) * 1.8) * 2) * 2.5 + 10 + I385 * 2,5)+IF(_xlfn.XLOOKUP(B385,'Base stats'!B:B,'Base stats'!AK:AK)=1,50,0)</f>
        <v>460</v>
      </c>
      <c r="BS385" s="8">
        <f t="shared" si="54"/>
        <v>3.1500000000000004</v>
      </c>
      <c r="BT385" s="8" t="str">
        <f>_xlfn.XLOOKUP(B385,'Base stats'!B:B,'Base stats'!AF:AF)</f>
        <v>3~10</v>
      </c>
      <c r="BU385" s="2" t="str">
        <f>IF(AND(J385&lt;=0.95,OR(_xlfn.XLOOKUP(B385,'Base stats'!B:B,'Base stats'!AK:AK)=1,_xlfn.XLOOKUP(B385,'Base stats'!B:B,'Base stats'!Y:Y)="Carnivore",_xlfn.XLOOKUP(B385,'Base stats'!B:B,'Base stats'!Y:Y)="Omnivore",BE385&gt;0.1)),"true","false")</f>
        <v>true</v>
      </c>
      <c r="BV385" s="2" t="str">
        <f>IF(_xlfn.XLOOKUP(B385,'Base stats'!B:B,'Base stats'!AI:AI)=1,"true","false")</f>
        <v>true</v>
      </c>
      <c r="BW385" s="25" t="str">
        <f>IF(E385="BaseInsect","AnimalInsect",
IF(J385&gt;0.95,"AnimalExotic",
_xlfn.TEXTJOIN(", ",TRUE,
IF(OR(_xlfn.XLOOKUP(B385,'Base stats'!B:B,'Base stats'!AM:AM)=1,AND(_xlfn.XLOOKUP(B385,'Base stats'!B:B,'Base stats'!O:O)=0,_xlfn.XLOOKUP(_xlfn.XLOOKUP(B385,'Base stats'!B:B,'Base stats'!E:E),Groups!A:A,Groups!B:B)&gt;0)),"AnimalUncommon","AnimalCommon"),
IF(AND(_xlfn.XLOOKUP(B385,'Base stats'!B:B,'Base stats'!O:O)=2,_xlfn.XLOOKUP(_xlfn.XLOOKUP(B385,'Base stats'!B:B,'Base stats'!E:E),Groups!A:A,Groups!D:D)=0),"AnimalPet",IF(AND(_xlfn.XLOOKUP(B385,'Base stats'!B:B,'Base stats'!O:O)&lt;&gt;0,_xlfn.XLOOKUP(_xlfn.XLOOKUP(B385,'Base stats'!B:B,'Base stats'!E:E),Groups!A:A,Groups!D:D)&lt;&gt;0),"AnimalFarm","")),
IF(OR(_xlfn.XLOOKUP(B385,'Base stats'!B:B,'Base stats'!AK:AK)=1,AND(BI385&lt;&gt;"None",BR385&gt;=60),ISNUMBER(SEARCH("Attack target",BP385))),"AnimalFighter","")
)))</f>
        <v>AnimalUncommon, AnimalFighter</v>
      </c>
      <c r="BX385" s="25" t="str">
        <f>IF(G385="None",TRIM(
SUBSTITUTE(
IF(COUNTIF(Biomes!B$2:B$259,"="&amp;$C385)&gt;0,Biomes!B$1&amp;", ","")&amp;
IF(COUNTIF(Biomes!C$2:C$259,"="&amp;$C385)&gt;0,Biomes!C$1&amp;", ","")&amp;
IF(COUNTIF(Biomes!D$2:D$259,"="&amp;$C385)&gt;0,Biomes!D$1&amp;", ","")&amp;
IF(COUNTIF(Biomes!F$2:F$259,"="&amp;$C385)&gt;0,Biomes!F$1&amp;", ","")&amp;
IF(COUNTIF(Biomes!G$2:G$259,"="&amp;$C385)&gt;0,Biomes!G$1&amp;", ","")&amp;
IF(COUNTIF(Biomes!H$2:H$259,"="&amp;$C385)&gt;0,Biomes!H$1&amp;", ","")&amp;
IF(COUNTIF(Biomes!I$2:I$259,"="&amp;$C385)&gt;0,Biomes!I$1&amp;", ","")&amp;
IF(COUNTIF(Biomes!J$2:J$259,"="&amp;$C385)&gt;0,Biomes!J$1&amp;", ","")&amp;
IF(COUNTIF(Biomes!M$2:M$259,"="&amp;$C385)&gt;0,Biomes!M$1&amp;", ","")&amp;
IF(COUNTIF(Biomes!N$2:N$259,"="&amp;$C385)&gt;0,Biomes!N$1&amp;", ","")&amp;
IF(COUNTIF(Biomes!O$2:O$259,"="&amp;$C385)&gt;0,Biomes!O$1&amp;", ","")&amp;
IF(COUNTIF(Biomes!P$2:P$259,"="&amp;$C385)&gt;0,Biomes!P$1&amp;", ","")&amp;
IF(COUNTIF(Biomes!K$2:K$259,"="&amp;$C385)&gt;0,Biomes!K$1&amp;", ","")&amp;
IF(COUNTIF(Biomes!Q$3:Q$259,"="&amp;$C385)&gt;0,Biomes!Q$1&amp;", ","")&amp;
IF(COUNTIF(Biomes!L$2:L$259,"="&amp;$C385)&gt;0,Biomes!L$1&amp;", ","")&amp;
IF(COUNTIF(Biomes!E$2:E$259,"="&amp;$C385)&gt;0,Biomes!E$1&amp;", ","")&amp;IF(COUNTIF(Biomes!S$2:S$259,"="&amp;$C385)&gt;0,Biomes!S$1&amp;", ","")&amp;
IF(COUNTIF(Biomes!R$2:R$259,"="&amp;$C385)&gt;0,Biomes!R$1&amp;", ",""),", ","")
),_xlfn.XLOOKUP(B385,B:B,BX:BX))</f>
        <v/>
      </c>
      <c r="BY385" s="25" t="str">
        <f>IF(_xlfn.XLOOKUP(B385,'Base stats'!B:B,'Base stats'!AJ:AJ)=1,"true","false")</f>
        <v>false</v>
      </c>
      <c r="BZ385" s="25">
        <f>IF(_xlfn.XLOOKUP(B385,'Base stats'!B:B,'Base stats'!N:N)=1,"No",MAX(0.001,MIN(MROUND(IF(AND(BJ385="True",CC385="False"),POWER(10,3.47*LOG10(_xlfn.XLOOKUP(B385,'Base stats'!B:B,'Base stats'!C:C)*1000)^-0.96),POWER(10,4.15*LOG10(_xlfn.XLOOKUP(B385,'Base stats'!B:B,'Base stats'!C:C)*1000)^-0.73))*IF(_xlfn.XLOOKUP(B385,'Base stats'!B:B,'Base stats'!AK:AK)=1,0.5,1)*IF(_xlfn.XLOOKUP(B385,'Base stats'!B:B,'Base stats'!AM:AM)=1,0.1,1)/100,IF(_xlfn.XLOOKUP(B385,'Base stats'!B:B,'Base stats'!AM:AM)=1,0.001,0.025)),0.5)))</f>
        <v>0.1</v>
      </c>
      <c r="CA385" s="25" t="str">
        <f>IF(P385="Standard","No",MAX(0.001,MIN(MROUND(IF(AND(BJ385="True",CC385="False"),POWER(10,3.47*LOG10(_xlfn.XLOOKUP(B385,'Base stats'!B:B,'Base stats'!C:C)*1000)^-0.96),POWER(10,4.15*LOG10(_xlfn.XLOOKUP(B385,'Base stats'!B:B,'Base stats'!C:C)*1000)^-0.73))*IF(_xlfn.XLOOKUP(B385,'Base stats'!B:B,'Base stats'!AM:AM)=1,0.1,1)*_xlfn.XLOOKUP(B385,'Base stats'!B:B,'Base stats'!R:R)/100,IF(_xlfn.XLOOKUP(B385,'Base stats'!B:B,'Base stats'!AM:AM)=1,0.001,0.025)),0.5)))</f>
        <v>No</v>
      </c>
      <c r="CB385" s="25" t="str">
        <f>IF(_xlfn.XLOOKUP(_xlfn.XLOOKUP(B385,'Base stats'!B:B,'Base stats'!E:E),Groups!A:A,Groups!AJ:AJ)="Mammal","True","False")</f>
        <v>True</v>
      </c>
      <c r="CC385" s="25" t="str">
        <f>IF(OR(_xlfn.XLOOKUP(_xlfn.XLOOKUP(B385,'Base stats'!B:B,'Base stats'!E:E),Groups!A:A,Groups!AJ:AJ)="Reptile",_xlfn.XLOOKUP(_xlfn.XLOOKUP(B385,'Base stats'!B:B,'Base stats'!E:E),Groups!A:A,Groups!AJ:AJ)="Amphibian",_xlfn.XLOOKUP(_xlfn.XLOOKUP(B385,'Base stats'!B:B,'Base stats'!E:E),Groups!A:A,Groups!AJ:AJ)="Invertebrate"),"True","False")</f>
        <v>False</v>
      </c>
      <c r="CD385" s="25" t="str">
        <f t="shared" si="55"/>
        <v>False</v>
      </c>
      <c r="CE385" s="25" t="str">
        <f>IF(_xlfn.XLOOKUP(_xlfn.XLOOKUP(B385,'Base stats'!B:B,'Base stats'!E:E),Groups!A:A,Groups!AX:AX),"True","False")</f>
        <v>False</v>
      </c>
      <c r="CF385" s="25" t="str">
        <f>IF(_xlfn.XLOOKUP(_xlfn.XLOOKUP(B385,'Base stats'!B:B,'Base stats'!E:E),Groups!A:A,Groups!AY:AY),"True","False")</f>
        <v>False</v>
      </c>
      <c r="CG385" s="25" t="str">
        <f>IF(_xlfn.XLOOKUP(_xlfn.XLOOKUP(B385,'Base stats'!B:B,'Base stats'!E:E),Groups!A:A,Groups!AW:AW),"True","False")</f>
        <v>False</v>
      </c>
      <c r="CH385" s="25" t="str">
        <f>IF(
OR(
_xlfn.XLOOKUP(_xlfn.XLOOKUP(B385,'Base stats'!B:B,'Base stats'!E:E),Groups!A:A,Groups!AZ:AZ)=0,
AND(
_xlfn.XLOOKUP(B385,'Base stats'!B:B,'Base stats'!Y:Y)&lt;&gt;"Carnivore",
_xlfn.XLOOKUP(B385,'Base stats'!B:B,'Base stats'!Y:Y)&lt;&gt;"Omnivore",
_xlfn.XLOOKUP(B385,'Base stats'!B:B,'Base stats'!Y:Y)&lt;&gt;"OmnivoreRough"
)
),
"No",
IF(
_xlfn.XLOOKUP(_xlfn.XLOOKUP(B385,'Base stats'!B:B,'Base stats'!E:E),Groups!A:A,Groups!AZ:AZ)=1,
"Flesh",
IF(
_xlfn.XLOOKUP(_xlfn.XLOOKUP(B385,'Base stats'!B:B,'Base stats'!E:E),Groups!A:A,Groups!AZ:AZ)=2,
"Bone",
""
)
)
)</f>
        <v>No</v>
      </c>
      <c r="CI385" s="25" t="str">
        <f>IF(_xlfn.XLOOKUP(_xlfn.XLOOKUP(B385,'Base stats'!B:B,'Base stats'!E:E),Groups!A:A,Groups!BB:BB),"True","False")</f>
        <v>True</v>
      </c>
      <c r="CJ385" s="25" t="str">
        <f>IF(_xlfn.XLOOKUP(_xlfn.XLOOKUP(B385,'Base stats'!B:B,'Base stats'!E:E),Groups!A:A,Groups!BA:BA),"True","False")</f>
        <v>False</v>
      </c>
    </row>
    <row r="386" spans="1:88" ht="16.5" thickTop="1" thickBot="1" x14ac:dyDescent="0.3">
      <c r="A386" s="26" t="s">
        <v>2075</v>
      </c>
      <c r="B386" s="6" t="str">
        <f>_xlfn.XLOOKUP(A386,'Base stats'!A:A,'Base stats'!B:B)</f>
        <v>Elasmotherium sibiricum</v>
      </c>
      <c r="C386" s="28" t="str">
        <f t="shared" si="56"/>
        <v>&lt;li&gt;Elasmotherium&lt;/li&gt;</v>
      </c>
      <c r="D386" s="28" t="s">
        <v>2126</v>
      </c>
      <c r="E386" s="28" t="s">
        <v>673</v>
      </c>
      <c r="F386" s="28" t="s">
        <v>673</v>
      </c>
      <c r="G386" s="28" t="s">
        <v>673</v>
      </c>
      <c r="H386" s="2">
        <f>MROUND((
  (IF(AND(_xlfn.XLOOKUP(B386,'Base stats'!B:B,'Base stats'!AL:AL)=0,BI386="None",_xlfn.XLOOKUP(_xlfn.XLOOKUP(B386,'Base stats'!B:B,'Base stats'!E:E),Groups!A:A,Groups!B:B)=0), (18 + BR386 * 2.7) * 0.5,
    IF(AND(_xlfn.XLOOKUP(B386,'Base stats'!B:B,'Base stats'!AL:AL)=0,OR(AO386&lt;0.55,AND(BI386="Intermediate",_xlfn.XLOOKUP(_xlfn.XLOOKUP(B386,'Base stats'!B:B,'Base stats'!E:E),Groups!A:A,Groups!B:B)&lt;2))), (18 + BR386 * 2.7),
      IF(OR(BI386="Advanced",_xlfn.XLOOKUP(B386,'Base stats'!B:B,'Base stats'!AL:AL)=1,_xlfn.XLOOKUP(_xlfn.XLOOKUP(B386,'Base stats'!B:B,'Base stats'!E:E),Groups!A:A,Groups!B:B)=2), (18 + BR386 * 2.7) + 250, (18 + BR386 * 2.7))
    )
  ))
  + AO386 * 80
  + IF(COUNTIF(EggMilk!K$2:K$998, A386) &gt; 0, 125, 0)
  + IF(COUNTIF(EggMilk!P$2:P$998, A386) &gt; 0, 90, 0)
  + IF(COUNTIF(EggMilk!A$2:A$998, A386) &gt; 0, 90, 0)
)
* (0.8 + 0.4 * J386)
* 0.75,25)</f>
        <v>1950</v>
      </c>
      <c r="I386" s="2">
        <f>MROUND(ROUNDDOWN(_xlfn.XLOOKUP(B386,'Base stats'!B:B,'Base stats'!L:L)/3.6/(23.3/11),1),0.5)</f>
        <v>3.5</v>
      </c>
      <c r="J386" s="2">
        <f>IF(OR(_xlfn.XLOOKUP(B386,'Base stats'!B:B,'Base stats'!AB:AB)=1,_xlfn.XLOOKUP(_xlfn.XLOOKUP(B386,'Base stats'!B:B,'Base stats'!E:E),Groups!A:A,Groups!C:C)="Untamable"),1,IF(_xlfn.XLOOKUP(B386,'Base stats'!B:B,'Base stats'!AL:AL)=1,0.99,MIN(MROUND((1-0.6282*EXP(-0.459*AO386))*_xlfn.XLOOKUP(_xlfn.XLOOKUP(B386,'Base stats'!B:B,'Base stats'!E:E),Groups!A:A,Groups!C:C)*IF(_xlfn.XLOOKUP(B386,'Base stats'!B:B,'Base stats'!O:O)=1,0.5,IF(_xlfn.XLOOKUP(B386,'Base stats'!B:B,'Base stats'!O:O)=2,0,1)),0.05),IF(AO386&gt;3.5,0.985,0.95))))</f>
        <v>0.9</v>
      </c>
      <c r="K386" s="2">
        <f>ROUNDUP(AO386*_xlfn.XLOOKUP(_xlfn.XLOOKUP(B386,'Base stats'!B:B,'Base stats'!E:E),Groups!A:A,Groups!E:E),0)</f>
        <v>23</v>
      </c>
      <c r="L386" s="2">
        <f>IF(OR(_xlfn.XLOOKUP(_xlfn.XLOOKUP(B386,'Base stats'!B:B,'Base stats'!E:E),Groups!A:A,Groups!F:F)=2,ISNUMBER(SEARCH("SeaIce",BX386)),ISNUMBER(SEARCH("IceSheet",BX386))),-50,IF(OR(ISNUMBER(SEARCH("GlacialPlain",BX386)),ISNUMBER(SEARCH("Tundra",BX386))),-40,IF(OR(ISNUMBER(SEARCH("Alpine",BX386)),ISNUMBER(SEARCH("BorealForest",BX386)),ISNUMBER(SEARCH("ColdBog",BX386))),-30,IF(OR(ISNUMBER(SEARCH("TemperateForest",BX386)),ISNUMBER(SEARCH("TemperateSwamp",BX386))),-20,IF(_xlfn.XLOOKUP(_xlfn.XLOOKUP(B386,'Base stats'!B:B,'Base stats'!E:E),Groups!A:A,Groups!F:F)=1,-15,IF(OR(ISNUMBER(SEARCH("Desert",BX386)),ISNUMBER(SEARCH("ExtremeDesert",BX386))),-10,IF(OR(ISNUMBER(SEARCH("Grasslands",BX386)),ISNUMBER(SEARCH("TropicalRainforest",BX386)),ISNUMBER(SEARCH("TropicalSwamp",BX386))),10,0)))))))-IF(CC386="False",MIN(IFERROR(MAX(MROUND(LOG10(_xlfn.XLOOKUP(B386,'Base stats'!B:B,'Base stats'!C:C)^(2/3))*10,5),5),5),30))-_xlfn.XLOOKUP(B386,'Base stats'!B:B,'Base stats'!P:P)+IF(CC386="True",5,0)</f>
        <v>-25</v>
      </c>
      <c r="M386" s="2">
        <f>IF(OR(_xlfn.XLOOKUP(_xlfn.XLOOKUP(B386,'Base stats'!B:B,'Base stats'!E:E),Groups!A:A,Groups!G:G)=2,ISNUMBER(SEARCH("Desert",BX386)),ISNUMBER(SEARCH("ExtremeDesert",BX386)),ISNUMBER(SEARCH("LavaField",BX386))),50,IF(ISNUMBER(SEARCH("Grasslands",BX386)),45,IF(OR(_xlfn.XLOOKUP(_xlfn.XLOOKUP(B386,'Base stats'!B:B,'Base stats'!E:E),Groups!A:A,Groups!G:G)=1,ISNUMBER(SEARCH("TropicalRainforest",BX386)),ISNUMBER(SEARCH("TropicalSwamp",BX386))),40,IF(OR(ISNUMBER(SEARCH("TemperateForest",BX386)),ISNUMBER(SEARCH("TemperateSwamp",BX386))),35,IF(OR(ISNUMBER(SEARCH("Alpine",BX386)),ISNUMBER(SEARCH("BorealForest",BX386)),ISNUMBER(SEARCH("ColdBog",BX386))),30,IF(ISNUMBER(OR(ISNUMBER(SEARCH("GlacialPlain",BX386)),SEARCH("Tundra",BX386))),25,IF(OR(ISNUMBER(SEARCH("SeaIce",BX386)),ISNUMBER(SEARCH("IceSheet",BX386)),ISNUMBER(SEARCH("TropicalSwamp",BX386))),10,35)))))))+_xlfn.XLOOKUP(B386,'Base stats'!B:B,'Base stats'!Q:Q)</f>
        <v>35</v>
      </c>
      <c r="N386" s="8">
        <f>IF(
_xlfn.XLOOKUP(
_xlfn.XLOOKUP(B386,'Base stats'!B:B,'Base stats'!E:E),
Groups!A:A,
Groups!L:L
)=1,
MIN(
MROUND(
IF(
_xlfn.XLOOKUP(B386,'Animals CE'!B:B,'Animals CE'!Z:Z)&lt;=1.5,
_xlfn.XLOOKUP(B386,'Animals CE'!B:B,'Animals CE'!Z:Z)/2+0.05,
0.8+
(_xlfn.XLOOKUP(B386,'Animals CE'!B:B,'Animals CE'!Z:Z)-1.5)
*0.02
),
0.05
),
200%
),
"No"
)</f>
        <v>0.2</v>
      </c>
      <c r="O386" s="8">
        <f>IF(
_xlfn.XLOOKUP(
_xlfn.XLOOKUP(B386,'Base stats'!B:B,'Base stats'!E:E),
Groups!A:A,
Groups!L:L
)=1,
MIN(
MROUND(
IF(
_xlfn.XLOOKUP(B386,'Animals CE'!B:B,'Animals CE'!AA:AA)&lt;=1.5,
_xlfn.XLOOKUP(B386,'Animals CE'!B:B,'Animals CE'!AA:AA)/2+0.05,
0.8+
(_xlfn.XLOOKUP(B386,'Animals CE'!B:B,'Animals CE'!AA:AA)-1.5)
*0.02
),
0.05
),
200%
),
"No"
)</f>
        <v>0.25</v>
      </c>
      <c r="P386" s="2" t="str">
        <f>_xlfn.XLOOKUP(B386,'Base stats'!B:B,'Base stats'!R:R)</f>
        <v>Standard</v>
      </c>
      <c r="Q386" s="13">
        <f>MROUND((LOG10(_xlfn.XLOOKUP(B386,'Base stats'!B:B,'Base stats'!AR:AR))*(AO386^0.5)+(_xlfn.XLOOKUP(B386,'Base stats'!B:B,'Base stats'!AR:AR)/1000)^(2/3)+_xlfn.XLOOKUP(B386,'Base stats'!B:B,'Base stats'!BA:BA)/2)+0.5,0.5)</f>
        <v>32</v>
      </c>
      <c r="R386" s="7">
        <f>IF(Q386="No","No",MAX(1,MROUND(_xlfn.XLOOKUP(B386,'Base stats'!B:B,'Base stats'!C:C)^0.165,0.05)))</f>
        <v>3.85</v>
      </c>
      <c r="S386" s="13" t="str">
        <f>IF(_xlfn.XLOOKUP(_xlfn.XLOOKUP(B386,'Base stats'!B:B,'Base stats'!E:E),Groups!A:A,Groups!P:P)=0,"No",MROUND((LOG10(_xlfn.XLOOKUP(B386,'Base stats'!B:B,'Base stats'!AS:AS))*(AO386^0.5)+(_xlfn.XLOOKUP(B386,'Base stats'!B:B,'Base stats'!AS:AS)/1000)^(2/3)+_xlfn.XLOOKUP(B386,'Base stats'!B:B,'Base stats'!BA:BA))+_xlfn.XLOOKUP(B386,'Base stats'!B:B,'Base stats'!AY:AY)+0.5,0.5))</f>
        <v>No</v>
      </c>
      <c r="T386" s="7" t="str">
        <f>IF(S386="No","No",MAX(_xlfn.XLOOKUP(_xlfn.XLOOKUP(B386,'Base stats'!B:B,'Base stats'!E:E),Groups!A:A,Groups!Q:Q),MROUND(_xlfn.XLOOKUP(_xlfn.XLOOKUP(B386,'Base stats'!B:B,'Base stats'!E:E),Groups!A:A,Groups!Q:Q)*_xlfn.XLOOKUP(B386,'Base stats'!B:B,'Base stats'!C:C)^0.165,0.05)))</f>
        <v>No</v>
      </c>
      <c r="U386" s="7" t="str">
        <f>IF(S386="No","No",_xlfn.XLOOKUP(_xlfn.XLOOKUP(B386,'Base stats'!B:B,'Base stats'!E:E),Groups!A:A,Groups!R:R))</f>
        <v>No</v>
      </c>
      <c r="V386" s="7" t="str">
        <f>IF(S386="No","No",_xlfn.XLOOKUP(_xlfn.XLOOKUP(B386,'Base stats'!B:B,'Base stats'!E:E),Groups!A:A,Groups!S:S))</f>
        <v>No</v>
      </c>
      <c r="W386" s="7" t="str">
        <f>IF(S386="No","No",_xlfn.XLOOKUP(_xlfn.XLOOKUP(B386,'Base stats'!B:B,'Base stats'!E:E),Groups!A:A,Groups!T:T))</f>
        <v>No</v>
      </c>
      <c r="X386" s="13">
        <f>IF(_xlfn.XLOOKUP(B386,'Base stats'!B:B,'Base stats'!W:W)="No","No",MROUND((LOG10(_xlfn.XLOOKUP(B386,'Base stats'!B:B,'Base stats'!AU:AU))*(AO386^0.5)+(_xlfn.XLOOKUP(B386,'Base stats'!B:B,'Base stats'!AU:AU)/1000)^(2/3)+_xlfn.XLOOKUP(B386,'Base stats'!B:B,'Base stats'!AZ:AZ))+0.5+IF(_xlfn.XLOOKUP(_xlfn.XLOOKUP(B386,'Base stats'!B:B,'Base stats'!E:E),Groups!A:A,Groups!U:U)&lt;&gt;3,_xlfn.XLOOKUP(B386,'Base stats'!B:B,'Base stats'!BA:BA),0),0.5))</f>
        <v>52</v>
      </c>
      <c r="Y386" s="7">
        <f>IF(X386="No","No",MAX(_xlfn.XLOOKUP(_xlfn.XLOOKUP(B386,'Base stats'!B:B,'Base stats'!E:E),Groups!A:A,Groups!V:V),MROUND(_xlfn.XLOOKUP(_xlfn.XLOOKUP(B386,'Base stats'!B:B,'Base stats'!E:E),Groups!A:A,Groups!V:V)*_xlfn.XLOOKUP(B386,'Base stats'!B:B,'Base stats'!C:C)^0.165,0.05)))</f>
        <v>2.7</v>
      </c>
      <c r="Z386" s="7" t="str">
        <f>IF(X386="No","No",_xlfn.XLOOKUP(_xlfn.XLOOKUP(B386,'Base stats'!B:B,'Base stats'!E:E),Groups!A:A,Groups!W:W))</f>
        <v>HeadAttackTool</v>
      </c>
      <c r="AA386" s="7" t="str">
        <f>IF(X386="No","No",_xlfn.XLOOKUP(_xlfn.XLOOKUP(B386,'Base stats'!B:B,'Base stats'!E:E),Groups!A:A,Groups!X:X))</f>
        <v>horn</v>
      </c>
      <c r="AB386" s="7" t="str">
        <f>IF(X386="No","No",_xlfn.XLOOKUP(_xlfn.XLOOKUP(B386,'Base stats'!B:B,'Base stats'!E:E),Groups!A:A,Groups!Y:Y))</f>
        <v>Scratch</v>
      </c>
      <c r="AC386" s="7" t="str">
        <f>_xlfn.XLOOKUP(Animals!B386,'Base stats'!B:B,'Base stats'!X:X)</f>
        <v>False</v>
      </c>
      <c r="AD386" s="13">
        <f>IF(_xlfn.XLOOKUP(B386,'Base stats'!B:B,'Base stats'!AT:AT)="No","No",MROUND((LOG10(_xlfn.XLOOKUP(B386,'Base stats'!B:B,'Base stats'!AT:AT))*(AO386^0.75)+(_xlfn.XLOOKUP(B386,'Base stats'!B:B,'Base stats'!AT:AT)/1000)^(2/3)+_xlfn.XLOOKUP(B386,'Base stats'!B:B,'Base stats'!AX:AX)+_xlfn.XLOOKUP(B386,'Base stats'!B:B,'Base stats'!BA:BA))+0.5,0.5))</f>
        <v>38.5</v>
      </c>
      <c r="AE386" s="7">
        <f>IF(AD386="No","No",MAX(_xlfn.XLOOKUP(_xlfn.XLOOKUP(B386,'Base stats'!B:B,'Base stats'!E:E),Groups!A:A,Groups!Z:Z),MROUND(_xlfn.XLOOKUP(_xlfn.XLOOKUP(B386,'Base stats'!B:B,'Base stats'!E:E),Groups!A:A,Groups!Z:Z)*_xlfn.XLOOKUP(B386,'Base stats'!B:B,'Base stats'!C:C)^0.165,0.05)))</f>
        <v>3.85</v>
      </c>
      <c r="AF386" s="7" t="str">
        <f>IF(AD386="No","No",_xlfn.XLOOKUP(_xlfn.XLOOKUP(B386,'Base stats'!B:B,'Base stats'!E:E),Groups!A:A,Groups!AA:AA))</f>
        <v>Teeth</v>
      </c>
      <c r="AG386" s="7" t="str">
        <f>IF(AD386="No","No",_xlfn.XLOOKUP(_xlfn.XLOOKUP(B386,'Base stats'!B:B,'Base stats'!E:E),Groups!A:A,Groups!AB:AB))</f>
        <v>teeth</v>
      </c>
      <c r="AH386" s="7" t="str">
        <f>IF(AD386="No","No",_xlfn.XLOOKUP(_xlfn.XLOOKUP(B386,'Base stats'!B:B,'Base stats'!E:E),Groups!A:A,Groups!AC:AC))</f>
        <v>Bite</v>
      </c>
      <c r="AI386" s="13" t="str">
        <f>IF(_xlfn.XLOOKUP(_xlfn.XLOOKUP(B386,'Base stats'!B:B,'Base stats'!E:E),Groups!A:A,Groups!AD:AD)=0,"No",MROUND((LOG10(_xlfn.XLOOKUP(B386,'Base stats'!B:B,'Base stats'!AS:AS))*(AO386^0.75)+(_xlfn.XLOOKUP(B386,'Base stats'!B:B,'Base stats'!AS:AS)/1000)^(2/3)+_xlfn.XLOOKUP(B386,'Base stats'!B:B,'Base stats'!AY:AY)+_xlfn.XLOOKUP(B386,'Base stats'!B:B,'Base stats'!BA:BA))+0.5,0.5))</f>
        <v>No</v>
      </c>
      <c r="AJ386" s="7" t="str">
        <f>IF(AI386="No","No",MAX(_xlfn.XLOOKUP(_xlfn.XLOOKUP(B386,'Base stats'!B:B,'Base stats'!E:E),Groups!A:A,Groups!AE:AE),MROUND(_xlfn.XLOOKUP(_xlfn.XLOOKUP(B386,'Base stats'!B:B,'Base stats'!E:E),Groups!A:A,Groups!AE:AE)*IF(_xlfn.XLOOKUP(_xlfn.XLOOKUP(B386,'Base stats'!B:B,'Base stats'!E:E),Groups!A:A,Groups!AJ:AJ)="Photonozoa",0.6,1)*_xlfn.XLOOKUP(B386,'Base stats'!B:B,'Base stats'!C:C)^0.165,0.05)))</f>
        <v>No</v>
      </c>
      <c r="AK386" s="7" t="str">
        <f>IF(AI386="No","No",_xlfn.XLOOKUP(_xlfn.XLOOKUP(B386,'Base stats'!B:B,'Base stats'!E:E),Groups!A:A,Groups!AF:AF))</f>
        <v>No</v>
      </c>
      <c r="AL386" s="7" t="str">
        <f>IF(AI386="No","No",_xlfn.XLOOKUP(_xlfn.XLOOKUP(B386,'Base stats'!B:B,'Base stats'!E:E),Groups!A:A,Groups!AG:AG))</f>
        <v>No</v>
      </c>
      <c r="AM386" s="7" t="str">
        <f>IF(AI386="No","No",_xlfn.XLOOKUP(_xlfn.XLOOKUP(B386,'Base stats'!B:B,'Base stats'!E:E),Groups!A:A,Groups!AH:AH))</f>
        <v>No</v>
      </c>
      <c r="AN386" s="2" t="str">
        <f t="shared" si="49"/>
        <v>No</v>
      </c>
      <c r="AO386" s="2">
        <f>MROUND(IF(AND(_xlfn.XLOOKUP(B386,'Base stats'!B:B,'Base stats'!C:C)&gt;=0.5,_xlfn.XLOOKUP(B386,'Base stats'!B:B,'Base stats'!C:C)&lt;=0.8),
IF(_xlfn.XLOOKUP(B386,'Base stats'!B:B,'Base stats'!C:C)&lt;0.1,0.05,IF(_xlfn.XLOOKUP(B386,'Base stats'!B:B,'Base stats'!C:C)&lt;=70,(_xlfn.XLOOKUP(B386,'Base stats'!B:B,'Base stats'!C:C)/70)^0.426489913056526,IF(_xlfn.XLOOKUP(B386,'Base stats'!B:B,'Base stats'!C:C)&lt;=400,(_xlfn.XLOOKUP(B386,'Base stats'!B:B,'Base stats'!C:C)/70)^0.572811455315093,IF(_xlfn.XLOOKUP(B386,'Base stats'!B:B,'Base stats'!C:C)&lt;=2000,2.71391647193063*(_xlfn.XLOOKUP(B386,'Base stats'!B:B,'Base stats'!C:C)/400)^0.252459582904293,3.74314280240376*(_xlfn.XLOOKUP(B386,'Base stats'!B:B,'Base stats'!C:C)/2000)^0.357012633876913)))),
IF(_xlfn.XLOOKUP(B386,'Base stats'!B:B,'Base stats'!C:C)&lt;0.1,0.05,IF(_xlfn.XLOOKUP(B386,'Base stats'!B:B,'Base stats'!C:C)&lt;0.4,0.1,IF(_xlfn.XLOOKUP(B386,'Base stats'!B:B,'Base stats'!C:C)&lt;=70,(_xlfn.XLOOKUP(B386,'Base stats'!B:B,'Base stats'!C:C)/70)^0.445823913056526,IF(_xlfn.XLOOKUP(B386,'Base stats'!B:B,'Base stats'!C:C)&lt;=400,(_xlfn.XLOOKUP(B386,'Base stats'!B:B,'Base stats'!C:C)/70)^0.572811455315093,IF(_xlfn.XLOOKUP(B386,'Base stats'!B:B,'Base stats'!C:C)&lt;=2000,2.71391647193063*(_xlfn.XLOOKUP(B386,'Base stats'!B:B,'Base stats'!C:C)/400)^0.252459582904293,3.74314280240376*(_xlfn.XLOOKUP(B386,'Base stats'!B:B,'Base stats'!C:C)/2000)^0.357012633876913)))))),
IF(_xlfn.XLOOKUP(B386,'Base stats'!B:B,'Base stats'!C:C)&lt;0.1,0.05,IF(_xlfn.XLOOKUP(B386,'Base stats'!B:B,'Base stats'!C:C)&lt;=100,0.05,IF(_xlfn.XLOOKUP(B386,'Base stats'!B:B,'Base stats'!C:C)&lt;=250,0.1,IF(_xlfn.XLOOKUP(B386,'Base stats'!B:B,'Base stats'!C:C)&lt;=4000,0.25,0.5)))))</f>
        <v>4.5</v>
      </c>
      <c r="AP386" s="8">
        <f>MROUND(AO386*_xlfn.XLOOKUP(_xlfn.XLOOKUP(B386,'Base stats'!B:B,'Base stats'!E:E),Groups!A:A,Groups!AI:AI)*_xlfn.XLOOKUP(B386,'Base stats'!B:B,'Base stats'!Z:Z),0.05)</f>
        <v>5.4</v>
      </c>
      <c r="AQ386" s="8">
        <f>MAX(0.01,MROUND(IF(CC386="True",0.196*(AO386*100*1000)^0.889,IF(_xlfn.XLOOKUP(_xlfn.XLOOKUP(B386,'Base stats'!B:B,'Base stats'!E:E),Groups!A:A,Groups!AJ:AJ)="Bird",10.5*(AO386*100*1000)^0.681,4.82*(AO386*100*1000)^0.734))/(4.82*(1*100*1000)^0.734)/IF(AO386&lt;3.5,2,IF(AO386=3.5,1.5,1.25))*(1+0.132282374779864/(AO386^0.994035016789033+0.00905238001496948)),0.05))</f>
        <v>2.5</v>
      </c>
      <c r="AR386" s="9">
        <f>IFERROR(MROUND(_xlfn.XLOOKUP(B386,'Base stats'!B:B,'Base stats'!H:H)/IF(_xlfn.XLOOKUP(B386,'Base stats'!B:B,'Base stats'!I:I)&lt;&gt;1,(122.5/70),1.2),IF(_xlfn.XLOOKUP(B386,'Base stats'!B:B,'Base stats'!H:H)&gt;=30,5,IF(_xlfn.XLOOKUP(B386,'Base stats'!B:B,'Base stats'!H:H)&gt;=15,3,IF(_xlfn.XLOOKUP(B386,'Base stats'!B:B,'Base stats'!H:H)&gt;=10,2,1)))),"Immortal")</f>
        <v>40</v>
      </c>
      <c r="AS386" s="35">
        <f>IFERROR(IF(OR(_xlfn.XLOOKUP(B386,'Base stats'!B:B,'Base stats'!F:F)="Atypical reproduction",_xlfn.XLOOKUP(B386,'Base stats'!B:B,'Base stats'!F:F)="Lay eggs"),"Lay eggs",MIN(20,MAX(5.5,ROUND(((_xlfn.XLOOKUP(B386,'Base stats'!B:B,'Base stats'!F:F)-25)*(14.5/615) + 5.5)*2,0)/2))),"Unknown")</f>
        <v>17</v>
      </c>
      <c r="AT386" s="8">
        <f>IF(_xlfn.XLOOKUP(B386,'Base stats'!B:B,'Base stats'!G:G)="Atypical reproduction","No",IFERROR(MAX(IF(_xlfn.XLOOKUP(B386,'Base stats'!B:B,'Base stats'!G:G)&lt;0.5,0.2,0.3),MROUND(_xlfn.XLOOKUP(B386,'Base stats'!B:B,'Base stats'!G:G)/(365/60),0.2)),"Unknown"))</f>
        <v>0.8</v>
      </c>
      <c r="AU386" s="8">
        <f t="shared" si="50"/>
        <v>0.4</v>
      </c>
      <c r="AV386" s="8">
        <f>IFERROR(IFERROR(MROUND(_xlfn.XLOOKUP(B386,'Base stats'!B:B,'Base stats'!J:J),0.1),"Lay eggs"),"Cannot breed")</f>
        <v>1</v>
      </c>
      <c r="AW386" s="2" t="str">
        <f t="shared" si="51"/>
        <v>false</v>
      </c>
      <c r="AX386" s="2" t="str">
        <f>IF(_xlfn.XLOOKUP(_xlfn.XLOOKUP(Animals!B386,'Base stats'!B:B,'Base stats'!E:E),Groups!A:A,Groups!AK:AK)=1,"true","false")</f>
        <v>false</v>
      </c>
      <c r="AY386" s="25" t="str">
        <f>IF(_xlfn.XLOOKUP(B386,'Base stats'!B:B,'Base stats'!Y:Y)="Liquor","Liquor, CarnivoreAnimalStrict",IF(AND(_xlfn.XLOOKUP(B386,'Base stats'!B:B,'Base stats'!Y:Y)="Carnivore",_xlfn.XLOOKUP(_xlfn.XLOOKUP(B386,'Base stats'!B:B,'Base stats'!E:E),Groups!A:A,Groups!AJ:AJ)="Photonozoa"),"CarnivoreAnimalStrict, OvivoreAnimal",IF(_xlfn.XLOOKUP(B386,'Base stats'!B:B,'Base stats'!Y:Y)="Carnivore","CarnivoreAnimal, OvivoreAnimal",IF(_xlfn.XLOOKUP(B386,'Base stats'!B:B,'Base stats'!Y:Y)="Dendrovore","VegetarianRoughAnimal, DendrovoreAnimal",IF(_xlfn.XLOOKUP(B386,'Base stats'!B:B,'Base stats'!Y:Y)="Herbivore","VegetarianRoughAnimal",IF(_xlfn.XLOOKUP(B386,'Base stats'!B:B,'Base stats'!Y:Y)="OmnivoreRough","OmnivoreRoughAnimal, OvivoreAnimal","OmnivoreAnimal, OvivoreAnimal"))))))</f>
        <v>VegetarianRoughAnimal</v>
      </c>
      <c r="AZ386" s="2">
        <f>IF(_xlfn.XLOOKUP(_xlfn.XLOOKUP(B386,'Base stats'!B:B,'Base stats'!E:E),Groups!A:A,Groups!D:D)=1,MROUND((1-J386)*5+1,2)*IF(J386&lt;=0.4,2,1),"No")</f>
        <v>2</v>
      </c>
      <c r="BA386" s="2" t="str">
        <f>IF(AND(_xlfn.XLOOKUP(B386,'Base stats'!B:B,'Base stats'!AH:AH)="&lt;li&gt;Seal&lt;/li&gt;",G386="Odyssey"),"&lt;li&gt;AEXP_Seal&lt;/li&gt;",_xlfn.XLOOKUP(B386,'Base stats'!B:B,'Base stats'!AH:AH))</f>
        <v>&lt;li&gt;Rhinoceros&lt;/li&gt;</v>
      </c>
      <c r="BB386" s="2" t="str">
        <f>_xlfn.XLOOKUP(B386,'Base stats'!B:B,'Base stats'!AG:AG)</f>
        <v>Leather_Rhinoceros</v>
      </c>
      <c r="BC386" s="23" t="str">
        <f>_xlfn.XLOOKUP(_xlfn.XLOOKUP(B386,'Base stats'!B:B,'Base stats'!E:E),Groups!A:A,Groups!AL:AL)</f>
        <v>QuadrupedAnimalWithHoovesAndHorn</v>
      </c>
      <c r="BD386" s="23">
        <f>MIN(1,MROUND(IF(AND(AO386&lt;0.5,_xlfn.XLOOKUP(B386,'Base stats'!B:B,'Base stats'!AA:AA)=0),0,IF(OR(_xlfn.XLOOKUP(Animals!B386,'Base stats'!B:B,'Base stats'!O:O)=2,_xlfn.XLOOKUP(_xlfn.XLOOKUP(B386,'Base stats'!B:B,'Base stats'!E:E),Groups!A:A,Groups!AN:AN)=0),0,_xlfn.XLOOKUP(_xlfn.XLOOKUP(B386,'Base stats'!B:B,'Base stats'!E:E),Groups!A:A,Groups!AN:AN)/IF(_xlfn.XLOOKUP(Animals!B386,'Base stats'!B:B,'Base stats'!O:O)=1,2,1)))+_xlfn.XLOOKUP(B386,'Base stats'!B:B,'Base stats'!AC:AC),0.005))</f>
        <v>0.1</v>
      </c>
      <c r="BE386" s="23">
        <f>MIN(1,MROUND(IF(AND(AO386&lt;0.5,_xlfn.XLOOKUP(B386,'Base stats'!B:B,'Base stats'!AA:AA)=0),0,IF(_xlfn.XLOOKUP(_xlfn.XLOOKUP(B386,'Base stats'!B:B,'Base stats'!E:E),Groups!A:A,Groups!AO:AO)=0,0,_xlfn.XLOOKUP(_xlfn.XLOOKUP(B386,'Base stats'!B:B,'Base stats'!E:E),Groups!A:A,Groups!AO:AO)/IF(_xlfn.XLOOKUP(Animals!B386,'Base stats'!B:B,'Base stats'!O:O)=2,3,1)))+_xlfn.XLOOKUP(B386,'Base stats'!B:B,'Base stats'!AD:AD),0.005))</f>
        <v>0.3</v>
      </c>
      <c r="BF386" s="2" t="str">
        <f>IF(J386&gt;0.3,"No",_xlfn.XLOOKUP(_xlfn.XLOOKUP(Animals!B386,'Base stats'!B:B,'Base stats'!E:E),Groups!A:A,Groups!AP:AP))</f>
        <v>No</v>
      </c>
      <c r="BG386" s="2" t="str">
        <f>IF(AND(J386&lt;=0.65,_xlfn.XLOOKUP(_xlfn.XLOOKUP(Animals!B386,'Base stats'!B:B,'Base stats'!E:E),Groups!A:A,Groups!AP:AP)&lt;&gt;"No",_xlfn.XLOOKUP(_xlfn.XLOOKUP(B386,'Base stats'!B:B,'Base stats'!E:E),Groups!A:A,Groups!D:D)=0),MROUND((80/3)*IF(_xlfn.XLOOKUP(B386,'Base stats'!B:B,'Base stats'!O:O)=2,0.2,AO386) + 24*(1-IF(BF386="No",0,BF386)) + 16/3, 12),"No")</f>
        <v>No</v>
      </c>
      <c r="BH386" s="2">
        <f>IF(AND(_xlfn.XLOOKUP(_xlfn.XLOOKUP(B386,'Base stats'!B:B,'Base stats'!E:E),Groups!A:A,Groups!AQ:AQ)=1,AO386&lt;=0.35),8,12)</f>
        <v>12</v>
      </c>
      <c r="BI386" s="2" t="str">
        <f>IF(_xlfn.XLOOKUP(_xlfn.XLOOKUP(B386,'Base stats'!B:B,'Base stats'!E:E),Groups!A:A,Groups!D:D)=0,_xlfn.XLOOKUP(_xlfn.XLOOKUP(B386,'Base stats'!B:B,'Base stats'!E:E),Groups!A:A,Groups!AR:AR),"None")</f>
        <v>None</v>
      </c>
      <c r="BJ386" s="2" t="str">
        <f>IF(AND(_xlfn.XLOOKUP(_xlfn.XLOOKUP(B386,'Base stats'!B:B,'Base stats'!E:E),Groups!A:A,Groups!AS:AS)=1,OR(_xlfn.XLOOKUP(B386,'Base stats'!B:B,'Base stats'!Y:Y)="Carnivore",_xlfn.XLOOKUP(B386,'Base stats'!B:B,'Base stats'!Y:Y)="Omnivore")),"true","false")</f>
        <v>false</v>
      </c>
      <c r="BK386" s="2" t="str">
        <f>IF(BJ386="true",MROUND(IF(AND(AO386&gt;0.5,OR(_xlfn.XLOOKUP(_xlfn.XLOOKUP(B386,'Base stats'!B:B,'Base stats'!E:E),Groups!A:A,Groups!AJ:AJ)="Photonozoa",_xlfn.XLOOKUP(_xlfn.XLOOKUP(B386,'Base stats'!B:B,'Base stats'!E:E),Groups!A:A,Groups!AJ:AJ)="Mammal")),Animals!AO386*1.75*IF(AW386="true",1.5,1),IF(AO386&lt;0.5,Animals!AO386*0.5,Animals!AO386)),IF(AO386&gt;2,0.5,IF(AO386&gt;0.5,0.25,0.1))),"No")</f>
        <v>No</v>
      </c>
      <c r="BL386" s="2">
        <f t="shared" si="52"/>
        <v>0</v>
      </c>
      <c r="BM386" s="25" t="str">
        <f>IF(_xlfn.XLOOKUP(B386,'Base stats'!B:B,'Base stats'!AN:AN)="Standard","No",MROUND((_xlfn.XLOOKUP(B386,'Base stats'!B:B,'Base stats'!AN:AN)/3.6)/I386,0.1))</f>
        <v>No</v>
      </c>
      <c r="BN386" s="25" t="str">
        <f t="shared" si="53"/>
        <v>false</v>
      </c>
      <c r="BO386" s="25" t="str">
        <f>IF(AND(OR(_xlfn.XLOOKUP(B386,'Base stats'!B:B,'Base stats'!Y:Y)="Carnivore",_xlfn.XLOOKUP(B386,'Base stats'!B:B,'Base stats'!Y:Y)="Omnivore",_xlfn.XLOOKUP(B386,'Base stats'!B:B,'Base stats'!Y:Y)="OmnivoreRough"),_xlfn.XLOOKUP(_xlfn.XLOOKUP(B386,'Base stats'!B:B,'Base stats'!E:E),Groups!A:A,Groups!AT:AT)=1),"true","false")</f>
        <v>false</v>
      </c>
      <c r="BP386" s="25" t="str" cm="1">
        <f t="array" ref="BP386">IF(
  _xlfn.TEXTJOIN(", ",TRUE,
    IF(AND(BJ386="true",AO386&gt;0.5,BI386&lt;&gt;"None"),"AttackTarget",""),
    IF(AND(_xlfn.XLOOKUP(_xlfn.XLOOKUP(B386,'Base stats'!B:B,'Base stats'!E:E),Groups!A:A,Groups!AJ:AJ="Mammal"),OR(_xlfn.XLOOKUP(B386,'Base stats'!B:B,'Base stats'!Y:Y)="Omnivore",_xlfn.XLOOKUP(B386,'Base stats'!B:B,'Base stats'!Y:Y)="OmnivoreRough")),"Forage",""),
    IF(BG386&lt;=36,"Comfort",""),
    IF(_xlfn.XLOOKUP(B386,'Base stats'!B:B,'Base stats'!AE:AE)&lt;&gt;"No",_xlfn.XLOOKUP(B386,'Base stats'!B:B,'Base stats'!AE:AE),"")
  ) = "",
  "No",
  _xlfn.TEXTJOIN(", ",TRUE,
    IF(AND(BJ386="true",AO386&gt;0.5,BI386&lt;&gt;"None"),"AttackTarget",""),
    IF(AND(_xlfn.XLOOKUP(_xlfn.XLOOKUP(B386,'Base stats'!B:B,'Base stats'!E:E),Groups!A:A,Groups!AJ:AJ="Mammal"),OR(_xlfn.XLOOKUP(B386,'Base stats'!B:B,'Base stats'!Y:Y)="Omnivore",_xlfn.XLOOKUP(B386,'Base stats'!B:B,'Base stats'!Y:Y)="OmnivoreRough")),"Forage",""),
    IF(BG386&lt;=36,"Comfort",""),
    IF(_xlfn.XLOOKUP(B386,'Base stats'!B:B,'Base stats'!AE:AE)&lt;&gt;"No",_xlfn.XLOOKUP(B386,'Base stats'!B:B,'Base stats'!AE:AE),"")
  )
)</f>
        <v>No</v>
      </c>
      <c r="BQ386" s="25" t="str">
        <f>IF(
   AND(
      'Base stats'!AN386="Standard",_xlfn.XLOOKUP(_xlfn.XLOOKUP(B386,'Base stats'!B:B,'Base stats'!E:E),Groups!A:A,Groups!AU:AU)=0,
      OR(
      BO386="True"
      )
   ),
   10,
   IF(
       OR(BM386&lt;&gt;"No",_xlfn.XLOOKUP(_xlfn.XLOOKUP(B386,'Base stats'!B:B,'Base stats'!E:E),Groups!A:A,Groups!AU:AU)=1),
      1,
      "No"
   )
)</f>
        <v>No</v>
      </c>
      <c r="BR386" s="9">
        <f>MROUND((1 + ((0.2*IF(OR(Q386="No",R386="No",R386=0),0,Q386/R386)
+IF(OR(V386="No",S386="No",T386="No"),0,S386/T386*(LEN(V386)-LEN(SUBSTITUTE(V386,",",""))+1))
+IF(OR(X386="No",Y386="No"),0,X386/Y386)
+IF(OR(AD386="No",AE386="No"),0,AD386/AE386)
+IF(OR(AL386="No",AI386="No",AJ386="No"),0,AI386/AJ386*(LEN(AL386)-LEN(SUBSTITUTE(AL386,",",""))+1))
)/(0.2*IF(OR(Q386="No",R386="No",R386=0),0,1)
+IF(OR(V386="No",S386="No",T386="No"),0,LEN(V386)-LEN(SUBSTITUTE(V386,",",""))+1)
+IF(OR(X386="No",Y386="No"),0,1)
+IF(OR(AD386="No",AE386="No"),0,1)
+IF(OR(AL386="No",AI386="No",AJ386="No"),0,LEN(AL386)-LEN(SUBSTITUTE(AL386,",",""))+1))*62%)* 2)*(1 + (AP386 / (IF(_xlfn.XLOOKUP(_xlfn.XLOOKUP(B386,'Base stats'!B:B,'Base stats'!E:E),Groups!A:A,Groups!AJ:AJ)="Photonozoa",0.3,1)) + _xlfn.XLOOKUP(B386,'Base stats'!B:B,'Base stats'!AV:AV) * 1.8) * 2) * 2.5 + 10 + I386 * 2,5)+IF(_xlfn.XLOOKUP(B386,'Base stats'!B:B,'Base stats'!AK:AK)=1,50,0)</f>
        <v>600</v>
      </c>
      <c r="BS386" s="8">
        <f t="shared" si="54"/>
        <v>2.9000000000000004</v>
      </c>
      <c r="BT386" s="8" t="str">
        <f>_xlfn.XLOOKUP(B386,'Base stats'!B:B,'Base stats'!AF:AF)</f>
        <v>No</v>
      </c>
      <c r="BU386" s="2" t="str">
        <f>IF(AND(J386&lt;=0.95,OR(_xlfn.XLOOKUP(B386,'Base stats'!B:B,'Base stats'!AK:AK)=1,_xlfn.XLOOKUP(B386,'Base stats'!B:B,'Base stats'!Y:Y)="Carnivore",_xlfn.XLOOKUP(B386,'Base stats'!B:B,'Base stats'!Y:Y)="Omnivore",BE386&gt;0.1)),"true","false")</f>
        <v>true</v>
      </c>
      <c r="BV386" s="2" t="str">
        <f>IF(_xlfn.XLOOKUP(B386,'Base stats'!B:B,'Base stats'!AI:AI)=1,"true","false")</f>
        <v>true</v>
      </c>
      <c r="BW386" s="25" t="str">
        <f>IF(E386="BaseInsect","AnimalInsect",
IF(J386&gt;0.95,"AnimalExotic",
_xlfn.TEXTJOIN(", ",TRUE,
IF(OR(_xlfn.XLOOKUP(B386,'Base stats'!B:B,'Base stats'!AM:AM)=1,AND(_xlfn.XLOOKUP(B386,'Base stats'!B:B,'Base stats'!O:O)=0,_xlfn.XLOOKUP(_xlfn.XLOOKUP(B386,'Base stats'!B:B,'Base stats'!E:E),Groups!A:A,Groups!B:B)&gt;0)),"AnimalUncommon","AnimalCommon"),
IF(AND(_xlfn.XLOOKUP(B386,'Base stats'!B:B,'Base stats'!O:O)=2,_xlfn.XLOOKUP(_xlfn.XLOOKUP(B386,'Base stats'!B:B,'Base stats'!E:E),Groups!A:A,Groups!D:D)=0),"AnimalPet",IF(AND(_xlfn.XLOOKUP(B386,'Base stats'!B:B,'Base stats'!O:O)&lt;&gt;0,_xlfn.XLOOKUP(_xlfn.XLOOKUP(B386,'Base stats'!B:B,'Base stats'!E:E),Groups!A:A,Groups!D:D)&lt;&gt;0),"AnimalFarm","")),
IF(OR(_xlfn.XLOOKUP(B386,'Base stats'!B:B,'Base stats'!AK:AK)=1,AND(BI386&lt;&gt;"None",BR386&gt;=60),ISNUMBER(SEARCH("Attack target",BP386))),"AnimalFighter","")
)))</f>
        <v>AnimalUncommon</v>
      </c>
      <c r="BX386" s="25" t="str">
        <f>IF(G386="None",TRIM(
SUBSTITUTE(
IF(COUNTIF(Biomes!B$2:B$259,"="&amp;$C386)&gt;0,Biomes!B$1&amp;", ","")&amp;
IF(COUNTIF(Biomes!C$2:C$259,"="&amp;$C386)&gt;0,Biomes!C$1&amp;", ","")&amp;
IF(COUNTIF(Biomes!D$2:D$259,"="&amp;$C386)&gt;0,Biomes!D$1&amp;", ","")&amp;
IF(COUNTIF(Biomes!F$2:F$259,"="&amp;$C386)&gt;0,Biomes!F$1&amp;", ","")&amp;
IF(COUNTIF(Biomes!G$2:G$259,"="&amp;$C386)&gt;0,Biomes!G$1&amp;", ","")&amp;
IF(COUNTIF(Biomes!H$2:H$259,"="&amp;$C386)&gt;0,Biomes!H$1&amp;", ","")&amp;
IF(COUNTIF(Biomes!I$2:I$259,"="&amp;$C386)&gt;0,Biomes!I$1&amp;", ","")&amp;
IF(COUNTIF(Biomes!J$2:J$259,"="&amp;$C386)&gt;0,Biomes!J$1&amp;", ","")&amp;
IF(COUNTIF(Biomes!M$2:M$259,"="&amp;$C386)&gt;0,Biomes!M$1&amp;", ","")&amp;
IF(COUNTIF(Biomes!N$2:N$259,"="&amp;$C386)&gt;0,Biomes!N$1&amp;", ","")&amp;
IF(COUNTIF(Biomes!O$2:O$259,"="&amp;$C386)&gt;0,Biomes!O$1&amp;", ","")&amp;
IF(COUNTIF(Biomes!P$2:P$259,"="&amp;$C386)&gt;0,Biomes!P$1&amp;", ","")&amp;
IF(COUNTIF(Biomes!K$2:K$259,"="&amp;$C386)&gt;0,Biomes!K$1&amp;", ","")&amp;
IF(COUNTIF(Biomes!Q$3:Q$259,"="&amp;$C386)&gt;0,Biomes!Q$1&amp;", ","")&amp;
IF(COUNTIF(Biomes!L$2:L$259,"="&amp;$C386)&gt;0,Biomes!L$1&amp;", ","")&amp;
IF(COUNTIF(Biomes!E$2:E$259,"="&amp;$C386)&gt;0,Biomes!E$1&amp;", ","")&amp;IF(COUNTIF(Biomes!S$2:S$259,"="&amp;$C386)&gt;0,Biomes!S$1&amp;", ","")&amp;
IF(COUNTIF(Biomes!R$2:R$259,"="&amp;$C386)&gt;0,Biomes!R$1&amp;", ",""),", ","")
),_xlfn.XLOOKUP(B386,B:B,BX:BX))</f>
        <v/>
      </c>
      <c r="BY386" s="25" t="str">
        <f>IF(_xlfn.XLOOKUP(B386,'Base stats'!B:B,'Base stats'!AJ:AJ)=1,"true","false")</f>
        <v>false</v>
      </c>
      <c r="BZ386" s="25">
        <f>IF(_xlfn.XLOOKUP(B386,'Base stats'!B:B,'Base stats'!N:N)=1,"No",MAX(0.001,MIN(MROUND(IF(AND(BJ386="True",CC386="False"),POWER(10,3.47*LOG10(_xlfn.XLOOKUP(B386,'Base stats'!B:B,'Base stats'!C:C)*1000)^-0.96),POWER(10,4.15*LOG10(_xlfn.XLOOKUP(B386,'Base stats'!B:B,'Base stats'!C:C)*1000)^-0.73))*IF(_xlfn.XLOOKUP(B386,'Base stats'!B:B,'Base stats'!AK:AK)=1,0.5,1)*IF(_xlfn.XLOOKUP(B386,'Base stats'!B:B,'Base stats'!AM:AM)=1,0.1,1)/100,IF(_xlfn.XLOOKUP(B386,'Base stats'!B:B,'Base stats'!AM:AM)=1,0.001,0.025)),0.5)))</f>
        <v>0.125</v>
      </c>
      <c r="CA386" s="25" t="str">
        <f>IF(P386="Standard","No",MAX(0.001,MIN(MROUND(IF(AND(BJ386="True",CC386="False"),POWER(10,3.47*LOG10(_xlfn.XLOOKUP(B386,'Base stats'!B:B,'Base stats'!C:C)*1000)^-0.96),POWER(10,4.15*LOG10(_xlfn.XLOOKUP(B386,'Base stats'!B:B,'Base stats'!C:C)*1000)^-0.73))*IF(_xlfn.XLOOKUP(B386,'Base stats'!B:B,'Base stats'!AM:AM)=1,0.1,1)*_xlfn.XLOOKUP(B386,'Base stats'!B:B,'Base stats'!R:R)/100,IF(_xlfn.XLOOKUP(B386,'Base stats'!B:B,'Base stats'!AM:AM)=1,0.001,0.025)),0.5)))</f>
        <v>No</v>
      </c>
      <c r="CB386" s="25" t="str">
        <f>IF(_xlfn.XLOOKUP(_xlfn.XLOOKUP(B386,'Base stats'!B:B,'Base stats'!E:E),Groups!A:A,Groups!AJ:AJ)="Mammal","True","False")</f>
        <v>True</v>
      </c>
      <c r="CC386" s="25" t="str">
        <f>IF(OR(_xlfn.XLOOKUP(_xlfn.XLOOKUP(B386,'Base stats'!B:B,'Base stats'!E:E),Groups!A:A,Groups!AJ:AJ)="Reptile",_xlfn.XLOOKUP(_xlfn.XLOOKUP(B386,'Base stats'!B:B,'Base stats'!E:E),Groups!A:A,Groups!AJ:AJ)="Amphibian",_xlfn.XLOOKUP(_xlfn.XLOOKUP(B386,'Base stats'!B:B,'Base stats'!E:E),Groups!A:A,Groups!AJ:AJ)="Invertebrate"),"True","False")</f>
        <v>False</v>
      </c>
      <c r="CD386" s="25" t="str">
        <f t="shared" si="55"/>
        <v>False</v>
      </c>
      <c r="CE386" s="25" t="str">
        <f>IF(_xlfn.XLOOKUP(_xlfn.XLOOKUP(B386,'Base stats'!B:B,'Base stats'!E:E),Groups!A:A,Groups!AX:AX),"True","False")</f>
        <v>False</v>
      </c>
      <c r="CF386" s="25" t="str">
        <f>IF(_xlfn.XLOOKUP(_xlfn.XLOOKUP(B386,'Base stats'!B:B,'Base stats'!E:E),Groups!A:A,Groups!AY:AY),"True","False")</f>
        <v>False</v>
      </c>
      <c r="CG386" s="25" t="str">
        <f>IF(_xlfn.XLOOKUP(_xlfn.XLOOKUP(B386,'Base stats'!B:B,'Base stats'!E:E),Groups!A:A,Groups!AW:AW),"True","False")</f>
        <v>False</v>
      </c>
      <c r="CH386" s="25" t="str">
        <f>IF(
OR(
_xlfn.XLOOKUP(_xlfn.XLOOKUP(B386,'Base stats'!B:B,'Base stats'!E:E),Groups!A:A,Groups!AZ:AZ)=0,
AND(
_xlfn.XLOOKUP(B386,'Base stats'!B:B,'Base stats'!Y:Y)&lt;&gt;"Carnivore",
_xlfn.XLOOKUP(B386,'Base stats'!B:B,'Base stats'!Y:Y)&lt;&gt;"Omnivore",
_xlfn.XLOOKUP(B386,'Base stats'!B:B,'Base stats'!Y:Y)&lt;&gt;"OmnivoreRough"
)
),
"No",
IF(
_xlfn.XLOOKUP(_xlfn.XLOOKUP(B386,'Base stats'!B:B,'Base stats'!E:E),Groups!A:A,Groups!AZ:AZ)=1,
"Flesh",
IF(
_xlfn.XLOOKUP(_xlfn.XLOOKUP(B386,'Base stats'!B:B,'Base stats'!E:E),Groups!A:A,Groups!AZ:AZ)=2,
"Bone",
""
)
)
)</f>
        <v>No</v>
      </c>
      <c r="CI386" s="25" t="str">
        <f>IF(_xlfn.XLOOKUP(_xlfn.XLOOKUP(B386,'Base stats'!B:B,'Base stats'!E:E),Groups!A:A,Groups!BB:BB),"True","False")</f>
        <v>True</v>
      </c>
      <c r="CJ386" s="25" t="str">
        <f>IF(_xlfn.XLOOKUP(_xlfn.XLOOKUP(B386,'Base stats'!B:B,'Base stats'!E:E),Groups!A:A,Groups!BA:BA),"True","False")</f>
        <v>False</v>
      </c>
    </row>
    <row r="387" spans="1:88" ht="16.5" thickTop="1" thickBot="1" x14ac:dyDescent="0.3">
      <c r="A387" s="26" t="s">
        <v>2076</v>
      </c>
      <c r="B387" s="6" t="str">
        <f>_xlfn.XLOOKUP(A387,'Base stats'!A:A,'Base stats'!B:B)</f>
        <v>Smilodon fatalis</v>
      </c>
      <c r="C387" s="28" t="str">
        <f t="shared" si="56"/>
        <v>&lt;li&gt;Smilodon&lt;/li&gt;</v>
      </c>
      <c r="D387" s="28" t="s">
        <v>2126</v>
      </c>
      <c r="E387" s="28" t="s">
        <v>673</v>
      </c>
      <c r="F387" s="28" t="s">
        <v>673</v>
      </c>
      <c r="G387" s="28" t="s">
        <v>673</v>
      </c>
      <c r="H387" s="2">
        <f>MROUND((
  (IF(AND(_xlfn.XLOOKUP(B387,'Base stats'!B:B,'Base stats'!AL:AL)=0,BI387="None",_xlfn.XLOOKUP(_xlfn.XLOOKUP(B387,'Base stats'!B:B,'Base stats'!E:E),Groups!A:A,Groups!B:B)=0), (18 + BR387 * 2.7) * 0.5,
    IF(AND(_xlfn.XLOOKUP(B387,'Base stats'!B:B,'Base stats'!AL:AL)=0,OR(AO387&lt;0.55,AND(BI387="Intermediate",_xlfn.XLOOKUP(_xlfn.XLOOKUP(B387,'Base stats'!B:B,'Base stats'!E:E),Groups!A:A,Groups!B:B)&lt;2))), (18 + BR387 * 2.7),
      IF(OR(BI387="Advanced",_xlfn.XLOOKUP(B387,'Base stats'!B:B,'Base stats'!AL:AL)=1,_xlfn.XLOOKUP(_xlfn.XLOOKUP(B387,'Base stats'!B:B,'Base stats'!E:E),Groups!A:A,Groups!B:B)=2), (18 + BR387 * 2.7) + 250, (18 + BR387 * 2.7))
    )
  ))
  + AO387 * 80
  + IF(COUNTIF(EggMilk!K$2:K$998, A387) &gt; 0, 125, 0)
  + IF(COUNTIF(EggMilk!P$2:P$998, A387) &gt; 0, 90, 0)
  + IF(COUNTIF(EggMilk!A$2:A$998, A387) &gt; 0, 90, 0)
)
* (0.8 + 0.4 * J387)
* 0.75,25)</f>
        <v>1000</v>
      </c>
      <c r="I387" s="2">
        <f>MROUND(ROUNDDOWN(_xlfn.XLOOKUP(B387,'Base stats'!B:B,'Base stats'!L:L)/3.6/(23.3/11),1),0.5)</f>
        <v>7</v>
      </c>
      <c r="J387" s="2">
        <f>IF(OR(_xlfn.XLOOKUP(B387,'Base stats'!B:B,'Base stats'!AB:AB)=1,_xlfn.XLOOKUP(_xlfn.XLOOKUP(B387,'Base stats'!B:B,'Base stats'!E:E),Groups!A:A,Groups!C:C)="Untamable"),1,IF(_xlfn.XLOOKUP(B387,'Base stats'!B:B,'Base stats'!AL:AL)=1,0.99,MIN(MROUND((1-0.6282*EXP(-0.459*AO387))*_xlfn.XLOOKUP(_xlfn.XLOOKUP(B387,'Base stats'!B:B,'Base stats'!E:E),Groups!A:A,Groups!C:C)*IF(_xlfn.XLOOKUP(B387,'Base stats'!B:B,'Base stats'!O:O)=1,0.5,IF(_xlfn.XLOOKUP(B387,'Base stats'!B:B,'Base stats'!O:O)=2,0,1)),0.05),IF(AO387&gt;3.5,0.985,0.95))))</f>
        <v>0.95</v>
      </c>
      <c r="K387" s="2">
        <f>ROUNDUP(AO387*_xlfn.XLOOKUP(_xlfn.XLOOKUP(B387,'Base stats'!B:B,'Base stats'!E:E),Groups!A:A,Groups!E:E),0)</f>
        <v>2</v>
      </c>
      <c r="L387" s="2">
        <f>IF(OR(_xlfn.XLOOKUP(_xlfn.XLOOKUP(B387,'Base stats'!B:B,'Base stats'!E:E),Groups!A:A,Groups!F:F)=2,ISNUMBER(SEARCH("SeaIce",BX387)),ISNUMBER(SEARCH("IceSheet",BX387))),-50,IF(OR(ISNUMBER(SEARCH("GlacialPlain",BX387)),ISNUMBER(SEARCH("Tundra",BX387))),-40,IF(OR(ISNUMBER(SEARCH("Alpine",BX387)),ISNUMBER(SEARCH("BorealForest",BX387)),ISNUMBER(SEARCH("ColdBog",BX387))),-30,IF(OR(ISNUMBER(SEARCH("TemperateForest",BX387)),ISNUMBER(SEARCH("TemperateSwamp",BX387))),-20,IF(_xlfn.XLOOKUP(_xlfn.XLOOKUP(B387,'Base stats'!B:B,'Base stats'!E:E),Groups!A:A,Groups!F:F)=1,-15,IF(OR(ISNUMBER(SEARCH("Desert",BX387)),ISNUMBER(SEARCH("ExtremeDesert",BX387))),-10,IF(OR(ISNUMBER(SEARCH("Grasslands",BX387)),ISNUMBER(SEARCH("TropicalRainforest",BX387)),ISNUMBER(SEARCH("TropicalSwamp",BX387))),10,0)))))))-IF(CC387="False",MIN(IFERROR(MAX(MROUND(LOG10(_xlfn.XLOOKUP(B387,'Base stats'!B:B,'Base stats'!C:C)^(2/3))*10,5),5),5),30))-_xlfn.XLOOKUP(B387,'Base stats'!B:B,'Base stats'!P:P)+IF(CC387="True",5,0)</f>
        <v>-30</v>
      </c>
      <c r="M387" s="2">
        <f>IF(OR(_xlfn.XLOOKUP(_xlfn.XLOOKUP(B387,'Base stats'!B:B,'Base stats'!E:E),Groups!A:A,Groups!G:G)=2,ISNUMBER(SEARCH("Desert",BX387)),ISNUMBER(SEARCH("ExtremeDesert",BX387)),ISNUMBER(SEARCH("LavaField",BX387))),50,IF(ISNUMBER(SEARCH("Grasslands",BX387)),45,IF(OR(_xlfn.XLOOKUP(_xlfn.XLOOKUP(B387,'Base stats'!B:B,'Base stats'!E:E),Groups!A:A,Groups!G:G)=1,ISNUMBER(SEARCH("TropicalRainforest",BX387)),ISNUMBER(SEARCH("TropicalSwamp",BX387))),40,IF(OR(ISNUMBER(SEARCH("TemperateForest",BX387)),ISNUMBER(SEARCH("TemperateSwamp",BX387))),35,IF(OR(ISNUMBER(SEARCH("Alpine",BX387)),ISNUMBER(SEARCH("BorealForest",BX387)),ISNUMBER(SEARCH("ColdBog",BX387))),30,IF(ISNUMBER(OR(ISNUMBER(SEARCH("GlacialPlain",BX387)),SEARCH("Tundra",BX387))),25,IF(OR(ISNUMBER(SEARCH("SeaIce",BX387)),ISNUMBER(SEARCH("IceSheet",BX387)),ISNUMBER(SEARCH("TropicalSwamp",BX387))),10,35)))))))+_xlfn.XLOOKUP(B387,'Base stats'!B:B,'Base stats'!Q:Q)</f>
        <v>40</v>
      </c>
      <c r="N387" s="8" t="str">
        <f>IF(
_xlfn.XLOOKUP(
_xlfn.XLOOKUP(B387,'Base stats'!B:B,'Base stats'!E:E),
Groups!A:A,
Groups!L:L
)=1,
MIN(
MROUND(
IF(
_xlfn.XLOOKUP(B387,'Animals CE'!B:B,'Animals CE'!Z:Z)&lt;=1.5,
_xlfn.XLOOKUP(B387,'Animals CE'!B:B,'Animals CE'!Z:Z)/2+0.05,
0.8+
(_xlfn.XLOOKUP(B387,'Animals CE'!B:B,'Animals CE'!Z:Z)-1.5)
*0.02
),
0.05
),
200%
),
"No"
)</f>
        <v>No</v>
      </c>
      <c r="O387" s="8" t="str">
        <f>IF(
_xlfn.XLOOKUP(
_xlfn.XLOOKUP(B387,'Base stats'!B:B,'Base stats'!E:E),
Groups!A:A,
Groups!L:L
)=1,
MIN(
MROUND(
IF(
_xlfn.XLOOKUP(B387,'Animals CE'!B:B,'Animals CE'!AA:AA)&lt;=1.5,
_xlfn.XLOOKUP(B387,'Animals CE'!B:B,'Animals CE'!AA:AA)/2+0.05,
0.8+
(_xlfn.XLOOKUP(B387,'Animals CE'!B:B,'Animals CE'!AA:AA)-1.5)
*0.02
),
0.05
),
200%
),
"No"
)</f>
        <v>No</v>
      </c>
      <c r="P387" s="2" t="str">
        <f>_xlfn.XLOOKUP(B387,'Base stats'!B:B,'Base stats'!R:R)</f>
        <v>Standard</v>
      </c>
      <c r="Q387" s="13">
        <f>MROUND((LOG10(_xlfn.XLOOKUP(B387,'Base stats'!B:B,'Base stats'!AR:AR))*(AO387^0.5)+(_xlfn.XLOOKUP(B387,'Base stats'!B:B,'Base stats'!AR:AR)/1000)^(2/3)+_xlfn.XLOOKUP(B387,'Base stats'!B:B,'Base stats'!BA:BA)/2)+0.5,0.5)</f>
        <v>12</v>
      </c>
      <c r="R387" s="7">
        <f>IF(Q387="No","No",MAX(1,MROUND(_xlfn.XLOOKUP(B387,'Base stats'!B:B,'Base stats'!C:C)^0.165,0.05)))</f>
        <v>2.4500000000000002</v>
      </c>
      <c r="S387" s="13" t="str">
        <f>IF(_xlfn.XLOOKUP(_xlfn.XLOOKUP(B387,'Base stats'!B:B,'Base stats'!E:E),Groups!A:A,Groups!P:P)=0,"No",MROUND((LOG10(_xlfn.XLOOKUP(B387,'Base stats'!B:B,'Base stats'!AS:AS))*(AO387^0.5)+(_xlfn.XLOOKUP(B387,'Base stats'!B:B,'Base stats'!AS:AS)/1000)^(2/3)+_xlfn.XLOOKUP(B387,'Base stats'!B:B,'Base stats'!BA:BA))+_xlfn.XLOOKUP(B387,'Base stats'!B:B,'Base stats'!AY:AY)+0.5,0.5))</f>
        <v>No</v>
      </c>
      <c r="T387" s="7" t="str">
        <f>IF(S387="No","No",MAX(_xlfn.XLOOKUP(_xlfn.XLOOKUP(B387,'Base stats'!B:B,'Base stats'!E:E),Groups!A:A,Groups!Q:Q),MROUND(_xlfn.XLOOKUP(_xlfn.XLOOKUP(B387,'Base stats'!B:B,'Base stats'!E:E),Groups!A:A,Groups!Q:Q)*_xlfn.XLOOKUP(B387,'Base stats'!B:B,'Base stats'!C:C)^0.165,0.05)))</f>
        <v>No</v>
      </c>
      <c r="U387" s="7" t="str">
        <f>IF(S387="No","No",_xlfn.XLOOKUP(_xlfn.XLOOKUP(B387,'Base stats'!B:B,'Base stats'!E:E),Groups!A:A,Groups!R:R))</f>
        <v>No</v>
      </c>
      <c r="V387" s="7" t="str">
        <f>IF(S387="No","No",_xlfn.XLOOKUP(_xlfn.XLOOKUP(B387,'Base stats'!B:B,'Base stats'!E:E),Groups!A:A,Groups!S:S))</f>
        <v>No</v>
      </c>
      <c r="W387" s="7" t="str">
        <f>IF(S387="No","No",_xlfn.XLOOKUP(_xlfn.XLOOKUP(B387,'Base stats'!B:B,'Base stats'!E:E),Groups!A:A,Groups!T:T))</f>
        <v>No</v>
      </c>
      <c r="X387" s="13" t="str">
        <f>IF(_xlfn.XLOOKUP(B387,'Base stats'!B:B,'Base stats'!W:W)="No","No",MROUND((LOG10(_xlfn.XLOOKUP(B387,'Base stats'!B:B,'Base stats'!AU:AU))*(AO387^0.5)+(_xlfn.XLOOKUP(B387,'Base stats'!B:B,'Base stats'!AU:AU)/1000)^(2/3)+_xlfn.XLOOKUP(B387,'Base stats'!B:B,'Base stats'!AZ:AZ))+0.5+IF(_xlfn.XLOOKUP(_xlfn.XLOOKUP(B387,'Base stats'!B:B,'Base stats'!E:E),Groups!A:A,Groups!U:U)&lt;&gt;3,_xlfn.XLOOKUP(B387,'Base stats'!B:B,'Base stats'!BA:BA),0),0.5))</f>
        <v>No</v>
      </c>
      <c r="Y387" s="7" t="str">
        <f>IF(X387="No","No",MAX(_xlfn.XLOOKUP(_xlfn.XLOOKUP(B387,'Base stats'!B:B,'Base stats'!E:E),Groups!A:A,Groups!V:V),MROUND(_xlfn.XLOOKUP(_xlfn.XLOOKUP(B387,'Base stats'!B:B,'Base stats'!E:E),Groups!A:A,Groups!V:V)*_xlfn.XLOOKUP(B387,'Base stats'!B:B,'Base stats'!C:C)^0.165,0.05)))</f>
        <v>No</v>
      </c>
      <c r="Z387" s="7" t="str">
        <f>IF(X387="No","No",_xlfn.XLOOKUP(_xlfn.XLOOKUP(B387,'Base stats'!B:B,'Base stats'!E:E),Groups!A:A,Groups!W:W))</f>
        <v>No</v>
      </c>
      <c r="AA387" s="7" t="str">
        <f>IF(X387="No","No",_xlfn.XLOOKUP(_xlfn.XLOOKUP(B387,'Base stats'!B:B,'Base stats'!E:E),Groups!A:A,Groups!X:X))</f>
        <v>No</v>
      </c>
      <c r="AB387" s="7" t="str">
        <f>IF(X387="No","No",_xlfn.XLOOKUP(_xlfn.XLOOKUP(B387,'Base stats'!B:B,'Base stats'!E:E),Groups!A:A,Groups!Y:Y))</f>
        <v>No</v>
      </c>
      <c r="AC387" s="7" t="str">
        <f>_xlfn.XLOOKUP(Animals!B387,'Base stats'!B:B,'Base stats'!X:X)</f>
        <v>False</v>
      </c>
      <c r="AD387" s="13">
        <f>IF(_xlfn.XLOOKUP(B387,'Base stats'!B:B,'Base stats'!AT:AT)="No","No",MROUND((LOG10(_xlfn.XLOOKUP(B387,'Base stats'!B:B,'Base stats'!AT:AT))*(AO387^0.75)+(_xlfn.XLOOKUP(B387,'Base stats'!B:B,'Base stats'!AT:AT)/1000)^(2/3)+_xlfn.XLOOKUP(B387,'Base stats'!B:B,'Base stats'!AX:AX)+_xlfn.XLOOKUP(B387,'Base stats'!B:B,'Base stats'!BA:BA))+0.5,0.5))</f>
        <v>23.5</v>
      </c>
      <c r="AE387" s="7">
        <f>IF(AD387="No","No",MAX(_xlfn.XLOOKUP(_xlfn.XLOOKUP(B387,'Base stats'!B:B,'Base stats'!E:E),Groups!A:A,Groups!Z:Z),MROUND(_xlfn.XLOOKUP(_xlfn.XLOOKUP(B387,'Base stats'!B:B,'Base stats'!E:E),Groups!A:A,Groups!Z:Z)*_xlfn.XLOOKUP(B387,'Base stats'!B:B,'Base stats'!C:C)^0.165,0.05)))</f>
        <v>1.75</v>
      </c>
      <c r="AF387" s="7" t="str">
        <f>IF(AD387="No","No",_xlfn.XLOOKUP(_xlfn.XLOOKUP(B387,'Base stats'!B:B,'Base stats'!E:E),Groups!A:A,Groups!AA:AA))</f>
        <v>Teeth</v>
      </c>
      <c r="AG387" s="7" t="str">
        <f>IF(AD387="No","No",_xlfn.XLOOKUP(_xlfn.XLOOKUP(B387,'Base stats'!B:B,'Base stats'!E:E),Groups!A:A,Groups!AB:AB))</f>
        <v>canines</v>
      </c>
      <c r="AH387" s="7" t="str">
        <f>IF(AD387="No","No",_xlfn.XLOOKUP(_xlfn.XLOOKUP(B387,'Base stats'!B:B,'Base stats'!E:E),Groups!A:A,Groups!AC:AC))</f>
        <v>Bite</v>
      </c>
      <c r="AI387" s="13">
        <f>IF(_xlfn.XLOOKUP(_xlfn.XLOOKUP(B387,'Base stats'!B:B,'Base stats'!E:E),Groups!A:A,Groups!AD:AD)=0,"No",MROUND((LOG10(_xlfn.XLOOKUP(B387,'Base stats'!B:B,'Base stats'!AS:AS))*(AO387^0.75)+(_xlfn.XLOOKUP(B387,'Base stats'!B:B,'Base stats'!AS:AS)/1000)^(2/3)+_xlfn.XLOOKUP(B387,'Base stats'!B:B,'Base stats'!AY:AY)+_xlfn.XLOOKUP(B387,'Base stats'!B:B,'Base stats'!BA:BA))+0.5,0.5))</f>
        <v>19</v>
      </c>
      <c r="AJ387" s="7">
        <f>IF(AI387="No","No",MAX(_xlfn.XLOOKUP(_xlfn.XLOOKUP(B387,'Base stats'!B:B,'Base stats'!E:E),Groups!A:A,Groups!AE:AE),MROUND(_xlfn.XLOOKUP(_xlfn.XLOOKUP(B387,'Base stats'!B:B,'Base stats'!E:E),Groups!A:A,Groups!AE:AE)*IF(_xlfn.XLOOKUP(_xlfn.XLOOKUP(B387,'Base stats'!B:B,'Base stats'!E:E),Groups!A:A,Groups!AJ:AJ)="Photonozoa",0.6,1)*_xlfn.XLOOKUP(B387,'Base stats'!B:B,'Base stats'!C:C)^0.165,0.05)))</f>
        <v>1.6</v>
      </c>
      <c r="AK387" s="7" t="str">
        <f>IF(AI387="No","No",_xlfn.XLOOKUP(_xlfn.XLOOKUP(B387,'Base stats'!B:B,'Base stats'!E:E),Groups!A:A,Groups!AF:AF))</f>
        <v>FrontLeftPaw, FrontRightPaw</v>
      </c>
      <c r="AL387" s="7" t="str">
        <f>IF(AI387="No","No",_xlfn.XLOOKUP(_xlfn.XLOOKUP(B387,'Base stats'!B:B,'Base stats'!E:E),Groups!A:A,Groups!AG:AG))</f>
        <v>left claw, right claw</v>
      </c>
      <c r="AM387" s="7" t="str">
        <f>IF(AI387="No","No",_xlfn.XLOOKUP(_xlfn.XLOOKUP(B387,'Base stats'!B:B,'Base stats'!E:E),Groups!A:A,Groups!AH:AH))</f>
        <v>Scratch</v>
      </c>
      <c r="AN387" s="2">
        <f t="shared" si="49"/>
        <v>25</v>
      </c>
      <c r="AO387" s="2">
        <f>MROUND(IF(AND(_xlfn.XLOOKUP(B387,'Base stats'!B:B,'Base stats'!C:C)&gt;=0.5,_xlfn.XLOOKUP(B387,'Base stats'!B:B,'Base stats'!C:C)&lt;=0.8),
IF(_xlfn.XLOOKUP(B387,'Base stats'!B:B,'Base stats'!C:C)&lt;0.1,0.05,IF(_xlfn.XLOOKUP(B387,'Base stats'!B:B,'Base stats'!C:C)&lt;=70,(_xlfn.XLOOKUP(B387,'Base stats'!B:B,'Base stats'!C:C)/70)^0.426489913056526,IF(_xlfn.XLOOKUP(B387,'Base stats'!B:B,'Base stats'!C:C)&lt;=400,(_xlfn.XLOOKUP(B387,'Base stats'!B:B,'Base stats'!C:C)/70)^0.572811455315093,IF(_xlfn.XLOOKUP(B387,'Base stats'!B:B,'Base stats'!C:C)&lt;=2000,2.71391647193063*(_xlfn.XLOOKUP(B387,'Base stats'!B:B,'Base stats'!C:C)/400)^0.252459582904293,3.74314280240376*(_xlfn.XLOOKUP(B387,'Base stats'!B:B,'Base stats'!C:C)/2000)^0.357012633876913)))),
IF(_xlfn.XLOOKUP(B387,'Base stats'!B:B,'Base stats'!C:C)&lt;0.1,0.05,IF(_xlfn.XLOOKUP(B387,'Base stats'!B:B,'Base stats'!C:C)&lt;0.4,0.1,IF(_xlfn.XLOOKUP(B387,'Base stats'!B:B,'Base stats'!C:C)&lt;=70,(_xlfn.XLOOKUP(B387,'Base stats'!B:B,'Base stats'!C:C)/70)^0.445823913056526,IF(_xlfn.XLOOKUP(B387,'Base stats'!B:B,'Base stats'!C:C)&lt;=400,(_xlfn.XLOOKUP(B387,'Base stats'!B:B,'Base stats'!C:C)/70)^0.572811455315093,IF(_xlfn.XLOOKUP(B387,'Base stats'!B:B,'Base stats'!C:C)&lt;=2000,2.71391647193063*(_xlfn.XLOOKUP(B387,'Base stats'!B:B,'Base stats'!C:C)/400)^0.252459582904293,3.74314280240376*(_xlfn.XLOOKUP(B387,'Base stats'!B:B,'Base stats'!C:C)/2000)^0.357012633876913)))))),
IF(_xlfn.XLOOKUP(B387,'Base stats'!B:B,'Base stats'!C:C)&lt;0.1,0.05,IF(_xlfn.XLOOKUP(B387,'Base stats'!B:B,'Base stats'!C:C)&lt;=100,0.05,IF(_xlfn.XLOOKUP(B387,'Base stats'!B:B,'Base stats'!C:C)&lt;=250,0.1,IF(_xlfn.XLOOKUP(B387,'Base stats'!B:B,'Base stats'!C:C)&lt;=4000,0.25,0.5)))))</f>
        <v>2</v>
      </c>
      <c r="AP387" s="8">
        <f>MROUND(AO387*_xlfn.XLOOKUP(_xlfn.XLOOKUP(B387,'Base stats'!B:B,'Base stats'!E:E),Groups!A:A,Groups!AI:AI)*_xlfn.XLOOKUP(B387,'Base stats'!B:B,'Base stats'!Z:Z),0.05)</f>
        <v>2.4000000000000004</v>
      </c>
      <c r="AQ387" s="8">
        <f>MAX(0.01,MROUND(IF(CC387="True",0.196*(AO387*100*1000)^0.889,IF(_xlfn.XLOOKUP(_xlfn.XLOOKUP(B387,'Base stats'!B:B,'Base stats'!E:E),Groups!A:A,Groups!AJ:AJ)="Bird",10.5*(AO387*100*1000)^0.681,4.82*(AO387*100*1000)^0.734))/(4.82*(1*100*1000)^0.734)/IF(AO387&lt;3.5,2,IF(AO387=3.5,1.5,1.25))*(1+0.132282374779864/(AO387^0.994035016789033+0.00905238001496948)),0.05))</f>
        <v>0.9</v>
      </c>
      <c r="AR387" s="9">
        <f>IFERROR(MROUND(_xlfn.XLOOKUP(B387,'Base stats'!B:B,'Base stats'!H:H)/IF(_xlfn.XLOOKUP(B387,'Base stats'!B:B,'Base stats'!I:I)&lt;&gt;1,(122.5/70),1.2),IF(_xlfn.XLOOKUP(B387,'Base stats'!B:B,'Base stats'!H:H)&gt;=30,5,IF(_xlfn.XLOOKUP(B387,'Base stats'!B:B,'Base stats'!H:H)&gt;=15,3,IF(_xlfn.XLOOKUP(B387,'Base stats'!B:B,'Base stats'!H:H)&gt;=10,2,1)))),"Immortal")</f>
        <v>15</v>
      </c>
      <c r="AS387" s="35">
        <f>IFERROR(IF(OR(_xlfn.XLOOKUP(B387,'Base stats'!B:B,'Base stats'!F:F)="Atypical reproduction",_xlfn.XLOOKUP(B387,'Base stats'!B:B,'Base stats'!F:F)="Lay eggs"),"Lay eggs",MIN(20,MAX(5.5,ROUND(((_xlfn.XLOOKUP(B387,'Base stats'!B:B,'Base stats'!F:F)-25)*(14.5/615) + 5.5)*2,0)/2))),"Unknown")</f>
        <v>7.5</v>
      </c>
      <c r="AT387" s="8">
        <f>IF(_xlfn.XLOOKUP(B387,'Base stats'!B:B,'Base stats'!G:G)="Atypical reproduction","No",IFERROR(MAX(IF(_xlfn.XLOOKUP(B387,'Base stats'!B:B,'Base stats'!G:G)&lt;0.5,0.2,0.3),MROUND(_xlfn.XLOOKUP(B387,'Base stats'!B:B,'Base stats'!G:G)/(365/60),0.2)),"Unknown"))</f>
        <v>0.60000000000000009</v>
      </c>
      <c r="AU387" s="8">
        <f t="shared" si="50"/>
        <v>0.30000000000000004</v>
      </c>
      <c r="AV387" s="8">
        <f>IFERROR(IFERROR(MROUND(_xlfn.XLOOKUP(B387,'Base stats'!B:B,'Base stats'!J:J),0.1),"Lay eggs"),"Cannot breed")</f>
        <v>2.5</v>
      </c>
      <c r="AW387" s="2" t="str">
        <f t="shared" si="51"/>
        <v>false</v>
      </c>
      <c r="AX387" s="2" t="str">
        <f>IF(_xlfn.XLOOKUP(_xlfn.XLOOKUP(Animals!B387,'Base stats'!B:B,'Base stats'!E:E),Groups!A:A,Groups!AK:AK)=1,"true","false")</f>
        <v>false</v>
      </c>
      <c r="AY387" s="25" t="str">
        <f>IF(_xlfn.XLOOKUP(B387,'Base stats'!B:B,'Base stats'!Y:Y)="Liquor","Liquor, CarnivoreAnimalStrict",IF(AND(_xlfn.XLOOKUP(B387,'Base stats'!B:B,'Base stats'!Y:Y)="Carnivore",_xlfn.XLOOKUP(_xlfn.XLOOKUP(B387,'Base stats'!B:B,'Base stats'!E:E),Groups!A:A,Groups!AJ:AJ)="Photonozoa"),"CarnivoreAnimalStrict, OvivoreAnimal",IF(_xlfn.XLOOKUP(B387,'Base stats'!B:B,'Base stats'!Y:Y)="Carnivore","CarnivoreAnimal, OvivoreAnimal",IF(_xlfn.XLOOKUP(B387,'Base stats'!B:B,'Base stats'!Y:Y)="Dendrovore","VegetarianRoughAnimal, DendrovoreAnimal",IF(_xlfn.XLOOKUP(B387,'Base stats'!B:B,'Base stats'!Y:Y)="Herbivore","VegetarianRoughAnimal",IF(_xlfn.XLOOKUP(B387,'Base stats'!B:B,'Base stats'!Y:Y)="OmnivoreRough","OmnivoreRoughAnimal, OvivoreAnimal","OmnivoreAnimal, OvivoreAnimal"))))))</f>
        <v>CarnivoreAnimal, OvivoreAnimal</v>
      </c>
      <c r="AZ387" s="2" t="str">
        <f>IF(_xlfn.XLOOKUP(_xlfn.XLOOKUP(B387,'Base stats'!B:B,'Base stats'!E:E),Groups!A:A,Groups!D:D)=1,MROUND((1-J387)*5+1,2)*IF(J387&lt;=0.4,2,1),"No")</f>
        <v>No</v>
      </c>
      <c r="BA387" s="2" t="str">
        <f>IF(AND(_xlfn.XLOOKUP(B387,'Base stats'!B:B,'Base stats'!AH:AH)="&lt;li&gt;Seal&lt;/li&gt;",G387="Odyssey"),"&lt;li&gt;AEXP_Seal&lt;/li&gt;",_xlfn.XLOOKUP(B387,'Base stats'!B:B,'Base stats'!AH:AH))</f>
        <v>No</v>
      </c>
      <c r="BB387" s="2" t="str">
        <f>_xlfn.XLOOKUP(B387,'Base stats'!B:B,'Base stats'!AG:AG)</f>
        <v>Leather_Panthera</v>
      </c>
      <c r="BC387" s="23" t="str">
        <f>_xlfn.XLOOKUP(_xlfn.XLOOKUP(B387,'Base stats'!B:B,'Base stats'!E:E),Groups!A:A,Groups!AL:AL)</f>
        <v>QuadrupedAnimalWithPawsAndTail</v>
      </c>
      <c r="BD387" s="23">
        <f>MIN(1,MROUND(IF(AND(AO387&lt;0.5,_xlfn.XLOOKUP(B387,'Base stats'!B:B,'Base stats'!AA:AA)=0),0,IF(OR(_xlfn.XLOOKUP(Animals!B387,'Base stats'!B:B,'Base stats'!O:O)=2,_xlfn.XLOOKUP(_xlfn.XLOOKUP(B387,'Base stats'!B:B,'Base stats'!E:E),Groups!A:A,Groups!AN:AN)=0),0,_xlfn.XLOOKUP(_xlfn.XLOOKUP(B387,'Base stats'!B:B,'Base stats'!E:E),Groups!A:A,Groups!AN:AN)/IF(_xlfn.XLOOKUP(Animals!B387,'Base stats'!B:B,'Base stats'!O:O)=1,2,1)))+_xlfn.XLOOKUP(B387,'Base stats'!B:B,'Base stats'!AC:AC),0.005))</f>
        <v>0.1</v>
      </c>
      <c r="BE387" s="23">
        <f>MIN(1,MROUND(IF(AND(AO387&lt;0.5,_xlfn.XLOOKUP(B387,'Base stats'!B:B,'Base stats'!AA:AA)=0),0,IF(_xlfn.XLOOKUP(_xlfn.XLOOKUP(B387,'Base stats'!B:B,'Base stats'!E:E),Groups!A:A,Groups!AO:AO)=0,0,_xlfn.XLOOKUP(_xlfn.XLOOKUP(B387,'Base stats'!B:B,'Base stats'!E:E),Groups!A:A,Groups!AO:AO)/IF(_xlfn.XLOOKUP(Animals!B387,'Base stats'!B:B,'Base stats'!O:O)=2,3,1)))+_xlfn.XLOOKUP(B387,'Base stats'!B:B,'Base stats'!AD:AD),0.005))</f>
        <v>0.3</v>
      </c>
      <c r="BF387" s="2" t="str">
        <f>IF(J387&gt;0.3,"No",_xlfn.XLOOKUP(_xlfn.XLOOKUP(Animals!B387,'Base stats'!B:B,'Base stats'!E:E),Groups!A:A,Groups!AP:AP))</f>
        <v>No</v>
      </c>
      <c r="BG387" s="2" t="str">
        <f>IF(AND(J387&lt;=0.65,_xlfn.XLOOKUP(_xlfn.XLOOKUP(Animals!B387,'Base stats'!B:B,'Base stats'!E:E),Groups!A:A,Groups!AP:AP)&lt;&gt;"No",_xlfn.XLOOKUP(_xlfn.XLOOKUP(B387,'Base stats'!B:B,'Base stats'!E:E),Groups!A:A,Groups!D:D)=0),MROUND((80/3)*IF(_xlfn.XLOOKUP(B387,'Base stats'!B:B,'Base stats'!O:O)=2,0.2,AO387) + 24*(1-IF(BF387="No",0,BF387)) + 16/3, 12),"No")</f>
        <v>No</v>
      </c>
      <c r="BH387" s="2">
        <f>IF(AND(_xlfn.XLOOKUP(_xlfn.XLOOKUP(B387,'Base stats'!B:B,'Base stats'!E:E),Groups!A:A,Groups!AQ:AQ)=1,AO387&lt;=0.35),8,12)</f>
        <v>12</v>
      </c>
      <c r="BI387" s="2" t="str">
        <f>IF(_xlfn.XLOOKUP(_xlfn.XLOOKUP(B387,'Base stats'!B:B,'Base stats'!E:E),Groups!A:A,Groups!D:D)=0,_xlfn.XLOOKUP(_xlfn.XLOOKUP(B387,'Base stats'!B:B,'Base stats'!E:E),Groups!A:A,Groups!AR:AR),"None")</f>
        <v>Intermediate</v>
      </c>
      <c r="BJ387" s="2" t="str">
        <f>IF(AND(_xlfn.XLOOKUP(_xlfn.XLOOKUP(B387,'Base stats'!B:B,'Base stats'!E:E),Groups!A:A,Groups!AS:AS)=1,OR(_xlfn.XLOOKUP(B387,'Base stats'!B:B,'Base stats'!Y:Y)="Carnivore",_xlfn.XLOOKUP(B387,'Base stats'!B:B,'Base stats'!Y:Y)="Omnivore")),"true","false")</f>
        <v>true</v>
      </c>
      <c r="BK387" s="2">
        <f>IF(BJ387="true",MROUND(IF(AND(AO387&gt;0.5,OR(_xlfn.XLOOKUP(_xlfn.XLOOKUP(B387,'Base stats'!B:B,'Base stats'!E:E),Groups!A:A,Groups!AJ:AJ)="Photonozoa",_xlfn.XLOOKUP(_xlfn.XLOOKUP(B387,'Base stats'!B:B,'Base stats'!E:E),Groups!A:A,Groups!AJ:AJ)="Mammal")),Animals!AO387*1.75*IF(AW387="true",1.5,1),IF(AO387&lt;0.5,Animals!AO387*0.5,Animals!AO387)),IF(AO387&gt;2,0.5,IF(AO387&gt;0.5,0.25,0.1))),"No")</f>
        <v>3.5</v>
      </c>
      <c r="BL387" s="2">
        <f t="shared" si="52"/>
        <v>1</v>
      </c>
      <c r="BM387" s="25" t="str">
        <f>IF(_xlfn.XLOOKUP(B387,'Base stats'!B:B,'Base stats'!AN:AN)="Standard","No",MROUND((_xlfn.XLOOKUP(B387,'Base stats'!B:B,'Base stats'!AN:AN)/3.6)/I387,0.1))</f>
        <v>No</v>
      </c>
      <c r="BN387" s="25" t="str">
        <f t="shared" si="53"/>
        <v>false</v>
      </c>
      <c r="BO387" s="25" t="str">
        <f>IF(AND(OR(_xlfn.XLOOKUP(B387,'Base stats'!B:B,'Base stats'!Y:Y)="Carnivore",_xlfn.XLOOKUP(B387,'Base stats'!B:B,'Base stats'!Y:Y)="Omnivore",_xlfn.XLOOKUP(B387,'Base stats'!B:B,'Base stats'!Y:Y)="OmnivoreRough"),_xlfn.XLOOKUP(_xlfn.XLOOKUP(B387,'Base stats'!B:B,'Base stats'!E:E),Groups!A:A,Groups!AT:AT)=1),"true","false")</f>
        <v>false</v>
      </c>
      <c r="BP387" s="25" t="str" cm="1">
        <f t="array" ref="BP387">IF(
  _xlfn.TEXTJOIN(", ",TRUE,
    IF(AND(BJ387="true",AO387&gt;0.5,BI387&lt;&gt;"None"),"AttackTarget",""),
    IF(AND(_xlfn.XLOOKUP(_xlfn.XLOOKUP(B387,'Base stats'!B:B,'Base stats'!E:E),Groups!A:A,Groups!AJ:AJ="Mammal"),OR(_xlfn.XLOOKUP(B387,'Base stats'!B:B,'Base stats'!Y:Y)="Omnivore",_xlfn.XLOOKUP(B387,'Base stats'!B:B,'Base stats'!Y:Y)="OmnivoreRough")),"Forage",""),
    IF(BG387&lt;=36,"Comfort",""),
    IF(_xlfn.XLOOKUP(B387,'Base stats'!B:B,'Base stats'!AE:AE)&lt;&gt;"No",_xlfn.XLOOKUP(B387,'Base stats'!B:B,'Base stats'!AE:AE),"")
  ) = "",
  "No",
  _xlfn.TEXTJOIN(", ",TRUE,
    IF(AND(BJ387="true",AO387&gt;0.5,BI387&lt;&gt;"None"),"AttackTarget",""),
    IF(AND(_xlfn.XLOOKUP(_xlfn.XLOOKUP(B387,'Base stats'!B:B,'Base stats'!E:E),Groups!A:A,Groups!AJ:AJ="Mammal"),OR(_xlfn.XLOOKUP(B387,'Base stats'!B:B,'Base stats'!Y:Y)="Omnivore",_xlfn.XLOOKUP(B387,'Base stats'!B:B,'Base stats'!Y:Y)="OmnivoreRough")),"Forage",""),
    IF(BG387&lt;=36,"Comfort",""),
    IF(_xlfn.XLOOKUP(B387,'Base stats'!B:B,'Base stats'!AE:AE)&lt;&gt;"No",_xlfn.XLOOKUP(B387,'Base stats'!B:B,'Base stats'!AE:AE),"")
  )
)</f>
        <v>AttackTarget</v>
      </c>
      <c r="BQ387" s="25" t="str">
        <f>IF(
   AND(
      'Base stats'!AN387="Standard",_xlfn.XLOOKUP(_xlfn.XLOOKUP(B387,'Base stats'!B:B,'Base stats'!E:E),Groups!A:A,Groups!AU:AU)=0,
      OR(
      BO387="True"
      )
   ),
   10,
   IF(
       OR(BM387&lt;&gt;"No",_xlfn.XLOOKUP(_xlfn.XLOOKUP(B387,'Base stats'!B:B,'Base stats'!E:E),Groups!A:A,Groups!AU:AU)=1),
      1,
      "No"
   )
)</f>
        <v>No</v>
      </c>
      <c r="BR387" s="9">
        <f>MROUND((1 + ((0.2*IF(OR(Q387="No",R387="No",R387=0),0,Q387/R387)
+IF(OR(V387="No",S387="No",T387="No"),0,S387/T387*(LEN(V387)-LEN(SUBSTITUTE(V387,",",""))+1))
+IF(OR(X387="No",Y387="No"),0,X387/Y387)
+IF(OR(AD387="No",AE387="No"),0,AD387/AE387)
+IF(OR(AL387="No",AI387="No",AJ387="No"),0,AI387/AJ387*(LEN(AL387)-LEN(SUBSTITUTE(AL387,",",""))+1))
)/(0.2*IF(OR(Q387="No",R387="No",R387=0),0,1)
+IF(OR(V387="No",S387="No",T387="No"),0,LEN(V387)-LEN(SUBSTITUTE(V387,",",""))+1)
+IF(OR(X387="No",Y387="No"),0,1)
+IF(OR(AD387="No",AE387="No"),0,1)
+IF(OR(AL387="No",AI387="No",AJ387="No"),0,LEN(AL387)-LEN(SUBSTITUTE(AL387,",",""))+1))*62%)* 2)*(1 + (AP387 / (IF(_xlfn.XLOOKUP(_xlfn.XLOOKUP(B387,'Base stats'!B:B,'Base stats'!E:E),Groups!A:A,Groups!AJ:AJ)="Photonozoa",0.3,1)) + _xlfn.XLOOKUP(B387,'Base stats'!B:B,'Base stats'!AV:AV) * 1.8) * 2) * 2.5 + 10 + I387 * 2,5)+IF(_xlfn.XLOOKUP(B387,'Base stats'!B:B,'Base stats'!AK:AK)=1,50,0)</f>
        <v>255</v>
      </c>
      <c r="BS387" s="8">
        <f t="shared" si="54"/>
        <v>1.1000000000000001</v>
      </c>
      <c r="BT387" s="8" t="str">
        <f>_xlfn.XLOOKUP(B387,'Base stats'!B:B,'Base stats'!AF:AF)</f>
        <v>No</v>
      </c>
      <c r="BU387" s="2" t="str">
        <f>IF(AND(J387&lt;=0.95,OR(_xlfn.XLOOKUP(B387,'Base stats'!B:B,'Base stats'!AK:AK)=1,_xlfn.XLOOKUP(B387,'Base stats'!B:B,'Base stats'!Y:Y)="Carnivore",_xlfn.XLOOKUP(B387,'Base stats'!B:B,'Base stats'!Y:Y)="Omnivore",BE387&gt;0.1)),"true","false")</f>
        <v>true</v>
      </c>
      <c r="BV387" s="2" t="str">
        <f>IF(_xlfn.XLOOKUP(B387,'Base stats'!B:B,'Base stats'!AI:AI)=1,"true","false")</f>
        <v>false</v>
      </c>
      <c r="BW387" s="25" t="str">
        <f>IF(E387="BaseInsect","AnimalInsect",
IF(J387&gt;0.95,"AnimalExotic",
_xlfn.TEXTJOIN(", ",TRUE,
IF(OR(_xlfn.XLOOKUP(B387,'Base stats'!B:B,'Base stats'!AM:AM)=1,AND(_xlfn.XLOOKUP(B387,'Base stats'!B:B,'Base stats'!O:O)=0,_xlfn.XLOOKUP(_xlfn.XLOOKUP(B387,'Base stats'!B:B,'Base stats'!E:E),Groups!A:A,Groups!B:B)&gt;0)),"AnimalUncommon","AnimalCommon"),
IF(AND(_xlfn.XLOOKUP(B387,'Base stats'!B:B,'Base stats'!O:O)=2,_xlfn.XLOOKUP(_xlfn.XLOOKUP(B387,'Base stats'!B:B,'Base stats'!E:E),Groups!A:A,Groups!D:D)=0),"AnimalPet",IF(AND(_xlfn.XLOOKUP(B387,'Base stats'!B:B,'Base stats'!O:O)&lt;&gt;0,_xlfn.XLOOKUP(_xlfn.XLOOKUP(B387,'Base stats'!B:B,'Base stats'!E:E),Groups!A:A,Groups!D:D)&lt;&gt;0),"AnimalFarm","")),
IF(OR(_xlfn.XLOOKUP(B387,'Base stats'!B:B,'Base stats'!AK:AK)=1,AND(BI387&lt;&gt;"None",BR387&gt;=60),ISNUMBER(SEARCH("Attack target",BP387))),"AnimalFighter","")
)))</f>
        <v>AnimalUncommon, AnimalFighter</v>
      </c>
      <c r="BX387" s="25" t="str">
        <f>IF(G387="None",TRIM(
SUBSTITUTE(
IF(COUNTIF(Biomes!B$2:B$259,"="&amp;$C387)&gt;0,Biomes!B$1&amp;", ","")&amp;
IF(COUNTIF(Biomes!C$2:C$259,"="&amp;$C387)&gt;0,Biomes!C$1&amp;", ","")&amp;
IF(COUNTIF(Biomes!D$2:D$259,"="&amp;$C387)&gt;0,Biomes!D$1&amp;", ","")&amp;
IF(COUNTIF(Biomes!F$2:F$259,"="&amp;$C387)&gt;0,Biomes!F$1&amp;", ","")&amp;
IF(COUNTIF(Biomes!G$2:G$259,"="&amp;$C387)&gt;0,Biomes!G$1&amp;", ","")&amp;
IF(COUNTIF(Biomes!H$2:H$259,"="&amp;$C387)&gt;0,Biomes!H$1&amp;", ","")&amp;
IF(COUNTIF(Biomes!I$2:I$259,"="&amp;$C387)&gt;0,Biomes!I$1&amp;", ","")&amp;
IF(COUNTIF(Biomes!J$2:J$259,"="&amp;$C387)&gt;0,Biomes!J$1&amp;", ","")&amp;
IF(COUNTIF(Biomes!M$2:M$259,"="&amp;$C387)&gt;0,Biomes!M$1&amp;", ","")&amp;
IF(COUNTIF(Biomes!N$2:N$259,"="&amp;$C387)&gt;0,Biomes!N$1&amp;", ","")&amp;
IF(COUNTIF(Biomes!O$2:O$259,"="&amp;$C387)&gt;0,Biomes!O$1&amp;", ","")&amp;
IF(COUNTIF(Biomes!P$2:P$259,"="&amp;$C387)&gt;0,Biomes!P$1&amp;", ","")&amp;
IF(COUNTIF(Biomes!K$2:K$259,"="&amp;$C387)&gt;0,Biomes!K$1&amp;", ","")&amp;
IF(COUNTIF(Biomes!Q$3:Q$259,"="&amp;$C387)&gt;0,Biomes!Q$1&amp;", ","")&amp;
IF(COUNTIF(Biomes!L$2:L$259,"="&amp;$C387)&gt;0,Biomes!L$1&amp;", ","")&amp;
IF(COUNTIF(Biomes!E$2:E$259,"="&amp;$C387)&gt;0,Biomes!E$1&amp;", ","")&amp;IF(COUNTIF(Biomes!S$2:S$259,"="&amp;$C387)&gt;0,Biomes!S$1&amp;", ","")&amp;
IF(COUNTIF(Biomes!R$2:R$259,"="&amp;$C387)&gt;0,Biomes!R$1&amp;", ",""),", ","")
),_xlfn.XLOOKUP(B387,B:B,BX:BX))</f>
        <v/>
      </c>
      <c r="BY387" s="25" t="str">
        <f>IF(_xlfn.XLOOKUP(B387,'Base stats'!B:B,'Base stats'!AJ:AJ)=1,"true","false")</f>
        <v>false</v>
      </c>
      <c r="BZ387" s="25">
        <f>IF(_xlfn.XLOOKUP(B387,'Base stats'!B:B,'Base stats'!N:N)=1,"No",MAX(0.001,MIN(MROUND(IF(AND(BJ387="True",CC387="False"),POWER(10,3.47*LOG10(_xlfn.XLOOKUP(B387,'Base stats'!B:B,'Base stats'!C:C)*1000)^-0.96),POWER(10,4.15*LOG10(_xlfn.XLOOKUP(B387,'Base stats'!B:B,'Base stats'!C:C)*1000)^-0.73))*IF(_xlfn.XLOOKUP(B387,'Base stats'!B:B,'Base stats'!AK:AK)=1,0.5,1)*IF(_xlfn.XLOOKUP(B387,'Base stats'!B:B,'Base stats'!AM:AM)=1,0.1,1)/100,IF(_xlfn.XLOOKUP(B387,'Base stats'!B:B,'Base stats'!AM:AM)=1,0.001,0.025)),0.5)))</f>
        <v>5.0000000000000001E-3</v>
      </c>
      <c r="CA387" s="25" t="str">
        <f>IF(P387="Standard","No",MAX(0.001,MIN(MROUND(IF(AND(BJ387="True",CC387="False"),POWER(10,3.47*LOG10(_xlfn.XLOOKUP(B387,'Base stats'!B:B,'Base stats'!C:C)*1000)^-0.96),POWER(10,4.15*LOG10(_xlfn.XLOOKUP(B387,'Base stats'!B:B,'Base stats'!C:C)*1000)^-0.73))*IF(_xlfn.XLOOKUP(B387,'Base stats'!B:B,'Base stats'!AM:AM)=1,0.1,1)*_xlfn.XLOOKUP(B387,'Base stats'!B:B,'Base stats'!R:R)/100,IF(_xlfn.XLOOKUP(B387,'Base stats'!B:B,'Base stats'!AM:AM)=1,0.001,0.025)),0.5)))</f>
        <v>No</v>
      </c>
      <c r="CB387" s="25" t="str">
        <f>IF(_xlfn.XLOOKUP(_xlfn.XLOOKUP(B387,'Base stats'!B:B,'Base stats'!E:E),Groups!A:A,Groups!AJ:AJ)="Mammal","True","False")</f>
        <v>True</v>
      </c>
      <c r="CC387" s="25" t="str">
        <f>IF(OR(_xlfn.XLOOKUP(_xlfn.XLOOKUP(B387,'Base stats'!B:B,'Base stats'!E:E),Groups!A:A,Groups!AJ:AJ)="Reptile",_xlfn.XLOOKUP(_xlfn.XLOOKUP(B387,'Base stats'!B:B,'Base stats'!E:E),Groups!A:A,Groups!AJ:AJ)="Amphibian",_xlfn.XLOOKUP(_xlfn.XLOOKUP(B387,'Base stats'!B:B,'Base stats'!E:E),Groups!A:A,Groups!AJ:AJ)="Invertebrate"),"True","False")</f>
        <v>False</v>
      </c>
      <c r="CD387" s="25" t="str">
        <f t="shared" si="55"/>
        <v>False</v>
      </c>
      <c r="CE387" s="25" t="str">
        <f>IF(_xlfn.XLOOKUP(_xlfn.XLOOKUP(B387,'Base stats'!B:B,'Base stats'!E:E),Groups!A:A,Groups!AX:AX),"True","False")</f>
        <v>False</v>
      </c>
      <c r="CF387" s="25" t="str">
        <f>IF(_xlfn.XLOOKUP(_xlfn.XLOOKUP(B387,'Base stats'!B:B,'Base stats'!E:E),Groups!A:A,Groups!AY:AY),"True","False")</f>
        <v>False</v>
      </c>
      <c r="CG387" s="25" t="str">
        <f>IF(_xlfn.XLOOKUP(_xlfn.XLOOKUP(B387,'Base stats'!B:B,'Base stats'!E:E),Groups!A:A,Groups!AW:AW),"True","False")</f>
        <v>False</v>
      </c>
      <c r="CH387" s="25" t="str">
        <f>IF(
OR(
_xlfn.XLOOKUP(_xlfn.XLOOKUP(B387,'Base stats'!B:B,'Base stats'!E:E),Groups!A:A,Groups!AZ:AZ)=0,
AND(
_xlfn.XLOOKUP(B387,'Base stats'!B:B,'Base stats'!Y:Y)&lt;&gt;"Carnivore",
_xlfn.XLOOKUP(B387,'Base stats'!B:B,'Base stats'!Y:Y)&lt;&gt;"Omnivore",
_xlfn.XLOOKUP(B387,'Base stats'!B:B,'Base stats'!Y:Y)&lt;&gt;"OmnivoreRough"
)
),
"No",
IF(
_xlfn.XLOOKUP(_xlfn.XLOOKUP(B387,'Base stats'!B:B,'Base stats'!E:E),Groups!A:A,Groups!AZ:AZ)=1,
"Flesh",
IF(
_xlfn.XLOOKUP(_xlfn.XLOOKUP(B387,'Base stats'!B:B,'Base stats'!E:E),Groups!A:A,Groups!AZ:AZ)=2,
"Bone",
""
)
)
)</f>
        <v>No</v>
      </c>
      <c r="CI387" s="25" t="str">
        <f>IF(_xlfn.XLOOKUP(_xlfn.XLOOKUP(B387,'Base stats'!B:B,'Base stats'!E:E),Groups!A:A,Groups!BB:BB),"True","False")</f>
        <v>True</v>
      </c>
      <c r="CJ387" s="25" t="str">
        <f>IF(_xlfn.XLOOKUP(_xlfn.XLOOKUP(B387,'Base stats'!B:B,'Base stats'!E:E),Groups!A:A,Groups!BA:BA),"True","False")</f>
        <v>False</v>
      </c>
    </row>
    <row r="388" spans="1:88" ht="16.5" thickTop="1" thickBot="1" x14ac:dyDescent="0.3">
      <c r="A388" s="26" t="s">
        <v>2077</v>
      </c>
      <c r="B388" s="6" t="str">
        <f>_xlfn.XLOOKUP(A388,'Base stats'!A:A,'Base stats'!B:B)</f>
        <v>Chalicotherium goldfussi</v>
      </c>
      <c r="C388" s="28" t="str">
        <f t="shared" si="56"/>
        <v>&lt;li&gt;Chalicotherium&lt;/li&gt;</v>
      </c>
      <c r="D388" s="28" t="s">
        <v>2126</v>
      </c>
      <c r="E388" s="28" t="s">
        <v>673</v>
      </c>
      <c r="F388" s="28" t="s">
        <v>673</v>
      </c>
      <c r="G388" s="28" t="s">
        <v>673</v>
      </c>
      <c r="H388" s="2">
        <f>MROUND((
  (IF(AND(_xlfn.XLOOKUP(B388,'Base stats'!B:B,'Base stats'!AL:AL)=0,BI388="None",_xlfn.XLOOKUP(_xlfn.XLOOKUP(B388,'Base stats'!B:B,'Base stats'!E:E),Groups!A:A,Groups!B:B)=0), (18 + BR388 * 2.7) * 0.5,
    IF(AND(_xlfn.XLOOKUP(B388,'Base stats'!B:B,'Base stats'!AL:AL)=0,OR(AO388&lt;0.55,AND(BI388="Intermediate",_xlfn.XLOOKUP(_xlfn.XLOOKUP(B388,'Base stats'!B:B,'Base stats'!E:E),Groups!A:A,Groups!B:B)&lt;2))), (18 + BR388 * 2.7),
      IF(OR(BI388="Advanced",_xlfn.XLOOKUP(B388,'Base stats'!B:B,'Base stats'!AL:AL)=1,_xlfn.XLOOKUP(_xlfn.XLOOKUP(B388,'Base stats'!B:B,'Base stats'!E:E),Groups!A:A,Groups!B:B)=2), (18 + BR388 * 2.7) + 250, (18 + BR388 * 2.7))
    )
  ))
  + AO388 * 80
  + IF(COUNTIF(EggMilk!K$2:K$998, A388) &gt; 0, 125, 0)
  + IF(COUNTIF(EggMilk!P$2:P$998, A388) &gt; 0, 90, 0)
  + IF(COUNTIF(EggMilk!A$2:A$998, A388) &gt; 0, 90, 0)
)
* (0.8 + 0.4 * J388)
* 0.75,25)</f>
        <v>1150</v>
      </c>
      <c r="I388" s="2">
        <f>MROUND(ROUNDDOWN(_xlfn.XLOOKUP(B388,'Base stats'!B:B,'Base stats'!L:L)/3.6/(23.3/11),1),0.5)</f>
        <v>4</v>
      </c>
      <c r="J388" s="2">
        <f>IF(OR(_xlfn.XLOOKUP(B388,'Base stats'!B:B,'Base stats'!AB:AB)=1,_xlfn.XLOOKUP(_xlfn.XLOOKUP(B388,'Base stats'!B:B,'Base stats'!E:E),Groups!A:A,Groups!C:C)="Untamable"),1,IF(_xlfn.XLOOKUP(B388,'Base stats'!B:B,'Base stats'!AL:AL)=1,0.99,MIN(MROUND((1-0.6282*EXP(-0.459*AO388))*_xlfn.XLOOKUP(_xlfn.XLOOKUP(B388,'Base stats'!B:B,'Base stats'!E:E),Groups!A:A,Groups!C:C)*IF(_xlfn.XLOOKUP(B388,'Base stats'!B:B,'Base stats'!O:O)=1,0.5,IF(_xlfn.XLOOKUP(B388,'Base stats'!B:B,'Base stats'!O:O)=2,0,1)),0.05),IF(AO388&gt;3.5,0.985,0.95))))</f>
        <v>0.85000000000000009</v>
      </c>
      <c r="K388" s="2">
        <f>ROUNDUP(AO388*_xlfn.XLOOKUP(_xlfn.XLOOKUP(B388,'Base stats'!B:B,'Base stats'!E:E),Groups!A:A,Groups!E:E),0)</f>
        <v>17</v>
      </c>
      <c r="L388" s="2">
        <f>IF(OR(_xlfn.XLOOKUP(_xlfn.XLOOKUP(B388,'Base stats'!B:B,'Base stats'!E:E),Groups!A:A,Groups!F:F)=2,ISNUMBER(SEARCH("SeaIce",BX388)),ISNUMBER(SEARCH("IceSheet",BX388))),-50,IF(OR(ISNUMBER(SEARCH("GlacialPlain",BX388)),ISNUMBER(SEARCH("Tundra",BX388))),-40,IF(OR(ISNUMBER(SEARCH("Alpine",BX388)),ISNUMBER(SEARCH("BorealForest",BX388)),ISNUMBER(SEARCH("ColdBog",BX388))),-30,IF(OR(ISNUMBER(SEARCH("TemperateForest",BX388)),ISNUMBER(SEARCH("TemperateSwamp",BX388))),-20,IF(_xlfn.XLOOKUP(_xlfn.XLOOKUP(B388,'Base stats'!B:B,'Base stats'!E:E),Groups!A:A,Groups!F:F)=1,-15,IF(OR(ISNUMBER(SEARCH("Desert",BX388)),ISNUMBER(SEARCH("ExtremeDesert",BX388))),-10,IF(OR(ISNUMBER(SEARCH("Grasslands",BX388)),ISNUMBER(SEARCH("TropicalRainforest",BX388)),ISNUMBER(SEARCH("TropicalSwamp",BX388))),10,0)))))))-IF(CC388="False",MIN(IFERROR(MAX(MROUND(LOG10(_xlfn.XLOOKUP(B388,'Base stats'!B:B,'Base stats'!C:C)^(2/3))*10,5),5),5),30))-_xlfn.XLOOKUP(B388,'Base stats'!B:B,'Base stats'!P:P)+IF(CC388="True",5,0)</f>
        <v>-20</v>
      </c>
      <c r="M388" s="2">
        <f>IF(OR(_xlfn.XLOOKUP(_xlfn.XLOOKUP(B388,'Base stats'!B:B,'Base stats'!E:E),Groups!A:A,Groups!G:G)=2,ISNUMBER(SEARCH("Desert",BX388)),ISNUMBER(SEARCH("ExtremeDesert",BX388)),ISNUMBER(SEARCH("LavaField",BX388))),50,IF(ISNUMBER(SEARCH("Grasslands",BX388)),45,IF(OR(_xlfn.XLOOKUP(_xlfn.XLOOKUP(B388,'Base stats'!B:B,'Base stats'!E:E),Groups!A:A,Groups!G:G)=1,ISNUMBER(SEARCH("TropicalRainforest",BX388)),ISNUMBER(SEARCH("TropicalSwamp",BX388))),40,IF(OR(ISNUMBER(SEARCH("TemperateForest",BX388)),ISNUMBER(SEARCH("TemperateSwamp",BX388))),35,IF(OR(ISNUMBER(SEARCH("Alpine",BX388)),ISNUMBER(SEARCH("BorealForest",BX388)),ISNUMBER(SEARCH("ColdBog",BX388))),30,IF(ISNUMBER(OR(ISNUMBER(SEARCH("GlacialPlain",BX388)),SEARCH("Tundra",BX388))),25,IF(OR(ISNUMBER(SEARCH("SeaIce",BX388)),ISNUMBER(SEARCH("IceSheet",BX388)),ISNUMBER(SEARCH("TropicalSwamp",BX388))),10,35)))))))+_xlfn.XLOOKUP(B388,'Base stats'!B:B,'Base stats'!Q:Q)</f>
        <v>35</v>
      </c>
      <c r="N388" s="8">
        <f>IF(
_xlfn.XLOOKUP(
_xlfn.XLOOKUP(B388,'Base stats'!B:B,'Base stats'!E:E),
Groups!A:A,
Groups!L:L
)=1,
MIN(
MROUND(
IF(
_xlfn.XLOOKUP(B388,'Animals CE'!B:B,'Animals CE'!Z:Z)&lt;=1.5,
_xlfn.XLOOKUP(B388,'Animals CE'!B:B,'Animals CE'!Z:Z)/2+0.05,
0.8+
(_xlfn.XLOOKUP(B388,'Animals CE'!B:B,'Animals CE'!Z:Z)-1.5)
*0.02
),
0.05
),
200%
),
"No"
)</f>
        <v>0.15000000000000002</v>
      </c>
      <c r="O388" s="8">
        <f>IF(
_xlfn.XLOOKUP(
_xlfn.XLOOKUP(B388,'Base stats'!B:B,'Base stats'!E:E),
Groups!A:A,
Groups!L:L
)=1,
MIN(
MROUND(
IF(
_xlfn.XLOOKUP(B388,'Animals CE'!B:B,'Animals CE'!AA:AA)&lt;=1.5,
_xlfn.XLOOKUP(B388,'Animals CE'!B:B,'Animals CE'!AA:AA)/2+0.05,
0.8+
(_xlfn.XLOOKUP(B388,'Animals CE'!B:B,'Animals CE'!AA:AA)-1.5)
*0.02
),
0.05
),
200%
),
"No"
)</f>
        <v>0.2</v>
      </c>
      <c r="P388" s="2" t="str">
        <f>_xlfn.XLOOKUP(B388,'Base stats'!B:B,'Base stats'!R:R)</f>
        <v>Standard</v>
      </c>
      <c r="Q388" s="13">
        <f>MROUND((LOG10(_xlfn.XLOOKUP(B388,'Base stats'!B:B,'Base stats'!AR:AR))*(AO388^0.5)+(_xlfn.XLOOKUP(B388,'Base stats'!B:B,'Base stats'!AR:AR)/1000)^(2/3)+_xlfn.XLOOKUP(B388,'Base stats'!B:B,'Base stats'!BA:BA)/2)+0.5,0.5)</f>
        <v>19.5</v>
      </c>
      <c r="R388" s="7">
        <f>IF(Q388="No","No",MAX(1,MROUND(_xlfn.XLOOKUP(B388,'Base stats'!B:B,'Base stats'!C:C)^0.165,0.05)))</f>
        <v>3.1</v>
      </c>
      <c r="S388" s="13" t="str">
        <f>IF(_xlfn.XLOOKUP(_xlfn.XLOOKUP(B388,'Base stats'!B:B,'Base stats'!E:E),Groups!A:A,Groups!P:P)=0,"No",MROUND((LOG10(_xlfn.XLOOKUP(B388,'Base stats'!B:B,'Base stats'!AS:AS))*(AO388^0.5)+(_xlfn.XLOOKUP(B388,'Base stats'!B:B,'Base stats'!AS:AS)/1000)^(2/3)+_xlfn.XLOOKUP(B388,'Base stats'!B:B,'Base stats'!BA:BA))+_xlfn.XLOOKUP(B388,'Base stats'!B:B,'Base stats'!AY:AY)+0.5,0.5))</f>
        <v>No</v>
      </c>
      <c r="T388" s="7" t="str">
        <f>IF(S388="No","No",MAX(_xlfn.XLOOKUP(_xlfn.XLOOKUP(B388,'Base stats'!B:B,'Base stats'!E:E),Groups!A:A,Groups!Q:Q),MROUND(_xlfn.XLOOKUP(_xlfn.XLOOKUP(B388,'Base stats'!B:B,'Base stats'!E:E),Groups!A:A,Groups!Q:Q)*_xlfn.XLOOKUP(B388,'Base stats'!B:B,'Base stats'!C:C)^0.165,0.05)))</f>
        <v>No</v>
      </c>
      <c r="U388" s="7" t="str">
        <f>IF(S388="No","No",_xlfn.XLOOKUP(_xlfn.XLOOKUP(B388,'Base stats'!B:B,'Base stats'!E:E),Groups!A:A,Groups!R:R))</f>
        <v>No</v>
      </c>
      <c r="V388" s="7" t="str">
        <f>IF(S388="No","No",_xlfn.XLOOKUP(_xlfn.XLOOKUP(B388,'Base stats'!B:B,'Base stats'!E:E),Groups!A:A,Groups!S:S))</f>
        <v>No</v>
      </c>
      <c r="W388" s="7" t="str">
        <f>IF(S388="No","No",_xlfn.XLOOKUP(_xlfn.XLOOKUP(B388,'Base stats'!B:B,'Base stats'!E:E),Groups!A:A,Groups!T:T))</f>
        <v>No</v>
      </c>
      <c r="X388" s="13" t="str">
        <f>IF(_xlfn.XLOOKUP(B388,'Base stats'!B:B,'Base stats'!W:W)="No","No",MROUND((LOG10(_xlfn.XLOOKUP(B388,'Base stats'!B:B,'Base stats'!AU:AU))*(AO388^0.5)+(_xlfn.XLOOKUP(B388,'Base stats'!B:B,'Base stats'!AU:AU)/1000)^(2/3)+_xlfn.XLOOKUP(B388,'Base stats'!B:B,'Base stats'!AZ:AZ))+0.5+IF(_xlfn.XLOOKUP(_xlfn.XLOOKUP(B388,'Base stats'!B:B,'Base stats'!E:E),Groups!A:A,Groups!U:U)&lt;&gt;3,_xlfn.XLOOKUP(B388,'Base stats'!B:B,'Base stats'!BA:BA),0),0.5))</f>
        <v>No</v>
      </c>
      <c r="Y388" s="7" t="str">
        <f>IF(X388="No","No",MAX(_xlfn.XLOOKUP(_xlfn.XLOOKUP(B388,'Base stats'!B:B,'Base stats'!E:E),Groups!A:A,Groups!V:V),MROUND(_xlfn.XLOOKUP(_xlfn.XLOOKUP(B388,'Base stats'!B:B,'Base stats'!E:E),Groups!A:A,Groups!V:V)*_xlfn.XLOOKUP(B388,'Base stats'!B:B,'Base stats'!C:C)^0.165,0.05)))</f>
        <v>No</v>
      </c>
      <c r="Z388" s="7" t="str">
        <f>IF(X388="No","No",_xlfn.XLOOKUP(_xlfn.XLOOKUP(B388,'Base stats'!B:B,'Base stats'!E:E),Groups!A:A,Groups!W:W))</f>
        <v>No</v>
      </c>
      <c r="AA388" s="7" t="str">
        <f>IF(X388="No","No",_xlfn.XLOOKUP(_xlfn.XLOOKUP(B388,'Base stats'!B:B,'Base stats'!E:E),Groups!A:A,Groups!X:X))</f>
        <v>No</v>
      </c>
      <c r="AB388" s="7" t="str">
        <f>IF(X388="No","No",_xlfn.XLOOKUP(_xlfn.XLOOKUP(B388,'Base stats'!B:B,'Base stats'!E:E),Groups!A:A,Groups!Y:Y))</f>
        <v>No</v>
      </c>
      <c r="AC388" s="7" t="str">
        <f>_xlfn.XLOOKUP(Animals!B388,'Base stats'!B:B,'Base stats'!X:X)</f>
        <v>False</v>
      </c>
      <c r="AD388" s="13">
        <f>IF(_xlfn.XLOOKUP(B388,'Base stats'!B:B,'Base stats'!AT:AT)="No","No",MROUND((LOG10(_xlfn.XLOOKUP(B388,'Base stats'!B:B,'Base stats'!AT:AT))*(AO388^0.75)+(_xlfn.XLOOKUP(B388,'Base stats'!B:B,'Base stats'!AT:AT)/1000)^(2/3)+_xlfn.XLOOKUP(B388,'Base stats'!B:B,'Base stats'!AX:AX)+_xlfn.XLOOKUP(B388,'Base stats'!B:B,'Base stats'!BA:BA))+0.5,0.5))</f>
        <v>24.5</v>
      </c>
      <c r="AE388" s="7">
        <f>IF(AD388="No","No",MAX(_xlfn.XLOOKUP(_xlfn.XLOOKUP(B388,'Base stats'!B:B,'Base stats'!E:E),Groups!A:A,Groups!Z:Z),MROUND(_xlfn.XLOOKUP(_xlfn.XLOOKUP(B388,'Base stats'!B:B,'Base stats'!E:E),Groups!A:A,Groups!Z:Z)*_xlfn.XLOOKUP(B388,'Base stats'!B:B,'Base stats'!C:C)^0.165,0.05)))</f>
        <v>2.6</v>
      </c>
      <c r="AF388" s="7" t="str">
        <f>IF(AD388="No","No",_xlfn.XLOOKUP(_xlfn.XLOOKUP(B388,'Base stats'!B:B,'Base stats'!E:E),Groups!A:A,Groups!AA:AA))</f>
        <v>Teeth</v>
      </c>
      <c r="AG388" s="7" t="str">
        <f>IF(AD388="No","No",_xlfn.XLOOKUP(_xlfn.XLOOKUP(B388,'Base stats'!B:B,'Base stats'!E:E),Groups!A:A,Groups!AB:AB))</f>
        <v>teeth</v>
      </c>
      <c r="AH388" s="7" t="str">
        <f>IF(AD388="No","No",_xlfn.XLOOKUP(_xlfn.XLOOKUP(B388,'Base stats'!B:B,'Base stats'!E:E),Groups!A:A,Groups!AC:AC))</f>
        <v>Bite</v>
      </c>
      <c r="AI388" s="13">
        <f>IF(_xlfn.XLOOKUP(_xlfn.XLOOKUP(B388,'Base stats'!B:B,'Base stats'!E:E),Groups!A:A,Groups!AD:AD)=0,"No",MROUND((LOG10(_xlfn.XLOOKUP(B388,'Base stats'!B:B,'Base stats'!AS:AS))*(AO388^0.75)+(_xlfn.XLOOKUP(B388,'Base stats'!B:B,'Base stats'!AS:AS)/1000)^(2/3)+_xlfn.XLOOKUP(B388,'Base stats'!B:B,'Base stats'!AY:AY)+_xlfn.XLOOKUP(B388,'Base stats'!B:B,'Base stats'!BA:BA))+0.5,0.5))</f>
        <v>28.5</v>
      </c>
      <c r="AJ388" s="7">
        <f>IF(AI388="No","No",MAX(_xlfn.XLOOKUP(_xlfn.XLOOKUP(B388,'Base stats'!B:B,'Base stats'!E:E),Groups!A:A,Groups!AE:AE),MROUND(_xlfn.XLOOKUP(_xlfn.XLOOKUP(B388,'Base stats'!B:B,'Base stats'!E:E),Groups!A:A,Groups!AE:AE)*IF(_xlfn.XLOOKUP(_xlfn.XLOOKUP(B388,'Base stats'!B:B,'Base stats'!E:E),Groups!A:A,Groups!AJ:AJ)="Photonozoa",0.6,1)*_xlfn.XLOOKUP(B388,'Base stats'!B:B,'Base stats'!C:C)^0.165,0.05)))</f>
        <v>2</v>
      </c>
      <c r="AK388" s="7" t="str">
        <f>IF(AI388="No","No",_xlfn.XLOOKUP(_xlfn.XLOOKUP(B388,'Base stats'!B:B,'Base stats'!E:E),Groups!A:A,Groups!AF:AF))</f>
        <v>FrontLeftPaw, FrontRightPaw</v>
      </c>
      <c r="AL388" s="7" t="str">
        <f>IF(AI388="No","No",_xlfn.XLOOKUP(_xlfn.XLOOKUP(B388,'Base stats'!B:B,'Base stats'!E:E),Groups!A:A,Groups!AG:AG))</f>
        <v>left claw, right claw</v>
      </c>
      <c r="AM388" s="7" t="str">
        <f>IF(AI388="No","No",_xlfn.XLOOKUP(_xlfn.XLOOKUP(B388,'Base stats'!B:B,'Base stats'!E:E),Groups!A:A,Groups!AH:AH))</f>
        <v>Scratch</v>
      </c>
      <c r="AN388" s="2" t="str">
        <f t="shared" si="49"/>
        <v>No</v>
      </c>
      <c r="AO388" s="2">
        <f>MROUND(IF(AND(_xlfn.XLOOKUP(B388,'Base stats'!B:B,'Base stats'!C:C)&gt;=0.5,_xlfn.XLOOKUP(B388,'Base stats'!B:B,'Base stats'!C:C)&lt;=0.8),
IF(_xlfn.XLOOKUP(B388,'Base stats'!B:B,'Base stats'!C:C)&lt;0.1,0.05,IF(_xlfn.XLOOKUP(B388,'Base stats'!B:B,'Base stats'!C:C)&lt;=70,(_xlfn.XLOOKUP(B388,'Base stats'!B:B,'Base stats'!C:C)/70)^0.426489913056526,IF(_xlfn.XLOOKUP(B388,'Base stats'!B:B,'Base stats'!C:C)&lt;=400,(_xlfn.XLOOKUP(B388,'Base stats'!B:B,'Base stats'!C:C)/70)^0.572811455315093,IF(_xlfn.XLOOKUP(B388,'Base stats'!B:B,'Base stats'!C:C)&lt;=2000,2.71391647193063*(_xlfn.XLOOKUP(B388,'Base stats'!B:B,'Base stats'!C:C)/400)^0.252459582904293,3.74314280240376*(_xlfn.XLOOKUP(B388,'Base stats'!B:B,'Base stats'!C:C)/2000)^0.357012633876913)))),
IF(_xlfn.XLOOKUP(B388,'Base stats'!B:B,'Base stats'!C:C)&lt;0.1,0.05,IF(_xlfn.XLOOKUP(B388,'Base stats'!B:B,'Base stats'!C:C)&lt;0.4,0.1,IF(_xlfn.XLOOKUP(B388,'Base stats'!B:B,'Base stats'!C:C)&lt;=70,(_xlfn.XLOOKUP(B388,'Base stats'!B:B,'Base stats'!C:C)/70)^0.445823913056526,IF(_xlfn.XLOOKUP(B388,'Base stats'!B:B,'Base stats'!C:C)&lt;=400,(_xlfn.XLOOKUP(B388,'Base stats'!B:B,'Base stats'!C:C)/70)^0.572811455315093,IF(_xlfn.XLOOKUP(B388,'Base stats'!B:B,'Base stats'!C:C)&lt;=2000,2.71391647193063*(_xlfn.XLOOKUP(B388,'Base stats'!B:B,'Base stats'!C:C)/400)^0.252459582904293,3.74314280240376*(_xlfn.XLOOKUP(B388,'Base stats'!B:B,'Base stats'!C:C)/2000)^0.357012633876913)))))),
IF(_xlfn.XLOOKUP(B388,'Base stats'!B:B,'Base stats'!C:C)&lt;0.1,0.05,IF(_xlfn.XLOOKUP(B388,'Base stats'!B:B,'Base stats'!C:C)&lt;=100,0.05,IF(_xlfn.XLOOKUP(B388,'Base stats'!B:B,'Base stats'!C:C)&lt;=250,0.1,IF(_xlfn.XLOOKUP(B388,'Base stats'!B:B,'Base stats'!C:C)&lt;=4000,0.25,0.5)))))</f>
        <v>3.25</v>
      </c>
      <c r="AP388" s="8">
        <f>MROUND(AO388*_xlfn.XLOOKUP(_xlfn.XLOOKUP(B388,'Base stats'!B:B,'Base stats'!E:E),Groups!A:A,Groups!AI:AI)*_xlfn.XLOOKUP(B388,'Base stats'!B:B,'Base stats'!Z:Z),0.05)</f>
        <v>3.9000000000000004</v>
      </c>
      <c r="AQ388" s="8">
        <f>MAX(0.01,MROUND(IF(CC388="True",0.196*(AO388*100*1000)^0.889,IF(_xlfn.XLOOKUP(_xlfn.XLOOKUP(B388,'Base stats'!B:B,'Base stats'!E:E),Groups!A:A,Groups!AJ:AJ)="Bird",10.5*(AO388*100*1000)^0.681,4.82*(AO388*100*1000)^0.734))/(4.82*(1*100*1000)^0.734)/IF(AO388&lt;3.5,2,IF(AO388=3.5,1.5,1.25))*(1+0.132282374779864/(AO388^0.994035016789033+0.00905238001496948)),0.05))</f>
        <v>1.25</v>
      </c>
      <c r="AR388" s="9">
        <f>IFERROR(MROUND(_xlfn.XLOOKUP(B388,'Base stats'!B:B,'Base stats'!H:H)/IF(_xlfn.XLOOKUP(B388,'Base stats'!B:B,'Base stats'!I:I)&lt;&gt;1,(122.5/70),1.2),IF(_xlfn.XLOOKUP(B388,'Base stats'!B:B,'Base stats'!H:H)&gt;=30,5,IF(_xlfn.XLOOKUP(B388,'Base stats'!B:B,'Base stats'!H:H)&gt;=15,3,IF(_xlfn.XLOOKUP(B388,'Base stats'!B:B,'Base stats'!H:H)&gt;=10,2,1)))),"Immortal")</f>
        <v>15</v>
      </c>
      <c r="AS388" s="35">
        <f>IFERROR(IF(OR(_xlfn.XLOOKUP(B388,'Base stats'!B:B,'Base stats'!F:F)="Atypical reproduction",_xlfn.XLOOKUP(B388,'Base stats'!B:B,'Base stats'!F:F)="Lay eggs"),"Lay eggs",MIN(20,MAX(5.5,ROUND(((_xlfn.XLOOKUP(B388,'Base stats'!B:B,'Base stats'!F:F)-25)*(14.5/615) + 5.5)*2,0)/2))),"Unknown")</f>
        <v>12</v>
      </c>
      <c r="AT388" s="8">
        <f>IF(_xlfn.XLOOKUP(B388,'Base stats'!B:B,'Base stats'!G:G)="Atypical reproduction","No",IFERROR(MAX(IF(_xlfn.XLOOKUP(B388,'Base stats'!B:B,'Base stats'!G:G)&lt;0.5,0.2,0.3),MROUND(_xlfn.XLOOKUP(B388,'Base stats'!B:B,'Base stats'!G:G)/(365/60),0.2)),"Unknown"))</f>
        <v>0.4</v>
      </c>
      <c r="AU388" s="8">
        <f t="shared" si="50"/>
        <v>0.2</v>
      </c>
      <c r="AV388" s="8">
        <f>IFERROR(IFERROR(MROUND(_xlfn.XLOOKUP(B388,'Base stats'!B:B,'Base stats'!J:J),0.1),"Lay eggs"),"Cannot breed")</f>
        <v>1</v>
      </c>
      <c r="AW388" s="2" t="str">
        <f t="shared" si="51"/>
        <v>false</v>
      </c>
      <c r="AX388" s="2" t="str">
        <f>IF(_xlfn.XLOOKUP(_xlfn.XLOOKUP(Animals!B388,'Base stats'!B:B,'Base stats'!E:E),Groups!A:A,Groups!AK:AK)=1,"true","false")</f>
        <v>false</v>
      </c>
      <c r="AY388" s="25" t="str">
        <f>IF(_xlfn.XLOOKUP(B388,'Base stats'!B:B,'Base stats'!Y:Y)="Liquor","Liquor, CarnivoreAnimalStrict",IF(AND(_xlfn.XLOOKUP(B388,'Base stats'!B:B,'Base stats'!Y:Y)="Carnivore",_xlfn.XLOOKUP(_xlfn.XLOOKUP(B388,'Base stats'!B:B,'Base stats'!E:E),Groups!A:A,Groups!AJ:AJ)="Photonozoa"),"CarnivoreAnimalStrict, OvivoreAnimal",IF(_xlfn.XLOOKUP(B388,'Base stats'!B:B,'Base stats'!Y:Y)="Carnivore","CarnivoreAnimal, OvivoreAnimal",IF(_xlfn.XLOOKUP(B388,'Base stats'!B:B,'Base stats'!Y:Y)="Dendrovore","VegetarianRoughAnimal, DendrovoreAnimal",IF(_xlfn.XLOOKUP(B388,'Base stats'!B:B,'Base stats'!Y:Y)="Herbivore","VegetarianRoughAnimal",IF(_xlfn.XLOOKUP(B388,'Base stats'!B:B,'Base stats'!Y:Y)="OmnivoreRough","OmnivoreRoughAnimal, OvivoreAnimal","OmnivoreAnimal, OvivoreAnimal"))))))</f>
        <v>VegetarianRoughAnimal</v>
      </c>
      <c r="AZ388" s="2" t="str">
        <f>IF(_xlfn.XLOOKUP(_xlfn.XLOOKUP(B388,'Base stats'!B:B,'Base stats'!E:E),Groups!A:A,Groups!D:D)=1,MROUND((1-J388)*5+1,2)*IF(J388&lt;=0.4,2,1),"No")</f>
        <v>No</v>
      </c>
      <c r="BA388" s="2" t="str">
        <f>IF(AND(_xlfn.XLOOKUP(B388,'Base stats'!B:B,'Base stats'!AH:AH)="&lt;li&gt;Seal&lt;/li&gt;",G388="Odyssey"),"&lt;li&gt;AEXP_Seal&lt;/li&gt;",_xlfn.XLOOKUP(B388,'Base stats'!B:B,'Base stats'!AH:AH))</f>
        <v>No</v>
      </c>
      <c r="BB388" s="2" t="str">
        <f>_xlfn.XLOOKUP(B388,'Base stats'!B:B,'Base stats'!AG:AG)</f>
        <v>Leather_Plain</v>
      </c>
      <c r="BC388" s="23" t="str">
        <f>_xlfn.XLOOKUP(_xlfn.XLOOKUP(B388,'Base stats'!B:B,'Base stats'!E:E),Groups!A:A,Groups!AL:AL)</f>
        <v>QuadrupedAnimalWithPawsAndTail</v>
      </c>
      <c r="BD388" s="23">
        <f>MIN(1,MROUND(IF(AND(AO388&lt;0.5,_xlfn.XLOOKUP(B388,'Base stats'!B:B,'Base stats'!AA:AA)=0),0,IF(OR(_xlfn.XLOOKUP(Animals!B388,'Base stats'!B:B,'Base stats'!O:O)=2,_xlfn.XLOOKUP(_xlfn.XLOOKUP(B388,'Base stats'!B:B,'Base stats'!E:E),Groups!A:A,Groups!AN:AN)=0),0,_xlfn.XLOOKUP(_xlfn.XLOOKUP(B388,'Base stats'!B:B,'Base stats'!E:E),Groups!A:A,Groups!AN:AN)/IF(_xlfn.XLOOKUP(Animals!B388,'Base stats'!B:B,'Base stats'!O:O)=1,2,1)))+_xlfn.XLOOKUP(B388,'Base stats'!B:B,'Base stats'!AC:AC),0.005))</f>
        <v>0.05</v>
      </c>
      <c r="BE388" s="23">
        <f>MIN(1,MROUND(IF(AND(AO388&lt;0.5,_xlfn.XLOOKUP(B388,'Base stats'!B:B,'Base stats'!AA:AA)=0),0,IF(_xlfn.XLOOKUP(_xlfn.XLOOKUP(B388,'Base stats'!B:B,'Base stats'!E:E),Groups!A:A,Groups!AO:AO)=0,0,_xlfn.XLOOKUP(_xlfn.XLOOKUP(B388,'Base stats'!B:B,'Base stats'!E:E),Groups!A:A,Groups!AO:AO)/IF(_xlfn.XLOOKUP(Animals!B388,'Base stats'!B:B,'Base stats'!O:O)=2,3,1)))+_xlfn.XLOOKUP(B388,'Base stats'!B:B,'Base stats'!AD:AD),0.005))</f>
        <v>0.3</v>
      </c>
      <c r="BF388" s="2" t="str">
        <f>IF(J388&gt;0.3,"No",_xlfn.XLOOKUP(_xlfn.XLOOKUP(Animals!B388,'Base stats'!B:B,'Base stats'!E:E),Groups!A:A,Groups!AP:AP))</f>
        <v>No</v>
      </c>
      <c r="BG388" s="2" t="str">
        <f>IF(AND(J388&lt;=0.65,_xlfn.XLOOKUP(_xlfn.XLOOKUP(Animals!B388,'Base stats'!B:B,'Base stats'!E:E),Groups!A:A,Groups!AP:AP)&lt;&gt;"No",_xlfn.XLOOKUP(_xlfn.XLOOKUP(B388,'Base stats'!B:B,'Base stats'!E:E),Groups!A:A,Groups!D:D)=0),MROUND((80/3)*IF(_xlfn.XLOOKUP(B388,'Base stats'!B:B,'Base stats'!O:O)=2,0.2,AO388) + 24*(1-IF(BF388="No",0,BF388)) + 16/3, 12),"No")</f>
        <v>No</v>
      </c>
      <c r="BH388" s="2">
        <f>IF(AND(_xlfn.XLOOKUP(_xlfn.XLOOKUP(B388,'Base stats'!B:B,'Base stats'!E:E),Groups!A:A,Groups!AQ:AQ)=1,AO388&lt;=0.35),8,12)</f>
        <v>12</v>
      </c>
      <c r="BI388" s="2" t="str">
        <f>IF(_xlfn.XLOOKUP(_xlfn.XLOOKUP(B388,'Base stats'!B:B,'Base stats'!E:E),Groups!A:A,Groups!D:D)=0,_xlfn.XLOOKUP(_xlfn.XLOOKUP(B388,'Base stats'!B:B,'Base stats'!E:E),Groups!A:A,Groups!AR:AR),"None")</f>
        <v>Intermediate</v>
      </c>
      <c r="BJ388" s="2" t="str">
        <f>IF(AND(_xlfn.XLOOKUP(_xlfn.XLOOKUP(B388,'Base stats'!B:B,'Base stats'!E:E),Groups!A:A,Groups!AS:AS)=1,OR(_xlfn.XLOOKUP(B388,'Base stats'!B:B,'Base stats'!Y:Y)="Carnivore",_xlfn.XLOOKUP(B388,'Base stats'!B:B,'Base stats'!Y:Y)="Omnivore")),"true","false")</f>
        <v>false</v>
      </c>
      <c r="BK388" s="2" t="str">
        <f>IF(BJ388="true",MROUND(IF(AND(AO388&gt;0.5,OR(_xlfn.XLOOKUP(_xlfn.XLOOKUP(B388,'Base stats'!B:B,'Base stats'!E:E),Groups!A:A,Groups!AJ:AJ)="Photonozoa",_xlfn.XLOOKUP(_xlfn.XLOOKUP(B388,'Base stats'!B:B,'Base stats'!E:E),Groups!A:A,Groups!AJ:AJ)="Mammal")),Animals!AO388*1.75*IF(AW388="true",1.5,1),IF(AO388&lt;0.5,Animals!AO388*0.5,Animals!AO388)),IF(AO388&gt;2,0.5,IF(AO388&gt;0.5,0.25,0.1))),"No")</f>
        <v>No</v>
      </c>
      <c r="BL388" s="2">
        <f t="shared" si="52"/>
        <v>1</v>
      </c>
      <c r="BM388" s="25" t="str">
        <f>IF(_xlfn.XLOOKUP(B388,'Base stats'!B:B,'Base stats'!AN:AN)="Standard","No",MROUND((_xlfn.XLOOKUP(B388,'Base stats'!B:B,'Base stats'!AN:AN)/3.6)/I388,0.1))</f>
        <v>No</v>
      </c>
      <c r="BN388" s="25" t="str">
        <f t="shared" si="53"/>
        <v>false</v>
      </c>
      <c r="BO388" s="25" t="str">
        <f>IF(AND(OR(_xlfn.XLOOKUP(B388,'Base stats'!B:B,'Base stats'!Y:Y)="Carnivore",_xlfn.XLOOKUP(B388,'Base stats'!B:B,'Base stats'!Y:Y)="Omnivore",_xlfn.XLOOKUP(B388,'Base stats'!B:B,'Base stats'!Y:Y)="OmnivoreRough"),_xlfn.XLOOKUP(_xlfn.XLOOKUP(B388,'Base stats'!B:B,'Base stats'!E:E),Groups!A:A,Groups!AT:AT)=1),"true","false")</f>
        <v>false</v>
      </c>
      <c r="BP388" s="25" t="str" cm="1">
        <f t="array" ref="BP388">IF(
  _xlfn.TEXTJOIN(", ",TRUE,
    IF(AND(BJ388="true",AO388&gt;0.5,BI388&lt;&gt;"None"),"AttackTarget",""),
    IF(AND(_xlfn.XLOOKUP(_xlfn.XLOOKUP(B388,'Base stats'!B:B,'Base stats'!E:E),Groups!A:A,Groups!AJ:AJ="Mammal"),OR(_xlfn.XLOOKUP(B388,'Base stats'!B:B,'Base stats'!Y:Y)="Omnivore",_xlfn.XLOOKUP(B388,'Base stats'!B:B,'Base stats'!Y:Y)="OmnivoreRough")),"Forage",""),
    IF(BG388&lt;=36,"Comfort",""),
    IF(_xlfn.XLOOKUP(B388,'Base stats'!B:B,'Base stats'!AE:AE)&lt;&gt;"No",_xlfn.XLOOKUP(B388,'Base stats'!B:B,'Base stats'!AE:AE),"")
  ) = "",
  "No",
  _xlfn.TEXTJOIN(", ",TRUE,
    IF(AND(BJ388="true",AO388&gt;0.5,BI388&lt;&gt;"None"),"AttackTarget",""),
    IF(AND(_xlfn.XLOOKUP(_xlfn.XLOOKUP(B388,'Base stats'!B:B,'Base stats'!E:E),Groups!A:A,Groups!AJ:AJ="Mammal"),OR(_xlfn.XLOOKUP(B388,'Base stats'!B:B,'Base stats'!Y:Y)="Omnivore",_xlfn.XLOOKUP(B388,'Base stats'!B:B,'Base stats'!Y:Y)="OmnivoreRough")),"Forage",""),
    IF(BG388&lt;=36,"Comfort",""),
    IF(_xlfn.XLOOKUP(B388,'Base stats'!B:B,'Base stats'!AE:AE)&lt;&gt;"No",_xlfn.XLOOKUP(B388,'Base stats'!B:B,'Base stats'!AE:AE),"")
  )
)</f>
        <v>Dig</v>
      </c>
      <c r="BQ388" s="25" t="str">
        <f>IF(
   AND(
      'Base stats'!AN388="Standard",_xlfn.XLOOKUP(_xlfn.XLOOKUP(B388,'Base stats'!B:B,'Base stats'!E:E),Groups!A:A,Groups!AU:AU)=0,
      OR(
      BO388="True"
      )
   ),
   10,
   IF(
       OR(BM388&lt;&gt;"No",_xlfn.XLOOKUP(_xlfn.XLOOKUP(B388,'Base stats'!B:B,'Base stats'!E:E),Groups!A:A,Groups!AU:AU)=1),
      1,
      "No"
   )
)</f>
        <v>No</v>
      </c>
      <c r="BR388" s="9">
        <f>MROUND((1 + ((0.2*IF(OR(Q388="No",R388="No",R388=0),0,Q388/R388)
+IF(OR(V388="No",S388="No",T388="No"),0,S388/T388*(LEN(V388)-LEN(SUBSTITUTE(V388,",",""))+1))
+IF(OR(X388="No",Y388="No"),0,X388/Y388)
+IF(OR(AD388="No",AE388="No"),0,AD388/AE388)
+IF(OR(AL388="No",AI388="No",AJ388="No"),0,AI388/AJ388*(LEN(AL388)-LEN(SUBSTITUTE(AL388,",",""))+1))
)/(0.2*IF(OR(Q388="No",R388="No",R388=0),0,1)
+IF(OR(V388="No",S388="No",T388="No"),0,LEN(V388)-LEN(SUBSTITUTE(V388,",",""))+1)
+IF(OR(X388="No",Y388="No"),0,1)
+IF(OR(AD388="No",AE388="No"),0,1)
+IF(OR(AL388="No",AI388="No",AJ388="No"),0,LEN(AL388)-LEN(SUBSTITUTE(AL388,",",""))+1))*62%)* 2)*(1 + (AP388 / (IF(_xlfn.XLOOKUP(_xlfn.XLOOKUP(B388,'Base stats'!B:B,'Base stats'!E:E),Groups!A:A,Groups!AJ:AJ)="Photonozoa",0.3,1)) + _xlfn.XLOOKUP(B388,'Base stats'!B:B,'Base stats'!AV:AV) * 1.8) * 2) * 2.5 + 10 + I388 * 2,5)+IF(_xlfn.XLOOKUP(B388,'Base stats'!B:B,'Base stats'!AK:AK)=1,50,0)</f>
        <v>400</v>
      </c>
      <c r="BS388" s="8">
        <f t="shared" si="54"/>
        <v>1.6500000000000001</v>
      </c>
      <c r="BT388" s="8" t="str">
        <f>_xlfn.XLOOKUP(B388,'Base stats'!B:B,'Base stats'!AF:AF)</f>
        <v>No</v>
      </c>
      <c r="BU388" s="2" t="str">
        <f>IF(AND(J388&lt;=0.95,OR(_xlfn.XLOOKUP(B388,'Base stats'!B:B,'Base stats'!AK:AK)=1,_xlfn.XLOOKUP(B388,'Base stats'!B:B,'Base stats'!Y:Y)="Carnivore",_xlfn.XLOOKUP(B388,'Base stats'!B:B,'Base stats'!Y:Y)="Omnivore",BE388&gt;0.1)),"true","false")</f>
        <v>true</v>
      </c>
      <c r="BV388" s="2" t="str">
        <f>IF(_xlfn.XLOOKUP(B388,'Base stats'!B:B,'Base stats'!AI:AI)=1,"true","false")</f>
        <v>true</v>
      </c>
      <c r="BW388" s="25" t="str">
        <f>IF(E388="BaseInsect","AnimalInsect",
IF(J388&gt;0.95,"AnimalExotic",
_xlfn.TEXTJOIN(", ",TRUE,
IF(OR(_xlfn.XLOOKUP(B388,'Base stats'!B:B,'Base stats'!AM:AM)=1,AND(_xlfn.XLOOKUP(B388,'Base stats'!B:B,'Base stats'!O:O)=0,_xlfn.XLOOKUP(_xlfn.XLOOKUP(B388,'Base stats'!B:B,'Base stats'!E:E),Groups!A:A,Groups!B:B)&gt;0)),"AnimalUncommon","AnimalCommon"),
IF(AND(_xlfn.XLOOKUP(B388,'Base stats'!B:B,'Base stats'!O:O)=2,_xlfn.XLOOKUP(_xlfn.XLOOKUP(B388,'Base stats'!B:B,'Base stats'!E:E),Groups!A:A,Groups!D:D)=0),"AnimalPet",IF(AND(_xlfn.XLOOKUP(B388,'Base stats'!B:B,'Base stats'!O:O)&lt;&gt;0,_xlfn.XLOOKUP(_xlfn.XLOOKUP(B388,'Base stats'!B:B,'Base stats'!E:E),Groups!A:A,Groups!D:D)&lt;&gt;0),"AnimalFarm","")),
IF(OR(_xlfn.XLOOKUP(B388,'Base stats'!B:B,'Base stats'!AK:AK)=1,AND(BI388&lt;&gt;"None",BR388&gt;=60),ISNUMBER(SEARCH("Attack target",BP388))),"AnimalFighter","")
)))</f>
        <v>AnimalUncommon, AnimalFighter</v>
      </c>
      <c r="BX388" s="25" t="str">
        <f>IF(G388="None",TRIM(
SUBSTITUTE(
IF(COUNTIF(Biomes!B$2:B$259,"="&amp;$C388)&gt;0,Biomes!B$1&amp;", ","")&amp;
IF(COUNTIF(Biomes!C$2:C$259,"="&amp;$C388)&gt;0,Biomes!C$1&amp;", ","")&amp;
IF(COUNTIF(Biomes!D$2:D$259,"="&amp;$C388)&gt;0,Biomes!D$1&amp;", ","")&amp;
IF(COUNTIF(Biomes!F$2:F$259,"="&amp;$C388)&gt;0,Biomes!F$1&amp;", ","")&amp;
IF(COUNTIF(Biomes!G$2:G$259,"="&amp;$C388)&gt;0,Biomes!G$1&amp;", ","")&amp;
IF(COUNTIF(Biomes!H$2:H$259,"="&amp;$C388)&gt;0,Biomes!H$1&amp;", ","")&amp;
IF(COUNTIF(Biomes!I$2:I$259,"="&amp;$C388)&gt;0,Biomes!I$1&amp;", ","")&amp;
IF(COUNTIF(Biomes!J$2:J$259,"="&amp;$C388)&gt;0,Biomes!J$1&amp;", ","")&amp;
IF(COUNTIF(Biomes!M$2:M$259,"="&amp;$C388)&gt;0,Biomes!M$1&amp;", ","")&amp;
IF(COUNTIF(Biomes!N$2:N$259,"="&amp;$C388)&gt;0,Biomes!N$1&amp;", ","")&amp;
IF(COUNTIF(Biomes!O$2:O$259,"="&amp;$C388)&gt;0,Biomes!O$1&amp;", ","")&amp;
IF(COUNTIF(Biomes!P$2:P$259,"="&amp;$C388)&gt;0,Biomes!P$1&amp;", ","")&amp;
IF(COUNTIF(Biomes!K$2:K$259,"="&amp;$C388)&gt;0,Biomes!K$1&amp;", ","")&amp;
IF(COUNTIF(Biomes!Q$3:Q$259,"="&amp;$C388)&gt;0,Biomes!Q$1&amp;", ","")&amp;
IF(COUNTIF(Biomes!L$2:L$259,"="&amp;$C388)&gt;0,Biomes!L$1&amp;", ","")&amp;
IF(COUNTIF(Biomes!E$2:E$259,"="&amp;$C388)&gt;0,Biomes!E$1&amp;", ","")&amp;IF(COUNTIF(Biomes!S$2:S$259,"="&amp;$C388)&gt;0,Biomes!S$1&amp;", ","")&amp;
IF(COUNTIF(Biomes!R$2:R$259,"="&amp;$C388)&gt;0,Biomes!R$1&amp;", ",""),", ","")
),_xlfn.XLOOKUP(B388,B:B,BX:BX))</f>
        <v/>
      </c>
      <c r="BY388" s="25" t="str">
        <f>IF(_xlfn.XLOOKUP(B388,'Base stats'!B:B,'Base stats'!AJ:AJ)=1,"true","false")</f>
        <v>false</v>
      </c>
      <c r="BZ388" s="25">
        <f>IF(_xlfn.XLOOKUP(B388,'Base stats'!B:B,'Base stats'!N:N)=1,"No",MAX(0.001,MIN(MROUND(IF(AND(BJ388="True",CC388="False"),POWER(10,3.47*LOG10(_xlfn.XLOOKUP(B388,'Base stats'!B:B,'Base stats'!C:C)*1000)^-0.96),POWER(10,4.15*LOG10(_xlfn.XLOOKUP(B388,'Base stats'!B:B,'Base stats'!C:C)*1000)^-0.73))*IF(_xlfn.XLOOKUP(B388,'Base stats'!B:B,'Base stats'!AK:AK)=1,0.5,1)*IF(_xlfn.XLOOKUP(B388,'Base stats'!B:B,'Base stats'!AM:AM)=1,0.1,1)/100,IF(_xlfn.XLOOKUP(B388,'Base stats'!B:B,'Base stats'!AM:AM)=1,0.001,0.025)),0.5)))</f>
        <v>0.125</v>
      </c>
      <c r="CA388" s="25" t="str">
        <f>IF(P388="Standard","No",MAX(0.001,MIN(MROUND(IF(AND(BJ388="True",CC388="False"),POWER(10,3.47*LOG10(_xlfn.XLOOKUP(B388,'Base stats'!B:B,'Base stats'!C:C)*1000)^-0.96),POWER(10,4.15*LOG10(_xlfn.XLOOKUP(B388,'Base stats'!B:B,'Base stats'!C:C)*1000)^-0.73))*IF(_xlfn.XLOOKUP(B388,'Base stats'!B:B,'Base stats'!AM:AM)=1,0.1,1)*_xlfn.XLOOKUP(B388,'Base stats'!B:B,'Base stats'!R:R)/100,IF(_xlfn.XLOOKUP(B388,'Base stats'!B:B,'Base stats'!AM:AM)=1,0.001,0.025)),0.5)))</f>
        <v>No</v>
      </c>
      <c r="CB388" s="25" t="str">
        <f>IF(_xlfn.XLOOKUP(_xlfn.XLOOKUP(B388,'Base stats'!B:B,'Base stats'!E:E),Groups!A:A,Groups!AJ:AJ)="Mammal","True","False")</f>
        <v>True</v>
      </c>
      <c r="CC388" s="25" t="str">
        <f>IF(OR(_xlfn.XLOOKUP(_xlfn.XLOOKUP(B388,'Base stats'!B:B,'Base stats'!E:E),Groups!A:A,Groups!AJ:AJ)="Reptile",_xlfn.XLOOKUP(_xlfn.XLOOKUP(B388,'Base stats'!B:B,'Base stats'!E:E),Groups!A:A,Groups!AJ:AJ)="Amphibian",_xlfn.XLOOKUP(_xlfn.XLOOKUP(B388,'Base stats'!B:B,'Base stats'!E:E),Groups!A:A,Groups!AJ:AJ)="Invertebrate"),"True","False")</f>
        <v>False</v>
      </c>
      <c r="CD388" s="25" t="str">
        <f t="shared" si="55"/>
        <v>False</v>
      </c>
      <c r="CE388" s="25" t="str">
        <f>IF(_xlfn.XLOOKUP(_xlfn.XLOOKUP(B388,'Base stats'!B:B,'Base stats'!E:E),Groups!A:A,Groups!AX:AX),"True","False")</f>
        <v>False</v>
      </c>
      <c r="CF388" s="25" t="str">
        <f>IF(_xlfn.XLOOKUP(_xlfn.XLOOKUP(B388,'Base stats'!B:B,'Base stats'!E:E),Groups!A:A,Groups!AY:AY),"True","False")</f>
        <v>False</v>
      </c>
      <c r="CG388" s="25" t="str">
        <f>IF(_xlfn.XLOOKUP(_xlfn.XLOOKUP(B388,'Base stats'!B:B,'Base stats'!E:E),Groups!A:A,Groups!AW:AW),"True","False")</f>
        <v>False</v>
      </c>
      <c r="CH388" s="25" t="str">
        <f>IF(
OR(
_xlfn.XLOOKUP(_xlfn.XLOOKUP(B388,'Base stats'!B:B,'Base stats'!E:E),Groups!A:A,Groups!AZ:AZ)=0,
AND(
_xlfn.XLOOKUP(B388,'Base stats'!B:B,'Base stats'!Y:Y)&lt;&gt;"Carnivore",
_xlfn.XLOOKUP(B388,'Base stats'!B:B,'Base stats'!Y:Y)&lt;&gt;"Omnivore",
_xlfn.XLOOKUP(B388,'Base stats'!B:B,'Base stats'!Y:Y)&lt;&gt;"OmnivoreRough"
)
),
"No",
IF(
_xlfn.XLOOKUP(_xlfn.XLOOKUP(B388,'Base stats'!B:B,'Base stats'!E:E),Groups!A:A,Groups!AZ:AZ)=1,
"Flesh",
IF(
_xlfn.XLOOKUP(_xlfn.XLOOKUP(B388,'Base stats'!B:B,'Base stats'!E:E),Groups!A:A,Groups!AZ:AZ)=2,
"Bone",
""
)
)
)</f>
        <v>No</v>
      </c>
      <c r="CI388" s="25" t="str">
        <f>IF(_xlfn.XLOOKUP(_xlfn.XLOOKUP(B388,'Base stats'!B:B,'Base stats'!E:E),Groups!A:A,Groups!BB:BB),"True","False")</f>
        <v>True</v>
      </c>
      <c r="CJ388" s="25" t="str">
        <f>IF(_xlfn.XLOOKUP(_xlfn.XLOOKUP(B388,'Base stats'!B:B,'Base stats'!E:E),Groups!A:A,Groups!BA:BA),"True","False")</f>
        <v>False</v>
      </c>
    </row>
    <row r="389" spans="1:88" ht="16.5" thickTop="1" thickBot="1" x14ac:dyDescent="0.3">
      <c r="A389" s="26" t="s">
        <v>2078</v>
      </c>
      <c r="B389" s="6" t="str">
        <f>_xlfn.XLOOKUP(A389,'Base stats'!A:A,'Base stats'!B:B)</f>
        <v>Megaloceros giganteus</v>
      </c>
      <c r="C389" s="28" t="str">
        <f t="shared" si="56"/>
        <v>&lt;li&gt;Megaloceros&lt;/li&gt;</v>
      </c>
      <c r="D389" s="28" t="s">
        <v>2126</v>
      </c>
      <c r="E389" s="28" t="s">
        <v>673</v>
      </c>
      <c r="F389" s="28" t="s">
        <v>673</v>
      </c>
      <c r="G389" s="28" t="s">
        <v>673</v>
      </c>
      <c r="H389" s="2">
        <f>MROUND((
  (IF(AND(_xlfn.XLOOKUP(B389,'Base stats'!B:B,'Base stats'!AL:AL)=0,BI389="None",_xlfn.XLOOKUP(_xlfn.XLOOKUP(B389,'Base stats'!B:B,'Base stats'!E:E),Groups!A:A,Groups!B:B)=0), (18 + BR389 * 2.7) * 0.5,
    IF(AND(_xlfn.XLOOKUP(B389,'Base stats'!B:B,'Base stats'!AL:AL)=0,OR(AO389&lt;0.55,AND(BI389="Intermediate",_xlfn.XLOOKUP(_xlfn.XLOOKUP(B389,'Base stats'!B:B,'Base stats'!E:E),Groups!A:A,Groups!B:B)&lt;2))), (18 + BR389 * 2.7),
      IF(OR(BI389="Advanced",_xlfn.XLOOKUP(B389,'Base stats'!B:B,'Base stats'!AL:AL)=1,_xlfn.XLOOKUP(_xlfn.XLOOKUP(B389,'Base stats'!B:B,'Base stats'!E:E),Groups!A:A,Groups!B:B)=2), (18 + BR389 * 2.7) + 250, (18 + BR389 * 2.7))
    )
  ))
  + AO389 * 80
  + IF(COUNTIF(EggMilk!K$2:K$998, A389) &gt; 0, 125, 0)
  + IF(COUNTIF(EggMilk!P$2:P$998, A389) &gt; 0, 90, 0)
  + IF(COUNTIF(EggMilk!A$2:A$998, A389) &gt; 0, 90, 0)
)
* (0.8 + 0.4 * J389)
* 0.75,25)</f>
        <v>450</v>
      </c>
      <c r="I389" s="2">
        <f>MROUND(ROUNDDOWN(_xlfn.XLOOKUP(B389,'Base stats'!B:B,'Base stats'!L:L)/3.6/(23.3/11),1),0.5)</f>
        <v>9.5</v>
      </c>
      <c r="J389" s="2">
        <f>IF(OR(_xlfn.XLOOKUP(B389,'Base stats'!B:B,'Base stats'!AB:AB)=1,_xlfn.XLOOKUP(_xlfn.XLOOKUP(B389,'Base stats'!B:B,'Base stats'!E:E),Groups!A:A,Groups!C:C)="Untamable"),1,IF(_xlfn.XLOOKUP(B389,'Base stats'!B:B,'Base stats'!AL:AL)=1,0.99,MIN(MROUND((1-0.6282*EXP(-0.459*AO389))*_xlfn.XLOOKUP(_xlfn.XLOOKUP(B389,'Base stats'!B:B,'Base stats'!E:E),Groups!A:A,Groups!C:C)*IF(_xlfn.XLOOKUP(B389,'Base stats'!B:B,'Base stats'!O:O)=1,0.5,IF(_xlfn.XLOOKUP(B389,'Base stats'!B:B,'Base stats'!O:O)=2,0,1)),0.05),IF(AO389&gt;3.5,0.985,0.95))))</f>
        <v>0.70000000000000007</v>
      </c>
      <c r="K389" s="2">
        <f>ROUNDUP(AO389*_xlfn.XLOOKUP(_xlfn.XLOOKUP(B389,'Base stats'!B:B,'Base stats'!E:E),Groups!A:A,Groups!E:E),0)</f>
        <v>15</v>
      </c>
      <c r="L389" s="2">
        <f>IF(OR(_xlfn.XLOOKUP(_xlfn.XLOOKUP(B389,'Base stats'!B:B,'Base stats'!E:E),Groups!A:A,Groups!F:F)=2,ISNUMBER(SEARCH("SeaIce",BX389)),ISNUMBER(SEARCH("IceSheet",BX389))),-50,IF(OR(ISNUMBER(SEARCH("GlacialPlain",BX389)),ISNUMBER(SEARCH("Tundra",BX389))),-40,IF(OR(ISNUMBER(SEARCH("Alpine",BX389)),ISNUMBER(SEARCH("BorealForest",BX389)),ISNUMBER(SEARCH("ColdBog",BX389))),-30,IF(OR(ISNUMBER(SEARCH("TemperateForest",BX389)),ISNUMBER(SEARCH("TemperateSwamp",BX389))),-20,IF(_xlfn.XLOOKUP(_xlfn.XLOOKUP(B389,'Base stats'!B:B,'Base stats'!E:E),Groups!A:A,Groups!F:F)=1,-15,IF(OR(ISNUMBER(SEARCH("Desert",BX389)),ISNUMBER(SEARCH("ExtremeDesert",BX389))),-10,IF(OR(ISNUMBER(SEARCH("Grasslands",BX389)),ISNUMBER(SEARCH("TropicalRainforest",BX389)),ISNUMBER(SEARCH("TropicalSwamp",BX389))),10,0)))))))-IF(CC389="False",MIN(IFERROR(MAX(MROUND(LOG10(_xlfn.XLOOKUP(B389,'Base stats'!B:B,'Base stats'!C:C)^(2/3))*10,5),5),5),30))-_xlfn.XLOOKUP(B389,'Base stats'!B:B,'Base stats'!P:P)+IF(CC389="True",5,0)</f>
        <v>-35</v>
      </c>
      <c r="M389" s="2">
        <f>IF(OR(_xlfn.XLOOKUP(_xlfn.XLOOKUP(B389,'Base stats'!B:B,'Base stats'!E:E),Groups!A:A,Groups!G:G)=2,ISNUMBER(SEARCH("Desert",BX389)),ISNUMBER(SEARCH("ExtremeDesert",BX389)),ISNUMBER(SEARCH("LavaField",BX389))),50,IF(ISNUMBER(SEARCH("Grasslands",BX389)),45,IF(OR(_xlfn.XLOOKUP(_xlfn.XLOOKUP(B389,'Base stats'!B:B,'Base stats'!E:E),Groups!A:A,Groups!G:G)=1,ISNUMBER(SEARCH("TropicalRainforest",BX389)),ISNUMBER(SEARCH("TropicalSwamp",BX389))),40,IF(OR(ISNUMBER(SEARCH("TemperateForest",BX389)),ISNUMBER(SEARCH("TemperateSwamp",BX389))),35,IF(OR(ISNUMBER(SEARCH("Alpine",BX389)),ISNUMBER(SEARCH("BorealForest",BX389)),ISNUMBER(SEARCH("ColdBog",BX389))),30,IF(ISNUMBER(OR(ISNUMBER(SEARCH("GlacialPlain",BX389)),SEARCH("Tundra",BX389))),25,IF(OR(ISNUMBER(SEARCH("SeaIce",BX389)),ISNUMBER(SEARCH("IceSheet",BX389)),ISNUMBER(SEARCH("TropicalSwamp",BX389))),10,35)))))))+_xlfn.XLOOKUP(B389,'Base stats'!B:B,'Base stats'!Q:Q)</f>
        <v>35</v>
      </c>
      <c r="N389" s="8" t="str">
        <f>IF(
_xlfn.XLOOKUP(
_xlfn.XLOOKUP(B389,'Base stats'!B:B,'Base stats'!E:E),
Groups!A:A,
Groups!L:L
)=1,
MIN(
MROUND(
IF(
_xlfn.XLOOKUP(B389,'Animals CE'!B:B,'Animals CE'!Z:Z)&lt;=1.5,
_xlfn.XLOOKUP(B389,'Animals CE'!B:B,'Animals CE'!Z:Z)/2+0.05,
0.8+
(_xlfn.XLOOKUP(B389,'Animals CE'!B:B,'Animals CE'!Z:Z)-1.5)
*0.02
),
0.05
),
200%
),
"No"
)</f>
        <v>No</v>
      </c>
      <c r="O389" s="8" t="str">
        <f>IF(
_xlfn.XLOOKUP(
_xlfn.XLOOKUP(B389,'Base stats'!B:B,'Base stats'!E:E),
Groups!A:A,
Groups!L:L
)=1,
MIN(
MROUND(
IF(
_xlfn.XLOOKUP(B389,'Animals CE'!B:B,'Animals CE'!AA:AA)&lt;=1.5,
_xlfn.XLOOKUP(B389,'Animals CE'!B:B,'Animals CE'!AA:AA)/2+0.05,
0.8+
(_xlfn.XLOOKUP(B389,'Animals CE'!B:B,'Animals CE'!AA:AA)-1.5)
*0.02
),
0.05
),
200%
),
"No"
)</f>
        <v>No</v>
      </c>
      <c r="P389" s="2" t="str">
        <f>_xlfn.XLOOKUP(B389,'Base stats'!B:B,'Base stats'!R:R)</f>
        <v>Standard</v>
      </c>
      <c r="Q389" s="13">
        <f>MROUND((LOG10(_xlfn.XLOOKUP(B389,'Base stats'!B:B,'Base stats'!AR:AR))*(AO389^0.5)+(_xlfn.XLOOKUP(B389,'Base stats'!B:B,'Base stats'!AR:AR)/1000)^(2/3)+_xlfn.XLOOKUP(B389,'Base stats'!B:B,'Base stats'!BA:BA)/2)+0.5,0.5)</f>
        <v>16</v>
      </c>
      <c r="R389" s="7">
        <f>IF(Q389="No","No",MAX(1,MROUND(_xlfn.XLOOKUP(B389,'Base stats'!B:B,'Base stats'!C:C)^0.165,0.05)))</f>
        <v>2.8000000000000003</v>
      </c>
      <c r="S389" s="13">
        <f>IF(_xlfn.XLOOKUP(_xlfn.XLOOKUP(B389,'Base stats'!B:B,'Base stats'!E:E),Groups!A:A,Groups!P:P)=0,"No",MROUND((LOG10(_xlfn.XLOOKUP(B389,'Base stats'!B:B,'Base stats'!AS:AS))*(AO389^0.5)+(_xlfn.XLOOKUP(B389,'Base stats'!B:B,'Base stats'!AS:AS)/1000)^(2/3)+_xlfn.XLOOKUP(B389,'Base stats'!B:B,'Base stats'!BA:BA))+_xlfn.XLOOKUP(B389,'Base stats'!B:B,'Base stats'!AY:AY)+0.5,0.5))</f>
        <v>20</v>
      </c>
      <c r="T389" s="7">
        <f>IF(S389="No","No",MAX(_xlfn.XLOOKUP(_xlfn.XLOOKUP(B389,'Base stats'!B:B,'Base stats'!E:E),Groups!A:A,Groups!Q:Q),MROUND(_xlfn.XLOOKUP(_xlfn.XLOOKUP(B389,'Base stats'!B:B,'Base stats'!E:E),Groups!A:A,Groups!Q:Q)*_xlfn.XLOOKUP(B389,'Base stats'!B:B,'Base stats'!C:C)^0.165,0.05)))</f>
        <v>2.8000000000000003</v>
      </c>
      <c r="U389" s="7" t="str">
        <f>IF(S389="No","No",_xlfn.XLOOKUP(_xlfn.XLOOKUP(B389,'Base stats'!B:B,'Base stats'!E:E),Groups!A:A,Groups!R:R))</f>
        <v>FrontLeftLeg, FrontRightLeg</v>
      </c>
      <c r="V389" s="7" t="str">
        <f>IF(S389="No","No",_xlfn.XLOOKUP(_xlfn.XLOOKUP(B389,'Base stats'!B:B,'Base stats'!E:E),Groups!A:A,Groups!S:S))</f>
        <v>left hoof, right hoof</v>
      </c>
      <c r="W389" s="7" t="str">
        <f>IF(S389="No","No",_xlfn.XLOOKUP(_xlfn.XLOOKUP(B389,'Base stats'!B:B,'Base stats'!E:E),Groups!A:A,Groups!T:T))</f>
        <v>Blunt</v>
      </c>
      <c r="X389" s="13">
        <f>IF(_xlfn.XLOOKUP(B389,'Base stats'!B:B,'Base stats'!W:W)="No","No",MROUND((LOG10(_xlfn.XLOOKUP(B389,'Base stats'!B:B,'Base stats'!AU:AU))*(AO389^0.5)+(_xlfn.XLOOKUP(B389,'Base stats'!B:B,'Base stats'!AU:AU)/1000)^(2/3)+_xlfn.XLOOKUP(B389,'Base stats'!B:B,'Base stats'!AZ:AZ))+0.5+IF(_xlfn.XLOOKUP(_xlfn.XLOOKUP(B389,'Base stats'!B:B,'Base stats'!E:E),Groups!A:A,Groups!U:U)&lt;&gt;3,_xlfn.XLOOKUP(B389,'Base stats'!B:B,'Base stats'!BA:BA),0),0.5))</f>
        <v>25.5</v>
      </c>
      <c r="Y389" s="7">
        <f>IF(X389="No","No",MAX(_xlfn.XLOOKUP(_xlfn.XLOOKUP(B389,'Base stats'!B:B,'Base stats'!E:E),Groups!A:A,Groups!V:V),MROUND(_xlfn.XLOOKUP(_xlfn.XLOOKUP(B389,'Base stats'!B:B,'Base stats'!E:E),Groups!A:A,Groups!V:V)*_xlfn.XLOOKUP(B389,'Base stats'!B:B,'Base stats'!C:C)^0.165,0.05)))</f>
        <v>2.4000000000000004</v>
      </c>
      <c r="Z389" s="7" t="str">
        <f>IF(X389="No","No",_xlfn.XLOOKUP(_xlfn.XLOOKUP(B389,'Base stats'!B:B,'Base stats'!E:E),Groups!A:A,Groups!W:W))</f>
        <v>HeadAttackTool</v>
      </c>
      <c r="AA389" s="7" t="str">
        <f>IF(X389="No","No",_xlfn.XLOOKUP(_xlfn.XLOOKUP(B389,'Base stats'!B:B,'Base stats'!E:E),Groups!A:A,Groups!X:X))</f>
        <v>antler</v>
      </c>
      <c r="AB389" s="7" t="str">
        <f>IF(X389="No","No",_xlfn.XLOOKUP(_xlfn.XLOOKUP(B389,'Base stats'!B:B,'Base stats'!E:E),Groups!A:A,Groups!Y:Y))</f>
        <v>Scratch</v>
      </c>
      <c r="AC389" s="7" t="str">
        <f>_xlfn.XLOOKUP(Animals!B389,'Base stats'!B:B,'Base stats'!X:X)</f>
        <v>False</v>
      </c>
      <c r="AD389" s="13" t="str">
        <f>IF(_xlfn.XLOOKUP(B389,'Base stats'!B:B,'Base stats'!AT:AT)="No","No",MROUND((LOG10(_xlfn.XLOOKUP(B389,'Base stats'!B:B,'Base stats'!AT:AT))*(AO389^0.75)+(_xlfn.XLOOKUP(B389,'Base stats'!B:B,'Base stats'!AT:AT)/1000)^(2/3)+_xlfn.XLOOKUP(B389,'Base stats'!B:B,'Base stats'!AX:AX)+_xlfn.XLOOKUP(B389,'Base stats'!B:B,'Base stats'!BA:BA))+0.5,0.5))</f>
        <v>No</v>
      </c>
      <c r="AE389" s="7" t="str">
        <f>IF(AD389="No","No",MAX(_xlfn.XLOOKUP(_xlfn.XLOOKUP(B389,'Base stats'!B:B,'Base stats'!E:E),Groups!A:A,Groups!Z:Z),MROUND(_xlfn.XLOOKUP(_xlfn.XLOOKUP(B389,'Base stats'!B:B,'Base stats'!E:E),Groups!A:A,Groups!Z:Z)*_xlfn.XLOOKUP(B389,'Base stats'!B:B,'Base stats'!C:C)^0.165,0.05)))</f>
        <v>No</v>
      </c>
      <c r="AF389" s="7" t="str">
        <f>IF(AD389="No","No",_xlfn.XLOOKUP(_xlfn.XLOOKUP(B389,'Base stats'!B:B,'Base stats'!E:E),Groups!A:A,Groups!AA:AA))</f>
        <v>No</v>
      </c>
      <c r="AG389" s="7" t="str">
        <f>IF(AD389="No","No",_xlfn.XLOOKUP(_xlfn.XLOOKUP(B389,'Base stats'!B:B,'Base stats'!E:E),Groups!A:A,Groups!AB:AB))</f>
        <v>No</v>
      </c>
      <c r="AH389" s="7" t="str">
        <f>IF(AD389="No","No",_xlfn.XLOOKUP(_xlfn.XLOOKUP(B389,'Base stats'!B:B,'Base stats'!E:E),Groups!A:A,Groups!AC:AC))</f>
        <v>No</v>
      </c>
      <c r="AI389" s="13" t="str">
        <f>IF(_xlfn.XLOOKUP(_xlfn.XLOOKUP(B389,'Base stats'!B:B,'Base stats'!E:E),Groups!A:A,Groups!AD:AD)=0,"No",MROUND((LOG10(_xlfn.XLOOKUP(B389,'Base stats'!B:B,'Base stats'!AS:AS))*(AO389^0.75)+(_xlfn.XLOOKUP(B389,'Base stats'!B:B,'Base stats'!AS:AS)/1000)^(2/3)+_xlfn.XLOOKUP(B389,'Base stats'!B:B,'Base stats'!AY:AY)+_xlfn.XLOOKUP(B389,'Base stats'!B:B,'Base stats'!BA:BA))+0.5,0.5))</f>
        <v>No</v>
      </c>
      <c r="AJ389" s="7" t="str">
        <f>IF(AI389="No","No",MAX(_xlfn.XLOOKUP(_xlfn.XLOOKUP(B389,'Base stats'!B:B,'Base stats'!E:E),Groups!A:A,Groups!AE:AE),MROUND(_xlfn.XLOOKUP(_xlfn.XLOOKUP(B389,'Base stats'!B:B,'Base stats'!E:E),Groups!A:A,Groups!AE:AE)*IF(_xlfn.XLOOKUP(_xlfn.XLOOKUP(B389,'Base stats'!B:B,'Base stats'!E:E),Groups!A:A,Groups!AJ:AJ)="Photonozoa",0.6,1)*_xlfn.XLOOKUP(B389,'Base stats'!B:B,'Base stats'!C:C)^0.165,0.05)))</f>
        <v>No</v>
      </c>
      <c r="AK389" s="7" t="str">
        <f>IF(AI389="No","No",_xlfn.XLOOKUP(_xlfn.XLOOKUP(B389,'Base stats'!B:B,'Base stats'!E:E),Groups!A:A,Groups!AF:AF))</f>
        <v>No</v>
      </c>
      <c r="AL389" s="7" t="str">
        <f>IF(AI389="No","No",_xlfn.XLOOKUP(_xlfn.XLOOKUP(B389,'Base stats'!B:B,'Base stats'!E:E),Groups!A:A,Groups!AG:AG))</f>
        <v>No</v>
      </c>
      <c r="AM389" s="7" t="str">
        <f>IF(AI389="No","No",_xlfn.XLOOKUP(_xlfn.XLOOKUP(B389,'Base stats'!B:B,'Base stats'!E:E),Groups!A:A,Groups!AH:AH))</f>
        <v>No</v>
      </c>
      <c r="AN389" s="2" t="str">
        <f t="shared" si="49"/>
        <v>No</v>
      </c>
      <c r="AO389" s="2">
        <f>MROUND(IF(AND(_xlfn.XLOOKUP(B389,'Base stats'!B:B,'Base stats'!C:C)&gt;=0.5,_xlfn.XLOOKUP(B389,'Base stats'!B:B,'Base stats'!C:C)&lt;=0.8),
IF(_xlfn.XLOOKUP(B389,'Base stats'!B:B,'Base stats'!C:C)&lt;0.1,0.05,IF(_xlfn.XLOOKUP(B389,'Base stats'!B:B,'Base stats'!C:C)&lt;=70,(_xlfn.XLOOKUP(B389,'Base stats'!B:B,'Base stats'!C:C)/70)^0.426489913056526,IF(_xlfn.XLOOKUP(B389,'Base stats'!B:B,'Base stats'!C:C)&lt;=400,(_xlfn.XLOOKUP(B389,'Base stats'!B:B,'Base stats'!C:C)/70)^0.572811455315093,IF(_xlfn.XLOOKUP(B389,'Base stats'!B:B,'Base stats'!C:C)&lt;=2000,2.71391647193063*(_xlfn.XLOOKUP(B389,'Base stats'!B:B,'Base stats'!C:C)/400)^0.252459582904293,3.74314280240376*(_xlfn.XLOOKUP(B389,'Base stats'!B:B,'Base stats'!C:C)/2000)^0.357012633876913)))),
IF(_xlfn.XLOOKUP(B389,'Base stats'!B:B,'Base stats'!C:C)&lt;0.1,0.05,IF(_xlfn.XLOOKUP(B389,'Base stats'!B:B,'Base stats'!C:C)&lt;0.4,0.1,IF(_xlfn.XLOOKUP(B389,'Base stats'!B:B,'Base stats'!C:C)&lt;=70,(_xlfn.XLOOKUP(B389,'Base stats'!B:B,'Base stats'!C:C)/70)^0.445823913056526,IF(_xlfn.XLOOKUP(B389,'Base stats'!B:B,'Base stats'!C:C)&lt;=400,(_xlfn.XLOOKUP(B389,'Base stats'!B:B,'Base stats'!C:C)/70)^0.572811455315093,IF(_xlfn.XLOOKUP(B389,'Base stats'!B:B,'Base stats'!C:C)&lt;=2000,2.71391647193063*(_xlfn.XLOOKUP(B389,'Base stats'!B:B,'Base stats'!C:C)/400)^0.252459582904293,3.74314280240376*(_xlfn.XLOOKUP(B389,'Base stats'!B:B,'Base stats'!C:C)/2000)^0.357012633876913)))))),
IF(_xlfn.XLOOKUP(B389,'Base stats'!B:B,'Base stats'!C:C)&lt;0.1,0.05,IF(_xlfn.XLOOKUP(B389,'Base stats'!B:B,'Base stats'!C:C)&lt;=100,0.05,IF(_xlfn.XLOOKUP(B389,'Base stats'!B:B,'Base stats'!C:C)&lt;=250,0.1,IF(_xlfn.XLOOKUP(B389,'Base stats'!B:B,'Base stats'!C:C)&lt;=4000,0.25,0.5)))))</f>
        <v>3</v>
      </c>
      <c r="AP389" s="8">
        <f>MROUND(AO389*_xlfn.XLOOKUP(_xlfn.XLOOKUP(B389,'Base stats'!B:B,'Base stats'!E:E),Groups!A:A,Groups!AI:AI)*_xlfn.XLOOKUP(B389,'Base stats'!B:B,'Base stats'!Z:Z),0.05)</f>
        <v>3</v>
      </c>
      <c r="AQ389" s="8">
        <f>MAX(0.01,MROUND(IF(CC389="True",0.196*(AO389*100*1000)^0.889,IF(_xlfn.XLOOKUP(_xlfn.XLOOKUP(B389,'Base stats'!B:B,'Base stats'!E:E),Groups!A:A,Groups!AJ:AJ)="Bird",10.5*(AO389*100*1000)^0.681,4.82*(AO389*100*1000)^0.734))/(4.82*(1*100*1000)^0.734)/IF(AO389&lt;3.5,2,IF(AO389=3.5,1.5,1.25))*(1+0.132282374779864/(AO389^0.994035016789033+0.00905238001496948)),0.05))</f>
        <v>1.1500000000000001</v>
      </c>
      <c r="AR389" s="9">
        <f>IFERROR(MROUND(_xlfn.XLOOKUP(B389,'Base stats'!B:B,'Base stats'!H:H)/IF(_xlfn.XLOOKUP(B389,'Base stats'!B:B,'Base stats'!I:I)&lt;&gt;1,(122.5/70),1.2),IF(_xlfn.XLOOKUP(B389,'Base stats'!B:B,'Base stats'!H:H)&gt;=30,5,IF(_xlfn.XLOOKUP(B389,'Base stats'!B:B,'Base stats'!H:H)&gt;=15,3,IF(_xlfn.XLOOKUP(B389,'Base stats'!B:B,'Base stats'!H:H)&gt;=10,2,1)))),"Immortal")</f>
        <v>15</v>
      </c>
      <c r="AS389" s="35">
        <f>IFERROR(IF(OR(_xlfn.XLOOKUP(B389,'Base stats'!B:B,'Base stats'!F:F)="Atypical reproduction",_xlfn.XLOOKUP(B389,'Base stats'!B:B,'Base stats'!F:F)="Lay eggs"),"Lay eggs",MIN(20,MAX(5.5,ROUND(((_xlfn.XLOOKUP(B389,'Base stats'!B:B,'Base stats'!F:F)-25)*(14.5/615) + 5.5)*2,0)/2))),"Unknown")</f>
        <v>11</v>
      </c>
      <c r="AT389" s="8">
        <f>IF(_xlfn.XLOOKUP(B389,'Base stats'!B:B,'Base stats'!G:G)="Atypical reproduction","No",IFERROR(MAX(IF(_xlfn.XLOOKUP(B389,'Base stats'!B:B,'Base stats'!G:G)&lt;0.5,0.2,0.3),MROUND(_xlfn.XLOOKUP(B389,'Base stats'!B:B,'Base stats'!G:G)/(365/60),0.2)),"Unknown"))</f>
        <v>0.4</v>
      </c>
      <c r="AU389" s="8">
        <f t="shared" si="50"/>
        <v>0.2</v>
      </c>
      <c r="AV389" s="8">
        <f>IFERROR(IFERROR(MROUND(_xlfn.XLOOKUP(B389,'Base stats'!B:B,'Base stats'!J:J),0.1),"Lay eggs"),"Cannot breed")</f>
        <v>1</v>
      </c>
      <c r="AW389" s="2" t="str">
        <f t="shared" si="51"/>
        <v>true</v>
      </c>
      <c r="AX389" s="2" t="str">
        <f>IF(_xlfn.XLOOKUP(_xlfn.XLOOKUP(Animals!B389,'Base stats'!B:B,'Base stats'!E:E),Groups!A:A,Groups!AK:AK)=1,"true","false")</f>
        <v>true</v>
      </c>
      <c r="AY389" s="25" t="str">
        <f>IF(_xlfn.XLOOKUP(B389,'Base stats'!B:B,'Base stats'!Y:Y)="Liquor","Liquor, CarnivoreAnimalStrict",IF(AND(_xlfn.XLOOKUP(B389,'Base stats'!B:B,'Base stats'!Y:Y)="Carnivore",_xlfn.XLOOKUP(_xlfn.XLOOKUP(B389,'Base stats'!B:B,'Base stats'!E:E),Groups!A:A,Groups!AJ:AJ)="Photonozoa"),"CarnivoreAnimalStrict, OvivoreAnimal",IF(_xlfn.XLOOKUP(B389,'Base stats'!B:B,'Base stats'!Y:Y)="Carnivore","CarnivoreAnimal, OvivoreAnimal",IF(_xlfn.XLOOKUP(B389,'Base stats'!B:B,'Base stats'!Y:Y)="Dendrovore","VegetarianRoughAnimal, DendrovoreAnimal",IF(_xlfn.XLOOKUP(B389,'Base stats'!B:B,'Base stats'!Y:Y)="Herbivore","VegetarianRoughAnimal",IF(_xlfn.XLOOKUP(B389,'Base stats'!B:B,'Base stats'!Y:Y)="OmnivoreRough","OmnivoreRoughAnimal, OvivoreAnimal","OmnivoreAnimal, OvivoreAnimal"))))))</f>
        <v>VegetarianRoughAnimal</v>
      </c>
      <c r="AZ389" s="2">
        <f>IF(_xlfn.XLOOKUP(_xlfn.XLOOKUP(B389,'Base stats'!B:B,'Base stats'!E:E),Groups!A:A,Groups!D:D)=1,MROUND((1-J389)*5+1,2)*IF(J389&lt;=0.4,2,1),"No")</f>
        <v>2</v>
      </c>
      <c r="BA389" s="2" t="str">
        <f>IF(AND(_xlfn.XLOOKUP(B389,'Base stats'!B:B,'Base stats'!AH:AH)="&lt;li&gt;Seal&lt;/li&gt;",G389="Odyssey"),"&lt;li&gt;AEXP_Seal&lt;/li&gt;",_xlfn.XLOOKUP(B389,'Base stats'!B:B,'Base stats'!AH:AH))</f>
        <v>&lt;li&gt;Deer&lt;/li&gt;</v>
      </c>
      <c r="BB389" s="2" t="str">
        <f>_xlfn.XLOOKUP(B389,'Base stats'!B:B,'Base stats'!AG:AG)</f>
        <v>Leather_Plain</v>
      </c>
      <c r="BC389" s="23" t="str">
        <f>_xlfn.XLOOKUP(_xlfn.XLOOKUP(B389,'Base stats'!B:B,'Base stats'!E:E),Groups!A:A,Groups!AL:AL)</f>
        <v>QuadrupedAnimalWithHooves</v>
      </c>
      <c r="BD389" s="23">
        <f>MIN(1,MROUND(IF(AND(AO389&lt;0.5,_xlfn.XLOOKUP(B389,'Base stats'!B:B,'Base stats'!AA:AA)=0),0,IF(OR(_xlfn.XLOOKUP(Animals!B389,'Base stats'!B:B,'Base stats'!O:O)=2,_xlfn.XLOOKUP(_xlfn.XLOOKUP(B389,'Base stats'!B:B,'Base stats'!E:E),Groups!A:A,Groups!AN:AN)=0),0,_xlfn.XLOOKUP(_xlfn.XLOOKUP(B389,'Base stats'!B:B,'Base stats'!E:E),Groups!A:A,Groups!AN:AN)/IF(_xlfn.XLOOKUP(Animals!B389,'Base stats'!B:B,'Base stats'!O:O)=1,2,1)))+_xlfn.XLOOKUP(B389,'Base stats'!B:B,'Base stats'!AC:AC),0.005))</f>
        <v>0</v>
      </c>
      <c r="BE389" s="23">
        <f>MIN(1,MROUND(IF(AND(AO389&lt;0.5,_xlfn.XLOOKUP(B389,'Base stats'!B:B,'Base stats'!AA:AA)=0),0,IF(_xlfn.XLOOKUP(_xlfn.XLOOKUP(B389,'Base stats'!B:B,'Base stats'!E:E),Groups!A:A,Groups!AO:AO)=0,0,_xlfn.XLOOKUP(_xlfn.XLOOKUP(B389,'Base stats'!B:B,'Base stats'!E:E),Groups!A:A,Groups!AO:AO)/IF(_xlfn.XLOOKUP(Animals!B389,'Base stats'!B:B,'Base stats'!O:O)=2,3,1)))+_xlfn.XLOOKUP(B389,'Base stats'!B:B,'Base stats'!AD:AD),0.005))</f>
        <v>0</v>
      </c>
      <c r="BF389" s="2" t="str">
        <f>IF(J389&gt;0.3,"No",_xlfn.XLOOKUP(_xlfn.XLOOKUP(Animals!B389,'Base stats'!B:B,'Base stats'!E:E),Groups!A:A,Groups!AP:AP))</f>
        <v>No</v>
      </c>
      <c r="BG389" s="2" t="str">
        <f>IF(AND(J389&lt;=0.65,_xlfn.XLOOKUP(_xlfn.XLOOKUP(Animals!B389,'Base stats'!B:B,'Base stats'!E:E),Groups!A:A,Groups!AP:AP)&lt;&gt;"No",_xlfn.XLOOKUP(_xlfn.XLOOKUP(B389,'Base stats'!B:B,'Base stats'!E:E),Groups!A:A,Groups!D:D)=0),MROUND((80/3)*IF(_xlfn.XLOOKUP(B389,'Base stats'!B:B,'Base stats'!O:O)=2,0.2,AO389) + 24*(1-IF(BF389="No",0,BF389)) + 16/3, 12),"No")</f>
        <v>No</v>
      </c>
      <c r="BH389" s="2">
        <f>IF(AND(_xlfn.XLOOKUP(_xlfn.XLOOKUP(B389,'Base stats'!B:B,'Base stats'!E:E),Groups!A:A,Groups!AQ:AQ)=1,AO389&lt;=0.35),8,12)</f>
        <v>12</v>
      </c>
      <c r="BI389" s="2" t="str">
        <f>IF(_xlfn.XLOOKUP(_xlfn.XLOOKUP(B389,'Base stats'!B:B,'Base stats'!E:E),Groups!A:A,Groups!D:D)=0,_xlfn.XLOOKUP(_xlfn.XLOOKUP(B389,'Base stats'!B:B,'Base stats'!E:E),Groups!A:A,Groups!AR:AR),"None")</f>
        <v>None</v>
      </c>
      <c r="BJ389" s="2" t="str">
        <f>IF(AND(_xlfn.XLOOKUP(_xlfn.XLOOKUP(B389,'Base stats'!B:B,'Base stats'!E:E),Groups!A:A,Groups!AS:AS)=1,OR(_xlfn.XLOOKUP(B389,'Base stats'!B:B,'Base stats'!Y:Y)="Carnivore",_xlfn.XLOOKUP(B389,'Base stats'!B:B,'Base stats'!Y:Y)="Omnivore")),"true","false")</f>
        <v>false</v>
      </c>
      <c r="BK389" s="2" t="str">
        <f>IF(BJ389="true",MROUND(IF(AND(AO389&gt;0.5,OR(_xlfn.XLOOKUP(_xlfn.XLOOKUP(B389,'Base stats'!B:B,'Base stats'!E:E),Groups!A:A,Groups!AJ:AJ)="Photonozoa",_xlfn.XLOOKUP(_xlfn.XLOOKUP(B389,'Base stats'!B:B,'Base stats'!E:E),Groups!A:A,Groups!AJ:AJ)="Mammal")),Animals!AO389*1.75*IF(AW389="true",1.5,1),IF(AO389&lt;0.5,Animals!AO389*0.5,Animals!AO389)),IF(AO389&gt;2,0.5,IF(AO389&gt;0.5,0.25,0.1))),"No")</f>
        <v>No</v>
      </c>
      <c r="BL389" s="2">
        <f t="shared" si="52"/>
        <v>0</v>
      </c>
      <c r="BM389" s="25" t="str">
        <f>IF(_xlfn.XLOOKUP(B389,'Base stats'!B:B,'Base stats'!AN:AN)="Standard","No",MROUND((_xlfn.XLOOKUP(B389,'Base stats'!B:B,'Base stats'!AN:AN)/3.6)/I389,0.1))</f>
        <v>No</v>
      </c>
      <c r="BN389" s="25" t="str">
        <f t="shared" si="53"/>
        <v>false</v>
      </c>
      <c r="BO389" s="25" t="str">
        <f>IF(AND(OR(_xlfn.XLOOKUP(B389,'Base stats'!B:B,'Base stats'!Y:Y)="Carnivore",_xlfn.XLOOKUP(B389,'Base stats'!B:B,'Base stats'!Y:Y)="Omnivore",_xlfn.XLOOKUP(B389,'Base stats'!B:B,'Base stats'!Y:Y)="OmnivoreRough"),_xlfn.XLOOKUP(_xlfn.XLOOKUP(B389,'Base stats'!B:B,'Base stats'!E:E),Groups!A:A,Groups!AT:AT)=1),"true","false")</f>
        <v>false</v>
      </c>
      <c r="BP389" s="25" t="str" cm="1">
        <f t="array" ref="BP389">IF(
  _xlfn.TEXTJOIN(", ",TRUE,
    IF(AND(BJ389="true",AO389&gt;0.5,BI389&lt;&gt;"None"),"AttackTarget",""),
    IF(AND(_xlfn.XLOOKUP(_xlfn.XLOOKUP(B389,'Base stats'!B:B,'Base stats'!E:E),Groups!A:A,Groups!AJ:AJ="Mammal"),OR(_xlfn.XLOOKUP(B389,'Base stats'!B:B,'Base stats'!Y:Y)="Omnivore",_xlfn.XLOOKUP(B389,'Base stats'!B:B,'Base stats'!Y:Y)="OmnivoreRough")),"Forage",""),
    IF(BG389&lt;=36,"Comfort",""),
    IF(_xlfn.XLOOKUP(B389,'Base stats'!B:B,'Base stats'!AE:AE)&lt;&gt;"No",_xlfn.XLOOKUP(B389,'Base stats'!B:B,'Base stats'!AE:AE),"")
  ) = "",
  "No",
  _xlfn.TEXTJOIN(", ",TRUE,
    IF(AND(BJ389="true",AO389&gt;0.5,BI389&lt;&gt;"None"),"AttackTarget",""),
    IF(AND(_xlfn.XLOOKUP(_xlfn.XLOOKUP(B389,'Base stats'!B:B,'Base stats'!E:E),Groups!A:A,Groups!AJ:AJ="Mammal"),OR(_xlfn.XLOOKUP(B389,'Base stats'!B:B,'Base stats'!Y:Y)="Omnivore",_xlfn.XLOOKUP(B389,'Base stats'!B:B,'Base stats'!Y:Y)="OmnivoreRough")),"Forage",""),
    IF(BG389&lt;=36,"Comfort",""),
    IF(_xlfn.XLOOKUP(B389,'Base stats'!B:B,'Base stats'!AE:AE)&lt;&gt;"No",_xlfn.XLOOKUP(B389,'Base stats'!B:B,'Base stats'!AE:AE),"")
  )
)</f>
        <v>No</v>
      </c>
      <c r="BQ389" s="25" t="str">
        <f>IF(
   AND(
      'Base stats'!AN389="Standard",_xlfn.XLOOKUP(_xlfn.XLOOKUP(B389,'Base stats'!B:B,'Base stats'!E:E),Groups!A:A,Groups!AU:AU)=0,
      OR(
      BO389="True"
      )
   ),
   10,
   IF(
       OR(BM389&lt;&gt;"No",_xlfn.XLOOKUP(_xlfn.XLOOKUP(B389,'Base stats'!B:B,'Base stats'!E:E),Groups!A:A,Groups!AU:AU)=1),
      1,
      "No"
   )
)</f>
        <v>No</v>
      </c>
      <c r="BR389" s="9">
        <f>MROUND((1 + ((0.2*IF(OR(Q389="No",R389="No",R389=0),0,Q389/R389)
+IF(OR(V389="No",S389="No",T389="No"),0,S389/T389*(LEN(V389)-LEN(SUBSTITUTE(V389,",",""))+1))
+IF(OR(X389="No",Y389="No"),0,X389/Y389)
+IF(OR(AD389="No",AE389="No"),0,AD389/AE389)
+IF(OR(AL389="No",AI389="No",AJ389="No"),0,AI389/AJ389*(LEN(AL389)-LEN(SUBSTITUTE(AL389,",",""))+1))
)/(0.2*IF(OR(Q389="No",R389="No",R389=0),0,1)
+IF(OR(V389="No",S389="No",T389="No"),0,LEN(V389)-LEN(SUBSTITUTE(V389,",",""))+1)
+IF(OR(X389="No",Y389="No"),0,1)
+IF(OR(AD389="No",AE389="No"),0,1)
+IF(OR(AL389="No",AI389="No",AJ389="No"),0,LEN(AL389)-LEN(SUBSTITUTE(AL389,",",""))+1))*62%)* 2)*(1 + (AP389 / (IF(_xlfn.XLOOKUP(_xlfn.XLOOKUP(B389,'Base stats'!B:B,'Base stats'!E:E),Groups!A:A,Groups!AJ:AJ)="Photonozoa",0.3,1)) + _xlfn.XLOOKUP(B389,'Base stats'!B:B,'Base stats'!AV:AV) * 1.8) * 2) * 2.5 + 10 + I389 * 2,5)+IF(_xlfn.XLOOKUP(B389,'Base stats'!B:B,'Base stats'!AK:AK)=1,50,0)</f>
        <v>225</v>
      </c>
      <c r="BS389" s="8">
        <f t="shared" si="54"/>
        <v>1.5</v>
      </c>
      <c r="BT389" s="8" t="str">
        <f>_xlfn.XLOOKUP(B389,'Base stats'!B:B,'Base stats'!AF:AF)</f>
        <v>3~10</v>
      </c>
      <c r="BU389" s="2" t="str">
        <f>IF(AND(J389&lt;=0.95,OR(_xlfn.XLOOKUP(B389,'Base stats'!B:B,'Base stats'!AK:AK)=1,_xlfn.XLOOKUP(B389,'Base stats'!B:B,'Base stats'!Y:Y)="Carnivore",_xlfn.XLOOKUP(B389,'Base stats'!B:B,'Base stats'!Y:Y)="Omnivore",BE389&gt;0.1)),"true","false")</f>
        <v>false</v>
      </c>
      <c r="BV389" s="2" t="str">
        <f>IF(_xlfn.XLOOKUP(B389,'Base stats'!B:B,'Base stats'!AI:AI)=1,"true","false")</f>
        <v>true</v>
      </c>
      <c r="BW389" s="25" t="str">
        <f>IF(E389="BaseInsect","AnimalInsect",
IF(J389&gt;0.95,"AnimalExotic",
_xlfn.TEXTJOIN(", ",TRUE,
IF(OR(_xlfn.XLOOKUP(B389,'Base stats'!B:B,'Base stats'!AM:AM)=1,AND(_xlfn.XLOOKUP(B389,'Base stats'!B:B,'Base stats'!O:O)=0,_xlfn.XLOOKUP(_xlfn.XLOOKUP(B389,'Base stats'!B:B,'Base stats'!E:E),Groups!A:A,Groups!B:B)&gt;0)),"AnimalUncommon","AnimalCommon"),
IF(AND(_xlfn.XLOOKUP(B389,'Base stats'!B:B,'Base stats'!O:O)=2,_xlfn.XLOOKUP(_xlfn.XLOOKUP(B389,'Base stats'!B:B,'Base stats'!E:E),Groups!A:A,Groups!D:D)=0),"AnimalPet",IF(AND(_xlfn.XLOOKUP(B389,'Base stats'!B:B,'Base stats'!O:O)&lt;&gt;0,_xlfn.XLOOKUP(_xlfn.XLOOKUP(B389,'Base stats'!B:B,'Base stats'!E:E),Groups!A:A,Groups!D:D)&lt;&gt;0),"AnimalFarm","")),
IF(OR(_xlfn.XLOOKUP(B389,'Base stats'!B:B,'Base stats'!AK:AK)=1,AND(BI389&lt;&gt;"None",BR389&gt;=60),ISNUMBER(SEARCH("Attack target",BP389))),"AnimalFighter","")
)))</f>
        <v>AnimalCommon</v>
      </c>
      <c r="BX389" s="25" t="str">
        <f>IF(G389="None",TRIM(
SUBSTITUTE(
IF(COUNTIF(Biomes!B$2:B$259,"="&amp;$C389)&gt;0,Biomes!B$1&amp;", ","")&amp;
IF(COUNTIF(Biomes!C$2:C$259,"="&amp;$C389)&gt;0,Biomes!C$1&amp;", ","")&amp;
IF(COUNTIF(Biomes!D$2:D$259,"="&amp;$C389)&gt;0,Biomes!D$1&amp;", ","")&amp;
IF(COUNTIF(Biomes!F$2:F$259,"="&amp;$C389)&gt;0,Biomes!F$1&amp;", ","")&amp;
IF(COUNTIF(Biomes!G$2:G$259,"="&amp;$C389)&gt;0,Biomes!G$1&amp;", ","")&amp;
IF(COUNTIF(Biomes!H$2:H$259,"="&amp;$C389)&gt;0,Biomes!H$1&amp;", ","")&amp;
IF(COUNTIF(Biomes!I$2:I$259,"="&amp;$C389)&gt;0,Biomes!I$1&amp;", ","")&amp;
IF(COUNTIF(Biomes!J$2:J$259,"="&amp;$C389)&gt;0,Biomes!J$1&amp;", ","")&amp;
IF(COUNTIF(Biomes!M$2:M$259,"="&amp;$C389)&gt;0,Biomes!M$1&amp;", ","")&amp;
IF(COUNTIF(Biomes!N$2:N$259,"="&amp;$C389)&gt;0,Biomes!N$1&amp;", ","")&amp;
IF(COUNTIF(Biomes!O$2:O$259,"="&amp;$C389)&gt;0,Biomes!O$1&amp;", ","")&amp;
IF(COUNTIF(Biomes!P$2:P$259,"="&amp;$C389)&gt;0,Biomes!P$1&amp;", ","")&amp;
IF(COUNTIF(Biomes!K$2:K$259,"="&amp;$C389)&gt;0,Biomes!K$1&amp;", ","")&amp;
IF(COUNTIF(Biomes!Q$3:Q$259,"="&amp;$C389)&gt;0,Biomes!Q$1&amp;", ","")&amp;
IF(COUNTIF(Biomes!L$2:L$259,"="&amp;$C389)&gt;0,Biomes!L$1&amp;", ","")&amp;
IF(COUNTIF(Biomes!E$2:E$259,"="&amp;$C389)&gt;0,Biomes!E$1&amp;", ","")&amp;IF(COUNTIF(Biomes!S$2:S$259,"="&amp;$C389)&gt;0,Biomes!S$1&amp;", ","")&amp;
IF(COUNTIF(Biomes!R$2:R$259,"="&amp;$C389)&gt;0,Biomes!R$1&amp;", ",""),", ","")
),_xlfn.XLOOKUP(B389,B:B,BX:BX))</f>
        <v/>
      </c>
      <c r="BY389" s="25" t="str">
        <f>IF(_xlfn.XLOOKUP(B389,'Base stats'!B:B,'Base stats'!AJ:AJ)=1,"true","false")</f>
        <v>false</v>
      </c>
      <c r="BZ389" s="25">
        <f>IF(_xlfn.XLOOKUP(B389,'Base stats'!B:B,'Base stats'!N:N)=1,"No",MAX(0.001,MIN(MROUND(IF(AND(BJ389="True",CC389="False"),POWER(10,3.47*LOG10(_xlfn.XLOOKUP(B389,'Base stats'!B:B,'Base stats'!C:C)*1000)^-0.96),POWER(10,4.15*LOG10(_xlfn.XLOOKUP(B389,'Base stats'!B:B,'Base stats'!C:C)*1000)^-0.73))*IF(_xlfn.XLOOKUP(B389,'Base stats'!B:B,'Base stats'!AK:AK)=1,0.5,1)*IF(_xlfn.XLOOKUP(B389,'Base stats'!B:B,'Base stats'!AM:AM)=1,0.1,1)/100,IF(_xlfn.XLOOKUP(B389,'Base stats'!B:B,'Base stats'!AM:AM)=1,0.001,0.025)),0.5)))</f>
        <v>0.15000000000000002</v>
      </c>
      <c r="CA389" s="25" t="str">
        <f>IF(P389="Standard","No",MAX(0.001,MIN(MROUND(IF(AND(BJ389="True",CC389="False"),POWER(10,3.47*LOG10(_xlfn.XLOOKUP(B389,'Base stats'!B:B,'Base stats'!C:C)*1000)^-0.96),POWER(10,4.15*LOG10(_xlfn.XLOOKUP(B389,'Base stats'!B:B,'Base stats'!C:C)*1000)^-0.73))*IF(_xlfn.XLOOKUP(B389,'Base stats'!B:B,'Base stats'!AM:AM)=1,0.1,1)*_xlfn.XLOOKUP(B389,'Base stats'!B:B,'Base stats'!R:R)/100,IF(_xlfn.XLOOKUP(B389,'Base stats'!B:B,'Base stats'!AM:AM)=1,0.001,0.025)),0.5)))</f>
        <v>No</v>
      </c>
      <c r="CB389" s="25" t="str">
        <f>IF(_xlfn.XLOOKUP(_xlfn.XLOOKUP(B389,'Base stats'!B:B,'Base stats'!E:E),Groups!A:A,Groups!AJ:AJ)="Mammal","True","False")</f>
        <v>True</v>
      </c>
      <c r="CC389" s="25" t="str">
        <f>IF(OR(_xlfn.XLOOKUP(_xlfn.XLOOKUP(B389,'Base stats'!B:B,'Base stats'!E:E),Groups!A:A,Groups!AJ:AJ)="Reptile",_xlfn.XLOOKUP(_xlfn.XLOOKUP(B389,'Base stats'!B:B,'Base stats'!E:E),Groups!A:A,Groups!AJ:AJ)="Amphibian",_xlfn.XLOOKUP(_xlfn.XLOOKUP(B389,'Base stats'!B:B,'Base stats'!E:E),Groups!A:A,Groups!AJ:AJ)="Invertebrate"),"True","False")</f>
        <v>False</v>
      </c>
      <c r="CD389" s="25" t="str">
        <f t="shared" si="55"/>
        <v>False</v>
      </c>
      <c r="CE389" s="25" t="str">
        <f>IF(_xlfn.XLOOKUP(_xlfn.XLOOKUP(B389,'Base stats'!B:B,'Base stats'!E:E),Groups!A:A,Groups!AX:AX),"True","False")</f>
        <v>False</v>
      </c>
      <c r="CF389" s="25" t="str">
        <f>IF(_xlfn.XLOOKUP(_xlfn.XLOOKUP(B389,'Base stats'!B:B,'Base stats'!E:E),Groups!A:A,Groups!AY:AY),"True","False")</f>
        <v>False</v>
      </c>
      <c r="CG389" s="25" t="str">
        <f>IF(_xlfn.XLOOKUP(_xlfn.XLOOKUP(B389,'Base stats'!B:B,'Base stats'!E:E),Groups!A:A,Groups!AW:AW),"True","False")</f>
        <v>False</v>
      </c>
      <c r="CH389" s="25" t="str">
        <f>IF(
OR(
_xlfn.XLOOKUP(_xlfn.XLOOKUP(B389,'Base stats'!B:B,'Base stats'!E:E),Groups!A:A,Groups!AZ:AZ)=0,
AND(
_xlfn.XLOOKUP(B389,'Base stats'!B:B,'Base stats'!Y:Y)&lt;&gt;"Carnivore",
_xlfn.XLOOKUP(B389,'Base stats'!B:B,'Base stats'!Y:Y)&lt;&gt;"Omnivore",
_xlfn.XLOOKUP(B389,'Base stats'!B:B,'Base stats'!Y:Y)&lt;&gt;"OmnivoreRough"
)
),
"No",
IF(
_xlfn.XLOOKUP(_xlfn.XLOOKUP(B389,'Base stats'!B:B,'Base stats'!E:E),Groups!A:A,Groups!AZ:AZ)=1,
"Flesh",
IF(
_xlfn.XLOOKUP(_xlfn.XLOOKUP(B389,'Base stats'!B:B,'Base stats'!E:E),Groups!A:A,Groups!AZ:AZ)=2,
"Bone",
""
)
)
)</f>
        <v>No</v>
      </c>
      <c r="CI389" s="25" t="str">
        <f>IF(_xlfn.XLOOKUP(_xlfn.XLOOKUP(B389,'Base stats'!B:B,'Base stats'!E:E),Groups!A:A,Groups!BB:BB),"True","False")</f>
        <v>True</v>
      </c>
      <c r="CJ389" s="25" t="str">
        <f>IF(_xlfn.XLOOKUP(_xlfn.XLOOKUP(B389,'Base stats'!B:B,'Base stats'!E:E),Groups!A:A,Groups!BA:BA),"True","False")</f>
        <v>False</v>
      </c>
    </row>
    <row r="390" spans="1:88" ht="16.5" thickTop="1" thickBot="1" x14ac:dyDescent="0.3">
      <c r="A390" s="26" t="s">
        <v>2079</v>
      </c>
      <c r="B390" s="6" t="str">
        <f>_xlfn.XLOOKUP(A390,'Base stats'!A:A,'Base stats'!B:B)</f>
        <v>Procoptodon goliah</v>
      </c>
      <c r="C390" s="28" t="str">
        <f t="shared" si="56"/>
        <v>&lt;li&gt;Procoptodon&lt;/li&gt;</v>
      </c>
      <c r="D390" s="28" t="s">
        <v>2126</v>
      </c>
      <c r="E390" s="28" t="s">
        <v>673</v>
      </c>
      <c r="F390" s="28" t="s">
        <v>673</v>
      </c>
      <c r="G390" s="28" t="s">
        <v>673</v>
      </c>
      <c r="H390" s="2">
        <f>MROUND((
  (IF(AND(_xlfn.XLOOKUP(B390,'Base stats'!B:B,'Base stats'!AL:AL)=0,BI390="None",_xlfn.XLOOKUP(_xlfn.XLOOKUP(B390,'Base stats'!B:B,'Base stats'!E:E),Groups!A:A,Groups!B:B)=0), (18 + BR390 * 2.7) * 0.5,
    IF(AND(_xlfn.XLOOKUP(B390,'Base stats'!B:B,'Base stats'!AL:AL)=0,OR(AO390&lt;0.55,AND(BI390="Intermediate",_xlfn.XLOOKUP(_xlfn.XLOOKUP(B390,'Base stats'!B:B,'Base stats'!E:E),Groups!A:A,Groups!B:B)&lt;2))), (18 + BR390 * 2.7),
      IF(OR(BI390="Advanced",_xlfn.XLOOKUP(B390,'Base stats'!B:B,'Base stats'!AL:AL)=1,_xlfn.XLOOKUP(_xlfn.XLOOKUP(B390,'Base stats'!B:B,'Base stats'!E:E),Groups!A:A,Groups!B:B)=2), (18 + BR390 * 2.7) + 250, (18 + BR390 * 2.7))
    )
  ))
  + AO390 * 80
  + IF(COUNTIF(EggMilk!K$2:K$998, A390) &gt; 0, 125, 0)
  + IF(COUNTIF(EggMilk!P$2:P$998, A390) &gt; 0, 90, 0)
  + IF(COUNTIF(EggMilk!A$2:A$998, A390) &gt; 0, 90, 0)
)
* (0.8 + 0.4 * J390)
* 0.75,25)</f>
        <v>500</v>
      </c>
      <c r="I390" s="2">
        <f>MROUND(ROUNDDOWN(_xlfn.XLOOKUP(B390,'Base stats'!B:B,'Base stats'!L:L)/3.6/(23.3/11),1),0.5)</f>
        <v>8.5</v>
      </c>
      <c r="J390" s="2">
        <f>IF(OR(_xlfn.XLOOKUP(B390,'Base stats'!B:B,'Base stats'!AB:AB)=1,_xlfn.XLOOKUP(_xlfn.XLOOKUP(B390,'Base stats'!B:B,'Base stats'!E:E),Groups!A:A,Groups!C:C)="Untamable"),1,IF(_xlfn.XLOOKUP(B390,'Base stats'!B:B,'Base stats'!AL:AL)=1,0.99,MIN(MROUND((1-0.6282*EXP(-0.459*AO390))*_xlfn.XLOOKUP(_xlfn.XLOOKUP(B390,'Base stats'!B:B,'Base stats'!E:E),Groups!A:A,Groups!C:C)*IF(_xlfn.XLOOKUP(B390,'Base stats'!B:B,'Base stats'!O:O)=1,0.5,IF(_xlfn.XLOOKUP(B390,'Base stats'!B:B,'Base stats'!O:O)=2,0,1)),0.05),IF(AO390&gt;3.5,0.985,0.95))))</f>
        <v>0.95</v>
      </c>
      <c r="K390" s="2">
        <f>ROUNDUP(AO390*_xlfn.XLOOKUP(_xlfn.XLOOKUP(B390,'Base stats'!B:B,'Base stats'!E:E),Groups!A:A,Groups!E:E),0)</f>
        <v>10</v>
      </c>
      <c r="L390" s="2">
        <f>IF(OR(_xlfn.XLOOKUP(_xlfn.XLOOKUP(B390,'Base stats'!B:B,'Base stats'!E:E),Groups!A:A,Groups!F:F)=2,ISNUMBER(SEARCH("SeaIce",BX390)),ISNUMBER(SEARCH("IceSheet",BX390))),-50,IF(OR(ISNUMBER(SEARCH("GlacialPlain",BX390)),ISNUMBER(SEARCH("Tundra",BX390))),-40,IF(OR(ISNUMBER(SEARCH("Alpine",BX390)),ISNUMBER(SEARCH("BorealForest",BX390)),ISNUMBER(SEARCH("ColdBog",BX390))),-30,IF(OR(ISNUMBER(SEARCH("TemperateForest",BX390)),ISNUMBER(SEARCH("TemperateSwamp",BX390))),-20,IF(_xlfn.XLOOKUP(_xlfn.XLOOKUP(B390,'Base stats'!B:B,'Base stats'!E:E),Groups!A:A,Groups!F:F)=1,-15,IF(OR(ISNUMBER(SEARCH("Desert",BX390)),ISNUMBER(SEARCH("ExtremeDesert",BX390))),-10,IF(OR(ISNUMBER(SEARCH("Grasslands",BX390)),ISNUMBER(SEARCH("TropicalRainforest",BX390)),ISNUMBER(SEARCH("TropicalSwamp",BX390))),10,0)))))))-IF(CC390="False",MIN(IFERROR(MAX(MROUND(LOG10(_xlfn.XLOOKUP(B390,'Base stats'!B:B,'Base stats'!C:C)^(2/3))*10,5),5),5),30))-_xlfn.XLOOKUP(B390,'Base stats'!B:B,'Base stats'!P:P)+IF(CC390="True",5,0)</f>
        <v>-15</v>
      </c>
      <c r="M390" s="2">
        <f>IF(OR(_xlfn.XLOOKUP(_xlfn.XLOOKUP(B390,'Base stats'!B:B,'Base stats'!E:E),Groups!A:A,Groups!G:G)=2,ISNUMBER(SEARCH("Desert",BX390)),ISNUMBER(SEARCH("ExtremeDesert",BX390)),ISNUMBER(SEARCH("LavaField",BX390))),50,IF(ISNUMBER(SEARCH("Grasslands",BX390)),45,IF(OR(_xlfn.XLOOKUP(_xlfn.XLOOKUP(B390,'Base stats'!B:B,'Base stats'!E:E),Groups!A:A,Groups!G:G)=1,ISNUMBER(SEARCH("TropicalRainforest",BX390)),ISNUMBER(SEARCH("TropicalSwamp",BX390))),40,IF(OR(ISNUMBER(SEARCH("TemperateForest",BX390)),ISNUMBER(SEARCH("TemperateSwamp",BX390))),35,IF(OR(ISNUMBER(SEARCH("Alpine",BX390)),ISNUMBER(SEARCH("BorealForest",BX390)),ISNUMBER(SEARCH("ColdBog",BX390))),30,IF(ISNUMBER(OR(ISNUMBER(SEARCH("GlacialPlain",BX390)),SEARCH("Tundra",BX390))),25,IF(OR(ISNUMBER(SEARCH("SeaIce",BX390)),ISNUMBER(SEARCH("IceSheet",BX390)),ISNUMBER(SEARCH("TropicalSwamp",BX390))),10,35)))))))+_xlfn.XLOOKUP(B390,'Base stats'!B:B,'Base stats'!Q:Q)</f>
        <v>40</v>
      </c>
      <c r="N390" s="8" t="str">
        <f>IF(
_xlfn.XLOOKUP(
_xlfn.XLOOKUP(B390,'Base stats'!B:B,'Base stats'!E:E),
Groups!A:A,
Groups!L:L
)=1,
MIN(
MROUND(
IF(
_xlfn.XLOOKUP(B390,'Animals CE'!B:B,'Animals CE'!Z:Z)&lt;=1.5,
_xlfn.XLOOKUP(B390,'Animals CE'!B:B,'Animals CE'!Z:Z)/2+0.05,
0.8+
(_xlfn.XLOOKUP(B390,'Animals CE'!B:B,'Animals CE'!Z:Z)-1.5)
*0.02
),
0.05
),
200%
),
"No"
)</f>
        <v>No</v>
      </c>
      <c r="O390" s="8" t="str">
        <f>IF(
_xlfn.XLOOKUP(
_xlfn.XLOOKUP(B390,'Base stats'!B:B,'Base stats'!E:E),
Groups!A:A,
Groups!L:L
)=1,
MIN(
MROUND(
IF(
_xlfn.XLOOKUP(B390,'Animals CE'!B:B,'Animals CE'!AA:AA)&lt;=1.5,
_xlfn.XLOOKUP(B390,'Animals CE'!B:B,'Animals CE'!AA:AA)/2+0.05,
0.8+
(_xlfn.XLOOKUP(B390,'Animals CE'!B:B,'Animals CE'!AA:AA)-1.5)
*0.02
),
0.05
),
200%
),
"No"
)</f>
        <v>No</v>
      </c>
      <c r="P390" s="2" t="str">
        <f>_xlfn.XLOOKUP(B390,'Base stats'!B:B,'Base stats'!R:R)</f>
        <v>Standard</v>
      </c>
      <c r="Q390" s="13">
        <f>MROUND((LOG10(_xlfn.XLOOKUP(B390,'Base stats'!B:B,'Base stats'!AR:AR))*(AO390^0.5)+(_xlfn.XLOOKUP(B390,'Base stats'!B:B,'Base stats'!AR:AR)/1000)^(2/3)+_xlfn.XLOOKUP(B390,'Base stats'!B:B,'Base stats'!BA:BA)/2)+0.5,0.5)</f>
        <v>12</v>
      </c>
      <c r="R390" s="7">
        <f>IF(Q390="No","No",MAX(1,MROUND(_xlfn.XLOOKUP(B390,'Base stats'!B:B,'Base stats'!C:C)^0.165,0.05)))</f>
        <v>2.4500000000000002</v>
      </c>
      <c r="S390" s="13">
        <f>IF(_xlfn.XLOOKUP(_xlfn.XLOOKUP(B390,'Base stats'!B:B,'Base stats'!E:E),Groups!A:A,Groups!P:P)=0,"No",MROUND((LOG10(_xlfn.XLOOKUP(B390,'Base stats'!B:B,'Base stats'!AS:AS))*(AO390^0.5)+(_xlfn.XLOOKUP(B390,'Base stats'!B:B,'Base stats'!AS:AS)/1000)^(2/3)+_xlfn.XLOOKUP(B390,'Base stats'!B:B,'Base stats'!BA:BA))+_xlfn.XLOOKUP(B390,'Base stats'!B:B,'Base stats'!AY:AY)+0.5,0.5))</f>
        <v>17.5</v>
      </c>
      <c r="T390" s="7">
        <f>IF(S390="No","No",MAX(_xlfn.XLOOKUP(_xlfn.XLOOKUP(B390,'Base stats'!B:B,'Base stats'!E:E),Groups!A:A,Groups!Q:Q),MROUND(_xlfn.XLOOKUP(_xlfn.XLOOKUP(B390,'Base stats'!B:B,'Base stats'!E:E),Groups!A:A,Groups!Q:Q)*_xlfn.XLOOKUP(B390,'Base stats'!B:B,'Base stats'!C:C)^0.165,0.05)))</f>
        <v>2.4500000000000002</v>
      </c>
      <c r="U390" s="7" t="str">
        <f>IF(S390="No","No",_xlfn.XLOOKUP(_xlfn.XLOOKUP(B390,'Base stats'!B:B,'Base stats'!E:E),Groups!A:A,Groups!R:R))</f>
        <v xml:space="preserve">RearLeftClaws, RearRightClaws	</v>
      </c>
      <c r="V390" s="7" t="str">
        <f>IF(S390="No","No",_xlfn.XLOOKUP(_xlfn.XLOOKUP(B390,'Base stats'!B:B,'Base stats'!E:E),Groups!A:A,Groups!S:S))</f>
        <v>left claw, rear  right claw</v>
      </c>
      <c r="W390" s="7" t="str">
        <f>IF(S390="No","No",_xlfn.XLOOKUP(_xlfn.XLOOKUP(B390,'Base stats'!B:B,'Base stats'!E:E),Groups!A:A,Groups!T:T))</f>
        <v>Scratch</v>
      </c>
      <c r="X390" s="13" t="str">
        <f>IF(_xlfn.XLOOKUP(B390,'Base stats'!B:B,'Base stats'!W:W)="No","No",MROUND((LOG10(_xlfn.XLOOKUP(B390,'Base stats'!B:B,'Base stats'!AU:AU))*(AO390^0.5)+(_xlfn.XLOOKUP(B390,'Base stats'!B:B,'Base stats'!AU:AU)/1000)^(2/3)+_xlfn.XLOOKUP(B390,'Base stats'!B:B,'Base stats'!AZ:AZ))+0.5+IF(_xlfn.XLOOKUP(_xlfn.XLOOKUP(B390,'Base stats'!B:B,'Base stats'!E:E),Groups!A:A,Groups!U:U)&lt;&gt;3,_xlfn.XLOOKUP(B390,'Base stats'!B:B,'Base stats'!BA:BA),0),0.5))</f>
        <v>No</v>
      </c>
      <c r="Y390" s="7" t="str">
        <f>IF(X390="No","No",MAX(_xlfn.XLOOKUP(_xlfn.XLOOKUP(B390,'Base stats'!B:B,'Base stats'!E:E),Groups!A:A,Groups!V:V),MROUND(_xlfn.XLOOKUP(_xlfn.XLOOKUP(B390,'Base stats'!B:B,'Base stats'!E:E),Groups!A:A,Groups!V:V)*_xlfn.XLOOKUP(B390,'Base stats'!B:B,'Base stats'!C:C)^0.165,0.05)))</f>
        <v>No</v>
      </c>
      <c r="Z390" s="7" t="str">
        <f>IF(X390="No","No",_xlfn.XLOOKUP(_xlfn.XLOOKUP(B390,'Base stats'!B:B,'Base stats'!E:E),Groups!A:A,Groups!W:W))</f>
        <v>No</v>
      </c>
      <c r="AA390" s="7" t="str">
        <f>IF(X390="No","No",_xlfn.XLOOKUP(_xlfn.XLOOKUP(B390,'Base stats'!B:B,'Base stats'!E:E),Groups!A:A,Groups!X:X))</f>
        <v>No</v>
      </c>
      <c r="AB390" s="7" t="str">
        <f>IF(X390="No","No",_xlfn.XLOOKUP(_xlfn.XLOOKUP(B390,'Base stats'!B:B,'Base stats'!E:E),Groups!A:A,Groups!Y:Y))</f>
        <v>No</v>
      </c>
      <c r="AC390" s="7" t="str">
        <f>_xlfn.XLOOKUP(Animals!B390,'Base stats'!B:B,'Base stats'!X:X)</f>
        <v>False</v>
      </c>
      <c r="AD390" s="13" t="str">
        <f>IF(_xlfn.XLOOKUP(B390,'Base stats'!B:B,'Base stats'!AT:AT)="No","No",MROUND((LOG10(_xlfn.XLOOKUP(B390,'Base stats'!B:B,'Base stats'!AT:AT))*(AO390^0.75)+(_xlfn.XLOOKUP(B390,'Base stats'!B:B,'Base stats'!AT:AT)/1000)^(2/3)+_xlfn.XLOOKUP(B390,'Base stats'!B:B,'Base stats'!AX:AX)+_xlfn.XLOOKUP(B390,'Base stats'!B:B,'Base stats'!BA:BA))+0.5,0.5))</f>
        <v>No</v>
      </c>
      <c r="AE390" s="7" t="str">
        <f>IF(AD390="No","No",MAX(_xlfn.XLOOKUP(_xlfn.XLOOKUP(B390,'Base stats'!B:B,'Base stats'!E:E),Groups!A:A,Groups!Z:Z),MROUND(_xlfn.XLOOKUP(_xlfn.XLOOKUP(B390,'Base stats'!B:B,'Base stats'!E:E),Groups!A:A,Groups!Z:Z)*_xlfn.XLOOKUP(B390,'Base stats'!B:B,'Base stats'!C:C)^0.165,0.05)))</f>
        <v>No</v>
      </c>
      <c r="AF390" s="7" t="str">
        <f>IF(AD390="No","No",_xlfn.XLOOKUP(_xlfn.XLOOKUP(B390,'Base stats'!B:B,'Base stats'!E:E),Groups!A:A,Groups!AA:AA))</f>
        <v>No</v>
      </c>
      <c r="AG390" s="7" t="str">
        <f>IF(AD390="No","No",_xlfn.XLOOKUP(_xlfn.XLOOKUP(B390,'Base stats'!B:B,'Base stats'!E:E),Groups!A:A,Groups!AB:AB))</f>
        <v>No</v>
      </c>
      <c r="AH390" s="7" t="str">
        <f>IF(AD390="No","No",_xlfn.XLOOKUP(_xlfn.XLOOKUP(B390,'Base stats'!B:B,'Base stats'!E:E),Groups!A:A,Groups!AC:AC))</f>
        <v>No</v>
      </c>
      <c r="AI390" s="13" t="str">
        <f>IF(_xlfn.XLOOKUP(_xlfn.XLOOKUP(B390,'Base stats'!B:B,'Base stats'!E:E),Groups!A:A,Groups!AD:AD)=0,"No",MROUND((LOG10(_xlfn.XLOOKUP(B390,'Base stats'!B:B,'Base stats'!AS:AS))*(AO390^0.75)+(_xlfn.XLOOKUP(B390,'Base stats'!B:B,'Base stats'!AS:AS)/1000)^(2/3)+_xlfn.XLOOKUP(B390,'Base stats'!B:B,'Base stats'!AY:AY)+_xlfn.XLOOKUP(B390,'Base stats'!B:B,'Base stats'!BA:BA))+0.5,0.5))</f>
        <v>No</v>
      </c>
      <c r="AJ390" s="7" t="str">
        <f>IF(AI390="No","No",MAX(_xlfn.XLOOKUP(_xlfn.XLOOKUP(B390,'Base stats'!B:B,'Base stats'!E:E),Groups!A:A,Groups!AE:AE),MROUND(_xlfn.XLOOKUP(_xlfn.XLOOKUP(B390,'Base stats'!B:B,'Base stats'!E:E),Groups!A:A,Groups!AE:AE)*IF(_xlfn.XLOOKUP(_xlfn.XLOOKUP(B390,'Base stats'!B:B,'Base stats'!E:E),Groups!A:A,Groups!AJ:AJ)="Photonozoa",0.6,1)*_xlfn.XLOOKUP(B390,'Base stats'!B:B,'Base stats'!C:C)^0.165,0.05)))</f>
        <v>No</v>
      </c>
      <c r="AK390" s="7" t="str">
        <f>IF(AI390="No","No",_xlfn.XLOOKUP(_xlfn.XLOOKUP(B390,'Base stats'!B:B,'Base stats'!E:E),Groups!A:A,Groups!AF:AF))</f>
        <v>No</v>
      </c>
      <c r="AL390" s="7" t="str">
        <f>IF(AI390="No","No",_xlfn.XLOOKUP(_xlfn.XLOOKUP(B390,'Base stats'!B:B,'Base stats'!E:E),Groups!A:A,Groups!AG:AG))</f>
        <v>No</v>
      </c>
      <c r="AM390" s="7" t="str">
        <f>IF(AI390="No","No",_xlfn.XLOOKUP(_xlfn.XLOOKUP(B390,'Base stats'!B:B,'Base stats'!E:E),Groups!A:A,Groups!AH:AH))</f>
        <v>No</v>
      </c>
      <c r="AN390" s="2" t="str">
        <f t="shared" si="49"/>
        <v>No</v>
      </c>
      <c r="AO390" s="2">
        <f>MROUND(IF(AND(_xlfn.XLOOKUP(B390,'Base stats'!B:B,'Base stats'!C:C)&gt;=0.5,_xlfn.XLOOKUP(B390,'Base stats'!B:B,'Base stats'!C:C)&lt;=0.8),
IF(_xlfn.XLOOKUP(B390,'Base stats'!B:B,'Base stats'!C:C)&lt;0.1,0.05,IF(_xlfn.XLOOKUP(B390,'Base stats'!B:B,'Base stats'!C:C)&lt;=70,(_xlfn.XLOOKUP(B390,'Base stats'!B:B,'Base stats'!C:C)/70)^0.426489913056526,IF(_xlfn.XLOOKUP(B390,'Base stats'!B:B,'Base stats'!C:C)&lt;=400,(_xlfn.XLOOKUP(B390,'Base stats'!B:B,'Base stats'!C:C)/70)^0.572811455315093,IF(_xlfn.XLOOKUP(B390,'Base stats'!B:B,'Base stats'!C:C)&lt;=2000,2.71391647193063*(_xlfn.XLOOKUP(B390,'Base stats'!B:B,'Base stats'!C:C)/400)^0.252459582904293,3.74314280240376*(_xlfn.XLOOKUP(B390,'Base stats'!B:B,'Base stats'!C:C)/2000)^0.357012633876913)))),
IF(_xlfn.XLOOKUP(B390,'Base stats'!B:B,'Base stats'!C:C)&lt;0.1,0.05,IF(_xlfn.XLOOKUP(B390,'Base stats'!B:B,'Base stats'!C:C)&lt;0.4,0.1,IF(_xlfn.XLOOKUP(B390,'Base stats'!B:B,'Base stats'!C:C)&lt;=70,(_xlfn.XLOOKUP(B390,'Base stats'!B:B,'Base stats'!C:C)/70)^0.445823913056526,IF(_xlfn.XLOOKUP(B390,'Base stats'!B:B,'Base stats'!C:C)&lt;=400,(_xlfn.XLOOKUP(B390,'Base stats'!B:B,'Base stats'!C:C)/70)^0.572811455315093,IF(_xlfn.XLOOKUP(B390,'Base stats'!B:B,'Base stats'!C:C)&lt;=2000,2.71391647193063*(_xlfn.XLOOKUP(B390,'Base stats'!B:B,'Base stats'!C:C)/400)^0.252459582904293,3.74314280240376*(_xlfn.XLOOKUP(B390,'Base stats'!B:B,'Base stats'!C:C)/2000)^0.357012633876913)))))),
IF(_xlfn.XLOOKUP(B390,'Base stats'!B:B,'Base stats'!C:C)&lt;0.1,0.05,IF(_xlfn.XLOOKUP(B390,'Base stats'!B:B,'Base stats'!C:C)&lt;=100,0.05,IF(_xlfn.XLOOKUP(B390,'Base stats'!B:B,'Base stats'!C:C)&lt;=250,0.1,IF(_xlfn.XLOOKUP(B390,'Base stats'!B:B,'Base stats'!C:C)&lt;=4000,0.25,0.5)))))</f>
        <v>2</v>
      </c>
      <c r="AP390" s="8">
        <f>MROUND(AO390*_xlfn.XLOOKUP(_xlfn.XLOOKUP(B390,'Base stats'!B:B,'Base stats'!E:E),Groups!A:A,Groups!AI:AI)*_xlfn.XLOOKUP(B390,'Base stats'!B:B,'Base stats'!Z:Z),0.05)</f>
        <v>2</v>
      </c>
      <c r="AQ390" s="8">
        <f>MAX(0.01,MROUND(IF(CC390="True",0.196*(AO390*100*1000)^0.889,IF(_xlfn.XLOOKUP(_xlfn.XLOOKUP(B390,'Base stats'!B:B,'Base stats'!E:E),Groups!A:A,Groups!AJ:AJ)="Bird",10.5*(AO390*100*1000)^0.681,4.82*(AO390*100*1000)^0.734))/(4.82*(1*100*1000)^0.734)/IF(AO390&lt;3.5,2,IF(AO390=3.5,1.5,1.25))*(1+0.132282374779864/(AO390^0.994035016789033+0.00905238001496948)),0.05))</f>
        <v>0.9</v>
      </c>
      <c r="AR390" s="9">
        <f>IFERROR(MROUND(_xlfn.XLOOKUP(B390,'Base stats'!B:B,'Base stats'!H:H)/IF(_xlfn.XLOOKUP(B390,'Base stats'!B:B,'Base stats'!I:I)&lt;&gt;1,(122.5/70),1.2),IF(_xlfn.XLOOKUP(B390,'Base stats'!B:B,'Base stats'!H:H)&gt;=30,5,IF(_xlfn.XLOOKUP(B390,'Base stats'!B:B,'Base stats'!H:H)&gt;=15,3,IF(_xlfn.XLOOKUP(B390,'Base stats'!B:B,'Base stats'!H:H)&gt;=10,2,1)))),"Immortal")</f>
        <v>15</v>
      </c>
      <c r="AS390" s="35">
        <f>IFERROR(IF(OR(_xlfn.XLOOKUP(B390,'Base stats'!B:B,'Base stats'!F:F)="Atypical reproduction",_xlfn.XLOOKUP(B390,'Base stats'!B:B,'Base stats'!F:F)="Lay eggs"),"Lay eggs",MIN(20,MAX(5.5,ROUND(((_xlfn.XLOOKUP(B390,'Base stats'!B:B,'Base stats'!F:F)-25)*(14.5/615) + 5.5)*2,0)/2))),"Unknown")</f>
        <v>6</v>
      </c>
      <c r="AT390" s="8">
        <f>IF(_xlfn.XLOOKUP(B390,'Base stats'!B:B,'Base stats'!G:G)="Atypical reproduction","No",IFERROR(MAX(IF(_xlfn.XLOOKUP(B390,'Base stats'!B:B,'Base stats'!G:G)&lt;0.5,0.2,0.3),MROUND(_xlfn.XLOOKUP(B390,'Base stats'!B:B,'Base stats'!G:G)/(365/60),0.2)),"Unknown"))</f>
        <v>0.4</v>
      </c>
      <c r="AU390" s="8">
        <f t="shared" si="50"/>
        <v>0.2</v>
      </c>
      <c r="AV390" s="8">
        <f>IFERROR(IFERROR(MROUND(_xlfn.XLOOKUP(B390,'Base stats'!B:B,'Base stats'!J:J),0.1),"Lay eggs"),"Cannot breed")</f>
        <v>1</v>
      </c>
      <c r="AW390" s="2" t="str">
        <f t="shared" si="51"/>
        <v>true</v>
      </c>
      <c r="AX390" s="2" t="str">
        <f>IF(_xlfn.XLOOKUP(_xlfn.XLOOKUP(Animals!B390,'Base stats'!B:B,'Base stats'!E:E),Groups!A:A,Groups!AK:AK)=1,"true","false")</f>
        <v>true</v>
      </c>
      <c r="AY390" s="25" t="str">
        <f>IF(_xlfn.XLOOKUP(B390,'Base stats'!B:B,'Base stats'!Y:Y)="Liquor","Liquor, CarnivoreAnimalStrict",IF(AND(_xlfn.XLOOKUP(B390,'Base stats'!B:B,'Base stats'!Y:Y)="Carnivore",_xlfn.XLOOKUP(_xlfn.XLOOKUP(B390,'Base stats'!B:B,'Base stats'!E:E),Groups!A:A,Groups!AJ:AJ)="Photonozoa"),"CarnivoreAnimalStrict, OvivoreAnimal",IF(_xlfn.XLOOKUP(B390,'Base stats'!B:B,'Base stats'!Y:Y)="Carnivore","CarnivoreAnimal, OvivoreAnimal",IF(_xlfn.XLOOKUP(B390,'Base stats'!B:B,'Base stats'!Y:Y)="Dendrovore","VegetarianRoughAnimal, DendrovoreAnimal",IF(_xlfn.XLOOKUP(B390,'Base stats'!B:B,'Base stats'!Y:Y)="Herbivore","VegetarianRoughAnimal",IF(_xlfn.XLOOKUP(B390,'Base stats'!B:B,'Base stats'!Y:Y)="OmnivoreRough","OmnivoreRoughAnimal, OvivoreAnimal","OmnivoreAnimal, OvivoreAnimal"))))))</f>
        <v>VegetarianRoughAnimal</v>
      </c>
      <c r="AZ390" s="2">
        <f>IF(_xlfn.XLOOKUP(_xlfn.XLOOKUP(B390,'Base stats'!B:B,'Base stats'!E:E),Groups!A:A,Groups!D:D)=1,MROUND((1-J390)*5+1,2)*IF(J390&lt;=0.4,2,1),"No")</f>
        <v>2</v>
      </c>
      <c r="BA390" s="2" t="str">
        <f>IF(AND(_xlfn.XLOOKUP(B390,'Base stats'!B:B,'Base stats'!AH:AH)="&lt;li&gt;Seal&lt;/li&gt;",G390="Odyssey"),"&lt;li&gt;AEXP_Seal&lt;/li&gt;",_xlfn.XLOOKUP(B390,'Base stats'!B:B,'Base stats'!AH:AH))</f>
        <v>No</v>
      </c>
      <c r="BB390" s="2" t="str">
        <f>_xlfn.XLOOKUP(B390,'Base stats'!B:B,'Base stats'!AG:AG)</f>
        <v>Leather_Plain</v>
      </c>
      <c r="BC390" s="23" t="str">
        <f>_xlfn.XLOOKUP(_xlfn.XLOOKUP(B390,'Base stats'!B:B,'Base stats'!E:E),Groups!A:A,Groups!AL:AL)</f>
        <v>BipedalAnimalWithPawsClawsAndTail</v>
      </c>
      <c r="BD390" s="23">
        <f>MIN(1,MROUND(IF(AND(AO390&lt;0.5,_xlfn.XLOOKUP(B390,'Base stats'!B:B,'Base stats'!AA:AA)=0),0,IF(OR(_xlfn.XLOOKUP(Animals!B390,'Base stats'!B:B,'Base stats'!O:O)=2,_xlfn.XLOOKUP(_xlfn.XLOOKUP(B390,'Base stats'!B:B,'Base stats'!E:E),Groups!A:A,Groups!AN:AN)=0),0,_xlfn.XLOOKUP(_xlfn.XLOOKUP(B390,'Base stats'!B:B,'Base stats'!E:E),Groups!A:A,Groups!AN:AN)/IF(_xlfn.XLOOKUP(Animals!B390,'Base stats'!B:B,'Base stats'!O:O)=1,2,1)))+_xlfn.XLOOKUP(B390,'Base stats'!B:B,'Base stats'!AC:AC),0.005))</f>
        <v>0</v>
      </c>
      <c r="BE390" s="23">
        <f>MIN(1,MROUND(IF(AND(AO390&lt;0.5,_xlfn.XLOOKUP(B390,'Base stats'!B:B,'Base stats'!AA:AA)=0),0,IF(_xlfn.XLOOKUP(_xlfn.XLOOKUP(B390,'Base stats'!B:B,'Base stats'!E:E),Groups!A:A,Groups!AO:AO)=0,0,_xlfn.XLOOKUP(_xlfn.XLOOKUP(B390,'Base stats'!B:B,'Base stats'!E:E),Groups!A:A,Groups!AO:AO)/IF(_xlfn.XLOOKUP(Animals!B390,'Base stats'!B:B,'Base stats'!O:O)=2,3,1)))+_xlfn.XLOOKUP(B390,'Base stats'!B:B,'Base stats'!AD:AD),0.005))</f>
        <v>0</v>
      </c>
      <c r="BF390" s="2" t="str">
        <f>IF(J390&gt;0.3,"No",_xlfn.XLOOKUP(_xlfn.XLOOKUP(Animals!B390,'Base stats'!B:B,'Base stats'!E:E),Groups!A:A,Groups!AP:AP))</f>
        <v>No</v>
      </c>
      <c r="BG390" s="2" t="str">
        <f>IF(AND(J390&lt;=0.65,_xlfn.XLOOKUP(_xlfn.XLOOKUP(Animals!B390,'Base stats'!B:B,'Base stats'!E:E),Groups!A:A,Groups!AP:AP)&lt;&gt;"No",_xlfn.XLOOKUP(_xlfn.XLOOKUP(B390,'Base stats'!B:B,'Base stats'!E:E),Groups!A:A,Groups!D:D)=0),MROUND((80/3)*IF(_xlfn.XLOOKUP(B390,'Base stats'!B:B,'Base stats'!O:O)=2,0.2,AO390) + 24*(1-IF(BF390="No",0,BF390)) + 16/3, 12),"No")</f>
        <v>No</v>
      </c>
      <c r="BH390" s="2">
        <f>IF(AND(_xlfn.XLOOKUP(_xlfn.XLOOKUP(B390,'Base stats'!B:B,'Base stats'!E:E),Groups!A:A,Groups!AQ:AQ)=1,AO390&lt;=0.35),8,12)</f>
        <v>12</v>
      </c>
      <c r="BI390" s="2" t="str">
        <f>IF(_xlfn.XLOOKUP(_xlfn.XLOOKUP(B390,'Base stats'!B:B,'Base stats'!E:E),Groups!A:A,Groups!D:D)=0,_xlfn.XLOOKUP(_xlfn.XLOOKUP(B390,'Base stats'!B:B,'Base stats'!E:E),Groups!A:A,Groups!AR:AR),"None")</f>
        <v>None</v>
      </c>
      <c r="BJ390" s="2" t="str">
        <f>IF(AND(_xlfn.XLOOKUP(_xlfn.XLOOKUP(B390,'Base stats'!B:B,'Base stats'!E:E),Groups!A:A,Groups!AS:AS)=1,OR(_xlfn.XLOOKUP(B390,'Base stats'!B:B,'Base stats'!Y:Y)="Carnivore",_xlfn.XLOOKUP(B390,'Base stats'!B:B,'Base stats'!Y:Y)="Omnivore")),"true","false")</f>
        <v>false</v>
      </c>
      <c r="BK390" s="2" t="str">
        <f>IF(BJ390="true",MROUND(IF(AND(AO390&gt;0.5,OR(_xlfn.XLOOKUP(_xlfn.XLOOKUP(B390,'Base stats'!B:B,'Base stats'!E:E),Groups!A:A,Groups!AJ:AJ)="Photonozoa",_xlfn.XLOOKUP(_xlfn.XLOOKUP(B390,'Base stats'!B:B,'Base stats'!E:E),Groups!A:A,Groups!AJ:AJ)="Mammal")),Animals!AO390*1.75*IF(AW390="true",1.5,1),IF(AO390&lt;0.5,Animals!AO390*0.5,Animals!AO390)),IF(AO390&gt;2,0.5,IF(AO390&gt;0.5,0.25,0.1))),"No")</f>
        <v>No</v>
      </c>
      <c r="BL390" s="2">
        <f t="shared" si="52"/>
        <v>0</v>
      </c>
      <c r="BM390" s="25" t="str">
        <f>IF(_xlfn.XLOOKUP(B390,'Base stats'!B:B,'Base stats'!AN:AN)="Standard","No",MROUND((_xlfn.XLOOKUP(B390,'Base stats'!B:B,'Base stats'!AN:AN)/3.6)/I390,0.1))</f>
        <v>No</v>
      </c>
      <c r="BN390" s="25" t="str">
        <f t="shared" si="53"/>
        <v>false</v>
      </c>
      <c r="BO390" s="25" t="str">
        <f>IF(AND(OR(_xlfn.XLOOKUP(B390,'Base stats'!B:B,'Base stats'!Y:Y)="Carnivore",_xlfn.XLOOKUP(B390,'Base stats'!B:B,'Base stats'!Y:Y)="Omnivore",_xlfn.XLOOKUP(B390,'Base stats'!B:B,'Base stats'!Y:Y)="OmnivoreRough"),_xlfn.XLOOKUP(_xlfn.XLOOKUP(B390,'Base stats'!B:B,'Base stats'!E:E),Groups!A:A,Groups!AT:AT)=1),"true","false")</f>
        <v>false</v>
      </c>
      <c r="BP390" s="25" t="str" cm="1">
        <f t="array" ref="BP390">IF(
  _xlfn.TEXTJOIN(", ",TRUE,
    IF(AND(BJ390="true",AO390&gt;0.5,BI390&lt;&gt;"None"),"AttackTarget",""),
    IF(AND(_xlfn.XLOOKUP(_xlfn.XLOOKUP(B390,'Base stats'!B:B,'Base stats'!E:E),Groups!A:A,Groups!AJ:AJ="Mammal"),OR(_xlfn.XLOOKUP(B390,'Base stats'!B:B,'Base stats'!Y:Y)="Omnivore",_xlfn.XLOOKUP(B390,'Base stats'!B:B,'Base stats'!Y:Y)="OmnivoreRough")),"Forage",""),
    IF(BG390&lt;=36,"Comfort",""),
    IF(_xlfn.XLOOKUP(B390,'Base stats'!B:B,'Base stats'!AE:AE)&lt;&gt;"No",_xlfn.XLOOKUP(B390,'Base stats'!B:B,'Base stats'!AE:AE),"")
  ) = "",
  "No",
  _xlfn.TEXTJOIN(", ",TRUE,
    IF(AND(BJ390="true",AO390&gt;0.5,BI390&lt;&gt;"None"),"AttackTarget",""),
    IF(AND(_xlfn.XLOOKUP(_xlfn.XLOOKUP(B390,'Base stats'!B:B,'Base stats'!E:E),Groups!A:A,Groups!AJ:AJ="Mammal"),OR(_xlfn.XLOOKUP(B390,'Base stats'!B:B,'Base stats'!Y:Y)="Omnivore",_xlfn.XLOOKUP(B390,'Base stats'!B:B,'Base stats'!Y:Y)="OmnivoreRough")),"Forage",""),
    IF(BG390&lt;=36,"Comfort",""),
    IF(_xlfn.XLOOKUP(B390,'Base stats'!B:B,'Base stats'!AE:AE)&lt;&gt;"No",_xlfn.XLOOKUP(B390,'Base stats'!B:B,'Base stats'!AE:AE),"")
  )
)</f>
        <v>No</v>
      </c>
      <c r="BQ390" s="25" t="str">
        <f>IF(
   AND(
      'Base stats'!AN390="Standard",_xlfn.XLOOKUP(_xlfn.XLOOKUP(B390,'Base stats'!B:B,'Base stats'!E:E),Groups!A:A,Groups!AU:AU)=0,
      OR(
      BO390="True"
      )
   ),
   10,
   IF(
       OR(BM390&lt;&gt;"No",_xlfn.XLOOKUP(_xlfn.XLOOKUP(B390,'Base stats'!B:B,'Base stats'!E:E),Groups!A:A,Groups!AU:AU)=1),
      1,
      "No"
   )
)</f>
        <v>No</v>
      </c>
      <c r="BR390" s="9">
        <f>MROUND((1 + ((0.2*IF(OR(Q390="No",R390="No",R390=0),0,Q390/R390)
+IF(OR(V390="No",S390="No",T390="No"),0,S390/T390*(LEN(V390)-LEN(SUBSTITUTE(V390,",",""))+1))
+IF(OR(X390="No",Y390="No"),0,X390/Y390)
+IF(OR(AD390="No",AE390="No"),0,AD390/AE390)
+IF(OR(AL390="No",AI390="No",AJ390="No"),0,AI390/AJ390*(LEN(AL390)-LEN(SUBSTITUTE(AL390,",",""))+1))
)/(0.2*IF(OR(Q390="No",R390="No",R390=0),0,1)
+IF(OR(V390="No",S390="No",T390="No"),0,LEN(V390)-LEN(SUBSTITUTE(V390,",",""))+1)
+IF(OR(X390="No",Y390="No"),0,1)
+IF(OR(AD390="No",AE390="No"),0,1)
+IF(OR(AL390="No",AI390="No",AJ390="No"),0,LEN(AL390)-LEN(SUBSTITUTE(AL390,",",""))+1))*62%)* 2)*(1 + (AP390 / (IF(_xlfn.XLOOKUP(_xlfn.XLOOKUP(B390,'Base stats'!B:B,'Base stats'!E:E),Groups!A:A,Groups!AJ:AJ)="Photonozoa",0.3,1)) + _xlfn.XLOOKUP(B390,'Base stats'!B:B,'Base stats'!AV:AV) * 1.8) * 2) * 2.5 + 10 + I390 * 2,5)+IF(_xlfn.XLOOKUP(B390,'Base stats'!B:B,'Base stats'!AK:AK)=1,50,0)</f>
        <v>145</v>
      </c>
      <c r="BS390" s="8">
        <f t="shared" si="54"/>
        <v>1.1000000000000001</v>
      </c>
      <c r="BT390" s="8" t="str">
        <f>_xlfn.XLOOKUP(B390,'Base stats'!B:B,'Base stats'!AF:AF)</f>
        <v>3~10</v>
      </c>
      <c r="BU390" s="2" t="str">
        <f>IF(AND(J390&lt;=0.95,OR(_xlfn.XLOOKUP(B390,'Base stats'!B:B,'Base stats'!AK:AK)=1,_xlfn.XLOOKUP(B390,'Base stats'!B:B,'Base stats'!Y:Y)="Carnivore",_xlfn.XLOOKUP(B390,'Base stats'!B:B,'Base stats'!Y:Y)="Omnivore",BE390&gt;0.1)),"true","false")</f>
        <v>false</v>
      </c>
      <c r="BV390" s="2" t="str">
        <f>IF(_xlfn.XLOOKUP(B390,'Base stats'!B:B,'Base stats'!AI:AI)=1,"true","false")</f>
        <v>false</v>
      </c>
      <c r="BW390" s="25" t="str">
        <f>IF(E390="BaseInsect","AnimalInsect",
IF(J390&gt;0.95,"AnimalExotic",
_xlfn.TEXTJOIN(", ",TRUE,
IF(OR(_xlfn.XLOOKUP(B390,'Base stats'!B:B,'Base stats'!AM:AM)=1,AND(_xlfn.XLOOKUP(B390,'Base stats'!B:B,'Base stats'!O:O)=0,_xlfn.XLOOKUP(_xlfn.XLOOKUP(B390,'Base stats'!B:B,'Base stats'!E:E),Groups!A:A,Groups!B:B)&gt;0)),"AnimalUncommon","AnimalCommon"),
IF(AND(_xlfn.XLOOKUP(B390,'Base stats'!B:B,'Base stats'!O:O)=2,_xlfn.XLOOKUP(_xlfn.XLOOKUP(B390,'Base stats'!B:B,'Base stats'!E:E),Groups!A:A,Groups!D:D)=0),"AnimalPet",IF(AND(_xlfn.XLOOKUP(B390,'Base stats'!B:B,'Base stats'!O:O)&lt;&gt;0,_xlfn.XLOOKUP(_xlfn.XLOOKUP(B390,'Base stats'!B:B,'Base stats'!E:E),Groups!A:A,Groups!D:D)&lt;&gt;0),"AnimalFarm","")),
IF(OR(_xlfn.XLOOKUP(B390,'Base stats'!B:B,'Base stats'!AK:AK)=1,AND(BI390&lt;&gt;"None",BR390&gt;=60),ISNUMBER(SEARCH("Attack target",BP390))),"AnimalFighter","")
)))</f>
        <v>AnimalUncommon</v>
      </c>
      <c r="BX390" s="25" t="str">
        <f>IF(G390="None",TRIM(
SUBSTITUTE(
IF(COUNTIF(Biomes!B$2:B$259,"="&amp;$C390)&gt;0,Biomes!B$1&amp;", ","")&amp;
IF(COUNTIF(Biomes!C$2:C$259,"="&amp;$C390)&gt;0,Biomes!C$1&amp;", ","")&amp;
IF(COUNTIF(Biomes!D$2:D$259,"="&amp;$C390)&gt;0,Biomes!D$1&amp;", ","")&amp;
IF(COUNTIF(Biomes!F$2:F$259,"="&amp;$C390)&gt;0,Biomes!F$1&amp;", ","")&amp;
IF(COUNTIF(Biomes!G$2:G$259,"="&amp;$C390)&gt;0,Biomes!G$1&amp;", ","")&amp;
IF(COUNTIF(Biomes!H$2:H$259,"="&amp;$C390)&gt;0,Biomes!H$1&amp;", ","")&amp;
IF(COUNTIF(Biomes!I$2:I$259,"="&amp;$C390)&gt;0,Biomes!I$1&amp;", ","")&amp;
IF(COUNTIF(Biomes!J$2:J$259,"="&amp;$C390)&gt;0,Biomes!J$1&amp;", ","")&amp;
IF(COUNTIF(Biomes!M$2:M$259,"="&amp;$C390)&gt;0,Biomes!M$1&amp;", ","")&amp;
IF(COUNTIF(Biomes!N$2:N$259,"="&amp;$C390)&gt;0,Biomes!N$1&amp;", ","")&amp;
IF(COUNTIF(Biomes!O$2:O$259,"="&amp;$C390)&gt;0,Biomes!O$1&amp;", ","")&amp;
IF(COUNTIF(Biomes!P$2:P$259,"="&amp;$C390)&gt;0,Biomes!P$1&amp;", ","")&amp;
IF(COUNTIF(Biomes!K$2:K$259,"="&amp;$C390)&gt;0,Biomes!K$1&amp;", ","")&amp;
IF(COUNTIF(Biomes!Q$3:Q$259,"="&amp;$C390)&gt;0,Biomes!Q$1&amp;", ","")&amp;
IF(COUNTIF(Biomes!L$2:L$259,"="&amp;$C390)&gt;0,Biomes!L$1&amp;", ","")&amp;
IF(COUNTIF(Biomes!E$2:E$259,"="&amp;$C390)&gt;0,Biomes!E$1&amp;", ","")&amp;IF(COUNTIF(Biomes!S$2:S$259,"="&amp;$C390)&gt;0,Biomes!S$1&amp;", ","")&amp;
IF(COUNTIF(Biomes!R$2:R$259,"="&amp;$C390)&gt;0,Biomes!R$1&amp;", ",""),", ","")
),_xlfn.XLOOKUP(B390,B:B,BX:BX))</f>
        <v/>
      </c>
      <c r="BY390" s="25" t="str">
        <f>IF(_xlfn.XLOOKUP(B390,'Base stats'!B:B,'Base stats'!AJ:AJ)=1,"true","false")</f>
        <v>false</v>
      </c>
      <c r="BZ390" s="25">
        <f>IF(_xlfn.XLOOKUP(B390,'Base stats'!B:B,'Base stats'!N:N)=1,"No",MAX(0.001,MIN(MROUND(IF(AND(BJ390="True",CC390="False"),POWER(10,3.47*LOG10(_xlfn.XLOOKUP(B390,'Base stats'!B:B,'Base stats'!C:C)*1000)^-0.96),POWER(10,4.15*LOG10(_xlfn.XLOOKUP(B390,'Base stats'!B:B,'Base stats'!C:C)*1000)^-0.73))*IF(_xlfn.XLOOKUP(B390,'Base stats'!B:B,'Base stats'!AK:AK)=1,0.5,1)*IF(_xlfn.XLOOKUP(B390,'Base stats'!B:B,'Base stats'!AM:AM)=1,0.1,1)/100,IF(_xlfn.XLOOKUP(B390,'Base stats'!B:B,'Base stats'!AM:AM)=1,0.001,0.025)),0.5)))</f>
        <v>0.17500000000000002</v>
      </c>
      <c r="CA390" s="25" t="str">
        <f>IF(P390="Standard","No",MAX(0.001,MIN(MROUND(IF(AND(BJ390="True",CC390="False"),POWER(10,3.47*LOG10(_xlfn.XLOOKUP(B390,'Base stats'!B:B,'Base stats'!C:C)*1000)^-0.96),POWER(10,4.15*LOG10(_xlfn.XLOOKUP(B390,'Base stats'!B:B,'Base stats'!C:C)*1000)^-0.73))*IF(_xlfn.XLOOKUP(B390,'Base stats'!B:B,'Base stats'!AM:AM)=1,0.1,1)*_xlfn.XLOOKUP(B390,'Base stats'!B:B,'Base stats'!R:R)/100,IF(_xlfn.XLOOKUP(B390,'Base stats'!B:B,'Base stats'!AM:AM)=1,0.001,0.025)),0.5)))</f>
        <v>No</v>
      </c>
      <c r="CB390" s="25" t="str">
        <f>IF(_xlfn.XLOOKUP(_xlfn.XLOOKUP(B390,'Base stats'!B:B,'Base stats'!E:E),Groups!A:A,Groups!AJ:AJ)="Mammal","True","False")</f>
        <v>True</v>
      </c>
      <c r="CC390" s="25" t="str">
        <f>IF(OR(_xlfn.XLOOKUP(_xlfn.XLOOKUP(B390,'Base stats'!B:B,'Base stats'!E:E),Groups!A:A,Groups!AJ:AJ)="Reptile",_xlfn.XLOOKUP(_xlfn.XLOOKUP(B390,'Base stats'!B:B,'Base stats'!E:E),Groups!A:A,Groups!AJ:AJ)="Amphibian",_xlfn.XLOOKUP(_xlfn.XLOOKUP(B390,'Base stats'!B:B,'Base stats'!E:E),Groups!A:A,Groups!AJ:AJ)="Invertebrate"),"True","False")</f>
        <v>False</v>
      </c>
      <c r="CD390" s="25" t="str">
        <f t="shared" si="55"/>
        <v>False</v>
      </c>
      <c r="CE390" s="25" t="str">
        <f>IF(_xlfn.XLOOKUP(_xlfn.XLOOKUP(B390,'Base stats'!B:B,'Base stats'!E:E),Groups!A:A,Groups!AX:AX),"True","False")</f>
        <v>False</v>
      </c>
      <c r="CF390" s="25" t="str">
        <f>IF(_xlfn.XLOOKUP(_xlfn.XLOOKUP(B390,'Base stats'!B:B,'Base stats'!E:E),Groups!A:A,Groups!AY:AY),"True","False")</f>
        <v>False</v>
      </c>
      <c r="CG390" s="25" t="str">
        <f>IF(_xlfn.XLOOKUP(_xlfn.XLOOKUP(B390,'Base stats'!B:B,'Base stats'!E:E),Groups!A:A,Groups!AW:AW),"True","False")</f>
        <v>False</v>
      </c>
      <c r="CH390" s="25" t="str">
        <f>IF(
OR(
_xlfn.XLOOKUP(_xlfn.XLOOKUP(B390,'Base stats'!B:B,'Base stats'!E:E),Groups!A:A,Groups!AZ:AZ)=0,
AND(
_xlfn.XLOOKUP(B390,'Base stats'!B:B,'Base stats'!Y:Y)&lt;&gt;"Carnivore",
_xlfn.XLOOKUP(B390,'Base stats'!B:B,'Base stats'!Y:Y)&lt;&gt;"Omnivore",
_xlfn.XLOOKUP(B390,'Base stats'!B:B,'Base stats'!Y:Y)&lt;&gt;"OmnivoreRough"
)
),
"No",
IF(
_xlfn.XLOOKUP(_xlfn.XLOOKUP(B390,'Base stats'!B:B,'Base stats'!E:E),Groups!A:A,Groups!AZ:AZ)=1,
"Flesh",
IF(
_xlfn.XLOOKUP(_xlfn.XLOOKUP(B390,'Base stats'!B:B,'Base stats'!E:E),Groups!A:A,Groups!AZ:AZ)=2,
"Bone",
""
)
)
)</f>
        <v>No</v>
      </c>
      <c r="CI390" s="25" t="str">
        <f>IF(_xlfn.XLOOKUP(_xlfn.XLOOKUP(B390,'Base stats'!B:B,'Base stats'!E:E),Groups!A:A,Groups!BB:BB),"True","False")</f>
        <v>True</v>
      </c>
      <c r="CJ390" s="25" t="str">
        <f>IF(_xlfn.XLOOKUP(_xlfn.XLOOKUP(B390,'Base stats'!B:B,'Base stats'!E:E),Groups!A:A,Groups!BA:BA),"True","False")</f>
        <v>False</v>
      </c>
    </row>
    <row r="391" spans="1:88" ht="16.5" thickTop="1" thickBot="1" x14ac:dyDescent="0.3">
      <c r="A391" s="26" t="s">
        <v>2080</v>
      </c>
      <c r="B391" s="6" t="str">
        <f>_xlfn.XLOOKUP(A391,'Base stats'!A:A,'Base stats'!B:B)</f>
        <v>Varanus priscus</v>
      </c>
      <c r="C391" s="28" t="str">
        <f t="shared" si="56"/>
        <v>&lt;li&gt;Megalania&lt;/li&gt;</v>
      </c>
      <c r="D391" s="28" t="s">
        <v>2126</v>
      </c>
      <c r="E391" s="28" t="s">
        <v>673</v>
      </c>
      <c r="F391" s="28" t="s">
        <v>673</v>
      </c>
      <c r="G391" s="28" t="s">
        <v>673</v>
      </c>
      <c r="H391" s="2">
        <f>MROUND((
  (IF(AND(_xlfn.XLOOKUP(B391,'Base stats'!B:B,'Base stats'!AL:AL)=0,BI391="None",_xlfn.XLOOKUP(_xlfn.XLOOKUP(B391,'Base stats'!B:B,'Base stats'!E:E),Groups!A:A,Groups!B:B)=0), (18 + BR391 * 2.7) * 0.5,
    IF(AND(_xlfn.XLOOKUP(B391,'Base stats'!B:B,'Base stats'!AL:AL)=0,OR(AO391&lt;0.55,AND(BI391="Intermediate",_xlfn.XLOOKUP(_xlfn.XLOOKUP(B391,'Base stats'!B:B,'Base stats'!E:E),Groups!A:A,Groups!B:B)&lt;2))), (18 + BR391 * 2.7),
      IF(OR(BI391="Advanced",_xlfn.XLOOKUP(B391,'Base stats'!B:B,'Base stats'!AL:AL)=1,_xlfn.XLOOKUP(_xlfn.XLOOKUP(B391,'Base stats'!B:B,'Base stats'!E:E),Groups!A:A,Groups!B:B)=2), (18 + BR391 * 2.7) + 250, (18 + BR391 * 2.7))
    )
  ))
  + AO391 * 80
  + IF(COUNTIF(EggMilk!K$2:K$998, A391) &gt; 0, 125, 0)
  + IF(COUNTIF(EggMilk!P$2:P$998, A391) &gt; 0, 90, 0)
  + IF(COUNTIF(EggMilk!A$2:A$998, A391) &gt; 0, 90, 0)
)
* (0.8 + 0.4 * J391)
* 0.75,25)</f>
        <v>1050</v>
      </c>
      <c r="I391" s="2">
        <f>MROUND(ROUNDDOWN(_xlfn.XLOOKUP(B391,'Base stats'!B:B,'Base stats'!L:L)/3.6/(23.3/11),1),0.5)</f>
        <v>2.5</v>
      </c>
      <c r="J391" s="2">
        <f>IF(OR(_xlfn.XLOOKUP(B391,'Base stats'!B:B,'Base stats'!AB:AB)=1,_xlfn.XLOOKUP(_xlfn.XLOOKUP(B391,'Base stats'!B:B,'Base stats'!E:E),Groups!A:A,Groups!C:C)="Untamable"),1,IF(_xlfn.XLOOKUP(B391,'Base stats'!B:B,'Base stats'!AL:AL)=1,0.99,MIN(MROUND((1-0.6282*EXP(-0.459*AO391))*_xlfn.XLOOKUP(_xlfn.XLOOKUP(B391,'Base stats'!B:B,'Base stats'!E:E),Groups!A:A,Groups!C:C)*IF(_xlfn.XLOOKUP(B391,'Base stats'!B:B,'Base stats'!O:O)=1,0.5,IF(_xlfn.XLOOKUP(B391,'Base stats'!B:B,'Base stats'!O:O)=2,0,1)),0.05),IF(AO391&gt;3.5,0.985,0.95))))</f>
        <v>0.95</v>
      </c>
      <c r="K391" s="2">
        <f>ROUNDUP(AO391*_xlfn.XLOOKUP(_xlfn.XLOOKUP(B391,'Base stats'!B:B,'Base stats'!E:E),Groups!A:A,Groups!E:E),0)</f>
        <v>3</v>
      </c>
      <c r="L391" s="2">
        <f>IF(OR(_xlfn.XLOOKUP(_xlfn.XLOOKUP(B391,'Base stats'!B:B,'Base stats'!E:E),Groups!A:A,Groups!F:F)=2,ISNUMBER(SEARCH("SeaIce",BX391)),ISNUMBER(SEARCH("IceSheet",BX391))),-50,IF(OR(ISNUMBER(SEARCH("GlacialPlain",BX391)),ISNUMBER(SEARCH("Tundra",BX391))),-40,IF(OR(ISNUMBER(SEARCH("Alpine",BX391)),ISNUMBER(SEARCH("BorealForest",BX391)),ISNUMBER(SEARCH("ColdBog",BX391))),-30,IF(OR(ISNUMBER(SEARCH("TemperateForest",BX391)),ISNUMBER(SEARCH("TemperateSwamp",BX391))),-20,IF(_xlfn.XLOOKUP(_xlfn.XLOOKUP(B391,'Base stats'!B:B,'Base stats'!E:E),Groups!A:A,Groups!F:F)=1,-15,IF(OR(ISNUMBER(SEARCH("Desert",BX391)),ISNUMBER(SEARCH("ExtremeDesert",BX391))),-10,IF(OR(ISNUMBER(SEARCH("Grasslands",BX391)),ISNUMBER(SEARCH("TropicalRainforest",BX391)),ISNUMBER(SEARCH("TropicalSwamp",BX391))),10,0)))))))-IF(CC391="False",MIN(IFERROR(MAX(MROUND(LOG10(_xlfn.XLOOKUP(B391,'Base stats'!B:B,'Base stats'!C:C)^(2/3))*10,5),5),5),30))-_xlfn.XLOOKUP(B391,'Base stats'!B:B,'Base stats'!P:P)+IF(CC391="True",5,0)</f>
        <v>5</v>
      </c>
      <c r="M391" s="2">
        <f>IF(OR(_xlfn.XLOOKUP(_xlfn.XLOOKUP(B391,'Base stats'!B:B,'Base stats'!E:E),Groups!A:A,Groups!G:G)=2,ISNUMBER(SEARCH("Desert",BX391)),ISNUMBER(SEARCH("ExtremeDesert",BX391)),ISNUMBER(SEARCH("LavaField",BX391))),50,IF(ISNUMBER(SEARCH("Grasslands",BX391)),45,IF(OR(_xlfn.XLOOKUP(_xlfn.XLOOKUP(B391,'Base stats'!B:B,'Base stats'!E:E),Groups!A:A,Groups!G:G)=1,ISNUMBER(SEARCH("TropicalRainforest",BX391)),ISNUMBER(SEARCH("TropicalSwamp",BX391))),40,IF(OR(ISNUMBER(SEARCH("TemperateForest",BX391)),ISNUMBER(SEARCH("TemperateSwamp",BX391))),35,IF(OR(ISNUMBER(SEARCH("Alpine",BX391)),ISNUMBER(SEARCH("BorealForest",BX391)),ISNUMBER(SEARCH("ColdBog",BX391))),30,IF(ISNUMBER(OR(ISNUMBER(SEARCH("GlacialPlain",BX391)),SEARCH("Tundra",BX391))),25,IF(OR(ISNUMBER(SEARCH("SeaIce",BX391)),ISNUMBER(SEARCH("IceSheet",BX391)),ISNUMBER(SEARCH("TropicalSwamp",BX391))),10,35)))))))+_xlfn.XLOOKUP(B391,'Base stats'!B:B,'Base stats'!Q:Q)</f>
        <v>35</v>
      </c>
      <c r="N391" s="8" t="str">
        <f>IF(
_xlfn.XLOOKUP(
_xlfn.XLOOKUP(B391,'Base stats'!B:B,'Base stats'!E:E),
Groups!A:A,
Groups!L:L
)=1,
MIN(
MROUND(
IF(
_xlfn.XLOOKUP(B391,'Animals CE'!B:B,'Animals CE'!Z:Z)&lt;=1.5,
_xlfn.XLOOKUP(B391,'Animals CE'!B:B,'Animals CE'!Z:Z)/2+0.05,
0.8+
(_xlfn.XLOOKUP(B391,'Animals CE'!B:B,'Animals CE'!Z:Z)-1.5)
*0.02
),
0.05
),
200%
),
"No"
)</f>
        <v>No</v>
      </c>
      <c r="O391" s="8" t="str">
        <f>IF(
_xlfn.XLOOKUP(
_xlfn.XLOOKUP(B391,'Base stats'!B:B,'Base stats'!E:E),
Groups!A:A,
Groups!L:L
)=1,
MIN(
MROUND(
IF(
_xlfn.XLOOKUP(B391,'Animals CE'!B:B,'Animals CE'!AA:AA)&lt;=1.5,
_xlfn.XLOOKUP(B391,'Animals CE'!B:B,'Animals CE'!AA:AA)/2+0.05,
0.8+
(_xlfn.XLOOKUP(B391,'Animals CE'!B:B,'Animals CE'!AA:AA)-1.5)
*0.02
),
0.05
),
200%
),
"No"
)</f>
        <v>No</v>
      </c>
      <c r="P391" s="2" t="str">
        <f>_xlfn.XLOOKUP(B391,'Base stats'!B:B,'Base stats'!R:R)</f>
        <v>Standard</v>
      </c>
      <c r="Q391" s="13">
        <f>MROUND((LOG10(_xlfn.XLOOKUP(B391,'Base stats'!B:B,'Base stats'!AR:AR))*(AO391^0.5)+(_xlfn.XLOOKUP(B391,'Base stats'!B:B,'Base stats'!AR:AR)/1000)^(2/3)+_xlfn.XLOOKUP(B391,'Base stats'!B:B,'Base stats'!BA:BA)/2)+0.5,0.5)</f>
        <v>16.5</v>
      </c>
      <c r="R391" s="7">
        <f>IF(Q391="No","No",MAX(1,MROUND(_xlfn.XLOOKUP(B391,'Base stats'!B:B,'Base stats'!C:C)^0.165,0.05)))</f>
        <v>2.85</v>
      </c>
      <c r="S391" s="13" t="str">
        <f>IF(_xlfn.XLOOKUP(_xlfn.XLOOKUP(B391,'Base stats'!B:B,'Base stats'!E:E),Groups!A:A,Groups!P:P)=0,"No",MROUND((LOG10(_xlfn.XLOOKUP(B391,'Base stats'!B:B,'Base stats'!AS:AS))*(AO391^0.5)+(_xlfn.XLOOKUP(B391,'Base stats'!B:B,'Base stats'!AS:AS)/1000)^(2/3)+_xlfn.XLOOKUP(B391,'Base stats'!B:B,'Base stats'!BA:BA))+_xlfn.XLOOKUP(B391,'Base stats'!B:B,'Base stats'!AY:AY)+0.5,0.5))</f>
        <v>No</v>
      </c>
      <c r="T391" s="7" t="str">
        <f>IF(S391="No","No",MAX(_xlfn.XLOOKUP(_xlfn.XLOOKUP(B391,'Base stats'!B:B,'Base stats'!E:E),Groups!A:A,Groups!Q:Q),MROUND(_xlfn.XLOOKUP(_xlfn.XLOOKUP(B391,'Base stats'!B:B,'Base stats'!E:E),Groups!A:A,Groups!Q:Q)*_xlfn.XLOOKUP(B391,'Base stats'!B:B,'Base stats'!C:C)^0.165,0.05)))</f>
        <v>No</v>
      </c>
      <c r="U391" s="7" t="str">
        <f>IF(S391="No","No",_xlfn.XLOOKUP(_xlfn.XLOOKUP(B391,'Base stats'!B:B,'Base stats'!E:E),Groups!A:A,Groups!R:R))</f>
        <v>No</v>
      </c>
      <c r="V391" s="7" t="str">
        <f>IF(S391="No","No",_xlfn.XLOOKUP(_xlfn.XLOOKUP(B391,'Base stats'!B:B,'Base stats'!E:E),Groups!A:A,Groups!S:S))</f>
        <v>No</v>
      </c>
      <c r="W391" s="7" t="str">
        <f>IF(S391="No","No",_xlfn.XLOOKUP(_xlfn.XLOOKUP(B391,'Base stats'!B:B,'Base stats'!E:E),Groups!A:A,Groups!T:T))</f>
        <v>No</v>
      </c>
      <c r="X391" s="13" t="str">
        <f>IF(_xlfn.XLOOKUP(B391,'Base stats'!B:B,'Base stats'!W:W)="No","No",MROUND((LOG10(_xlfn.XLOOKUP(B391,'Base stats'!B:B,'Base stats'!AU:AU))*(AO391^0.5)+(_xlfn.XLOOKUP(B391,'Base stats'!B:B,'Base stats'!AU:AU)/1000)^(2/3)+_xlfn.XLOOKUP(B391,'Base stats'!B:B,'Base stats'!AZ:AZ))+0.5+IF(_xlfn.XLOOKUP(_xlfn.XLOOKUP(B391,'Base stats'!B:B,'Base stats'!E:E),Groups!A:A,Groups!U:U)&lt;&gt;3,_xlfn.XLOOKUP(B391,'Base stats'!B:B,'Base stats'!BA:BA),0),0.5))</f>
        <v>No</v>
      </c>
      <c r="Y391" s="7" t="str">
        <f>IF(X391="No","No",MAX(_xlfn.XLOOKUP(_xlfn.XLOOKUP(B391,'Base stats'!B:B,'Base stats'!E:E),Groups!A:A,Groups!V:V),MROUND(_xlfn.XLOOKUP(_xlfn.XLOOKUP(B391,'Base stats'!B:B,'Base stats'!E:E),Groups!A:A,Groups!V:V)*_xlfn.XLOOKUP(B391,'Base stats'!B:B,'Base stats'!C:C)^0.165,0.05)))</f>
        <v>No</v>
      </c>
      <c r="Z391" s="7" t="str">
        <f>IF(X391="No","No",_xlfn.XLOOKUP(_xlfn.XLOOKUP(B391,'Base stats'!B:B,'Base stats'!E:E),Groups!A:A,Groups!W:W))</f>
        <v>No</v>
      </c>
      <c r="AA391" s="7" t="str">
        <f>IF(X391="No","No",_xlfn.XLOOKUP(_xlfn.XLOOKUP(B391,'Base stats'!B:B,'Base stats'!E:E),Groups!A:A,Groups!X:X))</f>
        <v>No</v>
      </c>
      <c r="AB391" s="7" t="str">
        <f>IF(X391="No","No",_xlfn.XLOOKUP(_xlfn.XLOOKUP(B391,'Base stats'!B:B,'Base stats'!E:E),Groups!A:A,Groups!Y:Y))</f>
        <v>No</v>
      </c>
      <c r="AC391" s="7" t="str">
        <f>_xlfn.XLOOKUP(Animals!B391,'Base stats'!B:B,'Base stats'!X:X)</f>
        <v>False</v>
      </c>
      <c r="AD391" s="13">
        <f>IF(_xlfn.XLOOKUP(B391,'Base stats'!B:B,'Base stats'!AT:AT)="No","No",MROUND((LOG10(_xlfn.XLOOKUP(B391,'Base stats'!B:B,'Base stats'!AT:AT))*(AO391^0.75)+(_xlfn.XLOOKUP(B391,'Base stats'!B:B,'Base stats'!AT:AT)/1000)^(2/3)+_xlfn.XLOOKUP(B391,'Base stats'!B:B,'Base stats'!AX:AX)+_xlfn.XLOOKUP(B391,'Base stats'!B:B,'Base stats'!BA:BA))+0.5,0.5))</f>
        <v>33</v>
      </c>
      <c r="AE391" s="7">
        <f>IF(AD391="No","No",MAX(_xlfn.XLOOKUP(_xlfn.XLOOKUP(B391,'Base stats'!B:B,'Base stats'!E:E),Groups!A:A,Groups!Z:Z),MROUND(_xlfn.XLOOKUP(_xlfn.XLOOKUP(B391,'Base stats'!B:B,'Base stats'!E:E),Groups!A:A,Groups!Z:Z)*_xlfn.XLOOKUP(B391,'Base stats'!B:B,'Base stats'!C:C)^0.165,0.05)))</f>
        <v>2.4500000000000002</v>
      </c>
      <c r="AF391" s="7" t="str">
        <f>IF(AD391="No","No",_xlfn.XLOOKUP(_xlfn.XLOOKUP(B391,'Base stats'!B:B,'Base stats'!E:E),Groups!A:A,Groups!AA:AA))</f>
        <v>Teeth</v>
      </c>
      <c r="AG391" s="7" t="str">
        <f>IF(AD391="No","No",_xlfn.XLOOKUP(_xlfn.XLOOKUP(B391,'Base stats'!B:B,'Base stats'!E:E),Groups!A:A,Groups!AB:AB))</f>
        <v>teeth</v>
      </c>
      <c r="AH391" s="7" t="str">
        <f>IF(AD391="No","No",_xlfn.XLOOKUP(_xlfn.XLOOKUP(B391,'Base stats'!B:B,'Base stats'!E:E),Groups!A:A,Groups!AC:AC))</f>
        <v>ToxicBite</v>
      </c>
      <c r="AI391" s="13">
        <f>IF(_xlfn.XLOOKUP(_xlfn.XLOOKUP(B391,'Base stats'!B:B,'Base stats'!E:E),Groups!A:A,Groups!AD:AD)=0,"No",MROUND((LOG10(_xlfn.XLOOKUP(B391,'Base stats'!B:B,'Base stats'!AS:AS))*(AO391^0.75)+(_xlfn.XLOOKUP(B391,'Base stats'!B:B,'Base stats'!AS:AS)/1000)^(2/3)+_xlfn.XLOOKUP(B391,'Base stats'!B:B,'Base stats'!AY:AY)+_xlfn.XLOOKUP(B391,'Base stats'!B:B,'Base stats'!BA:BA))+0.5,0.5))</f>
        <v>24.5</v>
      </c>
      <c r="AJ391" s="7">
        <f>IF(AI391="No","No",MAX(_xlfn.XLOOKUP(_xlfn.XLOOKUP(B391,'Base stats'!B:B,'Base stats'!E:E),Groups!A:A,Groups!AE:AE),MROUND(_xlfn.XLOOKUP(_xlfn.XLOOKUP(B391,'Base stats'!B:B,'Base stats'!E:E),Groups!A:A,Groups!AE:AE)*IF(_xlfn.XLOOKUP(_xlfn.XLOOKUP(B391,'Base stats'!B:B,'Base stats'!E:E),Groups!A:A,Groups!AJ:AJ)="Photonozoa",0.6,1)*_xlfn.XLOOKUP(B391,'Base stats'!B:B,'Base stats'!C:C)^0.165,0.05)))</f>
        <v>2</v>
      </c>
      <c r="AK391" s="7" t="str">
        <f>IF(AI391="No","No",_xlfn.XLOOKUP(_xlfn.XLOOKUP(B391,'Base stats'!B:B,'Base stats'!E:E),Groups!A:A,Groups!AF:AF))</f>
        <v>FrontLeftClaws, FrontRightClaws</v>
      </c>
      <c r="AL391" s="7" t="str">
        <f>IF(AI391="No","No",_xlfn.XLOOKUP(_xlfn.XLOOKUP(B391,'Base stats'!B:B,'Base stats'!E:E),Groups!A:A,Groups!AG:AG))</f>
        <v>left claw, right claw</v>
      </c>
      <c r="AM391" s="7" t="str">
        <f>IF(AI391="No","No",_xlfn.XLOOKUP(_xlfn.XLOOKUP(B391,'Base stats'!B:B,'Base stats'!E:E),Groups!A:A,Groups!AH:AH))</f>
        <v>Scratch</v>
      </c>
      <c r="AN391" s="2">
        <f t="shared" si="49"/>
        <v>30</v>
      </c>
      <c r="AO391" s="2">
        <f>MROUND(IF(AND(_xlfn.XLOOKUP(B391,'Base stats'!B:B,'Base stats'!C:C)&gt;=0.5,_xlfn.XLOOKUP(B391,'Base stats'!B:B,'Base stats'!C:C)&lt;=0.8),
IF(_xlfn.XLOOKUP(B391,'Base stats'!B:B,'Base stats'!C:C)&lt;0.1,0.05,IF(_xlfn.XLOOKUP(B391,'Base stats'!B:B,'Base stats'!C:C)&lt;=70,(_xlfn.XLOOKUP(B391,'Base stats'!B:B,'Base stats'!C:C)/70)^0.426489913056526,IF(_xlfn.XLOOKUP(B391,'Base stats'!B:B,'Base stats'!C:C)&lt;=400,(_xlfn.XLOOKUP(B391,'Base stats'!B:B,'Base stats'!C:C)/70)^0.572811455315093,IF(_xlfn.XLOOKUP(B391,'Base stats'!B:B,'Base stats'!C:C)&lt;=2000,2.71391647193063*(_xlfn.XLOOKUP(B391,'Base stats'!B:B,'Base stats'!C:C)/400)^0.252459582904293,3.74314280240376*(_xlfn.XLOOKUP(B391,'Base stats'!B:B,'Base stats'!C:C)/2000)^0.357012633876913)))),
IF(_xlfn.XLOOKUP(B391,'Base stats'!B:B,'Base stats'!C:C)&lt;0.1,0.05,IF(_xlfn.XLOOKUP(B391,'Base stats'!B:B,'Base stats'!C:C)&lt;0.4,0.1,IF(_xlfn.XLOOKUP(B391,'Base stats'!B:B,'Base stats'!C:C)&lt;=70,(_xlfn.XLOOKUP(B391,'Base stats'!B:B,'Base stats'!C:C)/70)^0.445823913056526,IF(_xlfn.XLOOKUP(B391,'Base stats'!B:B,'Base stats'!C:C)&lt;=400,(_xlfn.XLOOKUP(B391,'Base stats'!B:B,'Base stats'!C:C)/70)^0.572811455315093,IF(_xlfn.XLOOKUP(B391,'Base stats'!B:B,'Base stats'!C:C)&lt;=2000,2.71391647193063*(_xlfn.XLOOKUP(B391,'Base stats'!B:B,'Base stats'!C:C)/400)^0.252459582904293,3.74314280240376*(_xlfn.XLOOKUP(B391,'Base stats'!B:B,'Base stats'!C:C)/2000)^0.357012633876913)))))),
IF(_xlfn.XLOOKUP(B391,'Base stats'!B:B,'Base stats'!C:C)&lt;0.1,0.05,IF(_xlfn.XLOOKUP(B391,'Base stats'!B:B,'Base stats'!C:C)&lt;=100,0.05,IF(_xlfn.XLOOKUP(B391,'Base stats'!B:B,'Base stats'!C:C)&lt;=250,0.1,IF(_xlfn.XLOOKUP(B391,'Base stats'!B:B,'Base stats'!C:C)&lt;=4000,0.25,0.5)))))</f>
        <v>3</v>
      </c>
      <c r="AP391" s="8">
        <f>MROUND(AO391*_xlfn.XLOOKUP(_xlfn.XLOOKUP(B391,'Base stats'!B:B,'Base stats'!E:E),Groups!A:A,Groups!AI:AI)*_xlfn.XLOOKUP(B391,'Base stats'!B:B,'Base stats'!Z:Z),0.05)</f>
        <v>3.6</v>
      </c>
      <c r="AQ391" s="8">
        <f>MAX(0.01,MROUND(IF(CC391="True",0.196*(AO391*100*1000)^0.889,IF(_xlfn.XLOOKUP(_xlfn.XLOOKUP(B391,'Base stats'!B:B,'Base stats'!E:E),Groups!A:A,Groups!AJ:AJ)="Bird",10.5*(AO391*100*1000)^0.681,4.82*(AO391*100*1000)^0.734))/(4.82*(1*100*1000)^0.734)/IF(AO391&lt;3.5,2,IF(AO391=3.5,1.5,1.25))*(1+0.132282374779864/(AO391^0.994035016789033+0.00905238001496948)),0.05))</f>
        <v>0.35000000000000003</v>
      </c>
      <c r="AR391" s="9">
        <f>IFERROR(MROUND(_xlfn.XLOOKUP(B391,'Base stats'!B:B,'Base stats'!H:H)/IF(_xlfn.XLOOKUP(B391,'Base stats'!B:B,'Base stats'!I:I)&lt;&gt;1,(122.5/70),1.2),IF(_xlfn.XLOOKUP(B391,'Base stats'!B:B,'Base stats'!H:H)&gt;=30,5,IF(_xlfn.XLOOKUP(B391,'Base stats'!B:B,'Base stats'!H:H)&gt;=15,3,IF(_xlfn.XLOOKUP(B391,'Base stats'!B:B,'Base stats'!H:H)&gt;=10,2,1)))),"Immortal")</f>
        <v>40</v>
      </c>
      <c r="AS391" s="35" t="str">
        <f>IFERROR(IF(OR(_xlfn.XLOOKUP(B391,'Base stats'!B:B,'Base stats'!F:F)="Atypical reproduction",_xlfn.XLOOKUP(B391,'Base stats'!B:B,'Base stats'!F:F)="Lay eggs"),"Lay eggs",MIN(20,MAX(5.5,ROUND(((_xlfn.XLOOKUP(B391,'Base stats'!B:B,'Base stats'!F:F)-25)*(14.5/615) + 5.5)*2,0)/2))),"Unknown")</f>
        <v>Lay eggs</v>
      </c>
      <c r="AT391" s="8">
        <f>IF(_xlfn.XLOOKUP(B391,'Base stats'!B:B,'Base stats'!G:G)="Atypical reproduction","No",IFERROR(MAX(IF(_xlfn.XLOOKUP(B391,'Base stats'!B:B,'Base stats'!G:G)&lt;0.5,0.2,0.3),MROUND(_xlfn.XLOOKUP(B391,'Base stats'!B:B,'Base stats'!G:G)/(365/60),0.2)),"Unknown"))</f>
        <v>1.6</v>
      </c>
      <c r="AU391" s="8">
        <f t="shared" si="50"/>
        <v>0.8</v>
      </c>
      <c r="AV391" s="8" t="str">
        <f>IFERROR(IFERROR(MROUND(_xlfn.XLOOKUP(B391,'Base stats'!B:B,'Base stats'!J:J),0.1),"Lay eggs"),"Cannot breed")</f>
        <v>Lay eggs</v>
      </c>
      <c r="AW391" s="2" t="str">
        <f t="shared" si="51"/>
        <v>false</v>
      </c>
      <c r="AX391" s="2" t="str">
        <f>IF(_xlfn.XLOOKUP(_xlfn.XLOOKUP(Animals!B391,'Base stats'!B:B,'Base stats'!E:E),Groups!A:A,Groups!AK:AK)=1,"true","false")</f>
        <v>false</v>
      </c>
      <c r="AY391" s="25" t="str">
        <f>IF(_xlfn.XLOOKUP(B391,'Base stats'!B:B,'Base stats'!Y:Y)="Liquor","Liquor, CarnivoreAnimalStrict",IF(AND(_xlfn.XLOOKUP(B391,'Base stats'!B:B,'Base stats'!Y:Y)="Carnivore",_xlfn.XLOOKUP(_xlfn.XLOOKUP(B391,'Base stats'!B:B,'Base stats'!E:E),Groups!A:A,Groups!AJ:AJ)="Photonozoa"),"CarnivoreAnimalStrict, OvivoreAnimal",IF(_xlfn.XLOOKUP(B391,'Base stats'!B:B,'Base stats'!Y:Y)="Carnivore","CarnivoreAnimal, OvivoreAnimal",IF(_xlfn.XLOOKUP(B391,'Base stats'!B:B,'Base stats'!Y:Y)="Dendrovore","VegetarianRoughAnimal, DendrovoreAnimal",IF(_xlfn.XLOOKUP(B391,'Base stats'!B:B,'Base stats'!Y:Y)="Herbivore","VegetarianRoughAnimal",IF(_xlfn.XLOOKUP(B391,'Base stats'!B:B,'Base stats'!Y:Y)="OmnivoreRough","OmnivoreRoughAnimal, OvivoreAnimal","OmnivoreAnimal, OvivoreAnimal"))))))</f>
        <v>CarnivoreAnimal, OvivoreAnimal</v>
      </c>
      <c r="AZ391" s="2" t="str">
        <f>IF(_xlfn.XLOOKUP(_xlfn.XLOOKUP(B391,'Base stats'!B:B,'Base stats'!E:E),Groups!A:A,Groups!D:D)=1,MROUND((1-J391)*5+1,2)*IF(J391&lt;=0.4,2,1),"No")</f>
        <v>No</v>
      </c>
      <c r="BA391" s="2" t="str">
        <f>IF(AND(_xlfn.XLOOKUP(B391,'Base stats'!B:B,'Base stats'!AH:AH)="&lt;li&gt;Seal&lt;/li&gt;",G391="Odyssey"),"&lt;li&gt;AEXP_Seal&lt;/li&gt;",_xlfn.XLOOKUP(B391,'Base stats'!B:B,'Base stats'!AH:AH))</f>
        <v>&lt;li&gt;Iguana&lt;/li&gt;</v>
      </c>
      <c r="BB391" s="2" t="str">
        <f>_xlfn.XLOOKUP(B391,'Base stats'!B:B,'Base stats'!AG:AG)</f>
        <v>Leather_Lizard</v>
      </c>
      <c r="BC391" s="23" t="str">
        <f>_xlfn.XLOOKUP(_xlfn.XLOOKUP(B391,'Base stats'!B:B,'Base stats'!E:E),Groups!A:A,Groups!AL:AL)</f>
        <v>QuadrupedAnimalWithClawsTailAndJowl</v>
      </c>
      <c r="BD391" s="23">
        <f>MIN(1,MROUND(IF(AND(AO391&lt;0.5,_xlfn.XLOOKUP(B391,'Base stats'!B:B,'Base stats'!AA:AA)=0),0,IF(OR(_xlfn.XLOOKUP(Animals!B391,'Base stats'!B:B,'Base stats'!O:O)=2,_xlfn.XLOOKUP(_xlfn.XLOOKUP(B391,'Base stats'!B:B,'Base stats'!E:E),Groups!A:A,Groups!AN:AN)=0),0,_xlfn.XLOOKUP(_xlfn.XLOOKUP(B391,'Base stats'!B:B,'Base stats'!E:E),Groups!A:A,Groups!AN:AN)/IF(_xlfn.XLOOKUP(Animals!B391,'Base stats'!B:B,'Base stats'!O:O)=1,2,1)))+_xlfn.XLOOKUP(B391,'Base stats'!B:B,'Base stats'!AC:AC),0.005))</f>
        <v>0.1</v>
      </c>
      <c r="BE391" s="23">
        <f>MIN(1,MROUND(IF(AND(AO391&lt;0.5,_xlfn.XLOOKUP(B391,'Base stats'!B:B,'Base stats'!AA:AA)=0),0,IF(_xlfn.XLOOKUP(_xlfn.XLOOKUP(B391,'Base stats'!B:B,'Base stats'!E:E),Groups!A:A,Groups!AO:AO)=0,0,_xlfn.XLOOKUP(_xlfn.XLOOKUP(B391,'Base stats'!B:B,'Base stats'!E:E),Groups!A:A,Groups!AO:AO)/IF(_xlfn.XLOOKUP(Animals!B391,'Base stats'!B:B,'Base stats'!O:O)=2,3,1)))+_xlfn.XLOOKUP(B391,'Base stats'!B:B,'Base stats'!AD:AD),0.005))</f>
        <v>0.3</v>
      </c>
      <c r="BF391" s="2" t="str">
        <f>IF(J391&gt;0.3,"No",_xlfn.XLOOKUP(_xlfn.XLOOKUP(Animals!B391,'Base stats'!B:B,'Base stats'!E:E),Groups!A:A,Groups!AP:AP))</f>
        <v>No</v>
      </c>
      <c r="BG391" s="2" t="str">
        <f>IF(AND(J391&lt;=0.65,_xlfn.XLOOKUP(_xlfn.XLOOKUP(Animals!B391,'Base stats'!B:B,'Base stats'!E:E),Groups!A:A,Groups!AP:AP)&lt;&gt;"No",_xlfn.XLOOKUP(_xlfn.XLOOKUP(B391,'Base stats'!B:B,'Base stats'!E:E),Groups!A:A,Groups!D:D)=0),MROUND((80/3)*IF(_xlfn.XLOOKUP(B391,'Base stats'!B:B,'Base stats'!O:O)=2,0.2,AO391) + 24*(1-IF(BF391="No",0,BF391)) + 16/3, 12),"No")</f>
        <v>No</v>
      </c>
      <c r="BH391" s="2">
        <f>IF(AND(_xlfn.XLOOKUP(_xlfn.XLOOKUP(B391,'Base stats'!B:B,'Base stats'!E:E),Groups!A:A,Groups!AQ:AQ)=1,AO391&lt;=0.35),8,12)</f>
        <v>12</v>
      </c>
      <c r="BI391" s="2" t="str">
        <f>IF(_xlfn.XLOOKUP(_xlfn.XLOOKUP(B391,'Base stats'!B:B,'Base stats'!E:E),Groups!A:A,Groups!D:D)=0,_xlfn.XLOOKUP(_xlfn.XLOOKUP(B391,'Base stats'!B:B,'Base stats'!E:E),Groups!A:A,Groups!AR:AR),"None")</f>
        <v>Intermediate</v>
      </c>
      <c r="BJ391" s="2" t="str">
        <f>IF(AND(_xlfn.XLOOKUP(_xlfn.XLOOKUP(B391,'Base stats'!B:B,'Base stats'!E:E),Groups!A:A,Groups!AS:AS)=1,OR(_xlfn.XLOOKUP(B391,'Base stats'!B:B,'Base stats'!Y:Y)="Carnivore",_xlfn.XLOOKUP(B391,'Base stats'!B:B,'Base stats'!Y:Y)="Omnivore")),"true","false")</f>
        <v>true</v>
      </c>
      <c r="BK391" s="2">
        <f>IF(BJ391="true",MROUND(IF(AND(AO391&gt;0.5,OR(_xlfn.XLOOKUP(_xlfn.XLOOKUP(B391,'Base stats'!B:B,'Base stats'!E:E),Groups!A:A,Groups!AJ:AJ)="Photonozoa",_xlfn.XLOOKUP(_xlfn.XLOOKUP(B391,'Base stats'!B:B,'Base stats'!E:E),Groups!A:A,Groups!AJ:AJ)="Mammal")),Animals!AO391*1.75*IF(AW391="true",1.5,1),IF(AO391&lt;0.5,Animals!AO391*0.5,Animals!AO391)),IF(AO391&gt;2,0.5,IF(AO391&gt;0.5,0.25,0.1))),"No")</f>
        <v>3</v>
      </c>
      <c r="BL391" s="2">
        <f t="shared" si="52"/>
        <v>1</v>
      </c>
      <c r="BM391" s="25" t="str">
        <f>IF(_xlfn.XLOOKUP(B391,'Base stats'!B:B,'Base stats'!AN:AN)="Standard","No",MROUND((_xlfn.XLOOKUP(B391,'Base stats'!B:B,'Base stats'!AN:AN)/3.6)/I391,0.1))</f>
        <v>No</v>
      </c>
      <c r="BN391" s="25" t="str">
        <f t="shared" si="53"/>
        <v>false</v>
      </c>
      <c r="BO391" s="25" t="str">
        <f>IF(AND(OR(_xlfn.XLOOKUP(B391,'Base stats'!B:B,'Base stats'!Y:Y)="Carnivore",_xlfn.XLOOKUP(B391,'Base stats'!B:B,'Base stats'!Y:Y)="Omnivore",_xlfn.XLOOKUP(B391,'Base stats'!B:B,'Base stats'!Y:Y)="OmnivoreRough"),_xlfn.XLOOKUP(_xlfn.XLOOKUP(B391,'Base stats'!B:B,'Base stats'!E:E),Groups!A:A,Groups!AT:AT)=1),"true","false")</f>
        <v>false</v>
      </c>
      <c r="BP391" s="25" t="str" cm="1">
        <f t="array" ref="BP391">IF(
  _xlfn.TEXTJOIN(", ",TRUE,
    IF(AND(BJ391="true",AO391&gt;0.5,BI391&lt;&gt;"None"),"AttackTarget",""),
    IF(AND(_xlfn.XLOOKUP(_xlfn.XLOOKUP(B391,'Base stats'!B:B,'Base stats'!E:E),Groups!A:A,Groups!AJ:AJ="Mammal"),OR(_xlfn.XLOOKUP(B391,'Base stats'!B:B,'Base stats'!Y:Y)="Omnivore",_xlfn.XLOOKUP(B391,'Base stats'!B:B,'Base stats'!Y:Y)="OmnivoreRough")),"Forage",""),
    IF(BG391&lt;=36,"Comfort",""),
    IF(_xlfn.XLOOKUP(B391,'Base stats'!B:B,'Base stats'!AE:AE)&lt;&gt;"No",_xlfn.XLOOKUP(B391,'Base stats'!B:B,'Base stats'!AE:AE),"")
  ) = "",
  "No",
  _xlfn.TEXTJOIN(", ",TRUE,
    IF(AND(BJ391="true",AO391&gt;0.5,BI391&lt;&gt;"None"),"AttackTarget",""),
    IF(AND(_xlfn.XLOOKUP(_xlfn.XLOOKUP(B391,'Base stats'!B:B,'Base stats'!E:E),Groups!A:A,Groups!AJ:AJ="Mammal"),OR(_xlfn.XLOOKUP(B391,'Base stats'!B:B,'Base stats'!Y:Y)="Omnivore",_xlfn.XLOOKUP(B391,'Base stats'!B:B,'Base stats'!Y:Y)="OmnivoreRough")),"Forage",""),
    IF(BG391&lt;=36,"Comfort",""),
    IF(_xlfn.XLOOKUP(B391,'Base stats'!B:B,'Base stats'!AE:AE)&lt;&gt;"No",_xlfn.XLOOKUP(B391,'Base stats'!B:B,'Base stats'!AE:AE),"")
  )
)</f>
        <v>AttackTarget</v>
      </c>
      <c r="BQ391" s="25" t="str">
        <f>IF(
   AND(
      'Base stats'!AN391="Standard",_xlfn.XLOOKUP(_xlfn.XLOOKUP(B391,'Base stats'!B:B,'Base stats'!E:E),Groups!A:A,Groups!AU:AU)=0,
      OR(
      BO391="True"
      )
   ),
   10,
   IF(
       OR(BM391&lt;&gt;"No",_xlfn.XLOOKUP(_xlfn.XLOOKUP(B391,'Base stats'!B:B,'Base stats'!E:E),Groups!A:A,Groups!AU:AU)=1),
      1,
      "No"
   )
)</f>
        <v>No</v>
      </c>
      <c r="BR391" s="9">
        <f>MROUND((1 + ((0.2*IF(OR(Q391="No",R391="No",R391=0),0,Q391/R391)
+IF(OR(V391="No",S391="No",T391="No"),0,S391/T391*(LEN(V391)-LEN(SUBSTITUTE(V391,",",""))+1))
+IF(OR(X391="No",Y391="No"),0,X391/Y391)
+IF(OR(AD391="No",AE391="No"),0,AD391/AE391)
+IF(OR(AL391="No",AI391="No",AJ391="No"),0,AI391/AJ391*(LEN(AL391)-LEN(SUBSTITUTE(AL391,",",""))+1))
)/(0.2*IF(OR(Q391="No",R391="No",R391=0),0,1)
+IF(OR(V391="No",S391="No",T391="No"),0,LEN(V391)-LEN(SUBSTITUTE(V391,",",""))+1)
+IF(OR(X391="No",Y391="No"),0,1)
+IF(OR(AD391="No",AE391="No"),0,1)
+IF(OR(AL391="No",AI391="No",AJ391="No"),0,LEN(AL391)-LEN(SUBSTITUTE(AL391,",",""))+1))*62%)* 2)*(1 + (AP391 / (IF(_xlfn.XLOOKUP(_xlfn.XLOOKUP(B391,'Base stats'!B:B,'Base stats'!E:E),Groups!A:A,Groups!AJ:AJ)="Photonozoa",0.3,1)) + _xlfn.XLOOKUP(B391,'Base stats'!B:B,'Base stats'!AV:AV) * 1.8) * 2) * 2.5 + 10 + I391 * 2,5)+IF(_xlfn.XLOOKUP(B391,'Base stats'!B:B,'Base stats'!AK:AK)=1,50,0)</f>
        <v>345</v>
      </c>
      <c r="BS391" s="8">
        <f t="shared" si="54"/>
        <v>0.9</v>
      </c>
      <c r="BT391" s="8" t="str">
        <f>_xlfn.XLOOKUP(B391,'Base stats'!B:B,'Base stats'!AF:AF)</f>
        <v>No</v>
      </c>
      <c r="BU391" s="2" t="str">
        <f>IF(AND(J391&lt;=0.95,OR(_xlfn.XLOOKUP(B391,'Base stats'!B:B,'Base stats'!AK:AK)=1,_xlfn.XLOOKUP(B391,'Base stats'!B:B,'Base stats'!Y:Y)="Carnivore",_xlfn.XLOOKUP(B391,'Base stats'!B:B,'Base stats'!Y:Y)="Omnivore",BE391&gt;0.1)),"true","false")</f>
        <v>true</v>
      </c>
      <c r="BV391" s="2" t="str">
        <f>IF(_xlfn.XLOOKUP(B391,'Base stats'!B:B,'Base stats'!AI:AI)=1,"true","false")</f>
        <v>false</v>
      </c>
      <c r="BW391" s="25" t="str">
        <f>IF(E391="BaseInsect","AnimalInsect",
IF(J391&gt;0.95,"AnimalExotic",
_xlfn.TEXTJOIN(", ",TRUE,
IF(OR(_xlfn.XLOOKUP(B391,'Base stats'!B:B,'Base stats'!AM:AM)=1,AND(_xlfn.XLOOKUP(B391,'Base stats'!B:B,'Base stats'!O:O)=0,_xlfn.XLOOKUP(_xlfn.XLOOKUP(B391,'Base stats'!B:B,'Base stats'!E:E),Groups!A:A,Groups!B:B)&gt;0)),"AnimalUncommon","AnimalCommon"),
IF(AND(_xlfn.XLOOKUP(B391,'Base stats'!B:B,'Base stats'!O:O)=2,_xlfn.XLOOKUP(_xlfn.XLOOKUP(B391,'Base stats'!B:B,'Base stats'!E:E),Groups!A:A,Groups!D:D)=0),"AnimalPet",IF(AND(_xlfn.XLOOKUP(B391,'Base stats'!B:B,'Base stats'!O:O)&lt;&gt;0,_xlfn.XLOOKUP(_xlfn.XLOOKUP(B391,'Base stats'!B:B,'Base stats'!E:E),Groups!A:A,Groups!D:D)&lt;&gt;0),"AnimalFarm","")),
IF(OR(_xlfn.XLOOKUP(B391,'Base stats'!B:B,'Base stats'!AK:AK)=1,AND(BI391&lt;&gt;"None",BR391&gt;=60),ISNUMBER(SEARCH("Attack target",BP391))),"AnimalFighter","")
)))</f>
        <v>AnimalUncommon, AnimalFighter</v>
      </c>
      <c r="BX391" s="25" t="str">
        <f>IF(G391="None",TRIM(
SUBSTITUTE(
IF(COUNTIF(Biomes!B$2:B$259,"="&amp;$C391)&gt;0,Biomes!B$1&amp;", ","")&amp;
IF(COUNTIF(Biomes!C$2:C$259,"="&amp;$C391)&gt;0,Biomes!C$1&amp;", ","")&amp;
IF(COUNTIF(Biomes!D$2:D$259,"="&amp;$C391)&gt;0,Biomes!D$1&amp;", ","")&amp;
IF(COUNTIF(Biomes!F$2:F$259,"="&amp;$C391)&gt;0,Biomes!F$1&amp;", ","")&amp;
IF(COUNTIF(Biomes!G$2:G$259,"="&amp;$C391)&gt;0,Biomes!G$1&amp;", ","")&amp;
IF(COUNTIF(Biomes!H$2:H$259,"="&amp;$C391)&gt;0,Biomes!H$1&amp;", ","")&amp;
IF(COUNTIF(Biomes!I$2:I$259,"="&amp;$C391)&gt;0,Biomes!I$1&amp;", ","")&amp;
IF(COUNTIF(Biomes!J$2:J$259,"="&amp;$C391)&gt;0,Biomes!J$1&amp;", ","")&amp;
IF(COUNTIF(Biomes!M$2:M$259,"="&amp;$C391)&gt;0,Biomes!M$1&amp;", ","")&amp;
IF(COUNTIF(Biomes!N$2:N$259,"="&amp;$C391)&gt;0,Biomes!N$1&amp;", ","")&amp;
IF(COUNTIF(Biomes!O$2:O$259,"="&amp;$C391)&gt;0,Biomes!O$1&amp;", ","")&amp;
IF(COUNTIF(Biomes!P$2:P$259,"="&amp;$C391)&gt;0,Biomes!P$1&amp;", ","")&amp;
IF(COUNTIF(Biomes!K$2:K$259,"="&amp;$C391)&gt;0,Biomes!K$1&amp;", ","")&amp;
IF(COUNTIF(Biomes!Q$3:Q$259,"="&amp;$C391)&gt;0,Biomes!Q$1&amp;", ","")&amp;
IF(COUNTIF(Biomes!L$2:L$259,"="&amp;$C391)&gt;0,Biomes!L$1&amp;", ","")&amp;
IF(COUNTIF(Biomes!E$2:E$259,"="&amp;$C391)&gt;0,Biomes!E$1&amp;", ","")&amp;IF(COUNTIF(Biomes!S$2:S$259,"="&amp;$C391)&gt;0,Biomes!S$1&amp;", ","")&amp;
IF(COUNTIF(Biomes!R$2:R$259,"="&amp;$C391)&gt;0,Biomes!R$1&amp;", ",""),", ","")
),_xlfn.XLOOKUP(B391,B:B,BX:BX))</f>
        <v/>
      </c>
      <c r="BY391" s="25" t="str">
        <f>IF(_xlfn.XLOOKUP(B391,'Base stats'!B:B,'Base stats'!AJ:AJ)=1,"true","false")</f>
        <v>false</v>
      </c>
      <c r="BZ391" s="25">
        <f>IF(_xlfn.XLOOKUP(B391,'Base stats'!B:B,'Base stats'!N:N)=1,"No",MAX(0.001,MIN(MROUND(IF(AND(BJ391="True",CC391="False"),POWER(10,3.47*LOG10(_xlfn.XLOOKUP(B391,'Base stats'!B:B,'Base stats'!C:C)*1000)^-0.96),POWER(10,4.15*LOG10(_xlfn.XLOOKUP(B391,'Base stats'!B:B,'Base stats'!C:C)*1000)^-0.73))*IF(_xlfn.XLOOKUP(B391,'Base stats'!B:B,'Base stats'!AK:AK)=1,0.5,1)*IF(_xlfn.XLOOKUP(B391,'Base stats'!B:B,'Base stats'!AM:AM)=1,0.1,1)/100,IF(_xlfn.XLOOKUP(B391,'Base stats'!B:B,'Base stats'!AM:AM)=1,0.001,0.025)),0.5)))</f>
        <v>0.15000000000000002</v>
      </c>
      <c r="CA391" s="25" t="str">
        <f>IF(P391="Standard","No",MAX(0.001,MIN(MROUND(IF(AND(BJ391="True",CC391="False"),POWER(10,3.47*LOG10(_xlfn.XLOOKUP(B391,'Base stats'!B:B,'Base stats'!C:C)*1000)^-0.96),POWER(10,4.15*LOG10(_xlfn.XLOOKUP(B391,'Base stats'!B:B,'Base stats'!C:C)*1000)^-0.73))*IF(_xlfn.XLOOKUP(B391,'Base stats'!B:B,'Base stats'!AM:AM)=1,0.1,1)*_xlfn.XLOOKUP(B391,'Base stats'!B:B,'Base stats'!R:R)/100,IF(_xlfn.XLOOKUP(B391,'Base stats'!B:B,'Base stats'!AM:AM)=1,0.001,0.025)),0.5)))</f>
        <v>No</v>
      </c>
      <c r="CB391" s="25" t="str">
        <f>IF(_xlfn.XLOOKUP(_xlfn.XLOOKUP(B391,'Base stats'!B:B,'Base stats'!E:E),Groups!A:A,Groups!AJ:AJ)="Mammal","True","False")</f>
        <v>False</v>
      </c>
      <c r="CC391" s="25" t="str">
        <f>IF(OR(_xlfn.XLOOKUP(_xlfn.XLOOKUP(B391,'Base stats'!B:B,'Base stats'!E:E),Groups!A:A,Groups!AJ:AJ)="Reptile",_xlfn.XLOOKUP(_xlfn.XLOOKUP(B391,'Base stats'!B:B,'Base stats'!E:E),Groups!A:A,Groups!AJ:AJ)="Amphibian",_xlfn.XLOOKUP(_xlfn.XLOOKUP(B391,'Base stats'!B:B,'Base stats'!E:E),Groups!A:A,Groups!AJ:AJ)="Invertebrate"),"True","False")</f>
        <v>True</v>
      </c>
      <c r="CD391" s="25" t="str">
        <f t="shared" si="55"/>
        <v>False</v>
      </c>
      <c r="CE391" s="25" t="str">
        <f>IF(_xlfn.XLOOKUP(_xlfn.XLOOKUP(B391,'Base stats'!B:B,'Base stats'!E:E),Groups!A:A,Groups!AX:AX),"True","False")</f>
        <v>False</v>
      </c>
      <c r="CF391" s="25" t="str">
        <f>IF(_xlfn.XLOOKUP(_xlfn.XLOOKUP(B391,'Base stats'!B:B,'Base stats'!E:E),Groups!A:A,Groups!AY:AY),"True","False")</f>
        <v>False</v>
      </c>
      <c r="CG391" s="25" t="str">
        <f>IF(_xlfn.XLOOKUP(_xlfn.XLOOKUP(B391,'Base stats'!B:B,'Base stats'!E:E),Groups!A:A,Groups!AW:AW),"True","False")</f>
        <v>False</v>
      </c>
      <c r="CH391" s="25" t="str">
        <f>IF(
OR(
_xlfn.XLOOKUP(_xlfn.XLOOKUP(B391,'Base stats'!B:B,'Base stats'!E:E),Groups!A:A,Groups!AZ:AZ)=0,
AND(
_xlfn.XLOOKUP(B391,'Base stats'!B:B,'Base stats'!Y:Y)&lt;&gt;"Carnivore",
_xlfn.XLOOKUP(B391,'Base stats'!B:B,'Base stats'!Y:Y)&lt;&gt;"Omnivore",
_xlfn.XLOOKUP(B391,'Base stats'!B:B,'Base stats'!Y:Y)&lt;&gt;"OmnivoreRough"
)
),
"No",
IF(
_xlfn.XLOOKUP(_xlfn.XLOOKUP(B391,'Base stats'!B:B,'Base stats'!E:E),Groups!A:A,Groups!AZ:AZ)=1,
"Flesh",
IF(
_xlfn.XLOOKUP(_xlfn.XLOOKUP(B391,'Base stats'!B:B,'Base stats'!E:E),Groups!A:A,Groups!AZ:AZ)=2,
"Bone",
""
)
)
)</f>
        <v>Flesh</v>
      </c>
      <c r="CI391" s="25" t="str">
        <f>IF(_xlfn.XLOOKUP(_xlfn.XLOOKUP(B391,'Base stats'!B:B,'Base stats'!E:E),Groups!A:A,Groups!BB:BB),"True","False")</f>
        <v>False</v>
      </c>
      <c r="CJ391" s="25" t="str">
        <f>IF(_xlfn.XLOOKUP(_xlfn.XLOOKUP(B391,'Base stats'!B:B,'Base stats'!E:E),Groups!A:A,Groups!BA:BA),"True","False")</f>
        <v>False</v>
      </c>
    </row>
    <row r="392" spans="1:88" ht="16.5" thickTop="1" thickBot="1" x14ac:dyDescent="0.3">
      <c r="A392" s="26" t="s">
        <v>2081</v>
      </c>
      <c r="B392" s="6" t="str">
        <f>_xlfn.XLOOKUP(A392,'Base stats'!A:A,'Base stats'!B:B)</f>
        <v>Gomphotaria pugnax</v>
      </c>
      <c r="C392" s="28" t="str">
        <f t="shared" si="56"/>
        <v>&lt;li&gt;Gomphotaria&lt;/li&gt;</v>
      </c>
      <c r="D392" s="28" t="s">
        <v>2126</v>
      </c>
      <c r="E392" s="28" t="s">
        <v>673</v>
      </c>
      <c r="F392" s="28" t="s">
        <v>673</v>
      </c>
      <c r="G392" s="28" t="s">
        <v>673</v>
      </c>
      <c r="H392" s="2">
        <f>MROUND((
  (IF(AND(_xlfn.XLOOKUP(B392,'Base stats'!B:B,'Base stats'!AL:AL)=0,BI392="None",_xlfn.XLOOKUP(_xlfn.XLOOKUP(B392,'Base stats'!B:B,'Base stats'!E:E),Groups!A:A,Groups!B:B)=0), (18 + BR392 * 2.7) * 0.5,
    IF(AND(_xlfn.XLOOKUP(B392,'Base stats'!B:B,'Base stats'!AL:AL)=0,OR(AO392&lt;0.55,AND(BI392="Intermediate",_xlfn.XLOOKUP(_xlfn.XLOOKUP(B392,'Base stats'!B:B,'Base stats'!E:E),Groups!A:A,Groups!B:B)&lt;2))), (18 + BR392 * 2.7),
      IF(OR(BI392="Advanced",_xlfn.XLOOKUP(B392,'Base stats'!B:B,'Base stats'!AL:AL)=1,_xlfn.XLOOKUP(_xlfn.XLOOKUP(B392,'Base stats'!B:B,'Base stats'!E:E),Groups!A:A,Groups!B:B)=2), (18 + BR392 * 2.7) + 250, (18 + BR392 * 2.7))
    )
  ))
  + AO392 * 80
  + IF(COUNTIF(EggMilk!K$2:K$998, A392) &gt; 0, 125, 0)
  + IF(COUNTIF(EggMilk!P$2:P$998, A392) &gt; 0, 90, 0)
  + IF(COUNTIF(EggMilk!A$2:A$998, A392) &gt; 0, 90, 0)
)
* (0.8 + 0.4 * J392)
* 0.75,25)</f>
        <v>975</v>
      </c>
      <c r="I392" s="2">
        <f>MROUND(ROUNDDOWN(_xlfn.XLOOKUP(B392,'Base stats'!B:B,'Base stats'!L:L)/3.6/(23.3/11),1),0.5)</f>
        <v>1.5</v>
      </c>
      <c r="J392" s="2">
        <f>IF(OR(_xlfn.XLOOKUP(B392,'Base stats'!B:B,'Base stats'!AB:AB)=1,_xlfn.XLOOKUP(_xlfn.XLOOKUP(B392,'Base stats'!B:B,'Base stats'!E:E),Groups!A:A,Groups!C:C)="Untamable"),1,IF(_xlfn.XLOOKUP(B392,'Base stats'!B:B,'Base stats'!AL:AL)=1,0.99,MIN(MROUND((1-0.6282*EXP(-0.459*AO392))*_xlfn.XLOOKUP(_xlfn.XLOOKUP(B392,'Base stats'!B:B,'Base stats'!E:E),Groups!A:A,Groups!C:C)*IF(_xlfn.XLOOKUP(B392,'Base stats'!B:B,'Base stats'!O:O)=1,0.5,IF(_xlfn.XLOOKUP(B392,'Base stats'!B:B,'Base stats'!O:O)=2,0,1)),0.05),IF(AO392&gt;3.5,0.985,0.95))))</f>
        <v>0.9</v>
      </c>
      <c r="K392" s="2">
        <f>ROUNDUP(AO392*_xlfn.XLOOKUP(_xlfn.XLOOKUP(B392,'Base stats'!B:B,'Base stats'!E:E),Groups!A:A,Groups!E:E),0)</f>
        <v>4</v>
      </c>
      <c r="L392" s="2">
        <f>IF(OR(_xlfn.XLOOKUP(_xlfn.XLOOKUP(B392,'Base stats'!B:B,'Base stats'!E:E),Groups!A:A,Groups!F:F)=2,ISNUMBER(SEARCH("SeaIce",BX392)),ISNUMBER(SEARCH("IceSheet",BX392))),-50,IF(OR(ISNUMBER(SEARCH("GlacialPlain",BX392)),ISNUMBER(SEARCH("Tundra",BX392))),-40,IF(OR(ISNUMBER(SEARCH("Alpine",BX392)),ISNUMBER(SEARCH("BorealForest",BX392)),ISNUMBER(SEARCH("ColdBog",BX392))),-30,IF(OR(ISNUMBER(SEARCH("TemperateForest",BX392)),ISNUMBER(SEARCH("TemperateSwamp",BX392))),-20,IF(_xlfn.XLOOKUP(_xlfn.XLOOKUP(B392,'Base stats'!B:B,'Base stats'!E:E),Groups!A:A,Groups!F:F)=1,-15,IF(OR(ISNUMBER(SEARCH("Desert",BX392)),ISNUMBER(SEARCH("ExtremeDesert",BX392))),-10,IF(OR(ISNUMBER(SEARCH("Grasslands",BX392)),ISNUMBER(SEARCH("TropicalRainforest",BX392)),ISNUMBER(SEARCH("TropicalSwamp",BX392))),10,0)))))))-IF(CC392="False",MIN(IFERROR(MAX(MROUND(LOG10(_xlfn.XLOOKUP(B392,'Base stats'!B:B,'Base stats'!C:C)^(2/3))*10,5),5),5),30))-_xlfn.XLOOKUP(B392,'Base stats'!B:B,'Base stats'!P:P)+IF(CC392="True",5,0)</f>
        <v>-20</v>
      </c>
      <c r="M392" s="2">
        <f>IF(OR(_xlfn.XLOOKUP(_xlfn.XLOOKUP(B392,'Base stats'!B:B,'Base stats'!E:E),Groups!A:A,Groups!G:G)=2,ISNUMBER(SEARCH("Desert",BX392)),ISNUMBER(SEARCH("ExtremeDesert",BX392)),ISNUMBER(SEARCH("LavaField",BX392))),50,IF(ISNUMBER(SEARCH("Grasslands",BX392)),45,IF(OR(_xlfn.XLOOKUP(_xlfn.XLOOKUP(B392,'Base stats'!B:B,'Base stats'!E:E),Groups!A:A,Groups!G:G)=1,ISNUMBER(SEARCH("TropicalRainforest",BX392)),ISNUMBER(SEARCH("TropicalSwamp",BX392))),40,IF(OR(ISNUMBER(SEARCH("TemperateForest",BX392)),ISNUMBER(SEARCH("TemperateSwamp",BX392))),35,IF(OR(ISNUMBER(SEARCH("Alpine",BX392)),ISNUMBER(SEARCH("BorealForest",BX392)),ISNUMBER(SEARCH("ColdBog",BX392))),30,IF(ISNUMBER(OR(ISNUMBER(SEARCH("GlacialPlain",BX392)),SEARCH("Tundra",BX392))),25,IF(OR(ISNUMBER(SEARCH("SeaIce",BX392)),ISNUMBER(SEARCH("IceSheet",BX392)),ISNUMBER(SEARCH("TropicalSwamp",BX392))),10,35)))))))+_xlfn.XLOOKUP(B392,'Base stats'!B:B,'Base stats'!Q:Q)</f>
        <v>35</v>
      </c>
      <c r="N392" s="8" t="str">
        <f>IF(
_xlfn.XLOOKUP(
_xlfn.XLOOKUP(B392,'Base stats'!B:B,'Base stats'!E:E),
Groups!A:A,
Groups!L:L
)=1,
MIN(
MROUND(
IF(
_xlfn.XLOOKUP(B392,'Animals CE'!B:B,'Animals CE'!Z:Z)&lt;=1.5,
_xlfn.XLOOKUP(B392,'Animals CE'!B:B,'Animals CE'!Z:Z)/2+0.05,
0.8+
(_xlfn.XLOOKUP(B392,'Animals CE'!B:B,'Animals CE'!Z:Z)-1.5)
*0.02
),
0.05
),
200%
),
"No"
)</f>
        <v>No</v>
      </c>
      <c r="O392" s="8" t="str">
        <f>IF(
_xlfn.XLOOKUP(
_xlfn.XLOOKUP(B392,'Base stats'!B:B,'Base stats'!E:E),
Groups!A:A,
Groups!L:L
)=1,
MIN(
MROUND(
IF(
_xlfn.XLOOKUP(B392,'Animals CE'!B:B,'Animals CE'!AA:AA)&lt;=1.5,
_xlfn.XLOOKUP(B392,'Animals CE'!B:B,'Animals CE'!AA:AA)/2+0.05,
0.8+
(_xlfn.XLOOKUP(B392,'Animals CE'!B:B,'Animals CE'!AA:AA)-1.5)
*0.02
),
0.05
),
200%
),
"No"
)</f>
        <v>No</v>
      </c>
      <c r="P392" s="2" t="str">
        <f>_xlfn.XLOOKUP(B392,'Base stats'!B:B,'Base stats'!R:R)</f>
        <v>Standard</v>
      </c>
      <c r="Q392" s="13">
        <f>MROUND((LOG10(_xlfn.XLOOKUP(B392,'Base stats'!B:B,'Base stats'!AR:AR))*(AO392^0.5)+(_xlfn.XLOOKUP(B392,'Base stats'!B:B,'Base stats'!AR:AR)/1000)^(2/3)+_xlfn.XLOOKUP(B392,'Base stats'!B:B,'Base stats'!BA:BA)/2)+0.5,0.5)</f>
        <v>23.5</v>
      </c>
      <c r="R392" s="7">
        <f>IF(Q392="No","No",MAX(1,MROUND(_xlfn.XLOOKUP(B392,'Base stats'!B:B,'Base stats'!C:C)^0.165,0.05)))</f>
        <v>3.35</v>
      </c>
      <c r="S392" s="13" t="str">
        <f>IF(_xlfn.XLOOKUP(_xlfn.XLOOKUP(B392,'Base stats'!B:B,'Base stats'!E:E),Groups!A:A,Groups!P:P)=0,"No",MROUND((LOG10(_xlfn.XLOOKUP(B392,'Base stats'!B:B,'Base stats'!AS:AS))*(AO392^0.5)+(_xlfn.XLOOKUP(B392,'Base stats'!B:B,'Base stats'!AS:AS)/1000)^(2/3)+_xlfn.XLOOKUP(B392,'Base stats'!B:B,'Base stats'!BA:BA))+_xlfn.XLOOKUP(B392,'Base stats'!B:B,'Base stats'!AY:AY)+0.5,0.5))</f>
        <v>No</v>
      </c>
      <c r="T392" s="7" t="str">
        <f>IF(S392="No","No",MAX(_xlfn.XLOOKUP(_xlfn.XLOOKUP(B392,'Base stats'!B:B,'Base stats'!E:E),Groups!A:A,Groups!Q:Q),MROUND(_xlfn.XLOOKUP(_xlfn.XLOOKUP(B392,'Base stats'!B:B,'Base stats'!E:E),Groups!A:A,Groups!Q:Q)*_xlfn.XLOOKUP(B392,'Base stats'!B:B,'Base stats'!C:C)^0.165,0.05)))</f>
        <v>No</v>
      </c>
      <c r="U392" s="7" t="str">
        <f>IF(S392="No","No",_xlfn.XLOOKUP(_xlfn.XLOOKUP(B392,'Base stats'!B:B,'Base stats'!E:E),Groups!A:A,Groups!R:R))</f>
        <v>No</v>
      </c>
      <c r="V392" s="7" t="str">
        <f>IF(S392="No","No",_xlfn.XLOOKUP(_xlfn.XLOOKUP(B392,'Base stats'!B:B,'Base stats'!E:E),Groups!A:A,Groups!S:S))</f>
        <v>No</v>
      </c>
      <c r="W392" s="7" t="str">
        <f>IF(S392="No","No",_xlfn.XLOOKUP(_xlfn.XLOOKUP(B392,'Base stats'!B:B,'Base stats'!E:E),Groups!A:A,Groups!T:T))</f>
        <v>No</v>
      </c>
      <c r="X392" s="13">
        <f>IF(_xlfn.XLOOKUP(B392,'Base stats'!B:B,'Base stats'!W:W)="No","No",MROUND((LOG10(_xlfn.XLOOKUP(B392,'Base stats'!B:B,'Base stats'!AU:AU))*(AO392^0.5)+(_xlfn.XLOOKUP(B392,'Base stats'!B:B,'Base stats'!AU:AU)/1000)^(2/3)+_xlfn.XLOOKUP(B392,'Base stats'!B:B,'Base stats'!AZ:AZ))+0.5+IF(_xlfn.XLOOKUP(_xlfn.XLOOKUP(B392,'Base stats'!B:B,'Base stats'!E:E),Groups!A:A,Groups!U:U)&lt;&gt;3,_xlfn.XLOOKUP(B392,'Base stats'!B:B,'Base stats'!BA:BA),0),0.5))</f>
        <v>22</v>
      </c>
      <c r="Y392" s="7">
        <f>IF(X392="No","No",MAX(_xlfn.XLOOKUP(_xlfn.XLOOKUP(B392,'Base stats'!B:B,'Base stats'!E:E),Groups!A:A,Groups!V:V),MROUND(_xlfn.XLOOKUP(_xlfn.XLOOKUP(B392,'Base stats'!B:B,'Base stats'!E:E),Groups!A:A,Groups!V:V)*_xlfn.XLOOKUP(B392,'Base stats'!B:B,'Base stats'!C:C)^0.165,0.05)))</f>
        <v>2.5</v>
      </c>
      <c r="Z392" s="7" t="str">
        <f>IF(X392="No","No",_xlfn.XLOOKUP(_xlfn.XLOOKUP(B392,'Base stats'!B:B,'Base stats'!E:E),Groups!A:A,Groups!W:W))</f>
        <v>TuskAttackTool</v>
      </c>
      <c r="AA392" s="7" t="str">
        <f>IF(X392="No","No",_xlfn.XLOOKUP(_xlfn.XLOOKUP(B392,'Base stats'!B:B,'Base stats'!E:E),Groups!A:A,Groups!X:X))</f>
        <v>tusk</v>
      </c>
      <c r="AB392" s="7" t="str">
        <f>IF(X392="No","No",_xlfn.XLOOKUP(_xlfn.XLOOKUP(B392,'Base stats'!B:B,'Base stats'!E:E),Groups!A:A,Groups!Y:Y))</f>
        <v>Scratch</v>
      </c>
      <c r="AC392" s="7" t="str">
        <f>_xlfn.XLOOKUP(Animals!B392,'Base stats'!B:B,'Base stats'!X:X)</f>
        <v>False</v>
      </c>
      <c r="AD392" s="13" t="str">
        <f>IF(_xlfn.XLOOKUP(B392,'Base stats'!B:B,'Base stats'!AT:AT)="No","No",MROUND((LOG10(_xlfn.XLOOKUP(B392,'Base stats'!B:B,'Base stats'!AT:AT))*(AO392^0.75)+(_xlfn.XLOOKUP(B392,'Base stats'!B:B,'Base stats'!AT:AT)/1000)^(2/3)+_xlfn.XLOOKUP(B392,'Base stats'!B:B,'Base stats'!AX:AX)+_xlfn.XLOOKUP(B392,'Base stats'!B:B,'Base stats'!BA:BA))+0.5,0.5))</f>
        <v>No</v>
      </c>
      <c r="AE392" s="7" t="str">
        <f>IF(AD392="No","No",MAX(_xlfn.XLOOKUP(_xlfn.XLOOKUP(B392,'Base stats'!B:B,'Base stats'!E:E),Groups!A:A,Groups!Z:Z),MROUND(_xlfn.XLOOKUP(_xlfn.XLOOKUP(B392,'Base stats'!B:B,'Base stats'!E:E),Groups!A:A,Groups!Z:Z)*_xlfn.XLOOKUP(B392,'Base stats'!B:B,'Base stats'!C:C)^0.165,0.05)))</f>
        <v>No</v>
      </c>
      <c r="AF392" s="7" t="str">
        <f>IF(AD392="No","No",_xlfn.XLOOKUP(_xlfn.XLOOKUP(B392,'Base stats'!B:B,'Base stats'!E:E),Groups!A:A,Groups!AA:AA))</f>
        <v>No</v>
      </c>
      <c r="AG392" s="7" t="str">
        <f>IF(AD392="No","No",_xlfn.XLOOKUP(_xlfn.XLOOKUP(B392,'Base stats'!B:B,'Base stats'!E:E),Groups!A:A,Groups!AB:AB))</f>
        <v>No</v>
      </c>
      <c r="AH392" s="7" t="str">
        <f>IF(AD392="No","No",_xlfn.XLOOKUP(_xlfn.XLOOKUP(B392,'Base stats'!B:B,'Base stats'!E:E),Groups!A:A,Groups!AC:AC))</f>
        <v>No</v>
      </c>
      <c r="AI392" s="13" t="str">
        <f>IF(_xlfn.XLOOKUP(_xlfn.XLOOKUP(B392,'Base stats'!B:B,'Base stats'!E:E),Groups!A:A,Groups!AD:AD)=0,"No",MROUND((LOG10(_xlfn.XLOOKUP(B392,'Base stats'!B:B,'Base stats'!AS:AS))*(AO392^0.75)+(_xlfn.XLOOKUP(B392,'Base stats'!B:B,'Base stats'!AS:AS)/1000)^(2/3)+_xlfn.XLOOKUP(B392,'Base stats'!B:B,'Base stats'!AY:AY)+_xlfn.XLOOKUP(B392,'Base stats'!B:B,'Base stats'!BA:BA))+0.5,0.5))</f>
        <v>No</v>
      </c>
      <c r="AJ392" s="7" t="str">
        <f>IF(AI392="No","No",MAX(_xlfn.XLOOKUP(_xlfn.XLOOKUP(B392,'Base stats'!B:B,'Base stats'!E:E),Groups!A:A,Groups!AE:AE),MROUND(_xlfn.XLOOKUP(_xlfn.XLOOKUP(B392,'Base stats'!B:B,'Base stats'!E:E),Groups!A:A,Groups!AE:AE)*IF(_xlfn.XLOOKUP(_xlfn.XLOOKUP(B392,'Base stats'!B:B,'Base stats'!E:E),Groups!A:A,Groups!AJ:AJ)="Photonozoa",0.6,1)*_xlfn.XLOOKUP(B392,'Base stats'!B:B,'Base stats'!C:C)^0.165,0.05)))</f>
        <v>No</v>
      </c>
      <c r="AK392" s="7" t="str">
        <f>IF(AI392="No","No",_xlfn.XLOOKUP(_xlfn.XLOOKUP(B392,'Base stats'!B:B,'Base stats'!E:E),Groups!A:A,Groups!AF:AF))</f>
        <v>No</v>
      </c>
      <c r="AL392" s="7" t="str">
        <f>IF(AI392="No","No",_xlfn.XLOOKUP(_xlfn.XLOOKUP(B392,'Base stats'!B:B,'Base stats'!E:E),Groups!A:A,Groups!AG:AG))</f>
        <v>No</v>
      </c>
      <c r="AM392" s="7" t="str">
        <f>IF(AI392="No","No",_xlfn.XLOOKUP(_xlfn.XLOOKUP(B392,'Base stats'!B:B,'Base stats'!E:E),Groups!A:A,Groups!AH:AH))</f>
        <v>No</v>
      </c>
      <c r="AN392" s="2" t="str">
        <f t="shared" si="49"/>
        <v>No</v>
      </c>
      <c r="AO392" s="2">
        <f>MROUND(IF(AND(_xlfn.XLOOKUP(B392,'Base stats'!B:B,'Base stats'!C:C)&gt;=0.5,_xlfn.XLOOKUP(B392,'Base stats'!B:B,'Base stats'!C:C)&lt;=0.8),
IF(_xlfn.XLOOKUP(B392,'Base stats'!B:B,'Base stats'!C:C)&lt;0.1,0.05,IF(_xlfn.XLOOKUP(B392,'Base stats'!B:B,'Base stats'!C:C)&lt;=70,(_xlfn.XLOOKUP(B392,'Base stats'!B:B,'Base stats'!C:C)/70)^0.426489913056526,IF(_xlfn.XLOOKUP(B392,'Base stats'!B:B,'Base stats'!C:C)&lt;=400,(_xlfn.XLOOKUP(B392,'Base stats'!B:B,'Base stats'!C:C)/70)^0.572811455315093,IF(_xlfn.XLOOKUP(B392,'Base stats'!B:B,'Base stats'!C:C)&lt;=2000,2.71391647193063*(_xlfn.XLOOKUP(B392,'Base stats'!B:B,'Base stats'!C:C)/400)^0.252459582904293,3.74314280240376*(_xlfn.XLOOKUP(B392,'Base stats'!B:B,'Base stats'!C:C)/2000)^0.357012633876913)))),
IF(_xlfn.XLOOKUP(B392,'Base stats'!B:B,'Base stats'!C:C)&lt;0.1,0.05,IF(_xlfn.XLOOKUP(B392,'Base stats'!B:B,'Base stats'!C:C)&lt;0.4,0.1,IF(_xlfn.XLOOKUP(B392,'Base stats'!B:B,'Base stats'!C:C)&lt;=70,(_xlfn.XLOOKUP(B392,'Base stats'!B:B,'Base stats'!C:C)/70)^0.445823913056526,IF(_xlfn.XLOOKUP(B392,'Base stats'!B:B,'Base stats'!C:C)&lt;=400,(_xlfn.XLOOKUP(B392,'Base stats'!B:B,'Base stats'!C:C)/70)^0.572811455315093,IF(_xlfn.XLOOKUP(B392,'Base stats'!B:B,'Base stats'!C:C)&lt;=2000,2.71391647193063*(_xlfn.XLOOKUP(B392,'Base stats'!B:B,'Base stats'!C:C)/400)^0.252459582904293,3.74314280240376*(_xlfn.XLOOKUP(B392,'Base stats'!B:B,'Base stats'!C:C)/2000)^0.357012633876913)))))),
IF(_xlfn.XLOOKUP(B392,'Base stats'!B:B,'Base stats'!C:C)&lt;0.1,0.05,IF(_xlfn.XLOOKUP(B392,'Base stats'!B:B,'Base stats'!C:C)&lt;=100,0.05,IF(_xlfn.XLOOKUP(B392,'Base stats'!B:B,'Base stats'!C:C)&lt;=250,0.1,IF(_xlfn.XLOOKUP(B392,'Base stats'!B:B,'Base stats'!C:C)&lt;=4000,0.25,0.5)))))</f>
        <v>3.75</v>
      </c>
      <c r="AP392" s="8">
        <f>MROUND(AO392*_xlfn.XLOOKUP(_xlfn.XLOOKUP(B392,'Base stats'!B:B,'Base stats'!E:E),Groups!A:A,Groups!AI:AI)*_xlfn.XLOOKUP(B392,'Base stats'!B:B,'Base stats'!Z:Z),0.05)</f>
        <v>4.5</v>
      </c>
      <c r="AQ392" s="8">
        <f>MAX(0.01,MROUND(IF(CC392="True",0.196*(AO392*100*1000)^0.889,IF(_xlfn.XLOOKUP(_xlfn.XLOOKUP(B392,'Base stats'!B:B,'Base stats'!E:E),Groups!A:A,Groups!AJ:AJ)="Bird",10.5*(AO392*100*1000)^0.681,4.82*(AO392*100*1000)^0.734))/(4.82*(1*100*1000)^0.734)/IF(AO392&lt;3.5,2,IF(AO392=3.5,1.5,1.25))*(1+0.132282374779864/(AO392^0.994035016789033+0.00905238001496948)),0.05))</f>
        <v>2.2000000000000002</v>
      </c>
      <c r="AR392" s="9">
        <f>IFERROR(MROUND(_xlfn.XLOOKUP(B392,'Base stats'!B:B,'Base stats'!H:H)/IF(_xlfn.XLOOKUP(B392,'Base stats'!B:B,'Base stats'!I:I)&lt;&gt;1,(122.5/70),1.2),IF(_xlfn.XLOOKUP(B392,'Base stats'!B:B,'Base stats'!H:H)&gt;=30,5,IF(_xlfn.XLOOKUP(B392,'Base stats'!B:B,'Base stats'!H:H)&gt;=15,3,IF(_xlfn.XLOOKUP(B392,'Base stats'!B:B,'Base stats'!H:H)&gt;=10,2,1)))),"Immortal")</f>
        <v>25</v>
      </c>
      <c r="AS392" s="35">
        <f>IFERROR(IF(OR(_xlfn.XLOOKUP(B392,'Base stats'!B:B,'Base stats'!F:F)="Atypical reproduction",_xlfn.XLOOKUP(B392,'Base stats'!B:B,'Base stats'!F:F)="Lay eggs"),"Lay eggs",MIN(20,MAX(5.5,ROUND(((_xlfn.XLOOKUP(B392,'Base stats'!B:B,'Base stats'!F:F)-25)*(14.5/615) + 5.5)*2,0)/2))),"Unknown")</f>
        <v>13</v>
      </c>
      <c r="AT392" s="8">
        <f>IF(_xlfn.XLOOKUP(B392,'Base stats'!B:B,'Base stats'!G:G)="Atypical reproduction","No",IFERROR(MAX(IF(_xlfn.XLOOKUP(B392,'Base stats'!B:B,'Base stats'!G:G)&lt;0.5,0.2,0.3),MROUND(_xlfn.XLOOKUP(B392,'Base stats'!B:B,'Base stats'!G:G)/(365/60),0.2)),"Unknown"))</f>
        <v>0.8</v>
      </c>
      <c r="AU392" s="8">
        <f t="shared" si="50"/>
        <v>0.4</v>
      </c>
      <c r="AV392" s="8">
        <f>IFERROR(IFERROR(MROUND(_xlfn.XLOOKUP(B392,'Base stats'!B:B,'Base stats'!J:J),0.1),"Lay eggs"),"Cannot breed")</f>
        <v>1</v>
      </c>
      <c r="AW392" s="2" t="str">
        <f t="shared" si="51"/>
        <v>true</v>
      </c>
      <c r="AX392" s="2" t="str">
        <f>IF(_xlfn.XLOOKUP(_xlfn.XLOOKUP(Animals!B392,'Base stats'!B:B,'Base stats'!E:E),Groups!A:A,Groups!AK:AK)=1,"true","false")</f>
        <v>false</v>
      </c>
      <c r="AY392" s="25" t="str">
        <f>IF(_xlfn.XLOOKUP(B392,'Base stats'!B:B,'Base stats'!Y:Y)="Liquor","Liquor, CarnivoreAnimalStrict",IF(AND(_xlfn.XLOOKUP(B392,'Base stats'!B:B,'Base stats'!Y:Y)="Carnivore",_xlfn.XLOOKUP(_xlfn.XLOOKUP(B392,'Base stats'!B:B,'Base stats'!E:E),Groups!A:A,Groups!AJ:AJ)="Photonozoa"),"CarnivoreAnimalStrict, OvivoreAnimal",IF(_xlfn.XLOOKUP(B392,'Base stats'!B:B,'Base stats'!Y:Y)="Carnivore","CarnivoreAnimal, OvivoreAnimal",IF(_xlfn.XLOOKUP(B392,'Base stats'!B:B,'Base stats'!Y:Y)="Dendrovore","VegetarianRoughAnimal, DendrovoreAnimal",IF(_xlfn.XLOOKUP(B392,'Base stats'!B:B,'Base stats'!Y:Y)="Herbivore","VegetarianRoughAnimal",IF(_xlfn.XLOOKUP(B392,'Base stats'!B:B,'Base stats'!Y:Y)="OmnivoreRough","OmnivoreRoughAnimal, OvivoreAnimal","OmnivoreAnimal, OvivoreAnimal"))))))</f>
        <v>CarnivoreAnimal, OvivoreAnimal</v>
      </c>
      <c r="AZ392" s="2" t="str">
        <f>IF(_xlfn.XLOOKUP(_xlfn.XLOOKUP(B392,'Base stats'!B:B,'Base stats'!E:E),Groups!A:A,Groups!D:D)=1,MROUND((1-J392)*5+1,2)*IF(J392&lt;=0.4,2,1),"No")</f>
        <v>No</v>
      </c>
      <c r="BA392" s="2" t="str">
        <f>IF(AND(_xlfn.XLOOKUP(B392,'Base stats'!B:B,'Base stats'!AH:AH)="&lt;li&gt;Seal&lt;/li&gt;",G392="Odyssey"),"&lt;li&gt;AEXP_Seal&lt;/li&gt;",_xlfn.XLOOKUP(B392,'Base stats'!B:B,'Base stats'!AH:AH))</f>
        <v>No</v>
      </c>
      <c r="BB392" s="2" t="str">
        <f>_xlfn.XLOOKUP(B392,'Base stats'!B:B,'Base stats'!AG:AG)</f>
        <v>Leather_Sealskin</v>
      </c>
      <c r="BC392" s="23" t="str">
        <f>_xlfn.XLOOKUP(_xlfn.XLOOKUP(B392,'Base stats'!B:B,'Base stats'!E:E),Groups!A:A,Groups!AL:AL)</f>
        <v>PinnipedWithTusks</v>
      </c>
      <c r="BD392" s="23">
        <f>MIN(1,MROUND(IF(AND(AO392&lt;0.5,_xlfn.XLOOKUP(B392,'Base stats'!B:B,'Base stats'!AA:AA)=0),0,IF(OR(_xlfn.XLOOKUP(Animals!B392,'Base stats'!B:B,'Base stats'!O:O)=2,_xlfn.XLOOKUP(_xlfn.XLOOKUP(B392,'Base stats'!B:B,'Base stats'!E:E),Groups!A:A,Groups!AN:AN)=0),0,_xlfn.XLOOKUP(_xlfn.XLOOKUP(B392,'Base stats'!B:B,'Base stats'!E:E),Groups!A:A,Groups!AN:AN)/IF(_xlfn.XLOOKUP(Animals!B392,'Base stats'!B:B,'Base stats'!O:O)=1,2,1)))+_xlfn.XLOOKUP(B392,'Base stats'!B:B,'Base stats'!AC:AC),0.005))</f>
        <v>2.5000000000000001E-2</v>
      </c>
      <c r="BE392" s="23">
        <f>MIN(1,MROUND(IF(AND(AO392&lt;0.5,_xlfn.XLOOKUP(B392,'Base stats'!B:B,'Base stats'!AA:AA)=0),0,IF(_xlfn.XLOOKUP(_xlfn.XLOOKUP(B392,'Base stats'!B:B,'Base stats'!E:E),Groups!A:A,Groups!AO:AO)=0,0,_xlfn.XLOOKUP(_xlfn.XLOOKUP(B392,'Base stats'!B:B,'Base stats'!E:E),Groups!A:A,Groups!AO:AO)/IF(_xlfn.XLOOKUP(Animals!B392,'Base stats'!B:B,'Base stats'!O:O)=2,3,1)))+_xlfn.XLOOKUP(B392,'Base stats'!B:B,'Base stats'!AD:AD),0.005))</f>
        <v>0.1</v>
      </c>
      <c r="BF392" s="2" t="str">
        <f>IF(J392&gt;0.3,"No",_xlfn.XLOOKUP(_xlfn.XLOOKUP(Animals!B392,'Base stats'!B:B,'Base stats'!E:E),Groups!A:A,Groups!AP:AP))</f>
        <v>No</v>
      </c>
      <c r="BG392" s="2" t="str">
        <f>IF(AND(J392&lt;=0.65,_xlfn.XLOOKUP(_xlfn.XLOOKUP(Animals!B392,'Base stats'!B:B,'Base stats'!E:E),Groups!A:A,Groups!AP:AP)&lt;&gt;"No",_xlfn.XLOOKUP(_xlfn.XLOOKUP(B392,'Base stats'!B:B,'Base stats'!E:E),Groups!A:A,Groups!D:D)=0),MROUND((80/3)*IF(_xlfn.XLOOKUP(B392,'Base stats'!B:B,'Base stats'!O:O)=2,0.2,AO392) + 24*(1-IF(BF392="No",0,BF392)) + 16/3, 12),"No")</f>
        <v>No</v>
      </c>
      <c r="BH392" s="2">
        <f>IF(AND(_xlfn.XLOOKUP(_xlfn.XLOOKUP(B392,'Base stats'!B:B,'Base stats'!E:E),Groups!A:A,Groups!AQ:AQ)=1,AO392&lt;=0.35),8,12)</f>
        <v>12</v>
      </c>
      <c r="BI392" s="2" t="str">
        <f>IF(_xlfn.XLOOKUP(_xlfn.XLOOKUP(B392,'Base stats'!B:B,'Base stats'!E:E),Groups!A:A,Groups!D:D)=0,_xlfn.XLOOKUP(_xlfn.XLOOKUP(B392,'Base stats'!B:B,'Base stats'!E:E),Groups!A:A,Groups!AR:AR),"None")</f>
        <v>Intermediate</v>
      </c>
      <c r="BJ392" s="2" t="str">
        <f>IF(AND(_xlfn.XLOOKUP(_xlfn.XLOOKUP(B392,'Base stats'!B:B,'Base stats'!E:E),Groups!A:A,Groups!AS:AS)=1,OR(_xlfn.XLOOKUP(B392,'Base stats'!B:B,'Base stats'!Y:Y)="Carnivore",_xlfn.XLOOKUP(B392,'Base stats'!B:B,'Base stats'!Y:Y)="Omnivore")),"true","false")</f>
        <v>false</v>
      </c>
      <c r="BK392" s="2" t="str">
        <f>IF(BJ392="true",MROUND(IF(AND(AO392&gt;0.5,OR(_xlfn.XLOOKUP(_xlfn.XLOOKUP(B392,'Base stats'!B:B,'Base stats'!E:E),Groups!A:A,Groups!AJ:AJ)="Photonozoa",_xlfn.XLOOKUP(_xlfn.XLOOKUP(B392,'Base stats'!B:B,'Base stats'!E:E),Groups!A:A,Groups!AJ:AJ)="Mammal")),Animals!AO392*1.75*IF(AW392="true",1.5,1),IF(AO392&lt;0.5,Animals!AO392*0.5,Animals!AO392)),IF(AO392&gt;2,0.5,IF(AO392&gt;0.5,0.25,0.1))),"No")</f>
        <v>No</v>
      </c>
      <c r="BL392" s="2">
        <f t="shared" si="52"/>
        <v>1</v>
      </c>
      <c r="BM392" s="25">
        <f>IF(_xlfn.XLOOKUP(B392,'Base stats'!B:B,'Base stats'!AN:AN)="Standard","No",MROUND((_xlfn.XLOOKUP(B392,'Base stats'!B:B,'Base stats'!AN:AN)/3.6)/I392,0.1))</f>
        <v>2.4000000000000004</v>
      </c>
      <c r="BN392" s="25" t="str">
        <f t="shared" si="53"/>
        <v>true</v>
      </c>
      <c r="BO392" s="25" t="str">
        <f>IF(AND(OR(_xlfn.XLOOKUP(B392,'Base stats'!B:B,'Base stats'!Y:Y)="Carnivore",_xlfn.XLOOKUP(B392,'Base stats'!B:B,'Base stats'!Y:Y)="Omnivore",_xlfn.XLOOKUP(B392,'Base stats'!B:B,'Base stats'!Y:Y)="OmnivoreRough"),_xlfn.XLOOKUP(_xlfn.XLOOKUP(B392,'Base stats'!B:B,'Base stats'!E:E),Groups!A:A,Groups!AT:AT)=1),"true","false")</f>
        <v>true</v>
      </c>
      <c r="BP392" s="25" t="str" cm="1">
        <f t="array" ref="BP392">IF(
  _xlfn.TEXTJOIN(", ",TRUE,
    IF(AND(BJ392="true",AO392&gt;0.5,BI392&lt;&gt;"None"),"AttackTarget",""),
    IF(AND(_xlfn.XLOOKUP(_xlfn.XLOOKUP(B392,'Base stats'!B:B,'Base stats'!E:E),Groups!A:A,Groups!AJ:AJ="Mammal"),OR(_xlfn.XLOOKUP(B392,'Base stats'!B:B,'Base stats'!Y:Y)="Omnivore",_xlfn.XLOOKUP(B392,'Base stats'!B:B,'Base stats'!Y:Y)="OmnivoreRough")),"Forage",""),
    IF(BG392&lt;=36,"Comfort",""),
    IF(_xlfn.XLOOKUP(B392,'Base stats'!B:B,'Base stats'!AE:AE)&lt;&gt;"No",_xlfn.XLOOKUP(B392,'Base stats'!B:B,'Base stats'!AE:AE),"")
  ) = "",
  "No",
  _xlfn.TEXTJOIN(", ",TRUE,
    IF(AND(BJ392="true",AO392&gt;0.5,BI392&lt;&gt;"None"),"AttackTarget",""),
    IF(AND(_xlfn.XLOOKUP(_xlfn.XLOOKUP(B392,'Base stats'!B:B,'Base stats'!E:E),Groups!A:A,Groups!AJ:AJ="Mammal"),OR(_xlfn.XLOOKUP(B392,'Base stats'!B:B,'Base stats'!Y:Y)="Omnivore",_xlfn.XLOOKUP(B392,'Base stats'!B:B,'Base stats'!Y:Y)="OmnivoreRough")),"Forage",""),
    IF(BG392&lt;=36,"Comfort",""),
    IF(_xlfn.XLOOKUP(B392,'Base stats'!B:B,'Base stats'!AE:AE)&lt;&gt;"No",_xlfn.XLOOKUP(B392,'Base stats'!B:B,'Base stats'!AE:AE),"")
  )
)</f>
        <v>No</v>
      </c>
      <c r="BQ392" s="25">
        <f>IF(
   AND(
      'Base stats'!AN392="Standard",_xlfn.XLOOKUP(_xlfn.XLOOKUP(B392,'Base stats'!B:B,'Base stats'!E:E),Groups!A:A,Groups!AU:AU)=0,
      OR(
      BO392="True"
      )
   ),
   10,
   IF(
       OR(BM392&lt;&gt;"No",_xlfn.XLOOKUP(_xlfn.XLOOKUP(B392,'Base stats'!B:B,'Base stats'!E:E),Groups!A:A,Groups!AU:AU)=1),
      1,
      "No"
   )
)</f>
        <v>1</v>
      </c>
      <c r="BR392" s="9">
        <f>MROUND((1 + ((0.2*IF(OR(Q392="No",R392="No",R392=0),0,Q392/R392)
+IF(OR(V392="No",S392="No",T392="No"),0,S392/T392*(LEN(V392)-LEN(SUBSTITUTE(V392,",",""))+1))
+IF(OR(X392="No",Y392="No"),0,X392/Y392)
+IF(OR(AD392="No",AE392="No"),0,AD392/AE392)
+IF(OR(AL392="No",AI392="No",AJ392="No"),0,AI392/AJ392*(LEN(AL392)-LEN(SUBSTITUTE(AL392,",",""))+1))
)/(0.2*IF(OR(Q392="No",R392="No",R392=0),0,1)
+IF(OR(V392="No",S392="No",T392="No"),0,LEN(V392)-LEN(SUBSTITUTE(V392,",",""))+1)
+IF(OR(X392="No",Y392="No"),0,1)
+IF(OR(AD392="No",AE392="No"),0,1)
+IF(OR(AL392="No",AI392="No",AJ392="No"),0,LEN(AL392)-LEN(SUBSTITUTE(AL392,",",""))+1))*62%)* 2)*(1 + (AP392 / (IF(_xlfn.XLOOKUP(_xlfn.XLOOKUP(B392,'Base stats'!B:B,'Base stats'!E:E),Groups!A:A,Groups!AJ:AJ)="Photonozoa",0.3,1)) + _xlfn.XLOOKUP(B392,'Base stats'!B:B,'Base stats'!AV:AV) * 1.8) * 2) * 2.5 + 10 + I392 * 2,5)+IF(_xlfn.XLOOKUP(B392,'Base stats'!B:B,'Base stats'!AK:AK)=1,50,0)</f>
        <v>300</v>
      </c>
      <c r="BS392" s="8">
        <f t="shared" si="54"/>
        <v>2.5</v>
      </c>
      <c r="BT392" s="8" t="str">
        <f>_xlfn.XLOOKUP(B392,'Base stats'!B:B,'Base stats'!AF:AF)</f>
        <v>5~15</v>
      </c>
      <c r="BU392" s="2" t="str">
        <f>IF(AND(J392&lt;=0.95,OR(_xlfn.XLOOKUP(B392,'Base stats'!B:B,'Base stats'!AK:AK)=1,_xlfn.XLOOKUP(B392,'Base stats'!B:B,'Base stats'!Y:Y)="Carnivore",_xlfn.XLOOKUP(B392,'Base stats'!B:B,'Base stats'!Y:Y)="Omnivore",BE392&gt;0.1)),"true","false")</f>
        <v>true</v>
      </c>
      <c r="BV392" s="2" t="str">
        <f>IF(_xlfn.XLOOKUP(B392,'Base stats'!B:B,'Base stats'!AI:AI)=1,"true","false")</f>
        <v>false</v>
      </c>
      <c r="BW392" s="25" t="str">
        <f>IF(E392="BaseInsect","AnimalInsect",
IF(J392&gt;0.95,"AnimalExotic",
_xlfn.TEXTJOIN(", ",TRUE,
IF(OR(_xlfn.XLOOKUP(B392,'Base stats'!B:B,'Base stats'!AM:AM)=1,AND(_xlfn.XLOOKUP(B392,'Base stats'!B:B,'Base stats'!O:O)=0,_xlfn.XLOOKUP(_xlfn.XLOOKUP(B392,'Base stats'!B:B,'Base stats'!E:E),Groups!A:A,Groups!B:B)&gt;0)),"AnimalUncommon","AnimalCommon"),
IF(AND(_xlfn.XLOOKUP(B392,'Base stats'!B:B,'Base stats'!O:O)=2,_xlfn.XLOOKUP(_xlfn.XLOOKUP(B392,'Base stats'!B:B,'Base stats'!E:E),Groups!A:A,Groups!D:D)=0),"AnimalPet",IF(AND(_xlfn.XLOOKUP(B392,'Base stats'!B:B,'Base stats'!O:O)&lt;&gt;0,_xlfn.XLOOKUP(_xlfn.XLOOKUP(B392,'Base stats'!B:B,'Base stats'!E:E),Groups!A:A,Groups!D:D)&lt;&gt;0),"AnimalFarm","")),
IF(OR(_xlfn.XLOOKUP(B392,'Base stats'!B:B,'Base stats'!AK:AK)=1,AND(BI392&lt;&gt;"None",BR392&gt;=60),ISNUMBER(SEARCH("Attack target",BP392))),"AnimalFighter","")
)))</f>
        <v>AnimalCommon, AnimalFighter</v>
      </c>
      <c r="BX392" s="25" t="str">
        <f>IF(G392="None",TRIM(
SUBSTITUTE(
IF(COUNTIF(Biomes!B$2:B$259,"="&amp;$C392)&gt;0,Biomes!B$1&amp;", ","")&amp;
IF(COUNTIF(Biomes!C$2:C$259,"="&amp;$C392)&gt;0,Biomes!C$1&amp;", ","")&amp;
IF(COUNTIF(Biomes!D$2:D$259,"="&amp;$C392)&gt;0,Biomes!D$1&amp;", ","")&amp;
IF(COUNTIF(Biomes!F$2:F$259,"="&amp;$C392)&gt;0,Biomes!F$1&amp;", ","")&amp;
IF(COUNTIF(Biomes!G$2:G$259,"="&amp;$C392)&gt;0,Biomes!G$1&amp;", ","")&amp;
IF(COUNTIF(Biomes!H$2:H$259,"="&amp;$C392)&gt;0,Biomes!H$1&amp;", ","")&amp;
IF(COUNTIF(Biomes!I$2:I$259,"="&amp;$C392)&gt;0,Biomes!I$1&amp;", ","")&amp;
IF(COUNTIF(Biomes!J$2:J$259,"="&amp;$C392)&gt;0,Biomes!J$1&amp;", ","")&amp;
IF(COUNTIF(Biomes!M$2:M$259,"="&amp;$C392)&gt;0,Biomes!M$1&amp;", ","")&amp;
IF(COUNTIF(Biomes!N$2:N$259,"="&amp;$C392)&gt;0,Biomes!N$1&amp;", ","")&amp;
IF(COUNTIF(Biomes!O$2:O$259,"="&amp;$C392)&gt;0,Biomes!O$1&amp;", ","")&amp;
IF(COUNTIF(Biomes!P$2:P$259,"="&amp;$C392)&gt;0,Biomes!P$1&amp;", ","")&amp;
IF(COUNTIF(Biomes!K$2:K$259,"="&amp;$C392)&gt;0,Biomes!K$1&amp;", ","")&amp;
IF(COUNTIF(Biomes!Q$3:Q$259,"="&amp;$C392)&gt;0,Biomes!Q$1&amp;", ","")&amp;
IF(COUNTIF(Biomes!L$2:L$259,"="&amp;$C392)&gt;0,Biomes!L$1&amp;", ","")&amp;
IF(COUNTIF(Biomes!E$2:E$259,"="&amp;$C392)&gt;0,Biomes!E$1&amp;", ","")&amp;IF(COUNTIF(Biomes!S$2:S$259,"="&amp;$C392)&gt;0,Biomes!S$1&amp;", ","")&amp;
IF(COUNTIF(Biomes!R$2:R$259,"="&amp;$C392)&gt;0,Biomes!R$1&amp;", ",""),", ","")
),_xlfn.XLOOKUP(B392,B:B,BX:BX))</f>
        <v/>
      </c>
      <c r="BY392" s="25" t="str">
        <f>IF(_xlfn.XLOOKUP(B392,'Base stats'!B:B,'Base stats'!AJ:AJ)=1,"true","false")</f>
        <v>true</v>
      </c>
      <c r="BZ392" s="25">
        <f>IF(_xlfn.XLOOKUP(B392,'Base stats'!B:B,'Base stats'!N:N)=1,"No",MAX(0.001,MIN(MROUND(IF(AND(BJ392="True",CC392="False"),POWER(10,3.47*LOG10(_xlfn.XLOOKUP(B392,'Base stats'!B:B,'Base stats'!C:C)*1000)^-0.96),POWER(10,4.15*LOG10(_xlfn.XLOOKUP(B392,'Base stats'!B:B,'Base stats'!C:C)*1000)^-0.73))*IF(_xlfn.XLOOKUP(B392,'Base stats'!B:B,'Base stats'!AK:AK)=1,0.5,1)*IF(_xlfn.XLOOKUP(B392,'Base stats'!B:B,'Base stats'!AM:AM)=1,0.1,1)/100,IF(_xlfn.XLOOKUP(B392,'Base stats'!B:B,'Base stats'!AM:AM)=1,0.001,0.025)),0.5)))</f>
        <v>0.125</v>
      </c>
      <c r="CA392" s="25" t="str">
        <f>IF(P392="Standard","No",MAX(0.001,MIN(MROUND(IF(AND(BJ392="True",CC392="False"),POWER(10,3.47*LOG10(_xlfn.XLOOKUP(B392,'Base stats'!B:B,'Base stats'!C:C)*1000)^-0.96),POWER(10,4.15*LOG10(_xlfn.XLOOKUP(B392,'Base stats'!B:B,'Base stats'!C:C)*1000)^-0.73))*IF(_xlfn.XLOOKUP(B392,'Base stats'!B:B,'Base stats'!AM:AM)=1,0.1,1)*_xlfn.XLOOKUP(B392,'Base stats'!B:B,'Base stats'!R:R)/100,IF(_xlfn.XLOOKUP(B392,'Base stats'!B:B,'Base stats'!AM:AM)=1,0.001,0.025)),0.5)))</f>
        <v>No</v>
      </c>
      <c r="CB392" s="25" t="str">
        <f>IF(_xlfn.XLOOKUP(_xlfn.XLOOKUP(B392,'Base stats'!B:B,'Base stats'!E:E),Groups!A:A,Groups!AJ:AJ)="Mammal","True","False")</f>
        <v>True</v>
      </c>
      <c r="CC392" s="25" t="str">
        <f>IF(OR(_xlfn.XLOOKUP(_xlfn.XLOOKUP(B392,'Base stats'!B:B,'Base stats'!E:E),Groups!A:A,Groups!AJ:AJ)="Reptile",_xlfn.XLOOKUP(_xlfn.XLOOKUP(B392,'Base stats'!B:B,'Base stats'!E:E),Groups!A:A,Groups!AJ:AJ)="Amphibian",_xlfn.XLOOKUP(_xlfn.XLOOKUP(B392,'Base stats'!B:B,'Base stats'!E:E),Groups!A:A,Groups!AJ:AJ)="Invertebrate"),"True","False")</f>
        <v>False</v>
      </c>
      <c r="CD392" s="25" t="str">
        <f t="shared" si="55"/>
        <v>False</v>
      </c>
      <c r="CE392" s="25" t="str">
        <f>IF(_xlfn.XLOOKUP(_xlfn.XLOOKUP(B392,'Base stats'!B:B,'Base stats'!E:E),Groups!A:A,Groups!AX:AX),"True","False")</f>
        <v>False</v>
      </c>
      <c r="CF392" s="25" t="str">
        <f>IF(_xlfn.XLOOKUP(_xlfn.XLOOKUP(B392,'Base stats'!B:B,'Base stats'!E:E),Groups!A:A,Groups!AY:AY),"True","False")</f>
        <v>False</v>
      </c>
      <c r="CG392" s="25" t="str">
        <f>IF(_xlfn.XLOOKUP(_xlfn.XLOOKUP(B392,'Base stats'!B:B,'Base stats'!E:E),Groups!A:A,Groups!AW:AW),"True","False")</f>
        <v>False</v>
      </c>
      <c r="CH392" s="25" t="str">
        <f>IF(
OR(
_xlfn.XLOOKUP(_xlfn.XLOOKUP(B392,'Base stats'!B:B,'Base stats'!E:E),Groups!A:A,Groups!AZ:AZ)=0,
AND(
_xlfn.XLOOKUP(B392,'Base stats'!B:B,'Base stats'!Y:Y)&lt;&gt;"Carnivore",
_xlfn.XLOOKUP(B392,'Base stats'!B:B,'Base stats'!Y:Y)&lt;&gt;"Omnivore",
_xlfn.XLOOKUP(B392,'Base stats'!B:B,'Base stats'!Y:Y)&lt;&gt;"OmnivoreRough"
)
),
"No",
IF(
_xlfn.XLOOKUP(_xlfn.XLOOKUP(B392,'Base stats'!B:B,'Base stats'!E:E),Groups!A:A,Groups!AZ:AZ)=1,
"Flesh",
IF(
_xlfn.XLOOKUP(_xlfn.XLOOKUP(B392,'Base stats'!B:B,'Base stats'!E:E),Groups!A:A,Groups!AZ:AZ)=2,
"Bone",
""
)
)
)</f>
        <v>No</v>
      </c>
      <c r="CI392" s="25" t="str">
        <f>IF(_xlfn.XLOOKUP(_xlfn.XLOOKUP(B392,'Base stats'!B:B,'Base stats'!E:E),Groups!A:A,Groups!BB:BB),"True","False")</f>
        <v>True</v>
      </c>
      <c r="CJ392" s="25" t="str">
        <f>IF(_xlfn.XLOOKUP(_xlfn.XLOOKUP(B392,'Base stats'!B:B,'Base stats'!E:E),Groups!A:A,Groups!BA:BA),"True","False")</f>
        <v>False</v>
      </c>
    </row>
    <row r="393" spans="1:88" ht="16.5" thickTop="1" thickBot="1" x14ac:dyDescent="0.3">
      <c r="A393" s="26" t="s">
        <v>2082</v>
      </c>
      <c r="B393" s="6" t="str">
        <f>_xlfn.XLOOKUP(A393,'Base stats'!A:A,'Base stats'!B:B)</f>
        <v>Diprotodon optatum</v>
      </c>
      <c r="C393" s="28" t="str">
        <f t="shared" si="56"/>
        <v>&lt;li&gt;Diprotodon&lt;/li&gt;</v>
      </c>
      <c r="D393" s="28" t="s">
        <v>2126</v>
      </c>
      <c r="E393" s="28" t="s">
        <v>673</v>
      </c>
      <c r="F393" s="28" t="s">
        <v>673</v>
      </c>
      <c r="G393" s="28" t="s">
        <v>673</v>
      </c>
      <c r="H393" s="2">
        <f>MROUND((
  (IF(AND(_xlfn.XLOOKUP(B393,'Base stats'!B:B,'Base stats'!AL:AL)=0,BI393="None",_xlfn.XLOOKUP(_xlfn.XLOOKUP(B393,'Base stats'!B:B,'Base stats'!E:E),Groups!A:A,Groups!B:B)=0), (18 + BR393 * 2.7) * 0.5,
    IF(AND(_xlfn.XLOOKUP(B393,'Base stats'!B:B,'Base stats'!AL:AL)=0,OR(AO393&lt;0.55,AND(BI393="Intermediate",_xlfn.XLOOKUP(_xlfn.XLOOKUP(B393,'Base stats'!B:B,'Base stats'!E:E),Groups!A:A,Groups!B:B)&lt;2))), (18 + BR393 * 2.7),
      IF(OR(BI393="Advanced",_xlfn.XLOOKUP(B393,'Base stats'!B:B,'Base stats'!AL:AL)=1,_xlfn.XLOOKUP(_xlfn.XLOOKUP(B393,'Base stats'!B:B,'Base stats'!E:E),Groups!A:A,Groups!B:B)=2), (18 + BR393 * 2.7) + 250, (18 + BR393 * 2.7))
    )
  ))
  + AO393 * 80
  + IF(COUNTIF(EggMilk!K$2:K$998, A393) &gt; 0, 125, 0)
  + IF(COUNTIF(EggMilk!P$2:P$998, A393) &gt; 0, 90, 0)
  + IF(COUNTIF(EggMilk!A$2:A$998, A393) &gt; 0, 90, 0)
)
* (0.8 + 0.4 * J393)
* 0.75,25)</f>
        <v>1075</v>
      </c>
      <c r="I393" s="2">
        <f>MROUND(ROUNDDOWN(_xlfn.XLOOKUP(B393,'Base stats'!B:B,'Base stats'!L:L)/3.6/(23.3/11),1),0.5)</f>
        <v>3.5</v>
      </c>
      <c r="J393" s="2">
        <f>IF(OR(_xlfn.XLOOKUP(B393,'Base stats'!B:B,'Base stats'!AB:AB)=1,_xlfn.XLOOKUP(_xlfn.XLOOKUP(B393,'Base stats'!B:B,'Base stats'!E:E),Groups!A:A,Groups!C:C)="Untamable"),1,IF(_xlfn.XLOOKUP(B393,'Base stats'!B:B,'Base stats'!AL:AL)=1,0.99,MIN(MROUND((1-0.6282*EXP(-0.459*AO393))*_xlfn.XLOOKUP(_xlfn.XLOOKUP(B393,'Base stats'!B:B,'Base stats'!E:E),Groups!A:A,Groups!C:C)*IF(_xlfn.XLOOKUP(B393,'Base stats'!B:B,'Base stats'!O:O)=1,0.5,IF(_xlfn.XLOOKUP(B393,'Base stats'!B:B,'Base stats'!O:O)=2,0,1)),0.05),IF(AO393&gt;3.5,0.985,0.95))))</f>
        <v>0.9</v>
      </c>
      <c r="K393" s="2">
        <f>ROUNDUP(AO393*_xlfn.XLOOKUP(_xlfn.XLOOKUP(B393,'Base stats'!B:B,'Base stats'!E:E),Groups!A:A,Groups!E:E),0)</f>
        <v>5</v>
      </c>
      <c r="L393" s="2">
        <f>IF(OR(_xlfn.XLOOKUP(_xlfn.XLOOKUP(B393,'Base stats'!B:B,'Base stats'!E:E),Groups!A:A,Groups!F:F)=2,ISNUMBER(SEARCH("SeaIce",BX393)),ISNUMBER(SEARCH("IceSheet",BX393))),-50,IF(OR(ISNUMBER(SEARCH("GlacialPlain",BX393)),ISNUMBER(SEARCH("Tundra",BX393))),-40,IF(OR(ISNUMBER(SEARCH("Alpine",BX393)),ISNUMBER(SEARCH("BorealForest",BX393)),ISNUMBER(SEARCH("ColdBog",BX393))),-30,IF(OR(ISNUMBER(SEARCH("TemperateForest",BX393)),ISNUMBER(SEARCH("TemperateSwamp",BX393))),-20,IF(_xlfn.XLOOKUP(_xlfn.XLOOKUP(B393,'Base stats'!B:B,'Base stats'!E:E),Groups!A:A,Groups!F:F)=1,-15,IF(OR(ISNUMBER(SEARCH("Desert",BX393)),ISNUMBER(SEARCH("ExtremeDesert",BX393))),-10,IF(OR(ISNUMBER(SEARCH("Grasslands",BX393)),ISNUMBER(SEARCH("TropicalRainforest",BX393)),ISNUMBER(SEARCH("TropicalSwamp",BX393))),10,0)))))))-IF(CC393="False",MIN(IFERROR(MAX(MROUND(LOG10(_xlfn.XLOOKUP(B393,'Base stats'!B:B,'Base stats'!C:C)^(2/3))*10,5),5),5),30))-_xlfn.XLOOKUP(B393,'Base stats'!B:B,'Base stats'!P:P)+IF(CC393="True",5,0)</f>
        <v>-25</v>
      </c>
      <c r="M393" s="2">
        <f>IF(OR(_xlfn.XLOOKUP(_xlfn.XLOOKUP(B393,'Base stats'!B:B,'Base stats'!E:E),Groups!A:A,Groups!G:G)=2,ISNUMBER(SEARCH("Desert",BX393)),ISNUMBER(SEARCH("ExtremeDesert",BX393)),ISNUMBER(SEARCH("LavaField",BX393))),50,IF(ISNUMBER(SEARCH("Grasslands",BX393)),45,IF(OR(_xlfn.XLOOKUP(_xlfn.XLOOKUP(B393,'Base stats'!B:B,'Base stats'!E:E),Groups!A:A,Groups!G:G)=1,ISNUMBER(SEARCH("TropicalRainforest",BX393)),ISNUMBER(SEARCH("TropicalSwamp",BX393))),40,IF(OR(ISNUMBER(SEARCH("TemperateForest",BX393)),ISNUMBER(SEARCH("TemperateSwamp",BX393))),35,IF(OR(ISNUMBER(SEARCH("Alpine",BX393)),ISNUMBER(SEARCH("BorealForest",BX393)),ISNUMBER(SEARCH("ColdBog",BX393))),30,IF(ISNUMBER(OR(ISNUMBER(SEARCH("GlacialPlain",BX393)),SEARCH("Tundra",BX393))),25,IF(OR(ISNUMBER(SEARCH("SeaIce",BX393)),ISNUMBER(SEARCH("IceSheet",BX393)),ISNUMBER(SEARCH("TropicalSwamp",BX393))),10,35)))))))+_xlfn.XLOOKUP(B393,'Base stats'!B:B,'Base stats'!Q:Q)</f>
        <v>40</v>
      </c>
      <c r="N393" s="8" t="str">
        <f>IF(
_xlfn.XLOOKUP(
_xlfn.XLOOKUP(B393,'Base stats'!B:B,'Base stats'!E:E),
Groups!A:A,
Groups!L:L
)=1,
MIN(
MROUND(
IF(
_xlfn.XLOOKUP(B393,'Animals CE'!B:B,'Animals CE'!Z:Z)&lt;=1.5,
_xlfn.XLOOKUP(B393,'Animals CE'!B:B,'Animals CE'!Z:Z)/2+0.05,
0.8+
(_xlfn.XLOOKUP(B393,'Animals CE'!B:B,'Animals CE'!Z:Z)-1.5)
*0.02
),
0.05
),
200%
),
"No"
)</f>
        <v>No</v>
      </c>
      <c r="O393" s="8" t="str">
        <f>IF(
_xlfn.XLOOKUP(
_xlfn.XLOOKUP(B393,'Base stats'!B:B,'Base stats'!E:E),
Groups!A:A,
Groups!L:L
)=1,
MIN(
MROUND(
IF(
_xlfn.XLOOKUP(B393,'Animals CE'!B:B,'Animals CE'!AA:AA)&lt;=1.5,
_xlfn.XLOOKUP(B393,'Animals CE'!B:B,'Animals CE'!AA:AA)/2+0.05,
0.8+
(_xlfn.XLOOKUP(B393,'Animals CE'!B:B,'Animals CE'!AA:AA)-1.5)
*0.02
),
0.05
),
200%
),
"No"
)</f>
        <v>No</v>
      </c>
      <c r="P393" s="2" t="str">
        <f>_xlfn.XLOOKUP(B393,'Base stats'!B:B,'Base stats'!R:R)</f>
        <v>Standard</v>
      </c>
      <c r="Q393" s="13">
        <f>MROUND((LOG10(_xlfn.XLOOKUP(B393,'Base stats'!B:B,'Base stats'!AR:AR))*(AO393^0.5)+(_xlfn.XLOOKUP(B393,'Base stats'!B:B,'Base stats'!AR:AR)/1000)^(2/3)+_xlfn.XLOOKUP(B393,'Base stats'!B:B,'Base stats'!BA:BA)/2)+0.5,0.5)</f>
        <v>29.5</v>
      </c>
      <c r="R393" s="7">
        <f>IF(Q393="No","No",MAX(1,MROUND(_xlfn.XLOOKUP(B393,'Base stats'!B:B,'Base stats'!C:C)^0.165,0.05)))</f>
        <v>3.7</v>
      </c>
      <c r="S393" s="13" t="str">
        <f>IF(_xlfn.XLOOKUP(_xlfn.XLOOKUP(B393,'Base stats'!B:B,'Base stats'!E:E),Groups!A:A,Groups!P:P)=0,"No",MROUND((LOG10(_xlfn.XLOOKUP(B393,'Base stats'!B:B,'Base stats'!AS:AS))*(AO393^0.5)+(_xlfn.XLOOKUP(B393,'Base stats'!B:B,'Base stats'!AS:AS)/1000)^(2/3)+_xlfn.XLOOKUP(B393,'Base stats'!B:B,'Base stats'!BA:BA))+_xlfn.XLOOKUP(B393,'Base stats'!B:B,'Base stats'!AY:AY)+0.5,0.5))</f>
        <v>No</v>
      </c>
      <c r="T393" s="7" t="str">
        <f>IF(S393="No","No",MAX(_xlfn.XLOOKUP(_xlfn.XLOOKUP(B393,'Base stats'!B:B,'Base stats'!E:E),Groups!A:A,Groups!Q:Q),MROUND(_xlfn.XLOOKUP(_xlfn.XLOOKUP(B393,'Base stats'!B:B,'Base stats'!E:E),Groups!A:A,Groups!Q:Q)*_xlfn.XLOOKUP(B393,'Base stats'!B:B,'Base stats'!C:C)^0.165,0.05)))</f>
        <v>No</v>
      </c>
      <c r="U393" s="7" t="str">
        <f>IF(S393="No","No",_xlfn.XLOOKUP(_xlfn.XLOOKUP(B393,'Base stats'!B:B,'Base stats'!E:E),Groups!A:A,Groups!R:R))</f>
        <v>No</v>
      </c>
      <c r="V393" s="7" t="str">
        <f>IF(S393="No","No",_xlfn.XLOOKUP(_xlfn.XLOOKUP(B393,'Base stats'!B:B,'Base stats'!E:E),Groups!A:A,Groups!S:S))</f>
        <v>No</v>
      </c>
      <c r="W393" s="7" t="str">
        <f>IF(S393="No","No",_xlfn.XLOOKUP(_xlfn.XLOOKUP(B393,'Base stats'!B:B,'Base stats'!E:E),Groups!A:A,Groups!T:T))</f>
        <v>No</v>
      </c>
      <c r="X393" s="13" t="str">
        <f>IF(_xlfn.XLOOKUP(B393,'Base stats'!B:B,'Base stats'!W:W)="No","No",MROUND((LOG10(_xlfn.XLOOKUP(B393,'Base stats'!B:B,'Base stats'!AU:AU))*(AO393^0.5)+(_xlfn.XLOOKUP(B393,'Base stats'!B:B,'Base stats'!AU:AU)/1000)^(2/3)+_xlfn.XLOOKUP(B393,'Base stats'!B:B,'Base stats'!AZ:AZ))+0.5+IF(_xlfn.XLOOKUP(_xlfn.XLOOKUP(B393,'Base stats'!B:B,'Base stats'!E:E),Groups!A:A,Groups!U:U)&lt;&gt;3,_xlfn.XLOOKUP(B393,'Base stats'!B:B,'Base stats'!BA:BA),0),0.5))</f>
        <v>No</v>
      </c>
      <c r="Y393" s="7" t="str">
        <f>IF(X393="No","No",MAX(_xlfn.XLOOKUP(_xlfn.XLOOKUP(B393,'Base stats'!B:B,'Base stats'!E:E),Groups!A:A,Groups!V:V),MROUND(_xlfn.XLOOKUP(_xlfn.XLOOKUP(B393,'Base stats'!B:B,'Base stats'!E:E),Groups!A:A,Groups!V:V)*_xlfn.XLOOKUP(B393,'Base stats'!B:B,'Base stats'!C:C)^0.165,0.05)))</f>
        <v>No</v>
      </c>
      <c r="Z393" s="7" t="str">
        <f>IF(X393="No","No",_xlfn.XLOOKUP(_xlfn.XLOOKUP(B393,'Base stats'!B:B,'Base stats'!E:E),Groups!A:A,Groups!W:W))</f>
        <v>No</v>
      </c>
      <c r="AA393" s="7" t="str">
        <f>IF(X393="No","No",_xlfn.XLOOKUP(_xlfn.XLOOKUP(B393,'Base stats'!B:B,'Base stats'!E:E),Groups!A:A,Groups!X:X))</f>
        <v>No</v>
      </c>
      <c r="AB393" s="7" t="str">
        <f>IF(X393="No","No",_xlfn.XLOOKUP(_xlfn.XLOOKUP(B393,'Base stats'!B:B,'Base stats'!E:E),Groups!A:A,Groups!Y:Y))</f>
        <v>No</v>
      </c>
      <c r="AC393" s="7" t="str">
        <f>_xlfn.XLOOKUP(Animals!B393,'Base stats'!B:B,'Base stats'!X:X)</f>
        <v>False</v>
      </c>
      <c r="AD393" s="13">
        <f>IF(_xlfn.XLOOKUP(B393,'Base stats'!B:B,'Base stats'!AT:AT)="No","No",MROUND((LOG10(_xlfn.XLOOKUP(B393,'Base stats'!B:B,'Base stats'!AT:AT))*(AO393^0.75)+(_xlfn.XLOOKUP(B393,'Base stats'!B:B,'Base stats'!AT:AT)/1000)^(2/3)+_xlfn.XLOOKUP(B393,'Base stats'!B:B,'Base stats'!AX:AX)+_xlfn.XLOOKUP(B393,'Base stats'!B:B,'Base stats'!BA:BA))+0.5,0.5))</f>
        <v>35</v>
      </c>
      <c r="AE393" s="7">
        <f>IF(AD393="No","No",MAX(_xlfn.XLOOKUP(_xlfn.XLOOKUP(B393,'Base stats'!B:B,'Base stats'!E:E),Groups!A:A,Groups!Z:Z),MROUND(_xlfn.XLOOKUP(_xlfn.XLOOKUP(B393,'Base stats'!B:B,'Base stats'!E:E),Groups!A:A,Groups!Z:Z)*_xlfn.XLOOKUP(B393,'Base stats'!B:B,'Base stats'!C:C)^0.165,0.05)))</f>
        <v>3.5</v>
      </c>
      <c r="AF393" s="7" t="str">
        <f>IF(AD393="No","No",_xlfn.XLOOKUP(_xlfn.XLOOKUP(B393,'Base stats'!B:B,'Base stats'!E:E),Groups!A:A,Groups!AA:AA))</f>
        <v>Teeth</v>
      </c>
      <c r="AG393" s="7" t="str">
        <f>IF(AD393="No","No",_xlfn.XLOOKUP(_xlfn.XLOOKUP(B393,'Base stats'!B:B,'Base stats'!E:E),Groups!A:A,Groups!AB:AB))</f>
        <v>teeth</v>
      </c>
      <c r="AH393" s="7" t="str">
        <f>IF(AD393="No","No",_xlfn.XLOOKUP(_xlfn.XLOOKUP(B393,'Base stats'!B:B,'Base stats'!E:E),Groups!A:A,Groups!AC:AC))</f>
        <v>Bite</v>
      </c>
      <c r="AI393" s="13" t="str">
        <f>IF(_xlfn.XLOOKUP(_xlfn.XLOOKUP(B393,'Base stats'!B:B,'Base stats'!E:E),Groups!A:A,Groups!AD:AD)=0,"No",MROUND((LOG10(_xlfn.XLOOKUP(B393,'Base stats'!B:B,'Base stats'!AS:AS))*(AO393^0.75)+(_xlfn.XLOOKUP(B393,'Base stats'!B:B,'Base stats'!AS:AS)/1000)^(2/3)+_xlfn.XLOOKUP(B393,'Base stats'!B:B,'Base stats'!AY:AY)+_xlfn.XLOOKUP(B393,'Base stats'!B:B,'Base stats'!BA:BA))+0.5,0.5))</f>
        <v>No</v>
      </c>
      <c r="AJ393" s="7" t="str">
        <f>IF(AI393="No","No",MAX(_xlfn.XLOOKUP(_xlfn.XLOOKUP(B393,'Base stats'!B:B,'Base stats'!E:E),Groups!A:A,Groups!AE:AE),MROUND(_xlfn.XLOOKUP(_xlfn.XLOOKUP(B393,'Base stats'!B:B,'Base stats'!E:E),Groups!A:A,Groups!AE:AE)*IF(_xlfn.XLOOKUP(_xlfn.XLOOKUP(B393,'Base stats'!B:B,'Base stats'!E:E),Groups!A:A,Groups!AJ:AJ)="Photonozoa",0.6,1)*_xlfn.XLOOKUP(B393,'Base stats'!B:B,'Base stats'!C:C)^0.165,0.05)))</f>
        <v>No</v>
      </c>
      <c r="AK393" s="7" t="str">
        <f>IF(AI393="No","No",_xlfn.XLOOKUP(_xlfn.XLOOKUP(B393,'Base stats'!B:B,'Base stats'!E:E),Groups!A:A,Groups!AF:AF))</f>
        <v>No</v>
      </c>
      <c r="AL393" s="7" t="str">
        <f>IF(AI393="No","No",_xlfn.XLOOKUP(_xlfn.XLOOKUP(B393,'Base stats'!B:B,'Base stats'!E:E),Groups!A:A,Groups!AG:AG))</f>
        <v>No</v>
      </c>
      <c r="AM393" s="7" t="str">
        <f>IF(AI393="No","No",_xlfn.XLOOKUP(_xlfn.XLOOKUP(B393,'Base stats'!B:B,'Base stats'!E:E),Groups!A:A,Groups!AH:AH))</f>
        <v>No</v>
      </c>
      <c r="AN393" s="2" t="str">
        <f t="shared" si="49"/>
        <v>No</v>
      </c>
      <c r="AO393" s="2">
        <f>MROUND(IF(AND(_xlfn.XLOOKUP(B393,'Base stats'!B:B,'Base stats'!C:C)&gt;=0.5,_xlfn.XLOOKUP(B393,'Base stats'!B:B,'Base stats'!C:C)&lt;=0.8),
IF(_xlfn.XLOOKUP(B393,'Base stats'!B:B,'Base stats'!C:C)&lt;0.1,0.05,IF(_xlfn.XLOOKUP(B393,'Base stats'!B:B,'Base stats'!C:C)&lt;=70,(_xlfn.XLOOKUP(B393,'Base stats'!B:B,'Base stats'!C:C)/70)^0.426489913056526,IF(_xlfn.XLOOKUP(B393,'Base stats'!B:B,'Base stats'!C:C)&lt;=400,(_xlfn.XLOOKUP(B393,'Base stats'!B:B,'Base stats'!C:C)/70)^0.572811455315093,IF(_xlfn.XLOOKUP(B393,'Base stats'!B:B,'Base stats'!C:C)&lt;=2000,2.71391647193063*(_xlfn.XLOOKUP(B393,'Base stats'!B:B,'Base stats'!C:C)/400)^0.252459582904293,3.74314280240376*(_xlfn.XLOOKUP(B393,'Base stats'!B:B,'Base stats'!C:C)/2000)^0.357012633876913)))),
IF(_xlfn.XLOOKUP(B393,'Base stats'!B:B,'Base stats'!C:C)&lt;0.1,0.05,IF(_xlfn.XLOOKUP(B393,'Base stats'!B:B,'Base stats'!C:C)&lt;0.4,0.1,IF(_xlfn.XLOOKUP(B393,'Base stats'!B:B,'Base stats'!C:C)&lt;=70,(_xlfn.XLOOKUP(B393,'Base stats'!B:B,'Base stats'!C:C)/70)^0.445823913056526,IF(_xlfn.XLOOKUP(B393,'Base stats'!B:B,'Base stats'!C:C)&lt;=400,(_xlfn.XLOOKUP(B393,'Base stats'!B:B,'Base stats'!C:C)/70)^0.572811455315093,IF(_xlfn.XLOOKUP(B393,'Base stats'!B:B,'Base stats'!C:C)&lt;=2000,2.71391647193063*(_xlfn.XLOOKUP(B393,'Base stats'!B:B,'Base stats'!C:C)/400)^0.252459582904293,3.74314280240376*(_xlfn.XLOOKUP(B393,'Base stats'!B:B,'Base stats'!C:C)/2000)^0.357012633876913)))))),
IF(_xlfn.XLOOKUP(B393,'Base stats'!B:B,'Base stats'!C:C)&lt;0.1,0.05,IF(_xlfn.XLOOKUP(B393,'Base stats'!B:B,'Base stats'!C:C)&lt;=100,0.05,IF(_xlfn.XLOOKUP(B393,'Base stats'!B:B,'Base stats'!C:C)&lt;=250,0.1,IF(_xlfn.XLOOKUP(B393,'Base stats'!B:B,'Base stats'!C:C)&lt;=4000,0.25,0.5)))))</f>
        <v>4.25</v>
      </c>
      <c r="AP393" s="8">
        <f>MROUND(AO393*_xlfn.XLOOKUP(_xlfn.XLOOKUP(B393,'Base stats'!B:B,'Base stats'!E:E),Groups!A:A,Groups!AI:AI)*_xlfn.XLOOKUP(B393,'Base stats'!B:B,'Base stats'!Z:Z),0.05)</f>
        <v>4.25</v>
      </c>
      <c r="AQ393" s="8">
        <f>MAX(0.01,MROUND(IF(CC393="True",0.196*(AO393*100*1000)^0.889,IF(_xlfn.XLOOKUP(_xlfn.XLOOKUP(B393,'Base stats'!B:B,'Base stats'!E:E),Groups!A:A,Groups!AJ:AJ)="Bird",10.5*(AO393*100*1000)^0.681,4.82*(AO393*100*1000)^0.734))/(4.82*(1*100*1000)^0.734)/IF(AO393&lt;3.5,2,IF(AO393=3.5,1.5,1.25))*(1+0.132282374779864/(AO393^0.994035016789033+0.00905238001496948)),0.05))</f>
        <v>2.4000000000000004</v>
      </c>
      <c r="AR393" s="9">
        <f>IFERROR(MROUND(_xlfn.XLOOKUP(B393,'Base stats'!B:B,'Base stats'!H:H)/IF(_xlfn.XLOOKUP(B393,'Base stats'!B:B,'Base stats'!I:I)&lt;&gt;1,(122.5/70),1.2),IF(_xlfn.XLOOKUP(B393,'Base stats'!B:B,'Base stats'!H:H)&gt;=30,5,IF(_xlfn.XLOOKUP(B393,'Base stats'!B:B,'Base stats'!H:H)&gt;=15,3,IF(_xlfn.XLOOKUP(B393,'Base stats'!B:B,'Base stats'!H:H)&gt;=10,2,1)))),"Immortal")</f>
        <v>30</v>
      </c>
      <c r="AS393" s="35">
        <f>IFERROR(IF(OR(_xlfn.XLOOKUP(B393,'Base stats'!B:B,'Base stats'!F:F)="Atypical reproduction",_xlfn.XLOOKUP(B393,'Base stats'!B:B,'Base stats'!F:F)="Lay eggs"),"Lay eggs",MIN(20,MAX(5.5,ROUND(((_xlfn.XLOOKUP(B393,'Base stats'!B:B,'Base stats'!F:F)-25)*(14.5/615) + 5.5)*2,0)/2))),"Unknown")</f>
        <v>6</v>
      </c>
      <c r="AT393" s="8">
        <f>IF(_xlfn.XLOOKUP(B393,'Base stats'!B:B,'Base stats'!G:G)="Atypical reproduction","No",IFERROR(MAX(IF(_xlfn.XLOOKUP(B393,'Base stats'!B:B,'Base stats'!G:G)&lt;0.5,0.2,0.3),MROUND(_xlfn.XLOOKUP(B393,'Base stats'!B:B,'Base stats'!G:G)/(365/60),0.2)),"Unknown"))</f>
        <v>0.8</v>
      </c>
      <c r="AU393" s="8">
        <f t="shared" si="50"/>
        <v>0.4</v>
      </c>
      <c r="AV393" s="8">
        <f>IFERROR(IFERROR(MROUND(_xlfn.XLOOKUP(B393,'Base stats'!B:B,'Base stats'!J:J),0.1),"Lay eggs"),"Cannot breed")</f>
        <v>1</v>
      </c>
      <c r="AW393" s="2" t="str">
        <f t="shared" si="51"/>
        <v>false</v>
      </c>
      <c r="AX393" s="2" t="str">
        <f>IF(_xlfn.XLOOKUP(_xlfn.XLOOKUP(Animals!B393,'Base stats'!B:B,'Base stats'!E:E),Groups!A:A,Groups!AK:AK)=1,"true","false")</f>
        <v>false</v>
      </c>
      <c r="AY393" s="25" t="str">
        <f>IF(_xlfn.XLOOKUP(B393,'Base stats'!B:B,'Base stats'!Y:Y)="Liquor","Liquor, CarnivoreAnimalStrict",IF(AND(_xlfn.XLOOKUP(B393,'Base stats'!B:B,'Base stats'!Y:Y)="Carnivore",_xlfn.XLOOKUP(_xlfn.XLOOKUP(B393,'Base stats'!B:B,'Base stats'!E:E),Groups!A:A,Groups!AJ:AJ)="Photonozoa"),"CarnivoreAnimalStrict, OvivoreAnimal",IF(_xlfn.XLOOKUP(B393,'Base stats'!B:B,'Base stats'!Y:Y)="Carnivore","CarnivoreAnimal, OvivoreAnimal",IF(_xlfn.XLOOKUP(B393,'Base stats'!B:B,'Base stats'!Y:Y)="Dendrovore","VegetarianRoughAnimal, DendrovoreAnimal",IF(_xlfn.XLOOKUP(B393,'Base stats'!B:B,'Base stats'!Y:Y)="Herbivore","VegetarianRoughAnimal",IF(_xlfn.XLOOKUP(B393,'Base stats'!B:B,'Base stats'!Y:Y)="OmnivoreRough","OmnivoreRoughAnimal, OvivoreAnimal","OmnivoreAnimal, OvivoreAnimal"))))))</f>
        <v>VegetarianRoughAnimal</v>
      </c>
      <c r="AZ393" s="2" t="str">
        <f>IF(_xlfn.XLOOKUP(_xlfn.XLOOKUP(B393,'Base stats'!B:B,'Base stats'!E:E),Groups!A:A,Groups!D:D)=1,MROUND((1-J393)*5+1,2)*IF(J393&lt;=0.4,2,1),"No")</f>
        <v>No</v>
      </c>
      <c r="BA393" s="2" t="str">
        <f>IF(AND(_xlfn.XLOOKUP(B393,'Base stats'!B:B,'Base stats'!AH:AH)="&lt;li&gt;Seal&lt;/li&gt;",G393="Odyssey"),"&lt;li&gt;AEXP_Seal&lt;/li&gt;",_xlfn.XLOOKUP(B393,'Base stats'!B:B,'Base stats'!AH:AH))</f>
        <v>No</v>
      </c>
      <c r="BB393" s="2" t="str">
        <f>_xlfn.XLOOKUP(B393,'Base stats'!B:B,'Base stats'!AG:AG)</f>
        <v>Leather_Plain</v>
      </c>
      <c r="BC393" s="23" t="str">
        <f>_xlfn.XLOOKUP(_xlfn.XLOOKUP(B393,'Base stats'!B:B,'Base stats'!E:E),Groups!A:A,Groups!AL:AL)</f>
        <v>QuadrupedAnimalWithPaws</v>
      </c>
      <c r="BD393" s="23">
        <f>MIN(1,MROUND(IF(AND(AO393&lt;0.5,_xlfn.XLOOKUP(B393,'Base stats'!B:B,'Base stats'!AA:AA)=0),0,IF(OR(_xlfn.XLOOKUP(Animals!B393,'Base stats'!B:B,'Base stats'!O:O)=2,_xlfn.XLOOKUP(_xlfn.XLOOKUP(B393,'Base stats'!B:B,'Base stats'!E:E),Groups!A:A,Groups!AN:AN)=0),0,_xlfn.XLOOKUP(_xlfn.XLOOKUP(B393,'Base stats'!B:B,'Base stats'!E:E),Groups!A:A,Groups!AN:AN)/IF(_xlfn.XLOOKUP(Animals!B393,'Base stats'!B:B,'Base stats'!O:O)=1,2,1)))+_xlfn.XLOOKUP(B393,'Base stats'!B:B,'Base stats'!AC:AC),0.005))</f>
        <v>0</v>
      </c>
      <c r="BE393" s="23">
        <f>MIN(1,MROUND(IF(AND(AO393&lt;0.5,_xlfn.XLOOKUP(B393,'Base stats'!B:B,'Base stats'!AA:AA)=0),0,IF(_xlfn.XLOOKUP(_xlfn.XLOOKUP(B393,'Base stats'!B:B,'Base stats'!E:E),Groups!A:A,Groups!AO:AO)=0,0,_xlfn.XLOOKUP(_xlfn.XLOOKUP(B393,'Base stats'!B:B,'Base stats'!E:E),Groups!A:A,Groups!AO:AO)/IF(_xlfn.XLOOKUP(Animals!B393,'Base stats'!B:B,'Base stats'!O:O)=2,3,1)))+_xlfn.XLOOKUP(B393,'Base stats'!B:B,'Base stats'!AD:AD),0.005))</f>
        <v>0</v>
      </c>
      <c r="BF393" s="2" t="str">
        <f>IF(J393&gt;0.3,"No",_xlfn.XLOOKUP(_xlfn.XLOOKUP(Animals!B393,'Base stats'!B:B,'Base stats'!E:E),Groups!A:A,Groups!AP:AP))</f>
        <v>No</v>
      </c>
      <c r="BG393" s="2" t="str">
        <f>IF(AND(J393&lt;=0.65,_xlfn.XLOOKUP(_xlfn.XLOOKUP(Animals!B393,'Base stats'!B:B,'Base stats'!E:E),Groups!A:A,Groups!AP:AP)&lt;&gt;"No",_xlfn.XLOOKUP(_xlfn.XLOOKUP(B393,'Base stats'!B:B,'Base stats'!E:E),Groups!A:A,Groups!D:D)=0),MROUND((80/3)*IF(_xlfn.XLOOKUP(B393,'Base stats'!B:B,'Base stats'!O:O)=2,0.2,AO393) + 24*(1-IF(BF393="No",0,BF393)) + 16/3, 12),"No")</f>
        <v>No</v>
      </c>
      <c r="BH393" s="2">
        <f>IF(AND(_xlfn.XLOOKUP(_xlfn.XLOOKUP(B393,'Base stats'!B:B,'Base stats'!E:E),Groups!A:A,Groups!AQ:AQ)=1,AO393&lt;=0.35),8,12)</f>
        <v>12</v>
      </c>
      <c r="BI393" s="2" t="str">
        <f>IF(_xlfn.XLOOKUP(_xlfn.XLOOKUP(B393,'Base stats'!B:B,'Base stats'!E:E),Groups!A:A,Groups!D:D)=0,_xlfn.XLOOKUP(_xlfn.XLOOKUP(B393,'Base stats'!B:B,'Base stats'!E:E),Groups!A:A,Groups!AR:AR),"None")</f>
        <v>None</v>
      </c>
      <c r="BJ393" s="2" t="str">
        <f>IF(AND(_xlfn.XLOOKUP(_xlfn.XLOOKUP(B393,'Base stats'!B:B,'Base stats'!E:E),Groups!A:A,Groups!AS:AS)=1,OR(_xlfn.XLOOKUP(B393,'Base stats'!B:B,'Base stats'!Y:Y)="Carnivore",_xlfn.XLOOKUP(B393,'Base stats'!B:B,'Base stats'!Y:Y)="Omnivore")),"true","false")</f>
        <v>false</v>
      </c>
      <c r="BK393" s="2" t="str">
        <f>IF(BJ393="true",MROUND(IF(AND(AO393&gt;0.5,OR(_xlfn.XLOOKUP(_xlfn.XLOOKUP(B393,'Base stats'!B:B,'Base stats'!E:E),Groups!A:A,Groups!AJ:AJ)="Photonozoa",_xlfn.XLOOKUP(_xlfn.XLOOKUP(B393,'Base stats'!B:B,'Base stats'!E:E),Groups!A:A,Groups!AJ:AJ)="Mammal")),Animals!AO393*1.75*IF(AW393="true",1.5,1),IF(AO393&lt;0.5,Animals!AO393*0.5,Animals!AO393)),IF(AO393&gt;2,0.5,IF(AO393&gt;0.5,0.25,0.1))),"No")</f>
        <v>No</v>
      </c>
      <c r="BL393" s="2">
        <f t="shared" si="52"/>
        <v>0</v>
      </c>
      <c r="BM393" s="25" t="str">
        <f>IF(_xlfn.XLOOKUP(B393,'Base stats'!B:B,'Base stats'!AN:AN)="Standard","No",MROUND((_xlfn.XLOOKUP(B393,'Base stats'!B:B,'Base stats'!AN:AN)/3.6)/I393,0.1))</f>
        <v>No</v>
      </c>
      <c r="BN393" s="25" t="str">
        <f t="shared" si="53"/>
        <v>false</v>
      </c>
      <c r="BO393" s="25" t="str">
        <f>IF(AND(OR(_xlfn.XLOOKUP(B393,'Base stats'!B:B,'Base stats'!Y:Y)="Carnivore",_xlfn.XLOOKUP(B393,'Base stats'!B:B,'Base stats'!Y:Y)="Omnivore",_xlfn.XLOOKUP(B393,'Base stats'!B:B,'Base stats'!Y:Y)="OmnivoreRough"),_xlfn.XLOOKUP(_xlfn.XLOOKUP(B393,'Base stats'!B:B,'Base stats'!E:E),Groups!A:A,Groups!AT:AT)=1),"true","false")</f>
        <v>false</v>
      </c>
      <c r="BP393" s="25" t="str" cm="1">
        <f t="array" ref="BP393">IF(
  _xlfn.TEXTJOIN(", ",TRUE,
    IF(AND(BJ393="true",AO393&gt;0.5,BI393&lt;&gt;"None"),"AttackTarget",""),
    IF(AND(_xlfn.XLOOKUP(_xlfn.XLOOKUP(B393,'Base stats'!B:B,'Base stats'!E:E),Groups!A:A,Groups!AJ:AJ="Mammal"),OR(_xlfn.XLOOKUP(B393,'Base stats'!B:B,'Base stats'!Y:Y)="Omnivore",_xlfn.XLOOKUP(B393,'Base stats'!B:B,'Base stats'!Y:Y)="OmnivoreRough")),"Forage",""),
    IF(BG393&lt;=36,"Comfort",""),
    IF(_xlfn.XLOOKUP(B393,'Base stats'!B:B,'Base stats'!AE:AE)&lt;&gt;"No",_xlfn.XLOOKUP(B393,'Base stats'!B:B,'Base stats'!AE:AE),"")
  ) = "",
  "No",
  _xlfn.TEXTJOIN(", ",TRUE,
    IF(AND(BJ393="true",AO393&gt;0.5,BI393&lt;&gt;"None"),"AttackTarget",""),
    IF(AND(_xlfn.XLOOKUP(_xlfn.XLOOKUP(B393,'Base stats'!B:B,'Base stats'!E:E),Groups!A:A,Groups!AJ:AJ="Mammal"),OR(_xlfn.XLOOKUP(B393,'Base stats'!B:B,'Base stats'!Y:Y)="Omnivore",_xlfn.XLOOKUP(B393,'Base stats'!B:B,'Base stats'!Y:Y)="OmnivoreRough")),"Forage",""),
    IF(BG393&lt;=36,"Comfort",""),
    IF(_xlfn.XLOOKUP(B393,'Base stats'!B:B,'Base stats'!AE:AE)&lt;&gt;"No",_xlfn.XLOOKUP(B393,'Base stats'!B:B,'Base stats'!AE:AE),"")
  )
)</f>
        <v>No</v>
      </c>
      <c r="BQ393" s="25" t="str">
        <f>IF(
   AND(
      'Base stats'!AN393="Standard",_xlfn.XLOOKUP(_xlfn.XLOOKUP(B393,'Base stats'!B:B,'Base stats'!E:E),Groups!A:A,Groups!AU:AU)=0,
      OR(
      BO393="True"
      )
   ),
   10,
   IF(
       OR(BM393&lt;&gt;"No",_xlfn.XLOOKUP(_xlfn.XLOOKUP(B393,'Base stats'!B:B,'Base stats'!E:E),Groups!A:A,Groups!AU:AU)=1),
      1,
      "No"
   )
)</f>
        <v>No</v>
      </c>
      <c r="BR393" s="9">
        <f>MROUND((1 + ((0.2*IF(OR(Q393="No",R393="No",R393=0),0,Q393/R393)
+IF(OR(V393="No",S393="No",T393="No"),0,S393/T393*(LEN(V393)-LEN(SUBSTITUTE(V393,",",""))+1))
+IF(OR(X393="No",Y393="No"),0,X393/Y393)
+IF(OR(AD393="No",AE393="No"),0,AD393/AE393)
+IF(OR(AL393="No",AI393="No",AJ393="No"),0,AI393/AJ393*(LEN(AL393)-LEN(SUBSTITUTE(AL393,",",""))+1))
)/(0.2*IF(OR(Q393="No",R393="No",R393=0),0,1)
+IF(OR(V393="No",S393="No",T393="No"),0,LEN(V393)-LEN(SUBSTITUTE(V393,",",""))+1)
+IF(OR(X393="No",Y393="No"),0,1)
+IF(OR(AD393="No",AE393="No"),0,1)
+IF(OR(AL393="No",AI393="No",AJ393="No"),0,LEN(AL393)-LEN(SUBSTITUTE(AL393,",",""))+1))*62%)* 2)*(1 + (AP393 / (IF(_xlfn.XLOOKUP(_xlfn.XLOOKUP(B393,'Base stats'!B:B,'Base stats'!E:E),Groups!A:A,Groups!AJ:AJ)="Photonozoa",0.3,1)) + _xlfn.XLOOKUP(B393,'Base stats'!B:B,'Base stats'!AV:AV) * 1.8) * 2) * 2.5 + 10 + I393 * 2,5)+IF(_xlfn.XLOOKUP(B393,'Base stats'!B:B,'Base stats'!AK:AK)=1,50,0)</f>
        <v>325</v>
      </c>
      <c r="BS393" s="8">
        <f t="shared" si="54"/>
        <v>2.75</v>
      </c>
      <c r="BT393" s="8" t="str">
        <f>_xlfn.XLOOKUP(B393,'Base stats'!B:B,'Base stats'!AF:AF)</f>
        <v>No</v>
      </c>
      <c r="BU393" s="2" t="str">
        <f>IF(AND(J393&lt;=0.95,OR(_xlfn.XLOOKUP(B393,'Base stats'!B:B,'Base stats'!AK:AK)=1,_xlfn.XLOOKUP(B393,'Base stats'!B:B,'Base stats'!Y:Y)="Carnivore",_xlfn.XLOOKUP(B393,'Base stats'!B:B,'Base stats'!Y:Y)="Omnivore",BE393&gt;0.1)),"true","false")</f>
        <v>false</v>
      </c>
      <c r="BV393" s="2" t="str">
        <f>IF(_xlfn.XLOOKUP(B393,'Base stats'!B:B,'Base stats'!AI:AI)=1,"true","false")</f>
        <v>false</v>
      </c>
      <c r="BW393" s="25" t="str">
        <f>IF(E393="BaseInsect","AnimalInsect",
IF(J393&gt;0.95,"AnimalExotic",
_xlfn.TEXTJOIN(", ",TRUE,
IF(OR(_xlfn.XLOOKUP(B393,'Base stats'!B:B,'Base stats'!AM:AM)=1,AND(_xlfn.XLOOKUP(B393,'Base stats'!B:B,'Base stats'!O:O)=0,_xlfn.XLOOKUP(_xlfn.XLOOKUP(B393,'Base stats'!B:B,'Base stats'!E:E),Groups!A:A,Groups!B:B)&gt;0)),"AnimalUncommon","AnimalCommon"),
IF(AND(_xlfn.XLOOKUP(B393,'Base stats'!B:B,'Base stats'!O:O)=2,_xlfn.XLOOKUP(_xlfn.XLOOKUP(B393,'Base stats'!B:B,'Base stats'!E:E),Groups!A:A,Groups!D:D)=0),"AnimalPet",IF(AND(_xlfn.XLOOKUP(B393,'Base stats'!B:B,'Base stats'!O:O)&lt;&gt;0,_xlfn.XLOOKUP(_xlfn.XLOOKUP(B393,'Base stats'!B:B,'Base stats'!E:E),Groups!A:A,Groups!D:D)&lt;&gt;0),"AnimalFarm","")),
IF(OR(_xlfn.XLOOKUP(B393,'Base stats'!B:B,'Base stats'!AK:AK)=1,AND(BI393&lt;&gt;"None",BR393&gt;=60),ISNUMBER(SEARCH("Attack target",BP393))),"AnimalFighter","")
)))</f>
        <v>AnimalUncommon</v>
      </c>
      <c r="BX393" s="25" t="str">
        <f>IF(G393="None",TRIM(
SUBSTITUTE(
IF(COUNTIF(Biomes!B$2:B$259,"="&amp;$C393)&gt;0,Biomes!B$1&amp;", ","")&amp;
IF(COUNTIF(Biomes!C$2:C$259,"="&amp;$C393)&gt;0,Biomes!C$1&amp;", ","")&amp;
IF(COUNTIF(Biomes!D$2:D$259,"="&amp;$C393)&gt;0,Biomes!D$1&amp;", ","")&amp;
IF(COUNTIF(Biomes!F$2:F$259,"="&amp;$C393)&gt;0,Biomes!F$1&amp;", ","")&amp;
IF(COUNTIF(Biomes!G$2:G$259,"="&amp;$C393)&gt;0,Biomes!G$1&amp;", ","")&amp;
IF(COUNTIF(Biomes!H$2:H$259,"="&amp;$C393)&gt;0,Biomes!H$1&amp;", ","")&amp;
IF(COUNTIF(Biomes!I$2:I$259,"="&amp;$C393)&gt;0,Biomes!I$1&amp;", ","")&amp;
IF(COUNTIF(Biomes!J$2:J$259,"="&amp;$C393)&gt;0,Biomes!J$1&amp;", ","")&amp;
IF(COUNTIF(Biomes!M$2:M$259,"="&amp;$C393)&gt;0,Biomes!M$1&amp;", ","")&amp;
IF(COUNTIF(Biomes!N$2:N$259,"="&amp;$C393)&gt;0,Biomes!N$1&amp;", ","")&amp;
IF(COUNTIF(Biomes!O$2:O$259,"="&amp;$C393)&gt;0,Biomes!O$1&amp;", ","")&amp;
IF(COUNTIF(Biomes!P$2:P$259,"="&amp;$C393)&gt;0,Biomes!P$1&amp;", ","")&amp;
IF(COUNTIF(Biomes!K$2:K$259,"="&amp;$C393)&gt;0,Biomes!K$1&amp;", ","")&amp;
IF(COUNTIF(Biomes!Q$3:Q$259,"="&amp;$C393)&gt;0,Biomes!Q$1&amp;", ","")&amp;
IF(COUNTIF(Biomes!L$2:L$259,"="&amp;$C393)&gt;0,Biomes!L$1&amp;", ","")&amp;
IF(COUNTIF(Biomes!E$2:E$259,"="&amp;$C393)&gt;0,Biomes!E$1&amp;", ","")&amp;IF(COUNTIF(Biomes!S$2:S$259,"="&amp;$C393)&gt;0,Biomes!S$1&amp;", ","")&amp;
IF(COUNTIF(Biomes!R$2:R$259,"="&amp;$C393)&gt;0,Biomes!R$1&amp;", ",""),", ","")
),_xlfn.XLOOKUP(B393,B:B,BX:BX))</f>
        <v/>
      </c>
      <c r="BY393" s="25" t="str">
        <f>IF(_xlfn.XLOOKUP(B393,'Base stats'!B:B,'Base stats'!AJ:AJ)=1,"true","false")</f>
        <v>false</v>
      </c>
      <c r="BZ393" s="25">
        <f>IF(_xlfn.XLOOKUP(B393,'Base stats'!B:B,'Base stats'!N:N)=1,"No",MAX(0.001,MIN(MROUND(IF(AND(BJ393="True",CC393="False"),POWER(10,3.47*LOG10(_xlfn.XLOOKUP(B393,'Base stats'!B:B,'Base stats'!C:C)*1000)^-0.96),POWER(10,4.15*LOG10(_xlfn.XLOOKUP(B393,'Base stats'!B:B,'Base stats'!C:C)*1000)^-0.73))*IF(_xlfn.XLOOKUP(B393,'Base stats'!B:B,'Base stats'!AK:AK)=1,0.5,1)*IF(_xlfn.XLOOKUP(B393,'Base stats'!B:B,'Base stats'!AM:AM)=1,0.1,1)/100,IF(_xlfn.XLOOKUP(B393,'Base stats'!B:B,'Base stats'!AM:AM)=1,0.001,0.025)),0.5)))</f>
        <v>0.125</v>
      </c>
      <c r="CA393" s="25" t="str">
        <f>IF(P393="Standard","No",MAX(0.001,MIN(MROUND(IF(AND(BJ393="True",CC393="False"),POWER(10,3.47*LOG10(_xlfn.XLOOKUP(B393,'Base stats'!B:B,'Base stats'!C:C)*1000)^-0.96),POWER(10,4.15*LOG10(_xlfn.XLOOKUP(B393,'Base stats'!B:B,'Base stats'!C:C)*1000)^-0.73))*IF(_xlfn.XLOOKUP(B393,'Base stats'!B:B,'Base stats'!AM:AM)=1,0.1,1)*_xlfn.XLOOKUP(B393,'Base stats'!B:B,'Base stats'!R:R)/100,IF(_xlfn.XLOOKUP(B393,'Base stats'!B:B,'Base stats'!AM:AM)=1,0.001,0.025)),0.5)))</f>
        <v>No</v>
      </c>
      <c r="CB393" s="25" t="str">
        <f>IF(_xlfn.XLOOKUP(_xlfn.XLOOKUP(B393,'Base stats'!B:B,'Base stats'!E:E),Groups!A:A,Groups!AJ:AJ)="Mammal","True","False")</f>
        <v>True</v>
      </c>
      <c r="CC393" s="25" t="str">
        <f>IF(OR(_xlfn.XLOOKUP(_xlfn.XLOOKUP(B393,'Base stats'!B:B,'Base stats'!E:E),Groups!A:A,Groups!AJ:AJ)="Reptile",_xlfn.XLOOKUP(_xlfn.XLOOKUP(B393,'Base stats'!B:B,'Base stats'!E:E),Groups!A:A,Groups!AJ:AJ)="Amphibian",_xlfn.XLOOKUP(_xlfn.XLOOKUP(B393,'Base stats'!B:B,'Base stats'!E:E),Groups!A:A,Groups!AJ:AJ)="Invertebrate"),"True","False")</f>
        <v>False</v>
      </c>
      <c r="CD393" s="25" t="str">
        <f t="shared" si="55"/>
        <v>False</v>
      </c>
      <c r="CE393" s="25" t="str">
        <f>IF(_xlfn.XLOOKUP(_xlfn.XLOOKUP(B393,'Base stats'!B:B,'Base stats'!E:E),Groups!A:A,Groups!AX:AX),"True","False")</f>
        <v>False</v>
      </c>
      <c r="CF393" s="25" t="str">
        <f>IF(_xlfn.XLOOKUP(_xlfn.XLOOKUP(B393,'Base stats'!B:B,'Base stats'!E:E),Groups!A:A,Groups!AY:AY),"True","False")</f>
        <v>False</v>
      </c>
      <c r="CG393" s="25" t="str">
        <f>IF(_xlfn.XLOOKUP(_xlfn.XLOOKUP(B393,'Base stats'!B:B,'Base stats'!E:E),Groups!A:A,Groups!AW:AW),"True","False")</f>
        <v>False</v>
      </c>
      <c r="CH393" s="25" t="str">
        <f>IF(
OR(
_xlfn.XLOOKUP(_xlfn.XLOOKUP(B393,'Base stats'!B:B,'Base stats'!E:E),Groups!A:A,Groups!AZ:AZ)=0,
AND(
_xlfn.XLOOKUP(B393,'Base stats'!B:B,'Base stats'!Y:Y)&lt;&gt;"Carnivore",
_xlfn.XLOOKUP(B393,'Base stats'!B:B,'Base stats'!Y:Y)&lt;&gt;"Omnivore",
_xlfn.XLOOKUP(B393,'Base stats'!B:B,'Base stats'!Y:Y)&lt;&gt;"OmnivoreRough"
)
),
"No",
IF(
_xlfn.XLOOKUP(_xlfn.XLOOKUP(B393,'Base stats'!B:B,'Base stats'!E:E),Groups!A:A,Groups!AZ:AZ)=1,
"Flesh",
IF(
_xlfn.XLOOKUP(_xlfn.XLOOKUP(B393,'Base stats'!B:B,'Base stats'!E:E),Groups!A:A,Groups!AZ:AZ)=2,
"Bone",
""
)
)
)</f>
        <v>No</v>
      </c>
      <c r="CI393" s="25" t="str">
        <f>IF(_xlfn.XLOOKUP(_xlfn.XLOOKUP(B393,'Base stats'!B:B,'Base stats'!E:E),Groups!A:A,Groups!BB:BB),"True","False")</f>
        <v>True</v>
      </c>
      <c r="CJ393" s="25" t="str">
        <f>IF(_xlfn.XLOOKUP(_xlfn.XLOOKUP(B393,'Base stats'!B:B,'Base stats'!E:E),Groups!A:A,Groups!BA:BA),"True","False")</f>
        <v>False</v>
      </c>
    </row>
    <row r="394" spans="1:88" ht="16.5" thickTop="1" thickBot="1" x14ac:dyDescent="0.3">
      <c r="A394" s="26" t="s">
        <v>2083</v>
      </c>
      <c r="B394" s="6" t="str">
        <f>_xlfn.XLOOKUP(A394,'Base stats'!A:A,'Base stats'!B:B)</f>
        <v>Arctodus simus</v>
      </c>
      <c r="C394" s="28" t="str">
        <f t="shared" si="56"/>
        <v>&lt;li&gt;ShortfacedBear&lt;/li&gt;</v>
      </c>
      <c r="D394" s="28" t="s">
        <v>2126</v>
      </c>
      <c r="E394" s="28" t="s">
        <v>673</v>
      </c>
      <c r="F394" s="28" t="s">
        <v>673</v>
      </c>
      <c r="G394" s="28" t="s">
        <v>673</v>
      </c>
      <c r="H394" s="2">
        <f>MROUND((
  (IF(AND(_xlfn.XLOOKUP(B394,'Base stats'!B:B,'Base stats'!AL:AL)=0,BI394="None",_xlfn.XLOOKUP(_xlfn.XLOOKUP(B394,'Base stats'!B:B,'Base stats'!E:E),Groups!A:A,Groups!B:B)=0), (18 + BR394 * 2.7) * 0.5,
    IF(AND(_xlfn.XLOOKUP(B394,'Base stats'!B:B,'Base stats'!AL:AL)=0,OR(AO394&lt;0.55,AND(BI394="Intermediate",_xlfn.XLOOKUP(_xlfn.XLOOKUP(B394,'Base stats'!B:B,'Base stats'!E:E),Groups!A:A,Groups!B:B)&lt;2))), (18 + BR394 * 2.7),
      IF(OR(BI394="Advanced",_xlfn.XLOOKUP(B394,'Base stats'!B:B,'Base stats'!AL:AL)=1,_xlfn.XLOOKUP(_xlfn.XLOOKUP(B394,'Base stats'!B:B,'Base stats'!E:E),Groups!A:A,Groups!B:B)=2), (18 + BR394 * 2.7) + 250, (18 + BR394 * 2.7))
    )
  ))
  + AO394 * 80
  + IF(COUNTIF(EggMilk!K$2:K$998, A394) &gt; 0, 125, 0)
  + IF(COUNTIF(EggMilk!P$2:P$998, A394) &gt; 0, 90, 0)
  + IF(COUNTIF(EggMilk!A$2:A$998, A394) &gt; 0, 90, 0)
)
* (0.8 + 0.4 * J394)
* 0.75,25)</f>
        <v>1300</v>
      </c>
      <c r="I394" s="2">
        <f>MROUND(ROUNDDOWN(_xlfn.XLOOKUP(B394,'Base stats'!B:B,'Base stats'!L:L)/3.6/(23.3/11),1),0.5)</f>
        <v>6.5</v>
      </c>
      <c r="J394" s="2">
        <f>IF(OR(_xlfn.XLOOKUP(B394,'Base stats'!B:B,'Base stats'!AB:AB)=1,_xlfn.XLOOKUP(_xlfn.XLOOKUP(B394,'Base stats'!B:B,'Base stats'!E:E),Groups!A:A,Groups!C:C)="Untamable"),1,IF(_xlfn.XLOOKUP(B394,'Base stats'!B:B,'Base stats'!AL:AL)=1,0.99,MIN(MROUND((1-0.6282*EXP(-0.459*AO394))*_xlfn.XLOOKUP(_xlfn.XLOOKUP(B394,'Base stats'!B:B,'Base stats'!E:E),Groups!A:A,Groups!C:C)*IF(_xlfn.XLOOKUP(B394,'Base stats'!B:B,'Base stats'!O:O)=1,0.5,IF(_xlfn.XLOOKUP(B394,'Base stats'!B:B,'Base stats'!O:O)=2,0,1)),0.05),IF(AO394&gt;3.5,0.985,0.95))))</f>
        <v>0.95</v>
      </c>
      <c r="K394" s="2">
        <f>ROUNDUP(AO394*_xlfn.XLOOKUP(_xlfn.XLOOKUP(B394,'Base stats'!B:B,'Base stats'!E:E),Groups!A:A,Groups!E:E),0)</f>
        <v>3</v>
      </c>
      <c r="L394" s="2">
        <f>IF(OR(_xlfn.XLOOKUP(_xlfn.XLOOKUP(B394,'Base stats'!B:B,'Base stats'!E:E),Groups!A:A,Groups!F:F)=2,ISNUMBER(SEARCH("SeaIce",BX394)),ISNUMBER(SEARCH("IceSheet",BX394))),-50,IF(OR(ISNUMBER(SEARCH("GlacialPlain",BX394)),ISNUMBER(SEARCH("Tundra",BX394))),-40,IF(OR(ISNUMBER(SEARCH("Alpine",BX394)),ISNUMBER(SEARCH("BorealForest",BX394)),ISNUMBER(SEARCH("ColdBog",BX394))),-30,IF(OR(ISNUMBER(SEARCH("TemperateForest",BX394)),ISNUMBER(SEARCH("TemperateSwamp",BX394))),-20,IF(_xlfn.XLOOKUP(_xlfn.XLOOKUP(B394,'Base stats'!B:B,'Base stats'!E:E),Groups!A:A,Groups!F:F)=1,-15,IF(OR(ISNUMBER(SEARCH("Desert",BX394)),ISNUMBER(SEARCH("ExtremeDesert",BX394))),-10,IF(OR(ISNUMBER(SEARCH("Grasslands",BX394)),ISNUMBER(SEARCH("TropicalRainforest",BX394)),ISNUMBER(SEARCH("TropicalSwamp",BX394))),10,0)))))))-IF(CC394="False",MIN(IFERROR(MAX(MROUND(LOG10(_xlfn.XLOOKUP(B394,'Base stats'!B:B,'Base stats'!C:C)^(2/3))*10,5),5),5),30))-_xlfn.XLOOKUP(B394,'Base stats'!B:B,'Base stats'!P:P)+IF(CC394="True",5,0)</f>
        <v>-35</v>
      </c>
      <c r="M394" s="2">
        <f>IF(OR(_xlfn.XLOOKUP(_xlfn.XLOOKUP(B394,'Base stats'!B:B,'Base stats'!E:E),Groups!A:A,Groups!G:G)=2,ISNUMBER(SEARCH("Desert",BX394)),ISNUMBER(SEARCH("ExtremeDesert",BX394)),ISNUMBER(SEARCH("LavaField",BX394))),50,IF(ISNUMBER(SEARCH("Grasslands",BX394)),45,IF(OR(_xlfn.XLOOKUP(_xlfn.XLOOKUP(B394,'Base stats'!B:B,'Base stats'!E:E),Groups!A:A,Groups!G:G)=1,ISNUMBER(SEARCH("TropicalRainforest",BX394)),ISNUMBER(SEARCH("TropicalSwamp",BX394))),40,IF(OR(ISNUMBER(SEARCH("TemperateForest",BX394)),ISNUMBER(SEARCH("TemperateSwamp",BX394))),35,IF(OR(ISNUMBER(SEARCH("Alpine",BX394)),ISNUMBER(SEARCH("BorealForest",BX394)),ISNUMBER(SEARCH("ColdBog",BX394))),30,IF(ISNUMBER(OR(ISNUMBER(SEARCH("GlacialPlain",BX394)),SEARCH("Tundra",BX394))),25,IF(OR(ISNUMBER(SEARCH("SeaIce",BX394)),ISNUMBER(SEARCH("IceSheet",BX394)),ISNUMBER(SEARCH("TropicalSwamp",BX394))),10,35)))))))+_xlfn.XLOOKUP(B394,'Base stats'!B:B,'Base stats'!Q:Q)</f>
        <v>35</v>
      </c>
      <c r="N394" s="8" t="str">
        <f>IF(
_xlfn.XLOOKUP(
_xlfn.XLOOKUP(B394,'Base stats'!B:B,'Base stats'!E:E),
Groups!A:A,
Groups!L:L
)=1,
MIN(
MROUND(
IF(
_xlfn.XLOOKUP(B394,'Animals CE'!B:B,'Animals CE'!Z:Z)&lt;=1.5,
_xlfn.XLOOKUP(B394,'Animals CE'!B:B,'Animals CE'!Z:Z)/2+0.05,
0.8+
(_xlfn.XLOOKUP(B394,'Animals CE'!B:B,'Animals CE'!Z:Z)-1.5)
*0.02
),
0.05
),
200%
),
"No"
)</f>
        <v>No</v>
      </c>
      <c r="O394" s="8" t="str">
        <f>IF(
_xlfn.XLOOKUP(
_xlfn.XLOOKUP(B394,'Base stats'!B:B,'Base stats'!E:E),
Groups!A:A,
Groups!L:L
)=1,
MIN(
MROUND(
IF(
_xlfn.XLOOKUP(B394,'Animals CE'!B:B,'Animals CE'!AA:AA)&lt;=1.5,
_xlfn.XLOOKUP(B394,'Animals CE'!B:B,'Animals CE'!AA:AA)/2+0.05,
0.8+
(_xlfn.XLOOKUP(B394,'Animals CE'!B:B,'Animals CE'!AA:AA)-1.5)
*0.02
),
0.05
),
200%
),
"No"
)</f>
        <v>No</v>
      </c>
      <c r="P394" s="2" t="str">
        <f>_xlfn.XLOOKUP(B394,'Base stats'!B:B,'Base stats'!R:R)</f>
        <v>Standard</v>
      </c>
      <c r="Q394" s="13">
        <f>MROUND((LOG10(_xlfn.XLOOKUP(B394,'Base stats'!B:B,'Base stats'!AR:AR))*(AO394^0.5)+(_xlfn.XLOOKUP(B394,'Base stats'!B:B,'Base stats'!AR:AR)/1000)^(2/3)+_xlfn.XLOOKUP(B394,'Base stats'!B:B,'Base stats'!BA:BA)/2)+0.5,0.5)</f>
        <v>17</v>
      </c>
      <c r="R394" s="7">
        <f>IF(Q394="No","No",MAX(1,MROUND(_xlfn.XLOOKUP(B394,'Base stats'!B:B,'Base stats'!C:C)^0.165,0.05)))</f>
        <v>2.9000000000000004</v>
      </c>
      <c r="S394" s="13" t="str">
        <f>IF(_xlfn.XLOOKUP(_xlfn.XLOOKUP(B394,'Base stats'!B:B,'Base stats'!E:E),Groups!A:A,Groups!P:P)=0,"No",MROUND((LOG10(_xlfn.XLOOKUP(B394,'Base stats'!B:B,'Base stats'!AS:AS))*(AO394^0.5)+(_xlfn.XLOOKUP(B394,'Base stats'!B:B,'Base stats'!AS:AS)/1000)^(2/3)+_xlfn.XLOOKUP(B394,'Base stats'!B:B,'Base stats'!BA:BA))+_xlfn.XLOOKUP(B394,'Base stats'!B:B,'Base stats'!AY:AY)+0.5,0.5))</f>
        <v>No</v>
      </c>
      <c r="T394" s="7" t="str">
        <f>IF(S394="No","No",MAX(_xlfn.XLOOKUP(_xlfn.XLOOKUP(B394,'Base stats'!B:B,'Base stats'!E:E),Groups!A:A,Groups!Q:Q),MROUND(_xlfn.XLOOKUP(_xlfn.XLOOKUP(B394,'Base stats'!B:B,'Base stats'!E:E),Groups!A:A,Groups!Q:Q)*_xlfn.XLOOKUP(B394,'Base stats'!B:B,'Base stats'!C:C)^0.165,0.05)))</f>
        <v>No</v>
      </c>
      <c r="U394" s="7" t="str">
        <f>IF(S394="No","No",_xlfn.XLOOKUP(_xlfn.XLOOKUP(B394,'Base stats'!B:B,'Base stats'!E:E),Groups!A:A,Groups!R:R))</f>
        <v>No</v>
      </c>
      <c r="V394" s="7" t="str">
        <f>IF(S394="No","No",_xlfn.XLOOKUP(_xlfn.XLOOKUP(B394,'Base stats'!B:B,'Base stats'!E:E),Groups!A:A,Groups!S:S))</f>
        <v>No</v>
      </c>
      <c r="W394" s="7" t="str">
        <f>IF(S394="No","No",_xlfn.XLOOKUP(_xlfn.XLOOKUP(B394,'Base stats'!B:B,'Base stats'!E:E),Groups!A:A,Groups!T:T))</f>
        <v>No</v>
      </c>
      <c r="X394" s="13" t="str">
        <f>IF(_xlfn.XLOOKUP(B394,'Base stats'!B:B,'Base stats'!W:W)="No","No",MROUND((LOG10(_xlfn.XLOOKUP(B394,'Base stats'!B:B,'Base stats'!AU:AU))*(AO394^0.5)+(_xlfn.XLOOKUP(B394,'Base stats'!B:B,'Base stats'!AU:AU)/1000)^(2/3)+_xlfn.XLOOKUP(B394,'Base stats'!B:B,'Base stats'!AZ:AZ))+0.5+IF(_xlfn.XLOOKUP(_xlfn.XLOOKUP(B394,'Base stats'!B:B,'Base stats'!E:E),Groups!A:A,Groups!U:U)&lt;&gt;3,_xlfn.XLOOKUP(B394,'Base stats'!B:B,'Base stats'!BA:BA),0),0.5))</f>
        <v>No</v>
      </c>
      <c r="Y394" s="7" t="str">
        <f>IF(X394="No","No",MAX(_xlfn.XLOOKUP(_xlfn.XLOOKUP(B394,'Base stats'!B:B,'Base stats'!E:E),Groups!A:A,Groups!V:V),MROUND(_xlfn.XLOOKUP(_xlfn.XLOOKUP(B394,'Base stats'!B:B,'Base stats'!E:E),Groups!A:A,Groups!V:V)*_xlfn.XLOOKUP(B394,'Base stats'!B:B,'Base stats'!C:C)^0.165,0.05)))</f>
        <v>No</v>
      </c>
      <c r="Z394" s="7" t="str">
        <f>IF(X394="No","No",_xlfn.XLOOKUP(_xlfn.XLOOKUP(B394,'Base stats'!B:B,'Base stats'!E:E),Groups!A:A,Groups!W:W))</f>
        <v>No</v>
      </c>
      <c r="AA394" s="7" t="str">
        <f>IF(X394="No","No",_xlfn.XLOOKUP(_xlfn.XLOOKUP(B394,'Base stats'!B:B,'Base stats'!E:E),Groups!A:A,Groups!X:X))</f>
        <v>No</v>
      </c>
      <c r="AB394" s="7" t="str">
        <f>IF(X394="No","No",_xlfn.XLOOKUP(_xlfn.XLOOKUP(B394,'Base stats'!B:B,'Base stats'!E:E),Groups!A:A,Groups!Y:Y))</f>
        <v>No</v>
      </c>
      <c r="AC394" s="7" t="str">
        <f>_xlfn.XLOOKUP(Animals!B394,'Base stats'!B:B,'Base stats'!X:X)</f>
        <v>False</v>
      </c>
      <c r="AD394" s="13">
        <f>IF(_xlfn.XLOOKUP(B394,'Base stats'!B:B,'Base stats'!AT:AT)="No","No",MROUND((LOG10(_xlfn.XLOOKUP(B394,'Base stats'!B:B,'Base stats'!AT:AT))*(AO394^0.75)+(_xlfn.XLOOKUP(B394,'Base stats'!B:B,'Base stats'!AT:AT)/1000)^(2/3)+_xlfn.XLOOKUP(B394,'Base stats'!B:B,'Base stats'!AX:AX)+_xlfn.XLOOKUP(B394,'Base stats'!B:B,'Base stats'!BA:BA))+0.5,0.5))</f>
        <v>27</v>
      </c>
      <c r="AE394" s="7">
        <f>IF(AD394="No","No",MAX(_xlfn.XLOOKUP(_xlfn.XLOOKUP(B394,'Base stats'!B:B,'Base stats'!E:E),Groups!A:A,Groups!Z:Z),MROUND(_xlfn.XLOOKUP(_xlfn.XLOOKUP(B394,'Base stats'!B:B,'Base stats'!E:E),Groups!A:A,Groups!Z:Z)*_xlfn.XLOOKUP(B394,'Base stats'!B:B,'Base stats'!C:C)^0.165,0.05)))</f>
        <v>2.4500000000000002</v>
      </c>
      <c r="AF394" s="7" t="str">
        <f>IF(AD394="No","No",_xlfn.XLOOKUP(_xlfn.XLOOKUP(B394,'Base stats'!B:B,'Base stats'!E:E),Groups!A:A,Groups!AA:AA))</f>
        <v>Teeth</v>
      </c>
      <c r="AG394" s="7" t="str">
        <f>IF(AD394="No","No",_xlfn.XLOOKUP(_xlfn.XLOOKUP(B394,'Base stats'!B:B,'Base stats'!E:E),Groups!A:A,Groups!AB:AB))</f>
        <v>canines</v>
      </c>
      <c r="AH394" s="7" t="str">
        <f>IF(AD394="No","No",_xlfn.XLOOKUP(_xlfn.XLOOKUP(B394,'Base stats'!B:B,'Base stats'!E:E),Groups!A:A,Groups!AC:AC))</f>
        <v>Bite</v>
      </c>
      <c r="AI394" s="13">
        <f>IF(_xlfn.XLOOKUP(_xlfn.XLOOKUP(B394,'Base stats'!B:B,'Base stats'!E:E),Groups!A:A,Groups!AD:AD)=0,"No",MROUND((LOG10(_xlfn.XLOOKUP(B394,'Base stats'!B:B,'Base stats'!AS:AS))*(AO394^0.75)+(_xlfn.XLOOKUP(B394,'Base stats'!B:B,'Base stats'!AS:AS)/1000)^(2/3)+_xlfn.XLOOKUP(B394,'Base stats'!B:B,'Base stats'!AY:AY)+_xlfn.XLOOKUP(B394,'Base stats'!B:B,'Base stats'!BA:BA))+0.5,0.5))</f>
        <v>26</v>
      </c>
      <c r="AJ394" s="7">
        <f>IF(AI394="No","No",MAX(_xlfn.XLOOKUP(_xlfn.XLOOKUP(B394,'Base stats'!B:B,'Base stats'!E:E),Groups!A:A,Groups!AE:AE),MROUND(_xlfn.XLOOKUP(_xlfn.XLOOKUP(B394,'Base stats'!B:B,'Base stats'!E:E),Groups!A:A,Groups!AE:AE)*IF(_xlfn.XLOOKUP(_xlfn.XLOOKUP(B394,'Base stats'!B:B,'Base stats'!E:E),Groups!A:A,Groups!AJ:AJ)="Photonozoa",0.6,1)*_xlfn.XLOOKUP(B394,'Base stats'!B:B,'Base stats'!C:C)^0.165,0.05)))</f>
        <v>1.9000000000000001</v>
      </c>
      <c r="AK394" s="7" t="str">
        <f>IF(AI394="No","No",_xlfn.XLOOKUP(_xlfn.XLOOKUP(B394,'Base stats'!B:B,'Base stats'!E:E),Groups!A:A,Groups!AF:AF))</f>
        <v>FrontLeftPaw, FrontRightPaw</v>
      </c>
      <c r="AL394" s="7" t="str">
        <f>IF(AI394="No","No",_xlfn.XLOOKUP(_xlfn.XLOOKUP(B394,'Base stats'!B:B,'Base stats'!E:E),Groups!A:A,Groups!AG:AG))</f>
        <v>left claw, right claw</v>
      </c>
      <c r="AM394" s="7" t="str">
        <f>IF(AI394="No","No",_xlfn.XLOOKUP(_xlfn.XLOOKUP(B394,'Base stats'!B:B,'Base stats'!E:E),Groups!A:A,Groups!AH:AH))</f>
        <v>Scratch</v>
      </c>
      <c r="AN394" s="2">
        <f t="shared" si="49"/>
        <v>30</v>
      </c>
      <c r="AO394" s="2">
        <f>MROUND(IF(AND(_xlfn.XLOOKUP(B394,'Base stats'!B:B,'Base stats'!C:C)&gt;=0.5,_xlfn.XLOOKUP(B394,'Base stats'!B:B,'Base stats'!C:C)&lt;=0.8),
IF(_xlfn.XLOOKUP(B394,'Base stats'!B:B,'Base stats'!C:C)&lt;0.1,0.05,IF(_xlfn.XLOOKUP(B394,'Base stats'!B:B,'Base stats'!C:C)&lt;=70,(_xlfn.XLOOKUP(B394,'Base stats'!B:B,'Base stats'!C:C)/70)^0.426489913056526,IF(_xlfn.XLOOKUP(B394,'Base stats'!B:B,'Base stats'!C:C)&lt;=400,(_xlfn.XLOOKUP(B394,'Base stats'!B:B,'Base stats'!C:C)/70)^0.572811455315093,IF(_xlfn.XLOOKUP(B394,'Base stats'!B:B,'Base stats'!C:C)&lt;=2000,2.71391647193063*(_xlfn.XLOOKUP(B394,'Base stats'!B:B,'Base stats'!C:C)/400)^0.252459582904293,3.74314280240376*(_xlfn.XLOOKUP(B394,'Base stats'!B:B,'Base stats'!C:C)/2000)^0.357012633876913)))),
IF(_xlfn.XLOOKUP(B394,'Base stats'!B:B,'Base stats'!C:C)&lt;0.1,0.05,IF(_xlfn.XLOOKUP(B394,'Base stats'!B:B,'Base stats'!C:C)&lt;0.4,0.1,IF(_xlfn.XLOOKUP(B394,'Base stats'!B:B,'Base stats'!C:C)&lt;=70,(_xlfn.XLOOKUP(B394,'Base stats'!B:B,'Base stats'!C:C)/70)^0.445823913056526,IF(_xlfn.XLOOKUP(B394,'Base stats'!B:B,'Base stats'!C:C)&lt;=400,(_xlfn.XLOOKUP(B394,'Base stats'!B:B,'Base stats'!C:C)/70)^0.572811455315093,IF(_xlfn.XLOOKUP(B394,'Base stats'!B:B,'Base stats'!C:C)&lt;=2000,2.71391647193063*(_xlfn.XLOOKUP(B394,'Base stats'!B:B,'Base stats'!C:C)/400)^0.252459582904293,3.74314280240376*(_xlfn.XLOOKUP(B394,'Base stats'!B:B,'Base stats'!C:C)/2000)^0.357012633876913)))))),
IF(_xlfn.XLOOKUP(B394,'Base stats'!B:B,'Base stats'!C:C)&lt;0.1,0.05,IF(_xlfn.XLOOKUP(B394,'Base stats'!B:B,'Base stats'!C:C)&lt;=100,0.05,IF(_xlfn.XLOOKUP(B394,'Base stats'!B:B,'Base stats'!C:C)&lt;=250,0.1,IF(_xlfn.XLOOKUP(B394,'Base stats'!B:B,'Base stats'!C:C)&lt;=4000,0.25,0.5)))))</f>
        <v>3</v>
      </c>
      <c r="AP394" s="8">
        <f>MROUND(AO394*_xlfn.XLOOKUP(_xlfn.XLOOKUP(B394,'Base stats'!B:B,'Base stats'!E:E),Groups!A:A,Groups!AI:AI)*_xlfn.XLOOKUP(B394,'Base stats'!B:B,'Base stats'!Z:Z),0.05)</f>
        <v>3.6</v>
      </c>
      <c r="AQ394" s="8">
        <f>MAX(0.01,MROUND(IF(CC394="True",0.196*(AO394*100*1000)^0.889,IF(_xlfn.XLOOKUP(_xlfn.XLOOKUP(B394,'Base stats'!B:B,'Base stats'!E:E),Groups!A:A,Groups!AJ:AJ)="Bird",10.5*(AO394*100*1000)^0.681,4.82*(AO394*100*1000)^0.734))/(4.82*(1*100*1000)^0.734)/IF(AO394&lt;3.5,2,IF(AO394=3.5,1.5,1.25))*(1+0.132282374779864/(AO394^0.994035016789033+0.00905238001496948)),0.05))</f>
        <v>1.1500000000000001</v>
      </c>
      <c r="AR394" s="9">
        <f>IFERROR(MROUND(_xlfn.XLOOKUP(B394,'Base stats'!B:B,'Base stats'!H:H)/IF(_xlfn.XLOOKUP(B394,'Base stats'!B:B,'Base stats'!I:I)&lt;&gt;1,(122.5/70),1.2),IF(_xlfn.XLOOKUP(B394,'Base stats'!B:B,'Base stats'!H:H)&gt;=30,5,IF(_xlfn.XLOOKUP(B394,'Base stats'!B:B,'Base stats'!H:H)&gt;=15,3,IF(_xlfn.XLOOKUP(B394,'Base stats'!B:B,'Base stats'!H:H)&gt;=10,2,1)))),"Immortal")</f>
        <v>25</v>
      </c>
      <c r="AS394" s="35">
        <f>IFERROR(IF(OR(_xlfn.XLOOKUP(B394,'Base stats'!B:B,'Base stats'!F:F)="Atypical reproduction",_xlfn.XLOOKUP(B394,'Base stats'!B:B,'Base stats'!F:F)="Lay eggs"),"Lay eggs",MIN(20,MAX(5.5,ROUND(((_xlfn.XLOOKUP(B394,'Base stats'!B:B,'Base stats'!F:F)-25)*(14.5/615) + 5.5)*2,0)/2))),"Unknown")</f>
        <v>7.5</v>
      </c>
      <c r="AT394" s="8">
        <f>IF(_xlfn.XLOOKUP(B394,'Base stats'!B:B,'Base stats'!G:G)="Atypical reproduction","No",IFERROR(MAX(IF(_xlfn.XLOOKUP(B394,'Base stats'!B:B,'Base stats'!G:G)&lt;0.5,0.2,0.3),MROUND(_xlfn.XLOOKUP(B394,'Base stats'!B:B,'Base stats'!G:G)/(365/60),0.2)),"Unknown"))</f>
        <v>0.8</v>
      </c>
      <c r="AU394" s="8">
        <f t="shared" si="50"/>
        <v>0.4</v>
      </c>
      <c r="AV394" s="8">
        <f>IFERROR(IFERROR(MROUND(_xlfn.XLOOKUP(B394,'Base stats'!B:B,'Base stats'!J:J),0.1),"Lay eggs"),"Cannot breed")</f>
        <v>2</v>
      </c>
      <c r="AW394" s="2" t="str">
        <f t="shared" si="51"/>
        <v>false</v>
      </c>
      <c r="AX394" s="2" t="str">
        <f>IF(_xlfn.XLOOKUP(_xlfn.XLOOKUP(Animals!B394,'Base stats'!B:B,'Base stats'!E:E),Groups!A:A,Groups!AK:AK)=1,"true","false")</f>
        <v>false</v>
      </c>
      <c r="AY394" s="25" t="str">
        <f>IF(_xlfn.XLOOKUP(B394,'Base stats'!B:B,'Base stats'!Y:Y)="Liquor","Liquor, CarnivoreAnimalStrict",IF(AND(_xlfn.XLOOKUP(B394,'Base stats'!B:B,'Base stats'!Y:Y)="Carnivore",_xlfn.XLOOKUP(_xlfn.XLOOKUP(B394,'Base stats'!B:B,'Base stats'!E:E),Groups!A:A,Groups!AJ:AJ)="Photonozoa"),"CarnivoreAnimalStrict, OvivoreAnimal",IF(_xlfn.XLOOKUP(B394,'Base stats'!B:B,'Base stats'!Y:Y)="Carnivore","CarnivoreAnimal, OvivoreAnimal",IF(_xlfn.XLOOKUP(B394,'Base stats'!B:B,'Base stats'!Y:Y)="Dendrovore","VegetarianRoughAnimal, DendrovoreAnimal",IF(_xlfn.XLOOKUP(B394,'Base stats'!B:B,'Base stats'!Y:Y)="Herbivore","VegetarianRoughAnimal",IF(_xlfn.XLOOKUP(B394,'Base stats'!B:B,'Base stats'!Y:Y)="OmnivoreRough","OmnivoreRoughAnimal, OvivoreAnimal","OmnivoreAnimal, OvivoreAnimal"))))))</f>
        <v>OmnivoreAnimal, OvivoreAnimal</v>
      </c>
      <c r="AZ394" s="2" t="str">
        <f>IF(_xlfn.XLOOKUP(_xlfn.XLOOKUP(B394,'Base stats'!B:B,'Base stats'!E:E),Groups!A:A,Groups!D:D)=1,MROUND((1-J394)*5+1,2)*IF(J394&lt;=0.4,2,1),"No")</f>
        <v>No</v>
      </c>
      <c r="BA394" s="2" t="str">
        <f>IF(AND(_xlfn.XLOOKUP(B394,'Base stats'!B:B,'Base stats'!AH:AH)="&lt;li&gt;Seal&lt;/li&gt;",G394="Odyssey"),"&lt;li&gt;AEXP_Seal&lt;/li&gt;",_xlfn.XLOOKUP(B394,'Base stats'!B:B,'Base stats'!AH:AH))</f>
        <v>No</v>
      </c>
      <c r="BB394" s="2" t="str">
        <f>_xlfn.XLOOKUP(B394,'Base stats'!B:B,'Base stats'!AG:AG)</f>
        <v>Leather_Bear</v>
      </c>
      <c r="BC394" s="23" t="str">
        <f>_xlfn.XLOOKUP(_xlfn.XLOOKUP(B394,'Base stats'!B:B,'Base stats'!E:E),Groups!A:A,Groups!AL:AL)</f>
        <v>QuadrupedAnimalWithPaws</v>
      </c>
      <c r="BD394" s="23">
        <f>MIN(1,MROUND(IF(AND(AO394&lt;0.5,_xlfn.XLOOKUP(B394,'Base stats'!B:B,'Base stats'!AA:AA)=0),0,IF(OR(_xlfn.XLOOKUP(Animals!B394,'Base stats'!B:B,'Base stats'!O:O)=2,_xlfn.XLOOKUP(_xlfn.XLOOKUP(B394,'Base stats'!B:B,'Base stats'!E:E),Groups!A:A,Groups!AN:AN)=0),0,_xlfn.XLOOKUP(_xlfn.XLOOKUP(B394,'Base stats'!B:B,'Base stats'!E:E),Groups!A:A,Groups!AN:AN)/IF(_xlfn.XLOOKUP(Animals!B394,'Base stats'!B:B,'Base stats'!O:O)=1,2,1)))+_xlfn.XLOOKUP(B394,'Base stats'!B:B,'Base stats'!AC:AC),0.005))</f>
        <v>0.1</v>
      </c>
      <c r="BE394" s="23">
        <f>MIN(1,MROUND(IF(AND(AO394&lt;0.5,_xlfn.XLOOKUP(B394,'Base stats'!B:B,'Base stats'!AA:AA)=0),0,IF(_xlfn.XLOOKUP(_xlfn.XLOOKUP(B394,'Base stats'!B:B,'Base stats'!E:E),Groups!A:A,Groups!AO:AO)=0,0,_xlfn.XLOOKUP(_xlfn.XLOOKUP(B394,'Base stats'!B:B,'Base stats'!E:E),Groups!A:A,Groups!AO:AO)/IF(_xlfn.XLOOKUP(Animals!B394,'Base stats'!B:B,'Base stats'!O:O)=2,3,1)))+_xlfn.XLOOKUP(B394,'Base stats'!B:B,'Base stats'!AD:AD),0.005))</f>
        <v>0.3</v>
      </c>
      <c r="BF394" s="2" t="str">
        <f>IF(J394&gt;0.3,"No",_xlfn.XLOOKUP(_xlfn.XLOOKUP(Animals!B394,'Base stats'!B:B,'Base stats'!E:E),Groups!A:A,Groups!AP:AP))</f>
        <v>No</v>
      </c>
      <c r="BG394" s="2" t="str">
        <f>IF(AND(J394&lt;=0.65,_xlfn.XLOOKUP(_xlfn.XLOOKUP(Animals!B394,'Base stats'!B:B,'Base stats'!E:E),Groups!A:A,Groups!AP:AP)&lt;&gt;"No",_xlfn.XLOOKUP(_xlfn.XLOOKUP(B394,'Base stats'!B:B,'Base stats'!E:E),Groups!A:A,Groups!D:D)=0),MROUND((80/3)*IF(_xlfn.XLOOKUP(B394,'Base stats'!B:B,'Base stats'!O:O)=2,0.2,AO394) + 24*(1-IF(BF394="No",0,BF394)) + 16/3, 12),"No")</f>
        <v>No</v>
      </c>
      <c r="BH394" s="2">
        <f>IF(AND(_xlfn.XLOOKUP(_xlfn.XLOOKUP(B394,'Base stats'!B:B,'Base stats'!E:E),Groups!A:A,Groups!AQ:AQ)=1,AO394&lt;=0.35),8,12)</f>
        <v>12</v>
      </c>
      <c r="BI394" s="2" t="str">
        <f>IF(_xlfn.XLOOKUP(_xlfn.XLOOKUP(B394,'Base stats'!B:B,'Base stats'!E:E),Groups!A:A,Groups!D:D)=0,_xlfn.XLOOKUP(_xlfn.XLOOKUP(B394,'Base stats'!B:B,'Base stats'!E:E),Groups!A:A,Groups!AR:AR),"None")</f>
        <v>Advanced</v>
      </c>
      <c r="BJ394" s="2" t="str">
        <f>IF(AND(_xlfn.XLOOKUP(_xlfn.XLOOKUP(B394,'Base stats'!B:B,'Base stats'!E:E),Groups!A:A,Groups!AS:AS)=1,OR(_xlfn.XLOOKUP(B394,'Base stats'!B:B,'Base stats'!Y:Y)="Carnivore",_xlfn.XLOOKUP(B394,'Base stats'!B:B,'Base stats'!Y:Y)="Omnivore")),"true","false")</f>
        <v>true</v>
      </c>
      <c r="BK394" s="2">
        <f>IF(BJ394="true",MROUND(IF(AND(AO394&gt;0.5,OR(_xlfn.XLOOKUP(_xlfn.XLOOKUP(B394,'Base stats'!B:B,'Base stats'!E:E),Groups!A:A,Groups!AJ:AJ)="Photonozoa",_xlfn.XLOOKUP(_xlfn.XLOOKUP(B394,'Base stats'!B:B,'Base stats'!E:E),Groups!A:A,Groups!AJ:AJ)="Mammal")),Animals!AO394*1.75*IF(AW394="true",1.5,1),IF(AO394&lt;0.5,Animals!AO394*0.5,Animals!AO394)),IF(AO394&gt;2,0.5,IF(AO394&gt;0.5,0.25,0.1))),"No")</f>
        <v>5.5</v>
      </c>
      <c r="BL394" s="2">
        <f t="shared" si="52"/>
        <v>1</v>
      </c>
      <c r="BM394" s="25" t="str">
        <f>IF(_xlfn.XLOOKUP(B394,'Base stats'!B:B,'Base stats'!AN:AN)="Standard","No",MROUND((_xlfn.XLOOKUP(B394,'Base stats'!B:B,'Base stats'!AN:AN)/3.6)/I394,0.1))</f>
        <v>No</v>
      </c>
      <c r="BN394" s="25" t="str">
        <f t="shared" si="53"/>
        <v>false</v>
      </c>
      <c r="BO394" s="25" t="str">
        <f>IF(AND(OR(_xlfn.XLOOKUP(B394,'Base stats'!B:B,'Base stats'!Y:Y)="Carnivore",_xlfn.XLOOKUP(B394,'Base stats'!B:B,'Base stats'!Y:Y)="Omnivore",_xlfn.XLOOKUP(B394,'Base stats'!B:B,'Base stats'!Y:Y)="OmnivoreRough"),_xlfn.XLOOKUP(_xlfn.XLOOKUP(B394,'Base stats'!B:B,'Base stats'!E:E),Groups!A:A,Groups!AT:AT)=1),"true","false")</f>
        <v>true</v>
      </c>
      <c r="BP394" s="25" t="str" cm="1">
        <f t="array" ref="BP394">IF(
  _xlfn.TEXTJOIN(", ",TRUE,
    IF(AND(BJ394="true",AO394&gt;0.5,BI394&lt;&gt;"None"),"AttackTarget",""),
    IF(AND(_xlfn.XLOOKUP(_xlfn.XLOOKUP(B394,'Base stats'!B:B,'Base stats'!E:E),Groups!A:A,Groups!AJ:AJ="Mammal"),OR(_xlfn.XLOOKUP(B394,'Base stats'!B:B,'Base stats'!Y:Y)="Omnivore",_xlfn.XLOOKUP(B394,'Base stats'!B:B,'Base stats'!Y:Y)="OmnivoreRough")),"Forage",""),
    IF(BG394&lt;=36,"Comfort",""),
    IF(_xlfn.XLOOKUP(B394,'Base stats'!B:B,'Base stats'!AE:AE)&lt;&gt;"No",_xlfn.XLOOKUP(B394,'Base stats'!B:B,'Base stats'!AE:AE),"")
  ) = "",
  "No",
  _xlfn.TEXTJOIN(", ",TRUE,
    IF(AND(BJ394="true",AO394&gt;0.5,BI394&lt;&gt;"None"),"AttackTarget",""),
    IF(AND(_xlfn.XLOOKUP(_xlfn.XLOOKUP(B394,'Base stats'!B:B,'Base stats'!E:E),Groups!A:A,Groups!AJ:AJ="Mammal"),OR(_xlfn.XLOOKUP(B394,'Base stats'!B:B,'Base stats'!Y:Y)="Omnivore",_xlfn.XLOOKUP(B394,'Base stats'!B:B,'Base stats'!Y:Y)="OmnivoreRough")),"Forage",""),
    IF(BG394&lt;=36,"Comfort",""),
    IF(_xlfn.XLOOKUP(B394,'Base stats'!B:B,'Base stats'!AE:AE)&lt;&gt;"No",_xlfn.XLOOKUP(B394,'Base stats'!B:B,'Base stats'!AE:AE),"")
  )
)</f>
        <v>AttackTarget, Forage</v>
      </c>
      <c r="BQ394" s="25" t="str">
        <f>IF(
   AND(
      'Base stats'!AN394="Standard",_xlfn.XLOOKUP(_xlfn.XLOOKUP(B394,'Base stats'!B:B,'Base stats'!E:E),Groups!A:A,Groups!AU:AU)=0,
      OR(
      BO394="True"
      )
   ),
   10,
   IF(
       OR(BM394&lt;&gt;"No",_xlfn.XLOOKUP(_xlfn.XLOOKUP(B394,'Base stats'!B:B,'Base stats'!E:E),Groups!A:A,Groups!AU:AU)=1),
      1,
      "No"
   )
)</f>
        <v>No</v>
      </c>
      <c r="BR394" s="9">
        <f>MROUND((1 + ((0.2*IF(OR(Q394="No",R394="No",R394=0),0,Q394/R394)
+IF(OR(V394="No",S394="No",T394="No"),0,S394/T394*(LEN(V394)-LEN(SUBSTITUTE(V394,",",""))+1))
+IF(OR(X394="No",Y394="No"),0,X394/Y394)
+IF(OR(AD394="No",AE394="No"),0,AD394/AE394)
+IF(OR(AL394="No",AI394="No",AJ394="No"),0,AI394/AJ394*(LEN(AL394)-LEN(SUBSTITUTE(AL394,",",""))+1))
)/(0.2*IF(OR(Q394="No",R394="No",R394=0),0,1)
+IF(OR(V394="No",S394="No",T394="No"),0,LEN(V394)-LEN(SUBSTITUTE(V394,",",""))+1)
+IF(OR(X394="No",Y394="No"),0,1)
+IF(OR(AD394="No",AE394="No"),0,1)
+IF(OR(AL394="No",AI394="No",AJ394="No"),0,LEN(AL394)-LEN(SUBSTITUTE(AL394,",",""))+1))*62%)* 2)*(1 + (AP394 / (IF(_xlfn.XLOOKUP(_xlfn.XLOOKUP(B394,'Base stats'!B:B,'Base stats'!E:E),Groups!A:A,Groups!AJ:AJ)="Photonozoa",0.3,1)) + _xlfn.XLOOKUP(B394,'Base stats'!B:B,'Base stats'!AV:AV) * 1.8) * 2) * 2.5 + 10 + I394 * 2,5)+IF(_xlfn.XLOOKUP(B394,'Base stats'!B:B,'Base stats'!AK:AK)=1,50,0)</f>
        <v>360</v>
      </c>
      <c r="BS394" s="8">
        <f t="shared" si="54"/>
        <v>1.5</v>
      </c>
      <c r="BT394" s="8" t="str">
        <f>_xlfn.XLOOKUP(B394,'Base stats'!B:B,'Base stats'!AF:AF)</f>
        <v>No</v>
      </c>
      <c r="BU394" s="2" t="str">
        <f>IF(AND(J394&lt;=0.95,OR(_xlfn.XLOOKUP(B394,'Base stats'!B:B,'Base stats'!AK:AK)=1,_xlfn.XLOOKUP(B394,'Base stats'!B:B,'Base stats'!Y:Y)="Carnivore",_xlfn.XLOOKUP(B394,'Base stats'!B:B,'Base stats'!Y:Y)="Omnivore",BE394&gt;0.1)),"true","false")</f>
        <v>true</v>
      </c>
      <c r="BV394" s="2" t="str">
        <f>IF(_xlfn.XLOOKUP(B394,'Base stats'!B:B,'Base stats'!AI:AI)=1,"true","false")</f>
        <v>false</v>
      </c>
      <c r="BW394" s="25" t="str">
        <f>IF(E394="BaseInsect","AnimalInsect",
IF(J394&gt;0.95,"AnimalExotic",
_xlfn.TEXTJOIN(", ",TRUE,
IF(OR(_xlfn.XLOOKUP(B394,'Base stats'!B:B,'Base stats'!AM:AM)=1,AND(_xlfn.XLOOKUP(B394,'Base stats'!B:B,'Base stats'!O:O)=0,_xlfn.XLOOKUP(_xlfn.XLOOKUP(B394,'Base stats'!B:B,'Base stats'!E:E),Groups!A:A,Groups!B:B)&gt;0)),"AnimalUncommon","AnimalCommon"),
IF(AND(_xlfn.XLOOKUP(B394,'Base stats'!B:B,'Base stats'!O:O)=2,_xlfn.XLOOKUP(_xlfn.XLOOKUP(B394,'Base stats'!B:B,'Base stats'!E:E),Groups!A:A,Groups!D:D)=0),"AnimalPet",IF(AND(_xlfn.XLOOKUP(B394,'Base stats'!B:B,'Base stats'!O:O)&lt;&gt;0,_xlfn.XLOOKUP(_xlfn.XLOOKUP(B394,'Base stats'!B:B,'Base stats'!E:E),Groups!A:A,Groups!D:D)&lt;&gt;0),"AnimalFarm","")),
IF(OR(_xlfn.XLOOKUP(B394,'Base stats'!B:B,'Base stats'!AK:AK)=1,AND(BI394&lt;&gt;"None",BR394&gt;=60),ISNUMBER(SEARCH("Attack target",BP394))),"AnimalFighter","")
)))</f>
        <v>AnimalUncommon, AnimalFighter</v>
      </c>
      <c r="BX394" s="25" t="str">
        <f>IF(G394="None",TRIM(
SUBSTITUTE(
IF(COUNTIF(Biomes!B$2:B$259,"="&amp;$C394)&gt;0,Biomes!B$1&amp;", ","")&amp;
IF(COUNTIF(Biomes!C$2:C$259,"="&amp;$C394)&gt;0,Biomes!C$1&amp;", ","")&amp;
IF(COUNTIF(Biomes!D$2:D$259,"="&amp;$C394)&gt;0,Biomes!D$1&amp;", ","")&amp;
IF(COUNTIF(Biomes!F$2:F$259,"="&amp;$C394)&gt;0,Biomes!F$1&amp;", ","")&amp;
IF(COUNTIF(Biomes!G$2:G$259,"="&amp;$C394)&gt;0,Biomes!G$1&amp;", ","")&amp;
IF(COUNTIF(Biomes!H$2:H$259,"="&amp;$C394)&gt;0,Biomes!H$1&amp;", ","")&amp;
IF(COUNTIF(Biomes!I$2:I$259,"="&amp;$C394)&gt;0,Biomes!I$1&amp;", ","")&amp;
IF(COUNTIF(Biomes!J$2:J$259,"="&amp;$C394)&gt;0,Biomes!J$1&amp;", ","")&amp;
IF(COUNTIF(Biomes!M$2:M$259,"="&amp;$C394)&gt;0,Biomes!M$1&amp;", ","")&amp;
IF(COUNTIF(Biomes!N$2:N$259,"="&amp;$C394)&gt;0,Biomes!N$1&amp;", ","")&amp;
IF(COUNTIF(Biomes!O$2:O$259,"="&amp;$C394)&gt;0,Biomes!O$1&amp;", ","")&amp;
IF(COUNTIF(Biomes!P$2:P$259,"="&amp;$C394)&gt;0,Biomes!P$1&amp;", ","")&amp;
IF(COUNTIF(Biomes!K$2:K$259,"="&amp;$C394)&gt;0,Biomes!K$1&amp;", ","")&amp;
IF(COUNTIF(Biomes!Q$3:Q$259,"="&amp;$C394)&gt;0,Biomes!Q$1&amp;", ","")&amp;
IF(COUNTIF(Biomes!L$2:L$259,"="&amp;$C394)&gt;0,Biomes!L$1&amp;", ","")&amp;
IF(COUNTIF(Biomes!E$2:E$259,"="&amp;$C394)&gt;0,Biomes!E$1&amp;", ","")&amp;IF(COUNTIF(Biomes!S$2:S$259,"="&amp;$C394)&gt;0,Biomes!S$1&amp;", ","")&amp;
IF(COUNTIF(Biomes!R$2:R$259,"="&amp;$C394)&gt;0,Biomes!R$1&amp;", ",""),", ","")
),_xlfn.XLOOKUP(B394,B:B,BX:BX))</f>
        <v/>
      </c>
      <c r="BY394" s="25" t="str">
        <f>IF(_xlfn.XLOOKUP(B394,'Base stats'!B:B,'Base stats'!AJ:AJ)=1,"true","false")</f>
        <v>false</v>
      </c>
      <c r="BZ394" s="25">
        <f>IF(_xlfn.XLOOKUP(B394,'Base stats'!B:B,'Base stats'!N:N)=1,"No",MAX(0.001,MIN(MROUND(IF(AND(BJ394="True",CC394="False"),POWER(10,3.47*LOG10(_xlfn.XLOOKUP(B394,'Base stats'!B:B,'Base stats'!C:C)*1000)^-0.96),POWER(10,4.15*LOG10(_xlfn.XLOOKUP(B394,'Base stats'!B:B,'Base stats'!C:C)*1000)^-0.73))*IF(_xlfn.XLOOKUP(B394,'Base stats'!B:B,'Base stats'!AK:AK)=1,0.5,1)*IF(_xlfn.XLOOKUP(B394,'Base stats'!B:B,'Base stats'!AM:AM)=1,0.1,1)/100,IF(_xlfn.XLOOKUP(B394,'Base stats'!B:B,'Base stats'!AM:AM)=1,0.001,0.025)),0.5)))</f>
        <v>0.05</v>
      </c>
      <c r="CA394" s="25" t="str">
        <f>IF(P394="Standard","No",MAX(0.001,MIN(MROUND(IF(AND(BJ394="True",CC394="False"),POWER(10,3.47*LOG10(_xlfn.XLOOKUP(B394,'Base stats'!B:B,'Base stats'!C:C)*1000)^-0.96),POWER(10,4.15*LOG10(_xlfn.XLOOKUP(B394,'Base stats'!B:B,'Base stats'!C:C)*1000)^-0.73))*IF(_xlfn.XLOOKUP(B394,'Base stats'!B:B,'Base stats'!AM:AM)=1,0.1,1)*_xlfn.XLOOKUP(B394,'Base stats'!B:B,'Base stats'!R:R)/100,IF(_xlfn.XLOOKUP(B394,'Base stats'!B:B,'Base stats'!AM:AM)=1,0.001,0.025)),0.5)))</f>
        <v>No</v>
      </c>
      <c r="CB394" s="25" t="str">
        <f>IF(_xlfn.XLOOKUP(_xlfn.XLOOKUP(B394,'Base stats'!B:B,'Base stats'!E:E),Groups!A:A,Groups!AJ:AJ)="Mammal","True","False")</f>
        <v>True</v>
      </c>
      <c r="CC394" s="25" t="str">
        <f>IF(OR(_xlfn.XLOOKUP(_xlfn.XLOOKUP(B394,'Base stats'!B:B,'Base stats'!E:E),Groups!A:A,Groups!AJ:AJ)="Reptile",_xlfn.XLOOKUP(_xlfn.XLOOKUP(B394,'Base stats'!B:B,'Base stats'!E:E),Groups!A:A,Groups!AJ:AJ)="Amphibian",_xlfn.XLOOKUP(_xlfn.XLOOKUP(B394,'Base stats'!B:B,'Base stats'!E:E),Groups!A:A,Groups!AJ:AJ)="Invertebrate"),"True","False")</f>
        <v>False</v>
      </c>
      <c r="CD394" s="25" t="str">
        <f t="shared" si="55"/>
        <v>False</v>
      </c>
      <c r="CE394" s="25" t="str">
        <f>IF(_xlfn.XLOOKUP(_xlfn.XLOOKUP(B394,'Base stats'!B:B,'Base stats'!E:E),Groups!A:A,Groups!AX:AX),"True","False")</f>
        <v>False</v>
      </c>
      <c r="CF394" s="25" t="str">
        <f>IF(_xlfn.XLOOKUP(_xlfn.XLOOKUP(B394,'Base stats'!B:B,'Base stats'!E:E),Groups!A:A,Groups!AY:AY),"True","False")</f>
        <v>False</v>
      </c>
      <c r="CG394" s="25" t="str">
        <f>IF(_xlfn.XLOOKUP(_xlfn.XLOOKUP(B394,'Base stats'!B:B,'Base stats'!E:E),Groups!A:A,Groups!AW:AW),"True","False")</f>
        <v>False</v>
      </c>
      <c r="CH394" s="25" t="str">
        <f>IF(
OR(
_xlfn.XLOOKUP(_xlfn.XLOOKUP(B394,'Base stats'!B:B,'Base stats'!E:E),Groups!A:A,Groups!AZ:AZ)=0,
AND(
_xlfn.XLOOKUP(B394,'Base stats'!B:B,'Base stats'!Y:Y)&lt;&gt;"Carnivore",
_xlfn.XLOOKUP(B394,'Base stats'!B:B,'Base stats'!Y:Y)&lt;&gt;"Omnivore",
_xlfn.XLOOKUP(B394,'Base stats'!B:B,'Base stats'!Y:Y)&lt;&gt;"OmnivoreRough"
)
),
"No",
IF(
_xlfn.XLOOKUP(_xlfn.XLOOKUP(B394,'Base stats'!B:B,'Base stats'!E:E),Groups!A:A,Groups!AZ:AZ)=1,
"Flesh",
IF(
_xlfn.XLOOKUP(_xlfn.XLOOKUP(B394,'Base stats'!B:B,'Base stats'!E:E),Groups!A:A,Groups!AZ:AZ)=2,
"Bone",
""
)
)
)</f>
        <v>Bone</v>
      </c>
      <c r="CI394" s="25" t="str">
        <f>IF(_xlfn.XLOOKUP(_xlfn.XLOOKUP(B394,'Base stats'!B:B,'Base stats'!E:E),Groups!A:A,Groups!BB:BB),"True","False")</f>
        <v>True</v>
      </c>
      <c r="CJ394" s="25" t="str">
        <f>IF(_xlfn.XLOOKUP(_xlfn.XLOOKUP(B394,'Base stats'!B:B,'Base stats'!E:E),Groups!A:A,Groups!BA:BA),"True","False")</f>
        <v>False</v>
      </c>
    </row>
    <row r="395" spans="1:88" ht="16.5" thickTop="1" thickBot="1" x14ac:dyDescent="0.3">
      <c r="A395" s="26" t="s">
        <v>2084</v>
      </c>
      <c r="B395" s="6" t="str">
        <f>_xlfn.XLOOKUP(A395,'Base stats'!A:A,'Base stats'!B:B)</f>
        <v>Dinocrocuta gigantea</v>
      </c>
      <c r="C395" s="28" t="str">
        <f t="shared" si="56"/>
        <v>&lt;li&gt;Dinocrocuta&lt;/li&gt;</v>
      </c>
      <c r="D395" s="28" t="s">
        <v>2126</v>
      </c>
      <c r="E395" s="28" t="s">
        <v>673</v>
      </c>
      <c r="F395" s="28" t="s">
        <v>673</v>
      </c>
      <c r="G395" s="28" t="s">
        <v>673</v>
      </c>
      <c r="H395" s="2">
        <f>MROUND((
  (IF(AND(_xlfn.XLOOKUP(B395,'Base stats'!B:B,'Base stats'!AL:AL)=0,BI395="None",_xlfn.XLOOKUP(_xlfn.XLOOKUP(B395,'Base stats'!B:B,'Base stats'!E:E),Groups!A:A,Groups!B:B)=0), (18 + BR395 * 2.7) * 0.5,
    IF(AND(_xlfn.XLOOKUP(B395,'Base stats'!B:B,'Base stats'!AL:AL)=0,OR(AO395&lt;0.55,AND(BI395="Intermediate",_xlfn.XLOOKUP(_xlfn.XLOOKUP(B395,'Base stats'!B:B,'Base stats'!E:E),Groups!A:A,Groups!B:B)&lt;2))), (18 + BR395 * 2.7),
      IF(OR(BI395="Advanced",_xlfn.XLOOKUP(B395,'Base stats'!B:B,'Base stats'!AL:AL)=1,_xlfn.XLOOKUP(_xlfn.XLOOKUP(B395,'Base stats'!B:B,'Base stats'!E:E),Groups!A:A,Groups!B:B)=2), (18 + BR395 * 2.7) + 250, (18 + BR395 * 2.7))
    )
  ))
  + AO395 * 80
  + IF(COUNTIF(EggMilk!K$2:K$998, A395) &gt; 0, 125, 0)
  + IF(COUNTIF(EggMilk!P$2:P$998, A395) &gt; 0, 90, 0)
  + IF(COUNTIF(EggMilk!A$2:A$998, A395) &gt; 0, 90, 0)
)
* (0.8 + 0.4 * J395)
* 0.75,25)</f>
        <v>850</v>
      </c>
      <c r="I395" s="2">
        <f>MROUND(ROUNDDOWN(_xlfn.XLOOKUP(B395,'Base stats'!B:B,'Base stats'!L:L)/3.6/(23.3/11),1),0.5)</f>
        <v>8.5</v>
      </c>
      <c r="J395" s="2">
        <f>IF(OR(_xlfn.XLOOKUP(B395,'Base stats'!B:B,'Base stats'!AB:AB)=1,_xlfn.XLOOKUP(_xlfn.XLOOKUP(B395,'Base stats'!B:B,'Base stats'!E:E),Groups!A:A,Groups!C:C)="Untamable"),1,IF(_xlfn.XLOOKUP(B395,'Base stats'!B:B,'Base stats'!AL:AL)=1,0.99,MIN(MROUND((1-0.6282*EXP(-0.459*AO395))*_xlfn.XLOOKUP(_xlfn.XLOOKUP(B395,'Base stats'!B:B,'Base stats'!E:E),Groups!A:A,Groups!C:C)*IF(_xlfn.XLOOKUP(B395,'Base stats'!B:B,'Base stats'!O:O)=1,0.5,IF(_xlfn.XLOOKUP(B395,'Base stats'!B:B,'Base stats'!O:O)=2,0,1)),0.05),IF(AO395&gt;3.5,0.985,0.95))))</f>
        <v>0.9</v>
      </c>
      <c r="K395" s="2">
        <f>ROUNDUP(AO395*_xlfn.XLOOKUP(_xlfn.XLOOKUP(B395,'Base stats'!B:B,'Base stats'!E:E),Groups!A:A,Groups!E:E),0)</f>
        <v>2</v>
      </c>
      <c r="L395" s="2">
        <f>IF(OR(_xlfn.XLOOKUP(_xlfn.XLOOKUP(B395,'Base stats'!B:B,'Base stats'!E:E),Groups!A:A,Groups!F:F)=2,ISNUMBER(SEARCH("SeaIce",BX395)),ISNUMBER(SEARCH("IceSheet",BX395))),-50,IF(OR(ISNUMBER(SEARCH("GlacialPlain",BX395)),ISNUMBER(SEARCH("Tundra",BX395))),-40,IF(OR(ISNUMBER(SEARCH("Alpine",BX395)),ISNUMBER(SEARCH("BorealForest",BX395)),ISNUMBER(SEARCH("ColdBog",BX395))),-30,IF(OR(ISNUMBER(SEARCH("TemperateForest",BX395)),ISNUMBER(SEARCH("TemperateSwamp",BX395))),-20,IF(_xlfn.XLOOKUP(_xlfn.XLOOKUP(B395,'Base stats'!B:B,'Base stats'!E:E),Groups!A:A,Groups!F:F)=1,-15,IF(OR(ISNUMBER(SEARCH("Desert",BX395)),ISNUMBER(SEARCH("ExtremeDesert",BX395))),-10,IF(OR(ISNUMBER(SEARCH("Grasslands",BX395)),ISNUMBER(SEARCH("TropicalRainforest",BX395)),ISNUMBER(SEARCH("TropicalSwamp",BX395))),10,0)))))))-IF(CC395="False",MIN(IFERROR(MAX(MROUND(LOG10(_xlfn.XLOOKUP(B395,'Base stats'!B:B,'Base stats'!C:C)^(2/3))*10,5),5),5),30))-_xlfn.XLOOKUP(B395,'Base stats'!B:B,'Base stats'!P:P)+IF(CC395="True",5,0)</f>
        <v>-30</v>
      </c>
      <c r="M395" s="2">
        <f>IF(OR(_xlfn.XLOOKUP(_xlfn.XLOOKUP(B395,'Base stats'!B:B,'Base stats'!E:E),Groups!A:A,Groups!G:G)=2,ISNUMBER(SEARCH("Desert",BX395)),ISNUMBER(SEARCH("ExtremeDesert",BX395)),ISNUMBER(SEARCH("LavaField",BX395))),50,IF(ISNUMBER(SEARCH("Grasslands",BX395)),45,IF(OR(_xlfn.XLOOKUP(_xlfn.XLOOKUP(B395,'Base stats'!B:B,'Base stats'!E:E),Groups!A:A,Groups!G:G)=1,ISNUMBER(SEARCH("TropicalRainforest",BX395)),ISNUMBER(SEARCH("TropicalSwamp",BX395))),40,IF(OR(ISNUMBER(SEARCH("TemperateForest",BX395)),ISNUMBER(SEARCH("TemperateSwamp",BX395))),35,IF(OR(ISNUMBER(SEARCH("Alpine",BX395)),ISNUMBER(SEARCH("BorealForest",BX395)),ISNUMBER(SEARCH("ColdBog",BX395))),30,IF(ISNUMBER(OR(ISNUMBER(SEARCH("GlacialPlain",BX395)),SEARCH("Tundra",BX395))),25,IF(OR(ISNUMBER(SEARCH("SeaIce",BX395)),ISNUMBER(SEARCH("IceSheet",BX395)),ISNUMBER(SEARCH("TropicalSwamp",BX395))),10,35)))))))+_xlfn.XLOOKUP(B395,'Base stats'!B:B,'Base stats'!Q:Q)</f>
        <v>35</v>
      </c>
      <c r="N395" s="8" t="str">
        <f>IF(
_xlfn.XLOOKUP(
_xlfn.XLOOKUP(B395,'Base stats'!B:B,'Base stats'!E:E),
Groups!A:A,
Groups!L:L
)=1,
MIN(
MROUND(
IF(
_xlfn.XLOOKUP(B395,'Animals CE'!B:B,'Animals CE'!Z:Z)&lt;=1.5,
_xlfn.XLOOKUP(B395,'Animals CE'!B:B,'Animals CE'!Z:Z)/2+0.05,
0.8+
(_xlfn.XLOOKUP(B395,'Animals CE'!B:B,'Animals CE'!Z:Z)-1.5)
*0.02
),
0.05
),
200%
),
"No"
)</f>
        <v>No</v>
      </c>
      <c r="O395" s="8" t="str">
        <f>IF(
_xlfn.XLOOKUP(
_xlfn.XLOOKUP(B395,'Base stats'!B:B,'Base stats'!E:E),
Groups!A:A,
Groups!L:L
)=1,
MIN(
MROUND(
IF(
_xlfn.XLOOKUP(B395,'Animals CE'!B:B,'Animals CE'!AA:AA)&lt;=1.5,
_xlfn.XLOOKUP(B395,'Animals CE'!B:B,'Animals CE'!AA:AA)/2+0.05,
0.8+
(_xlfn.XLOOKUP(B395,'Animals CE'!B:B,'Animals CE'!AA:AA)-1.5)
*0.02
),
0.05
),
200%
),
"No"
)</f>
        <v>No</v>
      </c>
      <c r="P395" s="2" t="str">
        <f>_xlfn.XLOOKUP(B395,'Base stats'!B:B,'Base stats'!R:R)</f>
        <v>Standard</v>
      </c>
      <c r="Q395" s="13">
        <f>MROUND((LOG10(_xlfn.XLOOKUP(B395,'Base stats'!B:B,'Base stats'!AR:AR))*(AO395^0.5)+(_xlfn.XLOOKUP(B395,'Base stats'!B:B,'Base stats'!AR:AR)/1000)^(2/3)+_xlfn.XLOOKUP(B395,'Base stats'!B:B,'Base stats'!BA:BA)/2)+0.5,0.5)</f>
        <v>11</v>
      </c>
      <c r="R395" s="7">
        <f>IF(Q395="No","No",MAX(1,MROUND(_xlfn.XLOOKUP(B395,'Base stats'!B:B,'Base stats'!C:C)^0.165,0.05)))</f>
        <v>2.4000000000000004</v>
      </c>
      <c r="S395" s="13" t="str">
        <f>IF(_xlfn.XLOOKUP(_xlfn.XLOOKUP(B395,'Base stats'!B:B,'Base stats'!E:E),Groups!A:A,Groups!P:P)=0,"No",MROUND((LOG10(_xlfn.XLOOKUP(B395,'Base stats'!B:B,'Base stats'!AS:AS))*(AO395^0.5)+(_xlfn.XLOOKUP(B395,'Base stats'!B:B,'Base stats'!AS:AS)/1000)^(2/3)+_xlfn.XLOOKUP(B395,'Base stats'!B:B,'Base stats'!BA:BA))+_xlfn.XLOOKUP(B395,'Base stats'!B:B,'Base stats'!AY:AY)+0.5,0.5))</f>
        <v>No</v>
      </c>
      <c r="T395" s="7" t="str">
        <f>IF(S395="No","No",MAX(_xlfn.XLOOKUP(_xlfn.XLOOKUP(B395,'Base stats'!B:B,'Base stats'!E:E),Groups!A:A,Groups!Q:Q),MROUND(_xlfn.XLOOKUP(_xlfn.XLOOKUP(B395,'Base stats'!B:B,'Base stats'!E:E),Groups!A:A,Groups!Q:Q)*_xlfn.XLOOKUP(B395,'Base stats'!B:B,'Base stats'!C:C)^0.165,0.05)))</f>
        <v>No</v>
      </c>
      <c r="U395" s="7" t="str">
        <f>IF(S395="No","No",_xlfn.XLOOKUP(_xlfn.XLOOKUP(B395,'Base stats'!B:B,'Base stats'!E:E),Groups!A:A,Groups!R:R))</f>
        <v>No</v>
      </c>
      <c r="V395" s="7" t="str">
        <f>IF(S395="No","No",_xlfn.XLOOKUP(_xlfn.XLOOKUP(B395,'Base stats'!B:B,'Base stats'!E:E),Groups!A:A,Groups!S:S))</f>
        <v>No</v>
      </c>
      <c r="W395" s="7" t="str">
        <f>IF(S395="No","No",_xlfn.XLOOKUP(_xlfn.XLOOKUP(B395,'Base stats'!B:B,'Base stats'!E:E),Groups!A:A,Groups!T:T))</f>
        <v>No</v>
      </c>
      <c r="X395" s="13" t="str">
        <f>IF(_xlfn.XLOOKUP(B395,'Base stats'!B:B,'Base stats'!W:W)="No","No",MROUND((LOG10(_xlfn.XLOOKUP(B395,'Base stats'!B:B,'Base stats'!AU:AU))*(AO395^0.5)+(_xlfn.XLOOKUP(B395,'Base stats'!B:B,'Base stats'!AU:AU)/1000)^(2/3)+_xlfn.XLOOKUP(B395,'Base stats'!B:B,'Base stats'!AZ:AZ))+0.5+IF(_xlfn.XLOOKUP(_xlfn.XLOOKUP(B395,'Base stats'!B:B,'Base stats'!E:E),Groups!A:A,Groups!U:U)&lt;&gt;3,_xlfn.XLOOKUP(B395,'Base stats'!B:B,'Base stats'!BA:BA),0),0.5))</f>
        <v>No</v>
      </c>
      <c r="Y395" s="7" t="str">
        <f>IF(X395="No","No",MAX(_xlfn.XLOOKUP(_xlfn.XLOOKUP(B395,'Base stats'!B:B,'Base stats'!E:E),Groups!A:A,Groups!V:V),MROUND(_xlfn.XLOOKUP(_xlfn.XLOOKUP(B395,'Base stats'!B:B,'Base stats'!E:E),Groups!A:A,Groups!V:V)*_xlfn.XLOOKUP(B395,'Base stats'!B:B,'Base stats'!C:C)^0.165,0.05)))</f>
        <v>No</v>
      </c>
      <c r="Z395" s="7" t="str">
        <f>IF(X395="No","No",_xlfn.XLOOKUP(_xlfn.XLOOKUP(B395,'Base stats'!B:B,'Base stats'!E:E),Groups!A:A,Groups!W:W))</f>
        <v>No</v>
      </c>
      <c r="AA395" s="7" t="str">
        <f>IF(X395="No","No",_xlfn.XLOOKUP(_xlfn.XLOOKUP(B395,'Base stats'!B:B,'Base stats'!E:E),Groups!A:A,Groups!X:X))</f>
        <v>No</v>
      </c>
      <c r="AB395" s="7" t="str">
        <f>IF(X395="No","No",_xlfn.XLOOKUP(_xlfn.XLOOKUP(B395,'Base stats'!B:B,'Base stats'!E:E),Groups!A:A,Groups!Y:Y))</f>
        <v>No</v>
      </c>
      <c r="AC395" s="7" t="str">
        <f>_xlfn.XLOOKUP(Animals!B395,'Base stats'!B:B,'Base stats'!X:X)</f>
        <v>False</v>
      </c>
      <c r="AD395" s="13">
        <f>IF(_xlfn.XLOOKUP(B395,'Base stats'!B:B,'Base stats'!AT:AT)="No","No",MROUND((LOG10(_xlfn.XLOOKUP(B395,'Base stats'!B:B,'Base stats'!AT:AT))*(AO395^0.75)+(_xlfn.XLOOKUP(B395,'Base stats'!B:B,'Base stats'!AT:AT)/1000)^(2/3)+_xlfn.XLOOKUP(B395,'Base stats'!B:B,'Base stats'!AX:AX)+_xlfn.XLOOKUP(B395,'Base stats'!B:B,'Base stats'!BA:BA))+0.5,0.5))</f>
        <v>21</v>
      </c>
      <c r="AE395" s="7">
        <f>IF(AD395="No","No",MAX(_xlfn.XLOOKUP(_xlfn.XLOOKUP(B395,'Base stats'!B:B,'Base stats'!E:E),Groups!A:A,Groups!Z:Z),MROUND(_xlfn.XLOOKUP(_xlfn.XLOOKUP(B395,'Base stats'!B:B,'Base stats'!E:E),Groups!A:A,Groups!Z:Z)*_xlfn.XLOOKUP(B395,'Base stats'!B:B,'Base stats'!C:C)^0.165,0.05)))</f>
        <v>1.9000000000000001</v>
      </c>
      <c r="AF395" s="7" t="str">
        <f>IF(AD395="No","No",_xlfn.XLOOKUP(_xlfn.XLOOKUP(B395,'Base stats'!B:B,'Base stats'!E:E),Groups!A:A,Groups!AA:AA))</f>
        <v>Teeth</v>
      </c>
      <c r="AG395" s="7" t="str">
        <f>IF(AD395="No","No",_xlfn.XLOOKUP(_xlfn.XLOOKUP(B395,'Base stats'!B:B,'Base stats'!E:E),Groups!A:A,Groups!AB:AB))</f>
        <v>canines</v>
      </c>
      <c r="AH395" s="7" t="str">
        <f>IF(AD395="No","No",_xlfn.XLOOKUP(_xlfn.XLOOKUP(B395,'Base stats'!B:B,'Base stats'!E:E),Groups!A:A,Groups!AC:AC))</f>
        <v>Bite</v>
      </c>
      <c r="AI395" s="13" t="str">
        <f>IF(_xlfn.XLOOKUP(_xlfn.XLOOKUP(B395,'Base stats'!B:B,'Base stats'!E:E),Groups!A:A,Groups!AD:AD)=0,"No",MROUND((LOG10(_xlfn.XLOOKUP(B395,'Base stats'!B:B,'Base stats'!AS:AS))*(AO395^0.75)+(_xlfn.XLOOKUP(B395,'Base stats'!B:B,'Base stats'!AS:AS)/1000)^(2/3)+_xlfn.XLOOKUP(B395,'Base stats'!B:B,'Base stats'!AY:AY)+_xlfn.XLOOKUP(B395,'Base stats'!B:B,'Base stats'!BA:BA))+0.5,0.5))</f>
        <v>No</v>
      </c>
      <c r="AJ395" s="7" t="str">
        <f>IF(AI395="No","No",MAX(_xlfn.XLOOKUP(_xlfn.XLOOKUP(B395,'Base stats'!B:B,'Base stats'!E:E),Groups!A:A,Groups!AE:AE),MROUND(_xlfn.XLOOKUP(_xlfn.XLOOKUP(B395,'Base stats'!B:B,'Base stats'!E:E),Groups!A:A,Groups!AE:AE)*IF(_xlfn.XLOOKUP(_xlfn.XLOOKUP(B395,'Base stats'!B:B,'Base stats'!E:E),Groups!A:A,Groups!AJ:AJ)="Photonozoa",0.6,1)*_xlfn.XLOOKUP(B395,'Base stats'!B:B,'Base stats'!C:C)^0.165,0.05)))</f>
        <v>No</v>
      </c>
      <c r="AK395" s="7" t="str">
        <f>IF(AI395="No","No",_xlfn.XLOOKUP(_xlfn.XLOOKUP(B395,'Base stats'!B:B,'Base stats'!E:E),Groups!A:A,Groups!AF:AF))</f>
        <v>No</v>
      </c>
      <c r="AL395" s="7" t="str">
        <f>IF(AI395="No","No",_xlfn.XLOOKUP(_xlfn.XLOOKUP(B395,'Base stats'!B:B,'Base stats'!E:E),Groups!A:A,Groups!AG:AG))</f>
        <v>No</v>
      </c>
      <c r="AM395" s="7" t="str">
        <f>IF(AI395="No","No",_xlfn.XLOOKUP(_xlfn.XLOOKUP(B395,'Base stats'!B:B,'Base stats'!E:E),Groups!A:A,Groups!AH:AH))</f>
        <v>No</v>
      </c>
      <c r="AN395" s="2">
        <f t="shared" si="49"/>
        <v>25</v>
      </c>
      <c r="AO395" s="2">
        <f>MROUND(IF(AND(_xlfn.XLOOKUP(B395,'Base stats'!B:B,'Base stats'!C:C)&gt;=0.5,_xlfn.XLOOKUP(B395,'Base stats'!B:B,'Base stats'!C:C)&lt;=0.8),
IF(_xlfn.XLOOKUP(B395,'Base stats'!B:B,'Base stats'!C:C)&lt;0.1,0.05,IF(_xlfn.XLOOKUP(B395,'Base stats'!B:B,'Base stats'!C:C)&lt;=70,(_xlfn.XLOOKUP(B395,'Base stats'!B:B,'Base stats'!C:C)/70)^0.426489913056526,IF(_xlfn.XLOOKUP(B395,'Base stats'!B:B,'Base stats'!C:C)&lt;=400,(_xlfn.XLOOKUP(B395,'Base stats'!B:B,'Base stats'!C:C)/70)^0.572811455315093,IF(_xlfn.XLOOKUP(B395,'Base stats'!B:B,'Base stats'!C:C)&lt;=2000,2.71391647193063*(_xlfn.XLOOKUP(B395,'Base stats'!B:B,'Base stats'!C:C)/400)^0.252459582904293,3.74314280240376*(_xlfn.XLOOKUP(B395,'Base stats'!B:B,'Base stats'!C:C)/2000)^0.357012633876913)))),
IF(_xlfn.XLOOKUP(B395,'Base stats'!B:B,'Base stats'!C:C)&lt;0.1,0.05,IF(_xlfn.XLOOKUP(B395,'Base stats'!B:B,'Base stats'!C:C)&lt;0.4,0.1,IF(_xlfn.XLOOKUP(B395,'Base stats'!B:B,'Base stats'!C:C)&lt;=70,(_xlfn.XLOOKUP(B395,'Base stats'!B:B,'Base stats'!C:C)/70)^0.445823913056526,IF(_xlfn.XLOOKUP(B395,'Base stats'!B:B,'Base stats'!C:C)&lt;=400,(_xlfn.XLOOKUP(B395,'Base stats'!B:B,'Base stats'!C:C)/70)^0.572811455315093,IF(_xlfn.XLOOKUP(B395,'Base stats'!B:B,'Base stats'!C:C)&lt;=2000,2.71391647193063*(_xlfn.XLOOKUP(B395,'Base stats'!B:B,'Base stats'!C:C)/400)^0.252459582904293,3.74314280240376*(_xlfn.XLOOKUP(B395,'Base stats'!B:B,'Base stats'!C:C)/2000)^0.357012633876913)))))),
IF(_xlfn.XLOOKUP(B395,'Base stats'!B:B,'Base stats'!C:C)&lt;0.1,0.05,IF(_xlfn.XLOOKUP(B395,'Base stats'!B:B,'Base stats'!C:C)&lt;=100,0.05,IF(_xlfn.XLOOKUP(B395,'Base stats'!B:B,'Base stats'!C:C)&lt;=250,0.1,IF(_xlfn.XLOOKUP(B395,'Base stats'!B:B,'Base stats'!C:C)&lt;=4000,0.25,0.5)))))</f>
        <v>1.8</v>
      </c>
      <c r="AP395" s="8">
        <f>MROUND(AO395*_xlfn.XLOOKUP(_xlfn.XLOOKUP(B395,'Base stats'!B:B,'Base stats'!E:E),Groups!A:A,Groups!AI:AI)*_xlfn.XLOOKUP(B395,'Base stats'!B:B,'Base stats'!Z:Z),0.05)</f>
        <v>2.15</v>
      </c>
      <c r="AQ395" s="8">
        <f>MAX(0.01,MROUND(IF(CC395="True",0.196*(AO395*100*1000)^0.889,IF(_xlfn.XLOOKUP(_xlfn.XLOOKUP(B395,'Base stats'!B:B,'Base stats'!E:E),Groups!A:A,Groups!AJ:AJ)="Bird",10.5*(AO395*100*1000)^0.681,4.82*(AO395*100*1000)^0.734))/(4.82*(1*100*1000)^0.734)/IF(AO395&lt;3.5,2,IF(AO395=3.5,1.5,1.25))*(1+0.132282374779864/(AO395^0.994035016789033+0.00905238001496948)),0.05))</f>
        <v>0.85000000000000009</v>
      </c>
      <c r="AR395" s="9">
        <f>IFERROR(MROUND(_xlfn.XLOOKUP(B395,'Base stats'!B:B,'Base stats'!H:H)/IF(_xlfn.XLOOKUP(B395,'Base stats'!B:B,'Base stats'!I:I)&lt;&gt;1,(122.5/70),1.2),IF(_xlfn.XLOOKUP(B395,'Base stats'!B:B,'Base stats'!H:H)&gt;=30,5,IF(_xlfn.XLOOKUP(B395,'Base stats'!B:B,'Base stats'!H:H)&gt;=15,3,IF(_xlfn.XLOOKUP(B395,'Base stats'!B:B,'Base stats'!H:H)&gt;=10,2,1)))),"Immortal")</f>
        <v>25</v>
      </c>
      <c r="AS395" s="35">
        <f>IFERROR(IF(OR(_xlfn.XLOOKUP(B395,'Base stats'!B:B,'Base stats'!F:F)="Atypical reproduction",_xlfn.XLOOKUP(B395,'Base stats'!B:B,'Base stats'!F:F)="Lay eggs"),"Lay eggs",MIN(20,MAX(5.5,ROUND(((_xlfn.XLOOKUP(B395,'Base stats'!B:B,'Base stats'!F:F)-25)*(14.5/615) + 5.5)*2,0)/2))),"Unknown")</f>
        <v>7.5</v>
      </c>
      <c r="AT395" s="8">
        <f>IF(_xlfn.XLOOKUP(B395,'Base stats'!B:B,'Base stats'!G:G)="Atypical reproduction","No",IFERROR(MAX(IF(_xlfn.XLOOKUP(B395,'Base stats'!B:B,'Base stats'!G:G)&lt;0.5,0.2,0.3),MROUND(_xlfn.XLOOKUP(B395,'Base stats'!B:B,'Base stats'!G:G)/(365/60),0.2)),"Unknown"))</f>
        <v>0.60000000000000009</v>
      </c>
      <c r="AU395" s="8">
        <f t="shared" si="50"/>
        <v>0.30000000000000004</v>
      </c>
      <c r="AV395" s="8">
        <f>IFERROR(IFERROR(MROUND(_xlfn.XLOOKUP(B395,'Base stats'!B:B,'Base stats'!J:J),0.1),"Lay eggs"),"Cannot breed")</f>
        <v>1.5</v>
      </c>
      <c r="AW395" s="2" t="str">
        <f t="shared" si="51"/>
        <v>true</v>
      </c>
      <c r="AX395" s="2" t="str">
        <f>IF(_xlfn.XLOOKUP(_xlfn.XLOOKUP(Animals!B395,'Base stats'!B:B,'Base stats'!E:E),Groups!A:A,Groups!AK:AK)=1,"true","false")</f>
        <v>false</v>
      </c>
      <c r="AY395" s="25" t="str">
        <f>IF(_xlfn.XLOOKUP(B395,'Base stats'!B:B,'Base stats'!Y:Y)="Liquor","Liquor, CarnivoreAnimalStrict",IF(AND(_xlfn.XLOOKUP(B395,'Base stats'!B:B,'Base stats'!Y:Y)="Carnivore",_xlfn.XLOOKUP(_xlfn.XLOOKUP(B395,'Base stats'!B:B,'Base stats'!E:E),Groups!A:A,Groups!AJ:AJ)="Photonozoa"),"CarnivoreAnimalStrict, OvivoreAnimal",IF(_xlfn.XLOOKUP(B395,'Base stats'!B:B,'Base stats'!Y:Y)="Carnivore","CarnivoreAnimal, OvivoreAnimal",IF(_xlfn.XLOOKUP(B395,'Base stats'!B:B,'Base stats'!Y:Y)="Dendrovore","VegetarianRoughAnimal, DendrovoreAnimal",IF(_xlfn.XLOOKUP(B395,'Base stats'!B:B,'Base stats'!Y:Y)="Herbivore","VegetarianRoughAnimal",IF(_xlfn.XLOOKUP(B395,'Base stats'!B:B,'Base stats'!Y:Y)="OmnivoreRough","OmnivoreRoughAnimal, OvivoreAnimal","OmnivoreAnimal, OvivoreAnimal"))))))</f>
        <v>CarnivoreAnimal, OvivoreAnimal</v>
      </c>
      <c r="AZ395" s="2" t="str">
        <f>IF(_xlfn.XLOOKUP(_xlfn.XLOOKUP(B395,'Base stats'!B:B,'Base stats'!E:E),Groups!A:A,Groups!D:D)=1,MROUND((1-J395)*5+1,2)*IF(J395&lt;=0.4,2,1),"No")</f>
        <v>No</v>
      </c>
      <c r="BA395" s="2" t="str">
        <f>IF(AND(_xlfn.XLOOKUP(B395,'Base stats'!B:B,'Base stats'!AH:AH)="&lt;li&gt;Seal&lt;/li&gt;",G395="Odyssey"),"&lt;li&gt;AEXP_Seal&lt;/li&gt;",_xlfn.XLOOKUP(B395,'Base stats'!B:B,'Base stats'!AH:AH))</f>
        <v>No</v>
      </c>
      <c r="BB395" s="2" t="str">
        <f>_xlfn.XLOOKUP(B395,'Base stats'!B:B,'Base stats'!AG:AG)</f>
        <v>Leather_Dog</v>
      </c>
      <c r="BC395" s="23" t="str">
        <f>_xlfn.XLOOKUP(_xlfn.XLOOKUP(B395,'Base stats'!B:B,'Base stats'!E:E),Groups!A:A,Groups!AL:AL)</f>
        <v>QuadrupedAnimalWithPawsAndTail</v>
      </c>
      <c r="BD395" s="23">
        <f>MIN(1,MROUND(IF(AND(AO395&lt;0.5,_xlfn.XLOOKUP(B395,'Base stats'!B:B,'Base stats'!AA:AA)=0),0,IF(OR(_xlfn.XLOOKUP(Animals!B395,'Base stats'!B:B,'Base stats'!O:O)=2,_xlfn.XLOOKUP(_xlfn.XLOOKUP(B395,'Base stats'!B:B,'Base stats'!E:E),Groups!A:A,Groups!AN:AN)=0),0,_xlfn.XLOOKUP(_xlfn.XLOOKUP(B395,'Base stats'!B:B,'Base stats'!E:E),Groups!A:A,Groups!AN:AN)/IF(_xlfn.XLOOKUP(Animals!B395,'Base stats'!B:B,'Base stats'!O:O)=1,2,1)))+_xlfn.XLOOKUP(B395,'Base stats'!B:B,'Base stats'!AC:AC),0.005))</f>
        <v>0.1</v>
      </c>
      <c r="BE395" s="23">
        <f>MIN(1,MROUND(IF(AND(AO395&lt;0.5,_xlfn.XLOOKUP(B395,'Base stats'!B:B,'Base stats'!AA:AA)=0),0,IF(_xlfn.XLOOKUP(_xlfn.XLOOKUP(B395,'Base stats'!B:B,'Base stats'!E:E),Groups!A:A,Groups!AO:AO)=0,0,_xlfn.XLOOKUP(_xlfn.XLOOKUP(B395,'Base stats'!B:B,'Base stats'!E:E),Groups!A:A,Groups!AO:AO)/IF(_xlfn.XLOOKUP(Animals!B395,'Base stats'!B:B,'Base stats'!O:O)=2,3,1)))+_xlfn.XLOOKUP(B395,'Base stats'!B:B,'Base stats'!AD:AD),0.005))</f>
        <v>0.3</v>
      </c>
      <c r="BF395" s="2" t="str">
        <f>IF(J395&gt;0.3,"No",_xlfn.XLOOKUP(_xlfn.XLOOKUP(Animals!B395,'Base stats'!B:B,'Base stats'!E:E),Groups!A:A,Groups!AP:AP))</f>
        <v>No</v>
      </c>
      <c r="BG395" s="2" t="str">
        <f>IF(AND(J395&lt;=0.65,_xlfn.XLOOKUP(_xlfn.XLOOKUP(Animals!B395,'Base stats'!B:B,'Base stats'!E:E),Groups!A:A,Groups!AP:AP)&lt;&gt;"No",_xlfn.XLOOKUP(_xlfn.XLOOKUP(B395,'Base stats'!B:B,'Base stats'!E:E),Groups!A:A,Groups!D:D)=0),MROUND((80/3)*IF(_xlfn.XLOOKUP(B395,'Base stats'!B:B,'Base stats'!O:O)=2,0.2,AO395) + 24*(1-IF(BF395="No",0,BF395)) + 16/3, 12),"No")</f>
        <v>No</v>
      </c>
      <c r="BH395" s="2">
        <f>IF(AND(_xlfn.XLOOKUP(_xlfn.XLOOKUP(B395,'Base stats'!B:B,'Base stats'!E:E),Groups!A:A,Groups!AQ:AQ)=1,AO395&lt;=0.35),8,12)</f>
        <v>12</v>
      </c>
      <c r="BI395" s="2" t="str">
        <f>IF(_xlfn.XLOOKUP(_xlfn.XLOOKUP(B395,'Base stats'!B:B,'Base stats'!E:E),Groups!A:A,Groups!D:D)=0,_xlfn.XLOOKUP(_xlfn.XLOOKUP(B395,'Base stats'!B:B,'Base stats'!E:E),Groups!A:A,Groups!AR:AR),"None")</f>
        <v>Advanced</v>
      </c>
      <c r="BJ395" s="2" t="str">
        <f>IF(AND(_xlfn.XLOOKUP(_xlfn.XLOOKUP(B395,'Base stats'!B:B,'Base stats'!E:E),Groups!A:A,Groups!AS:AS)=1,OR(_xlfn.XLOOKUP(B395,'Base stats'!B:B,'Base stats'!Y:Y)="Carnivore",_xlfn.XLOOKUP(B395,'Base stats'!B:B,'Base stats'!Y:Y)="Omnivore")),"true","false")</f>
        <v>true</v>
      </c>
      <c r="BK395" s="2">
        <f>IF(BJ395="true",MROUND(IF(AND(AO395&gt;0.5,OR(_xlfn.XLOOKUP(_xlfn.XLOOKUP(B395,'Base stats'!B:B,'Base stats'!E:E),Groups!A:A,Groups!AJ:AJ)="Photonozoa",_xlfn.XLOOKUP(_xlfn.XLOOKUP(B395,'Base stats'!B:B,'Base stats'!E:E),Groups!A:A,Groups!AJ:AJ)="Mammal")),Animals!AO395*1.75*IF(AW395="true",1.5,1),IF(AO395&lt;0.5,Animals!AO395*0.5,Animals!AO395)),IF(AO395&gt;2,0.5,IF(AO395&gt;0.5,0.25,0.1))),"No")</f>
        <v>4.75</v>
      </c>
      <c r="BL395" s="2">
        <f t="shared" si="52"/>
        <v>1</v>
      </c>
      <c r="BM395" s="25" t="str">
        <f>IF(_xlfn.XLOOKUP(B395,'Base stats'!B:B,'Base stats'!AN:AN)="Standard","No",MROUND((_xlfn.XLOOKUP(B395,'Base stats'!B:B,'Base stats'!AN:AN)/3.6)/I395,0.1))</f>
        <v>No</v>
      </c>
      <c r="BN395" s="25" t="str">
        <f t="shared" si="53"/>
        <v>false</v>
      </c>
      <c r="BO395" s="25" t="str">
        <f>IF(AND(OR(_xlfn.XLOOKUP(B395,'Base stats'!B:B,'Base stats'!Y:Y)="Carnivore",_xlfn.XLOOKUP(B395,'Base stats'!B:B,'Base stats'!Y:Y)="Omnivore",_xlfn.XLOOKUP(B395,'Base stats'!B:B,'Base stats'!Y:Y)="OmnivoreRough"),_xlfn.XLOOKUP(_xlfn.XLOOKUP(B395,'Base stats'!B:B,'Base stats'!E:E),Groups!A:A,Groups!AT:AT)=1),"true","false")</f>
        <v>false</v>
      </c>
      <c r="BP395" s="25" t="str" cm="1">
        <f t="array" ref="BP395">IF(
  _xlfn.TEXTJOIN(", ",TRUE,
    IF(AND(BJ395="true",AO395&gt;0.5,BI395&lt;&gt;"None"),"AttackTarget",""),
    IF(AND(_xlfn.XLOOKUP(_xlfn.XLOOKUP(B395,'Base stats'!B:B,'Base stats'!E:E),Groups!A:A,Groups!AJ:AJ="Mammal"),OR(_xlfn.XLOOKUP(B395,'Base stats'!B:B,'Base stats'!Y:Y)="Omnivore",_xlfn.XLOOKUP(B395,'Base stats'!B:B,'Base stats'!Y:Y)="OmnivoreRough")),"Forage",""),
    IF(BG395&lt;=36,"Comfort",""),
    IF(_xlfn.XLOOKUP(B395,'Base stats'!B:B,'Base stats'!AE:AE)&lt;&gt;"No",_xlfn.XLOOKUP(B395,'Base stats'!B:B,'Base stats'!AE:AE),"")
  ) = "",
  "No",
  _xlfn.TEXTJOIN(", ",TRUE,
    IF(AND(BJ395="true",AO395&gt;0.5,BI395&lt;&gt;"None"),"AttackTarget",""),
    IF(AND(_xlfn.XLOOKUP(_xlfn.XLOOKUP(B395,'Base stats'!B:B,'Base stats'!E:E),Groups!A:A,Groups!AJ:AJ="Mammal"),OR(_xlfn.XLOOKUP(B395,'Base stats'!B:B,'Base stats'!Y:Y)="Omnivore",_xlfn.XLOOKUP(B395,'Base stats'!B:B,'Base stats'!Y:Y)="OmnivoreRough")),"Forage",""),
    IF(BG395&lt;=36,"Comfort",""),
    IF(_xlfn.XLOOKUP(B395,'Base stats'!B:B,'Base stats'!AE:AE)&lt;&gt;"No",_xlfn.XLOOKUP(B395,'Base stats'!B:B,'Base stats'!AE:AE),"")
  )
)</f>
        <v>AttackTarget</v>
      </c>
      <c r="BQ395" s="25" t="str">
        <f>IF(
   AND(
      'Base stats'!AN395="Standard",_xlfn.XLOOKUP(_xlfn.XLOOKUP(B395,'Base stats'!B:B,'Base stats'!E:E),Groups!A:A,Groups!AU:AU)=0,
      OR(
      BO395="True"
      )
   ),
   10,
   IF(
       OR(BM395&lt;&gt;"No",_xlfn.XLOOKUP(_xlfn.XLOOKUP(B395,'Base stats'!B:B,'Base stats'!E:E),Groups!A:A,Groups!AU:AU)=1),
      1,
      "No"
   )
)</f>
        <v>No</v>
      </c>
      <c r="BR395" s="9">
        <f>MROUND((1 + ((0.2*IF(OR(Q395="No",R395="No",R395=0),0,Q395/R395)
+IF(OR(V395="No",S395="No",T395="No"),0,S395/T395*(LEN(V395)-LEN(SUBSTITUTE(V395,",",""))+1))
+IF(OR(X395="No",Y395="No"),0,X395/Y395)
+IF(OR(AD395="No",AE395="No"),0,AD395/AE395)
+IF(OR(AL395="No",AI395="No",AJ395="No"),0,AI395/AJ395*(LEN(AL395)-LEN(SUBSTITUTE(AL395,",",""))+1))
)/(0.2*IF(OR(Q395="No",R395="No",R395=0),0,1)
+IF(OR(V395="No",S395="No",T395="No"),0,LEN(V395)-LEN(SUBSTITUTE(V395,",",""))+1)
+IF(OR(X395="No",Y395="No"),0,1)
+IF(OR(AD395="No",AE395="No"),0,1)
+IF(OR(AL395="No",AI395="No",AJ395="No"),0,LEN(AL395)-LEN(SUBSTITUTE(AL395,",",""))+1))*62%)* 2)*(1 + (AP395 / (IF(_xlfn.XLOOKUP(_xlfn.XLOOKUP(B395,'Base stats'!B:B,'Base stats'!E:E),Groups!A:A,Groups!AJ:AJ)="Photonozoa",0.3,1)) + _xlfn.XLOOKUP(B395,'Base stats'!B:B,'Base stats'!AV:AV) * 1.8) * 2) * 2.5 + 10 + I395 * 2,5)+IF(_xlfn.XLOOKUP(B395,'Base stats'!B:B,'Base stats'!AK:AK)=1,50,0)</f>
        <v>205</v>
      </c>
      <c r="BS395" s="8">
        <f t="shared" si="54"/>
        <v>1.05</v>
      </c>
      <c r="BT395" s="8" t="str">
        <f>_xlfn.XLOOKUP(B395,'Base stats'!B:B,'Base stats'!AF:AF)</f>
        <v>1~3</v>
      </c>
      <c r="BU395" s="2" t="str">
        <f>IF(AND(J395&lt;=0.95,OR(_xlfn.XLOOKUP(B395,'Base stats'!B:B,'Base stats'!AK:AK)=1,_xlfn.XLOOKUP(B395,'Base stats'!B:B,'Base stats'!Y:Y)="Carnivore",_xlfn.XLOOKUP(B395,'Base stats'!B:B,'Base stats'!Y:Y)="Omnivore",BE395&gt;0.1)),"true","false")</f>
        <v>true</v>
      </c>
      <c r="BV395" s="2" t="str">
        <f>IF(_xlfn.XLOOKUP(B395,'Base stats'!B:B,'Base stats'!AI:AI)=1,"true","false")</f>
        <v>false</v>
      </c>
      <c r="BW395" s="25" t="str">
        <f>IF(E395="BaseInsect","AnimalInsect",
IF(J395&gt;0.95,"AnimalExotic",
_xlfn.TEXTJOIN(", ",TRUE,
IF(OR(_xlfn.XLOOKUP(B395,'Base stats'!B:B,'Base stats'!AM:AM)=1,AND(_xlfn.XLOOKUP(B395,'Base stats'!B:B,'Base stats'!O:O)=0,_xlfn.XLOOKUP(_xlfn.XLOOKUP(B395,'Base stats'!B:B,'Base stats'!E:E),Groups!A:A,Groups!B:B)&gt;0)),"AnimalUncommon","AnimalCommon"),
IF(AND(_xlfn.XLOOKUP(B395,'Base stats'!B:B,'Base stats'!O:O)=2,_xlfn.XLOOKUP(_xlfn.XLOOKUP(B395,'Base stats'!B:B,'Base stats'!E:E),Groups!A:A,Groups!D:D)=0),"AnimalPet",IF(AND(_xlfn.XLOOKUP(B395,'Base stats'!B:B,'Base stats'!O:O)&lt;&gt;0,_xlfn.XLOOKUP(_xlfn.XLOOKUP(B395,'Base stats'!B:B,'Base stats'!E:E),Groups!A:A,Groups!D:D)&lt;&gt;0),"AnimalFarm","")),
IF(OR(_xlfn.XLOOKUP(B395,'Base stats'!B:B,'Base stats'!AK:AK)=1,AND(BI395&lt;&gt;"None",BR395&gt;=60),ISNUMBER(SEARCH("Attack target",BP395))),"AnimalFighter","")
)))</f>
        <v>AnimalCommon, AnimalFighter</v>
      </c>
      <c r="BX395" s="25" t="str">
        <f>IF(G395="None",TRIM(
SUBSTITUTE(
IF(COUNTIF(Biomes!B$2:B$259,"="&amp;$C395)&gt;0,Biomes!B$1&amp;", ","")&amp;
IF(COUNTIF(Biomes!C$2:C$259,"="&amp;$C395)&gt;0,Biomes!C$1&amp;", ","")&amp;
IF(COUNTIF(Biomes!D$2:D$259,"="&amp;$C395)&gt;0,Biomes!D$1&amp;", ","")&amp;
IF(COUNTIF(Biomes!F$2:F$259,"="&amp;$C395)&gt;0,Biomes!F$1&amp;", ","")&amp;
IF(COUNTIF(Biomes!G$2:G$259,"="&amp;$C395)&gt;0,Biomes!G$1&amp;", ","")&amp;
IF(COUNTIF(Biomes!H$2:H$259,"="&amp;$C395)&gt;0,Biomes!H$1&amp;", ","")&amp;
IF(COUNTIF(Biomes!I$2:I$259,"="&amp;$C395)&gt;0,Biomes!I$1&amp;", ","")&amp;
IF(COUNTIF(Biomes!J$2:J$259,"="&amp;$C395)&gt;0,Biomes!J$1&amp;", ","")&amp;
IF(COUNTIF(Biomes!M$2:M$259,"="&amp;$C395)&gt;0,Biomes!M$1&amp;", ","")&amp;
IF(COUNTIF(Biomes!N$2:N$259,"="&amp;$C395)&gt;0,Biomes!N$1&amp;", ","")&amp;
IF(COUNTIF(Biomes!O$2:O$259,"="&amp;$C395)&gt;0,Biomes!O$1&amp;", ","")&amp;
IF(COUNTIF(Biomes!P$2:P$259,"="&amp;$C395)&gt;0,Biomes!P$1&amp;", ","")&amp;
IF(COUNTIF(Biomes!K$2:K$259,"="&amp;$C395)&gt;0,Biomes!K$1&amp;", ","")&amp;
IF(COUNTIF(Biomes!Q$3:Q$259,"="&amp;$C395)&gt;0,Biomes!Q$1&amp;", ","")&amp;
IF(COUNTIF(Biomes!L$2:L$259,"="&amp;$C395)&gt;0,Biomes!L$1&amp;", ","")&amp;
IF(COUNTIF(Biomes!E$2:E$259,"="&amp;$C395)&gt;0,Biomes!E$1&amp;", ","")&amp;IF(COUNTIF(Biomes!S$2:S$259,"="&amp;$C395)&gt;0,Biomes!S$1&amp;", ","")&amp;
IF(COUNTIF(Biomes!R$2:R$259,"="&amp;$C395)&gt;0,Biomes!R$1&amp;", ",""),", ","")
),_xlfn.XLOOKUP(B395,B:B,BX:BX))</f>
        <v/>
      </c>
      <c r="BY395" s="25" t="str">
        <f>IF(_xlfn.XLOOKUP(B395,'Base stats'!B:B,'Base stats'!AJ:AJ)=1,"true","false")</f>
        <v>false</v>
      </c>
      <c r="BZ395" s="25">
        <f>IF(_xlfn.XLOOKUP(B395,'Base stats'!B:B,'Base stats'!N:N)=1,"No",MAX(0.001,MIN(MROUND(IF(AND(BJ395="True",CC395="False"),POWER(10,3.47*LOG10(_xlfn.XLOOKUP(B395,'Base stats'!B:B,'Base stats'!C:C)*1000)^-0.96),POWER(10,4.15*LOG10(_xlfn.XLOOKUP(B395,'Base stats'!B:B,'Base stats'!C:C)*1000)^-0.73))*IF(_xlfn.XLOOKUP(B395,'Base stats'!B:B,'Base stats'!AK:AK)=1,0.5,1)*IF(_xlfn.XLOOKUP(B395,'Base stats'!B:B,'Base stats'!AM:AM)=1,0.1,1)/100,IF(_xlfn.XLOOKUP(B395,'Base stats'!B:B,'Base stats'!AM:AM)=1,0.001,0.025)),0.5)))</f>
        <v>0.05</v>
      </c>
      <c r="CA395" s="25" t="str">
        <f>IF(P395="Standard","No",MAX(0.001,MIN(MROUND(IF(AND(BJ395="True",CC395="False"),POWER(10,3.47*LOG10(_xlfn.XLOOKUP(B395,'Base stats'!B:B,'Base stats'!C:C)*1000)^-0.96),POWER(10,4.15*LOG10(_xlfn.XLOOKUP(B395,'Base stats'!B:B,'Base stats'!C:C)*1000)^-0.73))*IF(_xlfn.XLOOKUP(B395,'Base stats'!B:B,'Base stats'!AM:AM)=1,0.1,1)*_xlfn.XLOOKUP(B395,'Base stats'!B:B,'Base stats'!R:R)/100,IF(_xlfn.XLOOKUP(B395,'Base stats'!B:B,'Base stats'!AM:AM)=1,0.001,0.025)),0.5)))</f>
        <v>No</v>
      </c>
      <c r="CB395" s="25" t="str">
        <f>IF(_xlfn.XLOOKUP(_xlfn.XLOOKUP(B395,'Base stats'!B:B,'Base stats'!E:E),Groups!A:A,Groups!AJ:AJ)="Mammal","True","False")</f>
        <v>True</v>
      </c>
      <c r="CC395" s="25" t="str">
        <f>IF(OR(_xlfn.XLOOKUP(_xlfn.XLOOKUP(B395,'Base stats'!B:B,'Base stats'!E:E),Groups!A:A,Groups!AJ:AJ)="Reptile",_xlfn.XLOOKUP(_xlfn.XLOOKUP(B395,'Base stats'!B:B,'Base stats'!E:E),Groups!A:A,Groups!AJ:AJ)="Amphibian",_xlfn.XLOOKUP(_xlfn.XLOOKUP(B395,'Base stats'!B:B,'Base stats'!E:E),Groups!A:A,Groups!AJ:AJ)="Invertebrate"),"True","False")</f>
        <v>False</v>
      </c>
      <c r="CD395" s="25" t="str">
        <f t="shared" si="55"/>
        <v>False</v>
      </c>
      <c r="CE395" s="25" t="str">
        <f>IF(_xlfn.XLOOKUP(_xlfn.XLOOKUP(B395,'Base stats'!B:B,'Base stats'!E:E),Groups!A:A,Groups!AX:AX),"True","False")</f>
        <v>False</v>
      </c>
      <c r="CF395" s="25" t="str">
        <f>IF(_xlfn.XLOOKUP(_xlfn.XLOOKUP(B395,'Base stats'!B:B,'Base stats'!E:E),Groups!A:A,Groups!AY:AY),"True","False")</f>
        <v>False</v>
      </c>
      <c r="CG395" s="25" t="str">
        <f>IF(_xlfn.XLOOKUP(_xlfn.XLOOKUP(B395,'Base stats'!B:B,'Base stats'!E:E),Groups!A:A,Groups!AW:AW),"True","False")</f>
        <v>False</v>
      </c>
      <c r="CH395" s="25" t="str">
        <f>IF(
OR(
_xlfn.XLOOKUP(_xlfn.XLOOKUP(B395,'Base stats'!B:B,'Base stats'!E:E),Groups!A:A,Groups!AZ:AZ)=0,
AND(
_xlfn.XLOOKUP(B395,'Base stats'!B:B,'Base stats'!Y:Y)&lt;&gt;"Carnivore",
_xlfn.XLOOKUP(B395,'Base stats'!B:B,'Base stats'!Y:Y)&lt;&gt;"Omnivore",
_xlfn.XLOOKUP(B395,'Base stats'!B:B,'Base stats'!Y:Y)&lt;&gt;"OmnivoreRough"
)
),
"No",
IF(
_xlfn.XLOOKUP(_xlfn.XLOOKUP(B395,'Base stats'!B:B,'Base stats'!E:E),Groups!A:A,Groups!AZ:AZ)=1,
"Flesh",
IF(
_xlfn.XLOOKUP(_xlfn.XLOOKUP(B395,'Base stats'!B:B,'Base stats'!E:E),Groups!A:A,Groups!AZ:AZ)=2,
"Bone",
""
)
)
)</f>
        <v>Bone</v>
      </c>
      <c r="CI395" s="25" t="str">
        <f>IF(_xlfn.XLOOKUP(_xlfn.XLOOKUP(B395,'Base stats'!B:B,'Base stats'!E:E),Groups!A:A,Groups!BB:BB),"True","False")</f>
        <v>True</v>
      </c>
      <c r="CJ395" s="25" t="str">
        <f>IF(_xlfn.XLOOKUP(_xlfn.XLOOKUP(B395,'Base stats'!B:B,'Base stats'!E:E),Groups!A:A,Groups!BA:BA),"True","False")</f>
        <v>False</v>
      </c>
    </row>
    <row r="396" spans="1:88" ht="16.5" thickTop="1" thickBot="1" x14ac:dyDescent="0.3">
      <c r="A396" s="26" t="s">
        <v>2085</v>
      </c>
      <c r="B396" s="6" t="str">
        <f>_xlfn.XLOOKUP(A396,'Base stats'!A:A,'Base stats'!B:B)</f>
        <v>Sivatherium giganteum</v>
      </c>
      <c r="C396" s="28" t="str">
        <f t="shared" si="56"/>
        <v>&lt;li&gt;Sivatherium&lt;/li&gt;</v>
      </c>
      <c r="D396" s="28" t="s">
        <v>2126</v>
      </c>
      <c r="E396" s="28" t="s">
        <v>673</v>
      </c>
      <c r="F396" s="28" t="s">
        <v>673</v>
      </c>
      <c r="G396" s="28" t="s">
        <v>673</v>
      </c>
      <c r="H396" s="2">
        <f>MROUND((
  (IF(AND(_xlfn.XLOOKUP(B396,'Base stats'!B:B,'Base stats'!AL:AL)=0,BI396="None",_xlfn.XLOOKUP(_xlfn.XLOOKUP(B396,'Base stats'!B:B,'Base stats'!E:E),Groups!A:A,Groups!B:B)=0), (18 + BR396 * 2.7) * 0.5,
    IF(AND(_xlfn.XLOOKUP(B396,'Base stats'!B:B,'Base stats'!AL:AL)=0,OR(AO396&lt;0.55,AND(BI396="Intermediate",_xlfn.XLOOKUP(_xlfn.XLOOKUP(B396,'Base stats'!B:B,'Base stats'!E:E),Groups!A:A,Groups!B:B)&lt;2))), (18 + BR396 * 2.7),
      IF(OR(BI396="Advanced",_xlfn.XLOOKUP(B396,'Base stats'!B:B,'Base stats'!AL:AL)=1,_xlfn.XLOOKUP(_xlfn.XLOOKUP(B396,'Base stats'!B:B,'Base stats'!E:E),Groups!A:A,Groups!B:B)=2), (18 + BR396 * 2.7) + 250, (18 + BR396 * 2.7))
    )
  ))
  + AO396 * 80
  + IF(COUNTIF(EggMilk!K$2:K$998, A396) &gt; 0, 125, 0)
  + IF(COUNTIF(EggMilk!P$2:P$998, A396) &gt; 0, 90, 0)
  + IF(COUNTIF(EggMilk!A$2:A$998, A396) &gt; 0, 90, 0)
)
* (0.8 + 0.4 * J396)
* 0.75,25)</f>
        <v>800</v>
      </c>
      <c r="I396" s="2">
        <f>MROUND(ROUNDDOWN(_xlfn.XLOOKUP(B396,'Base stats'!B:B,'Base stats'!L:L)/3.6/(23.3/11),1),0.5)</f>
        <v>8</v>
      </c>
      <c r="J396" s="2">
        <f>IF(OR(_xlfn.XLOOKUP(B396,'Base stats'!B:B,'Base stats'!AB:AB)=1,_xlfn.XLOOKUP(_xlfn.XLOOKUP(B396,'Base stats'!B:B,'Base stats'!E:E),Groups!A:A,Groups!C:C)="Untamable"),1,IF(_xlfn.XLOOKUP(B396,'Base stats'!B:B,'Base stats'!AL:AL)=1,0.99,MIN(MROUND((1-0.6282*EXP(-0.459*AO396))*_xlfn.XLOOKUP(_xlfn.XLOOKUP(B396,'Base stats'!B:B,'Base stats'!E:E),Groups!A:A,Groups!C:C)*IF(_xlfn.XLOOKUP(B396,'Base stats'!B:B,'Base stats'!O:O)=1,0.5,IF(_xlfn.XLOOKUP(B396,'Base stats'!B:B,'Base stats'!O:O)=2,0,1)),0.05),IF(AO396&gt;3.5,0.985,0.95))))</f>
        <v>0.75</v>
      </c>
      <c r="K396" s="2">
        <f>ROUNDUP(AO396*_xlfn.XLOOKUP(_xlfn.XLOOKUP(B396,'Base stats'!B:B,'Base stats'!E:E),Groups!A:A,Groups!E:E),0)</f>
        <v>18</v>
      </c>
      <c r="L396" s="2">
        <f>IF(OR(_xlfn.XLOOKUP(_xlfn.XLOOKUP(B396,'Base stats'!B:B,'Base stats'!E:E),Groups!A:A,Groups!F:F)=2,ISNUMBER(SEARCH("SeaIce",BX396)),ISNUMBER(SEARCH("IceSheet",BX396))),-50,IF(OR(ISNUMBER(SEARCH("GlacialPlain",BX396)),ISNUMBER(SEARCH("Tundra",BX396))),-40,IF(OR(ISNUMBER(SEARCH("Alpine",BX396)),ISNUMBER(SEARCH("BorealForest",BX396)),ISNUMBER(SEARCH("ColdBog",BX396))),-30,IF(OR(ISNUMBER(SEARCH("TemperateForest",BX396)),ISNUMBER(SEARCH("TemperateSwamp",BX396))),-20,IF(_xlfn.XLOOKUP(_xlfn.XLOOKUP(B396,'Base stats'!B:B,'Base stats'!E:E),Groups!A:A,Groups!F:F)=1,-15,IF(OR(ISNUMBER(SEARCH("Desert",BX396)),ISNUMBER(SEARCH("ExtremeDesert",BX396))),-10,IF(OR(ISNUMBER(SEARCH("Grasslands",BX396)),ISNUMBER(SEARCH("TropicalRainforest",BX396)),ISNUMBER(SEARCH("TropicalSwamp",BX396))),10,0)))))))-IF(CC396="False",MIN(IFERROR(MAX(MROUND(LOG10(_xlfn.XLOOKUP(B396,'Base stats'!B:B,'Base stats'!C:C)^(2/3))*10,5),5),5),30))-_xlfn.XLOOKUP(B396,'Base stats'!B:B,'Base stats'!P:P)+IF(CC396="True",5,0)</f>
        <v>-35</v>
      </c>
      <c r="M396" s="2">
        <f>IF(OR(_xlfn.XLOOKUP(_xlfn.XLOOKUP(B396,'Base stats'!B:B,'Base stats'!E:E),Groups!A:A,Groups!G:G)=2,ISNUMBER(SEARCH("Desert",BX396)),ISNUMBER(SEARCH("ExtremeDesert",BX396)),ISNUMBER(SEARCH("LavaField",BX396))),50,IF(ISNUMBER(SEARCH("Grasslands",BX396)),45,IF(OR(_xlfn.XLOOKUP(_xlfn.XLOOKUP(B396,'Base stats'!B:B,'Base stats'!E:E),Groups!A:A,Groups!G:G)=1,ISNUMBER(SEARCH("TropicalRainforest",BX396)),ISNUMBER(SEARCH("TropicalSwamp",BX396))),40,IF(OR(ISNUMBER(SEARCH("TemperateForest",BX396)),ISNUMBER(SEARCH("TemperateSwamp",BX396))),35,IF(OR(ISNUMBER(SEARCH("Alpine",BX396)),ISNUMBER(SEARCH("BorealForest",BX396)),ISNUMBER(SEARCH("ColdBog",BX396))),30,IF(ISNUMBER(OR(ISNUMBER(SEARCH("GlacialPlain",BX396)),SEARCH("Tundra",BX396))),25,IF(OR(ISNUMBER(SEARCH("SeaIce",BX396)),ISNUMBER(SEARCH("IceSheet",BX396)),ISNUMBER(SEARCH("TropicalSwamp",BX396))),10,35)))))))+_xlfn.XLOOKUP(B396,'Base stats'!B:B,'Base stats'!Q:Q)</f>
        <v>35</v>
      </c>
      <c r="N396" s="8" t="str">
        <f>IF(
_xlfn.XLOOKUP(
_xlfn.XLOOKUP(B396,'Base stats'!B:B,'Base stats'!E:E),
Groups!A:A,
Groups!L:L
)=1,
MIN(
MROUND(
IF(
_xlfn.XLOOKUP(B396,'Animals CE'!B:B,'Animals CE'!Z:Z)&lt;=1.5,
_xlfn.XLOOKUP(B396,'Animals CE'!B:B,'Animals CE'!Z:Z)/2+0.05,
0.8+
(_xlfn.XLOOKUP(B396,'Animals CE'!B:B,'Animals CE'!Z:Z)-1.5)
*0.02
),
0.05
),
200%
),
"No"
)</f>
        <v>No</v>
      </c>
      <c r="O396" s="8" t="str">
        <f>IF(
_xlfn.XLOOKUP(
_xlfn.XLOOKUP(B396,'Base stats'!B:B,'Base stats'!E:E),
Groups!A:A,
Groups!L:L
)=1,
MIN(
MROUND(
IF(
_xlfn.XLOOKUP(B396,'Animals CE'!B:B,'Animals CE'!AA:AA)&lt;=1.5,
_xlfn.XLOOKUP(B396,'Animals CE'!B:B,'Animals CE'!AA:AA)/2+0.05,
0.8+
(_xlfn.XLOOKUP(B396,'Animals CE'!B:B,'Animals CE'!AA:AA)-1.5)
*0.02
),
0.05
),
200%
),
"No"
)</f>
        <v>No</v>
      </c>
      <c r="P396" s="2" t="str">
        <f>_xlfn.XLOOKUP(B396,'Base stats'!B:B,'Base stats'!R:R)</f>
        <v>Standard</v>
      </c>
      <c r="Q396" s="13">
        <f>MROUND((LOG10(_xlfn.XLOOKUP(B396,'Base stats'!B:B,'Base stats'!AR:AR))*(AO396^0.5)+(_xlfn.XLOOKUP(B396,'Base stats'!B:B,'Base stats'!AR:AR)/1000)^(2/3)+_xlfn.XLOOKUP(B396,'Base stats'!B:B,'Base stats'!BA:BA)/2)+0.5,0.5)</f>
        <v>21.5</v>
      </c>
      <c r="R396" s="7">
        <f>IF(Q396="No","No",MAX(1,MROUND(_xlfn.XLOOKUP(B396,'Base stats'!B:B,'Base stats'!C:C)^0.165,0.05)))</f>
        <v>3.25</v>
      </c>
      <c r="S396" s="13">
        <f>IF(_xlfn.XLOOKUP(_xlfn.XLOOKUP(B396,'Base stats'!B:B,'Base stats'!E:E),Groups!A:A,Groups!P:P)=0,"No",MROUND((LOG10(_xlfn.XLOOKUP(B396,'Base stats'!B:B,'Base stats'!AS:AS))*(AO396^0.5)+(_xlfn.XLOOKUP(B396,'Base stats'!B:B,'Base stats'!AS:AS)/1000)^(2/3)+_xlfn.XLOOKUP(B396,'Base stats'!B:B,'Base stats'!BA:BA))+_xlfn.XLOOKUP(B396,'Base stats'!B:B,'Base stats'!AY:AY)+0.5,0.5))</f>
        <v>26.5</v>
      </c>
      <c r="T396" s="7">
        <f>IF(S396="No","No",MAX(_xlfn.XLOOKUP(_xlfn.XLOOKUP(B396,'Base stats'!B:B,'Base stats'!E:E),Groups!A:A,Groups!Q:Q),MROUND(_xlfn.XLOOKUP(_xlfn.XLOOKUP(B396,'Base stats'!B:B,'Base stats'!E:E),Groups!A:A,Groups!Q:Q)*_xlfn.XLOOKUP(B396,'Base stats'!B:B,'Base stats'!C:C)^0.165,0.05)))</f>
        <v>3.25</v>
      </c>
      <c r="U396" s="7" t="str">
        <f>IF(S396="No","No",_xlfn.XLOOKUP(_xlfn.XLOOKUP(B396,'Base stats'!B:B,'Base stats'!E:E),Groups!A:A,Groups!R:R))</f>
        <v>FrontLeftLeg, FrontRightLeg</v>
      </c>
      <c r="V396" s="7" t="str">
        <f>IF(S396="No","No",_xlfn.XLOOKUP(_xlfn.XLOOKUP(B396,'Base stats'!B:B,'Base stats'!E:E),Groups!A:A,Groups!S:S))</f>
        <v>left hoof, right hoof</v>
      </c>
      <c r="W396" s="7" t="str">
        <f>IF(S396="No","No",_xlfn.XLOOKUP(_xlfn.XLOOKUP(B396,'Base stats'!B:B,'Base stats'!E:E),Groups!A:A,Groups!T:T))</f>
        <v>Blunt</v>
      </c>
      <c r="X396" s="13" t="str">
        <f>IF(_xlfn.XLOOKUP(B396,'Base stats'!B:B,'Base stats'!W:W)="No","No",MROUND((LOG10(_xlfn.XLOOKUP(B396,'Base stats'!B:B,'Base stats'!AU:AU))*(AO396^0.5)+(_xlfn.XLOOKUP(B396,'Base stats'!B:B,'Base stats'!AU:AU)/1000)^(2/3)+_xlfn.XLOOKUP(B396,'Base stats'!B:B,'Base stats'!AZ:AZ))+0.5+IF(_xlfn.XLOOKUP(_xlfn.XLOOKUP(B396,'Base stats'!B:B,'Base stats'!E:E),Groups!A:A,Groups!U:U)&lt;&gt;3,_xlfn.XLOOKUP(B396,'Base stats'!B:B,'Base stats'!BA:BA),0),0.5))</f>
        <v>No</v>
      </c>
      <c r="Y396" s="7" t="str">
        <f>IF(X396="No","No",MAX(_xlfn.XLOOKUP(_xlfn.XLOOKUP(B396,'Base stats'!B:B,'Base stats'!E:E),Groups!A:A,Groups!V:V),MROUND(_xlfn.XLOOKUP(_xlfn.XLOOKUP(B396,'Base stats'!B:B,'Base stats'!E:E),Groups!A:A,Groups!V:V)*_xlfn.XLOOKUP(B396,'Base stats'!B:B,'Base stats'!C:C)^0.165,0.05)))</f>
        <v>No</v>
      </c>
      <c r="Z396" s="7" t="str">
        <f>IF(X396="No","No",_xlfn.XLOOKUP(_xlfn.XLOOKUP(B396,'Base stats'!B:B,'Base stats'!E:E),Groups!A:A,Groups!W:W))</f>
        <v>No</v>
      </c>
      <c r="AA396" s="7" t="str">
        <f>IF(X396="No","No",_xlfn.XLOOKUP(_xlfn.XLOOKUP(B396,'Base stats'!B:B,'Base stats'!E:E),Groups!A:A,Groups!X:X))</f>
        <v>No</v>
      </c>
      <c r="AB396" s="7" t="str">
        <f>IF(X396="No","No",_xlfn.XLOOKUP(_xlfn.XLOOKUP(B396,'Base stats'!B:B,'Base stats'!E:E),Groups!A:A,Groups!Y:Y))</f>
        <v>No</v>
      </c>
      <c r="AC396" s="7" t="str">
        <f>_xlfn.XLOOKUP(Animals!B396,'Base stats'!B:B,'Base stats'!X:X)</f>
        <v>False</v>
      </c>
      <c r="AD396" s="13" t="str">
        <f>IF(_xlfn.XLOOKUP(B396,'Base stats'!B:B,'Base stats'!AT:AT)="No","No",MROUND((LOG10(_xlfn.XLOOKUP(B396,'Base stats'!B:B,'Base stats'!AT:AT))*(AO396^0.75)+(_xlfn.XLOOKUP(B396,'Base stats'!B:B,'Base stats'!AT:AT)/1000)^(2/3)+_xlfn.XLOOKUP(B396,'Base stats'!B:B,'Base stats'!AX:AX)+_xlfn.XLOOKUP(B396,'Base stats'!B:B,'Base stats'!BA:BA))+0.5,0.5))</f>
        <v>No</v>
      </c>
      <c r="AE396" s="7" t="str">
        <f>IF(AD396="No","No",MAX(_xlfn.XLOOKUP(_xlfn.XLOOKUP(B396,'Base stats'!B:B,'Base stats'!E:E),Groups!A:A,Groups!Z:Z),MROUND(_xlfn.XLOOKUP(_xlfn.XLOOKUP(B396,'Base stats'!B:B,'Base stats'!E:E),Groups!A:A,Groups!Z:Z)*_xlfn.XLOOKUP(B396,'Base stats'!B:B,'Base stats'!C:C)^0.165,0.05)))</f>
        <v>No</v>
      </c>
      <c r="AF396" s="7" t="str">
        <f>IF(AD396="No","No",_xlfn.XLOOKUP(_xlfn.XLOOKUP(B396,'Base stats'!B:B,'Base stats'!E:E),Groups!A:A,Groups!AA:AA))</f>
        <v>No</v>
      </c>
      <c r="AG396" s="7" t="str">
        <f>IF(AD396="No","No",_xlfn.XLOOKUP(_xlfn.XLOOKUP(B396,'Base stats'!B:B,'Base stats'!E:E),Groups!A:A,Groups!AB:AB))</f>
        <v>No</v>
      </c>
      <c r="AH396" s="7" t="str">
        <f>IF(AD396="No","No",_xlfn.XLOOKUP(_xlfn.XLOOKUP(B396,'Base stats'!B:B,'Base stats'!E:E),Groups!A:A,Groups!AC:AC))</f>
        <v>No</v>
      </c>
      <c r="AI396" s="13" t="str">
        <f>IF(_xlfn.XLOOKUP(_xlfn.XLOOKUP(B396,'Base stats'!B:B,'Base stats'!E:E),Groups!A:A,Groups!AD:AD)=0,"No",MROUND((LOG10(_xlfn.XLOOKUP(B396,'Base stats'!B:B,'Base stats'!AS:AS))*(AO396^0.75)+(_xlfn.XLOOKUP(B396,'Base stats'!B:B,'Base stats'!AS:AS)/1000)^(2/3)+_xlfn.XLOOKUP(B396,'Base stats'!B:B,'Base stats'!AY:AY)+_xlfn.XLOOKUP(B396,'Base stats'!B:B,'Base stats'!BA:BA))+0.5,0.5))</f>
        <v>No</v>
      </c>
      <c r="AJ396" s="7" t="str">
        <f>IF(AI396="No","No",MAX(_xlfn.XLOOKUP(_xlfn.XLOOKUP(B396,'Base stats'!B:B,'Base stats'!E:E),Groups!A:A,Groups!AE:AE),MROUND(_xlfn.XLOOKUP(_xlfn.XLOOKUP(B396,'Base stats'!B:B,'Base stats'!E:E),Groups!A:A,Groups!AE:AE)*IF(_xlfn.XLOOKUP(_xlfn.XLOOKUP(B396,'Base stats'!B:B,'Base stats'!E:E),Groups!A:A,Groups!AJ:AJ)="Photonozoa",0.6,1)*_xlfn.XLOOKUP(B396,'Base stats'!B:B,'Base stats'!C:C)^0.165,0.05)))</f>
        <v>No</v>
      </c>
      <c r="AK396" s="7" t="str">
        <f>IF(AI396="No","No",_xlfn.XLOOKUP(_xlfn.XLOOKUP(B396,'Base stats'!B:B,'Base stats'!E:E),Groups!A:A,Groups!AF:AF))</f>
        <v>No</v>
      </c>
      <c r="AL396" s="7" t="str">
        <f>IF(AI396="No","No",_xlfn.XLOOKUP(_xlfn.XLOOKUP(B396,'Base stats'!B:B,'Base stats'!E:E),Groups!A:A,Groups!AG:AG))</f>
        <v>No</v>
      </c>
      <c r="AM396" s="7" t="str">
        <f>IF(AI396="No","No",_xlfn.XLOOKUP(_xlfn.XLOOKUP(B396,'Base stats'!B:B,'Base stats'!E:E),Groups!A:A,Groups!AH:AH))</f>
        <v>No</v>
      </c>
      <c r="AN396" s="2" t="str">
        <f t="shared" si="49"/>
        <v>No</v>
      </c>
      <c r="AO396" s="2">
        <f>MROUND(IF(AND(_xlfn.XLOOKUP(B396,'Base stats'!B:B,'Base stats'!C:C)&gt;=0.5,_xlfn.XLOOKUP(B396,'Base stats'!B:B,'Base stats'!C:C)&lt;=0.8),
IF(_xlfn.XLOOKUP(B396,'Base stats'!B:B,'Base stats'!C:C)&lt;0.1,0.05,IF(_xlfn.XLOOKUP(B396,'Base stats'!B:B,'Base stats'!C:C)&lt;=70,(_xlfn.XLOOKUP(B396,'Base stats'!B:B,'Base stats'!C:C)/70)^0.426489913056526,IF(_xlfn.XLOOKUP(B396,'Base stats'!B:B,'Base stats'!C:C)&lt;=400,(_xlfn.XLOOKUP(B396,'Base stats'!B:B,'Base stats'!C:C)/70)^0.572811455315093,IF(_xlfn.XLOOKUP(B396,'Base stats'!B:B,'Base stats'!C:C)&lt;=2000,2.71391647193063*(_xlfn.XLOOKUP(B396,'Base stats'!B:B,'Base stats'!C:C)/400)^0.252459582904293,3.74314280240376*(_xlfn.XLOOKUP(B396,'Base stats'!B:B,'Base stats'!C:C)/2000)^0.357012633876913)))),
IF(_xlfn.XLOOKUP(B396,'Base stats'!B:B,'Base stats'!C:C)&lt;0.1,0.05,IF(_xlfn.XLOOKUP(B396,'Base stats'!B:B,'Base stats'!C:C)&lt;0.4,0.1,IF(_xlfn.XLOOKUP(B396,'Base stats'!B:B,'Base stats'!C:C)&lt;=70,(_xlfn.XLOOKUP(B396,'Base stats'!B:B,'Base stats'!C:C)/70)^0.445823913056526,IF(_xlfn.XLOOKUP(B396,'Base stats'!B:B,'Base stats'!C:C)&lt;=400,(_xlfn.XLOOKUP(B396,'Base stats'!B:B,'Base stats'!C:C)/70)^0.572811455315093,IF(_xlfn.XLOOKUP(B396,'Base stats'!B:B,'Base stats'!C:C)&lt;=2000,2.71391647193063*(_xlfn.XLOOKUP(B396,'Base stats'!B:B,'Base stats'!C:C)/400)^0.252459582904293,3.74314280240376*(_xlfn.XLOOKUP(B396,'Base stats'!B:B,'Base stats'!C:C)/2000)^0.357012633876913)))))),
IF(_xlfn.XLOOKUP(B396,'Base stats'!B:B,'Base stats'!C:C)&lt;0.1,0.05,IF(_xlfn.XLOOKUP(B396,'Base stats'!B:B,'Base stats'!C:C)&lt;=100,0.05,IF(_xlfn.XLOOKUP(B396,'Base stats'!B:B,'Base stats'!C:C)&lt;=250,0.1,IF(_xlfn.XLOOKUP(B396,'Base stats'!B:B,'Base stats'!C:C)&lt;=4000,0.25,0.5)))))</f>
        <v>3.5</v>
      </c>
      <c r="AP396" s="8">
        <f>MROUND(AO396*_xlfn.XLOOKUP(_xlfn.XLOOKUP(B396,'Base stats'!B:B,'Base stats'!E:E),Groups!A:A,Groups!AI:AI)*_xlfn.XLOOKUP(B396,'Base stats'!B:B,'Base stats'!Z:Z),0.05)</f>
        <v>3.5</v>
      </c>
      <c r="AQ396" s="8">
        <f>MAX(0.01,MROUND(IF(CC396="True",0.196*(AO396*100*1000)^0.889,IF(_xlfn.XLOOKUP(_xlfn.XLOOKUP(B396,'Base stats'!B:B,'Base stats'!E:E),Groups!A:A,Groups!AJ:AJ)="Bird",10.5*(AO396*100*1000)^0.681,4.82*(AO396*100*1000)^0.734))/(4.82*(1*100*1000)^0.734)/IF(AO396&lt;3.5,2,IF(AO396=3.5,1.5,1.25))*(1+0.132282374779864/(AO396^0.994035016789033+0.00905238001496948)),0.05))</f>
        <v>1.75</v>
      </c>
      <c r="AR396" s="9">
        <f>IFERROR(MROUND(_xlfn.XLOOKUP(B396,'Base stats'!B:B,'Base stats'!H:H)/IF(_xlfn.XLOOKUP(B396,'Base stats'!B:B,'Base stats'!I:I)&lt;&gt;1,(122.5/70),1.2),IF(_xlfn.XLOOKUP(B396,'Base stats'!B:B,'Base stats'!H:H)&gt;=30,5,IF(_xlfn.XLOOKUP(B396,'Base stats'!B:B,'Base stats'!H:H)&gt;=15,3,IF(_xlfn.XLOOKUP(B396,'Base stats'!B:B,'Base stats'!H:H)&gt;=10,2,1)))),"Immortal")</f>
        <v>25</v>
      </c>
      <c r="AS396" s="35">
        <f>IFERROR(IF(OR(_xlfn.XLOOKUP(B396,'Base stats'!B:B,'Base stats'!F:F)="Atypical reproduction",_xlfn.XLOOKUP(B396,'Base stats'!B:B,'Base stats'!F:F)="Lay eggs"),"Lay eggs",MIN(20,MAX(5.5,ROUND(((_xlfn.XLOOKUP(B396,'Base stats'!B:B,'Base stats'!F:F)-25)*(14.5/615) + 5.5)*2,0)/2))),"Unknown")</f>
        <v>16</v>
      </c>
      <c r="AT396" s="8">
        <f>IF(_xlfn.XLOOKUP(B396,'Base stats'!B:B,'Base stats'!G:G)="Atypical reproduction","No",IFERROR(MAX(IF(_xlfn.XLOOKUP(B396,'Base stats'!B:B,'Base stats'!G:G)&lt;0.5,0.2,0.3),MROUND(_xlfn.XLOOKUP(B396,'Base stats'!B:B,'Base stats'!G:G)/(365/60),0.2)),"Unknown"))</f>
        <v>0.60000000000000009</v>
      </c>
      <c r="AU396" s="8">
        <f t="shared" si="50"/>
        <v>0.30000000000000004</v>
      </c>
      <c r="AV396" s="8">
        <f>IFERROR(IFERROR(MROUND(_xlfn.XLOOKUP(B396,'Base stats'!B:B,'Base stats'!J:J),0.1),"Lay eggs"),"Cannot breed")</f>
        <v>1</v>
      </c>
      <c r="AW396" s="2" t="str">
        <f t="shared" si="51"/>
        <v>true</v>
      </c>
      <c r="AX396" s="2" t="str">
        <f>IF(_xlfn.XLOOKUP(_xlfn.XLOOKUP(Animals!B396,'Base stats'!B:B,'Base stats'!E:E),Groups!A:A,Groups!AK:AK)=1,"true","false")</f>
        <v>true</v>
      </c>
      <c r="AY396" s="25" t="str">
        <f>IF(_xlfn.XLOOKUP(B396,'Base stats'!B:B,'Base stats'!Y:Y)="Liquor","Liquor, CarnivoreAnimalStrict",IF(AND(_xlfn.XLOOKUP(B396,'Base stats'!B:B,'Base stats'!Y:Y)="Carnivore",_xlfn.XLOOKUP(_xlfn.XLOOKUP(B396,'Base stats'!B:B,'Base stats'!E:E),Groups!A:A,Groups!AJ:AJ)="Photonozoa"),"CarnivoreAnimalStrict, OvivoreAnimal",IF(_xlfn.XLOOKUP(B396,'Base stats'!B:B,'Base stats'!Y:Y)="Carnivore","CarnivoreAnimal, OvivoreAnimal",IF(_xlfn.XLOOKUP(B396,'Base stats'!B:B,'Base stats'!Y:Y)="Dendrovore","VegetarianRoughAnimal, DendrovoreAnimal",IF(_xlfn.XLOOKUP(B396,'Base stats'!B:B,'Base stats'!Y:Y)="Herbivore","VegetarianRoughAnimal",IF(_xlfn.XLOOKUP(B396,'Base stats'!B:B,'Base stats'!Y:Y)="OmnivoreRough","OmnivoreRoughAnimal, OvivoreAnimal","OmnivoreAnimal, OvivoreAnimal"))))))</f>
        <v>VegetarianRoughAnimal</v>
      </c>
      <c r="AZ396" s="2">
        <f>IF(_xlfn.XLOOKUP(_xlfn.XLOOKUP(B396,'Base stats'!B:B,'Base stats'!E:E),Groups!A:A,Groups!D:D)=1,MROUND((1-J396)*5+1,2)*IF(J396&lt;=0.4,2,1),"No")</f>
        <v>2</v>
      </c>
      <c r="BA396" s="2" t="str">
        <f>IF(AND(_xlfn.XLOOKUP(B396,'Base stats'!B:B,'Base stats'!AH:AH)="&lt;li&gt;Seal&lt;/li&gt;",G396="Odyssey"),"&lt;li&gt;AEXP_Seal&lt;/li&gt;",_xlfn.XLOOKUP(B396,'Base stats'!B:B,'Base stats'!AH:AH))</f>
        <v>No</v>
      </c>
      <c r="BB396" s="2" t="str">
        <f>_xlfn.XLOOKUP(B396,'Base stats'!B:B,'Base stats'!AG:AG)</f>
        <v>Leather_Plain</v>
      </c>
      <c r="BC396" s="23" t="str">
        <f>_xlfn.XLOOKUP(_xlfn.XLOOKUP(B396,'Base stats'!B:B,'Base stats'!E:E),Groups!A:A,Groups!AL:AL)</f>
        <v>QuadrupedAnimalWithHooves</v>
      </c>
      <c r="BD396" s="23">
        <f>MIN(1,MROUND(IF(AND(AO396&lt;0.5,_xlfn.XLOOKUP(B396,'Base stats'!B:B,'Base stats'!AA:AA)=0),0,IF(OR(_xlfn.XLOOKUP(Animals!B396,'Base stats'!B:B,'Base stats'!O:O)=2,_xlfn.XLOOKUP(_xlfn.XLOOKUP(B396,'Base stats'!B:B,'Base stats'!E:E),Groups!A:A,Groups!AN:AN)=0),0,_xlfn.XLOOKUP(_xlfn.XLOOKUP(B396,'Base stats'!B:B,'Base stats'!E:E),Groups!A:A,Groups!AN:AN)/IF(_xlfn.XLOOKUP(Animals!B396,'Base stats'!B:B,'Base stats'!O:O)=1,2,1)))+_xlfn.XLOOKUP(B396,'Base stats'!B:B,'Base stats'!AC:AC),0.005))</f>
        <v>0</v>
      </c>
      <c r="BE396" s="23">
        <f>MIN(1,MROUND(IF(AND(AO396&lt;0.5,_xlfn.XLOOKUP(B396,'Base stats'!B:B,'Base stats'!AA:AA)=0),0,IF(_xlfn.XLOOKUP(_xlfn.XLOOKUP(B396,'Base stats'!B:B,'Base stats'!E:E),Groups!A:A,Groups!AO:AO)=0,0,_xlfn.XLOOKUP(_xlfn.XLOOKUP(B396,'Base stats'!B:B,'Base stats'!E:E),Groups!A:A,Groups!AO:AO)/IF(_xlfn.XLOOKUP(Animals!B396,'Base stats'!B:B,'Base stats'!O:O)=2,3,1)))+_xlfn.XLOOKUP(B396,'Base stats'!B:B,'Base stats'!AD:AD),0.005))</f>
        <v>0</v>
      </c>
      <c r="BF396" s="2" t="str">
        <f>IF(J396&gt;0.3,"No",_xlfn.XLOOKUP(_xlfn.XLOOKUP(Animals!B396,'Base stats'!B:B,'Base stats'!E:E),Groups!A:A,Groups!AP:AP))</f>
        <v>No</v>
      </c>
      <c r="BG396" s="2" t="str">
        <f>IF(AND(J396&lt;=0.65,_xlfn.XLOOKUP(_xlfn.XLOOKUP(Animals!B396,'Base stats'!B:B,'Base stats'!E:E),Groups!A:A,Groups!AP:AP)&lt;&gt;"No",_xlfn.XLOOKUP(_xlfn.XLOOKUP(B396,'Base stats'!B:B,'Base stats'!E:E),Groups!A:A,Groups!D:D)=0),MROUND((80/3)*IF(_xlfn.XLOOKUP(B396,'Base stats'!B:B,'Base stats'!O:O)=2,0.2,AO396) + 24*(1-IF(BF396="No",0,BF396)) + 16/3, 12),"No")</f>
        <v>No</v>
      </c>
      <c r="BH396" s="2">
        <f>IF(AND(_xlfn.XLOOKUP(_xlfn.XLOOKUP(B396,'Base stats'!B:B,'Base stats'!E:E),Groups!A:A,Groups!AQ:AQ)=1,AO396&lt;=0.35),8,12)</f>
        <v>12</v>
      </c>
      <c r="BI396" s="2" t="str">
        <f>IF(_xlfn.XLOOKUP(_xlfn.XLOOKUP(B396,'Base stats'!B:B,'Base stats'!E:E),Groups!A:A,Groups!D:D)=0,_xlfn.XLOOKUP(_xlfn.XLOOKUP(B396,'Base stats'!B:B,'Base stats'!E:E),Groups!A:A,Groups!AR:AR),"None")</f>
        <v>None</v>
      </c>
      <c r="BJ396" s="2" t="str">
        <f>IF(AND(_xlfn.XLOOKUP(_xlfn.XLOOKUP(B396,'Base stats'!B:B,'Base stats'!E:E),Groups!A:A,Groups!AS:AS)=1,OR(_xlfn.XLOOKUP(B396,'Base stats'!B:B,'Base stats'!Y:Y)="Carnivore",_xlfn.XLOOKUP(B396,'Base stats'!B:B,'Base stats'!Y:Y)="Omnivore")),"true","false")</f>
        <v>false</v>
      </c>
      <c r="BK396" s="2" t="str">
        <f>IF(BJ396="true",MROUND(IF(AND(AO396&gt;0.5,OR(_xlfn.XLOOKUP(_xlfn.XLOOKUP(B396,'Base stats'!B:B,'Base stats'!E:E),Groups!A:A,Groups!AJ:AJ)="Photonozoa",_xlfn.XLOOKUP(_xlfn.XLOOKUP(B396,'Base stats'!B:B,'Base stats'!E:E),Groups!A:A,Groups!AJ:AJ)="Mammal")),Animals!AO396*1.75*IF(AW396="true",1.5,1),IF(AO396&lt;0.5,Animals!AO396*0.5,Animals!AO396)),IF(AO396&gt;2,0.5,IF(AO396&gt;0.5,0.25,0.1))),"No")</f>
        <v>No</v>
      </c>
      <c r="BL396" s="2">
        <f t="shared" si="52"/>
        <v>0</v>
      </c>
      <c r="BM396" s="25" t="str">
        <f>IF(_xlfn.XLOOKUP(B396,'Base stats'!B:B,'Base stats'!AN:AN)="Standard","No",MROUND((_xlfn.XLOOKUP(B396,'Base stats'!B:B,'Base stats'!AN:AN)/3.6)/I396,0.1))</f>
        <v>No</v>
      </c>
      <c r="BN396" s="25" t="str">
        <f t="shared" si="53"/>
        <v>false</v>
      </c>
      <c r="BO396" s="25" t="str">
        <f>IF(AND(OR(_xlfn.XLOOKUP(B396,'Base stats'!B:B,'Base stats'!Y:Y)="Carnivore",_xlfn.XLOOKUP(B396,'Base stats'!B:B,'Base stats'!Y:Y)="Omnivore",_xlfn.XLOOKUP(B396,'Base stats'!B:B,'Base stats'!Y:Y)="OmnivoreRough"),_xlfn.XLOOKUP(_xlfn.XLOOKUP(B396,'Base stats'!B:B,'Base stats'!E:E),Groups!A:A,Groups!AT:AT)=1),"true","false")</f>
        <v>false</v>
      </c>
      <c r="BP396" s="25" t="str" cm="1">
        <f t="array" ref="BP396">IF(
  _xlfn.TEXTJOIN(", ",TRUE,
    IF(AND(BJ396="true",AO396&gt;0.5,BI396&lt;&gt;"None"),"AttackTarget",""),
    IF(AND(_xlfn.XLOOKUP(_xlfn.XLOOKUP(B396,'Base stats'!B:B,'Base stats'!E:E),Groups!A:A,Groups!AJ:AJ="Mammal"),OR(_xlfn.XLOOKUP(B396,'Base stats'!B:B,'Base stats'!Y:Y)="Omnivore",_xlfn.XLOOKUP(B396,'Base stats'!B:B,'Base stats'!Y:Y)="OmnivoreRough")),"Forage",""),
    IF(BG396&lt;=36,"Comfort",""),
    IF(_xlfn.XLOOKUP(B396,'Base stats'!B:B,'Base stats'!AE:AE)&lt;&gt;"No",_xlfn.XLOOKUP(B396,'Base stats'!B:B,'Base stats'!AE:AE),"")
  ) = "",
  "No",
  _xlfn.TEXTJOIN(", ",TRUE,
    IF(AND(BJ396="true",AO396&gt;0.5,BI396&lt;&gt;"None"),"AttackTarget",""),
    IF(AND(_xlfn.XLOOKUP(_xlfn.XLOOKUP(B396,'Base stats'!B:B,'Base stats'!E:E),Groups!A:A,Groups!AJ:AJ="Mammal"),OR(_xlfn.XLOOKUP(B396,'Base stats'!B:B,'Base stats'!Y:Y)="Omnivore",_xlfn.XLOOKUP(B396,'Base stats'!B:B,'Base stats'!Y:Y)="OmnivoreRough")),"Forage",""),
    IF(BG396&lt;=36,"Comfort",""),
    IF(_xlfn.XLOOKUP(B396,'Base stats'!B:B,'Base stats'!AE:AE)&lt;&gt;"No",_xlfn.XLOOKUP(B396,'Base stats'!B:B,'Base stats'!AE:AE),"")
  )
)</f>
        <v>No</v>
      </c>
      <c r="BQ396" s="25" t="str">
        <f>IF(
   AND(
      'Base stats'!AN396="Standard",_xlfn.XLOOKUP(_xlfn.XLOOKUP(B396,'Base stats'!B:B,'Base stats'!E:E),Groups!A:A,Groups!AU:AU)=0,
      OR(
      BO396="True"
      )
   ),
   10,
   IF(
       OR(BM396&lt;&gt;"No",_xlfn.XLOOKUP(_xlfn.XLOOKUP(B396,'Base stats'!B:B,'Base stats'!E:E),Groups!A:A,Groups!AU:AU)=1),
      1,
      "No"
   )
)</f>
        <v>No</v>
      </c>
      <c r="BR396" s="9">
        <f>MROUND((1 + ((0.2*IF(OR(Q396="No",R396="No",R396=0),0,Q396/R396)
+IF(OR(V396="No",S396="No",T396="No"),0,S396/T396*(LEN(V396)-LEN(SUBSTITUTE(V396,",",""))+1))
+IF(OR(X396="No",Y396="No"),0,X396/Y396)
+IF(OR(AD396="No",AE396="No"),0,AD396/AE396)
+IF(OR(AL396="No",AI396="No",AJ396="No"),0,AI396/AJ396*(LEN(AL396)-LEN(SUBSTITUTE(AL396,",",""))+1))
)/(0.2*IF(OR(Q396="No",R396="No",R396=0),0,1)
+IF(OR(V396="No",S396="No",T396="No"),0,LEN(V396)-LEN(SUBSTITUTE(V396,",",""))+1)
+IF(OR(X396="No",Y396="No"),0,1)
+IF(OR(AD396="No",AE396="No"),0,1)
+IF(OR(AL396="No",AI396="No",AJ396="No"),0,LEN(AL396)-LEN(SUBSTITUTE(AL396,",",""))+1))*62%)* 2)*(1 + (AP396 / (IF(_xlfn.XLOOKUP(_xlfn.XLOOKUP(B396,'Base stats'!B:B,'Base stats'!E:E),Groups!A:A,Groups!AJ:AJ)="Photonozoa",0.3,1)) + _xlfn.XLOOKUP(B396,'Base stats'!B:B,'Base stats'!AV:AV) * 1.8) * 2) * 2.5 + 10 + I396 * 2,5)+IF(_xlfn.XLOOKUP(B396,'Base stats'!B:B,'Base stats'!AK:AK)=1,50,0)</f>
        <v>245</v>
      </c>
      <c r="BS396" s="8">
        <f t="shared" si="54"/>
        <v>2.1</v>
      </c>
      <c r="BT396" s="8" t="str">
        <f>_xlfn.XLOOKUP(B396,'Base stats'!B:B,'Base stats'!AF:AF)</f>
        <v>2~6</v>
      </c>
      <c r="BU396" s="2" t="str">
        <f>IF(AND(J396&lt;=0.95,OR(_xlfn.XLOOKUP(B396,'Base stats'!B:B,'Base stats'!AK:AK)=1,_xlfn.XLOOKUP(B396,'Base stats'!B:B,'Base stats'!Y:Y)="Carnivore",_xlfn.XLOOKUP(B396,'Base stats'!B:B,'Base stats'!Y:Y)="Omnivore",BE396&gt;0.1)),"true","false")</f>
        <v>false</v>
      </c>
      <c r="BV396" s="2" t="str">
        <f>IF(_xlfn.XLOOKUP(B396,'Base stats'!B:B,'Base stats'!AI:AI)=1,"true","false")</f>
        <v>false</v>
      </c>
      <c r="BW396" s="25" t="str">
        <f>IF(E396="BaseInsect","AnimalInsect",
IF(J396&gt;0.95,"AnimalExotic",
_xlfn.TEXTJOIN(", ",TRUE,
IF(OR(_xlfn.XLOOKUP(B396,'Base stats'!B:B,'Base stats'!AM:AM)=1,AND(_xlfn.XLOOKUP(B396,'Base stats'!B:B,'Base stats'!O:O)=0,_xlfn.XLOOKUP(_xlfn.XLOOKUP(B396,'Base stats'!B:B,'Base stats'!E:E),Groups!A:A,Groups!B:B)&gt;0)),"AnimalUncommon","AnimalCommon"),
IF(AND(_xlfn.XLOOKUP(B396,'Base stats'!B:B,'Base stats'!O:O)=2,_xlfn.XLOOKUP(_xlfn.XLOOKUP(B396,'Base stats'!B:B,'Base stats'!E:E),Groups!A:A,Groups!D:D)=0),"AnimalPet",IF(AND(_xlfn.XLOOKUP(B396,'Base stats'!B:B,'Base stats'!O:O)&lt;&gt;0,_xlfn.XLOOKUP(_xlfn.XLOOKUP(B396,'Base stats'!B:B,'Base stats'!E:E),Groups!A:A,Groups!D:D)&lt;&gt;0),"AnimalFarm","")),
IF(OR(_xlfn.XLOOKUP(B396,'Base stats'!B:B,'Base stats'!AK:AK)=1,AND(BI396&lt;&gt;"None",BR396&gt;=60),ISNUMBER(SEARCH("Attack target",BP396))),"AnimalFighter","")
)))</f>
        <v>AnimalUncommon</v>
      </c>
      <c r="BX396" s="25" t="str">
        <f>IF(G396="None",TRIM(
SUBSTITUTE(
IF(COUNTIF(Biomes!B$2:B$259,"="&amp;$C396)&gt;0,Biomes!B$1&amp;", ","")&amp;
IF(COUNTIF(Biomes!C$2:C$259,"="&amp;$C396)&gt;0,Biomes!C$1&amp;", ","")&amp;
IF(COUNTIF(Biomes!D$2:D$259,"="&amp;$C396)&gt;0,Biomes!D$1&amp;", ","")&amp;
IF(COUNTIF(Biomes!F$2:F$259,"="&amp;$C396)&gt;0,Biomes!F$1&amp;", ","")&amp;
IF(COUNTIF(Biomes!G$2:G$259,"="&amp;$C396)&gt;0,Biomes!G$1&amp;", ","")&amp;
IF(COUNTIF(Biomes!H$2:H$259,"="&amp;$C396)&gt;0,Biomes!H$1&amp;", ","")&amp;
IF(COUNTIF(Biomes!I$2:I$259,"="&amp;$C396)&gt;0,Biomes!I$1&amp;", ","")&amp;
IF(COUNTIF(Biomes!J$2:J$259,"="&amp;$C396)&gt;0,Biomes!J$1&amp;", ","")&amp;
IF(COUNTIF(Biomes!M$2:M$259,"="&amp;$C396)&gt;0,Biomes!M$1&amp;", ","")&amp;
IF(COUNTIF(Biomes!N$2:N$259,"="&amp;$C396)&gt;0,Biomes!N$1&amp;", ","")&amp;
IF(COUNTIF(Biomes!O$2:O$259,"="&amp;$C396)&gt;0,Biomes!O$1&amp;", ","")&amp;
IF(COUNTIF(Biomes!P$2:P$259,"="&amp;$C396)&gt;0,Biomes!P$1&amp;", ","")&amp;
IF(COUNTIF(Biomes!K$2:K$259,"="&amp;$C396)&gt;0,Biomes!K$1&amp;", ","")&amp;
IF(COUNTIF(Biomes!Q$3:Q$259,"="&amp;$C396)&gt;0,Biomes!Q$1&amp;", ","")&amp;
IF(COUNTIF(Biomes!L$2:L$259,"="&amp;$C396)&gt;0,Biomes!L$1&amp;", ","")&amp;
IF(COUNTIF(Biomes!E$2:E$259,"="&amp;$C396)&gt;0,Biomes!E$1&amp;", ","")&amp;IF(COUNTIF(Biomes!S$2:S$259,"="&amp;$C396)&gt;0,Biomes!S$1&amp;", ","")&amp;
IF(COUNTIF(Biomes!R$2:R$259,"="&amp;$C396)&gt;0,Biomes!R$1&amp;", ",""),", ","")
),_xlfn.XLOOKUP(B396,B:B,BX:BX))</f>
        <v/>
      </c>
      <c r="BY396" s="25" t="str">
        <f>IF(_xlfn.XLOOKUP(B396,'Base stats'!B:B,'Base stats'!AJ:AJ)=1,"true","false")</f>
        <v>false</v>
      </c>
      <c r="BZ396" s="25">
        <f>IF(_xlfn.XLOOKUP(B396,'Base stats'!B:B,'Base stats'!N:N)=1,"No",MAX(0.001,MIN(MROUND(IF(AND(BJ396="True",CC396="False"),POWER(10,3.47*LOG10(_xlfn.XLOOKUP(B396,'Base stats'!B:B,'Base stats'!C:C)*1000)^-0.96),POWER(10,4.15*LOG10(_xlfn.XLOOKUP(B396,'Base stats'!B:B,'Base stats'!C:C)*1000)^-0.73))*IF(_xlfn.XLOOKUP(B396,'Base stats'!B:B,'Base stats'!AK:AK)=1,0.5,1)*IF(_xlfn.XLOOKUP(B396,'Base stats'!B:B,'Base stats'!AM:AM)=1,0.1,1)/100,IF(_xlfn.XLOOKUP(B396,'Base stats'!B:B,'Base stats'!AM:AM)=1,0.001,0.025)),0.5)))</f>
        <v>0.125</v>
      </c>
      <c r="CA396" s="25" t="str">
        <f>IF(P396="Standard","No",MAX(0.001,MIN(MROUND(IF(AND(BJ396="True",CC396="False"),POWER(10,3.47*LOG10(_xlfn.XLOOKUP(B396,'Base stats'!B:B,'Base stats'!C:C)*1000)^-0.96),POWER(10,4.15*LOG10(_xlfn.XLOOKUP(B396,'Base stats'!B:B,'Base stats'!C:C)*1000)^-0.73))*IF(_xlfn.XLOOKUP(B396,'Base stats'!B:B,'Base stats'!AM:AM)=1,0.1,1)*_xlfn.XLOOKUP(B396,'Base stats'!B:B,'Base stats'!R:R)/100,IF(_xlfn.XLOOKUP(B396,'Base stats'!B:B,'Base stats'!AM:AM)=1,0.001,0.025)),0.5)))</f>
        <v>No</v>
      </c>
      <c r="CB396" s="25" t="str">
        <f>IF(_xlfn.XLOOKUP(_xlfn.XLOOKUP(B396,'Base stats'!B:B,'Base stats'!E:E),Groups!A:A,Groups!AJ:AJ)="Mammal","True","False")</f>
        <v>True</v>
      </c>
      <c r="CC396" s="25" t="str">
        <f>IF(OR(_xlfn.XLOOKUP(_xlfn.XLOOKUP(B396,'Base stats'!B:B,'Base stats'!E:E),Groups!A:A,Groups!AJ:AJ)="Reptile",_xlfn.XLOOKUP(_xlfn.XLOOKUP(B396,'Base stats'!B:B,'Base stats'!E:E),Groups!A:A,Groups!AJ:AJ)="Amphibian",_xlfn.XLOOKUP(_xlfn.XLOOKUP(B396,'Base stats'!B:B,'Base stats'!E:E),Groups!A:A,Groups!AJ:AJ)="Invertebrate"),"True","False")</f>
        <v>False</v>
      </c>
      <c r="CD396" s="25" t="str">
        <f t="shared" si="55"/>
        <v>False</v>
      </c>
      <c r="CE396" s="25" t="str">
        <f>IF(_xlfn.XLOOKUP(_xlfn.XLOOKUP(B396,'Base stats'!B:B,'Base stats'!E:E),Groups!A:A,Groups!AX:AX),"True","False")</f>
        <v>False</v>
      </c>
      <c r="CF396" s="25" t="str">
        <f>IF(_xlfn.XLOOKUP(_xlfn.XLOOKUP(B396,'Base stats'!B:B,'Base stats'!E:E),Groups!A:A,Groups!AY:AY),"True","False")</f>
        <v>False</v>
      </c>
      <c r="CG396" s="25" t="str">
        <f>IF(_xlfn.XLOOKUP(_xlfn.XLOOKUP(B396,'Base stats'!B:B,'Base stats'!E:E),Groups!A:A,Groups!AW:AW),"True","False")</f>
        <v>False</v>
      </c>
      <c r="CH396" s="25" t="str">
        <f>IF(
OR(
_xlfn.XLOOKUP(_xlfn.XLOOKUP(B396,'Base stats'!B:B,'Base stats'!E:E),Groups!A:A,Groups!AZ:AZ)=0,
AND(
_xlfn.XLOOKUP(B396,'Base stats'!B:B,'Base stats'!Y:Y)&lt;&gt;"Carnivore",
_xlfn.XLOOKUP(B396,'Base stats'!B:B,'Base stats'!Y:Y)&lt;&gt;"Omnivore",
_xlfn.XLOOKUP(B396,'Base stats'!B:B,'Base stats'!Y:Y)&lt;&gt;"OmnivoreRough"
)
),
"No",
IF(
_xlfn.XLOOKUP(_xlfn.XLOOKUP(B396,'Base stats'!B:B,'Base stats'!E:E),Groups!A:A,Groups!AZ:AZ)=1,
"Flesh",
IF(
_xlfn.XLOOKUP(_xlfn.XLOOKUP(B396,'Base stats'!B:B,'Base stats'!E:E),Groups!A:A,Groups!AZ:AZ)=2,
"Bone",
""
)
)
)</f>
        <v>No</v>
      </c>
      <c r="CI396" s="25" t="str">
        <f>IF(_xlfn.XLOOKUP(_xlfn.XLOOKUP(B396,'Base stats'!B:B,'Base stats'!E:E),Groups!A:A,Groups!BB:BB),"True","False")</f>
        <v>True</v>
      </c>
      <c r="CJ396" s="25" t="str">
        <f>IF(_xlfn.XLOOKUP(_xlfn.XLOOKUP(B396,'Base stats'!B:B,'Base stats'!E:E),Groups!A:A,Groups!BA:BA),"True","False")</f>
        <v>False</v>
      </c>
    </row>
    <row r="397" spans="1:88" ht="16.5" thickTop="1" thickBot="1" x14ac:dyDescent="0.3">
      <c r="A397" s="26" t="s">
        <v>2086</v>
      </c>
      <c r="B397" s="6" t="str">
        <f>_xlfn.XLOOKUP(A397,'Base stats'!A:A,'Base stats'!B:B)</f>
        <v>Andrewsarchus mongoliensis</v>
      </c>
      <c r="C397" s="28" t="str">
        <f t="shared" si="56"/>
        <v>&lt;li&gt;Andrewsarchus&lt;/li&gt;</v>
      </c>
      <c r="D397" s="28" t="s">
        <v>2126</v>
      </c>
      <c r="E397" s="28" t="s">
        <v>673</v>
      </c>
      <c r="F397" s="28" t="s">
        <v>673</v>
      </c>
      <c r="G397" s="28" t="s">
        <v>673</v>
      </c>
      <c r="H397" s="2">
        <f>MROUND((
  (IF(AND(_xlfn.XLOOKUP(B397,'Base stats'!B:B,'Base stats'!AL:AL)=0,BI397="None",_xlfn.XLOOKUP(_xlfn.XLOOKUP(B397,'Base stats'!B:B,'Base stats'!E:E),Groups!A:A,Groups!B:B)=0), (18 + BR397 * 2.7) * 0.5,
    IF(AND(_xlfn.XLOOKUP(B397,'Base stats'!B:B,'Base stats'!AL:AL)=0,OR(AO397&lt;0.55,AND(BI397="Intermediate",_xlfn.XLOOKUP(_xlfn.XLOOKUP(B397,'Base stats'!B:B,'Base stats'!E:E),Groups!A:A,Groups!B:B)&lt;2))), (18 + BR397 * 2.7),
      IF(OR(BI397="Advanced",_xlfn.XLOOKUP(B397,'Base stats'!B:B,'Base stats'!AL:AL)=1,_xlfn.XLOOKUP(_xlfn.XLOOKUP(B397,'Base stats'!B:B,'Base stats'!E:E),Groups!A:A,Groups!B:B)=2), (18 + BR397 * 2.7) + 250, (18 + BR397 * 2.7))
    )
  ))
  + AO397 * 80
  + IF(COUNTIF(EggMilk!K$2:K$998, A397) &gt; 0, 125, 0)
  + IF(COUNTIF(EggMilk!P$2:P$998, A397) &gt; 0, 90, 0)
  + IF(COUNTIF(EggMilk!A$2:A$998, A397) &gt; 0, 90, 0)
)
* (0.8 + 0.4 * J397)
* 0.75,25)</f>
        <v>1075</v>
      </c>
      <c r="I397" s="2">
        <f>MROUND(ROUNDDOWN(_xlfn.XLOOKUP(B397,'Base stats'!B:B,'Base stats'!L:L)/3.6/(23.3/11),1),0.5)</f>
        <v>5</v>
      </c>
      <c r="J397" s="2">
        <f>IF(OR(_xlfn.XLOOKUP(B397,'Base stats'!B:B,'Base stats'!AB:AB)=1,_xlfn.XLOOKUP(_xlfn.XLOOKUP(B397,'Base stats'!B:B,'Base stats'!E:E),Groups!A:A,Groups!C:C)="Untamable"),1,IF(_xlfn.XLOOKUP(B397,'Base stats'!B:B,'Base stats'!AL:AL)=1,0.99,MIN(MROUND((1-0.6282*EXP(-0.459*AO397))*_xlfn.XLOOKUP(_xlfn.XLOOKUP(B397,'Base stats'!B:B,'Base stats'!E:E),Groups!A:A,Groups!C:C)*IF(_xlfn.XLOOKUP(B397,'Base stats'!B:B,'Base stats'!O:O)=1,0.5,IF(_xlfn.XLOOKUP(B397,'Base stats'!B:B,'Base stats'!O:O)=2,0,1)),0.05),IF(AO397&gt;3.5,0.985,0.95))))</f>
        <v>0.85000000000000009</v>
      </c>
      <c r="K397" s="2">
        <f>ROUNDUP(AO397*_xlfn.XLOOKUP(_xlfn.XLOOKUP(B397,'Base stats'!B:B,'Base stats'!E:E),Groups!A:A,Groups!E:E),0)</f>
        <v>18</v>
      </c>
      <c r="L397" s="2">
        <f>IF(OR(_xlfn.XLOOKUP(_xlfn.XLOOKUP(B397,'Base stats'!B:B,'Base stats'!E:E),Groups!A:A,Groups!F:F)=2,ISNUMBER(SEARCH("SeaIce",BX397)),ISNUMBER(SEARCH("IceSheet",BX397))),-50,IF(OR(ISNUMBER(SEARCH("GlacialPlain",BX397)),ISNUMBER(SEARCH("Tundra",BX397))),-40,IF(OR(ISNUMBER(SEARCH("Alpine",BX397)),ISNUMBER(SEARCH("BorealForest",BX397)),ISNUMBER(SEARCH("ColdBog",BX397))),-30,IF(OR(ISNUMBER(SEARCH("TemperateForest",BX397)),ISNUMBER(SEARCH("TemperateSwamp",BX397))),-20,IF(_xlfn.XLOOKUP(_xlfn.XLOOKUP(B397,'Base stats'!B:B,'Base stats'!E:E),Groups!A:A,Groups!F:F)=1,-15,IF(OR(ISNUMBER(SEARCH("Desert",BX397)),ISNUMBER(SEARCH("ExtremeDesert",BX397))),-10,IF(OR(ISNUMBER(SEARCH("Grasslands",BX397)),ISNUMBER(SEARCH("TropicalRainforest",BX397)),ISNUMBER(SEARCH("TropicalSwamp",BX397))),10,0)))))))-IF(CC397="False",MIN(IFERROR(MAX(MROUND(LOG10(_xlfn.XLOOKUP(B397,'Base stats'!B:B,'Base stats'!C:C)^(2/3))*10,5),5),5),30))-_xlfn.XLOOKUP(B397,'Base stats'!B:B,'Base stats'!P:P)+IF(CC397="True",5,0)</f>
        <v>-20</v>
      </c>
      <c r="M397" s="2">
        <f>IF(OR(_xlfn.XLOOKUP(_xlfn.XLOOKUP(B397,'Base stats'!B:B,'Base stats'!E:E),Groups!A:A,Groups!G:G)=2,ISNUMBER(SEARCH("Desert",BX397)),ISNUMBER(SEARCH("ExtremeDesert",BX397)),ISNUMBER(SEARCH("LavaField",BX397))),50,IF(ISNUMBER(SEARCH("Grasslands",BX397)),45,IF(OR(_xlfn.XLOOKUP(_xlfn.XLOOKUP(B397,'Base stats'!B:B,'Base stats'!E:E),Groups!A:A,Groups!G:G)=1,ISNUMBER(SEARCH("TropicalRainforest",BX397)),ISNUMBER(SEARCH("TropicalSwamp",BX397))),40,IF(OR(ISNUMBER(SEARCH("TemperateForest",BX397)),ISNUMBER(SEARCH("TemperateSwamp",BX397))),35,IF(OR(ISNUMBER(SEARCH("Alpine",BX397)),ISNUMBER(SEARCH("BorealForest",BX397)),ISNUMBER(SEARCH("ColdBog",BX397))),30,IF(ISNUMBER(OR(ISNUMBER(SEARCH("GlacialPlain",BX397)),SEARCH("Tundra",BX397))),25,IF(OR(ISNUMBER(SEARCH("SeaIce",BX397)),ISNUMBER(SEARCH("IceSheet",BX397)),ISNUMBER(SEARCH("TropicalSwamp",BX397))),10,35)))))))+_xlfn.XLOOKUP(B397,'Base stats'!B:B,'Base stats'!Q:Q)</f>
        <v>35</v>
      </c>
      <c r="N397" s="8" t="str">
        <f>IF(
_xlfn.XLOOKUP(
_xlfn.XLOOKUP(B397,'Base stats'!B:B,'Base stats'!E:E),
Groups!A:A,
Groups!L:L
)=1,
MIN(
MROUND(
IF(
_xlfn.XLOOKUP(B397,'Animals CE'!B:B,'Animals CE'!Z:Z)&lt;=1.5,
_xlfn.XLOOKUP(B397,'Animals CE'!B:B,'Animals CE'!Z:Z)/2+0.05,
0.8+
(_xlfn.XLOOKUP(B397,'Animals CE'!B:B,'Animals CE'!Z:Z)-1.5)
*0.02
),
0.05
),
200%
),
"No"
)</f>
        <v>No</v>
      </c>
      <c r="O397" s="8" t="str">
        <f>IF(
_xlfn.XLOOKUP(
_xlfn.XLOOKUP(B397,'Base stats'!B:B,'Base stats'!E:E),
Groups!A:A,
Groups!L:L
)=1,
MIN(
MROUND(
IF(
_xlfn.XLOOKUP(B397,'Animals CE'!B:B,'Animals CE'!AA:AA)&lt;=1.5,
_xlfn.XLOOKUP(B397,'Animals CE'!B:B,'Animals CE'!AA:AA)/2+0.05,
0.8+
(_xlfn.XLOOKUP(B397,'Animals CE'!B:B,'Animals CE'!AA:AA)-1.5)
*0.02
),
0.05
),
200%
),
"No"
)</f>
        <v>No</v>
      </c>
      <c r="P397" s="2" t="str">
        <f>_xlfn.XLOOKUP(B397,'Base stats'!B:B,'Base stats'!R:R)</f>
        <v>Standard</v>
      </c>
      <c r="Q397" s="13">
        <f>MROUND((LOG10(_xlfn.XLOOKUP(B397,'Base stats'!B:B,'Base stats'!AR:AR))*(AO397^0.5)+(_xlfn.XLOOKUP(B397,'Base stats'!B:B,'Base stats'!AR:AR)/1000)^(2/3)+_xlfn.XLOOKUP(B397,'Base stats'!B:B,'Base stats'!BA:BA)/2)+0.5,0.5)</f>
        <v>20.5</v>
      </c>
      <c r="R397" s="7">
        <f>IF(Q397="No","No",MAX(1,MROUND(_xlfn.XLOOKUP(B397,'Base stats'!B:B,'Base stats'!C:C)^0.165,0.05)))</f>
        <v>3.1500000000000004</v>
      </c>
      <c r="S397" s="13" t="str">
        <f>IF(_xlfn.XLOOKUP(_xlfn.XLOOKUP(B397,'Base stats'!B:B,'Base stats'!E:E),Groups!A:A,Groups!P:P)=0,"No",MROUND((LOG10(_xlfn.XLOOKUP(B397,'Base stats'!B:B,'Base stats'!AS:AS))*(AO397^0.5)+(_xlfn.XLOOKUP(B397,'Base stats'!B:B,'Base stats'!AS:AS)/1000)^(2/3)+_xlfn.XLOOKUP(B397,'Base stats'!B:B,'Base stats'!BA:BA))+_xlfn.XLOOKUP(B397,'Base stats'!B:B,'Base stats'!AY:AY)+0.5,0.5))</f>
        <v>No</v>
      </c>
      <c r="T397" s="7" t="str">
        <f>IF(S397="No","No",MAX(_xlfn.XLOOKUP(_xlfn.XLOOKUP(B397,'Base stats'!B:B,'Base stats'!E:E),Groups!A:A,Groups!Q:Q),MROUND(_xlfn.XLOOKUP(_xlfn.XLOOKUP(B397,'Base stats'!B:B,'Base stats'!E:E),Groups!A:A,Groups!Q:Q)*_xlfn.XLOOKUP(B397,'Base stats'!B:B,'Base stats'!C:C)^0.165,0.05)))</f>
        <v>No</v>
      </c>
      <c r="U397" s="7" t="str">
        <f>IF(S397="No","No",_xlfn.XLOOKUP(_xlfn.XLOOKUP(B397,'Base stats'!B:B,'Base stats'!E:E),Groups!A:A,Groups!R:R))</f>
        <v>No</v>
      </c>
      <c r="V397" s="7" t="str">
        <f>IF(S397="No","No",_xlfn.XLOOKUP(_xlfn.XLOOKUP(B397,'Base stats'!B:B,'Base stats'!E:E),Groups!A:A,Groups!S:S))</f>
        <v>No</v>
      </c>
      <c r="W397" s="7" t="str">
        <f>IF(S397="No","No",_xlfn.XLOOKUP(_xlfn.XLOOKUP(B397,'Base stats'!B:B,'Base stats'!E:E),Groups!A:A,Groups!T:T))</f>
        <v>No</v>
      </c>
      <c r="X397" s="13" t="str">
        <f>IF(_xlfn.XLOOKUP(B397,'Base stats'!B:B,'Base stats'!W:W)="No","No",MROUND((LOG10(_xlfn.XLOOKUP(B397,'Base stats'!B:B,'Base stats'!AU:AU))*(AO397^0.5)+(_xlfn.XLOOKUP(B397,'Base stats'!B:B,'Base stats'!AU:AU)/1000)^(2/3)+_xlfn.XLOOKUP(B397,'Base stats'!B:B,'Base stats'!AZ:AZ))+0.5+IF(_xlfn.XLOOKUP(_xlfn.XLOOKUP(B397,'Base stats'!B:B,'Base stats'!E:E),Groups!A:A,Groups!U:U)&lt;&gt;3,_xlfn.XLOOKUP(B397,'Base stats'!B:B,'Base stats'!BA:BA),0),0.5))</f>
        <v>No</v>
      </c>
      <c r="Y397" s="7" t="str">
        <f>IF(X397="No","No",MAX(_xlfn.XLOOKUP(_xlfn.XLOOKUP(B397,'Base stats'!B:B,'Base stats'!E:E),Groups!A:A,Groups!V:V),MROUND(_xlfn.XLOOKUP(_xlfn.XLOOKUP(B397,'Base stats'!B:B,'Base stats'!E:E),Groups!A:A,Groups!V:V)*_xlfn.XLOOKUP(B397,'Base stats'!B:B,'Base stats'!C:C)^0.165,0.05)))</f>
        <v>No</v>
      </c>
      <c r="Z397" s="7" t="str">
        <f>IF(X397="No","No",_xlfn.XLOOKUP(_xlfn.XLOOKUP(B397,'Base stats'!B:B,'Base stats'!E:E),Groups!A:A,Groups!W:W))</f>
        <v>No</v>
      </c>
      <c r="AA397" s="7" t="str">
        <f>IF(X397="No","No",_xlfn.XLOOKUP(_xlfn.XLOOKUP(B397,'Base stats'!B:B,'Base stats'!E:E),Groups!A:A,Groups!X:X))</f>
        <v>No</v>
      </c>
      <c r="AB397" s="7" t="str">
        <f>IF(X397="No","No",_xlfn.XLOOKUP(_xlfn.XLOOKUP(B397,'Base stats'!B:B,'Base stats'!E:E),Groups!A:A,Groups!Y:Y))</f>
        <v>No</v>
      </c>
      <c r="AC397" s="7" t="str">
        <f>_xlfn.XLOOKUP(Animals!B397,'Base stats'!B:B,'Base stats'!X:X)</f>
        <v>False</v>
      </c>
      <c r="AD397" s="13">
        <f>IF(_xlfn.XLOOKUP(B397,'Base stats'!B:B,'Base stats'!AT:AT)="No","No",MROUND((LOG10(_xlfn.XLOOKUP(B397,'Base stats'!B:B,'Base stats'!AT:AT))*(AO397^0.75)+(_xlfn.XLOOKUP(B397,'Base stats'!B:B,'Base stats'!AT:AT)/1000)^(2/3)+_xlfn.XLOOKUP(B397,'Base stats'!B:B,'Base stats'!AX:AX)+_xlfn.XLOOKUP(B397,'Base stats'!B:B,'Base stats'!BA:BA))+0.5,0.5))</f>
        <v>32.5</v>
      </c>
      <c r="AE397" s="7">
        <f>IF(AD397="No","No",MAX(_xlfn.XLOOKUP(_xlfn.XLOOKUP(B397,'Base stats'!B:B,'Base stats'!E:E),Groups!A:A,Groups!Z:Z),MROUND(_xlfn.XLOOKUP(_xlfn.XLOOKUP(B397,'Base stats'!B:B,'Base stats'!E:E),Groups!A:A,Groups!Z:Z)*_xlfn.XLOOKUP(B397,'Base stats'!B:B,'Base stats'!C:C)^0.165,0.05)))</f>
        <v>3.45</v>
      </c>
      <c r="AF397" s="7" t="str">
        <f>IF(AD397="No","No",_xlfn.XLOOKUP(_xlfn.XLOOKUP(B397,'Base stats'!B:B,'Base stats'!E:E),Groups!A:A,Groups!AA:AA))</f>
        <v>Teeth</v>
      </c>
      <c r="AG397" s="7" t="str">
        <f>IF(AD397="No","No",_xlfn.XLOOKUP(_xlfn.XLOOKUP(B397,'Base stats'!B:B,'Base stats'!E:E),Groups!A:A,Groups!AB:AB))</f>
        <v>teeth</v>
      </c>
      <c r="AH397" s="7" t="str">
        <f>IF(AD397="No","No",_xlfn.XLOOKUP(_xlfn.XLOOKUP(B397,'Base stats'!B:B,'Base stats'!E:E),Groups!A:A,Groups!AC:AC))</f>
        <v>Bite</v>
      </c>
      <c r="AI397" s="13" t="str">
        <f>IF(_xlfn.XLOOKUP(_xlfn.XLOOKUP(B397,'Base stats'!B:B,'Base stats'!E:E),Groups!A:A,Groups!AD:AD)=0,"No",MROUND((LOG10(_xlfn.XLOOKUP(B397,'Base stats'!B:B,'Base stats'!AS:AS))*(AO397^0.75)+(_xlfn.XLOOKUP(B397,'Base stats'!B:B,'Base stats'!AS:AS)/1000)^(2/3)+_xlfn.XLOOKUP(B397,'Base stats'!B:B,'Base stats'!AY:AY)+_xlfn.XLOOKUP(B397,'Base stats'!B:B,'Base stats'!BA:BA))+0.5,0.5))</f>
        <v>No</v>
      </c>
      <c r="AJ397" s="7" t="str">
        <f>IF(AI397="No","No",MAX(_xlfn.XLOOKUP(_xlfn.XLOOKUP(B397,'Base stats'!B:B,'Base stats'!E:E),Groups!A:A,Groups!AE:AE),MROUND(_xlfn.XLOOKUP(_xlfn.XLOOKUP(B397,'Base stats'!B:B,'Base stats'!E:E),Groups!A:A,Groups!AE:AE)*IF(_xlfn.XLOOKUP(_xlfn.XLOOKUP(B397,'Base stats'!B:B,'Base stats'!E:E),Groups!A:A,Groups!AJ:AJ)="Photonozoa",0.6,1)*_xlfn.XLOOKUP(B397,'Base stats'!B:B,'Base stats'!C:C)^0.165,0.05)))</f>
        <v>No</v>
      </c>
      <c r="AK397" s="7" t="str">
        <f>IF(AI397="No","No",_xlfn.XLOOKUP(_xlfn.XLOOKUP(B397,'Base stats'!B:B,'Base stats'!E:E),Groups!A:A,Groups!AF:AF))</f>
        <v>No</v>
      </c>
      <c r="AL397" s="7" t="str">
        <f>IF(AI397="No","No",_xlfn.XLOOKUP(_xlfn.XLOOKUP(B397,'Base stats'!B:B,'Base stats'!E:E),Groups!A:A,Groups!AG:AG))</f>
        <v>No</v>
      </c>
      <c r="AM397" s="7" t="str">
        <f>IF(AI397="No","No",_xlfn.XLOOKUP(_xlfn.XLOOKUP(B397,'Base stats'!B:B,'Base stats'!E:E),Groups!A:A,Groups!AH:AH))</f>
        <v>No</v>
      </c>
      <c r="AN397" s="2" t="str">
        <f t="shared" si="49"/>
        <v>No</v>
      </c>
      <c r="AO397" s="2">
        <f>MROUND(IF(AND(_xlfn.XLOOKUP(B397,'Base stats'!B:B,'Base stats'!C:C)&gt;=0.5,_xlfn.XLOOKUP(B397,'Base stats'!B:B,'Base stats'!C:C)&lt;=0.8),
IF(_xlfn.XLOOKUP(B397,'Base stats'!B:B,'Base stats'!C:C)&lt;0.1,0.05,IF(_xlfn.XLOOKUP(B397,'Base stats'!B:B,'Base stats'!C:C)&lt;=70,(_xlfn.XLOOKUP(B397,'Base stats'!B:B,'Base stats'!C:C)/70)^0.426489913056526,IF(_xlfn.XLOOKUP(B397,'Base stats'!B:B,'Base stats'!C:C)&lt;=400,(_xlfn.XLOOKUP(B397,'Base stats'!B:B,'Base stats'!C:C)/70)^0.572811455315093,IF(_xlfn.XLOOKUP(B397,'Base stats'!B:B,'Base stats'!C:C)&lt;=2000,2.71391647193063*(_xlfn.XLOOKUP(B397,'Base stats'!B:B,'Base stats'!C:C)/400)^0.252459582904293,3.74314280240376*(_xlfn.XLOOKUP(B397,'Base stats'!B:B,'Base stats'!C:C)/2000)^0.357012633876913)))),
IF(_xlfn.XLOOKUP(B397,'Base stats'!B:B,'Base stats'!C:C)&lt;0.1,0.05,IF(_xlfn.XLOOKUP(B397,'Base stats'!B:B,'Base stats'!C:C)&lt;0.4,0.1,IF(_xlfn.XLOOKUP(B397,'Base stats'!B:B,'Base stats'!C:C)&lt;=70,(_xlfn.XLOOKUP(B397,'Base stats'!B:B,'Base stats'!C:C)/70)^0.445823913056526,IF(_xlfn.XLOOKUP(B397,'Base stats'!B:B,'Base stats'!C:C)&lt;=400,(_xlfn.XLOOKUP(B397,'Base stats'!B:B,'Base stats'!C:C)/70)^0.572811455315093,IF(_xlfn.XLOOKUP(B397,'Base stats'!B:B,'Base stats'!C:C)&lt;=2000,2.71391647193063*(_xlfn.XLOOKUP(B397,'Base stats'!B:B,'Base stats'!C:C)/400)^0.252459582904293,3.74314280240376*(_xlfn.XLOOKUP(B397,'Base stats'!B:B,'Base stats'!C:C)/2000)^0.357012633876913)))))),
IF(_xlfn.XLOOKUP(B397,'Base stats'!B:B,'Base stats'!C:C)&lt;0.1,0.05,IF(_xlfn.XLOOKUP(B397,'Base stats'!B:B,'Base stats'!C:C)&lt;=100,0.05,IF(_xlfn.XLOOKUP(B397,'Base stats'!B:B,'Base stats'!C:C)&lt;=250,0.1,IF(_xlfn.XLOOKUP(B397,'Base stats'!B:B,'Base stats'!C:C)&lt;=4000,0.25,0.5)))))</f>
        <v>3.5</v>
      </c>
      <c r="AP397" s="8">
        <f>MROUND(AO397*_xlfn.XLOOKUP(_xlfn.XLOOKUP(B397,'Base stats'!B:B,'Base stats'!E:E),Groups!A:A,Groups!AI:AI)*_xlfn.XLOOKUP(B397,'Base stats'!B:B,'Base stats'!Z:Z),0.05)</f>
        <v>3.5</v>
      </c>
      <c r="AQ397" s="8">
        <f>MAX(0.01,MROUND(IF(CC397="True",0.196*(AO397*100*1000)^0.889,IF(_xlfn.XLOOKUP(_xlfn.XLOOKUP(B397,'Base stats'!B:B,'Base stats'!E:E),Groups!A:A,Groups!AJ:AJ)="Bird",10.5*(AO397*100*1000)^0.681,4.82*(AO397*100*1000)^0.734))/(4.82*(1*100*1000)^0.734)/IF(AO397&lt;3.5,2,IF(AO397=3.5,1.5,1.25))*(1+0.132282374779864/(AO397^0.994035016789033+0.00905238001496948)),0.05))</f>
        <v>1.75</v>
      </c>
      <c r="AR397" s="9">
        <f>IFERROR(MROUND(_xlfn.XLOOKUP(B397,'Base stats'!B:B,'Base stats'!H:H)/IF(_xlfn.XLOOKUP(B397,'Base stats'!B:B,'Base stats'!I:I)&lt;&gt;1,(122.5/70),1.2),IF(_xlfn.XLOOKUP(B397,'Base stats'!B:B,'Base stats'!H:H)&gt;=30,5,IF(_xlfn.XLOOKUP(B397,'Base stats'!B:B,'Base stats'!H:H)&gt;=15,3,IF(_xlfn.XLOOKUP(B397,'Base stats'!B:B,'Base stats'!H:H)&gt;=10,2,1)))),"Immortal")</f>
        <v>15</v>
      </c>
      <c r="AS397" s="35">
        <f>IFERROR(IF(OR(_xlfn.XLOOKUP(B397,'Base stats'!B:B,'Base stats'!F:F)="Atypical reproduction",_xlfn.XLOOKUP(B397,'Base stats'!B:B,'Base stats'!F:F)="Lay eggs"),"Lay eggs",MIN(20,MAX(5.5,ROUND(((_xlfn.XLOOKUP(B397,'Base stats'!B:B,'Base stats'!F:F)-25)*(14.5/615) + 5.5)*2,0)/2))),"Unknown")</f>
        <v>12</v>
      </c>
      <c r="AT397" s="8">
        <f>IF(_xlfn.XLOOKUP(B397,'Base stats'!B:B,'Base stats'!G:G)="Atypical reproduction","No",IFERROR(MAX(IF(_xlfn.XLOOKUP(B397,'Base stats'!B:B,'Base stats'!G:G)&lt;0.5,0.2,0.3),MROUND(_xlfn.XLOOKUP(B397,'Base stats'!B:B,'Base stats'!G:G)/(365/60),0.2)),"Unknown"))</f>
        <v>0.60000000000000009</v>
      </c>
      <c r="AU397" s="8">
        <f t="shared" si="50"/>
        <v>0.30000000000000004</v>
      </c>
      <c r="AV397" s="8">
        <f>IFERROR(IFERROR(MROUND(_xlfn.XLOOKUP(B397,'Base stats'!B:B,'Base stats'!J:J),0.1),"Lay eggs"),"Cannot breed")</f>
        <v>1</v>
      </c>
      <c r="AW397" s="2" t="str">
        <f t="shared" si="51"/>
        <v>false</v>
      </c>
      <c r="AX397" s="2" t="str">
        <f>IF(_xlfn.XLOOKUP(_xlfn.XLOOKUP(Animals!B397,'Base stats'!B:B,'Base stats'!E:E),Groups!A:A,Groups!AK:AK)=1,"true","false")</f>
        <v>false</v>
      </c>
      <c r="AY397" s="25" t="str">
        <f>IF(_xlfn.XLOOKUP(B397,'Base stats'!B:B,'Base stats'!Y:Y)="Liquor","Liquor, CarnivoreAnimalStrict",IF(AND(_xlfn.XLOOKUP(B397,'Base stats'!B:B,'Base stats'!Y:Y)="Carnivore",_xlfn.XLOOKUP(_xlfn.XLOOKUP(B397,'Base stats'!B:B,'Base stats'!E:E),Groups!A:A,Groups!AJ:AJ)="Photonozoa"),"CarnivoreAnimalStrict, OvivoreAnimal",IF(_xlfn.XLOOKUP(B397,'Base stats'!B:B,'Base stats'!Y:Y)="Carnivore","CarnivoreAnimal, OvivoreAnimal",IF(_xlfn.XLOOKUP(B397,'Base stats'!B:B,'Base stats'!Y:Y)="Dendrovore","VegetarianRoughAnimal, DendrovoreAnimal",IF(_xlfn.XLOOKUP(B397,'Base stats'!B:B,'Base stats'!Y:Y)="Herbivore","VegetarianRoughAnimal",IF(_xlfn.XLOOKUP(B397,'Base stats'!B:B,'Base stats'!Y:Y)="OmnivoreRough","OmnivoreRoughAnimal, OvivoreAnimal","OmnivoreAnimal, OvivoreAnimal"))))))</f>
        <v>OmnivoreRoughAnimal, OvivoreAnimal</v>
      </c>
      <c r="AZ397" s="2" t="str">
        <f>IF(_xlfn.XLOOKUP(_xlfn.XLOOKUP(B397,'Base stats'!B:B,'Base stats'!E:E),Groups!A:A,Groups!D:D)=1,MROUND((1-J397)*5+1,2)*IF(J397&lt;=0.4,2,1),"No")</f>
        <v>No</v>
      </c>
      <c r="BA397" s="2" t="str">
        <f>IF(AND(_xlfn.XLOOKUP(B397,'Base stats'!B:B,'Base stats'!AH:AH)="&lt;li&gt;Seal&lt;/li&gt;",G397="Odyssey"),"&lt;li&gt;AEXP_Seal&lt;/li&gt;",_xlfn.XLOOKUP(B397,'Base stats'!B:B,'Base stats'!AH:AH))</f>
        <v>&lt;li&gt;Pig&lt;/li&gt;</v>
      </c>
      <c r="BB397" s="2" t="str">
        <f>_xlfn.XLOOKUP(B397,'Base stats'!B:B,'Base stats'!AG:AG)</f>
        <v>Leather_Pig</v>
      </c>
      <c r="BC397" s="23" t="str">
        <f>_xlfn.XLOOKUP(_xlfn.XLOOKUP(B397,'Base stats'!B:B,'Base stats'!E:E),Groups!A:A,Groups!AL:AL)</f>
        <v>QuadrupedAnimalWithHooves</v>
      </c>
      <c r="BD397" s="23">
        <f>MIN(1,MROUND(IF(AND(AO397&lt;0.5,_xlfn.XLOOKUP(B397,'Base stats'!B:B,'Base stats'!AA:AA)=0),0,IF(OR(_xlfn.XLOOKUP(Animals!B397,'Base stats'!B:B,'Base stats'!O:O)=2,_xlfn.XLOOKUP(_xlfn.XLOOKUP(B397,'Base stats'!B:B,'Base stats'!E:E),Groups!A:A,Groups!AN:AN)=0),0,_xlfn.XLOOKUP(_xlfn.XLOOKUP(B397,'Base stats'!B:B,'Base stats'!E:E),Groups!A:A,Groups!AN:AN)/IF(_xlfn.XLOOKUP(Animals!B397,'Base stats'!B:B,'Base stats'!O:O)=1,2,1)))+_xlfn.XLOOKUP(B397,'Base stats'!B:B,'Base stats'!AC:AC),0.005))</f>
        <v>0</v>
      </c>
      <c r="BE397" s="23">
        <f>MIN(1,MROUND(IF(AND(AO397&lt;0.5,_xlfn.XLOOKUP(B397,'Base stats'!B:B,'Base stats'!AA:AA)=0),0,IF(_xlfn.XLOOKUP(_xlfn.XLOOKUP(B397,'Base stats'!B:B,'Base stats'!E:E),Groups!A:A,Groups!AO:AO)=0,0,_xlfn.XLOOKUP(_xlfn.XLOOKUP(B397,'Base stats'!B:B,'Base stats'!E:E),Groups!A:A,Groups!AO:AO)/IF(_xlfn.XLOOKUP(Animals!B397,'Base stats'!B:B,'Base stats'!O:O)=2,3,1)))+_xlfn.XLOOKUP(B397,'Base stats'!B:B,'Base stats'!AD:AD),0.005))</f>
        <v>0</v>
      </c>
      <c r="BF397" s="2" t="str">
        <f>IF(J397&gt;0.3,"No",_xlfn.XLOOKUP(_xlfn.XLOOKUP(Animals!B397,'Base stats'!B:B,'Base stats'!E:E),Groups!A:A,Groups!AP:AP))</f>
        <v>No</v>
      </c>
      <c r="BG397" s="2" t="str">
        <f>IF(AND(J397&lt;=0.65,_xlfn.XLOOKUP(_xlfn.XLOOKUP(Animals!B397,'Base stats'!B:B,'Base stats'!E:E),Groups!A:A,Groups!AP:AP)&lt;&gt;"No",_xlfn.XLOOKUP(_xlfn.XLOOKUP(B397,'Base stats'!B:B,'Base stats'!E:E),Groups!A:A,Groups!D:D)=0),MROUND((80/3)*IF(_xlfn.XLOOKUP(B397,'Base stats'!B:B,'Base stats'!O:O)=2,0.2,AO397) + 24*(1-IF(BF397="No",0,BF397)) + 16/3, 12),"No")</f>
        <v>No</v>
      </c>
      <c r="BH397" s="2">
        <f>IF(AND(_xlfn.XLOOKUP(_xlfn.XLOOKUP(B397,'Base stats'!B:B,'Base stats'!E:E),Groups!A:A,Groups!AQ:AQ)=1,AO397&lt;=0.35),8,12)</f>
        <v>12</v>
      </c>
      <c r="BI397" s="2" t="str">
        <f>IF(_xlfn.XLOOKUP(_xlfn.XLOOKUP(B397,'Base stats'!B:B,'Base stats'!E:E),Groups!A:A,Groups!D:D)=0,_xlfn.XLOOKUP(_xlfn.XLOOKUP(B397,'Base stats'!B:B,'Base stats'!E:E),Groups!A:A,Groups!AR:AR),"None")</f>
        <v>Intermediate</v>
      </c>
      <c r="BJ397" s="2" t="str">
        <f>IF(AND(_xlfn.XLOOKUP(_xlfn.XLOOKUP(B397,'Base stats'!B:B,'Base stats'!E:E),Groups!A:A,Groups!AS:AS)=1,OR(_xlfn.XLOOKUP(B397,'Base stats'!B:B,'Base stats'!Y:Y)="Carnivore",_xlfn.XLOOKUP(B397,'Base stats'!B:B,'Base stats'!Y:Y)="Omnivore")),"true","false")</f>
        <v>false</v>
      </c>
      <c r="BK397" s="2" t="str">
        <f>IF(BJ397="true",MROUND(IF(AND(AO397&gt;0.5,OR(_xlfn.XLOOKUP(_xlfn.XLOOKUP(B397,'Base stats'!B:B,'Base stats'!E:E),Groups!A:A,Groups!AJ:AJ)="Photonozoa",_xlfn.XLOOKUP(_xlfn.XLOOKUP(B397,'Base stats'!B:B,'Base stats'!E:E),Groups!A:A,Groups!AJ:AJ)="Mammal")),Animals!AO397*1.75*IF(AW397="true",1.5,1),IF(AO397&lt;0.5,Animals!AO397*0.5,Animals!AO397)),IF(AO397&gt;2,0.5,IF(AO397&gt;0.5,0.25,0.1))),"No")</f>
        <v>No</v>
      </c>
      <c r="BL397" s="2">
        <f t="shared" si="52"/>
        <v>1</v>
      </c>
      <c r="BM397" s="25" t="str">
        <f>IF(_xlfn.XLOOKUP(B397,'Base stats'!B:B,'Base stats'!AN:AN)="Standard","No",MROUND((_xlfn.XLOOKUP(B397,'Base stats'!B:B,'Base stats'!AN:AN)/3.6)/I397,0.1))</f>
        <v>No</v>
      </c>
      <c r="BN397" s="25" t="str">
        <f t="shared" si="53"/>
        <v>false</v>
      </c>
      <c r="BO397" s="25" t="str">
        <f>IF(AND(OR(_xlfn.XLOOKUP(B397,'Base stats'!B:B,'Base stats'!Y:Y)="Carnivore",_xlfn.XLOOKUP(B397,'Base stats'!B:B,'Base stats'!Y:Y)="Omnivore",_xlfn.XLOOKUP(B397,'Base stats'!B:B,'Base stats'!Y:Y)="OmnivoreRough"),_xlfn.XLOOKUP(_xlfn.XLOOKUP(B397,'Base stats'!B:B,'Base stats'!E:E),Groups!A:A,Groups!AT:AT)=1),"true","false")</f>
        <v>false</v>
      </c>
      <c r="BP397" s="25" t="str" cm="1">
        <f t="array" ref="BP397">IF(
  _xlfn.TEXTJOIN(", ",TRUE,
    IF(AND(BJ397="true",AO397&gt;0.5,BI397&lt;&gt;"None"),"AttackTarget",""),
    IF(AND(_xlfn.XLOOKUP(_xlfn.XLOOKUP(B397,'Base stats'!B:B,'Base stats'!E:E),Groups!A:A,Groups!AJ:AJ="Mammal"),OR(_xlfn.XLOOKUP(B397,'Base stats'!B:B,'Base stats'!Y:Y)="Omnivore",_xlfn.XLOOKUP(B397,'Base stats'!B:B,'Base stats'!Y:Y)="OmnivoreRough")),"Forage",""),
    IF(BG397&lt;=36,"Comfort",""),
    IF(_xlfn.XLOOKUP(B397,'Base stats'!B:B,'Base stats'!AE:AE)&lt;&gt;"No",_xlfn.XLOOKUP(B397,'Base stats'!B:B,'Base stats'!AE:AE),"")
  ) = "",
  "No",
  _xlfn.TEXTJOIN(", ",TRUE,
    IF(AND(BJ397="true",AO397&gt;0.5,BI397&lt;&gt;"None"),"AttackTarget",""),
    IF(AND(_xlfn.XLOOKUP(_xlfn.XLOOKUP(B397,'Base stats'!B:B,'Base stats'!E:E),Groups!A:A,Groups!AJ:AJ="Mammal"),OR(_xlfn.XLOOKUP(B397,'Base stats'!B:B,'Base stats'!Y:Y)="Omnivore",_xlfn.XLOOKUP(B397,'Base stats'!B:B,'Base stats'!Y:Y)="OmnivoreRough")),"Forage",""),
    IF(BG397&lt;=36,"Comfort",""),
    IF(_xlfn.XLOOKUP(B397,'Base stats'!B:B,'Base stats'!AE:AE)&lt;&gt;"No",_xlfn.XLOOKUP(B397,'Base stats'!B:B,'Base stats'!AE:AE),"")
  )
)</f>
        <v>Forage</v>
      </c>
      <c r="BQ397" s="25" t="str">
        <f>IF(
   AND(
      'Base stats'!AN397="Standard",_xlfn.XLOOKUP(_xlfn.XLOOKUP(B397,'Base stats'!B:B,'Base stats'!E:E),Groups!A:A,Groups!AU:AU)=0,
      OR(
      BO397="True"
      )
   ),
   10,
   IF(
       OR(BM397&lt;&gt;"No",_xlfn.XLOOKUP(_xlfn.XLOOKUP(B397,'Base stats'!B:B,'Base stats'!E:E),Groups!A:A,Groups!AU:AU)=1),
      1,
      "No"
   )
)</f>
        <v>No</v>
      </c>
      <c r="BR397" s="9">
        <f>MROUND((1 + ((0.2*IF(OR(Q397="No",R397="No",R397=0),0,Q397/R397)
+IF(OR(V397="No",S397="No",T397="No"),0,S397/T397*(LEN(V397)-LEN(SUBSTITUTE(V397,",",""))+1))
+IF(OR(X397="No",Y397="No"),0,X397/Y397)
+IF(OR(AD397="No",AE397="No"),0,AD397/AE397)
+IF(OR(AL397="No",AI397="No",AJ397="No"),0,AI397/AJ397*(LEN(AL397)-LEN(SUBSTITUTE(AL397,",",""))+1))
)/(0.2*IF(OR(Q397="No",R397="No",R397=0),0,1)
+IF(OR(V397="No",S397="No",T397="No"),0,LEN(V397)-LEN(SUBSTITUTE(V397,",",""))+1)
+IF(OR(X397="No",Y397="No"),0,1)
+IF(OR(AD397="No",AE397="No"),0,1)
+IF(OR(AL397="No",AI397="No",AJ397="No"),0,LEN(AL397)-LEN(SUBSTITUTE(AL397,",",""))+1))*62%)* 2)*(1 + (AP397 / (IF(_xlfn.XLOOKUP(_xlfn.XLOOKUP(B397,'Base stats'!B:B,'Base stats'!E:E),Groups!A:A,Groups!AJ:AJ)="Photonozoa",0.3,1)) + _xlfn.XLOOKUP(B397,'Base stats'!B:B,'Base stats'!AV:AV) * 1.8) * 2) * 2.5 + 10 + I397 * 2,5)+IF(_xlfn.XLOOKUP(B397,'Base stats'!B:B,'Base stats'!AK:AK)=1,50,0)</f>
        <v>260</v>
      </c>
      <c r="BS397" s="8">
        <f t="shared" si="54"/>
        <v>2.1</v>
      </c>
      <c r="BT397" s="8" t="str">
        <f>_xlfn.XLOOKUP(B397,'Base stats'!B:B,'Base stats'!AF:AF)</f>
        <v>No</v>
      </c>
      <c r="BU397" s="2" t="str">
        <f>IF(AND(J397&lt;=0.95,OR(_xlfn.XLOOKUP(B397,'Base stats'!B:B,'Base stats'!AK:AK)=1,_xlfn.XLOOKUP(B397,'Base stats'!B:B,'Base stats'!Y:Y)="Carnivore",_xlfn.XLOOKUP(B397,'Base stats'!B:B,'Base stats'!Y:Y)="Omnivore",BE397&gt;0.1)),"true","false")</f>
        <v>false</v>
      </c>
      <c r="BV397" s="2" t="str">
        <f>IF(_xlfn.XLOOKUP(B397,'Base stats'!B:B,'Base stats'!AI:AI)=1,"true","false")</f>
        <v>false</v>
      </c>
      <c r="BW397" s="25" t="str">
        <f>IF(E397="BaseInsect","AnimalInsect",
IF(J397&gt;0.95,"AnimalExotic",
_xlfn.TEXTJOIN(", ",TRUE,
IF(OR(_xlfn.XLOOKUP(B397,'Base stats'!B:B,'Base stats'!AM:AM)=1,AND(_xlfn.XLOOKUP(B397,'Base stats'!B:B,'Base stats'!O:O)=0,_xlfn.XLOOKUP(_xlfn.XLOOKUP(B397,'Base stats'!B:B,'Base stats'!E:E),Groups!A:A,Groups!B:B)&gt;0)),"AnimalUncommon","AnimalCommon"),
IF(AND(_xlfn.XLOOKUP(B397,'Base stats'!B:B,'Base stats'!O:O)=2,_xlfn.XLOOKUP(_xlfn.XLOOKUP(B397,'Base stats'!B:B,'Base stats'!E:E),Groups!A:A,Groups!D:D)=0),"AnimalPet",IF(AND(_xlfn.XLOOKUP(B397,'Base stats'!B:B,'Base stats'!O:O)&lt;&gt;0,_xlfn.XLOOKUP(_xlfn.XLOOKUP(B397,'Base stats'!B:B,'Base stats'!E:E),Groups!A:A,Groups!D:D)&lt;&gt;0),"AnimalFarm","")),
IF(OR(_xlfn.XLOOKUP(B397,'Base stats'!B:B,'Base stats'!AK:AK)=1,AND(BI397&lt;&gt;"None",BR397&gt;=60),ISNUMBER(SEARCH("Attack target",BP397))),"AnimalFighter","")
)))</f>
        <v>AnimalUncommon, AnimalFighter</v>
      </c>
      <c r="BX397" s="25" t="str">
        <f>IF(G397="None",TRIM(
SUBSTITUTE(
IF(COUNTIF(Biomes!B$2:B$259,"="&amp;$C397)&gt;0,Biomes!B$1&amp;", ","")&amp;
IF(COUNTIF(Biomes!C$2:C$259,"="&amp;$C397)&gt;0,Biomes!C$1&amp;", ","")&amp;
IF(COUNTIF(Biomes!D$2:D$259,"="&amp;$C397)&gt;0,Biomes!D$1&amp;", ","")&amp;
IF(COUNTIF(Biomes!F$2:F$259,"="&amp;$C397)&gt;0,Biomes!F$1&amp;", ","")&amp;
IF(COUNTIF(Biomes!G$2:G$259,"="&amp;$C397)&gt;0,Biomes!G$1&amp;", ","")&amp;
IF(COUNTIF(Biomes!H$2:H$259,"="&amp;$C397)&gt;0,Biomes!H$1&amp;", ","")&amp;
IF(COUNTIF(Biomes!I$2:I$259,"="&amp;$C397)&gt;0,Biomes!I$1&amp;", ","")&amp;
IF(COUNTIF(Biomes!J$2:J$259,"="&amp;$C397)&gt;0,Biomes!J$1&amp;", ","")&amp;
IF(COUNTIF(Biomes!M$2:M$259,"="&amp;$C397)&gt;0,Biomes!M$1&amp;", ","")&amp;
IF(COUNTIF(Biomes!N$2:N$259,"="&amp;$C397)&gt;0,Biomes!N$1&amp;", ","")&amp;
IF(COUNTIF(Biomes!O$2:O$259,"="&amp;$C397)&gt;0,Biomes!O$1&amp;", ","")&amp;
IF(COUNTIF(Biomes!P$2:P$259,"="&amp;$C397)&gt;0,Biomes!P$1&amp;", ","")&amp;
IF(COUNTIF(Biomes!K$2:K$259,"="&amp;$C397)&gt;0,Biomes!K$1&amp;", ","")&amp;
IF(COUNTIF(Biomes!Q$3:Q$259,"="&amp;$C397)&gt;0,Biomes!Q$1&amp;", ","")&amp;
IF(COUNTIF(Biomes!L$2:L$259,"="&amp;$C397)&gt;0,Biomes!L$1&amp;", ","")&amp;
IF(COUNTIF(Biomes!E$2:E$259,"="&amp;$C397)&gt;0,Biomes!E$1&amp;", ","")&amp;IF(COUNTIF(Biomes!S$2:S$259,"="&amp;$C397)&gt;0,Biomes!S$1&amp;", ","")&amp;
IF(COUNTIF(Biomes!R$2:R$259,"="&amp;$C397)&gt;0,Biomes!R$1&amp;", ",""),", ","")
),_xlfn.XLOOKUP(B397,B:B,BX:BX))</f>
        <v/>
      </c>
      <c r="BY397" s="25" t="str">
        <f>IF(_xlfn.XLOOKUP(B397,'Base stats'!B:B,'Base stats'!AJ:AJ)=1,"true","false")</f>
        <v>false</v>
      </c>
      <c r="BZ397" s="25">
        <f>IF(_xlfn.XLOOKUP(B397,'Base stats'!B:B,'Base stats'!N:N)=1,"No",MAX(0.001,MIN(MROUND(IF(AND(BJ397="True",CC397="False"),POWER(10,3.47*LOG10(_xlfn.XLOOKUP(B397,'Base stats'!B:B,'Base stats'!C:C)*1000)^-0.96),POWER(10,4.15*LOG10(_xlfn.XLOOKUP(B397,'Base stats'!B:B,'Base stats'!C:C)*1000)^-0.73))*IF(_xlfn.XLOOKUP(B397,'Base stats'!B:B,'Base stats'!AK:AK)=1,0.5,1)*IF(_xlfn.XLOOKUP(B397,'Base stats'!B:B,'Base stats'!AM:AM)=1,0.1,1)/100,IF(_xlfn.XLOOKUP(B397,'Base stats'!B:B,'Base stats'!AM:AM)=1,0.001,0.025)),0.5)))</f>
        <v>0.125</v>
      </c>
      <c r="CA397" s="25" t="str">
        <f>IF(P397="Standard","No",MAX(0.001,MIN(MROUND(IF(AND(BJ397="True",CC397="False"),POWER(10,3.47*LOG10(_xlfn.XLOOKUP(B397,'Base stats'!B:B,'Base stats'!C:C)*1000)^-0.96),POWER(10,4.15*LOG10(_xlfn.XLOOKUP(B397,'Base stats'!B:B,'Base stats'!C:C)*1000)^-0.73))*IF(_xlfn.XLOOKUP(B397,'Base stats'!B:B,'Base stats'!AM:AM)=1,0.1,1)*_xlfn.XLOOKUP(B397,'Base stats'!B:B,'Base stats'!R:R)/100,IF(_xlfn.XLOOKUP(B397,'Base stats'!B:B,'Base stats'!AM:AM)=1,0.001,0.025)),0.5)))</f>
        <v>No</v>
      </c>
      <c r="CB397" s="25" t="str">
        <f>IF(_xlfn.XLOOKUP(_xlfn.XLOOKUP(B397,'Base stats'!B:B,'Base stats'!E:E),Groups!A:A,Groups!AJ:AJ)="Mammal","True","False")</f>
        <v>True</v>
      </c>
      <c r="CC397" s="25" t="str">
        <f>IF(OR(_xlfn.XLOOKUP(_xlfn.XLOOKUP(B397,'Base stats'!B:B,'Base stats'!E:E),Groups!A:A,Groups!AJ:AJ)="Reptile",_xlfn.XLOOKUP(_xlfn.XLOOKUP(B397,'Base stats'!B:B,'Base stats'!E:E),Groups!A:A,Groups!AJ:AJ)="Amphibian",_xlfn.XLOOKUP(_xlfn.XLOOKUP(B397,'Base stats'!B:B,'Base stats'!E:E),Groups!A:A,Groups!AJ:AJ)="Invertebrate"),"True","False")</f>
        <v>False</v>
      </c>
      <c r="CD397" s="25" t="str">
        <f t="shared" si="55"/>
        <v>False</v>
      </c>
      <c r="CE397" s="25" t="str">
        <f>IF(_xlfn.XLOOKUP(_xlfn.XLOOKUP(B397,'Base stats'!B:B,'Base stats'!E:E),Groups!A:A,Groups!AX:AX),"True","False")</f>
        <v>False</v>
      </c>
      <c r="CF397" s="25" t="str">
        <f>IF(_xlfn.XLOOKUP(_xlfn.XLOOKUP(B397,'Base stats'!B:B,'Base stats'!E:E),Groups!A:A,Groups!AY:AY),"True","False")</f>
        <v>False</v>
      </c>
      <c r="CG397" s="25" t="str">
        <f>IF(_xlfn.XLOOKUP(_xlfn.XLOOKUP(B397,'Base stats'!B:B,'Base stats'!E:E),Groups!A:A,Groups!AW:AW),"True","False")</f>
        <v>False</v>
      </c>
      <c r="CH397" s="25" t="str">
        <f>IF(
OR(
_xlfn.XLOOKUP(_xlfn.XLOOKUP(B397,'Base stats'!B:B,'Base stats'!E:E),Groups!A:A,Groups!AZ:AZ)=0,
AND(
_xlfn.XLOOKUP(B397,'Base stats'!B:B,'Base stats'!Y:Y)&lt;&gt;"Carnivore",
_xlfn.XLOOKUP(B397,'Base stats'!B:B,'Base stats'!Y:Y)&lt;&gt;"Omnivore",
_xlfn.XLOOKUP(B397,'Base stats'!B:B,'Base stats'!Y:Y)&lt;&gt;"OmnivoreRough"
)
),
"No",
IF(
_xlfn.XLOOKUP(_xlfn.XLOOKUP(B397,'Base stats'!B:B,'Base stats'!E:E),Groups!A:A,Groups!AZ:AZ)=1,
"Flesh",
IF(
_xlfn.XLOOKUP(_xlfn.XLOOKUP(B397,'Base stats'!B:B,'Base stats'!E:E),Groups!A:A,Groups!AZ:AZ)=2,
"Bone",
""
)
)
)</f>
        <v>Bone</v>
      </c>
      <c r="CI397" s="25" t="str">
        <f>IF(_xlfn.XLOOKUP(_xlfn.XLOOKUP(B397,'Base stats'!B:B,'Base stats'!E:E),Groups!A:A,Groups!BB:BB),"True","False")</f>
        <v>True</v>
      </c>
      <c r="CJ397" s="25" t="str">
        <f>IF(_xlfn.XLOOKUP(_xlfn.XLOOKUP(B397,'Base stats'!B:B,'Base stats'!E:E),Groups!A:A,Groups!BA:BA),"True","False")</f>
        <v>False</v>
      </c>
    </row>
    <row r="398" spans="1:88" ht="16.5" thickTop="1" thickBot="1" x14ac:dyDescent="0.3">
      <c r="A398" s="26" t="s">
        <v>2087</v>
      </c>
      <c r="B398" s="6" t="str">
        <f>_xlfn.XLOOKUP(A398,'Base stats'!A:A,'Base stats'!B:B)</f>
        <v>Dinornis novaezealandiae</v>
      </c>
      <c r="C398" s="28" t="str">
        <f t="shared" si="56"/>
        <v>&lt;li&gt;Dinornis&lt;/li&gt;</v>
      </c>
      <c r="D398" s="28" t="s">
        <v>2126</v>
      </c>
      <c r="E398" s="28" t="s">
        <v>673</v>
      </c>
      <c r="F398" s="28" t="s">
        <v>673</v>
      </c>
      <c r="G398" s="28" t="s">
        <v>673</v>
      </c>
      <c r="H398" s="2">
        <f>MROUND((
  (IF(AND(_xlfn.XLOOKUP(B398,'Base stats'!B:B,'Base stats'!AL:AL)=0,BI398="None",_xlfn.XLOOKUP(_xlfn.XLOOKUP(B398,'Base stats'!B:B,'Base stats'!E:E),Groups!A:A,Groups!B:B)=0), (18 + BR398 * 2.7) * 0.5,
    IF(AND(_xlfn.XLOOKUP(B398,'Base stats'!B:B,'Base stats'!AL:AL)=0,OR(AO398&lt;0.55,AND(BI398="Intermediate",_xlfn.XLOOKUP(_xlfn.XLOOKUP(B398,'Base stats'!B:B,'Base stats'!E:E),Groups!A:A,Groups!B:B)&lt;2))), (18 + BR398 * 2.7),
      IF(OR(BI398="Advanced",_xlfn.XLOOKUP(B398,'Base stats'!B:B,'Base stats'!AL:AL)=1,_xlfn.XLOOKUP(_xlfn.XLOOKUP(B398,'Base stats'!B:B,'Base stats'!E:E),Groups!A:A,Groups!B:B)=2), (18 + BR398 * 2.7) + 250, (18 + BR398 * 2.7))
    )
  ))
  + AO398 * 80
  + IF(COUNTIF(EggMilk!K$2:K$998, A398) &gt; 0, 125, 0)
  + IF(COUNTIF(EggMilk!P$2:P$998, A398) &gt; 0, 90, 0)
  + IF(COUNTIF(EggMilk!A$2:A$998, A398) &gt; 0, 90, 0)
)
* (0.8 + 0.4 * J398)
* 0.75,25)</f>
        <v>250</v>
      </c>
      <c r="I398" s="2">
        <f>MROUND(ROUNDDOWN(_xlfn.XLOOKUP(B398,'Base stats'!B:B,'Base stats'!L:L)/3.6/(23.3/11),1),0.5)</f>
        <v>6.5</v>
      </c>
      <c r="J398" s="2">
        <f>IF(OR(_xlfn.XLOOKUP(B398,'Base stats'!B:B,'Base stats'!AB:AB)=1,_xlfn.XLOOKUP(_xlfn.XLOOKUP(B398,'Base stats'!B:B,'Base stats'!E:E),Groups!A:A,Groups!C:C)="Untamable"),1,IF(_xlfn.XLOOKUP(B398,'Base stats'!B:B,'Base stats'!AL:AL)=1,0.99,MIN(MROUND((1-0.6282*EXP(-0.459*AO398))*_xlfn.XLOOKUP(_xlfn.XLOOKUP(B398,'Base stats'!B:B,'Base stats'!E:E),Groups!A:A,Groups!C:C)*IF(_xlfn.XLOOKUP(B398,'Base stats'!B:B,'Base stats'!O:O)=1,0.5,IF(_xlfn.XLOOKUP(B398,'Base stats'!B:B,'Base stats'!O:O)=2,0,1)),0.05),IF(AO398&gt;3.5,0.985,0.95))))</f>
        <v>0.85000000000000009</v>
      </c>
      <c r="K398" s="2">
        <f>ROUNDUP(AO398*_xlfn.XLOOKUP(_xlfn.XLOOKUP(B398,'Base stats'!B:B,'Base stats'!E:E),Groups!A:A,Groups!E:E),0)</f>
        <v>18</v>
      </c>
      <c r="L398" s="2">
        <f>IF(OR(_xlfn.XLOOKUP(_xlfn.XLOOKUP(B398,'Base stats'!B:B,'Base stats'!E:E),Groups!A:A,Groups!F:F)=2,ISNUMBER(SEARCH("SeaIce",BX398)),ISNUMBER(SEARCH("IceSheet",BX398))),-50,IF(OR(ISNUMBER(SEARCH("GlacialPlain",BX398)),ISNUMBER(SEARCH("Tundra",BX398))),-40,IF(OR(ISNUMBER(SEARCH("Alpine",BX398)),ISNUMBER(SEARCH("BorealForest",BX398)),ISNUMBER(SEARCH("ColdBog",BX398))),-30,IF(OR(ISNUMBER(SEARCH("TemperateForest",BX398)),ISNUMBER(SEARCH("TemperateSwamp",BX398))),-20,IF(_xlfn.XLOOKUP(_xlfn.XLOOKUP(B398,'Base stats'!B:B,'Base stats'!E:E),Groups!A:A,Groups!F:F)=1,-15,IF(OR(ISNUMBER(SEARCH("Desert",BX398)),ISNUMBER(SEARCH("ExtremeDesert",BX398))),-10,IF(OR(ISNUMBER(SEARCH("Grasslands",BX398)),ISNUMBER(SEARCH("TropicalRainforest",BX398)),ISNUMBER(SEARCH("TropicalSwamp",BX398))),10,0)))))))-IF(CC398="False",MIN(IFERROR(MAX(MROUND(LOG10(_xlfn.XLOOKUP(B398,'Base stats'!B:B,'Base stats'!C:C)^(2/3))*10,5),5),5),30))-_xlfn.XLOOKUP(B398,'Base stats'!B:B,'Base stats'!P:P)+IF(CC398="True",5,0)</f>
        <v>-15</v>
      </c>
      <c r="M398" s="2">
        <f>IF(OR(_xlfn.XLOOKUP(_xlfn.XLOOKUP(B398,'Base stats'!B:B,'Base stats'!E:E),Groups!A:A,Groups!G:G)=2,ISNUMBER(SEARCH("Desert",BX398)),ISNUMBER(SEARCH("ExtremeDesert",BX398)),ISNUMBER(SEARCH("LavaField",BX398))),50,IF(ISNUMBER(SEARCH("Grasslands",BX398)),45,IF(OR(_xlfn.XLOOKUP(_xlfn.XLOOKUP(B398,'Base stats'!B:B,'Base stats'!E:E),Groups!A:A,Groups!G:G)=1,ISNUMBER(SEARCH("TropicalRainforest",BX398)),ISNUMBER(SEARCH("TropicalSwamp",BX398))),40,IF(OR(ISNUMBER(SEARCH("TemperateForest",BX398)),ISNUMBER(SEARCH("TemperateSwamp",BX398))),35,IF(OR(ISNUMBER(SEARCH("Alpine",BX398)),ISNUMBER(SEARCH("BorealForest",BX398)),ISNUMBER(SEARCH("ColdBog",BX398))),30,IF(ISNUMBER(OR(ISNUMBER(SEARCH("GlacialPlain",BX398)),SEARCH("Tundra",BX398))),25,IF(OR(ISNUMBER(SEARCH("SeaIce",BX398)),ISNUMBER(SEARCH("IceSheet",BX398)),ISNUMBER(SEARCH("TropicalSwamp",BX398))),10,35)))))))+_xlfn.XLOOKUP(B398,'Base stats'!B:B,'Base stats'!Q:Q)</f>
        <v>35</v>
      </c>
      <c r="N398" s="8" t="str">
        <f>IF(
_xlfn.XLOOKUP(
_xlfn.XLOOKUP(B398,'Base stats'!B:B,'Base stats'!E:E),
Groups!A:A,
Groups!L:L
)=1,
MIN(
MROUND(
IF(
_xlfn.XLOOKUP(B398,'Animals CE'!B:B,'Animals CE'!Z:Z)&lt;=1.5,
_xlfn.XLOOKUP(B398,'Animals CE'!B:B,'Animals CE'!Z:Z)/2+0.05,
0.8+
(_xlfn.XLOOKUP(B398,'Animals CE'!B:B,'Animals CE'!Z:Z)-1.5)
*0.02
),
0.05
),
200%
),
"No"
)</f>
        <v>No</v>
      </c>
      <c r="O398" s="8" t="str">
        <f>IF(
_xlfn.XLOOKUP(
_xlfn.XLOOKUP(B398,'Base stats'!B:B,'Base stats'!E:E),
Groups!A:A,
Groups!L:L
)=1,
MIN(
MROUND(
IF(
_xlfn.XLOOKUP(B398,'Animals CE'!B:B,'Animals CE'!AA:AA)&lt;=1.5,
_xlfn.XLOOKUP(B398,'Animals CE'!B:B,'Animals CE'!AA:AA)/2+0.05,
0.8+
(_xlfn.XLOOKUP(B398,'Animals CE'!B:B,'Animals CE'!AA:AA)-1.5)
*0.02
),
0.05
),
200%
),
"No"
)</f>
        <v>No</v>
      </c>
      <c r="P398" s="2" t="str">
        <f>_xlfn.XLOOKUP(B398,'Base stats'!B:B,'Base stats'!R:R)</f>
        <v>Standard</v>
      </c>
      <c r="Q398" s="13">
        <f>MROUND((LOG10(_xlfn.XLOOKUP(B398,'Base stats'!B:B,'Base stats'!AR:AR))*(AO398^0.5)+(_xlfn.XLOOKUP(B398,'Base stats'!B:B,'Base stats'!AR:AR)/1000)^(2/3)+_xlfn.XLOOKUP(B398,'Base stats'!B:B,'Base stats'!BA:BA)/2)+0.5,0.5)</f>
        <v>10</v>
      </c>
      <c r="R398" s="7">
        <f>IF(Q398="No","No",MAX(1,MROUND(_xlfn.XLOOKUP(B398,'Base stats'!B:B,'Base stats'!C:C)^0.165,0.05)))</f>
        <v>2.3000000000000003</v>
      </c>
      <c r="S398" s="13">
        <f>IF(_xlfn.XLOOKUP(_xlfn.XLOOKUP(B398,'Base stats'!B:B,'Base stats'!E:E),Groups!A:A,Groups!P:P)=0,"No",MROUND((LOG10(_xlfn.XLOOKUP(B398,'Base stats'!B:B,'Base stats'!AS:AS))*(AO398^0.5)+(_xlfn.XLOOKUP(B398,'Base stats'!B:B,'Base stats'!AS:AS)/1000)^(2/3)+_xlfn.XLOOKUP(B398,'Base stats'!B:B,'Base stats'!BA:BA))+_xlfn.XLOOKUP(B398,'Base stats'!B:B,'Base stats'!AY:AY)+0.5,0.5))</f>
        <v>14.5</v>
      </c>
      <c r="T398" s="7">
        <f>IF(S398="No","No",MAX(_xlfn.XLOOKUP(_xlfn.XLOOKUP(B398,'Base stats'!B:B,'Base stats'!E:E),Groups!A:A,Groups!Q:Q),MROUND(_xlfn.XLOOKUP(_xlfn.XLOOKUP(B398,'Base stats'!B:B,'Base stats'!E:E),Groups!A:A,Groups!Q:Q)*_xlfn.XLOOKUP(B398,'Base stats'!B:B,'Base stats'!C:C)^0.165,0.05)))</f>
        <v>2.3000000000000003</v>
      </c>
      <c r="U398" s="7" t="str">
        <f>IF(S398="No","No",_xlfn.XLOOKUP(_xlfn.XLOOKUP(B398,'Base stats'!B:B,'Base stats'!E:E),Groups!A:A,Groups!R:R))</f>
        <v>Feet</v>
      </c>
      <c r="V398" s="7" t="str">
        <f>IF(S398="No","No",_xlfn.XLOOKUP(_xlfn.XLOOKUP(B398,'Base stats'!B:B,'Base stats'!E:E),Groups!A:A,Groups!S:S))</f>
        <v>rear left claw, rear  right claw</v>
      </c>
      <c r="W398" s="7" t="str">
        <f>IF(S398="No","No",_xlfn.XLOOKUP(_xlfn.XLOOKUP(B398,'Base stats'!B:B,'Base stats'!E:E),Groups!A:A,Groups!T:T))</f>
        <v>Scratch</v>
      </c>
      <c r="X398" s="13" t="str">
        <f>IF(_xlfn.XLOOKUP(B398,'Base stats'!B:B,'Base stats'!W:W)="No","No",MROUND((LOG10(_xlfn.XLOOKUP(B398,'Base stats'!B:B,'Base stats'!AU:AU))*(AO398^0.5)+(_xlfn.XLOOKUP(B398,'Base stats'!B:B,'Base stats'!AU:AU)/1000)^(2/3)+_xlfn.XLOOKUP(B398,'Base stats'!B:B,'Base stats'!AZ:AZ))+0.5+IF(_xlfn.XLOOKUP(_xlfn.XLOOKUP(B398,'Base stats'!B:B,'Base stats'!E:E),Groups!A:A,Groups!U:U)&lt;&gt;3,_xlfn.XLOOKUP(B398,'Base stats'!B:B,'Base stats'!BA:BA),0),0.5))</f>
        <v>No</v>
      </c>
      <c r="Y398" s="7" t="str">
        <f>IF(X398="No","No",MAX(_xlfn.XLOOKUP(_xlfn.XLOOKUP(B398,'Base stats'!B:B,'Base stats'!E:E),Groups!A:A,Groups!V:V),MROUND(_xlfn.XLOOKUP(_xlfn.XLOOKUP(B398,'Base stats'!B:B,'Base stats'!E:E),Groups!A:A,Groups!V:V)*_xlfn.XLOOKUP(B398,'Base stats'!B:B,'Base stats'!C:C)^0.165,0.05)))</f>
        <v>No</v>
      </c>
      <c r="Z398" s="7" t="str">
        <f>IF(X398="No","No",_xlfn.XLOOKUP(_xlfn.XLOOKUP(B398,'Base stats'!B:B,'Base stats'!E:E),Groups!A:A,Groups!W:W))</f>
        <v>No</v>
      </c>
      <c r="AA398" s="7" t="str">
        <f>IF(X398="No","No",_xlfn.XLOOKUP(_xlfn.XLOOKUP(B398,'Base stats'!B:B,'Base stats'!E:E),Groups!A:A,Groups!X:X))</f>
        <v>No</v>
      </c>
      <c r="AB398" s="7" t="str">
        <f>IF(X398="No","No",_xlfn.XLOOKUP(_xlfn.XLOOKUP(B398,'Base stats'!B:B,'Base stats'!E:E),Groups!A:A,Groups!Y:Y))</f>
        <v>No</v>
      </c>
      <c r="AC398" s="7" t="str">
        <f>_xlfn.XLOOKUP(Animals!B398,'Base stats'!B:B,'Base stats'!X:X)</f>
        <v>False</v>
      </c>
      <c r="AD398" s="13">
        <f>IF(_xlfn.XLOOKUP(B398,'Base stats'!B:B,'Base stats'!AT:AT)="No","No",MROUND((LOG10(_xlfn.XLOOKUP(B398,'Base stats'!B:B,'Base stats'!AT:AT))*(AO398^0.75)+(_xlfn.XLOOKUP(B398,'Base stats'!B:B,'Base stats'!AT:AT)/1000)^(2/3)+_xlfn.XLOOKUP(B398,'Base stats'!B:B,'Base stats'!AX:AX)+_xlfn.XLOOKUP(B398,'Base stats'!B:B,'Base stats'!BA:BA))+0.5,0.5))</f>
        <v>10</v>
      </c>
      <c r="AE398" s="7">
        <f>IF(AD398="No","No",MAX(_xlfn.XLOOKUP(_xlfn.XLOOKUP(B398,'Base stats'!B:B,'Base stats'!E:E),Groups!A:A,Groups!Z:Z),MROUND(_xlfn.XLOOKUP(_xlfn.XLOOKUP(B398,'Base stats'!B:B,'Base stats'!E:E),Groups!A:A,Groups!Z:Z)*_xlfn.XLOOKUP(B398,'Base stats'!B:B,'Base stats'!C:C)^0.165,0.05)))</f>
        <v>2.3000000000000003</v>
      </c>
      <c r="AF398" s="7" t="str">
        <f>IF(AD398="No","No",_xlfn.XLOOKUP(_xlfn.XLOOKUP(B398,'Base stats'!B:B,'Base stats'!E:E),Groups!A:A,Groups!AA:AA))</f>
        <v>Beak</v>
      </c>
      <c r="AG398" s="7" t="str">
        <f>IF(AD398="No","No",_xlfn.XLOOKUP(_xlfn.XLOOKUP(B398,'Base stats'!B:B,'Base stats'!E:E),Groups!A:A,Groups!AB:AB))</f>
        <v>beak</v>
      </c>
      <c r="AH398" s="7" t="str">
        <f>IF(AD398="No","No",_xlfn.XLOOKUP(_xlfn.XLOOKUP(B398,'Base stats'!B:B,'Base stats'!E:E),Groups!A:A,Groups!AC:AC))</f>
        <v>Blunt</v>
      </c>
      <c r="AI398" s="13" t="str">
        <f>IF(_xlfn.XLOOKUP(_xlfn.XLOOKUP(B398,'Base stats'!B:B,'Base stats'!E:E),Groups!A:A,Groups!AD:AD)=0,"No",MROUND((LOG10(_xlfn.XLOOKUP(B398,'Base stats'!B:B,'Base stats'!AS:AS))*(AO398^0.75)+(_xlfn.XLOOKUP(B398,'Base stats'!B:B,'Base stats'!AS:AS)/1000)^(2/3)+_xlfn.XLOOKUP(B398,'Base stats'!B:B,'Base stats'!AY:AY)+_xlfn.XLOOKUP(B398,'Base stats'!B:B,'Base stats'!BA:BA))+0.5,0.5))</f>
        <v>No</v>
      </c>
      <c r="AJ398" s="7" t="str">
        <f>IF(AI398="No","No",MAX(_xlfn.XLOOKUP(_xlfn.XLOOKUP(B398,'Base stats'!B:B,'Base stats'!E:E),Groups!A:A,Groups!AE:AE),MROUND(_xlfn.XLOOKUP(_xlfn.XLOOKUP(B398,'Base stats'!B:B,'Base stats'!E:E),Groups!A:A,Groups!AE:AE)*IF(_xlfn.XLOOKUP(_xlfn.XLOOKUP(B398,'Base stats'!B:B,'Base stats'!E:E),Groups!A:A,Groups!AJ:AJ)="Photonozoa",0.6,1)*_xlfn.XLOOKUP(B398,'Base stats'!B:B,'Base stats'!C:C)^0.165,0.05)))</f>
        <v>No</v>
      </c>
      <c r="AK398" s="7" t="str">
        <f>IF(AI398="No","No",_xlfn.XLOOKUP(_xlfn.XLOOKUP(B398,'Base stats'!B:B,'Base stats'!E:E),Groups!A:A,Groups!AF:AF))</f>
        <v>No</v>
      </c>
      <c r="AL398" s="7" t="str">
        <f>IF(AI398="No","No",_xlfn.XLOOKUP(_xlfn.XLOOKUP(B398,'Base stats'!B:B,'Base stats'!E:E),Groups!A:A,Groups!AG:AG))</f>
        <v>No</v>
      </c>
      <c r="AM398" s="7" t="str">
        <f>IF(AI398="No","No",_xlfn.XLOOKUP(_xlfn.XLOOKUP(B398,'Base stats'!B:B,'Base stats'!E:E),Groups!A:A,Groups!AH:AH))</f>
        <v>No</v>
      </c>
      <c r="AN398" s="2" t="str">
        <f t="shared" si="49"/>
        <v>No</v>
      </c>
      <c r="AO398" s="2">
        <f>MROUND(IF(AND(_xlfn.XLOOKUP(B398,'Base stats'!B:B,'Base stats'!C:C)&gt;=0.5,_xlfn.XLOOKUP(B398,'Base stats'!B:B,'Base stats'!C:C)&lt;=0.8),
IF(_xlfn.XLOOKUP(B398,'Base stats'!B:B,'Base stats'!C:C)&lt;0.1,0.05,IF(_xlfn.XLOOKUP(B398,'Base stats'!B:B,'Base stats'!C:C)&lt;=70,(_xlfn.XLOOKUP(B398,'Base stats'!B:B,'Base stats'!C:C)/70)^0.426489913056526,IF(_xlfn.XLOOKUP(B398,'Base stats'!B:B,'Base stats'!C:C)&lt;=400,(_xlfn.XLOOKUP(B398,'Base stats'!B:B,'Base stats'!C:C)/70)^0.572811455315093,IF(_xlfn.XLOOKUP(B398,'Base stats'!B:B,'Base stats'!C:C)&lt;=2000,2.71391647193063*(_xlfn.XLOOKUP(B398,'Base stats'!B:B,'Base stats'!C:C)/400)^0.252459582904293,3.74314280240376*(_xlfn.XLOOKUP(B398,'Base stats'!B:B,'Base stats'!C:C)/2000)^0.357012633876913)))),
IF(_xlfn.XLOOKUP(B398,'Base stats'!B:B,'Base stats'!C:C)&lt;0.1,0.05,IF(_xlfn.XLOOKUP(B398,'Base stats'!B:B,'Base stats'!C:C)&lt;0.4,0.1,IF(_xlfn.XLOOKUP(B398,'Base stats'!B:B,'Base stats'!C:C)&lt;=70,(_xlfn.XLOOKUP(B398,'Base stats'!B:B,'Base stats'!C:C)/70)^0.445823913056526,IF(_xlfn.XLOOKUP(B398,'Base stats'!B:B,'Base stats'!C:C)&lt;=400,(_xlfn.XLOOKUP(B398,'Base stats'!B:B,'Base stats'!C:C)/70)^0.572811455315093,IF(_xlfn.XLOOKUP(B398,'Base stats'!B:B,'Base stats'!C:C)&lt;=2000,2.71391647193063*(_xlfn.XLOOKUP(B398,'Base stats'!B:B,'Base stats'!C:C)/400)^0.252459582904293,3.74314280240376*(_xlfn.XLOOKUP(B398,'Base stats'!B:B,'Base stats'!C:C)/2000)^0.357012633876913)))))),
IF(_xlfn.XLOOKUP(B398,'Base stats'!B:B,'Base stats'!C:C)&lt;0.1,0.05,IF(_xlfn.XLOOKUP(B398,'Base stats'!B:B,'Base stats'!C:C)&lt;=100,0.05,IF(_xlfn.XLOOKUP(B398,'Base stats'!B:B,'Base stats'!C:C)&lt;=250,0.1,IF(_xlfn.XLOOKUP(B398,'Base stats'!B:B,'Base stats'!C:C)&lt;=4000,0.25,0.5)))))</f>
        <v>1.6</v>
      </c>
      <c r="AP398" s="8">
        <f>MROUND(AO398*_xlfn.XLOOKUP(_xlfn.XLOOKUP(B398,'Base stats'!B:B,'Base stats'!E:E),Groups!A:A,Groups!AI:AI)*_xlfn.XLOOKUP(B398,'Base stats'!B:B,'Base stats'!Z:Z),0.05)</f>
        <v>1.6</v>
      </c>
      <c r="AQ398" s="8">
        <f>MAX(0.01,MROUND(IF(CC398="True",0.196*(AO398*100*1000)^0.889,IF(_xlfn.XLOOKUP(_xlfn.XLOOKUP(B398,'Base stats'!B:B,'Base stats'!E:E),Groups!A:A,Groups!AJ:AJ)="Bird",10.5*(AO398*100*1000)^0.681,4.82*(AO398*100*1000)^0.734))/(4.82*(1*100*1000)^0.734)/IF(AO398&lt;3.5,2,IF(AO398=3.5,1.5,1.25))*(1+0.132282374779864/(AO398^0.994035016789033+0.00905238001496948)),0.05))</f>
        <v>0.9</v>
      </c>
      <c r="AR398" s="9">
        <f>IFERROR(MROUND(_xlfn.XLOOKUP(B398,'Base stats'!B:B,'Base stats'!H:H)/IF(_xlfn.XLOOKUP(B398,'Base stats'!B:B,'Base stats'!I:I)&lt;&gt;1,(122.5/70),1.2),IF(_xlfn.XLOOKUP(B398,'Base stats'!B:B,'Base stats'!H:H)&gt;=30,5,IF(_xlfn.XLOOKUP(B398,'Base stats'!B:B,'Base stats'!H:H)&gt;=15,3,IF(_xlfn.XLOOKUP(B398,'Base stats'!B:B,'Base stats'!H:H)&gt;=10,2,1)))),"Immortal")</f>
        <v>30</v>
      </c>
      <c r="AS398" s="35" t="str">
        <f>IFERROR(IF(OR(_xlfn.XLOOKUP(B398,'Base stats'!B:B,'Base stats'!F:F)="Atypical reproduction",_xlfn.XLOOKUP(B398,'Base stats'!B:B,'Base stats'!F:F)="Lay eggs"),"Lay eggs",MIN(20,MAX(5.5,ROUND(((_xlfn.XLOOKUP(B398,'Base stats'!B:B,'Base stats'!F:F)-25)*(14.5/615) + 5.5)*2,0)/2))),"Unknown")</f>
        <v>Lay eggs</v>
      </c>
      <c r="AT398" s="8">
        <f>IF(_xlfn.XLOOKUP(B398,'Base stats'!B:B,'Base stats'!G:G)="Atypical reproduction","No",IFERROR(MAX(IF(_xlfn.XLOOKUP(B398,'Base stats'!B:B,'Base stats'!G:G)&lt;0.5,0.2,0.3),MROUND(_xlfn.XLOOKUP(B398,'Base stats'!B:B,'Base stats'!G:G)/(365/60),0.2)),"Unknown"))</f>
        <v>0.8</v>
      </c>
      <c r="AU398" s="8">
        <f t="shared" si="50"/>
        <v>0.4</v>
      </c>
      <c r="AV398" s="8" t="str">
        <f>IFERROR(IFERROR(MROUND(_xlfn.XLOOKUP(B398,'Base stats'!B:B,'Base stats'!J:J),0.1),"Lay eggs"),"Cannot breed")</f>
        <v>Lay eggs</v>
      </c>
      <c r="AW398" s="2" t="str">
        <f t="shared" si="51"/>
        <v>true</v>
      </c>
      <c r="AX398" s="2" t="str">
        <f>IF(_xlfn.XLOOKUP(_xlfn.XLOOKUP(Animals!B398,'Base stats'!B:B,'Base stats'!E:E),Groups!A:A,Groups!AK:AK)=1,"true","false")</f>
        <v>false</v>
      </c>
      <c r="AY398" s="25" t="str">
        <f>IF(_xlfn.XLOOKUP(B398,'Base stats'!B:B,'Base stats'!Y:Y)="Liquor","Liquor, CarnivoreAnimalStrict",IF(AND(_xlfn.XLOOKUP(B398,'Base stats'!B:B,'Base stats'!Y:Y)="Carnivore",_xlfn.XLOOKUP(_xlfn.XLOOKUP(B398,'Base stats'!B:B,'Base stats'!E:E),Groups!A:A,Groups!AJ:AJ)="Photonozoa"),"CarnivoreAnimalStrict, OvivoreAnimal",IF(_xlfn.XLOOKUP(B398,'Base stats'!B:B,'Base stats'!Y:Y)="Carnivore","CarnivoreAnimal, OvivoreAnimal",IF(_xlfn.XLOOKUP(B398,'Base stats'!B:B,'Base stats'!Y:Y)="Dendrovore","VegetarianRoughAnimal, DendrovoreAnimal",IF(_xlfn.XLOOKUP(B398,'Base stats'!B:B,'Base stats'!Y:Y)="Herbivore","VegetarianRoughAnimal",IF(_xlfn.XLOOKUP(B398,'Base stats'!B:B,'Base stats'!Y:Y)="OmnivoreRough","OmnivoreRoughAnimal, OvivoreAnimal","OmnivoreAnimal, OvivoreAnimal"))))))</f>
        <v>VegetarianRoughAnimal</v>
      </c>
      <c r="AZ398" s="2">
        <f>IF(_xlfn.XLOOKUP(_xlfn.XLOOKUP(B398,'Base stats'!B:B,'Base stats'!E:E),Groups!A:A,Groups!D:D)=1,MROUND((1-J398)*5+1,2)*IF(J398&lt;=0.4,2,1),"No")</f>
        <v>2</v>
      </c>
      <c r="BA398" s="2" t="str">
        <f>IF(AND(_xlfn.XLOOKUP(B398,'Base stats'!B:B,'Base stats'!AH:AH)="&lt;li&gt;Seal&lt;/li&gt;",G398="Odyssey"),"&lt;li&gt;AEXP_Seal&lt;/li&gt;",_xlfn.XLOOKUP(B398,'Base stats'!B:B,'Base stats'!AH:AH))</f>
        <v>&lt;li&gt;Cassowary&lt;/li&gt;</v>
      </c>
      <c r="BB398" s="2" t="str">
        <f>_xlfn.XLOOKUP(B398,'Base stats'!B:B,'Base stats'!AG:AG)</f>
        <v>Leather_Bird</v>
      </c>
      <c r="BC398" s="23" t="str">
        <f>_xlfn.XLOOKUP(_xlfn.XLOOKUP(B398,'Base stats'!B:B,'Base stats'!E:E),Groups!A:A,Groups!AL:AL)</f>
        <v>Bird</v>
      </c>
      <c r="BD398" s="23">
        <f>MIN(1,MROUND(IF(AND(AO398&lt;0.5,_xlfn.XLOOKUP(B398,'Base stats'!B:B,'Base stats'!AA:AA)=0),0,IF(OR(_xlfn.XLOOKUP(Animals!B398,'Base stats'!B:B,'Base stats'!O:O)=2,_xlfn.XLOOKUP(_xlfn.XLOOKUP(B398,'Base stats'!B:B,'Base stats'!E:E),Groups!A:A,Groups!AN:AN)=0),0,_xlfn.XLOOKUP(_xlfn.XLOOKUP(B398,'Base stats'!B:B,'Base stats'!E:E),Groups!A:A,Groups!AN:AN)/IF(_xlfn.XLOOKUP(Animals!B398,'Base stats'!B:B,'Base stats'!O:O)=1,2,1)))+_xlfn.XLOOKUP(B398,'Base stats'!B:B,'Base stats'!AC:AC),0.005))</f>
        <v>0</v>
      </c>
      <c r="BE398" s="23">
        <f>MIN(1,MROUND(IF(AND(AO398&lt;0.5,_xlfn.XLOOKUP(B398,'Base stats'!B:B,'Base stats'!AA:AA)=0),0,IF(_xlfn.XLOOKUP(_xlfn.XLOOKUP(B398,'Base stats'!B:B,'Base stats'!E:E),Groups!A:A,Groups!AO:AO)=0,0,_xlfn.XLOOKUP(_xlfn.XLOOKUP(B398,'Base stats'!B:B,'Base stats'!E:E),Groups!A:A,Groups!AO:AO)/IF(_xlfn.XLOOKUP(Animals!B398,'Base stats'!B:B,'Base stats'!O:O)=2,3,1)))+_xlfn.XLOOKUP(B398,'Base stats'!B:B,'Base stats'!AD:AD),0.005))</f>
        <v>0</v>
      </c>
      <c r="BF398" s="2" t="str">
        <f>IF(J398&gt;0.3,"No",_xlfn.XLOOKUP(_xlfn.XLOOKUP(Animals!B398,'Base stats'!B:B,'Base stats'!E:E),Groups!A:A,Groups!AP:AP))</f>
        <v>No</v>
      </c>
      <c r="BG398" s="2" t="str">
        <f>IF(AND(J398&lt;=0.65,_xlfn.XLOOKUP(_xlfn.XLOOKUP(Animals!B398,'Base stats'!B:B,'Base stats'!E:E),Groups!A:A,Groups!AP:AP)&lt;&gt;"No",_xlfn.XLOOKUP(_xlfn.XLOOKUP(B398,'Base stats'!B:B,'Base stats'!E:E),Groups!A:A,Groups!D:D)=0),MROUND((80/3)*IF(_xlfn.XLOOKUP(B398,'Base stats'!B:B,'Base stats'!O:O)=2,0.2,AO398) + 24*(1-IF(BF398="No",0,BF398)) + 16/3, 12),"No")</f>
        <v>No</v>
      </c>
      <c r="BH398" s="2">
        <f>IF(AND(_xlfn.XLOOKUP(_xlfn.XLOOKUP(B398,'Base stats'!B:B,'Base stats'!E:E),Groups!A:A,Groups!AQ:AQ)=1,AO398&lt;=0.35),8,12)</f>
        <v>12</v>
      </c>
      <c r="BI398" s="2" t="str">
        <f>IF(_xlfn.XLOOKUP(_xlfn.XLOOKUP(B398,'Base stats'!B:B,'Base stats'!E:E),Groups!A:A,Groups!D:D)=0,_xlfn.XLOOKUP(_xlfn.XLOOKUP(B398,'Base stats'!B:B,'Base stats'!E:E),Groups!A:A,Groups!AR:AR),"None")</f>
        <v>None</v>
      </c>
      <c r="BJ398" s="2" t="str">
        <f>IF(AND(_xlfn.XLOOKUP(_xlfn.XLOOKUP(B398,'Base stats'!B:B,'Base stats'!E:E),Groups!A:A,Groups!AS:AS)=1,OR(_xlfn.XLOOKUP(B398,'Base stats'!B:B,'Base stats'!Y:Y)="Carnivore",_xlfn.XLOOKUP(B398,'Base stats'!B:B,'Base stats'!Y:Y)="Omnivore")),"true","false")</f>
        <v>false</v>
      </c>
      <c r="BK398" s="2" t="str">
        <f>IF(BJ398="true",MROUND(IF(AND(AO398&gt;0.5,OR(_xlfn.XLOOKUP(_xlfn.XLOOKUP(B398,'Base stats'!B:B,'Base stats'!E:E),Groups!A:A,Groups!AJ:AJ)="Photonozoa",_xlfn.XLOOKUP(_xlfn.XLOOKUP(B398,'Base stats'!B:B,'Base stats'!E:E),Groups!A:A,Groups!AJ:AJ)="Mammal")),Animals!AO398*1.75*IF(AW398="true",1.5,1),IF(AO398&lt;0.5,Animals!AO398*0.5,Animals!AO398)),IF(AO398&gt;2,0.5,IF(AO398&gt;0.5,0.25,0.1))),"No")</f>
        <v>No</v>
      </c>
      <c r="BL398" s="2">
        <f t="shared" si="52"/>
        <v>0</v>
      </c>
      <c r="BM398" s="25" t="str">
        <f>IF(_xlfn.XLOOKUP(B398,'Base stats'!B:B,'Base stats'!AN:AN)="Standard","No",MROUND((_xlfn.XLOOKUP(B398,'Base stats'!B:B,'Base stats'!AN:AN)/3.6)/I398,0.1))</f>
        <v>No</v>
      </c>
      <c r="BN398" s="25" t="str">
        <f t="shared" si="53"/>
        <v>false</v>
      </c>
      <c r="BO398" s="25" t="str">
        <f>IF(AND(OR(_xlfn.XLOOKUP(B398,'Base stats'!B:B,'Base stats'!Y:Y)="Carnivore",_xlfn.XLOOKUP(B398,'Base stats'!B:B,'Base stats'!Y:Y)="Omnivore",_xlfn.XLOOKUP(B398,'Base stats'!B:B,'Base stats'!Y:Y)="OmnivoreRough"),_xlfn.XLOOKUP(_xlfn.XLOOKUP(B398,'Base stats'!B:B,'Base stats'!E:E),Groups!A:A,Groups!AT:AT)=1),"true","false")</f>
        <v>false</v>
      </c>
      <c r="BP398" s="25" t="str" cm="1">
        <f t="array" ref="BP398">IF(
  _xlfn.TEXTJOIN(", ",TRUE,
    IF(AND(BJ398="true",AO398&gt;0.5,BI398&lt;&gt;"None"),"AttackTarget",""),
    IF(AND(_xlfn.XLOOKUP(_xlfn.XLOOKUP(B398,'Base stats'!B:B,'Base stats'!E:E),Groups!A:A,Groups!AJ:AJ="Mammal"),OR(_xlfn.XLOOKUP(B398,'Base stats'!B:B,'Base stats'!Y:Y)="Omnivore",_xlfn.XLOOKUP(B398,'Base stats'!B:B,'Base stats'!Y:Y)="OmnivoreRough")),"Forage",""),
    IF(BG398&lt;=36,"Comfort",""),
    IF(_xlfn.XLOOKUP(B398,'Base stats'!B:B,'Base stats'!AE:AE)&lt;&gt;"No",_xlfn.XLOOKUP(B398,'Base stats'!B:B,'Base stats'!AE:AE),"")
  ) = "",
  "No",
  _xlfn.TEXTJOIN(", ",TRUE,
    IF(AND(BJ398="true",AO398&gt;0.5,BI398&lt;&gt;"None"),"AttackTarget",""),
    IF(AND(_xlfn.XLOOKUP(_xlfn.XLOOKUP(B398,'Base stats'!B:B,'Base stats'!E:E),Groups!A:A,Groups!AJ:AJ="Mammal"),OR(_xlfn.XLOOKUP(B398,'Base stats'!B:B,'Base stats'!Y:Y)="Omnivore",_xlfn.XLOOKUP(B398,'Base stats'!B:B,'Base stats'!Y:Y)="OmnivoreRough")),"Forage",""),
    IF(BG398&lt;=36,"Comfort",""),
    IF(_xlfn.XLOOKUP(B398,'Base stats'!B:B,'Base stats'!AE:AE)&lt;&gt;"No",_xlfn.XLOOKUP(B398,'Base stats'!B:B,'Base stats'!AE:AE),"")
  )
)</f>
        <v>No</v>
      </c>
      <c r="BQ398" s="25" t="str">
        <f>IF(
   AND(
      'Base stats'!AN398="Standard",_xlfn.XLOOKUP(_xlfn.XLOOKUP(B398,'Base stats'!B:B,'Base stats'!E:E),Groups!A:A,Groups!AU:AU)=0,
      OR(
      BO398="True"
      )
   ),
   10,
   IF(
       OR(BM398&lt;&gt;"No",_xlfn.XLOOKUP(_xlfn.XLOOKUP(B398,'Base stats'!B:B,'Base stats'!E:E),Groups!A:A,Groups!AU:AU)=1),
      1,
      "No"
   )
)</f>
        <v>No</v>
      </c>
      <c r="BR398" s="9">
        <f>MROUND((1 + ((0.2*IF(OR(Q398="No",R398="No",R398=0),0,Q398/R398)
+IF(OR(V398="No",S398="No",T398="No"),0,S398/T398*(LEN(V398)-LEN(SUBSTITUTE(V398,",",""))+1))
+IF(OR(X398="No",Y398="No"),0,X398/Y398)
+IF(OR(AD398="No",AE398="No"),0,AD398/AE398)
+IF(OR(AL398="No",AI398="No",AJ398="No"),0,AI398/AJ398*(LEN(AL398)-LEN(SUBSTITUTE(AL398,",",""))+1))
)/(0.2*IF(OR(Q398="No",R398="No",R398=0),0,1)
+IF(OR(V398="No",S398="No",T398="No"),0,LEN(V398)-LEN(SUBSTITUTE(V398,",",""))+1)
+IF(OR(X398="No",Y398="No"),0,1)
+IF(OR(AD398="No",AE398="No"),0,1)
+IF(OR(AL398="No",AI398="No",AJ398="No"),0,LEN(AL398)-LEN(SUBSTITUTE(AL398,",",""))+1))*62%)* 2)*(1 + (AP398 / (IF(_xlfn.XLOOKUP(_xlfn.XLOOKUP(B398,'Base stats'!B:B,'Base stats'!E:E),Groups!A:A,Groups!AJ:AJ)="Photonozoa",0.3,1)) + _xlfn.XLOOKUP(B398,'Base stats'!B:B,'Base stats'!AV:AV) * 1.8) * 2) * 2.5 + 10 + I398 * 2,5)+IF(_xlfn.XLOOKUP(B398,'Base stats'!B:B,'Base stats'!AK:AK)=1,50,0)</f>
        <v>105</v>
      </c>
      <c r="BS398" s="8">
        <f t="shared" si="54"/>
        <v>1.05</v>
      </c>
      <c r="BT398" s="8" t="str">
        <f>_xlfn.XLOOKUP(B398,'Base stats'!B:B,'Base stats'!AF:AF)</f>
        <v>2~6</v>
      </c>
      <c r="BU398" s="2" t="str">
        <f>IF(AND(J398&lt;=0.95,OR(_xlfn.XLOOKUP(B398,'Base stats'!B:B,'Base stats'!AK:AK)=1,_xlfn.XLOOKUP(B398,'Base stats'!B:B,'Base stats'!Y:Y)="Carnivore",_xlfn.XLOOKUP(B398,'Base stats'!B:B,'Base stats'!Y:Y)="Omnivore",BE398&gt;0.1)),"true","false")</f>
        <v>false</v>
      </c>
      <c r="BV398" s="2" t="str">
        <f>IF(_xlfn.XLOOKUP(B398,'Base stats'!B:B,'Base stats'!AI:AI)=1,"true","false")</f>
        <v>false</v>
      </c>
      <c r="BW398" s="25" t="str">
        <f>IF(E398="BaseInsect","AnimalInsect",
IF(J398&gt;0.95,"AnimalExotic",
_xlfn.TEXTJOIN(", ",TRUE,
IF(OR(_xlfn.XLOOKUP(B398,'Base stats'!B:B,'Base stats'!AM:AM)=1,AND(_xlfn.XLOOKUP(B398,'Base stats'!B:B,'Base stats'!O:O)=0,_xlfn.XLOOKUP(_xlfn.XLOOKUP(B398,'Base stats'!B:B,'Base stats'!E:E),Groups!A:A,Groups!B:B)&gt;0)),"AnimalUncommon","AnimalCommon"),
IF(AND(_xlfn.XLOOKUP(B398,'Base stats'!B:B,'Base stats'!O:O)=2,_xlfn.XLOOKUP(_xlfn.XLOOKUP(B398,'Base stats'!B:B,'Base stats'!E:E),Groups!A:A,Groups!D:D)=0),"AnimalPet",IF(AND(_xlfn.XLOOKUP(B398,'Base stats'!B:B,'Base stats'!O:O)&lt;&gt;0,_xlfn.XLOOKUP(_xlfn.XLOOKUP(B398,'Base stats'!B:B,'Base stats'!E:E),Groups!A:A,Groups!D:D)&lt;&gt;0),"AnimalFarm","")),
IF(OR(_xlfn.XLOOKUP(B398,'Base stats'!B:B,'Base stats'!AK:AK)=1,AND(BI398&lt;&gt;"None",BR398&gt;=60),ISNUMBER(SEARCH("Attack target",BP398))),"AnimalFighter","")
)))</f>
        <v>AnimalUncommon</v>
      </c>
      <c r="BX398" s="25" t="str">
        <f>IF(G398="None",TRIM(
SUBSTITUTE(
IF(COUNTIF(Biomes!B$2:B$259,"="&amp;$C398)&gt;0,Biomes!B$1&amp;", ","")&amp;
IF(COUNTIF(Biomes!C$2:C$259,"="&amp;$C398)&gt;0,Biomes!C$1&amp;", ","")&amp;
IF(COUNTIF(Biomes!D$2:D$259,"="&amp;$C398)&gt;0,Biomes!D$1&amp;", ","")&amp;
IF(COUNTIF(Biomes!F$2:F$259,"="&amp;$C398)&gt;0,Biomes!F$1&amp;", ","")&amp;
IF(COUNTIF(Biomes!G$2:G$259,"="&amp;$C398)&gt;0,Biomes!G$1&amp;", ","")&amp;
IF(COUNTIF(Biomes!H$2:H$259,"="&amp;$C398)&gt;0,Biomes!H$1&amp;", ","")&amp;
IF(COUNTIF(Biomes!I$2:I$259,"="&amp;$C398)&gt;0,Biomes!I$1&amp;", ","")&amp;
IF(COUNTIF(Biomes!J$2:J$259,"="&amp;$C398)&gt;0,Biomes!J$1&amp;", ","")&amp;
IF(COUNTIF(Biomes!M$2:M$259,"="&amp;$C398)&gt;0,Biomes!M$1&amp;", ","")&amp;
IF(COUNTIF(Biomes!N$2:N$259,"="&amp;$C398)&gt;0,Biomes!N$1&amp;", ","")&amp;
IF(COUNTIF(Biomes!O$2:O$259,"="&amp;$C398)&gt;0,Biomes!O$1&amp;", ","")&amp;
IF(COUNTIF(Biomes!P$2:P$259,"="&amp;$C398)&gt;0,Biomes!P$1&amp;", ","")&amp;
IF(COUNTIF(Biomes!K$2:K$259,"="&amp;$C398)&gt;0,Biomes!K$1&amp;", ","")&amp;
IF(COUNTIF(Biomes!Q$3:Q$259,"="&amp;$C398)&gt;0,Biomes!Q$1&amp;", ","")&amp;
IF(COUNTIF(Biomes!L$2:L$259,"="&amp;$C398)&gt;0,Biomes!L$1&amp;", ","")&amp;
IF(COUNTIF(Biomes!E$2:E$259,"="&amp;$C398)&gt;0,Biomes!E$1&amp;", ","")&amp;IF(COUNTIF(Biomes!S$2:S$259,"="&amp;$C398)&gt;0,Biomes!S$1&amp;", ","")&amp;
IF(COUNTIF(Biomes!R$2:R$259,"="&amp;$C398)&gt;0,Biomes!R$1&amp;", ",""),", ","")
),_xlfn.XLOOKUP(B398,B:B,BX:BX))</f>
        <v/>
      </c>
      <c r="BY398" s="25" t="str">
        <f>IF(_xlfn.XLOOKUP(B398,'Base stats'!B:B,'Base stats'!AJ:AJ)=1,"true","false")</f>
        <v>false</v>
      </c>
      <c r="BZ398" s="25">
        <f>IF(_xlfn.XLOOKUP(B398,'Base stats'!B:B,'Base stats'!N:N)=1,"No",MAX(0.001,MIN(MROUND(IF(AND(BJ398="True",CC398="False"),POWER(10,3.47*LOG10(_xlfn.XLOOKUP(B398,'Base stats'!B:B,'Base stats'!C:C)*1000)^-0.96),POWER(10,4.15*LOG10(_xlfn.XLOOKUP(B398,'Base stats'!B:B,'Base stats'!C:C)*1000)^-0.73))*IF(_xlfn.XLOOKUP(B398,'Base stats'!B:B,'Base stats'!AK:AK)=1,0.5,1)*IF(_xlfn.XLOOKUP(B398,'Base stats'!B:B,'Base stats'!AM:AM)=1,0.1,1)/100,IF(_xlfn.XLOOKUP(B398,'Base stats'!B:B,'Base stats'!AM:AM)=1,0.001,0.025)),0.5)))</f>
        <v>1.8000000000000002E-2</v>
      </c>
      <c r="CA398" s="25" t="str">
        <f>IF(P398="Standard","No",MAX(0.001,MIN(MROUND(IF(AND(BJ398="True",CC398="False"),POWER(10,3.47*LOG10(_xlfn.XLOOKUP(B398,'Base stats'!B:B,'Base stats'!C:C)*1000)^-0.96),POWER(10,4.15*LOG10(_xlfn.XLOOKUP(B398,'Base stats'!B:B,'Base stats'!C:C)*1000)^-0.73))*IF(_xlfn.XLOOKUP(B398,'Base stats'!B:B,'Base stats'!AM:AM)=1,0.1,1)*_xlfn.XLOOKUP(B398,'Base stats'!B:B,'Base stats'!R:R)/100,IF(_xlfn.XLOOKUP(B398,'Base stats'!B:B,'Base stats'!AM:AM)=1,0.001,0.025)),0.5)))</f>
        <v>No</v>
      </c>
      <c r="CB398" s="25" t="str">
        <f>IF(_xlfn.XLOOKUP(_xlfn.XLOOKUP(B398,'Base stats'!B:B,'Base stats'!E:E),Groups!A:A,Groups!AJ:AJ)="Mammal","True","False")</f>
        <v>False</v>
      </c>
      <c r="CC398" s="25" t="str">
        <f>IF(OR(_xlfn.XLOOKUP(_xlfn.XLOOKUP(B398,'Base stats'!B:B,'Base stats'!E:E),Groups!A:A,Groups!AJ:AJ)="Reptile",_xlfn.XLOOKUP(_xlfn.XLOOKUP(B398,'Base stats'!B:B,'Base stats'!E:E),Groups!A:A,Groups!AJ:AJ)="Amphibian",_xlfn.XLOOKUP(_xlfn.XLOOKUP(B398,'Base stats'!B:B,'Base stats'!E:E),Groups!A:A,Groups!AJ:AJ)="Invertebrate"),"True","False")</f>
        <v>False</v>
      </c>
      <c r="CD398" s="25" t="str">
        <f t="shared" si="55"/>
        <v>False</v>
      </c>
      <c r="CE398" s="25" t="str">
        <f>IF(_xlfn.XLOOKUP(_xlfn.XLOOKUP(B398,'Base stats'!B:B,'Base stats'!E:E),Groups!A:A,Groups!AX:AX),"True","False")</f>
        <v>False</v>
      </c>
      <c r="CF398" s="25" t="str">
        <f>IF(_xlfn.XLOOKUP(_xlfn.XLOOKUP(B398,'Base stats'!B:B,'Base stats'!E:E),Groups!A:A,Groups!AY:AY),"True","False")</f>
        <v>False</v>
      </c>
      <c r="CG398" s="25" t="str">
        <f>IF(_xlfn.XLOOKUP(_xlfn.XLOOKUP(B398,'Base stats'!B:B,'Base stats'!E:E),Groups!A:A,Groups!AW:AW),"True","False")</f>
        <v>False</v>
      </c>
      <c r="CH398" s="25" t="str">
        <f>IF(
OR(
_xlfn.XLOOKUP(_xlfn.XLOOKUP(B398,'Base stats'!B:B,'Base stats'!E:E),Groups!A:A,Groups!AZ:AZ)=0,
AND(
_xlfn.XLOOKUP(B398,'Base stats'!B:B,'Base stats'!Y:Y)&lt;&gt;"Carnivore",
_xlfn.XLOOKUP(B398,'Base stats'!B:B,'Base stats'!Y:Y)&lt;&gt;"Omnivore",
_xlfn.XLOOKUP(B398,'Base stats'!B:B,'Base stats'!Y:Y)&lt;&gt;"OmnivoreRough"
)
),
"No",
IF(
_xlfn.XLOOKUP(_xlfn.XLOOKUP(B398,'Base stats'!B:B,'Base stats'!E:E),Groups!A:A,Groups!AZ:AZ)=1,
"Flesh",
IF(
_xlfn.XLOOKUP(_xlfn.XLOOKUP(B398,'Base stats'!B:B,'Base stats'!E:E),Groups!A:A,Groups!AZ:AZ)=2,
"Bone",
""
)
)
)</f>
        <v>No</v>
      </c>
      <c r="CI398" s="25" t="str">
        <f>IF(_xlfn.XLOOKUP(_xlfn.XLOOKUP(B398,'Base stats'!B:B,'Base stats'!E:E),Groups!A:A,Groups!BB:BB),"True","False")</f>
        <v>True</v>
      </c>
      <c r="CJ398" s="25" t="str">
        <f>IF(_xlfn.XLOOKUP(_xlfn.XLOOKUP(B398,'Base stats'!B:B,'Base stats'!E:E),Groups!A:A,Groups!BA:BA),"True","False")</f>
        <v>False</v>
      </c>
    </row>
    <row r="399" spans="1:88" ht="16.5" thickTop="1" thickBot="1" x14ac:dyDescent="0.3">
      <c r="A399" s="26" t="s">
        <v>2088</v>
      </c>
      <c r="B399" s="6" t="str">
        <f>_xlfn.XLOOKUP(A399,'Base stats'!A:A,'Base stats'!B:B)</f>
        <v>Macrauchenia patachonica</v>
      </c>
      <c r="C399" s="28" t="str">
        <f t="shared" si="56"/>
        <v>&lt;li&gt;Macrauchenia&lt;/li&gt;</v>
      </c>
      <c r="D399" s="28" t="s">
        <v>2126</v>
      </c>
      <c r="E399" s="28" t="s">
        <v>673</v>
      </c>
      <c r="F399" s="28" t="s">
        <v>673</v>
      </c>
      <c r="G399" s="28" t="s">
        <v>673</v>
      </c>
      <c r="H399" s="2">
        <f>MROUND((
  (IF(AND(_xlfn.XLOOKUP(B399,'Base stats'!B:B,'Base stats'!AL:AL)=0,BI399="None",_xlfn.XLOOKUP(_xlfn.XLOOKUP(B399,'Base stats'!B:B,'Base stats'!E:E),Groups!A:A,Groups!B:B)=0), (18 + BR399 * 2.7) * 0.5,
    IF(AND(_xlfn.XLOOKUP(B399,'Base stats'!B:B,'Base stats'!AL:AL)=0,OR(AO399&lt;0.55,AND(BI399="Intermediate",_xlfn.XLOOKUP(_xlfn.XLOOKUP(B399,'Base stats'!B:B,'Base stats'!E:E),Groups!A:A,Groups!B:B)&lt;2))), (18 + BR399 * 2.7),
      IF(OR(BI399="Advanced",_xlfn.XLOOKUP(B399,'Base stats'!B:B,'Base stats'!AL:AL)=1,_xlfn.XLOOKUP(_xlfn.XLOOKUP(B399,'Base stats'!B:B,'Base stats'!E:E),Groups!A:A,Groups!B:B)=2), (18 + BR399 * 2.7) + 250, (18 + BR399 * 2.7))
    )
  ))
  + AO399 * 80
  + IF(COUNTIF(EggMilk!K$2:K$998, A399) &gt; 0, 125, 0)
  + IF(COUNTIF(EggMilk!P$2:P$998, A399) &gt; 0, 90, 0)
  + IF(COUNTIF(EggMilk!A$2:A$998, A399) &gt; 0, 90, 0)
)
* (0.8 + 0.4 * J399)
* 0.75,25)</f>
        <v>475</v>
      </c>
      <c r="I399" s="2">
        <f>MROUND(ROUNDDOWN(_xlfn.XLOOKUP(B399,'Base stats'!B:B,'Base stats'!L:L)/3.6/(23.3/11),1),0.5)</f>
        <v>6.5</v>
      </c>
      <c r="J399" s="2">
        <f>IF(OR(_xlfn.XLOOKUP(B399,'Base stats'!B:B,'Base stats'!AB:AB)=1,_xlfn.XLOOKUP(_xlfn.XLOOKUP(B399,'Base stats'!B:B,'Base stats'!E:E),Groups!A:A,Groups!C:C)="Untamable"),1,IF(_xlfn.XLOOKUP(B399,'Base stats'!B:B,'Base stats'!AL:AL)=1,0.99,MIN(MROUND((1-0.6282*EXP(-0.459*AO399))*_xlfn.XLOOKUP(_xlfn.XLOOKUP(B399,'Base stats'!B:B,'Base stats'!E:E),Groups!A:A,Groups!C:C)*IF(_xlfn.XLOOKUP(B399,'Base stats'!B:B,'Base stats'!O:O)=1,0.5,IF(_xlfn.XLOOKUP(B399,'Base stats'!B:B,'Base stats'!O:O)=2,0,1)),0.05),IF(AO399&gt;3.5,0.985,0.95))))</f>
        <v>0.60000000000000009</v>
      </c>
      <c r="K399" s="2">
        <f>ROUNDUP(AO399*_xlfn.XLOOKUP(_xlfn.XLOOKUP(B399,'Base stats'!B:B,'Base stats'!E:E),Groups!A:A,Groups!E:E),0)</f>
        <v>18</v>
      </c>
      <c r="L399" s="2">
        <f>IF(OR(_xlfn.XLOOKUP(_xlfn.XLOOKUP(B399,'Base stats'!B:B,'Base stats'!E:E),Groups!A:A,Groups!F:F)=2,ISNUMBER(SEARCH("SeaIce",BX399)),ISNUMBER(SEARCH("IceSheet",BX399))),-50,IF(OR(ISNUMBER(SEARCH("GlacialPlain",BX399)),ISNUMBER(SEARCH("Tundra",BX399))),-40,IF(OR(ISNUMBER(SEARCH("Alpine",BX399)),ISNUMBER(SEARCH("BorealForest",BX399)),ISNUMBER(SEARCH("ColdBog",BX399))),-30,IF(OR(ISNUMBER(SEARCH("TemperateForest",BX399)),ISNUMBER(SEARCH("TemperateSwamp",BX399))),-20,IF(_xlfn.XLOOKUP(_xlfn.XLOOKUP(B399,'Base stats'!B:B,'Base stats'!E:E),Groups!A:A,Groups!F:F)=1,-15,IF(OR(ISNUMBER(SEARCH("Desert",BX399)),ISNUMBER(SEARCH("ExtremeDesert",BX399))),-10,IF(OR(ISNUMBER(SEARCH("Grasslands",BX399)),ISNUMBER(SEARCH("TropicalRainforest",BX399)),ISNUMBER(SEARCH("TropicalSwamp",BX399))),10,0)))))))-IF(CC399="False",MIN(IFERROR(MAX(MROUND(LOG10(_xlfn.XLOOKUP(B399,'Base stats'!B:B,'Base stats'!C:C)^(2/3))*10,5),5),5),30))-_xlfn.XLOOKUP(B399,'Base stats'!B:B,'Base stats'!P:P)+IF(CC399="True",5,0)</f>
        <v>-35</v>
      </c>
      <c r="M399" s="2">
        <f>IF(OR(_xlfn.XLOOKUP(_xlfn.XLOOKUP(B399,'Base stats'!B:B,'Base stats'!E:E),Groups!A:A,Groups!G:G)=2,ISNUMBER(SEARCH("Desert",BX399)),ISNUMBER(SEARCH("ExtremeDesert",BX399)),ISNUMBER(SEARCH("LavaField",BX399))),50,IF(ISNUMBER(SEARCH("Grasslands",BX399)),45,IF(OR(_xlfn.XLOOKUP(_xlfn.XLOOKUP(B399,'Base stats'!B:B,'Base stats'!E:E),Groups!A:A,Groups!G:G)=1,ISNUMBER(SEARCH("TropicalRainforest",BX399)),ISNUMBER(SEARCH("TropicalSwamp",BX399))),40,IF(OR(ISNUMBER(SEARCH("TemperateForest",BX399)),ISNUMBER(SEARCH("TemperateSwamp",BX399))),35,IF(OR(ISNUMBER(SEARCH("Alpine",BX399)),ISNUMBER(SEARCH("BorealForest",BX399)),ISNUMBER(SEARCH("ColdBog",BX399))),30,IF(ISNUMBER(OR(ISNUMBER(SEARCH("GlacialPlain",BX399)),SEARCH("Tundra",BX399))),25,IF(OR(ISNUMBER(SEARCH("SeaIce",BX399)),ISNUMBER(SEARCH("IceSheet",BX399)),ISNUMBER(SEARCH("TropicalSwamp",BX399))),10,35)))))))+_xlfn.XLOOKUP(B399,'Base stats'!B:B,'Base stats'!Q:Q)</f>
        <v>35</v>
      </c>
      <c r="N399" s="8" t="str">
        <f>IF(
_xlfn.XLOOKUP(
_xlfn.XLOOKUP(B399,'Base stats'!B:B,'Base stats'!E:E),
Groups!A:A,
Groups!L:L
)=1,
MIN(
MROUND(
IF(
_xlfn.XLOOKUP(B399,'Animals CE'!B:B,'Animals CE'!Z:Z)&lt;=1.5,
_xlfn.XLOOKUP(B399,'Animals CE'!B:B,'Animals CE'!Z:Z)/2+0.05,
0.8+
(_xlfn.XLOOKUP(B399,'Animals CE'!B:B,'Animals CE'!Z:Z)-1.5)
*0.02
),
0.05
),
200%
),
"No"
)</f>
        <v>No</v>
      </c>
      <c r="O399" s="8" t="str">
        <f>IF(
_xlfn.XLOOKUP(
_xlfn.XLOOKUP(B399,'Base stats'!B:B,'Base stats'!E:E),
Groups!A:A,
Groups!L:L
)=1,
MIN(
MROUND(
IF(
_xlfn.XLOOKUP(B399,'Animals CE'!B:B,'Animals CE'!AA:AA)&lt;=1.5,
_xlfn.XLOOKUP(B399,'Animals CE'!B:B,'Animals CE'!AA:AA)/2+0.05,
0.8+
(_xlfn.XLOOKUP(B399,'Animals CE'!B:B,'Animals CE'!AA:AA)-1.5)
*0.02
),
0.05
),
200%
),
"No"
)</f>
        <v>No</v>
      </c>
      <c r="P399" s="2" t="str">
        <f>_xlfn.XLOOKUP(B399,'Base stats'!B:B,'Base stats'!R:R)</f>
        <v>Standard</v>
      </c>
      <c r="Q399" s="13">
        <f>MROUND((LOG10(_xlfn.XLOOKUP(B399,'Base stats'!B:B,'Base stats'!AR:AR))*(AO399^0.5)+(_xlfn.XLOOKUP(B399,'Base stats'!B:B,'Base stats'!AR:AR)/1000)^(2/3)+_xlfn.XLOOKUP(B399,'Base stats'!B:B,'Base stats'!BA:BA)/2)+0.5,0.5)</f>
        <v>20.5</v>
      </c>
      <c r="R399" s="7">
        <f>IF(Q399="No","No",MAX(1,MROUND(_xlfn.XLOOKUP(B399,'Base stats'!B:B,'Base stats'!C:C)^0.165,0.05)))</f>
        <v>3.1500000000000004</v>
      </c>
      <c r="S399" s="13">
        <f>IF(_xlfn.XLOOKUP(_xlfn.XLOOKUP(B399,'Base stats'!B:B,'Base stats'!E:E),Groups!A:A,Groups!P:P)=0,"No",MROUND((LOG10(_xlfn.XLOOKUP(B399,'Base stats'!B:B,'Base stats'!AS:AS))*(AO399^0.5)+(_xlfn.XLOOKUP(B399,'Base stats'!B:B,'Base stats'!AS:AS)/1000)^(2/3)+_xlfn.XLOOKUP(B399,'Base stats'!B:B,'Base stats'!BA:BA))+_xlfn.XLOOKUP(B399,'Base stats'!B:B,'Base stats'!AY:AY)+0.5,0.5))</f>
        <v>24.5</v>
      </c>
      <c r="T399" s="7">
        <f>IF(S399="No","No",MAX(_xlfn.XLOOKUP(_xlfn.XLOOKUP(B399,'Base stats'!B:B,'Base stats'!E:E),Groups!A:A,Groups!Q:Q),MROUND(_xlfn.XLOOKUP(_xlfn.XLOOKUP(B399,'Base stats'!B:B,'Base stats'!E:E),Groups!A:A,Groups!Q:Q)*_xlfn.XLOOKUP(B399,'Base stats'!B:B,'Base stats'!C:C)^0.165,0.05)))</f>
        <v>2.95</v>
      </c>
      <c r="U399" s="7" t="str">
        <f>IF(S399="No","No",_xlfn.XLOOKUP(_xlfn.XLOOKUP(B399,'Base stats'!B:B,'Base stats'!E:E),Groups!A:A,Groups!R:R))</f>
        <v>FrontLeftLeg, FrontRightLeg</v>
      </c>
      <c r="V399" s="7" t="str">
        <f>IF(S399="No","No",_xlfn.XLOOKUP(_xlfn.XLOOKUP(B399,'Base stats'!B:B,'Base stats'!E:E),Groups!A:A,Groups!S:S))</f>
        <v>left hoof, right hoof</v>
      </c>
      <c r="W399" s="7" t="str">
        <f>IF(S399="No","No",_xlfn.XLOOKUP(_xlfn.XLOOKUP(B399,'Base stats'!B:B,'Base stats'!E:E),Groups!A:A,Groups!T:T))</f>
        <v>Blunt</v>
      </c>
      <c r="X399" s="13" t="str">
        <f>IF(_xlfn.XLOOKUP(B399,'Base stats'!B:B,'Base stats'!W:W)="No","No",MROUND((LOG10(_xlfn.XLOOKUP(B399,'Base stats'!B:B,'Base stats'!AU:AU))*(AO399^0.5)+(_xlfn.XLOOKUP(B399,'Base stats'!B:B,'Base stats'!AU:AU)/1000)^(2/3)+_xlfn.XLOOKUP(B399,'Base stats'!B:B,'Base stats'!AZ:AZ))+0.5+IF(_xlfn.XLOOKUP(_xlfn.XLOOKUP(B399,'Base stats'!B:B,'Base stats'!E:E),Groups!A:A,Groups!U:U)&lt;&gt;3,_xlfn.XLOOKUP(B399,'Base stats'!B:B,'Base stats'!BA:BA),0),0.5))</f>
        <v>No</v>
      </c>
      <c r="Y399" s="7" t="str">
        <f>IF(X399="No","No",MAX(_xlfn.XLOOKUP(_xlfn.XLOOKUP(B399,'Base stats'!B:B,'Base stats'!E:E),Groups!A:A,Groups!V:V),MROUND(_xlfn.XLOOKUP(_xlfn.XLOOKUP(B399,'Base stats'!B:B,'Base stats'!E:E),Groups!A:A,Groups!V:V)*_xlfn.XLOOKUP(B399,'Base stats'!B:B,'Base stats'!C:C)^0.165,0.05)))</f>
        <v>No</v>
      </c>
      <c r="Z399" s="7" t="str">
        <f>IF(X399="No","No",_xlfn.XLOOKUP(_xlfn.XLOOKUP(B399,'Base stats'!B:B,'Base stats'!E:E),Groups!A:A,Groups!W:W))</f>
        <v>No</v>
      </c>
      <c r="AA399" s="7" t="str">
        <f>IF(X399="No","No",_xlfn.XLOOKUP(_xlfn.XLOOKUP(B399,'Base stats'!B:B,'Base stats'!E:E),Groups!A:A,Groups!X:X))</f>
        <v>No</v>
      </c>
      <c r="AB399" s="7" t="str">
        <f>IF(X399="No","No",_xlfn.XLOOKUP(_xlfn.XLOOKUP(B399,'Base stats'!B:B,'Base stats'!E:E),Groups!A:A,Groups!Y:Y))</f>
        <v>No</v>
      </c>
      <c r="AC399" s="7" t="str">
        <f>_xlfn.XLOOKUP(Animals!B399,'Base stats'!B:B,'Base stats'!X:X)</f>
        <v>False</v>
      </c>
      <c r="AD399" s="13">
        <f>IF(_xlfn.XLOOKUP(B399,'Base stats'!B:B,'Base stats'!AT:AT)="No","No",MROUND((LOG10(_xlfn.XLOOKUP(B399,'Base stats'!B:B,'Base stats'!AT:AT))*(AO399^0.75)+(_xlfn.XLOOKUP(B399,'Base stats'!B:B,'Base stats'!AT:AT)/1000)^(2/3)+_xlfn.XLOOKUP(B399,'Base stats'!B:B,'Base stats'!AX:AX)+_xlfn.XLOOKUP(B399,'Base stats'!B:B,'Base stats'!BA:BA))+0.5,0.5))</f>
        <v>25.5</v>
      </c>
      <c r="AE399" s="7">
        <f>IF(AD399="No","No",MAX(_xlfn.XLOOKUP(_xlfn.XLOOKUP(B399,'Base stats'!B:B,'Base stats'!E:E),Groups!A:A,Groups!Z:Z),MROUND(_xlfn.XLOOKUP(_xlfn.XLOOKUP(B399,'Base stats'!B:B,'Base stats'!E:E),Groups!A:A,Groups!Z:Z)*_xlfn.XLOOKUP(B399,'Base stats'!B:B,'Base stats'!C:C)^0.165,0.05)))</f>
        <v>3.1500000000000004</v>
      </c>
      <c r="AF399" s="7" t="str">
        <f>IF(AD399="No","No",_xlfn.XLOOKUP(_xlfn.XLOOKUP(B399,'Base stats'!B:B,'Base stats'!E:E),Groups!A:A,Groups!AA:AA))</f>
        <v>Teeth</v>
      </c>
      <c r="AG399" s="7" t="str">
        <f>IF(AD399="No","No",_xlfn.XLOOKUP(_xlfn.XLOOKUP(B399,'Base stats'!B:B,'Base stats'!E:E),Groups!A:A,Groups!AB:AB))</f>
        <v>teeth</v>
      </c>
      <c r="AH399" s="7" t="str">
        <f>IF(AD399="No","No",_xlfn.XLOOKUP(_xlfn.XLOOKUP(B399,'Base stats'!B:B,'Base stats'!E:E),Groups!A:A,Groups!AC:AC))</f>
        <v>Bite</v>
      </c>
      <c r="AI399" s="13" t="str">
        <f>IF(_xlfn.XLOOKUP(_xlfn.XLOOKUP(B399,'Base stats'!B:B,'Base stats'!E:E),Groups!A:A,Groups!AD:AD)=0,"No",MROUND((LOG10(_xlfn.XLOOKUP(B399,'Base stats'!B:B,'Base stats'!AS:AS))*(AO399^0.75)+(_xlfn.XLOOKUP(B399,'Base stats'!B:B,'Base stats'!AS:AS)/1000)^(2/3)+_xlfn.XLOOKUP(B399,'Base stats'!B:B,'Base stats'!AY:AY)+_xlfn.XLOOKUP(B399,'Base stats'!B:B,'Base stats'!BA:BA))+0.5,0.5))</f>
        <v>No</v>
      </c>
      <c r="AJ399" s="7" t="str">
        <f>IF(AI399="No","No",MAX(_xlfn.XLOOKUP(_xlfn.XLOOKUP(B399,'Base stats'!B:B,'Base stats'!E:E),Groups!A:A,Groups!AE:AE),MROUND(_xlfn.XLOOKUP(_xlfn.XLOOKUP(B399,'Base stats'!B:B,'Base stats'!E:E),Groups!A:A,Groups!AE:AE)*IF(_xlfn.XLOOKUP(_xlfn.XLOOKUP(B399,'Base stats'!B:B,'Base stats'!E:E),Groups!A:A,Groups!AJ:AJ)="Photonozoa",0.6,1)*_xlfn.XLOOKUP(B399,'Base stats'!B:B,'Base stats'!C:C)^0.165,0.05)))</f>
        <v>No</v>
      </c>
      <c r="AK399" s="7" t="str">
        <f>IF(AI399="No","No",_xlfn.XLOOKUP(_xlfn.XLOOKUP(B399,'Base stats'!B:B,'Base stats'!E:E),Groups!A:A,Groups!AF:AF))</f>
        <v>No</v>
      </c>
      <c r="AL399" s="7" t="str">
        <f>IF(AI399="No","No",_xlfn.XLOOKUP(_xlfn.XLOOKUP(B399,'Base stats'!B:B,'Base stats'!E:E),Groups!A:A,Groups!AG:AG))</f>
        <v>No</v>
      </c>
      <c r="AM399" s="7" t="str">
        <f>IF(AI399="No","No",_xlfn.XLOOKUP(_xlfn.XLOOKUP(B399,'Base stats'!B:B,'Base stats'!E:E),Groups!A:A,Groups!AH:AH))</f>
        <v>No</v>
      </c>
      <c r="AN399" s="2" t="str">
        <f t="shared" si="49"/>
        <v>No</v>
      </c>
      <c r="AO399" s="2">
        <f>MROUND(IF(AND(_xlfn.XLOOKUP(B399,'Base stats'!B:B,'Base stats'!C:C)&gt;=0.5,_xlfn.XLOOKUP(B399,'Base stats'!B:B,'Base stats'!C:C)&lt;=0.8),
IF(_xlfn.XLOOKUP(B399,'Base stats'!B:B,'Base stats'!C:C)&lt;0.1,0.05,IF(_xlfn.XLOOKUP(B399,'Base stats'!B:B,'Base stats'!C:C)&lt;=70,(_xlfn.XLOOKUP(B399,'Base stats'!B:B,'Base stats'!C:C)/70)^0.426489913056526,IF(_xlfn.XLOOKUP(B399,'Base stats'!B:B,'Base stats'!C:C)&lt;=400,(_xlfn.XLOOKUP(B399,'Base stats'!B:B,'Base stats'!C:C)/70)^0.572811455315093,IF(_xlfn.XLOOKUP(B399,'Base stats'!B:B,'Base stats'!C:C)&lt;=2000,2.71391647193063*(_xlfn.XLOOKUP(B399,'Base stats'!B:B,'Base stats'!C:C)/400)^0.252459582904293,3.74314280240376*(_xlfn.XLOOKUP(B399,'Base stats'!B:B,'Base stats'!C:C)/2000)^0.357012633876913)))),
IF(_xlfn.XLOOKUP(B399,'Base stats'!B:B,'Base stats'!C:C)&lt;0.1,0.05,IF(_xlfn.XLOOKUP(B399,'Base stats'!B:B,'Base stats'!C:C)&lt;0.4,0.1,IF(_xlfn.XLOOKUP(B399,'Base stats'!B:B,'Base stats'!C:C)&lt;=70,(_xlfn.XLOOKUP(B399,'Base stats'!B:B,'Base stats'!C:C)/70)^0.445823913056526,IF(_xlfn.XLOOKUP(B399,'Base stats'!B:B,'Base stats'!C:C)&lt;=400,(_xlfn.XLOOKUP(B399,'Base stats'!B:B,'Base stats'!C:C)/70)^0.572811455315093,IF(_xlfn.XLOOKUP(B399,'Base stats'!B:B,'Base stats'!C:C)&lt;=2000,2.71391647193063*(_xlfn.XLOOKUP(B399,'Base stats'!B:B,'Base stats'!C:C)/400)^0.252459582904293,3.74314280240376*(_xlfn.XLOOKUP(B399,'Base stats'!B:B,'Base stats'!C:C)/2000)^0.357012633876913)))))),
IF(_xlfn.XLOOKUP(B399,'Base stats'!B:B,'Base stats'!C:C)&lt;0.1,0.05,IF(_xlfn.XLOOKUP(B399,'Base stats'!B:B,'Base stats'!C:C)&lt;=100,0.05,IF(_xlfn.XLOOKUP(B399,'Base stats'!B:B,'Base stats'!C:C)&lt;=250,0.1,IF(_xlfn.XLOOKUP(B399,'Base stats'!B:B,'Base stats'!C:C)&lt;=4000,0.25,0.5)))))</f>
        <v>3.5</v>
      </c>
      <c r="AP399" s="8">
        <f>MROUND(AO399*_xlfn.XLOOKUP(_xlfn.XLOOKUP(B399,'Base stats'!B:B,'Base stats'!E:E),Groups!A:A,Groups!AI:AI)*_xlfn.XLOOKUP(B399,'Base stats'!B:B,'Base stats'!Z:Z),0.05)</f>
        <v>3.5</v>
      </c>
      <c r="AQ399" s="8">
        <f>MAX(0.01,MROUND(IF(CC399="True",0.196*(AO399*100*1000)^0.889,IF(_xlfn.XLOOKUP(_xlfn.XLOOKUP(B399,'Base stats'!B:B,'Base stats'!E:E),Groups!A:A,Groups!AJ:AJ)="Bird",10.5*(AO399*100*1000)^0.681,4.82*(AO399*100*1000)^0.734))/(4.82*(1*100*1000)^0.734)/IF(AO399&lt;3.5,2,IF(AO399=3.5,1.5,1.25))*(1+0.132282374779864/(AO399^0.994035016789033+0.00905238001496948)),0.05))</f>
        <v>1.75</v>
      </c>
      <c r="AR399" s="9">
        <f>IFERROR(MROUND(_xlfn.XLOOKUP(B399,'Base stats'!B:B,'Base stats'!H:H)/IF(_xlfn.XLOOKUP(B399,'Base stats'!B:B,'Base stats'!I:I)&lt;&gt;1,(122.5/70),1.2),IF(_xlfn.XLOOKUP(B399,'Base stats'!B:B,'Base stats'!H:H)&gt;=30,5,IF(_xlfn.XLOOKUP(B399,'Base stats'!B:B,'Base stats'!H:H)&gt;=15,3,IF(_xlfn.XLOOKUP(B399,'Base stats'!B:B,'Base stats'!H:H)&gt;=10,2,1)))),"Immortal")</f>
        <v>25</v>
      </c>
      <c r="AS399" s="35">
        <f>IFERROR(IF(OR(_xlfn.XLOOKUP(B399,'Base stats'!B:B,'Base stats'!F:F)="Atypical reproduction",_xlfn.XLOOKUP(B399,'Base stats'!B:B,'Base stats'!F:F)="Lay eggs"),"Lay eggs",MIN(20,MAX(5.5,ROUND(((_xlfn.XLOOKUP(B399,'Base stats'!B:B,'Base stats'!F:F)-25)*(14.5/615) + 5.5)*2,0)/2))),"Unknown")</f>
        <v>12</v>
      </c>
      <c r="AT399" s="8">
        <f>IF(_xlfn.XLOOKUP(B399,'Base stats'!B:B,'Base stats'!G:G)="Atypical reproduction","No",IFERROR(MAX(IF(_xlfn.XLOOKUP(B399,'Base stats'!B:B,'Base stats'!G:G)&lt;0.5,0.2,0.3),MROUND(_xlfn.XLOOKUP(B399,'Base stats'!B:B,'Base stats'!G:G)/(365/60),0.2)),"Unknown"))</f>
        <v>0.4</v>
      </c>
      <c r="AU399" s="8">
        <f t="shared" si="50"/>
        <v>0.2</v>
      </c>
      <c r="AV399" s="8">
        <f>IFERROR(IFERROR(MROUND(_xlfn.XLOOKUP(B399,'Base stats'!B:B,'Base stats'!J:J),0.1),"Lay eggs"),"Cannot breed")</f>
        <v>1</v>
      </c>
      <c r="AW399" s="2" t="str">
        <f t="shared" si="51"/>
        <v>true</v>
      </c>
      <c r="AX399" s="2" t="str">
        <f>IF(_xlfn.XLOOKUP(_xlfn.XLOOKUP(Animals!B399,'Base stats'!B:B,'Base stats'!E:E),Groups!A:A,Groups!AK:AK)=1,"true","false")</f>
        <v>true</v>
      </c>
      <c r="AY399" s="25" t="str">
        <f>IF(_xlfn.XLOOKUP(B399,'Base stats'!B:B,'Base stats'!Y:Y)="Liquor","Liquor, CarnivoreAnimalStrict",IF(AND(_xlfn.XLOOKUP(B399,'Base stats'!B:B,'Base stats'!Y:Y)="Carnivore",_xlfn.XLOOKUP(_xlfn.XLOOKUP(B399,'Base stats'!B:B,'Base stats'!E:E),Groups!A:A,Groups!AJ:AJ)="Photonozoa"),"CarnivoreAnimalStrict, OvivoreAnimal",IF(_xlfn.XLOOKUP(B399,'Base stats'!B:B,'Base stats'!Y:Y)="Carnivore","CarnivoreAnimal, OvivoreAnimal",IF(_xlfn.XLOOKUP(B399,'Base stats'!B:B,'Base stats'!Y:Y)="Dendrovore","VegetarianRoughAnimal, DendrovoreAnimal",IF(_xlfn.XLOOKUP(B399,'Base stats'!B:B,'Base stats'!Y:Y)="Herbivore","VegetarianRoughAnimal",IF(_xlfn.XLOOKUP(B399,'Base stats'!B:B,'Base stats'!Y:Y)="OmnivoreRough","OmnivoreRoughAnimal, OvivoreAnimal","OmnivoreAnimal, OvivoreAnimal"))))))</f>
        <v>VegetarianRoughAnimal</v>
      </c>
      <c r="AZ399" s="2">
        <f>IF(_xlfn.XLOOKUP(_xlfn.XLOOKUP(B399,'Base stats'!B:B,'Base stats'!E:E),Groups!A:A,Groups!D:D)=1,MROUND((1-J399)*5+1,2)*IF(J399&lt;=0.4,2,1),"No")</f>
        <v>4</v>
      </c>
      <c r="BA399" s="2" t="str">
        <f>IF(AND(_xlfn.XLOOKUP(B399,'Base stats'!B:B,'Base stats'!AH:AH)="&lt;li&gt;Seal&lt;/li&gt;",G399="Odyssey"),"&lt;li&gt;AEXP_Seal&lt;/li&gt;",_xlfn.XLOOKUP(B399,'Base stats'!B:B,'Base stats'!AH:AH))</f>
        <v>No</v>
      </c>
      <c r="BB399" s="2" t="str">
        <f>_xlfn.XLOOKUP(B399,'Base stats'!B:B,'Base stats'!AG:AG)</f>
        <v>Leather_Camel</v>
      </c>
      <c r="BC399" s="23" t="str">
        <f>_xlfn.XLOOKUP(_xlfn.XLOOKUP(B399,'Base stats'!B:B,'Base stats'!E:E),Groups!A:A,Groups!AL:AL)</f>
        <v>QuadrupedAnimalWithHooves</v>
      </c>
      <c r="BD399" s="23">
        <f>MIN(1,MROUND(IF(AND(AO399&lt;0.5,_xlfn.XLOOKUP(B399,'Base stats'!B:B,'Base stats'!AA:AA)=0),0,IF(OR(_xlfn.XLOOKUP(Animals!B399,'Base stats'!B:B,'Base stats'!O:O)=2,_xlfn.XLOOKUP(_xlfn.XLOOKUP(B399,'Base stats'!B:B,'Base stats'!E:E),Groups!A:A,Groups!AN:AN)=0),0,_xlfn.XLOOKUP(_xlfn.XLOOKUP(B399,'Base stats'!B:B,'Base stats'!E:E),Groups!A:A,Groups!AN:AN)/IF(_xlfn.XLOOKUP(Animals!B399,'Base stats'!B:B,'Base stats'!O:O)=1,2,1)))+_xlfn.XLOOKUP(B399,'Base stats'!B:B,'Base stats'!AC:AC),0.005))</f>
        <v>0</v>
      </c>
      <c r="BE399" s="23">
        <f>MIN(1,MROUND(IF(AND(AO399&lt;0.5,_xlfn.XLOOKUP(B399,'Base stats'!B:B,'Base stats'!AA:AA)=0),0,IF(_xlfn.XLOOKUP(_xlfn.XLOOKUP(B399,'Base stats'!B:B,'Base stats'!E:E),Groups!A:A,Groups!AO:AO)=0,0,_xlfn.XLOOKUP(_xlfn.XLOOKUP(B399,'Base stats'!B:B,'Base stats'!E:E),Groups!A:A,Groups!AO:AO)/IF(_xlfn.XLOOKUP(Animals!B399,'Base stats'!B:B,'Base stats'!O:O)=2,3,1)))+_xlfn.XLOOKUP(B399,'Base stats'!B:B,'Base stats'!AD:AD),0.005))</f>
        <v>0</v>
      </c>
      <c r="BF399" s="2" t="str">
        <f>IF(J399&gt;0.3,"No",_xlfn.XLOOKUP(_xlfn.XLOOKUP(Animals!B399,'Base stats'!B:B,'Base stats'!E:E),Groups!A:A,Groups!AP:AP))</f>
        <v>No</v>
      </c>
      <c r="BG399" s="2" t="str">
        <f>IF(AND(J399&lt;=0.65,_xlfn.XLOOKUP(_xlfn.XLOOKUP(Animals!B399,'Base stats'!B:B,'Base stats'!E:E),Groups!A:A,Groups!AP:AP)&lt;&gt;"No",_xlfn.XLOOKUP(_xlfn.XLOOKUP(B399,'Base stats'!B:B,'Base stats'!E:E),Groups!A:A,Groups!D:D)=0),MROUND((80/3)*IF(_xlfn.XLOOKUP(B399,'Base stats'!B:B,'Base stats'!O:O)=2,0.2,AO399) + 24*(1-IF(BF399="No",0,BF399)) + 16/3, 12),"No")</f>
        <v>No</v>
      </c>
      <c r="BH399" s="2">
        <f>IF(AND(_xlfn.XLOOKUP(_xlfn.XLOOKUP(B399,'Base stats'!B:B,'Base stats'!E:E),Groups!A:A,Groups!AQ:AQ)=1,AO399&lt;=0.35),8,12)</f>
        <v>12</v>
      </c>
      <c r="BI399" s="2" t="str">
        <f>IF(_xlfn.XLOOKUP(_xlfn.XLOOKUP(B399,'Base stats'!B:B,'Base stats'!E:E),Groups!A:A,Groups!D:D)=0,_xlfn.XLOOKUP(_xlfn.XLOOKUP(B399,'Base stats'!B:B,'Base stats'!E:E),Groups!A:A,Groups!AR:AR),"None")</f>
        <v>None</v>
      </c>
      <c r="BJ399" s="2" t="str">
        <f>IF(AND(_xlfn.XLOOKUP(_xlfn.XLOOKUP(B399,'Base stats'!B:B,'Base stats'!E:E),Groups!A:A,Groups!AS:AS)=1,OR(_xlfn.XLOOKUP(B399,'Base stats'!B:B,'Base stats'!Y:Y)="Carnivore",_xlfn.XLOOKUP(B399,'Base stats'!B:B,'Base stats'!Y:Y)="Omnivore")),"true","false")</f>
        <v>false</v>
      </c>
      <c r="BK399" s="2" t="str">
        <f>IF(BJ399="true",MROUND(IF(AND(AO399&gt;0.5,OR(_xlfn.XLOOKUP(_xlfn.XLOOKUP(B399,'Base stats'!B:B,'Base stats'!E:E),Groups!A:A,Groups!AJ:AJ)="Photonozoa",_xlfn.XLOOKUP(_xlfn.XLOOKUP(B399,'Base stats'!B:B,'Base stats'!E:E),Groups!A:A,Groups!AJ:AJ)="Mammal")),Animals!AO399*1.75*IF(AW399="true",1.5,1),IF(AO399&lt;0.5,Animals!AO399*0.5,Animals!AO399)),IF(AO399&gt;2,0.5,IF(AO399&gt;0.5,0.25,0.1))),"No")</f>
        <v>No</v>
      </c>
      <c r="BL399" s="2">
        <f t="shared" si="52"/>
        <v>0</v>
      </c>
      <c r="BM399" s="25" t="str">
        <f>IF(_xlfn.XLOOKUP(B399,'Base stats'!B:B,'Base stats'!AN:AN)="Standard","No",MROUND((_xlfn.XLOOKUP(B399,'Base stats'!B:B,'Base stats'!AN:AN)/3.6)/I399,0.1))</f>
        <v>No</v>
      </c>
      <c r="BN399" s="25" t="str">
        <f t="shared" si="53"/>
        <v>false</v>
      </c>
      <c r="BO399" s="25" t="str">
        <f>IF(AND(OR(_xlfn.XLOOKUP(B399,'Base stats'!B:B,'Base stats'!Y:Y)="Carnivore",_xlfn.XLOOKUP(B399,'Base stats'!B:B,'Base stats'!Y:Y)="Omnivore",_xlfn.XLOOKUP(B399,'Base stats'!B:B,'Base stats'!Y:Y)="OmnivoreRough"),_xlfn.XLOOKUP(_xlfn.XLOOKUP(B399,'Base stats'!B:B,'Base stats'!E:E),Groups!A:A,Groups!AT:AT)=1),"true","false")</f>
        <v>false</v>
      </c>
      <c r="BP399" s="25" t="str" cm="1">
        <f t="array" ref="BP399">IF(
  _xlfn.TEXTJOIN(", ",TRUE,
    IF(AND(BJ399="true",AO399&gt;0.5,BI399&lt;&gt;"None"),"AttackTarget",""),
    IF(AND(_xlfn.XLOOKUP(_xlfn.XLOOKUP(B399,'Base stats'!B:B,'Base stats'!E:E),Groups!A:A,Groups!AJ:AJ="Mammal"),OR(_xlfn.XLOOKUP(B399,'Base stats'!B:B,'Base stats'!Y:Y)="Omnivore",_xlfn.XLOOKUP(B399,'Base stats'!B:B,'Base stats'!Y:Y)="OmnivoreRough")),"Forage",""),
    IF(BG399&lt;=36,"Comfort",""),
    IF(_xlfn.XLOOKUP(B399,'Base stats'!B:B,'Base stats'!AE:AE)&lt;&gt;"No",_xlfn.XLOOKUP(B399,'Base stats'!B:B,'Base stats'!AE:AE),"")
  ) = "",
  "No",
  _xlfn.TEXTJOIN(", ",TRUE,
    IF(AND(BJ399="true",AO399&gt;0.5,BI399&lt;&gt;"None"),"AttackTarget",""),
    IF(AND(_xlfn.XLOOKUP(_xlfn.XLOOKUP(B399,'Base stats'!B:B,'Base stats'!E:E),Groups!A:A,Groups!AJ:AJ="Mammal"),OR(_xlfn.XLOOKUP(B399,'Base stats'!B:B,'Base stats'!Y:Y)="Omnivore",_xlfn.XLOOKUP(B399,'Base stats'!B:B,'Base stats'!Y:Y)="OmnivoreRough")),"Forage",""),
    IF(BG399&lt;=36,"Comfort",""),
    IF(_xlfn.XLOOKUP(B399,'Base stats'!B:B,'Base stats'!AE:AE)&lt;&gt;"No",_xlfn.XLOOKUP(B399,'Base stats'!B:B,'Base stats'!AE:AE),"")
  )
)</f>
        <v>No</v>
      </c>
      <c r="BQ399" s="25" t="str">
        <f>IF(
   AND(
      'Base stats'!AN399="Standard",_xlfn.XLOOKUP(_xlfn.XLOOKUP(B399,'Base stats'!B:B,'Base stats'!E:E),Groups!A:A,Groups!AU:AU)=0,
      OR(
      BO399="True"
      )
   ),
   10,
   IF(
       OR(BM399&lt;&gt;"No",_xlfn.XLOOKUP(_xlfn.XLOOKUP(B399,'Base stats'!B:B,'Base stats'!E:E),Groups!A:A,Groups!AU:AU)=1),
      1,
      "No"
   )
)</f>
        <v>No</v>
      </c>
      <c r="BR399" s="9">
        <f>MROUND((1 + ((0.2*IF(OR(Q399="No",R399="No",R399=0),0,Q399/R399)
+IF(OR(V399="No",S399="No",T399="No"),0,S399/T399*(LEN(V399)-LEN(SUBSTITUTE(V399,",",""))+1))
+IF(OR(X399="No",Y399="No"),0,X399/Y399)
+IF(OR(AD399="No",AE399="No"),0,AD399/AE399)
+IF(OR(AL399="No",AI399="No",AJ399="No"),0,AI399/AJ399*(LEN(AL399)-LEN(SUBSTITUTE(AL399,",",""))+1))
)/(0.2*IF(OR(Q399="No",R399="No",R399=0),0,1)
+IF(OR(V399="No",S399="No",T399="No"),0,LEN(V399)-LEN(SUBSTITUTE(V399,",",""))+1)
+IF(OR(X399="No",Y399="No"),0,1)
+IF(OR(AD399="No",AE399="No"),0,1)
+IF(OR(AL399="No",AI399="No",AJ399="No"),0,LEN(AL399)-LEN(SUBSTITUTE(AL399,",",""))+1))*62%)* 2)*(1 + (AP399 / (IF(_xlfn.XLOOKUP(_xlfn.XLOOKUP(B399,'Base stats'!B:B,'Base stats'!E:E),Groups!A:A,Groups!AJ:AJ)="Photonozoa",0.3,1)) + _xlfn.XLOOKUP(B399,'Base stats'!B:B,'Base stats'!AV:AV) * 1.8) * 2) * 2.5 + 10 + I399 * 2,5)+IF(_xlfn.XLOOKUP(B399,'Base stats'!B:B,'Base stats'!AK:AK)=1,50,0)</f>
        <v>245</v>
      </c>
      <c r="BS399" s="8">
        <f t="shared" si="54"/>
        <v>2.1</v>
      </c>
      <c r="BT399" s="8" t="str">
        <f>_xlfn.XLOOKUP(B399,'Base stats'!B:B,'Base stats'!AF:AF)</f>
        <v>3~10</v>
      </c>
      <c r="BU399" s="2" t="str">
        <f>IF(AND(J399&lt;=0.95,OR(_xlfn.XLOOKUP(B399,'Base stats'!B:B,'Base stats'!AK:AK)=1,_xlfn.XLOOKUP(B399,'Base stats'!B:B,'Base stats'!Y:Y)="Carnivore",_xlfn.XLOOKUP(B399,'Base stats'!B:B,'Base stats'!Y:Y)="Omnivore",BE399&gt;0.1)),"true","false")</f>
        <v>false</v>
      </c>
      <c r="BV399" s="2" t="str">
        <f>IF(_xlfn.XLOOKUP(B399,'Base stats'!B:B,'Base stats'!AI:AI)=1,"true","false")</f>
        <v>true</v>
      </c>
      <c r="BW399" s="25" t="str">
        <f>IF(E399="BaseInsect","AnimalInsect",
IF(J399&gt;0.95,"AnimalExotic",
_xlfn.TEXTJOIN(", ",TRUE,
IF(OR(_xlfn.XLOOKUP(B399,'Base stats'!B:B,'Base stats'!AM:AM)=1,AND(_xlfn.XLOOKUP(B399,'Base stats'!B:B,'Base stats'!O:O)=0,_xlfn.XLOOKUP(_xlfn.XLOOKUP(B399,'Base stats'!B:B,'Base stats'!E:E),Groups!A:A,Groups!B:B)&gt;0)),"AnimalUncommon","AnimalCommon"),
IF(AND(_xlfn.XLOOKUP(B399,'Base stats'!B:B,'Base stats'!O:O)=2,_xlfn.XLOOKUP(_xlfn.XLOOKUP(B399,'Base stats'!B:B,'Base stats'!E:E),Groups!A:A,Groups!D:D)=0),"AnimalPet",IF(AND(_xlfn.XLOOKUP(B399,'Base stats'!B:B,'Base stats'!O:O)&lt;&gt;0,_xlfn.XLOOKUP(_xlfn.XLOOKUP(B399,'Base stats'!B:B,'Base stats'!E:E),Groups!A:A,Groups!D:D)&lt;&gt;0),"AnimalFarm","")),
IF(OR(_xlfn.XLOOKUP(B399,'Base stats'!B:B,'Base stats'!AK:AK)=1,AND(BI399&lt;&gt;"None",BR399&gt;=60),ISNUMBER(SEARCH("Attack target",BP399))),"AnimalFighter","")
)))</f>
        <v>AnimalCommon</v>
      </c>
      <c r="BX399" s="25" t="str">
        <f>IF(G399="None",TRIM(
SUBSTITUTE(
IF(COUNTIF(Biomes!B$2:B$259,"="&amp;$C399)&gt;0,Biomes!B$1&amp;", ","")&amp;
IF(COUNTIF(Biomes!C$2:C$259,"="&amp;$C399)&gt;0,Biomes!C$1&amp;", ","")&amp;
IF(COUNTIF(Biomes!D$2:D$259,"="&amp;$C399)&gt;0,Biomes!D$1&amp;", ","")&amp;
IF(COUNTIF(Biomes!F$2:F$259,"="&amp;$C399)&gt;0,Biomes!F$1&amp;", ","")&amp;
IF(COUNTIF(Biomes!G$2:G$259,"="&amp;$C399)&gt;0,Biomes!G$1&amp;", ","")&amp;
IF(COUNTIF(Biomes!H$2:H$259,"="&amp;$C399)&gt;0,Biomes!H$1&amp;", ","")&amp;
IF(COUNTIF(Biomes!I$2:I$259,"="&amp;$C399)&gt;0,Biomes!I$1&amp;", ","")&amp;
IF(COUNTIF(Biomes!J$2:J$259,"="&amp;$C399)&gt;0,Biomes!J$1&amp;", ","")&amp;
IF(COUNTIF(Biomes!M$2:M$259,"="&amp;$C399)&gt;0,Biomes!M$1&amp;", ","")&amp;
IF(COUNTIF(Biomes!N$2:N$259,"="&amp;$C399)&gt;0,Biomes!N$1&amp;", ","")&amp;
IF(COUNTIF(Biomes!O$2:O$259,"="&amp;$C399)&gt;0,Biomes!O$1&amp;", ","")&amp;
IF(COUNTIF(Biomes!P$2:P$259,"="&amp;$C399)&gt;0,Biomes!P$1&amp;", ","")&amp;
IF(COUNTIF(Biomes!K$2:K$259,"="&amp;$C399)&gt;0,Biomes!K$1&amp;", ","")&amp;
IF(COUNTIF(Biomes!Q$3:Q$259,"="&amp;$C399)&gt;0,Biomes!Q$1&amp;", ","")&amp;
IF(COUNTIF(Biomes!L$2:L$259,"="&amp;$C399)&gt;0,Biomes!L$1&amp;", ","")&amp;
IF(COUNTIF(Biomes!E$2:E$259,"="&amp;$C399)&gt;0,Biomes!E$1&amp;", ","")&amp;IF(COUNTIF(Biomes!S$2:S$259,"="&amp;$C399)&gt;0,Biomes!S$1&amp;", ","")&amp;
IF(COUNTIF(Biomes!R$2:R$259,"="&amp;$C399)&gt;0,Biomes!R$1&amp;", ",""),", ","")
),_xlfn.XLOOKUP(B399,B:B,BX:BX))</f>
        <v/>
      </c>
      <c r="BY399" s="25" t="str">
        <f>IF(_xlfn.XLOOKUP(B399,'Base stats'!B:B,'Base stats'!AJ:AJ)=1,"true","false")</f>
        <v>false</v>
      </c>
      <c r="BZ399" s="25">
        <f>IF(_xlfn.XLOOKUP(B399,'Base stats'!B:B,'Base stats'!N:N)=1,"No",MAX(0.001,MIN(MROUND(IF(AND(BJ399="True",CC399="False"),POWER(10,3.47*LOG10(_xlfn.XLOOKUP(B399,'Base stats'!B:B,'Base stats'!C:C)*1000)^-0.96),POWER(10,4.15*LOG10(_xlfn.XLOOKUP(B399,'Base stats'!B:B,'Base stats'!C:C)*1000)^-0.73))*IF(_xlfn.XLOOKUP(B399,'Base stats'!B:B,'Base stats'!AK:AK)=1,0.5,1)*IF(_xlfn.XLOOKUP(B399,'Base stats'!B:B,'Base stats'!AM:AM)=1,0.1,1)/100,IF(_xlfn.XLOOKUP(B399,'Base stats'!B:B,'Base stats'!AM:AM)=1,0.001,0.025)),0.5)))</f>
        <v>0.125</v>
      </c>
      <c r="CA399" s="25" t="str">
        <f>IF(P399="Standard","No",MAX(0.001,MIN(MROUND(IF(AND(BJ399="True",CC399="False"),POWER(10,3.47*LOG10(_xlfn.XLOOKUP(B399,'Base stats'!B:B,'Base stats'!C:C)*1000)^-0.96),POWER(10,4.15*LOG10(_xlfn.XLOOKUP(B399,'Base stats'!B:B,'Base stats'!C:C)*1000)^-0.73))*IF(_xlfn.XLOOKUP(B399,'Base stats'!B:B,'Base stats'!AM:AM)=1,0.1,1)*_xlfn.XLOOKUP(B399,'Base stats'!B:B,'Base stats'!R:R)/100,IF(_xlfn.XLOOKUP(B399,'Base stats'!B:B,'Base stats'!AM:AM)=1,0.001,0.025)),0.5)))</f>
        <v>No</v>
      </c>
      <c r="CB399" s="25" t="str">
        <f>IF(_xlfn.XLOOKUP(_xlfn.XLOOKUP(B399,'Base stats'!B:B,'Base stats'!E:E),Groups!A:A,Groups!AJ:AJ)="Mammal","True","False")</f>
        <v>True</v>
      </c>
      <c r="CC399" s="25" t="str">
        <f>IF(OR(_xlfn.XLOOKUP(_xlfn.XLOOKUP(B399,'Base stats'!B:B,'Base stats'!E:E),Groups!A:A,Groups!AJ:AJ)="Reptile",_xlfn.XLOOKUP(_xlfn.XLOOKUP(B399,'Base stats'!B:B,'Base stats'!E:E),Groups!A:A,Groups!AJ:AJ)="Amphibian",_xlfn.XLOOKUP(_xlfn.XLOOKUP(B399,'Base stats'!B:B,'Base stats'!E:E),Groups!A:A,Groups!AJ:AJ)="Invertebrate"),"True","False")</f>
        <v>False</v>
      </c>
      <c r="CD399" s="25" t="str">
        <f t="shared" si="55"/>
        <v>False</v>
      </c>
      <c r="CE399" s="25" t="str">
        <f>IF(_xlfn.XLOOKUP(_xlfn.XLOOKUP(B399,'Base stats'!B:B,'Base stats'!E:E),Groups!A:A,Groups!AX:AX),"True","False")</f>
        <v>False</v>
      </c>
      <c r="CF399" s="25" t="str">
        <f>IF(_xlfn.XLOOKUP(_xlfn.XLOOKUP(B399,'Base stats'!B:B,'Base stats'!E:E),Groups!A:A,Groups!AY:AY),"True","False")</f>
        <v>False</v>
      </c>
      <c r="CG399" s="25" t="str">
        <f>IF(_xlfn.XLOOKUP(_xlfn.XLOOKUP(B399,'Base stats'!B:B,'Base stats'!E:E),Groups!A:A,Groups!AW:AW),"True","False")</f>
        <v>False</v>
      </c>
      <c r="CH399" s="25" t="str">
        <f>IF(
OR(
_xlfn.XLOOKUP(_xlfn.XLOOKUP(B399,'Base stats'!B:B,'Base stats'!E:E),Groups!A:A,Groups!AZ:AZ)=0,
AND(
_xlfn.XLOOKUP(B399,'Base stats'!B:B,'Base stats'!Y:Y)&lt;&gt;"Carnivore",
_xlfn.XLOOKUP(B399,'Base stats'!B:B,'Base stats'!Y:Y)&lt;&gt;"Omnivore",
_xlfn.XLOOKUP(B399,'Base stats'!B:B,'Base stats'!Y:Y)&lt;&gt;"OmnivoreRough"
)
),
"No",
IF(
_xlfn.XLOOKUP(_xlfn.XLOOKUP(B399,'Base stats'!B:B,'Base stats'!E:E),Groups!A:A,Groups!AZ:AZ)=1,
"Flesh",
IF(
_xlfn.XLOOKUP(_xlfn.XLOOKUP(B399,'Base stats'!B:B,'Base stats'!E:E),Groups!A:A,Groups!AZ:AZ)=2,
"Bone",
""
)
)
)</f>
        <v>No</v>
      </c>
      <c r="CI399" s="25" t="str">
        <f>IF(_xlfn.XLOOKUP(_xlfn.XLOOKUP(B399,'Base stats'!B:B,'Base stats'!E:E),Groups!A:A,Groups!BB:BB),"True","False")</f>
        <v>True</v>
      </c>
      <c r="CJ399" s="25" t="str">
        <f>IF(_xlfn.XLOOKUP(_xlfn.XLOOKUP(B399,'Base stats'!B:B,'Base stats'!E:E),Groups!A:A,Groups!BA:BA),"True","False")</f>
        <v>False</v>
      </c>
    </row>
    <row r="400" spans="1:88" ht="16.5" thickTop="1" thickBot="1" x14ac:dyDescent="0.3">
      <c r="A400" s="26" t="s">
        <v>2089</v>
      </c>
      <c r="B400" s="6" t="str">
        <f>_xlfn.XLOOKUP(A400,'Base stats'!A:A,'Base stats'!B:B)</f>
        <v>Quinkana barbara</v>
      </c>
      <c r="C400" s="28" t="str">
        <f t="shared" si="56"/>
        <v>&lt;li&gt;Quinkana&lt;/li&gt;</v>
      </c>
      <c r="D400" s="28" t="s">
        <v>2126</v>
      </c>
      <c r="E400" s="28" t="s">
        <v>673</v>
      </c>
      <c r="F400" s="28" t="s">
        <v>673</v>
      </c>
      <c r="G400" s="28" t="s">
        <v>673</v>
      </c>
      <c r="H400" s="2">
        <f>MROUND((
  (IF(AND(_xlfn.XLOOKUP(B400,'Base stats'!B:B,'Base stats'!AL:AL)=0,BI400="None",_xlfn.XLOOKUP(_xlfn.XLOOKUP(B400,'Base stats'!B:B,'Base stats'!E:E),Groups!A:A,Groups!B:B)=0), (18 + BR400 * 2.7) * 0.5,
    IF(AND(_xlfn.XLOOKUP(B400,'Base stats'!B:B,'Base stats'!AL:AL)=0,OR(AO400&lt;0.55,AND(BI400="Intermediate",_xlfn.XLOOKUP(_xlfn.XLOOKUP(B400,'Base stats'!B:B,'Base stats'!E:E),Groups!A:A,Groups!B:B)&lt;2))), (18 + BR400 * 2.7),
      IF(OR(BI400="Advanced",_xlfn.XLOOKUP(B400,'Base stats'!B:B,'Base stats'!AL:AL)=1,_xlfn.XLOOKUP(_xlfn.XLOOKUP(B400,'Base stats'!B:B,'Base stats'!E:E),Groups!A:A,Groups!B:B)=2), (18 + BR400 * 2.7) + 250, (18 + BR400 * 2.7))
    )
  ))
  + AO400 * 80
  + IF(COUNTIF(EggMilk!K$2:K$998, A400) &gt; 0, 125, 0)
  + IF(COUNTIF(EggMilk!P$2:P$998, A400) &gt; 0, 90, 0)
  + IF(COUNTIF(EggMilk!A$2:A$998, A400) &gt; 0, 90, 0)
)
* (0.8 + 0.4 * J400)
* 0.75,25)</f>
        <v>1425</v>
      </c>
      <c r="I400" s="2">
        <f>MROUND(ROUNDDOWN(_xlfn.XLOOKUP(B400,'Base stats'!B:B,'Base stats'!L:L)/3.6/(23.3/11),1),0.5)</f>
        <v>3.5</v>
      </c>
      <c r="J400" s="2">
        <f>IF(OR(_xlfn.XLOOKUP(B400,'Base stats'!B:B,'Base stats'!AB:AB)=1,_xlfn.XLOOKUP(_xlfn.XLOOKUP(B400,'Base stats'!B:B,'Base stats'!E:E),Groups!A:A,Groups!C:C)="Untamable"),1,IF(_xlfn.XLOOKUP(B400,'Base stats'!B:B,'Base stats'!AL:AL)=1,0.99,MIN(MROUND((1-0.6282*EXP(-0.459*AO400))*_xlfn.XLOOKUP(_xlfn.XLOOKUP(B400,'Base stats'!B:B,'Base stats'!E:E),Groups!A:A,Groups!C:C)*IF(_xlfn.XLOOKUP(B400,'Base stats'!B:B,'Base stats'!O:O)=1,0.5,IF(_xlfn.XLOOKUP(B400,'Base stats'!B:B,'Base stats'!O:O)=2,0,1)),0.05),IF(AO400&gt;3.5,0.985,0.95))))</f>
        <v>0.95</v>
      </c>
      <c r="K400" s="2">
        <f>ROUNDUP(AO400*_xlfn.XLOOKUP(_xlfn.XLOOKUP(B400,'Base stats'!B:B,'Base stats'!E:E),Groups!A:A,Groups!E:E),0)</f>
        <v>4</v>
      </c>
      <c r="L400" s="2">
        <f>IF(OR(_xlfn.XLOOKUP(_xlfn.XLOOKUP(B400,'Base stats'!B:B,'Base stats'!E:E),Groups!A:A,Groups!F:F)=2,ISNUMBER(SEARCH("SeaIce",BX400)),ISNUMBER(SEARCH("IceSheet",BX400))),-50,IF(OR(ISNUMBER(SEARCH("GlacialPlain",BX400)),ISNUMBER(SEARCH("Tundra",BX400))),-40,IF(OR(ISNUMBER(SEARCH("Alpine",BX400)),ISNUMBER(SEARCH("BorealForest",BX400)),ISNUMBER(SEARCH("ColdBog",BX400))),-30,IF(OR(ISNUMBER(SEARCH("TemperateForest",BX400)),ISNUMBER(SEARCH("TemperateSwamp",BX400))),-20,IF(_xlfn.XLOOKUP(_xlfn.XLOOKUP(B400,'Base stats'!B:B,'Base stats'!E:E),Groups!A:A,Groups!F:F)=1,-15,IF(OR(ISNUMBER(SEARCH("Desert",BX400)),ISNUMBER(SEARCH("ExtremeDesert",BX400))),-10,IF(OR(ISNUMBER(SEARCH("Grasslands",BX400)),ISNUMBER(SEARCH("TropicalRainforest",BX400)),ISNUMBER(SEARCH("TropicalSwamp",BX400))),10,0)))))))-IF(CC400="False",MIN(IFERROR(MAX(MROUND(LOG10(_xlfn.XLOOKUP(B400,'Base stats'!B:B,'Base stats'!C:C)^(2/3))*10,5),5),5),30))-_xlfn.XLOOKUP(B400,'Base stats'!B:B,'Base stats'!P:P)+IF(CC400="True",5,0)</f>
        <v>5</v>
      </c>
      <c r="M400" s="2">
        <f>IF(OR(_xlfn.XLOOKUP(_xlfn.XLOOKUP(B400,'Base stats'!B:B,'Base stats'!E:E),Groups!A:A,Groups!G:G)=2,ISNUMBER(SEARCH("Desert",BX400)),ISNUMBER(SEARCH("ExtremeDesert",BX400)),ISNUMBER(SEARCH("LavaField",BX400))),50,IF(ISNUMBER(SEARCH("Grasslands",BX400)),45,IF(OR(_xlfn.XLOOKUP(_xlfn.XLOOKUP(B400,'Base stats'!B:B,'Base stats'!E:E),Groups!A:A,Groups!G:G)=1,ISNUMBER(SEARCH("TropicalRainforest",BX400)),ISNUMBER(SEARCH("TropicalSwamp",BX400))),40,IF(OR(ISNUMBER(SEARCH("TemperateForest",BX400)),ISNUMBER(SEARCH("TemperateSwamp",BX400))),35,IF(OR(ISNUMBER(SEARCH("Alpine",BX400)),ISNUMBER(SEARCH("BorealForest",BX400)),ISNUMBER(SEARCH("ColdBog",BX400))),30,IF(ISNUMBER(OR(ISNUMBER(SEARCH("GlacialPlain",BX400)),SEARCH("Tundra",BX400))),25,IF(OR(ISNUMBER(SEARCH("SeaIce",BX400)),ISNUMBER(SEARCH("IceSheet",BX400)),ISNUMBER(SEARCH("TropicalSwamp",BX400))),10,35)))))))+_xlfn.XLOOKUP(B400,'Base stats'!B:B,'Base stats'!Q:Q)</f>
        <v>35</v>
      </c>
      <c r="N400" s="8">
        <f>IF(
_xlfn.XLOOKUP(
_xlfn.XLOOKUP(B400,'Base stats'!B:B,'Base stats'!E:E),
Groups!A:A,
Groups!L:L
)=1,
MIN(
MROUND(
IF(
_xlfn.XLOOKUP(B400,'Animals CE'!B:B,'Animals CE'!Z:Z)&lt;=1.5,
_xlfn.XLOOKUP(B400,'Animals CE'!B:B,'Animals CE'!Z:Z)/2+0.05,
0.8+
(_xlfn.XLOOKUP(B400,'Animals CE'!B:B,'Animals CE'!Z:Z)-1.5)
*0.02
),
0.05
),
200%
),
"No"
)</f>
        <v>0.35000000000000003</v>
      </c>
      <c r="O400" s="8">
        <f>IF(
_xlfn.XLOOKUP(
_xlfn.XLOOKUP(B400,'Base stats'!B:B,'Base stats'!E:E),
Groups!A:A,
Groups!L:L
)=1,
MIN(
MROUND(
IF(
_xlfn.XLOOKUP(B400,'Animals CE'!B:B,'Animals CE'!AA:AA)&lt;=1.5,
_xlfn.XLOOKUP(B400,'Animals CE'!B:B,'Animals CE'!AA:AA)/2+0.05,
0.8+
(_xlfn.XLOOKUP(B400,'Animals CE'!B:B,'Animals CE'!AA:AA)-1.5)
*0.02
),
0.05
),
200%
),
"No"
)</f>
        <v>0.4</v>
      </c>
      <c r="P400" s="2" t="str">
        <f>_xlfn.XLOOKUP(B400,'Base stats'!B:B,'Base stats'!R:R)</f>
        <v>Standard</v>
      </c>
      <c r="Q400" s="13">
        <f>MROUND((LOG10(_xlfn.XLOOKUP(B400,'Base stats'!B:B,'Base stats'!AR:AR))*(AO400^0.5)+(_xlfn.XLOOKUP(B400,'Base stats'!B:B,'Base stats'!AR:AR)/1000)^(2/3)+_xlfn.XLOOKUP(B400,'Base stats'!B:B,'Base stats'!BA:BA)/2)+0.5,0.5)</f>
        <v>21</v>
      </c>
      <c r="R400" s="7">
        <f>IF(Q400="No","No",MAX(1,MROUND(_xlfn.XLOOKUP(B400,'Base stats'!B:B,'Base stats'!C:C)^0.165,0.05)))</f>
        <v>3.2</v>
      </c>
      <c r="S400" s="13" t="str">
        <f>IF(_xlfn.XLOOKUP(_xlfn.XLOOKUP(B400,'Base stats'!B:B,'Base stats'!E:E),Groups!A:A,Groups!P:P)=0,"No",MROUND((LOG10(_xlfn.XLOOKUP(B400,'Base stats'!B:B,'Base stats'!AS:AS))*(AO400^0.5)+(_xlfn.XLOOKUP(B400,'Base stats'!B:B,'Base stats'!AS:AS)/1000)^(2/3)+_xlfn.XLOOKUP(B400,'Base stats'!B:B,'Base stats'!BA:BA))+_xlfn.XLOOKUP(B400,'Base stats'!B:B,'Base stats'!AY:AY)+0.5,0.5))</f>
        <v>No</v>
      </c>
      <c r="T400" s="7" t="str">
        <f>IF(S400="No","No",MAX(_xlfn.XLOOKUP(_xlfn.XLOOKUP(B400,'Base stats'!B:B,'Base stats'!E:E),Groups!A:A,Groups!Q:Q),MROUND(_xlfn.XLOOKUP(_xlfn.XLOOKUP(B400,'Base stats'!B:B,'Base stats'!E:E),Groups!A:A,Groups!Q:Q)*_xlfn.XLOOKUP(B400,'Base stats'!B:B,'Base stats'!C:C)^0.165,0.05)))</f>
        <v>No</v>
      </c>
      <c r="U400" s="7" t="str">
        <f>IF(S400="No","No",_xlfn.XLOOKUP(_xlfn.XLOOKUP(B400,'Base stats'!B:B,'Base stats'!E:E),Groups!A:A,Groups!R:R))</f>
        <v>No</v>
      </c>
      <c r="V400" s="7" t="str">
        <f>IF(S400="No","No",_xlfn.XLOOKUP(_xlfn.XLOOKUP(B400,'Base stats'!B:B,'Base stats'!E:E),Groups!A:A,Groups!S:S))</f>
        <v>No</v>
      </c>
      <c r="W400" s="7" t="str">
        <f>IF(S400="No","No",_xlfn.XLOOKUP(_xlfn.XLOOKUP(B400,'Base stats'!B:B,'Base stats'!E:E),Groups!A:A,Groups!T:T))</f>
        <v>No</v>
      </c>
      <c r="X400" s="13" t="str">
        <f>IF(_xlfn.XLOOKUP(B400,'Base stats'!B:B,'Base stats'!W:W)="No","No",MROUND((LOG10(_xlfn.XLOOKUP(B400,'Base stats'!B:B,'Base stats'!AU:AU))*(AO400^0.5)+(_xlfn.XLOOKUP(B400,'Base stats'!B:B,'Base stats'!AU:AU)/1000)^(2/3)+_xlfn.XLOOKUP(B400,'Base stats'!B:B,'Base stats'!AZ:AZ))+0.5+IF(_xlfn.XLOOKUP(_xlfn.XLOOKUP(B400,'Base stats'!B:B,'Base stats'!E:E),Groups!A:A,Groups!U:U)&lt;&gt;3,_xlfn.XLOOKUP(B400,'Base stats'!B:B,'Base stats'!BA:BA),0),0.5))</f>
        <v>No</v>
      </c>
      <c r="Y400" s="7" t="str">
        <f>IF(X400="No","No",MAX(_xlfn.XLOOKUP(_xlfn.XLOOKUP(B400,'Base stats'!B:B,'Base stats'!E:E),Groups!A:A,Groups!V:V),MROUND(_xlfn.XLOOKUP(_xlfn.XLOOKUP(B400,'Base stats'!B:B,'Base stats'!E:E),Groups!A:A,Groups!V:V)*_xlfn.XLOOKUP(B400,'Base stats'!B:B,'Base stats'!C:C)^0.165,0.05)))</f>
        <v>No</v>
      </c>
      <c r="Z400" s="7" t="str">
        <f>IF(X400="No","No",_xlfn.XLOOKUP(_xlfn.XLOOKUP(B400,'Base stats'!B:B,'Base stats'!E:E),Groups!A:A,Groups!W:W))</f>
        <v>No</v>
      </c>
      <c r="AA400" s="7" t="str">
        <f>IF(X400="No","No",_xlfn.XLOOKUP(_xlfn.XLOOKUP(B400,'Base stats'!B:B,'Base stats'!E:E),Groups!A:A,Groups!X:X))</f>
        <v>No</v>
      </c>
      <c r="AB400" s="7" t="str">
        <f>IF(X400="No","No",_xlfn.XLOOKUP(_xlfn.XLOOKUP(B400,'Base stats'!B:B,'Base stats'!E:E),Groups!A:A,Groups!Y:Y))</f>
        <v>No</v>
      </c>
      <c r="AC400" s="7" t="str">
        <f>_xlfn.XLOOKUP(Animals!B400,'Base stats'!B:B,'Base stats'!X:X)</f>
        <v>False</v>
      </c>
      <c r="AD400" s="13">
        <f>IF(_xlfn.XLOOKUP(B400,'Base stats'!B:B,'Base stats'!AT:AT)="No","No",MROUND((LOG10(_xlfn.XLOOKUP(B400,'Base stats'!B:B,'Base stats'!AT:AT))*(AO400^0.75)+(_xlfn.XLOOKUP(B400,'Base stats'!B:B,'Base stats'!AT:AT)/1000)^(2/3)+_xlfn.XLOOKUP(B400,'Base stats'!B:B,'Base stats'!AX:AX)+_xlfn.XLOOKUP(B400,'Base stats'!B:B,'Base stats'!BA:BA))+0.5,0.5))</f>
        <v>34.5</v>
      </c>
      <c r="AE400" s="7">
        <f>IF(AD400="No","No",MAX(_xlfn.XLOOKUP(_xlfn.XLOOKUP(B400,'Base stats'!B:B,'Base stats'!E:E),Groups!A:A,Groups!Z:Z),MROUND(_xlfn.XLOOKUP(_xlfn.XLOOKUP(B400,'Base stats'!B:B,'Base stats'!E:E),Groups!A:A,Groups!Z:Z)*_xlfn.XLOOKUP(B400,'Base stats'!B:B,'Base stats'!C:C)^0.165,0.05)))</f>
        <v>3.0500000000000003</v>
      </c>
      <c r="AF400" s="7" t="str">
        <f>IF(AD400="No","No",_xlfn.XLOOKUP(_xlfn.XLOOKUP(B400,'Base stats'!B:B,'Base stats'!E:E),Groups!A:A,Groups!AA:AA))</f>
        <v>Teeth</v>
      </c>
      <c r="AG400" s="7" t="str">
        <f>IF(AD400="No","No",_xlfn.XLOOKUP(_xlfn.XLOOKUP(B400,'Base stats'!B:B,'Base stats'!E:E),Groups!A:A,Groups!AB:AB))</f>
        <v>teeth</v>
      </c>
      <c r="AH400" s="7" t="str">
        <f>IF(AD400="No","No",_xlfn.XLOOKUP(_xlfn.XLOOKUP(B400,'Base stats'!B:B,'Base stats'!E:E),Groups!A:A,Groups!AC:AC))</f>
        <v>Bite</v>
      </c>
      <c r="AI400" s="13" t="str">
        <f>IF(_xlfn.XLOOKUP(_xlfn.XLOOKUP(B400,'Base stats'!B:B,'Base stats'!E:E),Groups!A:A,Groups!AD:AD)=0,"No",MROUND((LOG10(_xlfn.XLOOKUP(B400,'Base stats'!B:B,'Base stats'!AS:AS))*(AO400^0.75)+(_xlfn.XLOOKUP(B400,'Base stats'!B:B,'Base stats'!AS:AS)/1000)^(2/3)+_xlfn.XLOOKUP(B400,'Base stats'!B:B,'Base stats'!AY:AY)+_xlfn.XLOOKUP(B400,'Base stats'!B:B,'Base stats'!BA:BA))+0.5,0.5))</f>
        <v>No</v>
      </c>
      <c r="AJ400" s="7" t="str">
        <f>IF(AI400="No","No",MAX(_xlfn.XLOOKUP(_xlfn.XLOOKUP(B400,'Base stats'!B:B,'Base stats'!E:E),Groups!A:A,Groups!AE:AE),MROUND(_xlfn.XLOOKUP(_xlfn.XLOOKUP(B400,'Base stats'!B:B,'Base stats'!E:E),Groups!A:A,Groups!AE:AE)*IF(_xlfn.XLOOKUP(_xlfn.XLOOKUP(B400,'Base stats'!B:B,'Base stats'!E:E),Groups!A:A,Groups!AJ:AJ)="Photonozoa",0.6,1)*_xlfn.XLOOKUP(B400,'Base stats'!B:B,'Base stats'!C:C)^0.165,0.05)))</f>
        <v>No</v>
      </c>
      <c r="AK400" s="7" t="str">
        <f>IF(AI400="No","No",_xlfn.XLOOKUP(_xlfn.XLOOKUP(B400,'Base stats'!B:B,'Base stats'!E:E),Groups!A:A,Groups!AF:AF))</f>
        <v>No</v>
      </c>
      <c r="AL400" s="7" t="str">
        <f>IF(AI400="No","No",_xlfn.XLOOKUP(_xlfn.XLOOKUP(B400,'Base stats'!B:B,'Base stats'!E:E),Groups!A:A,Groups!AG:AG))</f>
        <v>No</v>
      </c>
      <c r="AM400" s="7" t="str">
        <f>IF(AI400="No","No",_xlfn.XLOOKUP(_xlfn.XLOOKUP(B400,'Base stats'!B:B,'Base stats'!E:E),Groups!A:A,Groups!AH:AH))</f>
        <v>No</v>
      </c>
      <c r="AN400" s="2">
        <f t="shared" si="49"/>
        <v>35</v>
      </c>
      <c r="AO400" s="2">
        <f>MROUND(IF(AND(_xlfn.XLOOKUP(B400,'Base stats'!B:B,'Base stats'!C:C)&gt;=0.5,_xlfn.XLOOKUP(B400,'Base stats'!B:B,'Base stats'!C:C)&lt;=0.8),
IF(_xlfn.XLOOKUP(B400,'Base stats'!B:B,'Base stats'!C:C)&lt;0.1,0.05,IF(_xlfn.XLOOKUP(B400,'Base stats'!B:B,'Base stats'!C:C)&lt;=70,(_xlfn.XLOOKUP(B400,'Base stats'!B:B,'Base stats'!C:C)/70)^0.426489913056526,IF(_xlfn.XLOOKUP(B400,'Base stats'!B:B,'Base stats'!C:C)&lt;=400,(_xlfn.XLOOKUP(B400,'Base stats'!B:B,'Base stats'!C:C)/70)^0.572811455315093,IF(_xlfn.XLOOKUP(B400,'Base stats'!B:B,'Base stats'!C:C)&lt;=2000,2.71391647193063*(_xlfn.XLOOKUP(B400,'Base stats'!B:B,'Base stats'!C:C)/400)^0.252459582904293,3.74314280240376*(_xlfn.XLOOKUP(B400,'Base stats'!B:B,'Base stats'!C:C)/2000)^0.357012633876913)))),
IF(_xlfn.XLOOKUP(B400,'Base stats'!B:B,'Base stats'!C:C)&lt;0.1,0.05,IF(_xlfn.XLOOKUP(B400,'Base stats'!B:B,'Base stats'!C:C)&lt;0.4,0.1,IF(_xlfn.XLOOKUP(B400,'Base stats'!B:B,'Base stats'!C:C)&lt;=70,(_xlfn.XLOOKUP(B400,'Base stats'!B:B,'Base stats'!C:C)/70)^0.445823913056526,IF(_xlfn.XLOOKUP(B400,'Base stats'!B:B,'Base stats'!C:C)&lt;=400,(_xlfn.XLOOKUP(B400,'Base stats'!B:B,'Base stats'!C:C)/70)^0.572811455315093,IF(_xlfn.XLOOKUP(B400,'Base stats'!B:B,'Base stats'!C:C)&lt;=2000,2.71391647193063*(_xlfn.XLOOKUP(B400,'Base stats'!B:B,'Base stats'!C:C)/400)^0.252459582904293,3.74314280240376*(_xlfn.XLOOKUP(B400,'Base stats'!B:B,'Base stats'!C:C)/2000)^0.357012633876913)))))),
IF(_xlfn.XLOOKUP(B400,'Base stats'!B:B,'Base stats'!C:C)&lt;0.1,0.05,IF(_xlfn.XLOOKUP(B400,'Base stats'!B:B,'Base stats'!C:C)&lt;=100,0.05,IF(_xlfn.XLOOKUP(B400,'Base stats'!B:B,'Base stats'!C:C)&lt;=250,0.1,IF(_xlfn.XLOOKUP(B400,'Base stats'!B:B,'Base stats'!C:C)&lt;=4000,0.25,0.5)))))</f>
        <v>3.5</v>
      </c>
      <c r="AP400" s="8">
        <f>MROUND(AO400*_xlfn.XLOOKUP(_xlfn.XLOOKUP(B400,'Base stats'!B:B,'Base stats'!E:E),Groups!A:A,Groups!AI:AI)*_xlfn.XLOOKUP(B400,'Base stats'!B:B,'Base stats'!Z:Z),0.05)</f>
        <v>4.2</v>
      </c>
      <c r="AQ400" s="8">
        <f>MAX(0.01,MROUND(IF(CC400="True",0.196*(AO400*100*1000)^0.889,IF(_xlfn.XLOOKUP(_xlfn.XLOOKUP(B400,'Base stats'!B:B,'Base stats'!E:E),Groups!A:A,Groups!AJ:AJ)="Bird",10.5*(AO400*100*1000)^0.681,4.82*(AO400*100*1000)^0.734))/(4.82*(1*100*1000)^0.734)/IF(AO400&lt;3.5,2,IF(AO400=3.5,1.5,1.25))*(1+0.132282374779864/(AO400^0.994035016789033+0.00905238001496948)),0.05))</f>
        <v>0.5</v>
      </c>
      <c r="AR400" s="9">
        <f>IFERROR(MROUND(_xlfn.XLOOKUP(B400,'Base stats'!B:B,'Base stats'!H:H)/IF(_xlfn.XLOOKUP(B400,'Base stats'!B:B,'Base stats'!I:I)&lt;&gt;1,(122.5/70),1.2),IF(_xlfn.XLOOKUP(B400,'Base stats'!B:B,'Base stats'!H:H)&gt;=30,5,IF(_xlfn.XLOOKUP(B400,'Base stats'!B:B,'Base stats'!H:H)&gt;=15,3,IF(_xlfn.XLOOKUP(B400,'Base stats'!B:B,'Base stats'!H:H)&gt;=10,2,1)))),"Immortal")</f>
        <v>55</v>
      </c>
      <c r="AS400" s="35" t="str">
        <f>IFERROR(IF(OR(_xlfn.XLOOKUP(B400,'Base stats'!B:B,'Base stats'!F:F)="Atypical reproduction",_xlfn.XLOOKUP(B400,'Base stats'!B:B,'Base stats'!F:F)="Lay eggs"),"Lay eggs",MIN(20,MAX(5.5,ROUND(((_xlfn.XLOOKUP(B400,'Base stats'!B:B,'Base stats'!F:F)-25)*(14.5/615) + 5.5)*2,0)/2))),"Unknown")</f>
        <v>Lay eggs</v>
      </c>
      <c r="AT400" s="8">
        <f>IF(_xlfn.XLOOKUP(B400,'Base stats'!B:B,'Base stats'!G:G)="Atypical reproduction","No",IFERROR(MAX(IF(_xlfn.XLOOKUP(B400,'Base stats'!B:B,'Base stats'!G:G)&lt;0.5,0.2,0.3),MROUND(_xlfn.XLOOKUP(B400,'Base stats'!B:B,'Base stats'!G:G)/(365/60),0.2)),"Unknown"))</f>
        <v>2.4000000000000004</v>
      </c>
      <c r="AU400" s="8">
        <f t="shared" si="50"/>
        <v>1.2000000000000002</v>
      </c>
      <c r="AV400" s="8" t="str">
        <f>IFERROR(IFERROR(MROUND(_xlfn.XLOOKUP(B400,'Base stats'!B:B,'Base stats'!J:J),0.1),"Lay eggs"),"Cannot breed")</f>
        <v>Lay eggs</v>
      </c>
      <c r="AW400" s="2" t="str">
        <f t="shared" si="51"/>
        <v>false</v>
      </c>
      <c r="AX400" s="2" t="str">
        <f>IF(_xlfn.XLOOKUP(_xlfn.XLOOKUP(Animals!B400,'Base stats'!B:B,'Base stats'!E:E),Groups!A:A,Groups!AK:AK)=1,"true","false")</f>
        <v>false</v>
      </c>
      <c r="AY400" s="25" t="str">
        <f>IF(_xlfn.XLOOKUP(B400,'Base stats'!B:B,'Base stats'!Y:Y)="Liquor","Liquor, CarnivoreAnimalStrict",IF(AND(_xlfn.XLOOKUP(B400,'Base stats'!B:B,'Base stats'!Y:Y)="Carnivore",_xlfn.XLOOKUP(_xlfn.XLOOKUP(B400,'Base stats'!B:B,'Base stats'!E:E),Groups!A:A,Groups!AJ:AJ)="Photonozoa"),"CarnivoreAnimalStrict, OvivoreAnimal",IF(_xlfn.XLOOKUP(B400,'Base stats'!B:B,'Base stats'!Y:Y)="Carnivore","CarnivoreAnimal, OvivoreAnimal",IF(_xlfn.XLOOKUP(B400,'Base stats'!B:B,'Base stats'!Y:Y)="Dendrovore","VegetarianRoughAnimal, DendrovoreAnimal",IF(_xlfn.XLOOKUP(B400,'Base stats'!B:B,'Base stats'!Y:Y)="Herbivore","VegetarianRoughAnimal",IF(_xlfn.XLOOKUP(B400,'Base stats'!B:B,'Base stats'!Y:Y)="OmnivoreRough","OmnivoreRoughAnimal, OvivoreAnimal","OmnivoreAnimal, OvivoreAnimal"))))))</f>
        <v>CarnivoreAnimal, OvivoreAnimal</v>
      </c>
      <c r="AZ400" s="2" t="str">
        <f>IF(_xlfn.XLOOKUP(_xlfn.XLOOKUP(B400,'Base stats'!B:B,'Base stats'!E:E),Groups!A:A,Groups!D:D)=1,MROUND((1-J400)*5+1,2)*IF(J400&lt;=0.4,2,1),"No")</f>
        <v>No</v>
      </c>
      <c r="BA400" s="2" t="str">
        <f>IF(AND(_xlfn.XLOOKUP(B400,'Base stats'!B:B,'Base stats'!AH:AH)="&lt;li&gt;Seal&lt;/li&gt;",G400="Odyssey"),"&lt;li&gt;AEXP_Seal&lt;/li&gt;",_xlfn.XLOOKUP(B400,'Base stats'!B:B,'Base stats'!AH:AH))</f>
        <v>No</v>
      </c>
      <c r="BB400" s="2" t="str">
        <f>_xlfn.XLOOKUP(B400,'Base stats'!B:B,'Base stats'!AG:AG)</f>
        <v>Leather_Lizard</v>
      </c>
      <c r="BC400" s="23" t="str">
        <f>_xlfn.XLOOKUP(_xlfn.XLOOKUP(B400,'Base stats'!B:B,'Base stats'!E:E),Groups!A:A,Groups!AL:AL)</f>
        <v>QuadrupedAnimalWithClawsTailAndJowl</v>
      </c>
      <c r="BD400" s="23">
        <f>MIN(1,MROUND(IF(AND(AO400&lt;0.5,_xlfn.XLOOKUP(B400,'Base stats'!B:B,'Base stats'!AA:AA)=0),0,IF(OR(_xlfn.XLOOKUP(Animals!B400,'Base stats'!B:B,'Base stats'!O:O)=2,_xlfn.XLOOKUP(_xlfn.XLOOKUP(B400,'Base stats'!B:B,'Base stats'!E:E),Groups!A:A,Groups!AN:AN)=0),0,_xlfn.XLOOKUP(_xlfn.XLOOKUP(B400,'Base stats'!B:B,'Base stats'!E:E),Groups!A:A,Groups!AN:AN)/IF(_xlfn.XLOOKUP(Animals!B400,'Base stats'!B:B,'Base stats'!O:O)=1,2,1)))+_xlfn.XLOOKUP(B400,'Base stats'!B:B,'Base stats'!AC:AC),0.005))</f>
        <v>0.1</v>
      </c>
      <c r="BE400" s="23">
        <f>MIN(1,MROUND(IF(AND(AO400&lt;0.5,_xlfn.XLOOKUP(B400,'Base stats'!B:B,'Base stats'!AA:AA)=0),0,IF(_xlfn.XLOOKUP(_xlfn.XLOOKUP(B400,'Base stats'!B:B,'Base stats'!E:E),Groups!A:A,Groups!AO:AO)=0,0,_xlfn.XLOOKUP(_xlfn.XLOOKUP(B400,'Base stats'!B:B,'Base stats'!E:E),Groups!A:A,Groups!AO:AO)/IF(_xlfn.XLOOKUP(Animals!B400,'Base stats'!B:B,'Base stats'!O:O)=2,3,1)))+_xlfn.XLOOKUP(B400,'Base stats'!B:B,'Base stats'!AD:AD),0.005))</f>
        <v>0.3</v>
      </c>
      <c r="BF400" s="2" t="str">
        <f>IF(J400&gt;0.3,"No",_xlfn.XLOOKUP(_xlfn.XLOOKUP(Animals!B400,'Base stats'!B:B,'Base stats'!E:E),Groups!A:A,Groups!AP:AP))</f>
        <v>No</v>
      </c>
      <c r="BG400" s="2" t="str">
        <f>IF(AND(J400&lt;=0.65,_xlfn.XLOOKUP(_xlfn.XLOOKUP(Animals!B400,'Base stats'!B:B,'Base stats'!E:E),Groups!A:A,Groups!AP:AP)&lt;&gt;"No",_xlfn.XLOOKUP(_xlfn.XLOOKUP(B400,'Base stats'!B:B,'Base stats'!E:E),Groups!A:A,Groups!D:D)=0),MROUND((80/3)*IF(_xlfn.XLOOKUP(B400,'Base stats'!B:B,'Base stats'!O:O)=2,0.2,AO400) + 24*(1-IF(BF400="No",0,BF400)) + 16/3, 12),"No")</f>
        <v>No</v>
      </c>
      <c r="BH400" s="2">
        <f>IF(AND(_xlfn.XLOOKUP(_xlfn.XLOOKUP(B400,'Base stats'!B:B,'Base stats'!E:E),Groups!A:A,Groups!AQ:AQ)=1,AO400&lt;=0.35),8,12)</f>
        <v>12</v>
      </c>
      <c r="BI400" s="2" t="str">
        <f>IF(_xlfn.XLOOKUP(_xlfn.XLOOKUP(B400,'Base stats'!B:B,'Base stats'!E:E),Groups!A:A,Groups!D:D)=0,_xlfn.XLOOKUP(_xlfn.XLOOKUP(B400,'Base stats'!B:B,'Base stats'!E:E),Groups!A:A,Groups!AR:AR),"None")</f>
        <v>None</v>
      </c>
      <c r="BJ400" s="2" t="str">
        <f>IF(AND(_xlfn.XLOOKUP(_xlfn.XLOOKUP(B400,'Base stats'!B:B,'Base stats'!E:E),Groups!A:A,Groups!AS:AS)=1,OR(_xlfn.XLOOKUP(B400,'Base stats'!B:B,'Base stats'!Y:Y)="Carnivore",_xlfn.XLOOKUP(B400,'Base stats'!B:B,'Base stats'!Y:Y)="Omnivore")),"true","false")</f>
        <v>true</v>
      </c>
      <c r="BK400" s="2">
        <f>IF(BJ400="true",MROUND(IF(AND(AO400&gt;0.5,OR(_xlfn.XLOOKUP(_xlfn.XLOOKUP(B400,'Base stats'!B:B,'Base stats'!E:E),Groups!A:A,Groups!AJ:AJ)="Photonozoa",_xlfn.XLOOKUP(_xlfn.XLOOKUP(B400,'Base stats'!B:B,'Base stats'!E:E),Groups!A:A,Groups!AJ:AJ)="Mammal")),Animals!AO400*1.75*IF(AW400="true",1.5,1),IF(AO400&lt;0.5,Animals!AO400*0.5,Animals!AO400)),IF(AO400&gt;2,0.5,IF(AO400&gt;0.5,0.25,0.1))),"No")</f>
        <v>3.5</v>
      </c>
      <c r="BL400" s="2">
        <f t="shared" si="52"/>
        <v>0</v>
      </c>
      <c r="BM400" s="25" t="str">
        <f>IF(_xlfn.XLOOKUP(B400,'Base stats'!B:B,'Base stats'!AN:AN)="Standard","No",MROUND((_xlfn.XLOOKUP(B400,'Base stats'!B:B,'Base stats'!AN:AN)/3.6)/I400,0.1))</f>
        <v>No</v>
      </c>
      <c r="BN400" s="25" t="str">
        <f t="shared" si="53"/>
        <v>true</v>
      </c>
      <c r="BO400" s="25" t="str">
        <f>IF(AND(OR(_xlfn.XLOOKUP(B400,'Base stats'!B:B,'Base stats'!Y:Y)="Carnivore",_xlfn.XLOOKUP(B400,'Base stats'!B:B,'Base stats'!Y:Y)="Omnivore",_xlfn.XLOOKUP(B400,'Base stats'!B:B,'Base stats'!Y:Y)="OmnivoreRough"),_xlfn.XLOOKUP(_xlfn.XLOOKUP(B400,'Base stats'!B:B,'Base stats'!E:E),Groups!A:A,Groups!AT:AT)=1),"true","false")</f>
        <v>true</v>
      </c>
      <c r="BP400" s="25" t="str" cm="1">
        <f t="array" ref="BP400">IF(
  _xlfn.TEXTJOIN(", ",TRUE,
    IF(AND(BJ400="true",AO400&gt;0.5,BI400&lt;&gt;"None"),"AttackTarget",""),
    IF(AND(_xlfn.XLOOKUP(_xlfn.XLOOKUP(B400,'Base stats'!B:B,'Base stats'!E:E),Groups!A:A,Groups!AJ:AJ="Mammal"),OR(_xlfn.XLOOKUP(B400,'Base stats'!B:B,'Base stats'!Y:Y)="Omnivore",_xlfn.XLOOKUP(B400,'Base stats'!B:B,'Base stats'!Y:Y)="OmnivoreRough")),"Forage",""),
    IF(BG400&lt;=36,"Comfort",""),
    IF(_xlfn.XLOOKUP(B400,'Base stats'!B:B,'Base stats'!AE:AE)&lt;&gt;"No",_xlfn.XLOOKUP(B400,'Base stats'!B:B,'Base stats'!AE:AE),"")
  ) = "",
  "No",
  _xlfn.TEXTJOIN(", ",TRUE,
    IF(AND(BJ400="true",AO400&gt;0.5,BI400&lt;&gt;"None"),"AttackTarget",""),
    IF(AND(_xlfn.XLOOKUP(_xlfn.XLOOKUP(B400,'Base stats'!B:B,'Base stats'!E:E),Groups!A:A,Groups!AJ:AJ="Mammal"),OR(_xlfn.XLOOKUP(B400,'Base stats'!B:B,'Base stats'!Y:Y)="Omnivore",_xlfn.XLOOKUP(B400,'Base stats'!B:B,'Base stats'!Y:Y)="OmnivoreRough")),"Forage",""),
    IF(BG400&lt;=36,"Comfort",""),
    IF(_xlfn.XLOOKUP(B400,'Base stats'!B:B,'Base stats'!AE:AE)&lt;&gt;"No",_xlfn.XLOOKUP(B400,'Base stats'!B:B,'Base stats'!AE:AE),"")
  )
)</f>
        <v>No</v>
      </c>
      <c r="BQ400" s="25">
        <f>IF(
   AND(
      'Base stats'!AN400="Standard",_xlfn.XLOOKUP(_xlfn.XLOOKUP(B400,'Base stats'!B:B,'Base stats'!E:E),Groups!A:A,Groups!AU:AU)=0,
      OR(
      BO400="True"
      )
   ),
   10,
   IF(
       OR(BM400&lt;&gt;"No",_xlfn.XLOOKUP(_xlfn.XLOOKUP(B400,'Base stats'!B:B,'Base stats'!E:E),Groups!A:A,Groups!AU:AU)=1),
      1,
      "No"
   )
)</f>
        <v>1</v>
      </c>
      <c r="BR400" s="9">
        <f>MROUND((1 + ((0.2*IF(OR(Q400="No",R400="No",R400=0),0,Q400/R400)
+IF(OR(V400="No",S400="No",T400="No"),0,S400/T400*(LEN(V400)-LEN(SUBSTITUTE(V400,",",""))+1))
+IF(OR(X400="No",Y400="No"),0,X400/Y400)
+IF(OR(AD400="No",AE400="No"),0,AD400/AE400)
+IF(OR(AL400="No",AI400="No",AJ400="No"),0,AI400/AJ400*(LEN(AL400)-LEN(SUBSTITUTE(AL400,",",""))+1))
)/(0.2*IF(OR(Q400="No",R400="No",R400=0),0,1)
+IF(OR(V400="No",S400="No",T400="No"),0,LEN(V400)-LEN(SUBSTITUTE(V400,",",""))+1)
+IF(OR(X400="No",Y400="No"),0,1)
+IF(OR(AD400="No",AE400="No"),0,1)
+IF(OR(AL400="No",AI400="No",AJ400="No"),0,LEN(AL400)-LEN(SUBSTITUTE(AL400,",",""))+1))*62%)* 2)*(1 + (AP400 / (IF(_xlfn.XLOOKUP(_xlfn.XLOOKUP(B400,'Base stats'!B:B,'Base stats'!E:E),Groups!A:A,Groups!AJ:AJ)="Photonozoa",0.3,1)) + _xlfn.XLOOKUP(B400,'Base stats'!B:B,'Base stats'!AV:AV) * 1.8) * 2) * 2.5 + 10 + I400 * 2,5)+IF(_xlfn.XLOOKUP(B400,'Base stats'!B:B,'Base stats'!AK:AK)=1,50,0)</f>
        <v>395</v>
      </c>
      <c r="BS400" s="8">
        <f t="shared" si="54"/>
        <v>1.1000000000000001</v>
      </c>
      <c r="BT400" s="8" t="str">
        <f>_xlfn.XLOOKUP(B400,'Base stats'!B:B,'Base stats'!AF:AF)</f>
        <v>No</v>
      </c>
      <c r="BU400" s="2" t="str">
        <f>IF(AND(J400&lt;=0.95,OR(_xlfn.XLOOKUP(B400,'Base stats'!B:B,'Base stats'!AK:AK)=1,_xlfn.XLOOKUP(B400,'Base stats'!B:B,'Base stats'!Y:Y)="Carnivore",_xlfn.XLOOKUP(B400,'Base stats'!B:B,'Base stats'!Y:Y)="Omnivore",BE400&gt;0.1)),"true","false")</f>
        <v>true</v>
      </c>
      <c r="BV400" s="2" t="str">
        <f>IF(_xlfn.XLOOKUP(B400,'Base stats'!B:B,'Base stats'!AI:AI)=1,"true","false")</f>
        <v>false</v>
      </c>
      <c r="BW400" s="25" t="str">
        <f>IF(E400="BaseInsect","AnimalInsect",
IF(J400&gt;0.95,"AnimalExotic",
_xlfn.TEXTJOIN(", ",TRUE,
IF(OR(_xlfn.XLOOKUP(B400,'Base stats'!B:B,'Base stats'!AM:AM)=1,AND(_xlfn.XLOOKUP(B400,'Base stats'!B:B,'Base stats'!O:O)=0,_xlfn.XLOOKUP(_xlfn.XLOOKUP(B400,'Base stats'!B:B,'Base stats'!E:E),Groups!A:A,Groups!B:B)&gt;0)),"AnimalUncommon","AnimalCommon"),
IF(AND(_xlfn.XLOOKUP(B400,'Base stats'!B:B,'Base stats'!O:O)=2,_xlfn.XLOOKUP(_xlfn.XLOOKUP(B400,'Base stats'!B:B,'Base stats'!E:E),Groups!A:A,Groups!D:D)=0),"AnimalPet",IF(AND(_xlfn.XLOOKUP(B400,'Base stats'!B:B,'Base stats'!O:O)&lt;&gt;0,_xlfn.XLOOKUP(_xlfn.XLOOKUP(B400,'Base stats'!B:B,'Base stats'!E:E),Groups!A:A,Groups!D:D)&lt;&gt;0),"AnimalFarm","")),
IF(OR(_xlfn.XLOOKUP(B400,'Base stats'!B:B,'Base stats'!AK:AK)=1,AND(BI400&lt;&gt;"None",BR400&gt;=60),ISNUMBER(SEARCH("Attack target",BP400))),"AnimalFighter","")
)))</f>
        <v>AnimalUncommon</v>
      </c>
      <c r="BX400" s="25" t="str">
        <f>IF(G400="None",TRIM(
SUBSTITUTE(
IF(COUNTIF(Biomes!B$2:B$259,"="&amp;$C400)&gt;0,Biomes!B$1&amp;", ","")&amp;
IF(COUNTIF(Biomes!C$2:C$259,"="&amp;$C400)&gt;0,Biomes!C$1&amp;", ","")&amp;
IF(COUNTIF(Biomes!D$2:D$259,"="&amp;$C400)&gt;0,Biomes!D$1&amp;", ","")&amp;
IF(COUNTIF(Biomes!F$2:F$259,"="&amp;$C400)&gt;0,Biomes!F$1&amp;", ","")&amp;
IF(COUNTIF(Biomes!G$2:G$259,"="&amp;$C400)&gt;0,Biomes!G$1&amp;", ","")&amp;
IF(COUNTIF(Biomes!H$2:H$259,"="&amp;$C400)&gt;0,Biomes!H$1&amp;", ","")&amp;
IF(COUNTIF(Biomes!I$2:I$259,"="&amp;$C400)&gt;0,Biomes!I$1&amp;", ","")&amp;
IF(COUNTIF(Biomes!J$2:J$259,"="&amp;$C400)&gt;0,Biomes!J$1&amp;", ","")&amp;
IF(COUNTIF(Biomes!M$2:M$259,"="&amp;$C400)&gt;0,Biomes!M$1&amp;", ","")&amp;
IF(COUNTIF(Biomes!N$2:N$259,"="&amp;$C400)&gt;0,Biomes!N$1&amp;", ","")&amp;
IF(COUNTIF(Biomes!O$2:O$259,"="&amp;$C400)&gt;0,Biomes!O$1&amp;", ","")&amp;
IF(COUNTIF(Biomes!P$2:P$259,"="&amp;$C400)&gt;0,Biomes!P$1&amp;", ","")&amp;
IF(COUNTIF(Biomes!K$2:K$259,"="&amp;$C400)&gt;0,Biomes!K$1&amp;", ","")&amp;
IF(COUNTIF(Biomes!Q$3:Q$259,"="&amp;$C400)&gt;0,Biomes!Q$1&amp;", ","")&amp;
IF(COUNTIF(Biomes!L$2:L$259,"="&amp;$C400)&gt;0,Biomes!L$1&amp;", ","")&amp;
IF(COUNTIF(Biomes!E$2:E$259,"="&amp;$C400)&gt;0,Biomes!E$1&amp;", ","")&amp;IF(COUNTIF(Biomes!S$2:S$259,"="&amp;$C400)&gt;0,Biomes!S$1&amp;", ","")&amp;
IF(COUNTIF(Biomes!R$2:R$259,"="&amp;$C400)&gt;0,Biomes!R$1&amp;", ",""),", ","")
),_xlfn.XLOOKUP(B400,B:B,BX:BX))</f>
        <v/>
      </c>
      <c r="BY400" s="25" t="str">
        <f>IF(_xlfn.XLOOKUP(B400,'Base stats'!B:B,'Base stats'!AJ:AJ)=1,"true","false")</f>
        <v>false</v>
      </c>
      <c r="BZ400" s="25">
        <f>IF(_xlfn.XLOOKUP(B400,'Base stats'!B:B,'Base stats'!N:N)=1,"No",MAX(0.001,MIN(MROUND(IF(AND(BJ400="True",CC400="False"),POWER(10,3.47*LOG10(_xlfn.XLOOKUP(B400,'Base stats'!B:B,'Base stats'!C:C)*1000)^-0.96),POWER(10,4.15*LOG10(_xlfn.XLOOKUP(B400,'Base stats'!B:B,'Base stats'!C:C)*1000)^-0.73))*IF(_xlfn.XLOOKUP(B400,'Base stats'!B:B,'Base stats'!AK:AK)=1,0.5,1)*IF(_xlfn.XLOOKUP(B400,'Base stats'!B:B,'Base stats'!AM:AM)=1,0.1,1)/100,IF(_xlfn.XLOOKUP(B400,'Base stats'!B:B,'Base stats'!AM:AM)=1,0.001,0.025)),0.5)))</f>
        <v>0.125</v>
      </c>
      <c r="CA400" s="25" t="str">
        <f>IF(P400="Standard","No",MAX(0.001,MIN(MROUND(IF(AND(BJ400="True",CC400="False"),POWER(10,3.47*LOG10(_xlfn.XLOOKUP(B400,'Base stats'!B:B,'Base stats'!C:C)*1000)^-0.96),POWER(10,4.15*LOG10(_xlfn.XLOOKUP(B400,'Base stats'!B:B,'Base stats'!C:C)*1000)^-0.73))*IF(_xlfn.XLOOKUP(B400,'Base stats'!B:B,'Base stats'!AM:AM)=1,0.1,1)*_xlfn.XLOOKUP(B400,'Base stats'!B:B,'Base stats'!R:R)/100,IF(_xlfn.XLOOKUP(B400,'Base stats'!B:B,'Base stats'!AM:AM)=1,0.001,0.025)),0.5)))</f>
        <v>No</v>
      </c>
      <c r="CB400" s="25" t="str">
        <f>IF(_xlfn.XLOOKUP(_xlfn.XLOOKUP(B400,'Base stats'!B:B,'Base stats'!E:E),Groups!A:A,Groups!AJ:AJ)="Mammal","True","False")</f>
        <v>False</v>
      </c>
      <c r="CC400" s="25" t="str">
        <f>IF(OR(_xlfn.XLOOKUP(_xlfn.XLOOKUP(B400,'Base stats'!B:B,'Base stats'!E:E),Groups!A:A,Groups!AJ:AJ)="Reptile",_xlfn.XLOOKUP(_xlfn.XLOOKUP(B400,'Base stats'!B:B,'Base stats'!E:E),Groups!A:A,Groups!AJ:AJ)="Amphibian",_xlfn.XLOOKUP(_xlfn.XLOOKUP(B400,'Base stats'!B:B,'Base stats'!E:E),Groups!A:A,Groups!AJ:AJ)="Invertebrate"),"True","False")</f>
        <v>True</v>
      </c>
      <c r="CD400" s="25" t="str">
        <f t="shared" si="55"/>
        <v>False</v>
      </c>
      <c r="CE400" s="25" t="str">
        <f>IF(_xlfn.XLOOKUP(_xlfn.XLOOKUP(B400,'Base stats'!B:B,'Base stats'!E:E),Groups!A:A,Groups!AX:AX),"True","False")</f>
        <v>False</v>
      </c>
      <c r="CF400" s="25" t="str">
        <f>IF(_xlfn.XLOOKUP(_xlfn.XLOOKUP(B400,'Base stats'!B:B,'Base stats'!E:E),Groups!A:A,Groups!AY:AY),"True","False")</f>
        <v>False</v>
      </c>
      <c r="CG400" s="25" t="str">
        <f>IF(_xlfn.XLOOKUP(_xlfn.XLOOKUP(B400,'Base stats'!B:B,'Base stats'!E:E),Groups!A:A,Groups!AW:AW),"True","False")</f>
        <v>False</v>
      </c>
      <c r="CH400" s="25" t="str">
        <f>IF(
OR(
_xlfn.XLOOKUP(_xlfn.XLOOKUP(B400,'Base stats'!B:B,'Base stats'!E:E),Groups!A:A,Groups!AZ:AZ)=0,
AND(
_xlfn.XLOOKUP(B400,'Base stats'!B:B,'Base stats'!Y:Y)&lt;&gt;"Carnivore",
_xlfn.XLOOKUP(B400,'Base stats'!B:B,'Base stats'!Y:Y)&lt;&gt;"Omnivore",
_xlfn.XLOOKUP(B400,'Base stats'!B:B,'Base stats'!Y:Y)&lt;&gt;"OmnivoreRough"
)
),
"No",
IF(
_xlfn.XLOOKUP(_xlfn.XLOOKUP(B400,'Base stats'!B:B,'Base stats'!E:E),Groups!A:A,Groups!AZ:AZ)=1,
"Flesh",
IF(
_xlfn.XLOOKUP(_xlfn.XLOOKUP(B400,'Base stats'!B:B,'Base stats'!E:E),Groups!A:A,Groups!AZ:AZ)=2,
"Bone",
""
)
)
)</f>
        <v>Bone</v>
      </c>
      <c r="CI400" s="25" t="str">
        <f>IF(_xlfn.XLOOKUP(_xlfn.XLOOKUP(B400,'Base stats'!B:B,'Base stats'!E:E),Groups!A:A,Groups!BB:BB),"True","False")</f>
        <v>False</v>
      </c>
      <c r="CJ400" s="25" t="str">
        <f>IF(_xlfn.XLOOKUP(_xlfn.XLOOKUP(B400,'Base stats'!B:B,'Base stats'!E:E),Groups!A:A,Groups!BA:BA),"True","False")</f>
        <v>False</v>
      </c>
    </row>
    <row r="401" spans="1:88" ht="16.5" thickTop="1" thickBot="1" x14ac:dyDescent="0.3">
      <c r="A401" s="26" t="s">
        <v>2090</v>
      </c>
      <c r="B401" s="6" t="str">
        <f>_xlfn.XLOOKUP(A401,'Base stats'!A:A,'Base stats'!B:B)</f>
        <v>Deinotherium proavum</v>
      </c>
      <c r="C401" s="28" t="str">
        <f t="shared" si="56"/>
        <v>&lt;li&gt;Deinotherium&lt;/li&gt;</v>
      </c>
      <c r="D401" s="28" t="s">
        <v>2126</v>
      </c>
      <c r="E401" s="28" t="s">
        <v>673</v>
      </c>
      <c r="F401" s="28" t="s">
        <v>673</v>
      </c>
      <c r="G401" s="28" t="s">
        <v>673</v>
      </c>
      <c r="H401" s="2">
        <f>MROUND((
  (IF(AND(_xlfn.XLOOKUP(B401,'Base stats'!B:B,'Base stats'!AL:AL)=0,BI401="None",_xlfn.XLOOKUP(_xlfn.XLOOKUP(B401,'Base stats'!B:B,'Base stats'!E:E),Groups!A:A,Groups!B:B)=0), (18 + BR401 * 2.7) * 0.5,
    IF(AND(_xlfn.XLOOKUP(B401,'Base stats'!B:B,'Base stats'!AL:AL)=0,OR(AO401&lt;0.55,AND(BI401="Intermediate",_xlfn.XLOOKUP(_xlfn.XLOOKUP(B401,'Base stats'!B:B,'Base stats'!E:E),Groups!A:A,Groups!B:B)&lt;2))), (18 + BR401 * 2.7),
      IF(OR(BI401="Advanced",_xlfn.XLOOKUP(B401,'Base stats'!B:B,'Base stats'!AL:AL)=1,_xlfn.XLOOKUP(_xlfn.XLOOKUP(B401,'Base stats'!B:B,'Base stats'!E:E),Groups!A:A,Groups!B:B)=2), (18 + BR401 * 2.7) + 250, (18 + BR401 * 2.7))
    )
  ))
  + AO401 * 80
  + IF(COUNTIF(EggMilk!K$2:K$998, A401) &gt; 0, 125, 0)
  + IF(COUNTIF(EggMilk!P$2:P$998, A401) &gt; 0, 90, 0)
  + IF(COUNTIF(EggMilk!A$2:A$998, A401) &gt; 0, 90, 0)
)
* (0.8 + 0.4 * J401)
* 0.75,25)</f>
        <v>2450</v>
      </c>
      <c r="I401" s="2">
        <f>MROUND(ROUNDDOWN(_xlfn.XLOOKUP(B401,'Base stats'!B:B,'Base stats'!L:L)/3.6/(23.3/11),1),0.5)</f>
        <v>5</v>
      </c>
      <c r="J401" s="2">
        <f>IF(OR(_xlfn.XLOOKUP(B401,'Base stats'!B:B,'Base stats'!AB:AB)=1,_xlfn.XLOOKUP(_xlfn.XLOOKUP(B401,'Base stats'!B:B,'Base stats'!E:E),Groups!A:A,Groups!C:C)="Untamable"),1,IF(_xlfn.XLOOKUP(B401,'Base stats'!B:B,'Base stats'!AL:AL)=1,0.99,MIN(MROUND((1-0.6282*EXP(-0.459*AO401))*_xlfn.XLOOKUP(_xlfn.XLOOKUP(B401,'Base stats'!B:B,'Base stats'!E:E),Groups!A:A,Groups!C:C)*IF(_xlfn.XLOOKUP(B401,'Base stats'!B:B,'Base stats'!O:O)=1,0.5,IF(_xlfn.XLOOKUP(B401,'Base stats'!B:B,'Base stats'!O:O)=2,0,1)),0.05),IF(AO401&gt;3.5,0.985,0.95))))</f>
        <v>0.95000000000000007</v>
      </c>
      <c r="K401" s="2">
        <f>ROUNDUP(AO401*_xlfn.XLOOKUP(_xlfn.XLOOKUP(B401,'Base stats'!B:B,'Base stats'!E:E),Groups!A:A,Groups!E:E),0)</f>
        <v>35</v>
      </c>
      <c r="L401" s="2">
        <f>IF(OR(_xlfn.XLOOKUP(_xlfn.XLOOKUP(B401,'Base stats'!B:B,'Base stats'!E:E),Groups!A:A,Groups!F:F)=2,ISNUMBER(SEARCH("SeaIce",BX401)),ISNUMBER(SEARCH("IceSheet",BX401))),-50,IF(OR(ISNUMBER(SEARCH("GlacialPlain",BX401)),ISNUMBER(SEARCH("Tundra",BX401))),-40,IF(OR(ISNUMBER(SEARCH("Alpine",BX401)),ISNUMBER(SEARCH("BorealForest",BX401)),ISNUMBER(SEARCH("ColdBog",BX401))),-30,IF(OR(ISNUMBER(SEARCH("TemperateForest",BX401)),ISNUMBER(SEARCH("TemperateSwamp",BX401))),-20,IF(_xlfn.XLOOKUP(_xlfn.XLOOKUP(B401,'Base stats'!B:B,'Base stats'!E:E),Groups!A:A,Groups!F:F)=1,-15,IF(OR(ISNUMBER(SEARCH("Desert",BX401)),ISNUMBER(SEARCH("ExtremeDesert",BX401))),-10,IF(OR(ISNUMBER(SEARCH("Grasslands",BX401)),ISNUMBER(SEARCH("TropicalRainforest",BX401)),ISNUMBER(SEARCH("TropicalSwamp",BX401))),10,0)))))))-IF(CC401="False",MIN(IFERROR(MAX(MROUND(LOG10(_xlfn.XLOOKUP(B401,'Base stats'!B:B,'Base stats'!C:C)^(2/3))*10,5),5),5),30))-_xlfn.XLOOKUP(B401,'Base stats'!B:B,'Base stats'!P:P)+IF(CC401="True",5,0)</f>
        <v>-25</v>
      </c>
      <c r="M401" s="2">
        <f>IF(OR(_xlfn.XLOOKUP(_xlfn.XLOOKUP(B401,'Base stats'!B:B,'Base stats'!E:E),Groups!A:A,Groups!G:G)=2,ISNUMBER(SEARCH("Desert",BX401)),ISNUMBER(SEARCH("ExtremeDesert",BX401)),ISNUMBER(SEARCH("LavaField",BX401))),50,IF(ISNUMBER(SEARCH("Grasslands",BX401)),45,IF(OR(_xlfn.XLOOKUP(_xlfn.XLOOKUP(B401,'Base stats'!B:B,'Base stats'!E:E),Groups!A:A,Groups!G:G)=1,ISNUMBER(SEARCH("TropicalRainforest",BX401)),ISNUMBER(SEARCH("TropicalSwamp",BX401))),40,IF(OR(ISNUMBER(SEARCH("TemperateForest",BX401)),ISNUMBER(SEARCH("TemperateSwamp",BX401))),35,IF(OR(ISNUMBER(SEARCH("Alpine",BX401)),ISNUMBER(SEARCH("BorealForest",BX401)),ISNUMBER(SEARCH("ColdBog",BX401))),30,IF(ISNUMBER(OR(ISNUMBER(SEARCH("GlacialPlain",BX401)),SEARCH("Tundra",BX401))),25,IF(OR(ISNUMBER(SEARCH("SeaIce",BX401)),ISNUMBER(SEARCH("IceSheet",BX401)),ISNUMBER(SEARCH("TropicalSwamp",BX401))),10,35)))))))+_xlfn.XLOOKUP(B401,'Base stats'!B:B,'Base stats'!Q:Q)</f>
        <v>35</v>
      </c>
      <c r="N401" s="8" t="str">
        <f>IF(
_xlfn.XLOOKUP(
_xlfn.XLOOKUP(B401,'Base stats'!B:B,'Base stats'!E:E),
Groups!A:A,
Groups!L:L
)=1,
MIN(
MROUND(
IF(
_xlfn.XLOOKUP(B401,'Animals CE'!B:B,'Animals CE'!Z:Z)&lt;=1.5,
_xlfn.XLOOKUP(B401,'Animals CE'!B:B,'Animals CE'!Z:Z)/2+0.05,
0.8+
(_xlfn.XLOOKUP(B401,'Animals CE'!B:B,'Animals CE'!Z:Z)-1.5)
*0.02
),
0.05
),
200%
),
"No"
)</f>
        <v>No</v>
      </c>
      <c r="O401" s="8" t="str">
        <f>IF(
_xlfn.XLOOKUP(
_xlfn.XLOOKUP(B401,'Base stats'!B:B,'Base stats'!E:E),
Groups!A:A,
Groups!L:L
)=1,
MIN(
MROUND(
IF(
_xlfn.XLOOKUP(B401,'Animals CE'!B:B,'Animals CE'!AA:AA)&lt;=1.5,
_xlfn.XLOOKUP(B401,'Animals CE'!B:B,'Animals CE'!AA:AA)/2+0.05,
0.8+
(_xlfn.XLOOKUP(B401,'Animals CE'!B:B,'Animals CE'!AA:AA)-1.5)
*0.02
),
0.05
),
200%
),
"No"
)</f>
        <v>No</v>
      </c>
      <c r="P401" s="2" t="str">
        <f>_xlfn.XLOOKUP(B401,'Base stats'!B:B,'Base stats'!R:R)</f>
        <v>Standard</v>
      </c>
      <c r="Q401" s="13">
        <f>MROUND((LOG10(_xlfn.XLOOKUP(B401,'Base stats'!B:B,'Base stats'!AR:AR))*(AO401^0.5)+(_xlfn.XLOOKUP(B401,'Base stats'!B:B,'Base stats'!AR:AR)/1000)^(2/3)+_xlfn.XLOOKUP(B401,'Base stats'!B:B,'Base stats'!BA:BA)/2)+0.5,0.5)</f>
        <v>51.5</v>
      </c>
      <c r="R401" s="7">
        <f>IF(Q401="No","No",MAX(1,MROUND(_xlfn.XLOOKUP(B401,'Base stats'!B:B,'Base stats'!C:C)^0.165,0.05)))</f>
        <v>4.6000000000000005</v>
      </c>
      <c r="S401" s="13">
        <f>IF(_xlfn.XLOOKUP(_xlfn.XLOOKUP(B401,'Base stats'!B:B,'Base stats'!E:E),Groups!A:A,Groups!P:P)=0,"No",MROUND((LOG10(_xlfn.XLOOKUP(B401,'Base stats'!B:B,'Base stats'!AS:AS))*(AO401^0.5)+(_xlfn.XLOOKUP(B401,'Base stats'!B:B,'Base stats'!AS:AS)/1000)^(2/3)+_xlfn.XLOOKUP(B401,'Base stats'!B:B,'Base stats'!BA:BA))+_xlfn.XLOOKUP(B401,'Base stats'!B:B,'Base stats'!AY:AY)+0.5,0.5))</f>
        <v>59</v>
      </c>
      <c r="T401" s="7">
        <f>IF(S401="No","No",MAX(_xlfn.XLOOKUP(_xlfn.XLOOKUP(B401,'Base stats'!B:B,'Base stats'!E:E),Groups!A:A,Groups!Q:Q),MROUND(_xlfn.XLOOKUP(_xlfn.XLOOKUP(B401,'Base stats'!B:B,'Base stats'!E:E),Groups!A:A,Groups!Q:Q)*_xlfn.XLOOKUP(B401,'Base stats'!B:B,'Base stats'!C:C)^0.165,0.05)))</f>
        <v>4.1500000000000004</v>
      </c>
      <c r="U401" s="7" t="str">
        <f>IF(S401="No","No",_xlfn.XLOOKUP(_xlfn.XLOOKUP(B401,'Base stats'!B:B,'Base stats'!E:E),Groups!A:A,Groups!R:R))</f>
        <v>FrontLeftLeg, FrontRightLeg</v>
      </c>
      <c r="V401" s="7" t="str">
        <f>IF(S401="No","No",_xlfn.XLOOKUP(_xlfn.XLOOKUP(B401,'Base stats'!B:B,'Base stats'!E:E),Groups!A:A,Groups!S:S))</f>
        <v>left foot, right foot</v>
      </c>
      <c r="W401" s="7" t="str">
        <f>IF(S401="No","No",_xlfn.XLOOKUP(_xlfn.XLOOKUP(B401,'Base stats'!B:B,'Base stats'!E:E),Groups!A:A,Groups!T:T))</f>
        <v>Blunt</v>
      </c>
      <c r="X401" s="13">
        <f>IF(_xlfn.XLOOKUP(B401,'Base stats'!B:B,'Base stats'!W:W)="No","No",MROUND((LOG10(_xlfn.XLOOKUP(B401,'Base stats'!B:B,'Base stats'!AU:AU))*(AO401^0.5)+(_xlfn.XLOOKUP(B401,'Base stats'!B:B,'Base stats'!AU:AU)/1000)^(2/3)+_xlfn.XLOOKUP(B401,'Base stats'!B:B,'Base stats'!AZ:AZ))+0.5+IF(_xlfn.XLOOKUP(_xlfn.XLOOKUP(B401,'Base stats'!B:B,'Base stats'!E:E),Groups!A:A,Groups!U:U)&lt;&gt;3,_xlfn.XLOOKUP(B401,'Base stats'!B:B,'Base stats'!BA:BA),0),0.5))</f>
        <v>49</v>
      </c>
      <c r="Y401" s="7">
        <f>IF(X401="No","No",MAX(_xlfn.XLOOKUP(_xlfn.XLOOKUP(B401,'Base stats'!B:B,'Base stats'!E:E),Groups!A:A,Groups!V:V),MROUND(_xlfn.XLOOKUP(_xlfn.XLOOKUP(B401,'Base stats'!B:B,'Base stats'!E:E),Groups!A:A,Groups!V:V)*_xlfn.XLOOKUP(B401,'Base stats'!B:B,'Base stats'!C:C)^0.165,0.05)))</f>
        <v>3.25</v>
      </c>
      <c r="Z401" s="7" t="str">
        <f>IF(X401="No","No",_xlfn.XLOOKUP(_xlfn.XLOOKUP(B401,'Base stats'!B:B,'Base stats'!E:E),Groups!A:A,Groups!W:W))</f>
        <v>TuskAttackTool</v>
      </c>
      <c r="AA401" s="7" t="str">
        <f>IF(X401="No","No",_xlfn.XLOOKUP(_xlfn.XLOOKUP(B401,'Base stats'!B:B,'Base stats'!E:E),Groups!A:A,Groups!X:X))</f>
        <v>tusk</v>
      </c>
      <c r="AB401" s="7" t="str">
        <f>IF(X401="No","No",_xlfn.XLOOKUP(_xlfn.XLOOKUP(B401,'Base stats'!B:B,'Base stats'!E:E),Groups!A:A,Groups!Y:Y))</f>
        <v>Scratch</v>
      </c>
      <c r="AC401" s="7" t="str">
        <f>_xlfn.XLOOKUP(Animals!B401,'Base stats'!B:B,'Base stats'!X:X)</f>
        <v>False</v>
      </c>
      <c r="AD401" s="13" t="str">
        <f>IF(_xlfn.XLOOKUP(B401,'Base stats'!B:B,'Base stats'!AT:AT)="No","No",MROUND((LOG10(_xlfn.XLOOKUP(B401,'Base stats'!B:B,'Base stats'!AT:AT))*(AO401^0.75)+(_xlfn.XLOOKUP(B401,'Base stats'!B:B,'Base stats'!AT:AT)/1000)^(2/3)+_xlfn.XLOOKUP(B401,'Base stats'!B:B,'Base stats'!AX:AX)+_xlfn.XLOOKUP(B401,'Base stats'!B:B,'Base stats'!BA:BA))+0.5,0.5))</f>
        <v>No</v>
      </c>
      <c r="AE401" s="7" t="str">
        <f>IF(AD401="No","No",MAX(_xlfn.XLOOKUP(_xlfn.XLOOKUP(B401,'Base stats'!B:B,'Base stats'!E:E),Groups!A:A,Groups!Z:Z),MROUND(_xlfn.XLOOKUP(_xlfn.XLOOKUP(B401,'Base stats'!B:B,'Base stats'!E:E),Groups!A:A,Groups!Z:Z)*_xlfn.XLOOKUP(B401,'Base stats'!B:B,'Base stats'!C:C)^0.165,0.05)))</f>
        <v>No</v>
      </c>
      <c r="AF401" s="7" t="str">
        <f>IF(AD401="No","No",_xlfn.XLOOKUP(_xlfn.XLOOKUP(B401,'Base stats'!B:B,'Base stats'!E:E),Groups!A:A,Groups!AA:AA))</f>
        <v>No</v>
      </c>
      <c r="AG401" s="7" t="str">
        <f>IF(AD401="No","No",_xlfn.XLOOKUP(_xlfn.XLOOKUP(B401,'Base stats'!B:B,'Base stats'!E:E),Groups!A:A,Groups!AB:AB))</f>
        <v>No</v>
      </c>
      <c r="AH401" s="7" t="str">
        <f>IF(AD401="No","No",_xlfn.XLOOKUP(_xlfn.XLOOKUP(B401,'Base stats'!B:B,'Base stats'!E:E),Groups!A:A,Groups!AC:AC))</f>
        <v>No</v>
      </c>
      <c r="AI401" s="13" t="str">
        <f>IF(_xlfn.XLOOKUP(_xlfn.XLOOKUP(B401,'Base stats'!B:B,'Base stats'!E:E),Groups!A:A,Groups!AD:AD)=0,"No",MROUND((LOG10(_xlfn.XLOOKUP(B401,'Base stats'!B:B,'Base stats'!AS:AS))*(AO401^0.75)+(_xlfn.XLOOKUP(B401,'Base stats'!B:B,'Base stats'!AS:AS)/1000)^(2/3)+_xlfn.XLOOKUP(B401,'Base stats'!B:B,'Base stats'!AY:AY)+_xlfn.XLOOKUP(B401,'Base stats'!B:B,'Base stats'!BA:BA))+0.5,0.5))</f>
        <v>No</v>
      </c>
      <c r="AJ401" s="7" t="str">
        <f>IF(AI401="No","No",MAX(_xlfn.XLOOKUP(_xlfn.XLOOKUP(B401,'Base stats'!B:B,'Base stats'!E:E),Groups!A:A,Groups!AE:AE),MROUND(_xlfn.XLOOKUP(_xlfn.XLOOKUP(B401,'Base stats'!B:B,'Base stats'!E:E),Groups!A:A,Groups!AE:AE)*IF(_xlfn.XLOOKUP(_xlfn.XLOOKUP(B401,'Base stats'!B:B,'Base stats'!E:E),Groups!A:A,Groups!AJ:AJ)="Photonozoa",0.6,1)*_xlfn.XLOOKUP(B401,'Base stats'!B:B,'Base stats'!C:C)^0.165,0.05)))</f>
        <v>No</v>
      </c>
      <c r="AK401" s="7" t="str">
        <f>IF(AI401="No","No",_xlfn.XLOOKUP(_xlfn.XLOOKUP(B401,'Base stats'!B:B,'Base stats'!E:E),Groups!A:A,Groups!AF:AF))</f>
        <v>No</v>
      </c>
      <c r="AL401" s="7" t="str">
        <f>IF(AI401="No","No",_xlfn.XLOOKUP(_xlfn.XLOOKUP(B401,'Base stats'!B:B,'Base stats'!E:E),Groups!A:A,Groups!AG:AG))</f>
        <v>No</v>
      </c>
      <c r="AM401" s="7" t="str">
        <f>IF(AI401="No","No",_xlfn.XLOOKUP(_xlfn.XLOOKUP(B401,'Base stats'!B:B,'Base stats'!E:E),Groups!A:A,Groups!AH:AH))</f>
        <v>No</v>
      </c>
      <c r="AN401" s="2" t="str">
        <f t="shared" si="49"/>
        <v>No</v>
      </c>
      <c r="AO401" s="2">
        <f>MROUND(IF(AND(_xlfn.XLOOKUP(B401,'Base stats'!B:B,'Base stats'!C:C)&gt;=0.5,_xlfn.XLOOKUP(B401,'Base stats'!B:B,'Base stats'!C:C)&lt;=0.8),
IF(_xlfn.XLOOKUP(B401,'Base stats'!B:B,'Base stats'!C:C)&lt;0.1,0.05,IF(_xlfn.XLOOKUP(B401,'Base stats'!B:B,'Base stats'!C:C)&lt;=70,(_xlfn.XLOOKUP(B401,'Base stats'!B:B,'Base stats'!C:C)/70)^0.426489913056526,IF(_xlfn.XLOOKUP(B401,'Base stats'!B:B,'Base stats'!C:C)&lt;=400,(_xlfn.XLOOKUP(B401,'Base stats'!B:B,'Base stats'!C:C)/70)^0.572811455315093,IF(_xlfn.XLOOKUP(B401,'Base stats'!B:B,'Base stats'!C:C)&lt;=2000,2.71391647193063*(_xlfn.XLOOKUP(B401,'Base stats'!B:B,'Base stats'!C:C)/400)^0.252459582904293,3.74314280240376*(_xlfn.XLOOKUP(B401,'Base stats'!B:B,'Base stats'!C:C)/2000)^0.357012633876913)))),
IF(_xlfn.XLOOKUP(B401,'Base stats'!B:B,'Base stats'!C:C)&lt;0.1,0.05,IF(_xlfn.XLOOKUP(B401,'Base stats'!B:B,'Base stats'!C:C)&lt;0.4,0.1,IF(_xlfn.XLOOKUP(B401,'Base stats'!B:B,'Base stats'!C:C)&lt;=70,(_xlfn.XLOOKUP(B401,'Base stats'!B:B,'Base stats'!C:C)/70)^0.445823913056526,IF(_xlfn.XLOOKUP(B401,'Base stats'!B:B,'Base stats'!C:C)&lt;=400,(_xlfn.XLOOKUP(B401,'Base stats'!B:B,'Base stats'!C:C)/70)^0.572811455315093,IF(_xlfn.XLOOKUP(B401,'Base stats'!B:B,'Base stats'!C:C)&lt;=2000,2.71391647193063*(_xlfn.XLOOKUP(B401,'Base stats'!B:B,'Base stats'!C:C)/400)^0.252459582904293,3.74314280240376*(_xlfn.XLOOKUP(B401,'Base stats'!B:B,'Base stats'!C:C)/2000)^0.357012633876913)))))),
IF(_xlfn.XLOOKUP(B401,'Base stats'!B:B,'Base stats'!C:C)&lt;0.1,0.05,IF(_xlfn.XLOOKUP(B401,'Base stats'!B:B,'Base stats'!C:C)&lt;=100,0.05,IF(_xlfn.XLOOKUP(B401,'Base stats'!B:B,'Base stats'!C:C)&lt;=250,0.1,IF(_xlfn.XLOOKUP(B401,'Base stats'!B:B,'Base stats'!C:C)&lt;=4000,0.25,0.5)))))</f>
        <v>7</v>
      </c>
      <c r="AP401" s="8">
        <f>MROUND(AO401*_xlfn.XLOOKUP(_xlfn.XLOOKUP(B401,'Base stats'!B:B,'Base stats'!E:E),Groups!A:A,Groups!AI:AI)*_xlfn.XLOOKUP(B401,'Base stats'!B:B,'Base stats'!Z:Z),0.05)</f>
        <v>7</v>
      </c>
      <c r="AQ401" s="8">
        <f>MAX(0.01,MROUND(IF(CC401="True",0.196*(AO401*100*1000)^0.889,IF(_xlfn.XLOOKUP(_xlfn.XLOOKUP(B401,'Base stats'!B:B,'Base stats'!E:E),Groups!A:A,Groups!AJ:AJ)="Bird",10.5*(AO401*100*1000)^0.681,4.82*(AO401*100*1000)^0.734))/(4.82*(1*100*1000)^0.734)/IF(AO401&lt;3.5,2,IF(AO401=3.5,1.5,1.25))*(1+0.132282374779864/(AO401^0.994035016789033+0.00905238001496948)),0.05))</f>
        <v>3.4000000000000004</v>
      </c>
      <c r="AR401" s="9">
        <f>IFERROR(MROUND(_xlfn.XLOOKUP(B401,'Base stats'!B:B,'Base stats'!H:H)/IF(_xlfn.XLOOKUP(B401,'Base stats'!B:B,'Base stats'!I:I)&lt;&gt;1,(122.5/70),1.2),IF(_xlfn.XLOOKUP(B401,'Base stats'!B:B,'Base stats'!H:H)&gt;=30,5,IF(_xlfn.XLOOKUP(B401,'Base stats'!B:B,'Base stats'!H:H)&gt;=15,3,IF(_xlfn.XLOOKUP(B401,'Base stats'!B:B,'Base stats'!H:H)&gt;=10,2,1)))),"Immortal")</f>
        <v>55</v>
      </c>
      <c r="AS401" s="35">
        <f>IFERROR(IF(OR(_xlfn.XLOOKUP(B401,'Base stats'!B:B,'Base stats'!F:F)="Atypical reproduction",_xlfn.XLOOKUP(B401,'Base stats'!B:B,'Base stats'!F:F)="Lay eggs"),"Lay eggs",MIN(20,MAX(5.5,ROUND(((_xlfn.XLOOKUP(B401,'Base stats'!B:B,'Base stats'!F:F)-25)*(14.5/615) + 5.5)*2,0)/2))),"Unknown")</f>
        <v>20</v>
      </c>
      <c r="AT401" s="8">
        <f>IF(_xlfn.XLOOKUP(B401,'Base stats'!B:B,'Base stats'!G:G)="Atypical reproduction","No",IFERROR(MAX(IF(_xlfn.XLOOKUP(B401,'Base stats'!B:B,'Base stats'!G:G)&lt;0.5,0.2,0.3),MROUND(_xlfn.XLOOKUP(B401,'Base stats'!B:B,'Base stats'!G:G)/(365/60),0.2)),"Unknown"))</f>
        <v>1.8</v>
      </c>
      <c r="AU401" s="8">
        <f t="shared" si="50"/>
        <v>0.9</v>
      </c>
      <c r="AV401" s="8">
        <f>IFERROR(IFERROR(MROUND(_xlfn.XLOOKUP(B401,'Base stats'!B:B,'Base stats'!J:J),0.1),"Lay eggs"),"Cannot breed")</f>
        <v>1</v>
      </c>
      <c r="AW401" s="2" t="str">
        <f t="shared" si="51"/>
        <v>true</v>
      </c>
      <c r="AX401" s="2" t="str">
        <f>IF(_xlfn.XLOOKUP(_xlfn.XLOOKUP(Animals!B401,'Base stats'!B:B,'Base stats'!E:E),Groups!A:A,Groups!AK:AK)=1,"true","false")</f>
        <v>true</v>
      </c>
      <c r="AY401" s="25" t="str">
        <f>IF(_xlfn.XLOOKUP(B401,'Base stats'!B:B,'Base stats'!Y:Y)="Liquor","Liquor, CarnivoreAnimalStrict",IF(AND(_xlfn.XLOOKUP(B401,'Base stats'!B:B,'Base stats'!Y:Y)="Carnivore",_xlfn.XLOOKUP(_xlfn.XLOOKUP(B401,'Base stats'!B:B,'Base stats'!E:E),Groups!A:A,Groups!AJ:AJ)="Photonozoa"),"CarnivoreAnimalStrict, OvivoreAnimal",IF(_xlfn.XLOOKUP(B401,'Base stats'!B:B,'Base stats'!Y:Y)="Carnivore","CarnivoreAnimal, OvivoreAnimal",IF(_xlfn.XLOOKUP(B401,'Base stats'!B:B,'Base stats'!Y:Y)="Dendrovore","VegetarianRoughAnimal, DendrovoreAnimal",IF(_xlfn.XLOOKUP(B401,'Base stats'!B:B,'Base stats'!Y:Y)="Herbivore","VegetarianRoughAnimal",IF(_xlfn.XLOOKUP(B401,'Base stats'!B:B,'Base stats'!Y:Y)="OmnivoreRough","OmnivoreRoughAnimal, OvivoreAnimal","OmnivoreAnimal, OvivoreAnimal"))))))</f>
        <v>VegetarianRoughAnimal</v>
      </c>
      <c r="AZ401" s="2" t="str">
        <f>IF(_xlfn.XLOOKUP(_xlfn.XLOOKUP(B401,'Base stats'!B:B,'Base stats'!E:E),Groups!A:A,Groups!D:D)=1,MROUND((1-J401)*5+1,2)*IF(J401&lt;=0.4,2,1),"No")</f>
        <v>No</v>
      </c>
      <c r="BA401" s="2" t="str">
        <f>IF(AND(_xlfn.XLOOKUP(B401,'Base stats'!B:B,'Base stats'!AH:AH)="&lt;li&gt;Seal&lt;/li&gt;",G401="Odyssey"),"&lt;li&gt;AEXP_Seal&lt;/li&gt;",_xlfn.XLOOKUP(B401,'Base stats'!B:B,'Base stats'!AH:AH))</f>
        <v>&lt;li&gt;Elephant&lt;/li&gt;</v>
      </c>
      <c r="BB401" s="2" t="str">
        <f>_xlfn.XLOOKUP(B401,'Base stats'!B:B,'Base stats'!AG:AG)</f>
        <v>Leather_Elephant</v>
      </c>
      <c r="BC401" s="23" t="str">
        <f>_xlfn.XLOOKUP(_xlfn.XLOOKUP(B401,'Base stats'!B:B,'Base stats'!E:E),Groups!A:A,Groups!AL:AL)</f>
        <v>QuadrupedAnimalWithHoovesTusksAndTrunk</v>
      </c>
      <c r="BD401" s="23">
        <f>MIN(1,MROUND(IF(AND(AO401&lt;0.5,_xlfn.XLOOKUP(B401,'Base stats'!B:B,'Base stats'!AA:AA)=0),0,IF(OR(_xlfn.XLOOKUP(Animals!B401,'Base stats'!B:B,'Base stats'!O:O)=2,_xlfn.XLOOKUP(_xlfn.XLOOKUP(B401,'Base stats'!B:B,'Base stats'!E:E),Groups!A:A,Groups!AN:AN)=0),0,_xlfn.XLOOKUP(_xlfn.XLOOKUP(B401,'Base stats'!B:B,'Base stats'!E:E),Groups!A:A,Groups!AN:AN)/IF(_xlfn.XLOOKUP(Animals!B401,'Base stats'!B:B,'Base stats'!O:O)=1,2,1)))+_xlfn.XLOOKUP(B401,'Base stats'!B:B,'Base stats'!AC:AC),0.005))</f>
        <v>2.5000000000000001E-2</v>
      </c>
      <c r="BE401" s="23">
        <f>MIN(1,MROUND(IF(AND(AO401&lt;0.5,_xlfn.XLOOKUP(B401,'Base stats'!B:B,'Base stats'!AA:AA)=0),0,IF(_xlfn.XLOOKUP(_xlfn.XLOOKUP(B401,'Base stats'!B:B,'Base stats'!E:E),Groups!A:A,Groups!AO:AO)=0,0,_xlfn.XLOOKUP(_xlfn.XLOOKUP(B401,'Base stats'!B:B,'Base stats'!E:E),Groups!A:A,Groups!AO:AO)/IF(_xlfn.XLOOKUP(Animals!B401,'Base stats'!B:B,'Base stats'!O:O)=2,3,1)))+_xlfn.XLOOKUP(B401,'Base stats'!B:B,'Base stats'!AD:AD),0.005))</f>
        <v>0.3</v>
      </c>
      <c r="BF401" s="2" t="str">
        <f>IF(J401&gt;0.3,"No",_xlfn.XLOOKUP(_xlfn.XLOOKUP(Animals!B401,'Base stats'!B:B,'Base stats'!E:E),Groups!A:A,Groups!AP:AP))</f>
        <v>No</v>
      </c>
      <c r="BG401" s="2" t="str">
        <f>IF(AND(J401&lt;=0.65,_xlfn.XLOOKUP(_xlfn.XLOOKUP(Animals!B401,'Base stats'!B:B,'Base stats'!E:E),Groups!A:A,Groups!AP:AP)&lt;&gt;"No",_xlfn.XLOOKUP(_xlfn.XLOOKUP(B401,'Base stats'!B:B,'Base stats'!E:E),Groups!A:A,Groups!D:D)=0),MROUND((80/3)*IF(_xlfn.XLOOKUP(B401,'Base stats'!B:B,'Base stats'!O:O)=2,0.2,AO401) + 24*(1-IF(BF401="No",0,BF401)) + 16/3, 12),"No")</f>
        <v>No</v>
      </c>
      <c r="BH401" s="2">
        <f>IF(AND(_xlfn.XLOOKUP(_xlfn.XLOOKUP(B401,'Base stats'!B:B,'Base stats'!E:E),Groups!A:A,Groups!AQ:AQ)=1,AO401&lt;=0.35),8,12)</f>
        <v>12</v>
      </c>
      <c r="BI401" s="2" t="str">
        <f>IF(_xlfn.XLOOKUP(_xlfn.XLOOKUP(B401,'Base stats'!B:B,'Base stats'!E:E),Groups!A:A,Groups!D:D)=0,_xlfn.XLOOKUP(_xlfn.XLOOKUP(B401,'Base stats'!B:B,'Base stats'!E:E),Groups!A:A,Groups!AR:AR),"None")</f>
        <v>Advanced</v>
      </c>
      <c r="BJ401" s="2" t="str">
        <f>IF(AND(_xlfn.XLOOKUP(_xlfn.XLOOKUP(B401,'Base stats'!B:B,'Base stats'!E:E),Groups!A:A,Groups!AS:AS)=1,OR(_xlfn.XLOOKUP(B401,'Base stats'!B:B,'Base stats'!Y:Y)="Carnivore",_xlfn.XLOOKUP(B401,'Base stats'!B:B,'Base stats'!Y:Y)="Omnivore")),"true","false")</f>
        <v>false</v>
      </c>
      <c r="BK401" s="2" t="str">
        <f>IF(BJ401="true",MROUND(IF(AND(AO401&gt;0.5,OR(_xlfn.XLOOKUP(_xlfn.XLOOKUP(B401,'Base stats'!B:B,'Base stats'!E:E),Groups!A:A,Groups!AJ:AJ)="Photonozoa",_xlfn.XLOOKUP(_xlfn.XLOOKUP(B401,'Base stats'!B:B,'Base stats'!E:E),Groups!A:A,Groups!AJ:AJ)="Mammal")),Animals!AO401*1.75*IF(AW401="true",1.5,1),IF(AO401&lt;0.5,Animals!AO401*0.5,Animals!AO401)),IF(AO401&gt;2,0.5,IF(AO401&gt;0.5,0.25,0.1))),"No")</f>
        <v>No</v>
      </c>
      <c r="BL401" s="2">
        <f t="shared" si="52"/>
        <v>1</v>
      </c>
      <c r="BM401" s="25" t="str">
        <f>IF(_xlfn.XLOOKUP(B401,'Base stats'!B:B,'Base stats'!AN:AN)="Standard","No",MROUND((_xlfn.XLOOKUP(B401,'Base stats'!B:B,'Base stats'!AN:AN)/3.6)/I401,0.1))</f>
        <v>No</v>
      </c>
      <c r="BN401" s="25" t="str">
        <f t="shared" si="53"/>
        <v>false</v>
      </c>
      <c r="BO401" s="25" t="str">
        <f>IF(AND(OR(_xlfn.XLOOKUP(B401,'Base stats'!B:B,'Base stats'!Y:Y)="Carnivore",_xlfn.XLOOKUP(B401,'Base stats'!B:B,'Base stats'!Y:Y)="Omnivore",_xlfn.XLOOKUP(B401,'Base stats'!B:B,'Base stats'!Y:Y)="OmnivoreRough"),_xlfn.XLOOKUP(_xlfn.XLOOKUP(B401,'Base stats'!B:B,'Base stats'!E:E),Groups!A:A,Groups!AT:AT)=1),"true","false")</f>
        <v>false</v>
      </c>
      <c r="BP401" s="25" t="str" cm="1">
        <f t="array" ref="BP401">IF(
  _xlfn.TEXTJOIN(", ",TRUE,
    IF(AND(BJ401="true",AO401&gt;0.5,BI401&lt;&gt;"None"),"AttackTarget",""),
    IF(AND(_xlfn.XLOOKUP(_xlfn.XLOOKUP(B401,'Base stats'!B:B,'Base stats'!E:E),Groups!A:A,Groups!AJ:AJ="Mammal"),OR(_xlfn.XLOOKUP(B401,'Base stats'!B:B,'Base stats'!Y:Y)="Omnivore",_xlfn.XLOOKUP(B401,'Base stats'!B:B,'Base stats'!Y:Y)="OmnivoreRough")),"Forage",""),
    IF(BG401&lt;=36,"Comfort",""),
    IF(_xlfn.XLOOKUP(B401,'Base stats'!B:B,'Base stats'!AE:AE)&lt;&gt;"No",_xlfn.XLOOKUP(B401,'Base stats'!B:B,'Base stats'!AE:AE),"")
  ) = "",
  "No",
  _xlfn.TEXTJOIN(", ",TRUE,
    IF(AND(BJ401="true",AO401&gt;0.5,BI401&lt;&gt;"None"),"AttackTarget",""),
    IF(AND(_xlfn.XLOOKUP(_xlfn.XLOOKUP(B401,'Base stats'!B:B,'Base stats'!E:E),Groups!A:A,Groups!AJ:AJ="Mammal"),OR(_xlfn.XLOOKUP(B401,'Base stats'!B:B,'Base stats'!Y:Y)="Omnivore",_xlfn.XLOOKUP(B401,'Base stats'!B:B,'Base stats'!Y:Y)="OmnivoreRough")),"Forage",""),
    IF(BG401&lt;=36,"Comfort",""),
    IF(_xlfn.XLOOKUP(B401,'Base stats'!B:B,'Base stats'!AE:AE)&lt;&gt;"No",_xlfn.XLOOKUP(B401,'Base stats'!B:B,'Base stats'!AE:AE),"")
  )
)</f>
        <v>WarTrumpet</v>
      </c>
      <c r="BQ401" s="25" t="str">
        <f>IF(
   AND(
      'Base stats'!AN401="Standard",_xlfn.XLOOKUP(_xlfn.XLOOKUP(B401,'Base stats'!B:B,'Base stats'!E:E),Groups!A:A,Groups!AU:AU)=0,
      OR(
      BO401="True"
      )
   ),
   10,
   IF(
       OR(BM401&lt;&gt;"No",_xlfn.XLOOKUP(_xlfn.XLOOKUP(B401,'Base stats'!B:B,'Base stats'!E:E),Groups!A:A,Groups!AU:AU)=1),
      1,
      "No"
   )
)</f>
        <v>No</v>
      </c>
      <c r="BR401" s="9">
        <f>MROUND((1 + ((0.2*IF(OR(Q401="No",R401="No",R401=0),0,Q401/R401)
+IF(OR(V401="No",S401="No",T401="No"),0,S401/T401*(LEN(V401)-LEN(SUBSTITUTE(V401,",",""))+1))
+IF(OR(X401="No",Y401="No"),0,X401/Y401)
+IF(OR(AD401="No",AE401="No"),0,AD401/AE401)
+IF(OR(AL401="No",AI401="No",AJ401="No"),0,AI401/AJ401*(LEN(AL401)-LEN(SUBSTITUTE(AL401,",",""))+1))
)/(0.2*IF(OR(Q401="No",R401="No",R401=0),0,1)
+IF(OR(V401="No",S401="No",T401="No"),0,LEN(V401)-LEN(SUBSTITUTE(V401,",",""))+1)
+IF(OR(X401="No",Y401="No"),0,1)
+IF(OR(AD401="No",AE401="No"),0,1)
+IF(OR(AL401="No",AI401="No",AJ401="No"),0,LEN(AL401)-LEN(SUBSTITUTE(AL401,",",""))+1))*62%)* 2)*(1 + (AP401 / (IF(_xlfn.XLOOKUP(_xlfn.XLOOKUP(B401,'Base stats'!B:B,'Base stats'!E:E),Groups!A:A,Groups!AJ:AJ)="Photonozoa",0.3,1)) + _xlfn.XLOOKUP(B401,'Base stats'!B:B,'Base stats'!AV:AV) * 1.8) * 2) * 2.5 + 10 + I401 * 2,5)+IF(_xlfn.XLOOKUP(B401,'Base stats'!B:B,'Base stats'!AK:AK)=1,50,0)</f>
        <v>720</v>
      </c>
      <c r="BS401" s="8">
        <f t="shared" si="54"/>
        <v>4.1000000000000005</v>
      </c>
      <c r="BT401" s="8" t="str">
        <f>_xlfn.XLOOKUP(B401,'Base stats'!B:B,'Base stats'!AF:AF)</f>
        <v>2~6</v>
      </c>
      <c r="BU401" s="2" t="str">
        <f>IF(AND(J401&lt;=0.95,OR(_xlfn.XLOOKUP(B401,'Base stats'!B:B,'Base stats'!AK:AK)=1,_xlfn.XLOOKUP(B401,'Base stats'!B:B,'Base stats'!Y:Y)="Carnivore",_xlfn.XLOOKUP(B401,'Base stats'!B:B,'Base stats'!Y:Y)="Omnivore",BE401&gt;0.1)),"true","false")</f>
        <v>true</v>
      </c>
      <c r="BV401" s="2" t="str">
        <f>IF(_xlfn.XLOOKUP(B401,'Base stats'!B:B,'Base stats'!AI:AI)=1,"true","false")</f>
        <v>true</v>
      </c>
      <c r="BW401" s="25" t="str">
        <f>IF(E401="BaseInsect","AnimalInsect",
IF(J401&gt;0.95,"AnimalExotic",
_xlfn.TEXTJOIN(", ",TRUE,
IF(OR(_xlfn.XLOOKUP(B401,'Base stats'!B:B,'Base stats'!AM:AM)=1,AND(_xlfn.XLOOKUP(B401,'Base stats'!B:B,'Base stats'!O:O)=0,_xlfn.XLOOKUP(_xlfn.XLOOKUP(B401,'Base stats'!B:B,'Base stats'!E:E),Groups!A:A,Groups!B:B)&gt;0)),"AnimalUncommon","AnimalCommon"),
IF(AND(_xlfn.XLOOKUP(B401,'Base stats'!B:B,'Base stats'!O:O)=2,_xlfn.XLOOKUP(_xlfn.XLOOKUP(B401,'Base stats'!B:B,'Base stats'!E:E),Groups!A:A,Groups!D:D)=0),"AnimalPet",IF(AND(_xlfn.XLOOKUP(B401,'Base stats'!B:B,'Base stats'!O:O)&lt;&gt;0,_xlfn.XLOOKUP(_xlfn.XLOOKUP(B401,'Base stats'!B:B,'Base stats'!E:E),Groups!A:A,Groups!D:D)&lt;&gt;0),"AnimalFarm","")),
IF(OR(_xlfn.XLOOKUP(B401,'Base stats'!B:B,'Base stats'!AK:AK)=1,AND(BI401&lt;&gt;"None",BR401&gt;=60),ISNUMBER(SEARCH("Attack target",BP401))),"AnimalFighter","")
)))</f>
        <v>AnimalUncommon, AnimalFighter</v>
      </c>
      <c r="BX401" s="25" t="str">
        <f>IF(G401="None",TRIM(
SUBSTITUTE(
IF(COUNTIF(Biomes!B$2:B$259,"="&amp;$C401)&gt;0,Biomes!B$1&amp;", ","")&amp;
IF(COUNTIF(Biomes!C$2:C$259,"="&amp;$C401)&gt;0,Biomes!C$1&amp;", ","")&amp;
IF(COUNTIF(Biomes!D$2:D$259,"="&amp;$C401)&gt;0,Biomes!D$1&amp;", ","")&amp;
IF(COUNTIF(Biomes!F$2:F$259,"="&amp;$C401)&gt;0,Biomes!F$1&amp;", ","")&amp;
IF(COUNTIF(Biomes!G$2:G$259,"="&amp;$C401)&gt;0,Biomes!G$1&amp;", ","")&amp;
IF(COUNTIF(Biomes!H$2:H$259,"="&amp;$C401)&gt;0,Biomes!H$1&amp;", ","")&amp;
IF(COUNTIF(Biomes!I$2:I$259,"="&amp;$C401)&gt;0,Biomes!I$1&amp;", ","")&amp;
IF(COUNTIF(Biomes!J$2:J$259,"="&amp;$C401)&gt;0,Biomes!J$1&amp;", ","")&amp;
IF(COUNTIF(Biomes!M$2:M$259,"="&amp;$C401)&gt;0,Biomes!M$1&amp;", ","")&amp;
IF(COUNTIF(Biomes!N$2:N$259,"="&amp;$C401)&gt;0,Biomes!N$1&amp;", ","")&amp;
IF(COUNTIF(Biomes!O$2:O$259,"="&amp;$C401)&gt;0,Biomes!O$1&amp;", ","")&amp;
IF(COUNTIF(Biomes!P$2:P$259,"="&amp;$C401)&gt;0,Biomes!P$1&amp;", ","")&amp;
IF(COUNTIF(Biomes!K$2:K$259,"="&amp;$C401)&gt;0,Biomes!K$1&amp;", ","")&amp;
IF(COUNTIF(Biomes!Q$3:Q$259,"="&amp;$C401)&gt;0,Biomes!Q$1&amp;", ","")&amp;
IF(COUNTIF(Biomes!L$2:L$259,"="&amp;$C401)&gt;0,Biomes!L$1&amp;", ","")&amp;
IF(COUNTIF(Biomes!E$2:E$259,"="&amp;$C401)&gt;0,Biomes!E$1&amp;", ","")&amp;IF(COUNTIF(Biomes!S$2:S$259,"="&amp;$C401)&gt;0,Biomes!S$1&amp;", ","")&amp;
IF(COUNTIF(Biomes!R$2:R$259,"="&amp;$C401)&gt;0,Biomes!R$1&amp;", ",""),", ","")
),_xlfn.XLOOKUP(B401,B:B,BX:BX))</f>
        <v/>
      </c>
      <c r="BY401" s="25" t="str">
        <f>IF(_xlfn.XLOOKUP(B401,'Base stats'!B:B,'Base stats'!AJ:AJ)=1,"true","false")</f>
        <v>false</v>
      </c>
      <c r="BZ401" s="25">
        <f>IF(_xlfn.XLOOKUP(B401,'Base stats'!B:B,'Base stats'!N:N)=1,"No",MAX(0.001,MIN(MROUND(IF(AND(BJ401="True",CC401="False"),POWER(10,3.47*LOG10(_xlfn.XLOOKUP(B401,'Base stats'!B:B,'Base stats'!C:C)*1000)^-0.96),POWER(10,4.15*LOG10(_xlfn.XLOOKUP(B401,'Base stats'!B:B,'Base stats'!C:C)*1000)^-0.73))*IF(_xlfn.XLOOKUP(B401,'Base stats'!B:B,'Base stats'!AK:AK)=1,0.5,1)*IF(_xlfn.XLOOKUP(B401,'Base stats'!B:B,'Base stats'!AM:AM)=1,0.1,1)/100,IF(_xlfn.XLOOKUP(B401,'Base stats'!B:B,'Base stats'!AM:AM)=1,0.001,0.025)),0.5)))</f>
        <v>0.1</v>
      </c>
      <c r="CA401" s="25" t="str">
        <f>IF(P401="Standard","No",MAX(0.001,MIN(MROUND(IF(AND(BJ401="True",CC401="False"),POWER(10,3.47*LOG10(_xlfn.XLOOKUP(B401,'Base stats'!B:B,'Base stats'!C:C)*1000)^-0.96),POWER(10,4.15*LOG10(_xlfn.XLOOKUP(B401,'Base stats'!B:B,'Base stats'!C:C)*1000)^-0.73))*IF(_xlfn.XLOOKUP(B401,'Base stats'!B:B,'Base stats'!AM:AM)=1,0.1,1)*_xlfn.XLOOKUP(B401,'Base stats'!B:B,'Base stats'!R:R)/100,IF(_xlfn.XLOOKUP(B401,'Base stats'!B:B,'Base stats'!AM:AM)=1,0.001,0.025)),0.5)))</f>
        <v>No</v>
      </c>
      <c r="CB401" s="25" t="str">
        <f>IF(_xlfn.XLOOKUP(_xlfn.XLOOKUP(B401,'Base stats'!B:B,'Base stats'!E:E),Groups!A:A,Groups!AJ:AJ)="Mammal","True","False")</f>
        <v>True</v>
      </c>
      <c r="CC401" s="25" t="str">
        <f>IF(OR(_xlfn.XLOOKUP(_xlfn.XLOOKUP(B401,'Base stats'!B:B,'Base stats'!E:E),Groups!A:A,Groups!AJ:AJ)="Reptile",_xlfn.XLOOKUP(_xlfn.XLOOKUP(B401,'Base stats'!B:B,'Base stats'!E:E),Groups!A:A,Groups!AJ:AJ)="Amphibian",_xlfn.XLOOKUP(_xlfn.XLOOKUP(B401,'Base stats'!B:B,'Base stats'!E:E),Groups!A:A,Groups!AJ:AJ)="Invertebrate"),"True","False")</f>
        <v>False</v>
      </c>
      <c r="CD401" s="25" t="str">
        <f t="shared" si="55"/>
        <v>False</v>
      </c>
      <c r="CE401" s="25" t="str">
        <f>IF(_xlfn.XLOOKUP(_xlfn.XLOOKUP(B401,'Base stats'!B:B,'Base stats'!E:E),Groups!A:A,Groups!AX:AX),"True","False")</f>
        <v>False</v>
      </c>
      <c r="CF401" s="25" t="str">
        <f>IF(_xlfn.XLOOKUP(_xlfn.XLOOKUP(B401,'Base stats'!B:B,'Base stats'!E:E),Groups!A:A,Groups!AY:AY),"True","False")</f>
        <v>False</v>
      </c>
      <c r="CG401" s="25" t="str">
        <f>IF(_xlfn.XLOOKUP(_xlfn.XLOOKUP(B401,'Base stats'!B:B,'Base stats'!E:E),Groups!A:A,Groups!AW:AW),"True","False")</f>
        <v>False</v>
      </c>
      <c r="CH401" s="25" t="str">
        <f>IF(
OR(
_xlfn.XLOOKUP(_xlfn.XLOOKUP(B401,'Base stats'!B:B,'Base stats'!E:E),Groups!A:A,Groups!AZ:AZ)=0,
AND(
_xlfn.XLOOKUP(B401,'Base stats'!B:B,'Base stats'!Y:Y)&lt;&gt;"Carnivore",
_xlfn.XLOOKUP(B401,'Base stats'!B:B,'Base stats'!Y:Y)&lt;&gt;"Omnivore",
_xlfn.XLOOKUP(B401,'Base stats'!B:B,'Base stats'!Y:Y)&lt;&gt;"OmnivoreRough"
)
),
"No",
IF(
_xlfn.XLOOKUP(_xlfn.XLOOKUP(B401,'Base stats'!B:B,'Base stats'!E:E),Groups!A:A,Groups!AZ:AZ)=1,
"Flesh",
IF(
_xlfn.XLOOKUP(_xlfn.XLOOKUP(B401,'Base stats'!B:B,'Base stats'!E:E),Groups!A:A,Groups!AZ:AZ)=2,
"Bone",
""
)
)
)</f>
        <v>No</v>
      </c>
      <c r="CI401" s="25" t="str">
        <f>IF(_xlfn.XLOOKUP(_xlfn.XLOOKUP(B401,'Base stats'!B:B,'Base stats'!E:E),Groups!A:A,Groups!BB:BB),"True","False")</f>
        <v>True</v>
      </c>
      <c r="CJ401" s="25" t="str">
        <f>IF(_xlfn.XLOOKUP(_xlfn.XLOOKUP(B401,'Base stats'!B:B,'Base stats'!E:E),Groups!A:A,Groups!BA:BA),"True","False")</f>
        <v>False</v>
      </c>
    </row>
    <row r="402" spans="1:88" ht="16.5" thickTop="1" thickBot="1" x14ac:dyDescent="0.3">
      <c r="A402" s="26" t="s">
        <v>2091</v>
      </c>
      <c r="B402" s="6" t="str">
        <f>_xlfn.XLOOKUP(A402,'Base stats'!A:A,'Base stats'!B:B)</f>
        <v>Bos primigenius</v>
      </c>
      <c r="C402" s="28" t="str">
        <f t="shared" si="56"/>
        <v>&lt;li&gt;Aurochs&lt;/li&gt;</v>
      </c>
      <c r="D402" s="28" t="s">
        <v>2126</v>
      </c>
      <c r="E402" s="28" t="s">
        <v>673</v>
      </c>
      <c r="F402" s="28" t="s">
        <v>673</v>
      </c>
      <c r="G402" s="28" t="s">
        <v>673</v>
      </c>
      <c r="H402" s="2">
        <f>MROUND((
  (IF(AND(_xlfn.XLOOKUP(B402,'Base stats'!B:B,'Base stats'!AL:AL)=0,BI402="None",_xlfn.XLOOKUP(_xlfn.XLOOKUP(B402,'Base stats'!B:B,'Base stats'!E:E),Groups!A:A,Groups!B:B)=0), (18 + BR402 * 2.7) * 0.5,
    IF(AND(_xlfn.XLOOKUP(B402,'Base stats'!B:B,'Base stats'!AL:AL)=0,OR(AO402&lt;0.55,AND(BI402="Intermediate",_xlfn.XLOOKUP(_xlfn.XLOOKUP(B402,'Base stats'!B:B,'Base stats'!E:E),Groups!A:A,Groups!B:B)&lt;2))), (18 + BR402 * 2.7),
      IF(OR(BI402="Advanced",_xlfn.XLOOKUP(B402,'Base stats'!B:B,'Base stats'!AL:AL)=1,_xlfn.XLOOKUP(_xlfn.XLOOKUP(B402,'Base stats'!B:B,'Base stats'!E:E),Groups!A:A,Groups!B:B)=2), (18 + BR402 * 2.7) + 250, (18 + BR402 * 2.7))
    )
  ))
  + AO402 * 80
  + IF(COUNTIF(EggMilk!K$2:K$998, A402) &gt; 0, 125, 0)
  + IF(COUNTIF(EggMilk!P$2:P$998, A402) &gt; 0, 90, 0)
  + IF(COUNTIF(EggMilk!A$2:A$998, A402) &gt; 0, 90, 0)
)
* (0.8 + 0.4 * J402)
* 0.75,25)</f>
        <v>475</v>
      </c>
      <c r="I402" s="2">
        <f>MROUND(ROUNDDOWN(_xlfn.XLOOKUP(B402,'Base stats'!B:B,'Base stats'!L:L)/3.6/(23.3/11),1),0.5)</f>
        <v>7.5</v>
      </c>
      <c r="J402" s="2">
        <f>IF(OR(_xlfn.XLOOKUP(B402,'Base stats'!B:B,'Base stats'!AB:AB)=1,_xlfn.XLOOKUP(_xlfn.XLOOKUP(B402,'Base stats'!B:B,'Base stats'!E:E),Groups!A:A,Groups!C:C)="Untamable"),1,IF(_xlfn.XLOOKUP(B402,'Base stats'!B:B,'Base stats'!AL:AL)=1,0.99,MIN(MROUND((1-0.6282*EXP(-0.459*AO402))*_xlfn.XLOOKUP(_xlfn.XLOOKUP(B402,'Base stats'!B:B,'Base stats'!E:E),Groups!A:A,Groups!C:C)*IF(_xlfn.XLOOKUP(B402,'Base stats'!B:B,'Base stats'!O:O)=1,0.5,IF(_xlfn.XLOOKUP(B402,'Base stats'!B:B,'Base stats'!O:O)=2,0,1)),0.05),IF(AO402&gt;3.5,0.985,0.95))))</f>
        <v>0.75</v>
      </c>
      <c r="K402" s="2">
        <f>ROUNDUP(AO402*_xlfn.XLOOKUP(_xlfn.XLOOKUP(B402,'Base stats'!B:B,'Base stats'!E:E),Groups!A:A,Groups!E:E),0)</f>
        <v>17</v>
      </c>
      <c r="L402" s="2">
        <f>IF(OR(_xlfn.XLOOKUP(_xlfn.XLOOKUP(B402,'Base stats'!B:B,'Base stats'!E:E),Groups!A:A,Groups!F:F)=2,ISNUMBER(SEARCH("SeaIce",BX402)),ISNUMBER(SEARCH("IceSheet",BX402))),-50,IF(OR(ISNUMBER(SEARCH("GlacialPlain",BX402)),ISNUMBER(SEARCH("Tundra",BX402))),-40,IF(OR(ISNUMBER(SEARCH("Alpine",BX402)),ISNUMBER(SEARCH("BorealForest",BX402)),ISNUMBER(SEARCH("ColdBog",BX402))),-30,IF(OR(ISNUMBER(SEARCH("TemperateForest",BX402)),ISNUMBER(SEARCH("TemperateSwamp",BX402))),-20,IF(_xlfn.XLOOKUP(_xlfn.XLOOKUP(B402,'Base stats'!B:B,'Base stats'!E:E),Groups!A:A,Groups!F:F)=1,-15,IF(OR(ISNUMBER(SEARCH("Desert",BX402)),ISNUMBER(SEARCH("ExtremeDesert",BX402))),-10,IF(OR(ISNUMBER(SEARCH("Grasslands",BX402)),ISNUMBER(SEARCH("TropicalRainforest",BX402)),ISNUMBER(SEARCH("TropicalSwamp",BX402))),10,0)))))))-IF(CC402="False",MIN(IFERROR(MAX(MROUND(LOG10(_xlfn.XLOOKUP(B402,'Base stats'!B:B,'Base stats'!C:C)^(2/3))*10,5),5),5),30))-_xlfn.XLOOKUP(B402,'Base stats'!B:B,'Base stats'!P:P)+IF(CC402="True",5,0)</f>
        <v>-35</v>
      </c>
      <c r="M402" s="2">
        <f>IF(OR(_xlfn.XLOOKUP(_xlfn.XLOOKUP(B402,'Base stats'!B:B,'Base stats'!E:E),Groups!A:A,Groups!G:G)=2,ISNUMBER(SEARCH("Desert",BX402)),ISNUMBER(SEARCH("ExtremeDesert",BX402)),ISNUMBER(SEARCH("LavaField",BX402))),50,IF(ISNUMBER(SEARCH("Grasslands",BX402)),45,IF(OR(_xlfn.XLOOKUP(_xlfn.XLOOKUP(B402,'Base stats'!B:B,'Base stats'!E:E),Groups!A:A,Groups!G:G)=1,ISNUMBER(SEARCH("TropicalRainforest",BX402)),ISNUMBER(SEARCH("TropicalSwamp",BX402))),40,IF(OR(ISNUMBER(SEARCH("TemperateForest",BX402)),ISNUMBER(SEARCH("TemperateSwamp",BX402))),35,IF(OR(ISNUMBER(SEARCH("Alpine",BX402)),ISNUMBER(SEARCH("BorealForest",BX402)),ISNUMBER(SEARCH("ColdBog",BX402))),30,IF(ISNUMBER(OR(ISNUMBER(SEARCH("GlacialPlain",BX402)),SEARCH("Tundra",BX402))),25,IF(OR(ISNUMBER(SEARCH("SeaIce",BX402)),ISNUMBER(SEARCH("IceSheet",BX402)),ISNUMBER(SEARCH("TropicalSwamp",BX402))),10,35)))))))+_xlfn.XLOOKUP(B402,'Base stats'!B:B,'Base stats'!Q:Q)</f>
        <v>35</v>
      </c>
      <c r="N402" s="8" t="str">
        <f>IF(
_xlfn.XLOOKUP(
_xlfn.XLOOKUP(B402,'Base stats'!B:B,'Base stats'!E:E),
Groups!A:A,
Groups!L:L
)=1,
MIN(
MROUND(
IF(
_xlfn.XLOOKUP(B402,'Animals CE'!B:B,'Animals CE'!Z:Z)&lt;=1.5,
_xlfn.XLOOKUP(B402,'Animals CE'!B:B,'Animals CE'!Z:Z)/2+0.05,
0.8+
(_xlfn.XLOOKUP(B402,'Animals CE'!B:B,'Animals CE'!Z:Z)-1.5)
*0.02
),
0.05
),
200%
),
"No"
)</f>
        <v>No</v>
      </c>
      <c r="O402" s="8" t="str">
        <f>IF(
_xlfn.XLOOKUP(
_xlfn.XLOOKUP(B402,'Base stats'!B:B,'Base stats'!E:E),
Groups!A:A,
Groups!L:L
)=1,
MIN(
MROUND(
IF(
_xlfn.XLOOKUP(B402,'Animals CE'!B:B,'Animals CE'!AA:AA)&lt;=1.5,
_xlfn.XLOOKUP(B402,'Animals CE'!B:B,'Animals CE'!AA:AA)/2+0.05,
0.8+
(_xlfn.XLOOKUP(B402,'Animals CE'!B:B,'Animals CE'!AA:AA)-1.5)
*0.02
),
0.05
),
200%
),
"No"
)</f>
        <v>No</v>
      </c>
      <c r="P402" s="2" t="str">
        <f>_xlfn.XLOOKUP(B402,'Base stats'!B:B,'Base stats'!R:R)</f>
        <v>Standard</v>
      </c>
      <c r="Q402" s="13">
        <f>MROUND((LOG10(_xlfn.XLOOKUP(B402,'Base stats'!B:B,'Base stats'!AR:AR))*(AO402^0.5)+(_xlfn.XLOOKUP(B402,'Base stats'!B:B,'Base stats'!AR:AR)/1000)^(2/3)+_xlfn.XLOOKUP(B402,'Base stats'!B:B,'Base stats'!BA:BA)/2)+0.5,0.5)</f>
        <v>18.5</v>
      </c>
      <c r="R402" s="7">
        <f>IF(Q402="No","No",MAX(1,MROUND(_xlfn.XLOOKUP(B402,'Base stats'!B:B,'Base stats'!C:C)^0.165,0.05)))</f>
        <v>3</v>
      </c>
      <c r="S402" s="13">
        <f>IF(_xlfn.XLOOKUP(_xlfn.XLOOKUP(B402,'Base stats'!B:B,'Base stats'!E:E),Groups!A:A,Groups!P:P)=0,"No",MROUND((LOG10(_xlfn.XLOOKUP(B402,'Base stats'!B:B,'Base stats'!AS:AS))*(AO402^0.5)+(_xlfn.XLOOKUP(B402,'Base stats'!B:B,'Base stats'!AS:AS)/1000)^(2/3)+_xlfn.XLOOKUP(B402,'Base stats'!B:B,'Base stats'!BA:BA))+_xlfn.XLOOKUP(B402,'Base stats'!B:B,'Base stats'!AY:AY)+0.5,0.5))</f>
        <v>23</v>
      </c>
      <c r="T402" s="7">
        <f>IF(S402="No","No",MAX(_xlfn.XLOOKUP(_xlfn.XLOOKUP(B402,'Base stats'!B:B,'Base stats'!E:E),Groups!A:A,Groups!Q:Q),MROUND(_xlfn.XLOOKUP(_xlfn.XLOOKUP(B402,'Base stats'!B:B,'Base stats'!E:E),Groups!A:A,Groups!Q:Q)*_xlfn.XLOOKUP(B402,'Base stats'!B:B,'Base stats'!C:C)^0.165,0.05)))</f>
        <v>3</v>
      </c>
      <c r="U402" s="7" t="str">
        <f>IF(S402="No","No",_xlfn.XLOOKUP(_xlfn.XLOOKUP(B402,'Base stats'!B:B,'Base stats'!E:E),Groups!A:A,Groups!R:R))</f>
        <v>FrontLeftLeg, FrontRightLeg</v>
      </c>
      <c r="V402" s="7" t="str">
        <f>IF(S402="No","No",_xlfn.XLOOKUP(_xlfn.XLOOKUP(B402,'Base stats'!B:B,'Base stats'!E:E),Groups!A:A,Groups!S:S))</f>
        <v>left hoof, right hoof</v>
      </c>
      <c r="W402" s="7" t="str">
        <f>IF(S402="No","No",_xlfn.XLOOKUP(_xlfn.XLOOKUP(B402,'Base stats'!B:B,'Base stats'!E:E),Groups!A:A,Groups!T:T))</f>
        <v>Blunt</v>
      </c>
      <c r="X402" s="13">
        <f>IF(_xlfn.XLOOKUP(B402,'Base stats'!B:B,'Base stats'!W:W)="No","No",MROUND((LOG10(_xlfn.XLOOKUP(B402,'Base stats'!B:B,'Base stats'!AU:AU))*(AO402^0.5)+(_xlfn.XLOOKUP(B402,'Base stats'!B:B,'Base stats'!AU:AU)/1000)^(2/3)+_xlfn.XLOOKUP(B402,'Base stats'!B:B,'Base stats'!AZ:AZ))+0.5+IF(_xlfn.XLOOKUP(_xlfn.XLOOKUP(B402,'Base stats'!B:B,'Base stats'!E:E),Groups!A:A,Groups!U:U)&lt;&gt;3,_xlfn.XLOOKUP(B402,'Base stats'!B:B,'Base stats'!BA:BA),0),0.5))</f>
        <v>21</v>
      </c>
      <c r="Y402" s="7">
        <f>IF(X402="No","No",MAX(_xlfn.XLOOKUP(_xlfn.XLOOKUP(B402,'Base stats'!B:B,'Base stats'!E:E),Groups!A:A,Groups!V:V),MROUND(_xlfn.XLOOKUP(_xlfn.XLOOKUP(B402,'Base stats'!B:B,'Base stats'!E:E),Groups!A:A,Groups!V:V)*_xlfn.XLOOKUP(B402,'Base stats'!B:B,'Base stats'!C:C)^0.165,0.05)))</f>
        <v>2.5500000000000003</v>
      </c>
      <c r="Z402" s="7" t="str">
        <f>IF(X402="No","No",_xlfn.XLOOKUP(_xlfn.XLOOKUP(B402,'Base stats'!B:B,'Base stats'!E:E),Groups!A:A,Groups!W:W))</f>
        <v>HeadAttackTool</v>
      </c>
      <c r="AA402" s="7" t="str">
        <f>IF(X402="No","No",_xlfn.XLOOKUP(_xlfn.XLOOKUP(B402,'Base stats'!B:B,'Base stats'!E:E),Groups!A:A,Groups!X:X))</f>
        <v>horn</v>
      </c>
      <c r="AB402" s="7" t="str">
        <f>IF(X402="No","No",_xlfn.XLOOKUP(_xlfn.XLOOKUP(B402,'Base stats'!B:B,'Base stats'!E:E),Groups!A:A,Groups!Y:Y))</f>
        <v>Scratch</v>
      </c>
      <c r="AC402" s="7" t="str">
        <f>_xlfn.XLOOKUP(Animals!B402,'Base stats'!B:B,'Base stats'!X:X)</f>
        <v>False</v>
      </c>
      <c r="AD402" s="13" t="str">
        <f>IF(_xlfn.XLOOKUP(B402,'Base stats'!B:B,'Base stats'!AT:AT)="No","No",MROUND((LOG10(_xlfn.XLOOKUP(B402,'Base stats'!B:B,'Base stats'!AT:AT))*(AO402^0.75)+(_xlfn.XLOOKUP(B402,'Base stats'!B:B,'Base stats'!AT:AT)/1000)^(2/3)+_xlfn.XLOOKUP(B402,'Base stats'!B:B,'Base stats'!AX:AX)+_xlfn.XLOOKUP(B402,'Base stats'!B:B,'Base stats'!BA:BA))+0.5,0.5))</f>
        <v>No</v>
      </c>
      <c r="AE402" s="7" t="str">
        <f>IF(AD402="No","No",MAX(_xlfn.XLOOKUP(_xlfn.XLOOKUP(B402,'Base stats'!B:B,'Base stats'!E:E),Groups!A:A,Groups!Z:Z),MROUND(_xlfn.XLOOKUP(_xlfn.XLOOKUP(B402,'Base stats'!B:B,'Base stats'!E:E),Groups!A:A,Groups!Z:Z)*_xlfn.XLOOKUP(B402,'Base stats'!B:B,'Base stats'!C:C)^0.165,0.05)))</f>
        <v>No</v>
      </c>
      <c r="AF402" s="7" t="str">
        <f>IF(AD402="No","No",_xlfn.XLOOKUP(_xlfn.XLOOKUP(B402,'Base stats'!B:B,'Base stats'!E:E),Groups!A:A,Groups!AA:AA))</f>
        <v>No</v>
      </c>
      <c r="AG402" s="7" t="str">
        <f>IF(AD402="No","No",_xlfn.XLOOKUP(_xlfn.XLOOKUP(B402,'Base stats'!B:B,'Base stats'!E:E),Groups!A:A,Groups!AB:AB))</f>
        <v>No</v>
      </c>
      <c r="AH402" s="7" t="str">
        <f>IF(AD402="No","No",_xlfn.XLOOKUP(_xlfn.XLOOKUP(B402,'Base stats'!B:B,'Base stats'!E:E),Groups!A:A,Groups!AC:AC))</f>
        <v>No</v>
      </c>
      <c r="AI402" s="13" t="str">
        <f>IF(_xlfn.XLOOKUP(_xlfn.XLOOKUP(B402,'Base stats'!B:B,'Base stats'!E:E),Groups!A:A,Groups!AD:AD)=0,"No",MROUND((LOG10(_xlfn.XLOOKUP(B402,'Base stats'!B:B,'Base stats'!AS:AS))*(AO402^0.75)+(_xlfn.XLOOKUP(B402,'Base stats'!B:B,'Base stats'!AS:AS)/1000)^(2/3)+_xlfn.XLOOKUP(B402,'Base stats'!B:B,'Base stats'!AY:AY)+_xlfn.XLOOKUP(B402,'Base stats'!B:B,'Base stats'!BA:BA))+0.5,0.5))</f>
        <v>No</v>
      </c>
      <c r="AJ402" s="7" t="str">
        <f>IF(AI402="No","No",MAX(_xlfn.XLOOKUP(_xlfn.XLOOKUP(B402,'Base stats'!B:B,'Base stats'!E:E),Groups!A:A,Groups!AE:AE),MROUND(_xlfn.XLOOKUP(_xlfn.XLOOKUP(B402,'Base stats'!B:B,'Base stats'!E:E),Groups!A:A,Groups!AE:AE)*IF(_xlfn.XLOOKUP(_xlfn.XLOOKUP(B402,'Base stats'!B:B,'Base stats'!E:E),Groups!A:A,Groups!AJ:AJ)="Photonozoa",0.6,1)*_xlfn.XLOOKUP(B402,'Base stats'!B:B,'Base stats'!C:C)^0.165,0.05)))</f>
        <v>No</v>
      </c>
      <c r="AK402" s="7" t="str">
        <f>IF(AI402="No","No",_xlfn.XLOOKUP(_xlfn.XLOOKUP(B402,'Base stats'!B:B,'Base stats'!E:E),Groups!A:A,Groups!AF:AF))</f>
        <v>No</v>
      </c>
      <c r="AL402" s="7" t="str">
        <f>IF(AI402="No","No",_xlfn.XLOOKUP(_xlfn.XLOOKUP(B402,'Base stats'!B:B,'Base stats'!E:E),Groups!A:A,Groups!AG:AG))</f>
        <v>No</v>
      </c>
      <c r="AM402" s="7" t="str">
        <f>IF(AI402="No","No",_xlfn.XLOOKUP(_xlfn.XLOOKUP(B402,'Base stats'!B:B,'Base stats'!E:E),Groups!A:A,Groups!AH:AH))</f>
        <v>No</v>
      </c>
      <c r="AN402" s="2" t="str">
        <f t="shared" si="49"/>
        <v>No</v>
      </c>
      <c r="AO402" s="2">
        <f>MROUND(IF(AND(_xlfn.XLOOKUP(B402,'Base stats'!B:B,'Base stats'!C:C)&gt;=0.5,_xlfn.XLOOKUP(B402,'Base stats'!B:B,'Base stats'!C:C)&lt;=0.8),
IF(_xlfn.XLOOKUP(B402,'Base stats'!B:B,'Base stats'!C:C)&lt;0.1,0.05,IF(_xlfn.XLOOKUP(B402,'Base stats'!B:B,'Base stats'!C:C)&lt;=70,(_xlfn.XLOOKUP(B402,'Base stats'!B:B,'Base stats'!C:C)/70)^0.426489913056526,IF(_xlfn.XLOOKUP(B402,'Base stats'!B:B,'Base stats'!C:C)&lt;=400,(_xlfn.XLOOKUP(B402,'Base stats'!B:B,'Base stats'!C:C)/70)^0.572811455315093,IF(_xlfn.XLOOKUP(B402,'Base stats'!B:B,'Base stats'!C:C)&lt;=2000,2.71391647193063*(_xlfn.XLOOKUP(B402,'Base stats'!B:B,'Base stats'!C:C)/400)^0.252459582904293,3.74314280240376*(_xlfn.XLOOKUP(B402,'Base stats'!B:B,'Base stats'!C:C)/2000)^0.357012633876913)))),
IF(_xlfn.XLOOKUP(B402,'Base stats'!B:B,'Base stats'!C:C)&lt;0.1,0.05,IF(_xlfn.XLOOKUP(B402,'Base stats'!B:B,'Base stats'!C:C)&lt;0.4,0.1,IF(_xlfn.XLOOKUP(B402,'Base stats'!B:B,'Base stats'!C:C)&lt;=70,(_xlfn.XLOOKUP(B402,'Base stats'!B:B,'Base stats'!C:C)/70)^0.445823913056526,IF(_xlfn.XLOOKUP(B402,'Base stats'!B:B,'Base stats'!C:C)&lt;=400,(_xlfn.XLOOKUP(B402,'Base stats'!B:B,'Base stats'!C:C)/70)^0.572811455315093,IF(_xlfn.XLOOKUP(B402,'Base stats'!B:B,'Base stats'!C:C)&lt;=2000,2.71391647193063*(_xlfn.XLOOKUP(B402,'Base stats'!B:B,'Base stats'!C:C)/400)^0.252459582904293,3.74314280240376*(_xlfn.XLOOKUP(B402,'Base stats'!B:B,'Base stats'!C:C)/2000)^0.357012633876913)))))),
IF(_xlfn.XLOOKUP(B402,'Base stats'!B:B,'Base stats'!C:C)&lt;0.1,0.05,IF(_xlfn.XLOOKUP(B402,'Base stats'!B:B,'Base stats'!C:C)&lt;=100,0.05,IF(_xlfn.XLOOKUP(B402,'Base stats'!B:B,'Base stats'!C:C)&lt;=250,0.1,IF(_xlfn.XLOOKUP(B402,'Base stats'!B:B,'Base stats'!C:C)&lt;=4000,0.25,0.5)))))</f>
        <v>3.25</v>
      </c>
      <c r="AP402" s="8">
        <f>MROUND(AO402*_xlfn.XLOOKUP(_xlfn.XLOOKUP(B402,'Base stats'!B:B,'Base stats'!E:E),Groups!A:A,Groups!AI:AI)*_xlfn.XLOOKUP(B402,'Base stats'!B:B,'Base stats'!Z:Z),0.05)</f>
        <v>3.25</v>
      </c>
      <c r="AQ402" s="8">
        <f>MAX(0.01,MROUND(IF(CC402="True",0.196*(AO402*100*1000)^0.889,IF(_xlfn.XLOOKUP(_xlfn.XLOOKUP(B402,'Base stats'!B:B,'Base stats'!E:E),Groups!A:A,Groups!AJ:AJ)="Bird",10.5*(AO402*100*1000)^0.681,4.82*(AO402*100*1000)^0.734))/(4.82*(1*100*1000)^0.734)/IF(AO402&lt;3.5,2,IF(AO402=3.5,1.5,1.25))*(1+0.132282374779864/(AO402^0.994035016789033+0.00905238001496948)),0.05))</f>
        <v>1.25</v>
      </c>
      <c r="AR402" s="9">
        <f>IFERROR(MROUND(_xlfn.XLOOKUP(B402,'Base stats'!B:B,'Base stats'!H:H)/IF(_xlfn.XLOOKUP(B402,'Base stats'!B:B,'Base stats'!I:I)&lt;&gt;1,(122.5/70),1.2),IF(_xlfn.XLOOKUP(B402,'Base stats'!B:B,'Base stats'!H:H)&gt;=30,5,IF(_xlfn.XLOOKUP(B402,'Base stats'!B:B,'Base stats'!H:H)&gt;=15,3,IF(_xlfn.XLOOKUP(B402,'Base stats'!B:B,'Base stats'!H:H)&gt;=10,2,1)))),"Immortal")</f>
        <v>20</v>
      </c>
      <c r="AS402" s="35">
        <f>IFERROR(IF(OR(_xlfn.XLOOKUP(B402,'Base stats'!B:B,'Base stats'!F:F)="Atypical reproduction",_xlfn.XLOOKUP(B402,'Base stats'!B:B,'Base stats'!F:F)="Lay eggs"),"Lay eggs",MIN(20,MAX(5.5,ROUND(((_xlfn.XLOOKUP(B402,'Base stats'!B:B,'Base stats'!F:F)-25)*(14.5/615) + 5.5)*2,0)/2))),"Unknown")</f>
        <v>11.5</v>
      </c>
      <c r="AT402" s="8">
        <f>IF(_xlfn.XLOOKUP(B402,'Base stats'!B:B,'Base stats'!G:G)="Atypical reproduction","No",IFERROR(MAX(IF(_xlfn.XLOOKUP(B402,'Base stats'!B:B,'Base stats'!G:G)&lt;0.5,0.2,0.3),MROUND(_xlfn.XLOOKUP(B402,'Base stats'!B:B,'Base stats'!G:G)/(365/60),0.2)),"Unknown"))</f>
        <v>0.4</v>
      </c>
      <c r="AU402" s="8">
        <f t="shared" si="50"/>
        <v>0.2</v>
      </c>
      <c r="AV402" s="8">
        <f>IFERROR(IFERROR(MROUND(_xlfn.XLOOKUP(B402,'Base stats'!B:B,'Base stats'!J:J),0.1),"Lay eggs"),"Cannot breed")</f>
        <v>1</v>
      </c>
      <c r="AW402" s="2" t="str">
        <f t="shared" si="51"/>
        <v>true</v>
      </c>
      <c r="AX402" s="2" t="str">
        <f>IF(_xlfn.XLOOKUP(_xlfn.XLOOKUP(Animals!B402,'Base stats'!B:B,'Base stats'!E:E),Groups!A:A,Groups!AK:AK)=1,"true","false")</f>
        <v>true</v>
      </c>
      <c r="AY402" s="25" t="str">
        <f>IF(_xlfn.XLOOKUP(B402,'Base stats'!B:B,'Base stats'!Y:Y)="Liquor","Liquor, CarnivoreAnimalStrict",IF(AND(_xlfn.XLOOKUP(B402,'Base stats'!B:B,'Base stats'!Y:Y)="Carnivore",_xlfn.XLOOKUP(_xlfn.XLOOKUP(B402,'Base stats'!B:B,'Base stats'!E:E),Groups!A:A,Groups!AJ:AJ)="Photonozoa"),"CarnivoreAnimalStrict, OvivoreAnimal",IF(_xlfn.XLOOKUP(B402,'Base stats'!B:B,'Base stats'!Y:Y)="Carnivore","CarnivoreAnimal, OvivoreAnimal",IF(_xlfn.XLOOKUP(B402,'Base stats'!B:B,'Base stats'!Y:Y)="Dendrovore","VegetarianRoughAnimal, DendrovoreAnimal",IF(_xlfn.XLOOKUP(B402,'Base stats'!B:B,'Base stats'!Y:Y)="Herbivore","VegetarianRoughAnimal",IF(_xlfn.XLOOKUP(B402,'Base stats'!B:B,'Base stats'!Y:Y)="OmnivoreRough","OmnivoreRoughAnimal, OvivoreAnimal","OmnivoreAnimal, OvivoreAnimal"))))))</f>
        <v>VegetarianRoughAnimal</v>
      </c>
      <c r="AZ402" s="2">
        <f>IF(_xlfn.XLOOKUP(_xlfn.XLOOKUP(B402,'Base stats'!B:B,'Base stats'!E:E),Groups!A:A,Groups!D:D)=1,MROUND((1-J402)*5+1,2)*IF(J402&lt;=0.4,2,1),"No")</f>
        <v>2</v>
      </c>
      <c r="BA402" s="2" t="str">
        <f>IF(AND(_xlfn.XLOOKUP(B402,'Base stats'!B:B,'Base stats'!AH:AH)="&lt;li&gt;Seal&lt;/li&gt;",G402="Odyssey"),"&lt;li&gt;AEXP_Seal&lt;/li&gt;",_xlfn.XLOOKUP(B402,'Base stats'!B:B,'Base stats'!AH:AH))</f>
        <v>&lt;li&gt;Cow&lt;/li&gt;</v>
      </c>
      <c r="BB402" s="2" t="str">
        <f>_xlfn.XLOOKUP(B402,'Base stats'!B:B,'Base stats'!AG:AG)</f>
        <v>Leather_Plain</v>
      </c>
      <c r="BC402" s="23" t="str">
        <f>_xlfn.XLOOKUP(_xlfn.XLOOKUP(B402,'Base stats'!B:B,'Base stats'!E:E),Groups!A:A,Groups!AL:AL)</f>
        <v>QuadrupedAnimalWithHooves</v>
      </c>
      <c r="BD402" s="23">
        <f>MIN(1,MROUND(IF(AND(AO402&lt;0.5,_xlfn.XLOOKUP(B402,'Base stats'!B:B,'Base stats'!AA:AA)=0),0,IF(OR(_xlfn.XLOOKUP(Animals!B402,'Base stats'!B:B,'Base stats'!O:O)=2,_xlfn.XLOOKUP(_xlfn.XLOOKUP(B402,'Base stats'!B:B,'Base stats'!E:E),Groups!A:A,Groups!AN:AN)=0),0,_xlfn.XLOOKUP(_xlfn.XLOOKUP(B402,'Base stats'!B:B,'Base stats'!E:E),Groups!A:A,Groups!AN:AN)/IF(_xlfn.XLOOKUP(Animals!B402,'Base stats'!B:B,'Base stats'!O:O)=1,2,1)))+_xlfn.XLOOKUP(B402,'Base stats'!B:B,'Base stats'!AC:AC),0.005))</f>
        <v>2.5000000000000001E-2</v>
      </c>
      <c r="BE402" s="23">
        <f>MIN(1,MROUND(IF(AND(AO402&lt;0.5,_xlfn.XLOOKUP(B402,'Base stats'!B:B,'Base stats'!AA:AA)=0),0,IF(_xlfn.XLOOKUP(_xlfn.XLOOKUP(B402,'Base stats'!B:B,'Base stats'!E:E),Groups!A:A,Groups!AO:AO)=0,0,_xlfn.XLOOKUP(_xlfn.XLOOKUP(B402,'Base stats'!B:B,'Base stats'!E:E),Groups!A:A,Groups!AO:AO)/IF(_xlfn.XLOOKUP(Animals!B402,'Base stats'!B:B,'Base stats'!O:O)=2,3,1)))+_xlfn.XLOOKUP(B402,'Base stats'!B:B,'Base stats'!AD:AD),0.005))</f>
        <v>0.1</v>
      </c>
      <c r="BF402" s="2" t="str">
        <f>IF(J402&gt;0.3,"No",_xlfn.XLOOKUP(_xlfn.XLOOKUP(Animals!B402,'Base stats'!B:B,'Base stats'!E:E),Groups!A:A,Groups!AP:AP))</f>
        <v>No</v>
      </c>
      <c r="BG402" s="2" t="str">
        <f>IF(AND(J402&lt;=0.65,_xlfn.XLOOKUP(_xlfn.XLOOKUP(Animals!B402,'Base stats'!B:B,'Base stats'!E:E),Groups!A:A,Groups!AP:AP)&lt;&gt;"No",_xlfn.XLOOKUP(_xlfn.XLOOKUP(B402,'Base stats'!B:B,'Base stats'!E:E),Groups!A:A,Groups!D:D)=0),MROUND((80/3)*IF(_xlfn.XLOOKUP(B402,'Base stats'!B:B,'Base stats'!O:O)=2,0.2,AO402) + 24*(1-IF(BF402="No",0,BF402)) + 16/3, 12),"No")</f>
        <v>No</v>
      </c>
      <c r="BH402" s="2">
        <f>IF(AND(_xlfn.XLOOKUP(_xlfn.XLOOKUP(B402,'Base stats'!B:B,'Base stats'!E:E),Groups!A:A,Groups!AQ:AQ)=1,AO402&lt;=0.35),8,12)</f>
        <v>12</v>
      </c>
      <c r="BI402" s="2" t="str">
        <f>IF(_xlfn.XLOOKUP(_xlfn.XLOOKUP(B402,'Base stats'!B:B,'Base stats'!E:E),Groups!A:A,Groups!D:D)=0,_xlfn.XLOOKUP(_xlfn.XLOOKUP(B402,'Base stats'!B:B,'Base stats'!E:E),Groups!A:A,Groups!AR:AR),"None")</f>
        <v>None</v>
      </c>
      <c r="BJ402" s="2" t="str">
        <f>IF(AND(_xlfn.XLOOKUP(_xlfn.XLOOKUP(B402,'Base stats'!B:B,'Base stats'!E:E),Groups!A:A,Groups!AS:AS)=1,OR(_xlfn.XLOOKUP(B402,'Base stats'!B:B,'Base stats'!Y:Y)="Carnivore",_xlfn.XLOOKUP(B402,'Base stats'!B:B,'Base stats'!Y:Y)="Omnivore")),"true","false")</f>
        <v>false</v>
      </c>
      <c r="BK402" s="2" t="str">
        <f>IF(BJ402="true",MROUND(IF(AND(AO402&gt;0.5,OR(_xlfn.XLOOKUP(_xlfn.XLOOKUP(B402,'Base stats'!B:B,'Base stats'!E:E),Groups!A:A,Groups!AJ:AJ)="Photonozoa",_xlfn.XLOOKUP(_xlfn.XLOOKUP(B402,'Base stats'!B:B,'Base stats'!E:E),Groups!A:A,Groups!AJ:AJ)="Mammal")),Animals!AO402*1.75*IF(AW402="true",1.5,1),IF(AO402&lt;0.5,Animals!AO402*0.5,Animals!AO402)),IF(AO402&gt;2,0.5,IF(AO402&gt;0.5,0.25,0.1))),"No")</f>
        <v>No</v>
      </c>
      <c r="BL402" s="2">
        <f t="shared" si="52"/>
        <v>0</v>
      </c>
      <c r="BM402" s="25" t="str">
        <f>IF(_xlfn.XLOOKUP(B402,'Base stats'!B:B,'Base stats'!AN:AN)="Standard","No",MROUND((_xlfn.XLOOKUP(B402,'Base stats'!B:B,'Base stats'!AN:AN)/3.6)/I402,0.1))</f>
        <v>No</v>
      </c>
      <c r="BN402" s="25" t="str">
        <f t="shared" si="53"/>
        <v>false</v>
      </c>
      <c r="BO402" s="25" t="str">
        <f>IF(AND(OR(_xlfn.XLOOKUP(B402,'Base stats'!B:B,'Base stats'!Y:Y)="Carnivore",_xlfn.XLOOKUP(B402,'Base stats'!B:B,'Base stats'!Y:Y)="Omnivore",_xlfn.XLOOKUP(B402,'Base stats'!B:B,'Base stats'!Y:Y)="OmnivoreRough"),_xlfn.XLOOKUP(_xlfn.XLOOKUP(B402,'Base stats'!B:B,'Base stats'!E:E),Groups!A:A,Groups!AT:AT)=1),"true","false")</f>
        <v>false</v>
      </c>
      <c r="BP402" s="25" t="str" cm="1">
        <f t="array" ref="BP402">IF(
  _xlfn.TEXTJOIN(", ",TRUE,
    IF(AND(BJ402="true",AO402&gt;0.5,BI402&lt;&gt;"None"),"AttackTarget",""),
    IF(AND(_xlfn.XLOOKUP(_xlfn.XLOOKUP(B402,'Base stats'!B:B,'Base stats'!E:E),Groups!A:A,Groups!AJ:AJ="Mammal"),OR(_xlfn.XLOOKUP(B402,'Base stats'!B:B,'Base stats'!Y:Y)="Omnivore",_xlfn.XLOOKUP(B402,'Base stats'!B:B,'Base stats'!Y:Y)="OmnivoreRough")),"Forage",""),
    IF(BG402&lt;=36,"Comfort",""),
    IF(_xlfn.XLOOKUP(B402,'Base stats'!B:B,'Base stats'!AE:AE)&lt;&gt;"No",_xlfn.XLOOKUP(B402,'Base stats'!B:B,'Base stats'!AE:AE),"")
  ) = "",
  "No",
  _xlfn.TEXTJOIN(", ",TRUE,
    IF(AND(BJ402="true",AO402&gt;0.5,BI402&lt;&gt;"None"),"AttackTarget",""),
    IF(AND(_xlfn.XLOOKUP(_xlfn.XLOOKUP(B402,'Base stats'!B:B,'Base stats'!E:E),Groups!A:A,Groups!AJ:AJ="Mammal"),OR(_xlfn.XLOOKUP(B402,'Base stats'!B:B,'Base stats'!Y:Y)="Omnivore",_xlfn.XLOOKUP(B402,'Base stats'!B:B,'Base stats'!Y:Y)="OmnivoreRough")),"Forage",""),
    IF(BG402&lt;=36,"Comfort",""),
    IF(_xlfn.XLOOKUP(B402,'Base stats'!B:B,'Base stats'!AE:AE)&lt;&gt;"No",_xlfn.XLOOKUP(B402,'Base stats'!B:B,'Base stats'!AE:AE),"")
  )
)</f>
        <v>No</v>
      </c>
      <c r="BQ402" s="25" t="str">
        <f>IF(
   AND(
      'Base stats'!AN402="Standard",_xlfn.XLOOKUP(_xlfn.XLOOKUP(B402,'Base stats'!B:B,'Base stats'!E:E),Groups!A:A,Groups!AU:AU)=0,
      OR(
      BO402="True"
      )
   ),
   10,
   IF(
       OR(BM402&lt;&gt;"No",_xlfn.XLOOKUP(_xlfn.XLOOKUP(B402,'Base stats'!B:B,'Base stats'!E:E),Groups!A:A,Groups!AU:AU)=1),
      1,
      "No"
   )
)</f>
        <v>No</v>
      </c>
      <c r="BR402" s="9">
        <f>MROUND((1 + ((0.2*IF(OR(Q402="No",R402="No",R402=0),0,Q402/R402)
+IF(OR(V402="No",S402="No",T402="No"),0,S402/T402*(LEN(V402)-LEN(SUBSTITUTE(V402,",",""))+1))
+IF(OR(X402="No",Y402="No"),0,X402/Y402)
+IF(OR(AD402="No",AE402="No"),0,AD402/AE402)
+IF(OR(AL402="No",AI402="No",AJ402="No"),0,AI402/AJ402*(LEN(AL402)-LEN(SUBSTITUTE(AL402,",",""))+1))
)/(0.2*IF(OR(Q402="No",R402="No",R402=0),0,1)
+IF(OR(V402="No",S402="No",T402="No"),0,LEN(V402)-LEN(SUBSTITUTE(V402,",",""))+1)
+IF(OR(X402="No",Y402="No"),0,1)
+IF(OR(AD402="No",AE402="No"),0,1)
+IF(OR(AL402="No",AI402="No",AJ402="No"),0,LEN(AL402)-LEN(SUBSTITUTE(AL402,",",""))+1))*62%)* 2)*(1 + (AP402 / (IF(_xlfn.XLOOKUP(_xlfn.XLOOKUP(B402,'Base stats'!B:B,'Base stats'!E:E),Groups!A:A,Groups!AJ:AJ)="Photonozoa",0.3,1)) + _xlfn.XLOOKUP(B402,'Base stats'!B:B,'Base stats'!AV:AV) * 1.8) * 2) * 2.5 + 10 + I402 * 2,5)+IF(_xlfn.XLOOKUP(B402,'Base stats'!B:B,'Base stats'!AK:AK)=1,50,0)</f>
        <v>225</v>
      </c>
      <c r="BS402" s="8">
        <f t="shared" si="54"/>
        <v>1.6500000000000001</v>
      </c>
      <c r="BT402" s="8" t="str">
        <f>_xlfn.XLOOKUP(B402,'Base stats'!B:B,'Base stats'!AF:AF)</f>
        <v>2~6</v>
      </c>
      <c r="BU402" s="2" t="str">
        <f>IF(AND(J402&lt;=0.95,OR(_xlfn.XLOOKUP(B402,'Base stats'!B:B,'Base stats'!AK:AK)=1,_xlfn.XLOOKUP(B402,'Base stats'!B:B,'Base stats'!Y:Y)="Carnivore",_xlfn.XLOOKUP(B402,'Base stats'!B:B,'Base stats'!Y:Y)="Omnivore",BE402&gt;0.1)),"true","false")</f>
        <v>false</v>
      </c>
      <c r="BV402" s="2" t="str">
        <f>IF(_xlfn.XLOOKUP(B402,'Base stats'!B:B,'Base stats'!AI:AI)=1,"true","false")</f>
        <v>true</v>
      </c>
      <c r="BW402" s="25" t="str">
        <f>IF(E402="BaseInsect","AnimalInsect",
IF(J402&gt;0.95,"AnimalExotic",
_xlfn.TEXTJOIN(", ",TRUE,
IF(OR(_xlfn.XLOOKUP(B402,'Base stats'!B:B,'Base stats'!AM:AM)=1,AND(_xlfn.XLOOKUP(B402,'Base stats'!B:B,'Base stats'!O:O)=0,_xlfn.XLOOKUP(_xlfn.XLOOKUP(B402,'Base stats'!B:B,'Base stats'!E:E),Groups!A:A,Groups!B:B)&gt;0)),"AnimalUncommon","AnimalCommon"),
IF(AND(_xlfn.XLOOKUP(B402,'Base stats'!B:B,'Base stats'!O:O)=2,_xlfn.XLOOKUP(_xlfn.XLOOKUP(B402,'Base stats'!B:B,'Base stats'!E:E),Groups!A:A,Groups!D:D)=0),"AnimalPet",IF(AND(_xlfn.XLOOKUP(B402,'Base stats'!B:B,'Base stats'!O:O)&lt;&gt;0,_xlfn.XLOOKUP(_xlfn.XLOOKUP(B402,'Base stats'!B:B,'Base stats'!E:E),Groups!A:A,Groups!D:D)&lt;&gt;0),"AnimalFarm","")),
IF(OR(_xlfn.XLOOKUP(B402,'Base stats'!B:B,'Base stats'!AK:AK)=1,AND(BI402&lt;&gt;"None",BR402&gt;=60),ISNUMBER(SEARCH("Attack target",BP402))),"AnimalFighter","")
)))</f>
        <v>AnimalCommon</v>
      </c>
      <c r="BX402" s="25" t="str">
        <f>IF(G402="None",TRIM(
SUBSTITUTE(
IF(COUNTIF(Biomes!B$2:B$259,"="&amp;$C402)&gt;0,Biomes!B$1&amp;", ","")&amp;
IF(COUNTIF(Biomes!C$2:C$259,"="&amp;$C402)&gt;0,Biomes!C$1&amp;", ","")&amp;
IF(COUNTIF(Biomes!D$2:D$259,"="&amp;$C402)&gt;0,Biomes!D$1&amp;", ","")&amp;
IF(COUNTIF(Biomes!F$2:F$259,"="&amp;$C402)&gt;0,Biomes!F$1&amp;", ","")&amp;
IF(COUNTIF(Biomes!G$2:G$259,"="&amp;$C402)&gt;0,Biomes!G$1&amp;", ","")&amp;
IF(COUNTIF(Biomes!H$2:H$259,"="&amp;$C402)&gt;0,Biomes!H$1&amp;", ","")&amp;
IF(COUNTIF(Biomes!I$2:I$259,"="&amp;$C402)&gt;0,Biomes!I$1&amp;", ","")&amp;
IF(COUNTIF(Biomes!J$2:J$259,"="&amp;$C402)&gt;0,Biomes!J$1&amp;", ","")&amp;
IF(COUNTIF(Biomes!M$2:M$259,"="&amp;$C402)&gt;0,Biomes!M$1&amp;", ","")&amp;
IF(COUNTIF(Biomes!N$2:N$259,"="&amp;$C402)&gt;0,Biomes!N$1&amp;", ","")&amp;
IF(COUNTIF(Biomes!O$2:O$259,"="&amp;$C402)&gt;0,Biomes!O$1&amp;", ","")&amp;
IF(COUNTIF(Biomes!P$2:P$259,"="&amp;$C402)&gt;0,Biomes!P$1&amp;", ","")&amp;
IF(COUNTIF(Biomes!K$2:K$259,"="&amp;$C402)&gt;0,Biomes!K$1&amp;", ","")&amp;
IF(COUNTIF(Biomes!Q$3:Q$259,"="&amp;$C402)&gt;0,Biomes!Q$1&amp;", ","")&amp;
IF(COUNTIF(Biomes!L$2:L$259,"="&amp;$C402)&gt;0,Biomes!L$1&amp;", ","")&amp;
IF(COUNTIF(Biomes!E$2:E$259,"="&amp;$C402)&gt;0,Biomes!E$1&amp;", ","")&amp;IF(COUNTIF(Biomes!S$2:S$259,"="&amp;$C402)&gt;0,Biomes!S$1&amp;", ","")&amp;
IF(COUNTIF(Biomes!R$2:R$259,"="&amp;$C402)&gt;0,Biomes!R$1&amp;", ",""),", ","")
),_xlfn.XLOOKUP(B402,B:B,BX:BX))</f>
        <v/>
      </c>
      <c r="BY402" s="25" t="str">
        <f>IF(_xlfn.XLOOKUP(B402,'Base stats'!B:B,'Base stats'!AJ:AJ)=1,"true","false")</f>
        <v>false</v>
      </c>
      <c r="BZ402" s="25">
        <f>IF(_xlfn.XLOOKUP(B402,'Base stats'!B:B,'Base stats'!N:N)=1,"No",MAX(0.001,MIN(MROUND(IF(AND(BJ402="True",CC402="False"),POWER(10,3.47*LOG10(_xlfn.XLOOKUP(B402,'Base stats'!B:B,'Base stats'!C:C)*1000)^-0.96),POWER(10,4.15*LOG10(_xlfn.XLOOKUP(B402,'Base stats'!B:B,'Base stats'!C:C)*1000)^-0.73))*IF(_xlfn.XLOOKUP(B402,'Base stats'!B:B,'Base stats'!AK:AK)=1,0.5,1)*IF(_xlfn.XLOOKUP(B402,'Base stats'!B:B,'Base stats'!AM:AM)=1,0.1,1)/100,IF(_xlfn.XLOOKUP(B402,'Base stats'!B:B,'Base stats'!AM:AM)=1,0.001,0.025)),0.5)))</f>
        <v>0.125</v>
      </c>
      <c r="CA402" s="25" t="str">
        <f>IF(P402="Standard","No",MAX(0.001,MIN(MROUND(IF(AND(BJ402="True",CC402="False"),POWER(10,3.47*LOG10(_xlfn.XLOOKUP(B402,'Base stats'!B:B,'Base stats'!C:C)*1000)^-0.96),POWER(10,4.15*LOG10(_xlfn.XLOOKUP(B402,'Base stats'!B:B,'Base stats'!C:C)*1000)^-0.73))*IF(_xlfn.XLOOKUP(B402,'Base stats'!B:B,'Base stats'!AM:AM)=1,0.1,1)*_xlfn.XLOOKUP(B402,'Base stats'!B:B,'Base stats'!R:R)/100,IF(_xlfn.XLOOKUP(B402,'Base stats'!B:B,'Base stats'!AM:AM)=1,0.001,0.025)),0.5)))</f>
        <v>No</v>
      </c>
      <c r="CB402" s="25" t="str">
        <f>IF(_xlfn.XLOOKUP(_xlfn.XLOOKUP(B402,'Base stats'!B:B,'Base stats'!E:E),Groups!A:A,Groups!AJ:AJ)="Mammal","True","False")</f>
        <v>True</v>
      </c>
      <c r="CC402" s="25" t="str">
        <f>IF(OR(_xlfn.XLOOKUP(_xlfn.XLOOKUP(B402,'Base stats'!B:B,'Base stats'!E:E),Groups!A:A,Groups!AJ:AJ)="Reptile",_xlfn.XLOOKUP(_xlfn.XLOOKUP(B402,'Base stats'!B:B,'Base stats'!E:E),Groups!A:A,Groups!AJ:AJ)="Amphibian",_xlfn.XLOOKUP(_xlfn.XLOOKUP(B402,'Base stats'!B:B,'Base stats'!E:E),Groups!A:A,Groups!AJ:AJ)="Invertebrate"),"True","False")</f>
        <v>False</v>
      </c>
      <c r="CD402" s="25" t="str">
        <f t="shared" si="55"/>
        <v>False</v>
      </c>
      <c r="CE402" s="25" t="str">
        <f>IF(_xlfn.XLOOKUP(_xlfn.XLOOKUP(B402,'Base stats'!B:B,'Base stats'!E:E),Groups!A:A,Groups!AX:AX),"True","False")</f>
        <v>False</v>
      </c>
      <c r="CF402" s="25" t="str">
        <f>IF(_xlfn.XLOOKUP(_xlfn.XLOOKUP(B402,'Base stats'!B:B,'Base stats'!E:E),Groups!A:A,Groups!AY:AY),"True","False")</f>
        <v>False</v>
      </c>
      <c r="CG402" s="25" t="str">
        <f>IF(_xlfn.XLOOKUP(_xlfn.XLOOKUP(B402,'Base stats'!B:B,'Base stats'!E:E),Groups!A:A,Groups!AW:AW),"True","False")</f>
        <v>False</v>
      </c>
      <c r="CH402" s="25" t="str">
        <f>IF(
OR(
_xlfn.XLOOKUP(_xlfn.XLOOKUP(B402,'Base stats'!B:B,'Base stats'!E:E),Groups!A:A,Groups!AZ:AZ)=0,
AND(
_xlfn.XLOOKUP(B402,'Base stats'!B:B,'Base stats'!Y:Y)&lt;&gt;"Carnivore",
_xlfn.XLOOKUP(B402,'Base stats'!B:B,'Base stats'!Y:Y)&lt;&gt;"Omnivore",
_xlfn.XLOOKUP(B402,'Base stats'!B:B,'Base stats'!Y:Y)&lt;&gt;"OmnivoreRough"
)
),
"No",
IF(
_xlfn.XLOOKUP(_xlfn.XLOOKUP(B402,'Base stats'!B:B,'Base stats'!E:E),Groups!A:A,Groups!AZ:AZ)=1,
"Flesh",
IF(
_xlfn.XLOOKUP(_xlfn.XLOOKUP(B402,'Base stats'!B:B,'Base stats'!E:E),Groups!A:A,Groups!AZ:AZ)=2,
"Bone",
""
)
)
)</f>
        <v>No</v>
      </c>
      <c r="CI402" s="25" t="str">
        <f>IF(_xlfn.XLOOKUP(_xlfn.XLOOKUP(B402,'Base stats'!B:B,'Base stats'!E:E),Groups!A:A,Groups!BB:BB),"True","False")</f>
        <v>True</v>
      </c>
      <c r="CJ402" s="25" t="str">
        <f>IF(_xlfn.XLOOKUP(_xlfn.XLOOKUP(B402,'Base stats'!B:B,'Base stats'!E:E),Groups!A:A,Groups!BA:BA),"True","False")</f>
        <v>False</v>
      </c>
    </row>
    <row r="403" spans="1:88" ht="16.5" thickTop="1" thickBot="1" x14ac:dyDescent="0.3">
      <c r="A403" s="26" t="s">
        <v>2092</v>
      </c>
      <c r="B403" s="6" t="str">
        <f>_xlfn.XLOOKUP(A403,'Base stats'!A:A,'Base stats'!B:B)</f>
        <v>Megalochelys atlas</v>
      </c>
      <c r="C403" s="28" t="str">
        <f t="shared" si="56"/>
        <v>&lt;li&gt;Megalochelys&lt;/li&gt;</v>
      </c>
      <c r="D403" s="28" t="s">
        <v>2126</v>
      </c>
      <c r="E403" s="28" t="s">
        <v>673</v>
      </c>
      <c r="F403" s="28" t="s">
        <v>673</v>
      </c>
      <c r="G403" s="28" t="s">
        <v>673</v>
      </c>
      <c r="H403" s="2">
        <f>MROUND((
  (IF(AND(_xlfn.XLOOKUP(B403,'Base stats'!B:B,'Base stats'!AL:AL)=0,BI403="None",_xlfn.XLOOKUP(_xlfn.XLOOKUP(B403,'Base stats'!B:B,'Base stats'!E:E),Groups!A:A,Groups!B:B)=0), (18 + BR403 * 2.7) * 0.5,
    IF(AND(_xlfn.XLOOKUP(B403,'Base stats'!B:B,'Base stats'!AL:AL)=0,OR(AO403&lt;0.55,AND(BI403="Intermediate",_xlfn.XLOOKUP(_xlfn.XLOOKUP(B403,'Base stats'!B:B,'Base stats'!E:E),Groups!A:A,Groups!B:B)&lt;2))), (18 + BR403 * 2.7),
      IF(OR(BI403="Advanced",_xlfn.XLOOKUP(B403,'Base stats'!B:B,'Base stats'!AL:AL)=1,_xlfn.XLOOKUP(_xlfn.XLOOKUP(B403,'Base stats'!B:B,'Base stats'!E:E),Groups!A:A,Groups!B:B)=2), (18 + BR403 * 2.7) + 250, (18 + BR403 * 2.7))
    )
  ))
  + AO403 * 80
  + IF(COUNTIF(EggMilk!K$2:K$998, A403) &gt; 0, 125, 0)
  + IF(COUNTIF(EggMilk!P$2:P$998, A403) &gt; 0, 90, 0)
  + IF(COUNTIF(EggMilk!A$2:A$998, A403) &gt; 0, 90, 0)
)
* (0.8 + 0.4 * J403)
* 0.75,25)</f>
        <v>950</v>
      </c>
      <c r="I403" s="2">
        <f>MROUND(ROUNDDOWN(_xlfn.XLOOKUP(B403,'Base stats'!B:B,'Base stats'!L:L)/3.6/(23.3/11),1),0.5)</f>
        <v>0.5</v>
      </c>
      <c r="J403" s="2">
        <f>IF(OR(_xlfn.XLOOKUP(B403,'Base stats'!B:B,'Base stats'!AB:AB)=1,_xlfn.XLOOKUP(_xlfn.XLOOKUP(B403,'Base stats'!B:B,'Base stats'!E:E),Groups!A:A,Groups!C:C)="Untamable"),1,IF(_xlfn.XLOOKUP(B403,'Base stats'!B:B,'Base stats'!AL:AL)=1,0.99,MIN(MROUND((1-0.6282*EXP(-0.459*AO403))*_xlfn.XLOOKUP(_xlfn.XLOOKUP(B403,'Base stats'!B:B,'Base stats'!E:E),Groups!A:A,Groups!C:C)*IF(_xlfn.XLOOKUP(B403,'Base stats'!B:B,'Base stats'!O:O)=1,0.5,IF(_xlfn.XLOOKUP(B403,'Base stats'!B:B,'Base stats'!O:O)=2,0,1)),0.05),IF(AO403&gt;3.5,0.985,0.95))))</f>
        <v>0.95</v>
      </c>
      <c r="K403" s="2">
        <f>ROUNDUP(AO403*_xlfn.XLOOKUP(_xlfn.XLOOKUP(B403,'Base stats'!B:B,'Base stats'!E:E),Groups!A:A,Groups!E:E),0)</f>
        <v>4</v>
      </c>
      <c r="L403" s="2">
        <f>IF(OR(_xlfn.XLOOKUP(_xlfn.XLOOKUP(B403,'Base stats'!B:B,'Base stats'!E:E),Groups!A:A,Groups!F:F)=2,ISNUMBER(SEARCH("SeaIce",BX403)),ISNUMBER(SEARCH("IceSheet",BX403))),-50,IF(OR(ISNUMBER(SEARCH("GlacialPlain",BX403)),ISNUMBER(SEARCH("Tundra",BX403))),-40,IF(OR(ISNUMBER(SEARCH("Alpine",BX403)),ISNUMBER(SEARCH("BorealForest",BX403)),ISNUMBER(SEARCH("ColdBog",BX403))),-30,IF(OR(ISNUMBER(SEARCH("TemperateForest",BX403)),ISNUMBER(SEARCH("TemperateSwamp",BX403))),-20,IF(_xlfn.XLOOKUP(_xlfn.XLOOKUP(B403,'Base stats'!B:B,'Base stats'!E:E),Groups!A:A,Groups!F:F)=1,-15,IF(OR(ISNUMBER(SEARCH("Desert",BX403)),ISNUMBER(SEARCH("ExtremeDesert",BX403))),-10,IF(OR(ISNUMBER(SEARCH("Grasslands",BX403)),ISNUMBER(SEARCH("TropicalRainforest",BX403)),ISNUMBER(SEARCH("TropicalSwamp",BX403))),10,0)))))))-IF(CC403="False",MIN(IFERROR(MAX(MROUND(LOG10(_xlfn.XLOOKUP(B403,'Base stats'!B:B,'Base stats'!C:C)^(2/3))*10,5),5),5),30))-_xlfn.XLOOKUP(B403,'Base stats'!B:B,'Base stats'!P:P)+IF(CC403="True",5,0)</f>
        <v>5</v>
      </c>
      <c r="M403" s="2">
        <f>IF(OR(_xlfn.XLOOKUP(_xlfn.XLOOKUP(B403,'Base stats'!B:B,'Base stats'!E:E),Groups!A:A,Groups!G:G)=2,ISNUMBER(SEARCH("Desert",BX403)),ISNUMBER(SEARCH("ExtremeDesert",BX403)),ISNUMBER(SEARCH("LavaField",BX403))),50,IF(ISNUMBER(SEARCH("Grasslands",BX403)),45,IF(OR(_xlfn.XLOOKUP(_xlfn.XLOOKUP(B403,'Base stats'!B:B,'Base stats'!E:E),Groups!A:A,Groups!G:G)=1,ISNUMBER(SEARCH("TropicalRainforest",BX403)),ISNUMBER(SEARCH("TropicalSwamp",BX403))),40,IF(OR(ISNUMBER(SEARCH("TemperateForest",BX403)),ISNUMBER(SEARCH("TemperateSwamp",BX403))),35,IF(OR(ISNUMBER(SEARCH("Alpine",BX403)),ISNUMBER(SEARCH("BorealForest",BX403)),ISNUMBER(SEARCH("ColdBog",BX403))),30,IF(ISNUMBER(OR(ISNUMBER(SEARCH("GlacialPlain",BX403)),SEARCH("Tundra",BX403))),25,IF(OR(ISNUMBER(SEARCH("SeaIce",BX403)),ISNUMBER(SEARCH("IceSheet",BX403)),ISNUMBER(SEARCH("TropicalSwamp",BX403))),10,35)))))))+_xlfn.XLOOKUP(B403,'Base stats'!B:B,'Base stats'!Q:Q)</f>
        <v>35</v>
      </c>
      <c r="N403" s="8">
        <f>IF(
_xlfn.XLOOKUP(
_xlfn.XLOOKUP(B403,'Base stats'!B:B,'Base stats'!E:E),
Groups!A:A,
Groups!L:L
)=1,
MIN(
MROUND(
IF(
_xlfn.XLOOKUP(B403,'Animals CE'!B:B,'Animals CE'!Z:Z)&lt;=1.5,
_xlfn.XLOOKUP(B403,'Animals CE'!B:B,'Animals CE'!Z:Z)/2+0.05,
0.8+
(_xlfn.XLOOKUP(B403,'Animals CE'!B:B,'Animals CE'!Z:Z)-1.5)
*0.02
),
0.05
),
200%
),
"No"
)</f>
        <v>0.85000000000000009</v>
      </c>
      <c r="O403" s="8">
        <f>IF(
_xlfn.XLOOKUP(
_xlfn.XLOOKUP(B403,'Base stats'!B:B,'Base stats'!E:E),
Groups!A:A,
Groups!L:L
)=1,
MIN(
MROUND(
IF(
_xlfn.XLOOKUP(B403,'Animals CE'!B:B,'Animals CE'!AA:AA)&lt;=1.5,
_xlfn.XLOOKUP(B403,'Animals CE'!B:B,'Animals CE'!AA:AA)/2+0.05,
0.8+
(_xlfn.XLOOKUP(B403,'Animals CE'!B:B,'Animals CE'!AA:AA)-1.5)
*0.02
),
0.05
),
200%
),
"No"
)</f>
        <v>0.9</v>
      </c>
      <c r="P403" s="2" t="str">
        <f>_xlfn.XLOOKUP(B403,'Base stats'!B:B,'Base stats'!R:R)</f>
        <v>Standard</v>
      </c>
      <c r="Q403" s="13">
        <f>MROUND((LOG10(_xlfn.XLOOKUP(B403,'Base stats'!B:B,'Base stats'!AR:AR))*(AO403^0.5)+(_xlfn.XLOOKUP(B403,'Base stats'!B:B,'Base stats'!AR:AR)/1000)^(2/3)+_xlfn.XLOOKUP(B403,'Base stats'!B:B,'Base stats'!BA:BA)/2)+0.5,0.5)</f>
        <v>20.5</v>
      </c>
      <c r="R403" s="7">
        <f>IF(Q403="No","No",MAX(1,MROUND(_xlfn.XLOOKUP(B403,'Base stats'!B:B,'Base stats'!C:C)^0.165,0.05)))</f>
        <v>3.1500000000000004</v>
      </c>
      <c r="S403" s="13" t="str">
        <f>IF(_xlfn.XLOOKUP(_xlfn.XLOOKUP(B403,'Base stats'!B:B,'Base stats'!E:E),Groups!A:A,Groups!P:P)=0,"No",MROUND((LOG10(_xlfn.XLOOKUP(B403,'Base stats'!B:B,'Base stats'!AS:AS))*(AO403^0.5)+(_xlfn.XLOOKUP(B403,'Base stats'!B:B,'Base stats'!AS:AS)/1000)^(2/3)+_xlfn.XLOOKUP(B403,'Base stats'!B:B,'Base stats'!BA:BA))+_xlfn.XLOOKUP(B403,'Base stats'!B:B,'Base stats'!AY:AY)+0.5,0.5))</f>
        <v>No</v>
      </c>
      <c r="T403" s="7" t="str">
        <f>IF(S403="No","No",MAX(_xlfn.XLOOKUP(_xlfn.XLOOKUP(B403,'Base stats'!B:B,'Base stats'!E:E),Groups!A:A,Groups!Q:Q),MROUND(_xlfn.XLOOKUP(_xlfn.XLOOKUP(B403,'Base stats'!B:B,'Base stats'!E:E),Groups!A:A,Groups!Q:Q)*_xlfn.XLOOKUP(B403,'Base stats'!B:B,'Base stats'!C:C)^0.165,0.05)))</f>
        <v>No</v>
      </c>
      <c r="U403" s="7" t="str">
        <f>IF(S403="No","No",_xlfn.XLOOKUP(_xlfn.XLOOKUP(B403,'Base stats'!B:B,'Base stats'!E:E),Groups!A:A,Groups!R:R))</f>
        <v>No</v>
      </c>
      <c r="V403" s="7" t="str">
        <f>IF(S403="No","No",_xlfn.XLOOKUP(_xlfn.XLOOKUP(B403,'Base stats'!B:B,'Base stats'!E:E),Groups!A:A,Groups!S:S))</f>
        <v>No</v>
      </c>
      <c r="W403" s="7" t="str">
        <f>IF(S403="No","No",_xlfn.XLOOKUP(_xlfn.XLOOKUP(B403,'Base stats'!B:B,'Base stats'!E:E),Groups!A:A,Groups!T:T))</f>
        <v>No</v>
      </c>
      <c r="X403" s="13" t="str">
        <f>IF(_xlfn.XLOOKUP(B403,'Base stats'!B:B,'Base stats'!W:W)="No","No",MROUND((LOG10(_xlfn.XLOOKUP(B403,'Base stats'!B:B,'Base stats'!AU:AU))*(AO403^0.5)+(_xlfn.XLOOKUP(B403,'Base stats'!B:B,'Base stats'!AU:AU)/1000)^(2/3)+_xlfn.XLOOKUP(B403,'Base stats'!B:B,'Base stats'!AZ:AZ))+0.5+IF(_xlfn.XLOOKUP(_xlfn.XLOOKUP(B403,'Base stats'!B:B,'Base stats'!E:E),Groups!A:A,Groups!U:U)&lt;&gt;3,_xlfn.XLOOKUP(B403,'Base stats'!B:B,'Base stats'!BA:BA),0),0.5))</f>
        <v>No</v>
      </c>
      <c r="Y403" s="7" t="str">
        <f>IF(X403="No","No",MAX(_xlfn.XLOOKUP(_xlfn.XLOOKUP(B403,'Base stats'!B:B,'Base stats'!E:E),Groups!A:A,Groups!V:V),MROUND(_xlfn.XLOOKUP(_xlfn.XLOOKUP(B403,'Base stats'!B:B,'Base stats'!E:E),Groups!A:A,Groups!V:V)*_xlfn.XLOOKUP(B403,'Base stats'!B:B,'Base stats'!C:C)^0.165,0.05)))</f>
        <v>No</v>
      </c>
      <c r="Z403" s="7" t="str">
        <f>IF(X403="No","No",_xlfn.XLOOKUP(_xlfn.XLOOKUP(B403,'Base stats'!B:B,'Base stats'!E:E),Groups!A:A,Groups!W:W))</f>
        <v>No</v>
      </c>
      <c r="AA403" s="7" t="str">
        <f>IF(X403="No","No",_xlfn.XLOOKUP(_xlfn.XLOOKUP(B403,'Base stats'!B:B,'Base stats'!E:E),Groups!A:A,Groups!X:X))</f>
        <v>No</v>
      </c>
      <c r="AB403" s="7" t="str">
        <f>IF(X403="No","No",_xlfn.XLOOKUP(_xlfn.XLOOKUP(B403,'Base stats'!B:B,'Base stats'!E:E),Groups!A:A,Groups!Y:Y))</f>
        <v>No</v>
      </c>
      <c r="AC403" s="7" t="str">
        <f>_xlfn.XLOOKUP(Animals!B403,'Base stats'!B:B,'Base stats'!X:X)</f>
        <v>False</v>
      </c>
      <c r="AD403" s="13">
        <f>IF(_xlfn.XLOOKUP(B403,'Base stats'!B:B,'Base stats'!AT:AT)="No","No",MROUND((LOG10(_xlfn.XLOOKUP(B403,'Base stats'!B:B,'Base stats'!AT:AT))*(AO403^0.75)+(_xlfn.XLOOKUP(B403,'Base stats'!B:B,'Base stats'!AT:AT)/1000)^(2/3)+_xlfn.XLOOKUP(B403,'Base stats'!B:B,'Base stats'!AX:AX)+_xlfn.XLOOKUP(B403,'Base stats'!B:B,'Base stats'!BA:BA))+0.5,0.5))</f>
        <v>23.5</v>
      </c>
      <c r="AE403" s="7">
        <f>IF(AD403="No","No",MAX(_xlfn.XLOOKUP(_xlfn.XLOOKUP(B403,'Base stats'!B:B,'Base stats'!E:E),Groups!A:A,Groups!Z:Z),MROUND(_xlfn.XLOOKUP(_xlfn.XLOOKUP(B403,'Base stats'!B:B,'Base stats'!E:E),Groups!A:A,Groups!Z:Z)*_xlfn.XLOOKUP(B403,'Base stats'!B:B,'Base stats'!C:C)^0.165,0.05)))</f>
        <v>3.1500000000000004</v>
      </c>
      <c r="AF403" s="7" t="str">
        <f>IF(AD403="No","No",_xlfn.XLOOKUP(_xlfn.XLOOKUP(B403,'Base stats'!B:B,'Base stats'!E:E),Groups!A:A,Groups!AA:AA))</f>
        <v>TurtleBeakAttackTool</v>
      </c>
      <c r="AG403" s="7" t="str">
        <f>IF(AD403="No","No",_xlfn.XLOOKUP(_xlfn.XLOOKUP(B403,'Base stats'!B:B,'Base stats'!E:E),Groups!A:A,Groups!AB:AB))</f>
        <v>beak</v>
      </c>
      <c r="AH403" s="7" t="str">
        <f>IF(AD403="No","No",_xlfn.XLOOKUP(_xlfn.XLOOKUP(B403,'Base stats'!B:B,'Base stats'!E:E),Groups!A:A,Groups!AC:AC))</f>
        <v>Bite</v>
      </c>
      <c r="AI403" s="13" t="str">
        <f>IF(_xlfn.XLOOKUP(_xlfn.XLOOKUP(B403,'Base stats'!B:B,'Base stats'!E:E),Groups!A:A,Groups!AD:AD)=0,"No",MROUND((LOG10(_xlfn.XLOOKUP(B403,'Base stats'!B:B,'Base stats'!AS:AS))*(AO403^0.75)+(_xlfn.XLOOKUP(B403,'Base stats'!B:B,'Base stats'!AS:AS)/1000)^(2/3)+_xlfn.XLOOKUP(B403,'Base stats'!B:B,'Base stats'!AY:AY)+_xlfn.XLOOKUP(B403,'Base stats'!B:B,'Base stats'!BA:BA))+0.5,0.5))</f>
        <v>No</v>
      </c>
      <c r="AJ403" s="7" t="str">
        <f>IF(AI403="No","No",MAX(_xlfn.XLOOKUP(_xlfn.XLOOKUP(B403,'Base stats'!B:B,'Base stats'!E:E),Groups!A:A,Groups!AE:AE),MROUND(_xlfn.XLOOKUP(_xlfn.XLOOKUP(B403,'Base stats'!B:B,'Base stats'!E:E),Groups!A:A,Groups!AE:AE)*IF(_xlfn.XLOOKUP(_xlfn.XLOOKUP(B403,'Base stats'!B:B,'Base stats'!E:E),Groups!A:A,Groups!AJ:AJ)="Photonozoa",0.6,1)*_xlfn.XLOOKUP(B403,'Base stats'!B:B,'Base stats'!C:C)^0.165,0.05)))</f>
        <v>No</v>
      </c>
      <c r="AK403" s="7" t="str">
        <f>IF(AI403="No","No",_xlfn.XLOOKUP(_xlfn.XLOOKUP(B403,'Base stats'!B:B,'Base stats'!E:E),Groups!A:A,Groups!AF:AF))</f>
        <v>No</v>
      </c>
      <c r="AL403" s="7" t="str">
        <f>IF(AI403="No","No",_xlfn.XLOOKUP(_xlfn.XLOOKUP(B403,'Base stats'!B:B,'Base stats'!E:E),Groups!A:A,Groups!AG:AG))</f>
        <v>No</v>
      </c>
      <c r="AM403" s="7" t="str">
        <f>IF(AI403="No","No",_xlfn.XLOOKUP(_xlfn.XLOOKUP(B403,'Base stats'!B:B,'Base stats'!E:E),Groups!A:A,Groups!AH:AH))</f>
        <v>No</v>
      </c>
      <c r="AN403" s="2" t="str">
        <f t="shared" si="49"/>
        <v>No</v>
      </c>
      <c r="AO403" s="2">
        <f>MROUND(IF(AND(_xlfn.XLOOKUP(B403,'Base stats'!B:B,'Base stats'!C:C)&gt;=0.5,_xlfn.XLOOKUP(B403,'Base stats'!B:B,'Base stats'!C:C)&lt;=0.8),
IF(_xlfn.XLOOKUP(B403,'Base stats'!B:B,'Base stats'!C:C)&lt;0.1,0.05,IF(_xlfn.XLOOKUP(B403,'Base stats'!B:B,'Base stats'!C:C)&lt;=70,(_xlfn.XLOOKUP(B403,'Base stats'!B:B,'Base stats'!C:C)/70)^0.426489913056526,IF(_xlfn.XLOOKUP(B403,'Base stats'!B:B,'Base stats'!C:C)&lt;=400,(_xlfn.XLOOKUP(B403,'Base stats'!B:B,'Base stats'!C:C)/70)^0.572811455315093,IF(_xlfn.XLOOKUP(B403,'Base stats'!B:B,'Base stats'!C:C)&lt;=2000,2.71391647193063*(_xlfn.XLOOKUP(B403,'Base stats'!B:B,'Base stats'!C:C)/400)^0.252459582904293,3.74314280240376*(_xlfn.XLOOKUP(B403,'Base stats'!B:B,'Base stats'!C:C)/2000)^0.357012633876913)))),
IF(_xlfn.XLOOKUP(B403,'Base stats'!B:B,'Base stats'!C:C)&lt;0.1,0.05,IF(_xlfn.XLOOKUP(B403,'Base stats'!B:B,'Base stats'!C:C)&lt;0.4,0.1,IF(_xlfn.XLOOKUP(B403,'Base stats'!B:B,'Base stats'!C:C)&lt;=70,(_xlfn.XLOOKUP(B403,'Base stats'!B:B,'Base stats'!C:C)/70)^0.445823913056526,IF(_xlfn.XLOOKUP(B403,'Base stats'!B:B,'Base stats'!C:C)&lt;=400,(_xlfn.XLOOKUP(B403,'Base stats'!B:B,'Base stats'!C:C)/70)^0.572811455315093,IF(_xlfn.XLOOKUP(B403,'Base stats'!B:B,'Base stats'!C:C)&lt;=2000,2.71391647193063*(_xlfn.XLOOKUP(B403,'Base stats'!B:B,'Base stats'!C:C)/400)^0.252459582904293,3.74314280240376*(_xlfn.XLOOKUP(B403,'Base stats'!B:B,'Base stats'!C:C)/2000)^0.357012633876913)))))),
IF(_xlfn.XLOOKUP(B403,'Base stats'!B:B,'Base stats'!C:C)&lt;0.1,0.05,IF(_xlfn.XLOOKUP(B403,'Base stats'!B:B,'Base stats'!C:C)&lt;=100,0.05,IF(_xlfn.XLOOKUP(B403,'Base stats'!B:B,'Base stats'!C:C)&lt;=250,0.1,IF(_xlfn.XLOOKUP(B403,'Base stats'!B:B,'Base stats'!C:C)&lt;=4000,0.25,0.5)))))</f>
        <v>3.5</v>
      </c>
      <c r="AP403" s="8">
        <f>MROUND(AO403*_xlfn.XLOOKUP(_xlfn.XLOOKUP(B403,'Base stats'!B:B,'Base stats'!E:E),Groups!A:A,Groups!AI:AI)*_xlfn.XLOOKUP(B403,'Base stats'!B:B,'Base stats'!Z:Z),0.05)</f>
        <v>3.5</v>
      </c>
      <c r="AQ403" s="8">
        <f>MAX(0.01,MROUND(IF(CC403="True",0.196*(AO403*100*1000)^0.889,IF(_xlfn.XLOOKUP(_xlfn.XLOOKUP(B403,'Base stats'!B:B,'Base stats'!E:E),Groups!A:A,Groups!AJ:AJ)="Bird",10.5*(AO403*100*1000)^0.681,4.82*(AO403*100*1000)^0.734))/(4.82*(1*100*1000)^0.734)/IF(AO403&lt;3.5,2,IF(AO403=3.5,1.5,1.25))*(1+0.132282374779864/(AO403^0.994035016789033+0.00905238001496948)),0.05))</f>
        <v>0.5</v>
      </c>
      <c r="AR403" s="9">
        <f>IFERROR(MROUND(_xlfn.XLOOKUP(B403,'Base stats'!B:B,'Base stats'!H:H)/IF(_xlfn.XLOOKUP(B403,'Base stats'!B:B,'Base stats'!I:I)&lt;&gt;1,(122.5/70),1.2),IF(_xlfn.XLOOKUP(B403,'Base stats'!B:B,'Base stats'!H:H)&gt;=30,5,IF(_xlfn.XLOOKUP(B403,'Base stats'!B:B,'Base stats'!H:H)&gt;=15,3,IF(_xlfn.XLOOKUP(B403,'Base stats'!B:B,'Base stats'!H:H)&gt;=10,2,1)))),"Immortal")</f>
        <v>85</v>
      </c>
      <c r="AS403" s="35" t="str">
        <f>IFERROR(IF(OR(_xlfn.XLOOKUP(B403,'Base stats'!B:B,'Base stats'!F:F)="Atypical reproduction",_xlfn.XLOOKUP(B403,'Base stats'!B:B,'Base stats'!F:F)="Lay eggs"),"Lay eggs",MIN(20,MAX(5.5,ROUND(((_xlfn.XLOOKUP(B403,'Base stats'!B:B,'Base stats'!F:F)-25)*(14.5/615) + 5.5)*2,0)/2))),"Unknown")</f>
        <v>Lay eggs</v>
      </c>
      <c r="AT403" s="8">
        <f>IF(_xlfn.XLOOKUP(B403,'Base stats'!B:B,'Base stats'!G:G)="Atypical reproduction","No",IFERROR(MAX(IF(_xlfn.XLOOKUP(B403,'Base stats'!B:B,'Base stats'!G:G)&lt;0.5,0.2,0.3),MROUND(_xlfn.XLOOKUP(B403,'Base stats'!B:B,'Base stats'!G:G)/(365/60),0.2)),"Unknown"))</f>
        <v>5</v>
      </c>
      <c r="AU403" s="8">
        <f t="shared" si="50"/>
        <v>2.5</v>
      </c>
      <c r="AV403" s="8" t="str">
        <f>IFERROR(IFERROR(MROUND(_xlfn.XLOOKUP(B403,'Base stats'!B:B,'Base stats'!J:J),0.1),"Lay eggs"),"Cannot breed")</f>
        <v>Lay eggs</v>
      </c>
      <c r="AW403" s="2" t="str">
        <f t="shared" si="51"/>
        <v>false</v>
      </c>
      <c r="AX403" s="2" t="str">
        <f>IF(_xlfn.XLOOKUP(_xlfn.XLOOKUP(Animals!B403,'Base stats'!B:B,'Base stats'!E:E),Groups!A:A,Groups!AK:AK)=1,"true","false")</f>
        <v>false</v>
      </c>
      <c r="AY403" s="25" t="str">
        <f>IF(_xlfn.XLOOKUP(B403,'Base stats'!B:B,'Base stats'!Y:Y)="Liquor","Liquor, CarnivoreAnimalStrict",IF(AND(_xlfn.XLOOKUP(B403,'Base stats'!B:B,'Base stats'!Y:Y)="Carnivore",_xlfn.XLOOKUP(_xlfn.XLOOKUP(B403,'Base stats'!B:B,'Base stats'!E:E),Groups!A:A,Groups!AJ:AJ)="Photonozoa"),"CarnivoreAnimalStrict, OvivoreAnimal",IF(_xlfn.XLOOKUP(B403,'Base stats'!B:B,'Base stats'!Y:Y)="Carnivore","CarnivoreAnimal, OvivoreAnimal",IF(_xlfn.XLOOKUP(B403,'Base stats'!B:B,'Base stats'!Y:Y)="Dendrovore","VegetarianRoughAnimal, DendrovoreAnimal",IF(_xlfn.XLOOKUP(B403,'Base stats'!B:B,'Base stats'!Y:Y)="Herbivore","VegetarianRoughAnimal",IF(_xlfn.XLOOKUP(B403,'Base stats'!B:B,'Base stats'!Y:Y)="OmnivoreRough","OmnivoreRoughAnimal, OvivoreAnimal","OmnivoreAnimal, OvivoreAnimal"))))))</f>
        <v>VegetarianRoughAnimal</v>
      </c>
      <c r="AZ403" s="2">
        <f>IF(_xlfn.XLOOKUP(_xlfn.XLOOKUP(B403,'Base stats'!B:B,'Base stats'!E:E),Groups!A:A,Groups!D:D)=1,MROUND((1-J403)*5+1,2)*IF(J403&lt;=0.4,2,1),"No")</f>
        <v>2</v>
      </c>
      <c r="BA403" s="2" t="str">
        <f>IF(AND(_xlfn.XLOOKUP(B403,'Base stats'!B:B,'Base stats'!AH:AH)="&lt;li&gt;Seal&lt;/li&gt;",G403="Odyssey"),"&lt;li&gt;AEXP_Seal&lt;/li&gt;",_xlfn.XLOOKUP(B403,'Base stats'!B:B,'Base stats'!AH:AH))</f>
        <v>No</v>
      </c>
      <c r="BB403" s="2" t="str">
        <f>_xlfn.XLOOKUP(B403,'Base stats'!B:B,'Base stats'!AG:AG)</f>
        <v>Leather_Lizard</v>
      </c>
      <c r="BC403" s="23" t="str">
        <f>_xlfn.XLOOKUP(_xlfn.XLOOKUP(B403,'Base stats'!B:B,'Base stats'!E:E),Groups!A:A,Groups!AL:AL)</f>
        <v>TurtleLike</v>
      </c>
      <c r="BD403" s="23">
        <f>MIN(1,MROUND(IF(AND(AO403&lt;0.5,_xlfn.XLOOKUP(B403,'Base stats'!B:B,'Base stats'!AA:AA)=0),0,IF(OR(_xlfn.XLOOKUP(Animals!B403,'Base stats'!B:B,'Base stats'!O:O)=2,_xlfn.XLOOKUP(_xlfn.XLOOKUP(B403,'Base stats'!B:B,'Base stats'!E:E),Groups!A:A,Groups!AN:AN)=0),0,_xlfn.XLOOKUP(_xlfn.XLOOKUP(B403,'Base stats'!B:B,'Base stats'!E:E),Groups!A:A,Groups!AN:AN)/IF(_xlfn.XLOOKUP(Animals!B403,'Base stats'!B:B,'Base stats'!O:O)=1,2,1)))+_xlfn.XLOOKUP(B403,'Base stats'!B:B,'Base stats'!AC:AC),0.005))</f>
        <v>0</v>
      </c>
      <c r="BE403" s="23">
        <f>MIN(1,MROUND(IF(AND(AO403&lt;0.5,_xlfn.XLOOKUP(B403,'Base stats'!B:B,'Base stats'!AA:AA)=0),0,IF(_xlfn.XLOOKUP(_xlfn.XLOOKUP(B403,'Base stats'!B:B,'Base stats'!E:E),Groups!A:A,Groups!AO:AO)=0,0,_xlfn.XLOOKUP(_xlfn.XLOOKUP(B403,'Base stats'!B:B,'Base stats'!E:E),Groups!A:A,Groups!AO:AO)/IF(_xlfn.XLOOKUP(Animals!B403,'Base stats'!B:B,'Base stats'!O:O)=2,3,1)))+_xlfn.XLOOKUP(B403,'Base stats'!B:B,'Base stats'!AD:AD),0.005))</f>
        <v>0</v>
      </c>
      <c r="BF403" s="2" t="str">
        <f>IF(J403&gt;0.3,"No",_xlfn.XLOOKUP(_xlfn.XLOOKUP(Animals!B403,'Base stats'!B:B,'Base stats'!E:E),Groups!A:A,Groups!AP:AP))</f>
        <v>No</v>
      </c>
      <c r="BG403" s="2" t="str">
        <f>IF(AND(J403&lt;=0.65,_xlfn.XLOOKUP(_xlfn.XLOOKUP(Animals!B403,'Base stats'!B:B,'Base stats'!E:E),Groups!A:A,Groups!AP:AP)&lt;&gt;"No",_xlfn.XLOOKUP(_xlfn.XLOOKUP(B403,'Base stats'!B:B,'Base stats'!E:E),Groups!A:A,Groups!D:D)=0),MROUND((80/3)*IF(_xlfn.XLOOKUP(B403,'Base stats'!B:B,'Base stats'!O:O)=2,0.2,AO403) + 24*(1-IF(BF403="No",0,BF403)) + 16/3, 12),"No")</f>
        <v>No</v>
      </c>
      <c r="BH403" s="2">
        <f>IF(AND(_xlfn.XLOOKUP(_xlfn.XLOOKUP(B403,'Base stats'!B:B,'Base stats'!E:E),Groups!A:A,Groups!AQ:AQ)=1,AO403&lt;=0.35),8,12)</f>
        <v>12</v>
      </c>
      <c r="BI403" s="2" t="str">
        <f>IF(_xlfn.XLOOKUP(_xlfn.XLOOKUP(B403,'Base stats'!B:B,'Base stats'!E:E),Groups!A:A,Groups!D:D)=0,_xlfn.XLOOKUP(_xlfn.XLOOKUP(B403,'Base stats'!B:B,'Base stats'!E:E),Groups!A:A,Groups!AR:AR),"None")</f>
        <v>None</v>
      </c>
      <c r="BJ403" s="2" t="str">
        <f>IF(AND(_xlfn.XLOOKUP(_xlfn.XLOOKUP(B403,'Base stats'!B:B,'Base stats'!E:E),Groups!A:A,Groups!AS:AS)=1,OR(_xlfn.XLOOKUP(B403,'Base stats'!B:B,'Base stats'!Y:Y)="Carnivore",_xlfn.XLOOKUP(B403,'Base stats'!B:B,'Base stats'!Y:Y)="Omnivore")),"true","false")</f>
        <v>false</v>
      </c>
      <c r="BK403" s="2" t="str">
        <f>IF(BJ403="true",MROUND(IF(AND(AO403&gt;0.5,OR(_xlfn.XLOOKUP(_xlfn.XLOOKUP(B403,'Base stats'!B:B,'Base stats'!E:E),Groups!A:A,Groups!AJ:AJ)="Photonozoa",_xlfn.XLOOKUP(_xlfn.XLOOKUP(B403,'Base stats'!B:B,'Base stats'!E:E),Groups!A:A,Groups!AJ:AJ)="Mammal")),Animals!AO403*1.75*IF(AW403="true",1.5,1),IF(AO403&lt;0.5,Animals!AO403*0.5,Animals!AO403)),IF(AO403&gt;2,0.5,IF(AO403&gt;0.5,0.25,0.1))),"No")</f>
        <v>No</v>
      </c>
      <c r="BL403" s="2">
        <f t="shared" si="52"/>
        <v>0</v>
      </c>
      <c r="BM403" s="25" t="str">
        <f>IF(_xlfn.XLOOKUP(B403,'Base stats'!B:B,'Base stats'!AN:AN)="Standard","No",MROUND((_xlfn.XLOOKUP(B403,'Base stats'!B:B,'Base stats'!AN:AN)/3.6)/I403,0.1))</f>
        <v>No</v>
      </c>
      <c r="BN403" s="25" t="str">
        <f t="shared" si="53"/>
        <v>false</v>
      </c>
      <c r="BO403" s="25" t="str">
        <f>IF(AND(OR(_xlfn.XLOOKUP(B403,'Base stats'!B:B,'Base stats'!Y:Y)="Carnivore",_xlfn.XLOOKUP(B403,'Base stats'!B:B,'Base stats'!Y:Y)="Omnivore",_xlfn.XLOOKUP(B403,'Base stats'!B:B,'Base stats'!Y:Y)="OmnivoreRough"),_xlfn.XLOOKUP(_xlfn.XLOOKUP(B403,'Base stats'!B:B,'Base stats'!E:E),Groups!A:A,Groups!AT:AT)=1),"true","false")</f>
        <v>false</v>
      </c>
      <c r="BP403" s="25" t="str" cm="1">
        <f t="array" ref="BP403">IF(
  _xlfn.TEXTJOIN(", ",TRUE,
    IF(AND(BJ403="true",AO403&gt;0.5,BI403&lt;&gt;"None"),"AttackTarget",""),
    IF(AND(_xlfn.XLOOKUP(_xlfn.XLOOKUP(B403,'Base stats'!B:B,'Base stats'!E:E),Groups!A:A,Groups!AJ:AJ="Mammal"),OR(_xlfn.XLOOKUP(B403,'Base stats'!B:B,'Base stats'!Y:Y)="Omnivore",_xlfn.XLOOKUP(B403,'Base stats'!B:B,'Base stats'!Y:Y)="OmnivoreRough")),"Forage",""),
    IF(BG403&lt;=36,"Comfort",""),
    IF(_xlfn.XLOOKUP(B403,'Base stats'!B:B,'Base stats'!AE:AE)&lt;&gt;"No",_xlfn.XLOOKUP(B403,'Base stats'!B:B,'Base stats'!AE:AE),"")
  ) = "",
  "No",
  _xlfn.TEXTJOIN(", ",TRUE,
    IF(AND(BJ403="true",AO403&gt;0.5,BI403&lt;&gt;"None"),"AttackTarget",""),
    IF(AND(_xlfn.XLOOKUP(_xlfn.XLOOKUP(B403,'Base stats'!B:B,'Base stats'!E:E),Groups!A:A,Groups!AJ:AJ="Mammal"),OR(_xlfn.XLOOKUP(B403,'Base stats'!B:B,'Base stats'!Y:Y)="Omnivore",_xlfn.XLOOKUP(B403,'Base stats'!B:B,'Base stats'!Y:Y)="OmnivoreRough")),"Forage",""),
    IF(BG403&lt;=36,"Comfort",""),
    IF(_xlfn.XLOOKUP(B403,'Base stats'!B:B,'Base stats'!AE:AE)&lt;&gt;"No",_xlfn.XLOOKUP(B403,'Base stats'!B:B,'Base stats'!AE:AE),"")
  )
)</f>
        <v>No</v>
      </c>
      <c r="BQ403" s="25" t="str">
        <f>IF(
   AND(
      'Base stats'!AN403="Standard",_xlfn.XLOOKUP(_xlfn.XLOOKUP(B403,'Base stats'!B:B,'Base stats'!E:E),Groups!A:A,Groups!AU:AU)=0,
      OR(
      BO403="True"
      )
   ),
   10,
   IF(
       OR(BM403&lt;&gt;"No",_xlfn.XLOOKUP(_xlfn.XLOOKUP(B403,'Base stats'!B:B,'Base stats'!E:E),Groups!A:A,Groups!AU:AU)=1),
      1,
      "No"
   )
)</f>
        <v>No</v>
      </c>
      <c r="BR403" s="9">
        <f>MROUND((1 + ((0.2*IF(OR(Q403="No",R403="No",R403=0),0,Q403/R403)
+IF(OR(V403="No",S403="No",T403="No"),0,S403/T403*(LEN(V403)-LEN(SUBSTITUTE(V403,",",""))+1))
+IF(OR(X403="No",Y403="No"),0,X403/Y403)
+IF(OR(AD403="No",AE403="No"),0,AD403/AE403)
+IF(OR(AL403="No",AI403="No",AJ403="No"),0,AI403/AJ403*(LEN(AL403)-LEN(SUBSTITUTE(AL403,",",""))+1))
)/(0.2*IF(OR(Q403="No",R403="No",R403=0),0,1)
+IF(OR(V403="No",S403="No",T403="No"),0,LEN(V403)-LEN(SUBSTITUTE(V403,",",""))+1)
+IF(OR(X403="No",Y403="No"),0,1)
+IF(OR(AD403="No",AE403="No"),0,1)
+IF(OR(AL403="No",AI403="No",AJ403="No"),0,LEN(AL403)-LEN(SUBSTITUTE(AL403,",",""))+1))*62%)* 2)*(1 + (AP403 / (IF(_xlfn.XLOOKUP(_xlfn.XLOOKUP(B403,'Base stats'!B:B,'Base stats'!E:E),Groups!A:A,Groups!AJ:AJ)="Photonozoa",0.3,1)) + _xlfn.XLOOKUP(B403,'Base stats'!B:B,'Base stats'!AV:AV) * 1.8) * 2) * 2.5 + 10 + I403 * 2,5)+IF(_xlfn.XLOOKUP(B403,'Base stats'!B:B,'Base stats'!AK:AK)=1,50,0)</f>
        <v>290</v>
      </c>
      <c r="BS403" s="8">
        <f t="shared" si="54"/>
        <v>1.1000000000000001</v>
      </c>
      <c r="BT403" s="8" t="str">
        <f>_xlfn.XLOOKUP(B403,'Base stats'!B:B,'Base stats'!AF:AF)</f>
        <v>No</v>
      </c>
      <c r="BU403" s="2" t="str">
        <f>IF(AND(J403&lt;=0.95,OR(_xlfn.XLOOKUP(B403,'Base stats'!B:B,'Base stats'!AK:AK)=1,_xlfn.XLOOKUP(B403,'Base stats'!B:B,'Base stats'!Y:Y)="Carnivore",_xlfn.XLOOKUP(B403,'Base stats'!B:B,'Base stats'!Y:Y)="Omnivore",BE403&gt;0.1)),"true","false")</f>
        <v>false</v>
      </c>
      <c r="BV403" s="2" t="str">
        <f>IF(_xlfn.XLOOKUP(B403,'Base stats'!B:B,'Base stats'!AI:AI)=1,"true","false")</f>
        <v>false</v>
      </c>
      <c r="BW403" s="25" t="str">
        <f>IF(E403="BaseInsect","AnimalInsect",
IF(J403&gt;0.95,"AnimalExotic",
_xlfn.TEXTJOIN(", ",TRUE,
IF(OR(_xlfn.XLOOKUP(B403,'Base stats'!B:B,'Base stats'!AM:AM)=1,AND(_xlfn.XLOOKUP(B403,'Base stats'!B:B,'Base stats'!O:O)=0,_xlfn.XLOOKUP(_xlfn.XLOOKUP(B403,'Base stats'!B:B,'Base stats'!E:E),Groups!A:A,Groups!B:B)&gt;0)),"AnimalUncommon","AnimalCommon"),
IF(AND(_xlfn.XLOOKUP(B403,'Base stats'!B:B,'Base stats'!O:O)=2,_xlfn.XLOOKUP(_xlfn.XLOOKUP(B403,'Base stats'!B:B,'Base stats'!E:E),Groups!A:A,Groups!D:D)=0),"AnimalPet",IF(AND(_xlfn.XLOOKUP(B403,'Base stats'!B:B,'Base stats'!O:O)&lt;&gt;0,_xlfn.XLOOKUP(_xlfn.XLOOKUP(B403,'Base stats'!B:B,'Base stats'!E:E),Groups!A:A,Groups!D:D)&lt;&gt;0),"AnimalFarm","")),
IF(OR(_xlfn.XLOOKUP(B403,'Base stats'!B:B,'Base stats'!AK:AK)=1,AND(BI403&lt;&gt;"None",BR403&gt;=60),ISNUMBER(SEARCH("Attack target",BP403))),"AnimalFighter","")
)))</f>
        <v>AnimalUncommon</v>
      </c>
      <c r="BX403" s="25" t="str">
        <f>IF(G403="None",TRIM(
SUBSTITUTE(
IF(COUNTIF(Biomes!B$2:B$259,"="&amp;$C403)&gt;0,Biomes!B$1&amp;", ","")&amp;
IF(COUNTIF(Biomes!C$2:C$259,"="&amp;$C403)&gt;0,Biomes!C$1&amp;", ","")&amp;
IF(COUNTIF(Biomes!D$2:D$259,"="&amp;$C403)&gt;0,Biomes!D$1&amp;", ","")&amp;
IF(COUNTIF(Biomes!F$2:F$259,"="&amp;$C403)&gt;0,Biomes!F$1&amp;", ","")&amp;
IF(COUNTIF(Biomes!G$2:G$259,"="&amp;$C403)&gt;0,Biomes!G$1&amp;", ","")&amp;
IF(COUNTIF(Biomes!H$2:H$259,"="&amp;$C403)&gt;0,Biomes!H$1&amp;", ","")&amp;
IF(COUNTIF(Biomes!I$2:I$259,"="&amp;$C403)&gt;0,Biomes!I$1&amp;", ","")&amp;
IF(COUNTIF(Biomes!J$2:J$259,"="&amp;$C403)&gt;0,Biomes!J$1&amp;", ","")&amp;
IF(COUNTIF(Biomes!M$2:M$259,"="&amp;$C403)&gt;0,Biomes!M$1&amp;", ","")&amp;
IF(COUNTIF(Biomes!N$2:N$259,"="&amp;$C403)&gt;0,Biomes!N$1&amp;", ","")&amp;
IF(COUNTIF(Biomes!O$2:O$259,"="&amp;$C403)&gt;0,Biomes!O$1&amp;", ","")&amp;
IF(COUNTIF(Biomes!P$2:P$259,"="&amp;$C403)&gt;0,Biomes!P$1&amp;", ","")&amp;
IF(COUNTIF(Biomes!K$2:K$259,"="&amp;$C403)&gt;0,Biomes!K$1&amp;", ","")&amp;
IF(COUNTIF(Biomes!Q$3:Q$259,"="&amp;$C403)&gt;0,Biomes!Q$1&amp;", ","")&amp;
IF(COUNTIF(Biomes!L$2:L$259,"="&amp;$C403)&gt;0,Biomes!L$1&amp;", ","")&amp;
IF(COUNTIF(Biomes!E$2:E$259,"="&amp;$C403)&gt;0,Biomes!E$1&amp;", ","")&amp;IF(COUNTIF(Biomes!S$2:S$259,"="&amp;$C403)&gt;0,Biomes!S$1&amp;", ","")&amp;
IF(COUNTIF(Biomes!R$2:R$259,"="&amp;$C403)&gt;0,Biomes!R$1&amp;", ",""),", ","")
),_xlfn.XLOOKUP(B403,B:B,BX:BX))</f>
        <v/>
      </c>
      <c r="BY403" s="25" t="str">
        <f>IF(_xlfn.XLOOKUP(B403,'Base stats'!B:B,'Base stats'!AJ:AJ)=1,"true","false")</f>
        <v>false</v>
      </c>
      <c r="BZ403" s="25">
        <f>IF(_xlfn.XLOOKUP(B403,'Base stats'!B:B,'Base stats'!N:N)=1,"No",MAX(0.001,MIN(MROUND(IF(AND(BJ403="True",CC403="False"),POWER(10,3.47*LOG10(_xlfn.XLOOKUP(B403,'Base stats'!B:B,'Base stats'!C:C)*1000)^-0.96),POWER(10,4.15*LOG10(_xlfn.XLOOKUP(B403,'Base stats'!B:B,'Base stats'!C:C)*1000)^-0.73))*IF(_xlfn.XLOOKUP(B403,'Base stats'!B:B,'Base stats'!AK:AK)=1,0.5,1)*IF(_xlfn.XLOOKUP(B403,'Base stats'!B:B,'Base stats'!AM:AM)=1,0.1,1)/100,IF(_xlfn.XLOOKUP(B403,'Base stats'!B:B,'Base stats'!AM:AM)=1,0.001,0.025)),0.5)))</f>
        <v>0.125</v>
      </c>
      <c r="CA403" s="25" t="str">
        <f>IF(P403="Standard","No",MAX(0.001,MIN(MROUND(IF(AND(BJ403="True",CC403="False"),POWER(10,3.47*LOG10(_xlfn.XLOOKUP(B403,'Base stats'!B:B,'Base stats'!C:C)*1000)^-0.96),POWER(10,4.15*LOG10(_xlfn.XLOOKUP(B403,'Base stats'!B:B,'Base stats'!C:C)*1000)^-0.73))*IF(_xlfn.XLOOKUP(B403,'Base stats'!B:B,'Base stats'!AM:AM)=1,0.1,1)*_xlfn.XLOOKUP(B403,'Base stats'!B:B,'Base stats'!R:R)/100,IF(_xlfn.XLOOKUP(B403,'Base stats'!B:B,'Base stats'!AM:AM)=1,0.001,0.025)),0.5)))</f>
        <v>No</v>
      </c>
      <c r="CB403" s="25" t="str">
        <f>IF(_xlfn.XLOOKUP(_xlfn.XLOOKUP(B403,'Base stats'!B:B,'Base stats'!E:E),Groups!A:A,Groups!AJ:AJ)="Mammal","True","False")</f>
        <v>False</v>
      </c>
      <c r="CC403" s="25" t="str">
        <f>IF(OR(_xlfn.XLOOKUP(_xlfn.XLOOKUP(B403,'Base stats'!B:B,'Base stats'!E:E),Groups!A:A,Groups!AJ:AJ)="Reptile",_xlfn.XLOOKUP(_xlfn.XLOOKUP(B403,'Base stats'!B:B,'Base stats'!E:E),Groups!A:A,Groups!AJ:AJ)="Amphibian",_xlfn.XLOOKUP(_xlfn.XLOOKUP(B403,'Base stats'!B:B,'Base stats'!E:E),Groups!A:A,Groups!AJ:AJ)="Invertebrate"),"True","False")</f>
        <v>True</v>
      </c>
      <c r="CD403" s="25" t="str">
        <f t="shared" si="55"/>
        <v>False</v>
      </c>
      <c r="CE403" s="25" t="str">
        <f>IF(_xlfn.XLOOKUP(_xlfn.XLOOKUP(B403,'Base stats'!B:B,'Base stats'!E:E),Groups!A:A,Groups!AX:AX),"True","False")</f>
        <v>False</v>
      </c>
      <c r="CF403" s="25" t="str">
        <f>IF(_xlfn.XLOOKUP(_xlfn.XLOOKUP(B403,'Base stats'!B:B,'Base stats'!E:E),Groups!A:A,Groups!AY:AY),"True","False")</f>
        <v>False</v>
      </c>
      <c r="CG403" s="25" t="str">
        <f>IF(_xlfn.XLOOKUP(_xlfn.XLOOKUP(B403,'Base stats'!B:B,'Base stats'!E:E),Groups!A:A,Groups!AW:AW),"True","False")</f>
        <v>False</v>
      </c>
      <c r="CH403" s="25" t="str">
        <f>IF(
OR(
_xlfn.XLOOKUP(_xlfn.XLOOKUP(B403,'Base stats'!B:B,'Base stats'!E:E),Groups!A:A,Groups!AZ:AZ)=0,
AND(
_xlfn.XLOOKUP(B403,'Base stats'!B:B,'Base stats'!Y:Y)&lt;&gt;"Carnivore",
_xlfn.XLOOKUP(B403,'Base stats'!B:B,'Base stats'!Y:Y)&lt;&gt;"Omnivore",
_xlfn.XLOOKUP(B403,'Base stats'!B:B,'Base stats'!Y:Y)&lt;&gt;"OmnivoreRough"
)
),
"No",
IF(
_xlfn.XLOOKUP(_xlfn.XLOOKUP(B403,'Base stats'!B:B,'Base stats'!E:E),Groups!A:A,Groups!AZ:AZ)=1,
"Flesh",
IF(
_xlfn.XLOOKUP(_xlfn.XLOOKUP(B403,'Base stats'!B:B,'Base stats'!E:E),Groups!A:A,Groups!AZ:AZ)=2,
"Bone",
""
)
)
)</f>
        <v>No</v>
      </c>
      <c r="CI403" s="25" t="str">
        <f>IF(_xlfn.XLOOKUP(_xlfn.XLOOKUP(B403,'Base stats'!B:B,'Base stats'!E:E),Groups!A:A,Groups!BB:BB),"True","False")</f>
        <v>False</v>
      </c>
      <c r="CJ403" s="25" t="str">
        <f>IF(_xlfn.XLOOKUP(_xlfn.XLOOKUP(B403,'Base stats'!B:B,'Base stats'!E:E),Groups!A:A,Groups!BA:BA),"True","False")</f>
        <v>False</v>
      </c>
    </row>
    <row r="404" spans="1:88" ht="16.5" thickTop="1" thickBot="1" x14ac:dyDescent="0.3">
      <c r="A404" s="26" t="s">
        <v>2093</v>
      </c>
      <c r="B404" s="6" t="str">
        <f>_xlfn.XLOOKUP(A404,'Base stats'!A:A,'Base stats'!B:B)</f>
        <v>Palaeeudyptes klekowskii</v>
      </c>
      <c r="C404" s="28" t="str">
        <f t="shared" si="56"/>
        <v>&lt;li&gt;Palaeeudyptes&lt;/li&gt;</v>
      </c>
      <c r="D404" s="28" t="s">
        <v>2126</v>
      </c>
      <c r="E404" s="28" t="s">
        <v>673</v>
      </c>
      <c r="F404" s="28" t="s">
        <v>673</v>
      </c>
      <c r="G404" s="28" t="s">
        <v>673</v>
      </c>
      <c r="H404" s="2">
        <f>MROUND((
  (IF(AND(_xlfn.XLOOKUP(B404,'Base stats'!B:B,'Base stats'!AL:AL)=0,BI404="None",_xlfn.XLOOKUP(_xlfn.XLOOKUP(B404,'Base stats'!B:B,'Base stats'!E:E),Groups!A:A,Groups!B:B)=0), (18 + BR404 * 2.7) * 0.5,
    IF(AND(_xlfn.XLOOKUP(B404,'Base stats'!B:B,'Base stats'!AL:AL)=0,OR(AO404&lt;0.55,AND(BI404="Intermediate",_xlfn.XLOOKUP(_xlfn.XLOOKUP(B404,'Base stats'!B:B,'Base stats'!E:E),Groups!A:A,Groups!B:B)&lt;2))), (18 + BR404 * 2.7),
      IF(OR(BI404="Advanced",_xlfn.XLOOKUP(B404,'Base stats'!B:B,'Base stats'!AL:AL)=1,_xlfn.XLOOKUP(_xlfn.XLOOKUP(B404,'Base stats'!B:B,'Base stats'!E:E),Groups!A:A,Groups!B:B)=2), (18 + BR404 * 2.7) + 250, (18 + BR404 * 2.7))
    )
  ))
  + AO404 * 80
  + IF(COUNTIF(EggMilk!K$2:K$998, A404) &gt; 0, 125, 0)
  + IF(COUNTIF(EggMilk!P$2:P$998, A404) &gt; 0, 90, 0)
  + IF(COUNTIF(EggMilk!A$2:A$998, A404) &gt; 0, 90, 0)
)
* (0.8 + 0.4 * J404)
* 0.75,25)</f>
        <v>275</v>
      </c>
      <c r="I404" s="2">
        <f>MROUND(ROUNDDOWN(_xlfn.XLOOKUP(B404,'Base stats'!B:B,'Base stats'!L:L)/3.6/(23.3/11),1),0.5)</f>
        <v>1.5</v>
      </c>
      <c r="J404" s="2">
        <f>IF(OR(_xlfn.XLOOKUP(B404,'Base stats'!B:B,'Base stats'!AB:AB)=1,_xlfn.XLOOKUP(_xlfn.XLOOKUP(B404,'Base stats'!B:B,'Base stats'!E:E),Groups!A:A,Groups!C:C)="Untamable"),1,IF(_xlfn.XLOOKUP(B404,'Base stats'!B:B,'Base stats'!AL:AL)=1,0.99,MIN(MROUND((1-0.6282*EXP(-0.459*AO404))*_xlfn.XLOOKUP(_xlfn.XLOOKUP(B404,'Base stats'!B:B,'Base stats'!E:E),Groups!A:A,Groups!C:C)*IF(_xlfn.XLOOKUP(B404,'Base stats'!B:B,'Base stats'!O:O)=1,0.5,IF(_xlfn.XLOOKUP(B404,'Base stats'!B:B,'Base stats'!O:O)=2,0,1)),0.05),IF(AO404&gt;3.5,0.985,0.95))))</f>
        <v>0.8</v>
      </c>
      <c r="K404" s="2">
        <f>ROUNDUP(AO404*_xlfn.XLOOKUP(_xlfn.XLOOKUP(B404,'Base stats'!B:B,'Base stats'!E:E),Groups!A:A,Groups!E:E),0)</f>
        <v>15</v>
      </c>
      <c r="L404" s="2">
        <f>IF(OR(_xlfn.XLOOKUP(_xlfn.XLOOKUP(B404,'Base stats'!B:B,'Base stats'!E:E),Groups!A:A,Groups!F:F)=2,ISNUMBER(SEARCH("SeaIce",BX404)),ISNUMBER(SEARCH("IceSheet",BX404))),-50,IF(OR(ISNUMBER(SEARCH("GlacialPlain",BX404)),ISNUMBER(SEARCH("Tundra",BX404))),-40,IF(OR(ISNUMBER(SEARCH("Alpine",BX404)),ISNUMBER(SEARCH("BorealForest",BX404)),ISNUMBER(SEARCH("ColdBog",BX404))),-30,IF(OR(ISNUMBER(SEARCH("TemperateForest",BX404)),ISNUMBER(SEARCH("TemperateSwamp",BX404))),-20,IF(_xlfn.XLOOKUP(_xlfn.XLOOKUP(B404,'Base stats'!B:B,'Base stats'!E:E),Groups!A:A,Groups!F:F)=1,-15,IF(OR(ISNUMBER(SEARCH("Desert",BX404)),ISNUMBER(SEARCH("ExtremeDesert",BX404))),-10,IF(OR(ISNUMBER(SEARCH("Grasslands",BX404)),ISNUMBER(SEARCH("TropicalRainforest",BX404)),ISNUMBER(SEARCH("TropicalSwamp",BX404))),10,0)))))))-IF(CC404="False",MIN(IFERROR(MAX(MROUND(LOG10(_xlfn.XLOOKUP(B404,'Base stats'!B:B,'Base stats'!C:C)^(2/3))*10,5),5),5),30))-_xlfn.XLOOKUP(B404,'Base stats'!B:B,'Base stats'!P:P)+IF(CC404="True",5,0)</f>
        <v>-15</v>
      </c>
      <c r="M404" s="2">
        <f>IF(OR(_xlfn.XLOOKUP(_xlfn.XLOOKUP(B404,'Base stats'!B:B,'Base stats'!E:E),Groups!A:A,Groups!G:G)=2,ISNUMBER(SEARCH("Desert",BX404)),ISNUMBER(SEARCH("ExtremeDesert",BX404)),ISNUMBER(SEARCH("LavaField",BX404))),50,IF(ISNUMBER(SEARCH("Grasslands",BX404)),45,IF(OR(_xlfn.XLOOKUP(_xlfn.XLOOKUP(B404,'Base stats'!B:B,'Base stats'!E:E),Groups!A:A,Groups!G:G)=1,ISNUMBER(SEARCH("TropicalRainforest",BX404)),ISNUMBER(SEARCH("TropicalSwamp",BX404))),40,IF(OR(ISNUMBER(SEARCH("TemperateForest",BX404)),ISNUMBER(SEARCH("TemperateSwamp",BX404))),35,IF(OR(ISNUMBER(SEARCH("Alpine",BX404)),ISNUMBER(SEARCH("BorealForest",BX404)),ISNUMBER(SEARCH("ColdBog",BX404))),30,IF(ISNUMBER(OR(ISNUMBER(SEARCH("GlacialPlain",BX404)),SEARCH("Tundra",BX404))),25,IF(OR(ISNUMBER(SEARCH("SeaIce",BX404)),ISNUMBER(SEARCH("IceSheet",BX404)),ISNUMBER(SEARCH("TropicalSwamp",BX404))),10,35)))))))+_xlfn.XLOOKUP(B404,'Base stats'!B:B,'Base stats'!Q:Q)</f>
        <v>35</v>
      </c>
      <c r="N404" s="8" t="str">
        <f>IF(
_xlfn.XLOOKUP(
_xlfn.XLOOKUP(B404,'Base stats'!B:B,'Base stats'!E:E),
Groups!A:A,
Groups!L:L
)=1,
MIN(
MROUND(
IF(
_xlfn.XLOOKUP(B404,'Animals CE'!B:B,'Animals CE'!Z:Z)&lt;=1.5,
_xlfn.XLOOKUP(B404,'Animals CE'!B:B,'Animals CE'!Z:Z)/2+0.05,
0.8+
(_xlfn.XLOOKUP(B404,'Animals CE'!B:B,'Animals CE'!Z:Z)-1.5)
*0.02
),
0.05
),
200%
),
"No"
)</f>
        <v>No</v>
      </c>
      <c r="O404" s="8" t="str">
        <f>IF(
_xlfn.XLOOKUP(
_xlfn.XLOOKUP(B404,'Base stats'!B:B,'Base stats'!E:E),
Groups!A:A,
Groups!L:L
)=1,
MIN(
MROUND(
IF(
_xlfn.XLOOKUP(B404,'Animals CE'!B:B,'Animals CE'!AA:AA)&lt;=1.5,
_xlfn.XLOOKUP(B404,'Animals CE'!B:B,'Animals CE'!AA:AA)/2+0.05,
0.8+
(_xlfn.XLOOKUP(B404,'Animals CE'!B:B,'Animals CE'!AA:AA)-1.5)
*0.02
),
0.05
),
200%
),
"No"
)</f>
        <v>No</v>
      </c>
      <c r="P404" s="2" t="str">
        <f>_xlfn.XLOOKUP(B404,'Base stats'!B:B,'Base stats'!R:R)</f>
        <v>Standard</v>
      </c>
      <c r="Q404" s="13">
        <f>MROUND((LOG10(_xlfn.XLOOKUP(B404,'Base stats'!B:B,'Base stats'!AR:AR))*(AO404^0.5)+(_xlfn.XLOOKUP(B404,'Base stats'!B:B,'Base stats'!AR:AR)/1000)^(2/3)+_xlfn.XLOOKUP(B404,'Base stats'!B:B,'Base stats'!BA:BA)/2)+0.5,0.5)</f>
        <v>9</v>
      </c>
      <c r="R404" s="7">
        <f>IF(Q404="No","No",MAX(1,MROUND(_xlfn.XLOOKUP(B404,'Base stats'!B:B,'Base stats'!C:C)^0.165,0.05)))</f>
        <v>2.2000000000000002</v>
      </c>
      <c r="S404" s="13" t="str">
        <f>IF(_xlfn.XLOOKUP(_xlfn.XLOOKUP(B404,'Base stats'!B:B,'Base stats'!E:E),Groups!A:A,Groups!P:P)=0,"No",MROUND((LOG10(_xlfn.XLOOKUP(B404,'Base stats'!B:B,'Base stats'!AS:AS))*(AO404^0.5)+(_xlfn.XLOOKUP(B404,'Base stats'!B:B,'Base stats'!AS:AS)/1000)^(2/3)+_xlfn.XLOOKUP(B404,'Base stats'!B:B,'Base stats'!BA:BA))+_xlfn.XLOOKUP(B404,'Base stats'!B:B,'Base stats'!AY:AY)+0.5,0.5))</f>
        <v>No</v>
      </c>
      <c r="T404" s="7" t="str">
        <f>IF(S404="No","No",MAX(_xlfn.XLOOKUP(_xlfn.XLOOKUP(B404,'Base stats'!B:B,'Base stats'!E:E),Groups!A:A,Groups!Q:Q),MROUND(_xlfn.XLOOKUP(_xlfn.XLOOKUP(B404,'Base stats'!B:B,'Base stats'!E:E),Groups!A:A,Groups!Q:Q)*_xlfn.XLOOKUP(B404,'Base stats'!B:B,'Base stats'!C:C)^0.165,0.05)))</f>
        <v>No</v>
      </c>
      <c r="U404" s="7" t="str">
        <f>IF(S404="No","No",_xlfn.XLOOKUP(_xlfn.XLOOKUP(B404,'Base stats'!B:B,'Base stats'!E:E),Groups!A:A,Groups!R:R))</f>
        <v>No</v>
      </c>
      <c r="V404" s="7" t="str">
        <f>IF(S404="No","No",_xlfn.XLOOKUP(_xlfn.XLOOKUP(B404,'Base stats'!B:B,'Base stats'!E:E),Groups!A:A,Groups!S:S))</f>
        <v>No</v>
      </c>
      <c r="W404" s="7" t="str">
        <f>IF(S404="No","No",_xlfn.XLOOKUP(_xlfn.XLOOKUP(B404,'Base stats'!B:B,'Base stats'!E:E),Groups!A:A,Groups!T:T))</f>
        <v>No</v>
      </c>
      <c r="X404" s="13" t="str">
        <f>IF(_xlfn.XLOOKUP(B404,'Base stats'!B:B,'Base stats'!W:W)="No","No",MROUND((LOG10(_xlfn.XLOOKUP(B404,'Base stats'!B:B,'Base stats'!AU:AU))*(AO404^0.5)+(_xlfn.XLOOKUP(B404,'Base stats'!B:B,'Base stats'!AU:AU)/1000)^(2/3)+_xlfn.XLOOKUP(B404,'Base stats'!B:B,'Base stats'!AZ:AZ))+0.5+IF(_xlfn.XLOOKUP(_xlfn.XLOOKUP(B404,'Base stats'!B:B,'Base stats'!E:E),Groups!A:A,Groups!U:U)&lt;&gt;3,_xlfn.XLOOKUP(B404,'Base stats'!B:B,'Base stats'!BA:BA),0),0.5))</f>
        <v>No</v>
      </c>
      <c r="Y404" s="7" t="str">
        <f>IF(X404="No","No",MAX(_xlfn.XLOOKUP(_xlfn.XLOOKUP(B404,'Base stats'!B:B,'Base stats'!E:E),Groups!A:A,Groups!V:V),MROUND(_xlfn.XLOOKUP(_xlfn.XLOOKUP(B404,'Base stats'!B:B,'Base stats'!E:E),Groups!A:A,Groups!V:V)*_xlfn.XLOOKUP(B404,'Base stats'!B:B,'Base stats'!C:C)^0.165,0.05)))</f>
        <v>No</v>
      </c>
      <c r="Z404" s="7" t="str">
        <f>IF(X404="No","No",_xlfn.XLOOKUP(_xlfn.XLOOKUP(B404,'Base stats'!B:B,'Base stats'!E:E),Groups!A:A,Groups!W:W))</f>
        <v>No</v>
      </c>
      <c r="AA404" s="7" t="str">
        <f>IF(X404="No","No",_xlfn.XLOOKUP(_xlfn.XLOOKUP(B404,'Base stats'!B:B,'Base stats'!E:E),Groups!A:A,Groups!X:X))</f>
        <v>No</v>
      </c>
      <c r="AB404" s="7" t="str">
        <f>IF(X404="No","No",_xlfn.XLOOKUP(_xlfn.XLOOKUP(B404,'Base stats'!B:B,'Base stats'!E:E),Groups!A:A,Groups!Y:Y))</f>
        <v>No</v>
      </c>
      <c r="AC404" s="7" t="str">
        <f>_xlfn.XLOOKUP(Animals!B404,'Base stats'!B:B,'Base stats'!X:X)</f>
        <v>False</v>
      </c>
      <c r="AD404" s="13">
        <f>IF(_xlfn.XLOOKUP(B404,'Base stats'!B:B,'Base stats'!AT:AT)="No","No",MROUND((LOG10(_xlfn.XLOOKUP(B404,'Base stats'!B:B,'Base stats'!AT:AT))*(AO404^0.75)+(_xlfn.XLOOKUP(B404,'Base stats'!B:B,'Base stats'!AT:AT)/1000)^(2/3)+_xlfn.XLOOKUP(B404,'Base stats'!B:B,'Base stats'!AX:AX)+_xlfn.XLOOKUP(B404,'Base stats'!B:B,'Base stats'!BA:BA))+0.5,0.5))</f>
        <v>9</v>
      </c>
      <c r="AE404" s="7">
        <f>IF(AD404="No","No",MAX(_xlfn.XLOOKUP(_xlfn.XLOOKUP(B404,'Base stats'!B:B,'Base stats'!E:E),Groups!A:A,Groups!Z:Z),MROUND(_xlfn.XLOOKUP(_xlfn.XLOOKUP(B404,'Base stats'!B:B,'Base stats'!E:E),Groups!A:A,Groups!Z:Z)*_xlfn.XLOOKUP(B404,'Base stats'!B:B,'Base stats'!C:C)^0.165,0.05)))</f>
        <v>1.75</v>
      </c>
      <c r="AF404" s="7" t="str">
        <f>IF(AD404="No","No",_xlfn.XLOOKUP(_xlfn.XLOOKUP(B404,'Base stats'!B:B,'Base stats'!E:E),Groups!A:A,Groups!AA:AA))</f>
        <v>Beak</v>
      </c>
      <c r="AG404" s="7" t="str">
        <f>IF(AD404="No","No",_xlfn.XLOOKUP(_xlfn.XLOOKUP(B404,'Base stats'!B:B,'Base stats'!E:E),Groups!A:A,Groups!AB:AB))</f>
        <v>beak</v>
      </c>
      <c r="AH404" s="7" t="str">
        <f>IF(AD404="No","No",_xlfn.XLOOKUP(_xlfn.XLOOKUP(B404,'Base stats'!B:B,'Base stats'!E:E),Groups!A:A,Groups!AC:AC))</f>
        <v>Blunt</v>
      </c>
      <c r="AI404" s="13" t="str">
        <f>IF(_xlfn.XLOOKUP(_xlfn.XLOOKUP(B404,'Base stats'!B:B,'Base stats'!E:E),Groups!A:A,Groups!AD:AD)=0,"No",MROUND((LOG10(_xlfn.XLOOKUP(B404,'Base stats'!B:B,'Base stats'!AS:AS))*(AO404^0.75)+(_xlfn.XLOOKUP(B404,'Base stats'!B:B,'Base stats'!AS:AS)/1000)^(2/3)+_xlfn.XLOOKUP(B404,'Base stats'!B:B,'Base stats'!AY:AY)+_xlfn.XLOOKUP(B404,'Base stats'!B:B,'Base stats'!BA:BA))+0.5,0.5))</f>
        <v>No</v>
      </c>
      <c r="AJ404" s="7" t="str">
        <f>IF(AI404="No","No",MAX(_xlfn.XLOOKUP(_xlfn.XLOOKUP(B404,'Base stats'!B:B,'Base stats'!E:E),Groups!A:A,Groups!AE:AE),MROUND(_xlfn.XLOOKUP(_xlfn.XLOOKUP(B404,'Base stats'!B:B,'Base stats'!E:E),Groups!A:A,Groups!AE:AE)*IF(_xlfn.XLOOKUP(_xlfn.XLOOKUP(B404,'Base stats'!B:B,'Base stats'!E:E),Groups!A:A,Groups!AJ:AJ)="Photonozoa",0.6,1)*_xlfn.XLOOKUP(B404,'Base stats'!B:B,'Base stats'!C:C)^0.165,0.05)))</f>
        <v>No</v>
      </c>
      <c r="AK404" s="7" t="str">
        <f>IF(AI404="No","No",_xlfn.XLOOKUP(_xlfn.XLOOKUP(B404,'Base stats'!B:B,'Base stats'!E:E),Groups!A:A,Groups!AF:AF))</f>
        <v>No</v>
      </c>
      <c r="AL404" s="7" t="str">
        <f>IF(AI404="No","No",_xlfn.XLOOKUP(_xlfn.XLOOKUP(B404,'Base stats'!B:B,'Base stats'!E:E),Groups!A:A,Groups!AG:AG))</f>
        <v>No</v>
      </c>
      <c r="AM404" s="7" t="str">
        <f>IF(AI404="No","No",_xlfn.XLOOKUP(_xlfn.XLOOKUP(B404,'Base stats'!B:B,'Base stats'!E:E),Groups!A:A,Groups!AH:AH))</f>
        <v>No</v>
      </c>
      <c r="AN404" s="2" t="str">
        <f t="shared" si="49"/>
        <v>No</v>
      </c>
      <c r="AO404" s="2">
        <f>MROUND(IF(AND(_xlfn.XLOOKUP(B404,'Base stats'!B:B,'Base stats'!C:C)&gt;=0.5,_xlfn.XLOOKUP(B404,'Base stats'!B:B,'Base stats'!C:C)&lt;=0.8),
IF(_xlfn.XLOOKUP(B404,'Base stats'!B:B,'Base stats'!C:C)&lt;0.1,0.05,IF(_xlfn.XLOOKUP(B404,'Base stats'!B:B,'Base stats'!C:C)&lt;=70,(_xlfn.XLOOKUP(B404,'Base stats'!B:B,'Base stats'!C:C)/70)^0.426489913056526,IF(_xlfn.XLOOKUP(B404,'Base stats'!B:B,'Base stats'!C:C)&lt;=400,(_xlfn.XLOOKUP(B404,'Base stats'!B:B,'Base stats'!C:C)/70)^0.572811455315093,IF(_xlfn.XLOOKUP(B404,'Base stats'!B:B,'Base stats'!C:C)&lt;=2000,2.71391647193063*(_xlfn.XLOOKUP(B404,'Base stats'!B:B,'Base stats'!C:C)/400)^0.252459582904293,3.74314280240376*(_xlfn.XLOOKUP(B404,'Base stats'!B:B,'Base stats'!C:C)/2000)^0.357012633876913)))),
IF(_xlfn.XLOOKUP(B404,'Base stats'!B:B,'Base stats'!C:C)&lt;0.1,0.05,IF(_xlfn.XLOOKUP(B404,'Base stats'!B:B,'Base stats'!C:C)&lt;0.4,0.1,IF(_xlfn.XLOOKUP(B404,'Base stats'!B:B,'Base stats'!C:C)&lt;=70,(_xlfn.XLOOKUP(B404,'Base stats'!B:B,'Base stats'!C:C)/70)^0.445823913056526,IF(_xlfn.XLOOKUP(B404,'Base stats'!B:B,'Base stats'!C:C)&lt;=400,(_xlfn.XLOOKUP(B404,'Base stats'!B:B,'Base stats'!C:C)/70)^0.572811455315093,IF(_xlfn.XLOOKUP(B404,'Base stats'!B:B,'Base stats'!C:C)&lt;=2000,2.71391647193063*(_xlfn.XLOOKUP(B404,'Base stats'!B:B,'Base stats'!C:C)/400)^0.252459582904293,3.74314280240376*(_xlfn.XLOOKUP(B404,'Base stats'!B:B,'Base stats'!C:C)/2000)^0.357012633876913)))))),
IF(_xlfn.XLOOKUP(B404,'Base stats'!B:B,'Base stats'!C:C)&lt;0.1,0.05,IF(_xlfn.XLOOKUP(B404,'Base stats'!B:B,'Base stats'!C:C)&lt;=100,0.05,IF(_xlfn.XLOOKUP(B404,'Base stats'!B:B,'Base stats'!C:C)&lt;=250,0.1,IF(_xlfn.XLOOKUP(B404,'Base stats'!B:B,'Base stats'!C:C)&lt;=4000,0.25,0.5)))))</f>
        <v>1.3</v>
      </c>
      <c r="AP404" s="8">
        <f>MROUND(AO404*_xlfn.XLOOKUP(_xlfn.XLOOKUP(B404,'Base stats'!B:B,'Base stats'!E:E),Groups!A:A,Groups!AI:AI)*_xlfn.XLOOKUP(B404,'Base stats'!B:B,'Base stats'!Z:Z),0.05)</f>
        <v>1.3</v>
      </c>
      <c r="AQ404" s="8">
        <f>MAX(0.01,MROUND(IF(CC404="True",0.196*(AO404*100*1000)^0.889,IF(_xlfn.XLOOKUP(_xlfn.XLOOKUP(B404,'Base stats'!B:B,'Base stats'!E:E),Groups!A:A,Groups!AJ:AJ)="Bird",10.5*(AO404*100*1000)^0.681,4.82*(AO404*100*1000)^0.734))/(4.82*(1*100*1000)^0.734)/IF(AO404&lt;3.5,2,IF(AO404=3.5,1.5,1.25))*(1+0.132282374779864/(AO404^0.994035016789033+0.00905238001496948)),0.05))</f>
        <v>0.8</v>
      </c>
      <c r="AR404" s="9">
        <f>IFERROR(MROUND(_xlfn.XLOOKUP(B404,'Base stats'!B:B,'Base stats'!H:H)/IF(_xlfn.XLOOKUP(B404,'Base stats'!B:B,'Base stats'!I:I)&lt;&gt;1,(122.5/70),1.2),IF(_xlfn.XLOOKUP(B404,'Base stats'!B:B,'Base stats'!H:H)&gt;=30,5,IF(_xlfn.XLOOKUP(B404,'Base stats'!B:B,'Base stats'!H:H)&gt;=15,3,IF(_xlfn.XLOOKUP(B404,'Base stats'!B:B,'Base stats'!H:H)&gt;=10,2,1)))),"Immortal")</f>
        <v>25</v>
      </c>
      <c r="AS404" s="35" t="str">
        <f>IFERROR(IF(OR(_xlfn.XLOOKUP(B404,'Base stats'!B:B,'Base stats'!F:F)="Atypical reproduction",_xlfn.XLOOKUP(B404,'Base stats'!B:B,'Base stats'!F:F)="Lay eggs"),"Lay eggs",MIN(20,MAX(5.5,ROUND(((_xlfn.XLOOKUP(B404,'Base stats'!B:B,'Base stats'!F:F)-25)*(14.5/615) + 5.5)*2,0)/2))),"Unknown")</f>
        <v>Lay eggs</v>
      </c>
      <c r="AT404" s="8">
        <f>IF(_xlfn.XLOOKUP(B404,'Base stats'!B:B,'Base stats'!G:G)="Atypical reproduction","No",IFERROR(MAX(IF(_xlfn.XLOOKUP(B404,'Base stats'!B:B,'Base stats'!G:G)&lt;0.5,0.2,0.3),MROUND(_xlfn.XLOOKUP(B404,'Base stats'!B:B,'Base stats'!G:G)/(365/60),0.2)),"Unknown"))</f>
        <v>0.8</v>
      </c>
      <c r="AU404" s="8">
        <f t="shared" si="50"/>
        <v>0.4</v>
      </c>
      <c r="AV404" s="8" t="str">
        <f>IFERROR(IFERROR(MROUND(_xlfn.XLOOKUP(B404,'Base stats'!B:B,'Base stats'!J:J),0.1),"Lay eggs"),"Cannot breed")</f>
        <v>Lay eggs</v>
      </c>
      <c r="AW404" s="2" t="str">
        <f t="shared" si="51"/>
        <v>true</v>
      </c>
      <c r="AX404" s="2" t="str">
        <f>IF(_xlfn.XLOOKUP(_xlfn.XLOOKUP(Animals!B404,'Base stats'!B:B,'Base stats'!E:E),Groups!A:A,Groups!AK:AK)=1,"true","false")</f>
        <v>false</v>
      </c>
      <c r="AY404" s="25" t="str">
        <f>IF(_xlfn.XLOOKUP(B404,'Base stats'!B:B,'Base stats'!Y:Y)="Liquor","Liquor, CarnivoreAnimalStrict",IF(AND(_xlfn.XLOOKUP(B404,'Base stats'!B:B,'Base stats'!Y:Y)="Carnivore",_xlfn.XLOOKUP(_xlfn.XLOOKUP(B404,'Base stats'!B:B,'Base stats'!E:E),Groups!A:A,Groups!AJ:AJ)="Photonozoa"),"CarnivoreAnimalStrict, OvivoreAnimal",IF(_xlfn.XLOOKUP(B404,'Base stats'!B:B,'Base stats'!Y:Y)="Carnivore","CarnivoreAnimal, OvivoreAnimal",IF(_xlfn.XLOOKUP(B404,'Base stats'!B:B,'Base stats'!Y:Y)="Dendrovore","VegetarianRoughAnimal, DendrovoreAnimal",IF(_xlfn.XLOOKUP(B404,'Base stats'!B:B,'Base stats'!Y:Y)="Herbivore","VegetarianRoughAnimal",IF(_xlfn.XLOOKUP(B404,'Base stats'!B:B,'Base stats'!Y:Y)="OmnivoreRough","OmnivoreRoughAnimal, OvivoreAnimal","OmnivoreAnimal, OvivoreAnimal"))))))</f>
        <v>CarnivoreAnimal, OvivoreAnimal</v>
      </c>
      <c r="AZ404" s="2">
        <f>IF(_xlfn.XLOOKUP(_xlfn.XLOOKUP(B404,'Base stats'!B:B,'Base stats'!E:E),Groups!A:A,Groups!D:D)=1,MROUND((1-J404)*5+1,2)*IF(J404&lt;=0.4,2,1),"No")</f>
        <v>2</v>
      </c>
      <c r="BA404" s="2" t="str">
        <f>IF(AND(_xlfn.XLOOKUP(B404,'Base stats'!B:B,'Base stats'!AH:AH)="&lt;li&gt;Seal&lt;/li&gt;",G404="Odyssey"),"&lt;li&gt;AEXP_Seal&lt;/li&gt;",_xlfn.XLOOKUP(B404,'Base stats'!B:B,'Base stats'!AH:AH))</f>
        <v>&lt;li&gt;Cassowary&lt;/li&gt;</v>
      </c>
      <c r="BB404" s="2" t="str">
        <f>_xlfn.XLOOKUP(B404,'Base stats'!B:B,'Base stats'!AG:AG)</f>
        <v>Leather_Bird</v>
      </c>
      <c r="BC404" s="23" t="str">
        <f>_xlfn.XLOOKUP(_xlfn.XLOOKUP(B404,'Base stats'!B:B,'Base stats'!E:E),Groups!A:A,Groups!AL:AL)</f>
        <v>Bird</v>
      </c>
      <c r="BD404" s="23">
        <f>MIN(1,MROUND(IF(AND(AO404&lt;0.5,_xlfn.XLOOKUP(B404,'Base stats'!B:B,'Base stats'!AA:AA)=0),0,IF(OR(_xlfn.XLOOKUP(Animals!B404,'Base stats'!B:B,'Base stats'!O:O)=2,_xlfn.XLOOKUP(_xlfn.XLOOKUP(B404,'Base stats'!B:B,'Base stats'!E:E),Groups!A:A,Groups!AN:AN)=0),0,_xlfn.XLOOKUP(_xlfn.XLOOKUP(B404,'Base stats'!B:B,'Base stats'!E:E),Groups!A:A,Groups!AN:AN)/IF(_xlfn.XLOOKUP(Animals!B404,'Base stats'!B:B,'Base stats'!O:O)=1,2,1)))+_xlfn.XLOOKUP(B404,'Base stats'!B:B,'Base stats'!AC:AC),0.005))</f>
        <v>0</v>
      </c>
      <c r="BE404" s="23">
        <f>MIN(1,MROUND(IF(AND(AO404&lt;0.5,_xlfn.XLOOKUP(B404,'Base stats'!B:B,'Base stats'!AA:AA)=0),0,IF(_xlfn.XLOOKUP(_xlfn.XLOOKUP(B404,'Base stats'!B:B,'Base stats'!E:E),Groups!A:A,Groups!AO:AO)=0,0,_xlfn.XLOOKUP(_xlfn.XLOOKUP(B404,'Base stats'!B:B,'Base stats'!E:E),Groups!A:A,Groups!AO:AO)/IF(_xlfn.XLOOKUP(Animals!B404,'Base stats'!B:B,'Base stats'!O:O)=2,3,1)))+_xlfn.XLOOKUP(B404,'Base stats'!B:B,'Base stats'!AD:AD),0.005))</f>
        <v>0</v>
      </c>
      <c r="BF404" s="2" t="str">
        <f>IF(J404&gt;0.3,"No",_xlfn.XLOOKUP(_xlfn.XLOOKUP(Animals!B404,'Base stats'!B:B,'Base stats'!E:E),Groups!A:A,Groups!AP:AP))</f>
        <v>No</v>
      </c>
      <c r="BG404" s="2" t="str">
        <f>IF(AND(J404&lt;=0.65,_xlfn.XLOOKUP(_xlfn.XLOOKUP(Animals!B404,'Base stats'!B:B,'Base stats'!E:E),Groups!A:A,Groups!AP:AP)&lt;&gt;"No",_xlfn.XLOOKUP(_xlfn.XLOOKUP(B404,'Base stats'!B:B,'Base stats'!E:E),Groups!A:A,Groups!D:D)=0),MROUND((80/3)*IF(_xlfn.XLOOKUP(B404,'Base stats'!B:B,'Base stats'!O:O)=2,0.2,AO404) + 24*(1-IF(BF404="No",0,BF404)) + 16/3, 12),"No")</f>
        <v>No</v>
      </c>
      <c r="BH404" s="2">
        <f>IF(AND(_xlfn.XLOOKUP(_xlfn.XLOOKUP(B404,'Base stats'!B:B,'Base stats'!E:E),Groups!A:A,Groups!AQ:AQ)=1,AO404&lt;=0.35),8,12)</f>
        <v>12</v>
      </c>
      <c r="BI404" s="2" t="str">
        <f>IF(_xlfn.XLOOKUP(_xlfn.XLOOKUP(B404,'Base stats'!B:B,'Base stats'!E:E),Groups!A:A,Groups!D:D)=0,_xlfn.XLOOKUP(_xlfn.XLOOKUP(B404,'Base stats'!B:B,'Base stats'!E:E),Groups!A:A,Groups!AR:AR),"None")</f>
        <v>None</v>
      </c>
      <c r="BJ404" s="2" t="str">
        <f>IF(AND(_xlfn.XLOOKUP(_xlfn.XLOOKUP(B404,'Base stats'!B:B,'Base stats'!E:E),Groups!A:A,Groups!AS:AS)=1,OR(_xlfn.XLOOKUP(B404,'Base stats'!B:B,'Base stats'!Y:Y)="Carnivore",_xlfn.XLOOKUP(B404,'Base stats'!B:B,'Base stats'!Y:Y)="Omnivore")),"true","false")</f>
        <v>false</v>
      </c>
      <c r="BK404" s="2" t="str">
        <f>IF(BJ404="true",MROUND(IF(AND(AO404&gt;0.5,OR(_xlfn.XLOOKUP(_xlfn.XLOOKUP(B404,'Base stats'!B:B,'Base stats'!E:E),Groups!A:A,Groups!AJ:AJ)="Photonozoa",_xlfn.XLOOKUP(_xlfn.XLOOKUP(B404,'Base stats'!B:B,'Base stats'!E:E),Groups!A:A,Groups!AJ:AJ)="Mammal")),Animals!AO404*1.75*IF(AW404="true",1.5,1),IF(AO404&lt;0.5,Animals!AO404*0.5,Animals!AO404)),IF(AO404&gt;2,0.5,IF(AO404&gt;0.5,0.25,0.1))),"No")</f>
        <v>No</v>
      </c>
      <c r="BL404" s="2">
        <f t="shared" si="52"/>
        <v>0</v>
      </c>
      <c r="BM404" s="25">
        <f>IF(_xlfn.XLOOKUP(B404,'Base stats'!B:B,'Base stats'!AN:AN)="Standard","No",MROUND((_xlfn.XLOOKUP(B404,'Base stats'!B:B,'Base stats'!AN:AN)/3.6)/I404,0.1))</f>
        <v>2</v>
      </c>
      <c r="BN404" s="25" t="str">
        <f t="shared" si="53"/>
        <v>true</v>
      </c>
      <c r="BO404" s="25" t="str">
        <f>IF(AND(OR(_xlfn.XLOOKUP(B404,'Base stats'!B:B,'Base stats'!Y:Y)="Carnivore",_xlfn.XLOOKUP(B404,'Base stats'!B:B,'Base stats'!Y:Y)="Omnivore",_xlfn.XLOOKUP(B404,'Base stats'!B:B,'Base stats'!Y:Y)="OmnivoreRough"),_xlfn.XLOOKUP(_xlfn.XLOOKUP(B404,'Base stats'!B:B,'Base stats'!E:E),Groups!A:A,Groups!AT:AT)=1),"true","false")</f>
        <v>true</v>
      </c>
      <c r="BP404" s="25" t="str" cm="1">
        <f t="array" ref="BP404">IF(
  _xlfn.TEXTJOIN(", ",TRUE,
    IF(AND(BJ404="true",AO404&gt;0.5,BI404&lt;&gt;"None"),"AttackTarget",""),
    IF(AND(_xlfn.XLOOKUP(_xlfn.XLOOKUP(B404,'Base stats'!B:B,'Base stats'!E:E),Groups!A:A,Groups!AJ:AJ="Mammal"),OR(_xlfn.XLOOKUP(B404,'Base stats'!B:B,'Base stats'!Y:Y)="Omnivore",_xlfn.XLOOKUP(B404,'Base stats'!B:B,'Base stats'!Y:Y)="OmnivoreRough")),"Forage",""),
    IF(BG404&lt;=36,"Comfort",""),
    IF(_xlfn.XLOOKUP(B404,'Base stats'!B:B,'Base stats'!AE:AE)&lt;&gt;"No",_xlfn.XLOOKUP(B404,'Base stats'!B:B,'Base stats'!AE:AE),"")
  ) = "",
  "No",
  _xlfn.TEXTJOIN(", ",TRUE,
    IF(AND(BJ404="true",AO404&gt;0.5,BI404&lt;&gt;"None"),"AttackTarget",""),
    IF(AND(_xlfn.XLOOKUP(_xlfn.XLOOKUP(B404,'Base stats'!B:B,'Base stats'!E:E),Groups!A:A,Groups!AJ:AJ="Mammal"),OR(_xlfn.XLOOKUP(B404,'Base stats'!B:B,'Base stats'!Y:Y)="Omnivore",_xlfn.XLOOKUP(B404,'Base stats'!B:B,'Base stats'!Y:Y)="OmnivoreRough")),"Forage",""),
    IF(BG404&lt;=36,"Comfort",""),
    IF(_xlfn.XLOOKUP(B404,'Base stats'!B:B,'Base stats'!AE:AE)&lt;&gt;"No",_xlfn.XLOOKUP(B404,'Base stats'!B:B,'Base stats'!AE:AE),"")
  )
)</f>
        <v>No</v>
      </c>
      <c r="BQ404" s="25">
        <f>IF(
   AND(
      'Base stats'!AN404="Standard",_xlfn.XLOOKUP(_xlfn.XLOOKUP(B404,'Base stats'!B:B,'Base stats'!E:E),Groups!A:A,Groups!AU:AU)=0,
      OR(
      BO404="True"
      )
   ),
   10,
   IF(
       OR(BM404&lt;&gt;"No",_xlfn.XLOOKUP(_xlfn.XLOOKUP(B404,'Base stats'!B:B,'Base stats'!E:E),Groups!A:A,Groups!AU:AU)=1),
      1,
      "No"
   )
)</f>
        <v>1</v>
      </c>
      <c r="BR404" s="9">
        <f>MROUND((1 + ((0.2*IF(OR(Q404="No",R404="No",R404=0),0,Q404/R404)
+IF(OR(V404="No",S404="No",T404="No"),0,S404/T404*(LEN(V404)-LEN(SUBSTITUTE(V404,",",""))+1))
+IF(OR(X404="No",Y404="No"),0,X404/Y404)
+IF(OR(AD404="No",AE404="No"),0,AD404/AE404)
+IF(OR(AL404="No",AI404="No",AJ404="No"),0,AI404/AJ404*(LEN(AL404)-LEN(SUBSTITUTE(AL404,",",""))+1))
)/(0.2*IF(OR(Q404="No",R404="No",R404=0),0,1)
+IF(OR(V404="No",S404="No",T404="No"),0,LEN(V404)-LEN(SUBSTITUTE(V404,",",""))+1)
+IF(OR(X404="No",Y404="No"),0,1)
+IF(OR(AD404="No",AE404="No"),0,1)
+IF(OR(AL404="No",AI404="No",AJ404="No"),0,LEN(AL404)-LEN(SUBSTITUTE(AL404,",",""))+1))*62%)* 2)*(1 + (AP404 / (IF(_xlfn.XLOOKUP(_xlfn.XLOOKUP(B404,'Base stats'!B:B,'Base stats'!E:E),Groups!A:A,Groups!AJ:AJ)="Photonozoa",0.3,1)) + _xlfn.XLOOKUP(B404,'Base stats'!B:B,'Base stats'!AV:AV) * 1.8) * 2) * 2.5 + 10 + I404 * 2,5)+IF(_xlfn.XLOOKUP(B404,'Base stats'!B:B,'Base stats'!AK:AK)=1,50,0)</f>
        <v>75</v>
      </c>
      <c r="BS404" s="8">
        <f t="shared" si="54"/>
        <v>0.9</v>
      </c>
      <c r="BT404" s="8" t="str">
        <f>_xlfn.XLOOKUP(B404,'Base stats'!B:B,'Base stats'!AF:AF)</f>
        <v>5~15</v>
      </c>
      <c r="BU404" s="2" t="str">
        <f>IF(AND(J404&lt;=0.95,OR(_xlfn.XLOOKUP(B404,'Base stats'!B:B,'Base stats'!AK:AK)=1,_xlfn.XLOOKUP(B404,'Base stats'!B:B,'Base stats'!Y:Y)="Carnivore",_xlfn.XLOOKUP(B404,'Base stats'!B:B,'Base stats'!Y:Y)="Omnivore",BE404&gt;0.1)),"true","false")</f>
        <v>true</v>
      </c>
      <c r="BV404" s="2" t="str">
        <f>IF(_xlfn.XLOOKUP(B404,'Base stats'!B:B,'Base stats'!AI:AI)=1,"true","false")</f>
        <v>false</v>
      </c>
      <c r="BW404" s="25" t="str">
        <f>IF(E404="BaseInsect","AnimalInsect",
IF(J404&gt;0.95,"AnimalExotic",
_xlfn.TEXTJOIN(", ",TRUE,
IF(OR(_xlfn.XLOOKUP(B404,'Base stats'!B:B,'Base stats'!AM:AM)=1,AND(_xlfn.XLOOKUP(B404,'Base stats'!B:B,'Base stats'!O:O)=0,_xlfn.XLOOKUP(_xlfn.XLOOKUP(B404,'Base stats'!B:B,'Base stats'!E:E),Groups!A:A,Groups!B:B)&gt;0)),"AnimalUncommon","AnimalCommon"),
IF(AND(_xlfn.XLOOKUP(B404,'Base stats'!B:B,'Base stats'!O:O)=2,_xlfn.XLOOKUP(_xlfn.XLOOKUP(B404,'Base stats'!B:B,'Base stats'!E:E),Groups!A:A,Groups!D:D)=0),"AnimalPet",IF(AND(_xlfn.XLOOKUP(B404,'Base stats'!B:B,'Base stats'!O:O)&lt;&gt;0,_xlfn.XLOOKUP(_xlfn.XLOOKUP(B404,'Base stats'!B:B,'Base stats'!E:E),Groups!A:A,Groups!D:D)&lt;&gt;0),"AnimalFarm","")),
IF(OR(_xlfn.XLOOKUP(B404,'Base stats'!B:B,'Base stats'!AK:AK)=1,AND(BI404&lt;&gt;"None",BR404&gt;=60),ISNUMBER(SEARCH("Attack target",BP404))),"AnimalFighter","")
)))</f>
        <v>AnimalUncommon</v>
      </c>
      <c r="BX404" s="25" t="str">
        <f>IF(G404="None",TRIM(
SUBSTITUTE(
IF(COUNTIF(Biomes!B$2:B$259,"="&amp;$C404)&gt;0,Biomes!B$1&amp;", ","")&amp;
IF(COUNTIF(Biomes!C$2:C$259,"="&amp;$C404)&gt;0,Biomes!C$1&amp;", ","")&amp;
IF(COUNTIF(Biomes!D$2:D$259,"="&amp;$C404)&gt;0,Biomes!D$1&amp;", ","")&amp;
IF(COUNTIF(Biomes!F$2:F$259,"="&amp;$C404)&gt;0,Biomes!F$1&amp;", ","")&amp;
IF(COUNTIF(Biomes!G$2:G$259,"="&amp;$C404)&gt;0,Biomes!G$1&amp;", ","")&amp;
IF(COUNTIF(Biomes!H$2:H$259,"="&amp;$C404)&gt;0,Biomes!H$1&amp;", ","")&amp;
IF(COUNTIF(Biomes!I$2:I$259,"="&amp;$C404)&gt;0,Biomes!I$1&amp;", ","")&amp;
IF(COUNTIF(Biomes!J$2:J$259,"="&amp;$C404)&gt;0,Biomes!J$1&amp;", ","")&amp;
IF(COUNTIF(Biomes!M$2:M$259,"="&amp;$C404)&gt;0,Biomes!M$1&amp;", ","")&amp;
IF(COUNTIF(Biomes!N$2:N$259,"="&amp;$C404)&gt;0,Biomes!N$1&amp;", ","")&amp;
IF(COUNTIF(Biomes!O$2:O$259,"="&amp;$C404)&gt;0,Biomes!O$1&amp;", ","")&amp;
IF(COUNTIF(Biomes!P$2:P$259,"="&amp;$C404)&gt;0,Biomes!P$1&amp;", ","")&amp;
IF(COUNTIF(Biomes!K$2:K$259,"="&amp;$C404)&gt;0,Biomes!K$1&amp;", ","")&amp;
IF(COUNTIF(Biomes!Q$3:Q$259,"="&amp;$C404)&gt;0,Biomes!Q$1&amp;", ","")&amp;
IF(COUNTIF(Biomes!L$2:L$259,"="&amp;$C404)&gt;0,Biomes!L$1&amp;", ","")&amp;
IF(COUNTIF(Biomes!E$2:E$259,"="&amp;$C404)&gt;0,Biomes!E$1&amp;", ","")&amp;IF(COUNTIF(Biomes!S$2:S$259,"="&amp;$C404)&gt;0,Biomes!S$1&amp;", ","")&amp;
IF(COUNTIF(Biomes!R$2:R$259,"="&amp;$C404)&gt;0,Biomes!R$1&amp;", ",""),", ","")
),_xlfn.XLOOKUP(B404,B:B,BX:BX))</f>
        <v/>
      </c>
      <c r="BY404" s="25" t="str">
        <f>IF(_xlfn.XLOOKUP(B404,'Base stats'!B:B,'Base stats'!AJ:AJ)=1,"true","false")</f>
        <v>true</v>
      </c>
      <c r="BZ404" s="25">
        <f>IF(_xlfn.XLOOKUP(B404,'Base stats'!B:B,'Base stats'!N:N)=1,"No",MAX(0.001,MIN(MROUND(IF(AND(BJ404="True",CC404="False"),POWER(10,3.47*LOG10(_xlfn.XLOOKUP(B404,'Base stats'!B:B,'Base stats'!C:C)*1000)^-0.96),POWER(10,4.15*LOG10(_xlfn.XLOOKUP(B404,'Base stats'!B:B,'Base stats'!C:C)*1000)^-0.73))*IF(_xlfn.XLOOKUP(B404,'Base stats'!B:B,'Base stats'!AK:AK)=1,0.5,1)*IF(_xlfn.XLOOKUP(B404,'Base stats'!B:B,'Base stats'!AM:AM)=1,0.1,1)/100,IF(_xlfn.XLOOKUP(B404,'Base stats'!B:B,'Base stats'!AM:AM)=1,0.001,0.025)),0.5)))</f>
        <v>0.17500000000000002</v>
      </c>
      <c r="CA404" s="25" t="str">
        <f>IF(P404="Standard","No",MAX(0.001,MIN(MROUND(IF(AND(BJ404="True",CC404="False"),POWER(10,3.47*LOG10(_xlfn.XLOOKUP(B404,'Base stats'!B:B,'Base stats'!C:C)*1000)^-0.96),POWER(10,4.15*LOG10(_xlfn.XLOOKUP(B404,'Base stats'!B:B,'Base stats'!C:C)*1000)^-0.73))*IF(_xlfn.XLOOKUP(B404,'Base stats'!B:B,'Base stats'!AM:AM)=1,0.1,1)*_xlfn.XLOOKUP(B404,'Base stats'!B:B,'Base stats'!R:R)/100,IF(_xlfn.XLOOKUP(B404,'Base stats'!B:B,'Base stats'!AM:AM)=1,0.001,0.025)),0.5)))</f>
        <v>No</v>
      </c>
      <c r="CB404" s="25" t="str">
        <f>IF(_xlfn.XLOOKUP(_xlfn.XLOOKUP(B404,'Base stats'!B:B,'Base stats'!E:E),Groups!A:A,Groups!AJ:AJ)="Mammal","True","False")</f>
        <v>False</v>
      </c>
      <c r="CC404" s="25" t="str">
        <f>IF(OR(_xlfn.XLOOKUP(_xlfn.XLOOKUP(B404,'Base stats'!B:B,'Base stats'!E:E),Groups!A:A,Groups!AJ:AJ)="Reptile",_xlfn.XLOOKUP(_xlfn.XLOOKUP(B404,'Base stats'!B:B,'Base stats'!E:E),Groups!A:A,Groups!AJ:AJ)="Amphibian",_xlfn.XLOOKUP(_xlfn.XLOOKUP(B404,'Base stats'!B:B,'Base stats'!E:E),Groups!A:A,Groups!AJ:AJ)="Invertebrate"),"True","False")</f>
        <v>False</v>
      </c>
      <c r="CD404" s="25" t="str">
        <f t="shared" si="55"/>
        <v>False</v>
      </c>
      <c r="CE404" s="25" t="str">
        <f>IF(_xlfn.XLOOKUP(_xlfn.XLOOKUP(B404,'Base stats'!B:B,'Base stats'!E:E),Groups!A:A,Groups!AX:AX),"True","False")</f>
        <v>False</v>
      </c>
      <c r="CF404" s="25" t="str">
        <f>IF(_xlfn.XLOOKUP(_xlfn.XLOOKUP(B404,'Base stats'!B:B,'Base stats'!E:E),Groups!A:A,Groups!AY:AY),"True","False")</f>
        <v>False</v>
      </c>
      <c r="CG404" s="25" t="str">
        <f>IF(_xlfn.XLOOKUP(_xlfn.XLOOKUP(B404,'Base stats'!B:B,'Base stats'!E:E),Groups!A:A,Groups!AW:AW),"True","False")</f>
        <v>False</v>
      </c>
      <c r="CH404" s="25" t="str">
        <f>IF(
OR(
_xlfn.XLOOKUP(_xlfn.XLOOKUP(B404,'Base stats'!B:B,'Base stats'!E:E),Groups!A:A,Groups!AZ:AZ)=0,
AND(
_xlfn.XLOOKUP(B404,'Base stats'!B:B,'Base stats'!Y:Y)&lt;&gt;"Carnivore",
_xlfn.XLOOKUP(B404,'Base stats'!B:B,'Base stats'!Y:Y)&lt;&gt;"Omnivore",
_xlfn.XLOOKUP(B404,'Base stats'!B:B,'Base stats'!Y:Y)&lt;&gt;"OmnivoreRough"
)
),
"No",
IF(
_xlfn.XLOOKUP(_xlfn.XLOOKUP(B404,'Base stats'!B:B,'Base stats'!E:E),Groups!A:A,Groups!AZ:AZ)=1,
"Flesh",
IF(
_xlfn.XLOOKUP(_xlfn.XLOOKUP(B404,'Base stats'!B:B,'Base stats'!E:E),Groups!A:A,Groups!AZ:AZ)=2,
"Bone",
""
)
)
)</f>
        <v>No</v>
      </c>
      <c r="CI404" s="25" t="str">
        <f>IF(_xlfn.XLOOKUP(_xlfn.XLOOKUP(B404,'Base stats'!B:B,'Base stats'!E:E),Groups!A:A,Groups!BB:BB),"True","False")</f>
        <v>True</v>
      </c>
      <c r="CJ404" s="25" t="str">
        <f>IF(_xlfn.XLOOKUP(_xlfn.XLOOKUP(B404,'Base stats'!B:B,'Base stats'!E:E),Groups!A:A,Groups!BA:BA),"True","False")</f>
        <v>False</v>
      </c>
    </row>
    <row r="405" spans="1:88" ht="16.5" thickTop="1" thickBot="1" x14ac:dyDescent="0.3">
      <c r="A405" s="26" t="s">
        <v>2094</v>
      </c>
      <c r="B405" s="6" t="str">
        <f>_xlfn.XLOOKUP(A405,'Base stats'!A:A,'Base stats'!B:B)</f>
        <v>Josephoartigasia monesi</v>
      </c>
      <c r="C405" s="28" t="str">
        <f t="shared" si="56"/>
        <v>&lt;li&gt;Josephoartigasia&lt;/li&gt;</v>
      </c>
      <c r="D405" s="28" t="s">
        <v>2126</v>
      </c>
      <c r="E405" s="28" t="s">
        <v>673</v>
      </c>
      <c r="F405" s="28" t="s">
        <v>673</v>
      </c>
      <c r="G405" s="28" t="s">
        <v>673</v>
      </c>
      <c r="H405" s="2">
        <f>MROUND((
  (IF(AND(_xlfn.XLOOKUP(B405,'Base stats'!B:B,'Base stats'!AL:AL)=0,BI405="None",_xlfn.XLOOKUP(_xlfn.XLOOKUP(B405,'Base stats'!B:B,'Base stats'!E:E),Groups!A:A,Groups!B:B)=0), (18 + BR405 * 2.7) * 0.5,
    IF(AND(_xlfn.XLOOKUP(B405,'Base stats'!B:B,'Base stats'!AL:AL)=0,OR(AO405&lt;0.55,AND(BI405="Intermediate",_xlfn.XLOOKUP(_xlfn.XLOOKUP(B405,'Base stats'!B:B,'Base stats'!E:E),Groups!A:A,Groups!B:B)&lt;2))), (18 + BR405 * 2.7),
      IF(OR(BI405="Advanced",_xlfn.XLOOKUP(B405,'Base stats'!B:B,'Base stats'!AL:AL)=1,_xlfn.XLOOKUP(_xlfn.XLOOKUP(B405,'Base stats'!B:B,'Base stats'!E:E),Groups!A:A,Groups!B:B)=2), (18 + BR405 * 2.7) + 250, (18 + BR405 * 2.7))
    )
  ))
  + AO405 * 80
  + IF(COUNTIF(EggMilk!K$2:K$998, A405) &gt; 0, 125, 0)
  + IF(COUNTIF(EggMilk!P$2:P$998, A405) &gt; 0, 90, 0)
  + IF(COUNTIF(EggMilk!A$2:A$998, A405) &gt; 0, 90, 0)
)
* (0.8 + 0.4 * J405)
* 0.75,25)</f>
        <v>775</v>
      </c>
      <c r="I405" s="2">
        <f>MROUND(ROUNDDOWN(_xlfn.XLOOKUP(B405,'Base stats'!B:B,'Base stats'!L:L)/3.6/(23.3/11),1),0.5)</f>
        <v>6.5</v>
      </c>
      <c r="J405" s="2">
        <f>IF(OR(_xlfn.XLOOKUP(B405,'Base stats'!B:B,'Base stats'!AB:AB)=1,_xlfn.XLOOKUP(_xlfn.XLOOKUP(B405,'Base stats'!B:B,'Base stats'!E:E),Groups!A:A,Groups!C:C)="Untamable"),1,IF(_xlfn.XLOOKUP(B405,'Base stats'!B:B,'Base stats'!AL:AL)=1,0.99,MIN(MROUND((1-0.6282*EXP(-0.459*AO405))*_xlfn.XLOOKUP(_xlfn.XLOOKUP(B405,'Base stats'!B:B,'Base stats'!E:E),Groups!A:A,Groups!C:C)*IF(_xlfn.XLOOKUP(B405,'Base stats'!B:B,'Base stats'!O:O)=1,0.5,IF(_xlfn.XLOOKUP(B405,'Base stats'!B:B,'Base stats'!O:O)=2,0,1)),0.05),IF(AO405&gt;3.5,0.985,0.95))))</f>
        <v>0.95</v>
      </c>
      <c r="K405" s="2">
        <f>ROUNDUP(AO405*_xlfn.XLOOKUP(_xlfn.XLOOKUP(B405,'Base stats'!B:B,'Base stats'!E:E),Groups!A:A,Groups!E:E),0)</f>
        <v>3</v>
      </c>
      <c r="L405" s="2">
        <f>IF(OR(_xlfn.XLOOKUP(_xlfn.XLOOKUP(B405,'Base stats'!B:B,'Base stats'!E:E),Groups!A:A,Groups!F:F)=2,ISNUMBER(SEARCH("SeaIce",BX405)),ISNUMBER(SEARCH("IceSheet",BX405))),-50,IF(OR(ISNUMBER(SEARCH("GlacialPlain",BX405)),ISNUMBER(SEARCH("Tundra",BX405))),-40,IF(OR(ISNUMBER(SEARCH("Alpine",BX405)),ISNUMBER(SEARCH("BorealForest",BX405)),ISNUMBER(SEARCH("ColdBog",BX405))),-30,IF(OR(ISNUMBER(SEARCH("TemperateForest",BX405)),ISNUMBER(SEARCH("TemperateSwamp",BX405))),-20,IF(_xlfn.XLOOKUP(_xlfn.XLOOKUP(B405,'Base stats'!B:B,'Base stats'!E:E),Groups!A:A,Groups!F:F)=1,-15,IF(OR(ISNUMBER(SEARCH("Desert",BX405)),ISNUMBER(SEARCH("ExtremeDesert",BX405))),-10,IF(OR(ISNUMBER(SEARCH("Grasslands",BX405)),ISNUMBER(SEARCH("TropicalRainforest",BX405)),ISNUMBER(SEARCH("TropicalSwamp",BX405))),10,0)))))))-IF(CC405="False",MIN(IFERROR(MAX(MROUND(LOG10(_xlfn.XLOOKUP(B405,'Base stats'!B:B,'Base stats'!C:C)^(2/3))*10,5),5),5),30))-_xlfn.XLOOKUP(B405,'Base stats'!B:B,'Base stats'!P:P)+IF(CC405="True",5,0)</f>
        <v>-20</v>
      </c>
      <c r="M405" s="2">
        <f>IF(OR(_xlfn.XLOOKUP(_xlfn.XLOOKUP(B405,'Base stats'!B:B,'Base stats'!E:E),Groups!A:A,Groups!G:G)=2,ISNUMBER(SEARCH("Desert",BX405)),ISNUMBER(SEARCH("ExtremeDesert",BX405)),ISNUMBER(SEARCH("LavaField",BX405))),50,IF(ISNUMBER(SEARCH("Grasslands",BX405)),45,IF(OR(_xlfn.XLOOKUP(_xlfn.XLOOKUP(B405,'Base stats'!B:B,'Base stats'!E:E),Groups!A:A,Groups!G:G)=1,ISNUMBER(SEARCH("TropicalRainforest",BX405)),ISNUMBER(SEARCH("TropicalSwamp",BX405))),40,IF(OR(ISNUMBER(SEARCH("TemperateForest",BX405)),ISNUMBER(SEARCH("TemperateSwamp",BX405))),35,IF(OR(ISNUMBER(SEARCH("Alpine",BX405)),ISNUMBER(SEARCH("BorealForest",BX405)),ISNUMBER(SEARCH("ColdBog",BX405))),30,IF(ISNUMBER(OR(ISNUMBER(SEARCH("GlacialPlain",BX405)),SEARCH("Tundra",BX405))),25,IF(OR(ISNUMBER(SEARCH("SeaIce",BX405)),ISNUMBER(SEARCH("IceSheet",BX405)),ISNUMBER(SEARCH("TropicalSwamp",BX405))),10,35)))))))+_xlfn.XLOOKUP(B405,'Base stats'!B:B,'Base stats'!Q:Q)</f>
        <v>35</v>
      </c>
      <c r="N405" s="8" t="str">
        <f>IF(
_xlfn.XLOOKUP(
_xlfn.XLOOKUP(B405,'Base stats'!B:B,'Base stats'!E:E),
Groups!A:A,
Groups!L:L
)=1,
MIN(
MROUND(
IF(
_xlfn.XLOOKUP(B405,'Animals CE'!B:B,'Animals CE'!Z:Z)&lt;=1.5,
_xlfn.XLOOKUP(B405,'Animals CE'!B:B,'Animals CE'!Z:Z)/2+0.05,
0.8+
(_xlfn.XLOOKUP(B405,'Animals CE'!B:B,'Animals CE'!Z:Z)-1.5)
*0.02
),
0.05
),
200%
),
"No"
)</f>
        <v>No</v>
      </c>
      <c r="O405" s="8" t="str">
        <f>IF(
_xlfn.XLOOKUP(
_xlfn.XLOOKUP(B405,'Base stats'!B:B,'Base stats'!E:E),
Groups!A:A,
Groups!L:L
)=1,
MIN(
MROUND(
IF(
_xlfn.XLOOKUP(B405,'Animals CE'!B:B,'Animals CE'!AA:AA)&lt;=1.5,
_xlfn.XLOOKUP(B405,'Animals CE'!B:B,'Animals CE'!AA:AA)/2+0.05,
0.8+
(_xlfn.XLOOKUP(B405,'Animals CE'!B:B,'Animals CE'!AA:AA)-1.5)
*0.02
),
0.05
),
200%
),
"No"
)</f>
        <v>No</v>
      </c>
      <c r="P405" s="2" t="str">
        <f>_xlfn.XLOOKUP(B405,'Base stats'!B:B,'Base stats'!R:R)</f>
        <v>Standard</v>
      </c>
      <c r="Q405" s="13">
        <f>MROUND((LOG10(_xlfn.XLOOKUP(B405,'Base stats'!B:B,'Base stats'!AR:AR))*(AO405^0.5)+(_xlfn.XLOOKUP(B405,'Base stats'!B:B,'Base stats'!AR:AR)/1000)^(2/3)+_xlfn.XLOOKUP(B405,'Base stats'!B:B,'Base stats'!BA:BA)/2)+0.5,0.5)</f>
        <v>16.5</v>
      </c>
      <c r="R405" s="7">
        <f>IF(Q405="No","No",MAX(1,MROUND(_xlfn.XLOOKUP(B405,'Base stats'!B:B,'Base stats'!C:C)^0.165,0.05)))</f>
        <v>2.85</v>
      </c>
      <c r="S405" s="13" t="str">
        <f>IF(_xlfn.XLOOKUP(_xlfn.XLOOKUP(B405,'Base stats'!B:B,'Base stats'!E:E),Groups!A:A,Groups!P:P)=0,"No",MROUND((LOG10(_xlfn.XLOOKUP(B405,'Base stats'!B:B,'Base stats'!AS:AS))*(AO405^0.5)+(_xlfn.XLOOKUP(B405,'Base stats'!B:B,'Base stats'!AS:AS)/1000)^(2/3)+_xlfn.XLOOKUP(B405,'Base stats'!B:B,'Base stats'!BA:BA))+_xlfn.XLOOKUP(B405,'Base stats'!B:B,'Base stats'!AY:AY)+0.5,0.5))</f>
        <v>No</v>
      </c>
      <c r="T405" s="7" t="str">
        <f>IF(S405="No","No",MAX(_xlfn.XLOOKUP(_xlfn.XLOOKUP(B405,'Base stats'!B:B,'Base stats'!E:E),Groups!A:A,Groups!Q:Q),MROUND(_xlfn.XLOOKUP(_xlfn.XLOOKUP(B405,'Base stats'!B:B,'Base stats'!E:E),Groups!A:A,Groups!Q:Q)*_xlfn.XLOOKUP(B405,'Base stats'!B:B,'Base stats'!C:C)^0.165,0.05)))</f>
        <v>No</v>
      </c>
      <c r="U405" s="7" t="str">
        <f>IF(S405="No","No",_xlfn.XLOOKUP(_xlfn.XLOOKUP(B405,'Base stats'!B:B,'Base stats'!E:E),Groups!A:A,Groups!R:R))</f>
        <v>No</v>
      </c>
      <c r="V405" s="7" t="str">
        <f>IF(S405="No","No",_xlfn.XLOOKUP(_xlfn.XLOOKUP(B405,'Base stats'!B:B,'Base stats'!E:E),Groups!A:A,Groups!S:S))</f>
        <v>No</v>
      </c>
      <c r="W405" s="7" t="str">
        <f>IF(S405="No","No",_xlfn.XLOOKUP(_xlfn.XLOOKUP(B405,'Base stats'!B:B,'Base stats'!E:E),Groups!A:A,Groups!T:T))</f>
        <v>No</v>
      </c>
      <c r="X405" s="13" t="str">
        <f>IF(_xlfn.XLOOKUP(B405,'Base stats'!B:B,'Base stats'!W:W)="No","No",MROUND((LOG10(_xlfn.XLOOKUP(B405,'Base stats'!B:B,'Base stats'!AU:AU))*(AO405^0.5)+(_xlfn.XLOOKUP(B405,'Base stats'!B:B,'Base stats'!AU:AU)/1000)^(2/3)+_xlfn.XLOOKUP(B405,'Base stats'!B:B,'Base stats'!AZ:AZ))+0.5+IF(_xlfn.XLOOKUP(_xlfn.XLOOKUP(B405,'Base stats'!B:B,'Base stats'!E:E),Groups!A:A,Groups!U:U)&lt;&gt;3,_xlfn.XLOOKUP(B405,'Base stats'!B:B,'Base stats'!BA:BA),0),0.5))</f>
        <v>No</v>
      </c>
      <c r="Y405" s="7" t="str">
        <f>IF(X405="No","No",MAX(_xlfn.XLOOKUP(_xlfn.XLOOKUP(B405,'Base stats'!B:B,'Base stats'!E:E),Groups!A:A,Groups!V:V),MROUND(_xlfn.XLOOKUP(_xlfn.XLOOKUP(B405,'Base stats'!B:B,'Base stats'!E:E),Groups!A:A,Groups!V:V)*_xlfn.XLOOKUP(B405,'Base stats'!B:B,'Base stats'!C:C)^0.165,0.05)))</f>
        <v>No</v>
      </c>
      <c r="Z405" s="7" t="str">
        <f>IF(X405="No","No",_xlfn.XLOOKUP(_xlfn.XLOOKUP(B405,'Base stats'!B:B,'Base stats'!E:E),Groups!A:A,Groups!W:W))</f>
        <v>No</v>
      </c>
      <c r="AA405" s="7" t="str">
        <f>IF(X405="No","No",_xlfn.XLOOKUP(_xlfn.XLOOKUP(B405,'Base stats'!B:B,'Base stats'!E:E),Groups!A:A,Groups!X:X))</f>
        <v>No</v>
      </c>
      <c r="AB405" s="7" t="str">
        <f>IF(X405="No","No",_xlfn.XLOOKUP(_xlfn.XLOOKUP(B405,'Base stats'!B:B,'Base stats'!E:E),Groups!A:A,Groups!Y:Y))</f>
        <v>No</v>
      </c>
      <c r="AC405" s="7" t="str">
        <f>_xlfn.XLOOKUP(Animals!B405,'Base stats'!B:B,'Base stats'!X:X)</f>
        <v>False</v>
      </c>
      <c r="AD405" s="13">
        <f>IF(_xlfn.XLOOKUP(B405,'Base stats'!B:B,'Base stats'!AT:AT)="No","No",MROUND((LOG10(_xlfn.XLOOKUP(B405,'Base stats'!B:B,'Base stats'!AT:AT))*(AO405^0.75)+(_xlfn.XLOOKUP(B405,'Base stats'!B:B,'Base stats'!AT:AT)/1000)^(2/3)+_xlfn.XLOOKUP(B405,'Base stats'!B:B,'Base stats'!AX:AX)+_xlfn.XLOOKUP(B405,'Base stats'!B:B,'Base stats'!BA:BA))+0.5,0.5))</f>
        <v>24.5</v>
      </c>
      <c r="AE405" s="7">
        <f>IF(AD405="No","No",MAX(_xlfn.XLOOKUP(_xlfn.XLOOKUP(B405,'Base stats'!B:B,'Base stats'!E:E),Groups!A:A,Groups!Z:Z),MROUND(_xlfn.XLOOKUP(_xlfn.XLOOKUP(B405,'Base stats'!B:B,'Base stats'!E:E),Groups!A:A,Groups!Z:Z)*_xlfn.XLOOKUP(B405,'Base stats'!B:B,'Base stats'!C:C)^0.165,0.05)))</f>
        <v>2.7</v>
      </c>
      <c r="AF405" s="7" t="str">
        <f>IF(AD405="No","No",_xlfn.XLOOKUP(_xlfn.XLOOKUP(B405,'Base stats'!B:B,'Base stats'!E:E),Groups!A:A,Groups!AA:AA))</f>
        <v>Teeth</v>
      </c>
      <c r="AG405" s="7" t="str">
        <f>IF(AD405="No","No",_xlfn.XLOOKUP(_xlfn.XLOOKUP(B405,'Base stats'!B:B,'Base stats'!E:E),Groups!A:A,Groups!AB:AB))</f>
        <v>Incisors</v>
      </c>
      <c r="AH405" s="7" t="str">
        <f>IF(AD405="No","No",_xlfn.XLOOKUP(_xlfn.XLOOKUP(B405,'Base stats'!B:B,'Base stats'!E:E),Groups!A:A,Groups!AC:AC))</f>
        <v>Bite</v>
      </c>
      <c r="AI405" s="13" t="str">
        <f>IF(_xlfn.XLOOKUP(_xlfn.XLOOKUP(B405,'Base stats'!B:B,'Base stats'!E:E),Groups!A:A,Groups!AD:AD)=0,"No",MROUND((LOG10(_xlfn.XLOOKUP(B405,'Base stats'!B:B,'Base stats'!AS:AS))*(AO405^0.75)+(_xlfn.XLOOKUP(B405,'Base stats'!B:B,'Base stats'!AS:AS)/1000)^(2/3)+_xlfn.XLOOKUP(B405,'Base stats'!B:B,'Base stats'!AY:AY)+_xlfn.XLOOKUP(B405,'Base stats'!B:B,'Base stats'!BA:BA))+0.5,0.5))</f>
        <v>No</v>
      </c>
      <c r="AJ405" s="7" t="str">
        <f>IF(AI405="No","No",MAX(_xlfn.XLOOKUP(_xlfn.XLOOKUP(B405,'Base stats'!B:B,'Base stats'!E:E),Groups!A:A,Groups!AE:AE),MROUND(_xlfn.XLOOKUP(_xlfn.XLOOKUP(B405,'Base stats'!B:B,'Base stats'!E:E),Groups!A:A,Groups!AE:AE)*IF(_xlfn.XLOOKUP(_xlfn.XLOOKUP(B405,'Base stats'!B:B,'Base stats'!E:E),Groups!A:A,Groups!AJ:AJ)="Photonozoa",0.6,1)*_xlfn.XLOOKUP(B405,'Base stats'!B:B,'Base stats'!C:C)^0.165,0.05)))</f>
        <v>No</v>
      </c>
      <c r="AK405" s="7" t="str">
        <f>IF(AI405="No","No",_xlfn.XLOOKUP(_xlfn.XLOOKUP(B405,'Base stats'!B:B,'Base stats'!E:E),Groups!A:A,Groups!AF:AF))</f>
        <v>No</v>
      </c>
      <c r="AL405" s="7" t="str">
        <f>IF(AI405="No","No",_xlfn.XLOOKUP(_xlfn.XLOOKUP(B405,'Base stats'!B:B,'Base stats'!E:E),Groups!A:A,Groups!AG:AG))</f>
        <v>No</v>
      </c>
      <c r="AM405" s="7" t="str">
        <f>IF(AI405="No","No",_xlfn.XLOOKUP(_xlfn.XLOOKUP(B405,'Base stats'!B:B,'Base stats'!E:E),Groups!A:A,Groups!AH:AH))</f>
        <v>No</v>
      </c>
      <c r="AN405" s="2" t="str">
        <f t="shared" si="49"/>
        <v>No</v>
      </c>
      <c r="AO405" s="2">
        <f>MROUND(IF(AND(_xlfn.XLOOKUP(B405,'Base stats'!B:B,'Base stats'!C:C)&gt;=0.5,_xlfn.XLOOKUP(B405,'Base stats'!B:B,'Base stats'!C:C)&lt;=0.8),
IF(_xlfn.XLOOKUP(B405,'Base stats'!B:B,'Base stats'!C:C)&lt;0.1,0.05,IF(_xlfn.XLOOKUP(B405,'Base stats'!B:B,'Base stats'!C:C)&lt;=70,(_xlfn.XLOOKUP(B405,'Base stats'!B:B,'Base stats'!C:C)/70)^0.426489913056526,IF(_xlfn.XLOOKUP(B405,'Base stats'!B:B,'Base stats'!C:C)&lt;=400,(_xlfn.XLOOKUP(B405,'Base stats'!B:B,'Base stats'!C:C)/70)^0.572811455315093,IF(_xlfn.XLOOKUP(B405,'Base stats'!B:B,'Base stats'!C:C)&lt;=2000,2.71391647193063*(_xlfn.XLOOKUP(B405,'Base stats'!B:B,'Base stats'!C:C)/400)^0.252459582904293,3.74314280240376*(_xlfn.XLOOKUP(B405,'Base stats'!B:B,'Base stats'!C:C)/2000)^0.357012633876913)))),
IF(_xlfn.XLOOKUP(B405,'Base stats'!B:B,'Base stats'!C:C)&lt;0.1,0.05,IF(_xlfn.XLOOKUP(B405,'Base stats'!B:B,'Base stats'!C:C)&lt;0.4,0.1,IF(_xlfn.XLOOKUP(B405,'Base stats'!B:B,'Base stats'!C:C)&lt;=70,(_xlfn.XLOOKUP(B405,'Base stats'!B:B,'Base stats'!C:C)/70)^0.445823913056526,IF(_xlfn.XLOOKUP(B405,'Base stats'!B:B,'Base stats'!C:C)&lt;=400,(_xlfn.XLOOKUP(B405,'Base stats'!B:B,'Base stats'!C:C)/70)^0.572811455315093,IF(_xlfn.XLOOKUP(B405,'Base stats'!B:B,'Base stats'!C:C)&lt;=2000,2.71391647193063*(_xlfn.XLOOKUP(B405,'Base stats'!B:B,'Base stats'!C:C)/400)^0.252459582904293,3.74314280240376*(_xlfn.XLOOKUP(B405,'Base stats'!B:B,'Base stats'!C:C)/2000)^0.357012633876913)))))),
IF(_xlfn.XLOOKUP(B405,'Base stats'!B:B,'Base stats'!C:C)&lt;0.1,0.05,IF(_xlfn.XLOOKUP(B405,'Base stats'!B:B,'Base stats'!C:C)&lt;=100,0.05,IF(_xlfn.XLOOKUP(B405,'Base stats'!B:B,'Base stats'!C:C)&lt;=250,0.1,IF(_xlfn.XLOOKUP(B405,'Base stats'!B:B,'Base stats'!C:C)&lt;=4000,0.25,0.5)))))</f>
        <v>3</v>
      </c>
      <c r="AP405" s="8">
        <f>MROUND(AO405*_xlfn.XLOOKUP(_xlfn.XLOOKUP(B405,'Base stats'!B:B,'Base stats'!E:E),Groups!A:A,Groups!AI:AI)*_xlfn.XLOOKUP(B405,'Base stats'!B:B,'Base stats'!Z:Z),0.05)</f>
        <v>3</v>
      </c>
      <c r="AQ405" s="8">
        <f>MAX(0.01,MROUND(IF(CC405="True",0.196*(AO405*100*1000)^0.889,IF(_xlfn.XLOOKUP(_xlfn.XLOOKUP(B405,'Base stats'!B:B,'Base stats'!E:E),Groups!A:A,Groups!AJ:AJ)="Bird",10.5*(AO405*100*1000)^0.681,4.82*(AO405*100*1000)^0.734))/(4.82*(1*100*1000)^0.734)/IF(AO405&lt;3.5,2,IF(AO405=3.5,1.5,1.25))*(1+0.132282374779864/(AO405^0.994035016789033+0.00905238001496948)),0.05))</f>
        <v>1.1500000000000001</v>
      </c>
      <c r="AR405" s="9">
        <f>IFERROR(MROUND(_xlfn.XLOOKUP(B405,'Base stats'!B:B,'Base stats'!H:H)/IF(_xlfn.XLOOKUP(B405,'Base stats'!B:B,'Base stats'!I:I)&lt;&gt;1,(122.5/70),1.2),IF(_xlfn.XLOOKUP(B405,'Base stats'!B:B,'Base stats'!H:H)&gt;=30,5,IF(_xlfn.XLOOKUP(B405,'Base stats'!B:B,'Base stats'!H:H)&gt;=15,3,IF(_xlfn.XLOOKUP(B405,'Base stats'!B:B,'Base stats'!H:H)&gt;=10,2,1)))),"Immortal")</f>
        <v>15</v>
      </c>
      <c r="AS405" s="35">
        <f>IFERROR(IF(OR(_xlfn.XLOOKUP(B405,'Base stats'!B:B,'Base stats'!F:F)="Atypical reproduction",_xlfn.XLOOKUP(B405,'Base stats'!B:B,'Base stats'!F:F)="Lay eggs"),"Lay eggs",MIN(20,MAX(5.5,ROUND(((_xlfn.XLOOKUP(B405,'Base stats'!B:B,'Base stats'!F:F)-25)*(14.5/615) + 5.5)*2,0)/2))),"Unknown")</f>
        <v>11</v>
      </c>
      <c r="AT405" s="8">
        <f>IF(_xlfn.XLOOKUP(B405,'Base stats'!B:B,'Base stats'!G:G)="Atypical reproduction","No",IFERROR(MAX(IF(_xlfn.XLOOKUP(B405,'Base stats'!B:B,'Base stats'!G:G)&lt;0.5,0.2,0.3),MROUND(_xlfn.XLOOKUP(B405,'Base stats'!B:B,'Base stats'!G:G)/(365/60),0.2)),"Unknown"))</f>
        <v>0.4</v>
      </c>
      <c r="AU405" s="8">
        <f t="shared" si="50"/>
        <v>0.2</v>
      </c>
      <c r="AV405" s="8">
        <f>IFERROR(IFERROR(MROUND(_xlfn.XLOOKUP(B405,'Base stats'!B:B,'Base stats'!J:J),0.1),"Lay eggs"),"Cannot breed")</f>
        <v>5</v>
      </c>
      <c r="AW405" s="2" t="str">
        <f t="shared" si="51"/>
        <v>true</v>
      </c>
      <c r="AX405" s="2" t="str">
        <f>IF(_xlfn.XLOOKUP(_xlfn.XLOOKUP(Animals!B405,'Base stats'!B:B,'Base stats'!E:E),Groups!A:A,Groups!AK:AK)=1,"true","false")</f>
        <v>false</v>
      </c>
      <c r="AY405" s="25" t="str">
        <f>IF(_xlfn.XLOOKUP(B405,'Base stats'!B:B,'Base stats'!Y:Y)="Liquor","Liquor, CarnivoreAnimalStrict",IF(AND(_xlfn.XLOOKUP(B405,'Base stats'!B:B,'Base stats'!Y:Y)="Carnivore",_xlfn.XLOOKUP(_xlfn.XLOOKUP(B405,'Base stats'!B:B,'Base stats'!E:E),Groups!A:A,Groups!AJ:AJ)="Photonozoa"),"CarnivoreAnimalStrict, OvivoreAnimal",IF(_xlfn.XLOOKUP(B405,'Base stats'!B:B,'Base stats'!Y:Y)="Carnivore","CarnivoreAnimal, OvivoreAnimal",IF(_xlfn.XLOOKUP(B405,'Base stats'!B:B,'Base stats'!Y:Y)="Dendrovore","VegetarianRoughAnimal, DendrovoreAnimal",IF(_xlfn.XLOOKUP(B405,'Base stats'!B:B,'Base stats'!Y:Y)="Herbivore","VegetarianRoughAnimal",IF(_xlfn.XLOOKUP(B405,'Base stats'!B:B,'Base stats'!Y:Y)="OmnivoreRough","OmnivoreRoughAnimal, OvivoreAnimal","OmnivoreAnimal, OvivoreAnimal"))))))</f>
        <v>VegetarianRoughAnimal</v>
      </c>
      <c r="AZ405" s="2" t="str">
        <f>IF(_xlfn.XLOOKUP(_xlfn.XLOOKUP(B405,'Base stats'!B:B,'Base stats'!E:E),Groups!A:A,Groups!D:D)=1,MROUND((1-J405)*5+1,2)*IF(J405&lt;=0.4,2,1),"No")</f>
        <v>No</v>
      </c>
      <c r="BA405" s="2" t="str">
        <f>IF(AND(_xlfn.XLOOKUP(B405,'Base stats'!B:B,'Base stats'!AH:AH)="&lt;li&gt;Seal&lt;/li&gt;",G405="Odyssey"),"&lt;li&gt;AEXP_Seal&lt;/li&gt;",_xlfn.XLOOKUP(B405,'Base stats'!B:B,'Base stats'!AH:AH))</f>
        <v>&lt;li&gt;Capybara&lt;/li&gt;</v>
      </c>
      <c r="BB405" s="2" t="str">
        <f>_xlfn.XLOOKUP(B405,'Base stats'!B:B,'Base stats'!AG:AG)</f>
        <v>Leather_Plain</v>
      </c>
      <c r="BC405" s="23" t="str">
        <f>_xlfn.XLOOKUP(_xlfn.XLOOKUP(B405,'Base stats'!B:B,'Base stats'!E:E),Groups!A:A,Groups!AL:AL)</f>
        <v>QuadrupedAnimalWithPaws</v>
      </c>
      <c r="BD405" s="23">
        <f>MIN(1,MROUND(IF(AND(AO405&lt;0.5,_xlfn.XLOOKUP(B405,'Base stats'!B:B,'Base stats'!AA:AA)=0),0,IF(OR(_xlfn.XLOOKUP(Animals!B405,'Base stats'!B:B,'Base stats'!O:O)=2,_xlfn.XLOOKUP(_xlfn.XLOOKUP(B405,'Base stats'!B:B,'Base stats'!E:E),Groups!A:A,Groups!AN:AN)=0),0,_xlfn.XLOOKUP(_xlfn.XLOOKUP(B405,'Base stats'!B:B,'Base stats'!E:E),Groups!A:A,Groups!AN:AN)/IF(_xlfn.XLOOKUP(Animals!B405,'Base stats'!B:B,'Base stats'!O:O)=1,2,1)))+_xlfn.XLOOKUP(B405,'Base stats'!B:B,'Base stats'!AC:AC),0.005))</f>
        <v>0</v>
      </c>
      <c r="BE405" s="23">
        <f>MIN(1,MROUND(IF(AND(AO405&lt;0.5,_xlfn.XLOOKUP(B405,'Base stats'!B:B,'Base stats'!AA:AA)=0),0,IF(_xlfn.XLOOKUP(_xlfn.XLOOKUP(B405,'Base stats'!B:B,'Base stats'!E:E),Groups!A:A,Groups!AO:AO)=0,0,_xlfn.XLOOKUP(_xlfn.XLOOKUP(B405,'Base stats'!B:B,'Base stats'!E:E),Groups!A:A,Groups!AO:AO)/IF(_xlfn.XLOOKUP(Animals!B405,'Base stats'!B:B,'Base stats'!O:O)=2,3,1)))+_xlfn.XLOOKUP(B405,'Base stats'!B:B,'Base stats'!AD:AD),0.005))</f>
        <v>0</v>
      </c>
      <c r="BF405" s="2" t="str">
        <f>IF(J405&gt;0.3,"No",_xlfn.XLOOKUP(_xlfn.XLOOKUP(Animals!B405,'Base stats'!B:B,'Base stats'!E:E),Groups!A:A,Groups!AP:AP))</f>
        <v>No</v>
      </c>
      <c r="BG405" s="2" t="str">
        <f>IF(AND(J405&lt;=0.65,_xlfn.XLOOKUP(_xlfn.XLOOKUP(Animals!B405,'Base stats'!B:B,'Base stats'!E:E),Groups!A:A,Groups!AP:AP)&lt;&gt;"No",_xlfn.XLOOKUP(_xlfn.XLOOKUP(B405,'Base stats'!B:B,'Base stats'!E:E),Groups!A:A,Groups!D:D)=0),MROUND((80/3)*IF(_xlfn.XLOOKUP(B405,'Base stats'!B:B,'Base stats'!O:O)=2,0.2,AO405) + 24*(1-IF(BF405="No",0,BF405)) + 16/3, 12),"No")</f>
        <v>No</v>
      </c>
      <c r="BH405" s="2">
        <f>IF(AND(_xlfn.XLOOKUP(_xlfn.XLOOKUP(B405,'Base stats'!B:B,'Base stats'!E:E),Groups!A:A,Groups!AQ:AQ)=1,AO405&lt;=0.35),8,12)</f>
        <v>12</v>
      </c>
      <c r="BI405" s="2" t="str">
        <f>IF(_xlfn.XLOOKUP(_xlfn.XLOOKUP(B405,'Base stats'!B:B,'Base stats'!E:E),Groups!A:A,Groups!D:D)=0,_xlfn.XLOOKUP(_xlfn.XLOOKUP(B405,'Base stats'!B:B,'Base stats'!E:E),Groups!A:A,Groups!AR:AR),"None")</f>
        <v>None</v>
      </c>
      <c r="BJ405" s="2" t="str">
        <f>IF(AND(_xlfn.XLOOKUP(_xlfn.XLOOKUP(B405,'Base stats'!B:B,'Base stats'!E:E),Groups!A:A,Groups!AS:AS)=1,OR(_xlfn.XLOOKUP(B405,'Base stats'!B:B,'Base stats'!Y:Y)="Carnivore",_xlfn.XLOOKUP(B405,'Base stats'!B:B,'Base stats'!Y:Y)="Omnivore")),"true","false")</f>
        <v>false</v>
      </c>
      <c r="BK405" s="2" t="str">
        <f>IF(BJ405="true",MROUND(IF(AND(AO405&gt;0.5,OR(_xlfn.XLOOKUP(_xlfn.XLOOKUP(B405,'Base stats'!B:B,'Base stats'!E:E),Groups!A:A,Groups!AJ:AJ)="Photonozoa",_xlfn.XLOOKUP(_xlfn.XLOOKUP(B405,'Base stats'!B:B,'Base stats'!E:E),Groups!A:A,Groups!AJ:AJ)="Mammal")),Animals!AO405*1.75*IF(AW405="true",1.5,1),IF(AO405&lt;0.5,Animals!AO405*0.5,Animals!AO405)),IF(AO405&gt;2,0.5,IF(AO405&gt;0.5,0.25,0.1))),"No")</f>
        <v>No</v>
      </c>
      <c r="BL405" s="2">
        <f t="shared" si="52"/>
        <v>0</v>
      </c>
      <c r="BM405" s="25" t="str">
        <f>IF(_xlfn.XLOOKUP(B405,'Base stats'!B:B,'Base stats'!AN:AN)="Standard","No",MROUND((_xlfn.XLOOKUP(B405,'Base stats'!B:B,'Base stats'!AN:AN)/3.6)/I405,0.1))</f>
        <v>No</v>
      </c>
      <c r="BN405" s="25" t="str">
        <f t="shared" si="53"/>
        <v>true</v>
      </c>
      <c r="BO405" s="25" t="str">
        <f>IF(AND(OR(_xlfn.XLOOKUP(B405,'Base stats'!B:B,'Base stats'!Y:Y)="Carnivore",_xlfn.XLOOKUP(B405,'Base stats'!B:B,'Base stats'!Y:Y)="Omnivore",_xlfn.XLOOKUP(B405,'Base stats'!B:B,'Base stats'!Y:Y)="OmnivoreRough"),_xlfn.XLOOKUP(_xlfn.XLOOKUP(B405,'Base stats'!B:B,'Base stats'!E:E),Groups!A:A,Groups!AT:AT)=1),"true","false")</f>
        <v>false</v>
      </c>
      <c r="BP405" s="25" t="str" cm="1">
        <f t="array" ref="BP405">IF(
  _xlfn.TEXTJOIN(", ",TRUE,
    IF(AND(BJ405="true",AO405&gt;0.5,BI405&lt;&gt;"None"),"AttackTarget",""),
    IF(AND(_xlfn.XLOOKUP(_xlfn.XLOOKUP(B405,'Base stats'!B:B,'Base stats'!E:E),Groups!A:A,Groups!AJ:AJ="Mammal"),OR(_xlfn.XLOOKUP(B405,'Base stats'!B:B,'Base stats'!Y:Y)="Omnivore",_xlfn.XLOOKUP(B405,'Base stats'!B:B,'Base stats'!Y:Y)="OmnivoreRough")),"Forage",""),
    IF(BG405&lt;=36,"Comfort",""),
    IF(_xlfn.XLOOKUP(B405,'Base stats'!B:B,'Base stats'!AE:AE)&lt;&gt;"No",_xlfn.XLOOKUP(B405,'Base stats'!B:B,'Base stats'!AE:AE),"")
  ) = "",
  "No",
  _xlfn.TEXTJOIN(", ",TRUE,
    IF(AND(BJ405="true",AO405&gt;0.5,BI405&lt;&gt;"None"),"AttackTarget",""),
    IF(AND(_xlfn.XLOOKUP(_xlfn.XLOOKUP(B405,'Base stats'!B:B,'Base stats'!E:E),Groups!A:A,Groups!AJ:AJ="Mammal"),OR(_xlfn.XLOOKUP(B405,'Base stats'!B:B,'Base stats'!Y:Y)="Omnivore",_xlfn.XLOOKUP(B405,'Base stats'!B:B,'Base stats'!Y:Y)="OmnivoreRough")),"Forage",""),
    IF(BG405&lt;=36,"Comfort",""),
    IF(_xlfn.XLOOKUP(B405,'Base stats'!B:B,'Base stats'!AE:AE)&lt;&gt;"No",_xlfn.XLOOKUP(B405,'Base stats'!B:B,'Base stats'!AE:AE),"")
  )
)</f>
        <v>No</v>
      </c>
      <c r="BQ405" s="25">
        <f>IF(
   AND(
      'Base stats'!AN405="Standard",_xlfn.XLOOKUP(_xlfn.XLOOKUP(B405,'Base stats'!B:B,'Base stats'!E:E),Groups!A:A,Groups!AU:AU)=0,
      OR(
      BO405="True"
      )
   ),
   10,
   IF(
       OR(BM405&lt;&gt;"No",_xlfn.XLOOKUP(_xlfn.XLOOKUP(B405,'Base stats'!B:B,'Base stats'!E:E),Groups!A:A,Groups!AU:AU)=1),
      1,
      "No"
   )
)</f>
        <v>1</v>
      </c>
      <c r="BR405" s="9">
        <f>MROUND((1 + ((0.2*IF(OR(Q405="No",R405="No",R405=0),0,Q405/R405)
+IF(OR(V405="No",S405="No",T405="No"),0,S405/T405*(LEN(V405)-LEN(SUBSTITUTE(V405,",",""))+1))
+IF(OR(X405="No",Y405="No"),0,X405/Y405)
+IF(OR(AD405="No",AE405="No"),0,AD405/AE405)
+IF(OR(AL405="No",AI405="No",AJ405="No"),0,AI405/AJ405*(LEN(AL405)-LEN(SUBSTITUTE(AL405,",",""))+1))
)/(0.2*IF(OR(Q405="No",R405="No",R405=0),0,1)
+IF(OR(V405="No",S405="No",T405="No"),0,LEN(V405)-LEN(SUBSTITUTE(V405,",",""))+1)
+IF(OR(X405="No",Y405="No"),0,1)
+IF(OR(AD405="No",AE405="No"),0,1)
+IF(OR(AL405="No",AI405="No",AJ405="No"),0,LEN(AL405)-LEN(SUBSTITUTE(AL405,",",""))+1))*62%)* 2)*(1 + (AP405 / (IF(_xlfn.XLOOKUP(_xlfn.XLOOKUP(B405,'Base stats'!B:B,'Base stats'!E:E),Groups!A:A,Groups!AJ:AJ)="Photonozoa",0.3,1)) + _xlfn.XLOOKUP(B405,'Base stats'!B:B,'Base stats'!AV:AV) * 1.8) * 2) * 2.5 + 10 + I405 * 2,5)+IF(_xlfn.XLOOKUP(B405,'Base stats'!B:B,'Base stats'!AK:AK)=1,50,0)</f>
        <v>225</v>
      </c>
      <c r="BS405" s="8">
        <f t="shared" si="54"/>
        <v>1.5</v>
      </c>
      <c r="BT405" s="8" t="str">
        <f>_xlfn.XLOOKUP(B405,'Base stats'!B:B,'Base stats'!AF:AF)</f>
        <v>2~6</v>
      </c>
      <c r="BU405" s="2" t="str">
        <f>IF(AND(J405&lt;=0.95,OR(_xlfn.XLOOKUP(B405,'Base stats'!B:B,'Base stats'!AK:AK)=1,_xlfn.XLOOKUP(B405,'Base stats'!B:B,'Base stats'!Y:Y)="Carnivore",_xlfn.XLOOKUP(B405,'Base stats'!B:B,'Base stats'!Y:Y)="Omnivore",BE405&gt;0.1)),"true","false")</f>
        <v>false</v>
      </c>
      <c r="BV405" s="2" t="str">
        <f>IF(_xlfn.XLOOKUP(B405,'Base stats'!B:B,'Base stats'!AI:AI)=1,"true","false")</f>
        <v>false</v>
      </c>
      <c r="BW405" s="25" t="str">
        <f>IF(E405="BaseInsect","AnimalInsect",
IF(J405&gt;0.95,"AnimalExotic",
_xlfn.TEXTJOIN(", ",TRUE,
IF(OR(_xlfn.XLOOKUP(B405,'Base stats'!B:B,'Base stats'!AM:AM)=1,AND(_xlfn.XLOOKUP(B405,'Base stats'!B:B,'Base stats'!O:O)=0,_xlfn.XLOOKUP(_xlfn.XLOOKUP(B405,'Base stats'!B:B,'Base stats'!E:E),Groups!A:A,Groups!B:B)&gt;0)),"AnimalUncommon","AnimalCommon"),
IF(AND(_xlfn.XLOOKUP(B405,'Base stats'!B:B,'Base stats'!O:O)=2,_xlfn.XLOOKUP(_xlfn.XLOOKUP(B405,'Base stats'!B:B,'Base stats'!E:E),Groups!A:A,Groups!D:D)=0),"AnimalPet",IF(AND(_xlfn.XLOOKUP(B405,'Base stats'!B:B,'Base stats'!O:O)&lt;&gt;0,_xlfn.XLOOKUP(_xlfn.XLOOKUP(B405,'Base stats'!B:B,'Base stats'!E:E),Groups!A:A,Groups!D:D)&lt;&gt;0),"AnimalFarm","")),
IF(OR(_xlfn.XLOOKUP(B405,'Base stats'!B:B,'Base stats'!AK:AK)=1,AND(BI405&lt;&gt;"None",BR405&gt;=60),ISNUMBER(SEARCH("Attack target",BP405))),"AnimalFighter","")
)))</f>
        <v>AnimalUncommon</v>
      </c>
      <c r="BX405" s="25" t="str">
        <f>IF(G405="None",TRIM(
SUBSTITUTE(
IF(COUNTIF(Biomes!B$2:B$259,"="&amp;$C405)&gt;0,Biomes!B$1&amp;", ","")&amp;
IF(COUNTIF(Biomes!C$2:C$259,"="&amp;$C405)&gt;0,Biomes!C$1&amp;", ","")&amp;
IF(COUNTIF(Biomes!D$2:D$259,"="&amp;$C405)&gt;0,Biomes!D$1&amp;", ","")&amp;
IF(COUNTIF(Biomes!F$2:F$259,"="&amp;$C405)&gt;0,Biomes!F$1&amp;", ","")&amp;
IF(COUNTIF(Biomes!G$2:G$259,"="&amp;$C405)&gt;0,Biomes!G$1&amp;", ","")&amp;
IF(COUNTIF(Biomes!H$2:H$259,"="&amp;$C405)&gt;0,Biomes!H$1&amp;", ","")&amp;
IF(COUNTIF(Biomes!I$2:I$259,"="&amp;$C405)&gt;0,Biomes!I$1&amp;", ","")&amp;
IF(COUNTIF(Biomes!J$2:J$259,"="&amp;$C405)&gt;0,Biomes!J$1&amp;", ","")&amp;
IF(COUNTIF(Biomes!M$2:M$259,"="&amp;$C405)&gt;0,Biomes!M$1&amp;", ","")&amp;
IF(COUNTIF(Biomes!N$2:N$259,"="&amp;$C405)&gt;0,Biomes!N$1&amp;", ","")&amp;
IF(COUNTIF(Biomes!O$2:O$259,"="&amp;$C405)&gt;0,Biomes!O$1&amp;", ","")&amp;
IF(COUNTIF(Biomes!P$2:P$259,"="&amp;$C405)&gt;0,Biomes!P$1&amp;", ","")&amp;
IF(COUNTIF(Biomes!K$2:K$259,"="&amp;$C405)&gt;0,Biomes!K$1&amp;", ","")&amp;
IF(COUNTIF(Biomes!Q$3:Q$259,"="&amp;$C405)&gt;0,Biomes!Q$1&amp;", ","")&amp;
IF(COUNTIF(Biomes!L$2:L$259,"="&amp;$C405)&gt;0,Biomes!L$1&amp;", ","")&amp;
IF(COUNTIF(Biomes!E$2:E$259,"="&amp;$C405)&gt;0,Biomes!E$1&amp;", ","")&amp;IF(COUNTIF(Biomes!S$2:S$259,"="&amp;$C405)&gt;0,Biomes!S$1&amp;", ","")&amp;
IF(COUNTIF(Biomes!R$2:R$259,"="&amp;$C405)&gt;0,Biomes!R$1&amp;", ",""),", ","")
),_xlfn.XLOOKUP(B405,B:B,BX:BX))</f>
        <v/>
      </c>
      <c r="BY405" s="25" t="str">
        <f>IF(_xlfn.XLOOKUP(B405,'Base stats'!B:B,'Base stats'!AJ:AJ)=1,"true","false")</f>
        <v>false</v>
      </c>
      <c r="BZ405" s="25">
        <f>IF(_xlfn.XLOOKUP(B405,'Base stats'!B:B,'Base stats'!N:N)=1,"No",MAX(0.001,MIN(MROUND(IF(AND(BJ405="True",CC405="False"),POWER(10,3.47*LOG10(_xlfn.XLOOKUP(B405,'Base stats'!B:B,'Base stats'!C:C)*1000)^-0.96),POWER(10,4.15*LOG10(_xlfn.XLOOKUP(B405,'Base stats'!B:B,'Base stats'!C:C)*1000)^-0.73))*IF(_xlfn.XLOOKUP(B405,'Base stats'!B:B,'Base stats'!AK:AK)=1,0.5,1)*IF(_xlfn.XLOOKUP(B405,'Base stats'!B:B,'Base stats'!AM:AM)=1,0.1,1)/100,IF(_xlfn.XLOOKUP(B405,'Base stats'!B:B,'Base stats'!AM:AM)=1,0.001,0.025)),0.5)))</f>
        <v>0.15000000000000002</v>
      </c>
      <c r="CA405" s="25" t="str">
        <f>IF(P405="Standard","No",MAX(0.001,MIN(MROUND(IF(AND(BJ405="True",CC405="False"),POWER(10,3.47*LOG10(_xlfn.XLOOKUP(B405,'Base stats'!B:B,'Base stats'!C:C)*1000)^-0.96),POWER(10,4.15*LOG10(_xlfn.XLOOKUP(B405,'Base stats'!B:B,'Base stats'!C:C)*1000)^-0.73))*IF(_xlfn.XLOOKUP(B405,'Base stats'!B:B,'Base stats'!AM:AM)=1,0.1,1)*_xlfn.XLOOKUP(B405,'Base stats'!B:B,'Base stats'!R:R)/100,IF(_xlfn.XLOOKUP(B405,'Base stats'!B:B,'Base stats'!AM:AM)=1,0.001,0.025)),0.5)))</f>
        <v>No</v>
      </c>
      <c r="CB405" s="25" t="str">
        <f>IF(_xlfn.XLOOKUP(_xlfn.XLOOKUP(B405,'Base stats'!B:B,'Base stats'!E:E),Groups!A:A,Groups!AJ:AJ)="Mammal","True","False")</f>
        <v>True</v>
      </c>
      <c r="CC405" s="25" t="str">
        <f>IF(OR(_xlfn.XLOOKUP(_xlfn.XLOOKUP(B405,'Base stats'!B:B,'Base stats'!E:E),Groups!A:A,Groups!AJ:AJ)="Reptile",_xlfn.XLOOKUP(_xlfn.XLOOKUP(B405,'Base stats'!B:B,'Base stats'!E:E),Groups!A:A,Groups!AJ:AJ)="Amphibian",_xlfn.XLOOKUP(_xlfn.XLOOKUP(B405,'Base stats'!B:B,'Base stats'!E:E),Groups!A:A,Groups!AJ:AJ)="Invertebrate"),"True","False")</f>
        <v>False</v>
      </c>
      <c r="CD405" s="25" t="str">
        <f t="shared" si="55"/>
        <v>False</v>
      </c>
      <c r="CE405" s="25" t="str">
        <f>IF(_xlfn.XLOOKUP(_xlfn.XLOOKUP(B405,'Base stats'!B:B,'Base stats'!E:E),Groups!A:A,Groups!AX:AX),"True","False")</f>
        <v>False</v>
      </c>
      <c r="CF405" s="25" t="str">
        <f>IF(_xlfn.XLOOKUP(_xlfn.XLOOKUP(B405,'Base stats'!B:B,'Base stats'!E:E),Groups!A:A,Groups!AY:AY),"True","False")</f>
        <v>False</v>
      </c>
      <c r="CG405" s="25" t="str">
        <f>IF(_xlfn.XLOOKUP(_xlfn.XLOOKUP(B405,'Base stats'!B:B,'Base stats'!E:E),Groups!A:A,Groups!AW:AW),"True","False")</f>
        <v>False</v>
      </c>
      <c r="CH405" s="25" t="str">
        <f>IF(
OR(
_xlfn.XLOOKUP(_xlfn.XLOOKUP(B405,'Base stats'!B:B,'Base stats'!E:E),Groups!A:A,Groups!AZ:AZ)=0,
AND(
_xlfn.XLOOKUP(B405,'Base stats'!B:B,'Base stats'!Y:Y)&lt;&gt;"Carnivore",
_xlfn.XLOOKUP(B405,'Base stats'!B:B,'Base stats'!Y:Y)&lt;&gt;"Omnivore",
_xlfn.XLOOKUP(B405,'Base stats'!B:B,'Base stats'!Y:Y)&lt;&gt;"OmnivoreRough"
)
),
"No",
IF(
_xlfn.XLOOKUP(_xlfn.XLOOKUP(B405,'Base stats'!B:B,'Base stats'!E:E),Groups!A:A,Groups!AZ:AZ)=1,
"Flesh",
IF(
_xlfn.XLOOKUP(_xlfn.XLOOKUP(B405,'Base stats'!B:B,'Base stats'!E:E),Groups!A:A,Groups!AZ:AZ)=2,
"Bone",
""
)
)
)</f>
        <v>No</v>
      </c>
      <c r="CI405" s="25" t="str">
        <f>IF(_xlfn.XLOOKUP(_xlfn.XLOOKUP(B405,'Base stats'!B:B,'Base stats'!E:E),Groups!A:A,Groups!BB:BB),"True","False")</f>
        <v>True</v>
      </c>
      <c r="CJ405" s="25" t="str">
        <f>IF(_xlfn.XLOOKUP(_xlfn.XLOOKUP(B405,'Base stats'!B:B,'Base stats'!E:E),Groups!A:A,Groups!BA:BA),"True","False")</f>
        <v>False</v>
      </c>
    </row>
    <row r="406" spans="1:88" ht="16.5" thickTop="1" thickBot="1" x14ac:dyDescent="0.3">
      <c r="A406" s="26" t="s">
        <v>2095</v>
      </c>
      <c r="B406" s="6" t="str">
        <f>_xlfn.XLOOKUP(A406,'Base stats'!A:A,'Base stats'!B:B)</f>
        <v>Gigantophis garstini</v>
      </c>
      <c r="C406" s="28" t="str">
        <f t="shared" si="56"/>
        <v>&lt;li&gt;Gigantophis&lt;/li&gt;</v>
      </c>
      <c r="D406" s="28" t="s">
        <v>2126</v>
      </c>
      <c r="E406" s="28" t="s">
        <v>673</v>
      </c>
      <c r="F406" s="28" t="s">
        <v>673</v>
      </c>
      <c r="G406" s="28" t="s">
        <v>673</v>
      </c>
      <c r="H406" s="2">
        <f>MROUND((
  (IF(AND(_xlfn.XLOOKUP(B406,'Base stats'!B:B,'Base stats'!AL:AL)=0,BI406="None",_xlfn.XLOOKUP(_xlfn.XLOOKUP(B406,'Base stats'!B:B,'Base stats'!E:E),Groups!A:A,Groups!B:B)=0), (18 + BR406 * 2.7) * 0.5,
    IF(AND(_xlfn.XLOOKUP(B406,'Base stats'!B:B,'Base stats'!AL:AL)=0,OR(AO406&lt;0.55,AND(BI406="Intermediate",_xlfn.XLOOKUP(_xlfn.XLOOKUP(B406,'Base stats'!B:B,'Base stats'!E:E),Groups!A:A,Groups!B:B)&lt;2))), (18 + BR406 * 2.7),
      IF(OR(BI406="Advanced",_xlfn.XLOOKUP(B406,'Base stats'!B:B,'Base stats'!AL:AL)=1,_xlfn.XLOOKUP(_xlfn.XLOOKUP(B406,'Base stats'!B:B,'Base stats'!E:E),Groups!A:A,Groups!B:B)=2), (18 + BR406 * 2.7) + 250, (18 + BR406 * 2.7))
    )
  ))
  + AO406 * 80
  + IF(COUNTIF(EggMilk!K$2:K$998, A406) &gt; 0, 125, 0)
  + IF(COUNTIF(EggMilk!P$2:P$998, A406) &gt; 0, 90, 0)
  + IF(COUNTIF(EggMilk!A$2:A$998, A406) &gt; 0, 90, 0)
)
* (0.8 + 0.4 * J406)
* 0.75,25)</f>
        <v>925</v>
      </c>
      <c r="I406" s="2">
        <f>MROUND(ROUNDDOWN(_xlfn.XLOOKUP(B406,'Base stats'!B:B,'Base stats'!L:L)/3.6/(23.3/11),1),0.5)</f>
        <v>1.5</v>
      </c>
      <c r="J406" s="2">
        <f>IF(OR(_xlfn.XLOOKUP(B406,'Base stats'!B:B,'Base stats'!AB:AB)=1,_xlfn.XLOOKUP(_xlfn.XLOOKUP(B406,'Base stats'!B:B,'Base stats'!E:E),Groups!A:A,Groups!C:C)="Untamable"),1,IF(_xlfn.XLOOKUP(B406,'Base stats'!B:B,'Base stats'!AL:AL)=1,0.99,MIN(MROUND((1-0.6282*EXP(-0.459*AO406))*_xlfn.XLOOKUP(_xlfn.XLOOKUP(B406,'Base stats'!B:B,'Base stats'!E:E),Groups!A:A,Groups!C:C)*IF(_xlfn.XLOOKUP(B406,'Base stats'!B:B,'Base stats'!O:O)=1,0.5,IF(_xlfn.XLOOKUP(B406,'Base stats'!B:B,'Base stats'!O:O)=2,0,1)),0.05),IF(AO406&gt;3.5,0.985,0.95))))</f>
        <v>0.95</v>
      </c>
      <c r="K406" s="2">
        <f>ROUNDUP(AO406*_xlfn.XLOOKUP(_xlfn.XLOOKUP(B406,'Base stats'!B:B,'Base stats'!E:E),Groups!A:A,Groups!E:E),0)</f>
        <v>3</v>
      </c>
      <c r="L406" s="2">
        <f>IF(OR(_xlfn.XLOOKUP(_xlfn.XLOOKUP(B406,'Base stats'!B:B,'Base stats'!E:E),Groups!A:A,Groups!F:F)=2,ISNUMBER(SEARCH("SeaIce",BX406)),ISNUMBER(SEARCH("IceSheet",BX406))),-50,IF(OR(ISNUMBER(SEARCH("GlacialPlain",BX406)),ISNUMBER(SEARCH("Tundra",BX406))),-40,IF(OR(ISNUMBER(SEARCH("Alpine",BX406)),ISNUMBER(SEARCH("BorealForest",BX406)),ISNUMBER(SEARCH("ColdBog",BX406))),-30,IF(OR(ISNUMBER(SEARCH("TemperateForest",BX406)),ISNUMBER(SEARCH("TemperateSwamp",BX406))),-20,IF(_xlfn.XLOOKUP(_xlfn.XLOOKUP(B406,'Base stats'!B:B,'Base stats'!E:E),Groups!A:A,Groups!F:F)=1,-15,IF(OR(ISNUMBER(SEARCH("Desert",BX406)),ISNUMBER(SEARCH("ExtremeDesert",BX406))),-10,IF(OR(ISNUMBER(SEARCH("Grasslands",BX406)),ISNUMBER(SEARCH("TropicalRainforest",BX406)),ISNUMBER(SEARCH("TropicalSwamp",BX406))),10,0)))))))-IF(CC406="False",MIN(IFERROR(MAX(MROUND(LOG10(_xlfn.XLOOKUP(B406,'Base stats'!B:B,'Base stats'!C:C)^(2/3))*10,5),5),5),30))-_xlfn.XLOOKUP(B406,'Base stats'!B:B,'Base stats'!P:P)+IF(CC406="True",5,0)</f>
        <v>5</v>
      </c>
      <c r="M406" s="2">
        <f>IF(OR(_xlfn.XLOOKUP(_xlfn.XLOOKUP(B406,'Base stats'!B:B,'Base stats'!E:E),Groups!A:A,Groups!G:G)=2,ISNUMBER(SEARCH("Desert",BX406)),ISNUMBER(SEARCH("ExtremeDesert",BX406)),ISNUMBER(SEARCH("LavaField",BX406))),50,IF(ISNUMBER(SEARCH("Grasslands",BX406)),45,IF(OR(_xlfn.XLOOKUP(_xlfn.XLOOKUP(B406,'Base stats'!B:B,'Base stats'!E:E),Groups!A:A,Groups!G:G)=1,ISNUMBER(SEARCH("TropicalRainforest",BX406)),ISNUMBER(SEARCH("TropicalSwamp",BX406))),40,IF(OR(ISNUMBER(SEARCH("TemperateForest",BX406)),ISNUMBER(SEARCH("TemperateSwamp",BX406))),35,IF(OR(ISNUMBER(SEARCH("Alpine",BX406)),ISNUMBER(SEARCH("BorealForest",BX406)),ISNUMBER(SEARCH("ColdBog",BX406))),30,IF(ISNUMBER(OR(ISNUMBER(SEARCH("GlacialPlain",BX406)),SEARCH("Tundra",BX406))),25,IF(OR(ISNUMBER(SEARCH("SeaIce",BX406)),ISNUMBER(SEARCH("IceSheet",BX406)),ISNUMBER(SEARCH("TropicalSwamp",BX406))),10,35)))))))+_xlfn.XLOOKUP(B406,'Base stats'!B:B,'Base stats'!Q:Q)</f>
        <v>35</v>
      </c>
      <c r="N406" s="8" t="str">
        <f>IF(
_xlfn.XLOOKUP(
_xlfn.XLOOKUP(B406,'Base stats'!B:B,'Base stats'!E:E),
Groups!A:A,
Groups!L:L
)=1,
MIN(
MROUND(
IF(
_xlfn.XLOOKUP(B406,'Animals CE'!B:B,'Animals CE'!Z:Z)&lt;=1.5,
_xlfn.XLOOKUP(B406,'Animals CE'!B:B,'Animals CE'!Z:Z)/2+0.05,
0.8+
(_xlfn.XLOOKUP(B406,'Animals CE'!B:B,'Animals CE'!Z:Z)-1.5)
*0.02
),
0.05
),
200%
),
"No"
)</f>
        <v>No</v>
      </c>
      <c r="O406" s="8" t="str">
        <f>IF(
_xlfn.XLOOKUP(
_xlfn.XLOOKUP(B406,'Base stats'!B:B,'Base stats'!E:E),
Groups!A:A,
Groups!L:L
)=1,
MIN(
MROUND(
IF(
_xlfn.XLOOKUP(B406,'Animals CE'!B:B,'Animals CE'!AA:AA)&lt;=1.5,
_xlfn.XLOOKUP(B406,'Animals CE'!B:B,'Animals CE'!AA:AA)/2+0.05,
0.8+
(_xlfn.XLOOKUP(B406,'Animals CE'!B:B,'Animals CE'!AA:AA)-1.5)
*0.02
),
0.05
),
200%
),
"No"
)</f>
        <v>No</v>
      </c>
      <c r="P406" s="2" t="str">
        <f>_xlfn.XLOOKUP(B406,'Base stats'!B:B,'Base stats'!R:R)</f>
        <v>Standard</v>
      </c>
      <c r="Q406" s="13">
        <f>MROUND((LOG10(_xlfn.XLOOKUP(B406,'Base stats'!B:B,'Base stats'!AR:AR))*(AO406^0.5)+(_xlfn.XLOOKUP(B406,'Base stats'!B:B,'Base stats'!AR:AR)/1000)^(2/3)+_xlfn.XLOOKUP(B406,'Base stats'!B:B,'Base stats'!BA:BA)/2)+0.5,0.5)</f>
        <v>15.5</v>
      </c>
      <c r="R406" s="7">
        <f>IF(Q406="No","No",MAX(1,MROUND(_xlfn.XLOOKUP(B406,'Base stats'!B:B,'Base stats'!C:C)^0.165,0.05)))</f>
        <v>2.8000000000000003</v>
      </c>
      <c r="S406" s="13" t="str">
        <f>IF(_xlfn.XLOOKUP(_xlfn.XLOOKUP(B406,'Base stats'!B:B,'Base stats'!E:E),Groups!A:A,Groups!P:P)=0,"No",MROUND((LOG10(_xlfn.XLOOKUP(B406,'Base stats'!B:B,'Base stats'!AS:AS))*(AO406^0.5)+(_xlfn.XLOOKUP(B406,'Base stats'!B:B,'Base stats'!AS:AS)/1000)^(2/3)+_xlfn.XLOOKUP(B406,'Base stats'!B:B,'Base stats'!BA:BA))+_xlfn.XLOOKUP(B406,'Base stats'!B:B,'Base stats'!AY:AY)+0.5,0.5))</f>
        <v>No</v>
      </c>
      <c r="T406" s="7" t="str">
        <f>IF(S406="No","No",MAX(_xlfn.XLOOKUP(_xlfn.XLOOKUP(B406,'Base stats'!B:B,'Base stats'!E:E),Groups!A:A,Groups!Q:Q),MROUND(_xlfn.XLOOKUP(_xlfn.XLOOKUP(B406,'Base stats'!B:B,'Base stats'!E:E),Groups!A:A,Groups!Q:Q)*_xlfn.XLOOKUP(B406,'Base stats'!B:B,'Base stats'!C:C)^0.165,0.05)))</f>
        <v>No</v>
      </c>
      <c r="U406" s="7" t="str">
        <f>IF(S406="No","No",_xlfn.XLOOKUP(_xlfn.XLOOKUP(B406,'Base stats'!B:B,'Base stats'!E:E),Groups!A:A,Groups!R:R))</f>
        <v>No</v>
      </c>
      <c r="V406" s="7" t="str">
        <f>IF(S406="No","No",_xlfn.XLOOKUP(_xlfn.XLOOKUP(B406,'Base stats'!B:B,'Base stats'!E:E),Groups!A:A,Groups!S:S))</f>
        <v>No</v>
      </c>
      <c r="W406" s="7" t="str">
        <f>IF(S406="No","No",_xlfn.XLOOKUP(_xlfn.XLOOKUP(B406,'Base stats'!B:B,'Base stats'!E:E),Groups!A:A,Groups!T:T))</f>
        <v>No</v>
      </c>
      <c r="X406" s="13" t="str">
        <f>IF(_xlfn.XLOOKUP(B406,'Base stats'!B:B,'Base stats'!W:W)="No","No",MROUND((LOG10(_xlfn.XLOOKUP(B406,'Base stats'!B:B,'Base stats'!AU:AU))*(AO406^0.5)+(_xlfn.XLOOKUP(B406,'Base stats'!B:B,'Base stats'!AU:AU)/1000)^(2/3)+_xlfn.XLOOKUP(B406,'Base stats'!B:B,'Base stats'!AZ:AZ))+0.5+IF(_xlfn.XLOOKUP(_xlfn.XLOOKUP(B406,'Base stats'!B:B,'Base stats'!E:E),Groups!A:A,Groups!U:U)&lt;&gt;3,_xlfn.XLOOKUP(B406,'Base stats'!B:B,'Base stats'!BA:BA),0),0.5))</f>
        <v>No</v>
      </c>
      <c r="Y406" s="7" t="str">
        <f>IF(X406="No","No",MAX(_xlfn.XLOOKUP(_xlfn.XLOOKUP(B406,'Base stats'!B:B,'Base stats'!E:E),Groups!A:A,Groups!V:V),MROUND(_xlfn.XLOOKUP(_xlfn.XLOOKUP(B406,'Base stats'!B:B,'Base stats'!E:E),Groups!A:A,Groups!V:V)*_xlfn.XLOOKUP(B406,'Base stats'!B:B,'Base stats'!C:C)^0.165,0.05)))</f>
        <v>No</v>
      </c>
      <c r="Z406" s="7" t="str">
        <f>IF(X406="No","No",_xlfn.XLOOKUP(_xlfn.XLOOKUP(B406,'Base stats'!B:B,'Base stats'!E:E),Groups!A:A,Groups!W:W))</f>
        <v>No</v>
      </c>
      <c r="AA406" s="7" t="str">
        <f>IF(X406="No","No",_xlfn.XLOOKUP(_xlfn.XLOOKUP(B406,'Base stats'!B:B,'Base stats'!E:E),Groups!A:A,Groups!X:X))</f>
        <v>No</v>
      </c>
      <c r="AB406" s="7" t="str">
        <f>IF(X406="No","No",_xlfn.XLOOKUP(_xlfn.XLOOKUP(B406,'Base stats'!B:B,'Base stats'!E:E),Groups!A:A,Groups!Y:Y))</f>
        <v>No</v>
      </c>
      <c r="AC406" s="7" t="str">
        <f>_xlfn.XLOOKUP(Animals!B406,'Base stats'!B:B,'Base stats'!X:X)</f>
        <v>False</v>
      </c>
      <c r="AD406" s="13">
        <f>IF(_xlfn.XLOOKUP(B406,'Base stats'!B:B,'Base stats'!AT:AT)="No","No",MROUND((LOG10(_xlfn.XLOOKUP(B406,'Base stats'!B:B,'Base stats'!AT:AT))*(AO406^0.75)+(_xlfn.XLOOKUP(B406,'Base stats'!B:B,'Base stats'!AT:AT)/1000)^(2/3)+_xlfn.XLOOKUP(B406,'Base stats'!B:B,'Base stats'!AX:AX)+_xlfn.XLOOKUP(B406,'Base stats'!B:B,'Base stats'!BA:BA))+0.5,0.5))</f>
        <v>21</v>
      </c>
      <c r="AE406" s="7">
        <f>IF(AD406="No","No",MAX(_xlfn.XLOOKUP(_xlfn.XLOOKUP(B406,'Base stats'!B:B,'Base stats'!E:E),Groups!A:A,Groups!Z:Z),MROUND(_xlfn.XLOOKUP(_xlfn.XLOOKUP(B406,'Base stats'!B:B,'Base stats'!E:E),Groups!A:A,Groups!Z:Z)*_xlfn.XLOOKUP(B406,'Base stats'!B:B,'Base stats'!C:C)^0.165,0.05)))</f>
        <v>2.25</v>
      </c>
      <c r="AF406" s="7" t="str">
        <f>IF(AD406="No","No",_xlfn.XLOOKUP(_xlfn.XLOOKUP(B406,'Base stats'!B:B,'Base stats'!E:E),Groups!A:A,Groups!AA:AA))</f>
        <v>Mouth</v>
      </c>
      <c r="AG406" s="7" t="str">
        <f>IF(AD406="No","No",_xlfn.XLOOKUP(_xlfn.XLOOKUP(B406,'Base stats'!B:B,'Base stats'!E:E),Groups!A:A,Groups!AB:AB))</f>
        <v>fangs</v>
      </c>
      <c r="AH406" s="7" t="str">
        <f>IF(AD406="No","No",_xlfn.XLOOKUP(_xlfn.XLOOKUP(B406,'Base stats'!B:B,'Base stats'!E:E),Groups!A:A,Groups!AC:AC))</f>
        <v>Bite</v>
      </c>
      <c r="AI406" s="13" t="str">
        <f>IF(_xlfn.XLOOKUP(_xlfn.XLOOKUP(B406,'Base stats'!B:B,'Base stats'!E:E),Groups!A:A,Groups!AD:AD)=0,"No",MROUND((LOG10(_xlfn.XLOOKUP(B406,'Base stats'!B:B,'Base stats'!AS:AS))*(AO406^0.75)+(_xlfn.XLOOKUP(B406,'Base stats'!B:B,'Base stats'!AS:AS)/1000)^(2/3)+_xlfn.XLOOKUP(B406,'Base stats'!B:B,'Base stats'!AY:AY)+_xlfn.XLOOKUP(B406,'Base stats'!B:B,'Base stats'!BA:BA))+0.5,0.5))</f>
        <v>No</v>
      </c>
      <c r="AJ406" s="7" t="str">
        <f>IF(AI406="No","No",MAX(_xlfn.XLOOKUP(_xlfn.XLOOKUP(B406,'Base stats'!B:B,'Base stats'!E:E),Groups!A:A,Groups!AE:AE),MROUND(_xlfn.XLOOKUP(_xlfn.XLOOKUP(B406,'Base stats'!B:B,'Base stats'!E:E),Groups!A:A,Groups!AE:AE)*IF(_xlfn.XLOOKUP(_xlfn.XLOOKUP(B406,'Base stats'!B:B,'Base stats'!E:E),Groups!A:A,Groups!AJ:AJ)="Photonozoa",0.6,1)*_xlfn.XLOOKUP(B406,'Base stats'!B:B,'Base stats'!C:C)^0.165,0.05)))</f>
        <v>No</v>
      </c>
      <c r="AK406" s="7" t="str">
        <f>IF(AI406="No","No",_xlfn.XLOOKUP(_xlfn.XLOOKUP(B406,'Base stats'!B:B,'Base stats'!E:E),Groups!A:A,Groups!AF:AF))</f>
        <v>No</v>
      </c>
      <c r="AL406" s="7" t="str">
        <f>IF(AI406="No","No",_xlfn.XLOOKUP(_xlfn.XLOOKUP(B406,'Base stats'!B:B,'Base stats'!E:E),Groups!A:A,Groups!AG:AG))</f>
        <v>No</v>
      </c>
      <c r="AM406" s="7" t="str">
        <f>IF(AI406="No","No",_xlfn.XLOOKUP(_xlfn.XLOOKUP(B406,'Base stats'!B:B,'Base stats'!E:E),Groups!A:A,Groups!AH:AH))</f>
        <v>No</v>
      </c>
      <c r="AN406" s="2">
        <f t="shared" si="49"/>
        <v>30</v>
      </c>
      <c r="AO406" s="2">
        <f>MROUND(IF(AND(_xlfn.XLOOKUP(B406,'Base stats'!B:B,'Base stats'!C:C)&gt;=0.5,_xlfn.XLOOKUP(B406,'Base stats'!B:B,'Base stats'!C:C)&lt;=0.8),
IF(_xlfn.XLOOKUP(B406,'Base stats'!B:B,'Base stats'!C:C)&lt;0.1,0.05,IF(_xlfn.XLOOKUP(B406,'Base stats'!B:B,'Base stats'!C:C)&lt;=70,(_xlfn.XLOOKUP(B406,'Base stats'!B:B,'Base stats'!C:C)/70)^0.426489913056526,IF(_xlfn.XLOOKUP(B406,'Base stats'!B:B,'Base stats'!C:C)&lt;=400,(_xlfn.XLOOKUP(B406,'Base stats'!B:B,'Base stats'!C:C)/70)^0.572811455315093,IF(_xlfn.XLOOKUP(B406,'Base stats'!B:B,'Base stats'!C:C)&lt;=2000,2.71391647193063*(_xlfn.XLOOKUP(B406,'Base stats'!B:B,'Base stats'!C:C)/400)^0.252459582904293,3.74314280240376*(_xlfn.XLOOKUP(B406,'Base stats'!B:B,'Base stats'!C:C)/2000)^0.357012633876913)))),
IF(_xlfn.XLOOKUP(B406,'Base stats'!B:B,'Base stats'!C:C)&lt;0.1,0.05,IF(_xlfn.XLOOKUP(B406,'Base stats'!B:B,'Base stats'!C:C)&lt;0.4,0.1,IF(_xlfn.XLOOKUP(B406,'Base stats'!B:B,'Base stats'!C:C)&lt;=70,(_xlfn.XLOOKUP(B406,'Base stats'!B:B,'Base stats'!C:C)/70)^0.445823913056526,IF(_xlfn.XLOOKUP(B406,'Base stats'!B:B,'Base stats'!C:C)&lt;=400,(_xlfn.XLOOKUP(B406,'Base stats'!B:B,'Base stats'!C:C)/70)^0.572811455315093,IF(_xlfn.XLOOKUP(B406,'Base stats'!B:B,'Base stats'!C:C)&lt;=2000,2.71391647193063*(_xlfn.XLOOKUP(B406,'Base stats'!B:B,'Base stats'!C:C)/400)^0.252459582904293,3.74314280240376*(_xlfn.XLOOKUP(B406,'Base stats'!B:B,'Base stats'!C:C)/2000)^0.357012633876913)))))),
IF(_xlfn.XLOOKUP(B406,'Base stats'!B:B,'Base stats'!C:C)&lt;0.1,0.05,IF(_xlfn.XLOOKUP(B406,'Base stats'!B:B,'Base stats'!C:C)&lt;=100,0.05,IF(_xlfn.XLOOKUP(B406,'Base stats'!B:B,'Base stats'!C:C)&lt;=250,0.1,IF(_xlfn.XLOOKUP(B406,'Base stats'!B:B,'Base stats'!C:C)&lt;=4000,0.25,0.5)))))</f>
        <v>2.75</v>
      </c>
      <c r="AP406" s="8">
        <f>MROUND(AO406*_xlfn.XLOOKUP(_xlfn.XLOOKUP(B406,'Base stats'!B:B,'Base stats'!E:E),Groups!A:A,Groups!AI:AI)*_xlfn.XLOOKUP(B406,'Base stats'!B:B,'Base stats'!Z:Z),0.05)</f>
        <v>2.75</v>
      </c>
      <c r="AQ406" s="8">
        <f>MAX(0.01,MROUND(IF(CC406="True",0.196*(AO406*100*1000)^0.889,IF(_xlfn.XLOOKUP(_xlfn.XLOOKUP(B406,'Base stats'!B:B,'Base stats'!E:E),Groups!A:A,Groups!AJ:AJ)="Bird",10.5*(AO406*100*1000)^0.681,4.82*(AO406*100*1000)^0.734))/(4.82*(1*100*1000)^0.734)/IF(AO406&lt;3.5,2,IF(AO406=3.5,1.5,1.25))*(1+0.132282374779864/(AO406^0.994035016789033+0.00905238001496948)),0.05))</f>
        <v>0.30000000000000004</v>
      </c>
      <c r="AR406" s="9">
        <f>IFERROR(MROUND(_xlfn.XLOOKUP(B406,'Base stats'!B:B,'Base stats'!H:H)/IF(_xlfn.XLOOKUP(B406,'Base stats'!B:B,'Base stats'!I:I)&lt;&gt;1,(122.5/70),1.2),IF(_xlfn.XLOOKUP(B406,'Base stats'!B:B,'Base stats'!H:H)&gt;=30,5,IF(_xlfn.XLOOKUP(B406,'Base stats'!B:B,'Base stats'!H:H)&gt;=15,3,IF(_xlfn.XLOOKUP(B406,'Base stats'!B:B,'Base stats'!H:H)&gt;=10,2,1)))),"Immortal")</f>
        <v>30</v>
      </c>
      <c r="AS406" s="35">
        <f>IFERROR(IF(OR(_xlfn.XLOOKUP(B406,'Base stats'!B:B,'Base stats'!F:F)="Atypical reproduction",_xlfn.XLOOKUP(B406,'Base stats'!B:B,'Base stats'!F:F)="Lay eggs"),"Lay eggs",MIN(20,MAX(5.5,ROUND(((_xlfn.XLOOKUP(B406,'Base stats'!B:B,'Base stats'!F:F)-25)*(14.5/615) + 5.5)*2,0)/2))),"Unknown")</f>
        <v>13.5</v>
      </c>
      <c r="AT406" s="8">
        <f>IF(_xlfn.XLOOKUP(B406,'Base stats'!B:B,'Base stats'!G:G)="Atypical reproduction","No",IFERROR(MAX(IF(_xlfn.XLOOKUP(B406,'Base stats'!B:B,'Base stats'!G:G)&lt;0.5,0.2,0.3),MROUND(_xlfn.XLOOKUP(B406,'Base stats'!B:B,'Base stats'!G:G)/(365/60),0.2)),"Unknown"))</f>
        <v>2</v>
      </c>
      <c r="AU406" s="8">
        <f t="shared" si="50"/>
        <v>1</v>
      </c>
      <c r="AV406" s="8">
        <f>IFERROR(IFERROR(MROUND(_xlfn.XLOOKUP(B406,'Base stats'!B:B,'Base stats'!J:J),0.1),"Lay eggs"),"Cannot breed")</f>
        <v>25</v>
      </c>
      <c r="AW406" s="2" t="str">
        <f t="shared" si="51"/>
        <v>false</v>
      </c>
      <c r="AX406" s="2" t="str">
        <f>IF(_xlfn.XLOOKUP(_xlfn.XLOOKUP(Animals!B406,'Base stats'!B:B,'Base stats'!E:E),Groups!A:A,Groups!AK:AK)=1,"true","false")</f>
        <v>false</v>
      </c>
      <c r="AY406" s="25" t="str">
        <f>IF(_xlfn.XLOOKUP(B406,'Base stats'!B:B,'Base stats'!Y:Y)="Liquor","Liquor, CarnivoreAnimalStrict",IF(AND(_xlfn.XLOOKUP(B406,'Base stats'!B:B,'Base stats'!Y:Y)="Carnivore",_xlfn.XLOOKUP(_xlfn.XLOOKUP(B406,'Base stats'!B:B,'Base stats'!E:E),Groups!A:A,Groups!AJ:AJ)="Photonozoa"),"CarnivoreAnimalStrict, OvivoreAnimal",IF(_xlfn.XLOOKUP(B406,'Base stats'!B:B,'Base stats'!Y:Y)="Carnivore","CarnivoreAnimal, OvivoreAnimal",IF(_xlfn.XLOOKUP(B406,'Base stats'!B:B,'Base stats'!Y:Y)="Dendrovore","VegetarianRoughAnimal, DendrovoreAnimal",IF(_xlfn.XLOOKUP(B406,'Base stats'!B:B,'Base stats'!Y:Y)="Herbivore","VegetarianRoughAnimal",IF(_xlfn.XLOOKUP(B406,'Base stats'!B:B,'Base stats'!Y:Y)="OmnivoreRough","OmnivoreRoughAnimal, OvivoreAnimal","OmnivoreAnimal, OvivoreAnimal"))))))</f>
        <v>CarnivoreAnimal, OvivoreAnimal</v>
      </c>
      <c r="AZ406" s="2" t="str">
        <f>IF(_xlfn.XLOOKUP(_xlfn.XLOOKUP(B406,'Base stats'!B:B,'Base stats'!E:E),Groups!A:A,Groups!D:D)=1,MROUND((1-J406)*5+1,2)*IF(J406&lt;=0.4,2,1),"No")</f>
        <v>No</v>
      </c>
      <c r="BA406" s="2" t="str">
        <f>IF(AND(_xlfn.XLOOKUP(B406,'Base stats'!B:B,'Base stats'!AH:AH)="&lt;li&gt;Seal&lt;/li&gt;",G406="Odyssey"),"&lt;li&gt;AEXP_Seal&lt;/li&gt;",_xlfn.XLOOKUP(B406,'Base stats'!B:B,'Base stats'!AH:AH))</f>
        <v>&lt;li&gt;Cobra&lt;/li&gt;</v>
      </c>
      <c r="BB406" s="2" t="str">
        <f>_xlfn.XLOOKUP(B406,'Base stats'!B:B,'Base stats'!AG:AG)</f>
        <v>Leather_Lizard</v>
      </c>
      <c r="BC406" s="23" t="str">
        <f>_xlfn.XLOOKUP(_xlfn.XLOOKUP(B406,'Base stats'!B:B,'Base stats'!E:E),Groups!A:A,Groups!AL:AL)</f>
        <v>Snake</v>
      </c>
      <c r="BD406" s="23">
        <f>MIN(1,MROUND(IF(AND(AO406&lt;0.5,_xlfn.XLOOKUP(B406,'Base stats'!B:B,'Base stats'!AA:AA)=0),0,IF(OR(_xlfn.XLOOKUP(Animals!B406,'Base stats'!B:B,'Base stats'!O:O)=2,_xlfn.XLOOKUP(_xlfn.XLOOKUP(B406,'Base stats'!B:B,'Base stats'!E:E),Groups!A:A,Groups!AN:AN)=0),0,_xlfn.XLOOKUP(_xlfn.XLOOKUP(B406,'Base stats'!B:B,'Base stats'!E:E),Groups!A:A,Groups!AN:AN)/IF(_xlfn.XLOOKUP(Animals!B406,'Base stats'!B:B,'Base stats'!O:O)=1,2,1)))+_xlfn.XLOOKUP(B406,'Base stats'!B:B,'Base stats'!AC:AC),0.005))</f>
        <v>0.1</v>
      </c>
      <c r="BE406" s="23">
        <f>MIN(1,MROUND(IF(AND(AO406&lt;0.5,_xlfn.XLOOKUP(B406,'Base stats'!B:B,'Base stats'!AA:AA)=0),0,IF(_xlfn.XLOOKUP(_xlfn.XLOOKUP(B406,'Base stats'!B:B,'Base stats'!E:E),Groups!A:A,Groups!AO:AO)=0,0,_xlfn.XLOOKUP(_xlfn.XLOOKUP(B406,'Base stats'!B:B,'Base stats'!E:E),Groups!A:A,Groups!AO:AO)/IF(_xlfn.XLOOKUP(Animals!B406,'Base stats'!B:B,'Base stats'!O:O)=2,3,1)))+_xlfn.XLOOKUP(B406,'Base stats'!B:B,'Base stats'!AD:AD),0.005))</f>
        <v>0.3</v>
      </c>
      <c r="BF406" s="2" t="str">
        <f>IF(J406&gt;0.3,"No",_xlfn.XLOOKUP(_xlfn.XLOOKUP(Animals!B406,'Base stats'!B:B,'Base stats'!E:E),Groups!A:A,Groups!AP:AP))</f>
        <v>No</v>
      </c>
      <c r="BG406" s="2" t="str">
        <f>IF(AND(J406&lt;=0.65,_xlfn.XLOOKUP(_xlfn.XLOOKUP(Animals!B406,'Base stats'!B:B,'Base stats'!E:E),Groups!A:A,Groups!AP:AP)&lt;&gt;"No",_xlfn.XLOOKUP(_xlfn.XLOOKUP(B406,'Base stats'!B:B,'Base stats'!E:E),Groups!A:A,Groups!D:D)=0),MROUND((80/3)*IF(_xlfn.XLOOKUP(B406,'Base stats'!B:B,'Base stats'!O:O)=2,0.2,AO406) + 24*(1-IF(BF406="No",0,BF406)) + 16/3, 12),"No")</f>
        <v>No</v>
      </c>
      <c r="BH406" s="2">
        <f>IF(AND(_xlfn.XLOOKUP(_xlfn.XLOOKUP(B406,'Base stats'!B:B,'Base stats'!E:E),Groups!A:A,Groups!AQ:AQ)=1,AO406&lt;=0.35),8,12)</f>
        <v>12</v>
      </c>
      <c r="BI406" s="2" t="str">
        <f>IF(_xlfn.XLOOKUP(_xlfn.XLOOKUP(B406,'Base stats'!B:B,'Base stats'!E:E),Groups!A:A,Groups!D:D)=0,_xlfn.XLOOKUP(_xlfn.XLOOKUP(B406,'Base stats'!B:B,'Base stats'!E:E),Groups!A:A,Groups!AR:AR),"None")</f>
        <v>None</v>
      </c>
      <c r="BJ406" s="2" t="str">
        <f>IF(AND(_xlfn.XLOOKUP(_xlfn.XLOOKUP(B406,'Base stats'!B:B,'Base stats'!E:E),Groups!A:A,Groups!AS:AS)=1,OR(_xlfn.XLOOKUP(B406,'Base stats'!B:B,'Base stats'!Y:Y)="Carnivore",_xlfn.XLOOKUP(B406,'Base stats'!B:B,'Base stats'!Y:Y)="Omnivore")),"true","false")</f>
        <v>true</v>
      </c>
      <c r="BK406" s="2">
        <f>IF(BJ406="true",MROUND(IF(AND(AO406&gt;0.5,OR(_xlfn.XLOOKUP(_xlfn.XLOOKUP(B406,'Base stats'!B:B,'Base stats'!E:E),Groups!A:A,Groups!AJ:AJ)="Photonozoa",_xlfn.XLOOKUP(_xlfn.XLOOKUP(B406,'Base stats'!B:B,'Base stats'!E:E),Groups!A:A,Groups!AJ:AJ)="Mammal")),Animals!AO406*1.75*IF(AW406="true",1.5,1),IF(AO406&lt;0.5,Animals!AO406*0.5,Animals!AO406)),IF(AO406&gt;2,0.5,IF(AO406&gt;0.5,0.25,0.1))),"No")</f>
        <v>3</v>
      </c>
      <c r="BL406" s="2">
        <f t="shared" si="52"/>
        <v>0</v>
      </c>
      <c r="BM406" s="25">
        <f>IF(_xlfn.XLOOKUP(B406,'Base stats'!B:B,'Base stats'!AN:AN)="Standard","No",MROUND((_xlfn.XLOOKUP(B406,'Base stats'!B:B,'Base stats'!AN:AN)/3.6)/I406,0.1))</f>
        <v>2.8000000000000003</v>
      </c>
      <c r="BN406" s="25" t="str">
        <f t="shared" si="53"/>
        <v>true</v>
      </c>
      <c r="BO406" s="25" t="str">
        <f>IF(AND(OR(_xlfn.XLOOKUP(B406,'Base stats'!B:B,'Base stats'!Y:Y)="Carnivore",_xlfn.XLOOKUP(B406,'Base stats'!B:B,'Base stats'!Y:Y)="Omnivore",_xlfn.XLOOKUP(B406,'Base stats'!B:B,'Base stats'!Y:Y)="OmnivoreRough"),_xlfn.XLOOKUP(_xlfn.XLOOKUP(B406,'Base stats'!B:B,'Base stats'!E:E),Groups!A:A,Groups!AT:AT)=1),"true","false")</f>
        <v>false</v>
      </c>
      <c r="BP406" s="25" t="str" cm="1">
        <f t="array" ref="BP406">IF(
  _xlfn.TEXTJOIN(", ",TRUE,
    IF(AND(BJ406="true",AO406&gt;0.5,BI406&lt;&gt;"None"),"AttackTarget",""),
    IF(AND(_xlfn.XLOOKUP(_xlfn.XLOOKUP(B406,'Base stats'!B:B,'Base stats'!E:E),Groups!A:A,Groups!AJ:AJ="Mammal"),OR(_xlfn.XLOOKUP(B406,'Base stats'!B:B,'Base stats'!Y:Y)="Omnivore",_xlfn.XLOOKUP(B406,'Base stats'!B:B,'Base stats'!Y:Y)="OmnivoreRough")),"Forage",""),
    IF(BG406&lt;=36,"Comfort",""),
    IF(_xlfn.XLOOKUP(B406,'Base stats'!B:B,'Base stats'!AE:AE)&lt;&gt;"No",_xlfn.XLOOKUP(B406,'Base stats'!B:B,'Base stats'!AE:AE),"")
  ) = "",
  "No",
  _xlfn.TEXTJOIN(", ",TRUE,
    IF(AND(BJ406="true",AO406&gt;0.5,BI406&lt;&gt;"None"),"AttackTarget",""),
    IF(AND(_xlfn.XLOOKUP(_xlfn.XLOOKUP(B406,'Base stats'!B:B,'Base stats'!E:E),Groups!A:A,Groups!AJ:AJ="Mammal"),OR(_xlfn.XLOOKUP(B406,'Base stats'!B:B,'Base stats'!Y:Y)="Omnivore",_xlfn.XLOOKUP(B406,'Base stats'!B:B,'Base stats'!Y:Y)="OmnivoreRough")),"Forage",""),
    IF(BG406&lt;=36,"Comfort",""),
    IF(_xlfn.XLOOKUP(B406,'Base stats'!B:B,'Base stats'!AE:AE)&lt;&gt;"No",_xlfn.XLOOKUP(B406,'Base stats'!B:B,'Base stats'!AE:AE),"")
  )
)</f>
        <v>No</v>
      </c>
      <c r="BQ406" s="25">
        <f>IF(
   AND(
      'Base stats'!AN406="Standard",_xlfn.XLOOKUP(_xlfn.XLOOKUP(B406,'Base stats'!B:B,'Base stats'!E:E),Groups!A:A,Groups!AU:AU)=0,
      OR(
      BO406="True"
      )
   ),
   10,
   IF(
       OR(BM406&lt;&gt;"No",_xlfn.XLOOKUP(_xlfn.XLOOKUP(B406,'Base stats'!B:B,'Base stats'!E:E),Groups!A:A,Groups!AU:AU)=1),
      1,
      "No"
   )
)</f>
        <v>1</v>
      </c>
      <c r="BR406" s="9">
        <f>MROUND((1 + ((0.2*IF(OR(Q406="No",R406="No",R406=0),0,Q406/R406)
+IF(OR(V406="No",S406="No",T406="No"),0,S406/T406*(LEN(V406)-LEN(SUBSTITUTE(V406,",",""))+1))
+IF(OR(X406="No",Y406="No"),0,X406/Y406)
+IF(OR(AD406="No",AE406="No"),0,AD406/AE406)
+IF(OR(AL406="No",AI406="No",AJ406="No"),0,AI406/AJ406*(LEN(AL406)-LEN(SUBSTITUTE(AL406,",",""))+1))
)/(0.2*IF(OR(Q406="No",R406="No",R406=0),0,1)
+IF(OR(V406="No",S406="No",T406="No"),0,LEN(V406)-LEN(SUBSTITUTE(V406,",",""))+1)
+IF(OR(X406="No",Y406="No"),0,1)
+IF(OR(AD406="No",AE406="No"),0,1)
+IF(OR(AL406="No",AI406="No",AJ406="No"),0,LEN(AL406)-LEN(SUBSTITUTE(AL406,",",""))+1))*62%)* 2)*(1 + (AP406 / (IF(_xlfn.XLOOKUP(_xlfn.XLOOKUP(B406,'Base stats'!B:B,'Base stats'!E:E),Groups!A:A,Groups!AJ:AJ)="Photonozoa",0.3,1)) + _xlfn.XLOOKUP(B406,'Base stats'!B:B,'Base stats'!AV:AV) * 1.8) * 2) * 2.5 + 10 + I406 * 2,5)+IF(_xlfn.XLOOKUP(B406,'Base stats'!B:B,'Base stats'!AK:AK)=1,50,0)</f>
        <v>205</v>
      </c>
      <c r="BS406" s="8">
        <f t="shared" si="54"/>
        <v>0.8</v>
      </c>
      <c r="BT406" s="8" t="str">
        <f>_xlfn.XLOOKUP(B406,'Base stats'!B:B,'Base stats'!AF:AF)</f>
        <v>No</v>
      </c>
      <c r="BU406" s="2" t="str">
        <f>IF(AND(J406&lt;=0.95,OR(_xlfn.XLOOKUP(B406,'Base stats'!B:B,'Base stats'!AK:AK)=1,_xlfn.XLOOKUP(B406,'Base stats'!B:B,'Base stats'!Y:Y)="Carnivore",_xlfn.XLOOKUP(B406,'Base stats'!B:B,'Base stats'!Y:Y)="Omnivore",BE406&gt;0.1)),"true","false")</f>
        <v>true</v>
      </c>
      <c r="BV406" s="2" t="str">
        <f>IF(_xlfn.XLOOKUP(B406,'Base stats'!B:B,'Base stats'!AI:AI)=1,"true","false")</f>
        <v>false</v>
      </c>
      <c r="BW406" s="25" t="str">
        <f>IF(E406="BaseInsect","AnimalInsect",
IF(J406&gt;0.95,"AnimalExotic",
_xlfn.TEXTJOIN(", ",TRUE,
IF(OR(_xlfn.XLOOKUP(B406,'Base stats'!B:B,'Base stats'!AM:AM)=1,AND(_xlfn.XLOOKUP(B406,'Base stats'!B:B,'Base stats'!O:O)=0,_xlfn.XLOOKUP(_xlfn.XLOOKUP(B406,'Base stats'!B:B,'Base stats'!E:E),Groups!A:A,Groups!B:B)&gt;0)),"AnimalUncommon","AnimalCommon"),
IF(AND(_xlfn.XLOOKUP(B406,'Base stats'!B:B,'Base stats'!O:O)=2,_xlfn.XLOOKUP(_xlfn.XLOOKUP(B406,'Base stats'!B:B,'Base stats'!E:E),Groups!A:A,Groups!D:D)=0),"AnimalPet",IF(AND(_xlfn.XLOOKUP(B406,'Base stats'!B:B,'Base stats'!O:O)&lt;&gt;0,_xlfn.XLOOKUP(_xlfn.XLOOKUP(B406,'Base stats'!B:B,'Base stats'!E:E),Groups!A:A,Groups!D:D)&lt;&gt;0),"AnimalFarm","")),
IF(OR(_xlfn.XLOOKUP(B406,'Base stats'!B:B,'Base stats'!AK:AK)=1,AND(BI406&lt;&gt;"None",BR406&gt;=60),ISNUMBER(SEARCH("Attack target",BP406))),"AnimalFighter","")
)))</f>
        <v>AnimalUncommon</v>
      </c>
      <c r="BX406" s="25" t="str">
        <f>IF(G406="None",TRIM(
SUBSTITUTE(
IF(COUNTIF(Biomes!B$2:B$259,"="&amp;$C406)&gt;0,Biomes!B$1&amp;", ","")&amp;
IF(COUNTIF(Biomes!C$2:C$259,"="&amp;$C406)&gt;0,Biomes!C$1&amp;", ","")&amp;
IF(COUNTIF(Biomes!D$2:D$259,"="&amp;$C406)&gt;0,Biomes!D$1&amp;", ","")&amp;
IF(COUNTIF(Biomes!F$2:F$259,"="&amp;$C406)&gt;0,Biomes!F$1&amp;", ","")&amp;
IF(COUNTIF(Biomes!G$2:G$259,"="&amp;$C406)&gt;0,Biomes!G$1&amp;", ","")&amp;
IF(COUNTIF(Biomes!H$2:H$259,"="&amp;$C406)&gt;0,Biomes!H$1&amp;", ","")&amp;
IF(COUNTIF(Biomes!I$2:I$259,"="&amp;$C406)&gt;0,Biomes!I$1&amp;", ","")&amp;
IF(COUNTIF(Biomes!J$2:J$259,"="&amp;$C406)&gt;0,Biomes!J$1&amp;", ","")&amp;
IF(COUNTIF(Biomes!M$2:M$259,"="&amp;$C406)&gt;0,Biomes!M$1&amp;", ","")&amp;
IF(COUNTIF(Biomes!N$2:N$259,"="&amp;$C406)&gt;0,Biomes!N$1&amp;", ","")&amp;
IF(COUNTIF(Biomes!O$2:O$259,"="&amp;$C406)&gt;0,Biomes!O$1&amp;", ","")&amp;
IF(COUNTIF(Biomes!P$2:P$259,"="&amp;$C406)&gt;0,Biomes!P$1&amp;", ","")&amp;
IF(COUNTIF(Biomes!K$2:K$259,"="&amp;$C406)&gt;0,Biomes!K$1&amp;", ","")&amp;
IF(COUNTIF(Biomes!Q$3:Q$259,"="&amp;$C406)&gt;0,Biomes!Q$1&amp;", ","")&amp;
IF(COUNTIF(Biomes!L$2:L$259,"="&amp;$C406)&gt;0,Biomes!L$1&amp;", ","")&amp;
IF(COUNTIF(Biomes!E$2:E$259,"="&amp;$C406)&gt;0,Biomes!E$1&amp;", ","")&amp;IF(COUNTIF(Biomes!S$2:S$259,"="&amp;$C406)&gt;0,Biomes!S$1&amp;", ","")&amp;
IF(COUNTIF(Biomes!R$2:R$259,"="&amp;$C406)&gt;0,Biomes!R$1&amp;", ",""),", ","")
),_xlfn.XLOOKUP(B406,B:B,BX:BX))</f>
        <v/>
      </c>
      <c r="BY406" s="25" t="str">
        <f>IF(_xlfn.XLOOKUP(B406,'Base stats'!B:B,'Base stats'!AJ:AJ)=1,"true","false")</f>
        <v>false</v>
      </c>
      <c r="BZ406" s="25">
        <f>IF(_xlfn.XLOOKUP(B406,'Base stats'!B:B,'Base stats'!N:N)=1,"No",MAX(0.001,MIN(MROUND(IF(AND(BJ406="True",CC406="False"),POWER(10,3.47*LOG10(_xlfn.XLOOKUP(B406,'Base stats'!B:B,'Base stats'!C:C)*1000)^-0.96),POWER(10,4.15*LOG10(_xlfn.XLOOKUP(B406,'Base stats'!B:B,'Base stats'!C:C)*1000)^-0.73))*IF(_xlfn.XLOOKUP(B406,'Base stats'!B:B,'Base stats'!AK:AK)=1,0.5,1)*IF(_xlfn.XLOOKUP(B406,'Base stats'!B:B,'Base stats'!AM:AM)=1,0.1,1)/100,IF(_xlfn.XLOOKUP(B406,'Base stats'!B:B,'Base stats'!AM:AM)=1,0.001,0.025)),0.5)))</f>
        <v>0.15000000000000002</v>
      </c>
      <c r="CA406" s="25" t="str">
        <f>IF(P406="Standard","No",MAX(0.001,MIN(MROUND(IF(AND(BJ406="True",CC406="False"),POWER(10,3.47*LOG10(_xlfn.XLOOKUP(B406,'Base stats'!B:B,'Base stats'!C:C)*1000)^-0.96),POWER(10,4.15*LOG10(_xlfn.XLOOKUP(B406,'Base stats'!B:B,'Base stats'!C:C)*1000)^-0.73))*IF(_xlfn.XLOOKUP(B406,'Base stats'!B:B,'Base stats'!AM:AM)=1,0.1,1)*_xlfn.XLOOKUP(B406,'Base stats'!B:B,'Base stats'!R:R)/100,IF(_xlfn.XLOOKUP(B406,'Base stats'!B:B,'Base stats'!AM:AM)=1,0.001,0.025)),0.5)))</f>
        <v>No</v>
      </c>
      <c r="CB406" s="25" t="str">
        <f>IF(_xlfn.XLOOKUP(_xlfn.XLOOKUP(B406,'Base stats'!B:B,'Base stats'!E:E),Groups!A:A,Groups!AJ:AJ)="Mammal","True","False")</f>
        <v>False</v>
      </c>
      <c r="CC406" s="25" t="str">
        <f>IF(OR(_xlfn.XLOOKUP(_xlfn.XLOOKUP(B406,'Base stats'!B:B,'Base stats'!E:E),Groups!A:A,Groups!AJ:AJ)="Reptile",_xlfn.XLOOKUP(_xlfn.XLOOKUP(B406,'Base stats'!B:B,'Base stats'!E:E),Groups!A:A,Groups!AJ:AJ)="Amphibian",_xlfn.XLOOKUP(_xlfn.XLOOKUP(B406,'Base stats'!B:B,'Base stats'!E:E),Groups!A:A,Groups!AJ:AJ)="Invertebrate"),"True","False")</f>
        <v>True</v>
      </c>
      <c r="CD406" s="25" t="str">
        <f t="shared" si="55"/>
        <v>False</v>
      </c>
      <c r="CE406" s="25" t="str">
        <f>IF(_xlfn.XLOOKUP(_xlfn.XLOOKUP(B406,'Base stats'!B:B,'Base stats'!E:E),Groups!A:A,Groups!AX:AX),"True","False")</f>
        <v>False</v>
      </c>
      <c r="CF406" s="25" t="str">
        <f>IF(_xlfn.XLOOKUP(_xlfn.XLOOKUP(B406,'Base stats'!B:B,'Base stats'!E:E),Groups!A:A,Groups!AY:AY),"True","False")</f>
        <v>False</v>
      </c>
      <c r="CG406" s="25" t="str">
        <f>IF(_xlfn.XLOOKUP(_xlfn.XLOOKUP(B406,'Base stats'!B:B,'Base stats'!E:E),Groups!A:A,Groups!AW:AW),"True","False")</f>
        <v>False</v>
      </c>
      <c r="CH406" s="25" t="str">
        <f>IF(
OR(
_xlfn.XLOOKUP(_xlfn.XLOOKUP(B406,'Base stats'!B:B,'Base stats'!E:E),Groups!A:A,Groups!AZ:AZ)=0,
AND(
_xlfn.XLOOKUP(B406,'Base stats'!B:B,'Base stats'!Y:Y)&lt;&gt;"Carnivore",
_xlfn.XLOOKUP(B406,'Base stats'!B:B,'Base stats'!Y:Y)&lt;&gt;"Omnivore",
_xlfn.XLOOKUP(B406,'Base stats'!B:B,'Base stats'!Y:Y)&lt;&gt;"OmnivoreRough"
)
),
"No",
IF(
_xlfn.XLOOKUP(_xlfn.XLOOKUP(B406,'Base stats'!B:B,'Base stats'!E:E),Groups!A:A,Groups!AZ:AZ)=1,
"Flesh",
IF(
_xlfn.XLOOKUP(_xlfn.XLOOKUP(B406,'Base stats'!B:B,'Base stats'!E:E),Groups!A:A,Groups!AZ:AZ)=2,
"Bone",
""
)
)
)</f>
        <v>No</v>
      </c>
      <c r="CI406" s="25" t="str">
        <f>IF(_xlfn.XLOOKUP(_xlfn.XLOOKUP(B406,'Base stats'!B:B,'Base stats'!E:E),Groups!A:A,Groups!BB:BB),"True","False")</f>
        <v>False</v>
      </c>
      <c r="CJ406" s="25" t="str">
        <f>IF(_xlfn.XLOOKUP(_xlfn.XLOOKUP(B406,'Base stats'!B:B,'Base stats'!E:E),Groups!A:A,Groups!BA:BA),"True","False")</f>
        <v>True</v>
      </c>
    </row>
    <row r="407" spans="1:88" ht="16.5" thickTop="1" thickBot="1" x14ac:dyDescent="0.3">
      <c r="A407" s="26" t="s">
        <v>2096</v>
      </c>
      <c r="B407" s="6" t="str">
        <f>_xlfn.XLOOKUP(A407,'Base stats'!A:A,'Base stats'!B:B)</f>
        <v>Meganeura monyi</v>
      </c>
      <c r="C407" s="28" t="str">
        <f t="shared" si="56"/>
        <v>&lt;li&gt;Meganeura&lt;/li&gt;</v>
      </c>
      <c r="D407" s="28" t="s">
        <v>2126</v>
      </c>
      <c r="E407" s="28" t="s">
        <v>673</v>
      </c>
      <c r="F407" s="28" t="s">
        <v>673</v>
      </c>
      <c r="G407" s="28" t="s">
        <v>673</v>
      </c>
      <c r="H407" s="2">
        <f>MROUND((
  (IF(AND(_xlfn.XLOOKUP(B407,'Base stats'!B:B,'Base stats'!AL:AL)=0,BI407="None",_xlfn.XLOOKUP(_xlfn.XLOOKUP(B407,'Base stats'!B:B,'Base stats'!E:E),Groups!A:A,Groups!B:B)=0), (18 + BR407 * 2.7) * 0.5,
    IF(AND(_xlfn.XLOOKUP(B407,'Base stats'!B:B,'Base stats'!AL:AL)=0,OR(AO407&lt;0.55,AND(BI407="Intermediate",_xlfn.XLOOKUP(_xlfn.XLOOKUP(B407,'Base stats'!B:B,'Base stats'!E:E),Groups!A:A,Groups!B:B)&lt;2))), (18 + BR407 * 2.7),
      IF(OR(BI407="Advanced",_xlfn.XLOOKUP(B407,'Base stats'!B:B,'Base stats'!AL:AL)=1,_xlfn.XLOOKUP(_xlfn.XLOOKUP(B407,'Base stats'!B:B,'Base stats'!E:E),Groups!A:A,Groups!B:B)=2), (18 + BR407 * 2.7) + 250, (18 + BR407 * 2.7))
    )
  ))
  + AO407 * 80
  + IF(COUNTIF(EggMilk!K$2:K$998, A407) &gt; 0, 125, 0)
  + IF(COUNTIF(EggMilk!P$2:P$998, A407) &gt; 0, 90, 0)
  + IF(COUNTIF(EggMilk!A$2:A$998, A407) &gt; 0, 90, 0)
)
* (0.8 + 0.4 * J407)
* 0.75,25)</f>
        <v>75</v>
      </c>
      <c r="I407" s="2">
        <f>MROUND(ROUNDDOWN(_xlfn.XLOOKUP(B407,'Base stats'!B:B,'Base stats'!L:L)/3.6/(23.3/11),1),0.5)</f>
        <v>3</v>
      </c>
      <c r="J407" s="2">
        <f>IF(OR(_xlfn.XLOOKUP(B407,'Base stats'!B:B,'Base stats'!AB:AB)=1,_xlfn.XLOOKUP(_xlfn.XLOOKUP(B407,'Base stats'!B:B,'Base stats'!E:E),Groups!A:A,Groups!C:C)="Untamable"),1,IF(_xlfn.XLOOKUP(B407,'Base stats'!B:B,'Base stats'!AL:AL)=1,0.99,MIN(MROUND((1-0.6282*EXP(-0.459*AO407))*_xlfn.XLOOKUP(_xlfn.XLOOKUP(B407,'Base stats'!B:B,'Base stats'!E:E),Groups!A:A,Groups!C:C)*IF(_xlfn.XLOOKUP(B407,'Base stats'!B:B,'Base stats'!O:O)=1,0.5,IF(_xlfn.XLOOKUP(B407,'Base stats'!B:B,'Base stats'!O:O)=2,0,1)),0.05),IF(AO407&gt;3.5,0.985,0.95))))</f>
        <v>0.45</v>
      </c>
      <c r="K407" s="2">
        <f>ROUNDUP(AO407*_xlfn.XLOOKUP(_xlfn.XLOOKUP(B407,'Base stats'!B:B,'Base stats'!E:E),Groups!A:A,Groups!E:E),0)</f>
        <v>1</v>
      </c>
      <c r="L407" s="2">
        <f>IF(OR(_xlfn.XLOOKUP(_xlfn.XLOOKUP(B407,'Base stats'!B:B,'Base stats'!E:E),Groups!A:A,Groups!F:F)=2,ISNUMBER(SEARCH("SeaIce",BX407)),ISNUMBER(SEARCH("IceSheet",BX407))),-50,IF(OR(ISNUMBER(SEARCH("GlacialPlain",BX407)),ISNUMBER(SEARCH("Tundra",BX407))),-40,IF(OR(ISNUMBER(SEARCH("Alpine",BX407)),ISNUMBER(SEARCH("BorealForest",BX407)),ISNUMBER(SEARCH("ColdBog",BX407))),-30,IF(OR(ISNUMBER(SEARCH("TemperateForest",BX407)),ISNUMBER(SEARCH("TemperateSwamp",BX407))),-20,IF(_xlfn.XLOOKUP(_xlfn.XLOOKUP(B407,'Base stats'!B:B,'Base stats'!E:E),Groups!A:A,Groups!F:F)=1,-15,IF(OR(ISNUMBER(SEARCH("Desert",BX407)),ISNUMBER(SEARCH("ExtremeDesert",BX407))),-10,IF(OR(ISNUMBER(SEARCH("Grasslands",BX407)),ISNUMBER(SEARCH("TropicalRainforest",BX407)),ISNUMBER(SEARCH("TropicalSwamp",BX407))),10,0)))))))-IF(CC407="False",MIN(IFERROR(MAX(MROUND(LOG10(_xlfn.XLOOKUP(B407,'Base stats'!B:B,'Base stats'!C:C)^(2/3))*10,5),5),5),30))-_xlfn.XLOOKUP(B407,'Base stats'!B:B,'Base stats'!P:P)+IF(CC407="True",5,0)</f>
        <v>5</v>
      </c>
      <c r="M407" s="2">
        <f>IF(OR(_xlfn.XLOOKUP(_xlfn.XLOOKUP(B407,'Base stats'!B:B,'Base stats'!E:E),Groups!A:A,Groups!G:G)=2,ISNUMBER(SEARCH("Desert",BX407)),ISNUMBER(SEARCH("ExtremeDesert",BX407)),ISNUMBER(SEARCH("LavaField",BX407))),50,IF(ISNUMBER(SEARCH("Grasslands",BX407)),45,IF(OR(_xlfn.XLOOKUP(_xlfn.XLOOKUP(B407,'Base stats'!B:B,'Base stats'!E:E),Groups!A:A,Groups!G:G)=1,ISNUMBER(SEARCH("TropicalRainforest",BX407)),ISNUMBER(SEARCH("TropicalSwamp",BX407))),40,IF(OR(ISNUMBER(SEARCH("TemperateForest",BX407)),ISNUMBER(SEARCH("TemperateSwamp",BX407))),35,IF(OR(ISNUMBER(SEARCH("Alpine",BX407)),ISNUMBER(SEARCH("BorealForest",BX407)),ISNUMBER(SEARCH("ColdBog",BX407))),30,IF(ISNUMBER(OR(ISNUMBER(SEARCH("GlacialPlain",BX407)),SEARCH("Tundra",BX407))),25,IF(OR(ISNUMBER(SEARCH("SeaIce",BX407)),ISNUMBER(SEARCH("IceSheet",BX407)),ISNUMBER(SEARCH("TropicalSwamp",BX407))),10,35)))))))+_xlfn.XLOOKUP(B407,'Base stats'!B:B,'Base stats'!Q:Q)</f>
        <v>35</v>
      </c>
      <c r="N407" s="8">
        <f>IF(
_xlfn.XLOOKUP(
_xlfn.XLOOKUP(B407,'Base stats'!B:B,'Base stats'!E:E),
Groups!A:A,
Groups!L:L
)=1,
MIN(
MROUND(
IF(
_xlfn.XLOOKUP(B407,'Animals CE'!B:B,'Animals CE'!Z:Z)&lt;=1.5,
_xlfn.XLOOKUP(B407,'Animals CE'!B:B,'Animals CE'!Z:Z)/2+0.05,
0.8+
(_xlfn.XLOOKUP(B407,'Animals CE'!B:B,'Animals CE'!Z:Z)-1.5)
*0.02
),
0.05
),
200%
),
"No"
)</f>
        <v>0.2</v>
      </c>
      <c r="O407" s="8">
        <f>IF(
_xlfn.XLOOKUP(
_xlfn.XLOOKUP(B407,'Base stats'!B:B,'Base stats'!E:E),
Groups!A:A,
Groups!L:L
)=1,
MIN(
MROUND(
IF(
_xlfn.XLOOKUP(B407,'Animals CE'!B:B,'Animals CE'!AA:AA)&lt;=1.5,
_xlfn.XLOOKUP(B407,'Animals CE'!B:B,'Animals CE'!AA:AA)/2+0.05,
0.8+
(_xlfn.XLOOKUP(B407,'Animals CE'!B:B,'Animals CE'!AA:AA)-1.5)
*0.02
),
0.05
),
200%
),
"No"
)</f>
        <v>0.15000000000000002</v>
      </c>
      <c r="P407" s="2" t="str">
        <f>_xlfn.XLOOKUP(B407,'Base stats'!B:B,'Base stats'!R:R)</f>
        <v>Standard</v>
      </c>
      <c r="Q407" s="13">
        <f>MROUND((LOG10(_xlfn.XLOOKUP(B407,'Base stats'!B:B,'Base stats'!AR:AR))*(AO407^0.5)+(_xlfn.XLOOKUP(B407,'Base stats'!B:B,'Base stats'!AR:AR)/1000)^(2/3)+_xlfn.XLOOKUP(B407,'Base stats'!B:B,'Base stats'!BA:BA)/2)+0.5,0.5)</f>
        <v>1</v>
      </c>
      <c r="R407" s="7">
        <f>IF(Q407="No","No",MAX(1,MROUND(_xlfn.XLOOKUP(B407,'Base stats'!B:B,'Base stats'!C:C)^0.165,0.05)))</f>
        <v>1</v>
      </c>
      <c r="S407" s="13" t="str">
        <f>IF(_xlfn.XLOOKUP(_xlfn.XLOOKUP(B407,'Base stats'!B:B,'Base stats'!E:E),Groups!A:A,Groups!P:P)=0,"No",MROUND((LOG10(_xlfn.XLOOKUP(B407,'Base stats'!B:B,'Base stats'!AS:AS))*(AO407^0.5)+(_xlfn.XLOOKUP(B407,'Base stats'!B:B,'Base stats'!AS:AS)/1000)^(2/3)+_xlfn.XLOOKUP(B407,'Base stats'!B:B,'Base stats'!BA:BA))+_xlfn.XLOOKUP(B407,'Base stats'!B:B,'Base stats'!AY:AY)+0.5,0.5))</f>
        <v>No</v>
      </c>
      <c r="T407" s="7" t="str">
        <f>IF(S407="No","No",MAX(_xlfn.XLOOKUP(_xlfn.XLOOKUP(B407,'Base stats'!B:B,'Base stats'!E:E),Groups!A:A,Groups!Q:Q),MROUND(_xlfn.XLOOKUP(_xlfn.XLOOKUP(B407,'Base stats'!B:B,'Base stats'!E:E),Groups!A:A,Groups!Q:Q)*_xlfn.XLOOKUP(B407,'Base stats'!B:B,'Base stats'!C:C)^0.165,0.05)))</f>
        <v>No</v>
      </c>
      <c r="U407" s="7" t="str">
        <f>IF(S407="No","No",_xlfn.XLOOKUP(_xlfn.XLOOKUP(B407,'Base stats'!B:B,'Base stats'!E:E),Groups!A:A,Groups!R:R))</f>
        <v>No</v>
      </c>
      <c r="V407" s="7" t="str">
        <f>IF(S407="No","No",_xlfn.XLOOKUP(_xlfn.XLOOKUP(B407,'Base stats'!B:B,'Base stats'!E:E),Groups!A:A,Groups!S:S))</f>
        <v>No</v>
      </c>
      <c r="W407" s="7" t="str">
        <f>IF(S407="No","No",_xlfn.XLOOKUP(_xlfn.XLOOKUP(B407,'Base stats'!B:B,'Base stats'!E:E),Groups!A:A,Groups!T:T))</f>
        <v>No</v>
      </c>
      <c r="X407" s="13" t="str">
        <f>IF(_xlfn.XLOOKUP(B407,'Base stats'!B:B,'Base stats'!W:W)="No","No",MROUND((LOG10(_xlfn.XLOOKUP(B407,'Base stats'!B:B,'Base stats'!AU:AU))*(AO407^0.5)+(_xlfn.XLOOKUP(B407,'Base stats'!B:B,'Base stats'!AU:AU)/1000)^(2/3)+_xlfn.XLOOKUP(B407,'Base stats'!B:B,'Base stats'!AZ:AZ))+0.5+IF(_xlfn.XLOOKUP(_xlfn.XLOOKUP(B407,'Base stats'!B:B,'Base stats'!E:E),Groups!A:A,Groups!U:U)&lt;&gt;3,_xlfn.XLOOKUP(B407,'Base stats'!B:B,'Base stats'!BA:BA),0),0.5))</f>
        <v>No</v>
      </c>
      <c r="Y407" s="7" t="str">
        <f>IF(X407="No","No",MAX(_xlfn.XLOOKUP(_xlfn.XLOOKUP(B407,'Base stats'!B:B,'Base stats'!E:E),Groups!A:A,Groups!V:V),MROUND(_xlfn.XLOOKUP(_xlfn.XLOOKUP(B407,'Base stats'!B:B,'Base stats'!E:E),Groups!A:A,Groups!V:V)*_xlfn.XLOOKUP(B407,'Base stats'!B:B,'Base stats'!C:C)^0.165,0.05)))</f>
        <v>No</v>
      </c>
      <c r="Z407" s="7" t="str">
        <f>IF(X407="No","No",_xlfn.XLOOKUP(_xlfn.XLOOKUP(B407,'Base stats'!B:B,'Base stats'!E:E),Groups!A:A,Groups!W:W))</f>
        <v>No</v>
      </c>
      <c r="AA407" s="7" t="str">
        <f>IF(X407="No","No",_xlfn.XLOOKUP(_xlfn.XLOOKUP(B407,'Base stats'!B:B,'Base stats'!E:E),Groups!A:A,Groups!X:X))</f>
        <v>No</v>
      </c>
      <c r="AB407" s="7" t="str">
        <f>IF(X407="No","No",_xlfn.XLOOKUP(_xlfn.XLOOKUP(B407,'Base stats'!B:B,'Base stats'!E:E),Groups!A:A,Groups!Y:Y))</f>
        <v>No</v>
      </c>
      <c r="AC407" s="7" t="str">
        <f>_xlfn.XLOOKUP(Animals!B407,'Base stats'!B:B,'Base stats'!X:X)</f>
        <v>False</v>
      </c>
      <c r="AD407" s="13">
        <f>IF(_xlfn.XLOOKUP(B407,'Base stats'!B:B,'Base stats'!AT:AT)="No","No",MROUND((LOG10(_xlfn.XLOOKUP(B407,'Base stats'!B:B,'Base stats'!AT:AT))*(AO407^0.75)+(_xlfn.XLOOKUP(B407,'Base stats'!B:B,'Base stats'!AT:AT)/1000)^(2/3)+_xlfn.XLOOKUP(B407,'Base stats'!B:B,'Base stats'!AX:AX)+_xlfn.XLOOKUP(B407,'Base stats'!B:B,'Base stats'!BA:BA))+0.5,0.5))</f>
        <v>1.5</v>
      </c>
      <c r="AE407" s="7">
        <f>IF(AD407="No","No",MAX(_xlfn.XLOOKUP(_xlfn.XLOOKUP(B407,'Base stats'!B:B,'Base stats'!E:E),Groups!A:A,Groups!Z:Z),MROUND(_xlfn.XLOOKUP(_xlfn.XLOOKUP(B407,'Base stats'!B:B,'Base stats'!E:E),Groups!A:A,Groups!Z:Z)*_xlfn.XLOOKUP(B407,'Base stats'!B:B,'Base stats'!C:C)^0.165,0.05)))</f>
        <v>1.2</v>
      </c>
      <c r="AF407" s="7" t="str">
        <f>IF(AD407="No","No",_xlfn.XLOOKUP(_xlfn.XLOOKUP(B407,'Base stats'!B:B,'Base stats'!E:E),Groups!A:A,Groups!AA:AA))</f>
        <v>Mouth</v>
      </c>
      <c r="AG407" s="7" t="str">
        <f>IF(AD407="No","No",_xlfn.XLOOKUP(_xlfn.XLOOKUP(B407,'Base stats'!B:B,'Base stats'!E:E),Groups!A:A,Groups!AB:AB))</f>
        <v>mandibles</v>
      </c>
      <c r="AH407" s="7" t="str">
        <f>IF(AD407="No","No",_xlfn.XLOOKUP(_xlfn.XLOOKUP(B407,'Base stats'!B:B,'Base stats'!E:E),Groups!A:A,Groups!AC:AC))</f>
        <v>Bite</v>
      </c>
      <c r="AI407" s="13">
        <f>IF(_xlfn.XLOOKUP(_xlfn.XLOOKUP(B407,'Base stats'!B:B,'Base stats'!E:E),Groups!A:A,Groups!AD:AD)=0,"No",MROUND((LOG10(_xlfn.XLOOKUP(B407,'Base stats'!B:B,'Base stats'!AS:AS))*(AO407^0.75)+(_xlfn.XLOOKUP(B407,'Base stats'!B:B,'Base stats'!AS:AS)/1000)^(2/3)+_xlfn.XLOOKUP(B407,'Base stats'!B:B,'Base stats'!AY:AY)+_xlfn.XLOOKUP(B407,'Base stats'!B:B,'Base stats'!BA:BA))+0.5,0.5))</f>
        <v>1.5</v>
      </c>
      <c r="AJ407" s="7">
        <f>IF(AI407="No","No",MAX(_xlfn.XLOOKUP(_xlfn.XLOOKUP(B407,'Base stats'!B:B,'Base stats'!E:E),Groups!A:A,Groups!AE:AE),MROUND(_xlfn.XLOOKUP(_xlfn.XLOOKUP(B407,'Base stats'!B:B,'Base stats'!E:E),Groups!A:A,Groups!AE:AE)*IF(_xlfn.XLOOKUP(_xlfn.XLOOKUP(B407,'Base stats'!B:B,'Base stats'!E:E),Groups!A:A,Groups!AJ:AJ)="Photonozoa",0.6,1)*_xlfn.XLOOKUP(B407,'Base stats'!B:B,'Base stats'!C:C)^0.165,0.05)))</f>
        <v>1.1000000000000001</v>
      </c>
      <c r="AK407" s="7" t="str">
        <f>IF(AI407="No","No",_xlfn.XLOOKUP(_xlfn.XLOOKUP(B407,'Base stats'!B:B,'Base stats'!E:E),Groups!A:A,Groups!AF:AF))</f>
        <v>LeftPincer, RightPincer</v>
      </c>
      <c r="AL407" s="7" t="str">
        <f>IF(AI407="No","No",_xlfn.XLOOKUP(_xlfn.XLOOKUP(B407,'Base stats'!B:B,'Base stats'!E:E),Groups!A:A,Groups!AG:AG))</f>
        <v>left claw, right claw</v>
      </c>
      <c r="AM407" s="7" t="str">
        <f>IF(AI407="No","No",_xlfn.XLOOKUP(_xlfn.XLOOKUP(B407,'Base stats'!B:B,'Base stats'!E:E),Groups!A:A,Groups!AH:AH))</f>
        <v>Scratch</v>
      </c>
      <c r="AN407" s="2">
        <f t="shared" si="49"/>
        <v>15</v>
      </c>
      <c r="AO407" s="2">
        <f>MROUND(IF(AND(_xlfn.XLOOKUP(B407,'Base stats'!B:B,'Base stats'!C:C)&gt;=0.5,_xlfn.XLOOKUP(B407,'Base stats'!B:B,'Base stats'!C:C)&lt;=0.8),
IF(_xlfn.XLOOKUP(B407,'Base stats'!B:B,'Base stats'!C:C)&lt;0.1,0.05,IF(_xlfn.XLOOKUP(B407,'Base stats'!B:B,'Base stats'!C:C)&lt;=70,(_xlfn.XLOOKUP(B407,'Base stats'!B:B,'Base stats'!C:C)/70)^0.426489913056526,IF(_xlfn.XLOOKUP(B407,'Base stats'!B:B,'Base stats'!C:C)&lt;=400,(_xlfn.XLOOKUP(B407,'Base stats'!B:B,'Base stats'!C:C)/70)^0.572811455315093,IF(_xlfn.XLOOKUP(B407,'Base stats'!B:B,'Base stats'!C:C)&lt;=2000,2.71391647193063*(_xlfn.XLOOKUP(B407,'Base stats'!B:B,'Base stats'!C:C)/400)^0.252459582904293,3.74314280240376*(_xlfn.XLOOKUP(B407,'Base stats'!B:B,'Base stats'!C:C)/2000)^0.357012633876913)))),
IF(_xlfn.XLOOKUP(B407,'Base stats'!B:B,'Base stats'!C:C)&lt;0.1,0.05,IF(_xlfn.XLOOKUP(B407,'Base stats'!B:B,'Base stats'!C:C)&lt;0.4,0.1,IF(_xlfn.XLOOKUP(B407,'Base stats'!B:B,'Base stats'!C:C)&lt;=70,(_xlfn.XLOOKUP(B407,'Base stats'!B:B,'Base stats'!C:C)/70)^0.445823913056526,IF(_xlfn.XLOOKUP(B407,'Base stats'!B:B,'Base stats'!C:C)&lt;=400,(_xlfn.XLOOKUP(B407,'Base stats'!B:B,'Base stats'!C:C)/70)^0.572811455315093,IF(_xlfn.XLOOKUP(B407,'Base stats'!B:B,'Base stats'!C:C)&lt;=2000,2.71391647193063*(_xlfn.XLOOKUP(B407,'Base stats'!B:B,'Base stats'!C:C)/400)^0.252459582904293,3.74314280240376*(_xlfn.XLOOKUP(B407,'Base stats'!B:B,'Base stats'!C:C)/2000)^0.357012633876913)))))),
IF(_xlfn.XLOOKUP(B407,'Base stats'!B:B,'Base stats'!C:C)&lt;0.1,0.05,IF(_xlfn.XLOOKUP(B407,'Base stats'!B:B,'Base stats'!C:C)&lt;=100,0.05,IF(_xlfn.XLOOKUP(B407,'Base stats'!B:B,'Base stats'!C:C)&lt;=250,0.1,IF(_xlfn.XLOOKUP(B407,'Base stats'!B:B,'Base stats'!C:C)&lt;=4000,0.25,0.5)))))</f>
        <v>0.1</v>
      </c>
      <c r="AP407" s="8">
        <f>MROUND(AO407*_xlfn.XLOOKUP(_xlfn.XLOOKUP(B407,'Base stats'!B:B,'Base stats'!E:E),Groups!A:A,Groups!AI:AI)*_xlfn.XLOOKUP(B407,'Base stats'!B:B,'Base stats'!Z:Z),0.05)</f>
        <v>0.1</v>
      </c>
      <c r="AQ407" s="8">
        <f>MAX(0.01,MROUND(IF(CC407="True",0.196*(AO407*100*1000)^0.889,IF(_xlfn.XLOOKUP(_xlfn.XLOOKUP(B407,'Base stats'!B:B,'Base stats'!E:E),Groups!A:A,Groups!AJ:AJ)="Bird",10.5*(AO407*100*1000)^0.681,4.82*(AO407*100*1000)^0.734))/(4.82*(1*100*1000)^0.734)/IF(AO407&lt;3.5,2,IF(AO407=3.5,1.5,1.25))*(1+0.132282374779864/(AO407^0.994035016789033+0.00905238001496948)),0.05))</f>
        <v>0.05</v>
      </c>
      <c r="AR407" s="9">
        <f>IFERROR(MROUND(_xlfn.XLOOKUP(B407,'Base stats'!B:B,'Base stats'!H:H)/IF(_xlfn.XLOOKUP(B407,'Base stats'!B:B,'Base stats'!I:I)&lt;&gt;1,(122.5/70),1.2),IF(_xlfn.XLOOKUP(B407,'Base stats'!B:B,'Base stats'!H:H)&gt;=30,5,IF(_xlfn.XLOOKUP(B407,'Base stats'!B:B,'Base stats'!H:H)&gt;=15,3,IF(_xlfn.XLOOKUP(B407,'Base stats'!B:B,'Base stats'!H:H)&gt;=10,2,1)))),"Immortal")</f>
        <v>12</v>
      </c>
      <c r="AS407" s="35" t="str">
        <f>IFERROR(IF(OR(_xlfn.XLOOKUP(B407,'Base stats'!B:B,'Base stats'!F:F)="Atypical reproduction",_xlfn.XLOOKUP(B407,'Base stats'!B:B,'Base stats'!F:F)="Lay eggs"),"Lay eggs",MIN(20,MAX(5.5,ROUND(((_xlfn.XLOOKUP(B407,'Base stats'!B:B,'Base stats'!F:F)-25)*(14.5/615) + 5.5)*2,0)/2))),"Unknown")</f>
        <v>Lay eggs</v>
      </c>
      <c r="AT407" s="8">
        <f>IF(_xlfn.XLOOKUP(B407,'Base stats'!B:B,'Base stats'!G:G)="Atypical reproduction","No",IFERROR(MAX(IF(_xlfn.XLOOKUP(B407,'Base stats'!B:B,'Base stats'!G:G)&lt;0.5,0.2,0.3),MROUND(_xlfn.XLOOKUP(B407,'Base stats'!B:B,'Base stats'!G:G)/(365/60),0.2)),"Unknown"))</f>
        <v>0.4</v>
      </c>
      <c r="AU407" s="8">
        <f t="shared" si="50"/>
        <v>0.2</v>
      </c>
      <c r="AV407" s="8" t="str">
        <f>IFERROR(IFERROR(MROUND(_xlfn.XLOOKUP(B407,'Base stats'!B:B,'Base stats'!J:J),0.1),"Lay eggs"),"Cannot breed")</f>
        <v>Lay eggs</v>
      </c>
      <c r="AW407" s="2" t="str">
        <f t="shared" si="51"/>
        <v>false</v>
      </c>
      <c r="AX407" s="2" t="str">
        <f>IF(_xlfn.XLOOKUP(_xlfn.XLOOKUP(Animals!B407,'Base stats'!B:B,'Base stats'!E:E),Groups!A:A,Groups!AK:AK)=1,"true","false")</f>
        <v>false</v>
      </c>
      <c r="AY407" s="25" t="str">
        <f>IF(_xlfn.XLOOKUP(B407,'Base stats'!B:B,'Base stats'!Y:Y)="Liquor","Liquor, CarnivoreAnimalStrict",IF(AND(_xlfn.XLOOKUP(B407,'Base stats'!B:B,'Base stats'!Y:Y)="Carnivore",_xlfn.XLOOKUP(_xlfn.XLOOKUP(B407,'Base stats'!B:B,'Base stats'!E:E),Groups!A:A,Groups!AJ:AJ)="Photonozoa"),"CarnivoreAnimalStrict, OvivoreAnimal",IF(_xlfn.XLOOKUP(B407,'Base stats'!B:B,'Base stats'!Y:Y)="Carnivore","CarnivoreAnimal, OvivoreAnimal",IF(_xlfn.XLOOKUP(B407,'Base stats'!B:B,'Base stats'!Y:Y)="Dendrovore","VegetarianRoughAnimal, DendrovoreAnimal",IF(_xlfn.XLOOKUP(B407,'Base stats'!B:B,'Base stats'!Y:Y)="Herbivore","VegetarianRoughAnimal",IF(_xlfn.XLOOKUP(B407,'Base stats'!B:B,'Base stats'!Y:Y)="OmnivoreRough","OmnivoreRoughAnimal, OvivoreAnimal","OmnivoreAnimal, OvivoreAnimal"))))))</f>
        <v>OmnivoreAnimal, OvivoreAnimal</v>
      </c>
      <c r="AZ407" s="2" t="str">
        <f>IF(_xlfn.XLOOKUP(_xlfn.XLOOKUP(B407,'Base stats'!B:B,'Base stats'!E:E),Groups!A:A,Groups!D:D)=1,MROUND((1-J407)*5+1,2)*IF(J407&lt;=0.4,2,1),"No")</f>
        <v>No</v>
      </c>
      <c r="BA407" s="2" t="str">
        <f>IF(AND(_xlfn.XLOOKUP(B407,'Base stats'!B:B,'Base stats'!AH:AH)="&lt;li&gt;Seal&lt;/li&gt;",G407="Odyssey"),"&lt;li&gt;AEXP_Seal&lt;/li&gt;",_xlfn.XLOOKUP(B407,'Base stats'!B:B,'Base stats'!AH:AH))</f>
        <v>&lt;li&gt;Megaspider&lt;/li&gt;</v>
      </c>
      <c r="BB407" s="2" t="str">
        <f>_xlfn.XLOOKUP(B407,'Base stats'!B:B,'Base stats'!AG:AG)</f>
        <v>Leather_Chitin</v>
      </c>
      <c r="BC407" s="23" t="str">
        <f>_xlfn.XLOOKUP(_xlfn.XLOOKUP(B407,'Base stats'!B:B,'Base stats'!E:E),Groups!A:A,Groups!AL:AL)</f>
        <v>ScorpionLike</v>
      </c>
      <c r="BD407" s="23">
        <f>MIN(1,MROUND(IF(AND(AO407&lt;0.5,_xlfn.XLOOKUP(B407,'Base stats'!B:B,'Base stats'!AA:AA)=0),0,IF(OR(_xlfn.XLOOKUP(Animals!B407,'Base stats'!B:B,'Base stats'!O:O)=2,_xlfn.XLOOKUP(_xlfn.XLOOKUP(B407,'Base stats'!B:B,'Base stats'!E:E),Groups!A:A,Groups!AN:AN)=0),0,_xlfn.XLOOKUP(_xlfn.XLOOKUP(B407,'Base stats'!B:B,'Base stats'!E:E),Groups!A:A,Groups!AN:AN)/IF(_xlfn.XLOOKUP(Animals!B407,'Base stats'!B:B,'Base stats'!O:O)=1,2,1)))+_xlfn.XLOOKUP(B407,'Base stats'!B:B,'Base stats'!AC:AC),0.005))</f>
        <v>0</v>
      </c>
      <c r="BE407" s="23">
        <f>MIN(1,MROUND(IF(AND(AO407&lt;0.5,_xlfn.XLOOKUP(B407,'Base stats'!B:B,'Base stats'!AA:AA)=0),0,IF(_xlfn.XLOOKUP(_xlfn.XLOOKUP(B407,'Base stats'!B:B,'Base stats'!E:E),Groups!A:A,Groups!AO:AO)=0,0,_xlfn.XLOOKUP(_xlfn.XLOOKUP(B407,'Base stats'!B:B,'Base stats'!E:E),Groups!A:A,Groups!AO:AO)/IF(_xlfn.XLOOKUP(Animals!B407,'Base stats'!B:B,'Base stats'!O:O)=2,3,1)))+_xlfn.XLOOKUP(B407,'Base stats'!B:B,'Base stats'!AD:AD),0.005))</f>
        <v>0</v>
      </c>
      <c r="BF407" s="2" t="str">
        <f>IF(J407&gt;0.3,"No",_xlfn.XLOOKUP(_xlfn.XLOOKUP(Animals!B407,'Base stats'!B:B,'Base stats'!E:E),Groups!A:A,Groups!AP:AP))</f>
        <v>No</v>
      </c>
      <c r="BG407" s="2" t="str">
        <f>IF(AND(J407&lt;=0.65,_xlfn.XLOOKUP(_xlfn.XLOOKUP(Animals!B407,'Base stats'!B:B,'Base stats'!E:E),Groups!A:A,Groups!AP:AP)&lt;&gt;"No",_xlfn.XLOOKUP(_xlfn.XLOOKUP(B407,'Base stats'!B:B,'Base stats'!E:E),Groups!A:A,Groups!D:D)=0),MROUND((80/3)*IF(_xlfn.XLOOKUP(B407,'Base stats'!B:B,'Base stats'!O:O)=2,0.2,AO407) + 24*(1-IF(BF407="No",0,BF407)) + 16/3, 12),"No")</f>
        <v>No</v>
      </c>
      <c r="BH407" s="2">
        <f>IF(AND(_xlfn.XLOOKUP(_xlfn.XLOOKUP(B407,'Base stats'!B:B,'Base stats'!E:E),Groups!A:A,Groups!AQ:AQ)=1,AO407&lt;=0.35),8,12)</f>
        <v>12</v>
      </c>
      <c r="BI407" s="2" t="str">
        <f>IF(_xlfn.XLOOKUP(_xlfn.XLOOKUP(B407,'Base stats'!B:B,'Base stats'!E:E),Groups!A:A,Groups!D:D)=0,_xlfn.XLOOKUP(_xlfn.XLOOKUP(B407,'Base stats'!B:B,'Base stats'!E:E),Groups!A:A,Groups!AR:AR),"None")</f>
        <v>None</v>
      </c>
      <c r="BJ407" s="2" t="str">
        <f>IF(AND(_xlfn.XLOOKUP(_xlfn.XLOOKUP(B407,'Base stats'!B:B,'Base stats'!E:E),Groups!A:A,Groups!AS:AS)=1,OR(_xlfn.XLOOKUP(B407,'Base stats'!B:B,'Base stats'!Y:Y)="Carnivore",_xlfn.XLOOKUP(B407,'Base stats'!B:B,'Base stats'!Y:Y)="Omnivore")),"true","false")</f>
        <v>true</v>
      </c>
      <c r="BK407" s="2">
        <f>IF(BJ407="true",MROUND(IF(AND(AO407&gt;0.5,OR(_xlfn.XLOOKUP(_xlfn.XLOOKUP(B407,'Base stats'!B:B,'Base stats'!E:E),Groups!A:A,Groups!AJ:AJ)="Photonozoa",_xlfn.XLOOKUP(_xlfn.XLOOKUP(B407,'Base stats'!B:B,'Base stats'!E:E),Groups!A:A,Groups!AJ:AJ)="Mammal")),Animals!AO407*1.75*IF(AW407="true",1.5,1),IF(AO407&lt;0.5,Animals!AO407*0.5,Animals!AO407)),IF(AO407&gt;2,0.5,IF(AO407&gt;0.5,0.25,0.1))),"No")</f>
        <v>0.1</v>
      </c>
      <c r="BL407" s="2">
        <f t="shared" si="52"/>
        <v>0</v>
      </c>
      <c r="BM407" s="25" t="str">
        <f>IF(_xlfn.XLOOKUP(B407,'Base stats'!B:B,'Base stats'!AN:AN)="Standard","No",MROUND((_xlfn.XLOOKUP(B407,'Base stats'!B:B,'Base stats'!AN:AN)/3.6)/I407,0.1))</f>
        <v>No</v>
      </c>
      <c r="BN407" s="25" t="str">
        <f t="shared" si="53"/>
        <v>false</v>
      </c>
      <c r="BO407" s="25" t="str">
        <f>IF(AND(OR(_xlfn.XLOOKUP(B407,'Base stats'!B:B,'Base stats'!Y:Y)="Carnivore",_xlfn.XLOOKUP(B407,'Base stats'!B:B,'Base stats'!Y:Y)="Omnivore",_xlfn.XLOOKUP(B407,'Base stats'!B:B,'Base stats'!Y:Y)="OmnivoreRough"),_xlfn.XLOOKUP(_xlfn.XLOOKUP(B407,'Base stats'!B:B,'Base stats'!E:E),Groups!A:A,Groups!AT:AT)=1),"true","false")</f>
        <v>false</v>
      </c>
      <c r="BP407" s="25" t="str" cm="1">
        <f t="array" ref="BP407">IF(
  _xlfn.TEXTJOIN(", ",TRUE,
    IF(AND(BJ407="true",AO407&gt;0.5,BI407&lt;&gt;"None"),"AttackTarget",""),
    IF(AND(_xlfn.XLOOKUP(_xlfn.XLOOKUP(B407,'Base stats'!B:B,'Base stats'!E:E),Groups!A:A,Groups!AJ:AJ="Mammal"),OR(_xlfn.XLOOKUP(B407,'Base stats'!B:B,'Base stats'!Y:Y)="Omnivore",_xlfn.XLOOKUP(B407,'Base stats'!B:B,'Base stats'!Y:Y)="OmnivoreRough")),"Forage",""),
    IF(BG407&lt;=36,"Comfort",""),
    IF(_xlfn.XLOOKUP(B407,'Base stats'!B:B,'Base stats'!AE:AE)&lt;&gt;"No",_xlfn.XLOOKUP(B407,'Base stats'!B:B,'Base stats'!AE:AE),"")
  ) = "",
  "No",
  _xlfn.TEXTJOIN(", ",TRUE,
    IF(AND(BJ407="true",AO407&gt;0.5,BI407&lt;&gt;"None"),"AttackTarget",""),
    IF(AND(_xlfn.XLOOKUP(_xlfn.XLOOKUP(B407,'Base stats'!B:B,'Base stats'!E:E),Groups!A:A,Groups!AJ:AJ="Mammal"),OR(_xlfn.XLOOKUP(B407,'Base stats'!B:B,'Base stats'!Y:Y)="Omnivore",_xlfn.XLOOKUP(B407,'Base stats'!B:B,'Base stats'!Y:Y)="OmnivoreRough")),"Forage",""),
    IF(BG407&lt;=36,"Comfort",""),
    IF(_xlfn.XLOOKUP(B407,'Base stats'!B:B,'Base stats'!AE:AE)&lt;&gt;"No",_xlfn.XLOOKUP(B407,'Base stats'!B:B,'Base stats'!AE:AE),"")
  )
)</f>
        <v>No</v>
      </c>
      <c r="BQ407" s="25" t="str">
        <f>IF(
   AND(
      'Base stats'!AN407="Standard",_xlfn.XLOOKUP(_xlfn.XLOOKUP(B407,'Base stats'!B:B,'Base stats'!E:E),Groups!A:A,Groups!AU:AU)=0,
      OR(
      BO407="True"
      )
   ),
   10,
   IF(
       OR(BM407&lt;&gt;"No",_xlfn.XLOOKUP(_xlfn.XLOOKUP(B407,'Base stats'!B:B,'Base stats'!E:E),Groups!A:A,Groups!AU:AU)=1),
      1,
      "No"
   )
)</f>
        <v>No</v>
      </c>
      <c r="BR407" s="9">
        <f>MROUND((1 + ((0.2*IF(OR(Q407="No",R407="No",R407=0),0,Q407/R407)
+IF(OR(V407="No",S407="No",T407="No"),0,S407/T407*(LEN(V407)-LEN(SUBSTITUTE(V407,",",""))+1))
+IF(OR(X407="No",Y407="No"),0,X407/Y407)
+IF(OR(AD407="No",AE407="No"),0,AD407/AE407)
+IF(OR(AL407="No",AI407="No",AJ407="No"),0,AI407/AJ407*(LEN(AL407)-LEN(SUBSTITUTE(AL407,",",""))+1))
)/(0.2*IF(OR(Q407="No",R407="No",R407=0),0,1)
+IF(OR(V407="No",S407="No",T407="No"),0,LEN(V407)-LEN(SUBSTITUTE(V407,",",""))+1)
+IF(OR(X407="No",Y407="No"),0,1)
+IF(OR(AD407="No",AE407="No"),0,1)
+IF(OR(AL407="No",AI407="No",AJ407="No"),0,LEN(AL407)-LEN(SUBSTITUTE(AL407,",",""))+1))*62%)* 2)*(1 + (AP407 / (IF(_xlfn.XLOOKUP(_xlfn.XLOOKUP(B407,'Base stats'!B:B,'Base stats'!E:E),Groups!A:A,Groups!AJ:AJ)="Photonozoa",0.3,1)) + _xlfn.XLOOKUP(B407,'Base stats'!B:B,'Base stats'!AV:AV) * 1.8) * 2) * 2.5 + 10 + I407 * 2,5)+IF(_xlfn.XLOOKUP(B407,'Base stats'!B:B,'Base stats'!AK:AK)=1,50,0)</f>
        <v>30</v>
      </c>
      <c r="BS407" s="8">
        <f t="shared" si="54"/>
        <v>0.05</v>
      </c>
      <c r="BT407" s="8" t="str">
        <f>_xlfn.XLOOKUP(B407,'Base stats'!B:B,'Base stats'!AF:AF)</f>
        <v>No</v>
      </c>
      <c r="BU407" s="2" t="str">
        <f>IF(AND(J407&lt;=0.95,OR(_xlfn.XLOOKUP(B407,'Base stats'!B:B,'Base stats'!AK:AK)=1,_xlfn.XLOOKUP(B407,'Base stats'!B:B,'Base stats'!Y:Y)="Carnivore",_xlfn.XLOOKUP(B407,'Base stats'!B:B,'Base stats'!Y:Y)="Omnivore",BE407&gt;0.1)),"true","false")</f>
        <v>true</v>
      </c>
      <c r="BV407" s="2" t="str">
        <f>IF(_xlfn.XLOOKUP(B407,'Base stats'!B:B,'Base stats'!AI:AI)=1,"true","false")</f>
        <v>false</v>
      </c>
      <c r="BW407" s="25" t="str">
        <f>IF(E407="BaseInsect","AnimalInsect",
IF(J407&gt;0.95,"AnimalExotic",
_xlfn.TEXTJOIN(", ",TRUE,
IF(OR(_xlfn.XLOOKUP(B407,'Base stats'!B:B,'Base stats'!AM:AM)=1,AND(_xlfn.XLOOKUP(B407,'Base stats'!B:B,'Base stats'!O:O)=0,_xlfn.XLOOKUP(_xlfn.XLOOKUP(B407,'Base stats'!B:B,'Base stats'!E:E),Groups!A:A,Groups!B:B)&gt;0)),"AnimalUncommon","AnimalCommon"),
IF(AND(_xlfn.XLOOKUP(B407,'Base stats'!B:B,'Base stats'!O:O)=2,_xlfn.XLOOKUP(_xlfn.XLOOKUP(B407,'Base stats'!B:B,'Base stats'!E:E),Groups!A:A,Groups!D:D)=0),"AnimalPet",IF(AND(_xlfn.XLOOKUP(B407,'Base stats'!B:B,'Base stats'!O:O)&lt;&gt;0,_xlfn.XLOOKUP(_xlfn.XLOOKUP(B407,'Base stats'!B:B,'Base stats'!E:E),Groups!A:A,Groups!D:D)&lt;&gt;0),"AnimalFarm","")),
IF(OR(_xlfn.XLOOKUP(B407,'Base stats'!B:B,'Base stats'!AK:AK)=1,AND(BI407&lt;&gt;"None",BR407&gt;=60),ISNUMBER(SEARCH("Attack target",BP407))),"AnimalFighter","")
)))</f>
        <v>AnimalUncommon</v>
      </c>
      <c r="BX407" s="25" t="str">
        <f>IF(G407="None",TRIM(
SUBSTITUTE(
IF(COUNTIF(Biomes!B$2:B$259,"="&amp;$C407)&gt;0,Biomes!B$1&amp;", ","")&amp;
IF(COUNTIF(Biomes!C$2:C$259,"="&amp;$C407)&gt;0,Biomes!C$1&amp;", ","")&amp;
IF(COUNTIF(Biomes!D$2:D$259,"="&amp;$C407)&gt;0,Biomes!D$1&amp;", ","")&amp;
IF(COUNTIF(Biomes!F$2:F$259,"="&amp;$C407)&gt;0,Biomes!F$1&amp;", ","")&amp;
IF(COUNTIF(Biomes!G$2:G$259,"="&amp;$C407)&gt;0,Biomes!G$1&amp;", ","")&amp;
IF(COUNTIF(Biomes!H$2:H$259,"="&amp;$C407)&gt;0,Biomes!H$1&amp;", ","")&amp;
IF(COUNTIF(Biomes!I$2:I$259,"="&amp;$C407)&gt;0,Biomes!I$1&amp;", ","")&amp;
IF(COUNTIF(Biomes!J$2:J$259,"="&amp;$C407)&gt;0,Biomes!J$1&amp;", ","")&amp;
IF(COUNTIF(Biomes!M$2:M$259,"="&amp;$C407)&gt;0,Biomes!M$1&amp;", ","")&amp;
IF(COUNTIF(Biomes!N$2:N$259,"="&amp;$C407)&gt;0,Biomes!N$1&amp;", ","")&amp;
IF(COUNTIF(Biomes!O$2:O$259,"="&amp;$C407)&gt;0,Biomes!O$1&amp;", ","")&amp;
IF(COUNTIF(Biomes!P$2:P$259,"="&amp;$C407)&gt;0,Biomes!P$1&amp;", ","")&amp;
IF(COUNTIF(Biomes!K$2:K$259,"="&amp;$C407)&gt;0,Biomes!K$1&amp;", ","")&amp;
IF(COUNTIF(Biomes!Q$3:Q$259,"="&amp;$C407)&gt;0,Biomes!Q$1&amp;", ","")&amp;
IF(COUNTIF(Biomes!L$2:L$259,"="&amp;$C407)&gt;0,Biomes!L$1&amp;", ","")&amp;
IF(COUNTIF(Biomes!E$2:E$259,"="&amp;$C407)&gt;0,Biomes!E$1&amp;", ","")&amp;IF(COUNTIF(Biomes!S$2:S$259,"="&amp;$C407)&gt;0,Biomes!S$1&amp;", ","")&amp;
IF(COUNTIF(Biomes!R$2:R$259,"="&amp;$C407)&gt;0,Biomes!R$1&amp;", ",""),", ","")
),_xlfn.XLOOKUP(B407,B:B,BX:BX))</f>
        <v/>
      </c>
      <c r="BY407" s="25" t="str">
        <f>IF(_xlfn.XLOOKUP(B407,'Base stats'!B:B,'Base stats'!AJ:AJ)=1,"true","false")</f>
        <v>false</v>
      </c>
      <c r="BZ407" s="25">
        <f>IF(_xlfn.XLOOKUP(B407,'Base stats'!B:B,'Base stats'!N:N)=1,"No",MAX(0.001,MIN(MROUND(IF(AND(BJ407="True",CC407="False"),POWER(10,3.47*LOG10(_xlfn.XLOOKUP(B407,'Base stats'!B:B,'Base stats'!C:C)*1000)^-0.96),POWER(10,4.15*LOG10(_xlfn.XLOOKUP(B407,'Base stats'!B:B,'Base stats'!C:C)*1000)^-0.73))*IF(_xlfn.XLOOKUP(B407,'Base stats'!B:B,'Base stats'!AK:AK)=1,0.5,1)*IF(_xlfn.XLOOKUP(B407,'Base stats'!B:B,'Base stats'!AM:AM)=1,0.1,1)/100,IF(_xlfn.XLOOKUP(B407,'Base stats'!B:B,'Base stats'!AM:AM)=1,0.001,0.025)),0.5)))</f>
        <v>0.22500000000000001</v>
      </c>
      <c r="CA407" s="25" t="str">
        <f>IF(P407="Standard","No",MAX(0.001,MIN(MROUND(IF(AND(BJ407="True",CC407="False"),POWER(10,3.47*LOG10(_xlfn.XLOOKUP(B407,'Base stats'!B:B,'Base stats'!C:C)*1000)^-0.96),POWER(10,4.15*LOG10(_xlfn.XLOOKUP(B407,'Base stats'!B:B,'Base stats'!C:C)*1000)^-0.73))*IF(_xlfn.XLOOKUP(B407,'Base stats'!B:B,'Base stats'!AM:AM)=1,0.1,1)*_xlfn.XLOOKUP(B407,'Base stats'!B:B,'Base stats'!R:R)/100,IF(_xlfn.XLOOKUP(B407,'Base stats'!B:B,'Base stats'!AM:AM)=1,0.001,0.025)),0.5)))</f>
        <v>No</v>
      </c>
      <c r="CB407" s="25" t="str">
        <f>IF(_xlfn.XLOOKUP(_xlfn.XLOOKUP(B407,'Base stats'!B:B,'Base stats'!E:E),Groups!A:A,Groups!AJ:AJ)="Mammal","True","False")</f>
        <v>False</v>
      </c>
      <c r="CC407" s="25" t="str">
        <f>IF(OR(_xlfn.XLOOKUP(_xlfn.XLOOKUP(B407,'Base stats'!B:B,'Base stats'!E:E),Groups!A:A,Groups!AJ:AJ)="Reptile",_xlfn.XLOOKUP(_xlfn.XLOOKUP(B407,'Base stats'!B:B,'Base stats'!E:E),Groups!A:A,Groups!AJ:AJ)="Amphibian",_xlfn.XLOOKUP(_xlfn.XLOOKUP(B407,'Base stats'!B:B,'Base stats'!E:E),Groups!A:A,Groups!AJ:AJ)="Invertebrate"),"True","False")</f>
        <v>True</v>
      </c>
      <c r="CD407" s="25" t="str">
        <f t="shared" si="55"/>
        <v>False</v>
      </c>
      <c r="CE407" s="25" t="str">
        <f>IF(_xlfn.XLOOKUP(_xlfn.XLOOKUP(B407,'Base stats'!B:B,'Base stats'!E:E),Groups!A:A,Groups!AX:AX),"True","False")</f>
        <v>False</v>
      </c>
      <c r="CF407" s="25" t="str">
        <f>IF(_xlfn.XLOOKUP(_xlfn.XLOOKUP(B407,'Base stats'!B:B,'Base stats'!E:E),Groups!A:A,Groups!AY:AY),"True","False")</f>
        <v>False</v>
      </c>
      <c r="CG407" s="25" t="str">
        <f>IF(_xlfn.XLOOKUP(_xlfn.XLOOKUP(B407,'Base stats'!B:B,'Base stats'!E:E),Groups!A:A,Groups!AW:AW),"True","False")</f>
        <v>False</v>
      </c>
      <c r="CH407" s="25" t="str">
        <f>IF(
OR(
_xlfn.XLOOKUP(_xlfn.XLOOKUP(B407,'Base stats'!B:B,'Base stats'!E:E),Groups!A:A,Groups!AZ:AZ)=0,
AND(
_xlfn.XLOOKUP(B407,'Base stats'!B:B,'Base stats'!Y:Y)&lt;&gt;"Carnivore",
_xlfn.XLOOKUP(B407,'Base stats'!B:B,'Base stats'!Y:Y)&lt;&gt;"Omnivore",
_xlfn.XLOOKUP(B407,'Base stats'!B:B,'Base stats'!Y:Y)&lt;&gt;"OmnivoreRough"
)
),
"No",
IF(
_xlfn.XLOOKUP(_xlfn.XLOOKUP(B407,'Base stats'!B:B,'Base stats'!E:E),Groups!A:A,Groups!AZ:AZ)=1,
"Flesh",
IF(
_xlfn.XLOOKUP(_xlfn.XLOOKUP(B407,'Base stats'!B:B,'Base stats'!E:E),Groups!A:A,Groups!AZ:AZ)=2,
"Bone",
""
)
)
)</f>
        <v>No</v>
      </c>
      <c r="CI407" s="25" t="str">
        <f>IF(_xlfn.XLOOKUP(_xlfn.XLOOKUP(B407,'Base stats'!B:B,'Base stats'!E:E),Groups!A:A,Groups!BB:BB),"True","False")</f>
        <v>False</v>
      </c>
      <c r="CJ407" s="25" t="str">
        <f>IF(_xlfn.XLOOKUP(_xlfn.XLOOKUP(B407,'Base stats'!B:B,'Base stats'!E:E),Groups!A:A,Groups!BA:BA),"True","False")</f>
        <v>False</v>
      </c>
    </row>
    <row r="408" spans="1:88" ht="16.5" thickTop="1" thickBot="1" x14ac:dyDescent="0.3">
      <c r="A408" s="26" t="s">
        <v>2097</v>
      </c>
      <c r="B408" s="6" t="str">
        <f>_xlfn.XLOOKUP(A408,'Base stats'!A:A,'Base stats'!B:B)</f>
        <v>Mastodon turicensis</v>
      </c>
      <c r="C408" s="28" t="str">
        <f t="shared" si="56"/>
        <v>&lt;li&gt;Zygolophodon&lt;/li&gt;</v>
      </c>
      <c r="D408" s="28" t="s">
        <v>2126</v>
      </c>
      <c r="E408" s="28" t="s">
        <v>673</v>
      </c>
      <c r="F408" s="28" t="s">
        <v>673</v>
      </c>
      <c r="G408" s="28" t="s">
        <v>673</v>
      </c>
      <c r="H408" s="2">
        <f>MROUND((
  (IF(AND(_xlfn.XLOOKUP(B408,'Base stats'!B:B,'Base stats'!AL:AL)=0,BI408="None",_xlfn.XLOOKUP(_xlfn.XLOOKUP(B408,'Base stats'!B:B,'Base stats'!E:E),Groups!A:A,Groups!B:B)=0), (18 + BR408 * 2.7) * 0.5,
    IF(AND(_xlfn.XLOOKUP(B408,'Base stats'!B:B,'Base stats'!AL:AL)=0,OR(AO408&lt;0.55,AND(BI408="Intermediate",_xlfn.XLOOKUP(_xlfn.XLOOKUP(B408,'Base stats'!B:B,'Base stats'!E:E),Groups!A:A,Groups!B:B)&lt;2))), (18 + BR408 * 2.7),
      IF(OR(BI408="Advanced",_xlfn.XLOOKUP(B408,'Base stats'!B:B,'Base stats'!AL:AL)=1,_xlfn.XLOOKUP(_xlfn.XLOOKUP(B408,'Base stats'!B:B,'Base stats'!E:E),Groups!A:A,Groups!B:B)=2), (18 + BR408 * 2.7) + 250, (18 + BR408 * 2.7))
    )
  ))
  + AO408 * 80
  + IF(COUNTIF(EggMilk!K$2:K$998, A408) &gt; 0, 125, 0)
  + IF(COUNTIF(EggMilk!P$2:P$998, A408) &gt; 0, 90, 0)
  + IF(COUNTIF(EggMilk!A$2:A$998, A408) &gt; 0, 90, 0)
)
* (0.8 + 0.4 * J408)
* 0.75,25)</f>
        <v>1875</v>
      </c>
      <c r="I408" s="2">
        <f>MROUND(ROUNDDOWN(_xlfn.XLOOKUP(B408,'Base stats'!B:B,'Base stats'!L:L)/3.6/(23.3/11),1),0.5)</f>
        <v>3.5</v>
      </c>
      <c r="J408" s="2">
        <f>IF(OR(_xlfn.XLOOKUP(B408,'Base stats'!B:B,'Base stats'!AB:AB)=1,_xlfn.XLOOKUP(_xlfn.XLOOKUP(B408,'Base stats'!B:B,'Base stats'!E:E),Groups!A:A,Groups!C:C)="Untamable"),1,IF(_xlfn.XLOOKUP(B408,'Base stats'!B:B,'Base stats'!AL:AL)=1,0.99,MIN(MROUND((1-0.6282*EXP(-0.459*AO408))*_xlfn.XLOOKUP(_xlfn.XLOOKUP(B408,'Base stats'!B:B,'Base stats'!E:E),Groups!A:A,Groups!C:C)*IF(_xlfn.XLOOKUP(B408,'Base stats'!B:B,'Base stats'!O:O)=1,0.5,IF(_xlfn.XLOOKUP(B408,'Base stats'!B:B,'Base stats'!O:O)=2,0,1)),0.05),IF(AO408&gt;3.5,0.985,0.95))))</f>
        <v>0.95000000000000007</v>
      </c>
      <c r="K408" s="2">
        <f>ROUNDUP(AO408*_xlfn.XLOOKUP(_xlfn.XLOOKUP(B408,'Base stats'!B:B,'Base stats'!E:E),Groups!A:A,Groups!E:E),0)</f>
        <v>28</v>
      </c>
      <c r="L408" s="2">
        <f>IF(OR(_xlfn.XLOOKUP(_xlfn.XLOOKUP(B408,'Base stats'!B:B,'Base stats'!E:E),Groups!A:A,Groups!F:F)=2,ISNUMBER(SEARCH("SeaIce",BX408)),ISNUMBER(SEARCH("IceSheet",BX408))),-50,IF(OR(ISNUMBER(SEARCH("GlacialPlain",BX408)),ISNUMBER(SEARCH("Tundra",BX408))),-40,IF(OR(ISNUMBER(SEARCH("Alpine",BX408)),ISNUMBER(SEARCH("BorealForest",BX408)),ISNUMBER(SEARCH("ColdBog",BX408))),-30,IF(OR(ISNUMBER(SEARCH("TemperateForest",BX408)),ISNUMBER(SEARCH("TemperateSwamp",BX408))),-20,IF(_xlfn.XLOOKUP(_xlfn.XLOOKUP(B408,'Base stats'!B:B,'Base stats'!E:E),Groups!A:A,Groups!F:F)=1,-15,IF(OR(ISNUMBER(SEARCH("Desert",BX408)),ISNUMBER(SEARCH("ExtremeDesert",BX408))),-10,IF(OR(ISNUMBER(SEARCH("Grasslands",BX408)),ISNUMBER(SEARCH("TropicalRainforest",BX408)),ISNUMBER(SEARCH("TropicalSwamp",BX408))),10,0)))))))-IF(CC408="False",MIN(IFERROR(MAX(MROUND(LOG10(_xlfn.XLOOKUP(B408,'Base stats'!B:B,'Base stats'!C:C)^(2/3))*10,5),5),5),30))-_xlfn.XLOOKUP(B408,'Base stats'!B:B,'Base stats'!P:P)+IF(CC408="True",5,0)</f>
        <v>-25</v>
      </c>
      <c r="M408" s="2">
        <f>IF(OR(_xlfn.XLOOKUP(_xlfn.XLOOKUP(B408,'Base stats'!B:B,'Base stats'!E:E),Groups!A:A,Groups!G:G)=2,ISNUMBER(SEARCH("Desert",BX408)),ISNUMBER(SEARCH("ExtremeDesert",BX408)),ISNUMBER(SEARCH("LavaField",BX408))),50,IF(ISNUMBER(SEARCH("Grasslands",BX408)),45,IF(OR(_xlfn.XLOOKUP(_xlfn.XLOOKUP(B408,'Base stats'!B:B,'Base stats'!E:E),Groups!A:A,Groups!G:G)=1,ISNUMBER(SEARCH("TropicalRainforest",BX408)),ISNUMBER(SEARCH("TropicalSwamp",BX408))),40,IF(OR(ISNUMBER(SEARCH("TemperateForest",BX408)),ISNUMBER(SEARCH("TemperateSwamp",BX408))),35,IF(OR(ISNUMBER(SEARCH("Alpine",BX408)),ISNUMBER(SEARCH("BorealForest",BX408)),ISNUMBER(SEARCH("ColdBog",BX408))),30,IF(ISNUMBER(OR(ISNUMBER(SEARCH("GlacialPlain",BX408)),SEARCH("Tundra",BX408))),25,IF(OR(ISNUMBER(SEARCH("SeaIce",BX408)),ISNUMBER(SEARCH("IceSheet",BX408)),ISNUMBER(SEARCH("TropicalSwamp",BX408))),10,35)))))))+_xlfn.XLOOKUP(B408,'Base stats'!B:B,'Base stats'!Q:Q)</f>
        <v>35</v>
      </c>
      <c r="N408" s="8" t="str">
        <f>IF(
_xlfn.XLOOKUP(
_xlfn.XLOOKUP(B408,'Base stats'!B:B,'Base stats'!E:E),
Groups!A:A,
Groups!L:L
)=1,
MIN(
MROUND(
IF(
_xlfn.XLOOKUP(B408,'Animals CE'!B:B,'Animals CE'!Z:Z)&lt;=1.5,
_xlfn.XLOOKUP(B408,'Animals CE'!B:B,'Animals CE'!Z:Z)/2+0.05,
0.8+
(_xlfn.XLOOKUP(B408,'Animals CE'!B:B,'Animals CE'!Z:Z)-1.5)
*0.02
),
0.05
),
200%
),
"No"
)</f>
        <v>No</v>
      </c>
      <c r="O408" s="8" t="str">
        <f>IF(
_xlfn.XLOOKUP(
_xlfn.XLOOKUP(B408,'Base stats'!B:B,'Base stats'!E:E),
Groups!A:A,
Groups!L:L
)=1,
MIN(
MROUND(
IF(
_xlfn.XLOOKUP(B408,'Animals CE'!B:B,'Animals CE'!AA:AA)&lt;=1.5,
_xlfn.XLOOKUP(B408,'Animals CE'!B:B,'Animals CE'!AA:AA)/2+0.05,
0.8+
(_xlfn.XLOOKUP(B408,'Animals CE'!B:B,'Animals CE'!AA:AA)-1.5)
*0.02
),
0.05
),
200%
),
"No"
)</f>
        <v>No</v>
      </c>
      <c r="P408" s="2" t="str">
        <f>_xlfn.XLOOKUP(B408,'Base stats'!B:B,'Base stats'!R:R)</f>
        <v>Standard</v>
      </c>
      <c r="Q408" s="13">
        <f>MROUND((LOG10(_xlfn.XLOOKUP(B408,'Base stats'!B:B,'Base stats'!AR:AR))*(AO408^0.5)+(_xlfn.XLOOKUP(B408,'Base stats'!B:B,'Base stats'!AR:AR)/1000)^(2/3)+_xlfn.XLOOKUP(B408,'Base stats'!B:B,'Base stats'!BA:BA)/2)+0.5,0.5)</f>
        <v>40.5</v>
      </c>
      <c r="R408" s="7">
        <f>IF(Q408="No","No",MAX(1,MROUND(_xlfn.XLOOKUP(B408,'Base stats'!B:B,'Base stats'!C:C)^0.165,0.05)))</f>
        <v>4.2</v>
      </c>
      <c r="S408" s="13">
        <f>IF(_xlfn.XLOOKUP(_xlfn.XLOOKUP(B408,'Base stats'!B:B,'Base stats'!E:E),Groups!A:A,Groups!P:P)=0,"No",MROUND((LOG10(_xlfn.XLOOKUP(B408,'Base stats'!B:B,'Base stats'!AS:AS))*(AO408^0.5)+(_xlfn.XLOOKUP(B408,'Base stats'!B:B,'Base stats'!AS:AS)/1000)^(2/3)+_xlfn.XLOOKUP(B408,'Base stats'!B:B,'Base stats'!BA:BA))+_xlfn.XLOOKUP(B408,'Base stats'!B:B,'Base stats'!AY:AY)+0.5,0.5))</f>
        <v>47</v>
      </c>
      <c r="T408" s="7">
        <f>IF(S408="No","No",MAX(_xlfn.XLOOKUP(_xlfn.XLOOKUP(B408,'Base stats'!B:B,'Base stats'!E:E),Groups!A:A,Groups!Q:Q),MROUND(_xlfn.XLOOKUP(_xlfn.XLOOKUP(B408,'Base stats'!B:B,'Base stats'!E:E),Groups!A:A,Groups!Q:Q)*_xlfn.XLOOKUP(B408,'Base stats'!B:B,'Base stats'!C:C)^0.165,0.05)))</f>
        <v>3.8000000000000003</v>
      </c>
      <c r="U408" s="7" t="str">
        <f>IF(S408="No","No",_xlfn.XLOOKUP(_xlfn.XLOOKUP(B408,'Base stats'!B:B,'Base stats'!E:E),Groups!A:A,Groups!R:R))</f>
        <v>FrontLeftLeg, FrontRightLeg</v>
      </c>
      <c r="V408" s="7" t="str">
        <f>IF(S408="No","No",_xlfn.XLOOKUP(_xlfn.XLOOKUP(B408,'Base stats'!B:B,'Base stats'!E:E),Groups!A:A,Groups!S:S))</f>
        <v>left foot, right foot</v>
      </c>
      <c r="W408" s="7" t="str">
        <f>IF(S408="No","No",_xlfn.XLOOKUP(_xlfn.XLOOKUP(B408,'Base stats'!B:B,'Base stats'!E:E),Groups!A:A,Groups!T:T))</f>
        <v>Blunt</v>
      </c>
      <c r="X408" s="13">
        <f>IF(_xlfn.XLOOKUP(B408,'Base stats'!B:B,'Base stats'!W:W)="No","No",MROUND((LOG10(_xlfn.XLOOKUP(B408,'Base stats'!B:B,'Base stats'!AU:AU))*(AO408^0.5)+(_xlfn.XLOOKUP(B408,'Base stats'!B:B,'Base stats'!AU:AU)/1000)^(2/3)+_xlfn.XLOOKUP(B408,'Base stats'!B:B,'Base stats'!AZ:AZ))+0.5+IF(_xlfn.XLOOKUP(_xlfn.XLOOKUP(B408,'Base stats'!B:B,'Base stats'!E:E),Groups!A:A,Groups!U:U)&lt;&gt;3,_xlfn.XLOOKUP(B408,'Base stats'!B:B,'Base stats'!BA:BA),0),0.5))</f>
        <v>41</v>
      </c>
      <c r="Y408" s="7">
        <f>IF(X408="No","No",MAX(_xlfn.XLOOKUP(_xlfn.XLOOKUP(B408,'Base stats'!B:B,'Base stats'!E:E),Groups!A:A,Groups!V:V),MROUND(_xlfn.XLOOKUP(_xlfn.XLOOKUP(B408,'Base stats'!B:B,'Base stats'!E:E),Groups!A:A,Groups!V:V)*_xlfn.XLOOKUP(B408,'Base stats'!B:B,'Base stats'!C:C)^0.165,0.05)))</f>
        <v>2.95</v>
      </c>
      <c r="Z408" s="7" t="str">
        <f>IF(X408="No","No",_xlfn.XLOOKUP(_xlfn.XLOOKUP(B408,'Base stats'!B:B,'Base stats'!E:E),Groups!A:A,Groups!W:W))</f>
        <v>TuskAttackTool</v>
      </c>
      <c r="AA408" s="7" t="str">
        <f>IF(X408="No","No",_xlfn.XLOOKUP(_xlfn.XLOOKUP(B408,'Base stats'!B:B,'Base stats'!E:E),Groups!A:A,Groups!X:X))</f>
        <v>tusk</v>
      </c>
      <c r="AB408" s="7" t="str">
        <f>IF(X408="No","No",_xlfn.XLOOKUP(_xlfn.XLOOKUP(B408,'Base stats'!B:B,'Base stats'!E:E),Groups!A:A,Groups!Y:Y))</f>
        <v>Scratch</v>
      </c>
      <c r="AC408" s="7" t="str">
        <f>_xlfn.XLOOKUP(Animals!B408,'Base stats'!B:B,'Base stats'!X:X)</f>
        <v>False</v>
      </c>
      <c r="AD408" s="13" t="str">
        <f>IF(_xlfn.XLOOKUP(B408,'Base stats'!B:B,'Base stats'!AT:AT)="No","No",MROUND((LOG10(_xlfn.XLOOKUP(B408,'Base stats'!B:B,'Base stats'!AT:AT))*(AO408^0.75)+(_xlfn.XLOOKUP(B408,'Base stats'!B:B,'Base stats'!AT:AT)/1000)^(2/3)+_xlfn.XLOOKUP(B408,'Base stats'!B:B,'Base stats'!AX:AX)+_xlfn.XLOOKUP(B408,'Base stats'!B:B,'Base stats'!BA:BA))+0.5,0.5))</f>
        <v>No</v>
      </c>
      <c r="AE408" s="7" t="str">
        <f>IF(AD408="No","No",MAX(_xlfn.XLOOKUP(_xlfn.XLOOKUP(B408,'Base stats'!B:B,'Base stats'!E:E),Groups!A:A,Groups!Z:Z),MROUND(_xlfn.XLOOKUP(_xlfn.XLOOKUP(B408,'Base stats'!B:B,'Base stats'!E:E),Groups!A:A,Groups!Z:Z)*_xlfn.XLOOKUP(B408,'Base stats'!B:B,'Base stats'!C:C)^0.165,0.05)))</f>
        <v>No</v>
      </c>
      <c r="AF408" s="7" t="str">
        <f>IF(AD408="No","No",_xlfn.XLOOKUP(_xlfn.XLOOKUP(B408,'Base stats'!B:B,'Base stats'!E:E),Groups!A:A,Groups!AA:AA))</f>
        <v>No</v>
      </c>
      <c r="AG408" s="7" t="str">
        <f>IF(AD408="No","No",_xlfn.XLOOKUP(_xlfn.XLOOKUP(B408,'Base stats'!B:B,'Base stats'!E:E),Groups!A:A,Groups!AB:AB))</f>
        <v>No</v>
      </c>
      <c r="AH408" s="7" t="str">
        <f>IF(AD408="No","No",_xlfn.XLOOKUP(_xlfn.XLOOKUP(B408,'Base stats'!B:B,'Base stats'!E:E),Groups!A:A,Groups!AC:AC))</f>
        <v>No</v>
      </c>
      <c r="AI408" s="13" t="str">
        <f>IF(_xlfn.XLOOKUP(_xlfn.XLOOKUP(B408,'Base stats'!B:B,'Base stats'!E:E),Groups!A:A,Groups!AD:AD)=0,"No",MROUND((LOG10(_xlfn.XLOOKUP(B408,'Base stats'!B:B,'Base stats'!AS:AS))*(AO408^0.75)+(_xlfn.XLOOKUP(B408,'Base stats'!B:B,'Base stats'!AS:AS)/1000)^(2/3)+_xlfn.XLOOKUP(B408,'Base stats'!B:B,'Base stats'!AY:AY)+_xlfn.XLOOKUP(B408,'Base stats'!B:B,'Base stats'!BA:BA))+0.5,0.5))</f>
        <v>No</v>
      </c>
      <c r="AJ408" s="7" t="str">
        <f>IF(AI408="No","No",MAX(_xlfn.XLOOKUP(_xlfn.XLOOKUP(B408,'Base stats'!B:B,'Base stats'!E:E),Groups!A:A,Groups!AE:AE),MROUND(_xlfn.XLOOKUP(_xlfn.XLOOKUP(B408,'Base stats'!B:B,'Base stats'!E:E),Groups!A:A,Groups!AE:AE)*IF(_xlfn.XLOOKUP(_xlfn.XLOOKUP(B408,'Base stats'!B:B,'Base stats'!E:E),Groups!A:A,Groups!AJ:AJ)="Photonozoa",0.6,1)*_xlfn.XLOOKUP(B408,'Base stats'!B:B,'Base stats'!C:C)^0.165,0.05)))</f>
        <v>No</v>
      </c>
      <c r="AK408" s="7" t="str">
        <f>IF(AI408="No","No",_xlfn.XLOOKUP(_xlfn.XLOOKUP(B408,'Base stats'!B:B,'Base stats'!E:E),Groups!A:A,Groups!AF:AF))</f>
        <v>No</v>
      </c>
      <c r="AL408" s="7" t="str">
        <f>IF(AI408="No","No",_xlfn.XLOOKUP(_xlfn.XLOOKUP(B408,'Base stats'!B:B,'Base stats'!E:E),Groups!A:A,Groups!AG:AG))</f>
        <v>No</v>
      </c>
      <c r="AM408" s="7" t="str">
        <f>IF(AI408="No","No",_xlfn.XLOOKUP(_xlfn.XLOOKUP(B408,'Base stats'!B:B,'Base stats'!E:E),Groups!A:A,Groups!AH:AH))</f>
        <v>No</v>
      </c>
      <c r="AN408" s="2" t="str">
        <f t="shared" si="49"/>
        <v>No</v>
      </c>
      <c r="AO408" s="2">
        <f>MROUND(IF(AND(_xlfn.XLOOKUP(B408,'Base stats'!B:B,'Base stats'!C:C)&gt;=0.5,_xlfn.XLOOKUP(B408,'Base stats'!B:B,'Base stats'!C:C)&lt;=0.8),
IF(_xlfn.XLOOKUP(B408,'Base stats'!B:B,'Base stats'!C:C)&lt;0.1,0.05,IF(_xlfn.XLOOKUP(B408,'Base stats'!B:B,'Base stats'!C:C)&lt;=70,(_xlfn.XLOOKUP(B408,'Base stats'!B:B,'Base stats'!C:C)/70)^0.426489913056526,IF(_xlfn.XLOOKUP(B408,'Base stats'!B:B,'Base stats'!C:C)&lt;=400,(_xlfn.XLOOKUP(B408,'Base stats'!B:B,'Base stats'!C:C)/70)^0.572811455315093,IF(_xlfn.XLOOKUP(B408,'Base stats'!B:B,'Base stats'!C:C)&lt;=2000,2.71391647193063*(_xlfn.XLOOKUP(B408,'Base stats'!B:B,'Base stats'!C:C)/400)^0.252459582904293,3.74314280240376*(_xlfn.XLOOKUP(B408,'Base stats'!B:B,'Base stats'!C:C)/2000)^0.357012633876913)))),
IF(_xlfn.XLOOKUP(B408,'Base stats'!B:B,'Base stats'!C:C)&lt;0.1,0.05,IF(_xlfn.XLOOKUP(B408,'Base stats'!B:B,'Base stats'!C:C)&lt;0.4,0.1,IF(_xlfn.XLOOKUP(B408,'Base stats'!B:B,'Base stats'!C:C)&lt;=70,(_xlfn.XLOOKUP(B408,'Base stats'!B:B,'Base stats'!C:C)/70)^0.445823913056526,IF(_xlfn.XLOOKUP(B408,'Base stats'!B:B,'Base stats'!C:C)&lt;=400,(_xlfn.XLOOKUP(B408,'Base stats'!B:B,'Base stats'!C:C)/70)^0.572811455315093,IF(_xlfn.XLOOKUP(B408,'Base stats'!B:B,'Base stats'!C:C)&lt;=2000,2.71391647193063*(_xlfn.XLOOKUP(B408,'Base stats'!B:B,'Base stats'!C:C)/400)^0.252459582904293,3.74314280240376*(_xlfn.XLOOKUP(B408,'Base stats'!B:B,'Base stats'!C:C)/2000)^0.357012633876913)))))),
IF(_xlfn.XLOOKUP(B408,'Base stats'!B:B,'Base stats'!C:C)&lt;0.1,0.05,IF(_xlfn.XLOOKUP(B408,'Base stats'!B:B,'Base stats'!C:C)&lt;=100,0.05,IF(_xlfn.XLOOKUP(B408,'Base stats'!B:B,'Base stats'!C:C)&lt;=250,0.1,IF(_xlfn.XLOOKUP(B408,'Base stats'!B:B,'Base stats'!C:C)&lt;=4000,0.25,0.5)))))</f>
        <v>5.5</v>
      </c>
      <c r="AP408" s="8">
        <f>MROUND(AO408*_xlfn.XLOOKUP(_xlfn.XLOOKUP(B408,'Base stats'!B:B,'Base stats'!E:E),Groups!A:A,Groups!AI:AI)*_xlfn.XLOOKUP(B408,'Base stats'!B:B,'Base stats'!Z:Z),0.05)</f>
        <v>5.5</v>
      </c>
      <c r="AQ408" s="8">
        <f>MAX(0.01,MROUND(IF(CC408="True",0.196*(AO408*100*1000)^0.889,IF(_xlfn.XLOOKUP(_xlfn.XLOOKUP(B408,'Base stats'!B:B,'Base stats'!E:E),Groups!A:A,Groups!AJ:AJ)="Bird",10.5*(AO408*100*1000)^0.681,4.82*(AO408*100*1000)^0.734))/(4.82*(1*100*1000)^0.734)/IF(AO408&lt;3.5,2,IF(AO408=3.5,1.5,1.25))*(1+0.132282374779864/(AO408^0.994035016789033+0.00905238001496948)),0.05))</f>
        <v>2.85</v>
      </c>
      <c r="AR408" s="9">
        <f>IFERROR(MROUND(_xlfn.XLOOKUP(B408,'Base stats'!B:B,'Base stats'!H:H)/IF(_xlfn.XLOOKUP(B408,'Base stats'!B:B,'Base stats'!I:I)&lt;&gt;1,(122.5/70),1.2),IF(_xlfn.XLOOKUP(B408,'Base stats'!B:B,'Base stats'!H:H)&gt;=30,5,IF(_xlfn.XLOOKUP(B408,'Base stats'!B:B,'Base stats'!H:H)&gt;=15,3,IF(_xlfn.XLOOKUP(B408,'Base stats'!B:B,'Base stats'!H:H)&gt;=10,2,1)))),"Immortal")</f>
        <v>55</v>
      </c>
      <c r="AS408" s="35">
        <f>IFERROR(IF(OR(_xlfn.XLOOKUP(B408,'Base stats'!B:B,'Base stats'!F:F)="Atypical reproduction",_xlfn.XLOOKUP(B408,'Base stats'!B:B,'Base stats'!F:F)="Lay eggs"),"Lay eggs",MIN(20,MAX(5.5,ROUND(((_xlfn.XLOOKUP(B408,'Base stats'!B:B,'Base stats'!F:F)-25)*(14.5/615) + 5.5)*2,0)/2))),"Unknown")</f>
        <v>20</v>
      </c>
      <c r="AT408" s="8">
        <f>IF(_xlfn.XLOOKUP(B408,'Base stats'!B:B,'Base stats'!G:G)="Atypical reproduction","No",IFERROR(MAX(IF(_xlfn.XLOOKUP(B408,'Base stats'!B:B,'Base stats'!G:G)&lt;0.5,0.2,0.3),MROUND(_xlfn.XLOOKUP(B408,'Base stats'!B:B,'Base stats'!G:G)/(365/60),0.2)),"Unknown"))</f>
        <v>1.8</v>
      </c>
      <c r="AU408" s="8">
        <f t="shared" si="50"/>
        <v>0.9</v>
      </c>
      <c r="AV408" s="8">
        <f>IFERROR(IFERROR(MROUND(_xlfn.XLOOKUP(B408,'Base stats'!B:B,'Base stats'!J:J),0.1),"Lay eggs"),"Cannot breed")</f>
        <v>1</v>
      </c>
      <c r="AW408" s="2" t="str">
        <f t="shared" si="51"/>
        <v>true</v>
      </c>
      <c r="AX408" s="2" t="str">
        <f>IF(_xlfn.XLOOKUP(_xlfn.XLOOKUP(Animals!B408,'Base stats'!B:B,'Base stats'!E:E),Groups!A:A,Groups!AK:AK)=1,"true","false")</f>
        <v>true</v>
      </c>
      <c r="AY408" s="25" t="str">
        <f>IF(_xlfn.XLOOKUP(B408,'Base stats'!B:B,'Base stats'!Y:Y)="Liquor","Liquor, CarnivoreAnimalStrict",IF(AND(_xlfn.XLOOKUP(B408,'Base stats'!B:B,'Base stats'!Y:Y)="Carnivore",_xlfn.XLOOKUP(_xlfn.XLOOKUP(B408,'Base stats'!B:B,'Base stats'!E:E),Groups!A:A,Groups!AJ:AJ)="Photonozoa"),"CarnivoreAnimalStrict, OvivoreAnimal",IF(_xlfn.XLOOKUP(B408,'Base stats'!B:B,'Base stats'!Y:Y)="Carnivore","CarnivoreAnimal, OvivoreAnimal",IF(_xlfn.XLOOKUP(B408,'Base stats'!B:B,'Base stats'!Y:Y)="Dendrovore","VegetarianRoughAnimal, DendrovoreAnimal",IF(_xlfn.XLOOKUP(B408,'Base stats'!B:B,'Base stats'!Y:Y)="Herbivore","VegetarianRoughAnimal",IF(_xlfn.XLOOKUP(B408,'Base stats'!B:B,'Base stats'!Y:Y)="OmnivoreRough","OmnivoreRoughAnimal, OvivoreAnimal","OmnivoreAnimal, OvivoreAnimal"))))))</f>
        <v>VegetarianRoughAnimal</v>
      </c>
      <c r="AZ408" s="2" t="str">
        <f>IF(_xlfn.XLOOKUP(_xlfn.XLOOKUP(B408,'Base stats'!B:B,'Base stats'!E:E),Groups!A:A,Groups!D:D)=1,MROUND((1-J408)*5+1,2)*IF(J408&lt;=0.4,2,1),"No")</f>
        <v>No</v>
      </c>
      <c r="BA408" s="2" t="str">
        <f>IF(AND(_xlfn.XLOOKUP(B408,'Base stats'!B:B,'Base stats'!AH:AH)="&lt;li&gt;Seal&lt;/li&gt;",G408="Odyssey"),"&lt;li&gt;AEXP_Seal&lt;/li&gt;",_xlfn.XLOOKUP(B408,'Base stats'!B:B,'Base stats'!AH:AH))</f>
        <v>&lt;li&gt;Elephant&lt;/li&gt;</v>
      </c>
      <c r="BB408" s="2" t="str">
        <f>_xlfn.XLOOKUP(B408,'Base stats'!B:B,'Base stats'!AG:AG)</f>
        <v>Leather_Mastodon</v>
      </c>
      <c r="BC408" s="23" t="str">
        <f>_xlfn.XLOOKUP(_xlfn.XLOOKUP(B408,'Base stats'!B:B,'Base stats'!E:E),Groups!A:A,Groups!AL:AL)</f>
        <v>QuadrupedAnimalWithHoovesTusksAndTrunk</v>
      </c>
      <c r="BD408" s="23">
        <f>MIN(1,MROUND(IF(AND(AO408&lt;0.5,_xlfn.XLOOKUP(B408,'Base stats'!B:B,'Base stats'!AA:AA)=0),0,IF(OR(_xlfn.XLOOKUP(Animals!B408,'Base stats'!B:B,'Base stats'!O:O)=2,_xlfn.XLOOKUP(_xlfn.XLOOKUP(B408,'Base stats'!B:B,'Base stats'!E:E),Groups!A:A,Groups!AN:AN)=0),0,_xlfn.XLOOKUP(_xlfn.XLOOKUP(B408,'Base stats'!B:B,'Base stats'!E:E),Groups!A:A,Groups!AN:AN)/IF(_xlfn.XLOOKUP(Animals!B408,'Base stats'!B:B,'Base stats'!O:O)=1,2,1)))+_xlfn.XLOOKUP(B408,'Base stats'!B:B,'Base stats'!AC:AC),0.005))</f>
        <v>2.5000000000000001E-2</v>
      </c>
      <c r="BE408" s="23">
        <f>MIN(1,MROUND(IF(AND(AO408&lt;0.5,_xlfn.XLOOKUP(B408,'Base stats'!B:B,'Base stats'!AA:AA)=0),0,IF(_xlfn.XLOOKUP(_xlfn.XLOOKUP(B408,'Base stats'!B:B,'Base stats'!E:E),Groups!A:A,Groups!AO:AO)=0,0,_xlfn.XLOOKUP(_xlfn.XLOOKUP(B408,'Base stats'!B:B,'Base stats'!E:E),Groups!A:A,Groups!AO:AO)/IF(_xlfn.XLOOKUP(Animals!B408,'Base stats'!B:B,'Base stats'!O:O)=2,3,1)))+_xlfn.XLOOKUP(B408,'Base stats'!B:B,'Base stats'!AD:AD),0.005))</f>
        <v>0.3</v>
      </c>
      <c r="BF408" s="2" t="str">
        <f>IF(J408&gt;0.3,"No",_xlfn.XLOOKUP(_xlfn.XLOOKUP(Animals!B408,'Base stats'!B:B,'Base stats'!E:E),Groups!A:A,Groups!AP:AP))</f>
        <v>No</v>
      </c>
      <c r="BG408" s="2" t="str">
        <f>IF(AND(J408&lt;=0.65,_xlfn.XLOOKUP(_xlfn.XLOOKUP(Animals!B408,'Base stats'!B:B,'Base stats'!E:E),Groups!A:A,Groups!AP:AP)&lt;&gt;"No",_xlfn.XLOOKUP(_xlfn.XLOOKUP(B408,'Base stats'!B:B,'Base stats'!E:E),Groups!A:A,Groups!D:D)=0),MROUND((80/3)*IF(_xlfn.XLOOKUP(B408,'Base stats'!B:B,'Base stats'!O:O)=2,0.2,AO408) + 24*(1-IF(BF408="No",0,BF408)) + 16/3, 12),"No")</f>
        <v>No</v>
      </c>
      <c r="BH408" s="2">
        <f>IF(AND(_xlfn.XLOOKUP(_xlfn.XLOOKUP(B408,'Base stats'!B:B,'Base stats'!E:E),Groups!A:A,Groups!AQ:AQ)=1,AO408&lt;=0.35),8,12)</f>
        <v>12</v>
      </c>
      <c r="BI408" s="2" t="str">
        <f>IF(_xlfn.XLOOKUP(_xlfn.XLOOKUP(B408,'Base stats'!B:B,'Base stats'!E:E),Groups!A:A,Groups!D:D)=0,_xlfn.XLOOKUP(_xlfn.XLOOKUP(B408,'Base stats'!B:B,'Base stats'!E:E),Groups!A:A,Groups!AR:AR),"None")</f>
        <v>Advanced</v>
      </c>
      <c r="BJ408" s="2" t="str">
        <f>IF(AND(_xlfn.XLOOKUP(_xlfn.XLOOKUP(B408,'Base stats'!B:B,'Base stats'!E:E),Groups!A:A,Groups!AS:AS)=1,OR(_xlfn.XLOOKUP(B408,'Base stats'!B:B,'Base stats'!Y:Y)="Carnivore",_xlfn.XLOOKUP(B408,'Base stats'!B:B,'Base stats'!Y:Y)="Omnivore")),"true","false")</f>
        <v>false</v>
      </c>
      <c r="BK408" s="2" t="str">
        <f>IF(BJ408="true",MROUND(IF(AND(AO408&gt;0.5,OR(_xlfn.XLOOKUP(_xlfn.XLOOKUP(B408,'Base stats'!B:B,'Base stats'!E:E),Groups!A:A,Groups!AJ:AJ)="Photonozoa",_xlfn.XLOOKUP(_xlfn.XLOOKUP(B408,'Base stats'!B:B,'Base stats'!E:E),Groups!A:A,Groups!AJ:AJ)="Mammal")),Animals!AO408*1.75*IF(AW408="true",1.5,1),IF(AO408&lt;0.5,Animals!AO408*0.5,Animals!AO408)),IF(AO408&gt;2,0.5,IF(AO408&gt;0.5,0.25,0.1))),"No")</f>
        <v>No</v>
      </c>
      <c r="BL408" s="2">
        <f t="shared" si="52"/>
        <v>1</v>
      </c>
      <c r="BM408" s="25" t="str">
        <f>IF(_xlfn.XLOOKUP(B408,'Base stats'!B:B,'Base stats'!AN:AN)="Standard","No",MROUND((_xlfn.XLOOKUP(B408,'Base stats'!B:B,'Base stats'!AN:AN)/3.6)/I408,0.1))</f>
        <v>No</v>
      </c>
      <c r="BN408" s="25" t="str">
        <f t="shared" si="53"/>
        <v>false</v>
      </c>
      <c r="BO408" s="25" t="str">
        <f>IF(AND(OR(_xlfn.XLOOKUP(B408,'Base stats'!B:B,'Base stats'!Y:Y)="Carnivore",_xlfn.XLOOKUP(B408,'Base stats'!B:B,'Base stats'!Y:Y)="Omnivore",_xlfn.XLOOKUP(B408,'Base stats'!B:B,'Base stats'!Y:Y)="OmnivoreRough"),_xlfn.XLOOKUP(_xlfn.XLOOKUP(B408,'Base stats'!B:B,'Base stats'!E:E),Groups!A:A,Groups!AT:AT)=1),"true","false")</f>
        <v>false</v>
      </c>
      <c r="BP408" s="25" t="str" cm="1">
        <f t="array" ref="BP408">IF(
  _xlfn.TEXTJOIN(", ",TRUE,
    IF(AND(BJ408="true",AO408&gt;0.5,BI408&lt;&gt;"None"),"AttackTarget",""),
    IF(AND(_xlfn.XLOOKUP(_xlfn.XLOOKUP(B408,'Base stats'!B:B,'Base stats'!E:E),Groups!A:A,Groups!AJ:AJ="Mammal"),OR(_xlfn.XLOOKUP(B408,'Base stats'!B:B,'Base stats'!Y:Y)="Omnivore",_xlfn.XLOOKUP(B408,'Base stats'!B:B,'Base stats'!Y:Y)="OmnivoreRough")),"Forage",""),
    IF(BG408&lt;=36,"Comfort",""),
    IF(_xlfn.XLOOKUP(B408,'Base stats'!B:B,'Base stats'!AE:AE)&lt;&gt;"No",_xlfn.XLOOKUP(B408,'Base stats'!B:B,'Base stats'!AE:AE),"")
  ) = "",
  "No",
  _xlfn.TEXTJOIN(", ",TRUE,
    IF(AND(BJ408="true",AO408&gt;0.5,BI408&lt;&gt;"None"),"AttackTarget",""),
    IF(AND(_xlfn.XLOOKUP(_xlfn.XLOOKUP(B408,'Base stats'!B:B,'Base stats'!E:E),Groups!A:A,Groups!AJ:AJ="Mammal"),OR(_xlfn.XLOOKUP(B408,'Base stats'!B:B,'Base stats'!Y:Y)="Omnivore",_xlfn.XLOOKUP(B408,'Base stats'!B:B,'Base stats'!Y:Y)="OmnivoreRough")),"Forage",""),
    IF(BG408&lt;=36,"Comfort",""),
    IF(_xlfn.XLOOKUP(B408,'Base stats'!B:B,'Base stats'!AE:AE)&lt;&gt;"No",_xlfn.XLOOKUP(B408,'Base stats'!B:B,'Base stats'!AE:AE),"")
  )
)</f>
        <v>WarTrumpet</v>
      </c>
      <c r="BQ408" s="25" t="str">
        <f>IF(
   AND(
      'Base stats'!AN408="Standard",_xlfn.XLOOKUP(_xlfn.XLOOKUP(B408,'Base stats'!B:B,'Base stats'!E:E),Groups!A:A,Groups!AU:AU)=0,
      OR(
      BO408="True"
      )
   ),
   10,
   IF(
       OR(BM408&lt;&gt;"No",_xlfn.XLOOKUP(_xlfn.XLOOKUP(B408,'Base stats'!B:B,'Base stats'!E:E),Groups!A:A,Groups!AU:AU)=1),
      1,
      "No"
   )
)</f>
        <v>No</v>
      </c>
      <c r="BR408" s="9">
        <f>MROUND((1 + ((0.2*IF(OR(Q408="No",R408="No",R408=0),0,Q408/R408)
+IF(OR(V408="No",S408="No",T408="No"),0,S408/T408*(LEN(V408)-LEN(SUBSTITUTE(V408,",",""))+1))
+IF(OR(X408="No",Y408="No"),0,X408/Y408)
+IF(OR(AD408="No",AE408="No"),0,AD408/AE408)
+IF(OR(AL408="No",AI408="No",AJ408="No"),0,AI408/AJ408*(LEN(AL408)-LEN(SUBSTITUTE(AL408,",",""))+1))
)/(0.2*IF(OR(Q408="No",R408="No",R408=0),0,1)
+IF(OR(V408="No",S408="No",T408="No"),0,LEN(V408)-LEN(SUBSTITUTE(V408,",",""))+1)
+IF(OR(X408="No",Y408="No"),0,1)
+IF(OR(AD408="No",AE408="No"),0,1)
+IF(OR(AL408="No",AI408="No",AJ408="No"),0,LEN(AL408)-LEN(SUBSTITUTE(AL408,",",""))+1))*62%)* 2)*(1 + (AP408 / (IF(_xlfn.XLOOKUP(_xlfn.XLOOKUP(B408,'Base stats'!B:B,'Base stats'!E:E),Groups!A:A,Groups!AJ:AJ)="Photonozoa",0.3,1)) + _xlfn.XLOOKUP(B408,'Base stats'!B:B,'Base stats'!AV:AV) * 1.8) * 2) * 2.5 + 10 + I408 * 2,5)+IF(_xlfn.XLOOKUP(B408,'Base stats'!B:B,'Base stats'!AK:AK)=1,50,0)</f>
        <v>520</v>
      </c>
      <c r="BS408" s="8">
        <f t="shared" si="54"/>
        <v>3.4000000000000004</v>
      </c>
      <c r="BT408" s="8" t="str">
        <f>_xlfn.XLOOKUP(B408,'Base stats'!B:B,'Base stats'!AF:AF)</f>
        <v>3~10</v>
      </c>
      <c r="BU408" s="2" t="str">
        <f>IF(AND(J408&lt;=0.95,OR(_xlfn.XLOOKUP(B408,'Base stats'!B:B,'Base stats'!AK:AK)=1,_xlfn.XLOOKUP(B408,'Base stats'!B:B,'Base stats'!Y:Y)="Carnivore",_xlfn.XLOOKUP(B408,'Base stats'!B:B,'Base stats'!Y:Y)="Omnivore",BE408&gt;0.1)),"true","false")</f>
        <v>true</v>
      </c>
      <c r="BV408" s="2" t="str">
        <f>IF(_xlfn.XLOOKUP(B408,'Base stats'!B:B,'Base stats'!AI:AI)=1,"true","false")</f>
        <v>true</v>
      </c>
      <c r="BW408" s="25" t="str">
        <f>IF(E408="BaseInsect","AnimalInsect",
IF(J408&gt;0.95,"AnimalExotic",
_xlfn.TEXTJOIN(", ",TRUE,
IF(OR(_xlfn.XLOOKUP(B408,'Base stats'!B:B,'Base stats'!AM:AM)=1,AND(_xlfn.XLOOKUP(B408,'Base stats'!B:B,'Base stats'!O:O)=0,_xlfn.XLOOKUP(_xlfn.XLOOKUP(B408,'Base stats'!B:B,'Base stats'!E:E),Groups!A:A,Groups!B:B)&gt;0)),"AnimalUncommon","AnimalCommon"),
IF(AND(_xlfn.XLOOKUP(B408,'Base stats'!B:B,'Base stats'!O:O)=2,_xlfn.XLOOKUP(_xlfn.XLOOKUP(B408,'Base stats'!B:B,'Base stats'!E:E),Groups!A:A,Groups!D:D)=0),"AnimalPet",IF(AND(_xlfn.XLOOKUP(B408,'Base stats'!B:B,'Base stats'!O:O)&lt;&gt;0,_xlfn.XLOOKUP(_xlfn.XLOOKUP(B408,'Base stats'!B:B,'Base stats'!E:E),Groups!A:A,Groups!D:D)&lt;&gt;0),"AnimalFarm","")),
IF(OR(_xlfn.XLOOKUP(B408,'Base stats'!B:B,'Base stats'!AK:AK)=1,AND(BI408&lt;&gt;"None",BR408&gt;=60),ISNUMBER(SEARCH("Attack target",BP408))),"AnimalFighter","")
)))</f>
        <v>AnimalUncommon, AnimalFighter</v>
      </c>
      <c r="BX408" s="25" t="str">
        <f>IF(G408="None",TRIM(
SUBSTITUTE(
IF(COUNTIF(Biomes!B$2:B$259,"="&amp;$C408)&gt;0,Biomes!B$1&amp;", ","")&amp;
IF(COUNTIF(Biomes!C$2:C$259,"="&amp;$C408)&gt;0,Biomes!C$1&amp;", ","")&amp;
IF(COUNTIF(Biomes!D$2:D$259,"="&amp;$C408)&gt;0,Biomes!D$1&amp;", ","")&amp;
IF(COUNTIF(Biomes!F$2:F$259,"="&amp;$C408)&gt;0,Biomes!F$1&amp;", ","")&amp;
IF(COUNTIF(Biomes!G$2:G$259,"="&amp;$C408)&gt;0,Biomes!G$1&amp;", ","")&amp;
IF(COUNTIF(Biomes!H$2:H$259,"="&amp;$C408)&gt;0,Biomes!H$1&amp;", ","")&amp;
IF(COUNTIF(Biomes!I$2:I$259,"="&amp;$C408)&gt;0,Biomes!I$1&amp;", ","")&amp;
IF(COUNTIF(Biomes!J$2:J$259,"="&amp;$C408)&gt;0,Biomes!J$1&amp;", ","")&amp;
IF(COUNTIF(Biomes!M$2:M$259,"="&amp;$C408)&gt;0,Biomes!M$1&amp;", ","")&amp;
IF(COUNTIF(Biomes!N$2:N$259,"="&amp;$C408)&gt;0,Biomes!N$1&amp;", ","")&amp;
IF(COUNTIF(Biomes!O$2:O$259,"="&amp;$C408)&gt;0,Biomes!O$1&amp;", ","")&amp;
IF(COUNTIF(Biomes!P$2:P$259,"="&amp;$C408)&gt;0,Biomes!P$1&amp;", ","")&amp;
IF(COUNTIF(Biomes!K$2:K$259,"="&amp;$C408)&gt;0,Biomes!K$1&amp;", ","")&amp;
IF(COUNTIF(Biomes!Q$3:Q$259,"="&amp;$C408)&gt;0,Biomes!Q$1&amp;", ","")&amp;
IF(COUNTIF(Biomes!L$2:L$259,"="&amp;$C408)&gt;0,Biomes!L$1&amp;", ","")&amp;
IF(COUNTIF(Biomes!E$2:E$259,"="&amp;$C408)&gt;0,Biomes!E$1&amp;", ","")&amp;IF(COUNTIF(Biomes!S$2:S$259,"="&amp;$C408)&gt;0,Biomes!S$1&amp;", ","")&amp;
IF(COUNTIF(Biomes!R$2:R$259,"="&amp;$C408)&gt;0,Biomes!R$1&amp;", ",""),", ","")
),_xlfn.XLOOKUP(B408,B:B,BX:BX))</f>
        <v/>
      </c>
      <c r="BY408" s="25" t="str">
        <f>IF(_xlfn.XLOOKUP(B408,'Base stats'!B:B,'Base stats'!AJ:AJ)=1,"true","false")</f>
        <v>false</v>
      </c>
      <c r="BZ408" s="25">
        <f>IF(_xlfn.XLOOKUP(B408,'Base stats'!B:B,'Base stats'!N:N)=1,"No",MAX(0.001,MIN(MROUND(IF(AND(BJ408="True",CC408="False"),POWER(10,3.47*LOG10(_xlfn.XLOOKUP(B408,'Base stats'!B:B,'Base stats'!C:C)*1000)^-0.96),POWER(10,4.15*LOG10(_xlfn.XLOOKUP(B408,'Base stats'!B:B,'Base stats'!C:C)*1000)^-0.73))*IF(_xlfn.XLOOKUP(B408,'Base stats'!B:B,'Base stats'!AK:AK)=1,0.5,1)*IF(_xlfn.XLOOKUP(B408,'Base stats'!B:B,'Base stats'!AM:AM)=1,0.1,1)/100,IF(_xlfn.XLOOKUP(B408,'Base stats'!B:B,'Base stats'!AM:AM)=1,0.001,0.025)),0.5)))</f>
        <v>0.1</v>
      </c>
      <c r="CA408" s="25" t="str">
        <f>IF(P408="Standard","No",MAX(0.001,MIN(MROUND(IF(AND(BJ408="True",CC408="False"),POWER(10,3.47*LOG10(_xlfn.XLOOKUP(B408,'Base stats'!B:B,'Base stats'!C:C)*1000)^-0.96),POWER(10,4.15*LOG10(_xlfn.XLOOKUP(B408,'Base stats'!B:B,'Base stats'!C:C)*1000)^-0.73))*IF(_xlfn.XLOOKUP(B408,'Base stats'!B:B,'Base stats'!AM:AM)=1,0.1,1)*_xlfn.XLOOKUP(B408,'Base stats'!B:B,'Base stats'!R:R)/100,IF(_xlfn.XLOOKUP(B408,'Base stats'!B:B,'Base stats'!AM:AM)=1,0.001,0.025)),0.5)))</f>
        <v>No</v>
      </c>
      <c r="CB408" s="25" t="str">
        <f>IF(_xlfn.XLOOKUP(_xlfn.XLOOKUP(B408,'Base stats'!B:B,'Base stats'!E:E),Groups!A:A,Groups!AJ:AJ)="Mammal","True","False")</f>
        <v>True</v>
      </c>
      <c r="CC408" s="25" t="str">
        <f>IF(OR(_xlfn.XLOOKUP(_xlfn.XLOOKUP(B408,'Base stats'!B:B,'Base stats'!E:E),Groups!A:A,Groups!AJ:AJ)="Reptile",_xlfn.XLOOKUP(_xlfn.XLOOKUP(B408,'Base stats'!B:B,'Base stats'!E:E),Groups!A:A,Groups!AJ:AJ)="Amphibian",_xlfn.XLOOKUP(_xlfn.XLOOKUP(B408,'Base stats'!B:B,'Base stats'!E:E),Groups!A:A,Groups!AJ:AJ)="Invertebrate"),"True","False")</f>
        <v>False</v>
      </c>
      <c r="CD408" s="25" t="str">
        <f t="shared" si="55"/>
        <v>False</v>
      </c>
      <c r="CE408" s="25" t="str">
        <f>IF(_xlfn.XLOOKUP(_xlfn.XLOOKUP(B408,'Base stats'!B:B,'Base stats'!E:E),Groups!A:A,Groups!AX:AX),"True","False")</f>
        <v>False</v>
      </c>
      <c r="CF408" s="25" t="str">
        <f>IF(_xlfn.XLOOKUP(_xlfn.XLOOKUP(B408,'Base stats'!B:B,'Base stats'!E:E),Groups!A:A,Groups!AY:AY),"True","False")</f>
        <v>False</v>
      </c>
      <c r="CG408" s="25" t="str">
        <f>IF(_xlfn.XLOOKUP(_xlfn.XLOOKUP(B408,'Base stats'!B:B,'Base stats'!E:E),Groups!A:A,Groups!AW:AW),"True","False")</f>
        <v>False</v>
      </c>
      <c r="CH408" s="25" t="str">
        <f>IF(
OR(
_xlfn.XLOOKUP(_xlfn.XLOOKUP(B408,'Base stats'!B:B,'Base stats'!E:E),Groups!A:A,Groups!AZ:AZ)=0,
AND(
_xlfn.XLOOKUP(B408,'Base stats'!B:B,'Base stats'!Y:Y)&lt;&gt;"Carnivore",
_xlfn.XLOOKUP(B408,'Base stats'!B:B,'Base stats'!Y:Y)&lt;&gt;"Omnivore",
_xlfn.XLOOKUP(B408,'Base stats'!B:B,'Base stats'!Y:Y)&lt;&gt;"OmnivoreRough"
)
),
"No",
IF(
_xlfn.XLOOKUP(_xlfn.XLOOKUP(B408,'Base stats'!B:B,'Base stats'!E:E),Groups!A:A,Groups!AZ:AZ)=1,
"Flesh",
IF(
_xlfn.XLOOKUP(_xlfn.XLOOKUP(B408,'Base stats'!B:B,'Base stats'!E:E),Groups!A:A,Groups!AZ:AZ)=2,
"Bone",
""
)
)
)</f>
        <v>No</v>
      </c>
      <c r="CI408" s="25" t="str">
        <f>IF(_xlfn.XLOOKUP(_xlfn.XLOOKUP(B408,'Base stats'!B:B,'Base stats'!E:E),Groups!A:A,Groups!BB:BB),"True","False")</f>
        <v>True</v>
      </c>
      <c r="CJ408" s="25" t="str">
        <f>IF(_xlfn.XLOOKUP(_xlfn.XLOOKUP(B408,'Base stats'!B:B,'Base stats'!E:E),Groups!A:A,Groups!BA:BA),"True","False")</f>
        <v>False</v>
      </c>
    </row>
    <row r="409" spans="1:88" ht="16.5" thickTop="1" thickBot="1" x14ac:dyDescent="0.3">
      <c r="A409" s="26" t="s">
        <v>2098</v>
      </c>
      <c r="B409" s="6" t="str">
        <f>_xlfn.XLOOKUP(A409,'Base stats'!A:A,'Base stats'!B:B)</f>
        <v>Platybelodon danovi</v>
      </c>
      <c r="C409" s="28" t="str">
        <f t="shared" si="56"/>
        <v>&lt;li&gt;Platybelodon&lt;/li&gt;</v>
      </c>
      <c r="D409" s="28" t="s">
        <v>2126</v>
      </c>
      <c r="E409" s="28" t="s">
        <v>673</v>
      </c>
      <c r="F409" s="28" t="s">
        <v>673</v>
      </c>
      <c r="G409" s="28" t="s">
        <v>673</v>
      </c>
      <c r="H409" s="2">
        <f>MROUND((
  (IF(AND(_xlfn.XLOOKUP(B409,'Base stats'!B:B,'Base stats'!AL:AL)=0,BI409="None",_xlfn.XLOOKUP(_xlfn.XLOOKUP(B409,'Base stats'!B:B,'Base stats'!E:E),Groups!A:A,Groups!B:B)=0), (18 + BR409 * 2.7) * 0.5,
    IF(AND(_xlfn.XLOOKUP(B409,'Base stats'!B:B,'Base stats'!AL:AL)=0,OR(AO409&lt;0.55,AND(BI409="Intermediate",_xlfn.XLOOKUP(_xlfn.XLOOKUP(B409,'Base stats'!B:B,'Base stats'!E:E),Groups!A:A,Groups!B:B)&lt;2))), (18 + BR409 * 2.7),
      IF(OR(BI409="Advanced",_xlfn.XLOOKUP(B409,'Base stats'!B:B,'Base stats'!AL:AL)=1,_xlfn.XLOOKUP(_xlfn.XLOOKUP(B409,'Base stats'!B:B,'Base stats'!E:E),Groups!A:A,Groups!B:B)=2), (18 + BR409 * 2.7) + 250, (18 + BR409 * 2.7))
    )
  ))
  + AO409 * 80
  + IF(COUNTIF(EggMilk!K$2:K$998, A409) &gt; 0, 125, 0)
  + IF(COUNTIF(EggMilk!P$2:P$998, A409) &gt; 0, 90, 0)
  + IF(COUNTIF(EggMilk!A$2:A$998, A409) &gt; 0, 90, 0)
)
* (0.8 + 0.4 * J409)
* 0.75,25)</f>
        <v>1200</v>
      </c>
      <c r="I409" s="2">
        <f>MROUND(ROUNDDOWN(_xlfn.XLOOKUP(B409,'Base stats'!B:B,'Base stats'!L:L)/3.6/(23.3/11),1),0.5)</f>
        <v>3.5</v>
      </c>
      <c r="J409" s="2">
        <f>IF(OR(_xlfn.XLOOKUP(B409,'Base stats'!B:B,'Base stats'!AB:AB)=1,_xlfn.XLOOKUP(_xlfn.XLOOKUP(B409,'Base stats'!B:B,'Base stats'!E:E),Groups!A:A,Groups!C:C)="Untamable"),1,IF(_xlfn.XLOOKUP(B409,'Base stats'!B:B,'Base stats'!AL:AL)=1,0.99,MIN(MROUND((1-0.6282*EXP(-0.459*AO409))*_xlfn.XLOOKUP(_xlfn.XLOOKUP(B409,'Base stats'!B:B,'Base stats'!E:E),Groups!A:A,Groups!C:C)*IF(_xlfn.XLOOKUP(B409,'Base stats'!B:B,'Base stats'!O:O)=1,0.5,IF(_xlfn.XLOOKUP(B409,'Base stats'!B:B,'Base stats'!O:O)=2,0,1)),0.05),IF(AO409&gt;3.5,0.985,0.95))))</f>
        <v>0.9</v>
      </c>
      <c r="K409" s="2">
        <f>ROUNDUP(AO409*_xlfn.XLOOKUP(_xlfn.XLOOKUP(B409,'Base stats'!B:B,'Base stats'!E:E),Groups!A:A,Groups!E:E),0)</f>
        <v>19</v>
      </c>
      <c r="L409" s="2">
        <f>IF(OR(_xlfn.XLOOKUP(_xlfn.XLOOKUP(B409,'Base stats'!B:B,'Base stats'!E:E),Groups!A:A,Groups!F:F)=2,ISNUMBER(SEARCH("SeaIce",BX409)),ISNUMBER(SEARCH("IceSheet",BX409))),-50,IF(OR(ISNUMBER(SEARCH("GlacialPlain",BX409)),ISNUMBER(SEARCH("Tundra",BX409))),-40,IF(OR(ISNUMBER(SEARCH("Alpine",BX409)),ISNUMBER(SEARCH("BorealForest",BX409)),ISNUMBER(SEARCH("ColdBog",BX409))),-30,IF(OR(ISNUMBER(SEARCH("TemperateForest",BX409)),ISNUMBER(SEARCH("TemperateSwamp",BX409))),-20,IF(_xlfn.XLOOKUP(_xlfn.XLOOKUP(B409,'Base stats'!B:B,'Base stats'!E:E),Groups!A:A,Groups!F:F)=1,-15,IF(OR(ISNUMBER(SEARCH("Desert",BX409)),ISNUMBER(SEARCH("ExtremeDesert",BX409))),-10,IF(OR(ISNUMBER(SEARCH("Grasslands",BX409)),ISNUMBER(SEARCH("TropicalRainforest",BX409)),ISNUMBER(SEARCH("TropicalSwamp",BX409))),10,0)))))))-IF(CC409="False",MIN(IFERROR(MAX(MROUND(LOG10(_xlfn.XLOOKUP(B409,'Base stats'!B:B,'Base stats'!C:C)^(2/3))*10,5),5),5),30))-_xlfn.XLOOKUP(B409,'Base stats'!B:B,'Base stats'!P:P)+IF(CC409="True",5,0)</f>
        <v>-20</v>
      </c>
      <c r="M409" s="2">
        <f>IF(OR(_xlfn.XLOOKUP(_xlfn.XLOOKUP(B409,'Base stats'!B:B,'Base stats'!E:E),Groups!A:A,Groups!G:G)=2,ISNUMBER(SEARCH("Desert",BX409)),ISNUMBER(SEARCH("ExtremeDesert",BX409)),ISNUMBER(SEARCH("LavaField",BX409))),50,IF(ISNUMBER(SEARCH("Grasslands",BX409)),45,IF(OR(_xlfn.XLOOKUP(_xlfn.XLOOKUP(B409,'Base stats'!B:B,'Base stats'!E:E),Groups!A:A,Groups!G:G)=1,ISNUMBER(SEARCH("TropicalRainforest",BX409)),ISNUMBER(SEARCH("TropicalSwamp",BX409))),40,IF(OR(ISNUMBER(SEARCH("TemperateForest",BX409)),ISNUMBER(SEARCH("TemperateSwamp",BX409))),35,IF(OR(ISNUMBER(SEARCH("Alpine",BX409)),ISNUMBER(SEARCH("BorealForest",BX409)),ISNUMBER(SEARCH("ColdBog",BX409))),30,IF(ISNUMBER(OR(ISNUMBER(SEARCH("GlacialPlain",BX409)),SEARCH("Tundra",BX409))),25,IF(OR(ISNUMBER(SEARCH("SeaIce",BX409)),ISNUMBER(SEARCH("IceSheet",BX409)),ISNUMBER(SEARCH("TropicalSwamp",BX409))),10,35)))))))+_xlfn.XLOOKUP(B409,'Base stats'!B:B,'Base stats'!Q:Q)</f>
        <v>35</v>
      </c>
      <c r="N409" s="8" t="str">
        <f>IF(
_xlfn.XLOOKUP(
_xlfn.XLOOKUP(B409,'Base stats'!B:B,'Base stats'!E:E),
Groups!A:A,
Groups!L:L
)=1,
MIN(
MROUND(
IF(
_xlfn.XLOOKUP(B409,'Animals CE'!B:B,'Animals CE'!Z:Z)&lt;=1.5,
_xlfn.XLOOKUP(B409,'Animals CE'!B:B,'Animals CE'!Z:Z)/2+0.05,
0.8+
(_xlfn.XLOOKUP(B409,'Animals CE'!B:B,'Animals CE'!Z:Z)-1.5)
*0.02
),
0.05
),
200%
),
"No"
)</f>
        <v>No</v>
      </c>
      <c r="O409" s="8" t="str">
        <f>IF(
_xlfn.XLOOKUP(
_xlfn.XLOOKUP(B409,'Base stats'!B:B,'Base stats'!E:E),
Groups!A:A,
Groups!L:L
)=1,
MIN(
MROUND(
IF(
_xlfn.XLOOKUP(B409,'Animals CE'!B:B,'Animals CE'!AA:AA)&lt;=1.5,
_xlfn.XLOOKUP(B409,'Animals CE'!B:B,'Animals CE'!AA:AA)/2+0.05,
0.8+
(_xlfn.XLOOKUP(B409,'Animals CE'!B:B,'Animals CE'!AA:AA)-1.5)
*0.02
),
0.05
),
200%
),
"No"
)</f>
        <v>No</v>
      </c>
      <c r="P409" s="2" t="str">
        <f>_xlfn.XLOOKUP(B409,'Base stats'!B:B,'Base stats'!R:R)</f>
        <v>Standard</v>
      </c>
      <c r="Q409" s="13">
        <f>MROUND((LOG10(_xlfn.XLOOKUP(B409,'Base stats'!B:B,'Base stats'!AR:AR))*(AO409^0.5)+(_xlfn.XLOOKUP(B409,'Base stats'!B:B,'Base stats'!AR:AR)/1000)^(2/3)+_xlfn.XLOOKUP(B409,'Base stats'!B:B,'Base stats'!BA:BA)/2)+0.5,0.5)</f>
        <v>26</v>
      </c>
      <c r="R409" s="7">
        <f>IF(Q409="No","No",MAX(1,MROUND(_xlfn.XLOOKUP(B409,'Base stats'!B:B,'Base stats'!C:C)^0.165,0.05)))</f>
        <v>3.5500000000000003</v>
      </c>
      <c r="S409" s="13">
        <f>IF(_xlfn.XLOOKUP(_xlfn.XLOOKUP(B409,'Base stats'!B:B,'Base stats'!E:E),Groups!A:A,Groups!P:P)=0,"No",MROUND((LOG10(_xlfn.XLOOKUP(B409,'Base stats'!B:B,'Base stats'!AS:AS))*(AO409^0.5)+(_xlfn.XLOOKUP(B409,'Base stats'!B:B,'Base stats'!AS:AS)/1000)^(2/3)+_xlfn.XLOOKUP(B409,'Base stats'!B:B,'Base stats'!BA:BA))+_xlfn.XLOOKUP(B409,'Base stats'!B:B,'Base stats'!AY:AY)+0.5,0.5))</f>
        <v>31.5</v>
      </c>
      <c r="T409" s="7">
        <f>IF(S409="No","No",MAX(_xlfn.XLOOKUP(_xlfn.XLOOKUP(B409,'Base stats'!B:B,'Base stats'!E:E),Groups!A:A,Groups!Q:Q),MROUND(_xlfn.XLOOKUP(_xlfn.XLOOKUP(B409,'Base stats'!B:B,'Base stats'!E:E),Groups!A:A,Groups!Q:Q)*_xlfn.XLOOKUP(B409,'Base stats'!B:B,'Base stats'!C:C)^0.165,0.05)))</f>
        <v>3.2</v>
      </c>
      <c r="U409" s="7" t="str">
        <f>IF(S409="No","No",_xlfn.XLOOKUP(_xlfn.XLOOKUP(B409,'Base stats'!B:B,'Base stats'!E:E),Groups!A:A,Groups!R:R))</f>
        <v>FrontLeftLeg, FrontRightLeg</v>
      </c>
      <c r="V409" s="7" t="str">
        <f>IF(S409="No","No",_xlfn.XLOOKUP(_xlfn.XLOOKUP(B409,'Base stats'!B:B,'Base stats'!E:E),Groups!A:A,Groups!S:S))</f>
        <v>left foot, right foot</v>
      </c>
      <c r="W409" s="7" t="str">
        <f>IF(S409="No","No",_xlfn.XLOOKUP(_xlfn.XLOOKUP(B409,'Base stats'!B:B,'Base stats'!E:E),Groups!A:A,Groups!T:T))</f>
        <v>Blunt</v>
      </c>
      <c r="X409" s="13">
        <f>IF(_xlfn.XLOOKUP(B409,'Base stats'!B:B,'Base stats'!W:W)="No","No",MROUND((LOG10(_xlfn.XLOOKUP(B409,'Base stats'!B:B,'Base stats'!AU:AU))*(AO409^0.5)+(_xlfn.XLOOKUP(B409,'Base stats'!B:B,'Base stats'!AU:AU)/1000)^(2/3)+_xlfn.XLOOKUP(B409,'Base stats'!B:B,'Base stats'!AZ:AZ))+0.5+IF(_xlfn.XLOOKUP(_xlfn.XLOOKUP(B409,'Base stats'!B:B,'Base stats'!E:E),Groups!A:A,Groups!U:U)&lt;&gt;3,_xlfn.XLOOKUP(B409,'Base stats'!B:B,'Base stats'!BA:BA),0),0.5))</f>
        <v>27.5</v>
      </c>
      <c r="Y409" s="7">
        <f>IF(X409="No","No",MAX(_xlfn.XLOOKUP(_xlfn.XLOOKUP(B409,'Base stats'!B:B,'Base stats'!E:E),Groups!A:A,Groups!V:V),MROUND(_xlfn.XLOOKUP(_xlfn.XLOOKUP(B409,'Base stats'!B:B,'Base stats'!E:E),Groups!A:A,Groups!V:V)*_xlfn.XLOOKUP(B409,'Base stats'!B:B,'Base stats'!C:C)^0.165,0.05)))</f>
        <v>2.4500000000000002</v>
      </c>
      <c r="Z409" s="7" t="str">
        <f>IF(X409="No","No",_xlfn.XLOOKUP(_xlfn.XLOOKUP(B409,'Base stats'!B:B,'Base stats'!E:E),Groups!A:A,Groups!W:W))</f>
        <v>TuskAttackTool</v>
      </c>
      <c r="AA409" s="7" t="str">
        <f>IF(X409="No","No",_xlfn.XLOOKUP(_xlfn.XLOOKUP(B409,'Base stats'!B:B,'Base stats'!E:E),Groups!A:A,Groups!X:X))</f>
        <v>tusk</v>
      </c>
      <c r="AB409" s="7" t="str">
        <f>IF(X409="No","No",_xlfn.XLOOKUP(_xlfn.XLOOKUP(B409,'Base stats'!B:B,'Base stats'!E:E),Groups!A:A,Groups!Y:Y))</f>
        <v>Scratch</v>
      </c>
      <c r="AC409" s="7" t="str">
        <f>_xlfn.XLOOKUP(Animals!B409,'Base stats'!B:B,'Base stats'!X:X)</f>
        <v>True</v>
      </c>
      <c r="AD409" s="13" t="str">
        <f>IF(_xlfn.XLOOKUP(B409,'Base stats'!B:B,'Base stats'!AT:AT)="No","No",MROUND((LOG10(_xlfn.XLOOKUP(B409,'Base stats'!B:B,'Base stats'!AT:AT))*(AO409^0.75)+(_xlfn.XLOOKUP(B409,'Base stats'!B:B,'Base stats'!AT:AT)/1000)^(2/3)+_xlfn.XLOOKUP(B409,'Base stats'!B:B,'Base stats'!AX:AX)+_xlfn.XLOOKUP(B409,'Base stats'!B:B,'Base stats'!BA:BA))+0.5,0.5))</f>
        <v>No</v>
      </c>
      <c r="AE409" s="7" t="str">
        <f>IF(AD409="No","No",MAX(_xlfn.XLOOKUP(_xlfn.XLOOKUP(B409,'Base stats'!B:B,'Base stats'!E:E),Groups!A:A,Groups!Z:Z),MROUND(_xlfn.XLOOKUP(_xlfn.XLOOKUP(B409,'Base stats'!B:B,'Base stats'!E:E),Groups!A:A,Groups!Z:Z)*_xlfn.XLOOKUP(B409,'Base stats'!B:B,'Base stats'!C:C)^0.165,0.05)))</f>
        <v>No</v>
      </c>
      <c r="AF409" s="7" t="str">
        <f>IF(AD409="No","No",_xlfn.XLOOKUP(_xlfn.XLOOKUP(B409,'Base stats'!B:B,'Base stats'!E:E),Groups!A:A,Groups!AA:AA))</f>
        <v>No</v>
      </c>
      <c r="AG409" s="7" t="str">
        <f>IF(AD409="No","No",_xlfn.XLOOKUP(_xlfn.XLOOKUP(B409,'Base stats'!B:B,'Base stats'!E:E),Groups!A:A,Groups!AB:AB))</f>
        <v>No</v>
      </c>
      <c r="AH409" s="7" t="str">
        <f>IF(AD409="No","No",_xlfn.XLOOKUP(_xlfn.XLOOKUP(B409,'Base stats'!B:B,'Base stats'!E:E),Groups!A:A,Groups!AC:AC))</f>
        <v>No</v>
      </c>
      <c r="AI409" s="13" t="str">
        <f>IF(_xlfn.XLOOKUP(_xlfn.XLOOKUP(B409,'Base stats'!B:B,'Base stats'!E:E),Groups!A:A,Groups!AD:AD)=0,"No",MROUND((LOG10(_xlfn.XLOOKUP(B409,'Base stats'!B:B,'Base stats'!AS:AS))*(AO409^0.75)+(_xlfn.XLOOKUP(B409,'Base stats'!B:B,'Base stats'!AS:AS)/1000)^(2/3)+_xlfn.XLOOKUP(B409,'Base stats'!B:B,'Base stats'!AY:AY)+_xlfn.XLOOKUP(B409,'Base stats'!B:B,'Base stats'!BA:BA))+0.5,0.5))</f>
        <v>No</v>
      </c>
      <c r="AJ409" s="7" t="str">
        <f>IF(AI409="No","No",MAX(_xlfn.XLOOKUP(_xlfn.XLOOKUP(B409,'Base stats'!B:B,'Base stats'!E:E),Groups!A:A,Groups!AE:AE),MROUND(_xlfn.XLOOKUP(_xlfn.XLOOKUP(B409,'Base stats'!B:B,'Base stats'!E:E),Groups!A:A,Groups!AE:AE)*IF(_xlfn.XLOOKUP(_xlfn.XLOOKUP(B409,'Base stats'!B:B,'Base stats'!E:E),Groups!A:A,Groups!AJ:AJ)="Photonozoa",0.6,1)*_xlfn.XLOOKUP(B409,'Base stats'!B:B,'Base stats'!C:C)^0.165,0.05)))</f>
        <v>No</v>
      </c>
      <c r="AK409" s="7" t="str">
        <f>IF(AI409="No","No",_xlfn.XLOOKUP(_xlfn.XLOOKUP(B409,'Base stats'!B:B,'Base stats'!E:E),Groups!A:A,Groups!AF:AF))</f>
        <v>No</v>
      </c>
      <c r="AL409" s="7" t="str">
        <f>IF(AI409="No","No",_xlfn.XLOOKUP(_xlfn.XLOOKUP(B409,'Base stats'!B:B,'Base stats'!E:E),Groups!A:A,Groups!AG:AG))</f>
        <v>No</v>
      </c>
      <c r="AM409" s="7" t="str">
        <f>IF(AI409="No","No",_xlfn.XLOOKUP(_xlfn.XLOOKUP(B409,'Base stats'!B:B,'Base stats'!E:E),Groups!A:A,Groups!AH:AH))</f>
        <v>No</v>
      </c>
      <c r="AN409" s="2" t="str">
        <f t="shared" si="49"/>
        <v>No</v>
      </c>
      <c r="AO409" s="2">
        <f>MROUND(IF(AND(_xlfn.XLOOKUP(B409,'Base stats'!B:B,'Base stats'!C:C)&gt;=0.5,_xlfn.XLOOKUP(B409,'Base stats'!B:B,'Base stats'!C:C)&lt;=0.8),
IF(_xlfn.XLOOKUP(B409,'Base stats'!B:B,'Base stats'!C:C)&lt;0.1,0.05,IF(_xlfn.XLOOKUP(B409,'Base stats'!B:B,'Base stats'!C:C)&lt;=70,(_xlfn.XLOOKUP(B409,'Base stats'!B:B,'Base stats'!C:C)/70)^0.426489913056526,IF(_xlfn.XLOOKUP(B409,'Base stats'!B:B,'Base stats'!C:C)&lt;=400,(_xlfn.XLOOKUP(B409,'Base stats'!B:B,'Base stats'!C:C)/70)^0.572811455315093,IF(_xlfn.XLOOKUP(B409,'Base stats'!B:B,'Base stats'!C:C)&lt;=2000,2.71391647193063*(_xlfn.XLOOKUP(B409,'Base stats'!B:B,'Base stats'!C:C)/400)^0.252459582904293,3.74314280240376*(_xlfn.XLOOKUP(B409,'Base stats'!B:B,'Base stats'!C:C)/2000)^0.357012633876913)))),
IF(_xlfn.XLOOKUP(B409,'Base stats'!B:B,'Base stats'!C:C)&lt;0.1,0.05,IF(_xlfn.XLOOKUP(B409,'Base stats'!B:B,'Base stats'!C:C)&lt;0.4,0.1,IF(_xlfn.XLOOKUP(B409,'Base stats'!B:B,'Base stats'!C:C)&lt;=70,(_xlfn.XLOOKUP(B409,'Base stats'!B:B,'Base stats'!C:C)/70)^0.445823913056526,IF(_xlfn.XLOOKUP(B409,'Base stats'!B:B,'Base stats'!C:C)&lt;=400,(_xlfn.XLOOKUP(B409,'Base stats'!B:B,'Base stats'!C:C)/70)^0.572811455315093,IF(_xlfn.XLOOKUP(B409,'Base stats'!B:B,'Base stats'!C:C)&lt;=2000,2.71391647193063*(_xlfn.XLOOKUP(B409,'Base stats'!B:B,'Base stats'!C:C)/400)^0.252459582904293,3.74314280240376*(_xlfn.XLOOKUP(B409,'Base stats'!B:B,'Base stats'!C:C)/2000)^0.357012633876913)))))),
IF(_xlfn.XLOOKUP(B409,'Base stats'!B:B,'Base stats'!C:C)&lt;0.1,0.05,IF(_xlfn.XLOOKUP(B409,'Base stats'!B:B,'Base stats'!C:C)&lt;=100,0.05,IF(_xlfn.XLOOKUP(B409,'Base stats'!B:B,'Base stats'!C:C)&lt;=250,0.1,IF(_xlfn.XLOOKUP(B409,'Base stats'!B:B,'Base stats'!C:C)&lt;=4000,0.25,0.5)))))</f>
        <v>3.75</v>
      </c>
      <c r="AP409" s="8">
        <f>MROUND(AO409*_xlfn.XLOOKUP(_xlfn.XLOOKUP(B409,'Base stats'!B:B,'Base stats'!E:E),Groups!A:A,Groups!AI:AI)*_xlfn.XLOOKUP(B409,'Base stats'!B:B,'Base stats'!Z:Z),0.05)</f>
        <v>3.75</v>
      </c>
      <c r="AQ409" s="8">
        <f>MAX(0.01,MROUND(IF(CC409="True",0.196*(AO409*100*1000)^0.889,IF(_xlfn.XLOOKUP(_xlfn.XLOOKUP(B409,'Base stats'!B:B,'Base stats'!E:E),Groups!A:A,Groups!AJ:AJ)="Bird",10.5*(AO409*100*1000)^0.681,4.82*(AO409*100*1000)^0.734))/(4.82*(1*100*1000)^0.734)/IF(AO409&lt;3.5,2,IF(AO409=3.5,1.5,1.25))*(1+0.132282374779864/(AO409^0.994035016789033+0.00905238001496948)),0.05))</f>
        <v>2.2000000000000002</v>
      </c>
      <c r="AR409" s="9">
        <f>IFERROR(MROUND(_xlfn.XLOOKUP(B409,'Base stats'!B:B,'Base stats'!H:H)/IF(_xlfn.XLOOKUP(B409,'Base stats'!B:B,'Base stats'!I:I)&lt;&gt;1,(122.5/70),1.2),IF(_xlfn.XLOOKUP(B409,'Base stats'!B:B,'Base stats'!H:H)&gt;=30,5,IF(_xlfn.XLOOKUP(B409,'Base stats'!B:B,'Base stats'!H:H)&gt;=15,3,IF(_xlfn.XLOOKUP(B409,'Base stats'!B:B,'Base stats'!H:H)&gt;=10,2,1)))),"Immortal")</f>
        <v>65</v>
      </c>
      <c r="AS409" s="35">
        <f>IFERROR(IF(OR(_xlfn.XLOOKUP(B409,'Base stats'!B:B,'Base stats'!F:F)="Atypical reproduction",_xlfn.XLOOKUP(B409,'Base stats'!B:B,'Base stats'!F:F)="Lay eggs"),"Lay eggs",MIN(20,MAX(5.5,ROUND(((_xlfn.XLOOKUP(B409,'Base stats'!B:B,'Base stats'!F:F)-25)*(14.5/615) + 5.5)*2,0)/2))),"Unknown")</f>
        <v>20</v>
      </c>
      <c r="AT409" s="8">
        <f>IF(_xlfn.XLOOKUP(B409,'Base stats'!B:B,'Base stats'!G:G)="Atypical reproduction","No",IFERROR(MAX(IF(_xlfn.XLOOKUP(B409,'Base stats'!B:B,'Base stats'!G:G)&lt;0.5,0.2,0.3),MROUND(_xlfn.XLOOKUP(B409,'Base stats'!B:B,'Base stats'!G:G)/(365/60),0.2)),"Unknown"))</f>
        <v>1.4000000000000001</v>
      </c>
      <c r="AU409" s="8">
        <f t="shared" si="50"/>
        <v>0.70000000000000007</v>
      </c>
      <c r="AV409" s="8">
        <f>IFERROR(IFERROR(MROUND(_xlfn.XLOOKUP(B409,'Base stats'!B:B,'Base stats'!J:J),0.1),"Lay eggs"),"Cannot breed")</f>
        <v>1</v>
      </c>
      <c r="AW409" s="2" t="str">
        <f t="shared" si="51"/>
        <v>true</v>
      </c>
      <c r="AX409" s="2" t="str">
        <f>IF(_xlfn.XLOOKUP(_xlfn.XLOOKUP(Animals!B409,'Base stats'!B:B,'Base stats'!E:E),Groups!A:A,Groups!AK:AK)=1,"true","false")</f>
        <v>true</v>
      </c>
      <c r="AY409" s="25" t="str">
        <f>IF(_xlfn.XLOOKUP(B409,'Base stats'!B:B,'Base stats'!Y:Y)="Liquor","Liquor, CarnivoreAnimalStrict",IF(AND(_xlfn.XLOOKUP(B409,'Base stats'!B:B,'Base stats'!Y:Y)="Carnivore",_xlfn.XLOOKUP(_xlfn.XLOOKUP(B409,'Base stats'!B:B,'Base stats'!E:E),Groups!A:A,Groups!AJ:AJ)="Photonozoa"),"CarnivoreAnimalStrict, OvivoreAnimal",IF(_xlfn.XLOOKUP(B409,'Base stats'!B:B,'Base stats'!Y:Y)="Carnivore","CarnivoreAnimal, OvivoreAnimal",IF(_xlfn.XLOOKUP(B409,'Base stats'!B:B,'Base stats'!Y:Y)="Dendrovore","VegetarianRoughAnimal, DendrovoreAnimal",IF(_xlfn.XLOOKUP(B409,'Base stats'!B:B,'Base stats'!Y:Y)="Herbivore","VegetarianRoughAnimal",IF(_xlfn.XLOOKUP(B409,'Base stats'!B:B,'Base stats'!Y:Y)="OmnivoreRough","OmnivoreRoughAnimal, OvivoreAnimal","OmnivoreAnimal, OvivoreAnimal"))))))</f>
        <v>VegetarianRoughAnimal</v>
      </c>
      <c r="AZ409" s="2" t="str">
        <f>IF(_xlfn.XLOOKUP(_xlfn.XLOOKUP(B409,'Base stats'!B:B,'Base stats'!E:E),Groups!A:A,Groups!D:D)=1,MROUND((1-J409)*5+1,2)*IF(J409&lt;=0.4,2,1),"No")</f>
        <v>No</v>
      </c>
      <c r="BA409" s="2" t="str">
        <f>IF(AND(_xlfn.XLOOKUP(B409,'Base stats'!B:B,'Base stats'!AH:AH)="&lt;li&gt;Seal&lt;/li&gt;",G409="Odyssey"),"&lt;li&gt;AEXP_Seal&lt;/li&gt;",_xlfn.XLOOKUP(B409,'Base stats'!B:B,'Base stats'!AH:AH))</f>
        <v>&lt;li&gt;Elephant&lt;/li&gt;</v>
      </c>
      <c r="BB409" s="2" t="str">
        <f>_xlfn.XLOOKUP(B409,'Base stats'!B:B,'Base stats'!AG:AG)</f>
        <v>Leather_Elephant</v>
      </c>
      <c r="BC409" s="23" t="str">
        <f>_xlfn.XLOOKUP(_xlfn.XLOOKUP(B409,'Base stats'!B:B,'Base stats'!E:E),Groups!A:A,Groups!AL:AL)</f>
        <v>QuadrupedAnimalWithHoovesTusksAndTrunk</v>
      </c>
      <c r="BD409" s="23">
        <f>MIN(1,MROUND(IF(AND(AO409&lt;0.5,_xlfn.XLOOKUP(B409,'Base stats'!B:B,'Base stats'!AA:AA)=0),0,IF(OR(_xlfn.XLOOKUP(Animals!B409,'Base stats'!B:B,'Base stats'!O:O)=2,_xlfn.XLOOKUP(_xlfn.XLOOKUP(B409,'Base stats'!B:B,'Base stats'!E:E),Groups!A:A,Groups!AN:AN)=0),0,_xlfn.XLOOKUP(_xlfn.XLOOKUP(B409,'Base stats'!B:B,'Base stats'!E:E),Groups!A:A,Groups!AN:AN)/IF(_xlfn.XLOOKUP(Animals!B409,'Base stats'!B:B,'Base stats'!O:O)=1,2,1)))+_xlfn.XLOOKUP(B409,'Base stats'!B:B,'Base stats'!AC:AC),0.005))</f>
        <v>2.5000000000000001E-2</v>
      </c>
      <c r="BE409" s="23">
        <f>MIN(1,MROUND(IF(AND(AO409&lt;0.5,_xlfn.XLOOKUP(B409,'Base stats'!B:B,'Base stats'!AA:AA)=0),0,IF(_xlfn.XLOOKUP(_xlfn.XLOOKUP(B409,'Base stats'!B:B,'Base stats'!E:E),Groups!A:A,Groups!AO:AO)=0,0,_xlfn.XLOOKUP(_xlfn.XLOOKUP(B409,'Base stats'!B:B,'Base stats'!E:E),Groups!A:A,Groups!AO:AO)/IF(_xlfn.XLOOKUP(Animals!B409,'Base stats'!B:B,'Base stats'!O:O)=2,3,1)))+_xlfn.XLOOKUP(B409,'Base stats'!B:B,'Base stats'!AD:AD),0.005))</f>
        <v>0.3</v>
      </c>
      <c r="BF409" s="2" t="str">
        <f>IF(J409&gt;0.3,"No",_xlfn.XLOOKUP(_xlfn.XLOOKUP(Animals!B409,'Base stats'!B:B,'Base stats'!E:E),Groups!A:A,Groups!AP:AP))</f>
        <v>No</v>
      </c>
      <c r="BG409" s="2" t="str">
        <f>IF(AND(J409&lt;=0.65,_xlfn.XLOOKUP(_xlfn.XLOOKUP(Animals!B409,'Base stats'!B:B,'Base stats'!E:E),Groups!A:A,Groups!AP:AP)&lt;&gt;"No",_xlfn.XLOOKUP(_xlfn.XLOOKUP(B409,'Base stats'!B:B,'Base stats'!E:E),Groups!A:A,Groups!D:D)=0),MROUND((80/3)*IF(_xlfn.XLOOKUP(B409,'Base stats'!B:B,'Base stats'!O:O)=2,0.2,AO409) + 24*(1-IF(BF409="No",0,BF409)) + 16/3, 12),"No")</f>
        <v>No</v>
      </c>
      <c r="BH409" s="2">
        <f>IF(AND(_xlfn.XLOOKUP(_xlfn.XLOOKUP(B409,'Base stats'!B:B,'Base stats'!E:E),Groups!A:A,Groups!AQ:AQ)=1,AO409&lt;=0.35),8,12)</f>
        <v>12</v>
      </c>
      <c r="BI409" s="2" t="str">
        <f>IF(_xlfn.XLOOKUP(_xlfn.XLOOKUP(B409,'Base stats'!B:B,'Base stats'!E:E),Groups!A:A,Groups!D:D)=0,_xlfn.XLOOKUP(_xlfn.XLOOKUP(B409,'Base stats'!B:B,'Base stats'!E:E),Groups!A:A,Groups!AR:AR),"None")</f>
        <v>Advanced</v>
      </c>
      <c r="BJ409" s="2" t="str">
        <f>IF(AND(_xlfn.XLOOKUP(_xlfn.XLOOKUP(B409,'Base stats'!B:B,'Base stats'!E:E),Groups!A:A,Groups!AS:AS)=1,OR(_xlfn.XLOOKUP(B409,'Base stats'!B:B,'Base stats'!Y:Y)="Carnivore",_xlfn.XLOOKUP(B409,'Base stats'!B:B,'Base stats'!Y:Y)="Omnivore")),"true","false")</f>
        <v>false</v>
      </c>
      <c r="BK409" s="2" t="str">
        <f>IF(BJ409="true",MROUND(IF(AND(AO409&gt;0.5,OR(_xlfn.XLOOKUP(_xlfn.XLOOKUP(B409,'Base stats'!B:B,'Base stats'!E:E),Groups!A:A,Groups!AJ:AJ)="Photonozoa",_xlfn.XLOOKUP(_xlfn.XLOOKUP(B409,'Base stats'!B:B,'Base stats'!E:E),Groups!A:A,Groups!AJ:AJ)="Mammal")),Animals!AO409*1.75*IF(AW409="true",1.5,1),IF(AO409&lt;0.5,Animals!AO409*0.5,Animals!AO409)),IF(AO409&gt;2,0.5,IF(AO409&gt;0.5,0.25,0.1))),"No")</f>
        <v>No</v>
      </c>
      <c r="BL409" s="2">
        <f t="shared" si="52"/>
        <v>1</v>
      </c>
      <c r="BM409" s="25" t="str">
        <f>IF(_xlfn.XLOOKUP(B409,'Base stats'!B:B,'Base stats'!AN:AN)="Standard","No",MROUND((_xlfn.XLOOKUP(B409,'Base stats'!B:B,'Base stats'!AN:AN)/3.6)/I409,0.1))</f>
        <v>No</v>
      </c>
      <c r="BN409" s="25" t="str">
        <f t="shared" si="53"/>
        <v>false</v>
      </c>
      <c r="BO409" s="25" t="str">
        <f>IF(AND(OR(_xlfn.XLOOKUP(B409,'Base stats'!B:B,'Base stats'!Y:Y)="Carnivore",_xlfn.XLOOKUP(B409,'Base stats'!B:B,'Base stats'!Y:Y)="Omnivore",_xlfn.XLOOKUP(B409,'Base stats'!B:B,'Base stats'!Y:Y)="OmnivoreRough"),_xlfn.XLOOKUP(_xlfn.XLOOKUP(B409,'Base stats'!B:B,'Base stats'!E:E),Groups!A:A,Groups!AT:AT)=1),"true","false")</f>
        <v>false</v>
      </c>
      <c r="BP409" s="25" t="str" cm="1">
        <f t="array" ref="BP409">IF(
  _xlfn.TEXTJOIN(", ",TRUE,
    IF(AND(BJ409="true",AO409&gt;0.5,BI409&lt;&gt;"None"),"AttackTarget",""),
    IF(AND(_xlfn.XLOOKUP(_xlfn.XLOOKUP(B409,'Base stats'!B:B,'Base stats'!E:E),Groups!A:A,Groups!AJ:AJ="Mammal"),OR(_xlfn.XLOOKUP(B409,'Base stats'!B:B,'Base stats'!Y:Y)="Omnivore",_xlfn.XLOOKUP(B409,'Base stats'!B:B,'Base stats'!Y:Y)="OmnivoreRough")),"Forage",""),
    IF(BG409&lt;=36,"Comfort",""),
    IF(_xlfn.XLOOKUP(B409,'Base stats'!B:B,'Base stats'!AE:AE)&lt;&gt;"No",_xlfn.XLOOKUP(B409,'Base stats'!B:B,'Base stats'!AE:AE),"")
  ) = "",
  "No",
  _xlfn.TEXTJOIN(", ",TRUE,
    IF(AND(BJ409="true",AO409&gt;0.5,BI409&lt;&gt;"None"),"AttackTarget",""),
    IF(AND(_xlfn.XLOOKUP(_xlfn.XLOOKUP(B409,'Base stats'!B:B,'Base stats'!E:E),Groups!A:A,Groups!AJ:AJ="Mammal"),OR(_xlfn.XLOOKUP(B409,'Base stats'!B:B,'Base stats'!Y:Y)="Omnivore",_xlfn.XLOOKUP(B409,'Base stats'!B:B,'Base stats'!Y:Y)="OmnivoreRough")),"Forage",""),
    IF(BG409&lt;=36,"Comfort",""),
    IF(_xlfn.XLOOKUP(B409,'Base stats'!B:B,'Base stats'!AE:AE)&lt;&gt;"No",_xlfn.XLOOKUP(B409,'Base stats'!B:B,'Base stats'!AE:AE),"")
  )
)</f>
        <v>No</v>
      </c>
      <c r="BQ409" s="25" t="str">
        <f>IF(
   AND(
      'Base stats'!AN409="Standard",_xlfn.XLOOKUP(_xlfn.XLOOKUP(B409,'Base stats'!B:B,'Base stats'!E:E),Groups!A:A,Groups!AU:AU)=0,
      OR(
      BO409="True"
      )
   ),
   10,
   IF(
       OR(BM409&lt;&gt;"No",_xlfn.XLOOKUP(_xlfn.XLOOKUP(B409,'Base stats'!B:B,'Base stats'!E:E),Groups!A:A,Groups!AU:AU)=1),
      1,
      "No"
   )
)</f>
        <v>No</v>
      </c>
      <c r="BR409" s="9">
        <f>MROUND((1 + ((0.2*IF(OR(Q409="No",R409="No",R409=0),0,Q409/R409)
+IF(OR(V409="No",S409="No",T409="No"),0,S409/T409*(LEN(V409)-LEN(SUBSTITUTE(V409,",",""))+1))
+IF(OR(X409="No",Y409="No"),0,X409/Y409)
+IF(OR(AD409="No",AE409="No"),0,AD409/AE409)
+IF(OR(AL409="No",AI409="No",AJ409="No"),0,AI409/AJ409*(LEN(AL409)-LEN(SUBSTITUTE(AL409,",",""))+1))
)/(0.2*IF(OR(Q409="No",R409="No",R409=0),0,1)
+IF(OR(V409="No",S409="No",T409="No"),0,LEN(V409)-LEN(SUBSTITUTE(V409,",",""))+1)
+IF(OR(X409="No",Y409="No"),0,1)
+IF(OR(AD409="No",AE409="No"),0,1)
+IF(OR(AL409="No",AI409="No",AJ409="No"),0,LEN(AL409)-LEN(SUBSTITUTE(AL409,",",""))+1))*62%)* 2)*(1 + (AP409 / (IF(_xlfn.XLOOKUP(_xlfn.XLOOKUP(B409,'Base stats'!B:B,'Base stats'!E:E),Groups!A:A,Groups!AJ:AJ)="Photonozoa",0.3,1)) + _xlfn.XLOOKUP(B409,'Base stats'!B:B,'Base stats'!AV:AV) * 1.8) * 2) * 2.5 + 10 + I409 * 2,5)+IF(_xlfn.XLOOKUP(B409,'Base stats'!B:B,'Base stats'!AK:AK)=1,50,0)</f>
        <v>305</v>
      </c>
      <c r="BS409" s="8">
        <f t="shared" si="54"/>
        <v>2.5</v>
      </c>
      <c r="BT409" s="8" t="str">
        <f>_xlfn.XLOOKUP(B409,'Base stats'!B:B,'Base stats'!AF:AF)</f>
        <v>3~6</v>
      </c>
      <c r="BU409" s="2" t="str">
        <f>IF(AND(J409&lt;=0.95,OR(_xlfn.XLOOKUP(B409,'Base stats'!B:B,'Base stats'!AK:AK)=1,_xlfn.XLOOKUP(B409,'Base stats'!B:B,'Base stats'!Y:Y)="Carnivore",_xlfn.XLOOKUP(B409,'Base stats'!B:B,'Base stats'!Y:Y)="Omnivore",BE409&gt;0.1)),"true","false")</f>
        <v>true</v>
      </c>
      <c r="BV409" s="2" t="str">
        <f>IF(_xlfn.XLOOKUP(B409,'Base stats'!B:B,'Base stats'!AI:AI)=1,"true","false")</f>
        <v>true</v>
      </c>
      <c r="BW409" s="25" t="str">
        <f>IF(E409="BaseInsect","AnimalInsect",
IF(J409&gt;0.95,"AnimalExotic",
_xlfn.TEXTJOIN(", ",TRUE,
IF(OR(_xlfn.XLOOKUP(B409,'Base stats'!B:B,'Base stats'!AM:AM)=1,AND(_xlfn.XLOOKUP(B409,'Base stats'!B:B,'Base stats'!O:O)=0,_xlfn.XLOOKUP(_xlfn.XLOOKUP(B409,'Base stats'!B:B,'Base stats'!E:E),Groups!A:A,Groups!B:B)&gt;0)),"AnimalUncommon","AnimalCommon"),
IF(AND(_xlfn.XLOOKUP(B409,'Base stats'!B:B,'Base stats'!O:O)=2,_xlfn.XLOOKUP(_xlfn.XLOOKUP(B409,'Base stats'!B:B,'Base stats'!E:E),Groups!A:A,Groups!D:D)=0),"AnimalPet",IF(AND(_xlfn.XLOOKUP(B409,'Base stats'!B:B,'Base stats'!O:O)&lt;&gt;0,_xlfn.XLOOKUP(_xlfn.XLOOKUP(B409,'Base stats'!B:B,'Base stats'!E:E),Groups!A:A,Groups!D:D)&lt;&gt;0),"AnimalFarm","")),
IF(OR(_xlfn.XLOOKUP(B409,'Base stats'!B:B,'Base stats'!AK:AK)=1,AND(BI409&lt;&gt;"None",BR409&gt;=60),ISNUMBER(SEARCH("Attack target",BP409))),"AnimalFighter","")
)))</f>
        <v>AnimalUncommon, AnimalFighter</v>
      </c>
      <c r="BX409" s="25" t="str">
        <f>IF(G409="None",TRIM(
SUBSTITUTE(
IF(COUNTIF(Biomes!B$2:B$259,"="&amp;$C409)&gt;0,Biomes!B$1&amp;", ","")&amp;
IF(COUNTIF(Biomes!C$2:C$259,"="&amp;$C409)&gt;0,Biomes!C$1&amp;", ","")&amp;
IF(COUNTIF(Biomes!D$2:D$259,"="&amp;$C409)&gt;0,Biomes!D$1&amp;", ","")&amp;
IF(COUNTIF(Biomes!F$2:F$259,"="&amp;$C409)&gt;0,Biomes!F$1&amp;", ","")&amp;
IF(COUNTIF(Biomes!G$2:G$259,"="&amp;$C409)&gt;0,Biomes!G$1&amp;", ","")&amp;
IF(COUNTIF(Biomes!H$2:H$259,"="&amp;$C409)&gt;0,Biomes!H$1&amp;", ","")&amp;
IF(COUNTIF(Biomes!I$2:I$259,"="&amp;$C409)&gt;0,Biomes!I$1&amp;", ","")&amp;
IF(COUNTIF(Biomes!J$2:J$259,"="&amp;$C409)&gt;0,Biomes!J$1&amp;", ","")&amp;
IF(COUNTIF(Biomes!M$2:M$259,"="&amp;$C409)&gt;0,Biomes!M$1&amp;", ","")&amp;
IF(COUNTIF(Biomes!N$2:N$259,"="&amp;$C409)&gt;0,Biomes!N$1&amp;", ","")&amp;
IF(COUNTIF(Biomes!O$2:O$259,"="&amp;$C409)&gt;0,Biomes!O$1&amp;", ","")&amp;
IF(COUNTIF(Biomes!P$2:P$259,"="&amp;$C409)&gt;0,Biomes!P$1&amp;", ","")&amp;
IF(COUNTIF(Biomes!K$2:K$259,"="&amp;$C409)&gt;0,Biomes!K$1&amp;", ","")&amp;
IF(COUNTIF(Biomes!Q$3:Q$259,"="&amp;$C409)&gt;0,Biomes!Q$1&amp;", ","")&amp;
IF(COUNTIF(Biomes!L$2:L$259,"="&amp;$C409)&gt;0,Biomes!L$1&amp;", ","")&amp;
IF(COUNTIF(Biomes!E$2:E$259,"="&amp;$C409)&gt;0,Biomes!E$1&amp;", ","")&amp;IF(COUNTIF(Biomes!S$2:S$259,"="&amp;$C409)&gt;0,Biomes!S$1&amp;", ","")&amp;
IF(COUNTIF(Biomes!R$2:R$259,"="&amp;$C409)&gt;0,Biomes!R$1&amp;", ",""),", ","")
),_xlfn.XLOOKUP(B409,B:B,BX:BX))</f>
        <v/>
      </c>
      <c r="BY409" s="25" t="str">
        <f>IF(_xlfn.XLOOKUP(B409,'Base stats'!B:B,'Base stats'!AJ:AJ)=1,"true","false")</f>
        <v>false</v>
      </c>
      <c r="BZ409" s="25">
        <f>IF(_xlfn.XLOOKUP(B409,'Base stats'!B:B,'Base stats'!N:N)=1,"No",MAX(0.001,MIN(MROUND(IF(AND(BJ409="True",CC409="False"),POWER(10,3.47*LOG10(_xlfn.XLOOKUP(B409,'Base stats'!B:B,'Base stats'!C:C)*1000)^-0.96),POWER(10,4.15*LOG10(_xlfn.XLOOKUP(B409,'Base stats'!B:B,'Base stats'!C:C)*1000)^-0.73))*IF(_xlfn.XLOOKUP(B409,'Base stats'!B:B,'Base stats'!AK:AK)=1,0.5,1)*IF(_xlfn.XLOOKUP(B409,'Base stats'!B:B,'Base stats'!AM:AM)=1,0.1,1)/100,IF(_xlfn.XLOOKUP(B409,'Base stats'!B:B,'Base stats'!AM:AM)=1,0.001,0.025)),0.5)))</f>
        <v>0.125</v>
      </c>
      <c r="CA409" s="25" t="str">
        <f>IF(P409="Standard","No",MAX(0.001,MIN(MROUND(IF(AND(BJ409="True",CC409="False"),POWER(10,3.47*LOG10(_xlfn.XLOOKUP(B409,'Base stats'!B:B,'Base stats'!C:C)*1000)^-0.96),POWER(10,4.15*LOG10(_xlfn.XLOOKUP(B409,'Base stats'!B:B,'Base stats'!C:C)*1000)^-0.73))*IF(_xlfn.XLOOKUP(B409,'Base stats'!B:B,'Base stats'!AM:AM)=1,0.1,1)*_xlfn.XLOOKUP(B409,'Base stats'!B:B,'Base stats'!R:R)/100,IF(_xlfn.XLOOKUP(B409,'Base stats'!B:B,'Base stats'!AM:AM)=1,0.001,0.025)),0.5)))</f>
        <v>No</v>
      </c>
      <c r="CB409" s="25" t="str">
        <f>IF(_xlfn.XLOOKUP(_xlfn.XLOOKUP(B409,'Base stats'!B:B,'Base stats'!E:E),Groups!A:A,Groups!AJ:AJ)="Mammal","True","False")</f>
        <v>True</v>
      </c>
      <c r="CC409" s="25" t="str">
        <f>IF(OR(_xlfn.XLOOKUP(_xlfn.XLOOKUP(B409,'Base stats'!B:B,'Base stats'!E:E),Groups!A:A,Groups!AJ:AJ)="Reptile",_xlfn.XLOOKUP(_xlfn.XLOOKUP(B409,'Base stats'!B:B,'Base stats'!E:E),Groups!A:A,Groups!AJ:AJ)="Amphibian",_xlfn.XLOOKUP(_xlfn.XLOOKUP(B409,'Base stats'!B:B,'Base stats'!E:E),Groups!A:A,Groups!AJ:AJ)="Invertebrate"),"True","False")</f>
        <v>False</v>
      </c>
      <c r="CD409" s="25" t="str">
        <f t="shared" si="55"/>
        <v>False</v>
      </c>
      <c r="CE409" s="25" t="str">
        <f>IF(_xlfn.XLOOKUP(_xlfn.XLOOKUP(B409,'Base stats'!B:B,'Base stats'!E:E),Groups!A:A,Groups!AX:AX),"True","False")</f>
        <v>False</v>
      </c>
      <c r="CF409" s="25" t="str">
        <f>IF(_xlfn.XLOOKUP(_xlfn.XLOOKUP(B409,'Base stats'!B:B,'Base stats'!E:E),Groups!A:A,Groups!AY:AY),"True","False")</f>
        <v>False</v>
      </c>
      <c r="CG409" s="25" t="str">
        <f>IF(_xlfn.XLOOKUP(_xlfn.XLOOKUP(B409,'Base stats'!B:B,'Base stats'!E:E),Groups!A:A,Groups!AW:AW),"True","False")</f>
        <v>False</v>
      </c>
      <c r="CH409" s="25" t="str">
        <f>IF(
OR(
_xlfn.XLOOKUP(_xlfn.XLOOKUP(B409,'Base stats'!B:B,'Base stats'!E:E),Groups!A:A,Groups!AZ:AZ)=0,
AND(
_xlfn.XLOOKUP(B409,'Base stats'!B:B,'Base stats'!Y:Y)&lt;&gt;"Carnivore",
_xlfn.XLOOKUP(B409,'Base stats'!B:B,'Base stats'!Y:Y)&lt;&gt;"Omnivore",
_xlfn.XLOOKUP(B409,'Base stats'!B:B,'Base stats'!Y:Y)&lt;&gt;"OmnivoreRough"
)
),
"No",
IF(
_xlfn.XLOOKUP(_xlfn.XLOOKUP(B409,'Base stats'!B:B,'Base stats'!E:E),Groups!A:A,Groups!AZ:AZ)=1,
"Flesh",
IF(
_xlfn.XLOOKUP(_xlfn.XLOOKUP(B409,'Base stats'!B:B,'Base stats'!E:E),Groups!A:A,Groups!AZ:AZ)=2,
"Bone",
""
)
)
)</f>
        <v>No</v>
      </c>
      <c r="CI409" s="25" t="str">
        <f>IF(_xlfn.XLOOKUP(_xlfn.XLOOKUP(B409,'Base stats'!B:B,'Base stats'!E:E),Groups!A:A,Groups!BB:BB),"True","False")</f>
        <v>True</v>
      </c>
      <c r="CJ409" s="25" t="str">
        <f>IF(_xlfn.XLOOKUP(_xlfn.XLOOKUP(B409,'Base stats'!B:B,'Base stats'!E:E),Groups!A:A,Groups!BA:BA),"True","False")</f>
        <v>False</v>
      </c>
    </row>
    <row r="410" spans="1:88" ht="16.5" thickTop="1" thickBot="1" x14ac:dyDescent="0.3">
      <c r="A410" s="26" t="s">
        <v>2099</v>
      </c>
      <c r="B410" s="6" t="str">
        <f>_xlfn.XLOOKUP(A410,'Base stats'!A:A,'Base stats'!B:B)</f>
        <v>Purussaurus brasilensis</v>
      </c>
      <c r="C410" s="28" t="str">
        <f t="shared" si="56"/>
        <v>&lt;li&gt;Purussaurus&lt;/li&gt;</v>
      </c>
      <c r="D410" s="28" t="s">
        <v>2126</v>
      </c>
      <c r="E410" s="28" t="s">
        <v>673</v>
      </c>
      <c r="F410" s="28" t="s">
        <v>673</v>
      </c>
      <c r="G410" s="28" t="s">
        <v>673</v>
      </c>
      <c r="H410" s="2">
        <f>MROUND((
  (IF(AND(_xlfn.XLOOKUP(B410,'Base stats'!B:B,'Base stats'!AL:AL)=0,BI410="None",_xlfn.XLOOKUP(_xlfn.XLOOKUP(B410,'Base stats'!B:B,'Base stats'!E:E),Groups!A:A,Groups!B:B)=0), (18 + BR410 * 2.7) * 0.5,
    IF(AND(_xlfn.XLOOKUP(B410,'Base stats'!B:B,'Base stats'!AL:AL)=0,OR(AO410&lt;0.55,AND(BI410="Intermediate",_xlfn.XLOOKUP(_xlfn.XLOOKUP(B410,'Base stats'!B:B,'Base stats'!E:E),Groups!A:A,Groups!B:B)&lt;2))), (18 + BR410 * 2.7),
      IF(OR(BI410="Advanced",_xlfn.XLOOKUP(B410,'Base stats'!B:B,'Base stats'!AL:AL)=1,_xlfn.XLOOKUP(_xlfn.XLOOKUP(B410,'Base stats'!B:B,'Base stats'!E:E),Groups!A:A,Groups!B:B)=2), (18 + BR410 * 2.7) + 250, (18 + BR410 * 2.7))
    )
  ))
  + AO410 * 80
  + IF(COUNTIF(EggMilk!K$2:K$998, A410) &gt; 0, 125, 0)
  + IF(COUNTIF(EggMilk!P$2:P$998, A410) &gt; 0, 90, 0)
  + IF(COUNTIF(EggMilk!A$2:A$998, A410) &gt; 0, 90, 0)
)
* (0.8 + 0.4 * J410)
* 0.75,25)</f>
        <v>2625</v>
      </c>
      <c r="I410" s="2">
        <f>MROUND(ROUNDDOWN(_xlfn.XLOOKUP(B410,'Base stats'!B:B,'Base stats'!L:L)/3.6/(23.3/11),1),0.5)</f>
        <v>1.5</v>
      </c>
      <c r="J410" s="2">
        <f>IF(OR(_xlfn.XLOOKUP(B410,'Base stats'!B:B,'Base stats'!AB:AB)=1,_xlfn.XLOOKUP(_xlfn.XLOOKUP(B410,'Base stats'!B:B,'Base stats'!E:E),Groups!A:A,Groups!C:C)="Untamable"),1,IF(_xlfn.XLOOKUP(B410,'Base stats'!B:B,'Base stats'!AL:AL)=1,0.99,MIN(MROUND((1-0.6282*EXP(-0.459*AO410))*_xlfn.XLOOKUP(_xlfn.XLOOKUP(B410,'Base stats'!B:B,'Base stats'!E:E),Groups!A:A,Groups!C:C)*IF(_xlfn.XLOOKUP(B410,'Base stats'!B:B,'Base stats'!O:O)=1,0.5,IF(_xlfn.XLOOKUP(B410,'Base stats'!B:B,'Base stats'!O:O)=2,0,1)),0.05),IF(AO410&gt;3.5,0.985,0.95))))</f>
        <v>0.98499999999999999</v>
      </c>
      <c r="K410" s="2">
        <f>ROUNDUP(AO410*_xlfn.XLOOKUP(_xlfn.XLOOKUP(B410,'Base stats'!B:B,'Base stats'!E:E),Groups!A:A,Groups!E:E),0)</f>
        <v>6</v>
      </c>
      <c r="L410" s="2">
        <f>IF(OR(_xlfn.XLOOKUP(_xlfn.XLOOKUP(B410,'Base stats'!B:B,'Base stats'!E:E),Groups!A:A,Groups!F:F)=2,ISNUMBER(SEARCH("SeaIce",BX410)),ISNUMBER(SEARCH("IceSheet",BX410))),-50,IF(OR(ISNUMBER(SEARCH("GlacialPlain",BX410)),ISNUMBER(SEARCH("Tundra",BX410))),-40,IF(OR(ISNUMBER(SEARCH("Alpine",BX410)),ISNUMBER(SEARCH("BorealForest",BX410)),ISNUMBER(SEARCH("ColdBog",BX410))),-30,IF(OR(ISNUMBER(SEARCH("TemperateForest",BX410)),ISNUMBER(SEARCH("TemperateSwamp",BX410))),-20,IF(_xlfn.XLOOKUP(_xlfn.XLOOKUP(B410,'Base stats'!B:B,'Base stats'!E:E),Groups!A:A,Groups!F:F)=1,-15,IF(OR(ISNUMBER(SEARCH("Desert",BX410)),ISNUMBER(SEARCH("ExtremeDesert",BX410))),-10,IF(OR(ISNUMBER(SEARCH("Grasslands",BX410)),ISNUMBER(SEARCH("TropicalRainforest",BX410)),ISNUMBER(SEARCH("TropicalSwamp",BX410))),10,0)))))))-IF(CC410="False",MIN(IFERROR(MAX(MROUND(LOG10(_xlfn.XLOOKUP(B410,'Base stats'!B:B,'Base stats'!C:C)^(2/3))*10,5),5),5),30))-_xlfn.XLOOKUP(B410,'Base stats'!B:B,'Base stats'!P:P)+IF(CC410="True",5,0)</f>
        <v>5</v>
      </c>
      <c r="M410" s="2">
        <f>IF(OR(_xlfn.XLOOKUP(_xlfn.XLOOKUP(B410,'Base stats'!B:B,'Base stats'!E:E),Groups!A:A,Groups!G:G)=2,ISNUMBER(SEARCH("Desert",BX410)),ISNUMBER(SEARCH("ExtremeDesert",BX410)),ISNUMBER(SEARCH("LavaField",BX410))),50,IF(ISNUMBER(SEARCH("Grasslands",BX410)),45,IF(OR(_xlfn.XLOOKUP(_xlfn.XLOOKUP(B410,'Base stats'!B:B,'Base stats'!E:E),Groups!A:A,Groups!G:G)=1,ISNUMBER(SEARCH("TropicalRainforest",BX410)),ISNUMBER(SEARCH("TropicalSwamp",BX410))),40,IF(OR(ISNUMBER(SEARCH("TemperateForest",BX410)),ISNUMBER(SEARCH("TemperateSwamp",BX410))),35,IF(OR(ISNUMBER(SEARCH("Alpine",BX410)),ISNUMBER(SEARCH("BorealForest",BX410)),ISNUMBER(SEARCH("ColdBog",BX410))),30,IF(ISNUMBER(OR(ISNUMBER(SEARCH("GlacialPlain",BX410)),SEARCH("Tundra",BX410))),25,IF(OR(ISNUMBER(SEARCH("SeaIce",BX410)),ISNUMBER(SEARCH("IceSheet",BX410)),ISNUMBER(SEARCH("TropicalSwamp",BX410))),10,35)))))))+_xlfn.XLOOKUP(B410,'Base stats'!B:B,'Base stats'!Q:Q)</f>
        <v>35</v>
      </c>
      <c r="N410" s="8">
        <f>IF(
_xlfn.XLOOKUP(
_xlfn.XLOOKUP(B410,'Base stats'!B:B,'Base stats'!E:E),
Groups!A:A,
Groups!L:L
)=1,
MIN(
MROUND(
IF(
_xlfn.XLOOKUP(B410,'Animals CE'!B:B,'Animals CE'!Z:Z)&lt;=1.5,
_xlfn.XLOOKUP(B410,'Animals CE'!B:B,'Animals CE'!Z:Z)/2+0.05,
0.8+
(_xlfn.XLOOKUP(B410,'Animals CE'!B:B,'Animals CE'!Z:Z)-1.5)
*0.02
),
0.05
),
200%
),
"No"
)</f>
        <v>0.60000000000000009</v>
      </c>
      <c r="O410" s="8">
        <f>IF(
_xlfn.XLOOKUP(
_xlfn.XLOOKUP(B410,'Base stats'!B:B,'Base stats'!E:E),
Groups!A:A,
Groups!L:L
)=1,
MIN(
MROUND(
IF(
_xlfn.XLOOKUP(B410,'Animals CE'!B:B,'Animals CE'!AA:AA)&lt;=1.5,
_xlfn.XLOOKUP(B410,'Animals CE'!B:B,'Animals CE'!AA:AA)/2+0.05,
0.8+
(_xlfn.XLOOKUP(B410,'Animals CE'!B:B,'Animals CE'!AA:AA)-1.5)
*0.02
),
0.05
),
200%
),
"No"
)</f>
        <v>0.70000000000000007</v>
      </c>
      <c r="P410" s="2" t="str">
        <f>_xlfn.XLOOKUP(B410,'Base stats'!B:B,'Base stats'!R:R)</f>
        <v>Standard</v>
      </c>
      <c r="Q410" s="13">
        <f>MROUND((LOG10(_xlfn.XLOOKUP(B410,'Base stats'!B:B,'Base stats'!AR:AR))*(AO410^0.5)+(_xlfn.XLOOKUP(B410,'Base stats'!B:B,'Base stats'!AR:AR)/1000)^(2/3)+_xlfn.XLOOKUP(B410,'Base stats'!B:B,'Base stats'!BA:BA)/2)+0.5,0.5)</f>
        <v>39.5</v>
      </c>
      <c r="R410" s="7">
        <f>IF(Q410="No","No",MAX(1,MROUND(_xlfn.XLOOKUP(B410,'Base stats'!B:B,'Base stats'!C:C)^0.165,0.05)))</f>
        <v>4.1500000000000004</v>
      </c>
      <c r="S410" s="13" t="str">
        <f>IF(_xlfn.XLOOKUP(_xlfn.XLOOKUP(B410,'Base stats'!B:B,'Base stats'!E:E),Groups!A:A,Groups!P:P)=0,"No",MROUND((LOG10(_xlfn.XLOOKUP(B410,'Base stats'!B:B,'Base stats'!AS:AS))*(AO410^0.5)+(_xlfn.XLOOKUP(B410,'Base stats'!B:B,'Base stats'!AS:AS)/1000)^(2/3)+_xlfn.XLOOKUP(B410,'Base stats'!B:B,'Base stats'!BA:BA))+_xlfn.XLOOKUP(B410,'Base stats'!B:B,'Base stats'!AY:AY)+0.5,0.5))</f>
        <v>No</v>
      </c>
      <c r="T410" s="7" t="str">
        <f>IF(S410="No","No",MAX(_xlfn.XLOOKUP(_xlfn.XLOOKUP(B410,'Base stats'!B:B,'Base stats'!E:E),Groups!A:A,Groups!Q:Q),MROUND(_xlfn.XLOOKUP(_xlfn.XLOOKUP(B410,'Base stats'!B:B,'Base stats'!E:E),Groups!A:A,Groups!Q:Q)*_xlfn.XLOOKUP(B410,'Base stats'!B:B,'Base stats'!C:C)^0.165,0.05)))</f>
        <v>No</v>
      </c>
      <c r="U410" s="7" t="str">
        <f>IF(S410="No","No",_xlfn.XLOOKUP(_xlfn.XLOOKUP(B410,'Base stats'!B:B,'Base stats'!E:E),Groups!A:A,Groups!R:R))</f>
        <v>No</v>
      </c>
      <c r="V410" s="7" t="str">
        <f>IF(S410="No","No",_xlfn.XLOOKUP(_xlfn.XLOOKUP(B410,'Base stats'!B:B,'Base stats'!E:E),Groups!A:A,Groups!S:S))</f>
        <v>No</v>
      </c>
      <c r="W410" s="7" t="str">
        <f>IF(S410="No","No",_xlfn.XLOOKUP(_xlfn.XLOOKUP(B410,'Base stats'!B:B,'Base stats'!E:E),Groups!A:A,Groups!T:T))</f>
        <v>No</v>
      </c>
      <c r="X410" s="13" t="str">
        <f>IF(_xlfn.XLOOKUP(B410,'Base stats'!B:B,'Base stats'!W:W)="No","No",MROUND((LOG10(_xlfn.XLOOKUP(B410,'Base stats'!B:B,'Base stats'!AU:AU))*(AO410^0.5)+(_xlfn.XLOOKUP(B410,'Base stats'!B:B,'Base stats'!AU:AU)/1000)^(2/3)+_xlfn.XLOOKUP(B410,'Base stats'!B:B,'Base stats'!AZ:AZ))+0.5+IF(_xlfn.XLOOKUP(_xlfn.XLOOKUP(B410,'Base stats'!B:B,'Base stats'!E:E),Groups!A:A,Groups!U:U)&lt;&gt;3,_xlfn.XLOOKUP(B410,'Base stats'!B:B,'Base stats'!BA:BA),0),0.5))</f>
        <v>No</v>
      </c>
      <c r="Y410" s="7" t="str">
        <f>IF(X410="No","No",MAX(_xlfn.XLOOKUP(_xlfn.XLOOKUP(B410,'Base stats'!B:B,'Base stats'!E:E),Groups!A:A,Groups!V:V),MROUND(_xlfn.XLOOKUP(_xlfn.XLOOKUP(B410,'Base stats'!B:B,'Base stats'!E:E),Groups!A:A,Groups!V:V)*_xlfn.XLOOKUP(B410,'Base stats'!B:B,'Base stats'!C:C)^0.165,0.05)))</f>
        <v>No</v>
      </c>
      <c r="Z410" s="7" t="str">
        <f>IF(X410="No","No",_xlfn.XLOOKUP(_xlfn.XLOOKUP(B410,'Base stats'!B:B,'Base stats'!E:E),Groups!A:A,Groups!W:W))</f>
        <v>No</v>
      </c>
      <c r="AA410" s="7" t="str">
        <f>IF(X410="No","No",_xlfn.XLOOKUP(_xlfn.XLOOKUP(B410,'Base stats'!B:B,'Base stats'!E:E),Groups!A:A,Groups!X:X))</f>
        <v>No</v>
      </c>
      <c r="AB410" s="7" t="str">
        <f>IF(X410="No","No",_xlfn.XLOOKUP(_xlfn.XLOOKUP(B410,'Base stats'!B:B,'Base stats'!E:E),Groups!A:A,Groups!Y:Y))</f>
        <v>No</v>
      </c>
      <c r="AC410" s="7" t="str">
        <f>_xlfn.XLOOKUP(Animals!B410,'Base stats'!B:B,'Base stats'!X:X)</f>
        <v>False</v>
      </c>
      <c r="AD410" s="13">
        <f>IF(_xlfn.XLOOKUP(B410,'Base stats'!B:B,'Base stats'!AT:AT)="No","No",MROUND((LOG10(_xlfn.XLOOKUP(B410,'Base stats'!B:B,'Base stats'!AT:AT))*(AO410^0.75)+(_xlfn.XLOOKUP(B410,'Base stats'!B:B,'Base stats'!AT:AT)/1000)^(2/3)+_xlfn.XLOOKUP(B410,'Base stats'!B:B,'Base stats'!AX:AX)+_xlfn.XLOOKUP(B410,'Base stats'!B:B,'Base stats'!BA:BA))+0.5,0.5))</f>
        <v>63.5</v>
      </c>
      <c r="AE410" s="7">
        <f>IF(AD410="No","No",MAX(_xlfn.XLOOKUP(_xlfn.XLOOKUP(B410,'Base stats'!B:B,'Base stats'!E:E),Groups!A:A,Groups!Z:Z),MROUND(_xlfn.XLOOKUP(_xlfn.XLOOKUP(B410,'Base stats'!B:B,'Base stats'!E:E),Groups!A:A,Groups!Z:Z)*_xlfn.XLOOKUP(B410,'Base stats'!B:B,'Base stats'!C:C)^0.165,0.05)))</f>
        <v>3.95</v>
      </c>
      <c r="AF410" s="7" t="str">
        <f>IF(AD410="No","No",_xlfn.XLOOKUP(_xlfn.XLOOKUP(B410,'Base stats'!B:B,'Base stats'!E:E),Groups!A:A,Groups!AA:AA))</f>
        <v>Teeth</v>
      </c>
      <c r="AG410" s="7" t="str">
        <f>IF(AD410="No","No",_xlfn.XLOOKUP(_xlfn.XLOOKUP(B410,'Base stats'!B:B,'Base stats'!E:E),Groups!A:A,Groups!AB:AB))</f>
        <v>teeth</v>
      </c>
      <c r="AH410" s="7" t="str">
        <f>IF(AD410="No","No",_xlfn.XLOOKUP(_xlfn.XLOOKUP(B410,'Base stats'!B:B,'Base stats'!E:E),Groups!A:A,Groups!AC:AC))</f>
        <v>Bite</v>
      </c>
      <c r="AI410" s="13" t="str">
        <f>IF(_xlfn.XLOOKUP(_xlfn.XLOOKUP(B410,'Base stats'!B:B,'Base stats'!E:E),Groups!A:A,Groups!AD:AD)=0,"No",MROUND((LOG10(_xlfn.XLOOKUP(B410,'Base stats'!B:B,'Base stats'!AS:AS))*(AO410^0.75)+(_xlfn.XLOOKUP(B410,'Base stats'!B:B,'Base stats'!AS:AS)/1000)^(2/3)+_xlfn.XLOOKUP(B410,'Base stats'!B:B,'Base stats'!AY:AY)+_xlfn.XLOOKUP(B410,'Base stats'!B:B,'Base stats'!BA:BA))+0.5,0.5))</f>
        <v>No</v>
      </c>
      <c r="AJ410" s="7" t="str">
        <f>IF(AI410="No","No",MAX(_xlfn.XLOOKUP(_xlfn.XLOOKUP(B410,'Base stats'!B:B,'Base stats'!E:E),Groups!A:A,Groups!AE:AE),MROUND(_xlfn.XLOOKUP(_xlfn.XLOOKUP(B410,'Base stats'!B:B,'Base stats'!E:E),Groups!A:A,Groups!AE:AE)*IF(_xlfn.XLOOKUP(_xlfn.XLOOKUP(B410,'Base stats'!B:B,'Base stats'!E:E),Groups!A:A,Groups!AJ:AJ)="Photonozoa",0.6,1)*_xlfn.XLOOKUP(B410,'Base stats'!B:B,'Base stats'!C:C)^0.165,0.05)))</f>
        <v>No</v>
      </c>
      <c r="AK410" s="7" t="str">
        <f>IF(AI410="No","No",_xlfn.XLOOKUP(_xlfn.XLOOKUP(B410,'Base stats'!B:B,'Base stats'!E:E),Groups!A:A,Groups!AF:AF))</f>
        <v>No</v>
      </c>
      <c r="AL410" s="7" t="str">
        <f>IF(AI410="No","No",_xlfn.XLOOKUP(_xlfn.XLOOKUP(B410,'Base stats'!B:B,'Base stats'!E:E),Groups!A:A,Groups!AG:AG))</f>
        <v>No</v>
      </c>
      <c r="AM410" s="7" t="str">
        <f>IF(AI410="No","No",_xlfn.XLOOKUP(_xlfn.XLOOKUP(B410,'Base stats'!B:B,'Base stats'!E:E),Groups!A:A,Groups!AH:AH))</f>
        <v>No</v>
      </c>
      <c r="AN410" s="2">
        <f t="shared" si="49"/>
        <v>45</v>
      </c>
      <c r="AO410" s="2">
        <f>MROUND(IF(AND(_xlfn.XLOOKUP(B410,'Base stats'!B:B,'Base stats'!C:C)&gt;=0.5,_xlfn.XLOOKUP(B410,'Base stats'!B:B,'Base stats'!C:C)&lt;=0.8),
IF(_xlfn.XLOOKUP(B410,'Base stats'!B:B,'Base stats'!C:C)&lt;0.1,0.05,IF(_xlfn.XLOOKUP(B410,'Base stats'!B:B,'Base stats'!C:C)&lt;=70,(_xlfn.XLOOKUP(B410,'Base stats'!B:B,'Base stats'!C:C)/70)^0.426489913056526,IF(_xlfn.XLOOKUP(B410,'Base stats'!B:B,'Base stats'!C:C)&lt;=400,(_xlfn.XLOOKUP(B410,'Base stats'!B:B,'Base stats'!C:C)/70)^0.572811455315093,IF(_xlfn.XLOOKUP(B410,'Base stats'!B:B,'Base stats'!C:C)&lt;=2000,2.71391647193063*(_xlfn.XLOOKUP(B410,'Base stats'!B:B,'Base stats'!C:C)/400)^0.252459582904293,3.74314280240376*(_xlfn.XLOOKUP(B410,'Base stats'!B:B,'Base stats'!C:C)/2000)^0.357012633876913)))),
IF(_xlfn.XLOOKUP(B410,'Base stats'!B:B,'Base stats'!C:C)&lt;0.1,0.05,IF(_xlfn.XLOOKUP(B410,'Base stats'!B:B,'Base stats'!C:C)&lt;0.4,0.1,IF(_xlfn.XLOOKUP(B410,'Base stats'!B:B,'Base stats'!C:C)&lt;=70,(_xlfn.XLOOKUP(B410,'Base stats'!B:B,'Base stats'!C:C)/70)^0.445823913056526,IF(_xlfn.XLOOKUP(B410,'Base stats'!B:B,'Base stats'!C:C)&lt;=400,(_xlfn.XLOOKUP(B410,'Base stats'!B:B,'Base stats'!C:C)/70)^0.572811455315093,IF(_xlfn.XLOOKUP(B410,'Base stats'!B:B,'Base stats'!C:C)&lt;=2000,2.71391647193063*(_xlfn.XLOOKUP(B410,'Base stats'!B:B,'Base stats'!C:C)/400)^0.252459582904293,3.74314280240376*(_xlfn.XLOOKUP(B410,'Base stats'!B:B,'Base stats'!C:C)/2000)^0.357012633876913)))))),
IF(_xlfn.XLOOKUP(B410,'Base stats'!B:B,'Base stats'!C:C)&lt;0.1,0.05,IF(_xlfn.XLOOKUP(B410,'Base stats'!B:B,'Base stats'!C:C)&lt;=100,0.05,IF(_xlfn.XLOOKUP(B410,'Base stats'!B:B,'Base stats'!C:C)&lt;=250,0.1,IF(_xlfn.XLOOKUP(B410,'Base stats'!B:B,'Base stats'!C:C)&lt;=4000,0.25,0.5)))))</f>
        <v>5.5</v>
      </c>
      <c r="AP410" s="8">
        <f>MROUND(AO410*_xlfn.XLOOKUP(_xlfn.XLOOKUP(B410,'Base stats'!B:B,'Base stats'!E:E),Groups!A:A,Groups!AI:AI)*_xlfn.XLOOKUP(B410,'Base stats'!B:B,'Base stats'!Z:Z),0.05)</f>
        <v>6.6000000000000005</v>
      </c>
      <c r="AQ410" s="8">
        <f>MAX(0.01,MROUND(IF(CC410="True",0.196*(AO410*100*1000)^0.889,IF(_xlfn.XLOOKUP(_xlfn.XLOOKUP(B410,'Base stats'!B:B,'Base stats'!E:E),Groups!A:A,Groups!AJ:AJ)="Bird",10.5*(AO410*100*1000)^0.681,4.82*(AO410*100*1000)^0.734))/(4.82*(1*100*1000)^0.734)/IF(AO410&lt;3.5,2,IF(AO410=3.5,1.5,1.25))*(1+0.132282374779864/(AO410^0.994035016789033+0.00905238001496948)),0.05))</f>
        <v>0.9</v>
      </c>
      <c r="AR410" s="9">
        <f>IFERROR(MROUND(_xlfn.XLOOKUP(B410,'Base stats'!B:B,'Base stats'!H:H)/IF(_xlfn.XLOOKUP(B410,'Base stats'!B:B,'Base stats'!I:I)&lt;&gt;1,(122.5/70),1.2),IF(_xlfn.XLOOKUP(B410,'Base stats'!B:B,'Base stats'!H:H)&gt;=30,5,IF(_xlfn.XLOOKUP(B410,'Base stats'!B:B,'Base stats'!H:H)&gt;=15,3,IF(_xlfn.XLOOKUP(B410,'Base stats'!B:B,'Base stats'!H:H)&gt;=10,2,1)))),"Immortal")</f>
        <v>65</v>
      </c>
      <c r="AS410" s="35" t="str">
        <f>IFERROR(IF(OR(_xlfn.XLOOKUP(B410,'Base stats'!B:B,'Base stats'!F:F)="Atypical reproduction",_xlfn.XLOOKUP(B410,'Base stats'!B:B,'Base stats'!F:F)="Lay eggs"),"Lay eggs",MIN(20,MAX(5.5,ROUND(((_xlfn.XLOOKUP(B410,'Base stats'!B:B,'Base stats'!F:F)-25)*(14.5/615) + 5.5)*2,0)/2))),"Unknown")</f>
        <v>Lay eggs</v>
      </c>
      <c r="AT410" s="8">
        <f>IF(_xlfn.XLOOKUP(B410,'Base stats'!B:B,'Base stats'!G:G)="Atypical reproduction","No",IFERROR(MAX(IF(_xlfn.XLOOKUP(B410,'Base stats'!B:B,'Base stats'!G:G)&lt;0.5,0.2,0.3),MROUND(_xlfn.XLOOKUP(B410,'Base stats'!B:B,'Base stats'!G:G)/(365/60),0.2)),"Unknown"))</f>
        <v>3.2</v>
      </c>
      <c r="AU410" s="8">
        <f t="shared" si="50"/>
        <v>1.6</v>
      </c>
      <c r="AV410" s="8" t="str">
        <f>IFERROR(IFERROR(MROUND(_xlfn.XLOOKUP(B410,'Base stats'!B:B,'Base stats'!J:J),0.1),"Lay eggs"),"Cannot breed")</f>
        <v>Lay eggs</v>
      </c>
      <c r="AW410" s="2" t="str">
        <f t="shared" si="51"/>
        <v>false</v>
      </c>
      <c r="AX410" s="2" t="str">
        <f>IF(_xlfn.XLOOKUP(_xlfn.XLOOKUP(Animals!B410,'Base stats'!B:B,'Base stats'!E:E),Groups!A:A,Groups!AK:AK)=1,"true","false")</f>
        <v>false</v>
      </c>
      <c r="AY410" s="25" t="str">
        <f>IF(_xlfn.XLOOKUP(B410,'Base stats'!B:B,'Base stats'!Y:Y)="Liquor","Liquor, CarnivoreAnimalStrict",IF(AND(_xlfn.XLOOKUP(B410,'Base stats'!B:B,'Base stats'!Y:Y)="Carnivore",_xlfn.XLOOKUP(_xlfn.XLOOKUP(B410,'Base stats'!B:B,'Base stats'!E:E),Groups!A:A,Groups!AJ:AJ)="Photonozoa"),"CarnivoreAnimalStrict, OvivoreAnimal",IF(_xlfn.XLOOKUP(B410,'Base stats'!B:B,'Base stats'!Y:Y)="Carnivore","CarnivoreAnimal, OvivoreAnimal",IF(_xlfn.XLOOKUP(B410,'Base stats'!B:B,'Base stats'!Y:Y)="Dendrovore","VegetarianRoughAnimal, DendrovoreAnimal",IF(_xlfn.XLOOKUP(B410,'Base stats'!B:B,'Base stats'!Y:Y)="Herbivore","VegetarianRoughAnimal",IF(_xlfn.XLOOKUP(B410,'Base stats'!B:B,'Base stats'!Y:Y)="OmnivoreRough","OmnivoreRoughAnimal, OvivoreAnimal","OmnivoreAnimal, OvivoreAnimal"))))))</f>
        <v>CarnivoreAnimal, OvivoreAnimal</v>
      </c>
      <c r="AZ410" s="2" t="str">
        <f>IF(_xlfn.XLOOKUP(_xlfn.XLOOKUP(B410,'Base stats'!B:B,'Base stats'!E:E),Groups!A:A,Groups!D:D)=1,MROUND((1-J410)*5+1,2)*IF(J410&lt;=0.4,2,1),"No")</f>
        <v>No</v>
      </c>
      <c r="BA410" s="2" t="str">
        <f>IF(AND(_xlfn.XLOOKUP(B410,'Base stats'!B:B,'Base stats'!AH:AH)="&lt;li&gt;Seal&lt;/li&gt;",G410="Odyssey"),"&lt;li&gt;AEXP_Seal&lt;/li&gt;",_xlfn.XLOOKUP(B410,'Base stats'!B:B,'Base stats'!AH:AH))</f>
        <v>No</v>
      </c>
      <c r="BB410" s="2" t="str">
        <f>_xlfn.XLOOKUP(B410,'Base stats'!B:B,'Base stats'!AG:AG)</f>
        <v>Leather_Lizard</v>
      </c>
      <c r="BC410" s="23" t="str">
        <f>_xlfn.XLOOKUP(_xlfn.XLOOKUP(B410,'Base stats'!B:B,'Base stats'!E:E),Groups!A:A,Groups!AL:AL)</f>
        <v>QuadrupedAnimalWithClawsTailAndJowl</v>
      </c>
      <c r="BD410" s="23">
        <f>MIN(1,MROUND(IF(AND(AO410&lt;0.5,_xlfn.XLOOKUP(B410,'Base stats'!B:B,'Base stats'!AA:AA)=0),0,IF(OR(_xlfn.XLOOKUP(Animals!B410,'Base stats'!B:B,'Base stats'!O:O)=2,_xlfn.XLOOKUP(_xlfn.XLOOKUP(B410,'Base stats'!B:B,'Base stats'!E:E),Groups!A:A,Groups!AN:AN)=0),0,_xlfn.XLOOKUP(_xlfn.XLOOKUP(B410,'Base stats'!B:B,'Base stats'!E:E),Groups!A:A,Groups!AN:AN)/IF(_xlfn.XLOOKUP(Animals!B410,'Base stats'!B:B,'Base stats'!O:O)=1,2,1)))+_xlfn.XLOOKUP(B410,'Base stats'!B:B,'Base stats'!AC:AC),0.005))</f>
        <v>0.1</v>
      </c>
      <c r="BE410" s="23">
        <f>MIN(1,MROUND(IF(AND(AO410&lt;0.5,_xlfn.XLOOKUP(B410,'Base stats'!B:B,'Base stats'!AA:AA)=0),0,IF(_xlfn.XLOOKUP(_xlfn.XLOOKUP(B410,'Base stats'!B:B,'Base stats'!E:E),Groups!A:A,Groups!AO:AO)=0,0,_xlfn.XLOOKUP(_xlfn.XLOOKUP(B410,'Base stats'!B:B,'Base stats'!E:E),Groups!A:A,Groups!AO:AO)/IF(_xlfn.XLOOKUP(Animals!B410,'Base stats'!B:B,'Base stats'!O:O)=2,3,1)))+_xlfn.XLOOKUP(B410,'Base stats'!B:B,'Base stats'!AD:AD),0.005))</f>
        <v>0.3</v>
      </c>
      <c r="BF410" s="2" t="str">
        <f>IF(J410&gt;0.3,"No",_xlfn.XLOOKUP(_xlfn.XLOOKUP(Animals!B410,'Base stats'!B:B,'Base stats'!E:E),Groups!A:A,Groups!AP:AP))</f>
        <v>No</v>
      </c>
      <c r="BG410" s="2" t="str">
        <f>IF(AND(J410&lt;=0.65,_xlfn.XLOOKUP(_xlfn.XLOOKUP(Animals!B410,'Base stats'!B:B,'Base stats'!E:E),Groups!A:A,Groups!AP:AP)&lt;&gt;"No",_xlfn.XLOOKUP(_xlfn.XLOOKUP(B410,'Base stats'!B:B,'Base stats'!E:E),Groups!A:A,Groups!D:D)=0),MROUND((80/3)*IF(_xlfn.XLOOKUP(B410,'Base stats'!B:B,'Base stats'!O:O)=2,0.2,AO410) + 24*(1-IF(BF410="No",0,BF410)) + 16/3, 12),"No")</f>
        <v>No</v>
      </c>
      <c r="BH410" s="2">
        <f>IF(AND(_xlfn.XLOOKUP(_xlfn.XLOOKUP(B410,'Base stats'!B:B,'Base stats'!E:E),Groups!A:A,Groups!AQ:AQ)=1,AO410&lt;=0.35),8,12)</f>
        <v>12</v>
      </c>
      <c r="BI410" s="2" t="str">
        <f>IF(_xlfn.XLOOKUP(_xlfn.XLOOKUP(B410,'Base stats'!B:B,'Base stats'!E:E),Groups!A:A,Groups!D:D)=0,_xlfn.XLOOKUP(_xlfn.XLOOKUP(B410,'Base stats'!B:B,'Base stats'!E:E),Groups!A:A,Groups!AR:AR),"None")</f>
        <v>None</v>
      </c>
      <c r="BJ410" s="2" t="str">
        <f>IF(AND(_xlfn.XLOOKUP(_xlfn.XLOOKUP(B410,'Base stats'!B:B,'Base stats'!E:E),Groups!A:A,Groups!AS:AS)=1,OR(_xlfn.XLOOKUP(B410,'Base stats'!B:B,'Base stats'!Y:Y)="Carnivore",_xlfn.XLOOKUP(B410,'Base stats'!B:B,'Base stats'!Y:Y)="Omnivore")),"true","false")</f>
        <v>true</v>
      </c>
      <c r="BK410" s="2">
        <f>IF(BJ410="true",MROUND(IF(AND(AO410&gt;0.5,OR(_xlfn.XLOOKUP(_xlfn.XLOOKUP(B410,'Base stats'!B:B,'Base stats'!E:E),Groups!A:A,Groups!AJ:AJ)="Photonozoa",_xlfn.XLOOKUP(_xlfn.XLOOKUP(B410,'Base stats'!B:B,'Base stats'!E:E),Groups!A:A,Groups!AJ:AJ)="Mammal")),Animals!AO410*1.75*IF(AW410="true",1.5,1),IF(AO410&lt;0.5,Animals!AO410*0.5,Animals!AO410)),IF(AO410&gt;2,0.5,IF(AO410&gt;0.5,0.25,0.1))),"No")</f>
        <v>5.5</v>
      </c>
      <c r="BL410" s="2">
        <f t="shared" si="52"/>
        <v>0</v>
      </c>
      <c r="BM410" s="25">
        <f>IF(_xlfn.XLOOKUP(B410,'Base stats'!B:B,'Base stats'!AN:AN)="Standard","No",MROUND((_xlfn.XLOOKUP(B410,'Base stats'!B:B,'Base stats'!AN:AN)/3.6)/I410,0.1))</f>
        <v>2.8000000000000003</v>
      </c>
      <c r="BN410" s="25" t="str">
        <f t="shared" si="53"/>
        <v>true</v>
      </c>
      <c r="BO410" s="25" t="str">
        <f>IF(AND(OR(_xlfn.XLOOKUP(B410,'Base stats'!B:B,'Base stats'!Y:Y)="Carnivore",_xlfn.XLOOKUP(B410,'Base stats'!B:B,'Base stats'!Y:Y)="Omnivore",_xlfn.XLOOKUP(B410,'Base stats'!B:B,'Base stats'!Y:Y)="OmnivoreRough"),_xlfn.XLOOKUP(_xlfn.XLOOKUP(B410,'Base stats'!B:B,'Base stats'!E:E),Groups!A:A,Groups!AT:AT)=1),"true","false")</f>
        <v>true</v>
      </c>
      <c r="BP410" s="25" t="str" cm="1">
        <f t="array" ref="BP410">IF(
  _xlfn.TEXTJOIN(", ",TRUE,
    IF(AND(BJ410="true",AO410&gt;0.5,BI410&lt;&gt;"None"),"AttackTarget",""),
    IF(AND(_xlfn.XLOOKUP(_xlfn.XLOOKUP(B410,'Base stats'!B:B,'Base stats'!E:E),Groups!A:A,Groups!AJ:AJ="Mammal"),OR(_xlfn.XLOOKUP(B410,'Base stats'!B:B,'Base stats'!Y:Y)="Omnivore",_xlfn.XLOOKUP(B410,'Base stats'!B:B,'Base stats'!Y:Y)="OmnivoreRough")),"Forage",""),
    IF(BG410&lt;=36,"Comfort",""),
    IF(_xlfn.XLOOKUP(B410,'Base stats'!B:B,'Base stats'!AE:AE)&lt;&gt;"No",_xlfn.XLOOKUP(B410,'Base stats'!B:B,'Base stats'!AE:AE),"")
  ) = "",
  "No",
  _xlfn.TEXTJOIN(", ",TRUE,
    IF(AND(BJ410="true",AO410&gt;0.5,BI410&lt;&gt;"None"),"AttackTarget",""),
    IF(AND(_xlfn.XLOOKUP(_xlfn.XLOOKUP(B410,'Base stats'!B:B,'Base stats'!E:E),Groups!A:A,Groups!AJ:AJ="Mammal"),OR(_xlfn.XLOOKUP(B410,'Base stats'!B:B,'Base stats'!Y:Y)="Omnivore",_xlfn.XLOOKUP(B410,'Base stats'!B:B,'Base stats'!Y:Y)="OmnivoreRough")),"Forage",""),
    IF(BG410&lt;=36,"Comfort",""),
    IF(_xlfn.XLOOKUP(B410,'Base stats'!B:B,'Base stats'!AE:AE)&lt;&gt;"No",_xlfn.XLOOKUP(B410,'Base stats'!B:B,'Base stats'!AE:AE),"")
  )
)</f>
        <v>No</v>
      </c>
      <c r="BQ410" s="25">
        <f>IF(
   AND(
      'Base stats'!AN410="Standard",_xlfn.XLOOKUP(_xlfn.XLOOKUP(B410,'Base stats'!B:B,'Base stats'!E:E),Groups!A:A,Groups!AU:AU)=0,
      OR(
      BO410="True"
      )
   ),
   10,
   IF(
       OR(BM410&lt;&gt;"No",_xlfn.XLOOKUP(_xlfn.XLOOKUP(B410,'Base stats'!B:B,'Base stats'!E:E),Groups!A:A,Groups!AU:AU)=1),
      1,
      "No"
   )
)</f>
        <v>1</v>
      </c>
      <c r="BR410" s="9">
        <f>MROUND((1 + ((0.2*IF(OR(Q410="No",R410="No",R410=0),0,Q410/R410)
+IF(OR(V410="No",S410="No",T410="No"),0,S410/T410*(LEN(V410)-LEN(SUBSTITUTE(V410,",",""))+1))
+IF(OR(X410="No",Y410="No"),0,X410/Y410)
+IF(OR(AD410="No",AE410="No"),0,AD410/AE410)
+IF(OR(AL410="No",AI410="No",AJ410="No"),0,AI410/AJ410*(LEN(AL410)-LEN(SUBSTITUTE(AL410,",",""))+1))
)/(0.2*IF(OR(Q410="No",R410="No",R410=0),0,1)
+IF(OR(V410="No",S410="No",T410="No"),0,LEN(V410)-LEN(SUBSTITUTE(V410,",",""))+1)
+IF(OR(X410="No",Y410="No"),0,1)
+IF(OR(AD410="No",AE410="No"),0,1)
+IF(OR(AL410="No",AI410="No",AJ410="No"),0,LEN(AL410)-LEN(SUBSTITUTE(AL410,",",""))+1))*62%)* 2)*(1 + (AP410 / (IF(_xlfn.XLOOKUP(_xlfn.XLOOKUP(B410,'Base stats'!B:B,'Base stats'!E:E),Groups!A:A,Groups!AJ:AJ)="Photonozoa",0.3,1)) + _xlfn.XLOOKUP(B410,'Base stats'!B:B,'Base stats'!AV:AV) * 1.8) * 2) * 2.5 + 10 + I410 * 2,5)+IF(_xlfn.XLOOKUP(B410,'Base stats'!B:B,'Base stats'!AK:AK)=1,50,0)</f>
        <v>825</v>
      </c>
      <c r="BS410" s="8">
        <f t="shared" si="54"/>
        <v>1.8</v>
      </c>
      <c r="BT410" s="8" t="str">
        <f>_xlfn.XLOOKUP(B410,'Base stats'!B:B,'Base stats'!AF:AF)</f>
        <v>No</v>
      </c>
      <c r="BU410" s="2" t="str">
        <f>IF(AND(J410&lt;=0.95,OR(_xlfn.XLOOKUP(B410,'Base stats'!B:B,'Base stats'!AK:AK)=1,_xlfn.XLOOKUP(B410,'Base stats'!B:B,'Base stats'!Y:Y)="Carnivore",_xlfn.XLOOKUP(B410,'Base stats'!B:B,'Base stats'!Y:Y)="Omnivore",BE410&gt;0.1)),"true","false")</f>
        <v>false</v>
      </c>
      <c r="BV410" s="2" t="str">
        <f>IF(_xlfn.XLOOKUP(B410,'Base stats'!B:B,'Base stats'!AI:AI)=1,"true","false")</f>
        <v>false</v>
      </c>
      <c r="BW410" s="25" t="str">
        <f>IF(E410="BaseInsect","AnimalInsect",
IF(J410&gt;0.95,"AnimalExotic",
_xlfn.TEXTJOIN(", ",TRUE,
IF(OR(_xlfn.XLOOKUP(B410,'Base stats'!B:B,'Base stats'!AM:AM)=1,AND(_xlfn.XLOOKUP(B410,'Base stats'!B:B,'Base stats'!O:O)=0,_xlfn.XLOOKUP(_xlfn.XLOOKUP(B410,'Base stats'!B:B,'Base stats'!E:E),Groups!A:A,Groups!B:B)&gt;0)),"AnimalUncommon","AnimalCommon"),
IF(AND(_xlfn.XLOOKUP(B410,'Base stats'!B:B,'Base stats'!O:O)=2,_xlfn.XLOOKUP(_xlfn.XLOOKUP(B410,'Base stats'!B:B,'Base stats'!E:E),Groups!A:A,Groups!D:D)=0),"AnimalPet",IF(AND(_xlfn.XLOOKUP(B410,'Base stats'!B:B,'Base stats'!O:O)&lt;&gt;0,_xlfn.XLOOKUP(_xlfn.XLOOKUP(B410,'Base stats'!B:B,'Base stats'!E:E),Groups!A:A,Groups!D:D)&lt;&gt;0),"AnimalFarm","")),
IF(OR(_xlfn.XLOOKUP(B410,'Base stats'!B:B,'Base stats'!AK:AK)=1,AND(BI410&lt;&gt;"None",BR410&gt;=60),ISNUMBER(SEARCH("Attack target",BP410))),"AnimalFighter","")
)))</f>
        <v>AnimalExotic</v>
      </c>
      <c r="BX410" s="25" t="str">
        <f>IF(G410="None",TRIM(
SUBSTITUTE(
IF(COUNTIF(Biomes!B$2:B$259,"="&amp;$C410)&gt;0,Biomes!B$1&amp;", ","")&amp;
IF(COUNTIF(Biomes!C$2:C$259,"="&amp;$C410)&gt;0,Biomes!C$1&amp;", ","")&amp;
IF(COUNTIF(Biomes!D$2:D$259,"="&amp;$C410)&gt;0,Biomes!D$1&amp;", ","")&amp;
IF(COUNTIF(Biomes!F$2:F$259,"="&amp;$C410)&gt;0,Biomes!F$1&amp;", ","")&amp;
IF(COUNTIF(Biomes!G$2:G$259,"="&amp;$C410)&gt;0,Biomes!G$1&amp;", ","")&amp;
IF(COUNTIF(Biomes!H$2:H$259,"="&amp;$C410)&gt;0,Biomes!H$1&amp;", ","")&amp;
IF(COUNTIF(Biomes!I$2:I$259,"="&amp;$C410)&gt;0,Biomes!I$1&amp;", ","")&amp;
IF(COUNTIF(Biomes!J$2:J$259,"="&amp;$C410)&gt;0,Biomes!J$1&amp;", ","")&amp;
IF(COUNTIF(Biomes!M$2:M$259,"="&amp;$C410)&gt;0,Biomes!M$1&amp;", ","")&amp;
IF(COUNTIF(Biomes!N$2:N$259,"="&amp;$C410)&gt;0,Biomes!N$1&amp;", ","")&amp;
IF(COUNTIF(Biomes!O$2:O$259,"="&amp;$C410)&gt;0,Biomes!O$1&amp;", ","")&amp;
IF(COUNTIF(Biomes!P$2:P$259,"="&amp;$C410)&gt;0,Biomes!P$1&amp;", ","")&amp;
IF(COUNTIF(Biomes!K$2:K$259,"="&amp;$C410)&gt;0,Biomes!K$1&amp;", ","")&amp;
IF(COUNTIF(Biomes!Q$3:Q$259,"="&amp;$C410)&gt;0,Biomes!Q$1&amp;", ","")&amp;
IF(COUNTIF(Biomes!L$2:L$259,"="&amp;$C410)&gt;0,Biomes!L$1&amp;", ","")&amp;
IF(COUNTIF(Biomes!E$2:E$259,"="&amp;$C410)&gt;0,Biomes!E$1&amp;", ","")&amp;IF(COUNTIF(Biomes!S$2:S$259,"="&amp;$C410)&gt;0,Biomes!S$1&amp;", ","")&amp;
IF(COUNTIF(Biomes!R$2:R$259,"="&amp;$C410)&gt;0,Biomes!R$1&amp;", ",""),", ","")
),_xlfn.XLOOKUP(B410,B:B,BX:BX))</f>
        <v/>
      </c>
      <c r="BY410" s="25" t="str">
        <f>IF(_xlfn.XLOOKUP(B410,'Base stats'!B:B,'Base stats'!AJ:AJ)=1,"true","false")</f>
        <v>true</v>
      </c>
      <c r="BZ410" s="25">
        <f>IF(_xlfn.XLOOKUP(B410,'Base stats'!B:B,'Base stats'!N:N)=1,"No",MAX(0.001,MIN(MROUND(IF(AND(BJ410="True",CC410="False"),POWER(10,3.47*LOG10(_xlfn.XLOOKUP(B410,'Base stats'!B:B,'Base stats'!C:C)*1000)^-0.96),POWER(10,4.15*LOG10(_xlfn.XLOOKUP(B410,'Base stats'!B:B,'Base stats'!C:C)*1000)^-0.73))*IF(_xlfn.XLOOKUP(B410,'Base stats'!B:B,'Base stats'!AK:AK)=1,0.5,1)*IF(_xlfn.XLOOKUP(B410,'Base stats'!B:B,'Base stats'!AM:AM)=1,0.1,1)/100,IF(_xlfn.XLOOKUP(B410,'Base stats'!B:B,'Base stats'!AM:AM)=1,0.001,0.025)),0.5)))</f>
        <v>0.1</v>
      </c>
      <c r="CA410" s="25" t="str">
        <f>IF(P410="Standard","No",MAX(0.001,MIN(MROUND(IF(AND(BJ410="True",CC410="False"),POWER(10,3.47*LOG10(_xlfn.XLOOKUP(B410,'Base stats'!B:B,'Base stats'!C:C)*1000)^-0.96),POWER(10,4.15*LOG10(_xlfn.XLOOKUP(B410,'Base stats'!B:B,'Base stats'!C:C)*1000)^-0.73))*IF(_xlfn.XLOOKUP(B410,'Base stats'!B:B,'Base stats'!AM:AM)=1,0.1,1)*_xlfn.XLOOKUP(B410,'Base stats'!B:B,'Base stats'!R:R)/100,IF(_xlfn.XLOOKUP(B410,'Base stats'!B:B,'Base stats'!AM:AM)=1,0.001,0.025)),0.5)))</f>
        <v>No</v>
      </c>
      <c r="CB410" s="25" t="str">
        <f>IF(_xlfn.XLOOKUP(_xlfn.XLOOKUP(B410,'Base stats'!B:B,'Base stats'!E:E),Groups!A:A,Groups!AJ:AJ)="Mammal","True","False")</f>
        <v>False</v>
      </c>
      <c r="CC410" s="25" t="str">
        <f>IF(OR(_xlfn.XLOOKUP(_xlfn.XLOOKUP(B410,'Base stats'!B:B,'Base stats'!E:E),Groups!A:A,Groups!AJ:AJ)="Reptile",_xlfn.XLOOKUP(_xlfn.XLOOKUP(B410,'Base stats'!B:B,'Base stats'!E:E),Groups!A:A,Groups!AJ:AJ)="Amphibian",_xlfn.XLOOKUP(_xlfn.XLOOKUP(B410,'Base stats'!B:B,'Base stats'!E:E),Groups!A:A,Groups!AJ:AJ)="Invertebrate"),"True","False")</f>
        <v>True</v>
      </c>
      <c r="CD410" s="25" t="str">
        <f t="shared" si="55"/>
        <v>True</v>
      </c>
      <c r="CE410" s="25" t="str">
        <f>IF(_xlfn.XLOOKUP(_xlfn.XLOOKUP(B410,'Base stats'!B:B,'Base stats'!E:E),Groups!A:A,Groups!AX:AX),"True","False")</f>
        <v>False</v>
      </c>
      <c r="CF410" s="25" t="str">
        <f>IF(_xlfn.XLOOKUP(_xlfn.XLOOKUP(B410,'Base stats'!B:B,'Base stats'!E:E),Groups!A:A,Groups!AY:AY),"True","False")</f>
        <v>False</v>
      </c>
      <c r="CG410" s="25" t="str">
        <f>IF(_xlfn.XLOOKUP(_xlfn.XLOOKUP(B410,'Base stats'!B:B,'Base stats'!E:E),Groups!A:A,Groups!AW:AW),"True","False")</f>
        <v>False</v>
      </c>
      <c r="CH410" s="25" t="str">
        <f>IF(
OR(
_xlfn.XLOOKUP(_xlfn.XLOOKUP(B410,'Base stats'!B:B,'Base stats'!E:E),Groups!A:A,Groups!AZ:AZ)=0,
AND(
_xlfn.XLOOKUP(B410,'Base stats'!B:B,'Base stats'!Y:Y)&lt;&gt;"Carnivore",
_xlfn.XLOOKUP(B410,'Base stats'!B:B,'Base stats'!Y:Y)&lt;&gt;"Omnivore",
_xlfn.XLOOKUP(B410,'Base stats'!B:B,'Base stats'!Y:Y)&lt;&gt;"OmnivoreRough"
)
),
"No",
IF(
_xlfn.XLOOKUP(_xlfn.XLOOKUP(B410,'Base stats'!B:B,'Base stats'!E:E),Groups!A:A,Groups!AZ:AZ)=1,
"Flesh",
IF(
_xlfn.XLOOKUP(_xlfn.XLOOKUP(B410,'Base stats'!B:B,'Base stats'!E:E),Groups!A:A,Groups!AZ:AZ)=2,
"Bone",
""
)
)
)</f>
        <v>Bone</v>
      </c>
      <c r="CI410" s="25" t="str">
        <f>IF(_xlfn.XLOOKUP(_xlfn.XLOOKUP(B410,'Base stats'!B:B,'Base stats'!E:E),Groups!A:A,Groups!BB:BB),"True","False")</f>
        <v>False</v>
      </c>
      <c r="CJ410" s="25" t="str">
        <f>IF(_xlfn.XLOOKUP(_xlfn.XLOOKUP(B410,'Base stats'!B:B,'Base stats'!E:E),Groups!A:A,Groups!BA:BA),"True","False")</f>
        <v>False</v>
      </c>
    </row>
    <row r="411" spans="1:88" ht="16.5" thickTop="1" thickBot="1" x14ac:dyDescent="0.3">
      <c r="A411" s="26" t="s">
        <v>2100</v>
      </c>
      <c r="B411" s="6" t="str">
        <f>_xlfn.XLOOKUP(A411,'Base stats'!A:A,'Base stats'!B:B)</f>
        <v>Uintatherium anceps</v>
      </c>
      <c r="C411" s="28" t="str">
        <f t="shared" si="56"/>
        <v>&lt;li&gt;Uintatherium&lt;/li&gt;</v>
      </c>
      <c r="D411" s="28" t="s">
        <v>2126</v>
      </c>
      <c r="E411" s="28" t="s">
        <v>673</v>
      </c>
      <c r="F411" s="28" t="s">
        <v>673</v>
      </c>
      <c r="G411" s="28" t="s">
        <v>673</v>
      </c>
      <c r="H411" s="2">
        <f>MROUND((
  (IF(AND(_xlfn.XLOOKUP(B411,'Base stats'!B:B,'Base stats'!AL:AL)=0,BI411="None",_xlfn.XLOOKUP(_xlfn.XLOOKUP(B411,'Base stats'!B:B,'Base stats'!E:E),Groups!A:A,Groups!B:B)=0), (18 + BR411 * 2.7) * 0.5,
    IF(AND(_xlfn.XLOOKUP(B411,'Base stats'!B:B,'Base stats'!AL:AL)=0,OR(AO411&lt;0.55,AND(BI411="Intermediate",_xlfn.XLOOKUP(_xlfn.XLOOKUP(B411,'Base stats'!B:B,'Base stats'!E:E),Groups!A:A,Groups!B:B)&lt;2))), (18 + BR411 * 2.7),
      IF(OR(BI411="Advanced",_xlfn.XLOOKUP(B411,'Base stats'!B:B,'Base stats'!AL:AL)=1,_xlfn.XLOOKUP(_xlfn.XLOOKUP(B411,'Base stats'!B:B,'Base stats'!E:E),Groups!A:A,Groups!B:B)=2), (18 + BR411 * 2.7) + 250, (18 + BR411 * 2.7))
    )
  ))
  + AO411 * 80
  + IF(COUNTIF(EggMilk!K$2:K$998, A411) &gt; 0, 125, 0)
  + IF(COUNTIF(EggMilk!P$2:P$998, A411) &gt; 0, 90, 0)
  + IF(COUNTIF(EggMilk!A$2:A$998, A411) &gt; 0, 90, 0)
)
* (0.8 + 0.4 * J411)
* 0.75,25)</f>
        <v>600</v>
      </c>
      <c r="I411" s="2">
        <f>MROUND(ROUNDDOWN(_xlfn.XLOOKUP(B411,'Base stats'!B:B,'Base stats'!L:L)/3.6/(23.3/11),1),0.5)</f>
        <v>5</v>
      </c>
      <c r="J411" s="2">
        <f>IF(OR(_xlfn.XLOOKUP(B411,'Base stats'!B:B,'Base stats'!AB:AB)=1,_xlfn.XLOOKUP(_xlfn.XLOOKUP(B411,'Base stats'!B:B,'Base stats'!E:E),Groups!A:A,Groups!C:C)="Untamable"),1,IF(_xlfn.XLOOKUP(B411,'Base stats'!B:B,'Base stats'!AL:AL)=1,0.99,MIN(MROUND((1-0.6282*EXP(-0.459*AO411))*_xlfn.XLOOKUP(_xlfn.XLOOKUP(B411,'Base stats'!B:B,'Base stats'!E:E),Groups!A:A,Groups!C:C)*IF(_xlfn.XLOOKUP(B411,'Base stats'!B:B,'Base stats'!O:O)=1,0.5,IF(_xlfn.XLOOKUP(B411,'Base stats'!B:B,'Base stats'!O:O)=2,0,1)),0.05),IF(AO411&gt;3.5,0.985,0.95))))</f>
        <v>0.9</v>
      </c>
      <c r="K411" s="2">
        <f>ROUNDUP(AO411*_xlfn.XLOOKUP(_xlfn.XLOOKUP(B411,'Base stats'!B:B,'Base stats'!E:E),Groups!A:A,Groups!E:E),0)</f>
        <v>19</v>
      </c>
      <c r="L411" s="2">
        <f>IF(OR(_xlfn.XLOOKUP(_xlfn.XLOOKUP(B411,'Base stats'!B:B,'Base stats'!E:E),Groups!A:A,Groups!F:F)=2,ISNUMBER(SEARCH("SeaIce",BX411)),ISNUMBER(SEARCH("IceSheet",BX411))),-50,IF(OR(ISNUMBER(SEARCH("GlacialPlain",BX411)),ISNUMBER(SEARCH("Tundra",BX411))),-40,IF(OR(ISNUMBER(SEARCH("Alpine",BX411)),ISNUMBER(SEARCH("BorealForest",BX411)),ISNUMBER(SEARCH("ColdBog",BX411))),-30,IF(OR(ISNUMBER(SEARCH("TemperateForest",BX411)),ISNUMBER(SEARCH("TemperateSwamp",BX411))),-20,IF(_xlfn.XLOOKUP(_xlfn.XLOOKUP(B411,'Base stats'!B:B,'Base stats'!E:E),Groups!A:A,Groups!F:F)=1,-15,IF(OR(ISNUMBER(SEARCH("Desert",BX411)),ISNUMBER(SEARCH("ExtremeDesert",BX411))),-10,IF(OR(ISNUMBER(SEARCH("Grasslands",BX411)),ISNUMBER(SEARCH("TropicalRainforest",BX411)),ISNUMBER(SEARCH("TropicalSwamp",BX411))),10,0)))))))-IF(CC411="False",MIN(IFERROR(MAX(MROUND(LOG10(_xlfn.XLOOKUP(B411,'Base stats'!B:B,'Base stats'!C:C)^(2/3))*10,5),5),5),30))-_xlfn.XLOOKUP(B411,'Base stats'!B:B,'Base stats'!P:P)+IF(CC411="True",5,0)</f>
        <v>-35</v>
      </c>
      <c r="M411" s="2">
        <f>IF(OR(_xlfn.XLOOKUP(_xlfn.XLOOKUP(B411,'Base stats'!B:B,'Base stats'!E:E),Groups!A:A,Groups!G:G)=2,ISNUMBER(SEARCH("Desert",BX411)),ISNUMBER(SEARCH("ExtremeDesert",BX411)),ISNUMBER(SEARCH("LavaField",BX411))),50,IF(ISNUMBER(SEARCH("Grasslands",BX411)),45,IF(OR(_xlfn.XLOOKUP(_xlfn.XLOOKUP(B411,'Base stats'!B:B,'Base stats'!E:E),Groups!A:A,Groups!G:G)=1,ISNUMBER(SEARCH("TropicalRainforest",BX411)),ISNUMBER(SEARCH("TropicalSwamp",BX411))),40,IF(OR(ISNUMBER(SEARCH("TemperateForest",BX411)),ISNUMBER(SEARCH("TemperateSwamp",BX411))),35,IF(OR(ISNUMBER(SEARCH("Alpine",BX411)),ISNUMBER(SEARCH("BorealForest",BX411)),ISNUMBER(SEARCH("ColdBog",BX411))),30,IF(ISNUMBER(OR(ISNUMBER(SEARCH("GlacialPlain",BX411)),SEARCH("Tundra",BX411))),25,IF(OR(ISNUMBER(SEARCH("SeaIce",BX411)),ISNUMBER(SEARCH("IceSheet",BX411)),ISNUMBER(SEARCH("TropicalSwamp",BX411))),10,35)))))))+_xlfn.XLOOKUP(B411,'Base stats'!B:B,'Base stats'!Q:Q)</f>
        <v>35</v>
      </c>
      <c r="N411" s="8" t="str">
        <f>IF(
_xlfn.XLOOKUP(
_xlfn.XLOOKUP(B411,'Base stats'!B:B,'Base stats'!E:E),
Groups!A:A,
Groups!L:L
)=1,
MIN(
MROUND(
IF(
_xlfn.XLOOKUP(B411,'Animals CE'!B:B,'Animals CE'!Z:Z)&lt;=1.5,
_xlfn.XLOOKUP(B411,'Animals CE'!B:B,'Animals CE'!Z:Z)/2+0.05,
0.8+
(_xlfn.XLOOKUP(B411,'Animals CE'!B:B,'Animals CE'!Z:Z)-1.5)
*0.02
),
0.05
),
200%
),
"No"
)</f>
        <v>No</v>
      </c>
      <c r="O411" s="8" t="str">
        <f>IF(
_xlfn.XLOOKUP(
_xlfn.XLOOKUP(B411,'Base stats'!B:B,'Base stats'!E:E),
Groups!A:A,
Groups!L:L
)=1,
MIN(
MROUND(
IF(
_xlfn.XLOOKUP(B411,'Animals CE'!B:B,'Animals CE'!AA:AA)&lt;=1.5,
_xlfn.XLOOKUP(B411,'Animals CE'!B:B,'Animals CE'!AA:AA)/2+0.05,
0.8+
(_xlfn.XLOOKUP(B411,'Animals CE'!B:B,'Animals CE'!AA:AA)-1.5)
*0.02
),
0.05
),
200%
),
"No"
)</f>
        <v>No</v>
      </c>
      <c r="P411" s="2" t="str">
        <f>_xlfn.XLOOKUP(B411,'Base stats'!B:B,'Base stats'!R:R)</f>
        <v>Standard</v>
      </c>
      <c r="Q411" s="13">
        <f>MROUND((LOG10(_xlfn.XLOOKUP(B411,'Base stats'!B:B,'Base stats'!AR:AR))*(AO411^0.5)+(_xlfn.XLOOKUP(B411,'Base stats'!B:B,'Base stats'!AR:AR)/1000)^(2/3)+_xlfn.XLOOKUP(B411,'Base stats'!B:B,'Base stats'!BA:BA)/2)+0.5,0.5)</f>
        <v>23</v>
      </c>
      <c r="R411" s="7">
        <f>IF(Q411="No","No",MAX(1,MROUND(_xlfn.XLOOKUP(B411,'Base stats'!B:B,'Base stats'!C:C)^0.165,0.05)))</f>
        <v>3.3000000000000003</v>
      </c>
      <c r="S411" s="13">
        <f>IF(_xlfn.XLOOKUP(_xlfn.XLOOKUP(B411,'Base stats'!B:B,'Base stats'!E:E),Groups!A:A,Groups!P:P)=0,"No",MROUND((LOG10(_xlfn.XLOOKUP(B411,'Base stats'!B:B,'Base stats'!AS:AS))*(AO411^0.5)+(_xlfn.XLOOKUP(B411,'Base stats'!B:B,'Base stats'!AS:AS)/1000)^(2/3)+_xlfn.XLOOKUP(B411,'Base stats'!B:B,'Base stats'!BA:BA))+_xlfn.XLOOKUP(B411,'Base stats'!B:B,'Base stats'!AY:AY)+0.5,0.5))</f>
        <v>27.5</v>
      </c>
      <c r="T411" s="7">
        <f>IF(S411="No","No",MAX(_xlfn.XLOOKUP(_xlfn.XLOOKUP(B411,'Base stats'!B:B,'Base stats'!E:E),Groups!A:A,Groups!Q:Q),MROUND(_xlfn.XLOOKUP(_xlfn.XLOOKUP(B411,'Base stats'!B:B,'Base stats'!E:E),Groups!A:A,Groups!Q:Q)*_xlfn.XLOOKUP(B411,'Base stats'!B:B,'Base stats'!C:C)^0.165,0.05)))</f>
        <v>2.8000000000000003</v>
      </c>
      <c r="U411" s="7" t="str">
        <f>IF(S411="No","No",_xlfn.XLOOKUP(_xlfn.XLOOKUP(B411,'Base stats'!B:B,'Base stats'!E:E),Groups!A:A,Groups!R:R))</f>
        <v>FrontLeftLeg, FrontRightLeg</v>
      </c>
      <c r="V411" s="7" t="str">
        <f>IF(S411="No","No",_xlfn.XLOOKUP(_xlfn.XLOOKUP(B411,'Base stats'!B:B,'Base stats'!E:E),Groups!A:A,Groups!S:S))</f>
        <v>left hoof, right hoof</v>
      </c>
      <c r="W411" s="7" t="str">
        <f>IF(S411="No","No",_xlfn.XLOOKUP(_xlfn.XLOOKUP(B411,'Base stats'!B:B,'Base stats'!E:E),Groups!A:A,Groups!T:T))</f>
        <v>Blunt</v>
      </c>
      <c r="X411" s="13" t="str">
        <f>IF(_xlfn.XLOOKUP(B411,'Base stats'!B:B,'Base stats'!W:W)="No","No",MROUND((LOG10(_xlfn.XLOOKUP(B411,'Base stats'!B:B,'Base stats'!AU:AU))*(AO411^0.5)+(_xlfn.XLOOKUP(B411,'Base stats'!B:B,'Base stats'!AU:AU)/1000)^(2/3)+_xlfn.XLOOKUP(B411,'Base stats'!B:B,'Base stats'!AZ:AZ))+0.5+IF(_xlfn.XLOOKUP(_xlfn.XLOOKUP(B411,'Base stats'!B:B,'Base stats'!E:E),Groups!A:A,Groups!U:U)&lt;&gt;3,_xlfn.XLOOKUP(B411,'Base stats'!B:B,'Base stats'!BA:BA),0),0.5))</f>
        <v>No</v>
      </c>
      <c r="Y411" s="7" t="str">
        <f>IF(X411="No","No",MAX(_xlfn.XLOOKUP(_xlfn.XLOOKUP(B411,'Base stats'!B:B,'Base stats'!E:E),Groups!A:A,Groups!V:V),MROUND(_xlfn.XLOOKUP(_xlfn.XLOOKUP(B411,'Base stats'!B:B,'Base stats'!E:E),Groups!A:A,Groups!V:V)*_xlfn.XLOOKUP(B411,'Base stats'!B:B,'Base stats'!C:C)^0.165,0.05)))</f>
        <v>No</v>
      </c>
      <c r="Z411" s="7" t="str">
        <f>IF(X411="No","No",_xlfn.XLOOKUP(_xlfn.XLOOKUP(B411,'Base stats'!B:B,'Base stats'!E:E),Groups!A:A,Groups!W:W))</f>
        <v>No</v>
      </c>
      <c r="AA411" s="7" t="str">
        <f>IF(X411="No","No",_xlfn.XLOOKUP(_xlfn.XLOOKUP(B411,'Base stats'!B:B,'Base stats'!E:E),Groups!A:A,Groups!X:X))</f>
        <v>No</v>
      </c>
      <c r="AB411" s="7" t="str">
        <f>IF(X411="No","No",_xlfn.XLOOKUP(_xlfn.XLOOKUP(B411,'Base stats'!B:B,'Base stats'!E:E),Groups!A:A,Groups!Y:Y))</f>
        <v>No</v>
      </c>
      <c r="AC411" s="7" t="str">
        <f>_xlfn.XLOOKUP(Animals!B411,'Base stats'!B:B,'Base stats'!X:X)</f>
        <v>False</v>
      </c>
      <c r="AD411" s="13">
        <f>IF(_xlfn.XLOOKUP(B411,'Base stats'!B:B,'Base stats'!AT:AT)="No","No",MROUND((LOG10(_xlfn.XLOOKUP(B411,'Base stats'!B:B,'Base stats'!AT:AT))*(AO411^0.75)+(_xlfn.XLOOKUP(B411,'Base stats'!B:B,'Base stats'!AT:AT)/1000)^(2/3)+_xlfn.XLOOKUP(B411,'Base stats'!B:B,'Base stats'!AX:AX)+_xlfn.XLOOKUP(B411,'Base stats'!B:B,'Base stats'!BA:BA))+0.5,0.5))</f>
        <v>30</v>
      </c>
      <c r="AE411" s="7">
        <f>IF(AD411="No","No",MAX(_xlfn.XLOOKUP(_xlfn.XLOOKUP(B411,'Base stats'!B:B,'Base stats'!E:E),Groups!A:A,Groups!Z:Z),MROUND(_xlfn.XLOOKUP(_xlfn.XLOOKUP(B411,'Base stats'!B:B,'Base stats'!E:E),Groups!A:A,Groups!Z:Z)*_xlfn.XLOOKUP(B411,'Base stats'!B:B,'Base stats'!C:C)^0.165,0.05)))</f>
        <v>3.3000000000000003</v>
      </c>
      <c r="AF411" s="7" t="str">
        <f>IF(AD411="No","No",_xlfn.XLOOKUP(_xlfn.XLOOKUP(B411,'Base stats'!B:B,'Base stats'!E:E),Groups!A:A,Groups!AA:AA))</f>
        <v>Teeth</v>
      </c>
      <c r="AG411" s="7" t="str">
        <f>IF(AD411="No","No",_xlfn.XLOOKUP(_xlfn.XLOOKUP(B411,'Base stats'!B:B,'Base stats'!E:E),Groups!A:A,Groups!AB:AB))</f>
        <v>teeth</v>
      </c>
      <c r="AH411" s="7" t="str">
        <f>IF(AD411="No","No",_xlfn.XLOOKUP(_xlfn.XLOOKUP(B411,'Base stats'!B:B,'Base stats'!E:E),Groups!A:A,Groups!AC:AC))</f>
        <v>Bite</v>
      </c>
      <c r="AI411" s="13" t="str">
        <f>IF(_xlfn.XLOOKUP(_xlfn.XLOOKUP(B411,'Base stats'!B:B,'Base stats'!E:E),Groups!A:A,Groups!AD:AD)=0,"No",MROUND((LOG10(_xlfn.XLOOKUP(B411,'Base stats'!B:B,'Base stats'!AS:AS))*(AO411^0.75)+(_xlfn.XLOOKUP(B411,'Base stats'!B:B,'Base stats'!AS:AS)/1000)^(2/3)+_xlfn.XLOOKUP(B411,'Base stats'!B:B,'Base stats'!AY:AY)+_xlfn.XLOOKUP(B411,'Base stats'!B:B,'Base stats'!BA:BA))+0.5,0.5))</f>
        <v>No</v>
      </c>
      <c r="AJ411" s="7" t="str">
        <f>IF(AI411="No","No",MAX(_xlfn.XLOOKUP(_xlfn.XLOOKUP(B411,'Base stats'!B:B,'Base stats'!E:E),Groups!A:A,Groups!AE:AE),MROUND(_xlfn.XLOOKUP(_xlfn.XLOOKUP(B411,'Base stats'!B:B,'Base stats'!E:E),Groups!A:A,Groups!AE:AE)*IF(_xlfn.XLOOKUP(_xlfn.XLOOKUP(B411,'Base stats'!B:B,'Base stats'!E:E),Groups!A:A,Groups!AJ:AJ)="Photonozoa",0.6,1)*_xlfn.XLOOKUP(B411,'Base stats'!B:B,'Base stats'!C:C)^0.165,0.05)))</f>
        <v>No</v>
      </c>
      <c r="AK411" s="7" t="str">
        <f>IF(AI411="No","No",_xlfn.XLOOKUP(_xlfn.XLOOKUP(B411,'Base stats'!B:B,'Base stats'!E:E),Groups!A:A,Groups!AF:AF))</f>
        <v>No</v>
      </c>
      <c r="AL411" s="7" t="str">
        <f>IF(AI411="No","No",_xlfn.XLOOKUP(_xlfn.XLOOKUP(B411,'Base stats'!B:B,'Base stats'!E:E),Groups!A:A,Groups!AG:AG))</f>
        <v>No</v>
      </c>
      <c r="AM411" s="7" t="str">
        <f>IF(AI411="No","No",_xlfn.XLOOKUP(_xlfn.XLOOKUP(B411,'Base stats'!B:B,'Base stats'!E:E),Groups!A:A,Groups!AH:AH))</f>
        <v>No</v>
      </c>
      <c r="AN411" s="2" t="str">
        <f t="shared" si="49"/>
        <v>No</v>
      </c>
      <c r="AO411" s="2">
        <f>MROUND(IF(AND(_xlfn.XLOOKUP(B411,'Base stats'!B:B,'Base stats'!C:C)&gt;=0.5,_xlfn.XLOOKUP(B411,'Base stats'!B:B,'Base stats'!C:C)&lt;=0.8),
IF(_xlfn.XLOOKUP(B411,'Base stats'!B:B,'Base stats'!C:C)&lt;0.1,0.05,IF(_xlfn.XLOOKUP(B411,'Base stats'!B:B,'Base stats'!C:C)&lt;=70,(_xlfn.XLOOKUP(B411,'Base stats'!B:B,'Base stats'!C:C)/70)^0.426489913056526,IF(_xlfn.XLOOKUP(B411,'Base stats'!B:B,'Base stats'!C:C)&lt;=400,(_xlfn.XLOOKUP(B411,'Base stats'!B:B,'Base stats'!C:C)/70)^0.572811455315093,IF(_xlfn.XLOOKUP(B411,'Base stats'!B:B,'Base stats'!C:C)&lt;=2000,2.71391647193063*(_xlfn.XLOOKUP(B411,'Base stats'!B:B,'Base stats'!C:C)/400)^0.252459582904293,3.74314280240376*(_xlfn.XLOOKUP(B411,'Base stats'!B:B,'Base stats'!C:C)/2000)^0.357012633876913)))),
IF(_xlfn.XLOOKUP(B411,'Base stats'!B:B,'Base stats'!C:C)&lt;0.1,0.05,IF(_xlfn.XLOOKUP(B411,'Base stats'!B:B,'Base stats'!C:C)&lt;0.4,0.1,IF(_xlfn.XLOOKUP(B411,'Base stats'!B:B,'Base stats'!C:C)&lt;=70,(_xlfn.XLOOKUP(B411,'Base stats'!B:B,'Base stats'!C:C)/70)^0.445823913056526,IF(_xlfn.XLOOKUP(B411,'Base stats'!B:B,'Base stats'!C:C)&lt;=400,(_xlfn.XLOOKUP(B411,'Base stats'!B:B,'Base stats'!C:C)/70)^0.572811455315093,IF(_xlfn.XLOOKUP(B411,'Base stats'!B:B,'Base stats'!C:C)&lt;=2000,2.71391647193063*(_xlfn.XLOOKUP(B411,'Base stats'!B:B,'Base stats'!C:C)/400)^0.252459582904293,3.74314280240376*(_xlfn.XLOOKUP(B411,'Base stats'!B:B,'Base stats'!C:C)/2000)^0.357012633876913)))))),
IF(_xlfn.XLOOKUP(B411,'Base stats'!B:B,'Base stats'!C:C)&lt;0.1,0.05,IF(_xlfn.XLOOKUP(B411,'Base stats'!B:B,'Base stats'!C:C)&lt;=100,0.05,IF(_xlfn.XLOOKUP(B411,'Base stats'!B:B,'Base stats'!C:C)&lt;=250,0.1,IF(_xlfn.XLOOKUP(B411,'Base stats'!B:B,'Base stats'!C:C)&lt;=4000,0.25,0.5)))))</f>
        <v>3.75</v>
      </c>
      <c r="AP411" s="8">
        <f>MROUND(AO411*_xlfn.XLOOKUP(_xlfn.XLOOKUP(B411,'Base stats'!B:B,'Base stats'!E:E),Groups!A:A,Groups!AI:AI)*_xlfn.XLOOKUP(B411,'Base stats'!B:B,'Base stats'!Z:Z),0.05)</f>
        <v>3.75</v>
      </c>
      <c r="AQ411" s="8">
        <f>MAX(0.01,MROUND(IF(CC411="True",0.196*(AO411*100*1000)^0.889,IF(_xlfn.XLOOKUP(_xlfn.XLOOKUP(B411,'Base stats'!B:B,'Base stats'!E:E),Groups!A:A,Groups!AJ:AJ)="Bird",10.5*(AO411*100*1000)^0.681,4.82*(AO411*100*1000)^0.734))/(4.82*(1*100*1000)^0.734)/IF(AO411&lt;3.5,2,IF(AO411=3.5,1.5,1.25))*(1+0.132282374779864/(AO411^0.994035016789033+0.00905238001496948)),0.05))</f>
        <v>2.2000000000000002</v>
      </c>
      <c r="AR411" s="9">
        <f>IFERROR(MROUND(_xlfn.XLOOKUP(B411,'Base stats'!B:B,'Base stats'!H:H)/IF(_xlfn.XLOOKUP(B411,'Base stats'!B:B,'Base stats'!I:I)&lt;&gt;1,(122.5/70),1.2),IF(_xlfn.XLOOKUP(B411,'Base stats'!B:B,'Base stats'!H:H)&gt;=30,5,IF(_xlfn.XLOOKUP(B411,'Base stats'!B:B,'Base stats'!H:H)&gt;=15,3,IF(_xlfn.XLOOKUP(B411,'Base stats'!B:B,'Base stats'!H:H)&gt;=10,2,1)))),"Immortal")</f>
        <v>40</v>
      </c>
      <c r="AS411" s="35">
        <f>IFERROR(IF(OR(_xlfn.XLOOKUP(B411,'Base stats'!B:B,'Base stats'!F:F)="Atypical reproduction",_xlfn.XLOOKUP(B411,'Base stats'!B:B,'Base stats'!F:F)="Lay eggs"),"Lay eggs",MIN(20,MAX(5.5,ROUND(((_xlfn.XLOOKUP(B411,'Base stats'!B:B,'Base stats'!F:F)-25)*(14.5/615) + 5.5)*2,0)/2))),"Unknown")</f>
        <v>13</v>
      </c>
      <c r="AT411" s="8">
        <f>IF(_xlfn.XLOOKUP(B411,'Base stats'!B:B,'Base stats'!G:G)="Atypical reproduction","No",IFERROR(MAX(IF(_xlfn.XLOOKUP(B411,'Base stats'!B:B,'Base stats'!G:G)&lt;0.5,0.2,0.3),MROUND(_xlfn.XLOOKUP(B411,'Base stats'!B:B,'Base stats'!G:G)/(365/60),0.2)),"Unknown"))</f>
        <v>0.4</v>
      </c>
      <c r="AU411" s="8">
        <f t="shared" si="50"/>
        <v>0.2</v>
      </c>
      <c r="AV411" s="8">
        <f>IFERROR(IFERROR(MROUND(_xlfn.XLOOKUP(B411,'Base stats'!B:B,'Base stats'!J:J),0.1),"Lay eggs"),"Cannot breed")</f>
        <v>1</v>
      </c>
      <c r="AW411" s="2" t="str">
        <f t="shared" si="51"/>
        <v>false</v>
      </c>
      <c r="AX411" s="2" t="str">
        <f>IF(_xlfn.XLOOKUP(_xlfn.XLOOKUP(Animals!B411,'Base stats'!B:B,'Base stats'!E:E),Groups!A:A,Groups!AK:AK)=1,"true","false")</f>
        <v>true</v>
      </c>
      <c r="AY411" s="25" t="str">
        <f>IF(_xlfn.XLOOKUP(B411,'Base stats'!B:B,'Base stats'!Y:Y)="Liquor","Liquor, CarnivoreAnimalStrict",IF(AND(_xlfn.XLOOKUP(B411,'Base stats'!B:B,'Base stats'!Y:Y)="Carnivore",_xlfn.XLOOKUP(_xlfn.XLOOKUP(B411,'Base stats'!B:B,'Base stats'!E:E),Groups!A:A,Groups!AJ:AJ)="Photonozoa"),"CarnivoreAnimalStrict, OvivoreAnimal",IF(_xlfn.XLOOKUP(B411,'Base stats'!B:B,'Base stats'!Y:Y)="Carnivore","CarnivoreAnimal, OvivoreAnimal",IF(_xlfn.XLOOKUP(B411,'Base stats'!B:B,'Base stats'!Y:Y)="Dendrovore","VegetarianRoughAnimal, DendrovoreAnimal",IF(_xlfn.XLOOKUP(B411,'Base stats'!B:B,'Base stats'!Y:Y)="Herbivore","VegetarianRoughAnimal",IF(_xlfn.XLOOKUP(B411,'Base stats'!B:B,'Base stats'!Y:Y)="OmnivoreRough","OmnivoreRoughAnimal, OvivoreAnimal","OmnivoreAnimal, OvivoreAnimal"))))))</f>
        <v>VegetarianRoughAnimal</v>
      </c>
      <c r="AZ411" s="2">
        <f>IF(_xlfn.XLOOKUP(_xlfn.XLOOKUP(B411,'Base stats'!B:B,'Base stats'!E:E),Groups!A:A,Groups!D:D)=1,MROUND((1-J411)*5+1,2)*IF(J411&lt;=0.4,2,1),"No")</f>
        <v>2</v>
      </c>
      <c r="BA411" s="2" t="str">
        <f>IF(AND(_xlfn.XLOOKUP(B411,'Base stats'!B:B,'Base stats'!AH:AH)="&lt;li&gt;Seal&lt;/li&gt;",G411="Odyssey"),"&lt;li&gt;AEXP_Seal&lt;/li&gt;",_xlfn.XLOOKUP(B411,'Base stats'!B:B,'Base stats'!AH:AH))</f>
        <v>No</v>
      </c>
      <c r="BB411" s="2" t="str">
        <f>_xlfn.XLOOKUP(B411,'Base stats'!B:B,'Base stats'!AG:AG)</f>
        <v>Leather_Rhinoceros</v>
      </c>
      <c r="BC411" s="23" t="str">
        <f>_xlfn.XLOOKUP(_xlfn.XLOOKUP(B411,'Base stats'!B:B,'Base stats'!E:E),Groups!A:A,Groups!AL:AL)</f>
        <v>QuadrupedAnimalWithHooves</v>
      </c>
      <c r="BD411" s="23">
        <f>MIN(1,MROUND(IF(AND(AO411&lt;0.5,_xlfn.XLOOKUP(B411,'Base stats'!B:B,'Base stats'!AA:AA)=0),0,IF(OR(_xlfn.XLOOKUP(Animals!B411,'Base stats'!B:B,'Base stats'!O:O)=2,_xlfn.XLOOKUP(_xlfn.XLOOKUP(B411,'Base stats'!B:B,'Base stats'!E:E),Groups!A:A,Groups!AN:AN)=0),0,_xlfn.XLOOKUP(_xlfn.XLOOKUP(B411,'Base stats'!B:B,'Base stats'!E:E),Groups!A:A,Groups!AN:AN)/IF(_xlfn.XLOOKUP(Animals!B411,'Base stats'!B:B,'Base stats'!O:O)=1,2,1)))+_xlfn.XLOOKUP(B411,'Base stats'!B:B,'Base stats'!AC:AC),0.005))</f>
        <v>0</v>
      </c>
      <c r="BE411" s="23">
        <f>MIN(1,MROUND(IF(AND(AO411&lt;0.5,_xlfn.XLOOKUP(B411,'Base stats'!B:B,'Base stats'!AA:AA)=0),0,IF(_xlfn.XLOOKUP(_xlfn.XLOOKUP(B411,'Base stats'!B:B,'Base stats'!E:E),Groups!A:A,Groups!AO:AO)=0,0,_xlfn.XLOOKUP(_xlfn.XLOOKUP(B411,'Base stats'!B:B,'Base stats'!E:E),Groups!A:A,Groups!AO:AO)/IF(_xlfn.XLOOKUP(Animals!B411,'Base stats'!B:B,'Base stats'!O:O)=2,3,1)))+_xlfn.XLOOKUP(B411,'Base stats'!B:B,'Base stats'!AD:AD),0.005))</f>
        <v>0</v>
      </c>
      <c r="BF411" s="2" t="str">
        <f>IF(J411&gt;0.3,"No",_xlfn.XLOOKUP(_xlfn.XLOOKUP(Animals!B411,'Base stats'!B:B,'Base stats'!E:E),Groups!A:A,Groups!AP:AP))</f>
        <v>No</v>
      </c>
      <c r="BG411" s="2" t="str">
        <f>IF(AND(J411&lt;=0.65,_xlfn.XLOOKUP(_xlfn.XLOOKUP(Animals!B411,'Base stats'!B:B,'Base stats'!E:E),Groups!A:A,Groups!AP:AP)&lt;&gt;"No",_xlfn.XLOOKUP(_xlfn.XLOOKUP(B411,'Base stats'!B:B,'Base stats'!E:E),Groups!A:A,Groups!D:D)=0),MROUND((80/3)*IF(_xlfn.XLOOKUP(B411,'Base stats'!B:B,'Base stats'!O:O)=2,0.2,AO411) + 24*(1-IF(BF411="No",0,BF411)) + 16/3, 12),"No")</f>
        <v>No</v>
      </c>
      <c r="BH411" s="2">
        <f>IF(AND(_xlfn.XLOOKUP(_xlfn.XLOOKUP(B411,'Base stats'!B:B,'Base stats'!E:E),Groups!A:A,Groups!AQ:AQ)=1,AO411&lt;=0.35),8,12)</f>
        <v>12</v>
      </c>
      <c r="BI411" s="2" t="str">
        <f>IF(_xlfn.XLOOKUP(_xlfn.XLOOKUP(B411,'Base stats'!B:B,'Base stats'!E:E),Groups!A:A,Groups!D:D)=0,_xlfn.XLOOKUP(_xlfn.XLOOKUP(B411,'Base stats'!B:B,'Base stats'!E:E),Groups!A:A,Groups!AR:AR),"None")</f>
        <v>None</v>
      </c>
      <c r="BJ411" s="2" t="str">
        <f>IF(AND(_xlfn.XLOOKUP(_xlfn.XLOOKUP(B411,'Base stats'!B:B,'Base stats'!E:E),Groups!A:A,Groups!AS:AS)=1,OR(_xlfn.XLOOKUP(B411,'Base stats'!B:B,'Base stats'!Y:Y)="Carnivore",_xlfn.XLOOKUP(B411,'Base stats'!B:B,'Base stats'!Y:Y)="Omnivore")),"true","false")</f>
        <v>false</v>
      </c>
      <c r="BK411" s="2" t="str">
        <f>IF(BJ411="true",MROUND(IF(AND(AO411&gt;0.5,OR(_xlfn.XLOOKUP(_xlfn.XLOOKUP(B411,'Base stats'!B:B,'Base stats'!E:E),Groups!A:A,Groups!AJ:AJ)="Photonozoa",_xlfn.XLOOKUP(_xlfn.XLOOKUP(B411,'Base stats'!B:B,'Base stats'!E:E),Groups!A:A,Groups!AJ:AJ)="Mammal")),Animals!AO411*1.75*IF(AW411="true",1.5,1),IF(AO411&lt;0.5,Animals!AO411*0.5,Animals!AO411)),IF(AO411&gt;2,0.5,IF(AO411&gt;0.5,0.25,0.1))),"No")</f>
        <v>No</v>
      </c>
      <c r="BL411" s="2">
        <f t="shared" si="52"/>
        <v>0</v>
      </c>
      <c r="BM411" s="25" t="str">
        <f>IF(_xlfn.XLOOKUP(B411,'Base stats'!B:B,'Base stats'!AN:AN)="Standard","No",MROUND((_xlfn.XLOOKUP(B411,'Base stats'!B:B,'Base stats'!AN:AN)/3.6)/I411,0.1))</f>
        <v>No</v>
      </c>
      <c r="BN411" s="25" t="str">
        <f t="shared" si="53"/>
        <v>false</v>
      </c>
      <c r="BO411" s="25" t="str">
        <f>IF(AND(OR(_xlfn.XLOOKUP(B411,'Base stats'!B:B,'Base stats'!Y:Y)="Carnivore",_xlfn.XLOOKUP(B411,'Base stats'!B:B,'Base stats'!Y:Y)="Omnivore",_xlfn.XLOOKUP(B411,'Base stats'!B:B,'Base stats'!Y:Y)="OmnivoreRough"),_xlfn.XLOOKUP(_xlfn.XLOOKUP(B411,'Base stats'!B:B,'Base stats'!E:E),Groups!A:A,Groups!AT:AT)=1),"true","false")</f>
        <v>false</v>
      </c>
      <c r="BP411" s="25" t="str" cm="1">
        <f t="array" ref="BP411">IF(
  _xlfn.TEXTJOIN(", ",TRUE,
    IF(AND(BJ411="true",AO411&gt;0.5,BI411&lt;&gt;"None"),"AttackTarget",""),
    IF(AND(_xlfn.XLOOKUP(_xlfn.XLOOKUP(B411,'Base stats'!B:B,'Base stats'!E:E),Groups!A:A,Groups!AJ:AJ="Mammal"),OR(_xlfn.XLOOKUP(B411,'Base stats'!B:B,'Base stats'!Y:Y)="Omnivore",_xlfn.XLOOKUP(B411,'Base stats'!B:B,'Base stats'!Y:Y)="OmnivoreRough")),"Forage",""),
    IF(BG411&lt;=36,"Comfort",""),
    IF(_xlfn.XLOOKUP(B411,'Base stats'!B:B,'Base stats'!AE:AE)&lt;&gt;"No",_xlfn.XLOOKUP(B411,'Base stats'!B:B,'Base stats'!AE:AE),"")
  ) = "",
  "No",
  _xlfn.TEXTJOIN(", ",TRUE,
    IF(AND(BJ411="true",AO411&gt;0.5,BI411&lt;&gt;"None"),"AttackTarget",""),
    IF(AND(_xlfn.XLOOKUP(_xlfn.XLOOKUP(B411,'Base stats'!B:B,'Base stats'!E:E),Groups!A:A,Groups!AJ:AJ="Mammal"),OR(_xlfn.XLOOKUP(B411,'Base stats'!B:B,'Base stats'!Y:Y)="Omnivore",_xlfn.XLOOKUP(B411,'Base stats'!B:B,'Base stats'!Y:Y)="OmnivoreRough")),"Forage",""),
    IF(BG411&lt;=36,"Comfort",""),
    IF(_xlfn.XLOOKUP(B411,'Base stats'!B:B,'Base stats'!AE:AE)&lt;&gt;"No",_xlfn.XLOOKUP(B411,'Base stats'!B:B,'Base stats'!AE:AE),"")
  )
)</f>
        <v>No</v>
      </c>
      <c r="BQ411" s="25" t="str">
        <f>IF(
   AND(
      'Base stats'!AN411="Standard",_xlfn.XLOOKUP(_xlfn.XLOOKUP(B411,'Base stats'!B:B,'Base stats'!E:E),Groups!A:A,Groups!AU:AU)=0,
      OR(
      BO411="True"
      )
   ),
   10,
   IF(
       OR(BM411&lt;&gt;"No",_xlfn.XLOOKUP(_xlfn.XLOOKUP(B411,'Base stats'!B:B,'Base stats'!E:E),Groups!A:A,Groups!AU:AU)=1),
      1,
      "No"
   )
)</f>
        <v>No</v>
      </c>
      <c r="BR411" s="9">
        <f>MROUND((1 + ((0.2*IF(OR(Q411="No",R411="No",R411=0),0,Q411/R411)
+IF(OR(V411="No",S411="No",T411="No"),0,S411/T411*(LEN(V411)-LEN(SUBSTITUTE(V411,",",""))+1))
+IF(OR(X411="No",Y411="No"),0,X411/Y411)
+IF(OR(AD411="No",AE411="No"),0,AD411/AE411)
+IF(OR(AL411="No",AI411="No",AJ411="No"),0,AI411/AJ411*(LEN(AL411)-LEN(SUBSTITUTE(AL411,",",""))+1))
)/(0.2*IF(OR(Q411="No",R411="No",R411=0),0,1)
+IF(OR(V411="No",S411="No",T411="No"),0,LEN(V411)-LEN(SUBSTITUTE(V411,",",""))+1)
+IF(OR(X411="No",Y411="No"),0,1)
+IF(OR(AD411="No",AE411="No"),0,1)
+IF(OR(AL411="No",AI411="No",AJ411="No"),0,LEN(AL411)-LEN(SUBSTITUTE(AL411,",",""))+1))*62%)* 2)*(1 + (AP411 / (IF(_xlfn.XLOOKUP(_xlfn.XLOOKUP(B411,'Base stats'!B:B,'Base stats'!E:E),Groups!A:A,Groups!AJ:AJ)="Photonozoa",0.3,1)) + _xlfn.XLOOKUP(B411,'Base stats'!B:B,'Base stats'!AV:AV) * 1.8) * 2) * 2.5 + 10 + I411 * 2,5)+IF(_xlfn.XLOOKUP(B411,'Base stats'!B:B,'Base stats'!AK:AK)=1,50,0)</f>
        <v>290</v>
      </c>
      <c r="BS411" s="8">
        <f t="shared" si="54"/>
        <v>2.5</v>
      </c>
      <c r="BT411" s="8" t="str">
        <f>_xlfn.XLOOKUP(B411,'Base stats'!B:B,'Base stats'!AF:AF)</f>
        <v>No</v>
      </c>
      <c r="BU411" s="2" t="str">
        <f>IF(AND(J411&lt;=0.95,OR(_xlfn.XLOOKUP(B411,'Base stats'!B:B,'Base stats'!AK:AK)=1,_xlfn.XLOOKUP(B411,'Base stats'!B:B,'Base stats'!Y:Y)="Carnivore",_xlfn.XLOOKUP(B411,'Base stats'!B:B,'Base stats'!Y:Y)="Omnivore",BE411&gt;0.1)),"true","false")</f>
        <v>false</v>
      </c>
      <c r="BV411" s="2" t="str">
        <f>IF(_xlfn.XLOOKUP(B411,'Base stats'!B:B,'Base stats'!AI:AI)=1,"true","false")</f>
        <v>false</v>
      </c>
      <c r="BW411" s="25" t="str">
        <f>IF(E411="BaseInsect","AnimalInsect",
IF(J411&gt;0.95,"AnimalExotic",
_xlfn.TEXTJOIN(", ",TRUE,
IF(OR(_xlfn.XLOOKUP(B411,'Base stats'!B:B,'Base stats'!AM:AM)=1,AND(_xlfn.XLOOKUP(B411,'Base stats'!B:B,'Base stats'!O:O)=0,_xlfn.XLOOKUP(_xlfn.XLOOKUP(B411,'Base stats'!B:B,'Base stats'!E:E),Groups!A:A,Groups!B:B)&gt;0)),"AnimalUncommon","AnimalCommon"),
IF(AND(_xlfn.XLOOKUP(B411,'Base stats'!B:B,'Base stats'!O:O)=2,_xlfn.XLOOKUP(_xlfn.XLOOKUP(B411,'Base stats'!B:B,'Base stats'!E:E),Groups!A:A,Groups!D:D)=0),"AnimalPet",IF(AND(_xlfn.XLOOKUP(B411,'Base stats'!B:B,'Base stats'!O:O)&lt;&gt;0,_xlfn.XLOOKUP(_xlfn.XLOOKUP(B411,'Base stats'!B:B,'Base stats'!E:E),Groups!A:A,Groups!D:D)&lt;&gt;0),"AnimalFarm","")),
IF(OR(_xlfn.XLOOKUP(B411,'Base stats'!B:B,'Base stats'!AK:AK)=1,AND(BI411&lt;&gt;"None",BR411&gt;=60),ISNUMBER(SEARCH("Attack target",BP411))),"AnimalFighter","")
)))</f>
        <v>AnimalCommon</v>
      </c>
      <c r="BX411" s="25" t="str">
        <f>IF(G411="None",TRIM(
SUBSTITUTE(
IF(COUNTIF(Biomes!B$2:B$259,"="&amp;$C411)&gt;0,Biomes!B$1&amp;", ","")&amp;
IF(COUNTIF(Biomes!C$2:C$259,"="&amp;$C411)&gt;0,Biomes!C$1&amp;", ","")&amp;
IF(COUNTIF(Biomes!D$2:D$259,"="&amp;$C411)&gt;0,Biomes!D$1&amp;", ","")&amp;
IF(COUNTIF(Biomes!F$2:F$259,"="&amp;$C411)&gt;0,Biomes!F$1&amp;", ","")&amp;
IF(COUNTIF(Biomes!G$2:G$259,"="&amp;$C411)&gt;0,Biomes!G$1&amp;", ","")&amp;
IF(COUNTIF(Biomes!H$2:H$259,"="&amp;$C411)&gt;0,Biomes!H$1&amp;", ","")&amp;
IF(COUNTIF(Biomes!I$2:I$259,"="&amp;$C411)&gt;0,Biomes!I$1&amp;", ","")&amp;
IF(COUNTIF(Biomes!J$2:J$259,"="&amp;$C411)&gt;0,Biomes!J$1&amp;", ","")&amp;
IF(COUNTIF(Biomes!M$2:M$259,"="&amp;$C411)&gt;0,Biomes!M$1&amp;", ","")&amp;
IF(COUNTIF(Biomes!N$2:N$259,"="&amp;$C411)&gt;0,Biomes!N$1&amp;", ","")&amp;
IF(COUNTIF(Biomes!O$2:O$259,"="&amp;$C411)&gt;0,Biomes!O$1&amp;", ","")&amp;
IF(COUNTIF(Biomes!P$2:P$259,"="&amp;$C411)&gt;0,Biomes!P$1&amp;", ","")&amp;
IF(COUNTIF(Biomes!K$2:K$259,"="&amp;$C411)&gt;0,Biomes!K$1&amp;", ","")&amp;
IF(COUNTIF(Biomes!Q$3:Q$259,"="&amp;$C411)&gt;0,Biomes!Q$1&amp;", ","")&amp;
IF(COUNTIF(Biomes!L$2:L$259,"="&amp;$C411)&gt;0,Biomes!L$1&amp;", ","")&amp;
IF(COUNTIF(Biomes!E$2:E$259,"="&amp;$C411)&gt;0,Biomes!E$1&amp;", ","")&amp;IF(COUNTIF(Biomes!S$2:S$259,"="&amp;$C411)&gt;0,Biomes!S$1&amp;", ","")&amp;
IF(COUNTIF(Biomes!R$2:R$259,"="&amp;$C411)&gt;0,Biomes!R$1&amp;", ",""),", ","")
),_xlfn.XLOOKUP(B411,B:B,BX:BX))</f>
        <v/>
      </c>
      <c r="BY411" s="25" t="str">
        <f>IF(_xlfn.XLOOKUP(B411,'Base stats'!B:B,'Base stats'!AJ:AJ)=1,"true","false")</f>
        <v>false</v>
      </c>
      <c r="BZ411" s="25">
        <f>IF(_xlfn.XLOOKUP(B411,'Base stats'!B:B,'Base stats'!N:N)=1,"No",MAX(0.001,MIN(MROUND(IF(AND(BJ411="True",CC411="False"),POWER(10,3.47*LOG10(_xlfn.XLOOKUP(B411,'Base stats'!B:B,'Base stats'!C:C)*1000)^-0.96),POWER(10,4.15*LOG10(_xlfn.XLOOKUP(B411,'Base stats'!B:B,'Base stats'!C:C)*1000)^-0.73))*IF(_xlfn.XLOOKUP(B411,'Base stats'!B:B,'Base stats'!AK:AK)=1,0.5,1)*IF(_xlfn.XLOOKUP(B411,'Base stats'!B:B,'Base stats'!AM:AM)=1,0.1,1)/100,IF(_xlfn.XLOOKUP(B411,'Base stats'!B:B,'Base stats'!AM:AM)=1,0.001,0.025)),0.5)))</f>
        <v>0.125</v>
      </c>
      <c r="CA411" s="25" t="str">
        <f>IF(P411="Standard","No",MAX(0.001,MIN(MROUND(IF(AND(BJ411="True",CC411="False"),POWER(10,3.47*LOG10(_xlfn.XLOOKUP(B411,'Base stats'!B:B,'Base stats'!C:C)*1000)^-0.96),POWER(10,4.15*LOG10(_xlfn.XLOOKUP(B411,'Base stats'!B:B,'Base stats'!C:C)*1000)^-0.73))*IF(_xlfn.XLOOKUP(B411,'Base stats'!B:B,'Base stats'!AM:AM)=1,0.1,1)*_xlfn.XLOOKUP(B411,'Base stats'!B:B,'Base stats'!R:R)/100,IF(_xlfn.XLOOKUP(B411,'Base stats'!B:B,'Base stats'!AM:AM)=1,0.001,0.025)),0.5)))</f>
        <v>No</v>
      </c>
      <c r="CB411" s="25" t="str">
        <f>IF(_xlfn.XLOOKUP(_xlfn.XLOOKUP(B411,'Base stats'!B:B,'Base stats'!E:E),Groups!A:A,Groups!AJ:AJ)="Mammal","True","False")</f>
        <v>True</v>
      </c>
      <c r="CC411" s="25" t="str">
        <f>IF(OR(_xlfn.XLOOKUP(_xlfn.XLOOKUP(B411,'Base stats'!B:B,'Base stats'!E:E),Groups!A:A,Groups!AJ:AJ)="Reptile",_xlfn.XLOOKUP(_xlfn.XLOOKUP(B411,'Base stats'!B:B,'Base stats'!E:E),Groups!A:A,Groups!AJ:AJ)="Amphibian",_xlfn.XLOOKUP(_xlfn.XLOOKUP(B411,'Base stats'!B:B,'Base stats'!E:E),Groups!A:A,Groups!AJ:AJ)="Invertebrate"),"True","False")</f>
        <v>False</v>
      </c>
      <c r="CD411" s="25" t="str">
        <f t="shared" si="55"/>
        <v>False</v>
      </c>
      <c r="CE411" s="25" t="str">
        <f>IF(_xlfn.XLOOKUP(_xlfn.XLOOKUP(B411,'Base stats'!B:B,'Base stats'!E:E),Groups!A:A,Groups!AX:AX),"True","False")</f>
        <v>False</v>
      </c>
      <c r="CF411" s="25" t="str">
        <f>IF(_xlfn.XLOOKUP(_xlfn.XLOOKUP(B411,'Base stats'!B:B,'Base stats'!E:E),Groups!A:A,Groups!AY:AY),"True","False")</f>
        <v>False</v>
      </c>
      <c r="CG411" s="25" t="str">
        <f>IF(_xlfn.XLOOKUP(_xlfn.XLOOKUP(B411,'Base stats'!B:B,'Base stats'!E:E),Groups!A:A,Groups!AW:AW),"True","False")</f>
        <v>False</v>
      </c>
      <c r="CH411" s="25" t="str">
        <f>IF(
OR(
_xlfn.XLOOKUP(_xlfn.XLOOKUP(B411,'Base stats'!B:B,'Base stats'!E:E),Groups!A:A,Groups!AZ:AZ)=0,
AND(
_xlfn.XLOOKUP(B411,'Base stats'!B:B,'Base stats'!Y:Y)&lt;&gt;"Carnivore",
_xlfn.XLOOKUP(B411,'Base stats'!B:B,'Base stats'!Y:Y)&lt;&gt;"Omnivore",
_xlfn.XLOOKUP(B411,'Base stats'!B:B,'Base stats'!Y:Y)&lt;&gt;"OmnivoreRough"
)
),
"No",
IF(
_xlfn.XLOOKUP(_xlfn.XLOOKUP(B411,'Base stats'!B:B,'Base stats'!E:E),Groups!A:A,Groups!AZ:AZ)=1,
"Flesh",
IF(
_xlfn.XLOOKUP(_xlfn.XLOOKUP(B411,'Base stats'!B:B,'Base stats'!E:E),Groups!A:A,Groups!AZ:AZ)=2,
"Bone",
""
)
)
)</f>
        <v>No</v>
      </c>
      <c r="CI411" s="25" t="str">
        <f>IF(_xlfn.XLOOKUP(_xlfn.XLOOKUP(B411,'Base stats'!B:B,'Base stats'!E:E),Groups!A:A,Groups!BB:BB),"True","False")</f>
        <v>True</v>
      </c>
      <c r="CJ411" s="25" t="str">
        <f>IF(_xlfn.XLOOKUP(_xlfn.XLOOKUP(B411,'Base stats'!B:B,'Base stats'!E:E),Groups!A:A,Groups!BA:BA),"True","False")</f>
        <v>False</v>
      </c>
    </row>
    <row r="412" spans="1:88" ht="16.5" thickTop="1" thickBot="1" x14ac:dyDescent="0.3">
      <c r="A412" s="26" t="s">
        <v>2101</v>
      </c>
      <c r="B412" s="6" t="str">
        <f>_xlfn.XLOOKUP(A412,'Base stats'!A:A,'Base stats'!B:B)</f>
        <v>Pulmonoscorpius kirktonensis</v>
      </c>
      <c r="C412" s="28" t="str">
        <f t="shared" si="56"/>
        <v>&lt;li&gt;Pulmonoscorpius&lt;/li&gt;</v>
      </c>
      <c r="D412" s="28" t="s">
        <v>2126</v>
      </c>
      <c r="E412" s="28" t="s">
        <v>673</v>
      </c>
      <c r="F412" s="28" t="s">
        <v>673</v>
      </c>
      <c r="G412" s="28" t="s">
        <v>673</v>
      </c>
      <c r="H412" s="2">
        <f>MROUND((
  (IF(AND(_xlfn.XLOOKUP(B412,'Base stats'!B:B,'Base stats'!AL:AL)=0,BI412="None",_xlfn.XLOOKUP(_xlfn.XLOOKUP(B412,'Base stats'!B:B,'Base stats'!E:E),Groups!A:A,Groups!B:B)=0), (18 + BR412 * 2.7) * 0.5,
    IF(AND(_xlfn.XLOOKUP(B412,'Base stats'!B:B,'Base stats'!AL:AL)=0,OR(AO412&lt;0.55,AND(BI412="Intermediate",_xlfn.XLOOKUP(_xlfn.XLOOKUP(B412,'Base stats'!B:B,'Base stats'!E:E),Groups!A:A,Groups!B:B)&lt;2))), (18 + BR412 * 2.7),
      IF(OR(BI412="Advanced",_xlfn.XLOOKUP(B412,'Base stats'!B:B,'Base stats'!AL:AL)=1,_xlfn.XLOOKUP(_xlfn.XLOOKUP(B412,'Base stats'!B:B,'Base stats'!E:E),Groups!A:A,Groups!B:B)=2), (18 + BR412 * 2.7) + 250, (18 + BR412 * 2.7))
    )
  ))
  + AO412 * 80
  + IF(COUNTIF(EggMilk!K$2:K$998, A412) &gt; 0, 125, 0)
  + IF(COUNTIF(EggMilk!P$2:P$998, A412) &gt; 0, 90, 0)
  + IF(COUNTIF(EggMilk!A$2:A$998, A412) &gt; 0, 90, 0)
)
* (0.8 + 0.4 * J412)
* 0.75,25)</f>
        <v>100</v>
      </c>
      <c r="I412" s="2">
        <f>MROUND(ROUNDDOWN(_xlfn.XLOOKUP(B412,'Base stats'!B:B,'Base stats'!L:L)/3.6/(23.3/11),1),0.5)</f>
        <v>1.5</v>
      </c>
      <c r="J412" s="2">
        <f>IF(OR(_xlfn.XLOOKUP(B412,'Base stats'!B:B,'Base stats'!AB:AB)=1,_xlfn.XLOOKUP(_xlfn.XLOOKUP(B412,'Base stats'!B:B,'Base stats'!E:E),Groups!A:A,Groups!C:C)="Untamable"),1,IF(_xlfn.XLOOKUP(B412,'Base stats'!B:B,'Base stats'!AL:AL)=1,0.99,MIN(MROUND((1-0.6282*EXP(-0.459*AO412))*_xlfn.XLOOKUP(_xlfn.XLOOKUP(B412,'Base stats'!B:B,'Base stats'!E:E),Groups!A:A,Groups!C:C)*IF(_xlfn.XLOOKUP(B412,'Base stats'!B:B,'Base stats'!O:O)=1,0.5,IF(_xlfn.XLOOKUP(B412,'Base stats'!B:B,'Base stats'!O:O)=2,0,1)),0.05),IF(AO412&gt;3.5,0.985,0.95))))</f>
        <v>0.5</v>
      </c>
      <c r="K412" s="2">
        <f>ROUNDUP(AO412*_xlfn.XLOOKUP(_xlfn.XLOOKUP(B412,'Base stats'!B:B,'Base stats'!E:E),Groups!A:A,Groups!E:E),0)</f>
        <v>1</v>
      </c>
      <c r="L412" s="2">
        <f>IF(OR(_xlfn.XLOOKUP(_xlfn.XLOOKUP(B412,'Base stats'!B:B,'Base stats'!E:E),Groups!A:A,Groups!F:F)=2,ISNUMBER(SEARCH("SeaIce",BX412)),ISNUMBER(SEARCH("IceSheet",BX412))),-50,IF(OR(ISNUMBER(SEARCH("GlacialPlain",BX412)),ISNUMBER(SEARCH("Tundra",BX412))),-40,IF(OR(ISNUMBER(SEARCH("Alpine",BX412)),ISNUMBER(SEARCH("BorealForest",BX412)),ISNUMBER(SEARCH("ColdBog",BX412))),-30,IF(OR(ISNUMBER(SEARCH("TemperateForest",BX412)),ISNUMBER(SEARCH("TemperateSwamp",BX412))),-20,IF(_xlfn.XLOOKUP(_xlfn.XLOOKUP(B412,'Base stats'!B:B,'Base stats'!E:E),Groups!A:A,Groups!F:F)=1,-15,IF(OR(ISNUMBER(SEARCH("Desert",BX412)),ISNUMBER(SEARCH("ExtremeDesert",BX412))),-10,IF(OR(ISNUMBER(SEARCH("Grasslands",BX412)),ISNUMBER(SEARCH("TropicalRainforest",BX412)),ISNUMBER(SEARCH("TropicalSwamp",BX412))),10,0)))))))-IF(CC412="False",MIN(IFERROR(MAX(MROUND(LOG10(_xlfn.XLOOKUP(B412,'Base stats'!B:B,'Base stats'!C:C)^(2/3))*10,5),5),5),30))-_xlfn.XLOOKUP(B412,'Base stats'!B:B,'Base stats'!P:P)+IF(CC412="True",5,0)</f>
        <v>5</v>
      </c>
      <c r="M412" s="2">
        <f>IF(OR(_xlfn.XLOOKUP(_xlfn.XLOOKUP(B412,'Base stats'!B:B,'Base stats'!E:E),Groups!A:A,Groups!G:G)=2,ISNUMBER(SEARCH("Desert",BX412)),ISNUMBER(SEARCH("ExtremeDesert",BX412)),ISNUMBER(SEARCH("LavaField",BX412))),50,IF(ISNUMBER(SEARCH("Grasslands",BX412)),45,IF(OR(_xlfn.XLOOKUP(_xlfn.XLOOKUP(B412,'Base stats'!B:B,'Base stats'!E:E),Groups!A:A,Groups!G:G)=1,ISNUMBER(SEARCH("TropicalRainforest",BX412)),ISNUMBER(SEARCH("TropicalSwamp",BX412))),40,IF(OR(ISNUMBER(SEARCH("TemperateForest",BX412)),ISNUMBER(SEARCH("TemperateSwamp",BX412))),35,IF(OR(ISNUMBER(SEARCH("Alpine",BX412)),ISNUMBER(SEARCH("BorealForest",BX412)),ISNUMBER(SEARCH("ColdBog",BX412))),30,IF(ISNUMBER(OR(ISNUMBER(SEARCH("GlacialPlain",BX412)),SEARCH("Tundra",BX412))),25,IF(OR(ISNUMBER(SEARCH("SeaIce",BX412)),ISNUMBER(SEARCH("IceSheet",BX412)),ISNUMBER(SEARCH("TropicalSwamp",BX412))),10,35)))))))+_xlfn.XLOOKUP(B412,'Base stats'!B:B,'Base stats'!Q:Q)</f>
        <v>50</v>
      </c>
      <c r="N412" s="8">
        <f>IF(
_xlfn.XLOOKUP(
_xlfn.XLOOKUP(B412,'Base stats'!B:B,'Base stats'!E:E),
Groups!A:A,
Groups!L:L
)=1,
MIN(
MROUND(
IF(
_xlfn.XLOOKUP(B412,'Animals CE'!B:B,'Animals CE'!Z:Z)&lt;=1.5,
_xlfn.XLOOKUP(B412,'Animals CE'!B:B,'Animals CE'!Z:Z)/2+0.05,
0.8+
(_xlfn.XLOOKUP(B412,'Animals CE'!B:B,'Animals CE'!Z:Z)-1.5)
*0.02
),
0.05
),
200%
),
"No"
)</f>
        <v>0.2</v>
      </c>
      <c r="O412" s="8">
        <f>IF(
_xlfn.XLOOKUP(
_xlfn.XLOOKUP(B412,'Base stats'!B:B,'Base stats'!E:E),
Groups!A:A,
Groups!L:L
)=1,
MIN(
MROUND(
IF(
_xlfn.XLOOKUP(B412,'Animals CE'!B:B,'Animals CE'!AA:AA)&lt;=1.5,
_xlfn.XLOOKUP(B412,'Animals CE'!B:B,'Animals CE'!AA:AA)/2+0.05,
0.8+
(_xlfn.XLOOKUP(B412,'Animals CE'!B:B,'Animals CE'!AA:AA)-1.5)
*0.02
),
0.05
),
200%
),
"No"
)</f>
        <v>0.1</v>
      </c>
      <c r="P412" s="2" t="str">
        <f>_xlfn.XLOOKUP(B412,'Base stats'!B:B,'Base stats'!R:R)</f>
        <v>Standard</v>
      </c>
      <c r="Q412" s="13">
        <f>MROUND((LOG10(_xlfn.XLOOKUP(B412,'Base stats'!B:B,'Base stats'!AR:AR))*(AO412^0.5)+(_xlfn.XLOOKUP(B412,'Base stats'!B:B,'Base stats'!AR:AR)/1000)^(2/3)+_xlfn.XLOOKUP(B412,'Base stats'!B:B,'Base stats'!BA:BA)/2)+0.5,0.5)</f>
        <v>2.5</v>
      </c>
      <c r="R412" s="7">
        <f>IF(Q412="No","No",MAX(1,MROUND(_xlfn.XLOOKUP(B412,'Base stats'!B:B,'Base stats'!C:C)^0.165,0.05)))</f>
        <v>1.2000000000000002</v>
      </c>
      <c r="S412" s="13" t="str">
        <f>IF(_xlfn.XLOOKUP(_xlfn.XLOOKUP(B412,'Base stats'!B:B,'Base stats'!E:E),Groups!A:A,Groups!P:P)=0,"No",MROUND((LOG10(_xlfn.XLOOKUP(B412,'Base stats'!B:B,'Base stats'!AS:AS))*(AO412^0.5)+(_xlfn.XLOOKUP(B412,'Base stats'!B:B,'Base stats'!AS:AS)/1000)^(2/3)+_xlfn.XLOOKUP(B412,'Base stats'!B:B,'Base stats'!BA:BA))+_xlfn.XLOOKUP(B412,'Base stats'!B:B,'Base stats'!AY:AY)+0.5,0.5))</f>
        <v>No</v>
      </c>
      <c r="T412" s="7" t="str">
        <f>IF(S412="No","No",MAX(_xlfn.XLOOKUP(_xlfn.XLOOKUP(B412,'Base stats'!B:B,'Base stats'!E:E),Groups!A:A,Groups!Q:Q),MROUND(_xlfn.XLOOKUP(_xlfn.XLOOKUP(B412,'Base stats'!B:B,'Base stats'!E:E),Groups!A:A,Groups!Q:Q)*_xlfn.XLOOKUP(B412,'Base stats'!B:B,'Base stats'!C:C)^0.165,0.05)))</f>
        <v>No</v>
      </c>
      <c r="U412" s="7" t="str">
        <f>IF(S412="No","No",_xlfn.XLOOKUP(_xlfn.XLOOKUP(B412,'Base stats'!B:B,'Base stats'!E:E),Groups!A:A,Groups!R:R))</f>
        <v>No</v>
      </c>
      <c r="V412" s="7" t="str">
        <f>IF(S412="No","No",_xlfn.XLOOKUP(_xlfn.XLOOKUP(B412,'Base stats'!B:B,'Base stats'!E:E),Groups!A:A,Groups!S:S))</f>
        <v>No</v>
      </c>
      <c r="W412" s="7" t="str">
        <f>IF(S412="No","No",_xlfn.XLOOKUP(_xlfn.XLOOKUP(B412,'Base stats'!B:B,'Base stats'!E:E),Groups!A:A,Groups!T:T))</f>
        <v>No</v>
      </c>
      <c r="X412" s="13">
        <f>IF(_xlfn.XLOOKUP(B412,'Base stats'!B:B,'Base stats'!W:W)="No","No",MROUND((LOG10(_xlfn.XLOOKUP(B412,'Base stats'!B:B,'Base stats'!AU:AU))*(AO412^0.5)+(_xlfn.XLOOKUP(B412,'Base stats'!B:B,'Base stats'!AU:AU)/1000)^(2/3)+_xlfn.XLOOKUP(B412,'Base stats'!B:B,'Base stats'!AZ:AZ))+0.5+IF(_xlfn.XLOOKUP(_xlfn.XLOOKUP(B412,'Base stats'!B:B,'Base stats'!E:E),Groups!A:A,Groups!U:U)&lt;&gt;3,_xlfn.XLOOKUP(B412,'Base stats'!B:B,'Base stats'!BA:BA),0),0.5))</f>
        <v>4.5</v>
      </c>
      <c r="Y412" s="7">
        <f>IF(X412="No","No",MAX(_xlfn.XLOOKUP(_xlfn.XLOOKUP(B412,'Base stats'!B:B,'Base stats'!E:E),Groups!A:A,Groups!V:V),MROUND(_xlfn.XLOOKUP(_xlfn.XLOOKUP(B412,'Base stats'!B:B,'Base stats'!E:E),Groups!A:A,Groups!V:V)*_xlfn.XLOOKUP(B412,'Base stats'!B:B,'Base stats'!C:C)^0.165,0.05)))</f>
        <v>1.55</v>
      </c>
      <c r="Z412" s="7" t="str">
        <f>IF(X412="No","No",_xlfn.XLOOKUP(_xlfn.XLOOKUP(B412,'Base stats'!B:B,'Base stats'!E:E),Groups!A:A,Groups!W:W))</f>
        <v>Sting</v>
      </c>
      <c r="AA412" s="7" t="str">
        <f>IF(X412="No","No",_xlfn.XLOOKUP(_xlfn.XLOOKUP(B412,'Base stats'!B:B,'Base stats'!E:E),Groups!A:A,Groups!X:X))</f>
        <v>stinger</v>
      </c>
      <c r="AB412" s="7" t="str">
        <f>IF(X412="No","No",_xlfn.XLOOKUP(_xlfn.XLOOKUP(B412,'Base stats'!B:B,'Base stats'!E:E),Groups!A:A,Groups!Y:Y))</f>
        <v>Sting</v>
      </c>
      <c r="AC412" s="7" t="str">
        <f>_xlfn.XLOOKUP(Animals!B412,'Base stats'!B:B,'Base stats'!X:X)</f>
        <v>False</v>
      </c>
      <c r="AD412" s="13">
        <f>IF(_xlfn.XLOOKUP(B412,'Base stats'!B:B,'Base stats'!AT:AT)="No","No",MROUND((LOG10(_xlfn.XLOOKUP(B412,'Base stats'!B:B,'Base stats'!AT:AT))*(AO412^0.75)+(_xlfn.XLOOKUP(B412,'Base stats'!B:B,'Base stats'!AT:AT)/1000)^(2/3)+_xlfn.XLOOKUP(B412,'Base stats'!B:B,'Base stats'!AX:AX)+_xlfn.XLOOKUP(B412,'Base stats'!B:B,'Base stats'!BA:BA))+0.5,0.5))</f>
        <v>4</v>
      </c>
      <c r="AE412" s="7">
        <f>IF(AD412="No","No",MAX(_xlfn.XLOOKUP(_xlfn.XLOOKUP(B412,'Base stats'!B:B,'Base stats'!E:E),Groups!A:A,Groups!Z:Z),MROUND(_xlfn.XLOOKUP(_xlfn.XLOOKUP(B412,'Base stats'!B:B,'Base stats'!E:E),Groups!A:A,Groups!Z:Z)*_xlfn.XLOOKUP(B412,'Base stats'!B:B,'Base stats'!C:C)^0.165,0.05)))</f>
        <v>1.4500000000000002</v>
      </c>
      <c r="AF412" s="7" t="str">
        <f>IF(AD412="No","No",_xlfn.XLOOKUP(_xlfn.XLOOKUP(B412,'Base stats'!B:B,'Base stats'!E:E),Groups!A:A,Groups!AA:AA))</f>
        <v>Mouth</v>
      </c>
      <c r="AG412" s="7" t="str">
        <f>IF(AD412="No","No",_xlfn.XLOOKUP(_xlfn.XLOOKUP(B412,'Base stats'!B:B,'Base stats'!E:E),Groups!A:A,Groups!AB:AB))</f>
        <v>chelicerae</v>
      </c>
      <c r="AH412" s="7" t="str">
        <f>IF(AD412="No","No",_xlfn.XLOOKUP(_xlfn.XLOOKUP(B412,'Base stats'!B:B,'Base stats'!E:E),Groups!A:A,Groups!AC:AC))</f>
        <v>Bite</v>
      </c>
      <c r="AI412" s="13">
        <f>IF(_xlfn.XLOOKUP(_xlfn.XLOOKUP(B412,'Base stats'!B:B,'Base stats'!E:E),Groups!A:A,Groups!AD:AD)=0,"No",MROUND((LOG10(_xlfn.XLOOKUP(B412,'Base stats'!B:B,'Base stats'!AS:AS))*(AO412^0.75)+(_xlfn.XLOOKUP(B412,'Base stats'!B:B,'Base stats'!AS:AS)/1000)^(2/3)+_xlfn.XLOOKUP(B412,'Base stats'!B:B,'Base stats'!AY:AY)+_xlfn.XLOOKUP(B412,'Base stats'!B:B,'Base stats'!BA:BA))+0.5,0.5))</f>
        <v>4.5</v>
      </c>
      <c r="AJ412" s="7">
        <f>IF(AI412="No","No",MAX(_xlfn.XLOOKUP(_xlfn.XLOOKUP(B412,'Base stats'!B:B,'Base stats'!E:E),Groups!A:A,Groups!AE:AE),MROUND(_xlfn.XLOOKUP(_xlfn.XLOOKUP(B412,'Base stats'!B:B,'Base stats'!E:E),Groups!A:A,Groups!AE:AE)*IF(_xlfn.XLOOKUP(_xlfn.XLOOKUP(B412,'Base stats'!B:B,'Base stats'!E:E),Groups!A:A,Groups!AJ:AJ)="Photonozoa",0.6,1)*_xlfn.XLOOKUP(B412,'Base stats'!B:B,'Base stats'!C:C)^0.165,0.05)))</f>
        <v>1.3</v>
      </c>
      <c r="AK412" s="7" t="str">
        <f>IF(AI412="No","No",_xlfn.XLOOKUP(_xlfn.XLOOKUP(B412,'Base stats'!B:B,'Base stats'!E:E),Groups!A:A,Groups!AF:AF))</f>
        <v>LeftPincer, RightPincer</v>
      </c>
      <c r="AL412" s="7" t="str">
        <f>IF(AI412="No","No",_xlfn.XLOOKUP(_xlfn.XLOOKUP(B412,'Base stats'!B:B,'Base stats'!E:E),Groups!A:A,Groups!AG:AG))</f>
        <v>left pincer, right pincer</v>
      </c>
      <c r="AM412" s="7" t="str">
        <f>IF(AI412="No","No",_xlfn.XLOOKUP(_xlfn.XLOOKUP(B412,'Base stats'!B:B,'Base stats'!E:E),Groups!A:A,Groups!AH:AH))</f>
        <v>Scratch</v>
      </c>
      <c r="AN412" s="2">
        <f t="shared" si="49"/>
        <v>15</v>
      </c>
      <c r="AO412" s="2">
        <f>MROUND(IF(AND(_xlfn.XLOOKUP(B412,'Base stats'!B:B,'Base stats'!C:C)&gt;=0.5,_xlfn.XLOOKUP(B412,'Base stats'!B:B,'Base stats'!C:C)&lt;=0.8),
IF(_xlfn.XLOOKUP(B412,'Base stats'!B:B,'Base stats'!C:C)&lt;0.1,0.05,IF(_xlfn.XLOOKUP(B412,'Base stats'!B:B,'Base stats'!C:C)&lt;=70,(_xlfn.XLOOKUP(B412,'Base stats'!B:B,'Base stats'!C:C)/70)^0.426489913056526,IF(_xlfn.XLOOKUP(B412,'Base stats'!B:B,'Base stats'!C:C)&lt;=400,(_xlfn.XLOOKUP(B412,'Base stats'!B:B,'Base stats'!C:C)/70)^0.572811455315093,IF(_xlfn.XLOOKUP(B412,'Base stats'!B:B,'Base stats'!C:C)&lt;=2000,2.71391647193063*(_xlfn.XLOOKUP(B412,'Base stats'!B:B,'Base stats'!C:C)/400)^0.252459582904293,3.74314280240376*(_xlfn.XLOOKUP(B412,'Base stats'!B:B,'Base stats'!C:C)/2000)^0.357012633876913)))),
IF(_xlfn.XLOOKUP(B412,'Base stats'!B:B,'Base stats'!C:C)&lt;0.1,0.05,IF(_xlfn.XLOOKUP(B412,'Base stats'!B:B,'Base stats'!C:C)&lt;0.4,0.1,IF(_xlfn.XLOOKUP(B412,'Base stats'!B:B,'Base stats'!C:C)&lt;=70,(_xlfn.XLOOKUP(B412,'Base stats'!B:B,'Base stats'!C:C)/70)^0.445823913056526,IF(_xlfn.XLOOKUP(B412,'Base stats'!B:B,'Base stats'!C:C)&lt;=400,(_xlfn.XLOOKUP(B412,'Base stats'!B:B,'Base stats'!C:C)/70)^0.572811455315093,IF(_xlfn.XLOOKUP(B412,'Base stats'!B:B,'Base stats'!C:C)&lt;=2000,2.71391647193063*(_xlfn.XLOOKUP(B412,'Base stats'!B:B,'Base stats'!C:C)/400)^0.252459582904293,3.74314280240376*(_xlfn.XLOOKUP(B412,'Base stats'!B:B,'Base stats'!C:C)/2000)^0.357012633876913)))))),
IF(_xlfn.XLOOKUP(B412,'Base stats'!B:B,'Base stats'!C:C)&lt;0.1,0.05,IF(_xlfn.XLOOKUP(B412,'Base stats'!B:B,'Base stats'!C:C)&lt;=100,0.05,IF(_xlfn.XLOOKUP(B412,'Base stats'!B:B,'Base stats'!C:C)&lt;=250,0.1,IF(_xlfn.XLOOKUP(B412,'Base stats'!B:B,'Base stats'!C:C)&lt;=4000,0.25,0.5)))))</f>
        <v>0.25</v>
      </c>
      <c r="AP412" s="8">
        <f>MROUND(AO412*_xlfn.XLOOKUP(_xlfn.XLOOKUP(B412,'Base stats'!B:B,'Base stats'!E:E),Groups!A:A,Groups!AI:AI)*_xlfn.XLOOKUP(B412,'Base stats'!B:B,'Base stats'!Z:Z),0.05)</f>
        <v>0.25</v>
      </c>
      <c r="AQ412" s="8">
        <f>MAX(0.01,MROUND(IF(CC412="True",0.196*(AO412*100*1000)^0.889,IF(_xlfn.XLOOKUP(_xlfn.XLOOKUP(B412,'Base stats'!B:B,'Base stats'!E:E),Groups!A:A,Groups!AJ:AJ)="Bird",10.5*(AO412*100*1000)^0.681,4.82*(AO412*100*1000)^0.734))/(4.82*(1*100*1000)^0.734)/IF(AO412&lt;3.5,2,IF(AO412=3.5,1.5,1.25))*(1+0.132282374779864/(AO412^0.994035016789033+0.00905238001496948)),0.05))</f>
        <v>0.05</v>
      </c>
      <c r="AR412" s="9">
        <f>IFERROR(MROUND(_xlfn.XLOOKUP(B412,'Base stats'!B:B,'Base stats'!H:H)/IF(_xlfn.XLOOKUP(B412,'Base stats'!B:B,'Base stats'!I:I)&lt;&gt;1,(122.5/70),1.2),IF(_xlfn.XLOOKUP(B412,'Base stats'!B:B,'Base stats'!H:H)&gt;=30,5,IF(_xlfn.XLOOKUP(B412,'Base stats'!B:B,'Base stats'!H:H)&gt;=15,3,IF(_xlfn.XLOOKUP(B412,'Base stats'!B:B,'Base stats'!H:H)&gt;=10,2,1)))),"Immortal")</f>
        <v>6</v>
      </c>
      <c r="AS412" s="35" t="str">
        <f>IFERROR(IF(OR(_xlfn.XLOOKUP(B412,'Base stats'!B:B,'Base stats'!F:F)="Atypical reproduction",_xlfn.XLOOKUP(B412,'Base stats'!B:B,'Base stats'!F:F)="Lay eggs"),"Lay eggs",MIN(20,MAX(5.5,ROUND(((_xlfn.XLOOKUP(B412,'Base stats'!B:B,'Base stats'!F:F)-25)*(14.5/615) + 5.5)*2,0)/2))),"Unknown")</f>
        <v>Lay eggs</v>
      </c>
      <c r="AT412" s="8">
        <f>IF(_xlfn.XLOOKUP(B412,'Base stats'!B:B,'Base stats'!G:G)="Atypical reproduction","No",IFERROR(MAX(IF(_xlfn.XLOOKUP(B412,'Base stats'!B:B,'Base stats'!G:G)&lt;0.5,0.2,0.3),MROUND(_xlfn.XLOOKUP(B412,'Base stats'!B:B,'Base stats'!G:G)/(365/60),0.2)),"Unknown"))</f>
        <v>0.3</v>
      </c>
      <c r="AU412" s="8">
        <f t="shared" si="50"/>
        <v>0.15000000000000002</v>
      </c>
      <c r="AV412" s="8" t="str">
        <f>IFERROR(IFERROR(MROUND(_xlfn.XLOOKUP(B412,'Base stats'!B:B,'Base stats'!J:J),0.1),"Lay eggs"),"Cannot breed")</f>
        <v>Lay eggs</v>
      </c>
      <c r="AW412" s="2" t="str">
        <f t="shared" si="51"/>
        <v>false</v>
      </c>
      <c r="AX412" s="2" t="str">
        <f>IF(_xlfn.XLOOKUP(_xlfn.XLOOKUP(Animals!B412,'Base stats'!B:B,'Base stats'!E:E),Groups!A:A,Groups!AK:AK)=1,"true","false")</f>
        <v>false</v>
      </c>
      <c r="AY412" s="25" t="str">
        <f>IF(_xlfn.XLOOKUP(B412,'Base stats'!B:B,'Base stats'!Y:Y)="Liquor","Liquor, CarnivoreAnimalStrict",IF(AND(_xlfn.XLOOKUP(B412,'Base stats'!B:B,'Base stats'!Y:Y)="Carnivore",_xlfn.XLOOKUP(_xlfn.XLOOKUP(B412,'Base stats'!B:B,'Base stats'!E:E),Groups!A:A,Groups!AJ:AJ)="Photonozoa"),"CarnivoreAnimalStrict, OvivoreAnimal",IF(_xlfn.XLOOKUP(B412,'Base stats'!B:B,'Base stats'!Y:Y)="Carnivore","CarnivoreAnimal, OvivoreAnimal",IF(_xlfn.XLOOKUP(B412,'Base stats'!B:B,'Base stats'!Y:Y)="Dendrovore","VegetarianRoughAnimal, DendrovoreAnimal",IF(_xlfn.XLOOKUP(B412,'Base stats'!B:B,'Base stats'!Y:Y)="Herbivore","VegetarianRoughAnimal",IF(_xlfn.XLOOKUP(B412,'Base stats'!B:B,'Base stats'!Y:Y)="OmnivoreRough","OmnivoreRoughAnimal, OvivoreAnimal","OmnivoreAnimal, OvivoreAnimal"))))))</f>
        <v>CarnivoreAnimal, OvivoreAnimal</v>
      </c>
      <c r="AZ412" s="2" t="str">
        <f>IF(_xlfn.XLOOKUP(_xlfn.XLOOKUP(B412,'Base stats'!B:B,'Base stats'!E:E),Groups!A:A,Groups!D:D)=1,MROUND((1-J412)*5+1,2)*IF(J412&lt;=0.4,2,1),"No")</f>
        <v>No</v>
      </c>
      <c r="BA412" s="2" t="str">
        <f>IF(AND(_xlfn.XLOOKUP(B412,'Base stats'!B:B,'Base stats'!AH:AH)="&lt;li&gt;Seal&lt;/li&gt;",G412="Odyssey"),"&lt;li&gt;AEXP_Seal&lt;/li&gt;",_xlfn.XLOOKUP(B412,'Base stats'!B:B,'Base stats'!AH:AH))</f>
        <v>&lt;li&gt;Megaspider&lt;/li&gt;</v>
      </c>
      <c r="BB412" s="2" t="str">
        <f>_xlfn.XLOOKUP(B412,'Base stats'!B:B,'Base stats'!AG:AG)</f>
        <v>Leather_Chitin</v>
      </c>
      <c r="BC412" s="23" t="str">
        <f>_xlfn.XLOOKUP(_xlfn.XLOOKUP(B412,'Base stats'!B:B,'Base stats'!E:E),Groups!A:A,Groups!AL:AL)</f>
        <v>ScorpionLike</v>
      </c>
      <c r="BD412" s="23">
        <f>MIN(1,MROUND(IF(AND(AO412&lt;0.5,_xlfn.XLOOKUP(B412,'Base stats'!B:B,'Base stats'!AA:AA)=0),0,IF(OR(_xlfn.XLOOKUP(Animals!B412,'Base stats'!B:B,'Base stats'!O:O)=2,_xlfn.XLOOKUP(_xlfn.XLOOKUP(B412,'Base stats'!B:B,'Base stats'!E:E),Groups!A:A,Groups!AN:AN)=0),0,_xlfn.XLOOKUP(_xlfn.XLOOKUP(B412,'Base stats'!B:B,'Base stats'!E:E),Groups!A:A,Groups!AN:AN)/IF(_xlfn.XLOOKUP(Animals!B412,'Base stats'!B:B,'Base stats'!O:O)=1,2,1)))+_xlfn.XLOOKUP(B412,'Base stats'!B:B,'Base stats'!AC:AC),0.005))</f>
        <v>0</v>
      </c>
      <c r="BE412" s="23">
        <f>MIN(1,MROUND(IF(AND(AO412&lt;0.5,_xlfn.XLOOKUP(B412,'Base stats'!B:B,'Base stats'!AA:AA)=0),0,IF(_xlfn.XLOOKUP(_xlfn.XLOOKUP(B412,'Base stats'!B:B,'Base stats'!E:E),Groups!A:A,Groups!AO:AO)=0,0,_xlfn.XLOOKUP(_xlfn.XLOOKUP(B412,'Base stats'!B:B,'Base stats'!E:E),Groups!A:A,Groups!AO:AO)/IF(_xlfn.XLOOKUP(Animals!B412,'Base stats'!B:B,'Base stats'!O:O)=2,3,1)))+_xlfn.XLOOKUP(B412,'Base stats'!B:B,'Base stats'!AD:AD),0.005))</f>
        <v>0</v>
      </c>
      <c r="BF412" s="2" t="str">
        <f>IF(J412&gt;0.3,"No",_xlfn.XLOOKUP(_xlfn.XLOOKUP(Animals!B412,'Base stats'!B:B,'Base stats'!E:E),Groups!A:A,Groups!AP:AP))</f>
        <v>No</v>
      </c>
      <c r="BG412" s="2" t="str">
        <f>IF(AND(J412&lt;=0.65,_xlfn.XLOOKUP(_xlfn.XLOOKUP(Animals!B412,'Base stats'!B:B,'Base stats'!E:E),Groups!A:A,Groups!AP:AP)&lt;&gt;"No",_xlfn.XLOOKUP(_xlfn.XLOOKUP(B412,'Base stats'!B:B,'Base stats'!E:E),Groups!A:A,Groups!D:D)=0),MROUND((80/3)*IF(_xlfn.XLOOKUP(B412,'Base stats'!B:B,'Base stats'!O:O)=2,0.2,AO412) + 24*(1-IF(BF412="No",0,BF412)) + 16/3, 12),"No")</f>
        <v>No</v>
      </c>
      <c r="BH412" s="2">
        <f>IF(AND(_xlfn.XLOOKUP(_xlfn.XLOOKUP(B412,'Base stats'!B:B,'Base stats'!E:E),Groups!A:A,Groups!AQ:AQ)=1,AO412&lt;=0.35),8,12)</f>
        <v>12</v>
      </c>
      <c r="BI412" s="2" t="str">
        <f>IF(_xlfn.XLOOKUP(_xlfn.XLOOKUP(B412,'Base stats'!B:B,'Base stats'!E:E),Groups!A:A,Groups!D:D)=0,_xlfn.XLOOKUP(_xlfn.XLOOKUP(B412,'Base stats'!B:B,'Base stats'!E:E),Groups!A:A,Groups!AR:AR),"None")</f>
        <v>Intermediate</v>
      </c>
      <c r="BJ412" s="2" t="str">
        <f>IF(AND(_xlfn.XLOOKUP(_xlfn.XLOOKUP(B412,'Base stats'!B:B,'Base stats'!E:E),Groups!A:A,Groups!AS:AS)=1,OR(_xlfn.XLOOKUP(B412,'Base stats'!B:B,'Base stats'!Y:Y)="Carnivore",_xlfn.XLOOKUP(B412,'Base stats'!B:B,'Base stats'!Y:Y)="Omnivore")),"true","false")</f>
        <v>true</v>
      </c>
      <c r="BK412" s="2">
        <f>IF(BJ412="true",MROUND(IF(AND(AO412&gt;0.5,OR(_xlfn.XLOOKUP(_xlfn.XLOOKUP(B412,'Base stats'!B:B,'Base stats'!E:E),Groups!A:A,Groups!AJ:AJ)="Photonozoa",_xlfn.XLOOKUP(_xlfn.XLOOKUP(B412,'Base stats'!B:B,'Base stats'!E:E),Groups!A:A,Groups!AJ:AJ)="Mammal")),Animals!AO412*1.75*IF(AW412="true",1.5,1),IF(AO412&lt;0.5,Animals!AO412*0.5,Animals!AO412)),IF(AO412&gt;2,0.5,IF(AO412&gt;0.5,0.25,0.1))),"No")</f>
        <v>0.1</v>
      </c>
      <c r="BL412" s="2">
        <f t="shared" si="52"/>
        <v>1</v>
      </c>
      <c r="BM412" s="25" t="str">
        <f>IF(_xlfn.XLOOKUP(B412,'Base stats'!B:B,'Base stats'!AN:AN)="Standard","No",MROUND((_xlfn.XLOOKUP(B412,'Base stats'!B:B,'Base stats'!AN:AN)/3.6)/I412,0.1))</f>
        <v>No</v>
      </c>
      <c r="BN412" s="25" t="str">
        <f t="shared" si="53"/>
        <v>false</v>
      </c>
      <c r="BO412" s="25" t="str">
        <f>IF(AND(OR(_xlfn.XLOOKUP(B412,'Base stats'!B:B,'Base stats'!Y:Y)="Carnivore",_xlfn.XLOOKUP(B412,'Base stats'!B:B,'Base stats'!Y:Y)="Omnivore",_xlfn.XLOOKUP(B412,'Base stats'!B:B,'Base stats'!Y:Y)="OmnivoreRough"),_xlfn.XLOOKUP(_xlfn.XLOOKUP(B412,'Base stats'!B:B,'Base stats'!E:E),Groups!A:A,Groups!AT:AT)=1),"true","false")</f>
        <v>false</v>
      </c>
      <c r="BP412" s="25" t="str" cm="1">
        <f t="array" ref="BP412">IF(
  _xlfn.TEXTJOIN(", ",TRUE,
    IF(AND(BJ412="true",AO412&gt;0.5,BI412&lt;&gt;"None"),"AttackTarget",""),
    IF(AND(_xlfn.XLOOKUP(_xlfn.XLOOKUP(B412,'Base stats'!B:B,'Base stats'!E:E),Groups!A:A,Groups!AJ:AJ="Mammal"),OR(_xlfn.XLOOKUP(B412,'Base stats'!B:B,'Base stats'!Y:Y)="Omnivore",_xlfn.XLOOKUP(B412,'Base stats'!B:B,'Base stats'!Y:Y)="OmnivoreRough")),"Forage",""),
    IF(BG412&lt;=36,"Comfort",""),
    IF(_xlfn.XLOOKUP(B412,'Base stats'!B:B,'Base stats'!AE:AE)&lt;&gt;"No",_xlfn.XLOOKUP(B412,'Base stats'!B:B,'Base stats'!AE:AE),"")
  ) = "",
  "No",
  _xlfn.TEXTJOIN(", ",TRUE,
    IF(AND(BJ412="true",AO412&gt;0.5,BI412&lt;&gt;"None"),"AttackTarget",""),
    IF(AND(_xlfn.XLOOKUP(_xlfn.XLOOKUP(B412,'Base stats'!B:B,'Base stats'!E:E),Groups!A:A,Groups!AJ:AJ="Mammal"),OR(_xlfn.XLOOKUP(B412,'Base stats'!B:B,'Base stats'!Y:Y)="Omnivore",_xlfn.XLOOKUP(B412,'Base stats'!B:B,'Base stats'!Y:Y)="OmnivoreRough")),"Forage",""),
    IF(BG412&lt;=36,"Comfort",""),
    IF(_xlfn.XLOOKUP(B412,'Base stats'!B:B,'Base stats'!AE:AE)&lt;&gt;"No",_xlfn.XLOOKUP(B412,'Base stats'!B:B,'Base stats'!AE:AE),"")
  )
)</f>
        <v>No</v>
      </c>
      <c r="BQ412" s="25" t="str">
        <f>IF(
   AND(
      'Base stats'!AN412="Standard",_xlfn.XLOOKUP(_xlfn.XLOOKUP(B412,'Base stats'!B:B,'Base stats'!E:E),Groups!A:A,Groups!AU:AU)=0,
      OR(
      BO412="True"
      )
   ),
   10,
   IF(
       OR(BM412&lt;&gt;"No",_xlfn.XLOOKUP(_xlfn.XLOOKUP(B412,'Base stats'!B:B,'Base stats'!E:E),Groups!A:A,Groups!AU:AU)=1),
      1,
      "No"
   )
)</f>
        <v>No</v>
      </c>
      <c r="BR412" s="9">
        <f>MROUND((1 + ((0.2*IF(OR(Q412="No",R412="No",R412=0),0,Q412/R412)
+IF(OR(V412="No",S412="No",T412="No"),0,S412/T412*(LEN(V412)-LEN(SUBSTITUTE(V412,",",""))+1))
+IF(OR(X412="No",Y412="No"),0,X412/Y412)
+IF(OR(AD412="No",AE412="No"),0,AD412/AE412)
+IF(OR(AL412="No",AI412="No",AJ412="No"),0,AI412/AJ412*(LEN(AL412)-LEN(SUBSTITUTE(AL412,",",""))+1))
)/(0.2*IF(OR(Q412="No",R412="No",R412=0),0,1)
+IF(OR(V412="No",S412="No",T412="No"),0,LEN(V412)-LEN(SUBSTITUTE(V412,",",""))+1)
+IF(OR(X412="No",Y412="No"),0,1)
+IF(OR(AD412="No",AE412="No"),0,1)
+IF(OR(AL412="No",AI412="No",AJ412="No"),0,LEN(AL412)-LEN(SUBSTITUTE(AL412,",",""))+1))*62%)* 2)*(1 + (AP412 / (IF(_xlfn.XLOOKUP(_xlfn.XLOOKUP(B412,'Base stats'!B:B,'Base stats'!E:E),Groups!A:A,Groups!AJ:AJ)="Photonozoa",0.3,1)) + _xlfn.XLOOKUP(B412,'Base stats'!B:B,'Base stats'!AV:AV) * 1.8) * 2) * 2.5 + 10 + I412 * 2,5)+IF(_xlfn.XLOOKUP(B412,'Base stats'!B:B,'Base stats'!AK:AK)=1,50,0)</f>
        <v>40</v>
      </c>
      <c r="BS412" s="8">
        <f t="shared" si="54"/>
        <v>0.1</v>
      </c>
      <c r="BT412" s="8" t="str">
        <f>_xlfn.XLOOKUP(B412,'Base stats'!B:B,'Base stats'!AF:AF)</f>
        <v>No</v>
      </c>
      <c r="BU412" s="2" t="str">
        <f>IF(AND(J412&lt;=0.95,OR(_xlfn.XLOOKUP(B412,'Base stats'!B:B,'Base stats'!AK:AK)=1,_xlfn.XLOOKUP(B412,'Base stats'!B:B,'Base stats'!Y:Y)="Carnivore",_xlfn.XLOOKUP(B412,'Base stats'!B:B,'Base stats'!Y:Y)="Omnivore",BE412&gt;0.1)),"true","false")</f>
        <v>true</v>
      </c>
      <c r="BV412" s="2" t="str">
        <f>IF(_xlfn.XLOOKUP(B412,'Base stats'!B:B,'Base stats'!AI:AI)=1,"true","false")</f>
        <v>false</v>
      </c>
      <c r="BW412" s="25" t="str">
        <f>IF(E412="BaseInsect","AnimalInsect",
IF(J412&gt;0.95,"AnimalExotic",
_xlfn.TEXTJOIN(", ",TRUE,
IF(OR(_xlfn.XLOOKUP(B412,'Base stats'!B:B,'Base stats'!AM:AM)=1,AND(_xlfn.XLOOKUP(B412,'Base stats'!B:B,'Base stats'!O:O)=0,_xlfn.XLOOKUP(_xlfn.XLOOKUP(B412,'Base stats'!B:B,'Base stats'!E:E),Groups!A:A,Groups!B:B)&gt;0)),"AnimalUncommon","AnimalCommon"),
IF(AND(_xlfn.XLOOKUP(B412,'Base stats'!B:B,'Base stats'!O:O)=2,_xlfn.XLOOKUP(_xlfn.XLOOKUP(B412,'Base stats'!B:B,'Base stats'!E:E),Groups!A:A,Groups!D:D)=0),"AnimalPet",IF(AND(_xlfn.XLOOKUP(B412,'Base stats'!B:B,'Base stats'!O:O)&lt;&gt;0,_xlfn.XLOOKUP(_xlfn.XLOOKUP(B412,'Base stats'!B:B,'Base stats'!E:E),Groups!A:A,Groups!D:D)&lt;&gt;0),"AnimalFarm","")),
IF(OR(_xlfn.XLOOKUP(B412,'Base stats'!B:B,'Base stats'!AK:AK)=1,AND(BI412&lt;&gt;"None",BR412&gt;=60),ISNUMBER(SEARCH("Attack target",BP412))),"AnimalFighter","")
)))</f>
        <v>AnimalUncommon</v>
      </c>
      <c r="BX412" s="25" t="str">
        <f>IF(G412="None",TRIM(
SUBSTITUTE(
IF(COUNTIF(Biomes!B$2:B$259,"="&amp;$C412)&gt;0,Biomes!B$1&amp;", ","")&amp;
IF(COUNTIF(Biomes!C$2:C$259,"="&amp;$C412)&gt;0,Biomes!C$1&amp;", ","")&amp;
IF(COUNTIF(Biomes!D$2:D$259,"="&amp;$C412)&gt;0,Biomes!D$1&amp;", ","")&amp;
IF(COUNTIF(Biomes!F$2:F$259,"="&amp;$C412)&gt;0,Biomes!F$1&amp;", ","")&amp;
IF(COUNTIF(Biomes!G$2:G$259,"="&amp;$C412)&gt;0,Biomes!G$1&amp;", ","")&amp;
IF(COUNTIF(Biomes!H$2:H$259,"="&amp;$C412)&gt;0,Biomes!H$1&amp;", ","")&amp;
IF(COUNTIF(Biomes!I$2:I$259,"="&amp;$C412)&gt;0,Biomes!I$1&amp;", ","")&amp;
IF(COUNTIF(Biomes!J$2:J$259,"="&amp;$C412)&gt;0,Biomes!J$1&amp;", ","")&amp;
IF(COUNTIF(Biomes!M$2:M$259,"="&amp;$C412)&gt;0,Biomes!M$1&amp;", ","")&amp;
IF(COUNTIF(Biomes!N$2:N$259,"="&amp;$C412)&gt;0,Biomes!N$1&amp;", ","")&amp;
IF(COUNTIF(Biomes!O$2:O$259,"="&amp;$C412)&gt;0,Biomes!O$1&amp;", ","")&amp;
IF(COUNTIF(Biomes!P$2:P$259,"="&amp;$C412)&gt;0,Biomes!P$1&amp;", ","")&amp;
IF(COUNTIF(Biomes!K$2:K$259,"="&amp;$C412)&gt;0,Biomes!K$1&amp;", ","")&amp;
IF(COUNTIF(Biomes!Q$3:Q$259,"="&amp;$C412)&gt;0,Biomes!Q$1&amp;", ","")&amp;
IF(COUNTIF(Biomes!L$2:L$259,"="&amp;$C412)&gt;0,Biomes!L$1&amp;", ","")&amp;
IF(COUNTIF(Biomes!E$2:E$259,"="&amp;$C412)&gt;0,Biomes!E$1&amp;", ","")&amp;IF(COUNTIF(Biomes!S$2:S$259,"="&amp;$C412)&gt;0,Biomes!S$1&amp;", ","")&amp;
IF(COUNTIF(Biomes!R$2:R$259,"="&amp;$C412)&gt;0,Biomes!R$1&amp;", ",""),", ","")
),_xlfn.XLOOKUP(B412,B:B,BX:BX))</f>
        <v/>
      </c>
      <c r="BY412" s="25" t="str">
        <f>IF(_xlfn.XLOOKUP(B412,'Base stats'!B:B,'Base stats'!AJ:AJ)=1,"true","false")</f>
        <v>false</v>
      </c>
      <c r="BZ412" s="25">
        <f>IF(_xlfn.XLOOKUP(B412,'Base stats'!B:B,'Base stats'!N:N)=1,"No",MAX(0.001,MIN(MROUND(IF(AND(BJ412="True",CC412="False"),POWER(10,3.47*LOG10(_xlfn.XLOOKUP(B412,'Base stats'!B:B,'Base stats'!C:C)*1000)^-0.96),POWER(10,4.15*LOG10(_xlfn.XLOOKUP(B412,'Base stats'!B:B,'Base stats'!C:C)*1000)^-0.73))*IF(_xlfn.XLOOKUP(B412,'Base stats'!B:B,'Base stats'!AK:AK)=1,0.5,1)*IF(_xlfn.XLOOKUP(B412,'Base stats'!B:B,'Base stats'!AM:AM)=1,0.1,1)/100,IF(_xlfn.XLOOKUP(B412,'Base stats'!B:B,'Base stats'!AM:AM)=1,0.001,0.025)),0.5)))</f>
        <v>0.47500000000000003</v>
      </c>
      <c r="CA412" s="25" t="str">
        <f>IF(P412="Standard","No",MAX(0.001,MIN(MROUND(IF(AND(BJ412="True",CC412="False"),POWER(10,3.47*LOG10(_xlfn.XLOOKUP(B412,'Base stats'!B:B,'Base stats'!C:C)*1000)^-0.96),POWER(10,4.15*LOG10(_xlfn.XLOOKUP(B412,'Base stats'!B:B,'Base stats'!C:C)*1000)^-0.73))*IF(_xlfn.XLOOKUP(B412,'Base stats'!B:B,'Base stats'!AM:AM)=1,0.1,1)*_xlfn.XLOOKUP(B412,'Base stats'!B:B,'Base stats'!R:R)/100,IF(_xlfn.XLOOKUP(B412,'Base stats'!B:B,'Base stats'!AM:AM)=1,0.001,0.025)),0.5)))</f>
        <v>No</v>
      </c>
      <c r="CB412" s="25" t="str">
        <f>IF(_xlfn.XLOOKUP(_xlfn.XLOOKUP(B412,'Base stats'!B:B,'Base stats'!E:E),Groups!A:A,Groups!AJ:AJ)="Mammal","True","False")</f>
        <v>False</v>
      </c>
      <c r="CC412" s="25" t="str">
        <f>IF(OR(_xlfn.XLOOKUP(_xlfn.XLOOKUP(B412,'Base stats'!B:B,'Base stats'!E:E),Groups!A:A,Groups!AJ:AJ)="Reptile",_xlfn.XLOOKUP(_xlfn.XLOOKUP(B412,'Base stats'!B:B,'Base stats'!E:E),Groups!A:A,Groups!AJ:AJ)="Amphibian",_xlfn.XLOOKUP(_xlfn.XLOOKUP(B412,'Base stats'!B:B,'Base stats'!E:E),Groups!A:A,Groups!AJ:AJ)="Invertebrate"),"True","False")</f>
        <v>True</v>
      </c>
      <c r="CD412" s="25" t="str">
        <f t="shared" si="55"/>
        <v>False</v>
      </c>
      <c r="CE412" s="25" t="str">
        <f>IF(_xlfn.XLOOKUP(_xlfn.XLOOKUP(B412,'Base stats'!B:B,'Base stats'!E:E),Groups!A:A,Groups!AX:AX),"True","False")</f>
        <v>False</v>
      </c>
      <c r="CF412" s="25" t="str">
        <f>IF(_xlfn.XLOOKUP(_xlfn.XLOOKUP(B412,'Base stats'!B:B,'Base stats'!E:E),Groups!A:A,Groups!AY:AY),"True","False")</f>
        <v>False</v>
      </c>
      <c r="CG412" s="25" t="str">
        <f>IF(_xlfn.XLOOKUP(_xlfn.XLOOKUP(B412,'Base stats'!B:B,'Base stats'!E:E),Groups!A:A,Groups!AW:AW),"True","False")</f>
        <v>False</v>
      </c>
      <c r="CH412" s="25" t="str">
        <f>IF(
OR(
_xlfn.XLOOKUP(_xlfn.XLOOKUP(B412,'Base stats'!B:B,'Base stats'!E:E),Groups!A:A,Groups!AZ:AZ)=0,
AND(
_xlfn.XLOOKUP(B412,'Base stats'!B:B,'Base stats'!Y:Y)&lt;&gt;"Carnivore",
_xlfn.XLOOKUP(B412,'Base stats'!B:B,'Base stats'!Y:Y)&lt;&gt;"Omnivore",
_xlfn.XLOOKUP(B412,'Base stats'!B:B,'Base stats'!Y:Y)&lt;&gt;"OmnivoreRough"
)
),
"No",
IF(
_xlfn.XLOOKUP(_xlfn.XLOOKUP(B412,'Base stats'!B:B,'Base stats'!E:E),Groups!A:A,Groups!AZ:AZ)=1,
"Flesh",
IF(
_xlfn.XLOOKUP(_xlfn.XLOOKUP(B412,'Base stats'!B:B,'Base stats'!E:E),Groups!A:A,Groups!AZ:AZ)=2,
"Bone",
""
)
)
)</f>
        <v>No</v>
      </c>
      <c r="CI412" s="25" t="str">
        <f>IF(_xlfn.XLOOKUP(_xlfn.XLOOKUP(B412,'Base stats'!B:B,'Base stats'!E:E),Groups!A:A,Groups!BB:BB),"True","False")</f>
        <v>False</v>
      </c>
      <c r="CJ412" s="25" t="str">
        <f>IF(_xlfn.XLOOKUP(_xlfn.XLOOKUP(B412,'Base stats'!B:B,'Base stats'!E:E),Groups!A:A,Groups!BA:BA),"True","False")</f>
        <v>False</v>
      </c>
    </row>
    <row r="413" spans="1:88" ht="16.5" thickTop="1" thickBot="1" x14ac:dyDescent="0.3">
      <c r="A413" s="26" t="s">
        <v>2102</v>
      </c>
      <c r="B413" s="6" t="str">
        <f>_xlfn.XLOOKUP(A413,'Base stats'!A:A,'Base stats'!B:B)</f>
        <v>Dinopithecus ingens</v>
      </c>
      <c r="C413" s="28" t="str">
        <f t="shared" si="56"/>
        <v>&lt;li&gt;Dinopithecus&lt;/li&gt;</v>
      </c>
      <c r="D413" s="28" t="s">
        <v>2126</v>
      </c>
      <c r="E413" s="28" t="s">
        <v>673</v>
      </c>
      <c r="F413" s="28" t="s">
        <v>673</v>
      </c>
      <c r="G413" s="28" t="s">
        <v>673</v>
      </c>
      <c r="H413" s="2">
        <f>MROUND((
  (IF(AND(_xlfn.XLOOKUP(B413,'Base stats'!B:B,'Base stats'!AL:AL)=0,BI413="None",_xlfn.XLOOKUP(_xlfn.XLOOKUP(B413,'Base stats'!B:B,'Base stats'!E:E),Groups!A:A,Groups!B:B)=0), (18 + BR413 * 2.7) * 0.5,
    IF(AND(_xlfn.XLOOKUP(B413,'Base stats'!B:B,'Base stats'!AL:AL)=0,OR(AO413&lt;0.55,AND(BI413="Intermediate",_xlfn.XLOOKUP(_xlfn.XLOOKUP(B413,'Base stats'!B:B,'Base stats'!E:E),Groups!A:A,Groups!B:B)&lt;2))), (18 + BR413 * 2.7),
      IF(OR(BI413="Advanced",_xlfn.XLOOKUP(B413,'Base stats'!B:B,'Base stats'!AL:AL)=1,_xlfn.XLOOKUP(_xlfn.XLOOKUP(B413,'Base stats'!B:B,'Base stats'!E:E),Groups!A:A,Groups!B:B)=2), (18 + BR413 * 2.7) + 250, (18 + BR413 * 2.7))
    )
  ))
  + AO413 * 80
  + IF(COUNTIF(EggMilk!K$2:K$998, A413) &gt; 0, 125, 0)
  + IF(COUNTIF(EggMilk!P$2:P$998, A413) &gt; 0, 90, 0)
  + IF(COUNTIF(EggMilk!A$2:A$998, A413) &gt; 0, 90, 0)
)
* (0.8 + 0.4 * J413)
* 0.75,25)</f>
        <v>450</v>
      </c>
      <c r="I413" s="2">
        <f>MROUND(ROUNDDOWN(_xlfn.XLOOKUP(B413,'Base stats'!B:B,'Base stats'!L:L)/3.6/(23.3/11),1),0.5)</f>
        <v>6</v>
      </c>
      <c r="J413" s="2">
        <f>IF(OR(_xlfn.XLOOKUP(B413,'Base stats'!B:B,'Base stats'!AB:AB)=1,_xlfn.XLOOKUP(_xlfn.XLOOKUP(B413,'Base stats'!B:B,'Base stats'!E:E),Groups!A:A,Groups!C:C)="Untamable"),1,IF(_xlfn.XLOOKUP(B413,'Base stats'!B:B,'Base stats'!AL:AL)=1,0.99,MIN(MROUND((1-0.6282*EXP(-0.459*AO413))*_xlfn.XLOOKUP(_xlfn.XLOOKUP(B413,'Base stats'!B:B,'Base stats'!E:E),Groups!A:A,Groups!C:C)*IF(_xlfn.XLOOKUP(B413,'Base stats'!B:B,'Base stats'!O:O)=1,0.5,IF(_xlfn.XLOOKUP(B413,'Base stats'!B:B,'Base stats'!O:O)=2,0,1)),0.05),IF(AO413&gt;3.5,0.985,0.95))))</f>
        <v>0.75</v>
      </c>
      <c r="K413" s="2">
        <f>ROUNDUP(AO413*_xlfn.XLOOKUP(_xlfn.XLOOKUP(B413,'Base stats'!B:B,'Base stats'!E:E),Groups!A:A,Groups!E:E),0)</f>
        <v>1</v>
      </c>
      <c r="L413" s="2">
        <f>IF(OR(_xlfn.XLOOKUP(_xlfn.XLOOKUP(B413,'Base stats'!B:B,'Base stats'!E:E),Groups!A:A,Groups!F:F)=2,ISNUMBER(SEARCH("SeaIce",BX413)),ISNUMBER(SEARCH("IceSheet",BX413))),-50,IF(OR(ISNUMBER(SEARCH("GlacialPlain",BX413)),ISNUMBER(SEARCH("Tundra",BX413))),-40,IF(OR(ISNUMBER(SEARCH("Alpine",BX413)),ISNUMBER(SEARCH("BorealForest",BX413)),ISNUMBER(SEARCH("ColdBog",BX413))),-30,IF(OR(ISNUMBER(SEARCH("TemperateForest",BX413)),ISNUMBER(SEARCH("TemperateSwamp",BX413))),-20,IF(_xlfn.XLOOKUP(_xlfn.XLOOKUP(B413,'Base stats'!B:B,'Base stats'!E:E),Groups!A:A,Groups!F:F)=1,-15,IF(OR(ISNUMBER(SEARCH("Desert",BX413)),ISNUMBER(SEARCH("ExtremeDesert",BX413))),-10,IF(OR(ISNUMBER(SEARCH("Grasslands",BX413)),ISNUMBER(SEARCH("TropicalRainforest",BX413)),ISNUMBER(SEARCH("TropicalSwamp",BX413))),10,0)))))))-IF(CC413="False",MIN(IFERROR(MAX(MROUND(LOG10(_xlfn.XLOOKUP(B413,'Base stats'!B:B,'Base stats'!C:C)^(2/3))*10,5),5),5),30))-_xlfn.XLOOKUP(B413,'Base stats'!B:B,'Base stats'!P:P)+IF(CC413="True",5,0)</f>
        <v>-10</v>
      </c>
      <c r="M413" s="2">
        <f>IF(OR(_xlfn.XLOOKUP(_xlfn.XLOOKUP(B413,'Base stats'!B:B,'Base stats'!E:E),Groups!A:A,Groups!G:G)=2,ISNUMBER(SEARCH("Desert",BX413)),ISNUMBER(SEARCH("ExtremeDesert",BX413)),ISNUMBER(SEARCH("LavaField",BX413))),50,IF(ISNUMBER(SEARCH("Grasslands",BX413)),45,IF(OR(_xlfn.XLOOKUP(_xlfn.XLOOKUP(B413,'Base stats'!B:B,'Base stats'!E:E),Groups!A:A,Groups!G:G)=1,ISNUMBER(SEARCH("TropicalRainforest",BX413)),ISNUMBER(SEARCH("TropicalSwamp",BX413))),40,IF(OR(ISNUMBER(SEARCH("TemperateForest",BX413)),ISNUMBER(SEARCH("TemperateSwamp",BX413))),35,IF(OR(ISNUMBER(SEARCH("Alpine",BX413)),ISNUMBER(SEARCH("BorealForest",BX413)),ISNUMBER(SEARCH("ColdBog",BX413))),30,IF(ISNUMBER(OR(ISNUMBER(SEARCH("GlacialPlain",BX413)),SEARCH("Tundra",BX413))),25,IF(OR(ISNUMBER(SEARCH("SeaIce",BX413)),ISNUMBER(SEARCH("IceSheet",BX413)),ISNUMBER(SEARCH("TropicalSwamp",BX413))),10,35)))))))+_xlfn.XLOOKUP(B413,'Base stats'!B:B,'Base stats'!Q:Q)</f>
        <v>35</v>
      </c>
      <c r="N413" s="8" t="str">
        <f>IF(
_xlfn.XLOOKUP(
_xlfn.XLOOKUP(B413,'Base stats'!B:B,'Base stats'!E:E),
Groups!A:A,
Groups!L:L
)=1,
MIN(
MROUND(
IF(
_xlfn.XLOOKUP(B413,'Animals CE'!B:B,'Animals CE'!Z:Z)&lt;=1.5,
_xlfn.XLOOKUP(B413,'Animals CE'!B:B,'Animals CE'!Z:Z)/2+0.05,
0.8+
(_xlfn.XLOOKUP(B413,'Animals CE'!B:B,'Animals CE'!Z:Z)-1.5)
*0.02
),
0.05
),
200%
),
"No"
)</f>
        <v>No</v>
      </c>
      <c r="O413" s="8" t="str">
        <f>IF(
_xlfn.XLOOKUP(
_xlfn.XLOOKUP(B413,'Base stats'!B:B,'Base stats'!E:E),
Groups!A:A,
Groups!L:L
)=1,
MIN(
MROUND(
IF(
_xlfn.XLOOKUP(B413,'Animals CE'!B:B,'Animals CE'!AA:AA)&lt;=1.5,
_xlfn.XLOOKUP(B413,'Animals CE'!B:B,'Animals CE'!AA:AA)/2+0.05,
0.8+
(_xlfn.XLOOKUP(B413,'Animals CE'!B:B,'Animals CE'!AA:AA)-1.5)
*0.02
),
0.05
),
200%
),
"No"
)</f>
        <v>No</v>
      </c>
      <c r="P413" s="2" t="str">
        <f>_xlfn.XLOOKUP(B413,'Base stats'!B:B,'Base stats'!R:R)</f>
        <v>Standard</v>
      </c>
      <c r="Q413" s="13">
        <f>MROUND((LOG10(_xlfn.XLOOKUP(B413,'Base stats'!B:B,'Base stats'!AR:AR))*(AO413^0.5)+(_xlfn.XLOOKUP(B413,'Base stats'!B:B,'Base stats'!AR:AR)/1000)^(2/3)+_xlfn.XLOOKUP(B413,'Base stats'!B:B,'Base stats'!BA:BA)/2)+0.5,0.5)</f>
        <v>6.5</v>
      </c>
      <c r="R413" s="7">
        <f>IF(Q413="No","No",MAX(1,MROUND(_xlfn.XLOOKUP(B413,'Base stats'!B:B,'Base stats'!C:C)^0.165,0.05)))</f>
        <v>1.9000000000000001</v>
      </c>
      <c r="S413" s="13" t="str">
        <f>IF(_xlfn.XLOOKUP(_xlfn.XLOOKUP(B413,'Base stats'!B:B,'Base stats'!E:E),Groups!A:A,Groups!P:P)=0,"No",MROUND((LOG10(_xlfn.XLOOKUP(B413,'Base stats'!B:B,'Base stats'!AS:AS))*(AO413^0.5)+(_xlfn.XLOOKUP(B413,'Base stats'!B:B,'Base stats'!AS:AS)/1000)^(2/3)+_xlfn.XLOOKUP(B413,'Base stats'!B:B,'Base stats'!BA:BA))+_xlfn.XLOOKUP(B413,'Base stats'!B:B,'Base stats'!AY:AY)+0.5,0.5))</f>
        <v>No</v>
      </c>
      <c r="T413" s="7" t="str">
        <f>IF(S413="No","No",MAX(_xlfn.XLOOKUP(_xlfn.XLOOKUP(B413,'Base stats'!B:B,'Base stats'!E:E),Groups!A:A,Groups!Q:Q),MROUND(_xlfn.XLOOKUP(_xlfn.XLOOKUP(B413,'Base stats'!B:B,'Base stats'!E:E),Groups!A:A,Groups!Q:Q)*_xlfn.XLOOKUP(B413,'Base stats'!B:B,'Base stats'!C:C)^0.165,0.05)))</f>
        <v>No</v>
      </c>
      <c r="U413" s="7" t="str">
        <f>IF(S413="No","No",_xlfn.XLOOKUP(_xlfn.XLOOKUP(B413,'Base stats'!B:B,'Base stats'!E:E),Groups!A:A,Groups!R:R))</f>
        <v>No</v>
      </c>
      <c r="V413" s="7" t="str">
        <f>IF(S413="No","No",_xlfn.XLOOKUP(_xlfn.XLOOKUP(B413,'Base stats'!B:B,'Base stats'!E:E),Groups!A:A,Groups!S:S))</f>
        <v>No</v>
      </c>
      <c r="W413" s="7" t="str">
        <f>IF(S413="No","No",_xlfn.XLOOKUP(_xlfn.XLOOKUP(B413,'Base stats'!B:B,'Base stats'!E:E),Groups!A:A,Groups!T:T))</f>
        <v>No</v>
      </c>
      <c r="X413" s="13" t="str">
        <f>IF(_xlfn.XLOOKUP(B413,'Base stats'!B:B,'Base stats'!W:W)="No","No",MROUND((LOG10(_xlfn.XLOOKUP(B413,'Base stats'!B:B,'Base stats'!AU:AU))*(AO413^0.5)+(_xlfn.XLOOKUP(B413,'Base stats'!B:B,'Base stats'!AU:AU)/1000)^(2/3)+_xlfn.XLOOKUP(B413,'Base stats'!B:B,'Base stats'!AZ:AZ))+0.5+IF(_xlfn.XLOOKUP(_xlfn.XLOOKUP(B413,'Base stats'!B:B,'Base stats'!E:E),Groups!A:A,Groups!U:U)&lt;&gt;3,_xlfn.XLOOKUP(B413,'Base stats'!B:B,'Base stats'!BA:BA),0),0.5))</f>
        <v>No</v>
      </c>
      <c r="Y413" s="7" t="str">
        <f>IF(X413="No","No",MAX(_xlfn.XLOOKUP(_xlfn.XLOOKUP(B413,'Base stats'!B:B,'Base stats'!E:E),Groups!A:A,Groups!V:V),MROUND(_xlfn.XLOOKUP(_xlfn.XLOOKUP(B413,'Base stats'!B:B,'Base stats'!E:E),Groups!A:A,Groups!V:V)*_xlfn.XLOOKUP(B413,'Base stats'!B:B,'Base stats'!C:C)^0.165,0.05)))</f>
        <v>No</v>
      </c>
      <c r="Z413" s="7" t="str">
        <f>IF(X413="No","No",_xlfn.XLOOKUP(_xlfn.XLOOKUP(B413,'Base stats'!B:B,'Base stats'!E:E),Groups!A:A,Groups!W:W))</f>
        <v>No</v>
      </c>
      <c r="AA413" s="7" t="str">
        <f>IF(X413="No","No",_xlfn.XLOOKUP(_xlfn.XLOOKUP(B413,'Base stats'!B:B,'Base stats'!E:E),Groups!A:A,Groups!X:X))</f>
        <v>No</v>
      </c>
      <c r="AB413" s="7" t="str">
        <f>IF(X413="No","No",_xlfn.XLOOKUP(_xlfn.XLOOKUP(B413,'Base stats'!B:B,'Base stats'!E:E),Groups!A:A,Groups!Y:Y))</f>
        <v>No</v>
      </c>
      <c r="AC413" s="7" t="str">
        <f>_xlfn.XLOOKUP(Animals!B413,'Base stats'!B:B,'Base stats'!X:X)</f>
        <v>False</v>
      </c>
      <c r="AD413" s="13">
        <f>IF(_xlfn.XLOOKUP(B413,'Base stats'!B:B,'Base stats'!AT:AT)="No","No",MROUND((LOG10(_xlfn.XLOOKUP(B413,'Base stats'!B:B,'Base stats'!AT:AT))*(AO413^0.75)+(_xlfn.XLOOKUP(B413,'Base stats'!B:B,'Base stats'!AT:AT)/1000)^(2/3)+_xlfn.XLOOKUP(B413,'Base stats'!B:B,'Base stats'!AX:AX)+_xlfn.XLOOKUP(B413,'Base stats'!B:B,'Base stats'!BA:BA))+0.5,0.5))</f>
        <v>10</v>
      </c>
      <c r="AE413" s="7">
        <f>IF(AD413="No","No",MAX(_xlfn.XLOOKUP(_xlfn.XLOOKUP(B413,'Base stats'!B:B,'Base stats'!E:E),Groups!A:A,Groups!Z:Z),MROUND(_xlfn.XLOOKUP(_xlfn.XLOOKUP(B413,'Base stats'!B:B,'Base stats'!E:E),Groups!A:A,Groups!Z:Z)*_xlfn.XLOOKUP(B413,'Base stats'!B:B,'Base stats'!C:C)^0.165,0.05)))</f>
        <v>1.6</v>
      </c>
      <c r="AF413" s="7" t="str">
        <f>IF(AD413="No","No",_xlfn.XLOOKUP(_xlfn.XLOOKUP(B413,'Base stats'!B:B,'Base stats'!E:E),Groups!A:A,Groups!AA:AA))</f>
        <v>Teeth</v>
      </c>
      <c r="AG413" s="7" t="str">
        <f>IF(AD413="No","No",_xlfn.XLOOKUP(_xlfn.XLOOKUP(B413,'Base stats'!B:B,'Base stats'!E:E),Groups!A:A,Groups!AB:AB))</f>
        <v>canines</v>
      </c>
      <c r="AH413" s="7" t="str">
        <f>IF(AD413="No","No",_xlfn.XLOOKUP(_xlfn.XLOOKUP(B413,'Base stats'!B:B,'Base stats'!E:E),Groups!A:A,Groups!AC:AC))</f>
        <v>Bite</v>
      </c>
      <c r="AI413" s="13">
        <f>IF(_xlfn.XLOOKUP(_xlfn.XLOOKUP(B413,'Base stats'!B:B,'Base stats'!E:E),Groups!A:A,Groups!AD:AD)=0,"No",MROUND((LOG10(_xlfn.XLOOKUP(B413,'Base stats'!B:B,'Base stats'!AS:AS))*(AO413^0.75)+(_xlfn.XLOOKUP(B413,'Base stats'!B:B,'Base stats'!AS:AS)/1000)^(2/3)+_xlfn.XLOOKUP(B413,'Base stats'!B:B,'Base stats'!AY:AY)+_xlfn.XLOOKUP(B413,'Base stats'!B:B,'Base stats'!BA:BA))+0.5,0.5))</f>
        <v>8</v>
      </c>
      <c r="AJ413" s="7">
        <f>IF(AI413="No","No",MAX(_xlfn.XLOOKUP(_xlfn.XLOOKUP(B413,'Base stats'!B:B,'Base stats'!E:E),Groups!A:A,Groups!AE:AE),MROUND(_xlfn.XLOOKUP(_xlfn.XLOOKUP(B413,'Base stats'!B:B,'Base stats'!E:E),Groups!A:A,Groups!AE:AE)*IF(_xlfn.XLOOKUP(_xlfn.XLOOKUP(B413,'Base stats'!B:B,'Base stats'!E:E),Groups!A:A,Groups!AJ:AJ)="Photonozoa",0.6,1)*_xlfn.XLOOKUP(B413,'Base stats'!B:B,'Base stats'!C:C)^0.165,0.05)))</f>
        <v>1.25</v>
      </c>
      <c r="AK413" s="7" t="str">
        <f>IF(AI413="No","No",_xlfn.XLOOKUP(_xlfn.XLOOKUP(B413,'Base stats'!B:B,'Base stats'!E:E),Groups!A:A,Groups!AF:AF))</f>
        <v>LeftHand, RightHand</v>
      </c>
      <c r="AL413" s="7" t="str">
        <f>IF(AI413="No","No",_xlfn.XLOOKUP(_xlfn.XLOOKUP(B413,'Base stats'!B:B,'Base stats'!E:E),Groups!A:A,Groups!AG:AG))</f>
        <v>left fist, right fist</v>
      </c>
      <c r="AM413" s="7" t="str">
        <f>IF(AI413="No","No",_xlfn.XLOOKUP(_xlfn.XLOOKUP(B413,'Base stats'!B:B,'Base stats'!E:E),Groups!A:A,Groups!AH:AH))</f>
        <v>Blunt</v>
      </c>
      <c r="AN413" s="2" t="str">
        <f t="shared" si="49"/>
        <v>No</v>
      </c>
      <c r="AO413" s="2">
        <f>MROUND(IF(AND(_xlfn.XLOOKUP(B413,'Base stats'!B:B,'Base stats'!C:C)&gt;=0.5,_xlfn.XLOOKUP(B413,'Base stats'!B:B,'Base stats'!C:C)&lt;=0.8),
IF(_xlfn.XLOOKUP(B413,'Base stats'!B:B,'Base stats'!C:C)&lt;0.1,0.05,IF(_xlfn.XLOOKUP(B413,'Base stats'!B:B,'Base stats'!C:C)&lt;=70,(_xlfn.XLOOKUP(B413,'Base stats'!B:B,'Base stats'!C:C)/70)^0.426489913056526,IF(_xlfn.XLOOKUP(B413,'Base stats'!B:B,'Base stats'!C:C)&lt;=400,(_xlfn.XLOOKUP(B413,'Base stats'!B:B,'Base stats'!C:C)/70)^0.572811455315093,IF(_xlfn.XLOOKUP(B413,'Base stats'!B:B,'Base stats'!C:C)&lt;=2000,2.71391647193063*(_xlfn.XLOOKUP(B413,'Base stats'!B:B,'Base stats'!C:C)/400)^0.252459582904293,3.74314280240376*(_xlfn.XLOOKUP(B413,'Base stats'!B:B,'Base stats'!C:C)/2000)^0.357012633876913)))),
IF(_xlfn.XLOOKUP(B413,'Base stats'!B:B,'Base stats'!C:C)&lt;0.1,0.05,IF(_xlfn.XLOOKUP(B413,'Base stats'!B:B,'Base stats'!C:C)&lt;0.4,0.1,IF(_xlfn.XLOOKUP(B413,'Base stats'!B:B,'Base stats'!C:C)&lt;=70,(_xlfn.XLOOKUP(B413,'Base stats'!B:B,'Base stats'!C:C)/70)^0.445823913056526,IF(_xlfn.XLOOKUP(B413,'Base stats'!B:B,'Base stats'!C:C)&lt;=400,(_xlfn.XLOOKUP(B413,'Base stats'!B:B,'Base stats'!C:C)/70)^0.572811455315093,IF(_xlfn.XLOOKUP(B413,'Base stats'!B:B,'Base stats'!C:C)&lt;=2000,2.71391647193063*(_xlfn.XLOOKUP(B413,'Base stats'!B:B,'Base stats'!C:C)/400)^0.252459582904293,3.74314280240376*(_xlfn.XLOOKUP(B413,'Base stats'!B:B,'Base stats'!C:C)/2000)^0.357012633876913)))))),
IF(_xlfn.XLOOKUP(B413,'Base stats'!B:B,'Base stats'!C:C)&lt;0.1,0.05,IF(_xlfn.XLOOKUP(B413,'Base stats'!B:B,'Base stats'!C:C)&lt;=100,0.05,IF(_xlfn.XLOOKUP(B413,'Base stats'!B:B,'Base stats'!C:C)&lt;=250,0.1,IF(_xlfn.XLOOKUP(B413,'Base stats'!B:B,'Base stats'!C:C)&lt;=4000,0.25,0.5)))))</f>
        <v>0.85000000000000009</v>
      </c>
      <c r="AP413" s="8">
        <f>MROUND(AO413*_xlfn.XLOOKUP(_xlfn.XLOOKUP(B413,'Base stats'!B:B,'Base stats'!E:E),Groups!A:A,Groups!AI:AI)*_xlfn.XLOOKUP(B413,'Base stats'!B:B,'Base stats'!Z:Z),0.05)</f>
        <v>0.85000000000000009</v>
      </c>
      <c r="AQ413" s="8">
        <f>MAX(0.01,MROUND(IF(CC413="True",0.196*(AO413*100*1000)^0.889,IF(_xlfn.XLOOKUP(_xlfn.XLOOKUP(B413,'Base stats'!B:B,'Base stats'!E:E),Groups!A:A,Groups!AJ:AJ)="Bird",10.5*(AO413*100*1000)^0.681,4.82*(AO413*100*1000)^0.734))/(4.82*(1*100*1000)^0.734)/IF(AO413&lt;3.5,2,IF(AO413=3.5,1.5,1.25))*(1+0.132282374779864/(AO413^0.994035016789033+0.00905238001496948)),0.05))</f>
        <v>0.5</v>
      </c>
      <c r="AR413" s="9">
        <f>IFERROR(MROUND(_xlfn.XLOOKUP(B413,'Base stats'!B:B,'Base stats'!H:H)/IF(_xlfn.XLOOKUP(B413,'Base stats'!B:B,'Base stats'!I:I)&lt;&gt;1,(122.5/70),1.2),IF(_xlfn.XLOOKUP(B413,'Base stats'!B:B,'Base stats'!H:H)&gt;=30,5,IF(_xlfn.XLOOKUP(B413,'Base stats'!B:B,'Base stats'!H:H)&gt;=15,3,IF(_xlfn.XLOOKUP(B413,'Base stats'!B:B,'Base stats'!H:H)&gt;=10,2,1)))),"Immortal")</f>
        <v>25</v>
      </c>
      <c r="AS413" s="35">
        <f>IFERROR(IF(OR(_xlfn.XLOOKUP(B413,'Base stats'!B:B,'Base stats'!F:F)="Atypical reproduction",_xlfn.XLOOKUP(B413,'Base stats'!B:B,'Base stats'!F:F)="Lay eggs"),"Lay eggs",MIN(20,MAX(5.5,ROUND(((_xlfn.XLOOKUP(B413,'Base stats'!B:B,'Base stats'!F:F)-25)*(14.5/615) + 5.5)*2,0)/2))),"Unknown")</f>
        <v>9</v>
      </c>
      <c r="AT413" s="8">
        <f>IF(_xlfn.XLOOKUP(B413,'Base stats'!B:B,'Base stats'!G:G)="Atypical reproduction","No",IFERROR(MAX(IF(_xlfn.XLOOKUP(B413,'Base stats'!B:B,'Base stats'!G:G)&lt;0.5,0.2,0.3),MROUND(_xlfn.XLOOKUP(B413,'Base stats'!B:B,'Base stats'!G:G)/(365/60),0.2)),"Unknown"))</f>
        <v>0.60000000000000009</v>
      </c>
      <c r="AU413" s="8">
        <f t="shared" si="50"/>
        <v>0.30000000000000004</v>
      </c>
      <c r="AV413" s="8">
        <f>IFERROR(IFERROR(MROUND(_xlfn.XLOOKUP(B413,'Base stats'!B:B,'Base stats'!J:J),0.1),"Lay eggs"),"Cannot breed")</f>
        <v>1</v>
      </c>
      <c r="AW413" s="2" t="str">
        <f t="shared" si="51"/>
        <v>true</v>
      </c>
      <c r="AX413" s="2" t="str">
        <f>IF(_xlfn.XLOOKUP(_xlfn.XLOOKUP(Animals!B413,'Base stats'!B:B,'Base stats'!E:E),Groups!A:A,Groups!AK:AK)=1,"true","false")</f>
        <v>false</v>
      </c>
      <c r="AY413" s="25" t="str">
        <f>IF(_xlfn.XLOOKUP(B413,'Base stats'!B:B,'Base stats'!Y:Y)="Liquor","Liquor, CarnivoreAnimalStrict",IF(AND(_xlfn.XLOOKUP(B413,'Base stats'!B:B,'Base stats'!Y:Y)="Carnivore",_xlfn.XLOOKUP(_xlfn.XLOOKUP(B413,'Base stats'!B:B,'Base stats'!E:E),Groups!A:A,Groups!AJ:AJ)="Photonozoa"),"CarnivoreAnimalStrict, OvivoreAnimal",IF(_xlfn.XLOOKUP(B413,'Base stats'!B:B,'Base stats'!Y:Y)="Carnivore","CarnivoreAnimal, OvivoreAnimal",IF(_xlfn.XLOOKUP(B413,'Base stats'!B:B,'Base stats'!Y:Y)="Dendrovore","VegetarianRoughAnimal, DendrovoreAnimal",IF(_xlfn.XLOOKUP(B413,'Base stats'!B:B,'Base stats'!Y:Y)="Herbivore","VegetarianRoughAnimal",IF(_xlfn.XLOOKUP(B413,'Base stats'!B:B,'Base stats'!Y:Y)="OmnivoreRough","OmnivoreRoughAnimal, OvivoreAnimal","OmnivoreAnimal, OvivoreAnimal"))))))</f>
        <v>OmnivoreRoughAnimal, OvivoreAnimal</v>
      </c>
      <c r="AZ413" s="2" t="str">
        <f>IF(_xlfn.XLOOKUP(_xlfn.XLOOKUP(B413,'Base stats'!B:B,'Base stats'!E:E),Groups!A:A,Groups!D:D)=1,MROUND((1-J413)*5+1,2)*IF(J413&lt;=0.4,2,1),"No")</f>
        <v>No</v>
      </c>
      <c r="BA413" s="2" t="str">
        <f>IF(AND(_xlfn.XLOOKUP(B413,'Base stats'!B:B,'Base stats'!AH:AH)="&lt;li&gt;Seal&lt;/li&gt;",G413="Odyssey"),"&lt;li&gt;AEXP_Seal&lt;/li&gt;",_xlfn.XLOOKUP(B413,'Base stats'!B:B,'Base stats'!AH:AH))</f>
        <v>&lt;li&gt;Monkey&lt;/li&gt;</v>
      </c>
      <c r="BB413" s="2" t="str">
        <f>_xlfn.XLOOKUP(B413,'Base stats'!B:B,'Base stats'!AG:AG)</f>
        <v>Leather_Light</v>
      </c>
      <c r="BC413" s="23" t="str">
        <f>_xlfn.XLOOKUP(_xlfn.XLOOKUP(B413,'Base stats'!B:B,'Base stats'!E:E),Groups!A:A,Groups!AL:AL)</f>
        <v>Monkey</v>
      </c>
      <c r="BD413" s="23">
        <f>MIN(1,MROUND(IF(AND(AO413&lt;0.5,_xlfn.XLOOKUP(B413,'Base stats'!B:B,'Base stats'!AA:AA)=0),0,IF(OR(_xlfn.XLOOKUP(Animals!B413,'Base stats'!B:B,'Base stats'!O:O)=2,_xlfn.XLOOKUP(_xlfn.XLOOKUP(B413,'Base stats'!B:B,'Base stats'!E:E),Groups!A:A,Groups!AN:AN)=0),0,_xlfn.XLOOKUP(_xlfn.XLOOKUP(B413,'Base stats'!B:B,'Base stats'!E:E),Groups!A:A,Groups!AN:AN)/IF(_xlfn.XLOOKUP(Animals!B413,'Base stats'!B:B,'Base stats'!O:O)=1,2,1)))+_xlfn.XLOOKUP(B413,'Base stats'!B:B,'Base stats'!AC:AC),0.005))</f>
        <v>2.5000000000000001E-2</v>
      </c>
      <c r="BE413" s="23">
        <f>MIN(1,MROUND(IF(AND(AO413&lt;0.5,_xlfn.XLOOKUP(B413,'Base stats'!B:B,'Base stats'!AA:AA)=0),0,IF(_xlfn.XLOOKUP(_xlfn.XLOOKUP(B413,'Base stats'!B:B,'Base stats'!E:E),Groups!A:A,Groups!AO:AO)=0,0,_xlfn.XLOOKUP(_xlfn.XLOOKUP(B413,'Base stats'!B:B,'Base stats'!E:E),Groups!A:A,Groups!AO:AO)/IF(_xlfn.XLOOKUP(Animals!B413,'Base stats'!B:B,'Base stats'!O:O)=2,3,1)))+_xlfn.XLOOKUP(B413,'Base stats'!B:B,'Base stats'!AD:AD),0.005))</f>
        <v>0.1</v>
      </c>
      <c r="BF413" s="2" t="str">
        <f>IF(J413&gt;0.3,"No",_xlfn.XLOOKUP(_xlfn.XLOOKUP(Animals!B413,'Base stats'!B:B,'Base stats'!E:E),Groups!A:A,Groups!AP:AP))</f>
        <v>No</v>
      </c>
      <c r="BG413" s="2" t="str">
        <f>IF(AND(J413&lt;=0.65,_xlfn.XLOOKUP(_xlfn.XLOOKUP(Animals!B413,'Base stats'!B:B,'Base stats'!E:E),Groups!A:A,Groups!AP:AP)&lt;&gt;"No",_xlfn.XLOOKUP(_xlfn.XLOOKUP(B413,'Base stats'!B:B,'Base stats'!E:E),Groups!A:A,Groups!D:D)=0),MROUND((80/3)*IF(_xlfn.XLOOKUP(B413,'Base stats'!B:B,'Base stats'!O:O)=2,0.2,AO413) + 24*(1-IF(BF413="No",0,BF413)) + 16/3, 12),"No")</f>
        <v>No</v>
      </c>
      <c r="BH413" s="2">
        <f>IF(AND(_xlfn.XLOOKUP(_xlfn.XLOOKUP(B413,'Base stats'!B:B,'Base stats'!E:E),Groups!A:A,Groups!AQ:AQ)=1,AO413&lt;=0.35),8,12)</f>
        <v>12</v>
      </c>
      <c r="BI413" s="2" t="str">
        <f>IF(_xlfn.XLOOKUP(_xlfn.XLOOKUP(B413,'Base stats'!B:B,'Base stats'!E:E),Groups!A:A,Groups!D:D)=0,_xlfn.XLOOKUP(_xlfn.XLOOKUP(B413,'Base stats'!B:B,'Base stats'!E:E),Groups!A:A,Groups!AR:AR),"None")</f>
        <v>Advanced</v>
      </c>
      <c r="BJ413" s="2" t="str">
        <f>IF(AND(_xlfn.XLOOKUP(_xlfn.XLOOKUP(B413,'Base stats'!B:B,'Base stats'!E:E),Groups!A:A,Groups!AS:AS)=1,OR(_xlfn.XLOOKUP(B413,'Base stats'!B:B,'Base stats'!Y:Y)="Carnivore",_xlfn.XLOOKUP(B413,'Base stats'!B:B,'Base stats'!Y:Y)="Omnivore")),"true","false")</f>
        <v>false</v>
      </c>
      <c r="BK413" s="2" t="str">
        <f>IF(BJ413="true",MROUND(IF(AND(AO413&gt;0.5,OR(_xlfn.XLOOKUP(_xlfn.XLOOKUP(B413,'Base stats'!B:B,'Base stats'!E:E),Groups!A:A,Groups!AJ:AJ)="Photonozoa",_xlfn.XLOOKUP(_xlfn.XLOOKUP(B413,'Base stats'!B:B,'Base stats'!E:E),Groups!A:A,Groups!AJ:AJ)="Mammal")),Animals!AO413*1.75*IF(AW413="true",1.5,1),IF(AO413&lt;0.5,Animals!AO413*0.5,Animals!AO413)),IF(AO413&gt;2,0.5,IF(AO413&gt;0.5,0.25,0.1))),"No")</f>
        <v>No</v>
      </c>
      <c r="BL413" s="2">
        <f t="shared" si="52"/>
        <v>1</v>
      </c>
      <c r="BM413" s="25" t="str">
        <f>IF(_xlfn.XLOOKUP(B413,'Base stats'!B:B,'Base stats'!AN:AN)="Standard","No",MROUND((_xlfn.XLOOKUP(B413,'Base stats'!B:B,'Base stats'!AN:AN)/3.6)/I413,0.1))</f>
        <v>No</v>
      </c>
      <c r="BN413" s="25" t="str">
        <f t="shared" si="53"/>
        <v>false</v>
      </c>
      <c r="BO413" s="25" t="str">
        <f>IF(AND(OR(_xlfn.XLOOKUP(B413,'Base stats'!B:B,'Base stats'!Y:Y)="Carnivore",_xlfn.XLOOKUP(B413,'Base stats'!B:B,'Base stats'!Y:Y)="Omnivore",_xlfn.XLOOKUP(B413,'Base stats'!B:B,'Base stats'!Y:Y)="OmnivoreRough"),_xlfn.XLOOKUP(_xlfn.XLOOKUP(B413,'Base stats'!B:B,'Base stats'!E:E),Groups!A:A,Groups!AT:AT)=1),"true","false")</f>
        <v>false</v>
      </c>
      <c r="BP413" s="25" t="str" cm="1">
        <f t="array" ref="BP413">IF(
  _xlfn.TEXTJOIN(", ",TRUE,
    IF(AND(BJ413="true",AO413&gt;0.5,BI413&lt;&gt;"None"),"AttackTarget",""),
    IF(AND(_xlfn.XLOOKUP(_xlfn.XLOOKUP(B413,'Base stats'!B:B,'Base stats'!E:E),Groups!A:A,Groups!AJ:AJ="Mammal"),OR(_xlfn.XLOOKUP(B413,'Base stats'!B:B,'Base stats'!Y:Y)="Omnivore",_xlfn.XLOOKUP(B413,'Base stats'!B:B,'Base stats'!Y:Y)="OmnivoreRough")),"Forage",""),
    IF(BG413&lt;=36,"Comfort",""),
    IF(_xlfn.XLOOKUP(B413,'Base stats'!B:B,'Base stats'!AE:AE)&lt;&gt;"No",_xlfn.XLOOKUP(B413,'Base stats'!B:B,'Base stats'!AE:AE),"")
  ) = "",
  "No",
  _xlfn.TEXTJOIN(", ",TRUE,
    IF(AND(BJ413="true",AO413&gt;0.5,BI413&lt;&gt;"None"),"AttackTarget",""),
    IF(AND(_xlfn.XLOOKUP(_xlfn.XLOOKUP(B413,'Base stats'!B:B,'Base stats'!E:E),Groups!A:A,Groups!AJ:AJ="Mammal"),OR(_xlfn.XLOOKUP(B413,'Base stats'!B:B,'Base stats'!Y:Y)="Omnivore",_xlfn.XLOOKUP(B413,'Base stats'!B:B,'Base stats'!Y:Y)="OmnivoreRough")),"Forage",""),
    IF(BG413&lt;=36,"Comfort",""),
    IF(_xlfn.XLOOKUP(B413,'Base stats'!B:B,'Base stats'!AE:AE)&lt;&gt;"No",_xlfn.XLOOKUP(B413,'Base stats'!B:B,'Base stats'!AE:AE),"")
  )
)</f>
        <v>Forage, AttackTarget</v>
      </c>
      <c r="BQ413" s="25" t="str">
        <f>IF(
   AND(
      'Base stats'!AN413="Standard",_xlfn.XLOOKUP(_xlfn.XLOOKUP(B413,'Base stats'!B:B,'Base stats'!E:E),Groups!A:A,Groups!AU:AU)=0,
      OR(
      BO413="True"
      )
   ),
   10,
   IF(
       OR(BM413&lt;&gt;"No",_xlfn.XLOOKUP(_xlfn.XLOOKUP(B413,'Base stats'!B:B,'Base stats'!E:E),Groups!A:A,Groups!AU:AU)=1),
      1,
      "No"
   )
)</f>
        <v>No</v>
      </c>
      <c r="BR413" s="9">
        <f>MROUND((1 + ((0.2*IF(OR(Q413="No",R413="No",R413=0),0,Q413/R413)
+IF(OR(V413="No",S413="No",T413="No"),0,S413/T413*(LEN(V413)-LEN(SUBSTITUTE(V413,",",""))+1))
+IF(OR(X413="No",Y413="No"),0,X413/Y413)
+IF(OR(AD413="No",AE413="No"),0,AD413/AE413)
+IF(OR(AL413="No",AI413="No",AJ413="No"),0,AI413/AJ413*(LEN(AL413)-LEN(SUBSTITUTE(AL413,",",""))+1))
)/(0.2*IF(OR(Q413="No",R413="No",R413=0),0,1)
+IF(OR(V413="No",S413="No",T413="No"),0,LEN(V413)-LEN(SUBSTITUTE(V413,",",""))+1)
+IF(OR(X413="No",Y413="No"),0,1)
+IF(OR(AD413="No",AE413="No"),0,1)
+IF(OR(AL413="No",AI413="No",AJ413="No"),0,LEN(AL413)-LEN(SUBSTITUTE(AL413,",",""))+1))*62%)* 2)*(1 + (AP413 / (IF(_xlfn.XLOOKUP(_xlfn.XLOOKUP(B413,'Base stats'!B:B,'Base stats'!E:E),Groups!A:A,Groups!AJ:AJ)="Photonozoa",0.3,1)) + _xlfn.XLOOKUP(B413,'Base stats'!B:B,'Base stats'!AV:AV) * 1.8) * 2) * 2.5 + 10 + I413 * 2,5)+IF(_xlfn.XLOOKUP(B413,'Base stats'!B:B,'Base stats'!AK:AK)=1,50,0)</f>
        <v>80</v>
      </c>
      <c r="BS413" s="8">
        <f t="shared" si="54"/>
        <v>0.55000000000000004</v>
      </c>
      <c r="BT413" s="8" t="str">
        <f>_xlfn.XLOOKUP(B413,'Base stats'!B:B,'Base stats'!AF:AF)</f>
        <v>3~10</v>
      </c>
      <c r="BU413" s="2" t="str">
        <f>IF(AND(J413&lt;=0.95,OR(_xlfn.XLOOKUP(B413,'Base stats'!B:B,'Base stats'!AK:AK)=1,_xlfn.XLOOKUP(B413,'Base stats'!B:B,'Base stats'!Y:Y)="Carnivore",_xlfn.XLOOKUP(B413,'Base stats'!B:B,'Base stats'!Y:Y)="Omnivore",BE413&gt;0.1)),"true","false")</f>
        <v>false</v>
      </c>
      <c r="BV413" s="2" t="str">
        <f>IF(_xlfn.XLOOKUP(B413,'Base stats'!B:B,'Base stats'!AI:AI)=1,"true","false")</f>
        <v>false</v>
      </c>
      <c r="BW413" s="25" t="str">
        <f>IF(E413="BaseInsect","AnimalInsect",
IF(J413&gt;0.95,"AnimalExotic",
_xlfn.TEXTJOIN(", ",TRUE,
IF(OR(_xlfn.XLOOKUP(B413,'Base stats'!B:B,'Base stats'!AM:AM)=1,AND(_xlfn.XLOOKUP(B413,'Base stats'!B:B,'Base stats'!O:O)=0,_xlfn.XLOOKUP(_xlfn.XLOOKUP(B413,'Base stats'!B:B,'Base stats'!E:E),Groups!A:A,Groups!B:B)&gt;0)),"AnimalUncommon","AnimalCommon"),
IF(AND(_xlfn.XLOOKUP(B413,'Base stats'!B:B,'Base stats'!O:O)=2,_xlfn.XLOOKUP(_xlfn.XLOOKUP(B413,'Base stats'!B:B,'Base stats'!E:E),Groups!A:A,Groups!D:D)=0),"AnimalPet",IF(AND(_xlfn.XLOOKUP(B413,'Base stats'!B:B,'Base stats'!O:O)&lt;&gt;0,_xlfn.XLOOKUP(_xlfn.XLOOKUP(B413,'Base stats'!B:B,'Base stats'!E:E),Groups!A:A,Groups!D:D)&lt;&gt;0),"AnimalFarm","")),
IF(OR(_xlfn.XLOOKUP(B413,'Base stats'!B:B,'Base stats'!AK:AK)=1,AND(BI413&lt;&gt;"None",BR413&gt;=60),ISNUMBER(SEARCH("Attack target",BP413))),"AnimalFighter","")
)))</f>
        <v>AnimalUncommon, AnimalFighter</v>
      </c>
      <c r="BX413" s="25" t="str">
        <f>IF(G413="None",TRIM(
SUBSTITUTE(
IF(COUNTIF(Biomes!B$2:B$259,"="&amp;$C413)&gt;0,Biomes!B$1&amp;", ","")&amp;
IF(COUNTIF(Biomes!C$2:C$259,"="&amp;$C413)&gt;0,Biomes!C$1&amp;", ","")&amp;
IF(COUNTIF(Biomes!D$2:D$259,"="&amp;$C413)&gt;0,Biomes!D$1&amp;", ","")&amp;
IF(COUNTIF(Biomes!F$2:F$259,"="&amp;$C413)&gt;0,Biomes!F$1&amp;", ","")&amp;
IF(COUNTIF(Biomes!G$2:G$259,"="&amp;$C413)&gt;0,Biomes!G$1&amp;", ","")&amp;
IF(COUNTIF(Biomes!H$2:H$259,"="&amp;$C413)&gt;0,Biomes!H$1&amp;", ","")&amp;
IF(COUNTIF(Biomes!I$2:I$259,"="&amp;$C413)&gt;0,Biomes!I$1&amp;", ","")&amp;
IF(COUNTIF(Biomes!J$2:J$259,"="&amp;$C413)&gt;0,Biomes!J$1&amp;", ","")&amp;
IF(COUNTIF(Biomes!M$2:M$259,"="&amp;$C413)&gt;0,Biomes!M$1&amp;", ","")&amp;
IF(COUNTIF(Biomes!N$2:N$259,"="&amp;$C413)&gt;0,Biomes!N$1&amp;", ","")&amp;
IF(COUNTIF(Biomes!O$2:O$259,"="&amp;$C413)&gt;0,Biomes!O$1&amp;", ","")&amp;
IF(COUNTIF(Biomes!P$2:P$259,"="&amp;$C413)&gt;0,Biomes!P$1&amp;", ","")&amp;
IF(COUNTIF(Biomes!K$2:K$259,"="&amp;$C413)&gt;0,Biomes!K$1&amp;", ","")&amp;
IF(COUNTIF(Biomes!Q$3:Q$259,"="&amp;$C413)&gt;0,Biomes!Q$1&amp;", ","")&amp;
IF(COUNTIF(Biomes!L$2:L$259,"="&amp;$C413)&gt;0,Biomes!L$1&amp;", ","")&amp;
IF(COUNTIF(Biomes!E$2:E$259,"="&amp;$C413)&gt;0,Biomes!E$1&amp;", ","")&amp;IF(COUNTIF(Biomes!S$2:S$259,"="&amp;$C413)&gt;0,Biomes!S$1&amp;", ","")&amp;
IF(COUNTIF(Biomes!R$2:R$259,"="&amp;$C413)&gt;0,Biomes!R$1&amp;", ",""),", ","")
),_xlfn.XLOOKUP(B413,B:B,BX:BX))</f>
        <v/>
      </c>
      <c r="BY413" s="25" t="str">
        <f>IF(_xlfn.XLOOKUP(B413,'Base stats'!B:B,'Base stats'!AJ:AJ)=1,"true","false")</f>
        <v>false</v>
      </c>
      <c r="BZ413" s="25">
        <f>IF(_xlfn.XLOOKUP(B413,'Base stats'!B:B,'Base stats'!N:N)=1,"No",MAX(0.001,MIN(MROUND(IF(AND(BJ413="True",CC413="False"),POWER(10,3.47*LOG10(_xlfn.XLOOKUP(B413,'Base stats'!B:B,'Base stats'!C:C)*1000)^-0.96),POWER(10,4.15*LOG10(_xlfn.XLOOKUP(B413,'Base stats'!B:B,'Base stats'!C:C)*1000)^-0.73))*IF(_xlfn.XLOOKUP(B413,'Base stats'!B:B,'Base stats'!AK:AK)=1,0.5,1)*IF(_xlfn.XLOOKUP(B413,'Base stats'!B:B,'Base stats'!AM:AM)=1,0.1,1)/100,IF(_xlfn.XLOOKUP(B413,'Base stats'!B:B,'Base stats'!AM:AM)=1,0.001,0.025)),0.5)))</f>
        <v>0.22500000000000001</v>
      </c>
      <c r="CA413" s="25" t="str">
        <f>IF(P413="Standard","No",MAX(0.001,MIN(MROUND(IF(AND(BJ413="True",CC413="False"),POWER(10,3.47*LOG10(_xlfn.XLOOKUP(B413,'Base stats'!B:B,'Base stats'!C:C)*1000)^-0.96),POWER(10,4.15*LOG10(_xlfn.XLOOKUP(B413,'Base stats'!B:B,'Base stats'!C:C)*1000)^-0.73))*IF(_xlfn.XLOOKUP(B413,'Base stats'!B:B,'Base stats'!AM:AM)=1,0.1,1)*_xlfn.XLOOKUP(B413,'Base stats'!B:B,'Base stats'!R:R)/100,IF(_xlfn.XLOOKUP(B413,'Base stats'!B:B,'Base stats'!AM:AM)=1,0.001,0.025)),0.5)))</f>
        <v>No</v>
      </c>
      <c r="CB413" s="25" t="str">
        <f>IF(_xlfn.XLOOKUP(_xlfn.XLOOKUP(B413,'Base stats'!B:B,'Base stats'!E:E),Groups!A:A,Groups!AJ:AJ)="Mammal","True","False")</f>
        <v>True</v>
      </c>
      <c r="CC413" s="25" t="str">
        <f>IF(OR(_xlfn.XLOOKUP(_xlfn.XLOOKUP(B413,'Base stats'!B:B,'Base stats'!E:E),Groups!A:A,Groups!AJ:AJ)="Reptile",_xlfn.XLOOKUP(_xlfn.XLOOKUP(B413,'Base stats'!B:B,'Base stats'!E:E),Groups!A:A,Groups!AJ:AJ)="Amphibian",_xlfn.XLOOKUP(_xlfn.XLOOKUP(B413,'Base stats'!B:B,'Base stats'!E:E),Groups!A:A,Groups!AJ:AJ)="Invertebrate"),"True","False")</f>
        <v>False</v>
      </c>
      <c r="CD413" s="25" t="str">
        <f t="shared" si="55"/>
        <v>False</v>
      </c>
      <c r="CE413" s="25" t="str">
        <f>IF(_xlfn.XLOOKUP(_xlfn.XLOOKUP(B413,'Base stats'!B:B,'Base stats'!E:E),Groups!A:A,Groups!AX:AX),"True","False")</f>
        <v>False</v>
      </c>
      <c r="CF413" s="25" t="str">
        <f>IF(_xlfn.XLOOKUP(_xlfn.XLOOKUP(B413,'Base stats'!B:B,'Base stats'!E:E),Groups!A:A,Groups!AY:AY),"True","False")</f>
        <v>False</v>
      </c>
      <c r="CG413" s="25" t="str">
        <f>IF(_xlfn.XLOOKUP(_xlfn.XLOOKUP(B413,'Base stats'!B:B,'Base stats'!E:E),Groups!A:A,Groups!AW:AW),"True","False")</f>
        <v>False</v>
      </c>
      <c r="CH413" s="25" t="str">
        <f>IF(
OR(
_xlfn.XLOOKUP(_xlfn.XLOOKUP(B413,'Base stats'!B:B,'Base stats'!E:E),Groups!A:A,Groups!AZ:AZ)=0,
AND(
_xlfn.XLOOKUP(B413,'Base stats'!B:B,'Base stats'!Y:Y)&lt;&gt;"Carnivore",
_xlfn.XLOOKUP(B413,'Base stats'!B:B,'Base stats'!Y:Y)&lt;&gt;"Omnivore",
_xlfn.XLOOKUP(B413,'Base stats'!B:B,'Base stats'!Y:Y)&lt;&gt;"OmnivoreRough"
)
),
"No",
IF(
_xlfn.XLOOKUP(_xlfn.XLOOKUP(B413,'Base stats'!B:B,'Base stats'!E:E),Groups!A:A,Groups!AZ:AZ)=1,
"Flesh",
IF(
_xlfn.XLOOKUP(_xlfn.XLOOKUP(B413,'Base stats'!B:B,'Base stats'!E:E),Groups!A:A,Groups!AZ:AZ)=2,
"Bone",
""
)
)
)</f>
        <v>No</v>
      </c>
      <c r="CI413" s="25" t="str">
        <f>IF(_xlfn.XLOOKUP(_xlfn.XLOOKUP(B413,'Base stats'!B:B,'Base stats'!E:E),Groups!A:A,Groups!BB:BB),"True","False")</f>
        <v>True</v>
      </c>
      <c r="CJ413" s="25" t="str">
        <f>IF(_xlfn.XLOOKUP(_xlfn.XLOOKUP(B413,'Base stats'!B:B,'Base stats'!E:E),Groups!A:A,Groups!BA:BA),"True","False")</f>
        <v>False</v>
      </c>
    </row>
    <row r="414" spans="1:88" ht="16.5" thickTop="1" thickBot="1" x14ac:dyDescent="0.3">
      <c r="A414" s="26" t="s">
        <v>2103</v>
      </c>
      <c r="B414" s="6" t="str">
        <f>_xlfn.XLOOKUP(A414,'Base stats'!A:A,'Base stats'!B:B)</f>
        <v>Castoroides ohioensis</v>
      </c>
      <c r="C414" s="28" t="str">
        <f t="shared" si="56"/>
        <v>&lt;li&gt;Castoroides&lt;/li&gt;</v>
      </c>
      <c r="D414" s="28" t="s">
        <v>2126</v>
      </c>
      <c r="E414" s="28" t="s">
        <v>673</v>
      </c>
      <c r="F414" s="28" t="s">
        <v>673</v>
      </c>
      <c r="G414" s="28" t="s">
        <v>673</v>
      </c>
      <c r="H414" s="2">
        <f>MROUND((
  (IF(AND(_xlfn.XLOOKUP(B414,'Base stats'!B:B,'Base stats'!AL:AL)=0,BI414="None",_xlfn.XLOOKUP(_xlfn.XLOOKUP(B414,'Base stats'!B:B,'Base stats'!E:E),Groups!A:A,Groups!B:B)=0), (18 + BR414 * 2.7) * 0.5,
    IF(AND(_xlfn.XLOOKUP(B414,'Base stats'!B:B,'Base stats'!AL:AL)=0,OR(AO414&lt;0.55,AND(BI414="Intermediate",_xlfn.XLOOKUP(_xlfn.XLOOKUP(B414,'Base stats'!B:B,'Base stats'!E:E),Groups!A:A,Groups!B:B)&lt;2))), (18 + BR414 * 2.7),
      IF(OR(BI414="Advanced",_xlfn.XLOOKUP(B414,'Base stats'!B:B,'Base stats'!AL:AL)=1,_xlfn.XLOOKUP(_xlfn.XLOOKUP(B414,'Base stats'!B:B,'Base stats'!E:E),Groups!A:A,Groups!B:B)=2), (18 + BR414 * 2.7) + 250, (18 + BR414 * 2.7))
    )
  ))
  + AO414 * 80
  + IF(COUNTIF(EggMilk!K$2:K$998, A414) &gt; 0, 125, 0)
  + IF(COUNTIF(EggMilk!P$2:P$998, A414) &gt; 0, 90, 0)
  + IF(COUNTIF(EggMilk!A$2:A$998, A414) &gt; 0, 90, 0)
)
* (0.8 + 0.4 * J414)
* 0.75,25)</f>
        <v>150</v>
      </c>
      <c r="I414" s="2">
        <f>MROUND(ROUNDDOWN(_xlfn.XLOOKUP(B414,'Base stats'!B:B,'Base stats'!L:L)/3.6/(23.3/11),1),0.5)</f>
        <v>2</v>
      </c>
      <c r="J414" s="2">
        <f>IF(OR(_xlfn.XLOOKUP(B414,'Base stats'!B:B,'Base stats'!AB:AB)=1,_xlfn.XLOOKUP(_xlfn.XLOOKUP(B414,'Base stats'!B:B,'Base stats'!E:E),Groups!A:A,Groups!C:C)="Untamable"),1,IF(_xlfn.XLOOKUP(B414,'Base stats'!B:B,'Base stats'!AL:AL)=1,0.99,MIN(MROUND((1-0.6282*EXP(-0.459*AO414))*_xlfn.XLOOKUP(_xlfn.XLOOKUP(B414,'Base stats'!B:B,'Base stats'!E:E),Groups!A:A,Groups!C:C)*IF(_xlfn.XLOOKUP(B414,'Base stats'!B:B,'Base stats'!O:O)=1,0.5,IF(_xlfn.XLOOKUP(B414,'Base stats'!B:B,'Base stats'!O:O)=2,0,1)),0.05),IF(AO414&gt;3.5,0.985,0.95))))</f>
        <v>0.75</v>
      </c>
      <c r="K414" s="2">
        <f>ROUNDUP(AO414*_xlfn.XLOOKUP(_xlfn.XLOOKUP(B414,'Base stats'!B:B,'Base stats'!E:E),Groups!A:A,Groups!E:E),0)</f>
        <v>2</v>
      </c>
      <c r="L414" s="2">
        <f>IF(OR(_xlfn.XLOOKUP(_xlfn.XLOOKUP(B414,'Base stats'!B:B,'Base stats'!E:E),Groups!A:A,Groups!F:F)=2,ISNUMBER(SEARCH("SeaIce",BX414)),ISNUMBER(SEARCH("IceSheet",BX414))),-50,IF(OR(ISNUMBER(SEARCH("GlacialPlain",BX414)),ISNUMBER(SEARCH("Tundra",BX414))),-40,IF(OR(ISNUMBER(SEARCH("Alpine",BX414)),ISNUMBER(SEARCH("BorealForest",BX414)),ISNUMBER(SEARCH("ColdBog",BX414))),-30,IF(OR(ISNUMBER(SEARCH("TemperateForest",BX414)),ISNUMBER(SEARCH("TemperateSwamp",BX414))),-20,IF(_xlfn.XLOOKUP(_xlfn.XLOOKUP(B414,'Base stats'!B:B,'Base stats'!E:E),Groups!A:A,Groups!F:F)=1,-15,IF(OR(ISNUMBER(SEARCH("Desert",BX414)),ISNUMBER(SEARCH("ExtremeDesert",BX414))),-10,IF(OR(ISNUMBER(SEARCH("Grasslands",BX414)),ISNUMBER(SEARCH("TropicalRainforest",BX414)),ISNUMBER(SEARCH("TropicalSwamp",BX414))),10,0)))))))-IF(CC414="False",MIN(IFERROR(MAX(MROUND(LOG10(_xlfn.XLOOKUP(B414,'Base stats'!B:B,'Base stats'!C:C)^(2/3))*10,5),5),5),30))-_xlfn.XLOOKUP(B414,'Base stats'!B:B,'Base stats'!P:P)+IF(CC414="True",5,0)</f>
        <v>-15</v>
      </c>
      <c r="M414" s="2">
        <f>IF(OR(_xlfn.XLOOKUP(_xlfn.XLOOKUP(B414,'Base stats'!B:B,'Base stats'!E:E),Groups!A:A,Groups!G:G)=2,ISNUMBER(SEARCH("Desert",BX414)),ISNUMBER(SEARCH("ExtremeDesert",BX414)),ISNUMBER(SEARCH("LavaField",BX414))),50,IF(ISNUMBER(SEARCH("Grasslands",BX414)),45,IF(OR(_xlfn.XLOOKUP(_xlfn.XLOOKUP(B414,'Base stats'!B:B,'Base stats'!E:E),Groups!A:A,Groups!G:G)=1,ISNUMBER(SEARCH("TropicalRainforest",BX414)),ISNUMBER(SEARCH("TropicalSwamp",BX414))),40,IF(OR(ISNUMBER(SEARCH("TemperateForest",BX414)),ISNUMBER(SEARCH("TemperateSwamp",BX414))),35,IF(OR(ISNUMBER(SEARCH("Alpine",BX414)),ISNUMBER(SEARCH("BorealForest",BX414)),ISNUMBER(SEARCH("ColdBog",BX414))),30,IF(ISNUMBER(OR(ISNUMBER(SEARCH("GlacialPlain",BX414)),SEARCH("Tundra",BX414))),25,IF(OR(ISNUMBER(SEARCH("SeaIce",BX414)),ISNUMBER(SEARCH("IceSheet",BX414)),ISNUMBER(SEARCH("TropicalSwamp",BX414))),10,35)))))))+_xlfn.XLOOKUP(B414,'Base stats'!B:B,'Base stats'!Q:Q)</f>
        <v>35</v>
      </c>
      <c r="N414" s="8" t="str">
        <f>IF(
_xlfn.XLOOKUP(
_xlfn.XLOOKUP(B414,'Base stats'!B:B,'Base stats'!E:E),
Groups!A:A,
Groups!L:L
)=1,
MIN(
MROUND(
IF(
_xlfn.XLOOKUP(B414,'Animals CE'!B:B,'Animals CE'!Z:Z)&lt;=1.5,
_xlfn.XLOOKUP(B414,'Animals CE'!B:B,'Animals CE'!Z:Z)/2+0.05,
0.8+
(_xlfn.XLOOKUP(B414,'Animals CE'!B:B,'Animals CE'!Z:Z)-1.5)
*0.02
),
0.05
),
200%
),
"No"
)</f>
        <v>No</v>
      </c>
      <c r="O414" s="8" t="str">
        <f>IF(
_xlfn.XLOOKUP(
_xlfn.XLOOKUP(B414,'Base stats'!B:B,'Base stats'!E:E),
Groups!A:A,
Groups!L:L
)=1,
MIN(
MROUND(
IF(
_xlfn.XLOOKUP(B414,'Animals CE'!B:B,'Animals CE'!AA:AA)&lt;=1.5,
_xlfn.XLOOKUP(B414,'Animals CE'!B:B,'Animals CE'!AA:AA)/2+0.05,
0.8+
(_xlfn.XLOOKUP(B414,'Animals CE'!B:B,'Animals CE'!AA:AA)-1.5)
*0.02
),
0.05
),
200%
),
"No"
)</f>
        <v>No</v>
      </c>
      <c r="P414" s="2" t="str">
        <f>_xlfn.XLOOKUP(B414,'Base stats'!B:B,'Base stats'!R:R)</f>
        <v>Standard</v>
      </c>
      <c r="Q414" s="13">
        <f>MROUND((LOG10(_xlfn.XLOOKUP(B414,'Base stats'!B:B,'Base stats'!AR:AR))*(AO414^0.5)+(_xlfn.XLOOKUP(B414,'Base stats'!B:B,'Base stats'!AR:AR)/1000)^(2/3)+_xlfn.XLOOKUP(B414,'Base stats'!B:B,'Base stats'!BA:BA)/2)+0.5,0.5)</f>
        <v>7.5</v>
      </c>
      <c r="R414" s="7">
        <f>IF(Q414="No","No",MAX(1,MROUND(_xlfn.XLOOKUP(B414,'Base stats'!B:B,'Base stats'!C:C)^0.165,0.05)))</f>
        <v>2.0500000000000003</v>
      </c>
      <c r="S414" s="13" t="str">
        <f>IF(_xlfn.XLOOKUP(_xlfn.XLOOKUP(B414,'Base stats'!B:B,'Base stats'!E:E),Groups!A:A,Groups!P:P)=0,"No",MROUND((LOG10(_xlfn.XLOOKUP(B414,'Base stats'!B:B,'Base stats'!AS:AS))*(AO414^0.5)+(_xlfn.XLOOKUP(B414,'Base stats'!B:B,'Base stats'!AS:AS)/1000)^(2/3)+_xlfn.XLOOKUP(B414,'Base stats'!B:B,'Base stats'!BA:BA))+_xlfn.XLOOKUP(B414,'Base stats'!B:B,'Base stats'!AY:AY)+0.5,0.5))</f>
        <v>No</v>
      </c>
      <c r="T414" s="7" t="str">
        <f>IF(S414="No","No",MAX(_xlfn.XLOOKUP(_xlfn.XLOOKUP(B414,'Base stats'!B:B,'Base stats'!E:E),Groups!A:A,Groups!Q:Q),MROUND(_xlfn.XLOOKUP(_xlfn.XLOOKUP(B414,'Base stats'!B:B,'Base stats'!E:E),Groups!A:A,Groups!Q:Q)*_xlfn.XLOOKUP(B414,'Base stats'!B:B,'Base stats'!C:C)^0.165,0.05)))</f>
        <v>No</v>
      </c>
      <c r="U414" s="7" t="str">
        <f>IF(S414="No","No",_xlfn.XLOOKUP(_xlfn.XLOOKUP(B414,'Base stats'!B:B,'Base stats'!E:E),Groups!A:A,Groups!R:R))</f>
        <v>No</v>
      </c>
      <c r="V414" s="7" t="str">
        <f>IF(S414="No","No",_xlfn.XLOOKUP(_xlfn.XLOOKUP(B414,'Base stats'!B:B,'Base stats'!E:E),Groups!A:A,Groups!S:S))</f>
        <v>No</v>
      </c>
      <c r="W414" s="7" t="str">
        <f>IF(S414="No","No",_xlfn.XLOOKUP(_xlfn.XLOOKUP(B414,'Base stats'!B:B,'Base stats'!E:E),Groups!A:A,Groups!T:T))</f>
        <v>No</v>
      </c>
      <c r="X414" s="13" t="str">
        <f>IF(_xlfn.XLOOKUP(B414,'Base stats'!B:B,'Base stats'!W:W)="No","No",MROUND((LOG10(_xlfn.XLOOKUP(B414,'Base stats'!B:B,'Base stats'!AU:AU))*(AO414^0.5)+(_xlfn.XLOOKUP(B414,'Base stats'!B:B,'Base stats'!AU:AU)/1000)^(2/3)+_xlfn.XLOOKUP(B414,'Base stats'!B:B,'Base stats'!AZ:AZ))+0.5+IF(_xlfn.XLOOKUP(_xlfn.XLOOKUP(B414,'Base stats'!B:B,'Base stats'!E:E),Groups!A:A,Groups!U:U)&lt;&gt;3,_xlfn.XLOOKUP(B414,'Base stats'!B:B,'Base stats'!BA:BA),0),0.5))</f>
        <v>No</v>
      </c>
      <c r="Y414" s="7" t="str">
        <f>IF(X414="No","No",MAX(_xlfn.XLOOKUP(_xlfn.XLOOKUP(B414,'Base stats'!B:B,'Base stats'!E:E),Groups!A:A,Groups!V:V),MROUND(_xlfn.XLOOKUP(_xlfn.XLOOKUP(B414,'Base stats'!B:B,'Base stats'!E:E),Groups!A:A,Groups!V:V)*_xlfn.XLOOKUP(B414,'Base stats'!B:B,'Base stats'!C:C)^0.165,0.05)))</f>
        <v>No</v>
      </c>
      <c r="Z414" s="7" t="str">
        <f>IF(X414="No","No",_xlfn.XLOOKUP(_xlfn.XLOOKUP(B414,'Base stats'!B:B,'Base stats'!E:E),Groups!A:A,Groups!W:W))</f>
        <v>No</v>
      </c>
      <c r="AA414" s="7" t="str">
        <f>IF(X414="No","No",_xlfn.XLOOKUP(_xlfn.XLOOKUP(B414,'Base stats'!B:B,'Base stats'!E:E),Groups!A:A,Groups!X:X))</f>
        <v>No</v>
      </c>
      <c r="AB414" s="7" t="str">
        <f>IF(X414="No","No",_xlfn.XLOOKUP(_xlfn.XLOOKUP(B414,'Base stats'!B:B,'Base stats'!E:E),Groups!A:A,Groups!Y:Y))</f>
        <v>No</v>
      </c>
      <c r="AC414" s="7" t="str">
        <f>_xlfn.XLOOKUP(Animals!B414,'Base stats'!B:B,'Base stats'!X:X)</f>
        <v>False</v>
      </c>
      <c r="AD414" s="13">
        <f>IF(_xlfn.XLOOKUP(B414,'Base stats'!B:B,'Base stats'!AT:AT)="No","No",MROUND((LOG10(_xlfn.XLOOKUP(B414,'Base stats'!B:B,'Base stats'!AT:AT))*(AO414^0.75)+(_xlfn.XLOOKUP(B414,'Base stats'!B:B,'Base stats'!AT:AT)/1000)^(2/3)+_xlfn.XLOOKUP(B414,'Base stats'!B:B,'Base stats'!AX:AX)+_xlfn.XLOOKUP(B414,'Base stats'!B:B,'Base stats'!BA:BA))+0.5,0.5))</f>
        <v>12</v>
      </c>
      <c r="AE414" s="7">
        <f>IF(AD414="No","No",MAX(_xlfn.XLOOKUP(_xlfn.XLOOKUP(B414,'Base stats'!B:B,'Base stats'!E:E),Groups!A:A,Groups!Z:Z),MROUND(_xlfn.XLOOKUP(_xlfn.XLOOKUP(B414,'Base stats'!B:B,'Base stats'!E:E),Groups!A:A,Groups!Z:Z)*_xlfn.XLOOKUP(B414,'Base stats'!B:B,'Base stats'!C:C)^0.165,0.05)))</f>
        <v>1.9500000000000002</v>
      </c>
      <c r="AF414" s="7" t="str">
        <f>IF(AD414="No","No",_xlfn.XLOOKUP(_xlfn.XLOOKUP(B414,'Base stats'!B:B,'Base stats'!E:E),Groups!A:A,Groups!AA:AA))</f>
        <v>Teeth</v>
      </c>
      <c r="AG414" s="7" t="str">
        <f>IF(AD414="No","No",_xlfn.XLOOKUP(_xlfn.XLOOKUP(B414,'Base stats'!B:B,'Base stats'!E:E),Groups!A:A,Groups!AB:AB))</f>
        <v>Incisors</v>
      </c>
      <c r="AH414" s="7" t="str">
        <f>IF(AD414="No","No",_xlfn.XLOOKUP(_xlfn.XLOOKUP(B414,'Base stats'!B:B,'Base stats'!E:E),Groups!A:A,Groups!AC:AC))</f>
        <v>Bite</v>
      </c>
      <c r="AI414" s="13" t="str">
        <f>IF(_xlfn.XLOOKUP(_xlfn.XLOOKUP(B414,'Base stats'!B:B,'Base stats'!E:E),Groups!A:A,Groups!AD:AD)=0,"No",MROUND((LOG10(_xlfn.XLOOKUP(B414,'Base stats'!B:B,'Base stats'!AS:AS))*(AO414^0.75)+(_xlfn.XLOOKUP(B414,'Base stats'!B:B,'Base stats'!AS:AS)/1000)^(2/3)+_xlfn.XLOOKUP(B414,'Base stats'!B:B,'Base stats'!AY:AY)+_xlfn.XLOOKUP(B414,'Base stats'!B:B,'Base stats'!BA:BA))+0.5,0.5))</f>
        <v>No</v>
      </c>
      <c r="AJ414" s="7" t="str">
        <f>IF(AI414="No","No",MAX(_xlfn.XLOOKUP(_xlfn.XLOOKUP(B414,'Base stats'!B:B,'Base stats'!E:E),Groups!A:A,Groups!AE:AE),MROUND(_xlfn.XLOOKUP(_xlfn.XLOOKUP(B414,'Base stats'!B:B,'Base stats'!E:E),Groups!A:A,Groups!AE:AE)*IF(_xlfn.XLOOKUP(_xlfn.XLOOKUP(B414,'Base stats'!B:B,'Base stats'!E:E),Groups!A:A,Groups!AJ:AJ)="Photonozoa",0.6,1)*_xlfn.XLOOKUP(B414,'Base stats'!B:B,'Base stats'!C:C)^0.165,0.05)))</f>
        <v>No</v>
      </c>
      <c r="AK414" s="7" t="str">
        <f>IF(AI414="No","No",_xlfn.XLOOKUP(_xlfn.XLOOKUP(B414,'Base stats'!B:B,'Base stats'!E:E),Groups!A:A,Groups!AF:AF))</f>
        <v>No</v>
      </c>
      <c r="AL414" s="7" t="str">
        <f>IF(AI414="No","No",_xlfn.XLOOKUP(_xlfn.XLOOKUP(B414,'Base stats'!B:B,'Base stats'!E:E),Groups!A:A,Groups!AG:AG))</f>
        <v>No</v>
      </c>
      <c r="AM414" s="7" t="str">
        <f>IF(AI414="No","No",_xlfn.XLOOKUP(_xlfn.XLOOKUP(B414,'Base stats'!B:B,'Base stats'!E:E),Groups!A:A,Groups!AH:AH))</f>
        <v>No</v>
      </c>
      <c r="AN414" s="2" t="str">
        <f t="shared" si="49"/>
        <v>No</v>
      </c>
      <c r="AO414" s="2">
        <f>MROUND(IF(AND(_xlfn.XLOOKUP(B414,'Base stats'!B:B,'Base stats'!C:C)&gt;=0.5,_xlfn.XLOOKUP(B414,'Base stats'!B:B,'Base stats'!C:C)&lt;=0.8),
IF(_xlfn.XLOOKUP(B414,'Base stats'!B:B,'Base stats'!C:C)&lt;0.1,0.05,IF(_xlfn.XLOOKUP(B414,'Base stats'!B:B,'Base stats'!C:C)&lt;=70,(_xlfn.XLOOKUP(B414,'Base stats'!B:B,'Base stats'!C:C)/70)^0.426489913056526,IF(_xlfn.XLOOKUP(B414,'Base stats'!B:B,'Base stats'!C:C)&lt;=400,(_xlfn.XLOOKUP(B414,'Base stats'!B:B,'Base stats'!C:C)/70)^0.572811455315093,IF(_xlfn.XLOOKUP(B414,'Base stats'!B:B,'Base stats'!C:C)&lt;=2000,2.71391647193063*(_xlfn.XLOOKUP(B414,'Base stats'!B:B,'Base stats'!C:C)/400)^0.252459582904293,3.74314280240376*(_xlfn.XLOOKUP(B414,'Base stats'!B:B,'Base stats'!C:C)/2000)^0.357012633876913)))),
IF(_xlfn.XLOOKUP(B414,'Base stats'!B:B,'Base stats'!C:C)&lt;0.1,0.05,IF(_xlfn.XLOOKUP(B414,'Base stats'!B:B,'Base stats'!C:C)&lt;0.4,0.1,IF(_xlfn.XLOOKUP(B414,'Base stats'!B:B,'Base stats'!C:C)&lt;=70,(_xlfn.XLOOKUP(B414,'Base stats'!B:B,'Base stats'!C:C)/70)^0.445823913056526,IF(_xlfn.XLOOKUP(B414,'Base stats'!B:B,'Base stats'!C:C)&lt;=400,(_xlfn.XLOOKUP(B414,'Base stats'!B:B,'Base stats'!C:C)/70)^0.572811455315093,IF(_xlfn.XLOOKUP(B414,'Base stats'!B:B,'Base stats'!C:C)&lt;=2000,2.71391647193063*(_xlfn.XLOOKUP(B414,'Base stats'!B:B,'Base stats'!C:C)/400)^0.252459582904293,3.74314280240376*(_xlfn.XLOOKUP(B414,'Base stats'!B:B,'Base stats'!C:C)/2000)^0.357012633876913)))))),
IF(_xlfn.XLOOKUP(B414,'Base stats'!B:B,'Base stats'!C:C)&lt;0.1,0.05,IF(_xlfn.XLOOKUP(B414,'Base stats'!B:B,'Base stats'!C:C)&lt;=100,0.05,IF(_xlfn.XLOOKUP(B414,'Base stats'!B:B,'Base stats'!C:C)&lt;=250,0.1,IF(_xlfn.XLOOKUP(B414,'Base stats'!B:B,'Base stats'!C:C)&lt;=4000,0.25,0.5)))))</f>
        <v>1.05</v>
      </c>
      <c r="AP414" s="8">
        <f>MROUND(AO414*_xlfn.XLOOKUP(_xlfn.XLOOKUP(B414,'Base stats'!B:B,'Base stats'!E:E),Groups!A:A,Groups!AI:AI)*_xlfn.XLOOKUP(B414,'Base stats'!B:B,'Base stats'!Z:Z),0.05)</f>
        <v>1.05</v>
      </c>
      <c r="AQ414" s="8">
        <f>MAX(0.01,MROUND(IF(CC414="True",0.196*(AO414*100*1000)^0.889,IF(_xlfn.XLOOKUP(_xlfn.XLOOKUP(B414,'Base stats'!B:B,'Base stats'!E:E),Groups!A:A,Groups!AJ:AJ)="Bird",10.5*(AO414*100*1000)^0.681,4.82*(AO414*100*1000)^0.734))/(4.82*(1*100*1000)^0.734)/IF(AO414&lt;3.5,2,IF(AO414=3.5,1.5,1.25))*(1+0.132282374779864/(AO414^0.994035016789033+0.00905238001496948)),0.05))</f>
        <v>0.60000000000000009</v>
      </c>
      <c r="AR414" s="9">
        <f>IFERROR(MROUND(_xlfn.XLOOKUP(B414,'Base stats'!B:B,'Base stats'!H:H)/IF(_xlfn.XLOOKUP(B414,'Base stats'!B:B,'Base stats'!I:I)&lt;&gt;1,(122.5/70),1.2),IF(_xlfn.XLOOKUP(B414,'Base stats'!B:B,'Base stats'!H:H)&gt;=30,5,IF(_xlfn.XLOOKUP(B414,'Base stats'!B:B,'Base stats'!H:H)&gt;=15,3,IF(_xlfn.XLOOKUP(B414,'Base stats'!B:B,'Base stats'!H:H)&gt;=10,2,1)))),"Immortal")</f>
        <v>12</v>
      </c>
      <c r="AS414" s="35">
        <f>IFERROR(IF(OR(_xlfn.XLOOKUP(B414,'Base stats'!B:B,'Base stats'!F:F)="Atypical reproduction",_xlfn.XLOOKUP(B414,'Base stats'!B:B,'Base stats'!F:F)="Lay eggs"),"Lay eggs",MIN(20,MAX(5.5,ROUND(((_xlfn.XLOOKUP(B414,'Base stats'!B:B,'Base stats'!F:F)-25)*(14.5/615) + 5.5)*2,0)/2))),"Unknown")</f>
        <v>8.5</v>
      </c>
      <c r="AT414" s="8">
        <f>IF(_xlfn.XLOOKUP(B414,'Base stats'!B:B,'Base stats'!G:G)="Atypical reproduction","No",IFERROR(MAX(IF(_xlfn.XLOOKUP(B414,'Base stats'!B:B,'Base stats'!G:G)&lt;0.5,0.2,0.3),MROUND(_xlfn.XLOOKUP(B414,'Base stats'!B:B,'Base stats'!G:G)/(365/60),0.2)),"Unknown"))</f>
        <v>0.3</v>
      </c>
      <c r="AU414" s="8">
        <f t="shared" si="50"/>
        <v>0.15000000000000002</v>
      </c>
      <c r="AV414" s="8">
        <f>IFERROR(IFERROR(MROUND(_xlfn.XLOOKUP(B414,'Base stats'!B:B,'Base stats'!J:J),0.1),"Lay eggs"),"Cannot breed")</f>
        <v>3</v>
      </c>
      <c r="AW414" s="2" t="str">
        <f t="shared" si="51"/>
        <v>true</v>
      </c>
      <c r="AX414" s="2" t="str">
        <f>IF(_xlfn.XLOOKUP(_xlfn.XLOOKUP(Animals!B414,'Base stats'!B:B,'Base stats'!E:E),Groups!A:A,Groups!AK:AK)=1,"true","false")</f>
        <v>false</v>
      </c>
      <c r="AY414" s="25" t="str">
        <f>IF(_xlfn.XLOOKUP(B414,'Base stats'!B:B,'Base stats'!Y:Y)="Liquor","Liquor, CarnivoreAnimalStrict",IF(AND(_xlfn.XLOOKUP(B414,'Base stats'!B:B,'Base stats'!Y:Y)="Carnivore",_xlfn.XLOOKUP(_xlfn.XLOOKUP(B414,'Base stats'!B:B,'Base stats'!E:E),Groups!A:A,Groups!AJ:AJ)="Photonozoa"),"CarnivoreAnimalStrict, OvivoreAnimal",IF(_xlfn.XLOOKUP(B414,'Base stats'!B:B,'Base stats'!Y:Y)="Carnivore","CarnivoreAnimal, OvivoreAnimal",IF(_xlfn.XLOOKUP(B414,'Base stats'!B:B,'Base stats'!Y:Y)="Dendrovore","VegetarianRoughAnimal, DendrovoreAnimal",IF(_xlfn.XLOOKUP(B414,'Base stats'!B:B,'Base stats'!Y:Y)="Herbivore","VegetarianRoughAnimal",IF(_xlfn.XLOOKUP(B414,'Base stats'!B:B,'Base stats'!Y:Y)="OmnivoreRough","OmnivoreRoughAnimal, OvivoreAnimal","OmnivoreAnimal, OvivoreAnimal"))))))</f>
        <v>VegetarianRoughAnimal</v>
      </c>
      <c r="AZ414" s="2" t="str">
        <f>IF(_xlfn.XLOOKUP(_xlfn.XLOOKUP(B414,'Base stats'!B:B,'Base stats'!E:E),Groups!A:A,Groups!D:D)=1,MROUND((1-J414)*5+1,2)*IF(J414&lt;=0.4,2,1),"No")</f>
        <v>No</v>
      </c>
      <c r="BA414" s="2" t="str">
        <f>IF(AND(_xlfn.XLOOKUP(B414,'Base stats'!B:B,'Base stats'!AH:AH)="&lt;li&gt;Seal&lt;/li&gt;",G414="Odyssey"),"&lt;li&gt;AEXP_Seal&lt;/li&gt;",_xlfn.XLOOKUP(B414,'Base stats'!B:B,'Base stats'!AH:AH))</f>
        <v>&lt;li&gt;Alphabeaver&lt;/li&gt;</v>
      </c>
      <c r="BB414" s="2" t="str">
        <f>_xlfn.XLOOKUP(B414,'Base stats'!B:B,'Base stats'!AG:AG)</f>
        <v>Leather_Plain</v>
      </c>
      <c r="BC414" s="23" t="str">
        <f>_xlfn.XLOOKUP(_xlfn.XLOOKUP(B414,'Base stats'!B:B,'Base stats'!E:E),Groups!A:A,Groups!AL:AL)</f>
        <v>QuadrupedAnimalWithPawsAndTail</v>
      </c>
      <c r="BD414" s="23">
        <f>MIN(1,MROUND(IF(AND(AO414&lt;0.5,_xlfn.XLOOKUP(B414,'Base stats'!B:B,'Base stats'!AA:AA)=0),0,IF(OR(_xlfn.XLOOKUP(Animals!B414,'Base stats'!B:B,'Base stats'!O:O)=2,_xlfn.XLOOKUP(_xlfn.XLOOKUP(B414,'Base stats'!B:B,'Base stats'!E:E),Groups!A:A,Groups!AN:AN)=0),0,_xlfn.XLOOKUP(_xlfn.XLOOKUP(B414,'Base stats'!B:B,'Base stats'!E:E),Groups!A:A,Groups!AN:AN)/IF(_xlfn.XLOOKUP(Animals!B414,'Base stats'!B:B,'Base stats'!O:O)=1,2,1)))+_xlfn.XLOOKUP(B414,'Base stats'!B:B,'Base stats'!AC:AC),0.005))</f>
        <v>0</v>
      </c>
      <c r="BE414" s="23">
        <f>MIN(1,MROUND(IF(AND(AO414&lt;0.5,_xlfn.XLOOKUP(B414,'Base stats'!B:B,'Base stats'!AA:AA)=0),0,IF(_xlfn.XLOOKUP(_xlfn.XLOOKUP(B414,'Base stats'!B:B,'Base stats'!E:E),Groups!A:A,Groups!AO:AO)=0,0,_xlfn.XLOOKUP(_xlfn.XLOOKUP(B414,'Base stats'!B:B,'Base stats'!E:E),Groups!A:A,Groups!AO:AO)/IF(_xlfn.XLOOKUP(Animals!B414,'Base stats'!B:B,'Base stats'!O:O)=2,3,1)))+_xlfn.XLOOKUP(B414,'Base stats'!B:B,'Base stats'!AD:AD),0.005))</f>
        <v>0</v>
      </c>
      <c r="BF414" s="2" t="str">
        <f>IF(J414&gt;0.3,"No",_xlfn.XLOOKUP(_xlfn.XLOOKUP(Animals!B414,'Base stats'!B:B,'Base stats'!E:E),Groups!A:A,Groups!AP:AP))</f>
        <v>No</v>
      </c>
      <c r="BG414" s="2" t="str">
        <f>IF(AND(J414&lt;=0.65,_xlfn.XLOOKUP(_xlfn.XLOOKUP(Animals!B414,'Base stats'!B:B,'Base stats'!E:E),Groups!A:A,Groups!AP:AP)&lt;&gt;"No",_xlfn.XLOOKUP(_xlfn.XLOOKUP(B414,'Base stats'!B:B,'Base stats'!E:E),Groups!A:A,Groups!D:D)=0),MROUND((80/3)*IF(_xlfn.XLOOKUP(B414,'Base stats'!B:B,'Base stats'!O:O)=2,0.2,AO414) + 24*(1-IF(BF414="No",0,BF414)) + 16/3, 12),"No")</f>
        <v>No</v>
      </c>
      <c r="BH414" s="2">
        <f>IF(AND(_xlfn.XLOOKUP(_xlfn.XLOOKUP(B414,'Base stats'!B:B,'Base stats'!E:E),Groups!A:A,Groups!AQ:AQ)=1,AO414&lt;=0.35),8,12)</f>
        <v>12</v>
      </c>
      <c r="BI414" s="2" t="str">
        <f>IF(_xlfn.XLOOKUP(_xlfn.XLOOKUP(B414,'Base stats'!B:B,'Base stats'!E:E),Groups!A:A,Groups!D:D)=0,_xlfn.XLOOKUP(_xlfn.XLOOKUP(B414,'Base stats'!B:B,'Base stats'!E:E),Groups!A:A,Groups!AR:AR),"None")</f>
        <v>None</v>
      </c>
      <c r="BJ414" s="2" t="str">
        <f>IF(AND(_xlfn.XLOOKUP(_xlfn.XLOOKUP(B414,'Base stats'!B:B,'Base stats'!E:E),Groups!A:A,Groups!AS:AS)=1,OR(_xlfn.XLOOKUP(B414,'Base stats'!B:B,'Base stats'!Y:Y)="Carnivore",_xlfn.XLOOKUP(B414,'Base stats'!B:B,'Base stats'!Y:Y)="Omnivore")),"true","false")</f>
        <v>false</v>
      </c>
      <c r="BK414" s="2" t="str">
        <f>IF(BJ414="true",MROUND(IF(AND(AO414&gt;0.5,OR(_xlfn.XLOOKUP(_xlfn.XLOOKUP(B414,'Base stats'!B:B,'Base stats'!E:E),Groups!A:A,Groups!AJ:AJ)="Photonozoa",_xlfn.XLOOKUP(_xlfn.XLOOKUP(B414,'Base stats'!B:B,'Base stats'!E:E),Groups!A:A,Groups!AJ:AJ)="Mammal")),Animals!AO414*1.75*IF(AW414="true",1.5,1),IF(AO414&lt;0.5,Animals!AO414*0.5,Animals!AO414)),IF(AO414&gt;2,0.5,IF(AO414&gt;0.5,0.25,0.1))),"No")</f>
        <v>No</v>
      </c>
      <c r="BL414" s="2">
        <f t="shared" si="52"/>
        <v>0</v>
      </c>
      <c r="BM414" s="25">
        <f>IF(_xlfn.XLOOKUP(B414,'Base stats'!B:B,'Base stats'!AN:AN)="Standard","No",MROUND((_xlfn.XLOOKUP(B414,'Base stats'!B:B,'Base stats'!AN:AN)/3.6)/I414,0.1))</f>
        <v>1.4000000000000001</v>
      </c>
      <c r="BN414" s="25" t="str">
        <f t="shared" si="53"/>
        <v>true</v>
      </c>
      <c r="BO414" s="25" t="str">
        <f>IF(AND(OR(_xlfn.XLOOKUP(B414,'Base stats'!B:B,'Base stats'!Y:Y)="Carnivore",_xlfn.XLOOKUP(B414,'Base stats'!B:B,'Base stats'!Y:Y)="Omnivore",_xlfn.XLOOKUP(B414,'Base stats'!B:B,'Base stats'!Y:Y)="OmnivoreRough"),_xlfn.XLOOKUP(_xlfn.XLOOKUP(B414,'Base stats'!B:B,'Base stats'!E:E),Groups!A:A,Groups!AT:AT)=1),"true","false")</f>
        <v>false</v>
      </c>
      <c r="BP414" s="25" t="str" cm="1">
        <f t="array" ref="BP414">IF(
  _xlfn.TEXTJOIN(", ",TRUE,
    IF(AND(BJ414="true",AO414&gt;0.5,BI414&lt;&gt;"None"),"AttackTarget",""),
    IF(AND(_xlfn.XLOOKUP(_xlfn.XLOOKUP(B414,'Base stats'!B:B,'Base stats'!E:E),Groups!A:A,Groups!AJ:AJ="Mammal"),OR(_xlfn.XLOOKUP(B414,'Base stats'!B:B,'Base stats'!Y:Y)="Omnivore",_xlfn.XLOOKUP(B414,'Base stats'!B:B,'Base stats'!Y:Y)="OmnivoreRough")),"Forage",""),
    IF(BG414&lt;=36,"Comfort",""),
    IF(_xlfn.XLOOKUP(B414,'Base stats'!B:B,'Base stats'!AE:AE)&lt;&gt;"No",_xlfn.XLOOKUP(B414,'Base stats'!B:B,'Base stats'!AE:AE),"")
  ) = "",
  "No",
  _xlfn.TEXTJOIN(", ",TRUE,
    IF(AND(BJ414="true",AO414&gt;0.5,BI414&lt;&gt;"None"),"AttackTarget",""),
    IF(AND(_xlfn.XLOOKUP(_xlfn.XLOOKUP(B414,'Base stats'!B:B,'Base stats'!E:E),Groups!A:A,Groups!AJ:AJ="Mammal"),OR(_xlfn.XLOOKUP(B414,'Base stats'!B:B,'Base stats'!Y:Y)="Omnivore",_xlfn.XLOOKUP(B414,'Base stats'!B:B,'Base stats'!Y:Y)="OmnivoreRough")),"Forage",""),
    IF(BG414&lt;=36,"Comfort",""),
    IF(_xlfn.XLOOKUP(B414,'Base stats'!B:B,'Base stats'!AE:AE)&lt;&gt;"No",_xlfn.XLOOKUP(B414,'Base stats'!B:B,'Base stats'!AE:AE),"")
  )
)</f>
        <v>No</v>
      </c>
      <c r="BQ414" s="25">
        <f>IF(
   AND(
      'Base stats'!AN414="Standard",_xlfn.XLOOKUP(_xlfn.XLOOKUP(B414,'Base stats'!B:B,'Base stats'!E:E),Groups!A:A,Groups!AU:AU)=0,
      OR(
      BO414="True"
      )
   ),
   10,
   IF(
       OR(BM414&lt;&gt;"No",_xlfn.XLOOKUP(_xlfn.XLOOKUP(B414,'Base stats'!B:B,'Base stats'!E:E),Groups!A:A,Groups!AU:AU)=1),
      1,
      "No"
   )
)</f>
        <v>1</v>
      </c>
      <c r="BR414" s="9">
        <f>MROUND((1 + ((0.2*IF(OR(Q414="No",R414="No",R414=0),0,Q414/R414)
+IF(OR(V414="No",S414="No",T414="No"),0,S414/T414*(LEN(V414)-LEN(SUBSTITUTE(V414,",",""))+1))
+IF(OR(X414="No",Y414="No"),0,X414/Y414)
+IF(OR(AD414="No",AE414="No"),0,AD414/AE414)
+IF(OR(AL414="No",AI414="No",AJ414="No"),0,AI414/AJ414*(LEN(AL414)-LEN(SUBSTITUTE(AL414,",",""))+1))
)/(0.2*IF(OR(Q414="No",R414="No",R414=0),0,1)
+IF(OR(V414="No",S414="No",T414="No"),0,LEN(V414)-LEN(SUBSTITUTE(V414,",",""))+1)
+IF(OR(X414="No",Y414="No"),0,1)
+IF(OR(AD414="No",AE414="No"),0,1)
+IF(OR(AL414="No",AI414="No",AJ414="No"),0,LEN(AL414)-LEN(SUBSTITUTE(AL414,",",""))+1))*62%)* 2)*(1 + (AP414 / (IF(_xlfn.XLOOKUP(_xlfn.XLOOKUP(B414,'Base stats'!B:B,'Base stats'!E:E),Groups!A:A,Groups!AJ:AJ)="Photonozoa",0.3,1)) + _xlfn.XLOOKUP(B414,'Base stats'!B:B,'Base stats'!AV:AV) * 1.8) * 2) * 2.5 + 10 + I414 * 2,5)+IF(_xlfn.XLOOKUP(B414,'Base stats'!B:B,'Base stats'!AK:AK)=1,50,0)</f>
        <v>75</v>
      </c>
      <c r="BS414" s="8">
        <f t="shared" si="54"/>
        <v>0.70000000000000007</v>
      </c>
      <c r="BT414" s="8" t="str">
        <f>_xlfn.XLOOKUP(B414,'Base stats'!B:B,'Base stats'!AF:AF)</f>
        <v>3~8</v>
      </c>
      <c r="BU414" s="2" t="str">
        <f>IF(AND(J414&lt;=0.95,OR(_xlfn.XLOOKUP(B414,'Base stats'!B:B,'Base stats'!AK:AK)=1,_xlfn.XLOOKUP(B414,'Base stats'!B:B,'Base stats'!Y:Y)="Carnivore",_xlfn.XLOOKUP(B414,'Base stats'!B:B,'Base stats'!Y:Y)="Omnivore",BE414&gt;0.1)),"true","false")</f>
        <v>false</v>
      </c>
      <c r="BV414" s="2" t="str">
        <f>IF(_xlfn.XLOOKUP(B414,'Base stats'!B:B,'Base stats'!AI:AI)=1,"true","false")</f>
        <v>false</v>
      </c>
      <c r="BW414" s="25" t="str">
        <f>IF(E414="BaseInsect","AnimalInsect",
IF(J414&gt;0.95,"AnimalExotic",
_xlfn.TEXTJOIN(", ",TRUE,
IF(OR(_xlfn.XLOOKUP(B414,'Base stats'!B:B,'Base stats'!AM:AM)=1,AND(_xlfn.XLOOKUP(B414,'Base stats'!B:B,'Base stats'!O:O)=0,_xlfn.XLOOKUP(_xlfn.XLOOKUP(B414,'Base stats'!B:B,'Base stats'!E:E),Groups!A:A,Groups!B:B)&gt;0)),"AnimalUncommon","AnimalCommon"),
IF(AND(_xlfn.XLOOKUP(B414,'Base stats'!B:B,'Base stats'!O:O)=2,_xlfn.XLOOKUP(_xlfn.XLOOKUP(B414,'Base stats'!B:B,'Base stats'!E:E),Groups!A:A,Groups!D:D)=0),"AnimalPet",IF(AND(_xlfn.XLOOKUP(B414,'Base stats'!B:B,'Base stats'!O:O)&lt;&gt;0,_xlfn.XLOOKUP(_xlfn.XLOOKUP(B414,'Base stats'!B:B,'Base stats'!E:E),Groups!A:A,Groups!D:D)&lt;&gt;0),"AnimalFarm","")),
IF(OR(_xlfn.XLOOKUP(B414,'Base stats'!B:B,'Base stats'!AK:AK)=1,AND(BI414&lt;&gt;"None",BR414&gt;=60),ISNUMBER(SEARCH("Attack target",BP414))),"AnimalFighter","")
)))</f>
        <v>AnimalCommon</v>
      </c>
      <c r="BX414" s="25" t="str">
        <f>IF(G414="None",TRIM(
SUBSTITUTE(
IF(COUNTIF(Biomes!B$2:B$259,"="&amp;$C414)&gt;0,Biomes!B$1&amp;", ","")&amp;
IF(COUNTIF(Biomes!C$2:C$259,"="&amp;$C414)&gt;0,Biomes!C$1&amp;", ","")&amp;
IF(COUNTIF(Biomes!D$2:D$259,"="&amp;$C414)&gt;0,Biomes!D$1&amp;", ","")&amp;
IF(COUNTIF(Biomes!F$2:F$259,"="&amp;$C414)&gt;0,Biomes!F$1&amp;", ","")&amp;
IF(COUNTIF(Biomes!G$2:G$259,"="&amp;$C414)&gt;0,Biomes!G$1&amp;", ","")&amp;
IF(COUNTIF(Biomes!H$2:H$259,"="&amp;$C414)&gt;0,Biomes!H$1&amp;", ","")&amp;
IF(COUNTIF(Biomes!I$2:I$259,"="&amp;$C414)&gt;0,Biomes!I$1&amp;", ","")&amp;
IF(COUNTIF(Biomes!J$2:J$259,"="&amp;$C414)&gt;0,Biomes!J$1&amp;", ","")&amp;
IF(COUNTIF(Biomes!M$2:M$259,"="&amp;$C414)&gt;0,Biomes!M$1&amp;", ","")&amp;
IF(COUNTIF(Biomes!N$2:N$259,"="&amp;$C414)&gt;0,Biomes!N$1&amp;", ","")&amp;
IF(COUNTIF(Biomes!O$2:O$259,"="&amp;$C414)&gt;0,Biomes!O$1&amp;", ","")&amp;
IF(COUNTIF(Biomes!P$2:P$259,"="&amp;$C414)&gt;0,Biomes!P$1&amp;", ","")&amp;
IF(COUNTIF(Biomes!K$2:K$259,"="&amp;$C414)&gt;0,Biomes!K$1&amp;", ","")&amp;
IF(COUNTIF(Biomes!Q$3:Q$259,"="&amp;$C414)&gt;0,Biomes!Q$1&amp;", ","")&amp;
IF(COUNTIF(Biomes!L$2:L$259,"="&amp;$C414)&gt;0,Biomes!L$1&amp;", ","")&amp;
IF(COUNTIF(Biomes!E$2:E$259,"="&amp;$C414)&gt;0,Biomes!E$1&amp;", ","")&amp;IF(COUNTIF(Biomes!S$2:S$259,"="&amp;$C414)&gt;0,Biomes!S$1&amp;", ","")&amp;
IF(COUNTIF(Biomes!R$2:R$259,"="&amp;$C414)&gt;0,Biomes!R$1&amp;", ",""),", ","")
),_xlfn.XLOOKUP(B414,B:B,BX:BX))</f>
        <v/>
      </c>
      <c r="BY414" s="25" t="str">
        <f>IF(_xlfn.XLOOKUP(B414,'Base stats'!B:B,'Base stats'!AJ:AJ)=1,"true","false")</f>
        <v>false</v>
      </c>
      <c r="BZ414" s="25">
        <f>IF(_xlfn.XLOOKUP(B414,'Base stats'!B:B,'Base stats'!N:N)=1,"No",MAX(0.001,MIN(MROUND(IF(AND(BJ414="True",CC414="False"),POWER(10,3.47*LOG10(_xlfn.XLOOKUP(B414,'Base stats'!B:B,'Base stats'!C:C)*1000)^-0.96),POWER(10,4.15*LOG10(_xlfn.XLOOKUP(B414,'Base stats'!B:B,'Base stats'!C:C)*1000)^-0.73))*IF(_xlfn.XLOOKUP(B414,'Base stats'!B:B,'Base stats'!AK:AK)=1,0.5,1)*IF(_xlfn.XLOOKUP(B414,'Base stats'!B:B,'Base stats'!AM:AM)=1,0.1,1)/100,IF(_xlfn.XLOOKUP(B414,'Base stats'!B:B,'Base stats'!AM:AM)=1,0.001,0.025)),0.5)))</f>
        <v>0.2</v>
      </c>
      <c r="CA414" s="25" t="str">
        <f>IF(P414="Standard","No",MAX(0.001,MIN(MROUND(IF(AND(BJ414="True",CC414="False"),POWER(10,3.47*LOG10(_xlfn.XLOOKUP(B414,'Base stats'!B:B,'Base stats'!C:C)*1000)^-0.96),POWER(10,4.15*LOG10(_xlfn.XLOOKUP(B414,'Base stats'!B:B,'Base stats'!C:C)*1000)^-0.73))*IF(_xlfn.XLOOKUP(B414,'Base stats'!B:B,'Base stats'!AM:AM)=1,0.1,1)*_xlfn.XLOOKUP(B414,'Base stats'!B:B,'Base stats'!R:R)/100,IF(_xlfn.XLOOKUP(B414,'Base stats'!B:B,'Base stats'!AM:AM)=1,0.001,0.025)),0.5)))</f>
        <v>No</v>
      </c>
      <c r="CB414" s="25" t="str">
        <f>IF(_xlfn.XLOOKUP(_xlfn.XLOOKUP(B414,'Base stats'!B:B,'Base stats'!E:E),Groups!A:A,Groups!AJ:AJ)="Mammal","True","False")</f>
        <v>True</v>
      </c>
      <c r="CC414" s="25" t="str">
        <f>IF(OR(_xlfn.XLOOKUP(_xlfn.XLOOKUP(B414,'Base stats'!B:B,'Base stats'!E:E),Groups!A:A,Groups!AJ:AJ)="Reptile",_xlfn.XLOOKUP(_xlfn.XLOOKUP(B414,'Base stats'!B:B,'Base stats'!E:E),Groups!A:A,Groups!AJ:AJ)="Amphibian",_xlfn.XLOOKUP(_xlfn.XLOOKUP(B414,'Base stats'!B:B,'Base stats'!E:E),Groups!A:A,Groups!AJ:AJ)="Invertebrate"),"True","False")</f>
        <v>False</v>
      </c>
      <c r="CD414" s="25" t="str">
        <f t="shared" si="55"/>
        <v>False</v>
      </c>
      <c r="CE414" s="25" t="str">
        <f>IF(_xlfn.XLOOKUP(_xlfn.XLOOKUP(B414,'Base stats'!B:B,'Base stats'!E:E),Groups!A:A,Groups!AX:AX),"True","False")</f>
        <v>False</v>
      </c>
      <c r="CF414" s="25" t="str">
        <f>IF(_xlfn.XLOOKUP(_xlfn.XLOOKUP(B414,'Base stats'!B:B,'Base stats'!E:E),Groups!A:A,Groups!AY:AY),"True","False")</f>
        <v>False</v>
      </c>
      <c r="CG414" s="25" t="str">
        <f>IF(_xlfn.XLOOKUP(_xlfn.XLOOKUP(B414,'Base stats'!B:B,'Base stats'!E:E),Groups!A:A,Groups!AW:AW),"True","False")</f>
        <v>False</v>
      </c>
      <c r="CH414" s="25" t="str">
        <f>IF(
OR(
_xlfn.XLOOKUP(_xlfn.XLOOKUP(B414,'Base stats'!B:B,'Base stats'!E:E),Groups!A:A,Groups!AZ:AZ)=0,
AND(
_xlfn.XLOOKUP(B414,'Base stats'!B:B,'Base stats'!Y:Y)&lt;&gt;"Carnivore",
_xlfn.XLOOKUP(B414,'Base stats'!B:B,'Base stats'!Y:Y)&lt;&gt;"Omnivore",
_xlfn.XLOOKUP(B414,'Base stats'!B:B,'Base stats'!Y:Y)&lt;&gt;"OmnivoreRough"
)
),
"No",
IF(
_xlfn.XLOOKUP(_xlfn.XLOOKUP(B414,'Base stats'!B:B,'Base stats'!E:E),Groups!A:A,Groups!AZ:AZ)=1,
"Flesh",
IF(
_xlfn.XLOOKUP(_xlfn.XLOOKUP(B414,'Base stats'!B:B,'Base stats'!E:E),Groups!A:A,Groups!AZ:AZ)=2,
"Bone",
""
)
)
)</f>
        <v>No</v>
      </c>
      <c r="CI414" s="25" t="str">
        <f>IF(_xlfn.XLOOKUP(_xlfn.XLOOKUP(B414,'Base stats'!B:B,'Base stats'!E:E),Groups!A:A,Groups!BB:BB),"True","False")</f>
        <v>True</v>
      </c>
      <c r="CJ414" s="25" t="str">
        <f>IF(_xlfn.XLOOKUP(_xlfn.XLOOKUP(B414,'Base stats'!B:B,'Base stats'!E:E),Groups!A:A,Groups!BA:BA),"True","False")</f>
        <v>False</v>
      </c>
    </row>
    <row r="415" spans="1:88" ht="16.5" thickTop="1" thickBot="1" x14ac:dyDescent="0.3">
      <c r="A415" s="26" t="s">
        <v>2104</v>
      </c>
      <c r="B415" s="6" t="str">
        <f>_xlfn.XLOOKUP(A415,'Base stats'!A:A,'Base stats'!B:B)</f>
        <v xml:space="preserve">Enhydriodon dikikae </v>
      </c>
      <c r="C415" s="28" t="str">
        <f t="shared" si="56"/>
        <v>&lt;li&gt;Enhydriodon&lt;/li&gt;</v>
      </c>
      <c r="D415" s="28" t="s">
        <v>2126</v>
      </c>
      <c r="E415" s="28" t="s">
        <v>673</v>
      </c>
      <c r="F415" s="28" t="s">
        <v>673</v>
      </c>
      <c r="G415" s="28" t="s">
        <v>673</v>
      </c>
      <c r="H415" s="2">
        <f>MROUND((
  (IF(AND(_xlfn.XLOOKUP(B415,'Base stats'!B:B,'Base stats'!AL:AL)=0,BI415="None",_xlfn.XLOOKUP(_xlfn.XLOOKUP(B415,'Base stats'!B:B,'Base stats'!E:E),Groups!A:A,Groups!B:B)=0), (18 + BR415 * 2.7) * 0.5,
    IF(AND(_xlfn.XLOOKUP(B415,'Base stats'!B:B,'Base stats'!AL:AL)=0,OR(AO415&lt;0.55,AND(BI415="Intermediate",_xlfn.XLOOKUP(_xlfn.XLOOKUP(B415,'Base stats'!B:B,'Base stats'!E:E),Groups!A:A,Groups!B:B)&lt;2))), (18 + BR415 * 2.7),
      IF(OR(BI415="Advanced",_xlfn.XLOOKUP(B415,'Base stats'!B:B,'Base stats'!AL:AL)=1,_xlfn.XLOOKUP(_xlfn.XLOOKUP(B415,'Base stats'!B:B,'Base stats'!E:E),Groups!A:A,Groups!B:B)=2), (18 + BR415 * 2.7) + 250, (18 + BR415 * 2.7))
    )
  ))
  + AO415 * 80
  + IF(COUNTIF(EggMilk!K$2:K$998, A415) &gt; 0, 125, 0)
  + IF(COUNTIF(EggMilk!P$2:P$998, A415) &gt; 0, 90, 0)
  + IF(COUNTIF(EggMilk!A$2:A$998, A415) &gt; 0, 90, 0)
)
* (0.8 + 0.4 * J415)
* 0.75,25)</f>
        <v>425</v>
      </c>
      <c r="I415" s="2">
        <f>MROUND(ROUNDDOWN(_xlfn.XLOOKUP(B415,'Base stats'!B:B,'Base stats'!L:L)/3.6/(23.3/11),1),0.5)</f>
        <v>5</v>
      </c>
      <c r="J415" s="2">
        <f>IF(OR(_xlfn.XLOOKUP(B415,'Base stats'!B:B,'Base stats'!AB:AB)=1,_xlfn.XLOOKUP(_xlfn.XLOOKUP(B415,'Base stats'!B:B,'Base stats'!E:E),Groups!A:A,Groups!C:C)="Untamable"),1,IF(_xlfn.XLOOKUP(B415,'Base stats'!B:B,'Base stats'!AL:AL)=1,0.99,MIN(MROUND((1-0.6282*EXP(-0.459*AO415))*_xlfn.XLOOKUP(_xlfn.XLOOKUP(B415,'Base stats'!B:B,'Base stats'!E:E),Groups!A:A,Groups!C:C)*IF(_xlfn.XLOOKUP(B415,'Base stats'!B:B,'Base stats'!O:O)=1,0.5,IF(_xlfn.XLOOKUP(B415,'Base stats'!B:B,'Base stats'!O:O)=2,0,1)),0.05),IF(AO415&gt;3.5,0.985,0.95))))</f>
        <v>0.95</v>
      </c>
      <c r="K415" s="2">
        <f>ROUNDUP(AO415*_xlfn.XLOOKUP(_xlfn.XLOOKUP(B415,'Base stats'!B:B,'Base stats'!E:E),Groups!A:A,Groups!E:E),0)</f>
        <v>2</v>
      </c>
      <c r="L415" s="2">
        <f>IF(OR(_xlfn.XLOOKUP(_xlfn.XLOOKUP(B415,'Base stats'!B:B,'Base stats'!E:E),Groups!A:A,Groups!F:F)=2,ISNUMBER(SEARCH("SeaIce",BX415)),ISNUMBER(SEARCH("IceSheet",BX415))),-50,IF(OR(ISNUMBER(SEARCH("GlacialPlain",BX415)),ISNUMBER(SEARCH("Tundra",BX415))),-40,IF(OR(ISNUMBER(SEARCH("Alpine",BX415)),ISNUMBER(SEARCH("BorealForest",BX415)),ISNUMBER(SEARCH("ColdBog",BX415))),-30,IF(OR(ISNUMBER(SEARCH("TemperateForest",BX415)),ISNUMBER(SEARCH("TemperateSwamp",BX415))),-20,IF(_xlfn.XLOOKUP(_xlfn.XLOOKUP(B415,'Base stats'!B:B,'Base stats'!E:E),Groups!A:A,Groups!F:F)=1,-15,IF(OR(ISNUMBER(SEARCH("Desert",BX415)),ISNUMBER(SEARCH("ExtremeDesert",BX415))),-10,IF(OR(ISNUMBER(SEARCH("Grasslands",BX415)),ISNUMBER(SEARCH("TropicalRainforest",BX415)),ISNUMBER(SEARCH("TropicalSwamp",BX415))),10,0)))))))-IF(CC415="False",MIN(IFERROR(MAX(MROUND(LOG10(_xlfn.XLOOKUP(B415,'Base stats'!B:B,'Base stats'!C:C)^(2/3))*10,5),5),5),30))-_xlfn.XLOOKUP(B415,'Base stats'!B:B,'Base stats'!P:P)+IF(CC415="True",5,0)</f>
        <v>-30</v>
      </c>
      <c r="M415" s="2">
        <f>IF(OR(_xlfn.XLOOKUP(_xlfn.XLOOKUP(B415,'Base stats'!B:B,'Base stats'!E:E),Groups!A:A,Groups!G:G)=2,ISNUMBER(SEARCH("Desert",BX415)),ISNUMBER(SEARCH("ExtremeDesert",BX415)),ISNUMBER(SEARCH("LavaField",BX415))),50,IF(ISNUMBER(SEARCH("Grasslands",BX415)),45,IF(OR(_xlfn.XLOOKUP(_xlfn.XLOOKUP(B415,'Base stats'!B:B,'Base stats'!E:E),Groups!A:A,Groups!G:G)=1,ISNUMBER(SEARCH("TropicalRainforest",BX415)),ISNUMBER(SEARCH("TropicalSwamp",BX415))),40,IF(OR(ISNUMBER(SEARCH("TemperateForest",BX415)),ISNUMBER(SEARCH("TemperateSwamp",BX415))),35,IF(OR(ISNUMBER(SEARCH("Alpine",BX415)),ISNUMBER(SEARCH("BorealForest",BX415)),ISNUMBER(SEARCH("ColdBog",BX415))),30,IF(ISNUMBER(OR(ISNUMBER(SEARCH("GlacialPlain",BX415)),SEARCH("Tundra",BX415))),25,IF(OR(ISNUMBER(SEARCH("SeaIce",BX415)),ISNUMBER(SEARCH("IceSheet",BX415)),ISNUMBER(SEARCH("TropicalSwamp",BX415))),10,35)))))))+_xlfn.XLOOKUP(B415,'Base stats'!B:B,'Base stats'!Q:Q)</f>
        <v>35</v>
      </c>
      <c r="N415" s="8" t="str">
        <f>IF(
_xlfn.XLOOKUP(
_xlfn.XLOOKUP(B415,'Base stats'!B:B,'Base stats'!E:E),
Groups!A:A,
Groups!L:L
)=1,
MIN(
MROUND(
IF(
_xlfn.XLOOKUP(B415,'Animals CE'!B:B,'Animals CE'!Z:Z)&lt;=1.5,
_xlfn.XLOOKUP(B415,'Animals CE'!B:B,'Animals CE'!Z:Z)/2+0.05,
0.8+
(_xlfn.XLOOKUP(B415,'Animals CE'!B:B,'Animals CE'!Z:Z)-1.5)
*0.02
),
0.05
),
200%
),
"No"
)</f>
        <v>No</v>
      </c>
      <c r="O415" s="8" t="str">
        <f>IF(
_xlfn.XLOOKUP(
_xlfn.XLOOKUP(B415,'Base stats'!B:B,'Base stats'!E:E),
Groups!A:A,
Groups!L:L
)=1,
MIN(
MROUND(
IF(
_xlfn.XLOOKUP(B415,'Animals CE'!B:B,'Animals CE'!AA:AA)&lt;=1.5,
_xlfn.XLOOKUP(B415,'Animals CE'!B:B,'Animals CE'!AA:AA)/2+0.05,
0.8+
(_xlfn.XLOOKUP(B415,'Animals CE'!B:B,'Animals CE'!AA:AA)-1.5)
*0.02
),
0.05
),
200%
),
"No"
)</f>
        <v>No</v>
      </c>
      <c r="P415" s="2" t="str">
        <f>_xlfn.XLOOKUP(B415,'Base stats'!B:B,'Base stats'!R:R)</f>
        <v>Standard</v>
      </c>
      <c r="Q415" s="13">
        <f>MROUND((LOG10(_xlfn.XLOOKUP(B415,'Base stats'!B:B,'Base stats'!AR:AR))*(AO415^0.5)+(_xlfn.XLOOKUP(B415,'Base stats'!B:B,'Base stats'!AR:AR)/1000)^(2/3)+_xlfn.XLOOKUP(B415,'Base stats'!B:B,'Base stats'!BA:BA)/2)+0.5,0.5)</f>
        <v>8.5</v>
      </c>
      <c r="R415" s="7">
        <f>IF(Q415="No","No",MAX(1,MROUND(_xlfn.XLOOKUP(B415,'Base stats'!B:B,'Base stats'!C:C)^0.165,0.05)))</f>
        <v>2.15</v>
      </c>
      <c r="S415" s="13" t="str">
        <f>IF(_xlfn.XLOOKUP(_xlfn.XLOOKUP(B415,'Base stats'!B:B,'Base stats'!E:E),Groups!A:A,Groups!P:P)=0,"No",MROUND((LOG10(_xlfn.XLOOKUP(B415,'Base stats'!B:B,'Base stats'!AS:AS))*(AO415^0.5)+(_xlfn.XLOOKUP(B415,'Base stats'!B:B,'Base stats'!AS:AS)/1000)^(2/3)+_xlfn.XLOOKUP(B415,'Base stats'!B:B,'Base stats'!BA:BA))+_xlfn.XLOOKUP(B415,'Base stats'!B:B,'Base stats'!AY:AY)+0.5,0.5))</f>
        <v>No</v>
      </c>
      <c r="T415" s="7" t="str">
        <f>IF(S415="No","No",MAX(_xlfn.XLOOKUP(_xlfn.XLOOKUP(B415,'Base stats'!B:B,'Base stats'!E:E),Groups!A:A,Groups!Q:Q),MROUND(_xlfn.XLOOKUP(_xlfn.XLOOKUP(B415,'Base stats'!B:B,'Base stats'!E:E),Groups!A:A,Groups!Q:Q)*_xlfn.XLOOKUP(B415,'Base stats'!B:B,'Base stats'!C:C)^0.165,0.05)))</f>
        <v>No</v>
      </c>
      <c r="U415" s="7" t="str">
        <f>IF(S415="No","No",_xlfn.XLOOKUP(_xlfn.XLOOKUP(B415,'Base stats'!B:B,'Base stats'!E:E),Groups!A:A,Groups!R:R))</f>
        <v>No</v>
      </c>
      <c r="V415" s="7" t="str">
        <f>IF(S415="No","No",_xlfn.XLOOKUP(_xlfn.XLOOKUP(B415,'Base stats'!B:B,'Base stats'!E:E),Groups!A:A,Groups!S:S))</f>
        <v>No</v>
      </c>
      <c r="W415" s="7" t="str">
        <f>IF(S415="No","No",_xlfn.XLOOKUP(_xlfn.XLOOKUP(B415,'Base stats'!B:B,'Base stats'!E:E),Groups!A:A,Groups!T:T))</f>
        <v>No</v>
      </c>
      <c r="X415" s="13" t="str">
        <f>IF(_xlfn.XLOOKUP(B415,'Base stats'!B:B,'Base stats'!W:W)="No","No",MROUND((LOG10(_xlfn.XLOOKUP(B415,'Base stats'!B:B,'Base stats'!AU:AU))*(AO415^0.5)+(_xlfn.XLOOKUP(B415,'Base stats'!B:B,'Base stats'!AU:AU)/1000)^(2/3)+_xlfn.XLOOKUP(B415,'Base stats'!B:B,'Base stats'!AZ:AZ))+0.5+IF(_xlfn.XLOOKUP(_xlfn.XLOOKUP(B415,'Base stats'!B:B,'Base stats'!E:E),Groups!A:A,Groups!U:U)&lt;&gt;3,_xlfn.XLOOKUP(B415,'Base stats'!B:B,'Base stats'!BA:BA),0),0.5))</f>
        <v>No</v>
      </c>
      <c r="Y415" s="7" t="str">
        <f>IF(X415="No","No",MAX(_xlfn.XLOOKUP(_xlfn.XLOOKUP(B415,'Base stats'!B:B,'Base stats'!E:E),Groups!A:A,Groups!V:V),MROUND(_xlfn.XLOOKUP(_xlfn.XLOOKUP(B415,'Base stats'!B:B,'Base stats'!E:E),Groups!A:A,Groups!V:V)*_xlfn.XLOOKUP(B415,'Base stats'!B:B,'Base stats'!C:C)^0.165,0.05)))</f>
        <v>No</v>
      </c>
      <c r="Z415" s="7" t="str">
        <f>IF(X415="No","No",_xlfn.XLOOKUP(_xlfn.XLOOKUP(B415,'Base stats'!B:B,'Base stats'!E:E),Groups!A:A,Groups!W:W))</f>
        <v>No</v>
      </c>
      <c r="AA415" s="7" t="str">
        <f>IF(X415="No","No",_xlfn.XLOOKUP(_xlfn.XLOOKUP(B415,'Base stats'!B:B,'Base stats'!E:E),Groups!A:A,Groups!X:X))</f>
        <v>No</v>
      </c>
      <c r="AB415" s="7" t="str">
        <f>IF(X415="No","No",_xlfn.XLOOKUP(_xlfn.XLOOKUP(B415,'Base stats'!B:B,'Base stats'!E:E),Groups!A:A,Groups!Y:Y))</f>
        <v>No</v>
      </c>
      <c r="AC415" s="7" t="str">
        <f>_xlfn.XLOOKUP(Animals!B415,'Base stats'!B:B,'Base stats'!X:X)</f>
        <v>False</v>
      </c>
      <c r="AD415" s="13">
        <f>IF(_xlfn.XLOOKUP(B415,'Base stats'!B:B,'Base stats'!AT:AT)="No","No",MROUND((LOG10(_xlfn.XLOOKUP(B415,'Base stats'!B:B,'Base stats'!AT:AT))*(AO415^0.75)+(_xlfn.XLOOKUP(B415,'Base stats'!B:B,'Base stats'!AT:AT)/1000)^(2/3)+_xlfn.XLOOKUP(B415,'Base stats'!B:B,'Base stats'!AX:AX)+_xlfn.XLOOKUP(B415,'Base stats'!B:B,'Base stats'!BA:BA))+0.5,0.5))</f>
        <v>14</v>
      </c>
      <c r="AE415" s="7">
        <f>IF(AD415="No","No",MAX(_xlfn.XLOOKUP(_xlfn.XLOOKUP(B415,'Base stats'!B:B,'Base stats'!E:E),Groups!A:A,Groups!Z:Z),MROUND(_xlfn.XLOOKUP(_xlfn.XLOOKUP(B415,'Base stats'!B:B,'Base stats'!E:E),Groups!A:A,Groups!Z:Z)*_xlfn.XLOOKUP(B415,'Base stats'!B:B,'Base stats'!C:C)^0.165,0.05)))</f>
        <v>1.7000000000000002</v>
      </c>
      <c r="AF415" s="7" t="str">
        <f>IF(AD415="No","No",_xlfn.XLOOKUP(_xlfn.XLOOKUP(B415,'Base stats'!B:B,'Base stats'!E:E),Groups!A:A,Groups!AA:AA))</f>
        <v>Teeth</v>
      </c>
      <c r="AG415" s="7" t="str">
        <f>IF(AD415="No","No",_xlfn.XLOOKUP(_xlfn.XLOOKUP(B415,'Base stats'!B:B,'Base stats'!E:E),Groups!A:A,Groups!AB:AB))</f>
        <v>canines</v>
      </c>
      <c r="AH415" s="7" t="str">
        <f>IF(AD415="No","No",_xlfn.XLOOKUP(_xlfn.XLOOKUP(B415,'Base stats'!B:B,'Base stats'!E:E),Groups!A:A,Groups!AC:AC))</f>
        <v>Bite</v>
      </c>
      <c r="AI415" s="13">
        <f>IF(_xlfn.XLOOKUP(_xlfn.XLOOKUP(B415,'Base stats'!B:B,'Base stats'!E:E),Groups!A:A,Groups!AD:AD)=0,"No",MROUND((LOG10(_xlfn.XLOOKUP(B415,'Base stats'!B:B,'Base stats'!AS:AS))*(AO415^0.75)+(_xlfn.XLOOKUP(B415,'Base stats'!B:B,'Base stats'!AS:AS)/1000)^(2/3)+_xlfn.XLOOKUP(B415,'Base stats'!B:B,'Base stats'!AY:AY)+_xlfn.XLOOKUP(B415,'Base stats'!B:B,'Base stats'!BA:BA))+0.5,0.5))</f>
        <v>11.5</v>
      </c>
      <c r="AJ415" s="7">
        <f>IF(AI415="No","No",MAX(_xlfn.XLOOKUP(_xlfn.XLOOKUP(B415,'Base stats'!B:B,'Base stats'!E:E),Groups!A:A,Groups!AE:AE),MROUND(_xlfn.XLOOKUP(_xlfn.XLOOKUP(B415,'Base stats'!B:B,'Base stats'!E:E),Groups!A:A,Groups!AE:AE)*IF(_xlfn.XLOOKUP(_xlfn.XLOOKUP(B415,'Base stats'!B:B,'Base stats'!E:E),Groups!A:A,Groups!AJ:AJ)="Photonozoa",0.6,1)*_xlfn.XLOOKUP(B415,'Base stats'!B:B,'Base stats'!C:C)^0.165,0.05)))</f>
        <v>1.4000000000000001</v>
      </c>
      <c r="AK415" s="7" t="str">
        <f>IF(AI415="No","No",_xlfn.XLOOKUP(_xlfn.XLOOKUP(B415,'Base stats'!B:B,'Base stats'!E:E),Groups!A:A,Groups!AF:AF))</f>
        <v>FrontLeftPaw, FrontRightPaw</v>
      </c>
      <c r="AL415" s="7" t="str">
        <f>IF(AI415="No","No",_xlfn.XLOOKUP(_xlfn.XLOOKUP(B415,'Base stats'!B:B,'Base stats'!E:E),Groups!A:A,Groups!AG:AG))</f>
        <v>left claw, right claw</v>
      </c>
      <c r="AM415" s="7" t="str">
        <f>IF(AI415="No","No",_xlfn.XLOOKUP(_xlfn.XLOOKUP(B415,'Base stats'!B:B,'Base stats'!E:E),Groups!A:A,Groups!AH:AH))</f>
        <v>Scratch</v>
      </c>
      <c r="AN415" s="2">
        <f t="shared" si="49"/>
        <v>20</v>
      </c>
      <c r="AO415" s="2">
        <f>MROUND(IF(AND(_xlfn.XLOOKUP(B415,'Base stats'!B:B,'Base stats'!C:C)&gt;=0.5,_xlfn.XLOOKUP(B415,'Base stats'!B:B,'Base stats'!C:C)&lt;=0.8),
IF(_xlfn.XLOOKUP(B415,'Base stats'!B:B,'Base stats'!C:C)&lt;0.1,0.05,IF(_xlfn.XLOOKUP(B415,'Base stats'!B:B,'Base stats'!C:C)&lt;=70,(_xlfn.XLOOKUP(B415,'Base stats'!B:B,'Base stats'!C:C)/70)^0.426489913056526,IF(_xlfn.XLOOKUP(B415,'Base stats'!B:B,'Base stats'!C:C)&lt;=400,(_xlfn.XLOOKUP(B415,'Base stats'!B:B,'Base stats'!C:C)/70)^0.572811455315093,IF(_xlfn.XLOOKUP(B415,'Base stats'!B:B,'Base stats'!C:C)&lt;=2000,2.71391647193063*(_xlfn.XLOOKUP(B415,'Base stats'!B:B,'Base stats'!C:C)/400)^0.252459582904293,3.74314280240376*(_xlfn.XLOOKUP(B415,'Base stats'!B:B,'Base stats'!C:C)/2000)^0.357012633876913)))),
IF(_xlfn.XLOOKUP(B415,'Base stats'!B:B,'Base stats'!C:C)&lt;0.1,0.05,IF(_xlfn.XLOOKUP(B415,'Base stats'!B:B,'Base stats'!C:C)&lt;0.4,0.1,IF(_xlfn.XLOOKUP(B415,'Base stats'!B:B,'Base stats'!C:C)&lt;=70,(_xlfn.XLOOKUP(B415,'Base stats'!B:B,'Base stats'!C:C)/70)^0.445823913056526,IF(_xlfn.XLOOKUP(B415,'Base stats'!B:B,'Base stats'!C:C)&lt;=400,(_xlfn.XLOOKUP(B415,'Base stats'!B:B,'Base stats'!C:C)/70)^0.572811455315093,IF(_xlfn.XLOOKUP(B415,'Base stats'!B:B,'Base stats'!C:C)&lt;=2000,2.71391647193063*(_xlfn.XLOOKUP(B415,'Base stats'!B:B,'Base stats'!C:C)/400)^0.252459582904293,3.74314280240376*(_xlfn.XLOOKUP(B415,'Base stats'!B:B,'Base stats'!C:C)/2000)^0.357012633876913)))))),
IF(_xlfn.XLOOKUP(B415,'Base stats'!B:B,'Base stats'!C:C)&lt;0.1,0.05,IF(_xlfn.XLOOKUP(B415,'Base stats'!B:B,'Base stats'!C:C)&lt;=100,0.05,IF(_xlfn.XLOOKUP(B415,'Base stats'!B:B,'Base stats'!C:C)&lt;=250,0.1,IF(_xlfn.XLOOKUP(B415,'Base stats'!B:B,'Base stats'!C:C)&lt;=4000,0.25,0.5)))))</f>
        <v>1.25</v>
      </c>
      <c r="AP415" s="8">
        <f>MROUND(AO415*_xlfn.XLOOKUP(_xlfn.XLOOKUP(B415,'Base stats'!B:B,'Base stats'!E:E),Groups!A:A,Groups!AI:AI)*_xlfn.XLOOKUP(B415,'Base stats'!B:B,'Base stats'!Z:Z),0.05)</f>
        <v>1.5</v>
      </c>
      <c r="AQ415" s="8">
        <f>MAX(0.01,MROUND(IF(CC415="True",0.196*(AO415*100*1000)^0.889,IF(_xlfn.XLOOKUP(_xlfn.XLOOKUP(B415,'Base stats'!B:B,'Base stats'!E:E),Groups!A:A,Groups!AJ:AJ)="Bird",10.5*(AO415*100*1000)^0.681,4.82*(AO415*100*1000)^0.734))/(4.82*(1*100*1000)^0.734)/IF(AO415&lt;3.5,2,IF(AO415=3.5,1.5,1.25))*(1+0.132282374779864/(AO415^0.994035016789033+0.00905238001496948)),0.05))</f>
        <v>0.65</v>
      </c>
      <c r="AR415" s="9">
        <f>IFERROR(MROUND(_xlfn.XLOOKUP(B415,'Base stats'!B:B,'Base stats'!H:H)/IF(_xlfn.XLOOKUP(B415,'Base stats'!B:B,'Base stats'!I:I)&lt;&gt;1,(122.5/70),1.2),IF(_xlfn.XLOOKUP(B415,'Base stats'!B:B,'Base stats'!H:H)&gt;=30,5,IF(_xlfn.XLOOKUP(B415,'Base stats'!B:B,'Base stats'!H:H)&gt;=15,3,IF(_xlfn.XLOOKUP(B415,'Base stats'!B:B,'Base stats'!H:H)&gt;=10,2,1)))),"Immortal")</f>
        <v>12</v>
      </c>
      <c r="AS415" s="35">
        <f>IFERROR(IF(OR(_xlfn.XLOOKUP(B415,'Base stats'!B:B,'Base stats'!F:F)="Atypical reproduction",_xlfn.XLOOKUP(B415,'Base stats'!B:B,'Base stats'!F:F)="Lay eggs"),"Lay eggs",MIN(20,MAX(5.5,ROUND(((_xlfn.XLOOKUP(B415,'Base stats'!B:B,'Base stats'!F:F)-25)*(14.5/615) + 5.5)*2,0)/2))),"Unknown")</f>
        <v>7.5</v>
      </c>
      <c r="AT415" s="8">
        <f>IF(_xlfn.XLOOKUP(B415,'Base stats'!B:B,'Base stats'!G:G)="Atypical reproduction","No",IFERROR(MAX(IF(_xlfn.XLOOKUP(B415,'Base stats'!B:B,'Base stats'!G:G)&lt;0.5,0.2,0.3),MROUND(_xlfn.XLOOKUP(B415,'Base stats'!B:B,'Base stats'!G:G)/(365/60),0.2)),"Unknown"))</f>
        <v>0.4</v>
      </c>
      <c r="AU415" s="8">
        <f t="shared" si="50"/>
        <v>0.2</v>
      </c>
      <c r="AV415" s="8">
        <f>IFERROR(IFERROR(MROUND(_xlfn.XLOOKUP(B415,'Base stats'!B:B,'Base stats'!J:J),0.1),"Lay eggs"),"Cannot breed")</f>
        <v>2</v>
      </c>
      <c r="AW415" s="2" t="str">
        <f t="shared" si="51"/>
        <v>false</v>
      </c>
      <c r="AX415" s="2" t="str">
        <f>IF(_xlfn.XLOOKUP(_xlfn.XLOOKUP(Animals!B415,'Base stats'!B:B,'Base stats'!E:E),Groups!A:A,Groups!AK:AK)=1,"true","false")</f>
        <v>false</v>
      </c>
      <c r="AY415" s="25" t="str">
        <f>IF(_xlfn.XLOOKUP(B415,'Base stats'!B:B,'Base stats'!Y:Y)="Liquor","Liquor, CarnivoreAnimalStrict",IF(AND(_xlfn.XLOOKUP(B415,'Base stats'!B:B,'Base stats'!Y:Y)="Carnivore",_xlfn.XLOOKUP(_xlfn.XLOOKUP(B415,'Base stats'!B:B,'Base stats'!E:E),Groups!A:A,Groups!AJ:AJ)="Photonozoa"),"CarnivoreAnimalStrict, OvivoreAnimal",IF(_xlfn.XLOOKUP(B415,'Base stats'!B:B,'Base stats'!Y:Y)="Carnivore","CarnivoreAnimal, OvivoreAnimal",IF(_xlfn.XLOOKUP(B415,'Base stats'!B:B,'Base stats'!Y:Y)="Dendrovore","VegetarianRoughAnimal, DendrovoreAnimal",IF(_xlfn.XLOOKUP(B415,'Base stats'!B:B,'Base stats'!Y:Y)="Herbivore","VegetarianRoughAnimal",IF(_xlfn.XLOOKUP(B415,'Base stats'!B:B,'Base stats'!Y:Y)="OmnivoreRough","OmnivoreRoughAnimal, OvivoreAnimal","OmnivoreAnimal, OvivoreAnimal"))))))</f>
        <v>CarnivoreAnimal, OvivoreAnimal</v>
      </c>
      <c r="AZ415" s="2" t="str">
        <f>IF(_xlfn.XLOOKUP(_xlfn.XLOOKUP(B415,'Base stats'!B:B,'Base stats'!E:E),Groups!A:A,Groups!D:D)=1,MROUND((1-J415)*5+1,2)*IF(J415&lt;=0.4,2,1),"No")</f>
        <v>No</v>
      </c>
      <c r="BA415" s="2" t="str">
        <f>IF(AND(_xlfn.XLOOKUP(B415,'Base stats'!B:B,'Base stats'!AH:AH)="&lt;li&gt;Seal&lt;/li&gt;",G415="Odyssey"),"&lt;li&gt;AEXP_Seal&lt;/li&gt;",_xlfn.XLOOKUP(B415,'Base stats'!B:B,'Base stats'!AH:AH))</f>
        <v>No</v>
      </c>
      <c r="BB415" s="2" t="str">
        <f>_xlfn.XLOOKUP(B415,'Base stats'!B:B,'Base stats'!AG:AG)</f>
        <v>Leather_Plain</v>
      </c>
      <c r="BC415" s="23" t="str">
        <f>_xlfn.XLOOKUP(_xlfn.XLOOKUP(B415,'Base stats'!B:B,'Base stats'!E:E),Groups!A:A,Groups!AL:AL)</f>
        <v>QuadrupedAnimalWithPawsAndTail</v>
      </c>
      <c r="BD415" s="23">
        <f>MIN(1,MROUND(IF(AND(AO415&lt;0.5,_xlfn.XLOOKUP(B415,'Base stats'!B:B,'Base stats'!AA:AA)=0),0,IF(OR(_xlfn.XLOOKUP(Animals!B415,'Base stats'!B:B,'Base stats'!O:O)=2,_xlfn.XLOOKUP(_xlfn.XLOOKUP(B415,'Base stats'!B:B,'Base stats'!E:E),Groups!A:A,Groups!AN:AN)=0),0,_xlfn.XLOOKUP(_xlfn.XLOOKUP(B415,'Base stats'!B:B,'Base stats'!E:E),Groups!A:A,Groups!AN:AN)/IF(_xlfn.XLOOKUP(Animals!B415,'Base stats'!B:B,'Base stats'!O:O)=1,2,1)))+_xlfn.XLOOKUP(B415,'Base stats'!B:B,'Base stats'!AC:AC),0.005))</f>
        <v>0.1</v>
      </c>
      <c r="BE415" s="23">
        <f>MIN(1,MROUND(IF(AND(AO415&lt;0.5,_xlfn.XLOOKUP(B415,'Base stats'!B:B,'Base stats'!AA:AA)=0),0,IF(_xlfn.XLOOKUP(_xlfn.XLOOKUP(B415,'Base stats'!B:B,'Base stats'!E:E),Groups!A:A,Groups!AO:AO)=0,0,_xlfn.XLOOKUP(_xlfn.XLOOKUP(B415,'Base stats'!B:B,'Base stats'!E:E),Groups!A:A,Groups!AO:AO)/IF(_xlfn.XLOOKUP(Animals!B415,'Base stats'!B:B,'Base stats'!O:O)=2,3,1)))+_xlfn.XLOOKUP(B415,'Base stats'!B:B,'Base stats'!AD:AD),0.005))</f>
        <v>0.3</v>
      </c>
      <c r="BF415" s="2" t="str">
        <f>IF(J415&gt;0.3,"No",_xlfn.XLOOKUP(_xlfn.XLOOKUP(Animals!B415,'Base stats'!B:B,'Base stats'!E:E),Groups!A:A,Groups!AP:AP))</f>
        <v>No</v>
      </c>
      <c r="BG415" s="2" t="str">
        <f>IF(AND(J415&lt;=0.65,_xlfn.XLOOKUP(_xlfn.XLOOKUP(Animals!B415,'Base stats'!B:B,'Base stats'!E:E),Groups!A:A,Groups!AP:AP)&lt;&gt;"No",_xlfn.XLOOKUP(_xlfn.XLOOKUP(B415,'Base stats'!B:B,'Base stats'!E:E),Groups!A:A,Groups!D:D)=0),MROUND((80/3)*IF(_xlfn.XLOOKUP(B415,'Base stats'!B:B,'Base stats'!O:O)=2,0.2,AO415) + 24*(1-IF(BF415="No",0,BF415)) + 16/3, 12),"No")</f>
        <v>No</v>
      </c>
      <c r="BH415" s="2">
        <f>IF(AND(_xlfn.XLOOKUP(_xlfn.XLOOKUP(B415,'Base stats'!B:B,'Base stats'!E:E),Groups!A:A,Groups!AQ:AQ)=1,AO415&lt;=0.35),8,12)</f>
        <v>12</v>
      </c>
      <c r="BI415" s="2" t="str">
        <f>IF(_xlfn.XLOOKUP(_xlfn.XLOOKUP(B415,'Base stats'!B:B,'Base stats'!E:E),Groups!A:A,Groups!D:D)=0,_xlfn.XLOOKUP(_xlfn.XLOOKUP(B415,'Base stats'!B:B,'Base stats'!E:E),Groups!A:A,Groups!AR:AR),"None")</f>
        <v>Intermediate</v>
      </c>
      <c r="BJ415" s="2" t="str">
        <f>IF(AND(_xlfn.XLOOKUP(_xlfn.XLOOKUP(B415,'Base stats'!B:B,'Base stats'!E:E),Groups!A:A,Groups!AS:AS)=1,OR(_xlfn.XLOOKUP(B415,'Base stats'!B:B,'Base stats'!Y:Y)="Carnivore",_xlfn.XLOOKUP(B415,'Base stats'!B:B,'Base stats'!Y:Y)="Omnivore")),"true","false")</f>
        <v>true</v>
      </c>
      <c r="BK415" s="2">
        <f>IF(BJ415="true",MROUND(IF(AND(AO415&gt;0.5,OR(_xlfn.XLOOKUP(_xlfn.XLOOKUP(B415,'Base stats'!B:B,'Base stats'!E:E),Groups!A:A,Groups!AJ:AJ)="Photonozoa",_xlfn.XLOOKUP(_xlfn.XLOOKUP(B415,'Base stats'!B:B,'Base stats'!E:E),Groups!A:A,Groups!AJ:AJ)="Mammal")),Animals!AO415*1.75*IF(AW415="true",1.5,1),IF(AO415&lt;0.5,Animals!AO415*0.5,Animals!AO415)),IF(AO415&gt;2,0.5,IF(AO415&gt;0.5,0.25,0.1))),"No")</f>
        <v>2.25</v>
      </c>
      <c r="BL415" s="2">
        <f t="shared" si="52"/>
        <v>1</v>
      </c>
      <c r="BM415" s="25">
        <f>IF(_xlfn.XLOOKUP(B415,'Base stats'!B:B,'Base stats'!AN:AN)="Standard","No",MROUND((_xlfn.XLOOKUP(B415,'Base stats'!B:B,'Base stats'!AN:AN)/3.6)/I415,0.1))</f>
        <v>0.70000000000000007</v>
      </c>
      <c r="BN415" s="25" t="str">
        <f t="shared" si="53"/>
        <v>true</v>
      </c>
      <c r="BO415" s="25" t="str">
        <f>IF(AND(OR(_xlfn.XLOOKUP(B415,'Base stats'!B:B,'Base stats'!Y:Y)="Carnivore",_xlfn.XLOOKUP(B415,'Base stats'!B:B,'Base stats'!Y:Y)="Omnivore",_xlfn.XLOOKUP(B415,'Base stats'!B:B,'Base stats'!Y:Y)="OmnivoreRough"),_xlfn.XLOOKUP(_xlfn.XLOOKUP(B415,'Base stats'!B:B,'Base stats'!E:E),Groups!A:A,Groups!AT:AT)=1),"true","false")</f>
        <v>true</v>
      </c>
      <c r="BP415" s="25" t="str" cm="1">
        <f t="array" ref="BP415">IF(
  _xlfn.TEXTJOIN(", ",TRUE,
    IF(AND(BJ415="true",AO415&gt;0.5,BI415&lt;&gt;"None"),"AttackTarget",""),
    IF(AND(_xlfn.XLOOKUP(_xlfn.XLOOKUP(B415,'Base stats'!B:B,'Base stats'!E:E),Groups!A:A,Groups!AJ:AJ="Mammal"),OR(_xlfn.XLOOKUP(B415,'Base stats'!B:B,'Base stats'!Y:Y)="Omnivore",_xlfn.XLOOKUP(B415,'Base stats'!B:B,'Base stats'!Y:Y)="OmnivoreRough")),"Forage",""),
    IF(BG415&lt;=36,"Comfort",""),
    IF(_xlfn.XLOOKUP(B415,'Base stats'!B:B,'Base stats'!AE:AE)&lt;&gt;"No",_xlfn.XLOOKUP(B415,'Base stats'!B:B,'Base stats'!AE:AE),"")
  ) = "",
  "No",
  _xlfn.TEXTJOIN(", ",TRUE,
    IF(AND(BJ415="true",AO415&gt;0.5,BI415&lt;&gt;"None"),"AttackTarget",""),
    IF(AND(_xlfn.XLOOKUP(_xlfn.XLOOKUP(B415,'Base stats'!B:B,'Base stats'!E:E),Groups!A:A,Groups!AJ:AJ="Mammal"),OR(_xlfn.XLOOKUP(B415,'Base stats'!B:B,'Base stats'!Y:Y)="Omnivore",_xlfn.XLOOKUP(B415,'Base stats'!B:B,'Base stats'!Y:Y)="OmnivoreRough")),"Forage",""),
    IF(BG415&lt;=36,"Comfort",""),
    IF(_xlfn.XLOOKUP(B415,'Base stats'!B:B,'Base stats'!AE:AE)&lt;&gt;"No",_xlfn.XLOOKUP(B415,'Base stats'!B:B,'Base stats'!AE:AE),"")
  )
)</f>
        <v>AttackTarget</v>
      </c>
      <c r="BQ415" s="25">
        <f>IF(
   AND(
      'Base stats'!AN415="Standard",_xlfn.XLOOKUP(_xlfn.XLOOKUP(B415,'Base stats'!B:B,'Base stats'!E:E),Groups!A:A,Groups!AU:AU)=0,
      OR(
      BO415="True"
      )
   ),
   10,
   IF(
       OR(BM415&lt;&gt;"No",_xlfn.XLOOKUP(_xlfn.XLOOKUP(B415,'Base stats'!B:B,'Base stats'!E:E),Groups!A:A,Groups!AU:AU)=1),
      1,
      "No"
   )
)</f>
        <v>1</v>
      </c>
      <c r="BR415" s="9">
        <f>MROUND((1 + ((0.2*IF(OR(Q415="No",R415="No",R415=0),0,Q415/R415)
+IF(OR(V415="No",S415="No",T415="No"),0,S415/T415*(LEN(V415)-LEN(SUBSTITUTE(V415,",",""))+1))
+IF(OR(X415="No",Y415="No"),0,X415/Y415)
+IF(OR(AD415="No",AE415="No"),0,AD415/AE415)
+IF(OR(AL415="No",AI415="No",AJ415="No"),0,AI415/AJ415*(LEN(AL415)-LEN(SUBSTITUTE(AL415,",",""))+1))
)/(0.2*IF(OR(Q415="No",R415="No",R415=0),0,1)
+IF(OR(V415="No",S415="No",T415="No"),0,LEN(V415)-LEN(SUBSTITUTE(V415,",",""))+1)
+IF(OR(X415="No",Y415="No"),0,1)
+IF(OR(AD415="No",AE415="No"),0,1)
+IF(OR(AL415="No",AI415="No",AJ415="No"),0,LEN(AL415)-LEN(SUBSTITUTE(AL415,",",""))+1))*62%)* 2)*(1 + (AP415 / (IF(_xlfn.XLOOKUP(_xlfn.XLOOKUP(B415,'Base stats'!B:B,'Base stats'!E:E),Groups!A:A,Groups!AJ:AJ)="Photonozoa",0.3,1)) + _xlfn.XLOOKUP(B415,'Base stats'!B:B,'Base stats'!AV:AV) * 1.8) * 2) * 2.5 + 10 + I415 * 2,5)+IF(_xlfn.XLOOKUP(B415,'Base stats'!B:B,'Base stats'!AK:AK)=1,50,0)</f>
        <v>130</v>
      </c>
      <c r="BS415" s="8">
        <f t="shared" si="54"/>
        <v>0.75</v>
      </c>
      <c r="BT415" s="8" t="str">
        <f>_xlfn.XLOOKUP(B415,'Base stats'!B:B,'Base stats'!AF:AF)</f>
        <v>No</v>
      </c>
      <c r="BU415" s="2" t="str">
        <f>IF(AND(J415&lt;=0.95,OR(_xlfn.XLOOKUP(B415,'Base stats'!B:B,'Base stats'!AK:AK)=1,_xlfn.XLOOKUP(B415,'Base stats'!B:B,'Base stats'!Y:Y)="Carnivore",_xlfn.XLOOKUP(B415,'Base stats'!B:B,'Base stats'!Y:Y)="Omnivore",BE415&gt;0.1)),"true","false")</f>
        <v>true</v>
      </c>
      <c r="BV415" s="2" t="str">
        <f>IF(_xlfn.XLOOKUP(B415,'Base stats'!B:B,'Base stats'!AI:AI)=1,"true","false")</f>
        <v>false</v>
      </c>
      <c r="BW415" s="25" t="str">
        <f>IF(E415="BaseInsect","AnimalInsect",
IF(J415&gt;0.95,"AnimalExotic",
_xlfn.TEXTJOIN(", ",TRUE,
IF(OR(_xlfn.XLOOKUP(B415,'Base stats'!B:B,'Base stats'!AM:AM)=1,AND(_xlfn.XLOOKUP(B415,'Base stats'!B:B,'Base stats'!O:O)=0,_xlfn.XLOOKUP(_xlfn.XLOOKUP(B415,'Base stats'!B:B,'Base stats'!E:E),Groups!A:A,Groups!B:B)&gt;0)),"AnimalUncommon","AnimalCommon"),
IF(AND(_xlfn.XLOOKUP(B415,'Base stats'!B:B,'Base stats'!O:O)=2,_xlfn.XLOOKUP(_xlfn.XLOOKUP(B415,'Base stats'!B:B,'Base stats'!E:E),Groups!A:A,Groups!D:D)=0),"AnimalPet",IF(AND(_xlfn.XLOOKUP(B415,'Base stats'!B:B,'Base stats'!O:O)&lt;&gt;0,_xlfn.XLOOKUP(_xlfn.XLOOKUP(B415,'Base stats'!B:B,'Base stats'!E:E),Groups!A:A,Groups!D:D)&lt;&gt;0),"AnimalFarm","")),
IF(OR(_xlfn.XLOOKUP(B415,'Base stats'!B:B,'Base stats'!AK:AK)=1,AND(BI415&lt;&gt;"None",BR415&gt;=60),ISNUMBER(SEARCH("Attack target",BP415))),"AnimalFighter","")
)))</f>
        <v>AnimalUncommon, AnimalFighter</v>
      </c>
      <c r="BX415" s="25" t="str">
        <f>IF(G415="None",TRIM(
SUBSTITUTE(
IF(COUNTIF(Biomes!B$2:B$259,"="&amp;$C415)&gt;0,Biomes!B$1&amp;", ","")&amp;
IF(COUNTIF(Biomes!C$2:C$259,"="&amp;$C415)&gt;0,Biomes!C$1&amp;", ","")&amp;
IF(COUNTIF(Biomes!D$2:D$259,"="&amp;$C415)&gt;0,Biomes!D$1&amp;", ","")&amp;
IF(COUNTIF(Biomes!F$2:F$259,"="&amp;$C415)&gt;0,Biomes!F$1&amp;", ","")&amp;
IF(COUNTIF(Biomes!G$2:G$259,"="&amp;$C415)&gt;0,Biomes!G$1&amp;", ","")&amp;
IF(COUNTIF(Biomes!H$2:H$259,"="&amp;$C415)&gt;0,Biomes!H$1&amp;", ","")&amp;
IF(COUNTIF(Biomes!I$2:I$259,"="&amp;$C415)&gt;0,Biomes!I$1&amp;", ","")&amp;
IF(COUNTIF(Biomes!J$2:J$259,"="&amp;$C415)&gt;0,Biomes!J$1&amp;", ","")&amp;
IF(COUNTIF(Biomes!M$2:M$259,"="&amp;$C415)&gt;0,Biomes!M$1&amp;", ","")&amp;
IF(COUNTIF(Biomes!N$2:N$259,"="&amp;$C415)&gt;0,Biomes!N$1&amp;", ","")&amp;
IF(COUNTIF(Biomes!O$2:O$259,"="&amp;$C415)&gt;0,Biomes!O$1&amp;", ","")&amp;
IF(COUNTIF(Biomes!P$2:P$259,"="&amp;$C415)&gt;0,Biomes!P$1&amp;", ","")&amp;
IF(COUNTIF(Biomes!K$2:K$259,"="&amp;$C415)&gt;0,Biomes!K$1&amp;", ","")&amp;
IF(COUNTIF(Biomes!Q$3:Q$259,"="&amp;$C415)&gt;0,Biomes!Q$1&amp;", ","")&amp;
IF(COUNTIF(Biomes!L$2:L$259,"="&amp;$C415)&gt;0,Biomes!L$1&amp;", ","")&amp;
IF(COUNTIF(Biomes!E$2:E$259,"="&amp;$C415)&gt;0,Biomes!E$1&amp;", ","")&amp;IF(COUNTIF(Biomes!S$2:S$259,"="&amp;$C415)&gt;0,Biomes!S$1&amp;", ","")&amp;
IF(COUNTIF(Biomes!R$2:R$259,"="&amp;$C415)&gt;0,Biomes!R$1&amp;", ",""),", ","")
),_xlfn.XLOOKUP(B415,B:B,BX:BX))</f>
        <v/>
      </c>
      <c r="BY415" s="25" t="str">
        <f>IF(_xlfn.XLOOKUP(B415,'Base stats'!B:B,'Base stats'!AJ:AJ)=1,"true","false")</f>
        <v>false</v>
      </c>
      <c r="BZ415" s="25">
        <f>IF(_xlfn.XLOOKUP(B415,'Base stats'!B:B,'Base stats'!N:N)=1,"No",MAX(0.001,MIN(MROUND(IF(AND(BJ415="True",CC415="False"),POWER(10,3.47*LOG10(_xlfn.XLOOKUP(B415,'Base stats'!B:B,'Base stats'!C:C)*1000)^-0.96),POWER(10,4.15*LOG10(_xlfn.XLOOKUP(B415,'Base stats'!B:B,'Base stats'!C:C)*1000)^-0.73))*IF(_xlfn.XLOOKUP(B415,'Base stats'!B:B,'Base stats'!AK:AK)=1,0.5,1)*IF(_xlfn.XLOOKUP(B415,'Base stats'!B:B,'Base stats'!AM:AM)=1,0.1,1)/100,IF(_xlfn.XLOOKUP(B415,'Base stats'!B:B,'Base stats'!AM:AM)=1,0.001,0.025)),0.5)))</f>
        <v>0.05</v>
      </c>
      <c r="CA415" s="25" t="str">
        <f>IF(P415="Standard","No",MAX(0.001,MIN(MROUND(IF(AND(BJ415="True",CC415="False"),POWER(10,3.47*LOG10(_xlfn.XLOOKUP(B415,'Base stats'!B:B,'Base stats'!C:C)*1000)^-0.96),POWER(10,4.15*LOG10(_xlfn.XLOOKUP(B415,'Base stats'!B:B,'Base stats'!C:C)*1000)^-0.73))*IF(_xlfn.XLOOKUP(B415,'Base stats'!B:B,'Base stats'!AM:AM)=1,0.1,1)*_xlfn.XLOOKUP(B415,'Base stats'!B:B,'Base stats'!R:R)/100,IF(_xlfn.XLOOKUP(B415,'Base stats'!B:B,'Base stats'!AM:AM)=1,0.001,0.025)),0.5)))</f>
        <v>No</v>
      </c>
      <c r="CB415" s="25" t="str">
        <f>IF(_xlfn.XLOOKUP(_xlfn.XLOOKUP(B415,'Base stats'!B:B,'Base stats'!E:E),Groups!A:A,Groups!AJ:AJ)="Mammal","True","False")</f>
        <v>True</v>
      </c>
      <c r="CC415" s="25" t="str">
        <f>IF(OR(_xlfn.XLOOKUP(_xlfn.XLOOKUP(B415,'Base stats'!B:B,'Base stats'!E:E),Groups!A:A,Groups!AJ:AJ)="Reptile",_xlfn.XLOOKUP(_xlfn.XLOOKUP(B415,'Base stats'!B:B,'Base stats'!E:E),Groups!A:A,Groups!AJ:AJ)="Amphibian",_xlfn.XLOOKUP(_xlfn.XLOOKUP(B415,'Base stats'!B:B,'Base stats'!E:E),Groups!A:A,Groups!AJ:AJ)="Invertebrate"),"True","False")</f>
        <v>False</v>
      </c>
      <c r="CD415" s="25" t="str">
        <f t="shared" si="55"/>
        <v>False</v>
      </c>
      <c r="CE415" s="25" t="str">
        <f>IF(_xlfn.XLOOKUP(_xlfn.XLOOKUP(B415,'Base stats'!B:B,'Base stats'!E:E),Groups!A:A,Groups!AX:AX),"True","False")</f>
        <v>False</v>
      </c>
      <c r="CF415" s="25" t="str">
        <f>IF(_xlfn.XLOOKUP(_xlfn.XLOOKUP(B415,'Base stats'!B:B,'Base stats'!E:E),Groups!A:A,Groups!AY:AY),"True","False")</f>
        <v>False</v>
      </c>
      <c r="CG415" s="25" t="str">
        <f>IF(_xlfn.XLOOKUP(_xlfn.XLOOKUP(B415,'Base stats'!B:B,'Base stats'!E:E),Groups!A:A,Groups!AW:AW),"True","False")</f>
        <v>False</v>
      </c>
      <c r="CH415" s="25" t="str">
        <f>IF(
OR(
_xlfn.XLOOKUP(_xlfn.XLOOKUP(B415,'Base stats'!B:B,'Base stats'!E:E),Groups!A:A,Groups!AZ:AZ)=0,
AND(
_xlfn.XLOOKUP(B415,'Base stats'!B:B,'Base stats'!Y:Y)&lt;&gt;"Carnivore",
_xlfn.XLOOKUP(B415,'Base stats'!B:B,'Base stats'!Y:Y)&lt;&gt;"Omnivore",
_xlfn.XLOOKUP(B415,'Base stats'!B:B,'Base stats'!Y:Y)&lt;&gt;"OmnivoreRough"
)
),
"No",
IF(
_xlfn.XLOOKUP(_xlfn.XLOOKUP(B415,'Base stats'!B:B,'Base stats'!E:E),Groups!A:A,Groups!AZ:AZ)=1,
"Flesh",
IF(
_xlfn.XLOOKUP(_xlfn.XLOOKUP(B415,'Base stats'!B:B,'Base stats'!E:E),Groups!A:A,Groups!AZ:AZ)=2,
"Bone",
""
)
)
)</f>
        <v>No</v>
      </c>
      <c r="CI415" s="25" t="str">
        <f>IF(_xlfn.XLOOKUP(_xlfn.XLOOKUP(B415,'Base stats'!B:B,'Base stats'!E:E),Groups!A:A,Groups!BB:BB),"True","False")</f>
        <v>True</v>
      </c>
      <c r="CJ415" s="25" t="str">
        <f>IF(_xlfn.XLOOKUP(_xlfn.XLOOKUP(B415,'Base stats'!B:B,'Base stats'!E:E),Groups!A:A,Groups!BA:BA),"True","False")</f>
        <v>False</v>
      </c>
    </row>
    <row r="416" spans="1:88" ht="15.75" thickTop="1" x14ac:dyDescent="0.25">
      <c r="A416" s="26"/>
      <c r="B416" s="6"/>
      <c r="C416" s="28"/>
      <c r="D416" s="28"/>
      <c r="E416" s="28"/>
      <c r="F416" s="28"/>
    </row>
    <row r="417" spans="1:6" x14ac:dyDescent="0.25">
      <c r="A417" s="26"/>
      <c r="B417" s="6"/>
      <c r="C417" s="28"/>
      <c r="D417" s="28"/>
      <c r="E417" s="28"/>
      <c r="F417" s="28"/>
    </row>
    <row r="418" spans="1:6" x14ac:dyDescent="0.25">
      <c r="A418" s="26"/>
      <c r="B418" s="6"/>
      <c r="C418" s="28"/>
      <c r="D418" s="28"/>
      <c r="E418" s="28"/>
      <c r="F418" s="28"/>
    </row>
    <row r="419" spans="1:6" x14ac:dyDescent="0.25">
      <c r="A419" s="26"/>
      <c r="B419" s="6"/>
      <c r="C419" s="28"/>
      <c r="D419" s="28"/>
      <c r="E419" s="28"/>
      <c r="F419" s="28"/>
    </row>
    <row r="420" spans="1:6" x14ac:dyDescent="0.25">
      <c r="A420" s="26"/>
      <c r="B420" s="6"/>
      <c r="C420" s="28"/>
      <c r="D420" s="28"/>
      <c r="E420" s="28"/>
      <c r="F420" s="28"/>
    </row>
    <row r="421" spans="1:6" x14ac:dyDescent="0.25">
      <c r="A421" s="26"/>
      <c r="B421" s="6"/>
      <c r="C421" s="28"/>
      <c r="D421" s="28"/>
      <c r="E421" s="28"/>
      <c r="F421" s="28"/>
    </row>
    <row r="422" spans="1:6" x14ac:dyDescent="0.25">
      <c r="A422" s="26"/>
      <c r="B422" s="6"/>
      <c r="C422" s="28"/>
      <c r="D422" s="28"/>
      <c r="E422" s="28"/>
      <c r="F422" s="28"/>
    </row>
    <row r="423" spans="1:6" x14ac:dyDescent="0.25">
      <c r="A423" s="26"/>
      <c r="B423" s="6"/>
      <c r="C423" s="28"/>
      <c r="D423" s="28"/>
      <c r="E423" s="28"/>
      <c r="F423" s="28"/>
    </row>
    <row r="424" spans="1:6" x14ac:dyDescent="0.25">
      <c r="A424" s="26"/>
      <c r="B424" s="6"/>
      <c r="C424" s="28"/>
      <c r="D424" s="28"/>
      <c r="E424" s="28"/>
      <c r="F424" s="28"/>
    </row>
    <row r="425" spans="1:6" x14ac:dyDescent="0.25">
      <c r="A425" s="26"/>
      <c r="B425" s="6"/>
      <c r="C425" s="28"/>
      <c r="D425" s="28"/>
      <c r="E425" s="28"/>
      <c r="F425" s="28"/>
    </row>
    <row r="426" spans="1:6" x14ac:dyDescent="0.25">
      <c r="A426" s="26"/>
      <c r="B426" s="6"/>
      <c r="C426" s="28"/>
      <c r="D426" s="28"/>
      <c r="E426" s="28"/>
      <c r="F426" s="28"/>
    </row>
    <row r="427" spans="1:6" x14ac:dyDescent="0.25">
      <c r="A427" s="26"/>
      <c r="B427" s="6"/>
      <c r="C427" s="28"/>
      <c r="D427" s="28"/>
      <c r="E427" s="28"/>
      <c r="F427" s="28"/>
    </row>
    <row r="428" spans="1:6" x14ac:dyDescent="0.25">
      <c r="A428" s="26"/>
      <c r="B428" s="6"/>
      <c r="C428" s="28"/>
      <c r="D428" s="28"/>
      <c r="E428" s="28"/>
      <c r="F428" s="28"/>
    </row>
    <row r="429" spans="1:6" x14ac:dyDescent="0.25">
      <c r="A429" s="26"/>
      <c r="B429" s="6"/>
      <c r="C429" s="28"/>
      <c r="D429" s="28"/>
      <c r="E429" s="28"/>
      <c r="F429" s="28"/>
    </row>
    <row r="430" spans="1:6" x14ac:dyDescent="0.25">
      <c r="A430" s="26"/>
      <c r="B430" s="6"/>
      <c r="C430" s="28"/>
      <c r="D430" s="28"/>
      <c r="E430" s="28"/>
      <c r="F430" s="28"/>
    </row>
    <row r="431" spans="1:6" x14ac:dyDescent="0.25">
      <c r="A431" s="26"/>
      <c r="B431" s="6"/>
      <c r="C431" s="28"/>
      <c r="D431" s="28"/>
      <c r="E431" s="28"/>
      <c r="F431" s="28"/>
    </row>
    <row r="432" spans="1:6" x14ac:dyDescent="0.25">
      <c r="A432" s="26"/>
      <c r="B432" s="6"/>
      <c r="C432" s="28"/>
      <c r="D432" s="28"/>
      <c r="E432" s="28"/>
      <c r="F432" s="28"/>
    </row>
    <row r="433" spans="1:6" x14ac:dyDescent="0.25">
      <c r="A433" s="26"/>
      <c r="B433" s="6"/>
      <c r="C433" s="28"/>
      <c r="D433" s="28"/>
      <c r="E433" s="28"/>
      <c r="F433" s="28"/>
    </row>
    <row r="434" spans="1:6" x14ac:dyDescent="0.25">
      <c r="A434" s="26"/>
      <c r="B434" s="6"/>
      <c r="C434" s="28"/>
      <c r="D434" s="28"/>
      <c r="E434" s="28"/>
      <c r="F434" s="28"/>
    </row>
    <row r="435" spans="1:6" x14ac:dyDescent="0.25">
      <c r="A435" s="26"/>
      <c r="B435" s="6"/>
      <c r="C435" s="28"/>
      <c r="D435" s="28"/>
      <c r="E435" s="28"/>
      <c r="F435" s="28"/>
    </row>
    <row r="436" spans="1:6" x14ac:dyDescent="0.25">
      <c r="A436" s="26"/>
      <c r="B436" s="6"/>
      <c r="C436" s="28"/>
      <c r="D436" s="28"/>
      <c r="E436" s="28"/>
      <c r="F436" s="28"/>
    </row>
    <row r="437" spans="1:6" x14ac:dyDescent="0.25">
      <c r="A437" s="26"/>
      <c r="B437" s="6"/>
      <c r="C437" s="28"/>
      <c r="D437" s="28"/>
      <c r="E437" s="28"/>
      <c r="F437" s="28"/>
    </row>
    <row r="438" spans="1:6" x14ac:dyDescent="0.25">
      <c r="A438" s="26"/>
      <c r="B438" s="6"/>
      <c r="C438" s="28"/>
      <c r="D438" s="28"/>
      <c r="E438" s="28"/>
      <c r="F438" s="28"/>
    </row>
    <row r="439" spans="1:6" x14ac:dyDescent="0.25">
      <c r="A439" s="26"/>
      <c r="B439" s="6"/>
      <c r="C439" s="28"/>
      <c r="D439" s="28"/>
      <c r="E439" s="28"/>
      <c r="F439" s="28"/>
    </row>
    <row r="440" spans="1:6" x14ac:dyDescent="0.25">
      <c r="A440" s="26"/>
      <c r="B440" s="6"/>
      <c r="C440" s="28"/>
      <c r="D440" s="28"/>
      <c r="E440" s="28"/>
      <c r="F440" s="28"/>
    </row>
    <row r="441" spans="1:6" x14ac:dyDescent="0.25">
      <c r="A441" s="26"/>
      <c r="B441" s="6"/>
      <c r="C441" s="28"/>
      <c r="D441" s="28"/>
      <c r="E441" s="28"/>
      <c r="F441" s="28"/>
    </row>
    <row r="442" spans="1:6" x14ac:dyDescent="0.25">
      <c r="A442" s="26"/>
      <c r="B442" s="6"/>
      <c r="C442" s="28"/>
      <c r="D442" s="28"/>
      <c r="E442" s="28"/>
      <c r="F442" s="28"/>
    </row>
    <row r="443" spans="1:6" x14ac:dyDescent="0.25">
      <c r="A443" s="26"/>
      <c r="B443" s="6"/>
      <c r="C443" s="28"/>
      <c r="D443" s="28"/>
      <c r="E443" s="28"/>
      <c r="F443" s="28"/>
    </row>
    <row r="444" spans="1:6" x14ac:dyDescent="0.25">
      <c r="A444" s="26"/>
      <c r="B444" s="6"/>
      <c r="C444" s="28"/>
      <c r="D444" s="28"/>
      <c r="E444" s="28"/>
      <c r="F444" s="28"/>
    </row>
    <row r="445" spans="1:6" x14ac:dyDescent="0.25">
      <c r="A445" s="26"/>
      <c r="B445" s="6"/>
      <c r="C445" s="28"/>
      <c r="D445" s="28"/>
      <c r="E445" s="28"/>
      <c r="F445" s="28"/>
    </row>
    <row r="446" spans="1:6" x14ac:dyDescent="0.25">
      <c r="A446" s="26"/>
      <c r="B446" s="6"/>
      <c r="C446" s="28"/>
      <c r="D446" s="28"/>
      <c r="E446" s="28"/>
      <c r="F446" s="28"/>
    </row>
    <row r="447" spans="1:6" x14ac:dyDescent="0.25">
      <c r="A447" s="26"/>
      <c r="B447" s="6"/>
      <c r="C447" s="28"/>
      <c r="D447" s="28"/>
      <c r="E447" s="28"/>
      <c r="F447" s="28"/>
    </row>
    <row r="448" spans="1:6" x14ac:dyDescent="0.25">
      <c r="A448" s="26"/>
      <c r="B448" s="6"/>
      <c r="C448" s="28"/>
      <c r="D448" s="28"/>
      <c r="E448" s="28"/>
      <c r="F448" s="28"/>
    </row>
    <row r="449" spans="1:6" x14ac:dyDescent="0.25">
      <c r="A449" s="26"/>
      <c r="B449" s="6"/>
      <c r="C449" s="28"/>
      <c r="D449" s="28"/>
      <c r="E449" s="28"/>
      <c r="F449" s="28"/>
    </row>
    <row r="450" spans="1:6" x14ac:dyDescent="0.25">
      <c r="A450" s="26"/>
      <c r="B450" s="6"/>
      <c r="C450" s="28"/>
      <c r="D450" s="28"/>
      <c r="E450" s="28"/>
      <c r="F450" s="28"/>
    </row>
    <row r="451" spans="1:6" x14ac:dyDescent="0.25">
      <c r="A451" s="26"/>
      <c r="B451" s="6"/>
      <c r="C451" s="28"/>
      <c r="D451" s="28"/>
      <c r="E451" s="28"/>
      <c r="F451" s="28"/>
    </row>
    <row r="452" spans="1:6" x14ac:dyDescent="0.25">
      <c r="A452" s="26"/>
      <c r="B452" s="6"/>
      <c r="C452" s="28"/>
      <c r="D452" s="28"/>
      <c r="E452" s="28"/>
      <c r="F452" s="28"/>
    </row>
    <row r="453" spans="1:6" x14ac:dyDescent="0.25">
      <c r="A453" s="26"/>
      <c r="B453" s="6"/>
      <c r="C453" s="28"/>
      <c r="D453" s="28"/>
      <c r="E453" s="28"/>
      <c r="F453" s="28"/>
    </row>
    <row r="454" spans="1:6" x14ac:dyDescent="0.25">
      <c r="A454" s="26"/>
      <c r="B454" s="6"/>
      <c r="C454" s="28"/>
      <c r="D454" s="28"/>
      <c r="E454" s="28"/>
      <c r="F454" s="28"/>
    </row>
    <row r="455" spans="1:6" x14ac:dyDescent="0.25">
      <c r="A455" s="26"/>
      <c r="B455" s="6"/>
    </row>
    <row r="456" spans="1:6" x14ac:dyDescent="0.25">
      <c r="A456" s="26"/>
      <c r="B456" s="6"/>
    </row>
  </sheetData>
  <phoneticPr fontId="13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565AB59-D1CD-4262-915C-55F60400DCE6}">
          <x14:formula1>
            <xm:f>Leathers!$A$2:$A$99</xm:f>
          </x14:formula1>
          <xm:sqref>BB2:BB415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A9C8-0BCC-4E35-AE38-AE971A29D82F}">
  <dimension ref="A1:AC416"/>
  <sheetViews>
    <sheetView topLeftCell="A389" zoomScaleNormal="100" workbookViewId="0">
      <pane xSplit="1" topLeftCell="M1" activePane="topRight" state="frozen"/>
      <selection pane="topRight" activeCell="R410" sqref="R410"/>
    </sheetView>
  </sheetViews>
  <sheetFormatPr defaultRowHeight="15" x14ac:dyDescent="0.25"/>
  <cols>
    <col min="1" max="1" width="17" bestFit="1" customWidth="1"/>
    <col min="2" max="2" width="32.85546875" bestFit="1" customWidth="1"/>
    <col min="3" max="3" width="32.5703125" bestFit="1" customWidth="1"/>
    <col min="4" max="4" width="13.140625" bestFit="1" customWidth="1"/>
    <col min="5" max="5" width="13.7109375" bestFit="1" customWidth="1"/>
    <col min="6" max="6" width="18.85546875" bestFit="1" customWidth="1"/>
    <col min="7" max="7" width="22.140625" bestFit="1" customWidth="1"/>
    <col min="8" max="8" width="22.7109375" bestFit="1" customWidth="1"/>
    <col min="9" max="9" width="23" bestFit="1" customWidth="1"/>
    <col min="10" max="10" width="27.85546875" bestFit="1" customWidth="1"/>
    <col min="11" max="11" width="25.28515625" customWidth="1"/>
    <col min="12" max="12" width="26" bestFit="1" customWidth="1"/>
    <col min="13" max="13" width="26.28515625" bestFit="1" customWidth="1"/>
    <col min="14" max="14" width="31.140625" bestFit="1" customWidth="1"/>
    <col min="15" max="15" width="12" bestFit="1" customWidth="1"/>
    <col min="16" max="16" width="12.5703125" bestFit="1" customWidth="1"/>
    <col min="17" max="17" width="12.85546875" bestFit="1" customWidth="1"/>
    <col min="18" max="18" width="17.85546875" bestFit="1" customWidth="1"/>
    <col min="19" max="19" width="23.28515625" bestFit="1" customWidth="1"/>
    <col min="20" max="20" width="23.85546875" bestFit="1" customWidth="1"/>
    <col min="21" max="21" width="24.140625" bestFit="1" customWidth="1"/>
    <col min="22" max="22" width="29" bestFit="1" customWidth="1"/>
    <col min="23" max="23" width="19.28515625" bestFit="1" customWidth="1"/>
    <col min="24" max="24" width="16.5703125" bestFit="1" customWidth="1"/>
    <col min="25" max="25" width="18.140625" bestFit="1" customWidth="1"/>
    <col min="26" max="26" width="18.42578125" bestFit="1" customWidth="1"/>
    <col min="27" max="27" width="18.140625" bestFit="1" customWidth="1"/>
    <col min="28" max="28" width="15.42578125" style="16" bestFit="1" customWidth="1"/>
    <col min="29" max="29" width="15.140625" style="16" bestFit="1" customWidth="1"/>
  </cols>
  <sheetData>
    <row r="1" spans="1:29" ht="16.5" thickTop="1" thickBot="1" x14ac:dyDescent="0.3">
      <c r="A1" t="str">
        <f>Animals!A1</f>
        <v>Common name</v>
      </c>
      <c r="B1" s="14" t="str">
        <f>Animals!B1</f>
        <v>Latin name</v>
      </c>
      <c r="C1" s="1" t="str">
        <f>Animals!C1</f>
        <v>XML name</v>
      </c>
      <c r="D1" s="3" t="str">
        <f>Animals!Q1</f>
        <v>Head damage</v>
      </c>
      <c r="E1" s="1" t="s">
        <v>639</v>
      </c>
      <c r="F1" s="4" t="str">
        <f>Animals!R1</f>
        <v>Head attack interval</v>
      </c>
      <c r="G1" s="3" t="str">
        <f>Animals!S1</f>
        <v>Poke/leg claws damage</v>
      </c>
      <c r="H1" s="1" t="s">
        <v>640</v>
      </c>
      <c r="I1" s="1" t="s">
        <v>641</v>
      </c>
      <c r="J1" s="4" t="str">
        <f>Animals!T1</f>
        <v>Poke/leg claws attack interval</v>
      </c>
      <c r="K1" s="3" t="str">
        <f>Animals!X1</f>
        <v>Horn/Antler/Tusks damage</v>
      </c>
      <c r="L1" s="1" t="s">
        <v>642</v>
      </c>
      <c r="M1" s="1" t="s">
        <v>643</v>
      </c>
      <c r="N1" s="4" t="s">
        <v>265</v>
      </c>
      <c r="O1" s="3" t="str">
        <f>Animals!AD1</f>
        <v>Bite damage</v>
      </c>
      <c r="P1" s="1" t="s">
        <v>644</v>
      </c>
      <c r="Q1" s="1" t="s">
        <v>645</v>
      </c>
      <c r="R1" s="4" t="str">
        <f>Animals!AE1</f>
        <v>Bite attack interval</v>
      </c>
      <c r="S1" s="3" t="str">
        <f>Animals!AI1</f>
        <v>Paw claw/punch damage</v>
      </c>
      <c r="T1" s="1" t="s">
        <v>646</v>
      </c>
      <c r="U1" s="1" t="s">
        <v>647</v>
      </c>
      <c r="V1" s="4" t="str">
        <f>Animals!AJ1</f>
        <v>Paw claw/punch attack interval</v>
      </c>
      <c r="W1" s="2" t="s">
        <v>291</v>
      </c>
      <c r="X1" s="1" t="s">
        <v>292</v>
      </c>
      <c r="Y1" s="1" t="s">
        <v>293</v>
      </c>
      <c r="Z1" s="1" t="s">
        <v>438</v>
      </c>
      <c r="AA1" s="1" t="s">
        <v>439</v>
      </c>
      <c r="AB1" s="1" t="s">
        <v>451</v>
      </c>
      <c r="AC1" s="1" t="s">
        <v>665</v>
      </c>
    </row>
    <row r="2" spans="1:29" ht="16.5" thickTop="1" thickBot="1" x14ac:dyDescent="0.3">
      <c r="A2" s="15" t="str">
        <f>Animals!A2</f>
        <v>Polar bear</v>
      </c>
      <c r="B2" s="6" t="str">
        <f>Animals!B2</f>
        <v>Ursus maritimus</v>
      </c>
      <c r="C2" s="1" t="str">
        <f>Animals!C2</f>
        <v>&lt;li&gt;Bear_Polar&lt;/li&gt;</v>
      </c>
      <c r="D2" s="47">
        <f>MIN(MIN(6,_xlfn.XLOOKUP(A2,Animals!A:A,Animals!AO:AO))*20,MAX(MROUND(_xlfn.XLOOKUP(B2,'Base stats'!B:B,'Base stats'!BS:BS) * (_xlfn.XLOOKUP(B2,'Base stats'!B:B,'Base stats'!AO:AO)*5%)^0.9 / 21,0.1),0.05))</f>
        <v>8.1</v>
      </c>
      <c r="E2" s="11">
        <f>MROUND(_xlfn.XLOOKUP(B2,'Base stats'!B:B,'Base stats'!BG:BG) * 0.01 * 2 + 0.01, 0.05)</f>
        <v>7.4</v>
      </c>
      <c r="F2" s="7">
        <f>MROUND(_xlfn.XLOOKUP(B2,'Base stats'!B:B,'Base stats'!BD:BD)^0.25 / (_xlfn.XLOOKUP(B2,'Base stats'!B:B,'Base stats'!BK:BK) * 10) * 150 + 0.5 + _xlfn.XLOOKUP(B2,'Base stats'!B:B,'Base stats'!BW:BW), 0.05)</f>
        <v>2.35</v>
      </c>
      <c r="G2" s="3" t="str">
        <f>IF(Animals!S2="No","No",
IF(_xlfn.XLOOKUP(B2,'Base stats'!B:B,'Base stats'!U:U)="No",
MAX(MROUND(_xlfn.XLOOKUP(B2,'Base stats'!B:B,'Base stats'!BT:BT) * _xlfn.XLOOKUP(B2,'Base stats'!B:B,'Base stats'!BP:BP)^0.9 / 21 * _xlfn.XLOOKUP(B2,'Base stats'!B:B,'Base stats'!BX:BX),0.1),0.05),
MAX(MROUND(((MIN(10,_xlfn.XLOOKUP(B2,'Base stats'!B:B,'Base stats'!U:U)))^0.4*_xlfn.XLOOKUP(B2,'Base stats'!B:B,'Base stats'!BH:BH)^0.73)^0.6 * _xlfn.XLOOKUP(B2,'Base stats'!B:B,'Base stats'!BX:BX),0.1),0.05)
))</f>
        <v>No</v>
      </c>
      <c r="H2" s="11" t="str">
        <f>IF(G2="No","No",
MROUND(_xlfn.XLOOKUP(B2,'Base stats'!B:B,'Base stats'!BH:BH) * 0.01 * 2 + 0.05, 0.05)
)</f>
        <v>No</v>
      </c>
      <c r="I2" s="11" t="str">
        <f>IF(G2="No","No",IF(_xlfn.XLOOKUP(B2,'Base stats'!B:B,'Base stats'!U:U)="No","No",
MROUND(_xlfn.XLOOKUP(B2,'Base stats'!B:B,'Base stats'!BT:BT)/10000+0.01,0.01)
))</f>
        <v>No</v>
      </c>
      <c r="J2" s="4" t="str">
        <f>IF(G2="No","No",
MROUND(_xlfn.XLOOKUP(B2,'Base stats'!B:B,'Base stats'!BE:BE)^0.25
/((_xlfn.XLOOKUP(B2,'Base stats'!B:B,'Base stats'!BL:BL))*10)*_xlfn.XLOOKUP(_xlfn.XLOOKUP(B2,'Base stats'!B:B,'Base stats'!E:E),Groups!A:A,Groups!Q:Q)*150 + 0.5 + _xlfn.XLOOKUP(B2,'Base stats'!B:B,'Base stats'!BW:BW),
0.05))</f>
        <v>No</v>
      </c>
      <c r="K2" s="3" t="str">
        <f>IF(Animals!X2="No","No",
IF(_xlfn.XLOOKUP(_xlfn.XLOOKUP(B2,'Base stats'!B:B,'Base stats'!E:E),Groups!A:A,Groups!BD:BD)=1,
MAX(MROUND(_xlfn.XLOOKUP(B2,'Base stats'!B:B,'Base stats'!BU:BU) * _xlfn.XLOOKUP(B2,'Base stats'!B:B,'Base stats'!BQ:BQ)^0.9 / 21 *_xlfn.XLOOKUP(B2,'Base stats'!B:B,'Base stats'!BX:BX),0.1),0.05),
MAX(MROUND(((MIN(10,_xlfn.XLOOKUP(B2,'Base stats'!B:B,'Base stats'!W:W)))^0.4*_xlfn.XLOOKUP(B2,'Base stats'!B:B,'Base stats'!BI:BI)^0.73)^0.6 *_xlfn.XLOOKUP(B2,'Base stats'!B:B,'Base stats'!BX:BX),0.1),0.05)
))</f>
        <v>No</v>
      </c>
      <c r="L2" s="11" t="str">
        <f>IF(K2="No","No",
MROUND(_xlfn.XLOOKUP(B2,'Base stats'!B:B,'Base stats'!BI:BI) * 0.01 *2 + 0.05, 0.05)
)</f>
        <v>No</v>
      </c>
      <c r="M2" s="5" t="str">
        <f>IF(K2="No","No",IF(_xlfn.XLOOKUP(_xlfn.XLOOKUP(B2,'Base stats'!B:B,'Base stats'!E:E),Groups!A:A,Groups!BD:BD)=1,"No",
MROUND(_xlfn.XLOOKUP(B2,'Base stats'!B:B,'Base stats'!BU:BU)/10000+0.01,0.01)
))</f>
        <v>No</v>
      </c>
      <c r="N2" s="4" t="str">
        <f>IF(K2="No","No",
MROUND(
  _xlfn.XLOOKUP(B2,'Base stats'!B:B,'Base stats'!BC:BC)^0.25
  / (_xlfn.XLOOKUP(B2,'Base stats'!B:B,'Base stats'!BM:BM) * 10)
  * _xlfn.XLOOKUP(
      _xlfn.XLOOKUP(B2,'Base stats'!B:B,'Base stats'!E:E),
      Groups!A:A,
      Groups!V:V
    ) * 150
  + MIN(12, _xlfn.XLOOKUP(B2,'Base stats'!B:B,'Base stats'!W:W))^(1/IF(_xlfn.XLOOKUP(_xlfn.XLOOKUP(B2,'Base stats'!B:B,'Base stats'!E:E),Groups!A:A,Groups!U:U)=1,100,10)) + 0.5 + _xlfn.XLOOKUP(B2,'Base stats'!B:B,'Base stats'!BW:BW),
0.05))</f>
        <v>No</v>
      </c>
      <c r="O2" s="3">
        <f>IF(Animals!AD2="No","No",
MAX(MROUND((MIN(10,_xlfn.XLOOKUP(B2,'Base stats'!B:B,'Base stats'!V:V)*IF(_xlfn.XLOOKUP(_xlfn.XLOOKUP(B2,'Base stats'!B:B,'Base stats'!E:E),Groups!A:A,Groups!O:O)=0,1,0.33))^0.4*_xlfn.XLOOKUP(B2,'Base stats'!B:B,'Base stats'!BJ:BJ)^0.73)^0.6 *_xlfn.XLOOKUP(B2,'Base stats'!B:B,'Base stats'!BX:BX),0.1),0.05)
)</f>
        <v>19.600000000000001</v>
      </c>
      <c r="P2" s="11">
        <f>IF(O2="No","No",
MROUND(_xlfn.XLOOKUP(B2,'Base stats'!B:B,'Base stats'!BJ:BJ) * 0.01 * 2 + 0.05, 0.05)
)</f>
        <v>7.25</v>
      </c>
      <c r="Q2" s="5">
        <f>IF(O2="No","No",
MROUND(_xlfn.XLOOKUP(B2,'Base stats'!B:B,'Base stats'!BV:BV)/10000+0.01,0.01)
)</f>
        <v>0.24</v>
      </c>
      <c r="R2" s="4">
        <f>IF(O2="No","No",
MROUND(_xlfn.XLOOKUP(B2,'Base stats'!B:B,'Base stats'!BB:BB)^0.25
/((_xlfn.XLOOKUP(B2,'Base stats'!B:B,'Base stats'!BN:BN))*10)*_xlfn.XLOOKUP(_xlfn.XLOOKUP(B2,'Base stats'!B:B,'Base stats'!E:E),Groups!A:A,Groups!Z:Z)*150 + 0.5 + _xlfn.XLOOKUP(B2,'Base stats'!B:B,'Base stats'!BW:BW),
0.05))</f>
        <v>2.25</v>
      </c>
      <c r="S2" s="3">
        <f>IF(Animals!AI2="No","No",
IF(_xlfn.XLOOKUP(B2,'Base stats'!B:B,'Base stats'!U:U)="No",
MAX(MROUND(_xlfn.XLOOKUP(B2,'Base stats'!B:B,'Base stats'!BT:BT) * _xlfn.XLOOKUP(B2,'Base stats'!B:B,'Base stats'!BP:BP)^0.9 / 21 * _xlfn.XLOOKUP(B2,'Base stats'!B:B,'Base stats'!BX:BX),0.1),0.05),
MAX(MROUND(((MIN(12,_xlfn.XLOOKUP(B2,'Base stats'!B:B,'Base stats'!U:U)))^0.4*_xlfn.XLOOKUP(B2,'Base stats'!B:B,'Base stats'!BH:BH)^0.73)^0.6 * _xlfn.XLOOKUP(B2,'Base stats'!B:B,'Base stats'!BX:BX),0.1),0.05)
))</f>
        <v>24.6</v>
      </c>
      <c r="T2" s="11">
        <f>IF(S2="No","No",
MROUND(_xlfn.XLOOKUP(B2,'Base stats'!B:B,'Base stats'!BH:BH) * 0.01 * 2 + 0.05, 0.05)
)</f>
        <v>8.75</v>
      </c>
      <c r="U2" s="5">
        <f>IF(S2="No","No",IF(_xlfn.XLOOKUP(B2,'Base stats'!B:B,'Base stats'!U:U)="No","No",
MROUND(_xlfn.XLOOKUP(B2,'Base stats'!B:B,'Base stats'!BT:BT)/10000+0.01,0.01)
))</f>
        <v>0.28999999999999998</v>
      </c>
      <c r="V2" s="4">
        <f>IF(S2="No","No",
MROUND(_xlfn.XLOOKUP(B2,'Base stats'!B:B,'Base stats'!BF:BF)^0.25
/((_xlfn.XLOOKUP(B2,'Base stats'!B:B,'Base stats'!BO:BO))*10)*_xlfn.XLOOKUP(_xlfn.XLOOKUP(B2,'Base stats'!B:B,'Base stats'!E:E),Groups!A:A,Groups!AE:AE)*150 + 0.5 + _xlfn.XLOOKUP(B2,'Base stats'!B:B,'Base stats'!BW:BW),
0.05))</f>
        <v>1.6</v>
      </c>
      <c r="W2" s="8">
        <f>MROUND(_xlfn.XLOOKUP(_xlfn.XLOOKUP(B2,'Base stats'!B:B,'Base stats'!E:E),Groups!A:A,Groups!BG:BG)*_xlfn.XLOOKUP(B2,'Base stats'!B:B,'Base stats'!C:C)^-0.165,0.05)</f>
        <v>0.25</v>
      </c>
      <c r="X2" s="1">
        <f>MROUND(_xlfn.XLOOKUP(_xlfn.XLOOKUP(B2,'Base stats'!B:B,'Base stats'!E:E),Groups!A:A,Groups!BH:BH)*_xlfn.XLOOKUP(B2,'Base stats'!B:B,'Base stats'!C:C)^0.165,0.05)</f>
        <v>0.4</v>
      </c>
      <c r="Y2" s="8">
        <f>MROUND(_xlfn.XLOOKUP(_xlfn.XLOOKUP(B2,'Base stats'!B:B,'Base stats'!E:E),Groups!A:A,Groups!BI:BI)*_xlfn.XLOOKUP(B2,'Base stats'!B:B,'Base stats'!C:C)^0.165,0.05)</f>
        <v>0.05</v>
      </c>
      <c r="Z2" s="18">
        <f>MROUND(_xlfn.XLOOKUP(B2,'Base stats'!B:B,'Base stats'!AQ:AQ)*_xlfn.XLOOKUP(_xlfn.XLOOKUP(B2,'Base stats'!B:B,'Base stats'!E:E),Groups!A:A,Groups!H:H)/1000,IF((_xlfn.XLOOKUP(B2,'Base stats'!B:B,'Base stats'!AQ:AQ)*_xlfn.XLOOKUP(_xlfn.XLOOKUP(B2,'Base stats'!B:B,'Base stats'!E:E),Groups!A:A,Groups!H:H)/1000)&gt;1,0.05,0.01))</f>
        <v>0.15</v>
      </c>
      <c r="AA2" s="18">
        <f>MROUND((1/2)*(_xlfn.XLOOKUP(_xlfn.XLOOKUP(B2,'Base stats'!B:B,'Base stats'!E:E),Groups!A:A,Groups!H:H)*_xlfn.XLOOKUP(_xlfn.XLOOKUP(B2,'Base stats'!B:B,'Base stats'!E:E),Groups!A:A,Groups!I:I))*_xlfn.XLOOKUP(B2,'Base stats'!B:B,'Base stats'!AQ:AQ)*0.01,0.05)</f>
        <v>0.65</v>
      </c>
      <c r="AB2" s="18">
        <f>MROUND(250*(Animals!AO2+Animals!AP2),25)</f>
        <v>1250</v>
      </c>
      <c r="AC2" s="18" t="str">
        <f>_xlfn.XLOOKUP(_xlfn.XLOOKUP(B2,'Base stats'!B:B,'Base stats'!E:E),Groups!A:A,Groups!BJ:BJ)</f>
        <v>Quadruped</v>
      </c>
    </row>
    <row r="3" spans="1:29" ht="16.5" thickTop="1" thickBot="1" x14ac:dyDescent="0.3">
      <c r="A3" s="16" t="str">
        <f>Animals!A3</f>
        <v>Grizzly</v>
      </c>
      <c r="B3" s="6" t="str">
        <f>Animals!B3</f>
        <v>Ursus arctos</v>
      </c>
      <c r="C3" s="1" t="str">
        <f>Animals!C3</f>
        <v>&lt;li&gt;Bear_Grizzly&lt;/li&gt;</v>
      </c>
      <c r="D3" s="47">
        <f>MIN(MIN(6,_xlfn.XLOOKUP(A3,Animals!A:A,Animals!AO:AO))*20,MAX(MROUND(_xlfn.XLOOKUP(B3,'Base stats'!B:B,'Base stats'!BS:BS) * (_xlfn.XLOOKUP(B3,'Base stats'!B:B,'Base stats'!AO:AO)*5%)^0.9 / 21,0.1),0.05))</f>
        <v>6.7</v>
      </c>
      <c r="E3" s="11">
        <f>MROUND(_xlfn.XLOOKUP(B3,'Base stats'!B:B,'Base stats'!BG:BG) * 0.01 * 2 + 0.01, 0.05)</f>
        <v>6.0500000000000007</v>
      </c>
      <c r="F3" s="7">
        <f>MROUND(_xlfn.XLOOKUP(B3,'Base stats'!B:B,'Base stats'!BD:BD)^0.25 / (_xlfn.XLOOKUP(B3,'Base stats'!B:B,'Base stats'!BK:BK) * 10) * 150 + 0.5 + _xlfn.XLOOKUP(B3,'Base stats'!B:B,'Base stats'!BW:BW), 0.05)</f>
        <v>2.25</v>
      </c>
      <c r="G3" s="3" t="str">
        <f>IF(Animals!S3="No","No",
IF(_xlfn.XLOOKUP(B3,'Base stats'!B:B,'Base stats'!U:U)="No",
MAX(MROUND(_xlfn.XLOOKUP(B3,'Base stats'!B:B,'Base stats'!BT:BT) * _xlfn.XLOOKUP(B3,'Base stats'!B:B,'Base stats'!BP:BP)^0.9 / 21 * _xlfn.XLOOKUP(B3,'Base stats'!B:B,'Base stats'!BX:BX),0.1),0.05),
MAX(MROUND(((MIN(10,_xlfn.XLOOKUP(B3,'Base stats'!B:B,'Base stats'!U:U)))^0.4*_xlfn.XLOOKUP(B3,'Base stats'!B:B,'Base stats'!BH:BH)^0.73)^0.6 * _xlfn.XLOOKUP(B3,'Base stats'!B:B,'Base stats'!BX:BX),0.1),0.05)
))</f>
        <v>No</v>
      </c>
      <c r="H3" s="11" t="str">
        <f>IF(G3="No","No",
MROUND(_xlfn.XLOOKUP(B3,'Base stats'!B:B,'Base stats'!BH:BH) * 0.01 * 2 + 0.05, 0.05)
)</f>
        <v>No</v>
      </c>
      <c r="I3" s="11" t="str">
        <f>IF(G3="No","No",IF(_xlfn.XLOOKUP(B3,'Base stats'!B:B,'Base stats'!U:U)="No","No",
MROUND(_xlfn.XLOOKUP(B3,'Base stats'!B:B,'Base stats'!BT:BT)/10000+0.01,0.01)
))</f>
        <v>No</v>
      </c>
      <c r="J3" s="4" t="str">
        <f>IF(G3="No","No",
MROUND(_xlfn.XLOOKUP(B3,'Base stats'!B:B,'Base stats'!BE:BE)^0.25
/((_xlfn.XLOOKUP(B3,'Base stats'!B:B,'Base stats'!BL:BL))*10)*_xlfn.XLOOKUP(_xlfn.XLOOKUP(B3,'Base stats'!B:B,'Base stats'!E:E),Groups!A:A,Groups!Q:Q)*150 + 0.5 + _xlfn.XLOOKUP(B3,'Base stats'!B:B,'Base stats'!BW:BW),
0.05))</f>
        <v>No</v>
      </c>
      <c r="K3" s="3" t="str">
        <f>IF(Animals!X3="No","No",
IF(_xlfn.XLOOKUP(_xlfn.XLOOKUP(B3,'Base stats'!B:B,'Base stats'!E:E),Groups!A:A,Groups!BD:BD)=1,
MAX(MROUND(_xlfn.XLOOKUP(B3,'Base stats'!B:B,'Base stats'!BU:BU) * _xlfn.XLOOKUP(B3,'Base stats'!B:B,'Base stats'!BQ:BQ)^0.9 / 21 *_xlfn.XLOOKUP(B3,'Base stats'!B:B,'Base stats'!BX:BX),0.1),0.05),
MAX(MROUND(((MIN(10,_xlfn.XLOOKUP(B3,'Base stats'!B:B,'Base stats'!W:W)))^0.4*_xlfn.XLOOKUP(B3,'Base stats'!B:B,'Base stats'!BI:BI)^0.73)^0.6 *_xlfn.XLOOKUP(B3,'Base stats'!B:B,'Base stats'!BX:BX),0.1),0.05)
))</f>
        <v>No</v>
      </c>
      <c r="L3" s="11" t="str">
        <f>IF(K3="No","No",
MROUND(_xlfn.XLOOKUP(B3,'Base stats'!B:B,'Base stats'!BI:BI) * 0.01 *2 + 0.05, 0.05)
)</f>
        <v>No</v>
      </c>
      <c r="M3" s="5" t="str">
        <f>IF(K3="No","No",IF(_xlfn.XLOOKUP(_xlfn.XLOOKUP(B3,'Base stats'!B:B,'Base stats'!E:E),Groups!A:A,Groups!BD:BD)=1,"No",
MROUND(_xlfn.XLOOKUP(B3,'Base stats'!B:B,'Base stats'!BU:BU)/10000+0.01,0.01)
))</f>
        <v>No</v>
      </c>
      <c r="N3" s="4" t="str">
        <f>IF(K3="No","No",
MROUND(
  _xlfn.XLOOKUP(B3,'Base stats'!B:B,'Base stats'!BC:BC)^0.25
  / (_xlfn.XLOOKUP(B3,'Base stats'!B:B,'Base stats'!BM:BM) * 10)
  * _xlfn.XLOOKUP(
      _xlfn.XLOOKUP(B3,'Base stats'!B:B,'Base stats'!E:E),
      Groups!A:A,
      Groups!V:V
    ) * 150
  + MIN(12, _xlfn.XLOOKUP(B3,'Base stats'!B:B,'Base stats'!W:W))^(1/IF(_xlfn.XLOOKUP(_xlfn.XLOOKUP(B3,'Base stats'!B:B,'Base stats'!E:E),Groups!A:A,Groups!U:U)=1,100,10)) + 0.5 + _xlfn.XLOOKUP(B3,'Base stats'!B:B,'Base stats'!BW:BW),
0.05))</f>
        <v>No</v>
      </c>
      <c r="O3" s="3">
        <f>IF(Animals!AD3="No","No",
MAX(MROUND((MIN(10,_xlfn.XLOOKUP(B3,'Base stats'!B:B,'Base stats'!V:V)*IF(_xlfn.XLOOKUP(_xlfn.XLOOKUP(B3,'Base stats'!B:B,'Base stats'!E:E),Groups!A:A,Groups!O:O)=0,1,0.33))^0.4*_xlfn.XLOOKUP(B3,'Base stats'!B:B,'Base stats'!BJ:BJ)^0.73)^0.6 *_xlfn.XLOOKUP(B3,'Base stats'!B:B,'Base stats'!BX:BX),0.1),0.05)
)</f>
        <v>18.2</v>
      </c>
      <c r="P3" s="11">
        <f>IF(O3="No","No",
MROUND(_xlfn.XLOOKUP(B3,'Base stats'!B:B,'Base stats'!BJ:BJ) * 0.01 * 2 + 0.05, 0.05)
)</f>
        <v>6.5500000000000007</v>
      </c>
      <c r="Q3" s="5">
        <f>IF(O3="No","No",
MROUND(_xlfn.XLOOKUP(B3,'Base stats'!B:B,'Base stats'!BV:BV)/10000+0.01,0.01)
)</f>
        <v>0.24</v>
      </c>
      <c r="R3" s="4">
        <f>IF(O3="No","No",
MROUND(_xlfn.XLOOKUP(B3,'Base stats'!B:B,'Base stats'!BB:BB)^0.25
/((_xlfn.XLOOKUP(B3,'Base stats'!B:B,'Base stats'!BN:BN))*10)*_xlfn.XLOOKUP(_xlfn.XLOOKUP(B3,'Base stats'!B:B,'Base stats'!E:E),Groups!A:A,Groups!Z:Z)*150 + 0.5 + _xlfn.XLOOKUP(B3,'Base stats'!B:B,'Base stats'!BW:BW),
0.05))</f>
        <v>2.25</v>
      </c>
      <c r="S3" s="3">
        <f>IF(Animals!AI3="No","No",
IF(_xlfn.XLOOKUP(B3,'Base stats'!B:B,'Base stats'!U:U)="No",
MAX(MROUND(_xlfn.XLOOKUP(B3,'Base stats'!B:B,'Base stats'!BT:BT) * _xlfn.XLOOKUP(B3,'Base stats'!B:B,'Base stats'!BP:BP)^0.9 / 21 * _xlfn.XLOOKUP(B3,'Base stats'!B:B,'Base stats'!BX:BX),0.1),0.05),
MAX(MROUND(((MIN(12,_xlfn.XLOOKUP(B3,'Base stats'!B:B,'Base stats'!U:U)))^0.4*_xlfn.XLOOKUP(B3,'Base stats'!B:B,'Base stats'!BH:BH)^0.73)^0.6 * _xlfn.XLOOKUP(B3,'Base stats'!B:B,'Base stats'!BX:BX),0.1),0.05)
))</f>
        <v>21.5</v>
      </c>
      <c r="T3" s="11">
        <f>IF(S3="No","No",
MROUND(_xlfn.XLOOKUP(B3,'Base stats'!B:B,'Base stats'!BH:BH) * 0.01 * 2 + 0.05, 0.05)
)</f>
        <v>7.3000000000000007</v>
      </c>
      <c r="U3" s="5">
        <f>IF(S3="No","No",IF(_xlfn.XLOOKUP(B3,'Base stats'!B:B,'Base stats'!U:U)="No","No",
MROUND(_xlfn.XLOOKUP(B3,'Base stats'!B:B,'Base stats'!BT:BT)/10000+0.01,0.01)
))</f>
        <v>0.27</v>
      </c>
      <c r="V3" s="4">
        <f>IF(S3="No","No",
MROUND(_xlfn.XLOOKUP(B3,'Base stats'!B:B,'Base stats'!BF:BF)^0.25
/((_xlfn.XLOOKUP(B3,'Base stats'!B:B,'Base stats'!BO:BO))*10)*_xlfn.XLOOKUP(_xlfn.XLOOKUP(B3,'Base stats'!B:B,'Base stats'!E:E),Groups!A:A,Groups!AE:AE)*150 + 0.5 + _xlfn.XLOOKUP(B3,'Base stats'!B:B,'Base stats'!BW:BW),
0.05))</f>
        <v>1.55</v>
      </c>
      <c r="W3" s="8">
        <f>MROUND(_xlfn.XLOOKUP(_xlfn.XLOOKUP(B3,'Base stats'!B:B,'Base stats'!E:E),Groups!A:A,Groups!BG:BG)*_xlfn.XLOOKUP(B3,'Base stats'!B:B,'Base stats'!C:C)^-0.165,0.05)</f>
        <v>0.30000000000000004</v>
      </c>
      <c r="X3" s="1">
        <f>MROUND(_xlfn.XLOOKUP(_xlfn.XLOOKUP(B3,'Base stats'!B:B,'Base stats'!E:E),Groups!A:A,Groups!BH:BH)*_xlfn.XLOOKUP(B3,'Base stats'!B:B,'Base stats'!C:C)^0.165,0.05)</f>
        <v>0.35000000000000003</v>
      </c>
      <c r="Y3" s="8">
        <f>MROUND(_xlfn.XLOOKUP(_xlfn.XLOOKUP(B3,'Base stats'!B:B,'Base stats'!E:E),Groups!A:A,Groups!BI:BI)*_xlfn.XLOOKUP(B3,'Base stats'!B:B,'Base stats'!C:C)^0.165,0.05)</f>
        <v>0.05</v>
      </c>
      <c r="Z3" s="18">
        <f>MROUND(_xlfn.XLOOKUP(B3,'Base stats'!B:B,'Base stats'!AQ:AQ)*_xlfn.XLOOKUP(_xlfn.XLOOKUP(B3,'Base stats'!B:B,'Base stats'!E:E),Groups!A:A,Groups!H:H)/1000,IF((_xlfn.XLOOKUP(B3,'Base stats'!B:B,'Base stats'!AQ:AQ)*_xlfn.XLOOKUP(_xlfn.XLOOKUP(B3,'Base stats'!B:B,'Base stats'!E:E),Groups!A:A,Groups!H:H)/1000)&gt;1,0.05,0.01))</f>
        <v>0.14000000000000001</v>
      </c>
      <c r="AA3" s="18">
        <f>MROUND((1/2)*(_xlfn.XLOOKUP(_xlfn.XLOOKUP(B3,'Base stats'!B:B,'Base stats'!E:E),Groups!A:A,Groups!H:H)*_xlfn.XLOOKUP(_xlfn.XLOOKUP(B3,'Base stats'!B:B,'Base stats'!E:E),Groups!A:A,Groups!I:I))*_xlfn.XLOOKUP(B3,'Base stats'!B:B,'Base stats'!AQ:AQ)*0.01,0.05)</f>
        <v>0.60000000000000009</v>
      </c>
      <c r="AB3" s="18">
        <f>MROUND(250*(Animals!AO3+Animals!AP3),25)</f>
        <v>1100</v>
      </c>
      <c r="AC3" s="18" t="str">
        <f>_xlfn.XLOOKUP(_xlfn.XLOOKUP(B3,'Base stats'!B:B,'Base stats'!E:E),Groups!A:A,Groups!BJ:BJ)</f>
        <v>Quadruped</v>
      </c>
    </row>
    <row r="4" spans="1:29" ht="16.5" thickTop="1" thickBot="1" x14ac:dyDescent="0.3">
      <c r="A4" s="16" t="str">
        <f>Animals!A4</f>
        <v>Raccoon</v>
      </c>
      <c r="B4" s="6" t="str">
        <f>Animals!B4</f>
        <v>Procyon lotor</v>
      </c>
      <c r="C4" s="1" t="str">
        <f>Animals!C4</f>
        <v>&lt;li&gt;Raccoon&lt;/li&gt;</v>
      </c>
      <c r="D4" s="47">
        <f>MIN(MIN(6,_xlfn.XLOOKUP(A4,Animals!A:A,Animals!AO:AO))*20,MAX(MROUND(_xlfn.XLOOKUP(B4,'Base stats'!B:B,'Base stats'!BS:BS) * (_xlfn.XLOOKUP(B4,'Base stats'!B:B,'Base stats'!AO:AO)*5%)^0.9 / 21,0.1),0.05))</f>
        <v>0.30000000000000004</v>
      </c>
      <c r="E4" s="11">
        <f>MROUND(_xlfn.XLOOKUP(B4,'Base stats'!B:B,'Base stats'!BG:BG) * 0.01 * 2 + 0.01, 0.05)</f>
        <v>0.2</v>
      </c>
      <c r="F4" s="7">
        <f>MROUND(_xlfn.XLOOKUP(B4,'Base stats'!B:B,'Base stats'!BD:BD)^0.25 / (_xlfn.XLOOKUP(B4,'Base stats'!B:B,'Base stats'!BK:BK) * 10) * 150 + 0.5 + _xlfn.XLOOKUP(B4,'Base stats'!B:B,'Base stats'!BW:BW), 0.05)</f>
        <v>1.4500000000000002</v>
      </c>
      <c r="G4" s="3" t="str">
        <f>IF(Animals!S4="No","No",
IF(_xlfn.XLOOKUP(B4,'Base stats'!B:B,'Base stats'!U:U)="No",
MAX(MROUND(_xlfn.XLOOKUP(B4,'Base stats'!B:B,'Base stats'!BT:BT) * _xlfn.XLOOKUP(B4,'Base stats'!B:B,'Base stats'!BP:BP)^0.9 / 21 * _xlfn.XLOOKUP(B4,'Base stats'!B:B,'Base stats'!BX:BX),0.1),0.05),
MAX(MROUND(((MIN(10,_xlfn.XLOOKUP(B4,'Base stats'!B:B,'Base stats'!U:U)))^0.4*_xlfn.XLOOKUP(B4,'Base stats'!B:B,'Base stats'!BH:BH)^0.73)^0.6 * _xlfn.XLOOKUP(B4,'Base stats'!B:B,'Base stats'!BX:BX),0.1),0.05)
))</f>
        <v>No</v>
      </c>
      <c r="H4" s="11" t="str">
        <f>IF(G4="No","No",
MROUND(_xlfn.XLOOKUP(B4,'Base stats'!B:B,'Base stats'!BH:BH) * 0.01 * 2 + 0.05, 0.05)
)</f>
        <v>No</v>
      </c>
      <c r="I4" s="11" t="str">
        <f>IF(G4="No","No",IF(_xlfn.XLOOKUP(B4,'Base stats'!B:B,'Base stats'!U:U)="No","No",
MROUND(_xlfn.XLOOKUP(B4,'Base stats'!B:B,'Base stats'!BT:BT)/10000+0.01,0.01)
))</f>
        <v>No</v>
      </c>
      <c r="J4" s="4" t="str">
        <f>IF(G4="No","No",
MROUND(_xlfn.XLOOKUP(B4,'Base stats'!B:B,'Base stats'!BE:BE)^0.25
/((_xlfn.XLOOKUP(B4,'Base stats'!B:B,'Base stats'!BL:BL))*10)*_xlfn.XLOOKUP(_xlfn.XLOOKUP(B4,'Base stats'!B:B,'Base stats'!E:E),Groups!A:A,Groups!Q:Q)*150 + 0.5 + _xlfn.XLOOKUP(B4,'Base stats'!B:B,'Base stats'!BW:BW),
0.05))</f>
        <v>No</v>
      </c>
      <c r="K4" s="3" t="str">
        <f>IF(Animals!X4="No","No",
IF(_xlfn.XLOOKUP(_xlfn.XLOOKUP(B4,'Base stats'!B:B,'Base stats'!E:E),Groups!A:A,Groups!BD:BD)=1,
MAX(MROUND(_xlfn.XLOOKUP(B4,'Base stats'!B:B,'Base stats'!BU:BU) * _xlfn.XLOOKUP(B4,'Base stats'!B:B,'Base stats'!BQ:BQ)^0.9 / 21 *_xlfn.XLOOKUP(B4,'Base stats'!B:B,'Base stats'!BX:BX),0.1),0.05),
MAX(MROUND(((MIN(10,_xlfn.XLOOKUP(B4,'Base stats'!B:B,'Base stats'!W:W)))^0.4*_xlfn.XLOOKUP(B4,'Base stats'!B:B,'Base stats'!BI:BI)^0.73)^0.6 *_xlfn.XLOOKUP(B4,'Base stats'!B:B,'Base stats'!BX:BX),0.1),0.05)
))</f>
        <v>No</v>
      </c>
      <c r="L4" s="11" t="str">
        <f>IF(K4="No","No",
MROUND(_xlfn.XLOOKUP(B4,'Base stats'!B:B,'Base stats'!BI:BI) * 0.01 *2 + 0.05, 0.05)
)</f>
        <v>No</v>
      </c>
      <c r="M4" s="5" t="str">
        <f>IF(K4="No","No",IF(_xlfn.XLOOKUP(_xlfn.XLOOKUP(B4,'Base stats'!B:B,'Base stats'!E:E),Groups!A:A,Groups!BD:BD)=1,"No",
MROUND(_xlfn.XLOOKUP(B4,'Base stats'!B:B,'Base stats'!BU:BU)/10000+0.01,0.01)
))</f>
        <v>No</v>
      </c>
      <c r="N4" s="4" t="str">
        <f>IF(K4="No","No",
MROUND(
  _xlfn.XLOOKUP(B4,'Base stats'!B:B,'Base stats'!BC:BC)^0.25
  / (_xlfn.XLOOKUP(B4,'Base stats'!B:B,'Base stats'!BM:BM) * 10)
  * _xlfn.XLOOKUP(
      _xlfn.XLOOKUP(B4,'Base stats'!B:B,'Base stats'!E:E),
      Groups!A:A,
      Groups!V:V
    ) * 150
  + MIN(12, _xlfn.XLOOKUP(B4,'Base stats'!B:B,'Base stats'!W:W))^(1/IF(_xlfn.XLOOKUP(_xlfn.XLOOKUP(B4,'Base stats'!B:B,'Base stats'!E:E),Groups!A:A,Groups!U:U)=1,100,10)) + 0.5 + _xlfn.XLOOKUP(B4,'Base stats'!B:B,'Base stats'!BW:BW),
0.05))</f>
        <v>No</v>
      </c>
      <c r="O4" s="3">
        <f>IF(Animals!AD4="No","No",
MAX(MROUND((MIN(10,_xlfn.XLOOKUP(B4,'Base stats'!B:B,'Base stats'!V:V)*IF(_xlfn.XLOOKUP(_xlfn.XLOOKUP(B4,'Base stats'!B:B,'Base stats'!E:E),Groups!A:A,Groups!O:O)=0,1,0.33))^0.4*_xlfn.XLOOKUP(B4,'Base stats'!B:B,'Base stats'!BJ:BJ)^0.73)^0.6 *_xlfn.XLOOKUP(B4,'Base stats'!B:B,'Base stats'!BX:BX),0.1),0.05)
)</f>
        <v>3.2</v>
      </c>
      <c r="P4" s="11">
        <f>IF(O4="No","No",
MROUND(_xlfn.XLOOKUP(B4,'Base stats'!B:B,'Base stats'!BJ:BJ) * 0.01 * 2 + 0.05, 0.05)
)</f>
        <v>0.25</v>
      </c>
      <c r="Q4" s="5">
        <f>IF(O4="No","No",
MROUND(_xlfn.XLOOKUP(B4,'Base stats'!B:B,'Base stats'!BV:BV)/10000+0.01,0.01)
)</f>
        <v>0.05</v>
      </c>
      <c r="R4" s="4">
        <f>IF(O4="No","No",
MROUND(_xlfn.XLOOKUP(B4,'Base stats'!B:B,'Base stats'!BB:BB)^0.25
/((_xlfn.XLOOKUP(B4,'Base stats'!B:B,'Base stats'!BN:BN))*10)*_xlfn.XLOOKUP(_xlfn.XLOOKUP(B4,'Base stats'!B:B,'Base stats'!E:E),Groups!A:A,Groups!Z:Z)*150 + 0.5 + _xlfn.XLOOKUP(B4,'Base stats'!B:B,'Base stats'!BW:BW),
0.05))</f>
        <v>1.9000000000000001</v>
      </c>
      <c r="S4" s="3">
        <f>IF(Animals!AI4="No","No",
IF(_xlfn.XLOOKUP(B4,'Base stats'!B:B,'Base stats'!U:U)="No",
MAX(MROUND(_xlfn.XLOOKUP(B4,'Base stats'!B:B,'Base stats'!BT:BT) * _xlfn.XLOOKUP(B4,'Base stats'!B:B,'Base stats'!BP:BP)^0.9 / 21 * _xlfn.XLOOKUP(B4,'Base stats'!B:B,'Base stats'!BX:BX),0.1),0.05),
MAX(MROUND(((MIN(12,_xlfn.XLOOKUP(B4,'Base stats'!B:B,'Base stats'!U:U)))^0.4*_xlfn.XLOOKUP(B4,'Base stats'!B:B,'Base stats'!BH:BH)^0.73)^0.6 * _xlfn.XLOOKUP(B4,'Base stats'!B:B,'Base stats'!BX:BX),0.1),0.05)
))</f>
        <v>3.4000000000000004</v>
      </c>
      <c r="T4" s="11">
        <f>IF(S4="No","No",
MROUND(_xlfn.XLOOKUP(B4,'Base stats'!B:B,'Base stats'!BH:BH) * 0.01 * 2 + 0.05, 0.05)
)</f>
        <v>0.35000000000000003</v>
      </c>
      <c r="U4" s="5">
        <f>IF(S4="No","No",IF(_xlfn.XLOOKUP(B4,'Base stats'!B:B,'Base stats'!U:U)="No","No",
MROUND(_xlfn.XLOOKUP(B4,'Base stats'!B:B,'Base stats'!BT:BT)/10000+0.01,0.01)
))</f>
        <v>0.06</v>
      </c>
      <c r="V4" s="4">
        <f>IF(S4="No","No",
MROUND(_xlfn.XLOOKUP(B4,'Base stats'!B:B,'Base stats'!BF:BF)^0.25
/((_xlfn.XLOOKUP(B4,'Base stats'!B:B,'Base stats'!BO:BO))*10)*_xlfn.XLOOKUP(_xlfn.XLOOKUP(B4,'Base stats'!B:B,'Base stats'!E:E),Groups!A:A,Groups!AE:AE)*150 + 0.5 + _xlfn.XLOOKUP(B4,'Base stats'!B:B,'Base stats'!BW:BW),
0.05))</f>
        <v>1.1000000000000001</v>
      </c>
      <c r="W4" s="8">
        <f>MROUND(_xlfn.XLOOKUP(_xlfn.XLOOKUP(B4,'Base stats'!B:B,'Base stats'!E:E),Groups!A:A,Groups!BG:BG)*_xlfn.XLOOKUP(B4,'Base stats'!B:B,'Base stats'!C:C)^-0.165,0.05)</f>
        <v>0.5</v>
      </c>
      <c r="X4" s="1">
        <f>MROUND(_xlfn.XLOOKUP(_xlfn.XLOOKUP(B4,'Base stats'!B:B,'Base stats'!E:E),Groups!A:A,Groups!BH:BH)*_xlfn.XLOOKUP(B4,'Base stats'!B:B,'Base stats'!C:C)^0.165,0.05)</f>
        <v>0.15000000000000002</v>
      </c>
      <c r="Y4" s="8">
        <f>MROUND(_xlfn.XLOOKUP(_xlfn.XLOOKUP(B4,'Base stats'!B:B,'Base stats'!E:E),Groups!A:A,Groups!BI:BI)*_xlfn.XLOOKUP(B4,'Base stats'!B:B,'Base stats'!C:C)^0.165,0.05)</f>
        <v>0.05</v>
      </c>
      <c r="Z4" s="18">
        <f>MROUND(_xlfn.XLOOKUP(B4,'Base stats'!B:B,'Base stats'!AQ:AQ)*_xlfn.XLOOKUP(_xlfn.XLOOKUP(B4,'Base stats'!B:B,'Base stats'!E:E),Groups!A:A,Groups!H:H)/1000,IF((_xlfn.XLOOKUP(B4,'Base stats'!B:B,'Base stats'!AQ:AQ)*_xlfn.XLOOKUP(_xlfn.XLOOKUP(B4,'Base stats'!B:B,'Base stats'!E:E),Groups!A:A,Groups!H:H)/1000)&gt;1,0.05,0.01))</f>
        <v>0.04</v>
      </c>
      <c r="AA4" s="18">
        <f>MROUND((1/2)*(_xlfn.XLOOKUP(_xlfn.XLOOKUP(B4,'Base stats'!B:B,'Base stats'!E:E),Groups!A:A,Groups!H:H)*_xlfn.XLOOKUP(_xlfn.XLOOKUP(B4,'Base stats'!B:B,'Base stats'!E:E),Groups!A:A,Groups!I:I))*_xlfn.XLOOKUP(B4,'Base stats'!B:B,'Base stats'!AQ:AQ)*0.01,0.05)</f>
        <v>0.15000000000000002</v>
      </c>
      <c r="AB4" s="18">
        <f>MROUND(250*(Animals!AO4+Animals!AP4),25)</f>
        <v>200</v>
      </c>
      <c r="AC4" s="18" t="str">
        <f>_xlfn.XLOOKUP(_xlfn.XLOOKUP(B4,'Base stats'!B:B,'Base stats'!E:E),Groups!A:A,Groups!BJ:BJ)</f>
        <v>Quadruped</v>
      </c>
    </row>
    <row r="5" spans="1:29" ht="16.5" thickTop="1" thickBot="1" x14ac:dyDescent="0.3">
      <c r="A5" s="16" t="str">
        <f>Animals!A5</f>
        <v>Ostrich</v>
      </c>
      <c r="B5" s="6" t="str">
        <f>Animals!B5</f>
        <v>Struthio camelus</v>
      </c>
      <c r="C5" s="1" t="str">
        <f>Animals!C5</f>
        <v>&lt;li&gt;Ostrich&lt;/li&gt;</v>
      </c>
      <c r="D5" s="47">
        <f>MIN(MIN(6,_xlfn.XLOOKUP(A5,Animals!A:A,Animals!AO:AO))*20,MAX(MROUND(_xlfn.XLOOKUP(B5,'Base stats'!B:B,'Base stats'!BS:BS) * (_xlfn.XLOOKUP(B5,'Base stats'!B:B,'Base stats'!AO:AO)*5%)^0.9 / 21,0.1),0.05))</f>
        <v>3.3000000000000003</v>
      </c>
      <c r="E5" s="11">
        <f>MROUND(_xlfn.XLOOKUP(B5,'Base stats'!B:B,'Base stats'!BG:BG) * 0.01 * 2 + 0.01, 0.05)</f>
        <v>2.85</v>
      </c>
      <c r="F5" s="7">
        <f>MROUND(_xlfn.XLOOKUP(B5,'Base stats'!B:B,'Base stats'!BD:BD)^0.25 / (_xlfn.XLOOKUP(B5,'Base stats'!B:B,'Base stats'!BK:BK) * 10) * 150 + 0.5 + _xlfn.XLOOKUP(B5,'Base stats'!B:B,'Base stats'!BW:BW), 0.05)</f>
        <v>1.6500000000000001</v>
      </c>
      <c r="G5" s="3">
        <f>IF(Animals!S5="No","No",
IF(_xlfn.XLOOKUP(B5,'Base stats'!B:B,'Base stats'!U:U)="No",
MAX(MROUND(_xlfn.XLOOKUP(B5,'Base stats'!B:B,'Base stats'!BT:BT) * _xlfn.XLOOKUP(B5,'Base stats'!B:B,'Base stats'!BP:BP)^0.9 / 21 * _xlfn.XLOOKUP(B5,'Base stats'!B:B,'Base stats'!BX:BX),0.1),0.05),
MAX(MROUND(((MIN(10,_xlfn.XLOOKUP(B5,'Base stats'!B:B,'Base stats'!U:U)))^0.4*_xlfn.XLOOKUP(B5,'Base stats'!B:B,'Base stats'!BH:BH)^0.73)^0.6 * _xlfn.XLOOKUP(B5,'Base stats'!B:B,'Base stats'!BX:BX),0.1),0.05)
))</f>
        <v>14.5</v>
      </c>
      <c r="H5" s="11">
        <f>IF(G5="No","No",
MROUND(_xlfn.XLOOKUP(B5,'Base stats'!B:B,'Base stats'!BH:BH) * 0.01 * 2 + 0.05, 0.05)
)</f>
        <v>3.6</v>
      </c>
      <c r="I5" s="11">
        <f>IF(G5="No","No",IF(_xlfn.XLOOKUP(B5,'Base stats'!B:B,'Base stats'!U:U)="No","No",
MROUND(_xlfn.XLOOKUP(B5,'Base stats'!B:B,'Base stats'!BT:BT)/10000+0.01,0.01)
))</f>
        <v>0.19</v>
      </c>
      <c r="J5" s="4">
        <f>IF(G5="No","No",
MROUND(_xlfn.XLOOKUP(B5,'Base stats'!B:B,'Base stats'!BE:BE)^0.25
/((_xlfn.XLOOKUP(B5,'Base stats'!B:B,'Base stats'!BL:BL))*10)*_xlfn.XLOOKUP(_xlfn.XLOOKUP(B5,'Base stats'!B:B,'Base stats'!E:E),Groups!A:A,Groups!Q:Q)*150 + 0.5 + _xlfn.XLOOKUP(B5,'Base stats'!B:B,'Base stats'!BW:BW),
0.05))</f>
        <v>3.25</v>
      </c>
      <c r="K5" s="3" t="str">
        <f>IF(Animals!X5="No","No",
IF(_xlfn.XLOOKUP(_xlfn.XLOOKUP(B5,'Base stats'!B:B,'Base stats'!E:E),Groups!A:A,Groups!BD:BD)=1,
MAX(MROUND(_xlfn.XLOOKUP(B5,'Base stats'!B:B,'Base stats'!BU:BU) * _xlfn.XLOOKUP(B5,'Base stats'!B:B,'Base stats'!BQ:BQ)^0.9 / 21 *_xlfn.XLOOKUP(B5,'Base stats'!B:B,'Base stats'!BX:BX),0.1),0.05),
MAX(MROUND(((MIN(10,_xlfn.XLOOKUP(B5,'Base stats'!B:B,'Base stats'!W:W)))^0.4*_xlfn.XLOOKUP(B5,'Base stats'!B:B,'Base stats'!BI:BI)^0.73)^0.6 *_xlfn.XLOOKUP(B5,'Base stats'!B:B,'Base stats'!BX:BX),0.1),0.05)
))</f>
        <v>No</v>
      </c>
      <c r="L5" s="11" t="str">
        <f>IF(K5="No","No",
MROUND(_xlfn.XLOOKUP(B5,'Base stats'!B:B,'Base stats'!BI:BI) * 0.01 *2 + 0.05, 0.05)
)</f>
        <v>No</v>
      </c>
      <c r="M5" s="5" t="str">
        <f>IF(K5="No","No",IF(_xlfn.XLOOKUP(_xlfn.XLOOKUP(B5,'Base stats'!B:B,'Base stats'!E:E),Groups!A:A,Groups!BD:BD)=1,"No",
MROUND(_xlfn.XLOOKUP(B5,'Base stats'!B:B,'Base stats'!BU:BU)/10000+0.01,0.01)
))</f>
        <v>No</v>
      </c>
      <c r="N5" s="4" t="str">
        <f>IF(K5="No","No",
MROUND(
  _xlfn.XLOOKUP(B5,'Base stats'!B:B,'Base stats'!BC:BC)^0.25
  / (_xlfn.XLOOKUP(B5,'Base stats'!B:B,'Base stats'!BM:BM) * 10)
  * _xlfn.XLOOKUP(
      _xlfn.XLOOKUP(B5,'Base stats'!B:B,'Base stats'!E:E),
      Groups!A:A,
      Groups!V:V
    ) * 150
  + MIN(12, _xlfn.XLOOKUP(B5,'Base stats'!B:B,'Base stats'!W:W))^(1/IF(_xlfn.XLOOKUP(_xlfn.XLOOKUP(B5,'Base stats'!B:B,'Base stats'!E:E),Groups!A:A,Groups!U:U)=1,100,10)) + 0.5 + _xlfn.XLOOKUP(B5,'Base stats'!B:B,'Base stats'!BW:BW),
0.05))</f>
        <v>No</v>
      </c>
      <c r="O5" s="3">
        <f>IF(Animals!AD5="No","No",
MAX(MROUND((MIN(10,_xlfn.XLOOKUP(B5,'Base stats'!B:B,'Base stats'!V:V)*IF(_xlfn.XLOOKUP(_xlfn.XLOOKUP(B5,'Base stats'!B:B,'Base stats'!E:E),Groups!A:A,Groups!O:O)=0,1,0.33))^0.4*_xlfn.XLOOKUP(B5,'Base stats'!B:B,'Base stats'!BJ:BJ)^0.73)^0.6 *_xlfn.XLOOKUP(B5,'Base stats'!B:B,'Base stats'!BX:BX),0.1),0.05)
)</f>
        <v>4.7</v>
      </c>
      <c r="P5" s="11">
        <f>IF(O5="No","No",
MROUND(_xlfn.XLOOKUP(B5,'Base stats'!B:B,'Base stats'!BJ:BJ) * 0.01 * 2 + 0.05, 0.05)
)</f>
        <v>0.5</v>
      </c>
      <c r="Q5" s="5">
        <f>IF(O5="No","No",
MROUND(_xlfn.XLOOKUP(B5,'Base stats'!B:B,'Base stats'!BV:BV)/10000+0.01,0.01)
)</f>
        <v>0.03</v>
      </c>
      <c r="R5" s="4">
        <f>IF(O5="No","No",
MROUND(_xlfn.XLOOKUP(B5,'Base stats'!B:B,'Base stats'!BB:BB)^0.25
/((_xlfn.XLOOKUP(B5,'Base stats'!B:B,'Base stats'!BN:BN))*10)*_xlfn.XLOOKUP(_xlfn.XLOOKUP(B5,'Base stats'!B:B,'Base stats'!E:E),Groups!A:A,Groups!Z:Z)*150 + 0.5 + _xlfn.XLOOKUP(B5,'Base stats'!B:B,'Base stats'!BW:BW),
0.05))</f>
        <v>2.5</v>
      </c>
      <c r="S5" s="3" t="str">
        <f>IF(Animals!AI5="No","No",
IF(_xlfn.XLOOKUP(B5,'Base stats'!B:B,'Base stats'!U:U)="No",
MAX(MROUND(_xlfn.XLOOKUP(B5,'Base stats'!B:B,'Base stats'!BT:BT) * _xlfn.XLOOKUP(B5,'Base stats'!B:B,'Base stats'!BP:BP)^0.9 / 21 * _xlfn.XLOOKUP(B5,'Base stats'!B:B,'Base stats'!BX:BX),0.1),0.05),
MAX(MROUND(((MIN(12,_xlfn.XLOOKUP(B5,'Base stats'!B:B,'Base stats'!U:U)))^0.4*_xlfn.XLOOKUP(B5,'Base stats'!B:B,'Base stats'!BH:BH)^0.73)^0.6 * _xlfn.XLOOKUP(B5,'Base stats'!B:B,'Base stats'!BX:BX),0.1),0.05)
))</f>
        <v>No</v>
      </c>
      <c r="T5" s="11" t="str">
        <f>IF(S5="No","No",
MROUND(_xlfn.XLOOKUP(B5,'Base stats'!B:B,'Base stats'!BH:BH) * 0.01 * 2 + 0.05, 0.05)
)</f>
        <v>No</v>
      </c>
      <c r="U5" s="5" t="str">
        <f>IF(S5="No","No",IF(_xlfn.XLOOKUP(B5,'Base stats'!B:B,'Base stats'!U:U)="No","No",
MROUND(_xlfn.XLOOKUP(B5,'Base stats'!B:B,'Base stats'!BT:BT)/10000+0.01,0.01)
))</f>
        <v>No</v>
      </c>
      <c r="V5" s="4" t="str">
        <f>IF(S5="No","No",
MROUND(_xlfn.XLOOKUP(B5,'Base stats'!B:B,'Base stats'!BF:BF)^0.25
/((_xlfn.XLOOKUP(B5,'Base stats'!B:B,'Base stats'!BO:BO))*10)*_xlfn.XLOOKUP(_xlfn.XLOOKUP(B5,'Base stats'!B:B,'Base stats'!E:E),Groups!A:A,Groups!AE:AE)*150 + 0.5 + _xlfn.XLOOKUP(B5,'Base stats'!B:B,'Base stats'!BW:BW),
0.05))</f>
        <v>No</v>
      </c>
      <c r="W5" s="8">
        <f>MROUND(_xlfn.XLOOKUP(_xlfn.XLOOKUP(B5,'Base stats'!B:B,'Base stats'!E:E),Groups!A:A,Groups!BG:BG)*_xlfn.XLOOKUP(B5,'Base stats'!B:B,'Base stats'!C:C)^-0.165,0.05)</f>
        <v>0.45</v>
      </c>
      <c r="X5" s="1">
        <f>MROUND(_xlfn.XLOOKUP(_xlfn.XLOOKUP(B5,'Base stats'!B:B,'Base stats'!E:E),Groups!A:A,Groups!BH:BH)*_xlfn.XLOOKUP(B5,'Base stats'!B:B,'Base stats'!C:C)^0.165,0.05)</f>
        <v>0</v>
      </c>
      <c r="Y5" s="8">
        <f>MROUND(_xlfn.XLOOKUP(_xlfn.XLOOKUP(B5,'Base stats'!B:B,'Base stats'!E:E),Groups!A:A,Groups!BI:BI)*_xlfn.XLOOKUP(B5,'Base stats'!B:B,'Base stats'!C:C)^0.165,0.05)</f>
        <v>0</v>
      </c>
      <c r="Z5" s="18">
        <f>MROUND(_xlfn.XLOOKUP(B5,'Base stats'!B:B,'Base stats'!AQ:AQ)*_xlfn.XLOOKUP(_xlfn.XLOOKUP(B5,'Base stats'!B:B,'Base stats'!E:E),Groups!A:A,Groups!H:H)/1000,IF((_xlfn.XLOOKUP(B5,'Base stats'!B:B,'Base stats'!AQ:AQ)*_xlfn.XLOOKUP(_xlfn.XLOOKUP(B5,'Base stats'!B:B,'Base stats'!E:E),Groups!A:A,Groups!H:H)/1000)&gt;1,0.05,0.01))</f>
        <v>0</v>
      </c>
      <c r="AA5" s="18">
        <f>MROUND((1/2)*(_xlfn.XLOOKUP(_xlfn.XLOOKUP(B5,'Base stats'!B:B,'Base stats'!E:E),Groups!A:A,Groups!H:H)*_xlfn.XLOOKUP(_xlfn.XLOOKUP(B5,'Base stats'!B:B,'Base stats'!E:E),Groups!A:A,Groups!I:I))*_xlfn.XLOOKUP(B5,'Base stats'!B:B,'Base stats'!AQ:AQ)*0.01,0.05)</f>
        <v>0</v>
      </c>
      <c r="AB5" s="18">
        <f>MROUND(250*(Animals!AO5+Animals!AP5),25)</f>
        <v>650</v>
      </c>
      <c r="AC5" s="18" t="str">
        <f>_xlfn.XLOOKUP(_xlfn.XLOOKUP(B5,'Base stats'!B:B,'Base stats'!E:E),Groups!A:A,Groups!BJ:BJ)</f>
        <v>Birdlike</v>
      </c>
    </row>
    <row r="6" spans="1:29" ht="16.5" thickTop="1" thickBot="1" x14ac:dyDescent="0.3">
      <c r="A6" s="16" t="str">
        <f>Animals!A6</f>
        <v>Cassowary</v>
      </c>
      <c r="B6" s="6" t="str">
        <f>Animals!B6</f>
        <v>Casuarius casuarius</v>
      </c>
      <c r="C6" s="1" t="str">
        <f>Animals!C6</f>
        <v>&lt;li&gt;Cassowary&lt;/li&gt;</v>
      </c>
      <c r="D6" s="47">
        <f>MIN(MIN(6,_xlfn.XLOOKUP(A6,Animals!A:A,Animals!AO:AO))*20,MAX(MROUND(_xlfn.XLOOKUP(B6,'Base stats'!B:B,'Base stats'!BS:BS) * (_xlfn.XLOOKUP(B6,'Base stats'!B:B,'Base stats'!AO:AO)*5%)^0.9 / 21,0.1),0.05))</f>
        <v>1.5</v>
      </c>
      <c r="E6" s="11">
        <f>MROUND(_xlfn.XLOOKUP(B6,'Base stats'!B:B,'Base stats'!BG:BG) * 0.01 * 2 + 0.01, 0.05)</f>
        <v>1.25</v>
      </c>
      <c r="F6" s="7">
        <f>MROUND(_xlfn.XLOOKUP(B6,'Base stats'!B:B,'Base stats'!BD:BD)^0.25 / (_xlfn.XLOOKUP(B6,'Base stats'!B:B,'Base stats'!BK:BK) * 10) * 150 + 0.5 + _xlfn.XLOOKUP(B6,'Base stats'!B:B,'Base stats'!BW:BW), 0.05)</f>
        <v>1.55</v>
      </c>
      <c r="G6" s="3">
        <f>IF(Animals!S6="No","No",
IF(_xlfn.XLOOKUP(B6,'Base stats'!B:B,'Base stats'!U:U)="No",
MAX(MROUND(_xlfn.XLOOKUP(B6,'Base stats'!B:B,'Base stats'!BT:BT) * _xlfn.XLOOKUP(B6,'Base stats'!B:B,'Base stats'!BP:BP)^0.9 / 21 * _xlfn.XLOOKUP(B6,'Base stats'!B:B,'Base stats'!BX:BX),0.1),0.05),
MAX(MROUND(((MIN(10,_xlfn.XLOOKUP(B6,'Base stats'!B:B,'Base stats'!U:U)))^0.4*_xlfn.XLOOKUP(B6,'Base stats'!B:B,'Base stats'!BH:BH)^0.73)^0.6 * _xlfn.XLOOKUP(B6,'Base stats'!B:B,'Base stats'!BX:BX),0.1),0.05)
))</f>
        <v>11.9</v>
      </c>
      <c r="H6" s="11">
        <f>IF(G6="No","No",
MROUND(_xlfn.XLOOKUP(B6,'Base stats'!B:B,'Base stats'!BH:BH) * 0.01 * 2 + 0.05, 0.05)
)</f>
        <v>1.6500000000000001</v>
      </c>
      <c r="I6" s="11">
        <f>IF(G6="No","No",IF(_xlfn.XLOOKUP(B6,'Base stats'!B:B,'Base stats'!U:U)="No","No",
MROUND(_xlfn.XLOOKUP(B6,'Base stats'!B:B,'Base stats'!BT:BT)/10000+0.01,0.01)
))</f>
        <v>0.13</v>
      </c>
      <c r="J6" s="4">
        <f>IF(G6="No","No",
MROUND(_xlfn.XLOOKUP(B6,'Base stats'!B:B,'Base stats'!BE:BE)^0.25
/((_xlfn.XLOOKUP(B6,'Base stats'!B:B,'Base stats'!BL:BL))*10)*_xlfn.XLOOKUP(_xlfn.XLOOKUP(B6,'Base stats'!B:B,'Base stats'!E:E),Groups!A:A,Groups!Q:Q)*150 + 0.5 + _xlfn.XLOOKUP(B6,'Base stats'!B:B,'Base stats'!BW:BW),
0.05))</f>
        <v>2.5500000000000003</v>
      </c>
      <c r="K6" s="3" t="str">
        <f>IF(Animals!X6="No","No",
IF(_xlfn.XLOOKUP(_xlfn.XLOOKUP(B6,'Base stats'!B:B,'Base stats'!E:E),Groups!A:A,Groups!BD:BD)=1,
MAX(MROUND(_xlfn.XLOOKUP(B6,'Base stats'!B:B,'Base stats'!BU:BU) * _xlfn.XLOOKUP(B6,'Base stats'!B:B,'Base stats'!BQ:BQ)^0.9 / 21 *_xlfn.XLOOKUP(B6,'Base stats'!B:B,'Base stats'!BX:BX),0.1),0.05),
MAX(MROUND(((MIN(10,_xlfn.XLOOKUP(B6,'Base stats'!B:B,'Base stats'!W:W)))^0.4*_xlfn.XLOOKUP(B6,'Base stats'!B:B,'Base stats'!BI:BI)^0.73)^0.6 *_xlfn.XLOOKUP(B6,'Base stats'!B:B,'Base stats'!BX:BX),0.1),0.05)
))</f>
        <v>No</v>
      </c>
      <c r="L6" s="11" t="str">
        <f>IF(K6="No","No",
MROUND(_xlfn.XLOOKUP(B6,'Base stats'!B:B,'Base stats'!BI:BI) * 0.01 *2 + 0.05, 0.05)
)</f>
        <v>No</v>
      </c>
      <c r="M6" s="5" t="str">
        <f>IF(K6="No","No",IF(_xlfn.XLOOKUP(_xlfn.XLOOKUP(B6,'Base stats'!B:B,'Base stats'!E:E),Groups!A:A,Groups!BD:BD)=1,"No",
MROUND(_xlfn.XLOOKUP(B6,'Base stats'!B:B,'Base stats'!BU:BU)/10000+0.01,0.01)
))</f>
        <v>No</v>
      </c>
      <c r="N6" s="4" t="str">
        <f>IF(K6="No","No",
MROUND(
  _xlfn.XLOOKUP(B6,'Base stats'!B:B,'Base stats'!BC:BC)^0.25
  / (_xlfn.XLOOKUP(B6,'Base stats'!B:B,'Base stats'!BM:BM) * 10)
  * _xlfn.XLOOKUP(
      _xlfn.XLOOKUP(B6,'Base stats'!B:B,'Base stats'!E:E),
      Groups!A:A,
      Groups!V:V
    ) * 150
  + MIN(12, _xlfn.XLOOKUP(B6,'Base stats'!B:B,'Base stats'!W:W))^(1/IF(_xlfn.XLOOKUP(_xlfn.XLOOKUP(B6,'Base stats'!B:B,'Base stats'!E:E),Groups!A:A,Groups!U:U)=1,100,10)) + 0.5 + _xlfn.XLOOKUP(B6,'Base stats'!B:B,'Base stats'!BW:BW),
0.05))</f>
        <v>No</v>
      </c>
      <c r="O6" s="3">
        <f>IF(Animals!AD6="No","No",
MAX(MROUND((MIN(10,_xlfn.XLOOKUP(B6,'Base stats'!B:B,'Base stats'!V:V)*IF(_xlfn.XLOOKUP(_xlfn.XLOOKUP(B6,'Base stats'!B:B,'Base stats'!E:E),Groups!A:A,Groups!O:O)=0,1,0.33))^0.4*_xlfn.XLOOKUP(B6,'Base stats'!B:B,'Base stats'!BJ:BJ)^0.73)^0.6 *_xlfn.XLOOKUP(B6,'Base stats'!B:B,'Base stats'!BX:BX),0.1),0.05)
)</f>
        <v>4.2</v>
      </c>
      <c r="P6" s="11">
        <f>IF(O6="No","No",
MROUND(_xlfn.XLOOKUP(B6,'Base stats'!B:B,'Base stats'!BJ:BJ) * 0.01 * 2 + 0.05, 0.05)
)</f>
        <v>0.30000000000000004</v>
      </c>
      <c r="Q6" s="5">
        <f>IF(O6="No","No",
MROUND(_xlfn.XLOOKUP(B6,'Base stats'!B:B,'Base stats'!BV:BV)/10000+0.01,0.01)
)</f>
        <v>0.03</v>
      </c>
      <c r="R6" s="4">
        <f>IF(O6="No","No",
MROUND(_xlfn.XLOOKUP(B6,'Base stats'!B:B,'Base stats'!BB:BB)^0.25
/((_xlfn.XLOOKUP(B6,'Base stats'!B:B,'Base stats'!BN:BN))*10)*_xlfn.XLOOKUP(_xlfn.XLOOKUP(B6,'Base stats'!B:B,'Base stats'!E:E),Groups!A:A,Groups!Z:Z)*150 + 0.5 + _xlfn.XLOOKUP(B6,'Base stats'!B:B,'Base stats'!BW:BW),
0.05))</f>
        <v>2.25</v>
      </c>
      <c r="S6" s="3" t="str">
        <f>IF(Animals!AI6="No","No",
IF(_xlfn.XLOOKUP(B6,'Base stats'!B:B,'Base stats'!U:U)="No",
MAX(MROUND(_xlfn.XLOOKUP(B6,'Base stats'!B:B,'Base stats'!BT:BT) * _xlfn.XLOOKUP(B6,'Base stats'!B:B,'Base stats'!BP:BP)^0.9 / 21 * _xlfn.XLOOKUP(B6,'Base stats'!B:B,'Base stats'!BX:BX),0.1),0.05),
MAX(MROUND(((MIN(12,_xlfn.XLOOKUP(B6,'Base stats'!B:B,'Base stats'!U:U)))^0.4*_xlfn.XLOOKUP(B6,'Base stats'!B:B,'Base stats'!BH:BH)^0.73)^0.6 * _xlfn.XLOOKUP(B6,'Base stats'!B:B,'Base stats'!BX:BX),0.1),0.05)
))</f>
        <v>No</v>
      </c>
      <c r="T6" s="11" t="str">
        <f>IF(S6="No","No",
MROUND(_xlfn.XLOOKUP(B6,'Base stats'!B:B,'Base stats'!BH:BH) * 0.01 * 2 + 0.05, 0.05)
)</f>
        <v>No</v>
      </c>
      <c r="U6" s="5" t="str">
        <f>IF(S6="No","No",IF(_xlfn.XLOOKUP(B6,'Base stats'!B:B,'Base stats'!U:U)="No","No",
MROUND(_xlfn.XLOOKUP(B6,'Base stats'!B:B,'Base stats'!BT:BT)/10000+0.01,0.01)
))</f>
        <v>No</v>
      </c>
      <c r="V6" s="4" t="str">
        <f>IF(S6="No","No",
MROUND(_xlfn.XLOOKUP(B6,'Base stats'!B:B,'Base stats'!BF:BF)^0.25
/((_xlfn.XLOOKUP(B6,'Base stats'!B:B,'Base stats'!BO:BO))*10)*_xlfn.XLOOKUP(_xlfn.XLOOKUP(B6,'Base stats'!B:B,'Base stats'!E:E),Groups!A:A,Groups!AE:AE)*150 + 0.5 + _xlfn.XLOOKUP(B6,'Base stats'!B:B,'Base stats'!BW:BW),
0.05))</f>
        <v>No</v>
      </c>
      <c r="W6" s="8">
        <f>MROUND(_xlfn.XLOOKUP(_xlfn.XLOOKUP(B6,'Base stats'!B:B,'Base stats'!E:E),Groups!A:A,Groups!BG:BG)*_xlfn.XLOOKUP(B6,'Base stats'!B:B,'Base stats'!C:C)^-0.165,0.05)</f>
        <v>0.55000000000000004</v>
      </c>
      <c r="X6" s="1">
        <f>MROUND(_xlfn.XLOOKUP(_xlfn.XLOOKUP(B6,'Base stats'!B:B,'Base stats'!E:E),Groups!A:A,Groups!BH:BH)*_xlfn.XLOOKUP(B6,'Base stats'!B:B,'Base stats'!C:C)^0.165,0.05)</f>
        <v>0</v>
      </c>
      <c r="Y6" s="8">
        <f>MROUND(_xlfn.XLOOKUP(_xlfn.XLOOKUP(B6,'Base stats'!B:B,'Base stats'!E:E),Groups!A:A,Groups!BI:BI)*_xlfn.XLOOKUP(B6,'Base stats'!B:B,'Base stats'!C:C)^0.165,0.05)</f>
        <v>0</v>
      </c>
      <c r="Z6" s="18">
        <f>MROUND(_xlfn.XLOOKUP(B6,'Base stats'!B:B,'Base stats'!AQ:AQ)*_xlfn.XLOOKUP(_xlfn.XLOOKUP(B6,'Base stats'!B:B,'Base stats'!E:E),Groups!A:A,Groups!H:H)/1000,IF((_xlfn.XLOOKUP(B6,'Base stats'!B:B,'Base stats'!AQ:AQ)*_xlfn.XLOOKUP(_xlfn.XLOOKUP(B6,'Base stats'!B:B,'Base stats'!E:E),Groups!A:A,Groups!H:H)/1000)&gt;1,0.05,0.01))</f>
        <v>0</v>
      </c>
      <c r="AA6" s="18">
        <f>MROUND((1/2)*(_xlfn.XLOOKUP(_xlfn.XLOOKUP(B6,'Base stats'!B:B,'Base stats'!E:E),Groups!A:A,Groups!H:H)*_xlfn.XLOOKUP(_xlfn.XLOOKUP(B6,'Base stats'!B:B,'Base stats'!E:E),Groups!A:A,Groups!I:I))*_xlfn.XLOOKUP(B6,'Base stats'!B:B,'Base stats'!AQ:AQ)*0.01,0.05)</f>
        <v>0</v>
      </c>
      <c r="AB6" s="18">
        <f>MROUND(250*(Animals!AO6+Animals!AP6),25)</f>
        <v>400</v>
      </c>
      <c r="AC6" s="18" t="str">
        <f>_xlfn.XLOOKUP(_xlfn.XLOOKUP(B6,'Base stats'!B:B,'Base stats'!E:E),Groups!A:A,Groups!BJ:BJ)</f>
        <v>Birdlike</v>
      </c>
    </row>
    <row r="7" spans="1:29" ht="16.5" thickTop="1" thickBot="1" x14ac:dyDescent="0.3">
      <c r="A7" s="16" t="str">
        <f>Animals!A7</f>
        <v>Emu</v>
      </c>
      <c r="B7" s="6" t="str">
        <f>Animals!B7</f>
        <v>Dromaius novaehollandiae</v>
      </c>
      <c r="C7" s="1" t="str">
        <f>Animals!C7</f>
        <v>&lt;li&gt;Emu&lt;/li&gt;</v>
      </c>
      <c r="D7" s="47">
        <f>MIN(MIN(6,_xlfn.XLOOKUP(A7,Animals!A:A,Animals!AO:AO))*20,MAX(MROUND(_xlfn.XLOOKUP(B7,'Base stats'!B:B,'Base stats'!BS:BS) * (_xlfn.XLOOKUP(B7,'Base stats'!B:B,'Base stats'!AO:AO)*5%)^0.9 / 21,0.1),0.05))</f>
        <v>1.4000000000000001</v>
      </c>
      <c r="E7" s="11">
        <f>MROUND(_xlfn.XLOOKUP(B7,'Base stats'!B:B,'Base stats'!BG:BG) * 0.01 * 2 + 0.01, 0.05)</f>
        <v>1.1000000000000001</v>
      </c>
      <c r="F7" s="7">
        <f>MROUND(_xlfn.XLOOKUP(B7,'Base stats'!B:B,'Base stats'!BD:BD)^0.25 / (_xlfn.XLOOKUP(B7,'Base stats'!B:B,'Base stats'!BK:BK) * 10) * 150 + 0.5 + _xlfn.XLOOKUP(B7,'Base stats'!B:B,'Base stats'!BW:BW), 0.05)</f>
        <v>1.5</v>
      </c>
      <c r="G7" s="3">
        <f>IF(Animals!S7="No","No",
IF(_xlfn.XLOOKUP(B7,'Base stats'!B:B,'Base stats'!U:U)="No",
MAX(MROUND(_xlfn.XLOOKUP(B7,'Base stats'!B:B,'Base stats'!BT:BT) * _xlfn.XLOOKUP(B7,'Base stats'!B:B,'Base stats'!BP:BP)^0.9 / 21 * _xlfn.XLOOKUP(B7,'Base stats'!B:B,'Base stats'!BX:BX),0.1),0.05),
MAX(MROUND(((MIN(10,_xlfn.XLOOKUP(B7,'Base stats'!B:B,'Base stats'!U:U)))^0.4*_xlfn.XLOOKUP(B7,'Base stats'!B:B,'Base stats'!BH:BH)^0.73)^0.6 * _xlfn.XLOOKUP(B7,'Base stats'!B:B,'Base stats'!BX:BX),0.1),0.05)
))</f>
        <v>8.2000000000000011</v>
      </c>
      <c r="H7" s="11">
        <f>IF(G7="No","No",
MROUND(_xlfn.XLOOKUP(B7,'Base stats'!B:B,'Base stats'!BH:BH) * 0.01 * 2 + 0.05, 0.05)
)</f>
        <v>1.5</v>
      </c>
      <c r="I7" s="11">
        <f>IF(G7="No","No",IF(_xlfn.XLOOKUP(B7,'Base stats'!B:B,'Base stats'!U:U)="No","No",
MROUND(_xlfn.XLOOKUP(B7,'Base stats'!B:B,'Base stats'!BT:BT)/10000+0.01,0.01)
))</f>
        <v>0.12</v>
      </c>
      <c r="J7" s="4">
        <f>IF(G7="No","No",
MROUND(_xlfn.XLOOKUP(B7,'Base stats'!B:B,'Base stats'!BE:BE)^0.25
/((_xlfn.XLOOKUP(B7,'Base stats'!B:B,'Base stats'!BL:BL))*10)*_xlfn.XLOOKUP(_xlfn.XLOOKUP(B7,'Base stats'!B:B,'Base stats'!E:E),Groups!A:A,Groups!Q:Q)*150 + 0.5 + _xlfn.XLOOKUP(B7,'Base stats'!B:B,'Base stats'!BW:BW),
0.05))</f>
        <v>2.75</v>
      </c>
      <c r="K7" s="3" t="str">
        <f>IF(Animals!X7="No","No",
IF(_xlfn.XLOOKUP(_xlfn.XLOOKUP(B7,'Base stats'!B:B,'Base stats'!E:E),Groups!A:A,Groups!BD:BD)=1,
MAX(MROUND(_xlfn.XLOOKUP(B7,'Base stats'!B:B,'Base stats'!BU:BU) * _xlfn.XLOOKUP(B7,'Base stats'!B:B,'Base stats'!BQ:BQ)^0.9 / 21 *_xlfn.XLOOKUP(B7,'Base stats'!B:B,'Base stats'!BX:BX),0.1),0.05),
MAX(MROUND(((MIN(10,_xlfn.XLOOKUP(B7,'Base stats'!B:B,'Base stats'!W:W)))^0.4*_xlfn.XLOOKUP(B7,'Base stats'!B:B,'Base stats'!BI:BI)^0.73)^0.6 *_xlfn.XLOOKUP(B7,'Base stats'!B:B,'Base stats'!BX:BX),0.1),0.05)
))</f>
        <v>No</v>
      </c>
      <c r="L7" s="11" t="str">
        <f>IF(K7="No","No",
MROUND(_xlfn.XLOOKUP(B7,'Base stats'!B:B,'Base stats'!BI:BI) * 0.01 *2 + 0.05, 0.05)
)</f>
        <v>No</v>
      </c>
      <c r="M7" s="5" t="str">
        <f>IF(K7="No","No",IF(_xlfn.XLOOKUP(_xlfn.XLOOKUP(B7,'Base stats'!B:B,'Base stats'!E:E),Groups!A:A,Groups!BD:BD)=1,"No",
MROUND(_xlfn.XLOOKUP(B7,'Base stats'!B:B,'Base stats'!BU:BU)/10000+0.01,0.01)
))</f>
        <v>No</v>
      </c>
      <c r="N7" s="4" t="str">
        <f>IF(K7="No","No",
MROUND(
  _xlfn.XLOOKUP(B7,'Base stats'!B:B,'Base stats'!BC:BC)^0.25
  / (_xlfn.XLOOKUP(B7,'Base stats'!B:B,'Base stats'!BM:BM) * 10)
  * _xlfn.XLOOKUP(
      _xlfn.XLOOKUP(B7,'Base stats'!B:B,'Base stats'!E:E),
      Groups!A:A,
      Groups!V:V
    ) * 150
  + MIN(12, _xlfn.XLOOKUP(B7,'Base stats'!B:B,'Base stats'!W:W))^(1/IF(_xlfn.XLOOKUP(_xlfn.XLOOKUP(B7,'Base stats'!B:B,'Base stats'!E:E),Groups!A:A,Groups!U:U)=1,100,10)) + 0.5 + _xlfn.XLOOKUP(B7,'Base stats'!B:B,'Base stats'!BW:BW),
0.05))</f>
        <v>No</v>
      </c>
      <c r="O7" s="3">
        <f>IF(Animals!AD7="No","No",
MAX(MROUND((MIN(10,_xlfn.XLOOKUP(B7,'Base stats'!B:B,'Base stats'!V:V)*IF(_xlfn.XLOOKUP(_xlfn.XLOOKUP(B7,'Base stats'!B:B,'Base stats'!E:E),Groups!A:A,Groups!O:O)=0,1,0.33))^0.4*_xlfn.XLOOKUP(B7,'Base stats'!B:B,'Base stats'!BJ:BJ)^0.73)^0.6 *_xlfn.XLOOKUP(B7,'Base stats'!B:B,'Base stats'!BX:BX),0.1),0.05)
)</f>
        <v>3.3000000000000003</v>
      </c>
      <c r="P7" s="11">
        <f>IF(O7="No","No",
MROUND(_xlfn.XLOOKUP(B7,'Base stats'!B:B,'Base stats'!BJ:BJ) * 0.01 * 2 + 0.05, 0.05)
)</f>
        <v>0.25</v>
      </c>
      <c r="Q7" s="5">
        <f>IF(O7="No","No",
MROUND(_xlfn.XLOOKUP(B7,'Base stats'!B:B,'Base stats'!BV:BV)/10000+0.01,0.01)
)</f>
        <v>0.03</v>
      </c>
      <c r="R7" s="4">
        <f>IF(O7="No","No",
MROUND(_xlfn.XLOOKUP(B7,'Base stats'!B:B,'Base stats'!BB:BB)^0.25
/((_xlfn.XLOOKUP(B7,'Base stats'!B:B,'Base stats'!BN:BN))*10)*_xlfn.XLOOKUP(_xlfn.XLOOKUP(B7,'Base stats'!B:B,'Base stats'!E:E),Groups!A:A,Groups!Z:Z)*150 + 0.5 + _xlfn.XLOOKUP(B7,'Base stats'!B:B,'Base stats'!BW:BW),
0.05))</f>
        <v>2.2000000000000002</v>
      </c>
      <c r="S7" s="3" t="str">
        <f>IF(Animals!AI7="No","No",
IF(_xlfn.XLOOKUP(B7,'Base stats'!B:B,'Base stats'!U:U)="No",
MAX(MROUND(_xlfn.XLOOKUP(B7,'Base stats'!B:B,'Base stats'!BT:BT) * _xlfn.XLOOKUP(B7,'Base stats'!B:B,'Base stats'!BP:BP)^0.9 / 21 * _xlfn.XLOOKUP(B7,'Base stats'!B:B,'Base stats'!BX:BX),0.1),0.05),
MAX(MROUND(((MIN(12,_xlfn.XLOOKUP(B7,'Base stats'!B:B,'Base stats'!U:U)))^0.4*_xlfn.XLOOKUP(B7,'Base stats'!B:B,'Base stats'!BH:BH)^0.73)^0.6 * _xlfn.XLOOKUP(B7,'Base stats'!B:B,'Base stats'!BX:BX),0.1),0.05)
))</f>
        <v>No</v>
      </c>
      <c r="T7" s="11" t="str">
        <f>IF(S7="No","No",
MROUND(_xlfn.XLOOKUP(B7,'Base stats'!B:B,'Base stats'!BH:BH) * 0.01 * 2 + 0.05, 0.05)
)</f>
        <v>No</v>
      </c>
      <c r="U7" s="5" t="str">
        <f>IF(S7="No","No",IF(_xlfn.XLOOKUP(B7,'Base stats'!B:B,'Base stats'!U:U)="No","No",
MROUND(_xlfn.XLOOKUP(B7,'Base stats'!B:B,'Base stats'!BT:BT)/10000+0.01,0.01)
))</f>
        <v>No</v>
      </c>
      <c r="V7" s="4" t="str">
        <f>IF(S7="No","No",
MROUND(_xlfn.XLOOKUP(B7,'Base stats'!B:B,'Base stats'!BF:BF)^0.25
/((_xlfn.XLOOKUP(B7,'Base stats'!B:B,'Base stats'!BO:BO))*10)*_xlfn.XLOOKUP(_xlfn.XLOOKUP(B7,'Base stats'!B:B,'Base stats'!E:E),Groups!A:A,Groups!AE:AE)*150 + 0.5 + _xlfn.XLOOKUP(B7,'Base stats'!B:B,'Base stats'!BW:BW),
0.05))</f>
        <v>No</v>
      </c>
      <c r="W7" s="8">
        <f>MROUND(_xlfn.XLOOKUP(_xlfn.XLOOKUP(B7,'Base stats'!B:B,'Base stats'!E:E),Groups!A:A,Groups!BG:BG)*_xlfn.XLOOKUP(B7,'Base stats'!B:B,'Base stats'!C:C)^-0.165,0.05)</f>
        <v>0.55000000000000004</v>
      </c>
      <c r="X7" s="1">
        <f>MROUND(_xlfn.XLOOKUP(_xlfn.XLOOKUP(B7,'Base stats'!B:B,'Base stats'!E:E),Groups!A:A,Groups!BH:BH)*_xlfn.XLOOKUP(B7,'Base stats'!B:B,'Base stats'!C:C)^0.165,0.05)</f>
        <v>0</v>
      </c>
      <c r="Y7" s="8">
        <f>MROUND(_xlfn.XLOOKUP(_xlfn.XLOOKUP(B7,'Base stats'!B:B,'Base stats'!E:E),Groups!A:A,Groups!BI:BI)*_xlfn.XLOOKUP(B7,'Base stats'!B:B,'Base stats'!C:C)^0.165,0.05)</f>
        <v>0</v>
      </c>
      <c r="Z7" s="18">
        <f>MROUND(_xlfn.XLOOKUP(B7,'Base stats'!B:B,'Base stats'!AQ:AQ)*_xlfn.XLOOKUP(_xlfn.XLOOKUP(B7,'Base stats'!B:B,'Base stats'!E:E),Groups!A:A,Groups!H:H)/1000,IF((_xlfn.XLOOKUP(B7,'Base stats'!B:B,'Base stats'!AQ:AQ)*_xlfn.XLOOKUP(_xlfn.XLOOKUP(B7,'Base stats'!B:B,'Base stats'!E:E),Groups!A:A,Groups!H:H)/1000)&gt;1,0.05,0.01))</f>
        <v>0</v>
      </c>
      <c r="AA7" s="18">
        <f>MROUND((1/2)*(_xlfn.XLOOKUP(_xlfn.XLOOKUP(B7,'Base stats'!B:B,'Base stats'!E:E),Groups!A:A,Groups!H:H)*_xlfn.XLOOKUP(_xlfn.XLOOKUP(B7,'Base stats'!B:B,'Base stats'!E:E),Groups!A:A,Groups!I:I))*_xlfn.XLOOKUP(B7,'Base stats'!B:B,'Base stats'!AQ:AQ)*0.01,0.05)</f>
        <v>0</v>
      </c>
      <c r="AB7" s="18">
        <f>MROUND(250*(Animals!AO7+Animals!AP7),25)</f>
        <v>375</v>
      </c>
      <c r="AC7" s="18" t="str">
        <f>_xlfn.XLOOKUP(_xlfn.XLOOKUP(B7,'Base stats'!B:B,'Base stats'!E:E),Groups!A:A,Groups!BJ:BJ)</f>
        <v>Birdlike</v>
      </c>
    </row>
    <row r="8" spans="1:29" ht="16.5" thickTop="1" thickBot="1" x14ac:dyDescent="0.3">
      <c r="A8" s="16" t="str">
        <f>Animals!A8</f>
        <v>Turkey</v>
      </c>
      <c r="B8" s="6" t="str">
        <f>Animals!B8</f>
        <v>Meleagris gallopavo (wild)</v>
      </c>
      <c r="C8" s="1" t="str">
        <f>Animals!C8</f>
        <v>&lt;li&gt;Turkey&lt;/li&gt;</v>
      </c>
      <c r="D8" s="47">
        <f>MIN(MIN(6,_xlfn.XLOOKUP(A8,Animals!A:A,Animals!AO:AO))*20,MAX(MROUND(_xlfn.XLOOKUP(B8,'Base stats'!B:B,'Base stats'!BS:BS) * (_xlfn.XLOOKUP(B8,'Base stats'!B:B,'Base stats'!AO:AO)*5%)^0.9 / 21,0.1),0.05))</f>
        <v>0.30000000000000004</v>
      </c>
      <c r="E8" s="11">
        <f>MROUND(_xlfn.XLOOKUP(B8,'Base stats'!B:B,'Base stats'!BG:BG) * 0.01 * 2 + 0.01, 0.05)</f>
        <v>0.2</v>
      </c>
      <c r="F8" s="7">
        <f>MROUND(_xlfn.XLOOKUP(B8,'Base stats'!B:B,'Base stats'!BD:BD)^0.25 / (_xlfn.XLOOKUP(B8,'Base stats'!B:B,'Base stats'!BK:BK) * 10) * 150 + 0.5 + _xlfn.XLOOKUP(B8,'Base stats'!B:B,'Base stats'!BW:BW), 0.05)</f>
        <v>1.35</v>
      </c>
      <c r="G8" s="3">
        <f>IF(Animals!S8="No","No",
IF(_xlfn.XLOOKUP(B8,'Base stats'!B:B,'Base stats'!U:U)="No",
MAX(MROUND(_xlfn.XLOOKUP(B8,'Base stats'!B:B,'Base stats'!BT:BT) * _xlfn.XLOOKUP(B8,'Base stats'!B:B,'Base stats'!BP:BP)^0.9 / 21 * _xlfn.XLOOKUP(B8,'Base stats'!B:B,'Base stats'!BX:BX),0.1),0.05),
MAX(MROUND(((MIN(10,_xlfn.XLOOKUP(B8,'Base stats'!B:B,'Base stats'!U:U)))^0.4*_xlfn.XLOOKUP(B8,'Base stats'!B:B,'Base stats'!BH:BH)^0.73)^0.6 * _xlfn.XLOOKUP(B8,'Base stats'!B:B,'Base stats'!BX:BX),0.1),0.05)
))</f>
        <v>4.5</v>
      </c>
      <c r="H8" s="11">
        <f>IF(G8="No","No",
MROUND(_xlfn.XLOOKUP(B8,'Base stats'!B:B,'Base stats'!BH:BH) * 0.01 * 2 + 0.05, 0.05)
)</f>
        <v>0.35000000000000003</v>
      </c>
      <c r="I8" s="11">
        <f>IF(G8="No","No",IF(_xlfn.XLOOKUP(B8,'Base stats'!B:B,'Base stats'!U:U)="No","No",
MROUND(_xlfn.XLOOKUP(B8,'Base stats'!B:B,'Base stats'!BT:BT)/10000+0.01,0.01)
))</f>
        <v>0.06</v>
      </c>
      <c r="J8" s="4">
        <f>IF(G8="No","No",
MROUND(_xlfn.XLOOKUP(B8,'Base stats'!B:B,'Base stats'!BE:BE)^0.25
/((_xlfn.XLOOKUP(B8,'Base stats'!B:B,'Base stats'!BL:BL))*10)*_xlfn.XLOOKUP(_xlfn.XLOOKUP(B8,'Base stats'!B:B,'Base stats'!E:E),Groups!A:A,Groups!Q:Q)*150 + 0.5 + _xlfn.XLOOKUP(B8,'Base stats'!B:B,'Base stats'!BW:BW),
0.05))</f>
        <v>2.3000000000000003</v>
      </c>
      <c r="K8" s="3" t="str">
        <f>IF(Animals!X8="No","No",
IF(_xlfn.XLOOKUP(_xlfn.XLOOKUP(B8,'Base stats'!B:B,'Base stats'!E:E),Groups!A:A,Groups!BD:BD)=1,
MAX(MROUND(_xlfn.XLOOKUP(B8,'Base stats'!B:B,'Base stats'!BU:BU) * _xlfn.XLOOKUP(B8,'Base stats'!B:B,'Base stats'!BQ:BQ)^0.9 / 21 *_xlfn.XLOOKUP(B8,'Base stats'!B:B,'Base stats'!BX:BX),0.1),0.05),
MAX(MROUND(((MIN(10,_xlfn.XLOOKUP(B8,'Base stats'!B:B,'Base stats'!W:W)))^0.4*_xlfn.XLOOKUP(B8,'Base stats'!B:B,'Base stats'!BI:BI)^0.73)^0.6 *_xlfn.XLOOKUP(B8,'Base stats'!B:B,'Base stats'!BX:BX),0.1),0.05)
))</f>
        <v>No</v>
      </c>
      <c r="L8" s="11" t="str">
        <f>IF(K8="No","No",
MROUND(_xlfn.XLOOKUP(B8,'Base stats'!B:B,'Base stats'!BI:BI) * 0.01 *2 + 0.05, 0.05)
)</f>
        <v>No</v>
      </c>
      <c r="M8" s="5" t="str">
        <f>IF(K8="No","No",IF(_xlfn.XLOOKUP(_xlfn.XLOOKUP(B8,'Base stats'!B:B,'Base stats'!E:E),Groups!A:A,Groups!BD:BD)=1,"No",
MROUND(_xlfn.XLOOKUP(B8,'Base stats'!B:B,'Base stats'!BU:BU)/10000+0.01,0.01)
))</f>
        <v>No</v>
      </c>
      <c r="N8" s="4" t="str">
        <f>IF(K8="No","No",
MROUND(
  _xlfn.XLOOKUP(B8,'Base stats'!B:B,'Base stats'!BC:BC)^0.25
  / (_xlfn.XLOOKUP(B8,'Base stats'!B:B,'Base stats'!BM:BM) * 10)
  * _xlfn.XLOOKUP(
      _xlfn.XLOOKUP(B8,'Base stats'!B:B,'Base stats'!E:E),
      Groups!A:A,
      Groups!V:V
    ) * 150
  + MIN(12, _xlfn.XLOOKUP(B8,'Base stats'!B:B,'Base stats'!W:W))^(1/IF(_xlfn.XLOOKUP(_xlfn.XLOOKUP(B8,'Base stats'!B:B,'Base stats'!E:E),Groups!A:A,Groups!U:U)=1,100,10)) + 0.5 + _xlfn.XLOOKUP(B8,'Base stats'!B:B,'Base stats'!BW:BW),
0.05))</f>
        <v>No</v>
      </c>
      <c r="O8" s="3">
        <f>IF(Animals!AD8="No","No",
MAX(MROUND((MIN(10,_xlfn.XLOOKUP(B8,'Base stats'!B:B,'Base stats'!V:V)*IF(_xlfn.XLOOKUP(_xlfn.XLOOKUP(B8,'Base stats'!B:B,'Base stats'!E:E),Groups!A:A,Groups!O:O)=0,1,0.33))^0.4*_xlfn.XLOOKUP(B8,'Base stats'!B:B,'Base stats'!BJ:BJ)^0.73)^0.6 *_xlfn.XLOOKUP(B8,'Base stats'!B:B,'Base stats'!BX:BX),0.1),0.05)
)</f>
        <v>1.8</v>
      </c>
      <c r="P8" s="11">
        <f>IF(O8="No","No",
MROUND(_xlfn.XLOOKUP(B8,'Base stats'!B:B,'Base stats'!BJ:BJ) * 0.01 * 2 + 0.05, 0.05)
)</f>
        <v>0.1</v>
      </c>
      <c r="Q8" s="5">
        <f>IF(O8="No","No",
MROUND(_xlfn.XLOOKUP(B8,'Base stats'!B:B,'Base stats'!BV:BV)/10000+0.01,0.01)
)</f>
        <v>0.02</v>
      </c>
      <c r="R8" s="4">
        <f>IF(O8="No","No",
MROUND(_xlfn.XLOOKUP(B8,'Base stats'!B:B,'Base stats'!BB:BB)^0.25
/((_xlfn.XLOOKUP(B8,'Base stats'!B:B,'Base stats'!BN:BN))*10)*_xlfn.XLOOKUP(_xlfn.XLOOKUP(B8,'Base stats'!B:B,'Base stats'!E:E),Groups!A:A,Groups!Z:Z)*150 + 0.5 + _xlfn.XLOOKUP(B8,'Base stats'!B:B,'Base stats'!BW:BW),
0.05))</f>
        <v>2</v>
      </c>
      <c r="S8" s="3" t="str">
        <f>IF(Animals!AI8="No","No",
IF(_xlfn.XLOOKUP(B8,'Base stats'!B:B,'Base stats'!U:U)="No",
MAX(MROUND(_xlfn.XLOOKUP(B8,'Base stats'!B:B,'Base stats'!BT:BT) * _xlfn.XLOOKUP(B8,'Base stats'!B:B,'Base stats'!BP:BP)^0.9 / 21 * _xlfn.XLOOKUP(B8,'Base stats'!B:B,'Base stats'!BX:BX),0.1),0.05),
MAX(MROUND(((MIN(12,_xlfn.XLOOKUP(B8,'Base stats'!B:B,'Base stats'!U:U)))^0.4*_xlfn.XLOOKUP(B8,'Base stats'!B:B,'Base stats'!BH:BH)^0.73)^0.6 * _xlfn.XLOOKUP(B8,'Base stats'!B:B,'Base stats'!BX:BX),0.1),0.05)
))</f>
        <v>No</v>
      </c>
      <c r="T8" s="11" t="str">
        <f>IF(S8="No","No",
MROUND(_xlfn.XLOOKUP(B8,'Base stats'!B:B,'Base stats'!BH:BH) * 0.01 * 2 + 0.05, 0.05)
)</f>
        <v>No</v>
      </c>
      <c r="U8" s="5" t="str">
        <f>IF(S8="No","No",IF(_xlfn.XLOOKUP(B8,'Base stats'!B:B,'Base stats'!U:U)="No","No",
MROUND(_xlfn.XLOOKUP(B8,'Base stats'!B:B,'Base stats'!BT:BT)/10000+0.01,0.01)
))</f>
        <v>No</v>
      </c>
      <c r="V8" s="4" t="str">
        <f>IF(S8="No","No",
MROUND(_xlfn.XLOOKUP(B8,'Base stats'!B:B,'Base stats'!BF:BF)^0.25
/((_xlfn.XLOOKUP(B8,'Base stats'!B:B,'Base stats'!BO:BO))*10)*_xlfn.XLOOKUP(_xlfn.XLOOKUP(B8,'Base stats'!B:B,'Base stats'!E:E),Groups!A:A,Groups!AE:AE)*150 + 0.5 + _xlfn.XLOOKUP(B8,'Base stats'!B:B,'Base stats'!BW:BW),
0.05))</f>
        <v>No</v>
      </c>
      <c r="W8" s="8">
        <f>MROUND(_xlfn.XLOOKUP(_xlfn.XLOOKUP(B8,'Base stats'!B:B,'Base stats'!E:E),Groups!A:A,Groups!BG:BG)*_xlfn.XLOOKUP(B8,'Base stats'!B:B,'Base stats'!C:C)^-0.165,0.05)</f>
        <v>0.75</v>
      </c>
      <c r="X8" s="1">
        <f>MROUND(_xlfn.XLOOKUP(_xlfn.XLOOKUP(B8,'Base stats'!B:B,'Base stats'!E:E),Groups!A:A,Groups!BH:BH)*_xlfn.XLOOKUP(B8,'Base stats'!B:B,'Base stats'!C:C)^0.165,0.05)</f>
        <v>0</v>
      </c>
      <c r="Y8" s="8">
        <f>MROUND(_xlfn.XLOOKUP(_xlfn.XLOOKUP(B8,'Base stats'!B:B,'Base stats'!E:E),Groups!A:A,Groups!BI:BI)*_xlfn.XLOOKUP(B8,'Base stats'!B:B,'Base stats'!C:C)^0.165,0.05)</f>
        <v>0</v>
      </c>
      <c r="Z8" s="18">
        <f>MROUND(_xlfn.XLOOKUP(B8,'Base stats'!B:B,'Base stats'!AQ:AQ)*_xlfn.XLOOKUP(_xlfn.XLOOKUP(B8,'Base stats'!B:B,'Base stats'!E:E),Groups!A:A,Groups!H:H)/1000,IF((_xlfn.XLOOKUP(B8,'Base stats'!B:B,'Base stats'!AQ:AQ)*_xlfn.XLOOKUP(_xlfn.XLOOKUP(B8,'Base stats'!B:B,'Base stats'!E:E),Groups!A:A,Groups!H:H)/1000)&gt;1,0.05,0.01))</f>
        <v>0</v>
      </c>
      <c r="AA8" s="18">
        <f>MROUND((1/2)*(_xlfn.XLOOKUP(_xlfn.XLOOKUP(B8,'Base stats'!B:B,'Base stats'!E:E),Groups!A:A,Groups!H:H)*_xlfn.XLOOKUP(_xlfn.XLOOKUP(B8,'Base stats'!B:B,'Base stats'!E:E),Groups!A:A,Groups!I:I))*_xlfn.XLOOKUP(B8,'Base stats'!B:B,'Base stats'!AQ:AQ)*0.01,0.05)</f>
        <v>0</v>
      </c>
      <c r="AB8" s="18">
        <f>MROUND(250*(Animals!AO8+Animals!AP8),25)</f>
        <v>175</v>
      </c>
      <c r="AC8" s="18" t="str">
        <f>_xlfn.XLOOKUP(_xlfn.XLOOKUP(B8,'Base stats'!B:B,'Base stats'!E:E),Groups!A:A,Groups!BJ:BJ)</f>
        <v>Birdlike</v>
      </c>
    </row>
    <row r="9" spans="1:29" ht="16.5" thickTop="1" thickBot="1" x14ac:dyDescent="0.3">
      <c r="A9" s="16" t="str">
        <f>Animals!A9</f>
        <v>Goose</v>
      </c>
      <c r="B9" s="6" t="str">
        <f>Animals!B9</f>
        <v>Anser anser (Adler)</v>
      </c>
      <c r="C9" s="1" t="str">
        <f>Animals!C9</f>
        <v>&lt;li&gt;Goose&lt;/li&gt;</v>
      </c>
      <c r="D9" s="47">
        <f>MIN(MIN(6,_xlfn.XLOOKUP(A9,Animals!A:A,Animals!AO:AO))*20,MAX(MROUND(_xlfn.XLOOKUP(B9,'Base stats'!B:B,'Base stats'!BS:BS) * (_xlfn.XLOOKUP(B9,'Base stats'!B:B,'Base stats'!AO:AO)*5%)^0.9 / 21,0.1),0.05))</f>
        <v>0.30000000000000004</v>
      </c>
      <c r="E9" s="11">
        <f>MROUND(_xlfn.XLOOKUP(B9,'Base stats'!B:B,'Base stats'!BG:BG) * 0.01 * 2 + 0.01, 0.05)</f>
        <v>0.25</v>
      </c>
      <c r="F9" s="7">
        <f>MROUND(_xlfn.XLOOKUP(B9,'Base stats'!B:B,'Base stats'!BD:BD)^0.25 / (_xlfn.XLOOKUP(B9,'Base stats'!B:B,'Base stats'!BK:BK) * 10) * 150 + 0.5 + _xlfn.XLOOKUP(B9,'Base stats'!B:B,'Base stats'!BW:BW), 0.05)</f>
        <v>1.4000000000000001</v>
      </c>
      <c r="G9" s="3" t="str">
        <f>IF(Animals!S9="No","No",
IF(_xlfn.XLOOKUP(B9,'Base stats'!B:B,'Base stats'!U:U)="No",
MAX(MROUND(_xlfn.XLOOKUP(B9,'Base stats'!B:B,'Base stats'!BT:BT) * _xlfn.XLOOKUP(B9,'Base stats'!B:B,'Base stats'!BP:BP)^0.9 / 21 * _xlfn.XLOOKUP(B9,'Base stats'!B:B,'Base stats'!BX:BX),0.1),0.05),
MAX(MROUND(((MIN(10,_xlfn.XLOOKUP(B9,'Base stats'!B:B,'Base stats'!U:U)))^0.4*_xlfn.XLOOKUP(B9,'Base stats'!B:B,'Base stats'!BH:BH)^0.73)^0.6 * _xlfn.XLOOKUP(B9,'Base stats'!B:B,'Base stats'!BX:BX),0.1),0.05)
))</f>
        <v>No</v>
      </c>
      <c r="H9" s="11" t="str">
        <f>IF(G9="No","No",
MROUND(_xlfn.XLOOKUP(B9,'Base stats'!B:B,'Base stats'!BH:BH) * 0.01 * 2 + 0.05, 0.05)
)</f>
        <v>No</v>
      </c>
      <c r="I9" s="11" t="str">
        <f>IF(G9="No","No",IF(_xlfn.XLOOKUP(B9,'Base stats'!B:B,'Base stats'!U:U)="No","No",
MROUND(_xlfn.XLOOKUP(B9,'Base stats'!B:B,'Base stats'!BT:BT)/10000+0.01,0.01)
))</f>
        <v>No</v>
      </c>
      <c r="J9" s="4" t="str">
        <f>IF(G9="No","No",
MROUND(_xlfn.XLOOKUP(B9,'Base stats'!B:B,'Base stats'!BE:BE)^0.25
/((_xlfn.XLOOKUP(B9,'Base stats'!B:B,'Base stats'!BL:BL))*10)*_xlfn.XLOOKUP(_xlfn.XLOOKUP(B9,'Base stats'!B:B,'Base stats'!E:E),Groups!A:A,Groups!Q:Q)*150 + 0.5 + _xlfn.XLOOKUP(B9,'Base stats'!B:B,'Base stats'!BW:BW),
0.05))</f>
        <v>No</v>
      </c>
      <c r="K9" s="3" t="str">
        <f>IF(Animals!X9="No","No",
IF(_xlfn.XLOOKUP(_xlfn.XLOOKUP(B9,'Base stats'!B:B,'Base stats'!E:E),Groups!A:A,Groups!BD:BD)=1,
MAX(MROUND(_xlfn.XLOOKUP(B9,'Base stats'!B:B,'Base stats'!BU:BU) * _xlfn.XLOOKUP(B9,'Base stats'!B:B,'Base stats'!BQ:BQ)^0.9 / 21 *_xlfn.XLOOKUP(B9,'Base stats'!B:B,'Base stats'!BX:BX),0.1),0.05),
MAX(MROUND(((MIN(10,_xlfn.XLOOKUP(B9,'Base stats'!B:B,'Base stats'!W:W)))^0.4*_xlfn.XLOOKUP(B9,'Base stats'!B:B,'Base stats'!BI:BI)^0.73)^0.6 *_xlfn.XLOOKUP(B9,'Base stats'!B:B,'Base stats'!BX:BX),0.1),0.05)
))</f>
        <v>No</v>
      </c>
      <c r="L9" s="11" t="str">
        <f>IF(K9="No","No",
MROUND(_xlfn.XLOOKUP(B9,'Base stats'!B:B,'Base stats'!BI:BI) * 0.01 *2 + 0.05, 0.05)
)</f>
        <v>No</v>
      </c>
      <c r="M9" s="5" t="str">
        <f>IF(K9="No","No",IF(_xlfn.XLOOKUP(_xlfn.XLOOKUP(B9,'Base stats'!B:B,'Base stats'!E:E),Groups!A:A,Groups!BD:BD)=1,"No",
MROUND(_xlfn.XLOOKUP(B9,'Base stats'!B:B,'Base stats'!BU:BU)/10000+0.01,0.01)
))</f>
        <v>No</v>
      </c>
      <c r="N9" s="4" t="str">
        <f>IF(K9="No","No",
MROUND(
  _xlfn.XLOOKUP(B9,'Base stats'!B:B,'Base stats'!BC:BC)^0.25
  / (_xlfn.XLOOKUP(B9,'Base stats'!B:B,'Base stats'!BM:BM) * 10)
  * _xlfn.XLOOKUP(
      _xlfn.XLOOKUP(B9,'Base stats'!B:B,'Base stats'!E:E),
      Groups!A:A,
      Groups!V:V
    ) * 150
  + MIN(12, _xlfn.XLOOKUP(B9,'Base stats'!B:B,'Base stats'!W:W))^(1/IF(_xlfn.XLOOKUP(_xlfn.XLOOKUP(B9,'Base stats'!B:B,'Base stats'!E:E),Groups!A:A,Groups!U:U)=1,100,10)) + 0.5 + _xlfn.XLOOKUP(B9,'Base stats'!B:B,'Base stats'!BW:BW),
0.05))</f>
        <v>No</v>
      </c>
      <c r="O9" s="3">
        <f>IF(Animals!AD9="No","No",
MAX(MROUND((MIN(10,_xlfn.XLOOKUP(B9,'Base stats'!B:B,'Base stats'!V:V)*IF(_xlfn.XLOOKUP(_xlfn.XLOOKUP(B9,'Base stats'!B:B,'Base stats'!E:E),Groups!A:A,Groups!O:O)=0,1,0.33))^0.4*_xlfn.XLOOKUP(B9,'Base stats'!B:B,'Base stats'!BJ:BJ)^0.73)^0.6 *_xlfn.XLOOKUP(B9,'Base stats'!B:B,'Base stats'!BX:BX),0.1),0.05)
)</f>
        <v>1.9000000000000001</v>
      </c>
      <c r="P9" s="11">
        <f>IF(O9="No","No",
MROUND(_xlfn.XLOOKUP(B9,'Base stats'!B:B,'Base stats'!BJ:BJ) * 0.01 * 2 + 0.05, 0.05)
)</f>
        <v>0.1</v>
      </c>
      <c r="Q9" s="5">
        <f>IF(O9="No","No",
MROUND(_xlfn.XLOOKUP(B9,'Base stats'!B:B,'Base stats'!BV:BV)/10000+0.01,0.01)
)</f>
        <v>0.02</v>
      </c>
      <c r="R9" s="4">
        <f>IF(O9="No","No",
MROUND(_xlfn.XLOOKUP(B9,'Base stats'!B:B,'Base stats'!BB:BB)^0.25
/((_xlfn.XLOOKUP(B9,'Base stats'!B:B,'Base stats'!BN:BN))*10)*_xlfn.XLOOKUP(_xlfn.XLOOKUP(B9,'Base stats'!B:B,'Base stats'!E:E),Groups!A:A,Groups!Z:Z)*150 + 0.5 + _xlfn.XLOOKUP(B9,'Base stats'!B:B,'Base stats'!BW:BW),
0.05))</f>
        <v>1.75</v>
      </c>
      <c r="S9" s="3" t="str">
        <f>IF(Animals!AI9="No","No",
IF(_xlfn.XLOOKUP(B9,'Base stats'!B:B,'Base stats'!U:U)="No",
MAX(MROUND(_xlfn.XLOOKUP(B9,'Base stats'!B:B,'Base stats'!BT:BT) * _xlfn.XLOOKUP(B9,'Base stats'!B:B,'Base stats'!BP:BP)^0.9 / 21 * _xlfn.XLOOKUP(B9,'Base stats'!B:B,'Base stats'!BX:BX),0.1),0.05),
MAX(MROUND(((MIN(12,_xlfn.XLOOKUP(B9,'Base stats'!B:B,'Base stats'!U:U)))^0.4*_xlfn.XLOOKUP(B9,'Base stats'!B:B,'Base stats'!BH:BH)^0.73)^0.6 * _xlfn.XLOOKUP(B9,'Base stats'!B:B,'Base stats'!BX:BX),0.1),0.05)
))</f>
        <v>No</v>
      </c>
      <c r="T9" s="11" t="str">
        <f>IF(S9="No","No",
MROUND(_xlfn.XLOOKUP(B9,'Base stats'!B:B,'Base stats'!BH:BH) * 0.01 * 2 + 0.05, 0.05)
)</f>
        <v>No</v>
      </c>
      <c r="U9" s="5" t="str">
        <f>IF(S9="No","No",IF(_xlfn.XLOOKUP(B9,'Base stats'!B:B,'Base stats'!U:U)="No","No",
MROUND(_xlfn.XLOOKUP(B9,'Base stats'!B:B,'Base stats'!BT:BT)/10000+0.01,0.01)
))</f>
        <v>No</v>
      </c>
      <c r="V9" s="4" t="str">
        <f>IF(S9="No","No",
MROUND(_xlfn.XLOOKUP(B9,'Base stats'!B:B,'Base stats'!BF:BF)^0.25
/((_xlfn.XLOOKUP(B9,'Base stats'!B:B,'Base stats'!BO:BO))*10)*_xlfn.XLOOKUP(_xlfn.XLOOKUP(B9,'Base stats'!B:B,'Base stats'!E:E),Groups!A:A,Groups!AE:AE)*150 + 0.5 + _xlfn.XLOOKUP(B9,'Base stats'!B:B,'Base stats'!BW:BW),
0.05))</f>
        <v>No</v>
      </c>
      <c r="W9" s="8">
        <f>MROUND(_xlfn.XLOOKUP(_xlfn.XLOOKUP(B9,'Base stats'!B:B,'Base stats'!E:E),Groups!A:A,Groups!BG:BG)*_xlfn.XLOOKUP(B9,'Base stats'!B:B,'Base stats'!C:C)^-0.165,0.05)</f>
        <v>0.75</v>
      </c>
      <c r="X9" s="1">
        <f>MROUND(_xlfn.XLOOKUP(_xlfn.XLOOKUP(B9,'Base stats'!B:B,'Base stats'!E:E),Groups!A:A,Groups!BH:BH)*_xlfn.XLOOKUP(B9,'Base stats'!B:B,'Base stats'!C:C)^0.165,0.05)</f>
        <v>0</v>
      </c>
      <c r="Y9" s="8">
        <f>MROUND(_xlfn.XLOOKUP(_xlfn.XLOOKUP(B9,'Base stats'!B:B,'Base stats'!E:E),Groups!A:A,Groups!BI:BI)*_xlfn.XLOOKUP(B9,'Base stats'!B:B,'Base stats'!C:C)^0.165,0.05)</f>
        <v>0</v>
      </c>
      <c r="Z9" s="18">
        <f>MROUND(_xlfn.XLOOKUP(B9,'Base stats'!B:B,'Base stats'!AQ:AQ)*_xlfn.XLOOKUP(_xlfn.XLOOKUP(B9,'Base stats'!B:B,'Base stats'!E:E),Groups!A:A,Groups!H:H)/1000,IF((_xlfn.XLOOKUP(B9,'Base stats'!B:B,'Base stats'!AQ:AQ)*_xlfn.XLOOKUP(_xlfn.XLOOKUP(B9,'Base stats'!B:B,'Base stats'!E:E),Groups!A:A,Groups!H:H)/1000)&gt;1,0.05,0.01))</f>
        <v>0</v>
      </c>
      <c r="AA9" s="18">
        <f>MROUND((1/2)*(_xlfn.XLOOKUP(_xlfn.XLOOKUP(B9,'Base stats'!B:B,'Base stats'!E:E),Groups!A:A,Groups!H:H)*_xlfn.XLOOKUP(_xlfn.XLOOKUP(B9,'Base stats'!B:B,'Base stats'!E:E),Groups!A:A,Groups!I:I))*_xlfn.XLOOKUP(B9,'Base stats'!B:B,'Base stats'!AQ:AQ)*0.01,0.05)</f>
        <v>0</v>
      </c>
      <c r="AB9" s="18">
        <f>MROUND(250*(Animals!AO9+Animals!AP9),25)</f>
        <v>175</v>
      </c>
      <c r="AC9" s="18" t="str">
        <f>_xlfn.XLOOKUP(_xlfn.XLOOKUP(B9,'Base stats'!B:B,'Base stats'!E:E),Groups!A:A,Groups!BJ:BJ)</f>
        <v>Birdlike</v>
      </c>
    </row>
    <row r="10" spans="1:29" ht="16.5" thickTop="1" thickBot="1" x14ac:dyDescent="0.3">
      <c r="A10" s="16" t="str">
        <f>Animals!A10</f>
        <v>Duck</v>
      </c>
      <c r="B10" s="6" t="str">
        <f>Animals!B10</f>
        <v>Anas platyrhynchos (wild)</v>
      </c>
      <c r="C10" s="1" t="str">
        <f>Animals!C10</f>
        <v>&lt;li&gt;Duck&lt;/li&gt;</v>
      </c>
      <c r="D10" s="47">
        <f>MIN(MIN(6,_xlfn.XLOOKUP(A10,Animals!A:A,Animals!AO:AO))*20,MAX(MROUND(_xlfn.XLOOKUP(B10,'Base stats'!B:B,'Base stats'!BS:BS) * (_xlfn.XLOOKUP(B10,'Base stats'!B:B,'Base stats'!AO:AO)*5%)^0.9 / 21,0.1),0.05))</f>
        <v>0.1</v>
      </c>
      <c r="E10" s="11">
        <f>MROUND(_xlfn.XLOOKUP(B10,'Base stats'!B:B,'Base stats'!BG:BG) * 0.01 * 2 + 0.01, 0.05)</f>
        <v>0.05</v>
      </c>
      <c r="F10" s="7">
        <f>MROUND(_xlfn.XLOOKUP(B10,'Base stats'!B:B,'Base stats'!BD:BD)^0.25 / (_xlfn.XLOOKUP(B10,'Base stats'!B:B,'Base stats'!BK:BK) * 10) * 150 + 0.5 + _xlfn.XLOOKUP(B10,'Base stats'!B:B,'Base stats'!BW:BW), 0.05)</f>
        <v>1.1500000000000001</v>
      </c>
      <c r="G10" s="3" t="str">
        <f>IF(Animals!S10="No","No",
IF(_xlfn.XLOOKUP(B10,'Base stats'!B:B,'Base stats'!U:U)="No",
MAX(MROUND(_xlfn.XLOOKUP(B10,'Base stats'!B:B,'Base stats'!BT:BT) * _xlfn.XLOOKUP(B10,'Base stats'!B:B,'Base stats'!BP:BP)^0.9 / 21 * _xlfn.XLOOKUP(B10,'Base stats'!B:B,'Base stats'!BX:BX),0.1),0.05),
MAX(MROUND(((MIN(10,_xlfn.XLOOKUP(B10,'Base stats'!B:B,'Base stats'!U:U)))^0.4*_xlfn.XLOOKUP(B10,'Base stats'!B:B,'Base stats'!BH:BH)^0.73)^0.6 * _xlfn.XLOOKUP(B10,'Base stats'!B:B,'Base stats'!BX:BX),0.1),0.05)
))</f>
        <v>No</v>
      </c>
      <c r="H10" s="11" t="str">
        <f>IF(G10="No","No",
MROUND(_xlfn.XLOOKUP(B10,'Base stats'!B:B,'Base stats'!BH:BH) * 0.01 * 2 + 0.05, 0.05)
)</f>
        <v>No</v>
      </c>
      <c r="I10" s="11" t="str">
        <f>IF(G10="No","No",IF(_xlfn.XLOOKUP(B10,'Base stats'!B:B,'Base stats'!U:U)="No","No",
MROUND(_xlfn.XLOOKUP(B10,'Base stats'!B:B,'Base stats'!BT:BT)/10000+0.01,0.01)
))</f>
        <v>No</v>
      </c>
      <c r="J10" s="4" t="str">
        <f>IF(G10="No","No",
MROUND(_xlfn.XLOOKUP(B10,'Base stats'!B:B,'Base stats'!BE:BE)^0.25
/((_xlfn.XLOOKUP(B10,'Base stats'!B:B,'Base stats'!BL:BL))*10)*_xlfn.XLOOKUP(_xlfn.XLOOKUP(B10,'Base stats'!B:B,'Base stats'!E:E),Groups!A:A,Groups!Q:Q)*150 + 0.5 + _xlfn.XLOOKUP(B10,'Base stats'!B:B,'Base stats'!BW:BW),
0.05))</f>
        <v>No</v>
      </c>
      <c r="K10" s="3" t="str">
        <f>IF(Animals!X10="No","No",
IF(_xlfn.XLOOKUP(_xlfn.XLOOKUP(B10,'Base stats'!B:B,'Base stats'!E:E),Groups!A:A,Groups!BD:BD)=1,
MAX(MROUND(_xlfn.XLOOKUP(B10,'Base stats'!B:B,'Base stats'!BU:BU) * _xlfn.XLOOKUP(B10,'Base stats'!B:B,'Base stats'!BQ:BQ)^0.9 / 21 *_xlfn.XLOOKUP(B10,'Base stats'!B:B,'Base stats'!BX:BX),0.1),0.05),
MAX(MROUND(((MIN(10,_xlfn.XLOOKUP(B10,'Base stats'!B:B,'Base stats'!W:W)))^0.4*_xlfn.XLOOKUP(B10,'Base stats'!B:B,'Base stats'!BI:BI)^0.73)^0.6 *_xlfn.XLOOKUP(B10,'Base stats'!B:B,'Base stats'!BX:BX),0.1),0.05)
))</f>
        <v>No</v>
      </c>
      <c r="L10" s="11" t="str">
        <f>IF(K10="No","No",
MROUND(_xlfn.XLOOKUP(B10,'Base stats'!B:B,'Base stats'!BI:BI) * 0.01 *2 + 0.05, 0.05)
)</f>
        <v>No</v>
      </c>
      <c r="M10" s="5" t="str">
        <f>IF(K10="No","No",IF(_xlfn.XLOOKUP(_xlfn.XLOOKUP(B10,'Base stats'!B:B,'Base stats'!E:E),Groups!A:A,Groups!BD:BD)=1,"No",
MROUND(_xlfn.XLOOKUP(B10,'Base stats'!B:B,'Base stats'!BU:BU)/10000+0.01,0.01)
))</f>
        <v>No</v>
      </c>
      <c r="N10" s="4" t="str">
        <f>IF(K10="No","No",
MROUND(
  _xlfn.XLOOKUP(B10,'Base stats'!B:B,'Base stats'!BC:BC)^0.25
  / (_xlfn.XLOOKUP(B10,'Base stats'!B:B,'Base stats'!BM:BM) * 10)
  * _xlfn.XLOOKUP(
      _xlfn.XLOOKUP(B10,'Base stats'!B:B,'Base stats'!E:E),
      Groups!A:A,
      Groups!V:V
    ) * 150
  + MIN(12, _xlfn.XLOOKUP(B10,'Base stats'!B:B,'Base stats'!W:W))^(1/IF(_xlfn.XLOOKUP(_xlfn.XLOOKUP(B10,'Base stats'!B:B,'Base stats'!E:E),Groups!A:A,Groups!U:U)=1,100,10)) + 0.5 + _xlfn.XLOOKUP(B10,'Base stats'!B:B,'Base stats'!BW:BW),
0.05))</f>
        <v>No</v>
      </c>
      <c r="O10" s="3">
        <f>IF(Animals!AD10="No","No",
MAX(MROUND((MIN(10,_xlfn.XLOOKUP(B10,'Base stats'!B:B,'Base stats'!V:V)*IF(_xlfn.XLOOKUP(_xlfn.XLOOKUP(B10,'Base stats'!B:B,'Base stats'!E:E),Groups!A:A,Groups!O:O)=0,1,0.33))^0.4*_xlfn.XLOOKUP(B10,'Base stats'!B:B,'Base stats'!BJ:BJ)^0.73)^0.6 *_xlfn.XLOOKUP(B10,'Base stats'!B:B,'Base stats'!BX:BX),0.1),0.05)
)</f>
        <v>0.8</v>
      </c>
      <c r="P10" s="11">
        <f>IF(O10="No","No",
MROUND(_xlfn.XLOOKUP(B10,'Base stats'!B:B,'Base stats'!BJ:BJ) * 0.01 * 2 + 0.05, 0.05)
)</f>
        <v>0.05</v>
      </c>
      <c r="Q10" s="5">
        <f>IF(O10="No","No",
MROUND(_xlfn.XLOOKUP(B10,'Base stats'!B:B,'Base stats'!BV:BV)/10000+0.01,0.01)
)</f>
        <v>0.01</v>
      </c>
      <c r="R10" s="4">
        <f>IF(O10="No","No",
MROUND(_xlfn.XLOOKUP(B10,'Base stats'!B:B,'Base stats'!BB:BB)^0.25
/((_xlfn.XLOOKUP(B10,'Base stats'!B:B,'Base stats'!BN:BN))*10)*_xlfn.XLOOKUP(_xlfn.XLOOKUP(B10,'Base stats'!B:B,'Base stats'!E:E),Groups!A:A,Groups!Z:Z)*150 + 0.5 + _xlfn.XLOOKUP(B10,'Base stats'!B:B,'Base stats'!BW:BW),
0.05))</f>
        <v>1.6500000000000001</v>
      </c>
      <c r="S10" s="3" t="str">
        <f>IF(Animals!AI10="No","No",
IF(_xlfn.XLOOKUP(B10,'Base stats'!B:B,'Base stats'!U:U)="No",
MAX(MROUND(_xlfn.XLOOKUP(B10,'Base stats'!B:B,'Base stats'!BT:BT) * _xlfn.XLOOKUP(B10,'Base stats'!B:B,'Base stats'!BP:BP)^0.9 / 21 * _xlfn.XLOOKUP(B10,'Base stats'!B:B,'Base stats'!BX:BX),0.1),0.05),
MAX(MROUND(((MIN(12,_xlfn.XLOOKUP(B10,'Base stats'!B:B,'Base stats'!U:U)))^0.4*_xlfn.XLOOKUP(B10,'Base stats'!B:B,'Base stats'!BH:BH)^0.73)^0.6 * _xlfn.XLOOKUP(B10,'Base stats'!B:B,'Base stats'!BX:BX),0.1),0.05)
))</f>
        <v>No</v>
      </c>
      <c r="T10" s="11" t="str">
        <f>IF(S10="No","No",
MROUND(_xlfn.XLOOKUP(B10,'Base stats'!B:B,'Base stats'!BH:BH) * 0.01 * 2 + 0.05, 0.05)
)</f>
        <v>No</v>
      </c>
      <c r="U10" s="5" t="str">
        <f>IF(S10="No","No",IF(_xlfn.XLOOKUP(B10,'Base stats'!B:B,'Base stats'!U:U)="No","No",
MROUND(_xlfn.XLOOKUP(B10,'Base stats'!B:B,'Base stats'!BT:BT)/10000+0.01,0.01)
))</f>
        <v>No</v>
      </c>
      <c r="V10" s="4" t="str">
        <f>IF(S10="No","No",
MROUND(_xlfn.XLOOKUP(B10,'Base stats'!B:B,'Base stats'!BF:BF)^0.25
/((_xlfn.XLOOKUP(B10,'Base stats'!B:B,'Base stats'!BO:BO))*10)*_xlfn.XLOOKUP(_xlfn.XLOOKUP(B10,'Base stats'!B:B,'Base stats'!E:E),Groups!A:A,Groups!AE:AE)*150 + 0.5 + _xlfn.XLOOKUP(B10,'Base stats'!B:B,'Base stats'!BW:BW),
0.05))</f>
        <v>No</v>
      </c>
      <c r="W10" s="8">
        <f>MROUND(_xlfn.XLOOKUP(_xlfn.XLOOKUP(B10,'Base stats'!B:B,'Base stats'!E:E),Groups!A:A,Groups!BG:BG)*_xlfn.XLOOKUP(B10,'Base stats'!B:B,'Base stats'!C:C)^-0.165,0.05)</f>
        <v>1</v>
      </c>
      <c r="X10" s="1">
        <f>MROUND(_xlfn.XLOOKUP(_xlfn.XLOOKUP(B10,'Base stats'!B:B,'Base stats'!E:E),Groups!A:A,Groups!BH:BH)*_xlfn.XLOOKUP(B10,'Base stats'!B:B,'Base stats'!C:C)^0.165,0.05)</f>
        <v>0</v>
      </c>
      <c r="Y10" s="8">
        <f>MROUND(_xlfn.XLOOKUP(_xlfn.XLOOKUP(B10,'Base stats'!B:B,'Base stats'!E:E),Groups!A:A,Groups!BI:BI)*_xlfn.XLOOKUP(B10,'Base stats'!B:B,'Base stats'!C:C)^0.165,0.05)</f>
        <v>0</v>
      </c>
      <c r="Z10" s="18">
        <f>MROUND(_xlfn.XLOOKUP(B10,'Base stats'!B:B,'Base stats'!AQ:AQ)*_xlfn.XLOOKUP(_xlfn.XLOOKUP(B10,'Base stats'!B:B,'Base stats'!E:E),Groups!A:A,Groups!H:H)/1000,IF((_xlfn.XLOOKUP(B10,'Base stats'!B:B,'Base stats'!AQ:AQ)*_xlfn.XLOOKUP(_xlfn.XLOOKUP(B10,'Base stats'!B:B,'Base stats'!E:E),Groups!A:A,Groups!H:H)/1000)&gt;1,0.05,0.01))</f>
        <v>0</v>
      </c>
      <c r="AA10" s="18">
        <f>MROUND((1/2)*(_xlfn.XLOOKUP(_xlfn.XLOOKUP(B10,'Base stats'!B:B,'Base stats'!E:E),Groups!A:A,Groups!H:H)*_xlfn.XLOOKUP(_xlfn.XLOOKUP(B10,'Base stats'!B:B,'Base stats'!E:E),Groups!A:A,Groups!I:I))*_xlfn.XLOOKUP(B10,'Base stats'!B:B,'Base stats'!AQ:AQ)*0.01,0.05)</f>
        <v>0</v>
      </c>
      <c r="AB10" s="18">
        <f>MROUND(250*(Animals!AO10+Animals!AP10),25)</f>
        <v>75</v>
      </c>
      <c r="AC10" s="18" t="str">
        <f>_xlfn.XLOOKUP(_xlfn.XLOOKUP(B10,'Base stats'!B:B,'Base stats'!E:E),Groups!A:A,Groups!BJ:BJ)</f>
        <v>Birdlike</v>
      </c>
    </row>
    <row r="11" spans="1:29" ht="16.5" thickTop="1" thickBot="1" x14ac:dyDescent="0.3">
      <c r="A11" s="16" t="str">
        <f>Animals!A11</f>
        <v>Chicken</v>
      </c>
      <c r="B11" s="6" t="str">
        <f>Animals!B11</f>
        <v>Gallus gallus</v>
      </c>
      <c r="C11" s="1" t="str">
        <f>Animals!C11</f>
        <v>&lt;li&gt;Chicken&lt;/li&gt;</v>
      </c>
      <c r="D11" s="47">
        <f>MIN(MIN(6,_xlfn.XLOOKUP(A11,Animals!A:A,Animals!AO:AO))*20,MAX(MROUND(_xlfn.XLOOKUP(B11,'Base stats'!B:B,'Base stats'!BS:BS) * (_xlfn.XLOOKUP(B11,'Base stats'!B:B,'Base stats'!AO:AO)*5%)^0.9 / 21,0.1),0.05))</f>
        <v>0.1</v>
      </c>
      <c r="E11" s="11">
        <f>MROUND(_xlfn.XLOOKUP(B11,'Base stats'!B:B,'Base stats'!BG:BG) * 0.01 * 2 + 0.01, 0.05)</f>
        <v>0.1</v>
      </c>
      <c r="F11" s="7">
        <f>MROUND(_xlfn.XLOOKUP(B11,'Base stats'!B:B,'Base stats'!BD:BD)^0.25 / (_xlfn.XLOOKUP(B11,'Base stats'!B:B,'Base stats'!BK:BK) * 10) * 150 + 0.5 + _xlfn.XLOOKUP(B11,'Base stats'!B:B,'Base stats'!BW:BW), 0.05)</f>
        <v>1.3</v>
      </c>
      <c r="G11" s="3">
        <f>IF(Animals!S11="No","No",
IF(_xlfn.XLOOKUP(B11,'Base stats'!B:B,'Base stats'!U:U)="No",
MAX(MROUND(_xlfn.XLOOKUP(B11,'Base stats'!B:B,'Base stats'!BT:BT) * _xlfn.XLOOKUP(B11,'Base stats'!B:B,'Base stats'!BP:BP)^0.9 / 21 * _xlfn.XLOOKUP(B11,'Base stats'!B:B,'Base stats'!BX:BX),0.1),0.05),
MAX(MROUND(((MIN(10,_xlfn.XLOOKUP(B11,'Base stats'!B:B,'Base stats'!U:U)))^0.4*_xlfn.XLOOKUP(B11,'Base stats'!B:B,'Base stats'!BH:BH)^0.73)^0.6 * _xlfn.XLOOKUP(B11,'Base stats'!B:B,'Base stats'!BX:BX),0.1),0.05)
))</f>
        <v>2.7</v>
      </c>
      <c r="H11" s="11">
        <f>IF(G11="No","No",
MROUND(_xlfn.XLOOKUP(B11,'Base stats'!B:B,'Base stats'!BH:BH) * 0.01 * 2 + 0.05, 0.05)
)</f>
        <v>0.2</v>
      </c>
      <c r="I11" s="11">
        <f>IF(G11="No","No",IF(_xlfn.XLOOKUP(B11,'Base stats'!B:B,'Base stats'!U:U)="No","No",
MROUND(_xlfn.XLOOKUP(B11,'Base stats'!B:B,'Base stats'!BT:BT)/10000+0.01,0.01)
))</f>
        <v>0.04</v>
      </c>
      <c r="J11" s="4">
        <f>IF(G11="No","No",
MROUND(_xlfn.XLOOKUP(B11,'Base stats'!B:B,'Base stats'!BE:BE)^0.25
/((_xlfn.XLOOKUP(B11,'Base stats'!B:B,'Base stats'!BL:BL))*10)*_xlfn.XLOOKUP(_xlfn.XLOOKUP(B11,'Base stats'!B:B,'Base stats'!E:E),Groups!A:A,Groups!Q:Q)*150 + 0.5 + _xlfn.XLOOKUP(B11,'Base stats'!B:B,'Base stats'!BW:BW),
0.05))</f>
        <v>2</v>
      </c>
      <c r="K11" s="3" t="str">
        <f>IF(Animals!X11="No","No",
IF(_xlfn.XLOOKUP(_xlfn.XLOOKUP(B11,'Base stats'!B:B,'Base stats'!E:E),Groups!A:A,Groups!BD:BD)=1,
MAX(MROUND(_xlfn.XLOOKUP(B11,'Base stats'!B:B,'Base stats'!BU:BU) * _xlfn.XLOOKUP(B11,'Base stats'!B:B,'Base stats'!BQ:BQ)^0.9 / 21 *_xlfn.XLOOKUP(B11,'Base stats'!B:B,'Base stats'!BX:BX),0.1),0.05),
MAX(MROUND(((MIN(10,_xlfn.XLOOKUP(B11,'Base stats'!B:B,'Base stats'!W:W)))^0.4*_xlfn.XLOOKUP(B11,'Base stats'!B:B,'Base stats'!BI:BI)^0.73)^0.6 *_xlfn.XLOOKUP(B11,'Base stats'!B:B,'Base stats'!BX:BX),0.1),0.05)
))</f>
        <v>No</v>
      </c>
      <c r="L11" s="11" t="str">
        <f>IF(K11="No","No",
MROUND(_xlfn.XLOOKUP(B11,'Base stats'!B:B,'Base stats'!BI:BI) * 0.01 *2 + 0.05, 0.05)
)</f>
        <v>No</v>
      </c>
      <c r="M11" s="5" t="str">
        <f>IF(K11="No","No",IF(_xlfn.XLOOKUP(_xlfn.XLOOKUP(B11,'Base stats'!B:B,'Base stats'!E:E),Groups!A:A,Groups!BD:BD)=1,"No",
MROUND(_xlfn.XLOOKUP(B11,'Base stats'!B:B,'Base stats'!BU:BU)/10000+0.01,0.01)
))</f>
        <v>No</v>
      </c>
      <c r="N11" s="4" t="str">
        <f>IF(K11="No","No",
MROUND(
  _xlfn.XLOOKUP(B11,'Base stats'!B:B,'Base stats'!BC:BC)^0.25
  / (_xlfn.XLOOKUP(B11,'Base stats'!B:B,'Base stats'!BM:BM) * 10)
  * _xlfn.XLOOKUP(
      _xlfn.XLOOKUP(B11,'Base stats'!B:B,'Base stats'!E:E),
      Groups!A:A,
      Groups!V:V
    ) * 150
  + MIN(12, _xlfn.XLOOKUP(B11,'Base stats'!B:B,'Base stats'!W:W))^(1/IF(_xlfn.XLOOKUP(_xlfn.XLOOKUP(B11,'Base stats'!B:B,'Base stats'!E:E),Groups!A:A,Groups!U:U)=1,100,10)) + 0.5 + _xlfn.XLOOKUP(B11,'Base stats'!B:B,'Base stats'!BW:BW),
0.05))</f>
        <v>No</v>
      </c>
      <c r="O11" s="3">
        <f>IF(Animals!AD11="No","No",
MAX(MROUND((MIN(10,_xlfn.XLOOKUP(B11,'Base stats'!B:B,'Base stats'!V:V)*IF(_xlfn.XLOOKUP(_xlfn.XLOOKUP(B11,'Base stats'!B:B,'Base stats'!E:E),Groups!A:A,Groups!O:O)=0,1,0.33))^0.4*_xlfn.XLOOKUP(B11,'Base stats'!B:B,'Base stats'!BJ:BJ)^0.73)^0.6 *_xlfn.XLOOKUP(B11,'Base stats'!B:B,'Base stats'!BX:BX),0.1),0.05)
)</f>
        <v>1</v>
      </c>
      <c r="P11" s="11">
        <f>IF(O11="No","No",
MROUND(_xlfn.XLOOKUP(B11,'Base stats'!B:B,'Base stats'!BJ:BJ) * 0.01 * 2 + 0.05, 0.05)
)</f>
        <v>0.1</v>
      </c>
      <c r="Q11" s="5">
        <f>IF(O11="No","No",
MROUND(_xlfn.XLOOKUP(B11,'Base stats'!B:B,'Base stats'!BV:BV)/10000+0.01,0.01)
)</f>
        <v>0.02</v>
      </c>
      <c r="R11" s="4">
        <f>IF(O11="No","No",
MROUND(_xlfn.XLOOKUP(B11,'Base stats'!B:B,'Base stats'!BB:BB)^0.25
/((_xlfn.XLOOKUP(B11,'Base stats'!B:B,'Base stats'!BN:BN))*10)*_xlfn.XLOOKUP(_xlfn.XLOOKUP(B11,'Base stats'!B:B,'Base stats'!E:E),Groups!A:A,Groups!Z:Z)*150 + 0.5 + _xlfn.XLOOKUP(B11,'Base stats'!B:B,'Base stats'!BW:BW),
0.05))</f>
        <v>2.1</v>
      </c>
      <c r="S11" s="3" t="str">
        <f>IF(Animals!AI11="No","No",
IF(_xlfn.XLOOKUP(B11,'Base stats'!B:B,'Base stats'!U:U)="No",
MAX(MROUND(_xlfn.XLOOKUP(B11,'Base stats'!B:B,'Base stats'!BT:BT) * _xlfn.XLOOKUP(B11,'Base stats'!B:B,'Base stats'!BP:BP)^0.9 / 21 * _xlfn.XLOOKUP(B11,'Base stats'!B:B,'Base stats'!BX:BX),0.1),0.05),
MAX(MROUND(((MIN(12,_xlfn.XLOOKUP(B11,'Base stats'!B:B,'Base stats'!U:U)))^0.4*_xlfn.XLOOKUP(B11,'Base stats'!B:B,'Base stats'!BH:BH)^0.73)^0.6 * _xlfn.XLOOKUP(B11,'Base stats'!B:B,'Base stats'!BX:BX),0.1),0.05)
))</f>
        <v>No</v>
      </c>
      <c r="T11" s="11" t="str">
        <f>IF(S11="No","No",
MROUND(_xlfn.XLOOKUP(B11,'Base stats'!B:B,'Base stats'!BH:BH) * 0.01 * 2 + 0.05, 0.05)
)</f>
        <v>No</v>
      </c>
      <c r="U11" s="5" t="str">
        <f>IF(S11="No","No",IF(_xlfn.XLOOKUP(B11,'Base stats'!B:B,'Base stats'!U:U)="No","No",
MROUND(_xlfn.XLOOKUP(B11,'Base stats'!B:B,'Base stats'!BT:BT)/10000+0.01,0.01)
))</f>
        <v>No</v>
      </c>
      <c r="V11" s="4" t="str">
        <f>IF(S11="No","No",
MROUND(_xlfn.XLOOKUP(B11,'Base stats'!B:B,'Base stats'!BF:BF)^0.25
/((_xlfn.XLOOKUP(B11,'Base stats'!B:B,'Base stats'!BO:BO))*10)*_xlfn.XLOOKUP(_xlfn.XLOOKUP(B11,'Base stats'!B:B,'Base stats'!E:E),Groups!A:A,Groups!AE:AE)*150 + 0.5 + _xlfn.XLOOKUP(B11,'Base stats'!B:B,'Base stats'!BW:BW),
0.05))</f>
        <v>No</v>
      </c>
      <c r="W11" s="8">
        <f>MROUND(_xlfn.XLOOKUP(_xlfn.XLOOKUP(B11,'Base stats'!B:B,'Base stats'!E:E),Groups!A:A,Groups!BG:BG)*_xlfn.XLOOKUP(B11,'Base stats'!B:B,'Base stats'!C:C)^-0.165,0.05)</f>
        <v>0.85000000000000009</v>
      </c>
      <c r="X11" s="1">
        <f>MROUND(_xlfn.XLOOKUP(_xlfn.XLOOKUP(B11,'Base stats'!B:B,'Base stats'!E:E),Groups!A:A,Groups!BH:BH)*_xlfn.XLOOKUP(B11,'Base stats'!B:B,'Base stats'!C:C)^0.165,0.05)</f>
        <v>0</v>
      </c>
      <c r="Y11" s="8">
        <f>MROUND(_xlfn.XLOOKUP(_xlfn.XLOOKUP(B11,'Base stats'!B:B,'Base stats'!E:E),Groups!A:A,Groups!BI:BI)*_xlfn.XLOOKUP(B11,'Base stats'!B:B,'Base stats'!C:C)^0.165,0.05)</f>
        <v>0</v>
      </c>
      <c r="Z11" s="18">
        <f>MROUND(_xlfn.XLOOKUP(B11,'Base stats'!B:B,'Base stats'!AQ:AQ)*_xlfn.XLOOKUP(_xlfn.XLOOKUP(B11,'Base stats'!B:B,'Base stats'!E:E),Groups!A:A,Groups!H:H)/1000,IF((_xlfn.XLOOKUP(B11,'Base stats'!B:B,'Base stats'!AQ:AQ)*_xlfn.XLOOKUP(_xlfn.XLOOKUP(B11,'Base stats'!B:B,'Base stats'!E:E),Groups!A:A,Groups!H:H)/1000)&gt;1,0.05,0.01))</f>
        <v>0</v>
      </c>
      <c r="AA11" s="18">
        <f>MROUND((1/2)*(_xlfn.XLOOKUP(_xlfn.XLOOKUP(B11,'Base stats'!B:B,'Base stats'!E:E),Groups!A:A,Groups!H:H)*_xlfn.XLOOKUP(_xlfn.XLOOKUP(B11,'Base stats'!B:B,'Base stats'!E:E),Groups!A:A,Groups!I:I))*_xlfn.XLOOKUP(B11,'Base stats'!B:B,'Base stats'!AQ:AQ)*0.01,0.05)</f>
        <v>0</v>
      </c>
      <c r="AB11" s="18">
        <f>MROUND(250*(Animals!AO11+Animals!AP11),25)</f>
        <v>100</v>
      </c>
      <c r="AC11" s="18" t="str">
        <f>_xlfn.XLOOKUP(_xlfn.XLOOKUP(B11,'Base stats'!B:B,'Base stats'!E:E),Groups!A:A,Groups!BJ:BJ)</f>
        <v>Birdlike</v>
      </c>
    </row>
    <row r="12" spans="1:29" ht="16.5" thickTop="1" thickBot="1" x14ac:dyDescent="0.3">
      <c r="A12" s="16" t="str">
        <f>Animals!A12</f>
        <v>Dromedary</v>
      </c>
      <c r="B12" s="6" t="str">
        <f>Animals!B12</f>
        <v>Camelus dromedarius</v>
      </c>
      <c r="C12" s="1" t="str">
        <f>Animals!C12</f>
        <v>&lt;li&gt;Dromedary&lt;/li&gt;</v>
      </c>
      <c r="D12" s="47">
        <f>MIN(MIN(6,_xlfn.XLOOKUP(A12,Animals!A:A,Animals!AO:AO))*20,MAX(MROUND(_xlfn.XLOOKUP(B12,'Base stats'!B:B,'Base stats'!BS:BS) * (_xlfn.XLOOKUP(B12,'Base stats'!B:B,'Base stats'!AO:AO)*5%)^0.9 / 21,0.1),0.05))</f>
        <v>10.5</v>
      </c>
      <c r="E12" s="11">
        <f>MROUND(_xlfn.XLOOKUP(B12,'Base stats'!B:B,'Base stats'!BG:BG) * 0.01 * 2 + 0.01, 0.05)</f>
        <v>9.8500000000000014</v>
      </c>
      <c r="F12" s="7">
        <f>MROUND(_xlfn.XLOOKUP(B12,'Base stats'!B:B,'Base stats'!BD:BD)^0.25 / (_xlfn.XLOOKUP(B12,'Base stats'!B:B,'Base stats'!BK:BK) * 10) * 150 + 0.5 + _xlfn.XLOOKUP(B12,'Base stats'!B:B,'Base stats'!BW:BW), 0.05)</f>
        <v>1.8</v>
      </c>
      <c r="G12" s="3">
        <f>IF(Animals!S12="No","No",
IF(_xlfn.XLOOKUP(B12,'Base stats'!B:B,'Base stats'!U:U)="No",
MAX(MROUND(_xlfn.XLOOKUP(B12,'Base stats'!B:B,'Base stats'!BT:BT) * _xlfn.XLOOKUP(B12,'Base stats'!B:B,'Base stats'!BP:BP)^0.9 / 21 * _xlfn.XLOOKUP(B12,'Base stats'!B:B,'Base stats'!BX:BX),0.1),0.05),
MAX(MROUND(((MIN(10,_xlfn.XLOOKUP(B12,'Base stats'!B:B,'Base stats'!U:U)))^0.4*_xlfn.XLOOKUP(B12,'Base stats'!B:B,'Base stats'!BH:BH)^0.73)^0.6 * _xlfn.XLOOKUP(B12,'Base stats'!B:B,'Base stats'!BX:BX),0.1),0.05)
))</f>
        <v>17.5</v>
      </c>
      <c r="H12" s="11">
        <f>IF(G12="No","No",
MROUND(_xlfn.XLOOKUP(B12,'Base stats'!B:B,'Base stats'!BH:BH) * 0.01 * 2 + 0.05, 0.05)
)</f>
        <v>11.450000000000001</v>
      </c>
      <c r="I12" s="11" t="str">
        <f>IF(G12="No","No",IF(_xlfn.XLOOKUP(B12,'Base stats'!B:B,'Base stats'!U:U)="No","No",
MROUND(_xlfn.XLOOKUP(B12,'Base stats'!B:B,'Base stats'!BT:BT)/10000+0.01,0.01)
))</f>
        <v>No</v>
      </c>
      <c r="J12" s="4">
        <f>IF(G12="No","No",
MROUND(_xlfn.XLOOKUP(B12,'Base stats'!B:B,'Base stats'!BE:BE)^0.25
/((_xlfn.XLOOKUP(B12,'Base stats'!B:B,'Base stats'!BL:BL))*10)*_xlfn.XLOOKUP(_xlfn.XLOOKUP(B12,'Base stats'!B:B,'Base stats'!E:E),Groups!A:A,Groups!Q:Q)*150 + 0.5 + _xlfn.XLOOKUP(B12,'Base stats'!B:B,'Base stats'!BW:BW),
0.05))</f>
        <v>2.7</v>
      </c>
      <c r="K12" s="3" t="str">
        <f>IF(Animals!X12="No","No",
IF(_xlfn.XLOOKUP(_xlfn.XLOOKUP(B12,'Base stats'!B:B,'Base stats'!E:E),Groups!A:A,Groups!BD:BD)=1,
MAX(MROUND(_xlfn.XLOOKUP(B12,'Base stats'!B:B,'Base stats'!BU:BU) * _xlfn.XLOOKUP(B12,'Base stats'!B:B,'Base stats'!BQ:BQ)^0.9 / 21 *_xlfn.XLOOKUP(B12,'Base stats'!B:B,'Base stats'!BX:BX),0.1),0.05),
MAX(MROUND(((MIN(10,_xlfn.XLOOKUP(B12,'Base stats'!B:B,'Base stats'!W:W)))^0.4*_xlfn.XLOOKUP(B12,'Base stats'!B:B,'Base stats'!BI:BI)^0.73)^0.6 *_xlfn.XLOOKUP(B12,'Base stats'!B:B,'Base stats'!BX:BX),0.1),0.05)
))</f>
        <v>No</v>
      </c>
      <c r="L12" s="11" t="str">
        <f>IF(K12="No","No",
MROUND(_xlfn.XLOOKUP(B12,'Base stats'!B:B,'Base stats'!BI:BI) * 0.01 *2 + 0.05, 0.05)
)</f>
        <v>No</v>
      </c>
      <c r="M12" s="5" t="str">
        <f>IF(K12="No","No",IF(_xlfn.XLOOKUP(_xlfn.XLOOKUP(B12,'Base stats'!B:B,'Base stats'!E:E),Groups!A:A,Groups!BD:BD)=1,"No",
MROUND(_xlfn.XLOOKUP(B12,'Base stats'!B:B,'Base stats'!BU:BU)/10000+0.01,0.01)
))</f>
        <v>No</v>
      </c>
      <c r="N12" s="4" t="str">
        <f>IF(K12="No","No",
MROUND(
  _xlfn.XLOOKUP(B12,'Base stats'!B:B,'Base stats'!BC:BC)^0.25
  / (_xlfn.XLOOKUP(B12,'Base stats'!B:B,'Base stats'!BM:BM) * 10)
  * _xlfn.XLOOKUP(
      _xlfn.XLOOKUP(B12,'Base stats'!B:B,'Base stats'!E:E),
      Groups!A:A,
      Groups!V:V
    ) * 150
  + MIN(12, _xlfn.XLOOKUP(B12,'Base stats'!B:B,'Base stats'!W:W))^(1/IF(_xlfn.XLOOKUP(_xlfn.XLOOKUP(B12,'Base stats'!B:B,'Base stats'!E:E),Groups!A:A,Groups!U:U)=1,100,10)) + 0.5 + _xlfn.XLOOKUP(B12,'Base stats'!B:B,'Base stats'!BW:BW),
0.05))</f>
        <v>No</v>
      </c>
      <c r="O12" s="3">
        <f>IF(Animals!AD12="No","No",
MAX(MROUND((MIN(10,_xlfn.XLOOKUP(B12,'Base stats'!B:B,'Base stats'!V:V)*IF(_xlfn.XLOOKUP(_xlfn.XLOOKUP(B12,'Base stats'!B:B,'Base stats'!E:E),Groups!A:A,Groups!O:O)=0,1,0.33))^0.4*_xlfn.XLOOKUP(B12,'Base stats'!B:B,'Base stats'!BJ:BJ)^0.73)^0.6 *_xlfn.XLOOKUP(B12,'Base stats'!B:B,'Base stats'!BX:BX),0.1),0.05)
)</f>
        <v>18.8</v>
      </c>
      <c r="P12" s="11">
        <f>IF(O12="No","No",
MROUND(_xlfn.XLOOKUP(B12,'Base stats'!B:B,'Base stats'!BJ:BJ) * 0.01 * 2 + 0.05, 0.05)
)</f>
        <v>7.2</v>
      </c>
      <c r="Q12" s="5">
        <f>IF(O12="No","No",
MROUND(_xlfn.XLOOKUP(B12,'Base stats'!B:B,'Base stats'!BV:BV)/10000+0.01,0.01)
)</f>
        <v>0.12</v>
      </c>
      <c r="R12" s="4">
        <f>IF(O12="No","No",
MROUND(_xlfn.XLOOKUP(B12,'Base stats'!B:B,'Base stats'!BB:BB)^0.25
/((_xlfn.XLOOKUP(B12,'Base stats'!B:B,'Base stats'!BN:BN))*10)*_xlfn.XLOOKUP(_xlfn.XLOOKUP(B12,'Base stats'!B:B,'Base stats'!E:E),Groups!A:A,Groups!Z:Z)*150 + 0.5 + _xlfn.XLOOKUP(B12,'Base stats'!B:B,'Base stats'!BW:BW),
0.05))</f>
        <v>2.9000000000000004</v>
      </c>
      <c r="S12" s="3" t="str">
        <f>IF(Animals!AI12="No","No",
IF(_xlfn.XLOOKUP(B12,'Base stats'!B:B,'Base stats'!U:U)="No",
MAX(MROUND(_xlfn.XLOOKUP(B12,'Base stats'!B:B,'Base stats'!BT:BT) * _xlfn.XLOOKUP(B12,'Base stats'!B:B,'Base stats'!BP:BP)^0.9 / 21 * _xlfn.XLOOKUP(B12,'Base stats'!B:B,'Base stats'!BX:BX),0.1),0.05),
MAX(MROUND(((MIN(12,_xlfn.XLOOKUP(B12,'Base stats'!B:B,'Base stats'!U:U)))^0.4*_xlfn.XLOOKUP(B12,'Base stats'!B:B,'Base stats'!BH:BH)^0.73)^0.6 * _xlfn.XLOOKUP(B12,'Base stats'!B:B,'Base stats'!BX:BX),0.1),0.05)
))</f>
        <v>No</v>
      </c>
      <c r="T12" s="11" t="str">
        <f>IF(S12="No","No",
MROUND(_xlfn.XLOOKUP(B12,'Base stats'!B:B,'Base stats'!BH:BH) * 0.01 * 2 + 0.05, 0.05)
)</f>
        <v>No</v>
      </c>
      <c r="U12" s="5" t="str">
        <f>IF(S12="No","No",IF(_xlfn.XLOOKUP(B12,'Base stats'!B:B,'Base stats'!U:U)="No","No",
MROUND(_xlfn.XLOOKUP(B12,'Base stats'!B:B,'Base stats'!BT:BT)/10000+0.01,0.01)
))</f>
        <v>No</v>
      </c>
      <c r="V12" s="4" t="str">
        <f>IF(S12="No","No",
MROUND(_xlfn.XLOOKUP(B12,'Base stats'!B:B,'Base stats'!BF:BF)^0.25
/((_xlfn.XLOOKUP(B12,'Base stats'!B:B,'Base stats'!BO:BO))*10)*_xlfn.XLOOKUP(_xlfn.XLOOKUP(B12,'Base stats'!B:B,'Base stats'!E:E),Groups!A:A,Groups!AE:AE)*150 + 0.5 + _xlfn.XLOOKUP(B12,'Base stats'!B:B,'Base stats'!BW:BW),
0.05))</f>
        <v>No</v>
      </c>
      <c r="W12" s="8">
        <f>MROUND(_xlfn.XLOOKUP(_xlfn.XLOOKUP(B12,'Base stats'!B:B,'Base stats'!E:E),Groups!A:A,Groups!BG:BG)*_xlfn.XLOOKUP(B12,'Base stats'!B:B,'Base stats'!C:C)^-0.165,0.05)</f>
        <v>0.2</v>
      </c>
      <c r="X12" s="1">
        <f>MROUND(_xlfn.XLOOKUP(_xlfn.XLOOKUP(B12,'Base stats'!B:B,'Base stats'!E:E),Groups!A:A,Groups!BH:BH)*_xlfn.XLOOKUP(B12,'Base stats'!B:B,'Base stats'!C:C)^0.165,0.05)</f>
        <v>0</v>
      </c>
      <c r="Y12" s="8">
        <f>MROUND(_xlfn.XLOOKUP(_xlfn.XLOOKUP(B12,'Base stats'!B:B,'Base stats'!E:E),Groups!A:A,Groups!BI:BI)*_xlfn.XLOOKUP(B12,'Base stats'!B:B,'Base stats'!C:C)^0.165,0.05)</f>
        <v>0</v>
      </c>
      <c r="Z12" s="18">
        <f>MROUND(_xlfn.XLOOKUP(B12,'Base stats'!B:B,'Base stats'!AQ:AQ)*_xlfn.XLOOKUP(_xlfn.XLOOKUP(B12,'Base stats'!B:B,'Base stats'!E:E),Groups!A:A,Groups!H:H)/1000,IF((_xlfn.XLOOKUP(B12,'Base stats'!B:B,'Base stats'!AQ:AQ)*_xlfn.XLOOKUP(_xlfn.XLOOKUP(B12,'Base stats'!B:B,'Base stats'!E:E),Groups!A:A,Groups!H:H)/1000)&gt;1,0.05,0.01))</f>
        <v>0.1</v>
      </c>
      <c r="AA12" s="18">
        <f>MROUND((1/2)*(_xlfn.XLOOKUP(_xlfn.XLOOKUP(B12,'Base stats'!B:B,'Base stats'!E:E),Groups!A:A,Groups!H:H)*_xlfn.XLOOKUP(_xlfn.XLOOKUP(B12,'Base stats'!B:B,'Base stats'!E:E),Groups!A:A,Groups!I:I))*_xlfn.XLOOKUP(B12,'Base stats'!B:B,'Base stats'!AQ:AQ)*0.01,0.05)</f>
        <v>0.45</v>
      </c>
      <c r="AB12" s="18">
        <f>MROUND(250*(Animals!AO12+Animals!AP12),25)</f>
        <v>1375</v>
      </c>
      <c r="AC12" s="18" t="str">
        <f>_xlfn.XLOOKUP(_xlfn.XLOOKUP(B12,'Base stats'!B:B,'Base stats'!E:E),Groups!A:A,Groups!BJ:BJ)</f>
        <v>Quadruped</v>
      </c>
    </row>
    <row r="13" spans="1:29" ht="16.5" thickTop="1" thickBot="1" x14ac:dyDescent="0.3">
      <c r="A13" s="16" t="str">
        <f>Animals!A13</f>
        <v>Alpaca</v>
      </c>
      <c r="B13" s="6" t="str">
        <f>Animals!B13</f>
        <v>Lama pacos</v>
      </c>
      <c r="C13" s="1" t="str">
        <f>Animals!C13</f>
        <v>&lt;li&gt;Alpaca&lt;/li&gt;</v>
      </c>
      <c r="D13" s="47">
        <f>MIN(MIN(6,_xlfn.XLOOKUP(A13,Animals!A:A,Animals!AO:AO))*20,MAX(MROUND(_xlfn.XLOOKUP(B13,'Base stats'!B:B,'Base stats'!BS:BS) * (_xlfn.XLOOKUP(B13,'Base stats'!B:B,'Base stats'!AO:AO)*5%)^0.9 / 21,0.1),0.05))</f>
        <v>2.5</v>
      </c>
      <c r="E13" s="11">
        <f>MROUND(_xlfn.XLOOKUP(B13,'Base stats'!B:B,'Base stats'!BG:BG) * 0.01 * 2 + 0.01, 0.05)</f>
        <v>2.0500000000000003</v>
      </c>
      <c r="F13" s="7">
        <f>MROUND(_xlfn.XLOOKUP(B13,'Base stats'!B:B,'Base stats'!BD:BD)^0.25 / (_xlfn.XLOOKUP(B13,'Base stats'!B:B,'Base stats'!BK:BK) * 10) * 150 + 0.5 + _xlfn.XLOOKUP(B13,'Base stats'!B:B,'Base stats'!BW:BW), 0.05)</f>
        <v>1.6</v>
      </c>
      <c r="G13" s="3">
        <f>IF(Animals!S13="No","No",
IF(_xlfn.XLOOKUP(B13,'Base stats'!B:B,'Base stats'!U:U)="No",
MAX(MROUND(_xlfn.XLOOKUP(B13,'Base stats'!B:B,'Base stats'!BT:BT) * _xlfn.XLOOKUP(B13,'Base stats'!B:B,'Base stats'!BP:BP)^0.9 / 21 * _xlfn.XLOOKUP(B13,'Base stats'!B:B,'Base stats'!BX:BX),0.1),0.05),
MAX(MROUND(((MIN(10,_xlfn.XLOOKUP(B13,'Base stats'!B:B,'Base stats'!U:U)))^0.4*_xlfn.XLOOKUP(B13,'Base stats'!B:B,'Base stats'!BH:BH)^0.73)^0.6 * _xlfn.XLOOKUP(B13,'Base stats'!B:B,'Base stats'!BX:BX),0.1),0.05)
))</f>
        <v>4.7</v>
      </c>
      <c r="H13" s="11">
        <f>IF(G13="No","No",
MROUND(_xlfn.XLOOKUP(B13,'Base stats'!B:B,'Base stats'!BH:BH) * 0.01 * 2 + 0.05, 0.05)
)</f>
        <v>2.6500000000000004</v>
      </c>
      <c r="I13" s="11" t="str">
        <f>IF(G13="No","No",IF(_xlfn.XLOOKUP(B13,'Base stats'!B:B,'Base stats'!U:U)="No","No",
MROUND(_xlfn.XLOOKUP(B13,'Base stats'!B:B,'Base stats'!BT:BT)/10000+0.01,0.01)
))</f>
        <v>No</v>
      </c>
      <c r="J13" s="4">
        <f>IF(G13="No","No",
MROUND(_xlfn.XLOOKUP(B13,'Base stats'!B:B,'Base stats'!BE:BE)^0.25
/((_xlfn.XLOOKUP(B13,'Base stats'!B:B,'Base stats'!BL:BL))*10)*_xlfn.XLOOKUP(_xlfn.XLOOKUP(B13,'Base stats'!B:B,'Base stats'!E:E),Groups!A:A,Groups!Q:Q)*150 + 0.5 + _xlfn.XLOOKUP(B13,'Base stats'!B:B,'Base stats'!BW:BW),
0.05))</f>
        <v>2.0500000000000003</v>
      </c>
      <c r="K13" s="3" t="str">
        <f>IF(Animals!X13="No","No",
IF(_xlfn.XLOOKUP(_xlfn.XLOOKUP(B13,'Base stats'!B:B,'Base stats'!E:E),Groups!A:A,Groups!BD:BD)=1,
MAX(MROUND(_xlfn.XLOOKUP(B13,'Base stats'!B:B,'Base stats'!BU:BU) * _xlfn.XLOOKUP(B13,'Base stats'!B:B,'Base stats'!BQ:BQ)^0.9 / 21 *_xlfn.XLOOKUP(B13,'Base stats'!B:B,'Base stats'!BX:BX),0.1),0.05),
MAX(MROUND(((MIN(10,_xlfn.XLOOKUP(B13,'Base stats'!B:B,'Base stats'!W:W)))^0.4*_xlfn.XLOOKUP(B13,'Base stats'!B:B,'Base stats'!BI:BI)^0.73)^0.6 *_xlfn.XLOOKUP(B13,'Base stats'!B:B,'Base stats'!BX:BX),0.1),0.05)
))</f>
        <v>No</v>
      </c>
      <c r="L13" s="11" t="str">
        <f>IF(K13="No","No",
MROUND(_xlfn.XLOOKUP(B13,'Base stats'!B:B,'Base stats'!BI:BI) * 0.01 *2 + 0.05, 0.05)
)</f>
        <v>No</v>
      </c>
      <c r="M13" s="5" t="str">
        <f>IF(K13="No","No",IF(_xlfn.XLOOKUP(_xlfn.XLOOKUP(B13,'Base stats'!B:B,'Base stats'!E:E),Groups!A:A,Groups!BD:BD)=1,"No",
MROUND(_xlfn.XLOOKUP(B13,'Base stats'!B:B,'Base stats'!BU:BU)/10000+0.01,0.01)
))</f>
        <v>No</v>
      </c>
      <c r="N13" s="4" t="str">
        <f>IF(K13="No","No",
MROUND(
  _xlfn.XLOOKUP(B13,'Base stats'!B:B,'Base stats'!BC:BC)^0.25
  / (_xlfn.XLOOKUP(B13,'Base stats'!B:B,'Base stats'!BM:BM) * 10)
  * _xlfn.XLOOKUP(
      _xlfn.XLOOKUP(B13,'Base stats'!B:B,'Base stats'!E:E),
      Groups!A:A,
      Groups!V:V
    ) * 150
  + MIN(12, _xlfn.XLOOKUP(B13,'Base stats'!B:B,'Base stats'!W:W))^(1/IF(_xlfn.XLOOKUP(_xlfn.XLOOKUP(B13,'Base stats'!B:B,'Base stats'!E:E),Groups!A:A,Groups!U:U)=1,100,10)) + 0.5 + _xlfn.XLOOKUP(B13,'Base stats'!B:B,'Base stats'!BW:BW),
0.05))</f>
        <v>No</v>
      </c>
      <c r="O13" s="3">
        <f>IF(Animals!AD13="No","No",
MAX(MROUND((MIN(10,_xlfn.XLOOKUP(B13,'Base stats'!B:B,'Base stats'!V:V)*IF(_xlfn.XLOOKUP(_xlfn.XLOOKUP(B13,'Base stats'!B:B,'Base stats'!E:E),Groups!A:A,Groups!O:O)=0,1,0.33))^0.4*_xlfn.XLOOKUP(B13,'Base stats'!B:B,'Base stats'!BJ:BJ)^0.73)^0.6 *_xlfn.XLOOKUP(B13,'Base stats'!B:B,'Base stats'!BX:BX),0.1),0.05)
)</f>
        <v>9.6000000000000014</v>
      </c>
      <c r="P13" s="11">
        <f>IF(O13="No","No",
MROUND(_xlfn.XLOOKUP(B13,'Base stats'!B:B,'Base stats'!BJ:BJ) * 0.01 * 2 + 0.05, 0.05)
)</f>
        <v>2.1</v>
      </c>
      <c r="Q13" s="5">
        <f>IF(O13="No","No",
MROUND(_xlfn.XLOOKUP(B13,'Base stats'!B:B,'Base stats'!BV:BV)/10000+0.01,0.01)
)</f>
        <v>0.12</v>
      </c>
      <c r="R13" s="4">
        <f>IF(O13="No","No",
MROUND(_xlfn.XLOOKUP(B13,'Base stats'!B:B,'Base stats'!BB:BB)^0.25
/((_xlfn.XLOOKUP(B13,'Base stats'!B:B,'Base stats'!BN:BN))*10)*_xlfn.XLOOKUP(_xlfn.XLOOKUP(B13,'Base stats'!B:B,'Base stats'!E:E),Groups!A:A,Groups!Z:Z)*150 + 0.5 + _xlfn.XLOOKUP(B13,'Base stats'!B:B,'Base stats'!BW:BW),
0.05))</f>
        <v>2.6</v>
      </c>
      <c r="S13" s="3" t="str">
        <f>IF(Animals!AI13="No","No",
IF(_xlfn.XLOOKUP(B13,'Base stats'!B:B,'Base stats'!U:U)="No",
MAX(MROUND(_xlfn.XLOOKUP(B13,'Base stats'!B:B,'Base stats'!BT:BT) * _xlfn.XLOOKUP(B13,'Base stats'!B:B,'Base stats'!BP:BP)^0.9 / 21 * _xlfn.XLOOKUP(B13,'Base stats'!B:B,'Base stats'!BX:BX),0.1),0.05),
MAX(MROUND(((MIN(12,_xlfn.XLOOKUP(B13,'Base stats'!B:B,'Base stats'!U:U)))^0.4*_xlfn.XLOOKUP(B13,'Base stats'!B:B,'Base stats'!BH:BH)^0.73)^0.6 * _xlfn.XLOOKUP(B13,'Base stats'!B:B,'Base stats'!BX:BX),0.1),0.05)
))</f>
        <v>No</v>
      </c>
      <c r="T13" s="11" t="str">
        <f>IF(S13="No","No",
MROUND(_xlfn.XLOOKUP(B13,'Base stats'!B:B,'Base stats'!BH:BH) * 0.01 * 2 + 0.05, 0.05)
)</f>
        <v>No</v>
      </c>
      <c r="U13" s="5" t="str">
        <f>IF(S13="No","No",IF(_xlfn.XLOOKUP(B13,'Base stats'!B:B,'Base stats'!U:U)="No","No",
MROUND(_xlfn.XLOOKUP(B13,'Base stats'!B:B,'Base stats'!BT:BT)/10000+0.01,0.01)
))</f>
        <v>No</v>
      </c>
      <c r="V13" s="4" t="str">
        <f>IF(S13="No","No",
MROUND(_xlfn.XLOOKUP(B13,'Base stats'!B:B,'Base stats'!BF:BF)^0.25
/((_xlfn.XLOOKUP(B13,'Base stats'!B:B,'Base stats'!BO:BO))*10)*_xlfn.XLOOKUP(_xlfn.XLOOKUP(B13,'Base stats'!B:B,'Base stats'!E:E),Groups!A:A,Groups!AE:AE)*150 + 0.5 + _xlfn.XLOOKUP(B13,'Base stats'!B:B,'Base stats'!BW:BW),
0.05))</f>
        <v>No</v>
      </c>
      <c r="W13" s="8">
        <f>MROUND(_xlfn.XLOOKUP(_xlfn.XLOOKUP(B13,'Base stats'!B:B,'Base stats'!E:E),Groups!A:A,Groups!BG:BG)*_xlfn.XLOOKUP(B13,'Base stats'!B:B,'Base stats'!C:C)^-0.165,0.05)</f>
        <v>0.25</v>
      </c>
      <c r="X13" s="1">
        <f>MROUND(_xlfn.XLOOKUP(_xlfn.XLOOKUP(B13,'Base stats'!B:B,'Base stats'!E:E),Groups!A:A,Groups!BH:BH)*_xlfn.XLOOKUP(B13,'Base stats'!B:B,'Base stats'!C:C)^0.165,0.05)</f>
        <v>0</v>
      </c>
      <c r="Y13" s="8">
        <f>MROUND(_xlfn.XLOOKUP(_xlfn.XLOOKUP(B13,'Base stats'!B:B,'Base stats'!E:E),Groups!A:A,Groups!BI:BI)*_xlfn.XLOOKUP(B13,'Base stats'!B:B,'Base stats'!C:C)^0.165,0.05)</f>
        <v>0</v>
      </c>
      <c r="Z13" s="18">
        <f>MROUND(_xlfn.XLOOKUP(B13,'Base stats'!B:B,'Base stats'!AQ:AQ)*_xlfn.XLOOKUP(_xlfn.XLOOKUP(B13,'Base stats'!B:B,'Base stats'!E:E),Groups!A:A,Groups!H:H)/1000,IF((_xlfn.XLOOKUP(B13,'Base stats'!B:B,'Base stats'!AQ:AQ)*_xlfn.XLOOKUP(_xlfn.XLOOKUP(B13,'Base stats'!B:B,'Base stats'!E:E),Groups!A:A,Groups!H:H)/1000)&gt;1,0.05,0.01))</f>
        <v>0.06</v>
      </c>
      <c r="AA13" s="18">
        <f>MROUND((1/2)*(_xlfn.XLOOKUP(_xlfn.XLOOKUP(B13,'Base stats'!B:B,'Base stats'!E:E),Groups!A:A,Groups!H:H)*_xlfn.XLOOKUP(_xlfn.XLOOKUP(B13,'Base stats'!B:B,'Base stats'!E:E),Groups!A:A,Groups!I:I))*_xlfn.XLOOKUP(B13,'Base stats'!B:B,'Base stats'!AQ:AQ)*0.01,0.05)</f>
        <v>0.25</v>
      </c>
      <c r="AB13" s="18">
        <f>MROUND(250*(Animals!AO13+Animals!AP13),25)</f>
        <v>525</v>
      </c>
      <c r="AC13" s="18" t="str">
        <f>_xlfn.XLOOKUP(_xlfn.XLOOKUP(B13,'Base stats'!B:B,'Base stats'!E:E),Groups!A:A,Groups!BJ:BJ)</f>
        <v>Quadruped</v>
      </c>
    </row>
    <row r="14" spans="1:29" ht="16.5" thickTop="1" thickBot="1" x14ac:dyDescent="0.3">
      <c r="A14" s="16" t="str">
        <f>Animals!A14</f>
        <v>Yorkshire terrier</v>
      </c>
      <c r="B14" s="6" t="str">
        <f>Animals!B14</f>
        <v>Canis familiaris (Yorkshire terrier)</v>
      </c>
      <c r="C14" s="1" t="str">
        <f>Animals!C14</f>
        <v>&lt;li&gt;YorkshireTerrier&lt;/li&gt;</v>
      </c>
      <c r="D14" s="47">
        <f>MIN(MIN(6,_xlfn.XLOOKUP(A14,Animals!A:A,Animals!AO:AO))*20,MAX(MROUND(_xlfn.XLOOKUP(B14,'Base stats'!B:B,'Base stats'!BS:BS) * (_xlfn.XLOOKUP(B14,'Base stats'!B:B,'Base stats'!AO:AO)*5%)^0.9 / 21,0.1),0.05))</f>
        <v>0.1</v>
      </c>
      <c r="E14" s="11">
        <f>MROUND(_xlfn.XLOOKUP(B14,'Base stats'!B:B,'Base stats'!BG:BG) * 0.01 * 2 + 0.01, 0.05)</f>
        <v>0.1</v>
      </c>
      <c r="F14" s="7">
        <f>MROUND(_xlfn.XLOOKUP(B14,'Base stats'!B:B,'Base stats'!BD:BD)^0.25 / (_xlfn.XLOOKUP(B14,'Base stats'!B:B,'Base stats'!BK:BK) * 10) * 150 + 0.5 + _xlfn.XLOOKUP(B14,'Base stats'!B:B,'Base stats'!BW:BW), 0.05)</f>
        <v>1.3</v>
      </c>
      <c r="G14" s="3" t="str">
        <f>IF(Animals!S14="No","No",
IF(_xlfn.XLOOKUP(B14,'Base stats'!B:B,'Base stats'!U:U)="No",
MAX(MROUND(_xlfn.XLOOKUP(B14,'Base stats'!B:B,'Base stats'!BT:BT) * _xlfn.XLOOKUP(B14,'Base stats'!B:B,'Base stats'!BP:BP)^0.9 / 21 * _xlfn.XLOOKUP(B14,'Base stats'!B:B,'Base stats'!BX:BX),0.1),0.05),
MAX(MROUND(((MIN(10,_xlfn.XLOOKUP(B14,'Base stats'!B:B,'Base stats'!U:U)))^0.4*_xlfn.XLOOKUP(B14,'Base stats'!B:B,'Base stats'!BH:BH)^0.73)^0.6 * _xlfn.XLOOKUP(B14,'Base stats'!B:B,'Base stats'!BX:BX),0.1),0.05)
))</f>
        <v>No</v>
      </c>
      <c r="H14" s="11" t="str">
        <f>IF(G14="No","No",
MROUND(_xlfn.XLOOKUP(B14,'Base stats'!B:B,'Base stats'!BH:BH) * 0.01 * 2 + 0.05, 0.05)
)</f>
        <v>No</v>
      </c>
      <c r="I14" s="11" t="str">
        <f>IF(G14="No","No",IF(_xlfn.XLOOKUP(B14,'Base stats'!B:B,'Base stats'!U:U)="No","No",
MROUND(_xlfn.XLOOKUP(B14,'Base stats'!B:B,'Base stats'!BT:BT)/10000+0.01,0.01)
))</f>
        <v>No</v>
      </c>
      <c r="J14" s="4" t="str">
        <f>IF(G14="No","No",
MROUND(_xlfn.XLOOKUP(B14,'Base stats'!B:B,'Base stats'!BE:BE)^0.25
/((_xlfn.XLOOKUP(B14,'Base stats'!B:B,'Base stats'!BL:BL))*10)*_xlfn.XLOOKUP(_xlfn.XLOOKUP(B14,'Base stats'!B:B,'Base stats'!E:E),Groups!A:A,Groups!Q:Q)*150 + 0.5 + _xlfn.XLOOKUP(B14,'Base stats'!B:B,'Base stats'!BW:BW),
0.05))</f>
        <v>No</v>
      </c>
      <c r="K14" s="3" t="str">
        <f>IF(Animals!X14="No","No",
IF(_xlfn.XLOOKUP(_xlfn.XLOOKUP(B14,'Base stats'!B:B,'Base stats'!E:E),Groups!A:A,Groups!BD:BD)=1,
MAX(MROUND(_xlfn.XLOOKUP(B14,'Base stats'!B:B,'Base stats'!BU:BU) * _xlfn.XLOOKUP(B14,'Base stats'!B:B,'Base stats'!BQ:BQ)^0.9 / 21 *_xlfn.XLOOKUP(B14,'Base stats'!B:B,'Base stats'!BX:BX),0.1),0.05),
MAX(MROUND(((MIN(10,_xlfn.XLOOKUP(B14,'Base stats'!B:B,'Base stats'!W:W)))^0.4*_xlfn.XLOOKUP(B14,'Base stats'!B:B,'Base stats'!BI:BI)^0.73)^0.6 *_xlfn.XLOOKUP(B14,'Base stats'!B:B,'Base stats'!BX:BX),0.1),0.05)
))</f>
        <v>No</v>
      </c>
      <c r="L14" s="11" t="str">
        <f>IF(K14="No","No",
MROUND(_xlfn.XLOOKUP(B14,'Base stats'!B:B,'Base stats'!BI:BI) * 0.01 *2 + 0.05, 0.05)
)</f>
        <v>No</v>
      </c>
      <c r="M14" s="5" t="str">
        <f>IF(K14="No","No",IF(_xlfn.XLOOKUP(_xlfn.XLOOKUP(B14,'Base stats'!B:B,'Base stats'!E:E),Groups!A:A,Groups!BD:BD)=1,"No",
MROUND(_xlfn.XLOOKUP(B14,'Base stats'!B:B,'Base stats'!BU:BU)/10000+0.01,0.01)
))</f>
        <v>No</v>
      </c>
      <c r="N14" s="4" t="str">
        <f>IF(K14="No","No",
MROUND(
  _xlfn.XLOOKUP(B14,'Base stats'!B:B,'Base stats'!BC:BC)^0.25
  / (_xlfn.XLOOKUP(B14,'Base stats'!B:B,'Base stats'!BM:BM) * 10)
  * _xlfn.XLOOKUP(
      _xlfn.XLOOKUP(B14,'Base stats'!B:B,'Base stats'!E:E),
      Groups!A:A,
      Groups!V:V
    ) * 150
  + MIN(12, _xlfn.XLOOKUP(B14,'Base stats'!B:B,'Base stats'!W:W))^(1/IF(_xlfn.XLOOKUP(_xlfn.XLOOKUP(B14,'Base stats'!B:B,'Base stats'!E:E),Groups!A:A,Groups!U:U)=1,100,10)) + 0.5 + _xlfn.XLOOKUP(B14,'Base stats'!B:B,'Base stats'!BW:BW),
0.05))</f>
        <v>No</v>
      </c>
      <c r="O14" s="3">
        <f>IF(Animals!AD14="No","No",
MAX(MROUND((MIN(10,_xlfn.XLOOKUP(B14,'Base stats'!B:B,'Base stats'!V:V)*IF(_xlfn.XLOOKUP(_xlfn.XLOOKUP(B14,'Base stats'!B:B,'Base stats'!E:E),Groups!A:A,Groups!O:O)=0,1,0.33))^0.4*_xlfn.XLOOKUP(B14,'Base stats'!B:B,'Base stats'!BJ:BJ)^0.73)^0.6 *_xlfn.XLOOKUP(B14,'Base stats'!B:B,'Base stats'!BX:BX),0.1),0.05)
)</f>
        <v>2.9000000000000004</v>
      </c>
      <c r="P14" s="11">
        <f>IF(O14="No","No",
MROUND(_xlfn.XLOOKUP(B14,'Base stats'!B:B,'Base stats'!BJ:BJ) * 0.01 * 2 + 0.05, 0.05)
)</f>
        <v>0.25</v>
      </c>
      <c r="Q14" s="5">
        <f>IF(O14="No","No",
MROUND(_xlfn.XLOOKUP(B14,'Base stats'!B:B,'Base stats'!BV:BV)/10000+0.01,0.01)
)</f>
        <v>0.06</v>
      </c>
      <c r="R14" s="4">
        <f>IF(O14="No","No",
MROUND(_xlfn.XLOOKUP(B14,'Base stats'!B:B,'Base stats'!BB:BB)^0.25
/((_xlfn.XLOOKUP(B14,'Base stats'!B:B,'Base stats'!BN:BN))*10)*_xlfn.XLOOKUP(_xlfn.XLOOKUP(B14,'Base stats'!B:B,'Base stats'!E:E),Groups!A:A,Groups!Z:Z)*150 + 0.5 + _xlfn.XLOOKUP(B14,'Base stats'!B:B,'Base stats'!BW:BW),
0.05))</f>
        <v>1.85</v>
      </c>
      <c r="S14" s="3" t="str">
        <f>IF(Animals!AI14="No","No",
IF(_xlfn.XLOOKUP(B14,'Base stats'!B:B,'Base stats'!U:U)="No",
MAX(MROUND(_xlfn.XLOOKUP(B14,'Base stats'!B:B,'Base stats'!BT:BT) * _xlfn.XLOOKUP(B14,'Base stats'!B:B,'Base stats'!BP:BP)^0.9 / 21 * _xlfn.XLOOKUP(B14,'Base stats'!B:B,'Base stats'!BX:BX),0.1),0.05),
MAX(MROUND(((MIN(12,_xlfn.XLOOKUP(B14,'Base stats'!B:B,'Base stats'!U:U)))^0.4*_xlfn.XLOOKUP(B14,'Base stats'!B:B,'Base stats'!BH:BH)^0.73)^0.6 * _xlfn.XLOOKUP(B14,'Base stats'!B:B,'Base stats'!BX:BX),0.1),0.05)
))</f>
        <v>No</v>
      </c>
      <c r="T14" s="11" t="str">
        <f>IF(S14="No","No",
MROUND(_xlfn.XLOOKUP(B14,'Base stats'!B:B,'Base stats'!BH:BH) * 0.01 * 2 + 0.05, 0.05)
)</f>
        <v>No</v>
      </c>
      <c r="U14" s="5" t="str">
        <f>IF(S14="No","No",IF(_xlfn.XLOOKUP(B14,'Base stats'!B:B,'Base stats'!U:U)="No","No",
MROUND(_xlfn.XLOOKUP(B14,'Base stats'!B:B,'Base stats'!BT:BT)/10000+0.01,0.01)
))</f>
        <v>No</v>
      </c>
      <c r="V14" s="4" t="str">
        <f>IF(S14="No","No",
MROUND(_xlfn.XLOOKUP(B14,'Base stats'!B:B,'Base stats'!BF:BF)^0.25
/((_xlfn.XLOOKUP(B14,'Base stats'!B:B,'Base stats'!BO:BO))*10)*_xlfn.XLOOKUP(_xlfn.XLOOKUP(B14,'Base stats'!B:B,'Base stats'!E:E),Groups!A:A,Groups!AE:AE)*150 + 0.5 + _xlfn.XLOOKUP(B14,'Base stats'!B:B,'Base stats'!BW:BW),
0.05))</f>
        <v>No</v>
      </c>
      <c r="W14" s="8">
        <f>MROUND(_xlfn.XLOOKUP(_xlfn.XLOOKUP(B14,'Base stats'!B:B,'Base stats'!E:E),Groups!A:A,Groups!BG:BG)*_xlfn.XLOOKUP(B14,'Base stats'!B:B,'Base stats'!C:C)^-0.165,0.05)</f>
        <v>0.85000000000000009</v>
      </c>
      <c r="X14" s="1">
        <f>MROUND(_xlfn.XLOOKUP(_xlfn.XLOOKUP(B14,'Base stats'!B:B,'Base stats'!E:E),Groups!A:A,Groups!BH:BH)*_xlfn.XLOOKUP(B14,'Base stats'!B:B,'Base stats'!C:C)^0.165,0.05)</f>
        <v>0.25</v>
      </c>
      <c r="Y14" s="8">
        <f>MROUND(_xlfn.XLOOKUP(_xlfn.XLOOKUP(B14,'Base stats'!B:B,'Base stats'!E:E),Groups!A:A,Groups!BI:BI)*_xlfn.XLOOKUP(B14,'Base stats'!B:B,'Base stats'!C:C)^0.165,0.05)</f>
        <v>0.05</v>
      </c>
      <c r="Z14" s="18">
        <f>MROUND(_xlfn.XLOOKUP(B14,'Base stats'!B:B,'Base stats'!AQ:AQ)*_xlfn.XLOOKUP(_xlfn.XLOOKUP(B14,'Base stats'!B:B,'Base stats'!E:E),Groups!A:A,Groups!H:H)/1000,IF((_xlfn.XLOOKUP(B14,'Base stats'!B:B,'Base stats'!AQ:AQ)*_xlfn.XLOOKUP(_xlfn.XLOOKUP(B14,'Base stats'!B:B,'Base stats'!E:E),Groups!A:A,Groups!H:H)/1000)&gt;1,0.05,0.01))</f>
        <v>0.03</v>
      </c>
      <c r="AA14" s="18">
        <f>MROUND((1/2)*(_xlfn.XLOOKUP(_xlfn.XLOOKUP(B14,'Base stats'!B:B,'Base stats'!E:E),Groups!A:A,Groups!H:H)*_xlfn.XLOOKUP(_xlfn.XLOOKUP(B14,'Base stats'!B:B,'Base stats'!E:E),Groups!A:A,Groups!I:I))*_xlfn.XLOOKUP(B14,'Base stats'!B:B,'Base stats'!AQ:AQ)*0.01,0.05)</f>
        <v>0.1</v>
      </c>
      <c r="AB14" s="18">
        <f>MROUND(250*(Animals!AO14+Animals!AP14),25)</f>
        <v>125</v>
      </c>
      <c r="AC14" s="18" t="str">
        <f>_xlfn.XLOOKUP(_xlfn.XLOOKUP(B14,'Base stats'!B:B,'Base stats'!E:E),Groups!A:A,Groups!BJ:BJ)</f>
        <v>Quadruped</v>
      </c>
    </row>
    <row r="15" spans="1:29" ht="16.5" thickTop="1" thickBot="1" x14ac:dyDescent="0.3">
      <c r="A15" s="16" t="str">
        <f>Animals!A15</f>
        <v>Labrador</v>
      </c>
      <c r="B15" s="6" t="str">
        <f>Animals!B15</f>
        <v>Canis familiaris (Labrador)</v>
      </c>
      <c r="C15" s="1" t="str">
        <f>Animals!C15</f>
        <v>&lt;li&gt;LabradorRetriever&lt;/li&gt;</v>
      </c>
      <c r="D15" s="47">
        <f>MIN(MIN(6,_xlfn.XLOOKUP(A15,Animals!A:A,Animals!AO:AO))*20,MAX(MROUND(_xlfn.XLOOKUP(B15,'Base stats'!B:B,'Base stats'!BS:BS) * (_xlfn.XLOOKUP(B15,'Base stats'!B:B,'Base stats'!AO:AO)*5%)^0.9 / 21,0.1),0.05))</f>
        <v>1.1000000000000001</v>
      </c>
      <c r="E15" s="11">
        <f>MROUND(_xlfn.XLOOKUP(B15,'Base stats'!B:B,'Base stats'!BG:BG) * 0.01 * 2 + 0.01, 0.05)</f>
        <v>0.9</v>
      </c>
      <c r="F15" s="7">
        <f>MROUND(_xlfn.XLOOKUP(B15,'Base stats'!B:B,'Base stats'!BD:BD)^0.25 / (_xlfn.XLOOKUP(B15,'Base stats'!B:B,'Base stats'!BK:BK) * 10) * 150 + 0.5 + _xlfn.XLOOKUP(B15,'Base stats'!B:B,'Base stats'!BW:BW), 0.05)</f>
        <v>1.75</v>
      </c>
      <c r="G15" s="3" t="str">
        <f>IF(Animals!S15="No","No",
IF(_xlfn.XLOOKUP(B15,'Base stats'!B:B,'Base stats'!U:U)="No",
MAX(MROUND(_xlfn.XLOOKUP(B15,'Base stats'!B:B,'Base stats'!BT:BT) * _xlfn.XLOOKUP(B15,'Base stats'!B:B,'Base stats'!BP:BP)^0.9 / 21 * _xlfn.XLOOKUP(B15,'Base stats'!B:B,'Base stats'!BX:BX),0.1),0.05),
MAX(MROUND(((MIN(10,_xlfn.XLOOKUP(B15,'Base stats'!B:B,'Base stats'!U:U)))^0.4*_xlfn.XLOOKUP(B15,'Base stats'!B:B,'Base stats'!BH:BH)^0.73)^0.6 * _xlfn.XLOOKUP(B15,'Base stats'!B:B,'Base stats'!BX:BX),0.1),0.05)
))</f>
        <v>No</v>
      </c>
      <c r="H15" s="11" t="str">
        <f>IF(G15="No","No",
MROUND(_xlfn.XLOOKUP(B15,'Base stats'!B:B,'Base stats'!BH:BH) * 0.01 * 2 + 0.05, 0.05)
)</f>
        <v>No</v>
      </c>
      <c r="I15" s="11" t="str">
        <f>IF(G15="No","No",IF(_xlfn.XLOOKUP(B15,'Base stats'!B:B,'Base stats'!U:U)="No","No",
MROUND(_xlfn.XLOOKUP(B15,'Base stats'!B:B,'Base stats'!BT:BT)/10000+0.01,0.01)
))</f>
        <v>No</v>
      </c>
      <c r="J15" s="4" t="str">
        <f>IF(G15="No","No",
MROUND(_xlfn.XLOOKUP(B15,'Base stats'!B:B,'Base stats'!BE:BE)^0.25
/((_xlfn.XLOOKUP(B15,'Base stats'!B:B,'Base stats'!BL:BL))*10)*_xlfn.XLOOKUP(_xlfn.XLOOKUP(B15,'Base stats'!B:B,'Base stats'!E:E),Groups!A:A,Groups!Q:Q)*150 + 0.5 + _xlfn.XLOOKUP(B15,'Base stats'!B:B,'Base stats'!BW:BW),
0.05))</f>
        <v>No</v>
      </c>
      <c r="K15" s="3" t="str">
        <f>IF(Animals!X15="No","No",
IF(_xlfn.XLOOKUP(_xlfn.XLOOKUP(B15,'Base stats'!B:B,'Base stats'!E:E),Groups!A:A,Groups!BD:BD)=1,
MAX(MROUND(_xlfn.XLOOKUP(B15,'Base stats'!B:B,'Base stats'!BU:BU) * _xlfn.XLOOKUP(B15,'Base stats'!B:B,'Base stats'!BQ:BQ)^0.9 / 21 *_xlfn.XLOOKUP(B15,'Base stats'!B:B,'Base stats'!BX:BX),0.1),0.05),
MAX(MROUND(((MIN(10,_xlfn.XLOOKUP(B15,'Base stats'!B:B,'Base stats'!W:W)))^0.4*_xlfn.XLOOKUP(B15,'Base stats'!B:B,'Base stats'!BI:BI)^0.73)^0.6 *_xlfn.XLOOKUP(B15,'Base stats'!B:B,'Base stats'!BX:BX),0.1),0.05)
))</f>
        <v>No</v>
      </c>
      <c r="L15" s="11" t="str">
        <f>IF(K15="No","No",
MROUND(_xlfn.XLOOKUP(B15,'Base stats'!B:B,'Base stats'!BI:BI) * 0.01 *2 + 0.05, 0.05)
)</f>
        <v>No</v>
      </c>
      <c r="M15" s="5" t="str">
        <f>IF(K15="No","No",IF(_xlfn.XLOOKUP(_xlfn.XLOOKUP(B15,'Base stats'!B:B,'Base stats'!E:E),Groups!A:A,Groups!BD:BD)=1,"No",
MROUND(_xlfn.XLOOKUP(B15,'Base stats'!B:B,'Base stats'!BU:BU)/10000+0.01,0.01)
))</f>
        <v>No</v>
      </c>
      <c r="N15" s="4" t="str">
        <f>IF(K15="No","No",
MROUND(
  _xlfn.XLOOKUP(B15,'Base stats'!B:B,'Base stats'!BC:BC)^0.25
  / (_xlfn.XLOOKUP(B15,'Base stats'!B:B,'Base stats'!BM:BM) * 10)
  * _xlfn.XLOOKUP(
      _xlfn.XLOOKUP(B15,'Base stats'!B:B,'Base stats'!E:E),
      Groups!A:A,
      Groups!V:V
    ) * 150
  + MIN(12, _xlfn.XLOOKUP(B15,'Base stats'!B:B,'Base stats'!W:W))^(1/IF(_xlfn.XLOOKUP(_xlfn.XLOOKUP(B15,'Base stats'!B:B,'Base stats'!E:E),Groups!A:A,Groups!U:U)=1,100,10)) + 0.5 + _xlfn.XLOOKUP(B15,'Base stats'!B:B,'Base stats'!BW:BW),
0.05))</f>
        <v>No</v>
      </c>
      <c r="O15" s="3">
        <f>IF(Animals!AD15="No","No",
MAX(MROUND((MIN(10,_xlfn.XLOOKUP(B15,'Base stats'!B:B,'Base stats'!V:V)*IF(_xlfn.XLOOKUP(_xlfn.XLOOKUP(B15,'Base stats'!B:B,'Base stats'!E:E),Groups!A:A,Groups!O:O)=0,1,0.33))^0.4*_xlfn.XLOOKUP(B15,'Base stats'!B:B,'Base stats'!BJ:BJ)^0.73)^0.6 *_xlfn.XLOOKUP(B15,'Base stats'!B:B,'Base stats'!BX:BX),0.1),0.05)
)</f>
        <v>10</v>
      </c>
      <c r="P15" s="11">
        <f>IF(O15="No","No",
MROUND(_xlfn.XLOOKUP(B15,'Base stats'!B:B,'Base stats'!BJ:BJ) * 0.01 * 2 + 0.05, 0.05)
)</f>
        <v>2.35</v>
      </c>
      <c r="Q15" s="5">
        <f>IF(O15="No","No",
MROUND(_xlfn.XLOOKUP(B15,'Base stats'!B:B,'Base stats'!BV:BV)/10000+0.01,0.01)
)</f>
        <v>0.2</v>
      </c>
      <c r="R15" s="4">
        <f>IF(O15="No","No",
MROUND(_xlfn.XLOOKUP(B15,'Base stats'!B:B,'Base stats'!BB:BB)^0.25
/((_xlfn.XLOOKUP(B15,'Base stats'!B:B,'Base stats'!BN:BN))*10)*_xlfn.XLOOKUP(_xlfn.XLOOKUP(B15,'Base stats'!B:B,'Base stats'!E:E),Groups!A:A,Groups!Z:Z)*150 + 0.5 + _xlfn.XLOOKUP(B15,'Base stats'!B:B,'Base stats'!BW:BW),
0.05))</f>
        <v>2.15</v>
      </c>
      <c r="S15" s="3" t="str">
        <f>IF(Animals!AI15="No","No",
IF(_xlfn.XLOOKUP(B15,'Base stats'!B:B,'Base stats'!U:U)="No",
MAX(MROUND(_xlfn.XLOOKUP(B15,'Base stats'!B:B,'Base stats'!BT:BT) * _xlfn.XLOOKUP(B15,'Base stats'!B:B,'Base stats'!BP:BP)^0.9 / 21 * _xlfn.XLOOKUP(B15,'Base stats'!B:B,'Base stats'!BX:BX),0.1),0.05),
MAX(MROUND(((MIN(12,_xlfn.XLOOKUP(B15,'Base stats'!B:B,'Base stats'!U:U)))^0.4*_xlfn.XLOOKUP(B15,'Base stats'!B:B,'Base stats'!BH:BH)^0.73)^0.6 * _xlfn.XLOOKUP(B15,'Base stats'!B:B,'Base stats'!BX:BX),0.1),0.05)
))</f>
        <v>No</v>
      </c>
      <c r="T15" s="11" t="str">
        <f>IF(S15="No","No",
MROUND(_xlfn.XLOOKUP(B15,'Base stats'!B:B,'Base stats'!BH:BH) * 0.01 * 2 + 0.05, 0.05)
)</f>
        <v>No</v>
      </c>
      <c r="U15" s="5" t="str">
        <f>IF(S15="No","No",IF(_xlfn.XLOOKUP(B15,'Base stats'!B:B,'Base stats'!U:U)="No","No",
MROUND(_xlfn.XLOOKUP(B15,'Base stats'!B:B,'Base stats'!BT:BT)/10000+0.01,0.01)
))</f>
        <v>No</v>
      </c>
      <c r="V15" s="4" t="str">
        <f>IF(S15="No","No",
MROUND(_xlfn.XLOOKUP(B15,'Base stats'!B:B,'Base stats'!BF:BF)^0.25
/((_xlfn.XLOOKUP(B15,'Base stats'!B:B,'Base stats'!BO:BO))*10)*_xlfn.XLOOKUP(_xlfn.XLOOKUP(B15,'Base stats'!B:B,'Base stats'!E:E),Groups!A:A,Groups!AE:AE)*150 + 0.5 + _xlfn.XLOOKUP(B15,'Base stats'!B:B,'Base stats'!BW:BW),
0.05))</f>
        <v>No</v>
      </c>
      <c r="W15" s="8">
        <f>MROUND(_xlfn.XLOOKUP(_xlfn.XLOOKUP(B15,'Base stats'!B:B,'Base stats'!E:E),Groups!A:A,Groups!BG:BG)*_xlfn.XLOOKUP(B15,'Base stats'!B:B,'Base stats'!C:C)^-0.165,0.05)</f>
        <v>0.55000000000000004</v>
      </c>
      <c r="X15" s="1">
        <f>MROUND(_xlfn.XLOOKUP(_xlfn.XLOOKUP(B15,'Base stats'!B:B,'Base stats'!E:E),Groups!A:A,Groups!BH:BH)*_xlfn.XLOOKUP(B15,'Base stats'!B:B,'Base stats'!C:C)^0.165,0.05)</f>
        <v>0.35000000000000003</v>
      </c>
      <c r="Y15" s="8">
        <f>MROUND(_xlfn.XLOOKUP(_xlfn.XLOOKUP(B15,'Base stats'!B:B,'Base stats'!E:E),Groups!A:A,Groups!BI:BI)*_xlfn.XLOOKUP(B15,'Base stats'!B:B,'Base stats'!C:C)^0.165,0.05)</f>
        <v>0.05</v>
      </c>
      <c r="Z15" s="18">
        <f>MROUND(_xlfn.XLOOKUP(B15,'Base stats'!B:B,'Base stats'!AQ:AQ)*_xlfn.XLOOKUP(_xlfn.XLOOKUP(B15,'Base stats'!B:B,'Base stats'!E:E),Groups!A:A,Groups!H:H)/1000,IF((_xlfn.XLOOKUP(B15,'Base stats'!B:B,'Base stats'!AQ:AQ)*_xlfn.XLOOKUP(_xlfn.XLOOKUP(B15,'Base stats'!B:B,'Base stats'!E:E),Groups!A:A,Groups!H:H)/1000)&gt;1,0.05,0.01))</f>
        <v>7.0000000000000007E-2</v>
      </c>
      <c r="AA15" s="18">
        <f>MROUND((1/2)*(_xlfn.XLOOKUP(_xlfn.XLOOKUP(B15,'Base stats'!B:B,'Base stats'!E:E),Groups!A:A,Groups!H:H)*_xlfn.XLOOKUP(_xlfn.XLOOKUP(B15,'Base stats'!B:B,'Base stats'!E:E),Groups!A:A,Groups!I:I))*_xlfn.XLOOKUP(B15,'Base stats'!B:B,'Base stats'!AQ:AQ)*0.01,0.05)</f>
        <v>0.30000000000000004</v>
      </c>
      <c r="AB15" s="18">
        <f>MROUND(250*(Animals!AO15+Animals!AP15),25)</f>
        <v>400</v>
      </c>
      <c r="AC15" s="18" t="str">
        <f>_xlfn.XLOOKUP(_xlfn.XLOOKUP(B15,'Base stats'!B:B,'Base stats'!E:E),Groups!A:A,Groups!BJ:BJ)</f>
        <v>Quadruped</v>
      </c>
    </row>
    <row r="16" spans="1:29" ht="16.5" thickTop="1" thickBot="1" x14ac:dyDescent="0.3">
      <c r="A16" s="16" t="str">
        <f>Animals!A16</f>
        <v>Husky</v>
      </c>
      <c r="B16" s="6" t="str">
        <f>Animals!B16</f>
        <v>Canis familiaris (Husky)</v>
      </c>
      <c r="C16" s="1" t="str">
        <f>Animals!C16</f>
        <v>&lt;li&gt;Husky&lt;/li&gt;</v>
      </c>
      <c r="D16" s="47">
        <f>MIN(MIN(6,_xlfn.XLOOKUP(A16,Animals!A:A,Animals!AO:AO))*20,MAX(MROUND(_xlfn.XLOOKUP(B16,'Base stats'!B:B,'Base stats'!BS:BS) * (_xlfn.XLOOKUP(B16,'Base stats'!B:B,'Base stats'!AO:AO)*5%)^0.9 / 21,0.1),0.05))</f>
        <v>1.3</v>
      </c>
      <c r="E16" s="11">
        <f>MROUND(_xlfn.XLOOKUP(B16,'Base stats'!B:B,'Base stats'!BG:BG) * 0.01 * 2 + 0.01, 0.05)</f>
        <v>1.05</v>
      </c>
      <c r="F16" s="7">
        <f>MROUND(_xlfn.XLOOKUP(B16,'Base stats'!B:B,'Base stats'!BD:BD)^0.25 / (_xlfn.XLOOKUP(B16,'Base stats'!B:B,'Base stats'!BK:BK) * 10) * 150 + 0.5 + _xlfn.XLOOKUP(B16,'Base stats'!B:B,'Base stats'!BW:BW), 0.05)</f>
        <v>1.8</v>
      </c>
      <c r="G16" s="3" t="str">
        <f>IF(Animals!S16="No","No",
IF(_xlfn.XLOOKUP(B16,'Base stats'!B:B,'Base stats'!U:U)="No",
MAX(MROUND(_xlfn.XLOOKUP(B16,'Base stats'!B:B,'Base stats'!BT:BT) * _xlfn.XLOOKUP(B16,'Base stats'!B:B,'Base stats'!BP:BP)^0.9 / 21 * _xlfn.XLOOKUP(B16,'Base stats'!B:B,'Base stats'!BX:BX),0.1),0.05),
MAX(MROUND(((MIN(10,_xlfn.XLOOKUP(B16,'Base stats'!B:B,'Base stats'!U:U)))^0.4*_xlfn.XLOOKUP(B16,'Base stats'!B:B,'Base stats'!BH:BH)^0.73)^0.6 * _xlfn.XLOOKUP(B16,'Base stats'!B:B,'Base stats'!BX:BX),0.1),0.05)
))</f>
        <v>No</v>
      </c>
      <c r="H16" s="11" t="str">
        <f>IF(G16="No","No",
MROUND(_xlfn.XLOOKUP(B16,'Base stats'!B:B,'Base stats'!BH:BH) * 0.01 * 2 + 0.05, 0.05)
)</f>
        <v>No</v>
      </c>
      <c r="I16" s="11" t="str">
        <f>IF(G16="No","No",IF(_xlfn.XLOOKUP(B16,'Base stats'!B:B,'Base stats'!U:U)="No","No",
MROUND(_xlfn.XLOOKUP(B16,'Base stats'!B:B,'Base stats'!BT:BT)/10000+0.01,0.01)
))</f>
        <v>No</v>
      </c>
      <c r="J16" s="4" t="str">
        <f>IF(G16="No","No",
MROUND(_xlfn.XLOOKUP(B16,'Base stats'!B:B,'Base stats'!BE:BE)^0.25
/((_xlfn.XLOOKUP(B16,'Base stats'!B:B,'Base stats'!BL:BL))*10)*_xlfn.XLOOKUP(_xlfn.XLOOKUP(B16,'Base stats'!B:B,'Base stats'!E:E),Groups!A:A,Groups!Q:Q)*150 + 0.5 + _xlfn.XLOOKUP(B16,'Base stats'!B:B,'Base stats'!BW:BW),
0.05))</f>
        <v>No</v>
      </c>
      <c r="K16" s="3" t="str">
        <f>IF(Animals!X16="No","No",
IF(_xlfn.XLOOKUP(_xlfn.XLOOKUP(B16,'Base stats'!B:B,'Base stats'!E:E),Groups!A:A,Groups!BD:BD)=1,
MAX(MROUND(_xlfn.XLOOKUP(B16,'Base stats'!B:B,'Base stats'!BU:BU) * _xlfn.XLOOKUP(B16,'Base stats'!B:B,'Base stats'!BQ:BQ)^0.9 / 21 *_xlfn.XLOOKUP(B16,'Base stats'!B:B,'Base stats'!BX:BX),0.1),0.05),
MAX(MROUND(((MIN(10,_xlfn.XLOOKUP(B16,'Base stats'!B:B,'Base stats'!W:W)))^0.4*_xlfn.XLOOKUP(B16,'Base stats'!B:B,'Base stats'!BI:BI)^0.73)^0.6 *_xlfn.XLOOKUP(B16,'Base stats'!B:B,'Base stats'!BX:BX),0.1),0.05)
))</f>
        <v>No</v>
      </c>
      <c r="L16" s="11" t="str">
        <f>IF(K16="No","No",
MROUND(_xlfn.XLOOKUP(B16,'Base stats'!B:B,'Base stats'!BI:BI) * 0.01 *2 + 0.05, 0.05)
)</f>
        <v>No</v>
      </c>
      <c r="M16" s="5" t="str">
        <f>IF(K16="No","No",IF(_xlfn.XLOOKUP(_xlfn.XLOOKUP(B16,'Base stats'!B:B,'Base stats'!E:E),Groups!A:A,Groups!BD:BD)=1,"No",
MROUND(_xlfn.XLOOKUP(B16,'Base stats'!B:B,'Base stats'!BU:BU)/10000+0.01,0.01)
))</f>
        <v>No</v>
      </c>
      <c r="N16" s="4" t="str">
        <f>IF(K16="No","No",
MROUND(
  _xlfn.XLOOKUP(B16,'Base stats'!B:B,'Base stats'!BC:BC)^0.25
  / (_xlfn.XLOOKUP(B16,'Base stats'!B:B,'Base stats'!BM:BM) * 10)
  * _xlfn.XLOOKUP(
      _xlfn.XLOOKUP(B16,'Base stats'!B:B,'Base stats'!E:E),
      Groups!A:A,
      Groups!V:V
    ) * 150
  + MIN(12, _xlfn.XLOOKUP(B16,'Base stats'!B:B,'Base stats'!W:W))^(1/IF(_xlfn.XLOOKUP(_xlfn.XLOOKUP(B16,'Base stats'!B:B,'Base stats'!E:E),Groups!A:A,Groups!U:U)=1,100,10)) + 0.5 + _xlfn.XLOOKUP(B16,'Base stats'!B:B,'Base stats'!BW:BW),
0.05))</f>
        <v>No</v>
      </c>
      <c r="O16" s="3">
        <f>IF(Animals!AD16="No","No",
MAX(MROUND((MIN(10,_xlfn.XLOOKUP(B16,'Base stats'!B:B,'Base stats'!V:V)*IF(_xlfn.XLOOKUP(_xlfn.XLOOKUP(B16,'Base stats'!B:B,'Base stats'!E:E),Groups!A:A,Groups!O:O)=0,1,0.33))^0.4*_xlfn.XLOOKUP(B16,'Base stats'!B:B,'Base stats'!BJ:BJ)^0.73)^0.6 *_xlfn.XLOOKUP(B16,'Base stats'!B:B,'Base stats'!BX:BX),0.1),0.05)
)</f>
        <v>10.9</v>
      </c>
      <c r="P16" s="11">
        <f>IF(O16="No","No",
MROUND(_xlfn.XLOOKUP(B16,'Base stats'!B:B,'Base stats'!BJ:BJ) * 0.01 * 2 + 0.05, 0.05)
)</f>
        <v>2.7</v>
      </c>
      <c r="Q16" s="5">
        <f>IF(O16="No","No",
MROUND(_xlfn.XLOOKUP(B16,'Base stats'!B:B,'Base stats'!BV:BV)/10000+0.01,0.01)
)</f>
        <v>0.22</v>
      </c>
      <c r="R16" s="4">
        <f>IF(O16="No","No",
MROUND(_xlfn.XLOOKUP(B16,'Base stats'!B:B,'Base stats'!BB:BB)^0.25
/((_xlfn.XLOOKUP(B16,'Base stats'!B:B,'Base stats'!BN:BN))*10)*_xlfn.XLOOKUP(_xlfn.XLOOKUP(B16,'Base stats'!B:B,'Base stats'!E:E),Groups!A:A,Groups!Z:Z)*150 + 0.5 + _xlfn.XLOOKUP(B16,'Base stats'!B:B,'Base stats'!BW:BW),
0.05))</f>
        <v>2</v>
      </c>
      <c r="S16" s="3" t="str">
        <f>IF(Animals!AI16="No","No",
IF(_xlfn.XLOOKUP(B16,'Base stats'!B:B,'Base stats'!U:U)="No",
MAX(MROUND(_xlfn.XLOOKUP(B16,'Base stats'!B:B,'Base stats'!BT:BT) * _xlfn.XLOOKUP(B16,'Base stats'!B:B,'Base stats'!BP:BP)^0.9 / 21 * _xlfn.XLOOKUP(B16,'Base stats'!B:B,'Base stats'!BX:BX),0.1),0.05),
MAX(MROUND(((MIN(12,_xlfn.XLOOKUP(B16,'Base stats'!B:B,'Base stats'!U:U)))^0.4*_xlfn.XLOOKUP(B16,'Base stats'!B:B,'Base stats'!BH:BH)^0.73)^0.6 * _xlfn.XLOOKUP(B16,'Base stats'!B:B,'Base stats'!BX:BX),0.1),0.05)
))</f>
        <v>No</v>
      </c>
      <c r="T16" s="11" t="str">
        <f>IF(S16="No","No",
MROUND(_xlfn.XLOOKUP(B16,'Base stats'!B:B,'Base stats'!BH:BH) * 0.01 * 2 + 0.05, 0.05)
)</f>
        <v>No</v>
      </c>
      <c r="U16" s="5" t="str">
        <f>IF(S16="No","No",IF(_xlfn.XLOOKUP(B16,'Base stats'!B:B,'Base stats'!U:U)="No","No",
MROUND(_xlfn.XLOOKUP(B16,'Base stats'!B:B,'Base stats'!BT:BT)/10000+0.01,0.01)
))</f>
        <v>No</v>
      </c>
      <c r="V16" s="4" t="str">
        <f>IF(S16="No","No",
MROUND(_xlfn.XLOOKUP(B16,'Base stats'!B:B,'Base stats'!BF:BF)^0.25
/((_xlfn.XLOOKUP(B16,'Base stats'!B:B,'Base stats'!BO:BO))*10)*_xlfn.XLOOKUP(_xlfn.XLOOKUP(B16,'Base stats'!B:B,'Base stats'!E:E),Groups!A:A,Groups!AE:AE)*150 + 0.5 + _xlfn.XLOOKUP(B16,'Base stats'!B:B,'Base stats'!BW:BW),
0.05))</f>
        <v>No</v>
      </c>
      <c r="W16" s="8">
        <f>MROUND(_xlfn.XLOOKUP(_xlfn.XLOOKUP(B16,'Base stats'!B:B,'Base stats'!E:E),Groups!A:A,Groups!BG:BG)*_xlfn.XLOOKUP(B16,'Base stats'!B:B,'Base stats'!C:C)^-0.165,0.05)</f>
        <v>0.55000000000000004</v>
      </c>
      <c r="X16" s="1">
        <f>MROUND(_xlfn.XLOOKUP(_xlfn.XLOOKUP(B16,'Base stats'!B:B,'Base stats'!E:E),Groups!A:A,Groups!BH:BH)*_xlfn.XLOOKUP(B16,'Base stats'!B:B,'Base stats'!C:C)^0.165,0.05)</f>
        <v>0.35000000000000003</v>
      </c>
      <c r="Y16" s="8">
        <f>MROUND(_xlfn.XLOOKUP(_xlfn.XLOOKUP(B16,'Base stats'!B:B,'Base stats'!E:E),Groups!A:A,Groups!BI:BI)*_xlfn.XLOOKUP(B16,'Base stats'!B:B,'Base stats'!C:C)^0.165,0.05)</f>
        <v>0.05</v>
      </c>
      <c r="Z16" s="18">
        <f>MROUND(_xlfn.XLOOKUP(B16,'Base stats'!B:B,'Base stats'!AQ:AQ)*_xlfn.XLOOKUP(_xlfn.XLOOKUP(B16,'Base stats'!B:B,'Base stats'!E:E),Groups!A:A,Groups!H:H)/1000,IF((_xlfn.XLOOKUP(B16,'Base stats'!B:B,'Base stats'!AQ:AQ)*_xlfn.XLOOKUP(_xlfn.XLOOKUP(B16,'Base stats'!B:B,'Base stats'!E:E),Groups!A:A,Groups!H:H)/1000)&gt;1,0.05,0.01))</f>
        <v>7.0000000000000007E-2</v>
      </c>
      <c r="AA16" s="18">
        <f>MROUND((1/2)*(_xlfn.XLOOKUP(_xlfn.XLOOKUP(B16,'Base stats'!B:B,'Base stats'!E:E),Groups!A:A,Groups!H:H)*_xlfn.XLOOKUP(_xlfn.XLOOKUP(B16,'Base stats'!B:B,'Base stats'!E:E),Groups!A:A,Groups!I:I))*_xlfn.XLOOKUP(B16,'Base stats'!B:B,'Base stats'!AQ:AQ)*0.01,0.05)</f>
        <v>0.30000000000000004</v>
      </c>
      <c r="AB16" s="18">
        <f>MROUND(250*(Animals!AO16+Animals!AP16),25)</f>
        <v>425</v>
      </c>
      <c r="AC16" s="18" t="str">
        <f>_xlfn.XLOOKUP(_xlfn.XLOOKUP(B16,'Base stats'!B:B,'Base stats'!E:E),Groups!A:A,Groups!BJ:BJ)</f>
        <v>Quadruped</v>
      </c>
    </row>
    <row r="17" spans="1:29" ht="16.5" thickTop="1" thickBot="1" x14ac:dyDescent="0.3">
      <c r="A17" s="16" t="str">
        <f>Animals!A17</f>
        <v>Cougar</v>
      </c>
      <c r="B17" s="6" t="str">
        <f>Animals!B17</f>
        <v>Puma concolor</v>
      </c>
      <c r="C17" s="1" t="str">
        <f>Animals!C17</f>
        <v>&lt;li&gt;Cougar&lt;/li&gt;</v>
      </c>
      <c r="D17" s="47">
        <f>MIN(MIN(6,_xlfn.XLOOKUP(A17,Animals!A:A,Animals!AO:AO))*20,MAX(MROUND(_xlfn.XLOOKUP(B17,'Base stats'!B:B,'Base stats'!BS:BS) * (_xlfn.XLOOKUP(B17,'Base stats'!B:B,'Base stats'!AO:AO)*5%)^0.9 / 21,0.1),0.05))</f>
        <v>2.1</v>
      </c>
      <c r="E17" s="11">
        <f>MROUND(_xlfn.XLOOKUP(B17,'Base stats'!B:B,'Base stats'!BG:BG) * 0.01 * 2 + 0.01, 0.05)</f>
        <v>1.7000000000000002</v>
      </c>
      <c r="F17" s="7">
        <f>MROUND(_xlfn.XLOOKUP(B17,'Base stats'!B:B,'Base stats'!BD:BD)^0.25 / (_xlfn.XLOOKUP(B17,'Base stats'!B:B,'Base stats'!BK:BK) * 10) * 150 + 0.5 + _xlfn.XLOOKUP(B17,'Base stats'!B:B,'Base stats'!BW:BW), 0.05)</f>
        <v>1.9500000000000002</v>
      </c>
      <c r="G17" s="3" t="str">
        <f>IF(Animals!S17="No","No",
IF(_xlfn.XLOOKUP(B17,'Base stats'!B:B,'Base stats'!U:U)="No",
MAX(MROUND(_xlfn.XLOOKUP(B17,'Base stats'!B:B,'Base stats'!BT:BT) * _xlfn.XLOOKUP(B17,'Base stats'!B:B,'Base stats'!BP:BP)^0.9 / 21 * _xlfn.XLOOKUP(B17,'Base stats'!B:B,'Base stats'!BX:BX),0.1),0.05),
MAX(MROUND(((MIN(10,_xlfn.XLOOKUP(B17,'Base stats'!B:B,'Base stats'!U:U)))^0.4*_xlfn.XLOOKUP(B17,'Base stats'!B:B,'Base stats'!BH:BH)^0.73)^0.6 * _xlfn.XLOOKUP(B17,'Base stats'!B:B,'Base stats'!BX:BX),0.1),0.05)
))</f>
        <v>No</v>
      </c>
      <c r="H17" s="11" t="str">
        <f>IF(G17="No","No",
MROUND(_xlfn.XLOOKUP(B17,'Base stats'!B:B,'Base stats'!BH:BH) * 0.01 * 2 + 0.05, 0.05)
)</f>
        <v>No</v>
      </c>
      <c r="I17" s="11" t="str">
        <f>IF(G17="No","No",IF(_xlfn.XLOOKUP(B17,'Base stats'!B:B,'Base stats'!U:U)="No","No",
MROUND(_xlfn.XLOOKUP(B17,'Base stats'!B:B,'Base stats'!BT:BT)/10000+0.01,0.01)
))</f>
        <v>No</v>
      </c>
      <c r="J17" s="4" t="str">
        <f>IF(G17="No","No",
MROUND(_xlfn.XLOOKUP(B17,'Base stats'!B:B,'Base stats'!BE:BE)^0.25
/((_xlfn.XLOOKUP(B17,'Base stats'!B:B,'Base stats'!BL:BL))*10)*_xlfn.XLOOKUP(_xlfn.XLOOKUP(B17,'Base stats'!B:B,'Base stats'!E:E),Groups!A:A,Groups!Q:Q)*150 + 0.5 + _xlfn.XLOOKUP(B17,'Base stats'!B:B,'Base stats'!BW:BW),
0.05))</f>
        <v>No</v>
      </c>
      <c r="K17" s="3" t="str">
        <f>IF(Animals!X17="No","No",
IF(_xlfn.XLOOKUP(_xlfn.XLOOKUP(B17,'Base stats'!B:B,'Base stats'!E:E),Groups!A:A,Groups!BD:BD)=1,
MAX(MROUND(_xlfn.XLOOKUP(B17,'Base stats'!B:B,'Base stats'!BU:BU) * _xlfn.XLOOKUP(B17,'Base stats'!B:B,'Base stats'!BQ:BQ)^0.9 / 21 *_xlfn.XLOOKUP(B17,'Base stats'!B:B,'Base stats'!BX:BX),0.1),0.05),
MAX(MROUND(((MIN(10,_xlfn.XLOOKUP(B17,'Base stats'!B:B,'Base stats'!W:W)))^0.4*_xlfn.XLOOKUP(B17,'Base stats'!B:B,'Base stats'!BI:BI)^0.73)^0.6 *_xlfn.XLOOKUP(B17,'Base stats'!B:B,'Base stats'!BX:BX),0.1),0.05)
))</f>
        <v>No</v>
      </c>
      <c r="L17" s="11" t="str">
        <f>IF(K17="No","No",
MROUND(_xlfn.XLOOKUP(B17,'Base stats'!B:B,'Base stats'!BI:BI) * 0.01 *2 + 0.05, 0.05)
)</f>
        <v>No</v>
      </c>
      <c r="M17" s="5" t="str">
        <f>IF(K17="No","No",IF(_xlfn.XLOOKUP(_xlfn.XLOOKUP(B17,'Base stats'!B:B,'Base stats'!E:E),Groups!A:A,Groups!BD:BD)=1,"No",
MROUND(_xlfn.XLOOKUP(B17,'Base stats'!B:B,'Base stats'!BU:BU)/10000+0.01,0.01)
))</f>
        <v>No</v>
      </c>
      <c r="N17" s="4" t="str">
        <f>IF(K17="No","No",
MROUND(
  _xlfn.XLOOKUP(B17,'Base stats'!B:B,'Base stats'!BC:BC)^0.25
  / (_xlfn.XLOOKUP(B17,'Base stats'!B:B,'Base stats'!BM:BM) * 10)
  * _xlfn.XLOOKUP(
      _xlfn.XLOOKUP(B17,'Base stats'!B:B,'Base stats'!E:E),
      Groups!A:A,
      Groups!V:V
    ) * 150
  + MIN(12, _xlfn.XLOOKUP(B17,'Base stats'!B:B,'Base stats'!W:W))^(1/IF(_xlfn.XLOOKUP(_xlfn.XLOOKUP(B17,'Base stats'!B:B,'Base stats'!E:E),Groups!A:A,Groups!U:U)=1,100,10)) + 0.5 + _xlfn.XLOOKUP(B17,'Base stats'!B:B,'Base stats'!BW:BW),
0.05))</f>
        <v>No</v>
      </c>
      <c r="O17" s="3">
        <f>IF(Animals!AD17="No","No",
MAX(MROUND((MIN(10,_xlfn.XLOOKUP(B17,'Base stats'!B:B,'Base stats'!V:V)*IF(_xlfn.XLOOKUP(_xlfn.XLOOKUP(B17,'Base stats'!B:B,'Base stats'!E:E),Groups!A:A,Groups!O:O)=0,1,0.33))^0.4*_xlfn.XLOOKUP(B17,'Base stats'!B:B,'Base stats'!BJ:BJ)^0.73)^0.6 *_xlfn.XLOOKUP(B17,'Base stats'!B:B,'Base stats'!BX:BX),0.1),0.05)
)</f>
        <v>13.200000000000001</v>
      </c>
      <c r="P17" s="11">
        <f>IF(O17="No","No",
MROUND(_xlfn.XLOOKUP(B17,'Base stats'!B:B,'Base stats'!BJ:BJ) * 0.01 * 2 + 0.05, 0.05)
)</f>
        <v>3.6</v>
      </c>
      <c r="Q17" s="5">
        <f>IF(O17="No","No",
MROUND(_xlfn.XLOOKUP(B17,'Base stats'!B:B,'Base stats'!BV:BV)/10000+0.01,0.01)
)</f>
        <v>0.23</v>
      </c>
      <c r="R17" s="4">
        <f>IF(O17="No","No",
MROUND(_xlfn.XLOOKUP(B17,'Base stats'!B:B,'Base stats'!BB:BB)^0.25
/((_xlfn.XLOOKUP(B17,'Base stats'!B:B,'Base stats'!BN:BN))*10)*_xlfn.XLOOKUP(_xlfn.XLOOKUP(B17,'Base stats'!B:B,'Base stats'!E:E),Groups!A:A,Groups!Z:Z)*150 + 0.5 + _xlfn.XLOOKUP(B17,'Base stats'!B:B,'Base stats'!BW:BW),
0.05))</f>
        <v>1.9000000000000001</v>
      </c>
      <c r="S17" s="3">
        <f>IF(Animals!AI17="No","No",
IF(_xlfn.XLOOKUP(B17,'Base stats'!B:B,'Base stats'!U:U)="No",
MAX(MROUND(_xlfn.XLOOKUP(B17,'Base stats'!B:B,'Base stats'!BT:BT) * _xlfn.XLOOKUP(B17,'Base stats'!B:B,'Base stats'!BP:BP)^0.9 / 21 * _xlfn.XLOOKUP(B17,'Base stats'!B:B,'Base stats'!BX:BX),0.1),0.05),
MAX(MROUND(((MIN(12,_xlfn.XLOOKUP(B17,'Base stats'!B:B,'Base stats'!U:U)))^0.4*_xlfn.XLOOKUP(B17,'Base stats'!B:B,'Base stats'!BH:BH)^0.73)^0.6 * _xlfn.XLOOKUP(B17,'Base stats'!B:B,'Base stats'!BX:BX),0.1),0.05)
))</f>
        <v>11.9</v>
      </c>
      <c r="T17" s="11">
        <f>IF(S17="No","No",
MROUND(_xlfn.XLOOKUP(B17,'Base stats'!B:B,'Base stats'!BH:BH) * 0.01 * 2 + 0.05, 0.05)
)</f>
        <v>2.25</v>
      </c>
      <c r="U17" s="5">
        <f>IF(S17="No","No",IF(_xlfn.XLOOKUP(B17,'Base stats'!B:B,'Base stats'!U:U)="No","No",
MROUND(_xlfn.XLOOKUP(B17,'Base stats'!B:B,'Base stats'!BT:BT)/10000+0.01,0.01)
))</f>
        <v>0.15</v>
      </c>
      <c r="V17" s="4">
        <f>IF(S17="No","No",
MROUND(_xlfn.XLOOKUP(B17,'Base stats'!B:B,'Base stats'!BF:BF)^0.25
/((_xlfn.XLOOKUP(B17,'Base stats'!B:B,'Base stats'!BO:BO))*10)*_xlfn.XLOOKUP(_xlfn.XLOOKUP(B17,'Base stats'!B:B,'Base stats'!E:E),Groups!A:A,Groups!AE:AE)*150 + 0.5 + _xlfn.XLOOKUP(B17,'Base stats'!B:B,'Base stats'!BW:BW),
0.05))</f>
        <v>1.4000000000000001</v>
      </c>
      <c r="W17" s="8">
        <f>MROUND(_xlfn.XLOOKUP(_xlfn.XLOOKUP(B17,'Base stats'!B:B,'Base stats'!E:E),Groups!A:A,Groups!BG:BG)*_xlfn.XLOOKUP(B17,'Base stats'!B:B,'Base stats'!C:C)^-0.165,0.05)</f>
        <v>0.65</v>
      </c>
      <c r="X17" s="1">
        <f>MROUND(_xlfn.XLOOKUP(_xlfn.XLOOKUP(B17,'Base stats'!B:B,'Base stats'!E:E),Groups!A:A,Groups!BH:BH)*_xlfn.XLOOKUP(B17,'Base stats'!B:B,'Base stats'!C:C)^0.165,0.05)</f>
        <v>0.5</v>
      </c>
      <c r="Y17" s="8">
        <f>MROUND(_xlfn.XLOOKUP(_xlfn.XLOOKUP(B17,'Base stats'!B:B,'Base stats'!E:E),Groups!A:A,Groups!BI:BI)*_xlfn.XLOOKUP(B17,'Base stats'!B:B,'Base stats'!C:C)^0.165,0.05)</f>
        <v>0.05</v>
      </c>
      <c r="Z17" s="18">
        <f>MROUND(_xlfn.XLOOKUP(B17,'Base stats'!B:B,'Base stats'!AQ:AQ)*_xlfn.XLOOKUP(_xlfn.XLOOKUP(B17,'Base stats'!B:B,'Base stats'!E:E),Groups!A:A,Groups!H:H)/1000,IF((_xlfn.XLOOKUP(B17,'Base stats'!B:B,'Base stats'!AQ:AQ)*_xlfn.XLOOKUP(_xlfn.XLOOKUP(B17,'Base stats'!B:B,'Base stats'!E:E),Groups!A:A,Groups!H:H)/1000)&gt;1,0.05,0.01))</f>
        <v>0.09</v>
      </c>
      <c r="AA17" s="18">
        <f>MROUND((1/2)*(_xlfn.XLOOKUP(_xlfn.XLOOKUP(B17,'Base stats'!B:B,'Base stats'!E:E),Groups!A:A,Groups!H:H)*_xlfn.XLOOKUP(_xlfn.XLOOKUP(B17,'Base stats'!B:B,'Base stats'!E:E),Groups!A:A,Groups!I:I))*_xlfn.XLOOKUP(B17,'Base stats'!B:B,'Base stats'!AQ:AQ)*0.01,0.05)</f>
        <v>0.4</v>
      </c>
      <c r="AB17" s="18">
        <f>MROUND(250*(Animals!AO17+Animals!AP17),25)</f>
        <v>525</v>
      </c>
      <c r="AC17" s="18" t="str">
        <f>_xlfn.XLOOKUP(_xlfn.XLOOKUP(B17,'Base stats'!B:B,'Base stats'!E:E),Groups!A:A,Groups!BJ:BJ)</f>
        <v>Quadruped</v>
      </c>
    </row>
    <row r="18" spans="1:29" ht="16.5" thickTop="1" thickBot="1" x14ac:dyDescent="0.3">
      <c r="A18" s="16" t="str">
        <f>Animals!A18</f>
        <v>Leopard</v>
      </c>
      <c r="B18" s="6" t="str">
        <f>Animals!B18</f>
        <v>Panthera pardus</v>
      </c>
      <c r="C18" s="1" t="str">
        <f>Animals!C18</f>
        <v>&lt;li&gt;Panther&lt;/li&gt;</v>
      </c>
      <c r="D18" s="47">
        <f>MIN(MIN(6,_xlfn.XLOOKUP(A18,Animals!A:A,Animals!AO:AO))*20,MAX(MROUND(_xlfn.XLOOKUP(B18,'Base stats'!B:B,'Base stats'!BS:BS) * (_xlfn.XLOOKUP(B18,'Base stats'!B:B,'Base stats'!AO:AO)*5%)^0.9 / 21,0.1),0.05))</f>
        <v>1.8</v>
      </c>
      <c r="E18" s="11">
        <f>MROUND(_xlfn.XLOOKUP(B18,'Base stats'!B:B,'Base stats'!BG:BG) * 0.01 * 2 + 0.01, 0.05)</f>
        <v>1.5</v>
      </c>
      <c r="F18" s="7">
        <f>MROUND(_xlfn.XLOOKUP(B18,'Base stats'!B:B,'Base stats'!BD:BD)^0.25 / (_xlfn.XLOOKUP(B18,'Base stats'!B:B,'Base stats'!BK:BK) * 10) * 150 + 0.5 + _xlfn.XLOOKUP(B18,'Base stats'!B:B,'Base stats'!BW:BW), 0.05)</f>
        <v>1.9000000000000001</v>
      </c>
      <c r="G18" s="3" t="str">
        <f>IF(Animals!S18="No","No",
IF(_xlfn.XLOOKUP(B18,'Base stats'!B:B,'Base stats'!U:U)="No",
MAX(MROUND(_xlfn.XLOOKUP(B18,'Base stats'!B:B,'Base stats'!BT:BT) * _xlfn.XLOOKUP(B18,'Base stats'!B:B,'Base stats'!BP:BP)^0.9 / 21 * _xlfn.XLOOKUP(B18,'Base stats'!B:B,'Base stats'!BX:BX),0.1),0.05),
MAX(MROUND(((MIN(10,_xlfn.XLOOKUP(B18,'Base stats'!B:B,'Base stats'!U:U)))^0.4*_xlfn.XLOOKUP(B18,'Base stats'!B:B,'Base stats'!BH:BH)^0.73)^0.6 * _xlfn.XLOOKUP(B18,'Base stats'!B:B,'Base stats'!BX:BX),0.1),0.05)
))</f>
        <v>No</v>
      </c>
      <c r="H18" s="11" t="str">
        <f>IF(G18="No","No",
MROUND(_xlfn.XLOOKUP(B18,'Base stats'!B:B,'Base stats'!BH:BH) * 0.01 * 2 + 0.05, 0.05)
)</f>
        <v>No</v>
      </c>
      <c r="I18" s="11" t="str">
        <f>IF(G18="No","No",IF(_xlfn.XLOOKUP(B18,'Base stats'!B:B,'Base stats'!U:U)="No","No",
MROUND(_xlfn.XLOOKUP(B18,'Base stats'!B:B,'Base stats'!BT:BT)/10000+0.01,0.01)
))</f>
        <v>No</v>
      </c>
      <c r="J18" s="4" t="str">
        <f>IF(G18="No","No",
MROUND(_xlfn.XLOOKUP(B18,'Base stats'!B:B,'Base stats'!BE:BE)^0.25
/((_xlfn.XLOOKUP(B18,'Base stats'!B:B,'Base stats'!BL:BL))*10)*_xlfn.XLOOKUP(_xlfn.XLOOKUP(B18,'Base stats'!B:B,'Base stats'!E:E),Groups!A:A,Groups!Q:Q)*150 + 0.5 + _xlfn.XLOOKUP(B18,'Base stats'!B:B,'Base stats'!BW:BW),
0.05))</f>
        <v>No</v>
      </c>
      <c r="K18" s="3" t="str">
        <f>IF(Animals!X18="No","No",
IF(_xlfn.XLOOKUP(_xlfn.XLOOKUP(B18,'Base stats'!B:B,'Base stats'!E:E),Groups!A:A,Groups!BD:BD)=1,
MAX(MROUND(_xlfn.XLOOKUP(B18,'Base stats'!B:B,'Base stats'!BU:BU) * _xlfn.XLOOKUP(B18,'Base stats'!B:B,'Base stats'!BQ:BQ)^0.9 / 21 *_xlfn.XLOOKUP(B18,'Base stats'!B:B,'Base stats'!BX:BX),0.1),0.05),
MAX(MROUND(((MIN(10,_xlfn.XLOOKUP(B18,'Base stats'!B:B,'Base stats'!W:W)))^0.4*_xlfn.XLOOKUP(B18,'Base stats'!B:B,'Base stats'!BI:BI)^0.73)^0.6 *_xlfn.XLOOKUP(B18,'Base stats'!B:B,'Base stats'!BX:BX),0.1),0.05)
))</f>
        <v>No</v>
      </c>
      <c r="L18" s="11" t="str">
        <f>IF(K18="No","No",
MROUND(_xlfn.XLOOKUP(B18,'Base stats'!B:B,'Base stats'!BI:BI) * 0.01 *2 + 0.05, 0.05)
)</f>
        <v>No</v>
      </c>
      <c r="M18" s="5" t="str">
        <f>IF(K18="No","No",IF(_xlfn.XLOOKUP(_xlfn.XLOOKUP(B18,'Base stats'!B:B,'Base stats'!E:E),Groups!A:A,Groups!BD:BD)=1,"No",
MROUND(_xlfn.XLOOKUP(B18,'Base stats'!B:B,'Base stats'!BU:BU)/10000+0.01,0.01)
))</f>
        <v>No</v>
      </c>
      <c r="N18" s="4" t="str">
        <f>IF(K18="No","No",
MROUND(
  _xlfn.XLOOKUP(B18,'Base stats'!B:B,'Base stats'!BC:BC)^0.25
  / (_xlfn.XLOOKUP(B18,'Base stats'!B:B,'Base stats'!BM:BM) * 10)
  * _xlfn.XLOOKUP(
      _xlfn.XLOOKUP(B18,'Base stats'!B:B,'Base stats'!E:E),
      Groups!A:A,
      Groups!V:V
    ) * 150
  + MIN(12, _xlfn.XLOOKUP(B18,'Base stats'!B:B,'Base stats'!W:W))^(1/IF(_xlfn.XLOOKUP(_xlfn.XLOOKUP(B18,'Base stats'!B:B,'Base stats'!E:E),Groups!A:A,Groups!U:U)=1,100,10)) + 0.5 + _xlfn.XLOOKUP(B18,'Base stats'!B:B,'Base stats'!BW:BW),
0.05))</f>
        <v>No</v>
      </c>
      <c r="O18" s="3">
        <f>IF(Animals!AD18="No","No",
MAX(MROUND((MIN(10,_xlfn.XLOOKUP(B18,'Base stats'!B:B,'Base stats'!V:V)*IF(_xlfn.XLOOKUP(_xlfn.XLOOKUP(B18,'Base stats'!B:B,'Base stats'!E:E),Groups!A:A,Groups!O:O)=0,1,0.33))^0.4*_xlfn.XLOOKUP(B18,'Base stats'!B:B,'Base stats'!BJ:BJ)^0.73)^0.6 *_xlfn.XLOOKUP(B18,'Base stats'!B:B,'Base stats'!BX:BX),0.1),0.05)
)</f>
        <v>14.9</v>
      </c>
      <c r="P18" s="11">
        <f>IF(O18="No","No",
MROUND(_xlfn.XLOOKUP(B18,'Base stats'!B:B,'Base stats'!BJ:BJ) * 0.01 * 2 + 0.05, 0.05)
)</f>
        <v>4.8500000000000005</v>
      </c>
      <c r="Q18" s="5">
        <f>IF(O18="No","No",
MROUND(_xlfn.XLOOKUP(B18,'Base stats'!B:B,'Base stats'!BV:BV)/10000+0.01,0.01)
)</f>
        <v>0.33</v>
      </c>
      <c r="R18" s="4">
        <f>IF(O18="No","No",
MROUND(_xlfn.XLOOKUP(B18,'Base stats'!B:B,'Base stats'!BB:BB)^0.25
/((_xlfn.XLOOKUP(B18,'Base stats'!B:B,'Base stats'!BN:BN))*10)*_xlfn.XLOOKUP(_xlfn.XLOOKUP(B18,'Base stats'!B:B,'Base stats'!E:E),Groups!A:A,Groups!Z:Z)*150 + 0.5 + _xlfn.XLOOKUP(B18,'Base stats'!B:B,'Base stats'!BW:BW),
0.05))</f>
        <v>2</v>
      </c>
      <c r="S18" s="3">
        <f>IF(Animals!AI18="No","No",
IF(_xlfn.XLOOKUP(B18,'Base stats'!B:B,'Base stats'!U:U)="No",
MAX(MROUND(_xlfn.XLOOKUP(B18,'Base stats'!B:B,'Base stats'!BT:BT) * _xlfn.XLOOKUP(B18,'Base stats'!B:B,'Base stats'!BP:BP)^0.9 / 21 * _xlfn.XLOOKUP(B18,'Base stats'!B:B,'Base stats'!BX:BX),0.1),0.05),
MAX(MROUND(((MIN(12,_xlfn.XLOOKUP(B18,'Base stats'!B:B,'Base stats'!U:U)))^0.4*_xlfn.XLOOKUP(B18,'Base stats'!B:B,'Base stats'!BH:BH)^0.73)^0.6 * _xlfn.XLOOKUP(B18,'Base stats'!B:B,'Base stats'!BX:BX),0.1),0.05)
))</f>
        <v>11.100000000000001</v>
      </c>
      <c r="T18" s="11">
        <f>IF(S18="No","No",
MROUND(_xlfn.XLOOKUP(B18,'Base stats'!B:B,'Base stats'!BH:BH) * 0.01 * 2 + 0.05, 0.05)
)</f>
        <v>1.9500000000000002</v>
      </c>
      <c r="U18" s="5">
        <f>IF(S18="No","No",IF(_xlfn.XLOOKUP(B18,'Base stats'!B:B,'Base stats'!U:U)="No","No",
MROUND(_xlfn.XLOOKUP(B18,'Base stats'!B:B,'Base stats'!BT:BT)/10000+0.01,0.01)
))</f>
        <v>0.14000000000000001</v>
      </c>
      <c r="V18" s="4">
        <f>IF(S18="No","No",
MROUND(_xlfn.XLOOKUP(B18,'Base stats'!B:B,'Base stats'!BF:BF)^0.25
/((_xlfn.XLOOKUP(B18,'Base stats'!B:B,'Base stats'!BO:BO))*10)*_xlfn.XLOOKUP(_xlfn.XLOOKUP(B18,'Base stats'!B:B,'Base stats'!E:E),Groups!A:A,Groups!AE:AE)*150 + 0.5 + _xlfn.XLOOKUP(B18,'Base stats'!B:B,'Base stats'!BW:BW),
0.05))</f>
        <v>1.35</v>
      </c>
      <c r="W18" s="8">
        <f>MROUND(_xlfn.XLOOKUP(_xlfn.XLOOKUP(B18,'Base stats'!B:B,'Base stats'!E:E),Groups!A:A,Groups!BG:BG)*_xlfn.XLOOKUP(B18,'Base stats'!B:B,'Base stats'!C:C)^-0.165,0.05)</f>
        <v>0.65</v>
      </c>
      <c r="X18" s="1">
        <f>MROUND(_xlfn.XLOOKUP(_xlfn.XLOOKUP(B18,'Base stats'!B:B,'Base stats'!E:E),Groups!A:A,Groups!BH:BH)*_xlfn.XLOOKUP(B18,'Base stats'!B:B,'Base stats'!C:C)^0.165,0.05)</f>
        <v>0.5</v>
      </c>
      <c r="Y18" s="8">
        <f>MROUND(_xlfn.XLOOKUP(_xlfn.XLOOKUP(B18,'Base stats'!B:B,'Base stats'!E:E),Groups!A:A,Groups!BI:BI)*_xlfn.XLOOKUP(B18,'Base stats'!B:B,'Base stats'!C:C)^0.165,0.05)</f>
        <v>0.05</v>
      </c>
      <c r="Z18" s="18">
        <f>MROUND(_xlfn.XLOOKUP(B18,'Base stats'!B:B,'Base stats'!AQ:AQ)*_xlfn.XLOOKUP(_xlfn.XLOOKUP(B18,'Base stats'!B:B,'Base stats'!E:E),Groups!A:A,Groups!H:H)/1000,IF((_xlfn.XLOOKUP(B18,'Base stats'!B:B,'Base stats'!AQ:AQ)*_xlfn.XLOOKUP(_xlfn.XLOOKUP(B18,'Base stats'!B:B,'Base stats'!E:E),Groups!A:A,Groups!H:H)/1000)&gt;1,0.05,0.01))</f>
        <v>0.08</v>
      </c>
      <c r="AA18" s="18">
        <f>MROUND((1/2)*(_xlfn.XLOOKUP(_xlfn.XLOOKUP(B18,'Base stats'!B:B,'Base stats'!E:E),Groups!A:A,Groups!H:H)*_xlfn.XLOOKUP(_xlfn.XLOOKUP(B18,'Base stats'!B:B,'Base stats'!E:E),Groups!A:A,Groups!I:I))*_xlfn.XLOOKUP(B18,'Base stats'!B:B,'Base stats'!AQ:AQ)*0.01,0.05)</f>
        <v>0.35000000000000003</v>
      </c>
      <c r="AB18" s="18">
        <f>MROUND(250*(Animals!AO18+Animals!AP18),25)</f>
        <v>500</v>
      </c>
      <c r="AC18" s="18" t="str">
        <f>_xlfn.XLOOKUP(_xlfn.XLOOKUP(B18,'Base stats'!B:B,'Base stats'!E:E),Groups!A:A,Groups!BJ:BJ)</f>
        <v>Quadruped</v>
      </c>
    </row>
    <row r="19" spans="1:29" ht="16.5" thickTop="1" thickBot="1" x14ac:dyDescent="0.3">
      <c r="A19" s="16" t="str">
        <f>Animals!A19</f>
        <v>Lynx</v>
      </c>
      <c r="B19" s="6" t="str">
        <f>Animals!B19</f>
        <v>Lynx lynx</v>
      </c>
      <c r="C19" s="1" t="str">
        <f>Animals!C19</f>
        <v>&lt;li&gt;Lynx&lt;/li&gt;</v>
      </c>
      <c r="D19" s="47">
        <f>MIN(MIN(6,_xlfn.XLOOKUP(A19,Animals!A:A,Animals!AO:AO))*20,MAX(MROUND(_xlfn.XLOOKUP(B19,'Base stats'!B:B,'Base stats'!BS:BS) * (_xlfn.XLOOKUP(B19,'Base stats'!B:B,'Base stats'!AO:AO)*5%)^0.9 / 21,0.1),0.05))</f>
        <v>0.9</v>
      </c>
      <c r="E19" s="11">
        <f>MROUND(_xlfn.XLOOKUP(B19,'Base stats'!B:B,'Base stats'!BG:BG) * 0.01 * 2 + 0.01, 0.05)</f>
        <v>0.70000000000000007</v>
      </c>
      <c r="F19" s="7">
        <f>MROUND(_xlfn.XLOOKUP(B19,'Base stats'!B:B,'Base stats'!BD:BD)^0.25 / (_xlfn.XLOOKUP(B19,'Base stats'!B:B,'Base stats'!BK:BK) * 10) * 150 + 0.5 + _xlfn.XLOOKUP(B19,'Base stats'!B:B,'Base stats'!BW:BW), 0.05)</f>
        <v>1.6500000000000001</v>
      </c>
      <c r="G19" s="3" t="str">
        <f>IF(Animals!S19="No","No",
IF(_xlfn.XLOOKUP(B19,'Base stats'!B:B,'Base stats'!U:U)="No",
MAX(MROUND(_xlfn.XLOOKUP(B19,'Base stats'!B:B,'Base stats'!BT:BT) * _xlfn.XLOOKUP(B19,'Base stats'!B:B,'Base stats'!BP:BP)^0.9 / 21 * _xlfn.XLOOKUP(B19,'Base stats'!B:B,'Base stats'!BX:BX),0.1),0.05),
MAX(MROUND(((MIN(10,_xlfn.XLOOKUP(B19,'Base stats'!B:B,'Base stats'!U:U)))^0.4*_xlfn.XLOOKUP(B19,'Base stats'!B:B,'Base stats'!BH:BH)^0.73)^0.6 * _xlfn.XLOOKUP(B19,'Base stats'!B:B,'Base stats'!BX:BX),0.1),0.05)
))</f>
        <v>No</v>
      </c>
      <c r="H19" s="11" t="str">
        <f>IF(G19="No","No",
MROUND(_xlfn.XLOOKUP(B19,'Base stats'!B:B,'Base stats'!BH:BH) * 0.01 * 2 + 0.05, 0.05)
)</f>
        <v>No</v>
      </c>
      <c r="I19" s="11" t="str">
        <f>IF(G19="No","No",IF(_xlfn.XLOOKUP(B19,'Base stats'!B:B,'Base stats'!U:U)="No","No",
MROUND(_xlfn.XLOOKUP(B19,'Base stats'!B:B,'Base stats'!BT:BT)/10000+0.01,0.01)
))</f>
        <v>No</v>
      </c>
      <c r="J19" s="4" t="str">
        <f>IF(G19="No","No",
MROUND(_xlfn.XLOOKUP(B19,'Base stats'!B:B,'Base stats'!BE:BE)^0.25
/((_xlfn.XLOOKUP(B19,'Base stats'!B:B,'Base stats'!BL:BL))*10)*_xlfn.XLOOKUP(_xlfn.XLOOKUP(B19,'Base stats'!B:B,'Base stats'!E:E),Groups!A:A,Groups!Q:Q)*150 + 0.5 + _xlfn.XLOOKUP(B19,'Base stats'!B:B,'Base stats'!BW:BW),
0.05))</f>
        <v>No</v>
      </c>
      <c r="K19" s="3" t="str">
        <f>IF(Animals!X19="No","No",
IF(_xlfn.XLOOKUP(_xlfn.XLOOKUP(B19,'Base stats'!B:B,'Base stats'!E:E),Groups!A:A,Groups!BD:BD)=1,
MAX(MROUND(_xlfn.XLOOKUP(B19,'Base stats'!B:B,'Base stats'!BU:BU) * _xlfn.XLOOKUP(B19,'Base stats'!B:B,'Base stats'!BQ:BQ)^0.9 / 21 *_xlfn.XLOOKUP(B19,'Base stats'!B:B,'Base stats'!BX:BX),0.1),0.05),
MAX(MROUND(((MIN(10,_xlfn.XLOOKUP(B19,'Base stats'!B:B,'Base stats'!W:W)))^0.4*_xlfn.XLOOKUP(B19,'Base stats'!B:B,'Base stats'!BI:BI)^0.73)^0.6 *_xlfn.XLOOKUP(B19,'Base stats'!B:B,'Base stats'!BX:BX),0.1),0.05)
))</f>
        <v>No</v>
      </c>
      <c r="L19" s="11" t="str">
        <f>IF(K19="No","No",
MROUND(_xlfn.XLOOKUP(B19,'Base stats'!B:B,'Base stats'!BI:BI) * 0.01 *2 + 0.05, 0.05)
)</f>
        <v>No</v>
      </c>
      <c r="M19" s="5" t="str">
        <f>IF(K19="No","No",IF(_xlfn.XLOOKUP(_xlfn.XLOOKUP(B19,'Base stats'!B:B,'Base stats'!E:E),Groups!A:A,Groups!BD:BD)=1,"No",
MROUND(_xlfn.XLOOKUP(B19,'Base stats'!B:B,'Base stats'!BU:BU)/10000+0.01,0.01)
))</f>
        <v>No</v>
      </c>
      <c r="N19" s="4" t="str">
        <f>IF(K19="No","No",
MROUND(
  _xlfn.XLOOKUP(B19,'Base stats'!B:B,'Base stats'!BC:BC)^0.25
  / (_xlfn.XLOOKUP(B19,'Base stats'!B:B,'Base stats'!BM:BM) * 10)
  * _xlfn.XLOOKUP(
      _xlfn.XLOOKUP(B19,'Base stats'!B:B,'Base stats'!E:E),
      Groups!A:A,
      Groups!V:V
    ) * 150
  + MIN(12, _xlfn.XLOOKUP(B19,'Base stats'!B:B,'Base stats'!W:W))^(1/IF(_xlfn.XLOOKUP(_xlfn.XLOOKUP(B19,'Base stats'!B:B,'Base stats'!E:E),Groups!A:A,Groups!U:U)=1,100,10)) + 0.5 + _xlfn.XLOOKUP(B19,'Base stats'!B:B,'Base stats'!BW:BW),
0.05))</f>
        <v>No</v>
      </c>
      <c r="O19" s="3">
        <f>IF(Animals!AD19="No","No",
MAX(MROUND((MIN(10,_xlfn.XLOOKUP(B19,'Base stats'!B:B,'Base stats'!V:V)*IF(_xlfn.XLOOKUP(_xlfn.XLOOKUP(B19,'Base stats'!B:B,'Base stats'!E:E),Groups!A:A,Groups!O:O)=0,1,0.33))^0.4*_xlfn.XLOOKUP(B19,'Base stats'!B:B,'Base stats'!BJ:BJ)^0.73)^0.6 *_xlfn.XLOOKUP(B19,'Base stats'!B:B,'Base stats'!BX:BX),0.1),0.05)
)</f>
        <v>8</v>
      </c>
      <c r="P19" s="11">
        <f>IF(O19="No","No",
MROUND(_xlfn.XLOOKUP(B19,'Base stats'!B:B,'Base stats'!BJ:BJ) * 0.01 * 2 + 0.05, 0.05)
)</f>
        <v>1.4000000000000001</v>
      </c>
      <c r="Q19" s="5">
        <f>IF(O19="No","No",
MROUND(_xlfn.XLOOKUP(B19,'Base stats'!B:B,'Base stats'!BV:BV)/10000+0.01,0.01)
)</f>
        <v>0.14000000000000001</v>
      </c>
      <c r="R19" s="4">
        <f>IF(O19="No","No",
MROUND(_xlfn.XLOOKUP(B19,'Base stats'!B:B,'Base stats'!BB:BB)^0.25
/((_xlfn.XLOOKUP(B19,'Base stats'!B:B,'Base stats'!BN:BN))*10)*_xlfn.XLOOKUP(_xlfn.XLOOKUP(B19,'Base stats'!B:B,'Base stats'!E:E),Groups!A:A,Groups!Z:Z)*150 + 0.5 + _xlfn.XLOOKUP(B19,'Base stats'!B:B,'Base stats'!BW:BW),
0.05))</f>
        <v>1.8</v>
      </c>
      <c r="S19" s="3">
        <f>IF(Animals!AI19="No","No",
IF(_xlfn.XLOOKUP(B19,'Base stats'!B:B,'Base stats'!U:U)="No",
MAX(MROUND(_xlfn.XLOOKUP(B19,'Base stats'!B:B,'Base stats'!BT:BT) * _xlfn.XLOOKUP(B19,'Base stats'!B:B,'Base stats'!BP:BP)^0.9 / 21 * _xlfn.XLOOKUP(B19,'Base stats'!B:B,'Base stats'!BX:BX),0.1),0.05),
MAX(MROUND(((MIN(12,_xlfn.XLOOKUP(B19,'Base stats'!B:B,'Base stats'!U:U)))^0.4*_xlfn.XLOOKUP(B19,'Base stats'!B:B,'Base stats'!BH:BH)^0.73)^0.6 * _xlfn.XLOOKUP(B19,'Base stats'!B:B,'Base stats'!BX:BX),0.1),0.05)
))</f>
        <v>7.4</v>
      </c>
      <c r="T19" s="11">
        <f>IF(S19="No","No",
MROUND(_xlfn.XLOOKUP(B19,'Base stats'!B:B,'Base stats'!BH:BH) * 0.01 * 2 + 0.05, 0.05)
)</f>
        <v>1</v>
      </c>
      <c r="U19" s="5">
        <f>IF(S19="No","No",IF(_xlfn.XLOOKUP(B19,'Base stats'!B:B,'Base stats'!U:U)="No","No",
MROUND(_xlfn.XLOOKUP(B19,'Base stats'!B:B,'Base stats'!BT:BT)/10000+0.01,0.01)
))</f>
        <v>0.1</v>
      </c>
      <c r="V19" s="4">
        <f>IF(S19="No","No",
MROUND(_xlfn.XLOOKUP(B19,'Base stats'!B:B,'Base stats'!BF:BF)^0.25
/((_xlfn.XLOOKUP(B19,'Base stats'!B:B,'Base stats'!BO:BO))*10)*_xlfn.XLOOKUP(_xlfn.XLOOKUP(B19,'Base stats'!B:B,'Base stats'!E:E),Groups!A:A,Groups!AE:AE)*150 + 0.5 + _xlfn.XLOOKUP(B19,'Base stats'!B:B,'Base stats'!BW:BW),
0.05))</f>
        <v>1.3</v>
      </c>
      <c r="W19" s="8">
        <f>MROUND(_xlfn.XLOOKUP(_xlfn.XLOOKUP(B19,'Base stats'!B:B,'Base stats'!E:E),Groups!A:A,Groups!BG:BG)*_xlfn.XLOOKUP(B19,'Base stats'!B:B,'Base stats'!C:C)^-0.165,0.05)</f>
        <v>0.75</v>
      </c>
      <c r="X19" s="1">
        <f>MROUND(_xlfn.XLOOKUP(_xlfn.XLOOKUP(B19,'Base stats'!B:B,'Base stats'!E:E),Groups!A:A,Groups!BH:BH)*_xlfn.XLOOKUP(B19,'Base stats'!B:B,'Base stats'!C:C)^0.165,0.05)</f>
        <v>0.4</v>
      </c>
      <c r="Y19" s="8">
        <f>MROUND(_xlfn.XLOOKUP(_xlfn.XLOOKUP(B19,'Base stats'!B:B,'Base stats'!E:E),Groups!A:A,Groups!BI:BI)*_xlfn.XLOOKUP(B19,'Base stats'!B:B,'Base stats'!C:C)^0.165,0.05)</f>
        <v>0.05</v>
      </c>
      <c r="Z19" s="18">
        <f>MROUND(_xlfn.XLOOKUP(B19,'Base stats'!B:B,'Base stats'!AQ:AQ)*_xlfn.XLOOKUP(_xlfn.XLOOKUP(B19,'Base stats'!B:B,'Base stats'!E:E),Groups!A:A,Groups!H:H)/1000,IF((_xlfn.XLOOKUP(B19,'Base stats'!B:B,'Base stats'!AQ:AQ)*_xlfn.XLOOKUP(_xlfn.XLOOKUP(B19,'Base stats'!B:B,'Base stats'!E:E),Groups!A:A,Groups!H:H)/1000)&gt;1,0.05,0.01))</f>
        <v>0.06</v>
      </c>
      <c r="AA19" s="18">
        <f>MROUND((1/2)*(_xlfn.XLOOKUP(_xlfn.XLOOKUP(B19,'Base stats'!B:B,'Base stats'!E:E),Groups!A:A,Groups!H:H)*_xlfn.XLOOKUP(_xlfn.XLOOKUP(B19,'Base stats'!B:B,'Base stats'!E:E),Groups!A:A,Groups!I:I))*_xlfn.XLOOKUP(B19,'Base stats'!B:B,'Base stats'!AQ:AQ)*0.01,0.05)</f>
        <v>0.25</v>
      </c>
      <c r="AB19" s="18">
        <f>MROUND(250*(Animals!AO19+Animals!AP19),25)</f>
        <v>325</v>
      </c>
      <c r="AC19" s="18" t="str">
        <f>_xlfn.XLOOKUP(_xlfn.XLOOKUP(B19,'Base stats'!B:B,'Base stats'!E:E),Groups!A:A,Groups!BJ:BJ)</f>
        <v>Quadruped</v>
      </c>
    </row>
    <row r="20" spans="1:29" ht="16.5" thickTop="1" thickBot="1" x14ac:dyDescent="0.3">
      <c r="A20" s="16" t="str">
        <f>Animals!A20</f>
        <v>Cat</v>
      </c>
      <c r="B20" s="6" t="str">
        <f>Animals!B20</f>
        <v>Felis catus</v>
      </c>
      <c r="C20" s="1" t="str">
        <f>Animals!C20</f>
        <v>&lt;li&gt;Cat&lt;/li&gt;</v>
      </c>
      <c r="D20" s="47">
        <f>MIN(MIN(6,_xlfn.XLOOKUP(A20,Animals!A:A,Animals!AO:AO))*20,MAX(MROUND(_xlfn.XLOOKUP(B20,'Base stats'!B:B,'Base stats'!BS:BS) * (_xlfn.XLOOKUP(B20,'Base stats'!B:B,'Base stats'!AO:AO)*5%)^0.9 / 21,0.1),0.05))</f>
        <v>0.2</v>
      </c>
      <c r="E20" s="11">
        <f>MROUND(_xlfn.XLOOKUP(B20,'Base stats'!B:B,'Base stats'!BG:BG) * 0.01 * 2 + 0.01, 0.05)</f>
        <v>0.15000000000000002</v>
      </c>
      <c r="F20" s="7">
        <f>MROUND(_xlfn.XLOOKUP(B20,'Base stats'!B:B,'Base stats'!BD:BD)^0.25 / (_xlfn.XLOOKUP(B20,'Base stats'!B:B,'Base stats'!BK:BK) * 10) * 150 + 0.5 + _xlfn.XLOOKUP(B20,'Base stats'!B:B,'Base stats'!BW:BW), 0.05)</f>
        <v>1.4000000000000001</v>
      </c>
      <c r="G20" s="3" t="str">
        <f>IF(Animals!S20="No","No",
IF(_xlfn.XLOOKUP(B20,'Base stats'!B:B,'Base stats'!U:U)="No",
MAX(MROUND(_xlfn.XLOOKUP(B20,'Base stats'!B:B,'Base stats'!BT:BT) * _xlfn.XLOOKUP(B20,'Base stats'!B:B,'Base stats'!BP:BP)^0.9 / 21 * _xlfn.XLOOKUP(B20,'Base stats'!B:B,'Base stats'!BX:BX),0.1),0.05),
MAX(MROUND(((MIN(10,_xlfn.XLOOKUP(B20,'Base stats'!B:B,'Base stats'!U:U)))^0.4*_xlfn.XLOOKUP(B20,'Base stats'!B:B,'Base stats'!BH:BH)^0.73)^0.6 * _xlfn.XLOOKUP(B20,'Base stats'!B:B,'Base stats'!BX:BX),0.1),0.05)
))</f>
        <v>No</v>
      </c>
      <c r="H20" s="11" t="str">
        <f>IF(G20="No","No",
MROUND(_xlfn.XLOOKUP(B20,'Base stats'!B:B,'Base stats'!BH:BH) * 0.01 * 2 + 0.05, 0.05)
)</f>
        <v>No</v>
      </c>
      <c r="I20" s="11" t="str">
        <f>IF(G20="No","No",IF(_xlfn.XLOOKUP(B20,'Base stats'!B:B,'Base stats'!U:U)="No","No",
MROUND(_xlfn.XLOOKUP(B20,'Base stats'!B:B,'Base stats'!BT:BT)/10000+0.01,0.01)
))</f>
        <v>No</v>
      </c>
      <c r="J20" s="4" t="str">
        <f>IF(G20="No","No",
MROUND(_xlfn.XLOOKUP(B20,'Base stats'!B:B,'Base stats'!BE:BE)^0.25
/((_xlfn.XLOOKUP(B20,'Base stats'!B:B,'Base stats'!BL:BL))*10)*_xlfn.XLOOKUP(_xlfn.XLOOKUP(B20,'Base stats'!B:B,'Base stats'!E:E),Groups!A:A,Groups!Q:Q)*150 + 0.5 + _xlfn.XLOOKUP(B20,'Base stats'!B:B,'Base stats'!BW:BW),
0.05))</f>
        <v>No</v>
      </c>
      <c r="K20" s="3" t="str">
        <f>IF(Animals!X20="No","No",
IF(_xlfn.XLOOKUP(_xlfn.XLOOKUP(B20,'Base stats'!B:B,'Base stats'!E:E),Groups!A:A,Groups!BD:BD)=1,
MAX(MROUND(_xlfn.XLOOKUP(B20,'Base stats'!B:B,'Base stats'!BU:BU) * _xlfn.XLOOKUP(B20,'Base stats'!B:B,'Base stats'!BQ:BQ)^0.9 / 21 *_xlfn.XLOOKUP(B20,'Base stats'!B:B,'Base stats'!BX:BX),0.1),0.05),
MAX(MROUND(((MIN(10,_xlfn.XLOOKUP(B20,'Base stats'!B:B,'Base stats'!W:W)))^0.4*_xlfn.XLOOKUP(B20,'Base stats'!B:B,'Base stats'!BI:BI)^0.73)^0.6 *_xlfn.XLOOKUP(B20,'Base stats'!B:B,'Base stats'!BX:BX),0.1),0.05)
))</f>
        <v>No</v>
      </c>
      <c r="L20" s="11" t="str">
        <f>IF(K20="No","No",
MROUND(_xlfn.XLOOKUP(B20,'Base stats'!B:B,'Base stats'!BI:BI) * 0.01 *2 + 0.05, 0.05)
)</f>
        <v>No</v>
      </c>
      <c r="M20" s="5" t="str">
        <f>IF(K20="No","No",IF(_xlfn.XLOOKUP(_xlfn.XLOOKUP(B20,'Base stats'!B:B,'Base stats'!E:E),Groups!A:A,Groups!BD:BD)=1,"No",
MROUND(_xlfn.XLOOKUP(B20,'Base stats'!B:B,'Base stats'!BU:BU)/10000+0.01,0.01)
))</f>
        <v>No</v>
      </c>
      <c r="N20" s="4" t="str">
        <f>IF(K20="No","No",
MROUND(
  _xlfn.XLOOKUP(B20,'Base stats'!B:B,'Base stats'!BC:BC)^0.25
  / (_xlfn.XLOOKUP(B20,'Base stats'!B:B,'Base stats'!BM:BM) * 10)
  * _xlfn.XLOOKUP(
      _xlfn.XLOOKUP(B20,'Base stats'!B:B,'Base stats'!E:E),
      Groups!A:A,
      Groups!V:V
    ) * 150
  + MIN(12, _xlfn.XLOOKUP(B20,'Base stats'!B:B,'Base stats'!W:W))^(1/IF(_xlfn.XLOOKUP(_xlfn.XLOOKUP(B20,'Base stats'!B:B,'Base stats'!E:E),Groups!A:A,Groups!U:U)=1,100,10)) + 0.5 + _xlfn.XLOOKUP(B20,'Base stats'!B:B,'Base stats'!BW:BW),
0.05))</f>
        <v>No</v>
      </c>
      <c r="O20" s="3">
        <f>IF(Animals!AD20="No","No",
MAX(MROUND((MIN(10,_xlfn.XLOOKUP(B20,'Base stats'!B:B,'Base stats'!V:V)*IF(_xlfn.XLOOKUP(_xlfn.XLOOKUP(B20,'Base stats'!B:B,'Base stats'!E:E),Groups!A:A,Groups!O:O)=0,1,0.33))^0.4*_xlfn.XLOOKUP(B20,'Base stats'!B:B,'Base stats'!BJ:BJ)^0.73)^0.6 *_xlfn.XLOOKUP(B20,'Base stats'!B:B,'Base stats'!BX:BX),0.1),0.05)
)</f>
        <v>3.7</v>
      </c>
      <c r="P20" s="11">
        <f>IF(O20="No","No",
MROUND(_xlfn.XLOOKUP(B20,'Base stats'!B:B,'Base stats'!BJ:BJ) * 0.01 * 2 + 0.05, 0.05)
)</f>
        <v>0.4</v>
      </c>
      <c r="Q20" s="5">
        <f>IF(O20="No","No",
MROUND(_xlfn.XLOOKUP(B20,'Base stats'!B:B,'Base stats'!BV:BV)/10000+0.01,0.01)
)</f>
        <v>0.08</v>
      </c>
      <c r="R20" s="4">
        <f>IF(O20="No","No",
MROUND(_xlfn.XLOOKUP(B20,'Base stats'!B:B,'Base stats'!BB:BB)^0.25
/((_xlfn.XLOOKUP(B20,'Base stats'!B:B,'Base stats'!BN:BN))*10)*_xlfn.XLOOKUP(_xlfn.XLOOKUP(B20,'Base stats'!B:B,'Base stats'!E:E),Groups!A:A,Groups!Z:Z)*150 + 0.5 + _xlfn.XLOOKUP(B20,'Base stats'!B:B,'Base stats'!BW:BW),
0.05))</f>
        <v>1.6500000000000001</v>
      </c>
      <c r="S20" s="3">
        <f>IF(Animals!AI20="No","No",
IF(_xlfn.XLOOKUP(B20,'Base stats'!B:B,'Base stats'!U:U)="No",
MAX(MROUND(_xlfn.XLOOKUP(B20,'Base stats'!B:B,'Base stats'!BT:BT) * _xlfn.XLOOKUP(B20,'Base stats'!B:B,'Base stats'!BP:BP)^0.9 / 21 * _xlfn.XLOOKUP(B20,'Base stats'!B:B,'Base stats'!BX:BX),0.1),0.05),
MAX(MROUND(((MIN(12,_xlfn.XLOOKUP(B20,'Base stats'!B:B,'Base stats'!U:U)))^0.4*_xlfn.XLOOKUP(B20,'Base stats'!B:B,'Base stats'!BH:BH)^0.73)^0.6 * _xlfn.XLOOKUP(B20,'Base stats'!B:B,'Base stats'!BX:BX),0.1),0.05)
))</f>
        <v>2.9000000000000004</v>
      </c>
      <c r="T20" s="11">
        <f>IF(S20="No","No",
MROUND(_xlfn.XLOOKUP(B20,'Base stats'!B:B,'Base stats'!BH:BH) * 0.01 * 2 + 0.05, 0.05)
)</f>
        <v>0.25</v>
      </c>
      <c r="U20" s="5">
        <f>IF(S20="No","No",IF(_xlfn.XLOOKUP(B20,'Base stats'!B:B,'Base stats'!U:U)="No","No",
MROUND(_xlfn.XLOOKUP(B20,'Base stats'!B:B,'Base stats'!BT:BT)/10000+0.01,0.01)
))</f>
        <v>0.05</v>
      </c>
      <c r="V20" s="4">
        <f>IF(S20="No","No",
MROUND(_xlfn.XLOOKUP(B20,'Base stats'!B:B,'Base stats'!BF:BF)^0.25
/((_xlfn.XLOOKUP(B20,'Base stats'!B:B,'Base stats'!BO:BO))*10)*_xlfn.XLOOKUP(_xlfn.XLOOKUP(B20,'Base stats'!B:B,'Base stats'!E:E),Groups!A:A,Groups!AE:AE)*150 + 0.5 + _xlfn.XLOOKUP(B20,'Base stats'!B:B,'Base stats'!BW:BW),
0.05))</f>
        <v>1.05</v>
      </c>
      <c r="W20" s="8">
        <f>MROUND(_xlfn.XLOOKUP(_xlfn.XLOOKUP(B20,'Base stats'!B:B,'Base stats'!E:E),Groups!A:A,Groups!BG:BG)*_xlfn.XLOOKUP(B20,'Base stats'!B:B,'Base stats'!C:C)^-0.165,0.05)</f>
        <v>1</v>
      </c>
      <c r="X20" s="1">
        <f>MROUND(_xlfn.XLOOKUP(_xlfn.XLOOKUP(B20,'Base stats'!B:B,'Base stats'!E:E),Groups!A:A,Groups!BH:BH)*_xlfn.XLOOKUP(B20,'Base stats'!B:B,'Base stats'!C:C)^0.165,0.05)</f>
        <v>0.30000000000000004</v>
      </c>
      <c r="Y20" s="8">
        <f>MROUND(_xlfn.XLOOKUP(_xlfn.XLOOKUP(B20,'Base stats'!B:B,'Base stats'!E:E),Groups!A:A,Groups!BI:BI)*_xlfn.XLOOKUP(B20,'Base stats'!B:B,'Base stats'!C:C)^0.165,0.05)</f>
        <v>0.05</v>
      </c>
      <c r="Z20" s="18">
        <f>MROUND(_xlfn.XLOOKUP(B20,'Base stats'!B:B,'Base stats'!AQ:AQ)*_xlfn.XLOOKUP(_xlfn.XLOOKUP(B20,'Base stats'!B:B,'Base stats'!E:E),Groups!A:A,Groups!H:H)/1000,IF((_xlfn.XLOOKUP(B20,'Base stats'!B:B,'Base stats'!AQ:AQ)*_xlfn.XLOOKUP(_xlfn.XLOOKUP(B20,'Base stats'!B:B,'Base stats'!E:E),Groups!A:A,Groups!H:H)/1000)&gt;1,0.05,0.01))</f>
        <v>0.03</v>
      </c>
      <c r="AA20" s="18">
        <f>MROUND((1/2)*(_xlfn.XLOOKUP(_xlfn.XLOOKUP(B20,'Base stats'!B:B,'Base stats'!E:E),Groups!A:A,Groups!H:H)*_xlfn.XLOOKUP(_xlfn.XLOOKUP(B20,'Base stats'!B:B,'Base stats'!E:E),Groups!A:A,Groups!I:I))*_xlfn.XLOOKUP(B20,'Base stats'!B:B,'Base stats'!AQ:AQ)*0.01,0.05)</f>
        <v>0.15000000000000002</v>
      </c>
      <c r="AB20" s="18">
        <f>MROUND(250*(Animals!AO20+Animals!AP20),25)</f>
        <v>175</v>
      </c>
      <c r="AC20" s="18" t="str">
        <f>_xlfn.XLOOKUP(_xlfn.XLOOKUP(B20,'Base stats'!B:B,'Base stats'!E:E),Groups!A:A,Groups!BJ:BJ)</f>
        <v>Quadruped</v>
      </c>
    </row>
    <row r="21" spans="1:29" ht="16.5" thickTop="1" thickBot="1" x14ac:dyDescent="0.3">
      <c r="A21" s="16" t="str">
        <f>Animals!A21</f>
        <v>Horse</v>
      </c>
      <c r="B21" s="6" t="str">
        <f>Animals!B21</f>
        <v>Equus caballus</v>
      </c>
      <c r="C21" s="1" t="str">
        <f>Animals!C21</f>
        <v>&lt;li&gt;Horse&lt;/li&gt;</v>
      </c>
      <c r="D21" s="47">
        <f>MIN(MIN(6,_xlfn.XLOOKUP(A21,Animals!A:A,Animals!AO:AO))*20,MAX(MROUND(_xlfn.XLOOKUP(B21,'Base stats'!B:B,'Base stats'!BS:BS) * (_xlfn.XLOOKUP(B21,'Base stats'!B:B,'Base stats'!AO:AO)*5%)^0.9 / 21,0.1),0.05))</f>
        <v>10.100000000000001</v>
      </c>
      <c r="E21" s="11">
        <f>MROUND(_xlfn.XLOOKUP(B21,'Base stats'!B:B,'Base stats'!BG:BG) * 0.01 * 2 + 0.01, 0.05)</f>
        <v>9.35</v>
      </c>
      <c r="F21" s="7">
        <f>MROUND(_xlfn.XLOOKUP(B21,'Base stats'!B:B,'Base stats'!BD:BD)^0.25 / (_xlfn.XLOOKUP(B21,'Base stats'!B:B,'Base stats'!BK:BK) * 10) * 150 + 0.5 + _xlfn.XLOOKUP(B21,'Base stats'!B:B,'Base stats'!BW:BW), 0.05)</f>
        <v>1.9000000000000001</v>
      </c>
      <c r="G21" s="3">
        <f>IF(Animals!S21="No","No",
IF(_xlfn.XLOOKUP(B21,'Base stats'!B:B,'Base stats'!U:U)="No",
MAX(MROUND(_xlfn.XLOOKUP(B21,'Base stats'!B:B,'Base stats'!BT:BT) * _xlfn.XLOOKUP(B21,'Base stats'!B:B,'Base stats'!BP:BP)^0.9 / 21 * _xlfn.XLOOKUP(B21,'Base stats'!B:B,'Base stats'!BX:BX),0.1),0.05),
MAX(MROUND(((MIN(10,_xlfn.XLOOKUP(B21,'Base stats'!B:B,'Base stats'!U:U)))^0.4*_xlfn.XLOOKUP(B21,'Base stats'!B:B,'Base stats'!BH:BH)^0.73)^0.6 * _xlfn.XLOOKUP(B21,'Base stats'!B:B,'Base stats'!BX:BX),0.1),0.05)
))</f>
        <v>16.8</v>
      </c>
      <c r="H21" s="11">
        <f>IF(G21="No","No",
MROUND(_xlfn.XLOOKUP(B21,'Base stats'!B:B,'Base stats'!BH:BH) * 0.01 * 2 + 0.05, 0.05)
)</f>
        <v>10.9</v>
      </c>
      <c r="I21" s="11" t="str">
        <f>IF(G21="No","No",IF(_xlfn.XLOOKUP(B21,'Base stats'!B:B,'Base stats'!U:U)="No","No",
MROUND(_xlfn.XLOOKUP(B21,'Base stats'!B:B,'Base stats'!BT:BT)/10000+0.01,0.01)
))</f>
        <v>No</v>
      </c>
      <c r="J21" s="4">
        <f>IF(G21="No","No",
MROUND(_xlfn.XLOOKUP(B21,'Base stats'!B:B,'Base stats'!BE:BE)^0.25
/((_xlfn.XLOOKUP(B21,'Base stats'!B:B,'Base stats'!BL:BL))*10)*_xlfn.XLOOKUP(_xlfn.XLOOKUP(B21,'Base stats'!B:B,'Base stats'!E:E),Groups!A:A,Groups!Q:Q)*150 + 0.5 + _xlfn.XLOOKUP(B21,'Base stats'!B:B,'Base stats'!BW:BW),
0.05))</f>
        <v>2.4500000000000002</v>
      </c>
      <c r="K21" s="3" t="str">
        <f>IF(Animals!X21="No","No",
IF(_xlfn.XLOOKUP(_xlfn.XLOOKUP(B21,'Base stats'!B:B,'Base stats'!E:E),Groups!A:A,Groups!BD:BD)=1,
MAX(MROUND(_xlfn.XLOOKUP(B21,'Base stats'!B:B,'Base stats'!BU:BU) * _xlfn.XLOOKUP(B21,'Base stats'!B:B,'Base stats'!BQ:BQ)^0.9 / 21 *_xlfn.XLOOKUP(B21,'Base stats'!B:B,'Base stats'!BX:BX),0.1),0.05),
MAX(MROUND(((MIN(10,_xlfn.XLOOKUP(B21,'Base stats'!B:B,'Base stats'!W:W)))^0.4*_xlfn.XLOOKUP(B21,'Base stats'!B:B,'Base stats'!BI:BI)^0.73)^0.6 *_xlfn.XLOOKUP(B21,'Base stats'!B:B,'Base stats'!BX:BX),0.1),0.05)
))</f>
        <v>No</v>
      </c>
      <c r="L21" s="11" t="str">
        <f>IF(K21="No","No",
MROUND(_xlfn.XLOOKUP(B21,'Base stats'!B:B,'Base stats'!BI:BI) * 0.01 *2 + 0.05, 0.05)
)</f>
        <v>No</v>
      </c>
      <c r="M21" s="5" t="str">
        <f>IF(K21="No","No",IF(_xlfn.XLOOKUP(_xlfn.XLOOKUP(B21,'Base stats'!B:B,'Base stats'!E:E),Groups!A:A,Groups!BD:BD)=1,"No",
MROUND(_xlfn.XLOOKUP(B21,'Base stats'!B:B,'Base stats'!BU:BU)/10000+0.01,0.01)
))</f>
        <v>No</v>
      </c>
      <c r="N21" s="4" t="str">
        <f>IF(K21="No","No",
MROUND(
  _xlfn.XLOOKUP(B21,'Base stats'!B:B,'Base stats'!BC:BC)^0.25
  / (_xlfn.XLOOKUP(B21,'Base stats'!B:B,'Base stats'!BM:BM) * 10)
  * _xlfn.XLOOKUP(
      _xlfn.XLOOKUP(B21,'Base stats'!B:B,'Base stats'!E:E),
      Groups!A:A,
      Groups!V:V
    ) * 150
  + MIN(12, _xlfn.XLOOKUP(B21,'Base stats'!B:B,'Base stats'!W:W))^(1/IF(_xlfn.XLOOKUP(_xlfn.XLOOKUP(B21,'Base stats'!B:B,'Base stats'!E:E),Groups!A:A,Groups!U:U)=1,100,10)) + 0.5 + _xlfn.XLOOKUP(B21,'Base stats'!B:B,'Base stats'!BW:BW),
0.05))</f>
        <v>No</v>
      </c>
      <c r="O21" s="3">
        <f>IF(Animals!AD21="No","No",
MAX(MROUND((MIN(10,_xlfn.XLOOKUP(B21,'Base stats'!B:B,'Base stats'!V:V)*IF(_xlfn.XLOOKUP(_xlfn.XLOOKUP(B21,'Base stats'!B:B,'Base stats'!E:E),Groups!A:A,Groups!O:O)=0,1,0.33))^0.4*_xlfn.XLOOKUP(B21,'Base stats'!B:B,'Base stats'!BJ:BJ)^0.73)^0.6 *_xlfn.XLOOKUP(B21,'Base stats'!B:B,'Base stats'!BX:BX),0.1),0.05)
)</f>
        <v>14.200000000000001</v>
      </c>
      <c r="P21" s="11">
        <f>IF(O21="No","No",
MROUND(_xlfn.XLOOKUP(B21,'Base stats'!B:B,'Base stats'!BJ:BJ) * 0.01 * 2 + 0.05, 0.05)
)</f>
        <v>6.9</v>
      </c>
      <c r="Q21" s="5">
        <f>IF(O21="No","No",
MROUND(_xlfn.XLOOKUP(B21,'Base stats'!B:B,'Base stats'!BV:BV)/10000+0.01,0.01)
)</f>
        <v>0.12</v>
      </c>
      <c r="R21" s="4">
        <f>IF(O21="No","No",
MROUND(_xlfn.XLOOKUP(B21,'Base stats'!B:B,'Base stats'!BB:BB)^0.25
/((_xlfn.XLOOKUP(B21,'Base stats'!B:B,'Base stats'!BN:BN))*10)*_xlfn.XLOOKUP(_xlfn.XLOOKUP(B21,'Base stats'!B:B,'Base stats'!E:E),Groups!A:A,Groups!Z:Z)*150 + 0.5 + _xlfn.XLOOKUP(B21,'Base stats'!B:B,'Base stats'!BW:BW),
0.05))</f>
        <v>2.85</v>
      </c>
      <c r="S21" s="3" t="str">
        <f>IF(Animals!AI21="No","No",
IF(_xlfn.XLOOKUP(B21,'Base stats'!B:B,'Base stats'!U:U)="No",
MAX(MROUND(_xlfn.XLOOKUP(B21,'Base stats'!B:B,'Base stats'!BT:BT) * _xlfn.XLOOKUP(B21,'Base stats'!B:B,'Base stats'!BP:BP)^0.9 / 21 * _xlfn.XLOOKUP(B21,'Base stats'!B:B,'Base stats'!BX:BX),0.1),0.05),
MAX(MROUND(((MIN(12,_xlfn.XLOOKUP(B21,'Base stats'!B:B,'Base stats'!U:U)))^0.4*_xlfn.XLOOKUP(B21,'Base stats'!B:B,'Base stats'!BH:BH)^0.73)^0.6 * _xlfn.XLOOKUP(B21,'Base stats'!B:B,'Base stats'!BX:BX),0.1),0.05)
))</f>
        <v>No</v>
      </c>
      <c r="T21" s="11" t="str">
        <f>IF(S21="No","No",
MROUND(_xlfn.XLOOKUP(B21,'Base stats'!B:B,'Base stats'!BH:BH) * 0.01 * 2 + 0.05, 0.05)
)</f>
        <v>No</v>
      </c>
      <c r="U21" s="5" t="str">
        <f>IF(S21="No","No",IF(_xlfn.XLOOKUP(B21,'Base stats'!B:B,'Base stats'!U:U)="No","No",
MROUND(_xlfn.XLOOKUP(B21,'Base stats'!B:B,'Base stats'!BT:BT)/10000+0.01,0.01)
))</f>
        <v>No</v>
      </c>
      <c r="V21" s="4" t="str">
        <f>IF(S21="No","No",
MROUND(_xlfn.XLOOKUP(B21,'Base stats'!B:B,'Base stats'!BF:BF)^0.25
/((_xlfn.XLOOKUP(B21,'Base stats'!B:B,'Base stats'!BO:BO))*10)*_xlfn.XLOOKUP(_xlfn.XLOOKUP(B21,'Base stats'!B:B,'Base stats'!E:E),Groups!A:A,Groups!AE:AE)*150 + 0.5 + _xlfn.XLOOKUP(B21,'Base stats'!B:B,'Base stats'!BW:BW),
0.05))</f>
        <v>No</v>
      </c>
      <c r="W21" s="8">
        <f>MROUND(_xlfn.XLOOKUP(_xlfn.XLOOKUP(B21,'Base stats'!B:B,'Base stats'!E:E),Groups!A:A,Groups!BG:BG)*_xlfn.XLOOKUP(B21,'Base stats'!B:B,'Base stats'!C:C)^-0.165,0.05)</f>
        <v>0.25</v>
      </c>
      <c r="X21" s="1">
        <f>MROUND(_xlfn.XLOOKUP(_xlfn.XLOOKUP(B21,'Base stats'!B:B,'Base stats'!E:E),Groups!A:A,Groups!BH:BH)*_xlfn.XLOOKUP(B21,'Base stats'!B:B,'Base stats'!C:C)^0.165,0.05)</f>
        <v>0</v>
      </c>
      <c r="Y21" s="8">
        <f>MROUND(_xlfn.XLOOKUP(_xlfn.XLOOKUP(B21,'Base stats'!B:B,'Base stats'!E:E),Groups!A:A,Groups!BI:BI)*_xlfn.XLOOKUP(B21,'Base stats'!B:B,'Base stats'!C:C)^0.165,0.05)</f>
        <v>0</v>
      </c>
      <c r="Z21" s="18">
        <f>MROUND(_xlfn.XLOOKUP(B21,'Base stats'!B:B,'Base stats'!AQ:AQ)*_xlfn.XLOOKUP(_xlfn.XLOOKUP(B21,'Base stats'!B:B,'Base stats'!E:E),Groups!A:A,Groups!H:H)/1000,IF((_xlfn.XLOOKUP(B21,'Base stats'!B:B,'Base stats'!AQ:AQ)*_xlfn.XLOOKUP(_xlfn.XLOOKUP(B21,'Base stats'!B:B,'Base stats'!E:E),Groups!A:A,Groups!H:H)/1000)&gt;1,0.05,0.01))</f>
        <v>0.1</v>
      </c>
      <c r="AA21" s="18">
        <f>MROUND((1/2)*(_xlfn.XLOOKUP(_xlfn.XLOOKUP(B21,'Base stats'!B:B,'Base stats'!E:E),Groups!A:A,Groups!H:H)*_xlfn.XLOOKUP(_xlfn.XLOOKUP(B21,'Base stats'!B:B,'Base stats'!E:E),Groups!A:A,Groups!I:I))*_xlfn.XLOOKUP(B21,'Base stats'!B:B,'Base stats'!AQ:AQ)*0.01,0.05)</f>
        <v>0.45</v>
      </c>
      <c r="AB21" s="18">
        <f>MROUND(250*(Animals!AO21+Animals!AP21),25)</f>
        <v>1375</v>
      </c>
      <c r="AC21" s="18" t="str">
        <f>_xlfn.XLOOKUP(_xlfn.XLOOKUP(B21,'Base stats'!B:B,'Base stats'!E:E),Groups!A:A,Groups!BJ:BJ)</f>
        <v>Quadruped</v>
      </c>
    </row>
    <row r="22" spans="1:29" ht="16.5" thickTop="1" thickBot="1" x14ac:dyDescent="0.3">
      <c r="A22" s="16" t="str">
        <f>Animals!A22</f>
        <v>Donkey</v>
      </c>
      <c r="B22" s="6" t="str">
        <f>Animals!B22</f>
        <v>Equus africanus</v>
      </c>
      <c r="C22" s="1" t="str">
        <f>Animals!C22</f>
        <v>&lt;li&gt;Donkey&lt;/li&gt;</v>
      </c>
      <c r="D22" s="47">
        <f>MIN(MIN(6,_xlfn.XLOOKUP(A22,Animals!A:A,Animals!AO:AO))*20,MAX(MROUND(_xlfn.XLOOKUP(B22,'Base stats'!B:B,'Base stats'!BS:BS) * (_xlfn.XLOOKUP(B22,'Base stats'!B:B,'Base stats'!AO:AO)*5%)^0.9 / 21,0.1),0.05))</f>
        <v>4.7</v>
      </c>
      <c r="E22" s="11">
        <f>MROUND(_xlfn.XLOOKUP(B22,'Base stats'!B:B,'Base stats'!BG:BG) * 0.01 * 2 + 0.01, 0.05)</f>
        <v>4.1000000000000005</v>
      </c>
      <c r="F22" s="7">
        <f>MROUND(_xlfn.XLOOKUP(B22,'Base stats'!B:B,'Base stats'!BD:BD)^0.25 / (_xlfn.XLOOKUP(B22,'Base stats'!B:B,'Base stats'!BK:BK) * 10) * 150 + 0.5 + _xlfn.XLOOKUP(B22,'Base stats'!B:B,'Base stats'!BW:BW), 0.05)</f>
        <v>1.75</v>
      </c>
      <c r="G22" s="3">
        <f>IF(Animals!S22="No","No",
IF(_xlfn.XLOOKUP(B22,'Base stats'!B:B,'Base stats'!U:U)="No",
MAX(MROUND(_xlfn.XLOOKUP(B22,'Base stats'!B:B,'Base stats'!BT:BT) * _xlfn.XLOOKUP(B22,'Base stats'!B:B,'Base stats'!BP:BP)^0.9 / 21 * _xlfn.XLOOKUP(B22,'Base stats'!B:B,'Base stats'!BX:BX),0.1),0.05),
MAX(MROUND(((MIN(10,_xlfn.XLOOKUP(B22,'Base stats'!B:B,'Base stats'!U:U)))^0.4*_xlfn.XLOOKUP(B22,'Base stats'!B:B,'Base stats'!BH:BH)^0.73)^0.6 * _xlfn.XLOOKUP(B22,'Base stats'!B:B,'Base stats'!BX:BX),0.1),0.05)
))</f>
        <v>8.4</v>
      </c>
      <c r="H22" s="11">
        <f>IF(G22="No","No",
MROUND(_xlfn.XLOOKUP(B22,'Base stats'!B:B,'Base stats'!BH:BH) * 0.01 * 2 + 0.05, 0.05)
)</f>
        <v>5.0500000000000007</v>
      </c>
      <c r="I22" s="11" t="str">
        <f>IF(G22="No","No",IF(_xlfn.XLOOKUP(B22,'Base stats'!B:B,'Base stats'!U:U)="No","No",
MROUND(_xlfn.XLOOKUP(B22,'Base stats'!B:B,'Base stats'!BT:BT)/10000+0.01,0.01)
))</f>
        <v>No</v>
      </c>
      <c r="J22" s="4">
        <f>IF(G22="No","No",
MROUND(_xlfn.XLOOKUP(B22,'Base stats'!B:B,'Base stats'!BE:BE)^0.25
/((_xlfn.XLOOKUP(B22,'Base stats'!B:B,'Base stats'!BL:BL))*10)*_xlfn.XLOOKUP(_xlfn.XLOOKUP(B22,'Base stats'!B:B,'Base stats'!E:E),Groups!A:A,Groups!Q:Q)*150 + 0.5 + _xlfn.XLOOKUP(B22,'Base stats'!B:B,'Base stats'!BW:BW),
0.05))</f>
        <v>2.1</v>
      </c>
      <c r="K22" s="3" t="str">
        <f>IF(Animals!X22="No","No",
IF(_xlfn.XLOOKUP(_xlfn.XLOOKUP(B22,'Base stats'!B:B,'Base stats'!E:E),Groups!A:A,Groups!BD:BD)=1,
MAX(MROUND(_xlfn.XLOOKUP(B22,'Base stats'!B:B,'Base stats'!BU:BU) * _xlfn.XLOOKUP(B22,'Base stats'!B:B,'Base stats'!BQ:BQ)^0.9 / 21 *_xlfn.XLOOKUP(B22,'Base stats'!B:B,'Base stats'!BX:BX),0.1),0.05),
MAX(MROUND(((MIN(10,_xlfn.XLOOKUP(B22,'Base stats'!B:B,'Base stats'!W:W)))^0.4*_xlfn.XLOOKUP(B22,'Base stats'!B:B,'Base stats'!BI:BI)^0.73)^0.6 *_xlfn.XLOOKUP(B22,'Base stats'!B:B,'Base stats'!BX:BX),0.1),0.05)
))</f>
        <v>No</v>
      </c>
      <c r="L22" s="11" t="str">
        <f>IF(K22="No","No",
MROUND(_xlfn.XLOOKUP(B22,'Base stats'!B:B,'Base stats'!BI:BI) * 0.01 *2 + 0.05, 0.05)
)</f>
        <v>No</v>
      </c>
      <c r="M22" s="5" t="str">
        <f>IF(K22="No","No",IF(_xlfn.XLOOKUP(_xlfn.XLOOKUP(B22,'Base stats'!B:B,'Base stats'!E:E),Groups!A:A,Groups!BD:BD)=1,"No",
MROUND(_xlfn.XLOOKUP(B22,'Base stats'!B:B,'Base stats'!BU:BU)/10000+0.01,0.01)
))</f>
        <v>No</v>
      </c>
      <c r="N22" s="4" t="str">
        <f>IF(K22="No","No",
MROUND(
  _xlfn.XLOOKUP(B22,'Base stats'!B:B,'Base stats'!BC:BC)^0.25
  / (_xlfn.XLOOKUP(B22,'Base stats'!B:B,'Base stats'!BM:BM) * 10)
  * _xlfn.XLOOKUP(
      _xlfn.XLOOKUP(B22,'Base stats'!B:B,'Base stats'!E:E),
      Groups!A:A,
      Groups!V:V
    ) * 150
  + MIN(12, _xlfn.XLOOKUP(B22,'Base stats'!B:B,'Base stats'!W:W))^(1/IF(_xlfn.XLOOKUP(_xlfn.XLOOKUP(B22,'Base stats'!B:B,'Base stats'!E:E),Groups!A:A,Groups!U:U)=1,100,10)) + 0.5 + _xlfn.XLOOKUP(B22,'Base stats'!B:B,'Base stats'!BW:BW),
0.05))</f>
        <v>No</v>
      </c>
      <c r="O22" s="3">
        <f>IF(Animals!AD22="No","No",
MAX(MROUND((MIN(10,_xlfn.XLOOKUP(B22,'Base stats'!B:B,'Base stats'!V:V)*IF(_xlfn.XLOOKUP(_xlfn.XLOOKUP(B22,'Base stats'!B:B,'Base stats'!E:E),Groups!A:A,Groups!O:O)=0,1,0.33))^0.4*_xlfn.XLOOKUP(B22,'Base stats'!B:B,'Base stats'!BJ:BJ)^0.73)^0.6 *_xlfn.XLOOKUP(B22,'Base stats'!B:B,'Base stats'!BX:BX),0.1),0.05)
)</f>
        <v>10.700000000000001</v>
      </c>
      <c r="P22" s="11">
        <f>IF(O22="No","No",
MROUND(_xlfn.XLOOKUP(B22,'Base stats'!B:B,'Base stats'!BJ:BJ) * 0.01 * 2 + 0.05, 0.05)
)</f>
        <v>3.6</v>
      </c>
      <c r="Q22" s="5">
        <f>IF(O22="No","No",
MROUND(_xlfn.XLOOKUP(B22,'Base stats'!B:B,'Base stats'!BV:BV)/10000+0.01,0.01)
)</f>
        <v>0.13</v>
      </c>
      <c r="R22" s="4">
        <f>IF(O22="No","No",
MROUND(_xlfn.XLOOKUP(B22,'Base stats'!B:B,'Base stats'!BB:BB)^0.25
/((_xlfn.XLOOKUP(B22,'Base stats'!B:B,'Base stats'!BN:BN))*10)*_xlfn.XLOOKUP(_xlfn.XLOOKUP(B22,'Base stats'!B:B,'Base stats'!E:E),Groups!A:A,Groups!Z:Z)*150 + 0.5 + _xlfn.XLOOKUP(B22,'Base stats'!B:B,'Base stats'!BW:BW),
0.05))</f>
        <v>2.85</v>
      </c>
      <c r="S22" s="3" t="str">
        <f>IF(Animals!AI22="No","No",
IF(_xlfn.XLOOKUP(B22,'Base stats'!B:B,'Base stats'!U:U)="No",
MAX(MROUND(_xlfn.XLOOKUP(B22,'Base stats'!B:B,'Base stats'!BT:BT) * _xlfn.XLOOKUP(B22,'Base stats'!B:B,'Base stats'!BP:BP)^0.9 / 21 * _xlfn.XLOOKUP(B22,'Base stats'!B:B,'Base stats'!BX:BX),0.1),0.05),
MAX(MROUND(((MIN(12,_xlfn.XLOOKUP(B22,'Base stats'!B:B,'Base stats'!U:U)))^0.4*_xlfn.XLOOKUP(B22,'Base stats'!B:B,'Base stats'!BH:BH)^0.73)^0.6 * _xlfn.XLOOKUP(B22,'Base stats'!B:B,'Base stats'!BX:BX),0.1),0.05)
))</f>
        <v>No</v>
      </c>
      <c r="T22" s="11" t="str">
        <f>IF(S22="No","No",
MROUND(_xlfn.XLOOKUP(B22,'Base stats'!B:B,'Base stats'!BH:BH) * 0.01 * 2 + 0.05, 0.05)
)</f>
        <v>No</v>
      </c>
      <c r="U22" s="5" t="str">
        <f>IF(S22="No","No",IF(_xlfn.XLOOKUP(B22,'Base stats'!B:B,'Base stats'!U:U)="No","No",
MROUND(_xlfn.XLOOKUP(B22,'Base stats'!B:B,'Base stats'!BT:BT)/10000+0.01,0.01)
))</f>
        <v>No</v>
      </c>
      <c r="V22" s="4" t="str">
        <f>IF(S22="No","No",
MROUND(_xlfn.XLOOKUP(B22,'Base stats'!B:B,'Base stats'!BF:BF)^0.25
/((_xlfn.XLOOKUP(B22,'Base stats'!B:B,'Base stats'!BO:BO))*10)*_xlfn.XLOOKUP(_xlfn.XLOOKUP(B22,'Base stats'!B:B,'Base stats'!E:E),Groups!A:A,Groups!AE:AE)*150 + 0.5 + _xlfn.XLOOKUP(B22,'Base stats'!B:B,'Base stats'!BW:BW),
0.05))</f>
        <v>No</v>
      </c>
      <c r="W22" s="8">
        <f>MROUND(_xlfn.XLOOKUP(_xlfn.XLOOKUP(B22,'Base stats'!B:B,'Base stats'!E:E),Groups!A:A,Groups!BG:BG)*_xlfn.XLOOKUP(B22,'Base stats'!B:B,'Base stats'!C:C)^-0.165,0.05)</f>
        <v>0.30000000000000004</v>
      </c>
      <c r="X22" s="1">
        <f>MROUND(_xlfn.XLOOKUP(_xlfn.XLOOKUP(B22,'Base stats'!B:B,'Base stats'!E:E),Groups!A:A,Groups!BH:BH)*_xlfn.XLOOKUP(B22,'Base stats'!B:B,'Base stats'!C:C)^0.165,0.05)</f>
        <v>0</v>
      </c>
      <c r="Y22" s="8">
        <f>MROUND(_xlfn.XLOOKUP(_xlfn.XLOOKUP(B22,'Base stats'!B:B,'Base stats'!E:E),Groups!A:A,Groups!BI:BI)*_xlfn.XLOOKUP(B22,'Base stats'!B:B,'Base stats'!C:C)^0.165,0.05)</f>
        <v>0</v>
      </c>
      <c r="Z22" s="18">
        <f>MROUND(_xlfn.XLOOKUP(B22,'Base stats'!B:B,'Base stats'!AQ:AQ)*_xlfn.XLOOKUP(_xlfn.XLOOKUP(B22,'Base stats'!B:B,'Base stats'!E:E),Groups!A:A,Groups!H:H)/1000,IF((_xlfn.XLOOKUP(B22,'Base stats'!B:B,'Base stats'!AQ:AQ)*_xlfn.XLOOKUP(_xlfn.XLOOKUP(B22,'Base stats'!B:B,'Base stats'!E:E),Groups!A:A,Groups!H:H)/1000)&gt;1,0.05,0.01))</f>
        <v>0.08</v>
      </c>
      <c r="AA22" s="18">
        <f>MROUND((1/2)*(_xlfn.XLOOKUP(_xlfn.XLOOKUP(B22,'Base stats'!B:B,'Base stats'!E:E),Groups!A:A,Groups!H:H)*_xlfn.XLOOKUP(_xlfn.XLOOKUP(B22,'Base stats'!B:B,'Base stats'!E:E),Groups!A:A,Groups!I:I))*_xlfn.XLOOKUP(B22,'Base stats'!B:B,'Base stats'!AQ:AQ)*0.01,0.05)</f>
        <v>0.35000000000000003</v>
      </c>
      <c r="AB22" s="18">
        <f>MROUND(250*(Animals!AO22+Animals!AP22),25)</f>
        <v>800</v>
      </c>
      <c r="AC22" s="18" t="str">
        <f>_xlfn.XLOOKUP(_xlfn.XLOOKUP(B22,'Base stats'!B:B,'Base stats'!E:E),Groups!A:A,Groups!BJ:BJ)</f>
        <v>Quadruped</v>
      </c>
    </row>
    <row r="23" spans="1:29" ht="16.5" thickTop="1" thickBot="1" x14ac:dyDescent="0.3">
      <c r="A23" s="16" t="str">
        <f>Animals!A23</f>
        <v>Hare</v>
      </c>
      <c r="B23" s="6" t="str">
        <f>Animals!B23</f>
        <v>Lepus europaeus</v>
      </c>
      <c r="C23" s="1" t="str">
        <f>Animals!C23</f>
        <v>&lt;li&gt;Hare&lt;/li&gt;</v>
      </c>
      <c r="D23" s="47">
        <f>MIN(MIN(6,_xlfn.XLOOKUP(A23,Animals!A:A,Animals!AO:AO))*20,MAX(MROUND(_xlfn.XLOOKUP(B23,'Base stats'!B:B,'Base stats'!BS:BS) * (_xlfn.XLOOKUP(B23,'Base stats'!B:B,'Base stats'!AO:AO)*5%)^0.9 / 21,0.1),0.05))</f>
        <v>0.2</v>
      </c>
      <c r="E23" s="11">
        <f>MROUND(_xlfn.XLOOKUP(B23,'Base stats'!B:B,'Base stats'!BG:BG) * 0.01 * 2 + 0.01, 0.05)</f>
        <v>0.15000000000000002</v>
      </c>
      <c r="F23" s="7">
        <f>MROUND(_xlfn.XLOOKUP(B23,'Base stats'!B:B,'Base stats'!BD:BD)^0.25 / (_xlfn.XLOOKUP(B23,'Base stats'!B:B,'Base stats'!BK:BK) * 10) * 150 + 0.5 + _xlfn.XLOOKUP(B23,'Base stats'!B:B,'Base stats'!BW:BW), 0.05)</f>
        <v>1.3</v>
      </c>
      <c r="G23" s="3" t="str">
        <f>IF(Animals!S23="No","No",
IF(_xlfn.XLOOKUP(B23,'Base stats'!B:B,'Base stats'!U:U)="No",
MAX(MROUND(_xlfn.XLOOKUP(B23,'Base stats'!B:B,'Base stats'!BT:BT) * _xlfn.XLOOKUP(B23,'Base stats'!B:B,'Base stats'!BP:BP)^0.9 / 21 * _xlfn.XLOOKUP(B23,'Base stats'!B:B,'Base stats'!BX:BX),0.1),0.05),
MAX(MROUND(((MIN(10,_xlfn.XLOOKUP(B23,'Base stats'!B:B,'Base stats'!U:U)))^0.4*_xlfn.XLOOKUP(B23,'Base stats'!B:B,'Base stats'!BH:BH)^0.73)^0.6 * _xlfn.XLOOKUP(B23,'Base stats'!B:B,'Base stats'!BX:BX),0.1),0.05)
))</f>
        <v>No</v>
      </c>
      <c r="H23" s="11" t="str">
        <f>IF(G23="No","No",
MROUND(_xlfn.XLOOKUP(B23,'Base stats'!B:B,'Base stats'!BH:BH) * 0.01 * 2 + 0.05, 0.05)
)</f>
        <v>No</v>
      </c>
      <c r="I23" s="11" t="str">
        <f>IF(G23="No","No",IF(_xlfn.XLOOKUP(B23,'Base stats'!B:B,'Base stats'!U:U)="No","No",
MROUND(_xlfn.XLOOKUP(B23,'Base stats'!B:B,'Base stats'!BT:BT)/10000+0.01,0.01)
))</f>
        <v>No</v>
      </c>
      <c r="J23" s="4" t="str">
        <f>IF(G23="No","No",
MROUND(_xlfn.XLOOKUP(B23,'Base stats'!B:B,'Base stats'!BE:BE)^0.25
/((_xlfn.XLOOKUP(B23,'Base stats'!B:B,'Base stats'!BL:BL))*10)*_xlfn.XLOOKUP(_xlfn.XLOOKUP(B23,'Base stats'!B:B,'Base stats'!E:E),Groups!A:A,Groups!Q:Q)*150 + 0.5 + _xlfn.XLOOKUP(B23,'Base stats'!B:B,'Base stats'!BW:BW),
0.05))</f>
        <v>No</v>
      </c>
      <c r="K23" s="3" t="str">
        <f>IF(Animals!X23="No","No",
IF(_xlfn.XLOOKUP(_xlfn.XLOOKUP(B23,'Base stats'!B:B,'Base stats'!E:E),Groups!A:A,Groups!BD:BD)=1,
MAX(MROUND(_xlfn.XLOOKUP(B23,'Base stats'!B:B,'Base stats'!BU:BU) * _xlfn.XLOOKUP(B23,'Base stats'!B:B,'Base stats'!BQ:BQ)^0.9 / 21 *_xlfn.XLOOKUP(B23,'Base stats'!B:B,'Base stats'!BX:BX),0.1),0.05),
MAX(MROUND(((MIN(10,_xlfn.XLOOKUP(B23,'Base stats'!B:B,'Base stats'!W:W)))^0.4*_xlfn.XLOOKUP(B23,'Base stats'!B:B,'Base stats'!BI:BI)^0.73)^0.6 *_xlfn.XLOOKUP(B23,'Base stats'!B:B,'Base stats'!BX:BX),0.1),0.05)
))</f>
        <v>No</v>
      </c>
      <c r="L23" s="11" t="str">
        <f>IF(K23="No","No",
MROUND(_xlfn.XLOOKUP(B23,'Base stats'!B:B,'Base stats'!BI:BI) * 0.01 *2 + 0.05, 0.05)
)</f>
        <v>No</v>
      </c>
      <c r="M23" s="5" t="str">
        <f>IF(K23="No","No",IF(_xlfn.XLOOKUP(_xlfn.XLOOKUP(B23,'Base stats'!B:B,'Base stats'!E:E),Groups!A:A,Groups!BD:BD)=1,"No",
MROUND(_xlfn.XLOOKUP(B23,'Base stats'!B:B,'Base stats'!BU:BU)/10000+0.01,0.01)
))</f>
        <v>No</v>
      </c>
      <c r="N23" s="4" t="str">
        <f>IF(K23="No","No",
MROUND(
  _xlfn.XLOOKUP(B23,'Base stats'!B:B,'Base stats'!BC:BC)^0.25
  / (_xlfn.XLOOKUP(B23,'Base stats'!B:B,'Base stats'!BM:BM) * 10)
  * _xlfn.XLOOKUP(
      _xlfn.XLOOKUP(B23,'Base stats'!B:B,'Base stats'!E:E),
      Groups!A:A,
      Groups!V:V
    ) * 150
  + MIN(12, _xlfn.XLOOKUP(B23,'Base stats'!B:B,'Base stats'!W:W))^(1/IF(_xlfn.XLOOKUP(_xlfn.XLOOKUP(B23,'Base stats'!B:B,'Base stats'!E:E),Groups!A:A,Groups!U:U)=1,100,10)) + 0.5 + _xlfn.XLOOKUP(B23,'Base stats'!B:B,'Base stats'!BW:BW),
0.05))</f>
        <v>No</v>
      </c>
      <c r="O23" s="3">
        <f>IF(Animals!AD23="No","No",
MAX(MROUND((MIN(10,_xlfn.XLOOKUP(B23,'Base stats'!B:B,'Base stats'!V:V)*IF(_xlfn.XLOOKUP(_xlfn.XLOOKUP(B23,'Base stats'!B:B,'Base stats'!E:E),Groups!A:A,Groups!O:O)=0,1,0.33))^0.4*_xlfn.XLOOKUP(B23,'Base stats'!B:B,'Base stats'!BJ:BJ)^0.73)^0.6 *_xlfn.XLOOKUP(B23,'Base stats'!B:B,'Base stats'!BX:BX),0.1),0.05)
)</f>
        <v>2.4000000000000004</v>
      </c>
      <c r="P23" s="11">
        <f>IF(O23="No","No",
MROUND(_xlfn.XLOOKUP(B23,'Base stats'!B:B,'Base stats'!BJ:BJ) * 0.01 * 2 + 0.05, 0.05)
)</f>
        <v>0.25</v>
      </c>
      <c r="Q23" s="5">
        <f>IF(O23="No","No",
MROUND(_xlfn.XLOOKUP(B23,'Base stats'!B:B,'Base stats'!BV:BV)/10000+0.01,0.01)
)</f>
        <v>0.05</v>
      </c>
      <c r="R23" s="4">
        <f>IF(O23="No","No",
MROUND(_xlfn.XLOOKUP(B23,'Base stats'!B:B,'Base stats'!BB:BB)^0.25
/((_xlfn.XLOOKUP(B23,'Base stats'!B:B,'Base stats'!BN:BN))*10)*_xlfn.XLOOKUP(_xlfn.XLOOKUP(B23,'Base stats'!B:B,'Base stats'!E:E),Groups!A:A,Groups!Z:Z)*150 + 0.5 + _xlfn.XLOOKUP(B23,'Base stats'!B:B,'Base stats'!BW:BW),
0.05))</f>
        <v>2.1</v>
      </c>
      <c r="S23" s="3" t="str">
        <f>IF(Animals!AI23="No","No",
IF(_xlfn.XLOOKUP(B23,'Base stats'!B:B,'Base stats'!U:U)="No",
MAX(MROUND(_xlfn.XLOOKUP(B23,'Base stats'!B:B,'Base stats'!BT:BT) * _xlfn.XLOOKUP(B23,'Base stats'!B:B,'Base stats'!BP:BP)^0.9 / 21 * _xlfn.XLOOKUP(B23,'Base stats'!B:B,'Base stats'!BX:BX),0.1),0.05),
MAX(MROUND(((MIN(12,_xlfn.XLOOKUP(B23,'Base stats'!B:B,'Base stats'!U:U)))^0.4*_xlfn.XLOOKUP(B23,'Base stats'!B:B,'Base stats'!BH:BH)^0.73)^0.6 * _xlfn.XLOOKUP(B23,'Base stats'!B:B,'Base stats'!BX:BX),0.1),0.05)
))</f>
        <v>No</v>
      </c>
      <c r="T23" s="11" t="str">
        <f>IF(S23="No","No",
MROUND(_xlfn.XLOOKUP(B23,'Base stats'!B:B,'Base stats'!BH:BH) * 0.01 * 2 + 0.05, 0.05)
)</f>
        <v>No</v>
      </c>
      <c r="U23" s="5" t="str">
        <f>IF(S23="No","No",IF(_xlfn.XLOOKUP(B23,'Base stats'!B:B,'Base stats'!U:U)="No","No",
MROUND(_xlfn.XLOOKUP(B23,'Base stats'!B:B,'Base stats'!BT:BT)/10000+0.01,0.01)
))</f>
        <v>No</v>
      </c>
      <c r="V23" s="4" t="str">
        <f>IF(S23="No","No",
MROUND(_xlfn.XLOOKUP(B23,'Base stats'!B:B,'Base stats'!BF:BF)^0.25
/((_xlfn.XLOOKUP(B23,'Base stats'!B:B,'Base stats'!BO:BO))*10)*_xlfn.XLOOKUP(_xlfn.XLOOKUP(B23,'Base stats'!B:B,'Base stats'!E:E),Groups!A:A,Groups!AE:AE)*150 + 0.5 + _xlfn.XLOOKUP(B23,'Base stats'!B:B,'Base stats'!BW:BW),
0.05))</f>
        <v>No</v>
      </c>
      <c r="W23" s="8">
        <f>MROUND(_xlfn.XLOOKUP(_xlfn.XLOOKUP(B23,'Base stats'!B:B,'Base stats'!E:E),Groups!A:A,Groups!BG:BG)*_xlfn.XLOOKUP(B23,'Base stats'!B:B,'Base stats'!C:C)^-0.165,0.05)</f>
        <v>0.55000000000000004</v>
      </c>
      <c r="X23" s="1">
        <f>MROUND(_xlfn.XLOOKUP(_xlfn.XLOOKUP(B23,'Base stats'!B:B,'Base stats'!E:E),Groups!A:A,Groups!BH:BH)*_xlfn.XLOOKUP(B23,'Base stats'!B:B,'Base stats'!C:C)^0.165,0.05)</f>
        <v>0</v>
      </c>
      <c r="Y23" s="8">
        <f>MROUND(_xlfn.XLOOKUP(_xlfn.XLOOKUP(B23,'Base stats'!B:B,'Base stats'!E:E),Groups!A:A,Groups!BI:BI)*_xlfn.XLOOKUP(B23,'Base stats'!B:B,'Base stats'!C:C)^0.165,0.05)</f>
        <v>0</v>
      </c>
      <c r="Z23" s="18">
        <f>MROUND(_xlfn.XLOOKUP(B23,'Base stats'!B:B,'Base stats'!AQ:AQ)*_xlfn.XLOOKUP(_xlfn.XLOOKUP(B23,'Base stats'!B:B,'Base stats'!E:E),Groups!A:A,Groups!H:H)/1000,IF((_xlfn.XLOOKUP(B23,'Base stats'!B:B,'Base stats'!AQ:AQ)*_xlfn.XLOOKUP(_xlfn.XLOOKUP(B23,'Base stats'!B:B,'Base stats'!E:E),Groups!A:A,Groups!H:H)/1000)&gt;1,0.05,0.01))</f>
        <v>0.03</v>
      </c>
      <c r="AA23" s="18">
        <f>MROUND((1/2)*(_xlfn.XLOOKUP(_xlfn.XLOOKUP(B23,'Base stats'!B:B,'Base stats'!E:E),Groups!A:A,Groups!H:H)*_xlfn.XLOOKUP(_xlfn.XLOOKUP(B23,'Base stats'!B:B,'Base stats'!E:E),Groups!A:A,Groups!I:I))*_xlfn.XLOOKUP(B23,'Base stats'!B:B,'Base stats'!AQ:AQ)*0.01,0.05)</f>
        <v>0.1</v>
      </c>
      <c r="AB23" s="18">
        <f>MROUND(250*(Animals!AO23+Animals!AP23),25)</f>
        <v>150</v>
      </c>
      <c r="AC23" s="18" t="str">
        <f>_xlfn.XLOOKUP(_xlfn.XLOOKUP(B23,'Base stats'!B:B,'Base stats'!E:E),Groups!A:A,Groups!BJ:BJ)</f>
        <v>QuadrupedLow</v>
      </c>
    </row>
    <row r="24" spans="1:29" s="16" customFormat="1" ht="16.5" thickTop="1" thickBot="1" x14ac:dyDescent="0.3">
      <c r="A24" s="16" t="str">
        <f>Animals!A24</f>
        <v>Hare</v>
      </c>
      <c r="B24" s="6" t="str">
        <f>Animals!B24</f>
        <v>Lepus timidus</v>
      </c>
      <c r="C24" s="1" t="str">
        <f>Animals!C24</f>
        <v>&lt;li&gt;Snowhare&lt;/li&gt;</v>
      </c>
      <c r="D24" s="47">
        <f>MIN(MIN(6,_xlfn.XLOOKUP(A24,Animals!A:A,Animals!AO:AO))*20,MAX(MROUND(_xlfn.XLOOKUP(B24,'Base stats'!B:B,'Base stats'!BS:BS) * (_xlfn.XLOOKUP(B24,'Base stats'!B:B,'Base stats'!AO:AO)*5%)^0.9 / 21,0.1),0.05))</f>
        <v>0.2</v>
      </c>
      <c r="E24" s="11">
        <f>MROUND(_xlfn.XLOOKUP(B24,'Base stats'!B:B,'Base stats'!BG:BG) * 0.01 * 2 + 0.01, 0.05)</f>
        <v>0.15000000000000002</v>
      </c>
      <c r="F24" s="7">
        <f>MROUND(_xlfn.XLOOKUP(B24,'Base stats'!B:B,'Base stats'!BD:BD)^0.25 / (_xlfn.XLOOKUP(B24,'Base stats'!B:B,'Base stats'!BK:BK) * 10) * 150 + 0.5 + _xlfn.XLOOKUP(B24,'Base stats'!B:B,'Base stats'!BW:BW), 0.05)</f>
        <v>1.3</v>
      </c>
      <c r="G24" s="3" t="str">
        <f>IF(Animals!S24="No","No",
IF(_xlfn.XLOOKUP(B24,'Base stats'!B:B,'Base stats'!U:U)="No",
MAX(MROUND(_xlfn.XLOOKUP(B24,'Base stats'!B:B,'Base stats'!BT:BT) * _xlfn.XLOOKUP(B24,'Base stats'!B:B,'Base stats'!BP:BP)^0.9 / 21 * _xlfn.XLOOKUP(B24,'Base stats'!B:B,'Base stats'!BX:BX),0.1),0.05),
MAX(MROUND(((MIN(10,_xlfn.XLOOKUP(B24,'Base stats'!B:B,'Base stats'!U:U)))^0.4*_xlfn.XLOOKUP(B24,'Base stats'!B:B,'Base stats'!BH:BH)^0.73)^0.6 * _xlfn.XLOOKUP(B24,'Base stats'!B:B,'Base stats'!BX:BX),0.1),0.05)
))</f>
        <v>No</v>
      </c>
      <c r="H24" s="11" t="str">
        <f>IF(G24="No","No",
MROUND(_xlfn.XLOOKUP(B24,'Base stats'!B:B,'Base stats'!BH:BH) * 0.01 * 2 + 0.05, 0.05)
)</f>
        <v>No</v>
      </c>
      <c r="I24" s="11" t="str">
        <f>IF(G24="No","No",IF(_xlfn.XLOOKUP(B24,'Base stats'!B:B,'Base stats'!U:U)="No","No",
MROUND(_xlfn.XLOOKUP(B24,'Base stats'!B:B,'Base stats'!BT:BT)/10000+0.01,0.01)
))</f>
        <v>No</v>
      </c>
      <c r="J24" s="4" t="str">
        <f>IF(G24="No","No",
MROUND(_xlfn.XLOOKUP(B24,'Base stats'!B:B,'Base stats'!BE:BE)^0.25
/((_xlfn.XLOOKUP(B24,'Base stats'!B:B,'Base stats'!BL:BL))*10)*_xlfn.XLOOKUP(_xlfn.XLOOKUP(B24,'Base stats'!B:B,'Base stats'!E:E),Groups!A:A,Groups!Q:Q)*150 + 0.5 + _xlfn.XLOOKUP(B24,'Base stats'!B:B,'Base stats'!BW:BW),
0.05))</f>
        <v>No</v>
      </c>
      <c r="K24" s="3" t="str">
        <f>IF(Animals!X24="No","No",
IF(_xlfn.XLOOKUP(_xlfn.XLOOKUP(B24,'Base stats'!B:B,'Base stats'!E:E),Groups!A:A,Groups!BD:BD)=1,
MAX(MROUND(_xlfn.XLOOKUP(B24,'Base stats'!B:B,'Base stats'!BU:BU) * _xlfn.XLOOKUP(B24,'Base stats'!B:B,'Base stats'!BQ:BQ)^0.9 / 21 *_xlfn.XLOOKUP(B24,'Base stats'!B:B,'Base stats'!BX:BX),0.1),0.05),
MAX(MROUND(((MIN(10,_xlfn.XLOOKUP(B24,'Base stats'!B:B,'Base stats'!W:W)))^0.4*_xlfn.XLOOKUP(B24,'Base stats'!B:B,'Base stats'!BI:BI)^0.73)^0.6 *_xlfn.XLOOKUP(B24,'Base stats'!B:B,'Base stats'!BX:BX),0.1),0.05)
))</f>
        <v>No</v>
      </c>
      <c r="L24" s="11" t="str">
        <f>IF(K24="No","No",
MROUND(_xlfn.XLOOKUP(B24,'Base stats'!B:B,'Base stats'!BI:BI) * 0.01 *2 + 0.05, 0.05)
)</f>
        <v>No</v>
      </c>
      <c r="M24" s="5" t="str">
        <f>IF(K24="No","No",IF(_xlfn.XLOOKUP(_xlfn.XLOOKUP(B24,'Base stats'!B:B,'Base stats'!E:E),Groups!A:A,Groups!BD:BD)=1,"No",
MROUND(_xlfn.XLOOKUP(B24,'Base stats'!B:B,'Base stats'!BU:BU)/10000+0.01,0.01)
))</f>
        <v>No</v>
      </c>
      <c r="N24" s="4" t="str">
        <f>IF(K24="No","No",
MROUND(
  _xlfn.XLOOKUP(B24,'Base stats'!B:B,'Base stats'!BC:BC)^0.25
  / (_xlfn.XLOOKUP(B24,'Base stats'!B:B,'Base stats'!BM:BM) * 10)
  * _xlfn.XLOOKUP(
      _xlfn.XLOOKUP(B24,'Base stats'!B:B,'Base stats'!E:E),
      Groups!A:A,
      Groups!V:V
    ) * 150
  + MIN(12, _xlfn.XLOOKUP(B24,'Base stats'!B:B,'Base stats'!W:W))^(1/IF(_xlfn.XLOOKUP(_xlfn.XLOOKUP(B24,'Base stats'!B:B,'Base stats'!E:E),Groups!A:A,Groups!U:U)=1,100,10)) + 0.5 + _xlfn.XLOOKUP(B24,'Base stats'!B:B,'Base stats'!BW:BW),
0.05))</f>
        <v>No</v>
      </c>
      <c r="O24" s="3">
        <f>IF(Animals!AD24="No","No",
MAX(MROUND((MIN(10,_xlfn.XLOOKUP(B24,'Base stats'!B:B,'Base stats'!V:V)*IF(_xlfn.XLOOKUP(_xlfn.XLOOKUP(B24,'Base stats'!B:B,'Base stats'!E:E),Groups!A:A,Groups!O:O)=0,1,0.33))^0.4*_xlfn.XLOOKUP(B24,'Base stats'!B:B,'Base stats'!BJ:BJ)^0.73)^0.6 *_xlfn.XLOOKUP(B24,'Base stats'!B:B,'Base stats'!BX:BX),0.1),0.05)
)</f>
        <v>2.4000000000000004</v>
      </c>
      <c r="P24" s="11">
        <f>IF(O24="No","No",
MROUND(_xlfn.XLOOKUP(B24,'Base stats'!B:B,'Base stats'!BJ:BJ) * 0.01 * 2 + 0.05, 0.05)
)</f>
        <v>0.25</v>
      </c>
      <c r="Q24" s="5">
        <f>IF(O24="No","No",
MROUND(_xlfn.XLOOKUP(B24,'Base stats'!B:B,'Base stats'!BV:BV)/10000+0.01,0.01)
)</f>
        <v>0.05</v>
      </c>
      <c r="R24" s="4">
        <f>IF(O24="No","No",
MROUND(_xlfn.XLOOKUP(B24,'Base stats'!B:B,'Base stats'!BB:BB)^0.25
/((_xlfn.XLOOKUP(B24,'Base stats'!B:B,'Base stats'!BN:BN))*10)*_xlfn.XLOOKUP(_xlfn.XLOOKUP(B24,'Base stats'!B:B,'Base stats'!E:E),Groups!A:A,Groups!Z:Z)*150 + 0.5 + _xlfn.XLOOKUP(B24,'Base stats'!B:B,'Base stats'!BW:BW),
0.05))</f>
        <v>2.1</v>
      </c>
      <c r="S24" s="3" t="str">
        <f>IF(Animals!AI24="No","No",
IF(_xlfn.XLOOKUP(B24,'Base stats'!B:B,'Base stats'!U:U)="No",
MAX(MROUND(_xlfn.XLOOKUP(B24,'Base stats'!B:B,'Base stats'!BT:BT) * _xlfn.XLOOKUP(B24,'Base stats'!B:B,'Base stats'!BP:BP)^0.9 / 21 * _xlfn.XLOOKUP(B24,'Base stats'!B:B,'Base stats'!BX:BX),0.1),0.05),
MAX(MROUND(((MIN(12,_xlfn.XLOOKUP(B24,'Base stats'!B:B,'Base stats'!U:U)))^0.4*_xlfn.XLOOKUP(B24,'Base stats'!B:B,'Base stats'!BH:BH)^0.73)^0.6 * _xlfn.XLOOKUP(B24,'Base stats'!B:B,'Base stats'!BX:BX),0.1),0.05)
))</f>
        <v>No</v>
      </c>
      <c r="T24" s="11" t="str">
        <f>IF(S24="No","No",
MROUND(_xlfn.XLOOKUP(B24,'Base stats'!B:B,'Base stats'!BH:BH) * 0.01 * 2 + 0.05, 0.05)
)</f>
        <v>No</v>
      </c>
      <c r="U24" s="5" t="str">
        <f>IF(S24="No","No",IF(_xlfn.XLOOKUP(B24,'Base stats'!B:B,'Base stats'!U:U)="No","No",
MROUND(_xlfn.XLOOKUP(B24,'Base stats'!B:B,'Base stats'!BT:BT)/10000+0.01,0.01)
))</f>
        <v>No</v>
      </c>
      <c r="V24" s="4" t="str">
        <f>IF(S24="No","No",
MROUND(_xlfn.XLOOKUP(B24,'Base stats'!B:B,'Base stats'!BF:BF)^0.25
/((_xlfn.XLOOKUP(B24,'Base stats'!B:B,'Base stats'!BO:BO))*10)*_xlfn.XLOOKUP(_xlfn.XLOOKUP(B24,'Base stats'!B:B,'Base stats'!E:E),Groups!A:A,Groups!AE:AE)*150 + 0.5 + _xlfn.XLOOKUP(B24,'Base stats'!B:B,'Base stats'!BW:BW),
0.05))</f>
        <v>No</v>
      </c>
      <c r="W24" s="8">
        <f>MROUND(_xlfn.XLOOKUP(_xlfn.XLOOKUP(B24,'Base stats'!B:B,'Base stats'!E:E),Groups!A:A,Groups!BG:BG)*_xlfn.XLOOKUP(B24,'Base stats'!B:B,'Base stats'!C:C)^-0.165,0.05)</f>
        <v>0.55000000000000004</v>
      </c>
      <c r="X24" s="1">
        <f>MROUND(_xlfn.XLOOKUP(_xlfn.XLOOKUP(B24,'Base stats'!B:B,'Base stats'!E:E),Groups!A:A,Groups!BH:BH)*_xlfn.XLOOKUP(B24,'Base stats'!B:B,'Base stats'!C:C)^0.165,0.05)</f>
        <v>0</v>
      </c>
      <c r="Y24" s="8">
        <f>MROUND(_xlfn.XLOOKUP(_xlfn.XLOOKUP(B24,'Base stats'!B:B,'Base stats'!E:E),Groups!A:A,Groups!BI:BI)*_xlfn.XLOOKUP(B24,'Base stats'!B:B,'Base stats'!C:C)^0.165,0.05)</f>
        <v>0</v>
      </c>
      <c r="Z24" s="18">
        <f>MROUND(_xlfn.XLOOKUP(B24,'Base stats'!B:B,'Base stats'!AQ:AQ)*_xlfn.XLOOKUP(_xlfn.XLOOKUP(B24,'Base stats'!B:B,'Base stats'!E:E),Groups!A:A,Groups!H:H)/1000,IF((_xlfn.XLOOKUP(B24,'Base stats'!B:B,'Base stats'!AQ:AQ)*_xlfn.XLOOKUP(_xlfn.XLOOKUP(B24,'Base stats'!B:B,'Base stats'!E:E),Groups!A:A,Groups!H:H)/1000)&gt;1,0.05,0.01))</f>
        <v>0.03</v>
      </c>
      <c r="AA24" s="18">
        <f>MROUND((1/2)*(_xlfn.XLOOKUP(_xlfn.XLOOKUP(B24,'Base stats'!B:B,'Base stats'!E:E),Groups!A:A,Groups!H:H)*_xlfn.XLOOKUP(_xlfn.XLOOKUP(B24,'Base stats'!B:B,'Base stats'!E:E),Groups!A:A,Groups!I:I))*_xlfn.XLOOKUP(B24,'Base stats'!B:B,'Base stats'!AQ:AQ)*0.01,0.05)</f>
        <v>0.1</v>
      </c>
      <c r="AB24" s="18">
        <f>MROUND(250*(Animals!AO24+Animals!AP24),25)</f>
        <v>150</v>
      </c>
      <c r="AC24" s="18" t="str">
        <f>_xlfn.XLOOKUP(_xlfn.XLOOKUP(B24,'Base stats'!B:B,'Base stats'!E:E),Groups!A:A,Groups!BJ:BJ)</f>
        <v>QuadrupedLow</v>
      </c>
    </row>
    <row r="25" spans="1:29" ht="16.5" thickTop="1" thickBot="1" x14ac:dyDescent="0.3">
      <c r="A25" s="16" t="str">
        <f>Animals!A25</f>
        <v>Rhinoceros</v>
      </c>
      <c r="B25" s="6" t="str">
        <f>Animals!B25</f>
        <v>Ceratotherium simum</v>
      </c>
      <c r="C25" s="1" t="str">
        <f>Animals!C25</f>
        <v>&lt;li&gt;Rhinoceros&lt;/li&gt;</v>
      </c>
      <c r="D25" s="47">
        <f>MIN(MIN(6,_xlfn.XLOOKUP(A25,Animals!A:A,Animals!AO:AO))*20,MAX(MROUND(_xlfn.XLOOKUP(B25,'Base stats'!B:B,'Base stats'!BS:BS) * (_xlfn.XLOOKUP(B25,'Base stats'!B:B,'Base stats'!AO:AO)*5%)^0.9 / 21,0.1),0.05))</f>
        <v>41.1</v>
      </c>
      <c r="E25" s="11">
        <f>MROUND(_xlfn.XLOOKUP(B25,'Base stats'!B:B,'Base stats'!BG:BG) * 0.01 * 2 + 0.01, 0.05)</f>
        <v>42.5</v>
      </c>
      <c r="F25" s="7">
        <f>MROUND(_xlfn.XLOOKUP(B25,'Base stats'!B:B,'Base stats'!BD:BD)^0.25 / (_xlfn.XLOOKUP(B25,'Base stats'!B:B,'Base stats'!BK:BK) * 10) * 150 + 0.5 + _xlfn.XLOOKUP(B25,'Base stats'!B:B,'Base stats'!BW:BW), 0.05)</f>
        <v>2.1</v>
      </c>
      <c r="G25" s="3" t="str">
        <f>IF(Animals!S25="No","No",
IF(_xlfn.XLOOKUP(B25,'Base stats'!B:B,'Base stats'!U:U)="No",
MAX(MROUND(_xlfn.XLOOKUP(B25,'Base stats'!B:B,'Base stats'!BT:BT) * _xlfn.XLOOKUP(B25,'Base stats'!B:B,'Base stats'!BP:BP)^0.9 / 21 * _xlfn.XLOOKUP(B25,'Base stats'!B:B,'Base stats'!BX:BX),0.1),0.05),
MAX(MROUND(((MIN(10,_xlfn.XLOOKUP(B25,'Base stats'!B:B,'Base stats'!U:U)))^0.4*_xlfn.XLOOKUP(B25,'Base stats'!B:B,'Base stats'!BH:BH)^0.73)^0.6 * _xlfn.XLOOKUP(B25,'Base stats'!B:B,'Base stats'!BX:BX),0.1),0.05)
))</f>
        <v>No</v>
      </c>
      <c r="H25" s="11" t="str">
        <f>IF(G25="No","No",
MROUND(_xlfn.XLOOKUP(B25,'Base stats'!B:B,'Base stats'!BH:BH) * 0.01 * 2 + 0.05, 0.05)
)</f>
        <v>No</v>
      </c>
      <c r="I25" s="11" t="str">
        <f>IF(G25="No","No",IF(_xlfn.XLOOKUP(B25,'Base stats'!B:B,'Base stats'!U:U)="No","No",
MROUND(_xlfn.XLOOKUP(B25,'Base stats'!B:B,'Base stats'!BT:BT)/10000+0.01,0.01)
))</f>
        <v>No</v>
      </c>
      <c r="J25" s="4" t="str">
        <f>IF(G25="No","No",
MROUND(_xlfn.XLOOKUP(B25,'Base stats'!B:B,'Base stats'!BE:BE)^0.25
/((_xlfn.XLOOKUP(B25,'Base stats'!B:B,'Base stats'!BL:BL))*10)*_xlfn.XLOOKUP(_xlfn.XLOOKUP(B25,'Base stats'!B:B,'Base stats'!E:E),Groups!A:A,Groups!Q:Q)*150 + 0.5 + _xlfn.XLOOKUP(B25,'Base stats'!B:B,'Base stats'!BW:BW),
0.05))</f>
        <v>No</v>
      </c>
      <c r="K25" s="3">
        <f>IF(Animals!X25="No","No",
IF(_xlfn.XLOOKUP(_xlfn.XLOOKUP(B25,'Base stats'!B:B,'Base stats'!E:E),Groups!A:A,Groups!BD:BD)=1,
MAX(MROUND(_xlfn.XLOOKUP(B25,'Base stats'!B:B,'Base stats'!BU:BU) * _xlfn.XLOOKUP(B25,'Base stats'!B:B,'Base stats'!BQ:BQ)^0.9 / 21 *_xlfn.XLOOKUP(B25,'Base stats'!B:B,'Base stats'!BX:BX),0.1),0.05),
MAX(MROUND(((MIN(10,_xlfn.XLOOKUP(B25,'Base stats'!B:B,'Base stats'!W:W)))^0.4*_xlfn.XLOOKUP(B25,'Base stats'!B:B,'Base stats'!BI:BI)^0.73)^0.6 *_xlfn.XLOOKUP(B25,'Base stats'!B:B,'Base stats'!BX:BX),0.1),0.05)
))</f>
        <v>53.900000000000006</v>
      </c>
      <c r="L25" s="11">
        <f>IF(K25="No","No",
MROUND(_xlfn.XLOOKUP(B25,'Base stats'!B:B,'Base stats'!BI:BI) * 0.01 *2 + 0.05, 0.05)
)</f>
        <v>51</v>
      </c>
      <c r="M25" s="5">
        <f>IF(K25="No","No",IF(_xlfn.XLOOKUP(_xlfn.XLOOKUP(B25,'Base stats'!B:B,'Base stats'!E:E),Groups!A:A,Groups!BD:BD)=1,"No",
MROUND(_xlfn.XLOOKUP(B25,'Base stats'!B:B,'Base stats'!BU:BU)/10000+0.01,0.01)
))</f>
        <v>2.36</v>
      </c>
      <c r="N25" s="4">
        <f>IF(K25="No","No",
MROUND(
  _xlfn.XLOOKUP(B25,'Base stats'!B:B,'Base stats'!BC:BC)^0.25
  / (_xlfn.XLOOKUP(B25,'Base stats'!B:B,'Base stats'!BM:BM) * 10)
  * _xlfn.XLOOKUP(
      _xlfn.XLOOKUP(B25,'Base stats'!B:B,'Base stats'!E:E),
      Groups!A:A,
      Groups!V:V
    ) * 150
  + MIN(12, _xlfn.XLOOKUP(B25,'Base stats'!B:B,'Base stats'!W:W))^(1/IF(_xlfn.XLOOKUP(_xlfn.XLOOKUP(B25,'Base stats'!B:B,'Base stats'!E:E),Groups!A:A,Groups!U:U)=1,100,10)) + 0.5 + _xlfn.XLOOKUP(B25,'Base stats'!B:B,'Base stats'!BW:BW),
0.05))</f>
        <v>2.85</v>
      </c>
      <c r="O25" s="3">
        <f>IF(Animals!AD25="No","No",
MAX(MROUND((MIN(10,_xlfn.XLOOKUP(B25,'Base stats'!B:B,'Base stats'!V:V)*IF(_xlfn.XLOOKUP(_xlfn.XLOOKUP(B25,'Base stats'!B:B,'Base stats'!E:E),Groups!A:A,Groups!O:O)=0,1,0.33))^0.4*_xlfn.XLOOKUP(B25,'Base stats'!B:B,'Base stats'!BJ:BJ)^0.73)^0.6 *_xlfn.XLOOKUP(B25,'Base stats'!B:B,'Base stats'!BX:BX),0.1),0.05)
)</f>
        <v>26.400000000000002</v>
      </c>
      <c r="P25" s="11">
        <f>IF(O25="No","No",
MROUND(_xlfn.XLOOKUP(B25,'Base stats'!B:B,'Base stats'!BJ:BJ) * 0.01 * 2 + 0.05, 0.05)
)</f>
        <v>22.700000000000003</v>
      </c>
      <c r="Q25" s="5">
        <f>IF(O25="No","No",
MROUND(_xlfn.XLOOKUP(B25,'Base stats'!B:B,'Base stats'!BV:BV)/10000+0.01,0.01)
)</f>
        <v>0.35000000000000003</v>
      </c>
      <c r="R25" s="4">
        <f>IF(O25="No","No",
MROUND(_xlfn.XLOOKUP(B25,'Base stats'!B:B,'Base stats'!BB:BB)^0.25
/((_xlfn.XLOOKUP(B25,'Base stats'!B:B,'Base stats'!BN:BN))*10)*_xlfn.XLOOKUP(_xlfn.XLOOKUP(B25,'Base stats'!B:B,'Base stats'!E:E),Groups!A:A,Groups!Z:Z)*150 + 0.5 + _xlfn.XLOOKUP(B25,'Base stats'!B:B,'Base stats'!BW:BW),
0.05))</f>
        <v>3</v>
      </c>
      <c r="S25" s="3" t="str">
        <f>IF(Animals!AI25="No","No",
IF(_xlfn.XLOOKUP(B25,'Base stats'!B:B,'Base stats'!U:U)="No",
MAX(MROUND(_xlfn.XLOOKUP(B25,'Base stats'!B:B,'Base stats'!BT:BT) * _xlfn.XLOOKUP(B25,'Base stats'!B:B,'Base stats'!BP:BP)^0.9 / 21 * _xlfn.XLOOKUP(B25,'Base stats'!B:B,'Base stats'!BX:BX),0.1),0.05),
MAX(MROUND(((MIN(12,_xlfn.XLOOKUP(B25,'Base stats'!B:B,'Base stats'!U:U)))^0.4*_xlfn.XLOOKUP(B25,'Base stats'!B:B,'Base stats'!BH:BH)^0.73)^0.6 * _xlfn.XLOOKUP(B25,'Base stats'!B:B,'Base stats'!BX:BX),0.1),0.05)
))</f>
        <v>No</v>
      </c>
      <c r="T25" s="11" t="str">
        <f>IF(S25="No","No",
MROUND(_xlfn.XLOOKUP(B25,'Base stats'!B:B,'Base stats'!BH:BH) * 0.01 * 2 + 0.05, 0.05)
)</f>
        <v>No</v>
      </c>
      <c r="U25" s="5" t="str">
        <f>IF(S25="No","No",IF(_xlfn.XLOOKUP(B25,'Base stats'!B:B,'Base stats'!U:U)="No","No",
MROUND(_xlfn.XLOOKUP(B25,'Base stats'!B:B,'Base stats'!BT:BT)/10000+0.01,0.01)
))</f>
        <v>No</v>
      </c>
      <c r="V25" s="4" t="str">
        <f>IF(S25="No","No",
MROUND(_xlfn.XLOOKUP(B25,'Base stats'!B:B,'Base stats'!BF:BF)^0.25
/((_xlfn.XLOOKUP(B25,'Base stats'!B:B,'Base stats'!BO:BO))*10)*_xlfn.XLOOKUP(_xlfn.XLOOKUP(B25,'Base stats'!B:B,'Base stats'!E:E),Groups!A:A,Groups!AE:AE)*150 + 0.5 + _xlfn.XLOOKUP(B25,'Base stats'!B:B,'Base stats'!BW:BW),
0.05))</f>
        <v>No</v>
      </c>
      <c r="W25" s="8">
        <f>MROUND(_xlfn.XLOOKUP(_xlfn.XLOOKUP(B25,'Base stats'!B:B,'Base stats'!E:E),Groups!A:A,Groups!BG:BG)*_xlfn.XLOOKUP(B25,'Base stats'!B:B,'Base stats'!C:C)^-0.165,0.05)</f>
        <v>0.15000000000000002</v>
      </c>
      <c r="X25" s="1">
        <f>MROUND(_xlfn.XLOOKUP(_xlfn.XLOOKUP(B25,'Base stats'!B:B,'Base stats'!E:E),Groups!A:A,Groups!BH:BH)*_xlfn.XLOOKUP(B25,'Base stats'!B:B,'Base stats'!C:C)^0.165,0.05)</f>
        <v>0.55000000000000004</v>
      </c>
      <c r="Y25" s="8">
        <f>MROUND(_xlfn.XLOOKUP(_xlfn.XLOOKUP(B25,'Base stats'!B:B,'Base stats'!E:E),Groups!A:A,Groups!BI:BI)*_xlfn.XLOOKUP(B25,'Base stats'!B:B,'Base stats'!C:C)^0.165,0.05)</f>
        <v>0.1</v>
      </c>
      <c r="Z25" s="18">
        <f>MROUND(_xlfn.XLOOKUP(B25,'Base stats'!B:B,'Base stats'!AQ:AQ)*_xlfn.XLOOKUP(_xlfn.XLOOKUP(B25,'Base stats'!B:B,'Base stats'!E:E),Groups!A:A,Groups!H:H)/1000,IF((_xlfn.XLOOKUP(B25,'Base stats'!B:B,'Base stats'!AQ:AQ)*_xlfn.XLOOKUP(_xlfn.XLOOKUP(B25,'Base stats'!B:B,'Base stats'!E:E),Groups!A:A,Groups!H:H)/1000)&gt;1,0.05,0.01))</f>
        <v>0.25</v>
      </c>
      <c r="AA25" s="18">
        <f>MROUND((1/2)*(_xlfn.XLOOKUP(_xlfn.XLOOKUP(B25,'Base stats'!B:B,'Base stats'!E:E),Groups!A:A,Groups!H:H)*_xlfn.XLOOKUP(_xlfn.XLOOKUP(B25,'Base stats'!B:B,'Base stats'!E:E),Groups!A:A,Groups!I:I))*_xlfn.XLOOKUP(B25,'Base stats'!B:B,'Base stats'!AQ:AQ)*0.01,0.05)</f>
        <v>0.30000000000000004</v>
      </c>
      <c r="AB25" s="18">
        <f>MROUND(250*(Animals!AO25+Animals!AP25),25)</f>
        <v>2075</v>
      </c>
      <c r="AC25" s="18" t="str">
        <f>_xlfn.XLOOKUP(_xlfn.XLOOKUP(B25,'Base stats'!B:B,'Base stats'!E:E),Groups!A:A,Groups!BJ:BJ)</f>
        <v>Quadruped</v>
      </c>
    </row>
    <row r="26" spans="1:29" ht="16.5" thickTop="1" thickBot="1" x14ac:dyDescent="0.3">
      <c r="A26" s="16" t="str">
        <f>Animals!A26</f>
        <v>Elephant</v>
      </c>
      <c r="B26" s="6" t="str">
        <f>Animals!B26</f>
        <v>Loxodonta africana</v>
      </c>
      <c r="C26" s="1" t="str">
        <f>Animals!C26</f>
        <v>&lt;li&gt;Elephant&lt;/li&gt;</v>
      </c>
      <c r="D26" s="47">
        <f>MIN(MIN(6,_xlfn.XLOOKUP(A26,Animals!A:A,Animals!AO:AO))*20,MAX(MROUND(_xlfn.XLOOKUP(B26,'Base stats'!B:B,'Base stats'!BS:BS) * (_xlfn.XLOOKUP(B26,'Base stats'!B:B,'Base stats'!AO:AO)*5%)^0.9 / 21,0.1),0.05))</f>
        <v>37.9</v>
      </c>
      <c r="E26" s="11">
        <f>MROUND(_xlfn.XLOOKUP(B26,'Base stats'!B:B,'Base stats'!BG:BG) * 0.01 * 2 + 0.01, 0.05)</f>
        <v>41.150000000000006</v>
      </c>
      <c r="F26" s="7">
        <f>MROUND(_xlfn.XLOOKUP(B26,'Base stats'!B:B,'Base stats'!BD:BD)^0.25 / (_xlfn.XLOOKUP(B26,'Base stats'!B:B,'Base stats'!BK:BK) * 10) * 150 + 0.5 + _xlfn.XLOOKUP(B26,'Base stats'!B:B,'Base stats'!BW:BW), 0.05)</f>
        <v>3</v>
      </c>
      <c r="G26" s="3">
        <f>IF(Animals!S26="No","No",
IF(_xlfn.XLOOKUP(B26,'Base stats'!B:B,'Base stats'!U:U)="No",
MAX(MROUND(_xlfn.XLOOKUP(B26,'Base stats'!B:B,'Base stats'!BT:BT) * _xlfn.XLOOKUP(B26,'Base stats'!B:B,'Base stats'!BP:BP)^0.9 / 21 * _xlfn.XLOOKUP(B26,'Base stats'!B:B,'Base stats'!BX:BX),0.1),0.05),
MAX(MROUND(((MIN(10,_xlfn.XLOOKUP(B26,'Base stats'!B:B,'Base stats'!U:U)))^0.4*_xlfn.XLOOKUP(B26,'Base stats'!B:B,'Base stats'!BH:BH)^0.73)^0.6 * _xlfn.XLOOKUP(B26,'Base stats'!B:B,'Base stats'!BX:BX),0.1),0.05)
))</f>
        <v>45</v>
      </c>
      <c r="H26" s="11">
        <f>IF(G26="No","No",
MROUND(_xlfn.XLOOKUP(B26,'Base stats'!B:B,'Base stats'!BH:BH) * 0.01 * 2 + 0.05, 0.05)
)</f>
        <v>36.300000000000004</v>
      </c>
      <c r="I26" s="11" t="str">
        <f>IF(G26="No","No",IF(_xlfn.XLOOKUP(B26,'Base stats'!B:B,'Base stats'!U:U)="No","No",
MROUND(_xlfn.XLOOKUP(B26,'Base stats'!B:B,'Base stats'!BT:BT)/10000+0.01,0.01)
))</f>
        <v>No</v>
      </c>
      <c r="J26" s="4">
        <f>IF(G26="No","No",
MROUND(_xlfn.XLOOKUP(B26,'Base stats'!B:B,'Base stats'!BE:BE)^0.25
/((_xlfn.XLOOKUP(B26,'Base stats'!B:B,'Base stats'!BL:BL))*10)*_xlfn.XLOOKUP(_xlfn.XLOOKUP(B26,'Base stats'!B:B,'Base stats'!E:E),Groups!A:A,Groups!Q:Q)*150 + 0.5 + _xlfn.XLOOKUP(B26,'Base stats'!B:B,'Base stats'!BW:BW),
0.05))</f>
        <v>3.35</v>
      </c>
      <c r="K26" s="3">
        <f>IF(Animals!X26="No","No",
IF(_xlfn.XLOOKUP(_xlfn.XLOOKUP(B26,'Base stats'!B:B,'Base stats'!E:E),Groups!A:A,Groups!BD:BD)=1,
MAX(MROUND(_xlfn.XLOOKUP(B26,'Base stats'!B:B,'Base stats'!BU:BU) * _xlfn.XLOOKUP(B26,'Base stats'!B:B,'Base stats'!BQ:BQ)^0.9 / 21 *_xlfn.XLOOKUP(B26,'Base stats'!B:B,'Base stats'!BX:BX),0.1),0.05),
MAX(MROUND(((MIN(10,_xlfn.XLOOKUP(B26,'Base stats'!B:B,'Base stats'!W:W)))^0.4*_xlfn.XLOOKUP(B26,'Base stats'!B:B,'Base stats'!BI:BI)^0.73)^0.6 *_xlfn.XLOOKUP(B26,'Base stats'!B:B,'Base stats'!BX:BX),0.1),0.05)
))</f>
        <v>50.300000000000004</v>
      </c>
      <c r="L26" s="11">
        <f>IF(K26="No","No",
MROUND(_xlfn.XLOOKUP(B26,'Base stats'!B:B,'Base stats'!BI:BI) * 0.01 *2 + 0.05, 0.05)
)</f>
        <v>43.550000000000004</v>
      </c>
      <c r="M26" s="5">
        <f>IF(K26="No","No",IF(_xlfn.XLOOKUP(_xlfn.XLOOKUP(B26,'Base stats'!B:B,'Base stats'!E:E),Groups!A:A,Groups!BD:BD)=1,"No",
MROUND(_xlfn.XLOOKUP(B26,'Base stats'!B:B,'Base stats'!BU:BU)/10000+0.01,0.01)
))</f>
        <v>1.9000000000000001</v>
      </c>
      <c r="N26" s="4">
        <f>IF(K26="No","No",
MROUND(
  _xlfn.XLOOKUP(B26,'Base stats'!B:B,'Base stats'!BC:BC)^0.25
  / (_xlfn.XLOOKUP(B26,'Base stats'!B:B,'Base stats'!BM:BM) * 10)
  * _xlfn.XLOOKUP(
      _xlfn.XLOOKUP(B26,'Base stats'!B:B,'Base stats'!E:E),
      Groups!A:A,
      Groups!V:V
    ) * 150
  + MIN(12, _xlfn.XLOOKUP(B26,'Base stats'!B:B,'Base stats'!W:W))^(1/IF(_xlfn.XLOOKUP(_xlfn.XLOOKUP(B26,'Base stats'!B:B,'Base stats'!E:E),Groups!A:A,Groups!U:U)=1,100,10)) + 0.5 + _xlfn.XLOOKUP(B26,'Base stats'!B:B,'Base stats'!BW:BW),
0.05))</f>
        <v>3.8000000000000003</v>
      </c>
      <c r="O26" s="3" t="str">
        <f>IF(Animals!AD26="No","No",
MAX(MROUND((MIN(10,_xlfn.XLOOKUP(B26,'Base stats'!B:B,'Base stats'!V:V)*IF(_xlfn.XLOOKUP(_xlfn.XLOOKUP(B26,'Base stats'!B:B,'Base stats'!E:E),Groups!A:A,Groups!O:O)=0,1,0.33))^0.4*_xlfn.XLOOKUP(B26,'Base stats'!B:B,'Base stats'!BJ:BJ)^0.73)^0.6 *_xlfn.XLOOKUP(B26,'Base stats'!B:B,'Base stats'!BX:BX),0.1),0.05)
)</f>
        <v>No</v>
      </c>
      <c r="P26" s="11" t="str">
        <f>IF(O26="No","No",
MROUND(_xlfn.XLOOKUP(B26,'Base stats'!B:B,'Base stats'!BJ:BJ) * 0.01 * 2 + 0.05, 0.05)
)</f>
        <v>No</v>
      </c>
      <c r="Q26" s="5" t="str">
        <f>IF(O26="No","No",
MROUND(_xlfn.XLOOKUP(B26,'Base stats'!B:B,'Base stats'!BV:BV)/10000+0.01,0.01)
)</f>
        <v>No</v>
      </c>
      <c r="R26" s="4" t="str">
        <f>IF(O26="No","No",
MROUND(_xlfn.XLOOKUP(B26,'Base stats'!B:B,'Base stats'!BB:BB)^0.25
/((_xlfn.XLOOKUP(B26,'Base stats'!B:B,'Base stats'!BN:BN))*10)*_xlfn.XLOOKUP(_xlfn.XLOOKUP(B26,'Base stats'!B:B,'Base stats'!E:E),Groups!A:A,Groups!Z:Z)*150 + 0.5 + _xlfn.XLOOKUP(B26,'Base stats'!B:B,'Base stats'!BW:BW),
0.05))</f>
        <v>No</v>
      </c>
      <c r="S26" s="3" t="str">
        <f>IF(Animals!AI26="No","No",
IF(_xlfn.XLOOKUP(B26,'Base stats'!B:B,'Base stats'!U:U)="No",
MAX(MROUND(_xlfn.XLOOKUP(B26,'Base stats'!B:B,'Base stats'!BT:BT) * _xlfn.XLOOKUP(B26,'Base stats'!B:B,'Base stats'!BP:BP)^0.9 / 21 * _xlfn.XLOOKUP(B26,'Base stats'!B:B,'Base stats'!BX:BX),0.1),0.05),
MAX(MROUND(((MIN(12,_xlfn.XLOOKUP(B26,'Base stats'!B:B,'Base stats'!U:U)))^0.4*_xlfn.XLOOKUP(B26,'Base stats'!B:B,'Base stats'!BH:BH)^0.73)^0.6 * _xlfn.XLOOKUP(B26,'Base stats'!B:B,'Base stats'!BX:BX),0.1),0.05)
))</f>
        <v>No</v>
      </c>
      <c r="T26" s="11" t="str">
        <f>IF(S26="No","No",
MROUND(_xlfn.XLOOKUP(B26,'Base stats'!B:B,'Base stats'!BH:BH) * 0.01 * 2 + 0.05, 0.05)
)</f>
        <v>No</v>
      </c>
      <c r="U26" s="5" t="str">
        <f>IF(S26="No","No",IF(_xlfn.XLOOKUP(B26,'Base stats'!B:B,'Base stats'!U:U)="No","No",
MROUND(_xlfn.XLOOKUP(B26,'Base stats'!B:B,'Base stats'!BT:BT)/10000+0.01,0.01)
))</f>
        <v>No</v>
      </c>
      <c r="V26" s="4" t="str">
        <f>IF(S26="No","No",
MROUND(_xlfn.XLOOKUP(B26,'Base stats'!B:B,'Base stats'!BF:BF)^0.25
/((_xlfn.XLOOKUP(B26,'Base stats'!B:B,'Base stats'!BO:BO))*10)*_xlfn.XLOOKUP(_xlfn.XLOOKUP(B26,'Base stats'!B:B,'Base stats'!E:E),Groups!A:A,Groups!AE:AE)*150 + 0.5 + _xlfn.XLOOKUP(B26,'Base stats'!B:B,'Base stats'!BW:BW),
0.05))</f>
        <v>No</v>
      </c>
      <c r="W26" s="8">
        <f>MROUND(_xlfn.XLOOKUP(_xlfn.XLOOKUP(B26,'Base stats'!B:B,'Base stats'!E:E),Groups!A:A,Groups!BG:BG)*_xlfn.XLOOKUP(B26,'Base stats'!B:B,'Base stats'!C:C)^-0.165,0.05)</f>
        <v>0.05</v>
      </c>
      <c r="X26" s="1">
        <f>MROUND(_xlfn.XLOOKUP(_xlfn.XLOOKUP(B26,'Base stats'!B:B,'Base stats'!E:E),Groups!A:A,Groups!BH:BH)*_xlfn.XLOOKUP(B26,'Base stats'!B:B,'Base stats'!C:C)^0.165,0.05)</f>
        <v>0.4</v>
      </c>
      <c r="Y26" s="8">
        <f>MROUND(_xlfn.XLOOKUP(_xlfn.XLOOKUP(B26,'Base stats'!B:B,'Base stats'!E:E),Groups!A:A,Groups!BI:BI)*_xlfn.XLOOKUP(B26,'Base stats'!B:B,'Base stats'!C:C)^0.165,0.05)</f>
        <v>0.2</v>
      </c>
      <c r="Z26" s="18">
        <f>MROUND(_xlfn.XLOOKUP(B26,'Base stats'!B:B,'Base stats'!AQ:AQ)*_xlfn.XLOOKUP(_xlfn.XLOOKUP(B26,'Base stats'!B:B,'Base stats'!E:E),Groups!A:A,Groups!H:H)/1000,IF((_xlfn.XLOOKUP(B26,'Base stats'!B:B,'Base stats'!AQ:AQ)*_xlfn.XLOOKUP(_xlfn.XLOOKUP(B26,'Base stats'!B:B,'Base stats'!E:E),Groups!A:A,Groups!H:H)/1000)&gt;1,0.05,0.01))</f>
        <v>0.25</v>
      </c>
      <c r="AA26" s="18">
        <f>MROUND((1/2)*(_xlfn.XLOOKUP(_xlfn.XLOOKUP(B26,'Base stats'!B:B,'Base stats'!E:E),Groups!A:A,Groups!H:H)*_xlfn.XLOOKUP(_xlfn.XLOOKUP(B26,'Base stats'!B:B,'Base stats'!E:E),Groups!A:A,Groups!I:I))*_xlfn.XLOOKUP(B26,'Base stats'!B:B,'Base stats'!AQ:AQ)*0.01,0.05)</f>
        <v>1.1000000000000001</v>
      </c>
      <c r="AB26" s="18">
        <f>MROUND(250*(Animals!AO26+Animals!AP26),25)</f>
        <v>2500</v>
      </c>
      <c r="AC26" s="18" t="str">
        <f>_xlfn.XLOOKUP(_xlfn.XLOOKUP(B26,'Base stats'!B:B,'Base stats'!E:E),Groups!A:A,Groups!BJ:BJ)</f>
        <v>Quadruped</v>
      </c>
    </row>
    <row r="27" spans="1:29" ht="16.5" thickTop="1" thickBot="1" x14ac:dyDescent="0.3">
      <c r="A27" s="16" t="str">
        <f>Animals!A27</f>
        <v>Thrumbo</v>
      </c>
      <c r="B27" s="6" t="str">
        <f>Animals!B27</f>
        <v>Thrumbo magnificus</v>
      </c>
      <c r="C27" s="1" t="str">
        <f>Animals!C27</f>
        <v>&lt;li&gt;Thrumbo&lt;/li&gt;</v>
      </c>
      <c r="D27" s="47">
        <f>MIN(MIN(6,_xlfn.XLOOKUP(A27,Animals!A:A,Animals!AO:AO))*20,MAX(MROUND(_xlfn.XLOOKUP(B27,'Base stats'!B:B,'Base stats'!BS:BS) * (_xlfn.XLOOKUP(B27,'Base stats'!B:B,'Base stats'!AO:AO)*5%)^0.9 / 21,0.1),0.05))</f>
        <v>48.400000000000006</v>
      </c>
      <c r="E27" s="11">
        <f>MROUND(_xlfn.XLOOKUP(B27,'Base stats'!B:B,'Base stats'!BG:BG) * 0.01 * 2 + 0.01, 0.05)</f>
        <v>53.400000000000006</v>
      </c>
      <c r="F27" s="7">
        <f>MROUND(_xlfn.XLOOKUP(B27,'Base stats'!B:B,'Base stats'!BD:BD)^0.25 / (_xlfn.XLOOKUP(B27,'Base stats'!B:B,'Base stats'!BK:BK) * 10) * 150 + 0.5 + _xlfn.XLOOKUP(B27,'Base stats'!B:B,'Base stats'!BW:BW), 0.05)</f>
        <v>3.1500000000000004</v>
      </c>
      <c r="G27" s="3">
        <f>IF(Animals!S27="No","No",
IF(_xlfn.XLOOKUP(B27,'Base stats'!B:B,'Base stats'!U:U)="No",
MAX(MROUND(_xlfn.XLOOKUP(B27,'Base stats'!B:B,'Base stats'!BT:BT) * _xlfn.XLOOKUP(B27,'Base stats'!B:B,'Base stats'!BP:BP)^0.9 / 21 * _xlfn.XLOOKUP(B27,'Base stats'!B:B,'Base stats'!BX:BX),0.1),0.05),
MAX(MROUND(((MIN(10,_xlfn.XLOOKUP(B27,'Base stats'!B:B,'Base stats'!U:U)))^0.4*_xlfn.XLOOKUP(B27,'Base stats'!B:B,'Base stats'!BH:BH)^0.73)^0.6 * _xlfn.XLOOKUP(B27,'Base stats'!B:B,'Base stats'!BX:BX),0.1),0.05)
))</f>
        <v>55.900000000000006</v>
      </c>
      <c r="H27" s="11">
        <f>IF(G27="No","No",
MROUND(_xlfn.XLOOKUP(B27,'Base stats'!B:B,'Base stats'!BH:BH) * 0.01 * 2 + 0.05, 0.05)
)</f>
        <v>46.400000000000006</v>
      </c>
      <c r="I27" s="11" t="str">
        <f>IF(G27="No","No",IF(_xlfn.XLOOKUP(B27,'Base stats'!B:B,'Base stats'!U:U)="No","No",
MROUND(_xlfn.XLOOKUP(B27,'Base stats'!B:B,'Base stats'!BT:BT)/10000+0.01,0.01)
))</f>
        <v>No</v>
      </c>
      <c r="J27" s="4">
        <f>IF(G27="No","No",
MROUND(_xlfn.XLOOKUP(B27,'Base stats'!B:B,'Base stats'!BE:BE)^0.25
/((_xlfn.XLOOKUP(B27,'Base stats'!B:B,'Base stats'!BL:BL))*10)*_xlfn.XLOOKUP(_xlfn.XLOOKUP(B27,'Base stats'!B:B,'Base stats'!E:E),Groups!A:A,Groups!Q:Q)*150 + 0.5 + _xlfn.XLOOKUP(B27,'Base stats'!B:B,'Base stats'!BW:BW),
0.05))</f>
        <v>3.5500000000000003</v>
      </c>
      <c r="K27" s="3">
        <f>IF(Animals!X27="No","No",
IF(_xlfn.XLOOKUP(_xlfn.XLOOKUP(B27,'Base stats'!B:B,'Base stats'!E:E),Groups!A:A,Groups!BD:BD)=1,
MAX(MROUND(_xlfn.XLOOKUP(B27,'Base stats'!B:B,'Base stats'!BU:BU) * _xlfn.XLOOKUP(B27,'Base stats'!B:B,'Base stats'!BQ:BQ)^0.9 / 21 *_xlfn.XLOOKUP(B27,'Base stats'!B:B,'Base stats'!BX:BX),0.1),0.05),
MAX(MROUND(((MIN(10,_xlfn.XLOOKUP(B27,'Base stats'!B:B,'Base stats'!W:W)))^0.4*_xlfn.XLOOKUP(B27,'Base stats'!B:B,'Base stats'!BI:BI)^0.73)^0.6 *_xlfn.XLOOKUP(B27,'Base stats'!B:B,'Base stats'!BX:BX),0.1),0.05)
))</f>
        <v>59.6</v>
      </c>
      <c r="L27" s="11">
        <f>IF(K27="No","No",
MROUND(_xlfn.XLOOKUP(B27,'Base stats'!B:B,'Base stats'!BI:BI) * 0.01 *2 + 0.05, 0.05)
)</f>
        <v>64.150000000000006</v>
      </c>
      <c r="M27" s="5">
        <f>IF(K27="No","No",IF(_xlfn.XLOOKUP(_xlfn.XLOOKUP(B27,'Base stats'!B:B,'Base stats'!E:E),Groups!A:A,Groups!BD:BD)=1,"No",
MROUND(_xlfn.XLOOKUP(B27,'Base stats'!B:B,'Base stats'!BU:BU)/10000+0.01,0.01)
))</f>
        <v>27.12</v>
      </c>
      <c r="N27" s="4">
        <f>IF(K27="No","No",
MROUND(
  _xlfn.XLOOKUP(B27,'Base stats'!B:B,'Base stats'!BC:BC)^0.25
  / (_xlfn.XLOOKUP(B27,'Base stats'!B:B,'Base stats'!BM:BM) * 10)
  * _xlfn.XLOOKUP(
      _xlfn.XLOOKUP(B27,'Base stats'!B:B,'Base stats'!E:E),
      Groups!A:A,
      Groups!V:V
    ) * 150
  + MIN(12, _xlfn.XLOOKUP(B27,'Base stats'!B:B,'Base stats'!W:W))^(1/IF(_xlfn.XLOOKUP(_xlfn.XLOOKUP(B27,'Base stats'!B:B,'Base stats'!E:E),Groups!A:A,Groups!U:U)=1,100,10)) + 0.5 + _xlfn.XLOOKUP(B27,'Base stats'!B:B,'Base stats'!BW:BW),
0.05))</f>
        <v>3.1500000000000004</v>
      </c>
      <c r="O27" s="3" t="str">
        <f>IF(Animals!AD27="No","No",
MAX(MROUND((MIN(10,_xlfn.XLOOKUP(B27,'Base stats'!B:B,'Base stats'!V:V)*IF(_xlfn.XLOOKUP(_xlfn.XLOOKUP(B27,'Base stats'!B:B,'Base stats'!E:E),Groups!A:A,Groups!O:O)=0,1,0.33))^0.4*_xlfn.XLOOKUP(B27,'Base stats'!B:B,'Base stats'!BJ:BJ)^0.73)^0.6 *_xlfn.XLOOKUP(B27,'Base stats'!B:B,'Base stats'!BX:BX),0.1),0.05)
)</f>
        <v>No</v>
      </c>
      <c r="P27" s="11" t="str">
        <f>IF(O27="No","No",
MROUND(_xlfn.XLOOKUP(B27,'Base stats'!B:B,'Base stats'!BJ:BJ) * 0.01 * 2 + 0.05, 0.05)
)</f>
        <v>No</v>
      </c>
      <c r="Q27" s="5" t="str">
        <f>IF(O27="No","No",
MROUND(_xlfn.XLOOKUP(B27,'Base stats'!B:B,'Base stats'!BV:BV)/10000+0.01,0.01)
)</f>
        <v>No</v>
      </c>
      <c r="R27" s="4" t="str">
        <f>IF(O27="No","No",
MROUND(_xlfn.XLOOKUP(B27,'Base stats'!B:B,'Base stats'!BB:BB)^0.25
/((_xlfn.XLOOKUP(B27,'Base stats'!B:B,'Base stats'!BN:BN))*10)*_xlfn.XLOOKUP(_xlfn.XLOOKUP(B27,'Base stats'!B:B,'Base stats'!E:E),Groups!A:A,Groups!Z:Z)*150 + 0.5 + _xlfn.XLOOKUP(B27,'Base stats'!B:B,'Base stats'!BW:BW),
0.05))</f>
        <v>No</v>
      </c>
      <c r="S27" s="3" t="str">
        <f>IF(Animals!AI27="No","No",
IF(_xlfn.XLOOKUP(B27,'Base stats'!B:B,'Base stats'!U:U)="No",
MAX(MROUND(_xlfn.XLOOKUP(B27,'Base stats'!B:B,'Base stats'!BT:BT) * _xlfn.XLOOKUP(B27,'Base stats'!B:B,'Base stats'!BP:BP)^0.9 / 21 * _xlfn.XLOOKUP(B27,'Base stats'!B:B,'Base stats'!BX:BX),0.1),0.05),
MAX(MROUND(((MIN(12,_xlfn.XLOOKUP(B27,'Base stats'!B:B,'Base stats'!U:U)))^0.4*_xlfn.XLOOKUP(B27,'Base stats'!B:B,'Base stats'!BH:BH)^0.73)^0.6 * _xlfn.XLOOKUP(B27,'Base stats'!B:B,'Base stats'!BX:BX),0.1),0.05)
))</f>
        <v>No</v>
      </c>
      <c r="T27" s="11" t="str">
        <f>IF(S27="No","No",
MROUND(_xlfn.XLOOKUP(B27,'Base stats'!B:B,'Base stats'!BH:BH) * 0.01 * 2 + 0.05, 0.05)
)</f>
        <v>No</v>
      </c>
      <c r="U27" s="5" t="str">
        <f>IF(S27="No","No",IF(_xlfn.XLOOKUP(B27,'Base stats'!B:B,'Base stats'!U:U)="No","No",
MROUND(_xlfn.XLOOKUP(B27,'Base stats'!B:B,'Base stats'!BT:BT)/10000+0.01,0.01)
))</f>
        <v>No</v>
      </c>
      <c r="V27" s="4" t="str">
        <f>IF(S27="No","No",
MROUND(_xlfn.XLOOKUP(B27,'Base stats'!B:B,'Base stats'!BF:BF)^0.25
/((_xlfn.XLOOKUP(B27,'Base stats'!B:B,'Base stats'!BO:BO))*10)*_xlfn.XLOOKUP(_xlfn.XLOOKUP(B27,'Base stats'!B:B,'Base stats'!E:E),Groups!A:A,Groups!AE:AE)*150 + 0.5 + _xlfn.XLOOKUP(B27,'Base stats'!B:B,'Base stats'!BW:BW),
0.05))</f>
        <v>No</v>
      </c>
      <c r="W27" s="8">
        <f>MROUND(_xlfn.XLOOKUP(_xlfn.XLOOKUP(B27,'Base stats'!B:B,'Base stats'!E:E),Groups!A:A,Groups!BG:BG)*_xlfn.XLOOKUP(B27,'Base stats'!B:B,'Base stats'!C:C)^-0.165,0.05)</f>
        <v>0.15000000000000002</v>
      </c>
      <c r="X27" s="1">
        <f>MROUND(_xlfn.XLOOKUP(_xlfn.XLOOKUP(B27,'Base stats'!B:B,'Base stats'!E:E),Groups!A:A,Groups!BH:BH)*_xlfn.XLOOKUP(B27,'Base stats'!B:B,'Base stats'!C:C)^0.165,0.05)</f>
        <v>0.65</v>
      </c>
      <c r="Y27" s="8">
        <f>MROUND(_xlfn.XLOOKUP(_xlfn.XLOOKUP(B27,'Base stats'!B:B,'Base stats'!E:E),Groups!A:A,Groups!BI:BI)*_xlfn.XLOOKUP(B27,'Base stats'!B:B,'Base stats'!C:C)^0.165,0.05)</f>
        <v>0.2</v>
      </c>
      <c r="Z27" s="18">
        <f>MROUND(_xlfn.XLOOKUP(B27,'Base stats'!B:B,'Base stats'!AQ:AQ)*_xlfn.XLOOKUP(_xlfn.XLOOKUP(B27,'Base stats'!B:B,'Base stats'!E:E),Groups!A:A,Groups!H:H)/1000,IF((_xlfn.XLOOKUP(B27,'Base stats'!B:B,'Base stats'!AQ:AQ)*_xlfn.XLOOKUP(_xlfn.XLOOKUP(B27,'Base stats'!B:B,'Base stats'!E:E),Groups!A:A,Groups!H:H)/1000)&gt;1,0.05,0.01))</f>
        <v>9.15</v>
      </c>
      <c r="AA27" s="18">
        <f>MROUND((1/2)*(_xlfn.XLOOKUP(_xlfn.XLOOKUP(B27,'Base stats'!B:B,'Base stats'!E:E),Groups!A:A,Groups!H:H)*_xlfn.XLOOKUP(_xlfn.XLOOKUP(B27,'Base stats'!B:B,'Base stats'!E:E),Groups!A:A,Groups!I:I))*_xlfn.XLOOKUP(B27,'Base stats'!B:B,'Base stats'!AQ:AQ)*0.01,0.05)</f>
        <v>13.75</v>
      </c>
      <c r="AB27" s="18">
        <f>MROUND(250*(Animals!AO27+Animals!AP27),25)</f>
        <v>3450</v>
      </c>
      <c r="AC27" s="18" t="str">
        <f>_xlfn.XLOOKUP(_xlfn.XLOOKUP(B27,'Base stats'!B:B,'Base stats'!E:E),Groups!A:A,Groups!BJ:BJ)</f>
        <v>QuadrupedTall</v>
      </c>
    </row>
    <row r="28" spans="1:29" ht="16.5" thickTop="1" thickBot="1" x14ac:dyDescent="0.3">
      <c r="A28" s="16" t="str">
        <f>Animals!A28</f>
        <v>Megasloth</v>
      </c>
      <c r="B28" s="6" t="str">
        <f>Animals!B28</f>
        <v>Megatherium americanum</v>
      </c>
      <c r="C28" s="1" t="str">
        <f>Animals!C28</f>
        <v>&lt;li&gt;Megasloth&lt;/li&gt;</v>
      </c>
      <c r="D28" s="47">
        <f>MIN(MIN(6,_xlfn.XLOOKUP(A28,Animals!A:A,Animals!AO:AO))*20,MAX(MROUND(_xlfn.XLOOKUP(B28,'Base stats'!B:B,'Base stats'!BS:BS) * (_xlfn.XLOOKUP(B28,'Base stats'!B:B,'Base stats'!AO:AO)*5%)^0.9 / 21,0.1),0.05))</f>
        <v>32.200000000000003</v>
      </c>
      <c r="E28" s="11">
        <f>MROUND(_xlfn.XLOOKUP(B28,'Base stats'!B:B,'Base stats'!BG:BG) * 0.01 * 2 + 0.01, 0.05)</f>
        <v>34.5</v>
      </c>
      <c r="F28" s="7">
        <f>MROUND(_xlfn.XLOOKUP(B28,'Base stats'!B:B,'Base stats'!BD:BD)^0.25 / (_xlfn.XLOOKUP(B28,'Base stats'!B:B,'Base stats'!BK:BK) * 10) * 150 + 0.5 + _xlfn.XLOOKUP(B28,'Base stats'!B:B,'Base stats'!BW:BW), 0.05)</f>
        <v>2.9000000000000004</v>
      </c>
      <c r="G28" s="3" t="str">
        <f>IF(Animals!S28="No","No",
IF(_xlfn.XLOOKUP(B28,'Base stats'!B:B,'Base stats'!U:U)="No",
MAX(MROUND(_xlfn.XLOOKUP(B28,'Base stats'!B:B,'Base stats'!BT:BT) * _xlfn.XLOOKUP(B28,'Base stats'!B:B,'Base stats'!BP:BP)^0.9 / 21 * _xlfn.XLOOKUP(B28,'Base stats'!B:B,'Base stats'!BX:BX),0.1),0.05),
MAX(MROUND(((MIN(10,_xlfn.XLOOKUP(B28,'Base stats'!B:B,'Base stats'!U:U)))^0.4*_xlfn.XLOOKUP(B28,'Base stats'!B:B,'Base stats'!BH:BH)^0.73)^0.6 * _xlfn.XLOOKUP(B28,'Base stats'!B:B,'Base stats'!BX:BX),0.1),0.05)
))</f>
        <v>No</v>
      </c>
      <c r="H28" s="11" t="str">
        <f>IF(G28="No","No",
MROUND(_xlfn.XLOOKUP(B28,'Base stats'!B:B,'Base stats'!BH:BH) * 0.01 * 2 + 0.05, 0.05)
)</f>
        <v>No</v>
      </c>
      <c r="I28" s="11" t="str">
        <f>IF(G28="No","No",IF(_xlfn.XLOOKUP(B28,'Base stats'!B:B,'Base stats'!U:U)="No","No",
MROUND(_xlfn.XLOOKUP(B28,'Base stats'!B:B,'Base stats'!BT:BT)/10000+0.01,0.01)
))</f>
        <v>No</v>
      </c>
      <c r="J28" s="4" t="str">
        <f>IF(G28="No","No",
MROUND(_xlfn.XLOOKUP(B28,'Base stats'!B:B,'Base stats'!BE:BE)^0.25
/((_xlfn.XLOOKUP(B28,'Base stats'!B:B,'Base stats'!BL:BL))*10)*_xlfn.XLOOKUP(_xlfn.XLOOKUP(B28,'Base stats'!B:B,'Base stats'!E:E),Groups!A:A,Groups!Q:Q)*150 + 0.5 + _xlfn.XLOOKUP(B28,'Base stats'!B:B,'Base stats'!BW:BW),
0.05))</f>
        <v>No</v>
      </c>
      <c r="K28" s="3" t="str">
        <f>IF(Animals!X28="No","No",
IF(_xlfn.XLOOKUP(_xlfn.XLOOKUP(B28,'Base stats'!B:B,'Base stats'!E:E),Groups!A:A,Groups!BD:BD)=1,
MAX(MROUND(_xlfn.XLOOKUP(B28,'Base stats'!B:B,'Base stats'!BU:BU) * _xlfn.XLOOKUP(B28,'Base stats'!B:B,'Base stats'!BQ:BQ)^0.9 / 21 *_xlfn.XLOOKUP(B28,'Base stats'!B:B,'Base stats'!BX:BX),0.1),0.05),
MAX(MROUND(((MIN(10,_xlfn.XLOOKUP(B28,'Base stats'!B:B,'Base stats'!W:W)))^0.4*_xlfn.XLOOKUP(B28,'Base stats'!B:B,'Base stats'!BI:BI)^0.73)^0.6 *_xlfn.XLOOKUP(B28,'Base stats'!B:B,'Base stats'!BX:BX),0.1),0.05)
))</f>
        <v>No</v>
      </c>
      <c r="L28" s="11" t="str">
        <f>IF(K28="No","No",
MROUND(_xlfn.XLOOKUP(B28,'Base stats'!B:B,'Base stats'!BI:BI) * 0.01 *2 + 0.05, 0.05)
)</f>
        <v>No</v>
      </c>
      <c r="M28" s="5" t="str">
        <f>IF(K28="No","No",IF(_xlfn.XLOOKUP(_xlfn.XLOOKUP(B28,'Base stats'!B:B,'Base stats'!E:E),Groups!A:A,Groups!BD:BD)=1,"No",
MROUND(_xlfn.XLOOKUP(B28,'Base stats'!B:B,'Base stats'!BU:BU)/10000+0.01,0.01)
))</f>
        <v>No</v>
      </c>
      <c r="N28" s="4" t="str">
        <f>IF(K28="No","No",
MROUND(
  _xlfn.XLOOKUP(B28,'Base stats'!B:B,'Base stats'!BC:BC)^0.25
  / (_xlfn.XLOOKUP(B28,'Base stats'!B:B,'Base stats'!BM:BM) * 10)
  * _xlfn.XLOOKUP(
      _xlfn.XLOOKUP(B28,'Base stats'!B:B,'Base stats'!E:E),
      Groups!A:A,
      Groups!V:V
    ) * 150
  + MIN(12, _xlfn.XLOOKUP(B28,'Base stats'!B:B,'Base stats'!W:W))^(1/IF(_xlfn.XLOOKUP(_xlfn.XLOOKUP(B28,'Base stats'!B:B,'Base stats'!E:E),Groups!A:A,Groups!U:U)=1,100,10)) + 0.5 + _xlfn.XLOOKUP(B28,'Base stats'!B:B,'Base stats'!BW:BW),
0.05))</f>
        <v>No</v>
      </c>
      <c r="O28" s="3">
        <f>IF(Animals!AD28="No","No",
MAX(MROUND((MIN(10,_xlfn.XLOOKUP(B28,'Base stats'!B:B,'Base stats'!V:V)*IF(_xlfn.XLOOKUP(_xlfn.XLOOKUP(B28,'Base stats'!B:B,'Base stats'!E:E),Groups!A:A,Groups!O:O)=0,1,0.33))^0.4*_xlfn.XLOOKUP(B28,'Base stats'!B:B,'Base stats'!BJ:BJ)^0.73)^0.6 *_xlfn.XLOOKUP(B28,'Base stats'!B:B,'Base stats'!BX:BX),0.1),0.05)
)</f>
        <v>30.400000000000002</v>
      </c>
      <c r="P28" s="11">
        <f>IF(O28="No","No",
MROUND(_xlfn.XLOOKUP(B28,'Base stats'!B:B,'Base stats'!BJ:BJ) * 0.01 * 2 + 0.05, 0.05)
)</f>
        <v>33.25</v>
      </c>
      <c r="Q28" s="5">
        <f>IF(O28="No","No",
MROUND(_xlfn.XLOOKUP(B28,'Base stats'!B:B,'Base stats'!BV:BV)/10000+0.01,0.01)
)</f>
        <v>0.08</v>
      </c>
      <c r="R28" s="4">
        <f>IF(O28="No","No",
MROUND(_xlfn.XLOOKUP(B28,'Base stats'!B:B,'Base stats'!BB:BB)^0.25
/((_xlfn.XLOOKUP(B28,'Base stats'!B:B,'Base stats'!BN:BN))*10)*_xlfn.XLOOKUP(_xlfn.XLOOKUP(B28,'Base stats'!B:B,'Base stats'!E:E),Groups!A:A,Groups!Z:Z)*150 + 0.5 + _xlfn.XLOOKUP(B28,'Base stats'!B:B,'Base stats'!BW:BW),
0.05))</f>
        <v>2.75</v>
      </c>
      <c r="S28" s="3">
        <f>IF(Animals!AI28="No","No",
IF(_xlfn.XLOOKUP(B28,'Base stats'!B:B,'Base stats'!U:U)="No",
MAX(MROUND(_xlfn.XLOOKUP(B28,'Base stats'!B:B,'Base stats'!BT:BT) * _xlfn.XLOOKUP(B28,'Base stats'!B:B,'Base stats'!BP:BP)^0.9 / 21 * _xlfn.XLOOKUP(B28,'Base stats'!B:B,'Base stats'!BX:BX),0.1),0.05),
MAX(MROUND(((MIN(12,_xlfn.XLOOKUP(B28,'Base stats'!B:B,'Base stats'!U:U)))^0.4*_xlfn.XLOOKUP(B28,'Base stats'!B:B,'Base stats'!BH:BH)^0.73)^0.6 * _xlfn.XLOOKUP(B28,'Base stats'!B:B,'Base stats'!BX:BX),0.1),0.05)
))</f>
        <v>45.2</v>
      </c>
      <c r="T28" s="11">
        <f>IF(S28="No","No",
MROUND(_xlfn.XLOOKUP(B28,'Base stats'!B:B,'Base stats'!BH:BH) * 0.01 * 2 + 0.05, 0.05)
)</f>
        <v>30.8</v>
      </c>
      <c r="U28" s="5">
        <f>IF(S28="No","No",IF(_xlfn.XLOOKUP(B28,'Base stats'!B:B,'Base stats'!U:U)="No","No",
MROUND(_xlfn.XLOOKUP(B28,'Base stats'!B:B,'Base stats'!BT:BT)/10000+0.01,0.01)
))</f>
        <v>0.38</v>
      </c>
      <c r="V28" s="4">
        <f>IF(S28="No","No",
MROUND(_xlfn.XLOOKUP(B28,'Base stats'!B:B,'Base stats'!BF:BF)^0.25
/((_xlfn.XLOOKUP(B28,'Base stats'!B:B,'Base stats'!BO:BO))*10)*_xlfn.XLOOKUP(_xlfn.XLOOKUP(B28,'Base stats'!B:B,'Base stats'!E:E),Groups!A:A,Groups!AE:AE)*150 + 0.5 + _xlfn.XLOOKUP(B28,'Base stats'!B:B,'Base stats'!BW:BW),
0.05))</f>
        <v>3.0500000000000003</v>
      </c>
      <c r="W28" s="8">
        <f>MROUND(_xlfn.XLOOKUP(_xlfn.XLOOKUP(B28,'Base stats'!B:B,'Base stats'!E:E),Groups!A:A,Groups!BG:BG)*_xlfn.XLOOKUP(B28,'Base stats'!B:B,'Base stats'!C:C)^-0.165,0.05)</f>
        <v>0.05</v>
      </c>
      <c r="X28" s="1">
        <f>MROUND(_xlfn.XLOOKUP(_xlfn.XLOOKUP(B28,'Base stats'!B:B,'Base stats'!E:E),Groups!A:A,Groups!BH:BH)*_xlfn.XLOOKUP(B28,'Base stats'!B:B,'Base stats'!C:C)^0.165,0.05)</f>
        <v>0.4</v>
      </c>
      <c r="Y28" s="8">
        <f>MROUND(_xlfn.XLOOKUP(_xlfn.XLOOKUP(B28,'Base stats'!B:B,'Base stats'!E:E),Groups!A:A,Groups!BI:BI)*_xlfn.XLOOKUP(B28,'Base stats'!B:B,'Base stats'!C:C)^0.165,0.05)</f>
        <v>0.1</v>
      </c>
      <c r="Z28" s="18">
        <f>MROUND(_xlfn.XLOOKUP(B28,'Base stats'!B:B,'Base stats'!AQ:AQ)*_xlfn.XLOOKUP(_xlfn.XLOOKUP(B28,'Base stats'!B:B,'Base stats'!E:E),Groups!A:A,Groups!H:H)/1000,IF((_xlfn.XLOOKUP(B28,'Base stats'!B:B,'Base stats'!AQ:AQ)*_xlfn.XLOOKUP(_xlfn.XLOOKUP(B28,'Base stats'!B:B,'Base stats'!E:E),Groups!A:A,Groups!H:H)/1000)&gt;1,0.05,0.01))</f>
        <v>0.31</v>
      </c>
      <c r="AA28" s="18">
        <f>MROUND((1/2)*(_xlfn.XLOOKUP(_xlfn.XLOOKUP(B28,'Base stats'!B:B,'Base stats'!E:E),Groups!A:A,Groups!H:H)*_xlfn.XLOOKUP(_xlfn.XLOOKUP(B28,'Base stats'!B:B,'Base stats'!E:E),Groups!A:A,Groups!I:I))*_xlfn.XLOOKUP(B28,'Base stats'!B:B,'Base stats'!AQ:AQ)*0.01,0.05)</f>
        <v>0.35000000000000003</v>
      </c>
      <c r="AB28" s="18">
        <f>MROUND(250*(Animals!AO28+Animals!AP28),25)</f>
        <v>2625</v>
      </c>
      <c r="AC28" s="18" t="str">
        <f>_xlfn.XLOOKUP(_xlfn.XLOOKUP(B28,'Base stats'!B:B,'Base stats'!E:E),Groups!A:A,Groups!BJ:BJ)</f>
        <v>Quadruped</v>
      </c>
    </row>
    <row r="29" spans="1:29" ht="16.5" thickTop="1" thickBot="1" x14ac:dyDescent="0.3">
      <c r="A29" s="16" t="str">
        <f>Animals!A29</f>
        <v>Boar</v>
      </c>
      <c r="B29" s="6" t="str">
        <f>Animals!B29</f>
        <v>Sus scrofa</v>
      </c>
      <c r="C29" s="1" t="str">
        <f>Animals!C29</f>
        <v>&lt;li&gt;WildBoar&lt;/li&gt;</v>
      </c>
      <c r="D29" s="47">
        <f>MIN(MIN(6,_xlfn.XLOOKUP(A29,Animals!A:A,Animals!AO:AO))*20,MAX(MROUND(_xlfn.XLOOKUP(B29,'Base stats'!B:B,'Base stats'!BS:BS) * (_xlfn.XLOOKUP(B29,'Base stats'!B:B,'Base stats'!AO:AO)*5%)^0.9 / 21,0.1),0.05))</f>
        <v>4.3</v>
      </c>
      <c r="E29" s="11">
        <f>MROUND(_xlfn.XLOOKUP(B29,'Base stats'!B:B,'Base stats'!BG:BG) * 0.01 * 2 + 0.01, 0.05)</f>
        <v>3.75</v>
      </c>
      <c r="F29" s="7">
        <f>MROUND(_xlfn.XLOOKUP(B29,'Base stats'!B:B,'Base stats'!BD:BD)^0.25 / (_xlfn.XLOOKUP(B29,'Base stats'!B:B,'Base stats'!BK:BK) * 10) * 150 + 0.5 + _xlfn.XLOOKUP(B29,'Base stats'!B:B,'Base stats'!BW:BW), 0.05)</f>
        <v>1.75</v>
      </c>
      <c r="G29" s="3" t="str">
        <f>IF(Animals!S29="No","No",
IF(_xlfn.XLOOKUP(B29,'Base stats'!B:B,'Base stats'!U:U)="No",
MAX(MROUND(_xlfn.XLOOKUP(B29,'Base stats'!B:B,'Base stats'!BT:BT) * _xlfn.XLOOKUP(B29,'Base stats'!B:B,'Base stats'!BP:BP)^0.9 / 21 * _xlfn.XLOOKUP(B29,'Base stats'!B:B,'Base stats'!BX:BX),0.1),0.05),
MAX(MROUND(((MIN(10,_xlfn.XLOOKUP(B29,'Base stats'!B:B,'Base stats'!U:U)))^0.4*_xlfn.XLOOKUP(B29,'Base stats'!B:B,'Base stats'!BH:BH)^0.73)^0.6 * _xlfn.XLOOKUP(B29,'Base stats'!B:B,'Base stats'!BX:BX),0.1),0.05)
))</f>
        <v>No</v>
      </c>
      <c r="H29" s="11" t="str">
        <f>IF(G29="No","No",
MROUND(_xlfn.XLOOKUP(B29,'Base stats'!B:B,'Base stats'!BH:BH) * 0.01 * 2 + 0.05, 0.05)
)</f>
        <v>No</v>
      </c>
      <c r="I29" s="11" t="str">
        <f>IF(G29="No","No",IF(_xlfn.XLOOKUP(B29,'Base stats'!B:B,'Base stats'!U:U)="No","No",
MROUND(_xlfn.XLOOKUP(B29,'Base stats'!B:B,'Base stats'!BT:BT)/10000+0.01,0.01)
))</f>
        <v>No</v>
      </c>
      <c r="J29" s="4" t="str">
        <f>IF(G29="No","No",
MROUND(_xlfn.XLOOKUP(B29,'Base stats'!B:B,'Base stats'!BE:BE)^0.25
/((_xlfn.XLOOKUP(B29,'Base stats'!B:B,'Base stats'!BL:BL))*10)*_xlfn.XLOOKUP(_xlfn.XLOOKUP(B29,'Base stats'!B:B,'Base stats'!E:E),Groups!A:A,Groups!Q:Q)*150 + 0.5 + _xlfn.XLOOKUP(B29,'Base stats'!B:B,'Base stats'!BW:BW),
0.05))</f>
        <v>No</v>
      </c>
      <c r="K29" s="3">
        <f>IF(Animals!X29="No","No",
IF(_xlfn.XLOOKUP(_xlfn.XLOOKUP(B29,'Base stats'!B:B,'Base stats'!E:E),Groups!A:A,Groups!BD:BD)=1,
MAX(MROUND(_xlfn.XLOOKUP(B29,'Base stats'!B:B,'Base stats'!BU:BU) * _xlfn.XLOOKUP(B29,'Base stats'!B:B,'Base stats'!BQ:BQ)^0.9 / 21 *_xlfn.XLOOKUP(B29,'Base stats'!B:B,'Base stats'!BX:BX),0.1),0.05),
MAX(MROUND(((MIN(10,_xlfn.XLOOKUP(B29,'Base stats'!B:B,'Base stats'!W:W)))^0.4*_xlfn.XLOOKUP(B29,'Base stats'!B:B,'Base stats'!BI:BI)^0.73)^0.6 *_xlfn.XLOOKUP(B29,'Base stats'!B:B,'Base stats'!BX:BX),0.1),0.05)
))</f>
        <v>26.8</v>
      </c>
      <c r="L29" s="11">
        <f>IF(K29="No","No",
MROUND(_xlfn.XLOOKUP(B29,'Base stats'!B:B,'Base stats'!BI:BI) * 0.01 *2 + 0.05, 0.05)
)</f>
        <v>10.4</v>
      </c>
      <c r="M29" s="5">
        <f>IF(K29="No","No",IF(_xlfn.XLOOKUP(_xlfn.XLOOKUP(B29,'Base stats'!B:B,'Base stats'!E:E),Groups!A:A,Groups!BD:BD)=1,"No",
MROUND(_xlfn.XLOOKUP(B29,'Base stats'!B:B,'Base stats'!BU:BU)/10000+0.01,0.01)
))</f>
        <v>0.64</v>
      </c>
      <c r="N29" s="4">
        <f>IF(K29="No","No",
MROUND(
  _xlfn.XLOOKUP(B29,'Base stats'!B:B,'Base stats'!BC:BC)^0.25
  / (_xlfn.XLOOKUP(B29,'Base stats'!B:B,'Base stats'!BM:BM) * 10)
  * _xlfn.XLOOKUP(
      _xlfn.XLOOKUP(B29,'Base stats'!B:B,'Base stats'!E:E),
      Groups!A:A,
      Groups!V:V
    ) * 150
  + MIN(12, _xlfn.XLOOKUP(B29,'Base stats'!B:B,'Base stats'!W:W))^(1/IF(_xlfn.XLOOKUP(_xlfn.XLOOKUP(B29,'Base stats'!B:B,'Base stats'!E:E),Groups!A:A,Groups!U:U)=1,100,10)) + 0.5 + _xlfn.XLOOKUP(B29,'Base stats'!B:B,'Base stats'!BW:BW),
0.05))</f>
        <v>3.35</v>
      </c>
      <c r="O29" s="3">
        <f>IF(Animals!AD29="No","No",
MAX(MROUND((MIN(10,_xlfn.XLOOKUP(B29,'Base stats'!B:B,'Base stats'!V:V)*IF(_xlfn.XLOOKUP(_xlfn.XLOOKUP(B29,'Base stats'!B:B,'Base stats'!E:E),Groups!A:A,Groups!O:O)=0,1,0.33))^0.4*_xlfn.XLOOKUP(B29,'Base stats'!B:B,'Base stats'!BJ:BJ)^0.73)^0.6 *_xlfn.XLOOKUP(B29,'Base stats'!B:B,'Base stats'!BX:BX),0.1),0.05)
)</f>
        <v>24.6</v>
      </c>
      <c r="P29" s="11">
        <f>IF(O29="No","No",
MROUND(_xlfn.XLOOKUP(B29,'Base stats'!B:B,'Base stats'!BJ:BJ) * 0.01 * 2 + 0.05, 0.05)
)</f>
        <v>8.7000000000000011</v>
      </c>
      <c r="Q29" s="5">
        <f>IF(O29="No","No",
MROUND(_xlfn.XLOOKUP(B29,'Base stats'!B:B,'Base stats'!BV:BV)/10000+0.01,0.01)
)</f>
        <v>0.39</v>
      </c>
      <c r="R29" s="4">
        <f>IF(O29="No","No",
MROUND(_xlfn.XLOOKUP(B29,'Base stats'!B:B,'Base stats'!BB:BB)^0.25
/((_xlfn.XLOOKUP(B29,'Base stats'!B:B,'Base stats'!BN:BN))*10)*_xlfn.XLOOKUP(_xlfn.XLOOKUP(B29,'Base stats'!B:B,'Base stats'!E:E),Groups!A:A,Groups!Z:Z)*150 + 0.5 + _xlfn.XLOOKUP(B29,'Base stats'!B:B,'Base stats'!BW:BW),
0.05))</f>
        <v>2.9000000000000004</v>
      </c>
      <c r="S29" s="3" t="str">
        <f>IF(Animals!AI29="No","No",
IF(_xlfn.XLOOKUP(B29,'Base stats'!B:B,'Base stats'!U:U)="No",
MAX(MROUND(_xlfn.XLOOKUP(B29,'Base stats'!B:B,'Base stats'!BT:BT) * _xlfn.XLOOKUP(B29,'Base stats'!B:B,'Base stats'!BP:BP)^0.9 / 21 * _xlfn.XLOOKUP(B29,'Base stats'!B:B,'Base stats'!BX:BX),0.1),0.05),
MAX(MROUND(((MIN(12,_xlfn.XLOOKUP(B29,'Base stats'!B:B,'Base stats'!U:U)))^0.4*_xlfn.XLOOKUP(B29,'Base stats'!B:B,'Base stats'!BH:BH)^0.73)^0.6 * _xlfn.XLOOKUP(B29,'Base stats'!B:B,'Base stats'!BX:BX),0.1),0.05)
))</f>
        <v>No</v>
      </c>
      <c r="T29" s="11" t="str">
        <f>IF(S29="No","No",
MROUND(_xlfn.XLOOKUP(B29,'Base stats'!B:B,'Base stats'!BH:BH) * 0.01 * 2 + 0.05, 0.05)
)</f>
        <v>No</v>
      </c>
      <c r="U29" s="5" t="str">
        <f>IF(S29="No","No",IF(_xlfn.XLOOKUP(B29,'Base stats'!B:B,'Base stats'!U:U)="No","No",
MROUND(_xlfn.XLOOKUP(B29,'Base stats'!B:B,'Base stats'!BT:BT)/10000+0.01,0.01)
))</f>
        <v>No</v>
      </c>
      <c r="V29" s="4" t="str">
        <f>IF(S29="No","No",
MROUND(_xlfn.XLOOKUP(B29,'Base stats'!B:B,'Base stats'!BF:BF)^0.25
/((_xlfn.XLOOKUP(B29,'Base stats'!B:B,'Base stats'!BO:BO))*10)*_xlfn.XLOOKUP(_xlfn.XLOOKUP(B29,'Base stats'!B:B,'Base stats'!E:E),Groups!A:A,Groups!AE:AE)*150 + 0.5 + _xlfn.XLOOKUP(B29,'Base stats'!B:B,'Base stats'!BW:BW),
0.05))</f>
        <v>No</v>
      </c>
      <c r="W29" s="8">
        <f>MROUND(_xlfn.XLOOKUP(_xlfn.XLOOKUP(B29,'Base stats'!B:B,'Base stats'!E:E),Groups!A:A,Groups!BG:BG)*_xlfn.XLOOKUP(B29,'Base stats'!B:B,'Base stats'!C:C)^-0.165,0.05)</f>
        <v>0.2</v>
      </c>
      <c r="X29" s="1">
        <f>MROUND(_xlfn.XLOOKUP(_xlfn.XLOOKUP(B29,'Base stats'!B:B,'Base stats'!E:E),Groups!A:A,Groups!BH:BH)*_xlfn.XLOOKUP(B29,'Base stats'!B:B,'Base stats'!C:C)^0.165,0.05)</f>
        <v>0.25</v>
      </c>
      <c r="Y29" s="8">
        <f>MROUND(_xlfn.XLOOKUP(_xlfn.XLOOKUP(B29,'Base stats'!B:B,'Base stats'!E:E),Groups!A:A,Groups!BI:BI)*_xlfn.XLOOKUP(B29,'Base stats'!B:B,'Base stats'!C:C)^0.165,0.05)</f>
        <v>0.05</v>
      </c>
      <c r="Z29" s="18">
        <f>MROUND(_xlfn.XLOOKUP(B29,'Base stats'!B:B,'Base stats'!AQ:AQ)*_xlfn.XLOOKUP(_xlfn.XLOOKUP(B29,'Base stats'!B:B,'Base stats'!E:E),Groups!A:A,Groups!H:H)/1000,IF((_xlfn.XLOOKUP(B29,'Base stats'!B:B,'Base stats'!AQ:AQ)*_xlfn.XLOOKUP(_xlfn.XLOOKUP(B29,'Base stats'!B:B,'Base stats'!E:E),Groups!A:A,Groups!H:H)/1000)&gt;1,0.05,0.01))</f>
        <v>0.08</v>
      </c>
      <c r="AA29" s="18">
        <f>MROUND((1/2)*(_xlfn.XLOOKUP(_xlfn.XLOOKUP(B29,'Base stats'!B:B,'Base stats'!E:E),Groups!A:A,Groups!H:H)*_xlfn.XLOOKUP(_xlfn.XLOOKUP(B29,'Base stats'!B:B,'Base stats'!E:E),Groups!A:A,Groups!I:I))*_xlfn.XLOOKUP(B29,'Base stats'!B:B,'Base stats'!AQ:AQ)*0.01,0.05)</f>
        <v>0.30000000000000004</v>
      </c>
      <c r="AB29" s="18">
        <f>MROUND(250*(Animals!AO29+Animals!AP29),25)</f>
        <v>750</v>
      </c>
      <c r="AC29" s="18" t="str">
        <f>_xlfn.XLOOKUP(_xlfn.XLOOKUP(B29,'Base stats'!B:B,'Base stats'!E:E),Groups!A:A,Groups!BJ:BJ)</f>
        <v>Quadruped</v>
      </c>
    </row>
    <row r="30" spans="1:29" ht="16.5" thickTop="1" thickBot="1" x14ac:dyDescent="0.3">
      <c r="A30" s="16" t="str">
        <f>Animals!A30</f>
        <v>Pig</v>
      </c>
      <c r="B30" s="6" t="str">
        <f>Animals!B30</f>
        <v>Sus scrofa (domestic)</v>
      </c>
      <c r="C30" s="1" t="str">
        <f>Animals!C30</f>
        <v>&lt;li&gt;Pig&lt;/li&gt;</v>
      </c>
      <c r="D30" s="47">
        <f>MIN(MIN(6,_xlfn.XLOOKUP(A30,Animals!A:A,Animals!AO:AO))*20,MAX(MROUND(_xlfn.XLOOKUP(B30,'Base stats'!B:B,'Base stats'!BS:BS) * (_xlfn.XLOOKUP(B30,'Base stats'!B:B,'Base stats'!AO:AO)*5%)^0.9 / 21,0.1),0.05))</f>
        <v>7.4</v>
      </c>
      <c r="E30" s="11">
        <f>MROUND(_xlfn.XLOOKUP(B30,'Base stats'!B:B,'Base stats'!BG:BG) * 0.01 * 2 + 0.01, 0.05)</f>
        <v>6.7</v>
      </c>
      <c r="F30" s="7">
        <f>MROUND(_xlfn.XLOOKUP(B30,'Base stats'!B:B,'Base stats'!BD:BD)^0.25 / (_xlfn.XLOOKUP(B30,'Base stats'!B:B,'Base stats'!BK:BK) * 10) * 150 + 0.5 + _xlfn.XLOOKUP(B30,'Base stats'!B:B,'Base stats'!BW:BW), 0.05)</f>
        <v>1.8</v>
      </c>
      <c r="G30" s="3" t="str">
        <f>IF(Animals!S30="No","No",
IF(_xlfn.XLOOKUP(B30,'Base stats'!B:B,'Base stats'!U:U)="No",
MAX(MROUND(_xlfn.XLOOKUP(B30,'Base stats'!B:B,'Base stats'!BT:BT) * _xlfn.XLOOKUP(B30,'Base stats'!B:B,'Base stats'!BP:BP)^0.9 / 21 * _xlfn.XLOOKUP(B30,'Base stats'!B:B,'Base stats'!BX:BX),0.1),0.05),
MAX(MROUND(((MIN(10,_xlfn.XLOOKUP(B30,'Base stats'!B:B,'Base stats'!U:U)))^0.4*_xlfn.XLOOKUP(B30,'Base stats'!B:B,'Base stats'!BH:BH)^0.73)^0.6 * _xlfn.XLOOKUP(B30,'Base stats'!B:B,'Base stats'!BX:BX),0.1),0.05)
))</f>
        <v>No</v>
      </c>
      <c r="H30" s="11" t="str">
        <f>IF(G30="No","No",
MROUND(_xlfn.XLOOKUP(B30,'Base stats'!B:B,'Base stats'!BH:BH) * 0.01 * 2 + 0.05, 0.05)
)</f>
        <v>No</v>
      </c>
      <c r="I30" s="11" t="str">
        <f>IF(G30="No","No",IF(_xlfn.XLOOKUP(B30,'Base stats'!B:B,'Base stats'!U:U)="No","No",
MROUND(_xlfn.XLOOKUP(B30,'Base stats'!B:B,'Base stats'!BT:BT)/10000+0.01,0.01)
))</f>
        <v>No</v>
      </c>
      <c r="J30" s="4" t="str">
        <f>IF(G30="No","No",
MROUND(_xlfn.XLOOKUP(B30,'Base stats'!B:B,'Base stats'!BE:BE)^0.25
/((_xlfn.XLOOKUP(B30,'Base stats'!B:B,'Base stats'!BL:BL))*10)*_xlfn.XLOOKUP(_xlfn.XLOOKUP(B30,'Base stats'!B:B,'Base stats'!E:E),Groups!A:A,Groups!Q:Q)*150 + 0.5 + _xlfn.XLOOKUP(B30,'Base stats'!B:B,'Base stats'!BW:BW),
0.05))</f>
        <v>No</v>
      </c>
      <c r="K30" s="3" t="str">
        <f>IF(Animals!X30="No","No",
IF(_xlfn.XLOOKUP(_xlfn.XLOOKUP(B30,'Base stats'!B:B,'Base stats'!E:E),Groups!A:A,Groups!BD:BD)=1,
MAX(MROUND(_xlfn.XLOOKUP(B30,'Base stats'!B:B,'Base stats'!BU:BU) * _xlfn.XLOOKUP(B30,'Base stats'!B:B,'Base stats'!BQ:BQ)^0.9 / 21 *_xlfn.XLOOKUP(B30,'Base stats'!B:B,'Base stats'!BX:BX),0.1),0.05),
MAX(MROUND(((MIN(10,_xlfn.XLOOKUP(B30,'Base stats'!B:B,'Base stats'!W:W)))^0.4*_xlfn.XLOOKUP(B30,'Base stats'!B:B,'Base stats'!BI:BI)^0.73)^0.6 *_xlfn.XLOOKUP(B30,'Base stats'!B:B,'Base stats'!BX:BX),0.1),0.05)
))</f>
        <v>No</v>
      </c>
      <c r="L30" s="11" t="str">
        <f>IF(K30="No","No",
MROUND(_xlfn.XLOOKUP(B30,'Base stats'!B:B,'Base stats'!BI:BI) * 0.01 *2 + 0.05, 0.05)
)</f>
        <v>No</v>
      </c>
      <c r="M30" s="5" t="str">
        <f>IF(K30="No","No",IF(_xlfn.XLOOKUP(_xlfn.XLOOKUP(B30,'Base stats'!B:B,'Base stats'!E:E),Groups!A:A,Groups!BD:BD)=1,"No",
MROUND(_xlfn.XLOOKUP(B30,'Base stats'!B:B,'Base stats'!BU:BU)/10000+0.01,0.01)
))</f>
        <v>No</v>
      </c>
      <c r="N30" s="4" t="str">
        <f>IF(K30="No","No",
MROUND(
  _xlfn.XLOOKUP(B30,'Base stats'!B:B,'Base stats'!BC:BC)^0.25
  / (_xlfn.XLOOKUP(B30,'Base stats'!B:B,'Base stats'!BM:BM) * 10)
  * _xlfn.XLOOKUP(
      _xlfn.XLOOKUP(B30,'Base stats'!B:B,'Base stats'!E:E),
      Groups!A:A,
      Groups!V:V
    ) * 150
  + MIN(12, _xlfn.XLOOKUP(B30,'Base stats'!B:B,'Base stats'!W:W))^(1/IF(_xlfn.XLOOKUP(_xlfn.XLOOKUP(B30,'Base stats'!B:B,'Base stats'!E:E),Groups!A:A,Groups!U:U)=1,100,10)) + 0.5 + _xlfn.XLOOKUP(B30,'Base stats'!B:B,'Base stats'!BW:BW),
0.05))</f>
        <v>No</v>
      </c>
      <c r="O30" s="3">
        <f>IF(Animals!AD30="No","No",
MAX(MROUND((MIN(10,_xlfn.XLOOKUP(B30,'Base stats'!B:B,'Base stats'!V:V)*IF(_xlfn.XLOOKUP(_xlfn.XLOOKUP(B30,'Base stats'!B:B,'Base stats'!E:E),Groups!A:A,Groups!O:O)=0,1,0.33))^0.4*_xlfn.XLOOKUP(B30,'Base stats'!B:B,'Base stats'!BJ:BJ)^0.73)^0.6 *_xlfn.XLOOKUP(B30,'Base stats'!B:B,'Base stats'!BX:BX),0.1),0.05)
)</f>
        <v>21.6</v>
      </c>
      <c r="P30" s="11">
        <f>IF(O30="No","No",
MROUND(_xlfn.XLOOKUP(B30,'Base stats'!B:B,'Base stats'!BJ:BJ) * 0.01 * 2 + 0.05, 0.05)
)</f>
        <v>9.35</v>
      </c>
      <c r="Q30" s="5">
        <f>IF(O30="No","No",
MROUND(_xlfn.XLOOKUP(B30,'Base stats'!B:B,'Base stats'!BV:BV)/10000+0.01,0.01)
)</f>
        <v>0.22</v>
      </c>
      <c r="R30" s="4">
        <f>IF(O30="No","No",
MROUND(_xlfn.XLOOKUP(B30,'Base stats'!B:B,'Base stats'!BB:BB)^0.25
/((_xlfn.XLOOKUP(B30,'Base stats'!B:B,'Base stats'!BN:BN))*10)*_xlfn.XLOOKUP(_xlfn.XLOOKUP(B30,'Base stats'!B:B,'Base stats'!E:E),Groups!A:A,Groups!Z:Z)*150 + 0.5 + _xlfn.XLOOKUP(B30,'Base stats'!B:B,'Base stats'!BW:BW),
0.05))</f>
        <v>3.3000000000000003</v>
      </c>
      <c r="S30" s="3" t="str">
        <f>IF(Animals!AI30="No","No",
IF(_xlfn.XLOOKUP(B30,'Base stats'!B:B,'Base stats'!U:U)="No",
MAX(MROUND(_xlfn.XLOOKUP(B30,'Base stats'!B:B,'Base stats'!BT:BT) * _xlfn.XLOOKUP(B30,'Base stats'!B:B,'Base stats'!BP:BP)^0.9 / 21 * _xlfn.XLOOKUP(B30,'Base stats'!B:B,'Base stats'!BX:BX),0.1),0.05),
MAX(MROUND(((MIN(12,_xlfn.XLOOKUP(B30,'Base stats'!B:B,'Base stats'!U:U)))^0.4*_xlfn.XLOOKUP(B30,'Base stats'!B:B,'Base stats'!BH:BH)^0.73)^0.6 * _xlfn.XLOOKUP(B30,'Base stats'!B:B,'Base stats'!BX:BX),0.1),0.05)
))</f>
        <v>No</v>
      </c>
      <c r="T30" s="11" t="str">
        <f>IF(S30="No","No",
MROUND(_xlfn.XLOOKUP(B30,'Base stats'!B:B,'Base stats'!BH:BH) * 0.01 * 2 + 0.05, 0.05)
)</f>
        <v>No</v>
      </c>
      <c r="U30" s="5" t="str">
        <f>IF(S30="No","No",IF(_xlfn.XLOOKUP(B30,'Base stats'!B:B,'Base stats'!U:U)="No","No",
MROUND(_xlfn.XLOOKUP(B30,'Base stats'!B:B,'Base stats'!BT:BT)/10000+0.01,0.01)
))</f>
        <v>No</v>
      </c>
      <c r="V30" s="4" t="str">
        <f>IF(S30="No","No",
MROUND(_xlfn.XLOOKUP(B30,'Base stats'!B:B,'Base stats'!BF:BF)^0.25
/((_xlfn.XLOOKUP(B30,'Base stats'!B:B,'Base stats'!BO:BO))*10)*_xlfn.XLOOKUP(_xlfn.XLOOKUP(B30,'Base stats'!B:B,'Base stats'!E:E),Groups!A:A,Groups!AE:AE)*150 + 0.5 + _xlfn.XLOOKUP(B30,'Base stats'!B:B,'Base stats'!BW:BW),
0.05))</f>
        <v>No</v>
      </c>
      <c r="W30" s="8">
        <f>MROUND(_xlfn.XLOOKUP(_xlfn.XLOOKUP(B30,'Base stats'!B:B,'Base stats'!E:E),Groups!A:A,Groups!BG:BG)*_xlfn.XLOOKUP(B30,'Base stats'!B:B,'Base stats'!C:C)^-0.165,0.05)</f>
        <v>0.2</v>
      </c>
      <c r="X30" s="1">
        <f>MROUND(_xlfn.XLOOKUP(_xlfn.XLOOKUP(B30,'Base stats'!B:B,'Base stats'!E:E),Groups!A:A,Groups!BH:BH)*_xlfn.XLOOKUP(B30,'Base stats'!B:B,'Base stats'!C:C)^0.165,0.05)</f>
        <v>0</v>
      </c>
      <c r="Y30" s="8">
        <f>MROUND(_xlfn.XLOOKUP(_xlfn.XLOOKUP(B30,'Base stats'!B:B,'Base stats'!E:E),Groups!A:A,Groups!BI:BI)*_xlfn.XLOOKUP(B30,'Base stats'!B:B,'Base stats'!C:C)^0.165,0.05)</f>
        <v>0</v>
      </c>
      <c r="Z30" s="18">
        <f>MROUND(_xlfn.XLOOKUP(B30,'Base stats'!B:B,'Base stats'!AQ:AQ)*_xlfn.XLOOKUP(_xlfn.XLOOKUP(B30,'Base stats'!B:B,'Base stats'!E:E),Groups!A:A,Groups!H:H)/1000,IF((_xlfn.XLOOKUP(B30,'Base stats'!B:B,'Base stats'!AQ:AQ)*_xlfn.XLOOKUP(_xlfn.XLOOKUP(B30,'Base stats'!B:B,'Base stats'!E:E),Groups!A:A,Groups!H:H)/1000)&gt;1,0.05,0.01))</f>
        <v>0.09</v>
      </c>
      <c r="AA30" s="18">
        <f>MROUND((1/2)*(_xlfn.XLOOKUP(_xlfn.XLOOKUP(B30,'Base stats'!B:B,'Base stats'!E:E),Groups!A:A,Groups!H:H)*_xlfn.XLOOKUP(_xlfn.XLOOKUP(B30,'Base stats'!B:B,'Base stats'!E:E),Groups!A:A,Groups!I:I))*_xlfn.XLOOKUP(B30,'Base stats'!B:B,'Base stats'!AQ:AQ)*0.01,0.05)</f>
        <v>0.4</v>
      </c>
      <c r="AB30" s="18">
        <f>MROUND(250*(Animals!AO30+Animals!AP30),25)</f>
        <v>1125</v>
      </c>
      <c r="AC30" s="18" t="str">
        <f>_xlfn.XLOOKUP(_xlfn.XLOOKUP(B30,'Base stats'!B:B,'Base stats'!E:E),Groups!A:A,Groups!BJ:BJ)</f>
        <v>Quadruped</v>
      </c>
    </row>
    <row r="31" spans="1:29" ht="16.5" thickTop="1" thickBot="1" x14ac:dyDescent="0.3">
      <c r="A31" s="16" t="str">
        <f>Animals!A31</f>
        <v>Monkey</v>
      </c>
      <c r="B31" s="6" t="str">
        <f>Animals!B31</f>
        <v>Macaca mulatta</v>
      </c>
      <c r="C31" s="1" t="str">
        <f>Animals!C31</f>
        <v>&lt;li&gt;Monkey&lt;/li&gt;</v>
      </c>
      <c r="D31" s="47">
        <f>MIN(MIN(6,_xlfn.XLOOKUP(A31,Animals!A:A,Animals!AO:AO))*20,MAX(MROUND(_xlfn.XLOOKUP(B31,'Base stats'!B:B,'Base stats'!BS:BS) * (_xlfn.XLOOKUP(B31,'Base stats'!B:B,'Base stats'!AO:AO)*5%)^0.9 / 21,0.1),0.05))</f>
        <v>0.30000000000000004</v>
      </c>
      <c r="E31" s="11">
        <f>MROUND(_xlfn.XLOOKUP(B31,'Base stats'!B:B,'Base stats'!BG:BG) * 0.01 * 2 + 0.01, 0.05)</f>
        <v>0.25</v>
      </c>
      <c r="F31" s="7">
        <f>MROUND(_xlfn.XLOOKUP(B31,'Base stats'!B:B,'Base stats'!BD:BD)^0.25 / (_xlfn.XLOOKUP(B31,'Base stats'!B:B,'Base stats'!BK:BK) * 10) * 150 + 0.5 + _xlfn.XLOOKUP(B31,'Base stats'!B:B,'Base stats'!BW:BW), 0.05)</f>
        <v>1.35</v>
      </c>
      <c r="G31" s="3" t="str">
        <f>IF(Animals!S31="No","No",
IF(_xlfn.XLOOKUP(B31,'Base stats'!B:B,'Base stats'!U:U)="No",
MAX(MROUND(_xlfn.XLOOKUP(B31,'Base stats'!B:B,'Base stats'!BT:BT) * _xlfn.XLOOKUP(B31,'Base stats'!B:B,'Base stats'!BP:BP)^0.9 / 21 * _xlfn.XLOOKUP(B31,'Base stats'!B:B,'Base stats'!BX:BX),0.1),0.05),
MAX(MROUND(((MIN(10,_xlfn.XLOOKUP(B31,'Base stats'!B:B,'Base stats'!U:U)))^0.4*_xlfn.XLOOKUP(B31,'Base stats'!B:B,'Base stats'!BH:BH)^0.73)^0.6 * _xlfn.XLOOKUP(B31,'Base stats'!B:B,'Base stats'!BX:BX),0.1),0.05)
))</f>
        <v>No</v>
      </c>
      <c r="H31" s="11" t="str">
        <f>IF(G31="No","No",
MROUND(_xlfn.XLOOKUP(B31,'Base stats'!B:B,'Base stats'!BH:BH) * 0.01 * 2 + 0.05, 0.05)
)</f>
        <v>No</v>
      </c>
      <c r="I31" s="11" t="str">
        <f>IF(G31="No","No",IF(_xlfn.XLOOKUP(B31,'Base stats'!B:B,'Base stats'!U:U)="No","No",
MROUND(_xlfn.XLOOKUP(B31,'Base stats'!B:B,'Base stats'!BT:BT)/10000+0.01,0.01)
))</f>
        <v>No</v>
      </c>
      <c r="J31" s="4" t="str">
        <f>IF(G31="No","No",
MROUND(_xlfn.XLOOKUP(B31,'Base stats'!B:B,'Base stats'!BE:BE)^0.25
/((_xlfn.XLOOKUP(B31,'Base stats'!B:B,'Base stats'!BL:BL))*10)*_xlfn.XLOOKUP(_xlfn.XLOOKUP(B31,'Base stats'!B:B,'Base stats'!E:E),Groups!A:A,Groups!Q:Q)*150 + 0.5 + _xlfn.XLOOKUP(B31,'Base stats'!B:B,'Base stats'!BW:BW),
0.05))</f>
        <v>No</v>
      </c>
      <c r="K31" s="3" t="str">
        <f>IF(Animals!X31="No","No",
IF(_xlfn.XLOOKUP(_xlfn.XLOOKUP(B31,'Base stats'!B:B,'Base stats'!E:E),Groups!A:A,Groups!BD:BD)=1,
MAX(MROUND(_xlfn.XLOOKUP(B31,'Base stats'!B:B,'Base stats'!BU:BU) * _xlfn.XLOOKUP(B31,'Base stats'!B:B,'Base stats'!BQ:BQ)^0.9 / 21 *_xlfn.XLOOKUP(B31,'Base stats'!B:B,'Base stats'!BX:BX),0.1),0.05),
MAX(MROUND(((MIN(10,_xlfn.XLOOKUP(B31,'Base stats'!B:B,'Base stats'!W:W)))^0.4*_xlfn.XLOOKUP(B31,'Base stats'!B:B,'Base stats'!BI:BI)^0.73)^0.6 *_xlfn.XLOOKUP(B31,'Base stats'!B:B,'Base stats'!BX:BX),0.1),0.05)
))</f>
        <v>No</v>
      </c>
      <c r="L31" s="11" t="str">
        <f>IF(K31="No","No",
MROUND(_xlfn.XLOOKUP(B31,'Base stats'!B:B,'Base stats'!BI:BI) * 0.01 *2 + 0.05, 0.05)
)</f>
        <v>No</v>
      </c>
      <c r="M31" s="5" t="str">
        <f>IF(K31="No","No",IF(_xlfn.XLOOKUP(_xlfn.XLOOKUP(B31,'Base stats'!B:B,'Base stats'!E:E),Groups!A:A,Groups!BD:BD)=1,"No",
MROUND(_xlfn.XLOOKUP(B31,'Base stats'!B:B,'Base stats'!BU:BU)/10000+0.01,0.01)
))</f>
        <v>No</v>
      </c>
      <c r="N31" s="4" t="str">
        <f>IF(K31="No","No",
MROUND(
  _xlfn.XLOOKUP(B31,'Base stats'!B:B,'Base stats'!BC:BC)^0.25
  / (_xlfn.XLOOKUP(B31,'Base stats'!B:B,'Base stats'!BM:BM) * 10)
  * _xlfn.XLOOKUP(
      _xlfn.XLOOKUP(B31,'Base stats'!B:B,'Base stats'!E:E),
      Groups!A:A,
      Groups!V:V
    ) * 150
  + MIN(12, _xlfn.XLOOKUP(B31,'Base stats'!B:B,'Base stats'!W:W))^(1/IF(_xlfn.XLOOKUP(_xlfn.XLOOKUP(B31,'Base stats'!B:B,'Base stats'!E:E),Groups!A:A,Groups!U:U)=1,100,10)) + 0.5 + _xlfn.XLOOKUP(B31,'Base stats'!B:B,'Base stats'!BW:BW),
0.05))</f>
        <v>No</v>
      </c>
      <c r="O31" s="3">
        <f>IF(Animals!AD31="No","No",
MAX(MROUND((MIN(10,_xlfn.XLOOKUP(B31,'Base stats'!B:B,'Base stats'!V:V)*IF(_xlfn.XLOOKUP(_xlfn.XLOOKUP(B31,'Base stats'!B:B,'Base stats'!E:E),Groups!A:A,Groups!O:O)=0,1,0.33))^0.4*_xlfn.XLOOKUP(B31,'Base stats'!B:B,'Base stats'!BJ:BJ)^0.73)^0.6 *_xlfn.XLOOKUP(B31,'Base stats'!B:B,'Base stats'!BX:BX),0.1),0.05)
)</f>
        <v>4.3</v>
      </c>
      <c r="P31" s="11">
        <f>IF(O31="No","No",
MROUND(_xlfn.XLOOKUP(B31,'Base stats'!B:B,'Base stats'!BJ:BJ) * 0.01 * 2 + 0.05, 0.05)
)</f>
        <v>0.45</v>
      </c>
      <c r="Q31" s="5">
        <f>IF(O31="No","No",
MROUND(_xlfn.XLOOKUP(B31,'Base stats'!B:B,'Base stats'!BV:BV)/10000+0.01,0.01)
)</f>
        <v>0.08</v>
      </c>
      <c r="R31" s="4">
        <f>IF(O31="No","No",
MROUND(_xlfn.XLOOKUP(B31,'Base stats'!B:B,'Base stats'!BB:BB)^0.25
/((_xlfn.XLOOKUP(B31,'Base stats'!B:B,'Base stats'!BN:BN))*10)*_xlfn.XLOOKUP(_xlfn.XLOOKUP(B31,'Base stats'!B:B,'Base stats'!E:E),Groups!A:A,Groups!Z:Z)*150 + 0.5 + _xlfn.XLOOKUP(B31,'Base stats'!B:B,'Base stats'!BW:BW),
0.05))</f>
        <v>1.9000000000000001</v>
      </c>
      <c r="S31" s="3">
        <f>IF(Animals!AI31="No","No",
IF(_xlfn.XLOOKUP(B31,'Base stats'!B:B,'Base stats'!U:U)="No",
MAX(MROUND(_xlfn.XLOOKUP(B31,'Base stats'!B:B,'Base stats'!BT:BT) * _xlfn.XLOOKUP(B31,'Base stats'!B:B,'Base stats'!BP:BP)^0.9 / 21 * _xlfn.XLOOKUP(B31,'Base stats'!B:B,'Base stats'!BX:BX),0.1),0.05),
MAX(MROUND(((MIN(12,_xlfn.XLOOKUP(B31,'Base stats'!B:B,'Base stats'!U:U)))^0.4*_xlfn.XLOOKUP(B31,'Base stats'!B:B,'Base stats'!BH:BH)^0.73)^0.6 * _xlfn.XLOOKUP(B31,'Base stats'!B:B,'Base stats'!BX:BX),0.1),0.05)
))</f>
        <v>0.8</v>
      </c>
      <c r="T31" s="11">
        <f>IF(S31="No","No",
MROUND(_xlfn.XLOOKUP(B31,'Base stats'!B:B,'Base stats'!BH:BH) * 0.01 * 2 + 0.05, 0.05)
)</f>
        <v>0.35000000000000003</v>
      </c>
      <c r="U31" s="5" t="str">
        <f>IF(S31="No","No",IF(_xlfn.XLOOKUP(B31,'Base stats'!B:B,'Base stats'!U:U)="No","No",
MROUND(_xlfn.XLOOKUP(B31,'Base stats'!B:B,'Base stats'!BT:BT)/10000+0.01,0.01)
))</f>
        <v>No</v>
      </c>
      <c r="V31" s="4">
        <f>IF(S31="No","No",
MROUND(_xlfn.XLOOKUP(B31,'Base stats'!B:B,'Base stats'!BF:BF)^0.25
/((_xlfn.XLOOKUP(B31,'Base stats'!B:B,'Base stats'!BO:BO))*10)*_xlfn.XLOOKUP(_xlfn.XLOOKUP(B31,'Base stats'!B:B,'Base stats'!E:E),Groups!A:A,Groups!AE:AE)*150 + 0.5 + _xlfn.XLOOKUP(B31,'Base stats'!B:B,'Base stats'!BW:BW),
0.05))</f>
        <v>1.1500000000000001</v>
      </c>
      <c r="W31" s="8">
        <f>MROUND(_xlfn.XLOOKUP(_xlfn.XLOOKUP(B31,'Base stats'!B:B,'Base stats'!E:E),Groups!A:A,Groups!BG:BG)*_xlfn.XLOOKUP(B31,'Base stats'!B:B,'Base stats'!C:C)^-0.165,0.05)</f>
        <v>0.75</v>
      </c>
      <c r="X31" s="1">
        <f>MROUND(_xlfn.XLOOKUP(_xlfn.XLOOKUP(B31,'Base stats'!B:B,'Base stats'!E:E),Groups!A:A,Groups!BH:BH)*_xlfn.XLOOKUP(B31,'Base stats'!B:B,'Base stats'!C:C)^0.165,0.05)</f>
        <v>0.15000000000000002</v>
      </c>
      <c r="Y31" s="8">
        <f>MROUND(_xlfn.XLOOKUP(_xlfn.XLOOKUP(B31,'Base stats'!B:B,'Base stats'!E:E),Groups!A:A,Groups!BI:BI)*_xlfn.XLOOKUP(B31,'Base stats'!B:B,'Base stats'!C:C)^0.165,0.05)</f>
        <v>0.05</v>
      </c>
      <c r="Z31" s="18">
        <f>MROUND(_xlfn.XLOOKUP(B31,'Base stats'!B:B,'Base stats'!AQ:AQ)*_xlfn.XLOOKUP(_xlfn.XLOOKUP(B31,'Base stats'!B:B,'Base stats'!E:E),Groups!A:A,Groups!H:H)/1000,IF((_xlfn.XLOOKUP(B31,'Base stats'!B:B,'Base stats'!AQ:AQ)*_xlfn.XLOOKUP(_xlfn.XLOOKUP(B31,'Base stats'!B:B,'Base stats'!E:E),Groups!A:A,Groups!H:H)/1000)&gt;1,0.05,0.01))</f>
        <v>0.03</v>
      </c>
      <c r="AA31" s="18">
        <f>MROUND((1/2)*(_xlfn.XLOOKUP(_xlfn.XLOOKUP(B31,'Base stats'!B:B,'Base stats'!E:E),Groups!A:A,Groups!H:H)*_xlfn.XLOOKUP(_xlfn.XLOOKUP(B31,'Base stats'!B:B,'Base stats'!E:E),Groups!A:A,Groups!I:I))*_xlfn.XLOOKUP(B31,'Base stats'!B:B,'Base stats'!AQ:AQ)*0.01,0.05)</f>
        <v>0.15000000000000002</v>
      </c>
      <c r="AB31" s="18">
        <f>MROUND(250*(Animals!AO31+Animals!AP31),25)</f>
        <v>175</v>
      </c>
      <c r="AC31" s="18" t="str">
        <f>_xlfn.XLOOKUP(_xlfn.XLOOKUP(B31,'Base stats'!B:B,'Base stats'!E:E),Groups!A:A,Groups!BJ:BJ)</f>
        <v>Quadruped</v>
      </c>
    </row>
    <row r="32" spans="1:29" ht="16.5" thickTop="1" thickBot="1" x14ac:dyDescent="0.3">
      <c r="A32" s="16" t="str">
        <f>Animals!A32</f>
        <v>Iguana</v>
      </c>
      <c r="B32" s="6" t="str">
        <f>Animals!B32</f>
        <v>Iguana iguana</v>
      </c>
      <c r="C32" s="1" t="str">
        <f>Animals!C32</f>
        <v>&lt;li&gt;Iguana&lt;/li&gt;</v>
      </c>
      <c r="D32" s="47">
        <f>MIN(MIN(6,_xlfn.XLOOKUP(A32,Animals!A:A,Animals!AO:AO))*20,MAX(MROUND(_xlfn.XLOOKUP(B32,'Base stats'!B:B,'Base stats'!BS:BS) * (_xlfn.XLOOKUP(B32,'Base stats'!B:B,'Base stats'!AO:AO)*5%)^0.9 / 21,0.1),0.05))</f>
        <v>0.1</v>
      </c>
      <c r="E32" s="11">
        <f>MROUND(_xlfn.XLOOKUP(B32,'Base stats'!B:B,'Base stats'!BG:BG) * 0.01 * 2 + 0.01, 0.05)</f>
        <v>0.05</v>
      </c>
      <c r="F32" s="7">
        <f>MROUND(_xlfn.XLOOKUP(B32,'Base stats'!B:B,'Base stats'!BD:BD)^0.25 / (_xlfn.XLOOKUP(B32,'Base stats'!B:B,'Base stats'!BK:BK) * 10) * 150 + 0.5 + _xlfn.XLOOKUP(B32,'Base stats'!B:B,'Base stats'!BW:BW), 0.05)</f>
        <v>1.2000000000000002</v>
      </c>
      <c r="G32" s="3" t="str">
        <f>IF(Animals!S32="No","No",
IF(_xlfn.XLOOKUP(B32,'Base stats'!B:B,'Base stats'!U:U)="No",
MAX(MROUND(_xlfn.XLOOKUP(B32,'Base stats'!B:B,'Base stats'!BT:BT) * _xlfn.XLOOKUP(B32,'Base stats'!B:B,'Base stats'!BP:BP)^0.9 / 21 * _xlfn.XLOOKUP(B32,'Base stats'!B:B,'Base stats'!BX:BX),0.1),0.05),
MAX(MROUND(((MIN(10,_xlfn.XLOOKUP(B32,'Base stats'!B:B,'Base stats'!U:U)))^0.4*_xlfn.XLOOKUP(B32,'Base stats'!B:B,'Base stats'!BH:BH)^0.73)^0.6 * _xlfn.XLOOKUP(B32,'Base stats'!B:B,'Base stats'!BX:BX),0.1),0.05)
))</f>
        <v>No</v>
      </c>
      <c r="H32" s="11" t="str">
        <f>IF(G32="No","No",
MROUND(_xlfn.XLOOKUP(B32,'Base stats'!B:B,'Base stats'!BH:BH) * 0.01 * 2 + 0.05, 0.05)
)</f>
        <v>No</v>
      </c>
      <c r="I32" s="11" t="str">
        <f>IF(G32="No","No",IF(_xlfn.XLOOKUP(B32,'Base stats'!B:B,'Base stats'!U:U)="No","No",
MROUND(_xlfn.XLOOKUP(B32,'Base stats'!B:B,'Base stats'!BT:BT)/10000+0.01,0.01)
))</f>
        <v>No</v>
      </c>
      <c r="J32" s="4" t="str">
        <f>IF(G32="No","No",
MROUND(_xlfn.XLOOKUP(B32,'Base stats'!B:B,'Base stats'!BE:BE)^0.25
/((_xlfn.XLOOKUP(B32,'Base stats'!B:B,'Base stats'!BL:BL))*10)*_xlfn.XLOOKUP(_xlfn.XLOOKUP(B32,'Base stats'!B:B,'Base stats'!E:E),Groups!A:A,Groups!Q:Q)*150 + 0.5 + _xlfn.XLOOKUP(B32,'Base stats'!B:B,'Base stats'!BW:BW),
0.05))</f>
        <v>No</v>
      </c>
      <c r="K32" s="3" t="str">
        <f>IF(Animals!X32="No","No",
IF(_xlfn.XLOOKUP(_xlfn.XLOOKUP(B32,'Base stats'!B:B,'Base stats'!E:E),Groups!A:A,Groups!BD:BD)=1,
MAX(MROUND(_xlfn.XLOOKUP(B32,'Base stats'!B:B,'Base stats'!BU:BU) * _xlfn.XLOOKUP(B32,'Base stats'!B:B,'Base stats'!BQ:BQ)^0.9 / 21 *_xlfn.XLOOKUP(B32,'Base stats'!B:B,'Base stats'!BX:BX),0.1),0.05),
MAX(MROUND(((MIN(10,_xlfn.XLOOKUP(B32,'Base stats'!B:B,'Base stats'!W:W)))^0.4*_xlfn.XLOOKUP(B32,'Base stats'!B:B,'Base stats'!BI:BI)^0.73)^0.6 *_xlfn.XLOOKUP(B32,'Base stats'!B:B,'Base stats'!BX:BX),0.1),0.05)
))</f>
        <v>No</v>
      </c>
      <c r="L32" s="11" t="str">
        <f>IF(K32="No","No",
MROUND(_xlfn.XLOOKUP(B32,'Base stats'!B:B,'Base stats'!BI:BI) * 0.01 *2 + 0.05, 0.05)
)</f>
        <v>No</v>
      </c>
      <c r="M32" s="5" t="str">
        <f>IF(K32="No","No",IF(_xlfn.XLOOKUP(_xlfn.XLOOKUP(B32,'Base stats'!B:B,'Base stats'!E:E),Groups!A:A,Groups!BD:BD)=1,"No",
MROUND(_xlfn.XLOOKUP(B32,'Base stats'!B:B,'Base stats'!BU:BU)/10000+0.01,0.01)
))</f>
        <v>No</v>
      </c>
      <c r="N32" s="4" t="str">
        <f>IF(K32="No","No",
MROUND(
  _xlfn.XLOOKUP(B32,'Base stats'!B:B,'Base stats'!BC:BC)^0.25
  / (_xlfn.XLOOKUP(B32,'Base stats'!B:B,'Base stats'!BM:BM) * 10)
  * _xlfn.XLOOKUP(
      _xlfn.XLOOKUP(B32,'Base stats'!B:B,'Base stats'!E:E),
      Groups!A:A,
      Groups!V:V
    ) * 150
  + MIN(12, _xlfn.XLOOKUP(B32,'Base stats'!B:B,'Base stats'!W:W))^(1/IF(_xlfn.XLOOKUP(_xlfn.XLOOKUP(B32,'Base stats'!B:B,'Base stats'!E:E),Groups!A:A,Groups!U:U)=1,100,10)) + 0.5 + _xlfn.XLOOKUP(B32,'Base stats'!B:B,'Base stats'!BW:BW),
0.05))</f>
        <v>No</v>
      </c>
      <c r="O32" s="3">
        <f>IF(Animals!AD32="No","No",
MAX(MROUND((MIN(10,_xlfn.XLOOKUP(B32,'Base stats'!B:B,'Base stats'!V:V)*IF(_xlfn.XLOOKUP(_xlfn.XLOOKUP(B32,'Base stats'!B:B,'Base stats'!E:E),Groups!A:A,Groups!O:O)=0,1,0.33))^0.4*_xlfn.XLOOKUP(B32,'Base stats'!B:B,'Base stats'!BJ:BJ)^0.73)^0.6 *_xlfn.XLOOKUP(B32,'Base stats'!B:B,'Base stats'!BX:BX),0.1),0.05)
)</f>
        <v>3.6</v>
      </c>
      <c r="P32" s="11">
        <f>IF(O32="No","No",
MROUND(_xlfn.XLOOKUP(B32,'Base stats'!B:B,'Base stats'!BJ:BJ) * 0.01 * 2 + 0.05, 0.05)
)</f>
        <v>0.5</v>
      </c>
      <c r="Q32" s="5">
        <f>IF(O32="No","No",
MROUND(_xlfn.XLOOKUP(B32,'Base stats'!B:B,'Base stats'!BV:BV)/10000+0.01,0.01)
)</f>
        <v>0.14000000000000001</v>
      </c>
      <c r="R32" s="4">
        <f>IF(O32="No","No",
MROUND(_xlfn.XLOOKUP(B32,'Base stats'!B:B,'Base stats'!BB:BB)^0.25
/((_xlfn.XLOOKUP(B32,'Base stats'!B:B,'Base stats'!BN:BN))*10)*_xlfn.XLOOKUP(_xlfn.XLOOKUP(B32,'Base stats'!B:B,'Base stats'!E:E),Groups!A:A,Groups!Z:Z)*150 + 0.5 + _xlfn.XLOOKUP(B32,'Base stats'!B:B,'Base stats'!BW:BW),
0.05))</f>
        <v>2.25</v>
      </c>
      <c r="S32" s="3">
        <f>IF(Animals!AI32="No","No",
IF(_xlfn.XLOOKUP(B32,'Base stats'!B:B,'Base stats'!U:U)="No",
MAX(MROUND(_xlfn.XLOOKUP(B32,'Base stats'!B:B,'Base stats'!BT:BT) * _xlfn.XLOOKUP(B32,'Base stats'!B:B,'Base stats'!BP:BP)^0.9 / 21 * _xlfn.XLOOKUP(B32,'Base stats'!B:B,'Base stats'!BX:BX),0.1),0.05),
MAX(MROUND(((MIN(12,_xlfn.XLOOKUP(B32,'Base stats'!B:B,'Base stats'!U:U)))^0.4*_xlfn.XLOOKUP(B32,'Base stats'!B:B,'Base stats'!BH:BH)^0.73)^0.6 * _xlfn.XLOOKUP(B32,'Base stats'!B:B,'Base stats'!BX:BX),0.1),0.05)
))</f>
        <v>2</v>
      </c>
      <c r="T32" s="11">
        <f>IF(S32="No","No",
MROUND(_xlfn.XLOOKUP(B32,'Base stats'!B:B,'Base stats'!BH:BH) * 0.01 * 2 + 0.05, 0.05)
)</f>
        <v>0.15000000000000002</v>
      </c>
      <c r="U32" s="5">
        <f>IF(S32="No","No",IF(_xlfn.XLOOKUP(B32,'Base stats'!B:B,'Base stats'!U:U)="No","No",
MROUND(_xlfn.XLOOKUP(B32,'Base stats'!B:B,'Base stats'!BT:BT)/10000+0.01,0.01)
))</f>
        <v>0.04</v>
      </c>
      <c r="V32" s="4">
        <f>IF(S32="No","No",
MROUND(_xlfn.XLOOKUP(B32,'Base stats'!B:B,'Base stats'!BF:BF)^0.25
/((_xlfn.XLOOKUP(B32,'Base stats'!B:B,'Base stats'!BO:BO))*10)*_xlfn.XLOOKUP(_xlfn.XLOOKUP(B32,'Base stats'!B:B,'Base stats'!E:E),Groups!A:A,Groups!AE:AE)*150 + 0.5 + _xlfn.XLOOKUP(B32,'Base stats'!B:B,'Base stats'!BW:BW),
0.05))</f>
        <v>1.05</v>
      </c>
      <c r="W32" s="8">
        <f>MROUND(_xlfn.XLOOKUP(_xlfn.XLOOKUP(B32,'Base stats'!B:B,'Base stats'!E:E),Groups!A:A,Groups!BG:BG)*_xlfn.XLOOKUP(B32,'Base stats'!B:B,'Base stats'!C:C)^-0.165,0.05)</f>
        <v>0.45</v>
      </c>
      <c r="X32" s="1">
        <f>MROUND(_xlfn.XLOOKUP(_xlfn.XLOOKUP(B32,'Base stats'!B:B,'Base stats'!E:E),Groups!A:A,Groups!BH:BH)*_xlfn.XLOOKUP(B32,'Base stats'!B:B,'Base stats'!C:C)^0.165,0.05)</f>
        <v>0</v>
      </c>
      <c r="Y32" s="8">
        <f>MROUND(_xlfn.XLOOKUP(_xlfn.XLOOKUP(B32,'Base stats'!B:B,'Base stats'!E:E),Groups!A:A,Groups!BI:BI)*_xlfn.XLOOKUP(B32,'Base stats'!B:B,'Base stats'!C:C)^0.165,0.05)</f>
        <v>0</v>
      </c>
      <c r="Z32" s="18">
        <f>MROUND(_xlfn.XLOOKUP(B32,'Base stats'!B:B,'Base stats'!AQ:AQ)*_xlfn.XLOOKUP(_xlfn.XLOOKUP(B32,'Base stats'!B:B,'Base stats'!E:E),Groups!A:A,Groups!H:H)/1000,IF((_xlfn.XLOOKUP(B32,'Base stats'!B:B,'Base stats'!AQ:AQ)*_xlfn.XLOOKUP(_xlfn.XLOOKUP(B32,'Base stats'!B:B,'Base stats'!E:E),Groups!A:A,Groups!H:H)/1000)&gt;1,0.05,0.01))</f>
        <v>0.02</v>
      </c>
      <c r="AA32" s="18">
        <f>MROUND((1/2)*(_xlfn.XLOOKUP(_xlfn.XLOOKUP(B32,'Base stats'!B:B,'Base stats'!E:E),Groups!A:A,Groups!H:H)*_xlfn.XLOOKUP(_xlfn.XLOOKUP(B32,'Base stats'!B:B,'Base stats'!E:E),Groups!A:A,Groups!I:I))*_xlfn.XLOOKUP(B32,'Base stats'!B:B,'Base stats'!AQ:AQ)*0.01,0.05)</f>
        <v>0.1</v>
      </c>
      <c r="AB32" s="18">
        <f>MROUND(250*(Animals!AO32+Animals!AP32),25)</f>
        <v>125</v>
      </c>
      <c r="AC32" s="18" t="str">
        <f>_xlfn.XLOOKUP(_xlfn.XLOOKUP(B32,'Base stats'!B:B,'Base stats'!E:E),Groups!A:A,Groups!BJ:BJ)</f>
        <v>QuadrupedLow</v>
      </c>
    </row>
    <row r="33" spans="1:29" ht="16.5" thickTop="1" thickBot="1" x14ac:dyDescent="0.3">
      <c r="A33" s="16" t="str">
        <f>Animals!A33</f>
        <v>Cobra</v>
      </c>
      <c r="B33" s="6" t="str">
        <f>Animals!B33</f>
        <v>Ophiophagus hannah</v>
      </c>
      <c r="C33" s="1" t="str">
        <f>Animals!C33</f>
        <v>&lt;li&gt;Cobra&lt;/li&gt;</v>
      </c>
      <c r="D33" s="47">
        <f>MIN(MIN(6,_xlfn.XLOOKUP(A33,Animals!A:A,Animals!AO:AO))*20,MAX(MROUND(_xlfn.XLOOKUP(B33,'Base stats'!B:B,'Base stats'!BS:BS) * (_xlfn.XLOOKUP(B33,'Base stats'!B:B,'Base stats'!AO:AO)*5%)^0.9 / 21,0.1),0.05))</f>
        <v>0.4</v>
      </c>
      <c r="E33" s="11">
        <f>MROUND(_xlfn.XLOOKUP(B33,'Base stats'!B:B,'Base stats'!BG:BG) * 0.01 * 2 + 0.01, 0.05)</f>
        <v>0.25</v>
      </c>
      <c r="F33" s="7">
        <f>MROUND(_xlfn.XLOOKUP(B33,'Base stats'!B:B,'Base stats'!BD:BD)^0.25 / (_xlfn.XLOOKUP(B33,'Base stats'!B:B,'Base stats'!BK:BK) * 10) * 150 + 0.5 + _xlfn.XLOOKUP(B33,'Base stats'!B:B,'Base stats'!BW:BW), 0.05)</f>
        <v>1.55</v>
      </c>
      <c r="G33" s="3" t="str">
        <f>IF(Animals!S33="No","No",
IF(_xlfn.XLOOKUP(B33,'Base stats'!B:B,'Base stats'!U:U)="No",
MAX(MROUND(_xlfn.XLOOKUP(B33,'Base stats'!B:B,'Base stats'!BT:BT) * _xlfn.XLOOKUP(B33,'Base stats'!B:B,'Base stats'!BP:BP)^0.9 / 21 * _xlfn.XLOOKUP(B33,'Base stats'!B:B,'Base stats'!BX:BX),0.1),0.05),
MAX(MROUND(((MIN(10,_xlfn.XLOOKUP(B33,'Base stats'!B:B,'Base stats'!U:U)))^0.4*_xlfn.XLOOKUP(B33,'Base stats'!B:B,'Base stats'!BH:BH)^0.73)^0.6 * _xlfn.XLOOKUP(B33,'Base stats'!B:B,'Base stats'!BX:BX),0.1),0.05)
))</f>
        <v>No</v>
      </c>
      <c r="H33" s="11" t="str">
        <f>IF(G33="No","No",
MROUND(_xlfn.XLOOKUP(B33,'Base stats'!B:B,'Base stats'!BH:BH) * 0.01 * 2 + 0.05, 0.05)
)</f>
        <v>No</v>
      </c>
      <c r="I33" s="11" t="str">
        <f>IF(G33="No","No",IF(_xlfn.XLOOKUP(B33,'Base stats'!B:B,'Base stats'!U:U)="No","No",
MROUND(_xlfn.XLOOKUP(B33,'Base stats'!B:B,'Base stats'!BT:BT)/10000+0.01,0.01)
))</f>
        <v>No</v>
      </c>
      <c r="J33" s="4" t="str">
        <f>IF(G33="No","No",
MROUND(_xlfn.XLOOKUP(B33,'Base stats'!B:B,'Base stats'!BE:BE)^0.25
/((_xlfn.XLOOKUP(B33,'Base stats'!B:B,'Base stats'!BL:BL))*10)*_xlfn.XLOOKUP(_xlfn.XLOOKUP(B33,'Base stats'!B:B,'Base stats'!E:E),Groups!A:A,Groups!Q:Q)*150 + 0.5 + _xlfn.XLOOKUP(B33,'Base stats'!B:B,'Base stats'!BW:BW),
0.05))</f>
        <v>No</v>
      </c>
      <c r="K33" s="3" t="str">
        <f>IF(Animals!X33="No","No",
IF(_xlfn.XLOOKUP(_xlfn.XLOOKUP(B33,'Base stats'!B:B,'Base stats'!E:E),Groups!A:A,Groups!BD:BD)=1,
MAX(MROUND(_xlfn.XLOOKUP(B33,'Base stats'!B:B,'Base stats'!BU:BU) * _xlfn.XLOOKUP(B33,'Base stats'!B:B,'Base stats'!BQ:BQ)^0.9 / 21 *_xlfn.XLOOKUP(B33,'Base stats'!B:B,'Base stats'!BX:BX),0.1),0.05),
MAX(MROUND(((MIN(10,_xlfn.XLOOKUP(B33,'Base stats'!B:B,'Base stats'!W:W)))^0.4*_xlfn.XLOOKUP(B33,'Base stats'!B:B,'Base stats'!BI:BI)^0.73)^0.6 *_xlfn.XLOOKUP(B33,'Base stats'!B:B,'Base stats'!BX:BX),0.1),0.05)
))</f>
        <v>No</v>
      </c>
      <c r="L33" s="11" t="str">
        <f>IF(K33="No","No",
MROUND(_xlfn.XLOOKUP(B33,'Base stats'!B:B,'Base stats'!BI:BI) * 0.01 *2 + 0.05, 0.05)
)</f>
        <v>No</v>
      </c>
      <c r="M33" s="5" t="str">
        <f>IF(K33="No","No",IF(_xlfn.XLOOKUP(_xlfn.XLOOKUP(B33,'Base stats'!B:B,'Base stats'!E:E),Groups!A:A,Groups!BD:BD)=1,"No",
MROUND(_xlfn.XLOOKUP(B33,'Base stats'!B:B,'Base stats'!BU:BU)/10000+0.01,0.01)
))</f>
        <v>No</v>
      </c>
      <c r="N33" s="4" t="str">
        <f>IF(K33="No","No",
MROUND(
  _xlfn.XLOOKUP(B33,'Base stats'!B:B,'Base stats'!BC:BC)^0.25
  / (_xlfn.XLOOKUP(B33,'Base stats'!B:B,'Base stats'!BM:BM) * 10)
  * _xlfn.XLOOKUP(
      _xlfn.XLOOKUP(B33,'Base stats'!B:B,'Base stats'!E:E),
      Groups!A:A,
      Groups!V:V
    ) * 150
  + MIN(12, _xlfn.XLOOKUP(B33,'Base stats'!B:B,'Base stats'!W:W))^(1/IF(_xlfn.XLOOKUP(_xlfn.XLOOKUP(B33,'Base stats'!B:B,'Base stats'!E:E),Groups!A:A,Groups!U:U)=1,100,10)) + 0.5 + _xlfn.XLOOKUP(B33,'Base stats'!B:B,'Base stats'!BW:BW),
0.05))</f>
        <v>No</v>
      </c>
      <c r="O33" s="3">
        <f>IF(Animals!AD33="No","No",
MAX(MROUND((MIN(10,_xlfn.XLOOKUP(B33,'Base stats'!B:B,'Base stats'!V:V)*IF(_xlfn.XLOOKUP(_xlfn.XLOOKUP(B33,'Base stats'!B:B,'Base stats'!E:E),Groups!A:A,Groups!O:O)=0,1,0.33))^0.4*_xlfn.XLOOKUP(B33,'Base stats'!B:B,'Base stats'!BJ:BJ)^0.73)^0.6 *_xlfn.XLOOKUP(B33,'Base stats'!B:B,'Base stats'!BX:BX),0.1),0.05)
)</f>
        <v>3.1</v>
      </c>
      <c r="P33" s="11">
        <f>IF(O33="No","No",
MROUND(_xlfn.XLOOKUP(B33,'Base stats'!B:B,'Base stats'!BJ:BJ) * 0.01 * 2 + 0.05, 0.05)
)</f>
        <v>0.30000000000000004</v>
      </c>
      <c r="Q33" s="5">
        <f>IF(O33="No","No",
MROUND(_xlfn.XLOOKUP(B33,'Base stats'!B:B,'Base stats'!BV:BV)/10000+0.01,0.01)
)</f>
        <v>0.04</v>
      </c>
      <c r="R33" s="4">
        <f>IF(O33="No","No",
MROUND(_xlfn.XLOOKUP(B33,'Base stats'!B:B,'Base stats'!BB:BB)^0.25
/((_xlfn.XLOOKUP(B33,'Base stats'!B:B,'Base stats'!BN:BN))*10)*_xlfn.XLOOKUP(_xlfn.XLOOKUP(B33,'Base stats'!B:B,'Base stats'!E:E),Groups!A:A,Groups!Z:Z)*150 + 0.5 + _xlfn.XLOOKUP(B33,'Base stats'!B:B,'Base stats'!BW:BW),
0.05))</f>
        <v>1.85</v>
      </c>
      <c r="S33" s="3" t="str">
        <f>IF(Animals!AI33="No","No",
IF(_xlfn.XLOOKUP(B33,'Base stats'!B:B,'Base stats'!U:U)="No",
MAX(MROUND(_xlfn.XLOOKUP(B33,'Base stats'!B:B,'Base stats'!BT:BT) * _xlfn.XLOOKUP(B33,'Base stats'!B:B,'Base stats'!BP:BP)^0.9 / 21 * _xlfn.XLOOKUP(B33,'Base stats'!B:B,'Base stats'!BX:BX),0.1),0.05),
MAX(MROUND(((MIN(12,_xlfn.XLOOKUP(B33,'Base stats'!B:B,'Base stats'!U:U)))^0.4*_xlfn.XLOOKUP(B33,'Base stats'!B:B,'Base stats'!BH:BH)^0.73)^0.6 * _xlfn.XLOOKUP(B33,'Base stats'!B:B,'Base stats'!BX:BX),0.1),0.05)
))</f>
        <v>No</v>
      </c>
      <c r="T33" s="11" t="str">
        <f>IF(S33="No","No",
MROUND(_xlfn.XLOOKUP(B33,'Base stats'!B:B,'Base stats'!BH:BH) * 0.01 * 2 + 0.05, 0.05)
)</f>
        <v>No</v>
      </c>
      <c r="U33" s="5" t="str">
        <f>IF(S33="No","No",IF(_xlfn.XLOOKUP(B33,'Base stats'!B:B,'Base stats'!U:U)="No","No",
MROUND(_xlfn.XLOOKUP(B33,'Base stats'!B:B,'Base stats'!BT:BT)/10000+0.01,0.01)
))</f>
        <v>No</v>
      </c>
      <c r="V33" s="4" t="str">
        <f>IF(S33="No","No",
MROUND(_xlfn.XLOOKUP(B33,'Base stats'!B:B,'Base stats'!BF:BF)^0.25
/((_xlfn.XLOOKUP(B33,'Base stats'!B:B,'Base stats'!BO:BO))*10)*_xlfn.XLOOKUP(_xlfn.XLOOKUP(B33,'Base stats'!B:B,'Base stats'!E:E),Groups!A:A,Groups!AE:AE)*150 + 0.5 + _xlfn.XLOOKUP(B33,'Base stats'!B:B,'Base stats'!BW:BW),
0.05))</f>
        <v>No</v>
      </c>
      <c r="W33" s="8">
        <f>MROUND(_xlfn.XLOOKUP(_xlfn.XLOOKUP(B33,'Base stats'!B:B,'Base stats'!E:E),Groups!A:A,Groups!BG:BG)*_xlfn.XLOOKUP(B33,'Base stats'!B:B,'Base stats'!C:C)^-0.165,0.05)</f>
        <v>0.35000000000000003</v>
      </c>
      <c r="X33" s="1">
        <f>MROUND(_xlfn.XLOOKUP(_xlfn.XLOOKUP(B33,'Base stats'!B:B,'Base stats'!E:E),Groups!A:A,Groups!BH:BH)*_xlfn.XLOOKUP(B33,'Base stats'!B:B,'Base stats'!C:C)^0.165,0.05)</f>
        <v>0.15000000000000002</v>
      </c>
      <c r="Y33" s="8">
        <f>MROUND(_xlfn.XLOOKUP(_xlfn.XLOOKUP(B33,'Base stats'!B:B,'Base stats'!E:E),Groups!A:A,Groups!BI:BI)*_xlfn.XLOOKUP(B33,'Base stats'!B:B,'Base stats'!C:C)^0.165,0.05)</f>
        <v>0</v>
      </c>
      <c r="Z33" s="18">
        <f>MROUND(_xlfn.XLOOKUP(B33,'Base stats'!B:B,'Base stats'!AQ:AQ)*_xlfn.XLOOKUP(_xlfn.XLOOKUP(B33,'Base stats'!B:B,'Base stats'!E:E),Groups!A:A,Groups!H:H)/1000,IF((_xlfn.XLOOKUP(B33,'Base stats'!B:B,'Base stats'!AQ:AQ)*_xlfn.XLOOKUP(_xlfn.XLOOKUP(B33,'Base stats'!B:B,'Base stats'!E:E),Groups!A:A,Groups!H:H)/1000)&gt;1,0.05,0.01))</f>
        <v>0.04</v>
      </c>
      <c r="AA33" s="18">
        <f>MROUND((1/2)*(_xlfn.XLOOKUP(_xlfn.XLOOKUP(B33,'Base stats'!B:B,'Base stats'!E:E),Groups!A:A,Groups!H:H)*_xlfn.XLOOKUP(_xlfn.XLOOKUP(B33,'Base stats'!B:B,'Base stats'!E:E),Groups!A:A,Groups!I:I))*_xlfn.XLOOKUP(B33,'Base stats'!B:B,'Base stats'!AQ:AQ)*0.01,0.05)</f>
        <v>0.05</v>
      </c>
      <c r="AB33" s="18">
        <f>MROUND(250*(Animals!AO33+Animals!AP33),25)</f>
        <v>200</v>
      </c>
      <c r="AC33" s="18" t="str">
        <f>_xlfn.XLOOKUP(_xlfn.XLOOKUP(B33,'Base stats'!B:B,'Base stats'!E:E),Groups!A:A,Groups!BJ:BJ)</f>
        <v>Serpentine</v>
      </c>
    </row>
    <row r="34" spans="1:29" ht="16.5" thickTop="1" thickBot="1" x14ac:dyDescent="0.3">
      <c r="A34" s="16" t="str">
        <f>Animals!A34</f>
        <v>Tortoise</v>
      </c>
      <c r="B34" s="6" t="str">
        <f>Animals!B34</f>
        <v>Manouria emys</v>
      </c>
      <c r="C34" s="1" t="str">
        <f>Animals!C34</f>
        <v>&lt;li&gt;Tortoise&lt;/li&gt;</v>
      </c>
      <c r="D34" s="47">
        <f>MIN(MIN(6,_xlfn.XLOOKUP(A34,Animals!A:A,Animals!AO:AO))*20,MAX(MROUND(_xlfn.XLOOKUP(B34,'Base stats'!B:B,'Base stats'!BS:BS) * (_xlfn.XLOOKUP(B34,'Base stats'!B:B,'Base stats'!AO:AO)*5%)^0.9 / 21,0.1),0.05))</f>
        <v>0.5</v>
      </c>
      <c r="E34" s="11">
        <f>MROUND(_xlfn.XLOOKUP(B34,'Base stats'!B:B,'Base stats'!BG:BG) * 0.01 * 2 + 0.01, 0.05)</f>
        <v>0.4</v>
      </c>
      <c r="F34" s="7">
        <f>MROUND(_xlfn.XLOOKUP(B34,'Base stats'!B:B,'Base stats'!BD:BD)^0.25 / (_xlfn.XLOOKUP(B34,'Base stats'!B:B,'Base stats'!BK:BK) * 10) * 150 + 0.5 + _xlfn.XLOOKUP(B34,'Base stats'!B:B,'Base stats'!BW:BW), 0.05)</f>
        <v>1.85</v>
      </c>
      <c r="G34" s="3" t="str">
        <f>IF(Animals!S34="No","No",
IF(_xlfn.XLOOKUP(B34,'Base stats'!B:B,'Base stats'!U:U)="No",
MAX(MROUND(_xlfn.XLOOKUP(B34,'Base stats'!B:B,'Base stats'!BT:BT) * _xlfn.XLOOKUP(B34,'Base stats'!B:B,'Base stats'!BP:BP)^0.9 / 21 * _xlfn.XLOOKUP(B34,'Base stats'!B:B,'Base stats'!BX:BX),0.1),0.05),
MAX(MROUND(((MIN(10,_xlfn.XLOOKUP(B34,'Base stats'!B:B,'Base stats'!U:U)))^0.4*_xlfn.XLOOKUP(B34,'Base stats'!B:B,'Base stats'!BH:BH)^0.73)^0.6 * _xlfn.XLOOKUP(B34,'Base stats'!B:B,'Base stats'!BX:BX),0.1),0.05)
))</f>
        <v>No</v>
      </c>
      <c r="H34" s="11" t="str">
        <f>IF(G34="No","No",
MROUND(_xlfn.XLOOKUP(B34,'Base stats'!B:B,'Base stats'!BH:BH) * 0.01 * 2 + 0.05, 0.05)
)</f>
        <v>No</v>
      </c>
      <c r="I34" s="11" t="str">
        <f>IF(G34="No","No",IF(_xlfn.XLOOKUP(B34,'Base stats'!B:B,'Base stats'!U:U)="No","No",
MROUND(_xlfn.XLOOKUP(B34,'Base stats'!B:B,'Base stats'!BT:BT)/10000+0.01,0.01)
))</f>
        <v>No</v>
      </c>
      <c r="J34" s="4" t="str">
        <f>IF(G34="No","No",
MROUND(_xlfn.XLOOKUP(B34,'Base stats'!B:B,'Base stats'!BE:BE)^0.25
/((_xlfn.XLOOKUP(B34,'Base stats'!B:B,'Base stats'!BL:BL))*10)*_xlfn.XLOOKUP(_xlfn.XLOOKUP(B34,'Base stats'!B:B,'Base stats'!E:E),Groups!A:A,Groups!Q:Q)*150 + 0.5 + _xlfn.XLOOKUP(B34,'Base stats'!B:B,'Base stats'!BW:BW),
0.05))</f>
        <v>No</v>
      </c>
      <c r="K34" s="3" t="str">
        <f>IF(Animals!X34="No","No",
IF(_xlfn.XLOOKUP(_xlfn.XLOOKUP(B34,'Base stats'!B:B,'Base stats'!E:E),Groups!A:A,Groups!BD:BD)=1,
MAX(MROUND(_xlfn.XLOOKUP(B34,'Base stats'!B:B,'Base stats'!BU:BU) * _xlfn.XLOOKUP(B34,'Base stats'!B:B,'Base stats'!BQ:BQ)^0.9 / 21 *_xlfn.XLOOKUP(B34,'Base stats'!B:B,'Base stats'!BX:BX),0.1),0.05),
MAX(MROUND(((MIN(10,_xlfn.XLOOKUP(B34,'Base stats'!B:B,'Base stats'!W:W)))^0.4*_xlfn.XLOOKUP(B34,'Base stats'!B:B,'Base stats'!BI:BI)^0.73)^0.6 *_xlfn.XLOOKUP(B34,'Base stats'!B:B,'Base stats'!BX:BX),0.1),0.05)
))</f>
        <v>No</v>
      </c>
      <c r="L34" s="11" t="str">
        <f>IF(K34="No","No",
MROUND(_xlfn.XLOOKUP(B34,'Base stats'!B:B,'Base stats'!BI:BI) * 0.01 *2 + 0.05, 0.05)
)</f>
        <v>No</v>
      </c>
      <c r="M34" s="5" t="str">
        <f>IF(K34="No","No",IF(_xlfn.XLOOKUP(_xlfn.XLOOKUP(B34,'Base stats'!B:B,'Base stats'!E:E),Groups!A:A,Groups!BD:BD)=1,"No",
MROUND(_xlfn.XLOOKUP(B34,'Base stats'!B:B,'Base stats'!BU:BU)/10000+0.01,0.01)
))</f>
        <v>No</v>
      </c>
      <c r="N34" s="4" t="str">
        <f>IF(K34="No","No",
MROUND(
  _xlfn.XLOOKUP(B34,'Base stats'!B:B,'Base stats'!BC:BC)^0.25
  / (_xlfn.XLOOKUP(B34,'Base stats'!B:B,'Base stats'!BM:BM) * 10)
  * _xlfn.XLOOKUP(
      _xlfn.XLOOKUP(B34,'Base stats'!B:B,'Base stats'!E:E),
      Groups!A:A,
      Groups!V:V
    ) * 150
  + MIN(12, _xlfn.XLOOKUP(B34,'Base stats'!B:B,'Base stats'!W:W))^(1/IF(_xlfn.XLOOKUP(_xlfn.XLOOKUP(B34,'Base stats'!B:B,'Base stats'!E:E),Groups!A:A,Groups!U:U)=1,100,10)) + 0.5 + _xlfn.XLOOKUP(B34,'Base stats'!B:B,'Base stats'!BW:BW),
0.05))</f>
        <v>No</v>
      </c>
      <c r="O34" s="3">
        <f>IF(Animals!AD34="No","No",
MAX(MROUND((MIN(10,_xlfn.XLOOKUP(B34,'Base stats'!B:B,'Base stats'!V:V)*IF(_xlfn.XLOOKUP(_xlfn.XLOOKUP(B34,'Base stats'!B:B,'Base stats'!E:E),Groups!A:A,Groups!O:O)=0,1,0.33))^0.4*_xlfn.XLOOKUP(B34,'Base stats'!B:B,'Base stats'!BJ:BJ)^0.73)^0.6 *_xlfn.XLOOKUP(B34,'Base stats'!B:B,'Base stats'!BX:BX),0.1),0.05)
)</f>
        <v>5.3000000000000007</v>
      </c>
      <c r="P34" s="11">
        <f>IF(O34="No","No",
MROUND(_xlfn.XLOOKUP(B34,'Base stats'!B:B,'Base stats'!BJ:BJ) * 0.01 * 2 + 0.05, 0.05)
)</f>
        <v>0.70000000000000007</v>
      </c>
      <c r="Q34" s="5">
        <f>IF(O34="No","No",
MROUND(_xlfn.XLOOKUP(B34,'Base stats'!B:B,'Base stats'!BV:BV)/10000+0.01,0.01)
)</f>
        <v>7.0000000000000007E-2</v>
      </c>
      <c r="R34" s="4">
        <f>IF(O34="No","No",
MROUND(_xlfn.XLOOKUP(B34,'Base stats'!B:B,'Base stats'!BB:BB)^0.25
/((_xlfn.XLOOKUP(B34,'Base stats'!B:B,'Base stats'!BN:BN))*10)*_xlfn.XLOOKUP(_xlfn.XLOOKUP(B34,'Base stats'!B:B,'Base stats'!E:E),Groups!A:A,Groups!Z:Z)*150 + 0.5 + _xlfn.XLOOKUP(B34,'Base stats'!B:B,'Base stats'!BW:BW),
0.05))</f>
        <v>2.3000000000000003</v>
      </c>
      <c r="S34" s="3" t="str">
        <f>IF(Animals!AI34="No","No",
IF(_xlfn.XLOOKUP(B34,'Base stats'!B:B,'Base stats'!U:U)="No",
MAX(MROUND(_xlfn.XLOOKUP(B34,'Base stats'!B:B,'Base stats'!BT:BT) * _xlfn.XLOOKUP(B34,'Base stats'!B:B,'Base stats'!BP:BP)^0.9 / 21 * _xlfn.XLOOKUP(B34,'Base stats'!B:B,'Base stats'!BX:BX),0.1),0.05),
MAX(MROUND(((MIN(12,_xlfn.XLOOKUP(B34,'Base stats'!B:B,'Base stats'!U:U)))^0.4*_xlfn.XLOOKUP(B34,'Base stats'!B:B,'Base stats'!BH:BH)^0.73)^0.6 * _xlfn.XLOOKUP(B34,'Base stats'!B:B,'Base stats'!BX:BX),0.1),0.05)
))</f>
        <v>No</v>
      </c>
      <c r="T34" s="11" t="str">
        <f>IF(S34="No","No",
MROUND(_xlfn.XLOOKUP(B34,'Base stats'!B:B,'Base stats'!BH:BH) * 0.01 * 2 + 0.05, 0.05)
)</f>
        <v>No</v>
      </c>
      <c r="U34" s="5" t="str">
        <f>IF(S34="No","No",IF(_xlfn.XLOOKUP(B34,'Base stats'!B:B,'Base stats'!U:U)="No","No",
MROUND(_xlfn.XLOOKUP(B34,'Base stats'!B:B,'Base stats'!BT:BT)/10000+0.01,0.01)
))</f>
        <v>No</v>
      </c>
      <c r="V34" s="4" t="str">
        <f>IF(S34="No","No",
MROUND(_xlfn.XLOOKUP(B34,'Base stats'!B:B,'Base stats'!BF:BF)^0.25
/((_xlfn.XLOOKUP(B34,'Base stats'!B:B,'Base stats'!BO:BO))*10)*_xlfn.XLOOKUP(_xlfn.XLOOKUP(B34,'Base stats'!B:B,'Base stats'!E:E),Groups!A:A,Groups!AE:AE)*150 + 0.5 + _xlfn.XLOOKUP(B34,'Base stats'!B:B,'Base stats'!BW:BW),
0.05))</f>
        <v>No</v>
      </c>
      <c r="W34" s="8">
        <f>MROUND(_xlfn.XLOOKUP(_xlfn.XLOOKUP(B34,'Base stats'!B:B,'Base stats'!E:E),Groups!A:A,Groups!BG:BG)*_xlfn.XLOOKUP(B34,'Base stats'!B:B,'Base stats'!C:C)^-0.165,0.05)</f>
        <v>0</v>
      </c>
      <c r="X34" s="1">
        <f>MROUND(_xlfn.XLOOKUP(_xlfn.XLOOKUP(B34,'Base stats'!B:B,'Base stats'!E:E),Groups!A:A,Groups!BH:BH)*_xlfn.XLOOKUP(B34,'Base stats'!B:B,'Base stats'!C:C)^0.165,0.05)</f>
        <v>0</v>
      </c>
      <c r="Y34" s="8">
        <f>MROUND(_xlfn.XLOOKUP(_xlfn.XLOOKUP(B34,'Base stats'!B:B,'Base stats'!E:E),Groups!A:A,Groups!BI:BI)*_xlfn.XLOOKUP(B34,'Base stats'!B:B,'Base stats'!C:C)^0.165,0.05)</f>
        <v>0</v>
      </c>
      <c r="Z34" s="18">
        <f>MROUND(_xlfn.XLOOKUP(B34,'Base stats'!B:B,'Base stats'!AQ:AQ)*_xlfn.XLOOKUP(_xlfn.XLOOKUP(B34,'Base stats'!B:B,'Base stats'!E:E),Groups!A:A,Groups!H:H)/1000,IF((_xlfn.XLOOKUP(B34,'Base stats'!B:B,'Base stats'!AQ:AQ)*_xlfn.XLOOKUP(_xlfn.XLOOKUP(B34,'Base stats'!B:B,'Base stats'!E:E),Groups!A:A,Groups!H:H)/1000)&gt;1,0.05,0.01))</f>
        <v>1.1000000000000001</v>
      </c>
      <c r="AA34" s="18">
        <f>MROUND((1/2)*(_xlfn.XLOOKUP(_xlfn.XLOOKUP(B34,'Base stats'!B:B,'Base stats'!E:E),Groups!A:A,Groups!H:H)*_xlfn.XLOOKUP(_xlfn.XLOOKUP(B34,'Base stats'!B:B,'Base stats'!E:E),Groups!A:A,Groups!I:I))*_xlfn.XLOOKUP(B34,'Base stats'!B:B,'Base stats'!AQ:AQ)*0.01,0.05)</f>
        <v>1.9500000000000002</v>
      </c>
      <c r="AB34" s="18">
        <f>MROUND(250*(Animals!AO34+Animals!AP34),25)</f>
        <v>325</v>
      </c>
      <c r="AC34" s="18" t="str">
        <f>_xlfn.XLOOKUP(_xlfn.XLOOKUP(B34,'Base stats'!B:B,'Base stats'!E:E),Groups!A:A,Groups!BJ:BJ)</f>
        <v>QuadrupedLow</v>
      </c>
    </row>
    <row r="35" spans="1:29" ht="16.5" thickTop="1" thickBot="1" x14ac:dyDescent="0.3">
      <c r="A35" s="16" t="str">
        <f>Animals!A35</f>
        <v>Rat</v>
      </c>
      <c r="B35" s="6" t="str">
        <f>Animals!B35</f>
        <v>Rattus norvegicus</v>
      </c>
      <c r="C35" s="1" t="str">
        <f>Animals!C35</f>
        <v>&lt;li&gt;Rat&lt;/li&gt;</v>
      </c>
      <c r="D35" s="47">
        <f>MIN(MIN(6,_xlfn.XLOOKUP(A35,Animals!A:A,Animals!AO:AO))*20,MAX(MROUND(_xlfn.XLOOKUP(B35,'Base stats'!B:B,'Base stats'!BS:BS) * (_xlfn.XLOOKUP(B35,'Base stats'!B:B,'Base stats'!AO:AO)*5%)^0.9 / 21,0.1),0.05))</f>
        <v>0.05</v>
      </c>
      <c r="E35" s="11">
        <f>MROUND(_xlfn.XLOOKUP(B35,'Base stats'!B:B,'Base stats'!BG:BG) * 0.01 * 2 + 0.01, 0.05)</f>
        <v>0</v>
      </c>
      <c r="F35" s="7">
        <f>MROUND(_xlfn.XLOOKUP(B35,'Base stats'!B:B,'Base stats'!BD:BD)^0.25 / (_xlfn.XLOOKUP(B35,'Base stats'!B:B,'Base stats'!BK:BK) * 10) * 150 + 0.5 + _xlfn.XLOOKUP(B35,'Base stats'!B:B,'Base stats'!BW:BW), 0.05)</f>
        <v>1.1000000000000001</v>
      </c>
      <c r="G35" s="3" t="str">
        <f>IF(Animals!S35="No","No",
IF(_xlfn.XLOOKUP(B35,'Base stats'!B:B,'Base stats'!U:U)="No",
MAX(MROUND(_xlfn.XLOOKUP(B35,'Base stats'!B:B,'Base stats'!BT:BT) * _xlfn.XLOOKUP(B35,'Base stats'!B:B,'Base stats'!BP:BP)^0.9 / 21 * _xlfn.XLOOKUP(B35,'Base stats'!B:B,'Base stats'!BX:BX),0.1),0.05),
MAX(MROUND(((MIN(10,_xlfn.XLOOKUP(B35,'Base stats'!B:B,'Base stats'!U:U)))^0.4*_xlfn.XLOOKUP(B35,'Base stats'!B:B,'Base stats'!BH:BH)^0.73)^0.6 * _xlfn.XLOOKUP(B35,'Base stats'!B:B,'Base stats'!BX:BX),0.1),0.05)
))</f>
        <v>No</v>
      </c>
      <c r="H35" s="11" t="str">
        <f>IF(G35="No","No",
MROUND(_xlfn.XLOOKUP(B35,'Base stats'!B:B,'Base stats'!BH:BH) * 0.01 * 2 + 0.05, 0.05)
)</f>
        <v>No</v>
      </c>
      <c r="I35" s="11" t="str">
        <f>IF(G35="No","No",IF(_xlfn.XLOOKUP(B35,'Base stats'!B:B,'Base stats'!U:U)="No","No",
MROUND(_xlfn.XLOOKUP(B35,'Base stats'!B:B,'Base stats'!BT:BT)/10000+0.01,0.01)
))</f>
        <v>No</v>
      </c>
      <c r="J35" s="4" t="str">
        <f>IF(G35="No","No",
MROUND(_xlfn.XLOOKUP(B35,'Base stats'!B:B,'Base stats'!BE:BE)^0.25
/((_xlfn.XLOOKUP(B35,'Base stats'!B:B,'Base stats'!BL:BL))*10)*_xlfn.XLOOKUP(_xlfn.XLOOKUP(B35,'Base stats'!B:B,'Base stats'!E:E),Groups!A:A,Groups!Q:Q)*150 + 0.5 + _xlfn.XLOOKUP(B35,'Base stats'!B:B,'Base stats'!BW:BW),
0.05))</f>
        <v>No</v>
      </c>
      <c r="K35" s="3" t="str">
        <f>IF(Animals!X35="No","No",
IF(_xlfn.XLOOKUP(_xlfn.XLOOKUP(B35,'Base stats'!B:B,'Base stats'!E:E),Groups!A:A,Groups!BD:BD)=1,
MAX(MROUND(_xlfn.XLOOKUP(B35,'Base stats'!B:B,'Base stats'!BU:BU) * _xlfn.XLOOKUP(B35,'Base stats'!B:B,'Base stats'!BQ:BQ)^0.9 / 21 *_xlfn.XLOOKUP(B35,'Base stats'!B:B,'Base stats'!BX:BX),0.1),0.05),
MAX(MROUND(((MIN(10,_xlfn.XLOOKUP(B35,'Base stats'!B:B,'Base stats'!W:W)))^0.4*_xlfn.XLOOKUP(B35,'Base stats'!B:B,'Base stats'!BI:BI)^0.73)^0.6 *_xlfn.XLOOKUP(B35,'Base stats'!B:B,'Base stats'!BX:BX),0.1),0.05)
))</f>
        <v>No</v>
      </c>
      <c r="L35" s="11" t="str">
        <f>IF(K35="No","No",
MROUND(_xlfn.XLOOKUP(B35,'Base stats'!B:B,'Base stats'!BI:BI) * 0.01 *2 + 0.05, 0.05)
)</f>
        <v>No</v>
      </c>
      <c r="M35" s="5" t="str">
        <f>IF(K35="No","No",IF(_xlfn.XLOOKUP(_xlfn.XLOOKUP(B35,'Base stats'!B:B,'Base stats'!E:E),Groups!A:A,Groups!BD:BD)=1,"No",
MROUND(_xlfn.XLOOKUP(B35,'Base stats'!B:B,'Base stats'!BU:BU)/10000+0.01,0.01)
))</f>
        <v>No</v>
      </c>
      <c r="N35" s="4" t="str">
        <f>IF(K35="No","No",
MROUND(
  _xlfn.XLOOKUP(B35,'Base stats'!B:B,'Base stats'!BC:BC)^0.25
  / (_xlfn.XLOOKUP(B35,'Base stats'!B:B,'Base stats'!BM:BM) * 10)
  * _xlfn.XLOOKUP(
      _xlfn.XLOOKUP(B35,'Base stats'!B:B,'Base stats'!E:E),
      Groups!A:A,
      Groups!V:V
    ) * 150
  + MIN(12, _xlfn.XLOOKUP(B35,'Base stats'!B:B,'Base stats'!W:W))^(1/IF(_xlfn.XLOOKUP(_xlfn.XLOOKUP(B35,'Base stats'!B:B,'Base stats'!E:E),Groups!A:A,Groups!U:U)=1,100,10)) + 0.5 + _xlfn.XLOOKUP(B35,'Base stats'!B:B,'Base stats'!BW:BW),
0.05))</f>
        <v>No</v>
      </c>
      <c r="O35" s="3">
        <f>IF(Animals!AD35="No","No",
MAX(MROUND((MIN(10,_xlfn.XLOOKUP(B35,'Base stats'!B:B,'Base stats'!V:V)*IF(_xlfn.XLOOKUP(_xlfn.XLOOKUP(B35,'Base stats'!B:B,'Base stats'!E:E),Groups!A:A,Groups!O:O)=0,1,0.33))^0.4*_xlfn.XLOOKUP(B35,'Base stats'!B:B,'Base stats'!BJ:BJ)^0.73)^0.6 *_xlfn.XLOOKUP(B35,'Base stats'!B:B,'Base stats'!BX:BX),0.1),0.05)
)</f>
        <v>1.3</v>
      </c>
      <c r="P35" s="11">
        <f>IF(O35="No","No",
MROUND(_xlfn.XLOOKUP(B35,'Base stats'!B:B,'Base stats'!BJ:BJ) * 0.01 * 2 + 0.05, 0.05)
)</f>
        <v>0.1</v>
      </c>
      <c r="Q35" s="5">
        <f>IF(O35="No","No",
MROUND(_xlfn.XLOOKUP(B35,'Base stats'!B:B,'Base stats'!BV:BV)/10000+0.01,0.01)
)</f>
        <v>0.04</v>
      </c>
      <c r="R35" s="4">
        <f>IF(O35="No","No",
MROUND(_xlfn.XLOOKUP(B35,'Base stats'!B:B,'Base stats'!BB:BB)^0.25
/((_xlfn.XLOOKUP(B35,'Base stats'!B:B,'Base stats'!BN:BN))*10)*_xlfn.XLOOKUP(_xlfn.XLOOKUP(B35,'Base stats'!B:B,'Base stats'!E:E),Groups!A:A,Groups!Z:Z)*150 + 0.5 + _xlfn.XLOOKUP(B35,'Base stats'!B:B,'Base stats'!BW:BW),
0.05))</f>
        <v>1.8</v>
      </c>
      <c r="S35" s="3" t="str">
        <f>IF(Animals!AI35="No","No",
IF(_xlfn.XLOOKUP(B35,'Base stats'!B:B,'Base stats'!U:U)="No",
MAX(MROUND(_xlfn.XLOOKUP(B35,'Base stats'!B:B,'Base stats'!BT:BT) * _xlfn.XLOOKUP(B35,'Base stats'!B:B,'Base stats'!BP:BP)^0.9 / 21 * _xlfn.XLOOKUP(B35,'Base stats'!B:B,'Base stats'!BX:BX),0.1),0.05),
MAX(MROUND(((MIN(12,_xlfn.XLOOKUP(B35,'Base stats'!B:B,'Base stats'!U:U)))^0.4*_xlfn.XLOOKUP(B35,'Base stats'!B:B,'Base stats'!BH:BH)^0.73)^0.6 * _xlfn.XLOOKUP(B35,'Base stats'!B:B,'Base stats'!BX:BX),0.1),0.05)
))</f>
        <v>No</v>
      </c>
      <c r="T35" s="11" t="str">
        <f>IF(S35="No","No",
MROUND(_xlfn.XLOOKUP(B35,'Base stats'!B:B,'Base stats'!BH:BH) * 0.01 * 2 + 0.05, 0.05)
)</f>
        <v>No</v>
      </c>
      <c r="U35" s="5" t="str">
        <f>IF(S35="No","No",IF(_xlfn.XLOOKUP(B35,'Base stats'!B:B,'Base stats'!U:U)="No","No",
MROUND(_xlfn.XLOOKUP(B35,'Base stats'!B:B,'Base stats'!BT:BT)/10000+0.01,0.01)
))</f>
        <v>No</v>
      </c>
      <c r="V35" s="4" t="str">
        <f>IF(S35="No","No",
MROUND(_xlfn.XLOOKUP(B35,'Base stats'!B:B,'Base stats'!BF:BF)^0.25
/((_xlfn.XLOOKUP(B35,'Base stats'!B:B,'Base stats'!BO:BO))*10)*_xlfn.XLOOKUP(_xlfn.XLOOKUP(B35,'Base stats'!B:B,'Base stats'!E:E),Groups!A:A,Groups!AE:AE)*150 + 0.5 + _xlfn.XLOOKUP(B35,'Base stats'!B:B,'Base stats'!BW:BW),
0.05))</f>
        <v>No</v>
      </c>
      <c r="W35" s="8">
        <f>MROUND(_xlfn.XLOOKUP(_xlfn.XLOOKUP(B35,'Base stats'!B:B,'Base stats'!E:E),Groups!A:A,Groups!BG:BG)*_xlfn.XLOOKUP(B35,'Base stats'!B:B,'Base stats'!C:C)^-0.165,0.05)</f>
        <v>0.85000000000000009</v>
      </c>
      <c r="X35" s="1">
        <f>MROUND(_xlfn.XLOOKUP(_xlfn.XLOOKUP(B35,'Base stats'!B:B,'Base stats'!E:E),Groups!A:A,Groups!BH:BH)*_xlfn.XLOOKUP(B35,'Base stats'!B:B,'Base stats'!C:C)^0.165,0.05)</f>
        <v>0.1</v>
      </c>
      <c r="Y35" s="8">
        <f>MROUND(_xlfn.XLOOKUP(_xlfn.XLOOKUP(B35,'Base stats'!B:B,'Base stats'!E:E),Groups!A:A,Groups!BI:BI)*_xlfn.XLOOKUP(B35,'Base stats'!B:B,'Base stats'!C:C)^0.165,0.05)</f>
        <v>0</v>
      </c>
      <c r="Z35" s="18">
        <f>MROUND(_xlfn.XLOOKUP(B35,'Base stats'!B:B,'Base stats'!AQ:AQ)*_xlfn.XLOOKUP(_xlfn.XLOOKUP(B35,'Base stats'!B:B,'Base stats'!E:E),Groups!A:A,Groups!H:H)/1000,IF((_xlfn.XLOOKUP(B35,'Base stats'!B:B,'Base stats'!AQ:AQ)*_xlfn.XLOOKUP(_xlfn.XLOOKUP(B35,'Base stats'!B:B,'Base stats'!E:E),Groups!A:A,Groups!H:H)/1000)&gt;1,0.05,0.01))</f>
        <v>0.01</v>
      </c>
      <c r="AA35" s="18">
        <f>MROUND((1/2)*(_xlfn.XLOOKUP(_xlfn.XLOOKUP(B35,'Base stats'!B:B,'Base stats'!E:E),Groups!A:A,Groups!H:H)*_xlfn.XLOOKUP(_xlfn.XLOOKUP(B35,'Base stats'!B:B,'Base stats'!E:E),Groups!A:A,Groups!I:I))*_xlfn.XLOOKUP(B35,'Base stats'!B:B,'Base stats'!AQ:AQ)*0.01,0.05)</f>
        <v>0.05</v>
      </c>
      <c r="AB35" s="18">
        <f>MROUND(250*(Animals!AO35+Animals!AP35),25)</f>
        <v>50</v>
      </c>
      <c r="AC35" s="18" t="str">
        <f>_xlfn.XLOOKUP(_xlfn.XLOOKUP(B35,'Base stats'!B:B,'Base stats'!E:E),Groups!A:A,Groups!BJ:BJ)</f>
        <v>QuadrupedLow</v>
      </c>
    </row>
    <row r="36" spans="1:29" ht="16.5" thickTop="1" thickBot="1" x14ac:dyDescent="0.3">
      <c r="A36" s="16" t="str">
        <f>Animals!A36</f>
        <v>Squirrel</v>
      </c>
      <c r="B36" s="6" t="str">
        <f>Animals!B36</f>
        <v>Sciurus vulgaris</v>
      </c>
      <c r="C36" s="1" t="str">
        <f>Animals!C36</f>
        <v>&lt;li&gt;Squirrel&lt;/li&gt;</v>
      </c>
      <c r="D36" s="47">
        <f>MIN(MIN(6,_xlfn.XLOOKUP(A36,Animals!A:A,Animals!AO:AO))*20,MAX(MROUND(_xlfn.XLOOKUP(B36,'Base stats'!B:B,'Base stats'!BS:BS) * (_xlfn.XLOOKUP(B36,'Base stats'!B:B,'Base stats'!AO:AO)*5%)^0.9 / 21,0.1),0.05))</f>
        <v>0.05</v>
      </c>
      <c r="E36" s="11">
        <f>MROUND(_xlfn.XLOOKUP(B36,'Base stats'!B:B,'Base stats'!BG:BG) * 0.01 * 2 + 0.01, 0.05)</f>
        <v>0.05</v>
      </c>
      <c r="F36" s="7">
        <f>MROUND(_xlfn.XLOOKUP(B36,'Base stats'!B:B,'Base stats'!BD:BD)^0.25 / (_xlfn.XLOOKUP(B36,'Base stats'!B:B,'Base stats'!BK:BK) * 10) * 150 + 0.5 + _xlfn.XLOOKUP(B36,'Base stats'!B:B,'Base stats'!BW:BW), 0.05)</f>
        <v>1.1500000000000001</v>
      </c>
      <c r="G36" s="3" t="str">
        <f>IF(Animals!S36="No","No",
IF(_xlfn.XLOOKUP(B36,'Base stats'!B:B,'Base stats'!U:U)="No",
MAX(MROUND(_xlfn.XLOOKUP(B36,'Base stats'!B:B,'Base stats'!BT:BT) * _xlfn.XLOOKUP(B36,'Base stats'!B:B,'Base stats'!BP:BP)^0.9 / 21 * _xlfn.XLOOKUP(B36,'Base stats'!B:B,'Base stats'!BX:BX),0.1),0.05),
MAX(MROUND(((MIN(10,_xlfn.XLOOKUP(B36,'Base stats'!B:B,'Base stats'!U:U)))^0.4*_xlfn.XLOOKUP(B36,'Base stats'!B:B,'Base stats'!BH:BH)^0.73)^0.6 * _xlfn.XLOOKUP(B36,'Base stats'!B:B,'Base stats'!BX:BX),0.1),0.05)
))</f>
        <v>No</v>
      </c>
      <c r="H36" s="11" t="str">
        <f>IF(G36="No","No",
MROUND(_xlfn.XLOOKUP(B36,'Base stats'!B:B,'Base stats'!BH:BH) * 0.01 * 2 + 0.05, 0.05)
)</f>
        <v>No</v>
      </c>
      <c r="I36" s="11" t="str">
        <f>IF(G36="No","No",IF(_xlfn.XLOOKUP(B36,'Base stats'!B:B,'Base stats'!U:U)="No","No",
MROUND(_xlfn.XLOOKUP(B36,'Base stats'!B:B,'Base stats'!BT:BT)/10000+0.01,0.01)
))</f>
        <v>No</v>
      </c>
      <c r="J36" s="4" t="str">
        <f>IF(G36="No","No",
MROUND(_xlfn.XLOOKUP(B36,'Base stats'!B:B,'Base stats'!BE:BE)^0.25
/((_xlfn.XLOOKUP(B36,'Base stats'!B:B,'Base stats'!BL:BL))*10)*_xlfn.XLOOKUP(_xlfn.XLOOKUP(B36,'Base stats'!B:B,'Base stats'!E:E),Groups!A:A,Groups!Q:Q)*150 + 0.5 + _xlfn.XLOOKUP(B36,'Base stats'!B:B,'Base stats'!BW:BW),
0.05))</f>
        <v>No</v>
      </c>
      <c r="K36" s="3" t="str">
        <f>IF(Animals!X36="No","No",
IF(_xlfn.XLOOKUP(_xlfn.XLOOKUP(B36,'Base stats'!B:B,'Base stats'!E:E),Groups!A:A,Groups!BD:BD)=1,
MAX(MROUND(_xlfn.XLOOKUP(B36,'Base stats'!B:B,'Base stats'!BU:BU) * _xlfn.XLOOKUP(B36,'Base stats'!B:B,'Base stats'!BQ:BQ)^0.9 / 21 *_xlfn.XLOOKUP(B36,'Base stats'!B:B,'Base stats'!BX:BX),0.1),0.05),
MAX(MROUND(((MIN(10,_xlfn.XLOOKUP(B36,'Base stats'!B:B,'Base stats'!W:W)))^0.4*_xlfn.XLOOKUP(B36,'Base stats'!B:B,'Base stats'!BI:BI)^0.73)^0.6 *_xlfn.XLOOKUP(B36,'Base stats'!B:B,'Base stats'!BX:BX),0.1),0.05)
))</f>
        <v>No</v>
      </c>
      <c r="L36" s="11" t="str">
        <f>IF(K36="No","No",
MROUND(_xlfn.XLOOKUP(B36,'Base stats'!B:B,'Base stats'!BI:BI) * 0.01 *2 + 0.05, 0.05)
)</f>
        <v>No</v>
      </c>
      <c r="M36" s="5" t="str">
        <f>IF(K36="No","No",IF(_xlfn.XLOOKUP(_xlfn.XLOOKUP(B36,'Base stats'!B:B,'Base stats'!E:E),Groups!A:A,Groups!BD:BD)=1,"No",
MROUND(_xlfn.XLOOKUP(B36,'Base stats'!B:B,'Base stats'!BU:BU)/10000+0.01,0.01)
))</f>
        <v>No</v>
      </c>
      <c r="N36" s="4" t="str">
        <f>IF(K36="No","No",
MROUND(
  _xlfn.XLOOKUP(B36,'Base stats'!B:B,'Base stats'!BC:BC)^0.25
  / (_xlfn.XLOOKUP(B36,'Base stats'!B:B,'Base stats'!BM:BM) * 10)
  * _xlfn.XLOOKUP(
      _xlfn.XLOOKUP(B36,'Base stats'!B:B,'Base stats'!E:E),
      Groups!A:A,
      Groups!V:V
    ) * 150
  + MIN(12, _xlfn.XLOOKUP(B36,'Base stats'!B:B,'Base stats'!W:W))^(1/IF(_xlfn.XLOOKUP(_xlfn.XLOOKUP(B36,'Base stats'!B:B,'Base stats'!E:E),Groups!A:A,Groups!U:U)=1,100,10)) + 0.5 + _xlfn.XLOOKUP(B36,'Base stats'!B:B,'Base stats'!BW:BW),
0.05))</f>
        <v>No</v>
      </c>
      <c r="O36" s="3">
        <f>IF(Animals!AD36="No","No",
MAX(MROUND((MIN(10,_xlfn.XLOOKUP(B36,'Base stats'!B:B,'Base stats'!V:V)*IF(_xlfn.XLOOKUP(_xlfn.XLOOKUP(B36,'Base stats'!B:B,'Base stats'!E:E),Groups!A:A,Groups!O:O)=0,1,0.33))^0.4*_xlfn.XLOOKUP(B36,'Base stats'!B:B,'Base stats'!BJ:BJ)^0.73)^0.6 *_xlfn.XLOOKUP(B36,'Base stats'!B:B,'Base stats'!BX:BX),0.1),0.05)
)</f>
        <v>1.6</v>
      </c>
      <c r="P36" s="11">
        <f>IF(O36="No","No",
MROUND(_xlfn.XLOOKUP(B36,'Base stats'!B:B,'Base stats'!BJ:BJ) * 0.01 * 2 + 0.05, 0.05)
)</f>
        <v>0.15000000000000002</v>
      </c>
      <c r="Q36" s="5">
        <f>IF(O36="No","No",
MROUND(_xlfn.XLOOKUP(B36,'Base stats'!B:B,'Base stats'!BV:BV)/10000+0.01,0.01)
)</f>
        <v>0.04</v>
      </c>
      <c r="R36" s="4">
        <f>IF(O36="No","No",
MROUND(_xlfn.XLOOKUP(B36,'Base stats'!B:B,'Base stats'!BB:BB)^0.25
/((_xlfn.XLOOKUP(B36,'Base stats'!B:B,'Base stats'!BN:BN))*10)*_xlfn.XLOOKUP(_xlfn.XLOOKUP(B36,'Base stats'!B:B,'Base stats'!E:E),Groups!A:A,Groups!Z:Z)*150 + 0.5 + _xlfn.XLOOKUP(B36,'Base stats'!B:B,'Base stats'!BW:BW),
0.05))</f>
        <v>2.0500000000000003</v>
      </c>
      <c r="S36" s="3" t="str">
        <f>IF(Animals!AI36="No","No",
IF(_xlfn.XLOOKUP(B36,'Base stats'!B:B,'Base stats'!U:U)="No",
MAX(MROUND(_xlfn.XLOOKUP(B36,'Base stats'!B:B,'Base stats'!BT:BT) * _xlfn.XLOOKUP(B36,'Base stats'!B:B,'Base stats'!BP:BP)^0.9 / 21 * _xlfn.XLOOKUP(B36,'Base stats'!B:B,'Base stats'!BX:BX),0.1),0.05),
MAX(MROUND(((MIN(12,_xlfn.XLOOKUP(B36,'Base stats'!B:B,'Base stats'!U:U)))^0.4*_xlfn.XLOOKUP(B36,'Base stats'!B:B,'Base stats'!BH:BH)^0.73)^0.6 * _xlfn.XLOOKUP(B36,'Base stats'!B:B,'Base stats'!BX:BX),0.1),0.05)
))</f>
        <v>No</v>
      </c>
      <c r="T36" s="11" t="str">
        <f>IF(S36="No","No",
MROUND(_xlfn.XLOOKUP(B36,'Base stats'!B:B,'Base stats'!BH:BH) * 0.01 * 2 + 0.05, 0.05)
)</f>
        <v>No</v>
      </c>
      <c r="U36" s="5" t="str">
        <f>IF(S36="No","No",IF(_xlfn.XLOOKUP(B36,'Base stats'!B:B,'Base stats'!U:U)="No","No",
MROUND(_xlfn.XLOOKUP(B36,'Base stats'!B:B,'Base stats'!BT:BT)/10000+0.01,0.01)
))</f>
        <v>No</v>
      </c>
      <c r="V36" s="4" t="str">
        <f>IF(S36="No","No",
MROUND(_xlfn.XLOOKUP(B36,'Base stats'!B:B,'Base stats'!BF:BF)^0.25
/((_xlfn.XLOOKUP(B36,'Base stats'!B:B,'Base stats'!BO:BO))*10)*_xlfn.XLOOKUP(_xlfn.XLOOKUP(B36,'Base stats'!B:B,'Base stats'!E:E),Groups!A:A,Groups!AE:AE)*150 + 0.5 + _xlfn.XLOOKUP(B36,'Base stats'!B:B,'Base stats'!BW:BW),
0.05))</f>
        <v>No</v>
      </c>
      <c r="W36" s="8">
        <f>MROUND(_xlfn.XLOOKUP(_xlfn.XLOOKUP(B36,'Base stats'!B:B,'Base stats'!E:E),Groups!A:A,Groups!BG:BG)*_xlfn.XLOOKUP(B36,'Base stats'!B:B,'Base stats'!C:C)^-0.165,0.05)</f>
        <v>0.75</v>
      </c>
      <c r="X36" s="1">
        <f>MROUND(_xlfn.XLOOKUP(_xlfn.XLOOKUP(B36,'Base stats'!B:B,'Base stats'!E:E),Groups!A:A,Groups!BH:BH)*_xlfn.XLOOKUP(B36,'Base stats'!B:B,'Base stats'!C:C)^0.165,0.05)</f>
        <v>0</v>
      </c>
      <c r="Y36" s="8">
        <f>MROUND(_xlfn.XLOOKUP(_xlfn.XLOOKUP(B36,'Base stats'!B:B,'Base stats'!E:E),Groups!A:A,Groups!BI:BI)*_xlfn.XLOOKUP(B36,'Base stats'!B:B,'Base stats'!C:C)^0.165,0.05)</f>
        <v>0</v>
      </c>
      <c r="Z36" s="18">
        <f>MROUND(_xlfn.XLOOKUP(B36,'Base stats'!B:B,'Base stats'!AQ:AQ)*_xlfn.XLOOKUP(_xlfn.XLOOKUP(B36,'Base stats'!B:B,'Base stats'!E:E),Groups!A:A,Groups!H:H)/1000,IF((_xlfn.XLOOKUP(B36,'Base stats'!B:B,'Base stats'!AQ:AQ)*_xlfn.XLOOKUP(_xlfn.XLOOKUP(B36,'Base stats'!B:B,'Base stats'!E:E),Groups!A:A,Groups!H:H)/1000)&gt;1,0.05,0.01))</f>
        <v>0.02</v>
      </c>
      <c r="AA36" s="18">
        <f>MROUND((1/2)*(_xlfn.XLOOKUP(_xlfn.XLOOKUP(B36,'Base stats'!B:B,'Base stats'!E:E),Groups!A:A,Groups!H:H)*_xlfn.XLOOKUP(_xlfn.XLOOKUP(B36,'Base stats'!B:B,'Base stats'!E:E),Groups!A:A,Groups!I:I))*_xlfn.XLOOKUP(B36,'Base stats'!B:B,'Base stats'!AQ:AQ)*0.01,0.05)</f>
        <v>0.05</v>
      </c>
      <c r="AB36" s="18">
        <f>MROUND(250*(Animals!AO36+Animals!AP36),25)</f>
        <v>75</v>
      </c>
      <c r="AC36" s="18" t="str">
        <f>_xlfn.XLOOKUP(_xlfn.XLOOKUP(B36,'Base stats'!B:B,'Base stats'!E:E),Groups!A:A,Groups!BJ:BJ)</f>
        <v>QuadrupedLow</v>
      </c>
    </row>
    <row r="37" spans="1:29" ht="16.5" thickTop="1" thickBot="1" x14ac:dyDescent="0.3">
      <c r="A37" s="16" t="str">
        <f>Animals!A37</f>
        <v>Guinea pig</v>
      </c>
      <c r="B37" s="6" t="str">
        <f>Animals!B37</f>
        <v>Cavia porcellus</v>
      </c>
      <c r="C37" s="1" t="str">
        <f>Animals!C37</f>
        <v>&lt;li&gt;GuineaPig&lt;/li&gt;</v>
      </c>
      <c r="D37" s="47">
        <f>MIN(MIN(6,_xlfn.XLOOKUP(A37,Animals!A:A,Animals!AO:AO))*20,MAX(MROUND(_xlfn.XLOOKUP(B37,'Base stats'!B:B,'Base stats'!BS:BS) * (_xlfn.XLOOKUP(B37,'Base stats'!B:B,'Base stats'!AO:AO)*5%)^0.9 / 21,0.1),0.05))</f>
        <v>0.05</v>
      </c>
      <c r="E37" s="11">
        <f>MROUND(_xlfn.XLOOKUP(B37,'Base stats'!B:B,'Base stats'!BG:BG) * 0.01 * 2 + 0.01, 0.05)</f>
        <v>0.05</v>
      </c>
      <c r="F37" s="7">
        <f>MROUND(_xlfn.XLOOKUP(B37,'Base stats'!B:B,'Base stats'!BD:BD)^0.25 / (_xlfn.XLOOKUP(B37,'Base stats'!B:B,'Base stats'!BK:BK) * 10) * 150 + 0.5 + _xlfn.XLOOKUP(B37,'Base stats'!B:B,'Base stats'!BW:BW), 0.05)</f>
        <v>1.2000000000000002</v>
      </c>
      <c r="G37" s="3" t="str">
        <f>IF(Animals!S37="No","No",
IF(_xlfn.XLOOKUP(B37,'Base stats'!B:B,'Base stats'!U:U)="No",
MAX(MROUND(_xlfn.XLOOKUP(B37,'Base stats'!B:B,'Base stats'!BT:BT) * _xlfn.XLOOKUP(B37,'Base stats'!B:B,'Base stats'!BP:BP)^0.9 / 21 * _xlfn.XLOOKUP(B37,'Base stats'!B:B,'Base stats'!BX:BX),0.1),0.05),
MAX(MROUND(((MIN(10,_xlfn.XLOOKUP(B37,'Base stats'!B:B,'Base stats'!U:U)))^0.4*_xlfn.XLOOKUP(B37,'Base stats'!B:B,'Base stats'!BH:BH)^0.73)^0.6 * _xlfn.XLOOKUP(B37,'Base stats'!B:B,'Base stats'!BX:BX),0.1),0.05)
))</f>
        <v>No</v>
      </c>
      <c r="H37" s="11" t="str">
        <f>IF(G37="No","No",
MROUND(_xlfn.XLOOKUP(B37,'Base stats'!B:B,'Base stats'!BH:BH) * 0.01 * 2 + 0.05, 0.05)
)</f>
        <v>No</v>
      </c>
      <c r="I37" s="11" t="str">
        <f>IF(G37="No","No",IF(_xlfn.XLOOKUP(B37,'Base stats'!B:B,'Base stats'!U:U)="No","No",
MROUND(_xlfn.XLOOKUP(B37,'Base stats'!B:B,'Base stats'!BT:BT)/10000+0.01,0.01)
))</f>
        <v>No</v>
      </c>
      <c r="J37" s="4" t="str">
        <f>IF(G37="No","No",
MROUND(_xlfn.XLOOKUP(B37,'Base stats'!B:B,'Base stats'!BE:BE)^0.25
/((_xlfn.XLOOKUP(B37,'Base stats'!B:B,'Base stats'!BL:BL))*10)*_xlfn.XLOOKUP(_xlfn.XLOOKUP(B37,'Base stats'!B:B,'Base stats'!E:E),Groups!A:A,Groups!Q:Q)*150 + 0.5 + _xlfn.XLOOKUP(B37,'Base stats'!B:B,'Base stats'!BW:BW),
0.05))</f>
        <v>No</v>
      </c>
      <c r="K37" s="3" t="str">
        <f>IF(Animals!X37="No","No",
IF(_xlfn.XLOOKUP(_xlfn.XLOOKUP(B37,'Base stats'!B:B,'Base stats'!E:E),Groups!A:A,Groups!BD:BD)=1,
MAX(MROUND(_xlfn.XLOOKUP(B37,'Base stats'!B:B,'Base stats'!BU:BU) * _xlfn.XLOOKUP(B37,'Base stats'!B:B,'Base stats'!BQ:BQ)^0.9 / 21 *_xlfn.XLOOKUP(B37,'Base stats'!B:B,'Base stats'!BX:BX),0.1),0.05),
MAX(MROUND(((MIN(10,_xlfn.XLOOKUP(B37,'Base stats'!B:B,'Base stats'!W:W)))^0.4*_xlfn.XLOOKUP(B37,'Base stats'!B:B,'Base stats'!BI:BI)^0.73)^0.6 *_xlfn.XLOOKUP(B37,'Base stats'!B:B,'Base stats'!BX:BX),0.1),0.05)
))</f>
        <v>No</v>
      </c>
      <c r="L37" s="11" t="str">
        <f>IF(K37="No","No",
MROUND(_xlfn.XLOOKUP(B37,'Base stats'!B:B,'Base stats'!BI:BI) * 0.01 *2 + 0.05, 0.05)
)</f>
        <v>No</v>
      </c>
      <c r="M37" s="5" t="str">
        <f>IF(K37="No","No",IF(_xlfn.XLOOKUP(_xlfn.XLOOKUP(B37,'Base stats'!B:B,'Base stats'!E:E),Groups!A:A,Groups!BD:BD)=1,"No",
MROUND(_xlfn.XLOOKUP(B37,'Base stats'!B:B,'Base stats'!BU:BU)/10000+0.01,0.01)
))</f>
        <v>No</v>
      </c>
      <c r="N37" s="4" t="str">
        <f>IF(K37="No","No",
MROUND(
  _xlfn.XLOOKUP(B37,'Base stats'!B:B,'Base stats'!BC:BC)^0.25
  / (_xlfn.XLOOKUP(B37,'Base stats'!B:B,'Base stats'!BM:BM) * 10)
  * _xlfn.XLOOKUP(
      _xlfn.XLOOKUP(B37,'Base stats'!B:B,'Base stats'!E:E),
      Groups!A:A,
      Groups!V:V
    ) * 150
  + MIN(12, _xlfn.XLOOKUP(B37,'Base stats'!B:B,'Base stats'!W:W))^(1/IF(_xlfn.XLOOKUP(_xlfn.XLOOKUP(B37,'Base stats'!B:B,'Base stats'!E:E),Groups!A:A,Groups!U:U)=1,100,10)) + 0.5 + _xlfn.XLOOKUP(B37,'Base stats'!B:B,'Base stats'!BW:BW),
0.05))</f>
        <v>No</v>
      </c>
      <c r="O37" s="3">
        <f>IF(Animals!AD37="No","No",
MAX(MROUND((MIN(10,_xlfn.XLOOKUP(B37,'Base stats'!B:B,'Base stats'!V:V)*IF(_xlfn.XLOOKUP(_xlfn.XLOOKUP(B37,'Base stats'!B:B,'Base stats'!E:E),Groups!A:A,Groups!O:O)=0,1,0.33))^0.4*_xlfn.XLOOKUP(B37,'Base stats'!B:B,'Base stats'!BJ:BJ)^0.73)^0.6 *_xlfn.XLOOKUP(B37,'Base stats'!B:B,'Base stats'!BX:BX),0.1),0.05)
)</f>
        <v>1.5</v>
      </c>
      <c r="P37" s="11">
        <f>IF(O37="No","No",
MROUND(_xlfn.XLOOKUP(B37,'Base stats'!B:B,'Base stats'!BJ:BJ) * 0.01 * 2 + 0.05, 0.05)
)</f>
        <v>0.1</v>
      </c>
      <c r="Q37" s="5">
        <f>IF(O37="No","No",
MROUND(_xlfn.XLOOKUP(B37,'Base stats'!B:B,'Base stats'!BV:BV)/10000+0.01,0.01)
)</f>
        <v>0.04</v>
      </c>
      <c r="R37" s="4">
        <f>IF(O37="No","No",
MROUND(_xlfn.XLOOKUP(B37,'Base stats'!B:B,'Base stats'!BB:BB)^0.25
/((_xlfn.XLOOKUP(B37,'Base stats'!B:B,'Base stats'!BN:BN))*10)*_xlfn.XLOOKUP(_xlfn.XLOOKUP(B37,'Base stats'!B:B,'Base stats'!E:E),Groups!A:A,Groups!Z:Z)*150 + 0.5 + _xlfn.XLOOKUP(B37,'Base stats'!B:B,'Base stats'!BW:BW),
0.05))</f>
        <v>2.0500000000000003</v>
      </c>
      <c r="S37" s="3" t="str">
        <f>IF(Animals!AI37="No","No",
IF(_xlfn.XLOOKUP(B37,'Base stats'!B:B,'Base stats'!U:U)="No",
MAX(MROUND(_xlfn.XLOOKUP(B37,'Base stats'!B:B,'Base stats'!BT:BT) * _xlfn.XLOOKUP(B37,'Base stats'!B:B,'Base stats'!BP:BP)^0.9 / 21 * _xlfn.XLOOKUP(B37,'Base stats'!B:B,'Base stats'!BX:BX),0.1),0.05),
MAX(MROUND(((MIN(12,_xlfn.XLOOKUP(B37,'Base stats'!B:B,'Base stats'!U:U)))^0.4*_xlfn.XLOOKUP(B37,'Base stats'!B:B,'Base stats'!BH:BH)^0.73)^0.6 * _xlfn.XLOOKUP(B37,'Base stats'!B:B,'Base stats'!BX:BX),0.1),0.05)
))</f>
        <v>No</v>
      </c>
      <c r="T37" s="11" t="str">
        <f>IF(S37="No","No",
MROUND(_xlfn.XLOOKUP(B37,'Base stats'!B:B,'Base stats'!BH:BH) * 0.01 * 2 + 0.05, 0.05)
)</f>
        <v>No</v>
      </c>
      <c r="U37" s="5" t="str">
        <f>IF(S37="No","No",IF(_xlfn.XLOOKUP(B37,'Base stats'!B:B,'Base stats'!U:U)="No","No",
MROUND(_xlfn.XLOOKUP(B37,'Base stats'!B:B,'Base stats'!BT:BT)/10000+0.01,0.01)
))</f>
        <v>No</v>
      </c>
      <c r="V37" s="4" t="str">
        <f>IF(S37="No","No",
MROUND(_xlfn.XLOOKUP(B37,'Base stats'!B:B,'Base stats'!BF:BF)^0.25
/((_xlfn.XLOOKUP(B37,'Base stats'!B:B,'Base stats'!BO:BO))*10)*_xlfn.XLOOKUP(_xlfn.XLOOKUP(B37,'Base stats'!B:B,'Base stats'!E:E),Groups!A:A,Groups!AE:AE)*150 + 0.5 + _xlfn.XLOOKUP(B37,'Base stats'!B:B,'Base stats'!BW:BW),
0.05))</f>
        <v>No</v>
      </c>
      <c r="W37" s="8">
        <f>MROUND(_xlfn.XLOOKUP(_xlfn.XLOOKUP(B37,'Base stats'!B:B,'Base stats'!E:E),Groups!A:A,Groups!BG:BG)*_xlfn.XLOOKUP(B37,'Base stats'!B:B,'Base stats'!C:C)^-0.165,0.05)</f>
        <v>0.75</v>
      </c>
      <c r="X37" s="1">
        <f>MROUND(_xlfn.XLOOKUP(_xlfn.XLOOKUP(B37,'Base stats'!B:B,'Base stats'!E:E),Groups!A:A,Groups!BH:BH)*_xlfn.XLOOKUP(B37,'Base stats'!B:B,'Base stats'!C:C)^0.165,0.05)</f>
        <v>0</v>
      </c>
      <c r="Y37" s="8">
        <f>MROUND(_xlfn.XLOOKUP(_xlfn.XLOOKUP(B37,'Base stats'!B:B,'Base stats'!E:E),Groups!A:A,Groups!BI:BI)*_xlfn.XLOOKUP(B37,'Base stats'!B:B,'Base stats'!C:C)^0.165,0.05)</f>
        <v>0</v>
      </c>
      <c r="Z37" s="18">
        <f>MROUND(_xlfn.XLOOKUP(B37,'Base stats'!B:B,'Base stats'!AQ:AQ)*_xlfn.XLOOKUP(_xlfn.XLOOKUP(B37,'Base stats'!B:B,'Base stats'!E:E),Groups!A:A,Groups!H:H)/1000,IF((_xlfn.XLOOKUP(B37,'Base stats'!B:B,'Base stats'!AQ:AQ)*_xlfn.XLOOKUP(_xlfn.XLOOKUP(B37,'Base stats'!B:B,'Base stats'!E:E),Groups!A:A,Groups!H:H)/1000)&gt;1,0.05,0.01))</f>
        <v>0.02</v>
      </c>
      <c r="AA37" s="18">
        <f>MROUND((1/2)*(_xlfn.XLOOKUP(_xlfn.XLOOKUP(B37,'Base stats'!B:B,'Base stats'!E:E),Groups!A:A,Groups!H:H)*_xlfn.XLOOKUP(_xlfn.XLOOKUP(B37,'Base stats'!B:B,'Base stats'!E:E),Groups!A:A,Groups!I:I))*_xlfn.XLOOKUP(B37,'Base stats'!B:B,'Base stats'!AQ:AQ)*0.01,0.05)</f>
        <v>0.05</v>
      </c>
      <c r="AB37" s="18">
        <f>MROUND(250*(Animals!AO37+Animals!AP37),25)</f>
        <v>75</v>
      </c>
      <c r="AC37" s="18" t="str">
        <f>_xlfn.XLOOKUP(_xlfn.XLOOKUP(B37,'Base stats'!B:B,'Base stats'!E:E),Groups!A:A,Groups!BJ:BJ)</f>
        <v>QuadrupedLow</v>
      </c>
    </row>
    <row r="38" spans="1:29" ht="16.5" thickTop="1" thickBot="1" x14ac:dyDescent="0.3">
      <c r="A38" s="16" t="str">
        <f>Animals!A38</f>
        <v>Chinchilla</v>
      </c>
      <c r="B38" s="6" t="str">
        <f>Animals!B38</f>
        <v>Chinchilla lanigera</v>
      </c>
      <c r="C38" s="1" t="str">
        <f>Animals!C38</f>
        <v>&lt;li&gt;Chinchilla&lt;/li&gt;</v>
      </c>
      <c r="D38" s="47">
        <f>MIN(MIN(6,_xlfn.XLOOKUP(A38,Animals!A:A,Animals!AO:AO))*20,MAX(MROUND(_xlfn.XLOOKUP(B38,'Base stats'!B:B,'Base stats'!BS:BS) * (_xlfn.XLOOKUP(B38,'Base stats'!B:B,'Base stats'!AO:AO)*5%)^0.9 / 21,0.1),0.05))</f>
        <v>0.05</v>
      </c>
      <c r="E38" s="11">
        <f>MROUND(_xlfn.XLOOKUP(B38,'Base stats'!B:B,'Base stats'!BG:BG) * 0.01 * 2 + 0.01, 0.05)</f>
        <v>0.05</v>
      </c>
      <c r="F38" s="7">
        <f>MROUND(_xlfn.XLOOKUP(B38,'Base stats'!B:B,'Base stats'!BD:BD)^0.25 / (_xlfn.XLOOKUP(B38,'Base stats'!B:B,'Base stats'!BK:BK) * 10) * 150 + 0.5 + _xlfn.XLOOKUP(B38,'Base stats'!B:B,'Base stats'!BW:BW), 0.05)</f>
        <v>1.2000000000000002</v>
      </c>
      <c r="G38" s="3" t="str">
        <f>IF(Animals!S38="No","No",
IF(_xlfn.XLOOKUP(B38,'Base stats'!B:B,'Base stats'!U:U)="No",
MAX(MROUND(_xlfn.XLOOKUP(B38,'Base stats'!B:B,'Base stats'!BT:BT) * _xlfn.XLOOKUP(B38,'Base stats'!B:B,'Base stats'!BP:BP)^0.9 / 21 * _xlfn.XLOOKUP(B38,'Base stats'!B:B,'Base stats'!BX:BX),0.1),0.05),
MAX(MROUND(((MIN(10,_xlfn.XLOOKUP(B38,'Base stats'!B:B,'Base stats'!U:U)))^0.4*_xlfn.XLOOKUP(B38,'Base stats'!B:B,'Base stats'!BH:BH)^0.73)^0.6 * _xlfn.XLOOKUP(B38,'Base stats'!B:B,'Base stats'!BX:BX),0.1),0.05)
))</f>
        <v>No</v>
      </c>
      <c r="H38" s="11" t="str">
        <f>IF(G38="No","No",
MROUND(_xlfn.XLOOKUP(B38,'Base stats'!B:B,'Base stats'!BH:BH) * 0.01 * 2 + 0.05, 0.05)
)</f>
        <v>No</v>
      </c>
      <c r="I38" s="11" t="str">
        <f>IF(G38="No","No",IF(_xlfn.XLOOKUP(B38,'Base stats'!B:B,'Base stats'!U:U)="No","No",
MROUND(_xlfn.XLOOKUP(B38,'Base stats'!B:B,'Base stats'!BT:BT)/10000+0.01,0.01)
))</f>
        <v>No</v>
      </c>
      <c r="J38" s="4" t="str">
        <f>IF(G38="No","No",
MROUND(_xlfn.XLOOKUP(B38,'Base stats'!B:B,'Base stats'!BE:BE)^0.25
/((_xlfn.XLOOKUP(B38,'Base stats'!B:B,'Base stats'!BL:BL))*10)*_xlfn.XLOOKUP(_xlfn.XLOOKUP(B38,'Base stats'!B:B,'Base stats'!E:E),Groups!A:A,Groups!Q:Q)*150 + 0.5 + _xlfn.XLOOKUP(B38,'Base stats'!B:B,'Base stats'!BW:BW),
0.05))</f>
        <v>No</v>
      </c>
      <c r="K38" s="3" t="str">
        <f>IF(Animals!X38="No","No",
IF(_xlfn.XLOOKUP(_xlfn.XLOOKUP(B38,'Base stats'!B:B,'Base stats'!E:E),Groups!A:A,Groups!BD:BD)=1,
MAX(MROUND(_xlfn.XLOOKUP(B38,'Base stats'!B:B,'Base stats'!BU:BU) * _xlfn.XLOOKUP(B38,'Base stats'!B:B,'Base stats'!BQ:BQ)^0.9 / 21 *_xlfn.XLOOKUP(B38,'Base stats'!B:B,'Base stats'!BX:BX),0.1),0.05),
MAX(MROUND(((MIN(10,_xlfn.XLOOKUP(B38,'Base stats'!B:B,'Base stats'!W:W)))^0.4*_xlfn.XLOOKUP(B38,'Base stats'!B:B,'Base stats'!BI:BI)^0.73)^0.6 *_xlfn.XLOOKUP(B38,'Base stats'!B:B,'Base stats'!BX:BX),0.1),0.05)
))</f>
        <v>No</v>
      </c>
      <c r="L38" s="11" t="str">
        <f>IF(K38="No","No",
MROUND(_xlfn.XLOOKUP(B38,'Base stats'!B:B,'Base stats'!BI:BI) * 0.01 *2 + 0.05, 0.05)
)</f>
        <v>No</v>
      </c>
      <c r="M38" s="5" t="str">
        <f>IF(K38="No","No",IF(_xlfn.XLOOKUP(_xlfn.XLOOKUP(B38,'Base stats'!B:B,'Base stats'!E:E),Groups!A:A,Groups!BD:BD)=1,"No",
MROUND(_xlfn.XLOOKUP(B38,'Base stats'!B:B,'Base stats'!BU:BU)/10000+0.01,0.01)
))</f>
        <v>No</v>
      </c>
      <c r="N38" s="4" t="str">
        <f>IF(K38="No","No",
MROUND(
  _xlfn.XLOOKUP(B38,'Base stats'!B:B,'Base stats'!BC:BC)^0.25
  / (_xlfn.XLOOKUP(B38,'Base stats'!B:B,'Base stats'!BM:BM) * 10)
  * _xlfn.XLOOKUP(
      _xlfn.XLOOKUP(B38,'Base stats'!B:B,'Base stats'!E:E),
      Groups!A:A,
      Groups!V:V
    ) * 150
  + MIN(12, _xlfn.XLOOKUP(B38,'Base stats'!B:B,'Base stats'!W:W))^(1/IF(_xlfn.XLOOKUP(_xlfn.XLOOKUP(B38,'Base stats'!B:B,'Base stats'!E:E),Groups!A:A,Groups!U:U)=1,100,10)) + 0.5 + _xlfn.XLOOKUP(B38,'Base stats'!B:B,'Base stats'!BW:BW),
0.05))</f>
        <v>No</v>
      </c>
      <c r="O38" s="3">
        <f>IF(Animals!AD38="No","No",
MAX(MROUND((MIN(10,_xlfn.XLOOKUP(B38,'Base stats'!B:B,'Base stats'!V:V)*IF(_xlfn.XLOOKUP(_xlfn.XLOOKUP(B38,'Base stats'!B:B,'Base stats'!E:E),Groups!A:A,Groups!O:O)=0,1,0.33))^0.4*_xlfn.XLOOKUP(B38,'Base stats'!B:B,'Base stats'!BJ:BJ)^0.73)^0.6 *_xlfn.XLOOKUP(B38,'Base stats'!B:B,'Base stats'!BX:BX),0.1),0.05)
)</f>
        <v>1.6</v>
      </c>
      <c r="P38" s="11">
        <f>IF(O38="No","No",
MROUND(_xlfn.XLOOKUP(B38,'Base stats'!B:B,'Base stats'!BJ:BJ) * 0.01 * 2 + 0.05, 0.05)
)</f>
        <v>0.1</v>
      </c>
      <c r="Q38" s="5">
        <f>IF(O38="No","No",
MROUND(_xlfn.XLOOKUP(B38,'Base stats'!B:B,'Base stats'!BV:BV)/10000+0.01,0.01)
)</f>
        <v>0.04</v>
      </c>
      <c r="R38" s="4">
        <f>IF(O38="No","No",
MROUND(_xlfn.XLOOKUP(B38,'Base stats'!B:B,'Base stats'!BB:BB)^0.25
/((_xlfn.XLOOKUP(B38,'Base stats'!B:B,'Base stats'!BN:BN))*10)*_xlfn.XLOOKUP(_xlfn.XLOOKUP(B38,'Base stats'!B:B,'Base stats'!E:E),Groups!A:A,Groups!Z:Z)*150 + 0.5 + _xlfn.XLOOKUP(B38,'Base stats'!B:B,'Base stats'!BW:BW),
0.05))</f>
        <v>1.9500000000000002</v>
      </c>
      <c r="S38" s="3" t="str">
        <f>IF(Animals!AI38="No","No",
IF(_xlfn.XLOOKUP(B38,'Base stats'!B:B,'Base stats'!U:U)="No",
MAX(MROUND(_xlfn.XLOOKUP(B38,'Base stats'!B:B,'Base stats'!BT:BT) * _xlfn.XLOOKUP(B38,'Base stats'!B:B,'Base stats'!BP:BP)^0.9 / 21 * _xlfn.XLOOKUP(B38,'Base stats'!B:B,'Base stats'!BX:BX),0.1),0.05),
MAX(MROUND(((MIN(12,_xlfn.XLOOKUP(B38,'Base stats'!B:B,'Base stats'!U:U)))^0.4*_xlfn.XLOOKUP(B38,'Base stats'!B:B,'Base stats'!BH:BH)^0.73)^0.6 * _xlfn.XLOOKUP(B38,'Base stats'!B:B,'Base stats'!BX:BX),0.1),0.05)
))</f>
        <v>No</v>
      </c>
      <c r="T38" s="11" t="str">
        <f>IF(S38="No","No",
MROUND(_xlfn.XLOOKUP(B38,'Base stats'!B:B,'Base stats'!BH:BH) * 0.01 * 2 + 0.05, 0.05)
)</f>
        <v>No</v>
      </c>
      <c r="U38" s="5" t="str">
        <f>IF(S38="No","No",IF(_xlfn.XLOOKUP(B38,'Base stats'!B:B,'Base stats'!U:U)="No","No",
MROUND(_xlfn.XLOOKUP(B38,'Base stats'!B:B,'Base stats'!BT:BT)/10000+0.01,0.01)
))</f>
        <v>No</v>
      </c>
      <c r="V38" s="4" t="str">
        <f>IF(S38="No","No",
MROUND(_xlfn.XLOOKUP(B38,'Base stats'!B:B,'Base stats'!BF:BF)^0.25
/((_xlfn.XLOOKUP(B38,'Base stats'!B:B,'Base stats'!BO:BO))*10)*_xlfn.XLOOKUP(_xlfn.XLOOKUP(B38,'Base stats'!B:B,'Base stats'!E:E),Groups!A:A,Groups!AE:AE)*150 + 0.5 + _xlfn.XLOOKUP(B38,'Base stats'!B:B,'Base stats'!BW:BW),
0.05))</f>
        <v>No</v>
      </c>
      <c r="W38" s="8">
        <f>MROUND(_xlfn.XLOOKUP(_xlfn.XLOOKUP(B38,'Base stats'!B:B,'Base stats'!E:E),Groups!A:A,Groups!BG:BG)*_xlfn.XLOOKUP(B38,'Base stats'!B:B,'Base stats'!C:C)^-0.165,0.05)</f>
        <v>0.75</v>
      </c>
      <c r="X38" s="1">
        <f>MROUND(_xlfn.XLOOKUP(_xlfn.XLOOKUP(B38,'Base stats'!B:B,'Base stats'!E:E),Groups!A:A,Groups!BH:BH)*_xlfn.XLOOKUP(B38,'Base stats'!B:B,'Base stats'!C:C)^0.165,0.05)</f>
        <v>0</v>
      </c>
      <c r="Y38" s="8">
        <f>MROUND(_xlfn.XLOOKUP(_xlfn.XLOOKUP(B38,'Base stats'!B:B,'Base stats'!E:E),Groups!A:A,Groups!BI:BI)*_xlfn.XLOOKUP(B38,'Base stats'!B:B,'Base stats'!C:C)^0.165,0.05)</f>
        <v>0</v>
      </c>
      <c r="Z38" s="18">
        <f>MROUND(_xlfn.XLOOKUP(B38,'Base stats'!B:B,'Base stats'!AQ:AQ)*_xlfn.XLOOKUP(_xlfn.XLOOKUP(B38,'Base stats'!B:B,'Base stats'!E:E),Groups!A:A,Groups!H:H)/1000,IF((_xlfn.XLOOKUP(B38,'Base stats'!B:B,'Base stats'!AQ:AQ)*_xlfn.XLOOKUP(_xlfn.XLOOKUP(B38,'Base stats'!B:B,'Base stats'!E:E),Groups!A:A,Groups!H:H)/1000)&gt;1,0.05,0.01))</f>
        <v>0.02</v>
      </c>
      <c r="AA38" s="18">
        <f>MROUND((1/2)*(_xlfn.XLOOKUP(_xlfn.XLOOKUP(B38,'Base stats'!B:B,'Base stats'!E:E),Groups!A:A,Groups!H:H)*_xlfn.XLOOKUP(_xlfn.XLOOKUP(B38,'Base stats'!B:B,'Base stats'!E:E),Groups!A:A,Groups!I:I))*_xlfn.XLOOKUP(B38,'Base stats'!B:B,'Base stats'!AQ:AQ)*0.01,0.05)</f>
        <v>0.05</v>
      </c>
      <c r="AB38" s="18">
        <f>MROUND(250*(Animals!AO38+Animals!AP38),25)</f>
        <v>75</v>
      </c>
      <c r="AC38" s="18" t="str">
        <f>_xlfn.XLOOKUP(_xlfn.XLOOKUP(B38,'Base stats'!B:B,'Base stats'!E:E),Groups!A:A,Groups!BJ:BJ)</f>
        <v>QuadrupedLow</v>
      </c>
    </row>
    <row r="39" spans="1:29" ht="16.5" thickTop="1" thickBot="1" x14ac:dyDescent="0.3">
      <c r="A39" s="16" t="str">
        <f>Animals!A39</f>
        <v>Capybara</v>
      </c>
      <c r="B39" s="6" t="str">
        <f>Animals!B39</f>
        <v>Hydrochaeris hydrochaeris</v>
      </c>
      <c r="C39" s="1" t="str">
        <f>Animals!C39</f>
        <v>&lt;li&gt;Capybara&lt;/li&gt;</v>
      </c>
      <c r="D39" s="47">
        <f>MIN(MIN(6,_xlfn.XLOOKUP(A39,Animals!A:A,Animals!AO:AO))*20,MAX(MROUND(_xlfn.XLOOKUP(B39,'Base stats'!B:B,'Base stats'!BS:BS) * (_xlfn.XLOOKUP(B39,'Base stats'!B:B,'Base stats'!AO:AO)*5%)^0.9 / 21,0.1),0.05))</f>
        <v>1.9000000000000001</v>
      </c>
      <c r="E39" s="11">
        <f>MROUND(_xlfn.XLOOKUP(B39,'Base stats'!B:B,'Base stats'!BG:BG) * 0.01 * 2 + 0.01, 0.05)</f>
        <v>1.6</v>
      </c>
      <c r="F39" s="7">
        <f>MROUND(_xlfn.XLOOKUP(B39,'Base stats'!B:B,'Base stats'!BD:BD)^0.25 / (_xlfn.XLOOKUP(B39,'Base stats'!B:B,'Base stats'!BK:BK) * 10) * 150 + 0.5 + _xlfn.XLOOKUP(B39,'Base stats'!B:B,'Base stats'!BW:BW), 0.05)</f>
        <v>1.6</v>
      </c>
      <c r="G39" s="3" t="str">
        <f>IF(Animals!S39="No","No",
IF(_xlfn.XLOOKUP(B39,'Base stats'!B:B,'Base stats'!U:U)="No",
MAX(MROUND(_xlfn.XLOOKUP(B39,'Base stats'!B:B,'Base stats'!BT:BT) * _xlfn.XLOOKUP(B39,'Base stats'!B:B,'Base stats'!BP:BP)^0.9 / 21 * _xlfn.XLOOKUP(B39,'Base stats'!B:B,'Base stats'!BX:BX),0.1),0.05),
MAX(MROUND(((MIN(10,_xlfn.XLOOKUP(B39,'Base stats'!B:B,'Base stats'!U:U)))^0.4*_xlfn.XLOOKUP(B39,'Base stats'!B:B,'Base stats'!BH:BH)^0.73)^0.6 * _xlfn.XLOOKUP(B39,'Base stats'!B:B,'Base stats'!BX:BX),0.1),0.05)
))</f>
        <v>No</v>
      </c>
      <c r="H39" s="11" t="str">
        <f>IF(G39="No","No",
MROUND(_xlfn.XLOOKUP(B39,'Base stats'!B:B,'Base stats'!BH:BH) * 0.01 * 2 + 0.05, 0.05)
)</f>
        <v>No</v>
      </c>
      <c r="I39" s="11" t="str">
        <f>IF(G39="No","No",IF(_xlfn.XLOOKUP(B39,'Base stats'!B:B,'Base stats'!U:U)="No","No",
MROUND(_xlfn.XLOOKUP(B39,'Base stats'!B:B,'Base stats'!BT:BT)/10000+0.01,0.01)
))</f>
        <v>No</v>
      </c>
      <c r="J39" s="4" t="str">
        <f>IF(G39="No","No",
MROUND(_xlfn.XLOOKUP(B39,'Base stats'!B:B,'Base stats'!BE:BE)^0.25
/((_xlfn.XLOOKUP(B39,'Base stats'!B:B,'Base stats'!BL:BL))*10)*_xlfn.XLOOKUP(_xlfn.XLOOKUP(B39,'Base stats'!B:B,'Base stats'!E:E),Groups!A:A,Groups!Q:Q)*150 + 0.5 + _xlfn.XLOOKUP(B39,'Base stats'!B:B,'Base stats'!BW:BW),
0.05))</f>
        <v>No</v>
      </c>
      <c r="K39" s="3" t="str">
        <f>IF(Animals!X39="No","No",
IF(_xlfn.XLOOKUP(_xlfn.XLOOKUP(B39,'Base stats'!B:B,'Base stats'!E:E),Groups!A:A,Groups!BD:BD)=1,
MAX(MROUND(_xlfn.XLOOKUP(B39,'Base stats'!B:B,'Base stats'!BU:BU) * _xlfn.XLOOKUP(B39,'Base stats'!B:B,'Base stats'!BQ:BQ)^0.9 / 21 *_xlfn.XLOOKUP(B39,'Base stats'!B:B,'Base stats'!BX:BX),0.1),0.05),
MAX(MROUND(((MIN(10,_xlfn.XLOOKUP(B39,'Base stats'!B:B,'Base stats'!W:W)))^0.4*_xlfn.XLOOKUP(B39,'Base stats'!B:B,'Base stats'!BI:BI)^0.73)^0.6 *_xlfn.XLOOKUP(B39,'Base stats'!B:B,'Base stats'!BX:BX),0.1),0.05)
))</f>
        <v>No</v>
      </c>
      <c r="L39" s="11" t="str">
        <f>IF(K39="No","No",
MROUND(_xlfn.XLOOKUP(B39,'Base stats'!B:B,'Base stats'!BI:BI) * 0.01 *2 + 0.05, 0.05)
)</f>
        <v>No</v>
      </c>
      <c r="M39" s="5" t="str">
        <f>IF(K39="No","No",IF(_xlfn.XLOOKUP(_xlfn.XLOOKUP(B39,'Base stats'!B:B,'Base stats'!E:E),Groups!A:A,Groups!BD:BD)=1,"No",
MROUND(_xlfn.XLOOKUP(B39,'Base stats'!B:B,'Base stats'!BU:BU)/10000+0.01,0.01)
))</f>
        <v>No</v>
      </c>
      <c r="N39" s="4" t="str">
        <f>IF(K39="No","No",
MROUND(
  _xlfn.XLOOKUP(B39,'Base stats'!B:B,'Base stats'!BC:BC)^0.25
  / (_xlfn.XLOOKUP(B39,'Base stats'!B:B,'Base stats'!BM:BM) * 10)
  * _xlfn.XLOOKUP(
      _xlfn.XLOOKUP(B39,'Base stats'!B:B,'Base stats'!E:E),
      Groups!A:A,
      Groups!V:V
    ) * 150
  + MIN(12, _xlfn.XLOOKUP(B39,'Base stats'!B:B,'Base stats'!W:W))^(1/IF(_xlfn.XLOOKUP(_xlfn.XLOOKUP(B39,'Base stats'!B:B,'Base stats'!E:E),Groups!A:A,Groups!U:U)=1,100,10)) + 0.5 + _xlfn.XLOOKUP(B39,'Base stats'!B:B,'Base stats'!BW:BW),
0.05))</f>
        <v>No</v>
      </c>
      <c r="O39" s="3">
        <f>IF(Animals!AD39="No","No",
MAX(MROUND((MIN(10,_xlfn.XLOOKUP(B39,'Base stats'!B:B,'Base stats'!V:V)*IF(_xlfn.XLOOKUP(_xlfn.XLOOKUP(B39,'Base stats'!B:B,'Base stats'!E:E),Groups!A:A,Groups!O:O)=0,1,0.33))^0.4*_xlfn.XLOOKUP(B39,'Base stats'!B:B,'Base stats'!BJ:BJ)^0.73)^0.6 *_xlfn.XLOOKUP(B39,'Base stats'!B:B,'Base stats'!BX:BX),0.1),0.05)
)</f>
        <v>8.8000000000000007</v>
      </c>
      <c r="P39" s="11">
        <f>IF(O39="No","No",
MROUND(_xlfn.XLOOKUP(B39,'Base stats'!B:B,'Base stats'!BJ:BJ) * 0.01 * 2 + 0.05, 0.05)
)</f>
        <v>1</v>
      </c>
      <c r="Q39" s="5">
        <f>IF(O39="No","No",
MROUND(_xlfn.XLOOKUP(B39,'Base stats'!B:B,'Base stats'!BV:BV)/10000+0.01,0.01)
)</f>
        <v>7.0000000000000007E-2</v>
      </c>
      <c r="R39" s="4">
        <f>IF(O39="No","No",
MROUND(_xlfn.XLOOKUP(B39,'Base stats'!B:B,'Base stats'!BB:BB)^0.25
/((_xlfn.XLOOKUP(B39,'Base stats'!B:B,'Base stats'!BN:BN))*10)*_xlfn.XLOOKUP(_xlfn.XLOOKUP(B39,'Base stats'!B:B,'Base stats'!E:E),Groups!A:A,Groups!Z:Z)*150 + 0.5 + _xlfn.XLOOKUP(B39,'Base stats'!B:B,'Base stats'!BW:BW),
0.05))</f>
        <v>2.1</v>
      </c>
      <c r="S39" s="3" t="str">
        <f>IF(Animals!AI39="No","No",
IF(_xlfn.XLOOKUP(B39,'Base stats'!B:B,'Base stats'!U:U)="No",
MAX(MROUND(_xlfn.XLOOKUP(B39,'Base stats'!B:B,'Base stats'!BT:BT) * _xlfn.XLOOKUP(B39,'Base stats'!B:B,'Base stats'!BP:BP)^0.9 / 21 * _xlfn.XLOOKUP(B39,'Base stats'!B:B,'Base stats'!BX:BX),0.1),0.05),
MAX(MROUND(((MIN(12,_xlfn.XLOOKUP(B39,'Base stats'!B:B,'Base stats'!U:U)))^0.4*_xlfn.XLOOKUP(B39,'Base stats'!B:B,'Base stats'!BH:BH)^0.73)^0.6 * _xlfn.XLOOKUP(B39,'Base stats'!B:B,'Base stats'!BX:BX),0.1),0.05)
))</f>
        <v>No</v>
      </c>
      <c r="T39" s="11" t="str">
        <f>IF(S39="No","No",
MROUND(_xlfn.XLOOKUP(B39,'Base stats'!B:B,'Base stats'!BH:BH) * 0.01 * 2 + 0.05, 0.05)
)</f>
        <v>No</v>
      </c>
      <c r="U39" s="5" t="str">
        <f>IF(S39="No","No",IF(_xlfn.XLOOKUP(B39,'Base stats'!B:B,'Base stats'!U:U)="No","No",
MROUND(_xlfn.XLOOKUP(B39,'Base stats'!B:B,'Base stats'!BT:BT)/10000+0.01,0.01)
))</f>
        <v>No</v>
      </c>
      <c r="V39" s="4" t="str">
        <f>IF(S39="No","No",
MROUND(_xlfn.XLOOKUP(B39,'Base stats'!B:B,'Base stats'!BF:BF)^0.25
/((_xlfn.XLOOKUP(B39,'Base stats'!B:B,'Base stats'!BO:BO))*10)*_xlfn.XLOOKUP(_xlfn.XLOOKUP(B39,'Base stats'!B:B,'Base stats'!E:E),Groups!A:A,Groups!AE:AE)*150 + 0.5 + _xlfn.XLOOKUP(B39,'Base stats'!B:B,'Base stats'!BW:BW),
0.05))</f>
        <v>No</v>
      </c>
      <c r="W39" s="8">
        <f>MROUND(_xlfn.XLOOKUP(_xlfn.XLOOKUP(B39,'Base stats'!B:B,'Base stats'!E:E),Groups!A:A,Groups!BG:BG)*_xlfn.XLOOKUP(B39,'Base stats'!B:B,'Base stats'!C:C)^-0.165,0.05)</f>
        <v>0.35000000000000003</v>
      </c>
      <c r="X39" s="1">
        <f>MROUND(_xlfn.XLOOKUP(_xlfn.XLOOKUP(B39,'Base stats'!B:B,'Base stats'!E:E),Groups!A:A,Groups!BH:BH)*_xlfn.XLOOKUP(B39,'Base stats'!B:B,'Base stats'!C:C)^0.165,0.05)</f>
        <v>0</v>
      </c>
      <c r="Y39" s="8">
        <f>MROUND(_xlfn.XLOOKUP(_xlfn.XLOOKUP(B39,'Base stats'!B:B,'Base stats'!E:E),Groups!A:A,Groups!BI:BI)*_xlfn.XLOOKUP(B39,'Base stats'!B:B,'Base stats'!C:C)^0.165,0.05)</f>
        <v>0</v>
      </c>
      <c r="Z39" s="18">
        <f>MROUND(_xlfn.XLOOKUP(B39,'Base stats'!B:B,'Base stats'!AQ:AQ)*_xlfn.XLOOKUP(_xlfn.XLOOKUP(B39,'Base stats'!B:B,'Base stats'!E:E),Groups!A:A,Groups!H:H)/1000,IF((_xlfn.XLOOKUP(B39,'Base stats'!B:B,'Base stats'!AQ:AQ)*_xlfn.XLOOKUP(_xlfn.XLOOKUP(B39,'Base stats'!B:B,'Base stats'!E:E),Groups!A:A,Groups!H:H)/1000)&gt;1,0.05,0.01))</f>
        <v>0.06</v>
      </c>
      <c r="AA39" s="18">
        <f>MROUND((1/2)*(_xlfn.XLOOKUP(_xlfn.XLOOKUP(B39,'Base stats'!B:B,'Base stats'!E:E),Groups!A:A,Groups!H:H)*_xlfn.XLOOKUP(_xlfn.XLOOKUP(B39,'Base stats'!B:B,'Base stats'!E:E),Groups!A:A,Groups!I:I))*_xlfn.XLOOKUP(B39,'Base stats'!B:B,'Base stats'!AQ:AQ)*0.01,0.05)</f>
        <v>0.25</v>
      </c>
      <c r="AB39" s="18">
        <f>MROUND(250*(Animals!AO39+Animals!AP39),25)</f>
        <v>450</v>
      </c>
      <c r="AC39" s="18" t="str">
        <f>_xlfn.XLOOKUP(_xlfn.XLOOKUP(B39,'Base stats'!B:B,'Base stats'!E:E),Groups!A:A,Groups!BJ:BJ)</f>
        <v>Quadruped</v>
      </c>
    </row>
    <row r="40" spans="1:29" ht="16.5" thickTop="1" thickBot="1" x14ac:dyDescent="0.3">
      <c r="A40" s="16" t="str">
        <f>Animals!A40</f>
        <v>Alphabeaver</v>
      </c>
      <c r="B40" s="6" t="str">
        <f>Animals!B40</f>
        <v>Castor nocivus</v>
      </c>
      <c r="C40" s="1" t="str">
        <f>Animals!C40</f>
        <v>&lt;li&gt;Alphabeaver&lt;/li&gt;</v>
      </c>
      <c r="D40" s="47">
        <f>MIN(MIN(6,_xlfn.XLOOKUP(A40,Animals!A:A,Animals!AO:AO))*20,MAX(MROUND(_xlfn.XLOOKUP(B40,'Base stats'!B:B,'Base stats'!BS:BS) * (_xlfn.XLOOKUP(B40,'Base stats'!B:B,'Base stats'!AO:AO)*5%)^0.9 / 21,0.1),0.05))</f>
        <v>1.3</v>
      </c>
      <c r="E40" s="11">
        <f>MROUND(_xlfn.XLOOKUP(B40,'Base stats'!B:B,'Base stats'!BG:BG) * 0.01 * 2 + 0.01, 0.05)</f>
        <v>1</v>
      </c>
      <c r="F40" s="7">
        <f>MROUND(_xlfn.XLOOKUP(B40,'Base stats'!B:B,'Base stats'!BD:BD)^0.25 / (_xlfn.XLOOKUP(B40,'Base stats'!B:B,'Base stats'!BK:BK) * 10) * 150 + 0.5 + _xlfn.XLOOKUP(B40,'Base stats'!B:B,'Base stats'!BW:BW), 0.05)</f>
        <v>1.5</v>
      </c>
      <c r="G40" s="3" t="str">
        <f>IF(Animals!S40="No","No",
IF(_xlfn.XLOOKUP(B40,'Base stats'!B:B,'Base stats'!U:U)="No",
MAX(MROUND(_xlfn.XLOOKUP(B40,'Base stats'!B:B,'Base stats'!BT:BT) * _xlfn.XLOOKUP(B40,'Base stats'!B:B,'Base stats'!BP:BP)^0.9 / 21 * _xlfn.XLOOKUP(B40,'Base stats'!B:B,'Base stats'!BX:BX),0.1),0.05),
MAX(MROUND(((MIN(10,_xlfn.XLOOKUP(B40,'Base stats'!B:B,'Base stats'!U:U)))^0.4*_xlfn.XLOOKUP(B40,'Base stats'!B:B,'Base stats'!BH:BH)^0.73)^0.6 * _xlfn.XLOOKUP(B40,'Base stats'!B:B,'Base stats'!BX:BX),0.1),0.05)
))</f>
        <v>No</v>
      </c>
      <c r="H40" s="11" t="str">
        <f>IF(G40="No","No",
MROUND(_xlfn.XLOOKUP(B40,'Base stats'!B:B,'Base stats'!BH:BH) * 0.01 * 2 + 0.05, 0.05)
)</f>
        <v>No</v>
      </c>
      <c r="I40" s="11" t="str">
        <f>IF(G40="No","No",IF(_xlfn.XLOOKUP(B40,'Base stats'!B:B,'Base stats'!U:U)="No","No",
MROUND(_xlfn.XLOOKUP(B40,'Base stats'!B:B,'Base stats'!BT:BT)/10000+0.01,0.01)
))</f>
        <v>No</v>
      </c>
      <c r="J40" s="4" t="str">
        <f>IF(G40="No","No",
MROUND(_xlfn.XLOOKUP(B40,'Base stats'!B:B,'Base stats'!BE:BE)^0.25
/((_xlfn.XLOOKUP(B40,'Base stats'!B:B,'Base stats'!BL:BL))*10)*_xlfn.XLOOKUP(_xlfn.XLOOKUP(B40,'Base stats'!B:B,'Base stats'!E:E),Groups!A:A,Groups!Q:Q)*150 + 0.5 + _xlfn.XLOOKUP(B40,'Base stats'!B:B,'Base stats'!BW:BW),
0.05))</f>
        <v>No</v>
      </c>
      <c r="K40" s="3" t="str">
        <f>IF(Animals!X40="No","No",
IF(_xlfn.XLOOKUP(_xlfn.XLOOKUP(B40,'Base stats'!B:B,'Base stats'!E:E),Groups!A:A,Groups!BD:BD)=1,
MAX(MROUND(_xlfn.XLOOKUP(B40,'Base stats'!B:B,'Base stats'!BU:BU) * _xlfn.XLOOKUP(B40,'Base stats'!B:B,'Base stats'!BQ:BQ)^0.9 / 21 *_xlfn.XLOOKUP(B40,'Base stats'!B:B,'Base stats'!BX:BX),0.1),0.05),
MAX(MROUND(((MIN(10,_xlfn.XLOOKUP(B40,'Base stats'!B:B,'Base stats'!W:W)))^0.4*_xlfn.XLOOKUP(B40,'Base stats'!B:B,'Base stats'!BI:BI)^0.73)^0.6 *_xlfn.XLOOKUP(B40,'Base stats'!B:B,'Base stats'!BX:BX),0.1),0.05)
))</f>
        <v>No</v>
      </c>
      <c r="L40" s="11" t="str">
        <f>IF(K40="No","No",
MROUND(_xlfn.XLOOKUP(B40,'Base stats'!B:B,'Base stats'!BI:BI) * 0.01 *2 + 0.05, 0.05)
)</f>
        <v>No</v>
      </c>
      <c r="M40" s="5" t="str">
        <f>IF(K40="No","No",IF(_xlfn.XLOOKUP(_xlfn.XLOOKUP(B40,'Base stats'!B:B,'Base stats'!E:E),Groups!A:A,Groups!BD:BD)=1,"No",
MROUND(_xlfn.XLOOKUP(B40,'Base stats'!B:B,'Base stats'!BU:BU)/10000+0.01,0.01)
))</f>
        <v>No</v>
      </c>
      <c r="N40" s="4" t="str">
        <f>IF(K40="No","No",
MROUND(
  _xlfn.XLOOKUP(B40,'Base stats'!B:B,'Base stats'!BC:BC)^0.25
  / (_xlfn.XLOOKUP(B40,'Base stats'!B:B,'Base stats'!BM:BM) * 10)
  * _xlfn.XLOOKUP(
      _xlfn.XLOOKUP(B40,'Base stats'!B:B,'Base stats'!E:E),
      Groups!A:A,
      Groups!V:V
    ) * 150
  + MIN(12, _xlfn.XLOOKUP(B40,'Base stats'!B:B,'Base stats'!W:W))^(1/IF(_xlfn.XLOOKUP(_xlfn.XLOOKUP(B40,'Base stats'!B:B,'Base stats'!E:E),Groups!A:A,Groups!U:U)=1,100,10)) + 0.5 + _xlfn.XLOOKUP(B40,'Base stats'!B:B,'Base stats'!BW:BW),
0.05))</f>
        <v>No</v>
      </c>
      <c r="O40" s="3">
        <f>IF(Animals!AD40="No","No",
MAX(MROUND((MIN(10,_xlfn.XLOOKUP(B40,'Base stats'!B:B,'Base stats'!V:V)*IF(_xlfn.XLOOKUP(_xlfn.XLOOKUP(B40,'Base stats'!B:B,'Base stats'!E:E),Groups!A:A,Groups!O:O)=0,1,0.33))^0.4*_xlfn.XLOOKUP(B40,'Base stats'!B:B,'Base stats'!BJ:BJ)^0.73)^0.6 *_xlfn.XLOOKUP(B40,'Base stats'!B:B,'Base stats'!BX:BX),0.1),0.05)
)</f>
        <v>7.4</v>
      </c>
      <c r="P40" s="11">
        <f>IF(O40="No","No",
MROUND(_xlfn.XLOOKUP(B40,'Base stats'!B:B,'Base stats'!BJ:BJ) * 0.01 * 2 + 0.05, 0.05)
)</f>
        <v>1.2000000000000002</v>
      </c>
      <c r="Q40" s="5">
        <f>IF(O40="No","No",
MROUND(_xlfn.XLOOKUP(B40,'Base stats'!B:B,'Base stats'!BV:BV)/10000+0.01,0.01)
)</f>
        <v>0.1</v>
      </c>
      <c r="R40" s="4">
        <f>IF(O40="No","No",
MROUND(_xlfn.XLOOKUP(B40,'Base stats'!B:B,'Base stats'!BB:BB)^0.25
/((_xlfn.XLOOKUP(B40,'Base stats'!B:B,'Base stats'!BN:BN))*10)*_xlfn.XLOOKUP(_xlfn.XLOOKUP(B40,'Base stats'!B:B,'Base stats'!E:E),Groups!A:A,Groups!Z:Z)*150 + 0.5 + _xlfn.XLOOKUP(B40,'Base stats'!B:B,'Base stats'!BW:BW),
0.05))</f>
        <v>2.2000000000000002</v>
      </c>
      <c r="S40" s="3" t="str">
        <f>IF(Animals!AI40="No","No",
IF(_xlfn.XLOOKUP(B40,'Base stats'!B:B,'Base stats'!U:U)="No",
MAX(MROUND(_xlfn.XLOOKUP(B40,'Base stats'!B:B,'Base stats'!BT:BT) * _xlfn.XLOOKUP(B40,'Base stats'!B:B,'Base stats'!BP:BP)^0.9 / 21 * _xlfn.XLOOKUP(B40,'Base stats'!B:B,'Base stats'!BX:BX),0.1),0.05),
MAX(MROUND(((MIN(12,_xlfn.XLOOKUP(B40,'Base stats'!B:B,'Base stats'!U:U)))^0.4*_xlfn.XLOOKUP(B40,'Base stats'!B:B,'Base stats'!BH:BH)^0.73)^0.6 * _xlfn.XLOOKUP(B40,'Base stats'!B:B,'Base stats'!BX:BX),0.1),0.05)
))</f>
        <v>No</v>
      </c>
      <c r="T40" s="11" t="str">
        <f>IF(S40="No","No",
MROUND(_xlfn.XLOOKUP(B40,'Base stats'!B:B,'Base stats'!BH:BH) * 0.01 * 2 + 0.05, 0.05)
)</f>
        <v>No</v>
      </c>
      <c r="U40" s="5" t="str">
        <f>IF(S40="No","No",IF(_xlfn.XLOOKUP(B40,'Base stats'!B:B,'Base stats'!U:U)="No","No",
MROUND(_xlfn.XLOOKUP(B40,'Base stats'!B:B,'Base stats'!BT:BT)/10000+0.01,0.01)
))</f>
        <v>No</v>
      </c>
      <c r="V40" s="4" t="str">
        <f>IF(S40="No","No",
MROUND(_xlfn.XLOOKUP(B40,'Base stats'!B:B,'Base stats'!BF:BF)^0.25
/((_xlfn.XLOOKUP(B40,'Base stats'!B:B,'Base stats'!BO:BO))*10)*_xlfn.XLOOKUP(_xlfn.XLOOKUP(B40,'Base stats'!B:B,'Base stats'!E:E),Groups!A:A,Groups!AE:AE)*150 + 0.5 + _xlfn.XLOOKUP(B40,'Base stats'!B:B,'Base stats'!BW:BW),
0.05))</f>
        <v>No</v>
      </c>
      <c r="W40" s="8">
        <f>MROUND(_xlfn.XLOOKUP(_xlfn.XLOOKUP(B40,'Base stats'!B:B,'Base stats'!E:E),Groups!A:A,Groups!BG:BG)*_xlfn.XLOOKUP(B40,'Base stats'!B:B,'Base stats'!C:C)^-0.165,0.05)</f>
        <v>0.4</v>
      </c>
      <c r="X40" s="1">
        <f>MROUND(_xlfn.XLOOKUP(_xlfn.XLOOKUP(B40,'Base stats'!B:B,'Base stats'!E:E),Groups!A:A,Groups!BH:BH)*_xlfn.XLOOKUP(B40,'Base stats'!B:B,'Base stats'!C:C)^0.165,0.05)</f>
        <v>0</v>
      </c>
      <c r="Y40" s="8">
        <f>MROUND(_xlfn.XLOOKUP(_xlfn.XLOOKUP(B40,'Base stats'!B:B,'Base stats'!E:E),Groups!A:A,Groups!BI:BI)*_xlfn.XLOOKUP(B40,'Base stats'!B:B,'Base stats'!C:C)^0.165,0.05)</f>
        <v>0</v>
      </c>
      <c r="Z40" s="18">
        <f>MROUND(_xlfn.XLOOKUP(B40,'Base stats'!B:B,'Base stats'!AQ:AQ)*_xlfn.XLOOKUP(_xlfn.XLOOKUP(B40,'Base stats'!B:B,'Base stats'!E:E),Groups!A:A,Groups!H:H)/1000,IF((_xlfn.XLOOKUP(B40,'Base stats'!B:B,'Base stats'!AQ:AQ)*_xlfn.XLOOKUP(_xlfn.XLOOKUP(B40,'Base stats'!B:B,'Base stats'!E:E),Groups!A:A,Groups!H:H)/1000)&gt;1,0.05,0.01))</f>
        <v>0.05</v>
      </c>
      <c r="AA40" s="18">
        <f>MROUND((1/2)*(_xlfn.XLOOKUP(_xlfn.XLOOKUP(B40,'Base stats'!B:B,'Base stats'!E:E),Groups!A:A,Groups!H:H)*_xlfn.XLOOKUP(_xlfn.XLOOKUP(B40,'Base stats'!B:B,'Base stats'!E:E),Groups!A:A,Groups!I:I))*_xlfn.XLOOKUP(B40,'Base stats'!B:B,'Base stats'!AQ:AQ)*0.01,0.05)</f>
        <v>0.2</v>
      </c>
      <c r="AB40" s="18">
        <f>MROUND(250*(Animals!AO40+Animals!AP40),25)</f>
        <v>375</v>
      </c>
      <c r="AC40" s="18" t="str">
        <f>_xlfn.XLOOKUP(_xlfn.XLOOKUP(B40,'Base stats'!B:B,'Base stats'!E:E),Groups!A:A,Groups!BJ:BJ)</f>
        <v>QuadrupedLow</v>
      </c>
    </row>
    <row r="41" spans="1:29" ht="16.5" thickTop="1" thickBot="1" x14ac:dyDescent="0.3">
      <c r="A41" s="16" t="str">
        <f>Animals!A41</f>
        <v>Boomrat</v>
      </c>
      <c r="B41" s="6" t="str">
        <f>Animals!B41</f>
        <v>Boomerifer explosivus</v>
      </c>
      <c r="C41" s="1" t="str">
        <f>Animals!C41</f>
        <v>&lt;li&gt;Boomrat&lt;/li&gt;</v>
      </c>
      <c r="D41" s="47">
        <f>MIN(MIN(6,_xlfn.XLOOKUP(A41,Animals!A:A,Animals!AO:AO))*20,MAX(MROUND(_xlfn.XLOOKUP(B41,'Base stats'!B:B,'Base stats'!BS:BS) * (_xlfn.XLOOKUP(B41,'Base stats'!B:B,'Base stats'!AO:AO)*5%)^0.9 / 21,0.1),0.05))</f>
        <v>0.4</v>
      </c>
      <c r="E41" s="11">
        <f>MROUND(_xlfn.XLOOKUP(B41,'Base stats'!B:B,'Base stats'!BG:BG) * 0.01 * 2 + 0.01, 0.05)</f>
        <v>0.35000000000000003</v>
      </c>
      <c r="F41" s="7">
        <f>MROUND(_xlfn.XLOOKUP(B41,'Base stats'!B:B,'Base stats'!BD:BD)^0.25 / (_xlfn.XLOOKUP(B41,'Base stats'!B:B,'Base stats'!BK:BK) * 10) * 150 + 0.5 + _xlfn.XLOOKUP(B41,'Base stats'!B:B,'Base stats'!BW:BW), 0.05)</f>
        <v>1.4500000000000002</v>
      </c>
      <c r="G41" s="3" t="str">
        <f>IF(Animals!S41="No","No",
IF(_xlfn.XLOOKUP(B41,'Base stats'!B:B,'Base stats'!U:U)="No",
MAX(MROUND(_xlfn.XLOOKUP(B41,'Base stats'!B:B,'Base stats'!BT:BT) * _xlfn.XLOOKUP(B41,'Base stats'!B:B,'Base stats'!BP:BP)^0.9 / 21 * _xlfn.XLOOKUP(B41,'Base stats'!B:B,'Base stats'!BX:BX),0.1),0.05),
MAX(MROUND(((MIN(10,_xlfn.XLOOKUP(B41,'Base stats'!B:B,'Base stats'!U:U)))^0.4*_xlfn.XLOOKUP(B41,'Base stats'!B:B,'Base stats'!BH:BH)^0.73)^0.6 * _xlfn.XLOOKUP(B41,'Base stats'!B:B,'Base stats'!BX:BX),0.1),0.05)
))</f>
        <v>No</v>
      </c>
      <c r="H41" s="11" t="str">
        <f>IF(G41="No","No",
MROUND(_xlfn.XLOOKUP(B41,'Base stats'!B:B,'Base stats'!BH:BH) * 0.01 * 2 + 0.05, 0.05)
)</f>
        <v>No</v>
      </c>
      <c r="I41" s="11" t="str">
        <f>IF(G41="No","No",IF(_xlfn.XLOOKUP(B41,'Base stats'!B:B,'Base stats'!U:U)="No","No",
MROUND(_xlfn.XLOOKUP(B41,'Base stats'!B:B,'Base stats'!BT:BT)/10000+0.01,0.01)
))</f>
        <v>No</v>
      </c>
      <c r="J41" s="4" t="str">
        <f>IF(G41="No","No",
MROUND(_xlfn.XLOOKUP(B41,'Base stats'!B:B,'Base stats'!BE:BE)^0.25
/((_xlfn.XLOOKUP(B41,'Base stats'!B:B,'Base stats'!BL:BL))*10)*_xlfn.XLOOKUP(_xlfn.XLOOKUP(B41,'Base stats'!B:B,'Base stats'!E:E),Groups!A:A,Groups!Q:Q)*150 + 0.5 + _xlfn.XLOOKUP(B41,'Base stats'!B:B,'Base stats'!BW:BW),
0.05))</f>
        <v>No</v>
      </c>
      <c r="K41" s="3" t="str">
        <f>IF(Animals!X41="No","No",
IF(_xlfn.XLOOKUP(_xlfn.XLOOKUP(B41,'Base stats'!B:B,'Base stats'!E:E),Groups!A:A,Groups!BD:BD)=1,
MAX(MROUND(_xlfn.XLOOKUP(B41,'Base stats'!B:B,'Base stats'!BU:BU) * _xlfn.XLOOKUP(B41,'Base stats'!B:B,'Base stats'!BQ:BQ)^0.9 / 21 *_xlfn.XLOOKUP(B41,'Base stats'!B:B,'Base stats'!BX:BX),0.1),0.05),
MAX(MROUND(((MIN(10,_xlfn.XLOOKUP(B41,'Base stats'!B:B,'Base stats'!W:W)))^0.4*_xlfn.XLOOKUP(B41,'Base stats'!B:B,'Base stats'!BI:BI)^0.73)^0.6 *_xlfn.XLOOKUP(B41,'Base stats'!B:B,'Base stats'!BX:BX),0.1),0.05)
))</f>
        <v>No</v>
      </c>
      <c r="L41" s="11" t="str">
        <f>IF(K41="No","No",
MROUND(_xlfn.XLOOKUP(B41,'Base stats'!B:B,'Base stats'!BI:BI) * 0.01 *2 + 0.05, 0.05)
)</f>
        <v>No</v>
      </c>
      <c r="M41" s="5" t="str">
        <f>IF(K41="No","No",IF(_xlfn.XLOOKUP(_xlfn.XLOOKUP(B41,'Base stats'!B:B,'Base stats'!E:E),Groups!A:A,Groups!BD:BD)=1,"No",
MROUND(_xlfn.XLOOKUP(B41,'Base stats'!B:B,'Base stats'!BU:BU)/10000+0.01,0.01)
))</f>
        <v>No</v>
      </c>
      <c r="N41" s="4" t="str">
        <f>IF(K41="No","No",
MROUND(
  _xlfn.XLOOKUP(B41,'Base stats'!B:B,'Base stats'!BC:BC)^0.25
  / (_xlfn.XLOOKUP(B41,'Base stats'!B:B,'Base stats'!BM:BM) * 10)
  * _xlfn.XLOOKUP(
      _xlfn.XLOOKUP(B41,'Base stats'!B:B,'Base stats'!E:E),
      Groups!A:A,
      Groups!V:V
    ) * 150
  + MIN(12, _xlfn.XLOOKUP(B41,'Base stats'!B:B,'Base stats'!W:W))^(1/IF(_xlfn.XLOOKUP(_xlfn.XLOOKUP(B41,'Base stats'!B:B,'Base stats'!E:E),Groups!A:A,Groups!U:U)=1,100,10)) + 0.5 + _xlfn.XLOOKUP(B41,'Base stats'!B:B,'Base stats'!BW:BW),
0.05))</f>
        <v>No</v>
      </c>
      <c r="O41" s="3">
        <f>IF(Animals!AD41="No","No",
MAX(MROUND((MIN(10,_xlfn.XLOOKUP(B41,'Base stats'!B:B,'Base stats'!V:V)*IF(_xlfn.XLOOKUP(_xlfn.XLOOKUP(B41,'Base stats'!B:B,'Base stats'!E:E),Groups!A:A,Groups!O:O)=0,1,0.33))^0.4*_xlfn.XLOOKUP(B41,'Base stats'!B:B,'Base stats'!BJ:BJ)^0.73)^0.6 *_xlfn.XLOOKUP(B41,'Base stats'!B:B,'Base stats'!BX:BX),0.1),0.05)
)</f>
        <v>4.9000000000000004</v>
      </c>
      <c r="P41" s="11">
        <f>IF(O41="No","No",
MROUND(_xlfn.XLOOKUP(B41,'Base stats'!B:B,'Base stats'!BJ:BJ) * 0.01 * 2 + 0.05, 0.05)
)</f>
        <v>0.4</v>
      </c>
      <c r="Q41" s="5">
        <f>IF(O41="No","No",
MROUND(_xlfn.XLOOKUP(B41,'Base stats'!B:B,'Base stats'!BV:BV)/10000+0.01,0.01)
)</f>
        <v>0.05</v>
      </c>
      <c r="R41" s="4">
        <f>IF(O41="No","No",
MROUND(_xlfn.XLOOKUP(B41,'Base stats'!B:B,'Base stats'!BB:BB)^0.25
/((_xlfn.XLOOKUP(B41,'Base stats'!B:B,'Base stats'!BN:BN))*10)*_xlfn.XLOOKUP(_xlfn.XLOOKUP(B41,'Base stats'!B:B,'Base stats'!E:E),Groups!A:A,Groups!Z:Z)*150 + 0.5 + _xlfn.XLOOKUP(B41,'Base stats'!B:B,'Base stats'!BW:BW),
0.05))</f>
        <v>1.9000000000000001</v>
      </c>
      <c r="S41" s="3" t="str">
        <f>IF(Animals!AI41="No","No",
IF(_xlfn.XLOOKUP(B41,'Base stats'!B:B,'Base stats'!U:U)="No",
MAX(MROUND(_xlfn.XLOOKUP(B41,'Base stats'!B:B,'Base stats'!BT:BT) * _xlfn.XLOOKUP(B41,'Base stats'!B:B,'Base stats'!BP:BP)^0.9 / 21 * _xlfn.XLOOKUP(B41,'Base stats'!B:B,'Base stats'!BX:BX),0.1),0.05),
MAX(MROUND(((MIN(12,_xlfn.XLOOKUP(B41,'Base stats'!B:B,'Base stats'!U:U)))^0.4*_xlfn.XLOOKUP(B41,'Base stats'!B:B,'Base stats'!BH:BH)^0.73)^0.6 * _xlfn.XLOOKUP(B41,'Base stats'!B:B,'Base stats'!BX:BX),0.1),0.05)
))</f>
        <v>No</v>
      </c>
      <c r="T41" s="11" t="str">
        <f>IF(S41="No","No",
MROUND(_xlfn.XLOOKUP(B41,'Base stats'!B:B,'Base stats'!BH:BH) * 0.01 * 2 + 0.05, 0.05)
)</f>
        <v>No</v>
      </c>
      <c r="U41" s="5" t="str">
        <f>IF(S41="No","No",IF(_xlfn.XLOOKUP(B41,'Base stats'!B:B,'Base stats'!U:U)="No","No",
MROUND(_xlfn.XLOOKUP(B41,'Base stats'!B:B,'Base stats'!BT:BT)/10000+0.01,0.01)
))</f>
        <v>No</v>
      </c>
      <c r="V41" s="4" t="str">
        <f>IF(S41="No","No",
MROUND(_xlfn.XLOOKUP(B41,'Base stats'!B:B,'Base stats'!BF:BF)^0.25
/((_xlfn.XLOOKUP(B41,'Base stats'!B:B,'Base stats'!BO:BO))*10)*_xlfn.XLOOKUP(_xlfn.XLOOKUP(B41,'Base stats'!B:B,'Base stats'!E:E),Groups!A:A,Groups!AE:AE)*150 + 0.5 + _xlfn.XLOOKUP(B41,'Base stats'!B:B,'Base stats'!BW:BW),
0.05))</f>
        <v>No</v>
      </c>
      <c r="W41" s="8">
        <f>MROUND(_xlfn.XLOOKUP(_xlfn.XLOOKUP(B41,'Base stats'!B:B,'Base stats'!E:E),Groups!A:A,Groups!BG:BG)*_xlfn.XLOOKUP(B41,'Base stats'!B:B,'Base stats'!C:C)^-0.165,0.05)</f>
        <v>0.5</v>
      </c>
      <c r="X41" s="1">
        <f>MROUND(_xlfn.XLOOKUP(_xlfn.XLOOKUP(B41,'Base stats'!B:B,'Base stats'!E:E),Groups!A:A,Groups!BH:BH)*_xlfn.XLOOKUP(B41,'Base stats'!B:B,'Base stats'!C:C)^0.165,0.05)</f>
        <v>0.15000000000000002</v>
      </c>
      <c r="Y41" s="8">
        <f>MROUND(_xlfn.XLOOKUP(_xlfn.XLOOKUP(B41,'Base stats'!B:B,'Base stats'!E:E),Groups!A:A,Groups!BI:BI)*_xlfn.XLOOKUP(B41,'Base stats'!B:B,'Base stats'!C:C)^0.165,0.05)</f>
        <v>0.05</v>
      </c>
      <c r="Z41" s="18">
        <f>MROUND(_xlfn.XLOOKUP(B41,'Base stats'!B:B,'Base stats'!AQ:AQ)*_xlfn.XLOOKUP(_xlfn.XLOOKUP(B41,'Base stats'!B:B,'Base stats'!E:E),Groups!A:A,Groups!H:H)/1000,IF((_xlfn.XLOOKUP(B41,'Base stats'!B:B,'Base stats'!AQ:AQ)*_xlfn.XLOOKUP(_xlfn.XLOOKUP(B41,'Base stats'!B:B,'Base stats'!E:E),Groups!A:A,Groups!H:H)/1000)&gt;1,0.05,0.01))</f>
        <v>0.03</v>
      </c>
      <c r="AA41" s="18">
        <f>MROUND((1/2)*(_xlfn.XLOOKUP(_xlfn.XLOOKUP(B41,'Base stats'!B:B,'Base stats'!E:E),Groups!A:A,Groups!H:H)*_xlfn.XLOOKUP(_xlfn.XLOOKUP(B41,'Base stats'!B:B,'Base stats'!E:E),Groups!A:A,Groups!I:I))*_xlfn.XLOOKUP(B41,'Base stats'!B:B,'Base stats'!AQ:AQ)*0.01,0.05)</f>
        <v>0.15000000000000002</v>
      </c>
      <c r="AB41" s="18">
        <f>MROUND(250*(Animals!AO41+Animals!AP41),25)</f>
        <v>200</v>
      </c>
      <c r="AC41" s="18" t="str">
        <f>_xlfn.XLOOKUP(_xlfn.XLOOKUP(B41,'Base stats'!B:B,'Base stats'!E:E),Groups!A:A,Groups!BJ:BJ)</f>
        <v>QuadrupedLow</v>
      </c>
    </row>
    <row r="42" spans="1:29" ht="16.5" thickTop="1" thickBot="1" x14ac:dyDescent="0.3">
      <c r="A42" s="16" t="str">
        <f>Animals!A42</f>
        <v>Bison</v>
      </c>
      <c r="B42" s="6" t="str">
        <f>Animals!B42</f>
        <v>Bison bison</v>
      </c>
      <c r="C42" s="1" t="str">
        <f>Animals!C42</f>
        <v>&lt;li&gt;Bison&lt;/li&gt;</v>
      </c>
      <c r="D42" s="47">
        <f>MIN(MIN(6,_xlfn.XLOOKUP(A42,Animals!A:A,Animals!AO:AO))*20,MAX(MROUND(_xlfn.XLOOKUP(B42,'Base stats'!B:B,'Base stats'!BS:BS) * (_xlfn.XLOOKUP(B42,'Base stats'!B:B,'Base stats'!AO:AO)*5%)^0.9 / 21,0.1),0.05))</f>
        <v>14.4</v>
      </c>
      <c r="E42" s="11">
        <f>MROUND(_xlfn.XLOOKUP(B42,'Base stats'!B:B,'Base stats'!BG:BG) * 0.01 * 2 + 0.01, 0.05)</f>
        <v>13.8</v>
      </c>
      <c r="F42" s="7">
        <f>MROUND(_xlfn.XLOOKUP(B42,'Base stats'!B:B,'Base stats'!BD:BD)^0.25 / (_xlfn.XLOOKUP(B42,'Base stats'!B:B,'Base stats'!BK:BK) * 10) * 150 + 0.5 + _xlfn.XLOOKUP(B42,'Base stats'!B:B,'Base stats'!BW:BW), 0.05)</f>
        <v>1.9000000000000001</v>
      </c>
      <c r="G42" s="3">
        <f>IF(Animals!S42="No","No",
IF(_xlfn.XLOOKUP(B42,'Base stats'!B:B,'Base stats'!U:U)="No",
MAX(MROUND(_xlfn.XLOOKUP(B42,'Base stats'!B:B,'Base stats'!BT:BT) * _xlfn.XLOOKUP(B42,'Base stats'!B:B,'Base stats'!BP:BP)^0.9 / 21 * _xlfn.XLOOKUP(B42,'Base stats'!B:B,'Base stats'!BX:BX),0.1),0.05),
MAX(MROUND(((MIN(10,_xlfn.XLOOKUP(B42,'Base stats'!B:B,'Base stats'!U:U)))^0.4*_xlfn.XLOOKUP(B42,'Base stats'!B:B,'Base stats'!BH:BH)^0.73)^0.6 * _xlfn.XLOOKUP(B42,'Base stats'!B:B,'Base stats'!BX:BX),0.1),0.05)
))</f>
        <v>23.3</v>
      </c>
      <c r="H42" s="11">
        <f>IF(G42="No","No",
MROUND(_xlfn.XLOOKUP(B42,'Base stats'!B:B,'Base stats'!BH:BH) * 0.01 * 2 + 0.05, 0.05)
)</f>
        <v>15.700000000000001</v>
      </c>
      <c r="I42" s="11" t="str">
        <f>IF(G42="No","No",IF(_xlfn.XLOOKUP(B42,'Base stats'!B:B,'Base stats'!U:U)="No","No",
MROUND(_xlfn.XLOOKUP(B42,'Base stats'!B:B,'Base stats'!BT:BT)/10000+0.01,0.01)
))</f>
        <v>No</v>
      </c>
      <c r="J42" s="4">
        <f>IF(G42="No","No",
MROUND(_xlfn.XLOOKUP(B42,'Base stats'!B:B,'Base stats'!BE:BE)^0.25
/((_xlfn.XLOOKUP(B42,'Base stats'!B:B,'Base stats'!BL:BL))*10)*_xlfn.XLOOKUP(_xlfn.XLOOKUP(B42,'Base stats'!B:B,'Base stats'!E:E),Groups!A:A,Groups!Q:Q)*150 + 0.5 + _xlfn.XLOOKUP(B42,'Base stats'!B:B,'Base stats'!BW:BW),
0.05))</f>
        <v>2.75</v>
      </c>
      <c r="K42" s="3">
        <f>IF(Animals!X42="No","No",
IF(_xlfn.XLOOKUP(_xlfn.XLOOKUP(B42,'Base stats'!B:B,'Base stats'!E:E),Groups!A:A,Groups!BD:BD)=1,
MAX(MROUND(_xlfn.XLOOKUP(B42,'Base stats'!B:B,'Base stats'!BU:BU) * _xlfn.XLOOKUP(B42,'Base stats'!B:B,'Base stats'!BQ:BQ)^0.9 / 21 *_xlfn.XLOOKUP(B42,'Base stats'!B:B,'Base stats'!BX:BX),0.1),0.05),
MAX(MROUND(((MIN(10,_xlfn.XLOOKUP(B42,'Base stats'!B:B,'Base stats'!W:W)))^0.4*_xlfn.XLOOKUP(B42,'Base stats'!B:B,'Base stats'!BI:BI)^0.73)^0.6 *_xlfn.XLOOKUP(B42,'Base stats'!B:B,'Base stats'!BX:BX),0.1),0.05)
))</f>
        <v>34.800000000000004</v>
      </c>
      <c r="L42" s="11">
        <f>IF(K42="No","No",
MROUND(_xlfn.XLOOKUP(B42,'Base stats'!B:B,'Base stats'!BI:BI) * 0.01 *2 + 0.05, 0.05)
)</f>
        <v>18.8</v>
      </c>
      <c r="M42" s="5">
        <f>IF(K42="No","No",IF(_xlfn.XLOOKUP(_xlfn.XLOOKUP(B42,'Base stats'!B:B,'Base stats'!E:E),Groups!A:A,Groups!BD:BD)=1,"No",
MROUND(_xlfn.XLOOKUP(B42,'Base stats'!B:B,'Base stats'!BU:BU)/10000+0.01,0.01)
))</f>
        <v>0.98</v>
      </c>
      <c r="N42" s="4">
        <f>IF(K42="No","No",
MROUND(
  _xlfn.XLOOKUP(B42,'Base stats'!B:B,'Base stats'!BC:BC)^0.25
  / (_xlfn.XLOOKUP(B42,'Base stats'!B:B,'Base stats'!BM:BM) * 10)
  * _xlfn.XLOOKUP(
      _xlfn.XLOOKUP(B42,'Base stats'!B:B,'Base stats'!E:E),
      Groups!A:A,
      Groups!V:V
    ) * 150
  + MIN(12, _xlfn.XLOOKUP(B42,'Base stats'!B:B,'Base stats'!W:W))^(1/IF(_xlfn.XLOOKUP(_xlfn.XLOOKUP(B42,'Base stats'!B:B,'Base stats'!E:E),Groups!A:A,Groups!U:U)=1,100,10)) + 0.5 + _xlfn.XLOOKUP(B42,'Base stats'!B:B,'Base stats'!BW:BW),
0.05))</f>
        <v>3.2</v>
      </c>
      <c r="O42" s="3" t="str">
        <f>IF(Animals!AD42="No","No",
MAX(MROUND((MIN(10,_xlfn.XLOOKUP(B42,'Base stats'!B:B,'Base stats'!V:V)*IF(_xlfn.XLOOKUP(_xlfn.XLOOKUP(B42,'Base stats'!B:B,'Base stats'!E:E),Groups!A:A,Groups!O:O)=0,1,0.33))^0.4*_xlfn.XLOOKUP(B42,'Base stats'!B:B,'Base stats'!BJ:BJ)^0.73)^0.6 *_xlfn.XLOOKUP(B42,'Base stats'!B:B,'Base stats'!BX:BX),0.1),0.05)
)</f>
        <v>No</v>
      </c>
      <c r="P42" s="11" t="str">
        <f>IF(O42="No","No",
MROUND(_xlfn.XLOOKUP(B42,'Base stats'!B:B,'Base stats'!BJ:BJ) * 0.01 * 2 + 0.05, 0.05)
)</f>
        <v>No</v>
      </c>
      <c r="Q42" s="5" t="str">
        <f>IF(O42="No","No",
MROUND(_xlfn.XLOOKUP(B42,'Base stats'!B:B,'Base stats'!BV:BV)/10000+0.01,0.01)
)</f>
        <v>No</v>
      </c>
      <c r="R42" s="4" t="str">
        <f>IF(O42="No","No",
MROUND(_xlfn.XLOOKUP(B42,'Base stats'!B:B,'Base stats'!BB:BB)^0.25
/((_xlfn.XLOOKUP(B42,'Base stats'!B:B,'Base stats'!BN:BN))*10)*_xlfn.XLOOKUP(_xlfn.XLOOKUP(B42,'Base stats'!B:B,'Base stats'!E:E),Groups!A:A,Groups!Z:Z)*150 + 0.5 + _xlfn.XLOOKUP(B42,'Base stats'!B:B,'Base stats'!BW:BW),
0.05))</f>
        <v>No</v>
      </c>
      <c r="S42" s="3" t="str">
        <f>IF(Animals!AI42="No","No",
IF(_xlfn.XLOOKUP(B42,'Base stats'!B:B,'Base stats'!U:U)="No",
MAX(MROUND(_xlfn.XLOOKUP(B42,'Base stats'!B:B,'Base stats'!BT:BT) * _xlfn.XLOOKUP(B42,'Base stats'!B:B,'Base stats'!BP:BP)^0.9 / 21 * _xlfn.XLOOKUP(B42,'Base stats'!B:B,'Base stats'!BX:BX),0.1),0.05),
MAX(MROUND(((MIN(12,_xlfn.XLOOKUP(B42,'Base stats'!B:B,'Base stats'!U:U)))^0.4*_xlfn.XLOOKUP(B42,'Base stats'!B:B,'Base stats'!BH:BH)^0.73)^0.6 * _xlfn.XLOOKUP(B42,'Base stats'!B:B,'Base stats'!BX:BX),0.1),0.05)
))</f>
        <v>No</v>
      </c>
      <c r="T42" s="11" t="str">
        <f>IF(S42="No","No",
MROUND(_xlfn.XLOOKUP(B42,'Base stats'!B:B,'Base stats'!BH:BH) * 0.01 * 2 + 0.05, 0.05)
)</f>
        <v>No</v>
      </c>
      <c r="U42" s="5" t="str">
        <f>IF(S42="No","No",IF(_xlfn.XLOOKUP(B42,'Base stats'!B:B,'Base stats'!U:U)="No","No",
MROUND(_xlfn.XLOOKUP(B42,'Base stats'!B:B,'Base stats'!BT:BT)/10000+0.01,0.01)
))</f>
        <v>No</v>
      </c>
      <c r="V42" s="4" t="str">
        <f>IF(S42="No","No",
MROUND(_xlfn.XLOOKUP(B42,'Base stats'!B:B,'Base stats'!BF:BF)^0.25
/((_xlfn.XLOOKUP(B42,'Base stats'!B:B,'Base stats'!BO:BO))*10)*_xlfn.XLOOKUP(_xlfn.XLOOKUP(B42,'Base stats'!B:B,'Base stats'!E:E),Groups!A:A,Groups!AE:AE)*150 + 0.5 + _xlfn.XLOOKUP(B42,'Base stats'!B:B,'Base stats'!BW:BW),
0.05))</f>
        <v>No</v>
      </c>
      <c r="W42" s="8">
        <f>MROUND(_xlfn.XLOOKUP(_xlfn.XLOOKUP(B42,'Base stats'!B:B,'Base stats'!E:E),Groups!A:A,Groups!BG:BG)*_xlfn.XLOOKUP(B42,'Base stats'!B:B,'Base stats'!C:C)^-0.165,0.05)</f>
        <v>0.15000000000000002</v>
      </c>
      <c r="X42" s="1">
        <f>MROUND(_xlfn.XLOOKUP(_xlfn.XLOOKUP(B42,'Base stats'!B:B,'Base stats'!E:E),Groups!A:A,Groups!BH:BH)*_xlfn.XLOOKUP(B42,'Base stats'!B:B,'Base stats'!C:C)^0.165,0.05)</f>
        <v>0</v>
      </c>
      <c r="Y42" s="8">
        <f>MROUND(_xlfn.XLOOKUP(_xlfn.XLOOKUP(B42,'Base stats'!B:B,'Base stats'!E:E),Groups!A:A,Groups!BI:BI)*_xlfn.XLOOKUP(B42,'Base stats'!B:B,'Base stats'!C:C)^0.165,0.05)</f>
        <v>0</v>
      </c>
      <c r="Z42" s="18">
        <f>MROUND(_xlfn.XLOOKUP(B42,'Base stats'!B:B,'Base stats'!AQ:AQ)*_xlfn.XLOOKUP(_xlfn.XLOOKUP(B42,'Base stats'!B:B,'Base stats'!E:E),Groups!A:A,Groups!H:H)/1000,IF((_xlfn.XLOOKUP(B42,'Base stats'!B:B,'Base stats'!AQ:AQ)*_xlfn.XLOOKUP(_xlfn.XLOOKUP(B42,'Base stats'!B:B,'Base stats'!E:E),Groups!A:A,Groups!H:H)/1000)&gt;1,0.05,0.01))</f>
        <v>0.11</v>
      </c>
      <c r="AA42" s="18">
        <f>MROUND((1/2)*(_xlfn.XLOOKUP(_xlfn.XLOOKUP(B42,'Base stats'!B:B,'Base stats'!E:E),Groups!A:A,Groups!H:H)*_xlfn.XLOOKUP(_xlfn.XLOOKUP(B42,'Base stats'!B:B,'Base stats'!E:E),Groups!A:A,Groups!I:I))*_xlfn.XLOOKUP(B42,'Base stats'!B:B,'Base stats'!AQ:AQ)*0.01,0.05)</f>
        <v>0.5</v>
      </c>
      <c r="AB42" s="18">
        <f>MROUND(250*(Animals!AO42+Animals!AP42),25)</f>
        <v>1500</v>
      </c>
      <c r="AC42" s="18" t="str">
        <f>_xlfn.XLOOKUP(_xlfn.XLOOKUP(B42,'Base stats'!B:B,'Base stats'!E:E),Groups!A:A,Groups!BJ:BJ)</f>
        <v>Quadruped</v>
      </c>
    </row>
    <row r="43" spans="1:29" ht="16.5" thickTop="1" thickBot="1" x14ac:dyDescent="0.3">
      <c r="A43" s="16" t="str">
        <f>Animals!A43</f>
        <v>Cow</v>
      </c>
      <c r="B43" s="6" t="str">
        <f>Animals!B43</f>
        <v>Bos taurus</v>
      </c>
      <c r="C43" s="1" t="str">
        <f>Animals!C43</f>
        <v>&lt;li&gt;Cow&lt;/li&gt;</v>
      </c>
      <c r="D43" s="47">
        <f>MIN(MIN(6,_xlfn.XLOOKUP(A43,Animals!A:A,Animals!AO:AO))*20,MAX(MROUND(_xlfn.XLOOKUP(B43,'Base stats'!B:B,'Base stats'!BS:BS) * (_xlfn.XLOOKUP(B43,'Base stats'!B:B,'Base stats'!AO:AO)*5%)^0.9 / 21,0.1),0.05))</f>
        <v>15.700000000000001</v>
      </c>
      <c r="E43" s="11">
        <f>MROUND(_xlfn.XLOOKUP(B43,'Base stats'!B:B,'Base stats'!BG:BG) * 0.01 * 2 + 0.01, 0.05)</f>
        <v>15.05</v>
      </c>
      <c r="F43" s="7">
        <f>MROUND(_xlfn.XLOOKUP(B43,'Base stats'!B:B,'Base stats'!BD:BD)^0.25 / (_xlfn.XLOOKUP(B43,'Base stats'!B:B,'Base stats'!BK:BK) * 10) * 150 + 0.5 + _xlfn.XLOOKUP(B43,'Base stats'!B:B,'Base stats'!BW:BW), 0.05)</f>
        <v>1.9500000000000002</v>
      </c>
      <c r="G43" s="3">
        <f>IF(Animals!S43="No","No",
IF(_xlfn.XLOOKUP(B43,'Base stats'!B:B,'Base stats'!U:U)="No",
MAX(MROUND(_xlfn.XLOOKUP(B43,'Base stats'!B:B,'Base stats'!BT:BT) * _xlfn.XLOOKUP(B43,'Base stats'!B:B,'Base stats'!BP:BP)^0.9 / 21 * _xlfn.XLOOKUP(B43,'Base stats'!B:B,'Base stats'!BX:BX),0.1),0.05),
MAX(MROUND(((MIN(10,_xlfn.XLOOKUP(B43,'Base stats'!B:B,'Base stats'!U:U)))^0.4*_xlfn.XLOOKUP(B43,'Base stats'!B:B,'Base stats'!BH:BH)^0.73)^0.6 * _xlfn.XLOOKUP(B43,'Base stats'!B:B,'Base stats'!BX:BX),0.1),0.05)
))</f>
        <v>25.1</v>
      </c>
      <c r="H43" s="11">
        <f>IF(G43="No","No",
MROUND(_xlfn.XLOOKUP(B43,'Base stats'!B:B,'Base stats'!BH:BH) * 0.01 * 2 + 0.05, 0.05)
)</f>
        <v>17.05</v>
      </c>
      <c r="I43" s="11" t="str">
        <f>IF(G43="No","No",IF(_xlfn.XLOOKUP(B43,'Base stats'!B:B,'Base stats'!U:U)="No","No",
MROUND(_xlfn.XLOOKUP(B43,'Base stats'!B:B,'Base stats'!BT:BT)/10000+0.01,0.01)
))</f>
        <v>No</v>
      </c>
      <c r="J43" s="4">
        <f>IF(G43="No","No",
MROUND(_xlfn.XLOOKUP(B43,'Base stats'!B:B,'Base stats'!BE:BE)^0.25
/((_xlfn.XLOOKUP(B43,'Base stats'!B:B,'Base stats'!BL:BL))*10)*_xlfn.XLOOKUP(_xlfn.XLOOKUP(B43,'Base stats'!B:B,'Base stats'!E:E),Groups!A:A,Groups!Q:Q)*150 + 0.5 + _xlfn.XLOOKUP(B43,'Base stats'!B:B,'Base stats'!BW:BW),
0.05))</f>
        <v>2.8000000000000003</v>
      </c>
      <c r="K43" s="3">
        <f>IF(Animals!X43="No","No",
IF(_xlfn.XLOOKUP(_xlfn.XLOOKUP(B43,'Base stats'!B:B,'Base stats'!E:E),Groups!A:A,Groups!BD:BD)=1,
MAX(MROUND(_xlfn.XLOOKUP(B43,'Base stats'!B:B,'Base stats'!BU:BU) * _xlfn.XLOOKUP(B43,'Base stats'!B:B,'Base stats'!BQ:BQ)^0.9 / 21 *_xlfn.XLOOKUP(B43,'Base stats'!B:B,'Base stats'!BX:BX),0.1),0.05),
MAX(MROUND(((MIN(10,_xlfn.XLOOKUP(B43,'Base stats'!B:B,'Base stats'!W:W)))^0.4*_xlfn.XLOOKUP(B43,'Base stats'!B:B,'Base stats'!BI:BI)^0.73)^0.6 *_xlfn.XLOOKUP(B43,'Base stats'!B:B,'Base stats'!BX:BX),0.1),0.05)
))</f>
        <v>36.1</v>
      </c>
      <c r="L43" s="11">
        <f>IF(K43="No","No",
MROUND(_xlfn.XLOOKUP(B43,'Base stats'!B:B,'Base stats'!BI:BI) * 0.01 *2 + 0.05, 0.05)
)</f>
        <v>20.450000000000003</v>
      </c>
      <c r="M43" s="5">
        <f>IF(K43="No","No",IF(_xlfn.XLOOKUP(_xlfn.XLOOKUP(B43,'Base stats'!B:B,'Base stats'!E:E),Groups!A:A,Groups!BD:BD)=1,"No",
MROUND(_xlfn.XLOOKUP(B43,'Base stats'!B:B,'Base stats'!BU:BU)/10000+0.01,0.01)
))</f>
        <v>1.06</v>
      </c>
      <c r="N43" s="4">
        <f>IF(K43="No","No",
MROUND(
  _xlfn.XLOOKUP(B43,'Base stats'!B:B,'Base stats'!BC:BC)^0.25
  / (_xlfn.XLOOKUP(B43,'Base stats'!B:B,'Base stats'!BM:BM) * 10)
  * _xlfn.XLOOKUP(
      _xlfn.XLOOKUP(B43,'Base stats'!B:B,'Base stats'!E:E),
      Groups!A:A,
      Groups!V:V
    ) * 150
  + MIN(12, _xlfn.XLOOKUP(B43,'Base stats'!B:B,'Base stats'!W:W))^(1/IF(_xlfn.XLOOKUP(_xlfn.XLOOKUP(B43,'Base stats'!B:B,'Base stats'!E:E),Groups!A:A,Groups!U:U)=1,100,10)) + 0.5 + _xlfn.XLOOKUP(B43,'Base stats'!B:B,'Base stats'!BW:BW),
0.05))</f>
        <v>3.25</v>
      </c>
      <c r="O43" s="3" t="str">
        <f>IF(Animals!AD43="No","No",
MAX(MROUND((MIN(10,_xlfn.XLOOKUP(B43,'Base stats'!B:B,'Base stats'!V:V)*IF(_xlfn.XLOOKUP(_xlfn.XLOOKUP(B43,'Base stats'!B:B,'Base stats'!E:E),Groups!A:A,Groups!O:O)=0,1,0.33))^0.4*_xlfn.XLOOKUP(B43,'Base stats'!B:B,'Base stats'!BJ:BJ)^0.73)^0.6 *_xlfn.XLOOKUP(B43,'Base stats'!B:B,'Base stats'!BX:BX),0.1),0.05)
)</f>
        <v>No</v>
      </c>
      <c r="P43" s="11" t="str">
        <f>IF(O43="No","No",
MROUND(_xlfn.XLOOKUP(B43,'Base stats'!B:B,'Base stats'!BJ:BJ) * 0.01 * 2 + 0.05, 0.05)
)</f>
        <v>No</v>
      </c>
      <c r="Q43" s="5" t="str">
        <f>IF(O43="No","No",
MROUND(_xlfn.XLOOKUP(B43,'Base stats'!B:B,'Base stats'!BV:BV)/10000+0.01,0.01)
)</f>
        <v>No</v>
      </c>
      <c r="R43" s="4" t="str">
        <f>IF(O43="No","No",
MROUND(_xlfn.XLOOKUP(B43,'Base stats'!B:B,'Base stats'!BB:BB)^0.25
/((_xlfn.XLOOKUP(B43,'Base stats'!B:B,'Base stats'!BN:BN))*10)*_xlfn.XLOOKUP(_xlfn.XLOOKUP(B43,'Base stats'!B:B,'Base stats'!E:E),Groups!A:A,Groups!Z:Z)*150 + 0.5 + _xlfn.XLOOKUP(B43,'Base stats'!B:B,'Base stats'!BW:BW),
0.05))</f>
        <v>No</v>
      </c>
      <c r="S43" s="3" t="str">
        <f>IF(Animals!AI43="No","No",
IF(_xlfn.XLOOKUP(B43,'Base stats'!B:B,'Base stats'!U:U)="No",
MAX(MROUND(_xlfn.XLOOKUP(B43,'Base stats'!B:B,'Base stats'!BT:BT) * _xlfn.XLOOKUP(B43,'Base stats'!B:B,'Base stats'!BP:BP)^0.9 / 21 * _xlfn.XLOOKUP(B43,'Base stats'!B:B,'Base stats'!BX:BX),0.1),0.05),
MAX(MROUND(((MIN(12,_xlfn.XLOOKUP(B43,'Base stats'!B:B,'Base stats'!U:U)))^0.4*_xlfn.XLOOKUP(B43,'Base stats'!B:B,'Base stats'!BH:BH)^0.73)^0.6 * _xlfn.XLOOKUP(B43,'Base stats'!B:B,'Base stats'!BX:BX),0.1),0.05)
))</f>
        <v>No</v>
      </c>
      <c r="T43" s="11" t="str">
        <f>IF(S43="No","No",
MROUND(_xlfn.XLOOKUP(B43,'Base stats'!B:B,'Base stats'!BH:BH) * 0.01 * 2 + 0.05, 0.05)
)</f>
        <v>No</v>
      </c>
      <c r="U43" s="5" t="str">
        <f>IF(S43="No","No",IF(_xlfn.XLOOKUP(B43,'Base stats'!B:B,'Base stats'!U:U)="No","No",
MROUND(_xlfn.XLOOKUP(B43,'Base stats'!B:B,'Base stats'!BT:BT)/10000+0.01,0.01)
))</f>
        <v>No</v>
      </c>
      <c r="V43" s="4" t="str">
        <f>IF(S43="No","No",
MROUND(_xlfn.XLOOKUP(B43,'Base stats'!B:B,'Base stats'!BF:BF)^0.25
/((_xlfn.XLOOKUP(B43,'Base stats'!B:B,'Base stats'!BO:BO))*10)*_xlfn.XLOOKUP(_xlfn.XLOOKUP(B43,'Base stats'!B:B,'Base stats'!E:E),Groups!A:A,Groups!AE:AE)*150 + 0.5 + _xlfn.XLOOKUP(B43,'Base stats'!B:B,'Base stats'!BW:BW),
0.05))</f>
        <v>No</v>
      </c>
      <c r="W43" s="8">
        <f>MROUND(_xlfn.XLOOKUP(_xlfn.XLOOKUP(B43,'Base stats'!B:B,'Base stats'!E:E),Groups!A:A,Groups!BG:BG)*_xlfn.XLOOKUP(B43,'Base stats'!B:B,'Base stats'!C:C)^-0.165,0.05)</f>
        <v>0.15000000000000002</v>
      </c>
      <c r="X43" s="1">
        <f>MROUND(_xlfn.XLOOKUP(_xlfn.XLOOKUP(B43,'Base stats'!B:B,'Base stats'!E:E),Groups!A:A,Groups!BH:BH)*_xlfn.XLOOKUP(B43,'Base stats'!B:B,'Base stats'!C:C)^0.165,0.05)</f>
        <v>0</v>
      </c>
      <c r="Y43" s="8">
        <f>MROUND(_xlfn.XLOOKUP(_xlfn.XLOOKUP(B43,'Base stats'!B:B,'Base stats'!E:E),Groups!A:A,Groups!BI:BI)*_xlfn.XLOOKUP(B43,'Base stats'!B:B,'Base stats'!C:C)^0.165,0.05)</f>
        <v>0</v>
      </c>
      <c r="Z43" s="18">
        <f>MROUND(_xlfn.XLOOKUP(B43,'Base stats'!B:B,'Base stats'!AQ:AQ)*_xlfn.XLOOKUP(_xlfn.XLOOKUP(B43,'Base stats'!B:B,'Base stats'!E:E),Groups!A:A,Groups!H:H)/1000,IF((_xlfn.XLOOKUP(B43,'Base stats'!B:B,'Base stats'!AQ:AQ)*_xlfn.XLOOKUP(_xlfn.XLOOKUP(B43,'Base stats'!B:B,'Base stats'!E:E),Groups!A:A,Groups!H:H)/1000)&gt;1,0.05,0.01))</f>
        <v>0.12</v>
      </c>
      <c r="AA43" s="18">
        <f>MROUND((1/2)*(_xlfn.XLOOKUP(_xlfn.XLOOKUP(B43,'Base stats'!B:B,'Base stats'!E:E),Groups!A:A,Groups!H:H)*_xlfn.XLOOKUP(_xlfn.XLOOKUP(B43,'Base stats'!B:B,'Base stats'!E:E),Groups!A:A,Groups!I:I))*_xlfn.XLOOKUP(B43,'Base stats'!B:B,'Base stats'!AQ:AQ)*0.01,0.05)</f>
        <v>0.5</v>
      </c>
      <c r="AB43" s="18">
        <f>MROUND(250*(Animals!AO43+Animals!AP43),25)</f>
        <v>1500</v>
      </c>
      <c r="AC43" s="18" t="str">
        <f>_xlfn.XLOOKUP(_xlfn.XLOOKUP(B43,'Base stats'!B:B,'Base stats'!E:E),Groups!A:A,Groups!BJ:BJ)</f>
        <v>Quadruped</v>
      </c>
    </row>
    <row r="44" spans="1:29" ht="16.5" thickTop="1" thickBot="1" x14ac:dyDescent="0.3">
      <c r="A44" s="16" t="str">
        <f>Animals!A44</f>
        <v>Muffalo</v>
      </c>
      <c r="B44" s="6" t="str">
        <f>Animals!B44</f>
        <v>Pseudobison sargentus</v>
      </c>
      <c r="C44" s="1" t="str">
        <f>Animals!C44</f>
        <v>&lt;li&gt;Muffalo&lt;/li&gt;</v>
      </c>
      <c r="D44" s="47">
        <f>MIN(MIN(6,_xlfn.XLOOKUP(A44,Animals!A:A,Animals!AO:AO))*20,MAX(MROUND(_xlfn.XLOOKUP(B44,'Base stats'!B:B,'Base stats'!BS:BS) * (_xlfn.XLOOKUP(B44,'Base stats'!B:B,'Base stats'!AO:AO)*5%)^0.9 / 21,0.1),0.05))</f>
        <v>8.8000000000000007</v>
      </c>
      <c r="E44" s="11">
        <f>MROUND(_xlfn.XLOOKUP(B44,'Base stats'!B:B,'Base stats'!BG:BG) * 0.01 * 2 + 0.01, 0.05)</f>
        <v>8.1</v>
      </c>
      <c r="F44" s="7">
        <f>MROUND(_xlfn.XLOOKUP(B44,'Base stats'!B:B,'Base stats'!BD:BD)^0.25 / (_xlfn.XLOOKUP(B44,'Base stats'!B:B,'Base stats'!BK:BK) * 10) * 150 + 0.5 + _xlfn.XLOOKUP(B44,'Base stats'!B:B,'Base stats'!BW:BW), 0.05)</f>
        <v>1.85</v>
      </c>
      <c r="G44" s="3">
        <f>IF(Animals!S44="No","No",
IF(_xlfn.XLOOKUP(B44,'Base stats'!B:B,'Base stats'!U:U)="No",
MAX(MROUND(_xlfn.XLOOKUP(B44,'Base stats'!B:B,'Base stats'!BT:BT) * _xlfn.XLOOKUP(B44,'Base stats'!B:B,'Base stats'!BP:BP)^0.9 / 21 * _xlfn.XLOOKUP(B44,'Base stats'!B:B,'Base stats'!BX:BX),0.1),0.05),
MAX(MROUND(((MIN(10,_xlfn.XLOOKUP(B44,'Base stats'!B:B,'Base stats'!U:U)))^0.4*_xlfn.XLOOKUP(B44,'Base stats'!B:B,'Base stats'!BH:BH)^0.73)^0.6 * _xlfn.XLOOKUP(B44,'Base stats'!B:B,'Base stats'!BX:BX),0.1),0.05)
))</f>
        <v>14.9</v>
      </c>
      <c r="H44" s="11">
        <f>IF(G44="No","No",
MROUND(_xlfn.XLOOKUP(B44,'Base stats'!B:B,'Base stats'!BH:BH) * 0.01 * 2 + 0.05, 0.05)
)</f>
        <v>9.5500000000000007</v>
      </c>
      <c r="I44" s="11" t="str">
        <f>IF(G44="No","No",IF(_xlfn.XLOOKUP(B44,'Base stats'!B:B,'Base stats'!U:U)="No","No",
MROUND(_xlfn.XLOOKUP(B44,'Base stats'!B:B,'Base stats'!BT:BT)/10000+0.01,0.01)
))</f>
        <v>No</v>
      </c>
      <c r="J44" s="4">
        <f>IF(G44="No","No",
MROUND(_xlfn.XLOOKUP(B44,'Base stats'!B:B,'Base stats'!BE:BE)^0.25
/((_xlfn.XLOOKUP(B44,'Base stats'!B:B,'Base stats'!BL:BL))*10)*_xlfn.XLOOKUP(_xlfn.XLOOKUP(B44,'Base stats'!B:B,'Base stats'!E:E),Groups!A:A,Groups!Q:Q)*150 + 0.5 + _xlfn.XLOOKUP(B44,'Base stats'!B:B,'Base stats'!BW:BW),
0.05))</f>
        <v>2.7</v>
      </c>
      <c r="K44" s="3">
        <f>IF(Animals!X44="No","No",
IF(_xlfn.XLOOKUP(_xlfn.XLOOKUP(B44,'Base stats'!B:B,'Base stats'!E:E),Groups!A:A,Groups!BD:BD)=1,
MAX(MROUND(_xlfn.XLOOKUP(B44,'Base stats'!B:B,'Base stats'!BU:BU) * _xlfn.XLOOKUP(B44,'Base stats'!B:B,'Base stats'!BQ:BQ)^0.9 / 21 *_xlfn.XLOOKUP(B44,'Base stats'!B:B,'Base stats'!BX:BX),0.1),0.05),
MAX(MROUND(((MIN(10,_xlfn.XLOOKUP(B44,'Base stats'!B:B,'Base stats'!W:W)))^0.4*_xlfn.XLOOKUP(B44,'Base stats'!B:B,'Base stats'!BI:BI)^0.73)^0.6 *_xlfn.XLOOKUP(B44,'Base stats'!B:B,'Base stats'!BX:BX),0.1),0.05)
))</f>
        <v>28</v>
      </c>
      <c r="L44" s="11">
        <f>IF(K44="No","No",
MROUND(_xlfn.XLOOKUP(B44,'Base stats'!B:B,'Base stats'!BI:BI) * 0.01 *2 + 0.05, 0.05)
)</f>
        <v>11.4</v>
      </c>
      <c r="M44" s="5">
        <f>IF(K44="No","No",IF(_xlfn.XLOOKUP(_xlfn.XLOOKUP(B44,'Base stats'!B:B,'Base stats'!E:E),Groups!A:A,Groups!BD:BD)=1,"No",
MROUND(_xlfn.XLOOKUP(B44,'Base stats'!B:B,'Base stats'!BU:BU)/10000+0.01,0.01)
))</f>
        <v>0.64</v>
      </c>
      <c r="N44" s="4">
        <f>IF(K44="No","No",
MROUND(
  _xlfn.XLOOKUP(B44,'Base stats'!B:B,'Base stats'!BC:BC)^0.25
  / (_xlfn.XLOOKUP(B44,'Base stats'!B:B,'Base stats'!BM:BM) * 10)
  * _xlfn.XLOOKUP(
      _xlfn.XLOOKUP(B44,'Base stats'!B:B,'Base stats'!E:E),
      Groups!A:A,
      Groups!V:V
    ) * 150
  + MIN(12, _xlfn.XLOOKUP(B44,'Base stats'!B:B,'Base stats'!W:W))^(1/IF(_xlfn.XLOOKUP(_xlfn.XLOOKUP(B44,'Base stats'!B:B,'Base stats'!E:E),Groups!A:A,Groups!U:U)=1,100,10)) + 0.5 + _xlfn.XLOOKUP(B44,'Base stats'!B:B,'Base stats'!BW:BW),
0.05))</f>
        <v>3.1500000000000004</v>
      </c>
      <c r="O44" s="3" t="str">
        <f>IF(Animals!AD44="No","No",
MAX(MROUND((MIN(10,_xlfn.XLOOKUP(B44,'Base stats'!B:B,'Base stats'!V:V)*IF(_xlfn.XLOOKUP(_xlfn.XLOOKUP(B44,'Base stats'!B:B,'Base stats'!E:E),Groups!A:A,Groups!O:O)=0,1,0.33))^0.4*_xlfn.XLOOKUP(B44,'Base stats'!B:B,'Base stats'!BJ:BJ)^0.73)^0.6 *_xlfn.XLOOKUP(B44,'Base stats'!B:B,'Base stats'!BX:BX),0.1),0.05)
)</f>
        <v>No</v>
      </c>
      <c r="P44" s="11" t="str">
        <f>IF(O44="No","No",
MROUND(_xlfn.XLOOKUP(B44,'Base stats'!B:B,'Base stats'!BJ:BJ) * 0.01 * 2 + 0.05, 0.05)
)</f>
        <v>No</v>
      </c>
      <c r="Q44" s="5" t="str">
        <f>IF(O44="No","No",
MROUND(_xlfn.XLOOKUP(B44,'Base stats'!B:B,'Base stats'!BV:BV)/10000+0.01,0.01)
)</f>
        <v>No</v>
      </c>
      <c r="R44" s="4" t="str">
        <f>IF(O44="No","No",
MROUND(_xlfn.XLOOKUP(B44,'Base stats'!B:B,'Base stats'!BB:BB)^0.25
/((_xlfn.XLOOKUP(B44,'Base stats'!B:B,'Base stats'!BN:BN))*10)*_xlfn.XLOOKUP(_xlfn.XLOOKUP(B44,'Base stats'!B:B,'Base stats'!E:E),Groups!A:A,Groups!Z:Z)*150 + 0.5 + _xlfn.XLOOKUP(B44,'Base stats'!B:B,'Base stats'!BW:BW),
0.05))</f>
        <v>No</v>
      </c>
      <c r="S44" s="3" t="str">
        <f>IF(Animals!AI44="No","No",
IF(_xlfn.XLOOKUP(B44,'Base stats'!B:B,'Base stats'!U:U)="No",
MAX(MROUND(_xlfn.XLOOKUP(B44,'Base stats'!B:B,'Base stats'!BT:BT) * _xlfn.XLOOKUP(B44,'Base stats'!B:B,'Base stats'!BP:BP)^0.9 / 21 * _xlfn.XLOOKUP(B44,'Base stats'!B:B,'Base stats'!BX:BX),0.1),0.05),
MAX(MROUND(((MIN(12,_xlfn.XLOOKUP(B44,'Base stats'!B:B,'Base stats'!U:U)))^0.4*_xlfn.XLOOKUP(B44,'Base stats'!B:B,'Base stats'!BH:BH)^0.73)^0.6 * _xlfn.XLOOKUP(B44,'Base stats'!B:B,'Base stats'!BX:BX),0.1),0.05)
))</f>
        <v>No</v>
      </c>
      <c r="T44" s="11" t="str">
        <f>IF(S44="No","No",
MROUND(_xlfn.XLOOKUP(B44,'Base stats'!B:B,'Base stats'!BH:BH) * 0.01 * 2 + 0.05, 0.05)
)</f>
        <v>No</v>
      </c>
      <c r="U44" s="5" t="str">
        <f>IF(S44="No","No",IF(_xlfn.XLOOKUP(B44,'Base stats'!B:B,'Base stats'!U:U)="No","No",
MROUND(_xlfn.XLOOKUP(B44,'Base stats'!B:B,'Base stats'!BT:BT)/10000+0.01,0.01)
))</f>
        <v>No</v>
      </c>
      <c r="V44" s="4" t="str">
        <f>IF(S44="No","No",
MROUND(_xlfn.XLOOKUP(B44,'Base stats'!B:B,'Base stats'!BF:BF)^0.25
/((_xlfn.XLOOKUP(B44,'Base stats'!B:B,'Base stats'!BO:BO))*10)*_xlfn.XLOOKUP(_xlfn.XLOOKUP(B44,'Base stats'!B:B,'Base stats'!E:E),Groups!A:A,Groups!AE:AE)*150 + 0.5 + _xlfn.XLOOKUP(B44,'Base stats'!B:B,'Base stats'!BW:BW),
0.05))</f>
        <v>No</v>
      </c>
      <c r="W44" s="8">
        <f>MROUND(_xlfn.XLOOKUP(_xlfn.XLOOKUP(B44,'Base stats'!B:B,'Base stats'!E:E),Groups!A:A,Groups!BG:BG)*_xlfn.XLOOKUP(B44,'Base stats'!B:B,'Base stats'!C:C)^-0.165,0.05)</f>
        <v>0.2</v>
      </c>
      <c r="X44" s="1">
        <f>MROUND(_xlfn.XLOOKUP(_xlfn.XLOOKUP(B44,'Base stats'!B:B,'Base stats'!E:E),Groups!A:A,Groups!BH:BH)*_xlfn.XLOOKUP(B44,'Base stats'!B:B,'Base stats'!C:C)^0.165,0.05)</f>
        <v>0</v>
      </c>
      <c r="Y44" s="8">
        <f>MROUND(_xlfn.XLOOKUP(_xlfn.XLOOKUP(B44,'Base stats'!B:B,'Base stats'!E:E),Groups!A:A,Groups!BI:BI)*_xlfn.XLOOKUP(B44,'Base stats'!B:B,'Base stats'!C:C)^0.165,0.05)</f>
        <v>0</v>
      </c>
      <c r="Z44" s="18">
        <f>MROUND(_xlfn.XLOOKUP(B44,'Base stats'!B:B,'Base stats'!AQ:AQ)*_xlfn.XLOOKUP(_xlfn.XLOOKUP(B44,'Base stats'!B:B,'Base stats'!E:E),Groups!A:A,Groups!H:H)/1000,IF((_xlfn.XLOOKUP(B44,'Base stats'!B:B,'Base stats'!AQ:AQ)*_xlfn.XLOOKUP(_xlfn.XLOOKUP(B44,'Base stats'!B:B,'Base stats'!E:E),Groups!A:A,Groups!H:H)/1000)&gt;1,0.05,0.01))</f>
        <v>0.1</v>
      </c>
      <c r="AA44" s="18">
        <f>MROUND((1/2)*(_xlfn.XLOOKUP(_xlfn.XLOOKUP(B44,'Base stats'!B:B,'Base stats'!E:E),Groups!A:A,Groups!H:H)*_xlfn.XLOOKUP(_xlfn.XLOOKUP(B44,'Base stats'!B:B,'Base stats'!E:E),Groups!A:A,Groups!I:I))*_xlfn.XLOOKUP(B44,'Base stats'!B:B,'Base stats'!AQ:AQ)*0.01,0.05)</f>
        <v>0.4</v>
      </c>
      <c r="AB44" s="18">
        <f>MROUND(250*(Animals!AO44+Animals!AP44),25)</f>
        <v>1250</v>
      </c>
      <c r="AC44" s="18" t="str">
        <f>_xlfn.XLOOKUP(_xlfn.XLOOKUP(B44,'Base stats'!B:B,'Base stats'!E:E),Groups!A:A,Groups!BJ:BJ)</f>
        <v>Quadruped</v>
      </c>
    </row>
    <row r="45" spans="1:29" ht="16.5" thickTop="1" thickBot="1" x14ac:dyDescent="0.3">
      <c r="A45" s="16" t="str">
        <f>Animals!A45</f>
        <v>Yak</v>
      </c>
      <c r="B45" s="6" t="str">
        <f>Animals!B45</f>
        <v>Bos grunniens</v>
      </c>
      <c r="C45" s="1" t="str">
        <f>Animals!C45</f>
        <v>&lt;li&gt;Yak&lt;/li&gt;</v>
      </c>
      <c r="D45" s="47">
        <f>MIN(MIN(6,_xlfn.XLOOKUP(A45,Animals!A:A,Animals!AO:AO))*20,MAX(MROUND(_xlfn.XLOOKUP(B45,'Base stats'!B:B,'Base stats'!BS:BS) * (_xlfn.XLOOKUP(B45,'Base stats'!B:B,'Base stats'!AO:AO)*5%)^0.9 / 21,0.1),0.05))</f>
        <v>15.100000000000001</v>
      </c>
      <c r="E45" s="11">
        <f>MROUND(_xlfn.XLOOKUP(B45,'Base stats'!B:B,'Base stats'!BG:BG) * 0.01 * 2 + 0.01, 0.05)</f>
        <v>14.5</v>
      </c>
      <c r="F45" s="7">
        <f>MROUND(_xlfn.XLOOKUP(B45,'Base stats'!B:B,'Base stats'!BD:BD)^0.25 / (_xlfn.XLOOKUP(B45,'Base stats'!B:B,'Base stats'!BK:BK) * 10) * 150 + 0.5 + _xlfn.XLOOKUP(B45,'Base stats'!B:B,'Base stats'!BW:BW), 0.05)</f>
        <v>1.9000000000000001</v>
      </c>
      <c r="G45" s="3">
        <f>IF(Animals!S45="No","No",
IF(_xlfn.XLOOKUP(B45,'Base stats'!B:B,'Base stats'!U:U)="No",
MAX(MROUND(_xlfn.XLOOKUP(B45,'Base stats'!B:B,'Base stats'!BT:BT) * _xlfn.XLOOKUP(B45,'Base stats'!B:B,'Base stats'!BP:BP)^0.9 / 21 * _xlfn.XLOOKUP(B45,'Base stats'!B:B,'Base stats'!BX:BX),0.1),0.05),
MAX(MROUND(((MIN(10,_xlfn.XLOOKUP(B45,'Base stats'!B:B,'Base stats'!U:U)))^0.4*_xlfn.XLOOKUP(B45,'Base stats'!B:B,'Base stats'!BH:BH)^0.73)^0.6 * _xlfn.XLOOKUP(B45,'Base stats'!B:B,'Base stats'!BX:BX),0.1),0.05)
))</f>
        <v>24.3</v>
      </c>
      <c r="H45" s="11">
        <f>IF(G45="No","No",
MROUND(_xlfn.XLOOKUP(B45,'Base stats'!B:B,'Base stats'!BH:BH) * 0.01 * 2 + 0.05, 0.05)
)</f>
        <v>16.45</v>
      </c>
      <c r="I45" s="11" t="str">
        <f>IF(G45="No","No",IF(_xlfn.XLOOKUP(B45,'Base stats'!B:B,'Base stats'!U:U)="No","No",
MROUND(_xlfn.XLOOKUP(B45,'Base stats'!B:B,'Base stats'!BT:BT)/10000+0.01,0.01)
))</f>
        <v>No</v>
      </c>
      <c r="J45" s="4">
        <f>IF(G45="No","No",
MROUND(_xlfn.XLOOKUP(B45,'Base stats'!B:B,'Base stats'!BE:BE)^0.25
/((_xlfn.XLOOKUP(B45,'Base stats'!B:B,'Base stats'!BL:BL))*10)*_xlfn.XLOOKUP(_xlfn.XLOOKUP(B45,'Base stats'!B:B,'Base stats'!E:E),Groups!A:A,Groups!Q:Q)*150 + 0.5 + _xlfn.XLOOKUP(B45,'Base stats'!B:B,'Base stats'!BW:BW),
0.05))</f>
        <v>2.8000000000000003</v>
      </c>
      <c r="K45" s="3">
        <f>IF(Animals!X45="No","No",
IF(_xlfn.XLOOKUP(_xlfn.XLOOKUP(B45,'Base stats'!B:B,'Base stats'!E:E),Groups!A:A,Groups!BD:BD)=1,
MAX(MROUND(_xlfn.XLOOKUP(B45,'Base stats'!B:B,'Base stats'!BU:BU) * _xlfn.XLOOKUP(B45,'Base stats'!B:B,'Base stats'!BQ:BQ)^0.9 / 21 *_xlfn.XLOOKUP(B45,'Base stats'!B:B,'Base stats'!BX:BX),0.1),0.05),
MAX(MROUND(((MIN(10,_xlfn.XLOOKUP(B45,'Base stats'!B:B,'Base stats'!W:W)))^0.4*_xlfn.XLOOKUP(B45,'Base stats'!B:B,'Base stats'!BI:BI)^0.73)^0.6 *_xlfn.XLOOKUP(B45,'Base stats'!B:B,'Base stats'!BX:BX),0.1),0.05)
))</f>
        <v>35.6</v>
      </c>
      <c r="L45" s="11">
        <f>IF(K45="No","No",
MROUND(_xlfn.XLOOKUP(B45,'Base stats'!B:B,'Base stats'!BI:BI) * 0.01 *2 + 0.05, 0.05)
)</f>
        <v>19.75</v>
      </c>
      <c r="M45" s="5">
        <f>IF(K45="No","No",IF(_xlfn.XLOOKUP(_xlfn.XLOOKUP(B45,'Base stats'!B:B,'Base stats'!E:E),Groups!A:A,Groups!BD:BD)=1,"No",
MROUND(_xlfn.XLOOKUP(B45,'Base stats'!B:B,'Base stats'!BU:BU)/10000+0.01,0.01)
))</f>
        <v>1.03</v>
      </c>
      <c r="N45" s="4">
        <f>IF(K45="No","No",
MROUND(
  _xlfn.XLOOKUP(B45,'Base stats'!B:B,'Base stats'!BC:BC)^0.25
  / (_xlfn.XLOOKUP(B45,'Base stats'!B:B,'Base stats'!BM:BM) * 10)
  * _xlfn.XLOOKUP(
      _xlfn.XLOOKUP(B45,'Base stats'!B:B,'Base stats'!E:E),
      Groups!A:A,
      Groups!V:V
    ) * 150
  + MIN(12, _xlfn.XLOOKUP(B45,'Base stats'!B:B,'Base stats'!W:W))^(1/IF(_xlfn.XLOOKUP(_xlfn.XLOOKUP(B45,'Base stats'!B:B,'Base stats'!E:E),Groups!A:A,Groups!U:U)=1,100,10)) + 0.5 + _xlfn.XLOOKUP(B45,'Base stats'!B:B,'Base stats'!BW:BW),
0.05))</f>
        <v>3.25</v>
      </c>
      <c r="O45" s="3" t="str">
        <f>IF(Animals!AD45="No","No",
MAX(MROUND((MIN(10,_xlfn.XLOOKUP(B45,'Base stats'!B:B,'Base stats'!V:V)*IF(_xlfn.XLOOKUP(_xlfn.XLOOKUP(B45,'Base stats'!B:B,'Base stats'!E:E),Groups!A:A,Groups!O:O)=0,1,0.33))^0.4*_xlfn.XLOOKUP(B45,'Base stats'!B:B,'Base stats'!BJ:BJ)^0.73)^0.6 *_xlfn.XLOOKUP(B45,'Base stats'!B:B,'Base stats'!BX:BX),0.1),0.05)
)</f>
        <v>No</v>
      </c>
      <c r="P45" s="11" t="str">
        <f>IF(O45="No","No",
MROUND(_xlfn.XLOOKUP(B45,'Base stats'!B:B,'Base stats'!BJ:BJ) * 0.01 * 2 + 0.05, 0.05)
)</f>
        <v>No</v>
      </c>
      <c r="Q45" s="5" t="str">
        <f>IF(O45="No","No",
MROUND(_xlfn.XLOOKUP(B45,'Base stats'!B:B,'Base stats'!BV:BV)/10000+0.01,0.01)
)</f>
        <v>No</v>
      </c>
      <c r="R45" s="4" t="str">
        <f>IF(O45="No","No",
MROUND(_xlfn.XLOOKUP(B45,'Base stats'!B:B,'Base stats'!BB:BB)^0.25
/((_xlfn.XLOOKUP(B45,'Base stats'!B:B,'Base stats'!BN:BN))*10)*_xlfn.XLOOKUP(_xlfn.XLOOKUP(B45,'Base stats'!B:B,'Base stats'!E:E),Groups!A:A,Groups!Z:Z)*150 + 0.5 + _xlfn.XLOOKUP(B45,'Base stats'!B:B,'Base stats'!BW:BW),
0.05))</f>
        <v>No</v>
      </c>
      <c r="S45" s="3" t="str">
        <f>IF(Animals!AI45="No","No",
IF(_xlfn.XLOOKUP(B45,'Base stats'!B:B,'Base stats'!U:U)="No",
MAX(MROUND(_xlfn.XLOOKUP(B45,'Base stats'!B:B,'Base stats'!BT:BT) * _xlfn.XLOOKUP(B45,'Base stats'!B:B,'Base stats'!BP:BP)^0.9 / 21 * _xlfn.XLOOKUP(B45,'Base stats'!B:B,'Base stats'!BX:BX),0.1),0.05),
MAX(MROUND(((MIN(12,_xlfn.XLOOKUP(B45,'Base stats'!B:B,'Base stats'!U:U)))^0.4*_xlfn.XLOOKUP(B45,'Base stats'!B:B,'Base stats'!BH:BH)^0.73)^0.6 * _xlfn.XLOOKUP(B45,'Base stats'!B:B,'Base stats'!BX:BX),0.1),0.05)
))</f>
        <v>No</v>
      </c>
      <c r="T45" s="11" t="str">
        <f>IF(S45="No","No",
MROUND(_xlfn.XLOOKUP(B45,'Base stats'!B:B,'Base stats'!BH:BH) * 0.01 * 2 + 0.05, 0.05)
)</f>
        <v>No</v>
      </c>
      <c r="U45" s="5" t="str">
        <f>IF(S45="No","No",IF(_xlfn.XLOOKUP(B45,'Base stats'!B:B,'Base stats'!U:U)="No","No",
MROUND(_xlfn.XLOOKUP(B45,'Base stats'!B:B,'Base stats'!BT:BT)/10000+0.01,0.01)
))</f>
        <v>No</v>
      </c>
      <c r="V45" s="4" t="str">
        <f>IF(S45="No","No",
MROUND(_xlfn.XLOOKUP(B45,'Base stats'!B:B,'Base stats'!BF:BF)^0.25
/((_xlfn.XLOOKUP(B45,'Base stats'!B:B,'Base stats'!BO:BO))*10)*_xlfn.XLOOKUP(_xlfn.XLOOKUP(B45,'Base stats'!B:B,'Base stats'!E:E),Groups!A:A,Groups!AE:AE)*150 + 0.5 + _xlfn.XLOOKUP(B45,'Base stats'!B:B,'Base stats'!BW:BW),
0.05))</f>
        <v>No</v>
      </c>
      <c r="W45" s="8">
        <f>MROUND(_xlfn.XLOOKUP(_xlfn.XLOOKUP(B45,'Base stats'!B:B,'Base stats'!E:E),Groups!A:A,Groups!BG:BG)*_xlfn.XLOOKUP(B45,'Base stats'!B:B,'Base stats'!C:C)^-0.165,0.05)</f>
        <v>0.15000000000000002</v>
      </c>
      <c r="X45" s="1">
        <f>MROUND(_xlfn.XLOOKUP(_xlfn.XLOOKUP(B45,'Base stats'!B:B,'Base stats'!E:E),Groups!A:A,Groups!BH:BH)*_xlfn.XLOOKUP(B45,'Base stats'!B:B,'Base stats'!C:C)^0.165,0.05)</f>
        <v>0</v>
      </c>
      <c r="Y45" s="8">
        <f>MROUND(_xlfn.XLOOKUP(_xlfn.XLOOKUP(B45,'Base stats'!B:B,'Base stats'!E:E),Groups!A:A,Groups!BI:BI)*_xlfn.XLOOKUP(B45,'Base stats'!B:B,'Base stats'!C:C)^0.165,0.05)</f>
        <v>0</v>
      </c>
      <c r="Z45" s="18">
        <f>MROUND(_xlfn.XLOOKUP(B45,'Base stats'!B:B,'Base stats'!AQ:AQ)*_xlfn.XLOOKUP(_xlfn.XLOOKUP(B45,'Base stats'!B:B,'Base stats'!E:E),Groups!A:A,Groups!H:H)/1000,IF((_xlfn.XLOOKUP(B45,'Base stats'!B:B,'Base stats'!AQ:AQ)*_xlfn.XLOOKUP(_xlfn.XLOOKUP(B45,'Base stats'!B:B,'Base stats'!E:E),Groups!A:A,Groups!H:H)/1000)&gt;1,0.05,0.01))</f>
        <v>0.12</v>
      </c>
      <c r="AA45" s="18">
        <f>MROUND((1/2)*(_xlfn.XLOOKUP(_xlfn.XLOOKUP(B45,'Base stats'!B:B,'Base stats'!E:E),Groups!A:A,Groups!H:H)*_xlfn.XLOOKUP(_xlfn.XLOOKUP(B45,'Base stats'!B:B,'Base stats'!E:E),Groups!A:A,Groups!I:I))*_xlfn.XLOOKUP(B45,'Base stats'!B:B,'Base stats'!AQ:AQ)*0.01,0.05)</f>
        <v>0.5</v>
      </c>
      <c r="AB45" s="18">
        <f>MROUND(250*(Animals!AO45+Animals!AP45),25)</f>
        <v>1500</v>
      </c>
      <c r="AC45" s="18" t="str">
        <f>_xlfn.XLOOKUP(_xlfn.XLOOKUP(B45,'Base stats'!B:B,'Base stats'!E:E),Groups!A:A,Groups!BJ:BJ)</f>
        <v>Quadruped</v>
      </c>
    </row>
    <row r="46" spans="1:29" ht="16.5" thickTop="1" thickBot="1" x14ac:dyDescent="0.3">
      <c r="A46" s="16" t="str">
        <f>Animals!A46</f>
        <v>Elk</v>
      </c>
      <c r="B46" s="6" t="str">
        <f>Animals!B46</f>
        <v>Cervus elaphus</v>
      </c>
      <c r="C46" s="1" t="str">
        <f>Animals!C46</f>
        <v>&lt;li&gt;Elk&lt;/li&gt;</v>
      </c>
      <c r="D46" s="47">
        <f>MIN(MIN(6,_xlfn.XLOOKUP(A46,Animals!A:A,Animals!AO:AO))*20,MAX(MROUND(_xlfn.XLOOKUP(B46,'Base stats'!B:B,'Base stats'!BS:BS) * (_xlfn.XLOOKUP(B46,'Base stats'!B:B,'Base stats'!AO:AO)*5%)^0.9 / 21,0.1),0.05))</f>
        <v>5.5</v>
      </c>
      <c r="E46" s="11">
        <f>MROUND(_xlfn.XLOOKUP(B46,'Base stats'!B:B,'Base stats'!BG:BG) * 0.01 * 2 + 0.01, 0.05)</f>
        <v>4.8500000000000005</v>
      </c>
      <c r="F46" s="7">
        <f>MROUND(_xlfn.XLOOKUP(B46,'Base stats'!B:B,'Base stats'!BD:BD)^0.25 / (_xlfn.XLOOKUP(B46,'Base stats'!B:B,'Base stats'!BK:BK) * 10) * 150 + 0.5 + _xlfn.XLOOKUP(B46,'Base stats'!B:B,'Base stats'!BW:BW), 0.05)</f>
        <v>1.7000000000000002</v>
      </c>
      <c r="G46" s="3">
        <f>IF(Animals!S46="No","No",
IF(_xlfn.XLOOKUP(B46,'Base stats'!B:B,'Base stats'!U:U)="No",
MAX(MROUND(_xlfn.XLOOKUP(B46,'Base stats'!B:B,'Base stats'!BT:BT) * _xlfn.XLOOKUP(B46,'Base stats'!B:B,'Base stats'!BP:BP)^0.9 / 21 * _xlfn.XLOOKUP(B46,'Base stats'!B:B,'Base stats'!BX:BX),0.1),0.05),
MAX(MROUND(((MIN(10,_xlfn.XLOOKUP(B46,'Base stats'!B:B,'Base stats'!U:U)))^0.4*_xlfn.XLOOKUP(B46,'Base stats'!B:B,'Base stats'!BH:BH)^0.73)^0.6 * _xlfn.XLOOKUP(B46,'Base stats'!B:B,'Base stats'!BX:BX),0.1),0.05)
))</f>
        <v>9.7000000000000011</v>
      </c>
      <c r="H46" s="11">
        <f>IF(G46="No","No",
MROUND(_xlfn.XLOOKUP(B46,'Base stats'!B:B,'Base stats'!BH:BH) * 0.01 * 2 + 0.05, 0.05)
)</f>
        <v>5.95</v>
      </c>
      <c r="I46" s="11" t="str">
        <f>IF(G46="No","No",IF(_xlfn.XLOOKUP(B46,'Base stats'!B:B,'Base stats'!U:U)="No","No",
MROUND(_xlfn.XLOOKUP(B46,'Base stats'!B:B,'Base stats'!BT:BT)/10000+0.01,0.01)
))</f>
        <v>No</v>
      </c>
      <c r="J46" s="4">
        <f>IF(G46="No","No",
MROUND(_xlfn.XLOOKUP(B46,'Base stats'!B:B,'Base stats'!BE:BE)^0.25
/((_xlfn.XLOOKUP(B46,'Base stats'!B:B,'Base stats'!BL:BL))*10)*_xlfn.XLOOKUP(_xlfn.XLOOKUP(B46,'Base stats'!B:B,'Base stats'!E:E),Groups!A:A,Groups!Q:Q)*150 + 0.5 + _xlfn.XLOOKUP(B46,'Base stats'!B:B,'Base stats'!BW:BW),
0.05))</f>
        <v>2.5</v>
      </c>
      <c r="K46" s="3">
        <f>IF(Animals!X46="No","No",
IF(_xlfn.XLOOKUP(_xlfn.XLOOKUP(B46,'Base stats'!B:B,'Base stats'!E:E),Groups!A:A,Groups!BD:BD)=1,
MAX(MROUND(_xlfn.XLOOKUP(B46,'Base stats'!B:B,'Base stats'!BU:BU) * _xlfn.XLOOKUP(B46,'Base stats'!B:B,'Base stats'!BQ:BQ)^0.9 / 21 *_xlfn.XLOOKUP(B46,'Base stats'!B:B,'Base stats'!BX:BX),0.1),0.05),
MAX(MROUND(((MIN(10,_xlfn.XLOOKUP(B46,'Base stats'!B:B,'Base stats'!W:W)))^0.4*_xlfn.XLOOKUP(B46,'Base stats'!B:B,'Base stats'!BI:BI)^0.73)^0.6 *_xlfn.XLOOKUP(B46,'Base stats'!B:B,'Base stats'!BX:BX),0.1),0.05)
))</f>
        <v>22.700000000000003</v>
      </c>
      <c r="L46" s="11">
        <f>IF(K46="No","No",
MROUND(_xlfn.XLOOKUP(B46,'Base stats'!B:B,'Base stats'!BI:BI) * 0.01 *2 + 0.05, 0.05)
)</f>
        <v>7.1000000000000005</v>
      </c>
      <c r="M46" s="5">
        <f>IF(K46="No","No",IF(_xlfn.XLOOKUP(_xlfn.XLOOKUP(B46,'Base stats'!B:B,'Base stats'!E:E),Groups!A:A,Groups!BD:BD)=1,"No",
MROUND(_xlfn.XLOOKUP(B46,'Base stats'!B:B,'Base stats'!BU:BU)/10000+0.01,0.01)
))</f>
        <v>0.42</v>
      </c>
      <c r="N46" s="4">
        <f>IF(K46="No","No",
MROUND(
  _xlfn.XLOOKUP(B46,'Base stats'!B:B,'Base stats'!BC:BC)^0.25
  / (_xlfn.XLOOKUP(B46,'Base stats'!B:B,'Base stats'!BM:BM) * 10)
  * _xlfn.XLOOKUP(
      _xlfn.XLOOKUP(B46,'Base stats'!B:B,'Base stats'!E:E),
      Groups!A:A,
      Groups!V:V
    ) * 150
  + MIN(12, _xlfn.XLOOKUP(B46,'Base stats'!B:B,'Base stats'!W:W))^(1/IF(_xlfn.XLOOKUP(_xlfn.XLOOKUP(B46,'Base stats'!B:B,'Base stats'!E:E),Groups!A:A,Groups!U:U)=1,100,10)) + 0.5 + _xlfn.XLOOKUP(B46,'Base stats'!B:B,'Base stats'!BW:BW),
0.05))</f>
        <v>3</v>
      </c>
      <c r="O46" s="3" t="str">
        <f>IF(Animals!AD46="No","No",
MAX(MROUND((MIN(10,_xlfn.XLOOKUP(B46,'Base stats'!B:B,'Base stats'!V:V)*IF(_xlfn.XLOOKUP(_xlfn.XLOOKUP(B46,'Base stats'!B:B,'Base stats'!E:E),Groups!A:A,Groups!O:O)=0,1,0.33))^0.4*_xlfn.XLOOKUP(B46,'Base stats'!B:B,'Base stats'!BJ:BJ)^0.73)^0.6 *_xlfn.XLOOKUP(B46,'Base stats'!B:B,'Base stats'!BX:BX),0.1),0.05)
)</f>
        <v>No</v>
      </c>
      <c r="P46" s="11" t="str">
        <f>IF(O46="No","No",
MROUND(_xlfn.XLOOKUP(B46,'Base stats'!B:B,'Base stats'!BJ:BJ) * 0.01 * 2 + 0.05, 0.05)
)</f>
        <v>No</v>
      </c>
      <c r="Q46" s="5" t="str">
        <f>IF(O46="No","No",
MROUND(_xlfn.XLOOKUP(B46,'Base stats'!B:B,'Base stats'!BV:BV)/10000+0.01,0.01)
)</f>
        <v>No</v>
      </c>
      <c r="R46" s="4" t="str">
        <f>IF(O46="No","No",
MROUND(_xlfn.XLOOKUP(B46,'Base stats'!B:B,'Base stats'!BB:BB)^0.25
/((_xlfn.XLOOKUP(B46,'Base stats'!B:B,'Base stats'!BN:BN))*10)*_xlfn.XLOOKUP(_xlfn.XLOOKUP(B46,'Base stats'!B:B,'Base stats'!E:E),Groups!A:A,Groups!Z:Z)*150 + 0.5 + _xlfn.XLOOKUP(B46,'Base stats'!B:B,'Base stats'!BW:BW),
0.05))</f>
        <v>No</v>
      </c>
      <c r="S46" s="3" t="str">
        <f>IF(Animals!AI46="No","No",
IF(_xlfn.XLOOKUP(B46,'Base stats'!B:B,'Base stats'!U:U)="No",
MAX(MROUND(_xlfn.XLOOKUP(B46,'Base stats'!B:B,'Base stats'!BT:BT) * _xlfn.XLOOKUP(B46,'Base stats'!B:B,'Base stats'!BP:BP)^0.9 / 21 * _xlfn.XLOOKUP(B46,'Base stats'!B:B,'Base stats'!BX:BX),0.1),0.05),
MAX(MROUND(((MIN(12,_xlfn.XLOOKUP(B46,'Base stats'!B:B,'Base stats'!U:U)))^0.4*_xlfn.XLOOKUP(B46,'Base stats'!B:B,'Base stats'!BH:BH)^0.73)^0.6 * _xlfn.XLOOKUP(B46,'Base stats'!B:B,'Base stats'!BX:BX),0.1),0.05)
))</f>
        <v>No</v>
      </c>
      <c r="T46" s="11" t="str">
        <f>IF(S46="No","No",
MROUND(_xlfn.XLOOKUP(B46,'Base stats'!B:B,'Base stats'!BH:BH) * 0.01 * 2 + 0.05, 0.05)
)</f>
        <v>No</v>
      </c>
      <c r="U46" s="5" t="str">
        <f>IF(S46="No","No",IF(_xlfn.XLOOKUP(B46,'Base stats'!B:B,'Base stats'!U:U)="No","No",
MROUND(_xlfn.XLOOKUP(B46,'Base stats'!B:B,'Base stats'!BT:BT)/10000+0.01,0.01)
))</f>
        <v>No</v>
      </c>
      <c r="V46" s="4" t="str">
        <f>IF(S46="No","No",
MROUND(_xlfn.XLOOKUP(B46,'Base stats'!B:B,'Base stats'!BF:BF)^0.25
/((_xlfn.XLOOKUP(B46,'Base stats'!B:B,'Base stats'!BO:BO))*10)*_xlfn.XLOOKUP(_xlfn.XLOOKUP(B46,'Base stats'!B:B,'Base stats'!E:E),Groups!A:A,Groups!AE:AE)*150 + 0.5 + _xlfn.XLOOKUP(B46,'Base stats'!B:B,'Base stats'!BW:BW),
0.05))</f>
        <v>No</v>
      </c>
      <c r="W46" s="8">
        <f>MROUND(_xlfn.XLOOKUP(_xlfn.XLOOKUP(B46,'Base stats'!B:B,'Base stats'!E:E),Groups!A:A,Groups!BG:BG)*_xlfn.XLOOKUP(B46,'Base stats'!B:B,'Base stats'!C:C)^-0.165,0.05)</f>
        <v>0.2</v>
      </c>
      <c r="X46" s="1">
        <f>MROUND(_xlfn.XLOOKUP(_xlfn.XLOOKUP(B46,'Base stats'!B:B,'Base stats'!E:E),Groups!A:A,Groups!BH:BH)*_xlfn.XLOOKUP(B46,'Base stats'!B:B,'Base stats'!C:C)^0.165,0.05)</f>
        <v>0</v>
      </c>
      <c r="Y46" s="8">
        <f>MROUND(_xlfn.XLOOKUP(_xlfn.XLOOKUP(B46,'Base stats'!B:B,'Base stats'!E:E),Groups!A:A,Groups!BI:BI)*_xlfn.XLOOKUP(B46,'Base stats'!B:B,'Base stats'!C:C)^0.165,0.05)</f>
        <v>0</v>
      </c>
      <c r="Z46" s="18">
        <f>MROUND(_xlfn.XLOOKUP(B46,'Base stats'!B:B,'Base stats'!AQ:AQ)*_xlfn.XLOOKUP(_xlfn.XLOOKUP(B46,'Base stats'!B:B,'Base stats'!E:E),Groups!A:A,Groups!H:H)/1000,IF((_xlfn.XLOOKUP(B46,'Base stats'!B:B,'Base stats'!AQ:AQ)*_xlfn.XLOOKUP(_xlfn.XLOOKUP(B46,'Base stats'!B:B,'Base stats'!E:E),Groups!A:A,Groups!H:H)/1000)&gt;1,0.05,0.01))</f>
        <v>0.08</v>
      </c>
      <c r="AA46" s="18">
        <f>MROUND((1/2)*(_xlfn.XLOOKUP(_xlfn.XLOOKUP(B46,'Base stats'!B:B,'Base stats'!E:E),Groups!A:A,Groups!H:H)*_xlfn.XLOOKUP(_xlfn.XLOOKUP(B46,'Base stats'!B:B,'Base stats'!E:E),Groups!A:A,Groups!I:I))*_xlfn.XLOOKUP(B46,'Base stats'!B:B,'Base stats'!AQ:AQ)*0.01,0.05)</f>
        <v>0.35000000000000003</v>
      </c>
      <c r="AB46" s="18">
        <f>MROUND(250*(Animals!AO46+Animals!AP46),25)</f>
        <v>900</v>
      </c>
      <c r="AC46" s="18" t="str">
        <f>_xlfn.XLOOKUP(_xlfn.XLOOKUP(B46,'Base stats'!B:B,'Base stats'!E:E),Groups!A:A,Groups!BJ:BJ)</f>
        <v>Quadruped</v>
      </c>
    </row>
    <row r="47" spans="1:29" ht="16.5" thickTop="1" thickBot="1" x14ac:dyDescent="0.3">
      <c r="A47" s="16" t="str">
        <f>Animals!A47</f>
        <v>Boomalope</v>
      </c>
      <c r="B47" s="6" t="str">
        <f>Animals!B47</f>
        <v>Bombaria proliferans</v>
      </c>
      <c r="C47" s="1" t="str">
        <f>Animals!C47</f>
        <v>&lt;li&gt;Boomalope&lt;/li&gt;</v>
      </c>
      <c r="D47" s="47">
        <f>MIN(MIN(6,_xlfn.XLOOKUP(A47,Animals!A:A,Animals!AO:AO))*20,MAX(MROUND(_xlfn.XLOOKUP(B47,'Base stats'!B:B,'Base stats'!BS:BS) * (_xlfn.XLOOKUP(B47,'Base stats'!B:B,'Base stats'!AO:AO)*5%)^0.9 / 21,0.1),0.05))</f>
        <v>4.3</v>
      </c>
      <c r="E47" s="11">
        <f>MROUND(_xlfn.XLOOKUP(B47,'Base stats'!B:B,'Base stats'!BG:BG) * 0.01 * 2 + 0.01, 0.05)</f>
        <v>3.75</v>
      </c>
      <c r="F47" s="7">
        <f>MROUND(_xlfn.XLOOKUP(B47,'Base stats'!B:B,'Base stats'!BD:BD)^0.25 / (_xlfn.XLOOKUP(B47,'Base stats'!B:B,'Base stats'!BK:BK) * 10) * 150 + 0.5 + _xlfn.XLOOKUP(B47,'Base stats'!B:B,'Base stats'!BW:BW), 0.05)</f>
        <v>1.75</v>
      </c>
      <c r="G47" s="3">
        <f>IF(Animals!S47="No","No",
IF(_xlfn.XLOOKUP(B47,'Base stats'!B:B,'Base stats'!U:U)="No",
MAX(MROUND(_xlfn.XLOOKUP(B47,'Base stats'!B:B,'Base stats'!BT:BT) * _xlfn.XLOOKUP(B47,'Base stats'!B:B,'Base stats'!BP:BP)^0.9 / 21 * _xlfn.XLOOKUP(B47,'Base stats'!B:B,'Base stats'!BX:BX),0.1),0.05),
MAX(MROUND(((MIN(10,_xlfn.XLOOKUP(B47,'Base stats'!B:B,'Base stats'!U:U)))^0.4*_xlfn.XLOOKUP(B47,'Base stats'!B:B,'Base stats'!BH:BH)^0.73)^0.6 * _xlfn.XLOOKUP(B47,'Base stats'!B:B,'Base stats'!BX:BX),0.1),0.05)
))</f>
        <v>7.8000000000000007</v>
      </c>
      <c r="H47" s="11">
        <f>IF(G47="No","No",
MROUND(_xlfn.XLOOKUP(B47,'Base stats'!B:B,'Base stats'!BH:BH) * 0.01 * 2 + 0.05, 0.05)
)</f>
        <v>4.6500000000000004</v>
      </c>
      <c r="I47" s="11" t="str">
        <f>IF(G47="No","No",IF(_xlfn.XLOOKUP(B47,'Base stats'!B:B,'Base stats'!U:U)="No","No",
MROUND(_xlfn.XLOOKUP(B47,'Base stats'!B:B,'Base stats'!BT:BT)/10000+0.01,0.01)
))</f>
        <v>No</v>
      </c>
      <c r="J47" s="4">
        <f>IF(G47="No","No",
MROUND(_xlfn.XLOOKUP(B47,'Base stats'!B:B,'Base stats'!BE:BE)^0.25
/((_xlfn.XLOOKUP(B47,'Base stats'!B:B,'Base stats'!BL:BL))*10)*_xlfn.XLOOKUP(_xlfn.XLOOKUP(B47,'Base stats'!B:B,'Base stats'!E:E),Groups!A:A,Groups!Q:Q)*150 + 0.5 + _xlfn.XLOOKUP(B47,'Base stats'!B:B,'Base stats'!BW:BW),
0.05))</f>
        <v>2.3000000000000003</v>
      </c>
      <c r="K47" s="3" t="str">
        <f>IF(Animals!X47="No","No",
IF(_xlfn.XLOOKUP(_xlfn.XLOOKUP(B47,'Base stats'!B:B,'Base stats'!E:E),Groups!A:A,Groups!BD:BD)=1,
MAX(MROUND(_xlfn.XLOOKUP(B47,'Base stats'!B:B,'Base stats'!BU:BU) * _xlfn.XLOOKUP(B47,'Base stats'!B:B,'Base stats'!BQ:BQ)^0.9 / 21 *_xlfn.XLOOKUP(B47,'Base stats'!B:B,'Base stats'!BX:BX),0.1),0.05),
MAX(MROUND(((MIN(10,_xlfn.XLOOKUP(B47,'Base stats'!B:B,'Base stats'!W:W)))^0.4*_xlfn.XLOOKUP(B47,'Base stats'!B:B,'Base stats'!BI:BI)^0.73)^0.6 *_xlfn.XLOOKUP(B47,'Base stats'!B:B,'Base stats'!BX:BX),0.1),0.05)
))</f>
        <v>No</v>
      </c>
      <c r="L47" s="11" t="str">
        <f>IF(K47="No","No",
MROUND(_xlfn.XLOOKUP(B47,'Base stats'!B:B,'Base stats'!BI:BI) * 0.01 *2 + 0.05, 0.05)
)</f>
        <v>No</v>
      </c>
      <c r="M47" s="5" t="str">
        <f>IF(K47="No","No",IF(_xlfn.XLOOKUP(_xlfn.XLOOKUP(B47,'Base stats'!B:B,'Base stats'!E:E),Groups!A:A,Groups!BD:BD)=1,"No",
MROUND(_xlfn.XLOOKUP(B47,'Base stats'!B:B,'Base stats'!BU:BU)/10000+0.01,0.01)
))</f>
        <v>No</v>
      </c>
      <c r="N47" s="4" t="str">
        <f>IF(K47="No","No",
MROUND(
  _xlfn.XLOOKUP(B47,'Base stats'!B:B,'Base stats'!BC:BC)^0.25
  / (_xlfn.XLOOKUP(B47,'Base stats'!B:B,'Base stats'!BM:BM) * 10)
  * _xlfn.XLOOKUP(
      _xlfn.XLOOKUP(B47,'Base stats'!B:B,'Base stats'!E:E),
      Groups!A:A,
      Groups!V:V
    ) * 150
  + MIN(12, _xlfn.XLOOKUP(B47,'Base stats'!B:B,'Base stats'!W:W))^(1/IF(_xlfn.XLOOKUP(_xlfn.XLOOKUP(B47,'Base stats'!B:B,'Base stats'!E:E),Groups!A:A,Groups!U:U)=1,100,10)) + 0.5 + _xlfn.XLOOKUP(B47,'Base stats'!B:B,'Base stats'!BW:BW),
0.05))</f>
        <v>No</v>
      </c>
      <c r="O47" s="3">
        <f>IF(Animals!AD47="No","No",
MAX(MROUND((MIN(10,_xlfn.XLOOKUP(B47,'Base stats'!B:B,'Base stats'!V:V)*IF(_xlfn.XLOOKUP(_xlfn.XLOOKUP(B47,'Base stats'!B:B,'Base stats'!E:E),Groups!A:A,Groups!O:O)=0,1,0.33))^0.4*_xlfn.XLOOKUP(B47,'Base stats'!B:B,'Base stats'!BJ:BJ)^0.73)^0.6 *_xlfn.XLOOKUP(B47,'Base stats'!B:B,'Base stats'!BX:BX),0.1),0.05)
)</f>
        <v>9.9</v>
      </c>
      <c r="P47" s="11">
        <f>IF(O47="No","No",
MROUND(_xlfn.XLOOKUP(B47,'Base stats'!B:B,'Base stats'!BJ:BJ) * 0.01 * 2 + 0.05, 0.05)
)</f>
        <v>3.4000000000000004</v>
      </c>
      <c r="Q47" s="5">
        <f>IF(O47="No","No",
MROUND(_xlfn.XLOOKUP(B47,'Base stats'!B:B,'Base stats'!BV:BV)/10000+0.01,0.01)
)</f>
        <v>0.13</v>
      </c>
      <c r="R47" s="4">
        <f>IF(O47="No","No",
MROUND(_xlfn.XLOOKUP(B47,'Base stats'!B:B,'Base stats'!BB:BB)^0.25
/((_xlfn.XLOOKUP(B47,'Base stats'!B:B,'Base stats'!BN:BN))*10)*_xlfn.XLOOKUP(_xlfn.XLOOKUP(B47,'Base stats'!B:B,'Base stats'!E:E),Groups!A:A,Groups!Z:Z)*150 + 0.5 + _xlfn.XLOOKUP(B47,'Base stats'!B:B,'Base stats'!BW:BW),
0.05))</f>
        <v>2.8000000000000003</v>
      </c>
      <c r="S47" s="3" t="str">
        <f>IF(Animals!AI47="No","No",
IF(_xlfn.XLOOKUP(B47,'Base stats'!B:B,'Base stats'!U:U)="No",
MAX(MROUND(_xlfn.XLOOKUP(B47,'Base stats'!B:B,'Base stats'!BT:BT) * _xlfn.XLOOKUP(B47,'Base stats'!B:B,'Base stats'!BP:BP)^0.9 / 21 * _xlfn.XLOOKUP(B47,'Base stats'!B:B,'Base stats'!BX:BX),0.1),0.05),
MAX(MROUND(((MIN(12,_xlfn.XLOOKUP(B47,'Base stats'!B:B,'Base stats'!U:U)))^0.4*_xlfn.XLOOKUP(B47,'Base stats'!B:B,'Base stats'!BH:BH)^0.73)^0.6 * _xlfn.XLOOKUP(B47,'Base stats'!B:B,'Base stats'!BX:BX),0.1),0.05)
))</f>
        <v>No</v>
      </c>
      <c r="T47" s="11" t="str">
        <f>IF(S47="No","No",
MROUND(_xlfn.XLOOKUP(B47,'Base stats'!B:B,'Base stats'!BH:BH) * 0.01 * 2 + 0.05, 0.05)
)</f>
        <v>No</v>
      </c>
      <c r="U47" s="5" t="str">
        <f>IF(S47="No","No",IF(_xlfn.XLOOKUP(B47,'Base stats'!B:B,'Base stats'!U:U)="No","No",
MROUND(_xlfn.XLOOKUP(B47,'Base stats'!B:B,'Base stats'!BT:BT)/10000+0.01,0.01)
))</f>
        <v>No</v>
      </c>
      <c r="V47" s="4" t="str">
        <f>IF(S47="No","No",
MROUND(_xlfn.XLOOKUP(B47,'Base stats'!B:B,'Base stats'!BF:BF)^0.25
/((_xlfn.XLOOKUP(B47,'Base stats'!B:B,'Base stats'!BO:BO))*10)*_xlfn.XLOOKUP(_xlfn.XLOOKUP(B47,'Base stats'!B:B,'Base stats'!E:E),Groups!A:A,Groups!AE:AE)*150 + 0.5 + _xlfn.XLOOKUP(B47,'Base stats'!B:B,'Base stats'!BW:BW),
0.05))</f>
        <v>No</v>
      </c>
      <c r="W47" s="8">
        <f>MROUND(_xlfn.XLOOKUP(_xlfn.XLOOKUP(B47,'Base stats'!B:B,'Base stats'!E:E),Groups!A:A,Groups!BG:BG)*_xlfn.XLOOKUP(B47,'Base stats'!B:B,'Base stats'!C:C)^-0.165,0.05)</f>
        <v>0.2</v>
      </c>
      <c r="X47" s="1">
        <f>MROUND(_xlfn.XLOOKUP(_xlfn.XLOOKUP(B47,'Base stats'!B:B,'Base stats'!E:E),Groups!A:A,Groups!BH:BH)*_xlfn.XLOOKUP(B47,'Base stats'!B:B,'Base stats'!C:C)^0.165,0.05)</f>
        <v>0</v>
      </c>
      <c r="Y47" s="8">
        <f>MROUND(_xlfn.XLOOKUP(_xlfn.XLOOKUP(B47,'Base stats'!B:B,'Base stats'!E:E),Groups!A:A,Groups!BI:BI)*_xlfn.XLOOKUP(B47,'Base stats'!B:B,'Base stats'!C:C)^0.165,0.05)</f>
        <v>0</v>
      </c>
      <c r="Z47" s="18">
        <f>MROUND(_xlfn.XLOOKUP(B47,'Base stats'!B:B,'Base stats'!AQ:AQ)*_xlfn.XLOOKUP(_xlfn.XLOOKUP(B47,'Base stats'!B:B,'Base stats'!E:E),Groups!A:A,Groups!H:H)/1000,IF((_xlfn.XLOOKUP(B47,'Base stats'!B:B,'Base stats'!AQ:AQ)*_xlfn.XLOOKUP(_xlfn.XLOOKUP(B47,'Base stats'!B:B,'Base stats'!E:E),Groups!A:A,Groups!H:H)/1000)&gt;1,0.05,0.01))</f>
        <v>0.08</v>
      </c>
      <c r="AA47" s="18">
        <f>MROUND((1/2)*(_xlfn.XLOOKUP(_xlfn.XLOOKUP(B47,'Base stats'!B:B,'Base stats'!E:E),Groups!A:A,Groups!H:H)*_xlfn.XLOOKUP(_xlfn.XLOOKUP(B47,'Base stats'!B:B,'Base stats'!E:E),Groups!A:A,Groups!I:I))*_xlfn.XLOOKUP(B47,'Base stats'!B:B,'Base stats'!AQ:AQ)*0.01,0.05)</f>
        <v>0.30000000000000004</v>
      </c>
      <c r="AB47" s="18">
        <f>MROUND(250*(Animals!AO47+Animals!AP47),25)</f>
        <v>750</v>
      </c>
      <c r="AC47" s="18" t="str">
        <f>_xlfn.XLOOKUP(_xlfn.XLOOKUP(B47,'Base stats'!B:B,'Base stats'!E:E),Groups!A:A,Groups!BJ:BJ)</f>
        <v>Quadruped</v>
      </c>
    </row>
    <row r="48" spans="1:29" s="16" customFormat="1" ht="16.5" thickTop="1" thickBot="1" x14ac:dyDescent="0.3">
      <c r="A48" s="16" t="str">
        <f>Animals!A48</f>
        <v>Toxalope</v>
      </c>
      <c r="B48" s="6" t="str">
        <f>Animals!B48</f>
        <v>Bombaria toxiferans</v>
      </c>
      <c r="C48" s="1" t="str">
        <f>Animals!C48</f>
        <v>&lt;li&gt;Toxalope&lt;/li&gt;</v>
      </c>
      <c r="D48" s="47">
        <f>MIN(MIN(6,_xlfn.XLOOKUP(A48,Animals!A:A,Animals!AO:AO))*20,MAX(MROUND(_xlfn.XLOOKUP(B48,'Base stats'!B:B,'Base stats'!BS:BS) * (_xlfn.XLOOKUP(B48,'Base stats'!B:B,'Base stats'!AO:AO)*5%)^0.9 / 21,0.1),0.05))</f>
        <v>4.3</v>
      </c>
      <c r="E48" s="11">
        <f>MROUND(_xlfn.XLOOKUP(B48,'Base stats'!B:B,'Base stats'!BG:BG) * 0.01 * 2 + 0.01, 0.05)</f>
        <v>3.75</v>
      </c>
      <c r="F48" s="7">
        <f>MROUND(_xlfn.XLOOKUP(B48,'Base stats'!B:B,'Base stats'!BD:BD)^0.25 / (_xlfn.XLOOKUP(B48,'Base stats'!B:B,'Base stats'!BK:BK) * 10) * 150 + 0.5 + _xlfn.XLOOKUP(B48,'Base stats'!B:B,'Base stats'!BW:BW), 0.05)</f>
        <v>1.75</v>
      </c>
      <c r="G48" s="3">
        <f>IF(Animals!S48="No","No",
IF(_xlfn.XLOOKUP(B48,'Base stats'!B:B,'Base stats'!U:U)="No",
MAX(MROUND(_xlfn.XLOOKUP(B48,'Base stats'!B:B,'Base stats'!BT:BT) * _xlfn.XLOOKUP(B48,'Base stats'!B:B,'Base stats'!BP:BP)^0.9 / 21 * _xlfn.XLOOKUP(B48,'Base stats'!B:B,'Base stats'!BX:BX),0.1),0.05),
MAX(MROUND(((MIN(10,_xlfn.XLOOKUP(B48,'Base stats'!B:B,'Base stats'!U:U)))^0.4*_xlfn.XLOOKUP(B48,'Base stats'!B:B,'Base stats'!BH:BH)^0.73)^0.6 * _xlfn.XLOOKUP(B48,'Base stats'!B:B,'Base stats'!BX:BX),0.1),0.05)
))</f>
        <v>7.8000000000000007</v>
      </c>
      <c r="H48" s="11">
        <f>IF(G48="No","No",
MROUND(_xlfn.XLOOKUP(B48,'Base stats'!B:B,'Base stats'!BH:BH) * 0.01 * 2 + 0.05, 0.05)
)</f>
        <v>4.6500000000000004</v>
      </c>
      <c r="I48" s="11" t="str">
        <f>IF(G48="No","No",IF(_xlfn.XLOOKUP(B48,'Base stats'!B:B,'Base stats'!U:U)="No","No",
MROUND(_xlfn.XLOOKUP(B48,'Base stats'!B:B,'Base stats'!BT:BT)/10000+0.01,0.01)
))</f>
        <v>No</v>
      </c>
      <c r="J48" s="4">
        <f>IF(G48="No","No",
MROUND(_xlfn.XLOOKUP(B48,'Base stats'!B:B,'Base stats'!BE:BE)^0.25
/((_xlfn.XLOOKUP(B48,'Base stats'!B:B,'Base stats'!BL:BL))*10)*_xlfn.XLOOKUP(_xlfn.XLOOKUP(B48,'Base stats'!B:B,'Base stats'!E:E),Groups!A:A,Groups!Q:Q)*150 + 0.5 + _xlfn.XLOOKUP(B48,'Base stats'!B:B,'Base stats'!BW:BW),
0.05))</f>
        <v>2.3000000000000003</v>
      </c>
      <c r="K48" s="3" t="str">
        <f>IF(Animals!X48="No","No",
IF(_xlfn.XLOOKUP(_xlfn.XLOOKUP(B48,'Base stats'!B:B,'Base stats'!E:E),Groups!A:A,Groups!BD:BD)=1,
MAX(MROUND(_xlfn.XLOOKUP(B48,'Base stats'!B:B,'Base stats'!BU:BU) * _xlfn.XLOOKUP(B48,'Base stats'!B:B,'Base stats'!BQ:BQ)^0.9 / 21 *_xlfn.XLOOKUP(B48,'Base stats'!B:B,'Base stats'!BX:BX),0.1),0.05),
MAX(MROUND(((MIN(10,_xlfn.XLOOKUP(B48,'Base stats'!B:B,'Base stats'!W:W)))^0.4*_xlfn.XLOOKUP(B48,'Base stats'!B:B,'Base stats'!BI:BI)^0.73)^0.6 *_xlfn.XLOOKUP(B48,'Base stats'!B:B,'Base stats'!BX:BX),0.1),0.05)
))</f>
        <v>No</v>
      </c>
      <c r="L48" s="11" t="str">
        <f>IF(K48="No","No",
MROUND(_xlfn.XLOOKUP(B48,'Base stats'!B:B,'Base stats'!BI:BI) * 0.01 *2 + 0.05, 0.05)
)</f>
        <v>No</v>
      </c>
      <c r="M48" s="5" t="str">
        <f>IF(K48="No","No",IF(_xlfn.XLOOKUP(_xlfn.XLOOKUP(B48,'Base stats'!B:B,'Base stats'!E:E),Groups!A:A,Groups!BD:BD)=1,"No",
MROUND(_xlfn.XLOOKUP(B48,'Base stats'!B:B,'Base stats'!BU:BU)/10000+0.01,0.01)
))</f>
        <v>No</v>
      </c>
      <c r="N48" s="4" t="str">
        <f>IF(K48="No","No",
MROUND(
  _xlfn.XLOOKUP(B48,'Base stats'!B:B,'Base stats'!BC:BC)^0.25
  / (_xlfn.XLOOKUP(B48,'Base stats'!B:B,'Base stats'!BM:BM) * 10)
  * _xlfn.XLOOKUP(
      _xlfn.XLOOKUP(B48,'Base stats'!B:B,'Base stats'!E:E),
      Groups!A:A,
      Groups!V:V
    ) * 150
  + MIN(12, _xlfn.XLOOKUP(B48,'Base stats'!B:B,'Base stats'!W:W))^(1/IF(_xlfn.XLOOKUP(_xlfn.XLOOKUP(B48,'Base stats'!B:B,'Base stats'!E:E),Groups!A:A,Groups!U:U)=1,100,10)) + 0.5 + _xlfn.XLOOKUP(B48,'Base stats'!B:B,'Base stats'!BW:BW),
0.05))</f>
        <v>No</v>
      </c>
      <c r="O48" s="3">
        <f>IF(Animals!AD48="No","No",
MAX(MROUND((MIN(10,_xlfn.XLOOKUP(B48,'Base stats'!B:B,'Base stats'!V:V)*IF(_xlfn.XLOOKUP(_xlfn.XLOOKUP(B48,'Base stats'!B:B,'Base stats'!E:E),Groups!A:A,Groups!O:O)=0,1,0.33))^0.4*_xlfn.XLOOKUP(B48,'Base stats'!B:B,'Base stats'!BJ:BJ)^0.73)^0.6 *_xlfn.XLOOKUP(B48,'Base stats'!B:B,'Base stats'!BX:BX),0.1),0.05)
)</f>
        <v>9.9</v>
      </c>
      <c r="P48" s="11">
        <f>IF(O48="No","No",
MROUND(_xlfn.XLOOKUP(B48,'Base stats'!B:B,'Base stats'!BJ:BJ) * 0.01 * 2 + 0.05, 0.05)
)</f>
        <v>3.4000000000000004</v>
      </c>
      <c r="Q48" s="5">
        <f>IF(O48="No","No",
MROUND(_xlfn.XLOOKUP(B48,'Base stats'!B:B,'Base stats'!BV:BV)/10000+0.01,0.01)
)</f>
        <v>0.13</v>
      </c>
      <c r="R48" s="4">
        <f>IF(O48="No","No",
MROUND(_xlfn.XLOOKUP(B48,'Base stats'!B:B,'Base stats'!BB:BB)^0.25
/((_xlfn.XLOOKUP(B48,'Base stats'!B:B,'Base stats'!BN:BN))*10)*_xlfn.XLOOKUP(_xlfn.XLOOKUP(B48,'Base stats'!B:B,'Base stats'!E:E),Groups!A:A,Groups!Z:Z)*150 + 0.5 + _xlfn.XLOOKUP(B48,'Base stats'!B:B,'Base stats'!BW:BW),
0.05))</f>
        <v>2.8000000000000003</v>
      </c>
      <c r="S48" s="3" t="str">
        <f>IF(Animals!AI48="No","No",
IF(_xlfn.XLOOKUP(B48,'Base stats'!B:B,'Base stats'!U:U)="No",
MAX(MROUND(_xlfn.XLOOKUP(B48,'Base stats'!B:B,'Base stats'!BT:BT) * _xlfn.XLOOKUP(B48,'Base stats'!B:B,'Base stats'!BP:BP)^0.9 / 21 * _xlfn.XLOOKUP(B48,'Base stats'!B:B,'Base stats'!BX:BX),0.1),0.05),
MAX(MROUND(((MIN(12,_xlfn.XLOOKUP(B48,'Base stats'!B:B,'Base stats'!U:U)))^0.4*_xlfn.XLOOKUP(B48,'Base stats'!B:B,'Base stats'!BH:BH)^0.73)^0.6 * _xlfn.XLOOKUP(B48,'Base stats'!B:B,'Base stats'!BX:BX),0.1),0.05)
))</f>
        <v>No</v>
      </c>
      <c r="T48" s="11" t="str">
        <f>IF(S48="No","No",
MROUND(_xlfn.XLOOKUP(B48,'Base stats'!B:B,'Base stats'!BH:BH) * 0.01 * 2 + 0.05, 0.05)
)</f>
        <v>No</v>
      </c>
      <c r="U48" s="5" t="str">
        <f>IF(S48="No","No",IF(_xlfn.XLOOKUP(B48,'Base stats'!B:B,'Base stats'!U:U)="No","No",
MROUND(_xlfn.XLOOKUP(B48,'Base stats'!B:B,'Base stats'!BT:BT)/10000+0.01,0.01)
))</f>
        <v>No</v>
      </c>
      <c r="V48" s="4" t="str">
        <f>IF(S48="No","No",
MROUND(_xlfn.XLOOKUP(B48,'Base stats'!B:B,'Base stats'!BF:BF)^0.25
/((_xlfn.XLOOKUP(B48,'Base stats'!B:B,'Base stats'!BO:BO))*10)*_xlfn.XLOOKUP(_xlfn.XLOOKUP(B48,'Base stats'!B:B,'Base stats'!E:E),Groups!A:A,Groups!AE:AE)*150 + 0.5 + _xlfn.XLOOKUP(B48,'Base stats'!B:B,'Base stats'!BW:BW),
0.05))</f>
        <v>No</v>
      </c>
      <c r="W48" s="8">
        <f>MROUND(_xlfn.XLOOKUP(_xlfn.XLOOKUP(B48,'Base stats'!B:B,'Base stats'!E:E),Groups!A:A,Groups!BG:BG)*_xlfn.XLOOKUP(B48,'Base stats'!B:B,'Base stats'!C:C)^-0.165,0.05)</f>
        <v>0.2</v>
      </c>
      <c r="X48" s="1">
        <f>MROUND(_xlfn.XLOOKUP(_xlfn.XLOOKUP(B48,'Base stats'!B:B,'Base stats'!E:E),Groups!A:A,Groups!BH:BH)*_xlfn.XLOOKUP(B48,'Base stats'!B:B,'Base stats'!C:C)^0.165,0.05)</f>
        <v>0</v>
      </c>
      <c r="Y48" s="8">
        <f>MROUND(_xlfn.XLOOKUP(_xlfn.XLOOKUP(B48,'Base stats'!B:B,'Base stats'!E:E),Groups!A:A,Groups!BI:BI)*_xlfn.XLOOKUP(B48,'Base stats'!B:B,'Base stats'!C:C)^0.165,0.05)</f>
        <v>0</v>
      </c>
      <c r="Z48" s="18">
        <f>MROUND(_xlfn.XLOOKUP(B48,'Base stats'!B:B,'Base stats'!AQ:AQ)*_xlfn.XLOOKUP(_xlfn.XLOOKUP(B48,'Base stats'!B:B,'Base stats'!E:E),Groups!A:A,Groups!H:H)/1000,IF((_xlfn.XLOOKUP(B48,'Base stats'!B:B,'Base stats'!AQ:AQ)*_xlfn.XLOOKUP(_xlfn.XLOOKUP(B48,'Base stats'!B:B,'Base stats'!E:E),Groups!A:A,Groups!H:H)/1000)&gt;1,0.05,0.01))</f>
        <v>0.08</v>
      </c>
      <c r="AA48" s="18">
        <f>MROUND((1/2)*(_xlfn.XLOOKUP(_xlfn.XLOOKUP(B48,'Base stats'!B:B,'Base stats'!E:E),Groups!A:A,Groups!H:H)*_xlfn.XLOOKUP(_xlfn.XLOOKUP(B48,'Base stats'!B:B,'Base stats'!E:E),Groups!A:A,Groups!I:I))*_xlfn.XLOOKUP(B48,'Base stats'!B:B,'Base stats'!AQ:AQ)*0.01,0.05)</f>
        <v>0.30000000000000004</v>
      </c>
      <c r="AB48" s="18">
        <f>MROUND(250*(Animals!AO48+Animals!AP48),25)</f>
        <v>750</v>
      </c>
      <c r="AC48" s="18" t="str">
        <f>_xlfn.XLOOKUP(_xlfn.XLOOKUP(B48,'Base stats'!B:B,'Base stats'!E:E),Groups!A:A,Groups!BJ:BJ)</f>
        <v>Quadruped</v>
      </c>
    </row>
    <row r="49" spans="1:29" ht="16.5" thickTop="1" thickBot="1" x14ac:dyDescent="0.3">
      <c r="A49" s="16" t="str">
        <f>Animals!A49</f>
        <v>Caribou</v>
      </c>
      <c r="B49" s="6" t="str">
        <f>Animals!B49</f>
        <v>Rangifer tarandus</v>
      </c>
      <c r="C49" s="1" t="str">
        <f>Animals!C49</f>
        <v>&lt;li&gt;Caribou&lt;/li&gt;</v>
      </c>
      <c r="D49" s="47">
        <f>MIN(MIN(6,_xlfn.XLOOKUP(A49,Animals!A:A,Animals!AO:AO))*20,MAX(MROUND(_xlfn.XLOOKUP(B49,'Base stats'!B:B,'Base stats'!BS:BS) * (_xlfn.XLOOKUP(B49,'Base stats'!B:B,'Base stats'!AO:AO)*5%)^0.9 / 21,0.1),0.05))</f>
        <v>3.4000000000000004</v>
      </c>
      <c r="E49" s="11">
        <f>MROUND(_xlfn.XLOOKUP(B49,'Base stats'!B:B,'Base stats'!BG:BG) * 0.01 * 2 + 0.01, 0.05)</f>
        <v>2.95</v>
      </c>
      <c r="F49" s="7">
        <f>MROUND(_xlfn.XLOOKUP(B49,'Base stats'!B:B,'Base stats'!BD:BD)^0.25 / (_xlfn.XLOOKUP(B49,'Base stats'!B:B,'Base stats'!BK:BK) * 10) * 150 + 0.5 + _xlfn.XLOOKUP(B49,'Base stats'!B:B,'Base stats'!BW:BW), 0.05)</f>
        <v>1.6500000000000001</v>
      </c>
      <c r="G49" s="3">
        <f>IF(Animals!S49="No","No",
IF(_xlfn.XLOOKUP(B49,'Base stats'!B:B,'Base stats'!U:U)="No",
MAX(MROUND(_xlfn.XLOOKUP(B49,'Base stats'!B:B,'Base stats'!BT:BT) * _xlfn.XLOOKUP(B49,'Base stats'!B:B,'Base stats'!BP:BP)^0.9 / 21 * _xlfn.XLOOKUP(B49,'Base stats'!B:B,'Base stats'!BX:BX),0.1),0.05),
MAX(MROUND(((MIN(10,_xlfn.XLOOKUP(B49,'Base stats'!B:B,'Base stats'!U:U)))^0.4*_xlfn.XLOOKUP(B49,'Base stats'!B:B,'Base stats'!BH:BH)^0.73)^0.6 * _xlfn.XLOOKUP(B49,'Base stats'!B:B,'Base stats'!BX:BX),0.1),0.05)
))</f>
        <v>6.4</v>
      </c>
      <c r="H49" s="11">
        <f>IF(G49="No","No",
MROUND(_xlfn.XLOOKUP(B49,'Base stats'!B:B,'Base stats'!BH:BH) * 0.01 * 2 + 0.05, 0.05)
)</f>
        <v>3.75</v>
      </c>
      <c r="I49" s="11" t="str">
        <f>IF(G49="No","No",IF(_xlfn.XLOOKUP(B49,'Base stats'!B:B,'Base stats'!U:U)="No","No",
MROUND(_xlfn.XLOOKUP(B49,'Base stats'!B:B,'Base stats'!BT:BT)/10000+0.01,0.01)
))</f>
        <v>No</v>
      </c>
      <c r="J49" s="4">
        <f>IF(G49="No","No",
MROUND(_xlfn.XLOOKUP(B49,'Base stats'!B:B,'Base stats'!BE:BE)^0.25
/((_xlfn.XLOOKUP(B49,'Base stats'!B:B,'Base stats'!BL:BL))*10)*_xlfn.XLOOKUP(_xlfn.XLOOKUP(B49,'Base stats'!B:B,'Base stats'!E:E),Groups!A:A,Groups!Q:Q)*150 + 0.5 + _xlfn.XLOOKUP(B49,'Base stats'!B:B,'Base stats'!BW:BW),
0.05))</f>
        <v>2.3000000000000003</v>
      </c>
      <c r="K49" s="3">
        <f>IF(Animals!X49="No","No",
IF(_xlfn.XLOOKUP(_xlfn.XLOOKUP(B49,'Base stats'!B:B,'Base stats'!E:E),Groups!A:A,Groups!BD:BD)=1,
MAX(MROUND(_xlfn.XLOOKUP(B49,'Base stats'!B:B,'Base stats'!BU:BU) * _xlfn.XLOOKUP(B49,'Base stats'!B:B,'Base stats'!BQ:BQ)^0.9 / 21 *_xlfn.XLOOKUP(B49,'Base stats'!B:B,'Base stats'!BX:BX),0.1),0.05),
MAX(MROUND(((MIN(10,_xlfn.XLOOKUP(B49,'Base stats'!B:B,'Base stats'!W:W)))^0.4*_xlfn.XLOOKUP(B49,'Base stats'!B:B,'Base stats'!BI:BI)^0.73)^0.6 *_xlfn.XLOOKUP(B49,'Base stats'!B:B,'Base stats'!BX:BX),0.1),0.05)
))</f>
        <v>18.5</v>
      </c>
      <c r="L49" s="11">
        <f>IF(K49="No","No",
MROUND(_xlfn.XLOOKUP(B49,'Base stats'!B:B,'Base stats'!BI:BI) * 0.01 *2 + 0.05, 0.05)
)</f>
        <v>4.45</v>
      </c>
      <c r="M49" s="5">
        <f>IF(K49="No","No",IF(_xlfn.XLOOKUP(_xlfn.XLOOKUP(B49,'Base stats'!B:B,'Base stats'!E:E),Groups!A:A,Groups!BD:BD)=1,"No",
MROUND(_xlfn.XLOOKUP(B49,'Base stats'!B:B,'Base stats'!BU:BU)/10000+0.01,0.01)
))</f>
        <v>0.28999999999999998</v>
      </c>
      <c r="N49" s="4">
        <f>IF(K49="No","No",
MROUND(
  _xlfn.XLOOKUP(B49,'Base stats'!B:B,'Base stats'!BC:BC)^0.25
  / (_xlfn.XLOOKUP(B49,'Base stats'!B:B,'Base stats'!BM:BM) * 10)
  * _xlfn.XLOOKUP(
      _xlfn.XLOOKUP(B49,'Base stats'!B:B,'Base stats'!E:E),
      Groups!A:A,
      Groups!V:V
    ) * 150
  + MIN(12, _xlfn.XLOOKUP(B49,'Base stats'!B:B,'Base stats'!W:W))^(1/IF(_xlfn.XLOOKUP(_xlfn.XLOOKUP(B49,'Base stats'!B:B,'Base stats'!E:E),Groups!A:A,Groups!U:U)=1,100,10)) + 0.5 + _xlfn.XLOOKUP(B49,'Base stats'!B:B,'Base stats'!BW:BW),
0.05))</f>
        <v>2.9000000000000004</v>
      </c>
      <c r="O49" s="3" t="str">
        <f>IF(Animals!AD49="No","No",
MAX(MROUND((MIN(10,_xlfn.XLOOKUP(B49,'Base stats'!B:B,'Base stats'!V:V)*IF(_xlfn.XLOOKUP(_xlfn.XLOOKUP(B49,'Base stats'!B:B,'Base stats'!E:E),Groups!A:A,Groups!O:O)=0,1,0.33))^0.4*_xlfn.XLOOKUP(B49,'Base stats'!B:B,'Base stats'!BJ:BJ)^0.73)^0.6 *_xlfn.XLOOKUP(B49,'Base stats'!B:B,'Base stats'!BX:BX),0.1),0.05)
)</f>
        <v>No</v>
      </c>
      <c r="P49" s="11" t="str">
        <f>IF(O49="No","No",
MROUND(_xlfn.XLOOKUP(B49,'Base stats'!B:B,'Base stats'!BJ:BJ) * 0.01 * 2 + 0.05, 0.05)
)</f>
        <v>No</v>
      </c>
      <c r="Q49" s="5" t="str">
        <f>IF(O49="No","No",
MROUND(_xlfn.XLOOKUP(B49,'Base stats'!B:B,'Base stats'!BV:BV)/10000+0.01,0.01)
)</f>
        <v>No</v>
      </c>
      <c r="R49" s="4" t="str">
        <f>IF(O49="No","No",
MROUND(_xlfn.XLOOKUP(B49,'Base stats'!B:B,'Base stats'!BB:BB)^0.25
/((_xlfn.XLOOKUP(B49,'Base stats'!B:B,'Base stats'!BN:BN))*10)*_xlfn.XLOOKUP(_xlfn.XLOOKUP(B49,'Base stats'!B:B,'Base stats'!E:E),Groups!A:A,Groups!Z:Z)*150 + 0.5 + _xlfn.XLOOKUP(B49,'Base stats'!B:B,'Base stats'!BW:BW),
0.05))</f>
        <v>No</v>
      </c>
      <c r="S49" s="3" t="str">
        <f>IF(Animals!AI49="No","No",
IF(_xlfn.XLOOKUP(B49,'Base stats'!B:B,'Base stats'!U:U)="No",
MAX(MROUND(_xlfn.XLOOKUP(B49,'Base stats'!B:B,'Base stats'!BT:BT) * _xlfn.XLOOKUP(B49,'Base stats'!B:B,'Base stats'!BP:BP)^0.9 / 21 * _xlfn.XLOOKUP(B49,'Base stats'!B:B,'Base stats'!BX:BX),0.1),0.05),
MAX(MROUND(((MIN(12,_xlfn.XLOOKUP(B49,'Base stats'!B:B,'Base stats'!U:U)))^0.4*_xlfn.XLOOKUP(B49,'Base stats'!B:B,'Base stats'!BH:BH)^0.73)^0.6 * _xlfn.XLOOKUP(B49,'Base stats'!B:B,'Base stats'!BX:BX),0.1),0.05)
))</f>
        <v>No</v>
      </c>
      <c r="T49" s="11" t="str">
        <f>IF(S49="No","No",
MROUND(_xlfn.XLOOKUP(B49,'Base stats'!B:B,'Base stats'!BH:BH) * 0.01 * 2 + 0.05, 0.05)
)</f>
        <v>No</v>
      </c>
      <c r="U49" s="5" t="str">
        <f>IF(S49="No","No",IF(_xlfn.XLOOKUP(B49,'Base stats'!B:B,'Base stats'!U:U)="No","No",
MROUND(_xlfn.XLOOKUP(B49,'Base stats'!B:B,'Base stats'!BT:BT)/10000+0.01,0.01)
))</f>
        <v>No</v>
      </c>
      <c r="V49" s="4" t="str">
        <f>IF(S49="No","No",
MROUND(_xlfn.XLOOKUP(B49,'Base stats'!B:B,'Base stats'!BF:BF)^0.25
/((_xlfn.XLOOKUP(B49,'Base stats'!B:B,'Base stats'!BO:BO))*10)*_xlfn.XLOOKUP(_xlfn.XLOOKUP(B49,'Base stats'!B:B,'Base stats'!E:E),Groups!A:A,Groups!AE:AE)*150 + 0.5 + _xlfn.XLOOKUP(B49,'Base stats'!B:B,'Base stats'!BW:BW),
0.05))</f>
        <v>No</v>
      </c>
      <c r="W49" s="8">
        <f>MROUND(_xlfn.XLOOKUP(_xlfn.XLOOKUP(B49,'Base stats'!B:B,'Base stats'!E:E),Groups!A:A,Groups!BG:BG)*_xlfn.XLOOKUP(B49,'Base stats'!B:B,'Base stats'!C:C)^-0.165,0.05)</f>
        <v>0.25</v>
      </c>
      <c r="X49" s="1">
        <f>MROUND(_xlfn.XLOOKUP(_xlfn.XLOOKUP(B49,'Base stats'!B:B,'Base stats'!E:E),Groups!A:A,Groups!BH:BH)*_xlfn.XLOOKUP(B49,'Base stats'!B:B,'Base stats'!C:C)^0.165,0.05)</f>
        <v>0</v>
      </c>
      <c r="Y49" s="8">
        <f>MROUND(_xlfn.XLOOKUP(_xlfn.XLOOKUP(B49,'Base stats'!B:B,'Base stats'!E:E),Groups!A:A,Groups!BI:BI)*_xlfn.XLOOKUP(B49,'Base stats'!B:B,'Base stats'!C:C)^0.165,0.05)</f>
        <v>0</v>
      </c>
      <c r="Z49" s="18">
        <f>MROUND(_xlfn.XLOOKUP(B49,'Base stats'!B:B,'Base stats'!AQ:AQ)*_xlfn.XLOOKUP(_xlfn.XLOOKUP(B49,'Base stats'!B:B,'Base stats'!E:E),Groups!A:A,Groups!H:H)/1000,IF((_xlfn.XLOOKUP(B49,'Base stats'!B:B,'Base stats'!AQ:AQ)*_xlfn.XLOOKUP(_xlfn.XLOOKUP(B49,'Base stats'!B:B,'Base stats'!E:E),Groups!A:A,Groups!H:H)/1000)&gt;1,0.05,0.01))</f>
        <v>7.0000000000000007E-2</v>
      </c>
      <c r="AA49" s="18">
        <f>MROUND((1/2)*(_xlfn.XLOOKUP(_xlfn.XLOOKUP(B49,'Base stats'!B:B,'Base stats'!E:E),Groups!A:A,Groups!H:H)*_xlfn.XLOOKUP(_xlfn.XLOOKUP(B49,'Base stats'!B:B,'Base stats'!E:E),Groups!A:A,Groups!I:I))*_xlfn.XLOOKUP(B49,'Base stats'!B:B,'Base stats'!AQ:AQ)*0.01,0.05)</f>
        <v>0.30000000000000004</v>
      </c>
      <c r="AB49" s="18">
        <f>MROUND(250*(Animals!AO49+Animals!AP49),25)</f>
        <v>650</v>
      </c>
      <c r="AC49" s="18" t="str">
        <f>_xlfn.XLOOKUP(_xlfn.XLOOKUP(B49,'Base stats'!B:B,'Base stats'!E:E),Groups!A:A,Groups!BJ:BJ)</f>
        <v>Quadruped</v>
      </c>
    </row>
    <row r="50" spans="1:29" ht="16.5" thickTop="1" thickBot="1" x14ac:dyDescent="0.3">
      <c r="A50" s="16" t="str">
        <f>Animals!A50</f>
        <v>Ibex</v>
      </c>
      <c r="B50" s="6" t="str">
        <f>Animals!B50</f>
        <v>Capra ibex</v>
      </c>
      <c r="C50" s="1" t="str">
        <f>Animals!C50</f>
        <v>&lt;li&gt;Ibex&lt;/li&gt;</v>
      </c>
      <c r="D50" s="47">
        <f>MIN(MIN(6,_xlfn.XLOOKUP(A50,Animals!A:A,Animals!AO:AO))*20,MAX(MROUND(_xlfn.XLOOKUP(B50,'Base stats'!B:B,'Base stats'!BS:BS) * (_xlfn.XLOOKUP(B50,'Base stats'!B:B,'Base stats'!AO:AO)*5%)^0.9 / 21,0.1),0.05))</f>
        <v>3.6</v>
      </c>
      <c r="E50" s="11">
        <f>MROUND(_xlfn.XLOOKUP(B50,'Base stats'!B:B,'Base stats'!BG:BG) * 0.01 * 2 + 0.01, 0.05)</f>
        <v>3.0500000000000003</v>
      </c>
      <c r="F50" s="7">
        <f>MROUND(_xlfn.XLOOKUP(B50,'Base stats'!B:B,'Base stats'!BD:BD)^0.25 / (_xlfn.XLOOKUP(B50,'Base stats'!B:B,'Base stats'!BK:BK) * 10) * 150 + 0.5 + _xlfn.XLOOKUP(B50,'Base stats'!B:B,'Base stats'!BW:BW), 0.05)</f>
        <v>1.4500000000000002</v>
      </c>
      <c r="G50" s="3">
        <f>IF(Animals!S50="No","No",
IF(_xlfn.XLOOKUP(B50,'Base stats'!B:B,'Base stats'!U:U)="No",
MAX(MROUND(_xlfn.XLOOKUP(B50,'Base stats'!B:B,'Base stats'!BT:BT) * _xlfn.XLOOKUP(B50,'Base stats'!B:B,'Base stats'!BP:BP)^0.9 / 21 * _xlfn.XLOOKUP(B50,'Base stats'!B:B,'Base stats'!BX:BX),0.1),0.05),
MAX(MROUND(((MIN(10,_xlfn.XLOOKUP(B50,'Base stats'!B:B,'Base stats'!U:U)))^0.4*_xlfn.XLOOKUP(B50,'Base stats'!B:B,'Base stats'!BH:BH)^0.73)^0.6 * _xlfn.XLOOKUP(B50,'Base stats'!B:B,'Base stats'!BX:BX),0.1),0.05)
))</f>
        <v>4.9000000000000004</v>
      </c>
      <c r="H50" s="11">
        <f>IF(G50="No","No",
MROUND(_xlfn.XLOOKUP(B50,'Base stats'!B:B,'Base stats'!BH:BH) * 0.01 * 2 + 0.05, 0.05)
)</f>
        <v>2.8000000000000003</v>
      </c>
      <c r="I50" s="11" t="str">
        <f>IF(G50="No","No",IF(_xlfn.XLOOKUP(B50,'Base stats'!B:B,'Base stats'!U:U)="No","No",
MROUND(_xlfn.XLOOKUP(B50,'Base stats'!B:B,'Base stats'!BT:BT)/10000+0.01,0.01)
))</f>
        <v>No</v>
      </c>
      <c r="J50" s="4">
        <f>IF(G50="No","No",
MROUND(_xlfn.XLOOKUP(B50,'Base stats'!B:B,'Base stats'!BE:BE)^0.25
/((_xlfn.XLOOKUP(B50,'Base stats'!B:B,'Base stats'!BL:BL))*10)*_xlfn.XLOOKUP(_xlfn.XLOOKUP(B50,'Base stats'!B:B,'Base stats'!E:E),Groups!A:A,Groups!Q:Q)*150 + 0.5 + _xlfn.XLOOKUP(B50,'Base stats'!B:B,'Base stats'!BW:BW),
0.05))</f>
        <v>2.15</v>
      </c>
      <c r="K50" s="3">
        <f>IF(Animals!X50="No","No",
IF(_xlfn.XLOOKUP(_xlfn.XLOOKUP(B50,'Base stats'!B:B,'Base stats'!E:E),Groups!A:A,Groups!BD:BD)=1,
MAX(MROUND(_xlfn.XLOOKUP(B50,'Base stats'!B:B,'Base stats'!BU:BU) * _xlfn.XLOOKUP(B50,'Base stats'!B:B,'Base stats'!BQ:BQ)^0.9 / 21 *_xlfn.XLOOKUP(B50,'Base stats'!B:B,'Base stats'!BX:BX),0.1),0.05),
MAX(MROUND(((MIN(10,_xlfn.XLOOKUP(B50,'Base stats'!B:B,'Base stats'!W:W)))^0.4*_xlfn.XLOOKUP(B50,'Base stats'!B:B,'Base stats'!BI:BI)^0.73)^0.6 *_xlfn.XLOOKUP(B50,'Base stats'!B:B,'Base stats'!BX:BX),0.1),0.05)
))</f>
        <v>4.4000000000000004</v>
      </c>
      <c r="L50" s="11">
        <f>IF(K50="No","No",
MROUND(_xlfn.XLOOKUP(B50,'Base stats'!B:B,'Base stats'!BI:BI) * 0.01 *2 + 0.05, 0.05)
)</f>
        <v>3.7</v>
      </c>
      <c r="M50" s="5" t="str">
        <f>IF(K50="No","No",IF(_xlfn.XLOOKUP(_xlfn.XLOOKUP(B50,'Base stats'!B:B,'Base stats'!E:E),Groups!A:A,Groups!BD:BD)=1,"No",
MROUND(_xlfn.XLOOKUP(B50,'Base stats'!B:B,'Base stats'!BU:BU)/10000+0.01,0.01)
))</f>
        <v>No</v>
      </c>
      <c r="N50" s="4">
        <f>IF(K50="No","No",
MROUND(
  _xlfn.XLOOKUP(B50,'Base stats'!B:B,'Base stats'!BC:BC)^0.25
  / (_xlfn.XLOOKUP(B50,'Base stats'!B:B,'Base stats'!BM:BM) * 10)
  * _xlfn.XLOOKUP(
      _xlfn.XLOOKUP(B50,'Base stats'!B:B,'Base stats'!E:E),
      Groups!A:A,
      Groups!V:V
    ) * 150
  + MIN(12, _xlfn.XLOOKUP(B50,'Base stats'!B:B,'Base stats'!W:W))^(1/IF(_xlfn.XLOOKUP(_xlfn.XLOOKUP(B50,'Base stats'!B:B,'Base stats'!E:E),Groups!A:A,Groups!U:U)=1,100,10)) + 0.5 + _xlfn.XLOOKUP(B50,'Base stats'!B:B,'Base stats'!BW:BW),
0.05))</f>
        <v>2.5</v>
      </c>
      <c r="O50" s="3" t="str">
        <f>IF(Animals!AD50="No","No",
MAX(MROUND((MIN(10,_xlfn.XLOOKUP(B50,'Base stats'!B:B,'Base stats'!V:V)*IF(_xlfn.XLOOKUP(_xlfn.XLOOKUP(B50,'Base stats'!B:B,'Base stats'!E:E),Groups!A:A,Groups!O:O)=0,1,0.33))^0.4*_xlfn.XLOOKUP(B50,'Base stats'!B:B,'Base stats'!BJ:BJ)^0.73)^0.6 *_xlfn.XLOOKUP(B50,'Base stats'!B:B,'Base stats'!BX:BX),0.1),0.05)
)</f>
        <v>No</v>
      </c>
      <c r="P50" s="11" t="str">
        <f>IF(O50="No","No",
MROUND(_xlfn.XLOOKUP(B50,'Base stats'!B:B,'Base stats'!BJ:BJ) * 0.01 * 2 + 0.05, 0.05)
)</f>
        <v>No</v>
      </c>
      <c r="Q50" s="5" t="str">
        <f>IF(O50="No","No",
MROUND(_xlfn.XLOOKUP(B50,'Base stats'!B:B,'Base stats'!BV:BV)/10000+0.01,0.01)
)</f>
        <v>No</v>
      </c>
      <c r="R50" s="4" t="str">
        <f>IF(O50="No","No",
MROUND(_xlfn.XLOOKUP(B50,'Base stats'!B:B,'Base stats'!BB:BB)^0.25
/((_xlfn.XLOOKUP(B50,'Base stats'!B:B,'Base stats'!BN:BN))*10)*_xlfn.XLOOKUP(_xlfn.XLOOKUP(B50,'Base stats'!B:B,'Base stats'!E:E),Groups!A:A,Groups!Z:Z)*150 + 0.5 + _xlfn.XLOOKUP(B50,'Base stats'!B:B,'Base stats'!BW:BW),
0.05))</f>
        <v>No</v>
      </c>
      <c r="S50" s="3" t="str">
        <f>IF(Animals!AI50="No","No",
IF(_xlfn.XLOOKUP(B50,'Base stats'!B:B,'Base stats'!U:U)="No",
MAX(MROUND(_xlfn.XLOOKUP(B50,'Base stats'!B:B,'Base stats'!BT:BT) * _xlfn.XLOOKUP(B50,'Base stats'!B:B,'Base stats'!BP:BP)^0.9 / 21 * _xlfn.XLOOKUP(B50,'Base stats'!B:B,'Base stats'!BX:BX),0.1),0.05),
MAX(MROUND(((MIN(12,_xlfn.XLOOKUP(B50,'Base stats'!B:B,'Base stats'!U:U)))^0.4*_xlfn.XLOOKUP(B50,'Base stats'!B:B,'Base stats'!BH:BH)^0.73)^0.6 * _xlfn.XLOOKUP(B50,'Base stats'!B:B,'Base stats'!BX:BX),0.1),0.05)
))</f>
        <v>No</v>
      </c>
      <c r="T50" s="11" t="str">
        <f>IF(S50="No","No",
MROUND(_xlfn.XLOOKUP(B50,'Base stats'!B:B,'Base stats'!BH:BH) * 0.01 * 2 + 0.05, 0.05)
)</f>
        <v>No</v>
      </c>
      <c r="U50" s="5" t="str">
        <f>IF(S50="No","No",IF(_xlfn.XLOOKUP(B50,'Base stats'!B:B,'Base stats'!U:U)="No","No",
MROUND(_xlfn.XLOOKUP(B50,'Base stats'!B:B,'Base stats'!BT:BT)/10000+0.01,0.01)
))</f>
        <v>No</v>
      </c>
      <c r="V50" s="4" t="str">
        <f>IF(S50="No","No",
MROUND(_xlfn.XLOOKUP(B50,'Base stats'!B:B,'Base stats'!BF:BF)^0.25
/((_xlfn.XLOOKUP(B50,'Base stats'!B:B,'Base stats'!BO:BO))*10)*_xlfn.XLOOKUP(_xlfn.XLOOKUP(B50,'Base stats'!B:B,'Base stats'!E:E),Groups!A:A,Groups!AE:AE)*150 + 0.5 + _xlfn.XLOOKUP(B50,'Base stats'!B:B,'Base stats'!BW:BW),
0.05))</f>
        <v>No</v>
      </c>
      <c r="W50" s="8">
        <f>MROUND(_xlfn.XLOOKUP(_xlfn.XLOOKUP(B50,'Base stats'!B:B,'Base stats'!E:E),Groups!A:A,Groups!BG:BG)*_xlfn.XLOOKUP(B50,'Base stats'!B:B,'Base stats'!C:C)^-0.165,0.05)</f>
        <v>0.25</v>
      </c>
      <c r="X50" s="1">
        <f>MROUND(_xlfn.XLOOKUP(_xlfn.XLOOKUP(B50,'Base stats'!B:B,'Base stats'!E:E),Groups!A:A,Groups!BH:BH)*_xlfn.XLOOKUP(B50,'Base stats'!B:B,'Base stats'!C:C)^0.165,0.05)</f>
        <v>0</v>
      </c>
      <c r="Y50" s="8">
        <f>MROUND(_xlfn.XLOOKUP(_xlfn.XLOOKUP(B50,'Base stats'!B:B,'Base stats'!E:E),Groups!A:A,Groups!BI:BI)*_xlfn.XLOOKUP(B50,'Base stats'!B:B,'Base stats'!C:C)^0.165,0.05)</f>
        <v>0</v>
      </c>
      <c r="Z50" s="18">
        <f>MROUND(_xlfn.XLOOKUP(B50,'Base stats'!B:B,'Base stats'!AQ:AQ)*_xlfn.XLOOKUP(_xlfn.XLOOKUP(B50,'Base stats'!B:B,'Base stats'!E:E),Groups!A:A,Groups!H:H)/1000,IF((_xlfn.XLOOKUP(B50,'Base stats'!B:B,'Base stats'!AQ:AQ)*_xlfn.XLOOKUP(_xlfn.XLOOKUP(B50,'Base stats'!B:B,'Base stats'!E:E),Groups!A:A,Groups!H:H)/1000)&gt;1,0.05,0.01))</f>
        <v>0.06</v>
      </c>
      <c r="AA50" s="18">
        <f>MROUND((1/2)*(_xlfn.XLOOKUP(_xlfn.XLOOKUP(B50,'Base stats'!B:B,'Base stats'!E:E),Groups!A:A,Groups!H:H)*_xlfn.XLOOKUP(_xlfn.XLOOKUP(B50,'Base stats'!B:B,'Base stats'!E:E),Groups!A:A,Groups!I:I))*_xlfn.XLOOKUP(B50,'Base stats'!B:B,'Base stats'!AQ:AQ)*0.01,0.05)</f>
        <v>0.25</v>
      </c>
      <c r="AB50" s="18">
        <f>MROUND(250*(Animals!AO50+Animals!AP50),25)</f>
        <v>550</v>
      </c>
      <c r="AC50" s="18" t="str">
        <f>_xlfn.XLOOKUP(_xlfn.XLOOKUP(B50,'Base stats'!B:B,'Base stats'!E:E),Groups!A:A,Groups!BJ:BJ)</f>
        <v>Quadruped</v>
      </c>
    </row>
    <row r="51" spans="1:29" ht="16.5" thickTop="1" thickBot="1" x14ac:dyDescent="0.3">
      <c r="A51" s="16" t="str">
        <f>Animals!A51</f>
        <v>Goat</v>
      </c>
      <c r="B51" s="6" t="str">
        <f>Animals!B51</f>
        <v>Capra hircus</v>
      </c>
      <c r="C51" s="1" t="str">
        <f>Animals!C51</f>
        <v>&lt;li&gt;Goat&lt;/li&gt;</v>
      </c>
      <c r="D51" s="47">
        <f>MIN(MIN(6,_xlfn.XLOOKUP(A51,Animals!A:A,Animals!AO:AO))*20,MAX(MROUND(_xlfn.XLOOKUP(B51,'Base stats'!B:B,'Base stats'!BS:BS) * (_xlfn.XLOOKUP(B51,'Base stats'!B:B,'Base stats'!AO:AO)*5%)^0.9 / 21,0.1),0.05))</f>
        <v>2.1</v>
      </c>
      <c r="E51" s="11">
        <f>MROUND(_xlfn.XLOOKUP(B51,'Base stats'!B:B,'Base stats'!BG:BG) * 0.01 * 2 + 0.01, 0.05)</f>
        <v>1.75</v>
      </c>
      <c r="F51" s="7">
        <f>MROUND(_xlfn.XLOOKUP(B51,'Base stats'!B:B,'Base stats'!BD:BD)^0.25 / (_xlfn.XLOOKUP(B51,'Base stats'!B:B,'Base stats'!BK:BK) * 10) * 150 + 0.5 + _xlfn.XLOOKUP(B51,'Base stats'!B:B,'Base stats'!BW:BW), 0.05)</f>
        <v>1.6500000000000001</v>
      </c>
      <c r="G51" s="3">
        <f>IF(Animals!S51="No","No",
IF(_xlfn.XLOOKUP(B51,'Base stats'!B:B,'Base stats'!U:U)="No",
MAX(MROUND(_xlfn.XLOOKUP(B51,'Base stats'!B:B,'Base stats'!BT:BT) * _xlfn.XLOOKUP(B51,'Base stats'!B:B,'Base stats'!BP:BP)^0.9 / 21 * _xlfn.XLOOKUP(B51,'Base stats'!B:B,'Base stats'!BX:BX),0.1),0.05),
MAX(MROUND(((MIN(10,_xlfn.XLOOKUP(B51,'Base stats'!B:B,'Base stats'!U:U)))^0.4*_xlfn.XLOOKUP(B51,'Base stats'!B:B,'Base stats'!BH:BH)^0.73)^0.6 * _xlfn.XLOOKUP(B51,'Base stats'!B:B,'Base stats'!BX:BX),0.1),0.05)
))</f>
        <v>4.1000000000000005</v>
      </c>
      <c r="H51" s="11">
        <f>IF(G51="No","No",
MROUND(_xlfn.XLOOKUP(B51,'Base stats'!B:B,'Base stats'!BH:BH) * 0.01 * 2 + 0.05, 0.05)
)</f>
        <v>2.3000000000000003</v>
      </c>
      <c r="I51" s="11" t="str">
        <f>IF(G51="No","No",IF(_xlfn.XLOOKUP(B51,'Base stats'!B:B,'Base stats'!U:U)="No","No",
MROUND(_xlfn.XLOOKUP(B51,'Base stats'!B:B,'Base stats'!BT:BT)/10000+0.01,0.01)
))</f>
        <v>No</v>
      </c>
      <c r="J51" s="4">
        <f>IF(G51="No","No",
MROUND(_xlfn.XLOOKUP(B51,'Base stats'!B:B,'Base stats'!BE:BE)^0.25
/((_xlfn.XLOOKUP(B51,'Base stats'!B:B,'Base stats'!BL:BL))*10)*_xlfn.XLOOKUP(_xlfn.XLOOKUP(B51,'Base stats'!B:B,'Base stats'!E:E),Groups!A:A,Groups!Q:Q)*150 + 0.5 + _xlfn.XLOOKUP(B51,'Base stats'!B:B,'Base stats'!BW:BW),
0.05))</f>
        <v>2.1</v>
      </c>
      <c r="K51" s="3">
        <f>IF(Animals!X51="No","No",
IF(_xlfn.XLOOKUP(_xlfn.XLOOKUP(B51,'Base stats'!B:B,'Base stats'!E:E),Groups!A:A,Groups!BD:BD)=1,
MAX(MROUND(_xlfn.XLOOKUP(B51,'Base stats'!B:B,'Base stats'!BU:BU) * _xlfn.XLOOKUP(B51,'Base stats'!B:B,'Base stats'!BQ:BQ)^0.9 / 21 *_xlfn.XLOOKUP(B51,'Base stats'!B:B,'Base stats'!BX:BX),0.1),0.05),
MAX(MROUND(((MIN(10,_xlfn.XLOOKUP(B51,'Base stats'!B:B,'Base stats'!W:W)))^0.4*_xlfn.XLOOKUP(B51,'Base stats'!B:B,'Base stats'!BI:BI)^0.73)^0.6 *_xlfn.XLOOKUP(B51,'Base stats'!B:B,'Base stats'!BX:BX),0.1),0.05)
))</f>
        <v>14.9</v>
      </c>
      <c r="L51" s="11">
        <f>IF(K51="No","No",
MROUND(_xlfn.XLOOKUP(B51,'Base stats'!B:B,'Base stats'!BI:BI) * 0.01 *2 + 0.05, 0.05)
)</f>
        <v>2.75</v>
      </c>
      <c r="M51" s="5">
        <f>IF(K51="No","No",IF(_xlfn.XLOOKUP(_xlfn.XLOOKUP(B51,'Base stats'!B:B,'Base stats'!E:E),Groups!A:A,Groups!BD:BD)=1,"No",
MROUND(_xlfn.XLOOKUP(B51,'Base stats'!B:B,'Base stats'!BU:BU)/10000+0.01,0.01)
))</f>
        <v>0.19</v>
      </c>
      <c r="N51" s="4">
        <f>IF(K51="No","No",
MROUND(
  _xlfn.XLOOKUP(B51,'Base stats'!B:B,'Base stats'!BC:BC)^0.25
  / (_xlfn.XLOOKUP(B51,'Base stats'!B:B,'Base stats'!BM:BM) * 10)
  * _xlfn.XLOOKUP(
      _xlfn.XLOOKUP(B51,'Base stats'!B:B,'Base stats'!E:E),
      Groups!A:A,
      Groups!V:V
    ) * 150
  + MIN(12, _xlfn.XLOOKUP(B51,'Base stats'!B:B,'Base stats'!W:W))^(1/IF(_xlfn.XLOOKUP(_xlfn.XLOOKUP(B51,'Base stats'!B:B,'Base stats'!E:E),Groups!A:A,Groups!U:U)=1,100,10)) + 0.5 + _xlfn.XLOOKUP(B51,'Base stats'!B:B,'Base stats'!BW:BW),
0.05))</f>
        <v>2.85</v>
      </c>
      <c r="O51" s="3" t="str">
        <f>IF(Animals!AD51="No","No",
MAX(MROUND((MIN(10,_xlfn.XLOOKUP(B51,'Base stats'!B:B,'Base stats'!V:V)*IF(_xlfn.XLOOKUP(_xlfn.XLOOKUP(B51,'Base stats'!B:B,'Base stats'!E:E),Groups!A:A,Groups!O:O)=0,1,0.33))^0.4*_xlfn.XLOOKUP(B51,'Base stats'!B:B,'Base stats'!BJ:BJ)^0.73)^0.6 *_xlfn.XLOOKUP(B51,'Base stats'!B:B,'Base stats'!BX:BX),0.1),0.05)
)</f>
        <v>No</v>
      </c>
      <c r="P51" s="11" t="str">
        <f>IF(O51="No","No",
MROUND(_xlfn.XLOOKUP(B51,'Base stats'!B:B,'Base stats'!BJ:BJ) * 0.01 * 2 + 0.05, 0.05)
)</f>
        <v>No</v>
      </c>
      <c r="Q51" s="5" t="str">
        <f>IF(O51="No","No",
MROUND(_xlfn.XLOOKUP(B51,'Base stats'!B:B,'Base stats'!BV:BV)/10000+0.01,0.01)
)</f>
        <v>No</v>
      </c>
      <c r="R51" s="4" t="str">
        <f>IF(O51="No","No",
MROUND(_xlfn.XLOOKUP(B51,'Base stats'!B:B,'Base stats'!BB:BB)^0.25
/((_xlfn.XLOOKUP(B51,'Base stats'!B:B,'Base stats'!BN:BN))*10)*_xlfn.XLOOKUP(_xlfn.XLOOKUP(B51,'Base stats'!B:B,'Base stats'!E:E),Groups!A:A,Groups!Z:Z)*150 + 0.5 + _xlfn.XLOOKUP(B51,'Base stats'!B:B,'Base stats'!BW:BW),
0.05))</f>
        <v>No</v>
      </c>
      <c r="S51" s="3" t="str">
        <f>IF(Animals!AI51="No","No",
IF(_xlfn.XLOOKUP(B51,'Base stats'!B:B,'Base stats'!U:U)="No",
MAX(MROUND(_xlfn.XLOOKUP(B51,'Base stats'!B:B,'Base stats'!BT:BT) * _xlfn.XLOOKUP(B51,'Base stats'!B:B,'Base stats'!BP:BP)^0.9 / 21 * _xlfn.XLOOKUP(B51,'Base stats'!B:B,'Base stats'!BX:BX),0.1),0.05),
MAX(MROUND(((MIN(12,_xlfn.XLOOKUP(B51,'Base stats'!B:B,'Base stats'!U:U)))^0.4*_xlfn.XLOOKUP(B51,'Base stats'!B:B,'Base stats'!BH:BH)^0.73)^0.6 * _xlfn.XLOOKUP(B51,'Base stats'!B:B,'Base stats'!BX:BX),0.1),0.05)
))</f>
        <v>No</v>
      </c>
      <c r="T51" s="11" t="str">
        <f>IF(S51="No","No",
MROUND(_xlfn.XLOOKUP(B51,'Base stats'!B:B,'Base stats'!BH:BH) * 0.01 * 2 + 0.05, 0.05)
)</f>
        <v>No</v>
      </c>
      <c r="U51" s="5" t="str">
        <f>IF(S51="No","No",IF(_xlfn.XLOOKUP(B51,'Base stats'!B:B,'Base stats'!U:U)="No","No",
MROUND(_xlfn.XLOOKUP(B51,'Base stats'!B:B,'Base stats'!BT:BT)/10000+0.01,0.01)
))</f>
        <v>No</v>
      </c>
      <c r="V51" s="4" t="str">
        <f>IF(S51="No","No",
MROUND(_xlfn.XLOOKUP(B51,'Base stats'!B:B,'Base stats'!BF:BF)^0.25
/((_xlfn.XLOOKUP(B51,'Base stats'!B:B,'Base stats'!BO:BO))*10)*_xlfn.XLOOKUP(_xlfn.XLOOKUP(B51,'Base stats'!B:B,'Base stats'!E:E),Groups!A:A,Groups!AE:AE)*150 + 0.5 + _xlfn.XLOOKUP(B51,'Base stats'!B:B,'Base stats'!BW:BW),
0.05))</f>
        <v>No</v>
      </c>
      <c r="W51" s="8">
        <f>MROUND(_xlfn.XLOOKUP(_xlfn.XLOOKUP(B51,'Base stats'!B:B,'Base stats'!E:E),Groups!A:A,Groups!BG:BG)*_xlfn.XLOOKUP(B51,'Base stats'!B:B,'Base stats'!C:C)^-0.165,0.05)</f>
        <v>0.25</v>
      </c>
      <c r="X51" s="1">
        <f>MROUND(_xlfn.XLOOKUP(_xlfn.XLOOKUP(B51,'Base stats'!B:B,'Base stats'!E:E),Groups!A:A,Groups!BH:BH)*_xlfn.XLOOKUP(B51,'Base stats'!B:B,'Base stats'!C:C)^0.165,0.05)</f>
        <v>0</v>
      </c>
      <c r="Y51" s="8">
        <f>MROUND(_xlfn.XLOOKUP(_xlfn.XLOOKUP(B51,'Base stats'!B:B,'Base stats'!E:E),Groups!A:A,Groups!BI:BI)*_xlfn.XLOOKUP(B51,'Base stats'!B:B,'Base stats'!C:C)^0.165,0.05)</f>
        <v>0</v>
      </c>
      <c r="Z51" s="18">
        <f>MROUND(_xlfn.XLOOKUP(B51,'Base stats'!B:B,'Base stats'!AQ:AQ)*_xlfn.XLOOKUP(_xlfn.XLOOKUP(B51,'Base stats'!B:B,'Base stats'!E:E),Groups!A:A,Groups!H:H)/1000,IF((_xlfn.XLOOKUP(B51,'Base stats'!B:B,'Base stats'!AQ:AQ)*_xlfn.XLOOKUP(_xlfn.XLOOKUP(B51,'Base stats'!B:B,'Base stats'!E:E),Groups!A:A,Groups!H:H)/1000)&gt;1,0.05,0.01))</f>
        <v>0.06</v>
      </c>
      <c r="AA51" s="18">
        <f>MROUND((1/2)*(_xlfn.XLOOKUP(_xlfn.XLOOKUP(B51,'Base stats'!B:B,'Base stats'!E:E),Groups!A:A,Groups!H:H)*_xlfn.XLOOKUP(_xlfn.XLOOKUP(B51,'Base stats'!B:B,'Base stats'!E:E),Groups!A:A,Groups!I:I))*_xlfn.XLOOKUP(B51,'Base stats'!B:B,'Base stats'!AQ:AQ)*0.01,0.05)</f>
        <v>0.25</v>
      </c>
      <c r="AB51" s="18">
        <f>MROUND(250*(Animals!AO51+Animals!AP51),25)</f>
        <v>475</v>
      </c>
      <c r="AC51" s="18" t="str">
        <f>_xlfn.XLOOKUP(_xlfn.XLOOKUP(B51,'Base stats'!B:B,'Base stats'!E:E),Groups!A:A,Groups!BJ:BJ)</f>
        <v>Quadruped</v>
      </c>
    </row>
    <row r="52" spans="1:29" ht="16.5" thickTop="1" thickBot="1" x14ac:dyDescent="0.3">
      <c r="A52" s="16" t="str">
        <f>Animals!A52</f>
        <v>Sheep</v>
      </c>
      <c r="B52" s="6" t="str">
        <f>Animals!B52</f>
        <v>Ovis aries</v>
      </c>
      <c r="C52" s="1" t="str">
        <f>Animals!C52</f>
        <v>&lt;li&gt;Sheep&lt;/li&gt;</v>
      </c>
      <c r="D52" s="47">
        <f>MIN(MIN(6,_xlfn.XLOOKUP(A52,Animals!A:A,Animals!AO:AO))*20,MAX(MROUND(_xlfn.XLOOKUP(B52,'Base stats'!B:B,'Base stats'!BS:BS) * (_xlfn.XLOOKUP(B52,'Base stats'!B:B,'Base stats'!AO:AO)*5%)^0.9 / 21,0.1),0.05))</f>
        <v>3</v>
      </c>
      <c r="E52" s="11">
        <f>MROUND(_xlfn.XLOOKUP(B52,'Base stats'!B:B,'Base stats'!BG:BG) * 0.01 * 2 + 0.01, 0.05)</f>
        <v>2.4500000000000002</v>
      </c>
      <c r="F52" s="7">
        <f>MROUND(_xlfn.XLOOKUP(B52,'Base stats'!B:B,'Base stats'!BD:BD)^0.25 / (_xlfn.XLOOKUP(B52,'Base stats'!B:B,'Base stats'!BK:BK) * 10) * 150 + 0.5 + _xlfn.XLOOKUP(B52,'Base stats'!B:B,'Base stats'!BW:BW), 0.05)</f>
        <v>1.4000000000000001</v>
      </c>
      <c r="G52" s="3">
        <f>IF(Animals!S52="No","No",
IF(_xlfn.XLOOKUP(B52,'Base stats'!B:B,'Base stats'!U:U)="No",
MAX(MROUND(_xlfn.XLOOKUP(B52,'Base stats'!B:B,'Base stats'!BT:BT) * _xlfn.XLOOKUP(B52,'Base stats'!B:B,'Base stats'!BP:BP)^0.9 / 21 * _xlfn.XLOOKUP(B52,'Base stats'!B:B,'Base stats'!BX:BX),0.1),0.05),
MAX(MROUND(((MIN(10,_xlfn.XLOOKUP(B52,'Base stats'!B:B,'Base stats'!U:U)))^0.4*_xlfn.XLOOKUP(B52,'Base stats'!B:B,'Base stats'!BH:BH)^0.73)^0.6 * _xlfn.XLOOKUP(B52,'Base stats'!B:B,'Base stats'!BX:BX),0.1),0.05)
))</f>
        <v>4.1000000000000005</v>
      </c>
      <c r="H52" s="11">
        <f>IF(G52="No","No",
MROUND(_xlfn.XLOOKUP(B52,'Base stats'!B:B,'Base stats'!BH:BH) * 0.01 * 2 + 0.05, 0.05)
)</f>
        <v>2.3000000000000003</v>
      </c>
      <c r="I52" s="11" t="str">
        <f>IF(G52="No","No",IF(_xlfn.XLOOKUP(B52,'Base stats'!B:B,'Base stats'!U:U)="No","No",
MROUND(_xlfn.XLOOKUP(B52,'Base stats'!B:B,'Base stats'!BT:BT)/10000+0.01,0.01)
))</f>
        <v>No</v>
      </c>
      <c r="J52" s="4">
        <f>IF(G52="No","No",
MROUND(_xlfn.XLOOKUP(B52,'Base stats'!B:B,'Base stats'!BE:BE)^0.25
/((_xlfn.XLOOKUP(B52,'Base stats'!B:B,'Base stats'!BL:BL))*10)*_xlfn.XLOOKUP(_xlfn.XLOOKUP(B52,'Base stats'!B:B,'Base stats'!E:E),Groups!A:A,Groups!Q:Q)*150 + 0.5 + _xlfn.XLOOKUP(B52,'Base stats'!B:B,'Base stats'!BW:BW),
0.05))</f>
        <v>2.1</v>
      </c>
      <c r="K52" s="3">
        <f>IF(Animals!X52="No","No",
IF(_xlfn.XLOOKUP(_xlfn.XLOOKUP(B52,'Base stats'!B:B,'Base stats'!E:E),Groups!A:A,Groups!BD:BD)=1,
MAX(MROUND(_xlfn.XLOOKUP(B52,'Base stats'!B:B,'Base stats'!BU:BU) * _xlfn.XLOOKUP(B52,'Base stats'!B:B,'Base stats'!BQ:BQ)^0.9 / 21 *_xlfn.XLOOKUP(B52,'Base stats'!B:B,'Base stats'!BX:BX),0.1),0.05),
MAX(MROUND(((MIN(10,_xlfn.XLOOKUP(B52,'Base stats'!B:B,'Base stats'!W:W)))^0.4*_xlfn.XLOOKUP(B52,'Base stats'!B:B,'Base stats'!BI:BI)^0.73)^0.6 *_xlfn.XLOOKUP(B52,'Base stats'!B:B,'Base stats'!BX:BX),0.1),0.05)
))</f>
        <v>3.6</v>
      </c>
      <c r="L52" s="11">
        <f>IF(K52="No","No",
MROUND(_xlfn.XLOOKUP(B52,'Base stats'!B:B,'Base stats'!BI:BI) * 0.01 *2 + 0.05, 0.05)
)</f>
        <v>3</v>
      </c>
      <c r="M52" s="5" t="str">
        <f>IF(K52="No","No",IF(_xlfn.XLOOKUP(_xlfn.XLOOKUP(B52,'Base stats'!B:B,'Base stats'!E:E),Groups!A:A,Groups!BD:BD)=1,"No",
MROUND(_xlfn.XLOOKUP(B52,'Base stats'!B:B,'Base stats'!BU:BU)/10000+0.01,0.01)
))</f>
        <v>No</v>
      </c>
      <c r="N52" s="4">
        <f>IF(K52="No","No",
MROUND(
  _xlfn.XLOOKUP(B52,'Base stats'!B:B,'Base stats'!BC:BC)^0.25
  / (_xlfn.XLOOKUP(B52,'Base stats'!B:B,'Base stats'!BM:BM) * 10)
  * _xlfn.XLOOKUP(
      _xlfn.XLOOKUP(B52,'Base stats'!B:B,'Base stats'!E:E),
      Groups!A:A,
      Groups!V:V
    ) * 150
  + MIN(12, _xlfn.XLOOKUP(B52,'Base stats'!B:B,'Base stats'!W:W))^(1/IF(_xlfn.XLOOKUP(_xlfn.XLOOKUP(B52,'Base stats'!B:B,'Base stats'!E:E),Groups!A:A,Groups!U:U)=1,100,10)) + 0.5 + _xlfn.XLOOKUP(B52,'Base stats'!B:B,'Base stats'!BW:BW),
0.05))</f>
        <v>2.5</v>
      </c>
      <c r="O52" s="3" t="str">
        <f>IF(Animals!AD52="No","No",
MAX(MROUND((MIN(10,_xlfn.XLOOKUP(B52,'Base stats'!B:B,'Base stats'!V:V)*IF(_xlfn.XLOOKUP(_xlfn.XLOOKUP(B52,'Base stats'!B:B,'Base stats'!E:E),Groups!A:A,Groups!O:O)=0,1,0.33))^0.4*_xlfn.XLOOKUP(B52,'Base stats'!B:B,'Base stats'!BJ:BJ)^0.73)^0.6 *_xlfn.XLOOKUP(B52,'Base stats'!B:B,'Base stats'!BX:BX),0.1),0.05)
)</f>
        <v>No</v>
      </c>
      <c r="P52" s="11" t="str">
        <f>IF(O52="No","No",
MROUND(_xlfn.XLOOKUP(B52,'Base stats'!B:B,'Base stats'!BJ:BJ) * 0.01 * 2 + 0.05, 0.05)
)</f>
        <v>No</v>
      </c>
      <c r="Q52" s="5" t="str">
        <f>IF(O52="No","No",
MROUND(_xlfn.XLOOKUP(B52,'Base stats'!B:B,'Base stats'!BV:BV)/10000+0.01,0.01)
)</f>
        <v>No</v>
      </c>
      <c r="R52" s="4" t="str">
        <f>IF(O52="No","No",
MROUND(_xlfn.XLOOKUP(B52,'Base stats'!B:B,'Base stats'!BB:BB)^0.25
/((_xlfn.XLOOKUP(B52,'Base stats'!B:B,'Base stats'!BN:BN))*10)*_xlfn.XLOOKUP(_xlfn.XLOOKUP(B52,'Base stats'!B:B,'Base stats'!E:E),Groups!A:A,Groups!Z:Z)*150 + 0.5 + _xlfn.XLOOKUP(B52,'Base stats'!B:B,'Base stats'!BW:BW),
0.05))</f>
        <v>No</v>
      </c>
      <c r="S52" s="3" t="str">
        <f>IF(Animals!AI52="No","No",
IF(_xlfn.XLOOKUP(B52,'Base stats'!B:B,'Base stats'!U:U)="No",
MAX(MROUND(_xlfn.XLOOKUP(B52,'Base stats'!B:B,'Base stats'!BT:BT) * _xlfn.XLOOKUP(B52,'Base stats'!B:B,'Base stats'!BP:BP)^0.9 / 21 * _xlfn.XLOOKUP(B52,'Base stats'!B:B,'Base stats'!BX:BX),0.1),0.05),
MAX(MROUND(((MIN(12,_xlfn.XLOOKUP(B52,'Base stats'!B:B,'Base stats'!U:U)))^0.4*_xlfn.XLOOKUP(B52,'Base stats'!B:B,'Base stats'!BH:BH)^0.73)^0.6 * _xlfn.XLOOKUP(B52,'Base stats'!B:B,'Base stats'!BX:BX),0.1),0.05)
))</f>
        <v>No</v>
      </c>
      <c r="T52" s="11" t="str">
        <f>IF(S52="No","No",
MROUND(_xlfn.XLOOKUP(B52,'Base stats'!B:B,'Base stats'!BH:BH) * 0.01 * 2 + 0.05, 0.05)
)</f>
        <v>No</v>
      </c>
      <c r="U52" s="5" t="str">
        <f>IF(S52="No","No",IF(_xlfn.XLOOKUP(B52,'Base stats'!B:B,'Base stats'!U:U)="No","No",
MROUND(_xlfn.XLOOKUP(B52,'Base stats'!B:B,'Base stats'!BT:BT)/10000+0.01,0.01)
))</f>
        <v>No</v>
      </c>
      <c r="V52" s="4" t="str">
        <f>IF(S52="No","No",
MROUND(_xlfn.XLOOKUP(B52,'Base stats'!B:B,'Base stats'!BF:BF)^0.25
/((_xlfn.XLOOKUP(B52,'Base stats'!B:B,'Base stats'!BO:BO))*10)*_xlfn.XLOOKUP(_xlfn.XLOOKUP(B52,'Base stats'!B:B,'Base stats'!E:E),Groups!A:A,Groups!AE:AE)*150 + 0.5 + _xlfn.XLOOKUP(B52,'Base stats'!B:B,'Base stats'!BW:BW),
0.05))</f>
        <v>No</v>
      </c>
      <c r="W52" s="8">
        <f>MROUND(_xlfn.XLOOKUP(_xlfn.XLOOKUP(B52,'Base stats'!B:B,'Base stats'!E:E),Groups!A:A,Groups!BG:BG)*_xlfn.XLOOKUP(B52,'Base stats'!B:B,'Base stats'!C:C)^-0.165,0.05)</f>
        <v>0.25</v>
      </c>
      <c r="X52" s="1">
        <f>MROUND(_xlfn.XLOOKUP(_xlfn.XLOOKUP(B52,'Base stats'!B:B,'Base stats'!E:E),Groups!A:A,Groups!BH:BH)*_xlfn.XLOOKUP(B52,'Base stats'!B:B,'Base stats'!C:C)^0.165,0.05)</f>
        <v>0</v>
      </c>
      <c r="Y52" s="8">
        <f>MROUND(_xlfn.XLOOKUP(_xlfn.XLOOKUP(B52,'Base stats'!B:B,'Base stats'!E:E),Groups!A:A,Groups!BI:BI)*_xlfn.XLOOKUP(B52,'Base stats'!B:B,'Base stats'!C:C)^0.165,0.05)</f>
        <v>0</v>
      </c>
      <c r="Z52" s="18">
        <f>MROUND(_xlfn.XLOOKUP(B52,'Base stats'!B:B,'Base stats'!AQ:AQ)*_xlfn.XLOOKUP(_xlfn.XLOOKUP(B52,'Base stats'!B:B,'Base stats'!E:E),Groups!A:A,Groups!H:H)/1000,IF((_xlfn.XLOOKUP(B52,'Base stats'!B:B,'Base stats'!AQ:AQ)*_xlfn.XLOOKUP(_xlfn.XLOOKUP(B52,'Base stats'!B:B,'Base stats'!E:E),Groups!A:A,Groups!H:H)/1000)&gt;1,0.05,0.01))</f>
        <v>0.06</v>
      </c>
      <c r="AA52" s="18">
        <f>MROUND((1/2)*(_xlfn.XLOOKUP(_xlfn.XLOOKUP(B52,'Base stats'!B:B,'Base stats'!E:E),Groups!A:A,Groups!H:H)*_xlfn.XLOOKUP(_xlfn.XLOOKUP(B52,'Base stats'!B:B,'Base stats'!E:E),Groups!A:A,Groups!I:I))*_xlfn.XLOOKUP(B52,'Base stats'!B:B,'Base stats'!AQ:AQ)*0.01,0.05)</f>
        <v>0.25</v>
      </c>
      <c r="AB52" s="18">
        <f>MROUND(250*(Animals!AO52+Animals!AP52),25)</f>
        <v>475</v>
      </c>
      <c r="AC52" s="18" t="str">
        <f>_xlfn.XLOOKUP(_xlfn.XLOOKUP(B52,'Base stats'!B:B,'Base stats'!E:E),Groups!A:A,Groups!BJ:BJ)</f>
        <v>Quadruped</v>
      </c>
    </row>
    <row r="53" spans="1:29" ht="16.5" thickTop="1" thickBot="1" x14ac:dyDescent="0.3">
      <c r="A53" s="16" t="str">
        <f>Animals!A53</f>
        <v>Deer</v>
      </c>
      <c r="B53" s="6" t="str">
        <f>Animals!B53</f>
        <v>Odocoileus hemionus</v>
      </c>
      <c r="C53" s="1" t="str">
        <f>Animals!C53</f>
        <v>&lt;li&gt;Deer&lt;/li&gt;</v>
      </c>
      <c r="D53" s="47">
        <f>MIN(MIN(6,_xlfn.XLOOKUP(A53,Animals!A:A,Animals!AO:AO))*20,MAX(MROUND(_xlfn.XLOOKUP(B53,'Base stats'!B:B,'Base stats'!BS:BS) * (_xlfn.XLOOKUP(B53,'Base stats'!B:B,'Base stats'!AO:AO)*5%)^0.9 / 21,0.1),0.05))</f>
        <v>1.9000000000000001</v>
      </c>
      <c r="E53" s="11">
        <f>MROUND(_xlfn.XLOOKUP(B53,'Base stats'!B:B,'Base stats'!BG:BG) * 0.01 * 2 + 0.01, 0.05)</f>
        <v>1.55</v>
      </c>
      <c r="F53" s="7">
        <f>MROUND(_xlfn.XLOOKUP(B53,'Base stats'!B:B,'Base stats'!BD:BD)^0.25 / (_xlfn.XLOOKUP(B53,'Base stats'!B:B,'Base stats'!BK:BK) * 10) * 150 + 0.5 + _xlfn.XLOOKUP(B53,'Base stats'!B:B,'Base stats'!BW:BW), 0.05)</f>
        <v>1.6</v>
      </c>
      <c r="G53" s="3">
        <f>IF(Animals!S53="No","No",
IF(_xlfn.XLOOKUP(B53,'Base stats'!B:B,'Base stats'!U:U)="No",
MAX(MROUND(_xlfn.XLOOKUP(B53,'Base stats'!B:B,'Base stats'!BT:BT) * _xlfn.XLOOKUP(B53,'Base stats'!B:B,'Base stats'!BP:BP)^0.9 / 21 * _xlfn.XLOOKUP(B53,'Base stats'!B:B,'Base stats'!BX:BX),0.1),0.05),
MAX(MROUND(((MIN(10,_xlfn.XLOOKUP(B53,'Base stats'!B:B,'Base stats'!U:U)))^0.4*_xlfn.XLOOKUP(B53,'Base stats'!B:B,'Base stats'!BH:BH)^0.73)^0.6 * _xlfn.XLOOKUP(B53,'Base stats'!B:B,'Base stats'!BX:BX),0.1),0.05)
))</f>
        <v>3.7</v>
      </c>
      <c r="H53" s="11">
        <f>IF(G53="No","No",
MROUND(_xlfn.XLOOKUP(B53,'Base stats'!B:B,'Base stats'!BH:BH) * 0.01 * 2 + 0.05, 0.05)
)</f>
        <v>2.0500000000000003</v>
      </c>
      <c r="I53" s="11" t="str">
        <f>IF(G53="No","No",IF(_xlfn.XLOOKUP(B53,'Base stats'!B:B,'Base stats'!U:U)="No","No",
MROUND(_xlfn.XLOOKUP(B53,'Base stats'!B:B,'Base stats'!BT:BT)/10000+0.01,0.01)
))</f>
        <v>No</v>
      </c>
      <c r="J53" s="4">
        <f>IF(G53="No","No",
MROUND(_xlfn.XLOOKUP(B53,'Base stats'!B:B,'Base stats'!BE:BE)^0.25
/((_xlfn.XLOOKUP(B53,'Base stats'!B:B,'Base stats'!BL:BL))*10)*_xlfn.XLOOKUP(_xlfn.XLOOKUP(B53,'Base stats'!B:B,'Base stats'!E:E),Groups!A:A,Groups!Q:Q)*150 + 0.5 + _xlfn.XLOOKUP(B53,'Base stats'!B:B,'Base stats'!BW:BW),
0.05))</f>
        <v>2.0500000000000003</v>
      </c>
      <c r="K53" s="3">
        <f>IF(Animals!X53="No","No",
IF(_xlfn.XLOOKUP(_xlfn.XLOOKUP(B53,'Base stats'!B:B,'Base stats'!E:E),Groups!A:A,Groups!BD:BD)=1,
MAX(MROUND(_xlfn.XLOOKUP(B53,'Base stats'!B:B,'Base stats'!BU:BU) * _xlfn.XLOOKUP(B53,'Base stats'!B:B,'Base stats'!BQ:BQ)^0.9 / 21 *_xlfn.XLOOKUP(B53,'Base stats'!B:B,'Base stats'!BX:BX),0.1),0.05),
MAX(MROUND(((MIN(10,_xlfn.XLOOKUP(B53,'Base stats'!B:B,'Base stats'!W:W)))^0.4*_xlfn.XLOOKUP(B53,'Base stats'!B:B,'Base stats'!BI:BI)^0.73)^0.6 *_xlfn.XLOOKUP(B53,'Base stats'!B:B,'Base stats'!BX:BX),0.1),0.05)
))</f>
        <v>14.200000000000001</v>
      </c>
      <c r="L53" s="11">
        <f>IF(K53="No","No",
MROUND(_xlfn.XLOOKUP(B53,'Base stats'!B:B,'Base stats'!BI:BI) * 0.01 *2 + 0.05, 0.05)
)</f>
        <v>2.4500000000000002</v>
      </c>
      <c r="M53" s="5">
        <f>IF(K53="No","No",IF(_xlfn.XLOOKUP(_xlfn.XLOOKUP(B53,'Base stats'!B:B,'Base stats'!E:E),Groups!A:A,Groups!BD:BD)=1,"No",
MROUND(_xlfn.XLOOKUP(B53,'Base stats'!B:B,'Base stats'!BU:BU)/10000+0.01,0.01)
))</f>
        <v>0.17</v>
      </c>
      <c r="N53" s="4">
        <f>IF(K53="No","No",
MROUND(
  _xlfn.XLOOKUP(B53,'Base stats'!B:B,'Base stats'!BC:BC)^0.25
  / (_xlfn.XLOOKUP(B53,'Base stats'!B:B,'Base stats'!BM:BM) * 10)
  * _xlfn.XLOOKUP(
      _xlfn.XLOOKUP(B53,'Base stats'!B:B,'Base stats'!E:E),
      Groups!A:A,
      Groups!V:V
    ) * 150
  + MIN(12, _xlfn.XLOOKUP(B53,'Base stats'!B:B,'Base stats'!W:W))^(1/IF(_xlfn.XLOOKUP(_xlfn.XLOOKUP(B53,'Base stats'!B:B,'Base stats'!E:E),Groups!A:A,Groups!U:U)=1,100,10)) + 0.5 + _xlfn.XLOOKUP(B53,'Base stats'!B:B,'Base stats'!BW:BW),
0.05))</f>
        <v>2.85</v>
      </c>
      <c r="O53" s="3" t="str">
        <f>IF(Animals!AD53="No","No",
MAX(MROUND((MIN(10,_xlfn.XLOOKUP(B53,'Base stats'!B:B,'Base stats'!V:V)*IF(_xlfn.XLOOKUP(_xlfn.XLOOKUP(B53,'Base stats'!B:B,'Base stats'!E:E),Groups!A:A,Groups!O:O)=0,1,0.33))^0.4*_xlfn.XLOOKUP(B53,'Base stats'!B:B,'Base stats'!BJ:BJ)^0.73)^0.6 *_xlfn.XLOOKUP(B53,'Base stats'!B:B,'Base stats'!BX:BX),0.1),0.05)
)</f>
        <v>No</v>
      </c>
      <c r="P53" s="11" t="str">
        <f>IF(O53="No","No",
MROUND(_xlfn.XLOOKUP(B53,'Base stats'!B:B,'Base stats'!BJ:BJ) * 0.01 * 2 + 0.05, 0.05)
)</f>
        <v>No</v>
      </c>
      <c r="Q53" s="5" t="str">
        <f>IF(O53="No","No",
MROUND(_xlfn.XLOOKUP(B53,'Base stats'!B:B,'Base stats'!BV:BV)/10000+0.01,0.01)
)</f>
        <v>No</v>
      </c>
      <c r="R53" s="4" t="str">
        <f>IF(O53="No","No",
MROUND(_xlfn.XLOOKUP(B53,'Base stats'!B:B,'Base stats'!BB:BB)^0.25
/((_xlfn.XLOOKUP(B53,'Base stats'!B:B,'Base stats'!BN:BN))*10)*_xlfn.XLOOKUP(_xlfn.XLOOKUP(B53,'Base stats'!B:B,'Base stats'!E:E),Groups!A:A,Groups!Z:Z)*150 + 0.5 + _xlfn.XLOOKUP(B53,'Base stats'!B:B,'Base stats'!BW:BW),
0.05))</f>
        <v>No</v>
      </c>
      <c r="S53" s="3" t="str">
        <f>IF(Animals!AI53="No","No",
IF(_xlfn.XLOOKUP(B53,'Base stats'!B:B,'Base stats'!U:U)="No",
MAX(MROUND(_xlfn.XLOOKUP(B53,'Base stats'!B:B,'Base stats'!BT:BT) * _xlfn.XLOOKUP(B53,'Base stats'!B:B,'Base stats'!BP:BP)^0.9 / 21 * _xlfn.XLOOKUP(B53,'Base stats'!B:B,'Base stats'!BX:BX),0.1),0.05),
MAX(MROUND(((MIN(12,_xlfn.XLOOKUP(B53,'Base stats'!B:B,'Base stats'!U:U)))^0.4*_xlfn.XLOOKUP(B53,'Base stats'!B:B,'Base stats'!BH:BH)^0.73)^0.6 * _xlfn.XLOOKUP(B53,'Base stats'!B:B,'Base stats'!BX:BX),0.1),0.05)
))</f>
        <v>No</v>
      </c>
      <c r="T53" s="11" t="str">
        <f>IF(S53="No","No",
MROUND(_xlfn.XLOOKUP(B53,'Base stats'!B:B,'Base stats'!BH:BH) * 0.01 * 2 + 0.05, 0.05)
)</f>
        <v>No</v>
      </c>
      <c r="U53" s="5" t="str">
        <f>IF(S53="No","No",IF(_xlfn.XLOOKUP(B53,'Base stats'!B:B,'Base stats'!U:U)="No","No",
MROUND(_xlfn.XLOOKUP(B53,'Base stats'!B:B,'Base stats'!BT:BT)/10000+0.01,0.01)
))</f>
        <v>No</v>
      </c>
      <c r="V53" s="4" t="str">
        <f>IF(S53="No","No",
MROUND(_xlfn.XLOOKUP(B53,'Base stats'!B:B,'Base stats'!BF:BF)^0.25
/((_xlfn.XLOOKUP(B53,'Base stats'!B:B,'Base stats'!BO:BO))*10)*_xlfn.XLOOKUP(_xlfn.XLOOKUP(B53,'Base stats'!B:B,'Base stats'!E:E),Groups!A:A,Groups!AE:AE)*150 + 0.5 + _xlfn.XLOOKUP(B53,'Base stats'!B:B,'Base stats'!BW:BW),
0.05))</f>
        <v>No</v>
      </c>
      <c r="W53" s="8">
        <f>MROUND(_xlfn.XLOOKUP(_xlfn.XLOOKUP(B53,'Base stats'!B:B,'Base stats'!E:E),Groups!A:A,Groups!BG:BG)*_xlfn.XLOOKUP(B53,'Base stats'!B:B,'Base stats'!C:C)^-0.165,0.05)</f>
        <v>0.25</v>
      </c>
      <c r="X53" s="1">
        <f>MROUND(_xlfn.XLOOKUP(_xlfn.XLOOKUP(B53,'Base stats'!B:B,'Base stats'!E:E),Groups!A:A,Groups!BH:BH)*_xlfn.XLOOKUP(B53,'Base stats'!B:B,'Base stats'!C:C)^0.165,0.05)</f>
        <v>0</v>
      </c>
      <c r="Y53" s="8">
        <f>MROUND(_xlfn.XLOOKUP(_xlfn.XLOOKUP(B53,'Base stats'!B:B,'Base stats'!E:E),Groups!A:A,Groups!BI:BI)*_xlfn.XLOOKUP(B53,'Base stats'!B:B,'Base stats'!C:C)^0.165,0.05)</f>
        <v>0</v>
      </c>
      <c r="Z53" s="18">
        <f>MROUND(_xlfn.XLOOKUP(B53,'Base stats'!B:B,'Base stats'!AQ:AQ)*_xlfn.XLOOKUP(_xlfn.XLOOKUP(B53,'Base stats'!B:B,'Base stats'!E:E),Groups!A:A,Groups!H:H)/1000,IF((_xlfn.XLOOKUP(B53,'Base stats'!B:B,'Base stats'!AQ:AQ)*_xlfn.XLOOKUP(_xlfn.XLOOKUP(B53,'Base stats'!B:B,'Base stats'!E:E),Groups!A:A,Groups!H:H)/1000)&gt;1,0.05,0.01))</f>
        <v>0.06</v>
      </c>
      <c r="AA53" s="18">
        <f>MROUND((1/2)*(_xlfn.XLOOKUP(_xlfn.XLOOKUP(B53,'Base stats'!B:B,'Base stats'!E:E),Groups!A:A,Groups!H:H)*_xlfn.XLOOKUP(_xlfn.XLOOKUP(B53,'Base stats'!B:B,'Base stats'!E:E),Groups!A:A,Groups!I:I))*_xlfn.XLOOKUP(B53,'Base stats'!B:B,'Base stats'!AQ:AQ)*0.01,0.05)</f>
        <v>0.25</v>
      </c>
      <c r="AB53" s="18">
        <f>MROUND(250*(Animals!AO53+Animals!AP53),25)</f>
        <v>450</v>
      </c>
      <c r="AC53" s="18" t="str">
        <f>_xlfn.XLOOKUP(_xlfn.XLOOKUP(B53,'Base stats'!B:B,'Base stats'!E:E),Groups!A:A,Groups!BJ:BJ)</f>
        <v>Quadruped</v>
      </c>
    </row>
    <row r="54" spans="1:29" ht="16.5" thickTop="1" thickBot="1" x14ac:dyDescent="0.3">
      <c r="A54" s="16" t="str">
        <f>Animals!A54</f>
        <v>Gazelle</v>
      </c>
      <c r="B54" s="6" t="str">
        <f>Animals!B54</f>
        <v>Gazella gazella</v>
      </c>
      <c r="C54" s="1" t="str">
        <f>Animals!C54</f>
        <v>&lt;li&gt;Gazelle&lt;/li&gt;</v>
      </c>
      <c r="D54" s="47">
        <f>MIN(MIN(6,_xlfn.XLOOKUP(A54,Animals!A:A,Animals!AO:AO))*20,MAX(MROUND(_xlfn.XLOOKUP(B54,'Base stats'!B:B,'Base stats'!BS:BS) * (_xlfn.XLOOKUP(B54,'Base stats'!B:B,'Base stats'!AO:AO)*5%)^0.9 / 21,0.1),0.05))</f>
        <v>0.9</v>
      </c>
      <c r="E54" s="11">
        <f>MROUND(_xlfn.XLOOKUP(B54,'Base stats'!B:B,'Base stats'!BG:BG) * 0.01 * 2 + 0.01, 0.05)</f>
        <v>0.70000000000000007</v>
      </c>
      <c r="F54" s="7">
        <f>MROUND(_xlfn.XLOOKUP(B54,'Base stats'!B:B,'Base stats'!BD:BD)^0.25 / (_xlfn.XLOOKUP(B54,'Base stats'!B:B,'Base stats'!BK:BK) * 10) * 150 + 0.5 + _xlfn.XLOOKUP(B54,'Base stats'!B:B,'Base stats'!BW:BW), 0.05)</f>
        <v>1.5</v>
      </c>
      <c r="G54" s="3">
        <f>IF(Animals!S54="No","No",
IF(_xlfn.XLOOKUP(B54,'Base stats'!B:B,'Base stats'!U:U)="No",
MAX(MROUND(_xlfn.XLOOKUP(B54,'Base stats'!B:B,'Base stats'!BT:BT) * _xlfn.XLOOKUP(B54,'Base stats'!B:B,'Base stats'!BP:BP)^0.9 / 21 * _xlfn.XLOOKUP(B54,'Base stats'!B:B,'Base stats'!BX:BX),0.1),0.05),
MAX(MROUND(((MIN(10,_xlfn.XLOOKUP(B54,'Base stats'!B:B,'Base stats'!U:U)))^0.4*_xlfn.XLOOKUP(B54,'Base stats'!B:B,'Base stats'!BH:BH)^0.73)^0.6 * _xlfn.XLOOKUP(B54,'Base stats'!B:B,'Base stats'!BX:BX),0.1),0.05)
))</f>
        <v>1.9000000000000001</v>
      </c>
      <c r="H54" s="11">
        <f>IF(G54="No","No",
MROUND(_xlfn.XLOOKUP(B54,'Base stats'!B:B,'Base stats'!BH:BH) * 0.01 * 2 + 0.05, 0.05)
)</f>
        <v>1</v>
      </c>
      <c r="I54" s="11" t="str">
        <f>IF(G54="No","No",IF(_xlfn.XLOOKUP(B54,'Base stats'!B:B,'Base stats'!U:U)="No","No",
MROUND(_xlfn.XLOOKUP(B54,'Base stats'!B:B,'Base stats'!BT:BT)/10000+0.01,0.01)
))</f>
        <v>No</v>
      </c>
      <c r="J54" s="4">
        <f>IF(G54="No","No",
MROUND(_xlfn.XLOOKUP(B54,'Base stats'!B:B,'Base stats'!BE:BE)^0.25
/((_xlfn.XLOOKUP(B54,'Base stats'!B:B,'Base stats'!BL:BL))*10)*_xlfn.XLOOKUP(_xlfn.XLOOKUP(B54,'Base stats'!B:B,'Base stats'!E:E),Groups!A:A,Groups!Q:Q)*150 + 0.5 + _xlfn.XLOOKUP(B54,'Base stats'!B:B,'Base stats'!BW:BW),
0.05))</f>
        <v>1.9500000000000002</v>
      </c>
      <c r="K54" s="3">
        <f>IF(Animals!X54="No","No",
IF(_xlfn.XLOOKUP(_xlfn.XLOOKUP(B54,'Base stats'!B:B,'Base stats'!E:E),Groups!A:A,Groups!BD:BD)=1,
MAX(MROUND(_xlfn.XLOOKUP(B54,'Base stats'!B:B,'Base stats'!BU:BU) * _xlfn.XLOOKUP(B54,'Base stats'!B:B,'Base stats'!BQ:BQ)^0.9 / 21 *_xlfn.XLOOKUP(B54,'Base stats'!B:B,'Base stats'!BX:BX),0.1),0.05),
MAX(MROUND(((MIN(10,_xlfn.XLOOKUP(B54,'Base stats'!B:B,'Base stats'!W:W)))^0.4*_xlfn.XLOOKUP(B54,'Base stats'!B:B,'Base stats'!BI:BI)^0.73)^0.6 *_xlfn.XLOOKUP(B54,'Base stats'!B:B,'Base stats'!BX:BX),0.1),0.05)
))</f>
        <v>10.200000000000001</v>
      </c>
      <c r="L54" s="11">
        <f>IF(K54="No","No",
MROUND(_xlfn.XLOOKUP(B54,'Base stats'!B:B,'Base stats'!BI:BI) * 0.01 *2 + 0.05, 0.05)
)</f>
        <v>1.2000000000000002</v>
      </c>
      <c r="M54" s="5">
        <f>IF(K54="No","No",IF(_xlfn.XLOOKUP(_xlfn.XLOOKUP(B54,'Base stats'!B:B,'Base stats'!E:E),Groups!A:A,Groups!BD:BD)=1,"No",
MROUND(_xlfn.XLOOKUP(B54,'Base stats'!B:B,'Base stats'!BU:BU)/10000+0.01,0.01)
))</f>
        <v>0.1</v>
      </c>
      <c r="N54" s="4">
        <f>IF(K54="No","No",
MROUND(
  _xlfn.XLOOKUP(B54,'Base stats'!B:B,'Base stats'!BC:BC)^0.25
  / (_xlfn.XLOOKUP(B54,'Base stats'!B:B,'Base stats'!BM:BM) * 10)
  * _xlfn.XLOOKUP(
      _xlfn.XLOOKUP(B54,'Base stats'!B:B,'Base stats'!E:E),
      Groups!A:A,
      Groups!V:V
    ) * 150
  + MIN(12, _xlfn.XLOOKUP(B54,'Base stats'!B:B,'Base stats'!W:W))^(1/IF(_xlfn.XLOOKUP(_xlfn.XLOOKUP(B54,'Base stats'!B:B,'Base stats'!E:E),Groups!A:A,Groups!U:U)=1,100,10)) + 0.5 + _xlfn.XLOOKUP(B54,'Base stats'!B:B,'Base stats'!BW:BW),
0.05))</f>
        <v>2.6500000000000004</v>
      </c>
      <c r="O54" s="3" t="str">
        <f>IF(Animals!AD54="No","No",
MAX(MROUND((MIN(10,_xlfn.XLOOKUP(B54,'Base stats'!B:B,'Base stats'!V:V)*IF(_xlfn.XLOOKUP(_xlfn.XLOOKUP(B54,'Base stats'!B:B,'Base stats'!E:E),Groups!A:A,Groups!O:O)=0,1,0.33))^0.4*_xlfn.XLOOKUP(B54,'Base stats'!B:B,'Base stats'!BJ:BJ)^0.73)^0.6 *_xlfn.XLOOKUP(B54,'Base stats'!B:B,'Base stats'!BX:BX),0.1),0.05)
)</f>
        <v>No</v>
      </c>
      <c r="P54" s="11" t="str">
        <f>IF(O54="No","No",
MROUND(_xlfn.XLOOKUP(B54,'Base stats'!B:B,'Base stats'!BJ:BJ) * 0.01 * 2 + 0.05, 0.05)
)</f>
        <v>No</v>
      </c>
      <c r="Q54" s="5" t="str">
        <f>IF(O54="No","No",
MROUND(_xlfn.XLOOKUP(B54,'Base stats'!B:B,'Base stats'!BV:BV)/10000+0.01,0.01)
)</f>
        <v>No</v>
      </c>
      <c r="R54" s="4" t="str">
        <f>IF(O54="No","No",
MROUND(_xlfn.XLOOKUP(B54,'Base stats'!B:B,'Base stats'!BB:BB)^0.25
/((_xlfn.XLOOKUP(B54,'Base stats'!B:B,'Base stats'!BN:BN))*10)*_xlfn.XLOOKUP(_xlfn.XLOOKUP(B54,'Base stats'!B:B,'Base stats'!E:E),Groups!A:A,Groups!Z:Z)*150 + 0.5 + _xlfn.XLOOKUP(B54,'Base stats'!B:B,'Base stats'!BW:BW),
0.05))</f>
        <v>No</v>
      </c>
      <c r="S54" s="3" t="str">
        <f>IF(Animals!AI54="No","No",
IF(_xlfn.XLOOKUP(B54,'Base stats'!B:B,'Base stats'!U:U)="No",
MAX(MROUND(_xlfn.XLOOKUP(B54,'Base stats'!B:B,'Base stats'!BT:BT) * _xlfn.XLOOKUP(B54,'Base stats'!B:B,'Base stats'!BP:BP)^0.9 / 21 * _xlfn.XLOOKUP(B54,'Base stats'!B:B,'Base stats'!BX:BX),0.1),0.05),
MAX(MROUND(((MIN(12,_xlfn.XLOOKUP(B54,'Base stats'!B:B,'Base stats'!U:U)))^0.4*_xlfn.XLOOKUP(B54,'Base stats'!B:B,'Base stats'!BH:BH)^0.73)^0.6 * _xlfn.XLOOKUP(B54,'Base stats'!B:B,'Base stats'!BX:BX),0.1),0.05)
))</f>
        <v>No</v>
      </c>
      <c r="T54" s="11" t="str">
        <f>IF(S54="No","No",
MROUND(_xlfn.XLOOKUP(B54,'Base stats'!B:B,'Base stats'!BH:BH) * 0.01 * 2 + 0.05, 0.05)
)</f>
        <v>No</v>
      </c>
      <c r="U54" s="5" t="str">
        <f>IF(S54="No","No",IF(_xlfn.XLOOKUP(B54,'Base stats'!B:B,'Base stats'!U:U)="No","No",
MROUND(_xlfn.XLOOKUP(B54,'Base stats'!B:B,'Base stats'!BT:BT)/10000+0.01,0.01)
))</f>
        <v>No</v>
      </c>
      <c r="V54" s="4" t="str">
        <f>IF(S54="No","No",
MROUND(_xlfn.XLOOKUP(B54,'Base stats'!B:B,'Base stats'!BF:BF)^0.25
/((_xlfn.XLOOKUP(B54,'Base stats'!B:B,'Base stats'!BO:BO))*10)*_xlfn.XLOOKUP(_xlfn.XLOOKUP(B54,'Base stats'!B:B,'Base stats'!E:E),Groups!A:A,Groups!AE:AE)*150 + 0.5 + _xlfn.XLOOKUP(B54,'Base stats'!B:B,'Base stats'!BW:BW),
0.05))</f>
        <v>No</v>
      </c>
      <c r="W54" s="8">
        <f>MROUND(_xlfn.XLOOKUP(_xlfn.XLOOKUP(B54,'Base stats'!B:B,'Base stats'!E:E),Groups!A:A,Groups!BG:BG)*_xlfn.XLOOKUP(B54,'Base stats'!B:B,'Base stats'!C:C)^-0.165,0.05)</f>
        <v>0.30000000000000004</v>
      </c>
      <c r="X54" s="1">
        <f>MROUND(_xlfn.XLOOKUP(_xlfn.XLOOKUP(B54,'Base stats'!B:B,'Base stats'!E:E),Groups!A:A,Groups!BH:BH)*_xlfn.XLOOKUP(B54,'Base stats'!B:B,'Base stats'!C:C)^0.165,0.05)</f>
        <v>0</v>
      </c>
      <c r="Y54" s="8">
        <f>MROUND(_xlfn.XLOOKUP(_xlfn.XLOOKUP(B54,'Base stats'!B:B,'Base stats'!E:E),Groups!A:A,Groups!BI:BI)*_xlfn.XLOOKUP(B54,'Base stats'!B:B,'Base stats'!C:C)^0.165,0.05)</f>
        <v>0</v>
      </c>
      <c r="Z54" s="18">
        <f>MROUND(_xlfn.XLOOKUP(B54,'Base stats'!B:B,'Base stats'!AQ:AQ)*_xlfn.XLOOKUP(_xlfn.XLOOKUP(B54,'Base stats'!B:B,'Base stats'!E:E),Groups!A:A,Groups!H:H)/1000,IF((_xlfn.XLOOKUP(B54,'Base stats'!B:B,'Base stats'!AQ:AQ)*_xlfn.XLOOKUP(_xlfn.XLOOKUP(B54,'Base stats'!B:B,'Base stats'!E:E),Groups!A:A,Groups!H:H)/1000)&gt;1,0.05,0.01))</f>
        <v>0.04</v>
      </c>
      <c r="AA54" s="18">
        <f>MROUND((1/2)*(_xlfn.XLOOKUP(_xlfn.XLOOKUP(B54,'Base stats'!B:B,'Base stats'!E:E),Groups!A:A,Groups!H:H)*_xlfn.XLOOKUP(_xlfn.XLOOKUP(B54,'Base stats'!B:B,'Base stats'!E:E),Groups!A:A,Groups!I:I))*_xlfn.XLOOKUP(B54,'Base stats'!B:B,'Base stats'!AQ:AQ)*0.01,0.05)</f>
        <v>0.2</v>
      </c>
      <c r="AB54" s="18">
        <f>MROUND(250*(Animals!AO54+Animals!AP54),25)</f>
        <v>300</v>
      </c>
      <c r="AC54" s="18" t="str">
        <f>_xlfn.XLOOKUP(_xlfn.XLOOKUP(B54,'Base stats'!B:B,'Base stats'!E:E),Groups!A:A,Groups!BJ:BJ)</f>
        <v>Quadruped</v>
      </c>
    </row>
    <row r="55" spans="1:29" ht="16.5" thickTop="1" thickBot="1" x14ac:dyDescent="0.3">
      <c r="A55" s="16" t="str">
        <f>Animals!A55</f>
        <v>Warg</v>
      </c>
      <c r="B55" s="6" t="str">
        <f>Animals!B55</f>
        <v>Canis tyrannus</v>
      </c>
      <c r="C55" s="1" t="str">
        <f>Animals!C55</f>
        <v>&lt;li&gt;Warg&lt;/li&gt;</v>
      </c>
      <c r="D55" s="47">
        <f>MIN(MIN(6,_xlfn.XLOOKUP(A55,Animals!A:A,Animals!AO:AO))*20,MAX(MROUND(_xlfn.XLOOKUP(B55,'Base stats'!B:B,'Base stats'!BS:BS) * (_xlfn.XLOOKUP(B55,'Base stats'!B:B,'Base stats'!AO:AO)*5%)^0.9 / 21,0.1),0.05))</f>
        <v>4.8000000000000007</v>
      </c>
      <c r="E55" s="11">
        <f>MROUND(_xlfn.XLOOKUP(B55,'Base stats'!B:B,'Base stats'!BG:BG) * 0.01 * 2 + 0.01, 0.05)</f>
        <v>4.2</v>
      </c>
      <c r="F55" s="7">
        <f>MROUND(_xlfn.XLOOKUP(B55,'Base stats'!B:B,'Base stats'!BD:BD)^0.25 / (_xlfn.XLOOKUP(B55,'Base stats'!B:B,'Base stats'!BK:BK) * 10) * 150 + 0.5 + _xlfn.XLOOKUP(B55,'Base stats'!B:B,'Base stats'!BW:BW), 0.05)</f>
        <v>2.1</v>
      </c>
      <c r="G55" s="3" t="str">
        <f>IF(Animals!S55="No","No",
IF(_xlfn.XLOOKUP(B55,'Base stats'!B:B,'Base stats'!U:U)="No",
MAX(MROUND(_xlfn.XLOOKUP(B55,'Base stats'!B:B,'Base stats'!BT:BT) * _xlfn.XLOOKUP(B55,'Base stats'!B:B,'Base stats'!BP:BP)^0.9 / 21 * _xlfn.XLOOKUP(B55,'Base stats'!B:B,'Base stats'!BX:BX),0.1),0.05),
MAX(MROUND(((MIN(10,_xlfn.XLOOKUP(B55,'Base stats'!B:B,'Base stats'!U:U)))^0.4*_xlfn.XLOOKUP(B55,'Base stats'!B:B,'Base stats'!BH:BH)^0.73)^0.6 * _xlfn.XLOOKUP(B55,'Base stats'!B:B,'Base stats'!BX:BX),0.1),0.05)
))</f>
        <v>No</v>
      </c>
      <c r="H55" s="11" t="str">
        <f>IF(G55="No","No",
MROUND(_xlfn.XLOOKUP(B55,'Base stats'!B:B,'Base stats'!BH:BH) * 0.01 * 2 + 0.05, 0.05)
)</f>
        <v>No</v>
      </c>
      <c r="I55" s="11" t="str">
        <f>IF(G55="No","No",IF(_xlfn.XLOOKUP(B55,'Base stats'!B:B,'Base stats'!U:U)="No","No",
MROUND(_xlfn.XLOOKUP(B55,'Base stats'!B:B,'Base stats'!BT:BT)/10000+0.01,0.01)
))</f>
        <v>No</v>
      </c>
      <c r="J55" s="4" t="str">
        <f>IF(G55="No","No",
MROUND(_xlfn.XLOOKUP(B55,'Base stats'!B:B,'Base stats'!BE:BE)^0.25
/((_xlfn.XLOOKUP(B55,'Base stats'!B:B,'Base stats'!BL:BL))*10)*_xlfn.XLOOKUP(_xlfn.XLOOKUP(B55,'Base stats'!B:B,'Base stats'!E:E),Groups!A:A,Groups!Q:Q)*150 + 0.5 + _xlfn.XLOOKUP(B55,'Base stats'!B:B,'Base stats'!BW:BW),
0.05))</f>
        <v>No</v>
      </c>
      <c r="K55" s="3" t="str">
        <f>IF(Animals!X55="No","No",
IF(_xlfn.XLOOKUP(_xlfn.XLOOKUP(B55,'Base stats'!B:B,'Base stats'!E:E),Groups!A:A,Groups!BD:BD)=1,
MAX(MROUND(_xlfn.XLOOKUP(B55,'Base stats'!B:B,'Base stats'!BU:BU) * _xlfn.XLOOKUP(B55,'Base stats'!B:B,'Base stats'!BQ:BQ)^0.9 / 21 *_xlfn.XLOOKUP(B55,'Base stats'!B:B,'Base stats'!BX:BX),0.1),0.05),
MAX(MROUND(((MIN(10,_xlfn.XLOOKUP(B55,'Base stats'!B:B,'Base stats'!W:W)))^0.4*_xlfn.XLOOKUP(B55,'Base stats'!B:B,'Base stats'!BI:BI)^0.73)^0.6 *_xlfn.XLOOKUP(B55,'Base stats'!B:B,'Base stats'!BX:BX),0.1),0.05)
))</f>
        <v>No</v>
      </c>
      <c r="L55" s="11" t="str">
        <f>IF(K55="No","No",
MROUND(_xlfn.XLOOKUP(B55,'Base stats'!B:B,'Base stats'!BI:BI) * 0.01 *2 + 0.05, 0.05)
)</f>
        <v>No</v>
      </c>
      <c r="M55" s="5" t="str">
        <f>IF(K55="No","No",IF(_xlfn.XLOOKUP(_xlfn.XLOOKUP(B55,'Base stats'!B:B,'Base stats'!E:E),Groups!A:A,Groups!BD:BD)=1,"No",
MROUND(_xlfn.XLOOKUP(B55,'Base stats'!B:B,'Base stats'!BU:BU)/10000+0.01,0.01)
))</f>
        <v>No</v>
      </c>
      <c r="N55" s="4" t="str">
        <f>IF(K55="No","No",
MROUND(
  _xlfn.XLOOKUP(B55,'Base stats'!B:B,'Base stats'!BC:BC)^0.25
  / (_xlfn.XLOOKUP(B55,'Base stats'!B:B,'Base stats'!BM:BM) * 10)
  * _xlfn.XLOOKUP(
      _xlfn.XLOOKUP(B55,'Base stats'!B:B,'Base stats'!E:E),
      Groups!A:A,
      Groups!V:V
    ) * 150
  + MIN(12, _xlfn.XLOOKUP(B55,'Base stats'!B:B,'Base stats'!W:W))^(1/IF(_xlfn.XLOOKUP(_xlfn.XLOOKUP(B55,'Base stats'!B:B,'Base stats'!E:E),Groups!A:A,Groups!U:U)=1,100,10)) + 0.5 + _xlfn.XLOOKUP(B55,'Base stats'!B:B,'Base stats'!BW:BW),
0.05))</f>
        <v>No</v>
      </c>
      <c r="O55" s="3">
        <f>IF(Animals!AD55="No","No",
MAX(MROUND((MIN(10,_xlfn.XLOOKUP(B55,'Base stats'!B:B,'Base stats'!V:V)*IF(_xlfn.XLOOKUP(_xlfn.XLOOKUP(B55,'Base stats'!B:B,'Base stats'!E:E),Groups!A:A,Groups!O:O)=0,1,0.33))^0.4*_xlfn.XLOOKUP(B55,'Base stats'!B:B,'Base stats'!BJ:BJ)^0.73)^0.6 *_xlfn.XLOOKUP(B55,'Base stats'!B:B,'Base stats'!BX:BX),0.1),0.05)
)</f>
        <v>28</v>
      </c>
      <c r="P55" s="11">
        <f>IF(O55="No","No",
MROUND(_xlfn.XLOOKUP(B55,'Base stats'!B:B,'Base stats'!BJ:BJ) * 0.01 * 2 + 0.05, 0.05)
)</f>
        <v>16.25</v>
      </c>
      <c r="Q55" s="5">
        <f>IF(O55="No","No",
MROUND(_xlfn.XLOOKUP(B55,'Base stats'!B:B,'Base stats'!BV:BV)/10000+0.01,0.01)
)</f>
        <v>0.69000000000000006</v>
      </c>
      <c r="R55" s="4">
        <f>IF(O55="No","No",
MROUND(_xlfn.XLOOKUP(B55,'Base stats'!B:B,'Base stats'!BB:BB)^0.25
/((_xlfn.XLOOKUP(B55,'Base stats'!B:B,'Base stats'!BN:BN))*10)*_xlfn.XLOOKUP(_xlfn.XLOOKUP(B55,'Base stats'!B:B,'Base stats'!E:E),Groups!A:A,Groups!Z:Z)*150 + 0.5 + _xlfn.XLOOKUP(B55,'Base stats'!B:B,'Base stats'!BW:BW),
0.05))</f>
        <v>2.3000000000000003</v>
      </c>
      <c r="S55" s="3" t="str">
        <f>IF(Animals!AI55="No","No",
IF(_xlfn.XLOOKUP(B55,'Base stats'!B:B,'Base stats'!U:U)="No",
MAX(MROUND(_xlfn.XLOOKUP(B55,'Base stats'!B:B,'Base stats'!BT:BT) * _xlfn.XLOOKUP(B55,'Base stats'!B:B,'Base stats'!BP:BP)^0.9 / 21 * _xlfn.XLOOKUP(B55,'Base stats'!B:B,'Base stats'!BX:BX),0.1),0.05),
MAX(MROUND(((MIN(12,_xlfn.XLOOKUP(B55,'Base stats'!B:B,'Base stats'!U:U)))^0.4*_xlfn.XLOOKUP(B55,'Base stats'!B:B,'Base stats'!BH:BH)^0.73)^0.6 * _xlfn.XLOOKUP(B55,'Base stats'!B:B,'Base stats'!BX:BX),0.1),0.05)
))</f>
        <v>No</v>
      </c>
      <c r="T55" s="11" t="str">
        <f>IF(S55="No","No",
MROUND(_xlfn.XLOOKUP(B55,'Base stats'!B:B,'Base stats'!BH:BH) * 0.01 * 2 + 0.05, 0.05)
)</f>
        <v>No</v>
      </c>
      <c r="U55" s="5" t="str">
        <f>IF(S55="No","No",IF(_xlfn.XLOOKUP(B55,'Base stats'!B:B,'Base stats'!U:U)="No","No",
MROUND(_xlfn.XLOOKUP(B55,'Base stats'!B:B,'Base stats'!BT:BT)/10000+0.01,0.01)
))</f>
        <v>No</v>
      </c>
      <c r="V55" s="4" t="str">
        <f>IF(S55="No","No",
MROUND(_xlfn.XLOOKUP(B55,'Base stats'!B:B,'Base stats'!BF:BF)^0.25
/((_xlfn.XLOOKUP(B55,'Base stats'!B:B,'Base stats'!BO:BO))*10)*_xlfn.XLOOKUP(_xlfn.XLOOKUP(B55,'Base stats'!B:B,'Base stats'!E:E),Groups!A:A,Groups!AE:AE)*150 + 0.5 + _xlfn.XLOOKUP(B55,'Base stats'!B:B,'Base stats'!BW:BW),
0.05))</f>
        <v>No</v>
      </c>
      <c r="W55" s="8">
        <f>MROUND(_xlfn.XLOOKUP(_xlfn.XLOOKUP(B55,'Base stats'!B:B,'Base stats'!E:E),Groups!A:A,Groups!BG:BG)*_xlfn.XLOOKUP(B55,'Base stats'!B:B,'Base stats'!C:C)^-0.165,0.05)</f>
        <v>0.45</v>
      </c>
      <c r="X55" s="1">
        <f>MROUND(_xlfn.XLOOKUP(_xlfn.XLOOKUP(B55,'Base stats'!B:B,'Base stats'!E:E),Groups!A:A,Groups!BH:BH)*_xlfn.XLOOKUP(B55,'Base stats'!B:B,'Base stats'!C:C)^0.165,0.05)</f>
        <v>0.45</v>
      </c>
      <c r="Y55" s="8">
        <f>MROUND(_xlfn.XLOOKUP(_xlfn.XLOOKUP(B55,'Base stats'!B:B,'Base stats'!E:E),Groups!A:A,Groups!BI:BI)*_xlfn.XLOOKUP(B55,'Base stats'!B:B,'Base stats'!C:C)^0.165,0.05)</f>
        <v>0.05</v>
      </c>
      <c r="Z55" s="18">
        <f>MROUND(_xlfn.XLOOKUP(B55,'Base stats'!B:B,'Base stats'!AQ:AQ)*_xlfn.XLOOKUP(_xlfn.XLOOKUP(B55,'Base stats'!B:B,'Base stats'!E:E),Groups!A:A,Groups!H:H)/1000,IF((_xlfn.XLOOKUP(B55,'Base stats'!B:B,'Base stats'!AQ:AQ)*_xlfn.XLOOKUP(_xlfn.XLOOKUP(B55,'Base stats'!B:B,'Base stats'!E:E),Groups!A:A,Groups!H:H)/1000)&gt;1,0.05,0.01))</f>
        <v>0.12</v>
      </c>
      <c r="AA55" s="18">
        <f>MROUND((1/2)*(_xlfn.XLOOKUP(_xlfn.XLOOKUP(B55,'Base stats'!B:B,'Base stats'!E:E),Groups!A:A,Groups!H:H)*_xlfn.XLOOKUP(_xlfn.XLOOKUP(B55,'Base stats'!B:B,'Base stats'!E:E),Groups!A:A,Groups!I:I))*_xlfn.XLOOKUP(B55,'Base stats'!B:B,'Base stats'!AQ:AQ)*0.01,0.05)</f>
        <v>0.55000000000000004</v>
      </c>
      <c r="AB55" s="18">
        <f>MROUND(250*(Animals!AO55+Animals!AP55),25)</f>
        <v>950</v>
      </c>
      <c r="AC55" s="18" t="str">
        <f>_xlfn.XLOOKUP(_xlfn.XLOOKUP(B55,'Base stats'!B:B,'Base stats'!E:E),Groups!A:A,Groups!BJ:BJ)</f>
        <v>Quadruped</v>
      </c>
    </row>
    <row r="56" spans="1:29" s="16" customFormat="1" ht="16.5" thickTop="1" thickBot="1" x14ac:dyDescent="0.3">
      <c r="A56" s="16" t="str">
        <f>Animals!A56</f>
        <v>Wolf</v>
      </c>
      <c r="B56" s="6" t="str">
        <f>Animals!B56</f>
        <v>Canis lupus lupus</v>
      </c>
      <c r="C56" s="1" t="str">
        <f>Animals!C56</f>
        <v>&lt;li&gt;Wolf_Timber&lt;/li&gt;</v>
      </c>
      <c r="D56" s="47">
        <f>MIN(MIN(6,_xlfn.XLOOKUP(A56,Animals!A:A,Animals!AO:AO))*20,MAX(MROUND(_xlfn.XLOOKUP(B56,'Base stats'!B:B,'Base stats'!BS:BS) * (_xlfn.XLOOKUP(B56,'Base stats'!B:B,'Base stats'!AO:AO)*5%)^0.9 / 21,0.1),0.05))</f>
        <v>1.4000000000000001</v>
      </c>
      <c r="E56" s="11">
        <f>MROUND(_xlfn.XLOOKUP(B56,'Base stats'!B:B,'Base stats'!BG:BG) * 0.01 * 2 + 0.01, 0.05)</f>
        <v>1.1500000000000001</v>
      </c>
      <c r="F56" s="7">
        <f>MROUND(_xlfn.XLOOKUP(B56,'Base stats'!B:B,'Base stats'!BD:BD)^0.25 / (_xlfn.XLOOKUP(B56,'Base stats'!B:B,'Base stats'!BK:BK) * 10) * 150 + 0.5 + _xlfn.XLOOKUP(B56,'Base stats'!B:B,'Base stats'!BW:BW), 0.05)</f>
        <v>1.8</v>
      </c>
      <c r="G56" s="3" t="str">
        <f>IF(Animals!S56="No","No",
IF(_xlfn.XLOOKUP(B56,'Base stats'!B:B,'Base stats'!U:U)="No",
MAX(MROUND(_xlfn.XLOOKUP(B56,'Base stats'!B:B,'Base stats'!BT:BT) * _xlfn.XLOOKUP(B56,'Base stats'!B:B,'Base stats'!BP:BP)^0.9 / 21 * _xlfn.XLOOKUP(B56,'Base stats'!B:B,'Base stats'!BX:BX),0.1),0.05),
MAX(MROUND(((MIN(10,_xlfn.XLOOKUP(B56,'Base stats'!B:B,'Base stats'!U:U)))^0.4*_xlfn.XLOOKUP(B56,'Base stats'!B:B,'Base stats'!BH:BH)^0.73)^0.6 * _xlfn.XLOOKUP(B56,'Base stats'!B:B,'Base stats'!BX:BX),0.1),0.05)
))</f>
        <v>No</v>
      </c>
      <c r="H56" s="11" t="str">
        <f>IF(G56="No","No",
MROUND(_xlfn.XLOOKUP(B56,'Base stats'!B:B,'Base stats'!BH:BH) * 0.01 * 2 + 0.05, 0.05)
)</f>
        <v>No</v>
      </c>
      <c r="I56" s="11" t="str">
        <f>IF(G56="No","No",IF(_xlfn.XLOOKUP(B56,'Base stats'!B:B,'Base stats'!U:U)="No","No",
MROUND(_xlfn.XLOOKUP(B56,'Base stats'!B:B,'Base stats'!BT:BT)/10000+0.01,0.01)
))</f>
        <v>No</v>
      </c>
      <c r="J56" s="4" t="str">
        <f>IF(G56="No","No",
MROUND(_xlfn.XLOOKUP(B56,'Base stats'!B:B,'Base stats'!BE:BE)^0.25
/((_xlfn.XLOOKUP(B56,'Base stats'!B:B,'Base stats'!BL:BL))*10)*_xlfn.XLOOKUP(_xlfn.XLOOKUP(B56,'Base stats'!B:B,'Base stats'!E:E),Groups!A:A,Groups!Q:Q)*150 + 0.5 + _xlfn.XLOOKUP(B56,'Base stats'!B:B,'Base stats'!BW:BW),
0.05))</f>
        <v>No</v>
      </c>
      <c r="K56" s="3" t="str">
        <f>IF(Animals!X56="No","No",
IF(_xlfn.XLOOKUP(_xlfn.XLOOKUP(B56,'Base stats'!B:B,'Base stats'!E:E),Groups!A:A,Groups!BD:BD)=1,
MAX(MROUND(_xlfn.XLOOKUP(B56,'Base stats'!B:B,'Base stats'!BU:BU) * _xlfn.XLOOKUP(B56,'Base stats'!B:B,'Base stats'!BQ:BQ)^0.9 / 21 *_xlfn.XLOOKUP(B56,'Base stats'!B:B,'Base stats'!BX:BX),0.1),0.05),
MAX(MROUND(((MIN(10,_xlfn.XLOOKUP(B56,'Base stats'!B:B,'Base stats'!W:W)))^0.4*_xlfn.XLOOKUP(B56,'Base stats'!B:B,'Base stats'!BI:BI)^0.73)^0.6 *_xlfn.XLOOKUP(B56,'Base stats'!B:B,'Base stats'!BX:BX),0.1),0.05)
))</f>
        <v>No</v>
      </c>
      <c r="L56" s="11" t="str">
        <f>IF(K56="No","No",
MROUND(_xlfn.XLOOKUP(B56,'Base stats'!B:B,'Base stats'!BI:BI) * 0.01 *2 + 0.05, 0.05)
)</f>
        <v>No</v>
      </c>
      <c r="M56" s="5" t="str">
        <f>IF(K56="No","No",IF(_xlfn.XLOOKUP(_xlfn.XLOOKUP(B56,'Base stats'!B:B,'Base stats'!E:E),Groups!A:A,Groups!BD:BD)=1,"No",
MROUND(_xlfn.XLOOKUP(B56,'Base stats'!B:B,'Base stats'!BU:BU)/10000+0.01,0.01)
))</f>
        <v>No</v>
      </c>
      <c r="N56" s="4" t="str">
        <f>IF(K56="No","No",
MROUND(
  _xlfn.XLOOKUP(B56,'Base stats'!B:B,'Base stats'!BC:BC)^0.25
  / (_xlfn.XLOOKUP(B56,'Base stats'!B:B,'Base stats'!BM:BM) * 10)
  * _xlfn.XLOOKUP(
      _xlfn.XLOOKUP(B56,'Base stats'!B:B,'Base stats'!E:E),
      Groups!A:A,
      Groups!V:V
    ) * 150
  + MIN(12, _xlfn.XLOOKUP(B56,'Base stats'!B:B,'Base stats'!W:W))^(1/IF(_xlfn.XLOOKUP(_xlfn.XLOOKUP(B56,'Base stats'!B:B,'Base stats'!E:E),Groups!A:A,Groups!U:U)=1,100,10)) + 0.5 + _xlfn.XLOOKUP(B56,'Base stats'!B:B,'Base stats'!BW:BW),
0.05))</f>
        <v>No</v>
      </c>
      <c r="O56" s="3">
        <f>IF(Animals!AD56="No","No",
MAX(MROUND((MIN(10,_xlfn.XLOOKUP(B56,'Base stats'!B:B,'Base stats'!V:V)*IF(_xlfn.XLOOKUP(_xlfn.XLOOKUP(B56,'Base stats'!B:B,'Base stats'!E:E),Groups!A:A,Groups!O:O)=0,1,0.33))^0.4*_xlfn.XLOOKUP(B56,'Base stats'!B:B,'Base stats'!BJ:BJ)^0.73)^0.6 *_xlfn.XLOOKUP(B56,'Base stats'!B:B,'Base stats'!BX:BX),0.1),0.05)
)</f>
        <v>13.3</v>
      </c>
      <c r="P56" s="11">
        <f>IF(O56="No","No",
MROUND(_xlfn.XLOOKUP(B56,'Base stats'!B:B,'Base stats'!BJ:BJ) * 0.01 * 2 + 0.05, 0.05)
)</f>
        <v>3.9000000000000004</v>
      </c>
      <c r="Q56" s="5">
        <f>IF(O56="No","No",
MROUND(_xlfn.XLOOKUP(B56,'Base stats'!B:B,'Base stats'!BV:BV)/10000+0.01,0.01)
)</f>
        <v>0.3</v>
      </c>
      <c r="R56" s="4">
        <f>IF(O56="No","No",
MROUND(_xlfn.XLOOKUP(B56,'Base stats'!B:B,'Base stats'!BB:BB)^0.25
/((_xlfn.XLOOKUP(B56,'Base stats'!B:B,'Base stats'!BN:BN))*10)*_xlfn.XLOOKUP(_xlfn.XLOOKUP(B56,'Base stats'!B:B,'Base stats'!E:E),Groups!A:A,Groups!Z:Z)*150 + 0.5 + _xlfn.XLOOKUP(B56,'Base stats'!B:B,'Base stats'!BW:BW),
0.05))</f>
        <v>2.15</v>
      </c>
      <c r="S56" s="3" t="str">
        <f>IF(Animals!AI56="No","No",
IF(_xlfn.XLOOKUP(B56,'Base stats'!B:B,'Base stats'!U:U)="No",
MAX(MROUND(_xlfn.XLOOKUP(B56,'Base stats'!B:B,'Base stats'!BT:BT) * _xlfn.XLOOKUP(B56,'Base stats'!B:B,'Base stats'!BP:BP)^0.9 / 21 * _xlfn.XLOOKUP(B56,'Base stats'!B:B,'Base stats'!BX:BX),0.1),0.05),
MAX(MROUND(((MIN(12,_xlfn.XLOOKUP(B56,'Base stats'!B:B,'Base stats'!U:U)))^0.4*_xlfn.XLOOKUP(B56,'Base stats'!B:B,'Base stats'!BH:BH)^0.73)^0.6 * _xlfn.XLOOKUP(B56,'Base stats'!B:B,'Base stats'!BX:BX),0.1),0.05)
))</f>
        <v>No</v>
      </c>
      <c r="T56" s="11" t="str">
        <f>IF(S56="No","No",
MROUND(_xlfn.XLOOKUP(B56,'Base stats'!B:B,'Base stats'!BH:BH) * 0.01 * 2 + 0.05, 0.05)
)</f>
        <v>No</v>
      </c>
      <c r="U56" s="5" t="str">
        <f>IF(S56="No","No",IF(_xlfn.XLOOKUP(B56,'Base stats'!B:B,'Base stats'!U:U)="No","No",
MROUND(_xlfn.XLOOKUP(B56,'Base stats'!B:B,'Base stats'!BT:BT)/10000+0.01,0.01)
))</f>
        <v>No</v>
      </c>
      <c r="V56" s="4" t="str">
        <f>IF(S56="No","No",
MROUND(_xlfn.XLOOKUP(B56,'Base stats'!B:B,'Base stats'!BF:BF)^0.25
/((_xlfn.XLOOKUP(B56,'Base stats'!B:B,'Base stats'!BO:BO))*10)*_xlfn.XLOOKUP(_xlfn.XLOOKUP(B56,'Base stats'!B:B,'Base stats'!E:E),Groups!A:A,Groups!AE:AE)*150 + 0.5 + _xlfn.XLOOKUP(B56,'Base stats'!B:B,'Base stats'!BW:BW),
0.05))</f>
        <v>No</v>
      </c>
      <c r="W56" s="8">
        <f>MROUND(_xlfn.XLOOKUP(_xlfn.XLOOKUP(B56,'Base stats'!B:B,'Base stats'!E:E),Groups!A:A,Groups!BG:BG)*_xlfn.XLOOKUP(B56,'Base stats'!B:B,'Base stats'!C:C)^-0.165,0.05)</f>
        <v>0.55000000000000004</v>
      </c>
      <c r="X56" s="1">
        <f>MROUND(_xlfn.XLOOKUP(_xlfn.XLOOKUP(B56,'Base stats'!B:B,'Base stats'!E:E),Groups!A:A,Groups!BH:BH)*_xlfn.XLOOKUP(B56,'Base stats'!B:B,'Base stats'!C:C)^0.165,0.05)</f>
        <v>0.35000000000000003</v>
      </c>
      <c r="Y56" s="8">
        <f>MROUND(_xlfn.XLOOKUP(_xlfn.XLOOKUP(B56,'Base stats'!B:B,'Base stats'!E:E),Groups!A:A,Groups!BI:BI)*_xlfn.XLOOKUP(B56,'Base stats'!B:B,'Base stats'!C:C)^0.165,0.05)</f>
        <v>0.05</v>
      </c>
      <c r="Z56" s="18">
        <f>MROUND(_xlfn.XLOOKUP(B56,'Base stats'!B:B,'Base stats'!AQ:AQ)*_xlfn.XLOOKUP(_xlfn.XLOOKUP(B56,'Base stats'!B:B,'Base stats'!E:E),Groups!A:A,Groups!H:H)/1000,IF((_xlfn.XLOOKUP(B56,'Base stats'!B:B,'Base stats'!AQ:AQ)*_xlfn.XLOOKUP(_xlfn.XLOOKUP(B56,'Base stats'!B:B,'Base stats'!E:E),Groups!A:A,Groups!H:H)/1000)&gt;1,0.05,0.01))</f>
        <v>0.08</v>
      </c>
      <c r="AA56" s="18">
        <f>MROUND((1/2)*(_xlfn.XLOOKUP(_xlfn.XLOOKUP(B56,'Base stats'!B:B,'Base stats'!E:E),Groups!A:A,Groups!H:H)*_xlfn.XLOOKUP(_xlfn.XLOOKUP(B56,'Base stats'!B:B,'Base stats'!E:E),Groups!A:A,Groups!I:I))*_xlfn.XLOOKUP(B56,'Base stats'!B:B,'Base stats'!AQ:AQ)*0.01,0.05)</f>
        <v>0.30000000000000004</v>
      </c>
      <c r="AB56" s="18">
        <f>MROUND(250*(Animals!AO56+Animals!AP56),25)</f>
        <v>450</v>
      </c>
      <c r="AC56" s="18" t="str">
        <f>_xlfn.XLOOKUP(_xlfn.XLOOKUP(B56,'Base stats'!B:B,'Base stats'!E:E),Groups!A:A,Groups!BJ:BJ)</f>
        <v>Quadruped</v>
      </c>
    </row>
    <row r="57" spans="1:29" ht="16.5" thickTop="1" thickBot="1" x14ac:dyDescent="0.3">
      <c r="A57" s="16" t="str">
        <f>Animals!A57</f>
        <v>Arctic Wolf</v>
      </c>
      <c r="B57" s="6" t="str">
        <f>Animals!B57</f>
        <v>Canis lupus albus</v>
      </c>
      <c r="C57" s="1" t="str">
        <f>Animals!C57</f>
        <v xml:space="preserve">&lt;li&gt;Wolf_Arctic&lt;/li&gt; </v>
      </c>
      <c r="D57" s="47">
        <f>MIN(MIN(6,_xlfn.XLOOKUP(A57,Animals!A:A,Animals!AO:AO))*20,MAX(MROUND(_xlfn.XLOOKUP(B57,'Base stats'!B:B,'Base stats'!BS:BS) * (_xlfn.XLOOKUP(B57,'Base stats'!B:B,'Base stats'!AO:AO)*5%)^0.9 / 21,0.1),0.05))</f>
        <v>1.4000000000000001</v>
      </c>
      <c r="E57" s="11">
        <f>MROUND(_xlfn.XLOOKUP(B57,'Base stats'!B:B,'Base stats'!BG:BG) * 0.01 * 2 + 0.01, 0.05)</f>
        <v>1.1500000000000001</v>
      </c>
      <c r="F57" s="7">
        <f>MROUND(_xlfn.XLOOKUP(B57,'Base stats'!B:B,'Base stats'!BD:BD)^0.25 / (_xlfn.XLOOKUP(B57,'Base stats'!B:B,'Base stats'!BK:BK) * 10) * 150 + 0.5 + _xlfn.XLOOKUP(B57,'Base stats'!B:B,'Base stats'!BW:BW), 0.05)</f>
        <v>1.8</v>
      </c>
      <c r="G57" s="3" t="str">
        <f>IF(Animals!S57="No","No",
IF(_xlfn.XLOOKUP(B57,'Base stats'!B:B,'Base stats'!U:U)="No",
MAX(MROUND(_xlfn.XLOOKUP(B57,'Base stats'!B:B,'Base stats'!BT:BT) * _xlfn.XLOOKUP(B57,'Base stats'!B:B,'Base stats'!BP:BP)^0.9 / 21 * _xlfn.XLOOKUP(B57,'Base stats'!B:B,'Base stats'!BX:BX),0.1),0.05),
MAX(MROUND(((MIN(10,_xlfn.XLOOKUP(B57,'Base stats'!B:B,'Base stats'!U:U)))^0.4*_xlfn.XLOOKUP(B57,'Base stats'!B:B,'Base stats'!BH:BH)^0.73)^0.6 * _xlfn.XLOOKUP(B57,'Base stats'!B:B,'Base stats'!BX:BX),0.1),0.05)
))</f>
        <v>No</v>
      </c>
      <c r="H57" s="11" t="str">
        <f>IF(G57="No","No",
MROUND(_xlfn.XLOOKUP(B57,'Base stats'!B:B,'Base stats'!BH:BH) * 0.01 * 2 + 0.05, 0.05)
)</f>
        <v>No</v>
      </c>
      <c r="I57" s="11" t="str">
        <f>IF(G57="No","No",IF(_xlfn.XLOOKUP(B57,'Base stats'!B:B,'Base stats'!U:U)="No","No",
MROUND(_xlfn.XLOOKUP(B57,'Base stats'!B:B,'Base stats'!BT:BT)/10000+0.01,0.01)
))</f>
        <v>No</v>
      </c>
      <c r="J57" s="4" t="str">
        <f>IF(G57="No","No",
MROUND(_xlfn.XLOOKUP(B57,'Base stats'!B:B,'Base stats'!BE:BE)^0.25
/((_xlfn.XLOOKUP(B57,'Base stats'!B:B,'Base stats'!BL:BL))*10)*_xlfn.XLOOKUP(_xlfn.XLOOKUP(B57,'Base stats'!B:B,'Base stats'!E:E),Groups!A:A,Groups!Q:Q)*150 + 0.5 + _xlfn.XLOOKUP(B57,'Base stats'!B:B,'Base stats'!BW:BW),
0.05))</f>
        <v>No</v>
      </c>
      <c r="K57" s="3" t="str">
        <f>IF(Animals!X57="No","No",
IF(_xlfn.XLOOKUP(_xlfn.XLOOKUP(B57,'Base stats'!B:B,'Base stats'!E:E),Groups!A:A,Groups!BD:BD)=1,
MAX(MROUND(_xlfn.XLOOKUP(B57,'Base stats'!B:B,'Base stats'!BU:BU) * _xlfn.XLOOKUP(B57,'Base stats'!B:B,'Base stats'!BQ:BQ)^0.9 / 21 *_xlfn.XLOOKUP(B57,'Base stats'!B:B,'Base stats'!BX:BX),0.1),0.05),
MAX(MROUND(((MIN(10,_xlfn.XLOOKUP(B57,'Base stats'!B:B,'Base stats'!W:W)))^0.4*_xlfn.XLOOKUP(B57,'Base stats'!B:B,'Base stats'!BI:BI)^0.73)^0.6 *_xlfn.XLOOKUP(B57,'Base stats'!B:B,'Base stats'!BX:BX),0.1),0.05)
))</f>
        <v>No</v>
      </c>
      <c r="L57" s="11" t="str">
        <f>IF(K57="No","No",
MROUND(_xlfn.XLOOKUP(B57,'Base stats'!B:B,'Base stats'!BI:BI) * 0.01 *2 + 0.05, 0.05)
)</f>
        <v>No</v>
      </c>
      <c r="M57" s="5" t="str">
        <f>IF(K57="No","No",IF(_xlfn.XLOOKUP(_xlfn.XLOOKUP(B57,'Base stats'!B:B,'Base stats'!E:E),Groups!A:A,Groups!BD:BD)=1,"No",
MROUND(_xlfn.XLOOKUP(B57,'Base stats'!B:B,'Base stats'!BU:BU)/10000+0.01,0.01)
))</f>
        <v>No</v>
      </c>
      <c r="N57" s="4" t="str">
        <f>IF(K57="No","No",
MROUND(
  _xlfn.XLOOKUP(B57,'Base stats'!B:B,'Base stats'!BC:BC)^0.25
  / (_xlfn.XLOOKUP(B57,'Base stats'!B:B,'Base stats'!BM:BM) * 10)
  * _xlfn.XLOOKUP(
      _xlfn.XLOOKUP(B57,'Base stats'!B:B,'Base stats'!E:E),
      Groups!A:A,
      Groups!V:V
    ) * 150
  + MIN(12, _xlfn.XLOOKUP(B57,'Base stats'!B:B,'Base stats'!W:W))^(1/IF(_xlfn.XLOOKUP(_xlfn.XLOOKUP(B57,'Base stats'!B:B,'Base stats'!E:E),Groups!A:A,Groups!U:U)=1,100,10)) + 0.5 + _xlfn.XLOOKUP(B57,'Base stats'!B:B,'Base stats'!BW:BW),
0.05))</f>
        <v>No</v>
      </c>
      <c r="O57" s="3">
        <f>IF(Animals!AD57="No","No",
MAX(MROUND((MIN(10,_xlfn.XLOOKUP(B57,'Base stats'!B:B,'Base stats'!V:V)*IF(_xlfn.XLOOKUP(_xlfn.XLOOKUP(B57,'Base stats'!B:B,'Base stats'!E:E),Groups!A:A,Groups!O:O)=0,1,0.33))^0.4*_xlfn.XLOOKUP(B57,'Base stats'!B:B,'Base stats'!BJ:BJ)^0.73)^0.6 *_xlfn.XLOOKUP(B57,'Base stats'!B:B,'Base stats'!BX:BX),0.1),0.05)
)</f>
        <v>13.3</v>
      </c>
      <c r="P57" s="11">
        <f>IF(O57="No","No",
MROUND(_xlfn.XLOOKUP(B57,'Base stats'!B:B,'Base stats'!BJ:BJ) * 0.01 * 2 + 0.05, 0.05)
)</f>
        <v>3.9000000000000004</v>
      </c>
      <c r="Q57" s="5">
        <f>IF(O57="No","No",
MROUND(_xlfn.XLOOKUP(B57,'Base stats'!B:B,'Base stats'!BV:BV)/10000+0.01,0.01)
)</f>
        <v>0.3</v>
      </c>
      <c r="R57" s="4">
        <f>IF(O57="No","No",
MROUND(_xlfn.XLOOKUP(B57,'Base stats'!B:B,'Base stats'!BB:BB)^0.25
/((_xlfn.XLOOKUP(B57,'Base stats'!B:B,'Base stats'!BN:BN))*10)*_xlfn.XLOOKUP(_xlfn.XLOOKUP(B57,'Base stats'!B:B,'Base stats'!E:E),Groups!A:A,Groups!Z:Z)*150 + 0.5 + _xlfn.XLOOKUP(B57,'Base stats'!B:B,'Base stats'!BW:BW),
0.05))</f>
        <v>2.15</v>
      </c>
      <c r="S57" s="3" t="str">
        <f>IF(Animals!AI57="No","No",
IF(_xlfn.XLOOKUP(B57,'Base stats'!B:B,'Base stats'!U:U)="No",
MAX(MROUND(_xlfn.XLOOKUP(B57,'Base stats'!B:B,'Base stats'!BT:BT) * _xlfn.XLOOKUP(B57,'Base stats'!B:B,'Base stats'!BP:BP)^0.9 / 21 * _xlfn.XLOOKUP(B57,'Base stats'!B:B,'Base stats'!BX:BX),0.1),0.05),
MAX(MROUND(((MIN(12,_xlfn.XLOOKUP(B57,'Base stats'!B:B,'Base stats'!U:U)))^0.4*_xlfn.XLOOKUP(B57,'Base stats'!B:B,'Base stats'!BH:BH)^0.73)^0.6 * _xlfn.XLOOKUP(B57,'Base stats'!B:B,'Base stats'!BX:BX),0.1),0.05)
))</f>
        <v>No</v>
      </c>
      <c r="T57" s="11" t="str">
        <f>IF(S57="No","No",
MROUND(_xlfn.XLOOKUP(B57,'Base stats'!B:B,'Base stats'!BH:BH) * 0.01 * 2 + 0.05, 0.05)
)</f>
        <v>No</v>
      </c>
      <c r="U57" s="5" t="str">
        <f>IF(S57="No","No",IF(_xlfn.XLOOKUP(B57,'Base stats'!B:B,'Base stats'!U:U)="No","No",
MROUND(_xlfn.XLOOKUP(B57,'Base stats'!B:B,'Base stats'!BT:BT)/10000+0.01,0.01)
))</f>
        <v>No</v>
      </c>
      <c r="V57" s="4" t="str">
        <f>IF(S57="No","No",
MROUND(_xlfn.XLOOKUP(B57,'Base stats'!B:B,'Base stats'!BF:BF)^0.25
/((_xlfn.XLOOKUP(B57,'Base stats'!B:B,'Base stats'!BO:BO))*10)*_xlfn.XLOOKUP(_xlfn.XLOOKUP(B57,'Base stats'!B:B,'Base stats'!E:E),Groups!A:A,Groups!AE:AE)*150 + 0.5 + _xlfn.XLOOKUP(B57,'Base stats'!B:B,'Base stats'!BW:BW),
0.05))</f>
        <v>No</v>
      </c>
      <c r="W57" s="8">
        <f>MROUND(_xlfn.XLOOKUP(_xlfn.XLOOKUP(B57,'Base stats'!B:B,'Base stats'!E:E),Groups!A:A,Groups!BG:BG)*_xlfn.XLOOKUP(B57,'Base stats'!B:B,'Base stats'!C:C)^-0.165,0.05)</f>
        <v>0.55000000000000004</v>
      </c>
      <c r="X57" s="1">
        <f>MROUND(_xlfn.XLOOKUP(_xlfn.XLOOKUP(B57,'Base stats'!B:B,'Base stats'!E:E),Groups!A:A,Groups!BH:BH)*_xlfn.XLOOKUP(B57,'Base stats'!B:B,'Base stats'!C:C)^0.165,0.05)</f>
        <v>0.35000000000000003</v>
      </c>
      <c r="Y57" s="8">
        <f>MROUND(_xlfn.XLOOKUP(_xlfn.XLOOKUP(B57,'Base stats'!B:B,'Base stats'!E:E),Groups!A:A,Groups!BI:BI)*_xlfn.XLOOKUP(B57,'Base stats'!B:B,'Base stats'!C:C)^0.165,0.05)</f>
        <v>0.05</v>
      </c>
      <c r="Z57" s="18">
        <f>MROUND(_xlfn.XLOOKUP(B57,'Base stats'!B:B,'Base stats'!AQ:AQ)*_xlfn.XLOOKUP(_xlfn.XLOOKUP(B57,'Base stats'!B:B,'Base stats'!E:E),Groups!A:A,Groups!H:H)/1000,IF((_xlfn.XLOOKUP(B57,'Base stats'!B:B,'Base stats'!AQ:AQ)*_xlfn.XLOOKUP(_xlfn.XLOOKUP(B57,'Base stats'!B:B,'Base stats'!E:E),Groups!A:A,Groups!H:H)/1000)&gt;1,0.05,0.01))</f>
        <v>0.08</v>
      </c>
      <c r="AA57" s="18">
        <f>MROUND((1/2)*(_xlfn.XLOOKUP(_xlfn.XLOOKUP(B57,'Base stats'!B:B,'Base stats'!E:E),Groups!A:A,Groups!H:H)*_xlfn.XLOOKUP(_xlfn.XLOOKUP(B57,'Base stats'!B:B,'Base stats'!E:E),Groups!A:A,Groups!I:I))*_xlfn.XLOOKUP(B57,'Base stats'!B:B,'Base stats'!AQ:AQ)*0.01,0.05)</f>
        <v>0.30000000000000004</v>
      </c>
      <c r="AB57" s="18">
        <f>MROUND(250*(Animals!AO57+Animals!AP57),25)</f>
        <v>450</v>
      </c>
      <c r="AC57" s="18" t="str">
        <f>_xlfn.XLOOKUP(_xlfn.XLOOKUP(B57,'Base stats'!B:B,'Base stats'!E:E),Groups!A:A,Groups!BJ:BJ)</f>
        <v>Quadruped</v>
      </c>
    </row>
    <row r="58" spans="1:29" ht="16.5" thickTop="1" thickBot="1" x14ac:dyDescent="0.3">
      <c r="A58" s="16" t="str">
        <f>Animals!A58</f>
        <v>Red fox</v>
      </c>
      <c r="B58" s="6" t="str">
        <f>Animals!B58</f>
        <v>Vulpes vulpes</v>
      </c>
      <c r="C58" s="1" t="str">
        <f>Animals!C58</f>
        <v>&lt;li&gt;Fox_Red&lt;/li&gt;</v>
      </c>
      <c r="D58" s="47">
        <f>MIN(MIN(6,_xlfn.XLOOKUP(A58,Animals!A:A,Animals!AO:AO))*20,MAX(MROUND(_xlfn.XLOOKUP(B58,'Base stats'!B:B,'Base stats'!BS:BS) * (_xlfn.XLOOKUP(B58,'Base stats'!B:B,'Base stats'!AO:AO)*5%)^0.9 / 21,0.1),0.05))</f>
        <v>0.4</v>
      </c>
      <c r="E58" s="11">
        <f>MROUND(_xlfn.XLOOKUP(B58,'Base stats'!B:B,'Base stats'!BG:BG) * 0.01 * 2 + 0.01, 0.05)</f>
        <v>0.25</v>
      </c>
      <c r="F58" s="7">
        <f>MROUND(_xlfn.XLOOKUP(B58,'Base stats'!B:B,'Base stats'!BD:BD)^0.25 / (_xlfn.XLOOKUP(B58,'Base stats'!B:B,'Base stats'!BK:BK) * 10) * 150 + 0.5 + _xlfn.XLOOKUP(B58,'Base stats'!B:B,'Base stats'!BW:BW), 0.05)</f>
        <v>1.5</v>
      </c>
      <c r="G58" s="3" t="str">
        <f>IF(Animals!S58="No","No",
IF(_xlfn.XLOOKUP(B58,'Base stats'!B:B,'Base stats'!U:U)="No",
MAX(MROUND(_xlfn.XLOOKUP(B58,'Base stats'!B:B,'Base stats'!BT:BT) * _xlfn.XLOOKUP(B58,'Base stats'!B:B,'Base stats'!BP:BP)^0.9 / 21 * _xlfn.XLOOKUP(B58,'Base stats'!B:B,'Base stats'!BX:BX),0.1),0.05),
MAX(MROUND(((MIN(10,_xlfn.XLOOKUP(B58,'Base stats'!B:B,'Base stats'!U:U)))^0.4*_xlfn.XLOOKUP(B58,'Base stats'!B:B,'Base stats'!BH:BH)^0.73)^0.6 * _xlfn.XLOOKUP(B58,'Base stats'!B:B,'Base stats'!BX:BX),0.1),0.05)
))</f>
        <v>No</v>
      </c>
      <c r="H58" s="11" t="str">
        <f>IF(G58="No","No",
MROUND(_xlfn.XLOOKUP(B58,'Base stats'!B:B,'Base stats'!BH:BH) * 0.01 * 2 + 0.05, 0.05)
)</f>
        <v>No</v>
      </c>
      <c r="I58" s="11" t="str">
        <f>IF(G58="No","No",IF(_xlfn.XLOOKUP(B58,'Base stats'!B:B,'Base stats'!U:U)="No","No",
MROUND(_xlfn.XLOOKUP(B58,'Base stats'!B:B,'Base stats'!BT:BT)/10000+0.01,0.01)
))</f>
        <v>No</v>
      </c>
      <c r="J58" s="4" t="str">
        <f>IF(G58="No","No",
MROUND(_xlfn.XLOOKUP(B58,'Base stats'!B:B,'Base stats'!BE:BE)^0.25
/((_xlfn.XLOOKUP(B58,'Base stats'!B:B,'Base stats'!BL:BL))*10)*_xlfn.XLOOKUP(_xlfn.XLOOKUP(B58,'Base stats'!B:B,'Base stats'!E:E),Groups!A:A,Groups!Q:Q)*150 + 0.5 + _xlfn.XLOOKUP(B58,'Base stats'!B:B,'Base stats'!BW:BW),
0.05))</f>
        <v>No</v>
      </c>
      <c r="K58" s="3" t="str">
        <f>IF(Animals!X58="No","No",
IF(_xlfn.XLOOKUP(_xlfn.XLOOKUP(B58,'Base stats'!B:B,'Base stats'!E:E),Groups!A:A,Groups!BD:BD)=1,
MAX(MROUND(_xlfn.XLOOKUP(B58,'Base stats'!B:B,'Base stats'!BU:BU) * _xlfn.XLOOKUP(B58,'Base stats'!B:B,'Base stats'!BQ:BQ)^0.9 / 21 *_xlfn.XLOOKUP(B58,'Base stats'!B:B,'Base stats'!BX:BX),0.1),0.05),
MAX(MROUND(((MIN(10,_xlfn.XLOOKUP(B58,'Base stats'!B:B,'Base stats'!W:W)))^0.4*_xlfn.XLOOKUP(B58,'Base stats'!B:B,'Base stats'!BI:BI)^0.73)^0.6 *_xlfn.XLOOKUP(B58,'Base stats'!B:B,'Base stats'!BX:BX),0.1),0.05)
))</f>
        <v>No</v>
      </c>
      <c r="L58" s="11" t="str">
        <f>IF(K58="No","No",
MROUND(_xlfn.XLOOKUP(B58,'Base stats'!B:B,'Base stats'!BI:BI) * 0.01 *2 + 0.05, 0.05)
)</f>
        <v>No</v>
      </c>
      <c r="M58" s="5" t="str">
        <f>IF(K58="No","No",IF(_xlfn.XLOOKUP(_xlfn.XLOOKUP(B58,'Base stats'!B:B,'Base stats'!E:E),Groups!A:A,Groups!BD:BD)=1,"No",
MROUND(_xlfn.XLOOKUP(B58,'Base stats'!B:B,'Base stats'!BU:BU)/10000+0.01,0.01)
))</f>
        <v>No</v>
      </c>
      <c r="N58" s="4" t="str">
        <f>IF(K58="No","No",
MROUND(
  _xlfn.XLOOKUP(B58,'Base stats'!B:B,'Base stats'!BC:BC)^0.25
  / (_xlfn.XLOOKUP(B58,'Base stats'!B:B,'Base stats'!BM:BM) * 10)
  * _xlfn.XLOOKUP(
      _xlfn.XLOOKUP(B58,'Base stats'!B:B,'Base stats'!E:E),
      Groups!A:A,
      Groups!V:V
    ) * 150
  + MIN(12, _xlfn.XLOOKUP(B58,'Base stats'!B:B,'Base stats'!W:W))^(1/IF(_xlfn.XLOOKUP(_xlfn.XLOOKUP(B58,'Base stats'!B:B,'Base stats'!E:E),Groups!A:A,Groups!U:U)=1,100,10)) + 0.5 + _xlfn.XLOOKUP(B58,'Base stats'!B:B,'Base stats'!BW:BW),
0.05))</f>
        <v>No</v>
      </c>
      <c r="O58" s="3">
        <f>IF(Animals!AD58="No","No",
MAX(MROUND((MIN(10,_xlfn.XLOOKUP(B58,'Base stats'!B:B,'Base stats'!V:V)*IF(_xlfn.XLOOKUP(_xlfn.XLOOKUP(B58,'Base stats'!B:B,'Base stats'!E:E),Groups!A:A,Groups!O:O)=0,1,0.33))^0.4*_xlfn.XLOOKUP(B58,'Base stats'!B:B,'Base stats'!BJ:BJ)^0.73)^0.6 *_xlfn.XLOOKUP(B58,'Base stats'!B:B,'Base stats'!BX:BX),0.1),0.05)
)</f>
        <v>7.2</v>
      </c>
      <c r="P58" s="11">
        <f>IF(O58="No","No",
MROUND(_xlfn.XLOOKUP(B58,'Base stats'!B:B,'Base stats'!BJ:BJ) * 0.01 * 2 + 0.05, 0.05)
)</f>
        <v>1.2000000000000002</v>
      </c>
      <c r="Q58" s="5">
        <f>IF(O58="No","No",
MROUND(_xlfn.XLOOKUP(B58,'Base stats'!B:B,'Base stats'!BV:BV)/10000+0.01,0.01)
)</f>
        <v>0.18</v>
      </c>
      <c r="R58" s="4">
        <f>IF(O58="No","No",
MROUND(_xlfn.XLOOKUP(B58,'Base stats'!B:B,'Base stats'!BB:BB)^0.25
/((_xlfn.XLOOKUP(B58,'Base stats'!B:B,'Base stats'!BN:BN))*10)*_xlfn.XLOOKUP(_xlfn.XLOOKUP(B58,'Base stats'!B:B,'Base stats'!E:E),Groups!A:A,Groups!Z:Z)*150 + 0.5 + _xlfn.XLOOKUP(B58,'Base stats'!B:B,'Base stats'!BW:BW),
0.05))</f>
        <v>1.9500000000000002</v>
      </c>
      <c r="S58" s="3" t="str">
        <f>IF(Animals!AI58="No","No",
IF(_xlfn.XLOOKUP(B58,'Base stats'!B:B,'Base stats'!U:U)="No",
MAX(MROUND(_xlfn.XLOOKUP(B58,'Base stats'!B:B,'Base stats'!BT:BT) * _xlfn.XLOOKUP(B58,'Base stats'!B:B,'Base stats'!BP:BP)^0.9 / 21 * _xlfn.XLOOKUP(B58,'Base stats'!B:B,'Base stats'!BX:BX),0.1),0.05),
MAX(MROUND(((MIN(12,_xlfn.XLOOKUP(B58,'Base stats'!B:B,'Base stats'!U:U)))^0.4*_xlfn.XLOOKUP(B58,'Base stats'!B:B,'Base stats'!BH:BH)^0.73)^0.6 * _xlfn.XLOOKUP(B58,'Base stats'!B:B,'Base stats'!BX:BX),0.1),0.05)
))</f>
        <v>No</v>
      </c>
      <c r="T58" s="11" t="str">
        <f>IF(S58="No","No",
MROUND(_xlfn.XLOOKUP(B58,'Base stats'!B:B,'Base stats'!BH:BH) * 0.01 * 2 + 0.05, 0.05)
)</f>
        <v>No</v>
      </c>
      <c r="U58" s="5" t="str">
        <f>IF(S58="No","No",IF(_xlfn.XLOOKUP(B58,'Base stats'!B:B,'Base stats'!U:U)="No","No",
MROUND(_xlfn.XLOOKUP(B58,'Base stats'!B:B,'Base stats'!BT:BT)/10000+0.01,0.01)
))</f>
        <v>No</v>
      </c>
      <c r="V58" s="4" t="str">
        <f>IF(S58="No","No",
MROUND(_xlfn.XLOOKUP(B58,'Base stats'!B:B,'Base stats'!BF:BF)^0.25
/((_xlfn.XLOOKUP(B58,'Base stats'!B:B,'Base stats'!BO:BO))*10)*_xlfn.XLOOKUP(_xlfn.XLOOKUP(B58,'Base stats'!B:B,'Base stats'!E:E),Groups!A:A,Groups!AE:AE)*150 + 0.5 + _xlfn.XLOOKUP(B58,'Base stats'!B:B,'Base stats'!BW:BW),
0.05))</f>
        <v>No</v>
      </c>
      <c r="W58" s="8">
        <f>MROUND(_xlfn.XLOOKUP(_xlfn.XLOOKUP(B58,'Base stats'!B:B,'Base stats'!E:E),Groups!A:A,Groups!BG:BG)*_xlfn.XLOOKUP(B58,'Base stats'!B:B,'Base stats'!C:C)^-0.165,0.05)</f>
        <v>0.70000000000000007</v>
      </c>
      <c r="X58" s="1">
        <f>MROUND(_xlfn.XLOOKUP(_xlfn.XLOOKUP(B58,'Base stats'!B:B,'Base stats'!E:E),Groups!A:A,Groups!BH:BH)*_xlfn.XLOOKUP(B58,'Base stats'!B:B,'Base stats'!C:C)^0.165,0.05)</f>
        <v>0.30000000000000004</v>
      </c>
      <c r="Y58" s="8">
        <f>MROUND(_xlfn.XLOOKUP(_xlfn.XLOOKUP(B58,'Base stats'!B:B,'Base stats'!E:E),Groups!A:A,Groups!BI:BI)*_xlfn.XLOOKUP(B58,'Base stats'!B:B,'Base stats'!C:C)^0.165,0.05)</f>
        <v>0.05</v>
      </c>
      <c r="Z58" s="18">
        <f>MROUND(_xlfn.XLOOKUP(B58,'Base stats'!B:B,'Base stats'!AQ:AQ)*_xlfn.XLOOKUP(_xlfn.XLOOKUP(B58,'Base stats'!B:B,'Base stats'!E:E),Groups!A:A,Groups!H:H)/1000,IF((_xlfn.XLOOKUP(B58,'Base stats'!B:B,'Base stats'!AQ:AQ)*_xlfn.XLOOKUP(_xlfn.XLOOKUP(B58,'Base stats'!B:B,'Base stats'!E:E),Groups!A:A,Groups!H:H)/1000)&gt;1,0.05,0.01))</f>
        <v>0.04</v>
      </c>
      <c r="AA58" s="18">
        <f>MROUND((1/2)*(_xlfn.XLOOKUP(_xlfn.XLOOKUP(B58,'Base stats'!B:B,'Base stats'!E:E),Groups!A:A,Groups!H:H)*_xlfn.XLOOKUP(_xlfn.XLOOKUP(B58,'Base stats'!B:B,'Base stats'!E:E),Groups!A:A,Groups!I:I))*_xlfn.XLOOKUP(B58,'Base stats'!B:B,'Base stats'!AQ:AQ)*0.01,0.05)</f>
        <v>0.2</v>
      </c>
      <c r="AB58" s="18">
        <f>MROUND(250*(Animals!AO58+Animals!AP58),25)</f>
        <v>225</v>
      </c>
      <c r="AC58" s="18" t="str">
        <f>_xlfn.XLOOKUP(_xlfn.XLOOKUP(B58,'Base stats'!B:B,'Base stats'!E:E),Groups!A:A,Groups!BJ:BJ)</f>
        <v>Quadruped</v>
      </c>
    </row>
    <row r="59" spans="1:29" ht="16.5" thickTop="1" thickBot="1" x14ac:dyDescent="0.3">
      <c r="A59" s="16" t="str">
        <f>Animals!A59</f>
        <v>Arctic fox</v>
      </c>
      <c r="B59" s="6" t="str">
        <f>Animals!B59</f>
        <v>Vulpes lagopus</v>
      </c>
      <c r="C59" s="1" t="str">
        <f>Animals!C59</f>
        <v xml:space="preserve">&lt;li&gt;Fox_Arctic&lt;/li&gt; </v>
      </c>
      <c r="D59" s="47">
        <f>MIN(MIN(6,_xlfn.XLOOKUP(A59,Animals!A:A,Animals!AO:AO))*20,MAX(MROUND(_xlfn.XLOOKUP(B59,'Base stats'!B:B,'Base stats'!BS:BS) * (_xlfn.XLOOKUP(B59,'Base stats'!B:B,'Base stats'!AO:AO)*5%)^0.9 / 21,0.1),0.05))</f>
        <v>0.30000000000000004</v>
      </c>
      <c r="E59" s="11">
        <f>MROUND(_xlfn.XLOOKUP(B59,'Base stats'!B:B,'Base stats'!BG:BG) * 0.01 * 2 + 0.01, 0.05)</f>
        <v>0.2</v>
      </c>
      <c r="F59" s="7">
        <f>MROUND(_xlfn.XLOOKUP(B59,'Base stats'!B:B,'Base stats'!BD:BD)^0.25 / (_xlfn.XLOOKUP(B59,'Base stats'!B:B,'Base stats'!BK:BK) * 10) * 150 + 0.5 + _xlfn.XLOOKUP(B59,'Base stats'!B:B,'Base stats'!BW:BW), 0.05)</f>
        <v>1.4500000000000002</v>
      </c>
      <c r="G59" s="3" t="str">
        <f>IF(Animals!S59="No","No",
IF(_xlfn.XLOOKUP(B59,'Base stats'!B:B,'Base stats'!U:U)="No",
MAX(MROUND(_xlfn.XLOOKUP(B59,'Base stats'!B:B,'Base stats'!BT:BT) * _xlfn.XLOOKUP(B59,'Base stats'!B:B,'Base stats'!BP:BP)^0.9 / 21 * _xlfn.XLOOKUP(B59,'Base stats'!B:B,'Base stats'!BX:BX),0.1),0.05),
MAX(MROUND(((MIN(10,_xlfn.XLOOKUP(B59,'Base stats'!B:B,'Base stats'!U:U)))^0.4*_xlfn.XLOOKUP(B59,'Base stats'!B:B,'Base stats'!BH:BH)^0.73)^0.6 * _xlfn.XLOOKUP(B59,'Base stats'!B:B,'Base stats'!BX:BX),0.1),0.05)
))</f>
        <v>No</v>
      </c>
      <c r="H59" s="11" t="str">
        <f>IF(G59="No","No",
MROUND(_xlfn.XLOOKUP(B59,'Base stats'!B:B,'Base stats'!BH:BH) * 0.01 * 2 + 0.05, 0.05)
)</f>
        <v>No</v>
      </c>
      <c r="I59" s="11" t="str">
        <f>IF(G59="No","No",IF(_xlfn.XLOOKUP(B59,'Base stats'!B:B,'Base stats'!U:U)="No","No",
MROUND(_xlfn.XLOOKUP(B59,'Base stats'!B:B,'Base stats'!BT:BT)/10000+0.01,0.01)
))</f>
        <v>No</v>
      </c>
      <c r="J59" s="4" t="str">
        <f>IF(G59="No","No",
MROUND(_xlfn.XLOOKUP(B59,'Base stats'!B:B,'Base stats'!BE:BE)^0.25
/((_xlfn.XLOOKUP(B59,'Base stats'!B:B,'Base stats'!BL:BL))*10)*_xlfn.XLOOKUP(_xlfn.XLOOKUP(B59,'Base stats'!B:B,'Base stats'!E:E),Groups!A:A,Groups!Q:Q)*150 + 0.5 + _xlfn.XLOOKUP(B59,'Base stats'!B:B,'Base stats'!BW:BW),
0.05))</f>
        <v>No</v>
      </c>
      <c r="K59" s="3" t="str">
        <f>IF(Animals!X59="No","No",
IF(_xlfn.XLOOKUP(_xlfn.XLOOKUP(B59,'Base stats'!B:B,'Base stats'!E:E),Groups!A:A,Groups!BD:BD)=1,
MAX(MROUND(_xlfn.XLOOKUP(B59,'Base stats'!B:B,'Base stats'!BU:BU) * _xlfn.XLOOKUP(B59,'Base stats'!B:B,'Base stats'!BQ:BQ)^0.9 / 21 *_xlfn.XLOOKUP(B59,'Base stats'!B:B,'Base stats'!BX:BX),0.1),0.05),
MAX(MROUND(((MIN(10,_xlfn.XLOOKUP(B59,'Base stats'!B:B,'Base stats'!W:W)))^0.4*_xlfn.XLOOKUP(B59,'Base stats'!B:B,'Base stats'!BI:BI)^0.73)^0.6 *_xlfn.XLOOKUP(B59,'Base stats'!B:B,'Base stats'!BX:BX),0.1),0.05)
))</f>
        <v>No</v>
      </c>
      <c r="L59" s="11" t="str">
        <f>IF(K59="No","No",
MROUND(_xlfn.XLOOKUP(B59,'Base stats'!B:B,'Base stats'!BI:BI) * 0.01 *2 + 0.05, 0.05)
)</f>
        <v>No</v>
      </c>
      <c r="M59" s="5" t="str">
        <f>IF(K59="No","No",IF(_xlfn.XLOOKUP(_xlfn.XLOOKUP(B59,'Base stats'!B:B,'Base stats'!E:E),Groups!A:A,Groups!BD:BD)=1,"No",
MROUND(_xlfn.XLOOKUP(B59,'Base stats'!B:B,'Base stats'!BU:BU)/10000+0.01,0.01)
))</f>
        <v>No</v>
      </c>
      <c r="N59" s="4" t="str">
        <f>IF(K59="No","No",
MROUND(
  _xlfn.XLOOKUP(B59,'Base stats'!B:B,'Base stats'!BC:BC)^0.25
  / (_xlfn.XLOOKUP(B59,'Base stats'!B:B,'Base stats'!BM:BM) * 10)
  * _xlfn.XLOOKUP(
      _xlfn.XLOOKUP(B59,'Base stats'!B:B,'Base stats'!E:E),
      Groups!A:A,
      Groups!V:V
    ) * 150
  + MIN(12, _xlfn.XLOOKUP(B59,'Base stats'!B:B,'Base stats'!W:W))^(1/IF(_xlfn.XLOOKUP(_xlfn.XLOOKUP(B59,'Base stats'!B:B,'Base stats'!E:E),Groups!A:A,Groups!U:U)=1,100,10)) + 0.5 + _xlfn.XLOOKUP(B59,'Base stats'!B:B,'Base stats'!BW:BW),
0.05))</f>
        <v>No</v>
      </c>
      <c r="O59" s="3">
        <f>IF(Animals!AD59="No","No",
MAX(MROUND((MIN(10,_xlfn.XLOOKUP(B59,'Base stats'!B:B,'Base stats'!V:V)*IF(_xlfn.XLOOKUP(_xlfn.XLOOKUP(B59,'Base stats'!B:B,'Base stats'!E:E),Groups!A:A,Groups!O:O)=0,1,0.33))^0.4*_xlfn.XLOOKUP(B59,'Base stats'!B:B,'Base stats'!BJ:BJ)^0.73)^0.6 *_xlfn.XLOOKUP(B59,'Base stats'!B:B,'Base stats'!BX:BX),0.1),0.05)
)</f>
        <v>5.3000000000000007</v>
      </c>
      <c r="P59" s="11">
        <f>IF(O59="No","No",
MROUND(_xlfn.XLOOKUP(B59,'Base stats'!B:B,'Base stats'!BJ:BJ) * 0.01 * 2 + 0.05, 0.05)
)</f>
        <v>0.75</v>
      </c>
      <c r="Q59" s="5">
        <f>IF(O59="No","No",
MROUND(_xlfn.XLOOKUP(B59,'Base stats'!B:B,'Base stats'!BV:BV)/10000+0.01,0.01)
)</f>
        <v>0.13</v>
      </c>
      <c r="R59" s="4">
        <f>IF(O59="No","No",
MROUND(_xlfn.XLOOKUP(B59,'Base stats'!B:B,'Base stats'!BB:BB)^0.25
/((_xlfn.XLOOKUP(B59,'Base stats'!B:B,'Base stats'!BN:BN))*10)*_xlfn.XLOOKUP(_xlfn.XLOOKUP(B59,'Base stats'!B:B,'Base stats'!E:E),Groups!A:A,Groups!Z:Z)*150 + 0.5 + _xlfn.XLOOKUP(B59,'Base stats'!B:B,'Base stats'!BW:BW),
0.05))</f>
        <v>2</v>
      </c>
      <c r="S59" s="3" t="str">
        <f>IF(Animals!AI59="No","No",
IF(_xlfn.XLOOKUP(B59,'Base stats'!B:B,'Base stats'!U:U)="No",
MAX(MROUND(_xlfn.XLOOKUP(B59,'Base stats'!B:B,'Base stats'!BT:BT) * _xlfn.XLOOKUP(B59,'Base stats'!B:B,'Base stats'!BP:BP)^0.9 / 21 * _xlfn.XLOOKUP(B59,'Base stats'!B:B,'Base stats'!BX:BX),0.1),0.05),
MAX(MROUND(((MIN(12,_xlfn.XLOOKUP(B59,'Base stats'!B:B,'Base stats'!U:U)))^0.4*_xlfn.XLOOKUP(B59,'Base stats'!B:B,'Base stats'!BH:BH)^0.73)^0.6 * _xlfn.XLOOKUP(B59,'Base stats'!B:B,'Base stats'!BX:BX),0.1),0.05)
))</f>
        <v>No</v>
      </c>
      <c r="T59" s="11" t="str">
        <f>IF(S59="No","No",
MROUND(_xlfn.XLOOKUP(B59,'Base stats'!B:B,'Base stats'!BH:BH) * 0.01 * 2 + 0.05, 0.05)
)</f>
        <v>No</v>
      </c>
      <c r="U59" s="5" t="str">
        <f>IF(S59="No","No",IF(_xlfn.XLOOKUP(B59,'Base stats'!B:B,'Base stats'!U:U)="No","No",
MROUND(_xlfn.XLOOKUP(B59,'Base stats'!B:B,'Base stats'!BT:BT)/10000+0.01,0.01)
))</f>
        <v>No</v>
      </c>
      <c r="V59" s="4" t="str">
        <f>IF(S59="No","No",
MROUND(_xlfn.XLOOKUP(B59,'Base stats'!B:B,'Base stats'!BF:BF)^0.25
/((_xlfn.XLOOKUP(B59,'Base stats'!B:B,'Base stats'!BO:BO))*10)*_xlfn.XLOOKUP(_xlfn.XLOOKUP(B59,'Base stats'!B:B,'Base stats'!E:E),Groups!A:A,Groups!AE:AE)*150 + 0.5 + _xlfn.XLOOKUP(B59,'Base stats'!B:B,'Base stats'!BW:BW),
0.05))</f>
        <v>No</v>
      </c>
      <c r="W59" s="8">
        <f>MROUND(_xlfn.XLOOKUP(_xlfn.XLOOKUP(B59,'Base stats'!B:B,'Base stats'!E:E),Groups!A:A,Groups!BG:BG)*_xlfn.XLOOKUP(B59,'Base stats'!B:B,'Base stats'!C:C)^-0.165,0.05)</f>
        <v>0.75</v>
      </c>
      <c r="X59" s="1">
        <f>MROUND(_xlfn.XLOOKUP(_xlfn.XLOOKUP(B59,'Base stats'!B:B,'Base stats'!E:E),Groups!A:A,Groups!BH:BH)*_xlfn.XLOOKUP(B59,'Base stats'!B:B,'Base stats'!C:C)^0.165,0.05)</f>
        <v>0.25</v>
      </c>
      <c r="Y59" s="8">
        <f>MROUND(_xlfn.XLOOKUP(_xlfn.XLOOKUP(B59,'Base stats'!B:B,'Base stats'!E:E),Groups!A:A,Groups!BI:BI)*_xlfn.XLOOKUP(B59,'Base stats'!B:B,'Base stats'!C:C)^0.165,0.05)</f>
        <v>0.05</v>
      </c>
      <c r="Z59" s="18">
        <f>MROUND(_xlfn.XLOOKUP(B59,'Base stats'!B:B,'Base stats'!AQ:AQ)*_xlfn.XLOOKUP(_xlfn.XLOOKUP(B59,'Base stats'!B:B,'Base stats'!E:E),Groups!A:A,Groups!H:H)/1000,IF((_xlfn.XLOOKUP(B59,'Base stats'!B:B,'Base stats'!AQ:AQ)*_xlfn.XLOOKUP(_xlfn.XLOOKUP(B59,'Base stats'!B:B,'Base stats'!E:E),Groups!A:A,Groups!H:H)/1000)&gt;1,0.05,0.01))</f>
        <v>0.04</v>
      </c>
      <c r="AA59" s="18">
        <f>MROUND((1/2)*(_xlfn.XLOOKUP(_xlfn.XLOOKUP(B59,'Base stats'!B:B,'Base stats'!E:E),Groups!A:A,Groups!H:H)*_xlfn.XLOOKUP(_xlfn.XLOOKUP(B59,'Base stats'!B:B,'Base stats'!E:E),Groups!A:A,Groups!I:I))*_xlfn.XLOOKUP(B59,'Base stats'!B:B,'Base stats'!AQ:AQ)*0.01,0.05)</f>
        <v>0.15000000000000002</v>
      </c>
      <c r="AB59" s="18">
        <f>MROUND(250*(Animals!AO59+Animals!AP59),25)</f>
        <v>175</v>
      </c>
      <c r="AC59" s="18" t="str">
        <f>_xlfn.XLOOKUP(_xlfn.XLOOKUP(B59,'Base stats'!B:B,'Base stats'!E:E),Groups!A:A,Groups!BJ:BJ)</f>
        <v>Quadruped</v>
      </c>
    </row>
    <row r="60" spans="1:29" ht="16.5" thickTop="1" thickBot="1" x14ac:dyDescent="0.3">
      <c r="A60" s="16" t="str">
        <f>Animals!A60</f>
        <v>Fennec fox</v>
      </c>
      <c r="B60" s="6" t="str">
        <f>Animals!B60</f>
        <v>Vulpes zerda</v>
      </c>
      <c r="C60" s="1" t="str">
        <f>Animals!C60</f>
        <v xml:space="preserve">&lt;li&gt;Fox_Fennec&lt;/li&gt; </v>
      </c>
      <c r="D60" s="47">
        <f>MIN(MIN(6,_xlfn.XLOOKUP(A60,Animals!A:A,Animals!AO:AO))*20,MAX(MROUND(_xlfn.XLOOKUP(B60,'Base stats'!B:B,'Base stats'!BS:BS) * (_xlfn.XLOOKUP(B60,'Base stats'!B:B,'Base stats'!AO:AO)*5%)^0.9 / 21,0.1),0.05))</f>
        <v>0.1</v>
      </c>
      <c r="E60" s="11">
        <f>MROUND(_xlfn.XLOOKUP(B60,'Base stats'!B:B,'Base stats'!BG:BG) * 0.01 * 2 + 0.01, 0.05)</f>
        <v>0.1</v>
      </c>
      <c r="F60" s="7">
        <f>MROUND(_xlfn.XLOOKUP(B60,'Base stats'!B:B,'Base stats'!BD:BD)^0.25 / (_xlfn.XLOOKUP(B60,'Base stats'!B:B,'Base stats'!BK:BK) * 10) * 150 + 0.5 + _xlfn.XLOOKUP(B60,'Base stats'!B:B,'Base stats'!BW:BW), 0.05)</f>
        <v>1.3</v>
      </c>
      <c r="G60" s="3" t="str">
        <f>IF(Animals!S60="No","No",
IF(_xlfn.XLOOKUP(B60,'Base stats'!B:B,'Base stats'!U:U)="No",
MAX(MROUND(_xlfn.XLOOKUP(B60,'Base stats'!B:B,'Base stats'!BT:BT) * _xlfn.XLOOKUP(B60,'Base stats'!B:B,'Base stats'!BP:BP)^0.9 / 21 * _xlfn.XLOOKUP(B60,'Base stats'!B:B,'Base stats'!BX:BX),0.1),0.05),
MAX(MROUND(((MIN(10,_xlfn.XLOOKUP(B60,'Base stats'!B:B,'Base stats'!U:U)))^0.4*_xlfn.XLOOKUP(B60,'Base stats'!B:B,'Base stats'!BH:BH)^0.73)^0.6 * _xlfn.XLOOKUP(B60,'Base stats'!B:B,'Base stats'!BX:BX),0.1),0.05)
))</f>
        <v>No</v>
      </c>
      <c r="H60" s="11" t="str">
        <f>IF(G60="No","No",
MROUND(_xlfn.XLOOKUP(B60,'Base stats'!B:B,'Base stats'!BH:BH) * 0.01 * 2 + 0.05, 0.05)
)</f>
        <v>No</v>
      </c>
      <c r="I60" s="11" t="str">
        <f>IF(G60="No","No",IF(_xlfn.XLOOKUP(B60,'Base stats'!B:B,'Base stats'!U:U)="No","No",
MROUND(_xlfn.XLOOKUP(B60,'Base stats'!B:B,'Base stats'!BT:BT)/10000+0.01,0.01)
))</f>
        <v>No</v>
      </c>
      <c r="J60" s="4" t="str">
        <f>IF(G60="No","No",
MROUND(_xlfn.XLOOKUP(B60,'Base stats'!B:B,'Base stats'!BE:BE)^0.25
/((_xlfn.XLOOKUP(B60,'Base stats'!B:B,'Base stats'!BL:BL))*10)*_xlfn.XLOOKUP(_xlfn.XLOOKUP(B60,'Base stats'!B:B,'Base stats'!E:E),Groups!A:A,Groups!Q:Q)*150 + 0.5 + _xlfn.XLOOKUP(B60,'Base stats'!B:B,'Base stats'!BW:BW),
0.05))</f>
        <v>No</v>
      </c>
      <c r="K60" s="3" t="str">
        <f>IF(Animals!X60="No","No",
IF(_xlfn.XLOOKUP(_xlfn.XLOOKUP(B60,'Base stats'!B:B,'Base stats'!E:E),Groups!A:A,Groups!BD:BD)=1,
MAX(MROUND(_xlfn.XLOOKUP(B60,'Base stats'!B:B,'Base stats'!BU:BU) * _xlfn.XLOOKUP(B60,'Base stats'!B:B,'Base stats'!BQ:BQ)^0.9 / 21 *_xlfn.XLOOKUP(B60,'Base stats'!B:B,'Base stats'!BX:BX),0.1),0.05),
MAX(MROUND(((MIN(10,_xlfn.XLOOKUP(B60,'Base stats'!B:B,'Base stats'!W:W)))^0.4*_xlfn.XLOOKUP(B60,'Base stats'!B:B,'Base stats'!BI:BI)^0.73)^0.6 *_xlfn.XLOOKUP(B60,'Base stats'!B:B,'Base stats'!BX:BX),0.1),0.05)
))</f>
        <v>No</v>
      </c>
      <c r="L60" s="11" t="str">
        <f>IF(K60="No","No",
MROUND(_xlfn.XLOOKUP(B60,'Base stats'!B:B,'Base stats'!BI:BI) * 0.01 *2 + 0.05, 0.05)
)</f>
        <v>No</v>
      </c>
      <c r="M60" s="5" t="str">
        <f>IF(K60="No","No",IF(_xlfn.XLOOKUP(_xlfn.XLOOKUP(B60,'Base stats'!B:B,'Base stats'!E:E),Groups!A:A,Groups!BD:BD)=1,"No",
MROUND(_xlfn.XLOOKUP(B60,'Base stats'!B:B,'Base stats'!BU:BU)/10000+0.01,0.01)
))</f>
        <v>No</v>
      </c>
      <c r="N60" s="4" t="str">
        <f>IF(K60="No","No",
MROUND(
  _xlfn.XLOOKUP(B60,'Base stats'!B:B,'Base stats'!BC:BC)^0.25
  / (_xlfn.XLOOKUP(B60,'Base stats'!B:B,'Base stats'!BM:BM) * 10)
  * _xlfn.XLOOKUP(
      _xlfn.XLOOKUP(B60,'Base stats'!B:B,'Base stats'!E:E),
      Groups!A:A,
      Groups!V:V
    ) * 150
  + MIN(12, _xlfn.XLOOKUP(B60,'Base stats'!B:B,'Base stats'!W:W))^(1/IF(_xlfn.XLOOKUP(_xlfn.XLOOKUP(B60,'Base stats'!B:B,'Base stats'!E:E),Groups!A:A,Groups!U:U)=1,100,10)) + 0.5 + _xlfn.XLOOKUP(B60,'Base stats'!B:B,'Base stats'!BW:BW),
0.05))</f>
        <v>No</v>
      </c>
      <c r="O60" s="3">
        <f>IF(Animals!AD60="No","No",
MAX(MROUND((MIN(10,_xlfn.XLOOKUP(B60,'Base stats'!B:B,'Base stats'!V:V)*IF(_xlfn.XLOOKUP(_xlfn.XLOOKUP(B60,'Base stats'!B:B,'Base stats'!E:E),Groups!A:A,Groups!O:O)=0,1,0.33))^0.4*_xlfn.XLOOKUP(B60,'Base stats'!B:B,'Base stats'!BJ:BJ)^0.73)^0.6 *_xlfn.XLOOKUP(B60,'Base stats'!B:B,'Base stats'!BX:BX),0.1),0.05)
)</f>
        <v>2.7</v>
      </c>
      <c r="P60" s="11">
        <f>IF(O60="No","No",
MROUND(_xlfn.XLOOKUP(B60,'Base stats'!B:B,'Base stats'!BJ:BJ) * 0.01 * 2 + 0.05, 0.05)
)</f>
        <v>0.2</v>
      </c>
      <c r="Q60" s="5">
        <f>IF(O60="No","No",
MROUND(_xlfn.XLOOKUP(B60,'Base stats'!B:B,'Base stats'!BV:BV)/10000+0.01,0.01)
)</f>
        <v>0.05</v>
      </c>
      <c r="R60" s="4">
        <f>IF(O60="No","No",
MROUND(_xlfn.XLOOKUP(B60,'Base stats'!B:B,'Base stats'!BB:BB)^0.25
/((_xlfn.XLOOKUP(B60,'Base stats'!B:B,'Base stats'!BN:BN))*10)*_xlfn.XLOOKUP(_xlfn.XLOOKUP(B60,'Base stats'!B:B,'Base stats'!E:E),Groups!A:A,Groups!Z:Z)*150 + 0.5 + _xlfn.XLOOKUP(B60,'Base stats'!B:B,'Base stats'!BW:BW),
0.05))</f>
        <v>1.75</v>
      </c>
      <c r="S60" s="3" t="str">
        <f>IF(Animals!AI60="No","No",
IF(_xlfn.XLOOKUP(B60,'Base stats'!B:B,'Base stats'!U:U)="No",
MAX(MROUND(_xlfn.XLOOKUP(B60,'Base stats'!B:B,'Base stats'!BT:BT) * _xlfn.XLOOKUP(B60,'Base stats'!B:B,'Base stats'!BP:BP)^0.9 / 21 * _xlfn.XLOOKUP(B60,'Base stats'!B:B,'Base stats'!BX:BX),0.1),0.05),
MAX(MROUND(((MIN(12,_xlfn.XLOOKUP(B60,'Base stats'!B:B,'Base stats'!U:U)))^0.4*_xlfn.XLOOKUP(B60,'Base stats'!B:B,'Base stats'!BH:BH)^0.73)^0.6 * _xlfn.XLOOKUP(B60,'Base stats'!B:B,'Base stats'!BX:BX),0.1),0.05)
))</f>
        <v>No</v>
      </c>
      <c r="T60" s="11" t="str">
        <f>IF(S60="No","No",
MROUND(_xlfn.XLOOKUP(B60,'Base stats'!B:B,'Base stats'!BH:BH) * 0.01 * 2 + 0.05, 0.05)
)</f>
        <v>No</v>
      </c>
      <c r="U60" s="5" t="str">
        <f>IF(S60="No","No",IF(_xlfn.XLOOKUP(B60,'Base stats'!B:B,'Base stats'!U:U)="No","No",
MROUND(_xlfn.XLOOKUP(B60,'Base stats'!B:B,'Base stats'!BT:BT)/10000+0.01,0.01)
))</f>
        <v>No</v>
      </c>
      <c r="V60" s="4" t="str">
        <f>IF(S60="No","No",
MROUND(_xlfn.XLOOKUP(B60,'Base stats'!B:B,'Base stats'!BF:BF)^0.25
/((_xlfn.XLOOKUP(B60,'Base stats'!B:B,'Base stats'!BO:BO))*10)*_xlfn.XLOOKUP(_xlfn.XLOOKUP(B60,'Base stats'!B:B,'Base stats'!E:E),Groups!A:A,Groups!AE:AE)*150 + 0.5 + _xlfn.XLOOKUP(B60,'Base stats'!B:B,'Base stats'!BW:BW),
0.05))</f>
        <v>No</v>
      </c>
      <c r="W60" s="8">
        <f>MROUND(_xlfn.XLOOKUP(_xlfn.XLOOKUP(B60,'Base stats'!B:B,'Base stats'!E:E),Groups!A:A,Groups!BG:BG)*_xlfn.XLOOKUP(B60,'Base stats'!B:B,'Base stats'!C:C)^-0.165,0.05)</f>
        <v>0.85000000000000009</v>
      </c>
      <c r="X60" s="1">
        <f>MROUND(_xlfn.XLOOKUP(_xlfn.XLOOKUP(B60,'Base stats'!B:B,'Base stats'!E:E),Groups!A:A,Groups!BH:BH)*_xlfn.XLOOKUP(B60,'Base stats'!B:B,'Base stats'!C:C)^0.165,0.05)</f>
        <v>0.25</v>
      </c>
      <c r="Y60" s="8">
        <f>MROUND(_xlfn.XLOOKUP(_xlfn.XLOOKUP(B60,'Base stats'!B:B,'Base stats'!E:E),Groups!A:A,Groups!BI:BI)*_xlfn.XLOOKUP(B60,'Base stats'!B:B,'Base stats'!C:C)^0.165,0.05)</f>
        <v>0.05</v>
      </c>
      <c r="Z60" s="18">
        <f>MROUND(_xlfn.XLOOKUP(B60,'Base stats'!B:B,'Base stats'!AQ:AQ)*_xlfn.XLOOKUP(_xlfn.XLOOKUP(B60,'Base stats'!B:B,'Base stats'!E:E),Groups!A:A,Groups!H:H)/1000,IF((_xlfn.XLOOKUP(B60,'Base stats'!B:B,'Base stats'!AQ:AQ)*_xlfn.XLOOKUP(_xlfn.XLOOKUP(B60,'Base stats'!B:B,'Base stats'!E:E),Groups!A:A,Groups!H:H)/1000)&gt;1,0.05,0.01))</f>
        <v>0.03</v>
      </c>
      <c r="AA60" s="18">
        <f>MROUND((1/2)*(_xlfn.XLOOKUP(_xlfn.XLOOKUP(B60,'Base stats'!B:B,'Base stats'!E:E),Groups!A:A,Groups!H:H)*_xlfn.XLOOKUP(_xlfn.XLOOKUP(B60,'Base stats'!B:B,'Base stats'!E:E),Groups!A:A,Groups!I:I))*_xlfn.XLOOKUP(B60,'Base stats'!B:B,'Base stats'!AQ:AQ)*0.01,0.05)</f>
        <v>0.1</v>
      </c>
      <c r="AB60" s="18">
        <f>MROUND(250*(Animals!AO60+Animals!AP60),25)</f>
        <v>125</v>
      </c>
      <c r="AC60" s="18" t="str">
        <f>_xlfn.XLOOKUP(_xlfn.XLOOKUP(B60,'Base stats'!B:B,'Base stats'!E:E),Groups!A:A,Groups!BJ:BJ)</f>
        <v>Quadruped</v>
      </c>
    </row>
    <row r="61" spans="1:29" ht="16.5" thickTop="1" thickBot="1" x14ac:dyDescent="0.3">
      <c r="A61" s="16" t="str">
        <f>Animals!A61</f>
        <v>Waste rat</v>
      </c>
      <c r="B61" s="6" t="str">
        <f>Animals!B61</f>
        <v>Rattus macrosordidus</v>
      </c>
      <c r="C61" s="1" t="str">
        <f>Animals!C61</f>
        <v>&lt;li&gt;WasteRat&lt;/li&gt;</v>
      </c>
      <c r="D61" s="47">
        <f>MIN(MIN(6,_xlfn.XLOOKUP(A61,Animals!A:A,Animals!AO:AO))*20,MAX(MROUND(_xlfn.XLOOKUP(B61,'Base stats'!B:B,'Base stats'!BS:BS) * (_xlfn.XLOOKUP(B61,'Base stats'!B:B,'Base stats'!AO:AO)*5%)^0.9 / 21,0.1),0.05))</f>
        <v>0.4</v>
      </c>
      <c r="E61" s="11">
        <f>MROUND(_xlfn.XLOOKUP(B61,'Base stats'!B:B,'Base stats'!BG:BG) * 0.01 * 2 + 0.01, 0.05)</f>
        <v>0.35000000000000003</v>
      </c>
      <c r="F61" s="7">
        <f>MROUND(_xlfn.XLOOKUP(B61,'Base stats'!B:B,'Base stats'!BD:BD)^0.25 / (_xlfn.XLOOKUP(B61,'Base stats'!B:B,'Base stats'!BK:BK) * 10) * 150 + 0.5 + _xlfn.XLOOKUP(B61,'Base stats'!B:B,'Base stats'!BW:BW), 0.05)</f>
        <v>1.6</v>
      </c>
      <c r="G61" s="3" t="str">
        <f>IF(Animals!S61="No","No",
IF(_xlfn.XLOOKUP(B61,'Base stats'!B:B,'Base stats'!U:U)="No",
MAX(MROUND(_xlfn.XLOOKUP(B61,'Base stats'!B:B,'Base stats'!BT:BT) * _xlfn.XLOOKUP(B61,'Base stats'!B:B,'Base stats'!BP:BP)^0.9 / 21 * _xlfn.XLOOKUP(B61,'Base stats'!B:B,'Base stats'!BX:BX),0.1),0.05),
MAX(MROUND(((MIN(10,_xlfn.XLOOKUP(B61,'Base stats'!B:B,'Base stats'!U:U)))^0.4*_xlfn.XLOOKUP(B61,'Base stats'!B:B,'Base stats'!BH:BH)^0.73)^0.6 * _xlfn.XLOOKUP(B61,'Base stats'!B:B,'Base stats'!BX:BX),0.1),0.05)
))</f>
        <v>No</v>
      </c>
      <c r="H61" s="11" t="str">
        <f>IF(G61="No","No",
MROUND(_xlfn.XLOOKUP(B61,'Base stats'!B:B,'Base stats'!BH:BH) * 0.01 * 2 + 0.05, 0.05)
)</f>
        <v>No</v>
      </c>
      <c r="I61" s="11" t="str">
        <f>IF(G61="No","No",IF(_xlfn.XLOOKUP(B61,'Base stats'!B:B,'Base stats'!U:U)="No","No",
MROUND(_xlfn.XLOOKUP(B61,'Base stats'!B:B,'Base stats'!BT:BT)/10000+0.01,0.01)
))</f>
        <v>No</v>
      </c>
      <c r="J61" s="4" t="str">
        <f>IF(G61="No","No",
MROUND(_xlfn.XLOOKUP(B61,'Base stats'!B:B,'Base stats'!BE:BE)^0.25
/((_xlfn.XLOOKUP(B61,'Base stats'!B:B,'Base stats'!BL:BL))*10)*_xlfn.XLOOKUP(_xlfn.XLOOKUP(B61,'Base stats'!B:B,'Base stats'!E:E),Groups!A:A,Groups!Q:Q)*150 + 0.5 + _xlfn.XLOOKUP(B61,'Base stats'!B:B,'Base stats'!BW:BW),
0.05))</f>
        <v>No</v>
      </c>
      <c r="K61" s="3" t="str">
        <f>IF(Animals!X61="No","No",
IF(_xlfn.XLOOKUP(_xlfn.XLOOKUP(B61,'Base stats'!B:B,'Base stats'!E:E),Groups!A:A,Groups!BD:BD)=1,
MAX(MROUND(_xlfn.XLOOKUP(B61,'Base stats'!B:B,'Base stats'!BU:BU) * _xlfn.XLOOKUP(B61,'Base stats'!B:B,'Base stats'!BQ:BQ)^0.9 / 21 *_xlfn.XLOOKUP(B61,'Base stats'!B:B,'Base stats'!BX:BX),0.1),0.05),
MAX(MROUND(((MIN(10,_xlfn.XLOOKUP(B61,'Base stats'!B:B,'Base stats'!W:W)))^0.4*_xlfn.XLOOKUP(B61,'Base stats'!B:B,'Base stats'!BI:BI)^0.73)^0.6 *_xlfn.XLOOKUP(B61,'Base stats'!B:B,'Base stats'!BX:BX),0.1),0.05)
))</f>
        <v>No</v>
      </c>
      <c r="L61" s="11" t="str">
        <f>IF(K61="No","No",
MROUND(_xlfn.XLOOKUP(B61,'Base stats'!B:B,'Base stats'!BI:BI) * 0.01 *2 + 0.05, 0.05)
)</f>
        <v>No</v>
      </c>
      <c r="M61" s="5" t="str">
        <f>IF(K61="No","No",IF(_xlfn.XLOOKUP(_xlfn.XLOOKUP(B61,'Base stats'!B:B,'Base stats'!E:E),Groups!A:A,Groups!BD:BD)=1,"No",
MROUND(_xlfn.XLOOKUP(B61,'Base stats'!B:B,'Base stats'!BU:BU)/10000+0.01,0.01)
))</f>
        <v>No</v>
      </c>
      <c r="N61" s="4" t="str">
        <f>IF(K61="No","No",
MROUND(
  _xlfn.XLOOKUP(B61,'Base stats'!B:B,'Base stats'!BC:BC)^0.25
  / (_xlfn.XLOOKUP(B61,'Base stats'!B:B,'Base stats'!BM:BM) * 10)
  * _xlfn.XLOOKUP(
      _xlfn.XLOOKUP(B61,'Base stats'!B:B,'Base stats'!E:E),
      Groups!A:A,
      Groups!V:V
    ) * 150
  + MIN(12, _xlfn.XLOOKUP(B61,'Base stats'!B:B,'Base stats'!W:W))^(1/IF(_xlfn.XLOOKUP(_xlfn.XLOOKUP(B61,'Base stats'!B:B,'Base stats'!E:E),Groups!A:A,Groups!U:U)=1,100,10)) + 0.5 + _xlfn.XLOOKUP(B61,'Base stats'!B:B,'Base stats'!BW:BW),
0.05))</f>
        <v>No</v>
      </c>
      <c r="O61" s="3">
        <f>IF(Animals!AD61="No","No",
MAX(MROUND((MIN(10,_xlfn.XLOOKUP(B61,'Base stats'!B:B,'Base stats'!V:V)*IF(_xlfn.XLOOKUP(_xlfn.XLOOKUP(B61,'Base stats'!B:B,'Base stats'!E:E),Groups!A:A,Groups!O:O)=0,1,0.33))^0.4*_xlfn.XLOOKUP(B61,'Base stats'!B:B,'Base stats'!BJ:BJ)^0.73)^0.6 *_xlfn.XLOOKUP(B61,'Base stats'!B:B,'Base stats'!BX:BX),0.1),0.05)
)</f>
        <v>4.8000000000000007</v>
      </c>
      <c r="P61" s="11">
        <f>IF(O61="No","No",
MROUND(_xlfn.XLOOKUP(B61,'Base stats'!B:B,'Base stats'!BJ:BJ) * 0.01 * 2 + 0.05, 0.05)
)</f>
        <v>0.35000000000000003</v>
      </c>
      <c r="Q61" s="5">
        <f>IF(O61="No","No",
MROUND(_xlfn.XLOOKUP(B61,'Base stats'!B:B,'Base stats'!BV:BV)/10000+0.01,0.01)
)</f>
        <v>0.05</v>
      </c>
      <c r="R61" s="4">
        <f>IF(O61="No","No",
MROUND(_xlfn.XLOOKUP(B61,'Base stats'!B:B,'Base stats'!BB:BB)^0.25
/((_xlfn.XLOOKUP(B61,'Base stats'!B:B,'Base stats'!BN:BN))*10)*_xlfn.XLOOKUP(_xlfn.XLOOKUP(B61,'Base stats'!B:B,'Base stats'!E:E),Groups!A:A,Groups!Z:Z)*150 + 0.5 + _xlfn.XLOOKUP(B61,'Base stats'!B:B,'Base stats'!BW:BW),
0.05))</f>
        <v>2.1</v>
      </c>
      <c r="S61" s="3" t="str">
        <f>IF(Animals!AI61="No","No",
IF(_xlfn.XLOOKUP(B61,'Base stats'!B:B,'Base stats'!U:U)="No",
MAX(MROUND(_xlfn.XLOOKUP(B61,'Base stats'!B:B,'Base stats'!BT:BT) * _xlfn.XLOOKUP(B61,'Base stats'!B:B,'Base stats'!BP:BP)^0.9 / 21 * _xlfn.XLOOKUP(B61,'Base stats'!B:B,'Base stats'!BX:BX),0.1),0.05),
MAX(MROUND(((MIN(12,_xlfn.XLOOKUP(B61,'Base stats'!B:B,'Base stats'!U:U)))^0.4*_xlfn.XLOOKUP(B61,'Base stats'!B:B,'Base stats'!BH:BH)^0.73)^0.6 * _xlfn.XLOOKUP(B61,'Base stats'!B:B,'Base stats'!BX:BX),0.1),0.05)
))</f>
        <v>No</v>
      </c>
      <c r="T61" s="11" t="str">
        <f>IF(S61="No","No",
MROUND(_xlfn.XLOOKUP(B61,'Base stats'!B:B,'Base stats'!BH:BH) * 0.01 * 2 + 0.05, 0.05)
)</f>
        <v>No</v>
      </c>
      <c r="U61" s="5" t="str">
        <f>IF(S61="No","No",IF(_xlfn.XLOOKUP(B61,'Base stats'!B:B,'Base stats'!U:U)="No","No",
MROUND(_xlfn.XLOOKUP(B61,'Base stats'!B:B,'Base stats'!BT:BT)/10000+0.01,0.01)
))</f>
        <v>No</v>
      </c>
      <c r="V61" s="4" t="str">
        <f>IF(S61="No","No",
MROUND(_xlfn.XLOOKUP(B61,'Base stats'!B:B,'Base stats'!BF:BF)^0.25
/((_xlfn.XLOOKUP(B61,'Base stats'!B:B,'Base stats'!BO:BO))*10)*_xlfn.XLOOKUP(_xlfn.XLOOKUP(B61,'Base stats'!B:B,'Base stats'!E:E),Groups!A:A,Groups!AE:AE)*150 + 0.5 + _xlfn.XLOOKUP(B61,'Base stats'!B:B,'Base stats'!BW:BW),
0.05))</f>
        <v>No</v>
      </c>
      <c r="W61" s="8">
        <f>MROUND(_xlfn.XLOOKUP(_xlfn.XLOOKUP(B61,'Base stats'!B:B,'Base stats'!E:E),Groups!A:A,Groups!BG:BG)*_xlfn.XLOOKUP(B61,'Base stats'!B:B,'Base stats'!C:C)^-0.165,0.05)</f>
        <v>0.5</v>
      </c>
      <c r="X61" s="1">
        <f>MROUND(_xlfn.XLOOKUP(_xlfn.XLOOKUP(B61,'Base stats'!B:B,'Base stats'!E:E),Groups!A:A,Groups!BH:BH)*_xlfn.XLOOKUP(B61,'Base stats'!B:B,'Base stats'!C:C)^0.165,0.05)</f>
        <v>0.15000000000000002</v>
      </c>
      <c r="Y61" s="8">
        <f>MROUND(_xlfn.XLOOKUP(_xlfn.XLOOKUP(B61,'Base stats'!B:B,'Base stats'!E:E),Groups!A:A,Groups!BI:BI)*_xlfn.XLOOKUP(B61,'Base stats'!B:B,'Base stats'!C:C)^0.165,0.05)</f>
        <v>0.05</v>
      </c>
      <c r="Z61" s="18">
        <f>MROUND(_xlfn.XLOOKUP(B61,'Base stats'!B:B,'Base stats'!AQ:AQ)*_xlfn.XLOOKUP(_xlfn.XLOOKUP(B61,'Base stats'!B:B,'Base stats'!E:E),Groups!A:A,Groups!H:H)/1000,IF((_xlfn.XLOOKUP(B61,'Base stats'!B:B,'Base stats'!AQ:AQ)*_xlfn.XLOOKUP(_xlfn.XLOOKUP(B61,'Base stats'!B:B,'Base stats'!E:E),Groups!A:A,Groups!H:H)/1000)&gt;1,0.05,0.01))</f>
        <v>0.03</v>
      </c>
      <c r="AA61" s="18">
        <f>MROUND((1/2)*(_xlfn.XLOOKUP(_xlfn.XLOOKUP(B61,'Base stats'!B:B,'Base stats'!E:E),Groups!A:A,Groups!H:H)*_xlfn.XLOOKUP(_xlfn.XLOOKUP(B61,'Base stats'!B:B,'Base stats'!E:E),Groups!A:A,Groups!I:I))*_xlfn.XLOOKUP(B61,'Base stats'!B:B,'Base stats'!AQ:AQ)*0.01,0.05)</f>
        <v>0.15000000000000002</v>
      </c>
      <c r="AB61" s="18">
        <f>MROUND(250*(Animals!AO61+Animals!AP61),25)</f>
        <v>200</v>
      </c>
      <c r="AC61" s="18" t="str">
        <f>_xlfn.XLOOKUP(_xlfn.XLOOKUP(B61,'Base stats'!B:B,'Base stats'!E:E),Groups!A:A,Groups!BJ:BJ)</f>
        <v>QuadrupedLow</v>
      </c>
    </row>
    <row r="62" spans="1:29" ht="16.5" thickTop="1" thickBot="1" x14ac:dyDescent="0.3">
      <c r="A62" s="16" t="str">
        <f>Animals!A62</f>
        <v>Panda</v>
      </c>
      <c r="B62" s="6" t="str">
        <f>Animals!B62</f>
        <v>Ailuropoda melanoleuca</v>
      </c>
      <c r="C62" s="1" t="str">
        <f>Animals!C62</f>
        <v>&lt;li&gt;Panda&lt;/li&gt;</v>
      </c>
      <c r="D62" s="47">
        <f>MIN(MIN(6,_xlfn.XLOOKUP(A62,Animals!A:A,Animals!AO:AO))*20,MAX(MROUND(_xlfn.XLOOKUP(B62,'Base stats'!B:B,'Base stats'!BS:BS) * (_xlfn.XLOOKUP(B62,'Base stats'!B:B,'Base stats'!AO:AO)*5%)^0.9 / 21,0.1),0.05))</f>
        <v>3.5</v>
      </c>
      <c r="E62" s="11">
        <f>MROUND(_xlfn.XLOOKUP(B62,'Base stats'!B:B,'Base stats'!BG:BG) * 0.01 * 2 + 0.01, 0.05)</f>
        <v>3</v>
      </c>
      <c r="F62" s="7">
        <f>MROUND(_xlfn.XLOOKUP(B62,'Base stats'!B:B,'Base stats'!BD:BD)^0.25 / (_xlfn.XLOOKUP(B62,'Base stats'!B:B,'Base stats'!BK:BK) * 10) * 150 + 0.5 + _xlfn.XLOOKUP(B62,'Base stats'!B:B,'Base stats'!BW:BW), 0.05)</f>
        <v>1.6500000000000001</v>
      </c>
      <c r="G62" s="3" t="str">
        <f>IF(Animals!S62="No","No",
IF(_xlfn.XLOOKUP(B62,'Base stats'!B:B,'Base stats'!U:U)="No",
MAX(MROUND(_xlfn.XLOOKUP(B62,'Base stats'!B:B,'Base stats'!BT:BT) * _xlfn.XLOOKUP(B62,'Base stats'!B:B,'Base stats'!BP:BP)^0.9 / 21 * _xlfn.XLOOKUP(B62,'Base stats'!B:B,'Base stats'!BX:BX),0.1),0.05),
MAX(MROUND(((MIN(10,_xlfn.XLOOKUP(B62,'Base stats'!B:B,'Base stats'!U:U)))^0.4*_xlfn.XLOOKUP(B62,'Base stats'!B:B,'Base stats'!BH:BH)^0.73)^0.6 * _xlfn.XLOOKUP(B62,'Base stats'!B:B,'Base stats'!BX:BX),0.1),0.05)
))</f>
        <v>No</v>
      </c>
      <c r="H62" s="11" t="str">
        <f>IF(G62="No","No",
MROUND(_xlfn.XLOOKUP(B62,'Base stats'!B:B,'Base stats'!BH:BH) * 0.01 * 2 + 0.05, 0.05)
)</f>
        <v>No</v>
      </c>
      <c r="I62" s="11" t="str">
        <f>IF(G62="No","No",IF(_xlfn.XLOOKUP(B62,'Base stats'!B:B,'Base stats'!U:U)="No","No",
MROUND(_xlfn.XLOOKUP(B62,'Base stats'!B:B,'Base stats'!BT:BT)/10000+0.01,0.01)
))</f>
        <v>No</v>
      </c>
      <c r="J62" s="4" t="str">
        <f>IF(G62="No","No",
MROUND(_xlfn.XLOOKUP(B62,'Base stats'!B:B,'Base stats'!BE:BE)^0.25
/((_xlfn.XLOOKUP(B62,'Base stats'!B:B,'Base stats'!BL:BL))*10)*_xlfn.XLOOKUP(_xlfn.XLOOKUP(B62,'Base stats'!B:B,'Base stats'!E:E),Groups!A:A,Groups!Q:Q)*150 + 0.5 + _xlfn.XLOOKUP(B62,'Base stats'!B:B,'Base stats'!BW:BW),
0.05))</f>
        <v>No</v>
      </c>
      <c r="K62" s="3" t="str">
        <f>IF(Animals!X62="No","No",
IF(_xlfn.XLOOKUP(_xlfn.XLOOKUP(B62,'Base stats'!B:B,'Base stats'!E:E),Groups!A:A,Groups!BD:BD)=1,
MAX(MROUND(_xlfn.XLOOKUP(B62,'Base stats'!B:B,'Base stats'!BU:BU) * _xlfn.XLOOKUP(B62,'Base stats'!B:B,'Base stats'!BQ:BQ)^0.9 / 21 *_xlfn.XLOOKUP(B62,'Base stats'!B:B,'Base stats'!BX:BX),0.1),0.05),
MAX(MROUND(((MIN(10,_xlfn.XLOOKUP(B62,'Base stats'!B:B,'Base stats'!W:W)))^0.4*_xlfn.XLOOKUP(B62,'Base stats'!B:B,'Base stats'!BI:BI)^0.73)^0.6 *_xlfn.XLOOKUP(B62,'Base stats'!B:B,'Base stats'!BX:BX),0.1),0.05)
))</f>
        <v>No</v>
      </c>
      <c r="L62" s="11" t="str">
        <f>IF(K62="No","No",
MROUND(_xlfn.XLOOKUP(B62,'Base stats'!B:B,'Base stats'!BI:BI) * 0.01 *2 + 0.05, 0.05)
)</f>
        <v>No</v>
      </c>
      <c r="M62" s="5" t="str">
        <f>IF(K62="No","No",IF(_xlfn.XLOOKUP(_xlfn.XLOOKUP(B62,'Base stats'!B:B,'Base stats'!E:E),Groups!A:A,Groups!BD:BD)=1,"No",
MROUND(_xlfn.XLOOKUP(B62,'Base stats'!B:B,'Base stats'!BU:BU)/10000+0.01,0.01)
))</f>
        <v>No</v>
      </c>
      <c r="N62" s="4" t="str">
        <f>IF(K62="No","No",
MROUND(
  _xlfn.XLOOKUP(B62,'Base stats'!B:B,'Base stats'!BC:BC)^0.25
  / (_xlfn.XLOOKUP(B62,'Base stats'!B:B,'Base stats'!BM:BM) * 10)
  * _xlfn.XLOOKUP(
      _xlfn.XLOOKUP(B62,'Base stats'!B:B,'Base stats'!E:E),
      Groups!A:A,
      Groups!V:V
    ) * 150
  + MIN(12, _xlfn.XLOOKUP(B62,'Base stats'!B:B,'Base stats'!W:W))^(1/IF(_xlfn.XLOOKUP(_xlfn.XLOOKUP(B62,'Base stats'!B:B,'Base stats'!E:E),Groups!A:A,Groups!U:U)=1,100,10)) + 0.5 + _xlfn.XLOOKUP(B62,'Base stats'!B:B,'Base stats'!BW:BW),
0.05))</f>
        <v>No</v>
      </c>
      <c r="O62" s="3">
        <f>IF(Animals!AD62="No","No",
MAX(MROUND((MIN(10,_xlfn.XLOOKUP(B62,'Base stats'!B:B,'Base stats'!V:V)*IF(_xlfn.XLOOKUP(_xlfn.XLOOKUP(B62,'Base stats'!B:B,'Base stats'!E:E),Groups!A:A,Groups!O:O)=0,1,0.33))^0.4*_xlfn.XLOOKUP(B62,'Base stats'!B:B,'Base stats'!BJ:BJ)^0.73)^0.6 *_xlfn.XLOOKUP(B62,'Base stats'!B:B,'Base stats'!BX:BX),0.1),0.05)
)</f>
        <v>17</v>
      </c>
      <c r="P62" s="11">
        <f>IF(O62="No","No",
MROUND(_xlfn.XLOOKUP(B62,'Base stats'!B:B,'Base stats'!BJ:BJ) * 0.01 * 2 + 0.05, 0.05)
)</f>
        <v>5.75</v>
      </c>
      <c r="Q62" s="5">
        <f>IF(O62="No","No",
MROUND(_xlfn.XLOOKUP(B62,'Base stats'!B:B,'Base stats'!BV:BV)/10000+0.01,0.01)
)</f>
        <v>0.28999999999999998</v>
      </c>
      <c r="R62" s="4">
        <f>IF(O62="No","No",
MROUND(_xlfn.XLOOKUP(B62,'Base stats'!B:B,'Base stats'!BB:BB)^0.25
/((_xlfn.XLOOKUP(B62,'Base stats'!B:B,'Base stats'!BN:BN))*10)*_xlfn.XLOOKUP(_xlfn.XLOOKUP(B62,'Base stats'!B:B,'Base stats'!E:E),Groups!A:A,Groups!Z:Z)*150 + 0.5 + _xlfn.XLOOKUP(B62,'Base stats'!B:B,'Base stats'!BW:BW),
0.05))</f>
        <v>2.2000000000000002</v>
      </c>
      <c r="S62" s="3">
        <f>IF(Animals!AI62="No","No",
IF(_xlfn.XLOOKUP(B62,'Base stats'!B:B,'Base stats'!U:U)="No",
MAX(MROUND(_xlfn.XLOOKUP(B62,'Base stats'!B:B,'Base stats'!BT:BT) * _xlfn.XLOOKUP(B62,'Base stats'!B:B,'Base stats'!BP:BP)^0.9 / 21 * _xlfn.XLOOKUP(B62,'Base stats'!B:B,'Base stats'!BX:BX),0.1),0.05),
MAX(MROUND(((MIN(12,_xlfn.XLOOKUP(B62,'Base stats'!B:B,'Base stats'!U:U)))^0.4*_xlfn.XLOOKUP(B62,'Base stats'!B:B,'Base stats'!BH:BH)^0.73)^0.6 * _xlfn.XLOOKUP(B62,'Base stats'!B:B,'Base stats'!BX:BX),0.1),0.05)
))</f>
        <v>14.5</v>
      </c>
      <c r="T62" s="11">
        <f>IF(S62="No","No",
MROUND(_xlfn.XLOOKUP(B62,'Base stats'!B:B,'Base stats'!BH:BH) * 0.01 * 2 + 0.05, 0.05)
)</f>
        <v>3.8000000000000003</v>
      </c>
      <c r="U62" s="5">
        <f>IF(S62="No","No",IF(_xlfn.XLOOKUP(B62,'Base stats'!B:B,'Base stats'!U:U)="No","No",
MROUND(_xlfn.XLOOKUP(B62,'Base stats'!B:B,'Base stats'!BT:BT)/10000+0.01,0.01)
))</f>
        <v>0.19</v>
      </c>
      <c r="V62" s="4">
        <f>IF(S62="No","No",
MROUND(_xlfn.XLOOKUP(B62,'Base stats'!B:B,'Base stats'!BF:BF)^0.25
/((_xlfn.XLOOKUP(B62,'Base stats'!B:B,'Base stats'!BO:BO))*10)*_xlfn.XLOOKUP(_xlfn.XLOOKUP(B62,'Base stats'!B:B,'Base stats'!E:E),Groups!A:A,Groups!AE:AE)*150 + 0.5 + _xlfn.XLOOKUP(B62,'Base stats'!B:B,'Base stats'!BW:BW),
0.05))</f>
        <v>1.5</v>
      </c>
      <c r="W62" s="8">
        <f>MROUND(_xlfn.XLOOKUP(_xlfn.XLOOKUP(B62,'Base stats'!B:B,'Base stats'!E:E),Groups!A:A,Groups!BG:BG)*_xlfn.XLOOKUP(B62,'Base stats'!B:B,'Base stats'!C:C)^-0.165,0.05)</f>
        <v>0.30000000000000004</v>
      </c>
      <c r="X62" s="1">
        <f>MROUND(_xlfn.XLOOKUP(_xlfn.XLOOKUP(B62,'Base stats'!B:B,'Base stats'!E:E),Groups!A:A,Groups!BH:BH)*_xlfn.XLOOKUP(B62,'Base stats'!B:B,'Base stats'!C:C)^0.165,0.05)</f>
        <v>0.35000000000000003</v>
      </c>
      <c r="Y62" s="8">
        <f>MROUND(_xlfn.XLOOKUP(_xlfn.XLOOKUP(B62,'Base stats'!B:B,'Base stats'!E:E),Groups!A:A,Groups!BI:BI)*_xlfn.XLOOKUP(B62,'Base stats'!B:B,'Base stats'!C:C)^0.165,0.05)</f>
        <v>0.05</v>
      </c>
      <c r="Z62" s="18">
        <f>MROUND(_xlfn.XLOOKUP(B62,'Base stats'!B:B,'Base stats'!AQ:AQ)*_xlfn.XLOOKUP(_xlfn.XLOOKUP(B62,'Base stats'!B:B,'Base stats'!E:E),Groups!A:A,Groups!H:H)/1000,IF((_xlfn.XLOOKUP(B62,'Base stats'!B:B,'Base stats'!AQ:AQ)*_xlfn.XLOOKUP(_xlfn.XLOOKUP(B62,'Base stats'!B:B,'Base stats'!E:E),Groups!A:A,Groups!H:H)/1000)&gt;1,0.05,0.01))</f>
        <v>0.11</v>
      </c>
      <c r="AA62" s="18">
        <f>MROUND((1/2)*(_xlfn.XLOOKUP(_xlfn.XLOOKUP(B62,'Base stats'!B:B,'Base stats'!E:E),Groups!A:A,Groups!H:H)*_xlfn.XLOOKUP(_xlfn.XLOOKUP(B62,'Base stats'!B:B,'Base stats'!E:E),Groups!A:A,Groups!I:I))*_xlfn.XLOOKUP(B62,'Base stats'!B:B,'Base stats'!AQ:AQ)*0.01,0.05)</f>
        <v>0.45</v>
      </c>
      <c r="AB62" s="18">
        <f>MROUND(250*(Animals!AO62+Animals!AP62),25)</f>
        <v>725</v>
      </c>
      <c r="AC62" s="18" t="str">
        <f>_xlfn.XLOOKUP(_xlfn.XLOOKUP(B62,'Base stats'!B:B,'Base stats'!E:E),Groups!A:A,Groups!BJ:BJ)</f>
        <v>Quadruped</v>
      </c>
    </row>
    <row r="63" spans="1:29" ht="16.5" thickTop="1" thickBot="1" x14ac:dyDescent="0.3">
      <c r="A63" s="16" t="str">
        <f>Animals!A63</f>
        <v>Sparrow</v>
      </c>
      <c r="B63" s="6" t="str">
        <f>Animals!B63</f>
        <v>Passer domesticus</v>
      </c>
      <c r="C63" s="1" t="str">
        <f>Animals!C63</f>
        <v>&lt;li&gt;Sparrow&lt;/li&gt;</v>
      </c>
      <c r="D63" s="47">
        <f>MIN(MIN(6,_xlfn.XLOOKUP(A63,Animals!A:A,Animals!AO:AO))*20,MAX(MROUND(_xlfn.XLOOKUP(B63,'Base stats'!B:B,'Base stats'!BS:BS) * (_xlfn.XLOOKUP(B63,'Base stats'!B:B,'Base stats'!AO:AO)*5%)^0.9 / 21,0.1),0.05))</f>
        <v>0.05</v>
      </c>
      <c r="E63" s="11">
        <f>MROUND(_xlfn.XLOOKUP(B63,'Base stats'!B:B,'Base stats'!BG:BG) * 0.01 * 2 + 0.01, 0.05)</f>
        <v>0</v>
      </c>
      <c r="F63" s="7">
        <f>MROUND(_xlfn.XLOOKUP(B63,'Base stats'!B:B,'Base stats'!BD:BD)^0.25 / (_xlfn.XLOOKUP(B63,'Base stats'!B:B,'Base stats'!BK:BK) * 10) * 150 + 0.5 + _xlfn.XLOOKUP(B63,'Base stats'!B:B,'Base stats'!BW:BW), 0.05)</f>
        <v>1</v>
      </c>
      <c r="G63" s="3">
        <f>IF(Animals!S63="No","No",
IF(_xlfn.XLOOKUP(B63,'Base stats'!B:B,'Base stats'!U:U)="No",
MAX(MROUND(_xlfn.XLOOKUP(B63,'Base stats'!B:B,'Base stats'!BT:BT) * _xlfn.XLOOKUP(B63,'Base stats'!B:B,'Base stats'!BP:BP)^0.9 / 21 * _xlfn.XLOOKUP(B63,'Base stats'!B:B,'Base stats'!BX:BX),0.1),0.05),
MAX(MROUND(((MIN(10,_xlfn.XLOOKUP(B63,'Base stats'!B:B,'Base stats'!U:U)))^0.4*_xlfn.XLOOKUP(B63,'Base stats'!B:B,'Base stats'!BH:BH)^0.73)^0.6 * _xlfn.XLOOKUP(B63,'Base stats'!B:B,'Base stats'!BX:BX),0.1),0.05)
))</f>
        <v>0.2</v>
      </c>
      <c r="H63" s="11">
        <f>IF(G63="No","No",
MROUND(_xlfn.XLOOKUP(B63,'Base stats'!B:B,'Base stats'!BH:BH) * 0.01 * 2 + 0.05, 0.05)
)</f>
        <v>0.05</v>
      </c>
      <c r="I63" s="11">
        <f>IF(G63="No","No",IF(_xlfn.XLOOKUP(B63,'Base stats'!B:B,'Base stats'!U:U)="No","No",
MROUND(_xlfn.XLOOKUP(B63,'Base stats'!B:B,'Base stats'!BT:BT)/10000+0.01,0.01)
))</f>
        <v>0.01</v>
      </c>
      <c r="J63" s="4">
        <f>IF(G63="No","No",
MROUND(_xlfn.XLOOKUP(B63,'Base stats'!B:B,'Base stats'!BE:BE)^0.25
/((_xlfn.XLOOKUP(B63,'Base stats'!B:B,'Base stats'!BL:BL))*10)*_xlfn.XLOOKUP(_xlfn.XLOOKUP(B63,'Base stats'!B:B,'Base stats'!E:E),Groups!A:A,Groups!Q:Q)*150 + 0.5 + _xlfn.XLOOKUP(B63,'Base stats'!B:B,'Base stats'!BW:BW),
0.05))</f>
        <v>1.25</v>
      </c>
      <c r="K63" s="3" t="str">
        <f>IF(Animals!X63="No","No",
IF(_xlfn.XLOOKUP(_xlfn.XLOOKUP(B63,'Base stats'!B:B,'Base stats'!E:E),Groups!A:A,Groups!BD:BD)=1,
MAX(MROUND(_xlfn.XLOOKUP(B63,'Base stats'!B:B,'Base stats'!BU:BU) * _xlfn.XLOOKUP(B63,'Base stats'!B:B,'Base stats'!BQ:BQ)^0.9 / 21 *_xlfn.XLOOKUP(B63,'Base stats'!B:B,'Base stats'!BX:BX),0.1),0.05),
MAX(MROUND(((MIN(10,_xlfn.XLOOKUP(B63,'Base stats'!B:B,'Base stats'!W:W)))^0.4*_xlfn.XLOOKUP(B63,'Base stats'!B:B,'Base stats'!BI:BI)^0.73)^0.6 *_xlfn.XLOOKUP(B63,'Base stats'!B:B,'Base stats'!BX:BX),0.1),0.05)
))</f>
        <v>No</v>
      </c>
      <c r="L63" s="11" t="str">
        <f>IF(K63="No","No",
MROUND(_xlfn.XLOOKUP(B63,'Base stats'!B:B,'Base stats'!BI:BI) * 0.01 *2 + 0.05, 0.05)
)</f>
        <v>No</v>
      </c>
      <c r="M63" s="5" t="str">
        <f>IF(K63="No","No",IF(_xlfn.XLOOKUP(_xlfn.XLOOKUP(B63,'Base stats'!B:B,'Base stats'!E:E),Groups!A:A,Groups!BD:BD)=1,"No",
MROUND(_xlfn.XLOOKUP(B63,'Base stats'!B:B,'Base stats'!BU:BU)/10000+0.01,0.01)
))</f>
        <v>No</v>
      </c>
      <c r="N63" s="4" t="str">
        <f>IF(K63="No","No",
MROUND(
  _xlfn.XLOOKUP(B63,'Base stats'!B:B,'Base stats'!BC:BC)^0.25
  / (_xlfn.XLOOKUP(B63,'Base stats'!B:B,'Base stats'!BM:BM) * 10)
  * _xlfn.XLOOKUP(
      _xlfn.XLOOKUP(B63,'Base stats'!B:B,'Base stats'!E:E),
      Groups!A:A,
      Groups!V:V
    ) * 150
  + MIN(12, _xlfn.XLOOKUP(B63,'Base stats'!B:B,'Base stats'!W:W))^(1/IF(_xlfn.XLOOKUP(_xlfn.XLOOKUP(B63,'Base stats'!B:B,'Base stats'!E:E),Groups!A:A,Groups!U:U)=1,100,10)) + 0.5 + _xlfn.XLOOKUP(B63,'Base stats'!B:B,'Base stats'!BW:BW),
0.05))</f>
        <v>No</v>
      </c>
      <c r="O63" s="3">
        <f>IF(Animals!AD63="No","No",
MAX(MROUND((MIN(10,_xlfn.XLOOKUP(B63,'Base stats'!B:B,'Base stats'!V:V)*IF(_xlfn.XLOOKUP(_xlfn.XLOOKUP(B63,'Base stats'!B:B,'Base stats'!E:E),Groups!A:A,Groups!O:O)=0,1,0.33))^0.4*_xlfn.XLOOKUP(B63,'Base stats'!B:B,'Base stats'!BJ:BJ)^0.73)^0.6 *_xlfn.XLOOKUP(B63,'Base stats'!B:B,'Base stats'!BX:BX),0.1),0.05)
)</f>
        <v>0.2</v>
      </c>
      <c r="P63" s="11">
        <f>IF(O63="No","No",
MROUND(_xlfn.XLOOKUP(B63,'Base stats'!B:B,'Base stats'!BJ:BJ) * 0.01 * 2 + 0.05, 0.05)
)</f>
        <v>0.05</v>
      </c>
      <c r="Q63" s="5">
        <f>IF(O63="No","No",
MROUND(_xlfn.XLOOKUP(B63,'Base stats'!B:B,'Base stats'!BV:BV)/10000+0.01,0.01)
)</f>
        <v>0.01</v>
      </c>
      <c r="R63" s="4">
        <f>IF(O63="No","No",
MROUND(_xlfn.XLOOKUP(B63,'Base stats'!B:B,'Base stats'!BB:BB)^0.25
/((_xlfn.XLOOKUP(B63,'Base stats'!B:B,'Base stats'!BN:BN))*10)*_xlfn.XLOOKUP(_xlfn.XLOOKUP(B63,'Base stats'!B:B,'Base stats'!E:E),Groups!A:A,Groups!Z:Z)*150 + 0.5 + _xlfn.XLOOKUP(B63,'Base stats'!B:B,'Base stats'!BW:BW),
0.05))</f>
        <v>1.55</v>
      </c>
      <c r="S63" s="3" t="str">
        <f>IF(Animals!AI63="No","No",
IF(_xlfn.XLOOKUP(B63,'Base stats'!B:B,'Base stats'!U:U)="No",
MAX(MROUND(_xlfn.XLOOKUP(B63,'Base stats'!B:B,'Base stats'!BT:BT) * _xlfn.XLOOKUP(B63,'Base stats'!B:B,'Base stats'!BP:BP)^0.9 / 21 * _xlfn.XLOOKUP(B63,'Base stats'!B:B,'Base stats'!BX:BX),0.1),0.05),
MAX(MROUND(((MIN(12,_xlfn.XLOOKUP(B63,'Base stats'!B:B,'Base stats'!U:U)))^0.4*_xlfn.XLOOKUP(B63,'Base stats'!B:B,'Base stats'!BH:BH)^0.73)^0.6 * _xlfn.XLOOKUP(B63,'Base stats'!B:B,'Base stats'!BX:BX),0.1),0.05)
))</f>
        <v>No</v>
      </c>
      <c r="T63" s="11" t="str">
        <f>IF(S63="No","No",
MROUND(_xlfn.XLOOKUP(B63,'Base stats'!B:B,'Base stats'!BH:BH) * 0.01 * 2 + 0.05, 0.05)
)</f>
        <v>No</v>
      </c>
      <c r="U63" s="5" t="str">
        <f>IF(S63="No","No",IF(_xlfn.XLOOKUP(B63,'Base stats'!B:B,'Base stats'!U:U)="No","No",
MROUND(_xlfn.XLOOKUP(B63,'Base stats'!B:B,'Base stats'!BT:BT)/10000+0.01,0.01)
))</f>
        <v>No</v>
      </c>
      <c r="V63" s="4" t="str">
        <f>IF(S63="No","No",
MROUND(_xlfn.XLOOKUP(B63,'Base stats'!B:B,'Base stats'!BF:BF)^0.25
/((_xlfn.XLOOKUP(B63,'Base stats'!B:B,'Base stats'!BO:BO))*10)*_xlfn.XLOOKUP(_xlfn.XLOOKUP(B63,'Base stats'!B:B,'Base stats'!E:E),Groups!A:A,Groups!AE:AE)*150 + 0.5 + _xlfn.XLOOKUP(B63,'Base stats'!B:B,'Base stats'!BW:BW),
0.05))</f>
        <v>No</v>
      </c>
      <c r="W63" s="8">
        <f>MROUND(_xlfn.XLOOKUP(_xlfn.XLOOKUP(B63,'Base stats'!B:B,'Base stats'!E:E),Groups!A:A,Groups!BG:BG)*_xlfn.XLOOKUP(B63,'Base stats'!B:B,'Base stats'!C:C)^-0.165,0.05)</f>
        <v>1.8</v>
      </c>
      <c r="X63" s="1">
        <f>MROUND(_xlfn.XLOOKUP(_xlfn.XLOOKUP(B63,'Base stats'!B:B,'Base stats'!E:E),Groups!A:A,Groups!BH:BH)*_xlfn.XLOOKUP(B63,'Base stats'!B:B,'Base stats'!C:C)^0.165,0.05)</f>
        <v>0</v>
      </c>
      <c r="Y63" s="8">
        <f>MROUND(_xlfn.XLOOKUP(_xlfn.XLOOKUP(B63,'Base stats'!B:B,'Base stats'!E:E),Groups!A:A,Groups!BI:BI)*_xlfn.XLOOKUP(B63,'Base stats'!B:B,'Base stats'!C:C)^0.165,0.05)</f>
        <v>0</v>
      </c>
      <c r="Z63" s="18">
        <f>MROUND(_xlfn.XLOOKUP(B63,'Base stats'!B:B,'Base stats'!AQ:AQ)*_xlfn.XLOOKUP(_xlfn.XLOOKUP(B63,'Base stats'!B:B,'Base stats'!E:E),Groups!A:A,Groups!H:H)/1000,IF((_xlfn.XLOOKUP(B63,'Base stats'!B:B,'Base stats'!AQ:AQ)*_xlfn.XLOOKUP(_xlfn.XLOOKUP(B63,'Base stats'!B:B,'Base stats'!E:E),Groups!A:A,Groups!H:H)/1000)&gt;1,0.05,0.01))</f>
        <v>0</v>
      </c>
      <c r="AA63" s="18">
        <f>MROUND((1/2)*(_xlfn.XLOOKUP(_xlfn.XLOOKUP(B63,'Base stats'!B:B,'Base stats'!E:E),Groups!A:A,Groups!H:H)*_xlfn.XLOOKUP(_xlfn.XLOOKUP(B63,'Base stats'!B:B,'Base stats'!E:E),Groups!A:A,Groups!I:I))*_xlfn.XLOOKUP(B63,'Base stats'!B:B,'Base stats'!AQ:AQ)*0.01,0.05)</f>
        <v>0</v>
      </c>
      <c r="AB63" s="18">
        <f>MROUND(250*(Animals!AO63+Animals!AP63),25)</f>
        <v>25</v>
      </c>
      <c r="AC63" s="18" t="str">
        <f>_xlfn.XLOOKUP(_xlfn.XLOOKUP(B63,'Base stats'!B:B,'Base stats'!E:E),Groups!A:A,Groups!BJ:BJ)</f>
        <v>Birdlike</v>
      </c>
    </row>
    <row r="64" spans="1:29" ht="16.5" thickTop="1" thickBot="1" x14ac:dyDescent="0.3">
      <c r="A64" s="16" t="str">
        <f>Animals!A64</f>
        <v>Bluebird</v>
      </c>
      <c r="B64" s="6" t="str">
        <f>Animals!B64</f>
        <v>Sialia sialis</v>
      </c>
      <c r="C64" s="1" t="str">
        <f>Animals!C64</f>
        <v>&lt;li&gt;Bluebird&lt;/li&gt;</v>
      </c>
      <c r="D64" s="47">
        <f>MIN(MIN(6,_xlfn.XLOOKUP(A64,Animals!A:A,Animals!AO:AO))*20,MAX(MROUND(_xlfn.XLOOKUP(B64,'Base stats'!B:B,'Base stats'!BS:BS) * (_xlfn.XLOOKUP(B64,'Base stats'!B:B,'Base stats'!AO:AO)*5%)^0.9 / 21,0.1),0.05))</f>
        <v>0.05</v>
      </c>
      <c r="E64" s="11">
        <f>MROUND(_xlfn.XLOOKUP(B64,'Base stats'!B:B,'Base stats'!BG:BG) * 0.01 * 2 + 0.01, 0.05)</f>
        <v>0</v>
      </c>
      <c r="F64" s="7">
        <f>MROUND(_xlfn.XLOOKUP(B64,'Base stats'!B:B,'Base stats'!BD:BD)^0.25 / (_xlfn.XLOOKUP(B64,'Base stats'!B:B,'Base stats'!BK:BK) * 10) * 150 + 0.5 + _xlfn.XLOOKUP(B64,'Base stats'!B:B,'Base stats'!BW:BW), 0.05)</f>
        <v>1</v>
      </c>
      <c r="G64" s="3">
        <f>IF(Animals!S64="No","No",
IF(_xlfn.XLOOKUP(B64,'Base stats'!B:B,'Base stats'!U:U)="No",
MAX(MROUND(_xlfn.XLOOKUP(B64,'Base stats'!B:B,'Base stats'!BT:BT) * _xlfn.XLOOKUP(B64,'Base stats'!B:B,'Base stats'!BP:BP)^0.9 / 21 * _xlfn.XLOOKUP(B64,'Base stats'!B:B,'Base stats'!BX:BX),0.1),0.05),
MAX(MROUND(((MIN(10,_xlfn.XLOOKUP(B64,'Base stats'!B:B,'Base stats'!U:U)))^0.4*_xlfn.XLOOKUP(B64,'Base stats'!B:B,'Base stats'!BH:BH)^0.73)^0.6 * _xlfn.XLOOKUP(B64,'Base stats'!B:B,'Base stats'!BX:BX),0.1),0.05)
))</f>
        <v>0.30000000000000004</v>
      </c>
      <c r="H64" s="11">
        <f>IF(G64="No","No",
MROUND(_xlfn.XLOOKUP(B64,'Base stats'!B:B,'Base stats'!BH:BH) * 0.01 * 2 + 0.05, 0.05)
)</f>
        <v>0.05</v>
      </c>
      <c r="I64" s="11">
        <f>IF(G64="No","No",IF(_xlfn.XLOOKUP(B64,'Base stats'!B:B,'Base stats'!U:U)="No","No",
MROUND(_xlfn.XLOOKUP(B64,'Base stats'!B:B,'Base stats'!BT:BT)/10000+0.01,0.01)
))</f>
        <v>0.01</v>
      </c>
      <c r="J64" s="4">
        <f>IF(G64="No","No",
MROUND(_xlfn.XLOOKUP(B64,'Base stats'!B:B,'Base stats'!BE:BE)^0.25
/((_xlfn.XLOOKUP(B64,'Base stats'!B:B,'Base stats'!BL:BL))*10)*_xlfn.XLOOKUP(_xlfn.XLOOKUP(B64,'Base stats'!B:B,'Base stats'!E:E),Groups!A:A,Groups!Q:Q)*150 + 0.5 + _xlfn.XLOOKUP(B64,'Base stats'!B:B,'Base stats'!BW:BW),
0.05))</f>
        <v>1.25</v>
      </c>
      <c r="K64" s="3" t="str">
        <f>IF(Animals!X64="No","No",
IF(_xlfn.XLOOKUP(_xlfn.XLOOKUP(B64,'Base stats'!B:B,'Base stats'!E:E),Groups!A:A,Groups!BD:BD)=1,
MAX(MROUND(_xlfn.XLOOKUP(B64,'Base stats'!B:B,'Base stats'!BU:BU) * _xlfn.XLOOKUP(B64,'Base stats'!B:B,'Base stats'!BQ:BQ)^0.9 / 21 *_xlfn.XLOOKUP(B64,'Base stats'!B:B,'Base stats'!BX:BX),0.1),0.05),
MAX(MROUND(((MIN(10,_xlfn.XLOOKUP(B64,'Base stats'!B:B,'Base stats'!W:W)))^0.4*_xlfn.XLOOKUP(B64,'Base stats'!B:B,'Base stats'!BI:BI)^0.73)^0.6 *_xlfn.XLOOKUP(B64,'Base stats'!B:B,'Base stats'!BX:BX),0.1),0.05)
))</f>
        <v>No</v>
      </c>
      <c r="L64" s="11" t="str">
        <f>IF(K64="No","No",
MROUND(_xlfn.XLOOKUP(B64,'Base stats'!B:B,'Base stats'!BI:BI) * 0.01 *2 + 0.05, 0.05)
)</f>
        <v>No</v>
      </c>
      <c r="M64" s="5" t="str">
        <f>IF(K64="No","No",IF(_xlfn.XLOOKUP(_xlfn.XLOOKUP(B64,'Base stats'!B:B,'Base stats'!E:E),Groups!A:A,Groups!BD:BD)=1,"No",
MROUND(_xlfn.XLOOKUP(B64,'Base stats'!B:B,'Base stats'!BU:BU)/10000+0.01,0.01)
))</f>
        <v>No</v>
      </c>
      <c r="N64" s="4" t="str">
        <f>IF(K64="No","No",
MROUND(
  _xlfn.XLOOKUP(B64,'Base stats'!B:B,'Base stats'!BC:BC)^0.25
  / (_xlfn.XLOOKUP(B64,'Base stats'!B:B,'Base stats'!BM:BM) * 10)
  * _xlfn.XLOOKUP(
      _xlfn.XLOOKUP(B64,'Base stats'!B:B,'Base stats'!E:E),
      Groups!A:A,
      Groups!V:V
    ) * 150
  + MIN(12, _xlfn.XLOOKUP(B64,'Base stats'!B:B,'Base stats'!W:W))^(1/IF(_xlfn.XLOOKUP(_xlfn.XLOOKUP(B64,'Base stats'!B:B,'Base stats'!E:E),Groups!A:A,Groups!U:U)=1,100,10)) + 0.5 + _xlfn.XLOOKUP(B64,'Base stats'!B:B,'Base stats'!BW:BW),
0.05))</f>
        <v>No</v>
      </c>
      <c r="O64" s="3">
        <f>IF(Animals!AD64="No","No",
MAX(MROUND((MIN(10,_xlfn.XLOOKUP(B64,'Base stats'!B:B,'Base stats'!V:V)*IF(_xlfn.XLOOKUP(_xlfn.XLOOKUP(B64,'Base stats'!B:B,'Base stats'!E:E),Groups!A:A,Groups!O:O)=0,1,0.33))^0.4*_xlfn.XLOOKUP(B64,'Base stats'!B:B,'Base stats'!BJ:BJ)^0.73)^0.6 *_xlfn.XLOOKUP(B64,'Base stats'!B:B,'Base stats'!BX:BX),0.1),0.05)
)</f>
        <v>0.2</v>
      </c>
      <c r="P64" s="11">
        <f>IF(O64="No","No",
MROUND(_xlfn.XLOOKUP(B64,'Base stats'!B:B,'Base stats'!BJ:BJ) * 0.01 * 2 + 0.05, 0.05)
)</f>
        <v>0.05</v>
      </c>
      <c r="Q64" s="5">
        <f>IF(O64="No","No",
MROUND(_xlfn.XLOOKUP(B64,'Base stats'!B:B,'Base stats'!BV:BV)/10000+0.01,0.01)
)</f>
        <v>0.01</v>
      </c>
      <c r="R64" s="4">
        <f>IF(O64="No","No",
MROUND(_xlfn.XLOOKUP(B64,'Base stats'!B:B,'Base stats'!BB:BB)^0.25
/((_xlfn.XLOOKUP(B64,'Base stats'!B:B,'Base stats'!BN:BN))*10)*_xlfn.XLOOKUP(_xlfn.XLOOKUP(B64,'Base stats'!B:B,'Base stats'!E:E),Groups!A:A,Groups!Z:Z)*150 + 0.5 + _xlfn.XLOOKUP(B64,'Base stats'!B:B,'Base stats'!BW:BW),
0.05))</f>
        <v>1.6500000000000001</v>
      </c>
      <c r="S64" s="3" t="str">
        <f>IF(Animals!AI64="No","No",
IF(_xlfn.XLOOKUP(B64,'Base stats'!B:B,'Base stats'!U:U)="No",
MAX(MROUND(_xlfn.XLOOKUP(B64,'Base stats'!B:B,'Base stats'!BT:BT) * _xlfn.XLOOKUP(B64,'Base stats'!B:B,'Base stats'!BP:BP)^0.9 / 21 * _xlfn.XLOOKUP(B64,'Base stats'!B:B,'Base stats'!BX:BX),0.1),0.05),
MAX(MROUND(((MIN(12,_xlfn.XLOOKUP(B64,'Base stats'!B:B,'Base stats'!U:U)))^0.4*_xlfn.XLOOKUP(B64,'Base stats'!B:B,'Base stats'!BH:BH)^0.73)^0.6 * _xlfn.XLOOKUP(B64,'Base stats'!B:B,'Base stats'!BX:BX),0.1),0.05)
))</f>
        <v>No</v>
      </c>
      <c r="T64" s="11" t="str">
        <f>IF(S64="No","No",
MROUND(_xlfn.XLOOKUP(B64,'Base stats'!B:B,'Base stats'!BH:BH) * 0.01 * 2 + 0.05, 0.05)
)</f>
        <v>No</v>
      </c>
      <c r="U64" s="5" t="str">
        <f>IF(S64="No","No",IF(_xlfn.XLOOKUP(B64,'Base stats'!B:B,'Base stats'!U:U)="No","No",
MROUND(_xlfn.XLOOKUP(B64,'Base stats'!B:B,'Base stats'!BT:BT)/10000+0.01,0.01)
))</f>
        <v>No</v>
      </c>
      <c r="V64" s="4" t="str">
        <f>IF(S64="No","No",
MROUND(_xlfn.XLOOKUP(B64,'Base stats'!B:B,'Base stats'!BF:BF)^0.25
/((_xlfn.XLOOKUP(B64,'Base stats'!B:B,'Base stats'!BO:BO))*10)*_xlfn.XLOOKUP(_xlfn.XLOOKUP(B64,'Base stats'!B:B,'Base stats'!E:E),Groups!A:A,Groups!AE:AE)*150 + 0.5 + _xlfn.XLOOKUP(B64,'Base stats'!B:B,'Base stats'!BW:BW),
0.05))</f>
        <v>No</v>
      </c>
      <c r="W64" s="8">
        <f>MROUND(_xlfn.XLOOKUP(_xlfn.XLOOKUP(B64,'Base stats'!B:B,'Base stats'!E:E),Groups!A:A,Groups!BG:BG)*_xlfn.XLOOKUP(B64,'Base stats'!B:B,'Base stats'!C:C)^-0.165,0.05)</f>
        <v>1.75</v>
      </c>
      <c r="X64" s="1">
        <f>MROUND(_xlfn.XLOOKUP(_xlfn.XLOOKUP(B64,'Base stats'!B:B,'Base stats'!E:E),Groups!A:A,Groups!BH:BH)*_xlfn.XLOOKUP(B64,'Base stats'!B:B,'Base stats'!C:C)^0.165,0.05)</f>
        <v>0</v>
      </c>
      <c r="Y64" s="8">
        <f>MROUND(_xlfn.XLOOKUP(_xlfn.XLOOKUP(B64,'Base stats'!B:B,'Base stats'!E:E),Groups!A:A,Groups!BI:BI)*_xlfn.XLOOKUP(B64,'Base stats'!B:B,'Base stats'!C:C)^0.165,0.05)</f>
        <v>0</v>
      </c>
      <c r="Z64" s="18">
        <f>MROUND(_xlfn.XLOOKUP(B64,'Base stats'!B:B,'Base stats'!AQ:AQ)*_xlfn.XLOOKUP(_xlfn.XLOOKUP(B64,'Base stats'!B:B,'Base stats'!E:E),Groups!A:A,Groups!H:H)/1000,IF((_xlfn.XLOOKUP(B64,'Base stats'!B:B,'Base stats'!AQ:AQ)*_xlfn.XLOOKUP(_xlfn.XLOOKUP(B64,'Base stats'!B:B,'Base stats'!E:E),Groups!A:A,Groups!H:H)/1000)&gt;1,0.05,0.01))</f>
        <v>0</v>
      </c>
      <c r="AA64" s="18">
        <f>MROUND((1/2)*(_xlfn.XLOOKUP(_xlfn.XLOOKUP(B64,'Base stats'!B:B,'Base stats'!E:E),Groups!A:A,Groups!H:H)*_xlfn.XLOOKUP(_xlfn.XLOOKUP(B64,'Base stats'!B:B,'Base stats'!E:E),Groups!A:A,Groups!I:I))*_xlfn.XLOOKUP(B64,'Base stats'!B:B,'Base stats'!AQ:AQ)*0.01,0.05)</f>
        <v>0</v>
      </c>
      <c r="AB64" s="18">
        <f>MROUND(250*(Animals!AO64+Animals!AP64),25)</f>
        <v>25</v>
      </c>
      <c r="AC64" s="18" t="str">
        <f>_xlfn.XLOOKUP(_xlfn.XLOOKUP(B64,'Base stats'!B:B,'Base stats'!E:E),Groups!A:A,Groups!BJ:BJ)</f>
        <v>Birdlike</v>
      </c>
    </row>
    <row r="65" spans="1:29" ht="16.5" thickTop="1" thickBot="1" x14ac:dyDescent="0.3">
      <c r="A65" s="16" t="str">
        <f>Animals!A65</f>
        <v>Crow</v>
      </c>
      <c r="B65" s="6" t="str">
        <f>Animals!B65</f>
        <v>Corvus corone</v>
      </c>
      <c r="C65" s="1" t="str">
        <f>Animals!C65</f>
        <v>&lt;li&gt;Crow&lt;/li&gt;</v>
      </c>
      <c r="D65" s="47">
        <f>MIN(MIN(6,_xlfn.XLOOKUP(A65,Animals!A:A,Animals!AO:AO))*20,MAX(MROUND(_xlfn.XLOOKUP(B65,'Base stats'!B:B,'Base stats'!BS:BS) * (_xlfn.XLOOKUP(B65,'Base stats'!B:B,'Base stats'!AO:AO)*5%)^0.9 / 21,0.1),0.05))</f>
        <v>0.05</v>
      </c>
      <c r="E65" s="11">
        <f>MROUND(_xlfn.XLOOKUP(B65,'Base stats'!B:B,'Base stats'!BG:BG) * 0.01 * 2 + 0.01, 0.05)</f>
        <v>0.05</v>
      </c>
      <c r="F65" s="7">
        <f>MROUND(_xlfn.XLOOKUP(B65,'Base stats'!B:B,'Base stats'!BD:BD)^0.25 / (_xlfn.XLOOKUP(B65,'Base stats'!B:B,'Base stats'!BK:BK) * 10) * 150 + 0.5 + _xlfn.XLOOKUP(B65,'Base stats'!B:B,'Base stats'!BW:BW), 0.05)</f>
        <v>1.1500000000000001</v>
      </c>
      <c r="G65" s="3">
        <f>IF(Animals!S65="No","No",
IF(_xlfn.XLOOKUP(B65,'Base stats'!B:B,'Base stats'!U:U)="No",
MAX(MROUND(_xlfn.XLOOKUP(B65,'Base stats'!B:B,'Base stats'!BT:BT) * _xlfn.XLOOKUP(B65,'Base stats'!B:B,'Base stats'!BP:BP)^0.9 / 21 * _xlfn.XLOOKUP(B65,'Base stats'!B:B,'Base stats'!BX:BX),0.1),0.05),
MAX(MROUND(((MIN(10,_xlfn.XLOOKUP(B65,'Base stats'!B:B,'Base stats'!U:U)))^0.4*_xlfn.XLOOKUP(B65,'Base stats'!B:B,'Base stats'!BH:BH)^0.73)^0.6 * _xlfn.XLOOKUP(B65,'Base stats'!B:B,'Base stats'!BX:BX),0.1),0.05)
))</f>
        <v>1.3</v>
      </c>
      <c r="H65" s="11">
        <f>IF(G65="No","No",
MROUND(_xlfn.XLOOKUP(B65,'Base stats'!B:B,'Base stats'!BH:BH) * 0.01 * 2 + 0.05, 0.05)
)</f>
        <v>0.1</v>
      </c>
      <c r="I65" s="11">
        <f>IF(G65="No","No",IF(_xlfn.XLOOKUP(B65,'Base stats'!B:B,'Base stats'!U:U)="No","No",
MROUND(_xlfn.XLOOKUP(B65,'Base stats'!B:B,'Base stats'!BT:BT)/10000+0.01,0.01)
))</f>
        <v>0.03</v>
      </c>
      <c r="J65" s="4">
        <f>IF(G65="No","No",
MROUND(_xlfn.XLOOKUP(B65,'Base stats'!B:B,'Base stats'!BE:BE)^0.25
/((_xlfn.XLOOKUP(B65,'Base stats'!B:B,'Base stats'!BL:BL))*10)*_xlfn.XLOOKUP(_xlfn.XLOOKUP(B65,'Base stats'!B:B,'Base stats'!E:E),Groups!A:A,Groups!Q:Q)*150 + 0.5 + _xlfn.XLOOKUP(B65,'Base stats'!B:B,'Base stats'!BW:BW),
0.05))</f>
        <v>1.6</v>
      </c>
      <c r="K65" s="3" t="str">
        <f>IF(Animals!X65="No","No",
IF(_xlfn.XLOOKUP(_xlfn.XLOOKUP(B65,'Base stats'!B:B,'Base stats'!E:E),Groups!A:A,Groups!BD:BD)=1,
MAX(MROUND(_xlfn.XLOOKUP(B65,'Base stats'!B:B,'Base stats'!BU:BU) * _xlfn.XLOOKUP(B65,'Base stats'!B:B,'Base stats'!BQ:BQ)^0.9 / 21 *_xlfn.XLOOKUP(B65,'Base stats'!B:B,'Base stats'!BX:BX),0.1),0.05),
MAX(MROUND(((MIN(10,_xlfn.XLOOKUP(B65,'Base stats'!B:B,'Base stats'!W:W)))^0.4*_xlfn.XLOOKUP(B65,'Base stats'!B:B,'Base stats'!BI:BI)^0.73)^0.6 *_xlfn.XLOOKUP(B65,'Base stats'!B:B,'Base stats'!BX:BX),0.1),0.05)
))</f>
        <v>No</v>
      </c>
      <c r="L65" s="11" t="str">
        <f>IF(K65="No","No",
MROUND(_xlfn.XLOOKUP(B65,'Base stats'!B:B,'Base stats'!BI:BI) * 0.01 *2 + 0.05, 0.05)
)</f>
        <v>No</v>
      </c>
      <c r="M65" s="5" t="str">
        <f>IF(K65="No","No",IF(_xlfn.XLOOKUP(_xlfn.XLOOKUP(B65,'Base stats'!B:B,'Base stats'!E:E),Groups!A:A,Groups!BD:BD)=1,"No",
MROUND(_xlfn.XLOOKUP(B65,'Base stats'!B:B,'Base stats'!BU:BU)/10000+0.01,0.01)
))</f>
        <v>No</v>
      </c>
      <c r="N65" s="4" t="str">
        <f>IF(K65="No","No",
MROUND(
  _xlfn.XLOOKUP(B65,'Base stats'!B:B,'Base stats'!BC:BC)^0.25
  / (_xlfn.XLOOKUP(B65,'Base stats'!B:B,'Base stats'!BM:BM) * 10)
  * _xlfn.XLOOKUP(
      _xlfn.XLOOKUP(B65,'Base stats'!B:B,'Base stats'!E:E),
      Groups!A:A,
      Groups!V:V
    ) * 150
  + MIN(12, _xlfn.XLOOKUP(B65,'Base stats'!B:B,'Base stats'!W:W))^(1/IF(_xlfn.XLOOKUP(_xlfn.XLOOKUP(B65,'Base stats'!B:B,'Base stats'!E:E),Groups!A:A,Groups!U:U)=1,100,10)) + 0.5 + _xlfn.XLOOKUP(B65,'Base stats'!B:B,'Base stats'!BW:BW),
0.05))</f>
        <v>No</v>
      </c>
      <c r="O65" s="3">
        <f>IF(Animals!AD65="No","No",
MAX(MROUND((MIN(10,_xlfn.XLOOKUP(B65,'Base stats'!B:B,'Base stats'!V:V)*IF(_xlfn.XLOOKUP(_xlfn.XLOOKUP(B65,'Base stats'!B:B,'Base stats'!E:E),Groups!A:A,Groups!O:O)=0,1,0.33))^0.4*_xlfn.XLOOKUP(B65,'Base stats'!B:B,'Base stats'!BJ:BJ)^0.73)^0.6 *_xlfn.XLOOKUP(B65,'Base stats'!B:B,'Base stats'!BX:BX),0.1),0.05)
)</f>
        <v>3.6</v>
      </c>
      <c r="P65" s="11">
        <f>IF(O65="No","No",
MROUND(_xlfn.XLOOKUP(B65,'Base stats'!B:B,'Base stats'!BJ:BJ) * 0.01 * 2 + 0.05, 0.05)
)</f>
        <v>0.30000000000000004</v>
      </c>
      <c r="Q65" s="5">
        <f>IF(O65="No","No",
MROUND(_xlfn.XLOOKUP(B65,'Base stats'!B:B,'Base stats'!BV:BV)/10000+0.01,0.01)
)</f>
        <v>0.04</v>
      </c>
      <c r="R65" s="4">
        <f>IF(O65="No","No",
MROUND(_xlfn.XLOOKUP(B65,'Base stats'!B:B,'Base stats'!BB:BB)^0.25
/((_xlfn.XLOOKUP(B65,'Base stats'!B:B,'Base stats'!BN:BN))*10)*_xlfn.XLOOKUP(_xlfn.XLOOKUP(B65,'Base stats'!B:B,'Base stats'!E:E),Groups!A:A,Groups!Z:Z)*150 + 0.5 + _xlfn.XLOOKUP(B65,'Base stats'!B:B,'Base stats'!BW:BW),
0.05))</f>
        <v>1.9000000000000001</v>
      </c>
      <c r="S65" s="3" t="str">
        <f>IF(Animals!AI65="No","No",
IF(_xlfn.XLOOKUP(B65,'Base stats'!B:B,'Base stats'!U:U)="No",
MAX(MROUND(_xlfn.XLOOKUP(B65,'Base stats'!B:B,'Base stats'!BT:BT) * _xlfn.XLOOKUP(B65,'Base stats'!B:B,'Base stats'!BP:BP)^0.9 / 21 * _xlfn.XLOOKUP(B65,'Base stats'!B:B,'Base stats'!BX:BX),0.1),0.05),
MAX(MROUND(((MIN(12,_xlfn.XLOOKUP(B65,'Base stats'!B:B,'Base stats'!U:U)))^0.4*_xlfn.XLOOKUP(B65,'Base stats'!B:B,'Base stats'!BH:BH)^0.73)^0.6 * _xlfn.XLOOKUP(B65,'Base stats'!B:B,'Base stats'!BX:BX),0.1),0.05)
))</f>
        <v>No</v>
      </c>
      <c r="T65" s="11" t="str">
        <f>IF(S65="No","No",
MROUND(_xlfn.XLOOKUP(B65,'Base stats'!B:B,'Base stats'!BH:BH) * 0.01 * 2 + 0.05, 0.05)
)</f>
        <v>No</v>
      </c>
      <c r="U65" s="5" t="str">
        <f>IF(S65="No","No",IF(_xlfn.XLOOKUP(B65,'Base stats'!B:B,'Base stats'!U:U)="No","No",
MROUND(_xlfn.XLOOKUP(B65,'Base stats'!B:B,'Base stats'!BT:BT)/10000+0.01,0.01)
))</f>
        <v>No</v>
      </c>
      <c r="V65" s="4" t="str">
        <f>IF(S65="No","No",
MROUND(_xlfn.XLOOKUP(B65,'Base stats'!B:B,'Base stats'!BF:BF)^0.25
/((_xlfn.XLOOKUP(B65,'Base stats'!B:B,'Base stats'!BO:BO))*10)*_xlfn.XLOOKUP(_xlfn.XLOOKUP(B65,'Base stats'!B:B,'Base stats'!E:E),Groups!A:A,Groups!AE:AE)*150 + 0.5 + _xlfn.XLOOKUP(B65,'Base stats'!B:B,'Base stats'!BW:BW),
0.05))</f>
        <v>No</v>
      </c>
      <c r="W65" s="8">
        <f>MROUND(_xlfn.XLOOKUP(_xlfn.XLOOKUP(B65,'Base stats'!B:B,'Base stats'!E:E),Groups!A:A,Groups!BG:BG)*_xlfn.XLOOKUP(B65,'Base stats'!B:B,'Base stats'!C:C)^-0.165,0.05)</f>
        <v>1.1500000000000001</v>
      </c>
      <c r="X65" s="1">
        <f>MROUND(_xlfn.XLOOKUP(_xlfn.XLOOKUP(B65,'Base stats'!B:B,'Base stats'!E:E),Groups!A:A,Groups!BH:BH)*_xlfn.XLOOKUP(B65,'Base stats'!B:B,'Base stats'!C:C)^0.165,0.05)</f>
        <v>0.1</v>
      </c>
      <c r="Y65" s="8">
        <f>MROUND(_xlfn.XLOOKUP(_xlfn.XLOOKUP(B65,'Base stats'!B:B,'Base stats'!E:E),Groups!A:A,Groups!BI:BI)*_xlfn.XLOOKUP(B65,'Base stats'!B:B,'Base stats'!C:C)^0.165,0.05)</f>
        <v>0</v>
      </c>
      <c r="Z65" s="18">
        <f>MROUND(_xlfn.XLOOKUP(B65,'Base stats'!B:B,'Base stats'!AQ:AQ)*_xlfn.XLOOKUP(_xlfn.XLOOKUP(B65,'Base stats'!B:B,'Base stats'!E:E),Groups!A:A,Groups!H:H)/1000,IF((_xlfn.XLOOKUP(B65,'Base stats'!B:B,'Base stats'!AQ:AQ)*_xlfn.XLOOKUP(_xlfn.XLOOKUP(B65,'Base stats'!B:B,'Base stats'!E:E),Groups!A:A,Groups!H:H)/1000)&gt;1,0.05,0.01))</f>
        <v>0</v>
      </c>
      <c r="AA65" s="18">
        <f>MROUND((1/2)*(_xlfn.XLOOKUP(_xlfn.XLOOKUP(B65,'Base stats'!B:B,'Base stats'!E:E),Groups!A:A,Groups!H:H)*_xlfn.XLOOKUP(_xlfn.XLOOKUP(B65,'Base stats'!B:B,'Base stats'!E:E),Groups!A:A,Groups!I:I))*_xlfn.XLOOKUP(B65,'Base stats'!B:B,'Base stats'!AQ:AQ)*0.01,0.05)</f>
        <v>0</v>
      </c>
      <c r="AB65" s="18">
        <f>MROUND(250*(Animals!AO65+Animals!AP65),25)</f>
        <v>50</v>
      </c>
      <c r="AC65" s="18" t="str">
        <f>_xlfn.XLOOKUP(_xlfn.XLOOKUP(B65,'Base stats'!B:B,'Base stats'!E:E),Groups!A:A,Groups!BJ:BJ)</f>
        <v>Birdlike</v>
      </c>
    </row>
    <row r="66" spans="1:29" ht="16.5" thickTop="1" thickBot="1" x14ac:dyDescent="0.3">
      <c r="A66" s="16" t="str">
        <f>Animals!A66</f>
        <v>Macaw</v>
      </c>
      <c r="B66" s="6" t="str">
        <f>Animals!B66</f>
        <v>Ara macao</v>
      </c>
      <c r="C66" s="1" t="str">
        <f>Animals!C66</f>
        <v>&lt;li&gt;Macaw&lt;/li&gt;</v>
      </c>
      <c r="D66" s="47">
        <f>MIN(MIN(6,_xlfn.XLOOKUP(A66,Animals!A:A,Animals!AO:AO))*20,MAX(MROUND(_xlfn.XLOOKUP(B66,'Base stats'!B:B,'Base stats'!BS:BS) * (_xlfn.XLOOKUP(B66,'Base stats'!B:B,'Base stats'!AO:AO)*5%)^0.9 / 21,0.1),0.05))</f>
        <v>0.1</v>
      </c>
      <c r="E66" s="11">
        <f>MROUND(_xlfn.XLOOKUP(B66,'Base stats'!B:B,'Base stats'!BG:BG) * 0.01 * 2 + 0.01, 0.05)</f>
        <v>0.05</v>
      </c>
      <c r="F66" s="7">
        <f>MROUND(_xlfn.XLOOKUP(B66,'Base stats'!B:B,'Base stats'!BD:BD)^0.25 / (_xlfn.XLOOKUP(B66,'Base stats'!B:B,'Base stats'!BK:BK) * 10) * 150 + 0.5 + _xlfn.XLOOKUP(B66,'Base stats'!B:B,'Base stats'!BW:BW), 0.05)</f>
        <v>1.1500000000000001</v>
      </c>
      <c r="G66" s="3">
        <f>IF(Animals!S66="No","No",
IF(_xlfn.XLOOKUP(B66,'Base stats'!B:B,'Base stats'!U:U)="No",
MAX(MROUND(_xlfn.XLOOKUP(B66,'Base stats'!B:B,'Base stats'!BT:BT) * _xlfn.XLOOKUP(B66,'Base stats'!B:B,'Base stats'!BP:BP)^0.9 / 21 * _xlfn.XLOOKUP(B66,'Base stats'!B:B,'Base stats'!BX:BX),0.1),0.05),
MAX(MROUND(((MIN(10,_xlfn.XLOOKUP(B66,'Base stats'!B:B,'Base stats'!U:U)))^0.4*_xlfn.XLOOKUP(B66,'Base stats'!B:B,'Base stats'!BH:BH)^0.73)^0.6 * _xlfn.XLOOKUP(B66,'Base stats'!B:B,'Base stats'!BX:BX),0.1),0.05)
))</f>
        <v>1.7000000000000002</v>
      </c>
      <c r="H66" s="11">
        <f>IF(G66="No","No",
MROUND(_xlfn.XLOOKUP(B66,'Base stats'!B:B,'Base stats'!BH:BH) * 0.01 * 2 + 0.05, 0.05)
)</f>
        <v>0.1</v>
      </c>
      <c r="I66" s="11">
        <f>IF(G66="No","No",IF(_xlfn.XLOOKUP(B66,'Base stats'!B:B,'Base stats'!U:U)="No","No",
MROUND(_xlfn.XLOOKUP(B66,'Base stats'!B:B,'Base stats'!BT:BT)/10000+0.01,0.01)
))</f>
        <v>0.03</v>
      </c>
      <c r="J66" s="4">
        <f>IF(G66="No","No",
MROUND(_xlfn.XLOOKUP(B66,'Base stats'!B:B,'Base stats'!BE:BE)^0.25
/((_xlfn.XLOOKUP(B66,'Base stats'!B:B,'Base stats'!BL:BL))*10)*_xlfn.XLOOKUP(_xlfn.XLOOKUP(B66,'Base stats'!B:B,'Base stats'!E:E),Groups!A:A,Groups!Q:Q)*150 + 0.5 + _xlfn.XLOOKUP(B66,'Base stats'!B:B,'Base stats'!BW:BW),
0.05))</f>
        <v>1.75</v>
      </c>
      <c r="K66" s="3" t="str">
        <f>IF(Animals!X66="No","No",
IF(_xlfn.XLOOKUP(_xlfn.XLOOKUP(B66,'Base stats'!B:B,'Base stats'!E:E),Groups!A:A,Groups!BD:BD)=1,
MAX(MROUND(_xlfn.XLOOKUP(B66,'Base stats'!B:B,'Base stats'!BU:BU) * _xlfn.XLOOKUP(B66,'Base stats'!B:B,'Base stats'!BQ:BQ)^0.9 / 21 *_xlfn.XLOOKUP(B66,'Base stats'!B:B,'Base stats'!BX:BX),0.1),0.05),
MAX(MROUND(((MIN(10,_xlfn.XLOOKUP(B66,'Base stats'!B:B,'Base stats'!W:W)))^0.4*_xlfn.XLOOKUP(B66,'Base stats'!B:B,'Base stats'!BI:BI)^0.73)^0.6 *_xlfn.XLOOKUP(B66,'Base stats'!B:B,'Base stats'!BX:BX),0.1),0.05)
))</f>
        <v>No</v>
      </c>
      <c r="L66" s="11" t="str">
        <f>IF(K66="No","No",
MROUND(_xlfn.XLOOKUP(B66,'Base stats'!B:B,'Base stats'!BI:BI) * 0.01 *2 + 0.05, 0.05)
)</f>
        <v>No</v>
      </c>
      <c r="M66" s="5" t="str">
        <f>IF(K66="No","No",IF(_xlfn.XLOOKUP(_xlfn.XLOOKUP(B66,'Base stats'!B:B,'Base stats'!E:E),Groups!A:A,Groups!BD:BD)=1,"No",
MROUND(_xlfn.XLOOKUP(B66,'Base stats'!B:B,'Base stats'!BU:BU)/10000+0.01,0.01)
))</f>
        <v>No</v>
      </c>
      <c r="N66" s="4" t="str">
        <f>IF(K66="No","No",
MROUND(
  _xlfn.XLOOKUP(B66,'Base stats'!B:B,'Base stats'!BC:BC)^0.25
  / (_xlfn.XLOOKUP(B66,'Base stats'!B:B,'Base stats'!BM:BM) * 10)
  * _xlfn.XLOOKUP(
      _xlfn.XLOOKUP(B66,'Base stats'!B:B,'Base stats'!E:E),
      Groups!A:A,
      Groups!V:V
    ) * 150
  + MIN(12, _xlfn.XLOOKUP(B66,'Base stats'!B:B,'Base stats'!W:W))^(1/IF(_xlfn.XLOOKUP(_xlfn.XLOOKUP(B66,'Base stats'!B:B,'Base stats'!E:E),Groups!A:A,Groups!U:U)=1,100,10)) + 0.5 + _xlfn.XLOOKUP(B66,'Base stats'!B:B,'Base stats'!BW:BW),
0.05))</f>
        <v>No</v>
      </c>
      <c r="O66" s="3">
        <f>IF(Animals!AD66="No","No",
MAX(MROUND((MIN(10,_xlfn.XLOOKUP(B66,'Base stats'!B:B,'Base stats'!V:V)*IF(_xlfn.XLOOKUP(_xlfn.XLOOKUP(B66,'Base stats'!B:B,'Base stats'!E:E),Groups!A:A,Groups!O:O)=0,1,0.33))^0.4*_xlfn.XLOOKUP(B66,'Base stats'!B:B,'Base stats'!BJ:BJ)^0.73)^0.6 *_xlfn.XLOOKUP(B66,'Base stats'!B:B,'Base stats'!BX:BX),0.1),0.05)
)</f>
        <v>5.2</v>
      </c>
      <c r="P66" s="11">
        <f>IF(O66="No","No",
MROUND(_xlfn.XLOOKUP(B66,'Base stats'!B:B,'Base stats'!BJ:BJ) * 0.01 * 2 + 0.05, 0.05)
)</f>
        <v>0.75</v>
      </c>
      <c r="Q66" s="5">
        <f>IF(O66="No","No",
MROUND(_xlfn.XLOOKUP(B66,'Base stats'!B:B,'Base stats'!BV:BV)/10000+0.01,0.01)
)</f>
        <v>0.09</v>
      </c>
      <c r="R66" s="4">
        <f>IF(O66="No","No",
MROUND(_xlfn.XLOOKUP(B66,'Base stats'!B:B,'Base stats'!BB:BB)^0.25
/((_xlfn.XLOOKUP(B66,'Base stats'!B:B,'Base stats'!BN:BN))*10)*_xlfn.XLOOKUP(_xlfn.XLOOKUP(B66,'Base stats'!B:B,'Base stats'!E:E),Groups!A:A,Groups!Z:Z)*150 + 0.5 + _xlfn.XLOOKUP(B66,'Base stats'!B:B,'Base stats'!BW:BW),
0.05))</f>
        <v>2.25</v>
      </c>
      <c r="S66" s="3" t="str">
        <f>IF(Animals!AI66="No","No",
IF(_xlfn.XLOOKUP(B66,'Base stats'!B:B,'Base stats'!U:U)="No",
MAX(MROUND(_xlfn.XLOOKUP(B66,'Base stats'!B:B,'Base stats'!BT:BT) * _xlfn.XLOOKUP(B66,'Base stats'!B:B,'Base stats'!BP:BP)^0.9 / 21 * _xlfn.XLOOKUP(B66,'Base stats'!B:B,'Base stats'!BX:BX),0.1),0.05),
MAX(MROUND(((MIN(12,_xlfn.XLOOKUP(B66,'Base stats'!B:B,'Base stats'!U:U)))^0.4*_xlfn.XLOOKUP(B66,'Base stats'!B:B,'Base stats'!BH:BH)^0.73)^0.6 * _xlfn.XLOOKUP(B66,'Base stats'!B:B,'Base stats'!BX:BX),0.1),0.05)
))</f>
        <v>No</v>
      </c>
      <c r="T66" s="11" t="str">
        <f>IF(S66="No","No",
MROUND(_xlfn.XLOOKUP(B66,'Base stats'!B:B,'Base stats'!BH:BH) * 0.01 * 2 + 0.05, 0.05)
)</f>
        <v>No</v>
      </c>
      <c r="U66" s="5" t="str">
        <f>IF(S66="No","No",IF(_xlfn.XLOOKUP(B66,'Base stats'!B:B,'Base stats'!U:U)="No","No",
MROUND(_xlfn.XLOOKUP(B66,'Base stats'!B:B,'Base stats'!BT:BT)/10000+0.01,0.01)
))</f>
        <v>No</v>
      </c>
      <c r="V66" s="4" t="str">
        <f>IF(S66="No","No",
MROUND(_xlfn.XLOOKUP(B66,'Base stats'!B:B,'Base stats'!BF:BF)^0.25
/((_xlfn.XLOOKUP(B66,'Base stats'!B:B,'Base stats'!BO:BO))*10)*_xlfn.XLOOKUP(_xlfn.XLOOKUP(B66,'Base stats'!B:B,'Base stats'!E:E),Groups!A:A,Groups!AE:AE)*150 + 0.5 + _xlfn.XLOOKUP(B66,'Base stats'!B:B,'Base stats'!BW:BW),
0.05))</f>
        <v>No</v>
      </c>
      <c r="W66" s="8">
        <f>MROUND(_xlfn.XLOOKUP(_xlfn.XLOOKUP(B66,'Base stats'!B:B,'Base stats'!E:E),Groups!A:A,Groups!BG:BG)*_xlfn.XLOOKUP(B66,'Base stats'!B:B,'Base stats'!C:C)^-0.165,0.05)</f>
        <v>1</v>
      </c>
      <c r="X66" s="1">
        <f>MROUND(_xlfn.XLOOKUP(_xlfn.XLOOKUP(B66,'Base stats'!B:B,'Base stats'!E:E),Groups!A:A,Groups!BH:BH)*_xlfn.XLOOKUP(B66,'Base stats'!B:B,'Base stats'!C:C)^0.165,0.05)</f>
        <v>0.1</v>
      </c>
      <c r="Y66" s="8">
        <f>MROUND(_xlfn.XLOOKUP(_xlfn.XLOOKUP(B66,'Base stats'!B:B,'Base stats'!E:E),Groups!A:A,Groups!BI:BI)*_xlfn.XLOOKUP(B66,'Base stats'!B:B,'Base stats'!C:C)^0.165,0.05)</f>
        <v>0.05</v>
      </c>
      <c r="Z66" s="18">
        <f>MROUND(_xlfn.XLOOKUP(B66,'Base stats'!B:B,'Base stats'!AQ:AQ)*_xlfn.XLOOKUP(_xlfn.XLOOKUP(B66,'Base stats'!B:B,'Base stats'!E:E),Groups!A:A,Groups!H:H)/1000,IF((_xlfn.XLOOKUP(B66,'Base stats'!B:B,'Base stats'!AQ:AQ)*_xlfn.XLOOKUP(_xlfn.XLOOKUP(B66,'Base stats'!B:B,'Base stats'!E:E),Groups!A:A,Groups!H:H)/1000)&gt;1,0.05,0.01))</f>
        <v>0</v>
      </c>
      <c r="AA66" s="18">
        <f>MROUND((1/2)*(_xlfn.XLOOKUP(_xlfn.XLOOKUP(B66,'Base stats'!B:B,'Base stats'!E:E),Groups!A:A,Groups!H:H)*_xlfn.XLOOKUP(_xlfn.XLOOKUP(B66,'Base stats'!B:B,'Base stats'!E:E),Groups!A:A,Groups!I:I))*_xlfn.XLOOKUP(B66,'Base stats'!B:B,'Base stats'!AQ:AQ)*0.01,0.05)</f>
        <v>0</v>
      </c>
      <c r="AB66" s="18">
        <f>MROUND(250*(Animals!AO66+Animals!AP66),25)</f>
        <v>75</v>
      </c>
      <c r="AC66" s="18" t="str">
        <f>_xlfn.XLOOKUP(_xlfn.XLOOKUP(B66,'Base stats'!B:B,'Base stats'!E:E),Groups!A:A,Groups!BJ:BJ)</f>
        <v>Birdlike</v>
      </c>
    </row>
    <row r="67" spans="1:29" ht="16.5" thickTop="1" thickBot="1" x14ac:dyDescent="0.3">
      <c r="A67" s="16" t="str">
        <f>Animals!A67</f>
        <v>Quail</v>
      </c>
      <c r="B67" s="6" t="str">
        <f>Animals!B67</f>
        <v>Coturnix coturnix</v>
      </c>
      <c r="C67" s="1" t="str">
        <f>Animals!C67</f>
        <v>&lt;li&gt;Quail&lt;/li&gt;</v>
      </c>
      <c r="D67" s="47">
        <f>MIN(MIN(6,_xlfn.XLOOKUP(A67,Animals!A:A,Animals!AO:AO))*20,MAX(MROUND(_xlfn.XLOOKUP(B67,'Base stats'!B:B,'Base stats'!BS:BS) * (_xlfn.XLOOKUP(B67,'Base stats'!B:B,'Base stats'!AO:AO)*5%)^0.9 / 21,0.1),0.05))</f>
        <v>0.05</v>
      </c>
      <c r="E67" s="11">
        <f>MROUND(_xlfn.XLOOKUP(B67,'Base stats'!B:B,'Base stats'!BG:BG) * 0.01 * 2 + 0.01, 0.05)</f>
        <v>0</v>
      </c>
      <c r="F67" s="7">
        <f>MROUND(_xlfn.XLOOKUP(B67,'Base stats'!B:B,'Base stats'!BD:BD)^0.25 / (_xlfn.XLOOKUP(B67,'Base stats'!B:B,'Base stats'!BK:BK) * 10) * 150 + 0.5 + _xlfn.XLOOKUP(B67,'Base stats'!B:B,'Base stats'!BW:BW), 0.05)</f>
        <v>1.05</v>
      </c>
      <c r="G67" s="3">
        <f>IF(Animals!S67="No","No",
IF(_xlfn.XLOOKUP(B67,'Base stats'!B:B,'Base stats'!U:U)="No",
MAX(MROUND(_xlfn.XLOOKUP(B67,'Base stats'!B:B,'Base stats'!BT:BT) * _xlfn.XLOOKUP(B67,'Base stats'!B:B,'Base stats'!BP:BP)^0.9 / 21 * _xlfn.XLOOKUP(B67,'Base stats'!B:B,'Base stats'!BX:BX),0.1),0.05),
MAX(MROUND(((MIN(10,_xlfn.XLOOKUP(B67,'Base stats'!B:B,'Base stats'!U:U)))^0.4*_xlfn.XLOOKUP(B67,'Base stats'!B:B,'Base stats'!BH:BH)^0.73)^0.6 * _xlfn.XLOOKUP(B67,'Base stats'!B:B,'Base stats'!BX:BX),0.1),0.05)
))</f>
        <v>0.60000000000000009</v>
      </c>
      <c r="H67" s="11">
        <f>IF(G67="No","No",
MROUND(_xlfn.XLOOKUP(B67,'Base stats'!B:B,'Base stats'!BH:BH) * 0.01 * 2 + 0.05, 0.05)
)</f>
        <v>0.05</v>
      </c>
      <c r="I67" s="11">
        <f>IF(G67="No","No",IF(_xlfn.XLOOKUP(B67,'Base stats'!B:B,'Base stats'!U:U)="No","No",
MROUND(_xlfn.XLOOKUP(B67,'Base stats'!B:B,'Base stats'!BT:BT)/10000+0.01,0.01)
))</f>
        <v>0.02</v>
      </c>
      <c r="J67" s="4">
        <f>IF(G67="No","No",
MROUND(_xlfn.XLOOKUP(B67,'Base stats'!B:B,'Base stats'!BE:BE)^0.25
/((_xlfn.XLOOKUP(B67,'Base stats'!B:B,'Base stats'!BL:BL))*10)*_xlfn.XLOOKUP(_xlfn.XLOOKUP(B67,'Base stats'!B:B,'Base stats'!E:E),Groups!A:A,Groups!Q:Q)*150 + 0.5 + _xlfn.XLOOKUP(B67,'Base stats'!B:B,'Base stats'!BW:BW),
0.05))</f>
        <v>1.4500000000000002</v>
      </c>
      <c r="K67" s="3" t="str">
        <f>IF(Animals!X67="No","No",
IF(_xlfn.XLOOKUP(_xlfn.XLOOKUP(B67,'Base stats'!B:B,'Base stats'!E:E),Groups!A:A,Groups!BD:BD)=1,
MAX(MROUND(_xlfn.XLOOKUP(B67,'Base stats'!B:B,'Base stats'!BU:BU) * _xlfn.XLOOKUP(B67,'Base stats'!B:B,'Base stats'!BQ:BQ)^0.9 / 21 *_xlfn.XLOOKUP(B67,'Base stats'!B:B,'Base stats'!BX:BX),0.1),0.05),
MAX(MROUND(((MIN(10,_xlfn.XLOOKUP(B67,'Base stats'!B:B,'Base stats'!W:W)))^0.4*_xlfn.XLOOKUP(B67,'Base stats'!B:B,'Base stats'!BI:BI)^0.73)^0.6 *_xlfn.XLOOKUP(B67,'Base stats'!B:B,'Base stats'!BX:BX),0.1),0.05)
))</f>
        <v>No</v>
      </c>
      <c r="L67" s="11" t="str">
        <f>IF(K67="No","No",
MROUND(_xlfn.XLOOKUP(B67,'Base stats'!B:B,'Base stats'!BI:BI) * 0.01 *2 + 0.05, 0.05)
)</f>
        <v>No</v>
      </c>
      <c r="M67" s="5" t="str">
        <f>IF(K67="No","No",IF(_xlfn.XLOOKUP(_xlfn.XLOOKUP(B67,'Base stats'!B:B,'Base stats'!E:E),Groups!A:A,Groups!BD:BD)=1,"No",
MROUND(_xlfn.XLOOKUP(B67,'Base stats'!B:B,'Base stats'!BU:BU)/10000+0.01,0.01)
))</f>
        <v>No</v>
      </c>
      <c r="N67" s="4" t="str">
        <f>IF(K67="No","No",
MROUND(
  _xlfn.XLOOKUP(B67,'Base stats'!B:B,'Base stats'!BC:BC)^0.25
  / (_xlfn.XLOOKUP(B67,'Base stats'!B:B,'Base stats'!BM:BM) * 10)
  * _xlfn.XLOOKUP(
      _xlfn.XLOOKUP(B67,'Base stats'!B:B,'Base stats'!E:E),
      Groups!A:A,
      Groups!V:V
    ) * 150
  + MIN(12, _xlfn.XLOOKUP(B67,'Base stats'!B:B,'Base stats'!W:W))^(1/IF(_xlfn.XLOOKUP(_xlfn.XLOOKUP(B67,'Base stats'!B:B,'Base stats'!E:E),Groups!A:A,Groups!U:U)=1,100,10)) + 0.5 + _xlfn.XLOOKUP(B67,'Base stats'!B:B,'Base stats'!BW:BW),
0.05))</f>
        <v>No</v>
      </c>
      <c r="O67" s="3">
        <f>IF(Animals!AD67="No","No",
MAX(MROUND((MIN(10,_xlfn.XLOOKUP(B67,'Base stats'!B:B,'Base stats'!V:V)*IF(_xlfn.XLOOKUP(_xlfn.XLOOKUP(B67,'Base stats'!B:B,'Base stats'!E:E),Groups!A:A,Groups!O:O)=0,1,0.33))^0.4*_xlfn.XLOOKUP(B67,'Base stats'!B:B,'Base stats'!BJ:BJ)^0.73)^0.6 *_xlfn.XLOOKUP(B67,'Base stats'!B:B,'Base stats'!BX:BX),0.1),0.05)
)</f>
        <v>0.30000000000000004</v>
      </c>
      <c r="P67" s="11">
        <f>IF(O67="No","No",
MROUND(_xlfn.XLOOKUP(B67,'Base stats'!B:B,'Base stats'!BJ:BJ) * 0.01 * 2 + 0.05, 0.05)
)</f>
        <v>0.05</v>
      </c>
      <c r="Q67" s="5">
        <f>IF(O67="No","No",
MROUND(_xlfn.XLOOKUP(B67,'Base stats'!B:B,'Base stats'!BV:BV)/10000+0.01,0.01)
)</f>
        <v>0.01</v>
      </c>
      <c r="R67" s="4">
        <f>IF(O67="No","No",
MROUND(_xlfn.XLOOKUP(B67,'Base stats'!B:B,'Base stats'!BB:BB)^0.25
/((_xlfn.XLOOKUP(B67,'Base stats'!B:B,'Base stats'!BN:BN))*10)*_xlfn.XLOOKUP(_xlfn.XLOOKUP(B67,'Base stats'!B:B,'Base stats'!E:E),Groups!A:A,Groups!Z:Z)*150 + 0.5 + _xlfn.XLOOKUP(B67,'Base stats'!B:B,'Base stats'!BW:BW),
0.05))</f>
        <v>1.75</v>
      </c>
      <c r="S67" s="3" t="str">
        <f>IF(Animals!AI67="No","No",
IF(_xlfn.XLOOKUP(B67,'Base stats'!B:B,'Base stats'!U:U)="No",
MAX(MROUND(_xlfn.XLOOKUP(B67,'Base stats'!B:B,'Base stats'!BT:BT) * _xlfn.XLOOKUP(B67,'Base stats'!B:B,'Base stats'!BP:BP)^0.9 / 21 * _xlfn.XLOOKUP(B67,'Base stats'!B:B,'Base stats'!BX:BX),0.1),0.05),
MAX(MROUND(((MIN(12,_xlfn.XLOOKUP(B67,'Base stats'!B:B,'Base stats'!U:U)))^0.4*_xlfn.XLOOKUP(B67,'Base stats'!B:B,'Base stats'!BH:BH)^0.73)^0.6 * _xlfn.XLOOKUP(B67,'Base stats'!B:B,'Base stats'!BX:BX),0.1),0.05)
))</f>
        <v>No</v>
      </c>
      <c r="T67" s="11" t="str">
        <f>IF(S67="No","No",
MROUND(_xlfn.XLOOKUP(B67,'Base stats'!B:B,'Base stats'!BH:BH) * 0.01 * 2 + 0.05, 0.05)
)</f>
        <v>No</v>
      </c>
      <c r="U67" s="5" t="str">
        <f>IF(S67="No","No",IF(_xlfn.XLOOKUP(B67,'Base stats'!B:B,'Base stats'!U:U)="No","No",
MROUND(_xlfn.XLOOKUP(B67,'Base stats'!B:B,'Base stats'!BT:BT)/10000+0.01,0.01)
))</f>
        <v>No</v>
      </c>
      <c r="V67" s="4" t="str">
        <f>IF(S67="No","No",
MROUND(_xlfn.XLOOKUP(B67,'Base stats'!B:B,'Base stats'!BF:BF)^0.25
/((_xlfn.XLOOKUP(B67,'Base stats'!B:B,'Base stats'!BO:BO))*10)*_xlfn.XLOOKUP(_xlfn.XLOOKUP(B67,'Base stats'!B:B,'Base stats'!E:E),Groups!A:A,Groups!AE:AE)*150 + 0.5 + _xlfn.XLOOKUP(B67,'Base stats'!B:B,'Base stats'!BW:BW),
0.05))</f>
        <v>No</v>
      </c>
      <c r="W67" s="8">
        <f>MROUND(_xlfn.XLOOKUP(_xlfn.XLOOKUP(B67,'Base stats'!B:B,'Base stats'!E:E),Groups!A:A,Groups!BG:BG)*_xlfn.XLOOKUP(B67,'Base stats'!B:B,'Base stats'!C:C)^-0.165,0.05)</f>
        <v>1.4500000000000002</v>
      </c>
      <c r="X67" s="1">
        <f>MROUND(_xlfn.XLOOKUP(_xlfn.XLOOKUP(B67,'Base stats'!B:B,'Base stats'!E:E),Groups!A:A,Groups!BH:BH)*_xlfn.XLOOKUP(B67,'Base stats'!B:B,'Base stats'!C:C)^0.165,0.05)</f>
        <v>0</v>
      </c>
      <c r="Y67" s="8">
        <f>MROUND(_xlfn.XLOOKUP(_xlfn.XLOOKUP(B67,'Base stats'!B:B,'Base stats'!E:E),Groups!A:A,Groups!BI:BI)*_xlfn.XLOOKUP(B67,'Base stats'!B:B,'Base stats'!C:C)^0.165,0.05)</f>
        <v>0</v>
      </c>
      <c r="Z67" s="18">
        <f>MROUND(_xlfn.XLOOKUP(B67,'Base stats'!B:B,'Base stats'!AQ:AQ)*_xlfn.XLOOKUP(_xlfn.XLOOKUP(B67,'Base stats'!B:B,'Base stats'!E:E),Groups!A:A,Groups!H:H)/1000,IF((_xlfn.XLOOKUP(B67,'Base stats'!B:B,'Base stats'!AQ:AQ)*_xlfn.XLOOKUP(_xlfn.XLOOKUP(B67,'Base stats'!B:B,'Base stats'!E:E),Groups!A:A,Groups!H:H)/1000)&gt;1,0.05,0.01))</f>
        <v>0</v>
      </c>
      <c r="AA67" s="18">
        <f>MROUND((1/2)*(_xlfn.XLOOKUP(_xlfn.XLOOKUP(B67,'Base stats'!B:B,'Base stats'!E:E),Groups!A:A,Groups!H:H)*_xlfn.XLOOKUP(_xlfn.XLOOKUP(B67,'Base stats'!B:B,'Base stats'!E:E),Groups!A:A,Groups!I:I))*_xlfn.XLOOKUP(B67,'Base stats'!B:B,'Base stats'!AQ:AQ)*0.01,0.05)</f>
        <v>0</v>
      </c>
      <c r="AB67" s="18">
        <f>MROUND(250*(Animals!AO67+Animals!AP67),25)</f>
        <v>50</v>
      </c>
      <c r="AC67" s="18" t="str">
        <f>_xlfn.XLOOKUP(_xlfn.XLOOKUP(B67,'Base stats'!B:B,'Base stats'!E:E),Groups!A:A,Groups!BJ:BJ)</f>
        <v>Birdlike</v>
      </c>
    </row>
    <row r="68" spans="1:29" ht="16.5" thickTop="1" thickBot="1" x14ac:dyDescent="0.3">
      <c r="A68" s="16" t="str">
        <f>Animals!A68</f>
        <v>Swan</v>
      </c>
      <c r="B68" s="6" t="str">
        <f>Animals!B68</f>
        <v>Cygnus olor</v>
      </c>
      <c r="C68" s="1" t="str">
        <f>Animals!C68</f>
        <v>&lt;li&gt;Swan&lt;/li&gt;</v>
      </c>
      <c r="D68" s="47">
        <f>MIN(MIN(6,_xlfn.XLOOKUP(A68,Animals!A:A,Animals!AO:AO))*20,MAX(MROUND(_xlfn.XLOOKUP(B68,'Base stats'!B:B,'Base stats'!BS:BS) * (_xlfn.XLOOKUP(B68,'Base stats'!B:B,'Base stats'!AO:AO)*5%)^0.9 / 21,0.1),0.05))</f>
        <v>0.4</v>
      </c>
      <c r="E68" s="11">
        <f>MROUND(_xlfn.XLOOKUP(B68,'Base stats'!B:B,'Base stats'!BG:BG) * 0.01 * 2 + 0.01, 0.05)</f>
        <v>0.30000000000000004</v>
      </c>
      <c r="F68" s="7">
        <f>MROUND(_xlfn.XLOOKUP(B68,'Base stats'!B:B,'Base stats'!BD:BD)^0.25 / (_xlfn.XLOOKUP(B68,'Base stats'!B:B,'Base stats'!BK:BK) * 10) * 150 + 0.5 + _xlfn.XLOOKUP(B68,'Base stats'!B:B,'Base stats'!BW:BW), 0.05)</f>
        <v>1.4500000000000002</v>
      </c>
      <c r="G68" s="3" t="str">
        <f>IF(Animals!S68="No","No",
IF(_xlfn.XLOOKUP(B68,'Base stats'!B:B,'Base stats'!U:U)="No",
MAX(MROUND(_xlfn.XLOOKUP(B68,'Base stats'!B:B,'Base stats'!BT:BT) * _xlfn.XLOOKUP(B68,'Base stats'!B:B,'Base stats'!BP:BP)^0.9 / 21 * _xlfn.XLOOKUP(B68,'Base stats'!B:B,'Base stats'!BX:BX),0.1),0.05),
MAX(MROUND(((MIN(10,_xlfn.XLOOKUP(B68,'Base stats'!B:B,'Base stats'!U:U)))^0.4*_xlfn.XLOOKUP(B68,'Base stats'!B:B,'Base stats'!BH:BH)^0.73)^0.6 * _xlfn.XLOOKUP(B68,'Base stats'!B:B,'Base stats'!BX:BX),0.1),0.05)
))</f>
        <v>No</v>
      </c>
      <c r="H68" s="11" t="str">
        <f>IF(G68="No","No",
MROUND(_xlfn.XLOOKUP(B68,'Base stats'!B:B,'Base stats'!BH:BH) * 0.01 * 2 + 0.05, 0.05)
)</f>
        <v>No</v>
      </c>
      <c r="I68" s="11" t="str">
        <f>IF(G68="No","No",IF(_xlfn.XLOOKUP(B68,'Base stats'!B:B,'Base stats'!U:U)="No","No",
MROUND(_xlfn.XLOOKUP(B68,'Base stats'!B:B,'Base stats'!BT:BT)/10000+0.01,0.01)
))</f>
        <v>No</v>
      </c>
      <c r="J68" s="4" t="str">
        <f>IF(G68="No","No",
MROUND(_xlfn.XLOOKUP(B68,'Base stats'!B:B,'Base stats'!BE:BE)^0.25
/((_xlfn.XLOOKUP(B68,'Base stats'!B:B,'Base stats'!BL:BL))*10)*_xlfn.XLOOKUP(_xlfn.XLOOKUP(B68,'Base stats'!B:B,'Base stats'!E:E),Groups!A:A,Groups!Q:Q)*150 + 0.5 + _xlfn.XLOOKUP(B68,'Base stats'!B:B,'Base stats'!BW:BW),
0.05))</f>
        <v>No</v>
      </c>
      <c r="K68" s="3" t="str">
        <f>IF(Animals!X68="No","No",
IF(_xlfn.XLOOKUP(_xlfn.XLOOKUP(B68,'Base stats'!B:B,'Base stats'!E:E),Groups!A:A,Groups!BD:BD)=1,
MAX(MROUND(_xlfn.XLOOKUP(B68,'Base stats'!B:B,'Base stats'!BU:BU) * _xlfn.XLOOKUP(B68,'Base stats'!B:B,'Base stats'!BQ:BQ)^0.9 / 21 *_xlfn.XLOOKUP(B68,'Base stats'!B:B,'Base stats'!BX:BX),0.1),0.05),
MAX(MROUND(((MIN(10,_xlfn.XLOOKUP(B68,'Base stats'!B:B,'Base stats'!W:W)))^0.4*_xlfn.XLOOKUP(B68,'Base stats'!B:B,'Base stats'!BI:BI)^0.73)^0.6 *_xlfn.XLOOKUP(B68,'Base stats'!B:B,'Base stats'!BX:BX),0.1),0.05)
))</f>
        <v>No</v>
      </c>
      <c r="L68" s="11" t="str">
        <f>IF(K68="No","No",
MROUND(_xlfn.XLOOKUP(B68,'Base stats'!B:B,'Base stats'!BI:BI) * 0.01 *2 + 0.05, 0.05)
)</f>
        <v>No</v>
      </c>
      <c r="M68" s="5" t="str">
        <f>IF(K68="No","No",IF(_xlfn.XLOOKUP(_xlfn.XLOOKUP(B68,'Base stats'!B:B,'Base stats'!E:E),Groups!A:A,Groups!BD:BD)=1,"No",
MROUND(_xlfn.XLOOKUP(B68,'Base stats'!B:B,'Base stats'!BU:BU)/10000+0.01,0.01)
))</f>
        <v>No</v>
      </c>
      <c r="N68" s="4" t="str">
        <f>IF(K68="No","No",
MROUND(
  _xlfn.XLOOKUP(B68,'Base stats'!B:B,'Base stats'!BC:BC)^0.25
  / (_xlfn.XLOOKUP(B68,'Base stats'!B:B,'Base stats'!BM:BM) * 10)
  * _xlfn.XLOOKUP(
      _xlfn.XLOOKUP(B68,'Base stats'!B:B,'Base stats'!E:E),
      Groups!A:A,
      Groups!V:V
    ) * 150
  + MIN(12, _xlfn.XLOOKUP(B68,'Base stats'!B:B,'Base stats'!W:W))^(1/IF(_xlfn.XLOOKUP(_xlfn.XLOOKUP(B68,'Base stats'!B:B,'Base stats'!E:E),Groups!A:A,Groups!U:U)=1,100,10)) + 0.5 + _xlfn.XLOOKUP(B68,'Base stats'!B:B,'Base stats'!BW:BW),
0.05))</f>
        <v>No</v>
      </c>
      <c r="O68" s="3">
        <f>IF(Animals!AD68="No","No",
MAX(MROUND((MIN(10,_xlfn.XLOOKUP(B68,'Base stats'!B:B,'Base stats'!V:V)*IF(_xlfn.XLOOKUP(_xlfn.XLOOKUP(B68,'Base stats'!B:B,'Base stats'!E:E),Groups!A:A,Groups!O:O)=0,1,0.33))^0.4*_xlfn.XLOOKUP(B68,'Base stats'!B:B,'Base stats'!BJ:BJ)^0.73)^0.6 *_xlfn.XLOOKUP(B68,'Base stats'!B:B,'Base stats'!BX:BX),0.1),0.05)
)</f>
        <v>2.1</v>
      </c>
      <c r="P68" s="11">
        <f>IF(O68="No","No",
MROUND(_xlfn.XLOOKUP(B68,'Base stats'!B:B,'Base stats'!BJ:BJ) * 0.01 * 2 + 0.05, 0.05)
)</f>
        <v>0.1</v>
      </c>
      <c r="Q68" s="5">
        <f>IF(O68="No","No",
MROUND(_xlfn.XLOOKUP(B68,'Base stats'!B:B,'Base stats'!BV:BV)/10000+0.01,0.01)
)</f>
        <v>0.02</v>
      </c>
      <c r="R68" s="4">
        <f>IF(O68="No","No",
MROUND(_xlfn.XLOOKUP(B68,'Base stats'!B:B,'Base stats'!BB:BB)^0.25
/((_xlfn.XLOOKUP(B68,'Base stats'!B:B,'Base stats'!BN:BN))*10)*_xlfn.XLOOKUP(_xlfn.XLOOKUP(B68,'Base stats'!B:B,'Base stats'!E:E),Groups!A:A,Groups!Z:Z)*150 + 0.5 + _xlfn.XLOOKUP(B68,'Base stats'!B:B,'Base stats'!BW:BW),
0.05))</f>
        <v>1.8</v>
      </c>
      <c r="S68" s="3" t="str">
        <f>IF(Animals!AI68="No","No",
IF(_xlfn.XLOOKUP(B68,'Base stats'!B:B,'Base stats'!U:U)="No",
MAX(MROUND(_xlfn.XLOOKUP(B68,'Base stats'!B:B,'Base stats'!BT:BT) * _xlfn.XLOOKUP(B68,'Base stats'!B:B,'Base stats'!BP:BP)^0.9 / 21 * _xlfn.XLOOKUP(B68,'Base stats'!B:B,'Base stats'!BX:BX),0.1),0.05),
MAX(MROUND(((MIN(12,_xlfn.XLOOKUP(B68,'Base stats'!B:B,'Base stats'!U:U)))^0.4*_xlfn.XLOOKUP(B68,'Base stats'!B:B,'Base stats'!BH:BH)^0.73)^0.6 * _xlfn.XLOOKUP(B68,'Base stats'!B:B,'Base stats'!BX:BX),0.1),0.05)
))</f>
        <v>No</v>
      </c>
      <c r="T68" s="11" t="str">
        <f>IF(S68="No","No",
MROUND(_xlfn.XLOOKUP(B68,'Base stats'!B:B,'Base stats'!BH:BH) * 0.01 * 2 + 0.05, 0.05)
)</f>
        <v>No</v>
      </c>
      <c r="U68" s="5" t="str">
        <f>IF(S68="No","No",IF(_xlfn.XLOOKUP(B68,'Base stats'!B:B,'Base stats'!U:U)="No","No",
MROUND(_xlfn.XLOOKUP(B68,'Base stats'!B:B,'Base stats'!BT:BT)/10000+0.01,0.01)
))</f>
        <v>No</v>
      </c>
      <c r="V68" s="4" t="str">
        <f>IF(S68="No","No",
MROUND(_xlfn.XLOOKUP(B68,'Base stats'!B:B,'Base stats'!BF:BF)^0.25
/((_xlfn.XLOOKUP(B68,'Base stats'!B:B,'Base stats'!BO:BO))*10)*_xlfn.XLOOKUP(_xlfn.XLOOKUP(B68,'Base stats'!B:B,'Base stats'!E:E),Groups!A:A,Groups!AE:AE)*150 + 0.5 + _xlfn.XLOOKUP(B68,'Base stats'!B:B,'Base stats'!BW:BW),
0.05))</f>
        <v>No</v>
      </c>
      <c r="W68" s="8">
        <f>MROUND(_xlfn.XLOOKUP(_xlfn.XLOOKUP(B68,'Base stats'!B:B,'Base stats'!E:E),Groups!A:A,Groups!BG:BG)*_xlfn.XLOOKUP(B68,'Base stats'!B:B,'Base stats'!C:C)^-0.165,0.05)</f>
        <v>0.70000000000000007</v>
      </c>
      <c r="X68" s="1">
        <f>MROUND(_xlfn.XLOOKUP(_xlfn.XLOOKUP(B68,'Base stats'!B:B,'Base stats'!E:E),Groups!A:A,Groups!BH:BH)*_xlfn.XLOOKUP(B68,'Base stats'!B:B,'Base stats'!C:C)^0.165,0.05)</f>
        <v>0</v>
      </c>
      <c r="Y68" s="8">
        <f>MROUND(_xlfn.XLOOKUP(_xlfn.XLOOKUP(B68,'Base stats'!B:B,'Base stats'!E:E),Groups!A:A,Groups!BI:BI)*_xlfn.XLOOKUP(B68,'Base stats'!B:B,'Base stats'!C:C)^0.165,0.05)</f>
        <v>0</v>
      </c>
      <c r="Z68" s="18">
        <f>MROUND(_xlfn.XLOOKUP(B68,'Base stats'!B:B,'Base stats'!AQ:AQ)*_xlfn.XLOOKUP(_xlfn.XLOOKUP(B68,'Base stats'!B:B,'Base stats'!E:E),Groups!A:A,Groups!H:H)/1000,IF((_xlfn.XLOOKUP(B68,'Base stats'!B:B,'Base stats'!AQ:AQ)*_xlfn.XLOOKUP(_xlfn.XLOOKUP(B68,'Base stats'!B:B,'Base stats'!E:E),Groups!A:A,Groups!H:H)/1000)&gt;1,0.05,0.01))</f>
        <v>0</v>
      </c>
      <c r="AA68" s="18">
        <f>MROUND((1/2)*(_xlfn.XLOOKUP(_xlfn.XLOOKUP(B68,'Base stats'!B:B,'Base stats'!E:E),Groups!A:A,Groups!H:H)*_xlfn.XLOOKUP(_xlfn.XLOOKUP(B68,'Base stats'!B:B,'Base stats'!E:E),Groups!A:A,Groups!I:I))*_xlfn.XLOOKUP(B68,'Base stats'!B:B,'Base stats'!AQ:AQ)*0.01,0.05)</f>
        <v>0</v>
      </c>
      <c r="AB68" s="18">
        <f>MROUND(250*(Animals!AO68+Animals!AP68),25)</f>
        <v>200</v>
      </c>
      <c r="AC68" s="18" t="str">
        <f>_xlfn.XLOOKUP(_xlfn.XLOOKUP(B68,'Base stats'!B:B,'Base stats'!E:E),Groups!A:A,Groups!BJ:BJ)</f>
        <v>Birdlike</v>
      </c>
    </row>
    <row r="69" spans="1:29" ht="16.5" thickTop="1" thickBot="1" x14ac:dyDescent="0.3">
      <c r="A69" s="16" t="str">
        <f>Animals!A69</f>
        <v>Heron</v>
      </c>
      <c r="B69" s="6" t="str">
        <f>Animals!B69</f>
        <v>Ardea cinerea</v>
      </c>
      <c r="C69" s="1" t="str">
        <f>Animals!C69</f>
        <v>&lt;li&gt;Heron&lt;/li&gt;</v>
      </c>
      <c r="D69" s="47">
        <f>MIN(MIN(6,_xlfn.XLOOKUP(A69,Animals!A:A,Animals!AO:AO))*20,MAX(MROUND(_xlfn.XLOOKUP(B69,'Base stats'!B:B,'Base stats'!BS:BS) * (_xlfn.XLOOKUP(B69,'Base stats'!B:B,'Base stats'!AO:AO)*5%)^0.9 / 21,0.1),0.05))</f>
        <v>0.1</v>
      </c>
      <c r="E69" s="11">
        <f>MROUND(_xlfn.XLOOKUP(B69,'Base stats'!B:B,'Base stats'!BG:BG) * 0.01 * 2 + 0.01, 0.05)</f>
        <v>0.05</v>
      </c>
      <c r="F69" s="7">
        <f>MROUND(_xlfn.XLOOKUP(B69,'Base stats'!B:B,'Base stats'!BD:BD)^0.25 / (_xlfn.XLOOKUP(B69,'Base stats'!B:B,'Base stats'!BK:BK) * 10) * 150 + 0.5 + _xlfn.XLOOKUP(B69,'Base stats'!B:B,'Base stats'!BW:BW), 0.05)</f>
        <v>1.25</v>
      </c>
      <c r="G69" s="3" t="str">
        <f>IF(Animals!S69="No","No",
IF(_xlfn.XLOOKUP(B69,'Base stats'!B:B,'Base stats'!U:U)="No",
MAX(MROUND(_xlfn.XLOOKUP(B69,'Base stats'!B:B,'Base stats'!BT:BT) * _xlfn.XLOOKUP(B69,'Base stats'!B:B,'Base stats'!BP:BP)^0.9 / 21 * _xlfn.XLOOKUP(B69,'Base stats'!B:B,'Base stats'!BX:BX),0.1),0.05),
MAX(MROUND(((MIN(10,_xlfn.XLOOKUP(B69,'Base stats'!B:B,'Base stats'!U:U)))^0.4*_xlfn.XLOOKUP(B69,'Base stats'!B:B,'Base stats'!BH:BH)^0.73)^0.6 * _xlfn.XLOOKUP(B69,'Base stats'!B:B,'Base stats'!BX:BX),0.1),0.05)
))</f>
        <v>No</v>
      </c>
      <c r="H69" s="11" t="str">
        <f>IF(G69="No","No",
MROUND(_xlfn.XLOOKUP(B69,'Base stats'!B:B,'Base stats'!BH:BH) * 0.01 * 2 + 0.05, 0.05)
)</f>
        <v>No</v>
      </c>
      <c r="I69" s="11" t="str">
        <f>IF(G69="No","No",IF(_xlfn.XLOOKUP(B69,'Base stats'!B:B,'Base stats'!U:U)="No","No",
MROUND(_xlfn.XLOOKUP(B69,'Base stats'!B:B,'Base stats'!BT:BT)/10000+0.01,0.01)
))</f>
        <v>No</v>
      </c>
      <c r="J69" s="4" t="str">
        <f>IF(G69="No","No",
MROUND(_xlfn.XLOOKUP(B69,'Base stats'!B:B,'Base stats'!BE:BE)^0.25
/((_xlfn.XLOOKUP(B69,'Base stats'!B:B,'Base stats'!BL:BL))*10)*_xlfn.XLOOKUP(_xlfn.XLOOKUP(B69,'Base stats'!B:B,'Base stats'!E:E),Groups!A:A,Groups!Q:Q)*150 + 0.5 + _xlfn.XLOOKUP(B69,'Base stats'!B:B,'Base stats'!BW:BW),
0.05))</f>
        <v>No</v>
      </c>
      <c r="K69" s="3" t="str">
        <f>IF(Animals!X69="No","No",
IF(_xlfn.XLOOKUP(_xlfn.XLOOKUP(B69,'Base stats'!B:B,'Base stats'!E:E),Groups!A:A,Groups!BD:BD)=1,
MAX(MROUND(_xlfn.XLOOKUP(B69,'Base stats'!B:B,'Base stats'!BU:BU) * _xlfn.XLOOKUP(B69,'Base stats'!B:B,'Base stats'!BQ:BQ)^0.9 / 21 *_xlfn.XLOOKUP(B69,'Base stats'!B:B,'Base stats'!BX:BX),0.1),0.05),
MAX(MROUND(((MIN(10,_xlfn.XLOOKUP(B69,'Base stats'!B:B,'Base stats'!W:W)))^0.4*_xlfn.XLOOKUP(B69,'Base stats'!B:B,'Base stats'!BI:BI)^0.73)^0.6 *_xlfn.XLOOKUP(B69,'Base stats'!B:B,'Base stats'!BX:BX),0.1),0.05)
))</f>
        <v>No</v>
      </c>
      <c r="L69" s="11" t="str">
        <f>IF(K69="No","No",
MROUND(_xlfn.XLOOKUP(B69,'Base stats'!B:B,'Base stats'!BI:BI) * 0.01 *2 + 0.05, 0.05)
)</f>
        <v>No</v>
      </c>
      <c r="M69" s="5" t="str">
        <f>IF(K69="No","No",IF(_xlfn.XLOOKUP(_xlfn.XLOOKUP(B69,'Base stats'!B:B,'Base stats'!E:E),Groups!A:A,Groups!BD:BD)=1,"No",
MROUND(_xlfn.XLOOKUP(B69,'Base stats'!B:B,'Base stats'!BU:BU)/10000+0.01,0.01)
))</f>
        <v>No</v>
      </c>
      <c r="N69" s="4" t="str">
        <f>IF(K69="No","No",
MROUND(
  _xlfn.XLOOKUP(B69,'Base stats'!B:B,'Base stats'!BC:BC)^0.25
  / (_xlfn.XLOOKUP(B69,'Base stats'!B:B,'Base stats'!BM:BM) * 10)
  * _xlfn.XLOOKUP(
      _xlfn.XLOOKUP(B69,'Base stats'!B:B,'Base stats'!E:E),
      Groups!A:A,
      Groups!V:V
    ) * 150
  + MIN(12, _xlfn.XLOOKUP(B69,'Base stats'!B:B,'Base stats'!W:W))^(1/IF(_xlfn.XLOOKUP(_xlfn.XLOOKUP(B69,'Base stats'!B:B,'Base stats'!E:E),Groups!A:A,Groups!U:U)=1,100,10)) + 0.5 + _xlfn.XLOOKUP(B69,'Base stats'!B:B,'Base stats'!BW:BW),
0.05))</f>
        <v>No</v>
      </c>
      <c r="O69" s="3">
        <f>IF(Animals!AD69="No","No",
MAX(MROUND((MIN(10,_xlfn.XLOOKUP(B69,'Base stats'!B:B,'Base stats'!V:V)*IF(_xlfn.XLOOKUP(_xlfn.XLOOKUP(B69,'Base stats'!B:B,'Base stats'!E:E),Groups!A:A,Groups!O:O)=0,1,0.33))^0.4*_xlfn.XLOOKUP(B69,'Base stats'!B:B,'Base stats'!BJ:BJ)^0.73)^0.6 *_xlfn.XLOOKUP(B69,'Base stats'!B:B,'Base stats'!BX:BX),0.1),0.05)
)</f>
        <v>1.3</v>
      </c>
      <c r="P69" s="11">
        <f>IF(O69="No","No",
MROUND(_xlfn.XLOOKUP(B69,'Base stats'!B:B,'Base stats'!BJ:BJ) * 0.01 * 2 + 0.05, 0.05)
)</f>
        <v>0.05</v>
      </c>
      <c r="Q69" s="5">
        <f>IF(O69="No","No",
MROUND(_xlfn.XLOOKUP(B69,'Base stats'!B:B,'Base stats'!BV:BV)/10000+0.01,0.01)
)</f>
        <v>0.02</v>
      </c>
      <c r="R69" s="4">
        <f>IF(O69="No","No",
MROUND(_xlfn.XLOOKUP(B69,'Base stats'!B:B,'Base stats'!BB:BB)^0.25
/((_xlfn.XLOOKUP(B69,'Base stats'!B:B,'Base stats'!BN:BN))*10)*_xlfn.XLOOKUP(_xlfn.XLOOKUP(B69,'Base stats'!B:B,'Base stats'!E:E),Groups!A:A,Groups!Z:Z)*150 + 0.5 + _xlfn.XLOOKUP(B69,'Base stats'!B:B,'Base stats'!BW:BW),
0.05))</f>
        <v>1.7000000000000002</v>
      </c>
      <c r="S69" s="3" t="str">
        <f>IF(Animals!AI69="No","No",
IF(_xlfn.XLOOKUP(B69,'Base stats'!B:B,'Base stats'!U:U)="No",
MAX(MROUND(_xlfn.XLOOKUP(B69,'Base stats'!B:B,'Base stats'!BT:BT) * _xlfn.XLOOKUP(B69,'Base stats'!B:B,'Base stats'!BP:BP)^0.9 / 21 * _xlfn.XLOOKUP(B69,'Base stats'!B:B,'Base stats'!BX:BX),0.1),0.05),
MAX(MROUND(((MIN(12,_xlfn.XLOOKUP(B69,'Base stats'!B:B,'Base stats'!U:U)))^0.4*_xlfn.XLOOKUP(B69,'Base stats'!B:B,'Base stats'!BH:BH)^0.73)^0.6 * _xlfn.XLOOKUP(B69,'Base stats'!B:B,'Base stats'!BX:BX),0.1),0.05)
))</f>
        <v>No</v>
      </c>
      <c r="T69" s="11" t="str">
        <f>IF(S69="No","No",
MROUND(_xlfn.XLOOKUP(B69,'Base stats'!B:B,'Base stats'!BH:BH) * 0.01 * 2 + 0.05, 0.05)
)</f>
        <v>No</v>
      </c>
      <c r="U69" s="5" t="str">
        <f>IF(S69="No","No",IF(_xlfn.XLOOKUP(B69,'Base stats'!B:B,'Base stats'!U:U)="No","No",
MROUND(_xlfn.XLOOKUP(B69,'Base stats'!B:B,'Base stats'!BT:BT)/10000+0.01,0.01)
))</f>
        <v>No</v>
      </c>
      <c r="V69" s="4" t="str">
        <f>IF(S69="No","No",
MROUND(_xlfn.XLOOKUP(B69,'Base stats'!B:B,'Base stats'!BF:BF)^0.25
/((_xlfn.XLOOKUP(B69,'Base stats'!B:B,'Base stats'!BO:BO))*10)*_xlfn.XLOOKUP(_xlfn.XLOOKUP(B69,'Base stats'!B:B,'Base stats'!E:E),Groups!A:A,Groups!AE:AE)*150 + 0.5 + _xlfn.XLOOKUP(B69,'Base stats'!B:B,'Base stats'!BW:BW),
0.05))</f>
        <v>No</v>
      </c>
      <c r="W69" s="8">
        <f>MROUND(_xlfn.XLOOKUP(_xlfn.XLOOKUP(B69,'Base stats'!B:B,'Base stats'!E:E),Groups!A:A,Groups!BG:BG)*_xlfn.XLOOKUP(B69,'Base stats'!B:B,'Base stats'!C:C)^-0.165,0.05)</f>
        <v>0.95000000000000007</v>
      </c>
      <c r="X69" s="1">
        <f>MROUND(_xlfn.XLOOKUP(_xlfn.XLOOKUP(B69,'Base stats'!B:B,'Base stats'!E:E),Groups!A:A,Groups!BH:BH)*_xlfn.XLOOKUP(B69,'Base stats'!B:B,'Base stats'!C:C)^0.165,0.05)</f>
        <v>0</v>
      </c>
      <c r="Y69" s="8">
        <f>MROUND(_xlfn.XLOOKUP(_xlfn.XLOOKUP(B69,'Base stats'!B:B,'Base stats'!E:E),Groups!A:A,Groups!BI:BI)*_xlfn.XLOOKUP(B69,'Base stats'!B:B,'Base stats'!C:C)^0.165,0.05)</f>
        <v>0</v>
      </c>
      <c r="Z69" s="18">
        <f>MROUND(_xlfn.XLOOKUP(B69,'Base stats'!B:B,'Base stats'!AQ:AQ)*_xlfn.XLOOKUP(_xlfn.XLOOKUP(B69,'Base stats'!B:B,'Base stats'!E:E),Groups!A:A,Groups!H:H)/1000,IF((_xlfn.XLOOKUP(B69,'Base stats'!B:B,'Base stats'!AQ:AQ)*_xlfn.XLOOKUP(_xlfn.XLOOKUP(B69,'Base stats'!B:B,'Base stats'!E:E),Groups!A:A,Groups!H:H)/1000)&gt;1,0.05,0.01))</f>
        <v>0</v>
      </c>
      <c r="AA69" s="18">
        <f>MROUND((1/2)*(_xlfn.XLOOKUP(_xlfn.XLOOKUP(B69,'Base stats'!B:B,'Base stats'!E:E),Groups!A:A,Groups!H:H)*_xlfn.XLOOKUP(_xlfn.XLOOKUP(B69,'Base stats'!B:B,'Base stats'!E:E),Groups!A:A,Groups!I:I))*_xlfn.XLOOKUP(B69,'Base stats'!B:B,'Base stats'!AQ:AQ)*0.01,0.05)</f>
        <v>0</v>
      </c>
      <c r="AB69" s="18">
        <f>MROUND(250*(Animals!AO69+Animals!AP69),25)</f>
        <v>100</v>
      </c>
      <c r="AC69" s="18" t="str">
        <f>_xlfn.XLOOKUP(_xlfn.XLOOKUP(B69,'Base stats'!B:B,'Base stats'!E:E),Groups!A:A,Groups!BJ:BJ)</f>
        <v>Birdlike</v>
      </c>
    </row>
    <row r="70" spans="1:29" ht="16.5" thickTop="1" thickBot="1" x14ac:dyDescent="0.3">
      <c r="A70" s="16" t="str">
        <f>Animals!A70</f>
        <v>Flamingo</v>
      </c>
      <c r="B70" s="6" t="str">
        <f>Animals!B70</f>
        <v>Phoenicopterus roseus</v>
      </c>
      <c r="C70" s="1" t="str">
        <f>Animals!C70</f>
        <v>&lt;li&gt;Flamingo&lt;/li&gt;</v>
      </c>
      <c r="D70" s="47">
        <f>MIN(MIN(6,_xlfn.XLOOKUP(A70,Animals!A:A,Animals!AO:AO))*20,MAX(MROUND(_xlfn.XLOOKUP(B70,'Base stats'!B:B,'Base stats'!BS:BS) * (_xlfn.XLOOKUP(B70,'Base stats'!B:B,'Base stats'!AO:AO)*5%)^0.9 / 21,0.1),0.05))</f>
        <v>0.2</v>
      </c>
      <c r="E70" s="11">
        <f>MROUND(_xlfn.XLOOKUP(B70,'Base stats'!B:B,'Base stats'!BG:BG) * 0.01 * 2 + 0.01, 0.05)</f>
        <v>0.1</v>
      </c>
      <c r="F70" s="7">
        <f>MROUND(_xlfn.XLOOKUP(B70,'Base stats'!B:B,'Base stats'!BD:BD)^0.25 / (_xlfn.XLOOKUP(B70,'Base stats'!B:B,'Base stats'!BK:BK) * 10) * 150 + 0.5 + _xlfn.XLOOKUP(B70,'Base stats'!B:B,'Base stats'!BW:BW), 0.05)</f>
        <v>1.35</v>
      </c>
      <c r="G70" s="3" t="str">
        <f>IF(Animals!S70="No","No",
IF(_xlfn.XLOOKUP(B70,'Base stats'!B:B,'Base stats'!U:U)="No",
MAX(MROUND(_xlfn.XLOOKUP(B70,'Base stats'!B:B,'Base stats'!BT:BT) * _xlfn.XLOOKUP(B70,'Base stats'!B:B,'Base stats'!BP:BP)^0.9 / 21 * _xlfn.XLOOKUP(B70,'Base stats'!B:B,'Base stats'!BX:BX),0.1),0.05),
MAX(MROUND(((MIN(10,_xlfn.XLOOKUP(B70,'Base stats'!B:B,'Base stats'!U:U)))^0.4*_xlfn.XLOOKUP(B70,'Base stats'!B:B,'Base stats'!BH:BH)^0.73)^0.6 * _xlfn.XLOOKUP(B70,'Base stats'!B:B,'Base stats'!BX:BX),0.1),0.05)
))</f>
        <v>No</v>
      </c>
      <c r="H70" s="11" t="str">
        <f>IF(G70="No","No",
MROUND(_xlfn.XLOOKUP(B70,'Base stats'!B:B,'Base stats'!BH:BH) * 0.01 * 2 + 0.05, 0.05)
)</f>
        <v>No</v>
      </c>
      <c r="I70" s="11" t="str">
        <f>IF(G70="No","No",IF(_xlfn.XLOOKUP(B70,'Base stats'!B:B,'Base stats'!U:U)="No","No",
MROUND(_xlfn.XLOOKUP(B70,'Base stats'!B:B,'Base stats'!BT:BT)/10000+0.01,0.01)
))</f>
        <v>No</v>
      </c>
      <c r="J70" s="4" t="str">
        <f>IF(G70="No","No",
MROUND(_xlfn.XLOOKUP(B70,'Base stats'!B:B,'Base stats'!BE:BE)^0.25
/((_xlfn.XLOOKUP(B70,'Base stats'!B:B,'Base stats'!BL:BL))*10)*_xlfn.XLOOKUP(_xlfn.XLOOKUP(B70,'Base stats'!B:B,'Base stats'!E:E),Groups!A:A,Groups!Q:Q)*150 + 0.5 + _xlfn.XLOOKUP(B70,'Base stats'!B:B,'Base stats'!BW:BW),
0.05))</f>
        <v>No</v>
      </c>
      <c r="K70" s="3" t="str">
        <f>IF(Animals!X70="No","No",
IF(_xlfn.XLOOKUP(_xlfn.XLOOKUP(B70,'Base stats'!B:B,'Base stats'!E:E),Groups!A:A,Groups!BD:BD)=1,
MAX(MROUND(_xlfn.XLOOKUP(B70,'Base stats'!B:B,'Base stats'!BU:BU) * _xlfn.XLOOKUP(B70,'Base stats'!B:B,'Base stats'!BQ:BQ)^0.9 / 21 *_xlfn.XLOOKUP(B70,'Base stats'!B:B,'Base stats'!BX:BX),0.1),0.05),
MAX(MROUND(((MIN(10,_xlfn.XLOOKUP(B70,'Base stats'!B:B,'Base stats'!W:W)))^0.4*_xlfn.XLOOKUP(B70,'Base stats'!B:B,'Base stats'!BI:BI)^0.73)^0.6 *_xlfn.XLOOKUP(B70,'Base stats'!B:B,'Base stats'!BX:BX),0.1),0.05)
))</f>
        <v>No</v>
      </c>
      <c r="L70" s="11" t="str">
        <f>IF(K70="No","No",
MROUND(_xlfn.XLOOKUP(B70,'Base stats'!B:B,'Base stats'!BI:BI) * 0.01 *2 + 0.05, 0.05)
)</f>
        <v>No</v>
      </c>
      <c r="M70" s="5" t="str">
        <f>IF(K70="No","No",IF(_xlfn.XLOOKUP(_xlfn.XLOOKUP(B70,'Base stats'!B:B,'Base stats'!E:E),Groups!A:A,Groups!BD:BD)=1,"No",
MROUND(_xlfn.XLOOKUP(B70,'Base stats'!B:B,'Base stats'!BU:BU)/10000+0.01,0.01)
))</f>
        <v>No</v>
      </c>
      <c r="N70" s="4" t="str">
        <f>IF(K70="No","No",
MROUND(
  _xlfn.XLOOKUP(B70,'Base stats'!B:B,'Base stats'!BC:BC)^0.25
  / (_xlfn.XLOOKUP(B70,'Base stats'!B:B,'Base stats'!BM:BM) * 10)
  * _xlfn.XLOOKUP(
      _xlfn.XLOOKUP(B70,'Base stats'!B:B,'Base stats'!E:E),
      Groups!A:A,
      Groups!V:V
    ) * 150
  + MIN(12, _xlfn.XLOOKUP(B70,'Base stats'!B:B,'Base stats'!W:W))^(1/IF(_xlfn.XLOOKUP(_xlfn.XLOOKUP(B70,'Base stats'!B:B,'Base stats'!E:E),Groups!A:A,Groups!U:U)=1,100,10)) + 0.5 + _xlfn.XLOOKUP(B70,'Base stats'!B:B,'Base stats'!BW:BW),
0.05))</f>
        <v>No</v>
      </c>
      <c r="O70" s="3">
        <f>IF(Animals!AD70="No","No",
MAX(MROUND((MIN(10,_xlfn.XLOOKUP(B70,'Base stats'!B:B,'Base stats'!V:V)*IF(_xlfn.XLOOKUP(_xlfn.XLOOKUP(B70,'Base stats'!B:B,'Base stats'!E:E),Groups!A:A,Groups!O:O)=0,1,0.33))^0.4*_xlfn.XLOOKUP(B70,'Base stats'!B:B,'Base stats'!BJ:BJ)^0.73)^0.6 *_xlfn.XLOOKUP(B70,'Base stats'!B:B,'Base stats'!BX:BX),0.1),0.05)
)</f>
        <v>1.7000000000000002</v>
      </c>
      <c r="P70" s="11">
        <f>IF(O70="No","No",
MROUND(_xlfn.XLOOKUP(B70,'Base stats'!B:B,'Base stats'!BJ:BJ) * 0.01 * 2 + 0.05, 0.05)
)</f>
        <v>0.1</v>
      </c>
      <c r="Q70" s="5">
        <f>IF(O70="No","No",
MROUND(_xlfn.XLOOKUP(B70,'Base stats'!B:B,'Base stats'!BV:BV)/10000+0.01,0.01)
)</f>
        <v>0.02</v>
      </c>
      <c r="R70" s="4">
        <f>IF(O70="No","No",
MROUND(_xlfn.XLOOKUP(B70,'Base stats'!B:B,'Base stats'!BB:BB)^0.25
/((_xlfn.XLOOKUP(B70,'Base stats'!B:B,'Base stats'!BN:BN))*10)*_xlfn.XLOOKUP(_xlfn.XLOOKUP(B70,'Base stats'!B:B,'Base stats'!E:E),Groups!A:A,Groups!Z:Z)*150 + 0.5 + _xlfn.XLOOKUP(B70,'Base stats'!B:B,'Base stats'!BW:BW),
0.05))</f>
        <v>1.85</v>
      </c>
      <c r="S70" s="3" t="str">
        <f>IF(Animals!AI70="No","No",
IF(_xlfn.XLOOKUP(B70,'Base stats'!B:B,'Base stats'!U:U)="No",
MAX(MROUND(_xlfn.XLOOKUP(B70,'Base stats'!B:B,'Base stats'!BT:BT) * _xlfn.XLOOKUP(B70,'Base stats'!B:B,'Base stats'!BP:BP)^0.9 / 21 * _xlfn.XLOOKUP(B70,'Base stats'!B:B,'Base stats'!BX:BX),0.1),0.05),
MAX(MROUND(((MIN(12,_xlfn.XLOOKUP(B70,'Base stats'!B:B,'Base stats'!U:U)))^0.4*_xlfn.XLOOKUP(B70,'Base stats'!B:B,'Base stats'!BH:BH)^0.73)^0.6 * _xlfn.XLOOKUP(B70,'Base stats'!B:B,'Base stats'!BX:BX),0.1),0.05)
))</f>
        <v>No</v>
      </c>
      <c r="T70" s="11" t="str">
        <f>IF(S70="No","No",
MROUND(_xlfn.XLOOKUP(B70,'Base stats'!B:B,'Base stats'!BH:BH) * 0.01 * 2 + 0.05, 0.05)
)</f>
        <v>No</v>
      </c>
      <c r="U70" s="5" t="str">
        <f>IF(S70="No","No",IF(_xlfn.XLOOKUP(B70,'Base stats'!B:B,'Base stats'!U:U)="No","No",
MROUND(_xlfn.XLOOKUP(B70,'Base stats'!B:B,'Base stats'!BT:BT)/10000+0.01,0.01)
))</f>
        <v>No</v>
      </c>
      <c r="V70" s="4" t="str">
        <f>IF(S70="No","No",
MROUND(_xlfn.XLOOKUP(B70,'Base stats'!B:B,'Base stats'!BF:BF)^0.25
/((_xlfn.XLOOKUP(B70,'Base stats'!B:B,'Base stats'!BO:BO))*10)*_xlfn.XLOOKUP(_xlfn.XLOOKUP(B70,'Base stats'!B:B,'Base stats'!E:E),Groups!A:A,Groups!AE:AE)*150 + 0.5 + _xlfn.XLOOKUP(B70,'Base stats'!B:B,'Base stats'!BW:BW),
0.05))</f>
        <v>No</v>
      </c>
      <c r="W70" s="8">
        <f>MROUND(_xlfn.XLOOKUP(_xlfn.XLOOKUP(B70,'Base stats'!B:B,'Base stats'!E:E),Groups!A:A,Groups!BG:BG)*_xlfn.XLOOKUP(B70,'Base stats'!B:B,'Base stats'!C:C)^-0.165,0.05)</f>
        <v>0.8</v>
      </c>
      <c r="X70" s="1">
        <f>MROUND(_xlfn.XLOOKUP(_xlfn.XLOOKUP(B70,'Base stats'!B:B,'Base stats'!E:E),Groups!A:A,Groups!BH:BH)*_xlfn.XLOOKUP(B70,'Base stats'!B:B,'Base stats'!C:C)^0.165,0.05)</f>
        <v>0</v>
      </c>
      <c r="Y70" s="8">
        <f>MROUND(_xlfn.XLOOKUP(_xlfn.XLOOKUP(B70,'Base stats'!B:B,'Base stats'!E:E),Groups!A:A,Groups!BI:BI)*_xlfn.XLOOKUP(B70,'Base stats'!B:B,'Base stats'!C:C)^0.165,0.05)</f>
        <v>0</v>
      </c>
      <c r="Z70" s="18">
        <f>MROUND(_xlfn.XLOOKUP(B70,'Base stats'!B:B,'Base stats'!AQ:AQ)*_xlfn.XLOOKUP(_xlfn.XLOOKUP(B70,'Base stats'!B:B,'Base stats'!E:E),Groups!A:A,Groups!H:H)/1000,IF((_xlfn.XLOOKUP(B70,'Base stats'!B:B,'Base stats'!AQ:AQ)*_xlfn.XLOOKUP(_xlfn.XLOOKUP(B70,'Base stats'!B:B,'Base stats'!E:E),Groups!A:A,Groups!H:H)/1000)&gt;1,0.05,0.01))</f>
        <v>0</v>
      </c>
      <c r="AA70" s="18">
        <f>MROUND((1/2)*(_xlfn.XLOOKUP(_xlfn.XLOOKUP(B70,'Base stats'!B:B,'Base stats'!E:E),Groups!A:A,Groups!H:H)*_xlfn.XLOOKUP(_xlfn.XLOOKUP(B70,'Base stats'!B:B,'Base stats'!E:E),Groups!A:A,Groups!I:I))*_xlfn.XLOOKUP(B70,'Base stats'!B:B,'Base stats'!AQ:AQ)*0.01,0.05)</f>
        <v>0</v>
      </c>
      <c r="AB70" s="18">
        <f>MROUND(250*(Animals!AO70+Animals!AP70),25)</f>
        <v>125</v>
      </c>
      <c r="AC70" s="18" t="str">
        <f>_xlfn.XLOOKUP(_xlfn.XLOOKUP(B70,'Base stats'!B:B,'Base stats'!E:E),Groups!A:A,Groups!BJ:BJ)</f>
        <v>Birdlike</v>
      </c>
    </row>
    <row r="71" spans="1:29" ht="16.5" thickTop="1" thickBot="1" x14ac:dyDescent="0.3">
      <c r="A71" s="16" t="str">
        <f>Animals!A71</f>
        <v>Penguin</v>
      </c>
      <c r="B71" s="6" t="str">
        <f>Animals!B71</f>
        <v>Aptenodytes forsteri</v>
      </c>
      <c r="C71" s="1" t="str">
        <f>Animals!C71</f>
        <v>&lt;li&gt;Penguin&lt;/li&gt;</v>
      </c>
      <c r="D71" s="47">
        <f>MIN(MIN(6,_xlfn.XLOOKUP(A71,Animals!A:A,Animals!AO:AO))*20,MAX(MROUND(_xlfn.XLOOKUP(B71,'Base stats'!B:B,'Base stats'!BS:BS) * (_xlfn.XLOOKUP(B71,'Base stats'!B:B,'Base stats'!AO:AO)*5%)^0.9 / 21,0.1),0.05))</f>
        <v>1.1000000000000001</v>
      </c>
      <c r="E71" s="11">
        <f>MROUND(_xlfn.XLOOKUP(B71,'Base stats'!B:B,'Base stats'!BG:BG) * 0.01 * 2 + 0.01, 0.05)</f>
        <v>0.85000000000000009</v>
      </c>
      <c r="F71" s="7">
        <f>MROUND(_xlfn.XLOOKUP(B71,'Base stats'!B:B,'Base stats'!BD:BD)^0.25 / (_xlfn.XLOOKUP(B71,'Base stats'!B:B,'Base stats'!BK:BK) * 10) * 150 + 0.5 + _xlfn.XLOOKUP(B71,'Base stats'!B:B,'Base stats'!BW:BW), 0.05)</f>
        <v>1.75</v>
      </c>
      <c r="G71" s="3" t="str">
        <f>IF(Animals!S71="No","No",
IF(_xlfn.XLOOKUP(B71,'Base stats'!B:B,'Base stats'!U:U)="No",
MAX(MROUND(_xlfn.XLOOKUP(B71,'Base stats'!B:B,'Base stats'!BT:BT) * _xlfn.XLOOKUP(B71,'Base stats'!B:B,'Base stats'!BP:BP)^0.9 / 21 * _xlfn.XLOOKUP(B71,'Base stats'!B:B,'Base stats'!BX:BX),0.1),0.05),
MAX(MROUND(((MIN(10,_xlfn.XLOOKUP(B71,'Base stats'!B:B,'Base stats'!U:U)))^0.4*_xlfn.XLOOKUP(B71,'Base stats'!B:B,'Base stats'!BH:BH)^0.73)^0.6 * _xlfn.XLOOKUP(B71,'Base stats'!B:B,'Base stats'!BX:BX),0.1),0.05)
))</f>
        <v>No</v>
      </c>
      <c r="H71" s="11" t="str">
        <f>IF(G71="No","No",
MROUND(_xlfn.XLOOKUP(B71,'Base stats'!B:B,'Base stats'!BH:BH) * 0.01 * 2 + 0.05, 0.05)
)</f>
        <v>No</v>
      </c>
      <c r="I71" s="11" t="str">
        <f>IF(G71="No","No",IF(_xlfn.XLOOKUP(B71,'Base stats'!B:B,'Base stats'!U:U)="No","No",
MROUND(_xlfn.XLOOKUP(B71,'Base stats'!B:B,'Base stats'!BT:BT)/10000+0.01,0.01)
))</f>
        <v>No</v>
      </c>
      <c r="J71" s="4" t="str">
        <f>IF(G71="No","No",
MROUND(_xlfn.XLOOKUP(B71,'Base stats'!B:B,'Base stats'!BE:BE)^0.25
/((_xlfn.XLOOKUP(B71,'Base stats'!B:B,'Base stats'!BL:BL))*10)*_xlfn.XLOOKUP(_xlfn.XLOOKUP(B71,'Base stats'!B:B,'Base stats'!E:E),Groups!A:A,Groups!Q:Q)*150 + 0.5 + _xlfn.XLOOKUP(B71,'Base stats'!B:B,'Base stats'!BW:BW),
0.05))</f>
        <v>No</v>
      </c>
      <c r="K71" s="3" t="str">
        <f>IF(Animals!X71="No","No",
IF(_xlfn.XLOOKUP(_xlfn.XLOOKUP(B71,'Base stats'!B:B,'Base stats'!E:E),Groups!A:A,Groups!BD:BD)=1,
MAX(MROUND(_xlfn.XLOOKUP(B71,'Base stats'!B:B,'Base stats'!BU:BU) * _xlfn.XLOOKUP(B71,'Base stats'!B:B,'Base stats'!BQ:BQ)^0.9 / 21 *_xlfn.XLOOKUP(B71,'Base stats'!B:B,'Base stats'!BX:BX),0.1),0.05),
MAX(MROUND(((MIN(10,_xlfn.XLOOKUP(B71,'Base stats'!B:B,'Base stats'!W:W)))^0.4*_xlfn.XLOOKUP(B71,'Base stats'!B:B,'Base stats'!BI:BI)^0.73)^0.6 *_xlfn.XLOOKUP(B71,'Base stats'!B:B,'Base stats'!BX:BX),0.1),0.05)
))</f>
        <v>No</v>
      </c>
      <c r="L71" s="11" t="str">
        <f>IF(K71="No","No",
MROUND(_xlfn.XLOOKUP(B71,'Base stats'!B:B,'Base stats'!BI:BI) * 0.01 *2 + 0.05, 0.05)
)</f>
        <v>No</v>
      </c>
      <c r="M71" s="5" t="str">
        <f>IF(K71="No","No",IF(_xlfn.XLOOKUP(_xlfn.XLOOKUP(B71,'Base stats'!B:B,'Base stats'!E:E),Groups!A:A,Groups!BD:BD)=1,"No",
MROUND(_xlfn.XLOOKUP(B71,'Base stats'!B:B,'Base stats'!BU:BU)/10000+0.01,0.01)
))</f>
        <v>No</v>
      </c>
      <c r="N71" s="4" t="str">
        <f>IF(K71="No","No",
MROUND(
  _xlfn.XLOOKUP(B71,'Base stats'!B:B,'Base stats'!BC:BC)^0.25
  / (_xlfn.XLOOKUP(B71,'Base stats'!B:B,'Base stats'!BM:BM) * 10)
  * _xlfn.XLOOKUP(
      _xlfn.XLOOKUP(B71,'Base stats'!B:B,'Base stats'!E:E),
      Groups!A:A,
      Groups!V:V
    ) * 150
  + MIN(12, _xlfn.XLOOKUP(B71,'Base stats'!B:B,'Base stats'!W:W))^(1/IF(_xlfn.XLOOKUP(_xlfn.XLOOKUP(B71,'Base stats'!B:B,'Base stats'!E:E),Groups!A:A,Groups!U:U)=1,100,10)) + 0.5 + _xlfn.XLOOKUP(B71,'Base stats'!B:B,'Base stats'!BW:BW),
0.05))</f>
        <v>No</v>
      </c>
      <c r="O71" s="3">
        <f>IF(Animals!AD71="No","No",
MAX(MROUND((MIN(10,_xlfn.XLOOKUP(B71,'Base stats'!B:B,'Base stats'!V:V)*IF(_xlfn.XLOOKUP(_xlfn.XLOOKUP(B71,'Base stats'!B:B,'Base stats'!E:E),Groups!A:A,Groups!O:O)=0,1,0.33))^0.4*_xlfn.XLOOKUP(B71,'Base stats'!B:B,'Base stats'!BJ:BJ)^0.73)^0.6 *_xlfn.XLOOKUP(B71,'Base stats'!B:B,'Base stats'!BX:BX),0.1),0.05)
)</f>
        <v>3.2</v>
      </c>
      <c r="P71" s="11">
        <f>IF(O71="No","No",
MROUND(_xlfn.XLOOKUP(B71,'Base stats'!B:B,'Base stats'!BJ:BJ) * 0.01 * 2 + 0.05, 0.05)
)</f>
        <v>0.2</v>
      </c>
      <c r="Q71" s="5">
        <f>IF(O71="No","No",
MROUND(_xlfn.XLOOKUP(B71,'Base stats'!B:B,'Base stats'!BV:BV)/10000+0.01,0.01)
)</f>
        <v>0.02</v>
      </c>
      <c r="R71" s="4">
        <f>IF(O71="No","No",
MROUND(_xlfn.XLOOKUP(B71,'Base stats'!B:B,'Base stats'!BB:BB)^0.25
/((_xlfn.XLOOKUP(B71,'Base stats'!B:B,'Base stats'!BN:BN))*10)*_xlfn.XLOOKUP(_xlfn.XLOOKUP(B71,'Base stats'!B:B,'Base stats'!E:E),Groups!A:A,Groups!Z:Z)*150 + 0.5 + _xlfn.XLOOKUP(B71,'Base stats'!B:B,'Base stats'!BW:BW),
0.05))</f>
        <v>2.1</v>
      </c>
      <c r="S71" s="3" t="str">
        <f>IF(Animals!AI71="No","No",
IF(_xlfn.XLOOKUP(B71,'Base stats'!B:B,'Base stats'!U:U)="No",
MAX(MROUND(_xlfn.XLOOKUP(B71,'Base stats'!B:B,'Base stats'!BT:BT) * _xlfn.XLOOKUP(B71,'Base stats'!B:B,'Base stats'!BP:BP)^0.9 / 21 * _xlfn.XLOOKUP(B71,'Base stats'!B:B,'Base stats'!BX:BX),0.1),0.05),
MAX(MROUND(((MIN(12,_xlfn.XLOOKUP(B71,'Base stats'!B:B,'Base stats'!U:U)))^0.4*_xlfn.XLOOKUP(B71,'Base stats'!B:B,'Base stats'!BH:BH)^0.73)^0.6 * _xlfn.XLOOKUP(B71,'Base stats'!B:B,'Base stats'!BX:BX),0.1),0.05)
))</f>
        <v>No</v>
      </c>
      <c r="T71" s="11" t="str">
        <f>IF(S71="No","No",
MROUND(_xlfn.XLOOKUP(B71,'Base stats'!B:B,'Base stats'!BH:BH) * 0.01 * 2 + 0.05, 0.05)
)</f>
        <v>No</v>
      </c>
      <c r="U71" s="5" t="str">
        <f>IF(S71="No","No",IF(_xlfn.XLOOKUP(B71,'Base stats'!B:B,'Base stats'!U:U)="No","No",
MROUND(_xlfn.XLOOKUP(B71,'Base stats'!B:B,'Base stats'!BT:BT)/10000+0.01,0.01)
))</f>
        <v>No</v>
      </c>
      <c r="V71" s="4" t="str">
        <f>IF(S71="No","No",
MROUND(_xlfn.XLOOKUP(B71,'Base stats'!B:B,'Base stats'!BF:BF)^0.25
/((_xlfn.XLOOKUP(B71,'Base stats'!B:B,'Base stats'!BO:BO))*10)*_xlfn.XLOOKUP(_xlfn.XLOOKUP(B71,'Base stats'!B:B,'Base stats'!E:E),Groups!A:A,Groups!AE:AE)*150 + 0.5 + _xlfn.XLOOKUP(B71,'Base stats'!B:B,'Base stats'!BW:BW),
0.05))</f>
        <v>No</v>
      </c>
      <c r="W71" s="8">
        <f>MROUND(_xlfn.XLOOKUP(_xlfn.XLOOKUP(B71,'Base stats'!B:B,'Base stats'!E:E),Groups!A:A,Groups!BG:BG)*_xlfn.XLOOKUP(B71,'Base stats'!B:B,'Base stats'!C:C)^-0.165,0.05)</f>
        <v>0.55000000000000004</v>
      </c>
      <c r="X71" s="1">
        <f>MROUND(_xlfn.XLOOKUP(_xlfn.XLOOKUP(B71,'Base stats'!B:B,'Base stats'!E:E),Groups!A:A,Groups!BH:BH)*_xlfn.XLOOKUP(B71,'Base stats'!B:B,'Base stats'!C:C)^0.165,0.05)</f>
        <v>0</v>
      </c>
      <c r="Y71" s="8">
        <f>MROUND(_xlfn.XLOOKUP(_xlfn.XLOOKUP(B71,'Base stats'!B:B,'Base stats'!E:E),Groups!A:A,Groups!BI:BI)*_xlfn.XLOOKUP(B71,'Base stats'!B:B,'Base stats'!C:C)^0.165,0.05)</f>
        <v>0</v>
      </c>
      <c r="Z71" s="18">
        <f>MROUND(_xlfn.XLOOKUP(B71,'Base stats'!B:B,'Base stats'!AQ:AQ)*_xlfn.XLOOKUP(_xlfn.XLOOKUP(B71,'Base stats'!B:B,'Base stats'!E:E),Groups!A:A,Groups!H:H)/1000,IF((_xlfn.XLOOKUP(B71,'Base stats'!B:B,'Base stats'!AQ:AQ)*_xlfn.XLOOKUP(_xlfn.XLOOKUP(B71,'Base stats'!B:B,'Base stats'!E:E),Groups!A:A,Groups!H:H)/1000)&gt;1,0.05,0.01))</f>
        <v>0</v>
      </c>
      <c r="AA71" s="18">
        <f>MROUND((1/2)*(_xlfn.XLOOKUP(_xlfn.XLOOKUP(B71,'Base stats'!B:B,'Base stats'!E:E),Groups!A:A,Groups!H:H)*_xlfn.XLOOKUP(_xlfn.XLOOKUP(B71,'Base stats'!B:B,'Base stats'!E:E),Groups!A:A,Groups!I:I))*_xlfn.XLOOKUP(B71,'Base stats'!B:B,'Base stats'!AQ:AQ)*0.01,0.05)</f>
        <v>0</v>
      </c>
      <c r="AB71" s="18">
        <f>MROUND(250*(Animals!AO71+Animals!AP71),25)</f>
        <v>350</v>
      </c>
      <c r="AC71" s="18" t="str">
        <f>_xlfn.XLOOKUP(_xlfn.XLOOKUP(B71,'Base stats'!B:B,'Base stats'!E:E),Groups!A:A,Groups!BJ:BJ)</f>
        <v>Birdlike</v>
      </c>
    </row>
    <row r="72" spans="1:29" ht="16.5" thickTop="1" thickBot="1" x14ac:dyDescent="0.3">
      <c r="A72" s="16" t="str">
        <f>Animals!A72</f>
        <v>Peacock</v>
      </c>
      <c r="B72" s="6" t="str">
        <f>Animals!B72</f>
        <v>Pavo cristatus</v>
      </c>
      <c r="C72" s="1" t="str">
        <f>Animals!C72</f>
        <v>&lt;li&gt;Peacock&lt;/li&gt;</v>
      </c>
      <c r="D72" s="47">
        <f>MIN(MIN(6,_xlfn.XLOOKUP(A72,Animals!A:A,Animals!AO:AO))*20,MAX(MROUND(_xlfn.XLOOKUP(B72,'Base stats'!B:B,'Base stats'!BS:BS) * (_xlfn.XLOOKUP(B72,'Base stats'!B:B,'Base stats'!AO:AO)*5%)^0.9 / 21,0.1),0.05))</f>
        <v>0.2</v>
      </c>
      <c r="E72" s="11">
        <f>MROUND(_xlfn.XLOOKUP(B72,'Base stats'!B:B,'Base stats'!BG:BG) * 0.01 * 2 + 0.01, 0.05)</f>
        <v>0.15000000000000002</v>
      </c>
      <c r="F72" s="7">
        <f>MROUND(_xlfn.XLOOKUP(B72,'Base stats'!B:B,'Base stats'!BD:BD)^0.25 / (_xlfn.XLOOKUP(B72,'Base stats'!B:B,'Base stats'!BK:BK) * 10) * 150 + 0.5 + _xlfn.XLOOKUP(B72,'Base stats'!B:B,'Base stats'!BW:BW), 0.05)</f>
        <v>1.3</v>
      </c>
      <c r="G72" s="3">
        <f>IF(Animals!S72="No","No",
IF(_xlfn.XLOOKUP(B72,'Base stats'!B:B,'Base stats'!U:U)="No",
MAX(MROUND(_xlfn.XLOOKUP(B72,'Base stats'!B:B,'Base stats'!BT:BT) * _xlfn.XLOOKUP(B72,'Base stats'!B:B,'Base stats'!BP:BP)^0.9 / 21 * _xlfn.XLOOKUP(B72,'Base stats'!B:B,'Base stats'!BX:BX),0.1),0.05),
MAX(MROUND(((MIN(10,_xlfn.XLOOKUP(B72,'Base stats'!B:B,'Base stats'!U:U)))^0.4*_xlfn.XLOOKUP(B72,'Base stats'!B:B,'Base stats'!BH:BH)^0.73)^0.6 * _xlfn.XLOOKUP(B72,'Base stats'!B:B,'Base stats'!BX:BX),0.1),0.05)
))</f>
        <v>3.3000000000000003</v>
      </c>
      <c r="H72" s="11">
        <f>IF(G72="No","No",
MROUND(_xlfn.XLOOKUP(B72,'Base stats'!B:B,'Base stats'!BH:BH) * 0.01 * 2 + 0.05, 0.05)
)</f>
        <v>0.25</v>
      </c>
      <c r="I72" s="11">
        <f>IF(G72="No","No",IF(_xlfn.XLOOKUP(B72,'Base stats'!B:B,'Base stats'!U:U)="No","No",
MROUND(_xlfn.XLOOKUP(B72,'Base stats'!B:B,'Base stats'!BT:BT)/10000+0.01,0.01)
))</f>
        <v>0.05</v>
      </c>
      <c r="J72" s="4">
        <f>IF(G72="No","No",
MROUND(_xlfn.XLOOKUP(B72,'Base stats'!B:B,'Base stats'!BE:BE)^0.25
/((_xlfn.XLOOKUP(B72,'Base stats'!B:B,'Base stats'!BL:BL))*10)*_xlfn.XLOOKUP(_xlfn.XLOOKUP(B72,'Base stats'!B:B,'Base stats'!E:E),Groups!A:A,Groups!Q:Q)*150 + 0.5 + _xlfn.XLOOKUP(B72,'Base stats'!B:B,'Base stats'!BW:BW),
0.05))</f>
        <v>2.15</v>
      </c>
      <c r="K72" s="3" t="str">
        <f>IF(Animals!X72="No","No",
IF(_xlfn.XLOOKUP(_xlfn.XLOOKUP(B72,'Base stats'!B:B,'Base stats'!E:E),Groups!A:A,Groups!BD:BD)=1,
MAX(MROUND(_xlfn.XLOOKUP(B72,'Base stats'!B:B,'Base stats'!BU:BU) * _xlfn.XLOOKUP(B72,'Base stats'!B:B,'Base stats'!BQ:BQ)^0.9 / 21 *_xlfn.XLOOKUP(B72,'Base stats'!B:B,'Base stats'!BX:BX),0.1),0.05),
MAX(MROUND(((MIN(10,_xlfn.XLOOKUP(B72,'Base stats'!B:B,'Base stats'!W:W)))^0.4*_xlfn.XLOOKUP(B72,'Base stats'!B:B,'Base stats'!BI:BI)^0.73)^0.6 *_xlfn.XLOOKUP(B72,'Base stats'!B:B,'Base stats'!BX:BX),0.1),0.05)
))</f>
        <v>No</v>
      </c>
      <c r="L72" s="11" t="str">
        <f>IF(K72="No","No",
MROUND(_xlfn.XLOOKUP(B72,'Base stats'!B:B,'Base stats'!BI:BI) * 0.01 *2 + 0.05, 0.05)
)</f>
        <v>No</v>
      </c>
      <c r="M72" s="5" t="str">
        <f>IF(K72="No","No",IF(_xlfn.XLOOKUP(_xlfn.XLOOKUP(B72,'Base stats'!B:B,'Base stats'!E:E),Groups!A:A,Groups!BD:BD)=1,"No",
MROUND(_xlfn.XLOOKUP(B72,'Base stats'!B:B,'Base stats'!BU:BU)/10000+0.01,0.01)
))</f>
        <v>No</v>
      </c>
      <c r="N72" s="4" t="str">
        <f>IF(K72="No","No",
MROUND(
  _xlfn.XLOOKUP(B72,'Base stats'!B:B,'Base stats'!BC:BC)^0.25
  / (_xlfn.XLOOKUP(B72,'Base stats'!B:B,'Base stats'!BM:BM) * 10)
  * _xlfn.XLOOKUP(
      _xlfn.XLOOKUP(B72,'Base stats'!B:B,'Base stats'!E:E),
      Groups!A:A,
      Groups!V:V
    ) * 150
  + MIN(12, _xlfn.XLOOKUP(B72,'Base stats'!B:B,'Base stats'!W:W))^(1/IF(_xlfn.XLOOKUP(_xlfn.XLOOKUP(B72,'Base stats'!B:B,'Base stats'!E:E),Groups!A:A,Groups!U:U)=1,100,10)) + 0.5 + _xlfn.XLOOKUP(B72,'Base stats'!B:B,'Base stats'!BW:BW),
0.05))</f>
        <v>No</v>
      </c>
      <c r="O72" s="3">
        <f>IF(Animals!AD72="No","No",
MAX(MROUND((MIN(10,_xlfn.XLOOKUP(B72,'Base stats'!B:B,'Base stats'!V:V)*IF(_xlfn.XLOOKUP(_xlfn.XLOOKUP(B72,'Base stats'!B:B,'Base stats'!E:E),Groups!A:A,Groups!O:O)=0,1,0.33))^0.4*_xlfn.XLOOKUP(B72,'Base stats'!B:B,'Base stats'!BJ:BJ)^0.73)^0.6 *_xlfn.XLOOKUP(B72,'Base stats'!B:B,'Base stats'!BX:BX),0.1),0.05)
)</f>
        <v>1.1000000000000001</v>
      </c>
      <c r="P72" s="11">
        <f>IF(O72="No","No",
MROUND(_xlfn.XLOOKUP(B72,'Base stats'!B:B,'Base stats'!BJ:BJ) * 0.01 * 2 + 0.05, 0.05)
)</f>
        <v>0.1</v>
      </c>
      <c r="Q72" s="5">
        <f>IF(O72="No","No",
MROUND(_xlfn.XLOOKUP(B72,'Base stats'!B:B,'Base stats'!BV:BV)/10000+0.01,0.01)
)</f>
        <v>0.02</v>
      </c>
      <c r="R72" s="4">
        <f>IF(O72="No","No",
MROUND(_xlfn.XLOOKUP(B72,'Base stats'!B:B,'Base stats'!BB:BB)^0.25
/((_xlfn.XLOOKUP(B72,'Base stats'!B:B,'Base stats'!BN:BN))*10)*_xlfn.XLOOKUP(_xlfn.XLOOKUP(B72,'Base stats'!B:B,'Base stats'!E:E),Groups!A:A,Groups!Z:Z)*150 + 0.5 + _xlfn.XLOOKUP(B72,'Base stats'!B:B,'Base stats'!BW:BW),
0.05))</f>
        <v>2.25</v>
      </c>
      <c r="S72" s="3" t="str">
        <f>IF(Animals!AI72="No","No",
IF(_xlfn.XLOOKUP(B72,'Base stats'!B:B,'Base stats'!U:U)="No",
MAX(MROUND(_xlfn.XLOOKUP(B72,'Base stats'!B:B,'Base stats'!BT:BT) * _xlfn.XLOOKUP(B72,'Base stats'!B:B,'Base stats'!BP:BP)^0.9 / 21 * _xlfn.XLOOKUP(B72,'Base stats'!B:B,'Base stats'!BX:BX),0.1),0.05),
MAX(MROUND(((MIN(12,_xlfn.XLOOKUP(B72,'Base stats'!B:B,'Base stats'!U:U)))^0.4*_xlfn.XLOOKUP(B72,'Base stats'!B:B,'Base stats'!BH:BH)^0.73)^0.6 * _xlfn.XLOOKUP(B72,'Base stats'!B:B,'Base stats'!BX:BX),0.1),0.05)
))</f>
        <v>No</v>
      </c>
      <c r="T72" s="11" t="str">
        <f>IF(S72="No","No",
MROUND(_xlfn.XLOOKUP(B72,'Base stats'!B:B,'Base stats'!BH:BH) * 0.01 * 2 + 0.05, 0.05)
)</f>
        <v>No</v>
      </c>
      <c r="U72" s="5" t="str">
        <f>IF(S72="No","No",IF(_xlfn.XLOOKUP(B72,'Base stats'!B:B,'Base stats'!U:U)="No","No",
MROUND(_xlfn.XLOOKUP(B72,'Base stats'!B:B,'Base stats'!BT:BT)/10000+0.01,0.01)
))</f>
        <v>No</v>
      </c>
      <c r="V72" s="4" t="str">
        <f>IF(S72="No","No",
MROUND(_xlfn.XLOOKUP(B72,'Base stats'!B:B,'Base stats'!BF:BF)^0.25
/((_xlfn.XLOOKUP(B72,'Base stats'!B:B,'Base stats'!BO:BO))*10)*_xlfn.XLOOKUP(_xlfn.XLOOKUP(B72,'Base stats'!B:B,'Base stats'!E:E),Groups!A:A,Groups!AE:AE)*150 + 0.5 + _xlfn.XLOOKUP(B72,'Base stats'!B:B,'Base stats'!BW:BW),
0.05))</f>
        <v>No</v>
      </c>
      <c r="W72" s="8">
        <f>MROUND(_xlfn.XLOOKUP(_xlfn.XLOOKUP(B72,'Base stats'!B:B,'Base stats'!E:E),Groups!A:A,Groups!BG:BG)*_xlfn.XLOOKUP(B72,'Base stats'!B:B,'Base stats'!C:C)^-0.165,0.05)</f>
        <v>0.8</v>
      </c>
      <c r="X72" s="1">
        <f>MROUND(_xlfn.XLOOKUP(_xlfn.XLOOKUP(B72,'Base stats'!B:B,'Base stats'!E:E),Groups!A:A,Groups!BH:BH)*_xlfn.XLOOKUP(B72,'Base stats'!B:B,'Base stats'!C:C)^0.165,0.05)</f>
        <v>0</v>
      </c>
      <c r="Y72" s="8">
        <f>MROUND(_xlfn.XLOOKUP(_xlfn.XLOOKUP(B72,'Base stats'!B:B,'Base stats'!E:E),Groups!A:A,Groups!BI:BI)*_xlfn.XLOOKUP(B72,'Base stats'!B:B,'Base stats'!C:C)^0.165,0.05)</f>
        <v>0</v>
      </c>
      <c r="Z72" s="18">
        <f>MROUND(_xlfn.XLOOKUP(B72,'Base stats'!B:B,'Base stats'!AQ:AQ)*_xlfn.XLOOKUP(_xlfn.XLOOKUP(B72,'Base stats'!B:B,'Base stats'!E:E),Groups!A:A,Groups!H:H)/1000,IF((_xlfn.XLOOKUP(B72,'Base stats'!B:B,'Base stats'!AQ:AQ)*_xlfn.XLOOKUP(_xlfn.XLOOKUP(B72,'Base stats'!B:B,'Base stats'!E:E),Groups!A:A,Groups!H:H)/1000)&gt;1,0.05,0.01))</f>
        <v>0</v>
      </c>
      <c r="AA72" s="18">
        <f>MROUND((1/2)*(_xlfn.XLOOKUP(_xlfn.XLOOKUP(B72,'Base stats'!B:B,'Base stats'!E:E),Groups!A:A,Groups!H:H)*_xlfn.XLOOKUP(_xlfn.XLOOKUP(B72,'Base stats'!B:B,'Base stats'!E:E),Groups!A:A,Groups!I:I))*_xlfn.XLOOKUP(B72,'Base stats'!B:B,'Base stats'!AQ:AQ)*0.01,0.05)</f>
        <v>0</v>
      </c>
      <c r="AB72" s="18">
        <f>MROUND(250*(Animals!AO72+Animals!AP72),25)</f>
        <v>150</v>
      </c>
      <c r="AC72" s="18" t="str">
        <f>_xlfn.XLOOKUP(_xlfn.XLOOKUP(B72,'Base stats'!B:B,'Base stats'!E:E),Groups!A:A,Groups!BJ:BJ)</f>
        <v>Birdlike</v>
      </c>
    </row>
    <row r="73" spans="1:29" ht="16.5" thickTop="1" thickBot="1" x14ac:dyDescent="0.3">
      <c r="A73" s="16" t="str">
        <f>Animals!A73</f>
        <v>Vulture</v>
      </c>
      <c r="B73" s="6" t="str">
        <f>Animals!B73</f>
        <v>Gyps africanus</v>
      </c>
      <c r="C73" s="1" t="str">
        <f>Animals!C73</f>
        <v>&lt;li&gt;Vulture&lt;/li&gt;</v>
      </c>
      <c r="D73" s="47">
        <f>MIN(MIN(6,_xlfn.XLOOKUP(A73,Animals!A:A,Animals!AO:AO))*20,MAX(MROUND(_xlfn.XLOOKUP(B73,'Base stats'!B:B,'Base stats'!BS:BS) * (_xlfn.XLOOKUP(B73,'Base stats'!B:B,'Base stats'!AO:AO)*5%)^0.9 / 21,0.1),0.05))</f>
        <v>0.30000000000000004</v>
      </c>
      <c r="E73" s="11">
        <f>MROUND(_xlfn.XLOOKUP(B73,'Base stats'!B:B,'Base stats'!BG:BG) * 0.01 * 2 + 0.01, 0.05)</f>
        <v>0.2</v>
      </c>
      <c r="F73" s="7">
        <f>MROUND(_xlfn.XLOOKUP(B73,'Base stats'!B:B,'Base stats'!BD:BD)^0.25 / (_xlfn.XLOOKUP(B73,'Base stats'!B:B,'Base stats'!BK:BK) * 10) * 150 + 0.5 + _xlfn.XLOOKUP(B73,'Base stats'!B:B,'Base stats'!BW:BW), 0.05)</f>
        <v>1.4500000000000002</v>
      </c>
      <c r="G73" s="3">
        <f>IF(Animals!S73="No","No",
IF(_xlfn.XLOOKUP(B73,'Base stats'!B:B,'Base stats'!U:U)="No",
MAX(MROUND(_xlfn.XLOOKUP(B73,'Base stats'!B:B,'Base stats'!BT:BT) * _xlfn.XLOOKUP(B73,'Base stats'!B:B,'Base stats'!BP:BP)^0.9 / 21 * _xlfn.XLOOKUP(B73,'Base stats'!B:B,'Base stats'!BX:BX),0.1),0.05),
MAX(MROUND(((MIN(10,_xlfn.XLOOKUP(B73,'Base stats'!B:B,'Base stats'!U:U)))^0.4*_xlfn.XLOOKUP(B73,'Base stats'!B:B,'Base stats'!BH:BH)^0.73)^0.6 * _xlfn.XLOOKUP(B73,'Base stats'!B:B,'Base stats'!BX:BX),0.1),0.05)
))</f>
        <v>3.7</v>
      </c>
      <c r="H73" s="11">
        <f>IF(G73="No","No",
MROUND(_xlfn.XLOOKUP(B73,'Base stats'!B:B,'Base stats'!BH:BH) * 0.01 * 2 + 0.05, 0.05)
)</f>
        <v>0.30000000000000004</v>
      </c>
      <c r="I73" s="11">
        <f>IF(G73="No","No",IF(_xlfn.XLOOKUP(B73,'Base stats'!B:B,'Base stats'!U:U)="No","No",
MROUND(_xlfn.XLOOKUP(B73,'Base stats'!B:B,'Base stats'!BT:BT)/10000+0.01,0.01)
))</f>
        <v>0.06</v>
      </c>
      <c r="J73" s="4">
        <f>IF(G73="No","No",
MROUND(_xlfn.XLOOKUP(B73,'Base stats'!B:B,'Base stats'!BE:BE)^0.25
/((_xlfn.XLOOKUP(B73,'Base stats'!B:B,'Base stats'!BL:BL))*10)*_xlfn.XLOOKUP(_xlfn.XLOOKUP(B73,'Base stats'!B:B,'Base stats'!E:E),Groups!A:A,Groups!Q:Q)*150 + 0.5 + _xlfn.XLOOKUP(B73,'Base stats'!B:B,'Base stats'!BW:BW),
0.05))</f>
        <v>2.25</v>
      </c>
      <c r="K73" s="3" t="str">
        <f>IF(Animals!X73="No","No",
IF(_xlfn.XLOOKUP(_xlfn.XLOOKUP(B73,'Base stats'!B:B,'Base stats'!E:E),Groups!A:A,Groups!BD:BD)=1,
MAX(MROUND(_xlfn.XLOOKUP(B73,'Base stats'!B:B,'Base stats'!BU:BU) * _xlfn.XLOOKUP(B73,'Base stats'!B:B,'Base stats'!BQ:BQ)^0.9 / 21 *_xlfn.XLOOKUP(B73,'Base stats'!B:B,'Base stats'!BX:BX),0.1),0.05),
MAX(MROUND(((MIN(10,_xlfn.XLOOKUP(B73,'Base stats'!B:B,'Base stats'!W:W)))^0.4*_xlfn.XLOOKUP(B73,'Base stats'!B:B,'Base stats'!BI:BI)^0.73)^0.6 *_xlfn.XLOOKUP(B73,'Base stats'!B:B,'Base stats'!BX:BX),0.1),0.05)
))</f>
        <v>No</v>
      </c>
      <c r="L73" s="11" t="str">
        <f>IF(K73="No","No",
MROUND(_xlfn.XLOOKUP(B73,'Base stats'!B:B,'Base stats'!BI:BI) * 0.01 *2 + 0.05, 0.05)
)</f>
        <v>No</v>
      </c>
      <c r="M73" s="5" t="str">
        <f>IF(K73="No","No",IF(_xlfn.XLOOKUP(_xlfn.XLOOKUP(B73,'Base stats'!B:B,'Base stats'!E:E),Groups!A:A,Groups!BD:BD)=1,"No",
MROUND(_xlfn.XLOOKUP(B73,'Base stats'!B:B,'Base stats'!BU:BU)/10000+0.01,0.01)
))</f>
        <v>No</v>
      </c>
      <c r="N73" s="4" t="str">
        <f>IF(K73="No","No",
MROUND(
  _xlfn.XLOOKUP(B73,'Base stats'!B:B,'Base stats'!BC:BC)^0.25
  / (_xlfn.XLOOKUP(B73,'Base stats'!B:B,'Base stats'!BM:BM) * 10)
  * _xlfn.XLOOKUP(
      _xlfn.XLOOKUP(B73,'Base stats'!B:B,'Base stats'!E:E),
      Groups!A:A,
      Groups!V:V
    ) * 150
  + MIN(12, _xlfn.XLOOKUP(B73,'Base stats'!B:B,'Base stats'!W:W))^(1/IF(_xlfn.XLOOKUP(_xlfn.XLOOKUP(B73,'Base stats'!B:B,'Base stats'!E:E),Groups!A:A,Groups!U:U)=1,100,10)) + 0.5 + _xlfn.XLOOKUP(B73,'Base stats'!B:B,'Base stats'!BW:BW),
0.05))</f>
        <v>No</v>
      </c>
      <c r="O73" s="3">
        <f>IF(Animals!AD73="No","No",
MAX(MROUND((MIN(10,_xlfn.XLOOKUP(B73,'Base stats'!B:B,'Base stats'!V:V)*IF(_xlfn.XLOOKUP(_xlfn.XLOOKUP(B73,'Base stats'!B:B,'Base stats'!E:E),Groups!A:A,Groups!O:O)=0,1,0.33))^0.4*_xlfn.XLOOKUP(B73,'Base stats'!B:B,'Base stats'!BJ:BJ)^0.73)^0.6 *_xlfn.XLOOKUP(B73,'Base stats'!B:B,'Base stats'!BX:BX),0.1),0.05)
)</f>
        <v>1.6</v>
      </c>
      <c r="P73" s="11">
        <f>IF(O73="No","No",
MROUND(_xlfn.XLOOKUP(B73,'Base stats'!B:B,'Base stats'!BJ:BJ) * 0.01 * 2 + 0.05, 0.05)
)</f>
        <v>0.1</v>
      </c>
      <c r="Q73" s="5">
        <f>IF(O73="No","No",
MROUND(_xlfn.XLOOKUP(B73,'Base stats'!B:B,'Base stats'!BV:BV)/10000+0.01,0.01)
)</f>
        <v>0.02</v>
      </c>
      <c r="R73" s="4">
        <f>IF(O73="No","No",
MROUND(_xlfn.XLOOKUP(B73,'Base stats'!B:B,'Base stats'!BB:BB)^0.25
/((_xlfn.XLOOKUP(B73,'Base stats'!B:B,'Base stats'!BN:BN))*10)*_xlfn.XLOOKUP(_xlfn.XLOOKUP(B73,'Base stats'!B:B,'Base stats'!E:E),Groups!A:A,Groups!Z:Z)*150 + 0.5 + _xlfn.XLOOKUP(B73,'Base stats'!B:B,'Base stats'!BW:BW),
0.05))</f>
        <v>2.35</v>
      </c>
      <c r="S73" s="3" t="str">
        <f>IF(Animals!AI73="No","No",
IF(_xlfn.XLOOKUP(B73,'Base stats'!B:B,'Base stats'!U:U)="No",
MAX(MROUND(_xlfn.XLOOKUP(B73,'Base stats'!B:B,'Base stats'!BT:BT) * _xlfn.XLOOKUP(B73,'Base stats'!B:B,'Base stats'!BP:BP)^0.9 / 21 * _xlfn.XLOOKUP(B73,'Base stats'!B:B,'Base stats'!BX:BX),0.1),0.05),
MAX(MROUND(((MIN(12,_xlfn.XLOOKUP(B73,'Base stats'!B:B,'Base stats'!U:U)))^0.4*_xlfn.XLOOKUP(B73,'Base stats'!B:B,'Base stats'!BH:BH)^0.73)^0.6 * _xlfn.XLOOKUP(B73,'Base stats'!B:B,'Base stats'!BX:BX),0.1),0.05)
))</f>
        <v>No</v>
      </c>
      <c r="T73" s="11" t="str">
        <f>IF(S73="No","No",
MROUND(_xlfn.XLOOKUP(B73,'Base stats'!B:B,'Base stats'!BH:BH) * 0.01 * 2 + 0.05, 0.05)
)</f>
        <v>No</v>
      </c>
      <c r="U73" s="5" t="str">
        <f>IF(S73="No","No",IF(_xlfn.XLOOKUP(B73,'Base stats'!B:B,'Base stats'!U:U)="No","No",
MROUND(_xlfn.XLOOKUP(B73,'Base stats'!B:B,'Base stats'!BT:BT)/10000+0.01,0.01)
))</f>
        <v>No</v>
      </c>
      <c r="V73" s="4" t="str">
        <f>IF(S73="No","No",
MROUND(_xlfn.XLOOKUP(B73,'Base stats'!B:B,'Base stats'!BF:BF)^0.25
/((_xlfn.XLOOKUP(B73,'Base stats'!B:B,'Base stats'!BO:BO))*10)*_xlfn.XLOOKUP(_xlfn.XLOOKUP(B73,'Base stats'!B:B,'Base stats'!E:E),Groups!A:A,Groups!AE:AE)*150 + 0.5 + _xlfn.XLOOKUP(B73,'Base stats'!B:B,'Base stats'!BW:BW),
0.05))</f>
        <v>No</v>
      </c>
      <c r="W73" s="8">
        <f>MROUND(_xlfn.XLOOKUP(_xlfn.XLOOKUP(B73,'Base stats'!B:B,'Base stats'!E:E),Groups!A:A,Groups!BG:BG)*_xlfn.XLOOKUP(B73,'Base stats'!B:B,'Base stats'!C:C)^-0.165,0.05)</f>
        <v>0.75</v>
      </c>
      <c r="X73" s="1">
        <f>MROUND(_xlfn.XLOOKUP(_xlfn.XLOOKUP(B73,'Base stats'!B:B,'Base stats'!E:E),Groups!A:A,Groups!BH:BH)*_xlfn.XLOOKUP(B73,'Base stats'!B:B,'Base stats'!C:C)^0.165,0.05)</f>
        <v>0.15000000000000002</v>
      </c>
      <c r="Y73" s="8">
        <f>MROUND(_xlfn.XLOOKUP(_xlfn.XLOOKUP(B73,'Base stats'!B:B,'Base stats'!E:E),Groups!A:A,Groups!BI:BI)*_xlfn.XLOOKUP(B73,'Base stats'!B:B,'Base stats'!C:C)^0.165,0.05)</f>
        <v>0.05</v>
      </c>
      <c r="Z73" s="18">
        <f>MROUND(_xlfn.XLOOKUP(B73,'Base stats'!B:B,'Base stats'!AQ:AQ)*_xlfn.XLOOKUP(_xlfn.XLOOKUP(B73,'Base stats'!B:B,'Base stats'!E:E),Groups!A:A,Groups!H:H)/1000,IF((_xlfn.XLOOKUP(B73,'Base stats'!B:B,'Base stats'!AQ:AQ)*_xlfn.XLOOKUP(_xlfn.XLOOKUP(B73,'Base stats'!B:B,'Base stats'!E:E),Groups!A:A,Groups!H:H)/1000)&gt;1,0.05,0.01))</f>
        <v>0</v>
      </c>
      <c r="AA73" s="18">
        <f>MROUND((1/2)*(_xlfn.XLOOKUP(_xlfn.XLOOKUP(B73,'Base stats'!B:B,'Base stats'!E:E),Groups!A:A,Groups!H:H)*_xlfn.XLOOKUP(_xlfn.XLOOKUP(B73,'Base stats'!B:B,'Base stats'!E:E),Groups!A:A,Groups!I:I))*_xlfn.XLOOKUP(B73,'Base stats'!B:B,'Base stats'!AQ:AQ)*0.01,0.05)</f>
        <v>0</v>
      </c>
      <c r="AB73" s="18">
        <f>MROUND(250*(Animals!AO73+Animals!AP73),25)</f>
        <v>150</v>
      </c>
      <c r="AC73" s="18" t="str">
        <f>_xlfn.XLOOKUP(_xlfn.XLOOKUP(B73,'Base stats'!B:B,'Base stats'!E:E),Groups!A:A,Groups!BJ:BJ)</f>
        <v>Birdlike</v>
      </c>
    </row>
    <row r="74" spans="1:29" ht="16.5" thickTop="1" thickBot="1" x14ac:dyDescent="0.3">
      <c r="A74" s="16" t="str">
        <f>Animals!A74</f>
        <v>Tiger</v>
      </c>
      <c r="B74" s="6" t="str">
        <f>Animals!B74</f>
        <v>Panthera tigris</v>
      </c>
      <c r="C74" s="1" t="str">
        <f>Animals!C74</f>
        <v>&lt;li&gt;Tiger&lt;/li&gt;</v>
      </c>
      <c r="D74" s="47">
        <f>MIN(MIN(6,_xlfn.XLOOKUP(A74,Animals!A:A,Animals!AO:AO))*20,MAX(MROUND(_xlfn.XLOOKUP(B74,'Base stats'!B:B,'Base stats'!BS:BS) * (_xlfn.XLOOKUP(B74,'Base stats'!B:B,'Base stats'!AO:AO)*5%)^0.9 / 21,0.1),0.05))</f>
        <v>5</v>
      </c>
      <c r="E74" s="11">
        <f>MROUND(_xlfn.XLOOKUP(B74,'Base stats'!B:B,'Base stats'!BG:BG) * 0.01 * 2 + 0.01, 0.05)</f>
        <v>4.45</v>
      </c>
      <c r="F74" s="7">
        <f>MROUND(_xlfn.XLOOKUP(B74,'Base stats'!B:B,'Base stats'!BD:BD)^0.25 / (_xlfn.XLOOKUP(B74,'Base stats'!B:B,'Base stats'!BK:BK) * 10) * 150 + 0.5 + _xlfn.XLOOKUP(B74,'Base stats'!B:B,'Base stats'!BW:BW), 0.05)</f>
        <v>2.15</v>
      </c>
      <c r="G74" s="3" t="str">
        <f>IF(Animals!S74="No","No",
IF(_xlfn.XLOOKUP(B74,'Base stats'!B:B,'Base stats'!U:U)="No",
MAX(MROUND(_xlfn.XLOOKUP(B74,'Base stats'!B:B,'Base stats'!BT:BT) * _xlfn.XLOOKUP(B74,'Base stats'!B:B,'Base stats'!BP:BP)^0.9 / 21 * _xlfn.XLOOKUP(B74,'Base stats'!B:B,'Base stats'!BX:BX),0.1),0.05),
MAX(MROUND(((MIN(10,_xlfn.XLOOKUP(B74,'Base stats'!B:B,'Base stats'!U:U)))^0.4*_xlfn.XLOOKUP(B74,'Base stats'!B:B,'Base stats'!BH:BH)^0.73)^0.6 * _xlfn.XLOOKUP(B74,'Base stats'!B:B,'Base stats'!BX:BX),0.1),0.05)
))</f>
        <v>No</v>
      </c>
      <c r="H74" s="11" t="str">
        <f>IF(G74="No","No",
MROUND(_xlfn.XLOOKUP(B74,'Base stats'!B:B,'Base stats'!BH:BH) * 0.01 * 2 + 0.05, 0.05)
)</f>
        <v>No</v>
      </c>
      <c r="I74" s="11" t="str">
        <f>IF(G74="No","No",IF(_xlfn.XLOOKUP(B74,'Base stats'!B:B,'Base stats'!U:U)="No","No",
MROUND(_xlfn.XLOOKUP(B74,'Base stats'!B:B,'Base stats'!BT:BT)/10000+0.01,0.01)
))</f>
        <v>No</v>
      </c>
      <c r="J74" s="4" t="str">
        <f>IF(G74="No","No",
MROUND(_xlfn.XLOOKUP(B74,'Base stats'!B:B,'Base stats'!BE:BE)^0.25
/((_xlfn.XLOOKUP(B74,'Base stats'!B:B,'Base stats'!BL:BL))*10)*_xlfn.XLOOKUP(_xlfn.XLOOKUP(B74,'Base stats'!B:B,'Base stats'!E:E),Groups!A:A,Groups!Q:Q)*150 + 0.5 + _xlfn.XLOOKUP(B74,'Base stats'!B:B,'Base stats'!BW:BW),
0.05))</f>
        <v>No</v>
      </c>
      <c r="K74" s="3" t="str">
        <f>IF(Animals!X74="No","No",
IF(_xlfn.XLOOKUP(_xlfn.XLOOKUP(B74,'Base stats'!B:B,'Base stats'!E:E),Groups!A:A,Groups!BD:BD)=1,
MAX(MROUND(_xlfn.XLOOKUP(B74,'Base stats'!B:B,'Base stats'!BU:BU) * _xlfn.XLOOKUP(B74,'Base stats'!B:B,'Base stats'!BQ:BQ)^0.9 / 21 *_xlfn.XLOOKUP(B74,'Base stats'!B:B,'Base stats'!BX:BX),0.1),0.05),
MAX(MROUND(((MIN(10,_xlfn.XLOOKUP(B74,'Base stats'!B:B,'Base stats'!W:W)))^0.4*_xlfn.XLOOKUP(B74,'Base stats'!B:B,'Base stats'!BI:BI)^0.73)^0.6 *_xlfn.XLOOKUP(B74,'Base stats'!B:B,'Base stats'!BX:BX),0.1),0.05)
))</f>
        <v>No</v>
      </c>
      <c r="L74" s="11" t="str">
        <f>IF(K74="No","No",
MROUND(_xlfn.XLOOKUP(B74,'Base stats'!B:B,'Base stats'!BI:BI) * 0.01 *2 + 0.05, 0.05)
)</f>
        <v>No</v>
      </c>
      <c r="M74" s="5" t="str">
        <f>IF(K74="No","No",IF(_xlfn.XLOOKUP(_xlfn.XLOOKUP(B74,'Base stats'!B:B,'Base stats'!E:E),Groups!A:A,Groups!BD:BD)=1,"No",
MROUND(_xlfn.XLOOKUP(B74,'Base stats'!B:B,'Base stats'!BU:BU)/10000+0.01,0.01)
))</f>
        <v>No</v>
      </c>
      <c r="N74" s="4" t="str">
        <f>IF(K74="No","No",
MROUND(
  _xlfn.XLOOKUP(B74,'Base stats'!B:B,'Base stats'!BC:BC)^0.25
  / (_xlfn.XLOOKUP(B74,'Base stats'!B:B,'Base stats'!BM:BM) * 10)
  * _xlfn.XLOOKUP(
      _xlfn.XLOOKUP(B74,'Base stats'!B:B,'Base stats'!E:E),
      Groups!A:A,
      Groups!V:V
    ) * 150
  + MIN(12, _xlfn.XLOOKUP(B74,'Base stats'!B:B,'Base stats'!W:W))^(1/IF(_xlfn.XLOOKUP(_xlfn.XLOOKUP(B74,'Base stats'!B:B,'Base stats'!E:E),Groups!A:A,Groups!U:U)=1,100,10)) + 0.5 + _xlfn.XLOOKUP(B74,'Base stats'!B:B,'Base stats'!BW:BW),
0.05))</f>
        <v>No</v>
      </c>
      <c r="O74" s="3">
        <f>IF(Animals!AD74="No","No",
MAX(MROUND((MIN(10,_xlfn.XLOOKUP(B74,'Base stats'!B:B,'Base stats'!V:V)*IF(_xlfn.XLOOKUP(_xlfn.XLOOKUP(B74,'Base stats'!B:B,'Base stats'!E:E),Groups!A:A,Groups!O:O)=0,1,0.33))^0.4*_xlfn.XLOOKUP(B74,'Base stats'!B:B,'Base stats'!BJ:BJ)^0.73)^0.6 *_xlfn.XLOOKUP(B74,'Base stats'!B:B,'Base stats'!BX:BX),0.1),0.05)
)</f>
        <v>27.1</v>
      </c>
      <c r="P74" s="11">
        <f>IF(O74="No","No",
MROUND(_xlfn.XLOOKUP(B74,'Base stats'!B:B,'Base stats'!BJ:BJ) * 0.01 * 2 + 0.05, 0.05)
)</f>
        <v>13.4</v>
      </c>
      <c r="Q74" s="5">
        <f>IF(O74="No","No",
MROUND(_xlfn.XLOOKUP(B74,'Base stats'!B:B,'Base stats'!BV:BV)/10000+0.01,0.01)
)</f>
        <v>0.56000000000000005</v>
      </c>
      <c r="R74" s="4">
        <f>IF(O74="No","No",
MROUND(_xlfn.XLOOKUP(B74,'Base stats'!B:B,'Base stats'!BB:BB)^0.25
/((_xlfn.XLOOKUP(B74,'Base stats'!B:B,'Base stats'!BN:BN))*10)*_xlfn.XLOOKUP(_xlfn.XLOOKUP(B74,'Base stats'!B:B,'Base stats'!E:E),Groups!A:A,Groups!Z:Z)*150 + 0.5 + _xlfn.XLOOKUP(B74,'Base stats'!B:B,'Base stats'!BW:BW),
0.05))</f>
        <v>2</v>
      </c>
      <c r="S74" s="3">
        <f>IF(Animals!AI74="No","No",
IF(_xlfn.XLOOKUP(B74,'Base stats'!B:B,'Base stats'!U:U)="No",
MAX(MROUND(_xlfn.XLOOKUP(B74,'Base stats'!B:B,'Base stats'!BT:BT) * _xlfn.XLOOKUP(B74,'Base stats'!B:B,'Base stats'!BP:BP)^0.9 / 21 * _xlfn.XLOOKUP(B74,'Base stats'!B:B,'Base stats'!BX:BX),0.1),0.05),
MAX(MROUND(((MIN(12,_xlfn.XLOOKUP(B74,'Base stats'!B:B,'Base stats'!U:U)))^0.4*_xlfn.XLOOKUP(B74,'Base stats'!B:B,'Base stats'!BH:BH)^0.73)^0.6 * _xlfn.XLOOKUP(B74,'Base stats'!B:B,'Base stats'!BX:BX),0.1),0.05)
))</f>
        <v>19.200000000000003</v>
      </c>
      <c r="T74" s="11">
        <f>IF(S74="No","No",
MROUND(_xlfn.XLOOKUP(B74,'Base stats'!B:B,'Base stats'!BH:BH) * 0.01 * 2 + 0.05, 0.05)
)</f>
        <v>5.45</v>
      </c>
      <c r="U74" s="5">
        <f>IF(S74="No","No",IF(_xlfn.XLOOKUP(B74,'Base stats'!B:B,'Base stats'!U:U)="No","No",
MROUND(_xlfn.XLOOKUP(B74,'Base stats'!B:B,'Base stats'!BT:BT)/10000+0.01,0.01)
))</f>
        <v>0.23</v>
      </c>
      <c r="V74" s="4">
        <f>IF(S74="No","No",
MROUND(_xlfn.XLOOKUP(B74,'Base stats'!B:B,'Base stats'!BF:BF)^0.25
/((_xlfn.XLOOKUP(B74,'Base stats'!B:B,'Base stats'!BO:BO))*10)*_xlfn.XLOOKUP(_xlfn.XLOOKUP(B74,'Base stats'!B:B,'Base stats'!E:E),Groups!A:A,Groups!AE:AE)*150 + 0.5 + _xlfn.XLOOKUP(B74,'Base stats'!B:B,'Base stats'!BW:BW),
0.05))</f>
        <v>1.5</v>
      </c>
      <c r="W74" s="8">
        <f>MROUND(_xlfn.XLOOKUP(_xlfn.XLOOKUP(B74,'Base stats'!B:B,'Base stats'!E:E),Groups!A:A,Groups!BG:BG)*_xlfn.XLOOKUP(B74,'Base stats'!B:B,'Base stats'!C:C)^-0.165,0.05)</f>
        <v>0.55000000000000004</v>
      </c>
      <c r="X74" s="1">
        <f>MROUND(_xlfn.XLOOKUP(_xlfn.XLOOKUP(B74,'Base stats'!B:B,'Base stats'!E:E),Groups!A:A,Groups!BH:BH)*_xlfn.XLOOKUP(B74,'Base stats'!B:B,'Base stats'!C:C)^0.165,0.05)</f>
        <v>0.60000000000000009</v>
      </c>
      <c r="Y74" s="8">
        <f>MROUND(_xlfn.XLOOKUP(_xlfn.XLOOKUP(B74,'Base stats'!B:B,'Base stats'!E:E),Groups!A:A,Groups!BI:BI)*_xlfn.XLOOKUP(B74,'Base stats'!B:B,'Base stats'!C:C)^0.165,0.05)</f>
        <v>0.05</v>
      </c>
      <c r="Z74" s="18">
        <f>MROUND(_xlfn.XLOOKUP(B74,'Base stats'!B:B,'Base stats'!AQ:AQ)*_xlfn.XLOOKUP(_xlfn.XLOOKUP(B74,'Base stats'!B:B,'Base stats'!E:E),Groups!A:A,Groups!H:H)/1000,IF((_xlfn.XLOOKUP(B74,'Base stats'!B:B,'Base stats'!AQ:AQ)*_xlfn.XLOOKUP(_xlfn.XLOOKUP(B74,'Base stats'!B:B,'Base stats'!E:E),Groups!A:A,Groups!H:H)/1000)&gt;1,0.05,0.01))</f>
        <v>0.13</v>
      </c>
      <c r="AA74" s="18">
        <f>MROUND((1/2)*(_xlfn.XLOOKUP(_xlfn.XLOOKUP(B74,'Base stats'!B:B,'Base stats'!E:E),Groups!A:A,Groups!H:H)*_xlfn.XLOOKUP(_xlfn.XLOOKUP(B74,'Base stats'!B:B,'Base stats'!E:E),Groups!A:A,Groups!I:I))*_xlfn.XLOOKUP(B74,'Base stats'!B:B,'Base stats'!AQ:AQ)*0.01,0.05)</f>
        <v>0.55000000000000004</v>
      </c>
      <c r="AB74" s="18">
        <f>MROUND(250*(Animals!AO74+Animals!AP74),25)</f>
        <v>950</v>
      </c>
      <c r="AC74" s="18" t="str">
        <f>_xlfn.XLOOKUP(_xlfn.XLOOKUP(B74,'Base stats'!B:B,'Base stats'!E:E),Groups!A:A,Groups!BJ:BJ)</f>
        <v>Quadruped</v>
      </c>
    </row>
    <row r="75" spans="1:29" ht="16.5" thickTop="1" thickBot="1" x14ac:dyDescent="0.3">
      <c r="A75" s="16" t="str">
        <f>Animals!A75</f>
        <v>Cat_Scimitar</v>
      </c>
      <c r="B75" s="6" t="str">
        <f>Animals!B75</f>
        <v>Homotherium serum</v>
      </c>
      <c r="C75" s="1" t="str">
        <f>Animals!C75</f>
        <v>&lt;li&gt;Cat_Scimitar&lt;/li&gt;</v>
      </c>
      <c r="D75" s="47">
        <f>MIN(MIN(6,_xlfn.XLOOKUP(A75,Animals!A:A,Animals!AO:AO))*20,MAX(MROUND(_xlfn.XLOOKUP(B75,'Base stats'!B:B,'Base stats'!BS:BS) * (_xlfn.XLOOKUP(B75,'Base stats'!B:B,'Base stats'!AO:AO)*5%)^0.9 / 21,0.1),0.05))</f>
        <v>5.9</v>
      </c>
      <c r="E75" s="11">
        <f>MROUND(_xlfn.XLOOKUP(B75,'Base stats'!B:B,'Base stats'!BG:BG) * 0.01 * 2 + 0.01, 0.05)</f>
        <v>5.25</v>
      </c>
      <c r="F75" s="7">
        <f>MROUND(_xlfn.XLOOKUP(B75,'Base stats'!B:B,'Base stats'!BD:BD)^0.25 / (_xlfn.XLOOKUP(B75,'Base stats'!B:B,'Base stats'!BK:BK) * 10) * 150 + 0.5 + _xlfn.XLOOKUP(B75,'Base stats'!B:B,'Base stats'!BW:BW), 0.05)</f>
        <v>2.2000000000000002</v>
      </c>
      <c r="G75" s="3" t="str">
        <f>IF(Animals!S75="No","No",
IF(_xlfn.XLOOKUP(B75,'Base stats'!B:B,'Base stats'!U:U)="No",
MAX(MROUND(_xlfn.XLOOKUP(B75,'Base stats'!B:B,'Base stats'!BT:BT) * _xlfn.XLOOKUP(B75,'Base stats'!B:B,'Base stats'!BP:BP)^0.9 / 21 * _xlfn.XLOOKUP(B75,'Base stats'!B:B,'Base stats'!BX:BX),0.1),0.05),
MAX(MROUND(((MIN(10,_xlfn.XLOOKUP(B75,'Base stats'!B:B,'Base stats'!U:U)))^0.4*_xlfn.XLOOKUP(B75,'Base stats'!B:B,'Base stats'!BH:BH)^0.73)^0.6 * _xlfn.XLOOKUP(B75,'Base stats'!B:B,'Base stats'!BX:BX),0.1),0.05)
))</f>
        <v>No</v>
      </c>
      <c r="H75" s="11" t="str">
        <f>IF(G75="No","No",
MROUND(_xlfn.XLOOKUP(B75,'Base stats'!B:B,'Base stats'!BH:BH) * 0.01 * 2 + 0.05, 0.05)
)</f>
        <v>No</v>
      </c>
      <c r="I75" s="11" t="str">
        <f>IF(G75="No","No",IF(_xlfn.XLOOKUP(B75,'Base stats'!B:B,'Base stats'!U:U)="No","No",
MROUND(_xlfn.XLOOKUP(B75,'Base stats'!B:B,'Base stats'!BT:BT)/10000+0.01,0.01)
))</f>
        <v>No</v>
      </c>
      <c r="J75" s="4" t="str">
        <f>IF(G75="No","No",
MROUND(_xlfn.XLOOKUP(B75,'Base stats'!B:B,'Base stats'!BE:BE)^0.25
/((_xlfn.XLOOKUP(B75,'Base stats'!B:B,'Base stats'!BL:BL))*10)*_xlfn.XLOOKUP(_xlfn.XLOOKUP(B75,'Base stats'!B:B,'Base stats'!E:E),Groups!A:A,Groups!Q:Q)*150 + 0.5 + _xlfn.XLOOKUP(B75,'Base stats'!B:B,'Base stats'!BW:BW),
0.05))</f>
        <v>No</v>
      </c>
      <c r="K75" s="3" t="str">
        <f>IF(Animals!X75="No","No",
IF(_xlfn.XLOOKUP(_xlfn.XLOOKUP(B75,'Base stats'!B:B,'Base stats'!E:E),Groups!A:A,Groups!BD:BD)=1,
MAX(MROUND(_xlfn.XLOOKUP(B75,'Base stats'!B:B,'Base stats'!BU:BU) * _xlfn.XLOOKUP(B75,'Base stats'!B:B,'Base stats'!BQ:BQ)^0.9 / 21 *_xlfn.XLOOKUP(B75,'Base stats'!B:B,'Base stats'!BX:BX),0.1),0.05),
MAX(MROUND(((MIN(10,_xlfn.XLOOKUP(B75,'Base stats'!B:B,'Base stats'!W:W)))^0.4*_xlfn.XLOOKUP(B75,'Base stats'!B:B,'Base stats'!BI:BI)^0.73)^0.6 *_xlfn.XLOOKUP(B75,'Base stats'!B:B,'Base stats'!BX:BX),0.1),0.05)
))</f>
        <v>No</v>
      </c>
      <c r="L75" s="11" t="str">
        <f>IF(K75="No","No",
MROUND(_xlfn.XLOOKUP(B75,'Base stats'!B:B,'Base stats'!BI:BI) * 0.01 *2 + 0.05, 0.05)
)</f>
        <v>No</v>
      </c>
      <c r="M75" s="5" t="str">
        <f>IF(K75="No","No",IF(_xlfn.XLOOKUP(_xlfn.XLOOKUP(B75,'Base stats'!B:B,'Base stats'!E:E),Groups!A:A,Groups!BD:BD)=1,"No",
MROUND(_xlfn.XLOOKUP(B75,'Base stats'!B:B,'Base stats'!BU:BU)/10000+0.01,0.01)
))</f>
        <v>No</v>
      </c>
      <c r="N75" s="4" t="str">
        <f>IF(K75="No","No",
MROUND(
  _xlfn.XLOOKUP(B75,'Base stats'!B:B,'Base stats'!BC:BC)^0.25
  / (_xlfn.XLOOKUP(B75,'Base stats'!B:B,'Base stats'!BM:BM) * 10)
  * _xlfn.XLOOKUP(
      _xlfn.XLOOKUP(B75,'Base stats'!B:B,'Base stats'!E:E),
      Groups!A:A,
      Groups!V:V
    ) * 150
  + MIN(12, _xlfn.XLOOKUP(B75,'Base stats'!B:B,'Base stats'!W:W))^(1/IF(_xlfn.XLOOKUP(_xlfn.XLOOKUP(B75,'Base stats'!B:B,'Base stats'!E:E),Groups!A:A,Groups!U:U)=1,100,10)) + 0.5 + _xlfn.XLOOKUP(B75,'Base stats'!B:B,'Base stats'!BW:BW),
0.05))</f>
        <v>No</v>
      </c>
      <c r="O75" s="3">
        <f>IF(Animals!AD75="No","No",
MAX(MROUND((MIN(10,_xlfn.XLOOKUP(B75,'Base stats'!B:B,'Base stats'!V:V)*IF(_xlfn.XLOOKUP(_xlfn.XLOOKUP(B75,'Base stats'!B:B,'Base stats'!E:E),Groups!A:A,Groups!O:O)=0,1,0.33))^0.4*_xlfn.XLOOKUP(B75,'Base stats'!B:B,'Base stats'!BJ:BJ)^0.73)^0.6 *_xlfn.XLOOKUP(B75,'Base stats'!B:B,'Base stats'!BX:BX),0.1),0.05)
)</f>
        <v>28.5</v>
      </c>
      <c r="P75" s="11">
        <f>IF(O75="No","No",
MROUND(_xlfn.XLOOKUP(B75,'Base stats'!B:B,'Base stats'!BJ:BJ) * 0.01 * 2 + 0.05, 0.05)
)</f>
        <v>11.9</v>
      </c>
      <c r="Q75" s="5">
        <f>IF(O75="No","No",
MROUND(_xlfn.XLOOKUP(B75,'Base stats'!B:B,'Base stats'!BV:BV)/10000+0.01,0.01)
)</f>
        <v>0.46</v>
      </c>
      <c r="R75" s="4">
        <f>IF(O75="No","No",
MROUND(_xlfn.XLOOKUP(B75,'Base stats'!B:B,'Base stats'!BB:BB)^0.25
/((_xlfn.XLOOKUP(B75,'Base stats'!B:B,'Base stats'!BN:BN))*10)*_xlfn.XLOOKUP(_xlfn.XLOOKUP(B75,'Base stats'!B:B,'Base stats'!E:E),Groups!A:A,Groups!Z:Z)*150 + 0.5 + _xlfn.XLOOKUP(B75,'Base stats'!B:B,'Base stats'!BW:BW),
0.05))</f>
        <v>2.1</v>
      </c>
      <c r="S75" s="3">
        <f>IF(Animals!AI75="No","No",
IF(_xlfn.XLOOKUP(B75,'Base stats'!B:B,'Base stats'!U:U)="No",
MAX(MROUND(_xlfn.XLOOKUP(B75,'Base stats'!B:B,'Base stats'!BT:BT) * _xlfn.XLOOKUP(B75,'Base stats'!B:B,'Base stats'!BP:BP)^0.9 / 21 * _xlfn.XLOOKUP(B75,'Base stats'!B:B,'Base stats'!BX:BX),0.1),0.05),
MAX(MROUND(((MIN(12,_xlfn.XLOOKUP(B75,'Base stats'!B:B,'Base stats'!U:U)))^0.4*_xlfn.XLOOKUP(B75,'Base stats'!B:B,'Base stats'!BH:BH)^0.73)^0.6 * _xlfn.XLOOKUP(B75,'Base stats'!B:B,'Base stats'!BX:BX),0.1),0.05)
))</f>
        <v>20.6</v>
      </c>
      <c r="T75" s="11">
        <f>IF(S75="No","No",
MROUND(_xlfn.XLOOKUP(B75,'Base stats'!B:B,'Base stats'!BH:BH) * 0.01 * 2 + 0.05, 0.05)
)</f>
        <v>6.3500000000000005</v>
      </c>
      <c r="U75" s="5">
        <f>IF(S75="No","No",IF(_xlfn.XLOOKUP(B75,'Base stats'!B:B,'Base stats'!U:U)="No","No",
MROUND(_xlfn.XLOOKUP(B75,'Base stats'!B:B,'Base stats'!BT:BT)/10000+0.01,0.01)
))</f>
        <v>0.25</v>
      </c>
      <c r="V75" s="4">
        <f>IF(S75="No","No",
MROUND(_xlfn.XLOOKUP(B75,'Base stats'!B:B,'Base stats'!BF:BF)^0.25
/((_xlfn.XLOOKUP(B75,'Base stats'!B:B,'Base stats'!BO:BO))*10)*_xlfn.XLOOKUP(_xlfn.XLOOKUP(B75,'Base stats'!B:B,'Base stats'!E:E),Groups!A:A,Groups!AE:AE)*150 + 0.5 + _xlfn.XLOOKUP(B75,'Base stats'!B:B,'Base stats'!BW:BW),
0.05))</f>
        <v>1.55</v>
      </c>
      <c r="W75" s="8">
        <f>MROUND(_xlfn.XLOOKUP(_xlfn.XLOOKUP(B75,'Base stats'!B:B,'Base stats'!E:E),Groups!A:A,Groups!BG:BG)*_xlfn.XLOOKUP(B75,'Base stats'!B:B,'Base stats'!C:C)^-0.165,0.05)</f>
        <v>0.5</v>
      </c>
      <c r="X75" s="1">
        <f>MROUND(_xlfn.XLOOKUP(_xlfn.XLOOKUP(B75,'Base stats'!B:B,'Base stats'!E:E),Groups!A:A,Groups!BH:BH)*_xlfn.XLOOKUP(B75,'Base stats'!B:B,'Base stats'!C:C)^0.165,0.05)</f>
        <v>0.60000000000000009</v>
      </c>
      <c r="Y75" s="8">
        <f>MROUND(_xlfn.XLOOKUP(_xlfn.XLOOKUP(B75,'Base stats'!B:B,'Base stats'!E:E),Groups!A:A,Groups!BI:BI)*_xlfn.XLOOKUP(B75,'Base stats'!B:B,'Base stats'!C:C)^0.165,0.05)</f>
        <v>0.05</v>
      </c>
      <c r="Z75" s="18">
        <f>MROUND(_xlfn.XLOOKUP(B75,'Base stats'!B:B,'Base stats'!AQ:AQ)*_xlfn.XLOOKUP(_xlfn.XLOOKUP(B75,'Base stats'!B:B,'Base stats'!E:E),Groups!A:A,Groups!H:H)/1000,IF((_xlfn.XLOOKUP(B75,'Base stats'!B:B,'Base stats'!AQ:AQ)*_xlfn.XLOOKUP(_xlfn.XLOOKUP(B75,'Base stats'!B:B,'Base stats'!E:E),Groups!A:A,Groups!H:H)/1000)&gt;1,0.05,0.01))</f>
        <v>0.14000000000000001</v>
      </c>
      <c r="AA75" s="18">
        <f>MROUND((1/2)*(_xlfn.XLOOKUP(_xlfn.XLOOKUP(B75,'Base stats'!B:B,'Base stats'!E:E),Groups!A:A,Groups!H:H)*_xlfn.XLOOKUP(_xlfn.XLOOKUP(B75,'Base stats'!B:B,'Base stats'!E:E),Groups!A:A,Groups!I:I))*_xlfn.XLOOKUP(B75,'Base stats'!B:B,'Base stats'!AQ:AQ)*0.01,0.05)</f>
        <v>0.60000000000000009</v>
      </c>
      <c r="AB75" s="18">
        <f>MROUND(250*(Animals!AO75+Animals!AP75),25)</f>
        <v>1050</v>
      </c>
      <c r="AC75" s="18" t="str">
        <f>_xlfn.XLOOKUP(_xlfn.XLOOKUP(B75,'Base stats'!B:B,'Base stats'!E:E),Groups!A:A,Groups!BJ:BJ)</f>
        <v>Quadruped</v>
      </c>
    </row>
    <row r="76" spans="1:29" ht="16.5" thickTop="1" thickBot="1" x14ac:dyDescent="0.3">
      <c r="A76" s="16" t="str">
        <f>Animals!A76</f>
        <v>Bullfrog</v>
      </c>
      <c r="B76" s="6" t="str">
        <f>Animals!B76</f>
        <v>Lithobates catesbeianus</v>
      </c>
      <c r="C76" s="1" t="str">
        <f>Animals!C76</f>
        <v>&lt;li&gt;Bullfrog&lt;/li&gt;</v>
      </c>
      <c r="D76" s="47">
        <f>MIN(MIN(6,_xlfn.XLOOKUP(A76,Animals!A:A,Animals!AO:AO))*20,MAX(MROUND(_xlfn.XLOOKUP(B76,'Base stats'!B:B,'Base stats'!BS:BS) * (_xlfn.XLOOKUP(B76,'Base stats'!B:B,'Base stats'!AO:AO)*5%)^0.9 / 21,0.1),0.05))</f>
        <v>0.05</v>
      </c>
      <c r="E76" s="11">
        <f>MROUND(_xlfn.XLOOKUP(B76,'Base stats'!B:B,'Base stats'!BG:BG) * 0.01 * 2 + 0.01, 0.05)</f>
        <v>0.05</v>
      </c>
      <c r="F76" s="7">
        <f>MROUND(_xlfn.XLOOKUP(B76,'Base stats'!B:B,'Base stats'!BD:BD)^0.25 / (_xlfn.XLOOKUP(B76,'Base stats'!B:B,'Base stats'!BK:BK) * 10) * 150 + 0.5 + _xlfn.XLOOKUP(B76,'Base stats'!B:B,'Base stats'!BW:BW), 0.05)</f>
        <v>1.1500000000000001</v>
      </c>
      <c r="G76" s="3" t="str">
        <f>IF(Animals!S76="No","No",
IF(_xlfn.XLOOKUP(B76,'Base stats'!B:B,'Base stats'!U:U)="No",
MAX(MROUND(_xlfn.XLOOKUP(B76,'Base stats'!B:B,'Base stats'!BT:BT) * _xlfn.XLOOKUP(B76,'Base stats'!B:B,'Base stats'!BP:BP)^0.9 / 21 * _xlfn.XLOOKUP(B76,'Base stats'!B:B,'Base stats'!BX:BX),0.1),0.05),
MAX(MROUND(((MIN(10,_xlfn.XLOOKUP(B76,'Base stats'!B:B,'Base stats'!U:U)))^0.4*_xlfn.XLOOKUP(B76,'Base stats'!B:B,'Base stats'!BH:BH)^0.73)^0.6 * _xlfn.XLOOKUP(B76,'Base stats'!B:B,'Base stats'!BX:BX),0.1),0.05)
))</f>
        <v>No</v>
      </c>
      <c r="H76" s="11" t="str">
        <f>IF(G76="No","No",
MROUND(_xlfn.XLOOKUP(B76,'Base stats'!B:B,'Base stats'!BH:BH) * 0.01 * 2 + 0.05, 0.05)
)</f>
        <v>No</v>
      </c>
      <c r="I76" s="11" t="str">
        <f>IF(G76="No","No",IF(_xlfn.XLOOKUP(B76,'Base stats'!B:B,'Base stats'!U:U)="No","No",
MROUND(_xlfn.XLOOKUP(B76,'Base stats'!B:B,'Base stats'!BT:BT)/10000+0.01,0.01)
))</f>
        <v>No</v>
      </c>
      <c r="J76" s="4" t="str">
        <f>IF(G76="No","No",
MROUND(_xlfn.XLOOKUP(B76,'Base stats'!B:B,'Base stats'!BE:BE)^0.25
/((_xlfn.XLOOKUP(B76,'Base stats'!B:B,'Base stats'!BL:BL))*10)*_xlfn.XLOOKUP(_xlfn.XLOOKUP(B76,'Base stats'!B:B,'Base stats'!E:E),Groups!A:A,Groups!Q:Q)*150 + 0.5 + _xlfn.XLOOKUP(B76,'Base stats'!B:B,'Base stats'!BW:BW),
0.05))</f>
        <v>No</v>
      </c>
      <c r="K76" s="3" t="str">
        <f>IF(Animals!X76="No","No",
IF(_xlfn.XLOOKUP(_xlfn.XLOOKUP(B76,'Base stats'!B:B,'Base stats'!E:E),Groups!A:A,Groups!BD:BD)=1,
MAX(MROUND(_xlfn.XLOOKUP(B76,'Base stats'!B:B,'Base stats'!BU:BU) * _xlfn.XLOOKUP(B76,'Base stats'!B:B,'Base stats'!BQ:BQ)^0.9 / 21 *_xlfn.XLOOKUP(B76,'Base stats'!B:B,'Base stats'!BX:BX),0.1),0.05),
MAX(MROUND(((MIN(10,_xlfn.XLOOKUP(B76,'Base stats'!B:B,'Base stats'!W:W)))^0.4*_xlfn.XLOOKUP(B76,'Base stats'!B:B,'Base stats'!BI:BI)^0.73)^0.6 *_xlfn.XLOOKUP(B76,'Base stats'!B:B,'Base stats'!BX:BX),0.1),0.05)
))</f>
        <v>No</v>
      </c>
      <c r="L76" s="11" t="str">
        <f>IF(K76="No","No",
MROUND(_xlfn.XLOOKUP(B76,'Base stats'!B:B,'Base stats'!BI:BI) * 0.01 *2 + 0.05, 0.05)
)</f>
        <v>No</v>
      </c>
      <c r="M76" s="5" t="str">
        <f>IF(K76="No","No",IF(_xlfn.XLOOKUP(_xlfn.XLOOKUP(B76,'Base stats'!B:B,'Base stats'!E:E),Groups!A:A,Groups!BD:BD)=1,"No",
MROUND(_xlfn.XLOOKUP(B76,'Base stats'!B:B,'Base stats'!BU:BU)/10000+0.01,0.01)
))</f>
        <v>No</v>
      </c>
      <c r="N76" s="4" t="str">
        <f>IF(K76="No","No",
MROUND(
  _xlfn.XLOOKUP(B76,'Base stats'!B:B,'Base stats'!BC:BC)^0.25
  / (_xlfn.XLOOKUP(B76,'Base stats'!B:B,'Base stats'!BM:BM) * 10)
  * _xlfn.XLOOKUP(
      _xlfn.XLOOKUP(B76,'Base stats'!B:B,'Base stats'!E:E),
      Groups!A:A,
      Groups!V:V
    ) * 150
  + MIN(12, _xlfn.XLOOKUP(B76,'Base stats'!B:B,'Base stats'!W:W))^(1/IF(_xlfn.XLOOKUP(_xlfn.XLOOKUP(B76,'Base stats'!B:B,'Base stats'!E:E),Groups!A:A,Groups!U:U)=1,100,10)) + 0.5 + _xlfn.XLOOKUP(B76,'Base stats'!B:B,'Base stats'!BW:BW),
0.05))</f>
        <v>No</v>
      </c>
      <c r="O76" s="3">
        <f>IF(Animals!AD76="No","No",
MAX(MROUND((MIN(10,_xlfn.XLOOKUP(B76,'Base stats'!B:B,'Base stats'!V:V)*IF(_xlfn.XLOOKUP(_xlfn.XLOOKUP(B76,'Base stats'!B:B,'Base stats'!E:E),Groups!A:A,Groups!O:O)=0,1,0.33))^0.4*_xlfn.XLOOKUP(B76,'Base stats'!B:B,'Base stats'!BJ:BJ)^0.73)^0.6 *_xlfn.XLOOKUP(B76,'Base stats'!B:B,'Base stats'!BX:BX),0.1),0.05)
)</f>
        <v>1.3</v>
      </c>
      <c r="P76" s="11">
        <f>IF(O76="No","No",
MROUND(_xlfn.XLOOKUP(B76,'Base stats'!B:B,'Base stats'!BJ:BJ) * 0.01 * 2 + 0.05, 0.05)
)</f>
        <v>0.1</v>
      </c>
      <c r="Q76" s="5">
        <f>IF(O76="No","No",
MROUND(_xlfn.XLOOKUP(B76,'Base stats'!B:B,'Base stats'!BV:BV)/10000+0.01,0.01)
)</f>
        <v>0.03</v>
      </c>
      <c r="R76" s="4">
        <f>IF(O76="No","No",
MROUND(_xlfn.XLOOKUP(B76,'Base stats'!B:B,'Base stats'!BB:BB)^0.25
/((_xlfn.XLOOKUP(B76,'Base stats'!B:B,'Base stats'!BN:BN))*10)*_xlfn.XLOOKUP(_xlfn.XLOOKUP(B76,'Base stats'!B:B,'Base stats'!E:E),Groups!A:A,Groups!Z:Z)*150 + 0.5 + _xlfn.XLOOKUP(B76,'Base stats'!B:B,'Base stats'!BW:BW),
0.05))</f>
        <v>1.9000000000000001</v>
      </c>
      <c r="S76" s="3" t="str">
        <f>IF(Animals!AI76="No","No",
IF(_xlfn.XLOOKUP(B76,'Base stats'!B:B,'Base stats'!U:U)="No",
MAX(MROUND(_xlfn.XLOOKUP(B76,'Base stats'!B:B,'Base stats'!BT:BT) * _xlfn.XLOOKUP(B76,'Base stats'!B:B,'Base stats'!BP:BP)^0.9 / 21 * _xlfn.XLOOKUP(B76,'Base stats'!B:B,'Base stats'!BX:BX),0.1),0.05),
MAX(MROUND(((MIN(12,_xlfn.XLOOKUP(B76,'Base stats'!B:B,'Base stats'!U:U)))^0.4*_xlfn.XLOOKUP(B76,'Base stats'!B:B,'Base stats'!BH:BH)^0.73)^0.6 * _xlfn.XLOOKUP(B76,'Base stats'!B:B,'Base stats'!BX:BX),0.1),0.05)
))</f>
        <v>No</v>
      </c>
      <c r="T76" s="11" t="str">
        <f>IF(S76="No","No",
MROUND(_xlfn.XLOOKUP(B76,'Base stats'!B:B,'Base stats'!BH:BH) * 0.01 * 2 + 0.05, 0.05)
)</f>
        <v>No</v>
      </c>
      <c r="U76" s="5" t="str">
        <f>IF(S76="No","No",IF(_xlfn.XLOOKUP(B76,'Base stats'!B:B,'Base stats'!U:U)="No","No",
MROUND(_xlfn.XLOOKUP(B76,'Base stats'!B:B,'Base stats'!BT:BT)/10000+0.01,0.01)
))</f>
        <v>No</v>
      </c>
      <c r="V76" s="4" t="str">
        <f>IF(S76="No","No",
MROUND(_xlfn.XLOOKUP(B76,'Base stats'!B:B,'Base stats'!BF:BF)^0.25
/((_xlfn.XLOOKUP(B76,'Base stats'!B:B,'Base stats'!BO:BO))*10)*_xlfn.XLOOKUP(_xlfn.XLOOKUP(B76,'Base stats'!B:B,'Base stats'!E:E),Groups!A:A,Groups!AE:AE)*150 + 0.5 + _xlfn.XLOOKUP(B76,'Base stats'!B:B,'Base stats'!BW:BW),
0.05))</f>
        <v>No</v>
      </c>
      <c r="W76" s="8">
        <f>MROUND(_xlfn.XLOOKUP(_xlfn.XLOOKUP(B76,'Base stats'!B:B,'Base stats'!E:E),Groups!A:A,Groups!BG:BG)*_xlfn.XLOOKUP(B76,'Base stats'!B:B,'Base stats'!C:C)^-0.165,0.05)</f>
        <v>0.55000000000000004</v>
      </c>
      <c r="X76" s="1">
        <f>MROUND(_xlfn.XLOOKUP(_xlfn.XLOOKUP(B76,'Base stats'!B:B,'Base stats'!E:E),Groups!A:A,Groups!BH:BH)*_xlfn.XLOOKUP(B76,'Base stats'!B:B,'Base stats'!C:C)^0.165,0.05)</f>
        <v>0</v>
      </c>
      <c r="Y76" s="8">
        <f>MROUND(_xlfn.XLOOKUP(_xlfn.XLOOKUP(B76,'Base stats'!B:B,'Base stats'!E:E),Groups!A:A,Groups!BI:BI)*_xlfn.XLOOKUP(B76,'Base stats'!B:B,'Base stats'!C:C)^0.165,0.05)</f>
        <v>0</v>
      </c>
      <c r="Z76" s="18">
        <f>MROUND(_xlfn.XLOOKUP(B76,'Base stats'!B:B,'Base stats'!AQ:AQ)*_xlfn.XLOOKUP(_xlfn.XLOOKUP(B76,'Base stats'!B:B,'Base stats'!E:E),Groups!A:A,Groups!H:H)/1000,IF((_xlfn.XLOOKUP(B76,'Base stats'!B:B,'Base stats'!AQ:AQ)*_xlfn.XLOOKUP(_xlfn.XLOOKUP(B76,'Base stats'!B:B,'Base stats'!E:E),Groups!A:A,Groups!H:H)/1000)&gt;1,0.05,0.01))</f>
        <v>0.01</v>
      </c>
      <c r="AA76" s="18">
        <f>MROUND((1/2)*(_xlfn.XLOOKUP(_xlfn.XLOOKUP(B76,'Base stats'!B:B,'Base stats'!E:E),Groups!A:A,Groups!H:H)*_xlfn.XLOOKUP(_xlfn.XLOOKUP(B76,'Base stats'!B:B,'Base stats'!E:E),Groups!A:A,Groups!I:I))*_xlfn.XLOOKUP(B76,'Base stats'!B:B,'Base stats'!AQ:AQ)*0.01,0.05)</f>
        <v>0.05</v>
      </c>
      <c r="AB76" s="18">
        <f>MROUND(250*(Animals!AO76+Animals!AP76),25)</f>
        <v>50</v>
      </c>
      <c r="AC76" s="18" t="str">
        <f>_xlfn.XLOOKUP(_xlfn.XLOOKUP(B76,'Base stats'!B:B,'Base stats'!E:E),Groups!A:A,Groups!BJ:BJ)</f>
        <v>QuadrupedLow</v>
      </c>
    </row>
    <row r="77" spans="1:29" ht="16.5" thickTop="1" thickBot="1" x14ac:dyDescent="0.3">
      <c r="A77" s="16" t="str">
        <f>Animals!A77</f>
        <v>ColossusToad</v>
      </c>
      <c r="B77" s="6" t="str">
        <f>Animals!B77</f>
        <v>Macrobufo giganteus</v>
      </c>
      <c r="C77" s="1" t="str">
        <f>Animals!C77</f>
        <v>&lt;li&gt;ColossusToad&lt;/li&gt;</v>
      </c>
      <c r="D77" s="47">
        <f>MIN(MIN(6,_xlfn.XLOOKUP(A77,Animals!A:A,Animals!AO:AO))*20,MAX(MROUND(_xlfn.XLOOKUP(B77,'Base stats'!B:B,'Base stats'!BS:BS) * (_xlfn.XLOOKUP(B77,'Base stats'!B:B,'Base stats'!AO:AO)*5%)^0.9 / 21,0.1),0.05))</f>
        <v>1.8</v>
      </c>
      <c r="E77" s="11">
        <f>MROUND(_xlfn.XLOOKUP(B77,'Base stats'!B:B,'Base stats'!BG:BG) * 0.01 * 2 + 0.01, 0.05)</f>
        <v>1.5</v>
      </c>
      <c r="F77" s="7">
        <f>MROUND(_xlfn.XLOOKUP(B77,'Base stats'!B:B,'Base stats'!BD:BD)^0.25 / (_xlfn.XLOOKUP(B77,'Base stats'!B:B,'Base stats'!BK:BK) * 10) * 150 + 0.5 + _xlfn.XLOOKUP(B77,'Base stats'!B:B,'Base stats'!BW:BW), 0.05)</f>
        <v>1.9000000000000001</v>
      </c>
      <c r="G77" s="3" t="str">
        <f>IF(Animals!S77="No","No",
IF(_xlfn.XLOOKUP(B77,'Base stats'!B:B,'Base stats'!U:U)="No",
MAX(MROUND(_xlfn.XLOOKUP(B77,'Base stats'!B:B,'Base stats'!BT:BT) * _xlfn.XLOOKUP(B77,'Base stats'!B:B,'Base stats'!BP:BP)^0.9 / 21 * _xlfn.XLOOKUP(B77,'Base stats'!B:B,'Base stats'!BX:BX),0.1),0.05),
MAX(MROUND(((MIN(10,_xlfn.XLOOKUP(B77,'Base stats'!B:B,'Base stats'!U:U)))^0.4*_xlfn.XLOOKUP(B77,'Base stats'!B:B,'Base stats'!BH:BH)^0.73)^0.6 * _xlfn.XLOOKUP(B77,'Base stats'!B:B,'Base stats'!BX:BX),0.1),0.05)
))</f>
        <v>No</v>
      </c>
      <c r="H77" s="11" t="str">
        <f>IF(G77="No","No",
MROUND(_xlfn.XLOOKUP(B77,'Base stats'!B:B,'Base stats'!BH:BH) * 0.01 * 2 + 0.05, 0.05)
)</f>
        <v>No</v>
      </c>
      <c r="I77" s="11" t="str">
        <f>IF(G77="No","No",IF(_xlfn.XLOOKUP(B77,'Base stats'!B:B,'Base stats'!U:U)="No","No",
MROUND(_xlfn.XLOOKUP(B77,'Base stats'!B:B,'Base stats'!BT:BT)/10000+0.01,0.01)
))</f>
        <v>No</v>
      </c>
      <c r="J77" s="4" t="str">
        <f>IF(G77="No","No",
MROUND(_xlfn.XLOOKUP(B77,'Base stats'!B:B,'Base stats'!BE:BE)^0.25
/((_xlfn.XLOOKUP(B77,'Base stats'!B:B,'Base stats'!BL:BL))*10)*_xlfn.XLOOKUP(_xlfn.XLOOKUP(B77,'Base stats'!B:B,'Base stats'!E:E),Groups!A:A,Groups!Q:Q)*150 + 0.5 + _xlfn.XLOOKUP(B77,'Base stats'!B:B,'Base stats'!BW:BW),
0.05))</f>
        <v>No</v>
      </c>
      <c r="K77" s="3" t="str">
        <f>IF(Animals!X77="No","No",
IF(_xlfn.XLOOKUP(_xlfn.XLOOKUP(B77,'Base stats'!B:B,'Base stats'!E:E),Groups!A:A,Groups!BD:BD)=1,
MAX(MROUND(_xlfn.XLOOKUP(B77,'Base stats'!B:B,'Base stats'!BU:BU) * _xlfn.XLOOKUP(B77,'Base stats'!B:B,'Base stats'!BQ:BQ)^0.9 / 21 *_xlfn.XLOOKUP(B77,'Base stats'!B:B,'Base stats'!BX:BX),0.1),0.05),
MAX(MROUND(((MIN(10,_xlfn.XLOOKUP(B77,'Base stats'!B:B,'Base stats'!W:W)))^0.4*_xlfn.XLOOKUP(B77,'Base stats'!B:B,'Base stats'!BI:BI)^0.73)^0.6 *_xlfn.XLOOKUP(B77,'Base stats'!B:B,'Base stats'!BX:BX),0.1),0.05)
))</f>
        <v>No</v>
      </c>
      <c r="L77" s="11" t="str">
        <f>IF(K77="No","No",
MROUND(_xlfn.XLOOKUP(B77,'Base stats'!B:B,'Base stats'!BI:BI) * 0.01 *2 + 0.05, 0.05)
)</f>
        <v>No</v>
      </c>
      <c r="M77" s="5" t="str">
        <f>IF(K77="No","No",IF(_xlfn.XLOOKUP(_xlfn.XLOOKUP(B77,'Base stats'!B:B,'Base stats'!E:E),Groups!A:A,Groups!BD:BD)=1,"No",
MROUND(_xlfn.XLOOKUP(B77,'Base stats'!B:B,'Base stats'!BU:BU)/10000+0.01,0.01)
))</f>
        <v>No</v>
      </c>
      <c r="N77" s="4" t="str">
        <f>IF(K77="No","No",
MROUND(
  _xlfn.XLOOKUP(B77,'Base stats'!B:B,'Base stats'!BC:BC)^0.25
  / (_xlfn.XLOOKUP(B77,'Base stats'!B:B,'Base stats'!BM:BM) * 10)
  * _xlfn.XLOOKUP(
      _xlfn.XLOOKUP(B77,'Base stats'!B:B,'Base stats'!E:E),
      Groups!A:A,
      Groups!V:V
    ) * 150
  + MIN(12, _xlfn.XLOOKUP(B77,'Base stats'!B:B,'Base stats'!W:W))^(1/IF(_xlfn.XLOOKUP(_xlfn.XLOOKUP(B77,'Base stats'!B:B,'Base stats'!E:E),Groups!A:A,Groups!U:U)=1,100,10)) + 0.5 + _xlfn.XLOOKUP(B77,'Base stats'!B:B,'Base stats'!BW:BW),
0.05))</f>
        <v>No</v>
      </c>
      <c r="O77" s="3">
        <f>IF(Animals!AD77="No","No",
MAX(MROUND((MIN(10,_xlfn.XLOOKUP(B77,'Base stats'!B:B,'Base stats'!V:V)*IF(_xlfn.XLOOKUP(_xlfn.XLOOKUP(B77,'Base stats'!B:B,'Base stats'!E:E),Groups!A:A,Groups!O:O)=0,1,0.33))^0.4*_xlfn.XLOOKUP(B77,'Base stats'!B:B,'Base stats'!BJ:BJ)^0.73)^0.6 *_xlfn.XLOOKUP(B77,'Base stats'!B:B,'Base stats'!BX:BX),0.1),0.05)
)</f>
        <v>8.7000000000000011</v>
      </c>
      <c r="P77" s="11">
        <f>IF(O77="No","No",
MROUND(_xlfn.XLOOKUP(B77,'Base stats'!B:B,'Base stats'!BJ:BJ) * 0.01 * 2 + 0.05, 0.05)
)</f>
        <v>1.2000000000000002</v>
      </c>
      <c r="Q77" s="5">
        <f>IF(O77="No","No",
MROUND(_xlfn.XLOOKUP(B77,'Base stats'!B:B,'Base stats'!BV:BV)/10000+0.01,0.01)
)</f>
        <v>0.09</v>
      </c>
      <c r="R77" s="4">
        <f>IF(O77="No","No",
MROUND(_xlfn.XLOOKUP(B77,'Base stats'!B:B,'Base stats'!BB:BB)^0.25
/((_xlfn.XLOOKUP(B77,'Base stats'!B:B,'Base stats'!BN:BN))*10)*_xlfn.XLOOKUP(_xlfn.XLOOKUP(B77,'Base stats'!B:B,'Base stats'!E:E),Groups!A:A,Groups!Z:Z)*150 + 0.5 + _xlfn.XLOOKUP(B77,'Base stats'!B:B,'Base stats'!BW:BW),
0.05))</f>
        <v>2.3000000000000003</v>
      </c>
      <c r="S77" s="3" t="str">
        <f>IF(Animals!AI77="No","No",
IF(_xlfn.XLOOKUP(B77,'Base stats'!B:B,'Base stats'!U:U)="No",
MAX(MROUND(_xlfn.XLOOKUP(B77,'Base stats'!B:B,'Base stats'!BT:BT) * _xlfn.XLOOKUP(B77,'Base stats'!B:B,'Base stats'!BP:BP)^0.9 / 21 * _xlfn.XLOOKUP(B77,'Base stats'!B:B,'Base stats'!BX:BX),0.1),0.05),
MAX(MROUND(((MIN(12,_xlfn.XLOOKUP(B77,'Base stats'!B:B,'Base stats'!U:U)))^0.4*_xlfn.XLOOKUP(B77,'Base stats'!B:B,'Base stats'!BH:BH)^0.73)^0.6 * _xlfn.XLOOKUP(B77,'Base stats'!B:B,'Base stats'!BX:BX),0.1),0.05)
))</f>
        <v>No</v>
      </c>
      <c r="T77" s="11" t="str">
        <f>IF(S77="No","No",
MROUND(_xlfn.XLOOKUP(B77,'Base stats'!B:B,'Base stats'!BH:BH) * 0.01 * 2 + 0.05, 0.05)
)</f>
        <v>No</v>
      </c>
      <c r="U77" s="5" t="str">
        <f>IF(S77="No","No",IF(_xlfn.XLOOKUP(B77,'Base stats'!B:B,'Base stats'!U:U)="No","No",
MROUND(_xlfn.XLOOKUP(B77,'Base stats'!B:B,'Base stats'!BT:BT)/10000+0.01,0.01)
))</f>
        <v>No</v>
      </c>
      <c r="V77" s="4" t="str">
        <f>IF(S77="No","No",
MROUND(_xlfn.XLOOKUP(B77,'Base stats'!B:B,'Base stats'!BF:BF)^0.25
/((_xlfn.XLOOKUP(B77,'Base stats'!B:B,'Base stats'!BO:BO))*10)*_xlfn.XLOOKUP(_xlfn.XLOOKUP(B77,'Base stats'!B:B,'Base stats'!E:E),Groups!A:A,Groups!AE:AE)*150 + 0.5 + _xlfn.XLOOKUP(B77,'Base stats'!B:B,'Base stats'!BW:BW),
0.05))</f>
        <v>No</v>
      </c>
      <c r="W77" s="8">
        <f>MROUND(_xlfn.XLOOKUP(_xlfn.XLOOKUP(B77,'Base stats'!B:B,'Base stats'!E:E),Groups!A:A,Groups!BG:BG)*_xlfn.XLOOKUP(B77,'Base stats'!B:B,'Base stats'!C:C)^-0.165,0.05)</f>
        <v>0.25</v>
      </c>
      <c r="X77" s="1">
        <f>MROUND(_xlfn.XLOOKUP(_xlfn.XLOOKUP(B77,'Base stats'!B:B,'Base stats'!E:E),Groups!A:A,Groups!BH:BH)*_xlfn.XLOOKUP(B77,'Base stats'!B:B,'Base stats'!C:C)^0.165,0.05)</f>
        <v>0</v>
      </c>
      <c r="Y77" s="8">
        <f>MROUND(_xlfn.XLOOKUP(_xlfn.XLOOKUP(B77,'Base stats'!B:B,'Base stats'!E:E),Groups!A:A,Groups!BI:BI)*_xlfn.XLOOKUP(B77,'Base stats'!B:B,'Base stats'!C:C)^0.165,0.05)</f>
        <v>0</v>
      </c>
      <c r="Z77" s="18">
        <f>MROUND(_xlfn.XLOOKUP(B77,'Base stats'!B:B,'Base stats'!AQ:AQ)*_xlfn.XLOOKUP(_xlfn.XLOOKUP(B77,'Base stats'!B:B,'Base stats'!E:E),Groups!A:A,Groups!H:H)/1000,IF((_xlfn.XLOOKUP(B77,'Base stats'!B:B,'Base stats'!AQ:AQ)*_xlfn.XLOOKUP(_xlfn.XLOOKUP(B77,'Base stats'!B:B,'Base stats'!E:E),Groups!A:A,Groups!H:H)/1000)&gt;1,0.05,0.01))</f>
        <v>0.04</v>
      </c>
      <c r="AA77" s="18">
        <f>MROUND((1/2)*(_xlfn.XLOOKUP(_xlfn.XLOOKUP(B77,'Base stats'!B:B,'Base stats'!E:E),Groups!A:A,Groups!H:H)*_xlfn.XLOOKUP(_xlfn.XLOOKUP(B77,'Base stats'!B:B,'Base stats'!E:E),Groups!A:A,Groups!I:I))*_xlfn.XLOOKUP(B77,'Base stats'!B:B,'Base stats'!AQ:AQ)*0.01,0.05)</f>
        <v>0.15000000000000002</v>
      </c>
      <c r="AB77" s="18">
        <f>MROUND(250*(Animals!AO77+Animals!AP77),25)</f>
        <v>450</v>
      </c>
      <c r="AC77" s="18" t="str">
        <f>_xlfn.XLOOKUP(_xlfn.XLOOKUP(B77,'Base stats'!B:B,'Base stats'!E:E),Groups!A:A,Groups!BJ:BJ)</f>
        <v>QuadrupedLow</v>
      </c>
    </row>
    <row r="78" spans="1:29" ht="16.5" thickTop="1" thickBot="1" x14ac:dyDescent="0.3">
      <c r="A78" s="16" t="str">
        <f>Animals!A78</f>
        <v>Hippo</v>
      </c>
      <c r="B78" s="6" t="str">
        <f>Animals!B78</f>
        <v>Hippopotamus amphibius</v>
      </c>
      <c r="C78" s="1" t="str">
        <f>Animals!C78</f>
        <v>&lt;li&gt;Hippo&lt;/li&gt;</v>
      </c>
      <c r="D78" s="47">
        <f>MIN(MIN(6,_xlfn.XLOOKUP(A78,Animals!A:A,Animals!AO:AO))*20,MAX(MROUND(_xlfn.XLOOKUP(B78,'Base stats'!B:B,'Base stats'!BS:BS) * (_xlfn.XLOOKUP(B78,'Base stats'!B:B,'Base stats'!AO:AO)*5%)^0.9 / 21,0.1),0.05))</f>
        <v>27.200000000000003</v>
      </c>
      <c r="E78" s="11">
        <f>MROUND(_xlfn.XLOOKUP(B78,'Base stats'!B:B,'Base stats'!BG:BG) * 0.01 * 2 + 0.01, 0.05)</f>
        <v>27.25</v>
      </c>
      <c r="F78" s="7">
        <f>MROUND(_xlfn.XLOOKUP(B78,'Base stats'!B:B,'Base stats'!BD:BD)^0.25 / (_xlfn.XLOOKUP(B78,'Base stats'!B:B,'Base stats'!BK:BK) * 10) * 150 + 0.5 + _xlfn.XLOOKUP(B78,'Base stats'!B:B,'Base stats'!BW:BW), 0.05)</f>
        <v>2</v>
      </c>
      <c r="G78" s="3" t="str">
        <f>IF(Animals!S78="No","No",
IF(_xlfn.XLOOKUP(B78,'Base stats'!B:B,'Base stats'!U:U)="No",
MAX(MROUND(_xlfn.XLOOKUP(B78,'Base stats'!B:B,'Base stats'!BT:BT) * _xlfn.XLOOKUP(B78,'Base stats'!B:B,'Base stats'!BP:BP)^0.9 / 21 * _xlfn.XLOOKUP(B78,'Base stats'!B:B,'Base stats'!BX:BX),0.1),0.05),
MAX(MROUND(((MIN(10,_xlfn.XLOOKUP(B78,'Base stats'!B:B,'Base stats'!U:U)))^0.4*_xlfn.XLOOKUP(B78,'Base stats'!B:B,'Base stats'!BH:BH)^0.73)^0.6 * _xlfn.XLOOKUP(B78,'Base stats'!B:B,'Base stats'!BX:BX),0.1),0.05)
))</f>
        <v>No</v>
      </c>
      <c r="H78" s="11" t="str">
        <f>IF(G78="No","No",
MROUND(_xlfn.XLOOKUP(B78,'Base stats'!B:B,'Base stats'!BH:BH) * 0.01 * 2 + 0.05, 0.05)
)</f>
        <v>No</v>
      </c>
      <c r="I78" s="11" t="str">
        <f>IF(G78="No","No",IF(_xlfn.XLOOKUP(B78,'Base stats'!B:B,'Base stats'!U:U)="No","No",
MROUND(_xlfn.XLOOKUP(B78,'Base stats'!B:B,'Base stats'!BT:BT)/10000+0.01,0.01)
))</f>
        <v>No</v>
      </c>
      <c r="J78" s="4" t="str">
        <f>IF(G78="No","No",
MROUND(_xlfn.XLOOKUP(B78,'Base stats'!B:B,'Base stats'!BE:BE)^0.25
/((_xlfn.XLOOKUP(B78,'Base stats'!B:B,'Base stats'!BL:BL))*10)*_xlfn.XLOOKUP(_xlfn.XLOOKUP(B78,'Base stats'!B:B,'Base stats'!E:E),Groups!A:A,Groups!Q:Q)*150 + 0.5 + _xlfn.XLOOKUP(B78,'Base stats'!B:B,'Base stats'!BW:BW),
0.05))</f>
        <v>No</v>
      </c>
      <c r="K78" s="3" t="str">
        <f>IF(Animals!X78="No","No",
IF(_xlfn.XLOOKUP(_xlfn.XLOOKUP(B78,'Base stats'!B:B,'Base stats'!E:E),Groups!A:A,Groups!BD:BD)=1,
MAX(MROUND(_xlfn.XLOOKUP(B78,'Base stats'!B:B,'Base stats'!BU:BU) * _xlfn.XLOOKUP(B78,'Base stats'!B:B,'Base stats'!BQ:BQ)^0.9 / 21 *_xlfn.XLOOKUP(B78,'Base stats'!B:B,'Base stats'!BX:BX),0.1),0.05),
MAX(MROUND(((MIN(10,_xlfn.XLOOKUP(B78,'Base stats'!B:B,'Base stats'!W:W)))^0.4*_xlfn.XLOOKUP(B78,'Base stats'!B:B,'Base stats'!BI:BI)^0.73)^0.6 *_xlfn.XLOOKUP(B78,'Base stats'!B:B,'Base stats'!BX:BX),0.1),0.05)
))</f>
        <v>No</v>
      </c>
      <c r="L78" s="11" t="str">
        <f>IF(K78="No","No",
MROUND(_xlfn.XLOOKUP(B78,'Base stats'!B:B,'Base stats'!BI:BI) * 0.01 *2 + 0.05, 0.05)
)</f>
        <v>No</v>
      </c>
      <c r="M78" s="5" t="str">
        <f>IF(K78="No","No",IF(_xlfn.XLOOKUP(_xlfn.XLOOKUP(B78,'Base stats'!B:B,'Base stats'!E:E),Groups!A:A,Groups!BD:BD)=1,"No",
MROUND(_xlfn.XLOOKUP(B78,'Base stats'!B:B,'Base stats'!BU:BU)/10000+0.01,0.01)
))</f>
        <v>No</v>
      </c>
      <c r="N78" s="4" t="str">
        <f>IF(K78="No","No",
MROUND(
  _xlfn.XLOOKUP(B78,'Base stats'!B:B,'Base stats'!BC:BC)^0.25
  / (_xlfn.XLOOKUP(B78,'Base stats'!B:B,'Base stats'!BM:BM) * 10)
  * _xlfn.XLOOKUP(
      _xlfn.XLOOKUP(B78,'Base stats'!B:B,'Base stats'!E:E),
      Groups!A:A,
      Groups!V:V
    ) * 150
  + MIN(12, _xlfn.XLOOKUP(B78,'Base stats'!B:B,'Base stats'!W:W))^(1/IF(_xlfn.XLOOKUP(_xlfn.XLOOKUP(B78,'Base stats'!B:B,'Base stats'!E:E),Groups!A:A,Groups!U:U)=1,100,10)) + 0.5 + _xlfn.XLOOKUP(B78,'Base stats'!B:B,'Base stats'!BW:BW),
0.05))</f>
        <v>No</v>
      </c>
      <c r="O78" s="3">
        <f>IF(Animals!AD78="No","No",
MAX(MROUND((MIN(10,_xlfn.XLOOKUP(B78,'Base stats'!B:B,'Base stats'!V:V)*IF(_xlfn.XLOOKUP(_xlfn.XLOOKUP(B78,'Base stats'!B:B,'Base stats'!E:E),Groups!A:A,Groups!O:O)=0,1,0.33))^0.4*_xlfn.XLOOKUP(B78,'Base stats'!B:B,'Base stats'!BJ:BJ)^0.73)^0.6 *_xlfn.XLOOKUP(B78,'Base stats'!B:B,'Base stats'!BX:BX),0.1),0.05)
)</f>
        <v>33.4</v>
      </c>
      <c r="P78" s="11">
        <f>IF(O78="No","No",
MROUND(_xlfn.XLOOKUP(B78,'Base stats'!B:B,'Base stats'!BJ:BJ) * 0.01 * 2 + 0.05, 0.05)
)</f>
        <v>17.100000000000001</v>
      </c>
      <c r="Q78" s="5">
        <f>IF(O78="No","No",
MROUND(_xlfn.XLOOKUP(B78,'Base stats'!B:B,'Base stats'!BV:BV)/10000+0.01,0.01)
)</f>
        <v>0.11</v>
      </c>
      <c r="R78" s="4">
        <f>IF(O78="No","No",
MROUND(_xlfn.XLOOKUP(B78,'Base stats'!B:B,'Base stats'!BB:BB)^0.25
/((_xlfn.XLOOKUP(B78,'Base stats'!B:B,'Base stats'!BN:BN))*10)*_xlfn.XLOOKUP(_xlfn.XLOOKUP(B78,'Base stats'!B:B,'Base stats'!E:E),Groups!A:A,Groups!Z:Z)*150 + 0.5 + _xlfn.XLOOKUP(B78,'Base stats'!B:B,'Base stats'!BW:BW),
0.05))</f>
        <v>2.7</v>
      </c>
      <c r="S78" s="3" t="str">
        <f>IF(Animals!AI78="No","No",
IF(_xlfn.XLOOKUP(B78,'Base stats'!B:B,'Base stats'!U:U)="No",
MAX(MROUND(_xlfn.XLOOKUP(B78,'Base stats'!B:B,'Base stats'!BT:BT) * _xlfn.XLOOKUP(B78,'Base stats'!B:B,'Base stats'!BP:BP)^0.9 / 21 * _xlfn.XLOOKUP(B78,'Base stats'!B:B,'Base stats'!BX:BX),0.1),0.05),
MAX(MROUND(((MIN(12,_xlfn.XLOOKUP(B78,'Base stats'!B:B,'Base stats'!U:U)))^0.4*_xlfn.XLOOKUP(B78,'Base stats'!B:B,'Base stats'!BH:BH)^0.73)^0.6 * _xlfn.XLOOKUP(B78,'Base stats'!B:B,'Base stats'!BX:BX),0.1),0.05)
))</f>
        <v>No</v>
      </c>
      <c r="T78" s="11" t="str">
        <f>IF(S78="No","No",
MROUND(_xlfn.XLOOKUP(B78,'Base stats'!B:B,'Base stats'!BH:BH) * 0.01 * 2 + 0.05, 0.05)
)</f>
        <v>No</v>
      </c>
      <c r="U78" s="5" t="str">
        <f>IF(S78="No","No",IF(_xlfn.XLOOKUP(B78,'Base stats'!B:B,'Base stats'!U:U)="No","No",
MROUND(_xlfn.XLOOKUP(B78,'Base stats'!B:B,'Base stats'!BT:BT)/10000+0.01,0.01)
))</f>
        <v>No</v>
      </c>
      <c r="V78" s="4" t="str">
        <f>IF(S78="No","No",
MROUND(_xlfn.XLOOKUP(B78,'Base stats'!B:B,'Base stats'!BF:BF)^0.25
/((_xlfn.XLOOKUP(B78,'Base stats'!B:B,'Base stats'!BO:BO))*10)*_xlfn.XLOOKUP(_xlfn.XLOOKUP(B78,'Base stats'!B:B,'Base stats'!E:E),Groups!A:A,Groups!AE:AE)*150 + 0.5 + _xlfn.XLOOKUP(B78,'Base stats'!B:B,'Base stats'!BW:BW),
0.05))</f>
        <v>No</v>
      </c>
      <c r="W78" s="8">
        <f>MROUND(_xlfn.XLOOKUP(_xlfn.XLOOKUP(B78,'Base stats'!B:B,'Base stats'!E:E),Groups!A:A,Groups!BG:BG)*_xlfn.XLOOKUP(B78,'Base stats'!B:B,'Base stats'!C:C)^-0.165,0.05)</f>
        <v>0.1</v>
      </c>
      <c r="X78" s="1">
        <f>MROUND(_xlfn.XLOOKUP(_xlfn.XLOOKUP(B78,'Base stats'!B:B,'Base stats'!E:E),Groups!A:A,Groups!BH:BH)*_xlfn.XLOOKUP(B78,'Base stats'!B:B,'Base stats'!C:C)^0.165,0.05)</f>
        <v>0.35000000000000003</v>
      </c>
      <c r="Y78" s="8">
        <f>MROUND(_xlfn.XLOOKUP(_xlfn.XLOOKUP(B78,'Base stats'!B:B,'Base stats'!E:E),Groups!A:A,Groups!BI:BI)*_xlfn.XLOOKUP(B78,'Base stats'!B:B,'Base stats'!C:C)^0.165,0.05)</f>
        <v>0.1</v>
      </c>
      <c r="Z78" s="18">
        <f>MROUND(_xlfn.XLOOKUP(B78,'Base stats'!B:B,'Base stats'!AQ:AQ)*_xlfn.XLOOKUP(_xlfn.XLOOKUP(B78,'Base stats'!B:B,'Base stats'!E:E),Groups!A:A,Groups!H:H)/1000,IF((_xlfn.XLOOKUP(B78,'Base stats'!B:B,'Base stats'!AQ:AQ)*_xlfn.XLOOKUP(_xlfn.XLOOKUP(B78,'Base stats'!B:B,'Base stats'!E:E),Groups!A:A,Groups!H:H)/1000)&gt;1,0.05,0.01))</f>
        <v>0.37</v>
      </c>
      <c r="AA78" s="18">
        <f>MROUND((1/2)*(_xlfn.XLOOKUP(_xlfn.XLOOKUP(B78,'Base stats'!B:B,'Base stats'!E:E),Groups!A:A,Groups!H:H)*_xlfn.XLOOKUP(_xlfn.XLOOKUP(B78,'Base stats'!B:B,'Base stats'!E:E),Groups!A:A,Groups!I:I))*_xlfn.XLOOKUP(B78,'Base stats'!B:B,'Base stats'!AQ:AQ)*0.01,0.05)</f>
        <v>1.6</v>
      </c>
      <c r="AB78" s="18">
        <f>MROUND(250*(Animals!AO78+Animals!AP78),25)</f>
        <v>2075</v>
      </c>
      <c r="AC78" s="18" t="str">
        <f>_xlfn.XLOOKUP(_xlfn.XLOOKUP(B78,'Base stats'!B:B,'Base stats'!E:E),Groups!A:A,Groups!BJ:BJ)</f>
        <v>Quadruped</v>
      </c>
    </row>
    <row r="79" spans="1:29" ht="16.5" thickTop="1" thickBot="1" x14ac:dyDescent="0.3">
      <c r="A79" s="16" t="str">
        <f>Animals!A79</f>
        <v>Mastodon</v>
      </c>
      <c r="B79" s="6" t="str">
        <f>Animals!B79</f>
        <v>Mammut americanum</v>
      </c>
      <c r="C79" s="1" t="str">
        <f>Animals!C79</f>
        <v>&lt;li&gt;Mastodon&lt;/li&gt;</v>
      </c>
      <c r="D79" s="47">
        <f>MIN(MIN(6,_xlfn.XLOOKUP(A79,Animals!A:A,Animals!AO:AO))*20,MAX(MROUND(_xlfn.XLOOKUP(B79,'Base stats'!B:B,'Base stats'!BS:BS) * (_xlfn.XLOOKUP(B79,'Base stats'!B:B,'Base stats'!AO:AO)*5%)^0.9 / 21,0.1),0.05))</f>
        <v>48.400000000000006</v>
      </c>
      <c r="E79" s="11">
        <f>MROUND(_xlfn.XLOOKUP(B79,'Base stats'!B:B,'Base stats'!BG:BG) * 0.01 * 2 + 0.01, 0.05)</f>
        <v>53.400000000000006</v>
      </c>
      <c r="F79" s="7">
        <f>MROUND(_xlfn.XLOOKUP(B79,'Base stats'!B:B,'Base stats'!BD:BD)^0.25 / (_xlfn.XLOOKUP(B79,'Base stats'!B:B,'Base stats'!BK:BK) * 10) * 150 + 0.5 + _xlfn.XLOOKUP(B79,'Base stats'!B:B,'Base stats'!BW:BW), 0.05)</f>
        <v>3.1500000000000004</v>
      </c>
      <c r="G79" s="3">
        <f>IF(Animals!S79="No","No",
IF(_xlfn.XLOOKUP(B79,'Base stats'!B:B,'Base stats'!U:U)="No",
MAX(MROUND(_xlfn.XLOOKUP(B79,'Base stats'!B:B,'Base stats'!BT:BT) * _xlfn.XLOOKUP(B79,'Base stats'!B:B,'Base stats'!BP:BP)^0.9 / 21 * _xlfn.XLOOKUP(B79,'Base stats'!B:B,'Base stats'!BX:BX),0.1),0.05),
MAX(MROUND(((MIN(10,_xlfn.XLOOKUP(B79,'Base stats'!B:B,'Base stats'!U:U)))^0.4*_xlfn.XLOOKUP(B79,'Base stats'!B:B,'Base stats'!BH:BH)^0.73)^0.6 * _xlfn.XLOOKUP(B79,'Base stats'!B:B,'Base stats'!BX:BX),0.1),0.05)
))</f>
        <v>55.900000000000006</v>
      </c>
      <c r="H79" s="11">
        <f>IF(G79="No","No",
MROUND(_xlfn.XLOOKUP(B79,'Base stats'!B:B,'Base stats'!BH:BH) * 0.01 * 2 + 0.05, 0.05)
)</f>
        <v>46.400000000000006</v>
      </c>
      <c r="I79" s="11" t="str">
        <f>IF(G79="No","No",IF(_xlfn.XLOOKUP(B79,'Base stats'!B:B,'Base stats'!U:U)="No","No",
MROUND(_xlfn.XLOOKUP(B79,'Base stats'!B:B,'Base stats'!BT:BT)/10000+0.01,0.01)
))</f>
        <v>No</v>
      </c>
      <c r="J79" s="4">
        <f>IF(G79="No","No",
MROUND(_xlfn.XLOOKUP(B79,'Base stats'!B:B,'Base stats'!BE:BE)^0.25
/((_xlfn.XLOOKUP(B79,'Base stats'!B:B,'Base stats'!BL:BL))*10)*_xlfn.XLOOKUP(_xlfn.XLOOKUP(B79,'Base stats'!B:B,'Base stats'!E:E),Groups!A:A,Groups!Q:Q)*150 + 0.5 + _xlfn.XLOOKUP(B79,'Base stats'!B:B,'Base stats'!BW:BW),
0.05))</f>
        <v>3.5500000000000003</v>
      </c>
      <c r="K79" s="3">
        <f>IF(Animals!X79="No","No",
IF(_xlfn.XLOOKUP(_xlfn.XLOOKUP(B79,'Base stats'!B:B,'Base stats'!E:E),Groups!A:A,Groups!BD:BD)=1,
MAX(MROUND(_xlfn.XLOOKUP(B79,'Base stats'!B:B,'Base stats'!BU:BU) * _xlfn.XLOOKUP(B79,'Base stats'!B:B,'Base stats'!BQ:BQ)^0.9 / 21 *_xlfn.XLOOKUP(B79,'Base stats'!B:B,'Base stats'!BX:BX),0.1),0.05),
MAX(MROUND(((MIN(10,_xlfn.XLOOKUP(B79,'Base stats'!B:B,'Base stats'!W:W)))^0.4*_xlfn.XLOOKUP(B79,'Base stats'!B:B,'Base stats'!BI:BI)^0.73)^0.6 *_xlfn.XLOOKUP(B79,'Base stats'!B:B,'Base stats'!BX:BX),0.1),0.05)
))</f>
        <v>56</v>
      </c>
      <c r="L79" s="11">
        <f>IF(K79="No","No",
MROUND(_xlfn.XLOOKUP(B79,'Base stats'!B:B,'Base stats'!BI:BI) * 0.01 *2 + 0.05, 0.05)
)</f>
        <v>55.650000000000006</v>
      </c>
      <c r="M79" s="5">
        <f>IF(K79="No","No",IF(_xlfn.XLOOKUP(_xlfn.XLOOKUP(B79,'Base stats'!B:B,'Base stats'!E:E),Groups!A:A,Groups!BD:BD)=1,"No",
MROUND(_xlfn.XLOOKUP(B79,'Base stats'!B:B,'Base stats'!BU:BU)/10000+0.01,0.01)
))</f>
        <v>2.36</v>
      </c>
      <c r="N79" s="4">
        <f>IF(K79="No","No",
MROUND(
  _xlfn.XLOOKUP(B79,'Base stats'!B:B,'Base stats'!BC:BC)^0.25
  / (_xlfn.XLOOKUP(B79,'Base stats'!B:B,'Base stats'!BM:BM) * 10)
  * _xlfn.XLOOKUP(
      _xlfn.XLOOKUP(B79,'Base stats'!B:B,'Base stats'!E:E),
      Groups!A:A,
      Groups!V:V
    ) * 150
  + MIN(12, _xlfn.XLOOKUP(B79,'Base stats'!B:B,'Base stats'!W:W))^(1/IF(_xlfn.XLOOKUP(_xlfn.XLOOKUP(B79,'Base stats'!B:B,'Base stats'!E:E),Groups!A:A,Groups!U:U)=1,100,10)) + 0.5 + _xlfn.XLOOKUP(B79,'Base stats'!B:B,'Base stats'!BW:BW),
0.05))</f>
        <v>3.95</v>
      </c>
      <c r="O79" s="3" t="str">
        <f>IF(Animals!AD79="No","No",
MAX(MROUND((MIN(10,_xlfn.XLOOKUP(B79,'Base stats'!B:B,'Base stats'!V:V)*IF(_xlfn.XLOOKUP(_xlfn.XLOOKUP(B79,'Base stats'!B:B,'Base stats'!E:E),Groups!A:A,Groups!O:O)=0,1,0.33))^0.4*_xlfn.XLOOKUP(B79,'Base stats'!B:B,'Base stats'!BJ:BJ)^0.73)^0.6 *_xlfn.XLOOKUP(B79,'Base stats'!B:B,'Base stats'!BX:BX),0.1),0.05)
)</f>
        <v>No</v>
      </c>
      <c r="P79" s="11" t="str">
        <f>IF(O79="No","No",
MROUND(_xlfn.XLOOKUP(B79,'Base stats'!B:B,'Base stats'!BJ:BJ) * 0.01 * 2 + 0.05, 0.05)
)</f>
        <v>No</v>
      </c>
      <c r="Q79" s="5" t="str">
        <f>IF(O79="No","No",
MROUND(_xlfn.XLOOKUP(B79,'Base stats'!B:B,'Base stats'!BV:BV)/10000+0.01,0.01)
)</f>
        <v>No</v>
      </c>
      <c r="R79" s="4" t="str">
        <f>IF(O79="No","No",
MROUND(_xlfn.XLOOKUP(B79,'Base stats'!B:B,'Base stats'!BB:BB)^0.25
/((_xlfn.XLOOKUP(B79,'Base stats'!B:B,'Base stats'!BN:BN))*10)*_xlfn.XLOOKUP(_xlfn.XLOOKUP(B79,'Base stats'!B:B,'Base stats'!E:E),Groups!A:A,Groups!Z:Z)*150 + 0.5 + _xlfn.XLOOKUP(B79,'Base stats'!B:B,'Base stats'!BW:BW),
0.05))</f>
        <v>No</v>
      </c>
      <c r="S79" s="3" t="str">
        <f>IF(Animals!AI79="No","No",
IF(_xlfn.XLOOKUP(B79,'Base stats'!B:B,'Base stats'!U:U)="No",
MAX(MROUND(_xlfn.XLOOKUP(B79,'Base stats'!B:B,'Base stats'!BT:BT) * _xlfn.XLOOKUP(B79,'Base stats'!B:B,'Base stats'!BP:BP)^0.9 / 21 * _xlfn.XLOOKUP(B79,'Base stats'!B:B,'Base stats'!BX:BX),0.1),0.05),
MAX(MROUND(((MIN(12,_xlfn.XLOOKUP(B79,'Base stats'!B:B,'Base stats'!U:U)))^0.4*_xlfn.XLOOKUP(B79,'Base stats'!B:B,'Base stats'!BH:BH)^0.73)^0.6 * _xlfn.XLOOKUP(B79,'Base stats'!B:B,'Base stats'!BX:BX),0.1),0.05)
))</f>
        <v>No</v>
      </c>
      <c r="T79" s="11" t="str">
        <f>IF(S79="No","No",
MROUND(_xlfn.XLOOKUP(B79,'Base stats'!B:B,'Base stats'!BH:BH) * 0.01 * 2 + 0.05, 0.05)
)</f>
        <v>No</v>
      </c>
      <c r="U79" s="5" t="str">
        <f>IF(S79="No","No",IF(_xlfn.XLOOKUP(B79,'Base stats'!B:B,'Base stats'!U:U)="No","No",
MROUND(_xlfn.XLOOKUP(B79,'Base stats'!B:B,'Base stats'!BT:BT)/10000+0.01,0.01)
))</f>
        <v>No</v>
      </c>
      <c r="V79" s="4" t="str">
        <f>IF(S79="No","No",
MROUND(_xlfn.XLOOKUP(B79,'Base stats'!B:B,'Base stats'!BF:BF)^0.25
/((_xlfn.XLOOKUP(B79,'Base stats'!B:B,'Base stats'!BO:BO))*10)*_xlfn.XLOOKUP(_xlfn.XLOOKUP(B79,'Base stats'!B:B,'Base stats'!E:E),Groups!A:A,Groups!AE:AE)*150 + 0.5 + _xlfn.XLOOKUP(B79,'Base stats'!B:B,'Base stats'!BW:BW),
0.05))</f>
        <v>No</v>
      </c>
      <c r="W79" s="8">
        <f>MROUND(_xlfn.XLOOKUP(_xlfn.XLOOKUP(B79,'Base stats'!B:B,'Base stats'!E:E),Groups!A:A,Groups!BG:BG)*_xlfn.XLOOKUP(B79,'Base stats'!B:B,'Base stats'!C:C)^-0.165,0.05)</f>
        <v>0.05</v>
      </c>
      <c r="X79" s="1">
        <f>MROUND(_xlfn.XLOOKUP(_xlfn.XLOOKUP(B79,'Base stats'!B:B,'Base stats'!E:E),Groups!A:A,Groups!BH:BH)*_xlfn.XLOOKUP(B79,'Base stats'!B:B,'Base stats'!C:C)^0.165,0.05)</f>
        <v>0.4</v>
      </c>
      <c r="Y79" s="8">
        <f>MROUND(_xlfn.XLOOKUP(_xlfn.XLOOKUP(B79,'Base stats'!B:B,'Base stats'!E:E),Groups!A:A,Groups!BI:BI)*_xlfn.XLOOKUP(B79,'Base stats'!B:B,'Base stats'!C:C)^0.165,0.05)</f>
        <v>0.2</v>
      </c>
      <c r="Z79" s="18">
        <f>MROUND(_xlfn.XLOOKUP(B79,'Base stats'!B:B,'Base stats'!AQ:AQ)*_xlfn.XLOOKUP(_xlfn.XLOOKUP(B79,'Base stats'!B:B,'Base stats'!E:E),Groups!A:A,Groups!H:H)/1000,IF((_xlfn.XLOOKUP(B79,'Base stats'!B:B,'Base stats'!AQ:AQ)*_xlfn.XLOOKUP(_xlfn.XLOOKUP(B79,'Base stats'!B:B,'Base stats'!E:E),Groups!A:A,Groups!H:H)/1000)&gt;1,0.05,0.01))</f>
        <v>0.28000000000000003</v>
      </c>
      <c r="AA79" s="18">
        <f>MROUND((1/2)*(_xlfn.XLOOKUP(_xlfn.XLOOKUP(B79,'Base stats'!B:B,'Base stats'!E:E),Groups!A:A,Groups!H:H)*_xlfn.XLOOKUP(_xlfn.XLOOKUP(B79,'Base stats'!B:B,'Base stats'!E:E),Groups!A:A,Groups!I:I))*_xlfn.XLOOKUP(B79,'Base stats'!B:B,'Base stats'!AQ:AQ)*0.01,0.05)</f>
        <v>1.2000000000000002</v>
      </c>
      <c r="AB79" s="18">
        <f>MROUND(250*(Animals!AO79+Animals!AP79),25)</f>
        <v>2750</v>
      </c>
      <c r="AC79" s="18" t="str">
        <f>_xlfn.XLOOKUP(_xlfn.XLOOKUP(B79,'Base stats'!B:B,'Base stats'!E:E),Groups!A:A,Groups!BJ:BJ)</f>
        <v>Quadruped</v>
      </c>
    </row>
    <row r="80" spans="1:29" ht="16.5" thickTop="1" thickBot="1" x14ac:dyDescent="0.3">
      <c r="A80" s="16" t="str">
        <f>Animals!A80</f>
        <v>AlphaThrumbo</v>
      </c>
      <c r="B80" s="6" t="str">
        <f>Animals!B80</f>
        <v>Thrumbo magnificus (alpha)</v>
      </c>
      <c r="C80" s="1" t="str">
        <f>Animals!C80</f>
        <v>&lt;li&gt;AlphaThrumbo&lt;/li&gt;</v>
      </c>
      <c r="D80" s="47">
        <f>MIN(MIN(6,_xlfn.XLOOKUP(A80,Animals!A:A,Animals!AO:AO))*20,MAX(MROUND(_xlfn.XLOOKUP(B80,'Base stats'!B:B,'Base stats'!BS:BS) * (_xlfn.XLOOKUP(B80,'Base stats'!B:B,'Base stats'!AO:AO)*5%)^0.9 / 21,0.1),0.05))</f>
        <v>55.1</v>
      </c>
      <c r="E80" s="11">
        <f>MROUND(_xlfn.XLOOKUP(B80,'Base stats'!B:B,'Base stats'!BG:BG) * 0.01 * 2 + 0.01, 0.05)</f>
        <v>61.45</v>
      </c>
      <c r="F80" s="7">
        <f>MROUND(_xlfn.XLOOKUP(B80,'Base stats'!B:B,'Base stats'!BD:BD)^0.25 / (_xlfn.XLOOKUP(B80,'Base stats'!B:B,'Base stats'!BK:BK) * 10) * 150 + 0.5 + _xlfn.XLOOKUP(B80,'Base stats'!B:B,'Base stats'!BW:BW), 0.05)</f>
        <v>3.0500000000000003</v>
      </c>
      <c r="G80" s="3">
        <f>IF(Animals!S80="No","No",
IF(_xlfn.XLOOKUP(B80,'Base stats'!B:B,'Base stats'!U:U)="No",
MAX(MROUND(_xlfn.XLOOKUP(B80,'Base stats'!B:B,'Base stats'!BT:BT) * _xlfn.XLOOKUP(B80,'Base stats'!B:B,'Base stats'!BP:BP)^0.9 / 21 * _xlfn.XLOOKUP(B80,'Base stats'!B:B,'Base stats'!BX:BX),0.1),0.05),
MAX(MROUND(((MIN(10,_xlfn.XLOOKUP(B80,'Base stats'!B:B,'Base stats'!U:U)))^0.4*_xlfn.XLOOKUP(B80,'Base stats'!B:B,'Base stats'!BH:BH)^0.73)^0.6 * _xlfn.XLOOKUP(B80,'Base stats'!B:B,'Base stats'!BX:BX),0.1),0.05)
))</f>
        <v>62.900000000000006</v>
      </c>
      <c r="H80" s="11">
        <f>IF(G80="No","No",
MROUND(_xlfn.XLOOKUP(B80,'Base stats'!B:B,'Base stats'!BH:BH) * 0.01 * 2 + 0.05, 0.05)
)</f>
        <v>52.900000000000006</v>
      </c>
      <c r="I80" s="11" t="str">
        <f>IF(G80="No","No",IF(_xlfn.XLOOKUP(B80,'Base stats'!B:B,'Base stats'!U:U)="No","No",
MROUND(_xlfn.XLOOKUP(B80,'Base stats'!B:B,'Base stats'!BT:BT)/10000+0.01,0.01)
))</f>
        <v>No</v>
      </c>
      <c r="J80" s="4">
        <f>IF(G80="No","No",
MROUND(_xlfn.XLOOKUP(B80,'Base stats'!B:B,'Base stats'!BE:BE)^0.25
/((_xlfn.XLOOKUP(B80,'Base stats'!B:B,'Base stats'!BL:BL))*10)*_xlfn.XLOOKUP(_xlfn.XLOOKUP(B80,'Base stats'!B:B,'Base stats'!E:E),Groups!A:A,Groups!Q:Q)*150 + 0.5 + _xlfn.XLOOKUP(B80,'Base stats'!B:B,'Base stats'!BW:BW),
0.05))</f>
        <v>3.6</v>
      </c>
      <c r="K80" s="3">
        <f>IF(Animals!X80="No","No",
IF(_xlfn.XLOOKUP(_xlfn.XLOOKUP(B80,'Base stats'!B:B,'Base stats'!E:E),Groups!A:A,Groups!BD:BD)=1,
MAX(MROUND(_xlfn.XLOOKUP(B80,'Base stats'!B:B,'Base stats'!BU:BU) * _xlfn.XLOOKUP(B80,'Base stats'!B:B,'Base stats'!BQ:BQ)^0.9 / 21 *_xlfn.XLOOKUP(B80,'Base stats'!B:B,'Base stats'!BX:BX),0.1),0.05),
MAX(MROUND(((MIN(10,_xlfn.XLOOKUP(B80,'Base stats'!B:B,'Base stats'!W:W)))^0.4*_xlfn.XLOOKUP(B80,'Base stats'!B:B,'Base stats'!BI:BI)^0.73)^0.6 *_xlfn.XLOOKUP(B80,'Base stats'!B:B,'Base stats'!BX:BX),0.1),0.05)
))</f>
        <v>63.400000000000006</v>
      </c>
      <c r="L80" s="11">
        <f>IF(K80="No","No",
MROUND(_xlfn.XLOOKUP(B80,'Base stats'!B:B,'Base stats'!BI:BI) * 0.01 *2 + 0.05, 0.05)
)</f>
        <v>73.8</v>
      </c>
      <c r="M80" s="5">
        <f>IF(K80="No","No",IF(_xlfn.XLOOKUP(_xlfn.XLOOKUP(B80,'Base stats'!B:B,'Base stats'!E:E),Groups!A:A,Groups!BD:BD)=1,"No",
MROUND(_xlfn.XLOOKUP(B80,'Base stats'!B:B,'Base stats'!BU:BU)/10000+0.01,0.01)
))</f>
        <v>30.8</v>
      </c>
      <c r="N80" s="4">
        <f>IF(K80="No","No",
MROUND(
  _xlfn.XLOOKUP(B80,'Base stats'!B:B,'Base stats'!BC:BC)^0.25
  / (_xlfn.XLOOKUP(B80,'Base stats'!B:B,'Base stats'!BM:BM) * 10)
  * _xlfn.XLOOKUP(
      _xlfn.XLOOKUP(B80,'Base stats'!B:B,'Base stats'!E:E),
      Groups!A:A,
      Groups!V:V
    ) * 150
  + MIN(12, _xlfn.XLOOKUP(B80,'Base stats'!B:B,'Base stats'!W:W))^(1/IF(_xlfn.XLOOKUP(_xlfn.XLOOKUP(B80,'Base stats'!B:B,'Base stats'!E:E),Groups!A:A,Groups!U:U)=1,100,10)) + 0.5 + _xlfn.XLOOKUP(B80,'Base stats'!B:B,'Base stats'!BW:BW),
0.05))</f>
        <v>3.2</v>
      </c>
      <c r="O80" s="3" t="str">
        <f>IF(Animals!AD80="No","No",
MAX(MROUND((MIN(10,_xlfn.XLOOKUP(B80,'Base stats'!B:B,'Base stats'!V:V)*IF(_xlfn.XLOOKUP(_xlfn.XLOOKUP(B80,'Base stats'!B:B,'Base stats'!E:E),Groups!A:A,Groups!O:O)=0,1,0.33))^0.4*_xlfn.XLOOKUP(B80,'Base stats'!B:B,'Base stats'!BJ:BJ)^0.73)^0.6 *_xlfn.XLOOKUP(B80,'Base stats'!B:B,'Base stats'!BX:BX),0.1),0.05)
)</f>
        <v>No</v>
      </c>
      <c r="P80" s="11" t="str">
        <f>IF(O80="No","No",
MROUND(_xlfn.XLOOKUP(B80,'Base stats'!B:B,'Base stats'!BJ:BJ) * 0.01 * 2 + 0.05, 0.05)
)</f>
        <v>No</v>
      </c>
      <c r="Q80" s="5" t="str">
        <f>IF(O80="No","No",
MROUND(_xlfn.XLOOKUP(B80,'Base stats'!B:B,'Base stats'!BV:BV)/10000+0.01,0.01)
)</f>
        <v>No</v>
      </c>
      <c r="R80" s="4" t="str">
        <f>IF(O80="No","No",
MROUND(_xlfn.XLOOKUP(B80,'Base stats'!B:B,'Base stats'!BB:BB)^0.25
/((_xlfn.XLOOKUP(B80,'Base stats'!B:B,'Base stats'!BN:BN))*10)*_xlfn.XLOOKUP(_xlfn.XLOOKUP(B80,'Base stats'!B:B,'Base stats'!E:E),Groups!A:A,Groups!Z:Z)*150 + 0.5 + _xlfn.XLOOKUP(B80,'Base stats'!B:B,'Base stats'!BW:BW),
0.05))</f>
        <v>No</v>
      </c>
      <c r="S80" s="3" t="str">
        <f>IF(Animals!AI80="No","No",
IF(_xlfn.XLOOKUP(B80,'Base stats'!B:B,'Base stats'!U:U)="No",
MAX(MROUND(_xlfn.XLOOKUP(B80,'Base stats'!B:B,'Base stats'!BT:BT) * _xlfn.XLOOKUP(B80,'Base stats'!B:B,'Base stats'!BP:BP)^0.9 / 21 * _xlfn.XLOOKUP(B80,'Base stats'!B:B,'Base stats'!BX:BX),0.1),0.05),
MAX(MROUND(((MIN(12,_xlfn.XLOOKUP(B80,'Base stats'!B:B,'Base stats'!U:U)))^0.4*_xlfn.XLOOKUP(B80,'Base stats'!B:B,'Base stats'!BH:BH)^0.73)^0.6 * _xlfn.XLOOKUP(B80,'Base stats'!B:B,'Base stats'!BX:BX),0.1),0.05)
))</f>
        <v>No</v>
      </c>
      <c r="T80" s="11" t="str">
        <f>IF(S80="No","No",
MROUND(_xlfn.XLOOKUP(B80,'Base stats'!B:B,'Base stats'!BH:BH) * 0.01 * 2 + 0.05, 0.05)
)</f>
        <v>No</v>
      </c>
      <c r="U80" s="5" t="str">
        <f>IF(S80="No","No",IF(_xlfn.XLOOKUP(B80,'Base stats'!B:B,'Base stats'!U:U)="No","No",
MROUND(_xlfn.XLOOKUP(B80,'Base stats'!B:B,'Base stats'!BT:BT)/10000+0.01,0.01)
))</f>
        <v>No</v>
      </c>
      <c r="V80" s="4" t="str">
        <f>IF(S80="No","No",
MROUND(_xlfn.XLOOKUP(B80,'Base stats'!B:B,'Base stats'!BF:BF)^0.25
/((_xlfn.XLOOKUP(B80,'Base stats'!B:B,'Base stats'!BO:BO))*10)*_xlfn.XLOOKUP(_xlfn.XLOOKUP(B80,'Base stats'!B:B,'Base stats'!E:E),Groups!A:A,Groups!AE:AE)*150 + 0.5 + _xlfn.XLOOKUP(B80,'Base stats'!B:B,'Base stats'!BW:BW),
0.05))</f>
        <v>No</v>
      </c>
      <c r="W80" s="8">
        <f>MROUND(_xlfn.XLOOKUP(_xlfn.XLOOKUP(B80,'Base stats'!B:B,'Base stats'!E:E),Groups!A:A,Groups!BG:BG)*_xlfn.XLOOKUP(B80,'Base stats'!B:B,'Base stats'!C:C)^-0.165,0.05)</f>
        <v>0.15000000000000002</v>
      </c>
      <c r="X80" s="1">
        <f>MROUND(_xlfn.XLOOKUP(_xlfn.XLOOKUP(B80,'Base stats'!B:B,'Base stats'!E:E),Groups!A:A,Groups!BH:BH)*_xlfn.XLOOKUP(B80,'Base stats'!B:B,'Base stats'!C:C)^0.165,0.05)</f>
        <v>0.65</v>
      </c>
      <c r="Y80" s="8">
        <f>MROUND(_xlfn.XLOOKUP(_xlfn.XLOOKUP(B80,'Base stats'!B:B,'Base stats'!E:E),Groups!A:A,Groups!BI:BI)*_xlfn.XLOOKUP(B80,'Base stats'!B:B,'Base stats'!C:C)^0.165,0.05)</f>
        <v>0.2</v>
      </c>
      <c r="Z80" s="18">
        <f>MROUND(_xlfn.XLOOKUP(B80,'Base stats'!B:B,'Base stats'!AQ:AQ)*_xlfn.XLOOKUP(_xlfn.XLOOKUP(B80,'Base stats'!B:B,'Base stats'!E:E),Groups!A:A,Groups!H:H)/1000,IF((_xlfn.XLOOKUP(B80,'Base stats'!B:B,'Base stats'!AQ:AQ)*_xlfn.XLOOKUP(_xlfn.XLOOKUP(B80,'Base stats'!B:B,'Base stats'!E:E),Groups!A:A,Groups!H:H)/1000)&gt;1,0.05,0.01))</f>
        <v>9.5500000000000007</v>
      </c>
      <c r="AA80" s="18">
        <f>MROUND((1/2)*(_xlfn.XLOOKUP(_xlfn.XLOOKUP(B80,'Base stats'!B:B,'Base stats'!E:E),Groups!A:A,Groups!H:H)*_xlfn.XLOOKUP(_xlfn.XLOOKUP(B80,'Base stats'!B:B,'Base stats'!E:E),Groups!A:A,Groups!I:I))*_xlfn.XLOOKUP(B80,'Base stats'!B:B,'Base stats'!AQ:AQ)*0.01,0.05)</f>
        <v>14.350000000000001</v>
      </c>
      <c r="AB80" s="18">
        <f>MROUND(250*(Animals!AO80+Animals!AP80),25)</f>
        <v>4500</v>
      </c>
      <c r="AC80" s="18" t="str">
        <f>_xlfn.XLOOKUP(_xlfn.XLOOKUP(B80,'Base stats'!B:B,'Base stats'!E:E),Groups!A:A,Groups!BJ:BJ)</f>
        <v>QuadrupedTall</v>
      </c>
    </row>
    <row r="81" spans="1:29" ht="16.5" thickTop="1" thickBot="1" x14ac:dyDescent="0.3">
      <c r="A81" s="16" t="str">
        <f>Animals!A81</f>
        <v>Armadillo</v>
      </c>
      <c r="B81" s="6" t="str">
        <f>Animals!B81</f>
        <v>Euphractus sexcinctus</v>
      </c>
      <c r="C81" s="1" t="str">
        <f>Animals!C81</f>
        <v>&lt;li&gt;Armadillo&lt;/li&gt;</v>
      </c>
      <c r="D81" s="47">
        <f>MIN(MIN(6,_xlfn.XLOOKUP(A81,Animals!A:A,Animals!AO:AO))*20,MAX(MROUND(_xlfn.XLOOKUP(B81,'Base stats'!B:B,'Base stats'!BS:BS) * (_xlfn.XLOOKUP(B81,'Base stats'!B:B,'Base stats'!AO:AO)*5%)^0.9 / 21,0.1),0.05))</f>
        <v>0.2</v>
      </c>
      <c r="E81" s="11">
        <f>MROUND(_xlfn.XLOOKUP(B81,'Base stats'!B:B,'Base stats'!BG:BG) * 0.01 * 2 + 0.01, 0.05)</f>
        <v>0.2</v>
      </c>
      <c r="F81" s="7">
        <f>MROUND(_xlfn.XLOOKUP(B81,'Base stats'!B:B,'Base stats'!BD:BD)^0.25 / (_xlfn.XLOOKUP(B81,'Base stats'!B:B,'Base stats'!BK:BK) * 10) * 150 + 0.5 + _xlfn.XLOOKUP(B81,'Base stats'!B:B,'Base stats'!BW:BW), 0.05)</f>
        <v>1.4500000000000002</v>
      </c>
      <c r="G81" s="3" t="str">
        <f>IF(Animals!S81="No","No",
IF(_xlfn.XLOOKUP(B81,'Base stats'!B:B,'Base stats'!U:U)="No",
MAX(MROUND(_xlfn.XLOOKUP(B81,'Base stats'!B:B,'Base stats'!BT:BT) * _xlfn.XLOOKUP(B81,'Base stats'!B:B,'Base stats'!BP:BP)^0.9 / 21 * _xlfn.XLOOKUP(B81,'Base stats'!B:B,'Base stats'!BX:BX),0.1),0.05),
MAX(MROUND(((MIN(10,_xlfn.XLOOKUP(B81,'Base stats'!B:B,'Base stats'!U:U)))^0.4*_xlfn.XLOOKUP(B81,'Base stats'!B:B,'Base stats'!BH:BH)^0.73)^0.6 * _xlfn.XLOOKUP(B81,'Base stats'!B:B,'Base stats'!BX:BX),0.1),0.05)
))</f>
        <v>No</v>
      </c>
      <c r="H81" s="11" t="str">
        <f>IF(G81="No","No",
MROUND(_xlfn.XLOOKUP(B81,'Base stats'!B:B,'Base stats'!BH:BH) * 0.01 * 2 + 0.05, 0.05)
)</f>
        <v>No</v>
      </c>
      <c r="I81" s="11" t="str">
        <f>IF(G81="No","No",IF(_xlfn.XLOOKUP(B81,'Base stats'!B:B,'Base stats'!U:U)="No","No",
MROUND(_xlfn.XLOOKUP(B81,'Base stats'!B:B,'Base stats'!BT:BT)/10000+0.01,0.01)
))</f>
        <v>No</v>
      </c>
      <c r="J81" s="4" t="str">
        <f>IF(G81="No","No",
MROUND(_xlfn.XLOOKUP(B81,'Base stats'!B:B,'Base stats'!BE:BE)^0.25
/((_xlfn.XLOOKUP(B81,'Base stats'!B:B,'Base stats'!BL:BL))*10)*_xlfn.XLOOKUP(_xlfn.XLOOKUP(B81,'Base stats'!B:B,'Base stats'!E:E),Groups!A:A,Groups!Q:Q)*150 + 0.5 + _xlfn.XLOOKUP(B81,'Base stats'!B:B,'Base stats'!BW:BW),
0.05))</f>
        <v>No</v>
      </c>
      <c r="K81" s="3" t="str">
        <f>IF(Animals!X81="No","No",
IF(_xlfn.XLOOKUP(_xlfn.XLOOKUP(B81,'Base stats'!B:B,'Base stats'!E:E),Groups!A:A,Groups!BD:BD)=1,
MAX(MROUND(_xlfn.XLOOKUP(B81,'Base stats'!B:B,'Base stats'!BU:BU) * _xlfn.XLOOKUP(B81,'Base stats'!B:B,'Base stats'!BQ:BQ)^0.9 / 21 *_xlfn.XLOOKUP(B81,'Base stats'!B:B,'Base stats'!BX:BX),0.1),0.05),
MAX(MROUND(((MIN(10,_xlfn.XLOOKUP(B81,'Base stats'!B:B,'Base stats'!W:W)))^0.4*_xlfn.XLOOKUP(B81,'Base stats'!B:B,'Base stats'!BI:BI)^0.73)^0.6 *_xlfn.XLOOKUP(B81,'Base stats'!B:B,'Base stats'!BX:BX),0.1),0.05)
))</f>
        <v>No</v>
      </c>
      <c r="L81" s="11" t="str">
        <f>IF(K81="No","No",
MROUND(_xlfn.XLOOKUP(B81,'Base stats'!B:B,'Base stats'!BI:BI) * 0.01 *2 + 0.05, 0.05)
)</f>
        <v>No</v>
      </c>
      <c r="M81" s="5" t="str">
        <f>IF(K81="No","No",IF(_xlfn.XLOOKUP(_xlfn.XLOOKUP(B81,'Base stats'!B:B,'Base stats'!E:E),Groups!A:A,Groups!BD:BD)=1,"No",
MROUND(_xlfn.XLOOKUP(B81,'Base stats'!B:B,'Base stats'!BU:BU)/10000+0.01,0.01)
))</f>
        <v>No</v>
      </c>
      <c r="N81" s="4" t="str">
        <f>IF(K81="No","No",
MROUND(
  _xlfn.XLOOKUP(B81,'Base stats'!B:B,'Base stats'!BC:BC)^0.25
  / (_xlfn.XLOOKUP(B81,'Base stats'!B:B,'Base stats'!BM:BM) * 10)
  * _xlfn.XLOOKUP(
      _xlfn.XLOOKUP(B81,'Base stats'!B:B,'Base stats'!E:E),
      Groups!A:A,
      Groups!V:V
    ) * 150
  + MIN(12, _xlfn.XLOOKUP(B81,'Base stats'!B:B,'Base stats'!W:W))^(1/IF(_xlfn.XLOOKUP(_xlfn.XLOOKUP(B81,'Base stats'!B:B,'Base stats'!E:E),Groups!A:A,Groups!U:U)=1,100,10)) + 0.5 + _xlfn.XLOOKUP(B81,'Base stats'!B:B,'Base stats'!BW:BW),
0.05))</f>
        <v>No</v>
      </c>
      <c r="O81" s="3">
        <f>IF(Animals!AD81="No","No",
MAX(MROUND((MIN(10,_xlfn.XLOOKUP(B81,'Base stats'!B:B,'Base stats'!V:V)*IF(_xlfn.XLOOKUP(_xlfn.XLOOKUP(B81,'Base stats'!B:B,'Base stats'!E:E),Groups!A:A,Groups!O:O)=0,1,0.33))^0.4*_xlfn.XLOOKUP(B81,'Base stats'!B:B,'Base stats'!BJ:BJ)^0.73)^0.6 *_xlfn.XLOOKUP(B81,'Base stats'!B:B,'Base stats'!BX:BX),0.1),0.05)
)</f>
        <v>3.4000000000000004</v>
      </c>
      <c r="P81" s="11">
        <f>IF(O81="No","No",
MROUND(_xlfn.XLOOKUP(B81,'Base stats'!B:B,'Base stats'!BJ:BJ) * 0.01 * 2 + 0.05, 0.05)
)</f>
        <v>0.30000000000000004</v>
      </c>
      <c r="Q81" s="5">
        <f>IF(O81="No","No",
MROUND(_xlfn.XLOOKUP(B81,'Base stats'!B:B,'Base stats'!BV:BV)/10000+0.01,0.01)
)</f>
        <v>0.06</v>
      </c>
      <c r="R81" s="4">
        <f>IF(O81="No","No",
MROUND(_xlfn.XLOOKUP(B81,'Base stats'!B:B,'Base stats'!BB:BB)^0.25
/((_xlfn.XLOOKUP(B81,'Base stats'!B:B,'Base stats'!BN:BN))*10)*_xlfn.XLOOKUP(_xlfn.XLOOKUP(B81,'Base stats'!B:B,'Base stats'!E:E),Groups!A:A,Groups!Z:Z)*150 + 0.5 + _xlfn.XLOOKUP(B81,'Base stats'!B:B,'Base stats'!BW:BW),
0.05))</f>
        <v>1.9500000000000002</v>
      </c>
      <c r="S81" s="3" t="str">
        <f>IF(Animals!AI81="No","No",
IF(_xlfn.XLOOKUP(B81,'Base stats'!B:B,'Base stats'!U:U)="No",
MAX(MROUND(_xlfn.XLOOKUP(B81,'Base stats'!B:B,'Base stats'!BT:BT) * _xlfn.XLOOKUP(B81,'Base stats'!B:B,'Base stats'!BP:BP)^0.9 / 21 * _xlfn.XLOOKUP(B81,'Base stats'!B:B,'Base stats'!BX:BX),0.1),0.05),
MAX(MROUND(((MIN(12,_xlfn.XLOOKUP(B81,'Base stats'!B:B,'Base stats'!U:U)))^0.4*_xlfn.XLOOKUP(B81,'Base stats'!B:B,'Base stats'!BH:BH)^0.73)^0.6 * _xlfn.XLOOKUP(B81,'Base stats'!B:B,'Base stats'!BX:BX),0.1),0.05)
))</f>
        <v>No</v>
      </c>
      <c r="T81" s="11" t="str">
        <f>IF(S81="No","No",
MROUND(_xlfn.XLOOKUP(B81,'Base stats'!B:B,'Base stats'!BH:BH) * 0.01 * 2 + 0.05, 0.05)
)</f>
        <v>No</v>
      </c>
      <c r="U81" s="5" t="str">
        <f>IF(S81="No","No",IF(_xlfn.XLOOKUP(B81,'Base stats'!B:B,'Base stats'!U:U)="No","No",
MROUND(_xlfn.XLOOKUP(B81,'Base stats'!B:B,'Base stats'!BT:BT)/10000+0.01,0.01)
))</f>
        <v>No</v>
      </c>
      <c r="V81" s="4" t="str">
        <f>IF(S81="No","No",
MROUND(_xlfn.XLOOKUP(B81,'Base stats'!B:B,'Base stats'!BF:BF)^0.25
/((_xlfn.XLOOKUP(B81,'Base stats'!B:B,'Base stats'!BO:BO))*10)*_xlfn.XLOOKUP(_xlfn.XLOOKUP(B81,'Base stats'!B:B,'Base stats'!E:E),Groups!A:A,Groups!AE:AE)*150 + 0.5 + _xlfn.XLOOKUP(B81,'Base stats'!B:B,'Base stats'!BW:BW),
0.05))</f>
        <v>No</v>
      </c>
      <c r="W81" s="8">
        <f>MROUND(_xlfn.XLOOKUP(_xlfn.XLOOKUP(B81,'Base stats'!B:B,'Base stats'!E:E),Groups!A:A,Groups!BG:BG)*_xlfn.XLOOKUP(B81,'Base stats'!B:B,'Base stats'!C:C)^-0.165,0.05)</f>
        <v>0.4</v>
      </c>
      <c r="X81" s="1">
        <f>MROUND(_xlfn.XLOOKUP(_xlfn.XLOOKUP(B81,'Base stats'!B:B,'Base stats'!E:E),Groups!A:A,Groups!BH:BH)*_xlfn.XLOOKUP(B81,'Base stats'!B:B,'Base stats'!C:C)^0.165,0.05)</f>
        <v>0</v>
      </c>
      <c r="Y81" s="8">
        <f>MROUND(_xlfn.XLOOKUP(_xlfn.XLOOKUP(B81,'Base stats'!B:B,'Base stats'!E:E),Groups!A:A,Groups!BI:BI)*_xlfn.XLOOKUP(B81,'Base stats'!B:B,'Base stats'!C:C)^0.165,0.05)</f>
        <v>0</v>
      </c>
      <c r="Z81" s="18">
        <f>MROUND(_xlfn.XLOOKUP(B81,'Base stats'!B:B,'Base stats'!AQ:AQ)*_xlfn.XLOOKUP(_xlfn.XLOOKUP(B81,'Base stats'!B:B,'Base stats'!E:E),Groups!A:A,Groups!H:H)/1000,IF((_xlfn.XLOOKUP(B81,'Base stats'!B:B,'Base stats'!AQ:AQ)*_xlfn.XLOOKUP(_xlfn.XLOOKUP(B81,'Base stats'!B:B,'Base stats'!E:E),Groups!A:A,Groups!H:H)/1000)&gt;1,0.05,0.01))</f>
        <v>0.45</v>
      </c>
      <c r="AA81" s="18">
        <f>MROUND((1/2)*(_xlfn.XLOOKUP(_xlfn.XLOOKUP(B81,'Base stats'!B:B,'Base stats'!E:E),Groups!A:A,Groups!H:H)*_xlfn.XLOOKUP(_xlfn.XLOOKUP(B81,'Base stats'!B:B,'Base stats'!E:E),Groups!A:A,Groups!I:I))*_xlfn.XLOOKUP(B81,'Base stats'!B:B,'Base stats'!AQ:AQ)*0.01,0.05)</f>
        <v>0.35000000000000003</v>
      </c>
      <c r="AB81" s="18">
        <f>MROUND(250*(Animals!AO81+Animals!AP81),25)</f>
        <v>150</v>
      </c>
      <c r="AC81" s="18" t="str">
        <f>_xlfn.XLOOKUP(_xlfn.XLOOKUP(B81,'Base stats'!B:B,'Base stats'!E:E),Groups!A:A,Groups!BJ:BJ)</f>
        <v>Quadruped</v>
      </c>
    </row>
    <row r="82" spans="1:29" ht="16.5" thickTop="1" thickBot="1" x14ac:dyDescent="0.3">
      <c r="A82" s="16" t="str">
        <f>Animals!A82</f>
        <v>Wolverine</v>
      </c>
      <c r="B82" s="6" t="str">
        <f>Animals!B82</f>
        <v>Gulo gulo</v>
      </c>
      <c r="C82" s="1" t="str">
        <f>Animals!C82</f>
        <v>&lt;li&gt;Wolverine&lt;/li&gt;</v>
      </c>
      <c r="D82" s="47">
        <f>MIN(MIN(6,_xlfn.XLOOKUP(A82,Animals!A:A,Animals!AO:AO))*20,MAX(MROUND(_xlfn.XLOOKUP(B82,'Base stats'!B:B,'Base stats'!BS:BS) * (_xlfn.XLOOKUP(B82,'Base stats'!B:B,'Base stats'!AO:AO)*5%)^0.9 / 21,0.1),0.05))</f>
        <v>0.8</v>
      </c>
      <c r="E82" s="11">
        <f>MROUND(_xlfn.XLOOKUP(B82,'Base stats'!B:B,'Base stats'!BG:BG) * 0.01 * 2 + 0.01, 0.05)</f>
        <v>0.60000000000000009</v>
      </c>
      <c r="F82" s="7">
        <f>MROUND(_xlfn.XLOOKUP(B82,'Base stats'!B:B,'Base stats'!BD:BD)^0.25 / (_xlfn.XLOOKUP(B82,'Base stats'!B:B,'Base stats'!BK:BK) * 10) * 150 + 0.5 + _xlfn.XLOOKUP(B82,'Base stats'!B:B,'Base stats'!BW:BW), 0.05)</f>
        <v>1.6</v>
      </c>
      <c r="G82" s="3" t="str">
        <f>IF(Animals!S82="No","No",
IF(_xlfn.XLOOKUP(B82,'Base stats'!B:B,'Base stats'!U:U)="No",
MAX(MROUND(_xlfn.XLOOKUP(B82,'Base stats'!B:B,'Base stats'!BT:BT) * _xlfn.XLOOKUP(B82,'Base stats'!B:B,'Base stats'!BP:BP)^0.9 / 21 * _xlfn.XLOOKUP(B82,'Base stats'!B:B,'Base stats'!BX:BX),0.1),0.05),
MAX(MROUND(((MIN(10,_xlfn.XLOOKUP(B82,'Base stats'!B:B,'Base stats'!U:U)))^0.4*_xlfn.XLOOKUP(B82,'Base stats'!B:B,'Base stats'!BH:BH)^0.73)^0.6 * _xlfn.XLOOKUP(B82,'Base stats'!B:B,'Base stats'!BX:BX),0.1),0.05)
))</f>
        <v>No</v>
      </c>
      <c r="H82" s="11" t="str">
        <f>IF(G82="No","No",
MROUND(_xlfn.XLOOKUP(B82,'Base stats'!B:B,'Base stats'!BH:BH) * 0.01 * 2 + 0.05, 0.05)
)</f>
        <v>No</v>
      </c>
      <c r="I82" s="11" t="str">
        <f>IF(G82="No","No",IF(_xlfn.XLOOKUP(B82,'Base stats'!B:B,'Base stats'!U:U)="No","No",
MROUND(_xlfn.XLOOKUP(B82,'Base stats'!B:B,'Base stats'!BT:BT)/10000+0.01,0.01)
))</f>
        <v>No</v>
      </c>
      <c r="J82" s="4" t="str">
        <f>IF(G82="No","No",
MROUND(_xlfn.XLOOKUP(B82,'Base stats'!B:B,'Base stats'!BE:BE)^0.25
/((_xlfn.XLOOKUP(B82,'Base stats'!B:B,'Base stats'!BL:BL))*10)*_xlfn.XLOOKUP(_xlfn.XLOOKUP(B82,'Base stats'!B:B,'Base stats'!E:E),Groups!A:A,Groups!Q:Q)*150 + 0.5 + _xlfn.XLOOKUP(B82,'Base stats'!B:B,'Base stats'!BW:BW),
0.05))</f>
        <v>No</v>
      </c>
      <c r="K82" s="3" t="str">
        <f>IF(Animals!X82="No","No",
IF(_xlfn.XLOOKUP(_xlfn.XLOOKUP(B82,'Base stats'!B:B,'Base stats'!E:E),Groups!A:A,Groups!BD:BD)=1,
MAX(MROUND(_xlfn.XLOOKUP(B82,'Base stats'!B:B,'Base stats'!BU:BU) * _xlfn.XLOOKUP(B82,'Base stats'!B:B,'Base stats'!BQ:BQ)^0.9 / 21 *_xlfn.XLOOKUP(B82,'Base stats'!B:B,'Base stats'!BX:BX),0.1),0.05),
MAX(MROUND(((MIN(10,_xlfn.XLOOKUP(B82,'Base stats'!B:B,'Base stats'!W:W)))^0.4*_xlfn.XLOOKUP(B82,'Base stats'!B:B,'Base stats'!BI:BI)^0.73)^0.6 *_xlfn.XLOOKUP(B82,'Base stats'!B:B,'Base stats'!BX:BX),0.1),0.05)
))</f>
        <v>No</v>
      </c>
      <c r="L82" s="11" t="str">
        <f>IF(K82="No","No",
MROUND(_xlfn.XLOOKUP(B82,'Base stats'!B:B,'Base stats'!BI:BI) * 0.01 *2 + 0.05, 0.05)
)</f>
        <v>No</v>
      </c>
      <c r="M82" s="5" t="str">
        <f>IF(K82="No","No",IF(_xlfn.XLOOKUP(_xlfn.XLOOKUP(B82,'Base stats'!B:B,'Base stats'!E:E),Groups!A:A,Groups!BD:BD)=1,"No",
MROUND(_xlfn.XLOOKUP(B82,'Base stats'!B:B,'Base stats'!BU:BU)/10000+0.01,0.01)
))</f>
        <v>No</v>
      </c>
      <c r="N82" s="4" t="str">
        <f>IF(K82="No","No",
MROUND(
  _xlfn.XLOOKUP(B82,'Base stats'!B:B,'Base stats'!BC:BC)^0.25
  / (_xlfn.XLOOKUP(B82,'Base stats'!B:B,'Base stats'!BM:BM) * 10)
  * _xlfn.XLOOKUP(
      _xlfn.XLOOKUP(B82,'Base stats'!B:B,'Base stats'!E:E),
      Groups!A:A,
      Groups!V:V
    ) * 150
  + MIN(12, _xlfn.XLOOKUP(B82,'Base stats'!B:B,'Base stats'!W:W))^(1/IF(_xlfn.XLOOKUP(_xlfn.XLOOKUP(B82,'Base stats'!B:B,'Base stats'!E:E),Groups!A:A,Groups!U:U)=1,100,10)) + 0.5 + _xlfn.XLOOKUP(B82,'Base stats'!B:B,'Base stats'!BW:BW),
0.05))</f>
        <v>No</v>
      </c>
      <c r="O82" s="3">
        <f>IF(Animals!AD82="No","No",
MAX(MROUND((MIN(10,_xlfn.XLOOKUP(B82,'Base stats'!B:B,'Base stats'!V:V)*IF(_xlfn.XLOOKUP(_xlfn.XLOOKUP(B82,'Base stats'!B:B,'Base stats'!E:E),Groups!A:A,Groups!O:O)=0,1,0.33))^0.4*_xlfn.XLOOKUP(B82,'Base stats'!B:B,'Base stats'!BJ:BJ)^0.73)^0.6 *_xlfn.XLOOKUP(B82,'Base stats'!B:B,'Base stats'!BX:BX),0.1),0.05)
)</f>
        <v>9.4</v>
      </c>
      <c r="P82" s="11">
        <f>IF(O82="No","No",
MROUND(_xlfn.XLOOKUP(B82,'Base stats'!B:B,'Base stats'!BJ:BJ) * 0.01 * 2 + 0.05, 0.05)
)</f>
        <v>1.9500000000000002</v>
      </c>
      <c r="Q82" s="5">
        <f>IF(O82="No","No",
MROUND(_xlfn.XLOOKUP(B82,'Base stats'!B:B,'Base stats'!BV:BV)/10000+0.01,0.01)
)</f>
        <v>0.2</v>
      </c>
      <c r="R82" s="4">
        <f>IF(O82="No","No",
MROUND(_xlfn.XLOOKUP(B82,'Base stats'!B:B,'Base stats'!BB:BB)^0.25
/((_xlfn.XLOOKUP(B82,'Base stats'!B:B,'Base stats'!BN:BN))*10)*_xlfn.XLOOKUP(_xlfn.XLOOKUP(B82,'Base stats'!B:B,'Base stats'!E:E),Groups!A:A,Groups!Z:Z)*150 + 0.5 + _xlfn.XLOOKUP(B82,'Base stats'!B:B,'Base stats'!BW:BW),
0.05))</f>
        <v>2.1</v>
      </c>
      <c r="S82" s="3">
        <f>IF(Animals!AI82="No","No",
IF(_xlfn.XLOOKUP(B82,'Base stats'!B:B,'Base stats'!U:U)="No",
MAX(MROUND(_xlfn.XLOOKUP(B82,'Base stats'!B:B,'Base stats'!BT:BT) * _xlfn.XLOOKUP(B82,'Base stats'!B:B,'Base stats'!BP:BP)^0.9 / 21 * _xlfn.XLOOKUP(B82,'Base stats'!B:B,'Base stats'!BX:BX),0.1),0.05),
MAX(MROUND(((MIN(12,_xlfn.XLOOKUP(B82,'Base stats'!B:B,'Base stats'!U:U)))^0.4*_xlfn.XLOOKUP(B82,'Base stats'!B:B,'Base stats'!BH:BH)^0.73)^0.6 * _xlfn.XLOOKUP(B82,'Base stats'!B:B,'Base stats'!BX:BX),0.1),0.05)
))</f>
        <v>7</v>
      </c>
      <c r="T82" s="11">
        <f>IF(S82="No","No",
MROUND(_xlfn.XLOOKUP(B82,'Base stats'!B:B,'Base stats'!BH:BH) * 0.01 * 2 + 0.05, 0.05)
)</f>
        <v>0.85000000000000009</v>
      </c>
      <c r="U82" s="5">
        <f>IF(S82="No","No",IF(_xlfn.XLOOKUP(B82,'Base stats'!B:B,'Base stats'!U:U)="No","No",
MROUND(_xlfn.XLOOKUP(B82,'Base stats'!B:B,'Base stats'!BT:BT)/10000+0.01,0.01)
))</f>
        <v>0.09</v>
      </c>
      <c r="V82" s="4">
        <f>IF(S82="No","No",
MROUND(_xlfn.XLOOKUP(B82,'Base stats'!B:B,'Base stats'!BF:BF)^0.25
/((_xlfn.XLOOKUP(B82,'Base stats'!B:B,'Base stats'!BO:BO))*10)*_xlfn.XLOOKUP(_xlfn.XLOOKUP(B82,'Base stats'!B:B,'Base stats'!E:E),Groups!A:A,Groups!AE:AE)*150 + 0.5 + _xlfn.XLOOKUP(B82,'Base stats'!B:B,'Base stats'!BW:BW),
0.05))</f>
        <v>1.25</v>
      </c>
      <c r="W82" s="8">
        <f>MROUND(_xlfn.XLOOKUP(_xlfn.XLOOKUP(B82,'Base stats'!B:B,'Base stats'!E:E),Groups!A:A,Groups!BG:BG)*_xlfn.XLOOKUP(B82,'Base stats'!B:B,'Base stats'!C:C)^-0.165,0.05)</f>
        <v>0.65</v>
      </c>
      <c r="X82" s="1">
        <f>MROUND(_xlfn.XLOOKUP(_xlfn.XLOOKUP(B82,'Base stats'!B:B,'Base stats'!E:E),Groups!A:A,Groups!BH:BH)*_xlfn.XLOOKUP(B82,'Base stats'!B:B,'Base stats'!C:C)^0.165,0.05)</f>
        <v>0.35000000000000003</v>
      </c>
      <c r="Y82" s="8">
        <f>MROUND(_xlfn.XLOOKUP(_xlfn.XLOOKUP(B82,'Base stats'!B:B,'Base stats'!E:E),Groups!A:A,Groups!BI:BI)*_xlfn.XLOOKUP(B82,'Base stats'!B:B,'Base stats'!C:C)^0.165,0.05)</f>
        <v>0.05</v>
      </c>
      <c r="Z82" s="18">
        <f>MROUND(_xlfn.XLOOKUP(B82,'Base stats'!B:B,'Base stats'!AQ:AQ)*_xlfn.XLOOKUP(_xlfn.XLOOKUP(B82,'Base stats'!B:B,'Base stats'!E:E),Groups!A:A,Groups!H:H)/1000,IF((_xlfn.XLOOKUP(B82,'Base stats'!B:B,'Base stats'!AQ:AQ)*_xlfn.XLOOKUP(_xlfn.XLOOKUP(B82,'Base stats'!B:B,'Base stats'!E:E),Groups!A:A,Groups!H:H)/1000)&gt;1,0.05,0.01))</f>
        <v>0.06</v>
      </c>
      <c r="AA82" s="18">
        <f>MROUND((1/2)*(_xlfn.XLOOKUP(_xlfn.XLOOKUP(B82,'Base stats'!B:B,'Base stats'!E:E),Groups!A:A,Groups!H:H)*_xlfn.XLOOKUP(_xlfn.XLOOKUP(B82,'Base stats'!B:B,'Base stats'!E:E),Groups!A:A,Groups!I:I))*_xlfn.XLOOKUP(B82,'Base stats'!B:B,'Base stats'!AQ:AQ)*0.01,0.05)</f>
        <v>0.25</v>
      </c>
      <c r="AB82" s="18">
        <f>MROUND(250*(Animals!AO82+Animals!AP82),25)</f>
        <v>300</v>
      </c>
      <c r="AC82" s="18" t="str">
        <f>_xlfn.XLOOKUP(_xlfn.XLOOKUP(B82,'Base stats'!B:B,'Base stats'!E:E),Groups!A:A,Groups!BJ:BJ)</f>
        <v>QuadrupedLow</v>
      </c>
    </row>
    <row r="83" spans="1:29" ht="16.5" thickTop="1" thickBot="1" x14ac:dyDescent="0.3">
      <c r="A83" s="16" t="str">
        <f>Animals!A83</f>
        <v>Mink</v>
      </c>
      <c r="B83" s="6" t="str">
        <f>Animals!B83</f>
        <v>Mustela vison</v>
      </c>
      <c r="C83" s="1" t="str">
        <f>Animals!C83</f>
        <v>&lt;li&gt;Mink&lt;/li&gt;</v>
      </c>
      <c r="D83" s="47">
        <f>MIN(MIN(6,_xlfn.XLOOKUP(A83,Animals!A:A,Animals!AO:AO))*20,MAX(MROUND(_xlfn.XLOOKUP(B83,'Base stats'!B:B,'Base stats'!BS:BS) * (_xlfn.XLOOKUP(B83,'Base stats'!B:B,'Base stats'!AO:AO)*5%)^0.9 / 21,0.1),0.05))</f>
        <v>0.1</v>
      </c>
      <c r="E83" s="11">
        <f>MROUND(_xlfn.XLOOKUP(B83,'Base stats'!B:B,'Base stats'!BG:BG) * 0.01 * 2 + 0.01, 0.05)</f>
        <v>0.05</v>
      </c>
      <c r="F83" s="7">
        <f>MROUND(_xlfn.XLOOKUP(B83,'Base stats'!B:B,'Base stats'!BD:BD)^0.25 / (_xlfn.XLOOKUP(B83,'Base stats'!B:B,'Base stats'!BK:BK) * 10) * 150 + 0.5 + _xlfn.XLOOKUP(B83,'Base stats'!B:B,'Base stats'!BW:BW), 0.05)</f>
        <v>1.25</v>
      </c>
      <c r="G83" s="3" t="str">
        <f>IF(Animals!S83="No","No",
IF(_xlfn.XLOOKUP(B83,'Base stats'!B:B,'Base stats'!U:U)="No",
MAX(MROUND(_xlfn.XLOOKUP(B83,'Base stats'!B:B,'Base stats'!BT:BT) * _xlfn.XLOOKUP(B83,'Base stats'!B:B,'Base stats'!BP:BP)^0.9 / 21 * _xlfn.XLOOKUP(B83,'Base stats'!B:B,'Base stats'!BX:BX),0.1),0.05),
MAX(MROUND(((MIN(10,_xlfn.XLOOKUP(B83,'Base stats'!B:B,'Base stats'!U:U)))^0.4*_xlfn.XLOOKUP(B83,'Base stats'!B:B,'Base stats'!BH:BH)^0.73)^0.6 * _xlfn.XLOOKUP(B83,'Base stats'!B:B,'Base stats'!BX:BX),0.1),0.05)
))</f>
        <v>No</v>
      </c>
      <c r="H83" s="11" t="str">
        <f>IF(G83="No","No",
MROUND(_xlfn.XLOOKUP(B83,'Base stats'!B:B,'Base stats'!BH:BH) * 0.01 * 2 + 0.05, 0.05)
)</f>
        <v>No</v>
      </c>
      <c r="I83" s="11" t="str">
        <f>IF(G83="No","No",IF(_xlfn.XLOOKUP(B83,'Base stats'!B:B,'Base stats'!U:U)="No","No",
MROUND(_xlfn.XLOOKUP(B83,'Base stats'!B:B,'Base stats'!BT:BT)/10000+0.01,0.01)
))</f>
        <v>No</v>
      </c>
      <c r="J83" s="4" t="str">
        <f>IF(G83="No","No",
MROUND(_xlfn.XLOOKUP(B83,'Base stats'!B:B,'Base stats'!BE:BE)^0.25
/((_xlfn.XLOOKUP(B83,'Base stats'!B:B,'Base stats'!BL:BL))*10)*_xlfn.XLOOKUP(_xlfn.XLOOKUP(B83,'Base stats'!B:B,'Base stats'!E:E),Groups!A:A,Groups!Q:Q)*150 + 0.5 + _xlfn.XLOOKUP(B83,'Base stats'!B:B,'Base stats'!BW:BW),
0.05))</f>
        <v>No</v>
      </c>
      <c r="K83" s="3" t="str">
        <f>IF(Animals!X83="No","No",
IF(_xlfn.XLOOKUP(_xlfn.XLOOKUP(B83,'Base stats'!B:B,'Base stats'!E:E),Groups!A:A,Groups!BD:BD)=1,
MAX(MROUND(_xlfn.XLOOKUP(B83,'Base stats'!B:B,'Base stats'!BU:BU) * _xlfn.XLOOKUP(B83,'Base stats'!B:B,'Base stats'!BQ:BQ)^0.9 / 21 *_xlfn.XLOOKUP(B83,'Base stats'!B:B,'Base stats'!BX:BX),0.1),0.05),
MAX(MROUND(((MIN(10,_xlfn.XLOOKUP(B83,'Base stats'!B:B,'Base stats'!W:W)))^0.4*_xlfn.XLOOKUP(B83,'Base stats'!B:B,'Base stats'!BI:BI)^0.73)^0.6 *_xlfn.XLOOKUP(B83,'Base stats'!B:B,'Base stats'!BX:BX),0.1),0.05)
))</f>
        <v>No</v>
      </c>
      <c r="L83" s="11" t="str">
        <f>IF(K83="No","No",
MROUND(_xlfn.XLOOKUP(B83,'Base stats'!B:B,'Base stats'!BI:BI) * 0.01 *2 + 0.05, 0.05)
)</f>
        <v>No</v>
      </c>
      <c r="M83" s="5" t="str">
        <f>IF(K83="No","No",IF(_xlfn.XLOOKUP(_xlfn.XLOOKUP(B83,'Base stats'!B:B,'Base stats'!E:E),Groups!A:A,Groups!BD:BD)=1,"No",
MROUND(_xlfn.XLOOKUP(B83,'Base stats'!B:B,'Base stats'!BU:BU)/10000+0.01,0.01)
))</f>
        <v>No</v>
      </c>
      <c r="N83" s="4" t="str">
        <f>IF(K83="No","No",
MROUND(
  _xlfn.XLOOKUP(B83,'Base stats'!B:B,'Base stats'!BC:BC)^0.25
  / (_xlfn.XLOOKUP(B83,'Base stats'!B:B,'Base stats'!BM:BM) * 10)
  * _xlfn.XLOOKUP(
      _xlfn.XLOOKUP(B83,'Base stats'!B:B,'Base stats'!E:E),
      Groups!A:A,
      Groups!V:V
    ) * 150
  + MIN(12, _xlfn.XLOOKUP(B83,'Base stats'!B:B,'Base stats'!W:W))^(1/IF(_xlfn.XLOOKUP(_xlfn.XLOOKUP(B83,'Base stats'!B:B,'Base stats'!E:E),Groups!A:A,Groups!U:U)=1,100,10)) + 0.5 + _xlfn.XLOOKUP(B83,'Base stats'!B:B,'Base stats'!BW:BW),
0.05))</f>
        <v>No</v>
      </c>
      <c r="O83" s="3">
        <f>IF(Animals!AD83="No","No",
MAX(MROUND((MIN(10,_xlfn.XLOOKUP(B83,'Base stats'!B:B,'Base stats'!V:V)*IF(_xlfn.XLOOKUP(_xlfn.XLOOKUP(B83,'Base stats'!B:B,'Base stats'!E:E),Groups!A:A,Groups!O:O)=0,1,0.33))^0.4*_xlfn.XLOOKUP(B83,'Base stats'!B:B,'Base stats'!BJ:BJ)^0.73)^0.6 *_xlfn.XLOOKUP(B83,'Base stats'!B:B,'Base stats'!BX:BX),0.1),0.05)
)</f>
        <v>1.9000000000000001</v>
      </c>
      <c r="P83" s="11">
        <f>IF(O83="No","No",
MROUND(_xlfn.XLOOKUP(B83,'Base stats'!B:B,'Base stats'!BJ:BJ) * 0.01 * 2 + 0.05, 0.05)
)</f>
        <v>0.15000000000000002</v>
      </c>
      <c r="Q83" s="5">
        <f>IF(O83="No","No",
MROUND(_xlfn.XLOOKUP(B83,'Base stats'!B:B,'Base stats'!BV:BV)/10000+0.01,0.01)
)</f>
        <v>0.04</v>
      </c>
      <c r="R83" s="4">
        <f>IF(O83="No","No",
MROUND(_xlfn.XLOOKUP(B83,'Base stats'!B:B,'Base stats'!BB:BB)^0.25
/((_xlfn.XLOOKUP(B83,'Base stats'!B:B,'Base stats'!BN:BN))*10)*_xlfn.XLOOKUP(_xlfn.XLOOKUP(B83,'Base stats'!B:B,'Base stats'!E:E),Groups!A:A,Groups!Z:Z)*150 + 0.5 + _xlfn.XLOOKUP(B83,'Base stats'!B:B,'Base stats'!BW:BW),
0.05))</f>
        <v>1.8</v>
      </c>
      <c r="S83" s="3">
        <f>IF(Animals!AI83="No","No",
IF(_xlfn.XLOOKUP(B83,'Base stats'!B:B,'Base stats'!U:U)="No",
MAX(MROUND(_xlfn.XLOOKUP(B83,'Base stats'!B:B,'Base stats'!BT:BT) * _xlfn.XLOOKUP(B83,'Base stats'!B:B,'Base stats'!BP:BP)^0.9 / 21 * _xlfn.XLOOKUP(B83,'Base stats'!B:B,'Base stats'!BX:BX),0.1),0.05),
MAX(MROUND(((MIN(12,_xlfn.XLOOKUP(B83,'Base stats'!B:B,'Base stats'!U:U)))^0.4*_xlfn.XLOOKUP(B83,'Base stats'!B:B,'Base stats'!BH:BH)^0.73)^0.6 * _xlfn.XLOOKUP(B83,'Base stats'!B:B,'Base stats'!BX:BX),0.1),0.05)
))</f>
        <v>1.6</v>
      </c>
      <c r="T83" s="11">
        <f>IF(S83="No","No",
MROUND(_xlfn.XLOOKUP(B83,'Base stats'!B:B,'Base stats'!BH:BH) * 0.01 * 2 + 0.05, 0.05)
)</f>
        <v>0.1</v>
      </c>
      <c r="U83" s="5">
        <f>IF(S83="No","No",IF(_xlfn.XLOOKUP(B83,'Base stats'!B:B,'Base stats'!U:U)="No","No",
MROUND(_xlfn.XLOOKUP(B83,'Base stats'!B:B,'Base stats'!BT:BT)/10000+0.01,0.01)
))</f>
        <v>0.03</v>
      </c>
      <c r="V83" s="4">
        <f>IF(S83="No","No",
MROUND(_xlfn.XLOOKUP(B83,'Base stats'!B:B,'Base stats'!BF:BF)^0.25
/((_xlfn.XLOOKUP(B83,'Base stats'!B:B,'Base stats'!BO:BO))*10)*_xlfn.XLOOKUP(_xlfn.XLOOKUP(B83,'Base stats'!B:B,'Base stats'!E:E),Groups!A:A,Groups!AE:AE)*150 + 0.5 + _xlfn.XLOOKUP(B83,'Base stats'!B:B,'Base stats'!BW:BW),
0.05))</f>
        <v>1</v>
      </c>
      <c r="W83" s="8">
        <f>MROUND(_xlfn.XLOOKUP(_xlfn.XLOOKUP(B83,'Base stats'!B:B,'Base stats'!E:E),Groups!A:A,Groups!BG:BG)*_xlfn.XLOOKUP(B83,'Base stats'!B:B,'Base stats'!C:C)^-0.165,0.05)</f>
        <v>1.1000000000000001</v>
      </c>
      <c r="X83" s="1">
        <f>MROUND(_xlfn.XLOOKUP(_xlfn.XLOOKUP(B83,'Base stats'!B:B,'Base stats'!E:E),Groups!A:A,Groups!BH:BH)*_xlfn.XLOOKUP(B83,'Base stats'!B:B,'Base stats'!C:C)^0.165,0.05)</f>
        <v>0.2</v>
      </c>
      <c r="Y83" s="8">
        <f>MROUND(_xlfn.XLOOKUP(_xlfn.XLOOKUP(B83,'Base stats'!B:B,'Base stats'!E:E),Groups!A:A,Groups!BI:BI)*_xlfn.XLOOKUP(B83,'Base stats'!B:B,'Base stats'!C:C)^0.165,0.05)</f>
        <v>0</v>
      </c>
      <c r="Z83" s="18">
        <f>MROUND(_xlfn.XLOOKUP(B83,'Base stats'!B:B,'Base stats'!AQ:AQ)*_xlfn.XLOOKUP(_xlfn.XLOOKUP(B83,'Base stats'!B:B,'Base stats'!E:E),Groups!A:A,Groups!H:H)/1000,IF((_xlfn.XLOOKUP(B83,'Base stats'!B:B,'Base stats'!AQ:AQ)*_xlfn.XLOOKUP(_xlfn.XLOOKUP(B83,'Base stats'!B:B,'Base stats'!E:E),Groups!A:A,Groups!H:H)/1000)&gt;1,0.05,0.01))</f>
        <v>0.02</v>
      </c>
      <c r="AA83" s="18">
        <f>MROUND((1/2)*(_xlfn.XLOOKUP(_xlfn.XLOOKUP(B83,'Base stats'!B:B,'Base stats'!E:E),Groups!A:A,Groups!H:H)*_xlfn.XLOOKUP(_xlfn.XLOOKUP(B83,'Base stats'!B:B,'Base stats'!E:E),Groups!A:A,Groups!I:I))*_xlfn.XLOOKUP(B83,'Base stats'!B:B,'Base stats'!AQ:AQ)*0.01,0.05)</f>
        <v>0.1</v>
      </c>
      <c r="AB83" s="18">
        <f>MROUND(250*(Animals!AO83+Animals!AP83),25)</f>
        <v>100</v>
      </c>
      <c r="AC83" s="18" t="str">
        <f>_xlfn.XLOOKUP(_xlfn.XLOOKUP(B83,'Base stats'!B:B,'Base stats'!E:E),Groups!A:A,Groups!BJ:BJ)</f>
        <v>QuadrupedLow</v>
      </c>
    </row>
    <row r="84" spans="1:29" ht="16.5" thickTop="1" thickBot="1" x14ac:dyDescent="0.3">
      <c r="A84" s="16" t="str">
        <f>Animals!A84</f>
        <v>Badger</v>
      </c>
      <c r="B84" s="6" t="str">
        <f>Animals!B84</f>
        <v>Meles meles</v>
      </c>
      <c r="C84" s="1" t="str">
        <f>Animals!C84</f>
        <v>&lt;li&gt;Badger&lt;/li&gt;</v>
      </c>
      <c r="D84" s="47">
        <f>MIN(MIN(6,_xlfn.XLOOKUP(A84,Animals!A:A,Animals!AO:AO))*20,MAX(MROUND(_xlfn.XLOOKUP(B84,'Base stats'!B:B,'Base stats'!BS:BS) * (_xlfn.XLOOKUP(B84,'Base stats'!B:B,'Base stats'!AO:AO)*5%)^0.9 / 21,0.1),0.05))</f>
        <v>0.5</v>
      </c>
      <c r="E84" s="11">
        <f>MROUND(_xlfn.XLOOKUP(B84,'Base stats'!B:B,'Base stats'!BG:BG) * 0.01 * 2 + 0.01, 0.05)</f>
        <v>0.4</v>
      </c>
      <c r="F84" s="7">
        <f>MROUND(_xlfn.XLOOKUP(B84,'Base stats'!B:B,'Base stats'!BD:BD)^0.25 / (_xlfn.XLOOKUP(B84,'Base stats'!B:B,'Base stats'!BK:BK) * 10) * 150 + 0.5 + _xlfn.XLOOKUP(B84,'Base stats'!B:B,'Base stats'!BW:BW), 0.05)</f>
        <v>1.4000000000000001</v>
      </c>
      <c r="G84" s="3" t="str">
        <f>IF(Animals!S84="No","No",
IF(_xlfn.XLOOKUP(B84,'Base stats'!B:B,'Base stats'!U:U)="No",
MAX(MROUND(_xlfn.XLOOKUP(B84,'Base stats'!B:B,'Base stats'!BT:BT) * _xlfn.XLOOKUP(B84,'Base stats'!B:B,'Base stats'!BP:BP)^0.9 / 21 * _xlfn.XLOOKUP(B84,'Base stats'!B:B,'Base stats'!BX:BX),0.1),0.05),
MAX(MROUND(((MIN(10,_xlfn.XLOOKUP(B84,'Base stats'!B:B,'Base stats'!U:U)))^0.4*_xlfn.XLOOKUP(B84,'Base stats'!B:B,'Base stats'!BH:BH)^0.73)^0.6 * _xlfn.XLOOKUP(B84,'Base stats'!B:B,'Base stats'!BX:BX),0.1),0.05)
))</f>
        <v>No</v>
      </c>
      <c r="H84" s="11" t="str">
        <f>IF(G84="No","No",
MROUND(_xlfn.XLOOKUP(B84,'Base stats'!B:B,'Base stats'!BH:BH) * 0.01 * 2 + 0.05, 0.05)
)</f>
        <v>No</v>
      </c>
      <c r="I84" s="11" t="str">
        <f>IF(G84="No","No",IF(_xlfn.XLOOKUP(B84,'Base stats'!B:B,'Base stats'!U:U)="No","No",
MROUND(_xlfn.XLOOKUP(B84,'Base stats'!B:B,'Base stats'!BT:BT)/10000+0.01,0.01)
))</f>
        <v>No</v>
      </c>
      <c r="J84" s="4" t="str">
        <f>IF(G84="No","No",
MROUND(_xlfn.XLOOKUP(B84,'Base stats'!B:B,'Base stats'!BE:BE)^0.25
/((_xlfn.XLOOKUP(B84,'Base stats'!B:B,'Base stats'!BL:BL))*10)*_xlfn.XLOOKUP(_xlfn.XLOOKUP(B84,'Base stats'!B:B,'Base stats'!E:E),Groups!A:A,Groups!Q:Q)*150 + 0.5 + _xlfn.XLOOKUP(B84,'Base stats'!B:B,'Base stats'!BW:BW),
0.05))</f>
        <v>No</v>
      </c>
      <c r="K84" s="3" t="str">
        <f>IF(Animals!X84="No","No",
IF(_xlfn.XLOOKUP(_xlfn.XLOOKUP(B84,'Base stats'!B:B,'Base stats'!E:E),Groups!A:A,Groups!BD:BD)=1,
MAX(MROUND(_xlfn.XLOOKUP(B84,'Base stats'!B:B,'Base stats'!BU:BU) * _xlfn.XLOOKUP(B84,'Base stats'!B:B,'Base stats'!BQ:BQ)^0.9 / 21 *_xlfn.XLOOKUP(B84,'Base stats'!B:B,'Base stats'!BX:BX),0.1),0.05),
MAX(MROUND(((MIN(10,_xlfn.XLOOKUP(B84,'Base stats'!B:B,'Base stats'!W:W)))^0.4*_xlfn.XLOOKUP(B84,'Base stats'!B:B,'Base stats'!BI:BI)^0.73)^0.6 *_xlfn.XLOOKUP(B84,'Base stats'!B:B,'Base stats'!BX:BX),0.1),0.05)
))</f>
        <v>No</v>
      </c>
      <c r="L84" s="11" t="str">
        <f>IF(K84="No","No",
MROUND(_xlfn.XLOOKUP(B84,'Base stats'!B:B,'Base stats'!BI:BI) * 0.01 *2 + 0.05, 0.05)
)</f>
        <v>No</v>
      </c>
      <c r="M84" s="5" t="str">
        <f>IF(K84="No","No",IF(_xlfn.XLOOKUP(_xlfn.XLOOKUP(B84,'Base stats'!B:B,'Base stats'!E:E),Groups!A:A,Groups!BD:BD)=1,"No",
MROUND(_xlfn.XLOOKUP(B84,'Base stats'!B:B,'Base stats'!BU:BU)/10000+0.01,0.01)
))</f>
        <v>No</v>
      </c>
      <c r="N84" s="4" t="str">
        <f>IF(K84="No","No",
MROUND(
  _xlfn.XLOOKUP(B84,'Base stats'!B:B,'Base stats'!BC:BC)^0.25
  / (_xlfn.XLOOKUP(B84,'Base stats'!B:B,'Base stats'!BM:BM) * 10)
  * _xlfn.XLOOKUP(
      _xlfn.XLOOKUP(B84,'Base stats'!B:B,'Base stats'!E:E),
      Groups!A:A,
      Groups!V:V
    ) * 150
  + MIN(12, _xlfn.XLOOKUP(B84,'Base stats'!B:B,'Base stats'!W:W))^(1/IF(_xlfn.XLOOKUP(_xlfn.XLOOKUP(B84,'Base stats'!B:B,'Base stats'!E:E),Groups!A:A,Groups!U:U)=1,100,10)) + 0.5 + _xlfn.XLOOKUP(B84,'Base stats'!B:B,'Base stats'!BW:BW),
0.05))</f>
        <v>No</v>
      </c>
      <c r="O84" s="3">
        <f>IF(Animals!AD84="No","No",
MAX(MROUND((MIN(10,_xlfn.XLOOKUP(B84,'Base stats'!B:B,'Base stats'!V:V)*IF(_xlfn.XLOOKUP(_xlfn.XLOOKUP(B84,'Base stats'!B:B,'Base stats'!E:E),Groups!A:A,Groups!O:O)=0,1,0.33))^0.4*_xlfn.XLOOKUP(B84,'Base stats'!B:B,'Base stats'!BJ:BJ)^0.73)^0.6 *_xlfn.XLOOKUP(B84,'Base stats'!B:B,'Base stats'!BX:BX),0.1),0.05)
)</f>
        <v>5.2</v>
      </c>
      <c r="P84" s="11">
        <f>IF(O84="No","No",
MROUND(_xlfn.XLOOKUP(B84,'Base stats'!B:B,'Base stats'!BJ:BJ) * 0.01 * 2 + 0.05, 0.05)
)</f>
        <v>0.65</v>
      </c>
      <c r="Q84" s="5">
        <f>IF(O84="No","No",
MROUND(_xlfn.XLOOKUP(B84,'Base stats'!B:B,'Base stats'!BV:BV)/10000+0.01,0.01)
)</f>
        <v>0.08</v>
      </c>
      <c r="R84" s="4">
        <f>IF(O84="No","No",
MROUND(_xlfn.XLOOKUP(B84,'Base stats'!B:B,'Base stats'!BB:BB)^0.25
/((_xlfn.XLOOKUP(B84,'Base stats'!B:B,'Base stats'!BN:BN))*10)*_xlfn.XLOOKUP(_xlfn.XLOOKUP(B84,'Base stats'!B:B,'Base stats'!E:E),Groups!A:A,Groups!Z:Z)*150 + 0.5 + _xlfn.XLOOKUP(B84,'Base stats'!B:B,'Base stats'!BW:BW),
0.05))</f>
        <v>1.9000000000000001</v>
      </c>
      <c r="S84" s="3">
        <f>IF(Animals!AI84="No","No",
IF(_xlfn.XLOOKUP(B84,'Base stats'!B:B,'Base stats'!U:U)="No",
MAX(MROUND(_xlfn.XLOOKUP(B84,'Base stats'!B:B,'Base stats'!BT:BT) * _xlfn.XLOOKUP(B84,'Base stats'!B:B,'Base stats'!BP:BP)^0.9 / 21 * _xlfn.XLOOKUP(B84,'Base stats'!B:B,'Base stats'!BX:BX),0.1),0.05),
MAX(MROUND(((MIN(12,_xlfn.XLOOKUP(B84,'Base stats'!B:B,'Base stats'!U:U)))^0.4*_xlfn.XLOOKUP(B84,'Base stats'!B:B,'Base stats'!BH:BH)^0.73)^0.6 * _xlfn.XLOOKUP(B84,'Base stats'!B:B,'Base stats'!BX:BX),0.1),0.05)
))</f>
        <v>5.9</v>
      </c>
      <c r="T84" s="11">
        <f>IF(S84="No","No",
MROUND(_xlfn.XLOOKUP(B84,'Base stats'!B:B,'Base stats'!BH:BH) * 0.01 * 2 + 0.05, 0.05)
)</f>
        <v>0.60000000000000009</v>
      </c>
      <c r="U84" s="5">
        <f>IF(S84="No","No",IF(_xlfn.XLOOKUP(B84,'Base stats'!B:B,'Base stats'!U:U)="No","No",
MROUND(_xlfn.XLOOKUP(B84,'Base stats'!B:B,'Base stats'!BT:BT)/10000+0.01,0.01)
))</f>
        <v>0.08</v>
      </c>
      <c r="V84" s="4">
        <f>IF(S84="No","No",
MROUND(_xlfn.XLOOKUP(B84,'Base stats'!B:B,'Base stats'!BF:BF)^0.25
/((_xlfn.XLOOKUP(B84,'Base stats'!B:B,'Base stats'!BO:BO))*10)*_xlfn.XLOOKUP(_xlfn.XLOOKUP(B84,'Base stats'!B:B,'Base stats'!E:E),Groups!A:A,Groups!AE:AE)*150 + 0.5 + _xlfn.XLOOKUP(B84,'Base stats'!B:B,'Base stats'!BW:BW),
0.05))</f>
        <v>1.2000000000000002</v>
      </c>
      <c r="W84" s="8">
        <f>MROUND(_xlfn.XLOOKUP(_xlfn.XLOOKUP(B84,'Base stats'!B:B,'Base stats'!E:E),Groups!A:A,Groups!BG:BG)*_xlfn.XLOOKUP(B84,'Base stats'!B:B,'Base stats'!C:C)^-0.165,0.05)</f>
        <v>0.70000000000000007</v>
      </c>
      <c r="X84" s="1">
        <f>MROUND(_xlfn.XLOOKUP(_xlfn.XLOOKUP(B84,'Base stats'!B:B,'Base stats'!E:E),Groups!A:A,Groups!BH:BH)*_xlfn.XLOOKUP(B84,'Base stats'!B:B,'Base stats'!C:C)^0.165,0.05)</f>
        <v>0.30000000000000004</v>
      </c>
      <c r="Y84" s="8">
        <f>MROUND(_xlfn.XLOOKUP(_xlfn.XLOOKUP(B84,'Base stats'!B:B,'Base stats'!E:E),Groups!A:A,Groups!BI:BI)*_xlfn.XLOOKUP(B84,'Base stats'!B:B,'Base stats'!C:C)^0.165,0.05)</f>
        <v>0.05</v>
      </c>
      <c r="Z84" s="18">
        <f>MROUND(_xlfn.XLOOKUP(B84,'Base stats'!B:B,'Base stats'!AQ:AQ)*_xlfn.XLOOKUP(_xlfn.XLOOKUP(B84,'Base stats'!B:B,'Base stats'!E:E),Groups!A:A,Groups!H:H)/1000,IF((_xlfn.XLOOKUP(B84,'Base stats'!B:B,'Base stats'!AQ:AQ)*_xlfn.XLOOKUP(_xlfn.XLOOKUP(B84,'Base stats'!B:B,'Base stats'!E:E),Groups!A:A,Groups!H:H)/1000)&gt;1,0.05,0.01))</f>
        <v>0.05</v>
      </c>
      <c r="AA84" s="18">
        <f>MROUND((1/2)*(_xlfn.XLOOKUP(_xlfn.XLOOKUP(B84,'Base stats'!B:B,'Base stats'!E:E),Groups!A:A,Groups!H:H)*_xlfn.XLOOKUP(_xlfn.XLOOKUP(B84,'Base stats'!B:B,'Base stats'!E:E),Groups!A:A,Groups!I:I))*_xlfn.XLOOKUP(B84,'Base stats'!B:B,'Base stats'!AQ:AQ)*0.01,0.05)</f>
        <v>0.2</v>
      </c>
      <c r="AB84" s="18">
        <f>MROUND(250*(Animals!AO84+Animals!AP84),25)</f>
        <v>250</v>
      </c>
      <c r="AC84" s="18" t="str">
        <f>_xlfn.XLOOKUP(_xlfn.XLOOKUP(B84,'Base stats'!B:B,'Base stats'!E:E),Groups!A:A,Groups!BJ:BJ)</f>
        <v>QuadrupedLow</v>
      </c>
    </row>
    <row r="85" spans="1:29" ht="16.5" thickTop="1" thickBot="1" x14ac:dyDescent="0.3">
      <c r="A85" s="16" t="str">
        <f>Animals!A85</f>
        <v>Otter</v>
      </c>
      <c r="B85" s="6" t="str">
        <f>Animals!B85</f>
        <v>Lutra lutra</v>
      </c>
      <c r="C85" s="1" t="str">
        <f>Animals!C85</f>
        <v>&lt;li&gt;Otter&lt;/li&gt;</v>
      </c>
      <c r="D85" s="47">
        <f>MIN(MIN(6,_xlfn.XLOOKUP(A85,Animals!A:A,Animals!AO:AO))*20,MAX(MROUND(_xlfn.XLOOKUP(B85,'Base stats'!B:B,'Base stats'!BS:BS) * (_xlfn.XLOOKUP(B85,'Base stats'!B:B,'Base stats'!AO:AO)*5%)^0.9 / 21,0.1),0.05))</f>
        <v>0.5</v>
      </c>
      <c r="E85" s="11">
        <f>MROUND(_xlfn.XLOOKUP(B85,'Base stats'!B:B,'Base stats'!BG:BG) * 0.01 * 2 + 0.01, 0.05)</f>
        <v>0.35000000000000003</v>
      </c>
      <c r="F85" s="7">
        <f>MROUND(_xlfn.XLOOKUP(B85,'Base stats'!B:B,'Base stats'!BD:BD)^0.25 / (_xlfn.XLOOKUP(B85,'Base stats'!B:B,'Base stats'!BK:BK) * 10) * 150 + 0.5 + _xlfn.XLOOKUP(B85,'Base stats'!B:B,'Base stats'!BW:BW), 0.05)</f>
        <v>1.6</v>
      </c>
      <c r="G85" s="3" t="str">
        <f>IF(Animals!S85="No","No",
IF(_xlfn.XLOOKUP(B85,'Base stats'!B:B,'Base stats'!U:U)="No",
MAX(MROUND(_xlfn.XLOOKUP(B85,'Base stats'!B:B,'Base stats'!BT:BT) * _xlfn.XLOOKUP(B85,'Base stats'!B:B,'Base stats'!BP:BP)^0.9 / 21 * _xlfn.XLOOKUP(B85,'Base stats'!B:B,'Base stats'!BX:BX),0.1),0.05),
MAX(MROUND(((MIN(10,_xlfn.XLOOKUP(B85,'Base stats'!B:B,'Base stats'!U:U)))^0.4*_xlfn.XLOOKUP(B85,'Base stats'!B:B,'Base stats'!BH:BH)^0.73)^0.6 * _xlfn.XLOOKUP(B85,'Base stats'!B:B,'Base stats'!BX:BX),0.1),0.05)
))</f>
        <v>No</v>
      </c>
      <c r="H85" s="11" t="str">
        <f>IF(G85="No","No",
MROUND(_xlfn.XLOOKUP(B85,'Base stats'!B:B,'Base stats'!BH:BH) * 0.01 * 2 + 0.05, 0.05)
)</f>
        <v>No</v>
      </c>
      <c r="I85" s="11" t="str">
        <f>IF(G85="No","No",IF(_xlfn.XLOOKUP(B85,'Base stats'!B:B,'Base stats'!U:U)="No","No",
MROUND(_xlfn.XLOOKUP(B85,'Base stats'!B:B,'Base stats'!BT:BT)/10000+0.01,0.01)
))</f>
        <v>No</v>
      </c>
      <c r="J85" s="4" t="str">
        <f>IF(G85="No","No",
MROUND(_xlfn.XLOOKUP(B85,'Base stats'!B:B,'Base stats'!BE:BE)^0.25
/((_xlfn.XLOOKUP(B85,'Base stats'!B:B,'Base stats'!BL:BL))*10)*_xlfn.XLOOKUP(_xlfn.XLOOKUP(B85,'Base stats'!B:B,'Base stats'!E:E),Groups!A:A,Groups!Q:Q)*150 + 0.5 + _xlfn.XLOOKUP(B85,'Base stats'!B:B,'Base stats'!BW:BW),
0.05))</f>
        <v>No</v>
      </c>
      <c r="K85" s="3" t="str">
        <f>IF(Animals!X85="No","No",
IF(_xlfn.XLOOKUP(_xlfn.XLOOKUP(B85,'Base stats'!B:B,'Base stats'!E:E),Groups!A:A,Groups!BD:BD)=1,
MAX(MROUND(_xlfn.XLOOKUP(B85,'Base stats'!B:B,'Base stats'!BU:BU) * _xlfn.XLOOKUP(B85,'Base stats'!B:B,'Base stats'!BQ:BQ)^0.9 / 21 *_xlfn.XLOOKUP(B85,'Base stats'!B:B,'Base stats'!BX:BX),0.1),0.05),
MAX(MROUND(((MIN(10,_xlfn.XLOOKUP(B85,'Base stats'!B:B,'Base stats'!W:W)))^0.4*_xlfn.XLOOKUP(B85,'Base stats'!B:B,'Base stats'!BI:BI)^0.73)^0.6 *_xlfn.XLOOKUP(B85,'Base stats'!B:B,'Base stats'!BX:BX),0.1),0.05)
))</f>
        <v>No</v>
      </c>
      <c r="L85" s="11" t="str">
        <f>IF(K85="No","No",
MROUND(_xlfn.XLOOKUP(B85,'Base stats'!B:B,'Base stats'!BI:BI) * 0.01 *2 + 0.05, 0.05)
)</f>
        <v>No</v>
      </c>
      <c r="M85" s="5" t="str">
        <f>IF(K85="No","No",IF(_xlfn.XLOOKUP(_xlfn.XLOOKUP(B85,'Base stats'!B:B,'Base stats'!E:E),Groups!A:A,Groups!BD:BD)=1,"No",
MROUND(_xlfn.XLOOKUP(B85,'Base stats'!B:B,'Base stats'!BU:BU)/10000+0.01,0.01)
))</f>
        <v>No</v>
      </c>
      <c r="N85" s="4" t="str">
        <f>IF(K85="No","No",
MROUND(
  _xlfn.XLOOKUP(B85,'Base stats'!B:B,'Base stats'!BC:BC)^0.25
  / (_xlfn.XLOOKUP(B85,'Base stats'!B:B,'Base stats'!BM:BM) * 10)
  * _xlfn.XLOOKUP(
      _xlfn.XLOOKUP(B85,'Base stats'!B:B,'Base stats'!E:E),
      Groups!A:A,
      Groups!V:V
    ) * 150
  + MIN(12, _xlfn.XLOOKUP(B85,'Base stats'!B:B,'Base stats'!W:W))^(1/IF(_xlfn.XLOOKUP(_xlfn.XLOOKUP(B85,'Base stats'!B:B,'Base stats'!E:E),Groups!A:A,Groups!U:U)=1,100,10)) + 0.5 + _xlfn.XLOOKUP(B85,'Base stats'!B:B,'Base stats'!BW:BW),
0.05))</f>
        <v>No</v>
      </c>
      <c r="O85" s="3">
        <f>IF(Animals!AD85="No","No",
MAX(MROUND((MIN(10,_xlfn.XLOOKUP(B85,'Base stats'!B:B,'Base stats'!V:V)*IF(_xlfn.XLOOKUP(_xlfn.XLOOKUP(B85,'Base stats'!B:B,'Base stats'!E:E),Groups!A:A,Groups!O:O)=0,1,0.33))^0.4*_xlfn.XLOOKUP(B85,'Base stats'!B:B,'Base stats'!BJ:BJ)^0.73)^0.6 *_xlfn.XLOOKUP(B85,'Base stats'!B:B,'Base stats'!BX:BX),0.1),0.05)
)</f>
        <v>4.5</v>
      </c>
      <c r="P85" s="11">
        <f>IF(O85="No","No",
MROUND(_xlfn.XLOOKUP(B85,'Base stats'!B:B,'Base stats'!BJ:BJ) * 0.01 * 2 + 0.05, 0.05)
)</f>
        <v>0.55000000000000004</v>
      </c>
      <c r="Q85" s="5">
        <f>IF(O85="No","No",
MROUND(_xlfn.XLOOKUP(B85,'Base stats'!B:B,'Base stats'!BV:BV)/10000+0.01,0.01)
)</f>
        <v>0.08</v>
      </c>
      <c r="R85" s="4">
        <f>IF(O85="No","No",
MROUND(_xlfn.XLOOKUP(B85,'Base stats'!B:B,'Base stats'!BB:BB)^0.25
/((_xlfn.XLOOKUP(B85,'Base stats'!B:B,'Base stats'!BN:BN))*10)*_xlfn.XLOOKUP(_xlfn.XLOOKUP(B85,'Base stats'!B:B,'Base stats'!E:E),Groups!A:A,Groups!Z:Z)*150 + 0.5 + _xlfn.XLOOKUP(B85,'Base stats'!B:B,'Base stats'!BW:BW),
0.05))</f>
        <v>1.9000000000000001</v>
      </c>
      <c r="S85" s="3">
        <f>IF(Animals!AI85="No","No",
IF(_xlfn.XLOOKUP(B85,'Base stats'!B:B,'Base stats'!U:U)="No",
MAX(MROUND(_xlfn.XLOOKUP(B85,'Base stats'!B:B,'Base stats'!BT:BT) * _xlfn.XLOOKUP(B85,'Base stats'!B:B,'Base stats'!BP:BP)^0.9 / 21 * _xlfn.XLOOKUP(B85,'Base stats'!B:B,'Base stats'!BX:BX),0.1),0.05),
MAX(MROUND(((MIN(12,_xlfn.XLOOKUP(B85,'Base stats'!B:B,'Base stats'!U:U)))^0.4*_xlfn.XLOOKUP(B85,'Base stats'!B:B,'Base stats'!BH:BH)^0.73)^0.6 * _xlfn.XLOOKUP(B85,'Base stats'!B:B,'Base stats'!BX:BX),0.1),0.05)
))</f>
        <v>4.1000000000000005</v>
      </c>
      <c r="T85" s="11">
        <f>IF(S85="No","No",
MROUND(_xlfn.XLOOKUP(B85,'Base stats'!B:B,'Base stats'!BH:BH) * 0.01 * 2 + 0.05, 0.05)
)</f>
        <v>0.55000000000000004</v>
      </c>
      <c r="U85" s="5">
        <f>IF(S85="No","No",IF(_xlfn.XLOOKUP(B85,'Base stats'!B:B,'Base stats'!U:U)="No","No",
MROUND(_xlfn.XLOOKUP(B85,'Base stats'!B:B,'Base stats'!BT:BT)/10000+0.01,0.01)
))</f>
        <v>7.0000000000000007E-2</v>
      </c>
      <c r="V85" s="4">
        <f>IF(S85="No","No",
MROUND(_xlfn.XLOOKUP(B85,'Base stats'!B:B,'Base stats'!BF:BF)^0.25
/((_xlfn.XLOOKUP(B85,'Base stats'!B:B,'Base stats'!BO:BO))*10)*_xlfn.XLOOKUP(_xlfn.XLOOKUP(B85,'Base stats'!B:B,'Base stats'!E:E),Groups!A:A,Groups!AE:AE)*150 + 0.5 + _xlfn.XLOOKUP(B85,'Base stats'!B:B,'Base stats'!BW:BW),
0.05))</f>
        <v>1.2000000000000002</v>
      </c>
      <c r="W85" s="8">
        <f>MROUND(_xlfn.XLOOKUP(_xlfn.XLOOKUP(B85,'Base stats'!B:B,'Base stats'!E:E),Groups!A:A,Groups!BG:BG)*_xlfn.XLOOKUP(B85,'Base stats'!B:B,'Base stats'!C:C)^-0.165,0.05)</f>
        <v>0.75</v>
      </c>
      <c r="X85" s="1">
        <f>MROUND(_xlfn.XLOOKUP(_xlfn.XLOOKUP(B85,'Base stats'!B:B,'Base stats'!E:E),Groups!A:A,Groups!BH:BH)*_xlfn.XLOOKUP(B85,'Base stats'!B:B,'Base stats'!C:C)^0.165,0.05)</f>
        <v>0.30000000000000004</v>
      </c>
      <c r="Y85" s="8">
        <f>MROUND(_xlfn.XLOOKUP(_xlfn.XLOOKUP(B85,'Base stats'!B:B,'Base stats'!E:E),Groups!A:A,Groups!BI:BI)*_xlfn.XLOOKUP(B85,'Base stats'!B:B,'Base stats'!C:C)^0.165,0.05)</f>
        <v>0.05</v>
      </c>
      <c r="Z85" s="18">
        <f>MROUND(_xlfn.XLOOKUP(B85,'Base stats'!B:B,'Base stats'!AQ:AQ)*_xlfn.XLOOKUP(_xlfn.XLOOKUP(B85,'Base stats'!B:B,'Base stats'!E:E),Groups!A:A,Groups!H:H)/1000,IF((_xlfn.XLOOKUP(B85,'Base stats'!B:B,'Base stats'!AQ:AQ)*_xlfn.XLOOKUP(_xlfn.XLOOKUP(B85,'Base stats'!B:B,'Base stats'!E:E),Groups!A:A,Groups!H:H)/1000)&gt;1,0.05,0.01))</f>
        <v>0.05</v>
      </c>
      <c r="AA85" s="18">
        <f>MROUND((1/2)*(_xlfn.XLOOKUP(_xlfn.XLOOKUP(B85,'Base stats'!B:B,'Base stats'!E:E),Groups!A:A,Groups!H:H)*_xlfn.XLOOKUP(_xlfn.XLOOKUP(B85,'Base stats'!B:B,'Base stats'!E:E),Groups!A:A,Groups!I:I))*_xlfn.XLOOKUP(B85,'Base stats'!B:B,'Base stats'!AQ:AQ)*0.01,0.05)</f>
        <v>0.2</v>
      </c>
      <c r="AB85" s="18">
        <f>MROUND(250*(Animals!AO85+Animals!AP85),25)</f>
        <v>250</v>
      </c>
      <c r="AC85" s="18" t="str">
        <f>_xlfn.XLOOKUP(_xlfn.XLOOKUP(B85,'Base stats'!B:B,'Base stats'!E:E),Groups!A:A,Groups!BJ:BJ)</f>
        <v>QuadrupedLow</v>
      </c>
    </row>
    <row r="86" spans="1:29" ht="16.5" thickTop="1" thickBot="1" x14ac:dyDescent="0.3">
      <c r="A86" s="16" t="str">
        <f>Animals!A86</f>
        <v>SeaLion</v>
      </c>
      <c r="B86" s="6" t="str">
        <f>Animals!B86</f>
        <v>Zalophus californianus</v>
      </c>
      <c r="C86" s="1" t="str">
        <f>Animals!C86</f>
        <v>&lt;li&gt;SeaLion&lt;/li&gt;</v>
      </c>
      <c r="D86" s="47">
        <f>MIN(MIN(6,_xlfn.XLOOKUP(A86,Animals!A:A,Animals!AO:AO))*20,MAX(MROUND(_xlfn.XLOOKUP(B86,'Base stats'!B:B,'Base stats'!BS:BS) * (_xlfn.XLOOKUP(B86,'Base stats'!B:B,'Base stats'!AO:AO)*5%)^0.9 / 21,0.1),0.05))</f>
        <v>5</v>
      </c>
      <c r="E86" s="11">
        <f>MROUND(_xlfn.XLOOKUP(B86,'Base stats'!B:B,'Base stats'!BG:BG) * 0.01 * 2 + 0.01, 0.05)</f>
        <v>4.4000000000000004</v>
      </c>
      <c r="F86" s="7">
        <f>MROUND(_xlfn.XLOOKUP(B86,'Base stats'!B:B,'Base stats'!BD:BD)^0.25 / (_xlfn.XLOOKUP(B86,'Base stats'!B:B,'Base stats'!BK:BK) * 10) * 150 + 0.5 + _xlfn.XLOOKUP(B86,'Base stats'!B:B,'Base stats'!BW:BW), 0.05)</f>
        <v>2.15</v>
      </c>
      <c r="G86" s="3" t="str">
        <f>IF(Animals!S86="No","No",
IF(_xlfn.XLOOKUP(B86,'Base stats'!B:B,'Base stats'!U:U)="No",
MAX(MROUND(_xlfn.XLOOKUP(B86,'Base stats'!B:B,'Base stats'!BT:BT) * _xlfn.XLOOKUP(B86,'Base stats'!B:B,'Base stats'!BP:BP)^0.9 / 21 * _xlfn.XLOOKUP(B86,'Base stats'!B:B,'Base stats'!BX:BX),0.1),0.05),
MAX(MROUND(((MIN(10,_xlfn.XLOOKUP(B86,'Base stats'!B:B,'Base stats'!U:U)))^0.4*_xlfn.XLOOKUP(B86,'Base stats'!B:B,'Base stats'!BH:BH)^0.73)^0.6 * _xlfn.XLOOKUP(B86,'Base stats'!B:B,'Base stats'!BX:BX),0.1),0.05)
))</f>
        <v>No</v>
      </c>
      <c r="H86" s="11" t="str">
        <f>IF(G86="No","No",
MROUND(_xlfn.XLOOKUP(B86,'Base stats'!B:B,'Base stats'!BH:BH) * 0.01 * 2 + 0.05, 0.05)
)</f>
        <v>No</v>
      </c>
      <c r="I86" s="11" t="str">
        <f>IF(G86="No","No",IF(_xlfn.XLOOKUP(B86,'Base stats'!B:B,'Base stats'!U:U)="No","No",
MROUND(_xlfn.XLOOKUP(B86,'Base stats'!B:B,'Base stats'!BT:BT)/10000+0.01,0.01)
))</f>
        <v>No</v>
      </c>
      <c r="J86" s="4" t="str">
        <f>IF(G86="No","No",
MROUND(_xlfn.XLOOKUP(B86,'Base stats'!B:B,'Base stats'!BE:BE)^0.25
/((_xlfn.XLOOKUP(B86,'Base stats'!B:B,'Base stats'!BL:BL))*10)*_xlfn.XLOOKUP(_xlfn.XLOOKUP(B86,'Base stats'!B:B,'Base stats'!E:E),Groups!A:A,Groups!Q:Q)*150 + 0.5 + _xlfn.XLOOKUP(B86,'Base stats'!B:B,'Base stats'!BW:BW),
0.05))</f>
        <v>No</v>
      </c>
      <c r="K86" s="3" t="str">
        <f>IF(Animals!X86="No","No",
IF(_xlfn.XLOOKUP(_xlfn.XLOOKUP(B86,'Base stats'!B:B,'Base stats'!E:E),Groups!A:A,Groups!BD:BD)=1,
MAX(MROUND(_xlfn.XLOOKUP(B86,'Base stats'!B:B,'Base stats'!BU:BU) * _xlfn.XLOOKUP(B86,'Base stats'!B:B,'Base stats'!BQ:BQ)^0.9 / 21 *_xlfn.XLOOKUP(B86,'Base stats'!B:B,'Base stats'!BX:BX),0.1),0.05),
MAX(MROUND(((MIN(10,_xlfn.XLOOKUP(B86,'Base stats'!B:B,'Base stats'!W:W)))^0.4*_xlfn.XLOOKUP(B86,'Base stats'!B:B,'Base stats'!BI:BI)^0.73)^0.6 *_xlfn.XLOOKUP(B86,'Base stats'!B:B,'Base stats'!BX:BX),0.1),0.05)
))</f>
        <v>No</v>
      </c>
      <c r="L86" s="11" t="str">
        <f>IF(K86="No","No",
MROUND(_xlfn.XLOOKUP(B86,'Base stats'!B:B,'Base stats'!BI:BI) * 0.01 *2 + 0.05, 0.05)
)</f>
        <v>No</v>
      </c>
      <c r="M86" s="5" t="str">
        <f>IF(K86="No","No",IF(_xlfn.XLOOKUP(_xlfn.XLOOKUP(B86,'Base stats'!B:B,'Base stats'!E:E),Groups!A:A,Groups!BD:BD)=1,"No",
MROUND(_xlfn.XLOOKUP(B86,'Base stats'!B:B,'Base stats'!BU:BU)/10000+0.01,0.01)
))</f>
        <v>No</v>
      </c>
      <c r="N86" s="4" t="str">
        <f>IF(K86="No","No",
MROUND(
  _xlfn.XLOOKUP(B86,'Base stats'!B:B,'Base stats'!BC:BC)^0.25
  / (_xlfn.XLOOKUP(B86,'Base stats'!B:B,'Base stats'!BM:BM) * 10)
  * _xlfn.XLOOKUP(
      _xlfn.XLOOKUP(B86,'Base stats'!B:B,'Base stats'!E:E),
      Groups!A:A,
      Groups!V:V
    ) * 150
  + MIN(12, _xlfn.XLOOKUP(B86,'Base stats'!B:B,'Base stats'!W:W))^(1/IF(_xlfn.XLOOKUP(_xlfn.XLOOKUP(B86,'Base stats'!B:B,'Base stats'!E:E),Groups!A:A,Groups!U:U)=1,100,10)) + 0.5 + _xlfn.XLOOKUP(B86,'Base stats'!B:B,'Base stats'!BW:BW),
0.05))</f>
        <v>No</v>
      </c>
      <c r="O86" s="3">
        <f>IF(Animals!AD86="No","No",
MAX(MROUND((MIN(10,_xlfn.XLOOKUP(B86,'Base stats'!B:B,'Base stats'!V:V)*IF(_xlfn.XLOOKUP(_xlfn.XLOOKUP(B86,'Base stats'!B:B,'Base stats'!E:E),Groups!A:A,Groups!O:O)=0,1,0.33))^0.4*_xlfn.XLOOKUP(B86,'Base stats'!B:B,'Base stats'!BJ:BJ)^0.73)^0.6 *_xlfn.XLOOKUP(B86,'Base stats'!B:B,'Base stats'!BX:BX),0.1),0.05)
)</f>
        <v>16.5</v>
      </c>
      <c r="P86" s="11">
        <f>IF(O86="No","No",
MROUND(_xlfn.XLOOKUP(B86,'Base stats'!B:B,'Base stats'!BJ:BJ) * 0.01 * 2 + 0.05, 0.05)
)</f>
        <v>5</v>
      </c>
      <c r="Q86" s="5">
        <f>IF(O86="No","No",
MROUND(_xlfn.XLOOKUP(B86,'Base stats'!B:B,'Base stats'!BV:BV)/10000+0.01,0.01)
)</f>
        <v>0.21</v>
      </c>
      <c r="R86" s="4">
        <f>IF(O86="No","No",
MROUND(_xlfn.XLOOKUP(B86,'Base stats'!B:B,'Base stats'!BB:BB)^0.25
/((_xlfn.XLOOKUP(B86,'Base stats'!B:B,'Base stats'!BN:BN))*10)*_xlfn.XLOOKUP(_xlfn.XLOOKUP(B86,'Base stats'!B:B,'Base stats'!E:E),Groups!A:A,Groups!Z:Z)*150 + 0.5 + _xlfn.XLOOKUP(B86,'Base stats'!B:B,'Base stats'!BW:BW),
0.05))</f>
        <v>2.3000000000000003</v>
      </c>
      <c r="S86" s="3" t="str">
        <f>IF(Animals!AI86="No","No",
IF(_xlfn.XLOOKUP(B86,'Base stats'!B:B,'Base stats'!U:U)="No",
MAX(MROUND(_xlfn.XLOOKUP(B86,'Base stats'!B:B,'Base stats'!BT:BT) * _xlfn.XLOOKUP(B86,'Base stats'!B:B,'Base stats'!BP:BP)^0.9 / 21 * _xlfn.XLOOKUP(B86,'Base stats'!B:B,'Base stats'!BX:BX),0.1),0.05),
MAX(MROUND(((MIN(12,_xlfn.XLOOKUP(B86,'Base stats'!B:B,'Base stats'!U:U)))^0.4*_xlfn.XLOOKUP(B86,'Base stats'!B:B,'Base stats'!BH:BH)^0.73)^0.6 * _xlfn.XLOOKUP(B86,'Base stats'!B:B,'Base stats'!BX:BX),0.1),0.05)
))</f>
        <v>No</v>
      </c>
      <c r="T86" s="11" t="str">
        <f>IF(S86="No","No",
MROUND(_xlfn.XLOOKUP(B86,'Base stats'!B:B,'Base stats'!BH:BH) * 0.01 * 2 + 0.05, 0.05)
)</f>
        <v>No</v>
      </c>
      <c r="U86" s="5" t="str">
        <f>IF(S86="No","No",IF(_xlfn.XLOOKUP(B86,'Base stats'!B:B,'Base stats'!U:U)="No","No",
MROUND(_xlfn.XLOOKUP(B86,'Base stats'!B:B,'Base stats'!BT:BT)/10000+0.01,0.01)
))</f>
        <v>No</v>
      </c>
      <c r="V86" s="4" t="str">
        <f>IF(S86="No","No",
MROUND(_xlfn.XLOOKUP(B86,'Base stats'!B:B,'Base stats'!BF:BF)^0.25
/((_xlfn.XLOOKUP(B86,'Base stats'!B:B,'Base stats'!BO:BO))*10)*_xlfn.XLOOKUP(_xlfn.XLOOKUP(B86,'Base stats'!B:B,'Base stats'!E:E),Groups!A:A,Groups!AE:AE)*150 + 0.5 + _xlfn.XLOOKUP(B86,'Base stats'!B:B,'Base stats'!BW:BW),
0.05))</f>
        <v>No</v>
      </c>
      <c r="W86" s="8">
        <f>MROUND(_xlfn.XLOOKUP(_xlfn.XLOOKUP(B86,'Base stats'!B:B,'Base stats'!E:E),Groups!A:A,Groups!BG:BG)*_xlfn.XLOOKUP(B86,'Base stats'!B:B,'Base stats'!C:C)^-0.165,0.05)</f>
        <v>0.30000000000000004</v>
      </c>
      <c r="X86" s="1">
        <f>MROUND(_xlfn.XLOOKUP(_xlfn.XLOOKUP(B86,'Base stats'!B:B,'Base stats'!E:E),Groups!A:A,Groups!BH:BH)*_xlfn.XLOOKUP(B86,'Base stats'!B:B,'Base stats'!C:C)^0.165,0.05)</f>
        <v>0.25</v>
      </c>
      <c r="Y86" s="8">
        <f>MROUND(_xlfn.XLOOKUP(_xlfn.XLOOKUP(B86,'Base stats'!B:B,'Base stats'!E:E),Groups!A:A,Groups!BI:BI)*_xlfn.XLOOKUP(B86,'Base stats'!B:B,'Base stats'!C:C)^0.165,0.05)</f>
        <v>0.05</v>
      </c>
      <c r="Z86" s="18">
        <f>MROUND(_xlfn.XLOOKUP(B86,'Base stats'!B:B,'Base stats'!AQ:AQ)*_xlfn.XLOOKUP(_xlfn.XLOOKUP(B86,'Base stats'!B:B,'Base stats'!E:E),Groups!A:A,Groups!H:H)/1000,IF((_xlfn.XLOOKUP(B86,'Base stats'!B:B,'Base stats'!AQ:AQ)*_xlfn.XLOOKUP(_xlfn.XLOOKUP(B86,'Base stats'!B:B,'Base stats'!E:E),Groups!A:A,Groups!H:H)/1000)&gt;1,0.05,0.01))</f>
        <v>0.13</v>
      </c>
      <c r="AA86" s="18">
        <f>MROUND((1/2)*(_xlfn.XLOOKUP(_xlfn.XLOOKUP(B86,'Base stats'!B:B,'Base stats'!E:E),Groups!A:A,Groups!H:H)*_xlfn.XLOOKUP(_xlfn.XLOOKUP(B86,'Base stats'!B:B,'Base stats'!E:E),Groups!A:A,Groups!I:I))*_xlfn.XLOOKUP(B86,'Base stats'!B:B,'Base stats'!AQ:AQ)*0.01,0.05)</f>
        <v>0.55000000000000004</v>
      </c>
      <c r="AB86" s="18">
        <f>MROUND(250*(Animals!AO86+Animals!AP86),25)</f>
        <v>950</v>
      </c>
      <c r="AC86" s="18" t="str">
        <f>_xlfn.XLOOKUP(_xlfn.XLOOKUP(B86,'Base stats'!B:B,'Base stats'!E:E),Groups!A:A,Groups!BJ:BJ)</f>
        <v>QuadrupedLow</v>
      </c>
    </row>
    <row r="87" spans="1:29" ht="16.5" thickTop="1" thickBot="1" x14ac:dyDescent="0.3">
      <c r="A87" s="16" t="str">
        <f>Animals!A87</f>
        <v>Seal</v>
      </c>
      <c r="B87" s="6" t="str">
        <f>Animals!B87</f>
        <v>Phoca vitulina</v>
      </c>
      <c r="C87" s="1" t="str">
        <f>Animals!C87</f>
        <v>&lt;li&gt;Seal&lt;/li&gt;</v>
      </c>
      <c r="D87" s="47">
        <f>MIN(MIN(6,_xlfn.XLOOKUP(A87,Animals!A:A,Animals!AO:AO))*20,MAX(MROUND(_xlfn.XLOOKUP(B87,'Base stats'!B:B,'Base stats'!BS:BS) * (_xlfn.XLOOKUP(B87,'Base stats'!B:B,'Base stats'!AO:AO)*5%)^0.9 / 21,0.1),0.05))</f>
        <v>3.4000000000000004</v>
      </c>
      <c r="E87" s="11">
        <f>MROUND(_xlfn.XLOOKUP(B87,'Base stats'!B:B,'Base stats'!BG:BG) * 0.01 * 2 + 0.01, 0.05)</f>
        <v>2.95</v>
      </c>
      <c r="F87" s="7">
        <f>MROUND(_xlfn.XLOOKUP(B87,'Base stats'!B:B,'Base stats'!BD:BD)^0.25 / (_xlfn.XLOOKUP(B87,'Base stats'!B:B,'Base stats'!BK:BK) * 10) * 150 + 0.5 + _xlfn.XLOOKUP(B87,'Base stats'!B:B,'Base stats'!BW:BW), 0.05)</f>
        <v>2</v>
      </c>
      <c r="G87" s="3" t="str">
        <f>IF(Animals!S87="No","No",
IF(_xlfn.XLOOKUP(B87,'Base stats'!B:B,'Base stats'!U:U)="No",
MAX(MROUND(_xlfn.XLOOKUP(B87,'Base stats'!B:B,'Base stats'!BT:BT) * _xlfn.XLOOKUP(B87,'Base stats'!B:B,'Base stats'!BP:BP)^0.9 / 21 * _xlfn.XLOOKUP(B87,'Base stats'!B:B,'Base stats'!BX:BX),0.1),0.05),
MAX(MROUND(((MIN(10,_xlfn.XLOOKUP(B87,'Base stats'!B:B,'Base stats'!U:U)))^0.4*_xlfn.XLOOKUP(B87,'Base stats'!B:B,'Base stats'!BH:BH)^0.73)^0.6 * _xlfn.XLOOKUP(B87,'Base stats'!B:B,'Base stats'!BX:BX),0.1),0.05)
))</f>
        <v>No</v>
      </c>
      <c r="H87" s="11" t="str">
        <f>IF(G87="No","No",
MROUND(_xlfn.XLOOKUP(B87,'Base stats'!B:B,'Base stats'!BH:BH) * 0.01 * 2 + 0.05, 0.05)
)</f>
        <v>No</v>
      </c>
      <c r="I87" s="11" t="str">
        <f>IF(G87="No","No",IF(_xlfn.XLOOKUP(B87,'Base stats'!B:B,'Base stats'!U:U)="No","No",
MROUND(_xlfn.XLOOKUP(B87,'Base stats'!B:B,'Base stats'!BT:BT)/10000+0.01,0.01)
))</f>
        <v>No</v>
      </c>
      <c r="J87" s="4" t="str">
        <f>IF(G87="No","No",
MROUND(_xlfn.XLOOKUP(B87,'Base stats'!B:B,'Base stats'!BE:BE)^0.25
/((_xlfn.XLOOKUP(B87,'Base stats'!B:B,'Base stats'!BL:BL))*10)*_xlfn.XLOOKUP(_xlfn.XLOOKUP(B87,'Base stats'!B:B,'Base stats'!E:E),Groups!A:A,Groups!Q:Q)*150 + 0.5 + _xlfn.XLOOKUP(B87,'Base stats'!B:B,'Base stats'!BW:BW),
0.05))</f>
        <v>No</v>
      </c>
      <c r="K87" s="3" t="str">
        <f>IF(Animals!X87="No","No",
IF(_xlfn.XLOOKUP(_xlfn.XLOOKUP(B87,'Base stats'!B:B,'Base stats'!E:E),Groups!A:A,Groups!BD:BD)=1,
MAX(MROUND(_xlfn.XLOOKUP(B87,'Base stats'!B:B,'Base stats'!BU:BU) * _xlfn.XLOOKUP(B87,'Base stats'!B:B,'Base stats'!BQ:BQ)^0.9 / 21 *_xlfn.XLOOKUP(B87,'Base stats'!B:B,'Base stats'!BX:BX),0.1),0.05),
MAX(MROUND(((MIN(10,_xlfn.XLOOKUP(B87,'Base stats'!B:B,'Base stats'!W:W)))^0.4*_xlfn.XLOOKUP(B87,'Base stats'!B:B,'Base stats'!BI:BI)^0.73)^0.6 *_xlfn.XLOOKUP(B87,'Base stats'!B:B,'Base stats'!BX:BX),0.1),0.05)
))</f>
        <v>No</v>
      </c>
      <c r="L87" s="11" t="str">
        <f>IF(K87="No","No",
MROUND(_xlfn.XLOOKUP(B87,'Base stats'!B:B,'Base stats'!BI:BI) * 0.01 *2 + 0.05, 0.05)
)</f>
        <v>No</v>
      </c>
      <c r="M87" s="5" t="str">
        <f>IF(K87="No","No",IF(_xlfn.XLOOKUP(_xlfn.XLOOKUP(B87,'Base stats'!B:B,'Base stats'!E:E),Groups!A:A,Groups!BD:BD)=1,"No",
MROUND(_xlfn.XLOOKUP(B87,'Base stats'!B:B,'Base stats'!BU:BU)/10000+0.01,0.01)
))</f>
        <v>No</v>
      </c>
      <c r="N87" s="4" t="str">
        <f>IF(K87="No","No",
MROUND(
  _xlfn.XLOOKUP(B87,'Base stats'!B:B,'Base stats'!BC:BC)^0.25
  / (_xlfn.XLOOKUP(B87,'Base stats'!B:B,'Base stats'!BM:BM) * 10)
  * _xlfn.XLOOKUP(
      _xlfn.XLOOKUP(B87,'Base stats'!B:B,'Base stats'!E:E),
      Groups!A:A,
      Groups!V:V
    ) * 150
  + MIN(12, _xlfn.XLOOKUP(B87,'Base stats'!B:B,'Base stats'!W:W))^(1/IF(_xlfn.XLOOKUP(_xlfn.XLOOKUP(B87,'Base stats'!B:B,'Base stats'!E:E),Groups!A:A,Groups!U:U)=1,100,10)) + 0.5 + _xlfn.XLOOKUP(B87,'Base stats'!B:B,'Base stats'!BW:BW),
0.05))</f>
        <v>No</v>
      </c>
      <c r="O87" s="3">
        <f>IF(Animals!AD87="No","No",
MAX(MROUND((MIN(10,_xlfn.XLOOKUP(B87,'Base stats'!B:B,'Base stats'!V:V)*IF(_xlfn.XLOOKUP(_xlfn.XLOOKUP(B87,'Base stats'!B:B,'Base stats'!E:E),Groups!A:A,Groups!O:O)=0,1,0.33))^0.4*_xlfn.XLOOKUP(B87,'Base stats'!B:B,'Base stats'!BJ:BJ)^0.73)^0.6 *_xlfn.XLOOKUP(B87,'Base stats'!B:B,'Base stats'!BX:BX),0.1),0.05)
)</f>
        <v>13.600000000000001</v>
      </c>
      <c r="P87" s="11">
        <f>IF(O87="No","No",
MROUND(_xlfn.XLOOKUP(B87,'Base stats'!B:B,'Base stats'!BJ:BJ) * 0.01 * 2 + 0.05, 0.05)
)</f>
        <v>3.5</v>
      </c>
      <c r="Q87" s="5">
        <f>IF(O87="No","No",
MROUND(_xlfn.XLOOKUP(B87,'Base stats'!B:B,'Base stats'!BV:BV)/10000+0.01,0.01)
)</f>
        <v>0.18</v>
      </c>
      <c r="R87" s="4">
        <f>IF(O87="No","No",
MROUND(_xlfn.XLOOKUP(B87,'Base stats'!B:B,'Base stats'!BB:BB)^0.25
/((_xlfn.XLOOKUP(B87,'Base stats'!B:B,'Base stats'!BN:BN))*10)*_xlfn.XLOOKUP(_xlfn.XLOOKUP(B87,'Base stats'!B:B,'Base stats'!E:E),Groups!A:A,Groups!Z:Z)*150 + 0.5 + _xlfn.XLOOKUP(B87,'Base stats'!B:B,'Base stats'!BW:BW),
0.05))</f>
        <v>2.2000000000000002</v>
      </c>
      <c r="S87" s="3" t="str">
        <f>IF(Animals!AI87="No","No",
IF(_xlfn.XLOOKUP(B87,'Base stats'!B:B,'Base stats'!U:U)="No",
MAX(MROUND(_xlfn.XLOOKUP(B87,'Base stats'!B:B,'Base stats'!BT:BT) * _xlfn.XLOOKUP(B87,'Base stats'!B:B,'Base stats'!BP:BP)^0.9 / 21 * _xlfn.XLOOKUP(B87,'Base stats'!B:B,'Base stats'!BX:BX),0.1),0.05),
MAX(MROUND(((MIN(12,_xlfn.XLOOKUP(B87,'Base stats'!B:B,'Base stats'!U:U)))^0.4*_xlfn.XLOOKUP(B87,'Base stats'!B:B,'Base stats'!BH:BH)^0.73)^0.6 * _xlfn.XLOOKUP(B87,'Base stats'!B:B,'Base stats'!BX:BX),0.1),0.05)
))</f>
        <v>No</v>
      </c>
      <c r="T87" s="11" t="str">
        <f>IF(S87="No","No",
MROUND(_xlfn.XLOOKUP(B87,'Base stats'!B:B,'Base stats'!BH:BH) * 0.01 * 2 + 0.05, 0.05)
)</f>
        <v>No</v>
      </c>
      <c r="U87" s="5" t="str">
        <f>IF(S87="No","No",IF(_xlfn.XLOOKUP(B87,'Base stats'!B:B,'Base stats'!U:U)="No","No",
MROUND(_xlfn.XLOOKUP(B87,'Base stats'!B:B,'Base stats'!BT:BT)/10000+0.01,0.01)
))</f>
        <v>No</v>
      </c>
      <c r="V87" s="4" t="str">
        <f>IF(S87="No","No",
MROUND(_xlfn.XLOOKUP(B87,'Base stats'!B:B,'Base stats'!BF:BF)^0.25
/((_xlfn.XLOOKUP(B87,'Base stats'!B:B,'Base stats'!BO:BO))*10)*_xlfn.XLOOKUP(_xlfn.XLOOKUP(B87,'Base stats'!B:B,'Base stats'!E:E),Groups!A:A,Groups!AE:AE)*150 + 0.5 + _xlfn.XLOOKUP(B87,'Base stats'!B:B,'Base stats'!BW:BW),
0.05))</f>
        <v>No</v>
      </c>
      <c r="W87" s="8">
        <f>MROUND(_xlfn.XLOOKUP(_xlfn.XLOOKUP(B87,'Base stats'!B:B,'Base stats'!E:E),Groups!A:A,Groups!BG:BG)*_xlfn.XLOOKUP(B87,'Base stats'!B:B,'Base stats'!C:C)^-0.165,0.05)</f>
        <v>0.30000000000000004</v>
      </c>
      <c r="X87" s="1">
        <f>MROUND(_xlfn.XLOOKUP(_xlfn.XLOOKUP(B87,'Base stats'!B:B,'Base stats'!E:E),Groups!A:A,Groups!BH:BH)*_xlfn.XLOOKUP(B87,'Base stats'!B:B,'Base stats'!C:C)^0.165,0.05)</f>
        <v>0.2</v>
      </c>
      <c r="Y87" s="8">
        <f>MROUND(_xlfn.XLOOKUP(_xlfn.XLOOKUP(B87,'Base stats'!B:B,'Base stats'!E:E),Groups!A:A,Groups!BI:BI)*_xlfn.XLOOKUP(B87,'Base stats'!B:B,'Base stats'!C:C)^0.165,0.05)</f>
        <v>0.05</v>
      </c>
      <c r="Z87" s="18">
        <f>MROUND(_xlfn.XLOOKUP(B87,'Base stats'!B:B,'Base stats'!AQ:AQ)*_xlfn.XLOOKUP(_xlfn.XLOOKUP(B87,'Base stats'!B:B,'Base stats'!E:E),Groups!A:A,Groups!H:H)/1000,IF((_xlfn.XLOOKUP(B87,'Base stats'!B:B,'Base stats'!AQ:AQ)*_xlfn.XLOOKUP(_xlfn.XLOOKUP(B87,'Base stats'!B:B,'Base stats'!E:E),Groups!A:A,Groups!H:H)/1000)&gt;1,0.05,0.01))</f>
        <v>0.11</v>
      </c>
      <c r="AA87" s="18">
        <f>MROUND((1/2)*(_xlfn.XLOOKUP(_xlfn.XLOOKUP(B87,'Base stats'!B:B,'Base stats'!E:E),Groups!A:A,Groups!H:H)*_xlfn.XLOOKUP(_xlfn.XLOOKUP(B87,'Base stats'!B:B,'Base stats'!E:E),Groups!A:A,Groups!I:I))*_xlfn.XLOOKUP(B87,'Base stats'!B:B,'Base stats'!AQ:AQ)*0.01,0.05)</f>
        <v>0.45</v>
      </c>
      <c r="AB87" s="18">
        <f>MROUND(250*(Animals!AO87+Animals!AP87),25)</f>
        <v>725</v>
      </c>
      <c r="AC87" s="18" t="str">
        <f>_xlfn.XLOOKUP(_xlfn.XLOOKUP(B87,'Base stats'!B:B,'Base stats'!E:E),Groups!A:A,Groups!BJ:BJ)</f>
        <v>QuadrupedLow</v>
      </c>
    </row>
    <row r="88" spans="1:29" ht="16.5" thickTop="1" thickBot="1" x14ac:dyDescent="0.3">
      <c r="A88" s="16" t="str">
        <f>Animals!A88</f>
        <v>Walrus</v>
      </c>
      <c r="B88" s="6" t="str">
        <f>Animals!B88</f>
        <v>Odobenus rosmarus</v>
      </c>
      <c r="C88" s="1" t="str">
        <f>Animals!C88</f>
        <v>&lt;li&gt;Walrus&lt;/li&gt;</v>
      </c>
      <c r="D88" s="47">
        <f>MIN(MIN(6,_xlfn.XLOOKUP(A88,Animals!A:A,Animals!AO:AO))*20,MAX(MROUND(_xlfn.XLOOKUP(B88,'Base stats'!B:B,'Base stats'!BS:BS) * (_xlfn.XLOOKUP(B88,'Base stats'!B:B,'Base stats'!AO:AO)*5%)^0.9 / 21,0.1),0.05))</f>
        <v>21.5</v>
      </c>
      <c r="E88" s="11">
        <f>MROUND(_xlfn.XLOOKUP(B88,'Base stats'!B:B,'Base stats'!BG:BG) * 0.01 * 2 + 0.01, 0.05)</f>
        <v>21.200000000000003</v>
      </c>
      <c r="F88" s="7">
        <f>MROUND(_xlfn.XLOOKUP(B88,'Base stats'!B:B,'Base stats'!BD:BD)^0.25 / (_xlfn.XLOOKUP(B88,'Base stats'!B:B,'Base stats'!BK:BK) * 10) * 150 + 0.5 + _xlfn.XLOOKUP(B88,'Base stats'!B:B,'Base stats'!BW:BW), 0.05)</f>
        <v>2.6500000000000004</v>
      </c>
      <c r="G88" s="3" t="str">
        <f>IF(Animals!S88="No","No",
IF(_xlfn.XLOOKUP(B88,'Base stats'!B:B,'Base stats'!U:U)="No",
MAX(MROUND(_xlfn.XLOOKUP(B88,'Base stats'!B:B,'Base stats'!BT:BT) * _xlfn.XLOOKUP(B88,'Base stats'!B:B,'Base stats'!BP:BP)^0.9 / 21 * _xlfn.XLOOKUP(B88,'Base stats'!B:B,'Base stats'!BX:BX),0.1),0.05),
MAX(MROUND(((MIN(10,_xlfn.XLOOKUP(B88,'Base stats'!B:B,'Base stats'!U:U)))^0.4*_xlfn.XLOOKUP(B88,'Base stats'!B:B,'Base stats'!BH:BH)^0.73)^0.6 * _xlfn.XLOOKUP(B88,'Base stats'!B:B,'Base stats'!BX:BX),0.1),0.05)
))</f>
        <v>No</v>
      </c>
      <c r="H88" s="11" t="str">
        <f>IF(G88="No","No",
MROUND(_xlfn.XLOOKUP(B88,'Base stats'!B:B,'Base stats'!BH:BH) * 0.01 * 2 + 0.05, 0.05)
)</f>
        <v>No</v>
      </c>
      <c r="I88" s="11" t="str">
        <f>IF(G88="No","No",IF(_xlfn.XLOOKUP(B88,'Base stats'!B:B,'Base stats'!U:U)="No","No",
MROUND(_xlfn.XLOOKUP(B88,'Base stats'!B:B,'Base stats'!BT:BT)/10000+0.01,0.01)
))</f>
        <v>No</v>
      </c>
      <c r="J88" s="4" t="str">
        <f>IF(G88="No","No",
MROUND(_xlfn.XLOOKUP(B88,'Base stats'!B:B,'Base stats'!BE:BE)^0.25
/((_xlfn.XLOOKUP(B88,'Base stats'!B:B,'Base stats'!BL:BL))*10)*_xlfn.XLOOKUP(_xlfn.XLOOKUP(B88,'Base stats'!B:B,'Base stats'!E:E),Groups!A:A,Groups!Q:Q)*150 + 0.5 + _xlfn.XLOOKUP(B88,'Base stats'!B:B,'Base stats'!BW:BW),
0.05))</f>
        <v>No</v>
      </c>
      <c r="K88" s="3">
        <f>IF(Animals!X88="No","No",
IF(_xlfn.XLOOKUP(_xlfn.XLOOKUP(B88,'Base stats'!B:B,'Base stats'!E:E),Groups!A:A,Groups!BD:BD)=1,
MAX(MROUND(_xlfn.XLOOKUP(B88,'Base stats'!B:B,'Base stats'!BU:BU) * _xlfn.XLOOKUP(B88,'Base stats'!B:B,'Base stats'!BQ:BQ)^0.9 / 21 *_xlfn.XLOOKUP(B88,'Base stats'!B:B,'Base stats'!BX:BX),0.1),0.05),
MAX(MROUND(((MIN(10,_xlfn.XLOOKUP(B88,'Base stats'!B:B,'Base stats'!W:W)))^0.4*_xlfn.XLOOKUP(B88,'Base stats'!B:B,'Base stats'!BI:BI)^0.73)^0.6 *_xlfn.XLOOKUP(B88,'Base stats'!B:B,'Base stats'!BX:BX),0.1),0.05)
))</f>
        <v>41.6</v>
      </c>
      <c r="L88" s="11">
        <f>IF(K88="No","No",
MROUND(_xlfn.XLOOKUP(B88,'Base stats'!B:B,'Base stats'!BI:BI) * 0.01 *2 + 0.05, 0.05)
)</f>
        <v>28.200000000000003</v>
      </c>
      <c r="M88" s="5">
        <f>IF(K88="No","No",IF(_xlfn.XLOOKUP(_xlfn.XLOOKUP(B88,'Base stats'!B:B,'Base stats'!E:E),Groups!A:A,Groups!BD:BD)=1,"No",
MROUND(_xlfn.XLOOKUP(B88,'Base stats'!B:B,'Base stats'!BU:BU)/10000+0.01,0.01)
))</f>
        <v>1.4000000000000001</v>
      </c>
      <c r="N88" s="4">
        <f>IF(K88="No","No",
MROUND(
  _xlfn.XLOOKUP(B88,'Base stats'!B:B,'Base stats'!BC:BC)^0.25
  / (_xlfn.XLOOKUP(B88,'Base stats'!B:B,'Base stats'!BM:BM) * 10)
  * _xlfn.XLOOKUP(
      _xlfn.XLOOKUP(B88,'Base stats'!B:B,'Base stats'!E:E),
      Groups!A:A,
      Groups!V:V
    ) * 150
  + MIN(12, _xlfn.XLOOKUP(B88,'Base stats'!B:B,'Base stats'!W:W))^(1/IF(_xlfn.XLOOKUP(_xlfn.XLOOKUP(B88,'Base stats'!B:B,'Base stats'!E:E),Groups!A:A,Groups!U:U)=1,100,10)) + 0.5 + _xlfn.XLOOKUP(B88,'Base stats'!B:B,'Base stats'!BW:BW),
0.05))</f>
        <v>3.1500000000000004</v>
      </c>
      <c r="O88" s="3" t="str">
        <f>IF(Animals!AD88="No","No",
MAX(MROUND((MIN(10,_xlfn.XLOOKUP(B88,'Base stats'!B:B,'Base stats'!V:V)*IF(_xlfn.XLOOKUP(_xlfn.XLOOKUP(B88,'Base stats'!B:B,'Base stats'!E:E),Groups!A:A,Groups!O:O)=0,1,0.33))^0.4*_xlfn.XLOOKUP(B88,'Base stats'!B:B,'Base stats'!BJ:BJ)^0.73)^0.6 *_xlfn.XLOOKUP(B88,'Base stats'!B:B,'Base stats'!BX:BX),0.1),0.05)
)</f>
        <v>No</v>
      </c>
      <c r="P88" s="11" t="str">
        <f>IF(O88="No","No",
MROUND(_xlfn.XLOOKUP(B88,'Base stats'!B:B,'Base stats'!BJ:BJ) * 0.01 * 2 + 0.05, 0.05)
)</f>
        <v>No</v>
      </c>
      <c r="Q88" s="5" t="str">
        <f>IF(O88="No","No",
MROUND(_xlfn.XLOOKUP(B88,'Base stats'!B:B,'Base stats'!BV:BV)/10000+0.01,0.01)
)</f>
        <v>No</v>
      </c>
      <c r="R88" s="4" t="str">
        <f>IF(O88="No","No",
MROUND(_xlfn.XLOOKUP(B88,'Base stats'!B:B,'Base stats'!BB:BB)^0.25
/((_xlfn.XLOOKUP(B88,'Base stats'!B:B,'Base stats'!BN:BN))*10)*_xlfn.XLOOKUP(_xlfn.XLOOKUP(B88,'Base stats'!B:B,'Base stats'!E:E),Groups!A:A,Groups!Z:Z)*150 + 0.5 + _xlfn.XLOOKUP(B88,'Base stats'!B:B,'Base stats'!BW:BW),
0.05))</f>
        <v>No</v>
      </c>
      <c r="S88" s="3" t="str">
        <f>IF(Animals!AI88="No","No",
IF(_xlfn.XLOOKUP(B88,'Base stats'!B:B,'Base stats'!U:U)="No",
MAX(MROUND(_xlfn.XLOOKUP(B88,'Base stats'!B:B,'Base stats'!BT:BT) * _xlfn.XLOOKUP(B88,'Base stats'!B:B,'Base stats'!BP:BP)^0.9 / 21 * _xlfn.XLOOKUP(B88,'Base stats'!B:B,'Base stats'!BX:BX),0.1),0.05),
MAX(MROUND(((MIN(12,_xlfn.XLOOKUP(B88,'Base stats'!B:B,'Base stats'!U:U)))^0.4*_xlfn.XLOOKUP(B88,'Base stats'!B:B,'Base stats'!BH:BH)^0.73)^0.6 * _xlfn.XLOOKUP(B88,'Base stats'!B:B,'Base stats'!BX:BX),0.1),0.05)
))</f>
        <v>No</v>
      </c>
      <c r="T88" s="11" t="str">
        <f>IF(S88="No","No",
MROUND(_xlfn.XLOOKUP(B88,'Base stats'!B:B,'Base stats'!BH:BH) * 0.01 * 2 + 0.05, 0.05)
)</f>
        <v>No</v>
      </c>
      <c r="U88" s="5" t="str">
        <f>IF(S88="No","No",IF(_xlfn.XLOOKUP(B88,'Base stats'!B:B,'Base stats'!U:U)="No","No",
MROUND(_xlfn.XLOOKUP(B88,'Base stats'!B:B,'Base stats'!BT:BT)/10000+0.01,0.01)
))</f>
        <v>No</v>
      </c>
      <c r="V88" s="4" t="str">
        <f>IF(S88="No","No",
MROUND(_xlfn.XLOOKUP(B88,'Base stats'!B:B,'Base stats'!BF:BF)^0.25
/((_xlfn.XLOOKUP(B88,'Base stats'!B:B,'Base stats'!BO:BO))*10)*_xlfn.XLOOKUP(_xlfn.XLOOKUP(B88,'Base stats'!B:B,'Base stats'!E:E),Groups!A:A,Groups!AE:AE)*150 + 0.5 + _xlfn.XLOOKUP(B88,'Base stats'!B:B,'Base stats'!BW:BW),
0.05))</f>
        <v>No</v>
      </c>
      <c r="W88" s="8">
        <f>MROUND(_xlfn.XLOOKUP(_xlfn.XLOOKUP(B88,'Base stats'!B:B,'Base stats'!E:E),Groups!A:A,Groups!BG:BG)*_xlfn.XLOOKUP(B88,'Base stats'!B:B,'Base stats'!C:C)^-0.165,0.05)</f>
        <v>0.2</v>
      </c>
      <c r="X88" s="1">
        <f>MROUND(_xlfn.XLOOKUP(_xlfn.XLOOKUP(B88,'Base stats'!B:B,'Base stats'!E:E),Groups!A:A,Groups!BH:BH)*_xlfn.XLOOKUP(B88,'Base stats'!B:B,'Base stats'!C:C)^0.165,0.05)</f>
        <v>0.30000000000000004</v>
      </c>
      <c r="Y88" s="8">
        <f>MROUND(_xlfn.XLOOKUP(_xlfn.XLOOKUP(B88,'Base stats'!B:B,'Base stats'!E:E),Groups!A:A,Groups!BI:BI)*_xlfn.XLOOKUP(B88,'Base stats'!B:B,'Base stats'!C:C)^0.165,0.05)</f>
        <v>0.1</v>
      </c>
      <c r="Z88" s="18">
        <f>MROUND(_xlfn.XLOOKUP(B88,'Base stats'!B:B,'Base stats'!AQ:AQ)*_xlfn.XLOOKUP(_xlfn.XLOOKUP(B88,'Base stats'!B:B,'Base stats'!E:E),Groups!A:A,Groups!H:H)/1000,IF((_xlfn.XLOOKUP(B88,'Base stats'!B:B,'Base stats'!AQ:AQ)*_xlfn.XLOOKUP(_xlfn.XLOOKUP(B88,'Base stats'!B:B,'Base stats'!E:E),Groups!A:A,Groups!H:H)/1000)&gt;1,0.05,0.01))</f>
        <v>0.23</v>
      </c>
      <c r="AA88" s="18">
        <f>MROUND((1/2)*(_xlfn.XLOOKUP(_xlfn.XLOOKUP(B88,'Base stats'!B:B,'Base stats'!E:E),Groups!A:A,Groups!H:H)*_xlfn.XLOOKUP(_xlfn.XLOOKUP(B88,'Base stats'!B:B,'Base stats'!E:E),Groups!A:A,Groups!I:I))*_xlfn.XLOOKUP(B88,'Base stats'!B:B,'Base stats'!AQ:AQ)*0.01,0.05)</f>
        <v>1</v>
      </c>
      <c r="AB88" s="18">
        <f>MROUND(250*(Animals!AO88+Animals!AP88),25)</f>
        <v>1925</v>
      </c>
      <c r="AC88" s="18" t="str">
        <f>_xlfn.XLOOKUP(_xlfn.XLOOKUP(B88,'Base stats'!B:B,'Base stats'!E:E),Groups!A:A,Groups!BJ:BJ)</f>
        <v>QuadrupedLow</v>
      </c>
    </row>
    <row r="89" spans="1:29" ht="16.5" thickTop="1" thickBot="1" x14ac:dyDescent="0.3">
      <c r="A89" s="16" t="str">
        <f>Animals!A89</f>
        <v>Gorilla</v>
      </c>
      <c r="B89" s="6" t="str">
        <f>Animals!B89</f>
        <v>Gorilla gorilla</v>
      </c>
      <c r="C89" s="1" t="str">
        <f>Animals!C89</f>
        <v>&lt;li&gt;Gorilla&lt;/li&gt;</v>
      </c>
      <c r="D89" s="47">
        <f>MIN(MIN(6,_xlfn.XLOOKUP(A89,Animals!A:A,Animals!AO:AO))*20,MAX(MROUND(_xlfn.XLOOKUP(B89,'Base stats'!B:B,'Base stats'!BS:BS) * (_xlfn.XLOOKUP(B89,'Base stats'!B:B,'Base stats'!AO:AO)*5%)^0.9 / 21,0.1),0.05))</f>
        <v>4.3</v>
      </c>
      <c r="E89" s="11">
        <f>MROUND(_xlfn.XLOOKUP(B89,'Base stats'!B:B,'Base stats'!BG:BG) * 0.01 * 2 + 0.01, 0.05)</f>
        <v>3.75</v>
      </c>
      <c r="F89" s="7">
        <f>MROUND(_xlfn.XLOOKUP(B89,'Base stats'!B:B,'Base stats'!BD:BD)^0.25 / (_xlfn.XLOOKUP(B89,'Base stats'!B:B,'Base stats'!BK:BK) * 10) * 150 + 0.5 + _xlfn.XLOOKUP(B89,'Base stats'!B:B,'Base stats'!BW:BW), 0.05)</f>
        <v>1.75</v>
      </c>
      <c r="G89" s="3" t="str">
        <f>IF(Animals!S89="No","No",
IF(_xlfn.XLOOKUP(B89,'Base stats'!B:B,'Base stats'!U:U)="No",
MAX(MROUND(_xlfn.XLOOKUP(B89,'Base stats'!B:B,'Base stats'!BT:BT) * _xlfn.XLOOKUP(B89,'Base stats'!B:B,'Base stats'!BP:BP)^0.9 / 21 * _xlfn.XLOOKUP(B89,'Base stats'!B:B,'Base stats'!BX:BX),0.1),0.05),
MAX(MROUND(((MIN(10,_xlfn.XLOOKUP(B89,'Base stats'!B:B,'Base stats'!U:U)))^0.4*_xlfn.XLOOKUP(B89,'Base stats'!B:B,'Base stats'!BH:BH)^0.73)^0.6 * _xlfn.XLOOKUP(B89,'Base stats'!B:B,'Base stats'!BX:BX),0.1),0.05)
))</f>
        <v>No</v>
      </c>
      <c r="H89" s="11" t="str">
        <f>IF(G89="No","No",
MROUND(_xlfn.XLOOKUP(B89,'Base stats'!B:B,'Base stats'!BH:BH) * 0.01 * 2 + 0.05, 0.05)
)</f>
        <v>No</v>
      </c>
      <c r="I89" s="11" t="str">
        <f>IF(G89="No","No",IF(_xlfn.XLOOKUP(B89,'Base stats'!B:B,'Base stats'!U:U)="No","No",
MROUND(_xlfn.XLOOKUP(B89,'Base stats'!B:B,'Base stats'!BT:BT)/10000+0.01,0.01)
))</f>
        <v>No</v>
      </c>
      <c r="J89" s="4" t="str">
        <f>IF(G89="No","No",
MROUND(_xlfn.XLOOKUP(B89,'Base stats'!B:B,'Base stats'!BE:BE)^0.25
/((_xlfn.XLOOKUP(B89,'Base stats'!B:B,'Base stats'!BL:BL))*10)*_xlfn.XLOOKUP(_xlfn.XLOOKUP(B89,'Base stats'!B:B,'Base stats'!E:E),Groups!A:A,Groups!Q:Q)*150 + 0.5 + _xlfn.XLOOKUP(B89,'Base stats'!B:B,'Base stats'!BW:BW),
0.05))</f>
        <v>No</v>
      </c>
      <c r="K89" s="3" t="str">
        <f>IF(Animals!X89="No","No",
IF(_xlfn.XLOOKUP(_xlfn.XLOOKUP(B89,'Base stats'!B:B,'Base stats'!E:E),Groups!A:A,Groups!BD:BD)=1,
MAX(MROUND(_xlfn.XLOOKUP(B89,'Base stats'!B:B,'Base stats'!BU:BU) * _xlfn.XLOOKUP(B89,'Base stats'!B:B,'Base stats'!BQ:BQ)^0.9 / 21 *_xlfn.XLOOKUP(B89,'Base stats'!B:B,'Base stats'!BX:BX),0.1),0.05),
MAX(MROUND(((MIN(10,_xlfn.XLOOKUP(B89,'Base stats'!B:B,'Base stats'!W:W)))^0.4*_xlfn.XLOOKUP(B89,'Base stats'!B:B,'Base stats'!BI:BI)^0.73)^0.6 *_xlfn.XLOOKUP(B89,'Base stats'!B:B,'Base stats'!BX:BX),0.1),0.05)
))</f>
        <v>No</v>
      </c>
      <c r="L89" s="11" t="str">
        <f>IF(K89="No","No",
MROUND(_xlfn.XLOOKUP(B89,'Base stats'!B:B,'Base stats'!BI:BI) * 0.01 *2 + 0.05, 0.05)
)</f>
        <v>No</v>
      </c>
      <c r="M89" s="5" t="str">
        <f>IF(K89="No","No",IF(_xlfn.XLOOKUP(_xlfn.XLOOKUP(B89,'Base stats'!B:B,'Base stats'!E:E),Groups!A:A,Groups!BD:BD)=1,"No",
MROUND(_xlfn.XLOOKUP(B89,'Base stats'!B:B,'Base stats'!BU:BU)/10000+0.01,0.01)
))</f>
        <v>No</v>
      </c>
      <c r="N89" s="4" t="str">
        <f>IF(K89="No","No",
MROUND(
  _xlfn.XLOOKUP(B89,'Base stats'!B:B,'Base stats'!BC:BC)^0.25
  / (_xlfn.XLOOKUP(B89,'Base stats'!B:B,'Base stats'!BM:BM) * 10)
  * _xlfn.XLOOKUP(
      _xlfn.XLOOKUP(B89,'Base stats'!B:B,'Base stats'!E:E),
      Groups!A:A,
      Groups!V:V
    ) * 150
  + MIN(12, _xlfn.XLOOKUP(B89,'Base stats'!B:B,'Base stats'!W:W))^(1/IF(_xlfn.XLOOKUP(_xlfn.XLOOKUP(B89,'Base stats'!B:B,'Base stats'!E:E),Groups!A:A,Groups!U:U)=1,100,10)) + 0.5 + _xlfn.XLOOKUP(B89,'Base stats'!B:B,'Base stats'!BW:BW),
0.05))</f>
        <v>No</v>
      </c>
      <c r="O89" s="3">
        <f>IF(Animals!AD89="No","No",
MAX(MROUND((MIN(10,_xlfn.XLOOKUP(B89,'Base stats'!B:B,'Base stats'!V:V)*IF(_xlfn.XLOOKUP(_xlfn.XLOOKUP(B89,'Base stats'!B:B,'Base stats'!E:E),Groups!A:A,Groups!O:O)=0,1,0.33))^0.4*_xlfn.XLOOKUP(B89,'Base stats'!B:B,'Base stats'!BJ:BJ)^0.73)^0.6 *_xlfn.XLOOKUP(B89,'Base stats'!B:B,'Base stats'!BX:BX),0.1),0.05)
)</f>
        <v>11.5</v>
      </c>
      <c r="P89" s="11">
        <f>IF(O89="No","No",
MROUND(_xlfn.XLOOKUP(B89,'Base stats'!B:B,'Base stats'!BJ:BJ) * 0.01 * 2 + 0.05, 0.05)
)</f>
        <v>2.85</v>
      </c>
      <c r="Q89" s="5">
        <f>IF(O89="No","No",
MROUND(_xlfn.XLOOKUP(B89,'Base stats'!B:B,'Base stats'!BV:BV)/10000+0.01,0.01)
)</f>
        <v>0.13</v>
      </c>
      <c r="R89" s="4">
        <f>IF(O89="No","No",
MROUND(_xlfn.XLOOKUP(B89,'Base stats'!B:B,'Base stats'!BB:BB)^0.25
/((_xlfn.XLOOKUP(B89,'Base stats'!B:B,'Base stats'!BN:BN))*10)*_xlfn.XLOOKUP(_xlfn.XLOOKUP(B89,'Base stats'!B:B,'Base stats'!E:E),Groups!A:A,Groups!Z:Z)*150 + 0.5 + _xlfn.XLOOKUP(B89,'Base stats'!B:B,'Base stats'!BW:BW),
0.05))</f>
        <v>2.1</v>
      </c>
      <c r="S89" s="3">
        <f>IF(Animals!AI89="No","No",
IF(_xlfn.XLOOKUP(B89,'Base stats'!B:B,'Base stats'!U:U)="No",
MAX(MROUND(_xlfn.XLOOKUP(B89,'Base stats'!B:B,'Base stats'!BT:BT) * _xlfn.XLOOKUP(B89,'Base stats'!B:B,'Base stats'!BP:BP)^0.9 / 21 * _xlfn.XLOOKUP(B89,'Base stats'!B:B,'Base stats'!BX:BX),0.1),0.05),
MAX(MROUND(((MIN(12,_xlfn.XLOOKUP(B89,'Base stats'!B:B,'Base stats'!U:U)))^0.4*_xlfn.XLOOKUP(B89,'Base stats'!B:B,'Base stats'!BH:BH)^0.73)^0.6 * _xlfn.XLOOKUP(B89,'Base stats'!B:B,'Base stats'!BX:BX),0.1),0.05)
))</f>
        <v>9.2000000000000011</v>
      </c>
      <c r="T89" s="11">
        <f>IF(S89="No","No",
MROUND(_xlfn.XLOOKUP(B89,'Base stats'!B:B,'Base stats'!BH:BH) * 0.01 * 2 + 0.05, 0.05)
)</f>
        <v>4.6500000000000004</v>
      </c>
      <c r="U89" s="5" t="str">
        <f>IF(S89="No","No",IF(_xlfn.XLOOKUP(B89,'Base stats'!B:B,'Base stats'!U:U)="No","No",
MROUND(_xlfn.XLOOKUP(B89,'Base stats'!B:B,'Base stats'!BT:BT)/10000+0.01,0.01)
))</f>
        <v>No</v>
      </c>
      <c r="V89" s="4">
        <f>IF(S89="No","No",
MROUND(_xlfn.XLOOKUP(B89,'Base stats'!B:B,'Base stats'!BF:BF)^0.25
/((_xlfn.XLOOKUP(B89,'Base stats'!B:B,'Base stats'!BO:BO))*10)*_xlfn.XLOOKUP(_xlfn.XLOOKUP(B89,'Base stats'!B:B,'Base stats'!E:E),Groups!A:A,Groups!AE:AE)*150 + 0.5 + _xlfn.XLOOKUP(B89,'Base stats'!B:B,'Base stats'!BW:BW),
0.05))</f>
        <v>1.4500000000000002</v>
      </c>
      <c r="W89" s="8">
        <f>MROUND(_xlfn.XLOOKUP(_xlfn.XLOOKUP(B89,'Base stats'!B:B,'Base stats'!E:E),Groups!A:A,Groups!BG:BG)*_xlfn.XLOOKUP(B89,'Base stats'!B:B,'Base stats'!C:C)^-0.165,0.05)</f>
        <v>0.45</v>
      </c>
      <c r="X89" s="1">
        <f>MROUND(_xlfn.XLOOKUP(_xlfn.XLOOKUP(B89,'Base stats'!B:B,'Base stats'!E:E),Groups!A:A,Groups!BH:BH)*_xlfn.XLOOKUP(B89,'Base stats'!B:B,'Base stats'!C:C)^0.165,0.05)</f>
        <v>0.25</v>
      </c>
      <c r="Y89" s="8">
        <f>MROUND(_xlfn.XLOOKUP(_xlfn.XLOOKUP(B89,'Base stats'!B:B,'Base stats'!E:E),Groups!A:A,Groups!BI:BI)*_xlfn.XLOOKUP(B89,'Base stats'!B:B,'Base stats'!C:C)^0.165,0.05)</f>
        <v>0.1</v>
      </c>
      <c r="Z89" s="18">
        <f>MROUND(_xlfn.XLOOKUP(B89,'Base stats'!B:B,'Base stats'!AQ:AQ)*_xlfn.XLOOKUP(_xlfn.XLOOKUP(B89,'Base stats'!B:B,'Base stats'!E:E),Groups!A:A,Groups!H:H)/1000,IF((_xlfn.XLOOKUP(B89,'Base stats'!B:B,'Base stats'!AQ:AQ)*_xlfn.XLOOKUP(_xlfn.XLOOKUP(B89,'Base stats'!B:B,'Base stats'!E:E),Groups!A:A,Groups!H:H)/1000)&gt;1,0.05,0.01))</f>
        <v>0.08</v>
      </c>
      <c r="AA89" s="18">
        <f>MROUND((1/2)*(_xlfn.XLOOKUP(_xlfn.XLOOKUP(B89,'Base stats'!B:B,'Base stats'!E:E),Groups!A:A,Groups!H:H)*_xlfn.XLOOKUP(_xlfn.XLOOKUP(B89,'Base stats'!B:B,'Base stats'!E:E),Groups!A:A,Groups!I:I))*_xlfn.XLOOKUP(B89,'Base stats'!B:B,'Base stats'!AQ:AQ)*0.01,0.05)</f>
        <v>0.30000000000000004</v>
      </c>
      <c r="AB89" s="18">
        <f>MROUND(250*(Animals!AO89+Animals!AP89),25)</f>
        <v>750</v>
      </c>
      <c r="AC89" s="18" t="str">
        <f>_xlfn.XLOOKUP(_xlfn.XLOOKUP(B89,'Base stats'!B:B,'Base stats'!E:E),Groups!A:A,Groups!BJ:BJ)</f>
        <v>HumanoidWide</v>
      </c>
    </row>
    <row r="90" spans="1:29" ht="16.5" thickTop="1" thickBot="1" x14ac:dyDescent="0.3">
      <c r="A90" s="16" t="str">
        <f>Animals!A90</f>
        <v>MonitorLizard</v>
      </c>
      <c r="B90" s="6" t="str">
        <f>Animals!B90</f>
        <v>Varanus komodoensis</v>
      </c>
      <c r="C90" s="1" t="str">
        <f>Animals!C90</f>
        <v>&lt;li&gt;MonitorLizard&lt;/li&gt;</v>
      </c>
      <c r="D90" s="47">
        <f>MIN(MIN(6,_xlfn.XLOOKUP(A90,Animals!A:A,Animals!AO:AO))*20,MAX(MROUND(_xlfn.XLOOKUP(B90,'Base stats'!B:B,'Base stats'!BS:BS) * (_xlfn.XLOOKUP(B90,'Base stats'!B:B,'Base stats'!AO:AO)*5%)^0.9 / 21,0.1),0.05))</f>
        <v>2.7</v>
      </c>
      <c r="E90" s="11">
        <f>MROUND(_xlfn.XLOOKUP(B90,'Base stats'!B:B,'Base stats'!BG:BG) * 0.01 * 2 + 0.01, 0.05)</f>
        <v>2.3000000000000003</v>
      </c>
      <c r="F90" s="7">
        <f>MROUND(_xlfn.XLOOKUP(B90,'Base stats'!B:B,'Base stats'!BD:BD)^0.25 / (_xlfn.XLOOKUP(B90,'Base stats'!B:B,'Base stats'!BK:BK) * 10) * 150 + 0.5 + _xlfn.XLOOKUP(B90,'Base stats'!B:B,'Base stats'!BW:BW), 0.05)</f>
        <v>2.0500000000000003</v>
      </c>
      <c r="G90" s="3" t="str">
        <f>IF(Animals!S90="No","No",
IF(_xlfn.XLOOKUP(B90,'Base stats'!B:B,'Base stats'!U:U)="No",
MAX(MROUND(_xlfn.XLOOKUP(B90,'Base stats'!B:B,'Base stats'!BT:BT) * _xlfn.XLOOKUP(B90,'Base stats'!B:B,'Base stats'!BP:BP)^0.9 / 21 * _xlfn.XLOOKUP(B90,'Base stats'!B:B,'Base stats'!BX:BX),0.1),0.05),
MAX(MROUND(((MIN(10,_xlfn.XLOOKUP(B90,'Base stats'!B:B,'Base stats'!U:U)))^0.4*_xlfn.XLOOKUP(B90,'Base stats'!B:B,'Base stats'!BH:BH)^0.73)^0.6 * _xlfn.XLOOKUP(B90,'Base stats'!B:B,'Base stats'!BX:BX),0.1),0.05)
))</f>
        <v>No</v>
      </c>
      <c r="H90" s="11" t="str">
        <f>IF(G90="No","No",
MROUND(_xlfn.XLOOKUP(B90,'Base stats'!B:B,'Base stats'!BH:BH) * 0.01 * 2 + 0.05, 0.05)
)</f>
        <v>No</v>
      </c>
      <c r="I90" s="11" t="str">
        <f>IF(G90="No","No",IF(_xlfn.XLOOKUP(B90,'Base stats'!B:B,'Base stats'!U:U)="No","No",
MROUND(_xlfn.XLOOKUP(B90,'Base stats'!B:B,'Base stats'!BT:BT)/10000+0.01,0.01)
))</f>
        <v>No</v>
      </c>
      <c r="J90" s="4" t="str">
        <f>IF(G90="No","No",
MROUND(_xlfn.XLOOKUP(B90,'Base stats'!B:B,'Base stats'!BE:BE)^0.25
/((_xlfn.XLOOKUP(B90,'Base stats'!B:B,'Base stats'!BL:BL))*10)*_xlfn.XLOOKUP(_xlfn.XLOOKUP(B90,'Base stats'!B:B,'Base stats'!E:E),Groups!A:A,Groups!Q:Q)*150 + 0.5 + _xlfn.XLOOKUP(B90,'Base stats'!B:B,'Base stats'!BW:BW),
0.05))</f>
        <v>No</v>
      </c>
      <c r="K90" s="3" t="str">
        <f>IF(Animals!X90="No","No",
IF(_xlfn.XLOOKUP(_xlfn.XLOOKUP(B90,'Base stats'!B:B,'Base stats'!E:E),Groups!A:A,Groups!BD:BD)=1,
MAX(MROUND(_xlfn.XLOOKUP(B90,'Base stats'!B:B,'Base stats'!BU:BU) * _xlfn.XLOOKUP(B90,'Base stats'!B:B,'Base stats'!BQ:BQ)^0.9 / 21 *_xlfn.XLOOKUP(B90,'Base stats'!B:B,'Base stats'!BX:BX),0.1),0.05),
MAX(MROUND(((MIN(10,_xlfn.XLOOKUP(B90,'Base stats'!B:B,'Base stats'!W:W)))^0.4*_xlfn.XLOOKUP(B90,'Base stats'!B:B,'Base stats'!BI:BI)^0.73)^0.6 *_xlfn.XLOOKUP(B90,'Base stats'!B:B,'Base stats'!BX:BX),0.1),0.05)
))</f>
        <v>No</v>
      </c>
      <c r="L90" s="11" t="str">
        <f>IF(K90="No","No",
MROUND(_xlfn.XLOOKUP(B90,'Base stats'!B:B,'Base stats'!BI:BI) * 0.01 *2 + 0.05, 0.05)
)</f>
        <v>No</v>
      </c>
      <c r="M90" s="5" t="str">
        <f>IF(K90="No","No",IF(_xlfn.XLOOKUP(_xlfn.XLOOKUP(B90,'Base stats'!B:B,'Base stats'!E:E),Groups!A:A,Groups!BD:BD)=1,"No",
MROUND(_xlfn.XLOOKUP(B90,'Base stats'!B:B,'Base stats'!BU:BU)/10000+0.01,0.01)
))</f>
        <v>No</v>
      </c>
      <c r="N90" s="4" t="str">
        <f>IF(K90="No","No",
MROUND(
  _xlfn.XLOOKUP(B90,'Base stats'!B:B,'Base stats'!BC:BC)^0.25
  / (_xlfn.XLOOKUP(B90,'Base stats'!B:B,'Base stats'!BM:BM) * 10)
  * _xlfn.XLOOKUP(
      _xlfn.XLOOKUP(B90,'Base stats'!B:B,'Base stats'!E:E),
      Groups!A:A,
      Groups!V:V
    ) * 150
  + MIN(12, _xlfn.XLOOKUP(B90,'Base stats'!B:B,'Base stats'!W:W))^(1/IF(_xlfn.XLOOKUP(_xlfn.XLOOKUP(B90,'Base stats'!B:B,'Base stats'!E:E),Groups!A:A,Groups!U:U)=1,100,10)) + 0.5 + _xlfn.XLOOKUP(B90,'Base stats'!B:B,'Base stats'!BW:BW),
0.05))</f>
        <v>No</v>
      </c>
      <c r="O90" s="3">
        <f>IF(Animals!AD90="No","No",
MAX(MROUND((MIN(10,_xlfn.XLOOKUP(B90,'Base stats'!B:B,'Base stats'!V:V)*IF(_xlfn.XLOOKUP(_xlfn.XLOOKUP(B90,'Base stats'!B:B,'Base stats'!E:E),Groups!A:A,Groups!O:O)=0,1,0.33))^0.4*_xlfn.XLOOKUP(B90,'Base stats'!B:B,'Base stats'!BJ:BJ)^0.73)^0.6 *_xlfn.XLOOKUP(B90,'Base stats'!B:B,'Base stats'!BX:BX),0.1),0.05)
)</f>
        <v>13.100000000000001</v>
      </c>
      <c r="P90" s="11">
        <f>IF(O90="No","No",
MROUND(_xlfn.XLOOKUP(B90,'Base stats'!B:B,'Base stats'!BJ:BJ) * 0.01 * 2 + 0.05, 0.05)
)</f>
        <v>4.3</v>
      </c>
      <c r="Q90" s="5">
        <f>IF(O90="No","No",
MROUND(_xlfn.XLOOKUP(B90,'Base stats'!B:B,'Base stats'!BV:BV)/10000+0.01,0.01)
)</f>
        <v>0.25</v>
      </c>
      <c r="R90" s="4">
        <f>IF(O90="No","No",
MROUND(_xlfn.XLOOKUP(B90,'Base stats'!B:B,'Base stats'!BB:BB)^0.25
/((_xlfn.XLOOKUP(B90,'Base stats'!B:B,'Base stats'!BN:BN))*10)*_xlfn.XLOOKUP(_xlfn.XLOOKUP(B90,'Base stats'!B:B,'Base stats'!E:E),Groups!A:A,Groups!Z:Z)*150 + 0.5 + _xlfn.XLOOKUP(B90,'Base stats'!B:B,'Base stats'!BW:BW),
0.05))</f>
        <v>2.25</v>
      </c>
      <c r="S90" s="3">
        <f>IF(Animals!AI90="No","No",
IF(_xlfn.XLOOKUP(B90,'Base stats'!B:B,'Base stats'!U:U)="No",
MAX(MROUND(_xlfn.XLOOKUP(B90,'Base stats'!B:B,'Base stats'!BT:BT) * _xlfn.XLOOKUP(B90,'Base stats'!B:B,'Base stats'!BP:BP)^0.9 / 21 * _xlfn.XLOOKUP(B90,'Base stats'!B:B,'Base stats'!BX:BX),0.1),0.05),
MAX(MROUND(((MIN(12,_xlfn.XLOOKUP(B90,'Base stats'!B:B,'Base stats'!U:U)))^0.4*_xlfn.XLOOKUP(B90,'Base stats'!B:B,'Base stats'!BH:BH)^0.73)^0.6 * _xlfn.XLOOKUP(B90,'Base stats'!B:B,'Base stats'!BX:BX),0.1),0.05)
))</f>
        <v>10.4</v>
      </c>
      <c r="T90" s="11">
        <f>IF(S90="No","No",
MROUND(_xlfn.XLOOKUP(B90,'Base stats'!B:B,'Base stats'!BH:BH) * 0.01 * 2 + 0.05, 0.05)
)</f>
        <v>2.95</v>
      </c>
      <c r="U90" s="5">
        <f>IF(S90="No","No",IF(_xlfn.XLOOKUP(B90,'Base stats'!B:B,'Base stats'!U:U)="No","No",
MROUND(_xlfn.XLOOKUP(B90,'Base stats'!B:B,'Base stats'!BT:BT)/10000+0.01,0.01)
))</f>
        <v>0.17</v>
      </c>
      <c r="V90" s="4">
        <f>IF(S90="No","No",
MROUND(_xlfn.XLOOKUP(B90,'Base stats'!B:B,'Base stats'!BF:BF)^0.25
/((_xlfn.XLOOKUP(B90,'Base stats'!B:B,'Base stats'!BO:BO))*10)*_xlfn.XLOOKUP(_xlfn.XLOOKUP(B90,'Base stats'!B:B,'Base stats'!E:E),Groups!A:A,Groups!AE:AE)*150 + 0.5 + _xlfn.XLOOKUP(B90,'Base stats'!B:B,'Base stats'!BW:BW),
0.05))</f>
        <v>1.5</v>
      </c>
      <c r="W90" s="8">
        <f>MROUND(_xlfn.XLOOKUP(_xlfn.XLOOKUP(B90,'Base stats'!B:B,'Base stats'!E:E),Groups!A:A,Groups!BG:BG)*_xlfn.XLOOKUP(B90,'Base stats'!B:B,'Base stats'!C:C)^-0.165,0.05)</f>
        <v>0.25</v>
      </c>
      <c r="X90" s="1">
        <f>MROUND(_xlfn.XLOOKUP(_xlfn.XLOOKUP(B90,'Base stats'!B:B,'Base stats'!E:E),Groups!A:A,Groups!BH:BH)*_xlfn.XLOOKUP(B90,'Base stats'!B:B,'Base stats'!C:C)^0.165,0.05)</f>
        <v>0.4</v>
      </c>
      <c r="Y90" s="8">
        <f>MROUND(_xlfn.XLOOKUP(_xlfn.XLOOKUP(B90,'Base stats'!B:B,'Base stats'!E:E),Groups!A:A,Groups!BI:BI)*_xlfn.XLOOKUP(B90,'Base stats'!B:B,'Base stats'!C:C)^0.165,0.05)</f>
        <v>0.05</v>
      </c>
      <c r="Z90" s="18">
        <f>MROUND(_xlfn.XLOOKUP(B90,'Base stats'!B:B,'Base stats'!AQ:AQ)*_xlfn.XLOOKUP(_xlfn.XLOOKUP(B90,'Base stats'!B:B,'Base stats'!E:E),Groups!A:A,Groups!H:H)/1000,IF((_xlfn.XLOOKUP(B90,'Base stats'!B:B,'Base stats'!AQ:AQ)*_xlfn.XLOOKUP(_xlfn.XLOOKUP(B90,'Base stats'!B:B,'Base stats'!E:E),Groups!A:A,Groups!H:H)/1000)&gt;1,0.05,0.01))</f>
        <v>7.0000000000000007E-2</v>
      </c>
      <c r="AA90" s="18">
        <f>MROUND((1/2)*(_xlfn.XLOOKUP(_xlfn.XLOOKUP(B90,'Base stats'!B:B,'Base stats'!E:E),Groups!A:A,Groups!H:H)*_xlfn.XLOOKUP(_xlfn.XLOOKUP(B90,'Base stats'!B:B,'Base stats'!E:E),Groups!A:A,Groups!I:I))*_xlfn.XLOOKUP(B90,'Base stats'!B:B,'Base stats'!AQ:AQ)*0.01,0.05)</f>
        <v>0.30000000000000004</v>
      </c>
      <c r="AB90" s="18">
        <f>MROUND(250*(Animals!AO90+Animals!AP90),25)</f>
        <v>650</v>
      </c>
      <c r="AC90" s="18" t="str">
        <f>_xlfn.XLOOKUP(_xlfn.XLOOKUP(B90,'Base stats'!B:B,'Base stats'!E:E),Groups!A:A,Groups!BJ:BJ)</f>
        <v>QuadrupedLow</v>
      </c>
    </row>
    <row r="91" spans="1:29" ht="16.5" thickTop="1" thickBot="1" x14ac:dyDescent="0.3">
      <c r="A91" s="16" t="str">
        <f>Animals!A91</f>
        <v>Alligator</v>
      </c>
      <c r="B91" s="6" t="str">
        <f>Animals!B91</f>
        <v>Alligator mississippiensis</v>
      </c>
      <c r="C91" s="1" t="str">
        <f>Animals!C91</f>
        <v>&lt;li&gt;Alligator&lt;/li&gt;</v>
      </c>
      <c r="D91" s="47">
        <f>MIN(MIN(6,_xlfn.XLOOKUP(A91,Animals!A:A,Animals!AO:AO))*20,MAX(MROUND(_xlfn.XLOOKUP(B91,'Base stats'!B:B,'Base stats'!BS:BS) * (_xlfn.XLOOKUP(B91,'Base stats'!B:B,'Base stats'!AO:AO)*5%)^0.9 / 21,0.1),0.05))</f>
        <v>2.2000000000000002</v>
      </c>
      <c r="E91" s="11">
        <f>MROUND(_xlfn.XLOOKUP(B91,'Base stats'!B:B,'Base stats'!BG:BG) * 0.01 * 2 + 0.01, 0.05)</f>
        <v>1.9000000000000001</v>
      </c>
      <c r="F91" s="7">
        <f>MROUND(_xlfn.XLOOKUP(B91,'Base stats'!B:B,'Base stats'!BD:BD)^0.25 / (_xlfn.XLOOKUP(B91,'Base stats'!B:B,'Base stats'!BK:BK) * 10) * 150 + 0.5 + _xlfn.XLOOKUP(B91,'Base stats'!B:B,'Base stats'!BW:BW), 0.05)</f>
        <v>2.85</v>
      </c>
      <c r="G91" s="3" t="str">
        <f>IF(Animals!S91="No","No",
IF(_xlfn.XLOOKUP(B91,'Base stats'!B:B,'Base stats'!U:U)="No",
MAX(MROUND(_xlfn.XLOOKUP(B91,'Base stats'!B:B,'Base stats'!BT:BT) * _xlfn.XLOOKUP(B91,'Base stats'!B:B,'Base stats'!BP:BP)^0.9 / 21 * _xlfn.XLOOKUP(B91,'Base stats'!B:B,'Base stats'!BX:BX),0.1),0.05),
MAX(MROUND(((MIN(10,_xlfn.XLOOKUP(B91,'Base stats'!B:B,'Base stats'!U:U)))^0.4*_xlfn.XLOOKUP(B91,'Base stats'!B:B,'Base stats'!BH:BH)^0.73)^0.6 * _xlfn.XLOOKUP(B91,'Base stats'!B:B,'Base stats'!BX:BX),0.1),0.05)
))</f>
        <v>No</v>
      </c>
      <c r="H91" s="11" t="str">
        <f>IF(G91="No","No",
MROUND(_xlfn.XLOOKUP(B91,'Base stats'!B:B,'Base stats'!BH:BH) * 0.01 * 2 + 0.05, 0.05)
)</f>
        <v>No</v>
      </c>
      <c r="I91" s="11" t="str">
        <f>IF(G91="No","No",IF(_xlfn.XLOOKUP(B91,'Base stats'!B:B,'Base stats'!U:U)="No","No",
MROUND(_xlfn.XLOOKUP(B91,'Base stats'!B:B,'Base stats'!BT:BT)/10000+0.01,0.01)
))</f>
        <v>No</v>
      </c>
      <c r="J91" s="4" t="str">
        <f>IF(G91="No","No",
MROUND(_xlfn.XLOOKUP(B91,'Base stats'!B:B,'Base stats'!BE:BE)^0.25
/((_xlfn.XLOOKUP(B91,'Base stats'!B:B,'Base stats'!BL:BL))*10)*_xlfn.XLOOKUP(_xlfn.XLOOKUP(B91,'Base stats'!B:B,'Base stats'!E:E),Groups!A:A,Groups!Q:Q)*150 + 0.5 + _xlfn.XLOOKUP(B91,'Base stats'!B:B,'Base stats'!BW:BW),
0.05))</f>
        <v>No</v>
      </c>
      <c r="K91" s="3" t="str">
        <f>IF(Animals!X91="No","No",
IF(_xlfn.XLOOKUP(_xlfn.XLOOKUP(B91,'Base stats'!B:B,'Base stats'!E:E),Groups!A:A,Groups!BD:BD)=1,
MAX(MROUND(_xlfn.XLOOKUP(B91,'Base stats'!B:B,'Base stats'!BU:BU) * _xlfn.XLOOKUP(B91,'Base stats'!B:B,'Base stats'!BQ:BQ)^0.9 / 21 *_xlfn.XLOOKUP(B91,'Base stats'!B:B,'Base stats'!BX:BX),0.1),0.05),
MAX(MROUND(((MIN(10,_xlfn.XLOOKUP(B91,'Base stats'!B:B,'Base stats'!W:W)))^0.4*_xlfn.XLOOKUP(B91,'Base stats'!B:B,'Base stats'!BI:BI)^0.73)^0.6 *_xlfn.XLOOKUP(B91,'Base stats'!B:B,'Base stats'!BX:BX),0.1),0.05)
))</f>
        <v>No</v>
      </c>
      <c r="L91" s="11" t="str">
        <f>IF(K91="No","No",
MROUND(_xlfn.XLOOKUP(B91,'Base stats'!B:B,'Base stats'!BI:BI) * 0.01 *2 + 0.05, 0.05)
)</f>
        <v>No</v>
      </c>
      <c r="M91" s="5" t="str">
        <f>IF(K91="No","No",IF(_xlfn.XLOOKUP(_xlfn.XLOOKUP(B91,'Base stats'!B:B,'Base stats'!E:E),Groups!A:A,Groups!BD:BD)=1,"No",
MROUND(_xlfn.XLOOKUP(B91,'Base stats'!B:B,'Base stats'!BU:BU)/10000+0.01,0.01)
))</f>
        <v>No</v>
      </c>
      <c r="N91" s="4" t="str">
        <f>IF(K91="No","No",
MROUND(
  _xlfn.XLOOKUP(B91,'Base stats'!B:B,'Base stats'!BC:BC)^0.25
  / (_xlfn.XLOOKUP(B91,'Base stats'!B:B,'Base stats'!BM:BM) * 10)
  * _xlfn.XLOOKUP(
      _xlfn.XLOOKUP(B91,'Base stats'!B:B,'Base stats'!E:E),
      Groups!A:A,
      Groups!V:V
    ) * 150
  + MIN(12, _xlfn.XLOOKUP(B91,'Base stats'!B:B,'Base stats'!W:W))^(1/IF(_xlfn.XLOOKUP(_xlfn.XLOOKUP(B91,'Base stats'!B:B,'Base stats'!E:E),Groups!A:A,Groups!U:U)=1,100,10)) + 0.5 + _xlfn.XLOOKUP(B91,'Base stats'!B:B,'Base stats'!BW:BW),
0.05))</f>
        <v>No</v>
      </c>
      <c r="O91" s="3">
        <f>IF(Animals!AD91="No","No",
MAX(MROUND((MIN(10,_xlfn.XLOOKUP(B91,'Base stats'!B:B,'Base stats'!V:V)*IF(_xlfn.XLOOKUP(_xlfn.XLOOKUP(B91,'Base stats'!B:B,'Base stats'!E:E),Groups!A:A,Groups!O:O)=0,1,0.33))^0.4*_xlfn.XLOOKUP(B91,'Base stats'!B:B,'Base stats'!BJ:BJ)^0.73)^0.6 *_xlfn.XLOOKUP(B91,'Base stats'!B:B,'Base stats'!BX:BX),0.1),0.05)
)</f>
        <v>24.400000000000002</v>
      </c>
      <c r="P91" s="11">
        <f>IF(O91="No","No",
MROUND(_xlfn.XLOOKUP(B91,'Base stats'!B:B,'Base stats'!BJ:BJ) * 0.01 * 2 + 0.05, 0.05)
)</f>
        <v>16.2</v>
      </c>
      <c r="Q91" s="5">
        <f>IF(O91="No","No",
MROUND(_xlfn.XLOOKUP(B91,'Base stats'!B:B,'Base stats'!BV:BV)/10000+0.01,0.01)
)</f>
        <v>0.59</v>
      </c>
      <c r="R91" s="4">
        <f>IF(O91="No","No",
MROUND(_xlfn.XLOOKUP(B91,'Base stats'!B:B,'Base stats'!BB:BB)^0.25
/((_xlfn.XLOOKUP(B91,'Base stats'!B:B,'Base stats'!BN:BN))*10)*_xlfn.XLOOKUP(_xlfn.XLOOKUP(B91,'Base stats'!B:B,'Base stats'!E:E),Groups!A:A,Groups!Z:Z)*150 + 0.5 + _xlfn.XLOOKUP(B91,'Base stats'!B:B,'Base stats'!BW:BW),
0.05))</f>
        <v>2.6500000000000004</v>
      </c>
      <c r="S91" s="3" t="str">
        <f>IF(Animals!AI91="No","No",
IF(_xlfn.XLOOKUP(B91,'Base stats'!B:B,'Base stats'!U:U)="No",
MAX(MROUND(_xlfn.XLOOKUP(B91,'Base stats'!B:B,'Base stats'!BT:BT) * _xlfn.XLOOKUP(B91,'Base stats'!B:B,'Base stats'!BP:BP)^0.9 / 21 * _xlfn.XLOOKUP(B91,'Base stats'!B:B,'Base stats'!BX:BX),0.1),0.05),
MAX(MROUND(((MIN(12,_xlfn.XLOOKUP(B91,'Base stats'!B:B,'Base stats'!U:U)))^0.4*_xlfn.XLOOKUP(B91,'Base stats'!B:B,'Base stats'!BH:BH)^0.73)^0.6 * _xlfn.XLOOKUP(B91,'Base stats'!B:B,'Base stats'!BX:BX),0.1),0.05)
))</f>
        <v>No</v>
      </c>
      <c r="T91" s="11" t="str">
        <f>IF(S91="No","No",
MROUND(_xlfn.XLOOKUP(B91,'Base stats'!B:B,'Base stats'!BH:BH) * 0.01 * 2 + 0.05, 0.05)
)</f>
        <v>No</v>
      </c>
      <c r="U91" s="5" t="str">
        <f>IF(S91="No","No",IF(_xlfn.XLOOKUP(B91,'Base stats'!B:B,'Base stats'!U:U)="No","No",
MROUND(_xlfn.XLOOKUP(B91,'Base stats'!B:B,'Base stats'!BT:BT)/10000+0.01,0.01)
))</f>
        <v>No</v>
      </c>
      <c r="V91" s="4" t="str">
        <f>IF(S91="No","No",
MROUND(_xlfn.XLOOKUP(B91,'Base stats'!B:B,'Base stats'!BF:BF)^0.25
/((_xlfn.XLOOKUP(B91,'Base stats'!B:B,'Base stats'!BO:BO))*10)*_xlfn.XLOOKUP(_xlfn.XLOOKUP(B91,'Base stats'!B:B,'Base stats'!E:E),Groups!A:A,Groups!AE:AE)*150 + 0.5 + _xlfn.XLOOKUP(B91,'Base stats'!B:B,'Base stats'!BW:BW),
0.05))</f>
        <v>No</v>
      </c>
      <c r="W91" s="8">
        <f>MROUND(_xlfn.XLOOKUP(_xlfn.XLOOKUP(B91,'Base stats'!B:B,'Base stats'!E:E),Groups!A:A,Groups!BG:BG)*_xlfn.XLOOKUP(B91,'Base stats'!B:B,'Base stats'!C:C)^-0.165,0.05)</f>
        <v>0.1</v>
      </c>
      <c r="X91" s="1">
        <f>MROUND(_xlfn.XLOOKUP(_xlfn.XLOOKUP(B91,'Base stats'!B:B,'Base stats'!E:E),Groups!A:A,Groups!BH:BH)*_xlfn.XLOOKUP(B91,'Base stats'!B:B,'Base stats'!C:C)^0.165,0.05)</f>
        <v>0.25</v>
      </c>
      <c r="Y91" s="8">
        <f>MROUND(_xlfn.XLOOKUP(_xlfn.XLOOKUP(B91,'Base stats'!B:B,'Base stats'!E:E),Groups!A:A,Groups!BI:BI)*_xlfn.XLOOKUP(B91,'Base stats'!B:B,'Base stats'!C:C)^0.165,0.05)</f>
        <v>0.05</v>
      </c>
      <c r="Z91" s="18">
        <f>MROUND(_xlfn.XLOOKUP(B91,'Base stats'!B:B,'Base stats'!AQ:AQ)*_xlfn.XLOOKUP(_xlfn.XLOOKUP(B91,'Base stats'!B:B,'Base stats'!E:E),Groups!A:A,Groups!H:H)/1000,IF((_xlfn.XLOOKUP(B91,'Base stats'!B:B,'Base stats'!AQ:AQ)*_xlfn.XLOOKUP(_xlfn.XLOOKUP(B91,'Base stats'!B:B,'Base stats'!E:E),Groups!A:A,Groups!H:H)/1000)&gt;1,0.05,0.01))</f>
        <v>0.31</v>
      </c>
      <c r="AA91" s="18">
        <f>MROUND((1/2)*(_xlfn.XLOOKUP(_xlfn.XLOOKUP(B91,'Base stats'!B:B,'Base stats'!E:E),Groups!A:A,Groups!H:H)*_xlfn.XLOOKUP(_xlfn.XLOOKUP(B91,'Base stats'!B:B,'Base stats'!E:E),Groups!A:A,Groups!I:I))*_xlfn.XLOOKUP(B91,'Base stats'!B:B,'Base stats'!AQ:AQ)*0.01,0.05)</f>
        <v>0.35000000000000003</v>
      </c>
      <c r="AB91" s="18">
        <f>MROUND(250*(Animals!AO91+Animals!AP91),25)</f>
        <v>875</v>
      </c>
      <c r="AC91" s="18" t="str">
        <f>_xlfn.XLOOKUP(_xlfn.XLOOKUP(B91,'Base stats'!B:B,'Base stats'!E:E),Groups!A:A,Groups!BJ:BJ)</f>
        <v>QuadrupedLow</v>
      </c>
    </row>
    <row r="92" spans="1:29" ht="16.5" thickTop="1" thickBot="1" x14ac:dyDescent="0.3">
      <c r="A92" s="16" t="str">
        <f>Animals!A92</f>
        <v>SeaTurtle</v>
      </c>
      <c r="B92" s="6" t="str">
        <f>Animals!B92</f>
        <v>Chelonia mydas</v>
      </c>
      <c r="C92" s="1" t="str">
        <f>Animals!C92</f>
        <v>&lt;li&gt;SeaTurtle&lt;/li&gt;</v>
      </c>
      <c r="D92" s="47">
        <f>MIN(MIN(6,_xlfn.XLOOKUP(A92,Animals!A:A,Animals!AO:AO))*20,MAX(MROUND(_xlfn.XLOOKUP(B92,'Base stats'!B:B,'Base stats'!BS:BS) * (_xlfn.XLOOKUP(B92,'Base stats'!B:B,'Base stats'!AO:AO)*5%)^0.9 / 21,0.1),0.05))</f>
        <v>2.4000000000000004</v>
      </c>
      <c r="E92" s="11">
        <f>MROUND(_xlfn.XLOOKUP(B92,'Base stats'!B:B,'Base stats'!BG:BG) * 0.01 * 2 + 0.01, 0.05)</f>
        <v>2.1</v>
      </c>
      <c r="F92" s="7">
        <f>MROUND(_xlfn.XLOOKUP(B92,'Base stats'!B:B,'Base stats'!BD:BD)^0.25 / (_xlfn.XLOOKUP(B92,'Base stats'!B:B,'Base stats'!BK:BK) * 10) * 150 + 0.5 + _xlfn.XLOOKUP(B92,'Base stats'!B:B,'Base stats'!BW:BW), 0.05)</f>
        <v>2.25</v>
      </c>
      <c r="G92" s="3" t="str">
        <f>IF(Animals!S92="No","No",
IF(_xlfn.XLOOKUP(B92,'Base stats'!B:B,'Base stats'!U:U)="No",
MAX(MROUND(_xlfn.XLOOKUP(B92,'Base stats'!B:B,'Base stats'!BT:BT) * _xlfn.XLOOKUP(B92,'Base stats'!B:B,'Base stats'!BP:BP)^0.9 / 21 * _xlfn.XLOOKUP(B92,'Base stats'!B:B,'Base stats'!BX:BX),0.1),0.05),
MAX(MROUND(((MIN(10,_xlfn.XLOOKUP(B92,'Base stats'!B:B,'Base stats'!U:U)))^0.4*_xlfn.XLOOKUP(B92,'Base stats'!B:B,'Base stats'!BH:BH)^0.73)^0.6 * _xlfn.XLOOKUP(B92,'Base stats'!B:B,'Base stats'!BX:BX),0.1),0.05)
))</f>
        <v>No</v>
      </c>
      <c r="H92" s="11" t="str">
        <f>IF(G92="No","No",
MROUND(_xlfn.XLOOKUP(B92,'Base stats'!B:B,'Base stats'!BH:BH) * 0.01 * 2 + 0.05, 0.05)
)</f>
        <v>No</v>
      </c>
      <c r="I92" s="11" t="str">
        <f>IF(G92="No","No",IF(_xlfn.XLOOKUP(B92,'Base stats'!B:B,'Base stats'!U:U)="No","No",
MROUND(_xlfn.XLOOKUP(B92,'Base stats'!B:B,'Base stats'!BT:BT)/10000+0.01,0.01)
))</f>
        <v>No</v>
      </c>
      <c r="J92" s="4" t="str">
        <f>IF(G92="No","No",
MROUND(_xlfn.XLOOKUP(B92,'Base stats'!B:B,'Base stats'!BE:BE)^0.25
/((_xlfn.XLOOKUP(B92,'Base stats'!B:B,'Base stats'!BL:BL))*10)*_xlfn.XLOOKUP(_xlfn.XLOOKUP(B92,'Base stats'!B:B,'Base stats'!E:E),Groups!A:A,Groups!Q:Q)*150 + 0.5 + _xlfn.XLOOKUP(B92,'Base stats'!B:B,'Base stats'!BW:BW),
0.05))</f>
        <v>No</v>
      </c>
      <c r="K92" s="3" t="str">
        <f>IF(Animals!X92="No","No",
IF(_xlfn.XLOOKUP(_xlfn.XLOOKUP(B92,'Base stats'!B:B,'Base stats'!E:E),Groups!A:A,Groups!BD:BD)=1,
MAX(MROUND(_xlfn.XLOOKUP(B92,'Base stats'!B:B,'Base stats'!BU:BU) * _xlfn.XLOOKUP(B92,'Base stats'!B:B,'Base stats'!BQ:BQ)^0.9 / 21 *_xlfn.XLOOKUP(B92,'Base stats'!B:B,'Base stats'!BX:BX),0.1),0.05),
MAX(MROUND(((MIN(10,_xlfn.XLOOKUP(B92,'Base stats'!B:B,'Base stats'!W:W)))^0.4*_xlfn.XLOOKUP(B92,'Base stats'!B:B,'Base stats'!BI:BI)^0.73)^0.6 *_xlfn.XLOOKUP(B92,'Base stats'!B:B,'Base stats'!BX:BX),0.1),0.05)
))</f>
        <v>No</v>
      </c>
      <c r="L92" s="11" t="str">
        <f>IF(K92="No","No",
MROUND(_xlfn.XLOOKUP(B92,'Base stats'!B:B,'Base stats'!BI:BI) * 0.01 *2 + 0.05, 0.05)
)</f>
        <v>No</v>
      </c>
      <c r="M92" s="5" t="str">
        <f>IF(K92="No","No",IF(_xlfn.XLOOKUP(_xlfn.XLOOKUP(B92,'Base stats'!B:B,'Base stats'!E:E),Groups!A:A,Groups!BD:BD)=1,"No",
MROUND(_xlfn.XLOOKUP(B92,'Base stats'!B:B,'Base stats'!BU:BU)/10000+0.01,0.01)
))</f>
        <v>No</v>
      </c>
      <c r="N92" s="4" t="str">
        <f>IF(K92="No","No",
MROUND(
  _xlfn.XLOOKUP(B92,'Base stats'!B:B,'Base stats'!BC:BC)^0.25
  / (_xlfn.XLOOKUP(B92,'Base stats'!B:B,'Base stats'!BM:BM) * 10)
  * _xlfn.XLOOKUP(
      _xlfn.XLOOKUP(B92,'Base stats'!B:B,'Base stats'!E:E),
      Groups!A:A,
      Groups!V:V
    ) * 150
  + MIN(12, _xlfn.XLOOKUP(B92,'Base stats'!B:B,'Base stats'!W:W))^(1/IF(_xlfn.XLOOKUP(_xlfn.XLOOKUP(B92,'Base stats'!B:B,'Base stats'!E:E),Groups!A:A,Groups!U:U)=1,100,10)) + 0.5 + _xlfn.XLOOKUP(B92,'Base stats'!B:B,'Base stats'!BW:BW),
0.05))</f>
        <v>No</v>
      </c>
      <c r="O92" s="3">
        <f>IF(Animals!AD92="No","No",
MAX(MROUND((MIN(10,_xlfn.XLOOKUP(B92,'Base stats'!B:B,'Base stats'!V:V)*IF(_xlfn.XLOOKUP(_xlfn.XLOOKUP(B92,'Base stats'!B:B,'Base stats'!E:E),Groups!A:A,Groups!O:O)=0,1,0.33))^0.4*_xlfn.XLOOKUP(B92,'Base stats'!B:B,'Base stats'!BJ:BJ)^0.73)^0.6 *_xlfn.XLOOKUP(B92,'Base stats'!B:B,'Base stats'!BX:BX),0.1),0.05)
)</f>
        <v>9.5</v>
      </c>
      <c r="P92" s="11">
        <f>IF(O92="No","No",
MROUND(_xlfn.XLOOKUP(B92,'Base stats'!B:B,'Base stats'!BJ:BJ) * 0.01 * 2 + 0.05, 0.05)
)</f>
        <v>2.6500000000000004</v>
      </c>
      <c r="Q92" s="5">
        <f>IF(O92="No","No",
MROUND(_xlfn.XLOOKUP(B92,'Base stats'!B:B,'Base stats'!BV:BV)/10000+0.01,0.01)
)</f>
        <v>0.1</v>
      </c>
      <c r="R92" s="4">
        <f>IF(O92="No","No",
MROUND(_xlfn.XLOOKUP(B92,'Base stats'!B:B,'Base stats'!BB:BB)^0.25
/((_xlfn.XLOOKUP(B92,'Base stats'!B:B,'Base stats'!BN:BN))*10)*_xlfn.XLOOKUP(_xlfn.XLOOKUP(B92,'Base stats'!B:B,'Base stats'!E:E),Groups!A:A,Groups!Z:Z)*150 + 0.5 + _xlfn.XLOOKUP(B92,'Base stats'!B:B,'Base stats'!BW:BW),
0.05))</f>
        <v>2.35</v>
      </c>
      <c r="S92" s="3" t="str">
        <f>IF(Animals!AI92="No","No",
IF(_xlfn.XLOOKUP(B92,'Base stats'!B:B,'Base stats'!U:U)="No",
MAX(MROUND(_xlfn.XLOOKUP(B92,'Base stats'!B:B,'Base stats'!BT:BT) * _xlfn.XLOOKUP(B92,'Base stats'!B:B,'Base stats'!BP:BP)^0.9 / 21 * _xlfn.XLOOKUP(B92,'Base stats'!B:B,'Base stats'!BX:BX),0.1),0.05),
MAX(MROUND(((MIN(12,_xlfn.XLOOKUP(B92,'Base stats'!B:B,'Base stats'!U:U)))^0.4*_xlfn.XLOOKUP(B92,'Base stats'!B:B,'Base stats'!BH:BH)^0.73)^0.6 * _xlfn.XLOOKUP(B92,'Base stats'!B:B,'Base stats'!BX:BX),0.1),0.05)
))</f>
        <v>No</v>
      </c>
      <c r="T92" s="11" t="str">
        <f>IF(S92="No","No",
MROUND(_xlfn.XLOOKUP(B92,'Base stats'!B:B,'Base stats'!BH:BH) * 0.01 * 2 + 0.05, 0.05)
)</f>
        <v>No</v>
      </c>
      <c r="U92" s="5" t="str">
        <f>IF(S92="No","No",IF(_xlfn.XLOOKUP(B92,'Base stats'!B:B,'Base stats'!U:U)="No","No",
MROUND(_xlfn.XLOOKUP(B92,'Base stats'!B:B,'Base stats'!BT:BT)/10000+0.01,0.01)
))</f>
        <v>No</v>
      </c>
      <c r="V92" s="4" t="str">
        <f>IF(S92="No","No",
MROUND(_xlfn.XLOOKUP(B92,'Base stats'!B:B,'Base stats'!BF:BF)^0.25
/((_xlfn.XLOOKUP(B92,'Base stats'!B:B,'Base stats'!BO:BO))*10)*_xlfn.XLOOKUP(_xlfn.XLOOKUP(B92,'Base stats'!B:B,'Base stats'!E:E),Groups!A:A,Groups!AE:AE)*150 + 0.5 + _xlfn.XLOOKUP(B92,'Base stats'!B:B,'Base stats'!BW:BW),
0.05))</f>
        <v>No</v>
      </c>
      <c r="W92" s="8">
        <f>MROUND(_xlfn.XLOOKUP(_xlfn.XLOOKUP(B92,'Base stats'!B:B,'Base stats'!E:E),Groups!A:A,Groups!BG:BG)*_xlfn.XLOOKUP(B92,'Base stats'!B:B,'Base stats'!C:C)^-0.165,0.05)</f>
        <v>0</v>
      </c>
      <c r="X92" s="1">
        <f>MROUND(_xlfn.XLOOKUP(_xlfn.XLOOKUP(B92,'Base stats'!B:B,'Base stats'!E:E),Groups!A:A,Groups!BH:BH)*_xlfn.XLOOKUP(B92,'Base stats'!B:B,'Base stats'!C:C)^0.165,0.05)</f>
        <v>0</v>
      </c>
      <c r="Y92" s="8">
        <f>MROUND(_xlfn.XLOOKUP(_xlfn.XLOOKUP(B92,'Base stats'!B:B,'Base stats'!E:E),Groups!A:A,Groups!BI:BI)*_xlfn.XLOOKUP(B92,'Base stats'!B:B,'Base stats'!C:C)^0.165,0.05)</f>
        <v>0</v>
      </c>
      <c r="Z92" s="18">
        <f>MROUND(_xlfn.XLOOKUP(B92,'Base stats'!B:B,'Base stats'!AQ:AQ)*_xlfn.XLOOKUP(_xlfn.XLOOKUP(B92,'Base stats'!B:B,'Base stats'!E:E),Groups!A:A,Groups!H:H)/1000,IF((_xlfn.XLOOKUP(B92,'Base stats'!B:B,'Base stats'!AQ:AQ)*_xlfn.XLOOKUP(_xlfn.XLOOKUP(B92,'Base stats'!B:B,'Base stats'!E:E),Groups!A:A,Groups!H:H)/1000)&gt;1,0.05,0.01))</f>
        <v>2.15</v>
      </c>
      <c r="AA92" s="18">
        <f>MROUND((1/2)*(_xlfn.XLOOKUP(_xlfn.XLOOKUP(B92,'Base stats'!B:B,'Base stats'!E:E),Groups!A:A,Groups!H:H)*_xlfn.XLOOKUP(_xlfn.XLOOKUP(B92,'Base stats'!B:B,'Base stats'!E:E),Groups!A:A,Groups!I:I))*_xlfn.XLOOKUP(B92,'Base stats'!B:B,'Base stats'!AQ:AQ)*0.01,0.05)</f>
        <v>3.8000000000000003</v>
      </c>
      <c r="AB92" s="18">
        <f>MROUND(250*(Animals!AO92+Animals!AP92),25)</f>
        <v>850</v>
      </c>
      <c r="AC92" s="18" t="str">
        <f>_xlfn.XLOOKUP(_xlfn.XLOOKUP(B92,'Base stats'!B:B,'Base stats'!E:E),Groups!A:A,Groups!BJ:BJ)</f>
        <v>QuadrupedLow</v>
      </c>
    </row>
    <row r="93" spans="1:29" ht="16.5" thickTop="1" thickBot="1" x14ac:dyDescent="0.3">
      <c r="A93" s="16" t="str">
        <f>Animals!A93</f>
        <v>PrairieDog</v>
      </c>
      <c r="B93" s="6" t="str">
        <f>Animals!B93</f>
        <v>Cynomys ludovicianus</v>
      </c>
      <c r="C93" s="1" t="str">
        <f>Animals!C93</f>
        <v>&lt;li&gt;PrairieDog&lt;/li&gt;</v>
      </c>
      <c r="D93" s="47">
        <f>MIN(MIN(6,_xlfn.XLOOKUP(A93,Animals!A:A,Animals!AO:AO))*20,MAX(MROUND(_xlfn.XLOOKUP(B93,'Base stats'!B:B,'Base stats'!BS:BS) * (_xlfn.XLOOKUP(B93,'Base stats'!B:B,'Base stats'!AO:AO)*5%)^0.9 / 21,0.1),0.05))</f>
        <v>0.1</v>
      </c>
      <c r="E93" s="11">
        <f>MROUND(_xlfn.XLOOKUP(B93,'Base stats'!B:B,'Base stats'!BG:BG) * 0.01 * 2 + 0.01, 0.05)</f>
        <v>0.05</v>
      </c>
      <c r="F93" s="7">
        <f>MROUND(_xlfn.XLOOKUP(B93,'Base stats'!B:B,'Base stats'!BD:BD)^0.25 / (_xlfn.XLOOKUP(B93,'Base stats'!B:B,'Base stats'!BK:BK) * 10) * 150 + 0.5 + _xlfn.XLOOKUP(B93,'Base stats'!B:B,'Base stats'!BW:BW), 0.05)</f>
        <v>1.2000000000000002</v>
      </c>
      <c r="G93" s="3" t="str">
        <f>IF(Animals!S93="No","No",
IF(_xlfn.XLOOKUP(B93,'Base stats'!B:B,'Base stats'!U:U)="No",
MAX(MROUND(_xlfn.XLOOKUP(B93,'Base stats'!B:B,'Base stats'!BT:BT) * _xlfn.XLOOKUP(B93,'Base stats'!B:B,'Base stats'!BP:BP)^0.9 / 21 * _xlfn.XLOOKUP(B93,'Base stats'!B:B,'Base stats'!BX:BX),0.1),0.05),
MAX(MROUND(((MIN(10,_xlfn.XLOOKUP(B93,'Base stats'!B:B,'Base stats'!U:U)))^0.4*_xlfn.XLOOKUP(B93,'Base stats'!B:B,'Base stats'!BH:BH)^0.73)^0.6 * _xlfn.XLOOKUP(B93,'Base stats'!B:B,'Base stats'!BX:BX),0.1),0.05)
))</f>
        <v>No</v>
      </c>
      <c r="H93" s="11" t="str">
        <f>IF(G93="No","No",
MROUND(_xlfn.XLOOKUP(B93,'Base stats'!B:B,'Base stats'!BH:BH) * 0.01 * 2 + 0.05, 0.05)
)</f>
        <v>No</v>
      </c>
      <c r="I93" s="11" t="str">
        <f>IF(G93="No","No",IF(_xlfn.XLOOKUP(B93,'Base stats'!B:B,'Base stats'!U:U)="No","No",
MROUND(_xlfn.XLOOKUP(B93,'Base stats'!B:B,'Base stats'!BT:BT)/10000+0.01,0.01)
))</f>
        <v>No</v>
      </c>
      <c r="J93" s="4" t="str">
        <f>IF(G93="No","No",
MROUND(_xlfn.XLOOKUP(B93,'Base stats'!B:B,'Base stats'!BE:BE)^0.25
/((_xlfn.XLOOKUP(B93,'Base stats'!B:B,'Base stats'!BL:BL))*10)*_xlfn.XLOOKUP(_xlfn.XLOOKUP(B93,'Base stats'!B:B,'Base stats'!E:E),Groups!A:A,Groups!Q:Q)*150 + 0.5 + _xlfn.XLOOKUP(B93,'Base stats'!B:B,'Base stats'!BW:BW),
0.05))</f>
        <v>No</v>
      </c>
      <c r="K93" s="3" t="str">
        <f>IF(Animals!X93="No","No",
IF(_xlfn.XLOOKUP(_xlfn.XLOOKUP(B93,'Base stats'!B:B,'Base stats'!E:E),Groups!A:A,Groups!BD:BD)=1,
MAX(MROUND(_xlfn.XLOOKUP(B93,'Base stats'!B:B,'Base stats'!BU:BU) * _xlfn.XLOOKUP(B93,'Base stats'!B:B,'Base stats'!BQ:BQ)^0.9 / 21 *_xlfn.XLOOKUP(B93,'Base stats'!B:B,'Base stats'!BX:BX),0.1),0.05),
MAX(MROUND(((MIN(10,_xlfn.XLOOKUP(B93,'Base stats'!B:B,'Base stats'!W:W)))^0.4*_xlfn.XLOOKUP(B93,'Base stats'!B:B,'Base stats'!BI:BI)^0.73)^0.6 *_xlfn.XLOOKUP(B93,'Base stats'!B:B,'Base stats'!BX:BX),0.1),0.05)
))</f>
        <v>No</v>
      </c>
      <c r="L93" s="11" t="str">
        <f>IF(K93="No","No",
MROUND(_xlfn.XLOOKUP(B93,'Base stats'!B:B,'Base stats'!BI:BI) * 0.01 *2 + 0.05, 0.05)
)</f>
        <v>No</v>
      </c>
      <c r="M93" s="5" t="str">
        <f>IF(K93="No","No",IF(_xlfn.XLOOKUP(_xlfn.XLOOKUP(B93,'Base stats'!B:B,'Base stats'!E:E),Groups!A:A,Groups!BD:BD)=1,"No",
MROUND(_xlfn.XLOOKUP(B93,'Base stats'!B:B,'Base stats'!BU:BU)/10000+0.01,0.01)
))</f>
        <v>No</v>
      </c>
      <c r="N93" s="4" t="str">
        <f>IF(K93="No","No",
MROUND(
  _xlfn.XLOOKUP(B93,'Base stats'!B:B,'Base stats'!BC:BC)^0.25
  / (_xlfn.XLOOKUP(B93,'Base stats'!B:B,'Base stats'!BM:BM) * 10)
  * _xlfn.XLOOKUP(
      _xlfn.XLOOKUP(B93,'Base stats'!B:B,'Base stats'!E:E),
      Groups!A:A,
      Groups!V:V
    ) * 150
  + MIN(12, _xlfn.XLOOKUP(B93,'Base stats'!B:B,'Base stats'!W:W))^(1/IF(_xlfn.XLOOKUP(_xlfn.XLOOKUP(B93,'Base stats'!B:B,'Base stats'!E:E),Groups!A:A,Groups!U:U)=1,100,10)) + 0.5 + _xlfn.XLOOKUP(B93,'Base stats'!B:B,'Base stats'!BW:BW),
0.05))</f>
        <v>No</v>
      </c>
      <c r="O93" s="3">
        <f>IF(Animals!AD93="No","No",
MAX(MROUND((MIN(10,_xlfn.XLOOKUP(B93,'Base stats'!B:B,'Base stats'!V:V)*IF(_xlfn.XLOOKUP(_xlfn.XLOOKUP(B93,'Base stats'!B:B,'Base stats'!E:E),Groups!A:A,Groups!O:O)=0,1,0.33))^0.4*_xlfn.XLOOKUP(B93,'Base stats'!B:B,'Base stats'!BJ:BJ)^0.73)^0.6 *_xlfn.XLOOKUP(B93,'Base stats'!B:B,'Base stats'!BX:BX),0.1),0.05)
)</f>
        <v>1.5</v>
      </c>
      <c r="P93" s="11">
        <f>IF(O93="No","No",
MROUND(_xlfn.XLOOKUP(B93,'Base stats'!B:B,'Base stats'!BJ:BJ) * 0.01 * 2 + 0.05, 0.05)
)</f>
        <v>0.15000000000000002</v>
      </c>
      <c r="Q93" s="5">
        <f>IF(O93="No","No",
MROUND(_xlfn.XLOOKUP(B93,'Base stats'!B:B,'Base stats'!BV:BV)/10000+0.01,0.01)
)</f>
        <v>0.04</v>
      </c>
      <c r="R93" s="4">
        <f>IF(O93="No","No",
MROUND(_xlfn.XLOOKUP(B93,'Base stats'!B:B,'Base stats'!BB:BB)^0.25
/((_xlfn.XLOOKUP(B93,'Base stats'!B:B,'Base stats'!BN:BN))*10)*_xlfn.XLOOKUP(_xlfn.XLOOKUP(B93,'Base stats'!B:B,'Base stats'!E:E),Groups!A:A,Groups!Z:Z)*150 + 0.5 + _xlfn.XLOOKUP(B93,'Base stats'!B:B,'Base stats'!BW:BW),
0.05))</f>
        <v>1.8</v>
      </c>
      <c r="S93" s="3" t="str">
        <f>IF(Animals!AI93="No","No",
IF(_xlfn.XLOOKUP(B93,'Base stats'!B:B,'Base stats'!U:U)="No",
MAX(MROUND(_xlfn.XLOOKUP(B93,'Base stats'!B:B,'Base stats'!BT:BT) * _xlfn.XLOOKUP(B93,'Base stats'!B:B,'Base stats'!BP:BP)^0.9 / 21 * _xlfn.XLOOKUP(B93,'Base stats'!B:B,'Base stats'!BX:BX),0.1),0.05),
MAX(MROUND(((MIN(12,_xlfn.XLOOKUP(B93,'Base stats'!B:B,'Base stats'!U:U)))^0.4*_xlfn.XLOOKUP(B93,'Base stats'!B:B,'Base stats'!BH:BH)^0.73)^0.6 * _xlfn.XLOOKUP(B93,'Base stats'!B:B,'Base stats'!BX:BX),0.1),0.05)
))</f>
        <v>No</v>
      </c>
      <c r="T93" s="11" t="str">
        <f>IF(S93="No","No",
MROUND(_xlfn.XLOOKUP(B93,'Base stats'!B:B,'Base stats'!BH:BH) * 0.01 * 2 + 0.05, 0.05)
)</f>
        <v>No</v>
      </c>
      <c r="U93" s="5" t="str">
        <f>IF(S93="No","No",IF(_xlfn.XLOOKUP(B93,'Base stats'!B:B,'Base stats'!U:U)="No","No",
MROUND(_xlfn.XLOOKUP(B93,'Base stats'!B:B,'Base stats'!BT:BT)/10000+0.01,0.01)
))</f>
        <v>No</v>
      </c>
      <c r="V93" s="4" t="str">
        <f>IF(S93="No","No",
MROUND(_xlfn.XLOOKUP(B93,'Base stats'!B:B,'Base stats'!BF:BF)^0.25
/((_xlfn.XLOOKUP(B93,'Base stats'!B:B,'Base stats'!BO:BO))*10)*_xlfn.XLOOKUP(_xlfn.XLOOKUP(B93,'Base stats'!B:B,'Base stats'!E:E),Groups!A:A,Groups!AE:AE)*150 + 0.5 + _xlfn.XLOOKUP(B93,'Base stats'!B:B,'Base stats'!BW:BW),
0.05))</f>
        <v>No</v>
      </c>
      <c r="W93" s="8">
        <f>MROUND(_xlfn.XLOOKUP(_xlfn.XLOOKUP(B93,'Base stats'!B:B,'Base stats'!E:E),Groups!A:A,Groups!BG:BG)*_xlfn.XLOOKUP(B93,'Base stats'!B:B,'Base stats'!C:C)^-0.165,0.05)</f>
        <v>0.70000000000000007</v>
      </c>
      <c r="X93" s="1">
        <f>MROUND(_xlfn.XLOOKUP(_xlfn.XLOOKUP(B93,'Base stats'!B:B,'Base stats'!E:E),Groups!A:A,Groups!BH:BH)*_xlfn.XLOOKUP(B93,'Base stats'!B:B,'Base stats'!C:C)^0.165,0.05)</f>
        <v>0</v>
      </c>
      <c r="Y93" s="8">
        <f>MROUND(_xlfn.XLOOKUP(_xlfn.XLOOKUP(B93,'Base stats'!B:B,'Base stats'!E:E),Groups!A:A,Groups!BI:BI)*_xlfn.XLOOKUP(B93,'Base stats'!B:B,'Base stats'!C:C)^0.165,0.05)</f>
        <v>0</v>
      </c>
      <c r="Z93" s="18">
        <f>MROUND(_xlfn.XLOOKUP(B93,'Base stats'!B:B,'Base stats'!AQ:AQ)*_xlfn.XLOOKUP(_xlfn.XLOOKUP(B93,'Base stats'!B:B,'Base stats'!E:E),Groups!A:A,Groups!H:H)/1000,IF((_xlfn.XLOOKUP(B93,'Base stats'!B:B,'Base stats'!AQ:AQ)*_xlfn.XLOOKUP(_xlfn.XLOOKUP(B93,'Base stats'!B:B,'Base stats'!E:E),Groups!A:A,Groups!H:H)/1000)&gt;1,0.05,0.01))</f>
        <v>0.02</v>
      </c>
      <c r="AA93" s="18">
        <f>MROUND((1/2)*(_xlfn.XLOOKUP(_xlfn.XLOOKUP(B93,'Base stats'!B:B,'Base stats'!E:E),Groups!A:A,Groups!H:H)*_xlfn.XLOOKUP(_xlfn.XLOOKUP(B93,'Base stats'!B:B,'Base stats'!E:E),Groups!A:A,Groups!I:I))*_xlfn.XLOOKUP(B93,'Base stats'!B:B,'Base stats'!AQ:AQ)*0.01,0.05)</f>
        <v>0.1</v>
      </c>
      <c r="AB93" s="18">
        <f>MROUND(250*(Animals!AO93+Animals!AP93),25)</f>
        <v>75</v>
      </c>
      <c r="AC93" s="18" t="str">
        <f>_xlfn.XLOOKUP(_xlfn.XLOOKUP(B93,'Base stats'!B:B,'Base stats'!E:E),Groups!A:A,Groups!BJ:BJ)</f>
        <v>QuadrupedLow</v>
      </c>
    </row>
    <row r="94" spans="1:29" ht="16.5" thickTop="1" thickBot="1" x14ac:dyDescent="0.3">
      <c r="A94" s="16" t="str">
        <f>Animals!A94</f>
        <v>Porcupine</v>
      </c>
      <c r="B94" s="6" t="str">
        <f>Animals!B94</f>
        <v>Erethizon dorsatum</v>
      </c>
      <c r="C94" s="1" t="str">
        <f>Animals!C94</f>
        <v>&lt;li&gt;Porcupine&lt;/li&gt;</v>
      </c>
      <c r="D94" s="47">
        <f>MIN(MIN(6,_xlfn.XLOOKUP(A94,Animals!A:A,Animals!AO:AO))*20,MAX(MROUND(_xlfn.XLOOKUP(B94,'Base stats'!B:B,'Base stats'!BS:BS) * (_xlfn.XLOOKUP(B94,'Base stats'!B:B,'Base stats'!AO:AO)*5%)^0.9 / 21,0.1),0.05))</f>
        <v>0.60000000000000009</v>
      </c>
      <c r="E94" s="11">
        <f>MROUND(_xlfn.XLOOKUP(B94,'Base stats'!B:B,'Base stats'!BG:BG) * 0.01 * 2 + 0.01, 0.05)</f>
        <v>0.45</v>
      </c>
      <c r="F94" s="7">
        <f>MROUND(_xlfn.XLOOKUP(B94,'Base stats'!B:B,'Base stats'!BD:BD)^0.25 / (_xlfn.XLOOKUP(B94,'Base stats'!B:B,'Base stats'!BK:BK) * 10) * 150 + 0.5 + _xlfn.XLOOKUP(B94,'Base stats'!B:B,'Base stats'!BW:BW), 0.05)</f>
        <v>1.4500000000000002</v>
      </c>
      <c r="G94" s="3" t="str">
        <f>IF(Animals!S94="No","No",
IF(_xlfn.XLOOKUP(B94,'Base stats'!B:B,'Base stats'!U:U)="No",
MAX(MROUND(_xlfn.XLOOKUP(B94,'Base stats'!B:B,'Base stats'!BT:BT) * _xlfn.XLOOKUP(B94,'Base stats'!B:B,'Base stats'!BP:BP)^0.9 / 21 * _xlfn.XLOOKUP(B94,'Base stats'!B:B,'Base stats'!BX:BX),0.1),0.05),
MAX(MROUND(((MIN(10,_xlfn.XLOOKUP(B94,'Base stats'!B:B,'Base stats'!U:U)))^0.4*_xlfn.XLOOKUP(B94,'Base stats'!B:B,'Base stats'!BH:BH)^0.73)^0.6 * _xlfn.XLOOKUP(B94,'Base stats'!B:B,'Base stats'!BX:BX),0.1),0.05)
))</f>
        <v>No</v>
      </c>
      <c r="H94" s="11" t="str">
        <f>IF(G94="No","No",
MROUND(_xlfn.XLOOKUP(B94,'Base stats'!B:B,'Base stats'!BH:BH) * 0.01 * 2 + 0.05, 0.05)
)</f>
        <v>No</v>
      </c>
      <c r="I94" s="11" t="str">
        <f>IF(G94="No","No",IF(_xlfn.XLOOKUP(B94,'Base stats'!B:B,'Base stats'!U:U)="No","No",
MROUND(_xlfn.XLOOKUP(B94,'Base stats'!B:B,'Base stats'!BT:BT)/10000+0.01,0.01)
))</f>
        <v>No</v>
      </c>
      <c r="J94" s="4" t="str">
        <f>IF(G94="No","No",
MROUND(_xlfn.XLOOKUP(B94,'Base stats'!B:B,'Base stats'!BE:BE)^0.25
/((_xlfn.XLOOKUP(B94,'Base stats'!B:B,'Base stats'!BL:BL))*10)*_xlfn.XLOOKUP(_xlfn.XLOOKUP(B94,'Base stats'!B:B,'Base stats'!E:E),Groups!A:A,Groups!Q:Q)*150 + 0.5 + _xlfn.XLOOKUP(B94,'Base stats'!B:B,'Base stats'!BW:BW),
0.05))</f>
        <v>No</v>
      </c>
      <c r="K94" s="3" t="str">
        <f>IF(Animals!X94="No","No",
IF(_xlfn.XLOOKUP(_xlfn.XLOOKUP(B94,'Base stats'!B:B,'Base stats'!E:E),Groups!A:A,Groups!BD:BD)=1,
MAX(MROUND(_xlfn.XLOOKUP(B94,'Base stats'!B:B,'Base stats'!BU:BU) * _xlfn.XLOOKUP(B94,'Base stats'!B:B,'Base stats'!BQ:BQ)^0.9 / 21 *_xlfn.XLOOKUP(B94,'Base stats'!B:B,'Base stats'!BX:BX),0.1),0.05),
MAX(MROUND(((MIN(10,_xlfn.XLOOKUP(B94,'Base stats'!B:B,'Base stats'!W:W)))^0.4*_xlfn.XLOOKUP(B94,'Base stats'!B:B,'Base stats'!BI:BI)^0.73)^0.6 *_xlfn.XLOOKUP(B94,'Base stats'!B:B,'Base stats'!BX:BX),0.1),0.05)
))</f>
        <v>No</v>
      </c>
      <c r="L94" s="11" t="str">
        <f>IF(K94="No","No",
MROUND(_xlfn.XLOOKUP(B94,'Base stats'!B:B,'Base stats'!BI:BI) * 0.01 *2 + 0.05, 0.05)
)</f>
        <v>No</v>
      </c>
      <c r="M94" s="5" t="str">
        <f>IF(K94="No","No",IF(_xlfn.XLOOKUP(_xlfn.XLOOKUP(B94,'Base stats'!B:B,'Base stats'!E:E),Groups!A:A,Groups!BD:BD)=1,"No",
MROUND(_xlfn.XLOOKUP(B94,'Base stats'!B:B,'Base stats'!BU:BU)/10000+0.01,0.01)
))</f>
        <v>No</v>
      </c>
      <c r="N94" s="4" t="str">
        <f>IF(K94="No","No",
MROUND(
  _xlfn.XLOOKUP(B94,'Base stats'!B:B,'Base stats'!BC:BC)^0.25
  / (_xlfn.XLOOKUP(B94,'Base stats'!B:B,'Base stats'!BM:BM) * 10)
  * _xlfn.XLOOKUP(
      _xlfn.XLOOKUP(B94,'Base stats'!B:B,'Base stats'!E:E),
      Groups!A:A,
      Groups!V:V
    ) * 150
  + MIN(12, _xlfn.XLOOKUP(B94,'Base stats'!B:B,'Base stats'!W:W))^(1/IF(_xlfn.XLOOKUP(_xlfn.XLOOKUP(B94,'Base stats'!B:B,'Base stats'!E:E),Groups!A:A,Groups!U:U)=1,100,10)) + 0.5 + _xlfn.XLOOKUP(B94,'Base stats'!B:B,'Base stats'!BW:BW),
0.05))</f>
        <v>No</v>
      </c>
      <c r="O94" s="3">
        <f>IF(Animals!AD94="No","No",
MAX(MROUND((MIN(10,_xlfn.XLOOKUP(B94,'Base stats'!B:B,'Base stats'!V:V)*IF(_xlfn.XLOOKUP(_xlfn.XLOOKUP(B94,'Base stats'!B:B,'Base stats'!E:E),Groups!A:A,Groups!O:O)=0,1,0.33))^0.4*_xlfn.XLOOKUP(B94,'Base stats'!B:B,'Base stats'!BJ:BJ)^0.73)^0.6 *_xlfn.XLOOKUP(B94,'Base stats'!B:B,'Base stats'!BX:BX),0.1),0.05)
)</f>
        <v>4.9000000000000004</v>
      </c>
      <c r="P94" s="11">
        <f>IF(O94="No","No",
MROUND(_xlfn.XLOOKUP(B94,'Base stats'!B:B,'Base stats'!BJ:BJ) * 0.01 * 2 + 0.05, 0.05)
)</f>
        <v>0.45</v>
      </c>
      <c r="Q94" s="5">
        <f>IF(O94="No","No",
MROUND(_xlfn.XLOOKUP(B94,'Base stats'!B:B,'Base stats'!BV:BV)/10000+0.01,0.01)
)</f>
        <v>0.06</v>
      </c>
      <c r="R94" s="4">
        <f>IF(O94="No","No",
MROUND(_xlfn.XLOOKUP(B94,'Base stats'!B:B,'Base stats'!BB:BB)^0.25
/((_xlfn.XLOOKUP(B94,'Base stats'!B:B,'Base stats'!BN:BN))*10)*_xlfn.XLOOKUP(_xlfn.XLOOKUP(B94,'Base stats'!B:B,'Base stats'!E:E),Groups!A:A,Groups!Z:Z)*150 + 0.5 + _xlfn.XLOOKUP(B94,'Base stats'!B:B,'Base stats'!BW:BW),
0.05))</f>
        <v>2.0500000000000003</v>
      </c>
      <c r="S94" s="3" t="str">
        <f>IF(Animals!AI94="No","No",
IF(_xlfn.XLOOKUP(B94,'Base stats'!B:B,'Base stats'!U:U)="No",
MAX(MROUND(_xlfn.XLOOKUP(B94,'Base stats'!B:B,'Base stats'!BT:BT) * _xlfn.XLOOKUP(B94,'Base stats'!B:B,'Base stats'!BP:BP)^0.9 / 21 * _xlfn.XLOOKUP(B94,'Base stats'!B:B,'Base stats'!BX:BX),0.1),0.05),
MAX(MROUND(((MIN(12,_xlfn.XLOOKUP(B94,'Base stats'!B:B,'Base stats'!U:U)))^0.4*_xlfn.XLOOKUP(B94,'Base stats'!B:B,'Base stats'!BH:BH)^0.73)^0.6 * _xlfn.XLOOKUP(B94,'Base stats'!B:B,'Base stats'!BX:BX),0.1),0.05)
))</f>
        <v>No</v>
      </c>
      <c r="T94" s="11" t="str">
        <f>IF(S94="No","No",
MROUND(_xlfn.XLOOKUP(B94,'Base stats'!B:B,'Base stats'!BH:BH) * 0.01 * 2 + 0.05, 0.05)
)</f>
        <v>No</v>
      </c>
      <c r="U94" s="5" t="str">
        <f>IF(S94="No","No",IF(_xlfn.XLOOKUP(B94,'Base stats'!B:B,'Base stats'!U:U)="No","No",
MROUND(_xlfn.XLOOKUP(B94,'Base stats'!B:B,'Base stats'!BT:BT)/10000+0.01,0.01)
))</f>
        <v>No</v>
      </c>
      <c r="V94" s="4" t="str">
        <f>IF(S94="No","No",
MROUND(_xlfn.XLOOKUP(B94,'Base stats'!B:B,'Base stats'!BF:BF)^0.25
/((_xlfn.XLOOKUP(B94,'Base stats'!B:B,'Base stats'!BO:BO))*10)*_xlfn.XLOOKUP(_xlfn.XLOOKUP(B94,'Base stats'!B:B,'Base stats'!E:E),Groups!A:A,Groups!AE:AE)*150 + 0.5 + _xlfn.XLOOKUP(B94,'Base stats'!B:B,'Base stats'!BW:BW),
0.05))</f>
        <v>No</v>
      </c>
      <c r="W94" s="8">
        <f>MROUND(_xlfn.XLOOKUP(_xlfn.XLOOKUP(B94,'Base stats'!B:B,'Base stats'!E:E),Groups!A:A,Groups!BG:BG)*_xlfn.XLOOKUP(B94,'Base stats'!B:B,'Base stats'!C:C)^-0.165,0.05)</f>
        <v>0.45</v>
      </c>
      <c r="X94" s="1">
        <f>MROUND(_xlfn.XLOOKUP(_xlfn.XLOOKUP(B94,'Base stats'!B:B,'Base stats'!E:E),Groups!A:A,Groups!BH:BH)*_xlfn.XLOOKUP(B94,'Base stats'!B:B,'Base stats'!C:C)^0.165,0.05)</f>
        <v>0</v>
      </c>
      <c r="Y94" s="8">
        <f>MROUND(_xlfn.XLOOKUP(_xlfn.XLOOKUP(B94,'Base stats'!B:B,'Base stats'!E:E),Groups!A:A,Groups!BI:BI)*_xlfn.XLOOKUP(B94,'Base stats'!B:B,'Base stats'!C:C)^0.165,0.05)</f>
        <v>0</v>
      </c>
      <c r="Z94" s="18">
        <f>MROUND(_xlfn.XLOOKUP(B94,'Base stats'!B:B,'Base stats'!AQ:AQ)*_xlfn.XLOOKUP(_xlfn.XLOOKUP(B94,'Base stats'!B:B,'Base stats'!E:E),Groups!A:A,Groups!H:H)/1000,IF((_xlfn.XLOOKUP(B94,'Base stats'!B:B,'Base stats'!AQ:AQ)*_xlfn.XLOOKUP(_xlfn.XLOOKUP(B94,'Base stats'!B:B,'Base stats'!E:E),Groups!A:A,Groups!H:H)/1000)&gt;1,0.05,0.01))</f>
        <v>0.04</v>
      </c>
      <c r="AA94" s="18">
        <f>MROUND((1/2)*(_xlfn.XLOOKUP(_xlfn.XLOOKUP(B94,'Base stats'!B:B,'Base stats'!E:E),Groups!A:A,Groups!H:H)*_xlfn.XLOOKUP(_xlfn.XLOOKUP(B94,'Base stats'!B:B,'Base stats'!E:E),Groups!A:A,Groups!I:I))*_xlfn.XLOOKUP(B94,'Base stats'!B:B,'Base stats'!AQ:AQ)*0.01,0.05)</f>
        <v>0.15000000000000002</v>
      </c>
      <c r="AB94" s="18">
        <f>MROUND(250*(Animals!AO94+Animals!AP94),25)</f>
        <v>250</v>
      </c>
      <c r="AC94" s="18" t="str">
        <f>_xlfn.XLOOKUP(_xlfn.XLOOKUP(B94,'Base stats'!B:B,'Base stats'!E:E),Groups!A:A,Groups!BJ:BJ)</f>
        <v>QuadrupedLow</v>
      </c>
    </row>
    <row r="95" spans="1:29" ht="16.5" thickTop="1" thickBot="1" x14ac:dyDescent="0.3">
      <c r="A95" s="16" t="str">
        <f>Animals!A95</f>
        <v>Megavole</v>
      </c>
      <c r="B95" s="6" t="str">
        <f>Animals!B95</f>
        <v>Gigantomyini giganteus</v>
      </c>
      <c r="C95" s="1" t="str">
        <f>Animals!C95</f>
        <v>&lt;li&gt;Megavole&lt;/li&gt;</v>
      </c>
      <c r="D95" s="47">
        <f>MIN(MIN(6,_xlfn.XLOOKUP(A95,Animals!A:A,Animals!AO:AO))*20,MAX(MROUND(_xlfn.XLOOKUP(B95,'Base stats'!B:B,'Base stats'!BS:BS) * (_xlfn.XLOOKUP(B95,'Base stats'!B:B,'Base stats'!AO:AO)*5%)^0.9 / 21,0.1),0.05))</f>
        <v>2</v>
      </c>
      <c r="E95" s="11">
        <f>MROUND(_xlfn.XLOOKUP(B95,'Base stats'!B:B,'Base stats'!BG:BG) * 0.01 * 2 + 0.01, 0.05)</f>
        <v>1.6500000000000001</v>
      </c>
      <c r="F95" s="7">
        <f>MROUND(_xlfn.XLOOKUP(B95,'Base stats'!B:B,'Base stats'!BD:BD)^0.25 / (_xlfn.XLOOKUP(B95,'Base stats'!B:B,'Base stats'!BK:BK) * 10) * 150 + 0.5 + _xlfn.XLOOKUP(B95,'Base stats'!B:B,'Base stats'!BW:BW), 0.05)</f>
        <v>1.6</v>
      </c>
      <c r="G95" s="3" t="str">
        <f>IF(Animals!S95="No","No",
IF(_xlfn.XLOOKUP(B95,'Base stats'!B:B,'Base stats'!U:U)="No",
MAX(MROUND(_xlfn.XLOOKUP(B95,'Base stats'!B:B,'Base stats'!BT:BT) * _xlfn.XLOOKUP(B95,'Base stats'!B:B,'Base stats'!BP:BP)^0.9 / 21 * _xlfn.XLOOKUP(B95,'Base stats'!B:B,'Base stats'!BX:BX),0.1),0.05),
MAX(MROUND(((MIN(10,_xlfn.XLOOKUP(B95,'Base stats'!B:B,'Base stats'!U:U)))^0.4*_xlfn.XLOOKUP(B95,'Base stats'!B:B,'Base stats'!BH:BH)^0.73)^0.6 * _xlfn.XLOOKUP(B95,'Base stats'!B:B,'Base stats'!BX:BX),0.1),0.05)
))</f>
        <v>No</v>
      </c>
      <c r="H95" s="11" t="str">
        <f>IF(G95="No","No",
MROUND(_xlfn.XLOOKUP(B95,'Base stats'!B:B,'Base stats'!BH:BH) * 0.01 * 2 + 0.05, 0.05)
)</f>
        <v>No</v>
      </c>
      <c r="I95" s="11" t="str">
        <f>IF(G95="No","No",IF(_xlfn.XLOOKUP(B95,'Base stats'!B:B,'Base stats'!U:U)="No","No",
MROUND(_xlfn.XLOOKUP(B95,'Base stats'!B:B,'Base stats'!BT:BT)/10000+0.01,0.01)
))</f>
        <v>No</v>
      </c>
      <c r="J95" s="4" t="str">
        <f>IF(G95="No","No",
MROUND(_xlfn.XLOOKUP(B95,'Base stats'!B:B,'Base stats'!BE:BE)^0.25
/((_xlfn.XLOOKUP(B95,'Base stats'!B:B,'Base stats'!BL:BL))*10)*_xlfn.XLOOKUP(_xlfn.XLOOKUP(B95,'Base stats'!B:B,'Base stats'!E:E),Groups!A:A,Groups!Q:Q)*150 + 0.5 + _xlfn.XLOOKUP(B95,'Base stats'!B:B,'Base stats'!BW:BW),
0.05))</f>
        <v>No</v>
      </c>
      <c r="K95" s="3" t="str">
        <f>IF(Animals!X95="No","No",
IF(_xlfn.XLOOKUP(_xlfn.XLOOKUP(B95,'Base stats'!B:B,'Base stats'!E:E),Groups!A:A,Groups!BD:BD)=1,
MAX(MROUND(_xlfn.XLOOKUP(B95,'Base stats'!B:B,'Base stats'!BU:BU) * _xlfn.XLOOKUP(B95,'Base stats'!B:B,'Base stats'!BQ:BQ)^0.9 / 21 *_xlfn.XLOOKUP(B95,'Base stats'!B:B,'Base stats'!BX:BX),0.1),0.05),
MAX(MROUND(((MIN(10,_xlfn.XLOOKUP(B95,'Base stats'!B:B,'Base stats'!W:W)))^0.4*_xlfn.XLOOKUP(B95,'Base stats'!B:B,'Base stats'!BI:BI)^0.73)^0.6 *_xlfn.XLOOKUP(B95,'Base stats'!B:B,'Base stats'!BX:BX),0.1),0.05)
))</f>
        <v>No</v>
      </c>
      <c r="L95" s="11" t="str">
        <f>IF(K95="No","No",
MROUND(_xlfn.XLOOKUP(B95,'Base stats'!B:B,'Base stats'!BI:BI) * 0.01 *2 + 0.05, 0.05)
)</f>
        <v>No</v>
      </c>
      <c r="M95" s="5" t="str">
        <f>IF(K95="No","No",IF(_xlfn.XLOOKUP(_xlfn.XLOOKUP(B95,'Base stats'!B:B,'Base stats'!E:E),Groups!A:A,Groups!BD:BD)=1,"No",
MROUND(_xlfn.XLOOKUP(B95,'Base stats'!B:B,'Base stats'!BU:BU)/10000+0.01,0.01)
))</f>
        <v>No</v>
      </c>
      <c r="N95" s="4" t="str">
        <f>IF(K95="No","No",
MROUND(
  _xlfn.XLOOKUP(B95,'Base stats'!B:B,'Base stats'!BC:BC)^0.25
  / (_xlfn.XLOOKUP(B95,'Base stats'!B:B,'Base stats'!BM:BM) * 10)
  * _xlfn.XLOOKUP(
      _xlfn.XLOOKUP(B95,'Base stats'!B:B,'Base stats'!E:E),
      Groups!A:A,
      Groups!V:V
    ) * 150
  + MIN(12, _xlfn.XLOOKUP(B95,'Base stats'!B:B,'Base stats'!W:W))^(1/IF(_xlfn.XLOOKUP(_xlfn.XLOOKUP(B95,'Base stats'!B:B,'Base stats'!E:E),Groups!A:A,Groups!U:U)=1,100,10)) + 0.5 + _xlfn.XLOOKUP(B95,'Base stats'!B:B,'Base stats'!BW:BW),
0.05))</f>
        <v>No</v>
      </c>
      <c r="O95" s="3">
        <f>IF(Animals!AD95="No","No",
MAX(MROUND((MIN(10,_xlfn.XLOOKUP(B95,'Base stats'!B:B,'Base stats'!V:V)*IF(_xlfn.XLOOKUP(_xlfn.XLOOKUP(B95,'Base stats'!B:B,'Base stats'!E:E),Groups!A:A,Groups!O:O)=0,1,0.33))^0.4*_xlfn.XLOOKUP(B95,'Base stats'!B:B,'Base stats'!BJ:BJ)^0.73)^0.6 *_xlfn.XLOOKUP(B95,'Base stats'!B:B,'Base stats'!BX:BX),0.1),0.05)
)</f>
        <v>9.5</v>
      </c>
      <c r="P95" s="11">
        <f>IF(O95="No","No",
MROUND(_xlfn.XLOOKUP(B95,'Base stats'!B:B,'Base stats'!BJ:BJ) * 0.01 * 2 + 0.05, 0.05)
)</f>
        <v>1.05</v>
      </c>
      <c r="Q95" s="5">
        <f>IF(O95="No","No",
MROUND(_xlfn.XLOOKUP(B95,'Base stats'!B:B,'Base stats'!BV:BV)/10000+0.01,0.01)
)</f>
        <v>7.0000000000000007E-2</v>
      </c>
      <c r="R95" s="4">
        <f>IF(O95="No","No",
MROUND(_xlfn.XLOOKUP(B95,'Base stats'!B:B,'Base stats'!BB:BB)^0.25
/((_xlfn.XLOOKUP(B95,'Base stats'!B:B,'Base stats'!BN:BN))*10)*_xlfn.XLOOKUP(_xlfn.XLOOKUP(B95,'Base stats'!B:B,'Base stats'!E:E),Groups!A:A,Groups!Z:Z)*150 + 0.5 + _xlfn.XLOOKUP(B95,'Base stats'!B:B,'Base stats'!BW:BW),
0.05))</f>
        <v>2.15</v>
      </c>
      <c r="S95" s="3" t="str">
        <f>IF(Animals!AI95="No","No",
IF(_xlfn.XLOOKUP(B95,'Base stats'!B:B,'Base stats'!U:U)="No",
MAX(MROUND(_xlfn.XLOOKUP(B95,'Base stats'!B:B,'Base stats'!BT:BT) * _xlfn.XLOOKUP(B95,'Base stats'!B:B,'Base stats'!BP:BP)^0.9 / 21 * _xlfn.XLOOKUP(B95,'Base stats'!B:B,'Base stats'!BX:BX),0.1),0.05),
MAX(MROUND(((MIN(12,_xlfn.XLOOKUP(B95,'Base stats'!B:B,'Base stats'!U:U)))^0.4*_xlfn.XLOOKUP(B95,'Base stats'!B:B,'Base stats'!BH:BH)^0.73)^0.6 * _xlfn.XLOOKUP(B95,'Base stats'!B:B,'Base stats'!BX:BX),0.1),0.05)
))</f>
        <v>No</v>
      </c>
      <c r="T95" s="11" t="str">
        <f>IF(S95="No","No",
MROUND(_xlfn.XLOOKUP(B95,'Base stats'!B:B,'Base stats'!BH:BH) * 0.01 * 2 + 0.05, 0.05)
)</f>
        <v>No</v>
      </c>
      <c r="U95" s="5" t="str">
        <f>IF(S95="No","No",IF(_xlfn.XLOOKUP(B95,'Base stats'!B:B,'Base stats'!U:U)="No","No",
MROUND(_xlfn.XLOOKUP(B95,'Base stats'!B:B,'Base stats'!BT:BT)/10000+0.01,0.01)
))</f>
        <v>No</v>
      </c>
      <c r="V95" s="4" t="str">
        <f>IF(S95="No","No",
MROUND(_xlfn.XLOOKUP(B95,'Base stats'!B:B,'Base stats'!BF:BF)^0.25
/((_xlfn.XLOOKUP(B95,'Base stats'!B:B,'Base stats'!BO:BO))*10)*_xlfn.XLOOKUP(_xlfn.XLOOKUP(B95,'Base stats'!B:B,'Base stats'!E:E),Groups!A:A,Groups!AE:AE)*150 + 0.5 + _xlfn.XLOOKUP(B95,'Base stats'!B:B,'Base stats'!BW:BW),
0.05))</f>
        <v>No</v>
      </c>
      <c r="W95" s="8">
        <f>MROUND(_xlfn.XLOOKUP(_xlfn.XLOOKUP(B95,'Base stats'!B:B,'Base stats'!E:E),Groups!A:A,Groups!BG:BG)*_xlfn.XLOOKUP(B95,'Base stats'!B:B,'Base stats'!C:C)^-0.165,0.05)</f>
        <v>0.35000000000000003</v>
      </c>
      <c r="X95" s="1">
        <f>MROUND(_xlfn.XLOOKUP(_xlfn.XLOOKUP(B95,'Base stats'!B:B,'Base stats'!E:E),Groups!A:A,Groups!BH:BH)*_xlfn.XLOOKUP(B95,'Base stats'!B:B,'Base stats'!C:C)^0.165,0.05)</f>
        <v>0</v>
      </c>
      <c r="Y95" s="8">
        <f>MROUND(_xlfn.XLOOKUP(_xlfn.XLOOKUP(B95,'Base stats'!B:B,'Base stats'!E:E),Groups!A:A,Groups!BI:BI)*_xlfn.XLOOKUP(B95,'Base stats'!B:B,'Base stats'!C:C)^0.165,0.05)</f>
        <v>0</v>
      </c>
      <c r="Z95" s="18">
        <f>MROUND(_xlfn.XLOOKUP(B95,'Base stats'!B:B,'Base stats'!AQ:AQ)*_xlfn.XLOOKUP(_xlfn.XLOOKUP(B95,'Base stats'!B:B,'Base stats'!E:E),Groups!A:A,Groups!H:H)/1000,IF((_xlfn.XLOOKUP(B95,'Base stats'!B:B,'Base stats'!AQ:AQ)*_xlfn.XLOOKUP(_xlfn.XLOOKUP(B95,'Base stats'!B:B,'Base stats'!E:E),Groups!A:A,Groups!H:H)/1000)&gt;1,0.05,0.01))</f>
        <v>0.06</v>
      </c>
      <c r="AA95" s="18">
        <f>MROUND((1/2)*(_xlfn.XLOOKUP(_xlfn.XLOOKUP(B95,'Base stats'!B:B,'Base stats'!E:E),Groups!A:A,Groups!H:H)*_xlfn.XLOOKUP(_xlfn.XLOOKUP(B95,'Base stats'!B:B,'Base stats'!E:E),Groups!A:A,Groups!I:I))*_xlfn.XLOOKUP(B95,'Base stats'!B:B,'Base stats'!AQ:AQ)*0.01,0.05)</f>
        <v>0.25</v>
      </c>
      <c r="AB95" s="18">
        <f>MROUND(250*(Animals!AO95+Animals!AP95),25)</f>
        <v>475</v>
      </c>
      <c r="AC95" s="18" t="str">
        <f>_xlfn.XLOOKUP(_xlfn.XLOOKUP(B95,'Base stats'!B:B,'Base stats'!E:E),Groups!A:A,Groups!BJ:BJ)</f>
        <v>QuadrupedLow</v>
      </c>
    </row>
    <row r="96" spans="1:29" ht="16.5" thickTop="1" thickBot="1" x14ac:dyDescent="0.3">
      <c r="A96" s="16" t="str">
        <f>Animals!A96</f>
        <v>Moose</v>
      </c>
      <c r="B96" s="6" t="str">
        <f>Animals!B96</f>
        <v>Alces alces</v>
      </c>
      <c r="C96" s="1" t="str">
        <f>Animals!C96</f>
        <v>&lt;li&gt;Moose&lt;/li&gt;</v>
      </c>
      <c r="D96" s="47">
        <f>MIN(MIN(6,_xlfn.XLOOKUP(A96,Animals!A:A,Animals!AO:AO))*20,MAX(MROUND(_xlfn.XLOOKUP(B96,'Base stats'!B:B,'Base stats'!BS:BS) * (_xlfn.XLOOKUP(B96,'Base stats'!B:B,'Base stats'!AO:AO)*5%)^0.9 / 21,0.1),0.05))</f>
        <v>9.5</v>
      </c>
      <c r="E96" s="11">
        <f>MROUND(_xlfn.XLOOKUP(B96,'Base stats'!B:B,'Base stats'!BG:BG) * 0.01 * 2 + 0.01, 0.05)</f>
        <v>8.85</v>
      </c>
      <c r="F96" s="7">
        <f>MROUND(_xlfn.XLOOKUP(B96,'Base stats'!B:B,'Base stats'!BD:BD)^0.25 / (_xlfn.XLOOKUP(B96,'Base stats'!B:B,'Base stats'!BK:BK) * 10) * 150 + 0.5 + _xlfn.XLOOKUP(B96,'Base stats'!B:B,'Base stats'!BW:BW), 0.05)</f>
        <v>1.85</v>
      </c>
      <c r="G96" s="3">
        <f>IF(Animals!S96="No","No",
IF(_xlfn.XLOOKUP(B96,'Base stats'!B:B,'Base stats'!U:U)="No",
MAX(MROUND(_xlfn.XLOOKUP(B96,'Base stats'!B:B,'Base stats'!BT:BT) * _xlfn.XLOOKUP(B96,'Base stats'!B:B,'Base stats'!BP:BP)^0.9 / 21 * _xlfn.XLOOKUP(B96,'Base stats'!B:B,'Base stats'!BX:BX),0.1),0.05),
MAX(MROUND(((MIN(10,_xlfn.XLOOKUP(B96,'Base stats'!B:B,'Base stats'!U:U)))^0.4*_xlfn.XLOOKUP(B96,'Base stats'!B:B,'Base stats'!BH:BH)^0.73)^0.6 * _xlfn.XLOOKUP(B96,'Base stats'!B:B,'Base stats'!BX:BX),0.1),0.05)
))</f>
        <v>16</v>
      </c>
      <c r="H96" s="11">
        <f>IF(G96="No","No",
MROUND(_xlfn.XLOOKUP(B96,'Base stats'!B:B,'Base stats'!BH:BH) * 0.01 * 2 + 0.05, 0.05)
)</f>
        <v>10.350000000000001</v>
      </c>
      <c r="I96" s="11" t="str">
        <f>IF(G96="No","No",IF(_xlfn.XLOOKUP(B96,'Base stats'!B:B,'Base stats'!U:U)="No","No",
MROUND(_xlfn.XLOOKUP(B96,'Base stats'!B:B,'Base stats'!BT:BT)/10000+0.01,0.01)
))</f>
        <v>No</v>
      </c>
      <c r="J96" s="4">
        <f>IF(G96="No","No",
MROUND(_xlfn.XLOOKUP(B96,'Base stats'!B:B,'Base stats'!BE:BE)^0.25
/((_xlfn.XLOOKUP(B96,'Base stats'!B:B,'Base stats'!BL:BL))*10)*_xlfn.XLOOKUP(_xlfn.XLOOKUP(B96,'Base stats'!B:B,'Base stats'!E:E),Groups!A:A,Groups!Q:Q)*150 + 0.5 + _xlfn.XLOOKUP(B96,'Base stats'!B:B,'Base stats'!BW:BW),
0.05))</f>
        <v>2.75</v>
      </c>
      <c r="K96" s="3">
        <f>IF(Animals!X96="No","No",
IF(_xlfn.XLOOKUP(_xlfn.XLOOKUP(B96,'Base stats'!B:B,'Base stats'!E:E),Groups!A:A,Groups!BD:BD)=1,
MAX(MROUND(_xlfn.XLOOKUP(B96,'Base stats'!B:B,'Base stats'!BU:BU) * _xlfn.XLOOKUP(B96,'Base stats'!B:B,'Base stats'!BQ:BQ)^0.9 / 21 *_xlfn.XLOOKUP(B96,'Base stats'!B:B,'Base stats'!BX:BX),0.1),0.05),
MAX(MROUND(((MIN(10,_xlfn.XLOOKUP(B96,'Base stats'!B:B,'Base stats'!W:W)))^0.4*_xlfn.XLOOKUP(B96,'Base stats'!B:B,'Base stats'!BI:BI)^0.73)^0.6 *_xlfn.XLOOKUP(B96,'Base stats'!B:B,'Base stats'!BX:BX),0.1),0.05)
))</f>
        <v>29</v>
      </c>
      <c r="L96" s="11">
        <f>IF(K96="No","No",
MROUND(_xlfn.XLOOKUP(B96,'Base stats'!B:B,'Base stats'!BI:BI) * 0.01 *2 + 0.05, 0.05)
)</f>
        <v>12.4</v>
      </c>
      <c r="M96" s="5">
        <f>IF(K96="No","No",IF(_xlfn.XLOOKUP(_xlfn.XLOOKUP(B96,'Base stats'!B:B,'Base stats'!E:E),Groups!A:A,Groups!BD:BD)=1,"No",
MROUND(_xlfn.XLOOKUP(B96,'Base stats'!B:B,'Base stats'!BU:BU)/10000+0.01,0.01)
))</f>
        <v>0.68</v>
      </c>
      <c r="N96" s="4">
        <f>IF(K96="No","No",
MROUND(
  _xlfn.XLOOKUP(B96,'Base stats'!B:B,'Base stats'!BC:BC)^0.25
  / (_xlfn.XLOOKUP(B96,'Base stats'!B:B,'Base stats'!BM:BM) * 10)
  * _xlfn.XLOOKUP(
      _xlfn.XLOOKUP(B96,'Base stats'!B:B,'Base stats'!E:E),
      Groups!A:A,
      Groups!V:V
    ) * 150
  + MIN(12, _xlfn.XLOOKUP(B96,'Base stats'!B:B,'Base stats'!W:W))^(1/IF(_xlfn.XLOOKUP(_xlfn.XLOOKUP(B96,'Base stats'!B:B,'Base stats'!E:E),Groups!A:A,Groups!U:U)=1,100,10)) + 0.5 + _xlfn.XLOOKUP(B96,'Base stats'!B:B,'Base stats'!BW:BW),
0.05))</f>
        <v>3.2</v>
      </c>
      <c r="O96" s="3" t="str">
        <f>IF(Animals!AD96="No","No",
MAX(MROUND((MIN(10,_xlfn.XLOOKUP(B96,'Base stats'!B:B,'Base stats'!V:V)*IF(_xlfn.XLOOKUP(_xlfn.XLOOKUP(B96,'Base stats'!B:B,'Base stats'!E:E),Groups!A:A,Groups!O:O)=0,1,0.33))^0.4*_xlfn.XLOOKUP(B96,'Base stats'!B:B,'Base stats'!BJ:BJ)^0.73)^0.6 *_xlfn.XLOOKUP(B96,'Base stats'!B:B,'Base stats'!BX:BX),0.1),0.05)
)</f>
        <v>No</v>
      </c>
      <c r="P96" s="11" t="str">
        <f>IF(O96="No","No",
MROUND(_xlfn.XLOOKUP(B96,'Base stats'!B:B,'Base stats'!BJ:BJ) * 0.01 * 2 + 0.05, 0.05)
)</f>
        <v>No</v>
      </c>
      <c r="Q96" s="5" t="str">
        <f>IF(O96="No","No",
MROUND(_xlfn.XLOOKUP(B96,'Base stats'!B:B,'Base stats'!BV:BV)/10000+0.01,0.01)
)</f>
        <v>No</v>
      </c>
      <c r="R96" s="4" t="str">
        <f>IF(O96="No","No",
MROUND(_xlfn.XLOOKUP(B96,'Base stats'!B:B,'Base stats'!BB:BB)^0.25
/((_xlfn.XLOOKUP(B96,'Base stats'!B:B,'Base stats'!BN:BN))*10)*_xlfn.XLOOKUP(_xlfn.XLOOKUP(B96,'Base stats'!B:B,'Base stats'!E:E),Groups!A:A,Groups!Z:Z)*150 + 0.5 + _xlfn.XLOOKUP(B96,'Base stats'!B:B,'Base stats'!BW:BW),
0.05))</f>
        <v>No</v>
      </c>
      <c r="S96" s="3" t="str">
        <f>IF(Animals!AI96="No","No",
IF(_xlfn.XLOOKUP(B96,'Base stats'!B:B,'Base stats'!U:U)="No",
MAX(MROUND(_xlfn.XLOOKUP(B96,'Base stats'!B:B,'Base stats'!BT:BT) * _xlfn.XLOOKUP(B96,'Base stats'!B:B,'Base stats'!BP:BP)^0.9 / 21 * _xlfn.XLOOKUP(B96,'Base stats'!B:B,'Base stats'!BX:BX),0.1),0.05),
MAX(MROUND(((MIN(12,_xlfn.XLOOKUP(B96,'Base stats'!B:B,'Base stats'!U:U)))^0.4*_xlfn.XLOOKUP(B96,'Base stats'!B:B,'Base stats'!BH:BH)^0.73)^0.6 * _xlfn.XLOOKUP(B96,'Base stats'!B:B,'Base stats'!BX:BX),0.1),0.05)
))</f>
        <v>No</v>
      </c>
      <c r="T96" s="11" t="str">
        <f>IF(S96="No","No",
MROUND(_xlfn.XLOOKUP(B96,'Base stats'!B:B,'Base stats'!BH:BH) * 0.01 * 2 + 0.05, 0.05)
)</f>
        <v>No</v>
      </c>
      <c r="U96" s="5" t="str">
        <f>IF(S96="No","No",IF(_xlfn.XLOOKUP(B96,'Base stats'!B:B,'Base stats'!U:U)="No","No",
MROUND(_xlfn.XLOOKUP(B96,'Base stats'!B:B,'Base stats'!BT:BT)/10000+0.01,0.01)
))</f>
        <v>No</v>
      </c>
      <c r="V96" s="4" t="str">
        <f>IF(S96="No","No",
MROUND(_xlfn.XLOOKUP(B96,'Base stats'!B:B,'Base stats'!BF:BF)^0.25
/((_xlfn.XLOOKUP(B96,'Base stats'!B:B,'Base stats'!BO:BO))*10)*_xlfn.XLOOKUP(_xlfn.XLOOKUP(B96,'Base stats'!B:B,'Base stats'!E:E),Groups!A:A,Groups!AE:AE)*150 + 0.5 + _xlfn.XLOOKUP(B96,'Base stats'!B:B,'Base stats'!BW:BW),
0.05))</f>
        <v>No</v>
      </c>
      <c r="W96" s="8">
        <f>MROUND(_xlfn.XLOOKUP(_xlfn.XLOOKUP(B96,'Base stats'!B:B,'Base stats'!E:E),Groups!A:A,Groups!BG:BG)*_xlfn.XLOOKUP(B96,'Base stats'!B:B,'Base stats'!C:C)^-0.165,0.05)</f>
        <v>0.2</v>
      </c>
      <c r="X96" s="1">
        <f>MROUND(_xlfn.XLOOKUP(_xlfn.XLOOKUP(B96,'Base stats'!B:B,'Base stats'!E:E),Groups!A:A,Groups!BH:BH)*_xlfn.XLOOKUP(B96,'Base stats'!B:B,'Base stats'!C:C)^0.165,0.05)</f>
        <v>0</v>
      </c>
      <c r="Y96" s="8">
        <f>MROUND(_xlfn.XLOOKUP(_xlfn.XLOOKUP(B96,'Base stats'!B:B,'Base stats'!E:E),Groups!A:A,Groups!BI:BI)*_xlfn.XLOOKUP(B96,'Base stats'!B:B,'Base stats'!C:C)^0.165,0.05)</f>
        <v>0</v>
      </c>
      <c r="Z96" s="18">
        <f>MROUND(_xlfn.XLOOKUP(B96,'Base stats'!B:B,'Base stats'!AQ:AQ)*_xlfn.XLOOKUP(_xlfn.XLOOKUP(B96,'Base stats'!B:B,'Base stats'!E:E),Groups!A:A,Groups!H:H)/1000,IF((_xlfn.XLOOKUP(B96,'Base stats'!B:B,'Base stats'!AQ:AQ)*_xlfn.XLOOKUP(_xlfn.XLOOKUP(B96,'Base stats'!B:B,'Base stats'!E:E),Groups!A:A,Groups!H:H)/1000)&gt;1,0.05,0.01))</f>
        <v>0.1</v>
      </c>
      <c r="AA96" s="18">
        <f>MROUND((1/2)*(_xlfn.XLOOKUP(_xlfn.XLOOKUP(B96,'Base stats'!B:B,'Base stats'!E:E),Groups!A:A,Groups!H:H)*_xlfn.XLOOKUP(_xlfn.XLOOKUP(B96,'Base stats'!B:B,'Base stats'!E:E),Groups!A:A,Groups!I:I))*_xlfn.XLOOKUP(B96,'Base stats'!B:B,'Base stats'!AQ:AQ)*0.01,0.05)</f>
        <v>0.45</v>
      </c>
      <c r="AB96" s="18">
        <f>MROUND(250*(Animals!AO96+Animals!AP96),25)</f>
        <v>1375</v>
      </c>
      <c r="AC96" s="18" t="str">
        <f>_xlfn.XLOOKUP(_xlfn.XLOOKUP(B96,'Base stats'!B:B,'Base stats'!E:E),Groups!A:A,Groups!BJ:BJ)</f>
        <v>Quadruped</v>
      </c>
    </row>
    <row r="97" spans="1:29" ht="16.5" thickTop="1" thickBot="1" x14ac:dyDescent="0.3">
      <c r="A97" s="16" t="str">
        <f>Animals!A97</f>
        <v>Muskox</v>
      </c>
      <c r="B97" s="6" t="str">
        <f>Animals!B97</f>
        <v>Ovibos moschatus</v>
      </c>
      <c r="C97" s="1" t="str">
        <f>Animals!C97</f>
        <v>&lt;li&gt;Muskox&lt;/li&gt;</v>
      </c>
      <c r="D97" s="47">
        <f>MIN(MIN(6,_xlfn.XLOOKUP(A97,Animals!A:A,Animals!AO:AO))*20,MAX(MROUND(_xlfn.XLOOKUP(B97,'Base stats'!B:B,'Base stats'!BS:BS) * (_xlfn.XLOOKUP(B97,'Base stats'!B:B,'Base stats'!AO:AO)*5%)^0.9 / 21,0.1),0.05))</f>
        <v>11.3</v>
      </c>
      <c r="E97" s="11">
        <f>MROUND(_xlfn.XLOOKUP(B97,'Base stats'!B:B,'Base stats'!BG:BG) * 0.01 * 2 + 0.01, 0.05)</f>
        <v>10.3</v>
      </c>
      <c r="F97" s="7">
        <f>MROUND(_xlfn.XLOOKUP(B97,'Base stats'!B:B,'Base stats'!BD:BD)^0.25 / (_xlfn.XLOOKUP(B97,'Base stats'!B:B,'Base stats'!BK:BK) * 10) * 150 + 0.5 + _xlfn.XLOOKUP(B97,'Base stats'!B:B,'Base stats'!BW:BW), 0.05)</f>
        <v>1.6</v>
      </c>
      <c r="G97" s="3">
        <f>IF(Animals!S97="No","No",
IF(_xlfn.XLOOKUP(B97,'Base stats'!B:B,'Base stats'!U:U)="No",
MAX(MROUND(_xlfn.XLOOKUP(B97,'Base stats'!B:B,'Base stats'!BT:BT) * _xlfn.XLOOKUP(B97,'Base stats'!B:B,'Base stats'!BP:BP)^0.9 / 21 * _xlfn.XLOOKUP(B97,'Base stats'!B:B,'Base stats'!BX:BX),0.1),0.05),
MAX(MROUND(((MIN(10,_xlfn.XLOOKUP(B97,'Base stats'!B:B,'Base stats'!U:U)))^0.4*_xlfn.XLOOKUP(B97,'Base stats'!B:B,'Base stats'!BH:BH)^0.73)^0.6 * _xlfn.XLOOKUP(B97,'Base stats'!B:B,'Base stats'!BX:BX),0.1),0.05)
))</f>
        <v>13.700000000000001</v>
      </c>
      <c r="H97" s="11">
        <f>IF(G97="No","No",
MROUND(_xlfn.XLOOKUP(B97,'Base stats'!B:B,'Base stats'!BH:BH) * 0.01 * 2 + 0.05, 0.05)
)</f>
        <v>8.7000000000000011</v>
      </c>
      <c r="I97" s="11" t="str">
        <f>IF(G97="No","No",IF(_xlfn.XLOOKUP(B97,'Base stats'!B:B,'Base stats'!U:U)="No","No",
MROUND(_xlfn.XLOOKUP(B97,'Base stats'!B:B,'Base stats'!BT:BT)/10000+0.01,0.01)
))</f>
        <v>No</v>
      </c>
      <c r="J97" s="4">
        <f>IF(G97="No","No",
MROUND(_xlfn.XLOOKUP(B97,'Base stats'!B:B,'Base stats'!BE:BE)^0.25
/((_xlfn.XLOOKUP(B97,'Base stats'!B:B,'Base stats'!BL:BL))*10)*_xlfn.XLOOKUP(_xlfn.XLOOKUP(B97,'Base stats'!B:B,'Base stats'!E:E),Groups!A:A,Groups!Q:Q)*150 + 0.5 + _xlfn.XLOOKUP(B97,'Base stats'!B:B,'Base stats'!BW:BW),
0.05))</f>
        <v>2.6500000000000004</v>
      </c>
      <c r="K97" s="3">
        <f>IF(Animals!X97="No","No",
IF(_xlfn.XLOOKUP(_xlfn.XLOOKUP(B97,'Base stats'!B:B,'Base stats'!E:E),Groups!A:A,Groups!BD:BD)=1,
MAX(MROUND(_xlfn.XLOOKUP(B97,'Base stats'!B:B,'Base stats'!BU:BU) * _xlfn.XLOOKUP(B97,'Base stats'!B:B,'Base stats'!BQ:BQ)^0.9 / 21 *_xlfn.XLOOKUP(B97,'Base stats'!B:B,'Base stats'!BX:BX),0.1),0.05),
MAX(MROUND(((MIN(10,_xlfn.XLOOKUP(B97,'Base stats'!B:B,'Base stats'!W:W)))^0.4*_xlfn.XLOOKUP(B97,'Base stats'!B:B,'Base stats'!BI:BI)^0.73)^0.6 *_xlfn.XLOOKUP(B97,'Base stats'!B:B,'Base stats'!BX:BX),0.1),0.05)
))</f>
        <v>13.5</v>
      </c>
      <c r="L97" s="11">
        <f>IF(K97="No","No",
MROUND(_xlfn.XLOOKUP(B97,'Base stats'!B:B,'Base stats'!BI:BI) * 0.01 *2 + 0.05, 0.05)
)</f>
        <v>12.350000000000001</v>
      </c>
      <c r="M97" s="5" t="str">
        <f>IF(K97="No","No",IF(_xlfn.XLOOKUP(_xlfn.XLOOKUP(B97,'Base stats'!B:B,'Base stats'!E:E),Groups!A:A,Groups!BD:BD)=1,"No",
MROUND(_xlfn.XLOOKUP(B97,'Base stats'!B:B,'Base stats'!BU:BU)/10000+0.01,0.01)
))</f>
        <v>No</v>
      </c>
      <c r="N97" s="4">
        <f>IF(K97="No","No",
MROUND(
  _xlfn.XLOOKUP(B97,'Base stats'!B:B,'Base stats'!BC:BC)^0.25
  / (_xlfn.XLOOKUP(B97,'Base stats'!B:B,'Base stats'!BM:BM) * 10)
  * _xlfn.XLOOKUP(
      _xlfn.XLOOKUP(B97,'Base stats'!B:B,'Base stats'!E:E),
      Groups!A:A,
      Groups!V:V
    ) * 150
  + MIN(12, _xlfn.XLOOKUP(B97,'Base stats'!B:B,'Base stats'!W:W))^(1/IF(_xlfn.XLOOKUP(_xlfn.XLOOKUP(B97,'Base stats'!B:B,'Base stats'!E:E),Groups!A:A,Groups!U:U)=1,100,10)) + 0.5 + _xlfn.XLOOKUP(B97,'Base stats'!B:B,'Base stats'!BW:BW),
0.05))</f>
        <v>2.6</v>
      </c>
      <c r="O97" s="3" t="str">
        <f>IF(Animals!AD97="No","No",
MAX(MROUND((MIN(10,_xlfn.XLOOKUP(B97,'Base stats'!B:B,'Base stats'!V:V)*IF(_xlfn.XLOOKUP(_xlfn.XLOOKUP(B97,'Base stats'!B:B,'Base stats'!E:E),Groups!A:A,Groups!O:O)=0,1,0.33))^0.4*_xlfn.XLOOKUP(B97,'Base stats'!B:B,'Base stats'!BJ:BJ)^0.73)^0.6 *_xlfn.XLOOKUP(B97,'Base stats'!B:B,'Base stats'!BX:BX),0.1),0.05)
)</f>
        <v>No</v>
      </c>
      <c r="P97" s="11" t="str">
        <f>IF(O97="No","No",
MROUND(_xlfn.XLOOKUP(B97,'Base stats'!B:B,'Base stats'!BJ:BJ) * 0.01 * 2 + 0.05, 0.05)
)</f>
        <v>No</v>
      </c>
      <c r="Q97" s="5" t="str">
        <f>IF(O97="No","No",
MROUND(_xlfn.XLOOKUP(B97,'Base stats'!B:B,'Base stats'!BV:BV)/10000+0.01,0.01)
)</f>
        <v>No</v>
      </c>
      <c r="R97" s="4" t="str">
        <f>IF(O97="No","No",
MROUND(_xlfn.XLOOKUP(B97,'Base stats'!B:B,'Base stats'!BB:BB)^0.25
/((_xlfn.XLOOKUP(B97,'Base stats'!B:B,'Base stats'!BN:BN))*10)*_xlfn.XLOOKUP(_xlfn.XLOOKUP(B97,'Base stats'!B:B,'Base stats'!E:E),Groups!A:A,Groups!Z:Z)*150 + 0.5 + _xlfn.XLOOKUP(B97,'Base stats'!B:B,'Base stats'!BW:BW),
0.05))</f>
        <v>No</v>
      </c>
      <c r="S97" s="3" t="str">
        <f>IF(Animals!AI97="No","No",
IF(_xlfn.XLOOKUP(B97,'Base stats'!B:B,'Base stats'!U:U)="No",
MAX(MROUND(_xlfn.XLOOKUP(B97,'Base stats'!B:B,'Base stats'!BT:BT) * _xlfn.XLOOKUP(B97,'Base stats'!B:B,'Base stats'!BP:BP)^0.9 / 21 * _xlfn.XLOOKUP(B97,'Base stats'!B:B,'Base stats'!BX:BX),0.1),0.05),
MAX(MROUND(((MIN(12,_xlfn.XLOOKUP(B97,'Base stats'!B:B,'Base stats'!U:U)))^0.4*_xlfn.XLOOKUP(B97,'Base stats'!B:B,'Base stats'!BH:BH)^0.73)^0.6 * _xlfn.XLOOKUP(B97,'Base stats'!B:B,'Base stats'!BX:BX),0.1),0.05)
))</f>
        <v>No</v>
      </c>
      <c r="T97" s="11" t="str">
        <f>IF(S97="No","No",
MROUND(_xlfn.XLOOKUP(B97,'Base stats'!B:B,'Base stats'!BH:BH) * 0.01 * 2 + 0.05, 0.05)
)</f>
        <v>No</v>
      </c>
      <c r="U97" s="5" t="str">
        <f>IF(S97="No","No",IF(_xlfn.XLOOKUP(B97,'Base stats'!B:B,'Base stats'!U:U)="No","No",
MROUND(_xlfn.XLOOKUP(B97,'Base stats'!B:B,'Base stats'!BT:BT)/10000+0.01,0.01)
))</f>
        <v>No</v>
      </c>
      <c r="V97" s="4" t="str">
        <f>IF(S97="No","No",
MROUND(_xlfn.XLOOKUP(B97,'Base stats'!B:B,'Base stats'!BF:BF)^0.25
/((_xlfn.XLOOKUP(B97,'Base stats'!B:B,'Base stats'!BO:BO))*10)*_xlfn.XLOOKUP(_xlfn.XLOOKUP(B97,'Base stats'!B:B,'Base stats'!E:E),Groups!A:A,Groups!AE:AE)*150 + 0.5 + _xlfn.XLOOKUP(B97,'Base stats'!B:B,'Base stats'!BW:BW),
0.05))</f>
        <v>No</v>
      </c>
      <c r="W97" s="8">
        <f>MROUND(_xlfn.XLOOKUP(_xlfn.XLOOKUP(B97,'Base stats'!B:B,'Base stats'!E:E),Groups!A:A,Groups!BG:BG)*_xlfn.XLOOKUP(B97,'Base stats'!B:B,'Base stats'!C:C)^-0.165,0.05)</f>
        <v>0.2</v>
      </c>
      <c r="X97" s="1">
        <f>MROUND(_xlfn.XLOOKUP(_xlfn.XLOOKUP(B97,'Base stats'!B:B,'Base stats'!E:E),Groups!A:A,Groups!BH:BH)*_xlfn.XLOOKUP(B97,'Base stats'!B:B,'Base stats'!C:C)^0.165,0.05)</f>
        <v>0</v>
      </c>
      <c r="Y97" s="8">
        <f>MROUND(_xlfn.XLOOKUP(_xlfn.XLOOKUP(B97,'Base stats'!B:B,'Base stats'!E:E),Groups!A:A,Groups!BI:BI)*_xlfn.XLOOKUP(B97,'Base stats'!B:B,'Base stats'!C:C)^0.165,0.05)</f>
        <v>0</v>
      </c>
      <c r="Z97" s="18">
        <f>MROUND(_xlfn.XLOOKUP(B97,'Base stats'!B:B,'Base stats'!AQ:AQ)*_xlfn.XLOOKUP(_xlfn.XLOOKUP(B97,'Base stats'!B:B,'Base stats'!E:E),Groups!A:A,Groups!H:H)/1000,IF((_xlfn.XLOOKUP(B97,'Base stats'!B:B,'Base stats'!AQ:AQ)*_xlfn.XLOOKUP(_xlfn.XLOOKUP(B97,'Base stats'!B:B,'Base stats'!E:E),Groups!A:A,Groups!H:H)/1000)&gt;1,0.05,0.01))</f>
        <v>0.09</v>
      </c>
      <c r="AA97" s="18">
        <f>MROUND((1/2)*(_xlfn.XLOOKUP(_xlfn.XLOOKUP(B97,'Base stats'!B:B,'Base stats'!E:E),Groups!A:A,Groups!H:H)*_xlfn.XLOOKUP(_xlfn.XLOOKUP(B97,'Base stats'!B:B,'Base stats'!E:E),Groups!A:A,Groups!I:I))*_xlfn.XLOOKUP(B97,'Base stats'!B:B,'Base stats'!AQ:AQ)*0.01,0.05)</f>
        <v>0.4</v>
      </c>
      <c r="AB97" s="18">
        <f>MROUND(250*(Animals!AO97+Animals!AP97),25)</f>
        <v>1125</v>
      </c>
      <c r="AC97" s="18" t="str">
        <f>_xlfn.XLOOKUP(_xlfn.XLOOKUP(B97,'Base stats'!B:B,'Base stats'!E:E),Groups!A:A,Groups!BJ:BJ)</f>
        <v>Quadruped</v>
      </c>
    </row>
    <row r="98" spans="1:29" ht="16.5" thickTop="1" thickBot="1" x14ac:dyDescent="0.3">
      <c r="A98" s="16" t="str">
        <f>Animals!A98</f>
        <v>LavaSnail</v>
      </c>
      <c r="B98" s="6" t="str">
        <f>Animals!B98</f>
        <v>Megaachatina magnus</v>
      </c>
      <c r="C98" s="1" t="str">
        <f>Animals!C98</f>
        <v>&lt;li&gt;LavaSnail&lt;/li&gt;</v>
      </c>
      <c r="D98" s="47">
        <f>MIN(MIN(6,_xlfn.XLOOKUP(A98,Animals!A:A,Animals!AO:AO))*20,MAX(MROUND(_xlfn.XLOOKUP(B98,'Base stats'!B:B,'Base stats'!BS:BS) * (_xlfn.XLOOKUP(B98,'Base stats'!B:B,'Base stats'!AO:AO)*5%)^0.9 / 21,0.1),0.05))</f>
        <v>0.9</v>
      </c>
      <c r="E98" s="11">
        <f>MROUND(_xlfn.XLOOKUP(B98,'Base stats'!B:B,'Base stats'!BG:BG) * 0.01 * 2 + 0.01, 0.05)</f>
        <v>0.70000000000000007</v>
      </c>
      <c r="F98" s="7">
        <f>MROUND(_xlfn.XLOOKUP(B98,'Base stats'!B:B,'Base stats'!BD:BD)^0.25 / (_xlfn.XLOOKUP(B98,'Base stats'!B:B,'Base stats'!BK:BK) * 10) * 150 + 0.5 + _xlfn.XLOOKUP(B98,'Base stats'!B:B,'Base stats'!BW:BW), 0.05)</f>
        <v>2.0500000000000003</v>
      </c>
      <c r="G98" s="3" t="str">
        <f>IF(Animals!S98="No","No",
IF(_xlfn.XLOOKUP(B98,'Base stats'!B:B,'Base stats'!U:U)="No",
MAX(MROUND(_xlfn.XLOOKUP(B98,'Base stats'!B:B,'Base stats'!BT:BT) * _xlfn.XLOOKUP(B98,'Base stats'!B:B,'Base stats'!BP:BP)^0.9 / 21 * _xlfn.XLOOKUP(B98,'Base stats'!B:B,'Base stats'!BX:BX),0.1),0.05),
MAX(MROUND(((MIN(10,_xlfn.XLOOKUP(B98,'Base stats'!B:B,'Base stats'!U:U)))^0.4*_xlfn.XLOOKUP(B98,'Base stats'!B:B,'Base stats'!BH:BH)^0.73)^0.6 * _xlfn.XLOOKUP(B98,'Base stats'!B:B,'Base stats'!BX:BX),0.1),0.05)
))</f>
        <v>No</v>
      </c>
      <c r="H98" s="11" t="str">
        <f>IF(G98="No","No",
MROUND(_xlfn.XLOOKUP(B98,'Base stats'!B:B,'Base stats'!BH:BH) * 0.01 * 2 + 0.05, 0.05)
)</f>
        <v>No</v>
      </c>
      <c r="I98" s="11" t="str">
        <f>IF(G98="No","No",IF(_xlfn.XLOOKUP(B98,'Base stats'!B:B,'Base stats'!U:U)="No","No",
MROUND(_xlfn.XLOOKUP(B98,'Base stats'!B:B,'Base stats'!BT:BT)/10000+0.01,0.01)
))</f>
        <v>No</v>
      </c>
      <c r="J98" s="4" t="str">
        <f>IF(G98="No","No",
MROUND(_xlfn.XLOOKUP(B98,'Base stats'!B:B,'Base stats'!BE:BE)^0.25
/((_xlfn.XLOOKUP(B98,'Base stats'!B:B,'Base stats'!BL:BL))*10)*_xlfn.XLOOKUP(_xlfn.XLOOKUP(B98,'Base stats'!B:B,'Base stats'!E:E),Groups!A:A,Groups!Q:Q)*150 + 0.5 + _xlfn.XLOOKUP(B98,'Base stats'!B:B,'Base stats'!BW:BW),
0.05))</f>
        <v>No</v>
      </c>
      <c r="K98" s="3" t="str">
        <f>IF(Animals!X98="No","No",
IF(_xlfn.XLOOKUP(_xlfn.XLOOKUP(B98,'Base stats'!B:B,'Base stats'!E:E),Groups!A:A,Groups!BD:BD)=1,
MAX(MROUND(_xlfn.XLOOKUP(B98,'Base stats'!B:B,'Base stats'!BU:BU) * _xlfn.XLOOKUP(B98,'Base stats'!B:B,'Base stats'!BQ:BQ)^0.9 / 21 *_xlfn.XLOOKUP(B98,'Base stats'!B:B,'Base stats'!BX:BX),0.1),0.05),
MAX(MROUND(((MIN(10,_xlfn.XLOOKUP(B98,'Base stats'!B:B,'Base stats'!W:W)))^0.4*_xlfn.XLOOKUP(B98,'Base stats'!B:B,'Base stats'!BI:BI)^0.73)^0.6 *_xlfn.XLOOKUP(B98,'Base stats'!B:B,'Base stats'!BX:BX),0.1),0.05)
))</f>
        <v>No</v>
      </c>
      <c r="L98" s="11" t="str">
        <f>IF(K98="No","No",
MROUND(_xlfn.XLOOKUP(B98,'Base stats'!B:B,'Base stats'!BI:BI) * 0.01 *2 + 0.05, 0.05)
)</f>
        <v>No</v>
      </c>
      <c r="M98" s="5" t="str">
        <f>IF(K98="No","No",IF(_xlfn.XLOOKUP(_xlfn.XLOOKUP(B98,'Base stats'!B:B,'Base stats'!E:E),Groups!A:A,Groups!BD:BD)=1,"No",
MROUND(_xlfn.XLOOKUP(B98,'Base stats'!B:B,'Base stats'!BU:BU)/10000+0.01,0.01)
))</f>
        <v>No</v>
      </c>
      <c r="N98" s="4" t="str">
        <f>IF(K98="No","No",
MROUND(
  _xlfn.XLOOKUP(B98,'Base stats'!B:B,'Base stats'!BC:BC)^0.25
  / (_xlfn.XLOOKUP(B98,'Base stats'!B:B,'Base stats'!BM:BM) * 10)
  * _xlfn.XLOOKUP(
      _xlfn.XLOOKUP(B98,'Base stats'!B:B,'Base stats'!E:E),
      Groups!A:A,
      Groups!V:V
    ) * 150
  + MIN(12, _xlfn.XLOOKUP(B98,'Base stats'!B:B,'Base stats'!W:W))^(1/IF(_xlfn.XLOOKUP(_xlfn.XLOOKUP(B98,'Base stats'!B:B,'Base stats'!E:E),Groups!A:A,Groups!U:U)=1,100,10)) + 0.5 + _xlfn.XLOOKUP(B98,'Base stats'!B:B,'Base stats'!BW:BW),
0.05))</f>
        <v>No</v>
      </c>
      <c r="O98" s="3">
        <f>IF(Animals!AD98="No","No",
MAX(MROUND((MIN(10,_xlfn.XLOOKUP(B98,'Base stats'!B:B,'Base stats'!V:V)*IF(_xlfn.XLOOKUP(_xlfn.XLOOKUP(B98,'Base stats'!B:B,'Base stats'!E:E),Groups!A:A,Groups!O:O)=0,1,0.33))^0.4*_xlfn.XLOOKUP(B98,'Base stats'!B:B,'Base stats'!BJ:BJ)^0.73)^0.6 *_xlfn.XLOOKUP(B98,'Base stats'!B:B,'Base stats'!BX:BX),0.1),0.05)
)</f>
        <v>5.7</v>
      </c>
      <c r="P98" s="11">
        <f>IF(O98="No","No",
MROUND(_xlfn.XLOOKUP(B98,'Base stats'!B:B,'Base stats'!BJ:BJ) * 0.01 * 2 + 0.05, 0.05)
)</f>
        <v>1.1000000000000001</v>
      </c>
      <c r="Q98" s="5">
        <f>IF(O98="No","No",
MROUND(_xlfn.XLOOKUP(B98,'Base stats'!B:B,'Base stats'!BV:BV)/10000+0.01,0.01)
)</f>
        <v>0.08</v>
      </c>
      <c r="R98" s="4">
        <f>IF(O98="No","No",
MROUND(_xlfn.XLOOKUP(B98,'Base stats'!B:B,'Base stats'!BB:BB)^0.25
/((_xlfn.XLOOKUP(B98,'Base stats'!B:B,'Base stats'!BN:BN))*10)*_xlfn.XLOOKUP(_xlfn.XLOOKUP(B98,'Base stats'!B:B,'Base stats'!E:E),Groups!A:A,Groups!Z:Z)*150 + 0.5 + _xlfn.XLOOKUP(B98,'Base stats'!B:B,'Base stats'!BW:BW),
0.05))</f>
        <v>2.25</v>
      </c>
      <c r="S98" s="3" t="str">
        <f>IF(Animals!AI98="No","No",
IF(_xlfn.XLOOKUP(B98,'Base stats'!B:B,'Base stats'!U:U)="No",
MAX(MROUND(_xlfn.XLOOKUP(B98,'Base stats'!B:B,'Base stats'!BT:BT) * _xlfn.XLOOKUP(B98,'Base stats'!B:B,'Base stats'!BP:BP)^0.9 / 21 * _xlfn.XLOOKUP(B98,'Base stats'!B:B,'Base stats'!BX:BX),0.1),0.05),
MAX(MROUND(((MIN(12,_xlfn.XLOOKUP(B98,'Base stats'!B:B,'Base stats'!U:U)))^0.4*_xlfn.XLOOKUP(B98,'Base stats'!B:B,'Base stats'!BH:BH)^0.73)^0.6 * _xlfn.XLOOKUP(B98,'Base stats'!B:B,'Base stats'!BX:BX),0.1),0.05)
))</f>
        <v>No</v>
      </c>
      <c r="T98" s="11" t="str">
        <f>IF(S98="No","No",
MROUND(_xlfn.XLOOKUP(B98,'Base stats'!B:B,'Base stats'!BH:BH) * 0.01 * 2 + 0.05, 0.05)
)</f>
        <v>No</v>
      </c>
      <c r="U98" s="5" t="str">
        <f>IF(S98="No","No",IF(_xlfn.XLOOKUP(B98,'Base stats'!B:B,'Base stats'!U:U)="No","No",
MROUND(_xlfn.XLOOKUP(B98,'Base stats'!B:B,'Base stats'!BT:BT)/10000+0.01,0.01)
))</f>
        <v>No</v>
      </c>
      <c r="V98" s="4" t="str">
        <f>IF(S98="No","No",
MROUND(_xlfn.XLOOKUP(B98,'Base stats'!B:B,'Base stats'!BF:BF)^0.25
/((_xlfn.XLOOKUP(B98,'Base stats'!B:B,'Base stats'!BO:BO))*10)*_xlfn.XLOOKUP(_xlfn.XLOOKUP(B98,'Base stats'!B:B,'Base stats'!E:E),Groups!A:A,Groups!AE:AE)*150 + 0.5 + _xlfn.XLOOKUP(B98,'Base stats'!B:B,'Base stats'!BW:BW),
0.05))</f>
        <v>No</v>
      </c>
      <c r="W98" s="8">
        <f>MROUND(_xlfn.XLOOKUP(_xlfn.XLOOKUP(B98,'Base stats'!B:B,'Base stats'!E:E),Groups!A:A,Groups!BG:BG)*_xlfn.XLOOKUP(B98,'Base stats'!B:B,'Base stats'!C:C)^-0.165,0.05)</f>
        <v>0</v>
      </c>
      <c r="X98" s="1">
        <f>MROUND(_xlfn.XLOOKUP(_xlfn.XLOOKUP(B98,'Base stats'!B:B,'Base stats'!E:E),Groups!A:A,Groups!BH:BH)*_xlfn.XLOOKUP(B98,'Base stats'!B:B,'Base stats'!C:C)^0.165,0.05)</f>
        <v>0</v>
      </c>
      <c r="Y98" s="8">
        <f>MROUND(_xlfn.XLOOKUP(_xlfn.XLOOKUP(B98,'Base stats'!B:B,'Base stats'!E:E),Groups!A:A,Groups!BI:BI)*_xlfn.XLOOKUP(B98,'Base stats'!B:B,'Base stats'!C:C)^0.165,0.05)</f>
        <v>0</v>
      </c>
      <c r="Z98" s="18">
        <f>MROUND(_xlfn.XLOOKUP(B98,'Base stats'!B:B,'Base stats'!AQ:AQ)*_xlfn.XLOOKUP(_xlfn.XLOOKUP(B98,'Base stats'!B:B,'Base stats'!E:E),Groups!A:A,Groups!H:H)/1000,IF((_xlfn.XLOOKUP(B98,'Base stats'!B:B,'Base stats'!AQ:AQ)*_xlfn.XLOOKUP(_xlfn.XLOOKUP(B98,'Base stats'!B:B,'Base stats'!E:E),Groups!A:A,Groups!H:H)/1000)&gt;1,0.05,0.01))</f>
        <v>1.1000000000000001</v>
      </c>
      <c r="AA98" s="18">
        <f>MROUND((1/2)*(_xlfn.XLOOKUP(_xlfn.XLOOKUP(B98,'Base stats'!B:B,'Base stats'!E:E),Groups!A:A,Groups!H:H)*_xlfn.XLOOKUP(_xlfn.XLOOKUP(B98,'Base stats'!B:B,'Base stats'!E:E),Groups!A:A,Groups!I:I))*_xlfn.XLOOKUP(B98,'Base stats'!B:B,'Base stats'!AQ:AQ)*0.01,0.05)</f>
        <v>0.05</v>
      </c>
      <c r="AB98" s="18">
        <f>MROUND(250*(Animals!AO98+Animals!AP98),25)</f>
        <v>425</v>
      </c>
      <c r="AC98" s="18" t="str">
        <f>_xlfn.XLOOKUP(_xlfn.XLOOKUP(B98,'Base stats'!B:B,'Base stats'!E:E),Groups!A:A,Groups!BJ:BJ)</f>
        <v>QuadrupedLow</v>
      </c>
    </row>
    <row r="99" spans="1:29" ht="16.5" thickTop="1" thickBot="1" x14ac:dyDescent="0.3">
      <c r="A99" s="16" t="str">
        <f>Animals!A99</f>
        <v>BogHound</v>
      </c>
      <c r="B99" s="6" t="str">
        <f>Animals!B99</f>
        <v>Canis sordidus</v>
      </c>
      <c r="C99" s="1" t="str">
        <f>Animals!C99</f>
        <v>&lt;li&gt;BogHound&lt;/li&gt;</v>
      </c>
      <c r="D99" s="47">
        <f>MIN(MIN(6,_xlfn.XLOOKUP(A99,Animals!A:A,Animals!AO:AO))*20,MAX(MROUND(_xlfn.XLOOKUP(B99,'Base stats'!B:B,'Base stats'!BS:BS) * (_xlfn.XLOOKUP(B99,'Base stats'!B:B,'Base stats'!AO:AO)*5%)^0.9 / 21,0.1),0.05))</f>
        <v>1.6</v>
      </c>
      <c r="E99" s="11">
        <f>MROUND(_xlfn.XLOOKUP(B99,'Base stats'!B:B,'Base stats'!BG:BG) * 0.01 * 2 + 0.01, 0.05)</f>
        <v>1.25</v>
      </c>
      <c r="F99" s="7">
        <f>MROUND(_xlfn.XLOOKUP(B99,'Base stats'!B:B,'Base stats'!BD:BD)^0.25 / (_xlfn.XLOOKUP(B99,'Base stats'!B:B,'Base stats'!BK:BK) * 10) * 150 + 0.5 + _xlfn.XLOOKUP(B99,'Base stats'!B:B,'Base stats'!BW:BW), 0.05)</f>
        <v>1.85</v>
      </c>
      <c r="G99" s="3" t="str">
        <f>IF(Animals!S99="No","No",
IF(_xlfn.XLOOKUP(B99,'Base stats'!B:B,'Base stats'!U:U)="No",
MAX(MROUND(_xlfn.XLOOKUP(B99,'Base stats'!B:B,'Base stats'!BT:BT) * _xlfn.XLOOKUP(B99,'Base stats'!B:B,'Base stats'!BP:BP)^0.9 / 21 * _xlfn.XLOOKUP(B99,'Base stats'!B:B,'Base stats'!BX:BX),0.1),0.05),
MAX(MROUND(((MIN(10,_xlfn.XLOOKUP(B99,'Base stats'!B:B,'Base stats'!U:U)))^0.4*_xlfn.XLOOKUP(B99,'Base stats'!B:B,'Base stats'!BH:BH)^0.73)^0.6 * _xlfn.XLOOKUP(B99,'Base stats'!B:B,'Base stats'!BX:BX),0.1),0.05)
))</f>
        <v>No</v>
      </c>
      <c r="H99" s="11" t="str">
        <f>IF(G99="No","No",
MROUND(_xlfn.XLOOKUP(B99,'Base stats'!B:B,'Base stats'!BH:BH) * 0.01 * 2 + 0.05, 0.05)
)</f>
        <v>No</v>
      </c>
      <c r="I99" s="11" t="str">
        <f>IF(G99="No","No",IF(_xlfn.XLOOKUP(B99,'Base stats'!B:B,'Base stats'!U:U)="No","No",
MROUND(_xlfn.XLOOKUP(B99,'Base stats'!B:B,'Base stats'!BT:BT)/10000+0.01,0.01)
))</f>
        <v>No</v>
      </c>
      <c r="J99" s="4" t="str">
        <f>IF(G99="No","No",
MROUND(_xlfn.XLOOKUP(B99,'Base stats'!B:B,'Base stats'!BE:BE)^0.25
/((_xlfn.XLOOKUP(B99,'Base stats'!B:B,'Base stats'!BL:BL))*10)*_xlfn.XLOOKUP(_xlfn.XLOOKUP(B99,'Base stats'!B:B,'Base stats'!E:E),Groups!A:A,Groups!Q:Q)*150 + 0.5 + _xlfn.XLOOKUP(B99,'Base stats'!B:B,'Base stats'!BW:BW),
0.05))</f>
        <v>No</v>
      </c>
      <c r="K99" s="3" t="str">
        <f>IF(Animals!X99="No","No",
IF(_xlfn.XLOOKUP(_xlfn.XLOOKUP(B99,'Base stats'!B:B,'Base stats'!E:E),Groups!A:A,Groups!BD:BD)=1,
MAX(MROUND(_xlfn.XLOOKUP(B99,'Base stats'!B:B,'Base stats'!BU:BU) * _xlfn.XLOOKUP(B99,'Base stats'!B:B,'Base stats'!BQ:BQ)^0.9 / 21 *_xlfn.XLOOKUP(B99,'Base stats'!B:B,'Base stats'!BX:BX),0.1),0.05),
MAX(MROUND(((MIN(10,_xlfn.XLOOKUP(B99,'Base stats'!B:B,'Base stats'!W:W)))^0.4*_xlfn.XLOOKUP(B99,'Base stats'!B:B,'Base stats'!BI:BI)^0.73)^0.6 *_xlfn.XLOOKUP(B99,'Base stats'!B:B,'Base stats'!BX:BX),0.1),0.05)
))</f>
        <v>No</v>
      </c>
      <c r="L99" s="11" t="str">
        <f>IF(K99="No","No",
MROUND(_xlfn.XLOOKUP(B99,'Base stats'!B:B,'Base stats'!BI:BI) * 0.01 *2 + 0.05, 0.05)
)</f>
        <v>No</v>
      </c>
      <c r="M99" s="5" t="str">
        <f>IF(K99="No","No",IF(_xlfn.XLOOKUP(_xlfn.XLOOKUP(B99,'Base stats'!B:B,'Base stats'!E:E),Groups!A:A,Groups!BD:BD)=1,"No",
MROUND(_xlfn.XLOOKUP(B99,'Base stats'!B:B,'Base stats'!BU:BU)/10000+0.01,0.01)
))</f>
        <v>No</v>
      </c>
      <c r="N99" s="4" t="str">
        <f>IF(K99="No","No",
MROUND(
  _xlfn.XLOOKUP(B99,'Base stats'!B:B,'Base stats'!BC:BC)^0.25
  / (_xlfn.XLOOKUP(B99,'Base stats'!B:B,'Base stats'!BM:BM) * 10)
  * _xlfn.XLOOKUP(
      _xlfn.XLOOKUP(B99,'Base stats'!B:B,'Base stats'!E:E),
      Groups!A:A,
      Groups!V:V
    ) * 150
  + MIN(12, _xlfn.XLOOKUP(B99,'Base stats'!B:B,'Base stats'!W:W))^(1/IF(_xlfn.XLOOKUP(_xlfn.XLOOKUP(B99,'Base stats'!B:B,'Base stats'!E:E),Groups!A:A,Groups!U:U)=1,100,10)) + 0.5 + _xlfn.XLOOKUP(B99,'Base stats'!B:B,'Base stats'!BW:BW),
0.05))</f>
        <v>No</v>
      </c>
      <c r="O99" s="3">
        <f>IF(Animals!AD99="No","No",
MAX(MROUND((MIN(10,_xlfn.XLOOKUP(B99,'Base stats'!B:B,'Base stats'!V:V)*IF(_xlfn.XLOOKUP(_xlfn.XLOOKUP(B99,'Base stats'!B:B,'Base stats'!E:E),Groups!A:A,Groups!O:O)=0,1,0.33))^0.4*_xlfn.XLOOKUP(B99,'Base stats'!B:B,'Base stats'!BJ:BJ)^0.73)^0.6 *_xlfn.XLOOKUP(B99,'Base stats'!B:B,'Base stats'!BX:BX),0.1),0.05)
)</f>
        <v>14.8</v>
      </c>
      <c r="P99" s="11">
        <f>IF(O99="No","No",
MROUND(_xlfn.XLOOKUP(B99,'Base stats'!B:B,'Base stats'!BJ:BJ) * 0.01 * 2 + 0.05, 0.05)
)</f>
        <v>4.95</v>
      </c>
      <c r="Q99" s="5">
        <f>IF(O99="No","No",
MROUND(_xlfn.XLOOKUP(B99,'Base stats'!B:B,'Base stats'!BV:BV)/10000+0.01,0.01)
)</f>
        <v>0.36</v>
      </c>
      <c r="R99" s="4">
        <f>IF(O99="No","No",
MROUND(_xlfn.XLOOKUP(B99,'Base stats'!B:B,'Base stats'!BB:BB)^0.25
/((_xlfn.XLOOKUP(B99,'Base stats'!B:B,'Base stats'!BN:BN))*10)*_xlfn.XLOOKUP(_xlfn.XLOOKUP(B99,'Base stats'!B:B,'Base stats'!E:E),Groups!A:A,Groups!Z:Z)*150 + 0.5 + _xlfn.XLOOKUP(B99,'Base stats'!B:B,'Base stats'!BW:BW),
0.05))</f>
        <v>2.25</v>
      </c>
      <c r="S99" s="3" t="str">
        <f>IF(Animals!AI99="No","No",
IF(_xlfn.XLOOKUP(B99,'Base stats'!B:B,'Base stats'!U:U)="No",
MAX(MROUND(_xlfn.XLOOKUP(B99,'Base stats'!B:B,'Base stats'!BT:BT) * _xlfn.XLOOKUP(B99,'Base stats'!B:B,'Base stats'!BP:BP)^0.9 / 21 * _xlfn.XLOOKUP(B99,'Base stats'!B:B,'Base stats'!BX:BX),0.1),0.05),
MAX(MROUND(((MIN(12,_xlfn.XLOOKUP(B99,'Base stats'!B:B,'Base stats'!U:U)))^0.4*_xlfn.XLOOKUP(B99,'Base stats'!B:B,'Base stats'!BH:BH)^0.73)^0.6 * _xlfn.XLOOKUP(B99,'Base stats'!B:B,'Base stats'!BX:BX),0.1),0.05)
))</f>
        <v>No</v>
      </c>
      <c r="T99" s="11" t="str">
        <f>IF(S99="No","No",
MROUND(_xlfn.XLOOKUP(B99,'Base stats'!B:B,'Base stats'!BH:BH) * 0.01 * 2 + 0.05, 0.05)
)</f>
        <v>No</v>
      </c>
      <c r="U99" s="5" t="str">
        <f>IF(S99="No","No",IF(_xlfn.XLOOKUP(B99,'Base stats'!B:B,'Base stats'!U:U)="No","No",
MROUND(_xlfn.XLOOKUP(B99,'Base stats'!B:B,'Base stats'!BT:BT)/10000+0.01,0.01)
))</f>
        <v>No</v>
      </c>
      <c r="V99" s="4" t="str">
        <f>IF(S99="No","No",
MROUND(_xlfn.XLOOKUP(B99,'Base stats'!B:B,'Base stats'!BF:BF)^0.25
/((_xlfn.XLOOKUP(B99,'Base stats'!B:B,'Base stats'!BO:BO))*10)*_xlfn.XLOOKUP(_xlfn.XLOOKUP(B99,'Base stats'!B:B,'Base stats'!E:E),Groups!A:A,Groups!AE:AE)*150 + 0.5 + _xlfn.XLOOKUP(B99,'Base stats'!B:B,'Base stats'!BW:BW),
0.05))</f>
        <v>No</v>
      </c>
      <c r="W99" s="8">
        <f>MROUND(_xlfn.XLOOKUP(_xlfn.XLOOKUP(B99,'Base stats'!B:B,'Base stats'!E:E),Groups!A:A,Groups!BG:BG)*_xlfn.XLOOKUP(B99,'Base stats'!B:B,'Base stats'!C:C)^-0.165,0.05)</f>
        <v>0.55000000000000004</v>
      </c>
      <c r="X99" s="1">
        <f>MROUND(_xlfn.XLOOKUP(_xlfn.XLOOKUP(B99,'Base stats'!B:B,'Base stats'!E:E),Groups!A:A,Groups!BH:BH)*_xlfn.XLOOKUP(B99,'Base stats'!B:B,'Base stats'!C:C)^0.165,0.05)</f>
        <v>0.35000000000000003</v>
      </c>
      <c r="Y99" s="8">
        <f>MROUND(_xlfn.XLOOKUP(_xlfn.XLOOKUP(B99,'Base stats'!B:B,'Base stats'!E:E),Groups!A:A,Groups!BI:BI)*_xlfn.XLOOKUP(B99,'Base stats'!B:B,'Base stats'!C:C)^0.165,0.05)</f>
        <v>0.05</v>
      </c>
      <c r="Z99" s="18">
        <f>MROUND(_xlfn.XLOOKUP(B99,'Base stats'!B:B,'Base stats'!AQ:AQ)*_xlfn.XLOOKUP(_xlfn.XLOOKUP(B99,'Base stats'!B:B,'Base stats'!E:E),Groups!A:A,Groups!H:H)/1000,IF((_xlfn.XLOOKUP(B99,'Base stats'!B:B,'Base stats'!AQ:AQ)*_xlfn.XLOOKUP(_xlfn.XLOOKUP(B99,'Base stats'!B:B,'Base stats'!E:E),Groups!A:A,Groups!H:H)/1000)&gt;1,0.05,0.01))</f>
        <v>0.08</v>
      </c>
      <c r="AA99" s="18">
        <f>MROUND((1/2)*(_xlfn.XLOOKUP(_xlfn.XLOOKUP(B99,'Base stats'!B:B,'Base stats'!E:E),Groups!A:A,Groups!H:H)*_xlfn.XLOOKUP(_xlfn.XLOOKUP(B99,'Base stats'!B:B,'Base stats'!E:E),Groups!A:A,Groups!I:I))*_xlfn.XLOOKUP(B99,'Base stats'!B:B,'Base stats'!AQ:AQ)*0.01,0.05)</f>
        <v>0.35000000000000003</v>
      </c>
      <c r="AB99" s="18">
        <f>MROUND(250*(Animals!AO99+Animals!AP99),25)</f>
        <v>450</v>
      </c>
      <c r="AC99" s="18" t="str">
        <f>_xlfn.XLOOKUP(_xlfn.XLOOKUP(B99,'Base stats'!B:B,'Base stats'!E:E),Groups!A:A,Groups!BJ:BJ)</f>
        <v>Quadruped</v>
      </c>
    </row>
    <row r="100" spans="1:29" ht="16.5" thickTop="1" thickBot="1" x14ac:dyDescent="0.3">
      <c r="A100" s="16" t="str">
        <f>Animals!A100</f>
        <v>Wolf_Great</v>
      </c>
      <c r="B100" s="6" t="str">
        <f>Animals!B100</f>
        <v>Aenocyon dirus</v>
      </c>
      <c r="C100" s="1" t="str">
        <f>Animals!C100</f>
        <v>&lt;li&gt;Wolf_Great&lt;/li&gt;</v>
      </c>
      <c r="D100" s="47">
        <f>MIN(MIN(6,_xlfn.XLOOKUP(A100,Animals!A:A,Animals!AO:AO))*20,MAX(MROUND(_xlfn.XLOOKUP(B100,'Base stats'!B:B,'Base stats'!BS:BS) * (_xlfn.XLOOKUP(B100,'Base stats'!B:B,'Base stats'!AO:AO)*5%)^0.9 / 21,0.1),0.05))</f>
        <v>2.2000000000000002</v>
      </c>
      <c r="E100" s="11">
        <f>MROUND(_xlfn.XLOOKUP(B100,'Base stats'!B:B,'Base stats'!BG:BG) * 0.01 * 2 + 0.01, 0.05)</f>
        <v>1.85</v>
      </c>
      <c r="F100" s="7">
        <f>MROUND(_xlfn.XLOOKUP(B100,'Base stats'!B:B,'Base stats'!BD:BD)^0.25 / (_xlfn.XLOOKUP(B100,'Base stats'!B:B,'Base stats'!BK:BK) * 10) * 150 + 0.5 + _xlfn.XLOOKUP(B100,'Base stats'!B:B,'Base stats'!BW:BW), 0.05)</f>
        <v>1.9500000000000002</v>
      </c>
      <c r="G100" s="3" t="str">
        <f>IF(Animals!S100="No","No",
IF(_xlfn.XLOOKUP(B100,'Base stats'!B:B,'Base stats'!U:U)="No",
MAX(MROUND(_xlfn.XLOOKUP(B100,'Base stats'!B:B,'Base stats'!BT:BT) * _xlfn.XLOOKUP(B100,'Base stats'!B:B,'Base stats'!BP:BP)^0.9 / 21 * _xlfn.XLOOKUP(B100,'Base stats'!B:B,'Base stats'!BX:BX),0.1),0.05),
MAX(MROUND(((MIN(10,_xlfn.XLOOKUP(B100,'Base stats'!B:B,'Base stats'!U:U)))^0.4*_xlfn.XLOOKUP(B100,'Base stats'!B:B,'Base stats'!BH:BH)^0.73)^0.6 * _xlfn.XLOOKUP(B100,'Base stats'!B:B,'Base stats'!BX:BX),0.1),0.05)
))</f>
        <v>No</v>
      </c>
      <c r="H100" s="11" t="str">
        <f>IF(G100="No","No",
MROUND(_xlfn.XLOOKUP(B100,'Base stats'!B:B,'Base stats'!BH:BH) * 0.01 * 2 + 0.05, 0.05)
)</f>
        <v>No</v>
      </c>
      <c r="I100" s="11" t="str">
        <f>IF(G100="No","No",IF(_xlfn.XLOOKUP(B100,'Base stats'!B:B,'Base stats'!U:U)="No","No",
MROUND(_xlfn.XLOOKUP(B100,'Base stats'!B:B,'Base stats'!BT:BT)/10000+0.01,0.01)
))</f>
        <v>No</v>
      </c>
      <c r="J100" s="4" t="str">
        <f>IF(G100="No","No",
MROUND(_xlfn.XLOOKUP(B100,'Base stats'!B:B,'Base stats'!BE:BE)^0.25
/((_xlfn.XLOOKUP(B100,'Base stats'!B:B,'Base stats'!BL:BL))*10)*_xlfn.XLOOKUP(_xlfn.XLOOKUP(B100,'Base stats'!B:B,'Base stats'!E:E),Groups!A:A,Groups!Q:Q)*150 + 0.5 + _xlfn.XLOOKUP(B100,'Base stats'!B:B,'Base stats'!BW:BW),
0.05))</f>
        <v>No</v>
      </c>
      <c r="K100" s="3" t="str">
        <f>IF(Animals!X100="No","No",
IF(_xlfn.XLOOKUP(_xlfn.XLOOKUP(B100,'Base stats'!B:B,'Base stats'!E:E),Groups!A:A,Groups!BD:BD)=1,
MAX(MROUND(_xlfn.XLOOKUP(B100,'Base stats'!B:B,'Base stats'!BU:BU) * _xlfn.XLOOKUP(B100,'Base stats'!B:B,'Base stats'!BQ:BQ)^0.9 / 21 *_xlfn.XLOOKUP(B100,'Base stats'!B:B,'Base stats'!BX:BX),0.1),0.05),
MAX(MROUND(((MIN(10,_xlfn.XLOOKUP(B100,'Base stats'!B:B,'Base stats'!W:W)))^0.4*_xlfn.XLOOKUP(B100,'Base stats'!B:B,'Base stats'!BI:BI)^0.73)^0.6 *_xlfn.XLOOKUP(B100,'Base stats'!B:B,'Base stats'!BX:BX),0.1),0.05)
))</f>
        <v>No</v>
      </c>
      <c r="L100" s="11" t="str">
        <f>IF(K100="No","No",
MROUND(_xlfn.XLOOKUP(B100,'Base stats'!B:B,'Base stats'!BI:BI) * 0.01 *2 + 0.05, 0.05)
)</f>
        <v>No</v>
      </c>
      <c r="M100" s="5" t="str">
        <f>IF(K100="No","No",IF(_xlfn.XLOOKUP(_xlfn.XLOOKUP(B100,'Base stats'!B:B,'Base stats'!E:E),Groups!A:A,Groups!BD:BD)=1,"No",
MROUND(_xlfn.XLOOKUP(B100,'Base stats'!B:B,'Base stats'!BU:BU)/10000+0.01,0.01)
))</f>
        <v>No</v>
      </c>
      <c r="N100" s="4" t="str">
        <f>IF(K100="No","No",
MROUND(
  _xlfn.XLOOKUP(B100,'Base stats'!B:B,'Base stats'!BC:BC)^0.25
  / (_xlfn.XLOOKUP(B100,'Base stats'!B:B,'Base stats'!BM:BM) * 10)
  * _xlfn.XLOOKUP(
      _xlfn.XLOOKUP(B100,'Base stats'!B:B,'Base stats'!E:E),
      Groups!A:A,
      Groups!V:V
    ) * 150
  + MIN(12, _xlfn.XLOOKUP(B100,'Base stats'!B:B,'Base stats'!W:W))^(1/IF(_xlfn.XLOOKUP(_xlfn.XLOOKUP(B100,'Base stats'!B:B,'Base stats'!E:E),Groups!A:A,Groups!U:U)=1,100,10)) + 0.5 + _xlfn.XLOOKUP(B100,'Base stats'!B:B,'Base stats'!BW:BW),
0.05))</f>
        <v>No</v>
      </c>
      <c r="O100" s="3">
        <f>IF(Animals!AD100="No","No",
MAX(MROUND((MIN(10,_xlfn.XLOOKUP(B100,'Base stats'!B:B,'Base stats'!V:V)*IF(_xlfn.XLOOKUP(_xlfn.XLOOKUP(B100,'Base stats'!B:B,'Base stats'!E:E),Groups!A:A,Groups!O:O)=0,1,0.33))^0.4*_xlfn.XLOOKUP(B100,'Base stats'!B:B,'Base stats'!BJ:BJ)^0.73)^0.6 *_xlfn.XLOOKUP(B100,'Base stats'!B:B,'Base stats'!BX:BX),0.1),0.05)
)</f>
        <v>17.5</v>
      </c>
      <c r="P100" s="11">
        <f>IF(O100="No","No",
MROUND(_xlfn.XLOOKUP(B100,'Base stats'!B:B,'Base stats'!BJ:BJ) * 0.01 * 2 + 0.05, 0.05)
)</f>
        <v>6.8500000000000005</v>
      </c>
      <c r="Q100" s="5">
        <f>IF(O100="No","No",
MROUND(_xlfn.XLOOKUP(B100,'Base stats'!B:B,'Base stats'!BV:BV)/10000+0.01,0.01)
)</f>
        <v>0.42</v>
      </c>
      <c r="R100" s="4">
        <f>IF(O100="No","No",
MROUND(_xlfn.XLOOKUP(B100,'Base stats'!B:B,'Base stats'!BB:BB)^0.25
/((_xlfn.XLOOKUP(B100,'Base stats'!B:B,'Base stats'!BN:BN))*10)*_xlfn.XLOOKUP(_xlfn.XLOOKUP(B100,'Base stats'!B:B,'Base stats'!E:E),Groups!A:A,Groups!Z:Z)*150 + 0.5 + _xlfn.XLOOKUP(B100,'Base stats'!B:B,'Base stats'!BW:BW),
0.05))</f>
        <v>2.15</v>
      </c>
      <c r="S100" s="3" t="str">
        <f>IF(Animals!AI100="No","No",
IF(_xlfn.XLOOKUP(B100,'Base stats'!B:B,'Base stats'!U:U)="No",
MAX(MROUND(_xlfn.XLOOKUP(B100,'Base stats'!B:B,'Base stats'!BT:BT) * _xlfn.XLOOKUP(B100,'Base stats'!B:B,'Base stats'!BP:BP)^0.9 / 21 * _xlfn.XLOOKUP(B100,'Base stats'!B:B,'Base stats'!BX:BX),0.1),0.05),
MAX(MROUND(((MIN(12,_xlfn.XLOOKUP(B100,'Base stats'!B:B,'Base stats'!U:U)))^0.4*_xlfn.XLOOKUP(B100,'Base stats'!B:B,'Base stats'!BH:BH)^0.73)^0.6 * _xlfn.XLOOKUP(B100,'Base stats'!B:B,'Base stats'!BX:BX),0.1),0.05)
))</f>
        <v>No</v>
      </c>
      <c r="T100" s="11" t="str">
        <f>IF(S100="No","No",
MROUND(_xlfn.XLOOKUP(B100,'Base stats'!B:B,'Base stats'!BH:BH) * 0.01 * 2 + 0.05, 0.05)
)</f>
        <v>No</v>
      </c>
      <c r="U100" s="5" t="str">
        <f>IF(S100="No","No",IF(_xlfn.XLOOKUP(B100,'Base stats'!B:B,'Base stats'!U:U)="No","No",
MROUND(_xlfn.XLOOKUP(B100,'Base stats'!B:B,'Base stats'!BT:BT)/10000+0.01,0.01)
))</f>
        <v>No</v>
      </c>
      <c r="V100" s="4" t="str">
        <f>IF(S100="No","No",
MROUND(_xlfn.XLOOKUP(B100,'Base stats'!B:B,'Base stats'!BF:BF)^0.25
/((_xlfn.XLOOKUP(B100,'Base stats'!B:B,'Base stats'!BO:BO))*10)*_xlfn.XLOOKUP(_xlfn.XLOOKUP(B100,'Base stats'!B:B,'Base stats'!E:E),Groups!A:A,Groups!AE:AE)*150 + 0.5 + _xlfn.XLOOKUP(B100,'Base stats'!B:B,'Base stats'!BW:BW),
0.05))</f>
        <v>No</v>
      </c>
      <c r="W100" s="8">
        <f>MROUND(_xlfn.XLOOKUP(_xlfn.XLOOKUP(B100,'Base stats'!B:B,'Base stats'!E:E),Groups!A:A,Groups!BG:BG)*_xlfn.XLOOKUP(B100,'Base stats'!B:B,'Base stats'!C:C)^-0.165,0.05)</f>
        <v>0.5</v>
      </c>
      <c r="X100" s="1">
        <f>MROUND(_xlfn.XLOOKUP(_xlfn.XLOOKUP(B100,'Base stats'!B:B,'Base stats'!E:E),Groups!A:A,Groups!BH:BH)*_xlfn.XLOOKUP(B100,'Base stats'!B:B,'Base stats'!C:C)^0.165,0.05)</f>
        <v>0.4</v>
      </c>
      <c r="Y100" s="8">
        <f>MROUND(_xlfn.XLOOKUP(_xlfn.XLOOKUP(B100,'Base stats'!B:B,'Base stats'!E:E),Groups!A:A,Groups!BI:BI)*_xlfn.XLOOKUP(B100,'Base stats'!B:B,'Base stats'!C:C)^0.165,0.05)</f>
        <v>0.05</v>
      </c>
      <c r="Z100" s="18">
        <f>MROUND(_xlfn.XLOOKUP(B100,'Base stats'!B:B,'Base stats'!AQ:AQ)*_xlfn.XLOOKUP(_xlfn.XLOOKUP(B100,'Base stats'!B:B,'Base stats'!E:E),Groups!A:A,Groups!H:H)/1000,IF((_xlfn.XLOOKUP(B100,'Base stats'!B:B,'Base stats'!AQ:AQ)*_xlfn.XLOOKUP(_xlfn.XLOOKUP(B100,'Base stats'!B:B,'Base stats'!E:E),Groups!A:A,Groups!H:H)/1000)&gt;1,0.05,0.01))</f>
        <v>0.09</v>
      </c>
      <c r="AA100" s="18">
        <f>MROUND((1/2)*(_xlfn.XLOOKUP(_xlfn.XLOOKUP(B100,'Base stats'!B:B,'Base stats'!E:E),Groups!A:A,Groups!H:H)*_xlfn.XLOOKUP(_xlfn.XLOOKUP(B100,'Base stats'!B:B,'Base stats'!E:E),Groups!A:A,Groups!I:I))*_xlfn.XLOOKUP(B100,'Base stats'!B:B,'Base stats'!AQ:AQ)*0.01,0.05)</f>
        <v>0.4</v>
      </c>
      <c r="AB100" s="18">
        <f>MROUND(250*(Animals!AO100+Animals!AP100),25)</f>
        <v>550</v>
      </c>
      <c r="AC100" s="18" t="str">
        <f>_xlfn.XLOOKUP(_xlfn.XLOOKUP(B100,'Base stats'!B:B,'Base stats'!E:E),Groups!A:A,Groups!BJ:BJ)</f>
        <v>Quadruped</v>
      </c>
    </row>
    <row r="101" spans="1:29" ht="16.5" thickTop="1" thickBot="1" x14ac:dyDescent="0.3">
      <c r="A101" s="16" t="str">
        <f>Animals!A101</f>
        <v>StoneCrab</v>
      </c>
      <c r="B101" s="6" t="str">
        <f>Animals!B101</f>
        <v>Menippe mercenaria</v>
      </c>
      <c r="C101" s="1" t="str">
        <f>Animals!C101</f>
        <v>&lt;li&gt;StoneCrab&lt;/li&gt;</v>
      </c>
      <c r="D101" s="47">
        <f>MIN(MIN(6,_xlfn.XLOOKUP(A101,Animals!A:A,Animals!AO:AO))*20,MAX(MROUND(_xlfn.XLOOKUP(B101,'Base stats'!B:B,'Base stats'!BS:BS) * (_xlfn.XLOOKUP(B101,'Base stats'!B:B,'Base stats'!AO:AO)*5%)^0.9 / 21,0.1),0.05))</f>
        <v>0.05</v>
      </c>
      <c r="E101" s="11">
        <f>MROUND(_xlfn.XLOOKUP(B101,'Base stats'!B:B,'Base stats'!BG:BG) * 0.01 * 2 + 0.01, 0.05)</f>
        <v>0</v>
      </c>
      <c r="F101" s="7">
        <f>MROUND(_xlfn.XLOOKUP(B101,'Base stats'!B:B,'Base stats'!BD:BD)^0.25 / (_xlfn.XLOOKUP(B101,'Base stats'!B:B,'Base stats'!BK:BK) * 10) * 150 + 0.5 + _xlfn.XLOOKUP(B101,'Base stats'!B:B,'Base stats'!BW:BW), 0.05)</f>
        <v>1.4000000000000001</v>
      </c>
      <c r="G101" s="3" t="str">
        <f>IF(Animals!S101="No","No",
IF(_xlfn.XLOOKUP(B101,'Base stats'!B:B,'Base stats'!U:U)="No",
MAX(MROUND(_xlfn.XLOOKUP(B101,'Base stats'!B:B,'Base stats'!BT:BT) * _xlfn.XLOOKUP(B101,'Base stats'!B:B,'Base stats'!BP:BP)^0.9 / 21 * _xlfn.XLOOKUP(B101,'Base stats'!B:B,'Base stats'!BX:BX),0.1),0.05),
MAX(MROUND(((MIN(10,_xlfn.XLOOKUP(B101,'Base stats'!B:B,'Base stats'!U:U)))^0.4*_xlfn.XLOOKUP(B101,'Base stats'!B:B,'Base stats'!BH:BH)^0.73)^0.6 * _xlfn.XLOOKUP(B101,'Base stats'!B:B,'Base stats'!BX:BX),0.1),0.05)
))</f>
        <v>No</v>
      </c>
      <c r="H101" s="11" t="str">
        <f>IF(G101="No","No",
MROUND(_xlfn.XLOOKUP(B101,'Base stats'!B:B,'Base stats'!BH:BH) * 0.01 * 2 + 0.05, 0.05)
)</f>
        <v>No</v>
      </c>
      <c r="I101" s="11" t="str">
        <f>IF(G101="No","No",IF(_xlfn.XLOOKUP(B101,'Base stats'!B:B,'Base stats'!U:U)="No","No",
MROUND(_xlfn.XLOOKUP(B101,'Base stats'!B:B,'Base stats'!BT:BT)/10000+0.01,0.01)
))</f>
        <v>No</v>
      </c>
      <c r="J101" s="4" t="str">
        <f>IF(G101="No","No",
MROUND(_xlfn.XLOOKUP(B101,'Base stats'!B:B,'Base stats'!BE:BE)^0.25
/((_xlfn.XLOOKUP(B101,'Base stats'!B:B,'Base stats'!BL:BL))*10)*_xlfn.XLOOKUP(_xlfn.XLOOKUP(B101,'Base stats'!B:B,'Base stats'!E:E),Groups!A:A,Groups!Q:Q)*150 + 0.5 + _xlfn.XLOOKUP(B101,'Base stats'!B:B,'Base stats'!BW:BW),
0.05))</f>
        <v>No</v>
      </c>
      <c r="K101" s="3" t="str">
        <f>IF(Animals!X101="No","No",
IF(_xlfn.XLOOKUP(_xlfn.XLOOKUP(B101,'Base stats'!B:B,'Base stats'!E:E),Groups!A:A,Groups!BD:BD)=1,
MAX(MROUND(_xlfn.XLOOKUP(B101,'Base stats'!B:B,'Base stats'!BU:BU) * _xlfn.XLOOKUP(B101,'Base stats'!B:B,'Base stats'!BQ:BQ)^0.9 / 21 *_xlfn.XLOOKUP(B101,'Base stats'!B:B,'Base stats'!BX:BX),0.1),0.05),
MAX(MROUND(((MIN(10,_xlfn.XLOOKUP(B101,'Base stats'!B:B,'Base stats'!W:W)))^0.4*_xlfn.XLOOKUP(B101,'Base stats'!B:B,'Base stats'!BI:BI)^0.73)^0.6 *_xlfn.XLOOKUP(B101,'Base stats'!B:B,'Base stats'!BX:BX),0.1),0.05)
))</f>
        <v>No</v>
      </c>
      <c r="L101" s="11" t="str">
        <f>IF(K101="No","No",
MROUND(_xlfn.XLOOKUP(B101,'Base stats'!B:B,'Base stats'!BI:BI) * 0.01 *2 + 0.05, 0.05)
)</f>
        <v>No</v>
      </c>
      <c r="M101" s="5" t="str">
        <f>IF(K101="No","No",IF(_xlfn.XLOOKUP(_xlfn.XLOOKUP(B101,'Base stats'!B:B,'Base stats'!E:E),Groups!A:A,Groups!BD:BD)=1,"No",
MROUND(_xlfn.XLOOKUP(B101,'Base stats'!B:B,'Base stats'!BU:BU)/10000+0.01,0.01)
))</f>
        <v>No</v>
      </c>
      <c r="N101" s="4" t="str">
        <f>IF(K101="No","No",
MROUND(
  _xlfn.XLOOKUP(B101,'Base stats'!B:B,'Base stats'!BC:BC)^0.25
  / (_xlfn.XLOOKUP(B101,'Base stats'!B:B,'Base stats'!BM:BM) * 10)
  * _xlfn.XLOOKUP(
      _xlfn.XLOOKUP(B101,'Base stats'!B:B,'Base stats'!E:E),
      Groups!A:A,
      Groups!V:V
    ) * 150
  + MIN(12, _xlfn.XLOOKUP(B101,'Base stats'!B:B,'Base stats'!W:W))^(1/IF(_xlfn.XLOOKUP(_xlfn.XLOOKUP(B101,'Base stats'!B:B,'Base stats'!E:E),Groups!A:A,Groups!U:U)=1,100,10)) + 0.5 + _xlfn.XLOOKUP(B101,'Base stats'!B:B,'Base stats'!BW:BW),
0.05))</f>
        <v>No</v>
      </c>
      <c r="O101" s="3" t="str">
        <f>IF(Animals!AD101="No","No",
MAX(MROUND((MIN(10,_xlfn.XLOOKUP(B101,'Base stats'!B:B,'Base stats'!V:V)*IF(_xlfn.XLOOKUP(_xlfn.XLOOKUP(B101,'Base stats'!B:B,'Base stats'!E:E),Groups!A:A,Groups!O:O)=0,1,0.33))^0.4*_xlfn.XLOOKUP(B101,'Base stats'!B:B,'Base stats'!BJ:BJ)^0.73)^0.6 *_xlfn.XLOOKUP(B101,'Base stats'!B:B,'Base stats'!BX:BX),0.1),0.05)
)</f>
        <v>No</v>
      </c>
      <c r="P101" s="11" t="str">
        <f>IF(O101="No","No",
MROUND(_xlfn.XLOOKUP(B101,'Base stats'!B:B,'Base stats'!BJ:BJ) * 0.01 * 2 + 0.05, 0.05)
)</f>
        <v>No</v>
      </c>
      <c r="Q101" s="5" t="str">
        <f>IF(O101="No","No",
MROUND(_xlfn.XLOOKUP(B101,'Base stats'!B:B,'Base stats'!BV:BV)/10000+0.01,0.01)
)</f>
        <v>No</v>
      </c>
      <c r="R101" s="4" t="str">
        <f>IF(O101="No","No",
MROUND(_xlfn.XLOOKUP(B101,'Base stats'!B:B,'Base stats'!BB:BB)^0.25
/((_xlfn.XLOOKUP(B101,'Base stats'!B:B,'Base stats'!BN:BN))*10)*_xlfn.XLOOKUP(_xlfn.XLOOKUP(B101,'Base stats'!B:B,'Base stats'!E:E),Groups!A:A,Groups!Z:Z)*150 + 0.5 + _xlfn.XLOOKUP(B101,'Base stats'!B:B,'Base stats'!BW:BW),
0.05))</f>
        <v>No</v>
      </c>
      <c r="S101" s="3">
        <f>IF(Animals!AI101="No","No",
IF(_xlfn.XLOOKUP(B101,'Base stats'!B:B,'Base stats'!U:U)="No",
MAX(MROUND(_xlfn.XLOOKUP(B101,'Base stats'!B:B,'Base stats'!BT:BT) * _xlfn.XLOOKUP(B101,'Base stats'!B:B,'Base stats'!BP:BP)^0.9 / 21 * _xlfn.XLOOKUP(B101,'Base stats'!B:B,'Base stats'!BX:BX),0.1),0.05),
MAX(MROUND(((MIN(12,_xlfn.XLOOKUP(B101,'Base stats'!B:B,'Base stats'!U:U)))^0.4*_xlfn.XLOOKUP(B101,'Base stats'!B:B,'Base stats'!BH:BH)^0.73)^0.6 * _xlfn.XLOOKUP(B101,'Base stats'!B:B,'Base stats'!BX:BX),0.1),0.05)
))</f>
        <v>2</v>
      </c>
      <c r="T101" s="11">
        <f>IF(S101="No","No",
MROUND(_xlfn.XLOOKUP(B101,'Base stats'!B:B,'Base stats'!BH:BH) * 0.01 * 2 + 0.05, 0.05)
)</f>
        <v>0.15000000000000002</v>
      </c>
      <c r="U101" s="5">
        <f>IF(S101="No","No",IF(_xlfn.XLOOKUP(B101,'Base stats'!B:B,'Base stats'!U:U)="No","No",
MROUND(_xlfn.XLOOKUP(B101,'Base stats'!B:B,'Base stats'!BT:BT)/10000+0.01,0.01)
))</f>
        <v>0.05</v>
      </c>
      <c r="V101" s="4">
        <f>IF(S101="No","No",
MROUND(_xlfn.XLOOKUP(B101,'Base stats'!B:B,'Base stats'!BF:BF)^0.25
/((_xlfn.XLOOKUP(B101,'Base stats'!B:B,'Base stats'!BO:BO))*10)*_xlfn.XLOOKUP(_xlfn.XLOOKUP(B101,'Base stats'!B:B,'Base stats'!E:E),Groups!A:A,Groups!AE:AE)*150 + 0.5 + _xlfn.XLOOKUP(B101,'Base stats'!B:B,'Base stats'!BW:BW),
0.05))</f>
        <v>1.55</v>
      </c>
      <c r="W101" s="8">
        <f>MROUND(_xlfn.XLOOKUP(_xlfn.XLOOKUP(B101,'Base stats'!B:B,'Base stats'!E:E),Groups!A:A,Groups!BG:BG)*_xlfn.XLOOKUP(B101,'Base stats'!B:B,'Base stats'!C:C)^-0.165,0.05)</f>
        <v>0.30000000000000004</v>
      </c>
      <c r="X101" s="1">
        <f>MROUND(_xlfn.XLOOKUP(_xlfn.XLOOKUP(B101,'Base stats'!B:B,'Base stats'!E:E),Groups!A:A,Groups!BH:BH)*_xlfn.XLOOKUP(B101,'Base stats'!B:B,'Base stats'!C:C)^0.165,0.05)</f>
        <v>0</v>
      </c>
      <c r="Y101" s="8">
        <f>MROUND(_xlfn.XLOOKUP(_xlfn.XLOOKUP(B101,'Base stats'!B:B,'Base stats'!E:E),Groups!A:A,Groups!BI:BI)*_xlfn.XLOOKUP(B101,'Base stats'!B:B,'Base stats'!C:C)^0.165,0.05)</f>
        <v>0</v>
      </c>
      <c r="Z101" s="18">
        <f>MROUND(_xlfn.XLOOKUP(B101,'Base stats'!B:B,'Base stats'!AQ:AQ)*_xlfn.XLOOKUP(_xlfn.XLOOKUP(B101,'Base stats'!B:B,'Base stats'!E:E),Groups!A:A,Groups!H:H)/1000,IF((_xlfn.XLOOKUP(B101,'Base stats'!B:B,'Base stats'!AQ:AQ)*_xlfn.XLOOKUP(_xlfn.XLOOKUP(B101,'Base stats'!B:B,'Base stats'!E:E),Groups!A:A,Groups!H:H)/1000)&gt;1,0.05,0.01))</f>
        <v>0.03</v>
      </c>
      <c r="AA101" s="18">
        <f>MROUND((1/2)*(_xlfn.XLOOKUP(_xlfn.XLOOKUP(B101,'Base stats'!B:B,'Base stats'!E:E),Groups!A:A,Groups!H:H)*_xlfn.XLOOKUP(_xlfn.XLOOKUP(B101,'Base stats'!B:B,'Base stats'!E:E),Groups!A:A,Groups!I:I))*_xlfn.XLOOKUP(B101,'Base stats'!B:B,'Base stats'!AQ:AQ)*0.01,0.05)</f>
        <v>0</v>
      </c>
      <c r="AB101" s="18">
        <f>MROUND(250*(Animals!AO101+Animals!AP101),25)</f>
        <v>50</v>
      </c>
      <c r="AC101" s="18" t="str">
        <f>_xlfn.XLOOKUP(_xlfn.XLOOKUP(B101,'Base stats'!B:B,'Base stats'!E:E),Groups!A:A,Groups!BJ:BJ)</f>
        <v>QuadrupedLow</v>
      </c>
    </row>
    <row r="102" spans="1:29" ht="16.5" thickTop="1" thickBot="1" x14ac:dyDescent="0.3">
      <c r="A102" s="16" t="str">
        <f>Animals!A102</f>
        <v>HermitCrab</v>
      </c>
      <c r="B102" s="6" t="str">
        <f>Animals!B102</f>
        <v>Coenobita perlatus</v>
      </c>
      <c r="C102" s="1" t="str">
        <f>Animals!C102</f>
        <v>&lt;li&gt;HermitCrab&lt;/li&gt;</v>
      </c>
      <c r="D102" s="47">
        <f>MIN(MIN(6,_xlfn.XLOOKUP(A102,Animals!A:A,Animals!AO:AO))*20,MAX(MROUND(_xlfn.XLOOKUP(B102,'Base stats'!B:B,'Base stats'!BS:BS) * (_xlfn.XLOOKUP(B102,'Base stats'!B:B,'Base stats'!AO:AO)*5%)^0.9 / 21,0.1),0.05))</f>
        <v>0.05</v>
      </c>
      <c r="E102" s="11">
        <f>MROUND(_xlfn.XLOOKUP(B102,'Base stats'!B:B,'Base stats'!BG:BG) * 0.01 * 2 + 0.01, 0.05)</f>
        <v>0</v>
      </c>
      <c r="F102" s="7">
        <f>MROUND(_xlfn.XLOOKUP(B102,'Base stats'!B:B,'Base stats'!BD:BD)^0.25 / (_xlfn.XLOOKUP(B102,'Base stats'!B:B,'Base stats'!BK:BK) * 10) * 150 + 0.5 + _xlfn.XLOOKUP(B102,'Base stats'!B:B,'Base stats'!BW:BW), 0.05)</f>
        <v>1.4000000000000001</v>
      </c>
      <c r="G102" s="3" t="str">
        <f>IF(Animals!S102="No","No",
IF(_xlfn.XLOOKUP(B102,'Base stats'!B:B,'Base stats'!U:U)="No",
MAX(MROUND(_xlfn.XLOOKUP(B102,'Base stats'!B:B,'Base stats'!BT:BT) * _xlfn.XLOOKUP(B102,'Base stats'!B:B,'Base stats'!BP:BP)^0.9 / 21 * _xlfn.XLOOKUP(B102,'Base stats'!B:B,'Base stats'!BX:BX),0.1),0.05),
MAX(MROUND(((MIN(10,_xlfn.XLOOKUP(B102,'Base stats'!B:B,'Base stats'!U:U)))^0.4*_xlfn.XLOOKUP(B102,'Base stats'!B:B,'Base stats'!BH:BH)^0.73)^0.6 * _xlfn.XLOOKUP(B102,'Base stats'!B:B,'Base stats'!BX:BX),0.1),0.05)
))</f>
        <v>No</v>
      </c>
      <c r="H102" s="11" t="str">
        <f>IF(G102="No","No",
MROUND(_xlfn.XLOOKUP(B102,'Base stats'!B:B,'Base stats'!BH:BH) * 0.01 * 2 + 0.05, 0.05)
)</f>
        <v>No</v>
      </c>
      <c r="I102" s="11" t="str">
        <f>IF(G102="No","No",IF(_xlfn.XLOOKUP(B102,'Base stats'!B:B,'Base stats'!U:U)="No","No",
MROUND(_xlfn.XLOOKUP(B102,'Base stats'!B:B,'Base stats'!BT:BT)/10000+0.01,0.01)
))</f>
        <v>No</v>
      </c>
      <c r="J102" s="4" t="str">
        <f>IF(G102="No","No",
MROUND(_xlfn.XLOOKUP(B102,'Base stats'!B:B,'Base stats'!BE:BE)^0.25
/((_xlfn.XLOOKUP(B102,'Base stats'!B:B,'Base stats'!BL:BL))*10)*_xlfn.XLOOKUP(_xlfn.XLOOKUP(B102,'Base stats'!B:B,'Base stats'!E:E),Groups!A:A,Groups!Q:Q)*150 + 0.5 + _xlfn.XLOOKUP(B102,'Base stats'!B:B,'Base stats'!BW:BW),
0.05))</f>
        <v>No</v>
      </c>
      <c r="K102" s="3" t="str">
        <f>IF(Animals!X102="No","No",
IF(_xlfn.XLOOKUP(_xlfn.XLOOKUP(B102,'Base stats'!B:B,'Base stats'!E:E),Groups!A:A,Groups!BD:BD)=1,
MAX(MROUND(_xlfn.XLOOKUP(B102,'Base stats'!B:B,'Base stats'!BU:BU) * _xlfn.XLOOKUP(B102,'Base stats'!B:B,'Base stats'!BQ:BQ)^0.9 / 21 *_xlfn.XLOOKUP(B102,'Base stats'!B:B,'Base stats'!BX:BX),0.1),0.05),
MAX(MROUND(((MIN(10,_xlfn.XLOOKUP(B102,'Base stats'!B:B,'Base stats'!W:W)))^0.4*_xlfn.XLOOKUP(B102,'Base stats'!B:B,'Base stats'!BI:BI)^0.73)^0.6 *_xlfn.XLOOKUP(B102,'Base stats'!B:B,'Base stats'!BX:BX),0.1),0.05)
))</f>
        <v>No</v>
      </c>
      <c r="L102" s="11" t="str">
        <f>IF(K102="No","No",
MROUND(_xlfn.XLOOKUP(B102,'Base stats'!B:B,'Base stats'!BI:BI) * 0.01 *2 + 0.05, 0.05)
)</f>
        <v>No</v>
      </c>
      <c r="M102" s="5" t="str">
        <f>IF(K102="No","No",IF(_xlfn.XLOOKUP(_xlfn.XLOOKUP(B102,'Base stats'!B:B,'Base stats'!E:E),Groups!A:A,Groups!BD:BD)=1,"No",
MROUND(_xlfn.XLOOKUP(B102,'Base stats'!B:B,'Base stats'!BU:BU)/10000+0.01,0.01)
))</f>
        <v>No</v>
      </c>
      <c r="N102" s="4" t="str">
        <f>IF(K102="No","No",
MROUND(
  _xlfn.XLOOKUP(B102,'Base stats'!B:B,'Base stats'!BC:BC)^0.25
  / (_xlfn.XLOOKUP(B102,'Base stats'!B:B,'Base stats'!BM:BM) * 10)
  * _xlfn.XLOOKUP(
      _xlfn.XLOOKUP(B102,'Base stats'!B:B,'Base stats'!E:E),
      Groups!A:A,
      Groups!V:V
    ) * 150
  + MIN(12, _xlfn.XLOOKUP(B102,'Base stats'!B:B,'Base stats'!W:W))^(1/IF(_xlfn.XLOOKUP(_xlfn.XLOOKUP(B102,'Base stats'!B:B,'Base stats'!E:E),Groups!A:A,Groups!U:U)=1,100,10)) + 0.5 + _xlfn.XLOOKUP(B102,'Base stats'!B:B,'Base stats'!BW:BW),
0.05))</f>
        <v>No</v>
      </c>
      <c r="O102" s="3" t="str">
        <f>IF(Animals!AD102="No","No",
MAX(MROUND((MIN(10,_xlfn.XLOOKUP(B102,'Base stats'!B:B,'Base stats'!V:V)*IF(_xlfn.XLOOKUP(_xlfn.XLOOKUP(B102,'Base stats'!B:B,'Base stats'!E:E),Groups!A:A,Groups!O:O)=0,1,0.33))^0.4*_xlfn.XLOOKUP(B102,'Base stats'!B:B,'Base stats'!BJ:BJ)^0.73)^0.6 *_xlfn.XLOOKUP(B102,'Base stats'!B:B,'Base stats'!BX:BX),0.1),0.05)
)</f>
        <v>No</v>
      </c>
      <c r="P102" s="11" t="str">
        <f>IF(O102="No","No",
MROUND(_xlfn.XLOOKUP(B102,'Base stats'!B:B,'Base stats'!BJ:BJ) * 0.01 * 2 + 0.05, 0.05)
)</f>
        <v>No</v>
      </c>
      <c r="Q102" s="5" t="str">
        <f>IF(O102="No","No",
MROUND(_xlfn.XLOOKUP(B102,'Base stats'!B:B,'Base stats'!BV:BV)/10000+0.01,0.01)
)</f>
        <v>No</v>
      </c>
      <c r="R102" s="4" t="str">
        <f>IF(O102="No","No",
MROUND(_xlfn.XLOOKUP(B102,'Base stats'!B:B,'Base stats'!BB:BB)^0.25
/((_xlfn.XLOOKUP(B102,'Base stats'!B:B,'Base stats'!BN:BN))*10)*_xlfn.XLOOKUP(_xlfn.XLOOKUP(B102,'Base stats'!B:B,'Base stats'!E:E),Groups!A:A,Groups!Z:Z)*150 + 0.5 + _xlfn.XLOOKUP(B102,'Base stats'!B:B,'Base stats'!BW:BW),
0.05))</f>
        <v>No</v>
      </c>
      <c r="S102" s="3">
        <f>IF(Animals!AI102="No","No",
IF(_xlfn.XLOOKUP(B102,'Base stats'!B:B,'Base stats'!U:U)="No",
MAX(MROUND(_xlfn.XLOOKUP(B102,'Base stats'!B:B,'Base stats'!BT:BT) * _xlfn.XLOOKUP(B102,'Base stats'!B:B,'Base stats'!BP:BP)^0.9 / 21 * _xlfn.XLOOKUP(B102,'Base stats'!B:B,'Base stats'!BX:BX),0.1),0.05),
MAX(MROUND(((MIN(12,_xlfn.XLOOKUP(B102,'Base stats'!B:B,'Base stats'!U:U)))^0.4*_xlfn.XLOOKUP(B102,'Base stats'!B:B,'Base stats'!BH:BH)^0.73)^0.6 * _xlfn.XLOOKUP(B102,'Base stats'!B:B,'Base stats'!BX:BX),0.1),0.05)
))</f>
        <v>2</v>
      </c>
      <c r="T102" s="11">
        <f>IF(S102="No","No",
MROUND(_xlfn.XLOOKUP(B102,'Base stats'!B:B,'Base stats'!BH:BH) * 0.01 * 2 + 0.05, 0.05)
)</f>
        <v>0.15000000000000002</v>
      </c>
      <c r="U102" s="5">
        <f>IF(S102="No","No",IF(_xlfn.XLOOKUP(B102,'Base stats'!B:B,'Base stats'!U:U)="No","No",
MROUND(_xlfn.XLOOKUP(B102,'Base stats'!B:B,'Base stats'!BT:BT)/10000+0.01,0.01)
))</f>
        <v>0.05</v>
      </c>
      <c r="V102" s="4">
        <f>IF(S102="No","No",
MROUND(_xlfn.XLOOKUP(B102,'Base stats'!B:B,'Base stats'!BF:BF)^0.25
/((_xlfn.XLOOKUP(B102,'Base stats'!B:B,'Base stats'!BO:BO))*10)*_xlfn.XLOOKUP(_xlfn.XLOOKUP(B102,'Base stats'!B:B,'Base stats'!E:E),Groups!A:A,Groups!AE:AE)*150 + 0.5 + _xlfn.XLOOKUP(B102,'Base stats'!B:B,'Base stats'!BW:BW),
0.05))</f>
        <v>1.55</v>
      </c>
      <c r="W102" s="8">
        <f>MROUND(_xlfn.XLOOKUP(_xlfn.XLOOKUP(B102,'Base stats'!B:B,'Base stats'!E:E),Groups!A:A,Groups!BG:BG)*_xlfn.XLOOKUP(B102,'Base stats'!B:B,'Base stats'!C:C)^-0.165,0.05)</f>
        <v>0.30000000000000004</v>
      </c>
      <c r="X102" s="1">
        <f>MROUND(_xlfn.XLOOKUP(_xlfn.XLOOKUP(B102,'Base stats'!B:B,'Base stats'!E:E),Groups!A:A,Groups!BH:BH)*_xlfn.XLOOKUP(B102,'Base stats'!B:B,'Base stats'!C:C)^0.165,0.05)</f>
        <v>0</v>
      </c>
      <c r="Y102" s="8">
        <f>MROUND(_xlfn.XLOOKUP(_xlfn.XLOOKUP(B102,'Base stats'!B:B,'Base stats'!E:E),Groups!A:A,Groups!BI:BI)*_xlfn.XLOOKUP(B102,'Base stats'!B:B,'Base stats'!C:C)^0.165,0.05)</f>
        <v>0</v>
      </c>
      <c r="Z102" s="18">
        <f>MROUND(_xlfn.XLOOKUP(B102,'Base stats'!B:B,'Base stats'!AQ:AQ)*_xlfn.XLOOKUP(_xlfn.XLOOKUP(B102,'Base stats'!B:B,'Base stats'!E:E),Groups!A:A,Groups!H:H)/1000,IF((_xlfn.XLOOKUP(B102,'Base stats'!B:B,'Base stats'!AQ:AQ)*_xlfn.XLOOKUP(_xlfn.XLOOKUP(B102,'Base stats'!B:B,'Base stats'!E:E),Groups!A:A,Groups!H:H)/1000)&gt;1,0.05,0.01))</f>
        <v>0.03</v>
      </c>
      <c r="AA102" s="18">
        <f>MROUND((1/2)*(_xlfn.XLOOKUP(_xlfn.XLOOKUP(B102,'Base stats'!B:B,'Base stats'!E:E),Groups!A:A,Groups!H:H)*_xlfn.XLOOKUP(_xlfn.XLOOKUP(B102,'Base stats'!B:B,'Base stats'!E:E),Groups!A:A,Groups!I:I))*_xlfn.XLOOKUP(B102,'Base stats'!B:B,'Base stats'!AQ:AQ)*0.01,0.05)</f>
        <v>0</v>
      </c>
      <c r="AB102" s="18">
        <f>MROUND(250*(Animals!AO102+Animals!AP102),25)</f>
        <v>50</v>
      </c>
      <c r="AC102" s="18" t="str">
        <f>_xlfn.XLOOKUP(_xlfn.XLOOKUP(B102,'Base stats'!B:B,'Base stats'!E:E),Groups!A:A,Groups!BJ:BJ)</f>
        <v>QuadrupedLow</v>
      </c>
    </row>
    <row r="103" spans="1:29" ht="16.5" thickTop="1" thickBot="1" x14ac:dyDescent="0.3">
      <c r="A103" s="16" t="str">
        <f>Animals!A103</f>
        <v>Megascarab</v>
      </c>
      <c r="B103" s="6" t="str">
        <f>Animals!B103</f>
        <v>Titanocoleus ferox</v>
      </c>
      <c r="C103" s="1" t="str">
        <f>Animals!C103</f>
        <v>&lt;li&gt;Megascarab&lt;/li&gt;</v>
      </c>
      <c r="D103" s="47">
        <f>MIN(MIN(6,_xlfn.XLOOKUP(A103,Animals!A:A,Animals!AO:AO))*20,MAX(MROUND(_xlfn.XLOOKUP(B103,'Base stats'!B:B,'Base stats'!BS:BS) * (_xlfn.XLOOKUP(B103,'Base stats'!B:B,'Base stats'!AO:AO)*5%)^0.9 / 21,0.1),0.05))</f>
        <v>0.2</v>
      </c>
      <c r="E103" s="11">
        <f>MROUND(_xlfn.XLOOKUP(B103,'Base stats'!B:B,'Base stats'!BG:BG) * 0.01 * 2 + 0.01, 0.05)</f>
        <v>0.15000000000000002</v>
      </c>
      <c r="F103" s="7">
        <f>MROUND(_xlfn.XLOOKUP(B103,'Base stats'!B:B,'Base stats'!BD:BD)^0.25 / (_xlfn.XLOOKUP(B103,'Base stats'!B:B,'Base stats'!BK:BK) * 10) * 150 + 0.5 + _xlfn.XLOOKUP(B103,'Base stats'!B:B,'Base stats'!BW:BW), 0.05)</f>
        <v>2.0500000000000003</v>
      </c>
      <c r="G103" s="3" t="str">
        <f>IF(Animals!S103="No","No",
IF(_xlfn.XLOOKUP(B103,'Base stats'!B:B,'Base stats'!U:U)="No",
MAX(MROUND(_xlfn.XLOOKUP(B103,'Base stats'!B:B,'Base stats'!BT:BT) * _xlfn.XLOOKUP(B103,'Base stats'!B:B,'Base stats'!BP:BP)^0.9 / 21 * _xlfn.XLOOKUP(B103,'Base stats'!B:B,'Base stats'!BX:BX),0.1),0.05),
MAX(MROUND(((MIN(10,_xlfn.XLOOKUP(B103,'Base stats'!B:B,'Base stats'!U:U)))^0.4*_xlfn.XLOOKUP(B103,'Base stats'!B:B,'Base stats'!BH:BH)^0.73)^0.6 * _xlfn.XLOOKUP(B103,'Base stats'!B:B,'Base stats'!BX:BX),0.1),0.05)
))</f>
        <v>No</v>
      </c>
      <c r="H103" s="11" t="str">
        <f>IF(G103="No","No",
MROUND(_xlfn.XLOOKUP(B103,'Base stats'!B:B,'Base stats'!BH:BH) * 0.01 * 2 + 0.05, 0.05)
)</f>
        <v>No</v>
      </c>
      <c r="I103" s="11" t="str">
        <f>IF(G103="No","No",IF(_xlfn.XLOOKUP(B103,'Base stats'!B:B,'Base stats'!U:U)="No","No",
MROUND(_xlfn.XLOOKUP(B103,'Base stats'!B:B,'Base stats'!BT:BT)/10000+0.01,0.01)
))</f>
        <v>No</v>
      </c>
      <c r="J103" s="4" t="str">
        <f>IF(G103="No","No",
MROUND(_xlfn.XLOOKUP(B103,'Base stats'!B:B,'Base stats'!BE:BE)^0.25
/((_xlfn.XLOOKUP(B103,'Base stats'!B:B,'Base stats'!BL:BL))*10)*_xlfn.XLOOKUP(_xlfn.XLOOKUP(B103,'Base stats'!B:B,'Base stats'!E:E),Groups!A:A,Groups!Q:Q)*150 + 0.5 + _xlfn.XLOOKUP(B103,'Base stats'!B:B,'Base stats'!BW:BW),
0.05))</f>
        <v>No</v>
      </c>
      <c r="K103" s="3" t="str">
        <f>IF(Animals!X103="No","No",
IF(_xlfn.XLOOKUP(_xlfn.XLOOKUP(B103,'Base stats'!B:B,'Base stats'!E:E),Groups!A:A,Groups!BD:BD)=1,
MAX(MROUND(_xlfn.XLOOKUP(B103,'Base stats'!B:B,'Base stats'!BU:BU) * _xlfn.XLOOKUP(B103,'Base stats'!B:B,'Base stats'!BQ:BQ)^0.9 / 21 *_xlfn.XLOOKUP(B103,'Base stats'!B:B,'Base stats'!BX:BX),0.1),0.05),
MAX(MROUND(((MIN(10,_xlfn.XLOOKUP(B103,'Base stats'!B:B,'Base stats'!W:W)))^0.4*_xlfn.XLOOKUP(B103,'Base stats'!B:B,'Base stats'!BI:BI)^0.73)^0.6 *_xlfn.XLOOKUP(B103,'Base stats'!B:B,'Base stats'!BX:BX),0.1),0.05)
))</f>
        <v>No</v>
      </c>
      <c r="L103" s="11" t="str">
        <f>IF(K103="No","No",
MROUND(_xlfn.XLOOKUP(B103,'Base stats'!B:B,'Base stats'!BI:BI) * 0.01 *2 + 0.05, 0.05)
)</f>
        <v>No</v>
      </c>
      <c r="M103" s="5" t="str">
        <f>IF(K103="No","No",IF(_xlfn.XLOOKUP(_xlfn.XLOOKUP(B103,'Base stats'!B:B,'Base stats'!E:E),Groups!A:A,Groups!BD:BD)=1,"No",
MROUND(_xlfn.XLOOKUP(B103,'Base stats'!B:B,'Base stats'!BU:BU)/10000+0.01,0.01)
))</f>
        <v>No</v>
      </c>
      <c r="N103" s="4" t="str">
        <f>IF(K103="No","No",
MROUND(
  _xlfn.XLOOKUP(B103,'Base stats'!B:B,'Base stats'!BC:BC)^0.25
  / (_xlfn.XLOOKUP(B103,'Base stats'!B:B,'Base stats'!BM:BM) * 10)
  * _xlfn.XLOOKUP(
      _xlfn.XLOOKUP(B103,'Base stats'!B:B,'Base stats'!E:E),
      Groups!A:A,
      Groups!V:V
    ) * 150
  + MIN(12, _xlfn.XLOOKUP(B103,'Base stats'!B:B,'Base stats'!W:W))^(1/IF(_xlfn.XLOOKUP(_xlfn.XLOOKUP(B103,'Base stats'!B:B,'Base stats'!E:E),Groups!A:A,Groups!U:U)=1,100,10)) + 0.5 + _xlfn.XLOOKUP(B103,'Base stats'!B:B,'Base stats'!BW:BW),
0.05))</f>
        <v>No</v>
      </c>
      <c r="O103" s="3">
        <f>IF(Animals!AD103="No","No",
MAX(MROUND((MIN(10,_xlfn.XLOOKUP(B103,'Base stats'!B:B,'Base stats'!V:V)*IF(_xlfn.XLOOKUP(_xlfn.XLOOKUP(B103,'Base stats'!B:B,'Base stats'!E:E),Groups!A:A,Groups!O:O)=0,1,0.33))^0.4*_xlfn.XLOOKUP(B103,'Base stats'!B:B,'Base stats'!BJ:BJ)^0.73)^0.6 *_xlfn.XLOOKUP(B103,'Base stats'!B:B,'Base stats'!BX:BX),0.1),0.05)
)</f>
        <v>9.5</v>
      </c>
      <c r="P103" s="11">
        <f>IF(O103="No","No",
MROUND(_xlfn.XLOOKUP(B103,'Base stats'!B:B,'Base stats'!BJ:BJ) * 0.01 * 2 + 0.05, 0.05)
)</f>
        <v>1.6500000000000001</v>
      </c>
      <c r="Q103" s="5">
        <f>IF(O103="No","No",
MROUND(_xlfn.XLOOKUP(B103,'Base stats'!B:B,'Base stats'!BV:BV)/10000+0.01,0.01)
)</f>
        <v>0.22</v>
      </c>
      <c r="R103" s="4">
        <f>IF(O103="No","No",
MROUND(_xlfn.XLOOKUP(B103,'Base stats'!B:B,'Base stats'!BB:BB)^0.25
/((_xlfn.XLOOKUP(B103,'Base stats'!B:B,'Base stats'!BN:BN))*10)*_xlfn.XLOOKUP(_xlfn.XLOOKUP(B103,'Base stats'!B:B,'Base stats'!E:E),Groups!A:A,Groups!Z:Z)*150 + 0.5 + _xlfn.XLOOKUP(B103,'Base stats'!B:B,'Base stats'!BW:BW),
0.05))</f>
        <v>1.6</v>
      </c>
      <c r="S103" s="3" t="str">
        <f>IF(Animals!AI103="No","No",
IF(_xlfn.XLOOKUP(B103,'Base stats'!B:B,'Base stats'!U:U)="No",
MAX(MROUND(_xlfn.XLOOKUP(B103,'Base stats'!B:B,'Base stats'!BT:BT) * _xlfn.XLOOKUP(B103,'Base stats'!B:B,'Base stats'!BP:BP)^0.9 / 21 * _xlfn.XLOOKUP(B103,'Base stats'!B:B,'Base stats'!BX:BX),0.1),0.05),
MAX(MROUND(((MIN(12,_xlfn.XLOOKUP(B103,'Base stats'!B:B,'Base stats'!U:U)))^0.4*_xlfn.XLOOKUP(B103,'Base stats'!B:B,'Base stats'!BH:BH)^0.73)^0.6 * _xlfn.XLOOKUP(B103,'Base stats'!B:B,'Base stats'!BX:BX),0.1),0.05)
))</f>
        <v>No</v>
      </c>
      <c r="T103" s="11" t="str">
        <f>IF(S103="No","No",
MROUND(_xlfn.XLOOKUP(B103,'Base stats'!B:B,'Base stats'!BH:BH) * 0.01 * 2 + 0.05, 0.05)
)</f>
        <v>No</v>
      </c>
      <c r="U103" s="5" t="str">
        <f>IF(S103="No","No",IF(_xlfn.XLOOKUP(B103,'Base stats'!B:B,'Base stats'!U:U)="No","No",
MROUND(_xlfn.XLOOKUP(B103,'Base stats'!B:B,'Base stats'!BT:BT)/10000+0.01,0.01)
))</f>
        <v>No</v>
      </c>
      <c r="V103" s="4" t="str">
        <f>IF(S103="No","No",
MROUND(_xlfn.XLOOKUP(B103,'Base stats'!B:B,'Base stats'!BF:BF)^0.25
/((_xlfn.XLOOKUP(B103,'Base stats'!B:B,'Base stats'!BO:BO))*10)*_xlfn.XLOOKUP(_xlfn.XLOOKUP(B103,'Base stats'!B:B,'Base stats'!E:E),Groups!A:A,Groups!AE:AE)*150 + 0.5 + _xlfn.XLOOKUP(B103,'Base stats'!B:B,'Base stats'!BW:BW),
0.05))</f>
        <v>No</v>
      </c>
      <c r="W103" s="8">
        <f>MROUND(_xlfn.XLOOKUP(_xlfn.XLOOKUP(B103,'Base stats'!B:B,'Base stats'!E:E),Groups!A:A,Groups!BG:BG)*_xlfn.XLOOKUP(B103,'Base stats'!B:B,'Base stats'!C:C)^-0.165,0.05)</f>
        <v>0.15000000000000002</v>
      </c>
      <c r="X103" s="1">
        <f>MROUND(_xlfn.XLOOKUP(_xlfn.XLOOKUP(B103,'Base stats'!B:B,'Base stats'!E:E),Groups!A:A,Groups!BH:BH)*_xlfn.XLOOKUP(B103,'Base stats'!B:B,'Base stats'!C:C)^0.165,0.05)</f>
        <v>0.15000000000000002</v>
      </c>
      <c r="Y103" s="8">
        <f>MROUND(_xlfn.XLOOKUP(_xlfn.XLOOKUP(B103,'Base stats'!B:B,'Base stats'!E:E),Groups!A:A,Groups!BI:BI)*_xlfn.XLOOKUP(B103,'Base stats'!B:B,'Base stats'!C:C)^0.165,0.05)</f>
        <v>0.05</v>
      </c>
      <c r="Z103" s="18">
        <f>MROUND(_xlfn.XLOOKUP(B103,'Base stats'!B:B,'Base stats'!AQ:AQ)*_xlfn.XLOOKUP(_xlfn.XLOOKUP(B103,'Base stats'!B:B,'Base stats'!E:E),Groups!A:A,Groups!H:H)/1000,IF((_xlfn.XLOOKUP(B103,'Base stats'!B:B,'Base stats'!AQ:AQ)*_xlfn.XLOOKUP(_xlfn.XLOOKUP(B103,'Base stats'!B:B,'Base stats'!E:E),Groups!A:A,Groups!H:H)/1000)&gt;1,0.05,0.01))</f>
        <v>0.51</v>
      </c>
      <c r="AA103" s="18">
        <f>MROUND((1/2)*(_xlfn.XLOOKUP(_xlfn.XLOOKUP(B103,'Base stats'!B:B,'Base stats'!E:E),Groups!A:A,Groups!H:H)*_xlfn.XLOOKUP(_xlfn.XLOOKUP(B103,'Base stats'!B:B,'Base stats'!E:E),Groups!A:A,Groups!I:I))*_xlfn.XLOOKUP(B103,'Base stats'!B:B,'Base stats'!AQ:AQ)*0.01,0.05)</f>
        <v>0.05</v>
      </c>
      <c r="AB103" s="18">
        <f>MROUND(250*(Animals!AO103+Animals!AP103),25)</f>
        <v>200</v>
      </c>
      <c r="AC103" s="18" t="str">
        <f>_xlfn.XLOOKUP(_xlfn.XLOOKUP(B103,'Base stats'!B:B,'Base stats'!E:E),Groups!A:A,Groups!BJ:BJ)</f>
        <v>QuadrupedLow</v>
      </c>
    </row>
    <row r="104" spans="1:29" ht="16.5" thickTop="1" thickBot="1" x14ac:dyDescent="0.3">
      <c r="A104" s="16" t="str">
        <f>Animals!A104</f>
        <v>Spelopede</v>
      </c>
      <c r="B104" s="6" t="str">
        <f>Animals!B104</f>
        <v>Cryptomorphus serpentinus</v>
      </c>
      <c r="C104" s="1" t="str">
        <f>Animals!C104</f>
        <v>&lt;li&gt;Spelopede&lt;/li&gt;</v>
      </c>
      <c r="D104" s="47">
        <f>MIN(MIN(6,_xlfn.XLOOKUP(A104,Animals!A:A,Animals!AO:AO))*20,MAX(MROUND(_xlfn.XLOOKUP(B104,'Base stats'!B:B,'Base stats'!BS:BS) * (_xlfn.XLOOKUP(B104,'Base stats'!B:B,'Base stats'!AO:AO)*5%)^0.9 / 21,0.1),0.05))</f>
        <v>2.1</v>
      </c>
      <c r="E104" s="11">
        <f>MROUND(_xlfn.XLOOKUP(B104,'Base stats'!B:B,'Base stats'!BG:BG) * 0.01 * 2 + 0.01, 0.05)</f>
        <v>1.9000000000000001</v>
      </c>
      <c r="F104" s="7">
        <f>MROUND(_xlfn.XLOOKUP(B104,'Base stats'!B:B,'Base stats'!BD:BD)^0.25 / (_xlfn.XLOOKUP(B104,'Base stats'!B:B,'Base stats'!BK:BK) * 10) * 150 + 0.5 + _xlfn.XLOOKUP(B104,'Base stats'!B:B,'Base stats'!BW:BW), 0.05)</f>
        <v>2.85</v>
      </c>
      <c r="G104" s="3" t="str">
        <f>IF(Animals!S104="No","No",
IF(_xlfn.XLOOKUP(B104,'Base stats'!B:B,'Base stats'!U:U)="No",
MAX(MROUND(_xlfn.XLOOKUP(B104,'Base stats'!B:B,'Base stats'!BT:BT) * _xlfn.XLOOKUP(B104,'Base stats'!B:B,'Base stats'!BP:BP)^0.9 / 21 * _xlfn.XLOOKUP(B104,'Base stats'!B:B,'Base stats'!BX:BX),0.1),0.05),
MAX(MROUND(((MIN(10,_xlfn.XLOOKUP(B104,'Base stats'!B:B,'Base stats'!U:U)))^0.4*_xlfn.XLOOKUP(B104,'Base stats'!B:B,'Base stats'!BH:BH)^0.73)^0.6 * _xlfn.XLOOKUP(B104,'Base stats'!B:B,'Base stats'!BX:BX),0.1),0.05)
))</f>
        <v>No</v>
      </c>
      <c r="H104" s="11" t="str">
        <f>IF(G104="No","No",
MROUND(_xlfn.XLOOKUP(B104,'Base stats'!B:B,'Base stats'!BH:BH) * 0.01 * 2 + 0.05, 0.05)
)</f>
        <v>No</v>
      </c>
      <c r="I104" s="11" t="str">
        <f>IF(G104="No","No",IF(_xlfn.XLOOKUP(B104,'Base stats'!B:B,'Base stats'!U:U)="No","No",
MROUND(_xlfn.XLOOKUP(B104,'Base stats'!B:B,'Base stats'!BT:BT)/10000+0.01,0.01)
))</f>
        <v>No</v>
      </c>
      <c r="J104" s="4" t="str">
        <f>IF(G104="No","No",
MROUND(_xlfn.XLOOKUP(B104,'Base stats'!B:B,'Base stats'!BE:BE)^0.25
/((_xlfn.XLOOKUP(B104,'Base stats'!B:B,'Base stats'!BL:BL))*10)*_xlfn.XLOOKUP(_xlfn.XLOOKUP(B104,'Base stats'!B:B,'Base stats'!E:E),Groups!A:A,Groups!Q:Q)*150 + 0.5 + _xlfn.XLOOKUP(B104,'Base stats'!B:B,'Base stats'!BW:BW),
0.05))</f>
        <v>No</v>
      </c>
      <c r="K104" s="3" t="str">
        <f>IF(Animals!X104="No","No",
IF(_xlfn.XLOOKUP(_xlfn.XLOOKUP(B104,'Base stats'!B:B,'Base stats'!E:E),Groups!A:A,Groups!BD:BD)=1,
MAX(MROUND(_xlfn.XLOOKUP(B104,'Base stats'!B:B,'Base stats'!BU:BU) * _xlfn.XLOOKUP(B104,'Base stats'!B:B,'Base stats'!BQ:BQ)^0.9 / 21 *_xlfn.XLOOKUP(B104,'Base stats'!B:B,'Base stats'!BX:BX),0.1),0.05),
MAX(MROUND(((MIN(10,_xlfn.XLOOKUP(B104,'Base stats'!B:B,'Base stats'!W:W)))^0.4*_xlfn.XLOOKUP(B104,'Base stats'!B:B,'Base stats'!BI:BI)^0.73)^0.6 *_xlfn.XLOOKUP(B104,'Base stats'!B:B,'Base stats'!BX:BX),0.1),0.05)
))</f>
        <v>No</v>
      </c>
      <c r="L104" s="11" t="str">
        <f>IF(K104="No","No",
MROUND(_xlfn.XLOOKUP(B104,'Base stats'!B:B,'Base stats'!BI:BI) * 0.01 *2 + 0.05, 0.05)
)</f>
        <v>No</v>
      </c>
      <c r="M104" s="5" t="str">
        <f>IF(K104="No","No",IF(_xlfn.XLOOKUP(_xlfn.XLOOKUP(B104,'Base stats'!B:B,'Base stats'!E:E),Groups!A:A,Groups!BD:BD)=1,"No",
MROUND(_xlfn.XLOOKUP(B104,'Base stats'!B:B,'Base stats'!BU:BU)/10000+0.01,0.01)
))</f>
        <v>No</v>
      </c>
      <c r="N104" s="4" t="str">
        <f>IF(K104="No","No",
MROUND(
  _xlfn.XLOOKUP(B104,'Base stats'!B:B,'Base stats'!BC:BC)^0.25
  / (_xlfn.XLOOKUP(B104,'Base stats'!B:B,'Base stats'!BM:BM) * 10)
  * _xlfn.XLOOKUP(
      _xlfn.XLOOKUP(B104,'Base stats'!B:B,'Base stats'!E:E),
      Groups!A:A,
      Groups!V:V
    ) * 150
  + MIN(12, _xlfn.XLOOKUP(B104,'Base stats'!B:B,'Base stats'!W:W))^(1/IF(_xlfn.XLOOKUP(_xlfn.XLOOKUP(B104,'Base stats'!B:B,'Base stats'!E:E),Groups!A:A,Groups!U:U)=1,100,10)) + 0.5 + _xlfn.XLOOKUP(B104,'Base stats'!B:B,'Base stats'!BW:BW),
0.05))</f>
        <v>No</v>
      </c>
      <c r="O104" s="3">
        <f>IF(Animals!AD104="No","No",
MAX(MROUND((MIN(10,_xlfn.XLOOKUP(B104,'Base stats'!B:B,'Base stats'!V:V)*IF(_xlfn.XLOOKUP(_xlfn.XLOOKUP(B104,'Base stats'!B:B,'Base stats'!E:E),Groups!A:A,Groups!O:O)=0,1,0.33))^0.4*_xlfn.XLOOKUP(B104,'Base stats'!B:B,'Base stats'!BJ:BJ)^0.73)^0.6 *_xlfn.XLOOKUP(B104,'Base stats'!B:B,'Base stats'!BX:BX),0.1),0.05)
)</f>
        <v>30.5</v>
      </c>
      <c r="P104" s="11">
        <f>IF(O104="No","No",
MROUND(_xlfn.XLOOKUP(B104,'Base stats'!B:B,'Base stats'!BJ:BJ) * 0.01 * 2 + 0.05, 0.05)
)</f>
        <v>13.950000000000001</v>
      </c>
      <c r="Q104" s="5">
        <f>IF(O104="No","No",
MROUND(_xlfn.XLOOKUP(B104,'Base stats'!B:B,'Base stats'!BV:BV)/10000+0.01,0.01)
)</f>
        <v>0.62</v>
      </c>
      <c r="R104" s="4">
        <f>IF(O104="No","No",
MROUND(_xlfn.XLOOKUP(B104,'Base stats'!B:B,'Base stats'!BB:BB)^0.25
/((_xlfn.XLOOKUP(B104,'Base stats'!B:B,'Base stats'!BN:BN))*10)*_xlfn.XLOOKUP(_xlfn.XLOOKUP(B104,'Base stats'!B:B,'Base stats'!E:E),Groups!A:A,Groups!Z:Z)*150 + 0.5 + _xlfn.XLOOKUP(B104,'Base stats'!B:B,'Base stats'!BW:BW),
0.05))</f>
        <v>2.5500000000000003</v>
      </c>
      <c r="S104" s="3">
        <f>IF(Animals!AI104="No","No",
IF(_xlfn.XLOOKUP(B104,'Base stats'!B:B,'Base stats'!U:U)="No",
MAX(MROUND(_xlfn.XLOOKUP(B104,'Base stats'!B:B,'Base stats'!BT:BT) * _xlfn.XLOOKUP(B104,'Base stats'!B:B,'Base stats'!BP:BP)^0.9 / 21 * _xlfn.XLOOKUP(B104,'Base stats'!B:B,'Base stats'!BX:BX),0.1),0.05),
MAX(MROUND(((MIN(12,_xlfn.XLOOKUP(B104,'Base stats'!B:B,'Base stats'!U:U)))^0.4*_xlfn.XLOOKUP(B104,'Base stats'!B:B,'Base stats'!BH:BH)^0.73)^0.6 * _xlfn.XLOOKUP(B104,'Base stats'!B:B,'Base stats'!BX:BX),0.1),0.05)
))</f>
        <v>24.5</v>
      </c>
      <c r="T104" s="11">
        <f>IF(S104="No","No",
MROUND(_xlfn.XLOOKUP(B104,'Base stats'!B:B,'Base stats'!BH:BH) * 0.01 * 2 + 0.05, 0.05)
)</f>
        <v>11.15</v>
      </c>
      <c r="U104" s="5">
        <f>IF(S104="No","No",IF(_xlfn.XLOOKUP(B104,'Base stats'!B:B,'Base stats'!U:U)="No","No",
MROUND(_xlfn.XLOOKUP(B104,'Base stats'!B:B,'Base stats'!BT:BT)/10000+0.01,0.01)
))</f>
        <v>4.9000000000000004</v>
      </c>
      <c r="V104" s="4">
        <f>IF(S104="No","No",
MROUND(_xlfn.XLOOKUP(B104,'Base stats'!B:B,'Base stats'!BF:BF)^0.25
/((_xlfn.XLOOKUP(B104,'Base stats'!B:B,'Base stats'!BO:BO))*10)*_xlfn.XLOOKUP(_xlfn.XLOOKUP(B104,'Base stats'!B:B,'Base stats'!E:E),Groups!A:A,Groups!AE:AE)*150 + 0.5 + _xlfn.XLOOKUP(B104,'Base stats'!B:B,'Base stats'!BW:BW),
0.05))</f>
        <v>3.0500000000000003</v>
      </c>
      <c r="W104" s="8">
        <f>MROUND(_xlfn.XLOOKUP(_xlfn.XLOOKUP(B104,'Base stats'!B:B,'Base stats'!E:E),Groups!A:A,Groups!BG:BG)*_xlfn.XLOOKUP(B104,'Base stats'!B:B,'Base stats'!C:C)^-0.165,0.05)</f>
        <v>0.1</v>
      </c>
      <c r="X104" s="1">
        <f>MROUND(_xlfn.XLOOKUP(_xlfn.XLOOKUP(B104,'Base stats'!B:B,'Base stats'!E:E),Groups!A:A,Groups!BH:BH)*_xlfn.XLOOKUP(B104,'Base stats'!B:B,'Base stats'!C:C)^0.165,0.05)</f>
        <v>0.25</v>
      </c>
      <c r="Y104" s="8">
        <f>MROUND(_xlfn.XLOOKUP(_xlfn.XLOOKUP(B104,'Base stats'!B:B,'Base stats'!E:E),Groups!A:A,Groups!BI:BI)*_xlfn.XLOOKUP(B104,'Base stats'!B:B,'Base stats'!C:C)^0.165,0.05)</f>
        <v>0.05</v>
      </c>
      <c r="Z104" s="18">
        <f>MROUND(_xlfn.XLOOKUP(B104,'Base stats'!B:B,'Base stats'!AQ:AQ)*_xlfn.XLOOKUP(_xlfn.XLOOKUP(B104,'Base stats'!B:B,'Base stats'!E:E),Groups!A:A,Groups!H:H)/1000,IF((_xlfn.XLOOKUP(B104,'Base stats'!B:B,'Base stats'!AQ:AQ)*_xlfn.XLOOKUP(_xlfn.XLOOKUP(B104,'Base stats'!B:B,'Base stats'!E:E),Groups!A:A,Groups!H:H)/1000)&gt;1,0.05,0.01))</f>
        <v>1.3</v>
      </c>
      <c r="AA104" s="18">
        <f>MROUND((1/2)*(_xlfn.XLOOKUP(_xlfn.XLOOKUP(B104,'Base stats'!B:B,'Base stats'!E:E),Groups!A:A,Groups!H:H)*_xlfn.XLOOKUP(_xlfn.XLOOKUP(B104,'Base stats'!B:B,'Base stats'!E:E),Groups!A:A,Groups!I:I))*_xlfn.XLOOKUP(B104,'Base stats'!B:B,'Base stats'!AQ:AQ)*0.01,0.05)</f>
        <v>0.15000000000000002</v>
      </c>
      <c r="AB104" s="18">
        <f>MROUND(250*(Animals!AO104+Animals!AP104),25)</f>
        <v>750</v>
      </c>
      <c r="AC104" s="18" t="str">
        <f>_xlfn.XLOOKUP(_xlfn.XLOOKUP(B104,'Base stats'!B:B,'Base stats'!E:E),Groups!A:A,Groups!BJ:BJ)</f>
        <v>QuadrupedLow</v>
      </c>
    </row>
    <row r="105" spans="1:29" ht="16.5" thickTop="1" thickBot="1" x14ac:dyDescent="0.3">
      <c r="A105" s="16" t="str">
        <f>Animals!A105</f>
        <v>Megaspider</v>
      </c>
      <c r="B105" s="6" t="str">
        <f>Animals!B105</f>
        <v>Gigarachne bellator</v>
      </c>
      <c r="C105" s="1" t="str">
        <f>Animals!C105</f>
        <v>&lt;li&gt;Megaspider&lt;/li&gt;</v>
      </c>
      <c r="D105" s="47">
        <f>MIN(MIN(6,_xlfn.XLOOKUP(A105,Animals!A:A,Animals!AO:AO))*20,MAX(MROUND(_xlfn.XLOOKUP(B105,'Base stats'!B:B,'Base stats'!BS:BS) * (_xlfn.XLOOKUP(B105,'Base stats'!B:B,'Base stats'!AO:AO)*5%)^0.9 / 21,0.1),0.05))</f>
        <v>3.9000000000000004</v>
      </c>
      <c r="E105" s="11">
        <f>MROUND(_xlfn.XLOOKUP(B105,'Base stats'!B:B,'Base stats'!BG:BG) * 0.01 * 2 + 0.01, 0.05)</f>
        <v>3.5</v>
      </c>
      <c r="F105" s="7">
        <f>MROUND(_xlfn.XLOOKUP(B105,'Base stats'!B:B,'Base stats'!BD:BD)^0.25 / (_xlfn.XLOOKUP(B105,'Base stats'!B:B,'Base stats'!BK:BK) * 10) * 150 + 0.5 + _xlfn.XLOOKUP(B105,'Base stats'!B:B,'Base stats'!BW:BW), 0.05)</f>
        <v>3.25</v>
      </c>
      <c r="G105" s="3" t="str">
        <f>IF(Animals!S105="No","No",
IF(_xlfn.XLOOKUP(B105,'Base stats'!B:B,'Base stats'!U:U)="No",
MAX(MROUND(_xlfn.XLOOKUP(B105,'Base stats'!B:B,'Base stats'!BT:BT) * _xlfn.XLOOKUP(B105,'Base stats'!B:B,'Base stats'!BP:BP)^0.9 / 21 * _xlfn.XLOOKUP(B105,'Base stats'!B:B,'Base stats'!BX:BX),0.1),0.05),
MAX(MROUND(((MIN(10,_xlfn.XLOOKUP(B105,'Base stats'!B:B,'Base stats'!U:U)))^0.4*_xlfn.XLOOKUP(B105,'Base stats'!B:B,'Base stats'!BH:BH)^0.73)^0.6 * _xlfn.XLOOKUP(B105,'Base stats'!B:B,'Base stats'!BX:BX),0.1),0.05)
))</f>
        <v>No</v>
      </c>
      <c r="H105" s="11" t="str">
        <f>IF(G105="No","No",
MROUND(_xlfn.XLOOKUP(B105,'Base stats'!B:B,'Base stats'!BH:BH) * 0.01 * 2 + 0.05, 0.05)
)</f>
        <v>No</v>
      </c>
      <c r="I105" s="11" t="str">
        <f>IF(G105="No","No",IF(_xlfn.XLOOKUP(B105,'Base stats'!B:B,'Base stats'!U:U)="No","No",
MROUND(_xlfn.XLOOKUP(B105,'Base stats'!B:B,'Base stats'!BT:BT)/10000+0.01,0.01)
))</f>
        <v>No</v>
      </c>
      <c r="J105" s="4" t="str">
        <f>IF(G105="No","No",
MROUND(_xlfn.XLOOKUP(B105,'Base stats'!B:B,'Base stats'!BE:BE)^0.25
/((_xlfn.XLOOKUP(B105,'Base stats'!B:B,'Base stats'!BL:BL))*10)*_xlfn.XLOOKUP(_xlfn.XLOOKUP(B105,'Base stats'!B:B,'Base stats'!E:E),Groups!A:A,Groups!Q:Q)*150 + 0.5 + _xlfn.XLOOKUP(B105,'Base stats'!B:B,'Base stats'!BW:BW),
0.05))</f>
        <v>No</v>
      </c>
      <c r="K105" s="3" t="str">
        <f>IF(Animals!X105="No","No",
IF(_xlfn.XLOOKUP(_xlfn.XLOOKUP(B105,'Base stats'!B:B,'Base stats'!E:E),Groups!A:A,Groups!BD:BD)=1,
MAX(MROUND(_xlfn.XLOOKUP(B105,'Base stats'!B:B,'Base stats'!BU:BU) * _xlfn.XLOOKUP(B105,'Base stats'!B:B,'Base stats'!BQ:BQ)^0.9 / 21 *_xlfn.XLOOKUP(B105,'Base stats'!B:B,'Base stats'!BX:BX),0.1),0.05),
MAX(MROUND(((MIN(10,_xlfn.XLOOKUP(B105,'Base stats'!B:B,'Base stats'!W:W)))^0.4*_xlfn.XLOOKUP(B105,'Base stats'!B:B,'Base stats'!BI:BI)^0.73)^0.6 *_xlfn.XLOOKUP(B105,'Base stats'!B:B,'Base stats'!BX:BX),0.1),0.05)
))</f>
        <v>No</v>
      </c>
      <c r="L105" s="11" t="str">
        <f>IF(K105="No","No",
MROUND(_xlfn.XLOOKUP(B105,'Base stats'!B:B,'Base stats'!BI:BI) * 0.01 *2 + 0.05, 0.05)
)</f>
        <v>No</v>
      </c>
      <c r="M105" s="5" t="str">
        <f>IF(K105="No","No",IF(_xlfn.XLOOKUP(_xlfn.XLOOKUP(B105,'Base stats'!B:B,'Base stats'!E:E),Groups!A:A,Groups!BD:BD)=1,"No",
MROUND(_xlfn.XLOOKUP(B105,'Base stats'!B:B,'Base stats'!BU:BU)/10000+0.01,0.01)
))</f>
        <v>No</v>
      </c>
      <c r="N105" s="4" t="str">
        <f>IF(K105="No","No",
MROUND(
  _xlfn.XLOOKUP(B105,'Base stats'!B:B,'Base stats'!BC:BC)^0.25
  / (_xlfn.XLOOKUP(B105,'Base stats'!B:B,'Base stats'!BM:BM) * 10)
  * _xlfn.XLOOKUP(
      _xlfn.XLOOKUP(B105,'Base stats'!B:B,'Base stats'!E:E),
      Groups!A:A,
      Groups!V:V
    ) * 150
  + MIN(12, _xlfn.XLOOKUP(B105,'Base stats'!B:B,'Base stats'!W:W))^(1/IF(_xlfn.XLOOKUP(_xlfn.XLOOKUP(B105,'Base stats'!B:B,'Base stats'!E:E),Groups!A:A,Groups!U:U)=1,100,10)) + 0.5 + _xlfn.XLOOKUP(B105,'Base stats'!B:B,'Base stats'!BW:BW),
0.05))</f>
        <v>No</v>
      </c>
      <c r="O105" s="3">
        <f>IF(Animals!AD105="No","No",
MAX(MROUND((MIN(10,_xlfn.XLOOKUP(B105,'Base stats'!B:B,'Base stats'!V:V)*IF(_xlfn.XLOOKUP(_xlfn.XLOOKUP(B105,'Base stats'!B:B,'Base stats'!E:E),Groups!A:A,Groups!O:O)=0,1,0.33))^0.4*_xlfn.XLOOKUP(B105,'Base stats'!B:B,'Base stats'!BJ:BJ)^0.73)^0.6 *_xlfn.XLOOKUP(B105,'Base stats'!B:B,'Base stats'!BX:BX),0.1),0.05)
)</f>
        <v>38.900000000000006</v>
      </c>
      <c r="P105" s="11">
        <f>IF(O105="No","No",
MROUND(_xlfn.XLOOKUP(B105,'Base stats'!B:B,'Base stats'!BJ:BJ) * 0.01 * 2 + 0.05, 0.05)
)</f>
        <v>24.25</v>
      </c>
      <c r="Q105" s="5">
        <f>IF(O105="No","No",
MROUND(_xlfn.XLOOKUP(B105,'Base stats'!B:B,'Base stats'!BV:BV)/10000+0.01,0.01)
)</f>
        <v>0.81</v>
      </c>
      <c r="R105" s="4">
        <f>IF(O105="No","No",
MROUND(_xlfn.XLOOKUP(B105,'Base stats'!B:B,'Base stats'!BB:BB)^0.25
/((_xlfn.XLOOKUP(B105,'Base stats'!B:B,'Base stats'!BN:BN))*10)*_xlfn.XLOOKUP(_xlfn.XLOOKUP(B105,'Base stats'!B:B,'Base stats'!E:E),Groups!A:A,Groups!Z:Z)*150 + 0.5 + _xlfn.XLOOKUP(B105,'Base stats'!B:B,'Base stats'!BW:BW),
0.05))</f>
        <v>2.85</v>
      </c>
      <c r="S105" s="3">
        <f>IF(Animals!AI105="No","No",
IF(_xlfn.XLOOKUP(B105,'Base stats'!B:B,'Base stats'!U:U)="No",
MAX(MROUND(_xlfn.XLOOKUP(B105,'Base stats'!B:B,'Base stats'!BT:BT) * _xlfn.XLOOKUP(B105,'Base stats'!B:B,'Base stats'!BP:BP)^0.9 / 21 * _xlfn.XLOOKUP(B105,'Base stats'!B:B,'Base stats'!BX:BX),0.1),0.05),
MAX(MROUND(((MIN(12,_xlfn.XLOOKUP(B105,'Base stats'!B:B,'Base stats'!U:U)))^0.4*_xlfn.XLOOKUP(B105,'Base stats'!B:B,'Base stats'!BH:BH)^0.73)^0.6 * _xlfn.XLOOKUP(B105,'Base stats'!B:B,'Base stats'!BX:BX),0.1),0.05)
))</f>
        <v>33.5</v>
      </c>
      <c r="T105" s="11">
        <f>IF(S105="No","No",
MROUND(_xlfn.XLOOKUP(B105,'Base stats'!B:B,'Base stats'!BH:BH) * 0.01 * 2 + 0.05, 0.05)
)</f>
        <v>19.400000000000002</v>
      </c>
      <c r="U105" s="5">
        <f>IF(S105="No","No",IF(_xlfn.XLOOKUP(B105,'Base stats'!B:B,'Base stats'!U:U)="No","No",
MROUND(_xlfn.XLOOKUP(B105,'Base stats'!B:B,'Base stats'!BT:BT)/10000+0.01,0.01)
))</f>
        <v>6.44</v>
      </c>
      <c r="V105" s="4">
        <f>IF(S105="No","No",
MROUND(_xlfn.XLOOKUP(B105,'Base stats'!B:B,'Base stats'!BF:BF)^0.25
/((_xlfn.XLOOKUP(B105,'Base stats'!B:B,'Base stats'!BO:BO))*10)*_xlfn.XLOOKUP(_xlfn.XLOOKUP(B105,'Base stats'!B:B,'Base stats'!E:E),Groups!A:A,Groups!AE:AE)*150 + 0.5 + _xlfn.XLOOKUP(B105,'Base stats'!B:B,'Base stats'!BW:BW),
0.05))</f>
        <v>3.45</v>
      </c>
      <c r="W105" s="8">
        <f>MROUND(_xlfn.XLOOKUP(_xlfn.XLOOKUP(B105,'Base stats'!B:B,'Base stats'!E:E),Groups!A:A,Groups!BG:BG)*_xlfn.XLOOKUP(B105,'Base stats'!B:B,'Base stats'!C:C)^-0.165,0.05)</f>
        <v>0.1</v>
      </c>
      <c r="X105" s="1">
        <f>MROUND(_xlfn.XLOOKUP(_xlfn.XLOOKUP(B105,'Base stats'!B:B,'Base stats'!E:E),Groups!A:A,Groups!BH:BH)*_xlfn.XLOOKUP(B105,'Base stats'!B:B,'Base stats'!C:C)^0.165,0.05)</f>
        <v>0.25</v>
      </c>
      <c r="Y105" s="8">
        <f>MROUND(_xlfn.XLOOKUP(_xlfn.XLOOKUP(B105,'Base stats'!B:B,'Base stats'!E:E),Groups!A:A,Groups!BI:BI)*_xlfn.XLOOKUP(B105,'Base stats'!B:B,'Base stats'!C:C)^0.165,0.05)</f>
        <v>0.05</v>
      </c>
      <c r="Z105" s="18">
        <f>MROUND(_xlfn.XLOOKUP(B105,'Base stats'!B:B,'Base stats'!AQ:AQ)*_xlfn.XLOOKUP(_xlfn.XLOOKUP(B105,'Base stats'!B:B,'Base stats'!E:E),Groups!A:A,Groups!H:H)/1000,IF((_xlfn.XLOOKUP(B105,'Base stats'!B:B,'Base stats'!AQ:AQ)*_xlfn.XLOOKUP(_xlfn.XLOOKUP(B105,'Base stats'!B:B,'Base stats'!E:E),Groups!A:A,Groups!H:H)/1000)&gt;1,0.05,0.01))</f>
        <v>1.7000000000000002</v>
      </c>
      <c r="AA105" s="18">
        <f>MROUND((1/2)*(_xlfn.XLOOKUP(_xlfn.XLOOKUP(B105,'Base stats'!B:B,'Base stats'!E:E),Groups!A:A,Groups!H:H)*_xlfn.XLOOKUP(_xlfn.XLOOKUP(B105,'Base stats'!B:B,'Base stats'!E:E),Groups!A:A,Groups!I:I))*_xlfn.XLOOKUP(B105,'Base stats'!B:B,'Base stats'!AQ:AQ)*0.01,0.05)</f>
        <v>0.15000000000000002</v>
      </c>
      <c r="AB105" s="18">
        <f>MROUND(250*(Animals!AO105+Animals!AP105),25)</f>
        <v>1125</v>
      </c>
      <c r="AC105" s="18" t="str">
        <f>_xlfn.XLOOKUP(_xlfn.XLOOKUP(B105,'Base stats'!B:B,'Base stats'!E:E),Groups!A:A,Groups!BJ:BJ)</f>
        <v>QuadrupedLow</v>
      </c>
    </row>
    <row r="106" spans="1:29" ht="16.5" thickTop="1" thickBot="1" x14ac:dyDescent="0.3">
      <c r="A106" s="16" t="str">
        <f>Animals!A106</f>
        <v>Queen</v>
      </c>
      <c r="B106" s="6" t="str">
        <f>Animals!B106</f>
        <v>Imperatombis regina</v>
      </c>
      <c r="C106" s="1" t="str">
        <f>Animals!C106</f>
        <v>&lt;li&gt;HiveQueen&lt;/li&gt;</v>
      </c>
      <c r="D106" s="47">
        <f>MIN(MIN(6,_xlfn.XLOOKUP(A106,Animals!A:A,Animals!AO:AO))*20,MAX(MROUND(_xlfn.XLOOKUP(B106,'Base stats'!B:B,'Base stats'!BS:BS) * (_xlfn.XLOOKUP(B106,'Base stats'!B:B,'Base stats'!AO:AO)*5%)^0.9 / 21,0.1),0.05))</f>
        <v>51.7</v>
      </c>
      <c r="E106" s="11">
        <f>MROUND(_xlfn.XLOOKUP(B106,'Base stats'!B:B,'Base stats'!BG:BG) * 0.01 * 2 + 0.01, 0.05)</f>
        <v>57.45</v>
      </c>
      <c r="F106" s="7">
        <f>MROUND(_xlfn.XLOOKUP(B106,'Base stats'!B:B,'Base stats'!BD:BD)^0.25 / (_xlfn.XLOOKUP(B106,'Base stats'!B:B,'Base stats'!BK:BK) * 10) * 150 + 0.5 + _xlfn.XLOOKUP(B106,'Base stats'!B:B,'Base stats'!BW:BW), 0.05)</f>
        <v>5.1000000000000005</v>
      </c>
      <c r="G106" s="3" t="str">
        <f>IF(Animals!S106="No","No",
IF(_xlfn.XLOOKUP(B106,'Base stats'!B:B,'Base stats'!U:U)="No",
MAX(MROUND(_xlfn.XLOOKUP(B106,'Base stats'!B:B,'Base stats'!BT:BT) * _xlfn.XLOOKUP(B106,'Base stats'!B:B,'Base stats'!BP:BP)^0.9 / 21 * _xlfn.XLOOKUP(B106,'Base stats'!B:B,'Base stats'!BX:BX),0.1),0.05),
MAX(MROUND(((MIN(10,_xlfn.XLOOKUP(B106,'Base stats'!B:B,'Base stats'!U:U)))^0.4*_xlfn.XLOOKUP(B106,'Base stats'!B:B,'Base stats'!BH:BH)^0.73)^0.6 * _xlfn.XLOOKUP(B106,'Base stats'!B:B,'Base stats'!BX:BX),0.1),0.05)
))</f>
        <v>No</v>
      </c>
      <c r="H106" s="11" t="str">
        <f>IF(G106="No","No",
MROUND(_xlfn.XLOOKUP(B106,'Base stats'!B:B,'Base stats'!BH:BH) * 0.01 * 2 + 0.05, 0.05)
)</f>
        <v>No</v>
      </c>
      <c r="I106" s="11" t="str">
        <f>IF(G106="No","No",IF(_xlfn.XLOOKUP(B106,'Base stats'!B:B,'Base stats'!U:U)="No","No",
MROUND(_xlfn.XLOOKUP(B106,'Base stats'!B:B,'Base stats'!BT:BT)/10000+0.01,0.01)
))</f>
        <v>No</v>
      </c>
      <c r="J106" s="4" t="str">
        <f>IF(G106="No","No",
MROUND(_xlfn.XLOOKUP(B106,'Base stats'!B:B,'Base stats'!BE:BE)^0.25
/((_xlfn.XLOOKUP(B106,'Base stats'!B:B,'Base stats'!BL:BL))*10)*_xlfn.XLOOKUP(_xlfn.XLOOKUP(B106,'Base stats'!B:B,'Base stats'!E:E),Groups!A:A,Groups!Q:Q)*150 + 0.5 + _xlfn.XLOOKUP(B106,'Base stats'!B:B,'Base stats'!BW:BW),
0.05))</f>
        <v>No</v>
      </c>
      <c r="K106" s="3" t="str">
        <f>IF(Animals!X106="No","No",
IF(_xlfn.XLOOKUP(_xlfn.XLOOKUP(B106,'Base stats'!B:B,'Base stats'!E:E),Groups!A:A,Groups!BD:BD)=1,
MAX(MROUND(_xlfn.XLOOKUP(B106,'Base stats'!B:B,'Base stats'!BU:BU) * _xlfn.XLOOKUP(B106,'Base stats'!B:B,'Base stats'!BQ:BQ)^0.9 / 21 *_xlfn.XLOOKUP(B106,'Base stats'!B:B,'Base stats'!BX:BX),0.1),0.05),
MAX(MROUND(((MIN(10,_xlfn.XLOOKUP(B106,'Base stats'!B:B,'Base stats'!W:W)))^0.4*_xlfn.XLOOKUP(B106,'Base stats'!B:B,'Base stats'!BI:BI)^0.73)^0.6 *_xlfn.XLOOKUP(B106,'Base stats'!B:B,'Base stats'!BX:BX),0.1),0.05)
))</f>
        <v>No</v>
      </c>
      <c r="L106" s="11" t="str">
        <f>IF(K106="No","No",
MROUND(_xlfn.XLOOKUP(B106,'Base stats'!B:B,'Base stats'!BI:BI) * 0.01 *2 + 0.05, 0.05)
)</f>
        <v>No</v>
      </c>
      <c r="M106" s="5" t="str">
        <f>IF(K106="No","No",IF(_xlfn.XLOOKUP(_xlfn.XLOOKUP(B106,'Base stats'!B:B,'Base stats'!E:E),Groups!A:A,Groups!BD:BD)=1,"No",
MROUND(_xlfn.XLOOKUP(B106,'Base stats'!B:B,'Base stats'!BU:BU)/10000+0.01,0.01)
))</f>
        <v>No</v>
      </c>
      <c r="N106" s="4" t="str">
        <f>IF(K106="No","No",
MROUND(
  _xlfn.XLOOKUP(B106,'Base stats'!B:B,'Base stats'!BC:BC)^0.25
  / (_xlfn.XLOOKUP(B106,'Base stats'!B:B,'Base stats'!BM:BM) * 10)
  * _xlfn.XLOOKUP(
      _xlfn.XLOOKUP(B106,'Base stats'!B:B,'Base stats'!E:E),
      Groups!A:A,
      Groups!V:V
    ) * 150
  + MIN(12, _xlfn.XLOOKUP(B106,'Base stats'!B:B,'Base stats'!W:W))^(1/IF(_xlfn.XLOOKUP(_xlfn.XLOOKUP(B106,'Base stats'!B:B,'Base stats'!E:E),Groups!A:A,Groups!U:U)=1,100,10)) + 0.5 + _xlfn.XLOOKUP(B106,'Base stats'!B:B,'Base stats'!BW:BW),
0.05))</f>
        <v>No</v>
      </c>
      <c r="O106" s="3">
        <f>IF(Animals!AD106="No","No",
MAX(MROUND((MIN(10,_xlfn.XLOOKUP(B106,'Base stats'!B:B,'Base stats'!V:V)*IF(_xlfn.XLOOKUP(_xlfn.XLOOKUP(B106,'Base stats'!B:B,'Base stats'!E:E),Groups!A:A,Groups!O:O)=0,1,0.33))^0.4*_xlfn.XLOOKUP(B106,'Base stats'!B:B,'Base stats'!BJ:BJ)^0.73)^0.6 *_xlfn.XLOOKUP(B106,'Base stats'!B:B,'Base stats'!BX:BX),0.1),0.05)
)</f>
        <v>114.5</v>
      </c>
      <c r="P106" s="11">
        <f>IF(O106="No","No",
MROUND(_xlfn.XLOOKUP(B106,'Base stats'!B:B,'Base stats'!BJ:BJ) * 0.01 * 2 + 0.05, 0.05)
)</f>
        <v>284.15000000000003</v>
      </c>
      <c r="Q106" s="5">
        <f>IF(O106="No","No",
MROUND(_xlfn.XLOOKUP(B106,'Base stats'!B:B,'Base stats'!BV:BV)/10000+0.01,0.01)
)</f>
        <v>2.7</v>
      </c>
      <c r="R106" s="4">
        <f>IF(O106="No","No",
MROUND(_xlfn.XLOOKUP(B106,'Base stats'!B:B,'Base stats'!BB:BB)^0.25
/((_xlfn.XLOOKUP(B106,'Base stats'!B:B,'Base stats'!BN:BN))*10)*_xlfn.XLOOKUP(_xlfn.XLOOKUP(B106,'Base stats'!B:B,'Base stats'!E:E),Groups!A:A,Groups!Z:Z)*150 + 0.5 + _xlfn.XLOOKUP(B106,'Base stats'!B:B,'Base stats'!BW:BW),
0.05))</f>
        <v>4.95</v>
      </c>
      <c r="S106" s="3" t="str">
        <f>IF(Animals!AI106="No","No",
IF(_xlfn.XLOOKUP(B106,'Base stats'!B:B,'Base stats'!U:U)="No",
MAX(MROUND(_xlfn.XLOOKUP(B106,'Base stats'!B:B,'Base stats'!BT:BT) * _xlfn.XLOOKUP(B106,'Base stats'!B:B,'Base stats'!BP:BP)^0.9 / 21 * _xlfn.XLOOKUP(B106,'Base stats'!B:B,'Base stats'!BX:BX),0.1),0.05),
MAX(MROUND(((MIN(12,_xlfn.XLOOKUP(B106,'Base stats'!B:B,'Base stats'!U:U)))^0.4*_xlfn.XLOOKUP(B106,'Base stats'!B:B,'Base stats'!BH:BH)^0.73)^0.6 * _xlfn.XLOOKUP(B106,'Base stats'!B:B,'Base stats'!BX:BX),0.1),0.05)
))</f>
        <v>No</v>
      </c>
      <c r="T106" s="11" t="str">
        <f>IF(S106="No","No",
MROUND(_xlfn.XLOOKUP(B106,'Base stats'!B:B,'Base stats'!BH:BH) * 0.01 * 2 + 0.05, 0.05)
)</f>
        <v>No</v>
      </c>
      <c r="U106" s="5" t="str">
        <f>IF(S106="No","No",IF(_xlfn.XLOOKUP(B106,'Base stats'!B:B,'Base stats'!U:U)="No","No",
MROUND(_xlfn.XLOOKUP(B106,'Base stats'!B:B,'Base stats'!BT:BT)/10000+0.01,0.01)
))</f>
        <v>No</v>
      </c>
      <c r="V106" s="4" t="str">
        <f>IF(S106="No","No",
MROUND(_xlfn.XLOOKUP(B106,'Base stats'!B:B,'Base stats'!BF:BF)^0.25
/((_xlfn.XLOOKUP(B106,'Base stats'!B:B,'Base stats'!BO:BO))*10)*_xlfn.XLOOKUP(_xlfn.XLOOKUP(B106,'Base stats'!B:B,'Base stats'!E:E),Groups!A:A,Groups!AE:AE)*150 + 0.5 + _xlfn.XLOOKUP(B106,'Base stats'!B:B,'Base stats'!BW:BW),
0.05))</f>
        <v>No</v>
      </c>
      <c r="W106" s="8">
        <f>MROUND(_xlfn.XLOOKUP(_xlfn.XLOOKUP(B106,'Base stats'!B:B,'Base stats'!E:E),Groups!A:A,Groups!BG:BG)*_xlfn.XLOOKUP(B106,'Base stats'!B:B,'Base stats'!C:C)^-0.165,0.05)</f>
        <v>0.05</v>
      </c>
      <c r="X106" s="1">
        <f>MROUND(_xlfn.XLOOKUP(_xlfn.XLOOKUP(B106,'Base stats'!B:B,'Base stats'!E:E),Groups!A:A,Groups!BH:BH)*_xlfn.XLOOKUP(B106,'Base stats'!B:B,'Base stats'!C:C)^0.165,0.05)</f>
        <v>0.45</v>
      </c>
      <c r="Y106" s="8">
        <f>MROUND(_xlfn.XLOOKUP(_xlfn.XLOOKUP(B106,'Base stats'!B:B,'Base stats'!E:E),Groups!A:A,Groups!BI:BI)*_xlfn.XLOOKUP(B106,'Base stats'!B:B,'Base stats'!C:C)^0.165,0.05)</f>
        <v>0.1</v>
      </c>
      <c r="Z106" s="18">
        <f>MROUND(_xlfn.XLOOKUP(B106,'Base stats'!B:B,'Base stats'!AQ:AQ)*_xlfn.XLOOKUP(_xlfn.XLOOKUP(B106,'Base stats'!B:B,'Base stats'!E:E),Groups!A:A,Groups!H:H)/1000,IF((_xlfn.XLOOKUP(B106,'Base stats'!B:B,'Base stats'!AQ:AQ)*_xlfn.XLOOKUP(_xlfn.XLOOKUP(B106,'Base stats'!B:B,'Base stats'!E:E),Groups!A:A,Groups!H:H)/1000)&gt;1,0.05,0.01))</f>
        <v>19.150000000000002</v>
      </c>
      <c r="AA106" s="18">
        <f>MROUND((1/2)*(_xlfn.XLOOKUP(_xlfn.XLOOKUP(B106,'Base stats'!B:B,'Base stats'!E:E),Groups!A:A,Groups!H:H)*_xlfn.XLOOKUP(_xlfn.XLOOKUP(B106,'Base stats'!B:B,'Base stats'!E:E),Groups!A:A,Groups!I:I))*_xlfn.XLOOKUP(B106,'Base stats'!B:B,'Base stats'!AQ:AQ)*0.01,0.05)</f>
        <v>23.200000000000003</v>
      </c>
      <c r="AB106" s="18">
        <f>MROUND(250*(Animals!AO106+Animals!AP106),25)</f>
        <v>3825</v>
      </c>
      <c r="AC106" s="18" t="str">
        <f>_xlfn.XLOOKUP(_xlfn.XLOOKUP(B106,'Base stats'!B:B,'Base stats'!E:E),Groups!A:A,Groups!BJ:BJ)</f>
        <v>QuadrupedLow</v>
      </c>
    </row>
    <row r="107" spans="1:29" ht="16.5" thickTop="1" thickBot="1" x14ac:dyDescent="0.3">
      <c r="A107" s="16" t="str">
        <f>Animals!A107</f>
        <v>Larva</v>
      </c>
      <c r="B107" s="6" t="str">
        <f>Animals!B107</f>
        <v>Imperatombis juvenis</v>
      </c>
      <c r="C107" s="1" t="str">
        <f>Animals!C107</f>
        <v>&lt;li&gt;Larva&lt;/li&gt;</v>
      </c>
      <c r="D107" s="47">
        <f>MIN(MIN(6,_xlfn.XLOOKUP(A107,Animals!A:A,Animals!AO:AO))*20,MAX(MROUND(_xlfn.XLOOKUP(B107,'Base stats'!B:B,'Base stats'!BS:BS) * (_xlfn.XLOOKUP(B107,'Base stats'!B:B,'Base stats'!AO:AO)*5%)^0.9 / 21,0.1),0.05))</f>
        <v>0.2</v>
      </c>
      <c r="E107" s="11">
        <f>MROUND(_xlfn.XLOOKUP(B107,'Base stats'!B:B,'Base stats'!BG:BG) * 0.01 * 2 + 0.01, 0.05)</f>
        <v>0.15000000000000002</v>
      </c>
      <c r="F107" s="7">
        <f>MROUND(_xlfn.XLOOKUP(B107,'Base stats'!B:B,'Base stats'!BD:BD)^0.25 / (_xlfn.XLOOKUP(B107,'Base stats'!B:B,'Base stats'!BK:BK) * 10) * 150 + 0.5 + _xlfn.XLOOKUP(B107,'Base stats'!B:B,'Base stats'!BW:BW), 0.05)</f>
        <v>2.0500000000000003</v>
      </c>
      <c r="G107" s="3" t="str">
        <f>IF(Animals!S107="No","No",
IF(_xlfn.XLOOKUP(B107,'Base stats'!B:B,'Base stats'!U:U)="No",
MAX(MROUND(_xlfn.XLOOKUP(B107,'Base stats'!B:B,'Base stats'!BT:BT) * _xlfn.XLOOKUP(B107,'Base stats'!B:B,'Base stats'!BP:BP)^0.9 / 21 * _xlfn.XLOOKUP(B107,'Base stats'!B:B,'Base stats'!BX:BX),0.1),0.05),
MAX(MROUND(((MIN(10,_xlfn.XLOOKUP(B107,'Base stats'!B:B,'Base stats'!U:U)))^0.4*_xlfn.XLOOKUP(B107,'Base stats'!B:B,'Base stats'!BH:BH)^0.73)^0.6 * _xlfn.XLOOKUP(B107,'Base stats'!B:B,'Base stats'!BX:BX),0.1),0.05)
))</f>
        <v>No</v>
      </c>
      <c r="H107" s="11" t="str">
        <f>IF(G107="No","No",
MROUND(_xlfn.XLOOKUP(B107,'Base stats'!B:B,'Base stats'!BH:BH) * 0.01 * 2 + 0.05, 0.05)
)</f>
        <v>No</v>
      </c>
      <c r="I107" s="11" t="str">
        <f>IF(G107="No","No",IF(_xlfn.XLOOKUP(B107,'Base stats'!B:B,'Base stats'!U:U)="No","No",
MROUND(_xlfn.XLOOKUP(B107,'Base stats'!B:B,'Base stats'!BT:BT)/10000+0.01,0.01)
))</f>
        <v>No</v>
      </c>
      <c r="J107" s="4" t="str">
        <f>IF(G107="No","No",
MROUND(_xlfn.XLOOKUP(B107,'Base stats'!B:B,'Base stats'!BE:BE)^0.25
/((_xlfn.XLOOKUP(B107,'Base stats'!B:B,'Base stats'!BL:BL))*10)*_xlfn.XLOOKUP(_xlfn.XLOOKUP(B107,'Base stats'!B:B,'Base stats'!E:E),Groups!A:A,Groups!Q:Q)*150 + 0.5 + _xlfn.XLOOKUP(B107,'Base stats'!B:B,'Base stats'!BW:BW),
0.05))</f>
        <v>No</v>
      </c>
      <c r="K107" s="3" t="str">
        <f>IF(Animals!X107="No","No",
IF(_xlfn.XLOOKUP(_xlfn.XLOOKUP(B107,'Base stats'!B:B,'Base stats'!E:E),Groups!A:A,Groups!BD:BD)=1,
MAX(MROUND(_xlfn.XLOOKUP(B107,'Base stats'!B:B,'Base stats'!BU:BU) * _xlfn.XLOOKUP(B107,'Base stats'!B:B,'Base stats'!BQ:BQ)^0.9 / 21 *_xlfn.XLOOKUP(B107,'Base stats'!B:B,'Base stats'!BX:BX),0.1),0.05),
MAX(MROUND(((MIN(10,_xlfn.XLOOKUP(B107,'Base stats'!B:B,'Base stats'!W:W)))^0.4*_xlfn.XLOOKUP(B107,'Base stats'!B:B,'Base stats'!BI:BI)^0.73)^0.6 *_xlfn.XLOOKUP(B107,'Base stats'!B:B,'Base stats'!BX:BX),0.1),0.05)
))</f>
        <v>No</v>
      </c>
      <c r="L107" s="11" t="str">
        <f>IF(K107="No","No",
MROUND(_xlfn.XLOOKUP(B107,'Base stats'!B:B,'Base stats'!BI:BI) * 0.01 *2 + 0.05, 0.05)
)</f>
        <v>No</v>
      </c>
      <c r="M107" s="5" t="str">
        <f>IF(K107="No","No",IF(_xlfn.XLOOKUP(_xlfn.XLOOKUP(B107,'Base stats'!B:B,'Base stats'!E:E),Groups!A:A,Groups!BD:BD)=1,"No",
MROUND(_xlfn.XLOOKUP(B107,'Base stats'!B:B,'Base stats'!BU:BU)/10000+0.01,0.01)
))</f>
        <v>No</v>
      </c>
      <c r="N107" s="4" t="str">
        <f>IF(K107="No","No",
MROUND(
  _xlfn.XLOOKUP(B107,'Base stats'!B:B,'Base stats'!BC:BC)^0.25
  / (_xlfn.XLOOKUP(B107,'Base stats'!B:B,'Base stats'!BM:BM) * 10)
  * _xlfn.XLOOKUP(
      _xlfn.XLOOKUP(B107,'Base stats'!B:B,'Base stats'!E:E),
      Groups!A:A,
      Groups!V:V
    ) * 150
  + MIN(12, _xlfn.XLOOKUP(B107,'Base stats'!B:B,'Base stats'!W:W))^(1/IF(_xlfn.XLOOKUP(_xlfn.XLOOKUP(B107,'Base stats'!B:B,'Base stats'!E:E),Groups!A:A,Groups!U:U)=1,100,10)) + 0.5 + _xlfn.XLOOKUP(B107,'Base stats'!B:B,'Base stats'!BW:BW),
0.05))</f>
        <v>No</v>
      </c>
      <c r="O107" s="3">
        <f>IF(Animals!AD107="No","No",
MAX(MROUND((MIN(10,_xlfn.XLOOKUP(B107,'Base stats'!B:B,'Base stats'!V:V)*IF(_xlfn.XLOOKUP(_xlfn.XLOOKUP(B107,'Base stats'!B:B,'Base stats'!E:E),Groups!A:A,Groups!O:O)=0,1,0.33))^0.4*_xlfn.XLOOKUP(B107,'Base stats'!B:B,'Base stats'!BJ:BJ)^0.73)^0.6 *_xlfn.XLOOKUP(B107,'Base stats'!B:B,'Base stats'!BX:BX),0.1),0.05)
)</f>
        <v>8.8000000000000007</v>
      </c>
      <c r="P107" s="11">
        <f>IF(O107="No","No",
MROUND(_xlfn.XLOOKUP(B107,'Base stats'!B:B,'Base stats'!BJ:BJ) * 0.01 * 2 + 0.05, 0.05)
)</f>
        <v>1.6500000000000001</v>
      </c>
      <c r="Q107" s="5">
        <f>IF(O107="No","No",
MROUND(_xlfn.XLOOKUP(B107,'Base stats'!B:B,'Base stats'!BV:BV)/10000+0.01,0.01)
)</f>
        <v>0.22</v>
      </c>
      <c r="R107" s="4">
        <f>IF(O107="No","No",
MROUND(_xlfn.XLOOKUP(B107,'Base stats'!B:B,'Base stats'!BB:BB)^0.25
/((_xlfn.XLOOKUP(B107,'Base stats'!B:B,'Base stats'!BN:BN))*10)*_xlfn.XLOOKUP(_xlfn.XLOOKUP(B107,'Base stats'!B:B,'Base stats'!E:E),Groups!A:A,Groups!Z:Z)*150 + 0.5 + _xlfn.XLOOKUP(B107,'Base stats'!B:B,'Base stats'!BW:BW),
0.05))</f>
        <v>1.6</v>
      </c>
      <c r="S107" s="3" t="str">
        <f>IF(Animals!AI107="No","No",
IF(_xlfn.XLOOKUP(B107,'Base stats'!B:B,'Base stats'!U:U)="No",
MAX(MROUND(_xlfn.XLOOKUP(B107,'Base stats'!B:B,'Base stats'!BT:BT) * _xlfn.XLOOKUP(B107,'Base stats'!B:B,'Base stats'!BP:BP)^0.9 / 21 * _xlfn.XLOOKUP(B107,'Base stats'!B:B,'Base stats'!BX:BX),0.1),0.05),
MAX(MROUND(((MIN(12,_xlfn.XLOOKUP(B107,'Base stats'!B:B,'Base stats'!U:U)))^0.4*_xlfn.XLOOKUP(B107,'Base stats'!B:B,'Base stats'!BH:BH)^0.73)^0.6 * _xlfn.XLOOKUP(B107,'Base stats'!B:B,'Base stats'!BX:BX),0.1),0.05)
))</f>
        <v>No</v>
      </c>
      <c r="T107" s="11" t="str">
        <f>IF(S107="No","No",
MROUND(_xlfn.XLOOKUP(B107,'Base stats'!B:B,'Base stats'!BH:BH) * 0.01 * 2 + 0.05, 0.05)
)</f>
        <v>No</v>
      </c>
      <c r="U107" s="5" t="str">
        <f>IF(S107="No","No",IF(_xlfn.XLOOKUP(B107,'Base stats'!B:B,'Base stats'!U:U)="No","No",
MROUND(_xlfn.XLOOKUP(B107,'Base stats'!B:B,'Base stats'!BT:BT)/10000+0.01,0.01)
))</f>
        <v>No</v>
      </c>
      <c r="V107" s="4" t="str">
        <f>IF(S107="No","No",
MROUND(_xlfn.XLOOKUP(B107,'Base stats'!B:B,'Base stats'!BF:BF)^0.25
/((_xlfn.XLOOKUP(B107,'Base stats'!B:B,'Base stats'!BO:BO))*10)*_xlfn.XLOOKUP(_xlfn.XLOOKUP(B107,'Base stats'!B:B,'Base stats'!E:E),Groups!A:A,Groups!AE:AE)*150 + 0.5 + _xlfn.XLOOKUP(B107,'Base stats'!B:B,'Base stats'!BW:BW),
0.05))</f>
        <v>No</v>
      </c>
      <c r="W107" s="8">
        <f>MROUND(_xlfn.XLOOKUP(_xlfn.XLOOKUP(B107,'Base stats'!B:B,'Base stats'!E:E),Groups!A:A,Groups!BG:BG)*_xlfn.XLOOKUP(B107,'Base stats'!B:B,'Base stats'!C:C)^-0.165,0.05)</f>
        <v>0.15000000000000002</v>
      </c>
      <c r="X107" s="1">
        <f>MROUND(_xlfn.XLOOKUP(_xlfn.XLOOKUP(B107,'Base stats'!B:B,'Base stats'!E:E),Groups!A:A,Groups!BH:BH)*_xlfn.XLOOKUP(B107,'Base stats'!B:B,'Base stats'!C:C)^0.165,0.05)</f>
        <v>0.15000000000000002</v>
      </c>
      <c r="Y107" s="8">
        <f>MROUND(_xlfn.XLOOKUP(_xlfn.XLOOKUP(B107,'Base stats'!B:B,'Base stats'!E:E),Groups!A:A,Groups!BI:BI)*_xlfn.XLOOKUP(B107,'Base stats'!B:B,'Base stats'!C:C)^0.165,0.05)</f>
        <v>0.05</v>
      </c>
      <c r="Z107" s="18">
        <f>MROUND(_xlfn.XLOOKUP(B107,'Base stats'!B:B,'Base stats'!AQ:AQ)*_xlfn.XLOOKUP(_xlfn.XLOOKUP(B107,'Base stats'!B:B,'Base stats'!E:E),Groups!A:A,Groups!H:H)/1000,IF((_xlfn.XLOOKUP(B107,'Base stats'!B:B,'Base stats'!AQ:AQ)*_xlfn.XLOOKUP(_xlfn.XLOOKUP(B107,'Base stats'!B:B,'Base stats'!E:E),Groups!A:A,Groups!H:H)/1000)&gt;1,0.05,0.01))</f>
        <v>0.51</v>
      </c>
      <c r="AA107" s="18">
        <f>MROUND((1/2)*(_xlfn.XLOOKUP(_xlfn.XLOOKUP(B107,'Base stats'!B:B,'Base stats'!E:E),Groups!A:A,Groups!H:H)*_xlfn.XLOOKUP(_xlfn.XLOOKUP(B107,'Base stats'!B:B,'Base stats'!E:E),Groups!A:A,Groups!I:I))*_xlfn.XLOOKUP(B107,'Base stats'!B:B,'Base stats'!AQ:AQ)*0.01,0.05)</f>
        <v>0.05</v>
      </c>
      <c r="AB107" s="18">
        <f>MROUND(250*(Animals!AO107+Animals!AP107),25)</f>
        <v>200</v>
      </c>
      <c r="AC107" s="18" t="str">
        <f>_xlfn.XLOOKUP(_xlfn.XLOOKUP(B107,'Base stats'!B:B,'Base stats'!E:E),Groups!A:A,Groups!BJ:BJ)</f>
        <v>Serpentine</v>
      </c>
    </row>
    <row r="108" spans="1:29" ht="16.5" thickTop="1" thickBot="1" x14ac:dyDescent="0.3">
      <c r="A108" s="16" t="str">
        <f>Animals!A108</f>
        <v>Locust</v>
      </c>
      <c r="B108" s="6" t="str">
        <f>Animals!B108</f>
        <v>Voracilocus devastans</v>
      </c>
      <c r="C108" s="1" t="str">
        <f>Animals!C108</f>
        <v>&lt;li&gt;Locust&lt;/li&gt;</v>
      </c>
      <c r="D108" s="47">
        <f>MIN(MIN(6,_xlfn.XLOOKUP(A108,Animals!A:A,Animals!AO:AO))*20,MAX(MROUND(_xlfn.XLOOKUP(B108,'Base stats'!B:B,'Base stats'!BS:BS) * (_xlfn.XLOOKUP(B108,'Base stats'!B:B,'Base stats'!AO:AO)*5%)^0.9 / 21,0.1),0.05))</f>
        <v>0.4</v>
      </c>
      <c r="E108" s="11">
        <f>MROUND(_xlfn.XLOOKUP(B108,'Base stats'!B:B,'Base stats'!BG:BG) * 0.01 * 2 + 0.01, 0.05)</f>
        <v>0.30000000000000004</v>
      </c>
      <c r="F108" s="7">
        <f>MROUND(_xlfn.XLOOKUP(B108,'Base stats'!B:B,'Base stats'!BD:BD)^0.25 / (_xlfn.XLOOKUP(B108,'Base stats'!B:B,'Base stats'!BK:BK) * 10) * 150 + 0.5 + _xlfn.XLOOKUP(B108,'Base stats'!B:B,'Base stats'!BW:BW), 0.05)</f>
        <v>2.3000000000000003</v>
      </c>
      <c r="G108" s="3" t="str">
        <f>IF(Animals!S108="No","No",
IF(_xlfn.XLOOKUP(B108,'Base stats'!B:B,'Base stats'!U:U)="No",
MAX(MROUND(_xlfn.XLOOKUP(B108,'Base stats'!B:B,'Base stats'!BT:BT) * _xlfn.XLOOKUP(B108,'Base stats'!B:B,'Base stats'!BP:BP)^0.9 / 21 * _xlfn.XLOOKUP(B108,'Base stats'!B:B,'Base stats'!BX:BX),0.1),0.05),
MAX(MROUND(((MIN(10,_xlfn.XLOOKUP(B108,'Base stats'!B:B,'Base stats'!U:U)))^0.4*_xlfn.XLOOKUP(B108,'Base stats'!B:B,'Base stats'!BH:BH)^0.73)^0.6 * _xlfn.XLOOKUP(B108,'Base stats'!B:B,'Base stats'!BX:BX),0.1),0.05)
))</f>
        <v>No</v>
      </c>
      <c r="H108" s="11" t="str">
        <f>IF(G108="No","No",
MROUND(_xlfn.XLOOKUP(B108,'Base stats'!B:B,'Base stats'!BH:BH) * 0.01 * 2 + 0.05, 0.05)
)</f>
        <v>No</v>
      </c>
      <c r="I108" s="11" t="str">
        <f>IF(G108="No","No",IF(_xlfn.XLOOKUP(B108,'Base stats'!B:B,'Base stats'!U:U)="No","No",
MROUND(_xlfn.XLOOKUP(B108,'Base stats'!B:B,'Base stats'!BT:BT)/10000+0.01,0.01)
))</f>
        <v>No</v>
      </c>
      <c r="J108" s="4" t="str">
        <f>IF(G108="No","No",
MROUND(_xlfn.XLOOKUP(B108,'Base stats'!B:B,'Base stats'!BE:BE)^0.25
/((_xlfn.XLOOKUP(B108,'Base stats'!B:B,'Base stats'!BL:BL))*10)*_xlfn.XLOOKUP(_xlfn.XLOOKUP(B108,'Base stats'!B:B,'Base stats'!E:E),Groups!A:A,Groups!Q:Q)*150 + 0.5 + _xlfn.XLOOKUP(B108,'Base stats'!B:B,'Base stats'!BW:BW),
0.05))</f>
        <v>No</v>
      </c>
      <c r="K108" s="3" t="str">
        <f>IF(Animals!X108="No","No",
IF(_xlfn.XLOOKUP(_xlfn.XLOOKUP(B108,'Base stats'!B:B,'Base stats'!E:E),Groups!A:A,Groups!BD:BD)=1,
MAX(MROUND(_xlfn.XLOOKUP(B108,'Base stats'!B:B,'Base stats'!BU:BU) * _xlfn.XLOOKUP(B108,'Base stats'!B:B,'Base stats'!BQ:BQ)^0.9 / 21 *_xlfn.XLOOKUP(B108,'Base stats'!B:B,'Base stats'!BX:BX),0.1),0.05),
MAX(MROUND(((MIN(10,_xlfn.XLOOKUP(B108,'Base stats'!B:B,'Base stats'!W:W)))^0.4*_xlfn.XLOOKUP(B108,'Base stats'!B:B,'Base stats'!BI:BI)^0.73)^0.6 *_xlfn.XLOOKUP(B108,'Base stats'!B:B,'Base stats'!BX:BX),0.1),0.05)
))</f>
        <v>No</v>
      </c>
      <c r="L108" s="11" t="str">
        <f>IF(K108="No","No",
MROUND(_xlfn.XLOOKUP(B108,'Base stats'!B:B,'Base stats'!BI:BI) * 0.01 *2 + 0.05, 0.05)
)</f>
        <v>No</v>
      </c>
      <c r="M108" s="5" t="str">
        <f>IF(K108="No","No",IF(_xlfn.XLOOKUP(_xlfn.XLOOKUP(B108,'Base stats'!B:B,'Base stats'!E:E),Groups!A:A,Groups!BD:BD)=1,"No",
MROUND(_xlfn.XLOOKUP(B108,'Base stats'!B:B,'Base stats'!BU:BU)/10000+0.01,0.01)
))</f>
        <v>No</v>
      </c>
      <c r="N108" s="4" t="str">
        <f>IF(K108="No","No",
MROUND(
  _xlfn.XLOOKUP(B108,'Base stats'!B:B,'Base stats'!BC:BC)^0.25
  / (_xlfn.XLOOKUP(B108,'Base stats'!B:B,'Base stats'!BM:BM) * 10)
  * _xlfn.XLOOKUP(
      _xlfn.XLOOKUP(B108,'Base stats'!B:B,'Base stats'!E:E),
      Groups!A:A,
      Groups!V:V
    ) * 150
  + MIN(12, _xlfn.XLOOKUP(B108,'Base stats'!B:B,'Base stats'!W:W))^(1/IF(_xlfn.XLOOKUP(_xlfn.XLOOKUP(B108,'Base stats'!B:B,'Base stats'!E:E),Groups!A:A,Groups!U:U)=1,100,10)) + 0.5 + _xlfn.XLOOKUP(B108,'Base stats'!B:B,'Base stats'!BW:BW),
0.05))</f>
        <v>No</v>
      </c>
      <c r="O108" s="3">
        <f>IF(Animals!AD108="No","No",
MAX(MROUND((MIN(10,_xlfn.XLOOKUP(B108,'Base stats'!B:B,'Base stats'!V:V)*IF(_xlfn.XLOOKUP(_xlfn.XLOOKUP(B108,'Base stats'!B:B,'Base stats'!E:E),Groups!A:A,Groups!O:O)=0,1,0.33))^0.4*_xlfn.XLOOKUP(B108,'Base stats'!B:B,'Base stats'!BJ:BJ)^0.73)^0.6 *_xlfn.XLOOKUP(B108,'Base stats'!B:B,'Base stats'!BX:BX),0.1),0.05)
)</f>
        <v>13.3</v>
      </c>
      <c r="P108" s="11">
        <f>IF(O108="No","No",
MROUND(_xlfn.XLOOKUP(B108,'Base stats'!B:B,'Base stats'!BJ:BJ) * 0.01 * 2 + 0.05, 0.05)
)</f>
        <v>2.8000000000000003</v>
      </c>
      <c r="Q108" s="5">
        <f>IF(O108="No","No",
MROUND(_xlfn.XLOOKUP(B108,'Base stats'!B:B,'Base stats'!BV:BV)/10000+0.01,0.01)
)</f>
        <v>0.28999999999999998</v>
      </c>
      <c r="R108" s="4">
        <f>IF(O108="No","No",
MROUND(_xlfn.XLOOKUP(B108,'Base stats'!B:B,'Base stats'!BB:BB)^0.25
/((_xlfn.XLOOKUP(B108,'Base stats'!B:B,'Base stats'!BN:BN))*10)*_xlfn.XLOOKUP(_xlfn.XLOOKUP(B108,'Base stats'!B:B,'Base stats'!E:E),Groups!A:A,Groups!Z:Z)*150 + 0.5 + _xlfn.XLOOKUP(B108,'Base stats'!B:B,'Base stats'!BW:BW),
0.05))</f>
        <v>1.75</v>
      </c>
      <c r="S108" s="3" t="str">
        <f>IF(Animals!AI108="No","No",
IF(_xlfn.XLOOKUP(B108,'Base stats'!B:B,'Base stats'!U:U)="No",
MAX(MROUND(_xlfn.XLOOKUP(B108,'Base stats'!B:B,'Base stats'!BT:BT) * _xlfn.XLOOKUP(B108,'Base stats'!B:B,'Base stats'!BP:BP)^0.9 / 21 * _xlfn.XLOOKUP(B108,'Base stats'!B:B,'Base stats'!BX:BX),0.1),0.05),
MAX(MROUND(((MIN(12,_xlfn.XLOOKUP(B108,'Base stats'!B:B,'Base stats'!U:U)))^0.4*_xlfn.XLOOKUP(B108,'Base stats'!B:B,'Base stats'!BH:BH)^0.73)^0.6 * _xlfn.XLOOKUP(B108,'Base stats'!B:B,'Base stats'!BX:BX),0.1),0.05)
))</f>
        <v>No</v>
      </c>
      <c r="T108" s="11" t="str">
        <f>IF(S108="No","No",
MROUND(_xlfn.XLOOKUP(B108,'Base stats'!B:B,'Base stats'!BH:BH) * 0.01 * 2 + 0.05, 0.05)
)</f>
        <v>No</v>
      </c>
      <c r="U108" s="5" t="str">
        <f>IF(S108="No","No",IF(_xlfn.XLOOKUP(B108,'Base stats'!B:B,'Base stats'!U:U)="No","No",
MROUND(_xlfn.XLOOKUP(B108,'Base stats'!B:B,'Base stats'!BT:BT)/10000+0.01,0.01)
))</f>
        <v>No</v>
      </c>
      <c r="V108" s="4" t="str">
        <f>IF(S108="No","No",
MROUND(_xlfn.XLOOKUP(B108,'Base stats'!B:B,'Base stats'!BF:BF)^0.25
/((_xlfn.XLOOKUP(B108,'Base stats'!B:B,'Base stats'!BO:BO))*10)*_xlfn.XLOOKUP(_xlfn.XLOOKUP(B108,'Base stats'!B:B,'Base stats'!E:E),Groups!A:A,Groups!AE:AE)*150 + 0.5 + _xlfn.XLOOKUP(B108,'Base stats'!B:B,'Base stats'!BW:BW),
0.05))</f>
        <v>No</v>
      </c>
      <c r="W108" s="8">
        <f>MROUND(_xlfn.XLOOKUP(_xlfn.XLOOKUP(B108,'Base stats'!B:B,'Base stats'!E:E),Groups!A:A,Groups!BG:BG)*_xlfn.XLOOKUP(B108,'Base stats'!B:B,'Base stats'!C:C)^-0.165,0.05)</f>
        <v>0.15000000000000002</v>
      </c>
      <c r="X108" s="1">
        <f>MROUND(_xlfn.XLOOKUP(_xlfn.XLOOKUP(B108,'Base stats'!B:B,'Base stats'!E:E),Groups!A:A,Groups!BH:BH)*_xlfn.XLOOKUP(B108,'Base stats'!B:B,'Base stats'!C:C)^0.165,0.05)</f>
        <v>0.15000000000000002</v>
      </c>
      <c r="Y108" s="8">
        <f>MROUND(_xlfn.XLOOKUP(_xlfn.XLOOKUP(B108,'Base stats'!B:B,'Base stats'!E:E),Groups!A:A,Groups!BI:BI)*_xlfn.XLOOKUP(B108,'Base stats'!B:B,'Base stats'!C:C)^0.165,0.05)</f>
        <v>0.05</v>
      </c>
      <c r="Z108" s="18">
        <f>MROUND(_xlfn.XLOOKUP(B108,'Base stats'!B:B,'Base stats'!AQ:AQ)*_xlfn.XLOOKUP(_xlfn.XLOOKUP(B108,'Base stats'!B:B,'Base stats'!E:E),Groups!A:A,Groups!H:H)/1000,IF((_xlfn.XLOOKUP(B108,'Base stats'!B:B,'Base stats'!AQ:AQ)*_xlfn.XLOOKUP(_xlfn.XLOOKUP(B108,'Base stats'!B:B,'Base stats'!E:E),Groups!A:A,Groups!H:H)/1000)&gt;1,0.05,0.01))</f>
        <v>0.65</v>
      </c>
      <c r="AA108" s="18">
        <f>MROUND((1/2)*(_xlfn.XLOOKUP(_xlfn.XLOOKUP(B108,'Base stats'!B:B,'Base stats'!E:E),Groups!A:A,Groups!H:H)*_xlfn.XLOOKUP(_xlfn.XLOOKUP(B108,'Base stats'!B:B,'Base stats'!E:E),Groups!A:A,Groups!I:I))*_xlfn.XLOOKUP(B108,'Base stats'!B:B,'Base stats'!AQ:AQ)*0.01,0.05)</f>
        <v>0.05</v>
      </c>
      <c r="AB108" s="18">
        <f>MROUND(250*(Animals!AO108+Animals!AP108),25)</f>
        <v>275</v>
      </c>
      <c r="AC108" s="18" t="str">
        <f>_xlfn.XLOOKUP(_xlfn.XLOOKUP(B108,'Base stats'!B:B,'Base stats'!E:E),Groups!A:A,Groups!BJ:BJ)</f>
        <v>QuadrupedLow</v>
      </c>
    </row>
    <row r="109" spans="1:29" ht="16.5" thickTop="1" thickBot="1" x14ac:dyDescent="0.3">
      <c r="A109" s="16" t="str">
        <f>Animals!A109</f>
        <v>Coyote</v>
      </c>
      <c r="B109" s="6" t="str">
        <f>Animals!B109</f>
        <v>Canis latrans latrans</v>
      </c>
      <c r="C109" s="1" t="str">
        <f>Animals!C109</f>
        <v>&lt;li&gt;AEXP_Coyote&lt;/li&gt;</v>
      </c>
      <c r="D109" s="47">
        <f>MIN(MIN(6,_xlfn.XLOOKUP(A109,Animals!A:A,Animals!AO:AO))*20,MAX(MROUND(_xlfn.XLOOKUP(B109,'Base stats'!B:B,'Base stats'!BS:BS) * (_xlfn.XLOOKUP(B109,'Base stats'!B:B,'Base stats'!AO:AO)*5%)^0.9 / 21,0.1),0.05))</f>
        <v>0.60000000000000009</v>
      </c>
      <c r="E109" s="11">
        <f>MROUND(_xlfn.XLOOKUP(B109,'Base stats'!B:B,'Base stats'!BG:BG) * 0.01 * 2 + 0.01, 0.05)</f>
        <v>0.4</v>
      </c>
      <c r="F109" s="7">
        <f>MROUND(_xlfn.XLOOKUP(B109,'Base stats'!B:B,'Base stats'!BD:BD)^0.25 / (_xlfn.XLOOKUP(B109,'Base stats'!B:B,'Base stats'!BK:BK) * 10) * 150 + 0.5 + _xlfn.XLOOKUP(B109,'Base stats'!B:B,'Base stats'!BW:BW), 0.05)</f>
        <v>1.55</v>
      </c>
      <c r="G109" s="3" t="str">
        <f>IF(Animals!S109="No","No",
IF(_xlfn.XLOOKUP(B109,'Base stats'!B:B,'Base stats'!U:U)="No",
MAX(MROUND(_xlfn.XLOOKUP(B109,'Base stats'!B:B,'Base stats'!BT:BT) * _xlfn.XLOOKUP(B109,'Base stats'!B:B,'Base stats'!BP:BP)^0.9 / 21 * _xlfn.XLOOKUP(B109,'Base stats'!B:B,'Base stats'!BX:BX),0.1),0.05),
MAX(MROUND(((MIN(10,_xlfn.XLOOKUP(B109,'Base stats'!B:B,'Base stats'!U:U)))^0.4*_xlfn.XLOOKUP(B109,'Base stats'!B:B,'Base stats'!BH:BH)^0.73)^0.6 * _xlfn.XLOOKUP(B109,'Base stats'!B:B,'Base stats'!BX:BX),0.1),0.05)
))</f>
        <v>No</v>
      </c>
      <c r="H109" s="11" t="str">
        <f>IF(G109="No","No",
MROUND(_xlfn.XLOOKUP(B109,'Base stats'!B:B,'Base stats'!BH:BH) * 0.01 * 2 + 0.05, 0.05)
)</f>
        <v>No</v>
      </c>
      <c r="I109" s="11" t="str">
        <f>IF(G109="No","No",IF(_xlfn.XLOOKUP(B109,'Base stats'!B:B,'Base stats'!U:U)="No","No",
MROUND(_xlfn.XLOOKUP(B109,'Base stats'!B:B,'Base stats'!BT:BT)/10000+0.01,0.01)
))</f>
        <v>No</v>
      </c>
      <c r="J109" s="4" t="str">
        <f>IF(G109="No","No",
MROUND(_xlfn.XLOOKUP(B109,'Base stats'!B:B,'Base stats'!BE:BE)^0.25
/((_xlfn.XLOOKUP(B109,'Base stats'!B:B,'Base stats'!BL:BL))*10)*_xlfn.XLOOKUP(_xlfn.XLOOKUP(B109,'Base stats'!B:B,'Base stats'!E:E),Groups!A:A,Groups!Q:Q)*150 + 0.5 + _xlfn.XLOOKUP(B109,'Base stats'!B:B,'Base stats'!BW:BW),
0.05))</f>
        <v>No</v>
      </c>
      <c r="K109" s="3" t="str">
        <f>IF(Animals!X109="No","No",
IF(_xlfn.XLOOKUP(_xlfn.XLOOKUP(B109,'Base stats'!B:B,'Base stats'!E:E),Groups!A:A,Groups!BD:BD)=1,
MAX(MROUND(_xlfn.XLOOKUP(B109,'Base stats'!B:B,'Base stats'!BU:BU) * _xlfn.XLOOKUP(B109,'Base stats'!B:B,'Base stats'!BQ:BQ)^0.9 / 21 *_xlfn.XLOOKUP(B109,'Base stats'!B:B,'Base stats'!BX:BX),0.1),0.05),
MAX(MROUND(((MIN(10,_xlfn.XLOOKUP(B109,'Base stats'!B:B,'Base stats'!W:W)))^0.4*_xlfn.XLOOKUP(B109,'Base stats'!B:B,'Base stats'!BI:BI)^0.73)^0.6 *_xlfn.XLOOKUP(B109,'Base stats'!B:B,'Base stats'!BX:BX),0.1),0.05)
))</f>
        <v>No</v>
      </c>
      <c r="L109" s="11" t="str">
        <f>IF(K109="No","No",
MROUND(_xlfn.XLOOKUP(B109,'Base stats'!B:B,'Base stats'!BI:BI) * 0.01 *2 + 0.05, 0.05)
)</f>
        <v>No</v>
      </c>
      <c r="M109" s="5" t="str">
        <f>IF(K109="No","No",IF(_xlfn.XLOOKUP(_xlfn.XLOOKUP(B109,'Base stats'!B:B,'Base stats'!E:E),Groups!A:A,Groups!BD:BD)=1,"No",
MROUND(_xlfn.XLOOKUP(B109,'Base stats'!B:B,'Base stats'!BU:BU)/10000+0.01,0.01)
))</f>
        <v>No</v>
      </c>
      <c r="N109" s="4" t="str">
        <f>IF(K109="No","No",
MROUND(
  _xlfn.XLOOKUP(B109,'Base stats'!B:B,'Base stats'!BC:BC)^0.25
  / (_xlfn.XLOOKUP(B109,'Base stats'!B:B,'Base stats'!BM:BM) * 10)
  * _xlfn.XLOOKUP(
      _xlfn.XLOOKUP(B109,'Base stats'!B:B,'Base stats'!E:E),
      Groups!A:A,
      Groups!V:V
    ) * 150
  + MIN(12, _xlfn.XLOOKUP(B109,'Base stats'!B:B,'Base stats'!W:W))^(1/IF(_xlfn.XLOOKUP(_xlfn.XLOOKUP(B109,'Base stats'!B:B,'Base stats'!E:E),Groups!A:A,Groups!U:U)=1,100,10)) + 0.5 + _xlfn.XLOOKUP(B109,'Base stats'!B:B,'Base stats'!BW:BW),
0.05))</f>
        <v>No</v>
      </c>
      <c r="O109" s="3">
        <f>IF(Animals!AD109="No","No",
MAX(MROUND((MIN(10,_xlfn.XLOOKUP(B109,'Base stats'!B:B,'Base stats'!V:V)*IF(_xlfn.XLOOKUP(_xlfn.XLOOKUP(B109,'Base stats'!B:B,'Base stats'!E:E),Groups!A:A,Groups!O:O)=0,1,0.33))^0.4*_xlfn.XLOOKUP(B109,'Base stats'!B:B,'Base stats'!BJ:BJ)^0.73)^0.6 *_xlfn.XLOOKUP(B109,'Base stats'!B:B,'Base stats'!BX:BX),0.1),0.05)
)</f>
        <v>7</v>
      </c>
      <c r="P109" s="11">
        <f>IF(O109="No","No",
MROUND(_xlfn.XLOOKUP(B109,'Base stats'!B:B,'Base stats'!BJ:BJ) * 0.01 * 2 + 0.05, 0.05)
)</f>
        <v>1.1500000000000001</v>
      </c>
      <c r="Q109" s="5">
        <f>IF(O109="No","No",
MROUND(_xlfn.XLOOKUP(B109,'Base stats'!B:B,'Base stats'!BV:BV)/10000+0.01,0.01)
)</f>
        <v>0.14000000000000001</v>
      </c>
      <c r="R109" s="4">
        <f>IF(O109="No","No",
MROUND(_xlfn.XLOOKUP(B109,'Base stats'!B:B,'Base stats'!BB:BB)^0.25
/((_xlfn.XLOOKUP(B109,'Base stats'!B:B,'Base stats'!BN:BN))*10)*_xlfn.XLOOKUP(_xlfn.XLOOKUP(B109,'Base stats'!B:B,'Base stats'!E:E),Groups!A:A,Groups!Z:Z)*150 + 0.5 + _xlfn.XLOOKUP(B109,'Base stats'!B:B,'Base stats'!BW:BW),
0.05))</f>
        <v>1.9000000000000001</v>
      </c>
      <c r="S109" s="3" t="str">
        <f>IF(Animals!AI109="No","No",
IF(_xlfn.XLOOKUP(B109,'Base stats'!B:B,'Base stats'!U:U)="No",
MAX(MROUND(_xlfn.XLOOKUP(B109,'Base stats'!B:B,'Base stats'!BT:BT) * _xlfn.XLOOKUP(B109,'Base stats'!B:B,'Base stats'!BP:BP)^0.9 / 21 * _xlfn.XLOOKUP(B109,'Base stats'!B:B,'Base stats'!BX:BX),0.1),0.05),
MAX(MROUND(((MIN(12,_xlfn.XLOOKUP(B109,'Base stats'!B:B,'Base stats'!U:U)))^0.4*_xlfn.XLOOKUP(B109,'Base stats'!B:B,'Base stats'!BH:BH)^0.73)^0.6 * _xlfn.XLOOKUP(B109,'Base stats'!B:B,'Base stats'!BX:BX),0.1),0.05)
))</f>
        <v>No</v>
      </c>
      <c r="T109" s="11" t="str">
        <f>IF(S109="No","No",
MROUND(_xlfn.XLOOKUP(B109,'Base stats'!B:B,'Base stats'!BH:BH) * 0.01 * 2 + 0.05, 0.05)
)</f>
        <v>No</v>
      </c>
      <c r="U109" s="5" t="str">
        <f>IF(S109="No","No",IF(_xlfn.XLOOKUP(B109,'Base stats'!B:B,'Base stats'!U:U)="No","No",
MROUND(_xlfn.XLOOKUP(B109,'Base stats'!B:B,'Base stats'!BT:BT)/10000+0.01,0.01)
))</f>
        <v>No</v>
      </c>
      <c r="V109" s="4" t="str">
        <f>IF(S109="No","No",
MROUND(_xlfn.XLOOKUP(B109,'Base stats'!B:B,'Base stats'!BF:BF)^0.25
/((_xlfn.XLOOKUP(B109,'Base stats'!B:B,'Base stats'!BO:BO))*10)*_xlfn.XLOOKUP(_xlfn.XLOOKUP(B109,'Base stats'!B:B,'Base stats'!E:E),Groups!A:A,Groups!AE:AE)*150 + 0.5 + _xlfn.XLOOKUP(B109,'Base stats'!B:B,'Base stats'!BW:BW),
0.05))</f>
        <v>No</v>
      </c>
      <c r="W109" s="8">
        <f>MROUND(_xlfn.XLOOKUP(_xlfn.XLOOKUP(B109,'Base stats'!B:B,'Base stats'!E:E),Groups!A:A,Groups!BG:BG)*_xlfn.XLOOKUP(B109,'Base stats'!B:B,'Base stats'!C:C)^-0.165,0.05)</f>
        <v>0.65</v>
      </c>
      <c r="X109" s="1">
        <f>MROUND(_xlfn.XLOOKUP(_xlfn.XLOOKUP(B109,'Base stats'!B:B,'Base stats'!E:E),Groups!A:A,Groups!BH:BH)*_xlfn.XLOOKUP(B109,'Base stats'!B:B,'Base stats'!C:C)^0.165,0.05)</f>
        <v>0.30000000000000004</v>
      </c>
      <c r="Y109" s="8">
        <f>MROUND(_xlfn.XLOOKUP(_xlfn.XLOOKUP(B109,'Base stats'!B:B,'Base stats'!E:E),Groups!A:A,Groups!BI:BI)*_xlfn.XLOOKUP(B109,'Base stats'!B:B,'Base stats'!C:C)^0.165,0.05)</f>
        <v>0.05</v>
      </c>
      <c r="Z109" s="18">
        <f>MROUND(_xlfn.XLOOKUP(B109,'Base stats'!B:B,'Base stats'!AQ:AQ)*_xlfn.XLOOKUP(_xlfn.XLOOKUP(B109,'Base stats'!B:B,'Base stats'!E:E),Groups!A:A,Groups!H:H)/1000,IF((_xlfn.XLOOKUP(B109,'Base stats'!B:B,'Base stats'!AQ:AQ)*_xlfn.XLOOKUP(_xlfn.XLOOKUP(B109,'Base stats'!B:B,'Base stats'!E:E),Groups!A:A,Groups!H:H)/1000)&gt;1,0.05,0.01))</f>
        <v>0.05</v>
      </c>
      <c r="AA109" s="18">
        <f>MROUND((1/2)*(_xlfn.XLOOKUP(_xlfn.XLOOKUP(B109,'Base stats'!B:B,'Base stats'!E:E),Groups!A:A,Groups!H:H)*_xlfn.XLOOKUP(_xlfn.XLOOKUP(B109,'Base stats'!B:B,'Base stats'!E:E),Groups!A:A,Groups!I:I))*_xlfn.XLOOKUP(B109,'Base stats'!B:B,'Base stats'!AQ:AQ)*0.01,0.05)</f>
        <v>0.2</v>
      </c>
      <c r="AB109" s="18">
        <f>MROUND(250*(Animals!AO109+Animals!AP109),25)</f>
        <v>275</v>
      </c>
      <c r="AC109" s="18" t="str">
        <f>_xlfn.XLOOKUP(_xlfn.XLOOKUP(B109,'Base stats'!B:B,'Base stats'!E:E),Groups!A:A,Groups!BJ:BJ)</f>
        <v>Quadruped</v>
      </c>
    </row>
    <row r="110" spans="1:29" ht="16.5" thickTop="1" thickBot="1" x14ac:dyDescent="0.3">
      <c r="A110" s="16" t="str">
        <f>Animals!A110</f>
        <v>Giraffe</v>
      </c>
      <c r="B110" s="6" t="str">
        <f>Animals!B110</f>
        <v>Giraffa camelopardalis</v>
      </c>
      <c r="C110" s="1" t="str">
        <f>Animals!C110</f>
        <v>&lt;li&gt;AEXP_Giraffe&lt;/li&gt;</v>
      </c>
      <c r="D110" s="47">
        <f>MIN(MIN(6,_xlfn.XLOOKUP(A110,Animals!A:A,Animals!AO:AO))*20,MAX(MROUND(_xlfn.XLOOKUP(B110,'Base stats'!B:B,'Base stats'!BS:BS) * (_xlfn.XLOOKUP(B110,'Base stats'!B:B,'Base stats'!AO:AO)*5%)^0.9 / 21,0.1),0.05))</f>
        <v>21.5</v>
      </c>
      <c r="E110" s="11">
        <f>MROUND(_xlfn.XLOOKUP(B110,'Base stats'!B:B,'Base stats'!BG:BG) * 0.01 * 2 + 0.01, 0.05)</f>
        <v>21.150000000000002</v>
      </c>
      <c r="F110" s="7">
        <f>MROUND(_xlfn.XLOOKUP(B110,'Base stats'!B:B,'Base stats'!BD:BD)^0.25 / (_xlfn.XLOOKUP(B110,'Base stats'!B:B,'Base stats'!BK:BK) * 10) * 150 + 0.5 + _xlfn.XLOOKUP(B110,'Base stats'!B:B,'Base stats'!BW:BW), 0.05)</f>
        <v>1.9500000000000002</v>
      </c>
      <c r="G110" s="3">
        <f>IF(Animals!S110="No","No",
IF(_xlfn.XLOOKUP(B110,'Base stats'!B:B,'Base stats'!U:U)="No",
MAX(MROUND(_xlfn.XLOOKUP(B110,'Base stats'!B:B,'Base stats'!BT:BT) * _xlfn.XLOOKUP(B110,'Base stats'!B:B,'Base stats'!BP:BP)^0.9 / 21 * _xlfn.XLOOKUP(B110,'Base stats'!B:B,'Base stats'!BX:BX),0.1),0.05),
MAX(MROUND(((MIN(10,_xlfn.XLOOKUP(B110,'Base stats'!B:B,'Base stats'!U:U)))^0.4*_xlfn.XLOOKUP(B110,'Base stats'!B:B,'Base stats'!BH:BH)^0.73)^0.6 * _xlfn.XLOOKUP(B110,'Base stats'!B:B,'Base stats'!BX:BX),0.1),0.05)
))</f>
        <v>33.4</v>
      </c>
      <c r="H110" s="11">
        <f>IF(G110="No","No",
MROUND(_xlfn.XLOOKUP(B110,'Base stats'!B:B,'Base stats'!BH:BH) * 0.01 * 2 + 0.05, 0.05)
)</f>
        <v>23.450000000000003</v>
      </c>
      <c r="I110" s="11" t="str">
        <f>IF(G110="No","No",IF(_xlfn.XLOOKUP(B110,'Base stats'!B:B,'Base stats'!U:U)="No","No",
MROUND(_xlfn.XLOOKUP(B110,'Base stats'!B:B,'Base stats'!BT:BT)/10000+0.01,0.01)
))</f>
        <v>No</v>
      </c>
      <c r="J110" s="4">
        <f>IF(G110="No","No",
MROUND(_xlfn.XLOOKUP(B110,'Base stats'!B:B,'Base stats'!BE:BE)^0.25
/((_xlfn.XLOOKUP(B110,'Base stats'!B:B,'Base stats'!BL:BL))*10)*_xlfn.XLOOKUP(_xlfn.XLOOKUP(B110,'Base stats'!B:B,'Base stats'!E:E),Groups!A:A,Groups!Q:Q)*150 + 0.5 + _xlfn.XLOOKUP(B110,'Base stats'!B:B,'Base stats'!BW:BW),
0.05))</f>
        <v>3</v>
      </c>
      <c r="K110" s="3" t="str">
        <f>IF(Animals!X110="No","No",
IF(_xlfn.XLOOKUP(_xlfn.XLOOKUP(B110,'Base stats'!B:B,'Base stats'!E:E),Groups!A:A,Groups!BD:BD)=1,
MAX(MROUND(_xlfn.XLOOKUP(B110,'Base stats'!B:B,'Base stats'!BU:BU) * _xlfn.XLOOKUP(B110,'Base stats'!B:B,'Base stats'!BQ:BQ)^0.9 / 21 *_xlfn.XLOOKUP(B110,'Base stats'!B:B,'Base stats'!BX:BX),0.1),0.05),
MAX(MROUND(((MIN(10,_xlfn.XLOOKUP(B110,'Base stats'!B:B,'Base stats'!W:W)))^0.4*_xlfn.XLOOKUP(B110,'Base stats'!B:B,'Base stats'!BI:BI)^0.73)^0.6 *_xlfn.XLOOKUP(B110,'Base stats'!B:B,'Base stats'!BX:BX),0.1),0.05)
))</f>
        <v>No</v>
      </c>
      <c r="L110" s="11" t="str">
        <f>IF(K110="No","No",
MROUND(_xlfn.XLOOKUP(B110,'Base stats'!B:B,'Base stats'!BI:BI) * 0.01 *2 + 0.05, 0.05)
)</f>
        <v>No</v>
      </c>
      <c r="M110" s="5" t="str">
        <f>IF(K110="No","No",IF(_xlfn.XLOOKUP(_xlfn.XLOOKUP(B110,'Base stats'!B:B,'Base stats'!E:E),Groups!A:A,Groups!BD:BD)=1,"No",
MROUND(_xlfn.XLOOKUP(B110,'Base stats'!B:B,'Base stats'!BU:BU)/10000+0.01,0.01)
))</f>
        <v>No</v>
      </c>
      <c r="N110" s="4" t="str">
        <f>IF(K110="No","No",
MROUND(
  _xlfn.XLOOKUP(B110,'Base stats'!B:B,'Base stats'!BC:BC)^0.25
  / (_xlfn.XLOOKUP(B110,'Base stats'!B:B,'Base stats'!BM:BM) * 10)
  * _xlfn.XLOOKUP(
      _xlfn.XLOOKUP(B110,'Base stats'!B:B,'Base stats'!E:E),
      Groups!A:A,
      Groups!V:V
    ) * 150
  + MIN(12, _xlfn.XLOOKUP(B110,'Base stats'!B:B,'Base stats'!W:W))^(1/IF(_xlfn.XLOOKUP(_xlfn.XLOOKUP(B110,'Base stats'!B:B,'Base stats'!E:E),Groups!A:A,Groups!U:U)=1,100,10)) + 0.5 + _xlfn.XLOOKUP(B110,'Base stats'!B:B,'Base stats'!BW:BW),
0.05))</f>
        <v>No</v>
      </c>
      <c r="O110" s="3" t="str">
        <f>IF(Animals!AD110="No","No",
MAX(MROUND((MIN(10,_xlfn.XLOOKUP(B110,'Base stats'!B:B,'Base stats'!V:V)*IF(_xlfn.XLOOKUP(_xlfn.XLOOKUP(B110,'Base stats'!B:B,'Base stats'!E:E),Groups!A:A,Groups!O:O)=0,1,0.33))^0.4*_xlfn.XLOOKUP(B110,'Base stats'!B:B,'Base stats'!BJ:BJ)^0.73)^0.6 *_xlfn.XLOOKUP(B110,'Base stats'!B:B,'Base stats'!BX:BX),0.1),0.05)
)</f>
        <v>No</v>
      </c>
      <c r="P110" s="11" t="str">
        <f>IF(O110="No","No",
MROUND(_xlfn.XLOOKUP(B110,'Base stats'!B:B,'Base stats'!BJ:BJ) * 0.01 * 2 + 0.05, 0.05)
)</f>
        <v>No</v>
      </c>
      <c r="Q110" s="5" t="str">
        <f>IF(O110="No","No",
MROUND(_xlfn.XLOOKUP(B110,'Base stats'!B:B,'Base stats'!BV:BV)/10000+0.01,0.01)
)</f>
        <v>No</v>
      </c>
      <c r="R110" s="4" t="str">
        <f>IF(O110="No","No",
MROUND(_xlfn.XLOOKUP(B110,'Base stats'!B:B,'Base stats'!BB:BB)^0.25
/((_xlfn.XLOOKUP(B110,'Base stats'!B:B,'Base stats'!BN:BN))*10)*_xlfn.XLOOKUP(_xlfn.XLOOKUP(B110,'Base stats'!B:B,'Base stats'!E:E),Groups!A:A,Groups!Z:Z)*150 + 0.5 + _xlfn.XLOOKUP(B110,'Base stats'!B:B,'Base stats'!BW:BW),
0.05))</f>
        <v>No</v>
      </c>
      <c r="S110" s="3" t="str">
        <f>IF(Animals!AI110="No","No",
IF(_xlfn.XLOOKUP(B110,'Base stats'!B:B,'Base stats'!U:U)="No",
MAX(MROUND(_xlfn.XLOOKUP(B110,'Base stats'!B:B,'Base stats'!BT:BT) * _xlfn.XLOOKUP(B110,'Base stats'!B:B,'Base stats'!BP:BP)^0.9 / 21 * _xlfn.XLOOKUP(B110,'Base stats'!B:B,'Base stats'!BX:BX),0.1),0.05),
MAX(MROUND(((MIN(12,_xlfn.XLOOKUP(B110,'Base stats'!B:B,'Base stats'!U:U)))^0.4*_xlfn.XLOOKUP(B110,'Base stats'!B:B,'Base stats'!BH:BH)^0.73)^0.6 * _xlfn.XLOOKUP(B110,'Base stats'!B:B,'Base stats'!BX:BX),0.1),0.05)
))</f>
        <v>No</v>
      </c>
      <c r="T110" s="11" t="str">
        <f>IF(S110="No","No",
MROUND(_xlfn.XLOOKUP(B110,'Base stats'!B:B,'Base stats'!BH:BH) * 0.01 * 2 + 0.05, 0.05)
)</f>
        <v>No</v>
      </c>
      <c r="U110" s="5" t="str">
        <f>IF(S110="No","No",IF(_xlfn.XLOOKUP(B110,'Base stats'!B:B,'Base stats'!U:U)="No","No",
MROUND(_xlfn.XLOOKUP(B110,'Base stats'!B:B,'Base stats'!BT:BT)/10000+0.01,0.01)
))</f>
        <v>No</v>
      </c>
      <c r="V110" s="4" t="str">
        <f>IF(S110="No","No",
MROUND(_xlfn.XLOOKUP(B110,'Base stats'!B:B,'Base stats'!BF:BF)^0.25
/((_xlfn.XLOOKUP(B110,'Base stats'!B:B,'Base stats'!BO:BO))*10)*_xlfn.XLOOKUP(_xlfn.XLOOKUP(B110,'Base stats'!B:B,'Base stats'!E:E),Groups!A:A,Groups!AE:AE)*150 + 0.5 + _xlfn.XLOOKUP(B110,'Base stats'!B:B,'Base stats'!BW:BW),
0.05))</f>
        <v>No</v>
      </c>
      <c r="W110" s="8">
        <f>MROUND(_xlfn.XLOOKUP(_xlfn.XLOOKUP(B110,'Base stats'!B:B,'Base stats'!E:E),Groups!A:A,Groups!BG:BG)*_xlfn.XLOOKUP(B110,'Base stats'!B:B,'Base stats'!C:C)^-0.165,0.05)</f>
        <v>0.15000000000000002</v>
      </c>
      <c r="X110" s="1">
        <f>MROUND(_xlfn.XLOOKUP(_xlfn.XLOOKUP(B110,'Base stats'!B:B,'Base stats'!E:E),Groups!A:A,Groups!BH:BH)*_xlfn.XLOOKUP(B110,'Base stats'!B:B,'Base stats'!C:C)^0.165,0.05)</f>
        <v>0</v>
      </c>
      <c r="Y110" s="8">
        <f>MROUND(_xlfn.XLOOKUP(_xlfn.XLOOKUP(B110,'Base stats'!B:B,'Base stats'!E:E),Groups!A:A,Groups!BI:BI)*_xlfn.XLOOKUP(B110,'Base stats'!B:B,'Base stats'!C:C)^0.165,0.05)</f>
        <v>0</v>
      </c>
      <c r="Z110" s="18">
        <f>MROUND(_xlfn.XLOOKUP(B110,'Base stats'!B:B,'Base stats'!AQ:AQ)*_xlfn.XLOOKUP(_xlfn.XLOOKUP(B110,'Base stats'!B:B,'Base stats'!E:E),Groups!A:A,Groups!H:H)/1000,IF((_xlfn.XLOOKUP(B110,'Base stats'!B:B,'Base stats'!AQ:AQ)*_xlfn.XLOOKUP(_xlfn.XLOOKUP(B110,'Base stats'!B:B,'Base stats'!E:E),Groups!A:A,Groups!H:H)/1000)&gt;1,0.05,0.01))</f>
        <v>0.13</v>
      </c>
      <c r="AA110" s="18">
        <f>MROUND((1/2)*(_xlfn.XLOOKUP(_xlfn.XLOOKUP(B110,'Base stats'!B:B,'Base stats'!E:E),Groups!A:A,Groups!H:H)*_xlfn.XLOOKUP(_xlfn.XLOOKUP(B110,'Base stats'!B:B,'Base stats'!E:E),Groups!A:A,Groups!I:I))*_xlfn.XLOOKUP(B110,'Base stats'!B:B,'Base stats'!AQ:AQ)*0.01,0.05)</f>
        <v>0.55000000000000004</v>
      </c>
      <c r="AB110" s="18">
        <f>MROUND(250*(Animals!AO110+Animals!AP110),25)</f>
        <v>1750</v>
      </c>
      <c r="AC110" s="18" t="str">
        <f>_xlfn.XLOOKUP(_xlfn.XLOOKUP(B110,'Base stats'!B:B,'Base stats'!E:E),Groups!A:A,Groups!BJ:BJ)</f>
        <v>QuadrupedTall</v>
      </c>
    </row>
    <row r="111" spans="1:29" ht="16.5" thickTop="1" thickBot="1" x14ac:dyDescent="0.3">
      <c r="A111" s="16" t="str">
        <f>Animals!A111</f>
        <v>Zebra</v>
      </c>
      <c r="B111" s="6" t="str">
        <f>Animals!B111</f>
        <v>Equus burchellii</v>
      </c>
      <c r="C111" s="1" t="str">
        <f>Animals!C111</f>
        <v>&lt;li&gt;AEXP_Zebra&lt;/li&gt;</v>
      </c>
      <c r="D111" s="47">
        <f>MIN(MIN(6,_xlfn.XLOOKUP(A111,Animals!A:A,Animals!AO:AO))*20,MAX(MROUND(_xlfn.XLOOKUP(B111,'Base stats'!B:B,'Base stats'!BS:BS) * (_xlfn.XLOOKUP(B111,'Base stats'!B:B,'Base stats'!AO:AO)*5%)^0.9 / 21,0.1),0.05))</f>
        <v>7.9</v>
      </c>
      <c r="E111" s="11">
        <f>MROUND(_xlfn.XLOOKUP(B111,'Base stats'!B:B,'Base stats'!BG:BG) * 0.01 * 2 + 0.01, 0.05)</f>
        <v>7.2</v>
      </c>
      <c r="F111" s="7">
        <f>MROUND(_xlfn.XLOOKUP(B111,'Base stats'!B:B,'Base stats'!BD:BD)^0.25 / (_xlfn.XLOOKUP(B111,'Base stats'!B:B,'Base stats'!BK:BK) * 10) * 150 + 0.5 + _xlfn.XLOOKUP(B111,'Base stats'!B:B,'Base stats'!BW:BW), 0.05)</f>
        <v>1.8</v>
      </c>
      <c r="G111" s="3">
        <f>IF(Animals!S111="No","No",
IF(_xlfn.XLOOKUP(B111,'Base stats'!B:B,'Base stats'!U:U)="No",
MAX(MROUND(_xlfn.XLOOKUP(B111,'Base stats'!B:B,'Base stats'!BT:BT) * _xlfn.XLOOKUP(B111,'Base stats'!B:B,'Base stats'!BP:BP)^0.9 / 21 * _xlfn.XLOOKUP(B111,'Base stats'!B:B,'Base stats'!BX:BX),0.1),0.05),
MAX(MROUND(((MIN(10,_xlfn.XLOOKUP(B111,'Base stats'!B:B,'Base stats'!U:U)))^0.4*_xlfn.XLOOKUP(B111,'Base stats'!B:B,'Base stats'!BH:BH)^0.73)^0.6 * _xlfn.XLOOKUP(B111,'Base stats'!B:B,'Base stats'!BX:BX),0.1),0.05)
))</f>
        <v>13.5</v>
      </c>
      <c r="H111" s="11">
        <f>IF(G111="No","No",
MROUND(_xlfn.XLOOKUP(B111,'Base stats'!B:B,'Base stats'!BH:BH) * 0.01 * 2 + 0.05, 0.05)
)</f>
        <v>8.5500000000000007</v>
      </c>
      <c r="I111" s="11" t="str">
        <f>IF(G111="No","No",IF(_xlfn.XLOOKUP(B111,'Base stats'!B:B,'Base stats'!U:U)="No","No",
MROUND(_xlfn.XLOOKUP(B111,'Base stats'!B:B,'Base stats'!BT:BT)/10000+0.01,0.01)
))</f>
        <v>No</v>
      </c>
      <c r="J111" s="4">
        <f>IF(G111="No","No",
MROUND(_xlfn.XLOOKUP(B111,'Base stats'!B:B,'Base stats'!BE:BE)^0.25
/((_xlfn.XLOOKUP(B111,'Base stats'!B:B,'Base stats'!BL:BL))*10)*_xlfn.XLOOKUP(_xlfn.XLOOKUP(B111,'Base stats'!B:B,'Base stats'!E:E),Groups!A:A,Groups!Q:Q)*150 + 0.5 + _xlfn.XLOOKUP(B111,'Base stats'!B:B,'Base stats'!BW:BW),
0.05))</f>
        <v>2.35</v>
      </c>
      <c r="K111" s="3" t="str">
        <f>IF(Animals!X111="No","No",
IF(_xlfn.XLOOKUP(_xlfn.XLOOKUP(B111,'Base stats'!B:B,'Base stats'!E:E),Groups!A:A,Groups!BD:BD)=1,
MAX(MROUND(_xlfn.XLOOKUP(B111,'Base stats'!B:B,'Base stats'!BU:BU) * _xlfn.XLOOKUP(B111,'Base stats'!B:B,'Base stats'!BQ:BQ)^0.9 / 21 *_xlfn.XLOOKUP(B111,'Base stats'!B:B,'Base stats'!BX:BX),0.1),0.05),
MAX(MROUND(((MIN(10,_xlfn.XLOOKUP(B111,'Base stats'!B:B,'Base stats'!W:W)))^0.4*_xlfn.XLOOKUP(B111,'Base stats'!B:B,'Base stats'!BI:BI)^0.73)^0.6 *_xlfn.XLOOKUP(B111,'Base stats'!B:B,'Base stats'!BX:BX),0.1),0.05)
))</f>
        <v>No</v>
      </c>
      <c r="L111" s="11" t="str">
        <f>IF(K111="No","No",
MROUND(_xlfn.XLOOKUP(B111,'Base stats'!B:B,'Base stats'!BI:BI) * 0.01 *2 + 0.05, 0.05)
)</f>
        <v>No</v>
      </c>
      <c r="M111" s="5" t="str">
        <f>IF(K111="No","No",IF(_xlfn.XLOOKUP(_xlfn.XLOOKUP(B111,'Base stats'!B:B,'Base stats'!E:E),Groups!A:A,Groups!BD:BD)=1,"No",
MROUND(_xlfn.XLOOKUP(B111,'Base stats'!B:B,'Base stats'!BU:BU)/10000+0.01,0.01)
))</f>
        <v>No</v>
      </c>
      <c r="N111" s="4" t="str">
        <f>IF(K111="No","No",
MROUND(
  _xlfn.XLOOKUP(B111,'Base stats'!B:B,'Base stats'!BC:BC)^0.25
  / (_xlfn.XLOOKUP(B111,'Base stats'!B:B,'Base stats'!BM:BM) * 10)
  * _xlfn.XLOOKUP(
      _xlfn.XLOOKUP(B111,'Base stats'!B:B,'Base stats'!E:E),
      Groups!A:A,
      Groups!V:V
    ) * 150
  + MIN(12, _xlfn.XLOOKUP(B111,'Base stats'!B:B,'Base stats'!W:W))^(1/IF(_xlfn.XLOOKUP(_xlfn.XLOOKUP(B111,'Base stats'!B:B,'Base stats'!E:E),Groups!A:A,Groups!U:U)=1,100,10)) + 0.5 + _xlfn.XLOOKUP(B111,'Base stats'!B:B,'Base stats'!BW:BW),
0.05))</f>
        <v>No</v>
      </c>
      <c r="O111" s="3">
        <f>IF(Animals!AD111="No","No",
MAX(MROUND((MIN(10,_xlfn.XLOOKUP(B111,'Base stats'!B:B,'Base stats'!V:V)*IF(_xlfn.XLOOKUP(_xlfn.XLOOKUP(B111,'Base stats'!B:B,'Base stats'!E:E),Groups!A:A,Groups!O:O)=0,1,0.33))^0.4*_xlfn.XLOOKUP(B111,'Base stats'!B:B,'Base stats'!BJ:BJ)^0.73)^0.6 *_xlfn.XLOOKUP(B111,'Base stats'!B:B,'Base stats'!BX:BX),0.1),0.05)
)</f>
        <v>13</v>
      </c>
      <c r="P111" s="11">
        <f>IF(O111="No","No",
MROUND(_xlfn.XLOOKUP(B111,'Base stats'!B:B,'Base stats'!BJ:BJ) * 0.01 * 2 + 0.05, 0.05)
)</f>
        <v>5.6000000000000005</v>
      </c>
      <c r="Q111" s="5">
        <f>IF(O111="No","No",
MROUND(_xlfn.XLOOKUP(B111,'Base stats'!B:B,'Base stats'!BV:BV)/10000+0.01,0.01)
)</f>
        <v>0.13</v>
      </c>
      <c r="R111" s="4">
        <f>IF(O111="No","No",
MROUND(_xlfn.XLOOKUP(B111,'Base stats'!B:B,'Base stats'!BB:BB)^0.25
/((_xlfn.XLOOKUP(B111,'Base stats'!B:B,'Base stats'!BN:BN))*10)*_xlfn.XLOOKUP(_xlfn.XLOOKUP(B111,'Base stats'!B:B,'Base stats'!E:E),Groups!A:A,Groups!Z:Z)*150 + 0.5 + _xlfn.XLOOKUP(B111,'Base stats'!B:B,'Base stats'!BW:BW),
0.05))</f>
        <v>2.8000000000000003</v>
      </c>
      <c r="S111" s="3" t="str">
        <f>IF(Animals!AI111="No","No",
IF(_xlfn.XLOOKUP(B111,'Base stats'!B:B,'Base stats'!U:U)="No",
MAX(MROUND(_xlfn.XLOOKUP(B111,'Base stats'!B:B,'Base stats'!BT:BT) * _xlfn.XLOOKUP(B111,'Base stats'!B:B,'Base stats'!BP:BP)^0.9 / 21 * _xlfn.XLOOKUP(B111,'Base stats'!B:B,'Base stats'!BX:BX),0.1),0.05),
MAX(MROUND(((MIN(12,_xlfn.XLOOKUP(B111,'Base stats'!B:B,'Base stats'!U:U)))^0.4*_xlfn.XLOOKUP(B111,'Base stats'!B:B,'Base stats'!BH:BH)^0.73)^0.6 * _xlfn.XLOOKUP(B111,'Base stats'!B:B,'Base stats'!BX:BX),0.1),0.05)
))</f>
        <v>No</v>
      </c>
      <c r="T111" s="11" t="str">
        <f>IF(S111="No","No",
MROUND(_xlfn.XLOOKUP(B111,'Base stats'!B:B,'Base stats'!BH:BH) * 0.01 * 2 + 0.05, 0.05)
)</f>
        <v>No</v>
      </c>
      <c r="U111" s="5" t="str">
        <f>IF(S111="No","No",IF(_xlfn.XLOOKUP(B111,'Base stats'!B:B,'Base stats'!U:U)="No","No",
MROUND(_xlfn.XLOOKUP(B111,'Base stats'!B:B,'Base stats'!BT:BT)/10000+0.01,0.01)
))</f>
        <v>No</v>
      </c>
      <c r="V111" s="4" t="str">
        <f>IF(S111="No","No",
MROUND(_xlfn.XLOOKUP(B111,'Base stats'!B:B,'Base stats'!BF:BF)^0.25
/((_xlfn.XLOOKUP(B111,'Base stats'!B:B,'Base stats'!BO:BO))*10)*_xlfn.XLOOKUP(_xlfn.XLOOKUP(B111,'Base stats'!B:B,'Base stats'!E:E),Groups!A:A,Groups!AE:AE)*150 + 0.5 + _xlfn.XLOOKUP(B111,'Base stats'!B:B,'Base stats'!BW:BW),
0.05))</f>
        <v>No</v>
      </c>
      <c r="W111" s="8">
        <f>MROUND(_xlfn.XLOOKUP(_xlfn.XLOOKUP(B111,'Base stats'!B:B,'Base stats'!E:E),Groups!A:A,Groups!BG:BG)*_xlfn.XLOOKUP(B111,'Base stats'!B:B,'Base stats'!C:C)^-0.165,0.05)</f>
        <v>0.25</v>
      </c>
      <c r="X111" s="1">
        <f>MROUND(_xlfn.XLOOKUP(_xlfn.XLOOKUP(B111,'Base stats'!B:B,'Base stats'!E:E),Groups!A:A,Groups!BH:BH)*_xlfn.XLOOKUP(B111,'Base stats'!B:B,'Base stats'!C:C)^0.165,0.05)</f>
        <v>0</v>
      </c>
      <c r="Y111" s="8">
        <f>MROUND(_xlfn.XLOOKUP(_xlfn.XLOOKUP(B111,'Base stats'!B:B,'Base stats'!E:E),Groups!A:A,Groups!BI:BI)*_xlfn.XLOOKUP(B111,'Base stats'!B:B,'Base stats'!C:C)^0.165,0.05)</f>
        <v>0</v>
      </c>
      <c r="Z111" s="18">
        <f>MROUND(_xlfn.XLOOKUP(B111,'Base stats'!B:B,'Base stats'!AQ:AQ)*_xlfn.XLOOKUP(_xlfn.XLOOKUP(B111,'Base stats'!B:B,'Base stats'!E:E),Groups!A:A,Groups!H:H)/1000,IF((_xlfn.XLOOKUP(B111,'Base stats'!B:B,'Base stats'!AQ:AQ)*_xlfn.XLOOKUP(_xlfn.XLOOKUP(B111,'Base stats'!B:B,'Base stats'!E:E),Groups!A:A,Groups!H:H)/1000)&gt;1,0.05,0.01))</f>
        <v>0.09</v>
      </c>
      <c r="AA111" s="18">
        <f>MROUND((1/2)*(_xlfn.XLOOKUP(_xlfn.XLOOKUP(B111,'Base stats'!B:B,'Base stats'!E:E),Groups!A:A,Groups!H:H)*_xlfn.XLOOKUP(_xlfn.XLOOKUP(B111,'Base stats'!B:B,'Base stats'!E:E),Groups!A:A,Groups!I:I))*_xlfn.XLOOKUP(B111,'Base stats'!B:B,'Base stats'!AQ:AQ)*0.01,0.05)</f>
        <v>0.4</v>
      </c>
      <c r="AB111" s="18">
        <f>MROUND(250*(Animals!AO111+Animals!AP111),25)</f>
        <v>1125</v>
      </c>
      <c r="AC111" s="18" t="str">
        <f>_xlfn.XLOOKUP(_xlfn.XLOOKUP(B111,'Base stats'!B:B,'Base stats'!E:E),Groups!A:A,Groups!BJ:BJ)</f>
        <v>Quadruped</v>
      </c>
    </row>
    <row r="112" spans="1:29" ht="16.5" thickTop="1" thickBot="1" x14ac:dyDescent="0.3">
      <c r="A112" s="16" t="str">
        <f>Animals!A112</f>
        <v>Wildebeest</v>
      </c>
      <c r="B112" s="6" t="str">
        <f>Animals!B112</f>
        <v>Connochaetes taurinus</v>
      </c>
      <c r="C112" s="1" t="str">
        <f>Animals!C112</f>
        <v>&lt;li&gt;AEXP_Wildebeest&lt;/li&gt;</v>
      </c>
      <c r="D112" s="47">
        <f>MIN(MIN(6,_xlfn.XLOOKUP(A112,Animals!A:A,Animals!AO:AO))*20,MAX(MROUND(_xlfn.XLOOKUP(B112,'Base stats'!B:B,'Base stats'!BS:BS) * (_xlfn.XLOOKUP(B112,'Base stats'!B:B,'Base stats'!AO:AO)*5%)^0.9 / 21,0.1),0.05))</f>
        <v>6.1000000000000005</v>
      </c>
      <c r="E112" s="11">
        <f>MROUND(_xlfn.XLOOKUP(B112,'Base stats'!B:B,'Base stats'!BG:BG) * 0.01 * 2 + 0.01, 0.05)</f>
        <v>5.4</v>
      </c>
      <c r="F112" s="7">
        <f>MROUND(_xlfn.XLOOKUP(B112,'Base stats'!B:B,'Base stats'!BD:BD)^0.25 / (_xlfn.XLOOKUP(B112,'Base stats'!B:B,'Base stats'!BK:BK) * 10) * 150 + 0.5 + _xlfn.XLOOKUP(B112,'Base stats'!B:B,'Base stats'!BW:BW), 0.05)</f>
        <v>1.75</v>
      </c>
      <c r="G112" s="3">
        <f>IF(Animals!S112="No","No",
IF(_xlfn.XLOOKUP(B112,'Base stats'!B:B,'Base stats'!U:U)="No",
MAX(MROUND(_xlfn.XLOOKUP(B112,'Base stats'!B:B,'Base stats'!BT:BT) * _xlfn.XLOOKUP(B112,'Base stats'!B:B,'Base stats'!BP:BP)^0.9 / 21 * _xlfn.XLOOKUP(B112,'Base stats'!B:B,'Base stats'!BX:BX),0.1),0.05),
MAX(MROUND(((MIN(10,_xlfn.XLOOKUP(B112,'Base stats'!B:B,'Base stats'!U:U)))^0.4*_xlfn.XLOOKUP(B112,'Base stats'!B:B,'Base stats'!BH:BH)^0.73)^0.6 * _xlfn.XLOOKUP(B112,'Base stats'!B:B,'Base stats'!BX:BX),0.1),0.05)
))</f>
        <v>10.600000000000001</v>
      </c>
      <c r="H112" s="11">
        <f>IF(G112="No","No",
MROUND(_xlfn.XLOOKUP(B112,'Base stats'!B:B,'Base stats'!BH:BH) * 0.01 * 2 + 0.05, 0.05)
)</f>
        <v>6.5500000000000007</v>
      </c>
      <c r="I112" s="11" t="str">
        <f>IF(G112="No","No",IF(_xlfn.XLOOKUP(B112,'Base stats'!B:B,'Base stats'!U:U)="No","No",
MROUND(_xlfn.XLOOKUP(B112,'Base stats'!B:B,'Base stats'!BT:BT)/10000+0.01,0.01)
))</f>
        <v>No</v>
      </c>
      <c r="J112" s="4">
        <f>IF(G112="No","No",
MROUND(_xlfn.XLOOKUP(B112,'Base stats'!B:B,'Base stats'!BE:BE)^0.25
/((_xlfn.XLOOKUP(B112,'Base stats'!B:B,'Base stats'!BL:BL))*10)*_xlfn.XLOOKUP(_xlfn.XLOOKUP(B112,'Base stats'!B:B,'Base stats'!E:E),Groups!A:A,Groups!Q:Q)*150 + 0.5 + _xlfn.XLOOKUP(B112,'Base stats'!B:B,'Base stats'!BW:BW),
0.05))</f>
        <v>2.5</v>
      </c>
      <c r="K112" s="3">
        <f>IF(Animals!X112="No","No",
IF(_xlfn.XLOOKUP(_xlfn.XLOOKUP(B112,'Base stats'!B:B,'Base stats'!E:E),Groups!A:A,Groups!BD:BD)=1,
MAX(MROUND(_xlfn.XLOOKUP(B112,'Base stats'!B:B,'Base stats'!BU:BU) * _xlfn.XLOOKUP(B112,'Base stats'!B:B,'Base stats'!BQ:BQ)^0.9 / 21 *_xlfn.XLOOKUP(B112,'Base stats'!B:B,'Base stats'!BX:BX),0.1),0.05),
MAX(MROUND(((MIN(10,_xlfn.XLOOKUP(B112,'Base stats'!B:B,'Base stats'!W:W)))^0.4*_xlfn.XLOOKUP(B112,'Base stats'!B:B,'Base stats'!BI:BI)^0.73)^0.6 *_xlfn.XLOOKUP(B112,'Base stats'!B:B,'Base stats'!BX:BX),0.1),0.05)
))</f>
        <v>23.700000000000003</v>
      </c>
      <c r="L112" s="11">
        <f>IF(K112="No","No",
MROUND(_xlfn.XLOOKUP(B112,'Base stats'!B:B,'Base stats'!BI:BI) * 0.01 *2 + 0.05, 0.05)
)</f>
        <v>7.8500000000000005</v>
      </c>
      <c r="M112" s="5">
        <f>IF(K112="No","No",IF(_xlfn.XLOOKUP(_xlfn.XLOOKUP(B112,'Base stats'!B:B,'Base stats'!E:E),Groups!A:A,Groups!BD:BD)=1,"No",
MROUND(_xlfn.XLOOKUP(B112,'Base stats'!B:B,'Base stats'!BU:BU)/10000+0.01,0.01)
))</f>
        <v>0.46</v>
      </c>
      <c r="N112" s="4">
        <f>IF(K112="No","No",
MROUND(
  _xlfn.XLOOKUP(B112,'Base stats'!B:B,'Base stats'!BC:BC)^0.25
  / (_xlfn.XLOOKUP(B112,'Base stats'!B:B,'Base stats'!BM:BM) * 10)
  * _xlfn.XLOOKUP(
      _xlfn.XLOOKUP(B112,'Base stats'!B:B,'Base stats'!E:E),
      Groups!A:A,
      Groups!V:V
    ) * 150
  + MIN(12, _xlfn.XLOOKUP(B112,'Base stats'!B:B,'Base stats'!W:W))^(1/IF(_xlfn.XLOOKUP(_xlfn.XLOOKUP(B112,'Base stats'!B:B,'Base stats'!E:E),Groups!A:A,Groups!U:U)=1,100,10)) + 0.5 + _xlfn.XLOOKUP(B112,'Base stats'!B:B,'Base stats'!BW:BW),
0.05))</f>
        <v>3.0500000000000003</v>
      </c>
      <c r="O112" s="3" t="str">
        <f>IF(Animals!AD112="No","No",
MAX(MROUND((MIN(10,_xlfn.XLOOKUP(B112,'Base stats'!B:B,'Base stats'!V:V)*IF(_xlfn.XLOOKUP(_xlfn.XLOOKUP(B112,'Base stats'!B:B,'Base stats'!E:E),Groups!A:A,Groups!O:O)=0,1,0.33))^0.4*_xlfn.XLOOKUP(B112,'Base stats'!B:B,'Base stats'!BJ:BJ)^0.73)^0.6 *_xlfn.XLOOKUP(B112,'Base stats'!B:B,'Base stats'!BX:BX),0.1),0.05)
)</f>
        <v>No</v>
      </c>
      <c r="P112" s="11" t="str">
        <f>IF(O112="No","No",
MROUND(_xlfn.XLOOKUP(B112,'Base stats'!B:B,'Base stats'!BJ:BJ) * 0.01 * 2 + 0.05, 0.05)
)</f>
        <v>No</v>
      </c>
      <c r="Q112" s="5" t="str">
        <f>IF(O112="No","No",
MROUND(_xlfn.XLOOKUP(B112,'Base stats'!B:B,'Base stats'!BV:BV)/10000+0.01,0.01)
)</f>
        <v>No</v>
      </c>
      <c r="R112" s="4" t="str">
        <f>IF(O112="No","No",
MROUND(_xlfn.XLOOKUP(B112,'Base stats'!B:B,'Base stats'!BB:BB)^0.25
/((_xlfn.XLOOKUP(B112,'Base stats'!B:B,'Base stats'!BN:BN))*10)*_xlfn.XLOOKUP(_xlfn.XLOOKUP(B112,'Base stats'!B:B,'Base stats'!E:E),Groups!A:A,Groups!Z:Z)*150 + 0.5 + _xlfn.XLOOKUP(B112,'Base stats'!B:B,'Base stats'!BW:BW),
0.05))</f>
        <v>No</v>
      </c>
      <c r="S112" s="3" t="str">
        <f>IF(Animals!AI112="No","No",
IF(_xlfn.XLOOKUP(B112,'Base stats'!B:B,'Base stats'!U:U)="No",
MAX(MROUND(_xlfn.XLOOKUP(B112,'Base stats'!B:B,'Base stats'!BT:BT) * _xlfn.XLOOKUP(B112,'Base stats'!B:B,'Base stats'!BP:BP)^0.9 / 21 * _xlfn.XLOOKUP(B112,'Base stats'!B:B,'Base stats'!BX:BX),0.1),0.05),
MAX(MROUND(((MIN(12,_xlfn.XLOOKUP(B112,'Base stats'!B:B,'Base stats'!U:U)))^0.4*_xlfn.XLOOKUP(B112,'Base stats'!B:B,'Base stats'!BH:BH)^0.73)^0.6 * _xlfn.XLOOKUP(B112,'Base stats'!B:B,'Base stats'!BX:BX),0.1),0.05)
))</f>
        <v>No</v>
      </c>
      <c r="T112" s="11" t="str">
        <f>IF(S112="No","No",
MROUND(_xlfn.XLOOKUP(B112,'Base stats'!B:B,'Base stats'!BH:BH) * 0.01 * 2 + 0.05, 0.05)
)</f>
        <v>No</v>
      </c>
      <c r="U112" s="5" t="str">
        <f>IF(S112="No","No",IF(_xlfn.XLOOKUP(B112,'Base stats'!B:B,'Base stats'!U:U)="No","No",
MROUND(_xlfn.XLOOKUP(B112,'Base stats'!B:B,'Base stats'!BT:BT)/10000+0.01,0.01)
))</f>
        <v>No</v>
      </c>
      <c r="V112" s="4" t="str">
        <f>IF(S112="No","No",
MROUND(_xlfn.XLOOKUP(B112,'Base stats'!B:B,'Base stats'!BF:BF)^0.25
/((_xlfn.XLOOKUP(B112,'Base stats'!B:B,'Base stats'!BO:BO))*10)*_xlfn.XLOOKUP(_xlfn.XLOOKUP(B112,'Base stats'!B:B,'Base stats'!E:E),Groups!A:A,Groups!AE:AE)*150 + 0.5 + _xlfn.XLOOKUP(B112,'Base stats'!B:B,'Base stats'!BW:BW),
0.05))</f>
        <v>No</v>
      </c>
      <c r="W112" s="8">
        <f>MROUND(_xlfn.XLOOKUP(_xlfn.XLOOKUP(B112,'Base stats'!B:B,'Base stats'!E:E),Groups!A:A,Groups!BG:BG)*_xlfn.XLOOKUP(B112,'Base stats'!B:B,'Base stats'!C:C)^-0.165,0.05)</f>
        <v>0.2</v>
      </c>
      <c r="X112" s="1">
        <f>MROUND(_xlfn.XLOOKUP(_xlfn.XLOOKUP(B112,'Base stats'!B:B,'Base stats'!E:E),Groups!A:A,Groups!BH:BH)*_xlfn.XLOOKUP(B112,'Base stats'!B:B,'Base stats'!C:C)^0.165,0.05)</f>
        <v>0</v>
      </c>
      <c r="Y112" s="8">
        <f>MROUND(_xlfn.XLOOKUP(_xlfn.XLOOKUP(B112,'Base stats'!B:B,'Base stats'!E:E),Groups!A:A,Groups!BI:BI)*_xlfn.XLOOKUP(B112,'Base stats'!B:B,'Base stats'!C:C)^0.165,0.05)</f>
        <v>0</v>
      </c>
      <c r="Z112" s="18">
        <f>MROUND(_xlfn.XLOOKUP(B112,'Base stats'!B:B,'Base stats'!AQ:AQ)*_xlfn.XLOOKUP(_xlfn.XLOOKUP(B112,'Base stats'!B:B,'Base stats'!E:E),Groups!A:A,Groups!H:H)/1000,IF((_xlfn.XLOOKUP(B112,'Base stats'!B:B,'Base stats'!AQ:AQ)*_xlfn.XLOOKUP(_xlfn.XLOOKUP(B112,'Base stats'!B:B,'Base stats'!E:E),Groups!A:A,Groups!H:H)/1000)&gt;1,0.05,0.01))</f>
        <v>0.08</v>
      </c>
      <c r="AA112" s="18">
        <f>MROUND((1/2)*(_xlfn.XLOOKUP(_xlfn.XLOOKUP(B112,'Base stats'!B:B,'Base stats'!E:E),Groups!A:A,Groups!H:H)*_xlfn.XLOOKUP(_xlfn.XLOOKUP(B112,'Base stats'!B:B,'Base stats'!E:E),Groups!A:A,Groups!I:I))*_xlfn.XLOOKUP(B112,'Base stats'!B:B,'Base stats'!AQ:AQ)*0.01,0.05)</f>
        <v>0.35000000000000003</v>
      </c>
      <c r="AB112" s="18">
        <f>MROUND(250*(Animals!AO112+Animals!AP112),25)</f>
        <v>1000</v>
      </c>
      <c r="AC112" s="18" t="str">
        <f>_xlfn.XLOOKUP(_xlfn.XLOOKUP(B112,'Base stats'!B:B,'Base stats'!E:E),Groups!A:A,Groups!BJ:BJ)</f>
        <v>Quadruped</v>
      </c>
    </row>
    <row r="113" spans="1:29" s="16" customFormat="1" ht="16.5" thickTop="1" thickBot="1" x14ac:dyDescent="0.3">
      <c r="A113" s="16" t="str">
        <f>Animals!A113</f>
        <v>Crocodile</v>
      </c>
      <c r="B113" s="6" t="str">
        <f>Animals!B113</f>
        <v>Crocodylus porosus</v>
      </c>
      <c r="C113" s="1" t="str">
        <f>Animals!C113</f>
        <v>&lt;li&gt;AEXP_Crocodile&lt;/li&gt;</v>
      </c>
      <c r="D113" s="47">
        <f>MIN(MIN(6,_xlfn.XLOOKUP(A113,Animals!A:A,Animals!AO:AO))*20,MAX(MROUND(_xlfn.XLOOKUP(B113,'Base stats'!B:B,'Base stats'!BS:BS) * (_xlfn.XLOOKUP(B113,'Base stats'!B:B,'Base stats'!AO:AO)*5%)^0.9 / 21,0.1),0.05))</f>
        <v>5.4</v>
      </c>
      <c r="E113" s="11">
        <f>MROUND(_xlfn.XLOOKUP(B113,'Base stats'!B:B,'Base stats'!BG:BG) * 0.01 * 2 + 0.01, 0.05)</f>
        <v>5</v>
      </c>
      <c r="F113" s="7">
        <f>MROUND(_xlfn.XLOOKUP(B113,'Base stats'!B:B,'Base stats'!BD:BD)^0.25 / (_xlfn.XLOOKUP(B113,'Base stats'!B:B,'Base stats'!BK:BK) * 10) * 150 + 0.5 + _xlfn.XLOOKUP(B113,'Base stats'!B:B,'Base stats'!BW:BW), 0.05)</f>
        <v>3.45</v>
      </c>
      <c r="G113" s="3" t="str">
        <f>IF(Animals!S113="No","No",
IF(_xlfn.XLOOKUP(B113,'Base stats'!B:B,'Base stats'!U:U)="No",
MAX(MROUND(_xlfn.XLOOKUP(B113,'Base stats'!B:B,'Base stats'!BT:BT) * _xlfn.XLOOKUP(B113,'Base stats'!B:B,'Base stats'!BP:BP)^0.9 / 21 * _xlfn.XLOOKUP(B113,'Base stats'!B:B,'Base stats'!BX:BX),0.1),0.05),
MAX(MROUND(((MIN(10,_xlfn.XLOOKUP(B113,'Base stats'!B:B,'Base stats'!U:U)))^0.4*_xlfn.XLOOKUP(B113,'Base stats'!B:B,'Base stats'!BH:BH)^0.73)^0.6 * _xlfn.XLOOKUP(B113,'Base stats'!B:B,'Base stats'!BX:BX),0.1),0.05)
))</f>
        <v>No</v>
      </c>
      <c r="H113" s="11" t="str">
        <f>IF(G113="No","No",
MROUND(_xlfn.XLOOKUP(B113,'Base stats'!B:B,'Base stats'!BH:BH) * 0.01 * 2 + 0.05, 0.05)
)</f>
        <v>No</v>
      </c>
      <c r="I113" s="11" t="str">
        <f>IF(G113="No","No",IF(_xlfn.XLOOKUP(B113,'Base stats'!B:B,'Base stats'!U:U)="No","No",
MROUND(_xlfn.XLOOKUP(B113,'Base stats'!B:B,'Base stats'!BT:BT)/10000+0.01,0.01)
))</f>
        <v>No</v>
      </c>
      <c r="J113" s="4" t="str">
        <f>IF(G113="No","No",
MROUND(_xlfn.XLOOKUP(B113,'Base stats'!B:B,'Base stats'!BE:BE)^0.25
/((_xlfn.XLOOKUP(B113,'Base stats'!B:B,'Base stats'!BL:BL))*10)*_xlfn.XLOOKUP(_xlfn.XLOOKUP(B113,'Base stats'!B:B,'Base stats'!E:E),Groups!A:A,Groups!Q:Q)*150 + 0.5 + _xlfn.XLOOKUP(B113,'Base stats'!B:B,'Base stats'!BW:BW),
0.05))</f>
        <v>No</v>
      </c>
      <c r="K113" s="3" t="str">
        <f>IF(Animals!X113="No","No",
IF(_xlfn.XLOOKUP(_xlfn.XLOOKUP(B113,'Base stats'!B:B,'Base stats'!E:E),Groups!A:A,Groups!BD:BD)=1,
MAX(MROUND(_xlfn.XLOOKUP(B113,'Base stats'!B:B,'Base stats'!BU:BU) * _xlfn.XLOOKUP(B113,'Base stats'!B:B,'Base stats'!BQ:BQ)^0.9 / 21 *_xlfn.XLOOKUP(B113,'Base stats'!B:B,'Base stats'!BX:BX),0.1),0.05),
MAX(MROUND(((MIN(10,_xlfn.XLOOKUP(B113,'Base stats'!B:B,'Base stats'!W:W)))^0.4*_xlfn.XLOOKUP(B113,'Base stats'!B:B,'Base stats'!BI:BI)^0.73)^0.6 *_xlfn.XLOOKUP(B113,'Base stats'!B:B,'Base stats'!BX:BX),0.1),0.05)
))</f>
        <v>No</v>
      </c>
      <c r="L113" s="11" t="str">
        <f>IF(K113="No","No",
MROUND(_xlfn.XLOOKUP(B113,'Base stats'!B:B,'Base stats'!BI:BI) * 0.01 *2 + 0.05, 0.05)
)</f>
        <v>No</v>
      </c>
      <c r="M113" s="5" t="str">
        <f>IF(K113="No","No",IF(_xlfn.XLOOKUP(_xlfn.XLOOKUP(B113,'Base stats'!B:B,'Base stats'!E:E),Groups!A:A,Groups!BD:BD)=1,"No",
MROUND(_xlfn.XLOOKUP(B113,'Base stats'!B:B,'Base stats'!BU:BU)/10000+0.01,0.01)
))</f>
        <v>No</v>
      </c>
      <c r="N113" s="4" t="str">
        <f>IF(K113="No","No",
MROUND(
  _xlfn.XLOOKUP(B113,'Base stats'!B:B,'Base stats'!BC:BC)^0.25
  / (_xlfn.XLOOKUP(B113,'Base stats'!B:B,'Base stats'!BM:BM) * 10)
  * _xlfn.XLOOKUP(
      _xlfn.XLOOKUP(B113,'Base stats'!B:B,'Base stats'!E:E),
      Groups!A:A,
      Groups!V:V
    ) * 150
  + MIN(12, _xlfn.XLOOKUP(B113,'Base stats'!B:B,'Base stats'!W:W))^(1/IF(_xlfn.XLOOKUP(_xlfn.XLOOKUP(B113,'Base stats'!B:B,'Base stats'!E:E),Groups!A:A,Groups!U:U)=1,100,10)) + 0.5 + _xlfn.XLOOKUP(B113,'Base stats'!B:B,'Base stats'!BW:BW),
0.05))</f>
        <v>No</v>
      </c>
      <c r="O113" s="3">
        <f>IF(Animals!AD113="No","No",
MAX(MROUND((MIN(10,_xlfn.XLOOKUP(B113,'Base stats'!B:B,'Base stats'!V:V)*IF(_xlfn.XLOOKUP(_xlfn.XLOOKUP(B113,'Base stats'!B:B,'Base stats'!E:E),Groups!A:A,Groups!O:O)=0,1,0.33))^0.4*_xlfn.XLOOKUP(B113,'Base stats'!B:B,'Base stats'!BJ:BJ)^0.73)^0.6 *_xlfn.XLOOKUP(B113,'Base stats'!B:B,'Base stats'!BX:BX),0.1),0.05)
)</f>
        <v>33.9</v>
      </c>
      <c r="P113" s="11">
        <f>IF(O113="No","No",
MROUND(_xlfn.XLOOKUP(B113,'Base stats'!B:B,'Base stats'!BJ:BJ) * 0.01 * 2 + 0.05, 0.05)
)</f>
        <v>23.450000000000003</v>
      </c>
      <c r="Q113" s="5">
        <f>IF(O113="No","No",
MROUND(_xlfn.XLOOKUP(B113,'Base stats'!B:B,'Base stats'!BV:BV)/10000+0.01,0.01)
)</f>
        <v>0.37</v>
      </c>
      <c r="R113" s="4">
        <f>IF(O113="No","No",
MROUND(_xlfn.XLOOKUP(B113,'Base stats'!B:B,'Base stats'!BB:BB)^0.25
/((_xlfn.XLOOKUP(B113,'Base stats'!B:B,'Base stats'!BN:BN))*10)*_xlfn.XLOOKUP(_xlfn.XLOOKUP(B113,'Base stats'!B:B,'Base stats'!E:E),Groups!A:A,Groups!Z:Z)*150 + 0.5 + _xlfn.XLOOKUP(B113,'Base stats'!B:B,'Base stats'!BW:BW),
0.05))</f>
        <v>2.8000000000000003</v>
      </c>
      <c r="S113" s="3" t="str">
        <f>IF(Animals!AI113="No","No",
IF(_xlfn.XLOOKUP(B113,'Base stats'!B:B,'Base stats'!U:U)="No",
MAX(MROUND(_xlfn.XLOOKUP(B113,'Base stats'!B:B,'Base stats'!BT:BT) * _xlfn.XLOOKUP(B113,'Base stats'!B:B,'Base stats'!BP:BP)^0.9 / 21 * _xlfn.XLOOKUP(B113,'Base stats'!B:B,'Base stats'!BX:BX),0.1),0.05),
MAX(MROUND(((MIN(12,_xlfn.XLOOKUP(B113,'Base stats'!B:B,'Base stats'!U:U)))^0.4*_xlfn.XLOOKUP(B113,'Base stats'!B:B,'Base stats'!BH:BH)^0.73)^0.6 * _xlfn.XLOOKUP(B113,'Base stats'!B:B,'Base stats'!BX:BX),0.1),0.05)
))</f>
        <v>No</v>
      </c>
      <c r="T113" s="11" t="str">
        <f>IF(S113="No","No",
MROUND(_xlfn.XLOOKUP(B113,'Base stats'!B:B,'Base stats'!BH:BH) * 0.01 * 2 + 0.05, 0.05)
)</f>
        <v>No</v>
      </c>
      <c r="U113" s="5" t="str">
        <f>IF(S113="No","No",IF(_xlfn.XLOOKUP(B113,'Base stats'!B:B,'Base stats'!U:U)="No","No",
MROUND(_xlfn.XLOOKUP(B113,'Base stats'!B:B,'Base stats'!BT:BT)/10000+0.01,0.01)
))</f>
        <v>No</v>
      </c>
      <c r="V113" s="4" t="str">
        <f>IF(S113="No","No",
MROUND(_xlfn.XLOOKUP(B113,'Base stats'!B:B,'Base stats'!BF:BF)^0.25
/((_xlfn.XLOOKUP(B113,'Base stats'!B:B,'Base stats'!BO:BO))*10)*_xlfn.XLOOKUP(_xlfn.XLOOKUP(B113,'Base stats'!B:B,'Base stats'!E:E),Groups!A:A,Groups!AE:AE)*150 + 0.5 + _xlfn.XLOOKUP(B113,'Base stats'!B:B,'Base stats'!BW:BW),
0.05))</f>
        <v>No</v>
      </c>
      <c r="W113" s="8">
        <f>MROUND(_xlfn.XLOOKUP(_xlfn.XLOOKUP(B113,'Base stats'!B:B,'Base stats'!E:E),Groups!A:A,Groups!BG:BG)*_xlfn.XLOOKUP(B113,'Base stats'!B:B,'Base stats'!C:C)^-0.165,0.05)</f>
        <v>0.1</v>
      </c>
      <c r="X113" s="1">
        <f>MROUND(_xlfn.XLOOKUP(_xlfn.XLOOKUP(B113,'Base stats'!B:B,'Base stats'!E:E),Groups!A:A,Groups!BH:BH)*_xlfn.XLOOKUP(B113,'Base stats'!B:B,'Base stats'!C:C)^0.165,0.05)</f>
        <v>0.25</v>
      </c>
      <c r="Y113" s="8">
        <f>MROUND(_xlfn.XLOOKUP(_xlfn.XLOOKUP(B113,'Base stats'!B:B,'Base stats'!E:E),Groups!A:A,Groups!BI:BI)*_xlfn.XLOOKUP(B113,'Base stats'!B:B,'Base stats'!C:C)^0.165,0.05)</f>
        <v>0.05</v>
      </c>
      <c r="Z113" s="18">
        <f>MROUND(_xlfn.XLOOKUP(B113,'Base stats'!B:B,'Base stats'!AQ:AQ)*_xlfn.XLOOKUP(_xlfn.XLOOKUP(B113,'Base stats'!B:B,'Base stats'!E:E),Groups!A:A,Groups!H:H)/1000,IF((_xlfn.XLOOKUP(B113,'Base stats'!B:B,'Base stats'!AQ:AQ)*_xlfn.XLOOKUP(_xlfn.XLOOKUP(B113,'Base stats'!B:B,'Base stats'!E:E),Groups!A:A,Groups!H:H)/1000)&gt;1,0.05,0.01))</f>
        <v>0.45</v>
      </c>
      <c r="AA113" s="18">
        <f>MROUND((1/2)*(_xlfn.XLOOKUP(_xlfn.XLOOKUP(B113,'Base stats'!B:B,'Base stats'!E:E),Groups!A:A,Groups!H:H)*_xlfn.XLOOKUP(_xlfn.XLOOKUP(B113,'Base stats'!B:B,'Base stats'!E:E),Groups!A:A,Groups!I:I))*_xlfn.XLOOKUP(B113,'Base stats'!B:B,'Base stats'!AQ:AQ)*0.01,0.05)</f>
        <v>0.5</v>
      </c>
      <c r="AB113" s="18">
        <f>MROUND(250*(Animals!AO113+Animals!AP113),25)</f>
        <v>1525</v>
      </c>
      <c r="AC113" s="18" t="str">
        <f>_xlfn.XLOOKUP(_xlfn.XLOOKUP(B113,'Base stats'!B:B,'Base stats'!E:E),Groups!A:A,Groups!BJ:BJ)</f>
        <v>QuadrupedLow</v>
      </c>
    </row>
    <row r="114" spans="1:29" s="16" customFormat="1" ht="16.5" thickTop="1" thickBot="1" x14ac:dyDescent="0.3">
      <c r="A114" s="16" t="str">
        <f>Animals!A114</f>
        <v>Cheetah</v>
      </c>
      <c r="B114" s="6" t="str">
        <f>Animals!B114</f>
        <v>Acinonyx jubatus</v>
      </c>
      <c r="C114" s="1" t="str">
        <f>Animals!C114</f>
        <v>&lt;li&gt;AEXP_Cheetah&lt;/li&gt;</v>
      </c>
      <c r="D114" s="47">
        <f>MIN(MIN(6,_xlfn.XLOOKUP(A114,Animals!A:A,Animals!AO:AO))*20,MAX(MROUND(_xlfn.XLOOKUP(B114,'Base stats'!B:B,'Base stats'!BS:BS) * (_xlfn.XLOOKUP(B114,'Base stats'!B:B,'Base stats'!AO:AO)*5%)^0.9 / 21,0.1),0.05))</f>
        <v>1.8</v>
      </c>
      <c r="E114" s="11">
        <f>MROUND(_xlfn.XLOOKUP(B114,'Base stats'!B:B,'Base stats'!BG:BG) * 0.01 * 2 + 0.01, 0.05)</f>
        <v>1.4500000000000002</v>
      </c>
      <c r="F114" s="7">
        <f>MROUND(_xlfn.XLOOKUP(B114,'Base stats'!B:B,'Base stats'!BD:BD)^0.25 / (_xlfn.XLOOKUP(B114,'Base stats'!B:B,'Base stats'!BK:BK) * 10) * 150 + 0.5 + _xlfn.XLOOKUP(B114,'Base stats'!B:B,'Base stats'!BW:BW), 0.05)</f>
        <v>1.9000000000000001</v>
      </c>
      <c r="G114" s="3" t="str">
        <f>IF(Animals!S114="No","No",
IF(_xlfn.XLOOKUP(B114,'Base stats'!B:B,'Base stats'!U:U)="No",
MAX(MROUND(_xlfn.XLOOKUP(B114,'Base stats'!B:B,'Base stats'!BT:BT) * _xlfn.XLOOKUP(B114,'Base stats'!B:B,'Base stats'!BP:BP)^0.9 / 21 * _xlfn.XLOOKUP(B114,'Base stats'!B:B,'Base stats'!BX:BX),0.1),0.05),
MAX(MROUND(((MIN(10,_xlfn.XLOOKUP(B114,'Base stats'!B:B,'Base stats'!U:U)))^0.4*_xlfn.XLOOKUP(B114,'Base stats'!B:B,'Base stats'!BH:BH)^0.73)^0.6 * _xlfn.XLOOKUP(B114,'Base stats'!B:B,'Base stats'!BX:BX),0.1),0.05)
))</f>
        <v>No</v>
      </c>
      <c r="H114" s="11" t="str">
        <f>IF(G114="No","No",
MROUND(_xlfn.XLOOKUP(B114,'Base stats'!B:B,'Base stats'!BH:BH) * 0.01 * 2 + 0.05, 0.05)
)</f>
        <v>No</v>
      </c>
      <c r="I114" s="11" t="str">
        <f>IF(G114="No","No",IF(_xlfn.XLOOKUP(B114,'Base stats'!B:B,'Base stats'!U:U)="No","No",
MROUND(_xlfn.XLOOKUP(B114,'Base stats'!B:B,'Base stats'!BT:BT)/10000+0.01,0.01)
))</f>
        <v>No</v>
      </c>
      <c r="J114" s="4" t="str">
        <f>IF(G114="No","No",
MROUND(_xlfn.XLOOKUP(B114,'Base stats'!B:B,'Base stats'!BE:BE)^0.25
/((_xlfn.XLOOKUP(B114,'Base stats'!B:B,'Base stats'!BL:BL))*10)*_xlfn.XLOOKUP(_xlfn.XLOOKUP(B114,'Base stats'!B:B,'Base stats'!E:E),Groups!A:A,Groups!Q:Q)*150 + 0.5 + _xlfn.XLOOKUP(B114,'Base stats'!B:B,'Base stats'!BW:BW),
0.05))</f>
        <v>No</v>
      </c>
      <c r="K114" s="3" t="str">
        <f>IF(Animals!X114="No","No",
IF(_xlfn.XLOOKUP(_xlfn.XLOOKUP(B114,'Base stats'!B:B,'Base stats'!E:E),Groups!A:A,Groups!BD:BD)=1,
MAX(MROUND(_xlfn.XLOOKUP(B114,'Base stats'!B:B,'Base stats'!BU:BU) * _xlfn.XLOOKUP(B114,'Base stats'!B:B,'Base stats'!BQ:BQ)^0.9 / 21 *_xlfn.XLOOKUP(B114,'Base stats'!B:B,'Base stats'!BX:BX),0.1),0.05),
MAX(MROUND(((MIN(10,_xlfn.XLOOKUP(B114,'Base stats'!B:B,'Base stats'!W:W)))^0.4*_xlfn.XLOOKUP(B114,'Base stats'!B:B,'Base stats'!BI:BI)^0.73)^0.6 *_xlfn.XLOOKUP(B114,'Base stats'!B:B,'Base stats'!BX:BX),0.1),0.05)
))</f>
        <v>No</v>
      </c>
      <c r="L114" s="11" t="str">
        <f>IF(K114="No","No",
MROUND(_xlfn.XLOOKUP(B114,'Base stats'!B:B,'Base stats'!BI:BI) * 0.01 *2 + 0.05, 0.05)
)</f>
        <v>No</v>
      </c>
      <c r="M114" s="5" t="str">
        <f>IF(K114="No","No",IF(_xlfn.XLOOKUP(_xlfn.XLOOKUP(B114,'Base stats'!B:B,'Base stats'!E:E),Groups!A:A,Groups!BD:BD)=1,"No",
MROUND(_xlfn.XLOOKUP(B114,'Base stats'!B:B,'Base stats'!BU:BU)/10000+0.01,0.01)
))</f>
        <v>No</v>
      </c>
      <c r="N114" s="4" t="str">
        <f>IF(K114="No","No",
MROUND(
  _xlfn.XLOOKUP(B114,'Base stats'!B:B,'Base stats'!BC:BC)^0.25
  / (_xlfn.XLOOKUP(B114,'Base stats'!B:B,'Base stats'!BM:BM) * 10)
  * _xlfn.XLOOKUP(
      _xlfn.XLOOKUP(B114,'Base stats'!B:B,'Base stats'!E:E),
      Groups!A:A,
      Groups!V:V
    ) * 150
  + MIN(12, _xlfn.XLOOKUP(B114,'Base stats'!B:B,'Base stats'!W:W))^(1/IF(_xlfn.XLOOKUP(_xlfn.XLOOKUP(B114,'Base stats'!B:B,'Base stats'!E:E),Groups!A:A,Groups!U:U)=1,100,10)) + 0.5 + _xlfn.XLOOKUP(B114,'Base stats'!B:B,'Base stats'!BW:BW),
0.05))</f>
        <v>No</v>
      </c>
      <c r="O114" s="3">
        <f>IF(Animals!AD114="No","No",
MAX(MROUND((MIN(10,_xlfn.XLOOKUP(B114,'Base stats'!B:B,'Base stats'!V:V)*IF(_xlfn.XLOOKUP(_xlfn.XLOOKUP(B114,'Base stats'!B:B,'Base stats'!E:E),Groups!A:A,Groups!O:O)=0,1,0.33))^0.4*_xlfn.XLOOKUP(B114,'Base stats'!B:B,'Base stats'!BJ:BJ)^0.73)^0.6 *_xlfn.XLOOKUP(B114,'Base stats'!B:B,'Base stats'!BX:BX),0.1),0.05)
)</f>
        <v>11.5</v>
      </c>
      <c r="P114" s="11">
        <f>IF(O114="No","No",
MROUND(_xlfn.XLOOKUP(B114,'Base stats'!B:B,'Base stats'!BJ:BJ) * 0.01 * 2 + 0.05, 0.05)
)</f>
        <v>2.5</v>
      </c>
      <c r="Q114" s="5">
        <f>IF(O114="No","No",
MROUND(_xlfn.XLOOKUP(B114,'Base stats'!B:B,'Base stats'!BV:BV)/10000+0.01,0.01)
)</f>
        <v>0.18</v>
      </c>
      <c r="R114" s="4">
        <f>IF(O114="No","No",
MROUND(_xlfn.XLOOKUP(B114,'Base stats'!B:B,'Base stats'!BB:BB)^0.25
/((_xlfn.XLOOKUP(B114,'Base stats'!B:B,'Base stats'!BN:BN))*10)*_xlfn.XLOOKUP(_xlfn.XLOOKUP(B114,'Base stats'!B:B,'Base stats'!E:E),Groups!A:A,Groups!Z:Z)*150 + 0.5 + _xlfn.XLOOKUP(B114,'Base stats'!B:B,'Base stats'!BW:BW),
0.05))</f>
        <v>1.8</v>
      </c>
      <c r="S114" s="3">
        <f>IF(Animals!AI114="No","No",
IF(_xlfn.XLOOKUP(B114,'Base stats'!B:B,'Base stats'!U:U)="No",
MAX(MROUND(_xlfn.XLOOKUP(B114,'Base stats'!B:B,'Base stats'!BT:BT) * _xlfn.XLOOKUP(B114,'Base stats'!B:B,'Base stats'!BP:BP)^0.9 / 21 * _xlfn.XLOOKUP(B114,'Base stats'!B:B,'Base stats'!BX:BX),0.1),0.05),
MAX(MROUND(((MIN(12,_xlfn.XLOOKUP(B114,'Base stats'!B:B,'Base stats'!U:U)))^0.4*_xlfn.XLOOKUP(B114,'Base stats'!B:B,'Base stats'!BH:BH)^0.73)^0.6 * _xlfn.XLOOKUP(B114,'Base stats'!B:B,'Base stats'!BX:BX),0.1),0.05)
))</f>
        <v>9.2000000000000011</v>
      </c>
      <c r="T114" s="11">
        <f>IF(S114="No","No",
MROUND(_xlfn.XLOOKUP(B114,'Base stats'!B:B,'Base stats'!BH:BH) * 0.01 * 2 + 0.05, 0.05)
)</f>
        <v>1.9500000000000002</v>
      </c>
      <c r="U114" s="5">
        <f>IF(S114="No","No",IF(_xlfn.XLOOKUP(B114,'Base stats'!B:B,'Base stats'!U:U)="No","No",
MROUND(_xlfn.XLOOKUP(B114,'Base stats'!B:B,'Base stats'!BT:BT)/10000+0.01,0.01)
))</f>
        <v>0.14000000000000001</v>
      </c>
      <c r="V114" s="4">
        <f>IF(S114="No","No",
MROUND(_xlfn.XLOOKUP(B114,'Base stats'!B:B,'Base stats'!BF:BF)^0.25
/((_xlfn.XLOOKUP(B114,'Base stats'!B:B,'Base stats'!BO:BO))*10)*_xlfn.XLOOKUP(_xlfn.XLOOKUP(B114,'Base stats'!B:B,'Base stats'!E:E),Groups!A:A,Groups!AE:AE)*150 + 0.5 + _xlfn.XLOOKUP(B114,'Base stats'!B:B,'Base stats'!BW:BW),
0.05))</f>
        <v>1.35</v>
      </c>
      <c r="W114" s="8">
        <f>MROUND(_xlfn.XLOOKUP(_xlfn.XLOOKUP(B114,'Base stats'!B:B,'Base stats'!E:E),Groups!A:A,Groups!BG:BG)*_xlfn.XLOOKUP(B114,'Base stats'!B:B,'Base stats'!C:C)^-0.165,0.05)</f>
        <v>0.65</v>
      </c>
      <c r="X114" s="1">
        <f>MROUND(_xlfn.XLOOKUP(_xlfn.XLOOKUP(B114,'Base stats'!B:B,'Base stats'!E:E),Groups!A:A,Groups!BH:BH)*_xlfn.XLOOKUP(B114,'Base stats'!B:B,'Base stats'!C:C)^0.165,0.05)</f>
        <v>0.5</v>
      </c>
      <c r="Y114" s="8">
        <f>MROUND(_xlfn.XLOOKUP(_xlfn.XLOOKUP(B114,'Base stats'!B:B,'Base stats'!E:E),Groups!A:A,Groups!BI:BI)*_xlfn.XLOOKUP(B114,'Base stats'!B:B,'Base stats'!C:C)^0.165,0.05)</f>
        <v>0.05</v>
      </c>
      <c r="Z114" s="18">
        <f>MROUND(_xlfn.XLOOKUP(B114,'Base stats'!B:B,'Base stats'!AQ:AQ)*_xlfn.XLOOKUP(_xlfn.XLOOKUP(B114,'Base stats'!B:B,'Base stats'!E:E),Groups!A:A,Groups!H:H)/1000,IF((_xlfn.XLOOKUP(B114,'Base stats'!B:B,'Base stats'!AQ:AQ)*_xlfn.XLOOKUP(_xlfn.XLOOKUP(B114,'Base stats'!B:B,'Base stats'!E:E),Groups!A:A,Groups!H:H)/1000)&gt;1,0.05,0.01))</f>
        <v>0.08</v>
      </c>
      <c r="AA114" s="18">
        <f>MROUND((1/2)*(_xlfn.XLOOKUP(_xlfn.XLOOKUP(B114,'Base stats'!B:B,'Base stats'!E:E),Groups!A:A,Groups!H:H)*_xlfn.XLOOKUP(_xlfn.XLOOKUP(B114,'Base stats'!B:B,'Base stats'!E:E),Groups!A:A,Groups!I:I))*_xlfn.XLOOKUP(B114,'Base stats'!B:B,'Base stats'!AQ:AQ)*0.01,0.05)</f>
        <v>0.35000000000000003</v>
      </c>
      <c r="AB114" s="18">
        <f>MROUND(250*(Animals!AO114+Animals!AP114),25)</f>
        <v>500</v>
      </c>
      <c r="AC114" s="18" t="str">
        <f>_xlfn.XLOOKUP(_xlfn.XLOOKUP(B114,'Base stats'!B:B,'Base stats'!E:E),Groups!A:A,Groups!BJ:BJ)</f>
        <v>Quadruped</v>
      </c>
    </row>
    <row r="115" spans="1:29" ht="16.5" thickTop="1" thickBot="1" x14ac:dyDescent="0.3">
      <c r="A115" s="16" t="str">
        <f>Animals!A115</f>
        <v>Boombat</v>
      </c>
      <c r="B115" s="6" t="str">
        <f>Animals!B115</f>
        <v>Vombatus explosivus</v>
      </c>
      <c r="C115" s="1" t="str">
        <f>Animals!C115</f>
        <v>&lt;li&gt;AEXP_Boombat&lt;/li&gt;</v>
      </c>
      <c r="D115" s="47">
        <f>MIN(MIN(6,_xlfn.XLOOKUP(A115,Animals!A:A,Animals!AO:AO))*20,MAX(MROUND(_xlfn.XLOOKUP(B115,'Base stats'!B:B,'Base stats'!BS:BS) * (_xlfn.XLOOKUP(B115,'Base stats'!B:B,'Base stats'!AO:AO)*5%)^0.9 / 21,0.1),0.05))</f>
        <v>1</v>
      </c>
      <c r="E115" s="11">
        <f>MROUND(_xlfn.XLOOKUP(B115,'Base stats'!B:B,'Base stats'!BG:BG) * 0.01 * 2 + 0.01, 0.05)</f>
        <v>0.75</v>
      </c>
      <c r="F115" s="7">
        <f>MROUND(_xlfn.XLOOKUP(B115,'Base stats'!B:B,'Base stats'!BD:BD)^0.25 / (_xlfn.XLOOKUP(B115,'Base stats'!B:B,'Base stats'!BK:BK) * 10) * 150 + 0.5 + _xlfn.XLOOKUP(B115,'Base stats'!B:B,'Base stats'!BW:BW), 0.05)</f>
        <v>1.5</v>
      </c>
      <c r="G115" s="3" t="str">
        <f>IF(Animals!S115="No","No",
IF(_xlfn.XLOOKUP(B115,'Base stats'!B:B,'Base stats'!U:U)="No",
MAX(MROUND(_xlfn.XLOOKUP(B115,'Base stats'!B:B,'Base stats'!BT:BT) * _xlfn.XLOOKUP(B115,'Base stats'!B:B,'Base stats'!BP:BP)^0.9 / 21 * _xlfn.XLOOKUP(B115,'Base stats'!B:B,'Base stats'!BX:BX),0.1),0.05),
MAX(MROUND(((MIN(10,_xlfn.XLOOKUP(B115,'Base stats'!B:B,'Base stats'!U:U)))^0.4*_xlfn.XLOOKUP(B115,'Base stats'!B:B,'Base stats'!BH:BH)^0.73)^0.6 * _xlfn.XLOOKUP(B115,'Base stats'!B:B,'Base stats'!BX:BX),0.1),0.05)
))</f>
        <v>No</v>
      </c>
      <c r="H115" s="11" t="str">
        <f>IF(G115="No","No",
MROUND(_xlfn.XLOOKUP(B115,'Base stats'!B:B,'Base stats'!BH:BH) * 0.01 * 2 + 0.05, 0.05)
)</f>
        <v>No</v>
      </c>
      <c r="I115" s="11" t="str">
        <f>IF(G115="No","No",IF(_xlfn.XLOOKUP(B115,'Base stats'!B:B,'Base stats'!U:U)="No","No",
MROUND(_xlfn.XLOOKUP(B115,'Base stats'!B:B,'Base stats'!BT:BT)/10000+0.01,0.01)
))</f>
        <v>No</v>
      </c>
      <c r="J115" s="4" t="str">
        <f>IF(G115="No","No",
MROUND(_xlfn.XLOOKUP(B115,'Base stats'!B:B,'Base stats'!BE:BE)^0.25
/((_xlfn.XLOOKUP(B115,'Base stats'!B:B,'Base stats'!BL:BL))*10)*_xlfn.XLOOKUP(_xlfn.XLOOKUP(B115,'Base stats'!B:B,'Base stats'!E:E),Groups!A:A,Groups!Q:Q)*150 + 0.5 + _xlfn.XLOOKUP(B115,'Base stats'!B:B,'Base stats'!BW:BW),
0.05))</f>
        <v>No</v>
      </c>
      <c r="K115" s="3" t="str">
        <f>IF(Animals!X115="No","No",
IF(_xlfn.XLOOKUP(_xlfn.XLOOKUP(B115,'Base stats'!B:B,'Base stats'!E:E),Groups!A:A,Groups!BD:BD)=1,
MAX(MROUND(_xlfn.XLOOKUP(B115,'Base stats'!B:B,'Base stats'!BU:BU) * _xlfn.XLOOKUP(B115,'Base stats'!B:B,'Base stats'!BQ:BQ)^0.9 / 21 *_xlfn.XLOOKUP(B115,'Base stats'!B:B,'Base stats'!BX:BX),0.1),0.05),
MAX(MROUND(((MIN(10,_xlfn.XLOOKUP(B115,'Base stats'!B:B,'Base stats'!W:W)))^0.4*_xlfn.XLOOKUP(B115,'Base stats'!B:B,'Base stats'!BI:BI)^0.73)^0.6 *_xlfn.XLOOKUP(B115,'Base stats'!B:B,'Base stats'!BX:BX),0.1),0.05)
))</f>
        <v>No</v>
      </c>
      <c r="L115" s="11" t="str">
        <f>IF(K115="No","No",
MROUND(_xlfn.XLOOKUP(B115,'Base stats'!B:B,'Base stats'!BI:BI) * 0.01 *2 + 0.05, 0.05)
)</f>
        <v>No</v>
      </c>
      <c r="M115" s="5" t="str">
        <f>IF(K115="No","No",IF(_xlfn.XLOOKUP(_xlfn.XLOOKUP(B115,'Base stats'!B:B,'Base stats'!E:E),Groups!A:A,Groups!BD:BD)=1,"No",
MROUND(_xlfn.XLOOKUP(B115,'Base stats'!B:B,'Base stats'!BU:BU)/10000+0.01,0.01)
))</f>
        <v>No</v>
      </c>
      <c r="N115" s="4" t="str">
        <f>IF(K115="No","No",
MROUND(
  _xlfn.XLOOKUP(B115,'Base stats'!B:B,'Base stats'!BC:BC)^0.25
  / (_xlfn.XLOOKUP(B115,'Base stats'!B:B,'Base stats'!BM:BM) * 10)
  * _xlfn.XLOOKUP(
      _xlfn.XLOOKUP(B115,'Base stats'!B:B,'Base stats'!E:E),
      Groups!A:A,
      Groups!V:V
    ) * 150
  + MIN(12, _xlfn.XLOOKUP(B115,'Base stats'!B:B,'Base stats'!W:W))^(1/IF(_xlfn.XLOOKUP(_xlfn.XLOOKUP(B115,'Base stats'!B:B,'Base stats'!E:E),Groups!A:A,Groups!U:U)=1,100,10)) + 0.5 + _xlfn.XLOOKUP(B115,'Base stats'!B:B,'Base stats'!BW:BW),
0.05))</f>
        <v>No</v>
      </c>
      <c r="O115" s="3">
        <f>IF(Animals!AD115="No","No",
MAX(MROUND((MIN(10,_xlfn.XLOOKUP(B115,'Base stats'!B:B,'Base stats'!V:V)*IF(_xlfn.XLOOKUP(_xlfn.XLOOKUP(B115,'Base stats'!B:B,'Base stats'!E:E),Groups!A:A,Groups!O:O)=0,1,0.33))^0.4*_xlfn.XLOOKUP(B115,'Base stats'!B:B,'Base stats'!BJ:BJ)^0.73)^0.6 *_xlfn.XLOOKUP(B115,'Base stats'!B:B,'Base stats'!BX:BX),0.1),0.05)
)</f>
        <v>5.2</v>
      </c>
      <c r="P115" s="11">
        <f>IF(O115="No","No",
MROUND(_xlfn.XLOOKUP(B115,'Base stats'!B:B,'Base stats'!BJ:BJ) * 0.01 * 2 + 0.05, 0.05)
)</f>
        <v>0.65</v>
      </c>
      <c r="Q115" s="5">
        <f>IF(O115="No","No",
MROUND(_xlfn.XLOOKUP(B115,'Base stats'!B:B,'Base stats'!BV:BV)/10000+0.01,0.01)
)</f>
        <v>0.06</v>
      </c>
      <c r="R115" s="4">
        <f>IF(O115="No","No",
MROUND(_xlfn.XLOOKUP(B115,'Base stats'!B:B,'Base stats'!BB:BB)^0.25
/((_xlfn.XLOOKUP(B115,'Base stats'!B:B,'Base stats'!BN:BN))*10)*_xlfn.XLOOKUP(_xlfn.XLOOKUP(B115,'Base stats'!B:B,'Base stats'!E:E),Groups!A:A,Groups!Z:Z)*150 + 0.5 + _xlfn.XLOOKUP(B115,'Base stats'!B:B,'Base stats'!BW:BW),
0.05))</f>
        <v>2.15</v>
      </c>
      <c r="S115" s="3">
        <f>IF(Animals!AI115="No","No",
IF(_xlfn.XLOOKUP(B115,'Base stats'!B:B,'Base stats'!U:U)="No",
MAX(MROUND(_xlfn.XLOOKUP(B115,'Base stats'!B:B,'Base stats'!BT:BT) * _xlfn.XLOOKUP(B115,'Base stats'!B:B,'Base stats'!BP:BP)^0.9 / 21 * _xlfn.XLOOKUP(B115,'Base stats'!B:B,'Base stats'!BX:BX),0.1),0.05),
MAX(MROUND(((MIN(12,_xlfn.XLOOKUP(B115,'Base stats'!B:B,'Base stats'!U:U)))^0.4*_xlfn.XLOOKUP(B115,'Base stats'!B:B,'Base stats'!BH:BH)^0.73)^0.6 * _xlfn.XLOOKUP(B115,'Base stats'!B:B,'Base stats'!BX:BX),0.1),0.05)
))</f>
        <v>7.3000000000000007</v>
      </c>
      <c r="T115" s="11">
        <f>IF(S115="No","No",
MROUND(_xlfn.XLOOKUP(B115,'Base stats'!B:B,'Base stats'!BH:BH) * 0.01 * 2 + 0.05, 0.05)
)</f>
        <v>1.05</v>
      </c>
      <c r="U115" s="5">
        <f>IF(S115="No","No",IF(_xlfn.XLOOKUP(B115,'Base stats'!B:B,'Base stats'!U:U)="No","No",
MROUND(_xlfn.XLOOKUP(B115,'Base stats'!B:B,'Base stats'!BT:BT)/10000+0.01,0.01)
))</f>
        <v>0.1</v>
      </c>
      <c r="V115" s="4">
        <f>IF(S115="No","No",
MROUND(_xlfn.XLOOKUP(B115,'Base stats'!B:B,'Base stats'!BF:BF)^0.25
/((_xlfn.XLOOKUP(B115,'Base stats'!B:B,'Base stats'!BO:BO))*10)*_xlfn.XLOOKUP(_xlfn.XLOOKUP(B115,'Base stats'!B:B,'Base stats'!E:E),Groups!A:A,Groups!AE:AE)*150 + 0.5 + _xlfn.XLOOKUP(B115,'Base stats'!B:B,'Base stats'!BW:BW),
0.05))</f>
        <v>1.3</v>
      </c>
      <c r="W115" s="8">
        <f>MROUND(_xlfn.XLOOKUP(_xlfn.XLOOKUP(B115,'Base stats'!B:B,'Base stats'!E:E),Groups!A:A,Groups!BG:BG)*_xlfn.XLOOKUP(B115,'Base stats'!B:B,'Base stats'!C:C)^-0.165,0.05)</f>
        <v>0.30000000000000004</v>
      </c>
      <c r="X115" s="1">
        <f>MROUND(_xlfn.XLOOKUP(_xlfn.XLOOKUP(B115,'Base stats'!B:B,'Base stats'!E:E),Groups!A:A,Groups!BH:BH)*_xlfn.XLOOKUP(B115,'Base stats'!B:B,'Base stats'!C:C)^0.165,0.05)</f>
        <v>0</v>
      </c>
      <c r="Y115" s="8">
        <f>MROUND(_xlfn.XLOOKUP(_xlfn.XLOOKUP(B115,'Base stats'!B:B,'Base stats'!E:E),Groups!A:A,Groups!BI:BI)*_xlfn.XLOOKUP(B115,'Base stats'!B:B,'Base stats'!C:C)^0.165,0.05)</f>
        <v>0</v>
      </c>
      <c r="Z115" s="18">
        <f>MROUND(_xlfn.XLOOKUP(B115,'Base stats'!B:B,'Base stats'!AQ:AQ)*_xlfn.XLOOKUP(_xlfn.XLOOKUP(B115,'Base stats'!B:B,'Base stats'!E:E),Groups!A:A,Groups!H:H)/1000,IF((_xlfn.XLOOKUP(B115,'Base stats'!B:B,'Base stats'!AQ:AQ)*_xlfn.XLOOKUP(_xlfn.XLOOKUP(B115,'Base stats'!B:B,'Base stats'!E:E),Groups!A:A,Groups!H:H)/1000)&gt;1,0.05,0.01))</f>
        <v>0.04</v>
      </c>
      <c r="AA115" s="18">
        <f>MROUND((1/2)*(_xlfn.XLOOKUP(_xlfn.XLOOKUP(B115,'Base stats'!B:B,'Base stats'!E:E),Groups!A:A,Groups!H:H)*_xlfn.XLOOKUP(_xlfn.XLOOKUP(B115,'Base stats'!B:B,'Base stats'!E:E),Groups!A:A,Groups!I:I))*_xlfn.XLOOKUP(B115,'Base stats'!B:B,'Base stats'!AQ:AQ)*0.01,0.05)</f>
        <v>0.2</v>
      </c>
      <c r="AB115" s="18">
        <f>MROUND(250*(Animals!AO115+Animals!AP115),25)</f>
        <v>325</v>
      </c>
      <c r="AC115" s="18" t="str">
        <f>_xlfn.XLOOKUP(_xlfn.XLOOKUP(B115,'Base stats'!B:B,'Base stats'!E:E),Groups!A:A,Groups!BJ:BJ)</f>
        <v>Quadruped</v>
      </c>
    </row>
    <row r="116" spans="1:29" ht="16.5" thickTop="1" thickBot="1" x14ac:dyDescent="0.3">
      <c r="A116" s="16" t="str">
        <f>Animals!A116</f>
        <v>Kangaroo</v>
      </c>
      <c r="B116" s="6" t="str">
        <f>Animals!B116</f>
        <v>Macropus rufus</v>
      </c>
      <c r="C116" s="1" t="str">
        <f>Animals!C116</f>
        <v>&lt;li&gt;AEXP_Kangaroo&lt;/li&gt;</v>
      </c>
      <c r="D116" s="47">
        <f>MIN(MIN(6,_xlfn.XLOOKUP(A116,Animals!A:A,Animals!AO:AO))*20,MAX(MROUND(_xlfn.XLOOKUP(B116,'Base stats'!B:B,'Base stats'!BS:BS) * (_xlfn.XLOOKUP(B116,'Base stats'!B:B,'Base stats'!AO:AO)*5%)^0.9 / 21,0.1),0.05))</f>
        <v>1.8</v>
      </c>
      <c r="E116" s="11">
        <f>MROUND(_xlfn.XLOOKUP(B116,'Base stats'!B:B,'Base stats'!BG:BG) * 0.01 * 2 + 0.01, 0.05)</f>
        <v>1.5</v>
      </c>
      <c r="F116" s="7">
        <f>MROUND(_xlfn.XLOOKUP(B116,'Base stats'!B:B,'Base stats'!BD:BD)^0.25 / (_xlfn.XLOOKUP(B116,'Base stats'!B:B,'Base stats'!BK:BK) * 10) * 150 + 0.5 + _xlfn.XLOOKUP(B116,'Base stats'!B:B,'Base stats'!BW:BW), 0.05)</f>
        <v>1.6</v>
      </c>
      <c r="G116" s="3">
        <f>IF(Animals!S116="No","No",
IF(_xlfn.XLOOKUP(B116,'Base stats'!B:B,'Base stats'!U:U)="No",
MAX(MROUND(_xlfn.XLOOKUP(B116,'Base stats'!B:B,'Base stats'!BT:BT) * _xlfn.XLOOKUP(B116,'Base stats'!B:B,'Base stats'!BP:BP)^0.9 / 21 * _xlfn.XLOOKUP(B116,'Base stats'!B:B,'Base stats'!BX:BX),0.1),0.05),
MAX(MROUND(((MIN(10,_xlfn.XLOOKUP(B116,'Base stats'!B:B,'Base stats'!U:U)))^0.4*_xlfn.XLOOKUP(B116,'Base stats'!B:B,'Base stats'!BH:BH)^0.73)^0.6 * _xlfn.XLOOKUP(B116,'Base stats'!B:B,'Base stats'!BX:BX),0.1),0.05)
))</f>
        <v>10.9</v>
      </c>
      <c r="H116" s="11">
        <f>IF(G116="No","No",
MROUND(_xlfn.XLOOKUP(B116,'Base stats'!B:B,'Base stats'!BH:BH) * 0.01 * 2 + 0.05, 0.05)
)</f>
        <v>2</v>
      </c>
      <c r="I116" s="11">
        <f>IF(G116="No","No",IF(_xlfn.XLOOKUP(B116,'Base stats'!B:B,'Base stats'!U:U)="No","No",
MROUND(_xlfn.XLOOKUP(B116,'Base stats'!B:B,'Base stats'!BT:BT)/10000+0.01,0.01)
))</f>
        <v>0.14000000000000001</v>
      </c>
      <c r="J116" s="4">
        <f>IF(G116="No","No",
MROUND(_xlfn.XLOOKUP(B116,'Base stats'!B:B,'Base stats'!BE:BE)^0.25
/((_xlfn.XLOOKUP(B116,'Base stats'!B:B,'Base stats'!BL:BL))*10)*_xlfn.XLOOKUP(_xlfn.XLOOKUP(B116,'Base stats'!B:B,'Base stats'!E:E),Groups!A:A,Groups!Q:Q)*150 + 0.5 + _xlfn.XLOOKUP(B116,'Base stats'!B:B,'Base stats'!BW:BW),
0.05))</f>
        <v>2.9000000000000004</v>
      </c>
      <c r="K116" s="3" t="str">
        <f>IF(Animals!X116="No","No",
IF(_xlfn.XLOOKUP(_xlfn.XLOOKUP(B116,'Base stats'!B:B,'Base stats'!E:E),Groups!A:A,Groups!BD:BD)=1,
MAX(MROUND(_xlfn.XLOOKUP(B116,'Base stats'!B:B,'Base stats'!BU:BU) * _xlfn.XLOOKUP(B116,'Base stats'!B:B,'Base stats'!BQ:BQ)^0.9 / 21 *_xlfn.XLOOKUP(B116,'Base stats'!B:B,'Base stats'!BX:BX),0.1),0.05),
MAX(MROUND(((MIN(10,_xlfn.XLOOKUP(B116,'Base stats'!B:B,'Base stats'!W:W)))^0.4*_xlfn.XLOOKUP(B116,'Base stats'!B:B,'Base stats'!BI:BI)^0.73)^0.6 *_xlfn.XLOOKUP(B116,'Base stats'!B:B,'Base stats'!BX:BX),0.1),0.05)
))</f>
        <v>No</v>
      </c>
      <c r="L116" s="11" t="str">
        <f>IF(K116="No","No",
MROUND(_xlfn.XLOOKUP(B116,'Base stats'!B:B,'Base stats'!BI:BI) * 0.01 *2 + 0.05, 0.05)
)</f>
        <v>No</v>
      </c>
      <c r="M116" s="5" t="str">
        <f>IF(K116="No","No",IF(_xlfn.XLOOKUP(_xlfn.XLOOKUP(B116,'Base stats'!B:B,'Base stats'!E:E),Groups!A:A,Groups!BD:BD)=1,"No",
MROUND(_xlfn.XLOOKUP(B116,'Base stats'!B:B,'Base stats'!BU:BU)/10000+0.01,0.01)
))</f>
        <v>No</v>
      </c>
      <c r="N116" s="4" t="str">
        <f>IF(K116="No","No",
MROUND(
  _xlfn.XLOOKUP(B116,'Base stats'!B:B,'Base stats'!BC:BC)^0.25
  / (_xlfn.XLOOKUP(B116,'Base stats'!B:B,'Base stats'!BM:BM) * 10)
  * _xlfn.XLOOKUP(
      _xlfn.XLOOKUP(B116,'Base stats'!B:B,'Base stats'!E:E),
      Groups!A:A,
      Groups!V:V
    ) * 150
  + MIN(12, _xlfn.XLOOKUP(B116,'Base stats'!B:B,'Base stats'!W:W))^(1/IF(_xlfn.XLOOKUP(_xlfn.XLOOKUP(B116,'Base stats'!B:B,'Base stats'!E:E),Groups!A:A,Groups!U:U)=1,100,10)) + 0.5 + _xlfn.XLOOKUP(B116,'Base stats'!B:B,'Base stats'!BW:BW),
0.05))</f>
        <v>No</v>
      </c>
      <c r="O116" s="3" t="str">
        <f>IF(Animals!AD116="No","No",
MAX(MROUND((MIN(10,_xlfn.XLOOKUP(B116,'Base stats'!B:B,'Base stats'!V:V)*IF(_xlfn.XLOOKUP(_xlfn.XLOOKUP(B116,'Base stats'!B:B,'Base stats'!E:E),Groups!A:A,Groups!O:O)=0,1,0.33))^0.4*_xlfn.XLOOKUP(B116,'Base stats'!B:B,'Base stats'!BJ:BJ)^0.73)^0.6 *_xlfn.XLOOKUP(B116,'Base stats'!B:B,'Base stats'!BX:BX),0.1),0.05)
)</f>
        <v>No</v>
      </c>
      <c r="P116" s="11" t="str">
        <f>IF(O116="No","No",
MROUND(_xlfn.XLOOKUP(B116,'Base stats'!B:B,'Base stats'!BJ:BJ) * 0.01 * 2 + 0.05, 0.05)
)</f>
        <v>No</v>
      </c>
      <c r="Q116" s="5" t="str">
        <f>IF(O116="No","No",
MROUND(_xlfn.XLOOKUP(B116,'Base stats'!B:B,'Base stats'!BV:BV)/10000+0.01,0.01)
)</f>
        <v>No</v>
      </c>
      <c r="R116" s="4" t="str">
        <f>IF(O116="No","No",
MROUND(_xlfn.XLOOKUP(B116,'Base stats'!B:B,'Base stats'!BB:BB)^0.25
/((_xlfn.XLOOKUP(B116,'Base stats'!B:B,'Base stats'!BN:BN))*10)*_xlfn.XLOOKUP(_xlfn.XLOOKUP(B116,'Base stats'!B:B,'Base stats'!E:E),Groups!A:A,Groups!Z:Z)*150 + 0.5 + _xlfn.XLOOKUP(B116,'Base stats'!B:B,'Base stats'!BW:BW),
0.05))</f>
        <v>No</v>
      </c>
      <c r="S116" s="3" t="str">
        <f>IF(Animals!AI116="No","No",
IF(_xlfn.XLOOKUP(B116,'Base stats'!B:B,'Base stats'!U:U)="No",
MAX(MROUND(_xlfn.XLOOKUP(B116,'Base stats'!B:B,'Base stats'!BT:BT) * _xlfn.XLOOKUP(B116,'Base stats'!B:B,'Base stats'!BP:BP)^0.9 / 21 * _xlfn.XLOOKUP(B116,'Base stats'!B:B,'Base stats'!BX:BX),0.1),0.05),
MAX(MROUND(((MIN(12,_xlfn.XLOOKUP(B116,'Base stats'!B:B,'Base stats'!U:U)))^0.4*_xlfn.XLOOKUP(B116,'Base stats'!B:B,'Base stats'!BH:BH)^0.73)^0.6 * _xlfn.XLOOKUP(B116,'Base stats'!B:B,'Base stats'!BX:BX),0.1),0.05)
))</f>
        <v>No</v>
      </c>
      <c r="T116" s="11" t="str">
        <f>IF(S116="No","No",
MROUND(_xlfn.XLOOKUP(B116,'Base stats'!B:B,'Base stats'!BH:BH) * 0.01 * 2 + 0.05, 0.05)
)</f>
        <v>No</v>
      </c>
      <c r="U116" s="5" t="str">
        <f>IF(S116="No","No",IF(_xlfn.XLOOKUP(B116,'Base stats'!B:B,'Base stats'!U:U)="No","No",
MROUND(_xlfn.XLOOKUP(B116,'Base stats'!B:B,'Base stats'!BT:BT)/10000+0.01,0.01)
))</f>
        <v>No</v>
      </c>
      <c r="V116" s="4" t="str">
        <f>IF(S116="No","No",
MROUND(_xlfn.XLOOKUP(B116,'Base stats'!B:B,'Base stats'!BF:BF)^0.25
/((_xlfn.XLOOKUP(B116,'Base stats'!B:B,'Base stats'!BO:BO))*10)*_xlfn.XLOOKUP(_xlfn.XLOOKUP(B116,'Base stats'!B:B,'Base stats'!E:E),Groups!A:A,Groups!AE:AE)*150 + 0.5 + _xlfn.XLOOKUP(B116,'Base stats'!B:B,'Base stats'!BW:BW),
0.05))</f>
        <v>No</v>
      </c>
      <c r="W116" s="8">
        <f>MROUND(_xlfn.XLOOKUP(_xlfn.XLOOKUP(B116,'Base stats'!B:B,'Base stats'!E:E),Groups!A:A,Groups!BG:BG)*_xlfn.XLOOKUP(B116,'Base stats'!B:B,'Base stats'!C:C)^-0.165,0.05)</f>
        <v>0.35000000000000003</v>
      </c>
      <c r="X116" s="1">
        <f>MROUND(_xlfn.XLOOKUP(_xlfn.XLOOKUP(B116,'Base stats'!B:B,'Base stats'!E:E),Groups!A:A,Groups!BH:BH)*_xlfn.XLOOKUP(B116,'Base stats'!B:B,'Base stats'!C:C)^0.165,0.05)</f>
        <v>0</v>
      </c>
      <c r="Y116" s="8">
        <f>MROUND(_xlfn.XLOOKUP(_xlfn.XLOOKUP(B116,'Base stats'!B:B,'Base stats'!E:E),Groups!A:A,Groups!BI:BI)*_xlfn.XLOOKUP(B116,'Base stats'!B:B,'Base stats'!C:C)^0.165,0.05)</f>
        <v>0</v>
      </c>
      <c r="Z116" s="18">
        <f>MROUND(_xlfn.XLOOKUP(B116,'Base stats'!B:B,'Base stats'!AQ:AQ)*_xlfn.XLOOKUP(_xlfn.XLOOKUP(B116,'Base stats'!B:B,'Base stats'!E:E),Groups!A:A,Groups!H:H)/1000,IF((_xlfn.XLOOKUP(B116,'Base stats'!B:B,'Base stats'!AQ:AQ)*_xlfn.XLOOKUP(_xlfn.XLOOKUP(B116,'Base stats'!B:B,'Base stats'!E:E),Groups!A:A,Groups!H:H)/1000)&gt;1,0.05,0.01))</f>
        <v>0.06</v>
      </c>
      <c r="AA116" s="18">
        <f>MROUND((1/2)*(_xlfn.XLOOKUP(_xlfn.XLOOKUP(B116,'Base stats'!B:B,'Base stats'!E:E),Groups!A:A,Groups!H:H)*_xlfn.XLOOKUP(_xlfn.XLOOKUP(B116,'Base stats'!B:B,'Base stats'!E:E),Groups!A:A,Groups!I:I))*_xlfn.XLOOKUP(B116,'Base stats'!B:B,'Base stats'!AQ:AQ)*0.01,0.05)</f>
        <v>0.25</v>
      </c>
      <c r="AB116" s="18">
        <f>MROUND(250*(Animals!AO116+Animals!AP116),25)</f>
        <v>450</v>
      </c>
      <c r="AC116" s="18" t="str">
        <f>_xlfn.XLOOKUP(_xlfn.XLOOKUP(B116,'Base stats'!B:B,'Base stats'!E:E),Groups!A:A,Groups!BJ:BJ)</f>
        <v>Humanoid</v>
      </c>
    </row>
    <row r="117" spans="1:29" ht="16.5" thickTop="1" thickBot="1" x14ac:dyDescent="0.3">
      <c r="A117" s="16" t="str">
        <f>Animals!A117</f>
        <v>Koala</v>
      </c>
      <c r="B117" s="6" t="str">
        <f>Animals!B117</f>
        <v>Phascolarctos cinereus</v>
      </c>
      <c r="C117" s="1" t="str">
        <f>Animals!C117</f>
        <v>&lt;li&gt;AEXP_Koala&lt;/li&gt;</v>
      </c>
      <c r="D117" s="47">
        <f>MIN(MIN(6,_xlfn.XLOOKUP(A117,Animals!A:A,Animals!AO:AO))*20,MAX(MROUND(_xlfn.XLOOKUP(B117,'Base stats'!B:B,'Base stats'!BS:BS) * (_xlfn.XLOOKUP(B117,'Base stats'!B:B,'Base stats'!AO:AO)*5%)^0.9 / 21,0.1),0.05))</f>
        <v>0.4</v>
      </c>
      <c r="E117" s="11">
        <f>MROUND(_xlfn.XLOOKUP(B117,'Base stats'!B:B,'Base stats'!BG:BG) * 0.01 * 2 + 0.01, 0.05)</f>
        <v>0.30000000000000004</v>
      </c>
      <c r="F117" s="7">
        <f>MROUND(_xlfn.XLOOKUP(B117,'Base stats'!B:B,'Base stats'!BD:BD)^0.25 / (_xlfn.XLOOKUP(B117,'Base stats'!B:B,'Base stats'!BK:BK) * 10) * 150 + 0.5 + _xlfn.XLOOKUP(B117,'Base stats'!B:B,'Base stats'!BW:BW), 0.05)</f>
        <v>1.4000000000000001</v>
      </c>
      <c r="G117" s="3" t="str">
        <f>IF(Animals!S117="No","No",
IF(_xlfn.XLOOKUP(B117,'Base stats'!B:B,'Base stats'!U:U)="No",
MAX(MROUND(_xlfn.XLOOKUP(B117,'Base stats'!B:B,'Base stats'!BT:BT) * _xlfn.XLOOKUP(B117,'Base stats'!B:B,'Base stats'!BP:BP)^0.9 / 21 * _xlfn.XLOOKUP(B117,'Base stats'!B:B,'Base stats'!BX:BX),0.1),0.05),
MAX(MROUND(((MIN(10,_xlfn.XLOOKUP(B117,'Base stats'!B:B,'Base stats'!U:U)))^0.4*_xlfn.XLOOKUP(B117,'Base stats'!B:B,'Base stats'!BH:BH)^0.73)^0.6 * _xlfn.XLOOKUP(B117,'Base stats'!B:B,'Base stats'!BX:BX),0.1),0.05)
))</f>
        <v>No</v>
      </c>
      <c r="H117" s="11" t="str">
        <f>IF(G117="No","No",
MROUND(_xlfn.XLOOKUP(B117,'Base stats'!B:B,'Base stats'!BH:BH) * 0.01 * 2 + 0.05, 0.05)
)</f>
        <v>No</v>
      </c>
      <c r="I117" s="11" t="str">
        <f>IF(G117="No","No",IF(_xlfn.XLOOKUP(B117,'Base stats'!B:B,'Base stats'!U:U)="No","No",
MROUND(_xlfn.XLOOKUP(B117,'Base stats'!B:B,'Base stats'!BT:BT)/10000+0.01,0.01)
))</f>
        <v>No</v>
      </c>
      <c r="J117" s="4" t="str">
        <f>IF(G117="No","No",
MROUND(_xlfn.XLOOKUP(B117,'Base stats'!B:B,'Base stats'!BE:BE)^0.25
/((_xlfn.XLOOKUP(B117,'Base stats'!B:B,'Base stats'!BL:BL))*10)*_xlfn.XLOOKUP(_xlfn.XLOOKUP(B117,'Base stats'!B:B,'Base stats'!E:E),Groups!A:A,Groups!Q:Q)*150 + 0.5 + _xlfn.XLOOKUP(B117,'Base stats'!B:B,'Base stats'!BW:BW),
0.05))</f>
        <v>No</v>
      </c>
      <c r="K117" s="3" t="str">
        <f>IF(Animals!X117="No","No",
IF(_xlfn.XLOOKUP(_xlfn.XLOOKUP(B117,'Base stats'!B:B,'Base stats'!E:E),Groups!A:A,Groups!BD:BD)=1,
MAX(MROUND(_xlfn.XLOOKUP(B117,'Base stats'!B:B,'Base stats'!BU:BU) * _xlfn.XLOOKUP(B117,'Base stats'!B:B,'Base stats'!BQ:BQ)^0.9 / 21 *_xlfn.XLOOKUP(B117,'Base stats'!B:B,'Base stats'!BX:BX),0.1),0.05),
MAX(MROUND(((MIN(10,_xlfn.XLOOKUP(B117,'Base stats'!B:B,'Base stats'!W:W)))^0.4*_xlfn.XLOOKUP(B117,'Base stats'!B:B,'Base stats'!BI:BI)^0.73)^0.6 *_xlfn.XLOOKUP(B117,'Base stats'!B:B,'Base stats'!BX:BX),0.1),0.05)
))</f>
        <v>No</v>
      </c>
      <c r="L117" s="11" t="str">
        <f>IF(K117="No","No",
MROUND(_xlfn.XLOOKUP(B117,'Base stats'!B:B,'Base stats'!BI:BI) * 0.01 *2 + 0.05, 0.05)
)</f>
        <v>No</v>
      </c>
      <c r="M117" s="5" t="str">
        <f>IF(K117="No","No",IF(_xlfn.XLOOKUP(_xlfn.XLOOKUP(B117,'Base stats'!B:B,'Base stats'!E:E),Groups!A:A,Groups!BD:BD)=1,"No",
MROUND(_xlfn.XLOOKUP(B117,'Base stats'!B:B,'Base stats'!BU:BU)/10000+0.01,0.01)
))</f>
        <v>No</v>
      </c>
      <c r="N117" s="4" t="str">
        <f>IF(K117="No","No",
MROUND(
  _xlfn.XLOOKUP(B117,'Base stats'!B:B,'Base stats'!BC:BC)^0.25
  / (_xlfn.XLOOKUP(B117,'Base stats'!B:B,'Base stats'!BM:BM) * 10)
  * _xlfn.XLOOKUP(
      _xlfn.XLOOKUP(B117,'Base stats'!B:B,'Base stats'!E:E),
      Groups!A:A,
      Groups!V:V
    ) * 150
  + MIN(12, _xlfn.XLOOKUP(B117,'Base stats'!B:B,'Base stats'!W:W))^(1/IF(_xlfn.XLOOKUP(_xlfn.XLOOKUP(B117,'Base stats'!B:B,'Base stats'!E:E),Groups!A:A,Groups!U:U)=1,100,10)) + 0.5 + _xlfn.XLOOKUP(B117,'Base stats'!B:B,'Base stats'!BW:BW),
0.05))</f>
        <v>No</v>
      </c>
      <c r="O117" s="3">
        <f>IF(Animals!AD117="No","No",
MAX(MROUND((MIN(10,_xlfn.XLOOKUP(B117,'Base stats'!B:B,'Base stats'!V:V)*IF(_xlfn.XLOOKUP(_xlfn.XLOOKUP(B117,'Base stats'!B:B,'Base stats'!E:E),Groups!A:A,Groups!O:O)=0,1,0.33))^0.4*_xlfn.XLOOKUP(B117,'Base stats'!B:B,'Base stats'!BJ:BJ)^0.73)^0.6 *_xlfn.XLOOKUP(B117,'Base stats'!B:B,'Base stats'!BX:BX),0.1),0.05)
)</f>
        <v>2.8000000000000003</v>
      </c>
      <c r="P117" s="11">
        <f>IF(O117="No","No",
MROUND(_xlfn.XLOOKUP(B117,'Base stats'!B:B,'Base stats'!BJ:BJ) * 0.01 * 2 + 0.05, 0.05)
)</f>
        <v>0.35000000000000003</v>
      </c>
      <c r="Q117" s="5">
        <f>IF(O117="No","No",
MROUND(_xlfn.XLOOKUP(B117,'Base stats'!B:B,'Base stats'!BV:BV)/10000+0.01,0.01)
)</f>
        <v>0.05</v>
      </c>
      <c r="R117" s="4">
        <f>IF(O117="No","No",
MROUND(_xlfn.XLOOKUP(B117,'Base stats'!B:B,'Base stats'!BB:BB)^0.25
/((_xlfn.XLOOKUP(B117,'Base stats'!B:B,'Base stats'!BN:BN))*10)*_xlfn.XLOOKUP(_xlfn.XLOOKUP(B117,'Base stats'!B:B,'Base stats'!E:E),Groups!A:A,Groups!Z:Z)*150 + 0.5 + _xlfn.XLOOKUP(B117,'Base stats'!B:B,'Base stats'!BW:BW),
0.05))</f>
        <v>1.9500000000000002</v>
      </c>
      <c r="S117" s="3">
        <f>IF(Animals!AI117="No","No",
IF(_xlfn.XLOOKUP(B117,'Base stats'!B:B,'Base stats'!U:U)="No",
MAX(MROUND(_xlfn.XLOOKUP(B117,'Base stats'!B:B,'Base stats'!BT:BT) * _xlfn.XLOOKUP(B117,'Base stats'!B:B,'Base stats'!BP:BP)^0.9 / 21 * _xlfn.XLOOKUP(B117,'Base stats'!B:B,'Base stats'!BX:BX),0.1),0.05),
MAX(MROUND(((MIN(12,_xlfn.XLOOKUP(B117,'Base stats'!B:B,'Base stats'!U:U)))^0.4*_xlfn.XLOOKUP(B117,'Base stats'!B:B,'Base stats'!BH:BH)^0.73)^0.6 * _xlfn.XLOOKUP(B117,'Base stats'!B:B,'Base stats'!BX:BX),0.1),0.05)
))</f>
        <v>4.8000000000000007</v>
      </c>
      <c r="T117" s="11">
        <f>IF(S117="No","No",
MROUND(_xlfn.XLOOKUP(B117,'Base stats'!B:B,'Base stats'!BH:BH) * 0.01 * 2 + 0.05, 0.05)
)</f>
        <v>0.5</v>
      </c>
      <c r="U117" s="5">
        <f>IF(S117="No","No",IF(_xlfn.XLOOKUP(B117,'Base stats'!B:B,'Base stats'!U:U)="No","No",
MROUND(_xlfn.XLOOKUP(B117,'Base stats'!B:B,'Base stats'!BT:BT)/10000+0.01,0.01)
))</f>
        <v>7.0000000000000007E-2</v>
      </c>
      <c r="V117" s="4">
        <f>IF(S117="No","No",
MROUND(_xlfn.XLOOKUP(B117,'Base stats'!B:B,'Base stats'!BF:BF)^0.25
/((_xlfn.XLOOKUP(B117,'Base stats'!B:B,'Base stats'!BO:BO))*10)*_xlfn.XLOOKUP(_xlfn.XLOOKUP(B117,'Base stats'!B:B,'Base stats'!E:E),Groups!A:A,Groups!AE:AE)*150 + 0.5 + _xlfn.XLOOKUP(B117,'Base stats'!B:B,'Base stats'!BW:BW),
0.05))</f>
        <v>1.2000000000000002</v>
      </c>
      <c r="W117" s="8">
        <f>MROUND(_xlfn.XLOOKUP(_xlfn.XLOOKUP(B117,'Base stats'!B:B,'Base stats'!E:E),Groups!A:A,Groups!BG:BG)*_xlfn.XLOOKUP(B117,'Base stats'!B:B,'Base stats'!C:C)^-0.165,0.05)</f>
        <v>0.35000000000000003</v>
      </c>
      <c r="X117" s="1">
        <f>MROUND(_xlfn.XLOOKUP(_xlfn.XLOOKUP(B117,'Base stats'!B:B,'Base stats'!E:E),Groups!A:A,Groups!BH:BH)*_xlfn.XLOOKUP(B117,'Base stats'!B:B,'Base stats'!C:C)^0.165,0.05)</f>
        <v>0</v>
      </c>
      <c r="Y117" s="8">
        <f>MROUND(_xlfn.XLOOKUP(_xlfn.XLOOKUP(B117,'Base stats'!B:B,'Base stats'!E:E),Groups!A:A,Groups!BI:BI)*_xlfn.XLOOKUP(B117,'Base stats'!B:B,'Base stats'!C:C)^0.165,0.05)</f>
        <v>0</v>
      </c>
      <c r="Z117" s="18">
        <f>MROUND(_xlfn.XLOOKUP(B117,'Base stats'!B:B,'Base stats'!AQ:AQ)*_xlfn.XLOOKUP(_xlfn.XLOOKUP(B117,'Base stats'!B:B,'Base stats'!E:E),Groups!A:A,Groups!H:H)/1000,IF((_xlfn.XLOOKUP(B117,'Base stats'!B:B,'Base stats'!AQ:AQ)*_xlfn.XLOOKUP(_xlfn.XLOOKUP(B117,'Base stats'!B:B,'Base stats'!E:E),Groups!A:A,Groups!H:H)/1000)&gt;1,0.05,0.01))</f>
        <v>0.03</v>
      </c>
      <c r="AA117" s="18">
        <f>MROUND((1/2)*(_xlfn.XLOOKUP(_xlfn.XLOOKUP(B117,'Base stats'!B:B,'Base stats'!E:E),Groups!A:A,Groups!H:H)*_xlfn.XLOOKUP(_xlfn.XLOOKUP(B117,'Base stats'!B:B,'Base stats'!E:E),Groups!A:A,Groups!I:I))*_xlfn.XLOOKUP(B117,'Base stats'!B:B,'Base stats'!AQ:AQ)*0.01,0.05)</f>
        <v>0.15000000000000002</v>
      </c>
      <c r="AB117" s="18">
        <f>MROUND(250*(Animals!AO117+Animals!AP117),25)</f>
        <v>200</v>
      </c>
      <c r="AC117" s="18" t="str">
        <f>_xlfn.XLOOKUP(_xlfn.XLOOKUP(B117,'Base stats'!B:B,'Base stats'!E:E),Groups!A:A,Groups!BJ:BJ)</f>
        <v>Quadruped</v>
      </c>
    </row>
    <row r="118" spans="1:29" ht="16.5" thickTop="1" thickBot="1" x14ac:dyDescent="0.3">
      <c r="A118" s="16" t="str">
        <f>Animals!A118</f>
        <v>Platypus</v>
      </c>
      <c r="B118" s="6" t="str">
        <f>Animals!B118</f>
        <v>Ornithorhynchus anatinus</v>
      </c>
      <c r="C118" s="1" t="str">
        <f>Animals!C118</f>
        <v>&lt;li&gt;AEXP_Platypus&lt;/li&gt;</v>
      </c>
      <c r="D118" s="47">
        <f>MIN(MIN(6,_xlfn.XLOOKUP(A118,Animals!A:A,Animals!AO:AO))*20,MAX(MROUND(_xlfn.XLOOKUP(B118,'Base stats'!B:B,'Base stats'!BS:BS) * (_xlfn.XLOOKUP(B118,'Base stats'!B:B,'Base stats'!AO:AO)*5%)^0.9 / 21,0.1),0.05))</f>
        <v>0.1</v>
      </c>
      <c r="E118" s="11">
        <f>MROUND(_xlfn.XLOOKUP(B118,'Base stats'!B:B,'Base stats'!BG:BG) * 0.01 * 2 + 0.01, 0.05)</f>
        <v>0.05</v>
      </c>
      <c r="F118" s="7">
        <f>MROUND(_xlfn.XLOOKUP(B118,'Base stats'!B:B,'Base stats'!BD:BD)^0.25 / (_xlfn.XLOOKUP(B118,'Base stats'!B:B,'Base stats'!BK:BK) * 10) * 150 + 0.5 + _xlfn.XLOOKUP(B118,'Base stats'!B:B,'Base stats'!BW:BW), 0.05)</f>
        <v>1.2000000000000002</v>
      </c>
      <c r="G118" s="3">
        <f>IF(Animals!S118="No","No",
IF(_xlfn.XLOOKUP(B118,'Base stats'!B:B,'Base stats'!U:U)="No",
MAX(MROUND(_xlfn.XLOOKUP(B118,'Base stats'!B:B,'Base stats'!BT:BT) * _xlfn.XLOOKUP(B118,'Base stats'!B:B,'Base stats'!BP:BP)^0.9 / 21 * _xlfn.XLOOKUP(B118,'Base stats'!B:B,'Base stats'!BX:BX),0.1),0.05),
MAX(MROUND(((MIN(10,_xlfn.XLOOKUP(B118,'Base stats'!B:B,'Base stats'!U:U)))^0.4*_xlfn.XLOOKUP(B118,'Base stats'!B:B,'Base stats'!BH:BH)^0.73)^0.6 * _xlfn.XLOOKUP(B118,'Base stats'!B:B,'Base stats'!BX:BX),0.1),0.05)
))</f>
        <v>2.1</v>
      </c>
      <c r="H118" s="11">
        <f>IF(G118="No","No",
MROUND(_xlfn.XLOOKUP(B118,'Base stats'!B:B,'Base stats'!BH:BH) * 0.01 * 2 + 0.05, 0.05)
)</f>
        <v>0.15000000000000002</v>
      </c>
      <c r="I118" s="11">
        <f>IF(G118="No","No",IF(_xlfn.XLOOKUP(B118,'Base stats'!B:B,'Base stats'!U:U)="No","No",
MROUND(_xlfn.XLOOKUP(B118,'Base stats'!B:B,'Base stats'!BT:BT)/10000+0.01,0.01)
))</f>
        <v>0.03</v>
      </c>
      <c r="J118" s="4">
        <f>IF(G118="No","No",
MROUND(_xlfn.XLOOKUP(B118,'Base stats'!B:B,'Base stats'!BE:BE)^0.25
/((_xlfn.XLOOKUP(B118,'Base stats'!B:B,'Base stats'!BL:BL))*10)*_xlfn.XLOOKUP(_xlfn.XLOOKUP(B118,'Base stats'!B:B,'Base stats'!E:E),Groups!A:A,Groups!Q:Q)*150 + 0.5 + _xlfn.XLOOKUP(B118,'Base stats'!B:B,'Base stats'!BW:BW),
0.05))</f>
        <v>1.3</v>
      </c>
      <c r="K118" s="3" t="str">
        <f>IF(Animals!X118="No","No",
IF(_xlfn.XLOOKUP(_xlfn.XLOOKUP(B118,'Base stats'!B:B,'Base stats'!E:E),Groups!A:A,Groups!BD:BD)=1,
MAX(MROUND(_xlfn.XLOOKUP(B118,'Base stats'!B:B,'Base stats'!BU:BU) * _xlfn.XLOOKUP(B118,'Base stats'!B:B,'Base stats'!BQ:BQ)^0.9 / 21 *_xlfn.XLOOKUP(B118,'Base stats'!B:B,'Base stats'!BX:BX),0.1),0.05),
MAX(MROUND(((MIN(10,_xlfn.XLOOKUP(B118,'Base stats'!B:B,'Base stats'!W:W)))^0.4*_xlfn.XLOOKUP(B118,'Base stats'!B:B,'Base stats'!BI:BI)^0.73)^0.6 *_xlfn.XLOOKUP(B118,'Base stats'!B:B,'Base stats'!BX:BX),0.1),0.05)
))</f>
        <v>No</v>
      </c>
      <c r="L118" s="11" t="str">
        <f>IF(K118="No","No",
MROUND(_xlfn.XLOOKUP(B118,'Base stats'!B:B,'Base stats'!BI:BI) * 0.01 *2 + 0.05, 0.05)
)</f>
        <v>No</v>
      </c>
      <c r="M118" s="5" t="str">
        <f>IF(K118="No","No",IF(_xlfn.XLOOKUP(_xlfn.XLOOKUP(B118,'Base stats'!B:B,'Base stats'!E:E),Groups!A:A,Groups!BD:BD)=1,"No",
MROUND(_xlfn.XLOOKUP(B118,'Base stats'!B:B,'Base stats'!BU:BU)/10000+0.01,0.01)
))</f>
        <v>No</v>
      </c>
      <c r="N118" s="4" t="str">
        <f>IF(K118="No","No",
MROUND(
  _xlfn.XLOOKUP(B118,'Base stats'!B:B,'Base stats'!BC:BC)^0.25
  / (_xlfn.XLOOKUP(B118,'Base stats'!B:B,'Base stats'!BM:BM) * 10)
  * _xlfn.XLOOKUP(
      _xlfn.XLOOKUP(B118,'Base stats'!B:B,'Base stats'!E:E),
      Groups!A:A,
      Groups!V:V
    ) * 150
  + MIN(12, _xlfn.XLOOKUP(B118,'Base stats'!B:B,'Base stats'!W:W))^(1/IF(_xlfn.XLOOKUP(_xlfn.XLOOKUP(B118,'Base stats'!B:B,'Base stats'!E:E),Groups!A:A,Groups!U:U)=1,100,10)) + 0.5 + _xlfn.XLOOKUP(B118,'Base stats'!B:B,'Base stats'!BW:BW),
0.05))</f>
        <v>No</v>
      </c>
      <c r="O118" s="3">
        <f>IF(Animals!AD118="No","No",
MAX(MROUND((MIN(10,_xlfn.XLOOKUP(B118,'Base stats'!B:B,'Base stats'!V:V)*IF(_xlfn.XLOOKUP(_xlfn.XLOOKUP(B118,'Base stats'!B:B,'Base stats'!E:E),Groups!A:A,Groups!O:O)=0,1,0.33))^0.4*_xlfn.XLOOKUP(B118,'Base stats'!B:B,'Base stats'!BJ:BJ)^0.73)^0.6 *_xlfn.XLOOKUP(B118,'Base stats'!B:B,'Base stats'!BX:BX),0.1),0.05)
)</f>
        <v>1</v>
      </c>
      <c r="P118" s="11">
        <f>IF(O118="No","No",
MROUND(_xlfn.XLOOKUP(B118,'Base stats'!B:B,'Base stats'!BJ:BJ) * 0.01 * 2 + 0.05, 0.05)
)</f>
        <v>0.05</v>
      </c>
      <c r="Q118" s="5">
        <f>IF(O118="No","No",
MROUND(_xlfn.XLOOKUP(B118,'Base stats'!B:B,'Base stats'!BV:BV)/10000+0.01,0.01)
)</f>
        <v>0.02</v>
      </c>
      <c r="R118" s="4">
        <f>IF(O118="No","No",
MROUND(_xlfn.XLOOKUP(B118,'Base stats'!B:B,'Base stats'!BB:BB)^0.25
/((_xlfn.XLOOKUP(B118,'Base stats'!B:B,'Base stats'!BN:BN))*10)*_xlfn.XLOOKUP(_xlfn.XLOOKUP(B118,'Base stats'!B:B,'Base stats'!E:E),Groups!A:A,Groups!Z:Z)*150 + 0.5 + _xlfn.XLOOKUP(B118,'Base stats'!B:B,'Base stats'!BW:BW),
0.05))</f>
        <v>1.8</v>
      </c>
      <c r="S118" s="3" t="str">
        <f>IF(Animals!AI118="No","No",
IF(_xlfn.XLOOKUP(B118,'Base stats'!B:B,'Base stats'!U:U)="No",
MAX(MROUND(_xlfn.XLOOKUP(B118,'Base stats'!B:B,'Base stats'!BT:BT) * _xlfn.XLOOKUP(B118,'Base stats'!B:B,'Base stats'!BP:BP)^0.9 / 21 * _xlfn.XLOOKUP(B118,'Base stats'!B:B,'Base stats'!BX:BX),0.1),0.05),
MAX(MROUND(((MIN(12,_xlfn.XLOOKUP(B118,'Base stats'!B:B,'Base stats'!U:U)))^0.4*_xlfn.XLOOKUP(B118,'Base stats'!B:B,'Base stats'!BH:BH)^0.73)^0.6 * _xlfn.XLOOKUP(B118,'Base stats'!B:B,'Base stats'!BX:BX),0.1),0.05)
))</f>
        <v>No</v>
      </c>
      <c r="T118" s="11" t="str">
        <f>IF(S118="No","No",
MROUND(_xlfn.XLOOKUP(B118,'Base stats'!B:B,'Base stats'!BH:BH) * 0.01 * 2 + 0.05, 0.05)
)</f>
        <v>No</v>
      </c>
      <c r="U118" s="5" t="str">
        <f>IF(S118="No","No",IF(_xlfn.XLOOKUP(B118,'Base stats'!B:B,'Base stats'!U:U)="No","No",
MROUND(_xlfn.XLOOKUP(B118,'Base stats'!B:B,'Base stats'!BT:BT)/10000+0.01,0.01)
))</f>
        <v>No</v>
      </c>
      <c r="V118" s="4" t="str">
        <f>IF(S118="No","No",
MROUND(_xlfn.XLOOKUP(B118,'Base stats'!B:B,'Base stats'!BF:BF)^0.25
/((_xlfn.XLOOKUP(B118,'Base stats'!B:B,'Base stats'!BO:BO))*10)*_xlfn.XLOOKUP(_xlfn.XLOOKUP(B118,'Base stats'!B:B,'Base stats'!E:E),Groups!A:A,Groups!AE:AE)*150 + 0.5 + _xlfn.XLOOKUP(B118,'Base stats'!B:B,'Base stats'!BW:BW),
0.05))</f>
        <v>No</v>
      </c>
      <c r="W118" s="8">
        <f>MROUND(_xlfn.XLOOKUP(_xlfn.XLOOKUP(B118,'Base stats'!B:B,'Base stats'!E:E),Groups!A:A,Groups!BG:BG)*_xlfn.XLOOKUP(B118,'Base stats'!B:B,'Base stats'!C:C)^-0.165,0.05)</f>
        <v>0.5</v>
      </c>
      <c r="X118" s="1">
        <f>MROUND(_xlfn.XLOOKUP(_xlfn.XLOOKUP(B118,'Base stats'!B:B,'Base stats'!E:E),Groups!A:A,Groups!BH:BH)*_xlfn.XLOOKUP(B118,'Base stats'!B:B,'Base stats'!C:C)^0.165,0.05)</f>
        <v>0</v>
      </c>
      <c r="Y118" s="8">
        <f>MROUND(_xlfn.XLOOKUP(_xlfn.XLOOKUP(B118,'Base stats'!B:B,'Base stats'!E:E),Groups!A:A,Groups!BI:BI)*_xlfn.XLOOKUP(B118,'Base stats'!B:B,'Base stats'!C:C)^0.165,0.05)</f>
        <v>0</v>
      </c>
      <c r="Z118" s="18">
        <f>MROUND(_xlfn.XLOOKUP(B118,'Base stats'!B:B,'Base stats'!AQ:AQ)*_xlfn.XLOOKUP(_xlfn.XLOOKUP(B118,'Base stats'!B:B,'Base stats'!E:E),Groups!A:A,Groups!H:H)/1000,IF((_xlfn.XLOOKUP(B118,'Base stats'!B:B,'Base stats'!AQ:AQ)*_xlfn.XLOOKUP(_xlfn.XLOOKUP(B118,'Base stats'!B:B,'Base stats'!E:E),Groups!A:A,Groups!H:H)/1000)&gt;1,0.05,0.01))</f>
        <v>0.02</v>
      </c>
      <c r="AA118" s="18">
        <f>MROUND((1/2)*(_xlfn.XLOOKUP(_xlfn.XLOOKUP(B118,'Base stats'!B:B,'Base stats'!E:E),Groups!A:A,Groups!H:H)*_xlfn.XLOOKUP(_xlfn.XLOOKUP(B118,'Base stats'!B:B,'Base stats'!E:E),Groups!A:A,Groups!I:I))*_xlfn.XLOOKUP(B118,'Base stats'!B:B,'Base stats'!AQ:AQ)*0.01,0.05)</f>
        <v>0.1</v>
      </c>
      <c r="AB118" s="18">
        <f>MROUND(250*(Animals!AO118+Animals!AP118),25)</f>
        <v>75</v>
      </c>
      <c r="AC118" s="18" t="str">
        <f>_xlfn.XLOOKUP(_xlfn.XLOOKUP(B118,'Base stats'!B:B,'Base stats'!E:E),Groups!A:A,Groups!BJ:BJ)</f>
        <v>QuadrupedLow</v>
      </c>
    </row>
    <row r="119" spans="1:29" ht="16.5" thickTop="1" thickBot="1" x14ac:dyDescent="0.3">
      <c r="A119" s="16" t="str">
        <f>Animals!A119</f>
        <v>Arctic Coyote</v>
      </c>
      <c r="B119" s="6" t="str">
        <f>Animals!B119</f>
        <v>Canis latrans incolatus</v>
      </c>
      <c r="C119" s="1" t="str">
        <f>Animals!C119</f>
        <v>&lt;li&gt;AEXP_ArcticCoyote&lt;/li&gt;</v>
      </c>
      <c r="D119" s="47">
        <f>MIN(MIN(6,_xlfn.XLOOKUP(A119,Animals!A:A,Animals!AO:AO))*20,MAX(MROUND(_xlfn.XLOOKUP(B119,'Base stats'!B:B,'Base stats'!BS:BS) * (_xlfn.XLOOKUP(B119,'Base stats'!B:B,'Base stats'!AO:AO)*5%)^0.9 / 21,0.1),0.05))</f>
        <v>0.60000000000000009</v>
      </c>
      <c r="E119" s="11">
        <f>MROUND(_xlfn.XLOOKUP(B119,'Base stats'!B:B,'Base stats'!BG:BG) * 0.01 * 2 + 0.01, 0.05)</f>
        <v>0.4</v>
      </c>
      <c r="F119" s="7">
        <f>MROUND(_xlfn.XLOOKUP(B119,'Base stats'!B:B,'Base stats'!BD:BD)^0.25 / (_xlfn.XLOOKUP(B119,'Base stats'!B:B,'Base stats'!BK:BK) * 10) * 150 + 0.5 + _xlfn.XLOOKUP(B119,'Base stats'!B:B,'Base stats'!BW:BW), 0.05)</f>
        <v>1.55</v>
      </c>
      <c r="G119" s="3" t="str">
        <f>IF(Animals!S119="No","No",
IF(_xlfn.XLOOKUP(B119,'Base stats'!B:B,'Base stats'!U:U)="No",
MAX(MROUND(_xlfn.XLOOKUP(B119,'Base stats'!B:B,'Base stats'!BT:BT) * _xlfn.XLOOKUP(B119,'Base stats'!B:B,'Base stats'!BP:BP)^0.9 / 21 * _xlfn.XLOOKUP(B119,'Base stats'!B:B,'Base stats'!BX:BX),0.1),0.05),
MAX(MROUND(((MIN(10,_xlfn.XLOOKUP(B119,'Base stats'!B:B,'Base stats'!U:U)))^0.4*_xlfn.XLOOKUP(B119,'Base stats'!B:B,'Base stats'!BH:BH)^0.73)^0.6 * _xlfn.XLOOKUP(B119,'Base stats'!B:B,'Base stats'!BX:BX),0.1),0.05)
))</f>
        <v>No</v>
      </c>
      <c r="H119" s="11" t="str">
        <f>IF(G119="No","No",
MROUND(_xlfn.XLOOKUP(B119,'Base stats'!B:B,'Base stats'!BH:BH) * 0.01 * 2 + 0.05, 0.05)
)</f>
        <v>No</v>
      </c>
      <c r="I119" s="11" t="str">
        <f>IF(G119="No","No",IF(_xlfn.XLOOKUP(B119,'Base stats'!B:B,'Base stats'!U:U)="No","No",
MROUND(_xlfn.XLOOKUP(B119,'Base stats'!B:B,'Base stats'!BT:BT)/10000+0.01,0.01)
))</f>
        <v>No</v>
      </c>
      <c r="J119" s="4" t="str">
        <f>IF(G119="No","No",
MROUND(_xlfn.XLOOKUP(B119,'Base stats'!B:B,'Base stats'!BE:BE)^0.25
/((_xlfn.XLOOKUP(B119,'Base stats'!B:B,'Base stats'!BL:BL))*10)*_xlfn.XLOOKUP(_xlfn.XLOOKUP(B119,'Base stats'!B:B,'Base stats'!E:E),Groups!A:A,Groups!Q:Q)*150 + 0.5 + _xlfn.XLOOKUP(B119,'Base stats'!B:B,'Base stats'!BW:BW),
0.05))</f>
        <v>No</v>
      </c>
      <c r="K119" s="3" t="str">
        <f>IF(Animals!X119="No","No",
IF(_xlfn.XLOOKUP(_xlfn.XLOOKUP(B119,'Base stats'!B:B,'Base stats'!E:E),Groups!A:A,Groups!BD:BD)=1,
MAX(MROUND(_xlfn.XLOOKUP(B119,'Base stats'!B:B,'Base stats'!BU:BU) * _xlfn.XLOOKUP(B119,'Base stats'!B:B,'Base stats'!BQ:BQ)^0.9 / 21 *_xlfn.XLOOKUP(B119,'Base stats'!B:B,'Base stats'!BX:BX),0.1),0.05),
MAX(MROUND(((MIN(10,_xlfn.XLOOKUP(B119,'Base stats'!B:B,'Base stats'!W:W)))^0.4*_xlfn.XLOOKUP(B119,'Base stats'!B:B,'Base stats'!BI:BI)^0.73)^0.6 *_xlfn.XLOOKUP(B119,'Base stats'!B:B,'Base stats'!BX:BX),0.1),0.05)
))</f>
        <v>No</v>
      </c>
      <c r="L119" s="11" t="str">
        <f>IF(K119="No","No",
MROUND(_xlfn.XLOOKUP(B119,'Base stats'!B:B,'Base stats'!BI:BI) * 0.01 *2 + 0.05, 0.05)
)</f>
        <v>No</v>
      </c>
      <c r="M119" s="5" t="str">
        <f>IF(K119="No","No",IF(_xlfn.XLOOKUP(_xlfn.XLOOKUP(B119,'Base stats'!B:B,'Base stats'!E:E),Groups!A:A,Groups!BD:BD)=1,"No",
MROUND(_xlfn.XLOOKUP(B119,'Base stats'!B:B,'Base stats'!BU:BU)/10000+0.01,0.01)
))</f>
        <v>No</v>
      </c>
      <c r="N119" s="4" t="str">
        <f>IF(K119="No","No",
MROUND(
  _xlfn.XLOOKUP(B119,'Base stats'!B:B,'Base stats'!BC:BC)^0.25
  / (_xlfn.XLOOKUP(B119,'Base stats'!B:B,'Base stats'!BM:BM) * 10)
  * _xlfn.XLOOKUP(
      _xlfn.XLOOKUP(B119,'Base stats'!B:B,'Base stats'!E:E),
      Groups!A:A,
      Groups!V:V
    ) * 150
  + MIN(12, _xlfn.XLOOKUP(B119,'Base stats'!B:B,'Base stats'!W:W))^(1/IF(_xlfn.XLOOKUP(_xlfn.XLOOKUP(B119,'Base stats'!B:B,'Base stats'!E:E),Groups!A:A,Groups!U:U)=1,100,10)) + 0.5 + _xlfn.XLOOKUP(B119,'Base stats'!B:B,'Base stats'!BW:BW),
0.05))</f>
        <v>No</v>
      </c>
      <c r="O119" s="3">
        <f>IF(Animals!AD119="No","No",
MAX(MROUND((MIN(10,_xlfn.XLOOKUP(B119,'Base stats'!B:B,'Base stats'!V:V)*IF(_xlfn.XLOOKUP(_xlfn.XLOOKUP(B119,'Base stats'!B:B,'Base stats'!E:E),Groups!A:A,Groups!O:O)=0,1,0.33))^0.4*_xlfn.XLOOKUP(B119,'Base stats'!B:B,'Base stats'!BJ:BJ)^0.73)^0.6 *_xlfn.XLOOKUP(B119,'Base stats'!B:B,'Base stats'!BX:BX),0.1),0.05)
)</f>
        <v>7</v>
      </c>
      <c r="P119" s="11">
        <f>IF(O119="No","No",
MROUND(_xlfn.XLOOKUP(B119,'Base stats'!B:B,'Base stats'!BJ:BJ) * 0.01 * 2 + 0.05, 0.05)
)</f>
        <v>1.1500000000000001</v>
      </c>
      <c r="Q119" s="5">
        <f>IF(O119="No","No",
MROUND(_xlfn.XLOOKUP(B119,'Base stats'!B:B,'Base stats'!BV:BV)/10000+0.01,0.01)
)</f>
        <v>0.14000000000000001</v>
      </c>
      <c r="R119" s="4">
        <f>IF(O119="No","No",
MROUND(_xlfn.XLOOKUP(B119,'Base stats'!B:B,'Base stats'!BB:BB)^0.25
/((_xlfn.XLOOKUP(B119,'Base stats'!B:B,'Base stats'!BN:BN))*10)*_xlfn.XLOOKUP(_xlfn.XLOOKUP(B119,'Base stats'!B:B,'Base stats'!E:E),Groups!A:A,Groups!Z:Z)*150 + 0.5 + _xlfn.XLOOKUP(B119,'Base stats'!B:B,'Base stats'!BW:BW),
0.05))</f>
        <v>1.9000000000000001</v>
      </c>
      <c r="S119" s="3" t="str">
        <f>IF(Animals!AI119="No","No",
IF(_xlfn.XLOOKUP(B119,'Base stats'!B:B,'Base stats'!U:U)="No",
MAX(MROUND(_xlfn.XLOOKUP(B119,'Base stats'!B:B,'Base stats'!BT:BT) * _xlfn.XLOOKUP(B119,'Base stats'!B:B,'Base stats'!BP:BP)^0.9 / 21 * _xlfn.XLOOKUP(B119,'Base stats'!B:B,'Base stats'!BX:BX),0.1),0.05),
MAX(MROUND(((MIN(12,_xlfn.XLOOKUP(B119,'Base stats'!B:B,'Base stats'!U:U)))^0.4*_xlfn.XLOOKUP(B119,'Base stats'!B:B,'Base stats'!BH:BH)^0.73)^0.6 * _xlfn.XLOOKUP(B119,'Base stats'!B:B,'Base stats'!BX:BX),0.1),0.05)
))</f>
        <v>No</v>
      </c>
      <c r="T119" s="11" t="str">
        <f>IF(S119="No","No",
MROUND(_xlfn.XLOOKUP(B119,'Base stats'!B:B,'Base stats'!BH:BH) * 0.01 * 2 + 0.05, 0.05)
)</f>
        <v>No</v>
      </c>
      <c r="U119" s="5" t="str">
        <f>IF(S119="No","No",IF(_xlfn.XLOOKUP(B119,'Base stats'!B:B,'Base stats'!U:U)="No","No",
MROUND(_xlfn.XLOOKUP(B119,'Base stats'!B:B,'Base stats'!BT:BT)/10000+0.01,0.01)
))</f>
        <v>No</v>
      </c>
      <c r="V119" s="4" t="str">
        <f>IF(S119="No","No",
MROUND(_xlfn.XLOOKUP(B119,'Base stats'!B:B,'Base stats'!BF:BF)^0.25
/((_xlfn.XLOOKUP(B119,'Base stats'!B:B,'Base stats'!BO:BO))*10)*_xlfn.XLOOKUP(_xlfn.XLOOKUP(B119,'Base stats'!B:B,'Base stats'!E:E),Groups!A:A,Groups!AE:AE)*150 + 0.5 + _xlfn.XLOOKUP(B119,'Base stats'!B:B,'Base stats'!BW:BW),
0.05))</f>
        <v>No</v>
      </c>
      <c r="W119" s="8">
        <f>MROUND(_xlfn.XLOOKUP(_xlfn.XLOOKUP(B119,'Base stats'!B:B,'Base stats'!E:E),Groups!A:A,Groups!BG:BG)*_xlfn.XLOOKUP(B119,'Base stats'!B:B,'Base stats'!C:C)^-0.165,0.05)</f>
        <v>0.65</v>
      </c>
      <c r="X119" s="1">
        <f>MROUND(_xlfn.XLOOKUP(_xlfn.XLOOKUP(B119,'Base stats'!B:B,'Base stats'!E:E),Groups!A:A,Groups!BH:BH)*_xlfn.XLOOKUP(B119,'Base stats'!B:B,'Base stats'!C:C)^0.165,0.05)</f>
        <v>0.30000000000000004</v>
      </c>
      <c r="Y119" s="8">
        <f>MROUND(_xlfn.XLOOKUP(_xlfn.XLOOKUP(B119,'Base stats'!B:B,'Base stats'!E:E),Groups!A:A,Groups!BI:BI)*_xlfn.XLOOKUP(B119,'Base stats'!B:B,'Base stats'!C:C)^0.165,0.05)</f>
        <v>0.05</v>
      </c>
      <c r="Z119" s="18">
        <f>MROUND(_xlfn.XLOOKUP(B119,'Base stats'!B:B,'Base stats'!AQ:AQ)*_xlfn.XLOOKUP(_xlfn.XLOOKUP(B119,'Base stats'!B:B,'Base stats'!E:E),Groups!A:A,Groups!H:H)/1000,IF((_xlfn.XLOOKUP(B119,'Base stats'!B:B,'Base stats'!AQ:AQ)*_xlfn.XLOOKUP(_xlfn.XLOOKUP(B119,'Base stats'!B:B,'Base stats'!E:E),Groups!A:A,Groups!H:H)/1000)&gt;1,0.05,0.01))</f>
        <v>0.05</v>
      </c>
      <c r="AA119" s="18">
        <f>MROUND((1/2)*(_xlfn.XLOOKUP(_xlfn.XLOOKUP(B119,'Base stats'!B:B,'Base stats'!E:E),Groups!A:A,Groups!H:H)*_xlfn.XLOOKUP(_xlfn.XLOOKUP(B119,'Base stats'!B:B,'Base stats'!E:E),Groups!A:A,Groups!I:I))*_xlfn.XLOOKUP(B119,'Base stats'!B:B,'Base stats'!AQ:AQ)*0.01,0.05)</f>
        <v>0.2</v>
      </c>
      <c r="AB119" s="18">
        <f>MROUND(250*(Animals!AO119+Animals!AP119),25)</f>
        <v>275</v>
      </c>
      <c r="AC119" s="18" t="str">
        <f>_xlfn.XLOOKUP(_xlfn.XLOOKUP(B119,'Base stats'!B:B,'Base stats'!E:E),Groups!A:A,Groups!BJ:BJ)</f>
        <v>Quadruped</v>
      </c>
    </row>
    <row r="120" spans="1:29" ht="16.5" thickTop="1" thickBot="1" x14ac:dyDescent="0.3">
      <c r="A120" s="16" t="str">
        <f>Animals!A120</f>
        <v>Black bear</v>
      </c>
      <c r="B120" s="6" t="str">
        <f>Animals!B120</f>
        <v>Ursus americanus</v>
      </c>
      <c r="C120" s="1" t="str">
        <f>Animals!C120</f>
        <v>&lt;li&gt;AEXP_BlackBear&lt;/li&gt;</v>
      </c>
      <c r="D120" s="47">
        <f>MIN(MIN(6,_xlfn.XLOOKUP(A120,Animals!A:A,Animals!AO:AO))*20,MAX(MROUND(_xlfn.XLOOKUP(B120,'Base stats'!B:B,'Base stats'!BS:BS) * (_xlfn.XLOOKUP(B120,'Base stats'!B:B,'Base stats'!AO:AO)*5%)^0.9 / 21,0.1),0.05))</f>
        <v>4.4000000000000004</v>
      </c>
      <c r="E120" s="11">
        <f>MROUND(_xlfn.XLOOKUP(B120,'Base stats'!B:B,'Base stats'!BG:BG) * 0.01 * 2 + 0.01, 0.05)</f>
        <v>3.85</v>
      </c>
      <c r="F120" s="7">
        <f>MROUND(_xlfn.XLOOKUP(B120,'Base stats'!B:B,'Base stats'!BD:BD)^0.25 / (_xlfn.XLOOKUP(B120,'Base stats'!B:B,'Base stats'!BK:BK) * 10) * 150 + 0.5 + _xlfn.XLOOKUP(B120,'Base stats'!B:B,'Base stats'!BW:BW), 0.05)</f>
        <v>2.1</v>
      </c>
      <c r="G120" s="3" t="str">
        <f>IF(Animals!S120="No","No",
IF(_xlfn.XLOOKUP(B120,'Base stats'!B:B,'Base stats'!U:U)="No",
MAX(MROUND(_xlfn.XLOOKUP(B120,'Base stats'!B:B,'Base stats'!BT:BT) * _xlfn.XLOOKUP(B120,'Base stats'!B:B,'Base stats'!BP:BP)^0.9 / 21 * _xlfn.XLOOKUP(B120,'Base stats'!B:B,'Base stats'!BX:BX),0.1),0.05),
MAX(MROUND(((MIN(10,_xlfn.XLOOKUP(B120,'Base stats'!B:B,'Base stats'!U:U)))^0.4*_xlfn.XLOOKUP(B120,'Base stats'!B:B,'Base stats'!BH:BH)^0.73)^0.6 * _xlfn.XLOOKUP(B120,'Base stats'!B:B,'Base stats'!BX:BX),0.1),0.05)
))</f>
        <v>No</v>
      </c>
      <c r="H120" s="11" t="str">
        <f>IF(G120="No","No",
MROUND(_xlfn.XLOOKUP(B120,'Base stats'!B:B,'Base stats'!BH:BH) * 0.01 * 2 + 0.05, 0.05)
)</f>
        <v>No</v>
      </c>
      <c r="I120" s="11" t="str">
        <f>IF(G120="No","No",IF(_xlfn.XLOOKUP(B120,'Base stats'!B:B,'Base stats'!U:U)="No","No",
MROUND(_xlfn.XLOOKUP(B120,'Base stats'!B:B,'Base stats'!BT:BT)/10000+0.01,0.01)
))</f>
        <v>No</v>
      </c>
      <c r="J120" s="4" t="str">
        <f>IF(G120="No","No",
MROUND(_xlfn.XLOOKUP(B120,'Base stats'!B:B,'Base stats'!BE:BE)^0.25
/((_xlfn.XLOOKUP(B120,'Base stats'!B:B,'Base stats'!BL:BL))*10)*_xlfn.XLOOKUP(_xlfn.XLOOKUP(B120,'Base stats'!B:B,'Base stats'!E:E),Groups!A:A,Groups!Q:Q)*150 + 0.5 + _xlfn.XLOOKUP(B120,'Base stats'!B:B,'Base stats'!BW:BW),
0.05))</f>
        <v>No</v>
      </c>
      <c r="K120" s="3" t="str">
        <f>IF(Animals!X120="No","No",
IF(_xlfn.XLOOKUP(_xlfn.XLOOKUP(B120,'Base stats'!B:B,'Base stats'!E:E),Groups!A:A,Groups!BD:BD)=1,
MAX(MROUND(_xlfn.XLOOKUP(B120,'Base stats'!B:B,'Base stats'!BU:BU) * _xlfn.XLOOKUP(B120,'Base stats'!B:B,'Base stats'!BQ:BQ)^0.9 / 21 *_xlfn.XLOOKUP(B120,'Base stats'!B:B,'Base stats'!BX:BX),0.1),0.05),
MAX(MROUND(((MIN(10,_xlfn.XLOOKUP(B120,'Base stats'!B:B,'Base stats'!W:W)))^0.4*_xlfn.XLOOKUP(B120,'Base stats'!B:B,'Base stats'!BI:BI)^0.73)^0.6 *_xlfn.XLOOKUP(B120,'Base stats'!B:B,'Base stats'!BX:BX),0.1),0.05)
))</f>
        <v>No</v>
      </c>
      <c r="L120" s="11" t="str">
        <f>IF(K120="No","No",
MROUND(_xlfn.XLOOKUP(B120,'Base stats'!B:B,'Base stats'!BI:BI) * 0.01 *2 + 0.05, 0.05)
)</f>
        <v>No</v>
      </c>
      <c r="M120" s="5" t="str">
        <f>IF(K120="No","No",IF(_xlfn.XLOOKUP(_xlfn.XLOOKUP(B120,'Base stats'!B:B,'Base stats'!E:E),Groups!A:A,Groups!BD:BD)=1,"No",
MROUND(_xlfn.XLOOKUP(B120,'Base stats'!B:B,'Base stats'!BU:BU)/10000+0.01,0.01)
))</f>
        <v>No</v>
      </c>
      <c r="N120" s="4" t="str">
        <f>IF(K120="No","No",
MROUND(
  _xlfn.XLOOKUP(B120,'Base stats'!B:B,'Base stats'!BC:BC)^0.25
  / (_xlfn.XLOOKUP(B120,'Base stats'!B:B,'Base stats'!BM:BM) * 10)
  * _xlfn.XLOOKUP(
      _xlfn.XLOOKUP(B120,'Base stats'!B:B,'Base stats'!E:E),
      Groups!A:A,
      Groups!V:V
    ) * 150
  + MIN(12, _xlfn.XLOOKUP(B120,'Base stats'!B:B,'Base stats'!W:W))^(1/IF(_xlfn.XLOOKUP(_xlfn.XLOOKUP(B120,'Base stats'!B:B,'Base stats'!E:E),Groups!A:A,Groups!U:U)=1,100,10)) + 0.5 + _xlfn.XLOOKUP(B120,'Base stats'!B:B,'Base stats'!BW:BW),
0.05))</f>
        <v>No</v>
      </c>
      <c r="O120" s="3">
        <f>IF(Animals!AD120="No","No",
MAX(MROUND((MIN(10,_xlfn.XLOOKUP(B120,'Base stats'!B:B,'Base stats'!V:V)*IF(_xlfn.XLOOKUP(_xlfn.XLOOKUP(B120,'Base stats'!B:B,'Base stats'!E:E),Groups!A:A,Groups!O:O)=0,1,0.33))^0.4*_xlfn.XLOOKUP(B120,'Base stats'!B:B,'Base stats'!BJ:BJ)^0.73)^0.6 *_xlfn.XLOOKUP(B120,'Base stats'!B:B,'Base stats'!BX:BX),0.1),0.05)
)</f>
        <v>14.4</v>
      </c>
      <c r="P120" s="11">
        <f>IF(O120="No","No",
MROUND(_xlfn.XLOOKUP(B120,'Base stats'!B:B,'Base stats'!BJ:BJ) * 0.01 * 2 + 0.05, 0.05)
)</f>
        <v>4.75</v>
      </c>
      <c r="Q120" s="5">
        <f>IF(O120="No","No",
MROUND(_xlfn.XLOOKUP(B120,'Base stats'!B:B,'Base stats'!BV:BV)/10000+0.01,0.01)
)</f>
        <v>0.22</v>
      </c>
      <c r="R120" s="4">
        <f>IF(O120="No","No",
MROUND(_xlfn.XLOOKUP(B120,'Base stats'!B:B,'Base stats'!BB:BB)^0.25
/((_xlfn.XLOOKUP(B120,'Base stats'!B:B,'Base stats'!BN:BN))*10)*_xlfn.XLOOKUP(_xlfn.XLOOKUP(B120,'Base stats'!B:B,'Base stats'!E:E),Groups!A:A,Groups!Z:Z)*150 + 0.5 + _xlfn.XLOOKUP(B120,'Base stats'!B:B,'Base stats'!BW:BW),
0.05))</f>
        <v>2.3000000000000003</v>
      </c>
      <c r="S120" s="3">
        <f>IF(Animals!AI120="No","No",
IF(_xlfn.XLOOKUP(B120,'Base stats'!B:B,'Base stats'!U:U)="No",
MAX(MROUND(_xlfn.XLOOKUP(B120,'Base stats'!B:B,'Base stats'!BT:BT) * _xlfn.XLOOKUP(B120,'Base stats'!B:B,'Base stats'!BP:BP)^0.9 / 21 * _xlfn.XLOOKUP(B120,'Base stats'!B:B,'Base stats'!BX:BX),0.1),0.05),
MAX(MROUND(((MIN(12,_xlfn.XLOOKUP(B120,'Base stats'!B:B,'Base stats'!U:U)))^0.4*_xlfn.XLOOKUP(B120,'Base stats'!B:B,'Base stats'!BH:BH)^0.73)^0.6 * _xlfn.XLOOKUP(B120,'Base stats'!B:B,'Base stats'!BX:BX),0.1),0.05)
))</f>
        <v>15.700000000000001</v>
      </c>
      <c r="T120" s="11">
        <f>IF(S120="No","No",
MROUND(_xlfn.XLOOKUP(B120,'Base stats'!B:B,'Base stats'!BH:BH) * 0.01 * 2 + 0.05, 0.05)
)</f>
        <v>4.75</v>
      </c>
      <c r="U120" s="5">
        <f>IF(S120="No","No",IF(_xlfn.XLOOKUP(B120,'Base stats'!B:B,'Base stats'!U:U)="No","No",
MROUND(_xlfn.XLOOKUP(B120,'Base stats'!B:B,'Base stats'!BT:BT)/10000+0.01,0.01)
))</f>
        <v>0.22</v>
      </c>
      <c r="V120" s="4">
        <f>IF(S120="No","No",
MROUND(_xlfn.XLOOKUP(B120,'Base stats'!B:B,'Base stats'!BF:BF)^0.25
/((_xlfn.XLOOKUP(B120,'Base stats'!B:B,'Base stats'!BO:BO))*10)*_xlfn.XLOOKUP(_xlfn.XLOOKUP(B120,'Base stats'!B:B,'Base stats'!E:E),Groups!A:A,Groups!AE:AE)*150 + 0.5 + _xlfn.XLOOKUP(B120,'Base stats'!B:B,'Base stats'!BW:BW),
0.05))</f>
        <v>1.4500000000000002</v>
      </c>
      <c r="W120" s="8">
        <f>MROUND(_xlfn.XLOOKUP(_xlfn.XLOOKUP(B120,'Base stats'!B:B,'Base stats'!E:E),Groups!A:A,Groups!BG:BG)*_xlfn.XLOOKUP(B120,'Base stats'!B:B,'Base stats'!C:C)^-0.165,0.05)</f>
        <v>0.30000000000000004</v>
      </c>
      <c r="X120" s="1">
        <f>MROUND(_xlfn.XLOOKUP(_xlfn.XLOOKUP(B120,'Base stats'!B:B,'Base stats'!E:E),Groups!A:A,Groups!BH:BH)*_xlfn.XLOOKUP(B120,'Base stats'!B:B,'Base stats'!C:C)^0.165,0.05)</f>
        <v>0.35000000000000003</v>
      </c>
      <c r="Y120" s="8">
        <f>MROUND(_xlfn.XLOOKUP(_xlfn.XLOOKUP(B120,'Base stats'!B:B,'Base stats'!E:E),Groups!A:A,Groups!BI:BI)*_xlfn.XLOOKUP(B120,'Base stats'!B:B,'Base stats'!C:C)^0.165,0.05)</f>
        <v>0.05</v>
      </c>
      <c r="Z120" s="18">
        <f>MROUND(_xlfn.XLOOKUP(B120,'Base stats'!B:B,'Base stats'!AQ:AQ)*_xlfn.XLOOKUP(_xlfn.XLOOKUP(B120,'Base stats'!B:B,'Base stats'!E:E),Groups!A:A,Groups!H:H)/1000,IF((_xlfn.XLOOKUP(B120,'Base stats'!B:B,'Base stats'!AQ:AQ)*_xlfn.XLOOKUP(_xlfn.XLOOKUP(B120,'Base stats'!B:B,'Base stats'!E:E),Groups!A:A,Groups!H:H)/1000)&gt;1,0.05,0.01))</f>
        <v>0.12</v>
      </c>
      <c r="AA120" s="18">
        <f>MROUND((1/2)*(_xlfn.XLOOKUP(_xlfn.XLOOKUP(B120,'Base stats'!B:B,'Base stats'!E:E),Groups!A:A,Groups!H:H)*_xlfn.XLOOKUP(_xlfn.XLOOKUP(B120,'Base stats'!B:B,'Base stats'!E:E),Groups!A:A,Groups!I:I))*_xlfn.XLOOKUP(B120,'Base stats'!B:B,'Base stats'!AQ:AQ)*0.01,0.05)</f>
        <v>0.5</v>
      </c>
      <c r="AB120" s="18">
        <f>MROUND(250*(Animals!AO120+Animals!AP120),25)</f>
        <v>875</v>
      </c>
      <c r="AC120" s="18" t="str">
        <f>_xlfn.XLOOKUP(_xlfn.XLOOKUP(B120,'Base stats'!B:B,'Base stats'!E:E),Groups!A:A,Groups!BJ:BJ)</f>
        <v>Quadruped</v>
      </c>
    </row>
    <row r="121" spans="1:29" ht="16.5" thickTop="1" thickBot="1" x14ac:dyDescent="0.3">
      <c r="A121" s="16" t="str">
        <f>Animals!A121</f>
        <v>Spotted Hyena</v>
      </c>
      <c r="B121" s="6" t="str">
        <f>Animals!B121</f>
        <v>Crocuta crocuta</v>
      </c>
      <c r="C121" s="1" t="str">
        <f>Animals!C121</f>
        <v>&lt;li&gt;AEXP_Hyena&lt;/li&gt;</v>
      </c>
      <c r="D121" s="47">
        <f>MIN(MIN(6,_xlfn.XLOOKUP(A121,Animals!A:A,Animals!AO:AO))*20,MAX(MROUND(_xlfn.XLOOKUP(B121,'Base stats'!B:B,'Base stats'!BS:BS) * (_xlfn.XLOOKUP(B121,'Base stats'!B:B,'Base stats'!AO:AO)*5%)^0.9 / 21,0.1),0.05))</f>
        <v>2.1</v>
      </c>
      <c r="E121" s="11">
        <f>MROUND(_xlfn.XLOOKUP(B121,'Base stats'!B:B,'Base stats'!BG:BG) * 0.01 * 2 + 0.01, 0.05)</f>
        <v>1.7000000000000002</v>
      </c>
      <c r="F121" s="7">
        <f>MROUND(_xlfn.XLOOKUP(B121,'Base stats'!B:B,'Base stats'!BD:BD)^0.25 / (_xlfn.XLOOKUP(B121,'Base stats'!B:B,'Base stats'!BK:BK) * 10) * 150 + 0.5 + _xlfn.XLOOKUP(B121,'Base stats'!B:B,'Base stats'!BW:BW), 0.05)</f>
        <v>1.9500000000000002</v>
      </c>
      <c r="G121" s="3" t="str">
        <f>IF(Animals!S121="No","No",
IF(_xlfn.XLOOKUP(B121,'Base stats'!B:B,'Base stats'!U:U)="No",
MAX(MROUND(_xlfn.XLOOKUP(B121,'Base stats'!B:B,'Base stats'!BT:BT) * _xlfn.XLOOKUP(B121,'Base stats'!B:B,'Base stats'!BP:BP)^0.9 / 21 * _xlfn.XLOOKUP(B121,'Base stats'!B:B,'Base stats'!BX:BX),0.1),0.05),
MAX(MROUND(((MIN(10,_xlfn.XLOOKUP(B121,'Base stats'!B:B,'Base stats'!U:U)))^0.4*_xlfn.XLOOKUP(B121,'Base stats'!B:B,'Base stats'!BH:BH)^0.73)^0.6 * _xlfn.XLOOKUP(B121,'Base stats'!B:B,'Base stats'!BX:BX),0.1),0.05)
))</f>
        <v>No</v>
      </c>
      <c r="H121" s="11" t="str">
        <f>IF(G121="No","No",
MROUND(_xlfn.XLOOKUP(B121,'Base stats'!B:B,'Base stats'!BH:BH) * 0.01 * 2 + 0.05, 0.05)
)</f>
        <v>No</v>
      </c>
      <c r="I121" s="11" t="str">
        <f>IF(G121="No","No",IF(_xlfn.XLOOKUP(B121,'Base stats'!B:B,'Base stats'!U:U)="No","No",
MROUND(_xlfn.XLOOKUP(B121,'Base stats'!B:B,'Base stats'!BT:BT)/10000+0.01,0.01)
))</f>
        <v>No</v>
      </c>
      <c r="J121" s="4" t="str">
        <f>IF(G121="No","No",
MROUND(_xlfn.XLOOKUP(B121,'Base stats'!B:B,'Base stats'!BE:BE)^0.25
/((_xlfn.XLOOKUP(B121,'Base stats'!B:B,'Base stats'!BL:BL))*10)*_xlfn.XLOOKUP(_xlfn.XLOOKUP(B121,'Base stats'!B:B,'Base stats'!E:E),Groups!A:A,Groups!Q:Q)*150 + 0.5 + _xlfn.XLOOKUP(B121,'Base stats'!B:B,'Base stats'!BW:BW),
0.05))</f>
        <v>No</v>
      </c>
      <c r="K121" s="3" t="str">
        <f>IF(Animals!X121="No","No",
IF(_xlfn.XLOOKUP(_xlfn.XLOOKUP(B121,'Base stats'!B:B,'Base stats'!E:E),Groups!A:A,Groups!BD:BD)=1,
MAX(MROUND(_xlfn.XLOOKUP(B121,'Base stats'!B:B,'Base stats'!BU:BU) * _xlfn.XLOOKUP(B121,'Base stats'!B:B,'Base stats'!BQ:BQ)^0.9 / 21 *_xlfn.XLOOKUP(B121,'Base stats'!B:B,'Base stats'!BX:BX),0.1),0.05),
MAX(MROUND(((MIN(10,_xlfn.XLOOKUP(B121,'Base stats'!B:B,'Base stats'!W:W)))^0.4*_xlfn.XLOOKUP(B121,'Base stats'!B:B,'Base stats'!BI:BI)^0.73)^0.6 *_xlfn.XLOOKUP(B121,'Base stats'!B:B,'Base stats'!BX:BX),0.1),0.05)
))</f>
        <v>No</v>
      </c>
      <c r="L121" s="11" t="str">
        <f>IF(K121="No","No",
MROUND(_xlfn.XLOOKUP(B121,'Base stats'!B:B,'Base stats'!BI:BI) * 0.01 *2 + 0.05, 0.05)
)</f>
        <v>No</v>
      </c>
      <c r="M121" s="5" t="str">
        <f>IF(K121="No","No",IF(_xlfn.XLOOKUP(_xlfn.XLOOKUP(B121,'Base stats'!B:B,'Base stats'!E:E),Groups!A:A,Groups!BD:BD)=1,"No",
MROUND(_xlfn.XLOOKUP(B121,'Base stats'!B:B,'Base stats'!BU:BU)/10000+0.01,0.01)
))</f>
        <v>No</v>
      </c>
      <c r="N121" s="4" t="str">
        <f>IF(K121="No","No",
MROUND(
  _xlfn.XLOOKUP(B121,'Base stats'!B:B,'Base stats'!BC:BC)^0.25
  / (_xlfn.XLOOKUP(B121,'Base stats'!B:B,'Base stats'!BM:BM) * 10)
  * _xlfn.XLOOKUP(
      _xlfn.XLOOKUP(B121,'Base stats'!B:B,'Base stats'!E:E),
      Groups!A:A,
      Groups!V:V
    ) * 150
  + MIN(12, _xlfn.XLOOKUP(B121,'Base stats'!B:B,'Base stats'!W:W))^(1/IF(_xlfn.XLOOKUP(_xlfn.XLOOKUP(B121,'Base stats'!B:B,'Base stats'!E:E),Groups!A:A,Groups!U:U)=1,100,10)) + 0.5 + _xlfn.XLOOKUP(B121,'Base stats'!B:B,'Base stats'!BW:BW),
0.05))</f>
        <v>No</v>
      </c>
      <c r="O121" s="3">
        <f>IF(Animals!AD121="No","No",
MAX(MROUND((MIN(10,_xlfn.XLOOKUP(B121,'Base stats'!B:B,'Base stats'!V:V)*IF(_xlfn.XLOOKUP(_xlfn.XLOOKUP(B121,'Base stats'!B:B,'Base stats'!E:E),Groups!A:A,Groups!O:O)=0,1,0.33))^0.4*_xlfn.XLOOKUP(B121,'Base stats'!B:B,'Base stats'!BJ:BJ)^0.73)^0.6 *_xlfn.XLOOKUP(B121,'Base stats'!B:B,'Base stats'!BX:BX),0.1),0.05)
)</f>
        <v>18.3</v>
      </c>
      <c r="P121" s="11">
        <f>IF(O121="No","No",
MROUND(_xlfn.XLOOKUP(B121,'Base stats'!B:B,'Base stats'!BJ:BJ) * 0.01 * 2 + 0.05, 0.05)
)</f>
        <v>8.5</v>
      </c>
      <c r="Q121" s="5">
        <f>IF(O121="No","No",
MROUND(_xlfn.XLOOKUP(B121,'Base stats'!B:B,'Base stats'!BV:BV)/10000+0.01,0.01)
)</f>
        <v>0.54</v>
      </c>
      <c r="R121" s="4">
        <f>IF(O121="No","No",
MROUND(_xlfn.XLOOKUP(B121,'Base stats'!B:B,'Base stats'!BB:BB)^0.25
/((_xlfn.XLOOKUP(B121,'Base stats'!B:B,'Base stats'!BN:BN))*10)*_xlfn.XLOOKUP(_xlfn.XLOOKUP(B121,'Base stats'!B:B,'Base stats'!E:E),Groups!A:A,Groups!Z:Z)*150 + 0.5 + _xlfn.XLOOKUP(B121,'Base stats'!B:B,'Base stats'!BW:BW),
0.05))</f>
        <v>2.25</v>
      </c>
      <c r="S121" s="3" t="str">
        <f>IF(Animals!AI121="No","No",
IF(_xlfn.XLOOKUP(B121,'Base stats'!B:B,'Base stats'!U:U)="No",
MAX(MROUND(_xlfn.XLOOKUP(B121,'Base stats'!B:B,'Base stats'!BT:BT) * _xlfn.XLOOKUP(B121,'Base stats'!B:B,'Base stats'!BP:BP)^0.9 / 21 * _xlfn.XLOOKUP(B121,'Base stats'!B:B,'Base stats'!BX:BX),0.1),0.05),
MAX(MROUND(((MIN(12,_xlfn.XLOOKUP(B121,'Base stats'!B:B,'Base stats'!U:U)))^0.4*_xlfn.XLOOKUP(B121,'Base stats'!B:B,'Base stats'!BH:BH)^0.73)^0.6 * _xlfn.XLOOKUP(B121,'Base stats'!B:B,'Base stats'!BX:BX),0.1),0.05)
))</f>
        <v>No</v>
      </c>
      <c r="T121" s="11" t="str">
        <f>IF(S121="No","No",
MROUND(_xlfn.XLOOKUP(B121,'Base stats'!B:B,'Base stats'!BH:BH) * 0.01 * 2 + 0.05, 0.05)
)</f>
        <v>No</v>
      </c>
      <c r="U121" s="5" t="str">
        <f>IF(S121="No","No",IF(_xlfn.XLOOKUP(B121,'Base stats'!B:B,'Base stats'!U:U)="No","No",
MROUND(_xlfn.XLOOKUP(B121,'Base stats'!B:B,'Base stats'!BT:BT)/10000+0.01,0.01)
))</f>
        <v>No</v>
      </c>
      <c r="V121" s="4" t="str">
        <f>IF(S121="No","No",
MROUND(_xlfn.XLOOKUP(B121,'Base stats'!B:B,'Base stats'!BF:BF)^0.25
/((_xlfn.XLOOKUP(B121,'Base stats'!B:B,'Base stats'!BO:BO))*10)*_xlfn.XLOOKUP(_xlfn.XLOOKUP(B121,'Base stats'!B:B,'Base stats'!E:E),Groups!A:A,Groups!AE:AE)*150 + 0.5 + _xlfn.XLOOKUP(B121,'Base stats'!B:B,'Base stats'!BW:BW),
0.05))</f>
        <v>No</v>
      </c>
      <c r="W121" s="8">
        <f>MROUND(_xlfn.XLOOKUP(_xlfn.XLOOKUP(B121,'Base stats'!B:B,'Base stats'!E:E),Groups!A:A,Groups!BG:BG)*_xlfn.XLOOKUP(B121,'Base stats'!B:B,'Base stats'!C:C)^-0.165,0.05)</f>
        <v>0.5</v>
      </c>
      <c r="X121" s="1">
        <f>MROUND(_xlfn.XLOOKUP(_xlfn.XLOOKUP(B121,'Base stats'!B:B,'Base stats'!E:E),Groups!A:A,Groups!BH:BH)*_xlfn.XLOOKUP(B121,'Base stats'!B:B,'Base stats'!C:C)^0.165,0.05)</f>
        <v>0.4</v>
      </c>
      <c r="Y121" s="8">
        <f>MROUND(_xlfn.XLOOKUP(_xlfn.XLOOKUP(B121,'Base stats'!B:B,'Base stats'!E:E),Groups!A:A,Groups!BI:BI)*_xlfn.XLOOKUP(B121,'Base stats'!B:B,'Base stats'!C:C)^0.165,0.05)</f>
        <v>0.05</v>
      </c>
      <c r="Z121" s="18">
        <f>MROUND(_xlfn.XLOOKUP(B121,'Base stats'!B:B,'Base stats'!AQ:AQ)*_xlfn.XLOOKUP(_xlfn.XLOOKUP(B121,'Base stats'!B:B,'Base stats'!E:E),Groups!A:A,Groups!H:H)/1000,IF((_xlfn.XLOOKUP(B121,'Base stats'!B:B,'Base stats'!AQ:AQ)*_xlfn.XLOOKUP(_xlfn.XLOOKUP(B121,'Base stats'!B:B,'Base stats'!E:E),Groups!A:A,Groups!H:H)/1000)&gt;1,0.05,0.01))</f>
        <v>0.09</v>
      </c>
      <c r="AA121" s="18">
        <f>MROUND((1/2)*(_xlfn.XLOOKUP(_xlfn.XLOOKUP(B121,'Base stats'!B:B,'Base stats'!E:E),Groups!A:A,Groups!H:H)*_xlfn.XLOOKUP(_xlfn.XLOOKUP(B121,'Base stats'!B:B,'Base stats'!E:E),Groups!A:A,Groups!I:I))*_xlfn.XLOOKUP(B121,'Base stats'!B:B,'Base stats'!AQ:AQ)*0.01,0.05)</f>
        <v>0.4</v>
      </c>
      <c r="AB121" s="18">
        <f>MROUND(250*(Animals!AO121+Animals!AP121),25)</f>
        <v>525</v>
      </c>
      <c r="AC121" s="18" t="str">
        <f>_xlfn.XLOOKUP(_xlfn.XLOOKUP(B121,'Base stats'!B:B,'Base stats'!E:E),Groups!A:A,Groups!BJ:BJ)</f>
        <v>Quadruped</v>
      </c>
    </row>
    <row r="122" spans="1:29" ht="16.5" thickTop="1" thickBot="1" x14ac:dyDescent="0.3">
      <c r="A122" s="16" t="str">
        <f>Animals!A122</f>
        <v>Desert Tortoise</v>
      </c>
      <c r="B122" s="6" t="str">
        <f>Animals!B122</f>
        <v>Centrochelys sulcata</v>
      </c>
      <c r="C122" s="1" t="str">
        <f>Animals!C122</f>
        <v>&lt;li&gt;AEXP_DesertTortoise&lt;/li&gt;</v>
      </c>
      <c r="D122" s="47">
        <f>MIN(MIN(6,_xlfn.XLOOKUP(A122,Animals!A:A,Animals!AO:AO))*20,MAX(MROUND(_xlfn.XLOOKUP(B122,'Base stats'!B:B,'Base stats'!BS:BS) * (_xlfn.XLOOKUP(B122,'Base stats'!B:B,'Base stats'!AO:AO)*5%)^0.9 / 21,0.1),0.05))</f>
        <v>0.70000000000000007</v>
      </c>
      <c r="E122" s="11">
        <f>MROUND(_xlfn.XLOOKUP(B122,'Base stats'!B:B,'Base stats'!BG:BG) * 0.01 * 2 + 0.01, 0.05)</f>
        <v>0.60000000000000009</v>
      </c>
      <c r="F122" s="7">
        <f>MROUND(_xlfn.XLOOKUP(B122,'Base stats'!B:B,'Base stats'!BD:BD)^0.25 / (_xlfn.XLOOKUP(B122,'Base stats'!B:B,'Base stats'!BK:BK) * 10) * 150 + 0.5 + _xlfn.XLOOKUP(B122,'Base stats'!B:B,'Base stats'!BW:BW), 0.05)</f>
        <v>2</v>
      </c>
      <c r="G122" s="3" t="str">
        <f>IF(Animals!S122="No","No",
IF(_xlfn.XLOOKUP(B122,'Base stats'!B:B,'Base stats'!U:U)="No",
MAX(MROUND(_xlfn.XLOOKUP(B122,'Base stats'!B:B,'Base stats'!BT:BT) * _xlfn.XLOOKUP(B122,'Base stats'!B:B,'Base stats'!BP:BP)^0.9 / 21 * _xlfn.XLOOKUP(B122,'Base stats'!B:B,'Base stats'!BX:BX),0.1),0.05),
MAX(MROUND(((MIN(10,_xlfn.XLOOKUP(B122,'Base stats'!B:B,'Base stats'!U:U)))^0.4*_xlfn.XLOOKUP(B122,'Base stats'!B:B,'Base stats'!BH:BH)^0.73)^0.6 * _xlfn.XLOOKUP(B122,'Base stats'!B:B,'Base stats'!BX:BX),0.1),0.05)
))</f>
        <v>No</v>
      </c>
      <c r="H122" s="11" t="str">
        <f>IF(G122="No","No",
MROUND(_xlfn.XLOOKUP(B122,'Base stats'!B:B,'Base stats'!BH:BH) * 0.01 * 2 + 0.05, 0.05)
)</f>
        <v>No</v>
      </c>
      <c r="I122" s="11" t="str">
        <f>IF(G122="No","No",IF(_xlfn.XLOOKUP(B122,'Base stats'!B:B,'Base stats'!U:U)="No","No",
MROUND(_xlfn.XLOOKUP(B122,'Base stats'!B:B,'Base stats'!BT:BT)/10000+0.01,0.01)
))</f>
        <v>No</v>
      </c>
      <c r="J122" s="4" t="str">
        <f>IF(G122="No","No",
MROUND(_xlfn.XLOOKUP(B122,'Base stats'!B:B,'Base stats'!BE:BE)^0.25
/((_xlfn.XLOOKUP(B122,'Base stats'!B:B,'Base stats'!BL:BL))*10)*_xlfn.XLOOKUP(_xlfn.XLOOKUP(B122,'Base stats'!B:B,'Base stats'!E:E),Groups!A:A,Groups!Q:Q)*150 + 0.5 + _xlfn.XLOOKUP(B122,'Base stats'!B:B,'Base stats'!BW:BW),
0.05))</f>
        <v>No</v>
      </c>
      <c r="K122" s="3" t="str">
        <f>IF(Animals!X122="No","No",
IF(_xlfn.XLOOKUP(_xlfn.XLOOKUP(B122,'Base stats'!B:B,'Base stats'!E:E),Groups!A:A,Groups!BD:BD)=1,
MAX(MROUND(_xlfn.XLOOKUP(B122,'Base stats'!B:B,'Base stats'!BU:BU) * _xlfn.XLOOKUP(B122,'Base stats'!B:B,'Base stats'!BQ:BQ)^0.9 / 21 *_xlfn.XLOOKUP(B122,'Base stats'!B:B,'Base stats'!BX:BX),0.1),0.05),
MAX(MROUND(((MIN(10,_xlfn.XLOOKUP(B122,'Base stats'!B:B,'Base stats'!W:W)))^0.4*_xlfn.XLOOKUP(B122,'Base stats'!B:B,'Base stats'!BI:BI)^0.73)^0.6 *_xlfn.XLOOKUP(B122,'Base stats'!B:B,'Base stats'!BX:BX),0.1),0.05)
))</f>
        <v>No</v>
      </c>
      <c r="L122" s="11" t="str">
        <f>IF(K122="No","No",
MROUND(_xlfn.XLOOKUP(B122,'Base stats'!B:B,'Base stats'!BI:BI) * 0.01 *2 + 0.05, 0.05)
)</f>
        <v>No</v>
      </c>
      <c r="M122" s="5" t="str">
        <f>IF(K122="No","No",IF(_xlfn.XLOOKUP(_xlfn.XLOOKUP(B122,'Base stats'!B:B,'Base stats'!E:E),Groups!A:A,Groups!BD:BD)=1,"No",
MROUND(_xlfn.XLOOKUP(B122,'Base stats'!B:B,'Base stats'!BU:BU)/10000+0.01,0.01)
))</f>
        <v>No</v>
      </c>
      <c r="N122" s="4" t="str">
        <f>IF(K122="No","No",
MROUND(
  _xlfn.XLOOKUP(B122,'Base stats'!B:B,'Base stats'!BC:BC)^0.25
  / (_xlfn.XLOOKUP(B122,'Base stats'!B:B,'Base stats'!BM:BM) * 10)
  * _xlfn.XLOOKUP(
      _xlfn.XLOOKUP(B122,'Base stats'!B:B,'Base stats'!E:E),
      Groups!A:A,
      Groups!V:V
    ) * 150
  + MIN(12, _xlfn.XLOOKUP(B122,'Base stats'!B:B,'Base stats'!W:W))^(1/IF(_xlfn.XLOOKUP(_xlfn.XLOOKUP(B122,'Base stats'!B:B,'Base stats'!E:E),Groups!A:A,Groups!U:U)=1,100,10)) + 0.5 + _xlfn.XLOOKUP(B122,'Base stats'!B:B,'Base stats'!BW:BW),
0.05))</f>
        <v>No</v>
      </c>
      <c r="O122" s="3">
        <f>IF(Animals!AD122="No","No",
MAX(MROUND((MIN(10,_xlfn.XLOOKUP(B122,'Base stats'!B:B,'Base stats'!V:V)*IF(_xlfn.XLOOKUP(_xlfn.XLOOKUP(B122,'Base stats'!B:B,'Base stats'!E:E),Groups!A:A,Groups!O:O)=0,1,0.33))^0.4*_xlfn.XLOOKUP(B122,'Base stats'!B:B,'Base stats'!BJ:BJ)^0.73)^0.6 *_xlfn.XLOOKUP(B122,'Base stats'!B:B,'Base stats'!BX:BX),0.1),0.05)
)</f>
        <v>6.2</v>
      </c>
      <c r="P122" s="11">
        <f>IF(O122="No","No",
MROUND(_xlfn.XLOOKUP(B122,'Base stats'!B:B,'Base stats'!BJ:BJ) * 0.01 * 2 + 0.05, 0.05)
)</f>
        <v>1</v>
      </c>
      <c r="Q122" s="5">
        <f>IF(O122="No","No",
MROUND(_xlfn.XLOOKUP(B122,'Base stats'!B:B,'Base stats'!BV:BV)/10000+0.01,0.01)
)</f>
        <v>0.08</v>
      </c>
      <c r="R122" s="4">
        <f>IF(O122="No","No",
MROUND(_xlfn.XLOOKUP(B122,'Base stats'!B:B,'Base stats'!BB:BB)^0.25
/((_xlfn.XLOOKUP(B122,'Base stats'!B:B,'Base stats'!BN:BN))*10)*_xlfn.XLOOKUP(_xlfn.XLOOKUP(B122,'Base stats'!B:B,'Base stats'!E:E),Groups!A:A,Groups!Z:Z)*150 + 0.5 + _xlfn.XLOOKUP(B122,'Base stats'!B:B,'Base stats'!BW:BW),
0.05))</f>
        <v>2.2000000000000002</v>
      </c>
      <c r="S122" s="3" t="str">
        <f>IF(Animals!AI122="No","No",
IF(_xlfn.XLOOKUP(B122,'Base stats'!B:B,'Base stats'!U:U)="No",
MAX(MROUND(_xlfn.XLOOKUP(B122,'Base stats'!B:B,'Base stats'!BT:BT) * _xlfn.XLOOKUP(B122,'Base stats'!B:B,'Base stats'!BP:BP)^0.9 / 21 * _xlfn.XLOOKUP(B122,'Base stats'!B:B,'Base stats'!BX:BX),0.1),0.05),
MAX(MROUND(((MIN(12,_xlfn.XLOOKUP(B122,'Base stats'!B:B,'Base stats'!U:U)))^0.4*_xlfn.XLOOKUP(B122,'Base stats'!B:B,'Base stats'!BH:BH)^0.73)^0.6 * _xlfn.XLOOKUP(B122,'Base stats'!B:B,'Base stats'!BX:BX),0.1),0.05)
))</f>
        <v>No</v>
      </c>
      <c r="T122" s="11" t="str">
        <f>IF(S122="No","No",
MROUND(_xlfn.XLOOKUP(B122,'Base stats'!B:B,'Base stats'!BH:BH) * 0.01 * 2 + 0.05, 0.05)
)</f>
        <v>No</v>
      </c>
      <c r="U122" s="5" t="str">
        <f>IF(S122="No","No",IF(_xlfn.XLOOKUP(B122,'Base stats'!B:B,'Base stats'!U:U)="No","No",
MROUND(_xlfn.XLOOKUP(B122,'Base stats'!B:B,'Base stats'!BT:BT)/10000+0.01,0.01)
))</f>
        <v>No</v>
      </c>
      <c r="V122" s="4" t="str">
        <f>IF(S122="No","No",
MROUND(_xlfn.XLOOKUP(B122,'Base stats'!B:B,'Base stats'!BF:BF)^0.25
/((_xlfn.XLOOKUP(B122,'Base stats'!B:B,'Base stats'!BO:BO))*10)*_xlfn.XLOOKUP(_xlfn.XLOOKUP(B122,'Base stats'!B:B,'Base stats'!E:E),Groups!A:A,Groups!AE:AE)*150 + 0.5 + _xlfn.XLOOKUP(B122,'Base stats'!B:B,'Base stats'!BW:BW),
0.05))</f>
        <v>No</v>
      </c>
      <c r="W122" s="8">
        <f>MROUND(_xlfn.XLOOKUP(_xlfn.XLOOKUP(B122,'Base stats'!B:B,'Base stats'!E:E),Groups!A:A,Groups!BG:BG)*_xlfn.XLOOKUP(B122,'Base stats'!B:B,'Base stats'!C:C)^-0.165,0.05)</f>
        <v>0</v>
      </c>
      <c r="X122" s="1">
        <f>MROUND(_xlfn.XLOOKUP(_xlfn.XLOOKUP(B122,'Base stats'!B:B,'Base stats'!E:E),Groups!A:A,Groups!BH:BH)*_xlfn.XLOOKUP(B122,'Base stats'!B:B,'Base stats'!C:C)^0.165,0.05)</f>
        <v>0</v>
      </c>
      <c r="Y122" s="8">
        <f>MROUND(_xlfn.XLOOKUP(_xlfn.XLOOKUP(B122,'Base stats'!B:B,'Base stats'!E:E),Groups!A:A,Groups!BI:BI)*_xlfn.XLOOKUP(B122,'Base stats'!B:B,'Base stats'!C:C)^0.165,0.05)</f>
        <v>0</v>
      </c>
      <c r="Z122" s="18">
        <f>MROUND(_xlfn.XLOOKUP(B122,'Base stats'!B:B,'Base stats'!AQ:AQ)*_xlfn.XLOOKUP(_xlfn.XLOOKUP(B122,'Base stats'!B:B,'Base stats'!E:E),Groups!A:A,Groups!H:H)/1000,IF((_xlfn.XLOOKUP(B122,'Base stats'!B:B,'Base stats'!AQ:AQ)*_xlfn.XLOOKUP(_xlfn.XLOOKUP(B122,'Base stats'!B:B,'Base stats'!E:E),Groups!A:A,Groups!H:H)/1000)&gt;1,0.05,0.01))</f>
        <v>1.35</v>
      </c>
      <c r="AA122" s="18">
        <f>MROUND((1/2)*(_xlfn.XLOOKUP(_xlfn.XLOOKUP(B122,'Base stats'!B:B,'Base stats'!E:E),Groups!A:A,Groups!H:H)*_xlfn.XLOOKUP(_xlfn.XLOOKUP(B122,'Base stats'!B:B,'Base stats'!E:E),Groups!A:A,Groups!I:I))*_xlfn.XLOOKUP(B122,'Base stats'!B:B,'Base stats'!AQ:AQ)*0.01,0.05)</f>
        <v>2.35</v>
      </c>
      <c r="AB122" s="18">
        <f>MROUND(250*(Animals!AO122+Animals!AP122),25)</f>
        <v>400</v>
      </c>
      <c r="AC122" s="18" t="str">
        <f>_xlfn.XLOOKUP(_xlfn.XLOOKUP(B122,'Base stats'!B:B,'Base stats'!E:E),Groups!A:A,Groups!BJ:BJ)</f>
        <v>QuadrupedLow</v>
      </c>
    </row>
    <row r="123" spans="1:29" ht="16.5" thickTop="1" thickBot="1" x14ac:dyDescent="0.3">
      <c r="A123" s="16" t="str">
        <f>Animals!A123</f>
        <v>Lion</v>
      </c>
      <c r="B123" s="6" t="str">
        <f>Animals!B123</f>
        <v>Panthera leo</v>
      </c>
      <c r="C123" s="1" t="str">
        <f>Animals!C123</f>
        <v>&lt;li&gt;AEXP_Lion&lt;/li&gt;</v>
      </c>
      <c r="D123" s="47">
        <f>MIN(MIN(6,_xlfn.XLOOKUP(A123,Animals!A:A,Animals!AO:AO))*20,MAX(MROUND(_xlfn.XLOOKUP(B123,'Base stats'!B:B,'Base stats'!BS:BS) * (_xlfn.XLOOKUP(B123,'Base stats'!B:B,'Base stats'!AO:AO)*5%)^0.9 / 21,0.1),0.05))</f>
        <v>4.8000000000000007</v>
      </c>
      <c r="E123" s="11">
        <f>MROUND(_xlfn.XLOOKUP(B123,'Base stats'!B:B,'Base stats'!BG:BG) * 0.01 * 2 + 0.01, 0.05)</f>
        <v>4.2</v>
      </c>
      <c r="F123" s="7">
        <f>MROUND(_xlfn.XLOOKUP(B123,'Base stats'!B:B,'Base stats'!BD:BD)^0.25 / (_xlfn.XLOOKUP(B123,'Base stats'!B:B,'Base stats'!BK:BK) * 10) * 150 + 0.5 + _xlfn.XLOOKUP(B123,'Base stats'!B:B,'Base stats'!BW:BW), 0.05)</f>
        <v>2.1</v>
      </c>
      <c r="G123" s="3" t="str">
        <f>IF(Animals!S123="No","No",
IF(_xlfn.XLOOKUP(B123,'Base stats'!B:B,'Base stats'!U:U)="No",
MAX(MROUND(_xlfn.XLOOKUP(B123,'Base stats'!B:B,'Base stats'!BT:BT) * _xlfn.XLOOKUP(B123,'Base stats'!B:B,'Base stats'!BP:BP)^0.9 / 21 * _xlfn.XLOOKUP(B123,'Base stats'!B:B,'Base stats'!BX:BX),0.1),0.05),
MAX(MROUND(((MIN(10,_xlfn.XLOOKUP(B123,'Base stats'!B:B,'Base stats'!U:U)))^0.4*_xlfn.XLOOKUP(B123,'Base stats'!B:B,'Base stats'!BH:BH)^0.73)^0.6 * _xlfn.XLOOKUP(B123,'Base stats'!B:B,'Base stats'!BX:BX),0.1),0.05)
))</f>
        <v>No</v>
      </c>
      <c r="H123" s="11" t="str">
        <f>IF(G123="No","No",
MROUND(_xlfn.XLOOKUP(B123,'Base stats'!B:B,'Base stats'!BH:BH) * 0.01 * 2 + 0.05, 0.05)
)</f>
        <v>No</v>
      </c>
      <c r="I123" s="11" t="str">
        <f>IF(G123="No","No",IF(_xlfn.XLOOKUP(B123,'Base stats'!B:B,'Base stats'!U:U)="No","No",
MROUND(_xlfn.XLOOKUP(B123,'Base stats'!B:B,'Base stats'!BT:BT)/10000+0.01,0.01)
))</f>
        <v>No</v>
      </c>
      <c r="J123" s="4" t="str">
        <f>IF(G123="No","No",
MROUND(_xlfn.XLOOKUP(B123,'Base stats'!B:B,'Base stats'!BE:BE)^0.25
/((_xlfn.XLOOKUP(B123,'Base stats'!B:B,'Base stats'!BL:BL))*10)*_xlfn.XLOOKUP(_xlfn.XLOOKUP(B123,'Base stats'!B:B,'Base stats'!E:E),Groups!A:A,Groups!Q:Q)*150 + 0.5 + _xlfn.XLOOKUP(B123,'Base stats'!B:B,'Base stats'!BW:BW),
0.05))</f>
        <v>No</v>
      </c>
      <c r="K123" s="3" t="str">
        <f>IF(Animals!X123="No","No",
IF(_xlfn.XLOOKUP(_xlfn.XLOOKUP(B123,'Base stats'!B:B,'Base stats'!E:E),Groups!A:A,Groups!BD:BD)=1,
MAX(MROUND(_xlfn.XLOOKUP(B123,'Base stats'!B:B,'Base stats'!BU:BU) * _xlfn.XLOOKUP(B123,'Base stats'!B:B,'Base stats'!BQ:BQ)^0.9 / 21 *_xlfn.XLOOKUP(B123,'Base stats'!B:B,'Base stats'!BX:BX),0.1),0.05),
MAX(MROUND(((MIN(10,_xlfn.XLOOKUP(B123,'Base stats'!B:B,'Base stats'!W:W)))^0.4*_xlfn.XLOOKUP(B123,'Base stats'!B:B,'Base stats'!BI:BI)^0.73)^0.6 *_xlfn.XLOOKUP(B123,'Base stats'!B:B,'Base stats'!BX:BX),0.1),0.05)
))</f>
        <v>No</v>
      </c>
      <c r="L123" s="11" t="str">
        <f>IF(K123="No","No",
MROUND(_xlfn.XLOOKUP(B123,'Base stats'!B:B,'Base stats'!BI:BI) * 0.01 *2 + 0.05, 0.05)
)</f>
        <v>No</v>
      </c>
      <c r="M123" s="5" t="str">
        <f>IF(K123="No","No",IF(_xlfn.XLOOKUP(_xlfn.XLOOKUP(B123,'Base stats'!B:B,'Base stats'!E:E),Groups!A:A,Groups!BD:BD)=1,"No",
MROUND(_xlfn.XLOOKUP(B123,'Base stats'!B:B,'Base stats'!BU:BU)/10000+0.01,0.01)
))</f>
        <v>No</v>
      </c>
      <c r="N123" s="4" t="str">
        <f>IF(K123="No","No",
MROUND(
  _xlfn.XLOOKUP(B123,'Base stats'!B:B,'Base stats'!BC:BC)^0.25
  / (_xlfn.XLOOKUP(B123,'Base stats'!B:B,'Base stats'!BM:BM) * 10)
  * _xlfn.XLOOKUP(
      _xlfn.XLOOKUP(B123,'Base stats'!B:B,'Base stats'!E:E),
      Groups!A:A,
      Groups!V:V
    ) * 150
  + MIN(12, _xlfn.XLOOKUP(B123,'Base stats'!B:B,'Base stats'!W:W))^(1/IF(_xlfn.XLOOKUP(_xlfn.XLOOKUP(B123,'Base stats'!B:B,'Base stats'!E:E),Groups!A:A,Groups!U:U)=1,100,10)) + 0.5 + _xlfn.XLOOKUP(B123,'Base stats'!B:B,'Base stats'!BW:BW),
0.05))</f>
        <v>No</v>
      </c>
      <c r="O123" s="3">
        <f>IF(Animals!AD123="No","No",
MAX(MROUND((MIN(10,_xlfn.XLOOKUP(B123,'Base stats'!B:B,'Base stats'!V:V)*IF(_xlfn.XLOOKUP(_xlfn.XLOOKUP(B123,'Base stats'!B:B,'Base stats'!E:E),Groups!A:A,Groups!O:O)=0,1,0.33))^0.4*_xlfn.XLOOKUP(B123,'Base stats'!B:B,'Base stats'!BJ:BJ)^0.73)^0.6 *_xlfn.XLOOKUP(B123,'Base stats'!B:B,'Base stats'!BX:BX),0.1),0.05)
)</f>
        <v>23.3</v>
      </c>
      <c r="P123" s="11">
        <f>IF(O123="No","No",
MROUND(_xlfn.XLOOKUP(B123,'Base stats'!B:B,'Base stats'!BJ:BJ) * 0.01 * 2 + 0.05, 0.05)
)</f>
        <v>10.3</v>
      </c>
      <c r="Q123" s="5">
        <f>IF(O123="No","No",
MROUND(_xlfn.XLOOKUP(B123,'Base stats'!B:B,'Base stats'!BV:BV)/10000+0.01,0.01)
)</f>
        <v>0.44</v>
      </c>
      <c r="R123" s="4">
        <f>IF(O123="No","No",
MROUND(_xlfn.XLOOKUP(B123,'Base stats'!B:B,'Base stats'!BB:BB)^0.25
/((_xlfn.XLOOKUP(B123,'Base stats'!B:B,'Base stats'!BN:BN))*10)*_xlfn.XLOOKUP(_xlfn.XLOOKUP(B123,'Base stats'!B:B,'Base stats'!E:E),Groups!A:A,Groups!Z:Z)*150 + 0.5 + _xlfn.XLOOKUP(B123,'Base stats'!B:B,'Base stats'!BW:BW),
0.05))</f>
        <v>2.0500000000000003</v>
      </c>
      <c r="S123" s="3">
        <f>IF(Animals!AI123="No","No",
IF(_xlfn.XLOOKUP(B123,'Base stats'!B:B,'Base stats'!U:U)="No",
MAX(MROUND(_xlfn.XLOOKUP(B123,'Base stats'!B:B,'Base stats'!BT:BT) * _xlfn.XLOOKUP(B123,'Base stats'!B:B,'Base stats'!BP:BP)^0.9 / 21 * _xlfn.XLOOKUP(B123,'Base stats'!B:B,'Base stats'!BX:BX),0.1),0.05),
MAX(MROUND(((MIN(12,_xlfn.XLOOKUP(B123,'Base stats'!B:B,'Base stats'!U:U)))^0.4*_xlfn.XLOOKUP(B123,'Base stats'!B:B,'Base stats'!BH:BH)^0.73)^0.6 * _xlfn.XLOOKUP(B123,'Base stats'!B:B,'Base stats'!BX:BX),0.1),0.05)
))</f>
        <v>18.100000000000001</v>
      </c>
      <c r="T123" s="11">
        <f>IF(S123="No","No",
MROUND(_xlfn.XLOOKUP(B123,'Base stats'!B:B,'Base stats'!BH:BH) * 0.01 * 2 + 0.05, 0.05)
)</f>
        <v>5.2</v>
      </c>
      <c r="U123" s="5">
        <f>IF(S123="No","No",IF(_xlfn.XLOOKUP(B123,'Base stats'!B:B,'Base stats'!U:U)="No","No",
MROUND(_xlfn.XLOOKUP(B123,'Base stats'!B:B,'Base stats'!BT:BT)/10000+0.01,0.01)
))</f>
        <v>0.22</v>
      </c>
      <c r="V123" s="4">
        <f>IF(S123="No","No",
MROUND(_xlfn.XLOOKUP(B123,'Base stats'!B:B,'Base stats'!BF:BF)^0.25
/((_xlfn.XLOOKUP(B123,'Base stats'!B:B,'Base stats'!BO:BO))*10)*_xlfn.XLOOKUP(_xlfn.XLOOKUP(B123,'Base stats'!B:B,'Base stats'!E:E),Groups!A:A,Groups!AE:AE)*150 + 0.5 + _xlfn.XLOOKUP(B123,'Base stats'!B:B,'Base stats'!BW:BW),
0.05))</f>
        <v>1.5</v>
      </c>
      <c r="W123" s="8">
        <f>MROUND(_xlfn.XLOOKUP(_xlfn.XLOOKUP(B123,'Base stats'!B:B,'Base stats'!E:E),Groups!A:A,Groups!BG:BG)*_xlfn.XLOOKUP(B123,'Base stats'!B:B,'Base stats'!C:C)^-0.165,0.05)</f>
        <v>0.55000000000000004</v>
      </c>
      <c r="X123" s="1">
        <f>MROUND(_xlfn.XLOOKUP(_xlfn.XLOOKUP(B123,'Base stats'!B:B,'Base stats'!E:E),Groups!A:A,Groups!BH:BH)*_xlfn.XLOOKUP(B123,'Base stats'!B:B,'Base stats'!C:C)^0.165,0.05)</f>
        <v>0.60000000000000009</v>
      </c>
      <c r="Y123" s="8">
        <f>MROUND(_xlfn.XLOOKUP(_xlfn.XLOOKUP(B123,'Base stats'!B:B,'Base stats'!E:E),Groups!A:A,Groups!BI:BI)*_xlfn.XLOOKUP(B123,'Base stats'!B:B,'Base stats'!C:C)^0.165,0.05)</f>
        <v>0.05</v>
      </c>
      <c r="Z123" s="18">
        <f>MROUND(_xlfn.XLOOKUP(B123,'Base stats'!B:B,'Base stats'!AQ:AQ)*_xlfn.XLOOKUP(_xlfn.XLOOKUP(B123,'Base stats'!B:B,'Base stats'!E:E),Groups!A:A,Groups!H:H)/1000,IF((_xlfn.XLOOKUP(B123,'Base stats'!B:B,'Base stats'!AQ:AQ)*_xlfn.XLOOKUP(_xlfn.XLOOKUP(B123,'Base stats'!B:B,'Base stats'!E:E),Groups!A:A,Groups!H:H)/1000)&gt;1,0.05,0.01))</f>
        <v>0.12</v>
      </c>
      <c r="AA123" s="18">
        <f>MROUND((1/2)*(_xlfn.XLOOKUP(_xlfn.XLOOKUP(B123,'Base stats'!B:B,'Base stats'!E:E),Groups!A:A,Groups!H:H)*_xlfn.XLOOKUP(_xlfn.XLOOKUP(B123,'Base stats'!B:B,'Base stats'!E:E),Groups!A:A,Groups!I:I))*_xlfn.XLOOKUP(B123,'Base stats'!B:B,'Base stats'!AQ:AQ)*0.01,0.05)</f>
        <v>0.55000000000000004</v>
      </c>
      <c r="AB123" s="18">
        <f>MROUND(250*(Animals!AO123+Animals!AP123),25)</f>
        <v>950</v>
      </c>
      <c r="AC123" s="18" t="str">
        <f>_xlfn.XLOOKUP(_xlfn.XLOOKUP(B123,'Base stats'!B:B,'Base stats'!E:E),Groups!A:A,Groups!BJ:BJ)</f>
        <v>Quadruped</v>
      </c>
    </row>
    <row r="124" spans="1:29" ht="16.5" thickTop="1" thickBot="1" x14ac:dyDescent="0.3">
      <c r="A124" s="16" t="str">
        <f>Animals!A124</f>
        <v>Gila Monster</v>
      </c>
      <c r="B124" s="6" t="str">
        <f>Animals!B124</f>
        <v>Heloderma horridum</v>
      </c>
      <c r="C124" s="1" t="str">
        <f>Animals!C124</f>
        <v>&lt;li&gt;AEXP_GilaMonster&lt;/li&gt;</v>
      </c>
      <c r="D124" s="47">
        <f>MIN(MIN(6,_xlfn.XLOOKUP(A124,Animals!A:A,Animals!AO:AO))*20,MAX(MROUND(_xlfn.XLOOKUP(B124,'Base stats'!B:B,'Base stats'!BS:BS) * (_xlfn.XLOOKUP(B124,'Base stats'!B:B,'Base stats'!AO:AO)*5%)^0.9 / 21,0.1),0.05))</f>
        <v>0.1</v>
      </c>
      <c r="E124" s="11">
        <f>MROUND(_xlfn.XLOOKUP(B124,'Base stats'!B:B,'Base stats'!BG:BG) * 0.01 * 2 + 0.01, 0.05)</f>
        <v>0.05</v>
      </c>
      <c r="F124" s="7">
        <f>MROUND(_xlfn.XLOOKUP(B124,'Base stats'!B:B,'Base stats'!BD:BD)^0.25 / (_xlfn.XLOOKUP(B124,'Base stats'!B:B,'Base stats'!BK:BK) * 10) * 150 + 0.5 + _xlfn.XLOOKUP(B124,'Base stats'!B:B,'Base stats'!BW:BW), 0.05)</f>
        <v>1.2000000000000002</v>
      </c>
      <c r="G124" s="3" t="str">
        <f>IF(Animals!S124="No","No",
IF(_xlfn.XLOOKUP(B124,'Base stats'!B:B,'Base stats'!U:U)="No",
MAX(MROUND(_xlfn.XLOOKUP(B124,'Base stats'!B:B,'Base stats'!BT:BT) * _xlfn.XLOOKUP(B124,'Base stats'!B:B,'Base stats'!BP:BP)^0.9 / 21 * _xlfn.XLOOKUP(B124,'Base stats'!B:B,'Base stats'!BX:BX),0.1),0.05),
MAX(MROUND(((MIN(10,_xlfn.XLOOKUP(B124,'Base stats'!B:B,'Base stats'!U:U)))^0.4*_xlfn.XLOOKUP(B124,'Base stats'!B:B,'Base stats'!BH:BH)^0.73)^0.6 * _xlfn.XLOOKUP(B124,'Base stats'!B:B,'Base stats'!BX:BX),0.1),0.05)
))</f>
        <v>No</v>
      </c>
      <c r="H124" s="11" t="str">
        <f>IF(G124="No","No",
MROUND(_xlfn.XLOOKUP(B124,'Base stats'!B:B,'Base stats'!BH:BH) * 0.01 * 2 + 0.05, 0.05)
)</f>
        <v>No</v>
      </c>
      <c r="I124" s="11" t="str">
        <f>IF(G124="No","No",IF(_xlfn.XLOOKUP(B124,'Base stats'!B:B,'Base stats'!U:U)="No","No",
MROUND(_xlfn.XLOOKUP(B124,'Base stats'!B:B,'Base stats'!BT:BT)/10000+0.01,0.01)
))</f>
        <v>No</v>
      </c>
      <c r="J124" s="4" t="str">
        <f>IF(G124="No","No",
MROUND(_xlfn.XLOOKUP(B124,'Base stats'!B:B,'Base stats'!BE:BE)^0.25
/((_xlfn.XLOOKUP(B124,'Base stats'!B:B,'Base stats'!BL:BL))*10)*_xlfn.XLOOKUP(_xlfn.XLOOKUP(B124,'Base stats'!B:B,'Base stats'!E:E),Groups!A:A,Groups!Q:Q)*150 + 0.5 + _xlfn.XLOOKUP(B124,'Base stats'!B:B,'Base stats'!BW:BW),
0.05))</f>
        <v>No</v>
      </c>
      <c r="K124" s="3" t="str">
        <f>IF(Animals!X124="No","No",
IF(_xlfn.XLOOKUP(_xlfn.XLOOKUP(B124,'Base stats'!B:B,'Base stats'!E:E),Groups!A:A,Groups!BD:BD)=1,
MAX(MROUND(_xlfn.XLOOKUP(B124,'Base stats'!B:B,'Base stats'!BU:BU) * _xlfn.XLOOKUP(B124,'Base stats'!B:B,'Base stats'!BQ:BQ)^0.9 / 21 *_xlfn.XLOOKUP(B124,'Base stats'!B:B,'Base stats'!BX:BX),0.1),0.05),
MAX(MROUND(((MIN(10,_xlfn.XLOOKUP(B124,'Base stats'!B:B,'Base stats'!W:W)))^0.4*_xlfn.XLOOKUP(B124,'Base stats'!B:B,'Base stats'!BI:BI)^0.73)^0.6 *_xlfn.XLOOKUP(B124,'Base stats'!B:B,'Base stats'!BX:BX),0.1),0.05)
))</f>
        <v>No</v>
      </c>
      <c r="L124" s="11" t="str">
        <f>IF(K124="No","No",
MROUND(_xlfn.XLOOKUP(B124,'Base stats'!B:B,'Base stats'!BI:BI) * 0.01 *2 + 0.05, 0.05)
)</f>
        <v>No</v>
      </c>
      <c r="M124" s="5" t="str">
        <f>IF(K124="No","No",IF(_xlfn.XLOOKUP(_xlfn.XLOOKUP(B124,'Base stats'!B:B,'Base stats'!E:E),Groups!A:A,Groups!BD:BD)=1,"No",
MROUND(_xlfn.XLOOKUP(B124,'Base stats'!B:B,'Base stats'!BU:BU)/10000+0.01,0.01)
))</f>
        <v>No</v>
      </c>
      <c r="N124" s="4" t="str">
        <f>IF(K124="No","No",
MROUND(
  _xlfn.XLOOKUP(B124,'Base stats'!B:B,'Base stats'!BC:BC)^0.25
  / (_xlfn.XLOOKUP(B124,'Base stats'!B:B,'Base stats'!BM:BM) * 10)
  * _xlfn.XLOOKUP(
      _xlfn.XLOOKUP(B124,'Base stats'!B:B,'Base stats'!E:E),
      Groups!A:A,
      Groups!V:V
    ) * 150
  + MIN(12, _xlfn.XLOOKUP(B124,'Base stats'!B:B,'Base stats'!W:W))^(1/IF(_xlfn.XLOOKUP(_xlfn.XLOOKUP(B124,'Base stats'!B:B,'Base stats'!E:E),Groups!A:A,Groups!U:U)=1,100,10)) + 0.5 + _xlfn.XLOOKUP(B124,'Base stats'!B:B,'Base stats'!BW:BW),
0.05))</f>
        <v>No</v>
      </c>
      <c r="O124" s="3">
        <f>IF(Animals!AD124="No","No",
MAX(MROUND((MIN(10,_xlfn.XLOOKUP(B124,'Base stats'!B:B,'Base stats'!V:V)*IF(_xlfn.XLOOKUP(_xlfn.XLOOKUP(B124,'Base stats'!B:B,'Base stats'!E:E),Groups!A:A,Groups!O:O)=0,1,0.33))^0.4*_xlfn.XLOOKUP(B124,'Base stats'!B:B,'Base stats'!BJ:BJ)^0.73)^0.6 *_xlfn.XLOOKUP(B124,'Base stats'!B:B,'Base stats'!BX:BX),0.1),0.05)
)</f>
        <v>3</v>
      </c>
      <c r="P124" s="11">
        <f>IF(O124="No","No",
MROUND(_xlfn.XLOOKUP(B124,'Base stats'!B:B,'Base stats'!BJ:BJ) * 0.01 * 2 + 0.05, 0.05)
)</f>
        <v>0.4</v>
      </c>
      <c r="Q124" s="5">
        <f>IF(O124="No","No",
MROUND(_xlfn.XLOOKUP(B124,'Base stats'!B:B,'Base stats'!BV:BV)/10000+0.01,0.01)
)</f>
        <v>0.12</v>
      </c>
      <c r="R124" s="4">
        <f>IF(O124="No","No",
MROUND(_xlfn.XLOOKUP(B124,'Base stats'!B:B,'Base stats'!BB:BB)^0.25
/((_xlfn.XLOOKUP(B124,'Base stats'!B:B,'Base stats'!BN:BN))*10)*_xlfn.XLOOKUP(_xlfn.XLOOKUP(B124,'Base stats'!B:B,'Base stats'!E:E),Groups!A:A,Groups!Z:Z)*150 + 0.5 + _xlfn.XLOOKUP(B124,'Base stats'!B:B,'Base stats'!BW:BW),
0.05))</f>
        <v>2.1</v>
      </c>
      <c r="S124" s="3">
        <f>IF(Animals!AI124="No","No",
IF(_xlfn.XLOOKUP(B124,'Base stats'!B:B,'Base stats'!U:U)="No",
MAX(MROUND(_xlfn.XLOOKUP(B124,'Base stats'!B:B,'Base stats'!BT:BT) * _xlfn.XLOOKUP(B124,'Base stats'!B:B,'Base stats'!BP:BP)^0.9 / 21 * _xlfn.XLOOKUP(B124,'Base stats'!B:B,'Base stats'!BX:BX),0.1),0.05),
MAX(MROUND(((MIN(12,_xlfn.XLOOKUP(B124,'Base stats'!B:B,'Base stats'!U:U)))^0.4*_xlfn.XLOOKUP(B124,'Base stats'!B:B,'Base stats'!BH:BH)^0.73)^0.6 * _xlfn.XLOOKUP(B124,'Base stats'!B:B,'Base stats'!BX:BX),0.1),0.05)
))</f>
        <v>1.5</v>
      </c>
      <c r="T124" s="11">
        <f>IF(S124="No","No",
MROUND(_xlfn.XLOOKUP(B124,'Base stats'!B:B,'Base stats'!BH:BH) * 0.01 * 2 + 0.05, 0.05)
)</f>
        <v>0.15000000000000002</v>
      </c>
      <c r="U124" s="5">
        <f>IF(S124="No","No",IF(_xlfn.XLOOKUP(B124,'Base stats'!B:B,'Base stats'!U:U)="No","No",
MROUND(_xlfn.XLOOKUP(B124,'Base stats'!B:B,'Base stats'!BT:BT)/10000+0.01,0.01)
))</f>
        <v>0.03</v>
      </c>
      <c r="V124" s="4">
        <f>IF(S124="No","No",
MROUND(_xlfn.XLOOKUP(B124,'Base stats'!B:B,'Base stats'!BF:BF)^0.25
/((_xlfn.XLOOKUP(B124,'Base stats'!B:B,'Base stats'!BO:BO))*10)*_xlfn.XLOOKUP(_xlfn.XLOOKUP(B124,'Base stats'!B:B,'Base stats'!E:E),Groups!A:A,Groups!AE:AE)*150 + 0.5 + _xlfn.XLOOKUP(B124,'Base stats'!B:B,'Base stats'!BW:BW),
0.05))</f>
        <v>1.05</v>
      </c>
      <c r="W124" s="8">
        <f>MROUND(_xlfn.XLOOKUP(_xlfn.XLOOKUP(B124,'Base stats'!B:B,'Base stats'!E:E),Groups!A:A,Groups!BG:BG)*_xlfn.XLOOKUP(B124,'Base stats'!B:B,'Base stats'!C:C)^-0.165,0.05)</f>
        <v>0.5</v>
      </c>
      <c r="X124" s="1">
        <f>MROUND(_xlfn.XLOOKUP(_xlfn.XLOOKUP(B124,'Base stats'!B:B,'Base stats'!E:E),Groups!A:A,Groups!BH:BH)*_xlfn.XLOOKUP(B124,'Base stats'!B:B,'Base stats'!C:C)^0.165,0.05)</f>
        <v>0.2</v>
      </c>
      <c r="Y124" s="8">
        <f>MROUND(_xlfn.XLOOKUP(_xlfn.XLOOKUP(B124,'Base stats'!B:B,'Base stats'!E:E),Groups!A:A,Groups!BI:BI)*_xlfn.XLOOKUP(B124,'Base stats'!B:B,'Base stats'!C:C)^0.165,0.05)</f>
        <v>0.05</v>
      </c>
      <c r="Z124" s="18">
        <f>MROUND(_xlfn.XLOOKUP(B124,'Base stats'!B:B,'Base stats'!AQ:AQ)*_xlfn.XLOOKUP(_xlfn.XLOOKUP(B124,'Base stats'!B:B,'Base stats'!E:E),Groups!A:A,Groups!H:H)/1000,IF((_xlfn.XLOOKUP(B124,'Base stats'!B:B,'Base stats'!AQ:AQ)*_xlfn.XLOOKUP(_xlfn.XLOOKUP(B124,'Base stats'!B:B,'Base stats'!E:E),Groups!A:A,Groups!H:H)/1000)&gt;1,0.05,0.01))</f>
        <v>0.02</v>
      </c>
      <c r="AA124" s="18">
        <f>MROUND((1/2)*(_xlfn.XLOOKUP(_xlfn.XLOOKUP(B124,'Base stats'!B:B,'Base stats'!E:E),Groups!A:A,Groups!H:H)*_xlfn.XLOOKUP(_xlfn.XLOOKUP(B124,'Base stats'!B:B,'Base stats'!E:E),Groups!A:A,Groups!I:I))*_xlfn.XLOOKUP(B124,'Base stats'!B:B,'Base stats'!AQ:AQ)*0.01,0.05)</f>
        <v>0.1</v>
      </c>
      <c r="AB124" s="18">
        <f>MROUND(250*(Animals!AO124+Animals!AP124),25)</f>
        <v>100</v>
      </c>
      <c r="AC124" s="18" t="str">
        <f>_xlfn.XLOOKUP(_xlfn.XLOOKUP(B124,'Base stats'!B:B,'Base stats'!E:E),Groups!A:A,Groups!BJ:BJ)</f>
        <v>QuadrupedLow</v>
      </c>
    </row>
    <row r="125" spans="1:29" ht="16.5" thickTop="1" thickBot="1" x14ac:dyDescent="0.3">
      <c r="A125" s="16" t="str">
        <f>Animals!A125</f>
        <v>Camel</v>
      </c>
      <c r="B125" s="6" t="str">
        <f>Animals!B125</f>
        <v>Camelus bactrianus</v>
      </c>
      <c r="C125" s="1" t="str">
        <f>Animals!C125</f>
        <v>&lt;li&gt;AEXP_Camel&lt;/li&gt;</v>
      </c>
      <c r="D125" s="47">
        <f>MIN(MIN(6,_xlfn.XLOOKUP(A125,Animals!A:A,Animals!AO:AO))*20,MAX(MROUND(_xlfn.XLOOKUP(B125,'Base stats'!B:B,'Base stats'!BS:BS) * (_xlfn.XLOOKUP(B125,'Base stats'!B:B,'Base stats'!AO:AO)*5%)^0.9 / 21,0.1),0.05))</f>
        <v>15.600000000000001</v>
      </c>
      <c r="E125" s="11">
        <f>MROUND(_xlfn.XLOOKUP(B125,'Base stats'!B:B,'Base stats'!BG:BG) * 0.01 * 2 + 0.01, 0.05)</f>
        <v>14.950000000000001</v>
      </c>
      <c r="F125" s="7">
        <f>MROUND(_xlfn.XLOOKUP(B125,'Base stats'!B:B,'Base stats'!BD:BD)^0.25 / (_xlfn.XLOOKUP(B125,'Base stats'!B:B,'Base stats'!BK:BK) * 10) * 150 + 0.5 + _xlfn.XLOOKUP(B125,'Base stats'!B:B,'Base stats'!BW:BW), 0.05)</f>
        <v>1.9500000000000002</v>
      </c>
      <c r="G125" s="3">
        <f>IF(Animals!S125="No","No",
IF(_xlfn.XLOOKUP(B125,'Base stats'!B:B,'Base stats'!U:U)="No",
MAX(MROUND(_xlfn.XLOOKUP(B125,'Base stats'!B:B,'Base stats'!BT:BT) * _xlfn.XLOOKUP(B125,'Base stats'!B:B,'Base stats'!BP:BP)^0.9 / 21 * _xlfn.XLOOKUP(B125,'Base stats'!B:B,'Base stats'!BX:BX),0.1),0.05),
MAX(MROUND(((MIN(10,_xlfn.XLOOKUP(B125,'Base stats'!B:B,'Base stats'!U:U)))^0.4*_xlfn.XLOOKUP(B125,'Base stats'!B:B,'Base stats'!BH:BH)^0.73)^0.6 * _xlfn.XLOOKUP(B125,'Base stats'!B:B,'Base stats'!BX:BX),0.1),0.05)
))</f>
        <v>25</v>
      </c>
      <c r="H125" s="11">
        <f>IF(G125="No","No",
MROUND(_xlfn.XLOOKUP(B125,'Base stats'!B:B,'Base stats'!BH:BH) * 0.01 * 2 + 0.05, 0.05)
)</f>
        <v>16.95</v>
      </c>
      <c r="I125" s="11" t="str">
        <f>IF(G125="No","No",IF(_xlfn.XLOOKUP(B125,'Base stats'!B:B,'Base stats'!U:U)="No","No",
MROUND(_xlfn.XLOOKUP(B125,'Base stats'!B:B,'Base stats'!BT:BT)/10000+0.01,0.01)
))</f>
        <v>No</v>
      </c>
      <c r="J125" s="4">
        <f>IF(G125="No","No",
MROUND(_xlfn.XLOOKUP(B125,'Base stats'!B:B,'Base stats'!BE:BE)^0.25
/((_xlfn.XLOOKUP(B125,'Base stats'!B:B,'Base stats'!BL:BL))*10)*_xlfn.XLOOKUP(_xlfn.XLOOKUP(B125,'Base stats'!B:B,'Base stats'!E:E),Groups!A:A,Groups!Q:Q)*150 + 0.5 + _xlfn.XLOOKUP(B125,'Base stats'!B:B,'Base stats'!BW:BW),
0.05))</f>
        <v>2.7</v>
      </c>
      <c r="K125" s="3" t="str">
        <f>IF(Animals!X125="No","No",
IF(_xlfn.XLOOKUP(_xlfn.XLOOKUP(B125,'Base stats'!B:B,'Base stats'!E:E),Groups!A:A,Groups!BD:BD)=1,
MAX(MROUND(_xlfn.XLOOKUP(B125,'Base stats'!B:B,'Base stats'!BU:BU) * _xlfn.XLOOKUP(B125,'Base stats'!B:B,'Base stats'!BQ:BQ)^0.9 / 21 *_xlfn.XLOOKUP(B125,'Base stats'!B:B,'Base stats'!BX:BX),0.1),0.05),
MAX(MROUND(((MIN(10,_xlfn.XLOOKUP(B125,'Base stats'!B:B,'Base stats'!W:W)))^0.4*_xlfn.XLOOKUP(B125,'Base stats'!B:B,'Base stats'!BI:BI)^0.73)^0.6 *_xlfn.XLOOKUP(B125,'Base stats'!B:B,'Base stats'!BX:BX),0.1),0.05)
))</f>
        <v>No</v>
      </c>
      <c r="L125" s="11" t="str">
        <f>IF(K125="No","No",
MROUND(_xlfn.XLOOKUP(B125,'Base stats'!B:B,'Base stats'!BI:BI) * 0.01 *2 + 0.05, 0.05)
)</f>
        <v>No</v>
      </c>
      <c r="M125" s="5" t="str">
        <f>IF(K125="No","No",IF(_xlfn.XLOOKUP(_xlfn.XLOOKUP(B125,'Base stats'!B:B,'Base stats'!E:E),Groups!A:A,Groups!BD:BD)=1,"No",
MROUND(_xlfn.XLOOKUP(B125,'Base stats'!B:B,'Base stats'!BU:BU)/10000+0.01,0.01)
))</f>
        <v>No</v>
      </c>
      <c r="N125" s="4" t="str">
        <f>IF(K125="No","No",
MROUND(
  _xlfn.XLOOKUP(B125,'Base stats'!B:B,'Base stats'!BC:BC)^0.25
  / (_xlfn.XLOOKUP(B125,'Base stats'!B:B,'Base stats'!BM:BM) * 10)
  * _xlfn.XLOOKUP(
      _xlfn.XLOOKUP(B125,'Base stats'!B:B,'Base stats'!E:E),
      Groups!A:A,
      Groups!V:V
    ) * 150
  + MIN(12, _xlfn.XLOOKUP(B125,'Base stats'!B:B,'Base stats'!W:W))^(1/IF(_xlfn.XLOOKUP(_xlfn.XLOOKUP(B125,'Base stats'!B:B,'Base stats'!E:E),Groups!A:A,Groups!U:U)=1,100,10)) + 0.5 + _xlfn.XLOOKUP(B125,'Base stats'!B:B,'Base stats'!BW:BW),
0.05))</f>
        <v>No</v>
      </c>
      <c r="O125" s="3">
        <f>IF(Animals!AD125="No","No",
MAX(MROUND((MIN(10,_xlfn.XLOOKUP(B125,'Base stats'!B:B,'Base stats'!V:V)*IF(_xlfn.XLOOKUP(_xlfn.XLOOKUP(B125,'Base stats'!B:B,'Base stats'!E:E),Groups!A:A,Groups!O:O)=0,1,0.33))^0.4*_xlfn.XLOOKUP(B125,'Base stats'!B:B,'Base stats'!BJ:BJ)^0.73)^0.6 *_xlfn.XLOOKUP(B125,'Base stats'!B:B,'Base stats'!BX:BX),0.1),0.05)
)</f>
        <v>21.8</v>
      </c>
      <c r="P125" s="11">
        <f>IF(O125="No","No",
MROUND(_xlfn.XLOOKUP(B125,'Base stats'!B:B,'Base stats'!BJ:BJ) * 0.01 * 2 + 0.05, 0.05)
)</f>
        <v>10</v>
      </c>
      <c r="Q125" s="5">
        <f>IF(O125="No","No",
MROUND(_xlfn.XLOOKUP(B125,'Base stats'!B:B,'Base stats'!BV:BV)/10000+0.01,0.01)
)</f>
        <v>0.11</v>
      </c>
      <c r="R125" s="4">
        <f>IF(O125="No","No",
MROUND(_xlfn.XLOOKUP(B125,'Base stats'!B:B,'Base stats'!BB:BB)^0.25
/((_xlfn.XLOOKUP(B125,'Base stats'!B:B,'Base stats'!BN:BN))*10)*_xlfn.XLOOKUP(_xlfn.XLOOKUP(B125,'Base stats'!B:B,'Base stats'!E:E),Groups!A:A,Groups!Z:Z)*150 + 0.5 + _xlfn.XLOOKUP(B125,'Base stats'!B:B,'Base stats'!BW:BW),
0.05))</f>
        <v>3.0500000000000003</v>
      </c>
      <c r="S125" s="3" t="str">
        <f>IF(Animals!AI125="No","No",
IF(_xlfn.XLOOKUP(B125,'Base stats'!B:B,'Base stats'!U:U)="No",
MAX(MROUND(_xlfn.XLOOKUP(B125,'Base stats'!B:B,'Base stats'!BT:BT) * _xlfn.XLOOKUP(B125,'Base stats'!B:B,'Base stats'!BP:BP)^0.9 / 21 * _xlfn.XLOOKUP(B125,'Base stats'!B:B,'Base stats'!BX:BX),0.1),0.05),
MAX(MROUND(((MIN(12,_xlfn.XLOOKUP(B125,'Base stats'!B:B,'Base stats'!U:U)))^0.4*_xlfn.XLOOKUP(B125,'Base stats'!B:B,'Base stats'!BH:BH)^0.73)^0.6 * _xlfn.XLOOKUP(B125,'Base stats'!B:B,'Base stats'!BX:BX),0.1),0.05)
))</f>
        <v>No</v>
      </c>
      <c r="T125" s="11" t="str">
        <f>IF(S125="No","No",
MROUND(_xlfn.XLOOKUP(B125,'Base stats'!B:B,'Base stats'!BH:BH) * 0.01 * 2 + 0.05, 0.05)
)</f>
        <v>No</v>
      </c>
      <c r="U125" s="5" t="str">
        <f>IF(S125="No","No",IF(_xlfn.XLOOKUP(B125,'Base stats'!B:B,'Base stats'!U:U)="No","No",
MROUND(_xlfn.XLOOKUP(B125,'Base stats'!B:B,'Base stats'!BT:BT)/10000+0.01,0.01)
))</f>
        <v>No</v>
      </c>
      <c r="V125" s="4" t="str">
        <f>IF(S125="No","No",
MROUND(_xlfn.XLOOKUP(B125,'Base stats'!B:B,'Base stats'!BF:BF)^0.25
/((_xlfn.XLOOKUP(B125,'Base stats'!B:B,'Base stats'!BO:BO))*10)*_xlfn.XLOOKUP(_xlfn.XLOOKUP(B125,'Base stats'!B:B,'Base stats'!E:E),Groups!A:A,Groups!AE:AE)*150 + 0.5 + _xlfn.XLOOKUP(B125,'Base stats'!B:B,'Base stats'!BW:BW),
0.05))</f>
        <v>No</v>
      </c>
      <c r="W125" s="8">
        <f>MROUND(_xlfn.XLOOKUP(_xlfn.XLOOKUP(B125,'Base stats'!B:B,'Base stats'!E:E),Groups!A:A,Groups!BG:BG)*_xlfn.XLOOKUP(B125,'Base stats'!B:B,'Base stats'!C:C)^-0.165,0.05)</f>
        <v>0.15000000000000002</v>
      </c>
      <c r="X125" s="1">
        <f>MROUND(_xlfn.XLOOKUP(_xlfn.XLOOKUP(B125,'Base stats'!B:B,'Base stats'!E:E),Groups!A:A,Groups!BH:BH)*_xlfn.XLOOKUP(B125,'Base stats'!B:B,'Base stats'!C:C)^0.165,0.05)</f>
        <v>0</v>
      </c>
      <c r="Y125" s="8">
        <f>MROUND(_xlfn.XLOOKUP(_xlfn.XLOOKUP(B125,'Base stats'!B:B,'Base stats'!E:E),Groups!A:A,Groups!BI:BI)*_xlfn.XLOOKUP(B125,'Base stats'!B:B,'Base stats'!C:C)^0.165,0.05)</f>
        <v>0</v>
      </c>
      <c r="Z125" s="18">
        <f>MROUND(_xlfn.XLOOKUP(B125,'Base stats'!B:B,'Base stats'!AQ:AQ)*_xlfn.XLOOKUP(_xlfn.XLOOKUP(B125,'Base stats'!B:B,'Base stats'!E:E),Groups!A:A,Groups!H:H)/1000,IF((_xlfn.XLOOKUP(B125,'Base stats'!B:B,'Base stats'!AQ:AQ)*_xlfn.XLOOKUP(_xlfn.XLOOKUP(B125,'Base stats'!B:B,'Base stats'!E:E),Groups!A:A,Groups!H:H)/1000)&gt;1,0.05,0.01))</f>
        <v>0.12</v>
      </c>
      <c r="AA125" s="18">
        <f>MROUND((1/2)*(_xlfn.XLOOKUP(_xlfn.XLOOKUP(B125,'Base stats'!B:B,'Base stats'!E:E),Groups!A:A,Groups!H:H)*_xlfn.XLOOKUP(_xlfn.XLOOKUP(B125,'Base stats'!B:B,'Base stats'!E:E),Groups!A:A,Groups!I:I))*_xlfn.XLOOKUP(B125,'Base stats'!B:B,'Base stats'!AQ:AQ)*0.01,0.05)</f>
        <v>0.5</v>
      </c>
      <c r="AB125" s="18">
        <f>MROUND(250*(Animals!AO125+Animals!AP125),25)</f>
        <v>1500</v>
      </c>
      <c r="AC125" s="18" t="str">
        <f>_xlfn.XLOOKUP(_xlfn.XLOOKUP(B125,'Base stats'!B:B,'Base stats'!E:E),Groups!A:A,Groups!BJ:BJ)</f>
        <v>Quadruped</v>
      </c>
    </row>
    <row r="126" spans="1:29" ht="16.5" thickTop="1" thickBot="1" x14ac:dyDescent="0.3">
      <c r="A126" s="16" t="str">
        <f>Animals!A126</f>
        <v>Rattlesnake</v>
      </c>
      <c r="B126" s="6" t="str">
        <f>Animals!B126</f>
        <v>Crotalus adamanteus</v>
      </c>
      <c r="C126" s="1" t="str">
        <f>Animals!C126</f>
        <v>&lt;li&gt;AEXP_Rattlesnake&lt;/li&gt;</v>
      </c>
      <c r="D126" s="47">
        <f>MIN(MIN(6,_xlfn.XLOOKUP(A126,Animals!A:A,Animals!AO:AO))*20,MAX(MROUND(_xlfn.XLOOKUP(B126,'Base stats'!B:B,'Base stats'!BS:BS) * (_xlfn.XLOOKUP(B126,'Base stats'!B:B,'Base stats'!AO:AO)*5%)^0.9 / 21,0.1),0.05))</f>
        <v>0.30000000000000004</v>
      </c>
      <c r="E126" s="11">
        <f>MROUND(_xlfn.XLOOKUP(B126,'Base stats'!B:B,'Base stats'!BG:BG) * 0.01 * 2 + 0.01, 0.05)</f>
        <v>0.2</v>
      </c>
      <c r="F126" s="7">
        <f>MROUND(_xlfn.XLOOKUP(B126,'Base stats'!B:B,'Base stats'!BD:BD)^0.25 / (_xlfn.XLOOKUP(B126,'Base stats'!B:B,'Base stats'!BK:BK) * 10) * 150 + 0.5 + _xlfn.XLOOKUP(B126,'Base stats'!B:B,'Base stats'!BW:BW), 0.05)</f>
        <v>1.4500000000000002</v>
      </c>
      <c r="G126" s="3" t="str">
        <f>IF(Animals!S126="No","No",
IF(_xlfn.XLOOKUP(B126,'Base stats'!B:B,'Base stats'!U:U)="No",
MAX(MROUND(_xlfn.XLOOKUP(B126,'Base stats'!B:B,'Base stats'!BT:BT) * _xlfn.XLOOKUP(B126,'Base stats'!B:B,'Base stats'!BP:BP)^0.9 / 21 * _xlfn.XLOOKUP(B126,'Base stats'!B:B,'Base stats'!BX:BX),0.1),0.05),
MAX(MROUND(((MIN(10,_xlfn.XLOOKUP(B126,'Base stats'!B:B,'Base stats'!U:U)))^0.4*_xlfn.XLOOKUP(B126,'Base stats'!B:B,'Base stats'!BH:BH)^0.73)^0.6 * _xlfn.XLOOKUP(B126,'Base stats'!B:B,'Base stats'!BX:BX),0.1),0.05)
))</f>
        <v>No</v>
      </c>
      <c r="H126" s="11" t="str">
        <f>IF(G126="No","No",
MROUND(_xlfn.XLOOKUP(B126,'Base stats'!B:B,'Base stats'!BH:BH) * 0.01 * 2 + 0.05, 0.05)
)</f>
        <v>No</v>
      </c>
      <c r="I126" s="11" t="str">
        <f>IF(G126="No","No",IF(_xlfn.XLOOKUP(B126,'Base stats'!B:B,'Base stats'!U:U)="No","No",
MROUND(_xlfn.XLOOKUP(B126,'Base stats'!B:B,'Base stats'!BT:BT)/10000+0.01,0.01)
))</f>
        <v>No</v>
      </c>
      <c r="J126" s="4" t="str">
        <f>IF(G126="No","No",
MROUND(_xlfn.XLOOKUP(B126,'Base stats'!B:B,'Base stats'!BE:BE)^0.25
/((_xlfn.XLOOKUP(B126,'Base stats'!B:B,'Base stats'!BL:BL))*10)*_xlfn.XLOOKUP(_xlfn.XLOOKUP(B126,'Base stats'!B:B,'Base stats'!E:E),Groups!A:A,Groups!Q:Q)*150 + 0.5 + _xlfn.XLOOKUP(B126,'Base stats'!B:B,'Base stats'!BW:BW),
0.05))</f>
        <v>No</v>
      </c>
      <c r="K126" s="3" t="str">
        <f>IF(Animals!X126="No","No",
IF(_xlfn.XLOOKUP(_xlfn.XLOOKUP(B126,'Base stats'!B:B,'Base stats'!E:E),Groups!A:A,Groups!BD:BD)=1,
MAX(MROUND(_xlfn.XLOOKUP(B126,'Base stats'!B:B,'Base stats'!BU:BU) * _xlfn.XLOOKUP(B126,'Base stats'!B:B,'Base stats'!BQ:BQ)^0.9 / 21 *_xlfn.XLOOKUP(B126,'Base stats'!B:B,'Base stats'!BX:BX),0.1),0.05),
MAX(MROUND(((MIN(10,_xlfn.XLOOKUP(B126,'Base stats'!B:B,'Base stats'!W:W)))^0.4*_xlfn.XLOOKUP(B126,'Base stats'!B:B,'Base stats'!BI:BI)^0.73)^0.6 *_xlfn.XLOOKUP(B126,'Base stats'!B:B,'Base stats'!BX:BX),0.1),0.05)
))</f>
        <v>No</v>
      </c>
      <c r="L126" s="11" t="str">
        <f>IF(K126="No","No",
MROUND(_xlfn.XLOOKUP(B126,'Base stats'!B:B,'Base stats'!BI:BI) * 0.01 *2 + 0.05, 0.05)
)</f>
        <v>No</v>
      </c>
      <c r="M126" s="5" t="str">
        <f>IF(K126="No","No",IF(_xlfn.XLOOKUP(_xlfn.XLOOKUP(B126,'Base stats'!B:B,'Base stats'!E:E),Groups!A:A,Groups!BD:BD)=1,"No",
MROUND(_xlfn.XLOOKUP(B126,'Base stats'!B:B,'Base stats'!BU:BU)/10000+0.01,0.01)
))</f>
        <v>No</v>
      </c>
      <c r="N126" s="4" t="str">
        <f>IF(K126="No","No",
MROUND(
  _xlfn.XLOOKUP(B126,'Base stats'!B:B,'Base stats'!BC:BC)^0.25
  / (_xlfn.XLOOKUP(B126,'Base stats'!B:B,'Base stats'!BM:BM) * 10)
  * _xlfn.XLOOKUP(
      _xlfn.XLOOKUP(B126,'Base stats'!B:B,'Base stats'!E:E),
      Groups!A:A,
      Groups!V:V
    ) * 150
  + MIN(12, _xlfn.XLOOKUP(B126,'Base stats'!B:B,'Base stats'!W:W))^(1/IF(_xlfn.XLOOKUP(_xlfn.XLOOKUP(B126,'Base stats'!B:B,'Base stats'!E:E),Groups!A:A,Groups!U:U)=1,100,10)) + 0.5 + _xlfn.XLOOKUP(B126,'Base stats'!B:B,'Base stats'!BW:BW),
0.05))</f>
        <v>No</v>
      </c>
      <c r="O126" s="3">
        <f>IF(Animals!AD126="No","No",
MAX(MROUND((MIN(10,_xlfn.XLOOKUP(B126,'Base stats'!B:B,'Base stats'!V:V)*IF(_xlfn.XLOOKUP(_xlfn.XLOOKUP(B126,'Base stats'!B:B,'Base stats'!E:E),Groups!A:A,Groups!O:O)=0,1,0.33))^0.4*_xlfn.XLOOKUP(B126,'Base stats'!B:B,'Base stats'!BJ:BJ)^0.73)^0.6 *_xlfn.XLOOKUP(B126,'Base stats'!B:B,'Base stats'!BX:BX),0.1),0.05)
)</f>
        <v>3.3000000000000003</v>
      </c>
      <c r="P126" s="11">
        <f>IF(O126="No","No",
MROUND(_xlfn.XLOOKUP(B126,'Base stats'!B:B,'Base stats'!BJ:BJ) * 0.01 * 2 + 0.05, 0.05)
)</f>
        <v>0.25</v>
      </c>
      <c r="Q126" s="5">
        <f>IF(O126="No","No",
MROUND(_xlfn.XLOOKUP(B126,'Base stats'!B:B,'Base stats'!BV:BV)/10000+0.01,0.01)
)</f>
        <v>0.04</v>
      </c>
      <c r="R126" s="4">
        <f>IF(O126="No","No",
MROUND(_xlfn.XLOOKUP(B126,'Base stats'!B:B,'Base stats'!BB:BB)^0.25
/((_xlfn.XLOOKUP(B126,'Base stats'!B:B,'Base stats'!BN:BN))*10)*_xlfn.XLOOKUP(_xlfn.XLOOKUP(B126,'Base stats'!B:B,'Base stats'!E:E),Groups!A:A,Groups!Z:Z)*150 + 0.5 + _xlfn.XLOOKUP(B126,'Base stats'!B:B,'Base stats'!BW:BW),
0.05))</f>
        <v>1.8</v>
      </c>
      <c r="S126" s="3" t="str">
        <f>IF(Animals!AI126="No","No",
IF(_xlfn.XLOOKUP(B126,'Base stats'!B:B,'Base stats'!U:U)="No",
MAX(MROUND(_xlfn.XLOOKUP(B126,'Base stats'!B:B,'Base stats'!BT:BT) * _xlfn.XLOOKUP(B126,'Base stats'!B:B,'Base stats'!BP:BP)^0.9 / 21 * _xlfn.XLOOKUP(B126,'Base stats'!B:B,'Base stats'!BX:BX),0.1),0.05),
MAX(MROUND(((MIN(12,_xlfn.XLOOKUP(B126,'Base stats'!B:B,'Base stats'!U:U)))^0.4*_xlfn.XLOOKUP(B126,'Base stats'!B:B,'Base stats'!BH:BH)^0.73)^0.6 * _xlfn.XLOOKUP(B126,'Base stats'!B:B,'Base stats'!BX:BX),0.1),0.05)
))</f>
        <v>No</v>
      </c>
      <c r="T126" s="11" t="str">
        <f>IF(S126="No","No",
MROUND(_xlfn.XLOOKUP(B126,'Base stats'!B:B,'Base stats'!BH:BH) * 0.01 * 2 + 0.05, 0.05)
)</f>
        <v>No</v>
      </c>
      <c r="U126" s="5" t="str">
        <f>IF(S126="No","No",IF(_xlfn.XLOOKUP(B126,'Base stats'!B:B,'Base stats'!U:U)="No","No",
MROUND(_xlfn.XLOOKUP(B126,'Base stats'!B:B,'Base stats'!BT:BT)/10000+0.01,0.01)
))</f>
        <v>No</v>
      </c>
      <c r="V126" s="4" t="str">
        <f>IF(S126="No","No",
MROUND(_xlfn.XLOOKUP(B126,'Base stats'!B:B,'Base stats'!BF:BF)^0.25
/((_xlfn.XLOOKUP(B126,'Base stats'!B:B,'Base stats'!BO:BO))*10)*_xlfn.XLOOKUP(_xlfn.XLOOKUP(B126,'Base stats'!B:B,'Base stats'!E:E),Groups!A:A,Groups!AE:AE)*150 + 0.5 + _xlfn.XLOOKUP(B126,'Base stats'!B:B,'Base stats'!BW:BW),
0.05))</f>
        <v>No</v>
      </c>
      <c r="W126" s="8">
        <f>MROUND(_xlfn.XLOOKUP(_xlfn.XLOOKUP(B126,'Base stats'!B:B,'Base stats'!E:E),Groups!A:A,Groups!BG:BG)*_xlfn.XLOOKUP(B126,'Base stats'!B:B,'Base stats'!C:C)^-0.165,0.05)</f>
        <v>0.4</v>
      </c>
      <c r="X126" s="1">
        <f>MROUND(_xlfn.XLOOKUP(_xlfn.XLOOKUP(B126,'Base stats'!B:B,'Base stats'!E:E),Groups!A:A,Groups!BH:BH)*_xlfn.XLOOKUP(B126,'Base stats'!B:B,'Base stats'!C:C)^0.165,0.05)</f>
        <v>0.15000000000000002</v>
      </c>
      <c r="Y126" s="8">
        <f>MROUND(_xlfn.XLOOKUP(_xlfn.XLOOKUP(B126,'Base stats'!B:B,'Base stats'!E:E),Groups!A:A,Groups!BI:BI)*_xlfn.XLOOKUP(B126,'Base stats'!B:B,'Base stats'!C:C)^0.165,0.05)</f>
        <v>0</v>
      </c>
      <c r="Z126" s="18">
        <f>MROUND(_xlfn.XLOOKUP(B126,'Base stats'!B:B,'Base stats'!AQ:AQ)*_xlfn.XLOOKUP(_xlfn.XLOOKUP(B126,'Base stats'!B:B,'Base stats'!E:E),Groups!A:A,Groups!H:H)/1000,IF((_xlfn.XLOOKUP(B126,'Base stats'!B:B,'Base stats'!AQ:AQ)*_xlfn.XLOOKUP(_xlfn.XLOOKUP(B126,'Base stats'!B:B,'Base stats'!E:E),Groups!A:A,Groups!H:H)/1000)&gt;1,0.05,0.01))</f>
        <v>0.03</v>
      </c>
      <c r="AA126" s="18">
        <f>MROUND((1/2)*(_xlfn.XLOOKUP(_xlfn.XLOOKUP(B126,'Base stats'!B:B,'Base stats'!E:E),Groups!A:A,Groups!H:H)*_xlfn.XLOOKUP(_xlfn.XLOOKUP(B126,'Base stats'!B:B,'Base stats'!E:E),Groups!A:A,Groups!I:I))*_xlfn.XLOOKUP(B126,'Base stats'!B:B,'Base stats'!AQ:AQ)*0.01,0.05)</f>
        <v>0.05</v>
      </c>
      <c r="AB126" s="18">
        <f>MROUND(250*(Animals!AO126+Animals!AP126),25)</f>
        <v>175</v>
      </c>
      <c r="AC126" s="18" t="str">
        <f>_xlfn.XLOOKUP(_xlfn.XLOOKUP(B126,'Base stats'!B:B,'Base stats'!E:E),Groups!A:A,Groups!BJ:BJ)</f>
        <v>Serpentine</v>
      </c>
    </row>
    <row r="127" spans="1:29" ht="16.5" thickTop="1" thickBot="1" x14ac:dyDescent="0.3">
      <c r="A127" s="16" t="str">
        <f>Animals!A127</f>
        <v>Megascorpion</v>
      </c>
      <c r="B127" s="6" t="str">
        <f>Animals!B127</f>
        <v>Gigascorpio bellator</v>
      </c>
      <c r="C127" s="1" t="str">
        <f>Animals!C127</f>
        <v>&lt;li&gt;AEXP_Megascorpion&lt;/li&gt;</v>
      </c>
      <c r="D127" s="47">
        <f>MIN(MIN(6,_xlfn.XLOOKUP(A127,Animals!A:A,Animals!AO:AO))*20,MAX(MROUND(_xlfn.XLOOKUP(B127,'Base stats'!B:B,'Base stats'!BS:BS) * (_xlfn.XLOOKUP(B127,'Base stats'!B:B,'Base stats'!AO:AO)*5%)^0.9 / 21,0.1),0.05))</f>
        <v>0.2</v>
      </c>
      <c r="E127" s="11">
        <f>MROUND(_xlfn.XLOOKUP(B127,'Base stats'!B:B,'Base stats'!BG:BG) * 0.01 * 2 + 0.01, 0.05)</f>
        <v>0.15000000000000002</v>
      </c>
      <c r="F127" s="7">
        <f>MROUND(_xlfn.XLOOKUP(B127,'Base stats'!B:B,'Base stats'!BD:BD)^0.25 / (_xlfn.XLOOKUP(B127,'Base stats'!B:B,'Base stats'!BK:BK) * 10) * 150 + 0.5 + _xlfn.XLOOKUP(B127,'Base stats'!B:B,'Base stats'!BW:BW), 0.05)</f>
        <v>2.0500000000000003</v>
      </c>
      <c r="G127" s="3" t="str">
        <f>IF(Animals!S127="No","No",
IF(_xlfn.XLOOKUP(B127,'Base stats'!B:B,'Base stats'!U:U)="No",
MAX(MROUND(_xlfn.XLOOKUP(B127,'Base stats'!B:B,'Base stats'!BT:BT) * _xlfn.XLOOKUP(B127,'Base stats'!B:B,'Base stats'!BP:BP)^0.9 / 21 * _xlfn.XLOOKUP(B127,'Base stats'!B:B,'Base stats'!BX:BX),0.1),0.05),
MAX(MROUND(((MIN(10,_xlfn.XLOOKUP(B127,'Base stats'!B:B,'Base stats'!U:U)))^0.4*_xlfn.XLOOKUP(B127,'Base stats'!B:B,'Base stats'!BH:BH)^0.73)^0.6 * _xlfn.XLOOKUP(B127,'Base stats'!B:B,'Base stats'!BX:BX),0.1),0.05)
))</f>
        <v>No</v>
      </c>
      <c r="H127" s="11" t="str">
        <f>IF(G127="No","No",
MROUND(_xlfn.XLOOKUP(B127,'Base stats'!B:B,'Base stats'!BH:BH) * 0.01 * 2 + 0.05, 0.05)
)</f>
        <v>No</v>
      </c>
      <c r="I127" s="11" t="str">
        <f>IF(G127="No","No",IF(_xlfn.XLOOKUP(B127,'Base stats'!B:B,'Base stats'!U:U)="No","No",
MROUND(_xlfn.XLOOKUP(B127,'Base stats'!B:B,'Base stats'!BT:BT)/10000+0.01,0.01)
))</f>
        <v>No</v>
      </c>
      <c r="J127" s="4" t="str">
        <f>IF(G127="No","No",
MROUND(_xlfn.XLOOKUP(B127,'Base stats'!B:B,'Base stats'!BE:BE)^0.25
/((_xlfn.XLOOKUP(B127,'Base stats'!B:B,'Base stats'!BL:BL))*10)*_xlfn.XLOOKUP(_xlfn.XLOOKUP(B127,'Base stats'!B:B,'Base stats'!E:E),Groups!A:A,Groups!Q:Q)*150 + 0.5 + _xlfn.XLOOKUP(B127,'Base stats'!B:B,'Base stats'!BW:BW),
0.05))</f>
        <v>No</v>
      </c>
      <c r="K127" s="3">
        <f>IF(Animals!X127="No","No",
IF(_xlfn.XLOOKUP(_xlfn.XLOOKUP(B127,'Base stats'!B:B,'Base stats'!E:E),Groups!A:A,Groups!BD:BD)=1,
MAX(MROUND(_xlfn.XLOOKUP(B127,'Base stats'!B:B,'Base stats'!BU:BU) * _xlfn.XLOOKUP(B127,'Base stats'!B:B,'Base stats'!BQ:BQ)^0.9 / 21 *_xlfn.XLOOKUP(B127,'Base stats'!B:B,'Base stats'!BX:BX),0.1),0.05),
MAX(MROUND(((MIN(10,_xlfn.XLOOKUP(B127,'Base stats'!B:B,'Base stats'!W:W)))^0.4*_xlfn.XLOOKUP(B127,'Base stats'!B:B,'Base stats'!BI:BI)^0.73)^0.6 *_xlfn.XLOOKUP(B127,'Base stats'!B:B,'Base stats'!BX:BX),0.1),0.05)
))</f>
        <v>8.7000000000000011</v>
      </c>
      <c r="L127" s="11">
        <f>IF(K127="No","No",
MROUND(_xlfn.XLOOKUP(B127,'Base stats'!B:B,'Base stats'!BI:BI) * 0.01 *2 + 0.05, 0.05)
)</f>
        <v>1.55</v>
      </c>
      <c r="M127" s="5">
        <f>IF(K127="No","No",IF(_xlfn.XLOOKUP(_xlfn.XLOOKUP(B127,'Base stats'!B:B,'Base stats'!E:E),Groups!A:A,Groups!BD:BD)=1,"No",
MROUND(_xlfn.XLOOKUP(B127,'Base stats'!B:B,'Base stats'!BU:BU)/10000+0.01,0.01)
))</f>
        <v>1.36</v>
      </c>
      <c r="N127" s="4">
        <f>IF(K127="No","No",
MROUND(
  _xlfn.XLOOKUP(B127,'Base stats'!B:B,'Base stats'!BC:BC)^0.25
  / (_xlfn.XLOOKUP(B127,'Base stats'!B:B,'Base stats'!BM:BM) * 10)
  * _xlfn.XLOOKUP(
      _xlfn.XLOOKUP(B127,'Base stats'!B:B,'Base stats'!E:E),
      Groups!A:A,
      Groups!V:V
    ) * 150
  + MIN(12, _xlfn.XLOOKUP(B127,'Base stats'!B:B,'Base stats'!W:W))^(1/IF(_xlfn.XLOOKUP(_xlfn.XLOOKUP(B127,'Base stats'!B:B,'Base stats'!E:E),Groups!A:A,Groups!U:U)=1,100,10)) + 0.5 + _xlfn.XLOOKUP(B127,'Base stats'!B:B,'Base stats'!BW:BW),
0.05))</f>
        <v>3.45</v>
      </c>
      <c r="O127" s="3">
        <f>IF(Animals!AD127="No","No",
MAX(MROUND((MIN(10,_xlfn.XLOOKUP(B127,'Base stats'!B:B,'Base stats'!V:V)*IF(_xlfn.XLOOKUP(_xlfn.XLOOKUP(B127,'Base stats'!B:B,'Base stats'!E:E),Groups!A:A,Groups!O:O)=0,1,0.33))^0.4*_xlfn.XLOOKUP(B127,'Base stats'!B:B,'Base stats'!BJ:BJ)^0.73)^0.6 *_xlfn.XLOOKUP(B127,'Base stats'!B:B,'Base stats'!BX:BX),0.1),0.05)
)</f>
        <v>6.8000000000000007</v>
      </c>
      <c r="P127" s="11">
        <f>IF(O127="No","No",
MROUND(_xlfn.XLOOKUP(B127,'Base stats'!B:B,'Base stats'!BJ:BJ) * 0.01 * 2 + 0.05, 0.05)
)</f>
        <v>1.6500000000000001</v>
      </c>
      <c r="Q127" s="5">
        <f>IF(O127="No","No",
MROUND(_xlfn.XLOOKUP(B127,'Base stats'!B:B,'Base stats'!BV:BV)/10000+0.01,0.01)
)</f>
        <v>0.22</v>
      </c>
      <c r="R127" s="4">
        <f>IF(O127="No","No",
MROUND(_xlfn.XLOOKUP(B127,'Base stats'!B:B,'Base stats'!BB:BB)^0.25
/((_xlfn.XLOOKUP(B127,'Base stats'!B:B,'Base stats'!BN:BN))*10)*_xlfn.XLOOKUP(_xlfn.XLOOKUP(B127,'Base stats'!B:B,'Base stats'!E:E),Groups!A:A,Groups!Z:Z)*150 + 0.5 + _xlfn.XLOOKUP(B127,'Base stats'!B:B,'Base stats'!BW:BW),
0.05))</f>
        <v>1.6</v>
      </c>
      <c r="S127" s="3">
        <f>IF(Animals!AI127="No","No",
IF(_xlfn.XLOOKUP(B127,'Base stats'!B:B,'Base stats'!U:U)="No",
MAX(MROUND(_xlfn.XLOOKUP(B127,'Base stats'!B:B,'Base stats'!BT:BT) * _xlfn.XLOOKUP(B127,'Base stats'!B:B,'Base stats'!BP:BP)^0.9 / 21 * _xlfn.XLOOKUP(B127,'Base stats'!B:B,'Base stats'!BX:BX),0.1),0.05),
MAX(MROUND(((MIN(12,_xlfn.XLOOKUP(B127,'Base stats'!B:B,'Base stats'!U:U)))^0.4*_xlfn.XLOOKUP(B127,'Base stats'!B:B,'Base stats'!BH:BH)^0.73)^0.6 * _xlfn.XLOOKUP(B127,'Base stats'!B:B,'Base stats'!BX:BX),0.1),0.05)
))</f>
        <v>8</v>
      </c>
      <c r="T127" s="11">
        <f>IF(S127="No","No",
MROUND(_xlfn.XLOOKUP(B127,'Base stats'!B:B,'Base stats'!BH:BH) * 0.01 * 2 + 0.05, 0.05)
)</f>
        <v>1.3</v>
      </c>
      <c r="U127" s="5">
        <f>IF(S127="No","No",IF(_xlfn.XLOOKUP(B127,'Base stats'!B:B,'Base stats'!U:U)="No","No",
MROUND(_xlfn.XLOOKUP(B127,'Base stats'!B:B,'Base stats'!BT:BT)/10000+0.01,0.01)
))</f>
        <v>1.7</v>
      </c>
      <c r="V127" s="4">
        <f>IF(S127="No","No",
MROUND(_xlfn.XLOOKUP(B127,'Base stats'!B:B,'Base stats'!BF:BF)^0.25
/((_xlfn.XLOOKUP(B127,'Base stats'!B:B,'Base stats'!BO:BO))*10)*_xlfn.XLOOKUP(_xlfn.XLOOKUP(B127,'Base stats'!B:B,'Base stats'!E:E),Groups!A:A,Groups!AE:AE)*150 + 0.5 + _xlfn.XLOOKUP(B127,'Base stats'!B:B,'Base stats'!BW:BW),
0.05))</f>
        <v>2.2000000000000002</v>
      </c>
      <c r="W127" s="8">
        <f>MROUND(_xlfn.XLOOKUP(_xlfn.XLOOKUP(B127,'Base stats'!B:B,'Base stats'!E:E),Groups!A:A,Groups!BG:BG)*_xlfn.XLOOKUP(B127,'Base stats'!B:B,'Base stats'!C:C)^-0.165,0.05)</f>
        <v>0.15000000000000002</v>
      </c>
      <c r="X127" s="1">
        <f>MROUND(_xlfn.XLOOKUP(_xlfn.XLOOKUP(B127,'Base stats'!B:B,'Base stats'!E:E),Groups!A:A,Groups!BH:BH)*_xlfn.XLOOKUP(B127,'Base stats'!B:B,'Base stats'!C:C)^0.165,0.05)</f>
        <v>0.15000000000000002</v>
      </c>
      <c r="Y127" s="8">
        <f>MROUND(_xlfn.XLOOKUP(_xlfn.XLOOKUP(B127,'Base stats'!B:B,'Base stats'!E:E),Groups!A:A,Groups!BI:BI)*_xlfn.XLOOKUP(B127,'Base stats'!B:B,'Base stats'!C:C)^0.165,0.05)</f>
        <v>0.05</v>
      </c>
      <c r="Z127" s="18">
        <f>MROUND(_xlfn.XLOOKUP(B127,'Base stats'!B:B,'Base stats'!AQ:AQ)*_xlfn.XLOOKUP(_xlfn.XLOOKUP(B127,'Base stats'!B:B,'Base stats'!E:E),Groups!A:A,Groups!H:H)/1000,IF((_xlfn.XLOOKUP(B127,'Base stats'!B:B,'Base stats'!AQ:AQ)*_xlfn.XLOOKUP(_xlfn.XLOOKUP(B127,'Base stats'!B:B,'Base stats'!E:E),Groups!A:A,Groups!H:H)/1000)&gt;1,0.05,0.01))</f>
        <v>0.51</v>
      </c>
      <c r="AA127" s="18">
        <f>MROUND((1/2)*(_xlfn.XLOOKUP(_xlfn.XLOOKUP(B127,'Base stats'!B:B,'Base stats'!E:E),Groups!A:A,Groups!H:H)*_xlfn.XLOOKUP(_xlfn.XLOOKUP(B127,'Base stats'!B:B,'Base stats'!E:E),Groups!A:A,Groups!I:I))*_xlfn.XLOOKUP(B127,'Base stats'!B:B,'Base stats'!AQ:AQ)*0.01,0.05)</f>
        <v>0.05</v>
      </c>
      <c r="AB127" s="18">
        <f>MROUND(250*(Animals!AO127+Animals!AP127),25)</f>
        <v>200</v>
      </c>
      <c r="AC127" s="18" t="str">
        <f>_xlfn.XLOOKUP(_xlfn.XLOOKUP(B127,'Base stats'!B:B,'Base stats'!E:E),Groups!A:A,Groups!BJ:BJ)</f>
        <v>QuadrupedLow</v>
      </c>
    </row>
    <row r="128" spans="1:29" ht="16.5" thickTop="1" thickBot="1" x14ac:dyDescent="0.3">
      <c r="A128" s="16" t="str">
        <f>Animals!A128</f>
        <v>Red Panda</v>
      </c>
      <c r="B128" s="6" t="str">
        <f>Animals!B128</f>
        <v>Ailurus fulgens</v>
      </c>
      <c r="C128" s="1" t="str">
        <f>Animals!C128</f>
        <v>&lt;li&gt;AEXP_RedPanda&lt;/li&gt;</v>
      </c>
      <c r="D128" s="47">
        <f>MIN(MIN(6,_xlfn.XLOOKUP(A128,Animals!A:A,Animals!AO:AO))*20,MAX(MROUND(_xlfn.XLOOKUP(B128,'Base stats'!B:B,'Base stats'!BS:BS) * (_xlfn.XLOOKUP(B128,'Base stats'!B:B,'Base stats'!AO:AO)*5%)^0.9 / 21,0.1),0.05))</f>
        <v>0.2</v>
      </c>
      <c r="E128" s="11">
        <f>MROUND(_xlfn.XLOOKUP(B128,'Base stats'!B:B,'Base stats'!BG:BG) * 0.01 * 2 + 0.01, 0.05)</f>
        <v>0.15000000000000002</v>
      </c>
      <c r="F128" s="7">
        <f>MROUND(_xlfn.XLOOKUP(B128,'Base stats'!B:B,'Base stats'!BD:BD)^0.25 / (_xlfn.XLOOKUP(B128,'Base stats'!B:B,'Base stats'!BK:BK) * 10) * 150 + 0.5 + _xlfn.XLOOKUP(B128,'Base stats'!B:B,'Base stats'!BW:BW), 0.05)</f>
        <v>1.3</v>
      </c>
      <c r="G128" s="3" t="str">
        <f>IF(Animals!S128="No","No",
IF(_xlfn.XLOOKUP(B128,'Base stats'!B:B,'Base stats'!U:U)="No",
MAX(MROUND(_xlfn.XLOOKUP(B128,'Base stats'!B:B,'Base stats'!BT:BT) * _xlfn.XLOOKUP(B128,'Base stats'!B:B,'Base stats'!BP:BP)^0.9 / 21 * _xlfn.XLOOKUP(B128,'Base stats'!B:B,'Base stats'!BX:BX),0.1),0.05),
MAX(MROUND(((MIN(10,_xlfn.XLOOKUP(B128,'Base stats'!B:B,'Base stats'!U:U)))^0.4*_xlfn.XLOOKUP(B128,'Base stats'!B:B,'Base stats'!BH:BH)^0.73)^0.6 * _xlfn.XLOOKUP(B128,'Base stats'!B:B,'Base stats'!BX:BX),0.1),0.05)
))</f>
        <v>No</v>
      </c>
      <c r="H128" s="11" t="str">
        <f>IF(G128="No","No",
MROUND(_xlfn.XLOOKUP(B128,'Base stats'!B:B,'Base stats'!BH:BH) * 0.01 * 2 + 0.05, 0.05)
)</f>
        <v>No</v>
      </c>
      <c r="I128" s="11" t="str">
        <f>IF(G128="No","No",IF(_xlfn.XLOOKUP(B128,'Base stats'!B:B,'Base stats'!U:U)="No","No",
MROUND(_xlfn.XLOOKUP(B128,'Base stats'!B:B,'Base stats'!BT:BT)/10000+0.01,0.01)
))</f>
        <v>No</v>
      </c>
      <c r="J128" s="4" t="str">
        <f>IF(G128="No","No",
MROUND(_xlfn.XLOOKUP(B128,'Base stats'!B:B,'Base stats'!BE:BE)^0.25
/((_xlfn.XLOOKUP(B128,'Base stats'!B:B,'Base stats'!BL:BL))*10)*_xlfn.XLOOKUP(_xlfn.XLOOKUP(B128,'Base stats'!B:B,'Base stats'!E:E),Groups!A:A,Groups!Q:Q)*150 + 0.5 + _xlfn.XLOOKUP(B128,'Base stats'!B:B,'Base stats'!BW:BW),
0.05))</f>
        <v>No</v>
      </c>
      <c r="K128" s="3" t="str">
        <f>IF(Animals!X128="No","No",
IF(_xlfn.XLOOKUP(_xlfn.XLOOKUP(B128,'Base stats'!B:B,'Base stats'!E:E),Groups!A:A,Groups!BD:BD)=1,
MAX(MROUND(_xlfn.XLOOKUP(B128,'Base stats'!B:B,'Base stats'!BU:BU) * _xlfn.XLOOKUP(B128,'Base stats'!B:B,'Base stats'!BQ:BQ)^0.9 / 21 *_xlfn.XLOOKUP(B128,'Base stats'!B:B,'Base stats'!BX:BX),0.1),0.05),
MAX(MROUND(((MIN(10,_xlfn.XLOOKUP(B128,'Base stats'!B:B,'Base stats'!W:W)))^0.4*_xlfn.XLOOKUP(B128,'Base stats'!B:B,'Base stats'!BI:BI)^0.73)^0.6 *_xlfn.XLOOKUP(B128,'Base stats'!B:B,'Base stats'!BX:BX),0.1),0.05)
))</f>
        <v>No</v>
      </c>
      <c r="L128" s="11" t="str">
        <f>IF(K128="No","No",
MROUND(_xlfn.XLOOKUP(B128,'Base stats'!B:B,'Base stats'!BI:BI) * 0.01 *2 + 0.05, 0.05)
)</f>
        <v>No</v>
      </c>
      <c r="M128" s="5" t="str">
        <f>IF(K128="No","No",IF(_xlfn.XLOOKUP(_xlfn.XLOOKUP(B128,'Base stats'!B:B,'Base stats'!E:E),Groups!A:A,Groups!BD:BD)=1,"No",
MROUND(_xlfn.XLOOKUP(B128,'Base stats'!B:B,'Base stats'!BU:BU)/10000+0.01,0.01)
))</f>
        <v>No</v>
      </c>
      <c r="N128" s="4" t="str">
        <f>IF(K128="No","No",
MROUND(
  _xlfn.XLOOKUP(B128,'Base stats'!B:B,'Base stats'!BC:BC)^0.25
  / (_xlfn.XLOOKUP(B128,'Base stats'!B:B,'Base stats'!BM:BM) * 10)
  * _xlfn.XLOOKUP(
      _xlfn.XLOOKUP(B128,'Base stats'!B:B,'Base stats'!E:E),
      Groups!A:A,
      Groups!V:V
    ) * 150
  + MIN(12, _xlfn.XLOOKUP(B128,'Base stats'!B:B,'Base stats'!W:W))^(1/IF(_xlfn.XLOOKUP(_xlfn.XLOOKUP(B128,'Base stats'!B:B,'Base stats'!E:E),Groups!A:A,Groups!U:U)=1,100,10)) + 0.5 + _xlfn.XLOOKUP(B128,'Base stats'!B:B,'Base stats'!BW:BW),
0.05))</f>
        <v>No</v>
      </c>
      <c r="O128" s="3">
        <f>IF(Animals!AD128="No","No",
MAX(MROUND((MIN(10,_xlfn.XLOOKUP(B128,'Base stats'!B:B,'Base stats'!V:V)*IF(_xlfn.XLOOKUP(_xlfn.XLOOKUP(B128,'Base stats'!B:B,'Base stats'!E:E),Groups!A:A,Groups!O:O)=0,1,0.33))^0.4*_xlfn.XLOOKUP(B128,'Base stats'!B:B,'Base stats'!BJ:BJ)^0.73)^0.6 *_xlfn.XLOOKUP(B128,'Base stats'!B:B,'Base stats'!BX:BX),0.1),0.05)
)</f>
        <v>3.7</v>
      </c>
      <c r="P128" s="11">
        <f>IF(O128="No","No",
MROUND(_xlfn.XLOOKUP(B128,'Base stats'!B:B,'Base stats'!BJ:BJ) * 0.01 * 2 + 0.05, 0.05)
)</f>
        <v>0.4</v>
      </c>
      <c r="Q128" s="5">
        <f>IF(O128="No","No",
MROUND(_xlfn.XLOOKUP(B128,'Base stats'!B:B,'Base stats'!BV:BV)/10000+0.01,0.01)
)</f>
        <v>0.08</v>
      </c>
      <c r="R128" s="4">
        <f>IF(O128="No","No",
MROUND(_xlfn.XLOOKUP(B128,'Base stats'!B:B,'Base stats'!BB:BB)^0.25
/((_xlfn.XLOOKUP(B128,'Base stats'!B:B,'Base stats'!BN:BN))*10)*_xlfn.XLOOKUP(_xlfn.XLOOKUP(B128,'Base stats'!B:B,'Base stats'!E:E),Groups!A:A,Groups!Z:Z)*150 + 0.5 + _xlfn.XLOOKUP(B128,'Base stats'!B:B,'Base stats'!BW:BW),
0.05))</f>
        <v>1.8</v>
      </c>
      <c r="S128" s="3">
        <f>IF(Animals!AI128="No","No",
IF(_xlfn.XLOOKUP(B128,'Base stats'!B:B,'Base stats'!U:U)="No",
MAX(MROUND(_xlfn.XLOOKUP(B128,'Base stats'!B:B,'Base stats'!BT:BT) * _xlfn.XLOOKUP(B128,'Base stats'!B:B,'Base stats'!BP:BP)^0.9 / 21 * _xlfn.XLOOKUP(B128,'Base stats'!B:B,'Base stats'!BX:BX),0.1),0.05),
MAX(MROUND(((MIN(12,_xlfn.XLOOKUP(B128,'Base stats'!B:B,'Base stats'!U:U)))^0.4*_xlfn.XLOOKUP(B128,'Base stats'!B:B,'Base stats'!BH:BH)^0.73)^0.6 * _xlfn.XLOOKUP(B128,'Base stats'!B:B,'Base stats'!BX:BX),0.1),0.05)
))</f>
        <v>2.9000000000000004</v>
      </c>
      <c r="T128" s="11">
        <f>IF(S128="No","No",
MROUND(_xlfn.XLOOKUP(B128,'Base stats'!B:B,'Base stats'!BH:BH) * 0.01 * 2 + 0.05, 0.05)
)</f>
        <v>0.25</v>
      </c>
      <c r="U128" s="5">
        <f>IF(S128="No","No",IF(_xlfn.XLOOKUP(B128,'Base stats'!B:B,'Base stats'!U:U)="No","No",
MROUND(_xlfn.XLOOKUP(B128,'Base stats'!B:B,'Base stats'!BT:BT)/10000+0.01,0.01)
))</f>
        <v>0.05</v>
      </c>
      <c r="V128" s="4">
        <f>IF(S128="No","No",
MROUND(_xlfn.XLOOKUP(B128,'Base stats'!B:B,'Base stats'!BF:BF)^0.25
/((_xlfn.XLOOKUP(B128,'Base stats'!B:B,'Base stats'!BO:BO))*10)*_xlfn.XLOOKUP(_xlfn.XLOOKUP(B128,'Base stats'!B:B,'Base stats'!E:E),Groups!A:A,Groups!AE:AE)*150 + 0.5 + _xlfn.XLOOKUP(B128,'Base stats'!B:B,'Base stats'!BW:BW),
0.05))</f>
        <v>1.1000000000000001</v>
      </c>
      <c r="W128" s="8">
        <f>MROUND(_xlfn.XLOOKUP(_xlfn.XLOOKUP(B128,'Base stats'!B:B,'Base stats'!E:E),Groups!A:A,Groups!BG:BG)*_xlfn.XLOOKUP(B128,'Base stats'!B:B,'Base stats'!C:C)^-0.165,0.05)</f>
        <v>0.85000000000000009</v>
      </c>
      <c r="X128" s="1">
        <f>MROUND(_xlfn.XLOOKUP(_xlfn.XLOOKUP(B128,'Base stats'!B:B,'Base stats'!E:E),Groups!A:A,Groups!BH:BH)*_xlfn.XLOOKUP(B128,'Base stats'!B:B,'Base stats'!C:C)^0.165,0.05)</f>
        <v>0.25</v>
      </c>
      <c r="Y128" s="8">
        <f>MROUND(_xlfn.XLOOKUP(_xlfn.XLOOKUP(B128,'Base stats'!B:B,'Base stats'!E:E),Groups!A:A,Groups!BI:BI)*_xlfn.XLOOKUP(B128,'Base stats'!B:B,'Base stats'!C:C)^0.165,0.05)</f>
        <v>0.05</v>
      </c>
      <c r="Z128" s="18">
        <f>MROUND(_xlfn.XLOOKUP(B128,'Base stats'!B:B,'Base stats'!AQ:AQ)*_xlfn.XLOOKUP(_xlfn.XLOOKUP(B128,'Base stats'!B:B,'Base stats'!E:E),Groups!A:A,Groups!H:H)/1000,IF((_xlfn.XLOOKUP(B128,'Base stats'!B:B,'Base stats'!AQ:AQ)*_xlfn.XLOOKUP(_xlfn.XLOOKUP(B128,'Base stats'!B:B,'Base stats'!E:E),Groups!A:A,Groups!H:H)/1000)&gt;1,0.05,0.01))</f>
        <v>0.03</v>
      </c>
      <c r="AA128" s="18">
        <f>MROUND((1/2)*(_xlfn.XLOOKUP(_xlfn.XLOOKUP(B128,'Base stats'!B:B,'Base stats'!E:E),Groups!A:A,Groups!H:H)*_xlfn.XLOOKUP(_xlfn.XLOOKUP(B128,'Base stats'!B:B,'Base stats'!E:E),Groups!A:A,Groups!I:I))*_xlfn.XLOOKUP(B128,'Base stats'!B:B,'Base stats'!AQ:AQ)*0.01,0.05)</f>
        <v>0.15000000000000002</v>
      </c>
      <c r="AB128" s="18">
        <f>MROUND(250*(Animals!AO128+Animals!AP128),25)</f>
        <v>175</v>
      </c>
      <c r="AC128" s="18" t="str">
        <f>_xlfn.XLOOKUP(_xlfn.XLOOKUP(B128,'Base stats'!B:B,'Base stats'!E:E),Groups!A:A,Groups!BJ:BJ)</f>
        <v>QuadrupedLow</v>
      </c>
    </row>
    <row r="129" spans="1:29" ht="16.5" thickTop="1" thickBot="1" x14ac:dyDescent="0.3">
      <c r="A129" s="16" t="str">
        <f>Animals!A129</f>
        <v>WildGoose</v>
      </c>
      <c r="B129" s="6" t="str">
        <f>Animals!B129</f>
        <v>Branta canadensis</v>
      </c>
      <c r="C129" s="1" t="str">
        <f>Animals!C129</f>
        <v>&lt;li&gt;AEXP_WildGoose&lt;/li&gt;</v>
      </c>
      <c r="D129" s="47">
        <f>MIN(MIN(6,_xlfn.XLOOKUP(A129,Animals!A:A,Animals!AO:AO))*20,MAX(MROUND(_xlfn.XLOOKUP(B129,'Base stats'!B:B,'Base stats'!BS:BS) * (_xlfn.XLOOKUP(B129,'Base stats'!B:B,'Base stats'!AO:AO)*5%)^0.9 / 21,0.1),0.05))</f>
        <v>0.2</v>
      </c>
      <c r="E129" s="11">
        <f>MROUND(_xlfn.XLOOKUP(B129,'Base stats'!B:B,'Base stats'!BG:BG) * 0.01 * 2 + 0.01, 0.05)</f>
        <v>0.1</v>
      </c>
      <c r="F129" s="7">
        <f>MROUND(_xlfn.XLOOKUP(B129,'Base stats'!B:B,'Base stats'!BD:BD)^0.25 / (_xlfn.XLOOKUP(B129,'Base stats'!B:B,'Base stats'!BK:BK) * 10) * 150 + 0.5 + _xlfn.XLOOKUP(B129,'Base stats'!B:B,'Base stats'!BW:BW), 0.05)</f>
        <v>1.35</v>
      </c>
      <c r="G129" s="3" t="str">
        <f>IF(Animals!S129="No","No",
IF(_xlfn.XLOOKUP(B129,'Base stats'!B:B,'Base stats'!U:U)="No",
MAX(MROUND(_xlfn.XLOOKUP(B129,'Base stats'!B:B,'Base stats'!BT:BT) * _xlfn.XLOOKUP(B129,'Base stats'!B:B,'Base stats'!BP:BP)^0.9 / 21 * _xlfn.XLOOKUP(B129,'Base stats'!B:B,'Base stats'!BX:BX),0.1),0.05),
MAX(MROUND(((MIN(10,_xlfn.XLOOKUP(B129,'Base stats'!B:B,'Base stats'!U:U)))^0.4*_xlfn.XLOOKUP(B129,'Base stats'!B:B,'Base stats'!BH:BH)^0.73)^0.6 * _xlfn.XLOOKUP(B129,'Base stats'!B:B,'Base stats'!BX:BX),0.1),0.05)
))</f>
        <v>No</v>
      </c>
      <c r="H129" s="11" t="str">
        <f>IF(G129="No","No",
MROUND(_xlfn.XLOOKUP(B129,'Base stats'!B:B,'Base stats'!BH:BH) * 0.01 * 2 + 0.05, 0.05)
)</f>
        <v>No</v>
      </c>
      <c r="I129" s="11" t="str">
        <f>IF(G129="No","No",IF(_xlfn.XLOOKUP(B129,'Base stats'!B:B,'Base stats'!U:U)="No","No",
MROUND(_xlfn.XLOOKUP(B129,'Base stats'!B:B,'Base stats'!BT:BT)/10000+0.01,0.01)
))</f>
        <v>No</v>
      </c>
      <c r="J129" s="4" t="str">
        <f>IF(G129="No","No",
MROUND(_xlfn.XLOOKUP(B129,'Base stats'!B:B,'Base stats'!BE:BE)^0.25
/((_xlfn.XLOOKUP(B129,'Base stats'!B:B,'Base stats'!BL:BL))*10)*_xlfn.XLOOKUP(_xlfn.XLOOKUP(B129,'Base stats'!B:B,'Base stats'!E:E),Groups!A:A,Groups!Q:Q)*150 + 0.5 + _xlfn.XLOOKUP(B129,'Base stats'!B:B,'Base stats'!BW:BW),
0.05))</f>
        <v>No</v>
      </c>
      <c r="K129" s="3" t="str">
        <f>IF(Animals!X129="No","No",
IF(_xlfn.XLOOKUP(_xlfn.XLOOKUP(B129,'Base stats'!B:B,'Base stats'!E:E),Groups!A:A,Groups!BD:BD)=1,
MAX(MROUND(_xlfn.XLOOKUP(B129,'Base stats'!B:B,'Base stats'!BU:BU) * _xlfn.XLOOKUP(B129,'Base stats'!B:B,'Base stats'!BQ:BQ)^0.9 / 21 *_xlfn.XLOOKUP(B129,'Base stats'!B:B,'Base stats'!BX:BX),0.1),0.05),
MAX(MROUND(((MIN(10,_xlfn.XLOOKUP(B129,'Base stats'!B:B,'Base stats'!W:W)))^0.4*_xlfn.XLOOKUP(B129,'Base stats'!B:B,'Base stats'!BI:BI)^0.73)^0.6 *_xlfn.XLOOKUP(B129,'Base stats'!B:B,'Base stats'!BX:BX),0.1),0.05)
))</f>
        <v>No</v>
      </c>
      <c r="L129" s="11" t="str">
        <f>IF(K129="No","No",
MROUND(_xlfn.XLOOKUP(B129,'Base stats'!B:B,'Base stats'!BI:BI) * 0.01 *2 + 0.05, 0.05)
)</f>
        <v>No</v>
      </c>
      <c r="M129" s="5" t="str">
        <f>IF(K129="No","No",IF(_xlfn.XLOOKUP(_xlfn.XLOOKUP(B129,'Base stats'!B:B,'Base stats'!E:E),Groups!A:A,Groups!BD:BD)=1,"No",
MROUND(_xlfn.XLOOKUP(B129,'Base stats'!B:B,'Base stats'!BU:BU)/10000+0.01,0.01)
))</f>
        <v>No</v>
      </c>
      <c r="N129" s="4" t="str">
        <f>IF(K129="No","No",
MROUND(
  _xlfn.XLOOKUP(B129,'Base stats'!B:B,'Base stats'!BC:BC)^0.25
  / (_xlfn.XLOOKUP(B129,'Base stats'!B:B,'Base stats'!BM:BM) * 10)
  * _xlfn.XLOOKUP(
      _xlfn.XLOOKUP(B129,'Base stats'!B:B,'Base stats'!E:E),
      Groups!A:A,
      Groups!V:V
    ) * 150
  + MIN(12, _xlfn.XLOOKUP(B129,'Base stats'!B:B,'Base stats'!W:W))^(1/IF(_xlfn.XLOOKUP(_xlfn.XLOOKUP(B129,'Base stats'!B:B,'Base stats'!E:E),Groups!A:A,Groups!U:U)=1,100,10)) + 0.5 + _xlfn.XLOOKUP(B129,'Base stats'!B:B,'Base stats'!BW:BW),
0.05))</f>
        <v>No</v>
      </c>
      <c r="O129" s="3">
        <f>IF(Animals!AD129="No","No",
MAX(MROUND((MIN(10,_xlfn.XLOOKUP(B129,'Base stats'!B:B,'Base stats'!V:V)*IF(_xlfn.XLOOKUP(_xlfn.XLOOKUP(B129,'Base stats'!B:B,'Base stats'!E:E),Groups!A:A,Groups!O:O)=0,1,0.33))^0.4*_xlfn.XLOOKUP(B129,'Base stats'!B:B,'Base stats'!BJ:BJ)^0.73)^0.6 *_xlfn.XLOOKUP(B129,'Base stats'!B:B,'Base stats'!BX:BX),0.1),0.05)
)</f>
        <v>1.5</v>
      </c>
      <c r="P129" s="11">
        <f>IF(O129="No","No",
MROUND(_xlfn.XLOOKUP(B129,'Base stats'!B:B,'Base stats'!BJ:BJ) * 0.01 * 2 + 0.05, 0.05)
)</f>
        <v>0.1</v>
      </c>
      <c r="Q129" s="5">
        <f>IF(O129="No","No",
MROUND(_xlfn.XLOOKUP(B129,'Base stats'!B:B,'Base stats'!BV:BV)/10000+0.01,0.01)
)</f>
        <v>0.02</v>
      </c>
      <c r="R129" s="4">
        <f>IF(O129="No","No",
MROUND(_xlfn.XLOOKUP(B129,'Base stats'!B:B,'Base stats'!BB:BB)^0.25
/((_xlfn.XLOOKUP(B129,'Base stats'!B:B,'Base stats'!BN:BN))*10)*_xlfn.XLOOKUP(_xlfn.XLOOKUP(B129,'Base stats'!B:B,'Base stats'!E:E),Groups!A:A,Groups!Z:Z)*150 + 0.5 + _xlfn.XLOOKUP(B129,'Base stats'!B:B,'Base stats'!BW:BW),
0.05))</f>
        <v>1.85</v>
      </c>
      <c r="S129" s="3" t="str">
        <f>IF(Animals!AI129="No","No",
IF(_xlfn.XLOOKUP(B129,'Base stats'!B:B,'Base stats'!U:U)="No",
MAX(MROUND(_xlfn.XLOOKUP(B129,'Base stats'!B:B,'Base stats'!BT:BT) * _xlfn.XLOOKUP(B129,'Base stats'!B:B,'Base stats'!BP:BP)^0.9 / 21 * _xlfn.XLOOKUP(B129,'Base stats'!B:B,'Base stats'!BX:BX),0.1),0.05),
MAX(MROUND(((MIN(12,_xlfn.XLOOKUP(B129,'Base stats'!B:B,'Base stats'!U:U)))^0.4*_xlfn.XLOOKUP(B129,'Base stats'!B:B,'Base stats'!BH:BH)^0.73)^0.6 * _xlfn.XLOOKUP(B129,'Base stats'!B:B,'Base stats'!BX:BX),0.1),0.05)
))</f>
        <v>No</v>
      </c>
      <c r="T129" s="11" t="str">
        <f>IF(S129="No","No",
MROUND(_xlfn.XLOOKUP(B129,'Base stats'!B:B,'Base stats'!BH:BH) * 0.01 * 2 + 0.05, 0.05)
)</f>
        <v>No</v>
      </c>
      <c r="U129" s="5" t="str">
        <f>IF(S129="No","No",IF(_xlfn.XLOOKUP(B129,'Base stats'!B:B,'Base stats'!U:U)="No","No",
MROUND(_xlfn.XLOOKUP(B129,'Base stats'!B:B,'Base stats'!BT:BT)/10000+0.01,0.01)
))</f>
        <v>No</v>
      </c>
      <c r="V129" s="4" t="str">
        <f>IF(S129="No","No",
MROUND(_xlfn.XLOOKUP(B129,'Base stats'!B:B,'Base stats'!BF:BF)^0.25
/((_xlfn.XLOOKUP(B129,'Base stats'!B:B,'Base stats'!BO:BO))*10)*_xlfn.XLOOKUP(_xlfn.XLOOKUP(B129,'Base stats'!B:B,'Base stats'!E:E),Groups!A:A,Groups!AE:AE)*150 + 0.5 + _xlfn.XLOOKUP(B129,'Base stats'!B:B,'Base stats'!BW:BW),
0.05))</f>
        <v>No</v>
      </c>
      <c r="W129" s="8">
        <f>MROUND(_xlfn.XLOOKUP(_xlfn.XLOOKUP(B129,'Base stats'!B:B,'Base stats'!E:E),Groups!A:A,Groups!BG:BG)*_xlfn.XLOOKUP(B129,'Base stats'!B:B,'Base stats'!C:C)^-0.165,0.05)</f>
        <v>0.85000000000000009</v>
      </c>
      <c r="X129" s="1">
        <f>MROUND(_xlfn.XLOOKUP(_xlfn.XLOOKUP(B129,'Base stats'!B:B,'Base stats'!E:E),Groups!A:A,Groups!BH:BH)*_xlfn.XLOOKUP(B129,'Base stats'!B:B,'Base stats'!C:C)^0.165,0.05)</f>
        <v>0</v>
      </c>
      <c r="Y129" s="8">
        <f>MROUND(_xlfn.XLOOKUP(_xlfn.XLOOKUP(B129,'Base stats'!B:B,'Base stats'!E:E),Groups!A:A,Groups!BI:BI)*_xlfn.XLOOKUP(B129,'Base stats'!B:B,'Base stats'!C:C)^0.165,0.05)</f>
        <v>0</v>
      </c>
      <c r="Z129" s="18">
        <f>MROUND(_xlfn.XLOOKUP(B129,'Base stats'!B:B,'Base stats'!AQ:AQ)*_xlfn.XLOOKUP(_xlfn.XLOOKUP(B129,'Base stats'!B:B,'Base stats'!E:E),Groups!A:A,Groups!H:H)/1000,IF((_xlfn.XLOOKUP(B129,'Base stats'!B:B,'Base stats'!AQ:AQ)*_xlfn.XLOOKUP(_xlfn.XLOOKUP(B129,'Base stats'!B:B,'Base stats'!E:E),Groups!A:A,Groups!H:H)/1000)&gt;1,0.05,0.01))</f>
        <v>0</v>
      </c>
      <c r="AA129" s="18">
        <f>MROUND((1/2)*(_xlfn.XLOOKUP(_xlfn.XLOOKUP(B129,'Base stats'!B:B,'Base stats'!E:E),Groups!A:A,Groups!H:H)*_xlfn.XLOOKUP(_xlfn.XLOOKUP(B129,'Base stats'!B:B,'Base stats'!E:E),Groups!A:A,Groups!I:I))*_xlfn.XLOOKUP(B129,'Base stats'!B:B,'Base stats'!AQ:AQ)*0.01,0.05)</f>
        <v>0</v>
      </c>
      <c r="AB129" s="18">
        <f>MROUND(250*(Animals!AO129+Animals!AP129),25)</f>
        <v>125</v>
      </c>
      <c r="AC129" s="18" t="str">
        <f>_xlfn.XLOOKUP(_xlfn.XLOOKUP(B129,'Base stats'!B:B,'Base stats'!E:E),Groups!A:A,Groups!BJ:BJ)</f>
        <v>Birdlike</v>
      </c>
    </row>
    <row r="130" spans="1:29" ht="16.5" thickTop="1" thickBot="1" x14ac:dyDescent="0.3">
      <c r="A130" s="16" t="str">
        <f>Animals!A130</f>
        <v>Beaver</v>
      </c>
      <c r="B130" s="6" t="str">
        <f>Animals!B130</f>
        <v>Castor fiber</v>
      </c>
      <c r="C130" s="1" t="str">
        <f>Animals!C130</f>
        <v>&lt;li&gt;AEXP_Beaver&lt;/li&gt;</v>
      </c>
      <c r="D130" s="47">
        <f>MIN(MIN(6,_xlfn.XLOOKUP(A130,Animals!A:A,Animals!AO:AO))*20,MAX(MROUND(_xlfn.XLOOKUP(B130,'Base stats'!B:B,'Base stats'!BS:BS) * (_xlfn.XLOOKUP(B130,'Base stats'!B:B,'Base stats'!AO:AO)*5%)^0.9 / 21,0.1),0.05))</f>
        <v>0.9</v>
      </c>
      <c r="E130" s="11">
        <f>MROUND(_xlfn.XLOOKUP(B130,'Base stats'!B:B,'Base stats'!BG:BG) * 0.01 * 2 + 0.01, 0.05)</f>
        <v>0.75</v>
      </c>
      <c r="F130" s="7">
        <f>MROUND(_xlfn.XLOOKUP(B130,'Base stats'!B:B,'Base stats'!BD:BD)^0.25 / (_xlfn.XLOOKUP(B130,'Base stats'!B:B,'Base stats'!BK:BK) * 10) * 150 + 0.5 + _xlfn.XLOOKUP(B130,'Base stats'!B:B,'Base stats'!BW:BW), 0.05)</f>
        <v>1.5</v>
      </c>
      <c r="G130" s="3" t="str">
        <f>IF(Animals!S130="No","No",
IF(_xlfn.XLOOKUP(B130,'Base stats'!B:B,'Base stats'!U:U)="No",
MAX(MROUND(_xlfn.XLOOKUP(B130,'Base stats'!B:B,'Base stats'!BT:BT) * _xlfn.XLOOKUP(B130,'Base stats'!B:B,'Base stats'!BP:BP)^0.9 / 21 * _xlfn.XLOOKUP(B130,'Base stats'!B:B,'Base stats'!BX:BX),0.1),0.05),
MAX(MROUND(((MIN(10,_xlfn.XLOOKUP(B130,'Base stats'!B:B,'Base stats'!U:U)))^0.4*_xlfn.XLOOKUP(B130,'Base stats'!B:B,'Base stats'!BH:BH)^0.73)^0.6 * _xlfn.XLOOKUP(B130,'Base stats'!B:B,'Base stats'!BX:BX),0.1),0.05)
))</f>
        <v>No</v>
      </c>
      <c r="H130" s="11" t="str">
        <f>IF(G130="No","No",
MROUND(_xlfn.XLOOKUP(B130,'Base stats'!B:B,'Base stats'!BH:BH) * 0.01 * 2 + 0.05, 0.05)
)</f>
        <v>No</v>
      </c>
      <c r="I130" s="11" t="str">
        <f>IF(G130="No","No",IF(_xlfn.XLOOKUP(B130,'Base stats'!B:B,'Base stats'!U:U)="No","No",
MROUND(_xlfn.XLOOKUP(B130,'Base stats'!B:B,'Base stats'!BT:BT)/10000+0.01,0.01)
))</f>
        <v>No</v>
      </c>
      <c r="J130" s="4" t="str">
        <f>IF(G130="No","No",
MROUND(_xlfn.XLOOKUP(B130,'Base stats'!B:B,'Base stats'!BE:BE)^0.25
/((_xlfn.XLOOKUP(B130,'Base stats'!B:B,'Base stats'!BL:BL))*10)*_xlfn.XLOOKUP(_xlfn.XLOOKUP(B130,'Base stats'!B:B,'Base stats'!E:E),Groups!A:A,Groups!Q:Q)*150 + 0.5 + _xlfn.XLOOKUP(B130,'Base stats'!B:B,'Base stats'!BW:BW),
0.05))</f>
        <v>No</v>
      </c>
      <c r="K130" s="3" t="str">
        <f>IF(Animals!X130="No","No",
IF(_xlfn.XLOOKUP(_xlfn.XLOOKUP(B130,'Base stats'!B:B,'Base stats'!E:E),Groups!A:A,Groups!BD:BD)=1,
MAX(MROUND(_xlfn.XLOOKUP(B130,'Base stats'!B:B,'Base stats'!BU:BU) * _xlfn.XLOOKUP(B130,'Base stats'!B:B,'Base stats'!BQ:BQ)^0.9 / 21 *_xlfn.XLOOKUP(B130,'Base stats'!B:B,'Base stats'!BX:BX),0.1),0.05),
MAX(MROUND(((MIN(10,_xlfn.XLOOKUP(B130,'Base stats'!B:B,'Base stats'!W:W)))^0.4*_xlfn.XLOOKUP(B130,'Base stats'!B:B,'Base stats'!BI:BI)^0.73)^0.6 *_xlfn.XLOOKUP(B130,'Base stats'!B:B,'Base stats'!BX:BX),0.1),0.05)
))</f>
        <v>No</v>
      </c>
      <c r="L130" s="11" t="str">
        <f>IF(K130="No","No",
MROUND(_xlfn.XLOOKUP(B130,'Base stats'!B:B,'Base stats'!BI:BI) * 0.01 *2 + 0.05, 0.05)
)</f>
        <v>No</v>
      </c>
      <c r="M130" s="5" t="str">
        <f>IF(K130="No","No",IF(_xlfn.XLOOKUP(_xlfn.XLOOKUP(B130,'Base stats'!B:B,'Base stats'!E:E),Groups!A:A,Groups!BD:BD)=1,"No",
MROUND(_xlfn.XLOOKUP(B130,'Base stats'!B:B,'Base stats'!BU:BU)/10000+0.01,0.01)
))</f>
        <v>No</v>
      </c>
      <c r="N130" s="4" t="str">
        <f>IF(K130="No","No",
MROUND(
  _xlfn.XLOOKUP(B130,'Base stats'!B:B,'Base stats'!BC:BC)^0.25
  / (_xlfn.XLOOKUP(B130,'Base stats'!B:B,'Base stats'!BM:BM) * 10)
  * _xlfn.XLOOKUP(
      _xlfn.XLOOKUP(B130,'Base stats'!B:B,'Base stats'!E:E),
      Groups!A:A,
      Groups!V:V
    ) * 150
  + MIN(12, _xlfn.XLOOKUP(B130,'Base stats'!B:B,'Base stats'!W:W))^(1/IF(_xlfn.XLOOKUP(_xlfn.XLOOKUP(B130,'Base stats'!B:B,'Base stats'!E:E),Groups!A:A,Groups!U:U)=1,100,10)) + 0.5 + _xlfn.XLOOKUP(B130,'Base stats'!B:B,'Base stats'!BW:BW),
0.05))</f>
        <v>No</v>
      </c>
      <c r="O130" s="3">
        <f>IF(Animals!AD130="No","No",
MAX(MROUND((MIN(10,_xlfn.XLOOKUP(B130,'Base stats'!B:B,'Base stats'!V:V)*IF(_xlfn.XLOOKUP(_xlfn.XLOOKUP(B130,'Base stats'!B:B,'Base stats'!E:E),Groups!A:A,Groups!O:O)=0,1,0.33))^0.4*_xlfn.XLOOKUP(B130,'Base stats'!B:B,'Base stats'!BJ:BJ)^0.73)^0.6 *_xlfn.XLOOKUP(B130,'Base stats'!B:B,'Base stats'!BX:BX),0.1),0.05)
)</f>
        <v>6.6000000000000005</v>
      </c>
      <c r="P130" s="11">
        <f>IF(O130="No","No",
MROUND(_xlfn.XLOOKUP(B130,'Base stats'!B:B,'Base stats'!BJ:BJ) * 0.01 * 2 + 0.05, 0.05)
)</f>
        <v>1</v>
      </c>
      <c r="Q130" s="5">
        <f>IF(O130="No","No",
MROUND(_xlfn.XLOOKUP(B130,'Base stats'!B:B,'Base stats'!BV:BV)/10000+0.01,0.01)
)</f>
        <v>0.1</v>
      </c>
      <c r="R130" s="4">
        <f>IF(O130="No","No",
MROUND(_xlfn.XLOOKUP(B130,'Base stats'!B:B,'Base stats'!BB:BB)^0.25
/((_xlfn.XLOOKUP(B130,'Base stats'!B:B,'Base stats'!BN:BN))*10)*_xlfn.XLOOKUP(_xlfn.XLOOKUP(B130,'Base stats'!B:B,'Base stats'!E:E),Groups!A:A,Groups!Z:Z)*150 + 0.5 + _xlfn.XLOOKUP(B130,'Base stats'!B:B,'Base stats'!BW:BW),
0.05))</f>
        <v>2.1</v>
      </c>
      <c r="S130" s="3" t="str">
        <f>IF(Animals!AI130="No","No",
IF(_xlfn.XLOOKUP(B130,'Base stats'!B:B,'Base stats'!U:U)="No",
MAX(MROUND(_xlfn.XLOOKUP(B130,'Base stats'!B:B,'Base stats'!BT:BT) * _xlfn.XLOOKUP(B130,'Base stats'!B:B,'Base stats'!BP:BP)^0.9 / 21 * _xlfn.XLOOKUP(B130,'Base stats'!B:B,'Base stats'!BX:BX),0.1),0.05),
MAX(MROUND(((MIN(12,_xlfn.XLOOKUP(B130,'Base stats'!B:B,'Base stats'!U:U)))^0.4*_xlfn.XLOOKUP(B130,'Base stats'!B:B,'Base stats'!BH:BH)^0.73)^0.6 * _xlfn.XLOOKUP(B130,'Base stats'!B:B,'Base stats'!BX:BX),0.1),0.05)
))</f>
        <v>No</v>
      </c>
      <c r="T130" s="11" t="str">
        <f>IF(S130="No","No",
MROUND(_xlfn.XLOOKUP(B130,'Base stats'!B:B,'Base stats'!BH:BH) * 0.01 * 2 + 0.05, 0.05)
)</f>
        <v>No</v>
      </c>
      <c r="U130" s="5" t="str">
        <f>IF(S130="No","No",IF(_xlfn.XLOOKUP(B130,'Base stats'!B:B,'Base stats'!U:U)="No","No",
MROUND(_xlfn.XLOOKUP(B130,'Base stats'!B:B,'Base stats'!BT:BT)/10000+0.01,0.01)
))</f>
        <v>No</v>
      </c>
      <c r="V130" s="4" t="str">
        <f>IF(S130="No","No",
MROUND(_xlfn.XLOOKUP(B130,'Base stats'!B:B,'Base stats'!BF:BF)^0.25
/((_xlfn.XLOOKUP(B130,'Base stats'!B:B,'Base stats'!BO:BO))*10)*_xlfn.XLOOKUP(_xlfn.XLOOKUP(B130,'Base stats'!B:B,'Base stats'!E:E),Groups!A:A,Groups!AE:AE)*150 + 0.5 + _xlfn.XLOOKUP(B130,'Base stats'!B:B,'Base stats'!BW:BW),
0.05))</f>
        <v>No</v>
      </c>
      <c r="W130" s="8">
        <f>MROUND(_xlfn.XLOOKUP(_xlfn.XLOOKUP(B130,'Base stats'!B:B,'Base stats'!E:E),Groups!A:A,Groups!BG:BG)*_xlfn.XLOOKUP(B130,'Base stats'!B:B,'Base stats'!C:C)^-0.165,0.05)</f>
        <v>0.4</v>
      </c>
      <c r="X130" s="1">
        <f>MROUND(_xlfn.XLOOKUP(_xlfn.XLOOKUP(B130,'Base stats'!B:B,'Base stats'!E:E),Groups!A:A,Groups!BH:BH)*_xlfn.XLOOKUP(B130,'Base stats'!B:B,'Base stats'!C:C)^0.165,0.05)</f>
        <v>0</v>
      </c>
      <c r="Y130" s="8">
        <f>MROUND(_xlfn.XLOOKUP(_xlfn.XLOOKUP(B130,'Base stats'!B:B,'Base stats'!E:E),Groups!A:A,Groups!BI:BI)*_xlfn.XLOOKUP(B130,'Base stats'!B:B,'Base stats'!C:C)^0.165,0.05)</f>
        <v>0</v>
      </c>
      <c r="Z130" s="18">
        <f>MROUND(_xlfn.XLOOKUP(B130,'Base stats'!B:B,'Base stats'!AQ:AQ)*_xlfn.XLOOKUP(_xlfn.XLOOKUP(B130,'Base stats'!B:B,'Base stats'!E:E),Groups!A:A,Groups!H:H)/1000,IF((_xlfn.XLOOKUP(B130,'Base stats'!B:B,'Base stats'!AQ:AQ)*_xlfn.XLOOKUP(_xlfn.XLOOKUP(B130,'Base stats'!B:B,'Base stats'!E:E),Groups!A:A,Groups!H:H)/1000)&gt;1,0.05,0.01))</f>
        <v>0.04</v>
      </c>
      <c r="AA130" s="18">
        <f>MROUND((1/2)*(_xlfn.XLOOKUP(_xlfn.XLOOKUP(B130,'Base stats'!B:B,'Base stats'!E:E),Groups!A:A,Groups!H:H)*_xlfn.XLOOKUP(_xlfn.XLOOKUP(B130,'Base stats'!B:B,'Base stats'!E:E),Groups!A:A,Groups!I:I))*_xlfn.XLOOKUP(B130,'Base stats'!B:B,'Base stats'!AQ:AQ)*0.01,0.05)</f>
        <v>0.2</v>
      </c>
      <c r="AB130" s="18">
        <f>MROUND(250*(Animals!AO130+Animals!AP130),25)</f>
        <v>325</v>
      </c>
      <c r="AC130" s="18" t="str">
        <f>_xlfn.XLOOKUP(_xlfn.XLOOKUP(B130,'Base stats'!B:B,'Base stats'!E:E),Groups!A:A,Groups!BJ:BJ)</f>
        <v>QuadrupedLow</v>
      </c>
    </row>
    <row r="131" spans="1:29" ht="16.5" thickTop="1" thickBot="1" x14ac:dyDescent="0.3">
      <c r="A131" s="16" t="str">
        <f>Animals!A131</f>
        <v>Hedgehog</v>
      </c>
      <c r="B131" s="6" t="str">
        <f>Animals!B131</f>
        <v>Erinaceus europaeus</v>
      </c>
      <c r="C131" s="1" t="str">
        <f>Animals!C131</f>
        <v>&lt;li&gt;AEXP_Hedgehog&lt;/li&gt;</v>
      </c>
      <c r="D131" s="47">
        <f>MIN(MIN(6,_xlfn.XLOOKUP(A131,Animals!A:A,Animals!AO:AO))*20,MAX(MROUND(_xlfn.XLOOKUP(B131,'Base stats'!B:B,'Base stats'!BS:BS) * (_xlfn.XLOOKUP(B131,'Base stats'!B:B,'Base stats'!AO:AO)*5%)^0.9 / 21,0.1),0.05))</f>
        <v>0.1</v>
      </c>
      <c r="E131" s="11">
        <f>MROUND(_xlfn.XLOOKUP(B131,'Base stats'!B:B,'Base stats'!BG:BG) * 0.01 * 2 + 0.01, 0.05)</f>
        <v>0.05</v>
      </c>
      <c r="F131" s="7">
        <f>MROUND(_xlfn.XLOOKUP(B131,'Base stats'!B:B,'Base stats'!BD:BD)^0.25 / (_xlfn.XLOOKUP(B131,'Base stats'!B:B,'Base stats'!BK:BK) * 10) * 150 + 0.5 + _xlfn.XLOOKUP(B131,'Base stats'!B:B,'Base stats'!BW:BW), 0.05)</f>
        <v>1.2000000000000002</v>
      </c>
      <c r="G131" s="3" t="str">
        <f>IF(Animals!S131="No","No",
IF(_xlfn.XLOOKUP(B131,'Base stats'!B:B,'Base stats'!U:U)="No",
MAX(MROUND(_xlfn.XLOOKUP(B131,'Base stats'!B:B,'Base stats'!BT:BT) * _xlfn.XLOOKUP(B131,'Base stats'!B:B,'Base stats'!BP:BP)^0.9 / 21 * _xlfn.XLOOKUP(B131,'Base stats'!B:B,'Base stats'!BX:BX),0.1),0.05),
MAX(MROUND(((MIN(10,_xlfn.XLOOKUP(B131,'Base stats'!B:B,'Base stats'!U:U)))^0.4*_xlfn.XLOOKUP(B131,'Base stats'!B:B,'Base stats'!BH:BH)^0.73)^0.6 * _xlfn.XLOOKUP(B131,'Base stats'!B:B,'Base stats'!BX:BX),0.1),0.05)
))</f>
        <v>No</v>
      </c>
      <c r="H131" s="11" t="str">
        <f>IF(G131="No","No",
MROUND(_xlfn.XLOOKUP(B131,'Base stats'!B:B,'Base stats'!BH:BH) * 0.01 * 2 + 0.05, 0.05)
)</f>
        <v>No</v>
      </c>
      <c r="I131" s="11" t="str">
        <f>IF(G131="No","No",IF(_xlfn.XLOOKUP(B131,'Base stats'!B:B,'Base stats'!U:U)="No","No",
MROUND(_xlfn.XLOOKUP(B131,'Base stats'!B:B,'Base stats'!BT:BT)/10000+0.01,0.01)
))</f>
        <v>No</v>
      </c>
      <c r="J131" s="4" t="str">
        <f>IF(G131="No","No",
MROUND(_xlfn.XLOOKUP(B131,'Base stats'!B:B,'Base stats'!BE:BE)^0.25
/((_xlfn.XLOOKUP(B131,'Base stats'!B:B,'Base stats'!BL:BL))*10)*_xlfn.XLOOKUP(_xlfn.XLOOKUP(B131,'Base stats'!B:B,'Base stats'!E:E),Groups!A:A,Groups!Q:Q)*150 + 0.5 + _xlfn.XLOOKUP(B131,'Base stats'!B:B,'Base stats'!BW:BW),
0.05))</f>
        <v>No</v>
      </c>
      <c r="K131" s="3" t="str">
        <f>IF(Animals!X131="No","No",
IF(_xlfn.XLOOKUP(_xlfn.XLOOKUP(B131,'Base stats'!B:B,'Base stats'!E:E),Groups!A:A,Groups!BD:BD)=1,
MAX(MROUND(_xlfn.XLOOKUP(B131,'Base stats'!B:B,'Base stats'!BU:BU) * _xlfn.XLOOKUP(B131,'Base stats'!B:B,'Base stats'!BQ:BQ)^0.9 / 21 *_xlfn.XLOOKUP(B131,'Base stats'!B:B,'Base stats'!BX:BX),0.1),0.05),
MAX(MROUND(((MIN(10,_xlfn.XLOOKUP(B131,'Base stats'!B:B,'Base stats'!W:W)))^0.4*_xlfn.XLOOKUP(B131,'Base stats'!B:B,'Base stats'!BI:BI)^0.73)^0.6 *_xlfn.XLOOKUP(B131,'Base stats'!B:B,'Base stats'!BX:BX),0.1),0.05)
))</f>
        <v>No</v>
      </c>
      <c r="L131" s="11" t="str">
        <f>IF(K131="No","No",
MROUND(_xlfn.XLOOKUP(B131,'Base stats'!B:B,'Base stats'!BI:BI) * 0.01 *2 + 0.05, 0.05)
)</f>
        <v>No</v>
      </c>
      <c r="M131" s="5" t="str">
        <f>IF(K131="No","No",IF(_xlfn.XLOOKUP(_xlfn.XLOOKUP(B131,'Base stats'!B:B,'Base stats'!E:E),Groups!A:A,Groups!BD:BD)=1,"No",
MROUND(_xlfn.XLOOKUP(B131,'Base stats'!B:B,'Base stats'!BU:BU)/10000+0.01,0.01)
))</f>
        <v>No</v>
      </c>
      <c r="N131" s="4" t="str">
        <f>IF(K131="No","No",
MROUND(
  _xlfn.XLOOKUP(B131,'Base stats'!B:B,'Base stats'!BC:BC)^0.25
  / (_xlfn.XLOOKUP(B131,'Base stats'!B:B,'Base stats'!BM:BM) * 10)
  * _xlfn.XLOOKUP(
      _xlfn.XLOOKUP(B131,'Base stats'!B:B,'Base stats'!E:E),
      Groups!A:A,
      Groups!V:V
    ) * 150
  + MIN(12, _xlfn.XLOOKUP(B131,'Base stats'!B:B,'Base stats'!W:W))^(1/IF(_xlfn.XLOOKUP(_xlfn.XLOOKUP(B131,'Base stats'!B:B,'Base stats'!E:E),Groups!A:A,Groups!U:U)=1,100,10)) + 0.5 + _xlfn.XLOOKUP(B131,'Base stats'!B:B,'Base stats'!BW:BW),
0.05))</f>
        <v>No</v>
      </c>
      <c r="O131" s="3">
        <f>IF(Animals!AD131="No","No",
MAX(MROUND((MIN(10,_xlfn.XLOOKUP(B131,'Base stats'!B:B,'Base stats'!V:V)*IF(_xlfn.XLOOKUP(_xlfn.XLOOKUP(B131,'Base stats'!B:B,'Base stats'!E:E),Groups!A:A,Groups!O:O)=0,1,0.33))^0.4*_xlfn.XLOOKUP(B131,'Base stats'!B:B,'Base stats'!BJ:BJ)^0.73)^0.6 *_xlfn.XLOOKUP(B131,'Base stats'!B:B,'Base stats'!BX:BX),0.1),0.05)
)</f>
        <v>1.6</v>
      </c>
      <c r="P131" s="11">
        <f>IF(O131="No","No",
MROUND(_xlfn.XLOOKUP(B131,'Base stats'!B:B,'Base stats'!BJ:BJ) * 0.01 * 2 + 0.05, 0.05)
)</f>
        <v>0.15000000000000002</v>
      </c>
      <c r="Q131" s="5">
        <f>IF(O131="No","No",
MROUND(_xlfn.XLOOKUP(B131,'Base stats'!B:B,'Base stats'!BV:BV)/10000+0.01,0.01)
)</f>
        <v>0.04</v>
      </c>
      <c r="R131" s="4">
        <f>IF(O131="No","No",
MROUND(_xlfn.XLOOKUP(B131,'Base stats'!B:B,'Base stats'!BB:BB)^0.25
/((_xlfn.XLOOKUP(B131,'Base stats'!B:B,'Base stats'!BN:BN))*10)*_xlfn.XLOOKUP(_xlfn.XLOOKUP(B131,'Base stats'!B:B,'Base stats'!E:E),Groups!A:A,Groups!Z:Z)*150 + 0.5 + _xlfn.XLOOKUP(B131,'Base stats'!B:B,'Base stats'!BW:BW),
0.05))</f>
        <v>1.7000000000000002</v>
      </c>
      <c r="S131" s="3" t="str">
        <f>IF(Animals!AI131="No","No",
IF(_xlfn.XLOOKUP(B131,'Base stats'!B:B,'Base stats'!U:U)="No",
MAX(MROUND(_xlfn.XLOOKUP(B131,'Base stats'!B:B,'Base stats'!BT:BT) * _xlfn.XLOOKUP(B131,'Base stats'!B:B,'Base stats'!BP:BP)^0.9 / 21 * _xlfn.XLOOKUP(B131,'Base stats'!B:B,'Base stats'!BX:BX),0.1),0.05),
MAX(MROUND(((MIN(12,_xlfn.XLOOKUP(B131,'Base stats'!B:B,'Base stats'!U:U)))^0.4*_xlfn.XLOOKUP(B131,'Base stats'!B:B,'Base stats'!BH:BH)^0.73)^0.6 * _xlfn.XLOOKUP(B131,'Base stats'!B:B,'Base stats'!BX:BX),0.1),0.05)
))</f>
        <v>No</v>
      </c>
      <c r="T131" s="11" t="str">
        <f>IF(S131="No","No",
MROUND(_xlfn.XLOOKUP(B131,'Base stats'!B:B,'Base stats'!BH:BH) * 0.01 * 2 + 0.05, 0.05)
)</f>
        <v>No</v>
      </c>
      <c r="U131" s="5" t="str">
        <f>IF(S131="No","No",IF(_xlfn.XLOOKUP(B131,'Base stats'!B:B,'Base stats'!U:U)="No","No",
MROUND(_xlfn.XLOOKUP(B131,'Base stats'!B:B,'Base stats'!BT:BT)/10000+0.01,0.01)
))</f>
        <v>No</v>
      </c>
      <c r="V131" s="4" t="str">
        <f>IF(S131="No","No",
MROUND(_xlfn.XLOOKUP(B131,'Base stats'!B:B,'Base stats'!BF:BF)^0.25
/((_xlfn.XLOOKUP(B131,'Base stats'!B:B,'Base stats'!BO:BO))*10)*_xlfn.XLOOKUP(_xlfn.XLOOKUP(B131,'Base stats'!B:B,'Base stats'!E:E),Groups!A:A,Groups!AE:AE)*150 + 0.5 + _xlfn.XLOOKUP(B131,'Base stats'!B:B,'Base stats'!BW:BW),
0.05))</f>
        <v>No</v>
      </c>
      <c r="W131" s="8">
        <f>MROUND(_xlfn.XLOOKUP(_xlfn.XLOOKUP(B131,'Base stats'!B:B,'Base stats'!E:E),Groups!A:A,Groups!BG:BG)*_xlfn.XLOOKUP(B131,'Base stats'!B:B,'Base stats'!C:C)^-0.165,0.05)</f>
        <v>0.70000000000000007</v>
      </c>
      <c r="X131" s="1">
        <f>MROUND(_xlfn.XLOOKUP(_xlfn.XLOOKUP(B131,'Base stats'!B:B,'Base stats'!E:E),Groups!A:A,Groups!BH:BH)*_xlfn.XLOOKUP(B131,'Base stats'!B:B,'Base stats'!C:C)^0.165,0.05)</f>
        <v>0</v>
      </c>
      <c r="Y131" s="8">
        <f>MROUND(_xlfn.XLOOKUP(_xlfn.XLOOKUP(B131,'Base stats'!B:B,'Base stats'!E:E),Groups!A:A,Groups!BI:BI)*_xlfn.XLOOKUP(B131,'Base stats'!B:B,'Base stats'!C:C)^0.165,0.05)</f>
        <v>0</v>
      </c>
      <c r="Z131" s="18">
        <f>MROUND(_xlfn.XLOOKUP(B131,'Base stats'!B:B,'Base stats'!AQ:AQ)*_xlfn.XLOOKUP(_xlfn.XLOOKUP(B131,'Base stats'!B:B,'Base stats'!E:E),Groups!A:A,Groups!H:H)/1000,IF((_xlfn.XLOOKUP(B131,'Base stats'!B:B,'Base stats'!AQ:AQ)*_xlfn.XLOOKUP(_xlfn.XLOOKUP(B131,'Base stats'!B:B,'Base stats'!E:E),Groups!A:A,Groups!H:H)/1000)&gt;1,0.05,0.01))</f>
        <v>0.02</v>
      </c>
      <c r="AA131" s="18">
        <f>MROUND((1/2)*(_xlfn.XLOOKUP(_xlfn.XLOOKUP(B131,'Base stats'!B:B,'Base stats'!E:E),Groups!A:A,Groups!H:H)*_xlfn.XLOOKUP(_xlfn.XLOOKUP(B131,'Base stats'!B:B,'Base stats'!E:E),Groups!A:A,Groups!I:I))*_xlfn.XLOOKUP(B131,'Base stats'!B:B,'Base stats'!AQ:AQ)*0.01,0.05)</f>
        <v>0.1</v>
      </c>
      <c r="AB131" s="18">
        <f>MROUND(250*(Animals!AO131+Animals!AP131),25)</f>
        <v>75</v>
      </c>
      <c r="AC131" s="18" t="str">
        <f>_xlfn.XLOOKUP(_xlfn.XLOOKUP(B131,'Base stats'!B:B,'Base stats'!E:E),Groups!A:A,Groups!BJ:BJ)</f>
        <v>Quadruped</v>
      </c>
    </row>
    <row r="132" spans="1:29" s="16" customFormat="1" ht="16.5" thickTop="1" thickBot="1" x14ac:dyDescent="0.3">
      <c r="A132" s="16" t="str">
        <f>Animals!A132</f>
        <v>Jaguar</v>
      </c>
      <c r="B132" s="6" t="str">
        <f>Animals!B132</f>
        <v>Panthera onca</v>
      </c>
      <c r="C132" s="1" t="str">
        <f>Animals!C132</f>
        <v>&lt;li&gt;AEXP_Jaguar&lt;/li&gt;</v>
      </c>
      <c r="D132" s="47">
        <f>MIN(MIN(6,_xlfn.XLOOKUP(A132,Animals!A:A,Animals!AO:AO))*20,MAX(MROUND(_xlfn.XLOOKUP(B132,'Base stats'!B:B,'Base stats'!BS:BS) * (_xlfn.XLOOKUP(B132,'Base stats'!B:B,'Base stats'!AO:AO)*5%)^0.9 / 21,0.1),0.05))</f>
        <v>2.8000000000000003</v>
      </c>
      <c r="E132" s="11">
        <f>MROUND(_xlfn.XLOOKUP(B132,'Base stats'!B:B,'Base stats'!BG:BG) * 0.01 * 2 + 0.01, 0.05)</f>
        <v>2.35</v>
      </c>
      <c r="F132" s="7">
        <f>MROUND(_xlfn.XLOOKUP(B132,'Base stats'!B:B,'Base stats'!BD:BD)^0.25 / (_xlfn.XLOOKUP(B132,'Base stats'!B:B,'Base stats'!BK:BK) * 10) * 150 + 0.5 + _xlfn.XLOOKUP(B132,'Base stats'!B:B,'Base stats'!BW:BW), 0.05)</f>
        <v>2.0500000000000003</v>
      </c>
      <c r="G132" s="3" t="str">
        <f>IF(Animals!S132="No","No",
IF(_xlfn.XLOOKUP(B132,'Base stats'!B:B,'Base stats'!U:U)="No",
MAX(MROUND(_xlfn.XLOOKUP(B132,'Base stats'!B:B,'Base stats'!BT:BT) * _xlfn.XLOOKUP(B132,'Base stats'!B:B,'Base stats'!BP:BP)^0.9 / 21 * _xlfn.XLOOKUP(B132,'Base stats'!B:B,'Base stats'!BX:BX),0.1),0.05),
MAX(MROUND(((MIN(10,_xlfn.XLOOKUP(B132,'Base stats'!B:B,'Base stats'!U:U)))^0.4*_xlfn.XLOOKUP(B132,'Base stats'!B:B,'Base stats'!BH:BH)^0.73)^0.6 * _xlfn.XLOOKUP(B132,'Base stats'!B:B,'Base stats'!BX:BX),0.1),0.05)
))</f>
        <v>No</v>
      </c>
      <c r="H132" s="11" t="str">
        <f>IF(G132="No","No",
MROUND(_xlfn.XLOOKUP(B132,'Base stats'!B:B,'Base stats'!BH:BH) * 0.01 * 2 + 0.05, 0.05)
)</f>
        <v>No</v>
      </c>
      <c r="I132" s="11" t="str">
        <f>IF(G132="No","No",IF(_xlfn.XLOOKUP(B132,'Base stats'!B:B,'Base stats'!U:U)="No","No",
MROUND(_xlfn.XLOOKUP(B132,'Base stats'!B:B,'Base stats'!BT:BT)/10000+0.01,0.01)
))</f>
        <v>No</v>
      </c>
      <c r="J132" s="4" t="str">
        <f>IF(G132="No","No",
MROUND(_xlfn.XLOOKUP(B132,'Base stats'!B:B,'Base stats'!BE:BE)^0.25
/((_xlfn.XLOOKUP(B132,'Base stats'!B:B,'Base stats'!BL:BL))*10)*_xlfn.XLOOKUP(_xlfn.XLOOKUP(B132,'Base stats'!B:B,'Base stats'!E:E),Groups!A:A,Groups!Q:Q)*150 + 0.5 + _xlfn.XLOOKUP(B132,'Base stats'!B:B,'Base stats'!BW:BW),
0.05))</f>
        <v>No</v>
      </c>
      <c r="K132" s="3" t="str">
        <f>IF(Animals!X132="No","No",
IF(_xlfn.XLOOKUP(_xlfn.XLOOKUP(B132,'Base stats'!B:B,'Base stats'!E:E),Groups!A:A,Groups!BD:BD)=1,
MAX(MROUND(_xlfn.XLOOKUP(B132,'Base stats'!B:B,'Base stats'!BU:BU) * _xlfn.XLOOKUP(B132,'Base stats'!B:B,'Base stats'!BQ:BQ)^0.9 / 21 *_xlfn.XLOOKUP(B132,'Base stats'!B:B,'Base stats'!BX:BX),0.1),0.05),
MAX(MROUND(((MIN(10,_xlfn.XLOOKUP(B132,'Base stats'!B:B,'Base stats'!W:W)))^0.4*_xlfn.XLOOKUP(B132,'Base stats'!B:B,'Base stats'!BI:BI)^0.73)^0.6 *_xlfn.XLOOKUP(B132,'Base stats'!B:B,'Base stats'!BX:BX),0.1),0.05)
))</f>
        <v>No</v>
      </c>
      <c r="L132" s="11" t="str">
        <f>IF(K132="No","No",
MROUND(_xlfn.XLOOKUP(B132,'Base stats'!B:B,'Base stats'!BI:BI) * 0.01 *2 + 0.05, 0.05)
)</f>
        <v>No</v>
      </c>
      <c r="M132" s="5" t="str">
        <f>IF(K132="No","No",IF(_xlfn.XLOOKUP(_xlfn.XLOOKUP(B132,'Base stats'!B:B,'Base stats'!E:E),Groups!A:A,Groups!BD:BD)=1,"No",
MROUND(_xlfn.XLOOKUP(B132,'Base stats'!B:B,'Base stats'!BU:BU)/10000+0.01,0.01)
))</f>
        <v>No</v>
      </c>
      <c r="N132" s="4" t="str">
        <f>IF(K132="No","No",
MROUND(
  _xlfn.XLOOKUP(B132,'Base stats'!B:B,'Base stats'!BC:BC)^0.25
  / (_xlfn.XLOOKUP(B132,'Base stats'!B:B,'Base stats'!BM:BM) * 10)
  * _xlfn.XLOOKUP(
      _xlfn.XLOOKUP(B132,'Base stats'!B:B,'Base stats'!E:E),
      Groups!A:A,
      Groups!V:V
    ) * 150
  + MIN(12, _xlfn.XLOOKUP(B132,'Base stats'!B:B,'Base stats'!W:W))^(1/IF(_xlfn.XLOOKUP(_xlfn.XLOOKUP(B132,'Base stats'!B:B,'Base stats'!E:E),Groups!A:A,Groups!U:U)=1,100,10)) + 0.5 + _xlfn.XLOOKUP(B132,'Base stats'!B:B,'Base stats'!BW:BW),
0.05))</f>
        <v>No</v>
      </c>
      <c r="O132" s="3">
        <f>IF(Animals!AD132="No","No",
MAX(MROUND((MIN(10,_xlfn.XLOOKUP(B132,'Base stats'!B:B,'Base stats'!V:V)*IF(_xlfn.XLOOKUP(_xlfn.XLOOKUP(B132,'Base stats'!B:B,'Base stats'!E:E),Groups!A:A,Groups!O:O)=0,1,0.33))^0.4*_xlfn.XLOOKUP(B132,'Base stats'!B:B,'Base stats'!BJ:BJ)^0.73)^0.6 *_xlfn.XLOOKUP(B132,'Base stats'!B:B,'Base stats'!BX:BX),0.1),0.05)
)</f>
        <v>22.200000000000003</v>
      </c>
      <c r="P132" s="11">
        <f>IF(O132="No","No",
MROUND(_xlfn.XLOOKUP(B132,'Base stats'!B:B,'Base stats'!BJ:BJ) * 0.01 * 2 + 0.05, 0.05)
)</f>
        <v>10.25</v>
      </c>
      <c r="Q132" s="5">
        <f>IF(O132="No","No",
MROUND(_xlfn.XLOOKUP(B132,'Base stats'!B:B,'Base stats'!BV:BV)/10000+0.01,0.01)
)</f>
        <v>0.56000000000000005</v>
      </c>
      <c r="R132" s="4">
        <f>IF(O132="No","No",
MROUND(_xlfn.XLOOKUP(B132,'Base stats'!B:B,'Base stats'!BB:BB)^0.25
/((_xlfn.XLOOKUP(B132,'Base stats'!B:B,'Base stats'!BN:BN))*10)*_xlfn.XLOOKUP(_xlfn.XLOOKUP(B132,'Base stats'!B:B,'Base stats'!E:E),Groups!A:A,Groups!Z:Z)*150 + 0.5 + _xlfn.XLOOKUP(B132,'Base stats'!B:B,'Base stats'!BW:BW),
0.05))</f>
        <v>2.1</v>
      </c>
      <c r="S132" s="3">
        <f>IF(Animals!AI132="No","No",
IF(_xlfn.XLOOKUP(B132,'Base stats'!B:B,'Base stats'!U:U)="No",
MAX(MROUND(_xlfn.XLOOKUP(B132,'Base stats'!B:B,'Base stats'!BT:BT) * _xlfn.XLOOKUP(B132,'Base stats'!B:B,'Base stats'!BP:BP)^0.9 / 21 * _xlfn.XLOOKUP(B132,'Base stats'!B:B,'Base stats'!BX:BX),0.1),0.05),
MAX(MROUND(((MIN(12,_xlfn.XLOOKUP(B132,'Base stats'!B:B,'Base stats'!U:U)))^0.4*_xlfn.XLOOKUP(B132,'Base stats'!B:B,'Base stats'!BH:BH)^0.73)^0.6 * _xlfn.XLOOKUP(B132,'Base stats'!B:B,'Base stats'!BX:BX),0.1),0.05)
))</f>
        <v>13.5</v>
      </c>
      <c r="T132" s="11">
        <f>IF(S132="No","No",
MROUND(_xlfn.XLOOKUP(B132,'Base stats'!B:B,'Base stats'!BH:BH) * 0.01 * 2 + 0.05, 0.05)
)</f>
        <v>3.0500000000000003</v>
      </c>
      <c r="U132" s="5">
        <f>IF(S132="No","No",IF(_xlfn.XLOOKUP(B132,'Base stats'!B:B,'Base stats'!U:U)="No","No",
MROUND(_xlfn.XLOOKUP(B132,'Base stats'!B:B,'Base stats'!BT:BT)/10000+0.01,0.01)
))</f>
        <v>0.17</v>
      </c>
      <c r="V132" s="4">
        <f>IF(S132="No","No",
MROUND(_xlfn.XLOOKUP(B132,'Base stats'!B:B,'Base stats'!BF:BF)^0.25
/((_xlfn.XLOOKUP(B132,'Base stats'!B:B,'Base stats'!BO:BO))*10)*_xlfn.XLOOKUP(_xlfn.XLOOKUP(B132,'Base stats'!B:B,'Base stats'!E:E),Groups!A:A,Groups!AE:AE)*150 + 0.5 + _xlfn.XLOOKUP(B132,'Base stats'!B:B,'Base stats'!BW:BW),
0.05))</f>
        <v>1.4500000000000002</v>
      </c>
      <c r="W132" s="8">
        <f>MROUND(_xlfn.XLOOKUP(_xlfn.XLOOKUP(B132,'Base stats'!B:B,'Base stats'!E:E),Groups!A:A,Groups!BG:BG)*_xlfn.XLOOKUP(B132,'Base stats'!B:B,'Base stats'!C:C)^-0.165,0.05)</f>
        <v>0.60000000000000009</v>
      </c>
      <c r="X132" s="1">
        <f>MROUND(_xlfn.XLOOKUP(_xlfn.XLOOKUP(B132,'Base stats'!B:B,'Base stats'!E:E),Groups!A:A,Groups!BH:BH)*_xlfn.XLOOKUP(B132,'Base stats'!B:B,'Base stats'!C:C)^0.165,0.05)</f>
        <v>0.55000000000000004</v>
      </c>
      <c r="Y132" s="8">
        <f>MROUND(_xlfn.XLOOKUP(_xlfn.XLOOKUP(B132,'Base stats'!B:B,'Base stats'!E:E),Groups!A:A,Groups!BI:BI)*_xlfn.XLOOKUP(B132,'Base stats'!B:B,'Base stats'!C:C)^0.165,0.05)</f>
        <v>0.05</v>
      </c>
      <c r="Z132" s="18">
        <f>MROUND(_xlfn.XLOOKUP(B132,'Base stats'!B:B,'Base stats'!AQ:AQ)*_xlfn.XLOOKUP(_xlfn.XLOOKUP(B132,'Base stats'!B:B,'Base stats'!E:E),Groups!A:A,Groups!H:H)/1000,IF((_xlfn.XLOOKUP(B132,'Base stats'!B:B,'Base stats'!AQ:AQ)*_xlfn.XLOOKUP(_xlfn.XLOOKUP(B132,'Base stats'!B:B,'Base stats'!E:E),Groups!A:A,Groups!H:H)/1000)&gt;1,0.05,0.01))</f>
        <v>0.1</v>
      </c>
      <c r="AA132" s="18">
        <f>MROUND((1/2)*(_xlfn.XLOOKUP(_xlfn.XLOOKUP(B132,'Base stats'!B:B,'Base stats'!E:E),Groups!A:A,Groups!H:H)*_xlfn.XLOOKUP(_xlfn.XLOOKUP(B132,'Base stats'!B:B,'Base stats'!E:E),Groups!A:A,Groups!I:I))*_xlfn.XLOOKUP(B132,'Base stats'!B:B,'Base stats'!AQ:AQ)*0.01,0.05)</f>
        <v>0.45</v>
      </c>
      <c r="AB132" s="18">
        <f>MROUND(250*(Animals!AO132+Animals!AP132),25)</f>
        <v>650</v>
      </c>
      <c r="AC132" s="18" t="str">
        <f>_xlfn.XLOOKUP(_xlfn.XLOOKUP(B132,'Base stats'!B:B,'Base stats'!E:E),Groups!A:A,Groups!BJ:BJ)</f>
        <v>Quadruped</v>
      </c>
    </row>
    <row r="133" spans="1:29" ht="16.5" thickTop="1" thickBot="1" x14ac:dyDescent="0.3">
      <c r="A133" s="16" t="str">
        <f>Animals!A133</f>
        <v>Lemur</v>
      </c>
      <c r="B133" s="6" t="str">
        <f>Animals!B133</f>
        <v>Lemur catta</v>
      </c>
      <c r="C133" s="1" t="str">
        <f>Animals!C133</f>
        <v>&lt;li&gt;AEXP_Lemur&lt;/li&gt;</v>
      </c>
      <c r="D133" s="47">
        <f>MIN(MIN(6,_xlfn.XLOOKUP(A133,Animals!A:A,Animals!AO:AO))*20,MAX(MROUND(_xlfn.XLOOKUP(B133,'Base stats'!B:B,'Base stats'!BS:BS) * (_xlfn.XLOOKUP(B133,'Base stats'!B:B,'Base stats'!AO:AO)*5%)^0.9 / 21,0.1),0.05))</f>
        <v>0.1</v>
      </c>
      <c r="E133" s="11">
        <f>MROUND(_xlfn.XLOOKUP(B133,'Base stats'!B:B,'Base stats'!BG:BG) * 0.01 * 2 + 0.01, 0.05)</f>
        <v>0.1</v>
      </c>
      <c r="F133" s="7">
        <f>MROUND(_xlfn.XLOOKUP(B133,'Base stats'!B:B,'Base stats'!BD:BD)^0.25 / (_xlfn.XLOOKUP(B133,'Base stats'!B:B,'Base stats'!BK:BK) * 10) * 150 + 0.5 + _xlfn.XLOOKUP(B133,'Base stats'!B:B,'Base stats'!BW:BW), 0.05)</f>
        <v>1.3</v>
      </c>
      <c r="G133" s="3" t="str">
        <f>IF(Animals!S133="No","No",
IF(_xlfn.XLOOKUP(B133,'Base stats'!B:B,'Base stats'!U:U)="No",
MAX(MROUND(_xlfn.XLOOKUP(B133,'Base stats'!B:B,'Base stats'!BT:BT) * _xlfn.XLOOKUP(B133,'Base stats'!B:B,'Base stats'!BP:BP)^0.9 / 21 * _xlfn.XLOOKUP(B133,'Base stats'!B:B,'Base stats'!BX:BX),0.1),0.05),
MAX(MROUND(((MIN(10,_xlfn.XLOOKUP(B133,'Base stats'!B:B,'Base stats'!U:U)))^0.4*_xlfn.XLOOKUP(B133,'Base stats'!B:B,'Base stats'!BH:BH)^0.73)^0.6 * _xlfn.XLOOKUP(B133,'Base stats'!B:B,'Base stats'!BX:BX),0.1),0.05)
))</f>
        <v>No</v>
      </c>
      <c r="H133" s="11" t="str">
        <f>IF(G133="No","No",
MROUND(_xlfn.XLOOKUP(B133,'Base stats'!B:B,'Base stats'!BH:BH) * 0.01 * 2 + 0.05, 0.05)
)</f>
        <v>No</v>
      </c>
      <c r="I133" s="11" t="str">
        <f>IF(G133="No","No",IF(_xlfn.XLOOKUP(B133,'Base stats'!B:B,'Base stats'!U:U)="No","No",
MROUND(_xlfn.XLOOKUP(B133,'Base stats'!B:B,'Base stats'!BT:BT)/10000+0.01,0.01)
))</f>
        <v>No</v>
      </c>
      <c r="J133" s="4" t="str">
        <f>IF(G133="No","No",
MROUND(_xlfn.XLOOKUP(B133,'Base stats'!B:B,'Base stats'!BE:BE)^0.25
/((_xlfn.XLOOKUP(B133,'Base stats'!B:B,'Base stats'!BL:BL))*10)*_xlfn.XLOOKUP(_xlfn.XLOOKUP(B133,'Base stats'!B:B,'Base stats'!E:E),Groups!A:A,Groups!Q:Q)*150 + 0.5 + _xlfn.XLOOKUP(B133,'Base stats'!B:B,'Base stats'!BW:BW),
0.05))</f>
        <v>No</v>
      </c>
      <c r="K133" s="3" t="str">
        <f>IF(Animals!X133="No","No",
IF(_xlfn.XLOOKUP(_xlfn.XLOOKUP(B133,'Base stats'!B:B,'Base stats'!E:E),Groups!A:A,Groups!BD:BD)=1,
MAX(MROUND(_xlfn.XLOOKUP(B133,'Base stats'!B:B,'Base stats'!BU:BU) * _xlfn.XLOOKUP(B133,'Base stats'!B:B,'Base stats'!BQ:BQ)^0.9 / 21 *_xlfn.XLOOKUP(B133,'Base stats'!B:B,'Base stats'!BX:BX),0.1),0.05),
MAX(MROUND(((MIN(10,_xlfn.XLOOKUP(B133,'Base stats'!B:B,'Base stats'!W:W)))^0.4*_xlfn.XLOOKUP(B133,'Base stats'!B:B,'Base stats'!BI:BI)^0.73)^0.6 *_xlfn.XLOOKUP(B133,'Base stats'!B:B,'Base stats'!BX:BX),0.1),0.05)
))</f>
        <v>No</v>
      </c>
      <c r="L133" s="11" t="str">
        <f>IF(K133="No","No",
MROUND(_xlfn.XLOOKUP(B133,'Base stats'!B:B,'Base stats'!BI:BI) * 0.01 *2 + 0.05, 0.05)
)</f>
        <v>No</v>
      </c>
      <c r="M133" s="5" t="str">
        <f>IF(K133="No","No",IF(_xlfn.XLOOKUP(_xlfn.XLOOKUP(B133,'Base stats'!B:B,'Base stats'!E:E),Groups!A:A,Groups!BD:BD)=1,"No",
MROUND(_xlfn.XLOOKUP(B133,'Base stats'!B:B,'Base stats'!BU:BU)/10000+0.01,0.01)
))</f>
        <v>No</v>
      </c>
      <c r="N133" s="4" t="str">
        <f>IF(K133="No","No",
MROUND(
  _xlfn.XLOOKUP(B133,'Base stats'!B:B,'Base stats'!BC:BC)^0.25
  / (_xlfn.XLOOKUP(B133,'Base stats'!B:B,'Base stats'!BM:BM) * 10)
  * _xlfn.XLOOKUP(
      _xlfn.XLOOKUP(B133,'Base stats'!B:B,'Base stats'!E:E),
      Groups!A:A,
      Groups!V:V
    ) * 150
  + MIN(12, _xlfn.XLOOKUP(B133,'Base stats'!B:B,'Base stats'!W:W))^(1/IF(_xlfn.XLOOKUP(_xlfn.XLOOKUP(B133,'Base stats'!B:B,'Base stats'!E:E),Groups!A:A,Groups!U:U)=1,100,10)) + 0.5 + _xlfn.XLOOKUP(B133,'Base stats'!B:B,'Base stats'!BW:BW),
0.05))</f>
        <v>No</v>
      </c>
      <c r="O133" s="3">
        <f>IF(Animals!AD133="No","No",
MAX(MROUND((MIN(10,_xlfn.XLOOKUP(B133,'Base stats'!B:B,'Base stats'!V:V)*IF(_xlfn.XLOOKUP(_xlfn.XLOOKUP(B133,'Base stats'!B:B,'Base stats'!E:E),Groups!A:A,Groups!O:O)=0,1,0.33))^0.4*_xlfn.XLOOKUP(B133,'Base stats'!B:B,'Base stats'!BJ:BJ)^0.73)^0.6 *_xlfn.XLOOKUP(B133,'Base stats'!B:B,'Base stats'!BX:BX),0.1),0.05)
)</f>
        <v>1.7000000000000002</v>
      </c>
      <c r="P133" s="11">
        <f>IF(O133="No","No",
MROUND(_xlfn.XLOOKUP(B133,'Base stats'!B:B,'Base stats'!BJ:BJ) * 0.01 * 2 + 0.05, 0.05)
)</f>
        <v>0.1</v>
      </c>
      <c r="Q133" s="5">
        <f>IF(O133="No","No",
MROUND(_xlfn.XLOOKUP(B133,'Base stats'!B:B,'Base stats'!BV:BV)/10000+0.01,0.01)
)</f>
        <v>0.03</v>
      </c>
      <c r="R133" s="4">
        <f>IF(O133="No","No",
MROUND(_xlfn.XLOOKUP(B133,'Base stats'!B:B,'Base stats'!BB:BB)^0.25
/((_xlfn.XLOOKUP(B133,'Base stats'!B:B,'Base stats'!BN:BN))*10)*_xlfn.XLOOKUP(_xlfn.XLOOKUP(B133,'Base stats'!B:B,'Base stats'!E:E),Groups!A:A,Groups!Z:Z)*150 + 0.5 + _xlfn.XLOOKUP(B133,'Base stats'!B:B,'Base stats'!BW:BW),
0.05))</f>
        <v>1.8</v>
      </c>
      <c r="S133" s="3">
        <f>IF(Animals!AI133="No","No",
IF(_xlfn.XLOOKUP(B133,'Base stats'!B:B,'Base stats'!U:U)="No",
MAX(MROUND(_xlfn.XLOOKUP(B133,'Base stats'!B:B,'Base stats'!BT:BT) * _xlfn.XLOOKUP(B133,'Base stats'!B:B,'Base stats'!BP:BP)^0.9 / 21 * _xlfn.XLOOKUP(B133,'Base stats'!B:B,'Base stats'!BX:BX),0.1),0.05),
MAX(MROUND(((MIN(12,_xlfn.XLOOKUP(B133,'Base stats'!B:B,'Base stats'!U:U)))^0.4*_xlfn.XLOOKUP(B133,'Base stats'!B:B,'Base stats'!BH:BH)^0.73)^0.6 * _xlfn.XLOOKUP(B133,'Base stats'!B:B,'Base stats'!BX:BX),0.1),0.05)
))</f>
        <v>0.4</v>
      </c>
      <c r="T133" s="11">
        <f>IF(S133="No","No",
MROUND(_xlfn.XLOOKUP(B133,'Base stats'!B:B,'Base stats'!BH:BH) * 0.01 * 2 + 0.05, 0.05)
)</f>
        <v>0.2</v>
      </c>
      <c r="U133" s="5" t="str">
        <f>IF(S133="No","No",IF(_xlfn.XLOOKUP(B133,'Base stats'!B:B,'Base stats'!U:U)="No","No",
MROUND(_xlfn.XLOOKUP(B133,'Base stats'!B:B,'Base stats'!BT:BT)/10000+0.01,0.01)
))</f>
        <v>No</v>
      </c>
      <c r="V133" s="4">
        <f>IF(S133="No","No",
MROUND(_xlfn.XLOOKUP(B133,'Base stats'!B:B,'Base stats'!BF:BF)^0.25
/((_xlfn.XLOOKUP(B133,'Base stats'!B:B,'Base stats'!BO:BO))*10)*_xlfn.XLOOKUP(_xlfn.XLOOKUP(B133,'Base stats'!B:B,'Base stats'!E:E),Groups!A:A,Groups!AE:AE)*150 + 0.5 + _xlfn.XLOOKUP(B133,'Base stats'!B:B,'Base stats'!BW:BW),
0.05))</f>
        <v>1.1000000000000001</v>
      </c>
      <c r="W133" s="8">
        <f>MROUND(_xlfn.XLOOKUP(_xlfn.XLOOKUP(B133,'Base stats'!B:B,'Base stats'!E:E),Groups!A:A,Groups!BG:BG)*_xlfn.XLOOKUP(B133,'Base stats'!B:B,'Base stats'!C:C)^-0.165,0.05)</f>
        <v>0.85000000000000009</v>
      </c>
      <c r="X133" s="1">
        <f>MROUND(_xlfn.XLOOKUP(_xlfn.XLOOKUP(B133,'Base stats'!B:B,'Base stats'!E:E),Groups!A:A,Groups!BH:BH)*_xlfn.XLOOKUP(B133,'Base stats'!B:B,'Base stats'!C:C)^0.165,0.05)</f>
        <v>0.1</v>
      </c>
      <c r="Y133" s="8">
        <f>MROUND(_xlfn.XLOOKUP(_xlfn.XLOOKUP(B133,'Base stats'!B:B,'Base stats'!E:E),Groups!A:A,Groups!BI:BI)*_xlfn.XLOOKUP(B133,'Base stats'!B:B,'Base stats'!C:C)^0.165,0.05)</f>
        <v>0.05</v>
      </c>
      <c r="Z133" s="18">
        <f>MROUND(_xlfn.XLOOKUP(B133,'Base stats'!B:B,'Base stats'!AQ:AQ)*_xlfn.XLOOKUP(_xlfn.XLOOKUP(B133,'Base stats'!B:B,'Base stats'!E:E),Groups!A:A,Groups!H:H)/1000,IF((_xlfn.XLOOKUP(B133,'Base stats'!B:B,'Base stats'!AQ:AQ)*_xlfn.XLOOKUP(_xlfn.XLOOKUP(B133,'Base stats'!B:B,'Base stats'!E:E),Groups!A:A,Groups!H:H)/1000)&gt;1,0.05,0.01))</f>
        <v>0.02</v>
      </c>
      <c r="AA133" s="18">
        <f>MROUND((1/2)*(_xlfn.XLOOKUP(_xlfn.XLOOKUP(B133,'Base stats'!B:B,'Base stats'!E:E),Groups!A:A,Groups!H:H)*_xlfn.XLOOKUP(_xlfn.XLOOKUP(B133,'Base stats'!B:B,'Base stats'!E:E),Groups!A:A,Groups!I:I))*_xlfn.XLOOKUP(B133,'Base stats'!B:B,'Base stats'!AQ:AQ)*0.01,0.05)</f>
        <v>0.1</v>
      </c>
      <c r="AB133" s="18">
        <f>MROUND(250*(Animals!AO133+Animals!AP133),25)</f>
        <v>125</v>
      </c>
      <c r="AC133" s="18" t="str">
        <f>_xlfn.XLOOKUP(_xlfn.XLOOKUP(B133,'Base stats'!B:B,'Base stats'!E:E),Groups!A:A,Groups!BJ:BJ)</f>
        <v>Quadruped</v>
      </c>
    </row>
    <row r="134" spans="1:29" ht="16.5" thickTop="1" thickBot="1" x14ac:dyDescent="0.3">
      <c r="A134" s="16" t="str">
        <f>Animals!A134</f>
        <v>Mandrill</v>
      </c>
      <c r="B134" s="6" t="str">
        <f>Animals!B134</f>
        <v>Mandrillus sphinx</v>
      </c>
      <c r="C134" s="1" t="str">
        <f>Animals!C134</f>
        <v>&lt;li&gt;AEXP_Mandrill&lt;/li&gt;</v>
      </c>
      <c r="D134" s="47">
        <f>MIN(MIN(6,_xlfn.XLOOKUP(A134,Animals!A:A,Animals!AO:AO))*20,MAX(MROUND(_xlfn.XLOOKUP(B134,'Base stats'!B:B,'Base stats'!BS:BS) * (_xlfn.XLOOKUP(B134,'Base stats'!B:B,'Base stats'!AO:AO)*5%)^0.9 / 21,0.1),0.05))</f>
        <v>0.70000000000000007</v>
      </c>
      <c r="E134" s="11">
        <f>MROUND(_xlfn.XLOOKUP(B134,'Base stats'!B:B,'Base stats'!BG:BG) * 0.01 * 2 + 0.01, 0.05)</f>
        <v>0.55000000000000004</v>
      </c>
      <c r="F134" s="7">
        <f>MROUND(_xlfn.XLOOKUP(B134,'Base stats'!B:B,'Base stats'!BD:BD)^0.25 / (_xlfn.XLOOKUP(B134,'Base stats'!B:B,'Base stats'!BK:BK) * 10) * 150 + 0.5 + _xlfn.XLOOKUP(B134,'Base stats'!B:B,'Base stats'!BW:BW), 0.05)</f>
        <v>1.4500000000000002</v>
      </c>
      <c r="G134" s="3" t="str">
        <f>IF(Animals!S134="No","No",
IF(_xlfn.XLOOKUP(B134,'Base stats'!B:B,'Base stats'!U:U)="No",
MAX(MROUND(_xlfn.XLOOKUP(B134,'Base stats'!B:B,'Base stats'!BT:BT) * _xlfn.XLOOKUP(B134,'Base stats'!B:B,'Base stats'!BP:BP)^0.9 / 21 * _xlfn.XLOOKUP(B134,'Base stats'!B:B,'Base stats'!BX:BX),0.1),0.05),
MAX(MROUND(((MIN(10,_xlfn.XLOOKUP(B134,'Base stats'!B:B,'Base stats'!U:U)))^0.4*_xlfn.XLOOKUP(B134,'Base stats'!B:B,'Base stats'!BH:BH)^0.73)^0.6 * _xlfn.XLOOKUP(B134,'Base stats'!B:B,'Base stats'!BX:BX),0.1),0.05)
))</f>
        <v>No</v>
      </c>
      <c r="H134" s="11" t="str">
        <f>IF(G134="No","No",
MROUND(_xlfn.XLOOKUP(B134,'Base stats'!B:B,'Base stats'!BH:BH) * 0.01 * 2 + 0.05, 0.05)
)</f>
        <v>No</v>
      </c>
      <c r="I134" s="11" t="str">
        <f>IF(G134="No","No",IF(_xlfn.XLOOKUP(B134,'Base stats'!B:B,'Base stats'!U:U)="No","No",
MROUND(_xlfn.XLOOKUP(B134,'Base stats'!B:B,'Base stats'!BT:BT)/10000+0.01,0.01)
))</f>
        <v>No</v>
      </c>
      <c r="J134" s="4" t="str">
        <f>IF(G134="No","No",
MROUND(_xlfn.XLOOKUP(B134,'Base stats'!B:B,'Base stats'!BE:BE)^0.25
/((_xlfn.XLOOKUP(B134,'Base stats'!B:B,'Base stats'!BL:BL))*10)*_xlfn.XLOOKUP(_xlfn.XLOOKUP(B134,'Base stats'!B:B,'Base stats'!E:E),Groups!A:A,Groups!Q:Q)*150 + 0.5 + _xlfn.XLOOKUP(B134,'Base stats'!B:B,'Base stats'!BW:BW),
0.05))</f>
        <v>No</v>
      </c>
      <c r="K134" s="3" t="str">
        <f>IF(Animals!X134="No","No",
IF(_xlfn.XLOOKUP(_xlfn.XLOOKUP(B134,'Base stats'!B:B,'Base stats'!E:E),Groups!A:A,Groups!BD:BD)=1,
MAX(MROUND(_xlfn.XLOOKUP(B134,'Base stats'!B:B,'Base stats'!BU:BU) * _xlfn.XLOOKUP(B134,'Base stats'!B:B,'Base stats'!BQ:BQ)^0.9 / 21 *_xlfn.XLOOKUP(B134,'Base stats'!B:B,'Base stats'!BX:BX),0.1),0.05),
MAX(MROUND(((MIN(10,_xlfn.XLOOKUP(B134,'Base stats'!B:B,'Base stats'!W:W)))^0.4*_xlfn.XLOOKUP(B134,'Base stats'!B:B,'Base stats'!BI:BI)^0.73)^0.6 *_xlfn.XLOOKUP(B134,'Base stats'!B:B,'Base stats'!BX:BX),0.1),0.05)
))</f>
        <v>No</v>
      </c>
      <c r="L134" s="11" t="str">
        <f>IF(K134="No","No",
MROUND(_xlfn.XLOOKUP(B134,'Base stats'!B:B,'Base stats'!BI:BI) * 0.01 *2 + 0.05, 0.05)
)</f>
        <v>No</v>
      </c>
      <c r="M134" s="5" t="str">
        <f>IF(K134="No","No",IF(_xlfn.XLOOKUP(_xlfn.XLOOKUP(B134,'Base stats'!B:B,'Base stats'!E:E),Groups!A:A,Groups!BD:BD)=1,"No",
MROUND(_xlfn.XLOOKUP(B134,'Base stats'!B:B,'Base stats'!BU:BU)/10000+0.01,0.01)
))</f>
        <v>No</v>
      </c>
      <c r="N134" s="4" t="str">
        <f>IF(K134="No","No",
MROUND(
  _xlfn.XLOOKUP(B134,'Base stats'!B:B,'Base stats'!BC:BC)^0.25
  / (_xlfn.XLOOKUP(B134,'Base stats'!B:B,'Base stats'!BM:BM) * 10)
  * _xlfn.XLOOKUP(
      _xlfn.XLOOKUP(B134,'Base stats'!B:B,'Base stats'!E:E),
      Groups!A:A,
      Groups!V:V
    ) * 150
  + MIN(12, _xlfn.XLOOKUP(B134,'Base stats'!B:B,'Base stats'!W:W))^(1/IF(_xlfn.XLOOKUP(_xlfn.XLOOKUP(B134,'Base stats'!B:B,'Base stats'!E:E),Groups!A:A,Groups!U:U)=1,100,10)) + 0.5 + _xlfn.XLOOKUP(B134,'Base stats'!B:B,'Base stats'!BW:BW),
0.05))</f>
        <v>No</v>
      </c>
      <c r="O134" s="3">
        <f>IF(Animals!AD134="No","No",
MAX(MROUND((MIN(10,_xlfn.XLOOKUP(B134,'Base stats'!B:B,'Base stats'!V:V)*IF(_xlfn.XLOOKUP(_xlfn.XLOOKUP(B134,'Base stats'!B:B,'Base stats'!E:E),Groups!A:A,Groups!O:O)=0,1,0.33))^0.4*_xlfn.XLOOKUP(B134,'Base stats'!B:B,'Base stats'!BJ:BJ)^0.73)^0.6 *_xlfn.XLOOKUP(B134,'Base stats'!B:B,'Base stats'!BX:BX),0.1),0.05)
)</f>
        <v>5.3000000000000007</v>
      </c>
      <c r="P134" s="11">
        <f>IF(O134="No","No",
MROUND(_xlfn.XLOOKUP(B134,'Base stats'!B:B,'Base stats'!BJ:BJ) * 0.01 * 2 + 0.05, 0.05)
)</f>
        <v>0.45</v>
      </c>
      <c r="Q134" s="5">
        <f>IF(O134="No","No",
MROUND(_xlfn.XLOOKUP(B134,'Base stats'!B:B,'Base stats'!BV:BV)/10000+0.01,0.01)
)</f>
        <v>0.05</v>
      </c>
      <c r="R134" s="4">
        <f>IF(O134="No","No",
MROUND(_xlfn.XLOOKUP(B134,'Base stats'!B:B,'Base stats'!BB:BB)^0.25
/((_xlfn.XLOOKUP(B134,'Base stats'!B:B,'Base stats'!BN:BN))*10)*_xlfn.XLOOKUP(_xlfn.XLOOKUP(B134,'Base stats'!B:B,'Base stats'!E:E),Groups!A:A,Groups!Z:Z)*150 + 0.5 + _xlfn.XLOOKUP(B134,'Base stats'!B:B,'Base stats'!BW:BW),
0.05))</f>
        <v>1.9000000000000001</v>
      </c>
      <c r="S134" s="3">
        <f>IF(Animals!AI134="No","No",
IF(_xlfn.XLOOKUP(B134,'Base stats'!B:B,'Base stats'!U:U)="No",
MAX(MROUND(_xlfn.XLOOKUP(B134,'Base stats'!B:B,'Base stats'!BT:BT) * _xlfn.XLOOKUP(B134,'Base stats'!B:B,'Base stats'!BP:BP)^0.9 / 21 * _xlfn.XLOOKUP(B134,'Base stats'!B:B,'Base stats'!BX:BX),0.1),0.05),
MAX(MROUND(((MIN(12,_xlfn.XLOOKUP(B134,'Base stats'!B:B,'Base stats'!U:U)))^0.4*_xlfn.XLOOKUP(B134,'Base stats'!B:B,'Base stats'!BH:BH)^0.73)^0.6 * _xlfn.XLOOKUP(B134,'Base stats'!B:B,'Base stats'!BX:BX),0.1),0.05)
))</f>
        <v>1.8</v>
      </c>
      <c r="T134" s="11">
        <f>IF(S134="No","No",
MROUND(_xlfn.XLOOKUP(B134,'Base stats'!B:B,'Base stats'!BH:BH) * 0.01 * 2 + 0.05, 0.05)
)</f>
        <v>0.8</v>
      </c>
      <c r="U134" s="5" t="str">
        <f>IF(S134="No","No",IF(_xlfn.XLOOKUP(B134,'Base stats'!B:B,'Base stats'!U:U)="No","No",
MROUND(_xlfn.XLOOKUP(B134,'Base stats'!B:B,'Base stats'!BT:BT)/10000+0.01,0.01)
))</f>
        <v>No</v>
      </c>
      <c r="V134" s="4">
        <f>IF(S134="No","No",
MROUND(_xlfn.XLOOKUP(B134,'Base stats'!B:B,'Base stats'!BF:BF)^0.25
/((_xlfn.XLOOKUP(B134,'Base stats'!B:B,'Base stats'!BO:BO))*10)*_xlfn.XLOOKUP(_xlfn.XLOOKUP(B134,'Base stats'!B:B,'Base stats'!E:E),Groups!A:A,Groups!AE:AE)*150 + 0.5 + _xlfn.XLOOKUP(B134,'Base stats'!B:B,'Base stats'!BW:BW),
0.05))</f>
        <v>1.25</v>
      </c>
      <c r="W134" s="8">
        <f>MROUND(_xlfn.XLOOKUP(_xlfn.XLOOKUP(B134,'Base stats'!B:B,'Base stats'!E:E),Groups!A:A,Groups!BG:BG)*_xlfn.XLOOKUP(B134,'Base stats'!B:B,'Base stats'!C:C)^-0.165,0.05)</f>
        <v>0.60000000000000009</v>
      </c>
      <c r="X134" s="1">
        <f>MROUND(_xlfn.XLOOKUP(_xlfn.XLOOKUP(B134,'Base stats'!B:B,'Base stats'!E:E),Groups!A:A,Groups!BH:BH)*_xlfn.XLOOKUP(B134,'Base stats'!B:B,'Base stats'!C:C)^0.165,0.05)</f>
        <v>0.15000000000000002</v>
      </c>
      <c r="Y134" s="8">
        <f>MROUND(_xlfn.XLOOKUP(_xlfn.XLOOKUP(B134,'Base stats'!B:B,'Base stats'!E:E),Groups!A:A,Groups!BI:BI)*_xlfn.XLOOKUP(B134,'Base stats'!B:B,'Base stats'!C:C)^0.165,0.05)</f>
        <v>0.1</v>
      </c>
      <c r="Z134" s="18">
        <f>MROUND(_xlfn.XLOOKUP(B134,'Base stats'!B:B,'Base stats'!AQ:AQ)*_xlfn.XLOOKUP(_xlfn.XLOOKUP(B134,'Base stats'!B:B,'Base stats'!E:E),Groups!A:A,Groups!H:H)/1000,IF((_xlfn.XLOOKUP(B134,'Base stats'!B:B,'Base stats'!AQ:AQ)*_xlfn.XLOOKUP(_xlfn.XLOOKUP(B134,'Base stats'!B:B,'Base stats'!E:E),Groups!A:A,Groups!H:H)/1000)&gt;1,0.05,0.01))</f>
        <v>0.04</v>
      </c>
      <c r="AA134" s="18">
        <f>MROUND((1/2)*(_xlfn.XLOOKUP(_xlfn.XLOOKUP(B134,'Base stats'!B:B,'Base stats'!E:E),Groups!A:A,Groups!H:H)*_xlfn.XLOOKUP(_xlfn.XLOOKUP(B134,'Base stats'!B:B,'Base stats'!E:E),Groups!A:A,Groups!I:I))*_xlfn.XLOOKUP(B134,'Base stats'!B:B,'Base stats'!AQ:AQ)*0.01,0.05)</f>
        <v>0.2</v>
      </c>
      <c r="AB134" s="18">
        <f>MROUND(250*(Animals!AO134+Animals!AP134),25)</f>
        <v>275</v>
      </c>
      <c r="AC134" s="18" t="str">
        <f>_xlfn.XLOOKUP(_xlfn.XLOOKUP(B134,'Base stats'!B:B,'Base stats'!E:E),Groups!A:A,Groups!BJ:BJ)</f>
        <v>Quadruped</v>
      </c>
    </row>
    <row r="135" spans="1:29" ht="16.5" thickTop="1" thickBot="1" x14ac:dyDescent="0.3">
      <c r="A135" s="16" t="str">
        <f>Animals!A135</f>
        <v>Tapir</v>
      </c>
      <c r="B135" s="6" t="str">
        <f>Animals!B135</f>
        <v>Tapirus bairdii</v>
      </c>
      <c r="C135" s="1" t="str">
        <f>Animals!C135</f>
        <v>&lt;li&gt;AEXP_Tapir&lt;/li&gt;</v>
      </c>
      <c r="D135" s="47">
        <f>MIN(MIN(6,_xlfn.XLOOKUP(A135,Animals!A:A,Animals!AO:AO))*20,MAX(MROUND(_xlfn.XLOOKUP(B135,'Base stats'!B:B,'Base stats'!BS:BS) * (_xlfn.XLOOKUP(B135,'Base stats'!B:B,'Base stats'!AO:AO)*5%)^0.9 / 21,0.1),0.05))</f>
        <v>7.7</v>
      </c>
      <c r="E135" s="11">
        <f>MROUND(_xlfn.XLOOKUP(B135,'Base stats'!B:B,'Base stats'!BG:BG) * 0.01 * 2 + 0.01, 0.05)</f>
        <v>7.0500000000000007</v>
      </c>
      <c r="F135" s="7">
        <f>MROUND(_xlfn.XLOOKUP(B135,'Base stats'!B:B,'Base stats'!BD:BD)^0.25 / (_xlfn.XLOOKUP(B135,'Base stats'!B:B,'Base stats'!BK:BK) * 10) * 150 + 0.5 + _xlfn.XLOOKUP(B135,'Base stats'!B:B,'Base stats'!BW:BW), 0.05)</f>
        <v>1.8</v>
      </c>
      <c r="G135" s="3">
        <f>IF(Animals!S135="No","No",
IF(_xlfn.XLOOKUP(B135,'Base stats'!B:B,'Base stats'!U:U)="No",
MAX(MROUND(_xlfn.XLOOKUP(B135,'Base stats'!B:B,'Base stats'!BT:BT) * _xlfn.XLOOKUP(B135,'Base stats'!B:B,'Base stats'!BP:BP)^0.9 / 21 * _xlfn.XLOOKUP(B135,'Base stats'!B:B,'Base stats'!BX:BX),0.1),0.05),
MAX(MROUND(((MIN(10,_xlfn.XLOOKUP(B135,'Base stats'!B:B,'Base stats'!U:U)))^0.4*_xlfn.XLOOKUP(B135,'Base stats'!B:B,'Base stats'!BH:BH)^0.73)^0.6 * _xlfn.XLOOKUP(B135,'Base stats'!B:B,'Base stats'!BX:BX),0.1),0.05)
))</f>
        <v>13.200000000000001</v>
      </c>
      <c r="H135" s="11">
        <f>IF(G135="No","No",
MROUND(_xlfn.XLOOKUP(B135,'Base stats'!B:B,'Base stats'!BH:BH) * 0.01 * 2 + 0.05, 0.05)
)</f>
        <v>8.35</v>
      </c>
      <c r="I135" s="11" t="str">
        <f>IF(G135="No","No",IF(_xlfn.XLOOKUP(B135,'Base stats'!B:B,'Base stats'!U:U)="No","No",
MROUND(_xlfn.XLOOKUP(B135,'Base stats'!B:B,'Base stats'!BT:BT)/10000+0.01,0.01)
))</f>
        <v>No</v>
      </c>
      <c r="J135" s="4">
        <f>IF(G135="No","No",
MROUND(_xlfn.XLOOKUP(B135,'Base stats'!B:B,'Base stats'!BE:BE)^0.25
/((_xlfn.XLOOKUP(B135,'Base stats'!B:B,'Base stats'!BL:BL))*10)*_xlfn.XLOOKUP(_xlfn.XLOOKUP(B135,'Base stats'!B:B,'Base stats'!E:E),Groups!A:A,Groups!Q:Q)*150 + 0.5 + _xlfn.XLOOKUP(B135,'Base stats'!B:B,'Base stats'!BW:BW),
0.05))</f>
        <v>2.3000000000000003</v>
      </c>
      <c r="K135" s="3" t="str">
        <f>IF(Animals!X135="No","No",
IF(_xlfn.XLOOKUP(_xlfn.XLOOKUP(B135,'Base stats'!B:B,'Base stats'!E:E),Groups!A:A,Groups!BD:BD)=1,
MAX(MROUND(_xlfn.XLOOKUP(B135,'Base stats'!B:B,'Base stats'!BU:BU) * _xlfn.XLOOKUP(B135,'Base stats'!B:B,'Base stats'!BQ:BQ)^0.9 / 21 *_xlfn.XLOOKUP(B135,'Base stats'!B:B,'Base stats'!BX:BX),0.1),0.05),
MAX(MROUND(((MIN(10,_xlfn.XLOOKUP(B135,'Base stats'!B:B,'Base stats'!W:W)))^0.4*_xlfn.XLOOKUP(B135,'Base stats'!B:B,'Base stats'!BI:BI)^0.73)^0.6 *_xlfn.XLOOKUP(B135,'Base stats'!B:B,'Base stats'!BX:BX),0.1),0.05)
))</f>
        <v>No</v>
      </c>
      <c r="L135" s="11" t="str">
        <f>IF(K135="No","No",
MROUND(_xlfn.XLOOKUP(B135,'Base stats'!B:B,'Base stats'!BI:BI) * 0.01 *2 + 0.05, 0.05)
)</f>
        <v>No</v>
      </c>
      <c r="M135" s="5" t="str">
        <f>IF(K135="No","No",IF(_xlfn.XLOOKUP(_xlfn.XLOOKUP(B135,'Base stats'!B:B,'Base stats'!E:E),Groups!A:A,Groups!BD:BD)=1,"No",
MROUND(_xlfn.XLOOKUP(B135,'Base stats'!B:B,'Base stats'!BU:BU)/10000+0.01,0.01)
))</f>
        <v>No</v>
      </c>
      <c r="N135" s="4" t="str">
        <f>IF(K135="No","No",
MROUND(
  _xlfn.XLOOKUP(B135,'Base stats'!B:B,'Base stats'!BC:BC)^0.25
  / (_xlfn.XLOOKUP(B135,'Base stats'!B:B,'Base stats'!BM:BM) * 10)
  * _xlfn.XLOOKUP(
      _xlfn.XLOOKUP(B135,'Base stats'!B:B,'Base stats'!E:E),
      Groups!A:A,
      Groups!V:V
    ) * 150
  + MIN(12, _xlfn.XLOOKUP(B135,'Base stats'!B:B,'Base stats'!W:W))^(1/IF(_xlfn.XLOOKUP(_xlfn.XLOOKUP(B135,'Base stats'!B:B,'Base stats'!E:E),Groups!A:A,Groups!U:U)=1,100,10)) + 0.5 + _xlfn.XLOOKUP(B135,'Base stats'!B:B,'Base stats'!BW:BW),
0.05))</f>
        <v>No</v>
      </c>
      <c r="O135" s="3">
        <f>IF(Animals!AD135="No","No",
MAX(MROUND((MIN(10,_xlfn.XLOOKUP(B135,'Base stats'!B:B,'Base stats'!V:V)*IF(_xlfn.XLOOKUP(_xlfn.XLOOKUP(B135,'Base stats'!B:B,'Base stats'!E:E),Groups!A:A,Groups!O:O)=0,1,0.33))^0.4*_xlfn.XLOOKUP(B135,'Base stats'!B:B,'Base stats'!BJ:BJ)^0.73)^0.6 *_xlfn.XLOOKUP(B135,'Base stats'!B:B,'Base stats'!BX:BX),0.1),0.05)
)</f>
        <v>12.9</v>
      </c>
      <c r="P135" s="11">
        <f>IF(O135="No","No",
MROUND(_xlfn.XLOOKUP(B135,'Base stats'!B:B,'Base stats'!BJ:BJ) * 0.01 * 2 + 0.05, 0.05)
)</f>
        <v>5.5</v>
      </c>
      <c r="Q135" s="5">
        <f>IF(O135="No","No",
MROUND(_xlfn.XLOOKUP(B135,'Base stats'!B:B,'Base stats'!BV:BV)/10000+0.01,0.01)
)</f>
        <v>0.13</v>
      </c>
      <c r="R135" s="4">
        <f>IF(O135="No","No",
MROUND(_xlfn.XLOOKUP(B135,'Base stats'!B:B,'Base stats'!BB:BB)^0.25
/((_xlfn.XLOOKUP(B135,'Base stats'!B:B,'Base stats'!BN:BN))*10)*_xlfn.XLOOKUP(_xlfn.XLOOKUP(B135,'Base stats'!B:B,'Base stats'!E:E),Groups!A:A,Groups!Z:Z)*150 + 0.5 + _xlfn.XLOOKUP(B135,'Base stats'!B:B,'Base stats'!BW:BW),
0.05))</f>
        <v>2.75</v>
      </c>
      <c r="S135" s="3" t="str">
        <f>IF(Animals!AI135="No","No",
IF(_xlfn.XLOOKUP(B135,'Base stats'!B:B,'Base stats'!U:U)="No",
MAX(MROUND(_xlfn.XLOOKUP(B135,'Base stats'!B:B,'Base stats'!BT:BT) * _xlfn.XLOOKUP(B135,'Base stats'!B:B,'Base stats'!BP:BP)^0.9 / 21 * _xlfn.XLOOKUP(B135,'Base stats'!B:B,'Base stats'!BX:BX),0.1),0.05),
MAX(MROUND(((MIN(12,_xlfn.XLOOKUP(B135,'Base stats'!B:B,'Base stats'!U:U)))^0.4*_xlfn.XLOOKUP(B135,'Base stats'!B:B,'Base stats'!BH:BH)^0.73)^0.6 * _xlfn.XLOOKUP(B135,'Base stats'!B:B,'Base stats'!BX:BX),0.1),0.05)
))</f>
        <v>No</v>
      </c>
      <c r="T135" s="11" t="str">
        <f>IF(S135="No","No",
MROUND(_xlfn.XLOOKUP(B135,'Base stats'!B:B,'Base stats'!BH:BH) * 0.01 * 2 + 0.05, 0.05)
)</f>
        <v>No</v>
      </c>
      <c r="U135" s="5" t="str">
        <f>IF(S135="No","No",IF(_xlfn.XLOOKUP(B135,'Base stats'!B:B,'Base stats'!U:U)="No","No",
MROUND(_xlfn.XLOOKUP(B135,'Base stats'!B:B,'Base stats'!BT:BT)/10000+0.01,0.01)
))</f>
        <v>No</v>
      </c>
      <c r="V135" s="4" t="str">
        <f>IF(S135="No","No",
MROUND(_xlfn.XLOOKUP(B135,'Base stats'!B:B,'Base stats'!BF:BF)^0.25
/((_xlfn.XLOOKUP(B135,'Base stats'!B:B,'Base stats'!BO:BO))*10)*_xlfn.XLOOKUP(_xlfn.XLOOKUP(B135,'Base stats'!B:B,'Base stats'!E:E),Groups!A:A,Groups!AE:AE)*150 + 0.5 + _xlfn.XLOOKUP(B135,'Base stats'!B:B,'Base stats'!BW:BW),
0.05))</f>
        <v>No</v>
      </c>
      <c r="W135" s="8">
        <f>MROUND(_xlfn.XLOOKUP(_xlfn.XLOOKUP(B135,'Base stats'!B:B,'Base stats'!E:E),Groups!A:A,Groups!BG:BG)*_xlfn.XLOOKUP(B135,'Base stats'!B:B,'Base stats'!C:C)^-0.165,0.05)</f>
        <v>0.25</v>
      </c>
      <c r="X135" s="1">
        <f>MROUND(_xlfn.XLOOKUP(_xlfn.XLOOKUP(B135,'Base stats'!B:B,'Base stats'!E:E),Groups!A:A,Groups!BH:BH)*_xlfn.XLOOKUP(B135,'Base stats'!B:B,'Base stats'!C:C)^0.165,0.05)</f>
        <v>0</v>
      </c>
      <c r="Y135" s="8">
        <f>MROUND(_xlfn.XLOOKUP(_xlfn.XLOOKUP(B135,'Base stats'!B:B,'Base stats'!E:E),Groups!A:A,Groups!BI:BI)*_xlfn.XLOOKUP(B135,'Base stats'!B:B,'Base stats'!C:C)^0.165,0.05)</f>
        <v>0</v>
      </c>
      <c r="Z135" s="18">
        <f>MROUND(_xlfn.XLOOKUP(B135,'Base stats'!B:B,'Base stats'!AQ:AQ)*_xlfn.XLOOKUP(_xlfn.XLOOKUP(B135,'Base stats'!B:B,'Base stats'!E:E),Groups!A:A,Groups!H:H)/1000,IF((_xlfn.XLOOKUP(B135,'Base stats'!B:B,'Base stats'!AQ:AQ)*_xlfn.XLOOKUP(_xlfn.XLOOKUP(B135,'Base stats'!B:B,'Base stats'!E:E),Groups!A:A,Groups!H:H)/1000)&gt;1,0.05,0.01))</f>
        <v>0.09</v>
      </c>
      <c r="AA135" s="18">
        <f>MROUND((1/2)*(_xlfn.XLOOKUP(_xlfn.XLOOKUP(B135,'Base stats'!B:B,'Base stats'!E:E),Groups!A:A,Groups!H:H)*_xlfn.XLOOKUP(_xlfn.XLOOKUP(B135,'Base stats'!B:B,'Base stats'!E:E),Groups!A:A,Groups!I:I))*_xlfn.XLOOKUP(B135,'Base stats'!B:B,'Base stats'!AQ:AQ)*0.01,0.05)</f>
        <v>0.4</v>
      </c>
      <c r="AB135" s="18">
        <f>MROUND(250*(Animals!AO135+Animals!AP135),25)</f>
        <v>1125</v>
      </c>
      <c r="AC135" s="18" t="str">
        <f>_xlfn.XLOOKUP(_xlfn.XLOOKUP(B135,'Base stats'!B:B,'Base stats'!E:E),Groups!A:A,Groups!BJ:BJ)</f>
        <v>Quadruped</v>
      </c>
    </row>
    <row r="136" spans="1:29" ht="16.5" thickTop="1" thickBot="1" x14ac:dyDescent="0.3">
      <c r="A136" s="16" t="str">
        <f>Animals!A136</f>
        <v>Anaconda</v>
      </c>
      <c r="B136" s="6" t="str">
        <f>Animals!B136</f>
        <v>Eunectes murinus</v>
      </c>
      <c r="C136" s="1" t="str">
        <f>Animals!C136</f>
        <v>&lt;li&gt;AEXP_Anaconda&lt;/li&gt;</v>
      </c>
      <c r="D136" s="47">
        <f>MIN(MIN(6,_xlfn.XLOOKUP(A136,Animals!A:A,Animals!AO:AO))*20,MAX(MROUND(_xlfn.XLOOKUP(B136,'Base stats'!B:B,'Base stats'!BS:BS) * (_xlfn.XLOOKUP(B136,'Base stats'!B:B,'Base stats'!AO:AO)*5%)^0.9 / 21,0.1),0.05))</f>
        <v>3</v>
      </c>
      <c r="E136" s="11">
        <f>MROUND(_xlfn.XLOOKUP(B136,'Base stats'!B:B,'Base stats'!BG:BG) * 0.01 * 2 + 0.01, 0.05)</f>
        <v>2.5500000000000003</v>
      </c>
      <c r="F136" s="7">
        <f>MROUND(_xlfn.XLOOKUP(B136,'Base stats'!B:B,'Base stats'!BD:BD)^0.25 / (_xlfn.XLOOKUP(B136,'Base stats'!B:B,'Base stats'!BK:BK) * 10) * 150 + 0.5 + _xlfn.XLOOKUP(B136,'Base stats'!B:B,'Base stats'!BW:BW), 0.05)</f>
        <v>2.0500000000000003</v>
      </c>
      <c r="G136" s="3" t="str">
        <f>IF(Animals!S136="No","No",
IF(_xlfn.XLOOKUP(B136,'Base stats'!B:B,'Base stats'!U:U)="No",
MAX(MROUND(_xlfn.XLOOKUP(B136,'Base stats'!B:B,'Base stats'!BT:BT) * _xlfn.XLOOKUP(B136,'Base stats'!B:B,'Base stats'!BP:BP)^0.9 / 21 * _xlfn.XLOOKUP(B136,'Base stats'!B:B,'Base stats'!BX:BX),0.1),0.05),
MAX(MROUND(((MIN(10,_xlfn.XLOOKUP(B136,'Base stats'!B:B,'Base stats'!U:U)))^0.4*_xlfn.XLOOKUP(B136,'Base stats'!B:B,'Base stats'!BH:BH)^0.73)^0.6 * _xlfn.XLOOKUP(B136,'Base stats'!B:B,'Base stats'!BX:BX),0.1),0.05)
))</f>
        <v>No</v>
      </c>
      <c r="H136" s="11" t="str">
        <f>IF(G136="No","No",
MROUND(_xlfn.XLOOKUP(B136,'Base stats'!B:B,'Base stats'!BH:BH) * 0.01 * 2 + 0.05, 0.05)
)</f>
        <v>No</v>
      </c>
      <c r="I136" s="11" t="str">
        <f>IF(G136="No","No",IF(_xlfn.XLOOKUP(B136,'Base stats'!B:B,'Base stats'!U:U)="No","No",
MROUND(_xlfn.XLOOKUP(B136,'Base stats'!B:B,'Base stats'!BT:BT)/10000+0.01,0.01)
))</f>
        <v>No</v>
      </c>
      <c r="J136" s="4" t="str">
        <f>IF(G136="No","No",
MROUND(_xlfn.XLOOKUP(B136,'Base stats'!B:B,'Base stats'!BE:BE)^0.25
/((_xlfn.XLOOKUP(B136,'Base stats'!B:B,'Base stats'!BL:BL))*10)*_xlfn.XLOOKUP(_xlfn.XLOOKUP(B136,'Base stats'!B:B,'Base stats'!E:E),Groups!A:A,Groups!Q:Q)*150 + 0.5 + _xlfn.XLOOKUP(B136,'Base stats'!B:B,'Base stats'!BW:BW),
0.05))</f>
        <v>No</v>
      </c>
      <c r="K136" s="3" t="str">
        <f>IF(Animals!X136="No","No",
IF(_xlfn.XLOOKUP(_xlfn.XLOOKUP(B136,'Base stats'!B:B,'Base stats'!E:E),Groups!A:A,Groups!BD:BD)=1,
MAX(MROUND(_xlfn.XLOOKUP(B136,'Base stats'!B:B,'Base stats'!BU:BU) * _xlfn.XLOOKUP(B136,'Base stats'!B:B,'Base stats'!BQ:BQ)^0.9 / 21 *_xlfn.XLOOKUP(B136,'Base stats'!B:B,'Base stats'!BX:BX),0.1),0.05),
MAX(MROUND(((MIN(10,_xlfn.XLOOKUP(B136,'Base stats'!B:B,'Base stats'!W:W)))^0.4*_xlfn.XLOOKUP(B136,'Base stats'!B:B,'Base stats'!BI:BI)^0.73)^0.6 *_xlfn.XLOOKUP(B136,'Base stats'!B:B,'Base stats'!BX:BX),0.1),0.05)
))</f>
        <v>No</v>
      </c>
      <c r="L136" s="11" t="str">
        <f>IF(K136="No","No",
MROUND(_xlfn.XLOOKUP(B136,'Base stats'!B:B,'Base stats'!BI:BI) * 0.01 *2 + 0.05, 0.05)
)</f>
        <v>No</v>
      </c>
      <c r="M136" s="5" t="str">
        <f>IF(K136="No","No",IF(_xlfn.XLOOKUP(_xlfn.XLOOKUP(B136,'Base stats'!B:B,'Base stats'!E:E),Groups!A:A,Groups!BD:BD)=1,"No",
MROUND(_xlfn.XLOOKUP(B136,'Base stats'!B:B,'Base stats'!BU:BU)/10000+0.01,0.01)
))</f>
        <v>No</v>
      </c>
      <c r="N136" s="4" t="str">
        <f>IF(K136="No","No",
MROUND(
  _xlfn.XLOOKUP(B136,'Base stats'!B:B,'Base stats'!BC:BC)^0.25
  / (_xlfn.XLOOKUP(B136,'Base stats'!B:B,'Base stats'!BM:BM) * 10)
  * _xlfn.XLOOKUP(
      _xlfn.XLOOKUP(B136,'Base stats'!B:B,'Base stats'!E:E),
      Groups!A:A,
      Groups!V:V
    ) * 150
  + MIN(12, _xlfn.XLOOKUP(B136,'Base stats'!B:B,'Base stats'!W:W))^(1/IF(_xlfn.XLOOKUP(_xlfn.XLOOKUP(B136,'Base stats'!B:B,'Base stats'!E:E),Groups!A:A,Groups!U:U)=1,100,10)) + 0.5 + _xlfn.XLOOKUP(B136,'Base stats'!B:B,'Base stats'!BW:BW),
0.05))</f>
        <v>No</v>
      </c>
      <c r="O136" s="3">
        <f>IF(Animals!AD136="No","No",
MAX(MROUND((MIN(10,_xlfn.XLOOKUP(B136,'Base stats'!B:B,'Base stats'!V:V)*IF(_xlfn.XLOOKUP(_xlfn.XLOOKUP(B136,'Base stats'!B:B,'Base stats'!E:E),Groups!A:A,Groups!O:O)=0,1,0.33))^0.4*_xlfn.XLOOKUP(B136,'Base stats'!B:B,'Base stats'!BJ:BJ)^0.73)^0.6 *_xlfn.XLOOKUP(B136,'Base stats'!B:B,'Base stats'!BX:BX),0.1),0.05)
)</f>
        <v>8.1</v>
      </c>
      <c r="P136" s="11">
        <f>IF(O136="No","No",
MROUND(_xlfn.XLOOKUP(B136,'Base stats'!B:B,'Base stats'!BJ:BJ) * 0.01 * 2 + 0.05, 0.05)
)</f>
        <v>1.5</v>
      </c>
      <c r="Q136" s="5">
        <f>IF(O136="No","No",
MROUND(_xlfn.XLOOKUP(B136,'Base stats'!B:B,'Base stats'!BV:BV)/10000+0.01,0.01)
)</f>
        <v>0.09</v>
      </c>
      <c r="R136" s="4">
        <f>IF(O136="No","No",
MROUND(_xlfn.XLOOKUP(B136,'Base stats'!B:B,'Base stats'!BB:BB)^0.25
/((_xlfn.XLOOKUP(B136,'Base stats'!B:B,'Base stats'!BN:BN))*10)*_xlfn.XLOOKUP(_xlfn.XLOOKUP(B136,'Base stats'!B:B,'Base stats'!E:E),Groups!A:A,Groups!Z:Z)*150 + 0.5 + _xlfn.XLOOKUP(B136,'Base stats'!B:B,'Base stats'!BW:BW),
0.05))</f>
        <v>2</v>
      </c>
      <c r="S136" s="3" t="str">
        <f>IF(Animals!AI136="No","No",
IF(_xlfn.XLOOKUP(B136,'Base stats'!B:B,'Base stats'!U:U)="No",
MAX(MROUND(_xlfn.XLOOKUP(B136,'Base stats'!B:B,'Base stats'!BT:BT) * _xlfn.XLOOKUP(B136,'Base stats'!B:B,'Base stats'!BP:BP)^0.9 / 21 * _xlfn.XLOOKUP(B136,'Base stats'!B:B,'Base stats'!BX:BX),0.1),0.05),
MAX(MROUND(((MIN(12,_xlfn.XLOOKUP(B136,'Base stats'!B:B,'Base stats'!U:U)))^0.4*_xlfn.XLOOKUP(B136,'Base stats'!B:B,'Base stats'!BH:BH)^0.73)^0.6 * _xlfn.XLOOKUP(B136,'Base stats'!B:B,'Base stats'!BX:BX),0.1),0.05)
))</f>
        <v>No</v>
      </c>
      <c r="T136" s="11" t="str">
        <f>IF(S136="No","No",
MROUND(_xlfn.XLOOKUP(B136,'Base stats'!B:B,'Base stats'!BH:BH) * 0.01 * 2 + 0.05, 0.05)
)</f>
        <v>No</v>
      </c>
      <c r="U136" s="5" t="str">
        <f>IF(S136="No","No",IF(_xlfn.XLOOKUP(B136,'Base stats'!B:B,'Base stats'!U:U)="No","No",
MROUND(_xlfn.XLOOKUP(B136,'Base stats'!B:B,'Base stats'!BT:BT)/10000+0.01,0.01)
))</f>
        <v>No</v>
      </c>
      <c r="V136" s="4" t="str">
        <f>IF(S136="No","No",
MROUND(_xlfn.XLOOKUP(B136,'Base stats'!B:B,'Base stats'!BF:BF)^0.25
/((_xlfn.XLOOKUP(B136,'Base stats'!B:B,'Base stats'!BO:BO))*10)*_xlfn.XLOOKUP(_xlfn.XLOOKUP(B136,'Base stats'!B:B,'Base stats'!E:E),Groups!A:A,Groups!AE:AE)*150 + 0.5 + _xlfn.XLOOKUP(B136,'Base stats'!B:B,'Base stats'!BW:BW),
0.05))</f>
        <v>No</v>
      </c>
      <c r="W136" s="8">
        <f>MROUND(_xlfn.XLOOKUP(_xlfn.XLOOKUP(B136,'Base stats'!B:B,'Base stats'!E:E),Groups!A:A,Groups!BG:BG)*_xlfn.XLOOKUP(B136,'Base stats'!B:B,'Base stats'!C:C)^-0.165,0.05)</f>
        <v>0.25</v>
      </c>
      <c r="X136" s="1">
        <f>MROUND(_xlfn.XLOOKUP(_xlfn.XLOOKUP(B136,'Base stats'!B:B,'Base stats'!E:E),Groups!A:A,Groups!BH:BH)*_xlfn.XLOOKUP(B136,'Base stats'!B:B,'Base stats'!C:C)^0.165,0.05)</f>
        <v>0.2</v>
      </c>
      <c r="Y136" s="8">
        <f>MROUND(_xlfn.XLOOKUP(_xlfn.XLOOKUP(B136,'Base stats'!B:B,'Base stats'!E:E),Groups!A:A,Groups!BI:BI)*_xlfn.XLOOKUP(B136,'Base stats'!B:B,'Base stats'!C:C)^0.165,0.05)</f>
        <v>0</v>
      </c>
      <c r="Z136" s="18">
        <f>MROUND(_xlfn.XLOOKUP(B136,'Base stats'!B:B,'Base stats'!AQ:AQ)*_xlfn.XLOOKUP(_xlfn.XLOOKUP(B136,'Base stats'!B:B,'Base stats'!E:E),Groups!A:A,Groups!H:H)/1000,IF((_xlfn.XLOOKUP(B136,'Base stats'!B:B,'Base stats'!AQ:AQ)*_xlfn.XLOOKUP(_xlfn.XLOOKUP(B136,'Base stats'!B:B,'Base stats'!E:E),Groups!A:A,Groups!H:H)/1000)&gt;1,0.05,0.01))</f>
        <v>7.0000000000000007E-2</v>
      </c>
      <c r="AA136" s="18">
        <f>MROUND((1/2)*(_xlfn.XLOOKUP(_xlfn.XLOOKUP(B136,'Base stats'!B:B,'Base stats'!E:E),Groups!A:A,Groups!H:H)*_xlfn.XLOOKUP(_xlfn.XLOOKUP(B136,'Base stats'!B:B,'Base stats'!E:E),Groups!A:A,Groups!I:I))*_xlfn.XLOOKUP(B136,'Base stats'!B:B,'Base stats'!AQ:AQ)*0.01,0.05)</f>
        <v>0.15000000000000002</v>
      </c>
      <c r="AB136" s="18">
        <f>MROUND(250*(Animals!AO136+Animals!AP136),25)</f>
        <v>600</v>
      </c>
      <c r="AC136" s="18" t="str">
        <f>_xlfn.XLOOKUP(_xlfn.XLOOKUP(B136,'Base stats'!B:B,'Base stats'!E:E),Groups!A:A,Groups!BJ:BJ)</f>
        <v>Serpentine</v>
      </c>
    </row>
    <row r="137" spans="1:29" s="16" customFormat="1" ht="16.5" thickTop="1" thickBot="1" x14ac:dyDescent="0.3">
      <c r="A137" s="16" t="str">
        <f>Animals!A137</f>
        <v>IndianElephant</v>
      </c>
      <c r="B137" s="6" t="str">
        <f>Animals!B137</f>
        <v>Elephas maximus</v>
      </c>
      <c r="C137" s="1" t="str">
        <f>Animals!C137</f>
        <v>&lt;li&gt;AEXP_IndianElephant&lt;/li&gt;</v>
      </c>
      <c r="D137" s="47">
        <f>MIN(MIN(6,_xlfn.XLOOKUP(A137,Animals!A:A,Animals!AO:AO))*20,MAX(MROUND(_xlfn.XLOOKUP(B137,'Base stats'!B:B,'Base stats'!BS:BS) * (_xlfn.XLOOKUP(B137,'Base stats'!B:B,'Base stats'!AO:AO)*5%)^0.9 / 21,0.1),0.05))</f>
        <v>29.6</v>
      </c>
      <c r="E137" s="11">
        <f>MROUND(_xlfn.XLOOKUP(B137,'Base stats'!B:B,'Base stats'!BG:BG) * 0.01 * 2 + 0.01, 0.05)</f>
        <v>31.450000000000003</v>
      </c>
      <c r="F137" s="7">
        <f>MROUND(_xlfn.XLOOKUP(B137,'Base stats'!B:B,'Base stats'!BD:BD)^0.25 / (_xlfn.XLOOKUP(B137,'Base stats'!B:B,'Base stats'!BK:BK) * 10) * 150 + 0.5 + _xlfn.XLOOKUP(B137,'Base stats'!B:B,'Base stats'!BW:BW), 0.05)</f>
        <v>2.85</v>
      </c>
      <c r="G137" s="3">
        <f>IF(Animals!S137="No","No",
IF(_xlfn.XLOOKUP(B137,'Base stats'!B:B,'Base stats'!U:U)="No",
MAX(MROUND(_xlfn.XLOOKUP(B137,'Base stats'!B:B,'Base stats'!BT:BT) * _xlfn.XLOOKUP(B137,'Base stats'!B:B,'Base stats'!BP:BP)^0.9 / 21 * _xlfn.XLOOKUP(B137,'Base stats'!B:B,'Base stats'!BX:BX),0.1),0.05),
MAX(MROUND(((MIN(10,_xlfn.XLOOKUP(B137,'Base stats'!B:B,'Base stats'!U:U)))^0.4*_xlfn.XLOOKUP(B137,'Base stats'!B:B,'Base stats'!BH:BH)^0.73)^0.6 * _xlfn.XLOOKUP(B137,'Base stats'!B:B,'Base stats'!BX:BX),0.1),0.05)
))</f>
        <v>35.9</v>
      </c>
      <c r="H137" s="11">
        <f>IF(G137="No","No",
MROUND(_xlfn.XLOOKUP(B137,'Base stats'!B:B,'Base stats'!BH:BH) * 0.01 * 2 + 0.05, 0.05)
)</f>
        <v>28.25</v>
      </c>
      <c r="I137" s="11" t="str">
        <f>IF(G137="No","No",IF(_xlfn.XLOOKUP(B137,'Base stats'!B:B,'Base stats'!U:U)="No","No",
MROUND(_xlfn.XLOOKUP(B137,'Base stats'!B:B,'Base stats'!BT:BT)/10000+0.01,0.01)
))</f>
        <v>No</v>
      </c>
      <c r="J137" s="4">
        <f>IF(G137="No","No",
MROUND(_xlfn.XLOOKUP(B137,'Base stats'!B:B,'Base stats'!BE:BE)^0.25
/((_xlfn.XLOOKUP(B137,'Base stats'!B:B,'Base stats'!BL:BL))*10)*_xlfn.XLOOKUP(_xlfn.XLOOKUP(B137,'Base stats'!B:B,'Base stats'!E:E),Groups!A:A,Groups!Q:Q)*150 + 0.5 + _xlfn.XLOOKUP(B137,'Base stats'!B:B,'Base stats'!BW:BW),
0.05))</f>
        <v>3.45</v>
      </c>
      <c r="K137" s="3">
        <f>IF(Animals!X137="No","No",
IF(_xlfn.XLOOKUP(_xlfn.XLOOKUP(B137,'Base stats'!B:B,'Base stats'!E:E),Groups!A:A,Groups!BD:BD)=1,
MAX(MROUND(_xlfn.XLOOKUP(B137,'Base stats'!B:B,'Base stats'!BU:BU) * _xlfn.XLOOKUP(B137,'Base stats'!B:B,'Base stats'!BQ:BQ)^0.9 / 21 *_xlfn.XLOOKUP(B137,'Base stats'!B:B,'Base stats'!BX:BX),0.1),0.05),
MAX(MROUND(((MIN(10,_xlfn.XLOOKUP(B137,'Base stats'!B:B,'Base stats'!W:W)))^0.4*_xlfn.XLOOKUP(B137,'Base stats'!B:B,'Base stats'!BI:BI)^0.73)^0.6 *_xlfn.XLOOKUP(B137,'Base stats'!B:B,'Base stats'!BX:BX),0.1),0.05)
))</f>
        <v>45.1</v>
      </c>
      <c r="L137" s="11">
        <f>IF(K137="No","No",
MROUND(_xlfn.XLOOKUP(B137,'Base stats'!B:B,'Base stats'!BI:BI) * 0.01 *2 + 0.05, 0.05)
)</f>
        <v>33.9</v>
      </c>
      <c r="M137" s="5">
        <f>IF(K137="No","No",IF(_xlfn.XLOOKUP(_xlfn.XLOOKUP(B137,'Base stats'!B:B,'Base stats'!E:E),Groups!A:A,Groups!BD:BD)=1,"No",
MROUND(_xlfn.XLOOKUP(B137,'Base stats'!B:B,'Base stats'!BU:BU)/10000+0.01,0.01)
))</f>
        <v>1.51</v>
      </c>
      <c r="N137" s="4">
        <f>IF(K137="No","No",
MROUND(
  _xlfn.XLOOKUP(B137,'Base stats'!B:B,'Base stats'!BC:BC)^0.25
  / (_xlfn.XLOOKUP(B137,'Base stats'!B:B,'Base stats'!BM:BM) * 10)
  * _xlfn.XLOOKUP(
      _xlfn.XLOOKUP(B137,'Base stats'!B:B,'Base stats'!E:E),
      Groups!A:A,
      Groups!V:V
    ) * 150
  + MIN(12, _xlfn.XLOOKUP(B137,'Base stats'!B:B,'Base stats'!W:W))^(1/IF(_xlfn.XLOOKUP(_xlfn.XLOOKUP(B137,'Base stats'!B:B,'Base stats'!E:E),Groups!A:A,Groups!U:U)=1,100,10)) + 0.5 + _xlfn.XLOOKUP(B137,'Base stats'!B:B,'Base stats'!BW:BW),
0.05))</f>
        <v>3.7</v>
      </c>
      <c r="O137" s="3" t="str">
        <f>IF(Animals!AD137="No","No",
MAX(MROUND((MIN(10,_xlfn.XLOOKUP(B137,'Base stats'!B:B,'Base stats'!V:V)*IF(_xlfn.XLOOKUP(_xlfn.XLOOKUP(B137,'Base stats'!B:B,'Base stats'!E:E),Groups!A:A,Groups!O:O)=0,1,0.33))^0.4*_xlfn.XLOOKUP(B137,'Base stats'!B:B,'Base stats'!BJ:BJ)^0.73)^0.6 *_xlfn.XLOOKUP(B137,'Base stats'!B:B,'Base stats'!BX:BX),0.1),0.05)
)</f>
        <v>No</v>
      </c>
      <c r="P137" s="11" t="str">
        <f>IF(O137="No","No",
MROUND(_xlfn.XLOOKUP(B137,'Base stats'!B:B,'Base stats'!BJ:BJ) * 0.01 * 2 + 0.05, 0.05)
)</f>
        <v>No</v>
      </c>
      <c r="Q137" s="5" t="str">
        <f>IF(O137="No","No",
MROUND(_xlfn.XLOOKUP(B137,'Base stats'!B:B,'Base stats'!BV:BV)/10000+0.01,0.01)
)</f>
        <v>No</v>
      </c>
      <c r="R137" s="4" t="str">
        <f>IF(O137="No","No",
MROUND(_xlfn.XLOOKUP(B137,'Base stats'!B:B,'Base stats'!BB:BB)^0.25
/((_xlfn.XLOOKUP(B137,'Base stats'!B:B,'Base stats'!BN:BN))*10)*_xlfn.XLOOKUP(_xlfn.XLOOKUP(B137,'Base stats'!B:B,'Base stats'!E:E),Groups!A:A,Groups!Z:Z)*150 + 0.5 + _xlfn.XLOOKUP(B137,'Base stats'!B:B,'Base stats'!BW:BW),
0.05))</f>
        <v>No</v>
      </c>
      <c r="S137" s="3" t="str">
        <f>IF(Animals!AI137="No","No",
IF(_xlfn.XLOOKUP(B137,'Base stats'!B:B,'Base stats'!U:U)="No",
MAX(MROUND(_xlfn.XLOOKUP(B137,'Base stats'!B:B,'Base stats'!BT:BT) * _xlfn.XLOOKUP(B137,'Base stats'!B:B,'Base stats'!BP:BP)^0.9 / 21 * _xlfn.XLOOKUP(B137,'Base stats'!B:B,'Base stats'!BX:BX),0.1),0.05),
MAX(MROUND(((MIN(12,_xlfn.XLOOKUP(B137,'Base stats'!B:B,'Base stats'!U:U)))^0.4*_xlfn.XLOOKUP(B137,'Base stats'!B:B,'Base stats'!BH:BH)^0.73)^0.6 * _xlfn.XLOOKUP(B137,'Base stats'!B:B,'Base stats'!BX:BX),0.1),0.05)
))</f>
        <v>No</v>
      </c>
      <c r="T137" s="11" t="str">
        <f>IF(S137="No","No",
MROUND(_xlfn.XLOOKUP(B137,'Base stats'!B:B,'Base stats'!BH:BH) * 0.01 * 2 + 0.05, 0.05)
)</f>
        <v>No</v>
      </c>
      <c r="U137" s="5" t="str">
        <f>IF(S137="No","No",IF(_xlfn.XLOOKUP(B137,'Base stats'!B:B,'Base stats'!U:U)="No","No",
MROUND(_xlfn.XLOOKUP(B137,'Base stats'!B:B,'Base stats'!BT:BT)/10000+0.01,0.01)
))</f>
        <v>No</v>
      </c>
      <c r="V137" s="4" t="str">
        <f>IF(S137="No","No",
MROUND(_xlfn.XLOOKUP(B137,'Base stats'!B:B,'Base stats'!BF:BF)^0.25
/((_xlfn.XLOOKUP(B137,'Base stats'!B:B,'Base stats'!BO:BO))*10)*_xlfn.XLOOKUP(_xlfn.XLOOKUP(B137,'Base stats'!B:B,'Base stats'!E:E),Groups!A:A,Groups!AE:AE)*150 + 0.5 + _xlfn.XLOOKUP(B137,'Base stats'!B:B,'Base stats'!BW:BW),
0.05))</f>
        <v>No</v>
      </c>
      <c r="W137" s="8">
        <f>MROUND(_xlfn.XLOOKUP(_xlfn.XLOOKUP(B137,'Base stats'!B:B,'Base stats'!E:E),Groups!A:A,Groups!BG:BG)*_xlfn.XLOOKUP(B137,'Base stats'!B:B,'Base stats'!C:C)^-0.165,0.05)</f>
        <v>0.05</v>
      </c>
      <c r="X137" s="1">
        <f>MROUND(_xlfn.XLOOKUP(_xlfn.XLOOKUP(B137,'Base stats'!B:B,'Base stats'!E:E),Groups!A:A,Groups!BH:BH)*_xlfn.XLOOKUP(B137,'Base stats'!B:B,'Base stats'!C:C)^0.165,0.05)</f>
        <v>0.4</v>
      </c>
      <c r="Y137" s="8">
        <f>MROUND(_xlfn.XLOOKUP(_xlfn.XLOOKUP(B137,'Base stats'!B:B,'Base stats'!E:E),Groups!A:A,Groups!BI:BI)*_xlfn.XLOOKUP(B137,'Base stats'!B:B,'Base stats'!C:C)^0.165,0.05)</f>
        <v>0.2</v>
      </c>
      <c r="Z137" s="18">
        <f>MROUND(_xlfn.XLOOKUP(B137,'Base stats'!B:B,'Base stats'!AQ:AQ)*_xlfn.XLOOKUP(_xlfn.XLOOKUP(B137,'Base stats'!B:B,'Base stats'!E:E),Groups!A:A,Groups!H:H)/1000,IF((_xlfn.XLOOKUP(B137,'Base stats'!B:B,'Base stats'!AQ:AQ)*_xlfn.XLOOKUP(_xlfn.XLOOKUP(B137,'Base stats'!B:B,'Base stats'!E:E),Groups!A:A,Groups!H:H)/1000)&gt;1,0.05,0.01))</f>
        <v>0.23</v>
      </c>
      <c r="AA137" s="18">
        <f>MROUND((1/2)*(_xlfn.XLOOKUP(_xlfn.XLOOKUP(B137,'Base stats'!B:B,'Base stats'!E:E),Groups!A:A,Groups!H:H)*_xlfn.XLOOKUP(_xlfn.XLOOKUP(B137,'Base stats'!B:B,'Base stats'!E:E),Groups!A:A,Groups!I:I))*_xlfn.XLOOKUP(B137,'Base stats'!B:B,'Base stats'!AQ:AQ)*0.01,0.05)</f>
        <v>1</v>
      </c>
      <c r="AB137" s="18">
        <f>MROUND(250*(Animals!AO137+Animals!AP137),25)</f>
        <v>2250</v>
      </c>
      <c r="AC137" s="18" t="str">
        <f>_xlfn.XLOOKUP(_xlfn.XLOOKUP(B137,'Base stats'!B:B,'Base stats'!E:E),Groups!A:A,Groups!BJ:BJ)</f>
        <v>Quadruped</v>
      </c>
    </row>
    <row r="138" spans="1:29" s="16" customFormat="1" ht="16.5" thickTop="1" thickBot="1" x14ac:dyDescent="0.3">
      <c r="A138" s="16" t="str">
        <f>Animals!A138</f>
        <v>MegaWolverine</v>
      </c>
      <c r="B138" s="6" t="str">
        <f>Animals!B138</f>
        <v>Gulo ferox</v>
      </c>
      <c r="C138" s="1" t="str">
        <f>Animals!C138</f>
        <v>&lt;li&gt;AEXP_MegaWolverine&lt;/li&gt;</v>
      </c>
      <c r="D138" s="47">
        <f>MIN(MIN(6,_xlfn.XLOOKUP(A138,Animals!A:A,Animals!AO:AO))*20,MAX(MROUND(_xlfn.XLOOKUP(B138,'Base stats'!B:B,'Base stats'!BS:BS) * (_xlfn.XLOOKUP(B138,'Base stats'!B:B,'Base stats'!AO:AO)*5%)^0.9 / 21,0.1),0.05))</f>
        <v>61.400000000000006</v>
      </c>
      <c r="E138" s="11">
        <f>MROUND(_xlfn.XLOOKUP(B138,'Base stats'!B:B,'Base stats'!BG:BG) * 0.01 * 2 + 0.01, 0.05)</f>
        <v>65.45</v>
      </c>
      <c r="F138" s="7">
        <f>MROUND(_xlfn.XLOOKUP(B138,'Base stats'!B:B,'Base stats'!BD:BD)^0.25 / (_xlfn.XLOOKUP(B138,'Base stats'!B:B,'Base stats'!BK:BK) * 10) * 150 + 0.5 + _xlfn.XLOOKUP(B138,'Base stats'!B:B,'Base stats'!BW:BW), 0.05)</f>
        <v>3.3000000000000003</v>
      </c>
      <c r="G138" s="3" t="str">
        <f>IF(Animals!S138="No","No",
IF(_xlfn.XLOOKUP(B138,'Base stats'!B:B,'Base stats'!U:U)="No",
MAX(MROUND(_xlfn.XLOOKUP(B138,'Base stats'!B:B,'Base stats'!BT:BT) * _xlfn.XLOOKUP(B138,'Base stats'!B:B,'Base stats'!BP:BP)^0.9 / 21 * _xlfn.XLOOKUP(B138,'Base stats'!B:B,'Base stats'!BX:BX),0.1),0.05),
MAX(MROUND(((MIN(10,_xlfn.XLOOKUP(B138,'Base stats'!B:B,'Base stats'!U:U)))^0.4*_xlfn.XLOOKUP(B138,'Base stats'!B:B,'Base stats'!BH:BH)^0.73)^0.6 * _xlfn.XLOOKUP(B138,'Base stats'!B:B,'Base stats'!BX:BX),0.1),0.05)
))</f>
        <v>No</v>
      </c>
      <c r="H138" s="11" t="str">
        <f>IF(G138="No","No",
MROUND(_xlfn.XLOOKUP(B138,'Base stats'!B:B,'Base stats'!BH:BH) * 0.01 * 2 + 0.05, 0.05)
)</f>
        <v>No</v>
      </c>
      <c r="I138" s="11" t="str">
        <f>IF(G138="No","No",IF(_xlfn.XLOOKUP(B138,'Base stats'!B:B,'Base stats'!U:U)="No","No",
MROUND(_xlfn.XLOOKUP(B138,'Base stats'!B:B,'Base stats'!BT:BT)/10000+0.01,0.01)
))</f>
        <v>No</v>
      </c>
      <c r="J138" s="4" t="str">
        <f>IF(G138="No","No",
MROUND(_xlfn.XLOOKUP(B138,'Base stats'!B:B,'Base stats'!BE:BE)^0.25
/((_xlfn.XLOOKUP(B138,'Base stats'!B:B,'Base stats'!BL:BL))*10)*_xlfn.XLOOKUP(_xlfn.XLOOKUP(B138,'Base stats'!B:B,'Base stats'!E:E),Groups!A:A,Groups!Q:Q)*150 + 0.5 + _xlfn.XLOOKUP(B138,'Base stats'!B:B,'Base stats'!BW:BW),
0.05))</f>
        <v>No</v>
      </c>
      <c r="K138" s="3" t="str">
        <f>IF(Animals!X138="No","No",
IF(_xlfn.XLOOKUP(_xlfn.XLOOKUP(B138,'Base stats'!B:B,'Base stats'!E:E),Groups!A:A,Groups!BD:BD)=1,
MAX(MROUND(_xlfn.XLOOKUP(B138,'Base stats'!B:B,'Base stats'!BU:BU) * _xlfn.XLOOKUP(B138,'Base stats'!B:B,'Base stats'!BQ:BQ)^0.9 / 21 *_xlfn.XLOOKUP(B138,'Base stats'!B:B,'Base stats'!BX:BX),0.1),0.05),
MAX(MROUND(((MIN(10,_xlfn.XLOOKUP(B138,'Base stats'!B:B,'Base stats'!W:W)))^0.4*_xlfn.XLOOKUP(B138,'Base stats'!B:B,'Base stats'!BI:BI)^0.73)^0.6 *_xlfn.XLOOKUP(B138,'Base stats'!B:B,'Base stats'!BX:BX),0.1),0.05)
))</f>
        <v>No</v>
      </c>
      <c r="L138" s="11" t="str">
        <f>IF(K138="No","No",
MROUND(_xlfn.XLOOKUP(B138,'Base stats'!B:B,'Base stats'!BI:BI) * 0.01 *2 + 0.05, 0.05)
)</f>
        <v>No</v>
      </c>
      <c r="M138" s="5" t="str">
        <f>IF(K138="No","No",IF(_xlfn.XLOOKUP(_xlfn.XLOOKUP(B138,'Base stats'!B:B,'Base stats'!E:E),Groups!A:A,Groups!BD:BD)=1,"No",
MROUND(_xlfn.XLOOKUP(B138,'Base stats'!B:B,'Base stats'!BU:BU)/10000+0.01,0.01)
))</f>
        <v>No</v>
      </c>
      <c r="N138" s="4" t="str">
        <f>IF(K138="No","No",
MROUND(
  _xlfn.XLOOKUP(B138,'Base stats'!B:B,'Base stats'!BC:BC)^0.25
  / (_xlfn.XLOOKUP(B138,'Base stats'!B:B,'Base stats'!BM:BM) * 10)
  * _xlfn.XLOOKUP(
      _xlfn.XLOOKUP(B138,'Base stats'!B:B,'Base stats'!E:E),
      Groups!A:A,
      Groups!V:V
    ) * 150
  + MIN(12, _xlfn.XLOOKUP(B138,'Base stats'!B:B,'Base stats'!W:W))^(1/IF(_xlfn.XLOOKUP(_xlfn.XLOOKUP(B138,'Base stats'!B:B,'Base stats'!E:E),Groups!A:A,Groups!U:U)=1,100,10)) + 0.5 + _xlfn.XLOOKUP(B138,'Base stats'!B:B,'Base stats'!BW:BW),
0.05))</f>
        <v>No</v>
      </c>
      <c r="O138" s="3">
        <f>IF(Animals!AD138="No","No",
MAX(MROUND((MIN(10,_xlfn.XLOOKUP(B138,'Base stats'!B:B,'Base stats'!V:V)*IF(_xlfn.XLOOKUP(_xlfn.XLOOKUP(B138,'Base stats'!B:B,'Base stats'!E:E),Groups!A:A,Groups!O:O)=0,1,0.33))^0.4*_xlfn.XLOOKUP(B138,'Base stats'!B:B,'Base stats'!BJ:BJ)^0.73)^0.6 *_xlfn.XLOOKUP(B138,'Base stats'!B:B,'Base stats'!BX:BX),0.1),0.05)
)</f>
        <v>80</v>
      </c>
      <c r="P138" s="11">
        <f>IF(O138="No","No",
MROUND(_xlfn.XLOOKUP(B138,'Base stats'!B:B,'Base stats'!BJ:BJ) * 0.01 * 2 + 0.05, 0.05)
)</f>
        <v>125.45</v>
      </c>
      <c r="Q138" s="5">
        <f>IF(O138="No","No",
MROUND(_xlfn.XLOOKUP(B138,'Base stats'!B:B,'Base stats'!BV:BV)/10000+0.01,0.01)
)</f>
        <v>1.54</v>
      </c>
      <c r="R138" s="4">
        <f>IF(O138="No","No",
MROUND(_xlfn.XLOOKUP(B138,'Base stats'!B:B,'Base stats'!BB:BB)^0.25
/((_xlfn.XLOOKUP(B138,'Base stats'!B:B,'Base stats'!BN:BN))*10)*_xlfn.XLOOKUP(_xlfn.XLOOKUP(B138,'Base stats'!B:B,'Base stats'!E:E),Groups!A:A,Groups!Z:Z)*150 + 0.5 + _xlfn.XLOOKUP(B138,'Base stats'!B:B,'Base stats'!BW:BW),
0.05))</f>
        <v>2.6500000000000004</v>
      </c>
      <c r="S138" s="3">
        <f>IF(Animals!AI138="No","No",
IF(_xlfn.XLOOKUP(B138,'Base stats'!B:B,'Base stats'!U:U)="No",
MAX(MROUND(_xlfn.XLOOKUP(B138,'Base stats'!B:B,'Base stats'!BT:BT) * _xlfn.XLOOKUP(B138,'Base stats'!B:B,'Base stats'!BP:BP)^0.9 / 21 * _xlfn.XLOOKUP(B138,'Base stats'!B:B,'Base stats'!BX:BX),0.1),0.05),
MAX(MROUND(((MIN(12,_xlfn.XLOOKUP(B138,'Base stats'!B:B,'Base stats'!U:U)))^0.4*_xlfn.XLOOKUP(B138,'Base stats'!B:B,'Base stats'!BH:BH)^0.73)^0.6 * _xlfn.XLOOKUP(B138,'Base stats'!B:B,'Base stats'!BX:BX),0.1),0.05)
))</f>
        <v>61</v>
      </c>
      <c r="T138" s="11">
        <f>IF(S138="No","No",
MROUND(_xlfn.XLOOKUP(B138,'Base stats'!B:B,'Base stats'!BH:BH) * 0.01 * 2 + 0.05, 0.05)
)</f>
        <v>67.600000000000009</v>
      </c>
      <c r="U138" s="5">
        <f>IF(S138="No","No",IF(_xlfn.XLOOKUP(B138,'Base stats'!B:B,'Base stats'!U:U)="No","No",
MROUND(_xlfn.XLOOKUP(B138,'Base stats'!B:B,'Base stats'!BT:BT)/10000+0.01,0.01)
))</f>
        <v>0.83000000000000007</v>
      </c>
      <c r="V138" s="4">
        <f>IF(S138="No","No",
MROUND(_xlfn.XLOOKUP(B138,'Base stats'!B:B,'Base stats'!BF:BF)^0.25
/((_xlfn.XLOOKUP(B138,'Base stats'!B:B,'Base stats'!BO:BO))*10)*_xlfn.XLOOKUP(_xlfn.XLOOKUP(B138,'Base stats'!B:B,'Base stats'!E:E),Groups!A:A,Groups!AE:AE)*150 + 0.5 + _xlfn.XLOOKUP(B138,'Base stats'!B:B,'Base stats'!BW:BW),
0.05))</f>
        <v>2</v>
      </c>
      <c r="W138" s="8">
        <f>MROUND(_xlfn.XLOOKUP(_xlfn.XLOOKUP(B138,'Base stats'!B:B,'Base stats'!E:E),Groups!A:A,Groups!BG:BG)*_xlfn.XLOOKUP(B138,'Base stats'!B:B,'Base stats'!C:C)^-0.165,0.05)</f>
        <v>0.30000000000000004</v>
      </c>
      <c r="X138" s="1">
        <f>MROUND(_xlfn.XLOOKUP(_xlfn.XLOOKUP(B138,'Base stats'!B:B,'Base stats'!E:E),Groups!A:A,Groups!BH:BH)*_xlfn.XLOOKUP(B138,'Base stats'!B:B,'Base stats'!C:C)^0.165,0.05)</f>
        <v>0.75</v>
      </c>
      <c r="Y138" s="8">
        <f>MROUND(_xlfn.XLOOKUP(_xlfn.XLOOKUP(B138,'Base stats'!B:B,'Base stats'!E:E),Groups!A:A,Groups!BI:BI)*_xlfn.XLOOKUP(B138,'Base stats'!B:B,'Base stats'!C:C)^0.165,0.05)</f>
        <v>0.1</v>
      </c>
      <c r="Z138" s="18">
        <f>MROUND(_xlfn.XLOOKUP(B138,'Base stats'!B:B,'Base stats'!AQ:AQ)*_xlfn.XLOOKUP(_xlfn.XLOOKUP(B138,'Base stats'!B:B,'Base stats'!E:E),Groups!A:A,Groups!H:H)/1000,IF((_xlfn.XLOOKUP(B138,'Base stats'!B:B,'Base stats'!AQ:AQ)*_xlfn.XLOOKUP(_xlfn.XLOOKUP(B138,'Base stats'!B:B,'Base stats'!E:E),Groups!A:A,Groups!H:H)/1000)&gt;1,0.05,0.01))</f>
        <v>0.36</v>
      </c>
      <c r="AA138" s="18">
        <f>MROUND((1/2)*(_xlfn.XLOOKUP(_xlfn.XLOOKUP(B138,'Base stats'!B:B,'Base stats'!E:E),Groups!A:A,Groups!H:H)*_xlfn.XLOOKUP(_xlfn.XLOOKUP(B138,'Base stats'!B:B,'Base stats'!E:E),Groups!A:A,Groups!I:I))*_xlfn.XLOOKUP(B138,'Base stats'!B:B,'Base stats'!AQ:AQ)*0.01,0.05)</f>
        <v>1.55</v>
      </c>
      <c r="AB138" s="18">
        <f>MROUND(250*(Animals!AO138+Animals!AP138),25)</f>
        <v>2475</v>
      </c>
      <c r="AC138" s="18" t="str">
        <f>_xlfn.XLOOKUP(_xlfn.XLOOKUP(B138,'Base stats'!B:B,'Base stats'!E:E),Groups!A:A,Groups!BJ:BJ)</f>
        <v>QuadrupedLow</v>
      </c>
    </row>
    <row r="139" spans="1:29" ht="16.5" thickTop="1" thickBot="1" x14ac:dyDescent="0.3">
      <c r="A139" s="16" t="str">
        <f>Animals!A139</f>
        <v>Beagle</v>
      </c>
      <c r="B139" s="6" t="str">
        <f>Animals!B139</f>
        <v>Canis familiaris (Beagle)</v>
      </c>
      <c r="C139" s="1" t="str">
        <f>Animals!C139</f>
        <v>&lt;li&gt;AEXP_Beagle&lt;/li&gt;</v>
      </c>
      <c r="D139" s="47">
        <f>MIN(MIN(6,_xlfn.XLOOKUP(A139,Animals!A:A,Animals!AO:AO))*20,MAX(MROUND(_xlfn.XLOOKUP(B139,'Base stats'!B:B,'Base stats'!BS:BS) * (_xlfn.XLOOKUP(B139,'Base stats'!B:B,'Base stats'!AO:AO)*5%)^0.9 / 21,0.1),0.05))</f>
        <v>0.4</v>
      </c>
      <c r="E139" s="11">
        <f>MROUND(_xlfn.XLOOKUP(B139,'Base stats'!B:B,'Base stats'!BG:BG) * 0.01 * 2 + 0.01, 0.05)</f>
        <v>0.35000000000000003</v>
      </c>
      <c r="F139" s="7">
        <f>MROUND(_xlfn.XLOOKUP(B139,'Base stats'!B:B,'Base stats'!BD:BD)^0.25 / (_xlfn.XLOOKUP(B139,'Base stats'!B:B,'Base stats'!BK:BK) * 10) * 150 + 0.5 + _xlfn.XLOOKUP(B139,'Base stats'!B:B,'Base stats'!BW:BW), 0.05)</f>
        <v>1.6</v>
      </c>
      <c r="G139" s="3" t="str">
        <f>IF(Animals!S139="No","No",
IF(_xlfn.XLOOKUP(B139,'Base stats'!B:B,'Base stats'!U:U)="No",
MAX(MROUND(_xlfn.XLOOKUP(B139,'Base stats'!B:B,'Base stats'!BT:BT) * _xlfn.XLOOKUP(B139,'Base stats'!B:B,'Base stats'!BP:BP)^0.9 / 21 * _xlfn.XLOOKUP(B139,'Base stats'!B:B,'Base stats'!BX:BX),0.1),0.05),
MAX(MROUND(((MIN(10,_xlfn.XLOOKUP(B139,'Base stats'!B:B,'Base stats'!U:U)))^0.4*_xlfn.XLOOKUP(B139,'Base stats'!B:B,'Base stats'!BH:BH)^0.73)^0.6 * _xlfn.XLOOKUP(B139,'Base stats'!B:B,'Base stats'!BX:BX),0.1),0.05)
))</f>
        <v>No</v>
      </c>
      <c r="H139" s="11" t="str">
        <f>IF(G139="No","No",
MROUND(_xlfn.XLOOKUP(B139,'Base stats'!B:B,'Base stats'!BH:BH) * 0.01 * 2 + 0.05, 0.05)
)</f>
        <v>No</v>
      </c>
      <c r="I139" s="11" t="str">
        <f>IF(G139="No","No",IF(_xlfn.XLOOKUP(B139,'Base stats'!B:B,'Base stats'!U:U)="No","No",
MROUND(_xlfn.XLOOKUP(B139,'Base stats'!B:B,'Base stats'!BT:BT)/10000+0.01,0.01)
))</f>
        <v>No</v>
      </c>
      <c r="J139" s="4" t="str">
        <f>IF(G139="No","No",
MROUND(_xlfn.XLOOKUP(B139,'Base stats'!B:B,'Base stats'!BE:BE)^0.25
/((_xlfn.XLOOKUP(B139,'Base stats'!B:B,'Base stats'!BL:BL))*10)*_xlfn.XLOOKUP(_xlfn.XLOOKUP(B139,'Base stats'!B:B,'Base stats'!E:E),Groups!A:A,Groups!Q:Q)*150 + 0.5 + _xlfn.XLOOKUP(B139,'Base stats'!B:B,'Base stats'!BW:BW),
0.05))</f>
        <v>No</v>
      </c>
      <c r="K139" s="3" t="str">
        <f>IF(Animals!X139="No","No",
IF(_xlfn.XLOOKUP(_xlfn.XLOOKUP(B139,'Base stats'!B:B,'Base stats'!E:E),Groups!A:A,Groups!BD:BD)=1,
MAX(MROUND(_xlfn.XLOOKUP(B139,'Base stats'!B:B,'Base stats'!BU:BU) * _xlfn.XLOOKUP(B139,'Base stats'!B:B,'Base stats'!BQ:BQ)^0.9 / 21 *_xlfn.XLOOKUP(B139,'Base stats'!B:B,'Base stats'!BX:BX),0.1),0.05),
MAX(MROUND(((MIN(10,_xlfn.XLOOKUP(B139,'Base stats'!B:B,'Base stats'!W:W)))^0.4*_xlfn.XLOOKUP(B139,'Base stats'!B:B,'Base stats'!BI:BI)^0.73)^0.6 *_xlfn.XLOOKUP(B139,'Base stats'!B:B,'Base stats'!BX:BX),0.1),0.05)
))</f>
        <v>No</v>
      </c>
      <c r="L139" s="11" t="str">
        <f>IF(K139="No","No",
MROUND(_xlfn.XLOOKUP(B139,'Base stats'!B:B,'Base stats'!BI:BI) * 0.01 *2 + 0.05, 0.05)
)</f>
        <v>No</v>
      </c>
      <c r="M139" s="5" t="str">
        <f>IF(K139="No","No",IF(_xlfn.XLOOKUP(_xlfn.XLOOKUP(B139,'Base stats'!B:B,'Base stats'!E:E),Groups!A:A,Groups!BD:BD)=1,"No",
MROUND(_xlfn.XLOOKUP(B139,'Base stats'!B:B,'Base stats'!BU:BU)/10000+0.01,0.01)
))</f>
        <v>No</v>
      </c>
      <c r="N139" s="4" t="str">
        <f>IF(K139="No","No",
MROUND(
  _xlfn.XLOOKUP(B139,'Base stats'!B:B,'Base stats'!BC:BC)^0.25
  / (_xlfn.XLOOKUP(B139,'Base stats'!B:B,'Base stats'!BM:BM) * 10)
  * _xlfn.XLOOKUP(
      _xlfn.XLOOKUP(B139,'Base stats'!B:B,'Base stats'!E:E),
      Groups!A:A,
      Groups!V:V
    ) * 150
  + MIN(12, _xlfn.XLOOKUP(B139,'Base stats'!B:B,'Base stats'!W:W))^(1/IF(_xlfn.XLOOKUP(_xlfn.XLOOKUP(B139,'Base stats'!B:B,'Base stats'!E:E),Groups!A:A,Groups!U:U)=1,100,10)) + 0.5 + _xlfn.XLOOKUP(B139,'Base stats'!B:B,'Base stats'!BW:BW),
0.05))</f>
        <v>No</v>
      </c>
      <c r="O139" s="3">
        <f>IF(Animals!AD139="No","No",
MAX(MROUND((MIN(10,_xlfn.XLOOKUP(B139,'Base stats'!B:B,'Base stats'!V:V)*IF(_xlfn.XLOOKUP(_xlfn.XLOOKUP(B139,'Base stats'!B:B,'Base stats'!E:E),Groups!A:A,Groups!O:O)=0,1,0.33))^0.4*_xlfn.XLOOKUP(B139,'Base stats'!B:B,'Base stats'!BJ:BJ)^0.73)^0.6 *_xlfn.XLOOKUP(B139,'Base stats'!B:B,'Base stats'!BX:BX),0.1),0.05)
)</f>
        <v>5.9</v>
      </c>
      <c r="P139" s="11">
        <f>IF(O139="No","No",
MROUND(_xlfn.XLOOKUP(B139,'Base stats'!B:B,'Base stats'!BJ:BJ) * 0.01 * 2 + 0.05, 0.05)
)</f>
        <v>0.9</v>
      </c>
      <c r="Q139" s="5">
        <f>IF(O139="No","No",
MROUND(_xlfn.XLOOKUP(B139,'Base stats'!B:B,'Base stats'!BV:BV)/10000+0.01,0.01)
)</f>
        <v>0.12</v>
      </c>
      <c r="R139" s="4">
        <f>IF(O139="No","No",
MROUND(_xlfn.XLOOKUP(B139,'Base stats'!B:B,'Base stats'!BB:BB)^0.25
/((_xlfn.XLOOKUP(B139,'Base stats'!B:B,'Base stats'!BN:BN))*10)*_xlfn.XLOOKUP(_xlfn.XLOOKUP(B139,'Base stats'!B:B,'Base stats'!E:E),Groups!A:A,Groups!Z:Z)*150 + 0.5 + _xlfn.XLOOKUP(B139,'Base stats'!B:B,'Base stats'!BW:BW),
0.05))</f>
        <v>2.0500000000000003</v>
      </c>
      <c r="S139" s="3" t="str">
        <f>IF(Animals!AI139="No","No",
IF(_xlfn.XLOOKUP(B139,'Base stats'!B:B,'Base stats'!U:U)="No",
MAX(MROUND(_xlfn.XLOOKUP(B139,'Base stats'!B:B,'Base stats'!BT:BT) * _xlfn.XLOOKUP(B139,'Base stats'!B:B,'Base stats'!BP:BP)^0.9 / 21 * _xlfn.XLOOKUP(B139,'Base stats'!B:B,'Base stats'!BX:BX),0.1),0.05),
MAX(MROUND(((MIN(12,_xlfn.XLOOKUP(B139,'Base stats'!B:B,'Base stats'!U:U)))^0.4*_xlfn.XLOOKUP(B139,'Base stats'!B:B,'Base stats'!BH:BH)^0.73)^0.6 * _xlfn.XLOOKUP(B139,'Base stats'!B:B,'Base stats'!BX:BX),0.1),0.05)
))</f>
        <v>No</v>
      </c>
      <c r="T139" s="11" t="str">
        <f>IF(S139="No","No",
MROUND(_xlfn.XLOOKUP(B139,'Base stats'!B:B,'Base stats'!BH:BH) * 0.01 * 2 + 0.05, 0.05)
)</f>
        <v>No</v>
      </c>
      <c r="U139" s="5" t="str">
        <f>IF(S139="No","No",IF(_xlfn.XLOOKUP(B139,'Base stats'!B:B,'Base stats'!U:U)="No","No",
MROUND(_xlfn.XLOOKUP(B139,'Base stats'!B:B,'Base stats'!BT:BT)/10000+0.01,0.01)
))</f>
        <v>No</v>
      </c>
      <c r="V139" s="4" t="str">
        <f>IF(S139="No","No",
MROUND(_xlfn.XLOOKUP(B139,'Base stats'!B:B,'Base stats'!BF:BF)^0.25
/((_xlfn.XLOOKUP(B139,'Base stats'!B:B,'Base stats'!BO:BO))*10)*_xlfn.XLOOKUP(_xlfn.XLOOKUP(B139,'Base stats'!B:B,'Base stats'!E:E),Groups!A:A,Groups!AE:AE)*150 + 0.5 + _xlfn.XLOOKUP(B139,'Base stats'!B:B,'Base stats'!BW:BW),
0.05))</f>
        <v>No</v>
      </c>
      <c r="W139" s="8">
        <f>MROUND(_xlfn.XLOOKUP(_xlfn.XLOOKUP(B139,'Base stats'!B:B,'Base stats'!E:E),Groups!A:A,Groups!BG:BG)*_xlfn.XLOOKUP(B139,'Base stats'!B:B,'Base stats'!C:C)^-0.165,0.05)</f>
        <v>0.70000000000000007</v>
      </c>
      <c r="X139" s="1">
        <f>MROUND(_xlfn.XLOOKUP(_xlfn.XLOOKUP(B139,'Base stats'!B:B,'Base stats'!E:E),Groups!A:A,Groups!BH:BH)*_xlfn.XLOOKUP(B139,'Base stats'!B:B,'Base stats'!C:C)^0.165,0.05)</f>
        <v>0.30000000000000004</v>
      </c>
      <c r="Y139" s="8">
        <f>MROUND(_xlfn.XLOOKUP(_xlfn.XLOOKUP(B139,'Base stats'!B:B,'Base stats'!E:E),Groups!A:A,Groups!BI:BI)*_xlfn.XLOOKUP(B139,'Base stats'!B:B,'Base stats'!C:C)^0.165,0.05)</f>
        <v>0.05</v>
      </c>
      <c r="Z139" s="18">
        <f>MROUND(_xlfn.XLOOKUP(B139,'Base stats'!B:B,'Base stats'!AQ:AQ)*_xlfn.XLOOKUP(_xlfn.XLOOKUP(B139,'Base stats'!B:B,'Base stats'!E:E),Groups!A:A,Groups!H:H)/1000,IF((_xlfn.XLOOKUP(B139,'Base stats'!B:B,'Base stats'!AQ:AQ)*_xlfn.XLOOKUP(_xlfn.XLOOKUP(B139,'Base stats'!B:B,'Base stats'!E:E),Groups!A:A,Groups!H:H)/1000)&gt;1,0.05,0.01))</f>
        <v>0.05</v>
      </c>
      <c r="AA139" s="18">
        <f>MROUND((1/2)*(_xlfn.XLOOKUP(_xlfn.XLOOKUP(B139,'Base stats'!B:B,'Base stats'!E:E),Groups!A:A,Groups!H:H)*_xlfn.XLOOKUP(_xlfn.XLOOKUP(B139,'Base stats'!B:B,'Base stats'!E:E),Groups!A:A,Groups!I:I))*_xlfn.XLOOKUP(B139,'Base stats'!B:B,'Base stats'!AQ:AQ)*0.01,0.05)</f>
        <v>0.2</v>
      </c>
      <c r="AB139" s="18">
        <f>MROUND(250*(Animals!AO139+Animals!AP139),25)</f>
        <v>225</v>
      </c>
      <c r="AC139" s="18" t="str">
        <f>_xlfn.XLOOKUP(_xlfn.XLOOKUP(B139,'Base stats'!B:B,'Base stats'!E:E),Groups!A:A,Groups!BJ:BJ)</f>
        <v>Quadruped</v>
      </c>
    </row>
    <row r="140" spans="1:29" ht="16.5" thickTop="1" thickBot="1" x14ac:dyDescent="0.3">
      <c r="A140" s="16" t="str">
        <f>Animals!A140</f>
        <v>Chihuahua</v>
      </c>
      <c r="B140" s="6" t="str">
        <f>Animals!B140</f>
        <v>Canis familiaris (Chihuahua)</v>
      </c>
      <c r="C140" s="1" t="str">
        <f>Animals!C140</f>
        <v>&lt;li&gt;AEXP_Chihuahua&lt;/li&gt;</v>
      </c>
      <c r="D140" s="47">
        <f>MIN(MIN(6,_xlfn.XLOOKUP(A140,Animals!A:A,Animals!AO:AO))*20,MAX(MROUND(_xlfn.XLOOKUP(B140,'Base stats'!B:B,'Base stats'!BS:BS) * (_xlfn.XLOOKUP(B140,'Base stats'!B:B,'Base stats'!AO:AO)*5%)^0.9 / 21,0.1),0.05))</f>
        <v>0.1</v>
      </c>
      <c r="E140" s="11">
        <f>MROUND(_xlfn.XLOOKUP(B140,'Base stats'!B:B,'Base stats'!BG:BG) * 0.01 * 2 + 0.01, 0.05)</f>
        <v>0.1</v>
      </c>
      <c r="F140" s="7">
        <f>MROUND(_xlfn.XLOOKUP(B140,'Base stats'!B:B,'Base stats'!BD:BD)^0.25 / (_xlfn.XLOOKUP(B140,'Base stats'!B:B,'Base stats'!BK:BK) * 10) * 150 + 0.5 + _xlfn.XLOOKUP(B140,'Base stats'!B:B,'Base stats'!BW:BW), 0.05)</f>
        <v>1.25</v>
      </c>
      <c r="G140" s="3" t="str">
        <f>IF(Animals!S140="No","No",
IF(_xlfn.XLOOKUP(B140,'Base stats'!B:B,'Base stats'!U:U)="No",
MAX(MROUND(_xlfn.XLOOKUP(B140,'Base stats'!B:B,'Base stats'!BT:BT) * _xlfn.XLOOKUP(B140,'Base stats'!B:B,'Base stats'!BP:BP)^0.9 / 21 * _xlfn.XLOOKUP(B140,'Base stats'!B:B,'Base stats'!BX:BX),0.1),0.05),
MAX(MROUND(((MIN(10,_xlfn.XLOOKUP(B140,'Base stats'!B:B,'Base stats'!U:U)))^0.4*_xlfn.XLOOKUP(B140,'Base stats'!B:B,'Base stats'!BH:BH)^0.73)^0.6 * _xlfn.XLOOKUP(B140,'Base stats'!B:B,'Base stats'!BX:BX),0.1),0.05)
))</f>
        <v>No</v>
      </c>
      <c r="H140" s="11" t="str">
        <f>IF(G140="No","No",
MROUND(_xlfn.XLOOKUP(B140,'Base stats'!B:B,'Base stats'!BH:BH) * 0.01 * 2 + 0.05, 0.05)
)</f>
        <v>No</v>
      </c>
      <c r="I140" s="11" t="str">
        <f>IF(G140="No","No",IF(_xlfn.XLOOKUP(B140,'Base stats'!B:B,'Base stats'!U:U)="No","No",
MROUND(_xlfn.XLOOKUP(B140,'Base stats'!B:B,'Base stats'!BT:BT)/10000+0.01,0.01)
))</f>
        <v>No</v>
      </c>
      <c r="J140" s="4" t="str">
        <f>IF(G140="No","No",
MROUND(_xlfn.XLOOKUP(B140,'Base stats'!B:B,'Base stats'!BE:BE)^0.25
/((_xlfn.XLOOKUP(B140,'Base stats'!B:B,'Base stats'!BL:BL))*10)*_xlfn.XLOOKUP(_xlfn.XLOOKUP(B140,'Base stats'!B:B,'Base stats'!E:E),Groups!A:A,Groups!Q:Q)*150 + 0.5 + _xlfn.XLOOKUP(B140,'Base stats'!B:B,'Base stats'!BW:BW),
0.05))</f>
        <v>No</v>
      </c>
      <c r="K140" s="3" t="str">
        <f>IF(Animals!X140="No","No",
IF(_xlfn.XLOOKUP(_xlfn.XLOOKUP(B140,'Base stats'!B:B,'Base stats'!E:E),Groups!A:A,Groups!BD:BD)=1,
MAX(MROUND(_xlfn.XLOOKUP(B140,'Base stats'!B:B,'Base stats'!BU:BU) * _xlfn.XLOOKUP(B140,'Base stats'!B:B,'Base stats'!BQ:BQ)^0.9 / 21 *_xlfn.XLOOKUP(B140,'Base stats'!B:B,'Base stats'!BX:BX),0.1),0.05),
MAX(MROUND(((MIN(10,_xlfn.XLOOKUP(B140,'Base stats'!B:B,'Base stats'!W:W)))^0.4*_xlfn.XLOOKUP(B140,'Base stats'!B:B,'Base stats'!BI:BI)^0.73)^0.6 *_xlfn.XLOOKUP(B140,'Base stats'!B:B,'Base stats'!BX:BX),0.1),0.05)
))</f>
        <v>No</v>
      </c>
      <c r="L140" s="11" t="str">
        <f>IF(K140="No","No",
MROUND(_xlfn.XLOOKUP(B140,'Base stats'!B:B,'Base stats'!BI:BI) * 0.01 *2 + 0.05, 0.05)
)</f>
        <v>No</v>
      </c>
      <c r="M140" s="5" t="str">
        <f>IF(K140="No","No",IF(_xlfn.XLOOKUP(_xlfn.XLOOKUP(B140,'Base stats'!B:B,'Base stats'!E:E),Groups!A:A,Groups!BD:BD)=1,"No",
MROUND(_xlfn.XLOOKUP(B140,'Base stats'!B:B,'Base stats'!BU:BU)/10000+0.01,0.01)
))</f>
        <v>No</v>
      </c>
      <c r="N140" s="4" t="str">
        <f>IF(K140="No","No",
MROUND(
  _xlfn.XLOOKUP(B140,'Base stats'!B:B,'Base stats'!BC:BC)^0.25
  / (_xlfn.XLOOKUP(B140,'Base stats'!B:B,'Base stats'!BM:BM) * 10)
  * _xlfn.XLOOKUP(
      _xlfn.XLOOKUP(B140,'Base stats'!B:B,'Base stats'!E:E),
      Groups!A:A,
      Groups!V:V
    ) * 150
  + MIN(12, _xlfn.XLOOKUP(B140,'Base stats'!B:B,'Base stats'!W:W))^(1/IF(_xlfn.XLOOKUP(_xlfn.XLOOKUP(B140,'Base stats'!B:B,'Base stats'!E:E),Groups!A:A,Groups!U:U)=1,100,10)) + 0.5 + _xlfn.XLOOKUP(B140,'Base stats'!B:B,'Base stats'!BW:BW),
0.05))</f>
        <v>No</v>
      </c>
      <c r="O140" s="3">
        <f>IF(Animals!AD140="No","No",
MAX(MROUND((MIN(10,_xlfn.XLOOKUP(B140,'Base stats'!B:B,'Base stats'!V:V)*IF(_xlfn.XLOOKUP(_xlfn.XLOOKUP(B140,'Base stats'!B:B,'Base stats'!E:E),Groups!A:A,Groups!O:O)=0,1,0.33))^0.4*_xlfn.XLOOKUP(B140,'Base stats'!B:B,'Base stats'!BJ:BJ)^0.73)^0.6 *_xlfn.XLOOKUP(B140,'Base stats'!B:B,'Base stats'!BX:BX),0.1),0.05)
)</f>
        <v>2.7</v>
      </c>
      <c r="P140" s="11">
        <f>IF(O140="No","No",
MROUND(_xlfn.XLOOKUP(B140,'Base stats'!B:B,'Base stats'!BJ:BJ) * 0.01 * 2 + 0.05, 0.05)
)</f>
        <v>0.25</v>
      </c>
      <c r="Q140" s="5">
        <f>IF(O140="No","No",
MROUND(_xlfn.XLOOKUP(B140,'Base stats'!B:B,'Base stats'!BV:BV)/10000+0.01,0.01)
)</f>
        <v>0.06</v>
      </c>
      <c r="R140" s="4">
        <f>IF(O140="No","No",
MROUND(_xlfn.XLOOKUP(B140,'Base stats'!B:B,'Base stats'!BB:BB)^0.25
/((_xlfn.XLOOKUP(B140,'Base stats'!B:B,'Base stats'!BN:BN))*10)*_xlfn.XLOOKUP(_xlfn.XLOOKUP(B140,'Base stats'!B:B,'Base stats'!E:E),Groups!A:A,Groups!Z:Z)*150 + 0.5 + _xlfn.XLOOKUP(B140,'Base stats'!B:B,'Base stats'!BW:BW),
0.05))</f>
        <v>1.8</v>
      </c>
      <c r="S140" s="3" t="str">
        <f>IF(Animals!AI140="No","No",
IF(_xlfn.XLOOKUP(B140,'Base stats'!B:B,'Base stats'!U:U)="No",
MAX(MROUND(_xlfn.XLOOKUP(B140,'Base stats'!B:B,'Base stats'!BT:BT) * _xlfn.XLOOKUP(B140,'Base stats'!B:B,'Base stats'!BP:BP)^0.9 / 21 * _xlfn.XLOOKUP(B140,'Base stats'!B:B,'Base stats'!BX:BX),0.1),0.05),
MAX(MROUND(((MIN(12,_xlfn.XLOOKUP(B140,'Base stats'!B:B,'Base stats'!U:U)))^0.4*_xlfn.XLOOKUP(B140,'Base stats'!B:B,'Base stats'!BH:BH)^0.73)^0.6 * _xlfn.XLOOKUP(B140,'Base stats'!B:B,'Base stats'!BX:BX),0.1),0.05)
))</f>
        <v>No</v>
      </c>
      <c r="T140" s="11" t="str">
        <f>IF(S140="No","No",
MROUND(_xlfn.XLOOKUP(B140,'Base stats'!B:B,'Base stats'!BH:BH) * 0.01 * 2 + 0.05, 0.05)
)</f>
        <v>No</v>
      </c>
      <c r="U140" s="5" t="str">
        <f>IF(S140="No","No",IF(_xlfn.XLOOKUP(B140,'Base stats'!B:B,'Base stats'!U:U)="No","No",
MROUND(_xlfn.XLOOKUP(B140,'Base stats'!B:B,'Base stats'!BT:BT)/10000+0.01,0.01)
))</f>
        <v>No</v>
      </c>
      <c r="V140" s="4" t="str">
        <f>IF(S140="No","No",
MROUND(_xlfn.XLOOKUP(B140,'Base stats'!B:B,'Base stats'!BF:BF)^0.25
/((_xlfn.XLOOKUP(B140,'Base stats'!B:B,'Base stats'!BO:BO))*10)*_xlfn.XLOOKUP(_xlfn.XLOOKUP(B140,'Base stats'!B:B,'Base stats'!E:E),Groups!A:A,Groups!AE:AE)*150 + 0.5 + _xlfn.XLOOKUP(B140,'Base stats'!B:B,'Base stats'!BW:BW),
0.05))</f>
        <v>No</v>
      </c>
      <c r="W140" s="8">
        <f>MROUND(_xlfn.XLOOKUP(_xlfn.XLOOKUP(B140,'Base stats'!B:B,'Base stats'!E:E),Groups!A:A,Groups!BG:BG)*_xlfn.XLOOKUP(B140,'Base stats'!B:B,'Base stats'!C:C)^-0.165,0.05)</f>
        <v>0.9</v>
      </c>
      <c r="X140" s="1">
        <f>MROUND(_xlfn.XLOOKUP(_xlfn.XLOOKUP(B140,'Base stats'!B:B,'Base stats'!E:E),Groups!A:A,Groups!BH:BH)*_xlfn.XLOOKUP(B140,'Base stats'!B:B,'Base stats'!C:C)^0.165,0.05)</f>
        <v>0.2</v>
      </c>
      <c r="Y140" s="8">
        <f>MROUND(_xlfn.XLOOKUP(_xlfn.XLOOKUP(B140,'Base stats'!B:B,'Base stats'!E:E),Groups!A:A,Groups!BI:BI)*_xlfn.XLOOKUP(B140,'Base stats'!B:B,'Base stats'!C:C)^0.165,0.05)</f>
        <v>0.05</v>
      </c>
      <c r="Z140" s="18">
        <f>MROUND(_xlfn.XLOOKUP(B140,'Base stats'!B:B,'Base stats'!AQ:AQ)*_xlfn.XLOOKUP(_xlfn.XLOOKUP(B140,'Base stats'!B:B,'Base stats'!E:E),Groups!A:A,Groups!H:H)/1000,IF((_xlfn.XLOOKUP(B140,'Base stats'!B:B,'Base stats'!AQ:AQ)*_xlfn.XLOOKUP(_xlfn.XLOOKUP(B140,'Base stats'!B:B,'Base stats'!E:E),Groups!A:A,Groups!H:H)/1000)&gt;1,0.05,0.01))</f>
        <v>0.03</v>
      </c>
      <c r="AA140" s="18">
        <f>MROUND((1/2)*(_xlfn.XLOOKUP(_xlfn.XLOOKUP(B140,'Base stats'!B:B,'Base stats'!E:E),Groups!A:A,Groups!H:H)*_xlfn.XLOOKUP(_xlfn.XLOOKUP(B140,'Base stats'!B:B,'Base stats'!E:E),Groups!A:A,Groups!I:I))*_xlfn.XLOOKUP(B140,'Base stats'!B:B,'Base stats'!AQ:AQ)*0.01,0.05)</f>
        <v>0.1</v>
      </c>
      <c r="AB140" s="18">
        <f>MROUND(250*(Animals!AO140+Animals!AP140),25)</f>
        <v>125</v>
      </c>
      <c r="AC140" s="18" t="str">
        <f>_xlfn.XLOOKUP(_xlfn.XLOOKUP(B140,'Base stats'!B:B,'Base stats'!E:E),Groups!A:A,Groups!BJ:BJ)</f>
        <v>Quadruped</v>
      </c>
    </row>
    <row r="141" spans="1:29" ht="16.5" thickTop="1" thickBot="1" x14ac:dyDescent="0.3">
      <c r="A141" s="16" t="str">
        <f>Animals!A141</f>
        <v>Corgi</v>
      </c>
      <c r="B141" s="6" t="str">
        <f>Animals!B141</f>
        <v>Canis familiaris (Corgi)</v>
      </c>
      <c r="C141" s="1" t="str">
        <f>Animals!C141</f>
        <v>&lt;li&gt;AEXP_Corgi&lt;/li&gt;</v>
      </c>
      <c r="D141" s="47">
        <f>MIN(MIN(6,_xlfn.XLOOKUP(A141,Animals!A:A,Animals!AO:AO))*20,MAX(MROUND(_xlfn.XLOOKUP(B141,'Base stats'!B:B,'Base stats'!BS:BS) * (_xlfn.XLOOKUP(B141,'Base stats'!B:B,'Base stats'!AO:AO)*5%)^0.9 / 21,0.1),0.05))</f>
        <v>0.60000000000000009</v>
      </c>
      <c r="E141" s="11">
        <f>MROUND(_xlfn.XLOOKUP(B141,'Base stats'!B:B,'Base stats'!BG:BG) * 0.01 * 2 + 0.01, 0.05)</f>
        <v>0.5</v>
      </c>
      <c r="F141" s="7">
        <f>MROUND(_xlfn.XLOOKUP(B141,'Base stats'!B:B,'Base stats'!BD:BD)^0.25 / (_xlfn.XLOOKUP(B141,'Base stats'!B:B,'Base stats'!BK:BK) * 10) * 150 + 0.5 + _xlfn.XLOOKUP(B141,'Base stats'!B:B,'Base stats'!BW:BW), 0.05)</f>
        <v>1.55</v>
      </c>
      <c r="G141" s="3" t="str">
        <f>IF(Animals!S141="No","No",
IF(_xlfn.XLOOKUP(B141,'Base stats'!B:B,'Base stats'!U:U)="No",
MAX(MROUND(_xlfn.XLOOKUP(B141,'Base stats'!B:B,'Base stats'!BT:BT) * _xlfn.XLOOKUP(B141,'Base stats'!B:B,'Base stats'!BP:BP)^0.9 / 21 * _xlfn.XLOOKUP(B141,'Base stats'!B:B,'Base stats'!BX:BX),0.1),0.05),
MAX(MROUND(((MIN(10,_xlfn.XLOOKUP(B141,'Base stats'!B:B,'Base stats'!U:U)))^0.4*_xlfn.XLOOKUP(B141,'Base stats'!B:B,'Base stats'!BH:BH)^0.73)^0.6 * _xlfn.XLOOKUP(B141,'Base stats'!B:B,'Base stats'!BX:BX),0.1),0.05)
))</f>
        <v>No</v>
      </c>
      <c r="H141" s="11" t="str">
        <f>IF(G141="No","No",
MROUND(_xlfn.XLOOKUP(B141,'Base stats'!B:B,'Base stats'!BH:BH) * 0.01 * 2 + 0.05, 0.05)
)</f>
        <v>No</v>
      </c>
      <c r="I141" s="11" t="str">
        <f>IF(G141="No","No",IF(_xlfn.XLOOKUP(B141,'Base stats'!B:B,'Base stats'!U:U)="No","No",
MROUND(_xlfn.XLOOKUP(B141,'Base stats'!B:B,'Base stats'!BT:BT)/10000+0.01,0.01)
))</f>
        <v>No</v>
      </c>
      <c r="J141" s="4" t="str">
        <f>IF(G141="No","No",
MROUND(_xlfn.XLOOKUP(B141,'Base stats'!B:B,'Base stats'!BE:BE)^0.25
/((_xlfn.XLOOKUP(B141,'Base stats'!B:B,'Base stats'!BL:BL))*10)*_xlfn.XLOOKUP(_xlfn.XLOOKUP(B141,'Base stats'!B:B,'Base stats'!E:E),Groups!A:A,Groups!Q:Q)*150 + 0.5 + _xlfn.XLOOKUP(B141,'Base stats'!B:B,'Base stats'!BW:BW),
0.05))</f>
        <v>No</v>
      </c>
      <c r="K141" s="3" t="str">
        <f>IF(Animals!X141="No","No",
IF(_xlfn.XLOOKUP(_xlfn.XLOOKUP(B141,'Base stats'!B:B,'Base stats'!E:E),Groups!A:A,Groups!BD:BD)=1,
MAX(MROUND(_xlfn.XLOOKUP(B141,'Base stats'!B:B,'Base stats'!BU:BU) * _xlfn.XLOOKUP(B141,'Base stats'!B:B,'Base stats'!BQ:BQ)^0.9 / 21 *_xlfn.XLOOKUP(B141,'Base stats'!B:B,'Base stats'!BX:BX),0.1),0.05),
MAX(MROUND(((MIN(10,_xlfn.XLOOKUP(B141,'Base stats'!B:B,'Base stats'!W:W)))^0.4*_xlfn.XLOOKUP(B141,'Base stats'!B:B,'Base stats'!BI:BI)^0.73)^0.6 *_xlfn.XLOOKUP(B141,'Base stats'!B:B,'Base stats'!BX:BX),0.1),0.05)
))</f>
        <v>No</v>
      </c>
      <c r="L141" s="11" t="str">
        <f>IF(K141="No","No",
MROUND(_xlfn.XLOOKUP(B141,'Base stats'!B:B,'Base stats'!BI:BI) * 0.01 *2 + 0.05, 0.05)
)</f>
        <v>No</v>
      </c>
      <c r="M141" s="5" t="str">
        <f>IF(K141="No","No",IF(_xlfn.XLOOKUP(_xlfn.XLOOKUP(B141,'Base stats'!B:B,'Base stats'!E:E),Groups!A:A,Groups!BD:BD)=1,"No",
MROUND(_xlfn.XLOOKUP(B141,'Base stats'!B:B,'Base stats'!BU:BU)/10000+0.01,0.01)
))</f>
        <v>No</v>
      </c>
      <c r="N141" s="4" t="str">
        <f>IF(K141="No","No",
MROUND(
  _xlfn.XLOOKUP(B141,'Base stats'!B:B,'Base stats'!BC:BC)^0.25
  / (_xlfn.XLOOKUP(B141,'Base stats'!B:B,'Base stats'!BM:BM) * 10)
  * _xlfn.XLOOKUP(
      _xlfn.XLOOKUP(B141,'Base stats'!B:B,'Base stats'!E:E),
      Groups!A:A,
      Groups!V:V
    ) * 150
  + MIN(12, _xlfn.XLOOKUP(B141,'Base stats'!B:B,'Base stats'!W:W))^(1/IF(_xlfn.XLOOKUP(_xlfn.XLOOKUP(B141,'Base stats'!B:B,'Base stats'!E:E),Groups!A:A,Groups!U:U)=1,100,10)) + 0.5 + _xlfn.XLOOKUP(B141,'Base stats'!B:B,'Base stats'!BW:BW),
0.05))</f>
        <v>No</v>
      </c>
      <c r="O141" s="3">
        <f>IF(Animals!AD141="No","No",
MAX(MROUND((MIN(10,_xlfn.XLOOKUP(B141,'Base stats'!B:B,'Base stats'!V:V)*IF(_xlfn.XLOOKUP(_xlfn.XLOOKUP(B141,'Base stats'!B:B,'Base stats'!E:E),Groups!A:A,Groups!O:O)=0,1,0.33))^0.4*_xlfn.XLOOKUP(B141,'Base stats'!B:B,'Base stats'!BJ:BJ)^0.73)^0.6 *_xlfn.XLOOKUP(B141,'Base stats'!B:B,'Base stats'!BX:BX),0.1),0.05)
)</f>
        <v>7.3000000000000007</v>
      </c>
      <c r="P141" s="11">
        <f>IF(O141="No","No",
MROUND(_xlfn.XLOOKUP(B141,'Base stats'!B:B,'Base stats'!BJ:BJ) * 0.01 * 2 + 0.05, 0.05)
)</f>
        <v>1.3</v>
      </c>
      <c r="Q141" s="5">
        <f>IF(O141="No","No",
MROUND(_xlfn.XLOOKUP(B141,'Base stats'!B:B,'Base stats'!BV:BV)/10000+0.01,0.01)
)</f>
        <v>0.15</v>
      </c>
      <c r="R141" s="4">
        <f>IF(O141="No","No",
MROUND(_xlfn.XLOOKUP(B141,'Base stats'!B:B,'Base stats'!BB:BB)^0.25
/((_xlfn.XLOOKUP(B141,'Base stats'!B:B,'Base stats'!BN:BN))*10)*_xlfn.XLOOKUP(_xlfn.XLOOKUP(B141,'Base stats'!B:B,'Base stats'!E:E),Groups!A:A,Groups!Z:Z)*150 + 0.5 + _xlfn.XLOOKUP(B141,'Base stats'!B:B,'Base stats'!BW:BW),
0.05))</f>
        <v>1.9500000000000002</v>
      </c>
      <c r="S141" s="3" t="str">
        <f>IF(Animals!AI141="No","No",
IF(_xlfn.XLOOKUP(B141,'Base stats'!B:B,'Base stats'!U:U)="No",
MAX(MROUND(_xlfn.XLOOKUP(B141,'Base stats'!B:B,'Base stats'!BT:BT) * _xlfn.XLOOKUP(B141,'Base stats'!B:B,'Base stats'!BP:BP)^0.9 / 21 * _xlfn.XLOOKUP(B141,'Base stats'!B:B,'Base stats'!BX:BX),0.1),0.05),
MAX(MROUND(((MIN(12,_xlfn.XLOOKUP(B141,'Base stats'!B:B,'Base stats'!U:U)))^0.4*_xlfn.XLOOKUP(B141,'Base stats'!B:B,'Base stats'!BH:BH)^0.73)^0.6 * _xlfn.XLOOKUP(B141,'Base stats'!B:B,'Base stats'!BX:BX),0.1),0.05)
))</f>
        <v>No</v>
      </c>
      <c r="T141" s="11" t="str">
        <f>IF(S141="No","No",
MROUND(_xlfn.XLOOKUP(B141,'Base stats'!B:B,'Base stats'!BH:BH) * 0.01 * 2 + 0.05, 0.05)
)</f>
        <v>No</v>
      </c>
      <c r="U141" s="5" t="str">
        <f>IF(S141="No","No",IF(_xlfn.XLOOKUP(B141,'Base stats'!B:B,'Base stats'!U:U)="No","No",
MROUND(_xlfn.XLOOKUP(B141,'Base stats'!B:B,'Base stats'!BT:BT)/10000+0.01,0.01)
))</f>
        <v>No</v>
      </c>
      <c r="V141" s="4" t="str">
        <f>IF(S141="No","No",
MROUND(_xlfn.XLOOKUP(B141,'Base stats'!B:B,'Base stats'!BF:BF)^0.25
/((_xlfn.XLOOKUP(B141,'Base stats'!B:B,'Base stats'!BO:BO))*10)*_xlfn.XLOOKUP(_xlfn.XLOOKUP(B141,'Base stats'!B:B,'Base stats'!E:E),Groups!A:A,Groups!AE:AE)*150 + 0.5 + _xlfn.XLOOKUP(B141,'Base stats'!B:B,'Base stats'!BW:BW),
0.05))</f>
        <v>No</v>
      </c>
      <c r="W141" s="8">
        <f>MROUND(_xlfn.XLOOKUP(_xlfn.XLOOKUP(B141,'Base stats'!B:B,'Base stats'!E:E),Groups!A:A,Groups!BG:BG)*_xlfn.XLOOKUP(B141,'Base stats'!B:B,'Base stats'!C:C)^-0.165,0.05)</f>
        <v>0.65</v>
      </c>
      <c r="X141" s="1">
        <f>MROUND(_xlfn.XLOOKUP(_xlfn.XLOOKUP(B141,'Base stats'!B:B,'Base stats'!E:E),Groups!A:A,Groups!BH:BH)*_xlfn.XLOOKUP(B141,'Base stats'!B:B,'Base stats'!C:C)^0.165,0.05)</f>
        <v>0.30000000000000004</v>
      </c>
      <c r="Y141" s="8">
        <f>MROUND(_xlfn.XLOOKUP(_xlfn.XLOOKUP(B141,'Base stats'!B:B,'Base stats'!E:E),Groups!A:A,Groups!BI:BI)*_xlfn.XLOOKUP(B141,'Base stats'!B:B,'Base stats'!C:C)^0.165,0.05)</f>
        <v>0.05</v>
      </c>
      <c r="Z141" s="18">
        <f>MROUND(_xlfn.XLOOKUP(B141,'Base stats'!B:B,'Base stats'!AQ:AQ)*_xlfn.XLOOKUP(_xlfn.XLOOKUP(B141,'Base stats'!B:B,'Base stats'!E:E),Groups!A:A,Groups!H:H)/1000,IF((_xlfn.XLOOKUP(B141,'Base stats'!B:B,'Base stats'!AQ:AQ)*_xlfn.XLOOKUP(_xlfn.XLOOKUP(B141,'Base stats'!B:B,'Base stats'!E:E),Groups!A:A,Groups!H:H)/1000)&gt;1,0.05,0.01))</f>
        <v>0.05</v>
      </c>
      <c r="AA141" s="18">
        <f>MROUND((1/2)*(_xlfn.XLOOKUP(_xlfn.XLOOKUP(B141,'Base stats'!B:B,'Base stats'!E:E),Groups!A:A,Groups!H:H)*_xlfn.XLOOKUP(_xlfn.XLOOKUP(B141,'Base stats'!B:B,'Base stats'!E:E),Groups!A:A,Groups!I:I))*_xlfn.XLOOKUP(B141,'Base stats'!B:B,'Base stats'!AQ:AQ)*0.01,0.05)</f>
        <v>0.25</v>
      </c>
      <c r="AB141" s="18">
        <f>MROUND(250*(Animals!AO141+Animals!AP141),25)</f>
        <v>275</v>
      </c>
      <c r="AC141" s="18" t="str">
        <f>_xlfn.XLOOKUP(_xlfn.XLOOKUP(B141,'Base stats'!B:B,'Base stats'!E:E),Groups!A:A,Groups!BJ:BJ)</f>
        <v>Quadruped</v>
      </c>
    </row>
    <row r="142" spans="1:29" ht="16.5" thickTop="1" thickBot="1" x14ac:dyDescent="0.3">
      <c r="A142" s="16" t="str">
        <f>Animals!A142</f>
        <v>French bulldog</v>
      </c>
      <c r="B142" s="6" t="str">
        <f>Animals!B142</f>
        <v>Canis familiaris (French bulldog)</v>
      </c>
      <c r="C142" s="1" t="str">
        <f>Animals!C142</f>
        <v>&lt;li&gt;AEXP_FrenchBulldog&lt;/li&gt;</v>
      </c>
      <c r="D142" s="47">
        <f>MIN(MIN(6,_xlfn.XLOOKUP(A142,Animals!A:A,Animals!AO:AO))*20,MAX(MROUND(_xlfn.XLOOKUP(B142,'Base stats'!B:B,'Base stats'!BS:BS) * (_xlfn.XLOOKUP(B142,'Base stats'!B:B,'Base stats'!AO:AO)*5%)^0.9 / 21,0.1),0.05))</f>
        <v>0.5</v>
      </c>
      <c r="E142" s="11">
        <f>MROUND(_xlfn.XLOOKUP(B142,'Base stats'!B:B,'Base stats'!BG:BG) * 0.01 * 2 + 0.01, 0.05)</f>
        <v>0.35000000000000003</v>
      </c>
      <c r="F142" s="7">
        <f>MROUND(_xlfn.XLOOKUP(B142,'Base stats'!B:B,'Base stats'!BD:BD)^0.25 / (_xlfn.XLOOKUP(B142,'Base stats'!B:B,'Base stats'!BK:BK) * 10) * 150 + 0.5 + _xlfn.XLOOKUP(B142,'Base stats'!B:B,'Base stats'!BW:BW), 0.05)</f>
        <v>1.6</v>
      </c>
      <c r="G142" s="3" t="str">
        <f>IF(Animals!S142="No","No",
IF(_xlfn.XLOOKUP(B142,'Base stats'!B:B,'Base stats'!U:U)="No",
MAX(MROUND(_xlfn.XLOOKUP(B142,'Base stats'!B:B,'Base stats'!BT:BT) * _xlfn.XLOOKUP(B142,'Base stats'!B:B,'Base stats'!BP:BP)^0.9 / 21 * _xlfn.XLOOKUP(B142,'Base stats'!B:B,'Base stats'!BX:BX),0.1),0.05),
MAX(MROUND(((MIN(10,_xlfn.XLOOKUP(B142,'Base stats'!B:B,'Base stats'!U:U)))^0.4*_xlfn.XLOOKUP(B142,'Base stats'!B:B,'Base stats'!BH:BH)^0.73)^0.6 * _xlfn.XLOOKUP(B142,'Base stats'!B:B,'Base stats'!BX:BX),0.1),0.05)
))</f>
        <v>No</v>
      </c>
      <c r="H142" s="11" t="str">
        <f>IF(G142="No","No",
MROUND(_xlfn.XLOOKUP(B142,'Base stats'!B:B,'Base stats'!BH:BH) * 0.01 * 2 + 0.05, 0.05)
)</f>
        <v>No</v>
      </c>
      <c r="I142" s="11" t="str">
        <f>IF(G142="No","No",IF(_xlfn.XLOOKUP(B142,'Base stats'!B:B,'Base stats'!U:U)="No","No",
MROUND(_xlfn.XLOOKUP(B142,'Base stats'!B:B,'Base stats'!BT:BT)/10000+0.01,0.01)
))</f>
        <v>No</v>
      </c>
      <c r="J142" s="4" t="str">
        <f>IF(G142="No","No",
MROUND(_xlfn.XLOOKUP(B142,'Base stats'!B:B,'Base stats'!BE:BE)^0.25
/((_xlfn.XLOOKUP(B142,'Base stats'!B:B,'Base stats'!BL:BL))*10)*_xlfn.XLOOKUP(_xlfn.XLOOKUP(B142,'Base stats'!B:B,'Base stats'!E:E),Groups!A:A,Groups!Q:Q)*150 + 0.5 + _xlfn.XLOOKUP(B142,'Base stats'!B:B,'Base stats'!BW:BW),
0.05))</f>
        <v>No</v>
      </c>
      <c r="K142" s="3" t="str">
        <f>IF(Animals!X142="No","No",
IF(_xlfn.XLOOKUP(_xlfn.XLOOKUP(B142,'Base stats'!B:B,'Base stats'!E:E),Groups!A:A,Groups!BD:BD)=1,
MAX(MROUND(_xlfn.XLOOKUP(B142,'Base stats'!B:B,'Base stats'!BU:BU) * _xlfn.XLOOKUP(B142,'Base stats'!B:B,'Base stats'!BQ:BQ)^0.9 / 21 *_xlfn.XLOOKUP(B142,'Base stats'!B:B,'Base stats'!BX:BX),0.1),0.05),
MAX(MROUND(((MIN(10,_xlfn.XLOOKUP(B142,'Base stats'!B:B,'Base stats'!W:W)))^0.4*_xlfn.XLOOKUP(B142,'Base stats'!B:B,'Base stats'!BI:BI)^0.73)^0.6 *_xlfn.XLOOKUP(B142,'Base stats'!B:B,'Base stats'!BX:BX),0.1),0.05)
))</f>
        <v>No</v>
      </c>
      <c r="L142" s="11" t="str">
        <f>IF(K142="No","No",
MROUND(_xlfn.XLOOKUP(B142,'Base stats'!B:B,'Base stats'!BI:BI) * 0.01 *2 + 0.05, 0.05)
)</f>
        <v>No</v>
      </c>
      <c r="M142" s="5" t="str">
        <f>IF(K142="No","No",IF(_xlfn.XLOOKUP(_xlfn.XLOOKUP(B142,'Base stats'!B:B,'Base stats'!E:E),Groups!A:A,Groups!BD:BD)=1,"No",
MROUND(_xlfn.XLOOKUP(B142,'Base stats'!B:B,'Base stats'!BU:BU)/10000+0.01,0.01)
))</f>
        <v>No</v>
      </c>
      <c r="N142" s="4" t="str">
        <f>IF(K142="No","No",
MROUND(
  _xlfn.XLOOKUP(B142,'Base stats'!B:B,'Base stats'!BC:BC)^0.25
  / (_xlfn.XLOOKUP(B142,'Base stats'!B:B,'Base stats'!BM:BM) * 10)
  * _xlfn.XLOOKUP(
      _xlfn.XLOOKUP(B142,'Base stats'!B:B,'Base stats'!E:E),
      Groups!A:A,
      Groups!V:V
    ) * 150
  + MIN(12, _xlfn.XLOOKUP(B142,'Base stats'!B:B,'Base stats'!W:W))^(1/IF(_xlfn.XLOOKUP(_xlfn.XLOOKUP(B142,'Base stats'!B:B,'Base stats'!E:E),Groups!A:A,Groups!U:U)=1,100,10)) + 0.5 + _xlfn.XLOOKUP(B142,'Base stats'!B:B,'Base stats'!BW:BW),
0.05))</f>
        <v>No</v>
      </c>
      <c r="O142" s="3">
        <f>IF(Animals!AD142="No","No",
MAX(MROUND((MIN(10,_xlfn.XLOOKUP(B142,'Base stats'!B:B,'Base stats'!V:V)*IF(_xlfn.XLOOKUP(_xlfn.XLOOKUP(B142,'Base stats'!B:B,'Base stats'!E:E),Groups!A:A,Groups!O:O)=0,1,0.33))^0.4*_xlfn.XLOOKUP(B142,'Base stats'!B:B,'Base stats'!BJ:BJ)^0.73)^0.6 *_xlfn.XLOOKUP(B142,'Base stats'!B:B,'Base stats'!BX:BX),0.1),0.05)
)</f>
        <v>6.2</v>
      </c>
      <c r="P142" s="11">
        <f>IF(O142="No","No",
MROUND(_xlfn.XLOOKUP(B142,'Base stats'!B:B,'Base stats'!BJ:BJ) * 0.01 * 2 + 0.05, 0.05)
)</f>
        <v>0.95000000000000007</v>
      </c>
      <c r="Q142" s="5">
        <f>IF(O142="No","No",
MROUND(_xlfn.XLOOKUP(B142,'Base stats'!B:B,'Base stats'!BV:BV)/10000+0.01,0.01)
)</f>
        <v>0.13</v>
      </c>
      <c r="R142" s="4">
        <f>IF(O142="No","No",
MROUND(_xlfn.XLOOKUP(B142,'Base stats'!B:B,'Base stats'!BB:BB)^0.25
/((_xlfn.XLOOKUP(B142,'Base stats'!B:B,'Base stats'!BN:BN))*10)*_xlfn.XLOOKUP(_xlfn.XLOOKUP(B142,'Base stats'!B:B,'Base stats'!E:E),Groups!A:A,Groups!Z:Z)*150 + 0.5 + _xlfn.XLOOKUP(B142,'Base stats'!B:B,'Base stats'!BW:BW),
0.05))</f>
        <v>1.9000000000000001</v>
      </c>
      <c r="S142" s="3" t="str">
        <f>IF(Animals!AI142="No","No",
IF(_xlfn.XLOOKUP(B142,'Base stats'!B:B,'Base stats'!U:U)="No",
MAX(MROUND(_xlfn.XLOOKUP(B142,'Base stats'!B:B,'Base stats'!BT:BT) * _xlfn.XLOOKUP(B142,'Base stats'!B:B,'Base stats'!BP:BP)^0.9 / 21 * _xlfn.XLOOKUP(B142,'Base stats'!B:B,'Base stats'!BX:BX),0.1),0.05),
MAX(MROUND(((MIN(12,_xlfn.XLOOKUP(B142,'Base stats'!B:B,'Base stats'!U:U)))^0.4*_xlfn.XLOOKUP(B142,'Base stats'!B:B,'Base stats'!BH:BH)^0.73)^0.6 * _xlfn.XLOOKUP(B142,'Base stats'!B:B,'Base stats'!BX:BX),0.1),0.05)
))</f>
        <v>No</v>
      </c>
      <c r="T142" s="11" t="str">
        <f>IF(S142="No","No",
MROUND(_xlfn.XLOOKUP(B142,'Base stats'!B:B,'Base stats'!BH:BH) * 0.01 * 2 + 0.05, 0.05)
)</f>
        <v>No</v>
      </c>
      <c r="U142" s="5" t="str">
        <f>IF(S142="No","No",IF(_xlfn.XLOOKUP(B142,'Base stats'!B:B,'Base stats'!U:U)="No","No",
MROUND(_xlfn.XLOOKUP(B142,'Base stats'!B:B,'Base stats'!BT:BT)/10000+0.01,0.01)
))</f>
        <v>No</v>
      </c>
      <c r="V142" s="4" t="str">
        <f>IF(S142="No","No",
MROUND(_xlfn.XLOOKUP(B142,'Base stats'!B:B,'Base stats'!BF:BF)^0.25
/((_xlfn.XLOOKUP(B142,'Base stats'!B:B,'Base stats'!BO:BO))*10)*_xlfn.XLOOKUP(_xlfn.XLOOKUP(B142,'Base stats'!B:B,'Base stats'!E:E),Groups!A:A,Groups!AE:AE)*150 + 0.5 + _xlfn.XLOOKUP(B142,'Base stats'!B:B,'Base stats'!BW:BW),
0.05))</f>
        <v>No</v>
      </c>
      <c r="W142" s="8">
        <f>MROUND(_xlfn.XLOOKUP(_xlfn.XLOOKUP(B142,'Base stats'!B:B,'Base stats'!E:E),Groups!A:A,Groups!BG:BG)*_xlfn.XLOOKUP(B142,'Base stats'!B:B,'Base stats'!C:C)^-0.165,0.05)</f>
        <v>0.65</v>
      </c>
      <c r="X142" s="1">
        <f>MROUND(_xlfn.XLOOKUP(_xlfn.XLOOKUP(B142,'Base stats'!B:B,'Base stats'!E:E),Groups!A:A,Groups!BH:BH)*_xlfn.XLOOKUP(B142,'Base stats'!B:B,'Base stats'!C:C)^0.165,0.05)</f>
        <v>0.30000000000000004</v>
      </c>
      <c r="Y142" s="8">
        <f>MROUND(_xlfn.XLOOKUP(_xlfn.XLOOKUP(B142,'Base stats'!B:B,'Base stats'!E:E),Groups!A:A,Groups!BI:BI)*_xlfn.XLOOKUP(B142,'Base stats'!B:B,'Base stats'!C:C)^0.165,0.05)</f>
        <v>0.05</v>
      </c>
      <c r="Z142" s="18">
        <f>MROUND(_xlfn.XLOOKUP(B142,'Base stats'!B:B,'Base stats'!AQ:AQ)*_xlfn.XLOOKUP(_xlfn.XLOOKUP(B142,'Base stats'!B:B,'Base stats'!E:E),Groups!A:A,Groups!H:H)/1000,IF((_xlfn.XLOOKUP(B142,'Base stats'!B:B,'Base stats'!AQ:AQ)*_xlfn.XLOOKUP(_xlfn.XLOOKUP(B142,'Base stats'!B:B,'Base stats'!E:E),Groups!A:A,Groups!H:H)/1000)&gt;1,0.05,0.01))</f>
        <v>0.05</v>
      </c>
      <c r="AA142" s="18">
        <f>MROUND((1/2)*(_xlfn.XLOOKUP(_xlfn.XLOOKUP(B142,'Base stats'!B:B,'Base stats'!E:E),Groups!A:A,Groups!H:H)*_xlfn.XLOOKUP(_xlfn.XLOOKUP(B142,'Base stats'!B:B,'Base stats'!E:E),Groups!A:A,Groups!I:I))*_xlfn.XLOOKUP(B142,'Base stats'!B:B,'Base stats'!AQ:AQ)*0.01,0.05)</f>
        <v>0.2</v>
      </c>
      <c r="AB142" s="18">
        <f>MROUND(250*(Animals!AO142+Animals!AP142),25)</f>
        <v>250</v>
      </c>
      <c r="AC142" s="18" t="str">
        <f>_xlfn.XLOOKUP(_xlfn.XLOOKUP(B142,'Base stats'!B:B,'Base stats'!E:E),Groups!A:A,Groups!BJ:BJ)</f>
        <v>Quadruped</v>
      </c>
    </row>
    <row r="143" spans="1:29" ht="16.5" thickTop="1" thickBot="1" x14ac:dyDescent="0.3">
      <c r="A143" s="16" t="str">
        <f>Animals!A143</f>
        <v>German shepherd</v>
      </c>
      <c r="B143" s="6" t="str">
        <f>Animals!B143</f>
        <v>Canis familiaris (German shepherd)</v>
      </c>
      <c r="C143" s="1" t="str">
        <f>Animals!C143</f>
        <v>&lt;li&gt;AEXP_GermanShepherd&lt;/li&gt;</v>
      </c>
      <c r="D143" s="47">
        <f>MIN(MIN(6,_xlfn.XLOOKUP(A143,Animals!A:A,Animals!AO:AO))*20,MAX(MROUND(_xlfn.XLOOKUP(B143,'Base stats'!B:B,'Base stats'!BS:BS) * (_xlfn.XLOOKUP(B143,'Base stats'!B:B,'Base stats'!AO:AO)*5%)^0.9 / 21,0.1),0.05))</f>
        <v>1.3</v>
      </c>
      <c r="E143" s="11">
        <f>MROUND(_xlfn.XLOOKUP(B143,'Base stats'!B:B,'Base stats'!BG:BG) * 0.01 * 2 + 0.01, 0.05)</f>
        <v>1.05</v>
      </c>
      <c r="F143" s="7">
        <f>MROUND(_xlfn.XLOOKUP(B143,'Base stats'!B:B,'Base stats'!BD:BD)^0.25 / (_xlfn.XLOOKUP(B143,'Base stats'!B:B,'Base stats'!BK:BK) * 10) * 150 + 0.5 + _xlfn.XLOOKUP(B143,'Base stats'!B:B,'Base stats'!BW:BW), 0.05)</f>
        <v>1.8</v>
      </c>
      <c r="G143" s="3" t="str">
        <f>IF(Animals!S143="No","No",
IF(_xlfn.XLOOKUP(B143,'Base stats'!B:B,'Base stats'!U:U)="No",
MAX(MROUND(_xlfn.XLOOKUP(B143,'Base stats'!B:B,'Base stats'!BT:BT) * _xlfn.XLOOKUP(B143,'Base stats'!B:B,'Base stats'!BP:BP)^0.9 / 21 * _xlfn.XLOOKUP(B143,'Base stats'!B:B,'Base stats'!BX:BX),0.1),0.05),
MAX(MROUND(((MIN(10,_xlfn.XLOOKUP(B143,'Base stats'!B:B,'Base stats'!U:U)))^0.4*_xlfn.XLOOKUP(B143,'Base stats'!B:B,'Base stats'!BH:BH)^0.73)^0.6 * _xlfn.XLOOKUP(B143,'Base stats'!B:B,'Base stats'!BX:BX),0.1),0.05)
))</f>
        <v>No</v>
      </c>
      <c r="H143" s="11" t="str">
        <f>IF(G143="No","No",
MROUND(_xlfn.XLOOKUP(B143,'Base stats'!B:B,'Base stats'!BH:BH) * 0.01 * 2 + 0.05, 0.05)
)</f>
        <v>No</v>
      </c>
      <c r="I143" s="11" t="str">
        <f>IF(G143="No","No",IF(_xlfn.XLOOKUP(B143,'Base stats'!B:B,'Base stats'!U:U)="No","No",
MROUND(_xlfn.XLOOKUP(B143,'Base stats'!B:B,'Base stats'!BT:BT)/10000+0.01,0.01)
))</f>
        <v>No</v>
      </c>
      <c r="J143" s="4" t="str">
        <f>IF(G143="No","No",
MROUND(_xlfn.XLOOKUP(B143,'Base stats'!B:B,'Base stats'!BE:BE)^0.25
/((_xlfn.XLOOKUP(B143,'Base stats'!B:B,'Base stats'!BL:BL))*10)*_xlfn.XLOOKUP(_xlfn.XLOOKUP(B143,'Base stats'!B:B,'Base stats'!E:E),Groups!A:A,Groups!Q:Q)*150 + 0.5 + _xlfn.XLOOKUP(B143,'Base stats'!B:B,'Base stats'!BW:BW),
0.05))</f>
        <v>No</v>
      </c>
      <c r="K143" s="3" t="str">
        <f>IF(Animals!X143="No","No",
IF(_xlfn.XLOOKUP(_xlfn.XLOOKUP(B143,'Base stats'!B:B,'Base stats'!E:E),Groups!A:A,Groups!BD:BD)=1,
MAX(MROUND(_xlfn.XLOOKUP(B143,'Base stats'!B:B,'Base stats'!BU:BU) * _xlfn.XLOOKUP(B143,'Base stats'!B:B,'Base stats'!BQ:BQ)^0.9 / 21 *_xlfn.XLOOKUP(B143,'Base stats'!B:B,'Base stats'!BX:BX),0.1),0.05),
MAX(MROUND(((MIN(10,_xlfn.XLOOKUP(B143,'Base stats'!B:B,'Base stats'!W:W)))^0.4*_xlfn.XLOOKUP(B143,'Base stats'!B:B,'Base stats'!BI:BI)^0.73)^0.6 *_xlfn.XLOOKUP(B143,'Base stats'!B:B,'Base stats'!BX:BX),0.1),0.05)
))</f>
        <v>No</v>
      </c>
      <c r="L143" s="11" t="str">
        <f>IF(K143="No","No",
MROUND(_xlfn.XLOOKUP(B143,'Base stats'!B:B,'Base stats'!BI:BI) * 0.01 *2 + 0.05, 0.05)
)</f>
        <v>No</v>
      </c>
      <c r="M143" s="5" t="str">
        <f>IF(K143="No","No",IF(_xlfn.XLOOKUP(_xlfn.XLOOKUP(B143,'Base stats'!B:B,'Base stats'!E:E),Groups!A:A,Groups!BD:BD)=1,"No",
MROUND(_xlfn.XLOOKUP(B143,'Base stats'!B:B,'Base stats'!BU:BU)/10000+0.01,0.01)
))</f>
        <v>No</v>
      </c>
      <c r="N143" s="4" t="str">
        <f>IF(K143="No","No",
MROUND(
  _xlfn.XLOOKUP(B143,'Base stats'!B:B,'Base stats'!BC:BC)^0.25
  / (_xlfn.XLOOKUP(B143,'Base stats'!B:B,'Base stats'!BM:BM) * 10)
  * _xlfn.XLOOKUP(
      _xlfn.XLOOKUP(B143,'Base stats'!B:B,'Base stats'!E:E),
      Groups!A:A,
      Groups!V:V
    ) * 150
  + MIN(12, _xlfn.XLOOKUP(B143,'Base stats'!B:B,'Base stats'!W:W))^(1/IF(_xlfn.XLOOKUP(_xlfn.XLOOKUP(B143,'Base stats'!B:B,'Base stats'!E:E),Groups!A:A,Groups!U:U)=1,100,10)) + 0.5 + _xlfn.XLOOKUP(B143,'Base stats'!B:B,'Base stats'!BW:BW),
0.05))</f>
        <v>No</v>
      </c>
      <c r="O143" s="3">
        <f>IF(Animals!AD143="No","No",
MAX(MROUND((MIN(10,_xlfn.XLOOKUP(B143,'Base stats'!B:B,'Base stats'!V:V)*IF(_xlfn.XLOOKUP(_xlfn.XLOOKUP(B143,'Base stats'!B:B,'Base stats'!E:E),Groups!A:A,Groups!O:O)=0,1,0.33))^0.4*_xlfn.XLOOKUP(B143,'Base stats'!B:B,'Base stats'!BJ:BJ)^0.73)^0.6 *_xlfn.XLOOKUP(B143,'Base stats'!B:B,'Base stats'!BX:BX),0.1),0.05)
)</f>
        <v>11.100000000000001</v>
      </c>
      <c r="P143" s="11">
        <f>IF(O143="No","No",
MROUND(_xlfn.XLOOKUP(B143,'Base stats'!B:B,'Base stats'!BJ:BJ) * 0.01 * 2 + 0.05, 0.05)
)</f>
        <v>2.8000000000000003</v>
      </c>
      <c r="Q143" s="5">
        <f>IF(O143="No","No",
MROUND(_xlfn.XLOOKUP(B143,'Base stats'!B:B,'Base stats'!BV:BV)/10000+0.01,0.01)
)</f>
        <v>0.22</v>
      </c>
      <c r="R143" s="4">
        <f>IF(O143="No","No",
MROUND(_xlfn.XLOOKUP(B143,'Base stats'!B:B,'Base stats'!BB:BB)^0.25
/((_xlfn.XLOOKUP(B143,'Base stats'!B:B,'Base stats'!BN:BN))*10)*_xlfn.XLOOKUP(_xlfn.XLOOKUP(B143,'Base stats'!B:B,'Base stats'!E:E),Groups!A:A,Groups!Z:Z)*150 + 0.5 + _xlfn.XLOOKUP(B143,'Base stats'!B:B,'Base stats'!BW:BW),
0.05))</f>
        <v>2.0500000000000003</v>
      </c>
      <c r="S143" s="3" t="str">
        <f>IF(Animals!AI143="No","No",
IF(_xlfn.XLOOKUP(B143,'Base stats'!B:B,'Base stats'!U:U)="No",
MAX(MROUND(_xlfn.XLOOKUP(B143,'Base stats'!B:B,'Base stats'!BT:BT) * _xlfn.XLOOKUP(B143,'Base stats'!B:B,'Base stats'!BP:BP)^0.9 / 21 * _xlfn.XLOOKUP(B143,'Base stats'!B:B,'Base stats'!BX:BX),0.1),0.05),
MAX(MROUND(((MIN(12,_xlfn.XLOOKUP(B143,'Base stats'!B:B,'Base stats'!U:U)))^0.4*_xlfn.XLOOKUP(B143,'Base stats'!B:B,'Base stats'!BH:BH)^0.73)^0.6 * _xlfn.XLOOKUP(B143,'Base stats'!B:B,'Base stats'!BX:BX),0.1),0.05)
))</f>
        <v>No</v>
      </c>
      <c r="T143" s="11" t="str">
        <f>IF(S143="No","No",
MROUND(_xlfn.XLOOKUP(B143,'Base stats'!B:B,'Base stats'!BH:BH) * 0.01 * 2 + 0.05, 0.05)
)</f>
        <v>No</v>
      </c>
      <c r="U143" s="5" t="str">
        <f>IF(S143="No","No",IF(_xlfn.XLOOKUP(B143,'Base stats'!B:B,'Base stats'!U:U)="No","No",
MROUND(_xlfn.XLOOKUP(B143,'Base stats'!B:B,'Base stats'!BT:BT)/10000+0.01,0.01)
))</f>
        <v>No</v>
      </c>
      <c r="V143" s="4" t="str">
        <f>IF(S143="No","No",
MROUND(_xlfn.XLOOKUP(B143,'Base stats'!B:B,'Base stats'!BF:BF)^0.25
/((_xlfn.XLOOKUP(B143,'Base stats'!B:B,'Base stats'!BO:BO))*10)*_xlfn.XLOOKUP(_xlfn.XLOOKUP(B143,'Base stats'!B:B,'Base stats'!E:E),Groups!A:A,Groups!AE:AE)*150 + 0.5 + _xlfn.XLOOKUP(B143,'Base stats'!B:B,'Base stats'!BW:BW),
0.05))</f>
        <v>No</v>
      </c>
      <c r="W143" s="8">
        <f>MROUND(_xlfn.XLOOKUP(_xlfn.XLOOKUP(B143,'Base stats'!B:B,'Base stats'!E:E),Groups!A:A,Groups!BG:BG)*_xlfn.XLOOKUP(B143,'Base stats'!B:B,'Base stats'!C:C)^-0.165,0.05)</f>
        <v>0.55000000000000004</v>
      </c>
      <c r="X143" s="1">
        <f>MROUND(_xlfn.XLOOKUP(_xlfn.XLOOKUP(B143,'Base stats'!B:B,'Base stats'!E:E),Groups!A:A,Groups!BH:BH)*_xlfn.XLOOKUP(B143,'Base stats'!B:B,'Base stats'!C:C)^0.165,0.05)</f>
        <v>0.35000000000000003</v>
      </c>
      <c r="Y143" s="8">
        <f>MROUND(_xlfn.XLOOKUP(_xlfn.XLOOKUP(B143,'Base stats'!B:B,'Base stats'!E:E),Groups!A:A,Groups!BI:BI)*_xlfn.XLOOKUP(B143,'Base stats'!B:B,'Base stats'!C:C)^0.165,0.05)</f>
        <v>0.05</v>
      </c>
      <c r="Z143" s="18">
        <f>MROUND(_xlfn.XLOOKUP(B143,'Base stats'!B:B,'Base stats'!AQ:AQ)*_xlfn.XLOOKUP(_xlfn.XLOOKUP(B143,'Base stats'!B:B,'Base stats'!E:E),Groups!A:A,Groups!H:H)/1000,IF((_xlfn.XLOOKUP(B143,'Base stats'!B:B,'Base stats'!AQ:AQ)*_xlfn.XLOOKUP(_xlfn.XLOOKUP(B143,'Base stats'!B:B,'Base stats'!E:E),Groups!A:A,Groups!H:H)/1000)&gt;1,0.05,0.01))</f>
        <v>7.0000000000000007E-2</v>
      </c>
      <c r="AA143" s="18">
        <f>MROUND((1/2)*(_xlfn.XLOOKUP(_xlfn.XLOOKUP(B143,'Base stats'!B:B,'Base stats'!E:E),Groups!A:A,Groups!H:H)*_xlfn.XLOOKUP(_xlfn.XLOOKUP(B143,'Base stats'!B:B,'Base stats'!E:E),Groups!A:A,Groups!I:I))*_xlfn.XLOOKUP(B143,'Base stats'!B:B,'Base stats'!AQ:AQ)*0.01,0.05)</f>
        <v>0.30000000000000004</v>
      </c>
      <c r="AB143" s="18">
        <f>MROUND(250*(Animals!AO143+Animals!AP143),25)</f>
        <v>425</v>
      </c>
      <c r="AC143" s="18" t="str">
        <f>_xlfn.XLOOKUP(_xlfn.XLOOKUP(B143,'Base stats'!B:B,'Base stats'!E:E),Groups!A:A,Groups!BJ:BJ)</f>
        <v>Quadruped</v>
      </c>
    </row>
    <row r="144" spans="1:29" ht="16.5" thickTop="1" thickBot="1" x14ac:dyDescent="0.3">
      <c r="A144" s="16" t="str">
        <f>Animals!A144</f>
        <v>Great dane</v>
      </c>
      <c r="B144" s="6" t="str">
        <f>Animals!B144</f>
        <v>Canis familiaris (Great dane)</v>
      </c>
      <c r="C144" s="1" t="str">
        <f>Animals!C144</f>
        <v>&lt;li&gt;AEXP_GreatDane&lt;/li&gt;</v>
      </c>
      <c r="D144" s="47">
        <f>MIN(MIN(6,_xlfn.XLOOKUP(A144,Animals!A:A,Animals!AO:AO))*20,MAX(MROUND(_xlfn.XLOOKUP(B144,'Base stats'!B:B,'Base stats'!BS:BS) * (_xlfn.XLOOKUP(B144,'Base stats'!B:B,'Base stats'!AO:AO)*5%)^0.9 / 21,0.1),0.05))</f>
        <v>2.1</v>
      </c>
      <c r="E144" s="11">
        <f>MROUND(_xlfn.XLOOKUP(B144,'Base stats'!B:B,'Base stats'!BG:BG) * 0.01 * 2 + 0.01, 0.05)</f>
        <v>1.75</v>
      </c>
      <c r="F144" s="7">
        <f>MROUND(_xlfn.XLOOKUP(B144,'Base stats'!B:B,'Base stats'!BD:BD)^0.25 / (_xlfn.XLOOKUP(B144,'Base stats'!B:B,'Base stats'!BK:BK) * 10) * 150 + 0.5 + _xlfn.XLOOKUP(B144,'Base stats'!B:B,'Base stats'!BW:BW), 0.05)</f>
        <v>1.9500000000000002</v>
      </c>
      <c r="G144" s="3" t="str">
        <f>IF(Animals!S144="No","No",
IF(_xlfn.XLOOKUP(B144,'Base stats'!B:B,'Base stats'!U:U)="No",
MAX(MROUND(_xlfn.XLOOKUP(B144,'Base stats'!B:B,'Base stats'!BT:BT) * _xlfn.XLOOKUP(B144,'Base stats'!B:B,'Base stats'!BP:BP)^0.9 / 21 * _xlfn.XLOOKUP(B144,'Base stats'!B:B,'Base stats'!BX:BX),0.1),0.05),
MAX(MROUND(((MIN(10,_xlfn.XLOOKUP(B144,'Base stats'!B:B,'Base stats'!U:U)))^0.4*_xlfn.XLOOKUP(B144,'Base stats'!B:B,'Base stats'!BH:BH)^0.73)^0.6 * _xlfn.XLOOKUP(B144,'Base stats'!B:B,'Base stats'!BX:BX),0.1),0.05)
))</f>
        <v>No</v>
      </c>
      <c r="H144" s="11" t="str">
        <f>IF(G144="No","No",
MROUND(_xlfn.XLOOKUP(B144,'Base stats'!B:B,'Base stats'!BH:BH) * 0.01 * 2 + 0.05, 0.05)
)</f>
        <v>No</v>
      </c>
      <c r="I144" s="11" t="str">
        <f>IF(G144="No","No",IF(_xlfn.XLOOKUP(B144,'Base stats'!B:B,'Base stats'!U:U)="No","No",
MROUND(_xlfn.XLOOKUP(B144,'Base stats'!B:B,'Base stats'!BT:BT)/10000+0.01,0.01)
))</f>
        <v>No</v>
      </c>
      <c r="J144" s="4" t="str">
        <f>IF(G144="No","No",
MROUND(_xlfn.XLOOKUP(B144,'Base stats'!B:B,'Base stats'!BE:BE)^0.25
/((_xlfn.XLOOKUP(B144,'Base stats'!B:B,'Base stats'!BL:BL))*10)*_xlfn.XLOOKUP(_xlfn.XLOOKUP(B144,'Base stats'!B:B,'Base stats'!E:E),Groups!A:A,Groups!Q:Q)*150 + 0.5 + _xlfn.XLOOKUP(B144,'Base stats'!B:B,'Base stats'!BW:BW),
0.05))</f>
        <v>No</v>
      </c>
      <c r="K144" s="3" t="str">
        <f>IF(Animals!X144="No","No",
IF(_xlfn.XLOOKUP(_xlfn.XLOOKUP(B144,'Base stats'!B:B,'Base stats'!E:E),Groups!A:A,Groups!BD:BD)=1,
MAX(MROUND(_xlfn.XLOOKUP(B144,'Base stats'!B:B,'Base stats'!BU:BU) * _xlfn.XLOOKUP(B144,'Base stats'!B:B,'Base stats'!BQ:BQ)^0.9 / 21 *_xlfn.XLOOKUP(B144,'Base stats'!B:B,'Base stats'!BX:BX),0.1),0.05),
MAX(MROUND(((MIN(10,_xlfn.XLOOKUP(B144,'Base stats'!B:B,'Base stats'!W:W)))^0.4*_xlfn.XLOOKUP(B144,'Base stats'!B:B,'Base stats'!BI:BI)^0.73)^0.6 *_xlfn.XLOOKUP(B144,'Base stats'!B:B,'Base stats'!BX:BX),0.1),0.05)
))</f>
        <v>No</v>
      </c>
      <c r="L144" s="11" t="str">
        <f>IF(K144="No","No",
MROUND(_xlfn.XLOOKUP(B144,'Base stats'!B:B,'Base stats'!BI:BI) * 0.01 *2 + 0.05, 0.05)
)</f>
        <v>No</v>
      </c>
      <c r="M144" s="5" t="str">
        <f>IF(K144="No","No",IF(_xlfn.XLOOKUP(_xlfn.XLOOKUP(B144,'Base stats'!B:B,'Base stats'!E:E),Groups!A:A,Groups!BD:BD)=1,"No",
MROUND(_xlfn.XLOOKUP(B144,'Base stats'!B:B,'Base stats'!BU:BU)/10000+0.01,0.01)
))</f>
        <v>No</v>
      </c>
      <c r="N144" s="4" t="str">
        <f>IF(K144="No","No",
MROUND(
  _xlfn.XLOOKUP(B144,'Base stats'!B:B,'Base stats'!BC:BC)^0.25
  / (_xlfn.XLOOKUP(B144,'Base stats'!B:B,'Base stats'!BM:BM) * 10)
  * _xlfn.XLOOKUP(
      _xlfn.XLOOKUP(B144,'Base stats'!B:B,'Base stats'!E:E),
      Groups!A:A,
      Groups!V:V
    ) * 150
  + MIN(12, _xlfn.XLOOKUP(B144,'Base stats'!B:B,'Base stats'!W:W))^(1/IF(_xlfn.XLOOKUP(_xlfn.XLOOKUP(B144,'Base stats'!B:B,'Base stats'!E:E),Groups!A:A,Groups!U:U)=1,100,10)) + 0.5 + _xlfn.XLOOKUP(B144,'Base stats'!B:B,'Base stats'!BW:BW),
0.05))</f>
        <v>No</v>
      </c>
      <c r="O144" s="3">
        <f>IF(Animals!AD144="No","No",
MAX(MROUND((MIN(10,_xlfn.XLOOKUP(B144,'Base stats'!B:B,'Base stats'!V:V)*IF(_xlfn.XLOOKUP(_xlfn.XLOOKUP(B144,'Base stats'!B:B,'Base stats'!E:E),Groups!A:A,Groups!O:O)=0,1,0.33))^0.4*_xlfn.XLOOKUP(B144,'Base stats'!B:B,'Base stats'!BJ:BJ)^0.73)^0.6 *_xlfn.XLOOKUP(B144,'Base stats'!B:B,'Base stats'!BX:BX),0.1),0.05)
)</f>
        <v>14.3</v>
      </c>
      <c r="P144" s="11">
        <f>IF(O144="No","No",
MROUND(_xlfn.XLOOKUP(B144,'Base stats'!B:B,'Base stats'!BJ:BJ) * 0.01 * 2 + 0.05, 0.05)
)</f>
        <v>4.5</v>
      </c>
      <c r="Q144" s="5">
        <f>IF(O144="No","No",
MROUND(_xlfn.XLOOKUP(B144,'Base stats'!B:B,'Base stats'!BV:BV)/10000+0.01,0.01)
)</f>
        <v>0.28999999999999998</v>
      </c>
      <c r="R144" s="4">
        <f>IF(O144="No","No",
MROUND(_xlfn.XLOOKUP(B144,'Base stats'!B:B,'Base stats'!BB:BB)^0.25
/((_xlfn.XLOOKUP(B144,'Base stats'!B:B,'Base stats'!BN:BN))*10)*_xlfn.XLOOKUP(_xlfn.XLOOKUP(B144,'Base stats'!B:B,'Base stats'!E:E),Groups!A:A,Groups!Z:Z)*150 + 0.5 + _xlfn.XLOOKUP(B144,'Base stats'!B:B,'Base stats'!BW:BW),
0.05))</f>
        <v>2.2000000000000002</v>
      </c>
      <c r="S144" s="3" t="str">
        <f>IF(Animals!AI144="No","No",
IF(_xlfn.XLOOKUP(B144,'Base stats'!B:B,'Base stats'!U:U)="No",
MAX(MROUND(_xlfn.XLOOKUP(B144,'Base stats'!B:B,'Base stats'!BT:BT) * _xlfn.XLOOKUP(B144,'Base stats'!B:B,'Base stats'!BP:BP)^0.9 / 21 * _xlfn.XLOOKUP(B144,'Base stats'!B:B,'Base stats'!BX:BX),0.1),0.05),
MAX(MROUND(((MIN(12,_xlfn.XLOOKUP(B144,'Base stats'!B:B,'Base stats'!U:U)))^0.4*_xlfn.XLOOKUP(B144,'Base stats'!B:B,'Base stats'!BH:BH)^0.73)^0.6 * _xlfn.XLOOKUP(B144,'Base stats'!B:B,'Base stats'!BX:BX),0.1),0.05)
))</f>
        <v>No</v>
      </c>
      <c r="T144" s="11" t="str">
        <f>IF(S144="No","No",
MROUND(_xlfn.XLOOKUP(B144,'Base stats'!B:B,'Base stats'!BH:BH) * 0.01 * 2 + 0.05, 0.05)
)</f>
        <v>No</v>
      </c>
      <c r="U144" s="5" t="str">
        <f>IF(S144="No","No",IF(_xlfn.XLOOKUP(B144,'Base stats'!B:B,'Base stats'!U:U)="No","No",
MROUND(_xlfn.XLOOKUP(B144,'Base stats'!B:B,'Base stats'!BT:BT)/10000+0.01,0.01)
))</f>
        <v>No</v>
      </c>
      <c r="V144" s="4" t="str">
        <f>IF(S144="No","No",
MROUND(_xlfn.XLOOKUP(B144,'Base stats'!B:B,'Base stats'!BF:BF)^0.25
/((_xlfn.XLOOKUP(B144,'Base stats'!B:B,'Base stats'!BO:BO))*10)*_xlfn.XLOOKUP(_xlfn.XLOOKUP(B144,'Base stats'!B:B,'Base stats'!E:E),Groups!A:A,Groups!AE:AE)*150 + 0.5 + _xlfn.XLOOKUP(B144,'Base stats'!B:B,'Base stats'!BW:BW),
0.05))</f>
        <v>No</v>
      </c>
      <c r="W144" s="8">
        <f>MROUND(_xlfn.XLOOKUP(_xlfn.XLOOKUP(B144,'Base stats'!B:B,'Base stats'!E:E),Groups!A:A,Groups!BG:BG)*_xlfn.XLOOKUP(B144,'Base stats'!B:B,'Base stats'!C:C)^-0.165,0.05)</f>
        <v>0.5</v>
      </c>
      <c r="X144" s="1">
        <f>MROUND(_xlfn.XLOOKUP(_xlfn.XLOOKUP(B144,'Base stats'!B:B,'Base stats'!E:E),Groups!A:A,Groups!BH:BH)*_xlfn.XLOOKUP(B144,'Base stats'!B:B,'Base stats'!C:C)^0.165,0.05)</f>
        <v>0.4</v>
      </c>
      <c r="Y144" s="8">
        <f>MROUND(_xlfn.XLOOKUP(_xlfn.XLOOKUP(B144,'Base stats'!B:B,'Base stats'!E:E),Groups!A:A,Groups!BI:BI)*_xlfn.XLOOKUP(B144,'Base stats'!B:B,'Base stats'!C:C)^0.165,0.05)</f>
        <v>0.05</v>
      </c>
      <c r="Z144" s="18">
        <f>MROUND(_xlfn.XLOOKUP(B144,'Base stats'!B:B,'Base stats'!AQ:AQ)*_xlfn.XLOOKUP(_xlfn.XLOOKUP(B144,'Base stats'!B:B,'Base stats'!E:E),Groups!A:A,Groups!H:H)/1000,IF((_xlfn.XLOOKUP(B144,'Base stats'!B:B,'Base stats'!AQ:AQ)*_xlfn.XLOOKUP(_xlfn.XLOOKUP(B144,'Base stats'!B:B,'Base stats'!E:E),Groups!A:A,Groups!H:H)/1000)&gt;1,0.05,0.01))</f>
        <v>0.09</v>
      </c>
      <c r="AA144" s="18">
        <f>MROUND((1/2)*(_xlfn.XLOOKUP(_xlfn.XLOOKUP(B144,'Base stats'!B:B,'Base stats'!E:E),Groups!A:A,Groups!H:H)*_xlfn.XLOOKUP(_xlfn.XLOOKUP(B144,'Base stats'!B:B,'Base stats'!E:E),Groups!A:A,Groups!I:I))*_xlfn.XLOOKUP(B144,'Base stats'!B:B,'Base stats'!AQ:AQ)*0.01,0.05)</f>
        <v>0.4</v>
      </c>
      <c r="AB144" s="18">
        <f>MROUND(250*(Animals!AO144+Animals!AP144),25)</f>
        <v>525</v>
      </c>
      <c r="AC144" s="18" t="str">
        <f>_xlfn.XLOOKUP(_xlfn.XLOOKUP(B144,'Base stats'!B:B,'Base stats'!E:E),Groups!A:A,Groups!BJ:BJ)</f>
        <v>Quadruped</v>
      </c>
    </row>
    <row r="145" spans="1:29" ht="16.5" thickTop="1" thickBot="1" x14ac:dyDescent="0.3">
      <c r="A145" s="16" t="str">
        <f>Animals!A145</f>
        <v>Poodle</v>
      </c>
      <c r="B145" s="6" t="str">
        <f>Animals!B145</f>
        <v>Canis familiaris (Poodle)</v>
      </c>
      <c r="C145" s="1" t="str">
        <f>Animals!C145</f>
        <v>&lt;li&gt;AEXP_Poodle&lt;/li&gt;</v>
      </c>
      <c r="D145" s="47">
        <f>MIN(MIN(6,_xlfn.XLOOKUP(A145,Animals!A:A,Animals!AO:AO))*20,MAX(MROUND(_xlfn.XLOOKUP(B145,'Base stats'!B:B,'Base stats'!BS:BS) * (_xlfn.XLOOKUP(B145,'Base stats'!B:B,'Base stats'!AO:AO)*5%)^0.9 / 21,0.1),0.05))</f>
        <v>1</v>
      </c>
      <c r="E145" s="11">
        <f>MROUND(_xlfn.XLOOKUP(B145,'Base stats'!B:B,'Base stats'!BG:BG) * 0.01 * 2 + 0.01, 0.05)</f>
        <v>0.75</v>
      </c>
      <c r="F145" s="7">
        <f>MROUND(_xlfn.XLOOKUP(B145,'Base stats'!B:B,'Base stats'!BD:BD)^0.25 / (_xlfn.XLOOKUP(B145,'Base stats'!B:B,'Base stats'!BK:BK) * 10) * 150 + 0.5 + _xlfn.XLOOKUP(B145,'Base stats'!B:B,'Base stats'!BW:BW), 0.05)</f>
        <v>1.7000000000000002</v>
      </c>
      <c r="G145" s="3" t="str">
        <f>IF(Animals!S145="No","No",
IF(_xlfn.XLOOKUP(B145,'Base stats'!B:B,'Base stats'!U:U)="No",
MAX(MROUND(_xlfn.XLOOKUP(B145,'Base stats'!B:B,'Base stats'!BT:BT) * _xlfn.XLOOKUP(B145,'Base stats'!B:B,'Base stats'!BP:BP)^0.9 / 21 * _xlfn.XLOOKUP(B145,'Base stats'!B:B,'Base stats'!BX:BX),0.1),0.05),
MAX(MROUND(((MIN(10,_xlfn.XLOOKUP(B145,'Base stats'!B:B,'Base stats'!U:U)))^0.4*_xlfn.XLOOKUP(B145,'Base stats'!B:B,'Base stats'!BH:BH)^0.73)^0.6 * _xlfn.XLOOKUP(B145,'Base stats'!B:B,'Base stats'!BX:BX),0.1),0.05)
))</f>
        <v>No</v>
      </c>
      <c r="H145" s="11" t="str">
        <f>IF(G145="No","No",
MROUND(_xlfn.XLOOKUP(B145,'Base stats'!B:B,'Base stats'!BH:BH) * 0.01 * 2 + 0.05, 0.05)
)</f>
        <v>No</v>
      </c>
      <c r="I145" s="11" t="str">
        <f>IF(G145="No","No",IF(_xlfn.XLOOKUP(B145,'Base stats'!B:B,'Base stats'!U:U)="No","No",
MROUND(_xlfn.XLOOKUP(B145,'Base stats'!B:B,'Base stats'!BT:BT)/10000+0.01,0.01)
))</f>
        <v>No</v>
      </c>
      <c r="J145" s="4" t="str">
        <f>IF(G145="No","No",
MROUND(_xlfn.XLOOKUP(B145,'Base stats'!B:B,'Base stats'!BE:BE)^0.25
/((_xlfn.XLOOKUP(B145,'Base stats'!B:B,'Base stats'!BL:BL))*10)*_xlfn.XLOOKUP(_xlfn.XLOOKUP(B145,'Base stats'!B:B,'Base stats'!E:E),Groups!A:A,Groups!Q:Q)*150 + 0.5 + _xlfn.XLOOKUP(B145,'Base stats'!B:B,'Base stats'!BW:BW),
0.05))</f>
        <v>No</v>
      </c>
      <c r="K145" s="3" t="str">
        <f>IF(Animals!X145="No","No",
IF(_xlfn.XLOOKUP(_xlfn.XLOOKUP(B145,'Base stats'!B:B,'Base stats'!E:E),Groups!A:A,Groups!BD:BD)=1,
MAX(MROUND(_xlfn.XLOOKUP(B145,'Base stats'!B:B,'Base stats'!BU:BU) * _xlfn.XLOOKUP(B145,'Base stats'!B:B,'Base stats'!BQ:BQ)^0.9 / 21 *_xlfn.XLOOKUP(B145,'Base stats'!B:B,'Base stats'!BX:BX),0.1),0.05),
MAX(MROUND(((MIN(10,_xlfn.XLOOKUP(B145,'Base stats'!B:B,'Base stats'!W:W)))^0.4*_xlfn.XLOOKUP(B145,'Base stats'!B:B,'Base stats'!BI:BI)^0.73)^0.6 *_xlfn.XLOOKUP(B145,'Base stats'!B:B,'Base stats'!BX:BX),0.1),0.05)
))</f>
        <v>No</v>
      </c>
      <c r="L145" s="11" t="str">
        <f>IF(K145="No","No",
MROUND(_xlfn.XLOOKUP(B145,'Base stats'!B:B,'Base stats'!BI:BI) * 0.01 *2 + 0.05, 0.05)
)</f>
        <v>No</v>
      </c>
      <c r="M145" s="5" t="str">
        <f>IF(K145="No","No",IF(_xlfn.XLOOKUP(_xlfn.XLOOKUP(B145,'Base stats'!B:B,'Base stats'!E:E),Groups!A:A,Groups!BD:BD)=1,"No",
MROUND(_xlfn.XLOOKUP(B145,'Base stats'!B:B,'Base stats'!BU:BU)/10000+0.01,0.01)
))</f>
        <v>No</v>
      </c>
      <c r="N145" s="4" t="str">
        <f>IF(K145="No","No",
MROUND(
  _xlfn.XLOOKUP(B145,'Base stats'!B:B,'Base stats'!BC:BC)^0.25
  / (_xlfn.XLOOKUP(B145,'Base stats'!B:B,'Base stats'!BM:BM) * 10)
  * _xlfn.XLOOKUP(
      _xlfn.XLOOKUP(B145,'Base stats'!B:B,'Base stats'!E:E),
      Groups!A:A,
      Groups!V:V
    ) * 150
  + MIN(12, _xlfn.XLOOKUP(B145,'Base stats'!B:B,'Base stats'!W:W))^(1/IF(_xlfn.XLOOKUP(_xlfn.XLOOKUP(B145,'Base stats'!B:B,'Base stats'!E:E),Groups!A:A,Groups!U:U)=1,100,10)) + 0.5 + _xlfn.XLOOKUP(B145,'Base stats'!B:B,'Base stats'!BW:BW),
0.05))</f>
        <v>No</v>
      </c>
      <c r="O145" s="3">
        <f>IF(Animals!AD145="No","No",
MAX(MROUND((MIN(10,_xlfn.XLOOKUP(B145,'Base stats'!B:B,'Base stats'!V:V)*IF(_xlfn.XLOOKUP(_xlfn.XLOOKUP(B145,'Base stats'!B:B,'Base stats'!E:E),Groups!A:A,Groups!O:O)=0,1,0.33))^0.4*_xlfn.XLOOKUP(B145,'Base stats'!B:B,'Base stats'!BJ:BJ)^0.73)^0.6 *_xlfn.XLOOKUP(B145,'Base stats'!B:B,'Base stats'!BX:BX),0.1),0.05)
)</f>
        <v>9.3000000000000007</v>
      </c>
      <c r="P145" s="11">
        <f>IF(O145="No","No",
MROUND(_xlfn.XLOOKUP(B145,'Base stats'!B:B,'Base stats'!BJ:BJ) * 0.01 * 2 + 0.05, 0.05)
)</f>
        <v>2.0500000000000003</v>
      </c>
      <c r="Q145" s="5">
        <f>IF(O145="No","No",
MROUND(_xlfn.XLOOKUP(B145,'Base stats'!B:B,'Base stats'!BV:BV)/10000+0.01,0.01)
)</f>
        <v>0.19</v>
      </c>
      <c r="R145" s="4">
        <f>IF(O145="No","No",
MROUND(_xlfn.XLOOKUP(B145,'Base stats'!B:B,'Base stats'!BB:BB)^0.25
/((_xlfn.XLOOKUP(B145,'Base stats'!B:B,'Base stats'!BN:BN))*10)*_xlfn.XLOOKUP(_xlfn.XLOOKUP(B145,'Base stats'!B:B,'Base stats'!E:E),Groups!A:A,Groups!Z:Z)*150 + 0.5 + _xlfn.XLOOKUP(B145,'Base stats'!B:B,'Base stats'!BW:BW),
0.05))</f>
        <v>2.1</v>
      </c>
      <c r="S145" s="3" t="str">
        <f>IF(Animals!AI145="No","No",
IF(_xlfn.XLOOKUP(B145,'Base stats'!B:B,'Base stats'!U:U)="No",
MAX(MROUND(_xlfn.XLOOKUP(B145,'Base stats'!B:B,'Base stats'!BT:BT) * _xlfn.XLOOKUP(B145,'Base stats'!B:B,'Base stats'!BP:BP)^0.9 / 21 * _xlfn.XLOOKUP(B145,'Base stats'!B:B,'Base stats'!BX:BX),0.1),0.05),
MAX(MROUND(((MIN(12,_xlfn.XLOOKUP(B145,'Base stats'!B:B,'Base stats'!U:U)))^0.4*_xlfn.XLOOKUP(B145,'Base stats'!B:B,'Base stats'!BH:BH)^0.73)^0.6 * _xlfn.XLOOKUP(B145,'Base stats'!B:B,'Base stats'!BX:BX),0.1),0.05)
))</f>
        <v>No</v>
      </c>
      <c r="T145" s="11" t="str">
        <f>IF(S145="No","No",
MROUND(_xlfn.XLOOKUP(B145,'Base stats'!B:B,'Base stats'!BH:BH) * 0.01 * 2 + 0.05, 0.05)
)</f>
        <v>No</v>
      </c>
      <c r="U145" s="5" t="str">
        <f>IF(S145="No","No",IF(_xlfn.XLOOKUP(B145,'Base stats'!B:B,'Base stats'!U:U)="No","No",
MROUND(_xlfn.XLOOKUP(B145,'Base stats'!B:B,'Base stats'!BT:BT)/10000+0.01,0.01)
))</f>
        <v>No</v>
      </c>
      <c r="V145" s="4" t="str">
        <f>IF(S145="No","No",
MROUND(_xlfn.XLOOKUP(B145,'Base stats'!B:B,'Base stats'!BF:BF)^0.25
/((_xlfn.XLOOKUP(B145,'Base stats'!B:B,'Base stats'!BO:BO))*10)*_xlfn.XLOOKUP(_xlfn.XLOOKUP(B145,'Base stats'!B:B,'Base stats'!E:E),Groups!A:A,Groups!AE:AE)*150 + 0.5 + _xlfn.XLOOKUP(B145,'Base stats'!B:B,'Base stats'!BW:BW),
0.05))</f>
        <v>No</v>
      </c>
      <c r="W145" s="8">
        <f>MROUND(_xlfn.XLOOKUP(_xlfn.XLOOKUP(B145,'Base stats'!B:B,'Base stats'!E:E),Groups!A:A,Groups!BG:BG)*_xlfn.XLOOKUP(B145,'Base stats'!B:B,'Base stats'!C:C)^-0.165,0.05)</f>
        <v>0.60000000000000009</v>
      </c>
      <c r="X145" s="1">
        <f>MROUND(_xlfn.XLOOKUP(_xlfn.XLOOKUP(B145,'Base stats'!B:B,'Base stats'!E:E),Groups!A:A,Groups!BH:BH)*_xlfn.XLOOKUP(B145,'Base stats'!B:B,'Base stats'!C:C)^0.165,0.05)</f>
        <v>0.35000000000000003</v>
      </c>
      <c r="Y145" s="8">
        <f>MROUND(_xlfn.XLOOKUP(_xlfn.XLOOKUP(B145,'Base stats'!B:B,'Base stats'!E:E),Groups!A:A,Groups!BI:BI)*_xlfn.XLOOKUP(B145,'Base stats'!B:B,'Base stats'!C:C)^0.165,0.05)</f>
        <v>0.05</v>
      </c>
      <c r="Z145" s="18">
        <f>MROUND(_xlfn.XLOOKUP(B145,'Base stats'!B:B,'Base stats'!AQ:AQ)*_xlfn.XLOOKUP(_xlfn.XLOOKUP(B145,'Base stats'!B:B,'Base stats'!E:E),Groups!A:A,Groups!H:H)/1000,IF((_xlfn.XLOOKUP(B145,'Base stats'!B:B,'Base stats'!AQ:AQ)*_xlfn.XLOOKUP(_xlfn.XLOOKUP(B145,'Base stats'!B:B,'Base stats'!E:E),Groups!A:A,Groups!H:H)/1000)&gt;1,0.05,0.01))</f>
        <v>0.06</v>
      </c>
      <c r="AA145" s="18">
        <f>MROUND((1/2)*(_xlfn.XLOOKUP(_xlfn.XLOOKUP(B145,'Base stats'!B:B,'Base stats'!E:E),Groups!A:A,Groups!H:H)*_xlfn.XLOOKUP(_xlfn.XLOOKUP(B145,'Base stats'!B:B,'Base stats'!E:E),Groups!A:A,Groups!I:I))*_xlfn.XLOOKUP(B145,'Base stats'!B:B,'Base stats'!AQ:AQ)*0.01,0.05)</f>
        <v>0.30000000000000004</v>
      </c>
      <c r="AB145" s="18">
        <f>MROUND(250*(Animals!AO145+Animals!AP145),25)</f>
        <v>375</v>
      </c>
      <c r="AC145" s="18" t="str">
        <f>_xlfn.XLOOKUP(_xlfn.XLOOKUP(B145,'Base stats'!B:B,'Base stats'!E:E),Groups!A:A,Groups!BJ:BJ)</f>
        <v>Quadruped</v>
      </c>
    </row>
    <row r="146" spans="1:29" ht="16.5" thickTop="1" thickBot="1" x14ac:dyDescent="0.3">
      <c r="A146" s="16" t="str">
        <f>Animals!A146</f>
        <v>Pug</v>
      </c>
      <c r="B146" s="6" t="str">
        <f>Animals!B146</f>
        <v>Canis familiaris (Pug)</v>
      </c>
      <c r="C146" s="1" t="str">
        <f>Animals!C146</f>
        <v>&lt;li&gt;AEXP_Pug&lt;/li&gt;</v>
      </c>
      <c r="D146" s="47">
        <f>MIN(MIN(6,_xlfn.XLOOKUP(A146,Animals!A:A,Animals!AO:AO))*20,MAX(MROUND(_xlfn.XLOOKUP(B146,'Base stats'!B:B,'Base stats'!BS:BS) * (_xlfn.XLOOKUP(B146,'Base stats'!B:B,'Base stats'!AO:AO)*5%)^0.9 / 21,0.1),0.05))</f>
        <v>0.30000000000000004</v>
      </c>
      <c r="E146" s="11">
        <f>MROUND(_xlfn.XLOOKUP(B146,'Base stats'!B:B,'Base stats'!BG:BG) * 0.01 * 2 + 0.01, 0.05)</f>
        <v>0.25</v>
      </c>
      <c r="F146" s="7">
        <f>MROUND(_xlfn.XLOOKUP(B146,'Base stats'!B:B,'Base stats'!BD:BD)^0.25 / (_xlfn.XLOOKUP(B146,'Base stats'!B:B,'Base stats'!BK:BK) * 10) * 150 + 0.5 + _xlfn.XLOOKUP(B146,'Base stats'!B:B,'Base stats'!BW:BW), 0.05)</f>
        <v>1.5</v>
      </c>
      <c r="G146" s="3" t="str">
        <f>IF(Animals!S146="No","No",
IF(_xlfn.XLOOKUP(B146,'Base stats'!B:B,'Base stats'!U:U)="No",
MAX(MROUND(_xlfn.XLOOKUP(B146,'Base stats'!B:B,'Base stats'!BT:BT) * _xlfn.XLOOKUP(B146,'Base stats'!B:B,'Base stats'!BP:BP)^0.9 / 21 * _xlfn.XLOOKUP(B146,'Base stats'!B:B,'Base stats'!BX:BX),0.1),0.05),
MAX(MROUND(((MIN(10,_xlfn.XLOOKUP(B146,'Base stats'!B:B,'Base stats'!U:U)))^0.4*_xlfn.XLOOKUP(B146,'Base stats'!B:B,'Base stats'!BH:BH)^0.73)^0.6 * _xlfn.XLOOKUP(B146,'Base stats'!B:B,'Base stats'!BX:BX),0.1),0.05)
))</f>
        <v>No</v>
      </c>
      <c r="H146" s="11" t="str">
        <f>IF(G146="No","No",
MROUND(_xlfn.XLOOKUP(B146,'Base stats'!B:B,'Base stats'!BH:BH) * 0.01 * 2 + 0.05, 0.05)
)</f>
        <v>No</v>
      </c>
      <c r="I146" s="11" t="str">
        <f>IF(G146="No","No",IF(_xlfn.XLOOKUP(B146,'Base stats'!B:B,'Base stats'!U:U)="No","No",
MROUND(_xlfn.XLOOKUP(B146,'Base stats'!B:B,'Base stats'!BT:BT)/10000+0.01,0.01)
))</f>
        <v>No</v>
      </c>
      <c r="J146" s="4" t="str">
        <f>IF(G146="No","No",
MROUND(_xlfn.XLOOKUP(B146,'Base stats'!B:B,'Base stats'!BE:BE)^0.25
/((_xlfn.XLOOKUP(B146,'Base stats'!B:B,'Base stats'!BL:BL))*10)*_xlfn.XLOOKUP(_xlfn.XLOOKUP(B146,'Base stats'!B:B,'Base stats'!E:E),Groups!A:A,Groups!Q:Q)*150 + 0.5 + _xlfn.XLOOKUP(B146,'Base stats'!B:B,'Base stats'!BW:BW),
0.05))</f>
        <v>No</v>
      </c>
      <c r="K146" s="3" t="str">
        <f>IF(Animals!X146="No","No",
IF(_xlfn.XLOOKUP(_xlfn.XLOOKUP(B146,'Base stats'!B:B,'Base stats'!E:E),Groups!A:A,Groups!BD:BD)=1,
MAX(MROUND(_xlfn.XLOOKUP(B146,'Base stats'!B:B,'Base stats'!BU:BU) * _xlfn.XLOOKUP(B146,'Base stats'!B:B,'Base stats'!BQ:BQ)^0.9 / 21 *_xlfn.XLOOKUP(B146,'Base stats'!B:B,'Base stats'!BX:BX),0.1),0.05),
MAX(MROUND(((MIN(10,_xlfn.XLOOKUP(B146,'Base stats'!B:B,'Base stats'!W:W)))^0.4*_xlfn.XLOOKUP(B146,'Base stats'!B:B,'Base stats'!BI:BI)^0.73)^0.6 *_xlfn.XLOOKUP(B146,'Base stats'!B:B,'Base stats'!BX:BX),0.1),0.05)
))</f>
        <v>No</v>
      </c>
      <c r="L146" s="11" t="str">
        <f>IF(K146="No","No",
MROUND(_xlfn.XLOOKUP(B146,'Base stats'!B:B,'Base stats'!BI:BI) * 0.01 *2 + 0.05, 0.05)
)</f>
        <v>No</v>
      </c>
      <c r="M146" s="5" t="str">
        <f>IF(K146="No","No",IF(_xlfn.XLOOKUP(_xlfn.XLOOKUP(B146,'Base stats'!B:B,'Base stats'!E:E),Groups!A:A,Groups!BD:BD)=1,"No",
MROUND(_xlfn.XLOOKUP(B146,'Base stats'!B:B,'Base stats'!BU:BU)/10000+0.01,0.01)
))</f>
        <v>No</v>
      </c>
      <c r="N146" s="4" t="str">
        <f>IF(K146="No","No",
MROUND(
  _xlfn.XLOOKUP(B146,'Base stats'!B:B,'Base stats'!BC:BC)^0.25
  / (_xlfn.XLOOKUP(B146,'Base stats'!B:B,'Base stats'!BM:BM) * 10)
  * _xlfn.XLOOKUP(
      _xlfn.XLOOKUP(B146,'Base stats'!B:B,'Base stats'!E:E),
      Groups!A:A,
      Groups!V:V
    ) * 150
  + MIN(12, _xlfn.XLOOKUP(B146,'Base stats'!B:B,'Base stats'!W:W))^(1/IF(_xlfn.XLOOKUP(_xlfn.XLOOKUP(B146,'Base stats'!B:B,'Base stats'!E:E),Groups!A:A,Groups!U:U)=1,100,10)) + 0.5 + _xlfn.XLOOKUP(B146,'Base stats'!B:B,'Base stats'!BW:BW),
0.05))</f>
        <v>No</v>
      </c>
      <c r="O146" s="3">
        <f>IF(Animals!AD146="No","No",
MAX(MROUND((MIN(10,_xlfn.XLOOKUP(B146,'Base stats'!B:B,'Base stats'!V:V)*IF(_xlfn.XLOOKUP(_xlfn.XLOOKUP(B146,'Base stats'!B:B,'Base stats'!E:E),Groups!A:A,Groups!O:O)=0,1,0.33))^0.4*_xlfn.XLOOKUP(B146,'Base stats'!B:B,'Base stats'!BJ:BJ)^0.73)^0.6 *_xlfn.XLOOKUP(B146,'Base stats'!B:B,'Base stats'!BX:BX),0.1),0.05)
)</f>
        <v>5</v>
      </c>
      <c r="P146" s="11">
        <f>IF(O146="No","No",
MROUND(_xlfn.XLOOKUP(B146,'Base stats'!B:B,'Base stats'!BJ:BJ) * 0.01 * 2 + 0.05, 0.05)
)</f>
        <v>0.70000000000000007</v>
      </c>
      <c r="Q146" s="5">
        <f>IF(O146="No","No",
MROUND(_xlfn.XLOOKUP(B146,'Base stats'!B:B,'Base stats'!BV:BV)/10000+0.01,0.01)
)</f>
        <v>0.11</v>
      </c>
      <c r="R146" s="4">
        <f>IF(O146="No","No",
MROUND(_xlfn.XLOOKUP(B146,'Base stats'!B:B,'Base stats'!BB:BB)^0.25
/((_xlfn.XLOOKUP(B146,'Base stats'!B:B,'Base stats'!BN:BN))*10)*_xlfn.XLOOKUP(_xlfn.XLOOKUP(B146,'Base stats'!B:B,'Base stats'!E:E),Groups!A:A,Groups!Z:Z)*150 + 0.5 + _xlfn.XLOOKUP(B146,'Base stats'!B:B,'Base stats'!BW:BW),
0.05))</f>
        <v>1.9500000000000002</v>
      </c>
      <c r="S146" s="3" t="str">
        <f>IF(Animals!AI146="No","No",
IF(_xlfn.XLOOKUP(B146,'Base stats'!B:B,'Base stats'!U:U)="No",
MAX(MROUND(_xlfn.XLOOKUP(B146,'Base stats'!B:B,'Base stats'!BT:BT) * _xlfn.XLOOKUP(B146,'Base stats'!B:B,'Base stats'!BP:BP)^0.9 / 21 * _xlfn.XLOOKUP(B146,'Base stats'!B:B,'Base stats'!BX:BX),0.1),0.05),
MAX(MROUND(((MIN(12,_xlfn.XLOOKUP(B146,'Base stats'!B:B,'Base stats'!U:U)))^0.4*_xlfn.XLOOKUP(B146,'Base stats'!B:B,'Base stats'!BH:BH)^0.73)^0.6 * _xlfn.XLOOKUP(B146,'Base stats'!B:B,'Base stats'!BX:BX),0.1),0.05)
))</f>
        <v>No</v>
      </c>
      <c r="T146" s="11" t="str">
        <f>IF(S146="No","No",
MROUND(_xlfn.XLOOKUP(B146,'Base stats'!B:B,'Base stats'!BH:BH) * 0.01 * 2 + 0.05, 0.05)
)</f>
        <v>No</v>
      </c>
      <c r="U146" s="5" t="str">
        <f>IF(S146="No","No",IF(_xlfn.XLOOKUP(B146,'Base stats'!B:B,'Base stats'!U:U)="No","No",
MROUND(_xlfn.XLOOKUP(B146,'Base stats'!B:B,'Base stats'!BT:BT)/10000+0.01,0.01)
))</f>
        <v>No</v>
      </c>
      <c r="V146" s="4" t="str">
        <f>IF(S146="No","No",
MROUND(_xlfn.XLOOKUP(B146,'Base stats'!B:B,'Base stats'!BF:BF)^0.25
/((_xlfn.XLOOKUP(B146,'Base stats'!B:B,'Base stats'!BO:BO))*10)*_xlfn.XLOOKUP(_xlfn.XLOOKUP(B146,'Base stats'!B:B,'Base stats'!E:E),Groups!A:A,Groups!AE:AE)*150 + 0.5 + _xlfn.XLOOKUP(B146,'Base stats'!B:B,'Base stats'!BW:BW),
0.05))</f>
        <v>No</v>
      </c>
      <c r="W146" s="8">
        <f>MROUND(_xlfn.XLOOKUP(_xlfn.XLOOKUP(B146,'Base stats'!B:B,'Base stats'!E:E),Groups!A:A,Groups!BG:BG)*_xlfn.XLOOKUP(B146,'Base stats'!B:B,'Base stats'!C:C)^-0.165,0.05)</f>
        <v>0.70000000000000007</v>
      </c>
      <c r="X146" s="1">
        <f>MROUND(_xlfn.XLOOKUP(_xlfn.XLOOKUP(B146,'Base stats'!B:B,'Base stats'!E:E),Groups!A:A,Groups!BH:BH)*_xlfn.XLOOKUP(B146,'Base stats'!B:B,'Base stats'!C:C)^0.165,0.05)</f>
        <v>0.30000000000000004</v>
      </c>
      <c r="Y146" s="8">
        <f>MROUND(_xlfn.XLOOKUP(_xlfn.XLOOKUP(B146,'Base stats'!B:B,'Base stats'!E:E),Groups!A:A,Groups!BI:BI)*_xlfn.XLOOKUP(B146,'Base stats'!B:B,'Base stats'!C:C)^0.165,0.05)</f>
        <v>0.05</v>
      </c>
      <c r="Z146" s="18">
        <f>MROUND(_xlfn.XLOOKUP(B146,'Base stats'!B:B,'Base stats'!AQ:AQ)*_xlfn.XLOOKUP(_xlfn.XLOOKUP(B146,'Base stats'!B:B,'Base stats'!E:E),Groups!A:A,Groups!H:H)/1000,IF((_xlfn.XLOOKUP(B146,'Base stats'!B:B,'Base stats'!AQ:AQ)*_xlfn.XLOOKUP(_xlfn.XLOOKUP(B146,'Base stats'!B:B,'Base stats'!E:E),Groups!A:A,Groups!H:H)/1000)&gt;1,0.05,0.01))</f>
        <v>0.04</v>
      </c>
      <c r="AA146" s="18">
        <f>MROUND((1/2)*(_xlfn.XLOOKUP(_xlfn.XLOOKUP(B146,'Base stats'!B:B,'Base stats'!E:E),Groups!A:A,Groups!H:H)*_xlfn.XLOOKUP(_xlfn.XLOOKUP(B146,'Base stats'!B:B,'Base stats'!E:E),Groups!A:A,Groups!I:I))*_xlfn.XLOOKUP(B146,'Base stats'!B:B,'Base stats'!AQ:AQ)*0.01,0.05)</f>
        <v>0.2</v>
      </c>
      <c r="AB146" s="18">
        <f>MROUND(250*(Animals!AO146+Animals!AP146),25)</f>
        <v>200</v>
      </c>
      <c r="AC146" s="18" t="str">
        <f>_xlfn.XLOOKUP(_xlfn.XLOOKUP(B146,'Base stats'!B:B,'Base stats'!E:E),Groups!A:A,Groups!BJ:BJ)</f>
        <v>Quadruped</v>
      </c>
    </row>
    <row r="147" spans="1:29" ht="16.5" thickTop="1" thickBot="1" x14ac:dyDescent="0.3">
      <c r="A147" s="16" t="str">
        <f>Animals!A147</f>
        <v>Rottweiler</v>
      </c>
      <c r="B147" s="6" t="str">
        <f>Animals!B147</f>
        <v>Canis familiaris (Rottweiler)</v>
      </c>
      <c r="C147" s="1" t="str">
        <f>Animals!C147</f>
        <v>&lt;li&gt;AEXP_Rottweiler&lt;/li&gt;</v>
      </c>
      <c r="D147" s="47">
        <f>MIN(MIN(6,_xlfn.XLOOKUP(A147,Animals!A:A,Animals!AO:AO))*20,MAX(MROUND(_xlfn.XLOOKUP(B147,'Base stats'!B:B,'Base stats'!BS:BS) * (_xlfn.XLOOKUP(B147,'Base stats'!B:B,'Base stats'!AO:AO)*5%)^0.9 / 21,0.1),0.05))</f>
        <v>1.7000000000000002</v>
      </c>
      <c r="E147" s="11">
        <f>MROUND(_xlfn.XLOOKUP(B147,'Base stats'!B:B,'Base stats'!BG:BG) * 0.01 * 2 + 0.01, 0.05)</f>
        <v>1.35</v>
      </c>
      <c r="F147" s="7">
        <f>MROUND(_xlfn.XLOOKUP(B147,'Base stats'!B:B,'Base stats'!BD:BD)^0.25 / (_xlfn.XLOOKUP(B147,'Base stats'!B:B,'Base stats'!BK:BK) * 10) * 150 + 0.5 + _xlfn.XLOOKUP(B147,'Base stats'!B:B,'Base stats'!BW:BW), 0.05)</f>
        <v>1.85</v>
      </c>
      <c r="G147" s="3" t="str">
        <f>IF(Animals!S147="No","No",
IF(_xlfn.XLOOKUP(B147,'Base stats'!B:B,'Base stats'!U:U)="No",
MAX(MROUND(_xlfn.XLOOKUP(B147,'Base stats'!B:B,'Base stats'!BT:BT) * _xlfn.XLOOKUP(B147,'Base stats'!B:B,'Base stats'!BP:BP)^0.9 / 21 * _xlfn.XLOOKUP(B147,'Base stats'!B:B,'Base stats'!BX:BX),0.1),0.05),
MAX(MROUND(((MIN(10,_xlfn.XLOOKUP(B147,'Base stats'!B:B,'Base stats'!U:U)))^0.4*_xlfn.XLOOKUP(B147,'Base stats'!B:B,'Base stats'!BH:BH)^0.73)^0.6 * _xlfn.XLOOKUP(B147,'Base stats'!B:B,'Base stats'!BX:BX),0.1),0.05)
))</f>
        <v>No</v>
      </c>
      <c r="H147" s="11" t="str">
        <f>IF(G147="No","No",
MROUND(_xlfn.XLOOKUP(B147,'Base stats'!B:B,'Base stats'!BH:BH) * 0.01 * 2 + 0.05, 0.05)
)</f>
        <v>No</v>
      </c>
      <c r="I147" s="11" t="str">
        <f>IF(G147="No","No",IF(_xlfn.XLOOKUP(B147,'Base stats'!B:B,'Base stats'!U:U)="No","No",
MROUND(_xlfn.XLOOKUP(B147,'Base stats'!B:B,'Base stats'!BT:BT)/10000+0.01,0.01)
))</f>
        <v>No</v>
      </c>
      <c r="J147" s="4" t="str">
        <f>IF(G147="No","No",
MROUND(_xlfn.XLOOKUP(B147,'Base stats'!B:B,'Base stats'!BE:BE)^0.25
/((_xlfn.XLOOKUP(B147,'Base stats'!B:B,'Base stats'!BL:BL))*10)*_xlfn.XLOOKUP(_xlfn.XLOOKUP(B147,'Base stats'!B:B,'Base stats'!E:E),Groups!A:A,Groups!Q:Q)*150 + 0.5 + _xlfn.XLOOKUP(B147,'Base stats'!B:B,'Base stats'!BW:BW),
0.05))</f>
        <v>No</v>
      </c>
      <c r="K147" s="3" t="str">
        <f>IF(Animals!X147="No","No",
IF(_xlfn.XLOOKUP(_xlfn.XLOOKUP(B147,'Base stats'!B:B,'Base stats'!E:E),Groups!A:A,Groups!BD:BD)=1,
MAX(MROUND(_xlfn.XLOOKUP(B147,'Base stats'!B:B,'Base stats'!BU:BU) * _xlfn.XLOOKUP(B147,'Base stats'!B:B,'Base stats'!BQ:BQ)^0.9 / 21 *_xlfn.XLOOKUP(B147,'Base stats'!B:B,'Base stats'!BX:BX),0.1),0.05),
MAX(MROUND(((MIN(10,_xlfn.XLOOKUP(B147,'Base stats'!B:B,'Base stats'!W:W)))^0.4*_xlfn.XLOOKUP(B147,'Base stats'!B:B,'Base stats'!BI:BI)^0.73)^0.6 *_xlfn.XLOOKUP(B147,'Base stats'!B:B,'Base stats'!BX:BX),0.1),0.05)
))</f>
        <v>No</v>
      </c>
      <c r="L147" s="11" t="str">
        <f>IF(K147="No","No",
MROUND(_xlfn.XLOOKUP(B147,'Base stats'!B:B,'Base stats'!BI:BI) * 0.01 *2 + 0.05, 0.05)
)</f>
        <v>No</v>
      </c>
      <c r="M147" s="5" t="str">
        <f>IF(K147="No","No",IF(_xlfn.XLOOKUP(_xlfn.XLOOKUP(B147,'Base stats'!B:B,'Base stats'!E:E),Groups!A:A,Groups!BD:BD)=1,"No",
MROUND(_xlfn.XLOOKUP(B147,'Base stats'!B:B,'Base stats'!BU:BU)/10000+0.01,0.01)
))</f>
        <v>No</v>
      </c>
      <c r="N147" s="4" t="str">
        <f>IF(K147="No","No",
MROUND(
  _xlfn.XLOOKUP(B147,'Base stats'!B:B,'Base stats'!BC:BC)^0.25
  / (_xlfn.XLOOKUP(B147,'Base stats'!B:B,'Base stats'!BM:BM) * 10)
  * _xlfn.XLOOKUP(
      _xlfn.XLOOKUP(B147,'Base stats'!B:B,'Base stats'!E:E),
      Groups!A:A,
      Groups!V:V
    ) * 150
  + MIN(12, _xlfn.XLOOKUP(B147,'Base stats'!B:B,'Base stats'!W:W))^(1/IF(_xlfn.XLOOKUP(_xlfn.XLOOKUP(B147,'Base stats'!B:B,'Base stats'!E:E),Groups!A:A,Groups!U:U)=1,100,10)) + 0.5 + _xlfn.XLOOKUP(B147,'Base stats'!B:B,'Base stats'!BW:BW),
0.05))</f>
        <v>No</v>
      </c>
      <c r="O147" s="3">
        <f>IF(Animals!AD147="No","No",
MAX(MROUND((MIN(10,_xlfn.XLOOKUP(B147,'Base stats'!B:B,'Base stats'!V:V)*IF(_xlfn.XLOOKUP(_xlfn.XLOOKUP(B147,'Base stats'!B:B,'Base stats'!E:E),Groups!A:A,Groups!O:O)=0,1,0.33))^0.4*_xlfn.XLOOKUP(B147,'Base stats'!B:B,'Base stats'!BJ:BJ)^0.73)^0.6 *_xlfn.XLOOKUP(B147,'Base stats'!B:B,'Base stats'!BX:BX),0.1),0.05)
)</f>
        <v>12.5</v>
      </c>
      <c r="P147" s="11">
        <f>IF(O147="No","No",
MROUND(_xlfn.XLOOKUP(B147,'Base stats'!B:B,'Base stats'!BJ:BJ) * 0.01 * 2 + 0.05, 0.05)
)</f>
        <v>3.5</v>
      </c>
      <c r="Q147" s="5">
        <f>IF(O147="No","No",
MROUND(_xlfn.XLOOKUP(B147,'Base stats'!B:B,'Base stats'!BV:BV)/10000+0.01,0.01)
)</f>
        <v>0.25</v>
      </c>
      <c r="R147" s="4">
        <f>IF(O147="No","No",
MROUND(_xlfn.XLOOKUP(B147,'Base stats'!B:B,'Base stats'!BB:BB)^0.25
/((_xlfn.XLOOKUP(B147,'Base stats'!B:B,'Base stats'!BN:BN))*10)*_xlfn.XLOOKUP(_xlfn.XLOOKUP(B147,'Base stats'!B:B,'Base stats'!E:E),Groups!A:A,Groups!Z:Z)*150 + 0.5 + _xlfn.XLOOKUP(B147,'Base stats'!B:B,'Base stats'!BW:BW),
0.05))</f>
        <v>2.1</v>
      </c>
      <c r="S147" s="3" t="str">
        <f>IF(Animals!AI147="No","No",
IF(_xlfn.XLOOKUP(B147,'Base stats'!B:B,'Base stats'!U:U)="No",
MAX(MROUND(_xlfn.XLOOKUP(B147,'Base stats'!B:B,'Base stats'!BT:BT) * _xlfn.XLOOKUP(B147,'Base stats'!B:B,'Base stats'!BP:BP)^0.9 / 21 * _xlfn.XLOOKUP(B147,'Base stats'!B:B,'Base stats'!BX:BX),0.1),0.05),
MAX(MROUND(((MIN(12,_xlfn.XLOOKUP(B147,'Base stats'!B:B,'Base stats'!U:U)))^0.4*_xlfn.XLOOKUP(B147,'Base stats'!B:B,'Base stats'!BH:BH)^0.73)^0.6 * _xlfn.XLOOKUP(B147,'Base stats'!B:B,'Base stats'!BX:BX),0.1),0.05)
))</f>
        <v>No</v>
      </c>
      <c r="T147" s="11" t="str">
        <f>IF(S147="No","No",
MROUND(_xlfn.XLOOKUP(B147,'Base stats'!B:B,'Base stats'!BH:BH) * 0.01 * 2 + 0.05, 0.05)
)</f>
        <v>No</v>
      </c>
      <c r="U147" s="5" t="str">
        <f>IF(S147="No","No",IF(_xlfn.XLOOKUP(B147,'Base stats'!B:B,'Base stats'!U:U)="No","No",
MROUND(_xlfn.XLOOKUP(B147,'Base stats'!B:B,'Base stats'!BT:BT)/10000+0.01,0.01)
))</f>
        <v>No</v>
      </c>
      <c r="V147" s="4" t="str">
        <f>IF(S147="No","No",
MROUND(_xlfn.XLOOKUP(B147,'Base stats'!B:B,'Base stats'!BF:BF)^0.25
/((_xlfn.XLOOKUP(B147,'Base stats'!B:B,'Base stats'!BO:BO))*10)*_xlfn.XLOOKUP(_xlfn.XLOOKUP(B147,'Base stats'!B:B,'Base stats'!E:E),Groups!A:A,Groups!AE:AE)*150 + 0.5 + _xlfn.XLOOKUP(B147,'Base stats'!B:B,'Base stats'!BW:BW),
0.05))</f>
        <v>No</v>
      </c>
      <c r="W147" s="8">
        <f>MROUND(_xlfn.XLOOKUP(_xlfn.XLOOKUP(B147,'Base stats'!B:B,'Base stats'!E:E),Groups!A:A,Groups!BG:BG)*_xlfn.XLOOKUP(B147,'Base stats'!B:B,'Base stats'!C:C)^-0.165,0.05)</f>
        <v>0.55000000000000004</v>
      </c>
      <c r="X147" s="1">
        <f>MROUND(_xlfn.XLOOKUP(_xlfn.XLOOKUP(B147,'Base stats'!B:B,'Base stats'!E:E),Groups!A:A,Groups!BH:BH)*_xlfn.XLOOKUP(B147,'Base stats'!B:B,'Base stats'!C:C)^0.165,0.05)</f>
        <v>0.4</v>
      </c>
      <c r="Y147" s="8">
        <f>MROUND(_xlfn.XLOOKUP(_xlfn.XLOOKUP(B147,'Base stats'!B:B,'Base stats'!E:E),Groups!A:A,Groups!BI:BI)*_xlfn.XLOOKUP(B147,'Base stats'!B:B,'Base stats'!C:C)^0.165,0.05)</f>
        <v>0.05</v>
      </c>
      <c r="Z147" s="18">
        <f>MROUND(_xlfn.XLOOKUP(B147,'Base stats'!B:B,'Base stats'!AQ:AQ)*_xlfn.XLOOKUP(_xlfn.XLOOKUP(B147,'Base stats'!B:B,'Base stats'!E:E),Groups!A:A,Groups!H:H)/1000,IF((_xlfn.XLOOKUP(B147,'Base stats'!B:B,'Base stats'!AQ:AQ)*_xlfn.XLOOKUP(_xlfn.XLOOKUP(B147,'Base stats'!B:B,'Base stats'!E:E),Groups!A:A,Groups!H:H)/1000)&gt;1,0.05,0.01))</f>
        <v>0.08</v>
      </c>
      <c r="AA147" s="18">
        <f>MROUND((1/2)*(_xlfn.XLOOKUP(_xlfn.XLOOKUP(B147,'Base stats'!B:B,'Base stats'!E:E),Groups!A:A,Groups!H:H)*_xlfn.XLOOKUP(_xlfn.XLOOKUP(B147,'Base stats'!B:B,'Base stats'!E:E),Groups!A:A,Groups!I:I))*_xlfn.XLOOKUP(B147,'Base stats'!B:B,'Base stats'!AQ:AQ)*0.01,0.05)</f>
        <v>0.35000000000000003</v>
      </c>
      <c r="AB147" s="18">
        <f>MROUND(250*(Animals!AO147+Animals!AP147),25)</f>
        <v>475</v>
      </c>
      <c r="AC147" s="18" t="str">
        <f>_xlfn.XLOOKUP(_xlfn.XLOOKUP(B147,'Base stats'!B:B,'Base stats'!E:E),Groups!A:A,Groups!BJ:BJ)</f>
        <v>Quadruped</v>
      </c>
    </row>
    <row r="148" spans="1:29" ht="16.5" thickTop="1" thickBot="1" x14ac:dyDescent="0.3">
      <c r="A148" s="16" t="str">
        <f>Animals!A148</f>
        <v>Shih-Tzu</v>
      </c>
      <c r="B148" s="6" t="str">
        <f>Animals!B148</f>
        <v>Canis familiaris (Shih-Tzu)</v>
      </c>
      <c r="C148" s="1" t="str">
        <f>Animals!C148</f>
        <v>&lt;li&gt;AEXP_Shih-Tzu&lt;/li&gt;</v>
      </c>
      <c r="D148" s="47">
        <f>MIN(MIN(6,_xlfn.XLOOKUP(A148,Animals!A:A,Animals!AO:AO))*20,MAX(MROUND(_xlfn.XLOOKUP(B148,'Base stats'!B:B,'Base stats'!BS:BS) * (_xlfn.XLOOKUP(B148,'Base stats'!B:B,'Base stats'!AO:AO)*5%)^0.9 / 21,0.1),0.05))</f>
        <v>0.30000000000000004</v>
      </c>
      <c r="E148" s="11">
        <f>MROUND(_xlfn.XLOOKUP(B148,'Base stats'!B:B,'Base stats'!BG:BG) * 0.01 * 2 + 0.01, 0.05)</f>
        <v>0.2</v>
      </c>
      <c r="F148" s="7">
        <f>MROUND(_xlfn.XLOOKUP(B148,'Base stats'!B:B,'Base stats'!BD:BD)^0.25 / (_xlfn.XLOOKUP(B148,'Base stats'!B:B,'Base stats'!BK:BK) * 10) * 150 + 0.5 + _xlfn.XLOOKUP(B148,'Base stats'!B:B,'Base stats'!BW:BW), 0.05)</f>
        <v>1.4500000000000002</v>
      </c>
      <c r="G148" s="3" t="str">
        <f>IF(Animals!S148="No","No",
IF(_xlfn.XLOOKUP(B148,'Base stats'!B:B,'Base stats'!U:U)="No",
MAX(MROUND(_xlfn.XLOOKUP(B148,'Base stats'!B:B,'Base stats'!BT:BT) * _xlfn.XLOOKUP(B148,'Base stats'!B:B,'Base stats'!BP:BP)^0.9 / 21 * _xlfn.XLOOKUP(B148,'Base stats'!B:B,'Base stats'!BX:BX),0.1),0.05),
MAX(MROUND(((MIN(10,_xlfn.XLOOKUP(B148,'Base stats'!B:B,'Base stats'!U:U)))^0.4*_xlfn.XLOOKUP(B148,'Base stats'!B:B,'Base stats'!BH:BH)^0.73)^0.6 * _xlfn.XLOOKUP(B148,'Base stats'!B:B,'Base stats'!BX:BX),0.1),0.05)
))</f>
        <v>No</v>
      </c>
      <c r="H148" s="11" t="str">
        <f>IF(G148="No","No",
MROUND(_xlfn.XLOOKUP(B148,'Base stats'!B:B,'Base stats'!BH:BH) * 0.01 * 2 + 0.05, 0.05)
)</f>
        <v>No</v>
      </c>
      <c r="I148" s="11" t="str">
        <f>IF(G148="No","No",IF(_xlfn.XLOOKUP(B148,'Base stats'!B:B,'Base stats'!U:U)="No","No",
MROUND(_xlfn.XLOOKUP(B148,'Base stats'!B:B,'Base stats'!BT:BT)/10000+0.01,0.01)
))</f>
        <v>No</v>
      </c>
      <c r="J148" s="4" t="str">
        <f>IF(G148="No","No",
MROUND(_xlfn.XLOOKUP(B148,'Base stats'!B:B,'Base stats'!BE:BE)^0.25
/((_xlfn.XLOOKUP(B148,'Base stats'!B:B,'Base stats'!BL:BL))*10)*_xlfn.XLOOKUP(_xlfn.XLOOKUP(B148,'Base stats'!B:B,'Base stats'!E:E),Groups!A:A,Groups!Q:Q)*150 + 0.5 + _xlfn.XLOOKUP(B148,'Base stats'!B:B,'Base stats'!BW:BW),
0.05))</f>
        <v>No</v>
      </c>
      <c r="K148" s="3" t="str">
        <f>IF(Animals!X148="No","No",
IF(_xlfn.XLOOKUP(_xlfn.XLOOKUP(B148,'Base stats'!B:B,'Base stats'!E:E),Groups!A:A,Groups!BD:BD)=1,
MAX(MROUND(_xlfn.XLOOKUP(B148,'Base stats'!B:B,'Base stats'!BU:BU) * _xlfn.XLOOKUP(B148,'Base stats'!B:B,'Base stats'!BQ:BQ)^0.9 / 21 *_xlfn.XLOOKUP(B148,'Base stats'!B:B,'Base stats'!BX:BX),0.1),0.05),
MAX(MROUND(((MIN(10,_xlfn.XLOOKUP(B148,'Base stats'!B:B,'Base stats'!W:W)))^0.4*_xlfn.XLOOKUP(B148,'Base stats'!B:B,'Base stats'!BI:BI)^0.73)^0.6 *_xlfn.XLOOKUP(B148,'Base stats'!B:B,'Base stats'!BX:BX),0.1),0.05)
))</f>
        <v>No</v>
      </c>
      <c r="L148" s="11" t="str">
        <f>IF(K148="No","No",
MROUND(_xlfn.XLOOKUP(B148,'Base stats'!B:B,'Base stats'!BI:BI) * 0.01 *2 + 0.05, 0.05)
)</f>
        <v>No</v>
      </c>
      <c r="M148" s="5" t="str">
        <f>IF(K148="No","No",IF(_xlfn.XLOOKUP(_xlfn.XLOOKUP(B148,'Base stats'!B:B,'Base stats'!E:E),Groups!A:A,Groups!BD:BD)=1,"No",
MROUND(_xlfn.XLOOKUP(B148,'Base stats'!B:B,'Base stats'!BU:BU)/10000+0.01,0.01)
))</f>
        <v>No</v>
      </c>
      <c r="N148" s="4" t="str">
        <f>IF(K148="No","No",
MROUND(
  _xlfn.XLOOKUP(B148,'Base stats'!B:B,'Base stats'!BC:BC)^0.25
  / (_xlfn.XLOOKUP(B148,'Base stats'!B:B,'Base stats'!BM:BM) * 10)
  * _xlfn.XLOOKUP(
      _xlfn.XLOOKUP(B148,'Base stats'!B:B,'Base stats'!E:E),
      Groups!A:A,
      Groups!V:V
    ) * 150
  + MIN(12, _xlfn.XLOOKUP(B148,'Base stats'!B:B,'Base stats'!W:W))^(1/IF(_xlfn.XLOOKUP(_xlfn.XLOOKUP(B148,'Base stats'!B:B,'Base stats'!E:E),Groups!A:A,Groups!U:U)=1,100,10)) + 0.5 + _xlfn.XLOOKUP(B148,'Base stats'!B:B,'Base stats'!BW:BW),
0.05))</f>
        <v>No</v>
      </c>
      <c r="O148" s="3">
        <f>IF(Animals!AD148="No","No",
MAX(MROUND((MIN(10,_xlfn.XLOOKUP(B148,'Base stats'!B:B,'Base stats'!V:V)*IF(_xlfn.XLOOKUP(_xlfn.XLOOKUP(B148,'Base stats'!B:B,'Base stats'!E:E),Groups!A:A,Groups!O:O)=0,1,0.33))^0.4*_xlfn.XLOOKUP(B148,'Base stats'!B:B,'Base stats'!BJ:BJ)^0.73)^0.6 *_xlfn.XLOOKUP(B148,'Base stats'!B:B,'Base stats'!BX:BX),0.1),0.05)
)</f>
        <v>4.5</v>
      </c>
      <c r="P148" s="11">
        <f>IF(O148="No","No",
MROUND(_xlfn.XLOOKUP(B148,'Base stats'!B:B,'Base stats'!BJ:BJ) * 0.01 * 2 + 0.05, 0.05)
)</f>
        <v>0.55000000000000004</v>
      </c>
      <c r="Q148" s="5">
        <f>IF(O148="No","No",
MROUND(_xlfn.XLOOKUP(B148,'Base stats'!B:B,'Base stats'!BV:BV)/10000+0.01,0.01)
)</f>
        <v>0.1</v>
      </c>
      <c r="R148" s="4">
        <f>IF(O148="No","No",
MROUND(_xlfn.XLOOKUP(B148,'Base stats'!B:B,'Base stats'!BB:BB)^0.25
/((_xlfn.XLOOKUP(B148,'Base stats'!B:B,'Base stats'!BN:BN))*10)*_xlfn.XLOOKUP(_xlfn.XLOOKUP(B148,'Base stats'!B:B,'Base stats'!E:E),Groups!A:A,Groups!Z:Z)*150 + 0.5 + _xlfn.XLOOKUP(B148,'Base stats'!B:B,'Base stats'!BW:BW),
0.05))</f>
        <v>1.9000000000000001</v>
      </c>
      <c r="S148" s="3" t="str">
        <f>IF(Animals!AI148="No","No",
IF(_xlfn.XLOOKUP(B148,'Base stats'!B:B,'Base stats'!U:U)="No",
MAX(MROUND(_xlfn.XLOOKUP(B148,'Base stats'!B:B,'Base stats'!BT:BT) * _xlfn.XLOOKUP(B148,'Base stats'!B:B,'Base stats'!BP:BP)^0.9 / 21 * _xlfn.XLOOKUP(B148,'Base stats'!B:B,'Base stats'!BX:BX),0.1),0.05),
MAX(MROUND(((MIN(12,_xlfn.XLOOKUP(B148,'Base stats'!B:B,'Base stats'!U:U)))^0.4*_xlfn.XLOOKUP(B148,'Base stats'!B:B,'Base stats'!BH:BH)^0.73)^0.6 * _xlfn.XLOOKUP(B148,'Base stats'!B:B,'Base stats'!BX:BX),0.1),0.05)
))</f>
        <v>No</v>
      </c>
      <c r="T148" s="11" t="str">
        <f>IF(S148="No","No",
MROUND(_xlfn.XLOOKUP(B148,'Base stats'!B:B,'Base stats'!BH:BH) * 0.01 * 2 + 0.05, 0.05)
)</f>
        <v>No</v>
      </c>
      <c r="U148" s="5" t="str">
        <f>IF(S148="No","No",IF(_xlfn.XLOOKUP(B148,'Base stats'!B:B,'Base stats'!U:U)="No","No",
MROUND(_xlfn.XLOOKUP(B148,'Base stats'!B:B,'Base stats'!BT:BT)/10000+0.01,0.01)
))</f>
        <v>No</v>
      </c>
      <c r="V148" s="4" t="str">
        <f>IF(S148="No","No",
MROUND(_xlfn.XLOOKUP(B148,'Base stats'!B:B,'Base stats'!BF:BF)^0.25
/((_xlfn.XLOOKUP(B148,'Base stats'!B:B,'Base stats'!BO:BO))*10)*_xlfn.XLOOKUP(_xlfn.XLOOKUP(B148,'Base stats'!B:B,'Base stats'!E:E),Groups!A:A,Groups!AE:AE)*150 + 0.5 + _xlfn.XLOOKUP(B148,'Base stats'!B:B,'Base stats'!BW:BW),
0.05))</f>
        <v>No</v>
      </c>
      <c r="W148" s="8">
        <f>MROUND(_xlfn.XLOOKUP(_xlfn.XLOOKUP(B148,'Base stats'!B:B,'Base stats'!E:E),Groups!A:A,Groups!BG:BG)*_xlfn.XLOOKUP(B148,'Base stats'!B:B,'Base stats'!C:C)^-0.165,0.05)</f>
        <v>0.75</v>
      </c>
      <c r="X148" s="1">
        <f>MROUND(_xlfn.XLOOKUP(_xlfn.XLOOKUP(B148,'Base stats'!B:B,'Base stats'!E:E),Groups!A:A,Groups!BH:BH)*_xlfn.XLOOKUP(B148,'Base stats'!B:B,'Base stats'!C:C)^0.165,0.05)</f>
        <v>0.25</v>
      </c>
      <c r="Y148" s="8">
        <f>MROUND(_xlfn.XLOOKUP(_xlfn.XLOOKUP(B148,'Base stats'!B:B,'Base stats'!E:E),Groups!A:A,Groups!BI:BI)*_xlfn.XLOOKUP(B148,'Base stats'!B:B,'Base stats'!C:C)^0.165,0.05)</f>
        <v>0.05</v>
      </c>
      <c r="Z148" s="18">
        <f>MROUND(_xlfn.XLOOKUP(B148,'Base stats'!B:B,'Base stats'!AQ:AQ)*_xlfn.XLOOKUP(_xlfn.XLOOKUP(B148,'Base stats'!B:B,'Base stats'!E:E),Groups!A:A,Groups!H:H)/1000,IF((_xlfn.XLOOKUP(B148,'Base stats'!B:B,'Base stats'!AQ:AQ)*_xlfn.XLOOKUP(_xlfn.XLOOKUP(B148,'Base stats'!B:B,'Base stats'!E:E),Groups!A:A,Groups!H:H)/1000)&gt;1,0.05,0.01))</f>
        <v>0.04</v>
      </c>
      <c r="AA148" s="18">
        <f>MROUND((1/2)*(_xlfn.XLOOKUP(_xlfn.XLOOKUP(B148,'Base stats'!B:B,'Base stats'!E:E),Groups!A:A,Groups!H:H)*_xlfn.XLOOKUP(_xlfn.XLOOKUP(B148,'Base stats'!B:B,'Base stats'!E:E),Groups!A:A,Groups!I:I))*_xlfn.XLOOKUP(B148,'Base stats'!B:B,'Base stats'!AQ:AQ)*0.01,0.05)</f>
        <v>0.15000000000000002</v>
      </c>
      <c r="AB148" s="18">
        <f>MROUND(250*(Animals!AO148+Animals!AP148),25)</f>
        <v>200</v>
      </c>
      <c r="AC148" s="18" t="str">
        <f>_xlfn.XLOOKUP(_xlfn.XLOOKUP(B148,'Base stats'!B:B,'Base stats'!E:E),Groups!A:A,Groups!BJ:BJ)</f>
        <v>Quadruped</v>
      </c>
    </row>
    <row r="149" spans="1:29" ht="16.5" thickTop="1" thickBot="1" x14ac:dyDescent="0.3">
      <c r="A149" s="16" t="str">
        <f>Animals!A149</f>
        <v>AiredaleTerrier</v>
      </c>
      <c r="B149" s="6" t="str">
        <f>Animals!B149</f>
        <v>Canis familiaris (AiredaleTerrier)</v>
      </c>
      <c r="C149" s="1" t="str">
        <f>Animals!C149</f>
        <v>&lt;li&gt;AEXP_WelshTerrier&lt;/li&gt;</v>
      </c>
      <c r="D149" s="47">
        <f>MIN(MIN(6,_xlfn.XLOOKUP(A149,Animals!A:A,Animals!AO:AO))*20,MAX(MROUND(_xlfn.XLOOKUP(B149,'Base stats'!B:B,'Base stats'!BS:BS) * (_xlfn.XLOOKUP(B149,'Base stats'!B:B,'Base stats'!AO:AO)*5%)^0.9 / 21,0.1),0.05))</f>
        <v>0.9</v>
      </c>
      <c r="E149" s="11">
        <f>MROUND(_xlfn.XLOOKUP(B149,'Base stats'!B:B,'Base stats'!BG:BG) * 0.01 * 2 + 0.01, 0.05)</f>
        <v>0.70000000000000007</v>
      </c>
      <c r="F149" s="7">
        <f>MROUND(_xlfn.XLOOKUP(B149,'Base stats'!B:B,'Base stats'!BD:BD)^0.25 / (_xlfn.XLOOKUP(B149,'Base stats'!B:B,'Base stats'!BK:BK) * 10) * 150 + 0.5 + _xlfn.XLOOKUP(B149,'Base stats'!B:B,'Base stats'!BW:BW), 0.05)</f>
        <v>1.6500000000000001</v>
      </c>
      <c r="G149" s="3" t="str">
        <f>IF(Animals!S149="No","No",
IF(_xlfn.XLOOKUP(B149,'Base stats'!B:B,'Base stats'!U:U)="No",
MAX(MROUND(_xlfn.XLOOKUP(B149,'Base stats'!B:B,'Base stats'!BT:BT) * _xlfn.XLOOKUP(B149,'Base stats'!B:B,'Base stats'!BP:BP)^0.9 / 21 * _xlfn.XLOOKUP(B149,'Base stats'!B:B,'Base stats'!BX:BX),0.1),0.05),
MAX(MROUND(((MIN(10,_xlfn.XLOOKUP(B149,'Base stats'!B:B,'Base stats'!U:U)))^0.4*_xlfn.XLOOKUP(B149,'Base stats'!B:B,'Base stats'!BH:BH)^0.73)^0.6 * _xlfn.XLOOKUP(B149,'Base stats'!B:B,'Base stats'!BX:BX),0.1),0.05)
))</f>
        <v>No</v>
      </c>
      <c r="H149" s="11" t="str">
        <f>IF(G149="No","No",
MROUND(_xlfn.XLOOKUP(B149,'Base stats'!B:B,'Base stats'!BH:BH) * 0.01 * 2 + 0.05, 0.05)
)</f>
        <v>No</v>
      </c>
      <c r="I149" s="11" t="str">
        <f>IF(G149="No","No",IF(_xlfn.XLOOKUP(B149,'Base stats'!B:B,'Base stats'!U:U)="No","No",
MROUND(_xlfn.XLOOKUP(B149,'Base stats'!B:B,'Base stats'!BT:BT)/10000+0.01,0.01)
))</f>
        <v>No</v>
      </c>
      <c r="J149" s="4" t="str">
        <f>IF(G149="No","No",
MROUND(_xlfn.XLOOKUP(B149,'Base stats'!B:B,'Base stats'!BE:BE)^0.25
/((_xlfn.XLOOKUP(B149,'Base stats'!B:B,'Base stats'!BL:BL))*10)*_xlfn.XLOOKUP(_xlfn.XLOOKUP(B149,'Base stats'!B:B,'Base stats'!E:E),Groups!A:A,Groups!Q:Q)*150 + 0.5 + _xlfn.XLOOKUP(B149,'Base stats'!B:B,'Base stats'!BW:BW),
0.05))</f>
        <v>No</v>
      </c>
      <c r="K149" s="3" t="str">
        <f>IF(Animals!X149="No","No",
IF(_xlfn.XLOOKUP(_xlfn.XLOOKUP(B149,'Base stats'!B:B,'Base stats'!E:E),Groups!A:A,Groups!BD:BD)=1,
MAX(MROUND(_xlfn.XLOOKUP(B149,'Base stats'!B:B,'Base stats'!BU:BU) * _xlfn.XLOOKUP(B149,'Base stats'!B:B,'Base stats'!BQ:BQ)^0.9 / 21 *_xlfn.XLOOKUP(B149,'Base stats'!B:B,'Base stats'!BX:BX),0.1),0.05),
MAX(MROUND(((MIN(10,_xlfn.XLOOKUP(B149,'Base stats'!B:B,'Base stats'!W:W)))^0.4*_xlfn.XLOOKUP(B149,'Base stats'!B:B,'Base stats'!BI:BI)^0.73)^0.6 *_xlfn.XLOOKUP(B149,'Base stats'!B:B,'Base stats'!BX:BX),0.1),0.05)
))</f>
        <v>No</v>
      </c>
      <c r="L149" s="11" t="str">
        <f>IF(K149="No","No",
MROUND(_xlfn.XLOOKUP(B149,'Base stats'!B:B,'Base stats'!BI:BI) * 0.01 *2 + 0.05, 0.05)
)</f>
        <v>No</v>
      </c>
      <c r="M149" s="5" t="str">
        <f>IF(K149="No","No",IF(_xlfn.XLOOKUP(_xlfn.XLOOKUP(B149,'Base stats'!B:B,'Base stats'!E:E),Groups!A:A,Groups!BD:BD)=1,"No",
MROUND(_xlfn.XLOOKUP(B149,'Base stats'!B:B,'Base stats'!BU:BU)/10000+0.01,0.01)
))</f>
        <v>No</v>
      </c>
      <c r="N149" s="4" t="str">
        <f>IF(K149="No","No",
MROUND(
  _xlfn.XLOOKUP(B149,'Base stats'!B:B,'Base stats'!BC:BC)^0.25
  / (_xlfn.XLOOKUP(B149,'Base stats'!B:B,'Base stats'!BM:BM) * 10)
  * _xlfn.XLOOKUP(
      _xlfn.XLOOKUP(B149,'Base stats'!B:B,'Base stats'!E:E),
      Groups!A:A,
      Groups!V:V
    ) * 150
  + MIN(12, _xlfn.XLOOKUP(B149,'Base stats'!B:B,'Base stats'!W:W))^(1/IF(_xlfn.XLOOKUP(_xlfn.XLOOKUP(B149,'Base stats'!B:B,'Base stats'!E:E),Groups!A:A,Groups!U:U)=1,100,10)) + 0.5 + _xlfn.XLOOKUP(B149,'Base stats'!B:B,'Base stats'!BW:BW),
0.05))</f>
        <v>No</v>
      </c>
      <c r="O149" s="3">
        <f>IF(Animals!AD149="No","No",
MAX(MROUND((MIN(10,_xlfn.XLOOKUP(B149,'Base stats'!B:B,'Base stats'!V:V)*IF(_xlfn.XLOOKUP(_xlfn.XLOOKUP(B149,'Base stats'!B:B,'Base stats'!E:E),Groups!A:A,Groups!O:O)=0,1,0.33))^0.4*_xlfn.XLOOKUP(B149,'Base stats'!B:B,'Base stats'!BJ:BJ)^0.73)^0.6 *_xlfn.XLOOKUP(B149,'Base stats'!B:B,'Base stats'!BX:BX),0.1),0.05)
)</f>
        <v>8.7000000000000011</v>
      </c>
      <c r="P149" s="11">
        <f>IF(O149="No","No",
MROUND(_xlfn.XLOOKUP(B149,'Base stats'!B:B,'Base stats'!BJ:BJ) * 0.01 * 2 + 0.05, 0.05)
)</f>
        <v>1.8</v>
      </c>
      <c r="Q149" s="5">
        <f>IF(O149="No","No",
MROUND(_xlfn.XLOOKUP(B149,'Base stats'!B:B,'Base stats'!BV:BV)/10000+0.01,0.01)
)</f>
        <v>0.18</v>
      </c>
      <c r="R149" s="4">
        <f>IF(O149="No","No",
MROUND(_xlfn.XLOOKUP(B149,'Base stats'!B:B,'Base stats'!BB:BB)^0.25
/((_xlfn.XLOOKUP(B149,'Base stats'!B:B,'Base stats'!BN:BN))*10)*_xlfn.XLOOKUP(_xlfn.XLOOKUP(B149,'Base stats'!B:B,'Base stats'!E:E),Groups!A:A,Groups!Z:Z)*150 + 0.5 + _xlfn.XLOOKUP(B149,'Base stats'!B:B,'Base stats'!BW:BW),
0.05))</f>
        <v>2.0500000000000003</v>
      </c>
      <c r="S149" s="3" t="str">
        <f>IF(Animals!AI149="No","No",
IF(_xlfn.XLOOKUP(B149,'Base stats'!B:B,'Base stats'!U:U)="No",
MAX(MROUND(_xlfn.XLOOKUP(B149,'Base stats'!B:B,'Base stats'!BT:BT) * _xlfn.XLOOKUP(B149,'Base stats'!B:B,'Base stats'!BP:BP)^0.9 / 21 * _xlfn.XLOOKUP(B149,'Base stats'!B:B,'Base stats'!BX:BX),0.1),0.05),
MAX(MROUND(((MIN(12,_xlfn.XLOOKUP(B149,'Base stats'!B:B,'Base stats'!U:U)))^0.4*_xlfn.XLOOKUP(B149,'Base stats'!B:B,'Base stats'!BH:BH)^0.73)^0.6 * _xlfn.XLOOKUP(B149,'Base stats'!B:B,'Base stats'!BX:BX),0.1),0.05)
))</f>
        <v>No</v>
      </c>
      <c r="T149" s="11" t="str">
        <f>IF(S149="No","No",
MROUND(_xlfn.XLOOKUP(B149,'Base stats'!B:B,'Base stats'!BH:BH) * 0.01 * 2 + 0.05, 0.05)
)</f>
        <v>No</v>
      </c>
      <c r="U149" s="5" t="str">
        <f>IF(S149="No","No",IF(_xlfn.XLOOKUP(B149,'Base stats'!B:B,'Base stats'!U:U)="No","No",
MROUND(_xlfn.XLOOKUP(B149,'Base stats'!B:B,'Base stats'!BT:BT)/10000+0.01,0.01)
))</f>
        <v>No</v>
      </c>
      <c r="V149" s="4" t="str">
        <f>IF(S149="No","No",
MROUND(_xlfn.XLOOKUP(B149,'Base stats'!B:B,'Base stats'!BF:BF)^0.25
/((_xlfn.XLOOKUP(B149,'Base stats'!B:B,'Base stats'!BO:BO))*10)*_xlfn.XLOOKUP(_xlfn.XLOOKUP(B149,'Base stats'!B:B,'Base stats'!E:E),Groups!A:A,Groups!AE:AE)*150 + 0.5 + _xlfn.XLOOKUP(B149,'Base stats'!B:B,'Base stats'!BW:BW),
0.05))</f>
        <v>No</v>
      </c>
      <c r="W149" s="8">
        <f>MROUND(_xlfn.XLOOKUP(_xlfn.XLOOKUP(B149,'Base stats'!B:B,'Base stats'!E:E),Groups!A:A,Groups!BG:BG)*_xlfn.XLOOKUP(B149,'Base stats'!B:B,'Base stats'!C:C)^-0.165,0.05)</f>
        <v>0.60000000000000009</v>
      </c>
      <c r="X149" s="1">
        <f>MROUND(_xlfn.XLOOKUP(_xlfn.XLOOKUP(B149,'Base stats'!B:B,'Base stats'!E:E),Groups!A:A,Groups!BH:BH)*_xlfn.XLOOKUP(B149,'Base stats'!B:B,'Base stats'!C:C)^0.165,0.05)</f>
        <v>0.35000000000000003</v>
      </c>
      <c r="Y149" s="8">
        <f>MROUND(_xlfn.XLOOKUP(_xlfn.XLOOKUP(B149,'Base stats'!B:B,'Base stats'!E:E),Groups!A:A,Groups!BI:BI)*_xlfn.XLOOKUP(B149,'Base stats'!B:B,'Base stats'!C:C)^0.165,0.05)</f>
        <v>0.05</v>
      </c>
      <c r="Z149" s="18">
        <f>MROUND(_xlfn.XLOOKUP(B149,'Base stats'!B:B,'Base stats'!AQ:AQ)*_xlfn.XLOOKUP(_xlfn.XLOOKUP(B149,'Base stats'!B:B,'Base stats'!E:E),Groups!A:A,Groups!H:H)/1000,IF((_xlfn.XLOOKUP(B149,'Base stats'!B:B,'Base stats'!AQ:AQ)*_xlfn.XLOOKUP(_xlfn.XLOOKUP(B149,'Base stats'!B:B,'Base stats'!E:E),Groups!A:A,Groups!H:H)/1000)&gt;1,0.05,0.01))</f>
        <v>0.06</v>
      </c>
      <c r="AA149" s="18">
        <f>MROUND((1/2)*(_xlfn.XLOOKUP(_xlfn.XLOOKUP(B149,'Base stats'!B:B,'Base stats'!E:E),Groups!A:A,Groups!H:H)*_xlfn.XLOOKUP(_xlfn.XLOOKUP(B149,'Base stats'!B:B,'Base stats'!E:E),Groups!A:A,Groups!I:I))*_xlfn.XLOOKUP(B149,'Base stats'!B:B,'Base stats'!AQ:AQ)*0.01,0.05)</f>
        <v>0.25</v>
      </c>
      <c r="AB149" s="18">
        <f>MROUND(250*(Animals!AO149+Animals!AP149),25)</f>
        <v>325</v>
      </c>
      <c r="AC149" s="18" t="str">
        <f>_xlfn.XLOOKUP(_xlfn.XLOOKUP(B149,'Base stats'!B:B,'Base stats'!E:E),Groups!A:A,Groups!BJ:BJ)</f>
        <v>Quadruped</v>
      </c>
    </row>
    <row r="150" spans="1:29" ht="16.5" thickTop="1" thickBot="1" x14ac:dyDescent="0.3">
      <c r="A150" s="16" t="str">
        <f>Animals!A150</f>
        <v>Abyssinian cat</v>
      </c>
      <c r="B150" s="6" t="str">
        <f>Animals!B150</f>
        <v>Felis catus (Abyssinian)</v>
      </c>
      <c r="C150" s="1" t="str">
        <f>Animals!C150</f>
        <v>&lt;li&gt;AEXP_CatAbyssinian&lt;/li&gt;</v>
      </c>
      <c r="D150" s="47">
        <f>MIN(MIN(6,_xlfn.XLOOKUP(A150,Animals!A:A,Animals!AO:AO))*20,MAX(MROUND(_xlfn.XLOOKUP(B150,'Base stats'!B:B,'Base stats'!BS:BS) * (_xlfn.XLOOKUP(B150,'Base stats'!B:B,'Base stats'!AO:AO)*5%)^0.9 / 21,0.1),0.05))</f>
        <v>0.2</v>
      </c>
      <c r="E150" s="11">
        <f>MROUND(_xlfn.XLOOKUP(B150,'Base stats'!B:B,'Base stats'!BG:BG) * 0.01 * 2 + 0.01, 0.05)</f>
        <v>0.15000000000000002</v>
      </c>
      <c r="F150" s="7">
        <f>MROUND(_xlfn.XLOOKUP(B150,'Base stats'!B:B,'Base stats'!BD:BD)^0.25 / (_xlfn.XLOOKUP(B150,'Base stats'!B:B,'Base stats'!BK:BK) * 10) * 150 + 0.5 + _xlfn.XLOOKUP(B150,'Base stats'!B:B,'Base stats'!BW:BW), 0.05)</f>
        <v>1.4000000000000001</v>
      </c>
      <c r="G150" s="3" t="str">
        <f>IF(Animals!S150="No","No",
IF(_xlfn.XLOOKUP(B150,'Base stats'!B:B,'Base stats'!U:U)="No",
MAX(MROUND(_xlfn.XLOOKUP(B150,'Base stats'!B:B,'Base stats'!BT:BT) * _xlfn.XLOOKUP(B150,'Base stats'!B:B,'Base stats'!BP:BP)^0.9 / 21 * _xlfn.XLOOKUP(B150,'Base stats'!B:B,'Base stats'!BX:BX),0.1),0.05),
MAX(MROUND(((MIN(10,_xlfn.XLOOKUP(B150,'Base stats'!B:B,'Base stats'!U:U)))^0.4*_xlfn.XLOOKUP(B150,'Base stats'!B:B,'Base stats'!BH:BH)^0.73)^0.6 * _xlfn.XLOOKUP(B150,'Base stats'!B:B,'Base stats'!BX:BX),0.1),0.05)
))</f>
        <v>No</v>
      </c>
      <c r="H150" s="11" t="str">
        <f>IF(G150="No","No",
MROUND(_xlfn.XLOOKUP(B150,'Base stats'!B:B,'Base stats'!BH:BH) * 0.01 * 2 + 0.05, 0.05)
)</f>
        <v>No</v>
      </c>
      <c r="I150" s="11" t="str">
        <f>IF(G150="No","No",IF(_xlfn.XLOOKUP(B150,'Base stats'!B:B,'Base stats'!U:U)="No","No",
MROUND(_xlfn.XLOOKUP(B150,'Base stats'!B:B,'Base stats'!BT:BT)/10000+0.01,0.01)
))</f>
        <v>No</v>
      </c>
      <c r="J150" s="4" t="str">
        <f>IF(G150="No","No",
MROUND(_xlfn.XLOOKUP(B150,'Base stats'!B:B,'Base stats'!BE:BE)^0.25
/((_xlfn.XLOOKUP(B150,'Base stats'!B:B,'Base stats'!BL:BL))*10)*_xlfn.XLOOKUP(_xlfn.XLOOKUP(B150,'Base stats'!B:B,'Base stats'!E:E),Groups!A:A,Groups!Q:Q)*150 + 0.5 + _xlfn.XLOOKUP(B150,'Base stats'!B:B,'Base stats'!BW:BW),
0.05))</f>
        <v>No</v>
      </c>
      <c r="K150" s="3" t="str">
        <f>IF(Animals!X150="No","No",
IF(_xlfn.XLOOKUP(_xlfn.XLOOKUP(B150,'Base stats'!B:B,'Base stats'!E:E),Groups!A:A,Groups!BD:BD)=1,
MAX(MROUND(_xlfn.XLOOKUP(B150,'Base stats'!B:B,'Base stats'!BU:BU) * _xlfn.XLOOKUP(B150,'Base stats'!B:B,'Base stats'!BQ:BQ)^0.9 / 21 *_xlfn.XLOOKUP(B150,'Base stats'!B:B,'Base stats'!BX:BX),0.1),0.05),
MAX(MROUND(((MIN(10,_xlfn.XLOOKUP(B150,'Base stats'!B:B,'Base stats'!W:W)))^0.4*_xlfn.XLOOKUP(B150,'Base stats'!B:B,'Base stats'!BI:BI)^0.73)^0.6 *_xlfn.XLOOKUP(B150,'Base stats'!B:B,'Base stats'!BX:BX),0.1),0.05)
))</f>
        <v>No</v>
      </c>
      <c r="L150" s="11" t="str">
        <f>IF(K150="No","No",
MROUND(_xlfn.XLOOKUP(B150,'Base stats'!B:B,'Base stats'!BI:BI) * 0.01 *2 + 0.05, 0.05)
)</f>
        <v>No</v>
      </c>
      <c r="M150" s="5" t="str">
        <f>IF(K150="No","No",IF(_xlfn.XLOOKUP(_xlfn.XLOOKUP(B150,'Base stats'!B:B,'Base stats'!E:E),Groups!A:A,Groups!BD:BD)=1,"No",
MROUND(_xlfn.XLOOKUP(B150,'Base stats'!B:B,'Base stats'!BU:BU)/10000+0.01,0.01)
))</f>
        <v>No</v>
      </c>
      <c r="N150" s="4" t="str">
        <f>IF(K150="No","No",
MROUND(
  _xlfn.XLOOKUP(B150,'Base stats'!B:B,'Base stats'!BC:BC)^0.25
  / (_xlfn.XLOOKUP(B150,'Base stats'!B:B,'Base stats'!BM:BM) * 10)
  * _xlfn.XLOOKUP(
      _xlfn.XLOOKUP(B150,'Base stats'!B:B,'Base stats'!E:E),
      Groups!A:A,
      Groups!V:V
    ) * 150
  + MIN(12, _xlfn.XLOOKUP(B150,'Base stats'!B:B,'Base stats'!W:W))^(1/IF(_xlfn.XLOOKUP(_xlfn.XLOOKUP(B150,'Base stats'!B:B,'Base stats'!E:E),Groups!A:A,Groups!U:U)=1,100,10)) + 0.5 + _xlfn.XLOOKUP(B150,'Base stats'!B:B,'Base stats'!BW:BW),
0.05))</f>
        <v>No</v>
      </c>
      <c r="O150" s="3">
        <f>IF(Animals!AD150="No","No",
MAX(MROUND((MIN(10,_xlfn.XLOOKUP(B150,'Base stats'!B:B,'Base stats'!V:V)*IF(_xlfn.XLOOKUP(_xlfn.XLOOKUP(B150,'Base stats'!B:B,'Base stats'!E:E),Groups!A:A,Groups!O:O)=0,1,0.33))^0.4*_xlfn.XLOOKUP(B150,'Base stats'!B:B,'Base stats'!BJ:BJ)^0.73)^0.6 *_xlfn.XLOOKUP(B150,'Base stats'!B:B,'Base stats'!BX:BX),0.1),0.05)
)</f>
        <v>4</v>
      </c>
      <c r="P150" s="11">
        <f>IF(O150="No","No",
MROUND(_xlfn.XLOOKUP(B150,'Base stats'!B:B,'Base stats'!BJ:BJ) * 0.01 * 2 + 0.05, 0.05)
)</f>
        <v>0.45</v>
      </c>
      <c r="Q150" s="5">
        <f>IF(O150="No","No",
MROUND(_xlfn.XLOOKUP(B150,'Base stats'!B:B,'Base stats'!BV:BV)/10000+0.01,0.01)
)</f>
        <v>0.09</v>
      </c>
      <c r="R150" s="4">
        <f>IF(O150="No","No",
MROUND(_xlfn.XLOOKUP(B150,'Base stats'!B:B,'Base stats'!BB:BB)^0.25
/((_xlfn.XLOOKUP(B150,'Base stats'!B:B,'Base stats'!BN:BN))*10)*_xlfn.XLOOKUP(_xlfn.XLOOKUP(B150,'Base stats'!B:B,'Base stats'!E:E),Groups!A:A,Groups!Z:Z)*150 + 0.5 + _xlfn.XLOOKUP(B150,'Base stats'!B:B,'Base stats'!BW:BW),
0.05))</f>
        <v>1.6500000000000001</v>
      </c>
      <c r="S150" s="3">
        <f>IF(Animals!AI150="No","No",
IF(_xlfn.XLOOKUP(B150,'Base stats'!B:B,'Base stats'!U:U)="No",
MAX(MROUND(_xlfn.XLOOKUP(B150,'Base stats'!B:B,'Base stats'!BT:BT) * _xlfn.XLOOKUP(B150,'Base stats'!B:B,'Base stats'!BP:BP)^0.9 / 21 * _xlfn.XLOOKUP(B150,'Base stats'!B:B,'Base stats'!BX:BX),0.1),0.05),
MAX(MROUND(((MIN(12,_xlfn.XLOOKUP(B150,'Base stats'!B:B,'Base stats'!U:U)))^0.4*_xlfn.XLOOKUP(B150,'Base stats'!B:B,'Base stats'!BH:BH)^0.73)^0.6 * _xlfn.XLOOKUP(B150,'Base stats'!B:B,'Base stats'!BX:BX),0.1),0.05)
))</f>
        <v>3.1</v>
      </c>
      <c r="T150" s="11">
        <f>IF(S150="No","No",
MROUND(_xlfn.XLOOKUP(B150,'Base stats'!B:B,'Base stats'!BH:BH) * 0.01 * 2 + 0.05, 0.05)
)</f>
        <v>0.30000000000000004</v>
      </c>
      <c r="U150" s="5">
        <f>IF(S150="No","No",IF(_xlfn.XLOOKUP(B150,'Base stats'!B:B,'Base stats'!U:U)="No","No",
MROUND(_xlfn.XLOOKUP(B150,'Base stats'!B:B,'Base stats'!BT:BT)/10000+0.01,0.01)
))</f>
        <v>0.05</v>
      </c>
      <c r="V150" s="4">
        <f>IF(S150="No","No",
MROUND(_xlfn.XLOOKUP(B150,'Base stats'!B:B,'Base stats'!BF:BF)^0.25
/((_xlfn.XLOOKUP(B150,'Base stats'!B:B,'Base stats'!BO:BO))*10)*_xlfn.XLOOKUP(_xlfn.XLOOKUP(B150,'Base stats'!B:B,'Base stats'!E:E),Groups!A:A,Groups!AE:AE)*150 + 0.5 + _xlfn.XLOOKUP(B150,'Base stats'!B:B,'Base stats'!BW:BW),
0.05))</f>
        <v>1.1000000000000001</v>
      </c>
      <c r="W150" s="8">
        <f>MROUND(_xlfn.XLOOKUP(_xlfn.XLOOKUP(B150,'Base stats'!B:B,'Base stats'!E:E),Groups!A:A,Groups!BG:BG)*_xlfn.XLOOKUP(B150,'Base stats'!B:B,'Base stats'!C:C)^-0.165,0.05)</f>
        <v>1</v>
      </c>
      <c r="X150" s="1">
        <f>MROUND(_xlfn.XLOOKUP(_xlfn.XLOOKUP(B150,'Base stats'!B:B,'Base stats'!E:E),Groups!A:A,Groups!BH:BH)*_xlfn.XLOOKUP(B150,'Base stats'!B:B,'Base stats'!C:C)^0.165,0.05)</f>
        <v>0.30000000000000004</v>
      </c>
      <c r="Y150" s="8">
        <f>MROUND(_xlfn.XLOOKUP(_xlfn.XLOOKUP(B150,'Base stats'!B:B,'Base stats'!E:E),Groups!A:A,Groups!BI:BI)*_xlfn.XLOOKUP(B150,'Base stats'!B:B,'Base stats'!C:C)^0.165,0.05)</f>
        <v>0.05</v>
      </c>
      <c r="Z150" s="18">
        <f>MROUND(_xlfn.XLOOKUP(B150,'Base stats'!B:B,'Base stats'!AQ:AQ)*_xlfn.XLOOKUP(_xlfn.XLOOKUP(B150,'Base stats'!B:B,'Base stats'!E:E),Groups!A:A,Groups!H:H)/1000,IF((_xlfn.XLOOKUP(B150,'Base stats'!B:B,'Base stats'!AQ:AQ)*_xlfn.XLOOKUP(_xlfn.XLOOKUP(B150,'Base stats'!B:B,'Base stats'!E:E),Groups!A:A,Groups!H:H)/1000)&gt;1,0.05,0.01))</f>
        <v>0.03</v>
      </c>
      <c r="AA150" s="18">
        <f>MROUND((1/2)*(_xlfn.XLOOKUP(_xlfn.XLOOKUP(B150,'Base stats'!B:B,'Base stats'!E:E),Groups!A:A,Groups!H:H)*_xlfn.XLOOKUP(_xlfn.XLOOKUP(B150,'Base stats'!B:B,'Base stats'!E:E),Groups!A:A,Groups!I:I))*_xlfn.XLOOKUP(B150,'Base stats'!B:B,'Base stats'!AQ:AQ)*0.01,0.05)</f>
        <v>0.15000000000000002</v>
      </c>
      <c r="AB150" s="18">
        <f>MROUND(250*(Animals!AO150+Animals!AP150),25)</f>
        <v>175</v>
      </c>
      <c r="AC150" s="18" t="str">
        <f>_xlfn.XLOOKUP(_xlfn.XLOOKUP(B150,'Base stats'!B:B,'Base stats'!E:E),Groups!A:A,Groups!BJ:BJ)</f>
        <v>Quadruped</v>
      </c>
    </row>
    <row r="151" spans="1:29" ht="16.5" thickTop="1" thickBot="1" x14ac:dyDescent="0.3">
      <c r="A151" s="16" t="str">
        <f>Animals!A151</f>
        <v>Bengal cat</v>
      </c>
      <c r="B151" s="6" t="str">
        <f>Animals!B151</f>
        <v>Felis catus (Bengal)</v>
      </c>
      <c r="C151" s="1" t="str">
        <f>Animals!C151</f>
        <v>&lt;li&gt;AEXP_CatBengal&lt;/li&gt;</v>
      </c>
      <c r="D151" s="47">
        <f>MIN(MIN(6,_xlfn.XLOOKUP(A151,Animals!A:A,Animals!AO:AO))*20,MAX(MROUND(_xlfn.XLOOKUP(B151,'Base stats'!B:B,'Base stats'!BS:BS) * (_xlfn.XLOOKUP(B151,'Base stats'!B:B,'Base stats'!AO:AO)*5%)^0.9 / 21,0.1),0.05))</f>
        <v>0.30000000000000004</v>
      </c>
      <c r="E151" s="11">
        <f>MROUND(_xlfn.XLOOKUP(B151,'Base stats'!B:B,'Base stats'!BG:BG) * 0.01 * 2 + 0.01, 0.05)</f>
        <v>0.2</v>
      </c>
      <c r="F151" s="7">
        <f>MROUND(_xlfn.XLOOKUP(B151,'Base stats'!B:B,'Base stats'!BD:BD)^0.25 / (_xlfn.XLOOKUP(B151,'Base stats'!B:B,'Base stats'!BK:BK) * 10) * 150 + 0.5 + _xlfn.XLOOKUP(B151,'Base stats'!B:B,'Base stats'!BW:BW), 0.05)</f>
        <v>1.4500000000000002</v>
      </c>
      <c r="G151" s="3" t="str">
        <f>IF(Animals!S151="No","No",
IF(_xlfn.XLOOKUP(B151,'Base stats'!B:B,'Base stats'!U:U)="No",
MAX(MROUND(_xlfn.XLOOKUP(B151,'Base stats'!B:B,'Base stats'!BT:BT) * _xlfn.XLOOKUP(B151,'Base stats'!B:B,'Base stats'!BP:BP)^0.9 / 21 * _xlfn.XLOOKUP(B151,'Base stats'!B:B,'Base stats'!BX:BX),0.1),0.05),
MAX(MROUND(((MIN(10,_xlfn.XLOOKUP(B151,'Base stats'!B:B,'Base stats'!U:U)))^0.4*_xlfn.XLOOKUP(B151,'Base stats'!B:B,'Base stats'!BH:BH)^0.73)^0.6 * _xlfn.XLOOKUP(B151,'Base stats'!B:B,'Base stats'!BX:BX),0.1),0.05)
))</f>
        <v>No</v>
      </c>
      <c r="H151" s="11" t="str">
        <f>IF(G151="No","No",
MROUND(_xlfn.XLOOKUP(B151,'Base stats'!B:B,'Base stats'!BH:BH) * 0.01 * 2 + 0.05, 0.05)
)</f>
        <v>No</v>
      </c>
      <c r="I151" s="11" t="str">
        <f>IF(G151="No","No",IF(_xlfn.XLOOKUP(B151,'Base stats'!B:B,'Base stats'!U:U)="No","No",
MROUND(_xlfn.XLOOKUP(B151,'Base stats'!B:B,'Base stats'!BT:BT)/10000+0.01,0.01)
))</f>
        <v>No</v>
      </c>
      <c r="J151" s="4" t="str">
        <f>IF(G151="No","No",
MROUND(_xlfn.XLOOKUP(B151,'Base stats'!B:B,'Base stats'!BE:BE)^0.25
/((_xlfn.XLOOKUP(B151,'Base stats'!B:B,'Base stats'!BL:BL))*10)*_xlfn.XLOOKUP(_xlfn.XLOOKUP(B151,'Base stats'!B:B,'Base stats'!E:E),Groups!A:A,Groups!Q:Q)*150 + 0.5 + _xlfn.XLOOKUP(B151,'Base stats'!B:B,'Base stats'!BW:BW),
0.05))</f>
        <v>No</v>
      </c>
      <c r="K151" s="3" t="str">
        <f>IF(Animals!X151="No","No",
IF(_xlfn.XLOOKUP(_xlfn.XLOOKUP(B151,'Base stats'!B:B,'Base stats'!E:E),Groups!A:A,Groups!BD:BD)=1,
MAX(MROUND(_xlfn.XLOOKUP(B151,'Base stats'!B:B,'Base stats'!BU:BU) * _xlfn.XLOOKUP(B151,'Base stats'!B:B,'Base stats'!BQ:BQ)^0.9 / 21 *_xlfn.XLOOKUP(B151,'Base stats'!B:B,'Base stats'!BX:BX),0.1),0.05),
MAX(MROUND(((MIN(10,_xlfn.XLOOKUP(B151,'Base stats'!B:B,'Base stats'!W:W)))^0.4*_xlfn.XLOOKUP(B151,'Base stats'!B:B,'Base stats'!BI:BI)^0.73)^0.6 *_xlfn.XLOOKUP(B151,'Base stats'!B:B,'Base stats'!BX:BX),0.1),0.05)
))</f>
        <v>No</v>
      </c>
      <c r="L151" s="11" t="str">
        <f>IF(K151="No","No",
MROUND(_xlfn.XLOOKUP(B151,'Base stats'!B:B,'Base stats'!BI:BI) * 0.01 *2 + 0.05, 0.05)
)</f>
        <v>No</v>
      </c>
      <c r="M151" s="5" t="str">
        <f>IF(K151="No","No",IF(_xlfn.XLOOKUP(_xlfn.XLOOKUP(B151,'Base stats'!B:B,'Base stats'!E:E),Groups!A:A,Groups!BD:BD)=1,"No",
MROUND(_xlfn.XLOOKUP(B151,'Base stats'!B:B,'Base stats'!BU:BU)/10000+0.01,0.01)
))</f>
        <v>No</v>
      </c>
      <c r="N151" s="4" t="str">
        <f>IF(K151="No","No",
MROUND(
  _xlfn.XLOOKUP(B151,'Base stats'!B:B,'Base stats'!BC:BC)^0.25
  / (_xlfn.XLOOKUP(B151,'Base stats'!B:B,'Base stats'!BM:BM) * 10)
  * _xlfn.XLOOKUP(
      _xlfn.XLOOKUP(B151,'Base stats'!B:B,'Base stats'!E:E),
      Groups!A:A,
      Groups!V:V
    ) * 150
  + MIN(12, _xlfn.XLOOKUP(B151,'Base stats'!B:B,'Base stats'!W:W))^(1/IF(_xlfn.XLOOKUP(_xlfn.XLOOKUP(B151,'Base stats'!B:B,'Base stats'!E:E),Groups!A:A,Groups!U:U)=1,100,10)) + 0.5 + _xlfn.XLOOKUP(B151,'Base stats'!B:B,'Base stats'!BW:BW),
0.05))</f>
        <v>No</v>
      </c>
      <c r="O151" s="3">
        <f>IF(Animals!AD151="No","No",
MAX(MROUND((MIN(10,_xlfn.XLOOKUP(B151,'Base stats'!B:B,'Base stats'!V:V)*IF(_xlfn.XLOOKUP(_xlfn.XLOOKUP(B151,'Base stats'!B:B,'Base stats'!E:E),Groups!A:A,Groups!O:O)=0,1,0.33))^0.4*_xlfn.XLOOKUP(B151,'Base stats'!B:B,'Base stats'!BJ:BJ)^0.73)^0.6 *_xlfn.XLOOKUP(B151,'Base stats'!B:B,'Base stats'!BX:BX),0.1),0.05)
)</f>
        <v>4.3</v>
      </c>
      <c r="P151" s="11">
        <f>IF(O151="No","No",
MROUND(_xlfn.XLOOKUP(B151,'Base stats'!B:B,'Base stats'!BJ:BJ) * 0.01 * 2 + 0.05, 0.05)
)</f>
        <v>0.55000000000000004</v>
      </c>
      <c r="Q151" s="5">
        <f>IF(O151="No","No",
MROUND(_xlfn.XLOOKUP(B151,'Base stats'!B:B,'Base stats'!BV:BV)/10000+0.01,0.01)
)</f>
        <v>0.09</v>
      </c>
      <c r="R151" s="4">
        <f>IF(O151="No","No",
MROUND(_xlfn.XLOOKUP(B151,'Base stats'!B:B,'Base stats'!BB:BB)^0.25
/((_xlfn.XLOOKUP(B151,'Base stats'!B:B,'Base stats'!BN:BN))*10)*_xlfn.XLOOKUP(_xlfn.XLOOKUP(B151,'Base stats'!B:B,'Base stats'!E:E),Groups!A:A,Groups!Z:Z)*150 + 0.5 + _xlfn.XLOOKUP(B151,'Base stats'!B:B,'Base stats'!BW:BW),
0.05))</f>
        <v>1.7000000000000002</v>
      </c>
      <c r="S151" s="3">
        <f>IF(Animals!AI151="No","No",
IF(_xlfn.XLOOKUP(B151,'Base stats'!B:B,'Base stats'!U:U)="No",
MAX(MROUND(_xlfn.XLOOKUP(B151,'Base stats'!B:B,'Base stats'!BT:BT) * _xlfn.XLOOKUP(B151,'Base stats'!B:B,'Base stats'!BP:BP)^0.9 / 21 * _xlfn.XLOOKUP(B151,'Base stats'!B:B,'Base stats'!BX:BX),0.1),0.05),
MAX(MROUND(((MIN(12,_xlfn.XLOOKUP(B151,'Base stats'!B:B,'Base stats'!U:U)))^0.4*_xlfn.XLOOKUP(B151,'Base stats'!B:B,'Base stats'!BH:BH)^0.73)^0.6 * _xlfn.XLOOKUP(B151,'Base stats'!B:B,'Base stats'!BX:BX),0.1),0.05)
))</f>
        <v>3.3000000000000003</v>
      </c>
      <c r="T151" s="11">
        <f>IF(S151="No","No",
MROUND(_xlfn.XLOOKUP(B151,'Base stats'!B:B,'Base stats'!BH:BH) * 0.01 * 2 + 0.05, 0.05)
)</f>
        <v>0.30000000000000004</v>
      </c>
      <c r="U151" s="5">
        <f>IF(S151="No","No",IF(_xlfn.XLOOKUP(B151,'Base stats'!B:B,'Base stats'!U:U)="No","No",
MROUND(_xlfn.XLOOKUP(B151,'Base stats'!B:B,'Base stats'!BT:BT)/10000+0.01,0.01)
))</f>
        <v>0.06</v>
      </c>
      <c r="V151" s="4">
        <f>IF(S151="No","No",
MROUND(_xlfn.XLOOKUP(B151,'Base stats'!B:B,'Base stats'!BF:BF)^0.25
/((_xlfn.XLOOKUP(B151,'Base stats'!B:B,'Base stats'!BO:BO))*10)*_xlfn.XLOOKUP(_xlfn.XLOOKUP(B151,'Base stats'!B:B,'Base stats'!E:E),Groups!A:A,Groups!AE:AE)*150 + 0.5 + _xlfn.XLOOKUP(B151,'Base stats'!B:B,'Base stats'!BW:BW),
0.05))</f>
        <v>1.1000000000000001</v>
      </c>
      <c r="W151" s="8">
        <f>MROUND(_xlfn.XLOOKUP(_xlfn.XLOOKUP(B151,'Base stats'!B:B,'Base stats'!E:E),Groups!A:A,Groups!BG:BG)*_xlfn.XLOOKUP(B151,'Base stats'!B:B,'Base stats'!C:C)^-0.165,0.05)</f>
        <v>0.95000000000000007</v>
      </c>
      <c r="X151" s="1">
        <f>MROUND(_xlfn.XLOOKUP(_xlfn.XLOOKUP(B151,'Base stats'!B:B,'Base stats'!E:E),Groups!A:A,Groups!BH:BH)*_xlfn.XLOOKUP(B151,'Base stats'!B:B,'Base stats'!C:C)^0.165,0.05)</f>
        <v>0.35000000000000003</v>
      </c>
      <c r="Y151" s="8">
        <f>MROUND(_xlfn.XLOOKUP(_xlfn.XLOOKUP(B151,'Base stats'!B:B,'Base stats'!E:E),Groups!A:A,Groups!BI:BI)*_xlfn.XLOOKUP(B151,'Base stats'!B:B,'Base stats'!C:C)^0.165,0.05)</f>
        <v>0.05</v>
      </c>
      <c r="Z151" s="18">
        <f>MROUND(_xlfn.XLOOKUP(B151,'Base stats'!B:B,'Base stats'!AQ:AQ)*_xlfn.XLOOKUP(_xlfn.XLOOKUP(B151,'Base stats'!B:B,'Base stats'!E:E),Groups!A:A,Groups!H:H)/1000,IF((_xlfn.XLOOKUP(B151,'Base stats'!B:B,'Base stats'!AQ:AQ)*_xlfn.XLOOKUP(_xlfn.XLOOKUP(B151,'Base stats'!B:B,'Base stats'!E:E),Groups!A:A,Groups!H:H)/1000)&gt;1,0.05,0.01))</f>
        <v>0.04</v>
      </c>
      <c r="AA151" s="18">
        <f>MROUND((1/2)*(_xlfn.XLOOKUP(_xlfn.XLOOKUP(B151,'Base stats'!B:B,'Base stats'!E:E),Groups!A:A,Groups!H:H)*_xlfn.XLOOKUP(_xlfn.XLOOKUP(B151,'Base stats'!B:B,'Base stats'!E:E),Groups!A:A,Groups!I:I))*_xlfn.XLOOKUP(B151,'Base stats'!B:B,'Base stats'!AQ:AQ)*0.01,0.05)</f>
        <v>0.15000000000000002</v>
      </c>
      <c r="AB151" s="18">
        <f>MROUND(250*(Animals!AO151+Animals!AP151),25)</f>
        <v>175</v>
      </c>
      <c r="AC151" s="18" t="str">
        <f>_xlfn.XLOOKUP(_xlfn.XLOOKUP(B151,'Base stats'!B:B,'Base stats'!E:E),Groups!A:A,Groups!BJ:BJ)</f>
        <v>Quadruped</v>
      </c>
    </row>
    <row r="152" spans="1:29" ht="16.5" thickTop="1" thickBot="1" x14ac:dyDescent="0.3">
      <c r="A152" s="16" t="str">
        <f>Animals!A152</f>
        <v>British Shorthair cat</v>
      </c>
      <c r="B152" s="6" t="str">
        <f>Animals!B152</f>
        <v>Felis catus (British Shorthair)</v>
      </c>
      <c r="C152" s="1" t="str">
        <f>Animals!C152</f>
        <v>&lt;li&gt;AEXP_CatBritishShorthair&lt;/li&gt;</v>
      </c>
      <c r="D152" s="47">
        <f>MIN(MIN(6,_xlfn.XLOOKUP(A152,Animals!A:A,Animals!AO:AO))*20,MAX(MROUND(_xlfn.XLOOKUP(B152,'Base stats'!B:B,'Base stats'!BS:BS) * (_xlfn.XLOOKUP(B152,'Base stats'!B:B,'Base stats'!AO:AO)*5%)^0.9 / 21,0.1),0.05))</f>
        <v>0.2</v>
      </c>
      <c r="E152" s="11">
        <f>MROUND(_xlfn.XLOOKUP(B152,'Base stats'!B:B,'Base stats'!BG:BG) * 0.01 * 2 + 0.01, 0.05)</f>
        <v>0.2</v>
      </c>
      <c r="F152" s="7">
        <f>MROUND(_xlfn.XLOOKUP(B152,'Base stats'!B:B,'Base stats'!BD:BD)^0.25 / (_xlfn.XLOOKUP(B152,'Base stats'!B:B,'Base stats'!BK:BK) * 10) * 150 + 0.5 + _xlfn.XLOOKUP(B152,'Base stats'!B:B,'Base stats'!BW:BW), 0.05)</f>
        <v>1.4500000000000002</v>
      </c>
      <c r="G152" s="3" t="str">
        <f>IF(Animals!S152="No","No",
IF(_xlfn.XLOOKUP(B152,'Base stats'!B:B,'Base stats'!U:U)="No",
MAX(MROUND(_xlfn.XLOOKUP(B152,'Base stats'!B:B,'Base stats'!BT:BT) * _xlfn.XLOOKUP(B152,'Base stats'!B:B,'Base stats'!BP:BP)^0.9 / 21 * _xlfn.XLOOKUP(B152,'Base stats'!B:B,'Base stats'!BX:BX),0.1),0.05),
MAX(MROUND(((MIN(10,_xlfn.XLOOKUP(B152,'Base stats'!B:B,'Base stats'!U:U)))^0.4*_xlfn.XLOOKUP(B152,'Base stats'!B:B,'Base stats'!BH:BH)^0.73)^0.6 * _xlfn.XLOOKUP(B152,'Base stats'!B:B,'Base stats'!BX:BX),0.1),0.05)
))</f>
        <v>No</v>
      </c>
      <c r="H152" s="11" t="str">
        <f>IF(G152="No","No",
MROUND(_xlfn.XLOOKUP(B152,'Base stats'!B:B,'Base stats'!BH:BH) * 0.01 * 2 + 0.05, 0.05)
)</f>
        <v>No</v>
      </c>
      <c r="I152" s="11" t="str">
        <f>IF(G152="No","No",IF(_xlfn.XLOOKUP(B152,'Base stats'!B:B,'Base stats'!U:U)="No","No",
MROUND(_xlfn.XLOOKUP(B152,'Base stats'!B:B,'Base stats'!BT:BT)/10000+0.01,0.01)
))</f>
        <v>No</v>
      </c>
      <c r="J152" s="4" t="str">
        <f>IF(G152="No","No",
MROUND(_xlfn.XLOOKUP(B152,'Base stats'!B:B,'Base stats'!BE:BE)^0.25
/((_xlfn.XLOOKUP(B152,'Base stats'!B:B,'Base stats'!BL:BL))*10)*_xlfn.XLOOKUP(_xlfn.XLOOKUP(B152,'Base stats'!B:B,'Base stats'!E:E),Groups!A:A,Groups!Q:Q)*150 + 0.5 + _xlfn.XLOOKUP(B152,'Base stats'!B:B,'Base stats'!BW:BW),
0.05))</f>
        <v>No</v>
      </c>
      <c r="K152" s="3" t="str">
        <f>IF(Animals!X152="No","No",
IF(_xlfn.XLOOKUP(_xlfn.XLOOKUP(B152,'Base stats'!B:B,'Base stats'!E:E),Groups!A:A,Groups!BD:BD)=1,
MAX(MROUND(_xlfn.XLOOKUP(B152,'Base stats'!B:B,'Base stats'!BU:BU) * _xlfn.XLOOKUP(B152,'Base stats'!B:B,'Base stats'!BQ:BQ)^0.9 / 21 *_xlfn.XLOOKUP(B152,'Base stats'!B:B,'Base stats'!BX:BX),0.1),0.05),
MAX(MROUND(((MIN(10,_xlfn.XLOOKUP(B152,'Base stats'!B:B,'Base stats'!W:W)))^0.4*_xlfn.XLOOKUP(B152,'Base stats'!B:B,'Base stats'!BI:BI)^0.73)^0.6 *_xlfn.XLOOKUP(B152,'Base stats'!B:B,'Base stats'!BX:BX),0.1),0.05)
))</f>
        <v>No</v>
      </c>
      <c r="L152" s="11" t="str">
        <f>IF(K152="No","No",
MROUND(_xlfn.XLOOKUP(B152,'Base stats'!B:B,'Base stats'!BI:BI) * 0.01 *2 + 0.05, 0.05)
)</f>
        <v>No</v>
      </c>
      <c r="M152" s="5" t="str">
        <f>IF(K152="No","No",IF(_xlfn.XLOOKUP(_xlfn.XLOOKUP(B152,'Base stats'!B:B,'Base stats'!E:E),Groups!A:A,Groups!BD:BD)=1,"No",
MROUND(_xlfn.XLOOKUP(B152,'Base stats'!B:B,'Base stats'!BU:BU)/10000+0.01,0.01)
))</f>
        <v>No</v>
      </c>
      <c r="N152" s="4" t="str">
        <f>IF(K152="No","No",
MROUND(
  _xlfn.XLOOKUP(B152,'Base stats'!B:B,'Base stats'!BC:BC)^0.25
  / (_xlfn.XLOOKUP(B152,'Base stats'!B:B,'Base stats'!BM:BM) * 10)
  * _xlfn.XLOOKUP(
      _xlfn.XLOOKUP(B152,'Base stats'!B:B,'Base stats'!E:E),
      Groups!A:A,
      Groups!V:V
    ) * 150
  + MIN(12, _xlfn.XLOOKUP(B152,'Base stats'!B:B,'Base stats'!W:W))^(1/IF(_xlfn.XLOOKUP(_xlfn.XLOOKUP(B152,'Base stats'!B:B,'Base stats'!E:E),Groups!A:A,Groups!U:U)=1,100,10)) + 0.5 + _xlfn.XLOOKUP(B152,'Base stats'!B:B,'Base stats'!BW:BW),
0.05))</f>
        <v>No</v>
      </c>
      <c r="O152" s="3">
        <f>IF(Animals!AD152="No","No",
MAX(MROUND((MIN(10,_xlfn.XLOOKUP(B152,'Base stats'!B:B,'Base stats'!V:V)*IF(_xlfn.XLOOKUP(_xlfn.XLOOKUP(B152,'Base stats'!B:B,'Base stats'!E:E),Groups!A:A,Groups!O:O)=0,1,0.33))^0.4*_xlfn.XLOOKUP(B152,'Base stats'!B:B,'Base stats'!BJ:BJ)^0.73)^0.6 *_xlfn.XLOOKUP(B152,'Base stats'!B:B,'Base stats'!BX:BX),0.1),0.05)
)</f>
        <v>4.2</v>
      </c>
      <c r="P152" s="11">
        <f>IF(O152="No","No",
MROUND(_xlfn.XLOOKUP(B152,'Base stats'!B:B,'Base stats'!BJ:BJ) * 0.01 * 2 + 0.05, 0.05)
)</f>
        <v>0.5</v>
      </c>
      <c r="Q152" s="5">
        <f>IF(O152="No","No",
MROUND(_xlfn.XLOOKUP(B152,'Base stats'!B:B,'Base stats'!BV:BV)/10000+0.01,0.01)
)</f>
        <v>0.09</v>
      </c>
      <c r="R152" s="4">
        <f>IF(O152="No","No",
MROUND(_xlfn.XLOOKUP(B152,'Base stats'!B:B,'Base stats'!BB:BB)^0.25
/((_xlfn.XLOOKUP(B152,'Base stats'!B:B,'Base stats'!BN:BN))*10)*_xlfn.XLOOKUP(_xlfn.XLOOKUP(B152,'Base stats'!B:B,'Base stats'!E:E),Groups!A:A,Groups!Z:Z)*150 + 0.5 + _xlfn.XLOOKUP(B152,'Base stats'!B:B,'Base stats'!BW:BW),
0.05))</f>
        <v>1.7000000000000002</v>
      </c>
      <c r="S152" s="3">
        <f>IF(Animals!AI152="No","No",
IF(_xlfn.XLOOKUP(B152,'Base stats'!B:B,'Base stats'!U:U)="No",
MAX(MROUND(_xlfn.XLOOKUP(B152,'Base stats'!B:B,'Base stats'!BT:BT) * _xlfn.XLOOKUP(B152,'Base stats'!B:B,'Base stats'!BP:BP)^0.9 / 21 * _xlfn.XLOOKUP(B152,'Base stats'!B:B,'Base stats'!BX:BX),0.1),0.05),
MAX(MROUND(((MIN(12,_xlfn.XLOOKUP(B152,'Base stats'!B:B,'Base stats'!U:U)))^0.4*_xlfn.XLOOKUP(B152,'Base stats'!B:B,'Base stats'!BH:BH)^0.73)^0.6 * _xlfn.XLOOKUP(B152,'Base stats'!B:B,'Base stats'!BX:BX),0.1),0.05)
))</f>
        <v>3.2</v>
      </c>
      <c r="T152" s="11">
        <f>IF(S152="No","No",
MROUND(_xlfn.XLOOKUP(B152,'Base stats'!B:B,'Base stats'!BH:BH) * 0.01 * 2 + 0.05, 0.05)
)</f>
        <v>0.30000000000000004</v>
      </c>
      <c r="U152" s="5">
        <f>IF(S152="No","No",IF(_xlfn.XLOOKUP(B152,'Base stats'!B:B,'Base stats'!U:U)="No","No",
MROUND(_xlfn.XLOOKUP(B152,'Base stats'!B:B,'Base stats'!BT:BT)/10000+0.01,0.01)
))</f>
        <v>0.05</v>
      </c>
      <c r="V152" s="4">
        <f>IF(S152="No","No",
MROUND(_xlfn.XLOOKUP(B152,'Base stats'!B:B,'Base stats'!BF:BF)^0.25
/((_xlfn.XLOOKUP(B152,'Base stats'!B:B,'Base stats'!BO:BO))*10)*_xlfn.XLOOKUP(_xlfn.XLOOKUP(B152,'Base stats'!B:B,'Base stats'!E:E),Groups!A:A,Groups!AE:AE)*150 + 0.5 + _xlfn.XLOOKUP(B152,'Base stats'!B:B,'Base stats'!BW:BW),
0.05))</f>
        <v>1.1000000000000001</v>
      </c>
      <c r="W152" s="8">
        <f>MROUND(_xlfn.XLOOKUP(_xlfn.XLOOKUP(B152,'Base stats'!B:B,'Base stats'!E:E),Groups!A:A,Groups!BG:BG)*_xlfn.XLOOKUP(B152,'Base stats'!B:B,'Base stats'!C:C)^-0.165,0.05)</f>
        <v>0.95000000000000007</v>
      </c>
      <c r="X152" s="1">
        <f>MROUND(_xlfn.XLOOKUP(_xlfn.XLOOKUP(B152,'Base stats'!B:B,'Base stats'!E:E),Groups!A:A,Groups!BH:BH)*_xlfn.XLOOKUP(B152,'Base stats'!B:B,'Base stats'!C:C)^0.165,0.05)</f>
        <v>0.35000000000000003</v>
      </c>
      <c r="Y152" s="8">
        <f>MROUND(_xlfn.XLOOKUP(_xlfn.XLOOKUP(B152,'Base stats'!B:B,'Base stats'!E:E),Groups!A:A,Groups!BI:BI)*_xlfn.XLOOKUP(B152,'Base stats'!B:B,'Base stats'!C:C)^0.165,0.05)</f>
        <v>0.05</v>
      </c>
      <c r="Z152" s="18">
        <f>MROUND(_xlfn.XLOOKUP(B152,'Base stats'!B:B,'Base stats'!AQ:AQ)*_xlfn.XLOOKUP(_xlfn.XLOOKUP(B152,'Base stats'!B:B,'Base stats'!E:E),Groups!A:A,Groups!H:H)/1000,IF((_xlfn.XLOOKUP(B152,'Base stats'!B:B,'Base stats'!AQ:AQ)*_xlfn.XLOOKUP(_xlfn.XLOOKUP(B152,'Base stats'!B:B,'Base stats'!E:E),Groups!A:A,Groups!H:H)/1000)&gt;1,0.05,0.01))</f>
        <v>0.04</v>
      </c>
      <c r="AA152" s="18">
        <f>MROUND((1/2)*(_xlfn.XLOOKUP(_xlfn.XLOOKUP(B152,'Base stats'!B:B,'Base stats'!E:E),Groups!A:A,Groups!H:H)*_xlfn.XLOOKUP(_xlfn.XLOOKUP(B152,'Base stats'!B:B,'Base stats'!E:E),Groups!A:A,Groups!I:I))*_xlfn.XLOOKUP(B152,'Base stats'!B:B,'Base stats'!AQ:AQ)*0.01,0.05)</f>
        <v>0.15000000000000002</v>
      </c>
      <c r="AB152" s="18">
        <f>MROUND(250*(Animals!AO152+Animals!AP152),25)</f>
        <v>175</v>
      </c>
      <c r="AC152" s="18" t="str">
        <f>_xlfn.XLOOKUP(_xlfn.XLOOKUP(B152,'Base stats'!B:B,'Base stats'!E:E),Groups!A:A,Groups!BJ:BJ)</f>
        <v>Quadruped</v>
      </c>
    </row>
    <row r="153" spans="1:29" ht="16.5" thickTop="1" thickBot="1" x14ac:dyDescent="0.3">
      <c r="A153" s="16" t="str">
        <f>Animals!A153</f>
        <v>Maine Coon cat</v>
      </c>
      <c r="B153" s="6" t="str">
        <f>Animals!B153</f>
        <v>Felis catus (Maine Coon)</v>
      </c>
      <c r="C153" s="1" t="str">
        <f>Animals!C153</f>
        <v>&lt;li&gt;AEXP_CatMaineCoon&lt;/li&gt;</v>
      </c>
      <c r="D153" s="47">
        <f>MIN(MIN(6,_xlfn.XLOOKUP(A153,Animals!A:A,Animals!AO:AO))*20,MAX(MROUND(_xlfn.XLOOKUP(B153,'Base stats'!B:B,'Base stats'!BS:BS) * (_xlfn.XLOOKUP(B153,'Base stats'!B:B,'Base stats'!AO:AO)*5%)^0.9 / 21,0.1),0.05))</f>
        <v>0.30000000000000004</v>
      </c>
      <c r="E153" s="11">
        <f>MROUND(_xlfn.XLOOKUP(B153,'Base stats'!B:B,'Base stats'!BG:BG) * 0.01 * 2 + 0.01, 0.05)</f>
        <v>0.25</v>
      </c>
      <c r="F153" s="7">
        <f>MROUND(_xlfn.XLOOKUP(B153,'Base stats'!B:B,'Base stats'!BD:BD)^0.25 / (_xlfn.XLOOKUP(B153,'Base stats'!B:B,'Base stats'!BK:BK) * 10) * 150 + 0.5 + _xlfn.XLOOKUP(B153,'Base stats'!B:B,'Base stats'!BW:BW), 0.05)</f>
        <v>1.5</v>
      </c>
      <c r="G153" s="3" t="str">
        <f>IF(Animals!S153="No","No",
IF(_xlfn.XLOOKUP(B153,'Base stats'!B:B,'Base stats'!U:U)="No",
MAX(MROUND(_xlfn.XLOOKUP(B153,'Base stats'!B:B,'Base stats'!BT:BT) * _xlfn.XLOOKUP(B153,'Base stats'!B:B,'Base stats'!BP:BP)^0.9 / 21 * _xlfn.XLOOKUP(B153,'Base stats'!B:B,'Base stats'!BX:BX),0.1),0.05),
MAX(MROUND(((MIN(10,_xlfn.XLOOKUP(B153,'Base stats'!B:B,'Base stats'!U:U)))^0.4*_xlfn.XLOOKUP(B153,'Base stats'!B:B,'Base stats'!BH:BH)^0.73)^0.6 * _xlfn.XLOOKUP(B153,'Base stats'!B:B,'Base stats'!BX:BX),0.1),0.05)
))</f>
        <v>No</v>
      </c>
      <c r="H153" s="11" t="str">
        <f>IF(G153="No","No",
MROUND(_xlfn.XLOOKUP(B153,'Base stats'!B:B,'Base stats'!BH:BH) * 0.01 * 2 + 0.05, 0.05)
)</f>
        <v>No</v>
      </c>
      <c r="I153" s="11" t="str">
        <f>IF(G153="No","No",IF(_xlfn.XLOOKUP(B153,'Base stats'!B:B,'Base stats'!U:U)="No","No",
MROUND(_xlfn.XLOOKUP(B153,'Base stats'!B:B,'Base stats'!BT:BT)/10000+0.01,0.01)
))</f>
        <v>No</v>
      </c>
      <c r="J153" s="4" t="str">
        <f>IF(G153="No","No",
MROUND(_xlfn.XLOOKUP(B153,'Base stats'!B:B,'Base stats'!BE:BE)^0.25
/((_xlfn.XLOOKUP(B153,'Base stats'!B:B,'Base stats'!BL:BL))*10)*_xlfn.XLOOKUP(_xlfn.XLOOKUP(B153,'Base stats'!B:B,'Base stats'!E:E),Groups!A:A,Groups!Q:Q)*150 + 0.5 + _xlfn.XLOOKUP(B153,'Base stats'!B:B,'Base stats'!BW:BW),
0.05))</f>
        <v>No</v>
      </c>
      <c r="K153" s="3" t="str">
        <f>IF(Animals!X153="No","No",
IF(_xlfn.XLOOKUP(_xlfn.XLOOKUP(B153,'Base stats'!B:B,'Base stats'!E:E),Groups!A:A,Groups!BD:BD)=1,
MAX(MROUND(_xlfn.XLOOKUP(B153,'Base stats'!B:B,'Base stats'!BU:BU) * _xlfn.XLOOKUP(B153,'Base stats'!B:B,'Base stats'!BQ:BQ)^0.9 / 21 *_xlfn.XLOOKUP(B153,'Base stats'!B:B,'Base stats'!BX:BX),0.1),0.05),
MAX(MROUND(((MIN(10,_xlfn.XLOOKUP(B153,'Base stats'!B:B,'Base stats'!W:W)))^0.4*_xlfn.XLOOKUP(B153,'Base stats'!B:B,'Base stats'!BI:BI)^0.73)^0.6 *_xlfn.XLOOKUP(B153,'Base stats'!B:B,'Base stats'!BX:BX),0.1),0.05)
))</f>
        <v>No</v>
      </c>
      <c r="L153" s="11" t="str">
        <f>IF(K153="No","No",
MROUND(_xlfn.XLOOKUP(B153,'Base stats'!B:B,'Base stats'!BI:BI) * 0.01 *2 + 0.05, 0.05)
)</f>
        <v>No</v>
      </c>
      <c r="M153" s="5" t="str">
        <f>IF(K153="No","No",IF(_xlfn.XLOOKUP(_xlfn.XLOOKUP(B153,'Base stats'!B:B,'Base stats'!E:E),Groups!A:A,Groups!BD:BD)=1,"No",
MROUND(_xlfn.XLOOKUP(B153,'Base stats'!B:B,'Base stats'!BU:BU)/10000+0.01,0.01)
))</f>
        <v>No</v>
      </c>
      <c r="N153" s="4" t="str">
        <f>IF(K153="No","No",
MROUND(
  _xlfn.XLOOKUP(B153,'Base stats'!B:B,'Base stats'!BC:BC)^0.25
  / (_xlfn.XLOOKUP(B153,'Base stats'!B:B,'Base stats'!BM:BM) * 10)
  * _xlfn.XLOOKUP(
      _xlfn.XLOOKUP(B153,'Base stats'!B:B,'Base stats'!E:E),
      Groups!A:A,
      Groups!V:V
    ) * 150
  + MIN(12, _xlfn.XLOOKUP(B153,'Base stats'!B:B,'Base stats'!W:W))^(1/IF(_xlfn.XLOOKUP(_xlfn.XLOOKUP(B153,'Base stats'!B:B,'Base stats'!E:E),Groups!A:A,Groups!U:U)=1,100,10)) + 0.5 + _xlfn.XLOOKUP(B153,'Base stats'!B:B,'Base stats'!BW:BW),
0.05))</f>
        <v>No</v>
      </c>
      <c r="O153" s="3">
        <f>IF(Animals!AD153="No","No",
MAX(MROUND((MIN(10,_xlfn.XLOOKUP(B153,'Base stats'!B:B,'Base stats'!V:V)*IF(_xlfn.XLOOKUP(_xlfn.XLOOKUP(B153,'Base stats'!B:B,'Base stats'!E:E),Groups!A:A,Groups!O:O)=0,1,0.33))^0.4*_xlfn.XLOOKUP(B153,'Base stats'!B:B,'Base stats'!BJ:BJ)^0.73)^0.6 *_xlfn.XLOOKUP(B153,'Base stats'!B:B,'Base stats'!BX:BX),0.1),0.05)
)</f>
        <v>5</v>
      </c>
      <c r="P153" s="11">
        <f>IF(O153="No","No",
MROUND(_xlfn.XLOOKUP(B153,'Base stats'!B:B,'Base stats'!BJ:BJ) * 0.01 * 2 + 0.05, 0.05)
)</f>
        <v>0.70000000000000007</v>
      </c>
      <c r="Q153" s="5">
        <f>IF(O153="No","No",
MROUND(_xlfn.XLOOKUP(B153,'Base stats'!B:B,'Base stats'!BV:BV)/10000+0.01,0.01)
)</f>
        <v>0.11</v>
      </c>
      <c r="R153" s="4">
        <f>IF(O153="No","No",
MROUND(_xlfn.XLOOKUP(B153,'Base stats'!B:B,'Base stats'!BB:BB)^0.25
/((_xlfn.XLOOKUP(B153,'Base stats'!B:B,'Base stats'!BN:BN))*10)*_xlfn.XLOOKUP(_xlfn.XLOOKUP(B153,'Base stats'!B:B,'Base stats'!E:E),Groups!A:A,Groups!Z:Z)*150 + 0.5 + _xlfn.XLOOKUP(B153,'Base stats'!B:B,'Base stats'!BW:BW),
0.05))</f>
        <v>1.75</v>
      </c>
      <c r="S153" s="3">
        <f>IF(Animals!AI153="No","No",
IF(_xlfn.XLOOKUP(B153,'Base stats'!B:B,'Base stats'!U:U)="No",
MAX(MROUND(_xlfn.XLOOKUP(B153,'Base stats'!B:B,'Base stats'!BT:BT) * _xlfn.XLOOKUP(B153,'Base stats'!B:B,'Base stats'!BP:BP)^0.9 / 21 * _xlfn.XLOOKUP(B153,'Base stats'!B:B,'Base stats'!BX:BX),0.1),0.05),
MAX(MROUND(((MIN(12,_xlfn.XLOOKUP(B153,'Base stats'!B:B,'Base stats'!U:U)))^0.4*_xlfn.XLOOKUP(B153,'Base stats'!B:B,'Base stats'!BH:BH)^0.73)^0.6 * _xlfn.XLOOKUP(B153,'Base stats'!B:B,'Base stats'!BX:BX),0.1),0.05)
))</f>
        <v>3.9000000000000004</v>
      </c>
      <c r="T153" s="11">
        <f>IF(S153="No","No",
MROUND(_xlfn.XLOOKUP(B153,'Base stats'!B:B,'Base stats'!BH:BH) * 0.01 * 2 + 0.05, 0.05)
)</f>
        <v>0.4</v>
      </c>
      <c r="U153" s="5">
        <f>IF(S153="No","No",IF(_xlfn.XLOOKUP(B153,'Base stats'!B:B,'Base stats'!U:U)="No","No",
MROUND(_xlfn.XLOOKUP(B153,'Base stats'!B:B,'Base stats'!BT:BT)/10000+0.01,0.01)
))</f>
        <v>0.06</v>
      </c>
      <c r="V153" s="4">
        <f>IF(S153="No","No",
MROUND(_xlfn.XLOOKUP(B153,'Base stats'!B:B,'Base stats'!BF:BF)^0.25
/((_xlfn.XLOOKUP(B153,'Base stats'!B:B,'Base stats'!BO:BO))*10)*_xlfn.XLOOKUP(_xlfn.XLOOKUP(B153,'Base stats'!B:B,'Base stats'!E:E),Groups!A:A,Groups!AE:AE)*150 + 0.5 + _xlfn.XLOOKUP(B153,'Base stats'!B:B,'Base stats'!BW:BW),
0.05))</f>
        <v>1.1500000000000001</v>
      </c>
      <c r="W153" s="8">
        <f>MROUND(_xlfn.XLOOKUP(_xlfn.XLOOKUP(B153,'Base stats'!B:B,'Base stats'!E:E),Groups!A:A,Groups!BG:BG)*_xlfn.XLOOKUP(B153,'Base stats'!B:B,'Base stats'!C:C)^-0.165,0.05)</f>
        <v>0.9</v>
      </c>
      <c r="X153" s="1">
        <f>MROUND(_xlfn.XLOOKUP(_xlfn.XLOOKUP(B153,'Base stats'!B:B,'Base stats'!E:E),Groups!A:A,Groups!BH:BH)*_xlfn.XLOOKUP(B153,'Base stats'!B:B,'Base stats'!C:C)^0.165,0.05)</f>
        <v>0.35000000000000003</v>
      </c>
      <c r="Y153" s="8">
        <f>MROUND(_xlfn.XLOOKUP(_xlfn.XLOOKUP(B153,'Base stats'!B:B,'Base stats'!E:E),Groups!A:A,Groups!BI:BI)*_xlfn.XLOOKUP(B153,'Base stats'!B:B,'Base stats'!C:C)^0.165,0.05)</f>
        <v>0.05</v>
      </c>
      <c r="Z153" s="18">
        <f>MROUND(_xlfn.XLOOKUP(B153,'Base stats'!B:B,'Base stats'!AQ:AQ)*_xlfn.XLOOKUP(_xlfn.XLOOKUP(B153,'Base stats'!B:B,'Base stats'!E:E),Groups!A:A,Groups!H:H)/1000,IF((_xlfn.XLOOKUP(B153,'Base stats'!B:B,'Base stats'!AQ:AQ)*_xlfn.XLOOKUP(_xlfn.XLOOKUP(B153,'Base stats'!B:B,'Base stats'!E:E),Groups!A:A,Groups!H:H)/1000)&gt;1,0.05,0.01))</f>
        <v>0.04</v>
      </c>
      <c r="AA153" s="18">
        <f>MROUND((1/2)*(_xlfn.XLOOKUP(_xlfn.XLOOKUP(B153,'Base stats'!B:B,'Base stats'!E:E),Groups!A:A,Groups!H:H)*_xlfn.XLOOKUP(_xlfn.XLOOKUP(B153,'Base stats'!B:B,'Base stats'!E:E),Groups!A:A,Groups!I:I))*_xlfn.XLOOKUP(B153,'Base stats'!B:B,'Base stats'!AQ:AQ)*0.01,0.05)</f>
        <v>0.2</v>
      </c>
      <c r="AB153" s="18">
        <f>MROUND(250*(Animals!AO153+Animals!AP153),25)</f>
        <v>200</v>
      </c>
      <c r="AC153" s="18" t="str">
        <f>_xlfn.XLOOKUP(_xlfn.XLOOKUP(B153,'Base stats'!B:B,'Base stats'!E:E),Groups!A:A,Groups!BJ:BJ)</f>
        <v>Quadruped</v>
      </c>
    </row>
    <row r="154" spans="1:29" ht="16.5" thickTop="1" thickBot="1" x14ac:dyDescent="0.3">
      <c r="A154" s="16" t="str">
        <f>Animals!A154</f>
        <v>Munchkin cat</v>
      </c>
      <c r="B154" s="6" t="str">
        <f>Animals!B154</f>
        <v>Felis catus (Munchkin)</v>
      </c>
      <c r="C154" s="1" t="str">
        <f>Animals!C154</f>
        <v>&lt;li&gt;AEXP_CatMunchkin&lt;/li&gt;</v>
      </c>
      <c r="D154" s="47">
        <f>MIN(MIN(6,_xlfn.XLOOKUP(A154,Animals!A:A,Animals!AO:AO))*20,MAX(MROUND(_xlfn.XLOOKUP(B154,'Base stats'!B:B,'Base stats'!BS:BS) * (_xlfn.XLOOKUP(B154,'Base stats'!B:B,'Base stats'!AO:AO)*5%)^0.9 / 21,0.1),0.05))</f>
        <v>0.2</v>
      </c>
      <c r="E154" s="11">
        <f>MROUND(_xlfn.XLOOKUP(B154,'Base stats'!B:B,'Base stats'!BG:BG) * 0.01 * 2 + 0.01, 0.05)</f>
        <v>0.15000000000000002</v>
      </c>
      <c r="F154" s="7">
        <f>MROUND(_xlfn.XLOOKUP(B154,'Base stats'!B:B,'Base stats'!BD:BD)^0.25 / (_xlfn.XLOOKUP(B154,'Base stats'!B:B,'Base stats'!BK:BK) * 10) * 150 + 0.5 + _xlfn.XLOOKUP(B154,'Base stats'!B:B,'Base stats'!BW:BW), 0.05)</f>
        <v>1.35</v>
      </c>
      <c r="G154" s="3" t="str">
        <f>IF(Animals!S154="No","No",
IF(_xlfn.XLOOKUP(B154,'Base stats'!B:B,'Base stats'!U:U)="No",
MAX(MROUND(_xlfn.XLOOKUP(B154,'Base stats'!B:B,'Base stats'!BT:BT) * _xlfn.XLOOKUP(B154,'Base stats'!B:B,'Base stats'!BP:BP)^0.9 / 21 * _xlfn.XLOOKUP(B154,'Base stats'!B:B,'Base stats'!BX:BX),0.1),0.05),
MAX(MROUND(((MIN(10,_xlfn.XLOOKUP(B154,'Base stats'!B:B,'Base stats'!U:U)))^0.4*_xlfn.XLOOKUP(B154,'Base stats'!B:B,'Base stats'!BH:BH)^0.73)^0.6 * _xlfn.XLOOKUP(B154,'Base stats'!B:B,'Base stats'!BX:BX),0.1),0.05)
))</f>
        <v>No</v>
      </c>
      <c r="H154" s="11" t="str">
        <f>IF(G154="No","No",
MROUND(_xlfn.XLOOKUP(B154,'Base stats'!B:B,'Base stats'!BH:BH) * 0.01 * 2 + 0.05, 0.05)
)</f>
        <v>No</v>
      </c>
      <c r="I154" s="11" t="str">
        <f>IF(G154="No","No",IF(_xlfn.XLOOKUP(B154,'Base stats'!B:B,'Base stats'!U:U)="No","No",
MROUND(_xlfn.XLOOKUP(B154,'Base stats'!B:B,'Base stats'!BT:BT)/10000+0.01,0.01)
))</f>
        <v>No</v>
      </c>
      <c r="J154" s="4" t="str">
        <f>IF(G154="No","No",
MROUND(_xlfn.XLOOKUP(B154,'Base stats'!B:B,'Base stats'!BE:BE)^0.25
/((_xlfn.XLOOKUP(B154,'Base stats'!B:B,'Base stats'!BL:BL))*10)*_xlfn.XLOOKUP(_xlfn.XLOOKUP(B154,'Base stats'!B:B,'Base stats'!E:E),Groups!A:A,Groups!Q:Q)*150 + 0.5 + _xlfn.XLOOKUP(B154,'Base stats'!B:B,'Base stats'!BW:BW),
0.05))</f>
        <v>No</v>
      </c>
      <c r="K154" s="3" t="str">
        <f>IF(Animals!X154="No","No",
IF(_xlfn.XLOOKUP(_xlfn.XLOOKUP(B154,'Base stats'!B:B,'Base stats'!E:E),Groups!A:A,Groups!BD:BD)=1,
MAX(MROUND(_xlfn.XLOOKUP(B154,'Base stats'!B:B,'Base stats'!BU:BU) * _xlfn.XLOOKUP(B154,'Base stats'!B:B,'Base stats'!BQ:BQ)^0.9 / 21 *_xlfn.XLOOKUP(B154,'Base stats'!B:B,'Base stats'!BX:BX),0.1),0.05),
MAX(MROUND(((MIN(10,_xlfn.XLOOKUP(B154,'Base stats'!B:B,'Base stats'!W:W)))^0.4*_xlfn.XLOOKUP(B154,'Base stats'!B:B,'Base stats'!BI:BI)^0.73)^0.6 *_xlfn.XLOOKUP(B154,'Base stats'!B:B,'Base stats'!BX:BX),0.1),0.05)
))</f>
        <v>No</v>
      </c>
      <c r="L154" s="11" t="str">
        <f>IF(K154="No","No",
MROUND(_xlfn.XLOOKUP(B154,'Base stats'!B:B,'Base stats'!BI:BI) * 0.01 *2 + 0.05, 0.05)
)</f>
        <v>No</v>
      </c>
      <c r="M154" s="5" t="str">
        <f>IF(K154="No","No",IF(_xlfn.XLOOKUP(_xlfn.XLOOKUP(B154,'Base stats'!B:B,'Base stats'!E:E),Groups!A:A,Groups!BD:BD)=1,"No",
MROUND(_xlfn.XLOOKUP(B154,'Base stats'!B:B,'Base stats'!BU:BU)/10000+0.01,0.01)
))</f>
        <v>No</v>
      </c>
      <c r="N154" s="4" t="str">
        <f>IF(K154="No","No",
MROUND(
  _xlfn.XLOOKUP(B154,'Base stats'!B:B,'Base stats'!BC:BC)^0.25
  / (_xlfn.XLOOKUP(B154,'Base stats'!B:B,'Base stats'!BM:BM) * 10)
  * _xlfn.XLOOKUP(
      _xlfn.XLOOKUP(B154,'Base stats'!B:B,'Base stats'!E:E),
      Groups!A:A,
      Groups!V:V
    ) * 150
  + MIN(12, _xlfn.XLOOKUP(B154,'Base stats'!B:B,'Base stats'!W:W))^(1/IF(_xlfn.XLOOKUP(_xlfn.XLOOKUP(B154,'Base stats'!B:B,'Base stats'!E:E),Groups!A:A,Groups!U:U)=1,100,10)) + 0.5 + _xlfn.XLOOKUP(B154,'Base stats'!B:B,'Base stats'!BW:BW),
0.05))</f>
        <v>No</v>
      </c>
      <c r="O154" s="3">
        <f>IF(Animals!AD154="No","No",
MAX(MROUND((MIN(10,_xlfn.XLOOKUP(B154,'Base stats'!B:B,'Base stats'!V:V)*IF(_xlfn.XLOOKUP(_xlfn.XLOOKUP(B154,'Base stats'!B:B,'Base stats'!E:E),Groups!A:A,Groups!O:O)=0,1,0.33))^0.4*_xlfn.XLOOKUP(B154,'Base stats'!B:B,'Base stats'!BJ:BJ)^0.73)^0.6 *_xlfn.XLOOKUP(B154,'Base stats'!B:B,'Base stats'!BX:BX),0.1),0.05)
)</f>
        <v>3.5</v>
      </c>
      <c r="P154" s="11">
        <f>IF(O154="No","No",
MROUND(_xlfn.XLOOKUP(B154,'Base stats'!B:B,'Base stats'!BJ:BJ) * 0.01 * 2 + 0.05, 0.05)
)</f>
        <v>0.4</v>
      </c>
      <c r="Q154" s="5">
        <f>IF(O154="No","No",
MROUND(_xlfn.XLOOKUP(B154,'Base stats'!B:B,'Base stats'!BV:BV)/10000+0.01,0.01)
)</f>
        <v>0.08</v>
      </c>
      <c r="R154" s="4">
        <f>IF(O154="No","No",
MROUND(_xlfn.XLOOKUP(B154,'Base stats'!B:B,'Base stats'!BB:BB)^0.25
/((_xlfn.XLOOKUP(B154,'Base stats'!B:B,'Base stats'!BN:BN))*10)*_xlfn.XLOOKUP(_xlfn.XLOOKUP(B154,'Base stats'!B:B,'Base stats'!E:E),Groups!A:A,Groups!Z:Z)*150 + 0.5 + _xlfn.XLOOKUP(B154,'Base stats'!B:B,'Base stats'!BW:BW),
0.05))</f>
        <v>1.6</v>
      </c>
      <c r="S154" s="3">
        <f>IF(Animals!AI154="No","No",
IF(_xlfn.XLOOKUP(B154,'Base stats'!B:B,'Base stats'!U:U)="No",
MAX(MROUND(_xlfn.XLOOKUP(B154,'Base stats'!B:B,'Base stats'!BT:BT) * _xlfn.XLOOKUP(B154,'Base stats'!B:B,'Base stats'!BP:BP)^0.9 / 21 * _xlfn.XLOOKUP(B154,'Base stats'!B:B,'Base stats'!BX:BX),0.1),0.05),
MAX(MROUND(((MIN(12,_xlfn.XLOOKUP(B154,'Base stats'!B:B,'Base stats'!U:U)))^0.4*_xlfn.XLOOKUP(B154,'Base stats'!B:B,'Base stats'!BH:BH)^0.73)^0.6 * _xlfn.XLOOKUP(B154,'Base stats'!B:B,'Base stats'!BX:BX),0.1),0.05)
))</f>
        <v>2.7</v>
      </c>
      <c r="T154" s="11">
        <f>IF(S154="No","No",
MROUND(_xlfn.XLOOKUP(B154,'Base stats'!B:B,'Base stats'!BH:BH) * 0.01 * 2 + 0.05, 0.05)
)</f>
        <v>0.25</v>
      </c>
      <c r="U154" s="5">
        <f>IF(S154="No","No",IF(_xlfn.XLOOKUP(B154,'Base stats'!B:B,'Base stats'!U:U)="No","No",
MROUND(_xlfn.XLOOKUP(B154,'Base stats'!B:B,'Base stats'!BT:BT)/10000+0.01,0.01)
))</f>
        <v>0.05</v>
      </c>
      <c r="V154" s="4">
        <f>IF(S154="No","No",
MROUND(_xlfn.XLOOKUP(B154,'Base stats'!B:B,'Base stats'!BF:BF)^0.25
/((_xlfn.XLOOKUP(B154,'Base stats'!B:B,'Base stats'!BO:BO))*10)*_xlfn.XLOOKUP(_xlfn.XLOOKUP(B154,'Base stats'!B:B,'Base stats'!E:E),Groups!A:A,Groups!AE:AE)*150 + 0.5 + _xlfn.XLOOKUP(B154,'Base stats'!B:B,'Base stats'!BW:BW),
0.05))</f>
        <v>1.1000000000000001</v>
      </c>
      <c r="W154" s="8">
        <f>MROUND(_xlfn.XLOOKUP(_xlfn.XLOOKUP(B154,'Base stats'!B:B,'Base stats'!E:E),Groups!A:A,Groups!BG:BG)*_xlfn.XLOOKUP(B154,'Base stats'!B:B,'Base stats'!C:C)^-0.165,0.05)</f>
        <v>1</v>
      </c>
      <c r="X154" s="1">
        <f>MROUND(_xlfn.XLOOKUP(_xlfn.XLOOKUP(B154,'Base stats'!B:B,'Base stats'!E:E),Groups!A:A,Groups!BH:BH)*_xlfn.XLOOKUP(B154,'Base stats'!B:B,'Base stats'!C:C)^0.165,0.05)</f>
        <v>0.30000000000000004</v>
      </c>
      <c r="Y154" s="8">
        <f>MROUND(_xlfn.XLOOKUP(_xlfn.XLOOKUP(B154,'Base stats'!B:B,'Base stats'!E:E),Groups!A:A,Groups!BI:BI)*_xlfn.XLOOKUP(B154,'Base stats'!B:B,'Base stats'!C:C)^0.165,0.05)</f>
        <v>0.05</v>
      </c>
      <c r="Z154" s="18">
        <f>MROUND(_xlfn.XLOOKUP(B154,'Base stats'!B:B,'Base stats'!AQ:AQ)*_xlfn.XLOOKUP(_xlfn.XLOOKUP(B154,'Base stats'!B:B,'Base stats'!E:E),Groups!A:A,Groups!H:H)/1000,IF((_xlfn.XLOOKUP(B154,'Base stats'!B:B,'Base stats'!AQ:AQ)*_xlfn.XLOOKUP(_xlfn.XLOOKUP(B154,'Base stats'!B:B,'Base stats'!E:E),Groups!A:A,Groups!H:H)/1000)&gt;1,0.05,0.01))</f>
        <v>0.03</v>
      </c>
      <c r="AA154" s="18">
        <f>MROUND((1/2)*(_xlfn.XLOOKUP(_xlfn.XLOOKUP(B154,'Base stats'!B:B,'Base stats'!E:E),Groups!A:A,Groups!H:H)*_xlfn.XLOOKUP(_xlfn.XLOOKUP(B154,'Base stats'!B:B,'Base stats'!E:E),Groups!A:A,Groups!I:I))*_xlfn.XLOOKUP(B154,'Base stats'!B:B,'Base stats'!AQ:AQ)*0.01,0.05)</f>
        <v>0.15000000000000002</v>
      </c>
      <c r="AB154" s="18">
        <f>MROUND(250*(Animals!AO154+Animals!AP154),25)</f>
        <v>150</v>
      </c>
      <c r="AC154" s="18" t="str">
        <f>_xlfn.XLOOKUP(_xlfn.XLOOKUP(B154,'Base stats'!B:B,'Base stats'!E:E),Groups!A:A,Groups!BJ:BJ)</f>
        <v>Quadruped</v>
      </c>
    </row>
    <row r="155" spans="1:29" ht="16.5" thickTop="1" thickBot="1" x14ac:dyDescent="0.3">
      <c r="A155" s="16" t="str">
        <f>Animals!A155</f>
        <v>Norwegian Forest cat</v>
      </c>
      <c r="B155" s="6" t="str">
        <f>Animals!B155</f>
        <v>Felis catus (Norwegian Forest)</v>
      </c>
      <c r="C155" s="1" t="str">
        <f>Animals!C155</f>
        <v>&lt;li&gt;AEXP_CatNorwegianForest&lt;/li&gt;</v>
      </c>
      <c r="D155" s="47">
        <f>MIN(MIN(6,_xlfn.XLOOKUP(A155,Animals!A:A,Animals!AO:AO))*20,MAX(MROUND(_xlfn.XLOOKUP(B155,'Base stats'!B:B,'Base stats'!BS:BS) * (_xlfn.XLOOKUP(B155,'Base stats'!B:B,'Base stats'!AO:AO)*5%)^0.9 / 21,0.1),0.05))</f>
        <v>0.30000000000000004</v>
      </c>
      <c r="E155" s="11">
        <f>MROUND(_xlfn.XLOOKUP(B155,'Base stats'!B:B,'Base stats'!BG:BG) * 0.01 * 2 + 0.01, 0.05)</f>
        <v>0.2</v>
      </c>
      <c r="F155" s="7">
        <f>MROUND(_xlfn.XLOOKUP(B155,'Base stats'!B:B,'Base stats'!BD:BD)^0.25 / (_xlfn.XLOOKUP(B155,'Base stats'!B:B,'Base stats'!BK:BK) * 10) * 150 + 0.5 + _xlfn.XLOOKUP(B155,'Base stats'!B:B,'Base stats'!BW:BW), 0.05)</f>
        <v>1.5</v>
      </c>
      <c r="G155" s="3" t="str">
        <f>IF(Animals!S155="No","No",
IF(_xlfn.XLOOKUP(B155,'Base stats'!B:B,'Base stats'!U:U)="No",
MAX(MROUND(_xlfn.XLOOKUP(B155,'Base stats'!B:B,'Base stats'!BT:BT) * _xlfn.XLOOKUP(B155,'Base stats'!B:B,'Base stats'!BP:BP)^0.9 / 21 * _xlfn.XLOOKUP(B155,'Base stats'!B:B,'Base stats'!BX:BX),0.1),0.05),
MAX(MROUND(((MIN(10,_xlfn.XLOOKUP(B155,'Base stats'!B:B,'Base stats'!U:U)))^0.4*_xlfn.XLOOKUP(B155,'Base stats'!B:B,'Base stats'!BH:BH)^0.73)^0.6 * _xlfn.XLOOKUP(B155,'Base stats'!B:B,'Base stats'!BX:BX),0.1),0.05)
))</f>
        <v>No</v>
      </c>
      <c r="H155" s="11" t="str">
        <f>IF(G155="No","No",
MROUND(_xlfn.XLOOKUP(B155,'Base stats'!B:B,'Base stats'!BH:BH) * 0.01 * 2 + 0.05, 0.05)
)</f>
        <v>No</v>
      </c>
      <c r="I155" s="11" t="str">
        <f>IF(G155="No","No",IF(_xlfn.XLOOKUP(B155,'Base stats'!B:B,'Base stats'!U:U)="No","No",
MROUND(_xlfn.XLOOKUP(B155,'Base stats'!B:B,'Base stats'!BT:BT)/10000+0.01,0.01)
))</f>
        <v>No</v>
      </c>
      <c r="J155" s="4" t="str">
        <f>IF(G155="No","No",
MROUND(_xlfn.XLOOKUP(B155,'Base stats'!B:B,'Base stats'!BE:BE)^0.25
/((_xlfn.XLOOKUP(B155,'Base stats'!B:B,'Base stats'!BL:BL))*10)*_xlfn.XLOOKUP(_xlfn.XLOOKUP(B155,'Base stats'!B:B,'Base stats'!E:E),Groups!A:A,Groups!Q:Q)*150 + 0.5 + _xlfn.XLOOKUP(B155,'Base stats'!B:B,'Base stats'!BW:BW),
0.05))</f>
        <v>No</v>
      </c>
      <c r="K155" s="3" t="str">
        <f>IF(Animals!X155="No","No",
IF(_xlfn.XLOOKUP(_xlfn.XLOOKUP(B155,'Base stats'!B:B,'Base stats'!E:E),Groups!A:A,Groups!BD:BD)=1,
MAX(MROUND(_xlfn.XLOOKUP(B155,'Base stats'!B:B,'Base stats'!BU:BU) * _xlfn.XLOOKUP(B155,'Base stats'!B:B,'Base stats'!BQ:BQ)^0.9 / 21 *_xlfn.XLOOKUP(B155,'Base stats'!B:B,'Base stats'!BX:BX),0.1),0.05),
MAX(MROUND(((MIN(10,_xlfn.XLOOKUP(B155,'Base stats'!B:B,'Base stats'!W:W)))^0.4*_xlfn.XLOOKUP(B155,'Base stats'!B:B,'Base stats'!BI:BI)^0.73)^0.6 *_xlfn.XLOOKUP(B155,'Base stats'!B:B,'Base stats'!BX:BX),0.1),0.05)
))</f>
        <v>No</v>
      </c>
      <c r="L155" s="11" t="str">
        <f>IF(K155="No","No",
MROUND(_xlfn.XLOOKUP(B155,'Base stats'!B:B,'Base stats'!BI:BI) * 0.01 *2 + 0.05, 0.05)
)</f>
        <v>No</v>
      </c>
      <c r="M155" s="5" t="str">
        <f>IF(K155="No","No",IF(_xlfn.XLOOKUP(_xlfn.XLOOKUP(B155,'Base stats'!B:B,'Base stats'!E:E),Groups!A:A,Groups!BD:BD)=1,"No",
MROUND(_xlfn.XLOOKUP(B155,'Base stats'!B:B,'Base stats'!BU:BU)/10000+0.01,0.01)
))</f>
        <v>No</v>
      </c>
      <c r="N155" s="4" t="str">
        <f>IF(K155="No","No",
MROUND(
  _xlfn.XLOOKUP(B155,'Base stats'!B:B,'Base stats'!BC:BC)^0.25
  / (_xlfn.XLOOKUP(B155,'Base stats'!B:B,'Base stats'!BM:BM) * 10)
  * _xlfn.XLOOKUP(
      _xlfn.XLOOKUP(B155,'Base stats'!B:B,'Base stats'!E:E),
      Groups!A:A,
      Groups!V:V
    ) * 150
  + MIN(12, _xlfn.XLOOKUP(B155,'Base stats'!B:B,'Base stats'!W:W))^(1/IF(_xlfn.XLOOKUP(_xlfn.XLOOKUP(B155,'Base stats'!B:B,'Base stats'!E:E),Groups!A:A,Groups!U:U)=1,100,10)) + 0.5 + _xlfn.XLOOKUP(B155,'Base stats'!B:B,'Base stats'!BW:BW),
0.05))</f>
        <v>No</v>
      </c>
      <c r="O155" s="3">
        <f>IF(Animals!AD155="No","No",
MAX(MROUND((MIN(10,_xlfn.XLOOKUP(B155,'Base stats'!B:B,'Base stats'!V:V)*IF(_xlfn.XLOOKUP(_xlfn.XLOOKUP(B155,'Base stats'!B:B,'Base stats'!E:E),Groups!A:A,Groups!O:O)=0,1,0.33))^0.4*_xlfn.XLOOKUP(B155,'Base stats'!B:B,'Base stats'!BJ:BJ)^0.73)^0.6 *_xlfn.XLOOKUP(B155,'Base stats'!B:B,'Base stats'!BX:BX),0.1),0.05)
)</f>
        <v>4.6000000000000005</v>
      </c>
      <c r="P155" s="11">
        <f>IF(O155="No","No",
MROUND(_xlfn.XLOOKUP(B155,'Base stats'!B:B,'Base stats'!BJ:BJ) * 0.01 * 2 + 0.05, 0.05)
)</f>
        <v>0.60000000000000009</v>
      </c>
      <c r="Q155" s="5">
        <f>IF(O155="No","No",
MROUND(_xlfn.XLOOKUP(B155,'Base stats'!B:B,'Base stats'!BV:BV)/10000+0.01,0.01)
)</f>
        <v>0.1</v>
      </c>
      <c r="R155" s="4">
        <f>IF(O155="No","No",
MROUND(_xlfn.XLOOKUP(B155,'Base stats'!B:B,'Base stats'!BB:BB)^0.25
/((_xlfn.XLOOKUP(B155,'Base stats'!B:B,'Base stats'!BN:BN))*10)*_xlfn.XLOOKUP(_xlfn.XLOOKUP(B155,'Base stats'!B:B,'Base stats'!E:E),Groups!A:A,Groups!Z:Z)*150 + 0.5 + _xlfn.XLOOKUP(B155,'Base stats'!B:B,'Base stats'!BW:BW),
0.05))</f>
        <v>1.7000000000000002</v>
      </c>
      <c r="S155" s="3">
        <f>IF(Animals!AI155="No","No",
IF(_xlfn.XLOOKUP(B155,'Base stats'!B:B,'Base stats'!U:U)="No",
MAX(MROUND(_xlfn.XLOOKUP(B155,'Base stats'!B:B,'Base stats'!BT:BT) * _xlfn.XLOOKUP(B155,'Base stats'!B:B,'Base stats'!BP:BP)^0.9 / 21 * _xlfn.XLOOKUP(B155,'Base stats'!B:B,'Base stats'!BX:BX),0.1),0.05),
MAX(MROUND(((MIN(12,_xlfn.XLOOKUP(B155,'Base stats'!B:B,'Base stats'!U:U)))^0.4*_xlfn.XLOOKUP(B155,'Base stats'!B:B,'Base stats'!BH:BH)^0.73)^0.6 * _xlfn.XLOOKUP(B155,'Base stats'!B:B,'Base stats'!BX:BX),0.1),0.05)
))</f>
        <v>3.6</v>
      </c>
      <c r="T155" s="11">
        <f>IF(S155="No","No",
MROUND(_xlfn.XLOOKUP(B155,'Base stats'!B:B,'Base stats'!BH:BH) * 0.01 * 2 + 0.05, 0.05)
)</f>
        <v>0.35000000000000003</v>
      </c>
      <c r="U155" s="5">
        <f>IF(S155="No","No",IF(_xlfn.XLOOKUP(B155,'Base stats'!B:B,'Base stats'!U:U)="No","No",
MROUND(_xlfn.XLOOKUP(B155,'Base stats'!B:B,'Base stats'!BT:BT)/10000+0.01,0.01)
))</f>
        <v>0.06</v>
      </c>
      <c r="V155" s="4">
        <f>IF(S155="No","No",
MROUND(_xlfn.XLOOKUP(B155,'Base stats'!B:B,'Base stats'!BF:BF)^0.25
/((_xlfn.XLOOKUP(B155,'Base stats'!B:B,'Base stats'!BO:BO))*10)*_xlfn.XLOOKUP(_xlfn.XLOOKUP(B155,'Base stats'!B:B,'Base stats'!E:E),Groups!A:A,Groups!AE:AE)*150 + 0.5 + _xlfn.XLOOKUP(B155,'Base stats'!B:B,'Base stats'!BW:BW),
0.05))</f>
        <v>1.1000000000000001</v>
      </c>
      <c r="W155" s="8">
        <f>MROUND(_xlfn.XLOOKUP(_xlfn.XLOOKUP(B155,'Base stats'!B:B,'Base stats'!E:E),Groups!A:A,Groups!BG:BG)*_xlfn.XLOOKUP(B155,'Base stats'!B:B,'Base stats'!C:C)^-0.165,0.05)</f>
        <v>0.9</v>
      </c>
      <c r="X155" s="1">
        <f>MROUND(_xlfn.XLOOKUP(_xlfn.XLOOKUP(B155,'Base stats'!B:B,'Base stats'!E:E),Groups!A:A,Groups!BH:BH)*_xlfn.XLOOKUP(B155,'Base stats'!B:B,'Base stats'!C:C)^0.165,0.05)</f>
        <v>0.35000000000000003</v>
      </c>
      <c r="Y155" s="8">
        <f>MROUND(_xlfn.XLOOKUP(_xlfn.XLOOKUP(B155,'Base stats'!B:B,'Base stats'!E:E),Groups!A:A,Groups!BI:BI)*_xlfn.XLOOKUP(B155,'Base stats'!B:B,'Base stats'!C:C)^0.165,0.05)</f>
        <v>0.05</v>
      </c>
      <c r="Z155" s="18">
        <f>MROUND(_xlfn.XLOOKUP(B155,'Base stats'!B:B,'Base stats'!AQ:AQ)*_xlfn.XLOOKUP(_xlfn.XLOOKUP(B155,'Base stats'!B:B,'Base stats'!E:E),Groups!A:A,Groups!H:H)/1000,IF((_xlfn.XLOOKUP(B155,'Base stats'!B:B,'Base stats'!AQ:AQ)*_xlfn.XLOOKUP(_xlfn.XLOOKUP(B155,'Base stats'!B:B,'Base stats'!E:E),Groups!A:A,Groups!H:H)/1000)&gt;1,0.05,0.01))</f>
        <v>0.04</v>
      </c>
      <c r="AA155" s="18">
        <f>MROUND((1/2)*(_xlfn.XLOOKUP(_xlfn.XLOOKUP(B155,'Base stats'!B:B,'Base stats'!E:E),Groups!A:A,Groups!H:H)*_xlfn.XLOOKUP(_xlfn.XLOOKUP(B155,'Base stats'!B:B,'Base stats'!E:E),Groups!A:A,Groups!I:I))*_xlfn.XLOOKUP(B155,'Base stats'!B:B,'Base stats'!AQ:AQ)*0.01,0.05)</f>
        <v>0.15000000000000002</v>
      </c>
      <c r="AB155" s="18">
        <f>MROUND(250*(Animals!AO155+Animals!AP155),25)</f>
        <v>200</v>
      </c>
      <c r="AC155" s="18" t="str">
        <f>_xlfn.XLOOKUP(_xlfn.XLOOKUP(B155,'Base stats'!B:B,'Base stats'!E:E),Groups!A:A,Groups!BJ:BJ)</f>
        <v>Quadruped</v>
      </c>
    </row>
    <row r="156" spans="1:29" ht="16.5" thickTop="1" thickBot="1" x14ac:dyDescent="0.3">
      <c r="A156" s="16" t="str">
        <f>Animals!A156</f>
        <v>Persian cat</v>
      </c>
      <c r="B156" s="6" t="str">
        <f>Animals!B156</f>
        <v>Felis catus (Persian)</v>
      </c>
      <c r="C156" s="1" t="str">
        <f>Animals!C156</f>
        <v>&lt;li&gt;AEXP_CatPersian&lt;/li&gt;</v>
      </c>
      <c r="D156" s="47">
        <f>MIN(MIN(6,_xlfn.XLOOKUP(A156,Animals!A:A,Animals!AO:AO))*20,MAX(MROUND(_xlfn.XLOOKUP(B156,'Base stats'!B:B,'Base stats'!BS:BS) * (_xlfn.XLOOKUP(B156,'Base stats'!B:B,'Base stats'!AO:AO)*5%)^0.9 / 21,0.1),0.05))</f>
        <v>0.2</v>
      </c>
      <c r="E156" s="11">
        <f>MROUND(_xlfn.XLOOKUP(B156,'Base stats'!B:B,'Base stats'!BG:BG) * 0.01 * 2 + 0.01, 0.05)</f>
        <v>0.15000000000000002</v>
      </c>
      <c r="F156" s="7">
        <f>MROUND(_xlfn.XLOOKUP(B156,'Base stats'!B:B,'Base stats'!BD:BD)^0.25 / (_xlfn.XLOOKUP(B156,'Base stats'!B:B,'Base stats'!BK:BK) * 10) * 150 + 0.5 + _xlfn.XLOOKUP(B156,'Base stats'!B:B,'Base stats'!BW:BW), 0.05)</f>
        <v>1.35</v>
      </c>
      <c r="G156" s="3" t="str">
        <f>IF(Animals!S156="No","No",
IF(_xlfn.XLOOKUP(B156,'Base stats'!B:B,'Base stats'!U:U)="No",
MAX(MROUND(_xlfn.XLOOKUP(B156,'Base stats'!B:B,'Base stats'!BT:BT) * _xlfn.XLOOKUP(B156,'Base stats'!B:B,'Base stats'!BP:BP)^0.9 / 21 * _xlfn.XLOOKUP(B156,'Base stats'!B:B,'Base stats'!BX:BX),0.1),0.05),
MAX(MROUND(((MIN(10,_xlfn.XLOOKUP(B156,'Base stats'!B:B,'Base stats'!U:U)))^0.4*_xlfn.XLOOKUP(B156,'Base stats'!B:B,'Base stats'!BH:BH)^0.73)^0.6 * _xlfn.XLOOKUP(B156,'Base stats'!B:B,'Base stats'!BX:BX),0.1),0.05)
))</f>
        <v>No</v>
      </c>
      <c r="H156" s="11" t="str">
        <f>IF(G156="No","No",
MROUND(_xlfn.XLOOKUP(B156,'Base stats'!B:B,'Base stats'!BH:BH) * 0.01 * 2 + 0.05, 0.05)
)</f>
        <v>No</v>
      </c>
      <c r="I156" s="11" t="str">
        <f>IF(G156="No","No",IF(_xlfn.XLOOKUP(B156,'Base stats'!B:B,'Base stats'!U:U)="No","No",
MROUND(_xlfn.XLOOKUP(B156,'Base stats'!B:B,'Base stats'!BT:BT)/10000+0.01,0.01)
))</f>
        <v>No</v>
      </c>
      <c r="J156" s="4" t="str">
        <f>IF(G156="No","No",
MROUND(_xlfn.XLOOKUP(B156,'Base stats'!B:B,'Base stats'!BE:BE)^0.25
/((_xlfn.XLOOKUP(B156,'Base stats'!B:B,'Base stats'!BL:BL))*10)*_xlfn.XLOOKUP(_xlfn.XLOOKUP(B156,'Base stats'!B:B,'Base stats'!E:E),Groups!A:A,Groups!Q:Q)*150 + 0.5 + _xlfn.XLOOKUP(B156,'Base stats'!B:B,'Base stats'!BW:BW),
0.05))</f>
        <v>No</v>
      </c>
      <c r="K156" s="3" t="str">
        <f>IF(Animals!X156="No","No",
IF(_xlfn.XLOOKUP(_xlfn.XLOOKUP(B156,'Base stats'!B:B,'Base stats'!E:E),Groups!A:A,Groups!BD:BD)=1,
MAX(MROUND(_xlfn.XLOOKUP(B156,'Base stats'!B:B,'Base stats'!BU:BU) * _xlfn.XLOOKUP(B156,'Base stats'!B:B,'Base stats'!BQ:BQ)^0.9 / 21 *_xlfn.XLOOKUP(B156,'Base stats'!B:B,'Base stats'!BX:BX),0.1),0.05),
MAX(MROUND(((MIN(10,_xlfn.XLOOKUP(B156,'Base stats'!B:B,'Base stats'!W:W)))^0.4*_xlfn.XLOOKUP(B156,'Base stats'!B:B,'Base stats'!BI:BI)^0.73)^0.6 *_xlfn.XLOOKUP(B156,'Base stats'!B:B,'Base stats'!BX:BX),0.1),0.05)
))</f>
        <v>No</v>
      </c>
      <c r="L156" s="11" t="str">
        <f>IF(K156="No","No",
MROUND(_xlfn.XLOOKUP(B156,'Base stats'!B:B,'Base stats'!BI:BI) * 0.01 *2 + 0.05, 0.05)
)</f>
        <v>No</v>
      </c>
      <c r="M156" s="5" t="str">
        <f>IF(K156="No","No",IF(_xlfn.XLOOKUP(_xlfn.XLOOKUP(B156,'Base stats'!B:B,'Base stats'!E:E),Groups!A:A,Groups!BD:BD)=1,"No",
MROUND(_xlfn.XLOOKUP(B156,'Base stats'!B:B,'Base stats'!BU:BU)/10000+0.01,0.01)
))</f>
        <v>No</v>
      </c>
      <c r="N156" s="4" t="str">
        <f>IF(K156="No","No",
MROUND(
  _xlfn.XLOOKUP(B156,'Base stats'!B:B,'Base stats'!BC:BC)^0.25
  / (_xlfn.XLOOKUP(B156,'Base stats'!B:B,'Base stats'!BM:BM) * 10)
  * _xlfn.XLOOKUP(
      _xlfn.XLOOKUP(B156,'Base stats'!B:B,'Base stats'!E:E),
      Groups!A:A,
      Groups!V:V
    ) * 150
  + MIN(12, _xlfn.XLOOKUP(B156,'Base stats'!B:B,'Base stats'!W:W))^(1/IF(_xlfn.XLOOKUP(_xlfn.XLOOKUP(B156,'Base stats'!B:B,'Base stats'!E:E),Groups!A:A,Groups!U:U)=1,100,10)) + 0.5 + _xlfn.XLOOKUP(B156,'Base stats'!B:B,'Base stats'!BW:BW),
0.05))</f>
        <v>No</v>
      </c>
      <c r="O156" s="3">
        <f>IF(Animals!AD156="No","No",
MAX(MROUND((MIN(10,_xlfn.XLOOKUP(B156,'Base stats'!B:B,'Base stats'!V:V)*IF(_xlfn.XLOOKUP(_xlfn.XLOOKUP(B156,'Base stats'!B:B,'Base stats'!E:E),Groups!A:A,Groups!O:O)=0,1,0.33))^0.4*_xlfn.XLOOKUP(B156,'Base stats'!B:B,'Base stats'!BJ:BJ)^0.73)^0.6 *_xlfn.XLOOKUP(B156,'Base stats'!B:B,'Base stats'!BX:BX),0.1),0.05)
)</f>
        <v>3.6</v>
      </c>
      <c r="P156" s="11">
        <f>IF(O156="No","No",
MROUND(_xlfn.XLOOKUP(B156,'Base stats'!B:B,'Base stats'!BJ:BJ) * 0.01 * 2 + 0.05, 0.05)
)</f>
        <v>0.4</v>
      </c>
      <c r="Q156" s="5">
        <f>IF(O156="No","No",
MROUND(_xlfn.XLOOKUP(B156,'Base stats'!B:B,'Base stats'!BV:BV)/10000+0.01,0.01)
)</f>
        <v>0.08</v>
      </c>
      <c r="R156" s="4">
        <f>IF(O156="No","No",
MROUND(_xlfn.XLOOKUP(B156,'Base stats'!B:B,'Base stats'!BB:BB)^0.25
/((_xlfn.XLOOKUP(B156,'Base stats'!B:B,'Base stats'!BN:BN))*10)*_xlfn.XLOOKUP(_xlfn.XLOOKUP(B156,'Base stats'!B:B,'Base stats'!E:E),Groups!A:A,Groups!Z:Z)*150 + 0.5 + _xlfn.XLOOKUP(B156,'Base stats'!B:B,'Base stats'!BW:BW),
0.05))</f>
        <v>1.6</v>
      </c>
      <c r="S156" s="3">
        <f>IF(Animals!AI156="No","No",
IF(_xlfn.XLOOKUP(B156,'Base stats'!B:B,'Base stats'!U:U)="No",
MAX(MROUND(_xlfn.XLOOKUP(B156,'Base stats'!B:B,'Base stats'!BT:BT) * _xlfn.XLOOKUP(B156,'Base stats'!B:B,'Base stats'!BP:BP)^0.9 / 21 * _xlfn.XLOOKUP(B156,'Base stats'!B:B,'Base stats'!BX:BX),0.1),0.05),
MAX(MROUND(((MIN(12,_xlfn.XLOOKUP(B156,'Base stats'!B:B,'Base stats'!U:U)))^0.4*_xlfn.XLOOKUP(B156,'Base stats'!B:B,'Base stats'!BH:BH)^0.73)^0.6 * _xlfn.XLOOKUP(B156,'Base stats'!B:B,'Base stats'!BX:BX),0.1),0.05)
))</f>
        <v>2.8000000000000003</v>
      </c>
      <c r="T156" s="11">
        <f>IF(S156="No","No",
MROUND(_xlfn.XLOOKUP(B156,'Base stats'!B:B,'Base stats'!BH:BH) * 0.01 * 2 + 0.05, 0.05)
)</f>
        <v>0.25</v>
      </c>
      <c r="U156" s="5">
        <f>IF(S156="No","No",IF(_xlfn.XLOOKUP(B156,'Base stats'!B:B,'Base stats'!U:U)="No","No",
MROUND(_xlfn.XLOOKUP(B156,'Base stats'!B:B,'Base stats'!BT:BT)/10000+0.01,0.01)
))</f>
        <v>0.05</v>
      </c>
      <c r="V156" s="4">
        <f>IF(S156="No","No",
MROUND(_xlfn.XLOOKUP(B156,'Base stats'!B:B,'Base stats'!BF:BF)^0.25
/((_xlfn.XLOOKUP(B156,'Base stats'!B:B,'Base stats'!BO:BO))*10)*_xlfn.XLOOKUP(_xlfn.XLOOKUP(B156,'Base stats'!B:B,'Base stats'!E:E),Groups!A:A,Groups!AE:AE)*150 + 0.5 + _xlfn.XLOOKUP(B156,'Base stats'!B:B,'Base stats'!BW:BW),
0.05))</f>
        <v>1.1000000000000001</v>
      </c>
      <c r="W156" s="8">
        <f>MROUND(_xlfn.XLOOKUP(_xlfn.XLOOKUP(B156,'Base stats'!B:B,'Base stats'!E:E),Groups!A:A,Groups!BG:BG)*_xlfn.XLOOKUP(B156,'Base stats'!B:B,'Base stats'!C:C)^-0.165,0.05)</f>
        <v>1</v>
      </c>
      <c r="X156" s="1">
        <f>MROUND(_xlfn.XLOOKUP(_xlfn.XLOOKUP(B156,'Base stats'!B:B,'Base stats'!E:E),Groups!A:A,Groups!BH:BH)*_xlfn.XLOOKUP(B156,'Base stats'!B:B,'Base stats'!C:C)^0.165,0.05)</f>
        <v>0.30000000000000004</v>
      </c>
      <c r="Y156" s="8">
        <f>MROUND(_xlfn.XLOOKUP(_xlfn.XLOOKUP(B156,'Base stats'!B:B,'Base stats'!E:E),Groups!A:A,Groups!BI:BI)*_xlfn.XLOOKUP(B156,'Base stats'!B:B,'Base stats'!C:C)^0.165,0.05)</f>
        <v>0.05</v>
      </c>
      <c r="Z156" s="18">
        <f>MROUND(_xlfn.XLOOKUP(B156,'Base stats'!B:B,'Base stats'!AQ:AQ)*_xlfn.XLOOKUP(_xlfn.XLOOKUP(B156,'Base stats'!B:B,'Base stats'!E:E),Groups!A:A,Groups!H:H)/1000,IF((_xlfn.XLOOKUP(B156,'Base stats'!B:B,'Base stats'!AQ:AQ)*_xlfn.XLOOKUP(_xlfn.XLOOKUP(B156,'Base stats'!B:B,'Base stats'!E:E),Groups!A:A,Groups!H:H)/1000)&gt;1,0.05,0.01))</f>
        <v>0.03</v>
      </c>
      <c r="AA156" s="18">
        <f>MROUND((1/2)*(_xlfn.XLOOKUP(_xlfn.XLOOKUP(B156,'Base stats'!B:B,'Base stats'!E:E),Groups!A:A,Groups!H:H)*_xlfn.XLOOKUP(_xlfn.XLOOKUP(B156,'Base stats'!B:B,'Base stats'!E:E),Groups!A:A,Groups!I:I))*_xlfn.XLOOKUP(B156,'Base stats'!B:B,'Base stats'!AQ:AQ)*0.01,0.05)</f>
        <v>0.15000000000000002</v>
      </c>
      <c r="AB156" s="18">
        <f>MROUND(250*(Animals!AO156+Animals!AP156),25)</f>
        <v>150</v>
      </c>
      <c r="AC156" s="18" t="str">
        <f>_xlfn.XLOOKUP(_xlfn.XLOOKUP(B156,'Base stats'!B:B,'Base stats'!E:E),Groups!A:A,Groups!BJ:BJ)</f>
        <v>Quadruped</v>
      </c>
    </row>
    <row r="157" spans="1:29" ht="16.5" thickTop="1" thickBot="1" x14ac:dyDescent="0.3">
      <c r="A157" s="16" t="str">
        <f>Animals!A157</f>
        <v>Siamese cat</v>
      </c>
      <c r="B157" s="6" t="str">
        <f>Animals!B157</f>
        <v>Felis catus (Siamese)</v>
      </c>
      <c r="C157" s="1" t="str">
        <f>Animals!C157</f>
        <v>&lt;li&gt;AEXP_CatSiamese&lt;/li&gt;</v>
      </c>
      <c r="D157" s="47">
        <f>MIN(MIN(6,_xlfn.XLOOKUP(A157,Animals!A:A,Animals!AO:AO))*20,MAX(MROUND(_xlfn.XLOOKUP(B157,'Base stats'!B:B,'Base stats'!BS:BS) * (_xlfn.XLOOKUP(B157,'Base stats'!B:B,'Base stats'!AO:AO)*5%)^0.9 / 21,0.1),0.05))</f>
        <v>0.2</v>
      </c>
      <c r="E157" s="11">
        <f>MROUND(_xlfn.XLOOKUP(B157,'Base stats'!B:B,'Base stats'!BG:BG) * 0.01 * 2 + 0.01, 0.05)</f>
        <v>0.15000000000000002</v>
      </c>
      <c r="F157" s="7">
        <f>MROUND(_xlfn.XLOOKUP(B157,'Base stats'!B:B,'Base stats'!BD:BD)^0.25 / (_xlfn.XLOOKUP(B157,'Base stats'!B:B,'Base stats'!BK:BK) * 10) * 150 + 0.5 + _xlfn.XLOOKUP(B157,'Base stats'!B:B,'Base stats'!BW:BW), 0.05)</f>
        <v>1.4000000000000001</v>
      </c>
      <c r="G157" s="3" t="str">
        <f>IF(Animals!S157="No","No",
IF(_xlfn.XLOOKUP(B157,'Base stats'!B:B,'Base stats'!U:U)="No",
MAX(MROUND(_xlfn.XLOOKUP(B157,'Base stats'!B:B,'Base stats'!BT:BT) * _xlfn.XLOOKUP(B157,'Base stats'!B:B,'Base stats'!BP:BP)^0.9 / 21 * _xlfn.XLOOKUP(B157,'Base stats'!B:B,'Base stats'!BX:BX),0.1),0.05),
MAX(MROUND(((MIN(10,_xlfn.XLOOKUP(B157,'Base stats'!B:B,'Base stats'!U:U)))^0.4*_xlfn.XLOOKUP(B157,'Base stats'!B:B,'Base stats'!BH:BH)^0.73)^0.6 * _xlfn.XLOOKUP(B157,'Base stats'!B:B,'Base stats'!BX:BX),0.1),0.05)
))</f>
        <v>No</v>
      </c>
      <c r="H157" s="11" t="str">
        <f>IF(G157="No","No",
MROUND(_xlfn.XLOOKUP(B157,'Base stats'!B:B,'Base stats'!BH:BH) * 0.01 * 2 + 0.05, 0.05)
)</f>
        <v>No</v>
      </c>
      <c r="I157" s="11" t="str">
        <f>IF(G157="No","No",IF(_xlfn.XLOOKUP(B157,'Base stats'!B:B,'Base stats'!U:U)="No","No",
MROUND(_xlfn.XLOOKUP(B157,'Base stats'!B:B,'Base stats'!BT:BT)/10000+0.01,0.01)
))</f>
        <v>No</v>
      </c>
      <c r="J157" s="4" t="str">
        <f>IF(G157="No","No",
MROUND(_xlfn.XLOOKUP(B157,'Base stats'!B:B,'Base stats'!BE:BE)^0.25
/((_xlfn.XLOOKUP(B157,'Base stats'!B:B,'Base stats'!BL:BL))*10)*_xlfn.XLOOKUP(_xlfn.XLOOKUP(B157,'Base stats'!B:B,'Base stats'!E:E),Groups!A:A,Groups!Q:Q)*150 + 0.5 + _xlfn.XLOOKUP(B157,'Base stats'!B:B,'Base stats'!BW:BW),
0.05))</f>
        <v>No</v>
      </c>
      <c r="K157" s="3" t="str">
        <f>IF(Animals!X157="No","No",
IF(_xlfn.XLOOKUP(_xlfn.XLOOKUP(B157,'Base stats'!B:B,'Base stats'!E:E),Groups!A:A,Groups!BD:BD)=1,
MAX(MROUND(_xlfn.XLOOKUP(B157,'Base stats'!B:B,'Base stats'!BU:BU) * _xlfn.XLOOKUP(B157,'Base stats'!B:B,'Base stats'!BQ:BQ)^0.9 / 21 *_xlfn.XLOOKUP(B157,'Base stats'!B:B,'Base stats'!BX:BX),0.1),0.05),
MAX(MROUND(((MIN(10,_xlfn.XLOOKUP(B157,'Base stats'!B:B,'Base stats'!W:W)))^0.4*_xlfn.XLOOKUP(B157,'Base stats'!B:B,'Base stats'!BI:BI)^0.73)^0.6 *_xlfn.XLOOKUP(B157,'Base stats'!B:B,'Base stats'!BX:BX),0.1),0.05)
))</f>
        <v>No</v>
      </c>
      <c r="L157" s="11" t="str">
        <f>IF(K157="No","No",
MROUND(_xlfn.XLOOKUP(B157,'Base stats'!B:B,'Base stats'!BI:BI) * 0.01 *2 + 0.05, 0.05)
)</f>
        <v>No</v>
      </c>
      <c r="M157" s="5" t="str">
        <f>IF(K157="No","No",IF(_xlfn.XLOOKUP(_xlfn.XLOOKUP(B157,'Base stats'!B:B,'Base stats'!E:E),Groups!A:A,Groups!BD:BD)=1,"No",
MROUND(_xlfn.XLOOKUP(B157,'Base stats'!B:B,'Base stats'!BU:BU)/10000+0.01,0.01)
))</f>
        <v>No</v>
      </c>
      <c r="N157" s="4" t="str">
        <f>IF(K157="No","No",
MROUND(
  _xlfn.XLOOKUP(B157,'Base stats'!B:B,'Base stats'!BC:BC)^0.25
  / (_xlfn.XLOOKUP(B157,'Base stats'!B:B,'Base stats'!BM:BM) * 10)
  * _xlfn.XLOOKUP(
      _xlfn.XLOOKUP(B157,'Base stats'!B:B,'Base stats'!E:E),
      Groups!A:A,
      Groups!V:V
    ) * 150
  + MIN(12, _xlfn.XLOOKUP(B157,'Base stats'!B:B,'Base stats'!W:W))^(1/IF(_xlfn.XLOOKUP(_xlfn.XLOOKUP(B157,'Base stats'!B:B,'Base stats'!E:E),Groups!A:A,Groups!U:U)=1,100,10)) + 0.5 + _xlfn.XLOOKUP(B157,'Base stats'!B:B,'Base stats'!BW:BW),
0.05))</f>
        <v>No</v>
      </c>
      <c r="O157" s="3">
        <f>IF(Animals!AD157="No","No",
MAX(MROUND((MIN(10,_xlfn.XLOOKUP(B157,'Base stats'!B:B,'Base stats'!V:V)*IF(_xlfn.XLOOKUP(_xlfn.XLOOKUP(B157,'Base stats'!B:B,'Base stats'!E:E),Groups!A:A,Groups!O:O)=0,1,0.33))^0.4*_xlfn.XLOOKUP(B157,'Base stats'!B:B,'Base stats'!BJ:BJ)^0.73)^0.6 *_xlfn.XLOOKUP(B157,'Base stats'!B:B,'Base stats'!BX:BX),0.1),0.05)
)</f>
        <v>4</v>
      </c>
      <c r="P157" s="11">
        <f>IF(O157="No","No",
MROUND(_xlfn.XLOOKUP(B157,'Base stats'!B:B,'Base stats'!BJ:BJ) * 0.01 * 2 + 0.05, 0.05)
)</f>
        <v>0.45</v>
      </c>
      <c r="Q157" s="5">
        <f>IF(O157="No","No",
MROUND(_xlfn.XLOOKUP(B157,'Base stats'!B:B,'Base stats'!BV:BV)/10000+0.01,0.01)
)</f>
        <v>0.09</v>
      </c>
      <c r="R157" s="4">
        <f>IF(O157="No","No",
MROUND(_xlfn.XLOOKUP(B157,'Base stats'!B:B,'Base stats'!BB:BB)^0.25
/((_xlfn.XLOOKUP(B157,'Base stats'!B:B,'Base stats'!BN:BN))*10)*_xlfn.XLOOKUP(_xlfn.XLOOKUP(B157,'Base stats'!B:B,'Base stats'!E:E),Groups!A:A,Groups!Z:Z)*150 + 0.5 + _xlfn.XLOOKUP(B157,'Base stats'!B:B,'Base stats'!BW:BW),
0.05))</f>
        <v>1.6500000000000001</v>
      </c>
      <c r="S157" s="3">
        <f>IF(Animals!AI157="No","No",
IF(_xlfn.XLOOKUP(B157,'Base stats'!B:B,'Base stats'!U:U)="No",
MAX(MROUND(_xlfn.XLOOKUP(B157,'Base stats'!B:B,'Base stats'!BT:BT) * _xlfn.XLOOKUP(B157,'Base stats'!B:B,'Base stats'!BP:BP)^0.9 / 21 * _xlfn.XLOOKUP(B157,'Base stats'!B:B,'Base stats'!BX:BX),0.1),0.05),
MAX(MROUND(((MIN(12,_xlfn.XLOOKUP(B157,'Base stats'!B:B,'Base stats'!U:U)))^0.4*_xlfn.XLOOKUP(B157,'Base stats'!B:B,'Base stats'!BH:BH)^0.73)^0.6 * _xlfn.XLOOKUP(B157,'Base stats'!B:B,'Base stats'!BX:BX),0.1),0.05)
))</f>
        <v>3.1</v>
      </c>
      <c r="T157" s="11">
        <f>IF(S157="No","No",
MROUND(_xlfn.XLOOKUP(B157,'Base stats'!B:B,'Base stats'!BH:BH) * 0.01 * 2 + 0.05, 0.05)
)</f>
        <v>0.30000000000000004</v>
      </c>
      <c r="U157" s="5">
        <f>IF(S157="No","No",IF(_xlfn.XLOOKUP(B157,'Base stats'!B:B,'Base stats'!U:U)="No","No",
MROUND(_xlfn.XLOOKUP(B157,'Base stats'!B:B,'Base stats'!BT:BT)/10000+0.01,0.01)
))</f>
        <v>0.05</v>
      </c>
      <c r="V157" s="4">
        <f>IF(S157="No","No",
MROUND(_xlfn.XLOOKUP(B157,'Base stats'!B:B,'Base stats'!BF:BF)^0.25
/((_xlfn.XLOOKUP(B157,'Base stats'!B:B,'Base stats'!BO:BO))*10)*_xlfn.XLOOKUP(_xlfn.XLOOKUP(B157,'Base stats'!B:B,'Base stats'!E:E),Groups!A:A,Groups!AE:AE)*150 + 0.5 + _xlfn.XLOOKUP(B157,'Base stats'!B:B,'Base stats'!BW:BW),
0.05))</f>
        <v>1.1000000000000001</v>
      </c>
      <c r="W157" s="8">
        <f>MROUND(_xlfn.XLOOKUP(_xlfn.XLOOKUP(B157,'Base stats'!B:B,'Base stats'!E:E),Groups!A:A,Groups!BG:BG)*_xlfn.XLOOKUP(B157,'Base stats'!B:B,'Base stats'!C:C)^-0.165,0.05)</f>
        <v>0.95000000000000007</v>
      </c>
      <c r="X157" s="1">
        <f>MROUND(_xlfn.XLOOKUP(_xlfn.XLOOKUP(B157,'Base stats'!B:B,'Base stats'!E:E),Groups!A:A,Groups!BH:BH)*_xlfn.XLOOKUP(B157,'Base stats'!B:B,'Base stats'!C:C)^0.165,0.05)</f>
        <v>0.30000000000000004</v>
      </c>
      <c r="Y157" s="8">
        <f>MROUND(_xlfn.XLOOKUP(_xlfn.XLOOKUP(B157,'Base stats'!B:B,'Base stats'!E:E),Groups!A:A,Groups!BI:BI)*_xlfn.XLOOKUP(B157,'Base stats'!B:B,'Base stats'!C:C)^0.165,0.05)</f>
        <v>0.05</v>
      </c>
      <c r="Z157" s="18">
        <f>MROUND(_xlfn.XLOOKUP(B157,'Base stats'!B:B,'Base stats'!AQ:AQ)*_xlfn.XLOOKUP(_xlfn.XLOOKUP(B157,'Base stats'!B:B,'Base stats'!E:E),Groups!A:A,Groups!H:H)/1000,IF((_xlfn.XLOOKUP(B157,'Base stats'!B:B,'Base stats'!AQ:AQ)*_xlfn.XLOOKUP(_xlfn.XLOOKUP(B157,'Base stats'!B:B,'Base stats'!E:E),Groups!A:A,Groups!H:H)/1000)&gt;1,0.05,0.01))</f>
        <v>0.04</v>
      </c>
      <c r="AA157" s="18">
        <f>MROUND((1/2)*(_xlfn.XLOOKUP(_xlfn.XLOOKUP(B157,'Base stats'!B:B,'Base stats'!E:E),Groups!A:A,Groups!H:H)*_xlfn.XLOOKUP(_xlfn.XLOOKUP(B157,'Base stats'!B:B,'Base stats'!E:E),Groups!A:A,Groups!I:I))*_xlfn.XLOOKUP(B157,'Base stats'!B:B,'Base stats'!AQ:AQ)*0.01,0.05)</f>
        <v>0.15000000000000002</v>
      </c>
      <c r="AB157" s="18">
        <f>MROUND(250*(Animals!AO157+Animals!AP157),25)</f>
        <v>175</v>
      </c>
      <c r="AC157" s="18" t="str">
        <f>_xlfn.XLOOKUP(_xlfn.XLOOKUP(B157,'Base stats'!B:B,'Base stats'!E:E),Groups!A:A,Groups!BJ:BJ)</f>
        <v>Quadruped</v>
      </c>
    </row>
    <row r="158" spans="1:29" ht="16.5" thickTop="1" thickBot="1" x14ac:dyDescent="0.3">
      <c r="A158" s="16" t="str">
        <f>Animals!A158</f>
        <v>Somali cat</v>
      </c>
      <c r="B158" s="6" t="str">
        <f>Animals!B158</f>
        <v>Felis catus (Somali)</v>
      </c>
      <c r="C158" s="1" t="str">
        <f>Animals!C158</f>
        <v>&lt;li&gt;AEXP_CatSomali&lt;/li&gt;</v>
      </c>
      <c r="D158" s="47">
        <f>MIN(MIN(6,_xlfn.XLOOKUP(A158,Animals!A:A,Animals!AO:AO))*20,MAX(MROUND(_xlfn.XLOOKUP(B158,'Base stats'!B:B,'Base stats'!BS:BS) * (_xlfn.XLOOKUP(B158,'Base stats'!B:B,'Base stats'!AO:AO)*5%)^0.9 / 21,0.1),0.05))</f>
        <v>0.2</v>
      </c>
      <c r="E158" s="11">
        <f>MROUND(_xlfn.XLOOKUP(B158,'Base stats'!B:B,'Base stats'!BG:BG) * 0.01 * 2 + 0.01, 0.05)</f>
        <v>0.15000000000000002</v>
      </c>
      <c r="F158" s="7">
        <f>MROUND(_xlfn.XLOOKUP(B158,'Base stats'!B:B,'Base stats'!BD:BD)^0.25 / (_xlfn.XLOOKUP(B158,'Base stats'!B:B,'Base stats'!BK:BK) * 10) * 150 + 0.5 + _xlfn.XLOOKUP(B158,'Base stats'!B:B,'Base stats'!BW:BW), 0.05)</f>
        <v>1.4000000000000001</v>
      </c>
      <c r="G158" s="3" t="str">
        <f>IF(Animals!S158="No","No",
IF(_xlfn.XLOOKUP(B158,'Base stats'!B:B,'Base stats'!U:U)="No",
MAX(MROUND(_xlfn.XLOOKUP(B158,'Base stats'!B:B,'Base stats'!BT:BT) * _xlfn.XLOOKUP(B158,'Base stats'!B:B,'Base stats'!BP:BP)^0.9 / 21 * _xlfn.XLOOKUP(B158,'Base stats'!B:B,'Base stats'!BX:BX),0.1),0.05),
MAX(MROUND(((MIN(10,_xlfn.XLOOKUP(B158,'Base stats'!B:B,'Base stats'!U:U)))^0.4*_xlfn.XLOOKUP(B158,'Base stats'!B:B,'Base stats'!BH:BH)^0.73)^0.6 * _xlfn.XLOOKUP(B158,'Base stats'!B:B,'Base stats'!BX:BX),0.1),0.05)
))</f>
        <v>No</v>
      </c>
      <c r="H158" s="11" t="str">
        <f>IF(G158="No","No",
MROUND(_xlfn.XLOOKUP(B158,'Base stats'!B:B,'Base stats'!BH:BH) * 0.01 * 2 + 0.05, 0.05)
)</f>
        <v>No</v>
      </c>
      <c r="I158" s="11" t="str">
        <f>IF(G158="No","No",IF(_xlfn.XLOOKUP(B158,'Base stats'!B:B,'Base stats'!U:U)="No","No",
MROUND(_xlfn.XLOOKUP(B158,'Base stats'!B:B,'Base stats'!BT:BT)/10000+0.01,0.01)
))</f>
        <v>No</v>
      </c>
      <c r="J158" s="4" t="str">
        <f>IF(G158="No","No",
MROUND(_xlfn.XLOOKUP(B158,'Base stats'!B:B,'Base stats'!BE:BE)^0.25
/((_xlfn.XLOOKUP(B158,'Base stats'!B:B,'Base stats'!BL:BL))*10)*_xlfn.XLOOKUP(_xlfn.XLOOKUP(B158,'Base stats'!B:B,'Base stats'!E:E),Groups!A:A,Groups!Q:Q)*150 + 0.5 + _xlfn.XLOOKUP(B158,'Base stats'!B:B,'Base stats'!BW:BW),
0.05))</f>
        <v>No</v>
      </c>
      <c r="K158" s="3" t="str">
        <f>IF(Animals!X158="No","No",
IF(_xlfn.XLOOKUP(_xlfn.XLOOKUP(B158,'Base stats'!B:B,'Base stats'!E:E),Groups!A:A,Groups!BD:BD)=1,
MAX(MROUND(_xlfn.XLOOKUP(B158,'Base stats'!B:B,'Base stats'!BU:BU) * _xlfn.XLOOKUP(B158,'Base stats'!B:B,'Base stats'!BQ:BQ)^0.9 / 21 *_xlfn.XLOOKUP(B158,'Base stats'!B:B,'Base stats'!BX:BX),0.1),0.05),
MAX(MROUND(((MIN(10,_xlfn.XLOOKUP(B158,'Base stats'!B:B,'Base stats'!W:W)))^0.4*_xlfn.XLOOKUP(B158,'Base stats'!B:B,'Base stats'!BI:BI)^0.73)^0.6 *_xlfn.XLOOKUP(B158,'Base stats'!B:B,'Base stats'!BX:BX),0.1),0.05)
))</f>
        <v>No</v>
      </c>
      <c r="L158" s="11" t="str">
        <f>IF(K158="No","No",
MROUND(_xlfn.XLOOKUP(B158,'Base stats'!B:B,'Base stats'!BI:BI) * 0.01 *2 + 0.05, 0.05)
)</f>
        <v>No</v>
      </c>
      <c r="M158" s="5" t="str">
        <f>IF(K158="No","No",IF(_xlfn.XLOOKUP(_xlfn.XLOOKUP(B158,'Base stats'!B:B,'Base stats'!E:E),Groups!A:A,Groups!BD:BD)=1,"No",
MROUND(_xlfn.XLOOKUP(B158,'Base stats'!B:B,'Base stats'!BU:BU)/10000+0.01,0.01)
))</f>
        <v>No</v>
      </c>
      <c r="N158" s="4" t="str">
        <f>IF(K158="No","No",
MROUND(
  _xlfn.XLOOKUP(B158,'Base stats'!B:B,'Base stats'!BC:BC)^0.25
  / (_xlfn.XLOOKUP(B158,'Base stats'!B:B,'Base stats'!BM:BM) * 10)
  * _xlfn.XLOOKUP(
      _xlfn.XLOOKUP(B158,'Base stats'!B:B,'Base stats'!E:E),
      Groups!A:A,
      Groups!V:V
    ) * 150
  + MIN(12, _xlfn.XLOOKUP(B158,'Base stats'!B:B,'Base stats'!W:W))^(1/IF(_xlfn.XLOOKUP(_xlfn.XLOOKUP(B158,'Base stats'!B:B,'Base stats'!E:E),Groups!A:A,Groups!U:U)=1,100,10)) + 0.5 + _xlfn.XLOOKUP(B158,'Base stats'!B:B,'Base stats'!BW:BW),
0.05))</f>
        <v>No</v>
      </c>
      <c r="O158" s="3">
        <f>IF(Animals!AD158="No","No",
MAX(MROUND((MIN(10,_xlfn.XLOOKUP(B158,'Base stats'!B:B,'Base stats'!V:V)*IF(_xlfn.XLOOKUP(_xlfn.XLOOKUP(B158,'Base stats'!B:B,'Base stats'!E:E),Groups!A:A,Groups!O:O)=0,1,0.33))^0.4*_xlfn.XLOOKUP(B158,'Base stats'!B:B,'Base stats'!BJ:BJ)^0.73)^0.6 *_xlfn.XLOOKUP(B158,'Base stats'!B:B,'Base stats'!BX:BX),0.1),0.05)
)</f>
        <v>4</v>
      </c>
      <c r="P158" s="11">
        <f>IF(O158="No","No",
MROUND(_xlfn.XLOOKUP(B158,'Base stats'!B:B,'Base stats'!BJ:BJ) * 0.01 * 2 + 0.05, 0.05)
)</f>
        <v>0.45</v>
      </c>
      <c r="Q158" s="5">
        <f>IF(O158="No","No",
MROUND(_xlfn.XLOOKUP(B158,'Base stats'!B:B,'Base stats'!BV:BV)/10000+0.01,0.01)
)</f>
        <v>0.09</v>
      </c>
      <c r="R158" s="4">
        <f>IF(O158="No","No",
MROUND(_xlfn.XLOOKUP(B158,'Base stats'!B:B,'Base stats'!BB:BB)^0.25
/((_xlfn.XLOOKUP(B158,'Base stats'!B:B,'Base stats'!BN:BN))*10)*_xlfn.XLOOKUP(_xlfn.XLOOKUP(B158,'Base stats'!B:B,'Base stats'!E:E),Groups!A:A,Groups!Z:Z)*150 + 0.5 + _xlfn.XLOOKUP(B158,'Base stats'!B:B,'Base stats'!BW:BW),
0.05))</f>
        <v>1.6500000000000001</v>
      </c>
      <c r="S158" s="3">
        <f>IF(Animals!AI158="No","No",
IF(_xlfn.XLOOKUP(B158,'Base stats'!B:B,'Base stats'!U:U)="No",
MAX(MROUND(_xlfn.XLOOKUP(B158,'Base stats'!B:B,'Base stats'!BT:BT) * _xlfn.XLOOKUP(B158,'Base stats'!B:B,'Base stats'!BP:BP)^0.9 / 21 * _xlfn.XLOOKUP(B158,'Base stats'!B:B,'Base stats'!BX:BX),0.1),0.05),
MAX(MROUND(((MIN(12,_xlfn.XLOOKUP(B158,'Base stats'!B:B,'Base stats'!U:U)))^0.4*_xlfn.XLOOKUP(B158,'Base stats'!B:B,'Base stats'!BH:BH)^0.73)^0.6 * _xlfn.XLOOKUP(B158,'Base stats'!B:B,'Base stats'!BX:BX),0.1),0.05)
))</f>
        <v>3.1</v>
      </c>
      <c r="T158" s="11">
        <f>IF(S158="No","No",
MROUND(_xlfn.XLOOKUP(B158,'Base stats'!B:B,'Base stats'!BH:BH) * 0.01 * 2 + 0.05, 0.05)
)</f>
        <v>0.30000000000000004</v>
      </c>
      <c r="U158" s="5">
        <f>IF(S158="No","No",IF(_xlfn.XLOOKUP(B158,'Base stats'!B:B,'Base stats'!U:U)="No","No",
MROUND(_xlfn.XLOOKUP(B158,'Base stats'!B:B,'Base stats'!BT:BT)/10000+0.01,0.01)
))</f>
        <v>0.05</v>
      </c>
      <c r="V158" s="4">
        <f>IF(S158="No","No",
MROUND(_xlfn.XLOOKUP(B158,'Base stats'!B:B,'Base stats'!BF:BF)^0.25
/((_xlfn.XLOOKUP(B158,'Base stats'!B:B,'Base stats'!BO:BO))*10)*_xlfn.XLOOKUP(_xlfn.XLOOKUP(B158,'Base stats'!B:B,'Base stats'!E:E),Groups!A:A,Groups!AE:AE)*150 + 0.5 + _xlfn.XLOOKUP(B158,'Base stats'!B:B,'Base stats'!BW:BW),
0.05))</f>
        <v>1.1000000000000001</v>
      </c>
      <c r="W158" s="8">
        <f>MROUND(_xlfn.XLOOKUP(_xlfn.XLOOKUP(B158,'Base stats'!B:B,'Base stats'!E:E),Groups!A:A,Groups!BG:BG)*_xlfn.XLOOKUP(B158,'Base stats'!B:B,'Base stats'!C:C)^-0.165,0.05)</f>
        <v>1</v>
      </c>
      <c r="X158" s="1">
        <f>MROUND(_xlfn.XLOOKUP(_xlfn.XLOOKUP(B158,'Base stats'!B:B,'Base stats'!E:E),Groups!A:A,Groups!BH:BH)*_xlfn.XLOOKUP(B158,'Base stats'!B:B,'Base stats'!C:C)^0.165,0.05)</f>
        <v>0.30000000000000004</v>
      </c>
      <c r="Y158" s="8">
        <f>MROUND(_xlfn.XLOOKUP(_xlfn.XLOOKUP(B158,'Base stats'!B:B,'Base stats'!E:E),Groups!A:A,Groups!BI:BI)*_xlfn.XLOOKUP(B158,'Base stats'!B:B,'Base stats'!C:C)^0.165,0.05)</f>
        <v>0.05</v>
      </c>
      <c r="Z158" s="18">
        <f>MROUND(_xlfn.XLOOKUP(B158,'Base stats'!B:B,'Base stats'!AQ:AQ)*_xlfn.XLOOKUP(_xlfn.XLOOKUP(B158,'Base stats'!B:B,'Base stats'!E:E),Groups!A:A,Groups!H:H)/1000,IF((_xlfn.XLOOKUP(B158,'Base stats'!B:B,'Base stats'!AQ:AQ)*_xlfn.XLOOKUP(_xlfn.XLOOKUP(B158,'Base stats'!B:B,'Base stats'!E:E),Groups!A:A,Groups!H:H)/1000)&gt;1,0.05,0.01))</f>
        <v>0.03</v>
      </c>
      <c r="AA158" s="18">
        <f>MROUND((1/2)*(_xlfn.XLOOKUP(_xlfn.XLOOKUP(B158,'Base stats'!B:B,'Base stats'!E:E),Groups!A:A,Groups!H:H)*_xlfn.XLOOKUP(_xlfn.XLOOKUP(B158,'Base stats'!B:B,'Base stats'!E:E),Groups!A:A,Groups!I:I))*_xlfn.XLOOKUP(B158,'Base stats'!B:B,'Base stats'!AQ:AQ)*0.01,0.05)</f>
        <v>0.15000000000000002</v>
      </c>
      <c r="AB158" s="18">
        <f>MROUND(250*(Animals!AO158+Animals!AP158),25)</f>
        <v>175</v>
      </c>
      <c r="AC158" s="18" t="str">
        <f>_xlfn.XLOOKUP(_xlfn.XLOOKUP(B158,'Base stats'!B:B,'Base stats'!E:E),Groups!A:A,Groups!BJ:BJ)</f>
        <v>Quadruped</v>
      </c>
    </row>
    <row r="159" spans="1:29" ht="16.5" thickTop="1" thickBot="1" x14ac:dyDescent="0.3">
      <c r="A159" s="16" t="str">
        <f>Animals!A159</f>
        <v>Sphynx cat</v>
      </c>
      <c r="B159" s="6" t="str">
        <f>Animals!B159</f>
        <v>Felis catus (Sphynx)</v>
      </c>
      <c r="C159" s="1" t="str">
        <f>Animals!C159</f>
        <v>&lt;li&gt;AEXP_CatSphynx&lt;/li&gt;</v>
      </c>
      <c r="D159" s="47">
        <f>MIN(MIN(6,_xlfn.XLOOKUP(A159,Animals!A:A,Animals!AO:AO))*20,MAX(MROUND(_xlfn.XLOOKUP(B159,'Base stats'!B:B,'Base stats'!BS:BS) * (_xlfn.XLOOKUP(B159,'Base stats'!B:B,'Base stats'!AO:AO)*5%)^0.9 / 21,0.1),0.05))</f>
        <v>0.30000000000000004</v>
      </c>
      <c r="E159" s="11">
        <f>MROUND(_xlfn.XLOOKUP(B159,'Base stats'!B:B,'Base stats'!BG:BG) * 0.01 * 2 + 0.01, 0.05)</f>
        <v>0.2</v>
      </c>
      <c r="F159" s="7">
        <f>MROUND(_xlfn.XLOOKUP(B159,'Base stats'!B:B,'Base stats'!BD:BD)^0.25 / (_xlfn.XLOOKUP(B159,'Base stats'!B:B,'Base stats'!BK:BK) * 10) * 150 + 0.5 + _xlfn.XLOOKUP(B159,'Base stats'!B:B,'Base stats'!BW:BW), 0.05)</f>
        <v>1.4500000000000002</v>
      </c>
      <c r="G159" s="3" t="str">
        <f>IF(Animals!S159="No","No",
IF(_xlfn.XLOOKUP(B159,'Base stats'!B:B,'Base stats'!U:U)="No",
MAX(MROUND(_xlfn.XLOOKUP(B159,'Base stats'!B:B,'Base stats'!BT:BT) * _xlfn.XLOOKUP(B159,'Base stats'!B:B,'Base stats'!BP:BP)^0.9 / 21 * _xlfn.XLOOKUP(B159,'Base stats'!B:B,'Base stats'!BX:BX),0.1),0.05),
MAX(MROUND(((MIN(10,_xlfn.XLOOKUP(B159,'Base stats'!B:B,'Base stats'!U:U)))^0.4*_xlfn.XLOOKUP(B159,'Base stats'!B:B,'Base stats'!BH:BH)^0.73)^0.6 * _xlfn.XLOOKUP(B159,'Base stats'!B:B,'Base stats'!BX:BX),0.1),0.05)
))</f>
        <v>No</v>
      </c>
      <c r="H159" s="11" t="str">
        <f>IF(G159="No","No",
MROUND(_xlfn.XLOOKUP(B159,'Base stats'!B:B,'Base stats'!BH:BH) * 0.01 * 2 + 0.05, 0.05)
)</f>
        <v>No</v>
      </c>
      <c r="I159" s="11" t="str">
        <f>IF(G159="No","No",IF(_xlfn.XLOOKUP(B159,'Base stats'!B:B,'Base stats'!U:U)="No","No",
MROUND(_xlfn.XLOOKUP(B159,'Base stats'!B:B,'Base stats'!BT:BT)/10000+0.01,0.01)
))</f>
        <v>No</v>
      </c>
      <c r="J159" s="4" t="str">
        <f>IF(G159="No","No",
MROUND(_xlfn.XLOOKUP(B159,'Base stats'!B:B,'Base stats'!BE:BE)^0.25
/((_xlfn.XLOOKUP(B159,'Base stats'!B:B,'Base stats'!BL:BL))*10)*_xlfn.XLOOKUP(_xlfn.XLOOKUP(B159,'Base stats'!B:B,'Base stats'!E:E),Groups!A:A,Groups!Q:Q)*150 + 0.5 + _xlfn.XLOOKUP(B159,'Base stats'!B:B,'Base stats'!BW:BW),
0.05))</f>
        <v>No</v>
      </c>
      <c r="K159" s="3" t="str">
        <f>IF(Animals!X159="No","No",
IF(_xlfn.XLOOKUP(_xlfn.XLOOKUP(B159,'Base stats'!B:B,'Base stats'!E:E),Groups!A:A,Groups!BD:BD)=1,
MAX(MROUND(_xlfn.XLOOKUP(B159,'Base stats'!B:B,'Base stats'!BU:BU) * _xlfn.XLOOKUP(B159,'Base stats'!B:B,'Base stats'!BQ:BQ)^0.9 / 21 *_xlfn.XLOOKUP(B159,'Base stats'!B:B,'Base stats'!BX:BX),0.1),0.05),
MAX(MROUND(((MIN(10,_xlfn.XLOOKUP(B159,'Base stats'!B:B,'Base stats'!W:W)))^0.4*_xlfn.XLOOKUP(B159,'Base stats'!B:B,'Base stats'!BI:BI)^0.73)^0.6 *_xlfn.XLOOKUP(B159,'Base stats'!B:B,'Base stats'!BX:BX),0.1),0.05)
))</f>
        <v>No</v>
      </c>
      <c r="L159" s="11" t="str">
        <f>IF(K159="No","No",
MROUND(_xlfn.XLOOKUP(B159,'Base stats'!B:B,'Base stats'!BI:BI) * 0.01 *2 + 0.05, 0.05)
)</f>
        <v>No</v>
      </c>
      <c r="M159" s="5" t="str">
        <f>IF(K159="No","No",IF(_xlfn.XLOOKUP(_xlfn.XLOOKUP(B159,'Base stats'!B:B,'Base stats'!E:E),Groups!A:A,Groups!BD:BD)=1,"No",
MROUND(_xlfn.XLOOKUP(B159,'Base stats'!B:B,'Base stats'!BU:BU)/10000+0.01,0.01)
))</f>
        <v>No</v>
      </c>
      <c r="N159" s="4" t="str">
        <f>IF(K159="No","No",
MROUND(
  _xlfn.XLOOKUP(B159,'Base stats'!B:B,'Base stats'!BC:BC)^0.25
  / (_xlfn.XLOOKUP(B159,'Base stats'!B:B,'Base stats'!BM:BM) * 10)
  * _xlfn.XLOOKUP(
      _xlfn.XLOOKUP(B159,'Base stats'!B:B,'Base stats'!E:E),
      Groups!A:A,
      Groups!V:V
    ) * 150
  + MIN(12, _xlfn.XLOOKUP(B159,'Base stats'!B:B,'Base stats'!W:W))^(1/IF(_xlfn.XLOOKUP(_xlfn.XLOOKUP(B159,'Base stats'!B:B,'Base stats'!E:E),Groups!A:A,Groups!U:U)=1,100,10)) + 0.5 + _xlfn.XLOOKUP(B159,'Base stats'!B:B,'Base stats'!BW:BW),
0.05))</f>
        <v>No</v>
      </c>
      <c r="O159" s="3">
        <f>IF(Animals!AD159="No","No",
MAX(MROUND((MIN(10,_xlfn.XLOOKUP(B159,'Base stats'!B:B,'Base stats'!V:V)*IF(_xlfn.XLOOKUP(_xlfn.XLOOKUP(B159,'Base stats'!B:B,'Base stats'!E:E),Groups!A:A,Groups!O:O)=0,1,0.33))^0.4*_xlfn.XLOOKUP(B159,'Base stats'!B:B,'Base stats'!BJ:BJ)^0.73)^0.6 *_xlfn.XLOOKUP(B159,'Base stats'!B:B,'Base stats'!BX:BX),0.1),0.05)
)</f>
        <v>4.2</v>
      </c>
      <c r="P159" s="11">
        <f>IF(O159="No","No",
MROUND(_xlfn.XLOOKUP(B159,'Base stats'!B:B,'Base stats'!BJ:BJ) * 0.01 * 2 + 0.05, 0.05)
)</f>
        <v>0.5</v>
      </c>
      <c r="Q159" s="5">
        <f>IF(O159="No","No",
MROUND(_xlfn.XLOOKUP(B159,'Base stats'!B:B,'Base stats'!BV:BV)/10000+0.01,0.01)
)</f>
        <v>0.09</v>
      </c>
      <c r="R159" s="4">
        <f>IF(O159="No","No",
MROUND(_xlfn.XLOOKUP(B159,'Base stats'!B:B,'Base stats'!BB:BB)^0.25
/((_xlfn.XLOOKUP(B159,'Base stats'!B:B,'Base stats'!BN:BN))*10)*_xlfn.XLOOKUP(_xlfn.XLOOKUP(B159,'Base stats'!B:B,'Base stats'!E:E),Groups!A:A,Groups!Z:Z)*150 + 0.5 + _xlfn.XLOOKUP(B159,'Base stats'!B:B,'Base stats'!BW:BW),
0.05))</f>
        <v>1.7000000000000002</v>
      </c>
      <c r="S159" s="3">
        <f>IF(Animals!AI159="No","No",
IF(_xlfn.XLOOKUP(B159,'Base stats'!B:B,'Base stats'!U:U)="No",
MAX(MROUND(_xlfn.XLOOKUP(B159,'Base stats'!B:B,'Base stats'!BT:BT) * _xlfn.XLOOKUP(B159,'Base stats'!B:B,'Base stats'!BP:BP)^0.9 / 21 * _xlfn.XLOOKUP(B159,'Base stats'!B:B,'Base stats'!BX:BX),0.1),0.05),
MAX(MROUND(((MIN(12,_xlfn.XLOOKUP(B159,'Base stats'!B:B,'Base stats'!U:U)))^0.4*_xlfn.XLOOKUP(B159,'Base stats'!B:B,'Base stats'!BH:BH)^0.73)^0.6 * _xlfn.XLOOKUP(B159,'Base stats'!B:B,'Base stats'!BX:BX),0.1),0.05)
))</f>
        <v>3.2</v>
      </c>
      <c r="T159" s="11">
        <f>IF(S159="No","No",
MROUND(_xlfn.XLOOKUP(B159,'Base stats'!B:B,'Base stats'!BH:BH) * 0.01 * 2 + 0.05, 0.05)
)</f>
        <v>0.30000000000000004</v>
      </c>
      <c r="U159" s="5">
        <f>IF(S159="No","No",IF(_xlfn.XLOOKUP(B159,'Base stats'!B:B,'Base stats'!U:U)="No","No",
MROUND(_xlfn.XLOOKUP(B159,'Base stats'!B:B,'Base stats'!BT:BT)/10000+0.01,0.01)
))</f>
        <v>0.06</v>
      </c>
      <c r="V159" s="4">
        <f>IF(S159="No","No",
MROUND(_xlfn.XLOOKUP(B159,'Base stats'!B:B,'Base stats'!BF:BF)^0.25
/((_xlfn.XLOOKUP(B159,'Base stats'!B:B,'Base stats'!BO:BO))*10)*_xlfn.XLOOKUP(_xlfn.XLOOKUP(B159,'Base stats'!B:B,'Base stats'!E:E),Groups!A:A,Groups!AE:AE)*150 + 0.5 + _xlfn.XLOOKUP(B159,'Base stats'!B:B,'Base stats'!BW:BW),
0.05))</f>
        <v>1.1000000000000001</v>
      </c>
      <c r="W159" s="8">
        <f>MROUND(_xlfn.XLOOKUP(_xlfn.XLOOKUP(B159,'Base stats'!B:B,'Base stats'!E:E),Groups!A:A,Groups!BG:BG)*_xlfn.XLOOKUP(B159,'Base stats'!B:B,'Base stats'!C:C)^-0.165,0.05)</f>
        <v>0.95000000000000007</v>
      </c>
      <c r="X159" s="1">
        <f>MROUND(_xlfn.XLOOKUP(_xlfn.XLOOKUP(B159,'Base stats'!B:B,'Base stats'!E:E),Groups!A:A,Groups!BH:BH)*_xlfn.XLOOKUP(B159,'Base stats'!B:B,'Base stats'!C:C)^0.165,0.05)</f>
        <v>0.35000000000000003</v>
      </c>
      <c r="Y159" s="8">
        <f>MROUND(_xlfn.XLOOKUP(_xlfn.XLOOKUP(B159,'Base stats'!B:B,'Base stats'!E:E),Groups!A:A,Groups!BI:BI)*_xlfn.XLOOKUP(B159,'Base stats'!B:B,'Base stats'!C:C)^0.165,0.05)</f>
        <v>0.05</v>
      </c>
      <c r="Z159" s="18">
        <f>MROUND(_xlfn.XLOOKUP(B159,'Base stats'!B:B,'Base stats'!AQ:AQ)*_xlfn.XLOOKUP(_xlfn.XLOOKUP(B159,'Base stats'!B:B,'Base stats'!E:E),Groups!A:A,Groups!H:H)/1000,IF((_xlfn.XLOOKUP(B159,'Base stats'!B:B,'Base stats'!AQ:AQ)*_xlfn.XLOOKUP(_xlfn.XLOOKUP(B159,'Base stats'!B:B,'Base stats'!E:E),Groups!A:A,Groups!H:H)/1000)&gt;1,0.05,0.01))</f>
        <v>0.04</v>
      </c>
      <c r="AA159" s="18">
        <f>MROUND((1/2)*(_xlfn.XLOOKUP(_xlfn.XLOOKUP(B159,'Base stats'!B:B,'Base stats'!E:E),Groups!A:A,Groups!H:H)*_xlfn.XLOOKUP(_xlfn.XLOOKUP(B159,'Base stats'!B:B,'Base stats'!E:E),Groups!A:A,Groups!I:I))*_xlfn.XLOOKUP(B159,'Base stats'!B:B,'Base stats'!AQ:AQ)*0.01,0.05)</f>
        <v>0.15000000000000002</v>
      </c>
      <c r="AB159" s="18">
        <f>MROUND(250*(Animals!AO159+Animals!AP159),25)</f>
        <v>175</v>
      </c>
      <c r="AC159" s="18" t="str">
        <f>_xlfn.XLOOKUP(_xlfn.XLOOKUP(B159,'Base stats'!B:B,'Base stats'!E:E),Groups!A:A,Groups!BJ:BJ)</f>
        <v>Quadruped</v>
      </c>
    </row>
    <row r="160" spans="1:29" s="16" customFormat="1" ht="16.5" thickTop="1" thickBot="1" x14ac:dyDescent="0.3">
      <c r="A160" s="16" t="str">
        <f>Animals!A160</f>
        <v>Kalisk</v>
      </c>
      <c r="B160" s="6" t="str">
        <f>Animals!B160</f>
        <v>Kaliscus invictus</v>
      </c>
      <c r="C160" s="1" t="str">
        <f>Animals!C160</f>
        <v>&lt;li&gt;Kalisk&lt;/li&gt;</v>
      </c>
      <c r="D160" s="47">
        <f>MIN(MIN(6,_xlfn.XLOOKUP(A160,Animals!A:A,Animals!AO:AO))*20,MAX(MROUND(_xlfn.XLOOKUP(B160,'Base stats'!B:B,'Base stats'!BS:BS) * (_xlfn.XLOOKUP(B160,'Base stats'!B:B,'Base stats'!AO:AO)*5%)^0.9 / 21,0.1),0.05))</f>
        <v>120</v>
      </c>
      <c r="E160" s="11">
        <f>MROUND(_xlfn.XLOOKUP(B160,'Base stats'!B:B,'Base stats'!BG:BG) * 0.01 * 2 + 0.01, 0.05)</f>
        <v>169.95000000000002</v>
      </c>
      <c r="F160" s="7">
        <f>MROUND(_xlfn.XLOOKUP(B160,'Base stats'!B:B,'Base stats'!BD:BD)^0.25 / (_xlfn.XLOOKUP(B160,'Base stats'!B:B,'Base stats'!BK:BK) * 10) * 150 + 0.5 + _xlfn.XLOOKUP(B160,'Base stats'!B:B,'Base stats'!BW:BW), 0.05)</f>
        <v>3.75</v>
      </c>
      <c r="G160" s="3" t="str">
        <f>IF(Animals!S160="No","No",
IF(_xlfn.XLOOKUP(B160,'Base stats'!B:B,'Base stats'!U:U)="No",
MAX(MROUND(_xlfn.XLOOKUP(B160,'Base stats'!B:B,'Base stats'!BT:BT) * _xlfn.XLOOKUP(B160,'Base stats'!B:B,'Base stats'!BP:BP)^0.9 / 21 * _xlfn.XLOOKUP(B160,'Base stats'!B:B,'Base stats'!BX:BX),0.1),0.05),
MAX(MROUND(((MIN(10,_xlfn.XLOOKUP(B160,'Base stats'!B:B,'Base stats'!U:U)))^0.4*_xlfn.XLOOKUP(B160,'Base stats'!B:B,'Base stats'!BH:BH)^0.73)^0.6 * _xlfn.XLOOKUP(B160,'Base stats'!B:B,'Base stats'!BX:BX),0.1),0.05)
))</f>
        <v>No</v>
      </c>
      <c r="H160" s="11" t="str">
        <f>IF(G160="No","No",
MROUND(_xlfn.XLOOKUP(B160,'Base stats'!B:B,'Base stats'!BH:BH) * 0.01 * 2 + 0.05, 0.05)
)</f>
        <v>No</v>
      </c>
      <c r="I160" s="11" t="str">
        <f>IF(G160="No","No",IF(_xlfn.XLOOKUP(B160,'Base stats'!B:B,'Base stats'!U:U)="No","No",
MROUND(_xlfn.XLOOKUP(B160,'Base stats'!B:B,'Base stats'!BT:BT)/10000+0.01,0.01)
))</f>
        <v>No</v>
      </c>
      <c r="J160" s="4" t="str">
        <f>IF(G160="No","No",
MROUND(_xlfn.XLOOKUP(B160,'Base stats'!B:B,'Base stats'!BE:BE)^0.25
/((_xlfn.XLOOKUP(B160,'Base stats'!B:B,'Base stats'!BL:BL))*10)*_xlfn.XLOOKUP(_xlfn.XLOOKUP(B160,'Base stats'!B:B,'Base stats'!E:E),Groups!A:A,Groups!Q:Q)*150 + 0.5 + _xlfn.XLOOKUP(B160,'Base stats'!B:B,'Base stats'!BW:BW),
0.05))</f>
        <v>No</v>
      </c>
      <c r="K160" s="3" t="str">
        <f>IF(Animals!X160="No","No",
IF(_xlfn.XLOOKUP(_xlfn.XLOOKUP(B160,'Base stats'!B:B,'Base stats'!E:E),Groups!A:A,Groups!BD:BD)=1,
MAX(MROUND(_xlfn.XLOOKUP(B160,'Base stats'!B:B,'Base stats'!BU:BU) * _xlfn.XLOOKUP(B160,'Base stats'!B:B,'Base stats'!BQ:BQ)^0.9 / 21 *_xlfn.XLOOKUP(B160,'Base stats'!B:B,'Base stats'!BX:BX),0.1),0.05),
MAX(MROUND(((MIN(10,_xlfn.XLOOKUP(B160,'Base stats'!B:B,'Base stats'!W:W)))^0.4*_xlfn.XLOOKUP(B160,'Base stats'!B:B,'Base stats'!BI:BI)^0.73)^0.6 *_xlfn.XLOOKUP(B160,'Base stats'!B:B,'Base stats'!BX:BX),0.1),0.05)
))</f>
        <v>No</v>
      </c>
      <c r="L160" s="11" t="str">
        <f>IF(K160="No","No",
MROUND(_xlfn.XLOOKUP(B160,'Base stats'!B:B,'Base stats'!BI:BI) * 0.01 *2 + 0.05, 0.05)
)</f>
        <v>No</v>
      </c>
      <c r="M160" s="5" t="str">
        <f>IF(K160="No","No",IF(_xlfn.XLOOKUP(_xlfn.XLOOKUP(B160,'Base stats'!B:B,'Base stats'!E:E),Groups!A:A,Groups!BD:BD)=1,"No",
MROUND(_xlfn.XLOOKUP(B160,'Base stats'!B:B,'Base stats'!BU:BU)/10000+0.01,0.01)
))</f>
        <v>No</v>
      </c>
      <c r="N160" s="4" t="str">
        <f>IF(K160="No","No",
MROUND(
  _xlfn.XLOOKUP(B160,'Base stats'!B:B,'Base stats'!BC:BC)^0.25
  / (_xlfn.XLOOKUP(B160,'Base stats'!B:B,'Base stats'!BM:BM) * 10)
  * _xlfn.XLOOKUP(
      _xlfn.XLOOKUP(B160,'Base stats'!B:B,'Base stats'!E:E),
      Groups!A:A,
      Groups!V:V
    ) * 150
  + MIN(12, _xlfn.XLOOKUP(B160,'Base stats'!B:B,'Base stats'!W:W))^(1/IF(_xlfn.XLOOKUP(_xlfn.XLOOKUP(B160,'Base stats'!B:B,'Base stats'!E:E),Groups!A:A,Groups!U:U)=1,100,10)) + 0.5 + _xlfn.XLOOKUP(B160,'Base stats'!B:B,'Base stats'!BW:BW),
0.05))</f>
        <v>No</v>
      </c>
      <c r="O160" s="3">
        <f>IF(Animals!AD160="No","No",
MAX(MROUND((MIN(10,_xlfn.XLOOKUP(B160,'Base stats'!B:B,'Base stats'!V:V)*IF(_xlfn.XLOOKUP(_xlfn.XLOOKUP(B160,'Base stats'!B:B,'Base stats'!E:E),Groups!A:A,Groups!O:O)=0,1,0.33))^0.4*_xlfn.XLOOKUP(B160,'Base stats'!B:B,'Base stats'!BJ:BJ)^0.73)^0.6 *_xlfn.XLOOKUP(B160,'Base stats'!B:B,'Base stats'!BX:BX),0.1),0.05)
)</f>
        <v>67.7</v>
      </c>
      <c r="P160" s="11">
        <f>IF(O160="No","No",
MROUND(_xlfn.XLOOKUP(B160,'Base stats'!B:B,'Base stats'!BJ:BJ) * 0.01 * 2 + 0.05, 0.05)
)</f>
        <v>125.30000000000001</v>
      </c>
      <c r="Q160" s="5">
        <f>IF(O160="No","No",
MROUND(_xlfn.XLOOKUP(B160,'Base stats'!B:B,'Base stats'!BV:BV)/10000+0.01,0.01)
)</f>
        <v>9.9600000000000009</v>
      </c>
      <c r="R160" s="4">
        <f>IF(O160="No","No",
MROUND(_xlfn.XLOOKUP(B160,'Base stats'!B:B,'Base stats'!BB:BB)^0.25
/((_xlfn.XLOOKUP(B160,'Base stats'!B:B,'Base stats'!BN:BN))*10)*_xlfn.XLOOKUP(_xlfn.XLOOKUP(B160,'Base stats'!B:B,'Base stats'!E:E),Groups!A:A,Groups!Z:Z)*150 + 0.5 + _xlfn.XLOOKUP(B160,'Base stats'!B:B,'Base stats'!BW:BW),
0.05))</f>
        <v>2.6500000000000004</v>
      </c>
      <c r="S160" s="3">
        <f>IF(Animals!AI160="No","No",
IF(_xlfn.XLOOKUP(B160,'Base stats'!B:B,'Base stats'!U:U)="No",
MAX(MROUND(_xlfn.XLOOKUP(B160,'Base stats'!B:B,'Base stats'!BT:BT) * _xlfn.XLOOKUP(B160,'Base stats'!B:B,'Base stats'!BP:BP)^0.9 / 21 * _xlfn.XLOOKUP(B160,'Base stats'!B:B,'Base stats'!BX:BX),0.1),0.05),
MAX(MROUND(((MIN(12,_xlfn.XLOOKUP(B160,'Base stats'!B:B,'Base stats'!U:U)))^0.4*_xlfn.XLOOKUP(B160,'Base stats'!B:B,'Base stats'!BH:BH)^0.73)^0.6 * _xlfn.XLOOKUP(B160,'Base stats'!B:B,'Base stats'!BX:BX),0.1),0.05)
))</f>
        <v>90.300000000000011</v>
      </c>
      <c r="T160" s="11">
        <f>IF(S160="No","No",
MROUND(_xlfn.XLOOKUP(B160,'Base stats'!B:B,'Base stats'!BH:BH) * 0.01 * 2 + 0.05, 0.05)
)</f>
        <v>165.4</v>
      </c>
      <c r="U160" s="5">
        <f>IF(S160="No","No",IF(_xlfn.XLOOKUP(B160,'Base stats'!B:B,'Base stats'!U:U)="No","No",
MROUND(_xlfn.XLOOKUP(B160,'Base stats'!B:B,'Base stats'!BT:BT)/10000+0.01,0.01)
))</f>
        <v>13.15</v>
      </c>
      <c r="V160" s="4">
        <f>IF(S160="No","No",
MROUND(_xlfn.XLOOKUP(B160,'Base stats'!B:B,'Base stats'!BF:BF)^0.25
/((_xlfn.XLOOKUP(B160,'Base stats'!B:B,'Base stats'!BO:BO))*10)*_xlfn.XLOOKUP(_xlfn.XLOOKUP(B160,'Base stats'!B:B,'Base stats'!E:E),Groups!A:A,Groups!AE:AE)*150 + 0.5 + _xlfn.XLOOKUP(B160,'Base stats'!B:B,'Base stats'!BW:BW),
0.05))</f>
        <v>2.35</v>
      </c>
      <c r="W160" s="8">
        <f>MROUND(_xlfn.XLOOKUP(_xlfn.XLOOKUP(B160,'Base stats'!B:B,'Base stats'!E:E),Groups!A:A,Groups!BG:BG)*_xlfn.XLOOKUP(B160,'Base stats'!B:B,'Base stats'!C:C)^-0.165,0.05)</f>
        <v>0.2</v>
      </c>
      <c r="X160" s="1">
        <f>MROUND(_xlfn.XLOOKUP(_xlfn.XLOOKUP(B160,'Base stats'!B:B,'Base stats'!E:E),Groups!A:A,Groups!BH:BH)*_xlfn.XLOOKUP(B160,'Base stats'!B:B,'Base stats'!C:C)^0.165,0.05)</f>
        <v>1.1500000000000001</v>
      </c>
      <c r="Y160" s="8">
        <f>MROUND(_xlfn.XLOOKUP(_xlfn.XLOOKUP(B160,'Base stats'!B:B,'Base stats'!E:E),Groups!A:A,Groups!BI:BI)*_xlfn.XLOOKUP(B160,'Base stats'!B:B,'Base stats'!C:C)^0.165,0.05)</f>
        <v>0.25</v>
      </c>
      <c r="Z160" s="18">
        <f>MROUND(_xlfn.XLOOKUP(B160,'Base stats'!B:B,'Base stats'!AQ:AQ)*_xlfn.XLOOKUP(_xlfn.XLOOKUP(B160,'Base stats'!B:B,'Base stats'!E:E),Groups!A:A,Groups!H:H)/1000,IF((_xlfn.XLOOKUP(B160,'Base stats'!B:B,'Base stats'!AQ:AQ)*_xlfn.XLOOKUP(_xlfn.XLOOKUP(B160,'Base stats'!B:B,'Base stats'!E:E),Groups!A:A,Groups!H:H)/1000)&gt;1,0.05,0.01))</f>
        <v>10.600000000000001</v>
      </c>
      <c r="AA160" s="18">
        <f>MROUND((1/2)*(_xlfn.XLOOKUP(_xlfn.XLOOKUP(B160,'Base stats'!B:B,'Base stats'!E:E),Groups!A:A,Groups!H:H)*_xlfn.XLOOKUP(_xlfn.XLOOKUP(B160,'Base stats'!B:B,'Base stats'!E:E),Groups!A:A,Groups!I:I))*_xlfn.XLOOKUP(B160,'Base stats'!B:B,'Base stats'!AQ:AQ)*0.01,0.05)</f>
        <v>15.950000000000001</v>
      </c>
      <c r="AB160" s="18">
        <f>MROUND(250*(Animals!AO160+Animals!AP160),25)</f>
        <v>4075</v>
      </c>
      <c r="AC160" s="18" t="str">
        <f>_xlfn.XLOOKUP(_xlfn.XLOOKUP(B160,'Base stats'!B:B,'Base stats'!E:E),Groups!A:A,Groups!BJ:BJ)</f>
        <v>Quadruped</v>
      </c>
    </row>
    <row r="161" spans="1:29" ht="16.5" thickTop="1" thickBot="1" x14ac:dyDescent="0.3">
      <c r="A161" s="16" t="str">
        <f>Animals!A161</f>
        <v>RoyalTiger</v>
      </c>
      <c r="B161" s="6" t="str">
        <f>Animals!B161</f>
        <v>Smilodon populator</v>
      </c>
      <c r="C161" s="1" t="str">
        <f>Animals!C161</f>
        <v>&lt;li&gt;VAERoy_RoyalTiger&lt;/li&gt;</v>
      </c>
      <c r="D161" s="47">
        <f>MIN(MIN(6,_xlfn.XLOOKUP(A161,Animals!A:A,Animals!AO:AO))*20,MAX(MROUND(_xlfn.XLOOKUP(B161,'Base stats'!B:B,'Base stats'!BS:BS) * (_xlfn.XLOOKUP(B161,'Base stats'!B:B,'Base stats'!AO:AO)*5%)^0.9 / 21,0.1),0.05))</f>
        <v>6.8000000000000007</v>
      </c>
      <c r="E161" s="11">
        <f>MROUND(_xlfn.XLOOKUP(B161,'Base stats'!B:B,'Base stats'!BG:BG) * 0.01 * 2 + 0.01, 0.05)</f>
        <v>6.15</v>
      </c>
      <c r="F161" s="7">
        <f>MROUND(_xlfn.XLOOKUP(B161,'Base stats'!B:B,'Base stats'!BD:BD)^0.25 / (_xlfn.XLOOKUP(B161,'Base stats'!B:B,'Base stats'!BK:BK) * 10) * 150 + 0.5 + _xlfn.XLOOKUP(B161,'Base stats'!B:B,'Base stats'!BW:BW), 0.05)</f>
        <v>2.25</v>
      </c>
      <c r="G161" s="3" t="str">
        <f>IF(Animals!S161="No","No",
IF(_xlfn.XLOOKUP(B161,'Base stats'!B:B,'Base stats'!U:U)="No",
MAX(MROUND(_xlfn.XLOOKUP(B161,'Base stats'!B:B,'Base stats'!BT:BT) * _xlfn.XLOOKUP(B161,'Base stats'!B:B,'Base stats'!BP:BP)^0.9 / 21 * _xlfn.XLOOKUP(B161,'Base stats'!B:B,'Base stats'!BX:BX),0.1),0.05),
MAX(MROUND(((MIN(10,_xlfn.XLOOKUP(B161,'Base stats'!B:B,'Base stats'!U:U)))^0.4*_xlfn.XLOOKUP(B161,'Base stats'!B:B,'Base stats'!BH:BH)^0.73)^0.6 * _xlfn.XLOOKUP(B161,'Base stats'!B:B,'Base stats'!BX:BX),0.1),0.05)
))</f>
        <v>No</v>
      </c>
      <c r="H161" s="11" t="str">
        <f>IF(G161="No","No",
MROUND(_xlfn.XLOOKUP(B161,'Base stats'!B:B,'Base stats'!BH:BH) * 0.01 * 2 + 0.05, 0.05)
)</f>
        <v>No</v>
      </c>
      <c r="I161" s="11" t="str">
        <f>IF(G161="No","No",IF(_xlfn.XLOOKUP(B161,'Base stats'!B:B,'Base stats'!U:U)="No","No",
MROUND(_xlfn.XLOOKUP(B161,'Base stats'!B:B,'Base stats'!BT:BT)/10000+0.01,0.01)
))</f>
        <v>No</v>
      </c>
      <c r="J161" s="4" t="str">
        <f>IF(G161="No","No",
MROUND(_xlfn.XLOOKUP(B161,'Base stats'!B:B,'Base stats'!BE:BE)^0.25
/((_xlfn.XLOOKUP(B161,'Base stats'!B:B,'Base stats'!BL:BL))*10)*_xlfn.XLOOKUP(_xlfn.XLOOKUP(B161,'Base stats'!B:B,'Base stats'!E:E),Groups!A:A,Groups!Q:Q)*150 + 0.5 + _xlfn.XLOOKUP(B161,'Base stats'!B:B,'Base stats'!BW:BW),
0.05))</f>
        <v>No</v>
      </c>
      <c r="K161" s="3" t="str">
        <f>IF(Animals!X161="No","No",
IF(_xlfn.XLOOKUP(_xlfn.XLOOKUP(B161,'Base stats'!B:B,'Base stats'!E:E),Groups!A:A,Groups!BD:BD)=1,
MAX(MROUND(_xlfn.XLOOKUP(B161,'Base stats'!B:B,'Base stats'!BU:BU) * _xlfn.XLOOKUP(B161,'Base stats'!B:B,'Base stats'!BQ:BQ)^0.9 / 21 *_xlfn.XLOOKUP(B161,'Base stats'!B:B,'Base stats'!BX:BX),0.1),0.05),
MAX(MROUND(((MIN(10,_xlfn.XLOOKUP(B161,'Base stats'!B:B,'Base stats'!W:W)))^0.4*_xlfn.XLOOKUP(B161,'Base stats'!B:B,'Base stats'!BI:BI)^0.73)^0.6 *_xlfn.XLOOKUP(B161,'Base stats'!B:B,'Base stats'!BX:BX),0.1),0.05)
))</f>
        <v>No</v>
      </c>
      <c r="L161" s="11" t="str">
        <f>IF(K161="No","No",
MROUND(_xlfn.XLOOKUP(B161,'Base stats'!B:B,'Base stats'!BI:BI) * 0.01 *2 + 0.05, 0.05)
)</f>
        <v>No</v>
      </c>
      <c r="M161" s="5" t="str">
        <f>IF(K161="No","No",IF(_xlfn.XLOOKUP(_xlfn.XLOOKUP(B161,'Base stats'!B:B,'Base stats'!E:E),Groups!A:A,Groups!BD:BD)=1,"No",
MROUND(_xlfn.XLOOKUP(B161,'Base stats'!B:B,'Base stats'!BU:BU)/10000+0.01,0.01)
))</f>
        <v>No</v>
      </c>
      <c r="N161" s="4" t="str">
        <f>IF(K161="No","No",
MROUND(
  _xlfn.XLOOKUP(B161,'Base stats'!B:B,'Base stats'!BC:BC)^0.25
  / (_xlfn.XLOOKUP(B161,'Base stats'!B:B,'Base stats'!BM:BM) * 10)
  * _xlfn.XLOOKUP(
      _xlfn.XLOOKUP(B161,'Base stats'!B:B,'Base stats'!E:E),
      Groups!A:A,
      Groups!V:V
    ) * 150
  + MIN(12, _xlfn.XLOOKUP(B161,'Base stats'!B:B,'Base stats'!W:W))^(1/IF(_xlfn.XLOOKUP(_xlfn.XLOOKUP(B161,'Base stats'!B:B,'Base stats'!E:E),Groups!A:A,Groups!U:U)=1,100,10)) + 0.5 + _xlfn.XLOOKUP(B161,'Base stats'!B:B,'Base stats'!BW:BW),
0.05))</f>
        <v>No</v>
      </c>
      <c r="O161" s="3">
        <f>IF(Animals!AD161="No","No",
MAX(MROUND((MIN(10,_xlfn.XLOOKUP(B161,'Base stats'!B:B,'Base stats'!V:V)*IF(_xlfn.XLOOKUP(_xlfn.XLOOKUP(B161,'Base stats'!B:B,'Base stats'!E:E),Groups!A:A,Groups!O:O)=0,1,0.33))^0.4*_xlfn.XLOOKUP(B161,'Base stats'!B:B,'Base stats'!BJ:BJ)^0.73)^0.6 *_xlfn.XLOOKUP(B161,'Base stats'!B:B,'Base stats'!BX:BX),0.1),0.05)
)</f>
        <v>30.400000000000002</v>
      </c>
      <c r="P161" s="11">
        <f>IF(O161="No","No",
MROUND(_xlfn.XLOOKUP(B161,'Base stats'!B:B,'Base stats'!BJ:BJ) * 0.01 * 2 + 0.05, 0.05)
)</f>
        <v>13.8</v>
      </c>
      <c r="Q161" s="5">
        <f>IF(O161="No","No",
MROUND(_xlfn.XLOOKUP(B161,'Base stats'!B:B,'Base stats'!BV:BV)/10000+0.01,0.01)
)</f>
        <v>0.5</v>
      </c>
      <c r="R161" s="4">
        <f>IF(O161="No","No",
MROUND(_xlfn.XLOOKUP(B161,'Base stats'!B:B,'Base stats'!BB:BB)^0.25
/((_xlfn.XLOOKUP(B161,'Base stats'!B:B,'Base stats'!BN:BN))*10)*_xlfn.XLOOKUP(_xlfn.XLOOKUP(B161,'Base stats'!B:B,'Base stats'!E:E),Groups!A:A,Groups!Z:Z)*150 + 0.5 + _xlfn.XLOOKUP(B161,'Base stats'!B:B,'Base stats'!BW:BW),
0.05))</f>
        <v>2.0500000000000003</v>
      </c>
      <c r="S161" s="3">
        <f>IF(Animals!AI161="No","No",
IF(_xlfn.XLOOKUP(B161,'Base stats'!B:B,'Base stats'!U:U)="No",
MAX(MROUND(_xlfn.XLOOKUP(B161,'Base stats'!B:B,'Base stats'!BT:BT) * _xlfn.XLOOKUP(B161,'Base stats'!B:B,'Base stats'!BP:BP)^0.9 / 21 * _xlfn.XLOOKUP(B161,'Base stats'!B:B,'Base stats'!BX:BX),0.1),0.05),
MAX(MROUND(((MIN(12,_xlfn.XLOOKUP(B161,'Base stats'!B:B,'Base stats'!U:U)))^0.4*_xlfn.XLOOKUP(B161,'Base stats'!B:B,'Base stats'!BH:BH)^0.73)^0.6 * _xlfn.XLOOKUP(B161,'Base stats'!B:B,'Base stats'!BX:BX),0.1),0.05)
))</f>
        <v>24.1</v>
      </c>
      <c r="T161" s="11">
        <f>IF(S161="No","No",
MROUND(_xlfn.XLOOKUP(B161,'Base stats'!B:B,'Base stats'!BH:BH) * 0.01 * 2 + 0.05, 0.05)
)</f>
        <v>7.3500000000000005</v>
      </c>
      <c r="U161" s="5">
        <f>IF(S161="No","No",IF(_xlfn.XLOOKUP(B161,'Base stats'!B:B,'Base stats'!U:U)="No","No",
MROUND(_xlfn.XLOOKUP(B161,'Base stats'!B:B,'Base stats'!BT:BT)/10000+0.01,0.01)
))</f>
        <v>0.27</v>
      </c>
      <c r="V161" s="4">
        <f>IF(S161="No","No",
MROUND(_xlfn.XLOOKUP(B161,'Base stats'!B:B,'Base stats'!BF:BF)^0.25
/((_xlfn.XLOOKUP(B161,'Base stats'!B:B,'Base stats'!BO:BO))*10)*_xlfn.XLOOKUP(_xlfn.XLOOKUP(B161,'Base stats'!B:B,'Base stats'!E:E),Groups!A:A,Groups!AE:AE)*150 + 0.5 + _xlfn.XLOOKUP(B161,'Base stats'!B:B,'Base stats'!BW:BW),
0.05))</f>
        <v>1.55</v>
      </c>
      <c r="W161" s="8">
        <f>MROUND(_xlfn.XLOOKUP(_xlfn.XLOOKUP(B161,'Base stats'!B:B,'Base stats'!E:E),Groups!A:A,Groups!BG:BG)*_xlfn.XLOOKUP(B161,'Base stats'!B:B,'Base stats'!C:C)^-0.165,0.05)</f>
        <v>0.5</v>
      </c>
      <c r="X161" s="1">
        <f>MROUND(_xlfn.XLOOKUP(_xlfn.XLOOKUP(B161,'Base stats'!B:B,'Base stats'!E:E),Groups!A:A,Groups!BH:BH)*_xlfn.XLOOKUP(B161,'Base stats'!B:B,'Base stats'!C:C)^0.165,0.05)</f>
        <v>0.65</v>
      </c>
      <c r="Y161" s="8">
        <f>MROUND(_xlfn.XLOOKUP(_xlfn.XLOOKUP(B161,'Base stats'!B:B,'Base stats'!E:E),Groups!A:A,Groups!BI:BI)*_xlfn.XLOOKUP(B161,'Base stats'!B:B,'Base stats'!C:C)^0.165,0.05)</f>
        <v>0.05</v>
      </c>
      <c r="Z161" s="18">
        <f>MROUND(_xlfn.XLOOKUP(B161,'Base stats'!B:B,'Base stats'!AQ:AQ)*_xlfn.XLOOKUP(_xlfn.XLOOKUP(B161,'Base stats'!B:B,'Base stats'!E:E),Groups!A:A,Groups!H:H)/1000,IF((_xlfn.XLOOKUP(B161,'Base stats'!B:B,'Base stats'!AQ:AQ)*_xlfn.XLOOKUP(_xlfn.XLOOKUP(B161,'Base stats'!B:B,'Base stats'!E:E),Groups!A:A,Groups!H:H)/1000)&gt;1,0.05,0.01))</f>
        <v>0.14000000000000001</v>
      </c>
      <c r="AA161" s="18">
        <f>MROUND((1/2)*(_xlfn.XLOOKUP(_xlfn.XLOOKUP(B161,'Base stats'!B:B,'Base stats'!E:E),Groups!A:A,Groups!H:H)*_xlfn.XLOOKUP(_xlfn.XLOOKUP(B161,'Base stats'!B:B,'Base stats'!E:E),Groups!A:A,Groups!I:I))*_xlfn.XLOOKUP(B161,'Base stats'!B:B,'Base stats'!AQ:AQ)*0.01,0.05)</f>
        <v>0.60000000000000009</v>
      </c>
      <c r="AB161" s="18">
        <f>MROUND(250*(Animals!AO161+Animals!AP161),25)</f>
        <v>1100</v>
      </c>
      <c r="AC161" s="18" t="str">
        <f>_xlfn.XLOOKUP(_xlfn.XLOOKUP(B161,'Base stats'!B:B,'Base stats'!E:E),Groups!A:A,Groups!BJ:BJ)</f>
        <v>Quadruped</v>
      </c>
    </row>
    <row r="162" spans="1:29" ht="16.5" thickTop="1" thickBot="1" x14ac:dyDescent="0.3">
      <c r="A162" s="16" t="str">
        <f>Animals!A162</f>
        <v>Pheasant</v>
      </c>
      <c r="B162" s="6" t="str">
        <f>Animals!B162</f>
        <v>Phasianus colchicus</v>
      </c>
      <c r="C162" s="1" t="str">
        <f>Animals!C162</f>
        <v>&lt;li&gt;VAERoy_Pheasant&lt;/li&gt;</v>
      </c>
      <c r="D162" s="47">
        <f>MIN(MIN(6,_xlfn.XLOOKUP(A162,Animals!A:A,Animals!AO:AO))*20,MAX(MROUND(_xlfn.XLOOKUP(B162,'Base stats'!B:B,'Base stats'!BS:BS) * (_xlfn.XLOOKUP(B162,'Base stats'!B:B,'Base stats'!AO:AO)*5%)^0.9 / 21,0.1),0.05))</f>
        <v>0.1</v>
      </c>
      <c r="E162" s="11">
        <f>MROUND(_xlfn.XLOOKUP(B162,'Base stats'!B:B,'Base stats'!BG:BG) * 0.01 * 2 + 0.01, 0.05)</f>
        <v>0.05</v>
      </c>
      <c r="F162" s="7">
        <f>MROUND(_xlfn.XLOOKUP(B162,'Base stats'!B:B,'Base stats'!BD:BD)^0.25 / (_xlfn.XLOOKUP(B162,'Base stats'!B:B,'Base stats'!BK:BK) * 10) * 150 + 0.5 + _xlfn.XLOOKUP(B162,'Base stats'!B:B,'Base stats'!BW:BW), 0.05)</f>
        <v>1.2000000000000002</v>
      </c>
      <c r="G162" s="3">
        <f>IF(Animals!S162="No","No",
IF(_xlfn.XLOOKUP(B162,'Base stats'!B:B,'Base stats'!U:U)="No",
MAX(MROUND(_xlfn.XLOOKUP(B162,'Base stats'!B:B,'Base stats'!BT:BT) * _xlfn.XLOOKUP(B162,'Base stats'!B:B,'Base stats'!BP:BP)^0.9 / 21 * _xlfn.XLOOKUP(B162,'Base stats'!B:B,'Base stats'!BX:BX),0.1),0.05),
MAX(MROUND(((MIN(10,_xlfn.XLOOKUP(B162,'Base stats'!B:B,'Base stats'!U:U)))^0.4*_xlfn.XLOOKUP(B162,'Base stats'!B:B,'Base stats'!BH:BH)^0.73)^0.6 * _xlfn.XLOOKUP(B162,'Base stats'!B:B,'Base stats'!BX:BX),0.1),0.05)
))</f>
        <v>1.6</v>
      </c>
      <c r="H162" s="11">
        <f>IF(G162="No","No",
MROUND(_xlfn.XLOOKUP(B162,'Base stats'!B:B,'Base stats'!BH:BH) * 0.01 * 2 + 0.05, 0.05)
)</f>
        <v>0.1</v>
      </c>
      <c r="I162" s="11">
        <f>IF(G162="No","No",IF(_xlfn.XLOOKUP(B162,'Base stats'!B:B,'Base stats'!U:U)="No","No",
MROUND(_xlfn.XLOOKUP(B162,'Base stats'!B:B,'Base stats'!BT:BT)/10000+0.01,0.01)
))</f>
        <v>0.03</v>
      </c>
      <c r="J162" s="4">
        <f>IF(G162="No","No",
MROUND(_xlfn.XLOOKUP(B162,'Base stats'!B:B,'Base stats'!BE:BE)^0.25
/((_xlfn.XLOOKUP(B162,'Base stats'!B:B,'Base stats'!BL:BL))*10)*_xlfn.XLOOKUP(_xlfn.XLOOKUP(B162,'Base stats'!B:B,'Base stats'!E:E),Groups!A:A,Groups!Q:Q)*150 + 0.5 + _xlfn.XLOOKUP(B162,'Base stats'!B:B,'Base stats'!BW:BW),
0.05))</f>
        <v>1.8</v>
      </c>
      <c r="K162" s="3" t="str">
        <f>IF(Animals!X162="No","No",
IF(_xlfn.XLOOKUP(_xlfn.XLOOKUP(B162,'Base stats'!B:B,'Base stats'!E:E),Groups!A:A,Groups!BD:BD)=1,
MAX(MROUND(_xlfn.XLOOKUP(B162,'Base stats'!B:B,'Base stats'!BU:BU) * _xlfn.XLOOKUP(B162,'Base stats'!B:B,'Base stats'!BQ:BQ)^0.9 / 21 *_xlfn.XLOOKUP(B162,'Base stats'!B:B,'Base stats'!BX:BX),0.1),0.05),
MAX(MROUND(((MIN(10,_xlfn.XLOOKUP(B162,'Base stats'!B:B,'Base stats'!W:W)))^0.4*_xlfn.XLOOKUP(B162,'Base stats'!B:B,'Base stats'!BI:BI)^0.73)^0.6 *_xlfn.XLOOKUP(B162,'Base stats'!B:B,'Base stats'!BX:BX),0.1),0.05)
))</f>
        <v>No</v>
      </c>
      <c r="L162" s="11" t="str">
        <f>IF(K162="No","No",
MROUND(_xlfn.XLOOKUP(B162,'Base stats'!B:B,'Base stats'!BI:BI) * 0.01 *2 + 0.05, 0.05)
)</f>
        <v>No</v>
      </c>
      <c r="M162" s="5" t="str">
        <f>IF(K162="No","No",IF(_xlfn.XLOOKUP(_xlfn.XLOOKUP(B162,'Base stats'!B:B,'Base stats'!E:E),Groups!A:A,Groups!BD:BD)=1,"No",
MROUND(_xlfn.XLOOKUP(B162,'Base stats'!B:B,'Base stats'!BU:BU)/10000+0.01,0.01)
))</f>
        <v>No</v>
      </c>
      <c r="N162" s="4" t="str">
        <f>IF(K162="No","No",
MROUND(
  _xlfn.XLOOKUP(B162,'Base stats'!B:B,'Base stats'!BC:BC)^0.25
  / (_xlfn.XLOOKUP(B162,'Base stats'!B:B,'Base stats'!BM:BM) * 10)
  * _xlfn.XLOOKUP(
      _xlfn.XLOOKUP(B162,'Base stats'!B:B,'Base stats'!E:E),
      Groups!A:A,
      Groups!V:V
    ) * 150
  + MIN(12, _xlfn.XLOOKUP(B162,'Base stats'!B:B,'Base stats'!W:W))^(1/IF(_xlfn.XLOOKUP(_xlfn.XLOOKUP(B162,'Base stats'!B:B,'Base stats'!E:E),Groups!A:A,Groups!U:U)=1,100,10)) + 0.5 + _xlfn.XLOOKUP(B162,'Base stats'!B:B,'Base stats'!BW:BW),
0.05))</f>
        <v>No</v>
      </c>
      <c r="O162" s="3">
        <f>IF(Animals!AD162="No","No",
MAX(MROUND((MIN(10,_xlfn.XLOOKUP(B162,'Base stats'!B:B,'Base stats'!V:V)*IF(_xlfn.XLOOKUP(_xlfn.XLOOKUP(B162,'Base stats'!B:B,'Base stats'!E:E),Groups!A:A,Groups!O:O)=0,1,0.33))^0.4*_xlfn.XLOOKUP(B162,'Base stats'!B:B,'Base stats'!BJ:BJ)^0.73)^0.6 *_xlfn.XLOOKUP(B162,'Base stats'!B:B,'Base stats'!BX:BX),0.1),0.05)
)</f>
        <v>0.70000000000000007</v>
      </c>
      <c r="P162" s="11">
        <f>IF(O162="No","No",
MROUND(_xlfn.XLOOKUP(B162,'Base stats'!B:B,'Base stats'!BJ:BJ) * 0.01 * 2 + 0.05, 0.05)
)</f>
        <v>0.05</v>
      </c>
      <c r="Q162" s="5">
        <f>IF(O162="No","No",
MROUND(_xlfn.XLOOKUP(B162,'Base stats'!B:B,'Base stats'!BV:BV)/10000+0.01,0.01)
)</f>
        <v>0.01</v>
      </c>
      <c r="R162" s="4">
        <f>IF(O162="No","No",
MROUND(_xlfn.XLOOKUP(B162,'Base stats'!B:B,'Base stats'!BB:BB)^0.25
/((_xlfn.XLOOKUP(B162,'Base stats'!B:B,'Base stats'!BN:BN))*10)*_xlfn.XLOOKUP(_xlfn.XLOOKUP(B162,'Base stats'!B:B,'Base stats'!E:E),Groups!A:A,Groups!Z:Z)*150 + 0.5 + _xlfn.XLOOKUP(B162,'Base stats'!B:B,'Base stats'!BW:BW),
0.05))</f>
        <v>1.9000000000000001</v>
      </c>
      <c r="S162" s="3" t="str">
        <f>IF(Animals!AI162="No","No",
IF(_xlfn.XLOOKUP(B162,'Base stats'!B:B,'Base stats'!U:U)="No",
MAX(MROUND(_xlfn.XLOOKUP(B162,'Base stats'!B:B,'Base stats'!BT:BT) * _xlfn.XLOOKUP(B162,'Base stats'!B:B,'Base stats'!BP:BP)^0.9 / 21 * _xlfn.XLOOKUP(B162,'Base stats'!B:B,'Base stats'!BX:BX),0.1),0.05),
MAX(MROUND(((MIN(12,_xlfn.XLOOKUP(B162,'Base stats'!B:B,'Base stats'!U:U)))^0.4*_xlfn.XLOOKUP(B162,'Base stats'!B:B,'Base stats'!BH:BH)^0.73)^0.6 * _xlfn.XLOOKUP(B162,'Base stats'!B:B,'Base stats'!BX:BX),0.1),0.05)
))</f>
        <v>No</v>
      </c>
      <c r="T162" s="11" t="str">
        <f>IF(S162="No","No",
MROUND(_xlfn.XLOOKUP(B162,'Base stats'!B:B,'Base stats'!BH:BH) * 0.01 * 2 + 0.05, 0.05)
)</f>
        <v>No</v>
      </c>
      <c r="U162" s="5" t="str">
        <f>IF(S162="No","No",IF(_xlfn.XLOOKUP(B162,'Base stats'!B:B,'Base stats'!U:U)="No","No",
MROUND(_xlfn.XLOOKUP(B162,'Base stats'!B:B,'Base stats'!BT:BT)/10000+0.01,0.01)
))</f>
        <v>No</v>
      </c>
      <c r="V162" s="4" t="str">
        <f>IF(S162="No","No",
MROUND(_xlfn.XLOOKUP(B162,'Base stats'!B:B,'Base stats'!BF:BF)^0.25
/((_xlfn.XLOOKUP(B162,'Base stats'!B:B,'Base stats'!BO:BO))*10)*_xlfn.XLOOKUP(_xlfn.XLOOKUP(B162,'Base stats'!B:B,'Base stats'!E:E),Groups!A:A,Groups!AE:AE)*150 + 0.5 + _xlfn.XLOOKUP(B162,'Base stats'!B:B,'Base stats'!BW:BW),
0.05))</f>
        <v>No</v>
      </c>
      <c r="W162" s="8">
        <f>MROUND(_xlfn.XLOOKUP(_xlfn.XLOOKUP(B162,'Base stats'!B:B,'Base stats'!E:E),Groups!A:A,Groups!BG:BG)*_xlfn.XLOOKUP(B162,'Base stats'!B:B,'Base stats'!C:C)^-0.165,0.05)</f>
        <v>1</v>
      </c>
      <c r="X162" s="1">
        <f>MROUND(_xlfn.XLOOKUP(_xlfn.XLOOKUP(B162,'Base stats'!B:B,'Base stats'!E:E),Groups!A:A,Groups!BH:BH)*_xlfn.XLOOKUP(B162,'Base stats'!B:B,'Base stats'!C:C)^0.165,0.05)</f>
        <v>0</v>
      </c>
      <c r="Y162" s="8">
        <f>MROUND(_xlfn.XLOOKUP(_xlfn.XLOOKUP(B162,'Base stats'!B:B,'Base stats'!E:E),Groups!A:A,Groups!BI:BI)*_xlfn.XLOOKUP(B162,'Base stats'!B:B,'Base stats'!C:C)^0.165,0.05)</f>
        <v>0</v>
      </c>
      <c r="Z162" s="18">
        <f>MROUND(_xlfn.XLOOKUP(B162,'Base stats'!B:B,'Base stats'!AQ:AQ)*_xlfn.XLOOKUP(_xlfn.XLOOKUP(B162,'Base stats'!B:B,'Base stats'!E:E),Groups!A:A,Groups!H:H)/1000,IF((_xlfn.XLOOKUP(B162,'Base stats'!B:B,'Base stats'!AQ:AQ)*_xlfn.XLOOKUP(_xlfn.XLOOKUP(B162,'Base stats'!B:B,'Base stats'!E:E),Groups!A:A,Groups!H:H)/1000)&gt;1,0.05,0.01))</f>
        <v>0</v>
      </c>
      <c r="AA162" s="18">
        <f>MROUND((1/2)*(_xlfn.XLOOKUP(_xlfn.XLOOKUP(B162,'Base stats'!B:B,'Base stats'!E:E),Groups!A:A,Groups!H:H)*_xlfn.XLOOKUP(_xlfn.XLOOKUP(B162,'Base stats'!B:B,'Base stats'!E:E),Groups!A:A,Groups!I:I))*_xlfn.XLOOKUP(B162,'Base stats'!B:B,'Base stats'!AQ:AQ)*0.01,0.05)</f>
        <v>0</v>
      </c>
      <c r="AB162" s="18">
        <f>MROUND(250*(Animals!AO162+Animals!AP162),25)</f>
        <v>75</v>
      </c>
      <c r="AC162" s="18" t="str">
        <f>_xlfn.XLOOKUP(_xlfn.XLOOKUP(B162,'Base stats'!B:B,'Base stats'!E:E),Groups!A:A,Groups!BJ:BJ)</f>
        <v>Birdlike</v>
      </c>
    </row>
    <row r="163" spans="1:29" ht="16.5" thickTop="1" thickBot="1" x14ac:dyDescent="0.3">
      <c r="A163" s="16" t="str">
        <f>Animals!A163</f>
        <v>Orangutan</v>
      </c>
      <c r="B163" s="6" t="str">
        <f>Animals!B163</f>
        <v>Pongo pygmaeus</v>
      </c>
      <c r="C163" s="1" t="str">
        <f>Animals!C163</f>
        <v>&lt;li&gt;VAERoy_Orangutan&lt;/li&gt;</v>
      </c>
      <c r="D163" s="47">
        <f>MIN(MIN(6,_xlfn.XLOOKUP(A163,Animals!A:A,Animals!AO:AO))*20,MAX(MROUND(_xlfn.XLOOKUP(B163,'Base stats'!B:B,'Base stats'!BS:BS) * (_xlfn.XLOOKUP(B163,'Base stats'!B:B,'Base stats'!AO:AO)*5%)^0.9 / 21,0.1),0.05))</f>
        <v>2.1</v>
      </c>
      <c r="E163" s="11">
        <f>MROUND(_xlfn.XLOOKUP(B163,'Base stats'!B:B,'Base stats'!BG:BG) * 0.01 * 2 + 0.01, 0.05)</f>
        <v>1.75</v>
      </c>
      <c r="F163" s="7">
        <f>MROUND(_xlfn.XLOOKUP(B163,'Base stats'!B:B,'Base stats'!BD:BD)^0.25 / (_xlfn.XLOOKUP(B163,'Base stats'!B:B,'Base stats'!BK:BK) * 10) * 150 + 0.5 + _xlfn.XLOOKUP(B163,'Base stats'!B:B,'Base stats'!BW:BW), 0.05)</f>
        <v>1.6500000000000001</v>
      </c>
      <c r="G163" s="3" t="str">
        <f>IF(Animals!S163="No","No",
IF(_xlfn.XLOOKUP(B163,'Base stats'!B:B,'Base stats'!U:U)="No",
MAX(MROUND(_xlfn.XLOOKUP(B163,'Base stats'!B:B,'Base stats'!BT:BT) * _xlfn.XLOOKUP(B163,'Base stats'!B:B,'Base stats'!BP:BP)^0.9 / 21 * _xlfn.XLOOKUP(B163,'Base stats'!B:B,'Base stats'!BX:BX),0.1),0.05),
MAX(MROUND(((MIN(10,_xlfn.XLOOKUP(B163,'Base stats'!B:B,'Base stats'!U:U)))^0.4*_xlfn.XLOOKUP(B163,'Base stats'!B:B,'Base stats'!BH:BH)^0.73)^0.6 * _xlfn.XLOOKUP(B163,'Base stats'!B:B,'Base stats'!BX:BX),0.1),0.05)
))</f>
        <v>No</v>
      </c>
      <c r="H163" s="11" t="str">
        <f>IF(G163="No","No",
MROUND(_xlfn.XLOOKUP(B163,'Base stats'!B:B,'Base stats'!BH:BH) * 0.01 * 2 + 0.05, 0.05)
)</f>
        <v>No</v>
      </c>
      <c r="I163" s="11" t="str">
        <f>IF(G163="No","No",IF(_xlfn.XLOOKUP(B163,'Base stats'!B:B,'Base stats'!U:U)="No","No",
MROUND(_xlfn.XLOOKUP(B163,'Base stats'!B:B,'Base stats'!BT:BT)/10000+0.01,0.01)
))</f>
        <v>No</v>
      </c>
      <c r="J163" s="4" t="str">
        <f>IF(G163="No","No",
MROUND(_xlfn.XLOOKUP(B163,'Base stats'!B:B,'Base stats'!BE:BE)^0.25
/((_xlfn.XLOOKUP(B163,'Base stats'!B:B,'Base stats'!BL:BL))*10)*_xlfn.XLOOKUP(_xlfn.XLOOKUP(B163,'Base stats'!B:B,'Base stats'!E:E),Groups!A:A,Groups!Q:Q)*150 + 0.5 + _xlfn.XLOOKUP(B163,'Base stats'!B:B,'Base stats'!BW:BW),
0.05))</f>
        <v>No</v>
      </c>
      <c r="K163" s="3" t="str">
        <f>IF(Animals!X163="No","No",
IF(_xlfn.XLOOKUP(_xlfn.XLOOKUP(B163,'Base stats'!B:B,'Base stats'!E:E),Groups!A:A,Groups!BD:BD)=1,
MAX(MROUND(_xlfn.XLOOKUP(B163,'Base stats'!B:B,'Base stats'!BU:BU) * _xlfn.XLOOKUP(B163,'Base stats'!B:B,'Base stats'!BQ:BQ)^0.9 / 21 *_xlfn.XLOOKUP(B163,'Base stats'!B:B,'Base stats'!BX:BX),0.1),0.05),
MAX(MROUND(((MIN(10,_xlfn.XLOOKUP(B163,'Base stats'!B:B,'Base stats'!W:W)))^0.4*_xlfn.XLOOKUP(B163,'Base stats'!B:B,'Base stats'!BI:BI)^0.73)^0.6 *_xlfn.XLOOKUP(B163,'Base stats'!B:B,'Base stats'!BX:BX),0.1),0.05)
))</f>
        <v>No</v>
      </c>
      <c r="L163" s="11" t="str">
        <f>IF(K163="No","No",
MROUND(_xlfn.XLOOKUP(B163,'Base stats'!B:B,'Base stats'!BI:BI) * 0.01 *2 + 0.05, 0.05)
)</f>
        <v>No</v>
      </c>
      <c r="M163" s="5" t="str">
        <f>IF(K163="No","No",IF(_xlfn.XLOOKUP(_xlfn.XLOOKUP(B163,'Base stats'!B:B,'Base stats'!E:E),Groups!A:A,Groups!BD:BD)=1,"No",
MROUND(_xlfn.XLOOKUP(B163,'Base stats'!B:B,'Base stats'!BU:BU)/10000+0.01,0.01)
))</f>
        <v>No</v>
      </c>
      <c r="N163" s="4" t="str">
        <f>IF(K163="No","No",
MROUND(
  _xlfn.XLOOKUP(B163,'Base stats'!B:B,'Base stats'!BC:BC)^0.25
  / (_xlfn.XLOOKUP(B163,'Base stats'!B:B,'Base stats'!BM:BM) * 10)
  * _xlfn.XLOOKUP(
      _xlfn.XLOOKUP(B163,'Base stats'!B:B,'Base stats'!E:E),
      Groups!A:A,
      Groups!V:V
    ) * 150
  + MIN(12, _xlfn.XLOOKUP(B163,'Base stats'!B:B,'Base stats'!W:W))^(1/IF(_xlfn.XLOOKUP(_xlfn.XLOOKUP(B163,'Base stats'!B:B,'Base stats'!E:E),Groups!A:A,Groups!U:U)=1,100,10)) + 0.5 + _xlfn.XLOOKUP(B163,'Base stats'!B:B,'Base stats'!BW:BW),
0.05))</f>
        <v>No</v>
      </c>
      <c r="O163" s="3">
        <f>IF(Animals!AD163="No","No",
MAX(MROUND((MIN(10,_xlfn.XLOOKUP(B163,'Base stats'!B:B,'Base stats'!V:V)*IF(_xlfn.XLOOKUP(_xlfn.XLOOKUP(B163,'Base stats'!B:B,'Base stats'!E:E),Groups!A:A,Groups!O:O)=0,1,0.33))^0.4*_xlfn.XLOOKUP(B163,'Base stats'!B:B,'Base stats'!BJ:BJ)^0.73)^0.6 *_xlfn.XLOOKUP(B163,'Base stats'!B:B,'Base stats'!BX:BX),0.1),0.05)
)</f>
        <v>10.200000000000001</v>
      </c>
      <c r="P163" s="11">
        <f>IF(O163="No","No",
MROUND(_xlfn.XLOOKUP(B163,'Base stats'!B:B,'Base stats'!BJ:BJ) * 0.01 * 2 + 0.05, 0.05)
)</f>
        <v>2.25</v>
      </c>
      <c r="Q163" s="5">
        <f>IF(O163="No","No",
MROUND(_xlfn.XLOOKUP(B163,'Base stats'!B:B,'Base stats'!BV:BV)/10000+0.01,0.01)
)</f>
        <v>0.15</v>
      </c>
      <c r="R163" s="4">
        <f>IF(O163="No","No",
MROUND(_xlfn.XLOOKUP(B163,'Base stats'!B:B,'Base stats'!BB:BB)^0.25
/((_xlfn.XLOOKUP(B163,'Base stats'!B:B,'Base stats'!BN:BN))*10)*_xlfn.XLOOKUP(_xlfn.XLOOKUP(B163,'Base stats'!B:B,'Base stats'!E:E),Groups!A:A,Groups!Z:Z)*150 + 0.5 + _xlfn.XLOOKUP(B163,'Base stats'!B:B,'Base stats'!BW:BW),
0.05))</f>
        <v>2.0500000000000003</v>
      </c>
      <c r="S163" s="3">
        <f>IF(Animals!AI163="No","No",
IF(_xlfn.XLOOKUP(B163,'Base stats'!B:B,'Base stats'!U:U)="No",
MAX(MROUND(_xlfn.XLOOKUP(B163,'Base stats'!B:B,'Base stats'!BT:BT) * _xlfn.XLOOKUP(B163,'Base stats'!B:B,'Base stats'!BP:BP)^0.9 / 21 * _xlfn.XLOOKUP(B163,'Base stats'!B:B,'Base stats'!BX:BX),0.1),0.05),
MAX(MROUND(((MIN(12,_xlfn.XLOOKUP(B163,'Base stats'!B:B,'Base stats'!U:U)))^0.4*_xlfn.XLOOKUP(B163,'Base stats'!B:B,'Base stats'!BH:BH)^0.73)^0.6 * _xlfn.XLOOKUP(B163,'Base stats'!B:B,'Base stats'!BX:BX),0.1),0.05)
))</f>
        <v>4.8000000000000007</v>
      </c>
      <c r="T163" s="11">
        <f>IF(S163="No","No",
MROUND(_xlfn.XLOOKUP(B163,'Base stats'!B:B,'Base stats'!BH:BH) * 0.01 * 2 + 0.05, 0.05)
)</f>
        <v>2.3000000000000003</v>
      </c>
      <c r="U163" s="5" t="str">
        <f>IF(S163="No","No",IF(_xlfn.XLOOKUP(B163,'Base stats'!B:B,'Base stats'!U:U)="No","No",
MROUND(_xlfn.XLOOKUP(B163,'Base stats'!B:B,'Base stats'!BT:BT)/10000+0.01,0.01)
))</f>
        <v>No</v>
      </c>
      <c r="V163" s="4">
        <f>IF(S163="No","No",
MROUND(_xlfn.XLOOKUP(B163,'Base stats'!B:B,'Base stats'!BF:BF)^0.25
/((_xlfn.XLOOKUP(B163,'Base stats'!B:B,'Base stats'!BO:BO))*10)*_xlfn.XLOOKUP(_xlfn.XLOOKUP(B163,'Base stats'!B:B,'Base stats'!E:E),Groups!A:A,Groups!AE:AE)*150 + 0.5 + _xlfn.XLOOKUP(B163,'Base stats'!B:B,'Base stats'!BW:BW),
0.05))</f>
        <v>1.4000000000000001</v>
      </c>
      <c r="W163" s="8">
        <f>MROUND(_xlfn.XLOOKUP(_xlfn.XLOOKUP(B163,'Base stats'!B:B,'Base stats'!E:E),Groups!A:A,Groups!BG:BG)*_xlfn.XLOOKUP(B163,'Base stats'!B:B,'Base stats'!C:C)^-0.165,0.05)</f>
        <v>0.5</v>
      </c>
      <c r="X163" s="1">
        <f>MROUND(_xlfn.XLOOKUP(_xlfn.XLOOKUP(B163,'Base stats'!B:B,'Base stats'!E:E),Groups!A:A,Groups!BH:BH)*_xlfn.XLOOKUP(B163,'Base stats'!B:B,'Base stats'!C:C)^0.165,0.05)</f>
        <v>0.2</v>
      </c>
      <c r="Y163" s="8">
        <f>MROUND(_xlfn.XLOOKUP(_xlfn.XLOOKUP(B163,'Base stats'!B:B,'Base stats'!E:E),Groups!A:A,Groups!BI:BI)*_xlfn.XLOOKUP(B163,'Base stats'!B:B,'Base stats'!C:C)^0.165,0.05)</f>
        <v>0.1</v>
      </c>
      <c r="Z163" s="18">
        <f>MROUND(_xlfn.XLOOKUP(B163,'Base stats'!B:B,'Base stats'!AQ:AQ)*_xlfn.XLOOKUP(_xlfn.XLOOKUP(B163,'Base stats'!B:B,'Base stats'!E:E),Groups!A:A,Groups!H:H)/1000,IF((_xlfn.XLOOKUP(B163,'Base stats'!B:B,'Base stats'!AQ:AQ)*_xlfn.XLOOKUP(_xlfn.XLOOKUP(B163,'Base stats'!B:B,'Base stats'!E:E),Groups!A:A,Groups!H:H)/1000)&gt;1,0.05,0.01))</f>
        <v>0.06</v>
      </c>
      <c r="AA163" s="18">
        <f>MROUND((1/2)*(_xlfn.XLOOKUP(_xlfn.XLOOKUP(B163,'Base stats'!B:B,'Base stats'!E:E),Groups!A:A,Groups!H:H)*_xlfn.XLOOKUP(_xlfn.XLOOKUP(B163,'Base stats'!B:B,'Base stats'!E:E),Groups!A:A,Groups!I:I))*_xlfn.XLOOKUP(B163,'Base stats'!B:B,'Base stats'!AQ:AQ)*0.01,0.05)</f>
        <v>0.25</v>
      </c>
      <c r="AB163" s="18">
        <f>MROUND(250*(Animals!AO163+Animals!AP163),25)</f>
        <v>475</v>
      </c>
      <c r="AC163" s="18" t="str">
        <f>_xlfn.XLOOKUP(_xlfn.XLOOKUP(B163,'Base stats'!B:B,'Base stats'!E:E),Groups!A:A,Groups!BJ:BJ)</f>
        <v>HumanoidWide</v>
      </c>
    </row>
    <row r="164" spans="1:29" ht="16.5" thickTop="1" thickBot="1" x14ac:dyDescent="0.3">
      <c r="A164" s="16" t="str">
        <f>Animals!A164</f>
        <v>Megachicken</v>
      </c>
      <c r="B164" s="6" t="str">
        <f>Animals!B164</f>
        <v>Gallus giganteus</v>
      </c>
      <c r="C164" s="1" t="str">
        <f>Animals!C164</f>
        <v>&lt;li&gt;VAERoy_Megachicken&lt;/li&gt;</v>
      </c>
      <c r="D164" s="47">
        <f>MIN(MIN(6,_xlfn.XLOOKUP(A164,Animals!A:A,Animals!AO:AO))*20,MAX(MROUND(_xlfn.XLOOKUP(B164,'Base stats'!B:B,'Base stats'!BS:BS) * (_xlfn.XLOOKUP(B164,'Base stats'!B:B,'Base stats'!AO:AO)*5%)^0.9 / 21,0.1),0.05))</f>
        <v>0.2</v>
      </c>
      <c r="E164" s="11">
        <f>MROUND(_xlfn.XLOOKUP(B164,'Base stats'!B:B,'Base stats'!BG:BG) * 0.01 * 2 + 0.01, 0.05)</f>
        <v>0.2</v>
      </c>
      <c r="F164" s="7">
        <f>MROUND(_xlfn.XLOOKUP(B164,'Base stats'!B:B,'Base stats'!BD:BD)^0.25 / (_xlfn.XLOOKUP(B164,'Base stats'!B:B,'Base stats'!BK:BK) * 10) * 150 + 0.5 + _xlfn.XLOOKUP(B164,'Base stats'!B:B,'Base stats'!BW:BW), 0.05)</f>
        <v>1.3</v>
      </c>
      <c r="G164" s="3">
        <f>IF(Animals!S164="No","No",
IF(_xlfn.XLOOKUP(B164,'Base stats'!B:B,'Base stats'!U:U)="No",
MAX(MROUND(_xlfn.XLOOKUP(B164,'Base stats'!B:B,'Base stats'!BT:BT) * _xlfn.XLOOKUP(B164,'Base stats'!B:B,'Base stats'!BP:BP)^0.9 / 21 * _xlfn.XLOOKUP(B164,'Base stats'!B:B,'Base stats'!BX:BX),0.1),0.05),
MAX(MROUND(((MIN(10,_xlfn.XLOOKUP(B164,'Base stats'!B:B,'Base stats'!U:U)))^0.4*_xlfn.XLOOKUP(B164,'Base stats'!B:B,'Base stats'!BH:BH)^0.73)^0.6 * _xlfn.XLOOKUP(B164,'Base stats'!B:B,'Base stats'!BX:BX),0.1),0.05)
))</f>
        <v>3.6</v>
      </c>
      <c r="H164" s="11">
        <f>IF(G164="No","No",
MROUND(_xlfn.XLOOKUP(B164,'Base stats'!B:B,'Base stats'!BH:BH) * 0.01 * 2 + 0.05, 0.05)
)</f>
        <v>0.30000000000000004</v>
      </c>
      <c r="I164" s="11">
        <f>IF(G164="No","No",IF(_xlfn.XLOOKUP(B164,'Base stats'!B:B,'Base stats'!U:U)="No","No",
MROUND(_xlfn.XLOOKUP(B164,'Base stats'!B:B,'Base stats'!BT:BT)/10000+0.01,0.01)
))</f>
        <v>0.05</v>
      </c>
      <c r="J164" s="4">
        <f>IF(G164="No","No",
MROUND(_xlfn.XLOOKUP(B164,'Base stats'!B:B,'Base stats'!BE:BE)^0.25
/((_xlfn.XLOOKUP(B164,'Base stats'!B:B,'Base stats'!BL:BL))*10)*_xlfn.XLOOKUP(_xlfn.XLOOKUP(B164,'Base stats'!B:B,'Base stats'!E:E),Groups!A:A,Groups!Q:Q)*150 + 0.5 + _xlfn.XLOOKUP(B164,'Base stats'!B:B,'Base stats'!BW:BW),
0.05))</f>
        <v>2.2000000000000002</v>
      </c>
      <c r="K164" s="3" t="str">
        <f>IF(Animals!X164="No","No",
IF(_xlfn.XLOOKUP(_xlfn.XLOOKUP(B164,'Base stats'!B:B,'Base stats'!E:E),Groups!A:A,Groups!BD:BD)=1,
MAX(MROUND(_xlfn.XLOOKUP(B164,'Base stats'!B:B,'Base stats'!BU:BU) * _xlfn.XLOOKUP(B164,'Base stats'!B:B,'Base stats'!BQ:BQ)^0.9 / 21 *_xlfn.XLOOKUP(B164,'Base stats'!B:B,'Base stats'!BX:BX),0.1),0.05),
MAX(MROUND(((MIN(10,_xlfn.XLOOKUP(B164,'Base stats'!B:B,'Base stats'!W:W)))^0.4*_xlfn.XLOOKUP(B164,'Base stats'!B:B,'Base stats'!BI:BI)^0.73)^0.6 *_xlfn.XLOOKUP(B164,'Base stats'!B:B,'Base stats'!BX:BX),0.1),0.05)
))</f>
        <v>No</v>
      </c>
      <c r="L164" s="11" t="str">
        <f>IF(K164="No","No",
MROUND(_xlfn.XLOOKUP(B164,'Base stats'!B:B,'Base stats'!BI:BI) * 0.01 *2 + 0.05, 0.05)
)</f>
        <v>No</v>
      </c>
      <c r="M164" s="5" t="str">
        <f>IF(K164="No","No",IF(_xlfn.XLOOKUP(_xlfn.XLOOKUP(B164,'Base stats'!B:B,'Base stats'!E:E),Groups!A:A,Groups!BD:BD)=1,"No",
MROUND(_xlfn.XLOOKUP(B164,'Base stats'!B:B,'Base stats'!BU:BU)/10000+0.01,0.01)
))</f>
        <v>No</v>
      </c>
      <c r="N164" s="4" t="str">
        <f>IF(K164="No","No",
MROUND(
  _xlfn.XLOOKUP(B164,'Base stats'!B:B,'Base stats'!BC:BC)^0.25
  / (_xlfn.XLOOKUP(B164,'Base stats'!B:B,'Base stats'!BM:BM) * 10)
  * _xlfn.XLOOKUP(
      _xlfn.XLOOKUP(B164,'Base stats'!B:B,'Base stats'!E:E),
      Groups!A:A,
      Groups!V:V
    ) * 150
  + MIN(12, _xlfn.XLOOKUP(B164,'Base stats'!B:B,'Base stats'!W:W))^(1/IF(_xlfn.XLOOKUP(_xlfn.XLOOKUP(B164,'Base stats'!B:B,'Base stats'!E:E),Groups!A:A,Groups!U:U)=1,100,10)) + 0.5 + _xlfn.XLOOKUP(B164,'Base stats'!B:B,'Base stats'!BW:BW),
0.05))</f>
        <v>No</v>
      </c>
      <c r="O164" s="3">
        <f>IF(Animals!AD164="No","No",
MAX(MROUND((MIN(10,_xlfn.XLOOKUP(B164,'Base stats'!B:B,'Base stats'!V:V)*IF(_xlfn.XLOOKUP(_xlfn.XLOOKUP(B164,'Base stats'!B:B,'Base stats'!E:E),Groups!A:A,Groups!O:O)=0,1,0.33))^0.4*_xlfn.XLOOKUP(B164,'Base stats'!B:B,'Base stats'!BJ:BJ)^0.73)^0.6 *_xlfn.XLOOKUP(B164,'Base stats'!B:B,'Base stats'!BX:BX),0.1),0.05)
)</f>
        <v>1.3</v>
      </c>
      <c r="P164" s="11">
        <f>IF(O164="No","No",
MROUND(_xlfn.XLOOKUP(B164,'Base stats'!B:B,'Base stats'!BJ:BJ) * 0.01 * 2 + 0.05, 0.05)
)</f>
        <v>0.1</v>
      </c>
      <c r="Q164" s="5">
        <f>IF(O164="No","No",
MROUND(_xlfn.XLOOKUP(B164,'Base stats'!B:B,'Base stats'!BV:BV)/10000+0.01,0.01)
)</f>
        <v>0.02</v>
      </c>
      <c r="R164" s="4">
        <f>IF(O164="No","No",
MROUND(_xlfn.XLOOKUP(B164,'Base stats'!B:B,'Base stats'!BB:BB)^0.25
/((_xlfn.XLOOKUP(B164,'Base stats'!B:B,'Base stats'!BN:BN))*10)*_xlfn.XLOOKUP(_xlfn.XLOOKUP(B164,'Base stats'!B:B,'Base stats'!E:E),Groups!A:A,Groups!Z:Z)*150 + 0.5 + _xlfn.XLOOKUP(B164,'Base stats'!B:B,'Base stats'!BW:BW),
0.05))</f>
        <v>2</v>
      </c>
      <c r="S164" s="3" t="str">
        <f>IF(Animals!AI164="No","No",
IF(_xlfn.XLOOKUP(B164,'Base stats'!B:B,'Base stats'!U:U)="No",
MAX(MROUND(_xlfn.XLOOKUP(B164,'Base stats'!B:B,'Base stats'!BT:BT) * _xlfn.XLOOKUP(B164,'Base stats'!B:B,'Base stats'!BP:BP)^0.9 / 21 * _xlfn.XLOOKUP(B164,'Base stats'!B:B,'Base stats'!BX:BX),0.1),0.05),
MAX(MROUND(((MIN(12,_xlfn.XLOOKUP(B164,'Base stats'!B:B,'Base stats'!U:U)))^0.4*_xlfn.XLOOKUP(B164,'Base stats'!B:B,'Base stats'!BH:BH)^0.73)^0.6 * _xlfn.XLOOKUP(B164,'Base stats'!B:B,'Base stats'!BX:BX),0.1),0.05)
))</f>
        <v>No</v>
      </c>
      <c r="T164" s="11" t="str">
        <f>IF(S164="No","No",
MROUND(_xlfn.XLOOKUP(B164,'Base stats'!B:B,'Base stats'!BH:BH) * 0.01 * 2 + 0.05, 0.05)
)</f>
        <v>No</v>
      </c>
      <c r="U164" s="5" t="str">
        <f>IF(S164="No","No",IF(_xlfn.XLOOKUP(B164,'Base stats'!B:B,'Base stats'!U:U)="No","No",
MROUND(_xlfn.XLOOKUP(B164,'Base stats'!B:B,'Base stats'!BT:BT)/10000+0.01,0.01)
))</f>
        <v>No</v>
      </c>
      <c r="V164" s="4" t="str">
        <f>IF(S164="No","No",
MROUND(_xlfn.XLOOKUP(B164,'Base stats'!B:B,'Base stats'!BF:BF)^0.25
/((_xlfn.XLOOKUP(B164,'Base stats'!B:B,'Base stats'!BO:BO))*10)*_xlfn.XLOOKUP(_xlfn.XLOOKUP(B164,'Base stats'!B:B,'Base stats'!E:E),Groups!A:A,Groups!AE:AE)*150 + 0.5 + _xlfn.XLOOKUP(B164,'Base stats'!B:B,'Base stats'!BW:BW),
0.05))</f>
        <v>No</v>
      </c>
      <c r="W164" s="8">
        <f>MROUND(_xlfn.XLOOKUP(_xlfn.XLOOKUP(B164,'Base stats'!B:B,'Base stats'!E:E),Groups!A:A,Groups!BG:BG)*_xlfn.XLOOKUP(B164,'Base stats'!B:B,'Base stats'!C:C)^-0.165,0.05)</f>
        <v>0.75</v>
      </c>
      <c r="X164" s="1">
        <f>MROUND(_xlfn.XLOOKUP(_xlfn.XLOOKUP(B164,'Base stats'!B:B,'Base stats'!E:E),Groups!A:A,Groups!BH:BH)*_xlfn.XLOOKUP(B164,'Base stats'!B:B,'Base stats'!C:C)^0.165,0.05)</f>
        <v>0</v>
      </c>
      <c r="Y164" s="8">
        <f>MROUND(_xlfn.XLOOKUP(_xlfn.XLOOKUP(B164,'Base stats'!B:B,'Base stats'!E:E),Groups!A:A,Groups!BI:BI)*_xlfn.XLOOKUP(B164,'Base stats'!B:B,'Base stats'!C:C)^0.165,0.05)</f>
        <v>0</v>
      </c>
      <c r="Z164" s="18">
        <f>MROUND(_xlfn.XLOOKUP(B164,'Base stats'!B:B,'Base stats'!AQ:AQ)*_xlfn.XLOOKUP(_xlfn.XLOOKUP(B164,'Base stats'!B:B,'Base stats'!E:E),Groups!A:A,Groups!H:H)/1000,IF((_xlfn.XLOOKUP(B164,'Base stats'!B:B,'Base stats'!AQ:AQ)*_xlfn.XLOOKUP(_xlfn.XLOOKUP(B164,'Base stats'!B:B,'Base stats'!E:E),Groups!A:A,Groups!H:H)/1000)&gt;1,0.05,0.01))</f>
        <v>0</v>
      </c>
      <c r="AA164" s="18">
        <f>MROUND((1/2)*(_xlfn.XLOOKUP(_xlfn.XLOOKUP(B164,'Base stats'!B:B,'Base stats'!E:E),Groups!A:A,Groups!H:H)*_xlfn.XLOOKUP(_xlfn.XLOOKUP(B164,'Base stats'!B:B,'Base stats'!E:E),Groups!A:A,Groups!I:I))*_xlfn.XLOOKUP(B164,'Base stats'!B:B,'Base stats'!AQ:AQ)*0.01,0.05)</f>
        <v>0</v>
      </c>
      <c r="AB164" s="18">
        <f>MROUND(250*(Animals!AO164+Animals!AP164),25)</f>
        <v>150</v>
      </c>
      <c r="AC164" s="18" t="str">
        <f>_xlfn.XLOOKUP(_xlfn.XLOOKUP(B164,'Base stats'!B:B,'Base stats'!E:E),Groups!A:A,Groups!BJ:BJ)</f>
        <v>Birdlike</v>
      </c>
    </row>
    <row r="165" spans="1:29" ht="16.5" thickTop="1" thickBot="1" x14ac:dyDescent="0.3">
      <c r="A165" s="16" t="str">
        <f>Animals!A165</f>
        <v>Crane</v>
      </c>
      <c r="B165" s="6" t="str">
        <f>Animals!B165</f>
        <v>Grus japonensis</v>
      </c>
      <c r="C165" s="1" t="str">
        <f>Animals!C165</f>
        <v>&lt;li&gt;VAERoy_Crane&lt;/li&gt;</v>
      </c>
      <c r="D165" s="47">
        <f>MIN(MIN(6,_xlfn.XLOOKUP(A165,Animals!A:A,Animals!AO:AO))*20,MAX(MROUND(_xlfn.XLOOKUP(B165,'Base stats'!B:B,'Base stats'!BS:BS) * (_xlfn.XLOOKUP(B165,'Base stats'!B:B,'Base stats'!AO:AO)*5%)^0.9 / 21,0.1),0.05))</f>
        <v>0.4</v>
      </c>
      <c r="E165" s="11">
        <f>MROUND(_xlfn.XLOOKUP(B165,'Base stats'!B:B,'Base stats'!BG:BG) * 0.01 * 2 + 0.01, 0.05)</f>
        <v>0.30000000000000004</v>
      </c>
      <c r="F165" s="7">
        <f>MROUND(_xlfn.XLOOKUP(B165,'Base stats'!B:B,'Base stats'!BD:BD)^0.25 / (_xlfn.XLOOKUP(B165,'Base stats'!B:B,'Base stats'!BK:BK) * 10) * 150 + 0.5 + _xlfn.XLOOKUP(B165,'Base stats'!B:B,'Base stats'!BW:BW), 0.05)</f>
        <v>1.55</v>
      </c>
      <c r="G165" s="3" t="str">
        <f>IF(Animals!S165="No","No",
IF(_xlfn.XLOOKUP(B165,'Base stats'!B:B,'Base stats'!U:U)="No",
MAX(MROUND(_xlfn.XLOOKUP(B165,'Base stats'!B:B,'Base stats'!BT:BT) * _xlfn.XLOOKUP(B165,'Base stats'!B:B,'Base stats'!BP:BP)^0.9 / 21 * _xlfn.XLOOKUP(B165,'Base stats'!B:B,'Base stats'!BX:BX),0.1),0.05),
MAX(MROUND(((MIN(10,_xlfn.XLOOKUP(B165,'Base stats'!B:B,'Base stats'!U:U)))^0.4*_xlfn.XLOOKUP(B165,'Base stats'!B:B,'Base stats'!BH:BH)^0.73)^0.6 * _xlfn.XLOOKUP(B165,'Base stats'!B:B,'Base stats'!BX:BX),0.1),0.05)
))</f>
        <v>No</v>
      </c>
      <c r="H165" s="11" t="str">
        <f>IF(G165="No","No",
MROUND(_xlfn.XLOOKUP(B165,'Base stats'!B:B,'Base stats'!BH:BH) * 0.01 * 2 + 0.05, 0.05)
)</f>
        <v>No</v>
      </c>
      <c r="I165" s="11" t="str">
        <f>IF(G165="No","No",IF(_xlfn.XLOOKUP(B165,'Base stats'!B:B,'Base stats'!U:U)="No","No",
MROUND(_xlfn.XLOOKUP(B165,'Base stats'!B:B,'Base stats'!BT:BT)/10000+0.01,0.01)
))</f>
        <v>No</v>
      </c>
      <c r="J165" s="4" t="str">
        <f>IF(G165="No","No",
MROUND(_xlfn.XLOOKUP(B165,'Base stats'!B:B,'Base stats'!BE:BE)^0.25
/((_xlfn.XLOOKUP(B165,'Base stats'!B:B,'Base stats'!BL:BL))*10)*_xlfn.XLOOKUP(_xlfn.XLOOKUP(B165,'Base stats'!B:B,'Base stats'!E:E),Groups!A:A,Groups!Q:Q)*150 + 0.5 + _xlfn.XLOOKUP(B165,'Base stats'!B:B,'Base stats'!BW:BW),
0.05))</f>
        <v>No</v>
      </c>
      <c r="K165" s="3" t="str">
        <f>IF(Animals!X165="No","No",
IF(_xlfn.XLOOKUP(_xlfn.XLOOKUP(B165,'Base stats'!B:B,'Base stats'!E:E),Groups!A:A,Groups!BD:BD)=1,
MAX(MROUND(_xlfn.XLOOKUP(B165,'Base stats'!B:B,'Base stats'!BU:BU) * _xlfn.XLOOKUP(B165,'Base stats'!B:B,'Base stats'!BQ:BQ)^0.9 / 21 *_xlfn.XLOOKUP(B165,'Base stats'!B:B,'Base stats'!BX:BX),0.1),0.05),
MAX(MROUND(((MIN(10,_xlfn.XLOOKUP(B165,'Base stats'!B:B,'Base stats'!W:W)))^0.4*_xlfn.XLOOKUP(B165,'Base stats'!B:B,'Base stats'!BI:BI)^0.73)^0.6 *_xlfn.XLOOKUP(B165,'Base stats'!B:B,'Base stats'!BX:BX),0.1),0.05)
))</f>
        <v>No</v>
      </c>
      <c r="L165" s="11" t="str">
        <f>IF(K165="No","No",
MROUND(_xlfn.XLOOKUP(B165,'Base stats'!B:B,'Base stats'!BI:BI) * 0.01 *2 + 0.05, 0.05)
)</f>
        <v>No</v>
      </c>
      <c r="M165" s="5" t="str">
        <f>IF(K165="No","No",IF(_xlfn.XLOOKUP(_xlfn.XLOOKUP(B165,'Base stats'!B:B,'Base stats'!E:E),Groups!A:A,Groups!BD:BD)=1,"No",
MROUND(_xlfn.XLOOKUP(B165,'Base stats'!B:B,'Base stats'!BU:BU)/10000+0.01,0.01)
))</f>
        <v>No</v>
      </c>
      <c r="N165" s="4" t="str">
        <f>IF(K165="No","No",
MROUND(
  _xlfn.XLOOKUP(B165,'Base stats'!B:B,'Base stats'!BC:BC)^0.25
  / (_xlfn.XLOOKUP(B165,'Base stats'!B:B,'Base stats'!BM:BM) * 10)
  * _xlfn.XLOOKUP(
      _xlfn.XLOOKUP(B165,'Base stats'!B:B,'Base stats'!E:E),
      Groups!A:A,
      Groups!V:V
    ) * 150
  + MIN(12, _xlfn.XLOOKUP(B165,'Base stats'!B:B,'Base stats'!W:W))^(1/IF(_xlfn.XLOOKUP(_xlfn.XLOOKUP(B165,'Base stats'!B:B,'Base stats'!E:E),Groups!A:A,Groups!U:U)=1,100,10)) + 0.5 + _xlfn.XLOOKUP(B165,'Base stats'!B:B,'Base stats'!BW:BW),
0.05))</f>
        <v>No</v>
      </c>
      <c r="O165" s="3">
        <f>IF(Animals!AD165="No","No",
MAX(MROUND((MIN(10,_xlfn.XLOOKUP(B165,'Base stats'!B:B,'Base stats'!V:V)*IF(_xlfn.XLOOKUP(_xlfn.XLOOKUP(B165,'Base stats'!B:B,'Base stats'!E:E),Groups!A:A,Groups!O:O)=0,1,0.33))^0.4*_xlfn.XLOOKUP(B165,'Base stats'!B:B,'Base stats'!BJ:BJ)^0.73)^0.6 *_xlfn.XLOOKUP(B165,'Base stats'!B:B,'Base stats'!BX:BX),0.1),0.05)
)</f>
        <v>2.5</v>
      </c>
      <c r="P165" s="11">
        <f>IF(O165="No","No",
MROUND(_xlfn.XLOOKUP(B165,'Base stats'!B:B,'Base stats'!BJ:BJ) * 0.01 * 2 + 0.05, 0.05)
)</f>
        <v>0.1</v>
      </c>
      <c r="Q165" s="5">
        <f>IF(O165="No","No",
MROUND(_xlfn.XLOOKUP(B165,'Base stats'!B:B,'Base stats'!BV:BV)/10000+0.01,0.01)
)</f>
        <v>0.02</v>
      </c>
      <c r="R165" s="4">
        <f>IF(O165="No","No",
MROUND(_xlfn.XLOOKUP(B165,'Base stats'!B:B,'Base stats'!BB:BB)^0.25
/((_xlfn.XLOOKUP(B165,'Base stats'!B:B,'Base stats'!BN:BN))*10)*_xlfn.XLOOKUP(_xlfn.XLOOKUP(B165,'Base stats'!B:B,'Base stats'!E:E),Groups!A:A,Groups!Z:Z)*150 + 0.5 + _xlfn.XLOOKUP(B165,'Base stats'!B:B,'Base stats'!BW:BW),
0.05))</f>
        <v>1.8</v>
      </c>
      <c r="S165" s="3" t="str">
        <f>IF(Animals!AI165="No","No",
IF(_xlfn.XLOOKUP(B165,'Base stats'!B:B,'Base stats'!U:U)="No",
MAX(MROUND(_xlfn.XLOOKUP(B165,'Base stats'!B:B,'Base stats'!BT:BT) * _xlfn.XLOOKUP(B165,'Base stats'!B:B,'Base stats'!BP:BP)^0.9 / 21 * _xlfn.XLOOKUP(B165,'Base stats'!B:B,'Base stats'!BX:BX),0.1),0.05),
MAX(MROUND(((MIN(12,_xlfn.XLOOKUP(B165,'Base stats'!B:B,'Base stats'!U:U)))^0.4*_xlfn.XLOOKUP(B165,'Base stats'!B:B,'Base stats'!BH:BH)^0.73)^0.6 * _xlfn.XLOOKUP(B165,'Base stats'!B:B,'Base stats'!BX:BX),0.1),0.05)
))</f>
        <v>No</v>
      </c>
      <c r="T165" s="11" t="str">
        <f>IF(S165="No","No",
MROUND(_xlfn.XLOOKUP(B165,'Base stats'!B:B,'Base stats'!BH:BH) * 0.01 * 2 + 0.05, 0.05)
)</f>
        <v>No</v>
      </c>
      <c r="U165" s="5" t="str">
        <f>IF(S165="No","No",IF(_xlfn.XLOOKUP(B165,'Base stats'!B:B,'Base stats'!U:U)="No","No",
MROUND(_xlfn.XLOOKUP(B165,'Base stats'!B:B,'Base stats'!BT:BT)/10000+0.01,0.01)
))</f>
        <v>No</v>
      </c>
      <c r="V165" s="4" t="str">
        <f>IF(S165="No","No",
MROUND(_xlfn.XLOOKUP(B165,'Base stats'!B:B,'Base stats'!BF:BF)^0.25
/((_xlfn.XLOOKUP(B165,'Base stats'!B:B,'Base stats'!BO:BO))*10)*_xlfn.XLOOKUP(_xlfn.XLOOKUP(B165,'Base stats'!B:B,'Base stats'!E:E),Groups!A:A,Groups!AE:AE)*150 + 0.5 + _xlfn.XLOOKUP(B165,'Base stats'!B:B,'Base stats'!BW:BW),
0.05))</f>
        <v>No</v>
      </c>
      <c r="W165" s="8">
        <f>MROUND(_xlfn.XLOOKUP(_xlfn.XLOOKUP(B165,'Base stats'!B:B,'Base stats'!E:E),Groups!A:A,Groups!BG:BG)*_xlfn.XLOOKUP(B165,'Base stats'!B:B,'Base stats'!C:C)^-0.165,0.05)</f>
        <v>0.70000000000000007</v>
      </c>
      <c r="X165" s="1">
        <f>MROUND(_xlfn.XLOOKUP(_xlfn.XLOOKUP(B165,'Base stats'!B:B,'Base stats'!E:E),Groups!A:A,Groups!BH:BH)*_xlfn.XLOOKUP(B165,'Base stats'!B:B,'Base stats'!C:C)^0.165,0.05)</f>
        <v>0</v>
      </c>
      <c r="Y165" s="8">
        <f>MROUND(_xlfn.XLOOKUP(_xlfn.XLOOKUP(B165,'Base stats'!B:B,'Base stats'!E:E),Groups!A:A,Groups!BI:BI)*_xlfn.XLOOKUP(B165,'Base stats'!B:B,'Base stats'!C:C)^0.165,0.05)</f>
        <v>0</v>
      </c>
      <c r="Z165" s="18">
        <f>MROUND(_xlfn.XLOOKUP(B165,'Base stats'!B:B,'Base stats'!AQ:AQ)*_xlfn.XLOOKUP(_xlfn.XLOOKUP(B165,'Base stats'!B:B,'Base stats'!E:E),Groups!A:A,Groups!H:H)/1000,IF((_xlfn.XLOOKUP(B165,'Base stats'!B:B,'Base stats'!AQ:AQ)*_xlfn.XLOOKUP(_xlfn.XLOOKUP(B165,'Base stats'!B:B,'Base stats'!E:E),Groups!A:A,Groups!H:H)/1000)&gt;1,0.05,0.01))</f>
        <v>0</v>
      </c>
      <c r="AA165" s="18">
        <f>MROUND((1/2)*(_xlfn.XLOOKUP(_xlfn.XLOOKUP(B165,'Base stats'!B:B,'Base stats'!E:E),Groups!A:A,Groups!H:H)*_xlfn.XLOOKUP(_xlfn.XLOOKUP(B165,'Base stats'!B:B,'Base stats'!E:E),Groups!A:A,Groups!I:I))*_xlfn.XLOOKUP(B165,'Base stats'!B:B,'Base stats'!AQ:AQ)*0.01,0.05)</f>
        <v>0</v>
      </c>
      <c r="AB165" s="18">
        <f>MROUND(250*(Animals!AO165+Animals!AP165),25)</f>
        <v>200</v>
      </c>
      <c r="AC165" s="18" t="str">
        <f>_xlfn.XLOOKUP(_xlfn.XLOOKUP(B165,'Base stats'!B:B,'Base stats'!E:E),Groups!A:A,Groups!BJ:BJ)</f>
        <v>Birdlike</v>
      </c>
    </row>
    <row r="166" spans="1:29" ht="16.5" thickTop="1" thickBot="1" x14ac:dyDescent="0.3">
      <c r="A166" s="16" t="str">
        <f>Animals!A166</f>
        <v>AngoraRabbit</v>
      </c>
      <c r="B166" s="6" t="str">
        <f>Animals!B166</f>
        <v>Oryctolagus cuniculus (Angora)</v>
      </c>
      <c r="C166" s="1" t="str">
        <f>Animals!C166</f>
        <v>&lt;li&gt;VAERoy_AngoraRabbit&lt;/li&gt;</v>
      </c>
      <c r="D166" s="47">
        <f>MIN(MIN(6,_xlfn.XLOOKUP(A166,Animals!A:A,Animals!AO:AO))*20,MAX(MROUND(_xlfn.XLOOKUP(B166,'Base stats'!B:B,'Base stats'!BS:BS) * (_xlfn.XLOOKUP(B166,'Base stats'!B:B,'Base stats'!AO:AO)*5%)^0.9 / 21,0.1),0.05))</f>
        <v>0.2</v>
      </c>
      <c r="E166" s="11">
        <f>MROUND(_xlfn.XLOOKUP(B166,'Base stats'!B:B,'Base stats'!BG:BG) * 0.01 * 2 + 0.01, 0.05)</f>
        <v>0.15000000000000002</v>
      </c>
      <c r="F166" s="7">
        <f>MROUND(_xlfn.XLOOKUP(B166,'Base stats'!B:B,'Base stats'!BD:BD)^0.25 / (_xlfn.XLOOKUP(B166,'Base stats'!B:B,'Base stats'!BK:BK) * 10) * 150 + 0.5 + _xlfn.XLOOKUP(B166,'Base stats'!B:B,'Base stats'!BW:BW), 0.05)</f>
        <v>1.3</v>
      </c>
      <c r="G166" s="3" t="str">
        <f>IF(Animals!S166="No","No",
IF(_xlfn.XLOOKUP(B166,'Base stats'!B:B,'Base stats'!U:U)="No",
MAX(MROUND(_xlfn.XLOOKUP(B166,'Base stats'!B:B,'Base stats'!BT:BT) * _xlfn.XLOOKUP(B166,'Base stats'!B:B,'Base stats'!BP:BP)^0.9 / 21 * _xlfn.XLOOKUP(B166,'Base stats'!B:B,'Base stats'!BX:BX),0.1),0.05),
MAX(MROUND(((MIN(10,_xlfn.XLOOKUP(B166,'Base stats'!B:B,'Base stats'!U:U)))^0.4*_xlfn.XLOOKUP(B166,'Base stats'!B:B,'Base stats'!BH:BH)^0.73)^0.6 * _xlfn.XLOOKUP(B166,'Base stats'!B:B,'Base stats'!BX:BX),0.1),0.05)
))</f>
        <v>No</v>
      </c>
      <c r="H166" s="11" t="str">
        <f>IF(G166="No","No",
MROUND(_xlfn.XLOOKUP(B166,'Base stats'!B:B,'Base stats'!BH:BH) * 0.01 * 2 + 0.05, 0.05)
)</f>
        <v>No</v>
      </c>
      <c r="I166" s="11" t="str">
        <f>IF(G166="No","No",IF(_xlfn.XLOOKUP(B166,'Base stats'!B:B,'Base stats'!U:U)="No","No",
MROUND(_xlfn.XLOOKUP(B166,'Base stats'!B:B,'Base stats'!BT:BT)/10000+0.01,0.01)
))</f>
        <v>No</v>
      </c>
      <c r="J166" s="4" t="str">
        <f>IF(G166="No","No",
MROUND(_xlfn.XLOOKUP(B166,'Base stats'!B:B,'Base stats'!BE:BE)^0.25
/((_xlfn.XLOOKUP(B166,'Base stats'!B:B,'Base stats'!BL:BL))*10)*_xlfn.XLOOKUP(_xlfn.XLOOKUP(B166,'Base stats'!B:B,'Base stats'!E:E),Groups!A:A,Groups!Q:Q)*150 + 0.5 + _xlfn.XLOOKUP(B166,'Base stats'!B:B,'Base stats'!BW:BW),
0.05))</f>
        <v>No</v>
      </c>
      <c r="K166" s="3" t="str">
        <f>IF(Animals!X166="No","No",
IF(_xlfn.XLOOKUP(_xlfn.XLOOKUP(B166,'Base stats'!B:B,'Base stats'!E:E),Groups!A:A,Groups!BD:BD)=1,
MAX(MROUND(_xlfn.XLOOKUP(B166,'Base stats'!B:B,'Base stats'!BU:BU) * _xlfn.XLOOKUP(B166,'Base stats'!B:B,'Base stats'!BQ:BQ)^0.9 / 21 *_xlfn.XLOOKUP(B166,'Base stats'!B:B,'Base stats'!BX:BX),0.1),0.05),
MAX(MROUND(((MIN(10,_xlfn.XLOOKUP(B166,'Base stats'!B:B,'Base stats'!W:W)))^0.4*_xlfn.XLOOKUP(B166,'Base stats'!B:B,'Base stats'!BI:BI)^0.73)^0.6 *_xlfn.XLOOKUP(B166,'Base stats'!B:B,'Base stats'!BX:BX),0.1),0.05)
))</f>
        <v>No</v>
      </c>
      <c r="L166" s="11" t="str">
        <f>IF(K166="No","No",
MROUND(_xlfn.XLOOKUP(B166,'Base stats'!B:B,'Base stats'!BI:BI) * 0.01 *2 + 0.05, 0.05)
)</f>
        <v>No</v>
      </c>
      <c r="M166" s="5" t="str">
        <f>IF(K166="No","No",IF(_xlfn.XLOOKUP(_xlfn.XLOOKUP(B166,'Base stats'!B:B,'Base stats'!E:E),Groups!A:A,Groups!BD:BD)=1,"No",
MROUND(_xlfn.XLOOKUP(B166,'Base stats'!B:B,'Base stats'!BU:BU)/10000+0.01,0.01)
))</f>
        <v>No</v>
      </c>
      <c r="N166" s="4" t="str">
        <f>IF(K166="No","No",
MROUND(
  _xlfn.XLOOKUP(B166,'Base stats'!B:B,'Base stats'!BC:BC)^0.25
  / (_xlfn.XLOOKUP(B166,'Base stats'!B:B,'Base stats'!BM:BM) * 10)
  * _xlfn.XLOOKUP(
      _xlfn.XLOOKUP(B166,'Base stats'!B:B,'Base stats'!E:E),
      Groups!A:A,
      Groups!V:V
    ) * 150
  + MIN(12, _xlfn.XLOOKUP(B166,'Base stats'!B:B,'Base stats'!W:W))^(1/IF(_xlfn.XLOOKUP(_xlfn.XLOOKUP(B166,'Base stats'!B:B,'Base stats'!E:E),Groups!A:A,Groups!U:U)=1,100,10)) + 0.5 + _xlfn.XLOOKUP(B166,'Base stats'!B:B,'Base stats'!BW:BW),
0.05))</f>
        <v>No</v>
      </c>
      <c r="O166" s="3">
        <f>IF(Animals!AD166="No","No",
MAX(MROUND((MIN(10,_xlfn.XLOOKUP(B166,'Base stats'!B:B,'Base stats'!V:V)*IF(_xlfn.XLOOKUP(_xlfn.XLOOKUP(B166,'Base stats'!B:B,'Base stats'!E:E),Groups!A:A,Groups!O:O)=0,1,0.33))^0.4*_xlfn.XLOOKUP(B166,'Base stats'!B:B,'Base stats'!BJ:BJ)^0.73)^0.6 *_xlfn.XLOOKUP(B166,'Base stats'!B:B,'Base stats'!BX:BX),0.1),0.05)
)</f>
        <v>2.4000000000000004</v>
      </c>
      <c r="P166" s="11">
        <f>IF(O166="No","No",
MROUND(_xlfn.XLOOKUP(B166,'Base stats'!B:B,'Base stats'!BJ:BJ) * 0.01 * 2 + 0.05, 0.05)
)</f>
        <v>0.25</v>
      </c>
      <c r="Q166" s="5">
        <f>IF(O166="No","No",
MROUND(_xlfn.XLOOKUP(B166,'Base stats'!B:B,'Base stats'!BV:BV)/10000+0.01,0.01)
)</f>
        <v>0.05</v>
      </c>
      <c r="R166" s="4">
        <f>IF(O166="No","No",
MROUND(_xlfn.XLOOKUP(B166,'Base stats'!B:B,'Base stats'!BB:BB)^0.25
/((_xlfn.XLOOKUP(B166,'Base stats'!B:B,'Base stats'!BN:BN))*10)*_xlfn.XLOOKUP(_xlfn.XLOOKUP(B166,'Base stats'!B:B,'Base stats'!E:E),Groups!A:A,Groups!Z:Z)*150 + 0.5 + _xlfn.XLOOKUP(B166,'Base stats'!B:B,'Base stats'!BW:BW),
0.05))</f>
        <v>2.1</v>
      </c>
      <c r="S166" s="3" t="str">
        <f>IF(Animals!AI166="No","No",
IF(_xlfn.XLOOKUP(B166,'Base stats'!B:B,'Base stats'!U:U)="No",
MAX(MROUND(_xlfn.XLOOKUP(B166,'Base stats'!B:B,'Base stats'!BT:BT) * _xlfn.XLOOKUP(B166,'Base stats'!B:B,'Base stats'!BP:BP)^0.9 / 21 * _xlfn.XLOOKUP(B166,'Base stats'!B:B,'Base stats'!BX:BX),0.1),0.05),
MAX(MROUND(((MIN(12,_xlfn.XLOOKUP(B166,'Base stats'!B:B,'Base stats'!U:U)))^0.4*_xlfn.XLOOKUP(B166,'Base stats'!B:B,'Base stats'!BH:BH)^0.73)^0.6 * _xlfn.XLOOKUP(B166,'Base stats'!B:B,'Base stats'!BX:BX),0.1),0.05)
))</f>
        <v>No</v>
      </c>
      <c r="T166" s="11" t="str">
        <f>IF(S166="No","No",
MROUND(_xlfn.XLOOKUP(B166,'Base stats'!B:B,'Base stats'!BH:BH) * 0.01 * 2 + 0.05, 0.05)
)</f>
        <v>No</v>
      </c>
      <c r="U166" s="5" t="str">
        <f>IF(S166="No","No",IF(_xlfn.XLOOKUP(B166,'Base stats'!B:B,'Base stats'!U:U)="No","No",
MROUND(_xlfn.XLOOKUP(B166,'Base stats'!B:B,'Base stats'!BT:BT)/10000+0.01,0.01)
))</f>
        <v>No</v>
      </c>
      <c r="V166" s="4" t="str">
        <f>IF(S166="No","No",
MROUND(_xlfn.XLOOKUP(B166,'Base stats'!B:B,'Base stats'!BF:BF)^0.25
/((_xlfn.XLOOKUP(B166,'Base stats'!B:B,'Base stats'!BO:BO))*10)*_xlfn.XLOOKUP(_xlfn.XLOOKUP(B166,'Base stats'!B:B,'Base stats'!E:E),Groups!A:A,Groups!AE:AE)*150 + 0.5 + _xlfn.XLOOKUP(B166,'Base stats'!B:B,'Base stats'!BW:BW),
0.05))</f>
        <v>No</v>
      </c>
      <c r="W166" s="8">
        <f>MROUND(_xlfn.XLOOKUP(_xlfn.XLOOKUP(B166,'Base stats'!B:B,'Base stats'!E:E),Groups!A:A,Groups!BG:BG)*_xlfn.XLOOKUP(B166,'Base stats'!B:B,'Base stats'!C:C)^-0.165,0.05)</f>
        <v>0.55000000000000004</v>
      </c>
      <c r="X166" s="1">
        <f>MROUND(_xlfn.XLOOKUP(_xlfn.XLOOKUP(B166,'Base stats'!B:B,'Base stats'!E:E),Groups!A:A,Groups!BH:BH)*_xlfn.XLOOKUP(B166,'Base stats'!B:B,'Base stats'!C:C)^0.165,0.05)</f>
        <v>0</v>
      </c>
      <c r="Y166" s="8">
        <f>MROUND(_xlfn.XLOOKUP(_xlfn.XLOOKUP(B166,'Base stats'!B:B,'Base stats'!E:E),Groups!A:A,Groups!BI:BI)*_xlfn.XLOOKUP(B166,'Base stats'!B:B,'Base stats'!C:C)^0.165,0.05)</f>
        <v>0</v>
      </c>
      <c r="Z166" s="18">
        <f>MROUND(_xlfn.XLOOKUP(B166,'Base stats'!B:B,'Base stats'!AQ:AQ)*_xlfn.XLOOKUP(_xlfn.XLOOKUP(B166,'Base stats'!B:B,'Base stats'!E:E),Groups!A:A,Groups!H:H)/1000,IF((_xlfn.XLOOKUP(B166,'Base stats'!B:B,'Base stats'!AQ:AQ)*_xlfn.XLOOKUP(_xlfn.XLOOKUP(B166,'Base stats'!B:B,'Base stats'!E:E),Groups!A:A,Groups!H:H)/1000)&gt;1,0.05,0.01))</f>
        <v>0.03</v>
      </c>
      <c r="AA166" s="18">
        <f>MROUND((1/2)*(_xlfn.XLOOKUP(_xlfn.XLOOKUP(B166,'Base stats'!B:B,'Base stats'!E:E),Groups!A:A,Groups!H:H)*_xlfn.XLOOKUP(_xlfn.XLOOKUP(B166,'Base stats'!B:B,'Base stats'!E:E),Groups!A:A,Groups!I:I))*_xlfn.XLOOKUP(B166,'Base stats'!B:B,'Base stats'!AQ:AQ)*0.01,0.05)</f>
        <v>0.1</v>
      </c>
      <c r="AB166" s="18">
        <f>MROUND(250*(Animals!AO166+Animals!AP166),25)</f>
        <v>125</v>
      </c>
      <c r="AC166" s="18" t="str">
        <f>_xlfn.XLOOKUP(_xlfn.XLOOKUP(B166,'Base stats'!B:B,'Base stats'!E:E),Groups!A:A,Groups!BJ:BJ)</f>
        <v>QuadrupedLow</v>
      </c>
    </row>
    <row r="167" spans="1:29" s="16" customFormat="1" ht="16.5" thickTop="1" thickBot="1" x14ac:dyDescent="0.3">
      <c r="A167" s="16" t="str">
        <f>Animals!A167</f>
        <v>Harpactotyrannus</v>
      </c>
      <c r="B167" s="6" t="str">
        <f>Animals!B167</f>
        <v>Harpactotyrannus venator</v>
      </c>
      <c r="C167" s="1" t="str">
        <f>Animals!C167</f>
        <v>&lt;li&gt;Harpactotyrannus&lt;/li&gt;</v>
      </c>
      <c r="D167" s="47">
        <f>MIN(MIN(6,_xlfn.XLOOKUP(A167,Animals!A:A,Animals!AO:AO))*20,MAX(MROUND(_xlfn.XLOOKUP(B167,'Base stats'!B:B,'Base stats'!BS:BS) * (_xlfn.XLOOKUP(B167,'Base stats'!B:B,'Base stats'!AO:AO)*5%)^0.9 / 21,0.1),0.05))</f>
        <v>110.10000000000001</v>
      </c>
      <c r="E167" s="11">
        <f>MROUND(_xlfn.XLOOKUP(B167,'Base stats'!B:B,'Base stats'!BG:BG) * 0.01 * 2 + 0.01, 0.05)</f>
        <v>122.9</v>
      </c>
      <c r="F167" s="7">
        <f>MROUND(_xlfn.XLOOKUP(B167,'Base stats'!B:B,'Base stats'!BD:BD)^0.25 / (_xlfn.XLOOKUP(B167,'Base stats'!B:B,'Base stats'!BK:BK) * 10) * 150 + 0.5 + _xlfn.XLOOKUP(B167,'Base stats'!B:B,'Base stats'!BW:BW), 0.05)</f>
        <v>3.5</v>
      </c>
      <c r="G167" s="3" t="str">
        <f>IF(Animals!S167="No","No",
IF(_xlfn.XLOOKUP(B167,'Base stats'!B:B,'Base stats'!U:U)="No",
MAX(MROUND(_xlfn.XLOOKUP(B167,'Base stats'!B:B,'Base stats'!BT:BT) * _xlfn.XLOOKUP(B167,'Base stats'!B:B,'Base stats'!BP:BP)^0.9 / 21 * _xlfn.XLOOKUP(B167,'Base stats'!B:B,'Base stats'!BX:BX),0.1),0.05),
MAX(MROUND(((MIN(10,_xlfn.XLOOKUP(B167,'Base stats'!B:B,'Base stats'!U:U)))^0.4*_xlfn.XLOOKUP(B167,'Base stats'!B:B,'Base stats'!BH:BH)^0.73)^0.6 * _xlfn.XLOOKUP(B167,'Base stats'!B:B,'Base stats'!BX:BX),0.1),0.05)
))</f>
        <v>No</v>
      </c>
      <c r="H167" s="11" t="str">
        <f>IF(G167="No","No",
MROUND(_xlfn.XLOOKUP(B167,'Base stats'!B:B,'Base stats'!BH:BH) * 0.01 * 2 + 0.05, 0.05)
)</f>
        <v>No</v>
      </c>
      <c r="I167" s="11" t="str">
        <f>IF(G167="No","No",IF(_xlfn.XLOOKUP(B167,'Base stats'!B:B,'Base stats'!U:U)="No","No",
MROUND(_xlfn.XLOOKUP(B167,'Base stats'!B:B,'Base stats'!BT:BT)/10000+0.01,0.01)
))</f>
        <v>No</v>
      </c>
      <c r="J167" s="4" t="str">
        <f>IF(G167="No","No",
MROUND(_xlfn.XLOOKUP(B167,'Base stats'!B:B,'Base stats'!BE:BE)^0.25
/((_xlfn.XLOOKUP(B167,'Base stats'!B:B,'Base stats'!BL:BL))*10)*_xlfn.XLOOKUP(_xlfn.XLOOKUP(B167,'Base stats'!B:B,'Base stats'!E:E),Groups!A:A,Groups!Q:Q)*150 + 0.5 + _xlfn.XLOOKUP(B167,'Base stats'!B:B,'Base stats'!BW:BW),
0.05))</f>
        <v>No</v>
      </c>
      <c r="K167" s="3" t="str">
        <f>IF(Animals!X167="No","No",
IF(_xlfn.XLOOKUP(_xlfn.XLOOKUP(B167,'Base stats'!B:B,'Base stats'!E:E),Groups!A:A,Groups!BD:BD)=1,
MAX(MROUND(_xlfn.XLOOKUP(B167,'Base stats'!B:B,'Base stats'!BU:BU) * _xlfn.XLOOKUP(B167,'Base stats'!B:B,'Base stats'!BQ:BQ)^0.9 / 21 *_xlfn.XLOOKUP(B167,'Base stats'!B:B,'Base stats'!BX:BX),0.1),0.05),
MAX(MROUND(((MIN(10,_xlfn.XLOOKUP(B167,'Base stats'!B:B,'Base stats'!W:W)))^0.4*_xlfn.XLOOKUP(B167,'Base stats'!B:B,'Base stats'!BI:BI)^0.73)^0.6 *_xlfn.XLOOKUP(B167,'Base stats'!B:B,'Base stats'!BX:BX),0.1),0.05)
))</f>
        <v>No</v>
      </c>
      <c r="L167" s="11" t="str">
        <f>IF(K167="No","No",
MROUND(_xlfn.XLOOKUP(B167,'Base stats'!B:B,'Base stats'!BI:BI) * 0.01 *2 + 0.05, 0.05)
)</f>
        <v>No</v>
      </c>
      <c r="M167" s="5" t="str">
        <f>IF(K167="No","No",IF(_xlfn.XLOOKUP(_xlfn.XLOOKUP(B167,'Base stats'!B:B,'Base stats'!E:E),Groups!A:A,Groups!BD:BD)=1,"No",
MROUND(_xlfn.XLOOKUP(B167,'Base stats'!B:B,'Base stats'!BU:BU)/10000+0.01,0.01)
))</f>
        <v>No</v>
      </c>
      <c r="N167" s="4" t="str">
        <f>IF(K167="No","No",
MROUND(
  _xlfn.XLOOKUP(B167,'Base stats'!B:B,'Base stats'!BC:BC)^0.25
  / (_xlfn.XLOOKUP(B167,'Base stats'!B:B,'Base stats'!BM:BM) * 10)
  * _xlfn.XLOOKUP(
      _xlfn.XLOOKUP(B167,'Base stats'!B:B,'Base stats'!E:E),
      Groups!A:A,
      Groups!V:V
    ) * 150
  + MIN(12, _xlfn.XLOOKUP(B167,'Base stats'!B:B,'Base stats'!W:W))^(1/IF(_xlfn.XLOOKUP(_xlfn.XLOOKUP(B167,'Base stats'!B:B,'Base stats'!E:E),Groups!A:A,Groups!U:U)=1,100,10)) + 0.5 + _xlfn.XLOOKUP(B167,'Base stats'!B:B,'Base stats'!BW:BW),
0.05))</f>
        <v>No</v>
      </c>
      <c r="O167" s="3">
        <f>IF(Animals!AD167="No","No",
MAX(MROUND((MIN(10,_xlfn.XLOOKUP(B167,'Base stats'!B:B,'Base stats'!V:V)*IF(_xlfn.XLOOKUP(_xlfn.XLOOKUP(B167,'Base stats'!B:B,'Base stats'!E:E),Groups!A:A,Groups!O:O)=0,1,0.33))^0.4*_xlfn.XLOOKUP(B167,'Base stats'!B:B,'Base stats'!BJ:BJ)^0.73)^0.6 *_xlfn.XLOOKUP(B167,'Base stats'!B:B,'Base stats'!BX:BX),0.1),0.05)
)</f>
        <v>117.5</v>
      </c>
      <c r="P167" s="11">
        <f>IF(O167="No","No",
MROUND(_xlfn.XLOOKUP(B167,'Base stats'!B:B,'Base stats'!BJ:BJ) * 0.01 * 2 + 0.05, 0.05)
)</f>
        <v>301.55</v>
      </c>
      <c r="Q167" s="5">
        <f>IF(O167="No","No",
MROUND(_xlfn.XLOOKUP(B167,'Base stats'!B:B,'Base stats'!BV:BV)/10000+0.01,0.01)
)</f>
        <v>83.14</v>
      </c>
      <c r="R167" s="4">
        <f>IF(O167="No","No",
MROUND(_xlfn.XLOOKUP(B167,'Base stats'!B:B,'Base stats'!BB:BB)^0.25
/((_xlfn.XLOOKUP(B167,'Base stats'!B:B,'Base stats'!BN:BN))*10)*_xlfn.XLOOKUP(_xlfn.XLOOKUP(B167,'Base stats'!B:B,'Base stats'!E:E),Groups!A:A,Groups!Z:Z)*150 + 0.5 + _xlfn.XLOOKUP(B167,'Base stats'!B:B,'Base stats'!BW:BW),
0.05))</f>
        <v>2.4000000000000004</v>
      </c>
      <c r="S167" s="3">
        <f>IF(Animals!AI167="No","No",
IF(_xlfn.XLOOKUP(B167,'Base stats'!B:B,'Base stats'!U:U)="No",
MAX(MROUND(_xlfn.XLOOKUP(B167,'Base stats'!B:B,'Base stats'!BT:BT) * _xlfn.XLOOKUP(B167,'Base stats'!B:B,'Base stats'!BP:BP)^0.9 / 21 * _xlfn.XLOOKUP(B167,'Base stats'!B:B,'Base stats'!BX:BX),0.1),0.05),
MAX(MROUND(((MIN(12,_xlfn.XLOOKUP(B167,'Base stats'!B:B,'Base stats'!U:U)))^0.4*_xlfn.XLOOKUP(B167,'Base stats'!B:B,'Base stats'!BH:BH)^0.73)^0.6 * _xlfn.XLOOKUP(B167,'Base stats'!B:B,'Base stats'!BX:BX),0.1),0.05)
))</f>
        <v>82.600000000000009</v>
      </c>
      <c r="T167" s="11">
        <f>IF(S167="No","No",
MROUND(_xlfn.XLOOKUP(B167,'Base stats'!B:B,'Base stats'!BH:BH) * 0.01 * 2 + 0.05, 0.05)
)</f>
        <v>122.05000000000001</v>
      </c>
      <c r="U167" s="5">
        <f>IF(S167="No","No",IF(_xlfn.XLOOKUP(B167,'Base stats'!B:B,'Base stats'!U:U)="No","No",
MROUND(_xlfn.XLOOKUP(B167,'Base stats'!B:B,'Base stats'!BT:BT)/10000+0.01,0.01)
))</f>
        <v>33.65</v>
      </c>
      <c r="V167" s="4">
        <f>IF(S167="No","No",
MROUND(_xlfn.XLOOKUP(B167,'Base stats'!B:B,'Base stats'!BF:BF)^0.25
/((_xlfn.XLOOKUP(B167,'Base stats'!B:B,'Base stats'!BO:BO))*10)*_xlfn.XLOOKUP(_xlfn.XLOOKUP(B167,'Base stats'!B:B,'Base stats'!E:E),Groups!A:A,Groups!AE:AE)*150 + 0.5 + _xlfn.XLOOKUP(B167,'Base stats'!B:B,'Base stats'!BW:BW),
0.05))</f>
        <v>1.7000000000000002</v>
      </c>
      <c r="W167" s="8">
        <f>MROUND(_xlfn.XLOOKUP(_xlfn.XLOOKUP(B167,'Base stats'!B:B,'Base stats'!E:E),Groups!A:A,Groups!BG:BG)*_xlfn.XLOOKUP(B167,'Base stats'!B:B,'Base stats'!C:C)^-0.165,0.05)</f>
        <v>0.60000000000000009</v>
      </c>
      <c r="X167" s="1">
        <f>MROUND(_xlfn.XLOOKUP(_xlfn.XLOOKUP(B167,'Base stats'!B:B,'Base stats'!E:E),Groups!A:A,Groups!BH:BH)*_xlfn.XLOOKUP(B167,'Base stats'!B:B,'Base stats'!C:C)^0.165,0.05)</f>
        <v>2.15</v>
      </c>
      <c r="Y167" s="8">
        <f>MROUND(_xlfn.XLOOKUP(_xlfn.XLOOKUP(B167,'Base stats'!B:B,'Base stats'!E:E),Groups!A:A,Groups!BI:BI)*_xlfn.XLOOKUP(B167,'Base stats'!B:B,'Base stats'!C:C)^0.165,0.05)</f>
        <v>1.1000000000000001</v>
      </c>
      <c r="Z167" s="18">
        <f>MROUND(_xlfn.XLOOKUP(B167,'Base stats'!B:B,'Base stats'!AQ:AQ)*_xlfn.XLOOKUP(_xlfn.XLOOKUP(B167,'Base stats'!B:B,'Base stats'!E:E),Groups!A:A,Groups!H:H)/1000,IF((_xlfn.XLOOKUP(B167,'Base stats'!B:B,'Base stats'!AQ:AQ)*_xlfn.XLOOKUP(_xlfn.XLOOKUP(B167,'Base stats'!B:B,'Base stats'!E:E),Groups!A:A,Groups!H:H)/1000)&gt;1,0.05,0.01))</f>
        <v>11.5</v>
      </c>
      <c r="AA167" s="18">
        <f>MROUND((1/2)*(_xlfn.XLOOKUP(_xlfn.XLOOKUP(B167,'Base stats'!B:B,'Base stats'!E:E),Groups!A:A,Groups!H:H)*_xlfn.XLOOKUP(_xlfn.XLOOKUP(B167,'Base stats'!B:B,'Base stats'!E:E),Groups!A:A,Groups!I:I))*_xlfn.XLOOKUP(B167,'Base stats'!B:B,'Base stats'!AQ:AQ)*0.01,0.05)</f>
        <v>51.75</v>
      </c>
      <c r="AB167" s="18">
        <f>MROUND(250*(Animals!AO167+Animals!AP167),25)</f>
        <v>3300</v>
      </c>
      <c r="AC167" s="18" t="str">
        <f>_xlfn.XLOOKUP(_xlfn.XLOOKUP(B167,'Base stats'!B:B,'Base stats'!E:E),Groups!A:A,Groups!BJ:BJ)</f>
        <v>Quadruped</v>
      </c>
    </row>
    <row r="168" spans="1:29" ht="16.5" thickTop="1" thickBot="1" x14ac:dyDescent="0.3">
      <c r="A168" s="16" t="str">
        <f>Animals!A168</f>
        <v>Dapletosuchus</v>
      </c>
      <c r="B168" s="6" t="str">
        <f>Animals!B168</f>
        <v>Daspletosuchus ferox</v>
      </c>
      <c r="C168" s="1" t="str">
        <f>Animals!C168</f>
        <v>&lt;li&gt;Daspletosuchus&lt;/li&gt;</v>
      </c>
      <c r="D168" s="47">
        <f>MIN(MIN(6,_xlfn.XLOOKUP(A168,Animals!A:A,Animals!AO:AO))*20,MAX(MROUND(_xlfn.XLOOKUP(B168,'Base stats'!B:B,'Base stats'!BS:BS) * (_xlfn.XLOOKUP(B168,'Base stats'!B:B,'Base stats'!AO:AO)*5%)^0.9 / 21,0.1),0.05))</f>
        <v>8.8000000000000007</v>
      </c>
      <c r="E168" s="11">
        <f>MROUND(_xlfn.XLOOKUP(B168,'Base stats'!B:B,'Base stats'!BG:BG) * 0.01 * 2 + 0.01, 0.05)</f>
        <v>8.1</v>
      </c>
      <c r="F168" s="7">
        <f>MROUND(_xlfn.XLOOKUP(B168,'Base stats'!B:B,'Base stats'!BD:BD)^0.25 / (_xlfn.XLOOKUP(B168,'Base stats'!B:B,'Base stats'!BK:BK) * 10) * 150 + 0.5 + _xlfn.XLOOKUP(B168,'Base stats'!B:B,'Base stats'!BW:BW), 0.05)</f>
        <v>2.4000000000000004</v>
      </c>
      <c r="G168" s="3" t="str">
        <f>IF(Animals!S168="No","No",
IF(_xlfn.XLOOKUP(B168,'Base stats'!B:B,'Base stats'!U:U)="No",
MAX(MROUND(_xlfn.XLOOKUP(B168,'Base stats'!B:B,'Base stats'!BT:BT) * _xlfn.XLOOKUP(B168,'Base stats'!B:B,'Base stats'!BP:BP)^0.9 / 21 * _xlfn.XLOOKUP(B168,'Base stats'!B:B,'Base stats'!BX:BX),0.1),0.05),
MAX(MROUND(((MIN(10,_xlfn.XLOOKUP(B168,'Base stats'!B:B,'Base stats'!U:U)))^0.4*_xlfn.XLOOKUP(B168,'Base stats'!B:B,'Base stats'!BH:BH)^0.73)^0.6 * _xlfn.XLOOKUP(B168,'Base stats'!B:B,'Base stats'!BX:BX),0.1),0.05)
))</f>
        <v>No</v>
      </c>
      <c r="H168" s="11" t="str">
        <f>IF(G168="No","No",
MROUND(_xlfn.XLOOKUP(B168,'Base stats'!B:B,'Base stats'!BH:BH) * 0.01 * 2 + 0.05, 0.05)
)</f>
        <v>No</v>
      </c>
      <c r="I168" s="11" t="str">
        <f>IF(G168="No","No",IF(_xlfn.XLOOKUP(B168,'Base stats'!B:B,'Base stats'!U:U)="No","No",
MROUND(_xlfn.XLOOKUP(B168,'Base stats'!B:B,'Base stats'!BT:BT)/10000+0.01,0.01)
))</f>
        <v>No</v>
      </c>
      <c r="J168" s="4" t="str">
        <f>IF(G168="No","No",
MROUND(_xlfn.XLOOKUP(B168,'Base stats'!B:B,'Base stats'!BE:BE)^0.25
/((_xlfn.XLOOKUP(B168,'Base stats'!B:B,'Base stats'!BL:BL))*10)*_xlfn.XLOOKUP(_xlfn.XLOOKUP(B168,'Base stats'!B:B,'Base stats'!E:E),Groups!A:A,Groups!Q:Q)*150 + 0.5 + _xlfn.XLOOKUP(B168,'Base stats'!B:B,'Base stats'!BW:BW),
0.05))</f>
        <v>No</v>
      </c>
      <c r="K168" s="3" t="str">
        <f>IF(Animals!X168="No","No",
IF(_xlfn.XLOOKUP(_xlfn.XLOOKUP(B168,'Base stats'!B:B,'Base stats'!E:E),Groups!A:A,Groups!BD:BD)=1,
MAX(MROUND(_xlfn.XLOOKUP(B168,'Base stats'!B:B,'Base stats'!BU:BU) * _xlfn.XLOOKUP(B168,'Base stats'!B:B,'Base stats'!BQ:BQ)^0.9 / 21 *_xlfn.XLOOKUP(B168,'Base stats'!B:B,'Base stats'!BX:BX),0.1),0.05),
MAX(MROUND(((MIN(10,_xlfn.XLOOKUP(B168,'Base stats'!B:B,'Base stats'!W:W)))^0.4*_xlfn.XLOOKUP(B168,'Base stats'!B:B,'Base stats'!BI:BI)^0.73)^0.6 *_xlfn.XLOOKUP(B168,'Base stats'!B:B,'Base stats'!BX:BX),0.1),0.05)
))</f>
        <v>No</v>
      </c>
      <c r="L168" s="11" t="str">
        <f>IF(K168="No","No",
MROUND(_xlfn.XLOOKUP(B168,'Base stats'!B:B,'Base stats'!BI:BI) * 0.01 *2 + 0.05, 0.05)
)</f>
        <v>No</v>
      </c>
      <c r="M168" s="5" t="str">
        <f>IF(K168="No","No",IF(_xlfn.XLOOKUP(_xlfn.XLOOKUP(B168,'Base stats'!B:B,'Base stats'!E:E),Groups!A:A,Groups!BD:BD)=1,"No",
MROUND(_xlfn.XLOOKUP(B168,'Base stats'!B:B,'Base stats'!BU:BU)/10000+0.01,0.01)
))</f>
        <v>No</v>
      </c>
      <c r="N168" s="4" t="str">
        <f>IF(K168="No","No",
MROUND(
  _xlfn.XLOOKUP(B168,'Base stats'!B:B,'Base stats'!BC:BC)^0.25
  / (_xlfn.XLOOKUP(B168,'Base stats'!B:B,'Base stats'!BM:BM) * 10)
  * _xlfn.XLOOKUP(
      _xlfn.XLOOKUP(B168,'Base stats'!B:B,'Base stats'!E:E),
      Groups!A:A,
      Groups!V:V
    ) * 150
  + MIN(12, _xlfn.XLOOKUP(B168,'Base stats'!B:B,'Base stats'!W:W))^(1/IF(_xlfn.XLOOKUP(_xlfn.XLOOKUP(B168,'Base stats'!B:B,'Base stats'!E:E),Groups!A:A,Groups!U:U)=1,100,10)) + 0.5 + _xlfn.XLOOKUP(B168,'Base stats'!B:B,'Base stats'!BW:BW),
0.05))</f>
        <v>No</v>
      </c>
      <c r="O168" s="3">
        <f>IF(Animals!AD168="No","No",
MAX(MROUND((MIN(10,_xlfn.XLOOKUP(B168,'Base stats'!B:B,'Base stats'!V:V)*IF(_xlfn.XLOOKUP(_xlfn.XLOOKUP(B168,'Base stats'!B:B,'Base stats'!E:E),Groups!A:A,Groups!O:O)=0,1,0.33))^0.4*_xlfn.XLOOKUP(B168,'Base stats'!B:B,'Base stats'!BJ:BJ)^0.73)^0.6 *_xlfn.XLOOKUP(B168,'Base stats'!B:B,'Base stats'!BX:BX),0.1),0.05)
)</f>
        <v>38.900000000000006</v>
      </c>
      <c r="P168" s="11">
        <f>IF(O168="No","No",
MROUND(_xlfn.XLOOKUP(B168,'Base stats'!B:B,'Base stats'!BJ:BJ) * 0.01 * 2 + 0.05, 0.05)
)</f>
        <v>27.400000000000002</v>
      </c>
      <c r="Q168" s="5">
        <f>IF(O168="No","No",
MROUND(_xlfn.XLOOKUP(B168,'Base stats'!B:B,'Base stats'!BV:BV)/10000+0.01,0.01)
)</f>
        <v>25.61</v>
      </c>
      <c r="R168" s="4">
        <f>IF(O168="No","No",
MROUND(_xlfn.XLOOKUP(B168,'Base stats'!B:B,'Base stats'!BB:BB)^0.25
/((_xlfn.XLOOKUP(B168,'Base stats'!B:B,'Base stats'!BN:BN))*10)*_xlfn.XLOOKUP(_xlfn.XLOOKUP(B168,'Base stats'!B:B,'Base stats'!E:E),Groups!A:A,Groups!Z:Z)*150 + 0.5 + _xlfn.XLOOKUP(B168,'Base stats'!B:B,'Base stats'!BW:BW),
0.05))</f>
        <v>1.5</v>
      </c>
      <c r="S168" s="3">
        <f>IF(Animals!AI168="No","No",
IF(_xlfn.XLOOKUP(B168,'Base stats'!B:B,'Base stats'!U:U)="No",
MAX(MROUND(_xlfn.XLOOKUP(B168,'Base stats'!B:B,'Base stats'!BT:BT) * _xlfn.XLOOKUP(B168,'Base stats'!B:B,'Base stats'!BP:BP)^0.9 / 21 * _xlfn.XLOOKUP(B168,'Base stats'!B:B,'Base stats'!BX:BX),0.1),0.05),
MAX(MROUND(((MIN(12,_xlfn.XLOOKUP(B168,'Base stats'!B:B,'Base stats'!U:U)))^0.4*_xlfn.XLOOKUP(B168,'Base stats'!B:B,'Base stats'!BH:BH)^0.73)^0.6 * _xlfn.XLOOKUP(B168,'Base stats'!B:B,'Base stats'!BX:BX),0.1),0.05)
))</f>
        <v>21.900000000000002</v>
      </c>
      <c r="T168" s="11">
        <f>IF(S168="No","No",
MROUND(_xlfn.XLOOKUP(B168,'Base stats'!B:B,'Base stats'!BH:BH) * 0.01 * 2 + 0.05, 0.05)
)</f>
        <v>9.5500000000000007</v>
      </c>
      <c r="U168" s="5">
        <f>IF(S168="No","No",IF(_xlfn.XLOOKUP(B168,'Base stats'!B:B,'Base stats'!U:U)="No","No",
MROUND(_xlfn.XLOOKUP(B168,'Base stats'!B:B,'Base stats'!BT:BT)/10000+0.01,0.01)
))</f>
        <v>8.870000000000001</v>
      </c>
      <c r="V168" s="4">
        <f>IF(S168="No","No",
MROUND(_xlfn.XLOOKUP(B168,'Base stats'!B:B,'Base stats'!BF:BF)^0.25
/((_xlfn.XLOOKUP(B168,'Base stats'!B:B,'Base stats'!BO:BO))*10)*_xlfn.XLOOKUP(_xlfn.XLOOKUP(B168,'Base stats'!B:B,'Base stats'!E:E),Groups!A:A,Groups!AE:AE)*150 + 0.5 + _xlfn.XLOOKUP(B168,'Base stats'!B:B,'Base stats'!BW:BW),
0.05))</f>
        <v>1.3</v>
      </c>
      <c r="W168" s="8">
        <f>MROUND(_xlfn.XLOOKUP(_xlfn.XLOOKUP(B168,'Base stats'!B:B,'Base stats'!E:E),Groups!A:A,Groups!BG:BG)*_xlfn.XLOOKUP(B168,'Base stats'!B:B,'Base stats'!C:C)^-0.165,0.05)</f>
        <v>0.95000000000000007</v>
      </c>
      <c r="X168" s="1">
        <f>MROUND(_xlfn.XLOOKUP(_xlfn.XLOOKUP(B168,'Base stats'!B:B,'Base stats'!E:E),Groups!A:A,Groups!BH:BH)*_xlfn.XLOOKUP(B168,'Base stats'!B:B,'Base stats'!C:C)^0.165,0.05)</f>
        <v>1.3</v>
      </c>
      <c r="Y168" s="8">
        <f>MROUND(_xlfn.XLOOKUP(_xlfn.XLOOKUP(B168,'Base stats'!B:B,'Base stats'!E:E),Groups!A:A,Groups!BI:BI)*_xlfn.XLOOKUP(B168,'Base stats'!B:B,'Base stats'!C:C)^0.165,0.05)</f>
        <v>0.65</v>
      </c>
      <c r="Z168" s="18">
        <f>MROUND(_xlfn.XLOOKUP(B168,'Base stats'!B:B,'Base stats'!AQ:AQ)*_xlfn.XLOOKUP(_xlfn.XLOOKUP(B168,'Base stats'!B:B,'Base stats'!E:E),Groups!A:A,Groups!H:H)/1000,IF((_xlfn.XLOOKUP(B168,'Base stats'!B:B,'Base stats'!AQ:AQ)*_xlfn.XLOOKUP(_xlfn.XLOOKUP(B168,'Base stats'!B:B,'Base stats'!E:E),Groups!A:A,Groups!H:H)/1000)&gt;1,0.05,0.01))</f>
        <v>5.15</v>
      </c>
      <c r="AA168" s="18">
        <f>MROUND((1/2)*(_xlfn.XLOOKUP(_xlfn.XLOOKUP(B168,'Base stats'!B:B,'Base stats'!E:E),Groups!A:A,Groups!H:H)*_xlfn.XLOOKUP(_xlfn.XLOOKUP(B168,'Base stats'!B:B,'Base stats'!E:E),Groups!A:A,Groups!I:I))*_xlfn.XLOOKUP(B168,'Base stats'!B:B,'Base stats'!AQ:AQ)*0.01,0.05)</f>
        <v>23.1</v>
      </c>
      <c r="AB168" s="18">
        <f>MROUND(250*(Animals!AO168+Animals!AP168),25)</f>
        <v>1375</v>
      </c>
      <c r="AC168" s="18" t="str">
        <f>_xlfn.XLOOKUP(_xlfn.XLOOKUP(B168,'Base stats'!B:B,'Base stats'!E:E),Groups!A:A,Groups!BJ:BJ)</f>
        <v>Quadruped</v>
      </c>
    </row>
    <row r="169" spans="1:29" ht="16.5" thickTop="1" thickBot="1" x14ac:dyDescent="0.3">
      <c r="A169" s="16" t="str">
        <f>Animals!A169</f>
        <v>Asciotaurus</v>
      </c>
      <c r="B169" s="6" t="str">
        <f>Animals!B169</f>
        <v>Asciotaurus validus</v>
      </c>
      <c r="C169" s="1" t="str">
        <f>Animals!C169</f>
        <v>&lt;li&gt;Asciotaurus&lt;/li&gt;</v>
      </c>
      <c r="D169" s="47">
        <f>MIN(MIN(6,_xlfn.XLOOKUP(A169,Animals!A:A,Animals!AO:AO))*20,MAX(MROUND(_xlfn.XLOOKUP(B169,'Base stats'!B:B,'Base stats'!BS:BS) * (_xlfn.XLOOKUP(B169,'Base stats'!B:B,'Base stats'!AO:AO)*5%)^0.9 / 21,0.1),0.05))</f>
        <v>82.9</v>
      </c>
      <c r="E169" s="11">
        <f>MROUND(_xlfn.XLOOKUP(B169,'Base stats'!B:B,'Base stats'!BG:BG) * 0.01 * 2 + 0.01, 0.05)</f>
        <v>90.550000000000011</v>
      </c>
      <c r="F169" s="7">
        <f>MROUND(_xlfn.XLOOKUP(B169,'Base stats'!B:B,'Base stats'!BD:BD)^0.25 / (_xlfn.XLOOKUP(B169,'Base stats'!B:B,'Base stats'!BK:BK) * 10) * 150 + 0.5 + _xlfn.XLOOKUP(B169,'Base stats'!B:B,'Base stats'!BW:BW), 0.05)</f>
        <v>2.25</v>
      </c>
      <c r="G169" s="3">
        <f>IF(Animals!S169="No","No",
IF(_xlfn.XLOOKUP(B169,'Base stats'!B:B,'Base stats'!U:U)="No",
MAX(MROUND(_xlfn.XLOOKUP(B169,'Base stats'!B:B,'Base stats'!BT:BT) * _xlfn.XLOOKUP(B169,'Base stats'!B:B,'Base stats'!BP:BP)^0.9 / 21 * _xlfn.XLOOKUP(B169,'Base stats'!B:B,'Base stats'!BX:BX),0.1),0.05),
MAX(MROUND(((MIN(10,_xlfn.XLOOKUP(B169,'Base stats'!B:B,'Base stats'!U:U)))^0.4*_xlfn.XLOOKUP(B169,'Base stats'!B:B,'Base stats'!BH:BH)^0.73)^0.6 * _xlfn.XLOOKUP(B169,'Base stats'!B:B,'Base stats'!BX:BX),0.1),0.05)
))</f>
        <v>112.4</v>
      </c>
      <c r="H169" s="11">
        <f>IF(G169="No","No",
MROUND(_xlfn.XLOOKUP(B169,'Base stats'!B:B,'Base stats'!BH:BH) * 0.01 * 2 + 0.05, 0.05)
)</f>
        <v>91.600000000000009</v>
      </c>
      <c r="I169" s="11" t="str">
        <f>IF(G169="No","No",IF(_xlfn.XLOOKUP(B169,'Base stats'!B:B,'Base stats'!U:U)="No","No",
MROUND(_xlfn.XLOOKUP(B169,'Base stats'!B:B,'Base stats'!BT:BT)/10000+0.01,0.01)
))</f>
        <v>No</v>
      </c>
      <c r="J169" s="4">
        <f>IF(G169="No","No",
MROUND(_xlfn.XLOOKUP(B169,'Base stats'!B:B,'Base stats'!BE:BE)^0.25
/((_xlfn.XLOOKUP(B169,'Base stats'!B:B,'Base stats'!BL:BL))*10)*_xlfn.XLOOKUP(_xlfn.XLOOKUP(B169,'Base stats'!B:B,'Base stats'!E:E),Groups!A:A,Groups!Q:Q)*150 + 0.5 + _xlfn.XLOOKUP(B169,'Base stats'!B:B,'Base stats'!BW:BW),
0.05))</f>
        <v>2.3000000000000003</v>
      </c>
      <c r="K169" s="3">
        <f>IF(Animals!X169="No","No",
IF(_xlfn.XLOOKUP(_xlfn.XLOOKUP(B169,'Base stats'!B:B,'Base stats'!E:E),Groups!A:A,Groups!BD:BD)=1,
MAX(MROUND(_xlfn.XLOOKUP(B169,'Base stats'!B:B,'Base stats'!BU:BU) * _xlfn.XLOOKUP(B169,'Base stats'!B:B,'Base stats'!BQ:BQ)^0.9 / 21 *_xlfn.XLOOKUP(B169,'Base stats'!B:B,'Base stats'!BX:BX),0.1),0.05),
MAX(MROUND(((MIN(10,_xlfn.XLOOKUP(B169,'Base stats'!B:B,'Base stats'!W:W)))^0.4*_xlfn.XLOOKUP(B169,'Base stats'!B:B,'Base stats'!BI:BI)^0.73)^0.6 *_xlfn.XLOOKUP(B169,'Base stats'!B:B,'Base stats'!BX:BX),0.1),0.05)
))</f>
        <v>75.100000000000009</v>
      </c>
      <c r="L169" s="11">
        <f>IF(K169="No","No",
MROUND(_xlfn.XLOOKUP(B169,'Base stats'!B:B,'Base stats'!BI:BI) * 0.01 *2 + 0.05, 0.05)
)</f>
        <v>108.65</v>
      </c>
      <c r="M169" s="5">
        <f>IF(K169="No","No",IF(_xlfn.XLOOKUP(_xlfn.XLOOKUP(B169,'Base stats'!B:B,'Base stats'!E:E),Groups!A:A,Groups!BD:BD)=1,"No",
MROUND(_xlfn.XLOOKUP(B169,'Base stats'!B:B,'Base stats'!BU:BU)/10000+0.01,0.01)
))</f>
        <v>139.94</v>
      </c>
      <c r="N169" s="4">
        <f>IF(K169="No","No",
MROUND(
  _xlfn.XLOOKUP(B169,'Base stats'!B:B,'Base stats'!BC:BC)^0.25
  / (_xlfn.XLOOKUP(B169,'Base stats'!B:B,'Base stats'!BM:BM) * 10)
  * _xlfn.XLOOKUP(
      _xlfn.XLOOKUP(B169,'Base stats'!B:B,'Base stats'!E:E),
      Groups!A:A,
      Groups!V:V
    ) * 150
  + MIN(12, _xlfn.XLOOKUP(B169,'Base stats'!B:B,'Base stats'!W:W))^(1/IF(_xlfn.XLOOKUP(_xlfn.XLOOKUP(B169,'Base stats'!B:B,'Base stats'!E:E),Groups!A:A,Groups!U:U)=1,100,10)) + 0.5 + _xlfn.XLOOKUP(B169,'Base stats'!B:B,'Base stats'!BW:BW),
0.05))</f>
        <v>2.9000000000000004</v>
      </c>
      <c r="O169" s="3" t="str">
        <f>IF(Animals!AD169="No","No",
MAX(MROUND((MIN(10,_xlfn.XLOOKUP(B169,'Base stats'!B:B,'Base stats'!V:V)*IF(_xlfn.XLOOKUP(_xlfn.XLOOKUP(B169,'Base stats'!B:B,'Base stats'!E:E),Groups!A:A,Groups!O:O)=0,1,0.33))^0.4*_xlfn.XLOOKUP(B169,'Base stats'!B:B,'Base stats'!BJ:BJ)^0.73)^0.6 *_xlfn.XLOOKUP(B169,'Base stats'!B:B,'Base stats'!BX:BX),0.1),0.05)
)</f>
        <v>No</v>
      </c>
      <c r="P169" s="11" t="str">
        <f>IF(O169="No","No",
MROUND(_xlfn.XLOOKUP(B169,'Base stats'!B:B,'Base stats'!BJ:BJ) * 0.01 * 2 + 0.05, 0.05)
)</f>
        <v>No</v>
      </c>
      <c r="Q169" s="5" t="str">
        <f>IF(O169="No","No",
MROUND(_xlfn.XLOOKUP(B169,'Base stats'!B:B,'Base stats'!BV:BV)/10000+0.01,0.01)
)</f>
        <v>No</v>
      </c>
      <c r="R169" s="4" t="str">
        <f>IF(O169="No","No",
MROUND(_xlfn.XLOOKUP(B169,'Base stats'!B:B,'Base stats'!BB:BB)^0.25
/((_xlfn.XLOOKUP(B169,'Base stats'!B:B,'Base stats'!BN:BN))*10)*_xlfn.XLOOKUP(_xlfn.XLOOKUP(B169,'Base stats'!B:B,'Base stats'!E:E),Groups!A:A,Groups!Z:Z)*150 + 0.5 + _xlfn.XLOOKUP(B169,'Base stats'!B:B,'Base stats'!BW:BW),
0.05))</f>
        <v>No</v>
      </c>
      <c r="S169" s="3" t="str">
        <f>IF(Animals!AI169="No","No",
IF(_xlfn.XLOOKUP(B169,'Base stats'!B:B,'Base stats'!U:U)="No",
MAX(MROUND(_xlfn.XLOOKUP(B169,'Base stats'!B:B,'Base stats'!BT:BT) * _xlfn.XLOOKUP(B169,'Base stats'!B:B,'Base stats'!BP:BP)^0.9 / 21 * _xlfn.XLOOKUP(B169,'Base stats'!B:B,'Base stats'!BX:BX),0.1),0.05),
MAX(MROUND(((MIN(12,_xlfn.XLOOKUP(B169,'Base stats'!B:B,'Base stats'!U:U)))^0.4*_xlfn.XLOOKUP(B169,'Base stats'!B:B,'Base stats'!BH:BH)^0.73)^0.6 * _xlfn.XLOOKUP(B169,'Base stats'!B:B,'Base stats'!BX:BX),0.1),0.05)
))</f>
        <v>No</v>
      </c>
      <c r="T169" s="11" t="str">
        <f>IF(S169="No","No",
MROUND(_xlfn.XLOOKUP(B169,'Base stats'!B:B,'Base stats'!BH:BH) * 0.01 * 2 + 0.05, 0.05)
)</f>
        <v>No</v>
      </c>
      <c r="U169" s="5" t="str">
        <f>IF(S169="No","No",IF(_xlfn.XLOOKUP(B169,'Base stats'!B:B,'Base stats'!U:U)="No","No",
MROUND(_xlfn.XLOOKUP(B169,'Base stats'!B:B,'Base stats'!BT:BT)/10000+0.01,0.01)
))</f>
        <v>No</v>
      </c>
      <c r="V169" s="4" t="str">
        <f>IF(S169="No","No",
MROUND(_xlfn.XLOOKUP(B169,'Base stats'!B:B,'Base stats'!BF:BF)^0.25
/((_xlfn.XLOOKUP(B169,'Base stats'!B:B,'Base stats'!BO:BO))*10)*_xlfn.XLOOKUP(_xlfn.XLOOKUP(B169,'Base stats'!B:B,'Base stats'!E:E),Groups!A:A,Groups!AE:AE)*150 + 0.5 + _xlfn.XLOOKUP(B169,'Base stats'!B:B,'Base stats'!BW:BW),
0.05))</f>
        <v>No</v>
      </c>
      <c r="W169" s="8">
        <f>MROUND(_xlfn.XLOOKUP(_xlfn.XLOOKUP(B169,'Base stats'!B:B,'Base stats'!E:E),Groups!A:A,Groups!BG:BG)*_xlfn.XLOOKUP(B169,'Base stats'!B:B,'Base stats'!C:C)^-0.165,0.05)</f>
        <v>0.25</v>
      </c>
      <c r="X169" s="1">
        <f>MROUND(_xlfn.XLOOKUP(_xlfn.XLOOKUP(B169,'Base stats'!B:B,'Base stats'!E:E),Groups!A:A,Groups!BH:BH)*_xlfn.XLOOKUP(B169,'Base stats'!B:B,'Base stats'!C:C)^0.165,0.05)</f>
        <v>1</v>
      </c>
      <c r="Y169" s="8">
        <f>MROUND(_xlfn.XLOOKUP(_xlfn.XLOOKUP(B169,'Base stats'!B:B,'Base stats'!E:E),Groups!A:A,Groups!BI:BI)*_xlfn.XLOOKUP(B169,'Base stats'!B:B,'Base stats'!C:C)^0.165,0.05)</f>
        <v>0.4</v>
      </c>
      <c r="Z169" s="18">
        <f>MROUND(_xlfn.XLOOKUP(B169,'Base stats'!B:B,'Base stats'!AQ:AQ)*_xlfn.XLOOKUP(_xlfn.XLOOKUP(B169,'Base stats'!B:B,'Base stats'!E:E),Groups!A:A,Groups!H:H)/1000,IF((_xlfn.XLOOKUP(B169,'Base stats'!B:B,'Base stats'!AQ:AQ)*_xlfn.XLOOKUP(_xlfn.XLOOKUP(B169,'Base stats'!B:B,'Base stats'!E:E),Groups!A:A,Groups!H:H)/1000)&gt;1,0.05,0.01))</f>
        <v>10.450000000000001</v>
      </c>
      <c r="AA169" s="18">
        <f>MROUND((1/2)*(_xlfn.XLOOKUP(_xlfn.XLOOKUP(B169,'Base stats'!B:B,'Base stats'!E:E),Groups!A:A,Groups!H:H)*_xlfn.XLOOKUP(_xlfn.XLOOKUP(B169,'Base stats'!B:B,'Base stats'!E:E),Groups!A:A,Groups!I:I))*_xlfn.XLOOKUP(B169,'Base stats'!B:B,'Base stats'!AQ:AQ)*0.01,0.05)</f>
        <v>46.95</v>
      </c>
      <c r="AB169" s="18">
        <f>MROUND(250*(Animals!AO169+Animals!AP169),25)</f>
        <v>2500</v>
      </c>
      <c r="AC169" s="18" t="str">
        <f>_xlfn.XLOOKUP(_xlfn.XLOOKUP(B169,'Base stats'!B:B,'Base stats'!E:E),Groups!A:A,Groups!BJ:BJ)</f>
        <v>Quadruped</v>
      </c>
    </row>
    <row r="170" spans="1:29" ht="16.5" thickTop="1" thickBot="1" x14ac:dyDescent="0.3">
      <c r="A170" s="16" t="str">
        <f>Animals!A170</f>
        <v>Arthropython</v>
      </c>
      <c r="B170" s="6" t="str">
        <f>Animals!B170</f>
        <v>Arthropython serpentes</v>
      </c>
      <c r="C170" s="1" t="str">
        <f>Animals!C170</f>
        <v>&lt;li&gt;Arthropython&lt;/li&gt;</v>
      </c>
      <c r="D170" s="47">
        <f>MIN(MIN(6,_xlfn.XLOOKUP(A170,Animals!A:A,Animals!AO:AO))*20,MAX(MROUND(_xlfn.XLOOKUP(B170,'Base stats'!B:B,'Base stats'!BS:BS) * (_xlfn.XLOOKUP(B170,'Base stats'!B:B,'Base stats'!AO:AO)*5%)^0.9 / 21,0.1),0.05))</f>
        <v>1.7000000000000002</v>
      </c>
      <c r="E170" s="11">
        <f>MROUND(_xlfn.XLOOKUP(B170,'Base stats'!B:B,'Base stats'!BG:BG) * 0.01 * 2 + 0.01, 0.05)</f>
        <v>1.4000000000000001</v>
      </c>
      <c r="F170" s="7">
        <f>MROUND(_xlfn.XLOOKUP(B170,'Base stats'!B:B,'Base stats'!BD:BD)^0.25 / (_xlfn.XLOOKUP(B170,'Base stats'!B:B,'Base stats'!BK:BK) * 10) * 150 + 0.5 + _xlfn.XLOOKUP(B170,'Base stats'!B:B,'Base stats'!BW:BW), 0.05)</f>
        <v>1.85</v>
      </c>
      <c r="G170" s="3" t="str">
        <f>IF(Animals!S170="No","No",
IF(_xlfn.XLOOKUP(B170,'Base stats'!B:B,'Base stats'!U:U)="No",
MAX(MROUND(_xlfn.XLOOKUP(B170,'Base stats'!B:B,'Base stats'!BT:BT) * _xlfn.XLOOKUP(B170,'Base stats'!B:B,'Base stats'!BP:BP)^0.9 / 21 * _xlfn.XLOOKUP(B170,'Base stats'!B:B,'Base stats'!BX:BX),0.1),0.05),
MAX(MROUND(((MIN(10,_xlfn.XLOOKUP(B170,'Base stats'!B:B,'Base stats'!U:U)))^0.4*_xlfn.XLOOKUP(B170,'Base stats'!B:B,'Base stats'!BH:BH)^0.73)^0.6 * _xlfn.XLOOKUP(B170,'Base stats'!B:B,'Base stats'!BX:BX),0.1),0.05)
))</f>
        <v>No</v>
      </c>
      <c r="H170" s="11" t="str">
        <f>IF(G170="No","No",
MROUND(_xlfn.XLOOKUP(B170,'Base stats'!B:B,'Base stats'!BH:BH) * 0.01 * 2 + 0.05, 0.05)
)</f>
        <v>No</v>
      </c>
      <c r="I170" s="11" t="str">
        <f>IF(G170="No","No",IF(_xlfn.XLOOKUP(B170,'Base stats'!B:B,'Base stats'!U:U)="No","No",
MROUND(_xlfn.XLOOKUP(B170,'Base stats'!B:B,'Base stats'!BT:BT)/10000+0.01,0.01)
))</f>
        <v>No</v>
      </c>
      <c r="J170" s="4" t="str">
        <f>IF(G170="No","No",
MROUND(_xlfn.XLOOKUP(B170,'Base stats'!B:B,'Base stats'!BE:BE)^0.25
/((_xlfn.XLOOKUP(B170,'Base stats'!B:B,'Base stats'!BL:BL))*10)*_xlfn.XLOOKUP(_xlfn.XLOOKUP(B170,'Base stats'!B:B,'Base stats'!E:E),Groups!A:A,Groups!Q:Q)*150 + 0.5 + _xlfn.XLOOKUP(B170,'Base stats'!B:B,'Base stats'!BW:BW),
0.05))</f>
        <v>No</v>
      </c>
      <c r="K170" s="3" t="str">
        <f>IF(Animals!X170="No","No",
IF(_xlfn.XLOOKUP(_xlfn.XLOOKUP(B170,'Base stats'!B:B,'Base stats'!E:E),Groups!A:A,Groups!BD:BD)=1,
MAX(MROUND(_xlfn.XLOOKUP(B170,'Base stats'!B:B,'Base stats'!BU:BU) * _xlfn.XLOOKUP(B170,'Base stats'!B:B,'Base stats'!BQ:BQ)^0.9 / 21 *_xlfn.XLOOKUP(B170,'Base stats'!B:B,'Base stats'!BX:BX),0.1),0.05),
MAX(MROUND(((MIN(10,_xlfn.XLOOKUP(B170,'Base stats'!B:B,'Base stats'!W:W)))^0.4*_xlfn.XLOOKUP(B170,'Base stats'!B:B,'Base stats'!BI:BI)^0.73)^0.6 *_xlfn.XLOOKUP(B170,'Base stats'!B:B,'Base stats'!BX:BX),0.1),0.05)
))</f>
        <v>No</v>
      </c>
      <c r="L170" s="11" t="str">
        <f>IF(K170="No","No",
MROUND(_xlfn.XLOOKUP(B170,'Base stats'!B:B,'Base stats'!BI:BI) * 0.01 *2 + 0.05, 0.05)
)</f>
        <v>No</v>
      </c>
      <c r="M170" s="5" t="str">
        <f>IF(K170="No","No",IF(_xlfn.XLOOKUP(_xlfn.XLOOKUP(B170,'Base stats'!B:B,'Base stats'!E:E),Groups!A:A,Groups!BD:BD)=1,"No",
MROUND(_xlfn.XLOOKUP(B170,'Base stats'!B:B,'Base stats'!BU:BU)/10000+0.01,0.01)
))</f>
        <v>No</v>
      </c>
      <c r="N170" s="4" t="str">
        <f>IF(K170="No","No",
MROUND(
  _xlfn.XLOOKUP(B170,'Base stats'!B:B,'Base stats'!BC:BC)^0.25
  / (_xlfn.XLOOKUP(B170,'Base stats'!B:B,'Base stats'!BM:BM) * 10)
  * _xlfn.XLOOKUP(
      _xlfn.XLOOKUP(B170,'Base stats'!B:B,'Base stats'!E:E),
      Groups!A:A,
      Groups!V:V
    ) * 150
  + MIN(12, _xlfn.XLOOKUP(B170,'Base stats'!B:B,'Base stats'!W:W))^(1/IF(_xlfn.XLOOKUP(_xlfn.XLOOKUP(B170,'Base stats'!B:B,'Base stats'!E:E),Groups!A:A,Groups!U:U)=1,100,10)) + 0.5 + _xlfn.XLOOKUP(B170,'Base stats'!B:B,'Base stats'!BW:BW),
0.05))</f>
        <v>No</v>
      </c>
      <c r="O170" s="3">
        <f>IF(Animals!AD170="No","No",
MAX(MROUND((MIN(10,_xlfn.XLOOKUP(B170,'Base stats'!B:B,'Base stats'!V:V)*IF(_xlfn.XLOOKUP(_xlfn.XLOOKUP(B170,'Base stats'!B:B,'Base stats'!E:E),Groups!A:A,Groups!O:O)=0,1,0.33))^0.4*_xlfn.XLOOKUP(B170,'Base stats'!B:B,'Base stats'!BJ:BJ)^0.73)^0.6 *_xlfn.XLOOKUP(B170,'Base stats'!B:B,'Base stats'!BX:BX),0.1),0.05)
)</f>
        <v>14.100000000000001</v>
      </c>
      <c r="P170" s="11">
        <f>IF(O170="No","No",
MROUND(_xlfn.XLOOKUP(B170,'Base stats'!B:B,'Base stats'!BJ:BJ) * 0.01 * 2 + 0.05, 0.05)
)</f>
        <v>5.8000000000000007</v>
      </c>
      <c r="Q170" s="5">
        <f>IF(O170="No","No",
MROUND(_xlfn.XLOOKUP(B170,'Base stats'!B:B,'Base stats'!BV:BV)/10000+0.01,0.01)
)</f>
        <v>11.92</v>
      </c>
      <c r="R170" s="4">
        <f>IF(O170="No","No",
MROUND(_xlfn.XLOOKUP(B170,'Base stats'!B:B,'Base stats'!BB:BB)^0.25
/((_xlfn.XLOOKUP(B170,'Base stats'!B:B,'Base stats'!BN:BN))*10)*_xlfn.XLOOKUP(_xlfn.XLOOKUP(B170,'Base stats'!B:B,'Base stats'!E:E),Groups!A:A,Groups!Z:Z)*150 + 0.5 + _xlfn.XLOOKUP(B170,'Base stats'!B:B,'Base stats'!BW:BW),
0.05))</f>
        <v>1.25</v>
      </c>
      <c r="S170" s="3">
        <f>IF(Animals!AI170="No","No",
IF(_xlfn.XLOOKUP(B170,'Base stats'!B:B,'Base stats'!U:U)="No",
MAX(MROUND(_xlfn.XLOOKUP(B170,'Base stats'!B:B,'Base stats'!BT:BT) * _xlfn.XLOOKUP(B170,'Base stats'!B:B,'Base stats'!BP:BP)^0.9 / 21 * _xlfn.XLOOKUP(B170,'Base stats'!B:B,'Base stats'!BX:BX),0.1),0.05),
MAX(MROUND(((MIN(12,_xlfn.XLOOKUP(B170,'Base stats'!B:B,'Base stats'!U:U)))^0.4*_xlfn.XLOOKUP(B170,'Base stats'!B:B,'Base stats'!BH:BH)^0.73)^0.6 * _xlfn.XLOOKUP(B170,'Base stats'!B:B,'Base stats'!BX:BX),0.1),0.05)
))</f>
        <v>18.8</v>
      </c>
      <c r="T170" s="11">
        <f>IF(S170="No","No",
MROUND(_xlfn.XLOOKUP(B170,'Base stats'!B:B,'Base stats'!BH:BH) * 0.01 * 2 + 0.05, 0.05)
)</f>
        <v>4.6500000000000004</v>
      </c>
      <c r="U170" s="5">
        <f>IF(S170="No","No",IF(_xlfn.XLOOKUP(B170,'Base stats'!B:B,'Base stats'!U:U)="No","No",
MROUND(_xlfn.XLOOKUP(B170,'Base stats'!B:B,'Base stats'!BT:BT)/10000+0.01,0.01)
))</f>
        <v>9.5400000000000009</v>
      </c>
      <c r="V170" s="4">
        <f>IF(S170="No","No",
MROUND(_xlfn.XLOOKUP(B170,'Base stats'!B:B,'Base stats'!BF:BF)^0.25
/((_xlfn.XLOOKUP(B170,'Base stats'!B:B,'Base stats'!BO:BO))*10)*_xlfn.XLOOKUP(_xlfn.XLOOKUP(B170,'Base stats'!B:B,'Base stats'!E:E),Groups!A:A,Groups!AE:AE)*150 + 0.5 + _xlfn.XLOOKUP(B170,'Base stats'!B:B,'Base stats'!BW:BW),
0.05))</f>
        <v>1.35</v>
      </c>
      <c r="W170" s="8">
        <f>MROUND(_xlfn.XLOOKUP(_xlfn.XLOOKUP(B170,'Base stats'!B:B,'Base stats'!E:E),Groups!A:A,Groups!BG:BG)*_xlfn.XLOOKUP(B170,'Base stats'!B:B,'Base stats'!C:C)^-0.165,0.05)</f>
        <v>0.5</v>
      </c>
      <c r="X170" s="1">
        <f>MROUND(_xlfn.XLOOKUP(_xlfn.XLOOKUP(B170,'Base stats'!B:B,'Base stats'!E:E),Groups!A:A,Groups!BH:BH)*_xlfn.XLOOKUP(B170,'Base stats'!B:B,'Base stats'!C:C)^0.165,0.05)</f>
        <v>0.65</v>
      </c>
      <c r="Y170" s="8">
        <f>MROUND(_xlfn.XLOOKUP(_xlfn.XLOOKUP(B170,'Base stats'!B:B,'Base stats'!E:E),Groups!A:A,Groups!BI:BI)*_xlfn.XLOOKUP(B170,'Base stats'!B:B,'Base stats'!C:C)^0.165,0.05)</f>
        <v>0.30000000000000004</v>
      </c>
      <c r="Z170" s="18">
        <f>MROUND(_xlfn.XLOOKUP(B170,'Base stats'!B:B,'Base stats'!AQ:AQ)*_xlfn.XLOOKUP(_xlfn.XLOOKUP(B170,'Base stats'!B:B,'Base stats'!E:E),Groups!A:A,Groups!H:H)/1000,IF((_xlfn.XLOOKUP(B170,'Base stats'!B:B,'Base stats'!AQ:AQ)*_xlfn.XLOOKUP(_xlfn.XLOOKUP(B170,'Base stats'!B:B,'Base stats'!E:E),Groups!A:A,Groups!H:H)/1000)&gt;1,0.05,0.01))</f>
        <v>3.2</v>
      </c>
      <c r="AA170" s="18">
        <f>MROUND((1/2)*(_xlfn.XLOOKUP(_xlfn.XLOOKUP(B170,'Base stats'!B:B,'Base stats'!E:E),Groups!A:A,Groups!H:H)*_xlfn.XLOOKUP(_xlfn.XLOOKUP(B170,'Base stats'!B:B,'Base stats'!E:E),Groups!A:A,Groups!I:I))*_xlfn.XLOOKUP(B170,'Base stats'!B:B,'Base stats'!AQ:AQ)*0.01,0.05)</f>
        <v>14.4</v>
      </c>
      <c r="AB170" s="18">
        <f>MROUND(250*(Animals!AO170+Animals!AP170),25)</f>
        <v>475</v>
      </c>
      <c r="AC170" s="18" t="str">
        <f>_xlfn.XLOOKUP(_xlfn.XLOOKUP(B170,'Base stats'!B:B,'Base stats'!E:E),Groups!A:A,Groups!BJ:BJ)</f>
        <v>Serpentine</v>
      </c>
    </row>
    <row r="171" spans="1:29" s="16" customFormat="1" ht="16.5" thickTop="1" thickBot="1" x14ac:dyDescent="0.3">
      <c r="A171" s="16" t="str">
        <f>Animals!A171</f>
        <v>Talpobaena</v>
      </c>
      <c r="B171" s="6" t="str">
        <f>Animals!B171</f>
        <v>Talpobaena armata</v>
      </c>
      <c r="C171" s="1" t="str">
        <f>Animals!C171</f>
        <v>&lt;li&gt;Talpobaena&lt;/li&gt;</v>
      </c>
      <c r="D171" s="47">
        <f>MIN(MIN(6,_xlfn.XLOOKUP(A171,Animals!A:A,Animals!AO:AO))*20,MAX(MROUND(_xlfn.XLOOKUP(B171,'Base stats'!B:B,'Base stats'!BS:BS) * (_xlfn.XLOOKUP(B171,'Base stats'!B:B,'Base stats'!AO:AO)*5%)^0.9 / 21,0.1),0.05))</f>
        <v>2.4000000000000004</v>
      </c>
      <c r="E171" s="11">
        <f>MROUND(_xlfn.XLOOKUP(B171,'Base stats'!B:B,'Base stats'!BG:BG) * 0.01 * 2 + 0.01, 0.05)</f>
        <v>2</v>
      </c>
      <c r="F171" s="7">
        <f>MROUND(_xlfn.XLOOKUP(B171,'Base stats'!B:B,'Base stats'!BD:BD)^0.25 / (_xlfn.XLOOKUP(B171,'Base stats'!B:B,'Base stats'!BK:BK) * 10) * 150 + 0.5 + _xlfn.XLOOKUP(B171,'Base stats'!B:B,'Base stats'!BW:BW), 0.05)</f>
        <v>1.6500000000000001</v>
      </c>
      <c r="G171" s="3" t="str">
        <f>IF(Animals!S171="No","No",
IF(_xlfn.XLOOKUP(B171,'Base stats'!B:B,'Base stats'!U:U)="No",
MAX(MROUND(_xlfn.XLOOKUP(B171,'Base stats'!B:B,'Base stats'!BT:BT) * _xlfn.XLOOKUP(B171,'Base stats'!B:B,'Base stats'!BP:BP)^0.9 / 21 * _xlfn.XLOOKUP(B171,'Base stats'!B:B,'Base stats'!BX:BX),0.1),0.05),
MAX(MROUND(((MIN(10,_xlfn.XLOOKUP(B171,'Base stats'!B:B,'Base stats'!U:U)))^0.4*_xlfn.XLOOKUP(B171,'Base stats'!B:B,'Base stats'!BH:BH)^0.73)^0.6 * _xlfn.XLOOKUP(B171,'Base stats'!B:B,'Base stats'!BX:BX),0.1),0.05)
))</f>
        <v>No</v>
      </c>
      <c r="H171" s="11" t="str">
        <f>IF(G171="No","No",
MROUND(_xlfn.XLOOKUP(B171,'Base stats'!B:B,'Base stats'!BH:BH) * 0.01 * 2 + 0.05, 0.05)
)</f>
        <v>No</v>
      </c>
      <c r="I171" s="11" t="str">
        <f>IF(G171="No","No",IF(_xlfn.XLOOKUP(B171,'Base stats'!B:B,'Base stats'!U:U)="No","No",
MROUND(_xlfn.XLOOKUP(B171,'Base stats'!B:B,'Base stats'!BT:BT)/10000+0.01,0.01)
))</f>
        <v>No</v>
      </c>
      <c r="J171" s="4" t="str">
        <f>IF(G171="No","No",
MROUND(_xlfn.XLOOKUP(B171,'Base stats'!B:B,'Base stats'!BE:BE)^0.25
/((_xlfn.XLOOKUP(B171,'Base stats'!B:B,'Base stats'!BL:BL))*10)*_xlfn.XLOOKUP(_xlfn.XLOOKUP(B171,'Base stats'!B:B,'Base stats'!E:E),Groups!A:A,Groups!Q:Q)*150 + 0.5 + _xlfn.XLOOKUP(B171,'Base stats'!B:B,'Base stats'!BW:BW),
0.05))</f>
        <v>No</v>
      </c>
      <c r="K171" s="3" t="str">
        <f>IF(Animals!X171="No","No",
IF(_xlfn.XLOOKUP(_xlfn.XLOOKUP(B171,'Base stats'!B:B,'Base stats'!E:E),Groups!A:A,Groups!BD:BD)=1,
MAX(MROUND(_xlfn.XLOOKUP(B171,'Base stats'!B:B,'Base stats'!BU:BU) * _xlfn.XLOOKUP(B171,'Base stats'!B:B,'Base stats'!BQ:BQ)^0.9 / 21 *_xlfn.XLOOKUP(B171,'Base stats'!B:B,'Base stats'!BX:BX),0.1),0.05),
MAX(MROUND(((MIN(10,_xlfn.XLOOKUP(B171,'Base stats'!B:B,'Base stats'!W:W)))^0.4*_xlfn.XLOOKUP(B171,'Base stats'!B:B,'Base stats'!BI:BI)^0.73)^0.6 *_xlfn.XLOOKUP(B171,'Base stats'!B:B,'Base stats'!BX:BX),0.1),0.05)
))</f>
        <v>No</v>
      </c>
      <c r="L171" s="11" t="str">
        <f>IF(K171="No","No",
MROUND(_xlfn.XLOOKUP(B171,'Base stats'!B:B,'Base stats'!BI:BI) * 0.01 *2 + 0.05, 0.05)
)</f>
        <v>No</v>
      </c>
      <c r="M171" s="5" t="str">
        <f>IF(K171="No","No",IF(_xlfn.XLOOKUP(_xlfn.XLOOKUP(B171,'Base stats'!B:B,'Base stats'!E:E),Groups!A:A,Groups!BD:BD)=1,"No",
MROUND(_xlfn.XLOOKUP(B171,'Base stats'!B:B,'Base stats'!BU:BU)/10000+0.01,0.01)
))</f>
        <v>No</v>
      </c>
      <c r="N171" s="4" t="str">
        <f>IF(K171="No","No",
MROUND(
  _xlfn.XLOOKUP(B171,'Base stats'!B:B,'Base stats'!BC:BC)^0.25
  / (_xlfn.XLOOKUP(B171,'Base stats'!B:B,'Base stats'!BM:BM) * 10)
  * _xlfn.XLOOKUP(
      _xlfn.XLOOKUP(B171,'Base stats'!B:B,'Base stats'!E:E),
      Groups!A:A,
      Groups!V:V
    ) * 150
  + MIN(12, _xlfn.XLOOKUP(B171,'Base stats'!B:B,'Base stats'!W:W))^(1/IF(_xlfn.XLOOKUP(_xlfn.XLOOKUP(B171,'Base stats'!B:B,'Base stats'!E:E),Groups!A:A,Groups!U:U)=1,100,10)) + 0.5 + _xlfn.XLOOKUP(B171,'Base stats'!B:B,'Base stats'!BW:BW),
0.05))</f>
        <v>No</v>
      </c>
      <c r="O171" s="3">
        <f>IF(Animals!AD171="No","No",
MAX(MROUND((MIN(10,_xlfn.XLOOKUP(B171,'Base stats'!B:B,'Base stats'!V:V)*IF(_xlfn.XLOOKUP(_xlfn.XLOOKUP(B171,'Base stats'!B:B,'Base stats'!E:E),Groups!A:A,Groups!O:O)=0,1,0.33))^0.4*_xlfn.XLOOKUP(B171,'Base stats'!B:B,'Base stats'!BJ:BJ)^0.73)^0.6 *_xlfn.XLOOKUP(B171,'Base stats'!B:B,'Base stats'!BX:BX),0.1),0.05)
)</f>
        <v>16.3</v>
      </c>
      <c r="P171" s="11">
        <f>IF(O171="No","No",
MROUND(_xlfn.XLOOKUP(B171,'Base stats'!B:B,'Base stats'!BJ:BJ) * 0.01 * 2 + 0.05, 0.05)
)</f>
        <v>8</v>
      </c>
      <c r="Q171" s="5">
        <f>IF(O171="No","No",
MROUND(_xlfn.XLOOKUP(B171,'Base stats'!B:B,'Base stats'!BV:BV)/10000+0.01,0.01)
)</f>
        <v>1.41</v>
      </c>
      <c r="R171" s="4">
        <f>IF(O171="No","No",
MROUND(_xlfn.XLOOKUP(B171,'Base stats'!B:B,'Base stats'!BB:BB)^0.25
/((_xlfn.XLOOKUP(B171,'Base stats'!B:B,'Base stats'!BN:BN))*10)*_xlfn.XLOOKUP(_xlfn.XLOOKUP(B171,'Base stats'!B:B,'Base stats'!E:E),Groups!A:A,Groups!Z:Z)*150 + 0.5 + _xlfn.XLOOKUP(B171,'Base stats'!B:B,'Base stats'!BW:BW),
0.05))</f>
        <v>1.4000000000000001</v>
      </c>
      <c r="S171" s="3" t="str">
        <f>IF(Animals!AI171="No","No",
IF(_xlfn.XLOOKUP(B171,'Base stats'!B:B,'Base stats'!U:U)="No",
MAX(MROUND(_xlfn.XLOOKUP(B171,'Base stats'!B:B,'Base stats'!BT:BT) * _xlfn.XLOOKUP(B171,'Base stats'!B:B,'Base stats'!BP:BP)^0.9 / 21 * _xlfn.XLOOKUP(B171,'Base stats'!B:B,'Base stats'!BX:BX),0.1),0.05),
MAX(MROUND(((MIN(12,_xlfn.XLOOKUP(B171,'Base stats'!B:B,'Base stats'!U:U)))^0.4*_xlfn.XLOOKUP(B171,'Base stats'!B:B,'Base stats'!BH:BH)^0.73)^0.6 * _xlfn.XLOOKUP(B171,'Base stats'!B:B,'Base stats'!BX:BX),0.1),0.05)
))</f>
        <v>No</v>
      </c>
      <c r="T171" s="11" t="str">
        <f>IF(S171="No","No",
MROUND(_xlfn.XLOOKUP(B171,'Base stats'!B:B,'Base stats'!BH:BH) * 0.01 * 2 + 0.05, 0.05)
)</f>
        <v>No</v>
      </c>
      <c r="U171" s="5" t="str">
        <f>IF(S171="No","No",IF(_xlfn.XLOOKUP(B171,'Base stats'!B:B,'Base stats'!U:U)="No","No",
MROUND(_xlfn.XLOOKUP(B171,'Base stats'!B:B,'Base stats'!BT:BT)/10000+0.01,0.01)
))</f>
        <v>No</v>
      </c>
      <c r="V171" s="4" t="str">
        <f>IF(S171="No","No",
MROUND(_xlfn.XLOOKUP(B171,'Base stats'!B:B,'Base stats'!BF:BF)^0.25
/((_xlfn.XLOOKUP(B171,'Base stats'!B:B,'Base stats'!BO:BO))*10)*_xlfn.XLOOKUP(_xlfn.XLOOKUP(B171,'Base stats'!B:B,'Base stats'!E:E),Groups!A:A,Groups!AE:AE)*150 + 0.5 + _xlfn.XLOOKUP(B171,'Base stats'!B:B,'Base stats'!BW:BW),
0.05))</f>
        <v>No</v>
      </c>
      <c r="W171" s="8">
        <f>MROUND(_xlfn.XLOOKUP(_xlfn.XLOOKUP(B171,'Base stats'!B:B,'Base stats'!E:E),Groups!A:A,Groups!BG:BG)*_xlfn.XLOOKUP(B171,'Base stats'!B:B,'Base stats'!C:C)^-0.165,0.05)</f>
        <v>0.5</v>
      </c>
      <c r="X171" s="1">
        <f>MROUND(_xlfn.XLOOKUP(_xlfn.XLOOKUP(B171,'Base stats'!B:B,'Base stats'!E:E),Groups!A:A,Groups!BH:BH)*_xlfn.XLOOKUP(B171,'Base stats'!B:B,'Base stats'!C:C)^0.165,0.05)</f>
        <v>0.5</v>
      </c>
      <c r="Y171" s="8">
        <f>MROUND(_xlfn.XLOOKUP(_xlfn.XLOOKUP(B171,'Base stats'!B:B,'Base stats'!E:E),Groups!A:A,Groups!BI:BI)*_xlfn.XLOOKUP(B171,'Base stats'!B:B,'Base stats'!C:C)^0.165,0.05)</f>
        <v>0.2</v>
      </c>
      <c r="Z171" s="18">
        <f>MROUND(_xlfn.XLOOKUP(B171,'Base stats'!B:B,'Base stats'!AQ:AQ)*_xlfn.XLOOKUP(_xlfn.XLOOKUP(B171,'Base stats'!B:B,'Base stats'!E:E),Groups!A:A,Groups!H:H)/1000,IF((_xlfn.XLOOKUP(B171,'Base stats'!B:B,'Base stats'!AQ:AQ)*_xlfn.XLOOKUP(_xlfn.XLOOKUP(B171,'Base stats'!B:B,'Base stats'!E:E),Groups!A:A,Groups!H:H)/1000)&gt;1,0.05,0.01))</f>
        <v>3.6</v>
      </c>
      <c r="AA171" s="18">
        <f>MROUND((1/2)*(_xlfn.XLOOKUP(_xlfn.XLOOKUP(B171,'Base stats'!B:B,'Base stats'!E:E),Groups!A:A,Groups!H:H)*_xlfn.XLOOKUP(_xlfn.XLOOKUP(B171,'Base stats'!B:B,'Base stats'!E:E),Groups!A:A,Groups!I:I))*_xlfn.XLOOKUP(B171,'Base stats'!B:B,'Base stats'!AQ:AQ)*0.01,0.05)</f>
        <v>16.2</v>
      </c>
      <c r="AB171" s="18">
        <f>MROUND(250*(Animals!AO171+Animals!AP171),25)</f>
        <v>525</v>
      </c>
      <c r="AC171" s="18" t="str">
        <f>_xlfn.XLOOKUP(_xlfn.XLOOKUP(B171,'Base stats'!B:B,'Base stats'!E:E),Groups!A:A,Groups!BJ:BJ)</f>
        <v>QuadrupedLow</v>
      </c>
    </row>
    <row r="172" spans="1:29" ht="16.5" thickTop="1" thickBot="1" x14ac:dyDescent="0.3">
      <c r="A172" s="16" t="str">
        <f>Animals!A172</f>
        <v>Paragnathus</v>
      </c>
      <c r="B172" s="6" t="str">
        <f>Animals!B172</f>
        <v>Paragnathus paradocus</v>
      </c>
      <c r="C172" s="1" t="str">
        <f>Animals!C172</f>
        <v>&lt;li&gt;Paragnathus&lt;/li&gt;</v>
      </c>
      <c r="D172" s="47">
        <f>MIN(MIN(6,_xlfn.XLOOKUP(A172,Animals!A:A,Animals!AO:AO))*20,MAX(MROUND(_xlfn.XLOOKUP(B172,'Base stats'!B:B,'Base stats'!BS:BS) * (_xlfn.XLOOKUP(B172,'Base stats'!B:B,'Base stats'!AO:AO)*5%)^0.9 / 21,0.1),0.05))</f>
        <v>3.1</v>
      </c>
      <c r="E172" s="11">
        <f>MROUND(_xlfn.XLOOKUP(B172,'Base stats'!B:B,'Base stats'!BG:BG) * 0.01 * 2 + 0.01, 0.05)</f>
        <v>2.6</v>
      </c>
      <c r="F172" s="7">
        <f>MROUND(_xlfn.XLOOKUP(B172,'Base stats'!B:B,'Base stats'!BD:BD)^0.25 / (_xlfn.XLOOKUP(B172,'Base stats'!B:B,'Base stats'!BK:BK) * 10) * 150 + 0.5 + _xlfn.XLOOKUP(B172,'Base stats'!B:B,'Base stats'!BW:BW), 0.05)</f>
        <v>1.6500000000000001</v>
      </c>
      <c r="G172" s="3" t="str">
        <f>IF(Animals!S172="No","No",
IF(_xlfn.XLOOKUP(B172,'Base stats'!B:B,'Base stats'!U:U)="No",
MAX(MROUND(_xlfn.XLOOKUP(B172,'Base stats'!B:B,'Base stats'!BT:BT) * _xlfn.XLOOKUP(B172,'Base stats'!B:B,'Base stats'!BP:BP)^0.9 / 21 * _xlfn.XLOOKUP(B172,'Base stats'!B:B,'Base stats'!BX:BX),0.1),0.05),
MAX(MROUND(((MIN(10,_xlfn.XLOOKUP(B172,'Base stats'!B:B,'Base stats'!U:U)))^0.4*_xlfn.XLOOKUP(B172,'Base stats'!B:B,'Base stats'!BH:BH)^0.73)^0.6 * _xlfn.XLOOKUP(B172,'Base stats'!B:B,'Base stats'!BX:BX),0.1),0.05)
))</f>
        <v>No</v>
      </c>
      <c r="H172" s="11" t="str">
        <f>IF(G172="No","No",
MROUND(_xlfn.XLOOKUP(B172,'Base stats'!B:B,'Base stats'!BH:BH) * 0.01 * 2 + 0.05, 0.05)
)</f>
        <v>No</v>
      </c>
      <c r="I172" s="11" t="str">
        <f>IF(G172="No","No",IF(_xlfn.XLOOKUP(B172,'Base stats'!B:B,'Base stats'!U:U)="No","No",
MROUND(_xlfn.XLOOKUP(B172,'Base stats'!B:B,'Base stats'!BT:BT)/10000+0.01,0.01)
))</f>
        <v>No</v>
      </c>
      <c r="J172" s="4" t="str">
        <f>IF(G172="No","No",
MROUND(_xlfn.XLOOKUP(B172,'Base stats'!B:B,'Base stats'!BE:BE)^0.25
/((_xlfn.XLOOKUP(B172,'Base stats'!B:B,'Base stats'!BL:BL))*10)*_xlfn.XLOOKUP(_xlfn.XLOOKUP(B172,'Base stats'!B:B,'Base stats'!E:E),Groups!A:A,Groups!Q:Q)*150 + 0.5 + _xlfn.XLOOKUP(B172,'Base stats'!B:B,'Base stats'!BW:BW),
0.05))</f>
        <v>No</v>
      </c>
      <c r="K172" s="3" t="str">
        <f>IF(Animals!X172="No","No",
IF(_xlfn.XLOOKUP(_xlfn.XLOOKUP(B172,'Base stats'!B:B,'Base stats'!E:E),Groups!A:A,Groups!BD:BD)=1,
MAX(MROUND(_xlfn.XLOOKUP(B172,'Base stats'!B:B,'Base stats'!BU:BU) * _xlfn.XLOOKUP(B172,'Base stats'!B:B,'Base stats'!BQ:BQ)^0.9 / 21 *_xlfn.XLOOKUP(B172,'Base stats'!B:B,'Base stats'!BX:BX),0.1),0.05),
MAX(MROUND(((MIN(10,_xlfn.XLOOKUP(B172,'Base stats'!B:B,'Base stats'!W:W)))^0.4*_xlfn.XLOOKUP(B172,'Base stats'!B:B,'Base stats'!BI:BI)^0.73)^0.6 *_xlfn.XLOOKUP(B172,'Base stats'!B:B,'Base stats'!BX:BX),0.1),0.05)
))</f>
        <v>No</v>
      </c>
      <c r="L172" s="11" t="str">
        <f>IF(K172="No","No",
MROUND(_xlfn.XLOOKUP(B172,'Base stats'!B:B,'Base stats'!BI:BI) * 0.01 *2 + 0.05, 0.05)
)</f>
        <v>No</v>
      </c>
      <c r="M172" s="5" t="str">
        <f>IF(K172="No","No",IF(_xlfn.XLOOKUP(_xlfn.XLOOKUP(B172,'Base stats'!B:B,'Base stats'!E:E),Groups!A:A,Groups!BD:BD)=1,"No",
MROUND(_xlfn.XLOOKUP(B172,'Base stats'!B:B,'Base stats'!BU:BU)/10000+0.01,0.01)
))</f>
        <v>No</v>
      </c>
      <c r="N172" s="4" t="str">
        <f>IF(K172="No","No",
MROUND(
  _xlfn.XLOOKUP(B172,'Base stats'!B:B,'Base stats'!BC:BC)^0.25
  / (_xlfn.XLOOKUP(B172,'Base stats'!B:B,'Base stats'!BM:BM) * 10)
  * _xlfn.XLOOKUP(
      _xlfn.XLOOKUP(B172,'Base stats'!B:B,'Base stats'!E:E),
      Groups!A:A,
      Groups!V:V
    ) * 150
  + MIN(12, _xlfn.XLOOKUP(B172,'Base stats'!B:B,'Base stats'!W:W))^(1/IF(_xlfn.XLOOKUP(_xlfn.XLOOKUP(B172,'Base stats'!B:B,'Base stats'!E:E),Groups!A:A,Groups!U:U)=1,100,10)) + 0.5 + _xlfn.XLOOKUP(B172,'Base stats'!B:B,'Base stats'!BW:BW),
0.05))</f>
        <v>No</v>
      </c>
      <c r="O172" s="3">
        <f>IF(Animals!AD172="No","No",
MAX(MROUND((MIN(10,_xlfn.XLOOKUP(B172,'Base stats'!B:B,'Base stats'!V:V)*IF(_xlfn.XLOOKUP(_xlfn.XLOOKUP(B172,'Base stats'!B:B,'Base stats'!E:E),Groups!A:A,Groups!O:O)=0,1,0.33))^0.4*_xlfn.XLOOKUP(B172,'Base stats'!B:B,'Base stats'!BJ:BJ)^0.73)^0.6 *_xlfn.XLOOKUP(B172,'Base stats'!B:B,'Base stats'!BX:BX),0.1),0.05)
)</f>
        <v>15.200000000000001</v>
      </c>
      <c r="P172" s="11">
        <f>IF(O172="No","No",
MROUND(_xlfn.XLOOKUP(B172,'Base stats'!B:B,'Base stats'!BJ:BJ) * 0.01 * 2 + 0.05, 0.05)
)</f>
        <v>10.100000000000001</v>
      </c>
      <c r="Q172" s="5">
        <f>IF(O172="No","No",
MROUND(_xlfn.XLOOKUP(B172,'Base stats'!B:B,'Base stats'!BV:BV)/10000+0.01,0.01)
)</f>
        <v>1.57</v>
      </c>
      <c r="R172" s="4">
        <f>IF(O172="No","No",
MROUND(_xlfn.XLOOKUP(B172,'Base stats'!B:B,'Base stats'!BB:BB)^0.25
/((_xlfn.XLOOKUP(B172,'Base stats'!B:B,'Base stats'!BN:BN))*10)*_xlfn.XLOOKUP(_xlfn.XLOOKUP(B172,'Base stats'!B:B,'Base stats'!E:E),Groups!A:A,Groups!Z:Z)*150 + 0.5 + _xlfn.XLOOKUP(B172,'Base stats'!B:B,'Base stats'!BW:BW),
0.05))</f>
        <v>1.4500000000000002</v>
      </c>
      <c r="S172" s="3" t="str">
        <f>IF(Animals!AI172="No","No",
IF(_xlfn.XLOOKUP(B172,'Base stats'!B:B,'Base stats'!U:U)="No",
MAX(MROUND(_xlfn.XLOOKUP(B172,'Base stats'!B:B,'Base stats'!BT:BT) * _xlfn.XLOOKUP(B172,'Base stats'!B:B,'Base stats'!BP:BP)^0.9 / 21 * _xlfn.XLOOKUP(B172,'Base stats'!B:B,'Base stats'!BX:BX),0.1),0.05),
MAX(MROUND(((MIN(12,_xlfn.XLOOKUP(B172,'Base stats'!B:B,'Base stats'!U:U)))^0.4*_xlfn.XLOOKUP(B172,'Base stats'!B:B,'Base stats'!BH:BH)^0.73)^0.6 * _xlfn.XLOOKUP(B172,'Base stats'!B:B,'Base stats'!BX:BX),0.1),0.05)
))</f>
        <v>No</v>
      </c>
      <c r="T172" s="11" t="str">
        <f>IF(S172="No","No",
MROUND(_xlfn.XLOOKUP(B172,'Base stats'!B:B,'Base stats'!BH:BH) * 0.01 * 2 + 0.05, 0.05)
)</f>
        <v>No</v>
      </c>
      <c r="U172" s="5" t="str">
        <f>IF(S172="No","No",IF(_xlfn.XLOOKUP(B172,'Base stats'!B:B,'Base stats'!U:U)="No","No",
MROUND(_xlfn.XLOOKUP(B172,'Base stats'!B:B,'Base stats'!BT:BT)/10000+0.01,0.01)
))</f>
        <v>No</v>
      </c>
      <c r="V172" s="4" t="str">
        <f>IF(S172="No","No",
MROUND(_xlfn.XLOOKUP(B172,'Base stats'!B:B,'Base stats'!BF:BF)^0.25
/((_xlfn.XLOOKUP(B172,'Base stats'!B:B,'Base stats'!BO:BO))*10)*_xlfn.XLOOKUP(_xlfn.XLOOKUP(B172,'Base stats'!B:B,'Base stats'!E:E),Groups!A:A,Groups!AE:AE)*150 + 0.5 + _xlfn.XLOOKUP(B172,'Base stats'!B:B,'Base stats'!BW:BW),
0.05))</f>
        <v>No</v>
      </c>
      <c r="W172" s="8">
        <f>MROUND(_xlfn.XLOOKUP(_xlfn.XLOOKUP(B172,'Base stats'!B:B,'Base stats'!E:E),Groups!A:A,Groups!BG:BG)*_xlfn.XLOOKUP(B172,'Base stats'!B:B,'Base stats'!C:C)^-0.165,0.05)</f>
        <v>0.45</v>
      </c>
      <c r="X172" s="1">
        <f>MROUND(_xlfn.XLOOKUP(_xlfn.XLOOKUP(B172,'Base stats'!B:B,'Base stats'!E:E),Groups!A:A,Groups!BH:BH)*_xlfn.XLOOKUP(B172,'Base stats'!B:B,'Base stats'!C:C)^0.165,0.05)</f>
        <v>0.55000000000000004</v>
      </c>
      <c r="Y172" s="8">
        <f>MROUND(_xlfn.XLOOKUP(_xlfn.XLOOKUP(B172,'Base stats'!B:B,'Base stats'!E:E),Groups!A:A,Groups!BI:BI)*_xlfn.XLOOKUP(B172,'Base stats'!B:B,'Base stats'!C:C)^0.165,0.05)</f>
        <v>0.2</v>
      </c>
      <c r="Z172" s="18">
        <f>MROUND(_xlfn.XLOOKUP(B172,'Base stats'!B:B,'Base stats'!AQ:AQ)*_xlfn.XLOOKUP(_xlfn.XLOOKUP(B172,'Base stats'!B:B,'Base stats'!E:E),Groups!A:A,Groups!H:H)/1000,IF((_xlfn.XLOOKUP(B172,'Base stats'!B:B,'Base stats'!AQ:AQ)*_xlfn.XLOOKUP(_xlfn.XLOOKUP(B172,'Base stats'!B:B,'Base stats'!E:E),Groups!A:A,Groups!H:H)/1000)&gt;1,0.05,0.01))</f>
        <v>3.1</v>
      </c>
      <c r="AA172" s="18">
        <f>MROUND((1/2)*(_xlfn.XLOOKUP(_xlfn.XLOOKUP(B172,'Base stats'!B:B,'Base stats'!E:E),Groups!A:A,Groups!H:H)*_xlfn.XLOOKUP(_xlfn.XLOOKUP(B172,'Base stats'!B:B,'Base stats'!E:E),Groups!A:A,Groups!I:I))*_xlfn.XLOOKUP(B172,'Base stats'!B:B,'Base stats'!AQ:AQ)*0.01,0.05)</f>
        <v>14</v>
      </c>
      <c r="AB172" s="18">
        <f>MROUND(250*(Animals!AO172+Animals!AP172),25)</f>
        <v>625</v>
      </c>
      <c r="AC172" s="18" t="str">
        <f>_xlfn.XLOOKUP(_xlfn.XLOOKUP(B172,'Base stats'!B:B,'Base stats'!E:E),Groups!A:A,Groups!BJ:BJ)</f>
        <v>QuadrupedLow</v>
      </c>
    </row>
    <row r="173" spans="1:29" ht="16.5" thickTop="1" thickBot="1" x14ac:dyDescent="0.3">
      <c r="A173" s="16" t="str">
        <f>Animals!A173</f>
        <v>BlackFootedFerret</v>
      </c>
      <c r="B173" s="6" t="str">
        <f>Animals!B173</f>
        <v>Mustela nigripes</v>
      </c>
      <c r="C173" s="1" t="str">
        <f>Animals!C173</f>
        <v>&lt;li&gt;AEXP_BlackFootedFerret&lt;/li&gt;</v>
      </c>
      <c r="D173" s="47">
        <f>MIN(MIN(6,_xlfn.XLOOKUP(A173,Animals!A:A,Animals!AO:AO))*20,MAX(MROUND(_xlfn.XLOOKUP(B173,'Base stats'!B:B,'Base stats'!BS:BS) * (_xlfn.XLOOKUP(B173,'Base stats'!B:B,'Base stats'!AO:AO)*5%)^0.9 / 21,0.1),0.05))</f>
        <v>0.1</v>
      </c>
      <c r="E173" s="11">
        <f>MROUND(_xlfn.XLOOKUP(B173,'Base stats'!B:B,'Base stats'!BG:BG) * 0.01 * 2 + 0.01, 0.05)</f>
        <v>0.05</v>
      </c>
      <c r="F173" s="7">
        <f>MROUND(_xlfn.XLOOKUP(B173,'Base stats'!B:B,'Base stats'!BD:BD)^0.25 / (_xlfn.XLOOKUP(B173,'Base stats'!B:B,'Base stats'!BK:BK) * 10) * 150 + 0.5 + _xlfn.XLOOKUP(B173,'Base stats'!B:B,'Base stats'!BW:BW), 0.05)</f>
        <v>1.1500000000000001</v>
      </c>
      <c r="G173" s="3" t="str">
        <f>IF(Animals!S173="No","No",
IF(_xlfn.XLOOKUP(B173,'Base stats'!B:B,'Base stats'!U:U)="No",
MAX(MROUND(_xlfn.XLOOKUP(B173,'Base stats'!B:B,'Base stats'!BT:BT) * _xlfn.XLOOKUP(B173,'Base stats'!B:B,'Base stats'!BP:BP)^0.9 / 21 * _xlfn.XLOOKUP(B173,'Base stats'!B:B,'Base stats'!BX:BX),0.1),0.05),
MAX(MROUND(((MIN(10,_xlfn.XLOOKUP(B173,'Base stats'!B:B,'Base stats'!U:U)))^0.4*_xlfn.XLOOKUP(B173,'Base stats'!B:B,'Base stats'!BH:BH)^0.73)^0.6 * _xlfn.XLOOKUP(B173,'Base stats'!B:B,'Base stats'!BX:BX),0.1),0.05)
))</f>
        <v>No</v>
      </c>
      <c r="H173" s="11" t="str">
        <f>IF(G173="No","No",
MROUND(_xlfn.XLOOKUP(B173,'Base stats'!B:B,'Base stats'!BH:BH) * 0.01 * 2 + 0.05, 0.05)
)</f>
        <v>No</v>
      </c>
      <c r="I173" s="11" t="str">
        <f>IF(G173="No","No",IF(_xlfn.XLOOKUP(B173,'Base stats'!B:B,'Base stats'!U:U)="No","No",
MROUND(_xlfn.XLOOKUP(B173,'Base stats'!B:B,'Base stats'!BT:BT)/10000+0.01,0.01)
))</f>
        <v>No</v>
      </c>
      <c r="J173" s="4" t="str">
        <f>IF(G173="No","No",
MROUND(_xlfn.XLOOKUP(B173,'Base stats'!B:B,'Base stats'!BE:BE)^0.25
/((_xlfn.XLOOKUP(B173,'Base stats'!B:B,'Base stats'!BL:BL))*10)*_xlfn.XLOOKUP(_xlfn.XLOOKUP(B173,'Base stats'!B:B,'Base stats'!E:E),Groups!A:A,Groups!Q:Q)*150 + 0.5 + _xlfn.XLOOKUP(B173,'Base stats'!B:B,'Base stats'!BW:BW),
0.05))</f>
        <v>No</v>
      </c>
      <c r="K173" s="3" t="str">
        <f>IF(Animals!X173="No","No",
IF(_xlfn.XLOOKUP(_xlfn.XLOOKUP(B173,'Base stats'!B:B,'Base stats'!E:E),Groups!A:A,Groups!BD:BD)=1,
MAX(MROUND(_xlfn.XLOOKUP(B173,'Base stats'!B:B,'Base stats'!BU:BU) * _xlfn.XLOOKUP(B173,'Base stats'!B:B,'Base stats'!BQ:BQ)^0.9 / 21 *_xlfn.XLOOKUP(B173,'Base stats'!B:B,'Base stats'!BX:BX),0.1),0.05),
MAX(MROUND(((MIN(10,_xlfn.XLOOKUP(B173,'Base stats'!B:B,'Base stats'!W:W)))^0.4*_xlfn.XLOOKUP(B173,'Base stats'!B:B,'Base stats'!BI:BI)^0.73)^0.6 *_xlfn.XLOOKUP(B173,'Base stats'!B:B,'Base stats'!BX:BX),0.1),0.05)
))</f>
        <v>No</v>
      </c>
      <c r="L173" s="11" t="str">
        <f>IF(K173="No","No",
MROUND(_xlfn.XLOOKUP(B173,'Base stats'!B:B,'Base stats'!BI:BI) * 0.01 *2 + 0.05, 0.05)
)</f>
        <v>No</v>
      </c>
      <c r="M173" s="5" t="str">
        <f>IF(K173="No","No",IF(_xlfn.XLOOKUP(_xlfn.XLOOKUP(B173,'Base stats'!B:B,'Base stats'!E:E),Groups!A:A,Groups!BD:BD)=1,"No",
MROUND(_xlfn.XLOOKUP(B173,'Base stats'!B:B,'Base stats'!BU:BU)/10000+0.01,0.01)
))</f>
        <v>No</v>
      </c>
      <c r="N173" s="4" t="str">
        <f>IF(K173="No","No",
MROUND(
  _xlfn.XLOOKUP(B173,'Base stats'!B:B,'Base stats'!BC:BC)^0.25
  / (_xlfn.XLOOKUP(B173,'Base stats'!B:B,'Base stats'!BM:BM) * 10)
  * _xlfn.XLOOKUP(
      _xlfn.XLOOKUP(B173,'Base stats'!B:B,'Base stats'!E:E),
      Groups!A:A,
      Groups!V:V
    ) * 150
  + MIN(12, _xlfn.XLOOKUP(B173,'Base stats'!B:B,'Base stats'!W:W))^(1/IF(_xlfn.XLOOKUP(_xlfn.XLOOKUP(B173,'Base stats'!B:B,'Base stats'!E:E),Groups!A:A,Groups!U:U)=1,100,10)) + 0.5 + _xlfn.XLOOKUP(B173,'Base stats'!B:B,'Base stats'!BW:BW),
0.05))</f>
        <v>No</v>
      </c>
      <c r="O173" s="3">
        <f>IF(Animals!AD173="No","No",
MAX(MROUND((MIN(10,_xlfn.XLOOKUP(B173,'Base stats'!B:B,'Base stats'!V:V)*IF(_xlfn.XLOOKUP(_xlfn.XLOOKUP(B173,'Base stats'!B:B,'Base stats'!E:E),Groups!A:A,Groups!O:O)=0,1,0.33))^0.4*_xlfn.XLOOKUP(B173,'Base stats'!B:B,'Base stats'!BJ:BJ)^0.73)^0.6 *_xlfn.XLOOKUP(B173,'Base stats'!B:B,'Base stats'!BX:BX),0.1),0.05)
)</f>
        <v>1.9000000000000001</v>
      </c>
      <c r="P173" s="11">
        <f>IF(O173="No","No",
MROUND(_xlfn.XLOOKUP(B173,'Base stats'!B:B,'Base stats'!BJ:BJ) * 0.01 * 2 + 0.05, 0.05)
)</f>
        <v>0.15000000000000002</v>
      </c>
      <c r="Q173" s="5">
        <f>IF(O173="No","No",
MROUND(_xlfn.XLOOKUP(B173,'Base stats'!B:B,'Base stats'!BV:BV)/10000+0.01,0.01)
)</f>
        <v>0.04</v>
      </c>
      <c r="R173" s="4">
        <f>IF(O173="No","No",
MROUND(_xlfn.XLOOKUP(B173,'Base stats'!B:B,'Base stats'!BB:BB)^0.25
/((_xlfn.XLOOKUP(B173,'Base stats'!B:B,'Base stats'!BN:BN))*10)*_xlfn.XLOOKUP(_xlfn.XLOOKUP(B173,'Base stats'!B:B,'Base stats'!E:E),Groups!A:A,Groups!Z:Z)*150 + 0.5 + _xlfn.XLOOKUP(B173,'Base stats'!B:B,'Base stats'!BW:BW),
0.05))</f>
        <v>1.8</v>
      </c>
      <c r="S173" s="3">
        <f>IF(Animals!AI173="No","No",
IF(_xlfn.XLOOKUP(B173,'Base stats'!B:B,'Base stats'!U:U)="No",
MAX(MROUND(_xlfn.XLOOKUP(B173,'Base stats'!B:B,'Base stats'!BT:BT) * _xlfn.XLOOKUP(B173,'Base stats'!B:B,'Base stats'!BP:BP)^0.9 / 21 * _xlfn.XLOOKUP(B173,'Base stats'!B:B,'Base stats'!BX:BX),0.1),0.05),
MAX(MROUND(((MIN(12,_xlfn.XLOOKUP(B173,'Base stats'!B:B,'Base stats'!U:U)))^0.4*_xlfn.XLOOKUP(B173,'Base stats'!B:B,'Base stats'!BH:BH)^0.73)^0.6 * _xlfn.XLOOKUP(B173,'Base stats'!B:B,'Base stats'!BX:BX),0.1),0.05)
))</f>
        <v>1.7000000000000002</v>
      </c>
      <c r="T173" s="11">
        <f>IF(S173="No","No",
MROUND(_xlfn.XLOOKUP(B173,'Base stats'!B:B,'Base stats'!BH:BH) * 0.01 * 2 + 0.05, 0.05)
)</f>
        <v>0.1</v>
      </c>
      <c r="U173" s="5">
        <f>IF(S173="No","No",IF(_xlfn.XLOOKUP(B173,'Base stats'!B:B,'Base stats'!U:U)="No","No",
MROUND(_xlfn.XLOOKUP(B173,'Base stats'!B:B,'Base stats'!BT:BT)/10000+0.01,0.01)
))</f>
        <v>0.03</v>
      </c>
      <c r="V173" s="4">
        <f>IF(S173="No","No",
MROUND(_xlfn.XLOOKUP(B173,'Base stats'!B:B,'Base stats'!BF:BF)^0.25
/((_xlfn.XLOOKUP(B173,'Base stats'!B:B,'Base stats'!BO:BO))*10)*_xlfn.XLOOKUP(_xlfn.XLOOKUP(B173,'Base stats'!B:B,'Base stats'!E:E),Groups!A:A,Groups!AE:AE)*150 + 0.5 + _xlfn.XLOOKUP(B173,'Base stats'!B:B,'Base stats'!BW:BW),
0.05))</f>
        <v>1</v>
      </c>
      <c r="W173" s="8">
        <f>MROUND(_xlfn.XLOOKUP(_xlfn.XLOOKUP(B173,'Base stats'!B:B,'Base stats'!E:E),Groups!A:A,Groups!BG:BG)*_xlfn.XLOOKUP(B173,'Base stats'!B:B,'Base stats'!C:C)^-0.165,0.05)</f>
        <v>1.1000000000000001</v>
      </c>
      <c r="X173" s="1">
        <f>MROUND(_xlfn.XLOOKUP(_xlfn.XLOOKUP(B173,'Base stats'!B:B,'Base stats'!E:E),Groups!A:A,Groups!BH:BH)*_xlfn.XLOOKUP(B173,'Base stats'!B:B,'Base stats'!C:C)^0.165,0.05)</f>
        <v>0.2</v>
      </c>
      <c r="Y173" s="8">
        <f>MROUND(_xlfn.XLOOKUP(_xlfn.XLOOKUP(B173,'Base stats'!B:B,'Base stats'!E:E),Groups!A:A,Groups!BI:BI)*_xlfn.XLOOKUP(B173,'Base stats'!B:B,'Base stats'!C:C)^0.165,0.05)</f>
        <v>0.05</v>
      </c>
      <c r="Z173" s="18">
        <f>MROUND(_xlfn.XLOOKUP(B173,'Base stats'!B:B,'Base stats'!AQ:AQ)*_xlfn.XLOOKUP(_xlfn.XLOOKUP(B173,'Base stats'!B:B,'Base stats'!E:E),Groups!A:A,Groups!H:H)/1000,IF((_xlfn.XLOOKUP(B173,'Base stats'!B:B,'Base stats'!AQ:AQ)*_xlfn.XLOOKUP(_xlfn.XLOOKUP(B173,'Base stats'!B:B,'Base stats'!E:E),Groups!A:A,Groups!H:H)/1000)&gt;1,0.05,0.01))</f>
        <v>0.02</v>
      </c>
      <c r="AA173" s="18">
        <f>MROUND((1/2)*(_xlfn.XLOOKUP(_xlfn.XLOOKUP(B173,'Base stats'!B:B,'Base stats'!E:E),Groups!A:A,Groups!H:H)*_xlfn.XLOOKUP(_xlfn.XLOOKUP(B173,'Base stats'!B:B,'Base stats'!E:E),Groups!A:A,Groups!I:I))*_xlfn.XLOOKUP(B173,'Base stats'!B:B,'Base stats'!AQ:AQ)*0.01,0.05)</f>
        <v>0.1</v>
      </c>
      <c r="AB173" s="18">
        <f>MROUND(250*(Animals!AO173+Animals!AP173),25)</f>
        <v>100</v>
      </c>
      <c r="AC173" s="18" t="str">
        <f>_xlfn.XLOOKUP(_xlfn.XLOOKUP(B173,'Base stats'!B:B,'Base stats'!E:E),Groups!A:A,Groups!BJ:BJ)</f>
        <v>QuadrupedLow</v>
      </c>
    </row>
    <row r="174" spans="1:29" ht="16.5" thickTop="1" thickBot="1" x14ac:dyDescent="0.3">
      <c r="A174" s="16" t="str">
        <f>Animals!A174</f>
        <v>BlackRhino</v>
      </c>
      <c r="B174" s="6" t="str">
        <f>Animals!B174</f>
        <v>Diceros bicornis</v>
      </c>
      <c r="C174" s="1" t="str">
        <f>Animals!C174</f>
        <v>&lt;li&gt;AEXP_BlackRhino&lt;/li&gt;</v>
      </c>
      <c r="D174" s="47">
        <f>MIN(MIN(6,_xlfn.XLOOKUP(A174,Animals!A:A,Animals!AO:AO))*20,MAX(MROUND(_xlfn.XLOOKUP(B174,'Base stats'!B:B,'Base stats'!BS:BS) * (_xlfn.XLOOKUP(B174,'Base stats'!B:B,'Base stats'!AO:AO)*5%)^0.9 / 21,0.1),0.05))</f>
        <v>23.1</v>
      </c>
      <c r="E174" s="11">
        <f>MROUND(_xlfn.XLOOKUP(B174,'Base stats'!B:B,'Base stats'!BG:BG) * 0.01 * 2 + 0.01, 0.05)</f>
        <v>22.85</v>
      </c>
      <c r="F174" s="7">
        <f>MROUND(_xlfn.XLOOKUP(B174,'Base stats'!B:B,'Base stats'!BD:BD)^0.25 / (_xlfn.XLOOKUP(B174,'Base stats'!B:B,'Base stats'!BK:BK) * 10) * 150 + 0.5 + _xlfn.XLOOKUP(B174,'Base stats'!B:B,'Base stats'!BW:BW), 0.05)</f>
        <v>1.9500000000000002</v>
      </c>
      <c r="G174" s="3" t="str">
        <f>IF(Animals!S174="No","No",
IF(_xlfn.XLOOKUP(B174,'Base stats'!B:B,'Base stats'!U:U)="No",
MAX(MROUND(_xlfn.XLOOKUP(B174,'Base stats'!B:B,'Base stats'!BT:BT) * _xlfn.XLOOKUP(B174,'Base stats'!B:B,'Base stats'!BP:BP)^0.9 / 21 * _xlfn.XLOOKUP(B174,'Base stats'!B:B,'Base stats'!BX:BX),0.1),0.05),
MAX(MROUND(((MIN(10,_xlfn.XLOOKUP(B174,'Base stats'!B:B,'Base stats'!U:U)))^0.4*_xlfn.XLOOKUP(B174,'Base stats'!B:B,'Base stats'!BH:BH)^0.73)^0.6 * _xlfn.XLOOKUP(B174,'Base stats'!B:B,'Base stats'!BX:BX),0.1),0.05)
))</f>
        <v>No</v>
      </c>
      <c r="H174" s="11" t="str">
        <f>IF(G174="No","No",
MROUND(_xlfn.XLOOKUP(B174,'Base stats'!B:B,'Base stats'!BH:BH) * 0.01 * 2 + 0.05, 0.05)
)</f>
        <v>No</v>
      </c>
      <c r="I174" s="11" t="str">
        <f>IF(G174="No","No",IF(_xlfn.XLOOKUP(B174,'Base stats'!B:B,'Base stats'!U:U)="No","No",
MROUND(_xlfn.XLOOKUP(B174,'Base stats'!B:B,'Base stats'!BT:BT)/10000+0.01,0.01)
))</f>
        <v>No</v>
      </c>
      <c r="J174" s="4" t="str">
        <f>IF(G174="No","No",
MROUND(_xlfn.XLOOKUP(B174,'Base stats'!B:B,'Base stats'!BE:BE)^0.25
/((_xlfn.XLOOKUP(B174,'Base stats'!B:B,'Base stats'!BL:BL))*10)*_xlfn.XLOOKUP(_xlfn.XLOOKUP(B174,'Base stats'!B:B,'Base stats'!E:E),Groups!A:A,Groups!Q:Q)*150 + 0.5 + _xlfn.XLOOKUP(B174,'Base stats'!B:B,'Base stats'!BW:BW),
0.05))</f>
        <v>No</v>
      </c>
      <c r="K174" s="3">
        <f>IF(Animals!X174="No","No",
IF(_xlfn.XLOOKUP(_xlfn.XLOOKUP(B174,'Base stats'!B:B,'Base stats'!E:E),Groups!A:A,Groups!BD:BD)=1,
MAX(MROUND(_xlfn.XLOOKUP(B174,'Base stats'!B:B,'Base stats'!BU:BU) * _xlfn.XLOOKUP(B174,'Base stats'!B:B,'Base stats'!BQ:BQ)^0.9 / 21 *_xlfn.XLOOKUP(B174,'Base stats'!B:B,'Base stats'!BX:BX),0.1),0.05),
MAX(MROUND(((MIN(10,_xlfn.XLOOKUP(B174,'Base stats'!B:B,'Base stats'!W:W)))^0.4*_xlfn.XLOOKUP(B174,'Base stats'!B:B,'Base stats'!BI:BI)^0.73)^0.6 *_xlfn.XLOOKUP(B174,'Base stats'!B:B,'Base stats'!BX:BX),0.1),0.05)
))</f>
        <v>41.1</v>
      </c>
      <c r="L174" s="11">
        <f>IF(K174="No","No",
MROUND(_xlfn.XLOOKUP(B174,'Base stats'!B:B,'Base stats'!BI:BI) * 0.01 *2 + 0.05, 0.05)
)</f>
        <v>27.5</v>
      </c>
      <c r="M174" s="5">
        <f>IF(K174="No","No",IF(_xlfn.XLOOKUP(_xlfn.XLOOKUP(B174,'Base stats'!B:B,'Base stats'!E:E),Groups!A:A,Groups!BD:BD)=1,"No",
MROUND(_xlfn.XLOOKUP(B174,'Base stats'!B:B,'Base stats'!BU:BU)/10000+0.01,0.01)
))</f>
        <v>1.36</v>
      </c>
      <c r="N174" s="4">
        <f>IF(K174="No","No",
MROUND(
  _xlfn.XLOOKUP(B174,'Base stats'!B:B,'Base stats'!BC:BC)^0.25
  / (_xlfn.XLOOKUP(B174,'Base stats'!B:B,'Base stats'!BM:BM) * 10)
  * _xlfn.XLOOKUP(
      _xlfn.XLOOKUP(B174,'Base stats'!B:B,'Base stats'!E:E),
      Groups!A:A,
      Groups!V:V
    ) * 150
  + MIN(12, _xlfn.XLOOKUP(B174,'Base stats'!B:B,'Base stats'!W:W))^(1/IF(_xlfn.XLOOKUP(_xlfn.XLOOKUP(B174,'Base stats'!B:B,'Base stats'!E:E),Groups!A:A,Groups!U:U)=1,100,10)) + 0.5 + _xlfn.XLOOKUP(B174,'Base stats'!B:B,'Base stats'!BW:BW),
0.05))</f>
        <v>2.75</v>
      </c>
      <c r="O174" s="3">
        <f>IF(Animals!AD174="No","No",
MAX(MROUND((MIN(10,_xlfn.XLOOKUP(B174,'Base stats'!B:B,'Base stats'!V:V)*IF(_xlfn.XLOOKUP(_xlfn.XLOOKUP(B174,'Base stats'!B:B,'Base stats'!E:E),Groups!A:A,Groups!O:O)=0,1,0.33))^0.4*_xlfn.XLOOKUP(B174,'Base stats'!B:B,'Base stats'!BJ:BJ)^0.73)^0.6 *_xlfn.XLOOKUP(B174,'Base stats'!B:B,'Base stats'!BX:BX),0.1),0.05)
)</f>
        <v>21.3</v>
      </c>
      <c r="P174" s="11">
        <f>IF(O174="No","No",
MROUND(_xlfn.XLOOKUP(B174,'Base stats'!B:B,'Base stats'!BJ:BJ) * 0.01 * 2 + 0.05, 0.05)
)</f>
        <v>13.950000000000001</v>
      </c>
      <c r="Q174" s="5">
        <f>IF(O174="No","No",
MROUND(_xlfn.XLOOKUP(B174,'Base stats'!B:B,'Base stats'!BV:BV)/10000+0.01,0.01)
)</f>
        <v>0.28000000000000003</v>
      </c>
      <c r="R174" s="4">
        <f>IF(O174="No","No",
MROUND(_xlfn.XLOOKUP(B174,'Base stats'!B:B,'Base stats'!BB:BB)^0.25
/((_xlfn.XLOOKUP(B174,'Base stats'!B:B,'Base stats'!BN:BN))*10)*_xlfn.XLOOKUP(_xlfn.XLOOKUP(B174,'Base stats'!B:B,'Base stats'!E:E),Groups!A:A,Groups!Z:Z)*150 + 0.5 + _xlfn.XLOOKUP(B174,'Base stats'!B:B,'Base stats'!BW:BW),
0.05))</f>
        <v>2.95</v>
      </c>
      <c r="S174" s="3" t="str">
        <f>IF(Animals!AI174="No","No",
IF(_xlfn.XLOOKUP(B174,'Base stats'!B:B,'Base stats'!U:U)="No",
MAX(MROUND(_xlfn.XLOOKUP(B174,'Base stats'!B:B,'Base stats'!BT:BT) * _xlfn.XLOOKUP(B174,'Base stats'!B:B,'Base stats'!BP:BP)^0.9 / 21 * _xlfn.XLOOKUP(B174,'Base stats'!B:B,'Base stats'!BX:BX),0.1),0.05),
MAX(MROUND(((MIN(12,_xlfn.XLOOKUP(B174,'Base stats'!B:B,'Base stats'!U:U)))^0.4*_xlfn.XLOOKUP(B174,'Base stats'!B:B,'Base stats'!BH:BH)^0.73)^0.6 * _xlfn.XLOOKUP(B174,'Base stats'!B:B,'Base stats'!BX:BX),0.1),0.05)
))</f>
        <v>No</v>
      </c>
      <c r="T174" s="11" t="str">
        <f>IF(S174="No","No",
MROUND(_xlfn.XLOOKUP(B174,'Base stats'!B:B,'Base stats'!BH:BH) * 0.01 * 2 + 0.05, 0.05)
)</f>
        <v>No</v>
      </c>
      <c r="U174" s="5" t="str">
        <f>IF(S174="No","No",IF(_xlfn.XLOOKUP(B174,'Base stats'!B:B,'Base stats'!U:U)="No","No",
MROUND(_xlfn.XLOOKUP(B174,'Base stats'!B:B,'Base stats'!BT:BT)/10000+0.01,0.01)
))</f>
        <v>No</v>
      </c>
      <c r="V174" s="4" t="str">
        <f>IF(S174="No","No",
MROUND(_xlfn.XLOOKUP(B174,'Base stats'!B:B,'Base stats'!BF:BF)^0.25
/((_xlfn.XLOOKUP(B174,'Base stats'!B:B,'Base stats'!BO:BO))*10)*_xlfn.XLOOKUP(_xlfn.XLOOKUP(B174,'Base stats'!B:B,'Base stats'!E:E),Groups!A:A,Groups!AE:AE)*150 + 0.5 + _xlfn.XLOOKUP(B174,'Base stats'!B:B,'Base stats'!BW:BW),
0.05))</f>
        <v>No</v>
      </c>
      <c r="W174" s="8">
        <f>MROUND(_xlfn.XLOOKUP(_xlfn.XLOOKUP(B174,'Base stats'!B:B,'Base stats'!E:E),Groups!A:A,Groups!BG:BG)*_xlfn.XLOOKUP(B174,'Base stats'!B:B,'Base stats'!C:C)^-0.165,0.05)</f>
        <v>0.15000000000000002</v>
      </c>
      <c r="X174" s="1">
        <f>MROUND(_xlfn.XLOOKUP(_xlfn.XLOOKUP(B174,'Base stats'!B:B,'Base stats'!E:E),Groups!A:A,Groups!BH:BH)*_xlfn.XLOOKUP(B174,'Base stats'!B:B,'Base stats'!C:C)^0.165,0.05)</f>
        <v>0.5</v>
      </c>
      <c r="Y174" s="8">
        <f>MROUND(_xlfn.XLOOKUP(_xlfn.XLOOKUP(B174,'Base stats'!B:B,'Base stats'!E:E),Groups!A:A,Groups!BI:BI)*_xlfn.XLOOKUP(B174,'Base stats'!B:B,'Base stats'!C:C)^0.165,0.05)</f>
        <v>0.1</v>
      </c>
      <c r="Z174" s="18">
        <f>MROUND(_xlfn.XLOOKUP(B174,'Base stats'!B:B,'Base stats'!AQ:AQ)*_xlfn.XLOOKUP(_xlfn.XLOOKUP(B174,'Base stats'!B:B,'Base stats'!E:E),Groups!A:A,Groups!H:H)/1000,IF((_xlfn.XLOOKUP(B174,'Base stats'!B:B,'Base stats'!AQ:AQ)*_xlfn.XLOOKUP(_xlfn.XLOOKUP(B174,'Base stats'!B:B,'Base stats'!E:E),Groups!A:A,Groups!H:H)/1000)&gt;1,0.05,0.01))</f>
        <v>0.2</v>
      </c>
      <c r="AA174" s="18">
        <f>MROUND((1/2)*(_xlfn.XLOOKUP(_xlfn.XLOOKUP(B174,'Base stats'!B:B,'Base stats'!E:E),Groups!A:A,Groups!H:H)*_xlfn.XLOOKUP(_xlfn.XLOOKUP(B174,'Base stats'!B:B,'Base stats'!E:E),Groups!A:A,Groups!I:I))*_xlfn.XLOOKUP(B174,'Base stats'!B:B,'Base stats'!AQ:AQ)*0.01,0.05)</f>
        <v>0.25</v>
      </c>
      <c r="AB174" s="18">
        <f>MROUND(250*(Animals!AO174+Animals!AP174),25)</f>
        <v>1925</v>
      </c>
      <c r="AC174" s="18" t="str">
        <f>_xlfn.XLOOKUP(_xlfn.XLOOKUP(B174,'Base stats'!B:B,'Base stats'!E:E),Groups!A:A,Groups!BJ:BJ)</f>
        <v>Quadruped</v>
      </c>
    </row>
    <row r="175" spans="1:29" ht="16.5" thickTop="1" thickBot="1" x14ac:dyDescent="0.3">
      <c r="A175" s="16" t="str">
        <f>Animals!A175</f>
        <v>Bonobo</v>
      </c>
      <c r="B175" s="6" t="str">
        <f>Animals!B175</f>
        <v>Pan paniscus</v>
      </c>
      <c r="C175" s="1" t="str">
        <f>Animals!C175</f>
        <v>&lt;li&gt;AEXP_Bonobo&lt;/li&gt;</v>
      </c>
      <c r="D175" s="47">
        <f>MIN(MIN(6,_xlfn.XLOOKUP(A175,Animals!A:A,Animals!AO:AO))*20,MAX(MROUND(_xlfn.XLOOKUP(B175,'Base stats'!B:B,'Base stats'!BS:BS) * (_xlfn.XLOOKUP(B175,'Base stats'!B:B,'Base stats'!AO:AO)*5%)^0.9 / 21,0.1),0.05))</f>
        <v>1.4000000000000001</v>
      </c>
      <c r="E175" s="11">
        <f>MROUND(_xlfn.XLOOKUP(B175,'Base stats'!B:B,'Base stats'!BG:BG) * 0.01 * 2 + 0.01, 0.05)</f>
        <v>1.1500000000000001</v>
      </c>
      <c r="F175" s="7">
        <f>MROUND(_xlfn.XLOOKUP(B175,'Base stats'!B:B,'Base stats'!BD:BD)^0.25 / (_xlfn.XLOOKUP(B175,'Base stats'!B:B,'Base stats'!BK:BK) * 10) * 150 + 0.5 + _xlfn.XLOOKUP(B175,'Base stats'!B:B,'Base stats'!BW:BW), 0.05)</f>
        <v>1.55</v>
      </c>
      <c r="G175" s="3" t="str">
        <f>IF(Animals!S175="No","No",
IF(_xlfn.XLOOKUP(B175,'Base stats'!B:B,'Base stats'!U:U)="No",
MAX(MROUND(_xlfn.XLOOKUP(B175,'Base stats'!B:B,'Base stats'!BT:BT) * _xlfn.XLOOKUP(B175,'Base stats'!B:B,'Base stats'!BP:BP)^0.9 / 21 * _xlfn.XLOOKUP(B175,'Base stats'!B:B,'Base stats'!BX:BX),0.1),0.05),
MAX(MROUND(((MIN(10,_xlfn.XLOOKUP(B175,'Base stats'!B:B,'Base stats'!U:U)))^0.4*_xlfn.XLOOKUP(B175,'Base stats'!B:B,'Base stats'!BH:BH)^0.73)^0.6 * _xlfn.XLOOKUP(B175,'Base stats'!B:B,'Base stats'!BX:BX),0.1),0.05)
))</f>
        <v>No</v>
      </c>
      <c r="H175" s="11" t="str">
        <f>IF(G175="No","No",
MROUND(_xlfn.XLOOKUP(B175,'Base stats'!B:B,'Base stats'!BH:BH) * 0.01 * 2 + 0.05, 0.05)
)</f>
        <v>No</v>
      </c>
      <c r="I175" s="11" t="str">
        <f>IF(G175="No","No",IF(_xlfn.XLOOKUP(B175,'Base stats'!B:B,'Base stats'!U:U)="No","No",
MROUND(_xlfn.XLOOKUP(B175,'Base stats'!B:B,'Base stats'!BT:BT)/10000+0.01,0.01)
))</f>
        <v>No</v>
      </c>
      <c r="J175" s="4" t="str">
        <f>IF(G175="No","No",
MROUND(_xlfn.XLOOKUP(B175,'Base stats'!B:B,'Base stats'!BE:BE)^0.25
/((_xlfn.XLOOKUP(B175,'Base stats'!B:B,'Base stats'!BL:BL))*10)*_xlfn.XLOOKUP(_xlfn.XLOOKUP(B175,'Base stats'!B:B,'Base stats'!E:E),Groups!A:A,Groups!Q:Q)*150 + 0.5 + _xlfn.XLOOKUP(B175,'Base stats'!B:B,'Base stats'!BW:BW),
0.05))</f>
        <v>No</v>
      </c>
      <c r="K175" s="3" t="str">
        <f>IF(Animals!X175="No","No",
IF(_xlfn.XLOOKUP(_xlfn.XLOOKUP(B175,'Base stats'!B:B,'Base stats'!E:E),Groups!A:A,Groups!BD:BD)=1,
MAX(MROUND(_xlfn.XLOOKUP(B175,'Base stats'!B:B,'Base stats'!BU:BU) * _xlfn.XLOOKUP(B175,'Base stats'!B:B,'Base stats'!BQ:BQ)^0.9 / 21 *_xlfn.XLOOKUP(B175,'Base stats'!B:B,'Base stats'!BX:BX),0.1),0.05),
MAX(MROUND(((MIN(10,_xlfn.XLOOKUP(B175,'Base stats'!B:B,'Base stats'!W:W)))^0.4*_xlfn.XLOOKUP(B175,'Base stats'!B:B,'Base stats'!BI:BI)^0.73)^0.6 *_xlfn.XLOOKUP(B175,'Base stats'!B:B,'Base stats'!BX:BX),0.1),0.05)
))</f>
        <v>No</v>
      </c>
      <c r="L175" s="11" t="str">
        <f>IF(K175="No","No",
MROUND(_xlfn.XLOOKUP(B175,'Base stats'!B:B,'Base stats'!BI:BI) * 0.01 *2 + 0.05, 0.05)
)</f>
        <v>No</v>
      </c>
      <c r="M175" s="5" t="str">
        <f>IF(K175="No","No",IF(_xlfn.XLOOKUP(_xlfn.XLOOKUP(B175,'Base stats'!B:B,'Base stats'!E:E),Groups!A:A,Groups!BD:BD)=1,"No",
MROUND(_xlfn.XLOOKUP(B175,'Base stats'!B:B,'Base stats'!BU:BU)/10000+0.01,0.01)
))</f>
        <v>No</v>
      </c>
      <c r="N175" s="4" t="str">
        <f>IF(K175="No","No",
MROUND(
  _xlfn.XLOOKUP(B175,'Base stats'!B:B,'Base stats'!BC:BC)^0.25
  / (_xlfn.XLOOKUP(B175,'Base stats'!B:B,'Base stats'!BM:BM) * 10)
  * _xlfn.XLOOKUP(
      _xlfn.XLOOKUP(B175,'Base stats'!B:B,'Base stats'!E:E),
      Groups!A:A,
      Groups!V:V
    ) * 150
  + MIN(12, _xlfn.XLOOKUP(B175,'Base stats'!B:B,'Base stats'!W:W))^(1/IF(_xlfn.XLOOKUP(_xlfn.XLOOKUP(B175,'Base stats'!B:B,'Base stats'!E:E),Groups!A:A,Groups!U:U)=1,100,10)) + 0.5 + _xlfn.XLOOKUP(B175,'Base stats'!B:B,'Base stats'!BW:BW),
0.05))</f>
        <v>No</v>
      </c>
      <c r="O175" s="3">
        <f>IF(Animals!AD175="No","No",
MAX(MROUND((MIN(10,_xlfn.XLOOKUP(B175,'Base stats'!B:B,'Base stats'!V:V)*IF(_xlfn.XLOOKUP(_xlfn.XLOOKUP(B175,'Base stats'!B:B,'Base stats'!E:E),Groups!A:A,Groups!O:O)=0,1,0.33))^0.4*_xlfn.XLOOKUP(B175,'Base stats'!B:B,'Base stats'!BJ:BJ)^0.73)^0.6 *_xlfn.XLOOKUP(B175,'Base stats'!B:B,'Base stats'!BX:BX),0.1),0.05)
)</f>
        <v>7.9</v>
      </c>
      <c r="P175" s="11">
        <f>IF(O175="No","No",
MROUND(_xlfn.XLOOKUP(B175,'Base stats'!B:B,'Base stats'!BJ:BJ) * 0.01 * 2 + 0.05, 0.05)
)</f>
        <v>1.8</v>
      </c>
      <c r="Q175" s="5">
        <f>IF(O175="No","No",
MROUND(_xlfn.XLOOKUP(B175,'Base stats'!B:B,'Base stats'!BV:BV)/10000+0.01,0.01)
)</f>
        <v>0.14000000000000001</v>
      </c>
      <c r="R175" s="4">
        <f>IF(O175="No","No",
MROUND(_xlfn.XLOOKUP(B175,'Base stats'!B:B,'Base stats'!BB:BB)^0.25
/((_xlfn.XLOOKUP(B175,'Base stats'!B:B,'Base stats'!BN:BN))*10)*_xlfn.XLOOKUP(_xlfn.XLOOKUP(B175,'Base stats'!B:B,'Base stats'!E:E),Groups!A:A,Groups!Z:Z)*150 + 0.5 + _xlfn.XLOOKUP(B175,'Base stats'!B:B,'Base stats'!BW:BW),
0.05))</f>
        <v>2.15</v>
      </c>
      <c r="S175" s="3">
        <f>IF(Animals!AI175="No","No",
IF(_xlfn.XLOOKUP(B175,'Base stats'!B:B,'Base stats'!U:U)="No",
MAX(MROUND(_xlfn.XLOOKUP(B175,'Base stats'!B:B,'Base stats'!BT:BT) * _xlfn.XLOOKUP(B175,'Base stats'!B:B,'Base stats'!BP:BP)^0.9 / 21 * _xlfn.XLOOKUP(B175,'Base stats'!B:B,'Base stats'!BX:BX),0.1),0.05),
MAX(MROUND(((MIN(12,_xlfn.XLOOKUP(B175,'Base stats'!B:B,'Base stats'!U:U)))^0.4*_xlfn.XLOOKUP(B175,'Base stats'!B:B,'Base stats'!BH:BH)^0.73)^0.6 * _xlfn.XLOOKUP(B175,'Base stats'!B:B,'Base stats'!BX:BX),0.1),0.05)
))</f>
        <v>3.3000000000000003</v>
      </c>
      <c r="T175" s="11">
        <f>IF(S175="No","No",
MROUND(_xlfn.XLOOKUP(B175,'Base stats'!B:B,'Base stats'!BH:BH) * 0.01 * 2 + 0.05, 0.05)
)</f>
        <v>1.55</v>
      </c>
      <c r="U175" s="5" t="str">
        <f>IF(S175="No","No",IF(_xlfn.XLOOKUP(B175,'Base stats'!B:B,'Base stats'!U:U)="No","No",
MROUND(_xlfn.XLOOKUP(B175,'Base stats'!B:B,'Base stats'!BT:BT)/10000+0.01,0.01)
))</f>
        <v>No</v>
      </c>
      <c r="V175" s="4">
        <f>IF(S175="No","No",
MROUND(_xlfn.XLOOKUP(B175,'Base stats'!B:B,'Base stats'!BF:BF)^0.25
/((_xlfn.XLOOKUP(B175,'Base stats'!B:B,'Base stats'!BO:BO))*10)*_xlfn.XLOOKUP(_xlfn.XLOOKUP(B175,'Base stats'!B:B,'Base stats'!E:E),Groups!A:A,Groups!AE:AE)*150 + 0.5 + _xlfn.XLOOKUP(B175,'Base stats'!B:B,'Base stats'!BW:BW),
0.05))</f>
        <v>1.3</v>
      </c>
      <c r="W175" s="8">
        <f>MROUND(_xlfn.XLOOKUP(_xlfn.XLOOKUP(B175,'Base stats'!B:B,'Base stats'!E:E),Groups!A:A,Groups!BG:BG)*_xlfn.XLOOKUP(B175,'Base stats'!B:B,'Base stats'!C:C)^-0.165,0.05)</f>
        <v>0.55000000000000004</v>
      </c>
      <c r="X175" s="1">
        <f>MROUND(_xlfn.XLOOKUP(_xlfn.XLOOKUP(B175,'Base stats'!B:B,'Base stats'!E:E),Groups!A:A,Groups!BH:BH)*_xlfn.XLOOKUP(B175,'Base stats'!B:B,'Base stats'!C:C)^0.165,0.05)</f>
        <v>0.2</v>
      </c>
      <c r="Y175" s="8">
        <f>MROUND(_xlfn.XLOOKUP(_xlfn.XLOOKUP(B175,'Base stats'!B:B,'Base stats'!E:E),Groups!A:A,Groups!BI:BI)*_xlfn.XLOOKUP(B175,'Base stats'!B:B,'Base stats'!C:C)^0.165,0.05)</f>
        <v>0.1</v>
      </c>
      <c r="Z175" s="18">
        <f>MROUND(_xlfn.XLOOKUP(B175,'Base stats'!B:B,'Base stats'!AQ:AQ)*_xlfn.XLOOKUP(_xlfn.XLOOKUP(B175,'Base stats'!B:B,'Base stats'!E:E),Groups!A:A,Groups!H:H)/1000,IF((_xlfn.XLOOKUP(B175,'Base stats'!B:B,'Base stats'!AQ:AQ)*_xlfn.XLOOKUP(_xlfn.XLOOKUP(B175,'Base stats'!B:B,'Base stats'!E:E),Groups!A:A,Groups!H:H)/1000)&gt;1,0.05,0.01))</f>
        <v>0.05</v>
      </c>
      <c r="AA175" s="18">
        <f>MROUND((1/2)*(_xlfn.XLOOKUP(_xlfn.XLOOKUP(B175,'Base stats'!B:B,'Base stats'!E:E),Groups!A:A,Groups!H:H)*_xlfn.XLOOKUP(_xlfn.XLOOKUP(B175,'Base stats'!B:B,'Base stats'!E:E),Groups!A:A,Groups!I:I))*_xlfn.XLOOKUP(B175,'Base stats'!B:B,'Base stats'!AQ:AQ)*0.01,0.05)</f>
        <v>0.2</v>
      </c>
      <c r="AB175" s="18">
        <f>MROUND(250*(Animals!AO175+Animals!AP175),25)</f>
        <v>400</v>
      </c>
      <c r="AC175" s="18" t="str">
        <f>_xlfn.XLOOKUP(_xlfn.XLOOKUP(B175,'Base stats'!B:B,'Base stats'!E:E),Groups!A:A,Groups!BJ:BJ)</f>
        <v>HumanoidWide</v>
      </c>
    </row>
    <row r="176" spans="1:29" ht="16.5" thickTop="1" thickBot="1" x14ac:dyDescent="0.3">
      <c r="A176" s="16" t="str">
        <f>Animals!A176</f>
        <v>Moa</v>
      </c>
      <c r="B176" s="6" t="str">
        <f>Animals!B176</f>
        <v>Dinornis novaezealandiae</v>
      </c>
      <c r="C176" s="1" t="str">
        <f>Animals!C176</f>
        <v>&lt;li&gt;AEXP_Moa&lt;/li&gt;</v>
      </c>
      <c r="D176" s="47">
        <f>MIN(MIN(6,_xlfn.XLOOKUP(A176,Animals!A:A,Animals!AO:AO))*20,MAX(MROUND(_xlfn.XLOOKUP(B176,'Base stats'!B:B,'Base stats'!BS:BS) * (_xlfn.XLOOKUP(B176,'Base stats'!B:B,'Base stats'!AO:AO)*5%)^0.9 / 21,0.1),0.05))</f>
        <v>4.5</v>
      </c>
      <c r="E176" s="11">
        <f>MROUND(_xlfn.XLOOKUP(B176,'Base stats'!B:B,'Base stats'!BG:BG) * 0.01 * 2 + 0.01, 0.05)</f>
        <v>3.95</v>
      </c>
      <c r="F176" s="7">
        <f>MROUND(_xlfn.XLOOKUP(B176,'Base stats'!B:B,'Base stats'!BD:BD)^0.25 / (_xlfn.XLOOKUP(B176,'Base stats'!B:B,'Base stats'!BK:BK) * 10) * 150 + 0.5 + _xlfn.XLOOKUP(B176,'Base stats'!B:B,'Base stats'!BW:BW), 0.05)</f>
        <v>1.75</v>
      </c>
      <c r="G176" s="3">
        <f>IF(Animals!S176="No","No",
IF(_xlfn.XLOOKUP(B176,'Base stats'!B:B,'Base stats'!U:U)="No",
MAX(MROUND(_xlfn.XLOOKUP(B176,'Base stats'!B:B,'Base stats'!BT:BT) * _xlfn.XLOOKUP(B176,'Base stats'!B:B,'Base stats'!BP:BP)^0.9 / 21 * _xlfn.XLOOKUP(B176,'Base stats'!B:B,'Base stats'!BX:BX),0.1),0.05),
MAX(MROUND(((MIN(10,_xlfn.XLOOKUP(B176,'Base stats'!B:B,'Base stats'!U:U)))^0.4*_xlfn.XLOOKUP(B176,'Base stats'!B:B,'Base stats'!BH:BH)^0.73)^0.6 * _xlfn.XLOOKUP(B176,'Base stats'!B:B,'Base stats'!BX:BX),0.1),0.05)
))</f>
        <v>17</v>
      </c>
      <c r="H176" s="11">
        <f>IF(G176="No","No",
MROUND(_xlfn.XLOOKUP(B176,'Base stats'!B:B,'Base stats'!BH:BH) * 0.01 * 2 + 0.05, 0.05)
)</f>
        <v>4.8500000000000005</v>
      </c>
      <c r="I176" s="11">
        <f>IF(G176="No","No",IF(_xlfn.XLOOKUP(B176,'Base stats'!B:B,'Base stats'!U:U)="No","No",
MROUND(_xlfn.XLOOKUP(B176,'Base stats'!B:B,'Base stats'!BT:BT)/10000+0.01,0.01)
))</f>
        <v>0.22</v>
      </c>
      <c r="J176" s="4">
        <f>IF(G176="No","No",
MROUND(_xlfn.XLOOKUP(B176,'Base stats'!B:B,'Base stats'!BE:BE)^0.25
/((_xlfn.XLOOKUP(B176,'Base stats'!B:B,'Base stats'!BL:BL))*10)*_xlfn.XLOOKUP(_xlfn.XLOOKUP(B176,'Base stats'!B:B,'Base stats'!E:E),Groups!A:A,Groups!Q:Q)*150 + 0.5 + _xlfn.XLOOKUP(B176,'Base stats'!B:B,'Base stats'!BW:BW),
0.05))</f>
        <v>3.1</v>
      </c>
      <c r="K176" s="3" t="str">
        <f>IF(Animals!X176="No","No",
IF(_xlfn.XLOOKUP(_xlfn.XLOOKUP(B176,'Base stats'!B:B,'Base stats'!E:E),Groups!A:A,Groups!BD:BD)=1,
MAX(MROUND(_xlfn.XLOOKUP(B176,'Base stats'!B:B,'Base stats'!BU:BU) * _xlfn.XLOOKUP(B176,'Base stats'!B:B,'Base stats'!BQ:BQ)^0.9 / 21 *_xlfn.XLOOKUP(B176,'Base stats'!B:B,'Base stats'!BX:BX),0.1),0.05),
MAX(MROUND(((MIN(10,_xlfn.XLOOKUP(B176,'Base stats'!B:B,'Base stats'!W:W)))^0.4*_xlfn.XLOOKUP(B176,'Base stats'!B:B,'Base stats'!BI:BI)^0.73)^0.6 *_xlfn.XLOOKUP(B176,'Base stats'!B:B,'Base stats'!BX:BX),0.1),0.05)
))</f>
        <v>No</v>
      </c>
      <c r="L176" s="11" t="str">
        <f>IF(K176="No","No",
MROUND(_xlfn.XLOOKUP(B176,'Base stats'!B:B,'Base stats'!BI:BI) * 0.01 *2 + 0.05, 0.05)
)</f>
        <v>No</v>
      </c>
      <c r="M176" s="5" t="str">
        <f>IF(K176="No","No",IF(_xlfn.XLOOKUP(_xlfn.XLOOKUP(B176,'Base stats'!B:B,'Base stats'!E:E),Groups!A:A,Groups!BD:BD)=1,"No",
MROUND(_xlfn.XLOOKUP(B176,'Base stats'!B:B,'Base stats'!BU:BU)/10000+0.01,0.01)
))</f>
        <v>No</v>
      </c>
      <c r="N176" s="4" t="str">
        <f>IF(K176="No","No",
MROUND(
  _xlfn.XLOOKUP(B176,'Base stats'!B:B,'Base stats'!BC:BC)^0.25
  / (_xlfn.XLOOKUP(B176,'Base stats'!B:B,'Base stats'!BM:BM) * 10)
  * _xlfn.XLOOKUP(
      _xlfn.XLOOKUP(B176,'Base stats'!B:B,'Base stats'!E:E),
      Groups!A:A,
      Groups!V:V
    ) * 150
  + MIN(12, _xlfn.XLOOKUP(B176,'Base stats'!B:B,'Base stats'!W:W))^(1/IF(_xlfn.XLOOKUP(_xlfn.XLOOKUP(B176,'Base stats'!B:B,'Base stats'!E:E),Groups!A:A,Groups!U:U)=1,100,10)) + 0.5 + _xlfn.XLOOKUP(B176,'Base stats'!B:B,'Base stats'!BW:BW),
0.05))</f>
        <v>No</v>
      </c>
      <c r="O176" s="3">
        <f>IF(Animals!AD176="No","No",
MAX(MROUND((MIN(10,_xlfn.XLOOKUP(B176,'Base stats'!B:B,'Base stats'!V:V)*IF(_xlfn.XLOOKUP(_xlfn.XLOOKUP(B176,'Base stats'!B:B,'Base stats'!E:E),Groups!A:A,Groups!O:O)=0,1,0.33))^0.4*_xlfn.XLOOKUP(B176,'Base stats'!B:B,'Base stats'!BJ:BJ)^0.73)^0.6 *_xlfn.XLOOKUP(B176,'Base stats'!B:B,'Base stats'!BX:BX),0.1),0.05)
)</f>
        <v>5.6000000000000005</v>
      </c>
      <c r="P176" s="11">
        <f>IF(O176="No","No",
MROUND(_xlfn.XLOOKUP(B176,'Base stats'!B:B,'Base stats'!BJ:BJ) * 0.01 * 2 + 0.05, 0.05)
)</f>
        <v>0.65</v>
      </c>
      <c r="Q176" s="5">
        <f>IF(O176="No","No",
MROUND(_xlfn.XLOOKUP(B176,'Base stats'!B:B,'Base stats'!BV:BV)/10000+0.01,0.01)
)</f>
        <v>0.04</v>
      </c>
      <c r="R176" s="4">
        <f>IF(O176="No","No",
MROUND(_xlfn.XLOOKUP(B176,'Base stats'!B:B,'Base stats'!BB:BB)^0.25
/((_xlfn.XLOOKUP(B176,'Base stats'!B:B,'Base stats'!BN:BN))*10)*_xlfn.XLOOKUP(_xlfn.XLOOKUP(B176,'Base stats'!B:B,'Base stats'!E:E),Groups!A:A,Groups!Z:Z)*150 + 0.5 + _xlfn.XLOOKUP(B176,'Base stats'!B:B,'Base stats'!BW:BW),
0.05))</f>
        <v>2.35</v>
      </c>
      <c r="S176" s="3" t="str">
        <f>IF(Animals!AI176="No","No",
IF(_xlfn.XLOOKUP(B176,'Base stats'!B:B,'Base stats'!U:U)="No",
MAX(MROUND(_xlfn.XLOOKUP(B176,'Base stats'!B:B,'Base stats'!BT:BT) * _xlfn.XLOOKUP(B176,'Base stats'!B:B,'Base stats'!BP:BP)^0.9 / 21 * _xlfn.XLOOKUP(B176,'Base stats'!B:B,'Base stats'!BX:BX),0.1),0.05),
MAX(MROUND(((MIN(12,_xlfn.XLOOKUP(B176,'Base stats'!B:B,'Base stats'!U:U)))^0.4*_xlfn.XLOOKUP(B176,'Base stats'!B:B,'Base stats'!BH:BH)^0.73)^0.6 * _xlfn.XLOOKUP(B176,'Base stats'!B:B,'Base stats'!BX:BX),0.1),0.05)
))</f>
        <v>No</v>
      </c>
      <c r="T176" s="11" t="str">
        <f>IF(S176="No","No",
MROUND(_xlfn.XLOOKUP(B176,'Base stats'!B:B,'Base stats'!BH:BH) * 0.01 * 2 + 0.05, 0.05)
)</f>
        <v>No</v>
      </c>
      <c r="U176" s="5" t="str">
        <f>IF(S176="No","No",IF(_xlfn.XLOOKUP(B176,'Base stats'!B:B,'Base stats'!U:U)="No","No",
MROUND(_xlfn.XLOOKUP(B176,'Base stats'!B:B,'Base stats'!BT:BT)/10000+0.01,0.01)
))</f>
        <v>No</v>
      </c>
      <c r="V176" s="4" t="str">
        <f>IF(S176="No","No",
MROUND(_xlfn.XLOOKUP(B176,'Base stats'!B:B,'Base stats'!BF:BF)^0.25
/((_xlfn.XLOOKUP(B176,'Base stats'!B:B,'Base stats'!BO:BO))*10)*_xlfn.XLOOKUP(_xlfn.XLOOKUP(B176,'Base stats'!B:B,'Base stats'!E:E),Groups!A:A,Groups!AE:AE)*150 + 0.5 + _xlfn.XLOOKUP(B176,'Base stats'!B:B,'Base stats'!BW:BW),
0.05))</f>
        <v>No</v>
      </c>
      <c r="W176" s="8">
        <f>MROUND(_xlfn.XLOOKUP(_xlfn.XLOOKUP(B176,'Base stats'!B:B,'Base stats'!E:E),Groups!A:A,Groups!BG:BG)*_xlfn.XLOOKUP(B176,'Base stats'!B:B,'Base stats'!C:C)^-0.165,0.05)</f>
        <v>0.45</v>
      </c>
      <c r="X176" s="1">
        <f>MROUND(_xlfn.XLOOKUP(_xlfn.XLOOKUP(B176,'Base stats'!B:B,'Base stats'!E:E),Groups!A:A,Groups!BH:BH)*_xlfn.XLOOKUP(B176,'Base stats'!B:B,'Base stats'!C:C)^0.165,0.05)</f>
        <v>0</v>
      </c>
      <c r="Y176" s="8">
        <f>MROUND(_xlfn.XLOOKUP(_xlfn.XLOOKUP(B176,'Base stats'!B:B,'Base stats'!E:E),Groups!A:A,Groups!BI:BI)*_xlfn.XLOOKUP(B176,'Base stats'!B:B,'Base stats'!C:C)^0.165,0.05)</f>
        <v>0</v>
      </c>
      <c r="Z176" s="18">
        <f>MROUND(_xlfn.XLOOKUP(B176,'Base stats'!B:B,'Base stats'!AQ:AQ)*_xlfn.XLOOKUP(_xlfn.XLOOKUP(B176,'Base stats'!B:B,'Base stats'!E:E),Groups!A:A,Groups!H:H)/1000,IF((_xlfn.XLOOKUP(B176,'Base stats'!B:B,'Base stats'!AQ:AQ)*_xlfn.XLOOKUP(_xlfn.XLOOKUP(B176,'Base stats'!B:B,'Base stats'!E:E),Groups!A:A,Groups!H:H)/1000)&gt;1,0.05,0.01))</f>
        <v>0</v>
      </c>
      <c r="AA176" s="18">
        <f>MROUND((1/2)*(_xlfn.XLOOKUP(_xlfn.XLOOKUP(B176,'Base stats'!B:B,'Base stats'!E:E),Groups!A:A,Groups!H:H)*_xlfn.XLOOKUP(_xlfn.XLOOKUP(B176,'Base stats'!B:B,'Base stats'!E:E),Groups!A:A,Groups!I:I))*_xlfn.XLOOKUP(B176,'Base stats'!B:B,'Base stats'!AQ:AQ)*0.01,0.05)</f>
        <v>0</v>
      </c>
      <c r="AB176" s="18">
        <f>MROUND(250*(Animals!AO176+Animals!AP176),25)</f>
        <v>800</v>
      </c>
      <c r="AC176" s="18" t="str">
        <f>_xlfn.XLOOKUP(_xlfn.XLOOKUP(B176,'Base stats'!B:B,'Base stats'!E:E),Groups!A:A,Groups!BJ:BJ)</f>
        <v>Birdlike</v>
      </c>
    </row>
    <row r="177" spans="1:29" ht="16.5" thickTop="1" thickBot="1" x14ac:dyDescent="0.3">
      <c r="A177" s="16" t="str">
        <f>Animals!A177</f>
        <v>Quagga</v>
      </c>
      <c r="B177" s="6" t="str">
        <f>Animals!B177</f>
        <v>Equus quagga</v>
      </c>
      <c r="C177" s="1" t="str">
        <f>Animals!C177</f>
        <v>&lt;li&gt;AEXP_Quagga&lt;/li&gt;</v>
      </c>
      <c r="D177" s="47">
        <f>MIN(MIN(6,_xlfn.XLOOKUP(A177,Animals!A:A,Animals!AO:AO))*20,MAX(MROUND(_xlfn.XLOOKUP(B177,'Base stats'!B:B,'Base stats'!BS:BS) * (_xlfn.XLOOKUP(B177,'Base stats'!B:B,'Base stats'!AO:AO)*5%)^0.9 / 21,0.1),0.05))</f>
        <v>7.3000000000000007</v>
      </c>
      <c r="E177" s="11">
        <f>MROUND(_xlfn.XLOOKUP(B177,'Base stats'!B:B,'Base stats'!BG:BG) * 0.01 * 2 + 0.01, 0.05)</f>
        <v>6.6000000000000005</v>
      </c>
      <c r="F177" s="7">
        <f>MROUND(_xlfn.XLOOKUP(B177,'Base stats'!B:B,'Base stats'!BD:BD)^0.25 / (_xlfn.XLOOKUP(B177,'Base stats'!B:B,'Base stats'!BK:BK) * 10) * 150 + 0.5 + _xlfn.XLOOKUP(B177,'Base stats'!B:B,'Base stats'!BW:BW), 0.05)</f>
        <v>1.8</v>
      </c>
      <c r="G177" s="3">
        <f>IF(Animals!S177="No","No",
IF(_xlfn.XLOOKUP(B177,'Base stats'!B:B,'Base stats'!U:U)="No",
MAX(MROUND(_xlfn.XLOOKUP(B177,'Base stats'!B:B,'Base stats'!BT:BT) * _xlfn.XLOOKUP(B177,'Base stats'!B:B,'Base stats'!BP:BP)^0.9 / 21 * _xlfn.XLOOKUP(B177,'Base stats'!B:B,'Base stats'!BX:BX),0.1),0.05),
MAX(MROUND(((MIN(10,_xlfn.XLOOKUP(B177,'Base stats'!B:B,'Base stats'!U:U)))^0.4*_xlfn.XLOOKUP(B177,'Base stats'!B:B,'Base stats'!BH:BH)^0.73)^0.6 * _xlfn.XLOOKUP(B177,'Base stats'!B:B,'Base stats'!BX:BX),0.1),0.05)
))</f>
        <v>12.600000000000001</v>
      </c>
      <c r="H177" s="11">
        <f>IF(G177="No","No",
MROUND(_xlfn.XLOOKUP(B177,'Base stats'!B:B,'Base stats'!BH:BH) * 0.01 * 2 + 0.05, 0.05)
)</f>
        <v>7.9</v>
      </c>
      <c r="I177" s="11" t="str">
        <f>IF(G177="No","No",IF(_xlfn.XLOOKUP(B177,'Base stats'!B:B,'Base stats'!U:U)="No","No",
MROUND(_xlfn.XLOOKUP(B177,'Base stats'!B:B,'Base stats'!BT:BT)/10000+0.01,0.01)
))</f>
        <v>No</v>
      </c>
      <c r="J177" s="4">
        <f>IF(G177="No","No",
MROUND(_xlfn.XLOOKUP(B177,'Base stats'!B:B,'Base stats'!BE:BE)^0.25
/((_xlfn.XLOOKUP(B177,'Base stats'!B:B,'Base stats'!BL:BL))*10)*_xlfn.XLOOKUP(_xlfn.XLOOKUP(B177,'Base stats'!B:B,'Base stats'!E:E),Groups!A:A,Groups!Q:Q)*150 + 0.5 + _xlfn.XLOOKUP(B177,'Base stats'!B:B,'Base stats'!BW:BW),
0.05))</f>
        <v>2.3000000000000003</v>
      </c>
      <c r="K177" s="3" t="str">
        <f>IF(Animals!X177="No","No",
IF(_xlfn.XLOOKUP(_xlfn.XLOOKUP(B177,'Base stats'!B:B,'Base stats'!E:E),Groups!A:A,Groups!BD:BD)=1,
MAX(MROUND(_xlfn.XLOOKUP(B177,'Base stats'!B:B,'Base stats'!BU:BU) * _xlfn.XLOOKUP(B177,'Base stats'!B:B,'Base stats'!BQ:BQ)^0.9 / 21 *_xlfn.XLOOKUP(B177,'Base stats'!B:B,'Base stats'!BX:BX),0.1),0.05),
MAX(MROUND(((MIN(10,_xlfn.XLOOKUP(B177,'Base stats'!B:B,'Base stats'!W:W)))^0.4*_xlfn.XLOOKUP(B177,'Base stats'!B:B,'Base stats'!BI:BI)^0.73)^0.6 *_xlfn.XLOOKUP(B177,'Base stats'!B:B,'Base stats'!BX:BX),0.1),0.05)
))</f>
        <v>No</v>
      </c>
      <c r="L177" s="11" t="str">
        <f>IF(K177="No","No",
MROUND(_xlfn.XLOOKUP(B177,'Base stats'!B:B,'Base stats'!BI:BI) * 0.01 *2 + 0.05, 0.05)
)</f>
        <v>No</v>
      </c>
      <c r="M177" s="5" t="str">
        <f>IF(K177="No","No",IF(_xlfn.XLOOKUP(_xlfn.XLOOKUP(B177,'Base stats'!B:B,'Base stats'!E:E),Groups!A:A,Groups!BD:BD)=1,"No",
MROUND(_xlfn.XLOOKUP(B177,'Base stats'!B:B,'Base stats'!BU:BU)/10000+0.01,0.01)
))</f>
        <v>No</v>
      </c>
      <c r="N177" s="4" t="str">
        <f>IF(K177="No","No",
MROUND(
  _xlfn.XLOOKUP(B177,'Base stats'!B:B,'Base stats'!BC:BC)^0.25
  / (_xlfn.XLOOKUP(B177,'Base stats'!B:B,'Base stats'!BM:BM) * 10)
  * _xlfn.XLOOKUP(
      _xlfn.XLOOKUP(B177,'Base stats'!B:B,'Base stats'!E:E),
      Groups!A:A,
      Groups!V:V
    ) * 150
  + MIN(12, _xlfn.XLOOKUP(B177,'Base stats'!B:B,'Base stats'!W:W))^(1/IF(_xlfn.XLOOKUP(_xlfn.XLOOKUP(B177,'Base stats'!B:B,'Base stats'!E:E),Groups!A:A,Groups!U:U)=1,100,10)) + 0.5 + _xlfn.XLOOKUP(B177,'Base stats'!B:B,'Base stats'!BW:BW),
0.05))</f>
        <v>No</v>
      </c>
      <c r="O177" s="3">
        <f>IF(Animals!AD177="No","No",
MAX(MROUND((MIN(10,_xlfn.XLOOKUP(B177,'Base stats'!B:B,'Base stats'!V:V)*IF(_xlfn.XLOOKUP(_xlfn.XLOOKUP(B177,'Base stats'!B:B,'Base stats'!E:E),Groups!A:A,Groups!O:O)=0,1,0.33))^0.4*_xlfn.XLOOKUP(B177,'Base stats'!B:B,'Base stats'!BJ:BJ)^0.73)^0.6 *_xlfn.XLOOKUP(B177,'Base stats'!B:B,'Base stats'!BX:BX),0.1),0.05)
)</f>
        <v>12.600000000000001</v>
      </c>
      <c r="P177" s="11">
        <f>IF(O177="No","No",
MROUND(_xlfn.XLOOKUP(B177,'Base stats'!B:B,'Base stats'!BJ:BJ) * 0.01 * 2 + 0.05, 0.05)
)</f>
        <v>5.25</v>
      </c>
      <c r="Q177" s="5">
        <f>IF(O177="No","No",
MROUND(_xlfn.XLOOKUP(B177,'Base stats'!B:B,'Base stats'!BV:BV)/10000+0.01,0.01)
)</f>
        <v>0.13</v>
      </c>
      <c r="R177" s="4">
        <f>IF(O177="No","No",
MROUND(_xlfn.XLOOKUP(B177,'Base stats'!B:B,'Base stats'!BB:BB)^0.25
/((_xlfn.XLOOKUP(B177,'Base stats'!B:B,'Base stats'!BN:BN))*10)*_xlfn.XLOOKUP(_xlfn.XLOOKUP(B177,'Base stats'!B:B,'Base stats'!E:E),Groups!A:A,Groups!Z:Z)*150 + 0.5 + _xlfn.XLOOKUP(B177,'Base stats'!B:B,'Base stats'!BW:BW),
0.05))</f>
        <v>2.75</v>
      </c>
      <c r="S177" s="3" t="str">
        <f>IF(Animals!AI177="No","No",
IF(_xlfn.XLOOKUP(B177,'Base stats'!B:B,'Base stats'!U:U)="No",
MAX(MROUND(_xlfn.XLOOKUP(B177,'Base stats'!B:B,'Base stats'!BT:BT) * _xlfn.XLOOKUP(B177,'Base stats'!B:B,'Base stats'!BP:BP)^0.9 / 21 * _xlfn.XLOOKUP(B177,'Base stats'!B:B,'Base stats'!BX:BX),0.1),0.05),
MAX(MROUND(((MIN(12,_xlfn.XLOOKUP(B177,'Base stats'!B:B,'Base stats'!U:U)))^0.4*_xlfn.XLOOKUP(B177,'Base stats'!B:B,'Base stats'!BH:BH)^0.73)^0.6 * _xlfn.XLOOKUP(B177,'Base stats'!B:B,'Base stats'!BX:BX),0.1),0.05)
))</f>
        <v>No</v>
      </c>
      <c r="T177" s="11" t="str">
        <f>IF(S177="No","No",
MROUND(_xlfn.XLOOKUP(B177,'Base stats'!B:B,'Base stats'!BH:BH) * 0.01 * 2 + 0.05, 0.05)
)</f>
        <v>No</v>
      </c>
      <c r="U177" s="5" t="str">
        <f>IF(S177="No","No",IF(_xlfn.XLOOKUP(B177,'Base stats'!B:B,'Base stats'!U:U)="No","No",
MROUND(_xlfn.XLOOKUP(B177,'Base stats'!B:B,'Base stats'!BT:BT)/10000+0.01,0.01)
))</f>
        <v>No</v>
      </c>
      <c r="V177" s="4" t="str">
        <f>IF(S177="No","No",
MROUND(_xlfn.XLOOKUP(B177,'Base stats'!B:B,'Base stats'!BF:BF)^0.25
/((_xlfn.XLOOKUP(B177,'Base stats'!B:B,'Base stats'!BO:BO))*10)*_xlfn.XLOOKUP(_xlfn.XLOOKUP(B177,'Base stats'!B:B,'Base stats'!E:E),Groups!A:A,Groups!AE:AE)*150 + 0.5 + _xlfn.XLOOKUP(B177,'Base stats'!B:B,'Base stats'!BW:BW),
0.05))</f>
        <v>No</v>
      </c>
      <c r="W177" s="8">
        <f>MROUND(_xlfn.XLOOKUP(_xlfn.XLOOKUP(B177,'Base stats'!B:B,'Base stats'!E:E),Groups!A:A,Groups!BG:BG)*_xlfn.XLOOKUP(B177,'Base stats'!B:B,'Base stats'!C:C)^-0.165,0.05)</f>
        <v>0.30000000000000004</v>
      </c>
      <c r="X177" s="1">
        <f>MROUND(_xlfn.XLOOKUP(_xlfn.XLOOKUP(B177,'Base stats'!B:B,'Base stats'!E:E),Groups!A:A,Groups!BH:BH)*_xlfn.XLOOKUP(B177,'Base stats'!B:B,'Base stats'!C:C)^0.165,0.05)</f>
        <v>0</v>
      </c>
      <c r="Y177" s="8">
        <f>MROUND(_xlfn.XLOOKUP(_xlfn.XLOOKUP(B177,'Base stats'!B:B,'Base stats'!E:E),Groups!A:A,Groups!BI:BI)*_xlfn.XLOOKUP(B177,'Base stats'!B:B,'Base stats'!C:C)^0.165,0.05)</f>
        <v>0</v>
      </c>
      <c r="Z177" s="18">
        <f>MROUND(_xlfn.XLOOKUP(B177,'Base stats'!B:B,'Base stats'!AQ:AQ)*_xlfn.XLOOKUP(_xlfn.XLOOKUP(B177,'Base stats'!B:B,'Base stats'!E:E),Groups!A:A,Groups!H:H)/1000,IF((_xlfn.XLOOKUP(B177,'Base stats'!B:B,'Base stats'!AQ:AQ)*_xlfn.XLOOKUP(_xlfn.XLOOKUP(B177,'Base stats'!B:B,'Base stats'!E:E),Groups!A:A,Groups!H:H)/1000)&gt;1,0.05,0.01))</f>
        <v>0.09</v>
      </c>
      <c r="AA177" s="18">
        <f>MROUND((1/2)*(_xlfn.XLOOKUP(_xlfn.XLOOKUP(B177,'Base stats'!B:B,'Base stats'!E:E),Groups!A:A,Groups!H:H)*_xlfn.XLOOKUP(_xlfn.XLOOKUP(B177,'Base stats'!B:B,'Base stats'!E:E),Groups!A:A,Groups!I:I))*_xlfn.XLOOKUP(B177,'Base stats'!B:B,'Base stats'!AQ:AQ)*0.01,0.05)</f>
        <v>0.4</v>
      </c>
      <c r="AB177" s="18">
        <f>MROUND(250*(Animals!AO177+Animals!AP177),25)</f>
        <v>1125</v>
      </c>
      <c r="AC177" s="18" t="str">
        <f>_xlfn.XLOOKUP(_xlfn.XLOOKUP(B177,'Base stats'!B:B,'Base stats'!E:E),Groups!A:A,Groups!BJ:BJ)</f>
        <v>Quadruped</v>
      </c>
    </row>
    <row r="178" spans="1:29" ht="16.5" thickTop="1" thickBot="1" x14ac:dyDescent="0.3">
      <c r="A178" s="16" t="str">
        <f>Animals!A178</f>
        <v>RockhopperPenguin</v>
      </c>
      <c r="B178" s="6" t="str">
        <f>Animals!B178</f>
        <v>Eudyptes chrysocome</v>
      </c>
      <c r="C178" s="1" t="str">
        <f>Animals!C178</f>
        <v>&lt;li&gt;AEXP_RockhopperPenguin&lt;/li&gt;</v>
      </c>
      <c r="D178" s="47">
        <f>MIN(MIN(6,_xlfn.XLOOKUP(A178,Animals!A:A,Animals!AO:AO))*20,MAX(MROUND(_xlfn.XLOOKUP(B178,'Base stats'!B:B,'Base stats'!BS:BS) * (_xlfn.XLOOKUP(B178,'Base stats'!B:B,'Base stats'!AO:AO)*5%)^0.9 / 21,0.1),0.05))</f>
        <v>0.2</v>
      </c>
      <c r="E178" s="11">
        <f>MROUND(_xlfn.XLOOKUP(B178,'Base stats'!B:B,'Base stats'!BG:BG) * 0.01 * 2 + 0.01, 0.05)</f>
        <v>0.15000000000000002</v>
      </c>
      <c r="F178" s="7">
        <f>MROUND(_xlfn.XLOOKUP(B178,'Base stats'!B:B,'Base stats'!BD:BD)^0.25 / (_xlfn.XLOOKUP(B178,'Base stats'!B:B,'Base stats'!BK:BK) * 10) * 150 + 0.5 + _xlfn.XLOOKUP(B178,'Base stats'!B:B,'Base stats'!BW:BW), 0.05)</f>
        <v>1.4000000000000001</v>
      </c>
      <c r="G178" s="3" t="str">
        <f>IF(Animals!S178="No","No",
IF(_xlfn.XLOOKUP(B178,'Base stats'!B:B,'Base stats'!U:U)="No",
MAX(MROUND(_xlfn.XLOOKUP(B178,'Base stats'!B:B,'Base stats'!BT:BT) * _xlfn.XLOOKUP(B178,'Base stats'!B:B,'Base stats'!BP:BP)^0.9 / 21 * _xlfn.XLOOKUP(B178,'Base stats'!B:B,'Base stats'!BX:BX),0.1),0.05),
MAX(MROUND(((MIN(10,_xlfn.XLOOKUP(B178,'Base stats'!B:B,'Base stats'!U:U)))^0.4*_xlfn.XLOOKUP(B178,'Base stats'!B:B,'Base stats'!BH:BH)^0.73)^0.6 * _xlfn.XLOOKUP(B178,'Base stats'!B:B,'Base stats'!BX:BX),0.1),0.05)
))</f>
        <v>No</v>
      </c>
      <c r="H178" s="11" t="str">
        <f>IF(G178="No","No",
MROUND(_xlfn.XLOOKUP(B178,'Base stats'!B:B,'Base stats'!BH:BH) * 0.01 * 2 + 0.05, 0.05)
)</f>
        <v>No</v>
      </c>
      <c r="I178" s="11" t="str">
        <f>IF(G178="No","No",IF(_xlfn.XLOOKUP(B178,'Base stats'!B:B,'Base stats'!U:U)="No","No",
MROUND(_xlfn.XLOOKUP(B178,'Base stats'!B:B,'Base stats'!BT:BT)/10000+0.01,0.01)
))</f>
        <v>No</v>
      </c>
      <c r="J178" s="4" t="str">
        <f>IF(G178="No","No",
MROUND(_xlfn.XLOOKUP(B178,'Base stats'!B:B,'Base stats'!BE:BE)^0.25
/((_xlfn.XLOOKUP(B178,'Base stats'!B:B,'Base stats'!BL:BL))*10)*_xlfn.XLOOKUP(_xlfn.XLOOKUP(B178,'Base stats'!B:B,'Base stats'!E:E),Groups!A:A,Groups!Q:Q)*150 + 0.5 + _xlfn.XLOOKUP(B178,'Base stats'!B:B,'Base stats'!BW:BW),
0.05))</f>
        <v>No</v>
      </c>
      <c r="K178" s="3" t="str">
        <f>IF(Animals!X178="No","No",
IF(_xlfn.XLOOKUP(_xlfn.XLOOKUP(B178,'Base stats'!B:B,'Base stats'!E:E),Groups!A:A,Groups!BD:BD)=1,
MAX(MROUND(_xlfn.XLOOKUP(B178,'Base stats'!B:B,'Base stats'!BU:BU) * _xlfn.XLOOKUP(B178,'Base stats'!B:B,'Base stats'!BQ:BQ)^0.9 / 21 *_xlfn.XLOOKUP(B178,'Base stats'!B:B,'Base stats'!BX:BX),0.1),0.05),
MAX(MROUND(((MIN(10,_xlfn.XLOOKUP(B178,'Base stats'!B:B,'Base stats'!W:W)))^0.4*_xlfn.XLOOKUP(B178,'Base stats'!B:B,'Base stats'!BI:BI)^0.73)^0.6 *_xlfn.XLOOKUP(B178,'Base stats'!B:B,'Base stats'!BX:BX),0.1),0.05)
))</f>
        <v>No</v>
      </c>
      <c r="L178" s="11" t="str">
        <f>IF(K178="No","No",
MROUND(_xlfn.XLOOKUP(B178,'Base stats'!B:B,'Base stats'!BI:BI) * 0.01 *2 + 0.05, 0.05)
)</f>
        <v>No</v>
      </c>
      <c r="M178" s="5" t="str">
        <f>IF(K178="No","No",IF(_xlfn.XLOOKUP(_xlfn.XLOOKUP(B178,'Base stats'!B:B,'Base stats'!E:E),Groups!A:A,Groups!BD:BD)=1,"No",
MROUND(_xlfn.XLOOKUP(B178,'Base stats'!B:B,'Base stats'!BU:BU)/10000+0.01,0.01)
))</f>
        <v>No</v>
      </c>
      <c r="N178" s="4" t="str">
        <f>IF(K178="No","No",
MROUND(
  _xlfn.XLOOKUP(B178,'Base stats'!B:B,'Base stats'!BC:BC)^0.25
  / (_xlfn.XLOOKUP(B178,'Base stats'!B:B,'Base stats'!BM:BM) * 10)
  * _xlfn.XLOOKUP(
      _xlfn.XLOOKUP(B178,'Base stats'!B:B,'Base stats'!E:E),
      Groups!A:A,
      Groups!V:V
    ) * 150
  + MIN(12, _xlfn.XLOOKUP(B178,'Base stats'!B:B,'Base stats'!W:W))^(1/IF(_xlfn.XLOOKUP(_xlfn.XLOOKUP(B178,'Base stats'!B:B,'Base stats'!E:E),Groups!A:A,Groups!U:U)=1,100,10)) + 0.5 + _xlfn.XLOOKUP(B178,'Base stats'!B:B,'Base stats'!BW:BW),
0.05))</f>
        <v>No</v>
      </c>
      <c r="O178" s="3">
        <f>IF(Animals!AD178="No","No",
MAX(MROUND((MIN(10,_xlfn.XLOOKUP(B178,'Base stats'!B:B,'Base stats'!V:V)*IF(_xlfn.XLOOKUP(_xlfn.XLOOKUP(B178,'Base stats'!B:B,'Base stats'!E:E),Groups!A:A,Groups!O:O)=0,1,0.33))^0.4*_xlfn.XLOOKUP(B178,'Base stats'!B:B,'Base stats'!BJ:BJ)^0.73)^0.6 *_xlfn.XLOOKUP(B178,'Base stats'!B:B,'Base stats'!BX:BX),0.1),0.05)
)</f>
        <v>1.8</v>
      </c>
      <c r="P178" s="11">
        <f>IF(O178="No","No",
MROUND(_xlfn.XLOOKUP(B178,'Base stats'!B:B,'Base stats'!BJ:BJ) * 0.01 * 2 + 0.05, 0.05)
)</f>
        <v>0.1</v>
      </c>
      <c r="Q178" s="5">
        <f>IF(O178="No","No",
MROUND(_xlfn.XLOOKUP(B178,'Base stats'!B:B,'Base stats'!BV:BV)/10000+0.01,0.01)
)</f>
        <v>0.02</v>
      </c>
      <c r="R178" s="4">
        <f>IF(O178="No","No",
MROUND(_xlfn.XLOOKUP(B178,'Base stats'!B:B,'Base stats'!BB:BB)^0.25
/((_xlfn.XLOOKUP(B178,'Base stats'!B:B,'Base stats'!BN:BN))*10)*_xlfn.XLOOKUP(_xlfn.XLOOKUP(B178,'Base stats'!B:B,'Base stats'!E:E),Groups!A:A,Groups!Z:Z)*150 + 0.5 + _xlfn.XLOOKUP(B178,'Base stats'!B:B,'Base stats'!BW:BW),
0.05))</f>
        <v>1.9000000000000001</v>
      </c>
      <c r="S178" s="3" t="str">
        <f>IF(Animals!AI178="No","No",
IF(_xlfn.XLOOKUP(B178,'Base stats'!B:B,'Base stats'!U:U)="No",
MAX(MROUND(_xlfn.XLOOKUP(B178,'Base stats'!B:B,'Base stats'!BT:BT) * _xlfn.XLOOKUP(B178,'Base stats'!B:B,'Base stats'!BP:BP)^0.9 / 21 * _xlfn.XLOOKUP(B178,'Base stats'!B:B,'Base stats'!BX:BX),0.1),0.05),
MAX(MROUND(((MIN(12,_xlfn.XLOOKUP(B178,'Base stats'!B:B,'Base stats'!U:U)))^0.4*_xlfn.XLOOKUP(B178,'Base stats'!B:B,'Base stats'!BH:BH)^0.73)^0.6 * _xlfn.XLOOKUP(B178,'Base stats'!B:B,'Base stats'!BX:BX),0.1),0.05)
))</f>
        <v>No</v>
      </c>
      <c r="T178" s="11" t="str">
        <f>IF(S178="No","No",
MROUND(_xlfn.XLOOKUP(B178,'Base stats'!B:B,'Base stats'!BH:BH) * 0.01 * 2 + 0.05, 0.05)
)</f>
        <v>No</v>
      </c>
      <c r="U178" s="5" t="str">
        <f>IF(S178="No","No",IF(_xlfn.XLOOKUP(B178,'Base stats'!B:B,'Base stats'!U:U)="No","No",
MROUND(_xlfn.XLOOKUP(B178,'Base stats'!B:B,'Base stats'!BT:BT)/10000+0.01,0.01)
))</f>
        <v>No</v>
      </c>
      <c r="V178" s="4" t="str">
        <f>IF(S178="No","No",
MROUND(_xlfn.XLOOKUP(B178,'Base stats'!B:B,'Base stats'!BF:BF)^0.25
/((_xlfn.XLOOKUP(B178,'Base stats'!B:B,'Base stats'!BO:BO))*10)*_xlfn.XLOOKUP(_xlfn.XLOOKUP(B178,'Base stats'!B:B,'Base stats'!E:E),Groups!A:A,Groups!AE:AE)*150 + 0.5 + _xlfn.XLOOKUP(B178,'Base stats'!B:B,'Base stats'!BW:BW),
0.05))</f>
        <v>No</v>
      </c>
      <c r="W178" s="8">
        <f>MROUND(_xlfn.XLOOKUP(_xlfn.XLOOKUP(B178,'Base stats'!B:B,'Base stats'!E:E),Groups!A:A,Groups!BG:BG)*_xlfn.XLOOKUP(B178,'Base stats'!B:B,'Base stats'!C:C)^-0.165,0.05)</f>
        <v>0.8</v>
      </c>
      <c r="X178" s="1">
        <f>MROUND(_xlfn.XLOOKUP(_xlfn.XLOOKUP(B178,'Base stats'!B:B,'Base stats'!E:E),Groups!A:A,Groups!BH:BH)*_xlfn.XLOOKUP(B178,'Base stats'!B:B,'Base stats'!C:C)^0.165,0.05)</f>
        <v>0</v>
      </c>
      <c r="Y178" s="8">
        <f>MROUND(_xlfn.XLOOKUP(_xlfn.XLOOKUP(B178,'Base stats'!B:B,'Base stats'!E:E),Groups!A:A,Groups!BI:BI)*_xlfn.XLOOKUP(B178,'Base stats'!B:B,'Base stats'!C:C)^0.165,0.05)</f>
        <v>0</v>
      </c>
      <c r="Z178" s="18">
        <f>MROUND(_xlfn.XLOOKUP(B178,'Base stats'!B:B,'Base stats'!AQ:AQ)*_xlfn.XLOOKUP(_xlfn.XLOOKUP(B178,'Base stats'!B:B,'Base stats'!E:E),Groups!A:A,Groups!H:H)/1000,IF((_xlfn.XLOOKUP(B178,'Base stats'!B:B,'Base stats'!AQ:AQ)*_xlfn.XLOOKUP(_xlfn.XLOOKUP(B178,'Base stats'!B:B,'Base stats'!E:E),Groups!A:A,Groups!H:H)/1000)&gt;1,0.05,0.01))</f>
        <v>0</v>
      </c>
      <c r="AA178" s="18">
        <f>MROUND((1/2)*(_xlfn.XLOOKUP(_xlfn.XLOOKUP(B178,'Base stats'!B:B,'Base stats'!E:E),Groups!A:A,Groups!H:H)*_xlfn.XLOOKUP(_xlfn.XLOOKUP(B178,'Base stats'!B:B,'Base stats'!E:E),Groups!A:A,Groups!I:I))*_xlfn.XLOOKUP(B178,'Base stats'!B:B,'Base stats'!AQ:AQ)*0.01,0.05)</f>
        <v>0</v>
      </c>
      <c r="AB178" s="18">
        <f>MROUND(250*(Animals!AO178+Animals!AP178),25)</f>
        <v>150</v>
      </c>
      <c r="AC178" s="18" t="str">
        <f>_xlfn.XLOOKUP(_xlfn.XLOOKUP(B178,'Base stats'!B:B,'Base stats'!E:E),Groups!A:A,Groups!BJ:BJ)</f>
        <v>Birdlike</v>
      </c>
    </row>
    <row r="179" spans="1:29" ht="16.5" thickTop="1" thickBot="1" x14ac:dyDescent="0.3">
      <c r="A179" s="16" t="str">
        <f>Animals!A179</f>
        <v>TasmanianDevil</v>
      </c>
      <c r="B179" s="6" t="str">
        <f>Animals!B179</f>
        <v>Sarcophilus harrisii</v>
      </c>
      <c r="C179" s="1" t="str">
        <f>Animals!C179</f>
        <v>&lt;li&gt;AEXP_TasmanianDevil&lt;/li&gt;</v>
      </c>
      <c r="D179" s="47">
        <f>MIN(MIN(6,_xlfn.XLOOKUP(A179,Animals!A:A,Animals!AO:AO))*20,MAX(MROUND(_xlfn.XLOOKUP(B179,'Base stats'!B:B,'Base stats'!BS:BS) * (_xlfn.XLOOKUP(B179,'Base stats'!B:B,'Base stats'!AO:AO)*5%)^0.9 / 21,0.1),0.05))</f>
        <v>0.30000000000000004</v>
      </c>
      <c r="E179" s="11">
        <f>MROUND(_xlfn.XLOOKUP(B179,'Base stats'!B:B,'Base stats'!BG:BG) * 0.01 * 2 + 0.01, 0.05)</f>
        <v>0.2</v>
      </c>
      <c r="F179" s="7">
        <f>MROUND(_xlfn.XLOOKUP(B179,'Base stats'!B:B,'Base stats'!BD:BD)^0.25 / (_xlfn.XLOOKUP(B179,'Base stats'!B:B,'Base stats'!BK:BK) * 10) * 150 + 0.5 + _xlfn.XLOOKUP(B179,'Base stats'!B:B,'Base stats'!BW:BW), 0.05)</f>
        <v>1.4500000000000002</v>
      </c>
      <c r="G179" s="3" t="str">
        <f>IF(Animals!S179="No","No",
IF(_xlfn.XLOOKUP(B179,'Base stats'!B:B,'Base stats'!U:U)="No",
MAX(MROUND(_xlfn.XLOOKUP(B179,'Base stats'!B:B,'Base stats'!BT:BT) * _xlfn.XLOOKUP(B179,'Base stats'!B:B,'Base stats'!BP:BP)^0.9 / 21 * _xlfn.XLOOKUP(B179,'Base stats'!B:B,'Base stats'!BX:BX),0.1),0.05),
MAX(MROUND(((MIN(10,_xlfn.XLOOKUP(B179,'Base stats'!B:B,'Base stats'!U:U)))^0.4*_xlfn.XLOOKUP(B179,'Base stats'!B:B,'Base stats'!BH:BH)^0.73)^0.6 * _xlfn.XLOOKUP(B179,'Base stats'!B:B,'Base stats'!BX:BX),0.1),0.05)
))</f>
        <v>No</v>
      </c>
      <c r="H179" s="11" t="str">
        <f>IF(G179="No","No",
MROUND(_xlfn.XLOOKUP(B179,'Base stats'!B:B,'Base stats'!BH:BH) * 0.01 * 2 + 0.05, 0.05)
)</f>
        <v>No</v>
      </c>
      <c r="I179" s="11" t="str">
        <f>IF(G179="No","No",IF(_xlfn.XLOOKUP(B179,'Base stats'!B:B,'Base stats'!U:U)="No","No",
MROUND(_xlfn.XLOOKUP(B179,'Base stats'!B:B,'Base stats'!BT:BT)/10000+0.01,0.01)
))</f>
        <v>No</v>
      </c>
      <c r="J179" s="4" t="str">
        <f>IF(G179="No","No",
MROUND(_xlfn.XLOOKUP(B179,'Base stats'!B:B,'Base stats'!BE:BE)^0.25
/((_xlfn.XLOOKUP(B179,'Base stats'!B:B,'Base stats'!BL:BL))*10)*_xlfn.XLOOKUP(_xlfn.XLOOKUP(B179,'Base stats'!B:B,'Base stats'!E:E),Groups!A:A,Groups!Q:Q)*150 + 0.5 + _xlfn.XLOOKUP(B179,'Base stats'!B:B,'Base stats'!BW:BW),
0.05))</f>
        <v>No</v>
      </c>
      <c r="K179" s="3" t="str">
        <f>IF(Animals!X179="No","No",
IF(_xlfn.XLOOKUP(_xlfn.XLOOKUP(B179,'Base stats'!B:B,'Base stats'!E:E),Groups!A:A,Groups!BD:BD)=1,
MAX(MROUND(_xlfn.XLOOKUP(B179,'Base stats'!B:B,'Base stats'!BU:BU) * _xlfn.XLOOKUP(B179,'Base stats'!B:B,'Base stats'!BQ:BQ)^0.9 / 21 *_xlfn.XLOOKUP(B179,'Base stats'!B:B,'Base stats'!BX:BX),0.1),0.05),
MAX(MROUND(((MIN(10,_xlfn.XLOOKUP(B179,'Base stats'!B:B,'Base stats'!W:W)))^0.4*_xlfn.XLOOKUP(B179,'Base stats'!B:B,'Base stats'!BI:BI)^0.73)^0.6 *_xlfn.XLOOKUP(B179,'Base stats'!B:B,'Base stats'!BX:BX),0.1),0.05)
))</f>
        <v>No</v>
      </c>
      <c r="L179" s="11" t="str">
        <f>IF(K179="No","No",
MROUND(_xlfn.XLOOKUP(B179,'Base stats'!B:B,'Base stats'!BI:BI) * 0.01 *2 + 0.05, 0.05)
)</f>
        <v>No</v>
      </c>
      <c r="M179" s="5" t="str">
        <f>IF(K179="No","No",IF(_xlfn.XLOOKUP(_xlfn.XLOOKUP(B179,'Base stats'!B:B,'Base stats'!E:E),Groups!A:A,Groups!BD:BD)=1,"No",
MROUND(_xlfn.XLOOKUP(B179,'Base stats'!B:B,'Base stats'!BU:BU)/10000+0.01,0.01)
))</f>
        <v>No</v>
      </c>
      <c r="N179" s="4" t="str">
        <f>IF(K179="No","No",
MROUND(
  _xlfn.XLOOKUP(B179,'Base stats'!B:B,'Base stats'!BC:BC)^0.25
  / (_xlfn.XLOOKUP(B179,'Base stats'!B:B,'Base stats'!BM:BM) * 10)
  * _xlfn.XLOOKUP(
      _xlfn.XLOOKUP(B179,'Base stats'!B:B,'Base stats'!E:E),
      Groups!A:A,
      Groups!V:V
    ) * 150
  + MIN(12, _xlfn.XLOOKUP(B179,'Base stats'!B:B,'Base stats'!W:W))^(1/IF(_xlfn.XLOOKUP(_xlfn.XLOOKUP(B179,'Base stats'!B:B,'Base stats'!E:E),Groups!A:A,Groups!U:U)=1,100,10)) + 0.5 + _xlfn.XLOOKUP(B179,'Base stats'!B:B,'Base stats'!BW:BW),
0.05))</f>
        <v>No</v>
      </c>
      <c r="O179" s="3">
        <f>IF(Animals!AD179="No","No",
MAX(MROUND((MIN(10,_xlfn.XLOOKUP(B179,'Base stats'!B:B,'Base stats'!V:V)*IF(_xlfn.XLOOKUP(_xlfn.XLOOKUP(B179,'Base stats'!B:B,'Base stats'!E:E),Groups!A:A,Groups!O:O)=0,1,0.33))^0.4*_xlfn.XLOOKUP(B179,'Base stats'!B:B,'Base stats'!BJ:BJ)^0.73)^0.6 *_xlfn.XLOOKUP(B179,'Base stats'!B:B,'Base stats'!BX:BX),0.1),0.05)
)</f>
        <v>3.8000000000000003</v>
      </c>
      <c r="P179" s="11">
        <f>IF(O179="No","No",
MROUND(_xlfn.XLOOKUP(B179,'Base stats'!B:B,'Base stats'!BJ:BJ) * 0.01 * 2 + 0.05, 0.05)
)</f>
        <v>0.35000000000000003</v>
      </c>
      <c r="Q179" s="5">
        <f>IF(O179="No","No",
MROUND(_xlfn.XLOOKUP(B179,'Base stats'!B:B,'Base stats'!BV:BV)/10000+0.01,0.01)
)</f>
        <v>0.06</v>
      </c>
      <c r="R179" s="4">
        <f>IF(O179="No","No",
MROUND(_xlfn.XLOOKUP(B179,'Base stats'!B:B,'Base stats'!BB:BB)^0.25
/((_xlfn.XLOOKUP(B179,'Base stats'!B:B,'Base stats'!BN:BN))*10)*_xlfn.XLOOKUP(_xlfn.XLOOKUP(B179,'Base stats'!B:B,'Base stats'!E:E),Groups!A:A,Groups!Z:Z)*150 + 0.5 + _xlfn.XLOOKUP(B179,'Base stats'!B:B,'Base stats'!BW:BW),
0.05))</f>
        <v>1.75</v>
      </c>
      <c r="S179" s="3">
        <f>IF(Animals!AI179="No","No",
IF(_xlfn.XLOOKUP(B179,'Base stats'!B:B,'Base stats'!U:U)="No",
MAX(MROUND(_xlfn.XLOOKUP(B179,'Base stats'!B:B,'Base stats'!BT:BT) * _xlfn.XLOOKUP(B179,'Base stats'!B:B,'Base stats'!BP:BP)^0.9 / 21 * _xlfn.XLOOKUP(B179,'Base stats'!B:B,'Base stats'!BX:BX),0.1),0.05),
MAX(MROUND(((MIN(12,_xlfn.XLOOKUP(B179,'Base stats'!B:B,'Base stats'!U:U)))^0.4*_xlfn.XLOOKUP(B179,'Base stats'!B:B,'Base stats'!BH:BH)^0.73)^0.6 * _xlfn.XLOOKUP(B179,'Base stats'!B:B,'Base stats'!BX:BX),0.1),0.05)
))</f>
        <v>4.1000000000000005</v>
      </c>
      <c r="T179" s="11">
        <f>IF(S179="No","No",
MROUND(_xlfn.XLOOKUP(B179,'Base stats'!B:B,'Base stats'!BH:BH) * 0.01 * 2 + 0.05, 0.05)
)</f>
        <v>0.35000000000000003</v>
      </c>
      <c r="U179" s="5">
        <f>IF(S179="No","No",IF(_xlfn.XLOOKUP(B179,'Base stats'!B:B,'Base stats'!U:U)="No","No",
MROUND(_xlfn.XLOOKUP(B179,'Base stats'!B:B,'Base stats'!BT:BT)/10000+0.01,0.01)
))</f>
        <v>0.06</v>
      </c>
      <c r="V179" s="4">
        <f>IF(S179="No","No",
MROUND(_xlfn.XLOOKUP(B179,'Base stats'!B:B,'Base stats'!BF:BF)^0.25
/((_xlfn.XLOOKUP(B179,'Base stats'!B:B,'Base stats'!BO:BO))*10)*_xlfn.XLOOKUP(_xlfn.XLOOKUP(B179,'Base stats'!B:B,'Base stats'!E:E),Groups!A:A,Groups!AE:AE)*150 + 0.5 + _xlfn.XLOOKUP(B179,'Base stats'!B:B,'Base stats'!BW:BW),
0.05))</f>
        <v>1.1000000000000001</v>
      </c>
      <c r="W179" s="8">
        <f>MROUND(_xlfn.XLOOKUP(_xlfn.XLOOKUP(B179,'Base stats'!B:B,'Base stats'!E:E),Groups!A:A,Groups!BG:BG)*_xlfn.XLOOKUP(B179,'Base stats'!B:B,'Base stats'!C:C)^-0.165,0.05)</f>
        <v>0.8</v>
      </c>
      <c r="X179" s="1">
        <f>MROUND(_xlfn.XLOOKUP(_xlfn.XLOOKUP(B179,'Base stats'!B:B,'Base stats'!E:E),Groups!A:A,Groups!BH:BH)*_xlfn.XLOOKUP(B179,'Base stats'!B:B,'Base stats'!C:C)^0.165,0.05)</f>
        <v>0.25</v>
      </c>
      <c r="Y179" s="8">
        <f>MROUND(_xlfn.XLOOKUP(_xlfn.XLOOKUP(B179,'Base stats'!B:B,'Base stats'!E:E),Groups!A:A,Groups!BI:BI)*_xlfn.XLOOKUP(B179,'Base stats'!B:B,'Base stats'!C:C)^0.165,0.05)</f>
        <v>0.05</v>
      </c>
      <c r="Z179" s="18">
        <f>MROUND(_xlfn.XLOOKUP(B179,'Base stats'!B:B,'Base stats'!AQ:AQ)*_xlfn.XLOOKUP(_xlfn.XLOOKUP(B179,'Base stats'!B:B,'Base stats'!E:E),Groups!A:A,Groups!H:H)/1000,IF((_xlfn.XLOOKUP(B179,'Base stats'!B:B,'Base stats'!AQ:AQ)*_xlfn.XLOOKUP(_xlfn.XLOOKUP(B179,'Base stats'!B:B,'Base stats'!E:E),Groups!A:A,Groups!H:H)/1000)&gt;1,0.05,0.01))</f>
        <v>0.04</v>
      </c>
      <c r="AA179" s="18">
        <f>MROUND((1/2)*(_xlfn.XLOOKUP(_xlfn.XLOOKUP(B179,'Base stats'!B:B,'Base stats'!E:E),Groups!A:A,Groups!H:H)*_xlfn.XLOOKUP(_xlfn.XLOOKUP(B179,'Base stats'!B:B,'Base stats'!E:E),Groups!A:A,Groups!I:I))*_xlfn.XLOOKUP(B179,'Base stats'!B:B,'Base stats'!AQ:AQ)*0.01,0.05)</f>
        <v>0.15000000000000002</v>
      </c>
      <c r="AB179" s="18">
        <f>MROUND(250*(Animals!AO179+Animals!AP179),25)</f>
        <v>200</v>
      </c>
      <c r="AC179" s="18" t="str">
        <f>_xlfn.XLOOKUP(_xlfn.XLOOKUP(B179,'Base stats'!B:B,'Base stats'!E:E),Groups!A:A,Groups!BJ:BJ)</f>
        <v>QuadrupedLow</v>
      </c>
    </row>
    <row r="180" spans="1:29" ht="16.5" thickTop="1" thickBot="1" x14ac:dyDescent="0.3">
      <c r="A180" s="16" t="str">
        <f>Animals!A180</f>
        <v>Thylacine</v>
      </c>
      <c r="B180" s="6" t="str">
        <f>Animals!B180</f>
        <v>Thylacinus cynocephalus</v>
      </c>
      <c r="C180" s="1" t="str">
        <f>Animals!C180</f>
        <v>&lt;li&gt;AEXP_Thylacine&lt;/li&gt;</v>
      </c>
      <c r="D180" s="47">
        <f>MIN(MIN(6,_xlfn.XLOOKUP(A180,Animals!A:A,Animals!AO:AO))*20,MAX(MROUND(_xlfn.XLOOKUP(B180,'Base stats'!B:B,'Base stats'!BS:BS) * (_xlfn.XLOOKUP(B180,'Base stats'!B:B,'Base stats'!AO:AO)*5%)^0.9 / 21,0.1),0.05))</f>
        <v>0.70000000000000007</v>
      </c>
      <c r="E180" s="11">
        <f>MROUND(_xlfn.XLOOKUP(B180,'Base stats'!B:B,'Base stats'!BG:BG) * 0.01 * 2 + 0.01, 0.05)</f>
        <v>0.5</v>
      </c>
      <c r="F180" s="7">
        <f>MROUND(_xlfn.XLOOKUP(B180,'Base stats'!B:B,'Base stats'!BD:BD)^0.25 / (_xlfn.XLOOKUP(B180,'Base stats'!B:B,'Base stats'!BK:BK) * 10) * 150 + 0.5 + _xlfn.XLOOKUP(B180,'Base stats'!B:B,'Base stats'!BW:BW), 0.05)</f>
        <v>1.6</v>
      </c>
      <c r="G180" s="3" t="str">
        <f>IF(Animals!S180="No","No",
IF(_xlfn.XLOOKUP(B180,'Base stats'!B:B,'Base stats'!U:U)="No",
MAX(MROUND(_xlfn.XLOOKUP(B180,'Base stats'!B:B,'Base stats'!BT:BT) * _xlfn.XLOOKUP(B180,'Base stats'!B:B,'Base stats'!BP:BP)^0.9 / 21 * _xlfn.XLOOKUP(B180,'Base stats'!B:B,'Base stats'!BX:BX),0.1),0.05),
MAX(MROUND(((MIN(10,_xlfn.XLOOKUP(B180,'Base stats'!B:B,'Base stats'!U:U)))^0.4*_xlfn.XLOOKUP(B180,'Base stats'!B:B,'Base stats'!BH:BH)^0.73)^0.6 * _xlfn.XLOOKUP(B180,'Base stats'!B:B,'Base stats'!BX:BX),0.1),0.05)
))</f>
        <v>No</v>
      </c>
      <c r="H180" s="11" t="str">
        <f>IF(G180="No","No",
MROUND(_xlfn.XLOOKUP(B180,'Base stats'!B:B,'Base stats'!BH:BH) * 0.01 * 2 + 0.05, 0.05)
)</f>
        <v>No</v>
      </c>
      <c r="I180" s="11" t="str">
        <f>IF(G180="No","No",IF(_xlfn.XLOOKUP(B180,'Base stats'!B:B,'Base stats'!U:U)="No","No",
MROUND(_xlfn.XLOOKUP(B180,'Base stats'!B:B,'Base stats'!BT:BT)/10000+0.01,0.01)
))</f>
        <v>No</v>
      </c>
      <c r="J180" s="4" t="str">
        <f>IF(G180="No","No",
MROUND(_xlfn.XLOOKUP(B180,'Base stats'!B:B,'Base stats'!BE:BE)^0.25
/((_xlfn.XLOOKUP(B180,'Base stats'!B:B,'Base stats'!BL:BL))*10)*_xlfn.XLOOKUP(_xlfn.XLOOKUP(B180,'Base stats'!B:B,'Base stats'!E:E),Groups!A:A,Groups!Q:Q)*150 + 0.5 + _xlfn.XLOOKUP(B180,'Base stats'!B:B,'Base stats'!BW:BW),
0.05))</f>
        <v>No</v>
      </c>
      <c r="K180" s="3" t="str">
        <f>IF(Animals!X180="No","No",
IF(_xlfn.XLOOKUP(_xlfn.XLOOKUP(B180,'Base stats'!B:B,'Base stats'!E:E),Groups!A:A,Groups!BD:BD)=1,
MAX(MROUND(_xlfn.XLOOKUP(B180,'Base stats'!B:B,'Base stats'!BU:BU) * _xlfn.XLOOKUP(B180,'Base stats'!B:B,'Base stats'!BQ:BQ)^0.9 / 21 *_xlfn.XLOOKUP(B180,'Base stats'!B:B,'Base stats'!BX:BX),0.1),0.05),
MAX(MROUND(((MIN(10,_xlfn.XLOOKUP(B180,'Base stats'!B:B,'Base stats'!W:W)))^0.4*_xlfn.XLOOKUP(B180,'Base stats'!B:B,'Base stats'!BI:BI)^0.73)^0.6 *_xlfn.XLOOKUP(B180,'Base stats'!B:B,'Base stats'!BX:BX),0.1),0.05)
))</f>
        <v>No</v>
      </c>
      <c r="L180" s="11" t="str">
        <f>IF(K180="No","No",
MROUND(_xlfn.XLOOKUP(B180,'Base stats'!B:B,'Base stats'!BI:BI) * 0.01 *2 + 0.05, 0.05)
)</f>
        <v>No</v>
      </c>
      <c r="M180" s="5" t="str">
        <f>IF(K180="No","No",IF(_xlfn.XLOOKUP(_xlfn.XLOOKUP(B180,'Base stats'!B:B,'Base stats'!E:E),Groups!A:A,Groups!BD:BD)=1,"No",
MROUND(_xlfn.XLOOKUP(B180,'Base stats'!B:B,'Base stats'!BU:BU)/10000+0.01,0.01)
))</f>
        <v>No</v>
      </c>
      <c r="N180" s="4" t="str">
        <f>IF(K180="No","No",
MROUND(
  _xlfn.XLOOKUP(B180,'Base stats'!B:B,'Base stats'!BC:BC)^0.25
  / (_xlfn.XLOOKUP(B180,'Base stats'!B:B,'Base stats'!BM:BM) * 10)
  * _xlfn.XLOOKUP(
      _xlfn.XLOOKUP(B180,'Base stats'!B:B,'Base stats'!E:E),
      Groups!A:A,
      Groups!V:V
    ) * 150
  + MIN(12, _xlfn.XLOOKUP(B180,'Base stats'!B:B,'Base stats'!W:W))^(1/IF(_xlfn.XLOOKUP(_xlfn.XLOOKUP(B180,'Base stats'!B:B,'Base stats'!E:E),Groups!A:A,Groups!U:U)=1,100,10)) + 0.5 + _xlfn.XLOOKUP(B180,'Base stats'!B:B,'Base stats'!BW:BW),
0.05))</f>
        <v>No</v>
      </c>
      <c r="O180" s="3">
        <f>IF(Animals!AD180="No","No",
MAX(MROUND((MIN(10,_xlfn.XLOOKUP(B180,'Base stats'!B:B,'Base stats'!V:V)*IF(_xlfn.XLOOKUP(_xlfn.XLOOKUP(B180,'Base stats'!B:B,'Base stats'!E:E),Groups!A:A,Groups!O:O)=0,1,0.33))^0.4*_xlfn.XLOOKUP(B180,'Base stats'!B:B,'Base stats'!BJ:BJ)^0.73)^0.6 *_xlfn.XLOOKUP(B180,'Base stats'!B:B,'Base stats'!BX:BX),0.1),0.05)
)</f>
        <v>8.9</v>
      </c>
      <c r="P180" s="11">
        <f>IF(O180="No","No",
MROUND(_xlfn.XLOOKUP(B180,'Base stats'!B:B,'Base stats'!BJ:BJ) * 0.01 * 2 + 0.05, 0.05)
)</f>
        <v>1.9500000000000002</v>
      </c>
      <c r="Q180" s="5">
        <f>IF(O180="No","No",
MROUND(_xlfn.XLOOKUP(B180,'Base stats'!B:B,'Base stats'!BV:BV)/10000+0.01,0.01)
)</f>
        <v>0.22</v>
      </c>
      <c r="R180" s="4">
        <f>IF(O180="No","No",
MROUND(_xlfn.XLOOKUP(B180,'Base stats'!B:B,'Base stats'!BB:BB)^0.25
/((_xlfn.XLOOKUP(B180,'Base stats'!B:B,'Base stats'!BN:BN))*10)*_xlfn.XLOOKUP(_xlfn.XLOOKUP(B180,'Base stats'!B:B,'Base stats'!E:E),Groups!A:A,Groups!Z:Z)*150 + 0.5 + _xlfn.XLOOKUP(B180,'Base stats'!B:B,'Base stats'!BW:BW),
0.05))</f>
        <v>2.1</v>
      </c>
      <c r="S180" s="3" t="str">
        <f>IF(Animals!AI180="No","No",
IF(_xlfn.XLOOKUP(B180,'Base stats'!B:B,'Base stats'!U:U)="No",
MAX(MROUND(_xlfn.XLOOKUP(B180,'Base stats'!B:B,'Base stats'!BT:BT) * _xlfn.XLOOKUP(B180,'Base stats'!B:B,'Base stats'!BP:BP)^0.9 / 21 * _xlfn.XLOOKUP(B180,'Base stats'!B:B,'Base stats'!BX:BX),0.1),0.05),
MAX(MROUND(((MIN(12,_xlfn.XLOOKUP(B180,'Base stats'!B:B,'Base stats'!U:U)))^0.4*_xlfn.XLOOKUP(B180,'Base stats'!B:B,'Base stats'!BH:BH)^0.73)^0.6 * _xlfn.XLOOKUP(B180,'Base stats'!B:B,'Base stats'!BX:BX),0.1),0.05)
))</f>
        <v>No</v>
      </c>
      <c r="T180" s="11" t="str">
        <f>IF(S180="No","No",
MROUND(_xlfn.XLOOKUP(B180,'Base stats'!B:B,'Base stats'!BH:BH) * 0.01 * 2 + 0.05, 0.05)
)</f>
        <v>No</v>
      </c>
      <c r="U180" s="5" t="str">
        <f>IF(S180="No","No",IF(_xlfn.XLOOKUP(B180,'Base stats'!B:B,'Base stats'!U:U)="No","No",
MROUND(_xlfn.XLOOKUP(B180,'Base stats'!B:B,'Base stats'!BT:BT)/10000+0.01,0.01)
))</f>
        <v>No</v>
      </c>
      <c r="V180" s="4" t="str">
        <f>IF(S180="No","No",
MROUND(_xlfn.XLOOKUP(B180,'Base stats'!B:B,'Base stats'!BF:BF)^0.25
/((_xlfn.XLOOKUP(B180,'Base stats'!B:B,'Base stats'!BO:BO))*10)*_xlfn.XLOOKUP(_xlfn.XLOOKUP(B180,'Base stats'!B:B,'Base stats'!E:E),Groups!A:A,Groups!AE:AE)*150 + 0.5 + _xlfn.XLOOKUP(B180,'Base stats'!B:B,'Base stats'!BW:BW),
0.05))</f>
        <v>No</v>
      </c>
      <c r="W180" s="8">
        <f>MROUND(_xlfn.XLOOKUP(_xlfn.XLOOKUP(B180,'Base stats'!B:B,'Base stats'!E:E),Groups!A:A,Groups!BG:BG)*_xlfn.XLOOKUP(B180,'Base stats'!B:B,'Base stats'!C:C)^-0.165,0.05)</f>
        <v>0.65</v>
      </c>
      <c r="X180" s="1">
        <f>MROUND(_xlfn.XLOOKUP(_xlfn.XLOOKUP(B180,'Base stats'!B:B,'Base stats'!E:E),Groups!A:A,Groups!BH:BH)*_xlfn.XLOOKUP(B180,'Base stats'!B:B,'Base stats'!C:C)^0.165,0.05)</f>
        <v>0.30000000000000004</v>
      </c>
      <c r="Y180" s="8">
        <f>MROUND(_xlfn.XLOOKUP(_xlfn.XLOOKUP(B180,'Base stats'!B:B,'Base stats'!E:E),Groups!A:A,Groups!BI:BI)*_xlfn.XLOOKUP(B180,'Base stats'!B:B,'Base stats'!C:C)^0.165,0.05)</f>
        <v>0.05</v>
      </c>
      <c r="Z180" s="18">
        <f>MROUND(_xlfn.XLOOKUP(B180,'Base stats'!B:B,'Base stats'!AQ:AQ)*_xlfn.XLOOKUP(_xlfn.XLOOKUP(B180,'Base stats'!B:B,'Base stats'!E:E),Groups!A:A,Groups!H:H)/1000,IF((_xlfn.XLOOKUP(B180,'Base stats'!B:B,'Base stats'!AQ:AQ)*_xlfn.XLOOKUP(_xlfn.XLOOKUP(B180,'Base stats'!B:B,'Base stats'!E:E),Groups!A:A,Groups!H:H)/1000)&gt;1,0.05,0.01))</f>
        <v>0.06</v>
      </c>
      <c r="AA180" s="18">
        <f>MROUND((1/2)*(_xlfn.XLOOKUP(_xlfn.XLOOKUP(B180,'Base stats'!B:B,'Base stats'!E:E),Groups!A:A,Groups!H:H)*_xlfn.XLOOKUP(_xlfn.XLOOKUP(B180,'Base stats'!B:B,'Base stats'!E:E),Groups!A:A,Groups!I:I))*_xlfn.XLOOKUP(B180,'Base stats'!B:B,'Base stats'!AQ:AQ)*0.01,0.05)</f>
        <v>0.25</v>
      </c>
      <c r="AB180" s="18">
        <f>MROUND(250*(Animals!AO180+Animals!AP180),25)</f>
        <v>300</v>
      </c>
      <c r="AC180" s="18" t="str">
        <f>_xlfn.XLOOKUP(_xlfn.XLOOKUP(B180,'Base stats'!B:B,'Base stats'!E:E),Groups!A:A,Groups!BJ:BJ)</f>
        <v>Quadruped</v>
      </c>
    </row>
    <row r="181" spans="1:29" ht="16.5" thickTop="1" thickBot="1" x14ac:dyDescent="0.3">
      <c r="A181" s="16" t="str">
        <f>Animals!A181</f>
        <v>AfricanWildDog</v>
      </c>
      <c r="B181" s="6" t="str">
        <f>Animals!B181</f>
        <v>Lycaon pictus</v>
      </c>
      <c r="C181" s="1" t="str">
        <f>Animals!C181</f>
        <v>&lt;li&gt;AEXP_AfricanWildDog&lt;/li&gt;</v>
      </c>
      <c r="D181" s="47">
        <f>MIN(MIN(6,_xlfn.XLOOKUP(A181,Animals!A:A,Animals!AO:AO))*20,MAX(MROUND(_xlfn.XLOOKUP(B181,'Base stats'!B:B,'Base stats'!BS:BS) * (_xlfn.XLOOKUP(B181,'Base stats'!B:B,'Base stats'!AO:AO)*5%)^0.9 / 21,0.1),0.05))</f>
        <v>1</v>
      </c>
      <c r="E181" s="11">
        <f>MROUND(_xlfn.XLOOKUP(B181,'Base stats'!B:B,'Base stats'!BG:BG) * 0.01 * 2 + 0.01, 0.05)</f>
        <v>0.8</v>
      </c>
      <c r="F181" s="7">
        <f>MROUND(_xlfn.XLOOKUP(B181,'Base stats'!B:B,'Base stats'!BD:BD)^0.25 / (_xlfn.XLOOKUP(B181,'Base stats'!B:B,'Base stats'!BK:BK) * 10) * 150 + 0.5 + _xlfn.XLOOKUP(B181,'Base stats'!B:B,'Base stats'!BW:BW), 0.05)</f>
        <v>1.7000000000000002</v>
      </c>
      <c r="G181" s="3" t="str">
        <f>IF(Animals!S181="No","No",
IF(_xlfn.XLOOKUP(B181,'Base stats'!B:B,'Base stats'!U:U)="No",
MAX(MROUND(_xlfn.XLOOKUP(B181,'Base stats'!B:B,'Base stats'!BT:BT) * _xlfn.XLOOKUP(B181,'Base stats'!B:B,'Base stats'!BP:BP)^0.9 / 21 * _xlfn.XLOOKUP(B181,'Base stats'!B:B,'Base stats'!BX:BX),0.1),0.05),
MAX(MROUND(((MIN(10,_xlfn.XLOOKUP(B181,'Base stats'!B:B,'Base stats'!U:U)))^0.4*_xlfn.XLOOKUP(B181,'Base stats'!B:B,'Base stats'!BH:BH)^0.73)^0.6 * _xlfn.XLOOKUP(B181,'Base stats'!B:B,'Base stats'!BX:BX),0.1),0.05)
))</f>
        <v>No</v>
      </c>
      <c r="H181" s="11" t="str">
        <f>IF(G181="No","No",
MROUND(_xlfn.XLOOKUP(B181,'Base stats'!B:B,'Base stats'!BH:BH) * 0.01 * 2 + 0.05, 0.05)
)</f>
        <v>No</v>
      </c>
      <c r="I181" s="11" t="str">
        <f>IF(G181="No","No",IF(_xlfn.XLOOKUP(B181,'Base stats'!B:B,'Base stats'!U:U)="No","No",
MROUND(_xlfn.XLOOKUP(B181,'Base stats'!B:B,'Base stats'!BT:BT)/10000+0.01,0.01)
))</f>
        <v>No</v>
      </c>
      <c r="J181" s="4" t="str">
        <f>IF(G181="No","No",
MROUND(_xlfn.XLOOKUP(B181,'Base stats'!B:B,'Base stats'!BE:BE)^0.25
/((_xlfn.XLOOKUP(B181,'Base stats'!B:B,'Base stats'!BL:BL))*10)*_xlfn.XLOOKUP(_xlfn.XLOOKUP(B181,'Base stats'!B:B,'Base stats'!E:E),Groups!A:A,Groups!Q:Q)*150 + 0.5 + _xlfn.XLOOKUP(B181,'Base stats'!B:B,'Base stats'!BW:BW),
0.05))</f>
        <v>No</v>
      </c>
      <c r="K181" s="3" t="str">
        <f>IF(Animals!X181="No","No",
IF(_xlfn.XLOOKUP(_xlfn.XLOOKUP(B181,'Base stats'!B:B,'Base stats'!E:E),Groups!A:A,Groups!BD:BD)=1,
MAX(MROUND(_xlfn.XLOOKUP(B181,'Base stats'!B:B,'Base stats'!BU:BU) * _xlfn.XLOOKUP(B181,'Base stats'!B:B,'Base stats'!BQ:BQ)^0.9 / 21 *_xlfn.XLOOKUP(B181,'Base stats'!B:B,'Base stats'!BX:BX),0.1),0.05),
MAX(MROUND(((MIN(10,_xlfn.XLOOKUP(B181,'Base stats'!B:B,'Base stats'!W:W)))^0.4*_xlfn.XLOOKUP(B181,'Base stats'!B:B,'Base stats'!BI:BI)^0.73)^0.6 *_xlfn.XLOOKUP(B181,'Base stats'!B:B,'Base stats'!BX:BX),0.1),0.05)
))</f>
        <v>No</v>
      </c>
      <c r="L181" s="11" t="str">
        <f>IF(K181="No","No",
MROUND(_xlfn.XLOOKUP(B181,'Base stats'!B:B,'Base stats'!BI:BI) * 0.01 *2 + 0.05, 0.05)
)</f>
        <v>No</v>
      </c>
      <c r="M181" s="5" t="str">
        <f>IF(K181="No","No",IF(_xlfn.XLOOKUP(_xlfn.XLOOKUP(B181,'Base stats'!B:B,'Base stats'!E:E),Groups!A:A,Groups!BD:BD)=1,"No",
MROUND(_xlfn.XLOOKUP(B181,'Base stats'!B:B,'Base stats'!BU:BU)/10000+0.01,0.01)
))</f>
        <v>No</v>
      </c>
      <c r="N181" s="4" t="str">
        <f>IF(K181="No","No",
MROUND(
  _xlfn.XLOOKUP(B181,'Base stats'!B:B,'Base stats'!BC:BC)^0.25
  / (_xlfn.XLOOKUP(B181,'Base stats'!B:B,'Base stats'!BM:BM) * 10)
  * _xlfn.XLOOKUP(
      _xlfn.XLOOKUP(B181,'Base stats'!B:B,'Base stats'!E:E),
      Groups!A:A,
      Groups!V:V
    ) * 150
  + MIN(12, _xlfn.XLOOKUP(B181,'Base stats'!B:B,'Base stats'!W:W))^(1/IF(_xlfn.XLOOKUP(_xlfn.XLOOKUP(B181,'Base stats'!B:B,'Base stats'!E:E),Groups!A:A,Groups!U:U)=1,100,10)) + 0.5 + _xlfn.XLOOKUP(B181,'Base stats'!B:B,'Base stats'!BW:BW),
0.05))</f>
        <v>No</v>
      </c>
      <c r="O181" s="3">
        <f>IF(Animals!AD181="No","No",
MAX(MROUND((MIN(10,_xlfn.XLOOKUP(B181,'Base stats'!B:B,'Base stats'!V:V)*IF(_xlfn.XLOOKUP(_xlfn.XLOOKUP(B181,'Base stats'!B:B,'Base stats'!E:E),Groups!A:A,Groups!O:O)=0,1,0.33))^0.4*_xlfn.XLOOKUP(B181,'Base stats'!B:B,'Base stats'!BJ:BJ)^0.73)^0.6 *_xlfn.XLOOKUP(B181,'Base stats'!B:B,'Base stats'!BX:BX),0.1),0.05)
)</f>
        <v>11.600000000000001</v>
      </c>
      <c r="P181" s="11">
        <f>IF(O181="No","No",
MROUND(_xlfn.XLOOKUP(B181,'Base stats'!B:B,'Base stats'!BJ:BJ) * 0.01 * 2 + 0.05, 0.05)
)</f>
        <v>3.2</v>
      </c>
      <c r="Q181" s="5">
        <f>IF(O181="No","No",
MROUND(_xlfn.XLOOKUP(B181,'Base stats'!B:B,'Base stats'!BV:BV)/10000+0.01,0.01)
)</f>
        <v>0.28999999999999998</v>
      </c>
      <c r="R181" s="4">
        <f>IF(O181="No","No",
MROUND(_xlfn.XLOOKUP(B181,'Base stats'!B:B,'Base stats'!BB:BB)^0.25
/((_xlfn.XLOOKUP(B181,'Base stats'!B:B,'Base stats'!BN:BN))*10)*_xlfn.XLOOKUP(_xlfn.XLOOKUP(B181,'Base stats'!B:B,'Base stats'!E:E),Groups!A:A,Groups!Z:Z)*150 + 0.5 + _xlfn.XLOOKUP(B181,'Base stats'!B:B,'Base stats'!BW:BW),
0.05))</f>
        <v>2.1</v>
      </c>
      <c r="S181" s="3" t="str">
        <f>IF(Animals!AI181="No","No",
IF(_xlfn.XLOOKUP(B181,'Base stats'!B:B,'Base stats'!U:U)="No",
MAX(MROUND(_xlfn.XLOOKUP(B181,'Base stats'!B:B,'Base stats'!BT:BT) * _xlfn.XLOOKUP(B181,'Base stats'!B:B,'Base stats'!BP:BP)^0.9 / 21 * _xlfn.XLOOKUP(B181,'Base stats'!B:B,'Base stats'!BX:BX),0.1),0.05),
MAX(MROUND(((MIN(12,_xlfn.XLOOKUP(B181,'Base stats'!B:B,'Base stats'!U:U)))^0.4*_xlfn.XLOOKUP(B181,'Base stats'!B:B,'Base stats'!BH:BH)^0.73)^0.6 * _xlfn.XLOOKUP(B181,'Base stats'!B:B,'Base stats'!BX:BX),0.1),0.05)
))</f>
        <v>No</v>
      </c>
      <c r="T181" s="11" t="str">
        <f>IF(S181="No","No",
MROUND(_xlfn.XLOOKUP(B181,'Base stats'!B:B,'Base stats'!BH:BH) * 0.01 * 2 + 0.05, 0.05)
)</f>
        <v>No</v>
      </c>
      <c r="U181" s="5" t="str">
        <f>IF(S181="No","No",IF(_xlfn.XLOOKUP(B181,'Base stats'!B:B,'Base stats'!U:U)="No","No",
MROUND(_xlfn.XLOOKUP(B181,'Base stats'!B:B,'Base stats'!BT:BT)/10000+0.01,0.01)
))</f>
        <v>No</v>
      </c>
      <c r="V181" s="4" t="str">
        <f>IF(S181="No","No",
MROUND(_xlfn.XLOOKUP(B181,'Base stats'!B:B,'Base stats'!BF:BF)^0.25
/((_xlfn.XLOOKUP(B181,'Base stats'!B:B,'Base stats'!BO:BO))*10)*_xlfn.XLOOKUP(_xlfn.XLOOKUP(B181,'Base stats'!B:B,'Base stats'!E:E),Groups!A:A,Groups!AE:AE)*150 + 0.5 + _xlfn.XLOOKUP(B181,'Base stats'!B:B,'Base stats'!BW:BW),
0.05))</f>
        <v>No</v>
      </c>
      <c r="W181" s="8">
        <f>MROUND(_xlfn.XLOOKUP(_xlfn.XLOOKUP(B181,'Base stats'!B:B,'Base stats'!E:E),Groups!A:A,Groups!BG:BG)*_xlfn.XLOOKUP(B181,'Base stats'!B:B,'Base stats'!C:C)^-0.165,0.05)</f>
        <v>0.60000000000000009</v>
      </c>
      <c r="X181" s="1">
        <f>MROUND(_xlfn.XLOOKUP(_xlfn.XLOOKUP(B181,'Base stats'!B:B,'Base stats'!E:E),Groups!A:A,Groups!BH:BH)*_xlfn.XLOOKUP(B181,'Base stats'!B:B,'Base stats'!C:C)^0.165,0.05)</f>
        <v>0.35000000000000003</v>
      </c>
      <c r="Y181" s="8">
        <f>MROUND(_xlfn.XLOOKUP(_xlfn.XLOOKUP(B181,'Base stats'!B:B,'Base stats'!E:E),Groups!A:A,Groups!BI:BI)*_xlfn.XLOOKUP(B181,'Base stats'!B:B,'Base stats'!C:C)^0.165,0.05)</f>
        <v>0.05</v>
      </c>
      <c r="Z181" s="18">
        <f>MROUND(_xlfn.XLOOKUP(B181,'Base stats'!B:B,'Base stats'!AQ:AQ)*_xlfn.XLOOKUP(_xlfn.XLOOKUP(B181,'Base stats'!B:B,'Base stats'!E:E),Groups!A:A,Groups!H:H)/1000,IF((_xlfn.XLOOKUP(B181,'Base stats'!B:B,'Base stats'!AQ:AQ)*_xlfn.XLOOKUP(_xlfn.XLOOKUP(B181,'Base stats'!B:B,'Base stats'!E:E),Groups!A:A,Groups!H:H)/1000)&gt;1,0.05,0.01))</f>
        <v>7.0000000000000007E-2</v>
      </c>
      <c r="AA181" s="18">
        <f>MROUND((1/2)*(_xlfn.XLOOKUP(_xlfn.XLOOKUP(B181,'Base stats'!B:B,'Base stats'!E:E),Groups!A:A,Groups!H:H)*_xlfn.XLOOKUP(_xlfn.XLOOKUP(B181,'Base stats'!B:B,'Base stats'!E:E),Groups!A:A,Groups!I:I))*_xlfn.XLOOKUP(B181,'Base stats'!B:B,'Base stats'!AQ:AQ)*0.01,0.05)</f>
        <v>0.30000000000000004</v>
      </c>
      <c r="AB181" s="18">
        <f>MROUND(250*(Animals!AO181+Animals!AP181),25)</f>
        <v>375</v>
      </c>
      <c r="AC181" s="18" t="str">
        <f>_xlfn.XLOOKUP(_xlfn.XLOOKUP(B181,'Base stats'!B:B,'Base stats'!E:E),Groups!A:A,Groups!BJ:BJ)</f>
        <v>Quadruped</v>
      </c>
    </row>
    <row r="182" spans="1:29" ht="16.5" thickTop="1" thickBot="1" x14ac:dyDescent="0.3">
      <c r="A182" s="16" t="str">
        <f>Animals!A182</f>
        <v>Pangolin</v>
      </c>
      <c r="B182" s="6" t="str">
        <f>Animals!B182</f>
        <v>Manis crassicaudata</v>
      </c>
      <c r="C182" s="1" t="str">
        <f>Animals!C182</f>
        <v>&lt;li&gt;AEXP_Pangolin&lt;/li&gt;</v>
      </c>
      <c r="D182" s="47">
        <f>MIN(MIN(6,_xlfn.XLOOKUP(A182,Animals!A:A,Animals!AO:AO))*20,MAX(MROUND(_xlfn.XLOOKUP(B182,'Base stats'!B:B,'Base stats'!BS:BS) * (_xlfn.XLOOKUP(B182,'Base stats'!B:B,'Base stats'!AO:AO)*5%)^0.9 / 21,0.1),0.05))</f>
        <v>0.5</v>
      </c>
      <c r="E182" s="11">
        <f>MROUND(_xlfn.XLOOKUP(B182,'Base stats'!B:B,'Base stats'!BG:BG) * 0.01 * 2 + 0.01, 0.05)</f>
        <v>0.4</v>
      </c>
      <c r="F182" s="7">
        <f>MROUND(_xlfn.XLOOKUP(B182,'Base stats'!B:B,'Base stats'!BD:BD)^0.25 / (_xlfn.XLOOKUP(B182,'Base stats'!B:B,'Base stats'!BK:BK) * 10) * 150 + 0.5 + _xlfn.XLOOKUP(B182,'Base stats'!B:B,'Base stats'!BW:BW), 0.05)</f>
        <v>1.55</v>
      </c>
      <c r="G182" s="3" t="str">
        <f>IF(Animals!S182="No","No",
IF(_xlfn.XLOOKUP(B182,'Base stats'!B:B,'Base stats'!U:U)="No",
MAX(MROUND(_xlfn.XLOOKUP(B182,'Base stats'!B:B,'Base stats'!BT:BT) * _xlfn.XLOOKUP(B182,'Base stats'!B:B,'Base stats'!BP:BP)^0.9 / 21 * _xlfn.XLOOKUP(B182,'Base stats'!B:B,'Base stats'!BX:BX),0.1),0.05),
MAX(MROUND(((MIN(10,_xlfn.XLOOKUP(B182,'Base stats'!B:B,'Base stats'!U:U)))^0.4*_xlfn.XLOOKUP(B182,'Base stats'!B:B,'Base stats'!BH:BH)^0.73)^0.6 * _xlfn.XLOOKUP(B182,'Base stats'!B:B,'Base stats'!BX:BX),0.1),0.05)
))</f>
        <v>No</v>
      </c>
      <c r="H182" s="11" t="str">
        <f>IF(G182="No","No",
MROUND(_xlfn.XLOOKUP(B182,'Base stats'!B:B,'Base stats'!BH:BH) * 0.01 * 2 + 0.05, 0.05)
)</f>
        <v>No</v>
      </c>
      <c r="I182" s="11" t="str">
        <f>IF(G182="No","No",IF(_xlfn.XLOOKUP(B182,'Base stats'!B:B,'Base stats'!U:U)="No","No",
MROUND(_xlfn.XLOOKUP(B182,'Base stats'!B:B,'Base stats'!BT:BT)/10000+0.01,0.01)
))</f>
        <v>No</v>
      </c>
      <c r="J182" s="4" t="str">
        <f>IF(G182="No","No",
MROUND(_xlfn.XLOOKUP(B182,'Base stats'!B:B,'Base stats'!BE:BE)^0.25
/((_xlfn.XLOOKUP(B182,'Base stats'!B:B,'Base stats'!BL:BL))*10)*_xlfn.XLOOKUP(_xlfn.XLOOKUP(B182,'Base stats'!B:B,'Base stats'!E:E),Groups!A:A,Groups!Q:Q)*150 + 0.5 + _xlfn.XLOOKUP(B182,'Base stats'!B:B,'Base stats'!BW:BW),
0.05))</f>
        <v>No</v>
      </c>
      <c r="K182" s="3" t="str">
        <f>IF(Animals!X182="No","No",
IF(_xlfn.XLOOKUP(_xlfn.XLOOKUP(B182,'Base stats'!B:B,'Base stats'!E:E),Groups!A:A,Groups!BD:BD)=1,
MAX(MROUND(_xlfn.XLOOKUP(B182,'Base stats'!B:B,'Base stats'!BU:BU) * _xlfn.XLOOKUP(B182,'Base stats'!B:B,'Base stats'!BQ:BQ)^0.9 / 21 *_xlfn.XLOOKUP(B182,'Base stats'!B:B,'Base stats'!BX:BX),0.1),0.05),
MAX(MROUND(((MIN(10,_xlfn.XLOOKUP(B182,'Base stats'!B:B,'Base stats'!W:W)))^0.4*_xlfn.XLOOKUP(B182,'Base stats'!B:B,'Base stats'!BI:BI)^0.73)^0.6 *_xlfn.XLOOKUP(B182,'Base stats'!B:B,'Base stats'!BX:BX),0.1),0.05)
))</f>
        <v>No</v>
      </c>
      <c r="L182" s="11" t="str">
        <f>IF(K182="No","No",
MROUND(_xlfn.XLOOKUP(B182,'Base stats'!B:B,'Base stats'!BI:BI) * 0.01 *2 + 0.05, 0.05)
)</f>
        <v>No</v>
      </c>
      <c r="M182" s="5" t="str">
        <f>IF(K182="No","No",IF(_xlfn.XLOOKUP(_xlfn.XLOOKUP(B182,'Base stats'!B:B,'Base stats'!E:E),Groups!A:A,Groups!BD:BD)=1,"No",
MROUND(_xlfn.XLOOKUP(B182,'Base stats'!B:B,'Base stats'!BU:BU)/10000+0.01,0.01)
))</f>
        <v>No</v>
      </c>
      <c r="N182" s="4" t="str">
        <f>IF(K182="No","No",
MROUND(
  _xlfn.XLOOKUP(B182,'Base stats'!B:B,'Base stats'!BC:BC)^0.25
  / (_xlfn.XLOOKUP(B182,'Base stats'!B:B,'Base stats'!BM:BM) * 10)
  * _xlfn.XLOOKUP(
      _xlfn.XLOOKUP(B182,'Base stats'!B:B,'Base stats'!E:E),
      Groups!A:A,
      Groups!V:V
    ) * 150
  + MIN(12, _xlfn.XLOOKUP(B182,'Base stats'!B:B,'Base stats'!W:W))^(1/IF(_xlfn.XLOOKUP(_xlfn.XLOOKUP(B182,'Base stats'!B:B,'Base stats'!E:E),Groups!A:A,Groups!U:U)=1,100,10)) + 0.5 + _xlfn.XLOOKUP(B182,'Base stats'!B:B,'Base stats'!BW:BW),
0.05))</f>
        <v>No</v>
      </c>
      <c r="O182" s="3">
        <f>IF(Animals!AD182="No","No",
MAX(MROUND((MIN(10,_xlfn.XLOOKUP(B182,'Base stats'!B:B,'Base stats'!V:V)*IF(_xlfn.XLOOKUP(_xlfn.XLOOKUP(B182,'Base stats'!B:B,'Base stats'!E:E),Groups!A:A,Groups!O:O)=0,1,0.33))^0.4*_xlfn.XLOOKUP(B182,'Base stats'!B:B,'Base stats'!BJ:BJ)^0.73)^0.6 *_xlfn.XLOOKUP(B182,'Base stats'!B:B,'Base stats'!BX:BX),0.1),0.05)
)</f>
        <v>4.9000000000000004</v>
      </c>
      <c r="P182" s="11">
        <f>IF(O182="No","No",
MROUND(_xlfn.XLOOKUP(B182,'Base stats'!B:B,'Base stats'!BJ:BJ) * 0.01 * 2 + 0.05, 0.05)
)</f>
        <v>0.65</v>
      </c>
      <c r="Q182" s="5">
        <f>IF(O182="No","No",
MROUND(_xlfn.XLOOKUP(B182,'Base stats'!B:B,'Base stats'!BV:BV)/10000+0.01,0.01)
)</f>
        <v>0.08</v>
      </c>
      <c r="R182" s="4">
        <f>IF(O182="No","No",
MROUND(_xlfn.XLOOKUP(B182,'Base stats'!B:B,'Base stats'!BB:BB)^0.25
/((_xlfn.XLOOKUP(B182,'Base stats'!B:B,'Base stats'!BN:BN))*10)*_xlfn.XLOOKUP(_xlfn.XLOOKUP(B182,'Base stats'!B:B,'Base stats'!E:E),Groups!A:A,Groups!Z:Z)*150 + 0.5 + _xlfn.XLOOKUP(B182,'Base stats'!B:B,'Base stats'!BW:BW),
0.05))</f>
        <v>2</v>
      </c>
      <c r="S182" s="3" t="str">
        <f>IF(Animals!AI182="No","No",
IF(_xlfn.XLOOKUP(B182,'Base stats'!B:B,'Base stats'!U:U)="No",
MAX(MROUND(_xlfn.XLOOKUP(B182,'Base stats'!B:B,'Base stats'!BT:BT) * _xlfn.XLOOKUP(B182,'Base stats'!B:B,'Base stats'!BP:BP)^0.9 / 21 * _xlfn.XLOOKUP(B182,'Base stats'!B:B,'Base stats'!BX:BX),0.1),0.05),
MAX(MROUND(((MIN(12,_xlfn.XLOOKUP(B182,'Base stats'!B:B,'Base stats'!U:U)))^0.4*_xlfn.XLOOKUP(B182,'Base stats'!B:B,'Base stats'!BH:BH)^0.73)^0.6 * _xlfn.XLOOKUP(B182,'Base stats'!B:B,'Base stats'!BX:BX),0.1),0.05)
))</f>
        <v>No</v>
      </c>
      <c r="T182" s="11" t="str">
        <f>IF(S182="No","No",
MROUND(_xlfn.XLOOKUP(B182,'Base stats'!B:B,'Base stats'!BH:BH) * 0.01 * 2 + 0.05, 0.05)
)</f>
        <v>No</v>
      </c>
      <c r="U182" s="5" t="str">
        <f>IF(S182="No","No",IF(_xlfn.XLOOKUP(B182,'Base stats'!B:B,'Base stats'!U:U)="No","No",
MROUND(_xlfn.XLOOKUP(B182,'Base stats'!B:B,'Base stats'!BT:BT)/10000+0.01,0.01)
))</f>
        <v>No</v>
      </c>
      <c r="V182" s="4" t="str">
        <f>IF(S182="No","No",
MROUND(_xlfn.XLOOKUP(B182,'Base stats'!B:B,'Base stats'!BF:BF)^0.25
/((_xlfn.XLOOKUP(B182,'Base stats'!B:B,'Base stats'!BO:BO))*10)*_xlfn.XLOOKUP(_xlfn.XLOOKUP(B182,'Base stats'!B:B,'Base stats'!E:E),Groups!A:A,Groups!AE:AE)*150 + 0.5 + _xlfn.XLOOKUP(B182,'Base stats'!B:B,'Base stats'!BW:BW),
0.05))</f>
        <v>No</v>
      </c>
      <c r="W182" s="8">
        <f>MROUND(_xlfn.XLOOKUP(_xlfn.XLOOKUP(B182,'Base stats'!B:B,'Base stats'!E:E),Groups!A:A,Groups!BG:BG)*_xlfn.XLOOKUP(B182,'Base stats'!B:B,'Base stats'!C:C)^-0.165,0.05)</f>
        <v>0.35000000000000003</v>
      </c>
      <c r="X182" s="1">
        <f>MROUND(_xlfn.XLOOKUP(_xlfn.XLOOKUP(B182,'Base stats'!B:B,'Base stats'!E:E),Groups!A:A,Groups!BH:BH)*_xlfn.XLOOKUP(B182,'Base stats'!B:B,'Base stats'!C:C)^0.165,0.05)</f>
        <v>0</v>
      </c>
      <c r="Y182" s="8">
        <f>MROUND(_xlfn.XLOOKUP(_xlfn.XLOOKUP(B182,'Base stats'!B:B,'Base stats'!E:E),Groups!A:A,Groups!BI:BI)*_xlfn.XLOOKUP(B182,'Base stats'!B:B,'Base stats'!C:C)^0.165,0.05)</f>
        <v>0</v>
      </c>
      <c r="Z182" s="18">
        <f>MROUND(_xlfn.XLOOKUP(B182,'Base stats'!B:B,'Base stats'!AQ:AQ)*_xlfn.XLOOKUP(_xlfn.XLOOKUP(B182,'Base stats'!B:B,'Base stats'!E:E),Groups!A:A,Groups!H:H)/1000,IF((_xlfn.XLOOKUP(B182,'Base stats'!B:B,'Base stats'!AQ:AQ)*_xlfn.XLOOKUP(_xlfn.XLOOKUP(B182,'Base stats'!B:B,'Base stats'!E:E),Groups!A:A,Groups!H:H)/1000)&gt;1,0.05,0.01))</f>
        <v>0.64</v>
      </c>
      <c r="AA182" s="18">
        <f>MROUND((1/2)*(_xlfn.XLOOKUP(_xlfn.XLOOKUP(B182,'Base stats'!B:B,'Base stats'!E:E),Groups!A:A,Groups!H:H)*_xlfn.XLOOKUP(_xlfn.XLOOKUP(B182,'Base stats'!B:B,'Base stats'!E:E),Groups!A:A,Groups!I:I))*_xlfn.XLOOKUP(B182,'Base stats'!B:B,'Base stats'!AQ:AQ)*0.01,0.05)</f>
        <v>0.45</v>
      </c>
      <c r="AB182" s="18">
        <f>MROUND(250*(Animals!AO182+Animals!AP182),25)</f>
        <v>225</v>
      </c>
      <c r="AC182" s="18" t="str">
        <f>_xlfn.XLOOKUP(_xlfn.XLOOKUP(B182,'Base stats'!B:B,'Base stats'!E:E),Groups!A:A,Groups!BJ:BJ)</f>
        <v>Quadruped</v>
      </c>
    </row>
    <row r="183" spans="1:29" ht="16.5" thickTop="1" thickBot="1" x14ac:dyDescent="0.3">
      <c r="A183" s="16" t="str">
        <f>Animals!A183</f>
        <v>Panda</v>
      </c>
      <c r="B183" s="6" t="str">
        <f>Animals!B183</f>
        <v>Ailuropoda melanoleuca</v>
      </c>
      <c r="C183" s="1" t="str">
        <f>Animals!C183</f>
        <v>&lt;li&gt;AEXP_Panda&lt;/li&gt;</v>
      </c>
      <c r="D183" s="47">
        <f>MIN(MIN(6,_xlfn.XLOOKUP(A183,Animals!A:A,Animals!AO:AO))*20,MAX(MROUND(_xlfn.XLOOKUP(B183,'Base stats'!B:B,'Base stats'!BS:BS) * (_xlfn.XLOOKUP(B183,'Base stats'!B:B,'Base stats'!AO:AO)*5%)^0.9 / 21,0.1),0.05))</f>
        <v>3.5</v>
      </c>
      <c r="E183" s="11">
        <f>MROUND(_xlfn.XLOOKUP(B183,'Base stats'!B:B,'Base stats'!BG:BG) * 0.01 * 2 + 0.01, 0.05)</f>
        <v>3</v>
      </c>
      <c r="F183" s="7">
        <f>MROUND(_xlfn.XLOOKUP(B183,'Base stats'!B:B,'Base stats'!BD:BD)^0.25 / (_xlfn.XLOOKUP(B183,'Base stats'!B:B,'Base stats'!BK:BK) * 10) * 150 + 0.5 + _xlfn.XLOOKUP(B183,'Base stats'!B:B,'Base stats'!BW:BW), 0.05)</f>
        <v>1.6500000000000001</v>
      </c>
      <c r="G183" s="3" t="str">
        <f>IF(Animals!S183="No","No",
IF(_xlfn.XLOOKUP(B183,'Base stats'!B:B,'Base stats'!U:U)="No",
MAX(MROUND(_xlfn.XLOOKUP(B183,'Base stats'!B:B,'Base stats'!BT:BT) * _xlfn.XLOOKUP(B183,'Base stats'!B:B,'Base stats'!BP:BP)^0.9 / 21 * _xlfn.XLOOKUP(B183,'Base stats'!B:B,'Base stats'!BX:BX),0.1),0.05),
MAX(MROUND(((MIN(10,_xlfn.XLOOKUP(B183,'Base stats'!B:B,'Base stats'!U:U)))^0.4*_xlfn.XLOOKUP(B183,'Base stats'!B:B,'Base stats'!BH:BH)^0.73)^0.6 * _xlfn.XLOOKUP(B183,'Base stats'!B:B,'Base stats'!BX:BX),0.1),0.05)
))</f>
        <v>No</v>
      </c>
      <c r="H183" s="11" t="str">
        <f>IF(G183="No","No",
MROUND(_xlfn.XLOOKUP(B183,'Base stats'!B:B,'Base stats'!BH:BH) * 0.01 * 2 + 0.05, 0.05)
)</f>
        <v>No</v>
      </c>
      <c r="I183" s="11" t="str">
        <f>IF(G183="No","No",IF(_xlfn.XLOOKUP(B183,'Base stats'!B:B,'Base stats'!U:U)="No","No",
MROUND(_xlfn.XLOOKUP(B183,'Base stats'!B:B,'Base stats'!BT:BT)/10000+0.01,0.01)
))</f>
        <v>No</v>
      </c>
      <c r="J183" s="4" t="str">
        <f>IF(G183="No","No",
MROUND(_xlfn.XLOOKUP(B183,'Base stats'!B:B,'Base stats'!BE:BE)^0.25
/((_xlfn.XLOOKUP(B183,'Base stats'!B:B,'Base stats'!BL:BL))*10)*_xlfn.XLOOKUP(_xlfn.XLOOKUP(B183,'Base stats'!B:B,'Base stats'!E:E),Groups!A:A,Groups!Q:Q)*150 + 0.5 + _xlfn.XLOOKUP(B183,'Base stats'!B:B,'Base stats'!BW:BW),
0.05))</f>
        <v>No</v>
      </c>
      <c r="K183" s="3" t="str">
        <f>IF(Animals!X183="No","No",
IF(_xlfn.XLOOKUP(_xlfn.XLOOKUP(B183,'Base stats'!B:B,'Base stats'!E:E),Groups!A:A,Groups!BD:BD)=1,
MAX(MROUND(_xlfn.XLOOKUP(B183,'Base stats'!B:B,'Base stats'!BU:BU) * _xlfn.XLOOKUP(B183,'Base stats'!B:B,'Base stats'!BQ:BQ)^0.9 / 21 *_xlfn.XLOOKUP(B183,'Base stats'!B:B,'Base stats'!BX:BX),0.1),0.05),
MAX(MROUND(((MIN(10,_xlfn.XLOOKUP(B183,'Base stats'!B:B,'Base stats'!W:W)))^0.4*_xlfn.XLOOKUP(B183,'Base stats'!B:B,'Base stats'!BI:BI)^0.73)^0.6 *_xlfn.XLOOKUP(B183,'Base stats'!B:B,'Base stats'!BX:BX),0.1),0.05)
))</f>
        <v>No</v>
      </c>
      <c r="L183" s="11" t="str">
        <f>IF(K183="No","No",
MROUND(_xlfn.XLOOKUP(B183,'Base stats'!B:B,'Base stats'!BI:BI) * 0.01 *2 + 0.05, 0.05)
)</f>
        <v>No</v>
      </c>
      <c r="M183" s="5" t="str">
        <f>IF(K183="No","No",IF(_xlfn.XLOOKUP(_xlfn.XLOOKUP(B183,'Base stats'!B:B,'Base stats'!E:E),Groups!A:A,Groups!BD:BD)=1,"No",
MROUND(_xlfn.XLOOKUP(B183,'Base stats'!B:B,'Base stats'!BU:BU)/10000+0.01,0.01)
))</f>
        <v>No</v>
      </c>
      <c r="N183" s="4" t="str">
        <f>IF(K183="No","No",
MROUND(
  _xlfn.XLOOKUP(B183,'Base stats'!B:B,'Base stats'!BC:BC)^0.25
  / (_xlfn.XLOOKUP(B183,'Base stats'!B:B,'Base stats'!BM:BM) * 10)
  * _xlfn.XLOOKUP(
      _xlfn.XLOOKUP(B183,'Base stats'!B:B,'Base stats'!E:E),
      Groups!A:A,
      Groups!V:V
    ) * 150
  + MIN(12, _xlfn.XLOOKUP(B183,'Base stats'!B:B,'Base stats'!W:W))^(1/IF(_xlfn.XLOOKUP(_xlfn.XLOOKUP(B183,'Base stats'!B:B,'Base stats'!E:E),Groups!A:A,Groups!U:U)=1,100,10)) + 0.5 + _xlfn.XLOOKUP(B183,'Base stats'!B:B,'Base stats'!BW:BW),
0.05))</f>
        <v>No</v>
      </c>
      <c r="O183" s="3">
        <f>IF(Animals!AD183="No","No",
MAX(MROUND((MIN(10,_xlfn.XLOOKUP(B183,'Base stats'!B:B,'Base stats'!V:V)*IF(_xlfn.XLOOKUP(_xlfn.XLOOKUP(B183,'Base stats'!B:B,'Base stats'!E:E),Groups!A:A,Groups!O:O)=0,1,0.33))^0.4*_xlfn.XLOOKUP(B183,'Base stats'!B:B,'Base stats'!BJ:BJ)^0.73)^0.6 *_xlfn.XLOOKUP(B183,'Base stats'!B:B,'Base stats'!BX:BX),0.1),0.05)
)</f>
        <v>17</v>
      </c>
      <c r="P183" s="11">
        <f>IF(O183="No","No",
MROUND(_xlfn.XLOOKUP(B183,'Base stats'!B:B,'Base stats'!BJ:BJ) * 0.01 * 2 + 0.05, 0.05)
)</f>
        <v>5.75</v>
      </c>
      <c r="Q183" s="5">
        <f>IF(O183="No","No",
MROUND(_xlfn.XLOOKUP(B183,'Base stats'!B:B,'Base stats'!BV:BV)/10000+0.01,0.01)
)</f>
        <v>0.28999999999999998</v>
      </c>
      <c r="R183" s="4">
        <f>IF(O183="No","No",
MROUND(_xlfn.XLOOKUP(B183,'Base stats'!B:B,'Base stats'!BB:BB)^0.25
/((_xlfn.XLOOKUP(B183,'Base stats'!B:B,'Base stats'!BN:BN))*10)*_xlfn.XLOOKUP(_xlfn.XLOOKUP(B183,'Base stats'!B:B,'Base stats'!E:E),Groups!A:A,Groups!Z:Z)*150 + 0.5 + _xlfn.XLOOKUP(B183,'Base stats'!B:B,'Base stats'!BW:BW),
0.05))</f>
        <v>2.2000000000000002</v>
      </c>
      <c r="S183" s="3">
        <f>IF(Animals!AI183="No","No",
IF(_xlfn.XLOOKUP(B183,'Base stats'!B:B,'Base stats'!U:U)="No",
MAX(MROUND(_xlfn.XLOOKUP(B183,'Base stats'!B:B,'Base stats'!BT:BT) * _xlfn.XLOOKUP(B183,'Base stats'!B:B,'Base stats'!BP:BP)^0.9 / 21 * _xlfn.XLOOKUP(B183,'Base stats'!B:B,'Base stats'!BX:BX),0.1),0.05),
MAX(MROUND(((MIN(12,_xlfn.XLOOKUP(B183,'Base stats'!B:B,'Base stats'!U:U)))^0.4*_xlfn.XLOOKUP(B183,'Base stats'!B:B,'Base stats'!BH:BH)^0.73)^0.6 * _xlfn.XLOOKUP(B183,'Base stats'!B:B,'Base stats'!BX:BX),0.1),0.05)
))</f>
        <v>14.5</v>
      </c>
      <c r="T183" s="11">
        <f>IF(S183="No","No",
MROUND(_xlfn.XLOOKUP(B183,'Base stats'!B:B,'Base stats'!BH:BH) * 0.01 * 2 + 0.05, 0.05)
)</f>
        <v>3.8000000000000003</v>
      </c>
      <c r="U183" s="5">
        <f>IF(S183="No","No",IF(_xlfn.XLOOKUP(B183,'Base stats'!B:B,'Base stats'!U:U)="No","No",
MROUND(_xlfn.XLOOKUP(B183,'Base stats'!B:B,'Base stats'!BT:BT)/10000+0.01,0.01)
))</f>
        <v>0.19</v>
      </c>
      <c r="V183" s="4">
        <f>IF(S183="No","No",
MROUND(_xlfn.XLOOKUP(B183,'Base stats'!B:B,'Base stats'!BF:BF)^0.25
/((_xlfn.XLOOKUP(B183,'Base stats'!B:B,'Base stats'!BO:BO))*10)*_xlfn.XLOOKUP(_xlfn.XLOOKUP(B183,'Base stats'!B:B,'Base stats'!E:E),Groups!A:A,Groups!AE:AE)*150 + 0.5 + _xlfn.XLOOKUP(B183,'Base stats'!B:B,'Base stats'!BW:BW),
0.05))</f>
        <v>1.5</v>
      </c>
      <c r="W183" s="8">
        <f>MROUND(_xlfn.XLOOKUP(_xlfn.XLOOKUP(B183,'Base stats'!B:B,'Base stats'!E:E),Groups!A:A,Groups!BG:BG)*_xlfn.XLOOKUP(B183,'Base stats'!B:B,'Base stats'!C:C)^-0.165,0.05)</f>
        <v>0.30000000000000004</v>
      </c>
      <c r="X183" s="1">
        <f>MROUND(_xlfn.XLOOKUP(_xlfn.XLOOKUP(B183,'Base stats'!B:B,'Base stats'!E:E),Groups!A:A,Groups!BH:BH)*_xlfn.XLOOKUP(B183,'Base stats'!B:B,'Base stats'!C:C)^0.165,0.05)</f>
        <v>0.35000000000000003</v>
      </c>
      <c r="Y183" s="8">
        <f>MROUND(_xlfn.XLOOKUP(_xlfn.XLOOKUP(B183,'Base stats'!B:B,'Base stats'!E:E),Groups!A:A,Groups!BI:BI)*_xlfn.XLOOKUP(B183,'Base stats'!B:B,'Base stats'!C:C)^0.165,0.05)</f>
        <v>0.05</v>
      </c>
      <c r="Z183" s="18">
        <f>MROUND(_xlfn.XLOOKUP(B183,'Base stats'!B:B,'Base stats'!AQ:AQ)*_xlfn.XLOOKUP(_xlfn.XLOOKUP(B183,'Base stats'!B:B,'Base stats'!E:E),Groups!A:A,Groups!H:H)/1000,IF((_xlfn.XLOOKUP(B183,'Base stats'!B:B,'Base stats'!AQ:AQ)*_xlfn.XLOOKUP(_xlfn.XLOOKUP(B183,'Base stats'!B:B,'Base stats'!E:E),Groups!A:A,Groups!H:H)/1000)&gt;1,0.05,0.01))</f>
        <v>0.11</v>
      </c>
      <c r="AA183" s="18">
        <f>MROUND((1/2)*(_xlfn.XLOOKUP(_xlfn.XLOOKUP(B183,'Base stats'!B:B,'Base stats'!E:E),Groups!A:A,Groups!H:H)*_xlfn.XLOOKUP(_xlfn.XLOOKUP(B183,'Base stats'!B:B,'Base stats'!E:E),Groups!A:A,Groups!I:I))*_xlfn.XLOOKUP(B183,'Base stats'!B:B,'Base stats'!AQ:AQ)*0.01,0.05)</f>
        <v>0.45</v>
      </c>
      <c r="AB183" s="18">
        <f>MROUND(250*(Animals!AO183+Animals!AP183),25)</f>
        <v>725</v>
      </c>
      <c r="AC183" s="18" t="str">
        <f>_xlfn.XLOOKUP(_xlfn.XLOOKUP(B183,'Base stats'!B:B,'Base stats'!E:E),Groups!A:A,Groups!BJ:BJ)</f>
        <v>Quadruped</v>
      </c>
    </row>
    <row r="184" spans="1:29" ht="16.5" thickTop="1" thickBot="1" x14ac:dyDescent="0.3">
      <c r="A184" s="16" t="str">
        <f>Animals!A184</f>
        <v>Quail</v>
      </c>
      <c r="B184" s="6" t="str">
        <f>Animals!B184</f>
        <v>Coturnix coturnix</v>
      </c>
      <c r="C184" s="1" t="str">
        <f>Animals!C184</f>
        <v>&lt;li&gt;VAERoy_Quail&lt;/li&gt;</v>
      </c>
      <c r="D184" s="47">
        <f>MIN(MIN(6,_xlfn.XLOOKUP(A184,Animals!A:A,Animals!AO:AO))*20,MAX(MROUND(_xlfn.XLOOKUP(B184,'Base stats'!B:B,'Base stats'!BS:BS) * (_xlfn.XLOOKUP(B184,'Base stats'!B:B,'Base stats'!AO:AO)*5%)^0.9 / 21,0.1),0.05))</f>
        <v>0.05</v>
      </c>
      <c r="E184" s="11">
        <f>MROUND(_xlfn.XLOOKUP(B184,'Base stats'!B:B,'Base stats'!BG:BG) * 0.01 * 2 + 0.01, 0.05)</f>
        <v>0</v>
      </c>
      <c r="F184" s="7">
        <f>MROUND(_xlfn.XLOOKUP(B184,'Base stats'!B:B,'Base stats'!BD:BD)^0.25 / (_xlfn.XLOOKUP(B184,'Base stats'!B:B,'Base stats'!BK:BK) * 10) * 150 + 0.5 + _xlfn.XLOOKUP(B184,'Base stats'!B:B,'Base stats'!BW:BW), 0.05)</f>
        <v>1.05</v>
      </c>
      <c r="G184" s="3">
        <f>IF(Animals!S184="No","No",
IF(_xlfn.XLOOKUP(B184,'Base stats'!B:B,'Base stats'!U:U)="No",
MAX(MROUND(_xlfn.XLOOKUP(B184,'Base stats'!B:B,'Base stats'!BT:BT) * _xlfn.XLOOKUP(B184,'Base stats'!B:B,'Base stats'!BP:BP)^0.9 / 21 * _xlfn.XLOOKUP(B184,'Base stats'!B:B,'Base stats'!BX:BX),0.1),0.05),
MAX(MROUND(((MIN(10,_xlfn.XLOOKUP(B184,'Base stats'!B:B,'Base stats'!U:U)))^0.4*_xlfn.XLOOKUP(B184,'Base stats'!B:B,'Base stats'!BH:BH)^0.73)^0.6 * _xlfn.XLOOKUP(B184,'Base stats'!B:B,'Base stats'!BX:BX),0.1),0.05)
))</f>
        <v>0.60000000000000009</v>
      </c>
      <c r="H184" s="11">
        <f>IF(G184="No","No",
MROUND(_xlfn.XLOOKUP(B184,'Base stats'!B:B,'Base stats'!BH:BH) * 0.01 * 2 + 0.05, 0.05)
)</f>
        <v>0.05</v>
      </c>
      <c r="I184" s="11">
        <f>IF(G184="No","No",IF(_xlfn.XLOOKUP(B184,'Base stats'!B:B,'Base stats'!U:U)="No","No",
MROUND(_xlfn.XLOOKUP(B184,'Base stats'!B:B,'Base stats'!BT:BT)/10000+0.01,0.01)
))</f>
        <v>0.02</v>
      </c>
      <c r="J184" s="4">
        <f>IF(G184="No","No",
MROUND(_xlfn.XLOOKUP(B184,'Base stats'!B:B,'Base stats'!BE:BE)^0.25
/((_xlfn.XLOOKUP(B184,'Base stats'!B:B,'Base stats'!BL:BL))*10)*_xlfn.XLOOKUP(_xlfn.XLOOKUP(B184,'Base stats'!B:B,'Base stats'!E:E),Groups!A:A,Groups!Q:Q)*150 + 0.5 + _xlfn.XLOOKUP(B184,'Base stats'!B:B,'Base stats'!BW:BW),
0.05))</f>
        <v>1.4500000000000002</v>
      </c>
      <c r="K184" s="3" t="str">
        <f>IF(Animals!X184="No","No",
IF(_xlfn.XLOOKUP(_xlfn.XLOOKUP(B184,'Base stats'!B:B,'Base stats'!E:E),Groups!A:A,Groups!BD:BD)=1,
MAX(MROUND(_xlfn.XLOOKUP(B184,'Base stats'!B:B,'Base stats'!BU:BU) * _xlfn.XLOOKUP(B184,'Base stats'!B:B,'Base stats'!BQ:BQ)^0.9 / 21 *_xlfn.XLOOKUP(B184,'Base stats'!B:B,'Base stats'!BX:BX),0.1),0.05),
MAX(MROUND(((MIN(10,_xlfn.XLOOKUP(B184,'Base stats'!B:B,'Base stats'!W:W)))^0.4*_xlfn.XLOOKUP(B184,'Base stats'!B:B,'Base stats'!BI:BI)^0.73)^0.6 *_xlfn.XLOOKUP(B184,'Base stats'!B:B,'Base stats'!BX:BX),0.1),0.05)
))</f>
        <v>No</v>
      </c>
      <c r="L184" s="11" t="str">
        <f>IF(K184="No","No",
MROUND(_xlfn.XLOOKUP(B184,'Base stats'!B:B,'Base stats'!BI:BI) * 0.01 *2 + 0.05, 0.05)
)</f>
        <v>No</v>
      </c>
      <c r="M184" s="5" t="str">
        <f>IF(K184="No","No",IF(_xlfn.XLOOKUP(_xlfn.XLOOKUP(B184,'Base stats'!B:B,'Base stats'!E:E),Groups!A:A,Groups!BD:BD)=1,"No",
MROUND(_xlfn.XLOOKUP(B184,'Base stats'!B:B,'Base stats'!BU:BU)/10000+0.01,0.01)
))</f>
        <v>No</v>
      </c>
      <c r="N184" s="4" t="str">
        <f>IF(K184="No","No",
MROUND(
  _xlfn.XLOOKUP(B184,'Base stats'!B:B,'Base stats'!BC:BC)^0.25
  / (_xlfn.XLOOKUP(B184,'Base stats'!B:B,'Base stats'!BM:BM) * 10)
  * _xlfn.XLOOKUP(
      _xlfn.XLOOKUP(B184,'Base stats'!B:B,'Base stats'!E:E),
      Groups!A:A,
      Groups!V:V
    ) * 150
  + MIN(12, _xlfn.XLOOKUP(B184,'Base stats'!B:B,'Base stats'!W:W))^(1/IF(_xlfn.XLOOKUP(_xlfn.XLOOKUP(B184,'Base stats'!B:B,'Base stats'!E:E),Groups!A:A,Groups!U:U)=1,100,10)) + 0.5 + _xlfn.XLOOKUP(B184,'Base stats'!B:B,'Base stats'!BW:BW),
0.05))</f>
        <v>No</v>
      </c>
      <c r="O184" s="3">
        <f>IF(Animals!AD184="No","No",
MAX(MROUND((MIN(10,_xlfn.XLOOKUP(B184,'Base stats'!B:B,'Base stats'!V:V)*IF(_xlfn.XLOOKUP(_xlfn.XLOOKUP(B184,'Base stats'!B:B,'Base stats'!E:E),Groups!A:A,Groups!O:O)=0,1,0.33))^0.4*_xlfn.XLOOKUP(B184,'Base stats'!B:B,'Base stats'!BJ:BJ)^0.73)^0.6 *_xlfn.XLOOKUP(B184,'Base stats'!B:B,'Base stats'!BX:BX),0.1),0.05)
)</f>
        <v>0.30000000000000004</v>
      </c>
      <c r="P184" s="11">
        <f>IF(O184="No","No",
MROUND(_xlfn.XLOOKUP(B184,'Base stats'!B:B,'Base stats'!BJ:BJ) * 0.01 * 2 + 0.05, 0.05)
)</f>
        <v>0.05</v>
      </c>
      <c r="Q184" s="5">
        <f>IF(O184="No","No",
MROUND(_xlfn.XLOOKUP(B184,'Base stats'!B:B,'Base stats'!BV:BV)/10000+0.01,0.01)
)</f>
        <v>0.01</v>
      </c>
      <c r="R184" s="4">
        <f>IF(O184="No","No",
MROUND(_xlfn.XLOOKUP(B184,'Base stats'!B:B,'Base stats'!BB:BB)^0.25
/((_xlfn.XLOOKUP(B184,'Base stats'!B:B,'Base stats'!BN:BN))*10)*_xlfn.XLOOKUP(_xlfn.XLOOKUP(B184,'Base stats'!B:B,'Base stats'!E:E),Groups!A:A,Groups!Z:Z)*150 + 0.5 + _xlfn.XLOOKUP(B184,'Base stats'!B:B,'Base stats'!BW:BW),
0.05))</f>
        <v>1.75</v>
      </c>
      <c r="S184" s="3" t="str">
        <f>IF(Animals!AI184="No","No",
IF(_xlfn.XLOOKUP(B184,'Base stats'!B:B,'Base stats'!U:U)="No",
MAX(MROUND(_xlfn.XLOOKUP(B184,'Base stats'!B:B,'Base stats'!BT:BT) * _xlfn.XLOOKUP(B184,'Base stats'!B:B,'Base stats'!BP:BP)^0.9 / 21 * _xlfn.XLOOKUP(B184,'Base stats'!B:B,'Base stats'!BX:BX),0.1),0.05),
MAX(MROUND(((MIN(12,_xlfn.XLOOKUP(B184,'Base stats'!B:B,'Base stats'!U:U)))^0.4*_xlfn.XLOOKUP(B184,'Base stats'!B:B,'Base stats'!BH:BH)^0.73)^0.6 * _xlfn.XLOOKUP(B184,'Base stats'!B:B,'Base stats'!BX:BX),0.1),0.05)
))</f>
        <v>No</v>
      </c>
      <c r="T184" s="11" t="str">
        <f>IF(S184="No","No",
MROUND(_xlfn.XLOOKUP(B184,'Base stats'!B:B,'Base stats'!BH:BH) * 0.01 * 2 + 0.05, 0.05)
)</f>
        <v>No</v>
      </c>
      <c r="U184" s="5" t="str">
        <f>IF(S184="No","No",IF(_xlfn.XLOOKUP(B184,'Base stats'!B:B,'Base stats'!U:U)="No","No",
MROUND(_xlfn.XLOOKUP(B184,'Base stats'!B:B,'Base stats'!BT:BT)/10000+0.01,0.01)
))</f>
        <v>No</v>
      </c>
      <c r="V184" s="4" t="str">
        <f>IF(S184="No","No",
MROUND(_xlfn.XLOOKUP(B184,'Base stats'!B:B,'Base stats'!BF:BF)^0.25
/((_xlfn.XLOOKUP(B184,'Base stats'!B:B,'Base stats'!BO:BO))*10)*_xlfn.XLOOKUP(_xlfn.XLOOKUP(B184,'Base stats'!B:B,'Base stats'!E:E),Groups!A:A,Groups!AE:AE)*150 + 0.5 + _xlfn.XLOOKUP(B184,'Base stats'!B:B,'Base stats'!BW:BW),
0.05))</f>
        <v>No</v>
      </c>
      <c r="W184" s="8">
        <f>MROUND(_xlfn.XLOOKUP(_xlfn.XLOOKUP(B184,'Base stats'!B:B,'Base stats'!E:E),Groups!A:A,Groups!BG:BG)*_xlfn.XLOOKUP(B184,'Base stats'!B:B,'Base stats'!C:C)^-0.165,0.05)</f>
        <v>1.4500000000000002</v>
      </c>
      <c r="X184" s="1">
        <f>MROUND(_xlfn.XLOOKUP(_xlfn.XLOOKUP(B184,'Base stats'!B:B,'Base stats'!E:E),Groups!A:A,Groups!BH:BH)*_xlfn.XLOOKUP(B184,'Base stats'!B:B,'Base stats'!C:C)^0.165,0.05)</f>
        <v>0</v>
      </c>
      <c r="Y184" s="8">
        <f>MROUND(_xlfn.XLOOKUP(_xlfn.XLOOKUP(B184,'Base stats'!B:B,'Base stats'!E:E),Groups!A:A,Groups!BI:BI)*_xlfn.XLOOKUP(B184,'Base stats'!B:B,'Base stats'!C:C)^0.165,0.05)</f>
        <v>0</v>
      </c>
      <c r="Z184" s="18">
        <f>MROUND(_xlfn.XLOOKUP(B184,'Base stats'!B:B,'Base stats'!AQ:AQ)*_xlfn.XLOOKUP(_xlfn.XLOOKUP(B184,'Base stats'!B:B,'Base stats'!E:E),Groups!A:A,Groups!H:H)/1000,IF((_xlfn.XLOOKUP(B184,'Base stats'!B:B,'Base stats'!AQ:AQ)*_xlfn.XLOOKUP(_xlfn.XLOOKUP(B184,'Base stats'!B:B,'Base stats'!E:E),Groups!A:A,Groups!H:H)/1000)&gt;1,0.05,0.01))</f>
        <v>0</v>
      </c>
      <c r="AA184" s="18">
        <f>MROUND((1/2)*(_xlfn.XLOOKUP(_xlfn.XLOOKUP(B184,'Base stats'!B:B,'Base stats'!E:E),Groups!A:A,Groups!H:H)*_xlfn.XLOOKUP(_xlfn.XLOOKUP(B184,'Base stats'!B:B,'Base stats'!E:E),Groups!A:A,Groups!I:I))*_xlfn.XLOOKUP(B184,'Base stats'!B:B,'Base stats'!AQ:AQ)*0.01,0.05)</f>
        <v>0</v>
      </c>
      <c r="AB184" s="18">
        <f>MROUND(250*(Animals!AO184+Animals!AP184),25)</f>
        <v>50</v>
      </c>
      <c r="AC184" s="18" t="str">
        <f>_xlfn.XLOOKUP(_xlfn.XLOOKUP(B184,'Base stats'!B:B,'Base stats'!E:E),Groups!A:A,Groups!BJ:BJ)</f>
        <v>Birdlike</v>
      </c>
    </row>
    <row r="185" spans="1:29" ht="16.5" thickTop="1" thickBot="1" x14ac:dyDescent="0.3">
      <c r="A185" s="16" t="str">
        <f>Animals!A185</f>
        <v>Swan</v>
      </c>
      <c r="B185" s="6" t="str">
        <f>Animals!B185</f>
        <v>Cygnus olor</v>
      </c>
      <c r="C185" s="1" t="str">
        <f>Animals!C185</f>
        <v>&lt;li&gt;VAERoy_Swan&lt;/li&gt;</v>
      </c>
      <c r="D185" s="47">
        <f>MIN(MIN(6,_xlfn.XLOOKUP(A185,Animals!A:A,Animals!AO:AO))*20,MAX(MROUND(_xlfn.XLOOKUP(B185,'Base stats'!B:B,'Base stats'!BS:BS) * (_xlfn.XLOOKUP(B185,'Base stats'!B:B,'Base stats'!AO:AO)*5%)^0.9 / 21,0.1),0.05))</f>
        <v>0.4</v>
      </c>
      <c r="E185" s="11">
        <f>MROUND(_xlfn.XLOOKUP(B185,'Base stats'!B:B,'Base stats'!BG:BG) * 0.01 * 2 + 0.01, 0.05)</f>
        <v>0.30000000000000004</v>
      </c>
      <c r="F185" s="7">
        <f>MROUND(_xlfn.XLOOKUP(B185,'Base stats'!B:B,'Base stats'!BD:BD)^0.25 / (_xlfn.XLOOKUP(B185,'Base stats'!B:B,'Base stats'!BK:BK) * 10) * 150 + 0.5 + _xlfn.XLOOKUP(B185,'Base stats'!B:B,'Base stats'!BW:BW), 0.05)</f>
        <v>1.4500000000000002</v>
      </c>
      <c r="G185" s="3" t="str">
        <f>IF(Animals!S185="No","No",
IF(_xlfn.XLOOKUP(B185,'Base stats'!B:B,'Base stats'!U:U)="No",
MAX(MROUND(_xlfn.XLOOKUP(B185,'Base stats'!B:B,'Base stats'!BT:BT) * _xlfn.XLOOKUP(B185,'Base stats'!B:B,'Base stats'!BP:BP)^0.9 / 21 * _xlfn.XLOOKUP(B185,'Base stats'!B:B,'Base stats'!BX:BX),0.1),0.05),
MAX(MROUND(((MIN(10,_xlfn.XLOOKUP(B185,'Base stats'!B:B,'Base stats'!U:U)))^0.4*_xlfn.XLOOKUP(B185,'Base stats'!B:B,'Base stats'!BH:BH)^0.73)^0.6 * _xlfn.XLOOKUP(B185,'Base stats'!B:B,'Base stats'!BX:BX),0.1),0.05)
))</f>
        <v>No</v>
      </c>
      <c r="H185" s="11" t="str">
        <f>IF(G185="No","No",
MROUND(_xlfn.XLOOKUP(B185,'Base stats'!B:B,'Base stats'!BH:BH) * 0.01 * 2 + 0.05, 0.05)
)</f>
        <v>No</v>
      </c>
      <c r="I185" s="11" t="str">
        <f>IF(G185="No","No",IF(_xlfn.XLOOKUP(B185,'Base stats'!B:B,'Base stats'!U:U)="No","No",
MROUND(_xlfn.XLOOKUP(B185,'Base stats'!B:B,'Base stats'!BT:BT)/10000+0.01,0.01)
))</f>
        <v>No</v>
      </c>
      <c r="J185" s="4" t="str">
        <f>IF(G185="No","No",
MROUND(_xlfn.XLOOKUP(B185,'Base stats'!B:B,'Base stats'!BE:BE)^0.25
/((_xlfn.XLOOKUP(B185,'Base stats'!B:B,'Base stats'!BL:BL))*10)*_xlfn.XLOOKUP(_xlfn.XLOOKUP(B185,'Base stats'!B:B,'Base stats'!E:E),Groups!A:A,Groups!Q:Q)*150 + 0.5 + _xlfn.XLOOKUP(B185,'Base stats'!B:B,'Base stats'!BW:BW),
0.05))</f>
        <v>No</v>
      </c>
      <c r="K185" s="3" t="str">
        <f>IF(Animals!X185="No","No",
IF(_xlfn.XLOOKUP(_xlfn.XLOOKUP(B185,'Base stats'!B:B,'Base stats'!E:E),Groups!A:A,Groups!BD:BD)=1,
MAX(MROUND(_xlfn.XLOOKUP(B185,'Base stats'!B:B,'Base stats'!BU:BU) * _xlfn.XLOOKUP(B185,'Base stats'!B:B,'Base stats'!BQ:BQ)^0.9 / 21 *_xlfn.XLOOKUP(B185,'Base stats'!B:B,'Base stats'!BX:BX),0.1),0.05),
MAX(MROUND(((MIN(10,_xlfn.XLOOKUP(B185,'Base stats'!B:B,'Base stats'!W:W)))^0.4*_xlfn.XLOOKUP(B185,'Base stats'!B:B,'Base stats'!BI:BI)^0.73)^0.6 *_xlfn.XLOOKUP(B185,'Base stats'!B:B,'Base stats'!BX:BX),0.1),0.05)
))</f>
        <v>No</v>
      </c>
      <c r="L185" s="11" t="str">
        <f>IF(K185="No","No",
MROUND(_xlfn.XLOOKUP(B185,'Base stats'!B:B,'Base stats'!BI:BI) * 0.01 *2 + 0.05, 0.05)
)</f>
        <v>No</v>
      </c>
      <c r="M185" s="5" t="str">
        <f>IF(K185="No","No",IF(_xlfn.XLOOKUP(_xlfn.XLOOKUP(B185,'Base stats'!B:B,'Base stats'!E:E),Groups!A:A,Groups!BD:BD)=1,"No",
MROUND(_xlfn.XLOOKUP(B185,'Base stats'!B:B,'Base stats'!BU:BU)/10000+0.01,0.01)
))</f>
        <v>No</v>
      </c>
      <c r="N185" s="4" t="str">
        <f>IF(K185="No","No",
MROUND(
  _xlfn.XLOOKUP(B185,'Base stats'!B:B,'Base stats'!BC:BC)^0.25
  / (_xlfn.XLOOKUP(B185,'Base stats'!B:B,'Base stats'!BM:BM) * 10)
  * _xlfn.XLOOKUP(
      _xlfn.XLOOKUP(B185,'Base stats'!B:B,'Base stats'!E:E),
      Groups!A:A,
      Groups!V:V
    ) * 150
  + MIN(12, _xlfn.XLOOKUP(B185,'Base stats'!B:B,'Base stats'!W:W))^(1/IF(_xlfn.XLOOKUP(_xlfn.XLOOKUP(B185,'Base stats'!B:B,'Base stats'!E:E),Groups!A:A,Groups!U:U)=1,100,10)) + 0.5 + _xlfn.XLOOKUP(B185,'Base stats'!B:B,'Base stats'!BW:BW),
0.05))</f>
        <v>No</v>
      </c>
      <c r="O185" s="3">
        <f>IF(Animals!AD185="No","No",
MAX(MROUND((MIN(10,_xlfn.XLOOKUP(B185,'Base stats'!B:B,'Base stats'!V:V)*IF(_xlfn.XLOOKUP(_xlfn.XLOOKUP(B185,'Base stats'!B:B,'Base stats'!E:E),Groups!A:A,Groups!O:O)=0,1,0.33))^0.4*_xlfn.XLOOKUP(B185,'Base stats'!B:B,'Base stats'!BJ:BJ)^0.73)^0.6 *_xlfn.XLOOKUP(B185,'Base stats'!B:B,'Base stats'!BX:BX),0.1),0.05)
)</f>
        <v>2.1</v>
      </c>
      <c r="P185" s="11">
        <f>IF(O185="No","No",
MROUND(_xlfn.XLOOKUP(B185,'Base stats'!B:B,'Base stats'!BJ:BJ) * 0.01 * 2 + 0.05, 0.05)
)</f>
        <v>0.1</v>
      </c>
      <c r="Q185" s="5">
        <f>IF(O185="No","No",
MROUND(_xlfn.XLOOKUP(B185,'Base stats'!B:B,'Base stats'!BV:BV)/10000+0.01,0.01)
)</f>
        <v>0.02</v>
      </c>
      <c r="R185" s="4">
        <f>IF(O185="No","No",
MROUND(_xlfn.XLOOKUP(B185,'Base stats'!B:B,'Base stats'!BB:BB)^0.25
/((_xlfn.XLOOKUP(B185,'Base stats'!B:B,'Base stats'!BN:BN))*10)*_xlfn.XLOOKUP(_xlfn.XLOOKUP(B185,'Base stats'!B:B,'Base stats'!E:E),Groups!A:A,Groups!Z:Z)*150 + 0.5 + _xlfn.XLOOKUP(B185,'Base stats'!B:B,'Base stats'!BW:BW),
0.05))</f>
        <v>1.8</v>
      </c>
      <c r="S185" s="3" t="str">
        <f>IF(Animals!AI185="No","No",
IF(_xlfn.XLOOKUP(B185,'Base stats'!B:B,'Base stats'!U:U)="No",
MAX(MROUND(_xlfn.XLOOKUP(B185,'Base stats'!B:B,'Base stats'!BT:BT) * _xlfn.XLOOKUP(B185,'Base stats'!B:B,'Base stats'!BP:BP)^0.9 / 21 * _xlfn.XLOOKUP(B185,'Base stats'!B:B,'Base stats'!BX:BX),0.1),0.05),
MAX(MROUND(((MIN(12,_xlfn.XLOOKUP(B185,'Base stats'!B:B,'Base stats'!U:U)))^0.4*_xlfn.XLOOKUP(B185,'Base stats'!B:B,'Base stats'!BH:BH)^0.73)^0.6 * _xlfn.XLOOKUP(B185,'Base stats'!B:B,'Base stats'!BX:BX),0.1),0.05)
))</f>
        <v>No</v>
      </c>
      <c r="T185" s="11" t="str">
        <f>IF(S185="No","No",
MROUND(_xlfn.XLOOKUP(B185,'Base stats'!B:B,'Base stats'!BH:BH) * 0.01 * 2 + 0.05, 0.05)
)</f>
        <v>No</v>
      </c>
      <c r="U185" s="5" t="str">
        <f>IF(S185="No","No",IF(_xlfn.XLOOKUP(B185,'Base stats'!B:B,'Base stats'!U:U)="No","No",
MROUND(_xlfn.XLOOKUP(B185,'Base stats'!B:B,'Base stats'!BT:BT)/10000+0.01,0.01)
))</f>
        <v>No</v>
      </c>
      <c r="V185" s="4" t="str">
        <f>IF(S185="No","No",
MROUND(_xlfn.XLOOKUP(B185,'Base stats'!B:B,'Base stats'!BF:BF)^0.25
/((_xlfn.XLOOKUP(B185,'Base stats'!B:B,'Base stats'!BO:BO))*10)*_xlfn.XLOOKUP(_xlfn.XLOOKUP(B185,'Base stats'!B:B,'Base stats'!E:E),Groups!A:A,Groups!AE:AE)*150 + 0.5 + _xlfn.XLOOKUP(B185,'Base stats'!B:B,'Base stats'!BW:BW),
0.05))</f>
        <v>No</v>
      </c>
      <c r="W185" s="8">
        <f>MROUND(_xlfn.XLOOKUP(_xlfn.XLOOKUP(B185,'Base stats'!B:B,'Base stats'!E:E),Groups!A:A,Groups!BG:BG)*_xlfn.XLOOKUP(B185,'Base stats'!B:B,'Base stats'!C:C)^-0.165,0.05)</f>
        <v>0.70000000000000007</v>
      </c>
      <c r="X185" s="1">
        <f>MROUND(_xlfn.XLOOKUP(_xlfn.XLOOKUP(B185,'Base stats'!B:B,'Base stats'!E:E),Groups!A:A,Groups!BH:BH)*_xlfn.XLOOKUP(B185,'Base stats'!B:B,'Base stats'!C:C)^0.165,0.05)</f>
        <v>0</v>
      </c>
      <c r="Y185" s="8">
        <f>MROUND(_xlfn.XLOOKUP(_xlfn.XLOOKUP(B185,'Base stats'!B:B,'Base stats'!E:E),Groups!A:A,Groups!BI:BI)*_xlfn.XLOOKUP(B185,'Base stats'!B:B,'Base stats'!C:C)^0.165,0.05)</f>
        <v>0</v>
      </c>
      <c r="Z185" s="18">
        <f>MROUND(_xlfn.XLOOKUP(B185,'Base stats'!B:B,'Base stats'!AQ:AQ)*_xlfn.XLOOKUP(_xlfn.XLOOKUP(B185,'Base stats'!B:B,'Base stats'!E:E),Groups!A:A,Groups!H:H)/1000,IF((_xlfn.XLOOKUP(B185,'Base stats'!B:B,'Base stats'!AQ:AQ)*_xlfn.XLOOKUP(_xlfn.XLOOKUP(B185,'Base stats'!B:B,'Base stats'!E:E),Groups!A:A,Groups!H:H)/1000)&gt;1,0.05,0.01))</f>
        <v>0</v>
      </c>
      <c r="AA185" s="18">
        <f>MROUND((1/2)*(_xlfn.XLOOKUP(_xlfn.XLOOKUP(B185,'Base stats'!B:B,'Base stats'!E:E),Groups!A:A,Groups!H:H)*_xlfn.XLOOKUP(_xlfn.XLOOKUP(B185,'Base stats'!B:B,'Base stats'!E:E),Groups!A:A,Groups!I:I))*_xlfn.XLOOKUP(B185,'Base stats'!B:B,'Base stats'!AQ:AQ)*0.01,0.05)</f>
        <v>0</v>
      </c>
      <c r="AB185" s="18">
        <f>MROUND(250*(Animals!AO185+Animals!AP185),25)</f>
        <v>200</v>
      </c>
      <c r="AC185" s="18" t="str">
        <f>_xlfn.XLOOKUP(_xlfn.XLOOKUP(B185,'Base stats'!B:B,'Base stats'!E:E),Groups!A:A,Groups!BJ:BJ)</f>
        <v>Birdlike</v>
      </c>
    </row>
    <row r="186" spans="1:29" ht="16.5" thickTop="1" thickBot="1" x14ac:dyDescent="0.3">
      <c r="A186" s="16" t="str">
        <f>Animals!A186</f>
        <v>Peacock</v>
      </c>
      <c r="B186" s="6" t="str">
        <f>Animals!B186</f>
        <v>Pavo cristatus</v>
      </c>
      <c r="C186" s="1" t="str">
        <f>Animals!C186</f>
        <v>&lt;li&gt;VAERoy_Peacock&lt;/li&gt;</v>
      </c>
      <c r="D186" s="47">
        <f>MIN(MIN(6,_xlfn.XLOOKUP(A186,Animals!A:A,Animals!AO:AO))*20,MAX(MROUND(_xlfn.XLOOKUP(B186,'Base stats'!B:B,'Base stats'!BS:BS) * (_xlfn.XLOOKUP(B186,'Base stats'!B:B,'Base stats'!AO:AO)*5%)^0.9 / 21,0.1),0.05))</f>
        <v>0.2</v>
      </c>
      <c r="E186" s="11">
        <f>MROUND(_xlfn.XLOOKUP(B186,'Base stats'!B:B,'Base stats'!BG:BG) * 0.01 * 2 + 0.01, 0.05)</f>
        <v>0.15000000000000002</v>
      </c>
      <c r="F186" s="7">
        <f>MROUND(_xlfn.XLOOKUP(B186,'Base stats'!B:B,'Base stats'!BD:BD)^0.25 / (_xlfn.XLOOKUP(B186,'Base stats'!B:B,'Base stats'!BK:BK) * 10) * 150 + 0.5 + _xlfn.XLOOKUP(B186,'Base stats'!B:B,'Base stats'!BW:BW), 0.05)</f>
        <v>1.3</v>
      </c>
      <c r="G186" s="3">
        <f>IF(Animals!S186="No","No",
IF(_xlfn.XLOOKUP(B186,'Base stats'!B:B,'Base stats'!U:U)="No",
MAX(MROUND(_xlfn.XLOOKUP(B186,'Base stats'!B:B,'Base stats'!BT:BT) * _xlfn.XLOOKUP(B186,'Base stats'!B:B,'Base stats'!BP:BP)^0.9 / 21 * _xlfn.XLOOKUP(B186,'Base stats'!B:B,'Base stats'!BX:BX),0.1),0.05),
MAX(MROUND(((MIN(10,_xlfn.XLOOKUP(B186,'Base stats'!B:B,'Base stats'!U:U)))^0.4*_xlfn.XLOOKUP(B186,'Base stats'!B:B,'Base stats'!BH:BH)^0.73)^0.6 * _xlfn.XLOOKUP(B186,'Base stats'!B:B,'Base stats'!BX:BX),0.1),0.05)
))</f>
        <v>3.3000000000000003</v>
      </c>
      <c r="H186" s="11">
        <f>IF(G186="No","No",
MROUND(_xlfn.XLOOKUP(B186,'Base stats'!B:B,'Base stats'!BH:BH) * 0.01 * 2 + 0.05, 0.05)
)</f>
        <v>0.25</v>
      </c>
      <c r="I186" s="11">
        <f>IF(G186="No","No",IF(_xlfn.XLOOKUP(B186,'Base stats'!B:B,'Base stats'!U:U)="No","No",
MROUND(_xlfn.XLOOKUP(B186,'Base stats'!B:B,'Base stats'!BT:BT)/10000+0.01,0.01)
))</f>
        <v>0.05</v>
      </c>
      <c r="J186" s="4">
        <f>IF(G186="No","No",
MROUND(_xlfn.XLOOKUP(B186,'Base stats'!B:B,'Base stats'!BE:BE)^0.25
/((_xlfn.XLOOKUP(B186,'Base stats'!B:B,'Base stats'!BL:BL))*10)*_xlfn.XLOOKUP(_xlfn.XLOOKUP(B186,'Base stats'!B:B,'Base stats'!E:E),Groups!A:A,Groups!Q:Q)*150 + 0.5 + _xlfn.XLOOKUP(B186,'Base stats'!B:B,'Base stats'!BW:BW),
0.05))</f>
        <v>2.15</v>
      </c>
      <c r="K186" s="3" t="str">
        <f>IF(Animals!X186="No","No",
IF(_xlfn.XLOOKUP(_xlfn.XLOOKUP(B186,'Base stats'!B:B,'Base stats'!E:E),Groups!A:A,Groups!BD:BD)=1,
MAX(MROUND(_xlfn.XLOOKUP(B186,'Base stats'!B:B,'Base stats'!BU:BU) * _xlfn.XLOOKUP(B186,'Base stats'!B:B,'Base stats'!BQ:BQ)^0.9 / 21 *_xlfn.XLOOKUP(B186,'Base stats'!B:B,'Base stats'!BX:BX),0.1),0.05),
MAX(MROUND(((MIN(10,_xlfn.XLOOKUP(B186,'Base stats'!B:B,'Base stats'!W:W)))^0.4*_xlfn.XLOOKUP(B186,'Base stats'!B:B,'Base stats'!BI:BI)^0.73)^0.6 *_xlfn.XLOOKUP(B186,'Base stats'!B:B,'Base stats'!BX:BX),0.1),0.05)
))</f>
        <v>No</v>
      </c>
      <c r="L186" s="11" t="str">
        <f>IF(K186="No","No",
MROUND(_xlfn.XLOOKUP(B186,'Base stats'!B:B,'Base stats'!BI:BI) * 0.01 *2 + 0.05, 0.05)
)</f>
        <v>No</v>
      </c>
      <c r="M186" s="5" t="str">
        <f>IF(K186="No","No",IF(_xlfn.XLOOKUP(_xlfn.XLOOKUP(B186,'Base stats'!B:B,'Base stats'!E:E),Groups!A:A,Groups!BD:BD)=1,"No",
MROUND(_xlfn.XLOOKUP(B186,'Base stats'!B:B,'Base stats'!BU:BU)/10000+0.01,0.01)
))</f>
        <v>No</v>
      </c>
      <c r="N186" s="4" t="str">
        <f>IF(K186="No","No",
MROUND(
  _xlfn.XLOOKUP(B186,'Base stats'!B:B,'Base stats'!BC:BC)^0.25
  / (_xlfn.XLOOKUP(B186,'Base stats'!B:B,'Base stats'!BM:BM) * 10)
  * _xlfn.XLOOKUP(
      _xlfn.XLOOKUP(B186,'Base stats'!B:B,'Base stats'!E:E),
      Groups!A:A,
      Groups!V:V
    ) * 150
  + MIN(12, _xlfn.XLOOKUP(B186,'Base stats'!B:B,'Base stats'!W:W))^(1/IF(_xlfn.XLOOKUP(_xlfn.XLOOKUP(B186,'Base stats'!B:B,'Base stats'!E:E),Groups!A:A,Groups!U:U)=1,100,10)) + 0.5 + _xlfn.XLOOKUP(B186,'Base stats'!B:B,'Base stats'!BW:BW),
0.05))</f>
        <v>No</v>
      </c>
      <c r="O186" s="3">
        <f>IF(Animals!AD186="No","No",
MAX(MROUND((MIN(10,_xlfn.XLOOKUP(B186,'Base stats'!B:B,'Base stats'!V:V)*IF(_xlfn.XLOOKUP(_xlfn.XLOOKUP(B186,'Base stats'!B:B,'Base stats'!E:E),Groups!A:A,Groups!O:O)=0,1,0.33))^0.4*_xlfn.XLOOKUP(B186,'Base stats'!B:B,'Base stats'!BJ:BJ)^0.73)^0.6 *_xlfn.XLOOKUP(B186,'Base stats'!B:B,'Base stats'!BX:BX),0.1),0.05)
)</f>
        <v>1.1000000000000001</v>
      </c>
      <c r="P186" s="11">
        <f>IF(O186="No","No",
MROUND(_xlfn.XLOOKUP(B186,'Base stats'!B:B,'Base stats'!BJ:BJ) * 0.01 * 2 + 0.05, 0.05)
)</f>
        <v>0.1</v>
      </c>
      <c r="Q186" s="5">
        <f>IF(O186="No","No",
MROUND(_xlfn.XLOOKUP(B186,'Base stats'!B:B,'Base stats'!BV:BV)/10000+0.01,0.01)
)</f>
        <v>0.02</v>
      </c>
      <c r="R186" s="4">
        <f>IF(O186="No","No",
MROUND(_xlfn.XLOOKUP(B186,'Base stats'!B:B,'Base stats'!BB:BB)^0.25
/((_xlfn.XLOOKUP(B186,'Base stats'!B:B,'Base stats'!BN:BN))*10)*_xlfn.XLOOKUP(_xlfn.XLOOKUP(B186,'Base stats'!B:B,'Base stats'!E:E),Groups!A:A,Groups!Z:Z)*150 + 0.5 + _xlfn.XLOOKUP(B186,'Base stats'!B:B,'Base stats'!BW:BW),
0.05))</f>
        <v>2.25</v>
      </c>
      <c r="S186" s="3" t="str">
        <f>IF(Animals!AI186="No","No",
IF(_xlfn.XLOOKUP(B186,'Base stats'!B:B,'Base stats'!U:U)="No",
MAX(MROUND(_xlfn.XLOOKUP(B186,'Base stats'!B:B,'Base stats'!BT:BT) * _xlfn.XLOOKUP(B186,'Base stats'!B:B,'Base stats'!BP:BP)^0.9 / 21 * _xlfn.XLOOKUP(B186,'Base stats'!B:B,'Base stats'!BX:BX),0.1),0.05),
MAX(MROUND(((MIN(12,_xlfn.XLOOKUP(B186,'Base stats'!B:B,'Base stats'!U:U)))^0.4*_xlfn.XLOOKUP(B186,'Base stats'!B:B,'Base stats'!BH:BH)^0.73)^0.6 * _xlfn.XLOOKUP(B186,'Base stats'!B:B,'Base stats'!BX:BX),0.1),0.05)
))</f>
        <v>No</v>
      </c>
      <c r="T186" s="11" t="str">
        <f>IF(S186="No","No",
MROUND(_xlfn.XLOOKUP(B186,'Base stats'!B:B,'Base stats'!BH:BH) * 0.01 * 2 + 0.05, 0.05)
)</f>
        <v>No</v>
      </c>
      <c r="U186" s="5" t="str">
        <f>IF(S186="No","No",IF(_xlfn.XLOOKUP(B186,'Base stats'!B:B,'Base stats'!U:U)="No","No",
MROUND(_xlfn.XLOOKUP(B186,'Base stats'!B:B,'Base stats'!BT:BT)/10000+0.01,0.01)
))</f>
        <v>No</v>
      </c>
      <c r="V186" s="4" t="str">
        <f>IF(S186="No","No",
MROUND(_xlfn.XLOOKUP(B186,'Base stats'!B:B,'Base stats'!BF:BF)^0.25
/((_xlfn.XLOOKUP(B186,'Base stats'!B:B,'Base stats'!BO:BO))*10)*_xlfn.XLOOKUP(_xlfn.XLOOKUP(B186,'Base stats'!B:B,'Base stats'!E:E),Groups!A:A,Groups!AE:AE)*150 + 0.5 + _xlfn.XLOOKUP(B186,'Base stats'!B:B,'Base stats'!BW:BW),
0.05))</f>
        <v>No</v>
      </c>
      <c r="W186" s="8">
        <f>MROUND(_xlfn.XLOOKUP(_xlfn.XLOOKUP(B186,'Base stats'!B:B,'Base stats'!E:E),Groups!A:A,Groups!BG:BG)*_xlfn.XLOOKUP(B186,'Base stats'!B:B,'Base stats'!C:C)^-0.165,0.05)</f>
        <v>0.8</v>
      </c>
      <c r="X186" s="1">
        <f>MROUND(_xlfn.XLOOKUP(_xlfn.XLOOKUP(B186,'Base stats'!B:B,'Base stats'!E:E),Groups!A:A,Groups!BH:BH)*_xlfn.XLOOKUP(B186,'Base stats'!B:B,'Base stats'!C:C)^0.165,0.05)</f>
        <v>0</v>
      </c>
      <c r="Y186" s="8">
        <f>MROUND(_xlfn.XLOOKUP(_xlfn.XLOOKUP(B186,'Base stats'!B:B,'Base stats'!E:E),Groups!A:A,Groups!BI:BI)*_xlfn.XLOOKUP(B186,'Base stats'!B:B,'Base stats'!C:C)^0.165,0.05)</f>
        <v>0</v>
      </c>
      <c r="Z186" s="18">
        <f>MROUND(_xlfn.XLOOKUP(B186,'Base stats'!B:B,'Base stats'!AQ:AQ)*_xlfn.XLOOKUP(_xlfn.XLOOKUP(B186,'Base stats'!B:B,'Base stats'!E:E),Groups!A:A,Groups!H:H)/1000,IF((_xlfn.XLOOKUP(B186,'Base stats'!B:B,'Base stats'!AQ:AQ)*_xlfn.XLOOKUP(_xlfn.XLOOKUP(B186,'Base stats'!B:B,'Base stats'!E:E),Groups!A:A,Groups!H:H)/1000)&gt;1,0.05,0.01))</f>
        <v>0</v>
      </c>
      <c r="AA186" s="18">
        <f>MROUND((1/2)*(_xlfn.XLOOKUP(_xlfn.XLOOKUP(B186,'Base stats'!B:B,'Base stats'!E:E),Groups!A:A,Groups!H:H)*_xlfn.XLOOKUP(_xlfn.XLOOKUP(B186,'Base stats'!B:B,'Base stats'!E:E),Groups!A:A,Groups!I:I))*_xlfn.XLOOKUP(B186,'Base stats'!B:B,'Base stats'!AQ:AQ)*0.01,0.05)</f>
        <v>0</v>
      </c>
      <c r="AB186" s="18">
        <f>MROUND(250*(Animals!AO186+Animals!AP186),25)</f>
        <v>150</v>
      </c>
      <c r="AC186" s="18" t="str">
        <f>_xlfn.XLOOKUP(_xlfn.XLOOKUP(B186,'Base stats'!B:B,'Base stats'!E:E),Groups!A:A,Groups!BJ:BJ)</f>
        <v>Birdlike</v>
      </c>
    </row>
    <row r="187" spans="1:29" ht="16.5" thickTop="1" thickBot="1" x14ac:dyDescent="0.3">
      <c r="A187" s="16" t="str">
        <f>Animals!A187</f>
        <v>Tiger</v>
      </c>
      <c r="B187" s="6" t="str">
        <f>Animals!B187</f>
        <v>Panthera tigris</v>
      </c>
      <c r="C187" s="1" t="str">
        <f>Animals!C187</f>
        <v>&lt;li&gt;AEXP_Tiger&lt;/li&gt;</v>
      </c>
      <c r="D187" s="47">
        <f>MIN(MIN(6,_xlfn.XLOOKUP(A187,Animals!A:A,Animals!AO:AO))*20,MAX(MROUND(_xlfn.XLOOKUP(B187,'Base stats'!B:B,'Base stats'!BS:BS) * (_xlfn.XLOOKUP(B187,'Base stats'!B:B,'Base stats'!AO:AO)*5%)^0.9 / 21,0.1),0.05))</f>
        <v>5</v>
      </c>
      <c r="E187" s="11">
        <f>MROUND(_xlfn.XLOOKUP(B187,'Base stats'!B:B,'Base stats'!BG:BG) * 0.01 * 2 + 0.01, 0.05)</f>
        <v>4.45</v>
      </c>
      <c r="F187" s="7">
        <f>MROUND(_xlfn.XLOOKUP(B187,'Base stats'!B:B,'Base stats'!BD:BD)^0.25 / (_xlfn.XLOOKUP(B187,'Base stats'!B:B,'Base stats'!BK:BK) * 10) * 150 + 0.5 + _xlfn.XLOOKUP(B187,'Base stats'!B:B,'Base stats'!BW:BW), 0.05)</f>
        <v>2.15</v>
      </c>
      <c r="G187" s="3" t="str">
        <f>IF(Animals!S187="No","No",
IF(_xlfn.XLOOKUP(B187,'Base stats'!B:B,'Base stats'!U:U)="No",
MAX(MROUND(_xlfn.XLOOKUP(B187,'Base stats'!B:B,'Base stats'!BT:BT) * _xlfn.XLOOKUP(B187,'Base stats'!B:B,'Base stats'!BP:BP)^0.9 / 21 * _xlfn.XLOOKUP(B187,'Base stats'!B:B,'Base stats'!BX:BX),0.1),0.05),
MAX(MROUND(((MIN(10,_xlfn.XLOOKUP(B187,'Base stats'!B:B,'Base stats'!U:U)))^0.4*_xlfn.XLOOKUP(B187,'Base stats'!B:B,'Base stats'!BH:BH)^0.73)^0.6 * _xlfn.XLOOKUP(B187,'Base stats'!B:B,'Base stats'!BX:BX),0.1),0.05)
))</f>
        <v>No</v>
      </c>
      <c r="H187" s="11" t="str">
        <f>IF(G187="No","No",
MROUND(_xlfn.XLOOKUP(B187,'Base stats'!B:B,'Base stats'!BH:BH) * 0.01 * 2 + 0.05, 0.05)
)</f>
        <v>No</v>
      </c>
      <c r="I187" s="11" t="str">
        <f>IF(G187="No","No",IF(_xlfn.XLOOKUP(B187,'Base stats'!B:B,'Base stats'!U:U)="No","No",
MROUND(_xlfn.XLOOKUP(B187,'Base stats'!B:B,'Base stats'!BT:BT)/10000+0.01,0.01)
))</f>
        <v>No</v>
      </c>
      <c r="J187" s="4" t="str">
        <f>IF(G187="No","No",
MROUND(_xlfn.XLOOKUP(B187,'Base stats'!B:B,'Base stats'!BE:BE)^0.25
/((_xlfn.XLOOKUP(B187,'Base stats'!B:B,'Base stats'!BL:BL))*10)*_xlfn.XLOOKUP(_xlfn.XLOOKUP(B187,'Base stats'!B:B,'Base stats'!E:E),Groups!A:A,Groups!Q:Q)*150 + 0.5 + _xlfn.XLOOKUP(B187,'Base stats'!B:B,'Base stats'!BW:BW),
0.05))</f>
        <v>No</v>
      </c>
      <c r="K187" s="3" t="str">
        <f>IF(Animals!X187="No","No",
IF(_xlfn.XLOOKUP(_xlfn.XLOOKUP(B187,'Base stats'!B:B,'Base stats'!E:E),Groups!A:A,Groups!BD:BD)=1,
MAX(MROUND(_xlfn.XLOOKUP(B187,'Base stats'!B:B,'Base stats'!BU:BU) * _xlfn.XLOOKUP(B187,'Base stats'!B:B,'Base stats'!BQ:BQ)^0.9 / 21 *_xlfn.XLOOKUP(B187,'Base stats'!B:B,'Base stats'!BX:BX),0.1),0.05),
MAX(MROUND(((MIN(10,_xlfn.XLOOKUP(B187,'Base stats'!B:B,'Base stats'!W:W)))^0.4*_xlfn.XLOOKUP(B187,'Base stats'!B:B,'Base stats'!BI:BI)^0.73)^0.6 *_xlfn.XLOOKUP(B187,'Base stats'!B:B,'Base stats'!BX:BX),0.1),0.05)
))</f>
        <v>No</v>
      </c>
      <c r="L187" s="11" t="str">
        <f>IF(K187="No","No",
MROUND(_xlfn.XLOOKUP(B187,'Base stats'!B:B,'Base stats'!BI:BI) * 0.01 *2 + 0.05, 0.05)
)</f>
        <v>No</v>
      </c>
      <c r="M187" s="5" t="str">
        <f>IF(K187="No","No",IF(_xlfn.XLOOKUP(_xlfn.XLOOKUP(B187,'Base stats'!B:B,'Base stats'!E:E),Groups!A:A,Groups!BD:BD)=1,"No",
MROUND(_xlfn.XLOOKUP(B187,'Base stats'!B:B,'Base stats'!BU:BU)/10000+0.01,0.01)
))</f>
        <v>No</v>
      </c>
      <c r="N187" s="4" t="str">
        <f>IF(K187="No","No",
MROUND(
  _xlfn.XLOOKUP(B187,'Base stats'!B:B,'Base stats'!BC:BC)^0.25
  / (_xlfn.XLOOKUP(B187,'Base stats'!B:B,'Base stats'!BM:BM) * 10)
  * _xlfn.XLOOKUP(
      _xlfn.XLOOKUP(B187,'Base stats'!B:B,'Base stats'!E:E),
      Groups!A:A,
      Groups!V:V
    ) * 150
  + MIN(12, _xlfn.XLOOKUP(B187,'Base stats'!B:B,'Base stats'!W:W))^(1/IF(_xlfn.XLOOKUP(_xlfn.XLOOKUP(B187,'Base stats'!B:B,'Base stats'!E:E),Groups!A:A,Groups!U:U)=1,100,10)) + 0.5 + _xlfn.XLOOKUP(B187,'Base stats'!B:B,'Base stats'!BW:BW),
0.05))</f>
        <v>No</v>
      </c>
      <c r="O187" s="3">
        <f>IF(Animals!AD187="No","No",
MAX(MROUND((MIN(10,_xlfn.XLOOKUP(B187,'Base stats'!B:B,'Base stats'!V:V)*IF(_xlfn.XLOOKUP(_xlfn.XLOOKUP(B187,'Base stats'!B:B,'Base stats'!E:E),Groups!A:A,Groups!O:O)=0,1,0.33))^0.4*_xlfn.XLOOKUP(B187,'Base stats'!B:B,'Base stats'!BJ:BJ)^0.73)^0.6 *_xlfn.XLOOKUP(B187,'Base stats'!B:B,'Base stats'!BX:BX),0.1),0.05)
)</f>
        <v>27.1</v>
      </c>
      <c r="P187" s="11">
        <f>IF(O187="No","No",
MROUND(_xlfn.XLOOKUP(B187,'Base stats'!B:B,'Base stats'!BJ:BJ) * 0.01 * 2 + 0.05, 0.05)
)</f>
        <v>13.4</v>
      </c>
      <c r="Q187" s="5">
        <f>IF(O187="No","No",
MROUND(_xlfn.XLOOKUP(B187,'Base stats'!B:B,'Base stats'!BV:BV)/10000+0.01,0.01)
)</f>
        <v>0.56000000000000005</v>
      </c>
      <c r="R187" s="4">
        <f>IF(O187="No","No",
MROUND(_xlfn.XLOOKUP(B187,'Base stats'!B:B,'Base stats'!BB:BB)^0.25
/((_xlfn.XLOOKUP(B187,'Base stats'!B:B,'Base stats'!BN:BN))*10)*_xlfn.XLOOKUP(_xlfn.XLOOKUP(B187,'Base stats'!B:B,'Base stats'!E:E),Groups!A:A,Groups!Z:Z)*150 + 0.5 + _xlfn.XLOOKUP(B187,'Base stats'!B:B,'Base stats'!BW:BW),
0.05))</f>
        <v>2</v>
      </c>
      <c r="S187" s="3">
        <f>IF(Animals!AI187="No","No",
IF(_xlfn.XLOOKUP(B187,'Base stats'!B:B,'Base stats'!U:U)="No",
MAX(MROUND(_xlfn.XLOOKUP(B187,'Base stats'!B:B,'Base stats'!BT:BT) * _xlfn.XLOOKUP(B187,'Base stats'!B:B,'Base stats'!BP:BP)^0.9 / 21 * _xlfn.XLOOKUP(B187,'Base stats'!B:B,'Base stats'!BX:BX),0.1),0.05),
MAX(MROUND(((MIN(12,_xlfn.XLOOKUP(B187,'Base stats'!B:B,'Base stats'!U:U)))^0.4*_xlfn.XLOOKUP(B187,'Base stats'!B:B,'Base stats'!BH:BH)^0.73)^0.6 * _xlfn.XLOOKUP(B187,'Base stats'!B:B,'Base stats'!BX:BX),0.1),0.05)
))</f>
        <v>19.200000000000003</v>
      </c>
      <c r="T187" s="11">
        <f>IF(S187="No","No",
MROUND(_xlfn.XLOOKUP(B187,'Base stats'!B:B,'Base stats'!BH:BH) * 0.01 * 2 + 0.05, 0.05)
)</f>
        <v>5.45</v>
      </c>
      <c r="U187" s="5">
        <f>IF(S187="No","No",IF(_xlfn.XLOOKUP(B187,'Base stats'!B:B,'Base stats'!U:U)="No","No",
MROUND(_xlfn.XLOOKUP(B187,'Base stats'!B:B,'Base stats'!BT:BT)/10000+0.01,0.01)
))</f>
        <v>0.23</v>
      </c>
      <c r="V187" s="4">
        <f>IF(S187="No","No",
MROUND(_xlfn.XLOOKUP(B187,'Base stats'!B:B,'Base stats'!BF:BF)^0.25
/((_xlfn.XLOOKUP(B187,'Base stats'!B:B,'Base stats'!BO:BO))*10)*_xlfn.XLOOKUP(_xlfn.XLOOKUP(B187,'Base stats'!B:B,'Base stats'!E:E),Groups!A:A,Groups!AE:AE)*150 + 0.5 + _xlfn.XLOOKUP(B187,'Base stats'!B:B,'Base stats'!BW:BW),
0.05))</f>
        <v>1.5</v>
      </c>
      <c r="W187" s="8">
        <f>MROUND(_xlfn.XLOOKUP(_xlfn.XLOOKUP(B187,'Base stats'!B:B,'Base stats'!E:E),Groups!A:A,Groups!BG:BG)*_xlfn.XLOOKUP(B187,'Base stats'!B:B,'Base stats'!C:C)^-0.165,0.05)</f>
        <v>0.55000000000000004</v>
      </c>
      <c r="X187" s="1">
        <f>MROUND(_xlfn.XLOOKUP(_xlfn.XLOOKUP(B187,'Base stats'!B:B,'Base stats'!E:E),Groups!A:A,Groups!BH:BH)*_xlfn.XLOOKUP(B187,'Base stats'!B:B,'Base stats'!C:C)^0.165,0.05)</f>
        <v>0.60000000000000009</v>
      </c>
      <c r="Y187" s="8">
        <f>MROUND(_xlfn.XLOOKUP(_xlfn.XLOOKUP(B187,'Base stats'!B:B,'Base stats'!E:E),Groups!A:A,Groups!BI:BI)*_xlfn.XLOOKUP(B187,'Base stats'!B:B,'Base stats'!C:C)^0.165,0.05)</f>
        <v>0.05</v>
      </c>
      <c r="Z187" s="18">
        <f>MROUND(_xlfn.XLOOKUP(B187,'Base stats'!B:B,'Base stats'!AQ:AQ)*_xlfn.XLOOKUP(_xlfn.XLOOKUP(B187,'Base stats'!B:B,'Base stats'!E:E),Groups!A:A,Groups!H:H)/1000,IF((_xlfn.XLOOKUP(B187,'Base stats'!B:B,'Base stats'!AQ:AQ)*_xlfn.XLOOKUP(_xlfn.XLOOKUP(B187,'Base stats'!B:B,'Base stats'!E:E),Groups!A:A,Groups!H:H)/1000)&gt;1,0.05,0.01))</f>
        <v>0.13</v>
      </c>
      <c r="AA187" s="18">
        <f>MROUND((1/2)*(_xlfn.XLOOKUP(_xlfn.XLOOKUP(B187,'Base stats'!B:B,'Base stats'!E:E),Groups!A:A,Groups!H:H)*_xlfn.XLOOKUP(_xlfn.XLOOKUP(B187,'Base stats'!B:B,'Base stats'!E:E),Groups!A:A,Groups!I:I))*_xlfn.XLOOKUP(B187,'Base stats'!B:B,'Base stats'!AQ:AQ)*0.01,0.05)</f>
        <v>0.55000000000000004</v>
      </c>
      <c r="AB187" s="18">
        <f>MROUND(250*(Animals!AO187+Animals!AP187),25)</f>
        <v>950</v>
      </c>
      <c r="AC187" s="18" t="str">
        <f>_xlfn.XLOOKUP(_xlfn.XLOOKUP(B187,'Base stats'!B:B,'Base stats'!E:E),Groups!A:A,Groups!BJ:BJ)</f>
        <v>Quadruped</v>
      </c>
    </row>
    <row r="188" spans="1:29" ht="16.5" thickTop="1" thickBot="1" x14ac:dyDescent="0.3">
      <c r="A188" s="16" t="str">
        <f>Animals!A188</f>
        <v>Alligator</v>
      </c>
      <c r="B188" s="6" t="str">
        <f>Animals!B188</f>
        <v>Alligator mississippiensis</v>
      </c>
      <c r="C188" s="1" t="str">
        <f>Animals!C188</f>
        <v>&lt;li&gt;AEXP_Alligator&lt;/li&gt;</v>
      </c>
      <c r="D188" s="47">
        <f>MIN(MIN(6,_xlfn.XLOOKUP(A188,Animals!A:A,Animals!AO:AO))*20,MAX(MROUND(_xlfn.XLOOKUP(B188,'Base stats'!B:B,'Base stats'!BS:BS) * (_xlfn.XLOOKUP(B188,'Base stats'!B:B,'Base stats'!AO:AO)*5%)^0.9 / 21,0.1),0.05))</f>
        <v>2.2000000000000002</v>
      </c>
      <c r="E188" s="11">
        <f>MROUND(_xlfn.XLOOKUP(B188,'Base stats'!B:B,'Base stats'!BG:BG) * 0.01 * 2 + 0.01, 0.05)</f>
        <v>1.9000000000000001</v>
      </c>
      <c r="F188" s="7">
        <f>MROUND(_xlfn.XLOOKUP(B188,'Base stats'!B:B,'Base stats'!BD:BD)^0.25 / (_xlfn.XLOOKUP(B188,'Base stats'!B:B,'Base stats'!BK:BK) * 10) * 150 + 0.5 + _xlfn.XLOOKUP(B188,'Base stats'!B:B,'Base stats'!BW:BW), 0.05)</f>
        <v>2.85</v>
      </c>
      <c r="G188" s="3" t="str">
        <f>IF(Animals!S188="No","No",
IF(_xlfn.XLOOKUP(B188,'Base stats'!B:B,'Base stats'!U:U)="No",
MAX(MROUND(_xlfn.XLOOKUP(B188,'Base stats'!B:B,'Base stats'!BT:BT) * _xlfn.XLOOKUP(B188,'Base stats'!B:B,'Base stats'!BP:BP)^0.9 / 21 * _xlfn.XLOOKUP(B188,'Base stats'!B:B,'Base stats'!BX:BX),0.1),0.05),
MAX(MROUND(((MIN(10,_xlfn.XLOOKUP(B188,'Base stats'!B:B,'Base stats'!U:U)))^0.4*_xlfn.XLOOKUP(B188,'Base stats'!B:B,'Base stats'!BH:BH)^0.73)^0.6 * _xlfn.XLOOKUP(B188,'Base stats'!B:B,'Base stats'!BX:BX),0.1),0.05)
))</f>
        <v>No</v>
      </c>
      <c r="H188" s="11" t="str">
        <f>IF(G188="No","No",
MROUND(_xlfn.XLOOKUP(B188,'Base stats'!B:B,'Base stats'!BH:BH) * 0.01 * 2 + 0.05, 0.05)
)</f>
        <v>No</v>
      </c>
      <c r="I188" s="11" t="str">
        <f>IF(G188="No","No",IF(_xlfn.XLOOKUP(B188,'Base stats'!B:B,'Base stats'!U:U)="No","No",
MROUND(_xlfn.XLOOKUP(B188,'Base stats'!B:B,'Base stats'!BT:BT)/10000+0.01,0.01)
))</f>
        <v>No</v>
      </c>
      <c r="J188" s="4" t="str">
        <f>IF(G188="No","No",
MROUND(_xlfn.XLOOKUP(B188,'Base stats'!B:B,'Base stats'!BE:BE)^0.25
/((_xlfn.XLOOKUP(B188,'Base stats'!B:B,'Base stats'!BL:BL))*10)*_xlfn.XLOOKUP(_xlfn.XLOOKUP(B188,'Base stats'!B:B,'Base stats'!E:E),Groups!A:A,Groups!Q:Q)*150 + 0.5 + _xlfn.XLOOKUP(B188,'Base stats'!B:B,'Base stats'!BW:BW),
0.05))</f>
        <v>No</v>
      </c>
      <c r="K188" s="3" t="str">
        <f>IF(Animals!X188="No","No",
IF(_xlfn.XLOOKUP(_xlfn.XLOOKUP(B188,'Base stats'!B:B,'Base stats'!E:E),Groups!A:A,Groups!BD:BD)=1,
MAX(MROUND(_xlfn.XLOOKUP(B188,'Base stats'!B:B,'Base stats'!BU:BU) * _xlfn.XLOOKUP(B188,'Base stats'!B:B,'Base stats'!BQ:BQ)^0.9 / 21 *_xlfn.XLOOKUP(B188,'Base stats'!B:B,'Base stats'!BX:BX),0.1),0.05),
MAX(MROUND(((MIN(10,_xlfn.XLOOKUP(B188,'Base stats'!B:B,'Base stats'!W:W)))^0.4*_xlfn.XLOOKUP(B188,'Base stats'!B:B,'Base stats'!BI:BI)^0.73)^0.6 *_xlfn.XLOOKUP(B188,'Base stats'!B:B,'Base stats'!BX:BX),0.1),0.05)
))</f>
        <v>No</v>
      </c>
      <c r="L188" s="11" t="str">
        <f>IF(K188="No","No",
MROUND(_xlfn.XLOOKUP(B188,'Base stats'!B:B,'Base stats'!BI:BI) * 0.01 *2 + 0.05, 0.05)
)</f>
        <v>No</v>
      </c>
      <c r="M188" s="5" t="str">
        <f>IF(K188="No","No",IF(_xlfn.XLOOKUP(_xlfn.XLOOKUP(B188,'Base stats'!B:B,'Base stats'!E:E),Groups!A:A,Groups!BD:BD)=1,"No",
MROUND(_xlfn.XLOOKUP(B188,'Base stats'!B:B,'Base stats'!BU:BU)/10000+0.01,0.01)
))</f>
        <v>No</v>
      </c>
      <c r="N188" s="4" t="str">
        <f>IF(K188="No","No",
MROUND(
  _xlfn.XLOOKUP(B188,'Base stats'!B:B,'Base stats'!BC:BC)^0.25
  / (_xlfn.XLOOKUP(B188,'Base stats'!B:B,'Base stats'!BM:BM) * 10)
  * _xlfn.XLOOKUP(
      _xlfn.XLOOKUP(B188,'Base stats'!B:B,'Base stats'!E:E),
      Groups!A:A,
      Groups!V:V
    ) * 150
  + MIN(12, _xlfn.XLOOKUP(B188,'Base stats'!B:B,'Base stats'!W:W))^(1/IF(_xlfn.XLOOKUP(_xlfn.XLOOKUP(B188,'Base stats'!B:B,'Base stats'!E:E),Groups!A:A,Groups!U:U)=1,100,10)) + 0.5 + _xlfn.XLOOKUP(B188,'Base stats'!B:B,'Base stats'!BW:BW),
0.05))</f>
        <v>No</v>
      </c>
      <c r="O188" s="3">
        <f>IF(Animals!AD188="No","No",
MAX(MROUND((MIN(10,_xlfn.XLOOKUP(B188,'Base stats'!B:B,'Base stats'!V:V)*IF(_xlfn.XLOOKUP(_xlfn.XLOOKUP(B188,'Base stats'!B:B,'Base stats'!E:E),Groups!A:A,Groups!O:O)=0,1,0.33))^0.4*_xlfn.XLOOKUP(B188,'Base stats'!B:B,'Base stats'!BJ:BJ)^0.73)^0.6 *_xlfn.XLOOKUP(B188,'Base stats'!B:B,'Base stats'!BX:BX),0.1),0.05)
)</f>
        <v>24.400000000000002</v>
      </c>
      <c r="P188" s="11">
        <f>IF(O188="No","No",
MROUND(_xlfn.XLOOKUP(B188,'Base stats'!B:B,'Base stats'!BJ:BJ) * 0.01 * 2 + 0.05, 0.05)
)</f>
        <v>16.2</v>
      </c>
      <c r="Q188" s="5">
        <f>IF(O188="No","No",
MROUND(_xlfn.XLOOKUP(B188,'Base stats'!B:B,'Base stats'!BV:BV)/10000+0.01,0.01)
)</f>
        <v>0.59</v>
      </c>
      <c r="R188" s="4">
        <f>IF(O188="No","No",
MROUND(_xlfn.XLOOKUP(B188,'Base stats'!B:B,'Base stats'!BB:BB)^0.25
/((_xlfn.XLOOKUP(B188,'Base stats'!B:B,'Base stats'!BN:BN))*10)*_xlfn.XLOOKUP(_xlfn.XLOOKUP(B188,'Base stats'!B:B,'Base stats'!E:E),Groups!A:A,Groups!Z:Z)*150 + 0.5 + _xlfn.XLOOKUP(B188,'Base stats'!B:B,'Base stats'!BW:BW),
0.05))</f>
        <v>2.6500000000000004</v>
      </c>
      <c r="S188" s="3" t="str">
        <f>IF(Animals!AI188="No","No",
IF(_xlfn.XLOOKUP(B188,'Base stats'!B:B,'Base stats'!U:U)="No",
MAX(MROUND(_xlfn.XLOOKUP(B188,'Base stats'!B:B,'Base stats'!BT:BT) * _xlfn.XLOOKUP(B188,'Base stats'!B:B,'Base stats'!BP:BP)^0.9 / 21 * _xlfn.XLOOKUP(B188,'Base stats'!B:B,'Base stats'!BX:BX),0.1),0.05),
MAX(MROUND(((MIN(12,_xlfn.XLOOKUP(B188,'Base stats'!B:B,'Base stats'!U:U)))^0.4*_xlfn.XLOOKUP(B188,'Base stats'!B:B,'Base stats'!BH:BH)^0.73)^0.6 * _xlfn.XLOOKUP(B188,'Base stats'!B:B,'Base stats'!BX:BX),0.1),0.05)
))</f>
        <v>No</v>
      </c>
      <c r="T188" s="11" t="str">
        <f>IF(S188="No","No",
MROUND(_xlfn.XLOOKUP(B188,'Base stats'!B:B,'Base stats'!BH:BH) * 0.01 * 2 + 0.05, 0.05)
)</f>
        <v>No</v>
      </c>
      <c r="U188" s="5" t="str">
        <f>IF(S188="No","No",IF(_xlfn.XLOOKUP(B188,'Base stats'!B:B,'Base stats'!U:U)="No","No",
MROUND(_xlfn.XLOOKUP(B188,'Base stats'!B:B,'Base stats'!BT:BT)/10000+0.01,0.01)
))</f>
        <v>No</v>
      </c>
      <c r="V188" s="4" t="str">
        <f>IF(S188="No","No",
MROUND(_xlfn.XLOOKUP(B188,'Base stats'!B:B,'Base stats'!BF:BF)^0.25
/((_xlfn.XLOOKUP(B188,'Base stats'!B:B,'Base stats'!BO:BO))*10)*_xlfn.XLOOKUP(_xlfn.XLOOKUP(B188,'Base stats'!B:B,'Base stats'!E:E),Groups!A:A,Groups!AE:AE)*150 + 0.5 + _xlfn.XLOOKUP(B188,'Base stats'!B:B,'Base stats'!BW:BW),
0.05))</f>
        <v>No</v>
      </c>
      <c r="W188" s="8">
        <f>MROUND(_xlfn.XLOOKUP(_xlfn.XLOOKUP(B188,'Base stats'!B:B,'Base stats'!E:E),Groups!A:A,Groups!BG:BG)*_xlfn.XLOOKUP(B188,'Base stats'!B:B,'Base stats'!C:C)^-0.165,0.05)</f>
        <v>0.1</v>
      </c>
      <c r="X188" s="1">
        <f>MROUND(_xlfn.XLOOKUP(_xlfn.XLOOKUP(B188,'Base stats'!B:B,'Base stats'!E:E),Groups!A:A,Groups!BH:BH)*_xlfn.XLOOKUP(B188,'Base stats'!B:B,'Base stats'!C:C)^0.165,0.05)</f>
        <v>0.25</v>
      </c>
      <c r="Y188" s="8">
        <f>MROUND(_xlfn.XLOOKUP(_xlfn.XLOOKUP(B188,'Base stats'!B:B,'Base stats'!E:E),Groups!A:A,Groups!BI:BI)*_xlfn.XLOOKUP(B188,'Base stats'!B:B,'Base stats'!C:C)^0.165,0.05)</f>
        <v>0.05</v>
      </c>
      <c r="Z188" s="18">
        <f>MROUND(_xlfn.XLOOKUP(B188,'Base stats'!B:B,'Base stats'!AQ:AQ)*_xlfn.XLOOKUP(_xlfn.XLOOKUP(B188,'Base stats'!B:B,'Base stats'!E:E),Groups!A:A,Groups!H:H)/1000,IF((_xlfn.XLOOKUP(B188,'Base stats'!B:B,'Base stats'!AQ:AQ)*_xlfn.XLOOKUP(_xlfn.XLOOKUP(B188,'Base stats'!B:B,'Base stats'!E:E),Groups!A:A,Groups!H:H)/1000)&gt;1,0.05,0.01))</f>
        <v>0.31</v>
      </c>
      <c r="AA188" s="18">
        <f>MROUND((1/2)*(_xlfn.XLOOKUP(_xlfn.XLOOKUP(B188,'Base stats'!B:B,'Base stats'!E:E),Groups!A:A,Groups!H:H)*_xlfn.XLOOKUP(_xlfn.XLOOKUP(B188,'Base stats'!B:B,'Base stats'!E:E),Groups!A:A,Groups!I:I))*_xlfn.XLOOKUP(B188,'Base stats'!B:B,'Base stats'!AQ:AQ)*0.01,0.05)</f>
        <v>0.35000000000000003</v>
      </c>
      <c r="AB188" s="18">
        <f>MROUND(250*(Animals!AO188+Animals!AP188),25)</f>
        <v>875</v>
      </c>
      <c r="AC188" s="18" t="str">
        <f>_xlfn.XLOOKUP(_xlfn.XLOOKUP(B188,'Base stats'!B:B,'Base stats'!E:E),Groups!A:A,Groups!BJ:BJ)</f>
        <v>QuadrupedLow</v>
      </c>
    </row>
    <row r="189" spans="1:29" ht="16.5" thickTop="1" thickBot="1" x14ac:dyDescent="0.3">
      <c r="A189" s="16" t="str">
        <f>Animals!A189</f>
        <v>Moose</v>
      </c>
      <c r="B189" s="6" t="str">
        <f>Animals!B189</f>
        <v>Alces alces</v>
      </c>
      <c r="C189" s="1" t="str">
        <f>Animals!C189</f>
        <v>&lt;li&gt;AEXP_Moose&lt;/li&gt;</v>
      </c>
      <c r="D189" s="47">
        <f>MIN(MIN(6,_xlfn.XLOOKUP(A189,Animals!A:A,Animals!AO:AO))*20,MAX(MROUND(_xlfn.XLOOKUP(B189,'Base stats'!B:B,'Base stats'!BS:BS) * (_xlfn.XLOOKUP(B189,'Base stats'!B:B,'Base stats'!AO:AO)*5%)^0.9 / 21,0.1),0.05))</f>
        <v>9.5</v>
      </c>
      <c r="E189" s="11">
        <f>MROUND(_xlfn.XLOOKUP(B189,'Base stats'!B:B,'Base stats'!BG:BG) * 0.01 * 2 + 0.01, 0.05)</f>
        <v>8.85</v>
      </c>
      <c r="F189" s="7">
        <f>MROUND(_xlfn.XLOOKUP(B189,'Base stats'!B:B,'Base stats'!BD:BD)^0.25 / (_xlfn.XLOOKUP(B189,'Base stats'!B:B,'Base stats'!BK:BK) * 10) * 150 + 0.5 + _xlfn.XLOOKUP(B189,'Base stats'!B:B,'Base stats'!BW:BW), 0.05)</f>
        <v>1.85</v>
      </c>
      <c r="G189" s="3">
        <f>IF(Animals!S189="No","No",
IF(_xlfn.XLOOKUP(B189,'Base stats'!B:B,'Base stats'!U:U)="No",
MAX(MROUND(_xlfn.XLOOKUP(B189,'Base stats'!B:B,'Base stats'!BT:BT) * _xlfn.XLOOKUP(B189,'Base stats'!B:B,'Base stats'!BP:BP)^0.9 / 21 * _xlfn.XLOOKUP(B189,'Base stats'!B:B,'Base stats'!BX:BX),0.1),0.05),
MAX(MROUND(((MIN(10,_xlfn.XLOOKUP(B189,'Base stats'!B:B,'Base stats'!U:U)))^0.4*_xlfn.XLOOKUP(B189,'Base stats'!B:B,'Base stats'!BH:BH)^0.73)^0.6 * _xlfn.XLOOKUP(B189,'Base stats'!B:B,'Base stats'!BX:BX),0.1),0.05)
))</f>
        <v>16</v>
      </c>
      <c r="H189" s="11">
        <f>IF(G189="No","No",
MROUND(_xlfn.XLOOKUP(B189,'Base stats'!B:B,'Base stats'!BH:BH) * 0.01 * 2 + 0.05, 0.05)
)</f>
        <v>10.350000000000001</v>
      </c>
      <c r="I189" s="11" t="str">
        <f>IF(G189="No","No",IF(_xlfn.XLOOKUP(B189,'Base stats'!B:B,'Base stats'!U:U)="No","No",
MROUND(_xlfn.XLOOKUP(B189,'Base stats'!B:B,'Base stats'!BT:BT)/10000+0.01,0.01)
))</f>
        <v>No</v>
      </c>
      <c r="J189" s="4">
        <f>IF(G189="No","No",
MROUND(_xlfn.XLOOKUP(B189,'Base stats'!B:B,'Base stats'!BE:BE)^0.25
/((_xlfn.XLOOKUP(B189,'Base stats'!B:B,'Base stats'!BL:BL))*10)*_xlfn.XLOOKUP(_xlfn.XLOOKUP(B189,'Base stats'!B:B,'Base stats'!E:E),Groups!A:A,Groups!Q:Q)*150 + 0.5 + _xlfn.XLOOKUP(B189,'Base stats'!B:B,'Base stats'!BW:BW),
0.05))</f>
        <v>2.75</v>
      </c>
      <c r="K189" s="3">
        <f>IF(Animals!X189="No","No",
IF(_xlfn.XLOOKUP(_xlfn.XLOOKUP(B189,'Base stats'!B:B,'Base stats'!E:E),Groups!A:A,Groups!BD:BD)=1,
MAX(MROUND(_xlfn.XLOOKUP(B189,'Base stats'!B:B,'Base stats'!BU:BU) * _xlfn.XLOOKUP(B189,'Base stats'!B:B,'Base stats'!BQ:BQ)^0.9 / 21 *_xlfn.XLOOKUP(B189,'Base stats'!B:B,'Base stats'!BX:BX),0.1),0.05),
MAX(MROUND(((MIN(10,_xlfn.XLOOKUP(B189,'Base stats'!B:B,'Base stats'!W:W)))^0.4*_xlfn.XLOOKUP(B189,'Base stats'!B:B,'Base stats'!BI:BI)^0.73)^0.6 *_xlfn.XLOOKUP(B189,'Base stats'!B:B,'Base stats'!BX:BX),0.1),0.05)
))</f>
        <v>29</v>
      </c>
      <c r="L189" s="11">
        <f>IF(K189="No","No",
MROUND(_xlfn.XLOOKUP(B189,'Base stats'!B:B,'Base stats'!BI:BI) * 0.01 *2 + 0.05, 0.05)
)</f>
        <v>12.4</v>
      </c>
      <c r="M189" s="5">
        <f>IF(K189="No","No",IF(_xlfn.XLOOKUP(_xlfn.XLOOKUP(B189,'Base stats'!B:B,'Base stats'!E:E),Groups!A:A,Groups!BD:BD)=1,"No",
MROUND(_xlfn.XLOOKUP(B189,'Base stats'!B:B,'Base stats'!BU:BU)/10000+0.01,0.01)
))</f>
        <v>0.68</v>
      </c>
      <c r="N189" s="4">
        <f>IF(K189="No","No",
MROUND(
  _xlfn.XLOOKUP(B189,'Base stats'!B:B,'Base stats'!BC:BC)^0.25
  / (_xlfn.XLOOKUP(B189,'Base stats'!B:B,'Base stats'!BM:BM) * 10)
  * _xlfn.XLOOKUP(
      _xlfn.XLOOKUP(B189,'Base stats'!B:B,'Base stats'!E:E),
      Groups!A:A,
      Groups!V:V
    ) * 150
  + MIN(12, _xlfn.XLOOKUP(B189,'Base stats'!B:B,'Base stats'!W:W))^(1/IF(_xlfn.XLOOKUP(_xlfn.XLOOKUP(B189,'Base stats'!B:B,'Base stats'!E:E),Groups!A:A,Groups!U:U)=1,100,10)) + 0.5 + _xlfn.XLOOKUP(B189,'Base stats'!B:B,'Base stats'!BW:BW),
0.05))</f>
        <v>3.2</v>
      </c>
      <c r="O189" s="3" t="str">
        <f>IF(Animals!AD189="No","No",
MAX(MROUND((MIN(10,_xlfn.XLOOKUP(B189,'Base stats'!B:B,'Base stats'!V:V)*IF(_xlfn.XLOOKUP(_xlfn.XLOOKUP(B189,'Base stats'!B:B,'Base stats'!E:E),Groups!A:A,Groups!O:O)=0,1,0.33))^0.4*_xlfn.XLOOKUP(B189,'Base stats'!B:B,'Base stats'!BJ:BJ)^0.73)^0.6 *_xlfn.XLOOKUP(B189,'Base stats'!B:B,'Base stats'!BX:BX),0.1),0.05)
)</f>
        <v>No</v>
      </c>
      <c r="P189" s="11" t="str">
        <f>IF(O189="No","No",
MROUND(_xlfn.XLOOKUP(B189,'Base stats'!B:B,'Base stats'!BJ:BJ) * 0.01 * 2 + 0.05, 0.05)
)</f>
        <v>No</v>
      </c>
      <c r="Q189" s="5" t="str">
        <f>IF(O189="No","No",
MROUND(_xlfn.XLOOKUP(B189,'Base stats'!B:B,'Base stats'!BV:BV)/10000+0.01,0.01)
)</f>
        <v>No</v>
      </c>
      <c r="R189" s="4" t="str">
        <f>IF(O189="No","No",
MROUND(_xlfn.XLOOKUP(B189,'Base stats'!B:B,'Base stats'!BB:BB)^0.25
/((_xlfn.XLOOKUP(B189,'Base stats'!B:B,'Base stats'!BN:BN))*10)*_xlfn.XLOOKUP(_xlfn.XLOOKUP(B189,'Base stats'!B:B,'Base stats'!E:E),Groups!A:A,Groups!Z:Z)*150 + 0.5 + _xlfn.XLOOKUP(B189,'Base stats'!B:B,'Base stats'!BW:BW),
0.05))</f>
        <v>No</v>
      </c>
      <c r="S189" s="3" t="str">
        <f>IF(Animals!AI189="No","No",
IF(_xlfn.XLOOKUP(B189,'Base stats'!B:B,'Base stats'!U:U)="No",
MAX(MROUND(_xlfn.XLOOKUP(B189,'Base stats'!B:B,'Base stats'!BT:BT) * _xlfn.XLOOKUP(B189,'Base stats'!B:B,'Base stats'!BP:BP)^0.9 / 21 * _xlfn.XLOOKUP(B189,'Base stats'!B:B,'Base stats'!BX:BX),0.1),0.05),
MAX(MROUND(((MIN(12,_xlfn.XLOOKUP(B189,'Base stats'!B:B,'Base stats'!U:U)))^0.4*_xlfn.XLOOKUP(B189,'Base stats'!B:B,'Base stats'!BH:BH)^0.73)^0.6 * _xlfn.XLOOKUP(B189,'Base stats'!B:B,'Base stats'!BX:BX),0.1),0.05)
))</f>
        <v>No</v>
      </c>
      <c r="T189" s="11" t="str">
        <f>IF(S189="No","No",
MROUND(_xlfn.XLOOKUP(B189,'Base stats'!B:B,'Base stats'!BH:BH) * 0.01 * 2 + 0.05, 0.05)
)</f>
        <v>No</v>
      </c>
      <c r="U189" s="5" t="str">
        <f>IF(S189="No","No",IF(_xlfn.XLOOKUP(B189,'Base stats'!B:B,'Base stats'!U:U)="No","No",
MROUND(_xlfn.XLOOKUP(B189,'Base stats'!B:B,'Base stats'!BT:BT)/10000+0.01,0.01)
))</f>
        <v>No</v>
      </c>
      <c r="V189" s="4" t="str">
        <f>IF(S189="No","No",
MROUND(_xlfn.XLOOKUP(B189,'Base stats'!B:B,'Base stats'!BF:BF)^0.25
/((_xlfn.XLOOKUP(B189,'Base stats'!B:B,'Base stats'!BO:BO))*10)*_xlfn.XLOOKUP(_xlfn.XLOOKUP(B189,'Base stats'!B:B,'Base stats'!E:E),Groups!A:A,Groups!AE:AE)*150 + 0.5 + _xlfn.XLOOKUP(B189,'Base stats'!B:B,'Base stats'!BW:BW),
0.05))</f>
        <v>No</v>
      </c>
      <c r="W189" s="8">
        <f>MROUND(_xlfn.XLOOKUP(_xlfn.XLOOKUP(B189,'Base stats'!B:B,'Base stats'!E:E),Groups!A:A,Groups!BG:BG)*_xlfn.XLOOKUP(B189,'Base stats'!B:B,'Base stats'!C:C)^-0.165,0.05)</f>
        <v>0.2</v>
      </c>
      <c r="X189" s="1">
        <f>MROUND(_xlfn.XLOOKUP(_xlfn.XLOOKUP(B189,'Base stats'!B:B,'Base stats'!E:E),Groups!A:A,Groups!BH:BH)*_xlfn.XLOOKUP(B189,'Base stats'!B:B,'Base stats'!C:C)^0.165,0.05)</f>
        <v>0</v>
      </c>
      <c r="Y189" s="8">
        <f>MROUND(_xlfn.XLOOKUP(_xlfn.XLOOKUP(B189,'Base stats'!B:B,'Base stats'!E:E),Groups!A:A,Groups!BI:BI)*_xlfn.XLOOKUP(B189,'Base stats'!B:B,'Base stats'!C:C)^0.165,0.05)</f>
        <v>0</v>
      </c>
      <c r="Z189" s="18">
        <f>MROUND(_xlfn.XLOOKUP(B189,'Base stats'!B:B,'Base stats'!AQ:AQ)*_xlfn.XLOOKUP(_xlfn.XLOOKUP(B189,'Base stats'!B:B,'Base stats'!E:E),Groups!A:A,Groups!H:H)/1000,IF((_xlfn.XLOOKUP(B189,'Base stats'!B:B,'Base stats'!AQ:AQ)*_xlfn.XLOOKUP(_xlfn.XLOOKUP(B189,'Base stats'!B:B,'Base stats'!E:E),Groups!A:A,Groups!H:H)/1000)&gt;1,0.05,0.01))</f>
        <v>0.1</v>
      </c>
      <c r="AA189" s="18">
        <f>MROUND((1/2)*(_xlfn.XLOOKUP(_xlfn.XLOOKUP(B189,'Base stats'!B:B,'Base stats'!E:E),Groups!A:A,Groups!H:H)*_xlfn.XLOOKUP(_xlfn.XLOOKUP(B189,'Base stats'!B:B,'Base stats'!E:E),Groups!A:A,Groups!I:I))*_xlfn.XLOOKUP(B189,'Base stats'!B:B,'Base stats'!AQ:AQ)*0.01,0.05)</f>
        <v>0.45</v>
      </c>
      <c r="AB189" s="18">
        <f>MROUND(250*(Animals!AO189+Animals!AP189),25)</f>
        <v>1375</v>
      </c>
      <c r="AC189" s="18" t="str">
        <f>_xlfn.XLOOKUP(_xlfn.XLOOKUP(B189,'Base stats'!B:B,'Base stats'!E:E),Groups!A:A,Groups!BJ:BJ)</f>
        <v>Quadruped</v>
      </c>
    </row>
    <row r="190" spans="1:29" ht="16.5" thickTop="1" thickBot="1" x14ac:dyDescent="0.3">
      <c r="A190" s="16" t="str">
        <f>Animals!A190</f>
        <v>Muskox</v>
      </c>
      <c r="B190" s="6" t="str">
        <f>Animals!B190</f>
        <v>Ovibos moschatus</v>
      </c>
      <c r="C190" s="1" t="str">
        <f>Animals!C190</f>
        <v>&lt;li&gt;AEXP_Muskox&lt;/li&gt;</v>
      </c>
      <c r="D190" s="47">
        <f>MIN(MIN(6,_xlfn.XLOOKUP(A190,Animals!A:A,Animals!AO:AO))*20,MAX(MROUND(_xlfn.XLOOKUP(B190,'Base stats'!B:B,'Base stats'!BS:BS) * (_xlfn.XLOOKUP(B190,'Base stats'!B:B,'Base stats'!AO:AO)*5%)^0.9 / 21,0.1),0.05))</f>
        <v>11.3</v>
      </c>
      <c r="E190" s="11">
        <f>MROUND(_xlfn.XLOOKUP(B190,'Base stats'!B:B,'Base stats'!BG:BG) * 0.01 * 2 + 0.01, 0.05)</f>
        <v>10.3</v>
      </c>
      <c r="F190" s="7">
        <f>MROUND(_xlfn.XLOOKUP(B190,'Base stats'!B:B,'Base stats'!BD:BD)^0.25 / (_xlfn.XLOOKUP(B190,'Base stats'!B:B,'Base stats'!BK:BK) * 10) * 150 + 0.5 + _xlfn.XLOOKUP(B190,'Base stats'!B:B,'Base stats'!BW:BW), 0.05)</f>
        <v>1.6</v>
      </c>
      <c r="G190" s="3">
        <f>IF(Animals!S190="No","No",
IF(_xlfn.XLOOKUP(B190,'Base stats'!B:B,'Base stats'!U:U)="No",
MAX(MROUND(_xlfn.XLOOKUP(B190,'Base stats'!B:B,'Base stats'!BT:BT) * _xlfn.XLOOKUP(B190,'Base stats'!B:B,'Base stats'!BP:BP)^0.9 / 21 * _xlfn.XLOOKUP(B190,'Base stats'!B:B,'Base stats'!BX:BX),0.1),0.05),
MAX(MROUND(((MIN(10,_xlfn.XLOOKUP(B190,'Base stats'!B:B,'Base stats'!U:U)))^0.4*_xlfn.XLOOKUP(B190,'Base stats'!B:B,'Base stats'!BH:BH)^0.73)^0.6 * _xlfn.XLOOKUP(B190,'Base stats'!B:B,'Base stats'!BX:BX),0.1),0.05)
))</f>
        <v>13.700000000000001</v>
      </c>
      <c r="H190" s="11">
        <f>IF(G190="No","No",
MROUND(_xlfn.XLOOKUP(B190,'Base stats'!B:B,'Base stats'!BH:BH) * 0.01 * 2 + 0.05, 0.05)
)</f>
        <v>8.7000000000000011</v>
      </c>
      <c r="I190" s="11" t="str">
        <f>IF(G190="No","No",IF(_xlfn.XLOOKUP(B190,'Base stats'!B:B,'Base stats'!U:U)="No","No",
MROUND(_xlfn.XLOOKUP(B190,'Base stats'!B:B,'Base stats'!BT:BT)/10000+0.01,0.01)
))</f>
        <v>No</v>
      </c>
      <c r="J190" s="4">
        <f>IF(G190="No","No",
MROUND(_xlfn.XLOOKUP(B190,'Base stats'!B:B,'Base stats'!BE:BE)^0.25
/((_xlfn.XLOOKUP(B190,'Base stats'!B:B,'Base stats'!BL:BL))*10)*_xlfn.XLOOKUP(_xlfn.XLOOKUP(B190,'Base stats'!B:B,'Base stats'!E:E),Groups!A:A,Groups!Q:Q)*150 + 0.5 + _xlfn.XLOOKUP(B190,'Base stats'!B:B,'Base stats'!BW:BW),
0.05))</f>
        <v>2.6500000000000004</v>
      </c>
      <c r="K190" s="3">
        <f>IF(Animals!X190="No","No",
IF(_xlfn.XLOOKUP(_xlfn.XLOOKUP(B190,'Base stats'!B:B,'Base stats'!E:E),Groups!A:A,Groups!BD:BD)=1,
MAX(MROUND(_xlfn.XLOOKUP(B190,'Base stats'!B:B,'Base stats'!BU:BU) * _xlfn.XLOOKUP(B190,'Base stats'!B:B,'Base stats'!BQ:BQ)^0.9 / 21 *_xlfn.XLOOKUP(B190,'Base stats'!B:B,'Base stats'!BX:BX),0.1),0.05),
MAX(MROUND(((MIN(10,_xlfn.XLOOKUP(B190,'Base stats'!B:B,'Base stats'!W:W)))^0.4*_xlfn.XLOOKUP(B190,'Base stats'!B:B,'Base stats'!BI:BI)^0.73)^0.6 *_xlfn.XLOOKUP(B190,'Base stats'!B:B,'Base stats'!BX:BX),0.1),0.05)
))</f>
        <v>13.5</v>
      </c>
      <c r="L190" s="11">
        <f>IF(K190="No","No",
MROUND(_xlfn.XLOOKUP(B190,'Base stats'!B:B,'Base stats'!BI:BI) * 0.01 *2 + 0.05, 0.05)
)</f>
        <v>12.350000000000001</v>
      </c>
      <c r="M190" s="5" t="str">
        <f>IF(K190="No","No",IF(_xlfn.XLOOKUP(_xlfn.XLOOKUP(B190,'Base stats'!B:B,'Base stats'!E:E),Groups!A:A,Groups!BD:BD)=1,"No",
MROUND(_xlfn.XLOOKUP(B190,'Base stats'!B:B,'Base stats'!BU:BU)/10000+0.01,0.01)
))</f>
        <v>No</v>
      </c>
      <c r="N190" s="4">
        <f>IF(K190="No","No",
MROUND(
  _xlfn.XLOOKUP(B190,'Base stats'!B:B,'Base stats'!BC:BC)^0.25
  / (_xlfn.XLOOKUP(B190,'Base stats'!B:B,'Base stats'!BM:BM) * 10)
  * _xlfn.XLOOKUP(
      _xlfn.XLOOKUP(B190,'Base stats'!B:B,'Base stats'!E:E),
      Groups!A:A,
      Groups!V:V
    ) * 150
  + MIN(12, _xlfn.XLOOKUP(B190,'Base stats'!B:B,'Base stats'!W:W))^(1/IF(_xlfn.XLOOKUP(_xlfn.XLOOKUP(B190,'Base stats'!B:B,'Base stats'!E:E),Groups!A:A,Groups!U:U)=1,100,10)) + 0.5 + _xlfn.XLOOKUP(B190,'Base stats'!B:B,'Base stats'!BW:BW),
0.05))</f>
        <v>2.6</v>
      </c>
      <c r="O190" s="3" t="str">
        <f>IF(Animals!AD190="No","No",
MAX(MROUND((MIN(10,_xlfn.XLOOKUP(B190,'Base stats'!B:B,'Base stats'!V:V)*IF(_xlfn.XLOOKUP(_xlfn.XLOOKUP(B190,'Base stats'!B:B,'Base stats'!E:E),Groups!A:A,Groups!O:O)=0,1,0.33))^0.4*_xlfn.XLOOKUP(B190,'Base stats'!B:B,'Base stats'!BJ:BJ)^0.73)^0.6 *_xlfn.XLOOKUP(B190,'Base stats'!B:B,'Base stats'!BX:BX),0.1),0.05)
)</f>
        <v>No</v>
      </c>
      <c r="P190" s="11" t="str">
        <f>IF(O190="No","No",
MROUND(_xlfn.XLOOKUP(B190,'Base stats'!B:B,'Base stats'!BJ:BJ) * 0.01 * 2 + 0.05, 0.05)
)</f>
        <v>No</v>
      </c>
      <c r="Q190" s="5" t="str">
        <f>IF(O190="No","No",
MROUND(_xlfn.XLOOKUP(B190,'Base stats'!B:B,'Base stats'!BV:BV)/10000+0.01,0.01)
)</f>
        <v>No</v>
      </c>
      <c r="R190" s="4" t="str">
        <f>IF(O190="No","No",
MROUND(_xlfn.XLOOKUP(B190,'Base stats'!B:B,'Base stats'!BB:BB)^0.25
/((_xlfn.XLOOKUP(B190,'Base stats'!B:B,'Base stats'!BN:BN))*10)*_xlfn.XLOOKUP(_xlfn.XLOOKUP(B190,'Base stats'!B:B,'Base stats'!E:E),Groups!A:A,Groups!Z:Z)*150 + 0.5 + _xlfn.XLOOKUP(B190,'Base stats'!B:B,'Base stats'!BW:BW),
0.05))</f>
        <v>No</v>
      </c>
      <c r="S190" s="3" t="str">
        <f>IF(Animals!AI190="No","No",
IF(_xlfn.XLOOKUP(B190,'Base stats'!B:B,'Base stats'!U:U)="No",
MAX(MROUND(_xlfn.XLOOKUP(B190,'Base stats'!B:B,'Base stats'!BT:BT) * _xlfn.XLOOKUP(B190,'Base stats'!B:B,'Base stats'!BP:BP)^0.9 / 21 * _xlfn.XLOOKUP(B190,'Base stats'!B:B,'Base stats'!BX:BX),0.1),0.05),
MAX(MROUND(((MIN(12,_xlfn.XLOOKUP(B190,'Base stats'!B:B,'Base stats'!U:U)))^0.4*_xlfn.XLOOKUP(B190,'Base stats'!B:B,'Base stats'!BH:BH)^0.73)^0.6 * _xlfn.XLOOKUP(B190,'Base stats'!B:B,'Base stats'!BX:BX),0.1),0.05)
))</f>
        <v>No</v>
      </c>
      <c r="T190" s="11" t="str">
        <f>IF(S190="No","No",
MROUND(_xlfn.XLOOKUP(B190,'Base stats'!B:B,'Base stats'!BH:BH) * 0.01 * 2 + 0.05, 0.05)
)</f>
        <v>No</v>
      </c>
      <c r="U190" s="5" t="str">
        <f>IF(S190="No","No",IF(_xlfn.XLOOKUP(B190,'Base stats'!B:B,'Base stats'!U:U)="No","No",
MROUND(_xlfn.XLOOKUP(B190,'Base stats'!B:B,'Base stats'!BT:BT)/10000+0.01,0.01)
))</f>
        <v>No</v>
      </c>
      <c r="V190" s="4" t="str">
        <f>IF(S190="No","No",
MROUND(_xlfn.XLOOKUP(B190,'Base stats'!B:B,'Base stats'!BF:BF)^0.25
/((_xlfn.XLOOKUP(B190,'Base stats'!B:B,'Base stats'!BO:BO))*10)*_xlfn.XLOOKUP(_xlfn.XLOOKUP(B190,'Base stats'!B:B,'Base stats'!E:E),Groups!A:A,Groups!AE:AE)*150 + 0.5 + _xlfn.XLOOKUP(B190,'Base stats'!B:B,'Base stats'!BW:BW),
0.05))</f>
        <v>No</v>
      </c>
      <c r="W190" s="8">
        <f>MROUND(_xlfn.XLOOKUP(_xlfn.XLOOKUP(B190,'Base stats'!B:B,'Base stats'!E:E),Groups!A:A,Groups!BG:BG)*_xlfn.XLOOKUP(B190,'Base stats'!B:B,'Base stats'!C:C)^-0.165,0.05)</f>
        <v>0.2</v>
      </c>
      <c r="X190" s="1">
        <f>MROUND(_xlfn.XLOOKUP(_xlfn.XLOOKUP(B190,'Base stats'!B:B,'Base stats'!E:E),Groups!A:A,Groups!BH:BH)*_xlfn.XLOOKUP(B190,'Base stats'!B:B,'Base stats'!C:C)^0.165,0.05)</f>
        <v>0</v>
      </c>
      <c r="Y190" s="8">
        <f>MROUND(_xlfn.XLOOKUP(_xlfn.XLOOKUP(B190,'Base stats'!B:B,'Base stats'!E:E),Groups!A:A,Groups!BI:BI)*_xlfn.XLOOKUP(B190,'Base stats'!B:B,'Base stats'!C:C)^0.165,0.05)</f>
        <v>0</v>
      </c>
      <c r="Z190" s="18">
        <f>MROUND(_xlfn.XLOOKUP(B190,'Base stats'!B:B,'Base stats'!AQ:AQ)*_xlfn.XLOOKUP(_xlfn.XLOOKUP(B190,'Base stats'!B:B,'Base stats'!E:E),Groups!A:A,Groups!H:H)/1000,IF((_xlfn.XLOOKUP(B190,'Base stats'!B:B,'Base stats'!AQ:AQ)*_xlfn.XLOOKUP(_xlfn.XLOOKUP(B190,'Base stats'!B:B,'Base stats'!E:E),Groups!A:A,Groups!H:H)/1000)&gt;1,0.05,0.01))</f>
        <v>0.09</v>
      </c>
      <c r="AA190" s="18">
        <f>MROUND((1/2)*(_xlfn.XLOOKUP(_xlfn.XLOOKUP(B190,'Base stats'!B:B,'Base stats'!E:E),Groups!A:A,Groups!H:H)*_xlfn.XLOOKUP(_xlfn.XLOOKUP(B190,'Base stats'!B:B,'Base stats'!E:E),Groups!A:A,Groups!I:I))*_xlfn.XLOOKUP(B190,'Base stats'!B:B,'Base stats'!AQ:AQ)*0.01,0.05)</f>
        <v>0.4</v>
      </c>
      <c r="AB190" s="18">
        <f>MROUND(250*(Animals!AO190+Animals!AP190),25)</f>
        <v>1125</v>
      </c>
      <c r="AC190" s="18" t="str">
        <f>_xlfn.XLOOKUP(_xlfn.XLOOKUP(B190,'Base stats'!B:B,'Base stats'!E:E),Groups!A:A,Groups!BJ:BJ)</f>
        <v>Quadruped</v>
      </c>
    </row>
    <row r="191" spans="1:29" ht="16.5" thickTop="1" thickBot="1" x14ac:dyDescent="0.3">
      <c r="A191" s="16" t="str">
        <f>Animals!A191</f>
        <v>Badger</v>
      </c>
      <c r="B191" s="6" t="str">
        <f>Animals!B191</f>
        <v>Meles meles</v>
      </c>
      <c r="C191" s="1" t="str">
        <f>Animals!C191</f>
        <v>&lt;li&gt;AEXP_Badger&lt;/li&gt;</v>
      </c>
      <c r="D191" s="47">
        <f>MIN(MIN(6,_xlfn.XLOOKUP(A191,Animals!A:A,Animals!AO:AO))*20,MAX(MROUND(_xlfn.XLOOKUP(B191,'Base stats'!B:B,'Base stats'!BS:BS) * (_xlfn.XLOOKUP(B191,'Base stats'!B:B,'Base stats'!AO:AO)*5%)^0.9 / 21,0.1),0.05))</f>
        <v>0.5</v>
      </c>
      <c r="E191" s="11">
        <f>MROUND(_xlfn.XLOOKUP(B191,'Base stats'!B:B,'Base stats'!BG:BG) * 0.01 * 2 + 0.01, 0.05)</f>
        <v>0.4</v>
      </c>
      <c r="F191" s="7">
        <f>MROUND(_xlfn.XLOOKUP(B191,'Base stats'!B:B,'Base stats'!BD:BD)^0.25 / (_xlfn.XLOOKUP(B191,'Base stats'!B:B,'Base stats'!BK:BK) * 10) * 150 + 0.5 + _xlfn.XLOOKUP(B191,'Base stats'!B:B,'Base stats'!BW:BW), 0.05)</f>
        <v>1.4000000000000001</v>
      </c>
      <c r="G191" s="3" t="str">
        <f>IF(Animals!S191="No","No",
IF(_xlfn.XLOOKUP(B191,'Base stats'!B:B,'Base stats'!U:U)="No",
MAX(MROUND(_xlfn.XLOOKUP(B191,'Base stats'!B:B,'Base stats'!BT:BT) * _xlfn.XLOOKUP(B191,'Base stats'!B:B,'Base stats'!BP:BP)^0.9 / 21 * _xlfn.XLOOKUP(B191,'Base stats'!B:B,'Base stats'!BX:BX),0.1),0.05),
MAX(MROUND(((MIN(10,_xlfn.XLOOKUP(B191,'Base stats'!B:B,'Base stats'!U:U)))^0.4*_xlfn.XLOOKUP(B191,'Base stats'!B:B,'Base stats'!BH:BH)^0.73)^0.6 * _xlfn.XLOOKUP(B191,'Base stats'!B:B,'Base stats'!BX:BX),0.1),0.05)
))</f>
        <v>No</v>
      </c>
      <c r="H191" s="11" t="str">
        <f>IF(G191="No","No",
MROUND(_xlfn.XLOOKUP(B191,'Base stats'!B:B,'Base stats'!BH:BH) * 0.01 * 2 + 0.05, 0.05)
)</f>
        <v>No</v>
      </c>
      <c r="I191" s="11" t="str">
        <f>IF(G191="No","No",IF(_xlfn.XLOOKUP(B191,'Base stats'!B:B,'Base stats'!U:U)="No","No",
MROUND(_xlfn.XLOOKUP(B191,'Base stats'!B:B,'Base stats'!BT:BT)/10000+0.01,0.01)
))</f>
        <v>No</v>
      </c>
      <c r="J191" s="4" t="str">
        <f>IF(G191="No","No",
MROUND(_xlfn.XLOOKUP(B191,'Base stats'!B:B,'Base stats'!BE:BE)^0.25
/((_xlfn.XLOOKUP(B191,'Base stats'!B:B,'Base stats'!BL:BL))*10)*_xlfn.XLOOKUP(_xlfn.XLOOKUP(B191,'Base stats'!B:B,'Base stats'!E:E),Groups!A:A,Groups!Q:Q)*150 + 0.5 + _xlfn.XLOOKUP(B191,'Base stats'!B:B,'Base stats'!BW:BW),
0.05))</f>
        <v>No</v>
      </c>
      <c r="K191" s="3" t="str">
        <f>IF(Animals!X191="No","No",
IF(_xlfn.XLOOKUP(_xlfn.XLOOKUP(B191,'Base stats'!B:B,'Base stats'!E:E),Groups!A:A,Groups!BD:BD)=1,
MAX(MROUND(_xlfn.XLOOKUP(B191,'Base stats'!B:B,'Base stats'!BU:BU) * _xlfn.XLOOKUP(B191,'Base stats'!B:B,'Base stats'!BQ:BQ)^0.9 / 21 *_xlfn.XLOOKUP(B191,'Base stats'!B:B,'Base stats'!BX:BX),0.1),0.05),
MAX(MROUND(((MIN(10,_xlfn.XLOOKUP(B191,'Base stats'!B:B,'Base stats'!W:W)))^0.4*_xlfn.XLOOKUP(B191,'Base stats'!B:B,'Base stats'!BI:BI)^0.73)^0.6 *_xlfn.XLOOKUP(B191,'Base stats'!B:B,'Base stats'!BX:BX),0.1),0.05)
))</f>
        <v>No</v>
      </c>
      <c r="L191" s="11" t="str">
        <f>IF(K191="No","No",
MROUND(_xlfn.XLOOKUP(B191,'Base stats'!B:B,'Base stats'!BI:BI) * 0.01 *2 + 0.05, 0.05)
)</f>
        <v>No</v>
      </c>
      <c r="M191" s="5" t="str">
        <f>IF(K191="No","No",IF(_xlfn.XLOOKUP(_xlfn.XLOOKUP(B191,'Base stats'!B:B,'Base stats'!E:E),Groups!A:A,Groups!BD:BD)=1,"No",
MROUND(_xlfn.XLOOKUP(B191,'Base stats'!B:B,'Base stats'!BU:BU)/10000+0.01,0.01)
))</f>
        <v>No</v>
      </c>
      <c r="N191" s="4" t="str">
        <f>IF(K191="No","No",
MROUND(
  _xlfn.XLOOKUP(B191,'Base stats'!B:B,'Base stats'!BC:BC)^0.25
  / (_xlfn.XLOOKUP(B191,'Base stats'!B:B,'Base stats'!BM:BM) * 10)
  * _xlfn.XLOOKUP(
      _xlfn.XLOOKUP(B191,'Base stats'!B:B,'Base stats'!E:E),
      Groups!A:A,
      Groups!V:V
    ) * 150
  + MIN(12, _xlfn.XLOOKUP(B191,'Base stats'!B:B,'Base stats'!W:W))^(1/IF(_xlfn.XLOOKUP(_xlfn.XLOOKUP(B191,'Base stats'!B:B,'Base stats'!E:E),Groups!A:A,Groups!U:U)=1,100,10)) + 0.5 + _xlfn.XLOOKUP(B191,'Base stats'!B:B,'Base stats'!BW:BW),
0.05))</f>
        <v>No</v>
      </c>
      <c r="O191" s="3">
        <f>IF(Animals!AD191="No","No",
MAX(MROUND((MIN(10,_xlfn.XLOOKUP(B191,'Base stats'!B:B,'Base stats'!V:V)*IF(_xlfn.XLOOKUP(_xlfn.XLOOKUP(B191,'Base stats'!B:B,'Base stats'!E:E),Groups!A:A,Groups!O:O)=0,1,0.33))^0.4*_xlfn.XLOOKUP(B191,'Base stats'!B:B,'Base stats'!BJ:BJ)^0.73)^0.6 *_xlfn.XLOOKUP(B191,'Base stats'!B:B,'Base stats'!BX:BX),0.1),0.05)
)</f>
        <v>5.2</v>
      </c>
      <c r="P191" s="11">
        <f>IF(O191="No","No",
MROUND(_xlfn.XLOOKUP(B191,'Base stats'!B:B,'Base stats'!BJ:BJ) * 0.01 * 2 + 0.05, 0.05)
)</f>
        <v>0.65</v>
      </c>
      <c r="Q191" s="5">
        <f>IF(O191="No","No",
MROUND(_xlfn.XLOOKUP(B191,'Base stats'!B:B,'Base stats'!BV:BV)/10000+0.01,0.01)
)</f>
        <v>0.08</v>
      </c>
      <c r="R191" s="4">
        <f>IF(O191="No","No",
MROUND(_xlfn.XLOOKUP(B191,'Base stats'!B:B,'Base stats'!BB:BB)^0.25
/((_xlfn.XLOOKUP(B191,'Base stats'!B:B,'Base stats'!BN:BN))*10)*_xlfn.XLOOKUP(_xlfn.XLOOKUP(B191,'Base stats'!B:B,'Base stats'!E:E),Groups!A:A,Groups!Z:Z)*150 + 0.5 + _xlfn.XLOOKUP(B191,'Base stats'!B:B,'Base stats'!BW:BW),
0.05))</f>
        <v>1.9000000000000001</v>
      </c>
      <c r="S191" s="3">
        <f>IF(Animals!AI191="No","No",
IF(_xlfn.XLOOKUP(B191,'Base stats'!B:B,'Base stats'!U:U)="No",
MAX(MROUND(_xlfn.XLOOKUP(B191,'Base stats'!B:B,'Base stats'!BT:BT) * _xlfn.XLOOKUP(B191,'Base stats'!B:B,'Base stats'!BP:BP)^0.9 / 21 * _xlfn.XLOOKUP(B191,'Base stats'!B:B,'Base stats'!BX:BX),0.1),0.05),
MAX(MROUND(((MIN(12,_xlfn.XLOOKUP(B191,'Base stats'!B:B,'Base stats'!U:U)))^0.4*_xlfn.XLOOKUP(B191,'Base stats'!B:B,'Base stats'!BH:BH)^0.73)^0.6 * _xlfn.XLOOKUP(B191,'Base stats'!B:B,'Base stats'!BX:BX),0.1),0.05)
))</f>
        <v>5.9</v>
      </c>
      <c r="T191" s="11">
        <f>IF(S191="No","No",
MROUND(_xlfn.XLOOKUP(B191,'Base stats'!B:B,'Base stats'!BH:BH) * 0.01 * 2 + 0.05, 0.05)
)</f>
        <v>0.60000000000000009</v>
      </c>
      <c r="U191" s="5">
        <f>IF(S191="No","No",IF(_xlfn.XLOOKUP(B191,'Base stats'!B:B,'Base stats'!U:U)="No","No",
MROUND(_xlfn.XLOOKUP(B191,'Base stats'!B:B,'Base stats'!BT:BT)/10000+0.01,0.01)
))</f>
        <v>0.08</v>
      </c>
      <c r="V191" s="4">
        <f>IF(S191="No","No",
MROUND(_xlfn.XLOOKUP(B191,'Base stats'!B:B,'Base stats'!BF:BF)^0.25
/((_xlfn.XLOOKUP(B191,'Base stats'!B:B,'Base stats'!BO:BO))*10)*_xlfn.XLOOKUP(_xlfn.XLOOKUP(B191,'Base stats'!B:B,'Base stats'!E:E),Groups!A:A,Groups!AE:AE)*150 + 0.5 + _xlfn.XLOOKUP(B191,'Base stats'!B:B,'Base stats'!BW:BW),
0.05))</f>
        <v>1.2000000000000002</v>
      </c>
      <c r="W191" s="8">
        <f>MROUND(_xlfn.XLOOKUP(_xlfn.XLOOKUP(B191,'Base stats'!B:B,'Base stats'!E:E),Groups!A:A,Groups!BG:BG)*_xlfn.XLOOKUP(B191,'Base stats'!B:B,'Base stats'!C:C)^-0.165,0.05)</f>
        <v>0.70000000000000007</v>
      </c>
      <c r="X191" s="1">
        <f>MROUND(_xlfn.XLOOKUP(_xlfn.XLOOKUP(B191,'Base stats'!B:B,'Base stats'!E:E),Groups!A:A,Groups!BH:BH)*_xlfn.XLOOKUP(B191,'Base stats'!B:B,'Base stats'!C:C)^0.165,0.05)</f>
        <v>0.30000000000000004</v>
      </c>
      <c r="Y191" s="8">
        <f>MROUND(_xlfn.XLOOKUP(_xlfn.XLOOKUP(B191,'Base stats'!B:B,'Base stats'!E:E),Groups!A:A,Groups!BI:BI)*_xlfn.XLOOKUP(B191,'Base stats'!B:B,'Base stats'!C:C)^0.165,0.05)</f>
        <v>0.05</v>
      </c>
      <c r="Z191" s="18">
        <f>MROUND(_xlfn.XLOOKUP(B191,'Base stats'!B:B,'Base stats'!AQ:AQ)*_xlfn.XLOOKUP(_xlfn.XLOOKUP(B191,'Base stats'!B:B,'Base stats'!E:E),Groups!A:A,Groups!H:H)/1000,IF((_xlfn.XLOOKUP(B191,'Base stats'!B:B,'Base stats'!AQ:AQ)*_xlfn.XLOOKUP(_xlfn.XLOOKUP(B191,'Base stats'!B:B,'Base stats'!E:E),Groups!A:A,Groups!H:H)/1000)&gt;1,0.05,0.01))</f>
        <v>0.05</v>
      </c>
      <c r="AA191" s="18">
        <f>MROUND((1/2)*(_xlfn.XLOOKUP(_xlfn.XLOOKUP(B191,'Base stats'!B:B,'Base stats'!E:E),Groups!A:A,Groups!H:H)*_xlfn.XLOOKUP(_xlfn.XLOOKUP(B191,'Base stats'!B:B,'Base stats'!E:E),Groups!A:A,Groups!I:I))*_xlfn.XLOOKUP(B191,'Base stats'!B:B,'Base stats'!AQ:AQ)*0.01,0.05)</f>
        <v>0.2</v>
      </c>
      <c r="AB191" s="18">
        <f>MROUND(250*(Animals!AO191+Animals!AP191),25)</f>
        <v>250</v>
      </c>
      <c r="AC191" s="18" t="str">
        <f>_xlfn.XLOOKUP(_xlfn.XLOOKUP(B191,'Base stats'!B:B,'Base stats'!E:E),Groups!A:A,Groups!BJ:BJ)</f>
        <v>QuadrupedLow</v>
      </c>
    </row>
    <row r="192" spans="1:29" ht="16.5" thickTop="1" thickBot="1" x14ac:dyDescent="0.3">
      <c r="A192" s="16" t="str">
        <f>Animals!A192</f>
        <v>Gorilla</v>
      </c>
      <c r="B192" s="6" t="str">
        <f>Animals!B192</f>
        <v>Gorilla gorilla</v>
      </c>
      <c r="C192" s="1" t="str">
        <f>Animals!C192</f>
        <v>&lt;li&gt;AEXP_Gorilla&lt;/li&gt;</v>
      </c>
      <c r="D192" s="47">
        <f>MIN(MIN(6,_xlfn.XLOOKUP(A192,Animals!A:A,Animals!AO:AO))*20,MAX(MROUND(_xlfn.XLOOKUP(B192,'Base stats'!B:B,'Base stats'!BS:BS) * (_xlfn.XLOOKUP(B192,'Base stats'!B:B,'Base stats'!AO:AO)*5%)^0.9 / 21,0.1),0.05))</f>
        <v>4.3</v>
      </c>
      <c r="E192" s="11">
        <f>MROUND(_xlfn.XLOOKUP(B192,'Base stats'!B:B,'Base stats'!BG:BG) * 0.01 * 2 + 0.01, 0.05)</f>
        <v>3.75</v>
      </c>
      <c r="F192" s="7">
        <f>MROUND(_xlfn.XLOOKUP(B192,'Base stats'!B:B,'Base stats'!BD:BD)^0.25 / (_xlfn.XLOOKUP(B192,'Base stats'!B:B,'Base stats'!BK:BK) * 10) * 150 + 0.5 + _xlfn.XLOOKUP(B192,'Base stats'!B:B,'Base stats'!BW:BW), 0.05)</f>
        <v>1.75</v>
      </c>
      <c r="G192" s="3" t="str">
        <f>IF(Animals!S192="No","No",
IF(_xlfn.XLOOKUP(B192,'Base stats'!B:B,'Base stats'!U:U)="No",
MAX(MROUND(_xlfn.XLOOKUP(B192,'Base stats'!B:B,'Base stats'!BT:BT) * _xlfn.XLOOKUP(B192,'Base stats'!B:B,'Base stats'!BP:BP)^0.9 / 21 * _xlfn.XLOOKUP(B192,'Base stats'!B:B,'Base stats'!BX:BX),0.1),0.05),
MAX(MROUND(((MIN(10,_xlfn.XLOOKUP(B192,'Base stats'!B:B,'Base stats'!U:U)))^0.4*_xlfn.XLOOKUP(B192,'Base stats'!B:B,'Base stats'!BH:BH)^0.73)^0.6 * _xlfn.XLOOKUP(B192,'Base stats'!B:B,'Base stats'!BX:BX),0.1),0.05)
))</f>
        <v>No</v>
      </c>
      <c r="H192" s="11" t="str">
        <f>IF(G192="No","No",
MROUND(_xlfn.XLOOKUP(B192,'Base stats'!B:B,'Base stats'!BH:BH) * 0.01 * 2 + 0.05, 0.05)
)</f>
        <v>No</v>
      </c>
      <c r="I192" s="11" t="str">
        <f>IF(G192="No","No",IF(_xlfn.XLOOKUP(B192,'Base stats'!B:B,'Base stats'!U:U)="No","No",
MROUND(_xlfn.XLOOKUP(B192,'Base stats'!B:B,'Base stats'!BT:BT)/10000+0.01,0.01)
))</f>
        <v>No</v>
      </c>
      <c r="J192" s="4" t="str">
        <f>IF(G192="No","No",
MROUND(_xlfn.XLOOKUP(B192,'Base stats'!B:B,'Base stats'!BE:BE)^0.25
/((_xlfn.XLOOKUP(B192,'Base stats'!B:B,'Base stats'!BL:BL))*10)*_xlfn.XLOOKUP(_xlfn.XLOOKUP(B192,'Base stats'!B:B,'Base stats'!E:E),Groups!A:A,Groups!Q:Q)*150 + 0.5 + _xlfn.XLOOKUP(B192,'Base stats'!B:B,'Base stats'!BW:BW),
0.05))</f>
        <v>No</v>
      </c>
      <c r="K192" s="3" t="str">
        <f>IF(Animals!X192="No","No",
IF(_xlfn.XLOOKUP(_xlfn.XLOOKUP(B192,'Base stats'!B:B,'Base stats'!E:E),Groups!A:A,Groups!BD:BD)=1,
MAX(MROUND(_xlfn.XLOOKUP(B192,'Base stats'!B:B,'Base stats'!BU:BU) * _xlfn.XLOOKUP(B192,'Base stats'!B:B,'Base stats'!BQ:BQ)^0.9 / 21 *_xlfn.XLOOKUP(B192,'Base stats'!B:B,'Base stats'!BX:BX),0.1),0.05),
MAX(MROUND(((MIN(10,_xlfn.XLOOKUP(B192,'Base stats'!B:B,'Base stats'!W:W)))^0.4*_xlfn.XLOOKUP(B192,'Base stats'!B:B,'Base stats'!BI:BI)^0.73)^0.6 *_xlfn.XLOOKUP(B192,'Base stats'!B:B,'Base stats'!BX:BX),0.1),0.05)
))</f>
        <v>No</v>
      </c>
      <c r="L192" s="11" t="str">
        <f>IF(K192="No","No",
MROUND(_xlfn.XLOOKUP(B192,'Base stats'!B:B,'Base stats'!BI:BI) * 0.01 *2 + 0.05, 0.05)
)</f>
        <v>No</v>
      </c>
      <c r="M192" s="5" t="str">
        <f>IF(K192="No","No",IF(_xlfn.XLOOKUP(_xlfn.XLOOKUP(B192,'Base stats'!B:B,'Base stats'!E:E),Groups!A:A,Groups!BD:BD)=1,"No",
MROUND(_xlfn.XLOOKUP(B192,'Base stats'!B:B,'Base stats'!BU:BU)/10000+0.01,0.01)
))</f>
        <v>No</v>
      </c>
      <c r="N192" s="4" t="str">
        <f>IF(K192="No","No",
MROUND(
  _xlfn.XLOOKUP(B192,'Base stats'!B:B,'Base stats'!BC:BC)^0.25
  / (_xlfn.XLOOKUP(B192,'Base stats'!B:B,'Base stats'!BM:BM) * 10)
  * _xlfn.XLOOKUP(
      _xlfn.XLOOKUP(B192,'Base stats'!B:B,'Base stats'!E:E),
      Groups!A:A,
      Groups!V:V
    ) * 150
  + MIN(12, _xlfn.XLOOKUP(B192,'Base stats'!B:B,'Base stats'!W:W))^(1/IF(_xlfn.XLOOKUP(_xlfn.XLOOKUP(B192,'Base stats'!B:B,'Base stats'!E:E),Groups!A:A,Groups!U:U)=1,100,10)) + 0.5 + _xlfn.XLOOKUP(B192,'Base stats'!B:B,'Base stats'!BW:BW),
0.05))</f>
        <v>No</v>
      </c>
      <c r="O192" s="3">
        <f>IF(Animals!AD192="No","No",
MAX(MROUND((MIN(10,_xlfn.XLOOKUP(B192,'Base stats'!B:B,'Base stats'!V:V)*IF(_xlfn.XLOOKUP(_xlfn.XLOOKUP(B192,'Base stats'!B:B,'Base stats'!E:E),Groups!A:A,Groups!O:O)=0,1,0.33))^0.4*_xlfn.XLOOKUP(B192,'Base stats'!B:B,'Base stats'!BJ:BJ)^0.73)^0.6 *_xlfn.XLOOKUP(B192,'Base stats'!B:B,'Base stats'!BX:BX),0.1),0.05)
)</f>
        <v>11.5</v>
      </c>
      <c r="P192" s="11">
        <f>IF(O192="No","No",
MROUND(_xlfn.XLOOKUP(B192,'Base stats'!B:B,'Base stats'!BJ:BJ) * 0.01 * 2 + 0.05, 0.05)
)</f>
        <v>2.85</v>
      </c>
      <c r="Q192" s="5">
        <f>IF(O192="No","No",
MROUND(_xlfn.XLOOKUP(B192,'Base stats'!B:B,'Base stats'!BV:BV)/10000+0.01,0.01)
)</f>
        <v>0.13</v>
      </c>
      <c r="R192" s="4">
        <f>IF(O192="No","No",
MROUND(_xlfn.XLOOKUP(B192,'Base stats'!B:B,'Base stats'!BB:BB)^0.25
/((_xlfn.XLOOKUP(B192,'Base stats'!B:B,'Base stats'!BN:BN))*10)*_xlfn.XLOOKUP(_xlfn.XLOOKUP(B192,'Base stats'!B:B,'Base stats'!E:E),Groups!A:A,Groups!Z:Z)*150 + 0.5 + _xlfn.XLOOKUP(B192,'Base stats'!B:B,'Base stats'!BW:BW),
0.05))</f>
        <v>2.1</v>
      </c>
      <c r="S192" s="3">
        <f>IF(Animals!AI192="No","No",
IF(_xlfn.XLOOKUP(B192,'Base stats'!B:B,'Base stats'!U:U)="No",
MAX(MROUND(_xlfn.XLOOKUP(B192,'Base stats'!B:B,'Base stats'!BT:BT) * _xlfn.XLOOKUP(B192,'Base stats'!B:B,'Base stats'!BP:BP)^0.9 / 21 * _xlfn.XLOOKUP(B192,'Base stats'!B:B,'Base stats'!BX:BX),0.1),0.05),
MAX(MROUND(((MIN(12,_xlfn.XLOOKUP(B192,'Base stats'!B:B,'Base stats'!U:U)))^0.4*_xlfn.XLOOKUP(B192,'Base stats'!B:B,'Base stats'!BH:BH)^0.73)^0.6 * _xlfn.XLOOKUP(B192,'Base stats'!B:B,'Base stats'!BX:BX),0.1),0.05)
))</f>
        <v>9.2000000000000011</v>
      </c>
      <c r="T192" s="11">
        <f>IF(S192="No","No",
MROUND(_xlfn.XLOOKUP(B192,'Base stats'!B:B,'Base stats'!BH:BH) * 0.01 * 2 + 0.05, 0.05)
)</f>
        <v>4.6500000000000004</v>
      </c>
      <c r="U192" s="5" t="str">
        <f>IF(S192="No","No",IF(_xlfn.XLOOKUP(B192,'Base stats'!B:B,'Base stats'!U:U)="No","No",
MROUND(_xlfn.XLOOKUP(B192,'Base stats'!B:B,'Base stats'!BT:BT)/10000+0.01,0.01)
))</f>
        <v>No</v>
      </c>
      <c r="V192" s="4">
        <f>IF(S192="No","No",
MROUND(_xlfn.XLOOKUP(B192,'Base stats'!B:B,'Base stats'!BF:BF)^0.25
/((_xlfn.XLOOKUP(B192,'Base stats'!B:B,'Base stats'!BO:BO))*10)*_xlfn.XLOOKUP(_xlfn.XLOOKUP(B192,'Base stats'!B:B,'Base stats'!E:E),Groups!A:A,Groups!AE:AE)*150 + 0.5 + _xlfn.XLOOKUP(B192,'Base stats'!B:B,'Base stats'!BW:BW),
0.05))</f>
        <v>1.4500000000000002</v>
      </c>
      <c r="W192" s="8">
        <f>MROUND(_xlfn.XLOOKUP(_xlfn.XLOOKUP(B192,'Base stats'!B:B,'Base stats'!E:E),Groups!A:A,Groups!BG:BG)*_xlfn.XLOOKUP(B192,'Base stats'!B:B,'Base stats'!C:C)^-0.165,0.05)</f>
        <v>0.45</v>
      </c>
      <c r="X192" s="1">
        <f>MROUND(_xlfn.XLOOKUP(_xlfn.XLOOKUP(B192,'Base stats'!B:B,'Base stats'!E:E),Groups!A:A,Groups!BH:BH)*_xlfn.XLOOKUP(B192,'Base stats'!B:B,'Base stats'!C:C)^0.165,0.05)</f>
        <v>0.25</v>
      </c>
      <c r="Y192" s="8">
        <f>MROUND(_xlfn.XLOOKUP(_xlfn.XLOOKUP(B192,'Base stats'!B:B,'Base stats'!E:E),Groups!A:A,Groups!BI:BI)*_xlfn.XLOOKUP(B192,'Base stats'!B:B,'Base stats'!C:C)^0.165,0.05)</f>
        <v>0.1</v>
      </c>
      <c r="Z192" s="18">
        <f>MROUND(_xlfn.XLOOKUP(B192,'Base stats'!B:B,'Base stats'!AQ:AQ)*_xlfn.XLOOKUP(_xlfn.XLOOKUP(B192,'Base stats'!B:B,'Base stats'!E:E),Groups!A:A,Groups!H:H)/1000,IF((_xlfn.XLOOKUP(B192,'Base stats'!B:B,'Base stats'!AQ:AQ)*_xlfn.XLOOKUP(_xlfn.XLOOKUP(B192,'Base stats'!B:B,'Base stats'!E:E),Groups!A:A,Groups!H:H)/1000)&gt;1,0.05,0.01))</f>
        <v>0.08</v>
      </c>
      <c r="AA192" s="18">
        <f>MROUND((1/2)*(_xlfn.XLOOKUP(_xlfn.XLOOKUP(B192,'Base stats'!B:B,'Base stats'!E:E),Groups!A:A,Groups!H:H)*_xlfn.XLOOKUP(_xlfn.XLOOKUP(B192,'Base stats'!B:B,'Base stats'!E:E),Groups!A:A,Groups!I:I))*_xlfn.XLOOKUP(B192,'Base stats'!B:B,'Base stats'!AQ:AQ)*0.01,0.05)</f>
        <v>0.30000000000000004</v>
      </c>
      <c r="AB192" s="18">
        <f>MROUND(250*(Animals!AO192+Animals!AP192),25)</f>
        <v>750</v>
      </c>
      <c r="AC192" s="18" t="str">
        <f>_xlfn.XLOOKUP(_xlfn.XLOOKUP(B192,'Base stats'!B:B,'Base stats'!E:E),Groups!A:A,Groups!BJ:BJ)</f>
        <v>HumanoidWide</v>
      </c>
    </row>
    <row r="193" spans="1:29" ht="16.5" thickTop="1" thickBot="1" x14ac:dyDescent="0.3">
      <c r="A193" s="16" t="str">
        <f>Animals!A193</f>
        <v>Penguin</v>
      </c>
      <c r="B193" s="6" t="str">
        <f>Animals!B193</f>
        <v>Aptenodytes forsteri</v>
      </c>
      <c r="C193" s="1" t="str">
        <f>Animals!C193</f>
        <v>&lt;li&gt;AEXP_Penguin&lt;/li&gt;</v>
      </c>
      <c r="D193" s="47">
        <f>MIN(MIN(6,_xlfn.XLOOKUP(A193,Animals!A:A,Animals!AO:AO))*20,MAX(MROUND(_xlfn.XLOOKUP(B193,'Base stats'!B:B,'Base stats'!BS:BS) * (_xlfn.XLOOKUP(B193,'Base stats'!B:B,'Base stats'!AO:AO)*5%)^0.9 / 21,0.1),0.05))</f>
        <v>1.1000000000000001</v>
      </c>
      <c r="E193" s="11">
        <f>MROUND(_xlfn.XLOOKUP(B193,'Base stats'!B:B,'Base stats'!BG:BG) * 0.01 * 2 + 0.01, 0.05)</f>
        <v>0.85000000000000009</v>
      </c>
      <c r="F193" s="7">
        <f>MROUND(_xlfn.XLOOKUP(B193,'Base stats'!B:B,'Base stats'!BD:BD)^0.25 / (_xlfn.XLOOKUP(B193,'Base stats'!B:B,'Base stats'!BK:BK) * 10) * 150 + 0.5 + _xlfn.XLOOKUP(B193,'Base stats'!B:B,'Base stats'!BW:BW), 0.05)</f>
        <v>1.75</v>
      </c>
      <c r="G193" s="3" t="str">
        <f>IF(Animals!S193="No","No",
IF(_xlfn.XLOOKUP(B193,'Base stats'!B:B,'Base stats'!U:U)="No",
MAX(MROUND(_xlfn.XLOOKUP(B193,'Base stats'!B:B,'Base stats'!BT:BT) * _xlfn.XLOOKUP(B193,'Base stats'!B:B,'Base stats'!BP:BP)^0.9 / 21 * _xlfn.XLOOKUP(B193,'Base stats'!B:B,'Base stats'!BX:BX),0.1),0.05),
MAX(MROUND(((MIN(10,_xlfn.XLOOKUP(B193,'Base stats'!B:B,'Base stats'!U:U)))^0.4*_xlfn.XLOOKUP(B193,'Base stats'!B:B,'Base stats'!BH:BH)^0.73)^0.6 * _xlfn.XLOOKUP(B193,'Base stats'!B:B,'Base stats'!BX:BX),0.1),0.05)
))</f>
        <v>No</v>
      </c>
      <c r="H193" s="11" t="str">
        <f>IF(G193="No","No",
MROUND(_xlfn.XLOOKUP(B193,'Base stats'!B:B,'Base stats'!BH:BH) * 0.01 * 2 + 0.05, 0.05)
)</f>
        <v>No</v>
      </c>
      <c r="I193" s="11" t="str">
        <f>IF(G193="No","No",IF(_xlfn.XLOOKUP(B193,'Base stats'!B:B,'Base stats'!U:U)="No","No",
MROUND(_xlfn.XLOOKUP(B193,'Base stats'!B:B,'Base stats'!BT:BT)/10000+0.01,0.01)
))</f>
        <v>No</v>
      </c>
      <c r="J193" s="4" t="str">
        <f>IF(G193="No","No",
MROUND(_xlfn.XLOOKUP(B193,'Base stats'!B:B,'Base stats'!BE:BE)^0.25
/((_xlfn.XLOOKUP(B193,'Base stats'!B:B,'Base stats'!BL:BL))*10)*_xlfn.XLOOKUP(_xlfn.XLOOKUP(B193,'Base stats'!B:B,'Base stats'!E:E),Groups!A:A,Groups!Q:Q)*150 + 0.5 + _xlfn.XLOOKUP(B193,'Base stats'!B:B,'Base stats'!BW:BW),
0.05))</f>
        <v>No</v>
      </c>
      <c r="K193" s="3" t="str">
        <f>IF(Animals!X193="No","No",
IF(_xlfn.XLOOKUP(_xlfn.XLOOKUP(B193,'Base stats'!B:B,'Base stats'!E:E),Groups!A:A,Groups!BD:BD)=1,
MAX(MROUND(_xlfn.XLOOKUP(B193,'Base stats'!B:B,'Base stats'!BU:BU) * _xlfn.XLOOKUP(B193,'Base stats'!B:B,'Base stats'!BQ:BQ)^0.9 / 21 *_xlfn.XLOOKUP(B193,'Base stats'!B:B,'Base stats'!BX:BX),0.1),0.05),
MAX(MROUND(((MIN(10,_xlfn.XLOOKUP(B193,'Base stats'!B:B,'Base stats'!W:W)))^0.4*_xlfn.XLOOKUP(B193,'Base stats'!B:B,'Base stats'!BI:BI)^0.73)^0.6 *_xlfn.XLOOKUP(B193,'Base stats'!B:B,'Base stats'!BX:BX),0.1),0.05)
))</f>
        <v>No</v>
      </c>
      <c r="L193" s="11" t="str">
        <f>IF(K193="No","No",
MROUND(_xlfn.XLOOKUP(B193,'Base stats'!B:B,'Base stats'!BI:BI) * 0.01 *2 + 0.05, 0.05)
)</f>
        <v>No</v>
      </c>
      <c r="M193" s="5" t="str">
        <f>IF(K193="No","No",IF(_xlfn.XLOOKUP(_xlfn.XLOOKUP(B193,'Base stats'!B:B,'Base stats'!E:E),Groups!A:A,Groups!BD:BD)=1,"No",
MROUND(_xlfn.XLOOKUP(B193,'Base stats'!B:B,'Base stats'!BU:BU)/10000+0.01,0.01)
))</f>
        <v>No</v>
      </c>
      <c r="N193" s="4" t="str">
        <f>IF(K193="No","No",
MROUND(
  _xlfn.XLOOKUP(B193,'Base stats'!B:B,'Base stats'!BC:BC)^0.25
  / (_xlfn.XLOOKUP(B193,'Base stats'!B:B,'Base stats'!BM:BM) * 10)
  * _xlfn.XLOOKUP(
      _xlfn.XLOOKUP(B193,'Base stats'!B:B,'Base stats'!E:E),
      Groups!A:A,
      Groups!V:V
    ) * 150
  + MIN(12, _xlfn.XLOOKUP(B193,'Base stats'!B:B,'Base stats'!W:W))^(1/IF(_xlfn.XLOOKUP(_xlfn.XLOOKUP(B193,'Base stats'!B:B,'Base stats'!E:E),Groups!A:A,Groups!U:U)=1,100,10)) + 0.5 + _xlfn.XLOOKUP(B193,'Base stats'!B:B,'Base stats'!BW:BW),
0.05))</f>
        <v>No</v>
      </c>
      <c r="O193" s="3">
        <f>IF(Animals!AD193="No","No",
MAX(MROUND((MIN(10,_xlfn.XLOOKUP(B193,'Base stats'!B:B,'Base stats'!V:V)*IF(_xlfn.XLOOKUP(_xlfn.XLOOKUP(B193,'Base stats'!B:B,'Base stats'!E:E),Groups!A:A,Groups!O:O)=0,1,0.33))^0.4*_xlfn.XLOOKUP(B193,'Base stats'!B:B,'Base stats'!BJ:BJ)^0.73)^0.6 *_xlfn.XLOOKUP(B193,'Base stats'!B:B,'Base stats'!BX:BX),0.1),0.05)
)</f>
        <v>3.2</v>
      </c>
      <c r="P193" s="11">
        <f>IF(O193="No","No",
MROUND(_xlfn.XLOOKUP(B193,'Base stats'!B:B,'Base stats'!BJ:BJ) * 0.01 * 2 + 0.05, 0.05)
)</f>
        <v>0.2</v>
      </c>
      <c r="Q193" s="5">
        <f>IF(O193="No","No",
MROUND(_xlfn.XLOOKUP(B193,'Base stats'!B:B,'Base stats'!BV:BV)/10000+0.01,0.01)
)</f>
        <v>0.02</v>
      </c>
      <c r="R193" s="4">
        <f>IF(O193="No","No",
MROUND(_xlfn.XLOOKUP(B193,'Base stats'!B:B,'Base stats'!BB:BB)^0.25
/((_xlfn.XLOOKUP(B193,'Base stats'!B:B,'Base stats'!BN:BN))*10)*_xlfn.XLOOKUP(_xlfn.XLOOKUP(B193,'Base stats'!B:B,'Base stats'!E:E),Groups!A:A,Groups!Z:Z)*150 + 0.5 + _xlfn.XLOOKUP(B193,'Base stats'!B:B,'Base stats'!BW:BW),
0.05))</f>
        <v>2.1</v>
      </c>
      <c r="S193" s="3" t="str">
        <f>IF(Animals!AI193="No","No",
IF(_xlfn.XLOOKUP(B193,'Base stats'!B:B,'Base stats'!U:U)="No",
MAX(MROUND(_xlfn.XLOOKUP(B193,'Base stats'!B:B,'Base stats'!BT:BT) * _xlfn.XLOOKUP(B193,'Base stats'!B:B,'Base stats'!BP:BP)^0.9 / 21 * _xlfn.XLOOKUP(B193,'Base stats'!B:B,'Base stats'!BX:BX),0.1),0.05),
MAX(MROUND(((MIN(12,_xlfn.XLOOKUP(B193,'Base stats'!B:B,'Base stats'!U:U)))^0.4*_xlfn.XLOOKUP(B193,'Base stats'!B:B,'Base stats'!BH:BH)^0.73)^0.6 * _xlfn.XLOOKUP(B193,'Base stats'!B:B,'Base stats'!BX:BX),0.1),0.05)
))</f>
        <v>No</v>
      </c>
      <c r="T193" s="11" t="str">
        <f>IF(S193="No","No",
MROUND(_xlfn.XLOOKUP(B193,'Base stats'!B:B,'Base stats'!BH:BH) * 0.01 * 2 + 0.05, 0.05)
)</f>
        <v>No</v>
      </c>
      <c r="U193" s="5" t="str">
        <f>IF(S193="No","No",IF(_xlfn.XLOOKUP(B193,'Base stats'!B:B,'Base stats'!U:U)="No","No",
MROUND(_xlfn.XLOOKUP(B193,'Base stats'!B:B,'Base stats'!BT:BT)/10000+0.01,0.01)
))</f>
        <v>No</v>
      </c>
      <c r="V193" s="4" t="str">
        <f>IF(S193="No","No",
MROUND(_xlfn.XLOOKUP(B193,'Base stats'!B:B,'Base stats'!BF:BF)^0.25
/((_xlfn.XLOOKUP(B193,'Base stats'!B:B,'Base stats'!BO:BO))*10)*_xlfn.XLOOKUP(_xlfn.XLOOKUP(B193,'Base stats'!B:B,'Base stats'!E:E),Groups!A:A,Groups!AE:AE)*150 + 0.5 + _xlfn.XLOOKUP(B193,'Base stats'!B:B,'Base stats'!BW:BW),
0.05))</f>
        <v>No</v>
      </c>
      <c r="W193" s="8">
        <f>MROUND(_xlfn.XLOOKUP(_xlfn.XLOOKUP(B193,'Base stats'!B:B,'Base stats'!E:E),Groups!A:A,Groups!BG:BG)*_xlfn.XLOOKUP(B193,'Base stats'!B:B,'Base stats'!C:C)^-0.165,0.05)</f>
        <v>0.55000000000000004</v>
      </c>
      <c r="X193" s="1">
        <f>MROUND(_xlfn.XLOOKUP(_xlfn.XLOOKUP(B193,'Base stats'!B:B,'Base stats'!E:E),Groups!A:A,Groups!BH:BH)*_xlfn.XLOOKUP(B193,'Base stats'!B:B,'Base stats'!C:C)^0.165,0.05)</f>
        <v>0</v>
      </c>
      <c r="Y193" s="8">
        <f>MROUND(_xlfn.XLOOKUP(_xlfn.XLOOKUP(B193,'Base stats'!B:B,'Base stats'!E:E),Groups!A:A,Groups!BI:BI)*_xlfn.XLOOKUP(B193,'Base stats'!B:B,'Base stats'!C:C)^0.165,0.05)</f>
        <v>0</v>
      </c>
      <c r="Z193" s="18">
        <f>MROUND(_xlfn.XLOOKUP(B193,'Base stats'!B:B,'Base stats'!AQ:AQ)*_xlfn.XLOOKUP(_xlfn.XLOOKUP(B193,'Base stats'!B:B,'Base stats'!E:E),Groups!A:A,Groups!H:H)/1000,IF((_xlfn.XLOOKUP(B193,'Base stats'!B:B,'Base stats'!AQ:AQ)*_xlfn.XLOOKUP(_xlfn.XLOOKUP(B193,'Base stats'!B:B,'Base stats'!E:E),Groups!A:A,Groups!H:H)/1000)&gt;1,0.05,0.01))</f>
        <v>0</v>
      </c>
      <c r="AA193" s="18">
        <f>MROUND((1/2)*(_xlfn.XLOOKUP(_xlfn.XLOOKUP(B193,'Base stats'!B:B,'Base stats'!E:E),Groups!A:A,Groups!H:H)*_xlfn.XLOOKUP(_xlfn.XLOOKUP(B193,'Base stats'!B:B,'Base stats'!E:E),Groups!A:A,Groups!I:I))*_xlfn.XLOOKUP(B193,'Base stats'!B:B,'Base stats'!AQ:AQ)*0.01,0.05)</f>
        <v>0</v>
      </c>
      <c r="AB193" s="18">
        <f>MROUND(250*(Animals!AO193+Animals!AP193),25)</f>
        <v>350</v>
      </c>
      <c r="AC193" s="18" t="str">
        <f>_xlfn.XLOOKUP(_xlfn.XLOOKUP(B193,'Base stats'!B:B,'Base stats'!E:E),Groups!A:A,Groups!BJ:BJ)</f>
        <v>Birdlike</v>
      </c>
    </row>
    <row r="194" spans="1:29" ht="16.5" thickTop="1" thickBot="1" x14ac:dyDescent="0.3">
      <c r="A194" s="16" t="str">
        <f>Animals!A194</f>
        <v>Hippo</v>
      </c>
      <c r="B194" s="6" t="str">
        <f>Animals!B194</f>
        <v>Hippopotamus amphibius</v>
      </c>
      <c r="C194" s="1" t="str">
        <f>Animals!C194</f>
        <v>&lt;li&gt;AEXP_Hippopotamus&lt;/li&gt;</v>
      </c>
      <c r="D194" s="47">
        <f>MIN(MIN(6,_xlfn.XLOOKUP(A194,Animals!A:A,Animals!AO:AO))*20,MAX(MROUND(_xlfn.XLOOKUP(B194,'Base stats'!B:B,'Base stats'!BS:BS) * (_xlfn.XLOOKUP(B194,'Base stats'!B:B,'Base stats'!AO:AO)*5%)^0.9 / 21,0.1),0.05))</f>
        <v>27.200000000000003</v>
      </c>
      <c r="E194" s="11">
        <f>MROUND(_xlfn.XLOOKUP(B194,'Base stats'!B:B,'Base stats'!BG:BG) * 0.01 * 2 + 0.01, 0.05)</f>
        <v>27.25</v>
      </c>
      <c r="F194" s="7">
        <f>MROUND(_xlfn.XLOOKUP(B194,'Base stats'!B:B,'Base stats'!BD:BD)^0.25 / (_xlfn.XLOOKUP(B194,'Base stats'!B:B,'Base stats'!BK:BK) * 10) * 150 + 0.5 + _xlfn.XLOOKUP(B194,'Base stats'!B:B,'Base stats'!BW:BW), 0.05)</f>
        <v>2</v>
      </c>
      <c r="G194" s="3" t="str">
        <f>IF(Animals!S194="No","No",
IF(_xlfn.XLOOKUP(B194,'Base stats'!B:B,'Base stats'!U:U)="No",
MAX(MROUND(_xlfn.XLOOKUP(B194,'Base stats'!B:B,'Base stats'!BT:BT) * _xlfn.XLOOKUP(B194,'Base stats'!B:B,'Base stats'!BP:BP)^0.9 / 21 * _xlfn.XLOOKUP(B194,'Base stats'!B:B,'Base stats'!BX:BX),0.1),0.05),
MAX(MROUND(((MIN(10,_xlfn.XLOOKUP(B194,'Base stats'!B:B,'Base stats'!U:U)))^0.4*_xlfn.XLOOKUP(B194,'Base stats'!B:B,'Base stats'!BH:BH)^0.73)^0.6 * _xlfn.XLOOKUP(B194,'Base stats'!B:B,'Base stats'!BX:BX),0.1),0.05)
))</f>
        <v>No</v>
      </c>
      <c r="H194" s="11" t="str">
        <f>IF(G194="No","No",
MROUND(_xlfn.XLOOKUP(B194,'Base stats'!B:B,'Base stats'!BH:BH) * 0.01 * 2 + 0.05, 0.05)
)</f>
        <v>No</v>
      </c>
      <c r="I194" s="11" t="str">
        <f>IF(G194="No","No",IF(_xlfn.XLOOKUP(B194,'Base stats'!B:B,'Base stats'!U:U)="No","No",
MROUND(_xlfn.XLOOKUP(B194,'Base stats'!B:B,'Base stats'!BT:BT)/10000+0.01,0.01)
))</f>
        <v>No</v>
      </c>
      <c r="J194" s="4" t="str">
        <f>IF(G194="No","No",
MROUND(_xlfn.XLOOKUP(B194,'Base stats'!B:B,'Base stats'!BE:BE)^0.25
/((_xlfn.XLOOKUP(B194,'Base stats'!B:B,'Base stats'!BL:BL))*10)*_xlfn.XLOOKUP(_xlfn.XLOOKUP(B194,'Base stats'!B:B,'Base stats'!E:E),Groups!A:A,Groups!Q:Q)*150 + 0.5 + _xlfn.XLOOKUP(B194,'Base stats'!B:B,'Base stats'!BW:BW),
0.05))</f>
        <v>No</v>
      </c>
      <c r="K194" s="3" t="str">
        <f>IF(Animals!X194="No","No",
IF(_xlfn.XLOOKUP(_xlfn.XLOOKUP(B194,'Base stats'!B:B,'Base stats'!E:E),Groups!A:A,Groups!BD:BD)=1,
MAX(MROUND(_xlfn.XLOOKUP(B194,'Base stats'!B:B,'Base stats'!BU:BU) * _xlfn.XLOOKUP(B194,'Base stats'!B:B,'Base stats'!BQ:BQ)^0.9 / 21 *_xlfn.XLOOKUP(B194,'Base stats'!B:B,'Base stats'!BX:BX),0.1),0.05),
MAX(MROUND(((MIN(10,_xlfn.XLOOKUP(B194,'Base stats'!B:B,'Base stats'!W:W)))^0.4*_xlfn.XLOOKUP(B194,'Base stats'!B:B,'Base stats'!BI:BI)^0.73)^0.6 *_xlfn.XLOOKUP(B194,'Base stats'!B:B,'Base stats'!BX:BX),0.1),0.05)
))</f>
        <v>No</v>
      </c>
      <c r="L194" s="11" t="str">
        <f>IF(K194="No","No",
MROUND(_xlfn.XLOOKUP(B194,'Base stats'!B:B,'Base stats'!BI:BI) * 0.01 *2 + 0.05, 0.05)
)</f>
        <v>No</v>
      </c>
      <c r="M194" s="5" t="str">
        <f>IF(K194="No","No",IF(_xlfn.XLOOKUP(_xlfn.XLOOKUP(B194,'Base stats'!B:B,'Base stats'!E:E),Groups!A:A,Groups!BD:BD)=1,"No",
MROUND(_xlfn.XLOOKUP(B194,'Base stats'!B:B,'Base stats'!BU:BU)/10000+0.01,0.01)
))</f>
        <v>No</v>
      </c>
      <c r="N194" s="4" t="str">
        <f>IF(K194="No","No",
MROUND(
  _xlfn.XLOOKUP(B194,'Base stats'!B:B,'Base stats'!BC:BC)^0.25
  / (_xlfn.XLOOKUP(B194,'Base stats'!B:B,'Base stats'!BM:BM) * 10)
  * _xlfn.XLOOKUP(
      _xlfn.XLOOKUP(B194,'Base stats'!B:B,'Base stats'!E:E),
      Groups!A:A,
      Groups!V:V
    ) * 150
  + MIN(12, _xlfn.XLOOKUP(B194,'Base stats'!B:B,'Base stats'!W:W))^(1/IF(_xlfn.XLOOKUP(_xlfn.XLOOKUP(B194,'Base stats'!B:B,'Base stats'!E:E),Groups!A:A,Groups!U:U)=1,100,10)) + 0.5 + _xlfn.XLOOKUP(B194,'Base stats'!B:B,'Base stats'!BW:BW),
0.05))</f>
        <v>No</v>
      </c>
      <c r="O194" s="3">
        <f>IF(Animals!AD194="No","No",
MAX(MROUND((MIN(10,_xlfn.XLOOKUP(B194,'Base stats'!B:B,'Base stats'!V:V)*IF(_xlfn.XLOOKUP(_xlfn.XLOOKUP(B194,'Base stats'!B:B,'Base stats'!E:E),Groups!A:A,Groups!O:O)=0,1,0.33))^0.4*_xlfn.XLOOKUP(B194,'Base stats'!B:B,'Base stats'!BJ:BJ)^0.73)^0.6 *_xlfn.XLOOKUP(B194,'Base stats'!B:B,'Base stats'!BX:BX),0.1),0.05)
)</f>
        <v>33.4</v>
      </c>
      <c r="P194" s="11">
        <f>IF(O194="No","No",
MROUND(_xlfn.XLOOKUP(B194,'Base stats'!B:B,'Base stats'!BJ:BJ) * 0.01 * 2 + 0.05, 0.05)
)</f>
        <v>17.100000000000001</v>
      </c>
      <c r="Q194" s="5">
        <f>IF(O194="No","No",
MROUND(_xlfn.XLOOKUP(B194,'Base stats'!B:B,'Base stats'!BV:BV)/10000+0.01,0.01)
)</f>
        <v>0.11</v>
      </c>
      <c r="R194" s="4">
        <f>IF(O194="No","No",
MROUND(_xlfn.XLOOKUP(B194,'Base stats'!B:B,'Base stats'!BB:BB)^0.25
/((_xlfn.XLOOKUP(B194,'Base stats'!B:B,'Base stats'!BN:BN))*10)*_xlfn.XLOOKUP(_xlfn.XLOOKUP(B194,'Base stats'!B:B,'Base stats'!E:E),Groups!A:A,Groups!Z:Z)*150 + 0.5 + _xlfn.XLOOKUP(B194,'Base stats'!B:B,'Base stats'!BW:BW),
0.05))</f>
        <v>2.7</v>
      </c>
      <c r="S194" s="3" t="str">
        <f>IF(Animals!AI194="No","No",
IF(_xlfn.XLOOKUP(B194,'Base stats'!B:B,'Base stats'!U:U)="No",
MAX(MROUND(_xlfn.XLOOKUP(B194,'Base stats'!B:B,'Base stats'!BT:BT) * _xlfn.XLOOKUP(B194,'Base stats'!B:B,'Base stats'!BP:BP)^0.9 / 21 * _xlfn.XLOOKUP(B194,'Base stats'!B:B,'Base stats'!BX:BX),0.1),0.05),
MAX(MROUND(((MIN(12,_xlfn.XLOOKUP(B194,'Base stats'!B:B,'Base stats'!U:U)))^0.4*_xlfn.XLOOKUP(B194,'Base stats'!B:B,'Base stats'!BH:BH)^0.73)^0.6 * _xlfn.XLOOKUP(B194,'Base stats'!B:B,'Base stats'!BX:BX),0.1),0.05)
))</f>
        <v>No</v>
      </c>
      <c r="T194" s="11" t="str">
        <f>IF(S194="No","No",
MROUND(_xlfn.XLOOKUP(B194,'Base stats'!B:B,'Base stats'!BH:BH) * 0.01 * 2 + 0.05, 0.05)
)</f>
        <v>No</v>
      </c>
      <c r="U194" s="5" t="str">
        <f>IF(S194="No","No",IF(_xlfn.XLOOKUP(B194,'Base stats'!B:B,'Base stats'!U:U)="No","No",
MROUND(_xlfn.XLOOKUP(B194,'Base stats'!B:B,'Base stats'!BT:BT)/10000+0.01,0.01)
))</f>
        <v>No</v>
      </c>
      <c r="V194" s="4" t="str">
        <f>IF(S194="No","No",
MROUND(_xlfn.XLOOKUP(B194,'Base stats'!B:B,'Base stats'!BF:BF)^0.25
/((_xlfn.XLOOKUP(B194,'Base stats'!B:B,'Base stats'!BO:BO))*10)*_xlfn.XLOOKUP(_xlfn.XLOOKUP(B194,'Base stats'!B:B,'Base stats'!E:E),Groups!A:A,Groups!AE:AE)*150 + 0.5 + _xlfn.XLOOKUP(B194,'Base stats'!B:B,'Base stats'!BW:BW),
0.05))</f>
        <v>No</v>
      </c>
      <c r="W194" s="8">
        <f>MROUND(_xlfn.XLOOKUP(_xlfn.XLOOKUP(B194,'Base stats'!B:B,'Base stats'!E:E),Groups!A:A,Groups!BG:BG)*_xlfn.XLOOKUP(B194,'Base stats'!B:B,'Base stats'!C:C)^-0.165,0.05)</f>
        <v>0.1</v>
      </c>
      <c r="X194" s="1">
        <f>MROUND(_xlfn.XLOOKUP(_xlfn.XLOOKUP(B194,'Base stats'!B:B,'Base stats'!E:E),Groups!A:A,Groups!BH:BH)*_xlfn.XLOOKUP(B194,'Base stats'!B:B,'Base stats'!C:C)^0.165,0.05)</f>
        <v>0.35000000000000003</v>
      </c>
      <c r="Y194" s="8">
        <f>MROUND(_xlfn.XLOOKUP(_xlfn.XLOOKUP(B194,'Base stats'!B:B,'Base stats'!E:E),Groups!A:A,Groups!BI:BI)*_xlfn.XLOOKUP(B194,'Base stats'!B:B,'Base stats'!C:C)^0.165,0.05)</f>
        <v>0.1</v>
      </c>
      <c r="Z194" s="18">
        <f>MROUND(_xlfn.XLOOKUP(B194,'Base stats'!B:B,'Base stats'!AQ:AQ)*_xlfn.XLOOKUP(_xlfn.XLOOKUP(B194,'Base stats'!B:B,'Base stats'!E:E),Groups!A:A,Groups!H:H)/1000,IF((_xlfn.XLOOKUP(B194,'Base stats'!B:B,'Base stats'!AQ:AQ)*_xlfn.XLOOKUP(_xlfn.XLOOKUP(B194,'Base stats'!B:B,'Base stats'!E:E),Groups!A:A,Groups!H:H)/1000)&gt;1,0.05,0.01))</f>
        <v>0.37</v>
      </c>
      <c r="AA194" s="18">
        <f>MROUND((1/2)*(_xlfn.XLOOKUP(_xlfn.XLOOKUP(B194,'Base stats'!B:B,'Base stats'!E:E),Groups!A:A,Groups!H:H)*_xlfn.XLOOKUP(_xlfn.XLOOKUP(B194,'Base stats'!B:B,'Base stats'!E:E),Groups!A:A,Groups!I:I))*_xlfn.XLOOKUP(B194,'Base stats'!B:B,'Base stats'!AQ:AQ)*0.01,0.05)</f>
        <v>1.6</v>
      </c>
      <c r="AB194" s="18">
        <f>MROUND(250*(Animals!AO194+Animals!AP194),25)</f>
        <v>2075</v>
      </c>
      <c r="AC194" s="18" t="str">
        <f>_xlfn.XLOOKUP(_xlfn.XLOOKUP(B194,'Base stats'!B:B,'Base stats'!E:E),Groups!A:A,Groups!BJ:BJ)</f>
        <v>Quadruped</v>
      </c>
    </row>
    <row r="195" spans="1:29" ht="16.5" thickTop="1" thickBot="1" x14ac:dyDescent="0.3">
      <c r="A195" s="16" t="str">
        <f>Animals!A195</f>
        <v>Otter</v>
      </c>
      <c r="B195" s="6" t="str">
        <f>Animals!B195</f>
        <v>Lutra lutra</v>
      </c>
      <c r="C195" s="1" t="str">
        <f>Animals!C195</f>
        <v>&lt;li&gt;AEXP_Otter&lt;/li&gt;</v>
      </c>
      <c r="D195" s="47">
        <f>MIN(MIN(6,_xlfn.XLOOKUP(A195,Animals!A:A,Animals!AO:AO))*20,MAX(MROUND(_xlfn.XLOOKUP(B195,'Base stats'!B:B,'Base stats'!BS:BS) * (_xlfn.XLOOKUP(B195,'Base stats'!B:B,'Base stats'!AO:AO)*5%)^0.9 / 21,0.1),0.05))</f>
        <v>0.5</v>
      </c>
      <c r="E195" s="11">
        <f>MROUND(_xlfn.XLOOKUP(B195,'Base stats'!B:B,'Base stats'!BG:BG) * 0.01 * 2 + 0.01, 0.05)</f>
        <v>0.35000000000000003</v>
      </c>
      <c r="F195" s="7">
        <f>MROUND(_xlfn.XLOOKUP(B195,'Base stats'!B:B,'Base stats'!BD:BD)^0.25 / (_xlfn.XLOOKUP(B195,'Base stats'!B:B,'Base stats'!BK:BK) * 10) * 150 + 0.5 + _xlfn.XLOOKUP(B195,'Base stats'!B:B,'Base stats'!BW:BW), 0.05)</f>
        <v>1.6</v>
      </c>
      <c r="G195" s="3" t="str">
        <f>IF(Animals!S195="No","No",
IF(_xlfn.XLOOKUP(B195,'Base stats'!B:B,'Base stats'!U:U)="No",
MAX(MROUND(_xlfn.XLOOKUP(B195,'Base stats'!B:B,'Base stats'!BT:BT) * _xlfn.XLOOKUP(B195,'Base stats'!B:B,'Base stats'!BP:BP)^0.9 / 21 * _xlfn.XLOOKUP(B195,'Base stats'!B:B,'Base stats'!BX:BX),0.1),0.05),
MAX(MROUND(((MIN(10,_xlfn.XLOOKUP(B195,'Base stats'!B:B,'Base stats'!U:U)))^0.4*_xlfn.XLOOKUP(B195,'Base stats'!B:B,'Base stats'!BH:BH)^0.73)^0.6 * _xlfn.XLOOKUP(B195,'Base stats'!B:B,'Base stats'!BX:BX),0.1),0.05)
))</f>
        <v>No</v>
      </c>
      <c r="H195" s="11" t="str">
        <f>IF(G195="No","No",
MROUND(_xlfn.XLOOKUP(B195,'Base stats'!B:B,'Base stats'!BH:BH) * 0.01 * 2 + 0.05, 0.05)
)</f>
        <v>No</v>
      </c>
      <c r="I195" s="11" t="str">
        <f>IF(G195="No","No",IF(_xlfn.XLOOKUP(B195,'Base stats'!B:B,'Base stats'!U:U)="No","No",
MROUND(_xlfn.XLOOKUP(B195,'Base stats'!B:B,'Base stats'!BT:BT)/10000+0.01,0.01)
))</f>
        <v>No</v>
      </c>
      <c r="J195" s="4" t="str">
        <f>IF(G195="No","No",
MROUND(_xlfn.XLOOKUP(B195,'Base stats'!B:B,'Base stats'!BE:BE)^0.25
/((_xlfn.XLOOKUP(B195,'Base stats'!B:B,'Base stats'!BL:BL))*10)*_xlfn.XLOOKUP(_xlfn.XLOOKUP(B195,'Base stats'!B:B,'Base stats'!E:E),Groups!A:A,Groups!Q:Q)*150 + 0.5 + _xlfn.XLOOKUP(B195,'Base stats'!B:B,'Base stats'!BW:BW),
0.05))</f>
        <v>No</v>
      </c>
      <c r="K195" s="3" t="str">
        <f>IF(Animals!X195="No","No",
IF(_xlfn.XLOOKUP(_xlfn.XLOOKUP(B195,'Base stats'!B:B,'Base stats'!E:E),Groups!A:A,Groups!BD:BD)=1,
MAX(MROUND(_xlfn.XLOOKUP(B195,'Base stats'!B:B,'Base stats'!BU:BU) * _xlfn.XLOOKUP(B195,'Base stats'!B:B,'Base stats'!BQ:BQ)^0.9 / 21 *_xlfn.XLOOKUP(B195,'Base stats'!B:B,'Base stats'!BX:BX),0.1),0.05),
MAX(MROUND(((MIN(10,_xlfn.XLOOKUP(B195,'Base stats'!B:B,'Base stats'!W:W)))^0.4*_xlfn.XLOOKUP(B195,'Base stats'!B:B,'Base stats'!BI:BI)^0.73)^0.6 *_xlfn.XLOOKUP(B195,'Base stats'!B:B,'Base stats'!BX:BX),0.1),0.05)
))</f>
        <v>No</v>
      </c>
      <c r="L195" s="11" t="str">
        <f>IF(K195="No","No",
MROUND(_xlfn.XLOOKUP(B195,'Base stats'!B:B,'Base stats'!BI:BI) * 0.01 *2 + 0.05, 0.05)
)</f>
        <v>No</v>
      </c>
      <c r="M195" s="5" t="str">
        <f>IF(K195="No","No",IF(_xlfn.XLOOKUP(_xlfn.XLOOKUP(B195,'Base stats'!B:B,'Base stats'!E:E),Groups!A:A,Groups!BD:BD)=1,"No",
MROUND(_xlfn.XLOOKUP(B195,'Base stats'!B:B,'Base stats'!BU:BU)/10000+0.01,0.01)
))</f>
        <v>No</v>
      </c>
      <c r="N195" s="4" t="str">
        <f>IF(K195="No","No",
MROUND(
  _xlfn.XLOOKUP(B195,'Base stats'!B:B,'Base stats'!BC:BC)^0.25
  / (_xlfn.XLOOKUP(B195,'Base stats'!B:B,'Base stats'!BM:BM) * 10)
  * _xlfn.XLOOKUP(
      _xlfn.XLOOKUP(B195,'Base stats'!B:B,'Base stats'!E:E),
      Groups!A:A,
      Groups!V:V
    ) * 150
  + MIN(12, _xlfn.XLOOKUP(B195,'Base stats'!B:B,'Base stats'!W:W))^(1/IF(_xlfn.XLOOKUP(_xlfn.XLOOKUP(B195,'Base stats'!B:B,'Base stats'!E:E),Groups!A:A,Groups!U:U)=1,100,10)) + 0.5 + _xlfn.XLOOKUP(B195,'Base stats'!B:B,'Base stats'!BW:BW),
0.05))</f>
        <v>No</v>
      </c>
      <c r="O195" s="3">
        <f>IF(Animals!AD195="No","No",
MAX(MROUND((MIN(10,_xlfn.XLOOKUP(B195,'Base stats'!B:B,'Base stats'!V:V)*IF(_xlfn.XLOOKUP(_xlfn.XLOOKUP(B195,'Base stats'!B:B,'Base stats'!E:E),Groups!A:A,Groups!O:O)=0,1,0.33))^0.4*_xlfn.XLOOKUP(B195,'Base stats'!B:B,'Base stats'!BJ:BJ)^0.73)^0.6 *_xlfn.XLOOKUP(B195,'Base stats'!B:B,'Base stats'!BX:BX),0.1),0.05)
)</f>
        <v>4.5</v>
      </c>
      <c r="P195" s="11">
        <f>IF(O195="No","No",
MROUND(_xlfn.XLOOKUP(B195,'Base stats'!B:B,'Base stats'!BJ:BJ) * 0.01 * 2 + 0.05, 0.05)
)</f>
        <v>0.55000000000000004</v>
      </c>
      <c r="Q195" s="5">
        <f>IF(O195="No","No",
MROUND(_xlfn.XLOOKUP(B195,'Base stats'!B:B,'Base stats'!BV:BV)/10000+0.01,0.01)
)</f>
        <v>0.08</v>
      </c>
      <c r="R195" s="4">
        <f>IF(O195="No","No",
MROUND(_xlfn.XLOOKUP(B195,'Base stats'!B:B,'Base stats'!BB:BB)^0.25
/((_xlfn.XLOOKUP(B195,'Base stats'!B:B,'Base stats'!BN:BN))*10)*_xlfn.XLOOKUP(_xlfn.XLOOKUP(B195,'Base stats'!B:B,'Base stats'!E:E),Groups!A:A,Groups!Z:Z)*150 + 0.5 + _xlfn.XLOOKUP(B195,'Base stats'!B:B,'Base stats'!BW:BW),
0.05))</f>
        <v>1.9000000000000001</v>
      </c>
      <c r="S195" s="3">
        <f>IF(Animals!AI195="No","No",
IF(_xlfn.XLOOKUP(B195,'Base stats'!B:B,'Base stats'!U:U)="No",
MAX(MROUND(_xlfn.XLOOKUP(B195,'Base stats'!B:B,'Base stats'!BT:BT) * _xlfn.XLOOKUP(B195,'Base stats'!B:B,'Base stats'!BP:BP)^0.9 / 21 * _xlfn.XLOOKUP(B195,'Base stats'!B:B,'Base stats'!BX:BX),0.1),0.05),
MAX(MROUND(((MIN(12,_xlfn.XLOOKUP(B195,'Base stats'!B:B,'Base stats'!U:U)))^0.4*_xlfn.XLOOKUP(B195,'Base stats'!B:B,'Base stats'!BH:BH)^0.73)^0.6 * _xlfn.XLOOKUP(B195,'Base stats'!B:B,'Base stats'!BX:BX),0.1),0.05)
))</f>
        <v>4.1000000000000005</v>
      </c>
      <c r="T195" s="11">
        <f>IF(S195="No","No",
MROUND(_xlfn.XLOOKUP(B195,'Base stats'!B:B,'Base stats'!BH:BH) * 0.01 * 2 + 0.05, 0.05)
)</f>
        <v>0.55000000000000004</v>
      </c>
      <c r="U195" s="5">
        <f>IF(S195="No","No",IF(_xlfn.XLOOKUP(B195,'Base stats'!B:B,'Base stats'!U:U)="No","No",
MROUND(_xlfn.XLOOKUP(B195,'Base stats'!B:B,'Base stats'!BT:BT)/10000+0.01,0.01)
))</f>
        <v>7.0000000000000007E-2</v>
      </c>
      <c r="V195" s="4">
        <f>IF(S195="No","No",
MROUND(_xlfn.XLOOKUP(B195,'Base stats'!B:B,'Base stats'!BF:BF)^0.25
/((_xlfn.XLOOKUP(B195,'Base stats'!B:B,'Base stats'!BO:BO))*10)*_xlfn.XLOOKUP(_xlfn.XLOOKUP(B195,'Base stats'!B:B,'Base stats'!E:E),Groups!A:A,Groups!AE:AE)*150 + 0.5 + _xlfn.XLOOKUP(B195,'Base stats'!B:B,'Base stats'!BW:BW),
0.05))</f>
        <v>1.2000000000000002</v>
      </c>
      <c r="W195" s="8">
        <f>MROUND(_xlfn.XLOOKUP(_xlfn.XLOOKUP(B195,'Base stats'!B:B,'Base stats'!E:E),Groups!A:A,Groups!BG:BG)*_xlfn.XLOOKUP(B195,'Base stats'!B:B,'Base stats'!C:C)^-0.165,0.05)</f>
        <v>0.75</v>
      </c>
      <c r="X195" s="1">
        <f>MROUND(_xlfn.XLOOKUP(_xlfn.XLOOKUP(B195,'Base stats'!B:B,'Base stats'!E:E),Groups!A:A,Groups!BH:BH)*_xlfn.XLOOKUP(B195,'Base stats'!B:B,'Base stats'!C:C)^0.165,0.05)</f>
        <v>0.30000000000000004</v>
      </c>
      <c r="Y195" s="8">
        <f>MROUND(_xlfn.XLOOKUP(_xlfn.XLOOKUP(B195,'Base stats'!B:B,'Base stats'!E:E),Groups!A:A,Groups!BI:BI)*_xlfn.XLOOKUP(B195,'Base stats'!B:B,'Base stats'!C:C)^0.165,0.05)</f>
        <v>0.05</v>
      </c>
      <c r="Z195" s="18">
        <f>MROUND(_xlfn.XLOOKUP(B195,'Base stats'!B:B,'Base stats'!AQ:AQ)*_xlfn.XLOOKUP(_xlfn.XLOOKUP(B195,'Base stats'!B:B,'Base stats'!E:E),Groups!A:A,Groups!H:H)/1000,IF((_xlfn.XLOOKUP(B195,'Base stats'!B:B,'Base stats'!AQ:AQ)*_xlfn.XLOOKUP(_xlfn.XLOOKUP(B195,'Base stats'!B:B,'Base stats'!E:E),Groups!A:A,Groups!H:H)/1000)&gt;1,0.05,0.01))</f>
        <v>0.05</v>
      </c>
      <c r="AA195" s="18">
        <f>MROUND((1/2)*(_xlfn.XLOOKUP(_xlfn.XLOOKUP(B195,'Base stats'!B:B,'Base stats'!E:E),Groups!A:A,Groups!H:H)*_xlfn.XLOOKUP(_xlfn.XLOOKUP(B195,'Base stats'!B:B,'Base stats'!E:E),Groups!A:A,Groups!I:I))*_xlfn.XLOOKUP(B195,'Base stats'!B:B,'Base stats'!AQ:AQ)*0.01,0.05)</f>
        <v>0.2</v>
      </c>
      <c r="AB195" s="18">
        <f>MROUND(250*(Animals!AO195+Animals!AP195),25)</f>
        <v>250</v>
      </c>
      <c r="AC195" s="18" t="str">
        <f>_xlfn.XLOOKUP(_xlfn.XLOOKUP(B195,'Base stats'!B:B,'Base stats'!E:E),Groups!A:A,Groups!BJ:BJ)</f>
        <v>QuadrupedLow</v>
      </c>
    </row>
    <row r="196" spans="1:29" ht="16.5" thickTop="1" thickBot="1" x14ac:dyDescent="0.3">
      <c r="A196" s="16" t="str">
        <f>Animals!A196</f>
        <v>Seal</v>
      </c>
      <c r="B196" s="6" t="str">
        <f>Animals!B196</f>
        <v>Phoca vitulina</v>
      </c>
      <c r="C196" s="1" t="str">
        <f>Animals!C196</f>
        <v>&lt;li&gt;AEXP_Seal&lt;/li&gt;</v>
      </c>
      <c r="D196" s="47">
        <f>MIN(MIN(6,_xlfn.XLOOKUP(A196,Animals!A:A,Animals!AO:AO))*20,MAX(MROUND(_xlfn.XLOOKUP(B196,'Base stats'!B:B,'Base stats'!BS:BS) * (_xlfn.XLOOKUP(B196,'Base stats'!B:B,'Base stats'!AO:AO)*5%)^0.9 / 21,0.1),0.05))</f>
        <v>3.4000000000000004</v>
      </c>
      <c r="E196" s="11">
        <f>MROUND(_xlfn.XLOOKUP(B196,'Base stats'!B:B,'Base stats'!BG:BG) * 0.01 * 2 + 0.01, 0.05)</f>
        <v>2.95</v>
      </c>
      <c r="F196" s="7">
        <f>MROUND(_xlfn.XLOOKUP(B196,'Base stats'!B:B,'Base stats'!BD:BD)^0.25 / (_xlfn.XLOOKUP(B196,'Base stats'!B:B,'Base stats'!BK:BK) * 10) * 150 + 0.5 + _xlfn.XLOOKUP(B196,'Base stats'!B:B,'Base stats'!BW:BW), 0.05)</f>
        <v>2</v>
      </c>
      <c r="G196" s="3" t="str">
        <f>IF(Animals!S196="No","No",
IF(_xlfn.XLOOKUP(B196,'Base stats'!B:B,'Base stats'!U:U)="No",
MAX(MROUND(_xlfn.XLOOKUP(B196,'Base stats'!B:B,'Base stats'!BT:BT) * _xlfn.XLOOKUP(B196,'Base stats'!B:B,'Base stats'!BP:BP)^0.9 / 21 * _xlfn.XLOOKUP(B196,'Base stats'!B:B,'Base stats'!BX:BX),0.1),0.05),
MAX(MROUND(((MIN(10,_xlfn.XLOOKUP(B196,'Base stats'!B:B,'Base stats'!U:U)))^0.4*_xlfn.XLOOKUP(B196,'Base stats'!B:B,'Base stats'!BH:BH)^0.73)^0.6 * _xlfn.XLOOKUP(B196,'Base stats'!B:B,'Base stats'!BX:BX),0.1),0.05)
))</f>
        <v>No</v>
      </c>
      <c r="H196" s="11" t="str">
        <f>IF(G196="No","No",
MROUND(_xlfn.XLOOKUP(B196,'Base stats'!B:B,'Base stats'!BH:BH) * 0.01 * 2 + 0.05, 0.05)
)</f>
        <v>No</v>
      </c>
      <c r="I196" s="11" t="str">
        <f>IF(G196="No","No",IF(_xlfn.XLOOKUP(B196,'Base stats'!B:B,'Base stats'!U:U)="No","No",
MROUND(_xlfn.XLOOKUP(B196,'Base stats'!B:B,'Base stats'!BT:BT)/10000+0.01,0.01)
))</f>
        <v>No</v>
      </c>
      <c r="J196" s="4" t="str">
        <f>IF(G196="No","No",
MROUND(_xlfn.XLOOKUP(B196,'Base stats'!B:B,'Base stats'!BE:BE)^0.25
/((_xlfn.XLOOKUP(B196,'Base stats'!B:B,'Base stats'!BL:BL))*10)*_xlfn.XLOOKUP(_xlfn.XLOOKUP(B196,'Base stats'!B:B,'Base stats'!E:E),Groups!A:A,Groups!Q:Q)*150 + 0.5 + _xlfn.XLOOKUP(B196,'Base stats'!B:B,'Base stats'!BW:BW),
0.05))</f>
        <v>No</v>
      </c>
      <c r="K196" s="3" t="str">
        <f>IF(Animals!X196="No","No",
IF(_xlfn.XLOOKUP(_xlfn.XLOOKUP(B196,'Base stats'!B:B,'Base stats'!E:E),Groups!A:A,Groups!BD:BD)=1,
MAX(MROUND(_xlfn.XLOOKUP(B196,'Base stats'!B:B,'Base stats'!BU:BU) * _xlfn.XLOOKUP(B196,'Base stats'!B:B,'Base stats'!BQ:BQ)^0.9 / 21 *_xlfn.XLOOKUP(B196,'Base stats'!B:B,'Base stats'!BX:BX),0.1),0.05),
MAX(MROUND(((MIN(10,_xlfn.XLOOKUP(B196,'Base stats'!B:B,'Base stats'!W:W)))^0.4*_xlfn.XLOOKUP(B196,'Base stats'!B:B,'Base stats'!BI:BI)^0.73)^0.6 *_xlfn.XLOOKUP(B196,'Base stats'!B:B,'Base stats'!BX:BX),0.1),0.05)
))</f>
        <v>No</v>
      </c>
      <c r="L196" s="11" t="str">
        <f>IF(K196="No","No",
MROUND(_xlfn.XLOOKUP(B196,'Base stats'!B:B,'Base stats'!BI:BI) * 0.01 *2 + 0.05, 0.05)
)</f>
        <v>No</v>
      </c>
      <c r="M196" s="5" t="str">
        <f>IF(K196="No","No",IF(_xlfn.XLOOKUP(_xlfn.XLOOKUP(B196,'Base stats'!B:B,'Base stats'!E:E),Groups!A:A,Groups!BD:BD)=1,"No",
MROUND(_xlfn.XLOOKUP(B196,'Base stats'!B:B,'Base stats'!BU:BU)/10000+0.01,0.01)
))</f>
        <v>No</v>
      </c>
      <c r="N196" s="4" t="str">
        <f>IF(K196="No","No",
MROUND(
  _xlfn.XLOOKUP(B196,'Base stats'!B:B,'Base stats'!BC:BC)^0.25
  / (_xlfn.XLOOKUP(B196,'Base stats'!B:B,'Base stats'!BM:BM) * 10)
  * _xlfn.XLOOKUP(
      _xlfn.XLOOKUP(B196,'Base stats'!B:B,'Base stats'!E:E),
      Groups!A:A,
      Groups!V:V
    ) * 150
  + MIN(12, _xlfn.XLOOKUP(B196,'Base stats'!B:B,'Base stats'!W:W))^(1/IF(_xlfn.XLOOKUP(_xlfn.XLOOKUP(B196,'Base stats'!B:B,'Base stats'!E:E),Groups!A:A,Groups!U:U)=1,100,10)) + 0.5 + _xlfn.XLOOKUP(B196,'Base stats'!B:B,'Base stats'!BW:BW),
0.05))</f>
        <v>No</v>
      </c>
      <c r="O196" s="3">
        <f>IF(Animals!AD196="No","No",
MAX(MROUND((MIN(10,_xlfn.XLOOKUP(B196,'Base stats'!B:B,'Base stats'!V:V)*IF(_xlfn.XLOOKUP(_xlfn.XLOOKUP(B196,'Base stats'!B:B,'Base stats'!E:E),Groups!A:A,Groups!O:O)=0,1,0.33))^0.4*_xlfn.XLOOKUP(B196,'Base stats'!B:B,'Base stats'!BJ:BJ)^0.73)^0.6 *_xlfn.XLOOKUP(B196,'Base stats'!B:B,'Base stats'!BX:BX),0.1),0.05)
)</f>
        <v>13.600000000000001</v>
      </c>
      <c r="P196" s="11">
        <f>IF(O196="No","No",
MROUND(_xlfn.XLOOKUP(B196,'Base stats'!B:B,'Base stats'!BJ:BJ) * 0.01 * 2 + 0.05, 0.05)
)</f>
        <v>3.5</v>
      </c>
      <c r="Q196" s="5">
        <f>IF(O196="No","No",
MROUND(_xlfn.XLOOKUP(B196,'Base stats'!B:B,'Base stats'!BV:BV)/10000+0.01,0.01)
)</f>
        <v>0.18</v>
      </c>
      <c r="R196" s="4">
        <f>IF(O196="No","No",
MROUND(_xlfn.XLOOKUP(B196,'Base stats'!B:B,'Base stats'!BB:BB)^0.25
/((_xlfn.XLOOKUP(B196,'Base stats'!B:B,'Base stats'!BN:BN))*10)*_xlfn.XLOOKUP(_xlfn.XLOOKUP(B196,'Base stats'!B:B,'Base stats'!E:E),Groups!A:A,Groups!Z:Z)*150 + 0.5 + _xlfn.XLOOKUP(B196,'Base stats'!B:B,'Base stats'!BW:BW),
0.05))</f>
        <v>2.2000000000000002</v>
      </c>
      <c r="S196" s="3" t="str">
        <f>IF(Animals!AI196="No","No",
IF(_xlfn.XLOOKUP(B196,'Base stats'!B:B,'Base stats'!U:U)="No",
MAX(MROUND(_xlfn.XLOOKUP(B196,'Base stats'!B:B,'Base stats'!BT:BT) * _xlfn.XLOOKUP(B196,'Base stats'!B:B,'Base stats'!BP:BP)^0.9 / 21 * _xlfn.XLOOKUP(B196,'Base stats'!B:B,'Base stats'!BX:BX),0.1),0.05),
MAX(MROUND(((MIN(12,_xlfn.XLOOKUP(B196,'Base stats'!B:B,'Base stats'!U:U)))^0.4*_xlfn.XLOOKUP(B196,'Base stats'!B:B,'Base stats'!BH:BH)^0.73)^0.6 * _xlfn.XLOOKUP(B196,'Base stats'!B:B,'Base stats'!BX:BX),0.1),0.05)
))</f>
        <v>No</v>
      </c>
      <c r="T196" s="11" t="str">
        <f>IF(S196="No","No",
MROUND(_xlfn.XLOOKUP(B196,'Base stats'!B:B,'Base stats'!BH:BH) * 0.01 * 2 + 0.05, 0.05)
)</f>
        <v>No</v>
      </c>
      <c r="U196" s="5" t="str">
        <f>IF(S196="No","No",IF(_xlfn.XLOOKUP(B196,'Base stats'!B:B,'Base stats'!U:U)="No","No",
MROUND(_xlfn.XLOOKUP(B196,'Base stats'!B:B,'Base stats'!BT:BT)/10000+0.01,0.01)
))</f>
        <v>No</v>
      </c>
      <c r="V196" s="4" t="str">
        <f>IF(S196="No","No",
MROUND(_xlfn.XLOOKUP(B196,'Base stats'!B:B,'Base stats'!BF:BF)^0.25
/((_xlfn.XLOOKUP(B196,'Base stats'!B:B,'Base stats'!BO:BO))*10)*_xlfn.XLOOKUP(_xlfn.XLOOKUP(B196,'Base stats'!B:B,'Base stats'!E:E),Groups!A:A,Groups!AE:AE)*150 + 0.5 + _xlfn.XLOOKUP(B196,'Base stats'!B:B,'Base stats'!BW:BW),
0.05))</f>
        <v>No</v>
      </c>
      <c r="W196" s="8">
        <f>MROUND(_xlfn.XLOOKUP(_xlfn.XLOOKUP(B196,'Base stats'!B:B,'Base stats'!E:E),Groups!A:A,Groups!BG:BG)*_xlfn.XLOOKUP(B196,'Base stats'!B:B,'Base stats'!C:C)^-0.165,0.05)</f>
        <v>0.30000000000000004</v>
      </c>
      <c r="X196" s="1">
        <f>MROUND(_xlfn.XLOOKUP(_xlfn.XLOOKUP(B196,'Base stats'!B:B,'Base stats'!E:E),Groups!A:A,Groups!BH:BH)*_xlfn.XLOOKUP(B196,'Base stats'!B:B,'Base stats'!C:C)^0.165,0.05)</f>
        <v>0.2</v>
      </c>
      <c r="Y196" s="8">
        <f>MROUND(_xlfn.XLOOKUP(_xlfn.XLOOKUP(B196,'Base stats'!B:B,'Base stats'!E:E),Groups!A:A,Groups!BI:BI)*_xlfn.XLOOKUP(B196,'Base stats'!B:B,'Base stats'!C:C)^0.165,0.05)</f>
        <v>0.05</v>
      </c>
      <c r="Z196" s="18">
        <f>MROUND(_xlfn.XLOOKUP(B196,'Base stats'!B:B,'Base stats'!AQ:AQ)*_xlfn.XLOOKUP(_xlfn.XLOOKUP(B196,'Base stats'!B:B,'Base stats'!E:E),Groups!A:A,Groups!H:H)/1000,IF((_xlfn.XLOOKUP(B196,'Base stats'!B:B,'Base stats'!AQ:AQ)*_xlfn.XLOOKUP(_xlfn.XLOOKUP(B196,'Base stats'!B:B,'Base stats'!E:E),Groups!A:A,Groups!H:H)/1000)&gt;1,0.05,0.01))</f>
        <v>0.11</v>
      </c>
      <c r="AA196" s="18">
        <f>MROUND((1/2)*(_xlfn.XLOOKUP(_xlfn.XLOOKUP(B196,'Base stats'!B:B,'Base stats'!E:E),Groups!A:A,Groups!H:H)*_xlfn.XLOOKUP(_xlfn.XLOOKUP(B196,'Base stats'!B:B,'Base stats'!E:E),Groups!A:A,Groups!I:I))*_xlfn.XLOOKUP(B196,'Base stats'!B:B,'Base stats'!AQ:AQ)*0.01,0.05)</f>
        <v>0.45</v>
      </c>
      <c r="AB196" s="18">
        <f>MROUND(250*(Animals!AO196+Animals!AP196),25)</f>
        <v>725</v>
      </c>
      <c r="AC196" s="18" t="str">
        <f>_xlfn.XLOOKUP(_xlfn.XLOOKUP(B196,'Base stats'!B:B,'Base stats'!E:E),Groups!A:A,Groups!BJ:BJ)</f>
        <v>QuadrupedLow</v>
      </c>
    </row>
    <row r="197" spans="1:29" ht="16.5" thickTop="1" thickBot="1" x14ac:dyDescent="0.3">
      <c r="A197" s="16" t="str">
        <f>Animals!A197</f>
        <v>Walrus</v>
      </c>
      <c r="B197" s="6" t="str">
        <f>Animals!B197</f>
        <v>Odobenus rosmarus</v>
      </c>
      <c r="C197" s="1" t="str">
        <f>Animals!C197</f>
        <v>&lt;li&gt;AEXP_Walrus&lt;/li&gt;</v>
      </c>
      <c r="D197" s="47">
        <f>MIN(MIN(6,_xlfn.XLOOKUP(A197,Animals!A:A,Animals!AO:AO))*20,MAX(MROUND(_xlfn.XLOOKUP(B197,'Base stats'!B:B,'Base stats'!BS:BS) * (_xlfn.XLOOKUP(B197,'Base stats'!B:B,'Base stats'!AO:AO)*5%)^0.9 / 21,0.1),0.05))</f>
        <v>21.5</v>
      </c>
      <c r="E197" s="11">
        <f>MROUND(_xlfn.XLOOKUP(B197,'Base stats'!B:B,'Base stats'!BG:BG) * 0.01 * 2 + 0.01, 0.05)</f>
        <v>21.200000000000003</v>
      </c>
      <c r="F197" s="7">
        <f>MROUND(_xlfn.XLOOKUP(B197,'Base stats'!B:B,'Base stats'!BD:BD)^0.25 / (_xlfn.XLOOKUP(B197,'Base stats'!B:B,'Base stats'!BK:BK) * 10) * 150 + 0.5 + _xlfn.XLOOKUP(B197,'Base stats'!B:B,'Base stats'!BW:BW), 0.05)</f>
        <v>2.6500000000000004</v>
      </c>
      <c r="G197" s="3" t="str">
        <f>IF(Animals!S197="No","No",
IF(_xlfn.XLOOKUP(B197,'Base stats'!B:B,'Base stats'!U:U)="No",
MAX(MROUND(_xlfn.XLOOKUP(B197,'Base stats'!B:B,'Base stats'!BT:BT) * _xlfn.XLOOKUP(B197,'Base stats'!B:B,'Base stats'!BP:BP)^0.9 / 21 * _xlfn.XLOOKUP(B197,'Base stats'!B:B,'Base stats'!BX:BX),0.1),0.05),
MAX(MROUND(((MIN(10,_xlfn.XLOOKUP(B197,'Base stats'!B:B,'Base stats'!U:U)))^0.4*_xlfn.XLOOKUP(B197,'Base stats'!B:B,'Base stats'!BH:BH)^0.73)^0.6 * _xlfn.XLOOKUP(B197,'Base stats'!B:B,'Base stats'!BX:BX),0.1),0.05)
))</f>
        <v>No</v>
      </c>
      <c r="H197" s="11" t="str">
        <f>IF(G197="No","No",
MROUND(_xlfn.XLOOKUP(B197,'Base stats'!B:B,'Base stats'!BH:BH) * 0.01 * 2 + 0.05, 0.05)
)</f>
        <v>No</v>
      </c>
      <c r="I197" s="11" t="str">
        <f>IF(G197="No","No",IF(_xlfn.XLOOKUP(B197,'Base stats'!B:B,'Base stats'!U:U)="No","No",
MROUND(_xlfn.XLOOKUP(B197,'Base stats'!B:B,'Base stats'!BT:BT)/10000+0.01,0.01)
))</f>
        <v>No</v>
      </c>
      <c r="J197" s="4" t="str">
        <f>IF(G197="No","No",
MROUND(_xlfn.XLOOKUP(B197,'Base stats'!B:B,'Base stats'!BE:BE)^0.25
/((_xlfn.XLOOKUP(B197,'Base stats'!B:B,'Base stats'!BL:BL))*10)*_xlfn.XLOOKUP(_xlfn.XLOOKUP(B197,'Base stats'!B:B,'Base stats'!E:E),Groups!A:A,Groups!Q:Q)*150 + 0.5 + _xlfn.XLOOKUP(B197,'Base stats'!B:B,'Base stats'!BW:BW),
0.05))</f>
        <v>No</v>
      </c>
      <c r="K197" s="3">
        <f>IF(Animals!X197="No","No",
IF(_xlfn.XLOOKUP(_xlfn.XLOOKUP(B197,'Base stats'!B:B,'Base stats'!E:E),Groups!A:A,Groups!BD:BD)=1,
MAX(MROUND(_xlfn.XLOOKUP(B197,'Base stats'!B:B,'Base stats'!BU:BU) * _xlfn.XLOOKUP(B197,'Base stats'!B:B,'Base stats'!BQ:BQ)^0.9 / 21 *_xlfn.XLOOKUP(B197,'Base stats'!B:B,'Base stats'!BX:BX),0.1),0.05),
MAX(MROUND(((MIN(10,_xlfn.XLOOKUP(B197,'Base stats'!B:B,'Base stats'!W:W)))^0.4*_xlfn.XLOOKUP(B197,'Base stats'!B:B,'Base stats'!BI:BI)^0.73)^0.6 *_xlfn.XLOOKUP(B197,'Base stats'!B:B,'Base stats'!BX:BX),0.1),0.05)
))</f>
        <v>41.6</v>
      </c>
      <c r="L197" s="11">
        <f>IF(K197="No","No",
MROUND(_xlfn.XLOOKUP(B197,'Base stats'!B:B,'Base stats'!BI:BI) * 0.01 *2 + 0.05, 0.05)
)</f>
        <v>28.200000000000003</v>
      </c>
      <c r="M197" s="5">
        <f>IF(K197="No","No",IF(_xlfn.XLOOKUP(_xlfn.XLOOKUP(B197,'Base stats'!B:B,'Base stats'!E:E),Groups!A:A,Groups!BD:BD)=1,"No",
MROUND(_xlfn.XLOOKUP(B197,'Base stats'!B:B,'Base stats'!BU:BU)/10000+0.01,0.01)
))</f>
        <v>1.4000000000000001</v>
      </c>
      <c r="N197" s="4">
        <f>IF(K197="No","No",
MROUND(
  _xlfn.XLOOKUP(B197,'Base stats'!B:B,'Base stats'!BC:BC)^0.25
  / (_xlfn.XLOOKUP(B197,'Base stats'!B:B,'Base stats'!BM:BM) * 10)
  * _xlfn.XLOOKUP(
      _xlfn.XLOOKUP(B197,'Base stats'!B:B,'Base stats'!E:E),
      Groups!A:A,
      Groups!V:V
    ) * 150
  + MIN(12, _xlfn.XLOOKUP(B197,'Base stats'!B:B,'Base stats'!W:W))^(1/IF(_xlfn.XLOOKUP(_xlfn.XLOOKUP(B197,'Base stats'!B:B,'Base stats'!E:E),Groups!A:A,Groups!U:U)=1,100,10)) + 0.5 + _xlfn.XLOOKUP(B197,'Base stats'!B:B,'Base stats'!BW:BW),
0.05))</f>
        <v>3.1500000000000004</v>
      </c>
      <c r="O197" s="3" t="str">
        <f>IF(Animals!AD197="No","No",
MAX(MROUND((MIN(10,_xlfn.XLOOKUP(B197,'Base stats'!B:B,'Base stats'!V:V)*IF(_xlfn.XLOOKUP(_xlfn.XLOOKUP(B197,'Base stats'!B:B,'Base stats'!E:E),Groups!A:A,Groups!O:O)=0,1,0.33))^0.4*_xlfn.XLOOKUP(B197,'Base stats'!B:B,'Base stats'!BJ:BJ)^0.73)^0.6 *_xlfn.XLOOKUP(B197,'Base stats'!B:B,'Base stats'!BX:BX),0.1),0.05)
)</f>
        <v>No</v>
      </c>
      <c r="P197" s="11" t="str">
        <f>IF(O197="No","No",
MROUND(_xlfn.XLOOKUP(B197,'Base stats'!B:B,'Base stats'!BJ:BJ) * 0.01 * 2 + 0.05, 0.05)
)</f>
        <v>No</v>
      </c>
      <c r="Q197" s="5" t="str">
        <f>IF(O197="No","No",
MROUND(_xlfn.XLOOKUP(B197,'Base stats'!B:B,'Base stats'!BV:BV)/10000+0.01,0.01)
)</f>
        <v>No</v>
      </c>
      <c r="R197" s="4" t="str">
        <f>IF(O197="No","No",
MROUND(_xlfn.XLOOKUP(B197,'Base stats'!B:B,'Base stats'!BB:BB)^0.25
/((_xlfn.XLOOKUP(B197,'Base stats'!B:B,'Base stats'!BN:BN))*10)*_xlfn.XLOOKUP(_xlfn.XLOOKUP(B197,'Base stats'!B:B,'Base stats'!E:E),Groups!A:A,Groups!Z:Z)*150 + 0.5 + _xlfn.XLOOKUP(B197,'Base stats'!B:B,'Base stats'!BW:BW),
0.05))</f>
        <v>No</v>
      </c>
      <c r="S197" s="3" t="str">
        <f>IF(Animals!AI197="No","No",
IF(_xlfn.XLOOKUP(B197,'Base stats'!B:B,'Base stats'!U:U)="No",
MAX(MROUND(_xlfn.XLOOKUP(B197,'Base stats'!B:B,'Base stats'!BT:BT) * _xlfn.XLOOKUP(B197,'Base stats'!B:B,'Base stats'!BP:BP)^0.9 / 21 * _xlfn.XLOOKUP(B197,'Base stats'!B:B,'Base stats'!BX:BX),0.1),0.05),
MAX(MROUND(((MIN(12,_xlfn.XLOOKUP(B197,'Base stats'!B:B,'Base stats'!U:U)))^0.4*_xlfn.XLOOKUP(B197,'Base stats'!B:B,'Base stats'!BH:BH)^0.73)^0.6 * _xlfn.XLOOKUP(B197,'Base stats'!B:B,'Base stats'!BX:BX),0.1),0.05)
))</f>
        <v>No</v>
      </c>
      <c r="T197" s="11" t="str">
        <f>IF(S197="No","No",
MROUND(_xlfn.XLOOKUP(B197,'Base stats'!B:B,'Base stats'!BH:BH) * 0.01 * 2 + 0.05, 0.05)
)</f>
        <v>No</v>
      </c>
      <c r="U197" s="5" t="str">
        <f>IF(S197="No","No",IF(_xlfn.XLOOKUP(B197,'Base stats'!B:B,'Base stats'!U:U)="No","No",
MROUND(_xlfn.XLOOKUP(B197,'Base stats'!B:B,'Base stats'!BT:BT)/10000+0.01,0.01)
))</f>
        <v>No</v>
      </c>
      <c r="V197" s="4" t="str">
        <f>IF(S197="No","No",
MROUND(_xlfn.XLOOKUP(B197,'Base stats'!B:B,'Base stats'!BF:BF)^0.25
/((_xlfn.XLOOKUP(B197,'Base stats'!B:B,'Base stats'!BO:BO))*10)*_xlfn.XLOOKUP(_xlfn.XLOOKUP(B197,'Base stats'!B:B,'Base stats'!E:E),Groups!A:A,Groups!AE:AE)*150 + 0.5 + _xlfn.XLOOKUP(B197,'Base stats'!B:B,'Base stats'!BW:BW),
0.05))</f>
        <v>No</v>
      </c>
      <c r="W197" s="8">
        <f>MROUND(_xlfn.XLOOKUP(_xlfn.XLOOKUP(B197,'Base stats'!B:B,'Base stats'!E:E),Groups!A:A,Groups!BG:BG)*_xlfn.XLOOKUP(B197,'Base stats'!B:B,'Base stats'!C:C)^-0.165,0.05)</f>
        <v>0.2</v>
      </c>
      <c r="X197" s="1">
        <f>MROUND(_xlfn.XLOOKUP(_xlfn.XLOOKUP(B197,'Base stats'!B:B,'Base stats'!E:E),Groups!A:A,Groups!BH:BH)*_xlfn.XLOOKUP(B197,'Base stats'!B:B,'Base stats'!C:C)^0.165,0.05)</f>
        <v>0.30000000000000004</v>
      </c>
      <c r="Y197" s="8">
        <f>MROUND(_xlfn.XLOOKUP(_xlfn.XLOOKUP(B197,'Base stats'!B:B,'Base stats'!E:E),Groups!A:A,Groups!BI:BI)*_xlfn.XLOOKUP(B197,'Base stats'!B:B,'Base stats'!C:C)^0.165,0.05)</f>
        <v>0.1</v>
      </c>
      <c r="Z197" s="18">
        <f>MROUND(_xlfn.XLOOKUP(B197,'Base stats'!B:B,'Base stats'!AQ:AQ)*_xlfn.XLOOKUP(_xlfn.XLOOKUP(B197,'Base stats'!B:B,'Base stats'!E:E),Groups!A:A,Groups!H:H)/1000,IF((_xlfn.XLOOKUP(B197,'Base stats'!B:B,'Base stats'!AQ:AQ)*_xlfn.XLOOKUP(_xlfn.XLOOKUP(B197,'Base stats'!B:B,'Base stats'!E:E),Groups!A:A,Groups!H:H)/1000)&gt;1,0.05,0.01))</f>
        <v>0.23</v>
      </c>
      <c r="AA197" s="18">
        <f>MROUND((1/2)*(_xlfn.XLOOKUP(_xlfn.XLOOKUP(B197,'Base stats'!B:B,'Base stats'!E:E),Groups!A:A,Groups!H:H)*_xlfn.XLOOKUP(_xlfn.XLOOKUP(B197,'Base stats'!B:B,'Base stats'!E:E),Groups!A:A,Groups!I:I))*_xlfn.XLOOKUP(B197,'Base stats'!B:B,'Base stats'!AQ:AQ)*0.01,0.05)</f>
        <v>1</v>
      </c>
      <c r="AB197" s="18">
        <f>MROUND(250*(Animals!AO197+Animals!AP197),25)</f>
        <v>1925</v>
      </c>
      <c r="AC197" s="18" t="str">
        <f>_xlfn.XLOOKUP(_xlfn.XLOOKUP(B197,'Base stats'!B:B,'Base stats'!E:E),Groups!A:A,Groups!BJ:BJ)</f>
        <v>QuadrupedLow</v>
      </c>
    </row>
    <row r="198" spans="1:29" ht="16.5" thickTop="1" thickBot="1" x14ac:dyDescent="0.3">
      <c r="A198" s="16" t="str">
        <f>Animals!A198</f>
        <v>Porcupine</v>
      </c>
      <c r="B198" s="6" t="str">
        <f>Animals!B198</f>
        <v>Erethizon dorsatum</v>
      </c>
      <c r="C198" s="1" t="str">
        <f>Animals!C198</f>
        <v>&lt;li&gt;AEXP_Porcupine&lt;/li&gt;</v>
      </c>
      <c r="D198" s="47">
        <f>MIN(MIN(6,_xlfn.XLOOKUP(A198,Animals!A:A,Animals!AO:AO))*20,MAX(MROUND(_xlfn.XLOOKUP(B198,'Base stats'!B:B,'Base stats'!BS:BS) * (_xlfn.XLOOKUP(B198,'Base stats'!B:B,'Base stats'!AO:AO)*5%)^0.9 / 21,0.1),0.05))</f>
        <v>0.60000000000000009</v>
      </c>
      <c r="E198" s="11">
        <f>MROUND(_xlfn.XLOOKUP(B198,'Base stats'!B:B,'Base stats'!BG:BG) * 0.01 * 2 + 0.01, 0.05)</f>
        <v>0.45</v>
      </c>
      <c r="F198" s="7">
        <f>MROUND(_xlfn.XLOOKUP(B198,'Base stats'!B:B,'Base stats'!BD:BD)^0.25 / (_xlfn.XLOOKUP(B198,'Base stats'!B:B,'Base stats'!BK:BK) * 10) * 150 + 0.5 + _xlfn.XLOOKUP(B198,'Base stats'!B:B,'Base stats'!BW:BW), 0.05)</f>
        <v>1.4500000000000002</v>
      </c>
      <c r="G198" s="3" t="str">
        <f>IF(Animals!S198="No","No",
IF(_xlfn.XLOOKUP(B198,'Base stats'!B:B,'Base stats'!U:U)="No",
MAX(MROUND(_xlfn.XLOOKUP(B198,'Base stats'!B:B,'Base stats'!BT:BT) * _xlfn.XLOOKUP(B198,'Base stats'!B:B,'Base stats'!BP:BP)^0.9 / 21 * _xlfn.XLOOKUP(B198,'Base stats'!B:B,'Base stats'!BX:BX),0.1),0.05),
MAX(MROUND(((MIN(10,_xlfn.XLOOKUP(B198,'Base stats'!B:B,'Base stats'!U:U)))^0.4*_xlfn.XLOOKUP(B198,'Base stats'!B:B,'Base stats'!BH:BH)^0.73)^0.6 * _xlfn.XLOOKUP(B198,'Base stats'!B:B,'Base stats'!BX:BX),0.1),0.05)
))</f>
        <v>No</v>
      </c>
      <c r="H198" s="11" t="str">
        <f>IF(G198="No","No",
MROUND(_xlfn.XLOOKUP(B198,'Base stats'!B:B,'Base stats'!BH:BH) * 0.01 * 2 + 0.05, 0.05)
)</f>
        <v>No</v>
      </c>
      <c r="I198" s="11" t="str">
        <f>IF(G198="No","No",IF(_xlfn.XLOOKUP(B198,'Base stats'!B:B,'Base stats'!U:U)="No","No",
MROUND(_xlfn.XLOOKUP(B198,'Base stats'!B:B,'Base stats'!BT:BT)/10000+0.01,0.01)
))</f>
        <v>No</v>
      </c>
      <c r="J198" s="4" t="str">
        <f>IF(G198="No","No",
MROUND(_xlfn.XLOOKUP(B198,'Base stats'!B:B,'Base stats'!BE:BE)^0.25
/((_xlfn.XLOOKUP(B198,'Base stats'!B:B,'Base stats'!BL:BL))*10)*_xlfn.XLOOKUP(_xlfn.XLOOKUP(B198,'Base stats'!B:B,'Base stats'!E:E),Groups!A:A,Groups!Q:Q)*150 + 0.5 + _xlfn.XLOOKUP(B198,'Base stats'!B:B,'Base stats'!BW:BW),
0.05))</f>
        <v>No</v>
      </c>
      <c r="K198" s="3" t="str">
        <f>IF(Animals!X198="No","No",
IF(_xlfn.XLOOKUP(_xlfn.XLOOKUP(B198,'Base stats'!B:B,'Base stats'!E:E),Groups!A:A,Groups!BD:BD)=1,
MAX(MROUND(_xlfn.XLOOKUP(B198,'Base stats'!B:B,'Base stats'!BU:BU) * _xlfn.XLOOKUP(B198,'Base stats'!B:B,'Base stats'!BQ:BQ)^0.9 / 21 *_xlfn.XLOOKUP(B198,'Base stats'!B:B,'Base stats'!BX:BX),0.1),0.05),
MAX(MROUND(((MIN(10,_xlfn.XLOOKUP(B198,'Base stats'!B:B,'Base stats'!W:W)))^0.4*_xlfn.XLOOKUP(B198,'Base stats'!B:B,'Base stats'!BI:BI)^0.73)^0.6 *_xlfn.XLOOKUP(B198,'Base stats'!B:B,'Base stats'!BX:BX),0.1),0.05)
))</f>
        <v>No</v>
      </c>
      <c r="L198" s="11" t="str">
        <f>IF(K198="No","No",
MROUND(_xlfn.XLOOKUP(B198,'Base stats'!B:B,'Base stats'!BI:BI) * 0.01 *2 + 0.05, 0.05)
)</f>
        <v>No</v>
      </c>
      <c r="M198" s="5" t="str">
        <f>IF(K198="No","No",IF(_xlfn.XLOOKUP(_xlfn.XLOOKUP(B198,'Base stats'!B:B,'Base stats'!E:E),Groups!A:A,Groups!BD:BD)=1,"No",
MROUND(_xlfn.XLOOKUP(B198,'Base stats'!B:B,'Base stats'!BU:BU)/10000+0.01,0.01)
))</f>
        <v>No</v>
      </c>
      <c r="N198" s="4" t="str">
        <f>IF(K198="No","No",
MROUND(
  _xlfn.XLOOKUP(B198,'Base stats'!B:B,'Base stats'!BC:BC)^0.25
  / (_xlfn.XLOOKUP(B198,'Base stats'!B:B,'Base stats'!BM:BM) * 10)
  * _xlfn.XLOOKUP(
      _xlfn.XLOOKUP(B198,'Base stats'!B:B,'Base stats'!E:E),
      Groups!A:A,
      Groups!V:V
    ) * 150
  + MIN(12, _xlfn.XLOOKUP(B198,'Base stats'!B:B,'Base stats'!W:W))^(1/IF(_xlfn.XLOOKUP(_xlfn.XLOOKUP(B198,'Base stats'!B:B,'Base stats'!E:E),Groups!A:A,Groups!U:U)=1,100,10)) + 0.5 + _xlfn.XLOOKUP(B198,'Base stats'!B:B,'Base stats'!BW:BW),
0.05))</f>
        <v>No</v>
      </c>
      <c r="O198" s="3">
        <f>IF(Animals!AD198="No","No",
MAX(MROUND((MIN(10,_xlfn.XLOOKUP(B198,'Base stats'!B:B,'Base stats'!V:V)*IF(_xlfn.XLOOKUP(_xlfn.XLOOKUP(B198,'Base stats'!B:B,'Base stats'!E:E),Groups!A:A,Groups!O:O)=0,1,0.33))^0.4*_xlfn.XLOOKUP(B198,'Base stats'!B:B,'Base stats'!BJ:BJ)^0.73)^0.6 *_xlfn.XLOOKUP(B198,'Base stats'!B:B,'Base stats'!BX:BX),0.1),0.05)
)</f>
        <v>4.9000000000000004</v>
      </c>
      <c r="P198" s="11">
        <f>IF(O198="No","No",
MROUND(_xlfn.XLOOKUP(B198,'Base stats'!B:B,'Base stats'!BJ:BJ) * 0.01 * 2 + 0.05, 0.05)
)</f>
        <v>0.45</v>
      </c>
      <c r="Q198" s="5">
        <f>IF(O198="No","No",
MROUND(_xlfn.XLOOKUP(B198,'Base stats'!B:B,'Base stats'!BV:BV)/10000+0.01,0.01)
)</f>
        <v>0.06</v>
      </c>
      <c r="R198" s="4">
        <f>IF(O198="No","No",
MROUND(_xlfn.XLOOKUP(B198,'Base stats'!B:B,'Base stats'!BB:BB)^0.25
/((_xlfn.XLOOKUP(B198,'Base stats'!B:B,'Base stats'!BN:BN))*10)*_xlfn.XLOOKUP(_xlfn.XLOOKUP(B198,'Base stats'!B:B,'Base stats'!E:E),Groups!A:A,Groups!Z:Z)*150 + 0.5 + _xlfn.XLOOKUP(B198,'Base stats'!B:B,'Base stats'!BW:BW),
0.05))</f>
        <v>2.0500000000000003</v>
      </c>
      <c r="S198" s="3" t="str">
        <f>IF(Animals!AI198="No","No",
IF(_xlfn.XLOOKUP(B198,'Base stats'!B:B,'Base stats'!U:U)="No",
MAX(MROUND(_xlfn.XLOOKUP(B198,'Base stats'!B:B,'Base stats'!BT:BT) * _xlfn.XLOOKUP(B198,'Base stats'!B:B,'Base stats'!BP:BP)^0.9 / 21 * _xlfn.XLOOKUP(B198,'Base stats'!B:B,'Base stats'!BX:BX),0.1),0.05),
MAX(MROUND(((MIN(12,_xlfn.XLOOKUP(B198,'Base stats'!B:B,'Base stats'!U:U)))^0.4*_xlfn.XLOOKUP(B198,'Base stats'!B:B,'Base stats'!BH:BH)^0.73)^0.6 * _xlfn.XLOOKUP(B198,'Base stats'!B:B,'Base stats'!BX:BX),0.1),0.05)
))</f>
        <v>No</v>
      </c>
      <c r="T198" s="11" t="str">
        <f>IF(S198="No","No",
MROUND(_xlfn.XLOOKUP(B198,'Base stats'!B:B,'Base stats'!BH:BH) * 0.01 * 2 + 0.05, 0.05)
)</f>
        <v>No</v>
      </c>
      <c r="U198" s="5" t="str">
        <f>IF(S198="No","No",IF(_xlfn.XLOOKUP(B198,'Base stats'!B:B,'Base stats'!U:U)="No","No",
MROUND(_xlfn.XLOOKUP(B198,'Base stats'!B:B,'Base stats'!BT:BT)/10000+0.01,0.01)
))</f>
        <v>No</v>
      </c>
      <c r="V198" s="4" t="str">
        <f>IF(S198="No","No",
MROUND(_xlfn.XLOOKUP(B198,'Base stats'!B:B,'Base stats'!BF:BF)^0.25
/((_xlfn.XLOOKUP(B198,'Base stats'!B:B,'Base stats'!BO:BO))*10)*_xlfn.XLOOKUP(_xlfn.XLOOKUP(B198,'Base stats'!B:B,'Base stats'!E:E),Groups!A:A,Groups!AE:AE)*150 + 0.5 + _xlfn.XLOOKUP(B198,'Base stats'!B:B,'Base stats'!BW:BW),
0.05))</f>
        <v>No</v>
      </c>
      <c r="W198" s="8">
        <f>MROUND(_xlfn.XLOOKUP(_xlfn.XLOOKUP(B198,'Base stats'!B:B,'Base stats'!E:E),Groups!A:A,Groups!BG:BG)*_xlfn.XLOOKUP(B198,'Base stats'!B:B,'Base stats'!C:C)^-0.165,0.05)</f>
        <v>0.45</v>
      </c>
      <c r="X198" s="1">
        <f>MROUND(_xlfn.XLOOKUP(_xlfn.XLOOKUP(B198,'Base stats'!B:B,'Base stats'!E:E),Groups!A:A,Groups!BH:BH)*_xlfn.XLOOKUP(B198,'Base stats'!B:B,'Base stats'!C:C)^0.165,0.05)</f>
        <v>0</v>
      </c>
      <c r="Y198" s="8">
        <f>MROUND(_xlfn.XLOOKUP(_xlfn.XLOOKUP(B198,'Base stats'!B:B,'Base stats'!E:E),Groups!A:A,Groups!BI:BI)*_xlfn.XLOOKUP(B198,'Base stats'!B:B,'Base stats'!C:C)^0.165,0.05)</f>
        <v>0</v>
      </c>
      <c r="Z198" s="18">
        <f>MROUND(_xlfn.XLOOKUP(B198,'Base stats'!B:B,'Base stats'!AQ:AQ)*_xlfn.XLOOKUP(_xlfn.XLOOKUP(B198,'Base stats'!B:B,'Base stats'!E:E),Groups!A:A,Groups!H:H)/1000,IF((_xlfn.XLOOKUP(B198,'Base stats'!B:B,'Base stats'!AQ:AQ)*_xlfn.XLOOKUP(_xlfn.XLOOKUP(B198,'Base stats'!B:B,'Base stats'!E:E),Groups!A:A,Groups!H:H)/1000)&gt;1,0.05,0.01))</f>
        <v>0.04</v>
      </c>
      <c r="AA198" s="18">
        <f>MROUND((1/2)*(_xlfn.XLOOKUP(_xlfn.XLOOKUP(B198,'Base stats'!B:B,'Base stats'!E:E),Groups!A:A,Groups!H:H)*_xlfn.XLOOKUP(_xlfn.XLOOKUP(B198,'Base stats'!B:B,'Base stats'!E:E),Groups!A:A,Groups!I:I))*_xlfn.XLOOKUP(B198,'Base stats'!B:B,'Base stats'!AQ:AQ)*0.01,0.05)</f>
        <v>0.15000000000000002</v>
      </c>
      <c r="AB198" s="18">
        <f>MROUND(250*(Animals!AO198+Animals!AP198),25)</f>
        <v>250</v>
      </c>
      <c r="AC198" s="18" t="str">
        <f>_xlfn.XLOOKUP(_xlfn.XLOOKUP(B198,'Base stats'!B:B,'Base stats'!E:E),Groups!A:A,Groups!BJ:BJ)</f>
        <v>QuadrupedLow</v>
      </c>
    </row>
    <row r="199" spans="1:29" ht="16.5" thickTop="1" thickBot="1" x14ac:dyDescent="0.3">
      <c r="A199" s="16" t="str">
        <f>Animals!A199</f>
        <v>VasteHydra</v>
      </c>
      <c r="B199" s="6" t="str">
        <f>Animals!B199</f>
        <v>Hydra toxifera</v>
      </c>
      <c r="C199" s="1" t="str">
        <f>Animals!C199</f>
        <v>&lt;li&gt;VAEWaste_Hydra&lt;/li&gt;</v>
      </c>
      <c r="D199" s="47">
        <f>MIN(MIN(6,_xlfn.XLOOKUP(A199,Animals!A:A,Animals!AO:AO))*20,MAX(MROUND(_xlfn.XLOOKUP(B199,'Base stats'!B:B,'Base stats'!BS:BS) * (_xlfn.XLOOKUP(B199,'Base stats'!B:B,'Base stats'!AO:AO)*5%)^0.9 / 21,0.1),0.05))</f>
        <v>0.4</v>
      </c>
      <c r="E199" s="11">
        <f>MROUND(_xlfn.XLOOKUP(B199,'Base stats'!B:B,'Base stats'!BG:BG) * 0.01 * 2 + 0.01, 0.05)</f>
        <v>0.35000000000000003</v>
      </c>
      <c r="F199" s="7">
        <f>MROUND(_xlfn.XLOOKUP(B199,'Base stats'!B:B,'Base stats'!BD:BD)^0.25 / (_xlfn.XLOOKUP(B199,'Base stats'!B:B,'Base stats'!BK:BK) * 10) * 150 + 0.5 + _xlfn.XLOOKUP(B199,'Base stats'!B:B,'Base stats'!BW:BW), 0.05)</f>
        <v>1.6</v>
      </c>
      <c r="G199" s="3" t="str">
        <f>IF(Animals!S199="No","No",
IF(_xlfn.XLOOKUP(B199,'Base stats'!B:B,'Base stats'!U:U)="No",
MAX(MROUND(_xlfn.XLOOKUP(B199,'Base stats'!B:B,'Base stats'!BT:BT) * _xlfn.XLOOKUP(B199,'Base stats'!B:B,'Base stats'!BP:BP)^0.9 / 21 * _xlfn.XLOOKUP(B199,'Base stats'!B:B,'Base stats'!BX:BX),0.1),0.05),
MAX(MROUND(((MIN(10,_xlfn.XLOOKUP(B199,'Base stats'!B:B,'Base stats'!U:U)))^0.4*_xlfn.XLOOKUP(B199,'Base stats'!B:B,'Base stats'!BH:BH)^0.73)^0.6 * _xlfn.XLOOKUP(B199,'Base stats'!B:B,'Base stats'!BX:BX),0.1),0.05)
))</f>
        <v>No</v>
      </c>
      <c r="H199" s="11" t="str">
        <f>IF(G199="No","No",
MROUND(_xlfn.XLOOKUP(B199,'Base stats'!B:B,'Base stats'!BH:BH) * 0.01 * 2 + 0.05, 0.05)
)</f>
        <v>No</v>
      </c>
      <c r="I199" s="11" t="str">
        <f>IF(G199="No","No",IF(_xlfn.XLOOKUP(B199,'Base stats'!B:B,'Base stats'!U:U)="No","No",
MROUND(_xlfn.XLOOKUP(B199,'Base stats'!B:B,'Base stats'!BT:BT)/10000+0.01,0.01)
))</f>
        <v>No</v>
      </c>
      <c r="J199" s="4" t="str">
        <f>IF(G199="No","No",
MROUND(_xlfn.XLOOKUP(B199,'Base stats'!B:B,'Base stats'!BE:BE)^0.25
/((_xlfn.XLOOKUP(B199,'Base stats'!B:B,'Base stats'!BL:BL))*10)*_xlfn.XLOOKUP(_xlfn.XLOOKUP(B199,'Base stats'!B:B,'Base stats'!E:E),Groups!A:A,Groups!Q:Q)*150 + 0.5 + _xlfn.XLOOKUP(B199,'Base stats'!B:B,'Base stats'!BW:BW),
0.05))</f>
        <v>No</v>
      </c>
      <c r="K199" s="3" t="str">
        <f>IF(Animals!X199="No","No",
IF(_xlfn.XLOOKUP(_xlfn.XLOOKUP(B199,'Base stats'!B:B,'Base stats'!E:E),Groups!A:A,Groups!BD:BD)=1,
MAX(MROUND(_xlfn.XLOOKUP(B199,'Base stats'!B:B,'Base stats'!BU:BU) * _xlfn.XLOOKUP(B199,'Base stats'!B:B,'Base stats'!BQ:BQ)^0.9 / 21 *_xlfn.XLOOKUP(B199,'Base stats'!B:B,'Base stats'!BX:BX),0.1),0.05),
MAX(MROUND(((MIN(10,_xlfn.XLOOKUP(B199,'Base stats'!B:B,'Base stats'!W:W)))^0.4*_xlfn.XLOOKUP(B199,'Base stats'!B:B,'Base stats'!BI:BI)^0.73)^0.6 *_xlfn.XLOOKUP(B199,'Base stats'!B:B,'Base stats'!BX:BX),0.1),0.05)
))</f>
        <v>No</v>
      </c>
      <c r="L199" s="11" t="str">
        <f>IF(K199="No","No",
MROUND(_xlfn.XLOOKUP(B199,'Base stats'!B:B,'Base stats'!BI:BI) * 0.01 *2 + 0.05, 0.05)
)</f>
        <v>No</v>
      </c>
      <c r="M199" s="5" t="str">
        <f>IF(K199="No","No",IF(_xlfn.XLOOKUP(_xlfn.XLOOKUP(B199,'Base stats'!B:B,'Base stats'!E:E),Groups!A:A,Groups!BD:BD)=1,"No",
MROUND(_xlfn.XLOOKUP(B199,'Base stats'!B:B,'Base stats'!BU:BU)/10000+0.01,0.01)
))</f>
        <v>No</v>
      </c>
      <c r="N199" s="4" t="str">
        <f>IF(K199="No","No",
MROUND(
  _xlfn.XLOOKUP(B199,'Base stats'!B:B,'Base stats'!BC:BC)^0.25
  / (_xlfn.XLOOKUP(B199,'Base stats'!B:B,'Base stats'!BM:BM) * 10)
  * _xlfn.XLOOKUP(
      _xlfn.XLOOKUP(B199,'Base stats'!B:B,'Base stats'!E:E),
      Groups!A:A,
      Groups!V:V
    ) * 150
  + MIN(12, _xlfn.XLOOKUP(B199,'Base stats'!B:B,'Base stats'!W:W))^(1/IF(_xlfn.XLOOKUP(_xlfn.XLOOKUP(B199,'Base stats'!B:B,'Base stats'!E:E),Groups!A:A,Groups!U:U)=1,100,10)) + 0.5 + _xlfn.XLOOKUP(B199,'Base stats'!B:B,'Base stats'!BW:BW),
0.05))</f>
        <v>No</v>
      </c>
      <c r="O199" s="3">
        <f>IF(Animals!AD199="No","No",
MAX(MROUND((MIN(10,_xlfn.XLOOKUP(B199,'Base stats'!B:B,'Base stats'!V:V)*IF(_xlfn.XLOOKUP(_xlfn.XLOOKUP(B199,'Base stats'!B:B,'Base stats'!E:E),Groups!A:A,Groups!O:O)=0,1,0.33))^0.4*_xlfn.XLOOKUP(B199,'Base stats'!B:B,'Base stats'!BJ:BJ)^0.73)^0.6 *_xlfn.XLOOKUP(B199,'Base stats'!B:B,'Base stats'!BX:BX),0.1),0.05)
)</f>
        <v>3.4000000000000004</v>
      </c>
      <c r="P199" s="11">
        <f>IF(O199="No","No",
MROUND(_xlfn.XLOOKUP(B199,'Base stats'!B:B,'Base stats'!BJ:BJ) * 0.01 * 2 + 0.05, 0.05)
)</f>
        <v>0.35000000000000003</v>
      </c>
      <c r="Q199" s="5">
        <f>IF(O199="No","No",
MROUND(_xlfn.XLOOKUP(B199,'Base stats'!B:B,'Base stats'!BV:BV)/10000+0.01,0.01)
)</f>
        <v>0.05</v>
      </c>
      <c r="R199" s="4">
        <f>IF(O199="No","No",
MROUND(_xlfn.XLOOKUP(B199,'Base stats'!B:B,'Base stats'!BB:BB)^0.25
/((_xlfn.XLOOKUP(B199,'Base stats'!B:B,'Base stats'!BN:BN))*10)*_xlfn.XLOOKUP(_xlfn.XLOOKUP(B199,'Base stats'!B:B,'Base stats'!E:E),Groups!A:A,Groups!Z:Z)*150 + 0.5 + _xlfn.XLOOKUP(B199,'Base stats'!B:B,'Base stats'!BW:BW),
0.05))</f>
        <v>1</v>
      </c>
      <c r="S199" s="3" t="str">
        <f>IF(Animals!AI199="No","No",
IF(_xlfn.XLOOKUP(B199,'Base stats'!B:B,'Base stats'!U:U)="No",
MAX(MROUND(_xlfn.XLOOKUP(B199,'Base stats'!B:B,'Base stats'!BT:BT) * _xlfn.XLOOKUP(B199,'Base stats'!B:B,'Base stats'!BP:BP)^0.9 / 21 * _xlfn.XLOOKUP(B199,'Base stats'!B:B,'Base stats'!BX:BX),0.1),0.05),
MAX(MROUND(((MIN(12,_xlfn.XLOOKUP(B199,'Base stats'!B:B,'Base stats'!U:U)))^0.4*_xlfn.XLOOKUP(B199,'Base stats'!B:B,'Base stats'!BH:BH)^0.73)^0.6 * _xlfn.XLOOKUP(B199,'Base stats'!B:B,'Base stats'!BX:BX),0.1),0.05)
))</f>
        <v>No</v>
      </c>
      <c r="T199" s="11" t="str">
        <f>IF(S199="No","No",
MROUND(_xlfn.XLOOKUP(B199,'Base stats'!B:B,'Base stats'!BH:BH) * 0.01 * 2 + 0.05, 0.05)
)</f>
        <v>No</v>
      </c>
      <c r="U199" s="5" t="str">
        <f>IF(S199="No","No",IF(_xlfn.XLOOKUP(B199,'Base stats'!B:B,'Base stats'!U:U)="No","No",
MROUND(_xlfn.XLOOKUP(B199,'Base stats'!B:B,'Base stats'!BT:BT)/10000+0.01,0.01)
))</f>
        <v>No</v>
      </c>
      <c r="V199" s="4" t="str">
        <f>IF(S199="No","No",
MROUND(_xlfn.XLOOKUP(B199,'Base stats'!B:B,'Base stats'!BF:BF)^0.25
/((_xlfn.XLOOKUP(B199,'Base stats'!B:B,'Base stats'!BO:BO))*10)*_xlfn.XLOOKUP(_xlfn.XLOOKUP(B199,'Base stats'!B:B,'Base stats'!E:E),Groups!A:A,Groups!AE:AE)*150 + 0.5 + _xlfn.XLOOKUP(B199,'Base stats'!B:B,'Base stats'!BW:BW),
0.05))</f>
        <v>No</v>
      </c>
      <c r="W199" s="8">
        <f>MROUND(_xlfn.XLOOKUP(_xlfn.XLOOKUP(B199,'Base stats'!B:B,'Base stats'!E:E),Groups!A:A,Groups!BG:BG)*_xlfn.XLOOKUP(B199,'Base stats'!B:B,'Base stats'!C:C)^-0.165,0.05)</f>
        <v>0.35000000000000003</v>
      </c>
      <c r="X199" s="1">
        <f>MROUND(_xlfn.XLOOKUP(_xlfn.XLOOKUP(B199,'Base stats'!B:B,'Base stats'!E:E),Groups!A:A,Groups!BH:BH)*_xlfn.XLOOKUP(B199,'Base stats'!B:B,'Base stats'!C:C)^0.165,0.05)</f>
        <v>0.15000000000000002</v>
      </c>
      <c r="Y199" s="8">
        <f>MROUND(_xlfn.XLOOKUP(_xlfn.XLOOKUP(B199,'Base stats'!B:B,'Base stats'!E:E),Groups!A:A,Groups!BI:BI)*_xlfn.XLOOKUP(B199,'Base stats'!B:B,'Base stats'!C:C)^0.165,0.05)</f>
        <v>0</v>
      </c>
      <c r="Z199" s="18">
        <f>MROUND(_xlfn.XLOOKUP(B199,'Base stats'!B:B,'Base stats'!AQ:AQ)*_xlfn.XLOOKUP(_xlfn.XLOOKUP(B199,'Base stats'!B:B,'Base stats'!E:E),Groups!A:A,Groups!H:H)/1000,IF((_xlfn.XLOOKUP(B199,'Base stats'!B:B,'Base stats'!AQ:AQ)*_xlfn.XLOOKUP(_xlfn.XLOOKUP(B199,'Base stats'!B:B,'Base stats'!E:E),Groups!A:A,Groups!H:H)/1000)&gt;1,0.05,0.01))</f>
        <v>0.04</v>
      </c>
      <c r="AA199" s="18">
        <f>MROUND((1/2)*(_xlfn.XLOOKUP(_xlfn.XLOOKUP(B199,'Base stats'!B:B,'Base stats'!E:E),Groups!A:A,Groups!H:H)*_xlfn.XLOOKUP(_xlfn.XLOOKUP(B199,'Base stats'!B:B,'Base stats'!E:E),Groups!A:A,Groups!I:I))*_xlfn.XLOOKUP(B199,'Base stats'!B:B,'Base stats'!AQ:AQ)*0.01,0.05)</f>
        <v>0.05</v>
      </c>
      <c r="AB199" s="18">
        <f>MROUND(250*(Animals!AO199+Animals!AP199),25)</f>
        <v>200</v>
      </c>
      <c r="AC199" s="18" t="str">
        <f>_xlfn.XLOOKUP(_xlfn.XLOOKUP(B199,'Base stats'!B:B,'Base stats'!E:E),Groups!A:A,Groups!BJ:BJ)</f>
        <v>Serpentine</v>
      </c>
    </row>
    <row r="200" spans="1:29" ht="16.5" thickTop="1" thickBot="1" x14ac:dyDescent="0.3">
      <c r="A200" s="16" t="str">
        <f>Animals!A200</f>
        <v>Megatardi</v>
      </c>
      <c r="B200" s="6" t="str">
        <f>Animals!B200</f>
        <v>Megatardi gigantea</v>
      </c>
      <c r="C200" s="1" t="str">
        <f>Animals!C200</f>
        <v>&lt;li&gt;VAEWaste_Megatardi&lt;/li&gt;</v>
      </c>
      <c r="D200" s="47">
        <f>MIN(MIN(6,_xlfn.XLOOKUP(A200,Animals!A:A,Animals!AO:AO))*20,MAX(MROUND(_xlfn.XLOOKUP(B200,'Base stats'!B:B,'Base stats'!BS:BS) * (_xlfn.XLOOKUP(B200,'Base stats'!B:B,'Base stats'!AO:AO)*5%)^0.9 / 21,0.1),0.05))</f>
        <v>3.3000000000000003</v>
      </c>
      <c r="E200" s="11">
        <f>MROUND(_xlfn.XLOOKUP(B200,'Base stats'!B:B,'Base stats'!BG:BG) * 0.01 * 2 + 0.01, 0.05)</f>
        <v>3</v>
      </c>
      <c r="F200" s="7">
        <f>MROUND(_xlfn.XLOOKUP(B200,'Base stats'!B:B,'Base stats'!BD:BD)^0.25 / (_xlfn.XLOOKUP(B200,'Base stats'!B:B,'Base stats'!BK:BK) * 10) * 150 + 0.5 + _xlfn.XLOOKUP(B200,'Base stats'!B:B,'Base stats'!BW:BW), 0.05)</f>
        <v>2.4000000000000004</v>
      </c>
      <c r="G200" s="3" t="str">
        <f>IF(Animals!S200="No","No",
IF(_xlfn.XLOOKUP(B200,'Base stats'!B:B,'Base stats'!U:U)="No",
MAX(MROUND(_xlfn.XLOOKUP(B200,'Base stats'!B:B,'Base stats'!BT:BT) * _xlfn.XLOOKUP(B200,'Base stats'!B:B,'Base stats'!BP:BP)^0.9 / 21 * _xlfn.XLOOKUP(B200,'Base stats'!B:B,'Base stats'!BX:BX),0.1),0.05),
MAX(MROUND(((MIN(10,_xlfn.XLOOKUP(B200,'Base stats'!B:B,'Base stats'!U:U)))^0.4*_xlfn.XLOOKUP(B200,'Base stats'!B:B,'Base stats'!BH:BH)^0.73)^0.6 * _xlfn.XLOOKUP(B200,'Base stats'!B:B,'Base stats'!BX:BX),0.1),0.05)
))</f>
        <v>No</v>
      </c>
      <c r="H200" s="11" t="str">
        <f>IF(G200="No","No",
MROUND(_xlfn.XLOOKUP(B200,'Base stats'!B:B,'Base stats'!BH:BH) * 0.01 * 2 + 0.05, 0.05)
)</f>
        <v>No</v>
      </c>
      <c r="I200" s="11" t="str">
        <f>IF(G200="No","No",IF(_xlfn.XLOOKUP(B200,'Base stats'!B:B,'Base stats'!U:U)="No","No",
MROUND(_xlfn.XLOOKUP(B200,'Base stats'!B:B,'Base stats'!BT:BT)/10000+0.01,0.01)
))</f>
        <v>No</v>
      </c>
      <c r="J200" s="4" t="str">
        <f>IF(G200="No","No",
MROUND(_xlfn.XLOOKUP(B200,'Base stats'!B:B,'Base stats'!BE:BE)^0.25
/((_xlfn.XLOOKUP(B200,'Base stats'!B:B,'Base stats'!BL:BL))*10)*_xlfn.XLOOKUP(_xlfn.XLOOKUP(B200,'Base stats'!B:B,'Base stats'!E:E),Groups!A:A,Groups!Q:Q)*150 + 0.5 + _xlfn.XLOOKUP(B200,'Base stats'!B:B,'Base stats'!BW:BW),
0.05))</f>
        <v>No</v>
      </c>
      <c r="K200" s="3" t="str">
        <f>IF(Animals!X200="No","No",
IF(_xlfn.XLOOKUP(_xlfn.XLOOKUP(B200,'Base stats'!B:B,'Base stats'!E:E),Groups!A:A,Groups!BD:BD)=1,
MAX(MROUND(_xlfn.XLOOKUP(B200,'Base stats'!B:B,'Base stats'!BU:BU) * _xlfn.XLOOKUP(B200,'Base stats'!B:B,'Base stats'!BQ:BQ)^0.9 / 21 *_xlfn.XLOOKUP(B200,'Base stats'!B:B,'Base stats'!BX:BX),0.1),0.05),
MAX(MROUND(((MIN(10,_xlfn.XLOOKUP(B200,'Base stats'!B:B,'Base stats'!W:W)))^0.4*_xlfn.XLOOKUP(B200,'Base stats'!B:B,'Base stats'!BI:BI)^0.73)^0.6 *_xlfn.XLOOKUP(B200,'Base stats'!B:B,'Base stats'!BX:BX),0.1),0.05)
))</f>
        <v>No</v>
      </c>
      <c r="L200" s="11" t="str">
        <f>IF(K200="No","No",
MROUND(_xlfn.XLOOKUP(B200,'Base stats'!B:B,'Base stats'!BI:BI) * 0.01 *2 + 0.05, 0.05)
)</f>
        <v>No</v>
      </c>
      <c r="M200" s="5" t="str">
        <f>IF(K200="No","No",IF(_xlfn.XLOOKUP(_xlfn.XLOOKUP(B200,'Base stats'!B:B,'Base stats'!E:E),Groups!A:A,Groups!BD:BD)=1,"No",
MROUND(_xlfn.XLOOKUP(B200,'Base stats'!B:B,'Base stats'!BU:BU)/10000+0.01,0.01)
))</f>
        <v>No</v>
      </c>
      <c r="N200" s="4" t="str">
        <f>IF(K200="No","No",
MROUND(
  _xlfn.XLOOKUP(B200,'Base stats'!B:B,'Base stats'!BC:BC)^0.25
  / (_xlfn.XLOOKUP(B200,'Base stats'!B:B,'Base stats'!BM:BM) * 10)
  * _xlfn.XLOOKUP(
      _xlfn.XLOOKUP(B200,'Base stats'!B:B,'Base stats'!E:E),
      Groups!A:A,
      Groups!V:V
    ) * 150
  + MIN(12, _xlfn.XLOOKUP(B200,'Base stats'!B:B,'Base stats'!W:W))^(1/IF(_xlfn.XLOOKUP(_xlfn.XLOOKUP(B200,'Base stats'!B:B,'Base stats'!E:E),Groups!A:A,Groups!U:U)=1,100,10)) + 0.5 + _xlfn.XLOOKUP(B200,'Base stats'!B:B,'Base stats'!BW:BW),
0.05))</f>
        <v>No</v>
      </c>
      <c r="O200" s="3">
        <f>IF(Animals!AD200="No","No",
MAX(MROUND((MIN(10,_xlfn.XLOOKUP(B200,'Base stats'!B:B,'Base stats'!V:V)*IF(_xlfn.XLOOKUP(_xlfn.XLOOKUP(B200,'Base stats'!B:B,'Base stats'!E:E),Groups!A:A,Groups!O:O)=0,1,0.33))^0.4*_xlfn.XLOOKUP(B200,'Base stats'!B:B,'Base stats'!BJ:BJ)^0.73)^0.6 *_xlfn.XLOOKUP(B200,'Base stats'!B:B,'Base stats'!BX:BX),0.1),0.05)
)</f>
        <v>21</v>
      </c>
      <c r="P200" s="11">
        <f>IF(O200="No","No",
MROUND(_xlfn.XLOOKUP(B200,'Base stats'!B:B,'Base stats'!BJ:BJ) * 0.01 * 2 + 0.05, 0.05)
)</f>
        <v>20.950000000000003</v>
      </c>
      <c r="Q200" s="5">
        <f>IF(O200="No","No",
MROUND(_xlfn.XLOOKUP(B200,'Base stats'!B:B,'Base stats'!BV:BV)/10000+0.01,0.01)
)</f>
        <v>0.76</v>
      </c>
      <c r="R200" s="4">
        <f>IF(O200="No","No",
MROUND(_xlfn.XLOOKUP(B200,'Base stats'!B:B,'Base stats'!BB:BB)^0.25
/((_xlfn.XLOOKUP(B200,'Base stats'!B:B,'Base stats'!BN:BN))*10)*_xlfn.XLOOKUP(_xlfn.XLOOKUP(B200,'Base stats'!B:B,'Base stats'!E:E),Groups!A:A,Groups!Z:Z)*150 + 0.5 + _xlfn.XLOOKUP(B200,'Base stats'!B:B,'Base stats'!BW:BW),
0.05))</f>
        <v>2.1</v>
      </c>
      <c r="S200" s="3" t="str">
        <f>IF(Animals!AI200="No","No",
IF(_xlfn.XLOOKUP(B200,'Base stats'!B:B,'Base stats'!U:U)="No",
MAX(MROUND(_xlfn.XLOOKUP(B200,'Base stats'!B:B,'Base stats'!BT:BT) * _xlfn.XLOOKUP(B200,'Base stats'!B:B,'Base stats'!BP:BP)^0.9 / 21 * _xlfn.XLOOKUP(B200,'Base stats'!B:B,'Base stats'!BX:BX),0.1),0.05),
MAX(MROUND(((MIN(12,_xlfn.XLOOKUP(B200,'Base stats'!B:B,'Base stats'!U:U)))^0.4*_xlfn.XLOOKUP(B200,'Base stats'!B:B,'Base stats'!BH:BH)^0.73)^0.6 * _xlfn.XLOOKUP(B200,'Base stats'!B:B,'Base stats'!BX:BX),0.1),0.05)
))</f>
        <v>No</v>
      </c>
      <c r="T200" s="11" t="str">
        <f>IF(S200="No","No",
MROUND(_xlfn.XLOOKUP(B200,'Base stats'!B:B,'Base stats'!BH:BH) * 0.01 * 2 + 0.05, 0.05)
)</f>
        <v>No</v>
      </c>
      <c r="U200" s="5" t="str">
        <f>IF(S200="No","No",IF(_xlfn.XLOOKUP(B200,'Base stats'!B:B,'Base stats'!U:U)="No","No",
MROUND(_xlfn.XLOOKUP(B200,'Base stats'!B:B,'Base stats'!BT:BT)/10000+0.01,0.01)
))</f>
        <v>No</v>
      </c>
      <c r="V200" s="4" t="str">
        <f>IF(S200="No","No",
MROUND(_xlfn.XLOOKUP(B200,'Base stats'!B:B,'Base stats'!BF:BF)^0.25
/((_xlfn.XLOOKUP(B200,'Base stats'!B:B,'Base stats'!BO:BO))*10)*_xlfn.XLOOKUP(_xlfn.XLOOKUP(B200,'Base stats'!B:B,'Base stats'!E:E),Groups!A:A,Groups!AE:AE)*150 + 0.5 + _xlfn.XLOOKUP(B200,'Base stats'!B:B,'Base stats'!BW:BW),
0.05))</f>
        <v>No</v>
      </c>
      <c r="W200" s="8">
        <f>MROUND(_xlfn.XLOOKUP(_xlfn.XLOOKUP(B200,'Base stats'!B:B,'Base stats'!E:E),Groups!A:A,Groups!BG:BG)*_xlfn.XLOOKUP(B200,'Base stats'!B:B,'Base stats'!C:C)^-0.165,0.05)</f>
        <v>0.1</v>
      </c>
      <c r="X200" s="1">
        <f>MROUND(_xlfn.XLOOKUP(_xlfn.XLOOKUP(B200,'Base stats'!B:B,'Base stats'!E:E),Groups!A:A,Groups!BH:BH)*_xlfn.XLOOKUP(B200,'Base stats'!B:B,'Base stats'!C:C)^0.165,0.05)</f>
        <v>0.25</v>
      </c>
      <c r="Y200" s="8">
        <f>MROUND(_xlfn.XLOOKUP(_xlfn.XLOOKUP(B200,'Base stats'!B:B,'Base stats'!E:E),Groups!A:A,Groups!BI:BI)*_xlfn.XLOOKUP(B200,'Base stats'!B:B,'Base stats'!C:C)^0.165,0.05)</f>
        <v>0.05</v>
      </c>
      <c r="Z200" s="18">
        <f>MROUND(_xlfn.XLOOKUP(B200,'Base stats'!B:B,'Base stats'!AQ:AQ)*_xlfn.XLOOKUP(_xlfn.XLOOKUP(B200,'Base stats'!B:B,'Base stats'!E:E),Groups!A:A,Groups!H:H)/1000,IF((_xlfn.XLOOKUP(B200,'Base stats'!B:B,'Base stats'!AQ:AQ)*_xlfn.XLOOKUP(_xlfn.XLOOKUP(B200,'Base stats'!B:B,'Base stats'!E:E),Groups!A:A,Groups!H:H)/1000)&gt;1,0.05,0.01))</f>
        <v>1.6</v>
      </c>
      <c r="AA200" s="18">
        <f>MROUND((1/2)*(_xlfn.XLOOKUP(_xlfn.XLOOKUP(B200,'Base stats'!B:B,'Base stats'!E:E),Groups!A:A,Groups!H:H)*_xlfn.XLOOKUP(_xlfn.XLOOKUP(B200,'Base stats'!B:B,'Base stats'!E:E),Groups!A:A,Groups!I:I))*_xlfn.XLOOKUP(B200,'Base stats'!B:B,'Base stats'!AQ:AQ)*0.01,0.05)</f>
        <v>0.1</v>
      </c>
      <c r="AB200" s="18">
        <f>MROUND(250*(Animals!AO200+Animals!AP200),25)</f>
        <v>1050</v>
      </c>
      <c r="AC200" s="18" t="str">
        <f>_xlfn.XLOOKUP(_xlfn.XLOOKUP(B200,'Base stats'!B:B,'Base stats'!E:E),Groups!A:A,Groups!BJ:BJ)</f>
        <v>QuadrupedLow</v>
      </c>
    </row>
    <row r="201" spans="1:29" ht="16.5" thickTop="1" thickBot="1" x14ac:dyDescent="0.3">
      <c r="A201" s="16" t="str">
        <f>Animals!A201</f>
        <v>Pestigator</v>
      </c>
      <c r="B201" s="6" t="str">
        <f>Animals!B201</f>
        <v>Pestigator ferox</v>
      </c>
      <c r="C201" s="1" t="str">
        <f>Animals!C201</f>
        <v>&lt;li&gt;VAEWaste_Pestigator&lt;/li&gt;</v>
      </c>
      <c r="D201" s="47">
        <f>MIN(MIN(6,_xlfn.XLOOKUP(A201,Animals!A:A,Animals!AO:AO))*20,MAX(MROUND(_xlfn.XLOOKUP(B201,'Base stats'!B:B,'Base stats'!BS:BS) * (_xlfn.XLOOKUP(B201,'Base stats'!B:B,'Base stats'!AO:AO)*5%)^0.9 / 21,0.1),0.05))</f>
        <v>10.700000000000001</v>
      </c>
      <c r="E201" s="11">
        <f>MROUND(_xlfn.XLOOKUP(B201,'Base stats'!B:B,'Base stats'!BG:BG) * 0.01 * 2 + 0.01, 0.05)</f>
        <v>10.5</v>
      </c>
      <c r="F201" s="7">
        <f>MROUND(_xlfn.XLOOKUP(B201,'Base stats'!B:B,'Base stats'!BD:BD)^0.25 / (_xlfn.XLOOKUP(B201,'Base stats'!B:B,'Base stats'!BK:BK) * 10) * 150 + 0.5 + _xlfn.XLOOKUP(B201,'Base stats'!B:B,'Base stats'!BW:BW), 0.05)</f>
        <v>3.6</v>
      </c>
      <c r="G201" s="3" t="str">
        <f>IF(Animals!S201="No","No",
IF(_xlfn.XLOOKUP(B201,'Base stats'!B:B,'Base stats'!U:U)="No",
MAX(MROUND(_xlfn.XLOOKUP(B201,'Base stats'!B:B,'Base stats'!BT:BT) * _xlfn.XLOOKUP(B201,'Base stats'!B:B,'Base stats'!BP:BP)^0.9 / 21 * _xlfn.XLOOKUP(B201,'Base stats'!B:B,'Base stats'!BX:BX),0.1),0.05),
MAX(MROUND(((MIN(10,_xlfn.XLOOKUP(B201,'Base stats'!B:B,'Base stats'!U:U)))^0.4*_xlfn.XLOOKUP(B201,'Base stats'!B:B,'Base stats'!BH:BH)^0.73)^0.6 * _xlfn.XLOOKUP(B201,'Base stats'!B:B,'Base stats'!BX:BX),0.1),0.05)
))</f>
        <v>No</v>
      </c>
      <c r="H201" s="11" t="str">
        <f>IF(G201="No","No",
MROUND(_xlfn.XLOOKUP(B201,'Base stats'!B:B,'Base stats'!BH:BH) * 0.01 * 2 + 0.05, 0.05)
)</f>
        <v>No</v>
      </c>
      <c r="I201" s="11" t="str">
        <f>IF(G201="No","No",IF(_xlfn.XLOOKUP(B201,'Base stats'!B:B,'Base stats'!U:U)="No","No",
MROUND(_xlfn.XLOOKUP(B201,'Base stats'!B:B,'Base stats'!BT:BT)/10000+0.01,0.01)
))</f>
        <v>No</v>
      </c>
      <c r="J201" s="4" t="str">
        <f>IF(G201="No","No",
MROUND(_xlfn.XLOOKUP(B201,'Base stats'!B:B,'Base stats'!BE:BE)^0.25
/((_xlfn.XLOOKUP(B201,'Base stats'!B:B,'Base stats'!BL:BL))*10)*_xlfn.XLOOKUP(_xlfn.XLOOKUP(B201,'Base stats'!B:B,'Base stats'!E:E),Groups!A:A,Groups!Q:Q)*150 + 0.5 + _xlfn.XLOOKUP(B201,'Base stats'!B:B,'Base stats'!BW:BW),
0.05))</f>
        <v>No</v>
      </c>
      <c r="K201" s="3" t="str">
        <f>IF(Animals!X201="No","No",
IF(_xlfn.XLOOKUP(_xlfn.XLOOKUP(B201,'Base stats'!B:B,'Base stats'!E:E),Groups!A:A,Groups!BD:BD)=1,
MAX(MROUND(_xlfn.XLOOKUP(B201,'Base stats'!B:B,'Base stats'!BU:BU) * _xlfn.XLOOKUP(B201,'Base stats'!B:B,'Base stats'!BQ:BQ)^0.9 / 21 *_xlfn.XLOOKUP(B201,'Base stats'!B:B,'Base stats'!BX:BX),0.1),0.05),
MAX(MROUND(((MIN(10,_xlfn.XLOOKUP(B201,'Base stats'!B:B,'Base stats'!W:W)))^0.4*_xlfn.XLOOKUP(B201,'Base stats'!B:B,'Base stats'!BI:BI)^0.73)^0.6 *_xlfn.XLOOKUP(B201,'Base stats'!B:B,'Base stats'!BX:BX),0.1),0.05)
))</f>
        <v>No</v>
      </c>
      <c r="L201" s="11" t="str">
        <f>IF(K201="No","No",
MROUND(_xlfn.XLOOKUP(B201,'Base stats'!B:B,'Base stats'!BI:BI) * 0.01 *2 + 0.05, 0.05)
)</f>
        <v>No</v>
      </c>
      <c r="M201" s="5" t="str">
        <f>IF(K201="No","No",IF(_xlfn.XLOOKUP(_xlfn.XLOOKUP(B201,'Base stats'!B:B,'Base stats'!E:E),Groups!A:A,Groups!BD:BD)=1,"No",
MROUND(_xlfn.XLOOKUP(B201,'Base stats'!B:B,'Base stats'!BU:BU)/10000+0.01,0.01)
))</f>
        <v>No</v>
      </c>
      <c r="N201" s="4" t="str">
        <f>IF(K201="No","No",
MROUND(
  _xlfn.XLOOKUP(B201,'Base stats'!B:B,'Base stats'!BC:BC)^0.25
  / (_xlfn.XLOOKUP(B201,'Base stats'!B:B,'Base stats'!BM:BM) * 10)
  * _xlfn.XLOOKUP(
      _xlfn.XLOOKUP(B201,'Base stats'!B:B,'Base stats'!E:E),
      Groups!A:A,
      Groups!V:V
    ) * 150
  + MIN(12, _xlfn.XLOOKUP(B201,'Base stats'!B:B,'Base stats'!W:W))^(1/IF(_xlfn.XLOOKUP(_xlfn.XLOOKUP(B201,'Base stats'!B:B,'Base stats'!E:E),Groups!A:A,Groups!U:U)=1,100,10)) + 0.5 + _xlfn.XLOOKUP(B201,'Base stats'!B:B,'Base stats'!BW:BW),
0.05))</f>
        <v>No</v>
      </c>
      <c r="O201" s="3">
        <f>IF(Animals!AD201="No","No",
MAX(MROUND((MIN(10,_xlfn.XLOOKUP(B201,'Base stats'!B:B,'Base stats'!V:V)*IF(_xlfn.XLOOKUP(_xlfn.XLOOKUP(B201,'Base stats'!B:B,'Base stats'!E:E),Groups!A:A,Groups!O:O)=0,1,0.33))^0.4*_xlfn.XLOOKUP(B201,'Base stats'!B:B,'Base stats'!BJ:BJ)^0.73)^0.6 *_xlfn.XLOOKUP(B201,'Base stats'!B:B,'Base stats'!BX:BX),0.1),0.05)
)</f>
        <v>49.7</v>
      </c>
      <c r="P201" s="11">
        <f>IF(O201="No","No",
MROUND(_xlfn.XLOOKUP(B201,'Base stats'!B:B,'Base stats'!BJ:BJ) * 0.01 * 2 + 0.05, 0.05)
)</f>
        <v>51.550000000000004</v>
      </c>
      <c r="Q201" s="5">
        <f>IF(O201="No","No",
MROUND(_xlfn.XLOOKUP(B201,'Base stats'!B:B,'Base stats'!BV:BV)/10000+0.01,0.01)
)</f>
        <v>0.39</v>
      </c>
      <c r="R201" s="4">
        <f>IF(O201="No","No",
MROUND(_xlfn.XLOOKUP(B201,'Base stats'!B:B,'Base stats'!BB:BB)^0.25
/((_xlfn.XLOOKUP(B201,'Base stats'!B:B,'Base stats'!BN:BN))*10)*_xlfn.XLOOKUP(_xlfn.XLOOKUP(B201,'Base stats'!B:B,'Base stats'!E:E),Groups!A:A,Groups!Z:Z)*150 + 0.5 + _xlfn.XLOOKUP(B201,'Base stats'!B:B,'Base stats'!BW:BW),
0.05))</f>
        <v>2.8000000000000003</v>
      </c>
      <c r="S201" s="3" t="str">
        <f>IF(Animals!AI201="No","No",
IF(_xlfn.XLOOKUP(B201,'Base stats'!B:B,'Base stats'!U:U)="No",
MAX(MROUND(_xlfn.XLOOKUP(B201,'Base stats'!B:B,'Base stats'!BT:BT) * _xlfn.XLOOKUP(B201,'Base stats'!B:B,'Base stats'!BP:BP)^0.9 / 21 * _xlfn.XLOOKUP(B201,'Base stats'!B:B,'Base stats'!BX:BX),0.1),0.05),
MAX(MROUND(((MIN(12,_xlfn.XLOOKUP(B201,'Base stats'!B:B,'Base stats'!U:U)))^0.4*_xlfn.XLOOKUP(B201,'Base stats'!B:B,'Base stats'!BH:BH)^0.73)^0.6 * _xlfn.XLOOKUP(B201,'Base stats'!B:B,'Base stats'!BX:BX),0.1),0.05)
))</f>
        <v>No</v>
      </c>
      <c r="T201" s="11" t="str">
        <f>IF(S201="No","No",
MROUND(_xlfn.XLOOKUP(B201,'Base stats'!B:B,'Base stats'!BH:BH) * 0.01 * 2 + 0.05, 0.05)
)</f>
        <v>No</v>
      </c>
      <c r="U201" s="5" t="str">
        <f>IF(S201="No","No",IF(_xlfn.XLOOKUP(B201,'Base stats'!B:B,'Base stats'!U:U)="No","No",
MROUND(_xlfn.XLOOKUP(B201,'Base stats'!B:B,'Base stats'!BT:BT)/10000+0.01,0.01)
))</f>
        <v>No</v>
      </c>
      <c r="V201" s="4" t="str">
        <f>IF(S201="No","No",
MROUND(_xlfn.XLOOKUP(B201,'Base stats'!B:B,'Base stats'!BF:BF)^0.25
/((_xlfn.XLOOKUP(B201,'Base stats'!B:B,'Base stats'!BO:BO))*10)*_xlfn.XLOOKUP(_xlfn.XLOOKUP(B201,'Base stats'!B:B,'Base stats'!E:E),Groups!A:A,Groups!AE:AE)*150 + 0.5 + _xlfn.XLOOKUP(B201,'Base stats'!B:B,'Base stats'!BW:BW),
0.05))</f>
        <v>No</v>
      </c>
      <c r="W201" s="8">
        <f>MROUND(_xlfn.XLOOKUP(_xlfn.XLOOKUP(B201,'Base stats'!B:B,'Base stats'!E:E),Groups!A:A,Groups!BG:BG)*_xlfn.XLOOKUP(B201,'Base stats'!B:B,'Base stats'!C:C)^-0.165,0.05)</f>
        <v>0.1</v>
      </c>
      <c r="X201" s="1">
        <f>MROUND(_xlfn.XLOOKUP(_xlfn.XLOOKUP(B201,'Base stats'!B:B,'Base stats'!E:E),Groups!A:A,Groups!BH:BH)*_xlfn.XLOOKUP(B201,'Base stats'!B:B,'Base stats'!C:C)^0.165,0.05)</f>
        <v>0.30000000000000004</v>
      </c>
      <c r="Y201" s="8">
        <f>MROUND(_xlfn.XLOOKUP(_xlfn.XLOOKUP(B201,'Base stats'!B:B,'Base stats'!E:E),Groups!A:A,Groups!BI:BI)*_xlfn.XLOOKUP(B201,'Base stats'!B:B,'Base stats'!C:C)^0.165,0.05)</f>
        <v>0.1</v>
      </c>
      <c r="Z201" s="18">
        <f>MROUND(_xlfn.XLOOKUP(B201,'Base stats'!B:B,'Base stats'!AQ:AQ)*_xlfn.XLOOKUP(_xlfn.XLOOKUP(B201,'Base stats'!B:B,'Base stats'!E:E),Groups!A:A,Groups!H:H)/1000,IF((_xlfn.XLOOKUP(B201,'Base stats'!B:B,'Base stats'!AQ:AQ)*_xlfn.XLOOKUP(_xlfn.XLOOKUP(B201,'Base stats'!B:B,'Base stats'!E:E),Groups!A:A,Groups!H:H)/1000)&gt;1,0.05,0.01))</f>
        <v>0.6</v>
      </c>
      <c r="AA201" s="18">
        <f>MROUND((1/2)*(_xlfn.XLOOKUP(_xlfn.XLOOKUP(B201,'Base stats'!B:B,'Base stats'!E:E),Groups!A:A,Groups!H:H)*_xlfn.XLOOKUP(_xlfn.XLOOKUP(B201,'Base stats'!B:B,'Base stats'!E:E),Groups!A:A,Groups!I:I))*_xlfn.XLOOKUP(B201,'Base stats'!B:B,'Base stats'!AQ:AQ)*0.01,0.05)</f>
        <v>0.70000000000000007</v>
      </c>
      <c r="AB201" s="18">
        <f>MROUND(250*(Animals!AO201+Animals!AP201),25)</f>
        <v>1925</v>
      </c>
      <c r="AC201" s="18" t="str">
        <f>_xlfn.XLOOKUP(_xlfn.XLOOKUP(B201,'Base stats'!B:B,'Base stats'!E:E),Groups!A:A,Groups!BJ:BJ)</f>
        <v>QuadrupedLow</v>
      </c>
    </row>
    <row r="202" spans="1:29" ht="16.5" thickTop="1" thickBot="1" x14ac:dyDescent="0.3">
      <c r="A202" s="16" t="str">
        <f>Animals!A202</f>
        <v>Toxafox</v>
      </c>
      <c r="B202" s="6" t="str">
        <f>Animals!B202</f>
        <v>Vulpes toxifera</v>
      </c>
      <c r="C202" s="1" t="str">
        <f>Animals!C202</f>
        <v>&lt;li&gt;VAEWaste_Toxafox&lt;/li&gt;</v>
      </c>
      <c r="D202" s="47">
        <f>MIN(MIN(6,_xlfn.XLOOKUP(A202,Animals!A:A,Animals!AO:AO))*20,MAX(MROUND(_xlfn.XLOOKUP(B202,'Base stats'!B:B,'Base stats'!BS:BS) * (_xlfn.XLOOKUP(B202,'Base stats'!B:B,'Base stats'!AO:AO)*5%)^0.9 / 21,0.1),0.05))</f>
        <v>0.4</v>
      </c>
      <c r="E202" s="11">
        <f>MROUND(_xlfn.XLOOKUP(B202,'Base stats'!B:B,'Base stats'!BG:BG) * 0.01 * 2 + 0.01, 0.05)</f>
        <v>0.25</v>
      </c>
      <c r="F202" s="7">
        <f>MROUND(_xlfn.XLOOKUP(B202,'Base stats'!B:B,'Base stats'!BD:BD)^0.25 / (_xlfn.XLOOKUP(B202,'Base stats'!B:B,'Base stats'!BK:BK) * 10) * 150 + 0.5 + _xlfn.XLOOKUP(B202,'Base stats'!B:B,'Base stats'!BW:BW), 0.05)</f>
        <v>1.55</v>
      </c>
      <c r="G202" s="3" t="str">
        <f>IF(Animals!S202="No","No",
IF(_xlfn.XLOOKUP(B202,'Base stats'!B:B,'Base stats'!U:U)="No",
MAX(MROUND(_xlfn.XLOOKUP(B202,'Base stats'!B:B,'Base stats'!BT:BT) * _xlfn.XLOOKUP(B202,'Base stats'!B:B,'Base stats'!BP:BP)^0.9 / 21 * _xlfn.XLOOKUP(B202,'Base stats'!B:B,'Base stats'!BX:BX),0.1),0.05),
MAX(MROUND(((MIN(10,_xlfn.XLOOKUP(B202,'Base stats'!B:B,'Base stats'!U:U)))^0.4*_xlfn.XLOOKUP(B202,'Base stats'!B:B,'Base stats'!BH:BH)^0.73)^0.6 * _xlfn.XLOOKUP(B202,'Base stats'!B:B,'Base stats'!BX:BX),0.1),0.05)
))</f>
        <v>No</v>
      </c>
      <c r="H202" s="11" t="str">
        <f>IF(G202="No","No",
MROUND(_xlfn.XLOOKUP(B202,'Base stats'!B:B,'Base stats'!BH:BH) * 0.01 * 2 + 0.05, 0.05)
)</f>
        <v>No</v>
      </c>
      <c r="I202" s="11" t="str">
        <f>IF(G202="No","No",IF(_xlfn.XLOOKUP(B202,'Base stats'!B:B,'Base stats'!U:U)="No","No",
MROUND(_xlfn.XLOOKUP(B202,'Base stats'!B:B,'Base stats'!BT:BT)/10000+0.01,0.01)
))</f>
        <v>No</v>
      </c>
      <c r="J202" s="4" t="str">
        <f>IF(G202="No","No",
MROUND(_xlfn.XLOOKUP(B202,'Base stats'!B:B,'Base stats'!BE:BE)^0.25
/((_xlfn.XLOOKUP(B202,'Base stats'!B:B,'Base stats'!BL:BL))*10)*_xlfn.XLOOKUP(_xlfn.XLOOKUP(B202,'Base stats'!B:B,'Base stats'!E:E),Groups!A:A,Groups!Q:Q)*150 + 0.5 + _xlfn.XLOOKUP(B202,'Base stats'!B:B,'Base stats'!BW:BW),
0.05))</f>
        <v>No</v>
      </c>
      <c r="K202" s="3" t="str">
        <f>IF(Animals!X202="No","No",
IF(_xlfn.XLOOKUP(_xlfn.XLOOKUP(B202,'Base stats'!B:B,'Base stats'!E:E),Groups!A:A,Groups!BD:BD)=1,
MAX(MROUND(_xlfn.XLOOKUP(B202,'Base stats'!B:B,'Base stats'!BU:BU) * _xlfn.XLOOKUP(B202,'Base stats'!B:B,'Base stats'!BQ:BQ)^0.9 / 21 *_xlfn.XLOOKUP(B202,'Base stats'!B:B,'Base stats'!BX:BX),0.1),0.05),
MAX(MROUND(((MIN(10,_xlfn.XLOOKUP(B202,'Base stats'!B:B,'Base stats'!W:W)))^0.4*_xlfn.XLOOKUP(B202,'Base stats'!B:B,'Base stats'!BI:BI)^0.73)^0.6 *_xlfn.XLOOKUP(B202,'Base stats'!B:B,'Base stats'!BX:BX),0.1),0.05)
))</f>
        <v>No</v>
      </c>
      <c r="L202" s="11" t="str">
        <f>IF(K202="No","No",
MROUND(_xlfn.XLOOKUP(B202,'Base stats'!B:B,'Base stats'!BI:BI) * 0.01 *2 + 0.05, 0.05)
)</f>
        <v>No</v>
      </c>
      <c r="M202" s="5" t="str">
        <f>IF(K202="No","No",IF(_xlfn.XLOOKUP(_xlfn.XLOOKUP(B202,'Base stats'!B:B,'Base stats'!E:E),Groups!A:A,Groups!BD:BD)=1,"No",
MROUND(_xlfn.XLOOKUP(B202,'Base stats'!B:B,'Base stats'!BU:BU)/10000+0.01,0.01)
))</f>
        <v>No</v>
      </c>
      <c r="N202" s="4" t="str">
        <f>IF(K202="No","No",
MROUND(
  _xlfn.XLOOKUP(B202,'Base stats'!B:B,'Base stats'!BC:BC)^0.25
  / (_xlfn.XLOOKUP(B202,'Base stats'!B:B,'Base stats'!BM:BM) * 10)
  * _xlfn.XLOOKUP(
      _xlfn.XLOOKUP(B202,'Base stats'!B:B,'Base stats'!E:E),
      Groups!A:A,
      Groups!V:V
    ) * 150
  + MIN(12, _xlfn.XLOOKUP(B202,'Base stats'!B:B,'Base stats'!W:W))^(1/IF(_xlfn.XLOOKUP(_xlfn.XLOOKUP(B202,'Base stats'!B:B,'Base stats'!E:E),Groups!A:A,Groups!U:U)=1,100,10)) + 0.5 + _xlfn.XLOOKUP(B202,'Base stats'!B:B,'Base stats'!BW:BW),
0.05))</f>
        <v>No</v>
      </c>
      <c r="O202" s="3">
        <f>IF(Animals!AD202="No","No",
MAX(MROUND((MIN(10,_xlfn.XLOOKUP(B202,'Base stats'!B:B,'Base stats'!V:V)*IF(_xlfn.XLOOKUP(_xlfn.XLOOKUP(B202,'Base stats'!B:B,'Base stats'!E:E),Groups!A:A,Groups!O:O)=0,1,0.33))^0.4*_xlfn.XLOOKUP(B202,'Base stats'!B:B,'Base stats'!BJ:BJ)^0.73)^0.6 *_xlfn.XLOOKUP(B202,'Base stats'!B:B,'Base stats'!BX:BX),0.1),0.05)
)</f>
        <v>6.7</v>
      </c>
      <c r="P202" s="11">
        <f>IF(O202="No","No",
MROUND(_xlfn.XLOOKUP(B202,'Base stats'!B:B,'Base stats'!BJ:BJ) * 0.01 * 2 + 0.05, 0.05)
)</f>
        <v>1.1000000000000001</v>
      </c>
      <c r="Q202" s="5">
        <f>IF(O202="No","No",
MROUND(_xlfn.XLOOKUP(B202,'Base stats'!B:B,'Base stats'!BV:BV)/10000+0.01,0.01)
)</f>
        <v>0.16</v>
      </c>
      <c r="R202" s="4">
        <f>IF(O202="No","No",
MROUND(_xlfn.XLOOKUP(B202,'Base stats'!B:B,'Base stats'!BB:BB)^0.25
/((_xlfn.XLOOKUP(B202,'Base stats'!B:B,'Base stats'!BN:BN))*10)*_xlfn.XLOOKUP(_xlfn.XLOOKUP(B202,'Base stats'!B:B,'Base stats'!E:E),Groups!A:A,Groups!Z:Z)*150 + 0.5 + _xlfn.XLOOKUP(B202,'Base stats'!B:B,'Base stats'!BW:BW),
0.05))</f>
        <v>2.1</v>
      </c>
      <c r="S202" s="3" t="str">
        <f>IF(Animals!AI202="No","No",
IF(_xlfn.XLOOKUP(B202,'Base stats'!B:B,'Base stats'!U:U)="No",
MAX(MROUND(_xlfn.XLOOKUP(B202,'Base stats'!B:B,'Base stats'!BT:BT) * _xlfn.XLOOKUP(B202,'Base stats'!B:B,'Base stats'!BP:BP)^0.9 / 21 * _xlfn.XLOOKUP(B202,'Base stats'!B:B,'Base stats'!BX:BX),0.1),0.05),
MAX(MROUND(((MIN(12,_xlfn.XLOOKUP(B202,'Base stats'!B:B,'Base stats'!U:U)))^0.4*_xlfn.XLOOKUP(B202,'Base stats'!B:B,'Base stats'!BH:BH)^0.73)^0.6 * _xlfn.XLOOKUP(B202,'Base stats'!B:B,'Base stats'!BX:BX),0.1),0.05)
))</f>
        <v>No</v>
      </c>
      <c r="T202" s="11" t="str">
        <f>IF(S202="No","No",
MROUND(_xlfn.XLOOKUP(B202,'Base stats'!B:B,'Base stats'!BH:BH) * 0.01 * 2 + 0.05, 0.05)
)</f>
        <v>No</v>
      </c>
      <c r="U202" s="5" t="str">
        <f>IF(S202="No","No",IF(_xlfn.XLOOKUP(B202,'Base stats'!B:B,'Base stats'!U:U)="No","No",
MROUND(_xlfn.XLOOKUP(B202,'Base stats'!B:B,'Base stats'!BT:BT)/10000+0.01,0.01)
))</f>
        <v>No</v>
      </c>
      <c r="V202" s="4" t="str">
        <f>IF(S202="No","No",
MROUND(_xlfn.XLOOKUP(B202,'Base stats'!B:B,'Base stats'!BF:BF)^0.25
/((_xlfn.XLOOKUP(B202,'Base stats'!B:B,'Base stats'!BO:BO))*10)*_xlfn.XLOOKUP(_xlfn.XLOOKUP(B202,'Base stats'!B:B,'Base stats'!E:E),Groups!A:A,Groups!AE:AE)*150 + 0.5 + _xlfn.XLOOKUP(B202,'Base stats'!B:B,'Base stats'!BW:BW),
0.05))</f>
        <v>No</v>
      </c>
      <c r="W202" s="8">
        <f>MROUND(_xlfn.XLOOKUP(_xlfn.XLOOKUP(B202,'Base stats'!B:B,'Base stats'!E:E),Groups!A:A,Groups!BG:BG)*_xlfn.XLOOKUP(B202,'Base stats'!B:B,'Base stats'!C:C)^-0.165,0.05)</f>
        <v>0.70000000000000007</v>
      </c>
      <c r="X202" s="1">
        <f>MROUND(_xlfn.XLOOKUP(_xlfn.XLOOKUP(B202,'Base stats'!B:B,'Base stats'!E:E),Groups!A:A,Groups!BH:BH)*_xlfn.XLOOKUP(B202,'Base stats'!B:B,'Base stats'!C:C)^0.165,0.05)</f>
        <v>0.30000000000000004</v>
      </c>
      <c r="Y202" s="8">
        <f>MROUND(_xlfn.XLOOKUP(_xlfn.XLOOKUP(B202,'Base stats'!B:B,'Base stats'!E:E),Groups!A:A,Groups!BI:BI)*_xlfn.XLOOKUP(B202,'Base stats'!B:B,'Base stats'!C:C)^0.165,0.05)</f>
        <v>0.05</v>
      </c>
      <c r="Z202" s="18">
        <f>MROUND(_xlfn.XLOOKUP(B202,'Base stats'!B:B,'Base stats'!AQ:AQ)*_xlfn.XLOOKUP(_xlfn.XLOOKUP(B202,'Base stats'!B:B,'Base stats'!E:E),Groups!A:A,Groups!H:H)/1000,IF((_xlfn.XLOOKUP(B202,'Base stats'!B:B,'Base stats'!AQ:AQ)*_xlfn.XLOOKUP(_xlfn.XLOOKUP(B202,'Base stats'!B:B,'Base stats'!E:E),Groups!A:A,Groups!H:H)/1000)&gt;1,0.05,0.01))</f>
        <v>0.04</v>
      </c>
      <c r="AA202" s="18">
        <f>MROUND((1/2)*(_xlfn.XLOOKUP(_xlfn.XLOOKUP(B202,'Base stats'!B:B,'Base stats'!E:E),Groups!A:A,Groups!H:H)*_xlfn.XLOOKUP(_xlfn.XLOOKUP(B202,'Base stats'!B:B,'Base stats'!E:E),Groups!A:A,Groups!I:I))*_xlfn.XLOOKUP(B202,'Base stats'!B:B,'Base stats'!AQ:AQ)*0.01,0.05)</f>
        <v>0.2</v>
      </c>
      <c r="AB202" s="18">
        <f>MROUND(250*(Animals!AO202+Animals!AP202),25)</f>
        <v>225</v>
      </c>
      <c r="AC202" s="18" t="str">
        <f>_xlfn.XLOOKUP(_xlfn.XLOOKUP(B202,'Base stats'!B:B,'Base stats'!E:E),Groups!A:A,Groups!BJ:BJ)</f>
        <v>Quadruped</v>
      </c>
    </row>
    <row r="203" spans="1:29" ht="16.5" thickTop="1" thickBot="1" x14ac:dyDescent="0.3">
      <c r="A203" s="16" t="str">
        <f>Animals!A203</f>
        <v>Toxbear</v>
      </c>
      <c r="B203" s="6" t="str">
        <f>Animals!B203</f>
        <v>Ursus toxus</v>
      </c>
      <c r="C203" s="1" t="str">
        <f>Animals!C203</f>
        <v>&lt;li&gt;VAEWaste_Toxbear&lt;/li&gt;</v>
      </c>
      <c r="D203" s="47">
        <f>MIN(MIN(6,_xlfn.XLOOKUP(A203,Animals!A:A,Animals!AO:AO))*20,MAX(MROUND(_xlfn.XLOOKUP(B203,'Base stats'!B:B,'Base stats'!BS:BS) * (_xlfn.XLOOKUP(B203,'Base stats'!B:B,'Base stats'!AO:AO)*5%)^0.9 / 21,0.1),0.05))</f>
        <v>38.300000000000004</v>
      </c>
      <c r="E203" s="11">
        <f>MROUND(_xlfn.XLOOKUP(B203,'Base stats'!B:B,'Base stats'!BG:BG) * 0.01 * 2 + 0.01, 0.05)</f>
        <v>39.35</v>
      </c>
      <c r="F203" s="7">
        <f>MROUND(_xlfn.XLOOKUP(B203,'Base stats'!B:B,'Base stats'!BD:BD)^0.25 / (_xlfn.XLOOKUP(B203,'Base stats'!B:B,'Base stats'!BK:BK) * 10) * 150 + 0.5 + _xlfn.XLOOKUP(B203,'Base stats'!B:B,'Base stats'!BW:BW), 0.05)</f>
        <v>3</v>
      </c>
      <c r="G203" s="3" t="str">
        <f>IF(Animals!S203="No","No",
IF(_xlfn.XLOOKUP(B203,'Base stats'!B:B,'Base stats'!U:U)="No",
MAX(MROUND(_xlfn.XLOOKUP(B203,'Base stats'!B:B,'Base stats'!BT:BT) * _xlfn.XLOOKUP(B203,'Base stats'!B:B,'Base stats'!BP:BP)^0.9 / 21 * _xlfn.XLOOKUP(B203,'Base stats'!B:B,'Base stats'!BX:BX),0.1),0.05),
MAX(MROUND(((MIN(10,_xlfn.XLOOKUP(B203,'Base stats'!B:B,'Base stats'!U:U)))^0.4*_xlfn.XLOOKUP(B203,'Base stats'!B:B,'Base stats'!BH:BH)^0.73)^0.6 * _xlfn.XLOOKUP(B203,'Base stats'!B:B,'Base stats'!BX:BX),0.1),0.05)
))</f>
        <v>No</v>
      </c>
      <c r="H203" s="11" t="str">
        <f>IF(G203="No","No",
MROUND(_xlfn.XLOOKUP(B203,'Base stats'!B:B,'Base stats'!BH:BH) * 0.01 * 2 + 0.05, 0.05)
)</f>
        <v>No</v>
      </c>
      <c r="I203" s="11" t="str">
        <f>IF(G203="No","No",IF(_xlfn.XLOOKUP(B203,'Base stats'!B:B,'Base stats'!U:U)="No","No",
MROUND(_xlfn.XLOOKUP(B203,'Base stats'!B:B,'Base stats'!BT:BT)/10000+0.01,0.01)
))</f>
        <v>No</v>
      </c>
      <c r="J203" s="4" t="str">
        <f>IF(G203="No","No",
MROUND(_xlfn.XLOOKUP(B203,'Base stats'!B:B,'Base stats'!BE:BE)^0.25
/((_xlfn.XLOOKUP(B203,'Base stats'!B:B,'Base stats'!BL:BL))*10)*_xlfn.XLOOKUP(_xlfn.XLOOKUP(B203,'Base stats'!B:B,'Base stats'!E:E),Groups!A:A,Groups!Q:Q)*150 + 0.5 + _xlfn.XLOOKUP(B203,'Base stats'!B:B,'Base stats'!BW:BW),
0.05))</f>
        <v>No</v>
      </c>
      <c r="K203" s="3" t="str">
        <f>IF(Animals!X203="No","No",
IF(_xlfn.XLOOKUP(_xlfn.XLOOKUP(B203,'Base stats'!B:B,'Base stats'!E:E),Groups!A:A,Groups!BD:BD)=1,
MAX(MROUND(_xlfn.XLOOKUP(B203,'Base stats'!B:B,'Base stats'!BU:BU) * _xlfn.XLOOKUP(B203,'Base stats'!B:B,'Base stats'!BQ:BQ)^0.9 / 21 *_xlfn.XLOOKUP(B203,'Base stats'!B:B,'Base stats'!BX:BX),0.1),0.05),
MAX(MROUND(((MIN(10,_xlfn.XLOOKUP(B203,'Base stats'!B:B,'Base stats'!W:W)))^0.4*_xlfn.XLOOKUP(B203,'Base stats'!B:B,'Base stats'!BI:BI)^0.73)^0.6 *_xlfn.XLOOKUP(B203,'Base stats'!B:B,'Base stats'!BX:BX),0.1),0.05)
))</f>
        <v>No</v>
      </c>
      <c r="L203" s="11" t="str">
        <f>IF(K203="No","No",
MROUND(_xlfn.XLOOKUP(B203,'Base stats'!B:B,'Base stats'!BI:BI) * 0.01 *2 + 0.05, 0.05)
)</f>
        <v>No</v>
      </c>
      <c r="M203" s="5" t="str">
        <f>IF(K203="No","No",IF(_xlfn.XLOOKUP(_xlfn.XLOOKUP(B203,'Base stats'!B:B,'Base stats'!E:E),Groups!A:A,Groups!BD:BD)=1,"No",
MROUND(_xlfn.XLOOKUP(B203,'Base stats'!B:B,'Base stats'!BU:BU)/10000+0.01,0.01)
))</f>
        <v>No</v>
      </c>
      <c r="N203" s="4" t="str">
        <f>IF(K203="No","No",
MROUND(
  _xlfn.XLOOKUP(B203,'Base stats'!B:B,'Base stats'!BC:BC)^0.25
  / (_xlfn.XLOOKUP(B203,'Base stats'!B:B,'Base stats'!BM:BM) * 10)
  * _xlfn.XLOOKUP(
      _xlfn.XLOOKUP(B203,'Base stats'!B:B,'Base stats'!E:E),
      Groups!A:A,
      Groups!V:V
    ) * 150
  + MIN(12, _xlfn.XLOOKUP(B203,'Base stats'!B:B,'Base stats'!W:W))^(1/IF(_xlfn.XLOOKUP(_xlfn.XLOOKUP(B203,'Base stats'!B:B,'Base stats'!E:E),Groups!A:A,Groups!U:U)=1,100,10)) + 0.5 + _xlfn.XLOOKUP(B203,'Base stats'!B:B,'Base stats'!BW:BW),
0.05))</f>
        <v>No</v>
      </c>
      <c r="O203" s="3">
        <f>IF(Animals!AD203="No","No",
MAX(MROUND((MIN(10,_xlfn.XLOOKUP(B203,'Base stats'!B:B,'Base stats'!V:V)*IF(_xlfn.XLOOKUP(_xlfn.XLOOKUP(B203,'Base stats'!B:B,'Base stats'!E:E),Groups!A:A,Groups!O:O)=0,1,0.33))^0.4*_xlfn.XLOOKUP(B203,'Base stats'!B:B,'Base stats'!BJ:BJ)^0.73)^0.6 *_xlfn.XLOOKUP(B203,'Base stats'!B:B,'Base stats'!BX:BX),0.1),0.05)
)</f>
        <v>43.7</v>
      </c>
      <c r="P203" s="11">
        <f>IF(O203="No","No",
MROUND(_xlfn.XLOOKUP(B203,'Base stats'!B:B,'Base stats'!BJ:BJ) * 0.01 * 2 + 0.05, 0.05)
)</f>
        <v>32.6</v>
      </c>
      <c r="Q203" s="5">
        <f>IF(O203="No","No",
MROUND(_xlfn.XLOOKUP(B203,'Base stats'!B:B,'Base stats'!BV:BV)/10000+0.01,0.01)
)</f>
        <v>0.51</v>
      </c>
      <c r="R203" s="4">
        <f>IF(O203="No","No",
MROUND(_xlfn.XLOOKUP(B203,'Base stats'!B:B,'Base stats'!BB:BB)^0.25
/((_xlfn.XLOOKUP(B203,'Base stats'!B:B,'Base stats'!BN:BN))*10)*_xlfn.XLOOKUP(_xlfn.XLOOKUP(B203,'Base stats'!B:B,'Base stats'!E:E),Groups!A:A,Groups!Z:Z)*150 + 0.5 + _xlfn.XLOOKUP(B203,'Base stats'!B:B,'Base stats'!BW:BW),
0.05))</f>
        <v>2.5</v>
      </c>
      <c r="S203" s="3">
        <f>IF(Animals!AI203="No","No",
IF(_xlfn.XLOOKUP(B203,'Base stats'!B:B,'Base stats'!U:U)="No",
MAX(MROUND(_xlfn.XLOOKUP(B203,'Base stats'!B:B,'Base stats'!BT:BT) * _xlfn.XLOOKUP(B203,'Base stats'!B:B,'Base stats'!BP:BP)^0.9 / 21 * _xlfn.XLOOKUP(B203,'Base stats'!B:B,'Base stats'!BX:BX),0.1),0.05),
MAX(MROUND(((MIN(12,_xlfn.XLOOKUP(B203,'Base stats'!B:B,'Base stats'!U:U)))^0.4*_xlfn.XLOOKUP(B203,'Base stats'!B:B,'Base stats'!BH:BH)^0.73)^0.6 * _xlfn.XLOOKUP(B203,'Base stats'!B:B,'Base stats'!BX:BX),0.1),0.05)
))</f>
        <v>49.5</v>
      </c>
      <c r="T203" s="11">
        <f>IF(S203="No","No",
MROUND(_xlfn.XLOOKUP(B203,'Base stats'!B:B,'Base stats'!BH:BH) * 0.01 * 2 + 0.05, 0.05)
)</f>
        <v>41.95</v>
      </c>
      <c r="U203" s="5">
        <f>IF(S203="No","No",IF(_xlfn.XLOOKUP(B203,'Base stats'!B:B,'Base stats'!U:U)="No","No",
MROUND(_xlfn.XLOOKUP(B203,'Base stats'!B:B,'Base stats'!BT:BT)/10000+0.01,0.01)
))</f>
        <v>0.65</v>
      </c>
      <c r="V203" s="4">
        <f>IF(S203="No","No",
MROUND(_xlfn.XLOOKUP(B203,'Base stats'!B:B,'Base stats'!BF:BF)^0.25
/((_xlfn.XLOOKUP(B203,'Base stats'!B:B,'Base stats'!BO:BO))*10)*_xlfn.XLOOKUP(_xlfn.XLOOKUP(B203,'Base stats'!B:B,'Base stats'!E:E),Groups!A:A,Groups!AE:AE)*150 + 0.5 + _xlfn.XLOOKUP(B203,'Base stats'!B:B,'Base stats'!BW:BW),
0.05))</f>
        <v>1.9500000000000002</v>
      </c>
      <c r="W203" s="8">
        <f>MROUND(_xlfn.XLOOKUP(_xlfn.XLOOKUP(B203,'Base stats'!B:B,'Base stats'!E:E),Groups!A:A,Groups!BG:BG)*_xlfn.XLOOKUP(B203,'Base stats'!B:B,'Base stats'!C:C)^-0.165,0.05)</f>
        <v>0.2</v>
      </c>
      <c r="X203" s="1">
        <f>MROUND(_xlfn.XLOOKUP(_xlfn.XLOOKUP(B203,'Base stats'!B:B,'Base stats'!E:E),Groups!A:A,Groups!BH:BH)*_xlfn.XLOOKUP(B203,'Base stats'!B:B,'Base stats'!C:C)^0.165,0.05)</f>
        <v>0.55000000000000004</v>
      </c>
      <c r="Y203" s="8">
        <f>MROUND(_xlfn.XLOOKUP(_xlfn.XLOOKUP(B203,'Base stats'!B:B,'Base stats'!E:E),Groups!A:A,Groups!BI:BI)*_xlfn.XLOOKUP(B203,'Base stats'!B:B,'Base stats'!C:C)^0.165,0.05)</f>
        <v>0.1</v>
      </c>
      <c r="Z203" s="18">
        <f>MROUND(_xlfn.XLOOKUP(B203,'Base stats'!B:B,'Base stats'!AQ:AQ)*_xlfn.XLOOKUP(_xlfn.XLOOKUP(B203,'Base stats'!B:B,'Base stats'!E:E),Groups!A:A,Groups!H:H)/1000,IF((_xlfn.XLOOKUP(B203,'Base stats'!B:B,'Base stats'!AQ:AQ)*_xlfn.XLOOKUP(_xlfn.XLOOKUP(B203,'Base stats'!B:B,'Base stats'!E:E),Groups!A:A,Groups!H:H)/1000)&gt;1,0.05,0.01))</f>
        <v>0.3</v>
      </c>
      <c r="AA203" s="18">
        <f>MROUND((1/2)*(_xlfn.XLOOKUP(_xlfn.XLOOKUP(B203,'Base stats'!B:B,'Base stats'!E:E),Groups!A:A,Groups!H:H)*_xlfn.XLOOKUP(_xlfn.XLOOKUP(B203,'Base stats'!B:B,'Base stats'!E:E),Groups!A:A,Groups!I:I))*_xlfn.XLOOKUP(B203,'Base stats'!B:B,'Base stats'!AQ:AQ)*0.01,0.05)</f>
        <v>1.25</v>
      </c>
      <c r="AB203" s="18">
        <f>MROUND(250*(Animals!AO203+Animals!AP203),25)</f>
        <v>2200</v>
      </c>
      <c r="AC203" s="18" t="str">
        <f>_xlfn.XLOOKUP(_xlfn.XLOOKUP(B203,'Base stats'!B:B,'Base stats'!E:E),Groups!A:A,Groups!BJ:BJ)</f>
        <v>Quadruped</v>
      </c>
    </row>
    <row r="204" spans="1:29" ht="16.5" thickTop="1" thickBot="1" x14ac:dyDescent="0.3">
      <c r="A204" s="16" t="str">
        <f>Animals!A204</f>
        <v>Toxiguana</v>
      </c>
      <c r="B204" s="6" t="str">
        <f>Animals!B204</f>
        <v>Iguana toxifera</v>
      </c>
      <c r="C204" s="1" t="str">
        <f>Animals!C204</f>
        <v>&lt;li&gt;VAEWaste_Toxiguana&lt;/li&gt;</v>
      </c>
      <c r="D204" s="47">
        <f>MIN(MIN(6,_xlfn.XLOOKUP(A204,Animals!A:A,Animals!AO:AO))*20,MAX(MROUND(_xlfn.XLOOKUP(B204,'Base stats'!B:B,'Base stats'!BS:BS) * (_xlfn.XLOOKUP(B204,'Base stats'!B:B,'Base stats'!AO:AO)*5%)^0.9 / 21,0.1),0.05))</f>
        <v>0.5</v>
      </c>
      <c r="E204" s="11">
        <f>MROUND(_xlfn.XLOOKUP(B204,'Base stats'!B:B,'Base stats'!BG:BG) * 0.01 * 2 + 0.01, 0.05)</f>
        <v>0.4</v>
      </c>
      <c r="F204" s="7">
        <f>MROUND(_xlfn.XLOOKUP(B204,'Base stats'!B:B,'Base stats'!BD:BD)^0.25 / (_xlfn.XLOOKUP(B204,'Base stats'!B:B,'Base stats'!BK:BK) * 10) * 150 + 0.5 + _xlfn.XLOOKUP(B204,'Base stats'!B:B,'Base stats'!BW:BW), 0.05)</f>
        <v>1.4000000000000001</v>
      </c>
      <c r="G204" s="3" t="str">
        <f>IF(Animals!S204="No","No",
IF(_xlfn.XLOOKUP(B204,'Base stats'!B:B,'Base stats'!U:U)="No",
MAX(MROUND(_xlfn.XLOOKUP(B204,'Base stats'!B:B,'Base stats'!BT:BT) * _xlfn.XLOOKUP(B204,'Base stats'!B:B,'Base stats'!BP:BP)^0.9 / 21 * _xlfn.XLOOKUP(B204,'Base stats'!B:B,'Base stats'!BX:BX),0.1),0.05),
MAX(MROUND(((MIN(10,_xlfn.XLOOKUP(B204,'Base stats'!B:B,'Base stats'!U:U)))^0.4*_xlfn.XLOOKUP(B204,'Base stats'!B:B,'Base stats'!BH:BH)^0.73)^0.6 * _xlfn.XLOOKUP(B204,'Base stats'!B:B,'Base stats'!BX:BX),0.1),0.05)
))</f>
        <v>No</v>
      </c>
      <c r="H204" s="11" t="str">
        <f>IF(G204="No","No",
MROUND(_xlfn.XLOOKUP(B204,'Base stats'!B:B,'Base stats'!BH:BH) * 0.01 * 2 + 0.05, 0.05)
)</f>
        <v>No</v>
      </c>
      <c r="I204" s="11" t="str">
        <f>IF(G204="No","No",IF(_xlfn.XLOOKUP(B204,'Base stats'!B:B,'Base stats'!U:U)="No","No",
MROUND(_xlfn.XLOOKUP(B204,'Base stats'!B:B,'Base stats'!BT:BT)/10000+0.01,0.01)
))</f>
        <v>No</v>
      </c>
      <c r="J204" s="4" t="str">
        <f>IF(G204="No","No",
MROUND(_xlfn.XLOOKUP(B204,'Base stats'!B:B,'Base stats'!BE:BE)^0.25
/((_xlfn.XLOOKUP(B204,'Base stats'!B:B,'Base stats'!BL:BL))*10)*_xlfn.XLOOKUP(_xlfn.XLOOKUP(B204,'Base stats'!B:B,'Base stats'!E:E),Groups!A:A,Groups!Q:Q)*150 + 0.5 + _xlfn.XLOOKUP(B204,'Base stats'!B:B,'Base stats'!BW:BW),
0.05))</f>
        <v>No</v>
      </c>
      <c r="K204" s="3" t="str">
        <f>IF(Animals!X204="No","No",
IF(_xlfn.XLOOKUP(_xlfn.XLOOKUP(B204,'Base stats'!B:B,'Base stats'!E:E),Groups!A:A,Groups!BD:BD)=1,
MAX(MROUND(_xlfn.XLOOKUP(B204,'Base stats'!B:B,'Base stats'!BU:BU) * _xlfn.XLOOKUP(B204,'Base stats'!B:B,'Base stats'!BQ:BQ)^0.9 / 21 *_xlfn.XLOOKUP(B204,'Base stats'!B:B,'Base stats'!BX:BX),0.1),0.05),
MAX(MROUND(((MIN(10,_xlfn.XLOOKUP(B204,'Base stats'!B:B,'Base stats'!W:W)))^0.4*_xlfn.XLOOKUP(B204,'Base stats'!B:B,'Base stats'!BI:BI)^0.73)^0.6 *_xlfn.XLOOKUP(B204,'Base stats'!B:B,'Base stats'!BX:BX),0.1),0.05)
))</f>
        <v>No</v>
      </c>
      <c r="L204" s="11" t="str">
        <f>IF(K204="No","No",
MROUND(_xlfn.XLOOKUP(B204,'Base stats'!B:B,'Base stats'!BI:BI) * 0.01 *2 + 0.05, 0.05)
)</f>
        <v>No</v>
      </c>
      <c r="M204" s="5" t="str">
        <f>IF(K204="No","No",IF(_xlfn.XLOOKUP(_xlfn.XLOOKUP(B204,'Base stats'!B:B,'Base stats'!E:E),Groups!A:A,Groups!BD:BD)=1,"No",
MROUND(_xlfn.XLOOKUP(B204,'Base stats'!B:B,'Base stats'!BU:BU)/10000+0.01,0.01)
))</f>
        <v>No</v>
      </c>
      <c r="N204" s="4" t="str">
        <f>IF(K204="No","No",
MROUND(
  _xlfn.XLOOKUP(B204,'Base stats'!B:B,'Base stats'!BC:BC)^0.25
  / (_xlfn.XLOOKUP(B204,'Base stats'!B:B,'Base stats'!BM:BM) * 10)
  * _xlfn.XLOOKUP(
      _xlfn.XLOOKUP(B204,'Base stats'!B:B,'Base stats'!E:E),
      Groups!A:A,
      Groups!V:V
    ) * 150
  + MIN(12, _xlfn.XLOOKUP(B204,'Base stats'!B:B,'Base stats'!W:W))^(1/IF(_xlfn.XLOOKUP(_xlfn.XLOOKUP(B204,'Base stats'!B:B,'Base stats'!E:E),Groups!A:A,Groups!U:U)=1,100,10)) + 0.5 + _xlfn.XLOOKUP(B204,'Base stats'!B:B,'Base stats'!BW:BW),
0.05))</f>
        <v>No</v>
      </c>
      <c r="O204" s="3">
        <f>IF(Animals!AD204="No","No",
MAX(MROUND((MIN(10,_xlfn.XLOOKUP(B204,'Base stats'!B:B,'Base stats'!V:V)*IF(_xlfn.XLOOKUP(_xlfn.XLOOKUP(B204,'Base stats'!B:B,'Base stats'!E:E),Groups!A:A,Groups!O:O)=0,1,0.33))^0.4*_xlfn.XLOOKUP(B204,'Base stats'!B:B,'Base stats'!BJ:BJ)^0.73)^0.6 *_xlfn.XLOOKUP(B204,'Base stats'!B:B,'Base stats'!BX:BX),0.1),0.05)
)</f>
        <v>8.2000000000000011</v>
      </c>
      <c r="P204" s="11">
        <f>IF(O204="No","No",
MROUND(_xlfn.XLOOKUP(B204,'Base stats'!B:B,'Base stats'!BJ:BJ) * 0.01 * 2 + 0.05, 0.05)
)</f>
        <v>2.5</v>
      </c>
      <c r="Q204" s="5">
        <f>IF(O204="No","No",
MROUND(_xlfn.XLOOKUP(B204,'Base stats'!B:B,'Base stats'!BV:BV)/10000+0.01,0.01)
)</f>
        <v>0.31</v>
      </c>
      <c r="R204" s="4">
        <f>IF(O204="No","No",
MROUND(_xlfn.XLOOKUP(B204,'Base stats'!B:B,'Base stats'!BB:BB)^0.25
/((_xlfn.XLOOKUP(B204,'Base stats'!B:B,'Base stats'!BN:BN))*10)*_xlfn.XLOOKUP(_xlfn.XLOOKUP(B204,'Base stats'!B:B,'Base stats'!E:E),Groups!A:A,Groups!Z:Z)*150 + 0.5 + _xlfn.XLOOKUP(B204,'Base stats'!B:B,'Base stats'!BW:BW),
0.05))</f>
        <v>2.4000000000000004</v>
      </c>
      <c r="S204" s="3">
        <f>IF(Animals!AI204="No","No",
IF(_xlfn.XLOOKUP(B204,'Base stats'!B:B,'Base stats'!U:U)="No",
MAX(MROUND(_xlfn.XLOOKUP(B204,'Base stats'!B:B,'Base stats'!BT:BT) * _xlfn.XLOOKUP(B204,'Base stats'!B:B,'Base stats'!BP:BP)^0.9 / 21 * _xlfn.XLOOKUP(B204,'Base stats'!B:B,'Base stats'!BX:BX),0.1),0.05),
MAX(MROUND(((MIN(12,_xlfn.XLOOKUP(B204,'Base stats'!B:B,'Base stats'!U:U)))^0.4*_xlfn.XLOOKUP(B204,'Base stats'!B:B,'Base stats'!BH:BH)^0.73)^0.6 * _xlfn.XLOOKUP(B204,'Base stats'!B:B,'Base stats'!BX:BX),0.1),0.05)
))</f>
        <v>4.6000000000000005</v>
      </c>
      <c r="T204" s="11">
        <f>IF(S204="No","No",
MROUND(_xlfn.XLOOKUP(B204,'Base stats'!B:B,'Base stats'!BH:BH) * 0.01 * 2 + 0.05, 0.05)
)</f>
        <v>0.60000000000000009</v>
      </c>
      <c r="U204" s="5">
        <f>IF(S204="No","No",IF(_xlfn.XLOOKUP(B204,'Base stats'!B:B,'Base stats'!U:U)="No","No",
MROUND(_xlfn.XLOOKUP(B204,'Base stats'!B:B,'Base stats'!BT:BT)/10000+0.01,0.01)
))</f>
        <v>0.08</v>
      </c>
      <c r="V204" s="4">
        <f>IF(S204="No","No",
MROUND(_xlfn.XLOOKUP(B204,'Base stats'!B:B,'Base stats'!BF:BF)^0.25
/((_xlfn.XLOOKUP(B204,'Base stats'!B:B,'Base stats'!BO:BO))*10)*_xlfn.XLOOKUP(_xlfn.XLOOKUP(B204,'Base stats'!B:B,'Base stats'!E:E),Groups!A:A,Groups!AE:AE)*150 + 0.5 + _xlfn.XLOOKUP(B204,'Base stats'!B:B,'Base stats'!BW:BW),
0.05))</f>
        <v>1.25</v>
      </c>
      <c r="W204" s="8">
        <f>MROUND(_xlfn.XLOOKUP(_xlfn.XLOOKUP(B204,'Base stats'!B:B,'Base stats'!E:E),Groups!A:A,Groups!BG:BG)*_xlfn.XLOOKUP(B204,'Base stats'!B:B,'Base stats'!C:C)^-0.165,0.05)</f>
        <v>0.35000000000000003</v>
      </c>
      <c r="X204" s="1">
        <f>MROUND(_xlfn.XLOOKUP(_xlfn.XLOOKUP(B204,'Base stats'!B:B,'Base stats'!E:E),Groups!A:A,Groups!BH:BH)*_xlfn.XLOOKUP(B204,'Base stats'!B:B,'Base stats'!C:C)^0.165,0.05)</f>
        <v>0</v>
      </c>
      <c r="Y204" s="8">
        <f>MROUND(_xlfn.XLOOKUP(_xlfn.XLOOKUP(B204,'Base stats'!B:B,'Base stats'!E:E),Groups!A:A,Groups!BI:BI)*_xlfn.XLOOKUP(B204,'Base stats'!B:B,'Base stats'!C:C)^0.165,0.05)</f>
        <v>0</v>
      </c>
      <c r="Z204" s="18">
        <f>MROUND(_xlfn.XLOOKUP(B204,'Base stats'!B:B,'Base stats'!AQ:AQ)*_xlfn.XLOOKUP(_xlfn.XLOOKUP(B204,'Base stats'!B:B,'Base stats'!E:E),Groups!A:A,Groups!H:H)/1000,IF((_xlfn.XLOOKUP(B204,'Base stats'!B:B,'Base stats'!AQ:AQ)*_xlfn.XLOOKUP(_xlfn.XLOOKUP(B204,'Base stats'!B:B,'Base stats'!E:E),Groups!A:A,Groups!H:H)/1000)&gt;1,0.05,0.01))</f>
        <v>0.04</v>
      </c>
      <c r="AA204" s="18">
        <f>MROUND((1/2)*(_xlfn.XLOOKUP(_xlfn.XLOOKUP(B204,'Base stats'!B:B,'Base stats'!E:E),Groups!A:A,Groups!H:H)*_xlfn.XLOOKUP(_xlfn.XLOOKUP(B204,'Base stats'!B:B,'Base stats'!E:E),Groups!A:A,Groups!I:I))*_xlfn.XLOOKUP(B204,'Base stats'!B:B,'Base stats'!AQ:AQ)*0.01,0.05)</f>
        <v>0.15000000000000002</v>
      </c>
      <c r="AB204" s="18">
        <f>MROUND(250*(Animals!AO204+Animals!AP204),25)</f>
        <v>250</v>
      </c>
      <c r="AC204" s="18" t="str">
        <f>_xlfn.XLOOKUP(_xlfn.XLOOKUP(B204,'Base stats'!B:B,'Base stats'!E:E),Groups!A:A,Groups!BJ:BJ)</f>
        <v>QuadrupedLow</v>
      </c>
    </row>
    <row r="205" spans="1:29" ht="16.5" thickTop="1" thickBot="1" x14ac:dyDescent="0.3">
      <c r="A205" s="16" t="str">
        <f>Animals!A205</f>
        <v>Toxlion</v>
      </c>
      <c r="B205" s="6" t="str">
        <f>Animals!B205</f>
        <v>Panthera toxileo</v>
      </c>
      <c r="C205" s="1" t="str">
        <f>Animals!C205</f>
        <v>&lt;li&gt;VAEWaste_Toxlion&lt;/li&gt;</v>
      </c>
      <c r="D205" s="47">
        <f>MIN(MIN(6,_xlfn.XLOOKUP(A205,Animals!A:A,Animals!AO:AO))*20,MAX(MROUND(_xlfn.XLOOKUP(B205,'Base stats'!B:B,'Base stats'!BS:BS) * (_xlfn.XLOOKUP(B205,'Base stats'!B:B,'Base stats'!AO:AO)*5%)^0.9 / 21,0.1),0.05))</f>
        <v>4.5</v>
      </c>
      <c r="E205" s="11">
        <f>MROUND(_xlfn.XLOOKUP(B205,'Base stats'!B:B,'Base stats'!BG:BG) * 0.01 * 2 + 0.01, 0.05)</f>
        <v>3.95</v>
      </c>
      <c r="F205" s="7">
        <f>MROUND(_xlfn.XLOOKUP(B205,'Base stats'!B:B,'Base stats'!BD:BD)^0.25 / (_xlfn.XLOOKUP(B205,'Base stats'!B:B,'Base stats'!BK:BK) * 10) * 150 + 0.5 + _xlfn.XLOOKUP(B205,'Base stats'!B:B,'Base stats'!BW:BW), 0.05)</f>
        <v>2.1</v>
      </c>
      <c r="G205" s="3" t="str">
        <f>IF(Animals!S205="No","No",
IF(_xlfn.XLOOKUP(B205,'Base stats'!B:B,'Base stats'!U:U)="No",
MAX(MROUND(_xlfn.XLOOKUP(B205,'Base stats'!B:B,'Base stats'!BT:BT) * _xlfn.XLOOKUP(B205,'Base stats'!B:B,'Base stats'!BP:BP)^0.9 / 21 * _xlfn.XLOOKUP(B205,'Base stats'!B:B,'Base stats'!BX:BX),0.1),0.05),
MAX(MROUND(((MIN(10,_xlfn.XLOOKUP(B205,'Base stats'!B:B,'Base stats'!U:U)))^0.4*_xlfn.XLOOKUP(B205,'Base stats'!B:B,'Base stats'!BH:BH)^0.73)^0.6 * _xlfn.XLOOKUP(B205,'Base stats'!B:B,'Base stats'!BX:BX),0.1),0.05)
))</f>
        <v>No</v>
      </c>
      <c r="H205" s="11" t="str">
        <f>IF(G205="No","No",
MROUND(_xlfn.XLOOKUP(B205,'Base stats'!B:B,'Base stats'!BH:BH) * 0.01 * 2 + 0.05, 0.05)
)</f>
        <v>No</v>
      </c>
      <c r="I205" s="11" t="str">
        <f>IF(G205="No","No",IF(_xlfn.XLOOKUP(B205,'Base stats'!B:B,'Base stats'!U:U)="No","No",
MROUND(_xlfn.XLOOKUP(B205,'Base stats'!B:B,'Base stats'!BT:BT)/10000+0.01,0.01)
))</f>
        <v>No</v>
      </c>
      <c r="J205" s="4" t="str">
        <f>IF(G205="No","No",
MROUND(_xlfn.XLOOKUP(B205,'Base stats'!B:B,'Base stats'!BE:BE)^0.25
/((_xlfn.XLOOKUP(B205,'Base stats'!B:B,'Base stats'!BL:BL))*10)*_xlfn.XLOOKUP(_xlfn.XLOOKUP(B205,'Base stats'!B:B,'Base stats'!E:E),Groups!A:A,Groups!Q:Q)*150 + 0.5 + _xlfn.XLOOKUP(B205,'Base stats'!B:B,'Base stats'!BW:BW),
0.05))</f>
        <v>No</v>
      </c>
      <c r="K205" s="3" t="str">
        <f>IF(Animals!X205="No","No",
IF(_xlfn.XLOOKUP(_xlfn.XLOOKUP(B205,'Base stats'!B:B,'Base stats'!E:E),Groups!A:A,Groups!BD:BD)=1,
MAX(MROUND(_xlfn.XLOOKUP(B205,'Base stats'!B:B,'Base stats'!BU:BU) * _xlfn.XLOOKUP(B205,'Base stats'!B:B,'Base stats'!BQ:BQ)^0.9 / 21 *_xlfn.XLOOKUP(B205,'Base stats'!B:B,'Base stats'!BX:BX),0.1),0.05),
MAX(MROUND(((MIN(10,_xlfn.XLOOKUP(B205,'Base stats'!B:B,'Base stats'!W:W)))^0.4*_xlfn.XLOOKUP(B205,'Base stats'!B:B,'Base stats'!BI:BI)^0.73)^0.6 *_xlfn.XLOOKUP(B205,'Base stats'!B:B,'Base stats'!BX:BX),0.1),0.05)
))</f>
        <v>No</v>
      </c>
      <c r="L205" s="11" t="str">
        <f>IF(K205="No","No",
MROUND(_xlfn.XLOOKUP(B205,'Base stats'!B:B,'Base stats'!BI:BI) * 0.01 *2 + 0.05, 0.05)
)</f>
        <v>No</v>
      </c>
      <c r="M205" s="5" t="str">
        <f>IF(K205="No","No",IF(_xlfn.XLOOKUP(_xlfn.XLOOKUP(B205,'Base stats'!B:B,'Base stats'!E:E),Groups!A:A,Groups!BD:BD)=1,"No",
MROUND(_xlfn.XLOOKUP(B205,'Base stats'!B:B,'Base stats'!BU:BU)/10000+0.01,0.01)
))</f>
        <v>No</v>
      </c>
      <c r="N205" s="4" t="str">
        <f>IF(K205="No","No",
MROUND(
  _xlfn.XLOOKUP(B205,'Base stats'!B:B,'Base stats'!BC:BC)^0.25
  / (_xlfn.XLOOKUP(B205,'Base stats'!B:B,'Base stats'!BM:BM) * 10)
  * _xlfn.XLOOKUP(
      _xlfn.XLOOKUP(B205,'Base stats'!B:B,'Base stats'!E:E),
      Groups!A:A,
      Groups!V:V
    ) * 150
  + MIN(12, _xlfn.XLOOKUP(B205,'Base stats'!B:B,'Base stats'!W:W))^(1/IF(_xlfn.XLOOKUP(_xlfn.XLOOKUP(B205,'Base stats'!B:B,'Base stats'!E:E),Groups!A:A,Groups!U:U)=1,100,10)) + 0.5 + _xlfn.XLOOKUP(B205,'Base stats'!B:B,'Base stats'!BW:BW),
0.05))</f>
        <v>No</v>
      </c>
      <c r="O205" s="3">
        <f>IF(Animals!AD205="No","No",
MAX(MROUND((MIN(10,_xlfn.XLOOKUP(B205,'Base stats'!B:B,'Base stats'!V:V)*IF(_xlfn.XLOOKUP(_xlfn.XLOOKUP(B205,'Base stats'!B:B,'Base stats'!E:E),Groups!A:A,Groups!O:O)=0,1,0.33))^0.4*_xlfn.XLOOKUP(B205,'Base stats'!B:B,'Base stats'!BJ:BJ)^0.73)^0.6 *_xlfn.XLOOKUP(B205,'Base stats'!B:B,'Base stats'!BX:BX),0.1),0.05)
)</f>
        <v>21.5</v>
      </c>
      <c r="P205" s="11">
        <f>IF(O205="No","No",
MROUND(_xlfn.XLOOKUP(B205,'Base stats'!B:B,'Base stats'!BJ:BJ) * 0.01 * 2 + 0.05, 0.05)
)</f>
        <v>9.25</v>
      </c>
      <c r="Q205" s="5">
        <f>IF(O205="No","No",
MROUND(_xlfn.XLOOKUP(B205,'Base stats'!B:B,'Base stats'!BV:BV)/10000+0.01,0.01)
)</f>
        <v>0.4</v>
      </c>
      <c r="R205" s="4">
        <f>IF(O205="No","No",
MROUND(_xlfn.XLOOKUP(B205,'Base stats'!B:B,'Base stats'!BB:BB)^0.25
/((_xlfn.XLOOKUP(B205,'Base stats'!B:B,'Base stats'!BN:BN))*10)*_xlfn.XLOOKUP(_xlfn.XLOOKUP(B205,'Base stats'!B:B,'Base stats'!E:E),Groups!A:A,Groups!Z:Z)*150 + 0.5 + _xlfn.XLOOKUP(B205,'Base stats'!B:B,'Base stats'!BW:BW),
0.05))</f>
        <v>2.0500000000000003</v>
      </c>
      <c r="S205" s="3">
        <f>IF(Animals!AI205="No","No",
IF(_xlfn.XLOOKUP(B205,'Base stats'!B:B,'Base stats'!U:U)="No",
MAX(MROUND(_xlfn.XLOOKUP(B205,'Base stats'!B:B,'Base stats'!BT:BT) * _xlfn.XLOOKUP(B205,'Base stats'!B:B,'Base stats'!BP:BP)^0.9 / 21 * _xlfn.XLOOKUP(B205,'Base stats'!B:B,'Base stats'!BX:BX),0.1),0.05),
MAX(MROUND(((MIN(12,_xlfn.XLOOKUP(B205,'Base stats'!B:B,'Base stats'!U:U)))^0.4*_xlfn.XLOOKUP(B205,'Base stats'!B:B,'Base stats'!BH:BH)^0.73)^0.6 * _xlfn.XLOOKUP(B205,'Base stats'!B:B,'Base stats'!BX:BX),0.1),0.05)
))</f>
        <v>17.7</v>
      </c>
      <c r="T205" s="11">
        <f>IF(S205="No","No",
MROUND(_xlfn.XLOOKUP(B205,'Base stats'!B:B,'Base stats'!BH:BH) * 0.01 * 2 + 0.05, 0.05)
)</f>
        <v>4.9000000000000004</v>
      </c>
      <c r="U205" s="5">
        <f>IF(S205="No","No",IF(_xlfn.XLOOKUP(B205,'Base stats'!B:B,'Base stats'!U:U)="No","No",
MROUND(_xlfn.XLOOKUP(B205,'Base stats'!B:B,'Base stats'!BT:BT)/10000+0.01,0.01)
))</f>
        <v>0.22</v>
      </c>
      <c r="V205" s="4">
        <f>IF(S205="No","No",
MROUND(_xlfn.XLOOKUP(B205,'Base stats'!B:B,'Base stats'!BF:BF)^0.25
/((_xlfn.XLOOKUP(B205,'Base stats'!B:B,'Base stats'!BO:BO))*10)*_xlfn.XLOOKUP(_xlfn.XLOOKUP(B205,'Base stats'!B:B,'Base stats'!E:E),Groups!A:A,Groups!AE:AE)*150 + 0.5 + _xlfn.XLOOKUP(B205,'Base stats'!B:B,'Base stats'!BW:BW),
0.05))</f>
        <v>1.4500000000000002</v>
      </c>
      <c r="W205" s="8">
        <f>MROUND(_xlfn.XLOOKUP(_xlfn.XLOOKUP(B205,'Base stats'!B:B,'Base stats'!E:E),Groups!A:A,Groups!BG:BG)*_xlfn.XLOOKUP(B205,'Base stats'!B:B,'Base stats'!C:C)^-0.165,0.05)</f>
        <v>0.55000000000000004</v>
      </c>
      <c r="X205" s="1">
        <f>MROUND(_xlfn.XLOOKUP(_xlfn.XLOOKUP(B205,'Base stats'!B:B,'Base stats'!E:E),Groups!A:A,Groups!BH:BH)*_xlfn.XLOOKUP(B205,'Base stats'!B:B,'Base stats'!C:C)^0.165,0.05)</f>
        <v>0.60000000000000009</v>
      </c>
      <c r="Y205" s="8">
        <f>MROUND(_xlfn.XLOOKUP(_xlfn.XLOOKUP(B205,'Base stats'!B:B,'Base stats'!E:E),Groups!A:A,Groups!BI:BI)*_xlfn.XLOOKUP(B205,'Base stats'!B:B,'Base stats'!C:C)^0.165,0.05)</f>
        <v>0.05</v>
      </c>
      <c r="Z205" s="18">
        <f>MROUND(_xlfn.XLOOKUP(B205,'Base stats'!B:B,'Base stats'!AQ:AQ)*_xlfn.XLOOKUP(_xlfn.XLOOKUP(B205,'Base stats'!B:B,'Base stats'!E:E),Groups!A:A,Groups!H:H)/1000,IF((_xlfn.XLOOKUP(B205,'Base stats'!B:B,'Base stats'!AQ:AQ)*_xlfn.XLOOKUP(_xlfn.XLOOKUP(B205,'Base stats'!B:B,'Base stats'!E:E),Groups!A:A,Groups!H:H)/1000)&gt;1,0.05,0.01))</f>
        <v>0.12</v>
      </c>
      <c r="AA205" s="18">
        <f>MROUND((1/2)*(_xlfn.XLOOKUP(_xlfn.XLOOKUP(B205,'Base stats'!B:B,'Base stats'!E:E),Groups!A:A,Groups!H:H)*_xlfn.XLOOKUP(_xlfn.XLOOKUP(B205,'Base stats'!B:B,'Base stats'!E:E),Groups!A:A,Groups!I:I))*_xlfn.XLOOKUP(B205,'Base stats'!B:B,'Base stats'!AQ:AQ)*0.01,0.05)</f>
        <v>0.55000000000000004</v>
      </c>
      <c r="AB205" s="18">
        <f>MROUND(250*(Animals!AO205+Animals!AP205),25)</f>
        <v>875</v>
      </c>
      <c r="AC205" s="18" t="str">
        <f>_xlfn.XLOOKUP(_xlfn.XLOOKUP(B205,'Base stats'!B:B,'Base stats'!E:E),Groups!A:A,Groups!BJ:BJ)</f>
        <v>Quadruped</v>
      </c>
    </row>
    <row r="206" spans="1:29" ht="16.5" thickTop="1" thickBot="1" x14ac:dyDescent="0.3">
      <c r="A206" s="16" t="str">
        <f>Animals!A206</f>
        <v>Toxscorpion</v>
      </c>
      <c r="B206" s="6" t="str">
        <f>Animals!B206</f>
        <v>Toxoscorpio bellator</v>
      </c>
      <c r="C206" s="1" t="str">
        <f>Animals!C206</f>
        <v>&lt;li&gt;VAEWaste_Toxscorpion&lt;/li&gt;</v>
      </c>
      <c r="D206" s="47">
        <f>MIN(MIN(6,_xlfn.XLOOKUP(A206,Animals!A:A,Animals!AO:AO))*20,MAX(MROUND(_xlfn.XLOOKUP(B206,'Base stats'!B:B,'Base stats'!BS:BS) * (_xlfn.XLOOKUP(B206,'Base stats'!B:B,'Base stats'!AO:AO)*5%)^0.9 / 21,0.1),0.05))</f>
        <v>4.9000000000000004</v>
      </c>
      <c r="E206" s="11">
        <f>MROUND(_xlfn.XLOOKUP(B206,'Base stats'!B:B,'Base stats'!BG:BG) * 0.01 * 2 + 0.01, 0.05)</f>
        <v>4.55</v>
      </c>
      <c r="F206" s="7">
        <f>MROUND(_xlfn.XLOOKUP(B206,'Base stats'!B:B,'Base stats'!BD:BD)^0.25 / (_xlfn.XLOOKUP(B206,'Base stats'!B:B,'Base stats'!BK:BK) * 10) * 150 + 0.5 + _xlfn.XLOOKUP(B206,'Base stats'!B:B,'Base stats'!BW:BW), 0.05)</f>
        <v>3.4000000000000004</v>
      </c>
      <c r="G206" s="3" t="str">
        <f>IF(Animals!S206="No","No",
IF(_xlfn.XLOOKUP(B206,'Base stats'!B:B,'Base stats'!U:U)="No",
MAX(MROUND(_xlfn.XLOOKUP(B206,'Base stats'!B:B,'Base stats'!BT:BT) * _xlfn.XLOOKUP(B206,'Base stats'!B:B,'Base stats'!BP:BP)^0.9 / 21 * _xlfn.XLOOKUP(B206,'Base stats'!B:B,'Base stats'!BX:BX),0.1),0.05),
MAX(MROUND(((MIN(10,_xlfn.XLOOKUP(B206,'Base stats'!B:B,'Base stats'!U:U)))^0.4*_xlfn.XLOOKUP(B206,'Base stats'!B:B,'Base stats'!BH:BH)^0.73)^0.6 * _xlfn.XLOOKUP(B206,'Base stats'!B:B,'Base stats'!BX:BX),0.1),0.05)
))</f>
        <v>No</v>
      </c>
      <c r="H206" s="11" t="str">
        <f>IF(G206="No","No",
MROUND(_xlfn.XLOOKUP(B206,'Base stats'!B:B,'Base stats'!BH:BH) * 0.01 * 2 + 0.05, 0.05)
)</f>
        <v>No</v>
      </c>
      <c r="I206" s="11" t="str">
        <f>IF(G206="No","No",IF(_xlfn.XLOOKUP(B206,'Base stats'!B:B,'Base stats'!U:U)="No","No",
MROUND(_xlfn.XLOOKUP(B206,'Base stats'!B:B,'Base stats'!BT:BT)/10000+0.01,0.01)
))</f>
        <v>No</v>
      </c>
      <c r="J206" s="4" t="str">
        <f>IF(G206="No","No",
MROUND(_xlfn.XLOOKUP(B206,'Base stats'!B:B,'Base stats'!BE:BE)^0.25
/((_xlfn.XLOOKUP(B206,'Base stats'!B:B,'Base stats'!BL:BL))*10)*_xlfn.XLOOKUP(_xlfn.XLOOKUP(B206,'Base stats'!B:B,'Base stats'!E:E),Groups!A:A,Groups!Q:Q)*150 + 0.5 + _xlfn.XLOOKUP(B206,'Base stats'!B:B,'Base stats'!BW:BW),
0.05))</f>
        <v>No</v>
      </c>
      <c r="K206" s="3">
        <f>IF(Animals!X206="No","No",
IF(_xlfn.XLOOKUP(_xlfn.XLOOKUP(B206,'Base stats'!B:B,'Base stats'!E:E),Groups!A:A,Groups!BD:BD)=1,
MAX(MROUND(_xlfn.XLOOKUP(B206,'Base stats'!B:B,'Base stats'!BU:BU) * _xlfn.XLOOKUP(B206,'Base stats'!B:B,'Base stats'!BQ:BQ)^0.9 / 21 *_xlfn.XLOOKUP(B206,'Base stats'!B:B,'Base stats'!BX:BX),0.1),0.05),
MAX(MROUND(((MIN(10,_xlfn.XLOOKUP(B206,'Base stats'!B:B,'Base stats'!W:W)))^0.4*_xlfn.XLOOKUP(B206,'Base stats'!B:B,'Base stats'!BI:BI)^0.73)^0.6 *_xlfn.XLOOKUP(B206,'Base stats'!B:B,'Base stats'!BX:BX),0.1),0.05)
))</f>
        <v>41.2</v>
      </c>
      <c r="L206" s="11">
        <f>IF(K206="No","No",
MROUND(_xlfn.XLOOKUP(B206,'Base stats'!B:B,'Base stats'!BI:BI) * 0.01 *2 + 0.05, 0.05)
)</f>
        <v>29.3</v>
      </c>
      <c r="M206" s="5">
        <f>IF(K206="No","No",IF(_xlfn.XLOOKUP(_xlfn.XLOOKUP(B206,'Base stats'!B:B,'Base stats'!E:E),Groups!A:A,Groups!BD:BD)=1,"No",
MROUND(_xlfn.XLOOKUP(B206,'Base stats'!B:B,'Base stats'!BU:BU)/10000+0.01,0.01)
))</f>
        <v>15.9</v>
      </c>
      <c r="N206" s="4">
        <f>IF(K206="No","No",
MROUND(
  _xlfn.XLOOKUP(B206,'Base stats'!B:B,'Base stats'!BC:BC)^0.25
  / (_xlfn.XLOOKUP(B206,'Base stats'!B:B,'Base stats'!BM:BM) * 10)
  * _xlfn.XLOOKUP(
      _xlfn.XLOOKUP(B206,'Base stats'!B:B,'Base stats'!E:E),
      Groups!A:A,
      Groups!V:V
    ) * 150
  + MIN(12, _xlfn.XLOOKUP(B206,'Base stats'!B:B,'Base stats'!W:W))^(1/IF(_xlfn.XLOOKUP(_xlfn.XLOOKUP(B206,'Base stats'!B:B,'Base stats'!E:E),Groups!A:A,Groups!U:U)=1,100,10)) + 0.5 + _xlfn.XLOOKUP(B206,'Base stats'!B:B,'Base stats'!BW:BW),
0.05))</f>
        <v>5.1000000000000005</v>
      </c>
      <c r="O206" s="3">
        <f>IF(Animals!AD206="No","No",
MAX(MROUND((MIN(10,_xlfn.XLOOKUP(B206,'Base stats'!B:B,'Base stats'!V:V)*IF(_xlfn.XLOOKUP(_xlfn.XLOOKUP(B206,'Base stats'!B:B,'Base stats'!E:E),Groups!A:A,Groups!O:O)=0,1,0.33))^0.4*_xlfn.XLOOKUP(B206,'Base stats'!B:B,'Base stats'!BJ:BJ)^0.73)^0.6 *_xlfn.XLOOKUP(B206,'Base stats'!B:B,'Base stats'!BX:BX),0.1),0.05)
)</f>
        <v>38.1</v>
      </c>
      <c r="P206" s="11">
        <f>IF(O206="No","No",
MROUND(_xlfn.XLOOKUP(B206,'Base stats'!B:B,'Base stats'!BJ:BJ) * 0.01 * 2 + 0.05, 0.05)
)</f>
        <v>30.5</v>
      </c>
      <c r="Q206" s="5">
        <f>IF(O206="No","No",
MROUND(_xlfn.XLOOKUP(B206,'Base stats'!B:B,'Base stats'!BV:BV)/10000+0.01,0.01)
)</f>
        <v>0.91</v>
      </c>
      <c r="R206" s="4">
        <f>IF(O206="No","No",
MROUND(_xlfn.XLOOKUP(B206,'Base stats'!B:B,'Base stats'!BB:BB)^0.25
/((_xlfn.XLOOKUP(B206,'Base stats'!B:B,'Base stats'!BN:BN))*10)*_xlfn.XLOOKUP(_xlfn.XLOOKUP(B206,'Base stats'!B:B,'Base stats'!E:E),Groups!A:A,Groups!Z:Z)*150 + 0.5 + _xlfn.XLOOKUP(B206,'Base stats'!B:B,'Base stats'!BW:BW),
0.05))</f>
        <v>3</v>
      </c>
      <c r="S206" s="3">
        <f>IF(Animals!AI206="No","No",
IF(_xlfn.XLOOKUP(B206,'Base stats'!B:B,'Base stats'!U:U)="No",
MAX(MROUND(_xlfn.XLOOKUP(B206,'Base stats'!B:B,'Base stats'!BT:BT) * _xlfn.XLOOKUP(B206,'Base stats'!B:B,'Base stats'!BP:BP)^0.9 / 21 * _xlfn.XLOOKUP(B206,'Base stats'!B:B,'Base stats'!BX:BX),0.1),0.05),
MAX(MROUND(((MIN(12,_xlfn.XLOOKUP(B206,'Base stats'!B:B,'Base stats'!U:U)))^0.4*_xlfn.XLOOKUP(B206,'Base stats'!B:B,'Base stats'!BH:BH)^0.73)^0.6 * _xlfn.XLOOKUP(B206,'Base stats'!B:B,'Base stats'!BX:BX),0.1),0.05)
))</f>
        <v>40.800000000000004</v>
      </c>
      <c r="T206" s="11">
        <f>IF(S206="No","No",
MROUND(_xlfn.XLOOKUP(B206,'Base stats'!B:B,'Base stats'!BH:BH) * 0.01 * 2 + 0.05, 0.05)
)</f>
        <v>24.400000000000002</v>
      </c>
      <c r="U206" s="5">
        <f>IF(S206="No","No",IF(_xlfn.XLOOKUP(B206,'Base stats'!B:B,'Base stats'!U:U)="No","No",
MROUND(_xlfn.XLOOKUP(B206,'Base stats'!B:B,'Base stats'!BT:BT)/10000+0.01,0.01)
))</f>
        <v>7.2</v>
      </c>
      <c r="V206" s="4">
        <f>IF(S206="No","No",
MROUND(_xlfn.XLOOKUP(B206,'Base stats'!B:B,'Base stats'!BF:BF)^0.25
/((_xlfn.XLOOKUP(B206,'Base stats'!B:B,'Base stats'!BO:BO))*10)*_xlfn.XLOOKUP(_xlfn.XLOOKUP(B206,'Base stats'!B:B,'Base stats'!E:E),Groups!A:A,Groups!AE:AE)*150 + 0.5 + _xlfn.XLOOKUP(B206,'Base stats'!B:B,'Base stats'!BW:BW),
0.05))</f>
        <v>3.6</v>
      </c>
      <c r="W206" s="8">
        <f>MROUND(_xlfn.XLOOKUP(_xlfn.XLOOKUP(B206,'Base stats'!B:B,'Base stats'!E:E),Groups!A:A,Groups!BG:BG)*_xlfn.XLOOKUP(B206,'Base stats'!B:B,'Base stats'!C:C)^-0.165,0.05)</f>
        <v>0.1</v>
      </c>
      <c r="X206" s="1">
        <f>MROUND(_xlfn.XLOOKUP(_xlfn.XLOOKUP(B206,'Base stats'!B:B,'Base stats'!E:E),Groups!A:A,Groups!BH:BH)*_xlfn.XLOOKUP(B206,'Base stats'!B:B,'Base stats'!C:C)^0.165,0.05)</f>
        <v>0.25</v>
      </c>
      <c r="Y206" s="8">
        <f>MROUND(_xlfn.XLOOKUP(_xlfn.XLOOKUP(B206,'Base stats'!B:B,'Base stats'!E:E),Groups!A:A,Groups!BI:BI)*_xlfn.XLOOKUP(B206,'Base stats'!B:B,'Base stats'!C:C)^0.165,0.05)</f>
        <v>0.05</v>
      </c>
      <c r="Z206" s="18">
        <f>MROUND(_xlfn.XLOOKUP(B206,'Base stats'!B:B,'Base stats'!AQ:AQ)*_xlfn.XLOOKUP(_xlfn.XLOOKUP(B206,'Base stats'!B:B,'Base stats'!E:E),Groups!A:A,Groups!H:H)/1000,IF((_xlfn.XLOOKUP(B206,'Base stats'!B:B,'Base stats'!AQ:AQ)*_xlfn.XLOOKUP(_xlfn.XLOOKUP(B206,'Base stats'!B:B,'Base stats'!E:E),Groups!A:A,Groups!H:H)/1000)&gt;1,0.05,0.01))</f>
        <v>1.85</v>
      </c>
      <c r="AA206" s="18">
        <f>MROUND((1/2)*(_xlfn.XLOOKUP(_xlfn.XLOOKUP(B206,'Base stats'!B:B,'Base stats'!E:E),Groups!A:A,Groups!H:H)*_xlfn.XLOOKUP(_xlfn.XLOOKUP(B206,'Base stats'!B:B,'Base stats'!E:E),Groups!A:A,Groups!I:I))*_xlfn.XLOOKUP(B206,'Base stats'!B:B,'Base stats'!AQ:AQ)*0.01,0.05)</f>
        <v>0.2</v>
      </c>
      <c r="AB206" s="18">
        <f>MROUND(250*(Animals!AO206+Animals!AP206),25)</f>
        <v>1375</v>
      </c>
      <c r="AC206" s="18" t="str">
        <f>_xlfn.XLOOKUP(_xlfn.XLOOKUP(B206,'Base stats'!B:B,'Base stats'!E:E),Groups!A:A,Groups!BJ:BJ)</f>
        <v>QuadrupedLow</v>
      </c>
    </row>
    <row r="207" spans="1:29" ht="16.5" thickTop="1" thickBot="1" x14ac:dyDescent="0.3">
      <c r="A207" s="16" t="str">
        <f>Animals!A207</f>
        <v>Wasteboar</v>
      </c>
      <c r="B207" s="6" t="str">
        <f>Animals!B207</f>
        <v>Sus toxiscrofa</v>
      </c>
      <c r="C207" s="1" t="str">
        <f>Animals!C207</f>
        <v>&lt;li&gt;VAEWaste_Wasteboar&lt;/li&gt;</v>
      </c>
      <c r="D207" s="47">
        <f>MIN(MIN(6,_xlfn.XLOOKUP(A207,Animals!A:A,Animals!AO:AO))*20,MAX(MROUND(_xlfn.XLOOKUP(B207,'Base stats'!B:B,'Base stats'!BS:BS) * (_xlfn.XLOOKUP(B207,'Base stats'!B:B,'Base stats'!AO:AO)*5%)^0.9 / 21,0.1),0.05))</f>
        <v>4.3</v>
      </c>
      <c r="E207" s="11">
        <f>MROUND(_xlfn.XLOOKUP(B207,'Base stats'!B:B,'Base stats'!BG:BG) * 0.01 * 2 + 0.01, 0.05)</f>
        <v>3.75</v>
      </c>
      <c r="F207" s="7">
        <f>MROUND(_xlfn.XLOOKUP(B207,'Base stats'!B:B,'Base stats'!BD:BD)^0.25 / (_xlfn.XLOOKUP(B207,'Base stats'!B:B,'Base stats'!BK:BK) * 10) * 150 + 0.5 + _xlfn.XLOOKUP(B207,'Base stats'!B:B,'Base stats'!BW:BW), 0.05)</f>
        <v>1.75</v>
      </c>
      <c r="G207" s="3" t="str">
        <f>IF(Animals!S207="No","No",
IF(_xlfn.XLOOKUP(B207,'Base stats'!B:B,'Base stats'!U:U)="No",
MAX(MROUND(_xlfn.XLOOKUP(B207,'Base stats'!B:B,'Base stats'!BT:BT) * _xlfn.XLOOKUP(B207,'Base stats'!B:B,'Base stats'!BP:BP)^0.9 / 21 * _xlfn.XLOOKUP(B207,'Base stats'!B:B,'Base stats'!BX:BX),0.1),0.05),
MAX(MROUND(((MIN(10,_xlfn.XLOOKUP(B207,'Base stats'!B:B,'Base stats'!U:U)))^0.4*_xlfn.XLOOKUP(B207,'Base stats'!B:B,'Base stats'!BH:BH)^0.73)^0.6 * _xlfn.XLOOKUP(B207,'Base stats'!B:B,'Base stats'!BX:BX),0.1),0.05)
))</f>
        <v>No</v>
      </c>
      <c r="H207" s="11" t="str">
        <f>IF(G207="No","No",
MROUND(_xlfn.XLOOKUP(B207,'Base stats'!B:B,'Base stats'!BH:BH) * 0.01 * 2 + 0.05, 0.05)
)</f>
        <v>No</v>
      </c>
      <c r="I207" s="11" t="str">
        <f>IF(G207="No","No",IF(_xlfn.XLOOKUP(B207,'Base stats'!B:B,'Base stats'!U:U)="No","No",
MROUND(_xlfn.XLOOKUP(B207,'Base stats'!B:B,'Base stats'!BT:BT)/10000+0.01,0.01)
))</f>
        <v>No</v>
      </c>
      <c r="J207" s="4" t="str">
        <f>IF(G207="No","No",
MROUND(_xlfn.XLOOKUP(B207,'Base stats'!B:B,'Base stats'!BE:BE)^0.25
/((_xlfn.XLOOKUP(B207,'Base stats'!B:B,'Base stats'!BL:BL))*10)*_xlfn.XLOOKUP(_xlfn.XLOOKUP(B207,'Base stats'!B:B,'Base stats'!E:E),Groups!A:A,Groups!Q:Q)*150 + 0.5 + _xlfn.XLOOKUP(B207,'Base stats'!B:B,'Base stats'!BW:BW),
0.05))</f>
        <v>No</v>
      </c>
      <c r="K207" s="3">
        <f>IF(Animals!X207="No","No",
IF(_xlfn.XLOOKUP(_xlfn.XLOOKUP(B207,'Base stats'!B:B,'Base stats'!E:E),Groups!A:A,Groups!BD:BD)=1,
MAX(MROUND(_xlfn.XLOOKUP(B207,'Base stats'!B:B,'Base stats'!BU:BU) * _xlfn.XLOOKUP(B207,'Base stats'!B:B,'Base stats'!BQ:BQ)^0.9 / 21 *_xlfn.XLOOKUP(B207,'Base stats'!B:B,'Base stats'!BX:BX),0.1),0.05),
MAX(MROUND(((MIN(10,_xlfn.XLOOKUP(B207,'Base stats'!B:B,'Base stats'!W:W)))^0.4*_xlfn.XLOOKUP(B207,'Base stats'!B:B,'Base stats'!BI:BI)^0.73)^0.6 *_xlfn.XLOOKUP(B207,'Base stats'!B:B,'Base stats'!BX:BX),0.1),0.05)
))</f>
        <v>25</v>
      </c>
      <c r="L207" s="11">
        <f>IF(K207="No","No",
MROUND(_xlfn.XLOOKUP(B207,'Base stats'!B:B,'Base stats'!BI:BI) * 0.01 *2 + 0.05, 0.05)
)</f>
        <v>8.9</v>
      </c>
      <c r="M207" s="5">
        <f>IF(K207="No","No",IF(_xlfn.XLOOKUP(_xlfn.XLOOKUP(B207,'Base stats'!B:B,'Base stats'!E:E),Groups!A:A,Groups!BD:BD)=1,"No",
MROUND(_xlfn.XLOOKUP(B207,'Base stats'!B:B,'Base stats'!BU:BU)/10000+0.01,0.01)
))</f>
        <v>0.54</v>
      </c>
      <c r="N207" s="4">
        <f>IF(K207="No","No",
MROUND(
  _xlfn.XLOOKUP(B207,'Base stats'!B:B,'Base stats'!BC:BC)^0.25
  / (_xlfn.XLOOKUP(B207,'Base stats'!B:B,'Base stats'!BM:BM) * 10)
  * _xlfn.XLOOKUP(
      _xlfn.XLOOKUP(B207,'Base stats'!B:B,'Base stats'!E:E),
      Groups!A:A,
      Groups!V:V
    ) * 150
  + MIN(12, _xlfn.XLOOKUP(B207,'Base stats'!B:B,'Base stats'!W:W))^(1/IF(_xlfn.XLOOKUP(_xlfn.XLOOKUP(B207,'Base stats'!B:B,'Base stats'!E:E),Groups!A:A,Groups!U:U)=1,100,10)) + 0.5 + _xlfn.XLOOKUP(B207,'Base stats'!B:B,'Base stats'!BW:BW),
0.05))</f>
        <v>3.3000000000000003</v>
      </c>
      <c r="O207" s="3">
        <f>IF(Animals!AD207="No","No",
MAX(MROUND((MIN(10,_xlfn.XLOOKUP(B207,'Base stats'!B:B,'Base stats'!V:V)*IF(_xlfn.XLOOKUP(_xlfn.XLOOKUP(B207,'Base stats'!B:B,'Base stats'!E:E),Groups!A:A,Groups!O:O)=0,1,0.33))^0.4*_xlfn.XLOOKUP(B207,'Base stats'!B:B,'Base stats'!BJ:BJ)^0.73)^0.6 *_xlfn.XLOOKUP(B207,'Base stats'!B:B,'Base stats'!BX:BX),0.1),0.05)
)</f>
        <v>23</v>
      </c>
      <c r="P207" s="11">
        <f>IF(O207="No","No",
MROUND(_xlfn.XLOOKUP(B207,'Base stats'!B:B,'Base stats'!BJ:BJ) * 0.01 * 2 + 0.05, 0.05)
)</f>
        <v>7.4</v>
      </c>
      <c r="Q207" s="5">
        <f>IF(O207="No","No",
MROUND(_xlfn.XLOOKUP(B207,'Base stats'!B:B,'Base stats'!BV:BV)/10000+0.01,0.01)
)</f>
        <v>0.33</v>
      </c>
      <c r="R207" s="4">
        <f>IF(O207="No","No",
MROUND(_xlfn.XLOOKUP(B207,'Base stats'!B:B,'Base stats'!BB:BB)^0.25
/((_xlfn.XLOOKUP(B207,'Base stats'!B:B,'Base stats'!BN:BN))*10)*_xlfn.XLOOKUP(_xlfn.XLOOKUP(B207,'Base stats'!B:B,'Base stats'!E:E),Groups!A:A,Groups!Z:Z)*150 + 0.5 + _xlfn.XLOOKUP(B207,'Base stats'!B:B,'Base stats'!BW:BW),
0.05))</f>
        <v>2.85</v>
      </c>
      <c r="S207" s="3" t="str">
        <f>IF(Animals!AI207="No","No",
IF(_xlfn.XLOOKUP(B207,'Base stats'!B:B,'Base stats'!U:U)="No",
MAX(MROUND(_xlfn.XLOOKUP(B207,'Base stats'!B:B,'Base stats'!BT:BT) * _xlfn.XLOOKUP(B207,'Base stats'!B:B,'Base stats'!BP:BP)^0.9 / 21 * _xlfn.XLOOKUP(B207,'Base stats'!B:B,'Base stats'!BX:BX),0.1),0.05),
MAX(MROUND(((MIN(12,_xlfn.XLOOKUP(B207,'Base stats'!B:B,'Base stats'!U:U)))^0.4*_xlfn.XLOOKUP(B207,'Base stats'!B:B,'Base stats'!BH:BH)^0.73)^0.6 * _xlfn.XLOOKUP(B207,'Base stats'!B:B,'Base stats'!BX:BX),0.1),0.05)
))</f>
        <v>No</v>
      </c>
      <c r="T207" s="11" t="str">
        <f>IF(S207="No","No",
MROUND(_xlfn.XLOOKUP(B207,'Base stats'!B:B,'Base stats'!BH:BH) * 0.01 * 2 + 0.05, 0.05)
)</f>
        <v>No</v>
      </c>
      <c r="U207" s="5" t="str">
        <f>IF(S207="No","No",IF(_xlfn.XLOOKUP(B207,'Base stats'!B:B,'Base stats'!U:U)="No","No",
MROUND(_xlfn.XLOOKUP(B207,'Base stats'!B:B,'Base stats'!BT:BT)/10000+0.01,0.01)
))</f>
        <v>No</v>
      </c>
      <c r="V207" s="4" t="str">
        <f>IF(S207="No","No",
MROUND(_xlfn.XLOOKUP(B207,'Base stats'!B:B,'Base stats'!BF:BF)^0.25
/((_xlfn.XLOOKUP(B207,'Base stats'!B:B,'Base stats'!BO:BO))*10)*_xlfn.XLOOKUP(_xlfn.XLOOKUP(B207,'Base stats'!B:B,'Base stats'!E:E),Groups!A:A,Groups!AE:AE)*150 + 0.5 + _xlfn.XLOOKUP(B207,'Base stats'!B:B,'Base stats'!BW:BW),
0.05))</f>
        <v>No</v>
      </c>
      <c r="W207" s="8">
        <f>MROUND(_xlfn.XLOOKUP(_xlfn.XLOOKUP(B207,'Base stats'!B:B,'Base stats'!E:E),Groups!A:A,Groups!BG:BG)*_xlfn.XLOOKUP(B207,'Base stats'!B:B,'Base stats'!C:C)^-0.165,0.05)</f>
        <v>0.2</v>
      </c>
      <c r="X207" s="1">
        <f>MROUND(_xlfn.XLOOKUP(_xlfn.XLOOKUP(B207,'Base stats'!B:B,'Base stats'!E:E),Groups!A:A,Groups!BH:BH)*_xlfn.XLOOKUP(B207,'Base stats'!B:B,'Base stats'!C:C)^0.165,0.05)</f>
        <v>0.25</v>
      </c>
      <c r="Y207" s="8">
        <f>MROUND(_xlfn.XLOOKUP(_xlfn.XLOOKUP(B207,'Base stats'!B:B,'Base stats'!E:E),Groups!A:A,Groups!BI:BI)*_xlfn.XLOOKUP(B207,'Base stats'!B:B,'Base stats'!C:C)^0.165,0.05)</f>
        <v>0.05</v>
      </c>
      <c r="Z207" s="18">
        <f>MROUND(_xlfn.XLOOKUP(B207,'Base stats'!B:B,'Base stats'!AQ:AQ)*_xlfn.XLOOKUP(_xlfn.XLOOKUP(B207,'Base stats'!B:B,'Base stats'!E:E),Groups!A:A,Groups!H:H)/1000,IF((_xlfn.XLOOKUP(B207,'Base stats'!B:B,'Base stats'!AQ:AQ)*_xlfn.XLOOKUP(_xlfn.XLOOKUP(B207,'Base stats'!B:B,'Base stats'!E:E),Groups!A:A,Groups!H:H)/1000)&gt;1,0.05,0.01))</f>
        <v>0.08</v>
      </c>
      <c r="AA207" s="18">
        <f>MROUND((1/2)*(_xlfn.XLOOKUP(_xlfn.XLOOKUP(B207,'Base stats'!B:B,'Base stats'!E:E),Groups!A:A,Groups!H:H)*_xlfn.XLOOKUP(_xlfn.XLOOKUP(B207,'Base stats'!B:B,'Base stats'!E:E),Groups!A:A,Groups!I:I))*_xlfn.XLOOKUP(B207,'Base stats'!B:B,'Base stats'!AQ:AQ)*0.01,0.05)</f>
        <v>0.30000000000000004</v>
      </c>
      <c r="AB207" s="18">
        <f>MROUND(250*(Animals!AO207+Animals!AP207),25)</f>
        <v>750</v>
      </c>
      <c r="AC207" s="18" t="str">
        <f>_xlfn.XLOOKUP(_xlfn.XLOOKUP(B207,'Base stats'!B:B,'Base stats'!E:E),Groups!A:A,Groups!BJ:BJ)</f>
        <v>Quadruped</v>
      </c>
    </row>
    <row r="208" spans="1:29" ht="16.5" thickTop="1" thickBot="1" x14ac:dyDescent="0.3">
      <c r="A208" s="16" t="str">
        <f>Animals!A208</f>
        <v>Wastedeer</v>
      </c>
      <c r="B208" s="6" t="str">
        <f>Animals!B208</f>
        <v>Odocoileus toxus</v>
      </c>
      <c r="C208" s="1" t="str">
        <f>Animals!C208</f>
        <v>&lt;li&gt;VAEWaste_Wastedeer&lt;/li&gt;</v>
      </c>
      <c r="D208" s="47">
        <f>MIN(MIN(6,_xlfn.XLOOKUP(A208,Animals!A:A,Animals!AO:AO))*20,MAX(MROUND(_xlfn.XLOOKUP(B208,'Base stats'!B:B,'Base stats'!BS:BS) * (_xlfn.XLOOKUP(B208,'Base stats'!B:B,'Base stats'!AO:AO)*5%)^0.9 / 21,0.1),0.05))</f>
        <v>2.3000000000000003</v>
      </c>
      <c r="E208" s="11">
        <f>MROUND(_xlfn.XLOOKUP(B208,'Base stats'!B:B,'Base stats'!BG:BG) * 0.01 * 2 + 0.01, 0.05)</f>
        <v>1.9000000000000001</v>
      </c>
      <c r="F208" s="7">
        <f>MROUND(_xlfn.XLOOKUP(B208,'Base stats'!B:B,'Base stats'!BD:BD)^0.25 / (_xlfn.XLOOKUP(B208,'Base stats'!B:B,'Base stats'!BK:BK) * 10) * 150 + 0.5 + _xlfn.XLOOKUP(B208,'Base stats'!B:B,'Base stats'!BW:BW), 0.05)</f>
        <v>1.6500000000000001</v>
      </c>
      <c r="G208" s="3">
        <f>IF(Animals!S208="No","No",
IF(_xlfn.XLOOKUP(B208,'Base stats'!B:B,'Base stats'!U:U)="No",
MAX(MROUND(_xlfn.XLOOKUP(B208,'Base stats'!B:B,'Base stats'!BT:BT) * _xlfn.XLOOKUP(B208,'Base stats'!B:B,'Base stats'!BP:BP)^0.9 / 21 * _xlfn.XLOOKUP(B208,'Base stats'!B:B,'Base stats'!BX:BX),0.1),0.05),
MAX(MROUND(((MIN(10,_xlfn.XLOOKUP(B208,'Base stats'!B:B,'Base stats'!U:U)))^0.4*_xlfn.XLOOKUP(B208,'Base stats'!B:B,'Base stats'!BH:BH)^0.73)^0.6 * _xlfn.XLOOKUP(B208,'Base stats'!B:B,'Base stats'!BX:BX),0.1),0.05)
))</f>
        <v>4.3</v>
      </c>
      <c r="H208" s="11">
        <f>IF(G208="No","No",
MROUND(_xlfn.XLOOKUP(B208,'Base stats'!B:B,'Base stats'!BH:BH) * 0.01 * 2 + 0.05, 0.05)
)</f>
        <v>2.4500000000000002</v>
      </c>
      <c r="I208" s="11" t="str">
        <f>IF(G208="No","No",IF(_xlfn.XLOOKUP(B208,'Base stats'!B:B,'Base stats'!U:U)="No","No",
MROUND(_xlfn.XLOOKUP(B208,'Base stats'!B:B,'Base stats'!BT:BT)/10000+0.01,0.01)
))</f>
        <v>No</v>
      </c>
      <c r="J208" s="4">
        <f>IF(G208="No","No",
MROUND(_xlfn.XLOOKUP(B208,'Base stats'!B:B,'Base stats'!BE:BE)^0.25
/((_xlfn.XLOOKUP(B208,'Base stats'!B:B,'Base stats'!BL:BL))*10)*_xlfn.XLOOKUP(_xlfn.XLOOKUP(B208,'Base stats'!B:B,'Base stats'!E:E),Groups!A:A,Groups!Q:Q)*150 + 0.5 + _xlfn.XLOOKUP(B208,'Base stats'!B:B,'Base stats'!BW:BW),
0.05))</f>
        <v>2.1</v>
      </c>
      <c r="K208" s="3">
        <f>IF(Animals!X208="No","No",
IF(_xlfn.XLOOKUP(_xlfn.XLOOKUP(B208,'Base stats'!B:B,'Base stats'!E:E),Groups!A:A,Groups!BD:BD)=1,
MAX(MROUND(_xlfn.XLOOKUP(B208,'Base stats'!B:B,'Base stats'!BU:BU) * _xlfn.XLOOKUP(B208,'Base stats'!B:B,'Base stats'!BQ:BQ)^0.9 / 21 *_xlfn.XLOOKUP(B208,'Base stats'!B:B,'Base stats'!BX:BX),0.1),0.05),
MAX(MROUND(((MIN(10,_xlfn.XLOOKUP(B208,'Base stats'!B:B,'Base stats'!W:W)))^0.4*_xlfn.XLOOKUP(B208,'Base stats'!B:B,'Base stats'!BI:BI)^0.73)^0.6 *_xlfn.XLOOKUP(B208,'Base stats'!B:B,'Base stats'!BX:BX),0.1),0.05)
))</f>
        <v>15.3</v>
      </c>
      <c r="L208" s="11">
        <f>IF(K208="No","No",
MROUND(_xlfn.XLOOKUP(B208,'Base stats'!B:B,'Base stats'!BI:BI) * 0.01 *2 + 0.05, 0.05)
)</f>
        <v>2.95</v>
      </c>
      <c r="M208" s="5">
        <f>IF(K208="No","No",IF(_xlfn.XLOOKUP(_xlfn.XLOOKUP(B208,'Base stats'!B:B,'Base stats'!E:E),Groups!A:A,Groups!BD:BD)=1,"No",
MROUND(_xlfn.XLOOKUP(B208,'Base stats'!B:B,'Base stats'!BU:BU)/10000+0.01,0.01)
))</f>
        <v>0.2</v>
      </c>
      <c r="N208" s="4">
        <f>IF(K208="No","No",
MROUND(
  _xlfn.XLOOKUP(B208,'Base stats'!B:B,'Base stats'!BC:BC)^0.25
  / (_xlfn.XLOOKUP(B208,'Base stats'!B:B,'Base stats'!BM:BM) * 10)
  * _xlfn.XLOOKUP(
      _xlfn.XLOOKUP(B208,'Base stats'!B:B,'Base stats'!E:E),
      Groups!A:A,
      Groups!V:V
    ) * 150
  + MIN(12, _xlfn.XLOOKUP(B208,'Base stats'!B:B,'Base stats'!W:W))^(1/IF(_xlfn.XLOOKUP(_xlfn.XLOOKUP(B208,'Base stats'!B:B,'Base stats'!E:E),Groups!A:A,Groups!U:U)=1,100,10)) + 0.5 + _xlfn.XLOOKUP(B208,'Base stats'!B:B,'Base stats'!BW:BW),
0.05))</f>
        <v>2.85</v>
      </c>
      <c r="O208" s="3" t="str">
        <f>IF(Animals!AD208="No","No",
MAX(MROUND((MIN(10,_xlfn.XLOOKUP(B208,'Base stats'!B:B,'Base stats'!V:V)*IF(_xlfn.XLOOKUP(_xlfn.XLOOKUP(B208,'Base stats'!B:B,'Base stats'!E:E),Groups!A:A,Groups!O:O)=0,1,0.33))^0.4*_xlfn.XLOOKUP(B208,'Base stats'!B:B,'Base stats'!BJ:BJ)^0.73)^0.6 *_xlfn.XLOOKUP(B208,'Base stats'!B:B,'Base stats'!BX:BX),0.1),0.05)
)</f>
        <v>No</v>
      </c>
      <c r="P208" s="11" t="str">
        <f>IF(O208="No","No",
MROUND(_xlfn.XLOOKUP(B208,'Base stats'!B:B,'Base stats'!BJ:BJ) * 0.01 * 2 + 0.05, 0.05)
)</f>
        <v>No</v>
      </c>
      <c r="Q208" s="5" t="str">
        <f>IF(O208="No","No",
MROUND(_xlfn.XLOOKUP(B208,'Base stats'!B:B,'Base stats'!BV:BV)/10000+0.01,0.01)
)</f>
        <v>No</v>
      </c>
      <c r="R208" s="4" t="str">
        <f>IF(O208="No","No",
MROUND(_xlfn.XLOOKUP(B208,'Base stats'!B:B,'Base stats'!BB:BB)^0.25
/((_xlfn.XLOOKUP(B208,'Base stats'!B:B,'Base stats'!BN:BN))*10)*_xlfn.XLOOKUP(_xlfn.XLOOKUP(B208,'Base stats'!B:B,'Base stats'!E:E),Groups!A:A,Groups!Z:Z)*150 + 0.5 + _xlfn.XLOOKUP(B208,'Base stats'!B:B,'Base stats'!BW:BW),
0.05))</f>
        <v>No</v>
      </c>
      <c r="S208" s="3" t="str">
        <f>IF(Animals!AI208="No","No",
IF(_xlfn.XLOOKUP(B208,'Base stats'!B:B,'Base stats'!U:U)="No",
MAX(MROUND(_xlfn.XLOOKUP(B208,'Base stats'!B:B,'Base stats'!BT:BT) * _xlfn.XLOOKUP(B208,'Base stats'!B:B,'Base stats'!BP:BP)^0.9 / 21 * _xlfn.XLOOKUP(B208,'Base stats'!B:B,'Base stats'!BX:BX),0.1),0.05),
MAX(MROUND(((MIN(12,_xlfn.XLOOKUP(B208,'Base stats'!B:B,'Base stats'!U:U)))^0.4*_xlfn.XLOOKUP(B208,'Base stats'!B:B,'Base stats'!BH:BH)^0.73)^0.6 * _xlfn.XLOOKUP(B208,'Base stats'!B:B,'Base stats'!BX:BX),0.1),0.05)
))</f>
        <v>No</v>
      </c>
      <c r="T208" s="11" t="str">
        <f>IF(S208="No","No",
MROUND(_xlfn.XLOOKUP(B208,'Base stats'!B:B,'Base stats'!BH:BH) * 0.01 * 2 + 0.05, 0.05)
)</f>
        <v>No</v>
      </c>
      <c r="U208" s="5" t="str">
        <f>IF(S208="No","No",IF(_xlfn.XLOOKUP(B208,'Base stats'!B:B,'Base stats'!U:U)="No","No",
MROUND(_xlfn.XLOOKUP(B208,'Base stats'!B:B,'Base stats'!BT:BT)/10000+0.01,0.01)
))</f>
        <v>No</v>
      </c>
      <c r="V208" s="4" t="str">
        <f>IF(S208="No","No",
MROUND(_xlfn.XLOOKUP(B208,'Base stats'!B:B,'Base stats'!BF:BF)^0.25
/((_xlfn.XLOOKUP(B208,'Base stats'!B:B,'Base stats'!BO:BO))*10)*_xlfn.XLOOKUP(_xlfn.XLOOKUP(B208,'Base stats'!B:B,'Base stats'!E:E),Groups!A:A,Groups!AE:AE)*150 + 0.5 + _xlfn.XLOOKUP(B208,'Base stats'!B:B,'Base stats'!BW:BW),
0.05))</f>
        <v>No</v>
      </c>
      <c r="W208" s="8">
        <f>MROUND(_xlfn.XLOOKUP(_xlfn.XLOOKUP(B208,'Base stats'!B:B,'Base stats'!E:E),Groups!A:A,Groups!BG:BG)*_xlfn.XLOOKUP(B208,'Base stats'!B:B,'Base stats'!C:C)^-0.165,0.05)</f>
        <v>0.25</v>
      </c>
      <c r="X208" s="1">
        <f>MROUND(_xlfn.XLOOKUP(_xlfn.XLOOKUP(B208,'Base stats'!B:B,'Base stats'!E:E),Groups!A:A,Groups!BH:BH)*_xlfn.XLOOKUP(B208,'Base stats'!B:B,'Base stats'!C:C)^0.165,0.05)</f>
        <v>0</v>
      </c>
      <c r="Y208" s="8">
        <f>MROUND(_xlfn.XLOOKUP(_xlfn.XLOOKUP(B208,'Base stats'!B:B,'Base stats'!E:E),Groups!A:A,Groups!BI:BI)*_xlfn.XLOOKUP(B208,'Base stats'!B:B,'Base stats'!C:C)^0.165,0.05)</f>
        <v>0</v>
      </c>
      <c r="Z208" s="18">
        <f>MROUND(_xlfn.XLOOKUP(B208,'Base stats'!B:B,'Base stats'!AQ:AQ)*_xlfn.XLOOKUP(_xlfn.XLOOKUP(B208,'Base stats'!B:B,'Base stats'!E:E),Groups!A:A,Groups!H:H)/1000,IF((_xlfn.XLOOKUP(B208,'Base stats'!B:B,'Base stats'!AQ:AQ)*_xlfn.XLOOKUP(_xlfn.XLOOKUP(B208,'Base stats'!B:B,'Base stats'!E:E),Groups!A:A,Groups!H:H)/1000)&gt;1,0.05,0.01))</f>
        <v>0.06</v>
      </c>
      <c r="AA208" s="18">
        <f>MROUND((1/2)*(_xlfn.XLOOKUP(_xlfn.XLOOKUP(B208,'Base stats'!B:B,'Base stats'!E:E),Groups!A:A,Groups!H:H)*_xlfn.XLOOKUP(_xlfn.XLOOKUP(B208,'Base stats'!B:B,'Base stats'!E:E),Groups!A:A,Groups!I:I))*_xlfn.XLOOKUP(B208,'Base stats'!B:B,'Base stats'!AQ:AQ)*0.01,0.05)</f>
        <v>0.25</v>
      </c>
      <c r="AB208" s="18">
        <f>MROUND(250*(Animals!AO208+Animals!AP208),25)</f>
        <v>500</v>
      </c>
      <c r="AC208" s="18" t="str">
        <f>_xlfn.XLOOKUP(_xlfn.XLOOKUP(B208,'Base stats'!B:B,'Base stats'!E:E),Groups!A:A,Groups!BJ:BJ)</f>
        <v>Quadruped</v>
      </c>
    </row>
    <row r="209" spans="1:29" ht="16.5" thickTop="1" thickBot="1" x14ac:dyDescent="0.3">
      <c r="A209" s="16" t="str">
        <f>Animals!A209</f>
        <v>Wasteffalo</v>
      </c>
      <c r="B209" s="6" t="str">
        <f>Animals!B209</f>
        <v>Pseudobison toxus</v>
      </c>
      <c r="C209" s="1" t="str">
        <f>Animals!C209</f>
        <v>&lt;li&gt;VAEWaste_Wasteffalo&lt;/li&gt;</v>
      </c>
      <c r="D209" s="47">
        <f>MIN(MIN(6,_xlfn.XLOOKUP(A209,Animals!A:A,Animals!AO:AO))*20,MAX(MROUND(_xlfn.XLOOKUP(B209,'Base stats'!B:B,'Base stats'!BS:BS) * (_xlfn.XLOOKUP(B209,'Base stats'!B:B,'Base stats'!AO:AO)*5%)^0.9 / 21,0.1),0.05))</f>
        <v>9.8000000000000007</v>
      </c>
      <c r="E209" s="11">
        <f>MROUND(_xlfn.XLOOKUP(B209,'Base stats'!B:B,'Base stats'!BG:BG) * 0.01 * 2 + 0.01, 0.05)</f>
        <v>9.1</v>
      </c>
      <c r="F209" s="7">
        <f>MROUND(_xlfn.XLOOKUP(B209,'Base stats'!B:B,'Base stats'!BD:BD)^0.25 / (_xlfn.XLOOKUP(B209,'Base stats'!B:B,'Base stats'!BK:BK) * 10) * 150 + 0.5 + _xlfn.XLOOKUP(B209,'Base stats'!B:B,'Base stats'!BW:BW), 0.05)</f>
        <v>1.9000000000000001</v>
      </c>
      <c r="G209" s="3">
        <f>IF(Animals!S209="No","No",
IF(_xlfn.XLOOKUP(B209,'Base stats'!B:B,'Base stats'!U:U)="No",
MAX(MROUND(_xlfn.XLOOKUP(B209,'Base stats'!B:B,'Base stats'!BT:BT) * _xlfn.XLOOKUP(B209,'Base stats'!B:B,'Base stats'!BP:BP)^0.9 / 21 * _xlfn.XLOOKUP(B209,'Base stats'!B:B,'Base stats'!BX:BX),0.1),0.05),
MAX(MROUND(((MIN(10,_xlfn.XLOOKUP(B209,'Base stats'!B:B,'Base stats'!U:U)))^0.4*_xlfn.XLOOKUP(B209,'Base stats'!B:B,'Base stats'!BH:BH)^0.73)^0.6 * _xlfn.XLOOKUP(B209,'Base stats'!B:B,'Base stats'!BX:BX),0.1),0.05)
))</f>
        <v>16.5</v>
      </c>
      <c r="H209" s="11">
        <f>IF(G209="No","No",
MROUND(_xlfn.XLOOKUP(B209,'Base stats'!B:B,'Base stats'!BH:BH) * 0.01 * 2 + 0.05, 0.05)
)</f>
        <v>10.65</v>
      </c>
      <c r="I209" s="11" t="str">
        <f>IF(G209="No","No",IF(_xlfn.XLOOKUP(B209,'Base stats'!B:B,'Base stats'!U:U)="No","No",
MROUND(_xlfn.XLOOKUP(B209,'Base stats'!B:B,'Base stats'!BT:BT)/10000+0.01,0.01)
))</f>
        <v>No</v>
      </c>
      <c r="J209" s="4">
        <f>IF(G209="No","No",
MROUND(_xlfn.XLOOKUP(B209,'Base stats'!B:B,'Base stats'!BE:BE)^0.25
/((_xlfn.XLOOKUP(B209,'Base stats'!B:B,'Base stats'!BL:BL))*10)*_xlfn.XLOOKUP(_xlfn.XLOOKUP(B209,'Base stats'!B:B,'Base stats'!E:E),Groups!A:A,Groups!Q:Q)*150 + 0.5 + _xlfn.XLOOKUP(B209,'Base stats'!B:B,'Base stats'!BW:BW),
0.05))</f>
        <v>2.75</v>
      </c>
      <c r="K209" s="3">
        <f>IF(Animals!X209="No","No",
IF(_xlfn.XLOOKUP(_xlfn.XLOOKUP(B209,'Base stats'!B:B,'Base stats'!E:E),Groups!A:A,Groups!BD:BD)=1,
MAX(MROUND(_xlfn.XLOOKUP(B209,'Base stats'!B:B,'Base stats'!BU:BU) * _xlfn.XLOOKUP(B209,'Base stats'!B:B,'Base stats'!BQ:BQ)^0.9 / 21 *_xlfn.XLOOKUP(B209,'Base stats'!B:B,'Base stats'!BX:BX),0.1),0.05),
MAX(MROUND(((MIN(10,_xlfn.XLOOKUP(B209,'Base stats'!B:B,'Base stats'!W:W)))^0.4*_xlfn.XLOOKUP(B209,'Base stats'!B:B,'Base stats'!BI:BI)^0.73)^0.6 *_xlfn.XLOOKUP(B209,'Base stats'!B:B,'Base stats'!BX:BX),0.1),0.05)
))</f>
        <v>29.400000000000002</v>
      </c>
      <c r="L209" s="11">
        <f>IF(K209="No","No",
MROUND(_xlfn.XLOOKUP(B209,'Base stats'!B:B,'Base stats'!BI:BI) * 0.01 *2 + 0.05, 0.05)
)</f>
        <v>12.8</v>
      </c>
      <c r="M209" s="5">
        <f>IF(K209="No","No",IF(_xlfn.XLOOKUP(_xlfn.XLOOKUP(B209,'Base stats'!B:B,'Base stats'!E:E),Groups!A:A,Groups!BD:BD)=1,"No",
MROUND(_xlfn.XLOOKUP(B209,'Base stats'!B:B,'Base stats'!BU:BU)/10000+0.01,0.01)
))</f>
        <v>0.70000000000000007</v>
      </c>
      <c r="N209" s="4">
        <f>IF(K209="No","No",
MROUND(
  _xlfn.XLOOKUP(B209,'Base stats'!B:B,'Base stats'!BC:BC)^0.25
  / (_xlfn.XLOOKUP(B209,'Base stats'!B:B,'Base stats'!BM:BM) * 10)
  * _xlfn.XLOOKUP(
      _xlfn.XLOOKUP(B209,'Base stats'!B:B,'Base stats'!E:E),
      Groups!A:A,
      Groups!V:V
    ) * 150
  + MIN(12, _xlfn.XLOOKUP(B209,'Base stats'!B:B,'Base stats'!W:W))^(1/IF(_xlfn.XLOOKUP(_xlfn.XLOOKUP(B209,'Base stats'!B:B,'Base stats'!E:E),Groups!A:A,Groups!U:U)=1,100,10)) + 0.5 + _xlfn.XLOOKUP(B209,'Base stats'!B:B,'Base stats'!BW:BW),
0.05))</f>
        <v>3.2</v>
      </c>
      <c r="O209" s="3" t="str">
        <f>IF(Animals!AD209="No","No",
MAX(MROUND((MIN(10,_xlfn.XLOOKUP(B209,'Base stats'!B:B,'Base stats'!V:V)*IF(_xlfn.XLOOKUP(_xlfn.XLOOKUP(B209,'Base stats'!B:B,'Base stats'!E:E),Groups!A:A,Groups!O:O)=0,1,0.33))^0.4*_xlfn.XLOOKUP(B209,'Base stats'!B:B,'Base stats'!BJ:BJ)^0.73)^0.6 *_xlfn.XLOOKUP(B209,'Base stats'!B:B,'Base stats'!BX:BX),0.1),0.05)
)</f>
        <v>No</v>
      </c>
      <c r="P209" s="11" t="str">
        <f>IF(O209="No","No",
MROUND(_xlfn.XLOOKUP(B209,'Base stats'!B:B,'Base stats'!BJ:BJ) * 0.01 * 2 + 0.05, 0.05)
)</f>
        <v>No</v>
      </c>
      <c r="Q209" s="5" t="str">
        <f>IF(O209="No","No",
MROUND(_xlfn.XLOOKUP(B209,'Base stats'!B:B,'Base stats'!BV:BV)/10000+0.01,0.01)
)</f>
        <v>No</v>
      </c>
      <c r="R209" s="4" t="str">
        <f>IF(O209="No","No",
MROUND(_xlfn.XLOOKUP(B209,'Base stats'!B:B,'Base stats'!BB:BB)^0.25
/((_xlfn.XLOOKUP(B209,'Base stats'!B:B,'Base stats'!BN:BN))*10)*_xlfn.XLOOKUP(_xlfn.XLOOKUP(B209,'Base stats'!B:B,'Base stats'!E:E),Groups!A:A,Groups!Z:Z)*150 + 0.5 + _xlfn.XLOOKUP(B209,'Base stats'!B:B,'Base stats'!BW:BW),
0.05))</f>
        <v>No</v>
      </c>
      <c r="S209" s="3" t="str">
        <f>IF(Animals!AI209="No","No",
IF(_xlfn.XLOOKUP(B209,'Base stats'!B:B,'Base stats'!U:U)="No",
MAX(MROUND(_xlfn.XLOOKUP(B209,'Base stats'!B:B,'Base stats'!BT:BT) * _xlfn.XLOOKUP(B209,'Base stats'!B:B,'Base stats'!BP:BP)^0.9 / 21 * _xlfn.XLOOKUP(B209,'Base stats'!B:B,'Base stats'!BX:BX),0.1),0.05),
MAX(MROUND(((MIN(12,_xlfn.XLOOKUP(B209,'Base stats'!B:B,'Base stats'!U:U)))^0.4*_xlfn.XLOOKUP(B209,'Base stats'!B:B,'Base stats'!BH:BH)^0.73)^0.6 * _xlfn.XLOOKUP(B209,'Base stats'!B:B,'Base stats'!BX:BX),0.1),0.05)
))</f>
        <v>No</v>
      </c>
      <c r="T209" s="11" t="str">
        <f>IF(S209="No","No",
MROUND(_xlfn.XLOOKUP(B209,'Base stats'!B:B,'Base stats'!BH:BH) * 0.01 * 2 + 0.05, 0.05)
)</f>
        <v>No</v>
      </c>
      <c r="U209" s="5" t="str">
        <f>IF(S209="No","No",IF(_xlfn.XLOOKUP(B209,'Base stats'!B:B,'Base stats'!U:U)="No","No",
MROUND(_xlfn.XLOOKUP(B209,'Base stats'!B:B,'Base stats'!BT:BT)/10000+0.01,0.01)
))</f>
        <v>No</v>
      </c>
      <c r="V209" s="4" t="str">
        <f>IF(S209="No","No",
MROUND(_xlfn.XLOOKUP(B209,'Base stats'!B:B,'Base stats'!BF:BF)^0.25
/((_xlfn.XLOOKUP(B209,'Base stats'!B:B,'Base stats'!BO:BO))*10)*_xlfn.XLOOKUP(_xlfn.XLOOKUP(B209,'Base stats'!B:B,'Base stats'!E:E),Groups!A:A,Groups!AE:AE)*150 + 0.5 + _xlfn.XLOOKUP(B209,'Base stats'!B:B,'Base stats'!BW:BW),
0.05))</f>
        <v>No</v>
      </c>
      <c r="W209" s="8">
        <f>MROUND(_xlfn.XLOOKUP(_xlfn.XLOOKUP(B209,'Base stats'!B:B,'Base stats'!E:E),Groups!A:A,Groups!BG:BG)*_xlfn.XLOOKUP(B209,'Base stats'!B:B,'Base stats'!C:C)^-0.165,0.05)</f>
        <v>0.2</v>
      </c>
      <c r="X209" s="1">
        <f>MROUND(_xlfn.XLOOKUP(_xlfn.XLOOKUP(B209,'Base stats'!B:B,'Base stats'!E:E),Groups!A:A,Groups!BH:BH)*_xlfn.XLOOKUP(B209,'Base stats'!B:B,'Base stats'!C:C)^0.165,0.05)</f>
        <v>0</v>
      </c>
      <c r="Y209" s="8">
        <f>MROUND(_xlfn.XLOOKUP(_xlfn.XLOOKUP(B209,'Base stats'!B:B,'Base stats'!E:E),Groups!A:A,Groups!BI:BI)*_xlfn.XLOOKUP(B209,'Base stats'!B:B,'Base stats'!C:C)^0.165,0.05)</f>
        <v>0</v>
      </c>
      <c r="Z209" s="18">
        <f>MROUND(_xlfn.XLOOKUP(B209,'Base stats'!B:B,'Base stats'!AQ:AQ)*_xlfn.XLOOKUP(_xlfn.XLOOKUP(B209,'Base stats'!B:B,'Base stats'!E:E),Groups!A:A,Groups!H:H)/1000,IF((_xlfn.XLOOKUP(B209,'Base stats'!B:B,'Base stats'!AQ:AQ)*_xlfn.XLOOKUP(_xlfn.XLOOKUP(B209,'Base stats'!B:B,'Base stats'!E:E),Groups!A:A,Groups!H:H)/1000)&gt;1,0.05,0.01))</f>
        <v>0.1</v>
      </c>
      <c r="AA209" s="18">
        <f>MROUND((1/2)*(_xlfn.XLOOKUP(_xlfn.XLOOKUP(B209,'Base stats'!B:B,'Base stats'!E:E),Groups!A:A,Groups!H:H)*_xlfn.XLOOKUP(_xlfn.XLOOKUP(B209,'Base stats'!B:B,'Base stats'!E:E),Groups!A:A,Groups!I:I))*_xlfn.XLOOKUP(B209,'Base stats'!B:B,'Base stats'!AQ:AQ)*0.01,0.05)</f>
        <v>0.45</v>
      </c>
      <c r="AB209" s="18">
        <f>MROUND(250*(Animals!AO209+Animals!AP209),25)</f>
        <v>1375</v>
      </c>
      <c r="AC209" s="18" t="str">
        <f>_xlfn.XLOOKUP(_xlfn.XLOOKUP(B209,'Base stats'!B:B,'Base stats'!E:E),Groups!A:A,Groups!BJ:BJ)</f>
        <v>Quadruped</v>
      </c>
    </row>
    <row r="210" spans="1:29" ht="16.5" thickTop="1" thickBot="1" x14ac:dyDescent="0.3">
      <c r="A210" s="16" t="str">
        <f>Animals!A210</f>
        <v>AcanthamoebaGiganteaSmall</v>
      </c>
      <c r="B210" s="6" t="str">
        <f>Animals!B210</f>
        <v>Acanthamoeba gigantea (small)</v>
      </c>
      <c r="C210" s="1" t="str">
        <f>Animals!C210</f>
        <v>&lt;li&gt;AA_AcanthamoebaGiganteaSmall&lt;/li&gt;</v>
      </c>
      <c r="D210" s="47">
        <f>MIN(MIN(6,_xlfn.XLOOKUP(A210,Animals!A:A,Animals!AO:AO))*20,MAX(MROUND(_xlfn.XLOOKUP(B210,'Base stats'!B:B,'Base stats'!BS:BS) * (_xlfn.XLOOKUP(B210,'Base stats'!B:B,'Base stats'!AO:AO)*5%)^0.9 / 21,0.1),0.05))</f>
        <v>0.30000000000000004</v>
      </c>
      <c r="E210" s="11">
        <f>MROUND(_xlfn.XLOOKUP(B210,'Base stats'!B:B,'Base stats'!BG:BG) * 0.01 * 2 + 0.01, 0.05)</f>
        <v>0.25</v>
      </c>
      <c r="F210" s="7">
        <f>MROUND(_xlfn.XLOOKUP(B210,'Base stats'!B:B,'Base stats'!BD:BD)^0.25 / (_xlfn.XLOOKUP(B210,'Base stats'!B:B,'Base stats'!BK:BK) * 10) * 150 + 0.5 + _xlfn.XLOOKUP(B210,'Base stats'!B:B,'Base stats'!BW:BW), 0.05)</f>
        <v>1.9000000000000001</v>
      </c>
      <c r="G210" s="3" t="str">
        <f>IF(Animals!S210="No","No",
IF(_xlfn.XLOOKUP(B210,'Base stats'!B:B,'Base stats'!U:U)="No",
MAX(MROUND(_xlfn.XLOOKUP(B210,'Base stats'!B:B,'Base stats'!BT:BT) * _xlfn.XLOOKUP(B210,'Base stats'!B:B,'Base stats'!BP:BP)^0.9 / 21 * _xlfn.XLOOKUP(B210,'Base stats'!B:B,'Base stats'!BX:BX),0.1),0.05),
MAX(MROUND(((MIN(10,_xlfn.XLOOKUP(B210,'Base stats'!B:B,'Base stats'!U:U)))^0.4*_xlfn.XLOOKUP(B210,'Base stats'!B:B,'Base stats'!BH:BH)^0.73)^0.6 * _xlfn.XLOOKUP(B210,'Base stats'!B:B,'Base stats'!BX:BX),0.1),0.05)
))</f>
        <v>No</v>
      </c>
      <c r="H210" s="11" t="str">
        <f>IF(G210="No","No",
MROUND(_xlfn.XLOOKUP(B210,'Base stats'!B:B,'Base stats'!BH:BH) * 0.01 * 2 + 0.05, 0.05)
)</f>
        <v>No</v>
      </c>
      <c r="I210" s="11" t="str">
        <f>IF(G210="No","No",IF(_xlfn.XLOOKUP(B210,'Base stats'!B:B,'Base stats'!U:U)="No","No",
MROUND(_xlfn.XLOOKUP(B210,'Base stats'!B:B,'Base stats'!BT:BT)/10000+0.01,0.01)
))</f>
        <v>No</v>
      </c>
      <c r="J210" s="4" t="str">
        <f>IF(G210="No","No",
MROUND(_xlfn.XLOOKUP(B210,'Base stats'!B:B,'Base stats'!BE:BE)^0.25
/((_xlfn.XLOOKUP(B210,'Base stats'!B:B,'Base stats'!BL:BL))*10)*_xlfn.XLOOKUP(_xlfn.XLOOKUP(B210,'Base stats'!B:B,'Base stats'!E:E),Groups!A:A,Groups!Q:Q)*150 + 0.5 + _xlfn.XLOOKUP(B210,'Base stats'!B:B,'Base stats'!BW:BW),
0.05))</f>
        <v>No</v>
      </c>
      <c r="K210" s="3" t="str">
        <f>IF(Animals!X210="No","No",
IF(_xlfn.XLOOKUP(_xlfn.XLOOKUP(B210,'Base stats'!B:B,'Base stats'!E:E),Groups!A:A,Groups!BD:BD)=1,
MAX(MROUND(_xlfn.XLOOKUP(B210,'Base stats'!B:B,'Base stats'!BU:BU) * _xlfn.XLOOKUP(B210,'Base stats'!B:B,'Base stats'!BQ:BQ)^0.9 / 21 *_xlfn.XLOOKUP(B210,'Base stats'!B:B,'Base stats'!BX:BX),0.1),0.05),
MAX(MROUND(((MIN(10,_xlfn.XLOOKUP(B210,'Base stats'!B:B,'Base stats'!W:W)))^0.4*_xlfn.XLOOKUP(B210,'Base stats'!B:B,'Base stats'!BI:BI)^0.73)^0.6 *_xlfn.XLOOKUP(B210,'Base stats'!B:B,'Base stats'!BX:BX),0.1),0.05)
))</f>
        <v>No</v>
      </c>
      <c r="L210" s="11" t="str">
        <f>IF(K210="No","No",
MROUND(_xlfn.XLOOKUP(B210,'Base stats'!B:B,'Base stats'!BI:BI) * 0.01 *2 + 0.05, 0.05)
)</f>
        <v>No</v>
      </c>
      <c r="M210" s="5" t="str">
        <f>IF(K210="No","No",IF(_xlfn.XLOOKUP(_xlfn.XLOOKUP(B210,'Base stats'!B:B,'Base stats'!E:E),Groups!A:A,Groups!BD:BD)=1,"No",
MROUND(_xlfn.XLOOKUP(B210,'Base stats'!B:B,'Base stats'!BU:BU)/10000+0.01,0.01)
))</f>
        <v>No</v>
      </c>
      <c r="N210" s="4" t="str">
        <f>IF(K210="No","No",
MROUND(
  _xlfn.XLOOKUP(B210,'Base stats'!B:B,'Base stats'!BC:BC)^0.25
  / (_xlfn.XLOOKUP(B210,'Base stats'!B:B,'Base stats'!BM:BM) * 10)
  * _xlfn.XLOOKUP(
      _xlfn.XLOOKUP(B210,'Base stats'!B:B,'Base stats'!E:E),
      Groups!A:A,
      Groups!V:V
    ) * 150
  + MIN(12, _xlfn.XLOOKUP(B210,'Base stats'!B:B,'Base stats'!W:W))^(1/IF(_xlfn.XLOOKUP(_xlfn.XLOOKUP(B210,'Base stats'!B:B,'Base stats'!E:E),Groups!A:A,Groups!U:U)=1,100,10)) + 0.5 + _xlfn.XLOOKUP(B210,'Base stats'!B:B,'Base stats'!BW:BW),
0.05))</f>
        <v>No</v>
      </c>
      <c r="O210" s="3" t="str">
        <f>IF(Animals!AD210="No","No",
MAX(MROUND((MIN(10,_xlfn.XLOOKUP(B210,'Base stats'!B:B,'Base stats'!V:V)*IF(_xlfn.XLOOKUP(_xlfn.XLOOKUP(B210,'Base stats'!B:B,'Base stats'!E:E),Groups!A:A,Groups!O:O)=0,1,0.33))^0.4*_xlfn.XLOOKUP(B210,'Base stats'!B:B,'Base stats'!BJ:BJ)^0.73)^0.6 *_xlfn.XLOOKUP(B210,'Base stats'!B:B,'Base stats'!BX:BX),0.1),0.05)
)</f>
        <v>No</v>
      </c>
      <c r="P210" s="11" t="str">
        <f>IF(O210="No","No",
MROUND(_xlfn.XLOOKUP(B210,'Base stats'!B:B,'Base stats'!BJ:BJ) * 0.01 * 2 + 0.05, 0.05)
)</f>
        <v>No</v>
      </c>
      <c r="Q210" s="5" t="str">
        <f>IF(O210="No","No",
MROUND(_xlfn.XLOOKUP(B210,'Base stats'!B:B,'Base stats'!BV:BV)/10000+0.01,0.01)
)</f>
        <v>No</v>
      </c>
      <c r="R210" s="4" t="str">
        <f>IF(O210="No","No",
MROUND(_xlfn.XLOOKUP(B210,'Base stats'!B:B,'Base stats'!BB:BB)^0.25
/((_xlfn.XLOOKUP(B210,'Base stats'!B:B,'Base stats'!BN:BN))*10)*_xlfn.XLOOKUP(_xlfn.XLOOKUP(B210,'Base stats'!B:B,'Base stats'!E:E),Groups!A:A,Groups!Z:Z)*150 + 0.5 + _xlfn.XLOOKUP(B210,'Base stats'!B:B,'Base stats'!BW:BW),
0.05))</f>
        <v>No</v>
      </c>
      <c r="S210" s="3">
        <f>IF(Animals!AI210="No","No",
IF(_xlfn.XLOOKUP(B210,'Base stats'!B:B,'Base stats'!U:U)="No",
MAX(MROUND(_xlfn.XLOOKUP(B210,'Base stats'!B:B,'Base stats'!BT:BT) * _xlfn.XLOOKUP(B210,'Base stats'!B:B,'Base stats'!BP:BP)^0.9 / 21 * _xlfn.XLOOKUP(B210,'Base stats'!B:B,'Base stats'!BX:BX),0.1),0.05),
MAX(MROUND(((MIN(12,_xlfn.XLOOKUP(B210,'Base stats'!B:B,'Base stats'!U:U)))^0.4*_xlfn.XLOOKUP(B210,'Base stats'!B:B,'Base stats'!BH:BH)^0.73)^0.6 * _xlfn.XLOOKUP(B210,'Base stats'!B:B,'Base stats'!BX:BX),0.1),0.05)
))</f>
        <v>0.70000000000000007</v>
      </c>
      <c r="T210" s="11">
        <f>IF(S210="No","No",
MROUND(_xlfn.XLOOKUP(B210,'Base stats'!B:B,'Base stats'!BH:BH) * 0.01 * 2 + 0.05, 0.05)
)</f>
        <v>0.35000000000000003</v>
      </c>
      <c r="U210" s="5" t="str">
        <f>IF(S210="No","No",IF(_xlfn.XLOOKUP(B210,'Base stats'!B:B,'Base stats'!U:U)="No","No",
MROUND(_xlfn.XLOOKUP(B210,'Base stats'!B:B,'Base stats'!BT:BT)/10000+0.01,0.01)
))</f>
        <v>No</v>
      </c>
      <c r="V210" s="4">
        <f>IF(S210="No","No",
MROUND(_xlfn.XLOOKUP(B210,'Base stats'!B:B,'Base stats'!BF:BF)^0.25
/((_xlfn.XLOOKUP(B210,'Base stats'!B:B,'Base stats'!BO:BO))*10)*_xlfn.XLOOKUP(_xlfn.XLOOKUP(B210,'Base stats'!B:B,'Base stats'!E:E),Groups!A:A,Groups!AE:AE)*150 + 0.5 + _xlfn.XLOOKUP(B210,'Base stats'!B:B,'Base stats'!BW:BW),
0.05))</f>
        <v>1.85</v>
      </c>
      <c r="W210" s="8">
        <f>MROUND(_xlfn.XLOOKUP(_xlfn.XLOOKUP(B210,'Base stats'!B:B,'Base stats'!E:E),Groups!A:A,Groups!BG:BG)*_xlfn.XLOOKUP(B210,'Base stats'!B:B,'Base stats'!C:C)^-0.165,0.05)</f>
        <v>0</v>
      </c>
      <c r="X210" s="1">
        <f>MROUND(_xlfn.XLOOKUP(_xlfn.XLOOKUP(B210,'Base stats'!B:B,'Base stats'!E:E),Groups!A:A,Groups!BH:BH)*_xlfn.XLOOKUP(B210,'Base stats'!B:B,'Base stats'!C:C)^0.165,0.05)</f>
        <v>0</v>
      </c>
      <c r="Y210" s="8">
        <f>MROUND(_xlfn.XLOOKUP(_xlfn.XLOOKUP(B210,'Base stats'!B:B,'Base stats'!E:E),Groups!A:A,Groups!BI:BI)*_xlfn.XLOOKUP(B210,'Base stats'!B:B,'Base stats'!C:C)^0.165,0.05)</f>
        <v>0</v>
      </c>
      <c r="Z210" s="18">
        <f>MROUND(_xlfn.XLOOKUP(B210,'Base stats'!B:B,'Base stats'!AQ:AQ)*_xlfn.XLOOKUP(_xlfn.XLOOKUP(B210,'Base stats'!B:B,'Base stats'!E:E),Groups!A:A,Groups!H:H)/1000,IF((_xlfn.XLOOKUP(B210,'Base stats'!B:B,'Base stats'!AQ:AQ)*_xlfn.XLOOKUP(_xlfn.XLOOKUP(B210,'Base stats'!B:B,'Base stats'!E:E),Groups!A:A,Groups!H:H)/1000)&gt;1,0.05,0.01))</f>
        <v>0</v>
      </c>
      <c r="AA210" s="18">
        <f>MROUND((1/2)*(_xlfn.XLOOKUP(_xlfn.XLOOKUP(B210,'Base stats'!B:B,'Base stats'!E:E),Groups!A:A,Groups!H:H)*_xlfn.XLOOKUP(_xlfn.XLOOKUP(B210,'Base stats'!B:B,'Base stats'!E:E),Groups!A:A,Groups!I:I))*_xlfn.XLOOKUP(B210,'Base stats'!B:B,'Base stats'!AQ:AQ)*0.01,0.05)</f>
        <v>0</v>
      </c>
      <c r="AB210" s="18">
        <f>MROUND(250*(Animals!AO210+Animals!AP210),25)</f>
        <v>250</v>
      </c>
      <c r="AC210" s="18" t="str">
        <f>_xlfn.XLOOKUP(_xlfn.XLOOKUP(B210,'Base stats'!B:B,'Base stats'!E:E),Groups!A:A,Groups!BJ:BJ)</f>
        <v>QuadrupedLow</v>
      </c>
    </row>
    <row r="211" spans="1:29" ht="16.5" thickTop="1" thickBot="1" x14ac:dyDescent="0.3">
      <c r="A211" s="16" t="str">
        <f>Animals!A211</f>
        <v>AcanthamoebaGiganteaLarge</v>
      </c>
      <c r="B211" s="6" t="str">
        <f>Animals!B211</f>
        <v>Acanthamoeba gigantea (large)</v>
      </c>
      <c r="C211" s="1" t="str">
        <f>Animals!C211</f>
        <v>&lt;li&gt;AA_AcanthamoebaGiganteaLarge&lt;/li&gt;</v>
      </c>
      <c r="D211" s="47">
        <f>MIN(MIN(6,_xlfn.XLOOKUP(A211,Animals!A:A,Animals!AO:AO))*20,MAX(MROUND(_xlfn.XLOOKUP(B211,'Base stats'!B:B,'Base stats'!BS:BS) * (_xlfn.XLOOKUP(B211,'Base stats'!B:B,'Base stats'!AO:AO)*5%)^0.9 / 21,0.1),0.05))</f>
        <v>0.9</v>
      </c>
      <c r="E211" s="11">
        <f>MROUND(_xlfn.XLOOKUP(B211,'Base stats'!B:B,'Base stats'!BG:BG) * 0.01 * 2 + 0.01, 0.05)</f>
        <v>0.70000000000000007</v>
      </c>
      <c r="F211" s="7">
        <f>MROUND(_xlfn.XLOOKUP(B211,'Base stats'!B:B,'Base stats'!BD:BD)^0.25 / (_xlfn.XLOOKUP(B211,'Base stats'!B:B,'Base stats'!BK:BK) * 10) * 150 + 0.5 + _xlfn.XLOOKUP(B211,'Base stats'!B:B,'Base stats'!BW:BW), 0.05)</f>
        <v>2.0500000000000003</v>
      </c>
      <c r="G211" s="3" t="str">
        <f>IF(Animals!S211="No","No",
IF(_xlfn.XLOOKUP(B211,'Base stats'!B:B,'Base stats'!U:U)="No",
MAX(MROUND(_xlfn.XLOOKUP(B211,'Base stats'!B:B,'Base stats'!BT:BT) * _xlfn.XLOOKUP(B211,'Base stats'!B:B,'Base stats'!BP:BP)^0.9 / 21 * _xlfn.XLOOKUP(B211,'Base stats'!B:B,'Base stats'!BX:BX),0.1),0.05),
MAX(MROUND(((MIN(10,_xlfn.XLOOKUP(B211,'Base stats'!B:B,'Base stats'!U:U)))^0.4*_xlfn.XLOOKUP(B211,'Base stats'!B:B,'Base stats'!BH:BH)^0.73)^0.6 * _xlfn.XLOOKUP(B211,'Base stats'!B:B,'Base stats'!BX:BX),0.1),0.05)
))</f>
        <v>No</v>
      </c>
      <c r="H211" s="11" t="str">
        <f>IF(G211="No","No",
MROUND(_xlfn.XLOOKUP(B211,'Base stats'!B:B,'Base stats'!BH:BH) * 0.01 * 2 + 0.05, 0.05)
)</f>
        <v>No</v>
      </c>
      <c r="I211" s="11" t="str">
        <f>IF(G211="No","No",IF(_xlfn.XLOOKUP(B211,'Base stats'!B:B,'Base stats'!U:U)="No","No",
MROUND(_xlfn.XLOOKUP(B211,'Base stats'!B:B,'Base stats'!BT:BT)/10000+0.01,0.01)
))</f>
        <v>No</v>
      </c>
      <c r="J211" s="4" t="str">
        <f>IF(G211="No","No",
MROUND(_xlfn.XLOOKUP(B211,'Base stats'!B:B,'Base stats'!BE:BE)^0.25
/((_xlfn.XLOOKUP(B211,'Base stats'!B:B,'Base stats'!BL:BL))*10)*_xlfn.XLOOKUP(_xlfn.XLOOKUP(B211,'Base stats'!B:B,'Base stats'!E:E),Groups!A:A,Groups!Q:Q)*150 + 0.5 + _xlfn.XLOOKUP(B211,'Base stats'!B:B,'Base stats'!BW:BW),
0.05))</f>
        <v>No</v>
      </c>
      <c r="K211" s="3" t="str">
        <f>IF(Animals!X211="No","No",
IF(_xlfn.XLOOKUP(_xlfn.XLOOKUP(B211,'Base stats'!B:B,'Base stats'!E:E),Groups!A:A,Groups!BD:BD)=1,
MAX(MROUND(_xlfn.XLOOKUP(B211,'Base stats'!B:B,'Base stats'!BU:BU) * _xlfn.XLOOKUP(B211,'Base stats'!B:B,'Base stats'!BQ:BQ)^0.9 / 21 *_xlfn.XLOOKUP(B211,'Base stats'!B:B,'Base stats'!BX:BX),0.1),0.05),
MAX(MROUND(((MIN(10,_xlfn.XLOOKUP(B211,'Base stats'!B:B,'Base stats'!W:W)))^0.4*_xlfn.XLOOKUP(B211,'Base stats'!B:B,'Base stats'!BI:BI)^0.73)^0.6 *_xlfn.XLOOKUP(B211,'Base stats'!B:B,'Base stats'!BX:BX),0.1),0.05)
))</f>
        <v>No</v>
      </c>
      <c r="L211" s="11" t="str">
        <f>IF(K211="No","No",
MROUND(_xlfn.XLOOKUP(B211,'Base stats'!B:B,'Base stats'!BI:BI) * 0.01 *2 + 0.05, 0.05)
)</f>
        <v>No</v>
      </c>
      <c r="M211" s="5" t="str">
        <f>IF(K211="No","No",IF(_xlfn.XLOOKUP(_xlfn.XLOOKUP(B211,'Base stats'!B:B,'Base stats'!E:E),Groups!A:A,Groups!BD:BD)=1,"No",
MROUND(_xlfn.XLOOKUP(B211,'Base stats'!B:B,'Base stats'!BU:BU)/10000+0.01,0.01)
))</f>
        <v>No</v>
      </c>
      <c r="N211" s="4" t="str">
        <f>IF(K211="No","No",
MROUND(
  _xlfn.XLOOKUP(B211,'Base stats'!B:B,'Base stats'!BC:BC)^0.25
  / (_xlfn.XLOOKUP(B211,'Base stats'!B:B,'Base stats'!BM:BM) * 10)
  * _xlfn.XLOOKUP(
      _xlfn.XLOOKUP(B211,'Base stats'!B:B,'Base stats'!E:E),
      Groups!A:A,
      Groups!V:V
    ) * 150
  + MIN(12, _xlfn.XLOOKUP(B211,'Base stats'!B:B,'Base stats'!W:W))^(1/IF(_xlfn.XLOOKUP(_xlfn.XLOOKUP(B211,'Base stats'!B:B,'Base stats'!E:E),Groups!A:A,Groups!U:U)=1,100,10)) + 0.5 + _xlfn.XLOOKUP(B211,'Base stats'!B:B,'Base stats'!BW:BW),
0.05))</f>
        <v>No</v>
      </c>
      <c r="O211" s="3" t="str">
        <f>IF(Animals!AD211="No","No",
MAX(MROUND((MIN(10,_xlfn.XLOOKUP(B211,'Base stats'!B:B,'Base stats'!V:V)*IF(_xlfn.XLOOKUP(_xlfn.XLOOKUP(B211,'Base stats'!B:B,'Base stats'!E:E),Groups!A:A,Groups!O:O)=0,1,0.33))^0.4*_xlfn.XLOOKUP(B211,'Base stats'!B:B,'Base stats'!BJ:BJ)^0.73)^0.6 *_xlfn.XLOOKUP(B211,'Base stats'!B:B,'Base stats'!BX:BX),0.1),0.05)
)</f>
        <v>No</v>
      </c>
      <c r="P211" s="11" t="str">
        <f>IF(O211="No","No",
MROUND(_xlfn.XLOOKUP(B211,'Base stats'!B:B,'Base stats'!BJ:BJ) * 0.01 * 2 + 0.05, 0.05)
)</f>
        <v>No</v>
      </c>
      <c r="Q211" s="5" t="str">
        <f>IF(O211="No","No",
MROUND(_xlfn.XLOOKUP(B211,'Base stats'!B:B,'Base stats'!BV:BV)/10000+0.01,0.01)
)</f>
        <v>No</v>
      </c>
      <c r="R211" s="4" t="str">
        <f>IF(O211="No","No",
MROUND(_xlfn.XLOOKUP(B211,'Base stats'!B:B,'Base stats'!BB:BB)^0.25
/((_xlfn.XLOOKUP(B211,'Base stats'!B:B,'Base stats'!BN:BN))*10)*_xlfn.XLOOKUP(_xlfn.XLOOKUP(B211,'Base stats'!B:B,'Base stats'!E:E),Groups!A:A,Groups!Z:Z)*150 + 0.5 + _xlfn.XLOOKUP(B211,'Base stats'!B:B,'Base stats'!BW:BW),
0.05))</f>
        <v>No</v>
      </c>
      <c r="S211" s="3">
        <f>IF(Animals!AI211="No","No",
IF(_xlfn.XLOOKUP(B211,'Base stats'!B:B,'Base stats'!U:U)="No",
MAX(MROUND(_xlfn.XLOOKUP(B211,'Base stats'!B:B,'Base stats'!BT:BT) * _xlfn.XLOOKUP(B211,'Base stats'!B:B,'Base stats'!BP:BP)^0.9 / 21 * _xlfn.XLOOKUP(B211,'Base stats'!B:B,'Base stats'!BX:BX),0.1),0.05),
MAX(MROUND(((MIN(12,_xlfn.XLOOKUP(B211,'Base stats'!B:B,'Base stats'!U:U)))^0.4*_xlfn.XLOOKUP(B211,'Base stats'!B:B,'Base stats'!BH:BH)^0.73)^0.6 * _xlfn.XLOOKUP(B211,'Base stats'!B:B,'Base stats'!BX:BX),0.1),0.05)
))</f>
        <v>1.7000000000000002</v>
      </c>
      <c r="T211" s="11">
        <f>IF(S211="No","No",
MROUND(_xlfn.XLOOKUP(B211,'Base stats'!B:B,'Base stats'!BH:BH) * 0.01 * 2 + 0.05, 0.05)
)</f>
        <v>0.85000000000000009</v>
      </c>
      <c r="U211" s="5" t="str">
        <f>IF(S211="No","No",IF(_xlfn.XLOOKUP(B211,'Base stats'!B:B,'Base stats'!U:U)="No","No",
MROUND(_xlfn.XLOOKUP(B211,'Base stats'!B:B,'Base stats'!BT:BT)/10000+0.01,0.01)
))</f>
        <v>No</v>
      </c>
      <c r="V211" s="4">
        <f>IF(S211="No","No",
MROUND(_xlfn.XLOOKUP(B211,'Base stats'!B:B,'Base stats'!BF:BF)^0.25
/((_xlfn.XLOOKUP(B211,'Base stats'!B:B,'Base stats'!BO:BO))*10)*_xlfn.XLOOKUP(_xlfn.XLOOKUP(B211,'Base stats'!B:B,'Base stats'!E:E),Groups!A:A,Groups!AE:AE)*150 + 0.5 + _xlfn.XLOOKUP(B211,'Base stats'!B:B,'Base stats'!BW:BW),
0.05))</f>
        <v>1.9500000000000002</v>
      </c>
      <c r="W211" s="8">
        <f>MROUND(_xlfn.XLOOKUP(_xlfn.XLOOKUP(B211,'Base stats'!B:B,'Base stats'!E:E),Groups!A:A,Groups!BG:BG)*_xlfn.XLOOKUP(B211,'Base stats'!B:B,'Base stats'!C:C)^-0.165,0.05)</f>
        <v>0</v>
      </c>
      <c r="X211" s="1">
        <f>MROUND(_xlfn.XLOOKUP(_xlfn.XLOOKUP(B211,'Base stats'!B:B,'Base stats'!E:E),Groups!A:A,Groups!BH:BH)*_xlfn.XLOOKUP(B211,'Base stats'!B:B,'Base stats'!C:C)^0.165,0.05)</f>
        <v>0</v>
      </c>
      <c r="Y211" s="8">
        <f>MROUND(_xlfn.XLOOKUP(_xlfn.XLOOKUP(B211,'Base stats'!B:B,'Base stats'!E:E),Groups!A:A,Groups!BI:BI)*_xlfn.XLOOKUP(B211,'Base stats'!B:B,'Base stats'!C:C)^0.165,0.05)</f>
        <v>0</v>
      </c>
      <c r="Z211" s="18">
        <f>MROUND(_xlfn.XLOOKUP(B211,'Base stats'!B:B,'Base stats'!AQ:AQ)*_xlfn.XLOOKUP(_xlfn.XLOOKUP(B211,'Base stats'!B:B,'Base stats'!E:E),Groups!A:A,Groups!H:H)/1000,IF((_xlfn.XLOOKUP(B211,'Base stats'!B:B,'Base stats'!AQ:AQ)*_xlfn.XLOOKUP(_xlfn.XLOOKUP(B211,'Base stats'!B:B,'Base stats'!E:E),Groups!A:A,Groups!H:H)/1000)&gt;1,0.05,0.01))</f>
        <v>0</v>
      </c>
      <c r="AA211" s="18">
        <f>MROUND((1/2)*(_xlfn.XLOOKUP(_xlfn.XLOOKUP(B211,'Base stats'!B:B,'Base stats'!E:E),Groups!A:A,Groups!H:H)*_xlfn.XLOOKUP(_xlfn.XLOOKUP(B211,'Base stats'!B:B,'Base stats'!E:E),Groups!A:A,Groups!I:I))*_xlfn.XLOOKUP(B211,'Base stats'!B:B,'Base stats'!AQ:AQ)*0.01,0.05)</f>
        <v>0</v>
      </c>
      <c r="AB211" s="18">
        <f>MROUND(250*(Animals!AO211+Animals!AP211),25)</f>
        <v>425</v>
      </c>
      <c r="AC211" s="18" t="str">
        <f>_xlfn.XLOOKUP(_xlfn.XLOOKUP(B211,'Base stats'!B:B,'Base stats'!E:E),Groups!A:A,Groups!BJ:BJ)</f>
        <v>QuadrupedLow</v>
      </c>
    </row>
    <row r="212" spans="1:29" ht="16.5" thickTop="1" thickBot="1" x14ac:dyDescent="0.3">
      <c r="A212" s="16" t="str">
        <f>Animals!A212</f>
        <v>AcanthamoebaGiganteaHuge</v>
      </c>
      <c r="B212" s="6" t="str">
        <f>Animals!B212</f>
        <v>Acanthamoeba gigantea (huge)</v>
      </c>
      <c r="C212" s="1" t="str">
        <f>Animals!C212</f>
        <v>&lt;li&gt;AA_AcanthamoebaGiganteaHuge&lt;/li&gt;</v>
      </c>
      <c r="D212" s="47">
        <f>MIN(MIN(6,_xlfn.XLOOKUP(A212,Animals!A:A,Animals!AO:AO))*20,MAX(MROUND(_xlfn.XLOOKUP(B212,'Base stats'!B:B,'Base stats'!BS:BS) * (_xlfn.XLOOKUP(B212,'Base stats'!B:B,'Base stats'!AO:AO)*5%)^0.9 / 21,0.1),0.05))</f>
        <v>4.4000000000000004</v>
      </c>
      <c r="E212" s="11">
        <f>MROUND(_xlfn.XLOOKUP(B212,'Base stats'!B:B,'Base stats'!BG:BG) * 0.01 * 2 + 0.01, 0.05)</f>
        <v>4.05</v>
      </c>
      <c r="F212" s="7">
        <f>MROUND(_xlfn.XLOOKUP(B212,'Base stats'!B:B,'Base stats'!BD:BD)^0.25 / (_xlfn.XLOOKUP(B212,'Base stats'!B:B,'Base stats'!BK:BK) * 10) * 150 + 0.5 + _xlfn.XLOOKUP(B212,'Base stats'!B:B,'Base stats'!BW:BW), 0.05)</f>
        <v>2.35</v>
      </c>
      <c r="G212" s="3" t="str">
        <f>IF(Animals!S212="No","No",
IF(_xlfn.XLOOKUP(B212,'Base stats'!B:B,'Base stats'!U:U)="No",
MAX(MROUND(_xlfn.XLOOKUP(B212,'Base stats'!B:B,'Base stats'!BT:BT) * _xlfn.XLOOKUP(B212,'Base stats'!B:B,'Base stats'!BP:BP)^0.9 / 21 * _xlfn.XLOOKUP(B212,'Base stats'!B:B,'Base stats'!BX:BX),0.1),0.05),
MAX(MROUND(((MIN(10,_xlfn.XLOOKUP(B212,'Base stats'!B:B,'Base stats'!U:U)))^0.4*_xlfn.XLOOKUP(B212,'Base stats'!B:B,'Base stats'!BH:BH)^0.73)^0.6 * _xlfn.XLOOKUP(B212,'Base stats'!B:B,'Base stats'!BX:BX),0.1),0.05)
))</f>
        <v>No</v>
      </c>
      <c r="H212" s="11" t="str">
        <f>IF(G212="No","No",
MROUND(_xlfn.XLOOKUP(B212,'Base stats'!B:B,'Base stats'!BH:BH) * 0.01 * 2 + 0.05, 0.05)
)</f>
        <v>No</v>
      </c>
      <c r="I212" s="11" t="str">
        <f>IF(G212="No","No",IF(_xlfn.XLOOKUP(B212,'Base stats'!B:B,'Base stats'!U:U)="No","No",
MROUND(_xlfn.XLOOKUP(B212,'Base stats'!B:B,'Base stats'!BT:BT)/10000+0.01,0.01)
))</f>
        <v>No</v>
      </c>
      <c r="J212" s="4" t="str">
        <f>IF(G212="No","No",
MROUND(_xlfn.XLOOKUP(B212,'Base stats'!B:B,'Base stats'!BE:BE)^0.25
/((_xlfn.XLOOKUP(B212,'Base stats'!B:B,'Base stats'!BL:BL))*10)*_xlfn.XLOOKUP(_xlfn.XLOOKUP(B212,'Base stats'!B:B,'Base stats'!E:E),Groups!A:A,Groups!Q:Q)*150 + 0.5 + _xlfn.XLOOKUP(B212,'Base stats'!B:B,'Base stats'!BW:BW),
0.05))</f>
        <v>No</v>
      </c>
      <c r="K212" s="3" t="str">
        <f>IF(Animals!X212="No","No",
IF(_xlfn.XLOOKUP(_xlfn.XLOOKUP(B212,'Base stats'!B:B,'Base stats'!E:E),Groups!A:A,Groups!BD:BD)=1,
MAX(MROUND(_xlfn.XLOOKUP(B212,'Base stats'!B:B,'Base stats'!BU:BU) * _xlfn.XLOOKUP(B212,'Base stats'!B:B,'Base stats'!BQ:BQ)^0.9 / 21 *_xlfn.XLOOKUP(B212,'Base stats'!B:B,'Base stats'!BX:BX),0.1),0.05),
MAX(MROUND(((MIN(10,_xlfn.XLOOKUP(B212,'Base stats'!B:B,'Base stats'!W:W)))^0.4*_xlfn.XLOOKUP(B212,'Base stats'!B:B,'Base stats'!BI:BI)^0.73)^0.6 *_xlfn.XLOOKUP(B212,'Base stats'!B:B,'Base stats'!BX:BX),0.1),0.05)
))</f>
        <v>No</v>
      </c>
      <c r="L212" s="11" t="str">
        <f>IF(K212="No","No",
MROUND(_xlfn.XLOOKUP(B212,'Base stats'!B:B,'Base stats'!BI:BI) * 0.01 *2 + 0.05, 0.05)
)</f>
        <v>No</v>
      </c>
      <c r="M212" s="5" t="str">
        <f>IF(K212="No","No",IF(_xlfn.XLOOKUP(_xlfn.XLOOKUP(B212,'Base stats'!B:B,'Base stats'!E:E),Groups!A:A,Groups!BD:BD)=1,"No",
MROUND(_xlfn.XLOOKUP(B212,'Base stats'!B:B,'Base stats'!BU:BU)/10000+0.01,0.01)
))</f>
        <v>No</v>
      </c>
      <c r="N212" s="4" t="str">
        <f>IF(K212="No","No",
MROUND(
  _xlfn.XLOOKUP(B212,'Base stats'!B:B,'Base stats'!BC:BC)^0.25
  / (_xlfn.XLOOKUP(B212,'Base stats'!B:B,'Base stats'!BM:BM) * 10)
  * _xlfn.XLOOKUP(
      _xlfn.XLOOKUP(B212,'Base stats'!B:B,'Base stats'!E:E),
      Groups!A:A,
      Groups!V:V
    ) * 150
  + MIN(12, _xlfn.XLOOKUP(B212,'Base stats'!B:B,'Base stats'!W:W))^(1/IF(_xlfn.XLOOKUP(_xlfn.XLOOKUP(B212,'Base stats'!B:B,'Base stats'!E:E),Groups!A:A,Groups!U:U)=1,100,10)) + 0.5 + _xlfn.XLOOKUP(B212,'Base stats'!B:B,'Base stats'!BW:BW),
0.05))</f>
        <v>No</v>
      </c>
      <c r="O212" s="3" t="str">
        <f>IF(Animals!AD212="No","No",
MAX(MROUND((MIN(10,_xlfn.XLOOKUP(B212,'Base stats'!B:B,'Base stats'!V:V)*IF(_xlfn.XLOOKUP(_xlfn.XLOOKUP(B212,'Base stats'!B:B,'Base stats'!E:E),Groups!A:A,Groups!O:O)=0,1,0.33))^0.4*_xlfn.XLOOKUP(B212,'Base stats'!B:B,'Base stats'!BJ:BJ)^0.73)^0.6 *_xlfn.XLOOKUP(B212,'Base stats'!B:B,'Base stats'!BX:BX),0.1),0.05)
)</f>
        <v>No</v>
      </c>
      <c r="P212" s="11" t="str">
        <f>IF(O212="No","No",
MROUND(_xlfn.XLOOKUP(B212,'Base stats'!B:B,'Base stats'!BJ:BJ) * 0.01 * 2 + 0.05, 0.05)
)</f>
        <v>No</v>
      </c>
      <c r="Q212" s="5" t="str">
        <f>IF(O212="No","No",
MROUND(_xlfn.XLOOKUP(B212,'Base stats'!B:B,'Base stats'!BV:BV)/10000+0.01,0.01)
)</f>
        <v>No</v>
      </c>
      <c r="R212" s="4" t="str">
        <f>IF(O212="No","No",
MROUND(_xlfn.XLOOKUP(B212,'Base stats'!B:B,'Base stats'!BB:BB)^0.25
/((_xlfn.XLOOKUP(B212,'Base stats'!B:B,'Base stats'!BN:BN))*10)*_xlfn.XLOOKUP(_xlfn.XLOOKUP(B212,'Base stats'!B:B,'Base stats'!E:E),Groups!A:A,Groups!Z:Z)*150 + 0.5 + _xlfn.XLOOKUP(B212,'Base stats'!B:B,'Base stats'!BW:BW),
0.05))</f>
        <v>No</v>
      </c>
      <c r="S212" s="3">
        <f>IF(Animals!AI212="No","No",
IF(_xlfn.XLOOKUP(B212,'Base stats'!B:B,'Base stats'!U:U)="No",
MAX(MROUND(_xlfn.XLOOKUP(B212,'Base stats'!B:B,'Base stats'!BT:BT) * _xlfn.XLOOKUP(B212,'Base stats'!B:B,'Base stats'!BP:BP)^0.9 / 21 * _xlfn.XLOOKUP(B212,'Base stats'!B:B,'Base stats'!BX:BX),0.1),0.05),
MAX(MROUND(((MIN(12,_xlfn.XLOOKUP(B212,'Base stats'!B:B,'Base stats'!U:U)))^0.4*_xlfn.XLOOKUP(B212,'Base stats'!B:B,'Base stats'!BH:BH)^0.73)^0.6 * _xlfn.XLOOKUP(B212,'Base stats'!B:B,'Base stats'!BX:BX),0.1),0.05)
))</f>
        <v>7.6000000000000005</v>
      </c>
      <c r="T212" s="11">
        <f>IF(S212="No","No",
MROUND(_xlfn.XLOOKUP(B212,'Base stats'!B:B,'Base stats'!BH:BH) * 0.01 * 2 + 0.05, 0.05)
)</f>
        <v>4.1500000000000004</v>
      </c>
      <c r="U212" s="5" t="str">
        <f>IF(S212="No","No",IF(_xlfn.XLOOKUP(B212,'Base stats'!B:B,'Base stats'!U:U)="No","No",
MROUND(_xlfn.XLOOKUP(B212,'Base stats'!B:B,'Base stats'!BT:BT)/10000+0.01,0.01)
))</f>
        <v>No</v>
      </c>
      <c r="V212" s="4">
        <f>IF(S212="No","No",
MROUND(_xlfn.XLOOKUP(B212,'Base stats'!B:B,'Base stats'!BF:BF)^0.25
/((_xlfn.XLOOKUP(B212,'Base stats'!B:B,'Base stats'!BO:BO))*10)*_xlfn.XLOOKUP(_xlfn.XLOOKUP(B212,'Base stats'!B:B,'Base stats'!E:E),Groups!A:A,Groups!AE:AE)*150 + 0.5 + _xlfn.XLOOKUP(B212,'Base stats'!B:B,'Base stats'!BW:BW),
0.05))</f>
        <v>2.6</v>
      </c>
      <c r="W212" s="8">
        <f>MROUND(_xlfn.XLOOKUP(_xlfn.XLOOKUP(B212,'Base stats'!B:B,'Base stats'!E:E),Groups!A:A,Groups!BG:BG)*_xlfn.XLOOKUP(B212,'Base stats'!B:B,'Base stats'!C:C)^-0.165,0.05)</f>
        <v>0</v>
      </c>
      <c r="X212" s="1">
        <f>MROUND(_xlfn.XLOOKUP(_xlfn.XLOOKUP(B212,'Base stats'!B:B,'Base stats'!E:E),Groups!A:A,Groups!BH:BH)*_xlfn.XLOOKUP(B212,'Base stats'!B:B,'Base stats'!C:C)^0.165,0.05)</f>
        <v>0</v>
      </c>
      <c r="Y212" s="8">
        <f>MROUND(_xlfn.XLOOKUP(_xlfn.XLOOKUP(B212,'Base stats'!B:B,'Base stats'!E:E),Groups!A:A,Groups!BI:BI)*_xlfn.XLOOKUP(B212,'Base stats'!B:B,'Base stats'!C:C)^0.165,0.05)</f>
        <v>0</v>
      </c>
      <c r="Z212" s="18">
        <f>MROUND(_xlfn.XLOOKUP(B212,'Base stats'!B:B,'Base stats'!AQ:AQ)*_xlfn.XLOOKUP(_xlfn.XLOOKUP(B212,'Base stats'!B:B,'Base stats'!E:E),Groups!A:A,Groups!H:H)/1000,IF((_xlfn.XLOOKUP(B212,'Base stats'!B:B,'Base stats'!AQ:AQ)*_xlfn.XLOOKUP(_xlfn.XLOOKUP(B212,'Base stats'!B:B,'Base stats'!E:E),Groups!A:A,Groups!H:H)/1000)&gt;1,0.05,0.01))</f>
        <v>0.01</v>
      </c>
      <c r="AA212" s="18">
        <f>MROUND((1/2)*(_xlfn.XLOOKUP(_xlfn.XLOOKUP(B212,'Base stats'!B:B,'Base stats'!E:E),Groups!A:A,Groups!H:H)*_xlfn.XLOOKUP(_xlfn.XLOOKUP(B212,'Base stats'!B:B,'Base stats'!E:E),Groups!A:A,Groups!I:I))*_xlfn.XLOOKUP(B212,'Base stats'!B:B,'Base stats'!AQ:AQ)*0.01,0.05)</f>
        <v>0.05</v>
      </c>
      <c r="AB212" s="18">
        <f>MROUND(250*(Animals!AO212+Animals!AP212),25)</f>
        <v>1250</v>
      </c>
      <c r="AC212" s="18" t="str">
        <f>_xlfn.XLOOKUP(_xlfn.XLOOKUP(B212,'Base stats'!B:B,'Base stats'!E:E),Groups!A:A,Groups!BJ:BJ)</f>
        <v>QuadrupedLow</v>
      </c>
    </row>
    <row r="213" spans="1:29" ht="16.5" thickTop="1" thickBot="1" x14ac:dyDescent="0.3">
      <c r="A213" s="16" t="str">
        <f>Animals!A213</f>
        <v>Aerofleet</v>
      </c>
      <c r="B213" s="6" t="str">
        <f>Animals!B213</f>
        <v>Pterodyna aeria</v>
      </c>
      <c r="C213" s="1" t="str">
        <f>Animals!C213</f>
        <v>&lt;li&gt;AA_Aerofleet&lt;/li&gt;</v>
      </c>
      <c r="D213" s="47">
        <f>MIN(MIN(6,_xlfn.XLOOKUP(A213,Animals!A:A,Animals!AO:AO))*20,MAX(MROUND(_xlfn.XLOOKUP(B213,'Base stats'!B:B,'Base stats'!BS:BS) * (_xlfn.XLOOKUP(B213,'Base stats'!B:B,'Base stats'!AO:AO)*5%)^0.9 / 21,0.1),0.05))</f>
        <v>0.1</v>
      </c>
      <c r="E213" s="11">
        <f>MROUND(_xlfn.XLOOKUP(B213,'Base stats'!B:B,'Base stats'!BG:BG) * 0.01 * 2 + 0.01, 0.05)</f>
        <v>0.1</v>
      </c>
      <c r="F213" s="7">
        <f>MROUND(_xlfn.XLOOKUP(B213,'Base stats'!B:B,'Base stats'!BD:BD)^0.25 / (_xlfn.XLOOKUP(B213,'Base stats'!B:B,'Base stats'!BK:BK) * 10) * 150 + 0.5 + _xlfn.XLOOKUP(B213,'Base stats'!B:B,'Base stats'!BW:BW), 0.05)</f>
        <v>1.6500000000000001</v>
      </c>
      <c r="G213" s="3" t="str">
        <f>IF(Animals!S213="No","No",
IF(_xlfn.XLOOKUP(B213,'Base stats'!B:B,'Base stats'!U:U)="No",
MAX(MROUND(_xlfn.XLOOKUP(B213,'Base stats'!B:B,'Base stats'!BT:BT) * _xlfn.XLOOKUP(B213,'Base stats'!B:B,'Base stats'!BP:BP)^0.9 / 21 * _xlfn.XLOOKUP(B213,'Base stats'!B:B,'Base stats'!BX:BX),0.1),0.05),
MAX(MROUND(((MIN(10,_xlfn.XLOOKUP(B213,'Base stats'!B:B,'Base stats'!U:U)))^0.4*_xlfn.XLOOKUP(B213,'Base stats'!B:B,'Base stats'!BH:BH)^0.73)^0.6 * _xlfn.XLOOKUP(B213,'Base stats'!B:B,'Base stats'!BX:BX),0.1),0.05)
))</f>
        <v>No</v>
      </c>
      <c r="H213" s="11" t="str">
        <f>IF(G213="No","No",
MROUND(_xlfn.XLOOKUP(B213,'Base stats'!B:B,'Base stats'!BH:BH) * 0.01 * 2 + 0.05, 0.05)
)</f>
        <v>No</v>
      </c>
      <c r="I213" s="11" t="str">
        <f>IF(G213="No","No",IF(_xlfn.XLOOKUP(B213,'Base stats'!B:B,'Base stats'!U:U)="No","No",
MROUND(_xlfn.XLOOKUP(B213,'Base stats'!B:B,'Base stats'!BT:BT)/10000+0.01,0.01)
))</f>
        <v>No</v>
      </c>
      <c r="J213" s="4" t="str">
        <f>IF(G213="No","No",
MROUND(_xlfn.XLOOKUP(B213,'Base stats'!B:B,'Base stats'!BE:BE)^0.25
/((_xlfn.XLOOKUP(B213,'Base stats'!B:B,'Base stats'!BL:BL))*10)*_xlfn.XLOOKUP(_xlfn.XLOOKUP(B213,'Base stats'!B:B,'Base stats'!E:E),Groups!A:A,Groups!Q:Q)*150 + 0.5 + _xlfn.XLOOKUP(B213,'Base stats'!B:B,'Base stats'!BW:BW),
0.05))</f>
        <v>No</v>
      </c>
      <c r="K213" s="3" t="str">
        <f>IF(Animals!X213="No","No",
IF(_xlfn.XLOOKUP(_xlfn.XLOOKUP(B213,'Base stats'!B:B,'Base stats'!E:E),Groups!A:A,Groups!BD:BD)=1,
MAX(MROUND(_xlfn.XLOOKUP(B213,'Base stats'!B:B,'Base stats'!BU:BU) * _xlfn.XLOOKUP(B213,'Base stats'!B:B,'Base stats'!BQ:BQ)^0.9 / 21 *_xlfn.XLOOKUP(B213,'Base stats'!B:B,'Base stats'!BX:BX),0.1),0.05),
MAX(MROUND(((MIN(10,_xlfn.XLOOKUP(B213,'Base stats'!B:B,'Base stats'!W:W)))^0.4*_xlfn.XLOOKUP(B213,'Base stats'!B:B,'Base stats'!BI:BI)^0.73)^0.6 *_xlfn.XLOOKUP(B213,'Base stats'!B:B,'Base stats'!BX:BX),0.1),0.05)
))</f>
        <v>No</v>
      </c>
      <c r="L213" s="11" t="str">
        <f>IF(K213="No","No",
MROUND(_xlfn.XLOOKUP(B213,'Base stats'!B:B,'Base stats'!BI:BI) * 0.01 *2 + 0.05, 0.05)
)</f>
        <v>No</v>
      </c>
      <c r="M213" s="5" t="str">
        <f>IF(K213="No","No",IF(_xlfn.XLOOKUP(_xlfn.XLOOKUP(B213,'Base stats'!B:B,'Base stats'!E:E),Groups!A:A,Groups!BD:BD)=1,"No",
MROUND(_xlfn.XLOOKUP(B213,'Base stats'!B:B,'Base stats'!BU:BU)/10000+0.01,0.01)
))</f>
        <v>No</v>
      </c>
      <c r="N213" s="4" t="str">
        <f>IF(K213="No","No",
MROUND(
  _xlfn.XLOOKUP(B213,'Base stats'!B:B,'Base stats'!BC:BC)^0.25
  / (_xlfn.XLOOKUP(B213,'Base stats'!B:B,'Base stats'!BM:BM) * 10)
  * _xlfn.XLOOKUP(
      _xlfn.XLOOKUP(B213,'Base stats'!B:B,'Base stats'!E:E),
      Groups!A:A,
      Groups!V:V
    ) * 150
  + MIN(12, _xlfn.XLOOKUP(B213,'Base stats'!B:B,'Base stats'!W:W))^(1/IF(_xlfn.XLOOKUP(_xlfn.XLOOKUP(B213,'Base stats'!B:B,'Base stats'!E:E),Groups!A:A,Groups!U:U)=1,100,10)) + 0.5 + _xlfn.XLOOKUP(B213,'Base stats'!B:B,'Base stats'!BW:BW),
0.05))</f>
        <v>No</v>
      </c>
      <c r="O213" s="3" t="str">
        <f>IF(Animals!AD213="No","No",
MAX(MROUND((MIN(10,_xlfn.XLOOKUP(B213,'Base stats'!B:B,'Base stats'!V:V)*IF(_xlfn.XLOOKUP(_xlfn.XLOOKUP(B213,'Base stats'!B:B,'Base stats'!E:E),Groups!A:A,Groups!O:O)=0,1,0.33))^0.4*_xlfn.XLOOKUP(B213,'Base stats'!B:B,'Base stats'!BJ:BJ)^0.73)^0.6 *_xlfn.XLOOKUP(B213,'Base stats'!B:B,'Base stats'!BX:BX),0.1),0.05)
)</f>
        <v>No</v>
      </c>
      <c r="P213" s="11" t="str">
        <f>IF(O213="No","No",
MROUND(_xlfn.XLOOKUP(B213,'Base stats'!B:B,'Base stats'!BJ:BJ) * 0.01 * 2 + 0.05, 0.05)
)</f>
        <v>No</v>
      </c>
      <c r="Q213" s="5" t="str">
        <f>IF(O213="No","No",
MROUND(_xlfn.XLOOKUP(B213,'Base stats'!B:B,'Base stats'!BV:BV)/10000+0.01,0.01)
)</f>
        <v>No</v>
      </c>
      <c r="R213" s="4" t="str">
        <f>IF(O213="No","No",
MROUND(_xlfn.XLOOKUP(B213,'Base stats'!B:B,'Base stats'!BB:BB)^0.25
/((_xlfn.XLOOKUP(B213,'Base stats'!B:B,'Base stats'!BN:BN))*10)*_xlfn.XLOOKUP(_xlfn.XLOOKUP(B213,'Base stats'!B:B,'Base stats'!E:E),Groups!A:A,Groups!Z:Z)*150 + 0.5 + _xlfn.XLOOKUP(B213,'Base stats'!B:B,'Base stats'!BW:BW),
0.05))</f>
        <v>No</v>
      </c>
      <c r="S213" s="3">
        <f>IF(Animals!AI213="No","No",
IF(_xlfn.XLOOKUP(B213,'Base stats'!B:B,'Base stats'!U:U)="No",
MAX(MROUND(_xlfn.XLOOKUP(B213,'Base stats'!B:B,'Base stats'!BT:BT) * _xlfn.XLOOKUP(B213,'Base stats'!B:B,'Base stats'!BP:BP)^0.9 / 21 * _xlfn.XLOOKUP(B213,'Base stats'!B:B,'Base stats'!BX:BX),0.1),0.05),
MAX(MROUND(((MIN(12,_xlfn.XLOOKUP(B213,'Base stats'!B:B,'Base stats'!U:U)))^0.4*_xlfn.XLOOKUP(B213,'Base stats'!B:B,'Base stats'!BH:BH)^0.73)^0.6 * _xlfn.XLOOKUP(B213,'Base stats'!B:B,'Base stats'!BX:BX),0.1),0.05)
))</f>
        <v>0.30000000000000004</v>
      </c>
      <c r="T213" s="11">
        <f>IF(S213="No","No",
MROUND(_xlfn.XLOOKUP(B213,'Base stats'!B:B,'Base stats'!BH:BH) * 0.01 * 2 + 0.05, 0.05)
)</f>
        <v>0.15000000000000002</v>
      </c>
      <c r="U213" s="5" t="str">
        <f>IF(S213="No","No",IF(_xlfn.XLOOKUP(B213,'Base stats'!B:B,'Base stats'!U:U)="No","No",
MROUND(_xlfn.XLOOKUP(B213,'Base stats'!B:B,'Base stats'!BT:BT)/10000+0.01,0.01)
))</f>
        <v>No</v>
      </c>
      <c r="V213" s="4">
        <f>IF(S213="No","No",
MROUND(_xlfn.XLOOKUP(B213,'Base stats'!B:B,'Base stats'!BF:BF)^0.25
/((_xlfn.XLOOKUP(B213,'Base stats'!B:B,'Base stats'!BO:BO))*10)*_xlfn.XLOOKUP(_xlfn.XLOOKUP(B213,'Base stats'!B:B,'Base stats'!E:E),Groups!A:A,Groups!AE:AE)*150 + 0.5 + _xlfn.XLOOKUP(B213,'Base stats'!B:B,'Base stats'!BW:BW),
0.05))</f>
        <v>1.6</v>
      </c>
      <c r="W213" s="8">
        <f>MROUND(_xlfn.XLOOKUP(_xlfn.XLOOKUP(B213,'Base stats'!B:B,'Base stats'!E:E),Groups!A:A,Groups!BG:BG)*_xlfn.XLOOKUP(B213,'Base stats'!B:B,'Base stats'!C:C)^-0.165,0.05)</f>
        <v>0.2</v>
      </c>
      <c r="X213" s="1">
        <f>MROUND(_xlfn.XLOOKUP(_xlfn.XLOOKUP(B213,'Base stats'!B:B,'Base stats'!E:E),Groups!A:A,Groups!BH:BH)*_xlfn.XLOOKUP(B213,'Base stats'!B:B,'Base stats'!C:C)^0.165,0.05)</f>
        <v>0.15000000000000002</v>
      </c>
      <c r="Y213" s="8">
        <f>MROUND(_xlfn.XLOOKUP(_xlfn.XLOOKUP(B213,'Base stats'!B:B,'Base stats'!E:E),Groups!A:A,Groups!BI:BI)*_xlfn.XLOOKUP(B213,'Base stats'!B:B,'Base stats'!C:C)^0.165,0.05)</f>
        <v>0.05</v>
      </c>
      <c r="Z213" s="18">
        <f>MROUND(_xlfn.XLOOKUP(B213,'Base stats'!B:B,'Base stats'!AQ:AQ)*_xlfn.XLOOKUP(_xlfn.XLOOKUP(B213,'Base stats'!B:B,'Base stats'!E:E),Groups!A:A,Groups!H:H)/1000,IF((_xlfn.XLOOKUP(B213,'Base stats'!B:B,'Base stats'!AQ:AQ)*_xlfn.XLOOKUP(_xlfn.XLOOKUP(B213,'Base stats'!B:B,'Base stats'!E:E),Groups!A:A,Groups!H:H)/1000)&gt;1,0.05,0.01))</f>
        <v>0.03</v>
      </c>
      <c r="AA213" s="18">
        <f>MROUND((1/2)*(_xlfn.XLOOKUP(_xlfn.XLOOKUP(B213,'Base stats'!B:B,'Base stats'!E:E),Groups!A:A,Groups!H:H)*_xlfn.XLOOKUP(_xlfn.XLOOKUP(B213,'Base stats'!B:B,'Base stats'!E:E),Groups!A:A,Groups!I:I))*_xlfn.XLOOKUP(B213,'Base stats'!B:B,'Base stats'!AQ:AQ)*0.01,0.05)</f>
        <v>0.1</v>
      </c>
      <c r="AB213" s="18">
        <f>MROUND(250*(Animals!AO213+Animals!AP213),25)</f>
        <v>150</v>
      </c>
      <c r="AC213" s="18" t="str">
        <f>_xlfn.XLOOKUP(_xlfn.XLOOKUP(B213,'Base stats'!B:B,'Base stats'!E:E),Groups!A:A,Groups!BJ:BJ)</f>
        <v>Birdlike</v>
      </c>
    </row>
    <row r="214" spans="1:29" ht="16.5" thickTop="1" thickBot="1" x14ac:dyDescent="0.3">
      <c r="A214" s="16" t="str">
        <f>Animals!A214</f>
        <v>ColossalAerofleet</v>
      </c>
      <c r="B214" s="6" t="str">
        <f>Animals!B214</f>
        <v>Pterodyna aeria (colossal)</v>
      </c>
      <c r="C214" s="1" t="str">
        <f>Animals!C214</f>
        <v>&lt;li&gt;AA_ColossalAerofleet&lt;/li&gt;</v>
      </c>
      <c r="D214" s="47">
        <f>MIN(MIN(6,_xlfn.XLOOKUP(A214,Animals!A:A,Animals!AO:AO))*20,MAX(MROUND(_xlfn.XLOOKUP(B214,'Base stats'!B:B,'Base stats'!BS:BS) * (_xlfn.XLOOKUP(B214,'Base stats'!B:B,'Base stats'!AO:AO)*5%)^0.9 / 21,0.1),0.05))</f>
        <v>2.1</v>
      </c>
      <c r="E214" s="11">
        <f>MROUND(_xlfn.XLOOKUP(B214,'Base stats'!B:B,'Base stats'!BG:BG) * 0.01 * 2 + 0.01, 0.05)</f>
        <v>1.9000000000000001</v>
      </c>
      <c r="F214" s="7">
        <f>MROUND(_xlfn.XLOOKUP(B214,'Base stats'!B:B,'Base stats'!BD:BD)^0.25 / (_xlfn.XLOOKUP(B214,'Base stats'!B:B,'Base stats'!BK:BK) * 10) * 150 + 0.5 + _xlfn.XLOOKUP(B214,'Base stats'!B:B,'Base stats'!BW:BW), 0.05)</f>
        <v>2.2000000000000002</v>
      </c>
      <c r="G214" s="3" t="str">
        <f>IF(Animals!S214="No","No",
IF(_xlfn.XLOOKUP(B214,'Base stats'!B:B,'Base stats'!U:U)="No",
MAX(MROUND(_xlfn.XLOOKUP(B214,'Base stats'!B:B,'Base stats'!BT:BT) * _xlfn.XLOOKUP(B214,'Base stats'!B:B,'Base stats'!BP:BP)^0.9 / 21 * _xlfn.XLOOKUP(B214,'Base stats'!B:B,'Base stats'!BX:BX),0.1),0.05),
MAX(MROUND(((MIN(10,_xlfn.XLOOKUP(B214,'Base stats'!B:B,'Base stats'!U:U)))^0.4*_xlfn.XLOOKUP(B214,'Base stats'!B:B,'Base stats'!BH:BH)^0.73)^0.6 * _xlfn.XLOOKUP(B214,'Base stats'!B:B,'Base stats'!BX:BX),0.1),0.05)
))</f>
        <v>No</v>
      </c>
      <c r="H214" s="11" t="str">
        <f>IF(G214="No","No",
MROUND(_xlfn.XLOOKUP(B214,'Base stats'!B:B,'Base stats'!BH:BH) * 0.01 * 2 + 0.05, 0.05)
)</f>
        <v>No</v>
      </c>
      <c r="I214" s="11" t="str">
        <f>IF(G214="No","No",IF(_xlfn.XLOOKUP(B214,'Base stats'!B:B,'Base stats'!U:U)="No","No",
MROUND(_xlfn.XLOOKUP(B214,'Base stats'!B:B,'Base stats'!BT:BT)/10000+0.01,0.01)
))</f>
        <v>No</v>
      </c>
      <c r="J214" s="4" t="str">
        <f>IF(G214="No","No",
MROUND(_xlfn.XLOOKUP(B214,'Base stats'!B:B,'Base stats'!BE:BE)^0.25
/((_xlfn.XLOOKUP(B214,'Base stats'!B:B,'Base stats'!BL:BL))*10)*_xlfn.XLOOKUP(_xlfn.XLOOKUP(B214,'Base stats'!B:B,'Base stats'!E:E),Groups!A:A,Groups!Q:Q)*150 + 0.5 + _xlfn.XLOOKUP(B214,'Base stats'!B:B,'Base stats'!BW:BW),
0.05))</f>
        <v>No</v>
      </c>
      <c r="K214" s="3" t="str">
        <f>IF(Animals!X214="No","No",
IF(_xlfn.XLOOKUP(_xlfn.XLOOKUP(B214,'Base stats'!B:B,'Base stats'!E:E),Groups!A:A,Groups!BD:BD)=1,
MAX(MROUND(_xlfn.XLOOKUP(B214,'Base stats'!B:B,'Base stats'!BU:BU) * _xlfn.XLOOKUP(B214,'Base stats'!B:B,'Base stats'!BQ:BQ)^0.9 / 21 *_xlfn.XLOOKUP(B214,'Base stats'!B:B,'Base stats'!BX:BX),0.1),0.05),
MAX(MROUND(((MIN(10,_xlfn.XLOOKUP(B214,'Base stats'!B:B,'Base stats'!W:W)))^0.4*_xlfn.XLOOKUP(B214,'Base stats'!B:B,'Base stats'!BI:BI)^0.73)^0.6 *_xlfn.XLOOKUP(B214,'Base stats'!B:B,'Base stats'!BX:BX),0.1),0.05)
))</f>
        <v>No</v>
      </c>
      <c r="L214" s="11" t="str">
        <f>IF(K214="No","No",
MROUND(_xlfn.XLOOKUP(B214,'Base stats'!B:B,'Base stats'!BI:BI) * 0.01 *2 + 0.05, 0.05)
)</f>
        <v>No</v>
      </c>
      <c r="M214" s="5" t="str">
        <f>IF(K214="No","No",IF(_xlfn.XLOOKUP(_xlfn.XLOOKUP(B214,'Base stats'!B:B,'Base stats'!E:E),Groups!A:A,Groups!BD:BD)=1,"No",
MROUND(_xlfn.XLOOKUP(B214,'Base stats'!B:B,'Base stats'!BU:BU)/10000+0.01,0.01)
))</f>
        <v>No</v>
      </c>
      <c r="N214" s="4" t="str">
        <f>IF(K214="No","No",
MROUND(
  _xlfn.XLOOKUP(B214,'Base stats'!B:B,'Base stats'!BC:BC)^0.25
  / (_xlfn.XLOOKUP(B214,'Base stats'!B:B,'Base stats'!BM:BM) * 10)
  * _xlfn.XLOOKUP(
      _xlfn.XLOOKUP(B214,'Base stats'!B:B,'Base stats'!E:E),
      Groups!A:A,
      Groups!V:V
    ) * 150
  + MIN(12, _xlfn.XLOOKUP(B214,'Base stats'!B:B,'Base stats'!W:W))^(1/IF(_xlfn.XLOOKUP(_xlfn.XLOOKUP(B214,'Base stats'!B:B,'Base stats'!E:E),Groups!A:A,Groups!U:U)=1,100,10)) + 0.5 + _xlfn.XLOOKUP(B214,'Base stats'!B:B,'Base stats'!BW:BW),
0.05))</f>
        <v>No</v>
      </c>
      <c r="O214" s="3" t="str">
        <f>IF(Animals!AD214="No","No",
MAX(MROUND((MIN(10,_xlfn.XLOOKUP(B214,'Base stats'!B:B,'Base stats'!V:V)*IF(_xlfn.XLOOKUP(_xlfn.XLOOKUP(B214,'Base stats'!B:B,'Base stats'!E:E),Groups!A:A,Groups!O:O)=0,1,0.33))^0.4*_xlfn.XLOOKUP(B214,'Base stats'!B:B,'Base stats'!BJ:BJ)^0.73)^0.6 *_xlfn.XLOOKUP(B214,'Base stats'!B:B,'Base stats'!BX:BX),0.1),0.05)
)</f>
        <v>No</v>
      </c>
      <c r="P214" s="11" t="str">
        <f>IF(O214="No","No",
MROUND(_xlfn.XLOOKUP(B214,'Base stats'!B:B,'Base stats'!BJ:BJ) * 0.01 * 2 + 0.05, 0.05)
)</f>
        <v>No</v>
      </c>
      <c r="Q214" s="5" t="str">
        <f>IF(O214="No","No",
MROUND(_xlfn.XLOOKUP(B214,'Base stats'!B:B,'Base stats'!BV:BV)/10000+0.01,0.01)
)</f>
        <v>No</v>
      </c>
      <c r="R214" s="4" t="str">
        <f>IF(O214="No","No",
MROUND(_xlfn.XLOOKUP(B214,'Base stats'!B:B,'Base stats'!BB:BB)^0.25
/((_xlfn.XLOOKUP(B214,'Base stats'!B:B,'Base stats'!BN:BN))*10)*_xlfn.XLOOKUP(_xlfn.XLOOKUP(B214,'Base stats'!B:B,'Base stats'!E:E),Groups!A:A,Groups!Z:Z)*150 + 0.5 + _xlfn.XLOOKUP(B214,'Base stats'!B:B,'Base stats'!BW:BW),
0.05))</f>
        <v>No</v>
      </c>
      <c r="S214" s="3">
        <f>IF(Animals!AI214="No","No",
IF(_xlfn.XLOOKUP(B214,'Base stats'!B:B,'Base stats'!U:U)="No",
MAX(MROUND(_xlfn.XLOOKUP(B214,'Base stats'!B:B,'Base stats'!BT:BT) * _xlfn.XLOOKUP(B214,'Base stats'!B:B,'Base stats'!BP:BP)^0.9 / 21 * _xlfn.XLOOKUP(B214,'Base stats'!B:B,'Base stats'!BX:BX),0.1),0.05),
MAX(MROUND(((MIN(12,_xlfn.XLOOKUP(B214,'Base stats'!B:B,'Base stats'!U:U)))^0.4*_xlfn.XLOOKUP(B214,'Base stats'!B:B,'Base stats'!BH:BH)^0.73)^0.6 * _xlfn.XLOOKUP(B214,'Base stats'!B:B,'Base stats'!BX:BX),0.1),0.05)
))</f>
        <v>4</v>
      </c>
      <c r="T214" s="11">
        <f>IF(S214="No","No",
MROUND(_xlfn.XLOOKUP(B214,'Base stats'!B:B,'Base stats'!BH:BH) * 0.01 * 2 + 0.05, 0.05)
)</f>
        <v>2.0500000000000003</v>
      </c>
      <c r="U214" s="5" t="str">
        <f>IF(S214="No","No",IF(_xlfn.XLOOKUP(B214,'Base stats'!B:B,'Base stats'!U:U)="No","No",
MROUND(_xlfn.XLOOKUP(B214,'Base stats'!B:B,'Base stats'!BT:BT)/10000+0.01,0.01)
))</f>
        <v>No</v>
      </c>
      <c r="V214" s="4">
        <f>IF(S214="No","No",
MROUND(_xlfn.XLOOKUP(B214,'Base stats'!B:B,'Base stats'!BF:BF)^0.25
/((_xlfn.XLOOKUP(B214,'Base stats'!B:B,'Base stats'!BO:BO))*10)*_xlfn.XLOOKUP(_xlfn.XLOOKUP(B214,'Base stats'!B:B,'Base stats'!E:E),Groups!A:A,Groups!AE:AE)*150 + 0.5 + _xlfn.XLOOKUP(B214,'Base stats'!B:B,'Base stats'!BW:BW),
0.05))</f>
        <v>2.3000000000000003</v>
      </c>
      <c r="W214" s="8">
        <f>MROUND(_xlfn.XLOOKUP(_xlfn.XLOOKUP(B214,'Base stats'!B:B,'Base stats'!E:E),Groups!A:A,Groups!BG:BG)*_xlfn.XLOOKUP(B214,'Base stats'!B:B,'Base stats'!C:C)^-0.165,0.05)</f>
        <v>0.1</v>
      </c>
      <c r="X214" s="1">
        <f>MROUND(_xlfn.XLOOKUP(_xlfn.XLOOKUP(B214,'Base stats'!B:B,'Base stats'!E:E),Groups!A:A,Groups!BH:BH)*_xlfn.XLOOKUP(B214,'Base stats'!B:B,'Base stats'!C:C)^0.165,0.05)</f>
        <v>0.25</v>
      </c>
      <c r="Y214" s="8">
        <f>MROUND(_xlfn.XLOOKUP(_xlfn.XLOOKUP(B214,'Base stats'!B:B,'Base stats'!E:E),Groups!A:A,Groups!BI:BI)*_xlfn.XLOOKUP(B214,'Base stats'!B:B,'Base stats'!C:C)^0.165,0.05)</f>
        <v>0.05</v>
      </c>
      <c r="Z214" s="18">
        <f>MROUND(_xlfn.XLOOKUP(B214,'Base stats'!B:B,'Base stats'!AQ:AQ)*_xlfn.XLOOKUP(_xlfn.XLOOKUP(B214,'Base stats'!B:B,'Base stats'!E:E),Groups!A:A,Groups!H:H)/1000,IF((_xlfn.XLOOKUP(B214,'Base stats'!B:B,'Base stats'!AQ:AQ)*_xlfn.XLOOKUP(_xlfn.XLOOKUP(B214,'Base stats'!B:B,'Base stats'!E:E),Groups!A:A,Groups!H:H)/1000)&gt;1,0.05,0.01))</f>
        <v>0.08</v>
      </c>
      <c r="AA214" s="18">
        <f>MROUND((1/2)*(_xlfn.XLOOKUP(_xlfn.XLOOKUP(B214,'Base stats'!B:B,'Base stats'!E:E),Groups!A:A,Groups!H:H)*_xlfn.XLOOKUP(_xlfn.XLOOKUP(B214,'Base stats'!B:B,'Base stats'!E:E),Groups!A:A,Groups!I:I))*_xlfn.XLOOKUP(B214,'Base stats'!B:B,'Base stats'!AQ:AQ)*0.01,0.05)</f>
        <v>0.30000000000000004</v>
      </c>
      <c r="AB214" s="18">
        <f>MROUND(250*(Animals!AO214+Animals!AP214),25)</f>
        <v>750</v>
      </c>
      <c r="AC214" s="18" t="str">
        <f>_xlfn.XLOOKUP(_xlfn.XLOOKUP(B214,'Base stats'!B:B,'Base stats'!E:E),Groups!A:A,Groups!BJ:BJ)</f>
        <v>Birdlike</v>
      </c>
    </row>
    <row r="215" spans="1:29" ht="16.5" thickTop="1" thickBot="1" x14ac:dyDescent="0.3">
      <c r="A215" s="16" t="str">
        <f>Animals!A215</f>
        <v>InfectedAerofleet</v>
      </c>
      <c r="B215" s="6" t="str">
        <f>Animals!B215</f>
        <v>Pterodyna aeria (infected)</v>
      </c>
      <c r="C215" s="1" t="str">
        <f>Animals!C215</f>
        <v>&lt;li&gt;AA_InfectedAerofleet&lt;/li&gt;</v>
      </c>
      <c r="D215" s="47">
        <f>MIN(MIN(6,_xlfn.XLOOKUP(A215,Animals!A:A,Animals!AO:AO))*20,MAX(MROUND(_xlfn.XLOOKUP(B215,'Base stats'!B:B,'Base stats'!BS:BS) * (_xlfn.XLOOKUP(B215,'Base stats'!B:B,'Base stats'!AO:AO)*5%)^0.9 / 21,0.1),0.05))</f>
        <v>0.1</v>
      </c>
      <c r="E215" s="11">
        <f>MROUND(_xlfn.XLOOKUP(B215,'Base stats'!B:B,'Base stats'!BG:BG) * 0.01 * 2 + 0.01, 0.05)</f>
        <v>0.1</v>
      </c>
      <c r="F215" s="7">
        <f>MROUND(_xlfn.XLOOKUP(B215,'Base stats'!B:B,'Base stats'!BD:BD)^0.25 / (_xlfn.XLOOKUP(B215,'Base stats'!B:B,'Base stats'!BK:BK) * 10) * 150 + 0.5 + _xlfn.XLOOKUP(B215,'Base stats'!B:B,'Base stats'!BW:BW), 0.05)</f>
        <v>1.6500000000000001</v>
      </c>
      <c r="G215" s="3" t="str">
        <f>IF(Animals!S215="No","No",
IF(_xlfn.XLOOKUP(B215,'Base stats'!B:B,'Base stats'!U:U)="No",
MAX(MROUND(_xlfn.XLOOKUP(B215,'Base stats'!B:B,'Base stats'!BT:BT) * _xlfn.XLOOKUP(B215,'Base stats'!B:B,'Base stats'!BP:BP)^0.9 / 21 * _xlfn.XLOOKUP(B215,'Base stats'!B:B,'Base stats'!BX:BX),0.1),0.05),
MAX(MROUND(((MIN(10,_xlfn.XLOOKUP(B215,'Base stats'!B:B,'Base stats'!U:U)))^0.4*_xlfn.XLOOKUP(B215,'Base stats'!B:B,'Base stats'!BH:BH)^0.73)^0.6 * _xlfn.XLOOKUP(B215,'Base stats'!B:B,'Base stats'!BX:BX),0.1),0.05)
))</f>
        <v>No</v>
      </c>
      <c r="H215" s="11" t="str">
        <f>IF(G215="No","No",
MROUND(_xlfn.XLOOKUP(B215,'Base stats'!B:B,'Base stats'!BH:BH) * 0.01 * 2 + 0.05, 0.05)
)</f>
        <v>No</v>
      </c>
      <c r="I215" s="11" t="str">
        <f>IF(G215="No","No",IF(_xlfn.XLOOKUP(B215,'Base stats'!B:B,'Base stats'!U:U)="No","No",
MROUND(_xlfn.XLOOKUP(B215,'Base stats'!B:B,'Base stats'!BT:BT)/10000+0.01,0.01)
))</f>
        <v>No</v>
      </c>
      <c r="J215" s="4" t="str">
        <f>IF(G215="No","No",
MROUND(_xlfn.XLOOKUP(B215,'Base stats'!B:B,'Base stats'!BE:BE)^0.25
/((_xlfn.XLOOKUP(B215,'Base stats'!B:B,'Base stats'!BL:BL))*10)*_xlfn.XLOOKUP(_xlfn.XLOOKUP(B215,'Base stats'!B:B,'Base stats'!E:E),Groups!A:A,Groups!Q:Q)*150 + 0.5 + _xlfn.XLOOKUP(B215,'Base stats'!B:B,'Base stats'!BW:BW),
0.05))</f>
        <v>No</v>
      </c>
      <c r="K215" s="3" t="str">
        <f>IF(Animals!X215="No","No",
IF(_xlfn.XLOOKUP(_xlfn.XLOOKUP(B215,'Base stats'!B:B,'Base stats'!E:E),Groups!A:A,Groups!BD:BD)=1,
MAX(MROUND(_xlfn.XLOOKUP(B215,'Base stats'!B:B,'Base stats'!BU:BU) * _xlfn.XLOOKUP(B215,'Base stats'!B:B,'Base stats'!BQ:BQ)^0.9 / 21 *_xlfn.XLOOKUP(B215,'Base stats'!B:B,'Base stats'!BX:BX),0.1),0.05),
MAX(MROUND(((MIN(10,_xlfn.XLOOKUP(B215,'Base stats'!B:B,'Base stats'!W:W)))^0.4*_xlfn.XLOOKUP(B215,'Base stats'!B:B,'Base stats'!BI:BI)^0.73)^0.6 *_xlfn.XLOOKUP(B215,'Base stats'!B:B,'Base stats'!BX:BX),0.1),0.05)
))</f>
        <v>No</v>
      </c>
      <c r="L215" s="11" t="str">
        <f>IF(K215="No","No",
MROUND(_xlfn.XLOOKUP(B215,'Base stats'!B:B,'Base stats'!BI:BI) * 0.01 *2 + 0.05, 0.05)
)</f>
        <v>No</v>
      </c>
      <c r="M215" s="5" t="str">
        <f>IF(K215="No","No",IF(_xlfn.XLOOKUP(_xlfn.XLOOKUP(B215,'Base stats'!B:B,'Base stats'!E:E),Groups!A:A,Groups!BD:BD)=1,"No",
MROUND(_xlfn.XLOOKUP(B215,'Base stats'!B:B,'Base stats'!BU:BU)/10000+0.01,0.01)
))</f>
        <v>No</v>
      </c>
      <c r="N215" s="4" t="str">
        <f>IF(K215="No","No",
MROUND(
  _xlfn.XLOOKUP(B215,'Base stats'!B:B,'Base stats'!BC:BC)^0.25
  / (_xlfn.XLOOKUP(B215,'Base stats'!B:B,'Base stats'!BM:BM) * 10)
  * _xlfn.XLOOKUP(
      _xlfn.XLOOKUP(B215,'Base stats'!B:B,'Base stats'!E:E),
      Groups!A:A,
      Groups!V:V
    ) * 150
  + MIN(12, _xlfn.XLOOKUP(B215,'Base stats'!B:B,'Base stats'!W:W))^(1/IF(_xlfn.XLOOKUP(_xlfn.XLOOKUP(B215,'Base stats'!B:B,'Base stats'!E:E),Groups!A:A,Groups!U:U)=1,100,10)) + 0.5 + _xlfn.XLOOKUP(B215,'Base stats'!B:B,'Base stats'!BW:BW),
0.05))</f>
        <v>No</v>
      </c>
      <c r="O215" s="3" t="str">
        <f>IF(Animals!AD215="No","No",
MAX(MROUND((MIN(10,_xlfn.XLOOKUP(B215,'Base stats'!B:B,'Base stats'!V:V)*IF(_xlfn.XLOOKUP(_xlfn.XLOOKUP(B215,'Base stats'!B:B,'Base stats'!E:E),Groups!A:A,Groups!O:O)=0,1,0.33))^0.4*_xlfn.XLOOKUP(B215,'Base stats'!B:B,'Base stats'!BJ:BJ)^0.73)^0.6 *_xlfn.XLOOKUP(B215,'Base stats'!B:B,'Base stats'!BX:BX),0.1),0.05)
)</f>
        <v>No</v>
      </c>
      <c r="P215" s="11" t="str">
        <f>IF(O215="No","No",
MROUND(_xlfn.XLOOKUP(B215,'Base stats'!B:B,'Base stats'!BJ:BJ) * 0.01 * 2 + 0.05, 0.05)
)</f>
        <v>No</v>
      </c>
      <c r="Q215" s="5" t="str">
        <f>IF(O215="No","No",
MROUND(_xlfn.XLOOKUP(B215,'Base stats'!B:B,'Base stats'!BV:BV)/10000+0.01,0.01)
)</f>
        <v>No</v>
      </c>
      <c r="R215" s="4" t="str">
        <f>IF(O215="No","No",
MROUND(_xlfn.XLOOKUP(B215,'Base stats'!B:B,'Base stats'!BB:BB)^0.25
/((_xlfn.XLOOKUP(B215,'Base stats'!B:B,'Base stats'!BN:BN))*10)*_xlfn.XLOOKUP(_xlfn.XLOOKUP(B215,'Base stats'!B:B,'Base stats'!E:E),Groups!A:A,Groups!Z:Z)*150 + 0.5 + _xlfn.XLOOKUP(B215,'Base stats'!B:B,'Base stats'!BW:BW),
0.05))</f>
        <v>No</v>
      </c>
      <c r="S215" s="3">
        <f>IF(Animals!AI215="No","No",
IF(_xlfn.XLOOKUP(B215,'Base stats'!B:B,'Base stats'!U:U)="No",
MAX(MROUND(_xlfn.XLOOKUP(B215,'Base stats'!B:B,'Base stats'!BT:BT) * _xlfn.XLOOKUP(B215,'Base stats'!B:B,'Base stats'!BP:BP)^0.9 / 21 * _xlfn.XLOOKUP(B215,'Base stats'!B:B,'Base stats'!BX:BX),0.1),0.05),
MAX(MROUND(((MIN(12,_xlfn.XLOOKUP(B215,'Base stats'!B:B,'Base stats'!U:U)))^0.4*_xlfn.XLOOKUP(B215,'Base stats'!B:B,'Base stats'!BH:BH)^0.73)^0.6 * _xlfn.XLOOKUP(B215,'Base stats'!B:B,'Base stats'!BX:BX),0.1),0.05)
))</f>
        <v>0.30000000000000004</v>
      </c>
      <c r="T215" s="11">
        <f>IF(S215="No","No",
MROUND(_xlfn.XLOOKUP(B215,'Base stats'!B:B,'Base stats'!BH:BH) * 0.01 * 2 + 0.05, 0.05)
)</f>
        <v>0.15000000000000002</v>
      </c>
      <c r="U215" s="5" t="str">
        <f>IF(S215="No","No",IF(_xlfn.XLOOKUP(B215,'Base stats'!B:B,'Base stats'!U:U)="No","No",
MROUND(_xlfn.XLOOKUP(B215,'Base stats'!B:B,'Base stats'!BT:BT)/10000+0.01,0.01)
))</f>
        <v>No</v>
      </c>
      <c r="V215" s="4">
        <f>IF(S215="No","No",
MROUND(_xlfn.XLOOKUP(B215,'Base stats'!B:B,'Base stats'!BF:BF)^0.25
/((_xlfn.XLOOKUP(B215,'Base stats'!B:B,'Base stats'!BO:BO))*10)*_xlfn.XLOOKUP(_xlfn.XLOOKUP(B215,'Base stats'!B:B,'Base stats'!E:E),Groups!A:A,Groups!AE:AE)*150 + 0.5 + _xlfn.XLOOKUP(B215,'Base stats'!B:B,'Base stats'!BW:BW),
0.05))</f>
        <v>1.6</v>
      </c>
      <c r="W215" s="8">
        <f>MROUND(_xlfn.XLOOKUP(_xlfn.XLOOKUP(B215,'Base stats'!B:B,'Base stats'!E:E),Groups!A:A,Groups!BG:BG)*_xlfn.XLOOKUP(B215,'Base stats'!B:B,'Base stats'!C:C)^-0.165,0.05)</f>
        <v>0.2</v>
      </c>
      <c r="X215" s="1">
        <f>MROUND(_xlfn.XLOOKUP(_xlfn.XLOOKUP(B215,'Base stats'!B:B,'Base stats'!E:E),Groups!A:A,Groups!BH:BH)*_xlfn.XLOOKUP(B215,'Base stats'!B:B,'Base stats'!C:C)^0.165,0.05)</f>
        <v>0.15000000000000002</v>
      </c>
      <c r="Y215" s="8">
        <f>MROUND(_xlfn.XLOOKUP(_xlfn.XLOOKUP(B215,'Base stats'!B:B,'Base stats'!E:E),Groups!A:A,Groups!BI:BI)*_xlfn.XLOOKUP(B215,'Base stats'!B:B,'Base stats'!C:C)^0.165,0.05)</f>
        <v>0.05</v>
      </c>
      <c r="Z215" s="18">
        <f>MROUND(_xlfn.XLOOKUP(B215,'Base stats'!B:B,'Base stats'!AQ:AQ)*_xlfn.XLOOKUP(_xlfn.XLOOKUP(B215,'Base stats'!B:B,'Base stats'!E:E),Groups!A:A,Groups!H:H)/1000,IF((_xlfn.XLOOKUP(B215,'Base stats'!B:B,'Base stats'!AQ:AQ)*_xlfn.XLOOKUP(_xlfn.XLOOKUP(B215,'Base stats'!B:B,'Base stats'!E:E),Groups!A:A,Groups!H:H)/1000)&gt;1,0.05,0.01))</f>
        <v>0.03</v>
      </c>
      <c r="AA215" s="18">
        <f>MROUND((1/2)*(_xlfn.XLOOKUP(_xlfn.XLOOKUP(B215,'Base stats'!B:B,'Base stats'!E:E),Groups!A:A,Groups!H:H)*_xlfn.XLOOKUP(_xlfn.XLOOKUP(B215,'Base stats'!B:B,'Base stats'!E:E),Groups!A:A,Groups!I:I))*_xlfn.XLOOKUP(B215,'Base stats'!B:B,'Base stats'!AQ:AQ)*0.01,0.05)</f>
        <v>0.1</v>
      </c>
      <c r="AB215" s="18">
        <f>MROUND(250*(Animals!AO215+Animals!AP215),25)</f>
        <v>150</v>
      </c>
      <c r="AC215" s="18" t="str">
        <f>_xlfn.XLOOKUP(_xlfn.XLOOKUP(B215,'Base stats'!B:B,'Base stats'!E:E),Groups!A:A,Groups!BJ:BJ)</f>
        <v>Birdlike</v>
      </c>
    </row>
    <row r="216" spans="1:29" ht="16.5" thickTop="1" thickBot="1" x14ac:dyDescent="0.3">
      <c r="A216" s="16" t="str">
        <f>Animals!A216</f>
        <v>Agaripawn</v>
      </c>
      <c r="B216" s="6" t="str">
        <f>Animals!B216</f>
        <v>Mycopion sylvestris</v>
      </c>
      <c r="C216" s="1" t="str">
        <f>Animals!C216</f>
        <v>&lt;li&gt;AA_Agaripawn&lt;/li&gt;</v>
      </c>
      <c r="D216" s="47">
        <f>MIN(MIN(6,_xlfn.XLOOKUP(A216,Animals!A:A,Animals!AO:AO))*20,MAX(MROUND(_xlfn.XLOOKUP(B216,'Base stats'!B:B,'Base stats'!BS:BS) * (_xlfn.XLOOKUP(B216,'Base stats'!B:B,'Base stats'!AO:AO)*5%)^0.9 / 21,0.1),0.05))</f>
        <v>0.4</v>
      </c>
      <c r="E216" s="11">
        <f>MROUND(_xlfn.XLOOKUP(B216,'Base stats'!B:B,'Base stats'!BG:BG) * 0.01 * 2 + 0.01, 0.05)</f>
        <v>0.30000000000000004</v>
      </c>
      <c r="F216" s="7">
        <f>MROUND(_xlfn.XLOOKUP(B216,'Base stats'!B:B,'Base stats'!BD:BD)^0.25 / (_xlfn.XLOOKUP(B216,'Base stats'!B:B,'Base stats'!BK:BK) * 10) * 150 + 0.5 + _xlfn.XLOOKUP(B216,'Base stats'!B:B,'Base stats'!BW:BW), 0.05)</f>
        <v>1.9500000000000002</v>
      </c>
      <c r="G216" s="3" t="str">
        <f>IF(Animals!S216="No","No",
IF(_xlfn.XLOOKUP(B216,'Base stats'!B:B,'Base stats'!U:U)="No",
MAX(MROUND(_xlfn.XLOOKUP(B216,'Base stats'!B:B,'Base stats'!BT:BT) * _xlfn.XLOOKUP(B216,'Base stats'!B:B,'Base stats'!BP:BP)^0.9 / 21 * _xlfn.XLOOKUP(B216,'Base stats'!B:B,'Base stats'!BX:BX),0.1),0.05),
MAX(MROUND(((MIN(10,_xlfn.XLOOKUP(B216,'Base stats'!B:B,'Base stats'!U:U)))^0.4*_xlfn.XLOOKUP(B216,'Base stats'!B:B,'Base stats'!BH:BH)^0.73)^0.6 * _xlfn.XLOOKUP(B216,'Base stats'!B:B,'Base stats'!BX:BX),0.1),0.05)
))</f>
        <v>No</v>
      </c>
      <c r="H216" s="11" t="str">
        <f>IF(G216="No","No",
MROUND(_xlfn.XLOOKUP(B216,'Base stats'!B:B,'Base stats'!BH:BH) * 0.01 * 2 + 0.05, 0.05)
)</f>
        <v>No</v>
      </c>
      <c r="I216" s="11" t="str">
        <f>IF(G216="No","No",IF(_xlfn.XLOOKUP(B216,'Base stats'!B:B,'Base stats'!U:U)="No","No",
MROUND(_xlfn.XLOOKUP(B216,'Base stats'!B:B,'Base stats'!BT:BT)/10000+0.01,0.01)
))</f>
        <v>No</v>
      </c>
      <c r="J216" s="4" t="str">
        <f>IF(G216="No","No",
MROUND(_xlfn.XLOOKUP(B216,'Base stats'!B:B,'Base stats'!BE:BE)^0.25
/((_xlfn.XLOOKUP(B216,'Base stats'!B:B,'Base stats'!BL:BL))*10)*_xlfn.XLOOKUP(_xlfn.XLOOKUP(B216,'Base stats'!B:B,'Base stats'!E:E),Groups!A:A,Groups!Q:Q)*150 + 0.5 + _xlfn.XLOOKUP(B216,'Base stats'!B:B,'Base stats'!BW:BW),
0.05))</f>
        <v>No</v>
      </c>
      <c r="K216" s="3" t="str">
        <f>IF(Animals!X216="No","No",
IF(_xlfn.XLOOKUP(_xlfn.XLOOKUP(B216,'Base stats'!B:B,'Base stats'!E:E),Groups!A:A,Groups!BD:BD)=1,
MAX(MROUND(_xlfn.XLOOKUP(B216,'Base stats'!B:B,'Base stats'!BU:BU) * _xlfn.XLOOKUP(B216,'Base stats'!B:B,'Base stats'!BQ:BQ)^0.9 / 21 *_xlfn.XLOOKUP(B216,'Base stats'!B:B,'Base stats'!BX:BX),0.1),0.05),
MAX(MROUND(((MIN(10,_xlfn.XLOOKUP(B216,'Base stats'!B:B,'Base stats'!W:W)))^0.4*_xlfn.XLOOKUP(B216,'Base stats'!B:B,'Base stats'!BI:BI)^0.73)^0.6 *_xlfn.XLOOKUP(B216,'Base stats'!B:B,'Base stats'!BX:BX),0.1),0.05)
))</f>
        <v>No</v>
      </c>
      <c r="L216" s="11" t="str">
        <f>IF(K216="No","No",
MROUND(_xlfn.XLOOKUP(B216,'Base stats'!B:B,'Base stats'!BI:BI) * 0.01 *2 + 0.05, 0.05)
)</f>
        <v>No</v>
      </c>
      <c r="M216" s="5" t="str">
        <f>IF(K216="No","No",IF(_xlfn.XLOOKUP(_xlfn.XLOOKUP(B216,'Base stats'!B:B,'Base stats'!E:E),Groups!A:A,Groups!BD:BD)=1,"No",
MROUND(_xlfn.XLOOKUP(B216,'Base stats'!B:B,'Base stats'!BU:BU)/10000+0.01,0.01)
))</f>
        <v>No</v>
      </c>
      <c r="N216" s="4" t="str">
        <f>IF(K216="No","No",
MROUND(
  _xlfn.XLOOKUP(B216,'Base stats'!B:B,'Base stats'!BC:BC)^0.25
  / (_xlfn.XLOOKUP(B216,'Base stats'!B:B,'Base stats'!BM:BM) * 10)
  * _xlfn.XLOOKUP(
      _xlfn.XLOOKUP(B216,'Base stats'!B:B,'Base stats'!E:E),
      Groups!A:A,
      Groups!V:V
    ) * 150
  + MIN(12, _xlfn.XLOOKUP(B216,'Base stats'!B:B,'Base stats'!W:W))^(1/IF(_xlfn.XLOOKUP(_xlfn.XLOOKUP(B216,'Base stats'!B:B,'Base stats'!E:E),Groups!A:A,Groups!U:U)=1,100,10)) + 0.5 + _xlfn.XLOOKUP(B216,'Base stats'!B:B,'Base stats'!BW:BW),
0.05))</f>
        <v>No</v>
      </c>
      <c r="O216" s="3">
        <f>IF(Animals!AD216="No","No",
MAX(MROUND((MIN(10,_xlfn.XLOOKUP(B216,'Base stats'!B:B,'Base stats'!V:V)*IF(_xlfn.XLOOKUP(_xlfn.XLOOKUP(B216,'Base stats'!B:B,'Base stats'!E:E),Groups!A:A,Groups!O:O)=0,1,0.33))^0.4*_xlfn.XLOOKUP(B216,'Base stats'!B:B,'Base stats'!BJ:BJ)^0.73)^0.6 *_xlfn.XLOOKUP(B216,'Base stats'!B:B,'Base stats'!BX:BX),0.1),0.05)
)</f>
        <v>6.3000000000000007</v>
      </c>
      <c r="P216" s="11">
        <f>IF(O216="No","No",
MROUND(_xlfn.XLOOKUP(B216,'Base stats'!B:B,'Base stats'!BJ:BJ) * 0.01 * 2 + 0.05, 0.05)
)</f>
        <v>0.9</v>
      </c>
      <c r="Q216" s="5">
        <f>IF(O216="No","No",
MROUND(_xlfn.XLOOKUP(B216,'Base stats'!B:B,'Base stats'!BV:BV)/10000+0.01,0.01)
)</f>
        <v>0.09</v>
      </c>
      <c r="R216" s="4">
        <f>IF(O216="No","No",
MROUND(_xlfn.XLOOKUP(B216,'Base stats'!B:B,'Base stats'!BB:BB)^0.25
/((_xlfn.XLOOKUP(B216,'Base stats'!B:B,'Base stats'!BN:BN))*10)*_xlfn.XLOOKUP(_xlfn.XLOOKUP(B216,'Base stats'!B:B,'Base stats'!E:E),Groups!A:A,Groups!Z:Z)*150 + 0.5 + _xlfn.XLOOKUP(B216,'Base stats'!B:B,'Base stats'!BW:BW),
0.05))</f>
        <v>2.15</v>
      </c>
      <c r="S216" s="3">
        <f>IF(Animals!AI216="No","No",
IF(_xlfn.XLOOKUP(B216,'Base stats'!B:B,'Base stats'!U:U)="No",
MAX(MROUND(_xlfn.XLOOKUP(B216,'Base stats'!B:B,'Base stats'!BT:BT) * _xlfn.XLOOKUP(B216,'Base stats'!B:B,'Base stats'!BP:BP)^0.9 / 21 * _xlfn.XLOOKUP(B216,'Base stats'!B:B,'Base stats'!BX:BX),0.1),0.05),
MAX(MROUND(((MIN(12,_xlfn.XLOOKUP(B216,'Base stats'!B:B,'Base stats'!U:U)))^0.4*_xlfn.XLOOKUP(B216,'Base stats'!B:B,'Base stats'!BH:BH)^0.73)^0.6 * _xlfn.XLOOKUP(B216,'Base stats'!B:B,'Base stats'!BX:BX),0.1),0.05)
))</f>
        <v>4.6000000000000005</v>
      </c>
      <c r="T216" s="11">
        <f>IF(S216="No","No",
MROUND(_xlfn.XLOOKUP(B216,'Base stats'!B:B,'Base stats'!BH:BH) * 0.01 * 2 + 0.05, 0.05)
)</f>
        <v>0.4</v>
      </c>
      <c r="U216" s="5">
        <f>IF(S216="No","No",IF(_xlfn.XLOOKUP(B216,'Base stats'!B:B,'Base stats'!U:U)="No","No",
MROUND(_xlfn.XLOOKUP(B216,'Base stats'!B:B,'Base stats'!BT:BT)/10000+0.01,0.01)
))</f>
        <v>0.37</v>
      </c>
      <c r="V216" s="4">
        <f>IF(S216="No","No",
MROUND(_xlfn.XLOOKUP(B216,'Base stats'!B:B,'Base stats'!BF:BF)^0.25
/((_xlfn.XLOOKUP(B216,'Base stats'!B:B,'Base stats'!BO:BO))*10)*_xlfn.XLOOKUP(_xlfn.XLOOKUP(B216,'Base stats'!B:B,'Base stats'!E:E),Groups!A:A,Groups!AE:AE)*150 + 0.5 + _xlfn.XLOOKUP(B216,'Base stats'!B:B,'Base stats'!BW:BW),
0.05))</f>
        <v>1.8</v>
      </c>
      <c r="W216" s="8">
        <f>MROUND(_xlfn.XLOOKUP(_xlfn.XLOOKUP(B216,'Base stats'!B:B,'Base stats'!E:E),Groups!A:A,Groups!BG:BG)*_xlfn.XLOOKUP(B216,'Base stats'!B:B,'Base stats'!C:C)^-0.165,0.05)</f>
        <v>0.15000000000000002</v>
      </c>
      <c r="X216" s="1">
        <f>MROUND(_xlfn.XLOOKUP(_xlfn.XLOOKUP(B216,'Base stats'!B:B,'Base stats'!E:E),Groups!A:A,Groups!BH:BH)*_xlfn.XLOOKUP(B216,'Base stats'!B:B,'Base stats'!C:C)^0.165,0.05)</f>
        <v>0.25</v>
      </c>
      <c r="Y216" s="8">
        <f>MROUND(_xlfn.XLOOKUP(_xlfn.XLOOKUP(B216,'Base stats'!B:B,'Base stats'!E:E),Groups!A:A,Groups!BI:BI)*_xlfn.XLOOKUP(B216,'Base stats'!B:B,'Base stats'!C:C)^0.165,0.05)</f>
        <v>0.05</v>
      </c>
      <c r="Z216" s="18">
        <f>MROUND(_xlfn.XLOOKUP(B216,'Base stats'!B:B,'Base stats'!AQ:AQ)*_xlfn.XLOOKUP(_xlfn.XLOOKUP(B216,'Base stats'!B:B,'Base stats'!E:E),Groups!A:A,Groups!H:H)/1000,IF((_xlfn.XLOOKUP(B216,'Base stats'!B:B,'Base stats'!AQ:AQ)*_xlfn.XLOOKUP(_xlfn.XLOOKUP(B216,'Base stats'!B:B,'Base stats'!E:E),Groups!A:A,Groups!H:H)/1000)&gt;1,0.05,0.01))</f>
        <v>1.9000000000000001</v>
      </c>
      <c r="AA216" s="18">
        <f>MROUND((1/2)*(_xlfn.XLOOKUP(_xlfn.XLOOKUP(B216,'Base stats'!B:B,'Base stats'!E:E),Groups!A:A,Groups!H:H)*_xlfn.XLOOKUP(_xlfn.XLOOKUP(B216,'Base stats'!B:B,'Base stats'!E:E),Groups!A:A,Groups!I:I))*_xlfn.XLOOKUP(B216,'Base stats'!B:B,'Base stats'!AQ:AQ)*0.01,0.05)</f>
        <v>18.100000000000001</v>
      </c>
      <c r="AB216" s="18">
        <f>MROUND(250*(Animals!AO216+Animals!AP216),25)</f>
        <v>275</v>
      </c>
      <c r="AC216" s="18" t="str">
        <f>_xlfn.XLOOKUP(_xlfn.XLOOKUP(B216,'Base stats'!B:B,'Base stats'!E:E),Groups!A:A,Groups!BJ:BJ)</f>
        <v>Quadruped</v>
      </c>
    </row>
    <row r="217" spans="1:29" ht="16.5" thickTop="1" thickBot="1" x14ac:dyDescent="0.3">
      <c r="A217" s="16" t="str">
        <f>Animals!A217</f>
        <v>Agaripod</v>
      </c>
      <c r="B217" s="6" t="str">
        <f>Animals!B217</f>
        <v>Mycopodium sylvestris</v>
      </c>
      <c r="C217" s="1" t="str">
        <f>Animals!C217</f>
        <v>&lt;li&gt;AA_Agaripod&lt;/li&gt;</v>
      </c>
      <c r="D217" s="47">
        <f>MIN(MIN(6,_xlfn.XLOOKUP(A217,Animals!A:A,Animals!AO:AO))*20,MAX(MROUND(_xlfn.XLOOKUP(B217,'Base stats'!B:B,'Base stats'!BS:BS) * (_xlfn.XLOOKUP(B217,'Base stats'!B:B,'Base stats'!AO:AO)*5%)^0.9 / 21,0.1),0.05))</f>
        <v>41.5</v>
      </c>
      <c r="E217" s="11">
        <f>MROUND(_xlfn.XLOOKUP(B217,'Base stats'!B:B,'Base stats'!BG:BG) * 0.01 * 2 + 0.01, 0.05)</f>
        <v>45.25</v>
      </c>
      <c r="F217" s="7">
        <f>MROUND(_xlfn.XLOOKUP(B217,'Base stats'!B:B,'Base stats'!BD:BD)^0.25 / (_xlfn.XLOOKUP(B217,'Base stats'!B:B,'Base stats'!BK:BK) * 10) * 150 + 0.5 + _xlfn.XLOOKUP(B217,'Base stats'!B:B,'Base stats'!BW:BW), 0.05)</f>
        <v>3.0500000000000003</v>
      </c>
      <c r="G217" s="3" t="str">
        <f>IF(Animals!S217="No","No",
IF(_xlfn.XLOOKUP(B217,'Base stats'!B:B,'Base stats'!U:U)="No",
MAX(MROUND(_xlfn.XLOOKUP(B217,'Base stats'!B:B,'Base stats'!BT:BT) * _xlfn.XLOOKUP(B217,'Base stats'!B:B,'Base stats'!BP:BP)^0.9 / 21 * _xlfn.XLOOKUP(B217,'Base stats'!B:B,'Base stats'!BX:BX),0.1),0.05),
MAX(MROUND(((MIN(10,_xlfn.XLOOKUP(B217,'Base stats'!B:B,'Base stats'!U:U)))^0.4*_xlfn.XLOOKUP(B217,'Base stats'!B:B,'Base stats'!BH:BH)^0.73)^0.6 * _xlfn.XLOOKUP(B217,'Base stats'!B:B,'Base stats'!BX:BX),0.1),0.05)
))</f>
        <v>No</v>
      </c>
      <c r="H217" s="11" t="str">
        <f>IF(G217="No","No",
MROUND(_xlfn.XLOOKUP(B217,'Base stats'!B:B,'Base stats'!BH:BH) * 0.01 * 2 + 0.05, 0.05)
)</f>
        <v>No</v>
      </c>
      <c r="I217" s="11" t="str">
        <f>IF(G217="No","No",IF(_xlfn.XLOOKUP(B217,'Base stats'!B:B,'Base stats'!U:U)="No","No",
MROUND(_xlfn.XLOOKUP(B217,'Base stats'!B:B,'Base stats'!BT:BT)/10000+0.01,0.01)
))</f>
        <v>No</v>
      </c>
      <c r="J217" s="4" t="str">
        <f>IF(G217="No","No",
MROUND(_xlfn.XLOOKUP(B217,'Base stats'!B:B,'Base stats'!BE:BE)^0.25
/((_xlfn.XLOOKUP(B217,'Base stats'!B:B,'Base stats'!BL:BL))*10)*_xlfn.XLOOKUP(_xlfn.XLOOKUP(B217,'Base stats'!B:B,'Base stats'!E:E),Groups!A:A,Groups!Q:Q)*150 + 0.5 + _xlfn.XLOOKUP(B217,'Base stats'!B:B,'Base stats'!BW:BW),
0.05))</f>
        <v>No</v>
      </c>
      <c r="K217" s="3" t="str">
        <f>IF(Animals!X217="No","No",
IF(_xlfn.XLOOKUP(_xlfn.XLOOKUP(B217,'Base stats'!B:B,'Base stats'!E:E),Groups!A:A,Groups!BD:BD)=1,
MAX(MROUND(_xlfn.XLOOKUP(B217,'Base stats'!B:B,'Base stats'!BU:BU) * _xlfn.XLOOKUP(B217,'Base stats'!B:B,'Base stats'!BQ:BQ)^0.9 / 21 *_xlfn.XLOOKUP(B217,'Base stats'!B:B,'Base stats'!BX:BX),0.1),0.05),
MAX(MROUND(((MIN(10,_xlfn.XLOOKUP(B217,'Base stats'!B:B,'Base stats'!W:W)))^0.4*_xlfn.XLOOKUP(B217,'Base stats'!B:B,'Base stats'!BI:BI)^0.73)^0.6 *_xlfn.XLOOKUP(B217,'Base stats'!B:B,'Base stats'!BX:BX),0.1),0.05)
))</f>
        <v>No</v>
      </c>
      <c r="L217" s="11" t="str">
        <f>IF(K217="No","No",
MROUND(_xlfn.XLOOKUP(B217,'Base stats'!B:B,'Base stats'!BI:BI) * 0.01 *2 + 0.05, 0.05)
)</f>
        <v>No</v>
      </c>
      <c r="M217" s="5" t="str">
        <f>IF(K217="No","No",IF(_xlfn.XLOOKUP(_xlfn.XLOOKUP(B217,'Base stats'!B:B,'Base stats'!E:E),Groups!A:A,Groups!BD:BD)=1,"No",
MROUND(_xlfn.XLOOKUP(B217,'Base stats'!B:B,'Base stats'!BU:BU)/10000+0.01,0.01)
))</f>
        <v>No</v>
      </c>
      <c r="N217" s="4" t="str">
        <f>IF(K217="No","No",
MROUND(
  _xlfn.XLOOKUP(B217,'Base stats'!B:B,'Base stats'!BC:BC)^0.25
  / (_xlfn.XLOOKUP(B217,'Base stats'!B:B,'Base stats'!BM:BM) * 10)
  * _xlfn.XLOOKUP(
      _xlfn.XLOOKUP(B217,'Base stats'!B:B,'Base stats'!E:E),
      Groups!A:A,
      Groups!V:V
    ) * 150
  + MIN(12, _xlfn.XLOOKUP(B217,'Base stats'!B:B,'Base stats'!W:W))^(1/IF(_xlfn.XLOOKUP(_xlfn.XLOOKUP(B217,'Base stats'!B:B,'Base stats'!E:E),Groups!A:A,Groups!U:U)=1,100,10)) + 0.5 + _xlfn.XLOOKUP(B217,'Base stats'!B:B,'Base stats'!BW:BW),
0.05))</f>
        <v>No</v>
      </c>
      <c r="O217" s="3">
        <f>IF(Animals!AD217="No","No",
MAX(MROUND((MIN(10,_xlfn.XLOOKUP(B217,'Base stats'!B:B,'Base stats'!V:V)*IF(_xlfn.XLOOKUP(_xlfn.XLOOKUP(B217,'Base stats'!B:B,'Base stats'!E:E),Groups!A:A,Groups!O:O)=0,1,0.33))^0.4*_xlfn.XLOOKUP(B217,'Base stats'!B:B,'Base stats'!BJ:BJ)^0.73)^0.6 *_xlfn.XLOOKUP(B217,'Base stats'!B:B,'Base stats'!BX:BX),0.1),0.05)
)</f>
        <v>62.6</v>
      </c>
      <c r="P217" s="11">
        <f>IF(O217="No","No",
MROUND(_xlfn.XLOOKUP(B217,'Base stats'!B:B,'Base stats'!BJ:BJ) * 0.01 * 2 + 0.05, 0.05)
)</f>
        <v>71.7</v>
      </c>
      <c r="Q217" s="5">
        <f>IF(O217="No","No",
MROUND(_xlfn.XLOOKUP(B217,'Base stats'!B:B,'Base stats'!BV:BV)/10000+0.01,0.01)
)</f>
        <v>0.77</v>
      </c>
      <c r="R217" s="4">
        <f>IF(O217="No","No",
MROUND(_xlfn.XLOOKUP(B217,'Base stats'!B:B,'Base stats'!BB:BB)^0.25
/((_xlfn.XLOOKUP(B217,'Base stats'!B:B,'Base stats'!BN:BN))*10)*_xlfn.XLOOKUP(_xlfn.XLOOKUP(B217,'Base stats'!B:B,'Base stats'!E:E),Groups!A:A,Groups!Z:Z)*150 + 0.5 + _xlfn.XLOOKUP(B217,'Base stats'!B:B,'Base stats'!BW:BW),
0.05))</f>
        <v>2.85</v>
      </c>
      <c r="S217" s="3">
        <f>IF(Animals!AI217="No","No",
IF(_xlfn.XLOOKUP(B217,'Base stats'!B:B,'Base stats'!U:U)="No",
MAX(MROUND(_xlfn.XLOOKUP(B217,'Base stats'!B:B,'Base stats'!BT:BT) * _xlfn.XLOOKUP(B217,'Base stats'!B:B,'Base stats'!BP:BP)^0.9 / 21 * _xlfn.XLOOKUP(B217,'Base stats'!B:B,'Base stats'!BX:BX),0.1),0.05),
MAX(MROUND(((MIN(12,_xlfn.XLOOKUP(B217,'Base stats'!B:B,'Base stats'!U:U)))^0.4*_xlfn.XLOOKUP(B217,'Base stats'!B:B,'Base stats'!BH:BH)^0.73)^0.6 * _xlfn.XLOOKUP(B217,'Base stats'!B:B,'Base stats'!BX:BX),0.1),0.05)
))</f>
        <v>50.5</v>
      </c>
      <c r="T217" s="11">
        <f>IF(S217="No","No",
MROUND(_xlfn.XLOOKUP(B217,'Base stats'!B:B,'Base stats'!BH:BH) * 0.01 * 2 + 0.05, 0.05)
)</f>
        <v>39.700000000000003</v>
      </c>
      <c r="U217" s="5">
        <f>IF(S217="No","No",IF(_xlfn.XLOOKUP(B217,'Base stats'!B:B,'Base stats'!U:U)="No","No",
MROUND(_xlfn.XLOOKUP(B217,'Base stats'!B:B,'Base stats'!BT:BT)/10000+0.01,0.01)
))</f>
        <v>4.1900000000000004</v>
      </c>
      <c r="V217" s="4">
        <f>IF(S217="No","No",
MROUND(_xlfn.XLOOKUP(B217,'Base stats'!B:B,'Base stats'!BF:BF)^0.25
/((_xlfn.XLOOKUP(B217,'Base stats'!B:B,'Base stats'!BO:BO))*10)*_xlfn.XLOOKUP(_xlfn.XLOOKUP(B217,'Base stats'!B:B,'Base stats'!E:E),Groups!A:A,Groups!AE:AE)*150 + 0.5 + _xlfn.XLOOKUP(B217,'Base stats'!B:B,'Base stats'!BW:BW),
0.05))</f>
        <v>3.1</v>
      </c>
      <c r="W217" s="8">
        <f>MROUND(_xlfn.XLOOKUP(_xlfn.XLOOKUP(B217,'Base stats'!B:B,'Base stats'!E:E),Groups!A:A,Groups!BG:BG)*_xlfn.XLOOKUP(B217,'Base stats'!B:B,'Base stats'!C:C)^-0.165,0.05)</f>
        <v>0.05</v>
      </c>
      <c r="X217" s="1">
        <f>MROUND(_xlfn.XLOOKUP(_xlfn.XLOOKUP(B217,'Base stats'!B:B,'Base stats'!E:E),Groups!A:A,Groups!BH:BH)*_xlfn.XLOOKUP(B217,'Base stats'!B:B,'Base stats'!C:C)^0.165,0.05)</f>
        <v>0.60000000000000009</v>
      </c>
      <c r="Y217" s="8">
        <f>MROUND(_xlfn.XLOOKUP(_xlfn.XLOOKUP(B217,'Base stats'!B:B,'Base stats'!E:E),Groups!A:A,Groups!BI:BI)*_xlfn.XLOOKUP(B217,'Base stats'!B:B,'Base stats'!C:C)^0.165,0.05)</f>
        <v>0.1</v>
      </c>
      <c r="Z217" s="18">
        <f>MROUND(_xlfn.XLOOKUP(B217,'Base stats'!B:B,'Base stats'!AQ:AQ)*_xlfn.XLOOKUP(_xlfn.XLOOKUP(B217,'Base stats'!B:B,'Base stats'!E:E),Groups!A:A,Groups!H:H)/1000,IF((_xlfn.XLOOKUP(B217,'Base stats'!B:B,'Base stats'!AQ:AQ)*_xlfn.XLOOKUP(_xlfn.XLOOKUP(B217,'Base stats'!B:B,'Base stats'!E:E),Groups!A:A,Groups!H:H)/1000)&gt;1,0.05,0.01))</f>
        <v>12.950000000000001</v>
      </c>
      <c r="AA217" s="18">
        <f>MROUND((1/2)*(_xlfn.XLOOKUP(_xlfn.XLOOKUP(B217,'Base stats'!B:B,'Base stats'!E:E),Groups!A:A,Groups!H:H)*_xlfn.XLOOKUP(_xlfn.XLOOKUP(B217,'Base stats'!B:B,'Base stats'!E:E),Groups!A:A,Groups!I:I))*_xlfn.XLOOKUP(B217,'Base stats'!B:B,'Base stats'!AQ:AQ)*0.01,0.05)</f>
        <v>124.95</v>
      </c>
      <c r="AB217" s="18">
        <f>MROUND(250*(Animals!AO217+Animals!AP217),25)</f>
        <v>2500</v>
      </c>
      <c r="AC217" s="18" t="str">
        <f>_xlfn.XLOOKUP(_xlfn.XLOOKUP(B217,'Base stats'!B:B,'Base stats'!E:E),Groups!A:A,Groups!BJ:BJ)</f>
        <v>Quadruped</v>
      </c>
    </row>
    <row r="218" spans="1:29" ht="16.5" thickTop="1" thickBot="1" x14ac:dyDescent="0.3">
      <c r="A218" s="16" t="str">
        <f>Animals!A218</f>
        <v>AngelMoth</v>
      </c>
      <c r="B218" s="6" t="str">
        <f>Animals!B218</f>
        <v>Angelis luminata</v>
      </c>
      <c r="C218" s="1" t="str">
        <f>Animals!C218</f>
        <v>&lt;li&gt;AA_AngelMoth&lt;/li&gt;</v>
      </c>
      <c r="D218" s="47">
        <f>MIN(MIN(6,_xlfn.XLOOKUP(A218,Animals!A:A,Animals!AO:AO))*20,MAX(MROUND(_xlfn.XLOOKUP(B218,'Base stats'!B:B,'Base stats'!BS:BS) * (_xlfn.XLOOKUP(B218,'Base stats'!B:B,'Base stats'!AO:AO)*5%)^0.9 / 21,0.1),0.05))</f>
        <v>0.60000000000000009</v>
      </c>
      <c r="E218" s="11">
        <f>MROUND(_xlfn.XLOOKUP(B218,'Base stats'!B:B,'Base stats'!BG:BG) * 0.01 * 2 + 0.01, 0.05)</f>
        <v>0.5</v>
      </c>
      <c r="F218" s="7">
        <f>MROUND(_xlfn.XLOOKUP(B218,'Base stats'!B:B,'Base stats'!BD:BD)^0.25 / (_xlfn.XLOOKUP(B218,'Base stats'!B:B,'Base stats'!BK:BK) * 10) * 150 + 0.5 + _xlfn.XLOOKUP(B218,'Base stats'!B:B,'Base stats'!BW:BW), 0.05)</f>
        <v>1.9500000000000002</v>
      </c>
      <c r="G218" s="3" t="str">
        <f>IF(Animals!S218="No","No",
IF(_xlfn.XLOOKUP(B218,'Base stats'!B:B,'Base stats'!U:U)="No",
MAX(MROUND(_xlfn.XLOOKUP(B218,'Base stats'!B:B,'Base stats'!BT:BT) * _xlfn.XLOOKUP(B218,'Base stats'!B:B,'Base stats'!BP:BP)^0.9 / 21 * _xlfn.XLOOKUP(B218,'Base stats'!B:B,'Base stats'!BX:BX),0.1),0.05),
MAX(MROUND(((MIN(10,_xlfn.XLOOKUP(B218,'Base stats'!B:B,'Base stats'!U:U)))^0.4*_xlfn.XLOOKUP(B218,'Base stats'!B:B,'Base stats'!BH:BH)^0.73)^0.6 * _xlfn.XLOOKUP(B218,'Base stats'!B:B,'Base stats'!BX:BX),0.1),0.05)
))</f>
        <v>No</v>
      </c>
      <c r="H218" s="11" t="str">
        <f>IF(G218="No","No",
MROUND(_xlfn.XLOOKUP(B218,'Base stats'!B:B,'Base stats'!BH:BH) * 0.01 * 2 + 0.05, 0.05)
)</f>
        <v>No</v>
      </c>
      <c r="I218" s="11" t="str">
        <f>IF(G218="No","No",IF(_xlfn.XLOOKUP(B218,'Base stats'!B:B,'Base stats'!U:U)="No","No",
MROUND(_xlfn.XLOOKUP(B218,'Base stats'!B:B,'Base stats'!BT:BT)/10000+0.01,0.01)
))</f>
        <v>No</v>
      </c>
      <c r="J218" s="4" t="str">
        <f>IF(G218="No","No",
MROUND(_xlfn.XLOOKUP(B218,'Base stats'!B:B,'Base stats'!BE:BE)^0.25
/((_xlfn.XLOOKUP(B218,'Base stats'!B:B,'Base stats'!BL:BL))*10)*_xlfn.XLOOKUP(_xlfn.XLOOKUP(B218,'Base stats'!B:B,'Base stats'!E:E),Groups!A:A,Groups!Q:Q)*150 + 0.5 + _xlfn.XLOOKUP(B218,'Base stats'!B:B,'Base stats'!BW:BW),
0.05))</f>
        <v>No</v>
      </c>
      <c r="K218" s="3" t="str">
        <f>IF(Animals!X218="No","No",
IF(_xlfn.XLOOKUP(_xlfn.XLOOKUP(B218,'Base stats'!B:B,'Base stats'!E:E),Groups!A:A,Groups!BD:BD)=1,
MAX(MROUND(_xlfn.XLOOKUP(B218,'Base stats'!B:B,'Base stats'!BU:BU) * _xlfn.XLOOKUP(B218,'Base stats'!B:B,'Base stats'!BQ:BQ)^0.9 / 21 *_xlfn.XLOOKUP(B218,'Base stats'!B:B,'Base stats'!BX:BX),0.1),0.05),
MAX(MROUND(((MIN(10,_xlfn.XLOOKUP(B218,'Base stats'!B:B,'Base stats'!W:W)))^0.4*_xlfn.XLOOKUP(B218,'Base stats'!B:B,'Base stats'!BI:BI)^0.73)^0.6 *_xlfn.XLOOKUP(B218,'Base stats'!B:B,'Base stats'!BX:BX),0.1),0.05)
))</f>
        <v>No</v>
      </c>
      <c r="L218" s="11" t="str">
        <f>IF(K218="No","No",
MROUND(_xlfn.XLOOKUP(B218,'Base stats'!B:B,'Base stats'!BI:BI) * 0.01 *2 + 0.05, 0.05)
)</f>
        <v>No</v>
      </c>
      <c r="M218" s="5" t="str">
        <f>IF(K218="No","No",IF(_xlfn.XLOOKUP(_xlfn.XLOOKUP(B218,'Base stats'!B:B,'Base stats'!E:E),Groups!A:A,Groups!BD:BD)=1,"No",
MROUND(_xlfn.XLOOKUP(B218,'Base stats'!B:B,'Base stats'!BU:BU)/10000+0.01,0.01)
))</f>
        <v>No</v>
      </c>
      <c r="N218" s="4" t="str">
        <f>IF(K218="No","No",
MROUND(
  _xlfn.XLOOKUP(B218,'Base stats'!B:B,'Base stats'!BC:BC)^0.25
  / (_xlfn.XLOOKUP(B218,'Base stats'!B:B,'Base stats'!BM:BM) * 10)
  * _xlfn.XLOOKUP(
      _xlfn.XLOOKUP(B218,'Base stats'!B:B,'Base stats'!E:E),
      Groups!A:A,
      Groups!V:V
    ) * 150
  + MIN(12, _xlfn.XLOOKUP(B218,'Base stats'!B:B,'Base stats'!W:W))^(1/IF(_xlfn.XLOOKUP(_xlfn.XLOOKUP(B218,'Base stats'!B:B,'Base stats'!E:E),Groups!A:A,Groups!U:U)=1,100,10)) + 0.5 + _xlfn.XLOOKUP(B218,'Base stats'!B:B,'Base stats'!BW:BW),
0.05))</f>
        <v>No</v>
      </c>
      <c r="O218" s="3" t="str">
        <f>IF(Animals!AD218="No","No",
MAX(MROUND((MIN(10,_xlfn.XLOOKUP(B218,'Base stats'!B:B,'Base stats'!V:V)*IF(_xlfn.XLOOKUP(_xlfn.XLOOKUP(B218,'Base stats'!B:B,'Base stats'!E:E),Groups!A:A,Groups!O:O)=0,1,0.33))^0.4*_xlfn.XLOOKUP(B218,'Base stats'!B:B,'Base stats'!BJ:BJ)^0.73)^0.6 *_xlfn.XLOOKUP(B218,'Base stats'!B:B,'Base stats'!BX:BX),0.1),0.05)
)</f>
        <v>No</v>
      </c>
      <c r="P218" s="11" t="str">
        <f>IF(O218="No","No",
MROUND(_xlfn.XLOOKUP(B218,'Base stats'!B:B,'Base stats'!BJ:BJ) * 0.01 * 2 + 0.05, 0.05)
)</f>
        <v>No</v>
      </c>
      <c r="Q218" s="5" t="str">
        <f>IF(O218="No","No",
MROUND(_xlfn.XLOOKUP(B218,'Base stats'!B:B,'Base stats'!BV:BV)/10000+0.01,0.01)
)</f>
        <v>No</v>
      </c>
      <c r="R218" s="4" t="str">
        <f>IF(O218="No","No",
MROUND(_xlfn.XLOOKUP(B218,'Base stats'!B:B,'Base stats'!BB:BB)^0.25
/((_xlfn.XLOOKUP(B218,'Base stats'!B:B,'Base stats'!BN:BN))*10)*_xlfn.XLOOKUP(_xlfn.XLOOKUP(B218,'Base stats'!B:B,'Base stats'!E:E),Groups!A:A,Groups!Z:Z)*150 + 0.5 + _xlfn.XLOOKUP(B218,'Base stats'!B:B,'Base stats'!BW:BW),
0.05))</f>
        <v>No</v>
      </c>
      <c r="S218" s="3" t="str">
        <f>IF(Animals!AI218="No","No",
IF(_xlfn.XLOOKUP(B218,'Base stats'!B:B,'Base stats'!U:U)="No",
MAX(MROUND(_xlfn.XLOOKUP(B218,'Base stats'!B:B,'Base stats'!BT:BT) * _xlfn.XLOOKUP(B218,'Base stats'!B:B,'Base stats'!BP:BP)^0.9 / 21 * _xlfn.XLOOKUP(B218,'Base stats'!B:B,'Base stats'!BX:BX),0.1),0.05),
MAX(MROUND(((MIN(12,_xlfn.XLOOKUP(B218,'Base stats'!B:B,'Base stats'!U:U)))^0.4*_xlfn.XLOOKUP(B218,'Base stats'!B:B,'Base stats'!BH:BH)^0.73)^0.6 * _xlfn.XLOOKUP(B218,'Base stats'!B:B,'Base stats'!BX:BX),0.1),0.05)
))</f>
        <v>No</v>
      </c>
      <c r="T218" s="11" t="str">
        <f>IF(S218="No","No",
MROUND(_xlfn.XLOOKUP(B218,'Base stats'!B:B,'Base stats'!BH:BH) * 0.01 * 2 + 0.05, 0.05)
)</f>
        <v>No</v>
      </c>
      <c r="U218" s="5" t="str">
        <f>IF(S218="No","No",IF(_xlfn.XLOOKUP(B218,'Base stats'!B:B,'Base stats'!U:U)="No","No",
MROUND(_xlfn.XLOOKUP(B218,'Base stats'!B:B,'Base stats'!BT:BT)/10000+0.01,0.01)
))</f>
        <v>No</v>
      </c>
      <c r="V218" s="4" t="str">
        <f>IF(S218="No","No",
MROUND(_xlfn.XLOOKUP(B218,'Base stats'!B:B,'Base stats'!BF:BF)^0.25
/((_xlfn.XLOOKUP(B218,'Base stats'!B:B,'Base stats'!BO:BO))*10)*_xlfn.XLOOKUP(_xlfn.XLOOKUP(B218,'Base stats'!B:B,'Base stats'!E:E),Groups!A:A,Groups!AE:AE)*150 + 0.5 + _xlfn.XLOOKUP(B218,'Base stats'!B:B,'Base stats'!BW:BW),
0.05))</f>
        <v>No</v>
      </c>
      <c r="W218" s="8">
        <f>MROUND(_xlfn.XLOOKUP(_xlfn.XLOOKUP(B218,'Base stats'!B:B,'Base stats'!E:E),Groups!A:A,Groups!BG:BG)*_xlfn.XLOOKUP(B218,'Base stats'!B:B,'Base stats'!C:C)^-0.165,0.05)</f>
        <v>0.15000000000000002</v>
      </c>
      <c r="X218" s="1">
        <f>MROUND(_xlfn.XLOOKUP(_xlfn.XLOOKUP(B218,'Base stats'!B:B,'Base stats'!E:E),Groups!A:A,Groups!BH:BH)*_xlfn.XLOOKUP(B218,'Base stats'!B:B,'Base stats'!C:C)^0.165,0.05)</f>
        <v>0.2</v>
      </c>
      <c r="Y218" s="8">
        <f>MROUND(_xlfn.XLOOKUP(_xlfn.XLOOKUP(B218,'Base stats'!B:B,'Base stats'!E:E),Groups!A:A,Groups!BI:BI)*_xlfn.XLOOKUP(B218,'Base stats'!B:B,'Base stats'!C:C)^0.165,0.05)</f>
        <v>0.05</v>
      </c>
      <c r="Z218" s="18">
        <f>MROUND(_xlfn.XLOOKUP(B218,'Base stats'!B:B,'Base stats'!AQ:AQ)*_xlfn.XLOOKUP(_xlfn.XLOOKUP(B218,'Base stats'!B:B,'Base stats'!E:E),Groups!A:A,Groups!H:H)/1000,IF((_xlfn.XLOOKUP(B218,'Base stats'!B:B,'Base stats'!AQ:AQ)*_xlfn.XLOOKUP(_xlfn.XLOOKUP(B218,'Base stats'!B:B,'Base stats'!E:E),Groups!A:A,Groups!H:H)/1000)&gt;1,0.05,0.01))</f>
        <v>0.79</v>
      </c>
      <c r="AA218" s="18">
        <f>MROUND((1/2)*(_xlfn.XLOOKUP(_xlfn.XLOOKUP(B218,'Base stats'!B:B,'Base stats'!E:E),Groups!A:A,Groups!H:H)*_xlfn.XLOOKUP(_xlfn.XLOOKUP(B218,'Base stats'!B:B,'Base stats'!E:E),Groups!A:A,Groups!I:I))*_xlfn.XLOOKUP(B218,'Base stats'!B:B,'Base stats'!AQ:AQ)*0.01,0.05)</f>
        <v>0.1</v>
      </c>
      <c r="AB218" s="18">
        <f>MROUND(250*(Animals!AO218+Animals!AP218),25)</f>
        <v>375</v>
      </c>
      <c r="AC218" s="18" t="str">
        <f>_xlfn.XLOOKUP(_xlfn.XLOOKUP(B218,'Base stats'!B:B,'Base stats'!E:E),Groups!A:A,Groups!BJ:BJ)</f>
        <v>Birdlike</v>
      </c>
    </row>
    <row r="219" spans="1:29" ht="16.5" thickTop="1" thickBot="1" x14ac:dyDescent="0.3">
      <c r="A219" s="16" t="str">
        <f>Animals!A219</f>
        <v>AngelMothLarva</v>
      </c>
      <c r="B219" s="6" t="str">
        <f>Animals!B219</f>
        <v>Angelis luminata (larva)</v>
      </c>
      <c r="C219" s="1" t="str">
        <f>Animals!C219</f>
        <v>&lt;li&gt;AA_AngelMothLarva&lt;/li&gt;</v>
      </c>
      <c r="D219" s="47">
        <f>MIN(MIN(6,_xlfn.XLOOKUP(A219,Animals!A:A,Animals!AO:AO))*20,MAX(MROUND(_xlfn.XLOOKUP(B219,'Base stats'!B:B,'Base stats'!BS:BS) * (_xlfn.XLOOKUP(B219,'Base stats'!B:B,'Base stats'!AO:AO)*5%)^0.9 / 21,0.1),0.05))</f>
        <v>0.05</v>
      </c>
      <c r="E219" s="11">
        <f>MROUND(_xlfn.XLOOKUP(B219,'Base stats'!B:B,'Base stats'!BG:BG) * 0.01 * 2 + 0.01, 0.05)</f>
        <v>0</v>
      </c>
      <c r="F219" s="7">
        <f>MROUND(_xlfn.XLOOKUP(B219,'Base stats'!B:B,'Base stats'!BD:BD)^0.25 / (_xlfn.XLOOKUP(B219,'Base stats'!B:B,'Base stats'!BK:BK) * 10) * 150 + 0.5 + _xlfn.XLOOKUP(B219,'Base stats'!B:B,'Base stats'!BW:BW), 0.05)</f>
        <v>1.5</v>
      </c>
      <c r="G219" s="3" t="str">
        <f>IF(Animals!S219="No","No",
IF(_xlfn.XLOOKUP(B219,'Base stats'!B:B,'Base stats'!U:U)="No",
MAX(MROUND(_xlfn.XLOOKUP(B219,'Base stats'!B:B,'Base stats'!BT:BT) * _xlfn.XLOOKUP(B219,'Base stats'!B:B,'Base stats'!BP:BP)^0.9 / 21 * _xlfn.XLOOKUP(B219,'Base stats'!B:B,'Base stats'!BX:BX),0.1),0.05),
MAX(MROUND(((MIN(10,_xlfn.XLOOKUP(B219,'Base stats'!B:B,'Base stats'!U:U)))^0.4*_xlfn.XLOOKUP(B219,'Base stats'!B:B,'Base stats'!BH:BH)^0.73)^0.6 * _xlfn.XLOOKUP(B219,'Base stats'!B:B,'Base stats'!BX:BX),0.1),0.05)
))</f>
        <v>No</v>
      </c>
      <c r="H219" s="11" t="str">
        <f>IF(G219="No","No",
MROUND(_xlfn.XLOOKUP(B219,'Base stats'!B:B,'Base stats'!BH:BH) * 0.01 * 2 + 0.05, 0.05)
)</f>
        <v>No</v>
      </c>
      <c r="I219" s="11" t="str">
        <f>IF(G219="No","No",IF(_xlfn.XLOOKUP(B219,'Base stats'!B:B,'Base stats'!U:U)="No","No",
MROUND(_xlfn.XLOOKUP(B219,'Base stats'!B:B,'Base stats'!BT:BT)/10000+0.01,0.01)
))</f>
        <v>No</v>
      </c>
      <c r="J219" s="4" t="str">
        <f>IF(G219="No","No",
MROUND(_xlfn.XLOOKUP(B219,'Base stats'!B:B,'Base stats'!BE:BE)^0.25
/((_xlfn.XLOOKUP(B219,'Base stats'!B:B,'Base stats'!BL:BL))*10)*_xlfn.XLOOKUP(_xlfn.XLOOKUP(B219,'Base stats'!B:B,'Base stats'!E:E),Groups!A:A,Groups!Q:Q)*150 + 0.5 + _xlfn.XLOOKUP(B219,'Base stats'!B:B,'Base stats'!BW:BW),
0.05))</f>
        <v>No</v>
      </c>
      <c r="K219" s="3" t="str">
        <f>IF(Animals!X219="No","No",
IF(_xlfn.XLOOKUP(_xlfn.XLOOKUP(B219,'Base stats'!B:B,'Base stats'!E:E),Groups!A:A,Groups!BD:BD)=1,
MAX(MROUND(_xlfn.XLOOKUP(B219,'Base stats'!B:B,'Base stats'!BU:BU) * _xlfn.XLOOKUP(B219,'Base stats'!B:B,'Base stats'!BQ:BQ)^0.9 / 21 *_xlfn.XLOOKUP(B219,'Base stats'!B:B,'Base stats'!BX:BX),0.1),0.05),
MAX(MROUND(((MIN(10,_xlfn.XLOOKUP(B219,'Base stats'!B:B,'Base stats'!W:W)))^0.4*_xlfn.XLOOKUP(B219,'Base stats'!B:B,'Base stats'!BI:BI)^0.73)^0.6 *_xlfn.XLOOKUP(B219,'Base stats'!B:B,'Base stats'!BX:BX),0.1),0.05)
))</f>
        <v>No</v>
      </c>
      <c r="L219" s="11" t="str">
        <f>IF(K219="No","No",
MROUND(_xlfn.XLOOKUP(B219,'Base stats'!B:B,'Base stats'!BI:BI) * 0.01 *2 + 0.05, 0.05)
)</f>
        <v>No</v>
      </c>
      <c r="M219" s="5" t="str">
        <f>IF(K219="No","No",IF(_xlfn.XLOOKUP(_xlfn.XLOOKUP(B219,'Base stats'!B:B,'Base stats'!E:E),Groups!A:A,Groups!BD:BD)=1,"No",
MROUND(_xlfn.XLOOKUP(B219,'Base stats'!B:B,'Base stats'!BU:BU)/10000+0.01,0.01)
))</f>
        <v>No</v>
      </c>
      <c r="N219" s="4" t="str">
        <f>IF(K219="No","No",
MROUND(
  _xlfn.XLOOKUP(B219,'Base stats'!B:B,'Base stats'!BC:BC)^0.25
  / (_xlfn.XLOOKUP(B219,'Base stats'!B:B,'Base stats'!BM:BM) * 10)
  * _xlfn.XLOOKUP(
      _xlfn.XLOOKUP(B219,'Base stats'!B:B,'Base stats'!E:E),
      Groups!A:A,
      Groups!V:V
    ) * 150
  + MIN(12, _xlfn.XLOOKUP(B219,'Base stats'!B:B,'Base stats'!W:W))^(1/IF(_xlfn.XLOOKUP(_xlfn.XLOOKUP(B219,'Base stats'!B:B,'Base stats'!E:E),Groups!A:A,Groups!U:U)=1,100,10)) + 0.5 + _xlfn.XLOOKUP(B219,'Base stats'!B:B,'Base stats'!BW:BW),
0.05))</f>
        <v>No</v>
      </c>
      <c r="O219" s="3">
        <f>IF(Animals!AD219="No","No",
MAX(MROUND((MIN(10,_xlfn.XLOOKUP(B219,'Base stats'!B:B,'Base stats'!V:V)*IF(_xlfn.XLOOKUP(_xlfn.XLOOKUP(B219,'Base stats'!B:B,'Base stats'!E:E),Groups!A:A,Groups!O:O)=0,1,0.33))^0.4*_xlfn.XLOOKUP(B219,'Base stats'!B:B,'Base stats'!BJ:BJ)^0.73)^0.6 *_xlfn.XLOOKUP(B219,'Base stats'!B:B,'Base stats'!BX:BX),0.1),0.05)
)</f>
        <v>2.4000000000000004</v>
      </c>
      <c r="P219" s="11">
        <f>IF(O219="No","No",
MROUND(_xlfn.XLOOKUP(B219,'Base stats'!B:B,'Base stats'!BJ:BJ) * 0.01 * 2 + 0.05, 0.05)
)</f>
        <v>0.2</v>
      </c>
      <c r="Q219" s="5">
        <f>IF(O219="No","No",
MROUND(_xlfn.XLOOKUP(B219,'Base stats'!B:B,'Base stats'!BV:BV)/10000+0.01,0.01)
)</f>
        <v>7.0000000000000007E-2</v>
      </c>
      <c r="R219" s="4">
        <f>IF(O219="No","No",
MROUND(_xlfn.XLOOKUP(B219,'Base stats'!B:B,'Base stats'!BB:BB)^0.25
/((_xlfn.XLOOKUP(B219,'Base stats'!B:B,'Base stats'!BN:BN))*10)*_xlfn.XLOOKUP(_xlfn.XLOOKUP(B219,'Base stats'!B:B,'Base stats'!E:E),Groups!A:A,Groups!Z:Z)*150 + 0.5 + _xlfn.XLOOKUP(B219,'Base stats'!B:B,'Base stats'!BW:BW),
0.05))</f>
        <v>1.1000000000000001</v>
      </c>
      <c r="S219" s="3" t="str">
        <f>IF(Animals!AI219="No","No",
IF(_xlfn.XLOOKUP(B219,'Base stats'!B:B,'Base stats'!U:U)="No",
MAX(MROUND(_xlfn.XLOOKUP(B219,'Base stats'!B:B,'Base stats'!BT:BT) * _xlfn.XLOOKUP(B219,'Base stats'!B:B,'Base stats'!BP:BP)^0.9 / 21 * _xlfn.XLOOKUP(B219,'Base stats'!B:B,'Base stats'!BX:BX),0.1),0.05),
MAX(MROUND(((MIN(12,_xlfn.XLOOKUP(B219,'Base stats'!B:B,'Base stats'!U:U)))^0.4*_xlfn.XLOOKUP(B219,'Base stats'!B:B,'Base stats'!BH:BH)^0.73)^0.6 * _xlfn.XLOOKUP(B219,'Base stats'!B:B,'Base stats'!BX:BX),0.1),0.05)
))</f>
        <v>No</v>
      </c>
      <c r="T219" s="11" t="str">
        <f>IF(S219="No","No",
MROUND(_xlfn.XLOOKUP(B219,'Base stats'!B:B,'Base stats'!BH:BH) * 0.01 * 2 + 0.05, 0.05)
)</f>
        <v>No</v>
      </c>
      <c r="U219" s="5" t="str">
        <f>IF(S219="No","No",IF(_xlfn.XLOOKUP(B219,'Base stats'!B:B,'Base stats'!U:U)="No","No",
MROUND(_xlfn.XLOOKUP(B219,'Base stats'!B:B,'Base stats'!BT:BT)/10000+0.01,0.01)
))</f>
        <v>No</v>
      </c>
      <c r="V219" s="4" t="str">
        <f>IF(S219="No","No",
MROUND(_xlfn.XLOOKUP(B219,'Base stats'!B:B,'Base stats'!BF:BF)^0.25
/((_xlfn.XLOOKUP(B219,'Base stats'!B:B,'Base stats'!BO:BO))*10)*_xlfn.XLOOKUP(_xlfn.XLOOKUP(B219,'Base stats'!B:B,'Base stats'!E:E),Groups!A:A,Groups!AE:AE)*150 + 0.5 + _xlfn.XLOOKUP(B219,'Base stats'!B:B,'Base stats'!BW:BW),
0.05))</f>
        <v>No</v>
      </c>
      <c r="W219" s="8">
        <f>MROUND(_xlfn.XLOOKUP(_xlfn.XLOOKUP(B219,'Base stats'!B:B,'Base stats'!E:E),Groups!A:A,Groups!BG:BG)*_xlfn.XLOOKUP(B219,'Base stats'!B:B,'Base stats'!C:C)^-0.165,0.05)</f>
        <v>0.30000000000000004</v>
      </c>
      <c r="X219" s="1">
        <f>MROUND(_xlfn.XLOOKUP(_xlfn.XLOOKUP(B219,'Base stats'!B:B,'Base stats'!E:E),Groups!A:A,Groups!BH:BH)*_xlfn.XLOOKUP(B219,'Base stats'!B:B,'Base stats'!C:C)^0.165,0.05)</f>
        <v>0.1</v>
      </c>
      <c r="Y219" s="8">
        <f>MROUND(_xlfn.XLOOKUP(_xlfn.XLOOKUP(B219,'Base stats'!B:B,'Base stats'!E:E),Groups!A:A,Groups!BI:BI)*_xlfn.XLOOKUP(B219,'Base stats'!B:B,'Base stats'!C:C)^0.165,0.05)</f>
        <v>0</v>
      </c>
      <c r="Z219" s="18">
        <f>MROUND(_xlfn.XLOOKUP(B219,'Base stats'!B:B,'Base stats'!AQ:AQ)*_xlfn.XLOOKUP(_xlfn.XLOOKUP(B219,'Base stats'!B:B,'Base stats'!E:E),Groups!A:A,Groups!H:H)/1000,IF((_xlfn.XLOOKUP(B219,'Base stats'!B:B,'Base stats'!AQ:AQ)*_xlfn.XLOOKUP(_xlfn.XLOOKUP(B219,'Base stats'!B:B,'Base stats'!E:E),Groups!A:A,Groups!H:H)/1000)&gt;1,0.05,0.01))</f>
        <v>0.18</v>
      </c>
      <c r="AA219" s="18">
        <f>MROUND((1/2)*(_xlfn.XLOOKUP(_xlfn.XLOOKUP(B219,'Base stats'!B:B,'Base stats'!E:E),Groups!A:A,Groups!H:H)*_xlfn.XLOOKUP(_xlfn.XLOOKUP(B219,'Base stats'!B:B,'Base stats'!E:E),Groups!A:A,Groups!I:I))*_xlfn.XLOOKUP(B219,'Base stats'!B:B,'Base stats'!AQ:AQ)*0.01,0.05)</f>
        <v>0</v>
      </c>
      <c r="AB219" s="18">
        <f>MROUND(250*(Animals!AO219+Animals!AP219),25)</f>
        <v>50</v>
      </c>
      <c r="AC219" s="18" t="str">
        <f>_xlfn.XLOOKUP(_xlfn.XLOOKUP(B219,'Base stats'!B:B,'Base stats'!E:E),Groups!A:A,Groups!BJ:BJ)</f>
        <v>Serpentine</v>
      </c>
    </row>
    <row r="220" spans="1:29" ht="16.5" thickTop="1" thickBot="1" x14ac:dyDescent="0.3">
      <c r="A220" s="16" t="str">
        <f>Animals!A220</f>
        <v>AnimaColossus</v>
      </c>
      <c r="B220" s="6" t="str">
        <f>Animals!B220</f>
        <v>Colossus animae</v>
      </c>
      <c r="C220" s="1" t="str">
        <f>Animals!C220</f>
        <v>&lt;li&gt;AA_AnimaColossus&lt;/li&gt;</v>
      </c>
      <c r="D220" s="47">
        <f>MIN(MIN(6,_xlfn.XLOOKUP(A220,Animals!A:A,Animals!AO:AO))*20,MAX(MROUND(_xlfn.XLOOKUP(B220,'Base stats'!B:B,'Base stats'!BS:BS) * (_xlfn.XLOOKUP(B220,'Base stats'!B:B,'Base stats'!AO:AO)*5%)^0.9 / 21,0.1),0.05))</f>
        <v>74.400000000000006</v>
      </c>
      <c r="E220" s="11">
        <f>MROUND(_xlfn.XLOOKUP(B220,'Base stats'!B:B,'Base stats'!BG:BG) * 0.01 * 2 + 0.01, 0.05)</f>
        <v>85</v>
      </c>
      <c r="F220" s="7">
        <f>MROUND(_xlfn.XLOOKUP(B220,'Base stats'!B:B,'Base stats'!BD:BD)^0.25 / (_xlfn.XLOOKUP(B220,'Base stats'!B:B,'Base stats'!BK:BK) * 10) * 150 + 0.5 + _xlfn.XLOOKUP(B220,'Base stats'!B:B,'Base stats'!BW:BW), 0.05)</f>
        <v>3.2</v>
      </c>
      <c r="G220" s="3" t="str">
        <f>IF(Animals!S220="No","No",
IF(_xlfn.XLOOKUP(B220,'Base stats'!B:B,'Base stats'!U:U)="No",
MAX(MROUND(_xlfn.XLOOKUP(B220,'Base stats'!B:B,'Base stats'!BT:BT) * _xlfn.XLOOKUP(B220,'Base stats'!B:B,'Base stats'!BP:BP)^0.9 / 21 * _xlfn.XLOOKUP(B220,'Base stats'!B:B,'Base stats'!BX:BX),0.1),0.05),
MAX(MROUND(((MIN(10,_xlfn.XLOOKUP(B220,'Base stats'!B:B,'Base stats'!U:U)))^0.4*_xlfn.XLOOKUP(B220,'Base stats'!B:B,'Base stats'!BH:BH)^0.73)^0.6 * _xlfn.XLOOKUP(B220,'Base stats'!B:B,'Base stats'!BX:BX),0.1),0.05)
))</f>
        <v>No</v>
      </c>
      <c r="H220" s="11" t="str">
        <f>IF(G220="No","No",
MROUND(_xlfn.XLOOKUP(B220,'Base stats'!B:B,'Base stats'!BH:BH) * 0.01 * 2 + 0.05, 0.05)
)</f>
        <v>No</v>
      </c>
      <c r="I220" s="11" t="str">
        <f>IF(G220="No","No",IF(_xlfn.XLOOKUP(B220,'Base stats'!B:B,'Base stats'!U:U)="No","No",
MROUND(_xlfn.XLOOKUP(B220,'Base stats'!B:B,'Base stats'!BT:BT)/10000+0.01,0.01)
))</f>
        <v>No</v>
      </c>
      <c r="J220" s="4" t="str">
        <f>IF(G220="No","No",
MROUND(_xlfn.XLOOKUP(B220,'Base stats'!B:B,'Base stats'!BE:BE)^0.25
/((_xlfn.XLOOKUP(B220,'Base stats'!B:B,'Base stats'!BL:BL))*10)*_xlfn.XLOOKUP(_xlfn.XLOOKUP(B220,'Base stats'!B:B,'Base stats'!E:E),Groups!A:A,Groups!Q:Q)*150 + 0.5 + _xlfn.XLOOKUP(B220,'Base stats'!B:B,'Base stats'!BW:BW),
0.05))</f>
        <v>No</v>
      </c>
      <c r="K220" s="3" t="str">
        <f>IF(Animals!X220="No","No",
IF(_xlfn.XLOOKUP(_xlfn.XLOOKUP(B220,'Base stats'!B:B,'Base stats'!E:E),Groups!A:A,Groups!BD:BD)=1,
MAX(MROUND(_xlfn.XLOOKUP(B220,'Base stats'!B:B,'Base stats'!BU:BU) * _xlfn.XLOOKUP(B220,'Base stats'!B:B,'Base stats'!BQ:BQ)^0.9 / 21 *_xlfn.XLOOKUP(B220,'Base stats'!B:B,'Base stats'!BX:BX),0.1),0.05),
MAX(MROUND(((MIN(10,_xlfn.XLOOKUP(B220,'Base stats'!B:B,'Base stats'!W:W)))^0.4*_xlfn.XLOOKUP(B220,'Base stats'!B:B,'Base stats'!BI:BI)^0.73)^0.6 *_xlfn.XLOOKUP(B220,'Base stats'!B:B,'Base stats'!BX:BX),0.1),0.05)
))</f>
        <v>No</v>
      </c>
      <c r="L220" s="11" t="str">
        <f>IF(K220="No","No",
MROUND(_xlfn.XLOOKUP(B220,'Base stats'!B:B,'Base stats'!BI:BI) * 0.01 *2 + 0.05, 0.05)
)</f>
        <v>No</v>
      </c>
      <c r="M220" s="5" t="str">
        <f>IF(K220="No","No",IF(_xlfn.XLOOKUP(_xlfn.XLOOKUP(B220,'Base stats'!B:B,'Base stats'!E:E),Groups!A:A,Groups!BD:BD)=1,"No",
MROUND(_xlfn.XLOOKUP(B220,'Base stats'!B:B,'Base stats'!BU:BU)/10000+0.01,0.01)
))</f>
        <v>No</v>
      </c>
      <c r="N220" s="4" t="str">
        <f>IF(K220="No","No",
MROUND(
  _xlfn.XLOOKUP(B220,'Base stats'!B:B,'Base stats'!BC:BC)^0.25
  / (_xlfn.XLOOKUP(B220,'Base stats'!B:B,'Base stats'!BM:BM) * 10)
  * _xlfn.XLOOKUP(
      _xlfn.XLOOKUP(B220,'Base stats'!B:B,'Base stats'!E:E),
      Groups!A:A,
      Groups!V:V
    ) * 150
  + MIN(12, _xlfn.XLOOKUP(B220,'Base stats'!B:B,'Base stats'!W:W))^(1/IF(_xlfn.XLOOKUP(_xlfn.XLOOKUP(B220,'Base stats'!B:B,'Base stats'!E:E),Groups!A:A,Groups!U:U)=1,100,10)) + 0.5 + _xlfn.XLOOKUP(B220,'Base stats'!B:B,'Base stats'!BW:BW),
0.05))</f>
        <v>No</v>
      </c>
      <c r="O220" s="3">
        <f>IF(Animals!AD220="No","No",
MAX(MROUND((MIN(10,_xlfn.XLOOKUP(B220,'Base stats'!B:B,'Base stats'!V:V)*IF(_xlfn.XLOOKUP(_xlfn.XLOOKUP(B220,'Base stats'!B:B,'Base stats'!E:E),Groups!A:A,Groups!O:O)=0,1,0.33))^0.4*_xlfn.XLOOKUP(B220,'Base stats'!B:B,'Base stats'!BJ:BJ)^0.73)^0.6 *_xlfn.XLOOKUP(B220,'Base stats'!B:B,'Base stats'!BX:BX),0.1),0.05)
)</f>
        <v>46.5</v>
      </c>
      <c r="P220" s="11">
        <f>IF(O220="No","No",
MROUND(_xlfn.XLOOKUP(B220,'Base stats'!B:B,'Base stats'!BJ:BJ) * 0.01 * 2 + 0.05, 0.05)
)</f>
        <v>48.1</v>
      </c>
      <c r="Q220" s="5">
        <f>IF(O220="No","No",
MROUND(_xlfn.XLOOKUP(B220,'Base stats'!B:B,'Base stats'!BV:BV)/10000+0.01,0.01)
)</f>
        <v>0.39</v>
      </c>
      <c r="R220" s="4">
        <f>IF(O220="No","No",
MROUND(_xlfn.XLOOKUP(B220,'Base stats'!B:B,'Base stats'!BB:BB)^0.25
/((_xlfn.XLOOKUP(B220,'Base stats'!B:B,'Base stats'!BN:BN))*10)*_xlfn.XLOOKUP(_xlfn.XLOOKUP(B220,'Base stats'!B:B,'Base stats'!E:E),Groups!A:A,Groups!Z:Z)*150 + 0.5 + _xlfn.XLOOKUP(B220,'Base stats'!B:B,'Base stats'!BW:BW),
0.05))</f>
        <v>2.8000000000000003</v>
      </c>
      <c r="S220" s="3" t="str">
        <f>IF(Animals!AI220="No","No",
IF(_xlfn.XLOOKUP(B220,'Base stats'!B:B,'Base stats'!U:U)="No",
MAX(MROUND(_xlfn.XLOOKUP(B220,'Base stats'!B:B,'Base stats'!BT:BT) * _xlfn.XLOOKUP(B220,'Base stats'!B:B,'Base stats'!BP:BP)^0.9 / 21 * _xlfn.XLOOKUP(B220,'Base stats'!B:B,'Base stats'!BX:BX),0.1),0.05),
MAX(MROUND(((MIN(12,_xlfn.XLOOKUP(B220,'Base stats'!B:B,'Base stats'!U:U)))^0.4*_xlfn.XLOOKUP(B220,'Base stats'!B:B,'Base stats'!BH:BH)^0.73)^0.6 * _xlfn.XLOOKUP(B220,'Base stats'!B:B,'Base stats'!BX:BX),0.1),0.05)
))</f>
        <v>No</v>
      </c>
      <c r="T220" s="11" t="str">
        <f>IF(S220="No","No",
MROUND(_xlfn.XLOOKUP(B220,'Base stats'!B:B,'Base stats'!BH:BH) * 0.01 * 2 + 0.05, 0.05)
)</f>
        <v>No</v>
      </c>
      <c r="U220" s="5" t="str">
        <f>IF(S220="No","No",IF(_xlfn.XLOOKUP(B220,'Base stats'!B:B,'Base stats'!U:U)="No","No",
MROUND(_xlfn.XLOOKUP(B220,'Base stats'!B:B,'Base stats'!BT:BT)/10000+0.01,0.01)
))</f>
        <v>No</v>
      </c>
      <c r="V220" s="4" t="str">
        <f>IF(S220="No","No",
MROUND(_xlfn.XLOOKUP(B220,'Base stats'!B:B,'Base stats'!BF:BF)^0.25
/((_xlfn.XLOOKUP(B220,'Base stats'!B:B,'Base stats'!BO:BO))*10)*_xlfn.XLOOKUP(_xlfn.XLOOKUP(B220,'Base stats'!B:B,'Base stats'!E:E),Groups!A:A,Groups!AE:AE)*150 + 0.5 + _xlfn.XLOOKUP(B220,'Base stats'!B:B,'Base stats'!BW:BW),
0.05))</f>
        <v>No</v>
      </c>
      <c r="W220" s="8">
        <f>MROUND(_xlfn.XLOOKUP(_xlfn.XLOOKUP(B220,'Base stats'!B:B,'Base stats'!E:E),Groups!A:A,Groups!BG:BG)*_xlfn.XLOOKUP(B220,'Base stats'!B:B,'Base stats'!C:C)^-0.165,0.05)</f>
        <v>0.05</v>
      </c>
      <c r="X220" s="1">
        <f>MROUND(_xlfn.XLOOKUP(_xlfn.XLOOKUP(B220,'Base stats'!B:B,'Base stats'!E:E),Groups!A:A,Groups!BH:BH)*_xlfn.XLOOKUP(B220,'Base stats'!B:B,'Base stats'!C:C)^0.165,0.05)</f>
        <v>0.70000000000000007</v>
      </c>
      <c r="Y220" s="8">
        <f>MROUND(_xlfn.XLOOKUP(_xlfn.XLOOKUP(B220,'Base stats'!B:B,'Base stats'!E:E),Groups!A:A,Groups!BI:BI)*_xlfn.XLOOKUP(B220,'Base stats'!B:B,'Base stats'!C:C)^0.165,0.05)</f>
        <v>0.1</v>
      </c>
      <c r="Z220" s="18">
        <f>MROUND(_xlfn.XLOOKUP(B220,'Base stats'!B:B,'Base stats'!AQ:AQ)*_xlfn.XLOOKUP(_xlfn.XLOOKUP(B220,'Base stats'!B:B,'Base stats'!E:E),Groups!A:A,Groups!H:H)/1000,IF((_xlfn.XLOOKUP(B220,'Base stats'!B:B,'Base stats'!AQ:AQ)*_xlfn.XLOOKUP(_xlfn.XLOOKUP(B220,'Base stats'!B:B,'Base stats'!E:E),Groups!A:A,Groups!H:H)/1000)&gt;1,0.05,0.01))</f>
        <v>10.600000000000001</v>
      </c>
      <c r="AA220" s="18">
        <f>MROUND((1/2)*(_xlfn.XLOOKUP(_xlfn.XLOOKUP(B220,'Base stats'!B:B,'Base stats'!E:E),Groups!A:A,Groups!H:H)*_xlfn.XLOOKUP(_xlfn.XLOOKUP(B220,'Base stats'!B:B,'Base stats'!E:E),Groups!A:A,Groups!I:I))*_xlfn.XLOOKUP(B220,'Base stats'!B:B,'Base stats'!AQ:AQ)*0.01,0.05)</f>
        <v>15.950000000000001</v>
      </c>
      <c r="AB220" s="18">
        <f>MROUND(250*(Animals!AO220+Animals!AP220),25)</f>
        <v>4075</v>
      </c>
      <c r="AC220" s="18" t="str">
        <f>_xlfn.XLOOKUP(_xlfn.XLOOKUP(B220,'Base stats'!B:B,'Base stats'!E:E),Groups!A:A,Groups!BJ:BJ)</f>
        <v>Quadruped</v>
      </c>
    </row>
    <row r="221" spans="1:29" ht="16.5" thickTop="1" thickBot="1" x14ac:dyDescent="0.3">
      <c r="A221" s="16" t="str">
        <f>Animals!A221</f>
        <v>Animalisk</v>
      </c>
      <c r="B221" s="6" t="str">
        <f>Animals!B221</f>
        <v>Araneodraco animalis</v>
      </c>
      <c r="C221" s="1" t="str">
        <f>Animals!C221</f>
        <v>&lt;li&gt;AA_Animalisk&lt;/li&gt;</v>
      </c>
      <c r="D221" s="47">
        <f>MIN(MIN(6,_xlfn.XLOOKUP(A221,Animals!A:A,Animals!AO:AO))*20,MAX(MROUND(_xlfn.XLOOKUP(B221,'Base stats'!B:B,'Base stats'!BS:BS) * (_xlfn.XLOOKUP(B221,'Base stats'!B:B,'Base stats'!AO:AO)*5%)^0.9 / 21,0.1),0.05))</f>
        <v>4.9000000000000004</v>
      </c>
      <c r="E221" s="11">
        <f>MROUND(_xlfn.XLOOKUP(B221,'Base stats'!B:B,'Base stats'!BG:BG) * 0.01 * 2 + 0.01, 0.05)</f>
        <v>4.55</v>
      </c>
      <c r="F221" s="7">
        <f>MROUND(_xlfn.XLOOKUP(B221,'Base stats'!B:B,'Base stats'!BD:BD)^0.25 / (_xlfn.XLOOKUP(B221,'Base stats'!B:B,'Base stats'!BK:BK) * 10) * 150 + 0.5 + _xlfn.XLOOKUP(B221,'Base stats'!B:B,'Base stats'!BW:BW), 0.05)</f>
        <v>2.4000000000000004</v>
      </c>
      <c r="G221" s="3" t="str">
        <f>IF(Animals!S221="No","No",
IF(_xlfn.XLOOKUP(B221,'Base stats'!B:B,'Base stats'!U:U)="No",
MAX(MROUND(_xlfn.XLOOKUP(B221,'Base stats'!B:B,'Base stats'!BT:BT) * _xlfn.XLOOKUP(B221,'Base stats'!B:B,'Base stats'!BP:BP)^0.9 / 21 * _xlfn.XLOOKUP(B221,'Base stats'!B:B,'Base stats'!BX:BX),0.1),0.05),
MAX(MROUND(((MIN(10,_xlfn.XLOOKUP(B221,'Base stats'!B:B,'Base stats'!U:U)))^0.4*_xlfn.XLOOKUP(B221,'Base stats'!B:B,'Base stats'!BH:BH)^0.73)^0.6 * _xlfn.XLOOKUP(B221,'Base stats'!B:B,'Base stats'!BX:BX),0.1),0.05)
))</f>
        <v>No</v>
      </c>
      <c r="H221" s="11" t="str">
        <f>IF(G221="No","No",
MROUND(_xlfn.XLOOKUP(B221,'Base stats'!B:B,'Base stats'!BH:BH) * 0.01 * 2 + 0.05, 0.05)
)</f>
        <v>No</v>
      </c>
      <c r="I221" s="11" t="str">
        <f>IF(G221="No","No",IF(_xlfn.XLOOKUP(B221,'Base stats'!B:B,'Base stats'!U:U)="No","No",
MROUND(_xlfn.XLOOKUP(B221,'Base stats'!B:B,'Base stats'!BT:BT)/10000+0.01,0.01)
))</f>
        <v>No</v>
      </c>
      <c r="J221" s="4" t="str">
        <f>IF(G221="No","No",
MROUND(_xlfn.XLOOKUP(B221,'Base stats'!B:B,'Base stats'!BE:BE)^0.25
/((_xlfn.XLOOKUP(B221,'Base stats'!B:B,'Base stats'!BL:BL))*10)*_xlfn.XLOOKUP(_xlfn.XLOOKUP(B221,'Base stats'!B:B,'Base stats'!E:E),Groups!A:A,Groups!Q:Q)*150 + 0.5 + _xlfn.XLOOKUP(B221,'Base stats'!B:B,'Base stats'!BW:BW),
0.05))</f>
        <v>No</v>
      </c>
      <c r="K221" s="3" t="str">
        <f>IF(Animals!X221="No","No",
IF(_xlfn.XLOOKUP(_xlfn.XLOOKUP(B221,'Base stats'!B:B,'Base stats'!E:E),Groups!A:A,Groups!BD:BD)=1,
MAX(MROUND(_xlfn.XLOOKUP(B221,'Base stats'!B:B,'Base stats'!BU:BU) * _xlfn.XLOOKUP(B221,'Base stats'!B:B,'Base stats'!BQ:BQ)^0.9 / 21 *_xlfn.XLOOKUP(B221,'Base stats'!B:B,'Base stats'!BX:BX),0.1),0.05),
MAX(MROUND(((MIN(10,_xlfn.XLOOKUP(B221,'Base stats'!B:B,'Base stats'!W:W)))^0.4*_xlfn.XLOOKUP(B221,'Base stats'!B:B,'Base stats'!BI:BI)^0.73)^0.6 *_xlfn.XLOOKUP(B221,'Base stats'!B:B,'Base stats'!BX:BX),0.1),0.05)
))</f>
        <v>No</v>
      </c>
      <c r="L221" s="11" t="str">
        <f>IF(K221="No","No",
MROUND(_xlfn.XLOOKUP(B221,'Base stats'!B:B,'Base stats'!BI:BI) * 0.01 *2 + 0.05, 0.05)
)</f>
        <v>No</v>
      </c>
      <c r="M221" s="5" t="str">
        <f>IF(K221="No","No",IF(_xlfn.XLOOKUP(_xlfn.XLOOKUP(B221,'Base stats'!B:B,'Base stats'!E:E),Groups!A:A,Groups!BD:BD)=1,"No",
MROUND(_xlfn.XLOOKUP(B221,'Base stats'!B:B,'Base stats'!BU:BU)/10000+0.01,0.01)
))</f>
        <v>No</v>
      </c>
      <c r="N221" s="4" t="str">
        <f>IF(K221="No","No",
MROUND(
  _xlfn.XLOOKUP(B221,'Base stats'!B:B,'Base stats'!BC:BC)^0.25
  / (_xlfn.XLOOKUP(B221,'Base stats'!B:B,'Base stats'!BM:BM) * 10)
  * _xlfn.XLOOKUP(
      _xlfn.XLOOKUP(B221,'Base stats'!B:B,'Base stats'!E:E),
      Groups!A:A,
      Groups!V:V
    ) * 150
  + MIN(12, _xlfn.XLOOKUP(B221,'Base stats'!B:B,'Base stats'!W:W))^(1/IF(_xlfn.XLOOKUP(_xlfn.XLOOKUP(B221,'Base stats'!B:B,'Base stats'!E:E),Groups!A:A,Groups!U:U)=1,100,10)) + 0.5 + _xlfn.XLOOKUP(B221,'Base stats'!B:B,'Base stats'!BW:BW),
0.05))</f>
        <v>No</v>
      </c>
      <c r="O221" s="3">
        <f>IF(Animals!AD221="No","No",
MAX(MROUND((MIN(10,_xlfn.XLOOKUP(B221,'Base stats'!B:B,'Base stats'!V:V)*IF(_xlfn.XLOOKUP(_xlfn.XLOOKUP(B221,'Base stats'!B:B,'Base stats'!E:E),Groups!A:A,Groups!O:O)=0,1,0.33))^0.4*_xlfn.XLOOKUP(B221,'Base stats'!B:B,'Base stats'!BJ:BJ)^0.73)^0.6 *_xlfn.XLOOKUP(B221,'Base stats'!B:B,'Base stats'!BX:BX),0.1),0.05)
)</f>
        <v>34.6</v>
      </c>
      <c r="P221" s="11">
        <f>IF(O221="No","No",
MROUND(_xlfn.XLOOKUP(B221,'Base stats'!B:B,'Base stats'!BJ:BJ) * 0.01 * 2 + 0.05, 0.05)
)</f>
        <v>30.5</v>
      </c>
      <c r="Q221" s="5">
        <f>IF(O221="No","No",
MROUND(_xlfn.XLOOKUP(B221,'Base stats'!B:B,'Base stats'!BV:BV)/10000+0.01,0.01)
)</f>
        <v>9</v>
      </c>
      <c r="R221" s="4">
        <f>IF(O221="No","No",
MROUND(_xlfn.XLOOKUP(B221,'Base stats'!B:B,'Base stats'!BB:BB)^0.25
/((_xlfn.XLOOKUP(B221,'Base stats'!B:B,'Base stats'!BN:BN))*10)*_xlfn.XLOOKUP(_xlfn.XLOOKUP(B221,'Base stats'!B:B,'Base stats'!E:E),Groups!A:A,Groups!Z:Z)*150 + 0.5 + _xlfn.XLOOKUP(B221,'Base stats'!B:B,'Base stats'!BW:BW),
0.05))</f>
        <v>2.25</v>
      </c>
      <c r="S221" s="3" t="str">
        <f>IF(Animals!AI221="No","No",
IF(_xlfn.XLOOKUP(B221,'Base stats'!B:B,'Base stats'!U:U)="No",
MAX(MROUND(_xlfn.XLOOKUP(B221,'Base stats'!B:B,'Base stats'!BT:BT) * _xlfn.XLOOKUP(B221,'Base stats'!B:B,'Base stats'!BP:BP)^0.9 / 21 * _xlfn.XLOOKUP(B221,'Base stats'!B:B,'Base stats'!BX:BX),0.1),0.05),
MAX(MROUND(((MIN(12,_xlfn.XLOOKUP(B221,'Base stats'!B:B,'Base stats'!U:U)))^0.4*_xlfn.XLOOKUP(B221,'Base stats'!B:B,'Base stats'!BH:BH)^0.73)^0.6 * _xlfn.XLOOKUP(B221,'Base stats'!B:B,'Base stats'!BX:BX),0.1),0.05)
))</f>
        <v>No</v>
      </c>
      <c r="T221" s="11" t="str">
        <f>IF(S221="No","No",
MROUND(_xlfn.XLOOKUP(B221,'Base stats'!B:B,'Base stats'!BH:BH) * 0.01 * 2 + 0.05, 0.05)
)</f>
        <v>No</v>
      </c>
      <c r="U221" s="5" t="str">
        <f>IF(S221="No","No",IF(_xlfn.XLOOKUP(B221,'Base stats'!B:B,'Base stats'!U:U)="No","No",
MROUND(_xlfn.XLOOKUP(B221,'Base stats'!B:B,'Base stats'!BT:BT)/10000+0.01,0.01)
))</f>
        <v>No</v>
      </c>
      <c r="V221" s="4" t="str">
        <f>IF(S221="No","No",
MROUND(_xlfn.XLOOKUP(B221,'Base stats'!B:B,'Base stats'!BF:BF)^0.25
/((_xlfn.XLOOKUP(B221,'Base stats'!B:B,'Base stats'!BO:BO))*10)*_xlfn.XLOOKUP(_xlfn.XLOOKUP(B221,'Base stats'!B:B,'Base stats'!E:E),Groups!A:A,Groups!AE:AE)*150 + 0.5 + _xlfn.XLOOKUP(B221,'Base stats'!B:B,'Base stats'!BW:BW),
0.05))</f>
        <v>No</v>
      </c>
      <c r="W221" s="8">
        <f>MROUND(_xlfn.XLOOKUP(_xlfn.XLOOKUP(B221,'Base stats'!B:B,'Base stats'!E:E),Groups!A:A,Groups!BG:BG)*_xlfn.XLOOKUP(B221,'Base stats'!B:B,'Base stats'!C:C)^-0.165,0.05)</f>
        <v>0.1</v>
      </c>
      <c r="X221" s="1">
        <f>MROUND(_xlfn.XLOOKUP(_xlfn.XLOOKUP(B221,'Base stats'!B:B,'Base stats'!E:E),Groups!A:A,Groups!BH:BH)*_xlfn.XLOOKUP(B221,'Base stats'!B:B,'Base stats'!C:C)^0.165,0.05)</f>
        <v>0.4</v>
      </c>
      <c r="Y221" s="8">
        <f>MROUND(_xlfn.XLOOKUP(_xlfn.XLOOKUP(B221,'Base stats'!B:B,'Base stats'!E:E),Groups!A:A,Groups!BI:BI)*_xlfn.XLOOKUP(B221,'Base stats'!B:B,'Base stats'!C:C)^0.165,0.05)</f>
        <v>0.05</v>
      </c>
      <c r="Z221" s="18">
        <f>MROUND(_xlfn.XLOOKUP(B221,'Base stats'!B:B,'Base stats'!AQ:AQ)*_xlfn.XLOOKUP(_xlfn.XLOOKUP(B221,'Base stats'!B:B,'Base stats'!E:E),Groups!A:A,Groups!H:H)/1000,IF((_xlfn.XLOOKUP(B221,'Base stats'!B:B,'Base stats'!AQ:AQ)*_xlfn.XLOOKUP(_xlfn.XLOOKUP(B221,'Base stats'!B:B,'Base stats'!E:E),Groups!A:A,Groups!H:H)/1000)&gt;1,0.05,0.01))</f>
        <v>1.85</v>
      </c>
      <c r="AA221" s="18">
        <f>MROUND((1/2)*(_xlfn.XLOOKUP(_xlfn.XLOOKUP(B221,'Base stats'!B:B,'Base stats'!E:E),Groups!A:A,Groups!H:H)*_xlfn.XLOOKUP(_xlfn.XLOOKUP(B221,'Base stats'!B:B,'Base stats'!E:E),Groups!A:A,Groups!I:I))*_xlfn.XLOOKUP(B221,'Base stats'!B:B,'Base stats'!AQ:AQ)*0.01,0.05)</f>
        <v>0.2</v>
      </c>
      <c r="AB221" s="18">
        <f>MROUND(250*(Animals!AO221+Animals!AP221),25)</f>
        <v>1375</v>
      </c>
      <c r="AC221" s="18" t="str">
        <f>_xlfn.XLOOKUP(_xlfn.XLOOKUP(B221,'Base stats'!B:B,'Base stats'!E:E),Groups!A:A,Groups!BJ:BJ)</f>
        <v>QuadrupedLow</v>
      </c>
    </row>
    <row r="222" spans="1:29" ht="16.5" thickTop="1" thickBot="1" x14ac:dyDescent="0.3">
      <c r="A222" s="16" t="str">
        <f>Animals!A222</f>
        <v>AnimusVox</v>
      </c>
      <c r="B222" s="6" t="str">
        <f>Animals!B222</f>
        <v>Vulpes animalis</v>
      </c>
      <c r="C222" s="1" t="str">
        <f>Animals!C222</f>
        <v>&lt;li&gt;AA_AnimusVox&lt;/li&gt;</v>
      </c>
      <c r="D222" s="47">
        <f>MIN(MIN(6,_xlfn.XLOOKUP(A222,Animals!A:A,Animals!AO:AO))*20,MAX(MROUND(_xlfn.XLOOKUP(B222,'Base stats'!B:B,'Base stats'!BS:BS) * (_xlfn.XLOOKUP(B222,'Base stats'!B:B,'Base stats'!AO:AO)*5%)^0.9 / 21,0.1),0.05))</f>
        <v>0.4</v>
      </c>
      <c r="E222" s="11">
        <f>MROUND(_xlfn.XLOOKUP(B222,'Base stats'!B:B,'Base stats'!BG:BG) * 0.01 * 2 + 0.01, 0.05)</f>
        <v>0.35000000000000003</v>
      </c>
      <c r="F222" s="7">
        <f>MROUND(_xlfn.XLOOKUP(B222,'Base stats'!B:B,'Base stats'!BD:BD)^0.25 / (_xlfn.XLOOKUP(B222,'Base stats'!B:B,'Base stats'!BK:BK) * 10) * 150 + 0.5 + _xlfn.XLOOKUP(B222,'Base stats'!B:B,'Base stats'!BW:BW), 0.05)</f>
        <v>1.6</v>
      </c>
      <c r="G222" s="3" t="str">
        <f>IF(Animals!S222="No","No",
IF(_xlfn.XLOOKUP(B222,'Base stats'!B:B,'Base stats'!U:U)="No",
MAX(MROUND(_xlfn.XLOOKUP(B222,'Base stats'!B:B,'Base stats'!BT:BT) * _xlfn.XLOOKUP(B222,'Base stats'!B:B,'Base stats'!BP:BP)^0.9 / 21 * _xlfn.XLOOKUP(B222,'Base stats'!B:B,'Base stats'!BX:BX),0.1),0.05),
MAX(MROUND(((MIN(10,_xlfn.XLOOKUP(B222,'Base stats'!B:B,'Base stats'!U:U)))^0.4*_xlfn.XLOOKUP(B222,'Base stats'!B:B,'Base stats'!BH:BH)^0.73)^0.6 * _xlfn.XLOOKUP(B222,'Base stats'!B:B,'Base stats'!BX:BX),0.1),0.05)
))</f>
        <v>No</v>
      </c>
      <c r="H222" s="11" t="str">
        <f>IF(G222="No","No",
MROUND(_xlfn.XLOOKUP(B222,'Base stats'!B:B,'Base stats'!BH:BH) * 0.01 * 2 + 0.05, 0.05)
)</f>
        <v>No</v>
      </c>
      <c r="I222" s="11" t="str">
        <f>IF(G222="No","No",IF(_xlfn.XLOOKUP(B222,'Base stats'!B:B,'Base stats'!U:U)="No","No",
MROUND(_xlfn.XLOOKUP(B222,'Base stats'!B:B,'Base stats'!BT:BT)/10000+0.01,0.01)
))</f>
        <v>No</v>
      </c>
      <c r="J222" s="4" t="str">
        <f>IF(G222="No","No",
MROUND(_xlfn.XLOOKUP(B222,'Base stats'!B:B,'Base stats'!BE:BE)^0.25
/((_xlfn.XLOOKUP(B222,'Base stats'!B:B,'Base stats'!BL:BL))*10)*_xlfn.XLOOKUP(_xlfn.XLOOKUP(B222,'Base stats'!B:B,'Base stats'!E:E),Groups!A:A,Groups!Q:Q)*150 + 0.5 + _xlfn.XLOOKUP(B222,'Base stats'!B:B,'Base stats'!BW:BW),
0.05))</f>
        <v>No</v>
      </c>
      <c r="K222" s="3" t="str">
        <f>IF(Animals!X222="No","No",
IF(_xlfn.XLOOKUP(_xlfn.XLOOKUP(B222,'Base stats'!B:B,'Base stats'!E:E),Groups!A:A,Groups!BD:BD)=1,
MAX(MROUND(_xlfn.XLOOKUP(B222,'Base stats'!B:B,'Base stats'!BU:BU) * _xlfn.XLOOKUP(B222,'Base stats'!B:B,'Base stats'!BQ:BQ)^0.9 / 21 *_xlfn.XLOOKUP(B222,'Base stats'!B:B,'Base stats'!BX:BX),0.1),0.05),
MAX(MROUND(((MIN(10,_xlfn.XLOOKUP(B222,'Base stats'!B:B,'Base stats'!W:W)))^0.4*_xlfn.XLOOKUP(B222,'Base stats'!B:B,'Base stats'!BI:BI)^0.73)^0.6 *_xlfn.XLOOKUP(B222,'Base stats'!B:B,'Base stats'!BX:BX),0.1),0.05)
))</f>
        <v>No</v>
      </c>
      <c r="L222" s="11" t="str">
        <f>IF(K222="No","No",
MROUND(_xlfn.XLOOKUP(B222,'Base stats'!B:B,'Base stats'!BI:BI) * 0.01 *2 + 0.05, 0.05)
)</f>
        <v>No</v>
      </c>
      <c r="M222" s="5" t="str">
        <f>IF(K222="No","No",IF(_xlfn.XLOOKUP(_xlfn.XLOOKUP(B222,'Base stats'!B:B,'Base stats'!E:E),Groups!A:A,Groups!BD:BD)=1,"No",
MROUND(_xlfn.XLOOKUP(B222,'Base stats'!B:B,'Base stats'!BU:BU)/10000+0.01,0.01)
))</f>
        <v>No</v>
      </c>
      <c r="N222" s="4" t="str">
        <f>IF(K222="No","No",
MROUND(
  _xlfn.XLOOKUP(B222,'Base stats'!B:B,'Base stats'!BC:BC)^0.25
  / (_xlfn.XLOOKUP(B222,'Base stats'!B:B,'Base stats'!BM:BM) * 10)
  * _xlfn.XLOOKUP(
      _xlfn.XLOOKUP(B222,'Base stats'!B:B,'Base stats'!E:E),
      Groups!A:A,
      Groups!V:V
    ) * 150
  + MIN(12, _xlfn.XLOOKUP(B222,'Base stats'!B:B,'Base stats'!W:W))^(1/IF(_xlfn.XLOOKUP(_xlfn.XLOOKUP(B222,'Base stats'!B:B,'Base stats'!E:E),Groups!A:A,Groups!U:U)=1,100,10)) + 0.5 + _xlfn.XLOOKUP(B222,'Base stats'!B:B,'Base stats'!BW:BW),
0.05))</f>
        <v>No</v>
      </c>
      <c r="O222" s="3">
        <f>IF(Animals!AD222="No","No",
MAX(MROUND((MIN(10,_xlfn.XLOOKUP(B222,'Base stats'!B:B,'Base stats'!V:V)*IF(_xlfn.XLOOKUP(_xlfn.XLOOKUP(B222,'Base stats'!B:B,'Base stats'!E:E),Groups!A:A,Groups!O:O)=0,1,0.33))^0.4*_xlfn.XLOOKUP(B222,'Base stats'!B:B,'Base stats'!BJ:BJ)^0.73)^0.6 *_xlfn.XLOOKUP(B222,'Base stats'!B:B,'Base stats'!BX:BX),0.1),0.05)
)</f>
        <v>7.4</v>
      </c>
      <c r="P222" s="11">
        <f>IF(O222="No","No",
MROUND(_xlfn.XLOOKUP(B222,'Base stats'!B:B,'Base stats'!BJ:BJ) * 0.01 * 2 + 0.05, 0.05)
)</f>
        <v>1.3</v>
      </c>
      <c r="Q222" s="5">
        <f>IF(O222="No","No",
MROUND(_xlfn.XLOOKUP(B222,'Base stats'!B:B,'Base stats'!BV:BV)/10000+0.01,0.01)
)</f>
        <v>0.18</v>
      </c>
      <c r="R222" s="4">
        <f>IF(O222="No","No",
MROUND(_xlfn.XLOOKUP(B222,'Base stats'!B:B,'Base stats'!BB:BB)^0.25
/((_xlfn.XLOOKUP(B222,'Base stats'!B:B,'Base stats'!BN:BN))*10)*_xlfn.XLOOKUP(_xlfn.XLOOKUP(B222,'Base stats'!B:B,'Base stats'!E:E),Groups!A:A,Groups!Z:Z)*150 + 0.5 + _xlfn.XLOOKUP(B222,'Base stats'!B:B,'Base stats'!BW:BW),
0.05))</f>
        <v>1.9500000000000002</v>
      </c>
      <c r="S222" s="3" t="str">
        <f>IF(Animals!AI222="No","No",
IF(_xlfn.XLOOKUP(B222,'Base stats'!B:B,'Base stats'!U:U)="No",
MAX(MROUND(_xlfn.XLOOKUP(B222,'Base stats'!B:B,'Base stats'!BT:BT) * _xlfn.XLOOKUP(B222,'Base stats'!B:B,'Base stats'!BP:BP)^0.9 / 21 * _xlfn.XLOOKUP(B222,'Base stats'!B:B,'Base stats'!BX:BX),0.1),0.05),
MAX(MROUND(((MIN(12,_xlfn.XLOOKUP(B222,'Base stats'!B:B,'Base stats'!U:U)))^0.4*_xlfn.XLOOKUP(B222,'Base stats'!B:B,'Base stats'!BH:BH)^0.73)^0.6 * _xlfn.XLOOKUP(B222,'Base stats'!B:B,'Base stats'!BX:BX),0.1),0.05)
))</f>
        <v>No</v>
      </c>
      <c r="T222" s="11" t="str">
        <f>IF(S222="No","No",
MROUND(_xlfn.XLOOKUP(B222,'Base stats'!B:B,'Base stats'!BH:BH) * 0.01 * 2 + 0.05, 0.05)
)</f>
        <v>No</v>
      </c>
      <c r="U222" s="5" t="str">
        <f>IF(S222="No","No",IF(_xlfn.XLOOKUP(B222,'Base stats'!B:B,'Base stats'!U:U)="No","No",
MROUND(_xlfn.XLOOKUP(B222,'Base stats'!B:B,'Base stats'!BT:BT)/10000+0.01,0.01)
))</f>
        <v>No</v>
      </c>
      <c r="V222" s="4" t="str">
        <f>IF(S222="No","No",
MROUND(_xlfn.XLOOKUP(B222,'Base stats'!B:B,'Base stats'!BF:BF)^0.25
/((_xlfn.XLOOKUP(B222,'Base stats'!B:B,'Base stats'!BO:BO))*10)*_xlfn.XLOOKUP(_xlfn.XLOOKUP(B222,'Base stats'!B:B,'Base stats'!E:E),Groups!A:A,Groups!AE:AE)*150 + 0.5 + _xlfn.XLOOKUP(B222,'Base stats'!B:B,'Base stats'!BW:BW),
0.05))</f>
        <v>No</v>
      </c>
      <c r="W222" s="8">
        <f>MROUND(_xlfn.XLOOKUP(_xlfn.XLOOKUP(B222,'Base stats'!B:B,'Base stats'!E:E),Groups!A:A,Groups!BG:BG)*_xlfn.XLOOKUP(B222,'Base stats'!B:B,'Base stats'!C:C)^-0.165,0.05)</f>
        <v>0.70000000000000007</v>
      </c>
      <c r="X222" s="1">
        <f>MROUND(_xlfn.XLOOKUP(_xlfn.XLOOKUP(B222,'Base stats'!B:B,'Base stats'!E:E),Groups!A:A,Groups!BH:BH)*_xlfn.XLOOKUP(B222,'Base stats'!B:B,'Base stats'!C:C)^0.165,0.05)</f>
        <v>0.30000000000000004</v>
      </c>
      <c r="Y222" s="8">
        <f>MROUND(_xlfn.XLOOKUP(_xlfn.XLOOKUP(B222,'Base stats'!B:B,'Base stats'!E:E),Groups!A:A,Groups!BI:BI)*_xlfn.XLOOKUP(B222,'Base stats'!B:B,'Base stats'!C:C)^0.165,0.05)</f>
        <v>0.05</v>
      </c>
      <c r="Z222" s="18">
        <f>MROUND(_xlfn.XLOOKUP(B222,'Base stats'!B:B,'Base stats'!AQ:AQ)*_xlfn.XLOOKUP(_xlfn.XLOOKUP(B222,'Base stats'!B:B,'Base stats'!E:E),Groups!A:A,Groups!H:H)/1000,IF((_xlfn.XLOOKUP(B222,'Base stats'!B:B,'Base stats'!AQ:AQ)*_xlfn.XLOOKUP(_xlfn.XLOOKUP(B222,'Base stats'!B:B,'Base stats'!E:E),Groups!A:A,Groups!H:H)/1000)&gt;1,0.05,0.01))</f>
        <v>0.05</v>
      </c>
      <c r="AA222" s="18">
        <f>MROUND((1/2)*(_xlfn.XLOOKUP(_xlfn.XLOOKUP(B222,'Base stats'!B:B,'Base stats'!E:E),Groups!A:A,Groups!H:H)*_xlfn.XLOOKUP(_xlfn.XLOOKUP(B222,'Base stats'!B:B,'Base stats'!E:E),Groups!A:A,Groups!I:I))*_xlfn.XLOOKUP(B222,'Base stats'!B:B,'Base stats'!AQ:AQ)*0.01,0.05)</f>
        <v>0.2</v>
      </c>
      <c r="AB222" s="18">
        <f>MROUND(250*(Animals!AO222+Animals!AP222),25)</f>
        <v>225</v>
      </c>
      <c r="AC222" s="18" t="str">
        <f>_xlfn.XLOOKUP(_xlfn.XLOOKUP(B222,'Base stats'!B:B,'Base stats'!E:E),Groups!A:A,Groups!BJ:BJ)</f>
        <v>Quadruped</v>
      </c>
    </row>
    <row r="223" spans="1:29" ht="16.5" thickTop="1" thickBot="1" x14ac:dyDescent="0.3">
      <c r="A223" s="16" t="str">
        <f>Animals!A223</f>
        <v>ArcticLion</v>
      </c>
      <c r="B223" s="6" t="str">
        <f>Animals!B223</f>
        <v>Panthera glacialis</v>
      </c>
      <c r="C223" s="1" t="str">
        <f>Animals!C223</f>
        <v>&lt;li&gt;AA_ArcticLion&lt;/li&gt;</v>
      </c>
      <c r="D223" s="47">
        <f>MIN(MIN(6,_xlfn.XLOOKUP(A223,Animals!A:A,Animals!AO:AO))*20,MAX(MROUND(_xlfn.XLOOKUP(B223,'Base stats'!B:B,'Base stats'!BS:BS) * (_xlfn.XLOOKUP(B223,'Base stats'!B:B,'Base stats'!AO:AO)*5%)^0.9 / 21,0.1),0.05))</f>
        <v>7.7</v>
      </c>
      <c r="E223" s="11">
        <f>MROUND(_xlfn.XLOOKUP(B223,'Base stats'!B:B,'Base stats'!BG:BG) * 0.01 * 2 + 0.01, 0.05)</f>
        <v>7.0500000000000007</v>
      </c>
      <c r="F223" s="7">
        <f>MROUND(_xlfn.XLOOKUP(B223,'Base stats'!B:B,'Base stats'!BD:BD)^0.25 / (_xlfn.XLOOKUP(B223,'Base stats'!B:B,'Base stats'!BK:BK) * 10) * 150 + 0.5 + _xlfn.XLOOKUP(B223,'Base stats'!B:B,'Base stats'!BW:BW), 0.05)</f>
        <v>2.3000000000000003</v>
      </c>
      <c r="G223" s="3" t="str">
        <f>IF(Animals!S223="No","No",
IF(_xlfn.XLOOKUP(B223,'Base stats'!B:B,'Base stats'!U:U)="No",
MAX(MROUND(_xlfn.XLOOKUP(B223,'Base stats'!B:B,'Base stats'!BT:BT) * _xlfn.XLOOKUP(B223,'Base stats'!B:B,'Base stats'!BP:BP)^0.9 / 21 * _xlfn.XLOOKUP(B223,'Base stats'!B:B,'Base stats'!BX:BX),0.1),0.05),
MAX(MROUND(((MIN(10,_xlfn.XLOOKUP(B223,'Base stats'!B:B,'Base stats'!U:U)))^0.4*_xlfn.XLOOKUP(B223,'Base stats'!B:B,'Base stats'!BH:BH)^0.73)^0.6 * _xlfn.XLOOKUP(B223,'Base stats'!B:B,'Base stats'!BX:BX),0.1),0.05)
))</f>
        <v>No</v>
      </c>
      <c r="H223" s="11" t="str">
        <f>IF(G223="No","No",
MROUND(_xlfn.XLOOKUP(B223,'Base stats'!B:B,'Base stats'!BH:BH) * 0.01 * 2 + 0.05, 0.05)
)</f>
        <v>No</v>
      </c>
      <c r="I223" s="11" t="str">
        <f>IF(G223="No","No",IF(_xlfn.XLOOKUP(B223,'Base stats'!B:B,'Base stats'!U:U)="No","No",
MROUND(_xlfn.XLOOKUP(B223,'Base stats'!B:B,'Base stats'!BT:BT)/10000+0.01,0.01)
))</f>
        <v>No</v>
      </c>
      <c r="J223" s="4" t="str">
        <f>IF(G223="No","No",
MROUND(_xlfn.XLOOKUP(B223,'Base stats'!B:B,'Base stats'!BE:BE)^0.25
/((_xlfn.XLOOKUP(B223,'Base stats'!B:B,'Base stats'!BL:BL))*10)*_xlfn.XLOOKUP(_xlfn.XLOOKUP(B223,'Base stats'!B:B,'Base stats'!E:E),Groups!A:A,Groups!Q:Q)*150 + 0.5 + _xlfn.XLOOKUP(B223,'Base stats'!B:B,'Base stats'!BW:BW),
0.05))</f>
        <v>No</v>
      </c>
      <c r="K223" s="3" t="str">
        <f>IF(Animals!X223="No","No",
IF(_xlfn.XLOOKUP(_xlfn.XLOOKUP(B223,'Base stats'!B:B,'Base stats'!E:E),Groups!A:A,Groups!BD:BD)=1,
MAX(MROUND(_xlfn.XLOOKUP(B223,'Base stats'!B:B,'Base stats'!BU:BU) * _xlfn.XLOOKUP(B223,'Base stats'!B:B,'Base stats'!BQ:BQ)^0.9 / 21 *_xlfn.XLOOKUP(B223,'Base stats'!B:B,'Base stats'!BX:BX),0.1),0.05),
MAX(MROUND(((MIN(10,_xlfn.XLOOKUP(B223,'Base stats'!B:B,'Base stats'!W:W)))^0.4*_xlfn.XLOOKUP(B223,'Base stats'!B:B,'Base stats'!BI:BI)^0.73)^0.6 *_xlfn.XLOOKUP(B223,'Base stats'!B:B,'Base stats'!BX:BX),0.1),0.05)
))</f>
        <v>No</v>
      </c>
      <c r="L223" s="11" t="str">
        <f>IF(K223="No","No",
MROUND(_xlfn.XLOOKUP(B223,'Base stats'!B:B,'Base stats'!BI:BI) * 0.01 *2 + 0.05, 0.05)
)</f>
        <v>No</v>
      </c>
      <c r="M223" s="5" t="str">
        <f>IF(K223="No","No",IF(_xlfn.XLOOKUP(_xlfn.XLOOKUP(B223,'Base stats'!B:B,'Base stats'!E:E),Groups!A:A,Groups!BD:BD)=1,"No",
MROUND(_xlfn.XLOOKUP(B223,'Base stats'!B:B,'Base stats'!BU:BU)/10000+0.01,0.01)
))</f>
        <v>No</v>
      </c>
      <c r="N223" s="4" t="str">
        <f>IF(K223="No","No",
MROUND(
  _xlfn.XLOOKUP(B223,'Base stats'!B:B,'Base stats'!BC:BC)^0.25
  / (_xlfn.XLOOKUP(B223,'Base stats'!B:B,'Base stats'!BM:BM) * 10)
  * _xlfn.XLOOKUP(
      _xlfn.XLOOKUP(B223,'Base stats'!B:B,'Base stats'!E:E),
      Groups!A:A,
      Groups!V:V
    ) * 150
  + MIN(12, _xlfn.XLOOKUP(B223,'Base stats'!B:B,'Base stats'!W:W))^(1/IF(_xlfn.XLOOKUP(_xlfn.XLOOKUP(B223,'Base stats'!B:B,'Base stats'!E:E),Groups!A:A,Groups!U:U)=1,100,10)) + 0.5 + _xlfn.XLOOKUP(B223,'Base stats'!B:B,'Base stats'!BW:BW),
0.05))</f>
        <v>No</v>
      </c>
      <c r="O223" s="3">
        <f>IF(Animals!AD223="No","No",
MAX(MROUND((MIN(10,_xlfn.XLOOKUP(B223,'Base stats'!B:B,'Base stats'!V:V)*IF(_xlfn.XLOOKUP(_xlfn.XLOOKUP(B223,'Base stats'!B:B,'Base stats'!E:E),Groups!A:A,Groups!O:O)=0,1,0.33))^0.4*_xlfn.XLOOKUP(B223,'Base stats'!B:B,'Base stats'!BJ:BJ)^0.73)^0.6 *_xlfn.XLOOKUP(B223,'Base stats'!B:B,'Base stats'!BX:BX),0.1),0.05)
)</f>
        <v>30.5</v>
      </c>
      <c r="P223" s="11">
        <f>IF(O223="No","No",
MROUND(_xlfn.XLOOKUP(B223,'Base stats'!B:B,'Base stats'!BJ:BJ) * 0.01 * 2 + 0.05, 0.05)
)</f>
        <v>17.2</v>
      </c>
      <c r="Q223" s="5">
        <f>IF(O223="No","No",
MROUND(_xlfn.XLOOKUP(B223,'Base stats'!B:B,'Base stats'!BV:BV)/10000+0.01,0.01)
)</f>
        <v>0.57999999999999996</v>
      </c>
      <c r="R223" s="4">
        <f>IF(O223="No","No",
MROUND(_xlfn.XLOOKUP(B223,'Base stats'!B:B,'Base stats'!BB:BB)^0.25
/((_xlfn.XLOOKUP(B223,'Base stats'!B:B,'Base stats'!BN:BN))*10)*_xlfn.XLOOKUP(_xlfn.XLOOKUP(B223,'Base stats'!B:B,'Base stats'!E:E),Groups!A:A,Groups!Z:Z)*150 + 0.5 + _xlfn.XLOOKUP(B223,'Base stats'!B:B,'Base stats'!BW:BW),
0.05))</f>
        <v>2.1</v>
      </c>
      <c r="S223" s="3">
        <f>IF(Animals!AI223="No","No",
IF(_xlfn.XLOOKUP(B223,'Base stats'!B:B,'Base stats'!U:U)="No",
MAX(MROUND(_xlfn.XLOOKUP(B223,'Base stats'!B:B,'Base stats'!BT:BT) * _xlfn.XLOOKUP(B223,'Base stats'!B:B,'Base stats'!BP:BP)^0.9 / 21 * _xlfn.XLOOKUP(B223,'Base stats'!B:B,'Base stats'!BX:BX),0.1),0.05),
MAX(MROUND(((MIN(12,_xlfn.XLOOKUP(B223,'Base stats'!B:B,'Base stats'!U:U)))^0.4*_xlfn.XLOOKUP(B223,'Base stats'!B:B,'Base stats'!BH:BH)^0.73)^0.6 * _xlfn.XLOOKUP(B223,'Base stats'!B:B,'Base stats'!BX:BX),0.1),0.05)
))</f>
        <v>24.700000000000003</v>
      </c>
      <c r="T223" s="11">
        <f>IF(S223="No","No",
MROUND(_xlfn.XLOOKUP(B223,'Base stats'!B:B,'Base stats'!BH:BH) * 0.01 * 2 + 0.05, 0.05)
)</f>
        <v>8.35</v>
      </c>
      <c r="U223" s="5">
        <f>IF(S223="No","No",IF(_xlfn.XLOOKUP(B223,'Base stats'!B:B,'Base stats'!U:U)="No","No",
MROUND(_xlfn.XLOOKUP(B223,'Base stats'!B:B,'Base stats'!BT:BT)/10000+0.01,0.01)
))</f>
        <v>0.28999999999999998</v>
      </c>
      <c r="V223" s="4">
        <f>IF(S223="No","No",
MROUND(_xlfn.XLOOKUP(B223,'Base stats'!B:B,'Base stats'!BF:BF)^0.25
/((_xlfn.XLOOKUP(B223,'Base stats'!B:B,'Base stats'!BO:BO))*10)*_xlfn.XLOOKUP(_xlfn.XLOOKUP(B223,'Base stats'!B:B,'Base stats'!E:E),Groups!A:A,Groups!AE:AE)*150 + 0.5 + _xlfn.XLOOKUP(B223,'Base stats'!B:B,'Base stats'!BW:BW),
0.05))</f>
        <v>1.6</v>
      </c>
      <c r="W223" s="8">
        <f>MROUND(_xlfn.XLOOKUP(_xlfn.XLOOKUP(B223,'Base stats'!B:B,'Base stats'!E:E),Groups!A:A,Groups!BG:BG)*_xlfn.XLOOKUP(B223,'Base stats'!B:B,'Base stats'!C:C)^-0.165,0.05)</f>
        <v>0.5</v>
      </c>
      <c r="X223" s="1">
        <f>MROUND(_xlfn.XLOOKUP(_xlfn.XLOOKUP(B223,'Base stats'!B:B,'Base stats'!E:E),Groups!A:A,Groups!BH:BH)*_xlfn.XLOOKUP(B223,'Base stats'!B:B,'Base stats'!C:C)^0.165,0.05)</f>
        <v>0.65</v>
      </c>
      <c r="Y223" s="8">
        <f>MROUND(_xlfn.XLOOKUP(_xlfn.XLOOKUP(B223,'Base stats'!B:B,'Base stats'!E:E),Groups!A:A,Groups!BI:BI)*_xlfn.XLOOKUP(B223,'Base stats'!B:B,'Base stats'!C:C)^0.165,0.05)</f>
        <v>0.05</v>
      </c>
      <c r="Z223" s="18">
        <f>MROUND(_xlfn.XLOOKUP(B223,'Base stats'!B:B,'Base stats'!AQ:AQ)*_xlfn.XLOOKUP(_xlfn.XLOOKUP(B223,'Base stats'!B:B,'Base stats'!E:E),Groups!A:A,Groups!H:H)/1000,IF((_xlfn.XLOOKUP(B223,'Base stats'!B:B,'Base stats'!AQ:AQ)*_xlfn.XLOOKUP(_xlfn.XLOOKUP(B223,'Base stats'!B:B,'Base stats'!E:E),Groups!A:A,Groups!H:H)/1000)&gt;1,0.05,0.01))</f>
        <v>0.15</v>
      </c>
      <c r="AA223" s="18">
        <f>MROUND((1/2)*(_xlfn.XLOOKUP(_xlfn.XLOOKUP(B223,'Base stats'!B:B,'Base stats'!E:E),Groups!A:A,Groups!H:H)*_xlfn.XLOOKUP(_xlfn.XLOOKUP(B223,'Base stats'!B:B,'Base stats'!E:E),Groups!A:A,Groups!I:I))*_xlfn.XLOOKUP(B223,'Base stats'!B:B,'Base stats'!AQ:AQ)*0.01,0.05)</f>
        <v>0.65</v>
      </c>
      <c r="AB223" s="18">
        <f>MROUND(250*(Animals!AO223+Animals!AP223),25)</f>
        <v>1250</v>
      </c>
      <c r="AC223" s="18" t="str">
        <f>_xlfn.XLOOKUP(_xlfn.XLOOKUP(B223,'Base stats'!B:B,'Base stats'!E:E),Groups!A:A,Groups!BJ:BJ)</f>
        <v>Quadruped</v>
      </c>
    </row>
    <row r="224" spans="1:29" ht="16.5" thickTop="1" thickBot="1" x14ac:dyDescent="0.3">
      <c r="A224" s="16" t="str">
        <f>Animals!A224</f>
        <v>Atispec</v>
      </c>
      <c r="B224" s="6" t="str">
        <f>Animals!B224</f>
        <v>Speculum vividum</v>
      </c>
      <c r="C224" s="1" t="str">
        <f>Animals!C224</f>
        <v>&lt;li&gt;AA_Atispec&lt;/li&gt;</v>
      </c>
      <c r="D224" s="47">
        <f>MIN(MIN(6,_xlfn.XLOOKUP(A224,Animals!A:A,Animals!AO:AO))*20,MAX(MROUND(_xlfn.XLOOKUP(B224,'Base stats'!B:B,'Base stats'!BS:BS) * (_xlfn.XLOOKUP(B224,'Base stats'!B:B,'Base stats'!AO:AO)*5%)^0.9 / 21,0.1),0.05))</f>
        <v>34.300000000000004</v>
      </c>
      <c r="E224" s="11">
        <f>MROUND(_xlfn.XLOOKUP(B224,'Base stats'!B:B,'Base stats'!BG:BG) * 0.01 * 2 + 0.01, 0.05)</f>
        <v>36.950000000000003</v>
      </c>
      <c r="F224" s="7">
        <f>MROUND(_xlfn.XLOOKUP(B224,'Base stats'!B:B,'Base stats'!BD:BD)^0.25 / (_xlfn.XLOOKUP(B224,'Base stats'!B:B,'Base stats'!BK:BK) * 10) * 150 + 0.5 + _xlfn.XLOOKUP(B224,'Base stats'!B:B,'Base stats'!BW:BW), 0.05)</f>
        <v>4.6500000000000004</v>
      </c>
      <c r="G224" s="3" t="str">
        <f>IF(Animals!S224="No","No",
IF(_xlfn.XLOOKUP(B224,'Base stats'!B:B,'Base stats'!U:U)="No",
MAX(MROUND(_xlfn.XLOOKUP(B224,'Base stats'!B:B,'Base stats'!BT:BT) * _xlfn.XLOOKUP(B224,'Base stats'!B:B,'Base stats'!BP:BP)^0.9 / 21 * _xlfn.XLOOKUP(B224,'Base stats'!B:B,'Base stats'!BX:BX),0.1),0.05),
MAX(MROUND(((MIN(10,_xlfn.XLOOKUP(B224,'Base stats'!B:B,'Base stats'!U:U)))^0.4*_xlfn.XLOOKUP(B224,'Base stats'!B:B,'Base stats'!BH:BH)^0.73)^0.6 * _xlfn.XLOOKUP(B224,'Base stats'!B:B,'Base stats'!BX:BX),0.1),0.05)
))</f>
        <v>No</v>
      </c>
      <c r="H224" s="11" t="str">
        <f>IF(G224="No","No",
MROUND(_xlfn.XLOOKUP(B224,'Base stats'!B:B,'Base stats'!BH:BH) * 0.01 * 2 + 0.05, 0.05)
)</f>
        <v>No</v>
      </c>
      <c r="I224" s="11" t="str">
        <f>IF(G224="No","No",IF(_xlfn.XLOOKUP(B224,'Base stats'!B:B,'Base stats'!U:U)="No","No",
MROUND(_xlfn.XLOOKUP(B224,'Base stats'!B:B,'Base stats'!BT:BT)/10000+0.01,0.01)
))</f>
        <v>No</v>
      </c>
      <c r="J224" s="4" t="str">
        <f>IF(G224="No","No",
MROUND(_xlfn.XLOOKUP(B224,'Base stats'!B:B,'Base stats'!BE:BE)^0.25
/((_xlfn.XLOOKUP(B224,'Base stats'!B:B,'Base stats'!BL:BL))*10)*_xlfn.XLOOKUP(_xlfn.XLOOKUP(B224,'Base stats'!B:B,'Base stats'!E:E),Groups!A:A,Groups!Q:Q)*150 + 0.5 + _xlfn.XLOOKUP(B224,'Base stats'!B:B,'Base stats'!BW:BW),
0.05))</f>
        <v>No</v>
      </c>
      <c r="K224" s="3">
        <f>IF(Animals!X224="No","No",
IF(_xlfn.XLOOKUP(_xlfn.XLOOKUP(B224,'Base stats'!B:B,'Base stats'!E:E),Groups!A:A,Groups!BD:BD)=1,
MAX(MROUND(_xlfn.XLOOKUP(B224,'Base stats'!B:B,'Base stats'!BU:BU) * _xlfn.XLOOKUP(B224,'Base stats'!B:B,'Base stats'!BQ:BQ)^0.9 / 21 *_xlfn.XLOOKUP(B224,'Base stats'!B:B,'Base stats'!BX:BX),0.1),0.05),
MAX(MROUND(((MIN(10,_xlfn.XLOOKUP(B224,'Base stats'!B:B,'Base stats'!W:W)))^0.4*_xlfn.XLOOKUP(B224,'Base stats'!B:B,'Base stats'!BI:BI)^0.73)^0.6 *_xlfn.XLOOKUP(B224,'Base stats'!B:B,'Base stats'!BX:BX),0.1),0.05)
))</f>
        <v>94.9</v>
      </c>
      <c r="L224" s="11">
        <f>IF(K224="No","No",
MROUND(_xlfn.XLOOKUP(B224,'Base stats'!B:B,'Base stats'!BI:BI) * 0.01 *2 + 0.05, 0.05)
)</f>
        <v>184.9</v>
      </c>
      <c r="M224" s="5">
        <f>IF(K224="No","No",IF(_xlfn.XLOOKUP(_xlfn.XLOOKUP(B224,'Base stats'!B:B,'Base stats'!E:E),Groups!A:A,Groups!BD:BD)=1,"No",
MROUND(_xlfn.XLOOKUP(B224,'Base stats'!B:B,'Base stats'!BU:BU)/10000+0.01,0.01)
))</f>
        <v>80.92</v>
      </c>
      <c r="N224" s="4">
        <f>IF(K224="No","No",
MROUND(
  _xlfn.XLOOKUP(B224,'Base stats'!B:B,'Base stats'!BC:BC)^0.25
  / (_xlfn.XLOOKUP(B224,'Base stats'!B:B,'Base stats'!BM:BM) * 10)
  * _xlfn.XLOOKUP(
      _xlfn.XLOOKUP(B224,'Base stats'!B:B,'Base stats'!E:E),
      Groups!A:A,
      Groups!V:V
    ) * 150
  + MIN(12, _xlfn.XLOOKUP(B224,'Base stats'!B:B,'Base stats'!W:W))^(1/IF(_xlfn.XLOOKUP(_xlfn.XLOOKUP(B224,'Base stats'!B:B,'Base stats'!E:E),Groups!A:A,Groups!U:U)=1,100,10)) + 0.5 + _xlfn.XLOOKUP(B224,'Base stats'!B:B,'Base stats'!BW:BW),
0.05))</f>
        <v>5.3500000000000005</v>
      </c>
      <c r="O224" s="3">
        <f>IF(Animals!AD224="No","No",
MAX(MROUND((MIN(10,_xlfn.XLOOKUP(B224,'Base stats'!B:B,'Base stats'!V:V)*IF(_xlfn.XLOOKUP(_xlfn.XLOOKUP(B224,'Base stats'!B:B,'Base stats'!E:E),Groups!A:A,Groups!O:O)=0,1,0.33))^0.4*_xlfn.XLOOKUP(B224,'Base stats'!B:B,'Base stats'!BJ:BJ)^0.73)^0.6 *_xlfn.XLOOKUP(B224,'Base stats'!B:B,'Base stats'!BX:BX),0.1),0.05)
)</f>
        <v>96.600000000000009</v>
      </c>
      <c r="P224" s="11">
        <f>IF(O224="No","No",
MROUND(_xlfn.XLOOKUP(B224,'Base stats'!B:B,'Base stats'!BJ:BJ) * 0.01 * 2 + 0.05, 0.05)
)</f>
        <v>192.65</v>
      </c>
      <c r="Q224" s="5">
        <f>IF(O224="No","No",
MROUND(_xlfn.XLOOKUP(B224,'Base stats'!B:B,'Base stats'!BV:BV)/10000+0.01,0.01)
)</f>
        <v>2.23</v>
      </c>
      <c r="R224" s="4">
        <f>IF(O224="No","No",
MROUND(_xlfn.XLOOKUP(B224,'Base stats'!B:B,'Base stats'!BB:BB)^0.25
/((_xlfn.XLOOKUP(B224,'Base stats'!B:B,'Base stats'!BN:BN))*10)*_xlfn.XLOOKUP(_xlfn.XLOOKUP(B224,'Base stats'!B:B,'Base stats'!E:E),Groups!A:A,Groups!Z:Z)*150 + 0.5 + _xlfn.XLOOKUP(B224,'Base stats'!B:B,'Base stats'!BW:BW),
0.05))</f>
        <v>4.55</v>
      </c>
      <c r="S224" s="3">
        <f>IF(Animals!AI224="No","No",
IF(_xlfn.XLOOKUP(B224,'Base stats'!B:B,'Base stats'!U:U)="No",
MAX(MROUND(_xlfn.XLOOKUP(B224,'Base stats'!B:B,'Base stats'!BT:BT) * _xlfn.XLOOKUP(B224,'Base stats'!B:B,'Base stats'!BP:BP)^0.9 / 21 * _xlfn.XLOOKUP(B224,'Base stats'!B:B,'Base stats'!BX:BX),0.1),0.05),
MAX(MROUND(((MIN(12,_xlfn.XLOOKUP(B224,'Base stats'!B:B,'Base stats'!U:U)))^0.4*_xlfn.XLOOKUP(B224,'Base stats'!B:B,'Base stats'!BH:BH)^0.73)^0.6 * _xlfn.XLOOKUP(B224,'Base stats'!B:B,'Base stats'!BX:BX),0.1),0.05)
))</f>
        <v>91.5</v>
      </c>
      <c r="T224" s="11">
        <f>IF(S224="No","No",
MROUND(_xlfn.XLOOKUP(B224,'Base stats'!B:B,'Base stats'!BH:BH) * 0.01 * 2 + 0.05, 0.05)
)</f>
        <v>154.10000000000002</v>
      </c>
      <c r="U224" s="5">
        <f>IF(S224="No","No",IF(_xlfn.XLOOKUP(B224,'Base stats'!B:B,'Base stats'!U:U)="No","No",
MROUND(_xlfn.XLOOKUP(B224,'Base stats'!B:B,'Base stats'!BT:BT)/10000+0.01,0.01)
))</f>
        <v>17.8</v>
      </c>
      <c r="V224" s="4">
        <f>IF(S224="No","No",
MROUND(_xlfn.XLOOKUP(B224,'Base stats'!B:B,'Base stats'!BF:BF)^0.25
/((_xlfn.XLOOKUP(B224,'Base stats'!B:B,'Base stats'!BO:BO))*10)*_xlfn.XLOOKUP(_xlfn.XLOOKUP(B224,'Base stats'!B:B,'Base stats'!E:E),Groups!A:A,Groups!AE:AE)*150 + 0.5 + _xlfn.XLOOKUP(B224,'Base stats'!B:B,'Base stats'!BW:BW),
0.05))</f>
        <v>4.9000000000000004</v>
      </c>
      <c r="W224" s="8">
        <f>MROUND(_xlfn.XLOOKUP(_xlfn.XLOOKUP(B224,'Base stats'!B:B,'Base stats'!E:E),Groups!A:A,Groups!BG:BG)*_xlfn.XLOOKUP(B224,'Base stats'!B:B,'Base stats'!C:C)^-0.165,0.05)</f>
        <v>0.15000000000000002</v>
      </c>
      <c r="X224" s="1">
        <f>MROUND(_xlfn.XLOOKUP(_xlfn.XLOOKUP(B224,'Base stats'!B:B,'Base stats'!E:E),Groups!A:A,Groups!BH:BH)*_xlfn.XLOOKUP(B224,'Base stats'!B:B,'Base stats'!C:C)^0.165,0.05)</f>
        <v>0.60000000000000009</v>
      </c>
      <c r="Y224" s="8">
        <f>MROUND(_xlfn.XLOOKUP(_xlfn.XLOOKUP(B224,'Base stats'!B:B,'Base stats'!E:E),Groups!A:A,Groups!BI:BI)*_xlfn.XLOOKUP(B224,'Base stats'!B:B,'Base stats'!C:C)^0.165,0.05)</f>
        <v>0.1</v>
      </c>
      <c r="Z224" s="18">
        <f>MROUND(_xlfn.XLOOKUP(B224,'Base stats'!B:B,'Base stats'!AQ:AQ)*_xlfn.XLOOKUP(_xlfn.XLOOKUP(B224,'Base stats'!B:B,'Base stats'!E:E),Groups!A:A,Groups!H:H)/1000,IF((_xlfn.XLOOKUP(B224,'Base stats'!B:B,'Base stats'!AQ:AQ)*_xlfn.XLOOKUP(_xlfn.XLOOKUP(B224,'Base stats'!B:B,'Base stats'!E:E),Groups!A:A,Groups!H:H)/1000)&gt;1,0.05,0.01))</f>
        <v>10.75</v>
      </c>
      <c r="AA224" s="18">
        <f>MROUND((1/2)*(_xlfn.XLOOKUP(_xlfn.XLOOKUP(B224,'Base stats'!B:B,'Base stats'!E:E),Groups!A:A,Groups!H:H)*_xlfn.XLOOKUP(_xlfn.XLOOKUP(B224,'Base stats'!B:B,'Base stats'!E:E),Groups!A:A,Groups!I:I))*_xlfn.XLOOKUP(B224,'Base stats'!B:B,'Base stats'!AQ:AQ)*0.01,0.05)</f>
        <v>6.5500000000000007</v>
      </c>
      <c r="AB224" s="18">
        <f>MROUND(250*(Animals!AO224+Animals!AP224),25)</f>
        <v>2375</v>
      </c>
      <c r="AC224" s="18" t="str">
        <f>_xlfn.XLOOKUP(_xlfn.XLOOKUP(B224,'Base stats'!B:B,'Base stats'!E:E),Groups!A:A,Groups!BJ:BJ)</f>
        <v>Birdlike</v>
      </c>
    </row>
    <row r="225" spans="1:29" ht="16.5" thickTop="1" thickBot="1" x14ac:dyDescent="0.3">
      <c r="A225" s="16" t="str">
        <f>Animals!A225</f>
        <v>LarvalAtispec</v>
      </c>
      <c r="B225" s="6" t="str">
        <f>Animals!B225</f>
        <v>Speculum vividum (larva)</v>
      </c>
      <c r="C225" s="1" t="str">
        <f>Animals!C225</f>
        <v>&lt;li&gt;AA_LarvalAtispec&lt;/li&gt;</v>
      </c>
      <c r="D225" s="47">
        <f>MIN(MIN(6,_xlfn.XLOOKUP(A225,Animals!A:A,Animals!AO:AO))*20,MAX(MROUND(_xlfn.XLOOKUP(B225,'Base stats'!B:B,'Base stats'!BS:BS) * (_xlfn.XLOOKUP(B225,'Base stats'!B:B,'Base stats'!AO:AO)*5%)^0.9 / 21,0.1),0.05))</f>
        <v>0.2</v>
      </c>
      <c r="E225" s="11">
        <f>MROUND(_xlfn.XLOOKUP(B225,'Base stats'!B:B,'Base stats'!BG:BG) * 0.01 * 2 + 0.01, 0.05)</f>
        <v>0.15000000000000002</v>
      </c>
      <c r="F225" s="7">
        <f>MROUND(_xlfn.XLOOKUP(B225,'Base stats'!B:B,'Base stats'!BD:BD)^0.25 / (_xlfn.XLOOKUP(B225,'Base stats'!B:B,'Base stats'!BK:BK) * 10) * 150 + 0.5 + _xlfn.XLOOKUP(B225,'Base stats'!B:B,'Base stats'!BW:BW), 0.05)</f>
        <v>1.8</v>
      </c>
      <c r="G225" s="3" t="str">
        <f>IF(Animals!S225="No","No",
IF(_xlfn.XLOOKUP(B225,'Base stats'!B:B,'Base stats'!U:U)="No",
MAX(MROUND(_xlfn.XLOOKUP(B225,'Base stats'!B:B,'Base stats'!BT:BT) * _xlfn.XLOOKUP(B225,'Base stats'!B:B,'Base stats'!BP:BP)^0.9 / 21 * _xlfn.XLOOKUP(B225,'Base stats'!B:B,'Base stats'!BX:BX),0.1),0.05),
MAX(MROUND(((MIN(10,_xlfn.XLOOKUP(B225,'Base stats'!B:B,'Base stats'!U:U)))^0.4*_xlfn.XLOOKUP(B225,'Base stats'!B:B,'Base stats'!BH:BH)^0.73)^0.6 * _xlfn.XLOOKUP(B225,'Base stats'!B:B,'Base stats'!BX:BX),0.1),0.05)
))</f>
        <v>No</v>
      </c>
      <c r="H225" s="11" t="str">
        <f>IF(G225="No","No",
MROUND(_xlfn.XLOOKUP(B225,'Base stats'!B:B,'Base stats'!BH:BH) * 0.01 * 2 + 0.05, 0.05)
)</f>
        <v>No</v>
      </c>
      <c r="I225" s="11" t="str">
        <f>IF(G225="No","No",IF(_xlfn.XLOOKUP(B225,'Base stats'!B:B,'Base stats'!U:U)="No","No",
MROUND(_xlfn.XLOOKUP(B225,'Base stats'!B:B,'Base stats'!BT:BT)/10000+0.01,0.01)
))</f>
        <v>No</v>
      </c>
      <c r="J225" s="4" t="str">
        <f>IF(G225="No","No",
MROUND(_xlfn.XLOOKUP(B225,'Base stats'!B:B,'Base stats'!BE:BE)^0.25
/((_xlfn.XLOOKUP(B225,'Base stats'!B:B,'Base stats'!BL:BL))*10)*_xlfn.XLOOKUP(_xlfn.XLOOKUP(B225,'Base stats'!B:B,'Base stats'!E:E),Groups!A:A,Groups!Q:Q)*150 + 0.5 + _xlfn.XLOOKUP(B225,'Base stats'!B:B,'Base stats'!BW:BW),
0.05))</f>
        <v>No</v>
      </c>
      <c r="K225" s="3" t="str">
        <f>IF(Animals!X225="No","No",
IF(_xlfn.XLOOKUP(_xlfn.XLOOKUP(B225,'Base stats'!B:B,'Base stats'!E:E),Groups!A:A,Groups!BD:BD)=1,
MAX(MROUND(_xlfn.XLOOKUP(B225,'Base stats'!B:B,'Base stats'!BU:BU) * _xlfn.XLOOKUP(B225,'Base stats'!B:B,'Base stats'!BQ:BQ)^0.9 / 21 *_xlfn.XLOOKUP(B225,'Base stats'!B:B,'Base stats'!BX:BX),0.1),0.05),
MAX(MROUND(((MIN(10,_xlfn.XLOOKUP(B225,'Base stats'!B:B,'Base stats'!W:W)))^0.4*_xlfn.XLOOKUP(B225,'Base stats'!B:B,'Base stats'!BI:BI)^0.73)^0.6 *_xlfn.XLOOKUP(B225,'Base stats'!B:B,'Base stats'!BX:BX),0.1),0.05)
))</f>
        <v>No</v>
      </c>
      <c r="L225" s="11" t="str">
        <f>IF(K225="No","No",
MROUND(_xlfn.XLOOKUP(B225,'Base stats'!B:B,'Base stats'!BI:BI) * 0.01 *2 + 0.05, 0.05)
)</f>
        <v>No</v>
      </c>
      <c r="M225" s="5" t="str">
        <f>IF(K225="No","No",IF(_xlfn.XLOOKUP(_xlfn.XLOOKUP(B225,'Base stats'!B:B,'Base stats'!E:E),Groups!A:A,Groups!BD:BD)=1,"No",
MROUND(_xlfn.XLOOKUP(B225,'Base stats'!B:B,'Base stats'!BU:BU)/10000+0.01,0.01)
))</f>
        <v>No</v>
      </c>
      <c r="N225" s="4" t="str">
        <f>IF(K225="No","No",
MROUND(
  _xlfn.XLOOKUP(B225,'Base stats'!B:B,'Base stats'!BC:BC)^0.25
  / (_xlfn.XLOOKUP(B225,'Base stats'!B:B,'Base stats'!BM:BM) * 10)
  * _xlfn.XLOOKUP(
      _xlfn.XLOOKUP(B225,'Base stats'!B:B,'Base stats'!E:E),
      Groups!A:A,
      Groups!V:V
    ) * 150
  + MIN(12, _xlfn.XLOOKUP(B225,'Base stats'!B:B,'Base stats'!W:W))^(1/IF(_xlfn.XLOOKUP(_xlfn.XLOOKUP(B225,'Base stats'!B:B,'Base stats'!E:E),Groups!A:A,Groups!U:U)=1,100,10)) + 0.5 + _xlfn.XLOOKUP(B225,'Base stats'!B:B,'Base stats'!BW:BW),
0.05))</f>
        <v>No</v>
      </c>
      <c r="O225" s="3">
        <f>IF(Animals!AD225="No","No",
MAX(MROUND((MIN(10,_xlfn.XLOOKUP(B225,'Base stats'!B:B,'Base stats'!V:V)*IF(_xlfn.XLOOKUP(_xlfn.XLOOKUP(B225,'Base stats'!B:B,'Base stats'!E:E),Groups!A:A,Groups!O:O)=0,1,0.33))^0.4*_xlfn.XLOOKUP(B225,'Base stats'!B:B,'Base stats'!BJ:BJ)^0.73)^0.6 *_xlfn.XLOOKUP(B225,'Base stats'!B:B,'Base stats'!BX:BX),0.1),0.05)
)</f>
        <v>6.8000000000000007</v>
      </c>
      <c r="P225" s="11">
        <f>IF(O225="No","No",
MROUND(_xlfn.XLOOKUP(B225,'Base stats'!B:B,'Base stats'!BJ:BJ) * 0.01 * 2 + 0.05, 0.05)
)</f>
        <v>1.6500000000000001</v>
      </c>
      <c r="Q225" s="5">
        <f>IF(O225="No","No",
MROUND(_xlfn.XLOOKUP(B225,'Base stats'!B:B,'Base stats'!BV:BV)/10000+0.01,0.01)
)</f>
        <v>0.22</v>
      </c>
      <c r="R225" s="4">
        <f>IF(O225="No","No",
MROUND(_xlfn.XLOOKUP(B225,'Base stats'!B:B,'Base stats'!BB:BB)^0.25
/((_xlfn.XLOOKUP(B225,'Base stats'!B:B,'Base stats'!BN:BN))*10)*_xlfn.XLOOKUP(_xlfn.XLOOKUP(B225,'Base stats'!B:B,'Base stats'!E:E),Groups!A:A,Groups!Z:Z)*150 + 0.5 + _xlfn.XLOOKUP(B225,'Base stats'!B:B,'Base stats'!BW:BW),
0.05))</f>
        <v>1.4500000000000002</v>
      </c>
      <c r="S225" s="3" t="str">
        <f>IF(Animals!AI225="No","No",
IF(_xlfn.XLOOKUP(B225,'Base stats'!B:B,'Base stats'!U:U)="No",
MAX(MROUND(_xlfn.XLOOKUP(B225,'Base stats'!B:B,'Base stats'!BT:BT) * _xlfn.XLOOKUP(B225,'Base stats'!B:B,'Base stats'!BP:BP)^0.9 / 21 * _xlfn.XLOOKUP(B225,'Base stats'!B:B,'Base stats'!BX:BX),0.1),0.05),
MAX(MROUND(((MIN(12,_xlfn.XLOOKUP(B225,'Base stats'!B:B,'Base stats'!U:U)))^0.4*_xlfn.XLOOKUP(B225,'Base stats'!B:B,'Base stats'!BH:BH)^0.73)^0.6 * _xlfn.XLOOKUP(B225,'Base stats'!B:B,'Base stats'!BX:BX),0.1),0.05)
))</f>
        <v>No</v>
      </c>
      <c r="T225" s="11" t="str">
        <f>IF(S225="No","No",
MROUND(_xlfn.XLOOKUP(B225,'Base stats'!B:B,'Base stats'!BH:BH) * 0.01 * 2 + 0.05, 0.05)
)</f>
        <v>No</v>
      </c>
      <c r="U225" s="5" t="str">
        <f>IF(S225="No","No",IF(_xlfn.XLOOKUP(B225,'Base stats'!B:B,'Base stats'!U:U)="No","No",
MROUND(_xlfn.XLOOKUP(B225,'Base stats'!B:B,'Base stats'!BT:BT)/10000+0.01,0.01)
))</f>
        <v>No</v>
      </c>
      <c r="V225" s="4" t="str">
        <f>IF(S225="No","No",
MROUND(_xlfn.XLOOKUP(B225,'Base stats'!B:B,'Base stats'!BF:BF)^0.25
/((_xlfn.XLOOKUP(B225,'Base stats'!B:B,'Base stats'!BO:BO))*10)*_xlfn.XLOOKUP(_xlfn.XLOOKUP(B225,'Base stats'!B:B,'Base stats'!E:E),Groups!A:A,Groups!AE:AE)*150 + 0.5 + _xlfn.XLOOKUP(B225,'Base stats'!B:B,'Base stats'!BW:BW),
0.05))</f>
        <v>No</v>
      </c>
      <c r="W225" s="8">
        <f>MROUND(_xlfn.XLOOKUP(_xlfn.XLOOKUP(B225,'Base stats'!B:B,'Base stats'!E:E),Groups!A:A,Groups!BG:BG)*_xlfn.XLOOKUP(B225,'Base stats'!B:B,'Base stats'!C:C)^-0.165,0.05)</f>
        <v>0.15000000000000002</v>
      </c>
      <c r="X225" s="1">
        <f>MROUND(_xlfn.XLOOKUP(_xlfn.XLOOKUP(B225,'Base stats'!B:B,'Base stats'!E:E),Groups!A:A,Groups!BH:BH)*_xlfn.XLOOKUP(B225,'Base stats'!B:B,'Base stats'!C:C)^0.165,0.05)</f>
        <v>0.15000000000000002</v>
      </c>
      <c r="Y225" s="8">
        <f>MROUND(_xlfn.XLOOKUP(_xlfn.XLOOKUP(B225,'Base stats'!B:B,'Base stats'!E:E),Groups!A:A,Groups!BI:BI)*_xlfn.XLOOKUP(B225,'Base stats'!B:B,'Base stats'!C:C)^0.165,0.05)</f>
        <v>0.05</v>
      </c>
      <c r="Z225" s="18">
        <f>MROUND(_xlfn.XLOOKUP(B225,'Base stats'!B:B,'Base stats'!AQ:AQ)*_xlfn.XLOOKUP(_xlfn.XLOOKUP(B225,'Base stats'!B:B,'Base stats'!E:E),Groups!A:A,Groups!H:H)/1000,IF((_xlfn.XLOOKUP(B225,'Base stats'!B:B,'Base stats'!AQ:AQ)*_xlfn.XLOOKUP(_xlfn.XLOOKUP(B225,'Base stats'!B:B,'Base stats'!E:E),Groups!A:A,Groups!H:H)/1000)&gt;1,0.05,0.01))</f>
        <v>0.51</v>
      </c>
      <c r="AA225" s="18">
        <f>MROUND((1/2)*(_xlfn.XLOOKUP(_xlfn.XLOOKUP(B225,'Base stats'!B:B,'Base stats'!E:E),Groups!A:A,Groups!H:H)*_xlfn.XLOOKUP(_xlfn.XLOOKUP(B225,'Base stats'!B:B,'Base stats'!E:E),Groups!A:A,Groups!I:I))*_xlfn.XLOOKUP(B225,'Base stats'!B:B,'Base stats'!AQ:AQ)*0.01,0.05)</f>
        <v>0.05</v>
      </c>
      <c r="AB225" s="18">
        <f>MROUND(250*(Animals!AO225+Animals!AP225),25)</f>
        <v>200</v>
      </c>
      <c r="AC225" s="18" t="str">
        <f>_xlfn.XLOOKUP(_xlfn.XLOOKUP(B225,'Base stats'!B:B,'Base stats'!E:E),Groups!A:A,Groups!BJ:BJ)</f>
        <v>Serpentine</v>
      </c>
    </row>
    <row r="226" spans="1:29" ht="16.5" thickTop="1" thickBot="1" x14ac:dyDescent="0.3">
      <c r="A226" s="16" t="str">
        <f>Animals!A226</f>
        <v>AuroraSylph</v>
      </c>
      <c r="B226" s="6" t="str">
        <f>Animals!B226</f>
        <v>Sylphalis borealis</v>
      </c>
      <c r="C226" s="1" t="str">
        <f>Animals!C226</f>
        <v>&lt;li&gt;AA_AuroraSylph&lt;/li&gt;</v>
      </c>
      <c r="D226" s="47">
        <f>MIN(MIN(6,_xlfn.XLOOKUP(A226,Animals!A:A,Animals!AO:AO))*20,MAX(MROUND(_xlfn.XLOOKUP(B226,'Base stats'!B:B,'Base stats'!BS:BS) * (_xlfn.XLOOKUP(B226,'Base stats'!B:B,'Base stats'!AO:AO)*5%)^0.9 / 21,0.1),0.05))</f>
        <v>1.1000000000000001</v>
      </c>
      <c r="E226" s="11">
        <f>MROUND(_xlfn.XLOOKUP(B226,'Base stats'!B:B,'Base stats'!BG:BG) * 0.01 * 2 + 0.01, 0.05)</f>
        <v>0.95000000000000007</v>
      </c>
      <c r="F226" s="7">
        <f>MROUND(_xlfn.XLOOKUP(B226,'Base stats'!B:B,'Base stats'!BD:BD)^0.25 / (_xlfn.XLOOKUP(B226,'Base stats'!B:B,'Base stats'!BK:BK) * 10) * 150 + 0.5 + _xlfn.XLOOKUP(B226,'Base stats'!B:B,'Base stats'!BW:BW), 0.05)</f>
        <v>2.15</v>
      </c>
      <c r="G226" s="3" t="str">
        <f>IF(Animals!S226="No","No",
IF(_xlfn.XLOOKUP(B226,'Base stats'!B:B,'Base stats'!U:U)="No",
MAX(MROUND(_xlfn.XLOOKUP(B226,'Base stats'!B:B,'Base stats'!BT:BT) * _xlfn.XLOOKUP(B226,'Base stats'!B:B,'Base stats'!BP:BP)^0.9 / 21 * _xlfn.XLOOKUP(B226,'Base stats'!B:B,'Base stats'!BX:BX),0.1),0.05),
MAX(MROUND(((MIN(10,_xlfn.XLOOKUP(B226,'Base stats'!B:B,'Base stats'!U:U)))^0.4*_xlfn.XLOOKUP(B226,'Base stats'!B:B,'Base stats'!BH:BH)^0.73)^0.6 * _xlfn.XLOOKUP(B226,'Base stats'!B:B,'Base stats'!BX:BX),0.1),0.05)
))</f>
        <v>No</v>
      </c>
      <c r="H226" s="11" t="str">
        <f>IF(G226="No","No",
MROUND(_xlfn.XLOOKUP(B226,'Base stats'!B:B,'Base stats'!BH:BH) * 0.01 * 2 + 0.05, 0.05)
)</f>
        <v>No</v>
      </c>
      <c r="I226" s="11" t="str">
        <f>IF(G226="No","No",IF(_xlfn.XLOOKUP(B226,'Base stats'!B:B,'Base stats'!U:U)="No","No",
MROUND(_xlfn.XLOOKUP(B226,'Base stats'!B:B,'Base stats'!BT:BT)/10000+0.01,0.01)
))</f>
        <v>No</v>
      </c>
      <c r="J226" s="4" t="str">
        <f>IF(G226="No","No",
MROUND(_xlfn.XLOOKUP(B226,'Base stats'!B:B,'Base stats'!BE:BE)^0.25
/((_xlfn.XLOOKUP(B226,'Base stats'!B:B,'Base stats'!BL:BL))*10)*_xlfn.XLOOKUP(_xlfn.XLOOKUP(B226,'Base stats'!B:B,'Base stats'!E:E),Groups!A:A,Groups!Q:Q)*150 + 0.5 + _xlfn.XLOOKUP(B226,'Base stats'!B:B,'Base stats'!BW:BW),
0.05))</f>
        <v>No</v>
      </c>
      <c r="K226" s="3" t="str">
        <f>IF(Animals!X226="No","No",
IF(_xlfn.XLOOKUP(_xlfn.XLOOKUP(B226,'Base stats'!B:B,'Base stats'!E:E),Groups!A:A,Groups!BD:BD)=1,
MAX(MROUND(_xlfn.XLOOKUP(B226,'Base stats'!B:B,'Base stats'!BU:BU) * _xlfn.XLOOKUP(B226,'Base stats'!B:B,'Base stats'!BQ:BQ)^0.9 / 21 *_xlfn.XLOOKUP(B226,'Base stats'!B:B,'Base stats'!BX:BX),0.1),0.05),
MAX(MROUND(((MIN(10,_xlfn.XLOOKUP(B226,'Base stats'!B:B,'Base stats'!W:W)))^0.4*_xlfn.XLOOKUP(B226,'Base stats'!B:B,'Base stats'!BI:BI)^0.73)^0.6 *_xlfn.XLOOKUP(B226,'Base stats'!B:B,'Base stats'!BX:BX),0.1),0.05)
))</f>
        <v>No</v>
      </c>
      <c r="L226" s="11" t="str">
        <f>IF(K226="No","No",
MROUND(_xlfn.XLOOKUP(B226,'Base stats'!B:B,'Base stats'!BI:BI) * 0.01 *2 + 0.05, 0.05)
)</f>
        <v>No</v>
      </c>
      <c r="M226" s="5" t="str">
        <f>IF(K226="No","No",IF(_xlfn.XLOOKUP(_xlfn.XLOOKUP(B226,'Base stats'!B:B,'Base stats'!E:E),Groups!A:A,Groups!BD:BD)=1,"No",
MROUND(_xlfn.XLOOKUP(B226,'Base stats'!B:B,'Base stats'!BU:BU)/10000+0.01,0.01)
))</f>
        <v>No</v>
      </c>
      <c r="N226" s="4" t="str">
        <f>IF(K226="No","No",
MROUND(
  _xlfn.XLOOKUP(B226,'Base stats'!B:B,'Base stats'!BC:BC)^0.25
  / (_xlfn.XLOOKUP(B226,'Base stats'!B:B,'Base stats'!BM:BM) * 10)
  * _xlfn.XLOOKUP(
      _xlfn.XLOOKUP(B226,'Base stats'!B:B,'Base stats'!E:E),
      Groups!A:A,
      Groups!V:V
    ) * 150
  + MIN(12, _xlfn.XLOOKUP(B226,'Base stats'!B:B,'Base stats'!W:W))^(1/IF(_xlfn.XLOOKUP(_xlfn.XLOOKUP(B226,'Base stats'!B:B,'Base stats'!E:E),Groups!A:A,Groups!U:U)=1,100,10)) + 0.5 + _xlfn.XLOOKUP(B226,'Base stats'!B:B,'Base stats'!BW:BW),
0.05))</f>
        <v>No</v>
      </c>
      <c r="O226" s="3" t="str">
        <f>IF(Animals!AD226="No","No",
MAX(MROUND((MIN(10,_xlfn.XLOOKUP(B226,'Base stats'!B:B,'Base stats'!V:V)*IF(_xlfn.XLOOKUP(_xlfn.XLOOKUP(B226,'Base stats'!B:B,'Base stats'!E:E),Groups!A:A,Groups!O:O)=0,1,0.33))^0.4*_xlfn.XLOOKUP(B226,'Base stats'!B:B,'Base stats'!BJ:BJ)^0.73)^0.6 *_xlfn.XLOOKUP(B226,'Base stats'!B:B,'Base stats'!BX:BX),0.1),0.05)
)</f>
        <v>No</v>
      </c>
      <c r="P226" s="11" t="str">
        <f>IF(O226="No","No",
MROUND(_xlfn.XLOOKUP(B226,'Base stats'!B:B,'Base stats'!BJ:BJ) * 0.01 * 2 + 0.05, 0.05)
)</f>
        <v>No</v>
      </c>
      <c r="Q226" s="5" t="str">
        <f>IF(O226="No","No",
MROUND(_xlfn.XLOOKUP(B226,'Base stats'!B:B,'Base stats'!BV:BV)/10000+0.01,0.01)
)</f>
        <v>No</v>
      </c>
      <c r="R226" s="4" t="str">
        <f>IF(O226="No","No",
MROUND(_xlfn.XLOOKUP(B226,'Base stats'!B:B,'Base stats'!BB:BB)^0.25
/((_xlfn.XLOOKUP(B226,'Base stats'!B:B,'Base stats'!BN:BN))*10)*_xlfn.XLOOKUP(_xlfn.XLOOKUP(B226,'Base stats'!B:B,'Base stats'!E:E),Groups!A:A,Groups!Z:Z)*150 + 0.5 + _xlfn.XLOOKUP(B226,'Base stats'!B:B,'Base stats'!BW:BW),
0.05))</f>
        <v>No</v>
      </c>
      <c r="S226" s="3" t="str">
        <f>IF(Animals!AI226="No","No",
IF(_xlfn.XLOOKUP(B226,'Base stats'!B:B,'Base stats'!U:U)="No",
MAX(MROUND(_xlfn.XLOOKUP(B226,'Base stats'!B:B,'Base stats'!BT:BT) * _xlfn.XLOOKUP(B226,'Base stats'!B:B,'Base stats'!BP:BP)^0.9 / 21 * _xlfn.XLOOKUP(B226,'Base stats'!B:B,'Base stats'!BX:BX),0.1),0.05),
MAX(MROUND(((MIN(12,_xlfn.XLOOKUP(B226,'Base stats'!B:B,'Base stats'!U:U)))^0.4*_xlfn.XLOOKUP(B226,'Base stats'!B:B,'Base stats'!BH:BH)^0.73)^0.6 * _xlfn.XLOOKUP(B226,'Base stats'!B:B,'Base stats'!BX:BX),0.1),0.05)
))</f>
        <v>No</v>
      </c>
      <c r="T226" s="11" t="str">
        <f>IF(S226="No","No",
MROUND(_xlfn.XLOOKUP(B226,'Base stats'!B:B,'Base stats'!BH:BH) * 0.01 * 2 + 0.05, 0.05)
)</f>
        <v>No</v>
      </c>
      <c r="U226" s="5" t="str">
        <f>IF(S226="No","No",IF(_xlfn.XLOOKUP(B226,'Base stats'!B:B,'Base stats'!U:U)="No","No",
MROUND(_xlfn.XLOOKUP(B226,'Base stats'!B:B,'Base stats'!BT:BT)/10000+0.01,0.01)
))</f>
        <v>No</v>
      </c>
      <c r="V226" s="4" t="str">
        <f>IF(S226="No","No",
MROUND(_xlfn.XLOOKUP(B226,'Base stats'!B:B,'Base stats'!BF:BF)^0.25
/((_xlfn.XLOOKUP(B226,'Base stats'!B:B,'Base stats'!BO:BO))*10)*_xlfn.XLOOKUP(_xlfn.XLOOKUP(B226,'Base stats'!B:B,'Base stats'!E:E),Groups!A:A,Groups!AE:AE)*150 + 0.5 + _xlfn.XLOOKUP(B226,'Base stats'!B:B,'Base stats'!BW:BW),
0.05))</f>
        <v>No</v>
      </c>
      <c r="W226" s="8">
        <f>MROUND(_xlfn.XLOOKUP(_xlfn.XLOOKUP(B226,'Base stats'!B:B,'Base stats'!E:E),Groups!A:A,Groups!BG:BG)*_xlfn.XLOOKUP(B226,'Base stats'!B:B,'Base stats'!C:C)^-0.165,0.05)</f>
        <v>0.1</v>
      </c>
      <c r="X226" s="1">
        <f>MROUND(_xlfn.XLOOKUP(_xlfn.XLOOKUP(B226,'Base stats'!B:B,'Base stats'!E:E),Groups!A:A,Groups!BH:BH)*_xlfn.XLOOKUP(B226,'Base stats'!B:B,'Base stats'!C:C)^0.165,0.05)</f>
        <v>0.2</v>
      </c>
      <c r="Y226" s="8">
        <f>MROUND(_xlfn.XLOOKUP(_xlfn.XLOOKUP(B226,'Base stats'!B:B,'Base stats'!E:E),Groups!A:A,Groups!BI:BI)*_xlfn.XLOOKUP(B226,'Base stats'!B:B,'Base stats'!C:C)^0.165,0.05)</f>
        <v>0.05</v>
      </c>
      <c r="Z226" s="18">
        <f>MROUND(_xlfn.XLOOKUP(B226,'Base stats'!B:B,'Base stats'!AQ:AQ)*_xlfn.XLOOKUP(_xlfn.XLOOKUP(B226,'Base stats'!B:B,'Base stats'!E:E),Groups!A:A,Groups!H:H)/1000,IF((_xlfn.XLOOKUP(B226,'Base stats'!B:B,'Base stats'!AQ:AQ)*_xlfn.XLOOKUP(_xlfn.XLOOKUP(B226,'Base stats'!B:B,'Base stats'!E:E),Groups!A:A,Groups!H:H)/1000)&gt;1,0.05,0.01))</f>
        <v>1</v>
      </c>
      <c r="AA226" s="18">
        <f>MROUND((1/2)*(_xlfn.XLOOKUP(_xlfn.XLOOKUP(B226,'Base stats'!B:B,'Base stats'!E:E),Groups!A:A,Groups!H:H)*_xlfn.XLOOKUP(_xlfn.XLOOKUP(B226,'Base stats'!B:B,'Base stats'!E:E),Groups!A:A,Groups!I:I))*_xlfn.XLOOKUP(B226,'Base stats'!B:B,'Base stats'!AQ:AQ)*0.01,0.05)</f>
        <v>0.1</v>
      </c>
      <c r="AB226" s="18">
        <f>MROUND(250*(Animals!AO226+Animals!AP226),25)</f>
        <v>500</v>
      </c>
      <c r="AC226" s="18" t="str">
        <f>_xlfn.XLOOKUP(_xlfn.XLOOKUP(B226,'Base stats'!B:B,'Base stats'!E:E),Groups!A:A,Groups!BJ:BJ)</f>
        <v>Birdlike</v>
      </c>
    </row>
    <row r="227" spans="1:29" ht="16.5" thickTop="1" thickBot="1" x14ac:dyDescent="0.3">
      <c r="A227" s="16" t="str">
        <f>Animals!A227</f>
        <v>Barbslinger</v>
      </c>
      <c r="B227" s="6" t="str">
        <f>Animals!B227</f>
        <v>Echidna projectilis</v>
      </c>
      <c r="C227" s="1" t="str">
        <f>Animals!C227</f>
        <v>&lt;li&gt;AA_Barbslinger&lt;/li&gt;</v>
      </c>
      <c r="D227" s="47">
        <f>MIN(MIN(6,_xlfn.XLOOKUP(A227,Animals!A:A,Animals!AO:AO))*20,MAX(MROUND(_xlfn.XLOOKUP(B227,'Base stats'!B:B,'Base stats'!BS:BS) * (_xlfn.XLOOKUP(B227,'Base stats'!B:B,'Base stats'!AO:AO)*5%)^0.9 / 21,0.1),0.05))</f>
        <v>1.2000000000000002</v>
      </c>
      <c r="E227" s="11">
        <f>MROUND(_xlfn.XLOOKUP(B227,'Base stats'!B:B,'Base stats'!BG:BG) * 0.01 * 2 + 0.01, 0.05)</f>
        <v>1</v>
      </c>
      <c r="F227" s="7">
        <f>MROUND(_xlfn.XLOOKUP(B227,'Base stats'!B:B,'Base stats'!BD:BD)^0.25 / (_xlfn.XLOOKUP(B227,'Base stats'!B:B,'Base stats'!BK:BK) * 10) * 150 + 0.5 + _xlfn.XLOOKUP(B227,'Base stats'!B:B,'Base stats'!BW:BW), 0.05)</f>
        <v>2.5500000000000003</v>
      </c>
      <c r="G227" s="3" t="str">
        <f>IF(Animals!S227="No","No",
IF(_xlfn.XLOOKUP(B227,'Base stats'!B:B,'Base stats'!U:U)="No",
MAX(MROUND(_xlfn.XLOOKUP(B227,'Base stats'!B:B,'Base stats'!BT:BT) * _xlfn.XLOOKUP(B227,'Base stats'!B:B,'Base stats'!BP:BP)^0.9 / 21 * _xlfn.XLOOKUP(B227,'Base stats'!B:B,'Base stats'!BX:BX),0.1),0.05),
MAX(MROUND(((MIN(10,_xlfn.XLOOKUP(B227,'Base stats'!B:B,'Base stats'!U:U)))^0.4*_xlfn.XLOOKUP(B227,'Base stats'!B:B,'Base stats'!BH:BH)^0.73)^0.6 * _xlfn.XLOOKUP(B227,'Base stats'!B:B,'Base stats'!BX:BX),0.1),0.05)
))</f>
        <v>No</v>
      </c>
      <c r="H227" s="11" t="str">
        <f>IF(G227="No","No",
MROUND(_xlfn.XLOOKUP(B227,'Base stats'!B:B,'Base stats'!BH:BH) * 0.01 * 2 + 0.05, 0.05)
)</f>
        <v>No</v>
      </c>
      <c r="I227" s="11" t="str">
        <f>IF(G227="No","No",IF(_xlfn.XLOOKUP(B227,'Base stats'!B:B,'Base stats'!U:U)="No","No",
MROUND(_xlfn.XLOOKUP(B227,'Base stats'!B:B,'Base stats'!BT:BT)/10000+0.01,0.01)
))</f>
        <v>No</v>
      </c>
      <c r="J227" s="4" t="str">
        <f>IF(G227="No","No",
MROUND(_xlfn.XLOOKUP(B227,'Base stats'!B:B,'Base stats'!BE:BE)^0.25
/((_xlfn.XLOOKUP(B227,'Base stats'!B:B,'Base stats'!BL:BL))*10)*_xlfn.XLOOKUP(_xlfn.XLOOKUP(B227,'Base stats'!B:B,'Base stats'!E:E),Groups!A:A,Groups!Q:Q)*150 + 0.5 + _xlfn.XLOOKUP(B227,'Base stats'!B:B,'Base stats'!BW:BW),
0.05))</f>
        <v>No</v>
      </c>
      <c r="K227" s="3">
        <f>IF(Animals!X227="No","No",
IF(_xlfn.XLOOKUP(_xlfn.XLOOKUP(B227,'Base stats'!B:B,'Base stats'!E:E),Groups!A:A,Groups!BD:BD)=1,
MAX(MROUND(_xlfn.XLOOKUP(B227,'Base stats'!B:B,'Base stats'!BU:BU) * _xlfn.XLOOKUP(B227,'Base stats'!B:B,'Base stats'!BQ:BQ)^0.9 / 21 *_xlfn.XLOOKUP(B227,'Base stats'!B:B,'Base stats'!BX:BX),0.1),0.05),
MAX(MROUND(((MIN(10,_xlfn.XLOOKUP(B227,'Base stats'!B:B,'Base stats'!W:W)))^0.4*_xlfn.XLOOKUP(B227,'Base stats'!B:B,'Base stats'!BI:BI)^0.73)^0.6 *_xlfn.XLOOKUP(B227,'Base stats'!B:B,'Base stats'!BX:BX),0.1),0.05)
))</f>
        <v>22.900000000000002</v>
      </c>
      <c r="L227" s="11">
        <f>IF(K227="No","No",
MROUND(_xlfn.XLOOKUP(B227,'Base stats'!B:B,'Base stats'!BI:BI) * 0.01 *2 + 0.05, 0.05)
)</f>
        <v>7.7</v>
      </c>
      <c r="M227" s="5">
        <f>IF(K227="No","No",IF(_xlfn.XLOOKUP(_xlfn.XLOOKUP(B227,'Base stats'!B:B,'Base stats'!E:E),Groups!A:A,Groups!BD:BD)=1,"No",
MROUND(_xlfn.XLOOKUP(B227,'Base stats'!B:B,'Base stats'!BU:BU)/10000+0.01,0.01)
))</f>
        <v>5.04</v>
      </c>
      <c r="N227" s="4">
        <f>IF(K227="No","No",
MROUND(
  _xlfn.XLOOKUP(B227,'Base stats'!B:B,'Base stats'!BC:BC)^0.25
  / (_xlfn.XLOOKUP(B227,'Base stats'!B:B,'Base stats'!BM:BM) * 10)
  * _xlfn.XLOOKUP(
      _xlfn.XLOOKUP(B227,'Base stats'!B:B,'Base stats'!E:E),
      Groups!A:A,
      Groups!V:V
    ) * 150
  + MIN(12, _xlfn.XLOOKUP(B227,'Base stats'!B:B,'Base stats'!W:W))^(1/IF(_xlfn.XLOOKUP(_xlfn.XLOOKUP(B227,'Base stats'!B:B,'Base stats'!E:E),Groups!A:A,Groups!U:U)=1,100,10)) + 0.5 + _xlfn.XLOOKUP(B227,'Base stats'!B:B,'Base stats'!BW:BW),
0.05))</f>
        <v>4.2</v>
      </c>
      <c r="O227" s="3">
        <f>IF(Animals!AD227="No","No",
MAX(MROUND((MIN(10,_xlfn.XLOOKUP(B227,'Base stats'!B:B,'Base stats'!V:V)*IF(_xlfn.XLOOKUP(_xlfn.XLOOKUP(B227,'Base stats'!B:B,'Base stats'!E:E),Groups!A:A,Groups!O:O)=0,1,0.33))^0.4*_xlfn.XLOOKUP(B227,'Base stats'!B:B,'Base stats'!BJ:BJ)^0.73)^0.6 *_xlfn.XLOOKUP(B227,'Base stats'!B:B,'Base stats'!BX:BX),0.1),0.05)
)</f>
        <v>17.900000000000002</v>
      </c>
      <c r="P227" s="11">
        <f>IF(O227="No","No",
MROUND(_xlfn.XLOOKUP(B227,'Base stats'!B:B,'Base stats'!BJ:BJ) * 0.01 * 2 + 0.05, 0.05)
)</f>
        <v>8</v>
      </c>
      <c r="Q227" s="5">
        <f>IF(O227="No","No",
MROUND(_xlfn.XLOOKUP(B227,'Base stats'!B:B,'Base stats'!BV:BV)/10000+0.01,0.01)
)</f>
        <v>0.48</v>
      </c>
      <c r="R227" s="4">
        <f>IF(O227="No","No",
MROUND(_xlfn.XLOOKUP(B227,'Base stats'!B:B,'Base stats'!BB:BB)^0.25
/((_xlfn.XLOOKUP(B227,'Base stats'!B:B,'Base stats'!BN:BN))*10)*_xlfn.XLOOKUP(_xlfn.XLOOKUP(B227,'Base stats'!B:B,'Base stats'!E:E),Groups!A:A,Groups!Z:Z)*150 + 0.5 + _xlfn.XLOOKUP(B227,'Base stats'!B:B,'Base stats'!BW:BW),
0.05))</f>
        <v>2.25</v>
      </c>
      <c r="S227" s="3">
        <f>IF(Animals!AI227="No","No",
IF(_xlfn.XLOOKUP(B227,'Base stats'!B:B,'Base stats'!U:U)="No",
MAX(MROUND(_xlfn.XLOOKUP(B227,'Base stats'!B:B,'Base stats'!BT:BT) * _xlfn.XLOOKUP(B227,'Base stats'!B:B,'Base stats'!BP:BP)^0.9 / 21 * _xlfn.XLOOKUP(B227,'Base stats'!B:B,'Base stats'!BX:BX),0.1),0.05),
MAX(MROUND(((MIN(12,_xlfn.XLOOKUP(B227,'Base stats'!B:B,'Base stats'!U:U)))^0.4*_xlfn.XLOOKUP(B227,'Base stats'!B:B,'Base stats'!BH:BH)^0.73)^0.6 * _xlfn.XLOOKUP(B227,'Base stats'!B:B,'Base stats'!BX:BX),0.1),0.05)
))</f>
        <v>21.200000000000003</v>
      </c>
      <c r="T227" s="11">
        <f>IF(S227="No","No",
MROUND(_xlfn.XLOOKUP(B227,'Base stats'!B:B,'Base stats'!BH:BH) * 0.01 * 2 + 0.05, 0.05)
)</f>
        <v>6.4</v>
      </c>
      <c r="U227" s="5">
        <f>IF(S227="No","No",IF(_xlfn.XLOOKUP(B227,'Base stats'!B:B,'Base stats'!U:U)="No","No",
MROUND(_xlfn.XLOOKUP(B227,'Base stats'!B:B,'Base stats'!BT:BT)/10000+0.01,0.01)
))</f>
        <v>3.74</v>
      </c>
      <c r="V227" s="4">
        <f>IF(S227="No","No",
MROUND(_xlfn.XLOOKUP(B227,'Base stats'!B:B,'Base stats'!BF:BF)^0.25
/((_xlfn.XLOOKUP(B227,'Base stats'!B:B,'Base stats'!BO:BO))*10)*_xlfn.XLOOKUP(_xlfn.XLOOKUP(B227,'Base stats'!B:B,'Base stats'!E:E),Groups!A:A,Groups!AE:AE)*150 + 0.5 + _xlfn.XLOOKUP(B227,'Base stats'!B:B,'Base stats'!BW:BW),
0.05))</f>
        <v>2.75</v>
      </c>
      <c r="W227" s="8">
        <f>MROUND(_xlfn.XLOOKUP(_xlfn.XLOOKUP(B227,'Base stats'!B:B,'Base stats'!E:E),Groups!A:A,Groups!BG:BG)*_xlfn.XLOOKUP(B227,'Base stats'!B:B,'Base stats'!C:C)^-0.165,0.05)</f>
        <v>0.1</v>
      </c>
      <c r="X227" s="1">
        <f>MROUND(_xlfn.XLOOKUP(_xlfn.XLOOKUP(B227,'Base stats'!B:B,'Base stats'!E:E),Groups!A:A,Groups!BH:BH)*_xlfn.XLOOKUP(B227,'Base stats'!B:B,'Base stats'!C:C)^0.165,0.05)</f>
        <v>0.2</v>
      </c>
      <c r="Y227" s="8">
        <f>MROUND(_xlfn.XLOOKUP(_xlfn.XLOOKUP(B227,'Base stats'!B:B,'Base stats'!E:E),Groups!A:A,Groups!BI:BI)*_xlfn.XLOOKUP(B227,'Base stats'!B:B,'Base stats'!C:C)^0.165,0.05)</f>
        <v>0.05</v>
      </c>
      <c r="Z227" s="18">
        <f>MROUND(_xlfn.XLOOKUP(B227,'Base stats'!B:B,'Base stats'!AQ:AQ)*_xlfn.XLOOKUP(_xlfn.XLOOKUP(B227,'Base stats'!B:B,'Base stats'!E:E),Groups!A:A,Groups!H:H)/1000,IF((_xlfn.XLOOKUP(B227,'Base stats'!B:B,'Base stats'!AQ:AQ)*_xlfn.XLOOKUP(_xlfn.XLOOKUP(B227,'Base stats'!B:B,'Base stats'!E:E),Groups!A:A,Groups!H:H)/1000)&gt;1,0.05,0.01))</f>
        <v>1.05</v>
      </c>
      <c r="AA227" s="18">
        <f>MROUND((1/2)*(_xlfn.XLOOKUP(_xlfn.XLOOKUP(B227,'Base stats'!B:B,'Base stats'!E:E),Groups!A:A,Groups!H:H)*_xlfn.XLOOKUP(_xlfn.XLOOKUP(B227,'Base stats'!B:B,'Base stats'!E:E),Groups!A:A,Groups!I:I))*_xlfn.XLOOKUP(B227,'Base stats'!B:B,'Base stats'!AQ:AQ)*0.01,0.05)</f>
        <v>0.1</v>
      </c>
      <c r="AB227" s="18">
        <f>MROUND(250*(Animals!AO227+Animals!AP227),25)</f>
        <v>525</v>
      </c>
      <c r="AC227" s="18" t="str">
        <f>_xlfn.XLOOKUP(_xlfn.XLOOKUP(B227,'Base stats'!B:B,'Base stats'!E:E),Groups!A:A,Groups!BJ:BJ)</f>
        <v>QuadrupedLow</v>
      </c>
    </row>
    <row r="228" spans="1:29" ht="16.5" thickTop="1" thickBot="1" x14ac:dyDescent="0.3">
      <c r="A228" s="16" t="str">
        <f>Animals!A228</f>
        <v>BedBug</v>
      </c>
      <c r="B228" s="6" t="str">
        <f>Animals!B228</f>
        <v>Cimex titanus</v>
      </c>
      <c r="C228" s="1" t="str">
        <f>Animals!C228</f>
        <v>&lt;li&gt;AA_BedBug&lt;/li&gt;</v>
      </c>
      <c r="D228" s="47">
        <f>MIN(MIN(6,_xlfn.XLOOKUP(A228,Animals!A:A,Animals!AO:AO))*20,MAX(MROUND(_xlfn.XLOOKUP(B228,'Base stats'!B:B,'Base stats'!BS:BS) * (_xlfn.XLOOKUP(B228,'Base stats'!B:B,'Base stats'!AO:AO)*5%)^0.9 / 21,0.1),0.05))</f>
        <v>0.70000000000000007</v>
      </c>
      <c r="E228" s="11">
        <f>MROUND(_xlfn.XLOOKUP(B228,'Base stats'!B:B,'Base stats'!BG:BG) * 0.01 * 2 + 0.01, 0.05)</f>
        <v>0.55000000000000004</v>
      </c>
      <c r="F228" s="7">
        <f>MROUND(_xlfn.XLOOKUP(B228,'Base stats'!B:B,'Base stats'!BD:BD)^0.25 / (_xlfn.XLOOKUP(B228,'Base stats'!B:B,'Base stats'!BK:BK) * 10) * 150 + 0.5 + _xlfn.XLOOKUP(B228,'Base stats'!B:B,'Base stats'!BW:BW), 0.05)</f>
        <v>2.3000000000000003</v>
      </c>
      <c r="G228" s="3" t="str">
        <f>IF(Animals!S228="No","No",
IF(_xlfn.XLOOKUP(B228,'Base stats'!B:B,'Base stats'!U:U)="No",
MAX(MROUND(_xlfn.XLOOKUP(B228,'Base stats'!B:B,'Base stats'!BT:BT) * _xlfn.XLOOKUP(B228,'Base stats'!B:B,'Base stats'!BP:BP)^0.9 / 21 * _xlfn.XLOOKUP(B228,'Base stats'!B:B,'Base stats'!BX:BX),0.1),0.05),
MAX(MROUND(((MIN(10,_xlfn.XLOOKUP(B228,'Base stats'!B:B,'Base stats'!U:U)))^0.4*_xlfn.XLOOKUP(B228,'Base stats'!B:B,'Base stats'!BH:BH)^0.73)^0.6 * _xlfn.XLOOKUP(B228,'Base stats'!B:B,'Base stats'!BX:BX),0.1),0.05)
))</f>
        <v>No</v>
      </c>
      <c r="H228" s="11" t="str">
        <f>IF(G228="No","No",
MROUND(_xlfn.XLOOKUP(B228,'Base stats'!B:B,'Base stats'!BH:BH) * 0.01 * 2 + 0.05, 0.05)
)</f>
        <v>No</v>
      </c>
      <c r="I228" s="11" t="str">
        <f>IF(G228="No","No",IF(_xlfn.XLOOKUP(B228,'Base stats'!B:B,'Base stats'!U:U)="No","No",
MROUND(_xlfn.XLOOKUP(B228,'Base stats'!B:B,'Base stats'!BT:BT)/10000+0.01,0.01)
))</f>
        <v>No</v>
      </c>
      <c r="J228" s="4" t="str">
        <f>IF(G228="No","No",
MROUND(_xlfn.XLOOKUP(B228,'Base stats'!B:B,'Base stats'!BE:BE)^0.25
/((_xlfn.XLOOKUP(B228,'Base stats'!B:B,'Base stats'!BL:BL))*10)*_xlfn.XLOOKUP(_xlfn.XLOOKUP(B228,'Base stats'!B:B,'Base stats'!E:E),Groups!A:A,Groups!Q:Q)*150 + 0.5 + _xlfn.XLOOKUP(B228,'Base stats'!B:B,'Base stats'!BW:BW),
0.05))</f>
        <v>No</v>
      </c>
      <c r="K228" s="3" t="str">
        <f>IF(Animals!X228="No","No",
IF(_xlfn.XLOOKUP(_xlfn.XLOOKUP(B228,'Base stats'!B:B,'Base stats'!E:E),Groups!A:A,Groups!BD:BD)=1,
MAX(MROUND(_xlfn.XLOOKUP(B228,'Base stats'!B:B,'Base stats'!BU:BU) * _xlfn.XLOOKUP(B228,'Base stats'!B:B,'Base stats'!BQ:BQ)^0.9 / 21 *_xlfn.XLOOKUP(B228,'Base stats'!B:B,'Base stats'!BX:BX),0.1),0.05),
MAX(MROUND(((MIN(10,_xlfn.XLOOKUP(B228,'Base stats'!B:B,'Base stats'!W:W)))^0.4*_xlfn.XLOOKUP(B228,'Base stats'!B:B,'Base stats'!BI:BI)^0.73)^0.6 *_xlfn.XLOOKUP(B228,'Base stats'!B:B,'Base stats'!BX:BX),0.1),0.05)
))</f>
        <v>No</v>
      </c>
      <c r="L228" s="11" t="str">
        <f>IF(K228="No","No",
MROUND(_xlfn.XLOOKUP(B228,'Base stats'!B:B,'Base stats'!BI:BI) * 0.01 *2 + 0.05, 0.05)
)</f>
        <v>No</v>
      </c>
      <c r="M228" s="5" t="str">
        <f>IF(K228="No","No",IF(_xlfn.XLOOKUP(_xlfn.XLOOKUP(B228,'Base stats'!B:B,'Base stats'!E:E),Groups!A:A,Groups!BD:BD)=1,"No",
MROUND(_xlfn.XLOOKUP(B228,'Base stats'!B:B,'Base stats'!BU:BU)/10000+0.01,0.01)
))</f>
        <v>No</v>
      </c>
      <c r="N228" s="4" t="str">
        <f>IF(K228="No","No",
MROUND(
  _xlfn.XLOOKUP(B228,'Base stats'!B:B,'Base stats'!BC:BC)^0.25
  / (_xlfn.XLOOKUP(B228,'Base stats'!B:B,'Base stats'!BM:BM) * 10)
  * _xlfn.XLOOKUP(
      _xlfn.XLOOKUP(B228,'Base stats'!B:B,'Base stats'!E:E),
      Groups!A:A,
      Groups!V:V
    ) * 150
  + MIN(12, _xlfn.XLOOKUP(B228,'Base stats'!B:B,'Base stats'!W:W))^(1/IF(_xlfn.XLOOKUP(_xlfn.XLOOKUP(B228,'Base stats'!B:B,'Base stats'!E:E),Groups!A:A,Groups!U:U)=1,100,10)) + 0.5 + _xlfn.XLOOKUP(B228,'Base stats'!B:B,'Base stats'!BW:BW),
0.05))</f>
        <v>No</v>
      </c>
      <c r="O228" s="3">
        <f>IF(Animals!AD228="No","No",
MAX(MROUND((MIN(10,_xlfn.XLOOKUP(B228,'Base stats'!B:B,'Base stats'!V:V)*IF(_xlfn.XLOOKUP(_xlfn.XLOOKUP(B228,'Base stats'!B:B,'Base stats'!E:E),Groups!A:A,Groups!O:O)=0,1,0.33))^0.4*_xlfn.XLOOKUP(B228,'Base stats'!B:B,'Base stats'!BJ:BJ)^0.73)^0.6 *_xlfn.XLOOKUP(B228,'Base stats'!B:B,'Base stats'!BX:BX),0.1),0.05)
)</f>
        <v>15.4</v>
      </c>
      <c r="P228" s="11">
        <f>IF(O228="No","No",
MROUND(_xlfn.XLOOKUP(B228,'Base stats'!B:B,'Base stats'!BJ:BJ) * 0.01 * 2 + 0.05, 0.05)
)</f>
        <v>4.8500000000000005</v>
      </c>
      <c r="Q228" s="5">
        <f>IF(O228="No","No",
MROUND(_xlfn.XLOOKUP(B228,'Base stats'!B:B,'Base stats'!BV:BV)/10000+0.01,0.01)
)</f>
        <v>0.37</v>
      </c>
      <c r="R228" s="4">
        <f>IF(O228="No","No",
MROUND(_xlfn.XLOOKUP(B228,'Base stats'!B:B,'Base stats'!BB:BB)^0.25
/((_xlfn.XLOOKUP(B228,'Base stats'!B:B,'Base stats'!BN:BN))*10)*_xlfn.XLOOKUP(_xlfn.XLOOKUP(B228,'Base stats'!B:B,'Base stats'!E:E),Groups!A:A,Groups!Z:Z)*150 + 0.5 + _xlfn.XLOOKUP(B228,'Base stats'!B:B,'Base stats'!BW:BW),
0.05))</f>
        <v>1.9500000000000002</v>
      </c>
      <c r="S228" s="3" t="str">
        <f>IF(Animals!AI228="No","No",
IF(_xlfn.XLOOKUP(B228,'Base stats'!B:B,'Base stats'!U:U)="No",
MAX(MROUND(_xlfn.XLOOKUP(B228,'Base stats'!B:B,'Base stats'!BT:BT) * _xlfn.XLOOKUP(B228,'Base stats'!B:B,'Base stats'!BP:BP)^0.9 / 21 * _xlfn.XLOOKUP(B228,'Base stats'!B:B,'Base stats'!BX:BX),0.1),0.05),
MAX(MROUND(((MIN(12,_xlfn.XLOOKUP(B228,'Base stats'!B:B,'Base stats'!U:U)))^0.4*_xlfn.XLOOKUP(B228,'Base stats'!B:B,'Base stats'!BH:BH)^0.73)^0.6 * _xlfn.XLOOKUP(B228,'Base stats'!B:B,'Base stats'!BX:BX),0.1),0.05)
))</f>
        <v>No</v>
      </c>
      <c r="T228" s="11" t="str">
        <f>IF(S228="No","No",
MROUND(_xlfn.XLOOKUP(B228,'Base stats'!B:B,'Base stats'!BH:BH) * 0.01 * 2 + 0.05, 0.05)
)</f>
        <v>No</v>
      </c>
      <c r="U228" s="5" t="str">
        <f>IF(S228="No","No",IF(_xlfn.XLOOKUP(B228,'Base stats'!B:B,'Base stats'!U:U)="No","No",
MROUND(_xlfn.XLOOKUP(B228,'Base stats'!B:B,'Base stats'!BT:BT)/10000+0.01,0.01)
))</f>
        <v>No</v>
      </c>
      <c r="V228" s="4" t="str">
        <f>IF(S228="No","No",
MROUND(_xlfn.XLOOKUP(B228,'Base stats'!B:B,'Base stats'!BF:BF)^0.25
/((_xlfn.XLOOKUP(B228,'Base stats'!B:B,'Base stats'!BO:BO))*10)*_xlfn.XLOOKUP(_xlfn.XLOOKUP(B228,'Base stats'!B:B,'Base stats'!E:E),Groups!A:A,Groups!AE:AE)*150 + 0.5 + _xlfn.XLOOKUP(B228,'Base stats'!B:B,'Base stats'!BW:BW),
0.05))</f>
        <v>No</v>
      </c>
      <c r="W228" s="8">
        <f>MROUND(_xlfn.XLOOKUP(_xlfn.XLOOKUP(B228,'Base stats'!B:B,'Base stats'!E:E),Groups!A:A,Groups!BG:BG)*_xlfn.XLOOKUP(B228,'Base stats'!B:B,'Base stats'!C:C)^-0.165,0.05)</f>
        <v>0.15000000000000002</v>
      </c>
      <c r="X228" s="1">
        <f>MROUND(_xlfn.XLOOKUP(_xlfn.XLOOKUP(B228,'Base stats'!B:B,'Base stats'!E:E),Groups!A:A,Groups!BH:BH)*_xlfn.XLOOKUP(B228,'Base stats'!B:B,'Base stats'!C:C)^0.165,0.05)</f>
        <v>0.2</v>
      </c>
      <c r="Y228" s="8">
        <f>MROUND(_xlfn.XLOOKUP(_xlfn.XLOOKUP(B228,'Base stats'!B:B,'Base stats'!E:E),Groups!A:A,Groups!BI:BI)*_xlfn.XLOOKUP(B228,'Base stats'!B:B,'Base stats'!C:C)^0.165,0.05)</f>
        <v>0.05</v>
      </c>
      <c r="Z228" s="18">
        <f>MROUND(_xlfn.XLOOKUP(B228,'Base stats'!B:B,'Base stats'!AQ:AQ)*_xlfn.XLOOKUP(_xlfn.XLOOKUP(B228,'Base stats'!B:B,'Base stats'!E:E),Groups!A:A,Groups!H:H)/1000,IF((_xlfn.XLOOKUP(B228,'Base stats'!B:B,'Base stats'!AQ:AQ)*_xlfn.XLOOKUP(_xlfn.XLOOKUP(B228,'Base stats'!B:B,'Base stats'!E:E),Groups!A:A,Groups!H:H)/1000)&gt;1,0.05,0.01))</f>
        <v>0.83000000000000007</v>
      </c>
      <c r="AA228" s="18">
        <f>MROUND((1/2)*(_xlfn.XLOOKUP(_xlfn.XLOOKUP(B228,'Base stats'!B:B,'Base stats'!E:E),Groups!A:A,Groups!H:H)*_xlfn.XLOOKUP(_xlfn.XLOOKUP(B228,'Base stats'!B:B,'Base stats'!E:E),Groups!A:A,Groups!I:I))*_xlfn.XLOOKUP(B228,'Base stats'!B:B,'Base stats'!AQ:AQ)*0.01,0.05)</f>
        <v>0.1</v>
      </c>
      <c r="AB228" s="18">
        <f>MROUND(250*(Animals!AO228+Animals!AP228),25)</f>
        <v>400</v>
      </c>
      <c r="AC228" s="18" t="str">
        <f>_xlfn.XLOOKUP(_xlfn.XLOOKUP(B228,'Base stats'!B:B,'Base stats'!E:E),Groups!A:A,Groups!BJ:BJ)</f>
        <v>QuadrupedLow</v>
      </c>
    </row>
    <row r="229" spans="1:29" ht="16.5" thickTop="1" thickBot="1" x14ac:dyDescent="0.3">
      <c r="A229" s="16" t="str">
        <f>Animals!A229</f>
        <v>Behemoth</v>
      </c>
      <c r="B229" s="6" t="str">
        <f>Animals!B229</f>
        <v>Behemoth giganteus</v>
      </c>
      <c r="C229" s="1" t="str">
        <f>Animals!C229</f>
        <v>&lt;li&gt;AA_Behemoth&lt;/li&gt;</v>
      </c>
      <c r="D229" s="47">
        <f>MIN(MIN(6,_xlfn.XLOOKUP(A229,Animals!A:A,Animals!AO:AO))*20,MAX(MROUND(_xlfn.XLOOKUP(B229,'Base stats'!B:B,'Base stats'!BS:BS) * (_xlfn.XLOOKUP(B229,'Base stats'!B:B,'Base stats'!AO:AO)*5%)^0.9 / 21,0.1),0.05))</f>
        <v>61.6</v>
      </c>
      <c r="E229" s="11">
        <f>MROUND(_xlfn.XLOOKUP(B229,'Base stats'!B:B,'Base stats'!BG:BG) * 0.01 * 2 + 0.01, 0.05)</f>
        <v>69.400000000000006</v>
      </c>
      <c r="F229" s="7">
        <f>MROUND(_xlfn.XLOOKUP(B229,'Base stats'!B:B,'Base stats'!BD:BD)^0.25 / (_xlfn.XLOOKUP(B229,'Base stats'!B:B,'Base stats'!BK:BK) * 10) * 150 + 0.5 + _xlfn.XLOOKUP(B229,'Base stats'!B:B,'Base stats'!BW:BW), 0.05)</f>
        <v>4.8000000000000007</v>
      </c>
      <c r="G229" s="3" t="str">
        <f>IF(Animals!S229="No","No",
IF(_xlfn.XLOOKUP(B229,'Base stats'!B:B,'Base stats'!U:U)="No",
MAX(MROUND(_xlfn.XLOOKUP(B229,'Base stats'!B:B,'Base stats'!BT:BT) * _xlfn.XLOOKUP(B229,'Base stats'!B:B,'Base stats'!BP:BP)^0.9 / 21 * _xlfn.XLOOKUP(B229,'Base stats'!B:B,'Base stats'!BX:BX),0.1),0.05),
MAX(MROUND(((MIN(10,_xlfn.XLOOKUP(B229,'Base stats'!B:B,'Base stats'!U:U)))^0.4*_xlfn.XLOOKUP(B229,'Base stats'!B:B,'Base stats'!BH:BH)^0.73)^0.6 * _xlfn.XLOOKUP(B229,'Base stats'!B:B,'Base stats'!BX:BX),0.1),0.05)
))</f>
        <v>No</v>
      </c>
      <c r="H229" s="11" t="str">
        <f>IF(G229="No","No",
MROUND(_xlfn.XLOOKUP(B229,'Base stats'!B:B,'Base stats'!BH:BH) * 0.01 * 2 + 0.05, 0.05)
)</f>
        <v>No</v>
      </c>
      <c r="I229" s="11" t="str">
        <f>IF(G229="No","No",IF(_xlfn.XLOOKUP(B229,'Base stats'!B:B,'Base stats'!U:U)="No","No",
MROUND(_xlfn.XLOOKUP(B229,'Base stats'!B:B,'Base stats'!BT:BT)/10000+0.01,0.01)
))</f>
        <v>No</v>
      </c>
      <c r="J229" s="4" t="str">
        <f>IF(G229="No","No",
MROUND(_xlfn.XLOOKUP(B229,'Base stats'!B:B,'Base stats'!BE:BE)^0.25
/((_xlfn.XLOOKUP(B229,'Base stats'!B:B,'Base stats'!BL:BL))*10)*_xlfn.XLOOKUP(_xlfn.XLOOKUP(B229,'Base stats'!B:B,'Base stats'!E:E),Groups!A:A,Groups!Q:Q)*150 + 0.5 + _xlfn.XLOOKUP(B229,'Base stats'!B:B,'Base stats'!BW:BW),
0.05))</f>
        <v>No</v>
      </c>
      <c r="K229" s="3" t="str">
        <f>IF(Animals!X229="No","No",
IF(_xlfn.XLOOKUP(_xlfn.XLOOKUP(B229,'Base stats'!B:B,'Base stats'!E:E),Groups!A:A,Groups!BD:BD)=1,
MAX(MROUND(_xlfn.XLOOKUP(B229,'Base stats'!B:B,'Base stats'!BU:BU) * _xlfn.XLOOKUP(B229,'Base stats'!B:B,'Base stats'!BQ:BQ)^0.9 / 21 *_xlfn.XLOOKUP(B229,'Base stats'!B:B,'Base stats'!BX:BX),0.1),0.05),
MAX(MROUND(((MIN(10,_xlfn.XLOOKUP(B229,'Base stats'!B:B,'Base stats'!W:W)))^0.4*_xlfn.XLOOKUP(B229,'Base stats'!B:B,'Base stats'!BI:BI)^0.73)^0.6 *_xlfn.XLOOKUP(B229,'Base stats'!B:B,'Base stats'!BX:BX),0.1),0.05)
))</f>
        <v>No</v>
      </c>
      <c r="L229" s="11" t="str">
        <f>IF(K229="No","No",
MROUND(_xlfn.XLOOKUP(B229,'Base stats'!B:B,'Base stats'!BI:BI) * 0.01 *2 + 0.05, 0.05)
)</f>
        <v>No</v>
      </c>
      <c r="M229" s="5" t="str">
        <f>IF(K229="No","No",IF(_xlfn.XLOOKUP(_xlfn.XLOOKUP(B229,'Base stats'!B:B,'Base stats'!E:E),Groups!A:A,Groups!BD:BD)=1,"No",
MROUND(_xlfn.XLOOKUP(B229,'Base stats'!B:B,'Base stats'!BU:BU)/10000+0.01,0.01)
))</f>
        <v>No</v>
      </c>
      <c r="N229" s="4" t="str">
        <f>IF(K229="No","No",
MROUND(
  _xlfn.XLOOKUP(B229,'Base stats'!B:B,'Base stats'!BC:BC)^0.25
  / (_xlfn.XLOOKUP(B229,'Base stats'!B:B,'Base stats'!BM:BM) * 10)
  * _xlfn.XLOOKUP(
      _xlfn.XLOOKUP(B229,'Base stats'!B:B,'Base stats'!E:E),
      Groups!A:A,
      Groups!V:V
    ) * 150
  + MIN(12, _xlfn.XLOOKUP(B229,'Base stats'!B:B,'Base stats'!W:W))^(1/IF(_xlfn.XLOOKUP(_xlfn.XLOOKUP(B229,'Base stats'!B:B,'Base stats'!E:E),Groups!A:A,Groups!U:U)=1,100,10)) + 0.5 + _xlfn.XLOOKUP(B229,'Base stats'!B:B,'Base stats'!BW:BW),
0.05))</f>
        <v>No</v>
      </c>
      <c r="O229" s="3">
        <f>IF(Animals!AD229="No","No",
MAX(MROUND((MIN(10,_xlfn.XLOOKUP(B229,'Base stats'!B:B,'Base stats'!V:V)*IF(_xlfn.XLOOKUP(_xlfn.XLOOKUP(B229,'Base stats'!B:B,'Base stats'!E:E),Groups!A:A,Groups!O:O)=0,1,0.33))^0.4*_xlfn.XLOOKUP(B229,'Base stats'!B:B,'Base stats'!BJ:BJ)^0.73)^0.6 *_xlfn.XLOOKUP(B229,'Base stats'!B:B,'Base stats'!BX:BX),0.1),0.05)
)</f>
        <v>113.9</v>
      </c>
      <c r="P229" s="11">
        <f>IF(O229="No","No",
MROUND(_xlfn.XLOOKUP(B229,'Base stats'!B:B,'Base stats'!BJ:BJ) * 0.01 * 2 + 0.05, 0.05)
)</f>
        <v>317.5</v>
      </c>
      <c r="Q229" s="5">
        <f>IF(O229="No","No",
MROUND(_xlfn.XLOOKUP(B229,'Base stats'!B:B,'Base stats'!BV:BV)/10000+0.01,0.01)
)</f>
        <v>27.64</v>
      </c>
      <c r="R229" s="4">
        <f>IF(O229="No","No",
MROUND(_xlfn.XLOOKUP(B229,'Base stats'!B:B,'Base stats'!BB:BB)^0.25
/((_xlfn.XLOOKUP(B229,'Base stats'!B:B,'Base stats'!BN:BN))*10)*_xlfn.XLOOKUP(_xlfn.XLOOKUP(B229,'Base stats'!B:B,'Base stats'!E:E),Groups!A:A,Groups!Z:Z)*150 + 0.5 + _xlfn.XLOOKUP(B229,'Base stats'!B:B,'Base stats'!BW:BW),
0.05))</f>
        <v>2.75</v>
      </c>
      <c r="S229" s="3">
        <f>IF(Animals!AI229="No","No",
IF(_xlfn.XLOOKUP(B229,'Base stats'!B:B,'Base stats'!U:U)="No",
MAX(MROUND(_xlfn.XLOOKUP(B229,'Base stats'!B:B,'Base stats'!BT:BT) * _xlfn.XLOOKUP(B229,'Base stats'!B:B,'Base stats'!BP:BP)^0.9 / 21 * _xlfn.XLOOKUP(B229,'Base stats'!B:B,'Base stats'!BX:BX),0.1),0.05),
MAX(MROUND(((MIN(12,_xlfn.XLOOKUP(B229,'Base stats'!B:B,'Base stats'!U:U)))^0.4*_xlfn.XLOOKUP(B229,'Base stats'!B:B,'Base stats'!BH:BH)^0.73)^0.6 * _xlfn.XLOOKUP(B229,'Base stats'!B:B,'Base stats'!BX:BX),0.1),0.05)
))</f>
        <v>60.2</v>
      </c>
      <c r="T229" s="11">
        <f>IF(S229="No","No",
MROUND(_xlfn.XLOOKUP(B229,'Base stats'!B:B,'Base stats'!BH:BH) * 0.01 * 2 + 0.05, 0.05)
)</f>
        <v>59.300000000000004</v>
      </c>
      <c r="U229" s="5">
        <f>IF(S229="No","No",IF(_xlfn.XLOOKUP(B229,'Base stats'!B:B,'Base stats'!U:U)="No","No",
MROUND(_xlfn.XLOOKUP(B229,'Base stats'!B:B,'Base stats'!BT:BT)/10000+0.01,0.01)
))</f>
        <v>5.17</v>
      </c>
      <c r="V229" s="4">
        <f>IF(S229="No","No",
MROUND(_xlfn.XLOOKUP(B229,'Base stats'!B:B,'Base stats'!BF:BF)^0.25
/((_xlfn.XLOOKUP(B229,'Base stats'!B:B,'Base stats'!BO:BO))*10)*_xlfn.XLOOKUP(_xlfn.XLOOKUP(B229,'Base stats'!B:B,'Base stats'!E:E),Groups!A:A,Groups!AE:AE)*150 + 0.5 + _xlfn.XLOOKUP(B229,'Base stats'!B:B,'Base stats'!BW:BW),
0.05))</f>
        <v>3.1500000000000004</v>
      </c>
      <c r="W229" s="8">
        <f>MROUND(_xlfn.XLOOKUP(_xlfn.XLOOKUP(B229,'Base stats'!B:B,'Base stats'!E:E),Groups!A:A,Groups!BG:BG)*_xlfn.XLOOKUP(B229,'Base stats'!B:B,'Base stats'!C:C)^-0.165,0.05)</f>
        <v>0.25</v>
      </c>
      <c r="X229" s="1">
        <f>MROUND(_xlfn.XLOOKUP(_xlfn.XLOOKUP(B229,'Base stats'!B:B,'Base stats'!E:E),Groups!A:A,Groups!BH:BH)*_xlfn.XLOOKUP(B229,'Base stats'!B:B,'Base stats'!C:C)^0.165,0.05)</f>
        <v>0.9</v>
      </c>
      <c r="Y229" s="8">
        <f>MROUND(_xlfn.XLOOKUP(_xlfn.XLOOKUP(B229,'Base stats'!B:B,'Base stats'!E:E),Groups!A:A,Groups!BI:BI)*_xlfn.XLOOKUP(B229,'Base stats'!B:B,'Base stats'!C:C)^0.165,0.05)</f>
        <v>0.2</v>
      </c>
      <c r="Z229" s="18">
        <f>MROUND(_xlfn.XLOOKUP(B229,'Base stats'!B:B,'Base stats'!AQ:AQ)*_xlfn.XLOOKUP(_xlfn.XLOOKUP(B229,'Base stats'!B:B,'Base stats'!E:E),Groups!A:A,Groups!H:H)/1000,IF((_xlfn.XLOOKUP(B229,'Base stats'!B:B,'Base stats'!AQ:AQ)*_xlfn.XLOOKUP(_xlfn.XLOOKUP(B229,'Base stats'!B:B,'Base stats'!E:E),Groups!A:A,Groups!H:H)/1000)&gt;1,0.05,0.01))</f>
        <v>9.9500000000000011</v>
      </c>
      <c r="AA229" s="18">
        <f>MROUND((1/2)*(_xlfn.XLOOKUP(_xlfn.XLOOKUP(B229,'Base stats'!B:B,'Base stats'!E:E),Groups!A:A,Groups!H:H)*_xlfn.XLOOKUP(_xlfn.XLOOKUP(B229,'Base stats'!B:B,'Base stats'!E:E),Groups!A:A,Groups!I:I))*_xlfn.XLOOKUP(B229,'Base stats'!B:B,'Base stats'!AQ:AQ)*0.01,0.05)</f>
        <v>14.950000000000001</v>
      </c>
      <c r="AB229" s="18">
        <f>MROUND(250*(Animals!AO229+Animals!AP229),25)</f>
        <v>3300</v>
      </c>
      <c r="AC229" s="18" t="str">
        <f>_xlfn.XLOOKUP(_xlfn.XLOOKUP(B229,'Base stats'!B:B,'Base stats'!E:E),Groups!A:A,Groups!BJ:BJ)</f>
        <v>Quadruped</v>
      </c>
    </row>
    <row r="230" spans="1:29" ht="16.5" thickTop="1" thickBot="1" x14ac:dyDescent="0.3">
      <c r="A230" s="16" t="str">
        <f>Animals!A230</f>
        <v>FrostboundBehemoth</v>
      </c>
      <c r="B230" s="6" t="str">
        <f>Animals!B230</f>
        <v>Arthrocolossus behemoth</v>
      </c>
      <c r="C230" s="1" t="str">
        <f>Animals!C230</f>
        <v>&lt;li&gt;AA_FrostboundBehemoth&lt;/li&gt;</v>
      </c>
      <c r="D230" s="47">
        <f>MIN(MIN(6,_xlfn.XLOOKUP(A230,Animals!A:A,Animals!AO:AO))*20,MAX(MROUND(_xlfn.XLOOKUP(B230,'Base stats'!B:B,'Base stats'!BS:BS) * (_xlfn.XLOOKUP(B230,'Base stats'!B:B,'Base stats'!AO:AO)*5%)^0.9 / 21,0.1),0.05))</f>
        <v>15</v>
      </c>
      <c r="E230" s="11">
        <f>MROUND(_xlfn.XLOOKUP(B230,'Base stats'!B:B,'Base stats'!BG:BG) * 0.01 * 2 + 0.01, 0.05)</f>
        <v>15.15</v>
      </c>
      <c r="F230" s="7">
        <f>MROUND(_xlfn.XLOOKUP(B230,'Base stats'!B:B,'Base stats'!BD:BD)^0.25 / (_xlfn.XLOOKUP(B230,'Base stats'!B:B,'Base stats'!BK:BK) * 10) * 150 + 0.5 + _xlfn.XLOOKUP(B230,'Base stats'!B:B,'Base stats'!BW:BW), 0.05)</f>
        <v>2.7</v>
      </c>
      <c r="G230" s="3" t="str">
        <f>IF(Animals!S230="No","No",
IF(_xlfn.XLOOKUP(B230,'Base stats'!B:B,'Base stats'!U:U)="No",
MAX(MROUND(_xlfn.XLOOKUP(B230,'Base stats'!B:B,'Base stats'!BT:BT) * _xlfn.XLOOKUP(B230,'Base stats'!B:B,'Base stats'!BP:BP)^0.9 / 21 * _xlfn.XLOOKUP(B230,'Base stats'!B:B,'Base stats'!BX:BX),0.1),0.05),
MAX(MROUND(((MIN(10,_xlfn.XLOOKUP(B230,'Base stats'!B:B,'Base stats'!U:U)))^0.4*_xlfn.XLOOKUP(B230,'Base stats'!B:B,'Base stats'!BH:BH)^0.73)^0.6 * _xlfn.XLOOKUP(B230,'Base stats'!B:B,'Base stats'!BX:BX),0.1),0.05)
))</f>
        <v>No</v>
      </c>
      <c r="H230" s="11" t="str">
        <f>IF(G230="No","No",
MROUND(_xlfn.XLOOKUP(B230,'Base stats'!B:B,'Base stats'!BH:BH) * 0.01 * 2 + 0.05, 0.05)
)</f>
        <v>No</v>
      </c>
      <c r="I230" s="11" t="str">
        <f>IF(G230="No","No",IF(_xlfn.XLOOKUP(B230,'Base stats'!B:B,'Base stats'!U:U)="No","No",
MROUND(_xlfn.XLOOKUP(B230,'Base stats'!B:B,'Base stats'!BT:BT)/10000+0.01,0.01)
))</f>
        <v>No</v>
      </c>
      <c r="J230" s="4" t="str">
        <f>IF(G230="No","No",
MROUND(_xlfn.XLOOKUP(B230,'Base stats'!B:B,'Base stats'!BE:BE)^0.25
/((_xlfn.XLOOKUP(B230,'Base stats'!B:B,'Base stats'!BL:BL))*10)*_xlfn.XLOOKUP(_xlfn.XLOOKUP(B230,'Base stats'!B:B,'Base stats'!E:E),Groups!A:A,Groups!Q:Q)*150 + 0.5 + _xlfn.XLOOKUP(B230,'Base stats'!B:B,'Base stats'!BW:BW),
0.05))</f>
        <v>No</v>
      </c>
      <c r="K230" s="3" t="str">
        <f>IF(Animals!X230="No","No",
IF(_xlfn.XLOOKUP(_xlfn.XLOOKUP(B230,'Base stats'!B:B,'Base stats'!E:E),Groups!A:A,Groups!BD:BD)=1,
MAX(MROUND(_xlfn.XLOOKUP(B230,'Base stats'!B:B,'Base stats'!BU:BU) * _xlfn.XLOOKUP(B230,'Base stats'!B:B,'Base stats'!BQ:BQ)^0.9 / 21 *_xlfn.XLOOKUP(B230,'Base stats'!B:B,'Base stats'!BX:BX),0.1),0.05),
MAX(MROUND(((MIN(10,_xlfn.XLOOKUP(B230,'Base stats'!B:B,'Base stats'!W:W)))^0.4*_xlfn.XLOOKUP(B230,'Base stats'!B:B,'Base stats'!BI:BI)^0.73)^0.6 *_xlfn.XLOOKUP(B230,'Base stats'!B:B,'Base stats'!BX:BX),0.1),0.05)
))</f>
        <v>No</v>
      </c>
      <c r="L230" s="11" t="str">
        <f>IF(K230="No","No",
MROUND(_xlfn.XLOOKUP(B230,'Base stats'!B:B,'Base stats'!BI:BI) * 0.01 *2 + 0.05, 0.05)
)</f>
        <v>No</v>
      </c>
      <c r="M230" s="5" t="str">
        <f>IF(K230="No","No",IF(_xlfn.XLOOKUP(_xlfn.XLOOKUP(B230,'Base stats'!B:B,'Base stats'!E:E),Groups!A:A,Groups!BD:BD)=1,"No",
MROUND(_xlfn.XLOOKUP(B230,'Base stats'!B:B,'Base stats'!BU:BU)/10000+0.01,0.01)
))</f>
        <v>No</v>
      </c>
      <c r="N230" s="4" t="str">
        <f>IF(K230="No","No",
MROUND(
  _xlfn.XLOOKUP(B230,'Base stats'!B:B,'Base stats'!BC:BC)^0.25
  / (_xlfn.XLOOKUP(B230,'Base stats'!B:B,'Base stats'!BM:BM) * 10)
  * _xlfn.XLOOKUP(
      _xlfn.XLOOKUP(B230,'Base stats'!B:B,'Base stats'!E:E),
      Groups!A:A,
      Groups!V:V
    ) * 150
  + MIN(12, _xlfn.XLOOKUP(B230,'Base stats'!B:B,'Base stats'!W:W))^(1/IF(_xlfn.XLOOKUP(_xlfn.XLOOKUP(B230,'Base stats'!B:B,'Base stats'!E:E),Groups!A:A,Groups!U:U)=1,100,10)) + 0.5 + _xlfn.XLOOKUP(B230,'Base stats'!B:B,'Base stats'!BW:BW),
0.05))</f>
        <v>No</v>
      </c>
      <c r="O230" s="3">
        <f>IF(Animals!AD230="No","No",
MAX(MROUND((MIN(10,_xlfn.XLOOKUP(B230,'Base stats'!B:B,'Base stats'!V:V)*IF(_xlfn.XLOOKUP(_xlfn.XLOOKUP(B230,'Base stats'!B:B,'Base stats'!E:E),Groups!A:A,Groups!O:O)=0,1,0.33))^0.4*_xlfn.XLOOKUP(B230,'Base stats'!B:B,'Base stats'!BJ:BJ)^0.73)^0.6 *_xlfn.XLOOKUP(B230,'Base stats'!B:B,'Base stats'!BX:BX),0.1),0.05)
)</f>
        <v>68.400000000000006</v>
      </c>
      <c r="P230" s="11">
        <f>IF(O230="No","No",
MROUND(_xlfn.XLOOKUP(B230,'Base stats'!B:B,'Base stats'!BJ:BJ) * 0.01 * 2 + 0.05, 0.05)
)</f>
        <v>87.850000000000009</v>
      </c>
      <c r="Q230" s="5">
        <f>IF(O230="No","No",
MROUND(_xlfn.XLOOKUP(B230,'Base stats'!B:B,'Base stats'!BV:BV)/10000+0.01,0.01)
)</f>
        <v>1.52</v>
      </c>
      <c r="R230" s="4">
        <f>IF(O230="No","No",
MROUND(_xlfn.XLOOKUP(B230,'Base stats'!B:B,'Base stats'!BB:BB)^0.25
/((_xlfn.XLOOKUP(B230,'Base stats'!B:B,'Base stats'!BN:BN))*10)*_xlfn.XLOOKUP(_xlfn.XLOOKUP(B230,'Base stats'!B:B,'Base stats'!E:E),Groups!A:A,Groups!Z:Z)*150 + 0.5 + _xlfn.XLOOKUP(B230,'Base stats'!B:B,'Base stats'!BW:BW),
0.05))</f>
        <v>2.9000000000000004</v>
      </c>
      <c r="S230" s="3" t="str">
        <f>IF(Animals!AI230="No","No",
IF(_xlfn.XLOOKUP(B230,'Base stats'!B:B,'Base stats'!U:U)="No",
MAX(MROUND(_xlfn.XLOOKUP(B230,'Base stats'!B:B,'Base stats'!BT:BT) * _xlfn.XLOOKUP(B230,'Base stats'!B:B,'Base stats'!BP:BP)^0.9 / 21 * _xlfn.XLOOKUP(B230,'Base stats'!B:B,'Base stats'!BX:BX),0.1),0.05),
MAX(MROUND(((MIN(12,_xlfn.XLOOKUP(B230,'Base stats'!B:B,'Base stats'!U:U)))^0.4*_xlfn.XLOOKUP(B230,'Base stats'!B:B,'Base stats'!BH:BH)^0.73)^0.6 * _xlfn.XLOOKUP(B230,'Base stats'!B:B,'Base stats'!BX:BX),0.1),0.05)
))</f>
        <v>No</v>
      </c>
      <c r="T230" s="11" t="str">
        <f>IF(S230="No","No",
MROUND(_xlfn.XLOOKUP(B230,'Base stats'!B:B,'Base stats'!BH:BH) * 0.01 * 2 + 0.05, 0.05)
)</f>
        <v>No</v>
      </c>
      <c r="U230" s="5" t="str">
        <f>IF(S230="No","No",IF(_xlfn.XLOOKUP(B230,'Base stats'!B:B,'Base stats'!U:U)="No","No",
MROUND(_xlfn.XLOOKUP(B230,'Base stats'!B:B,'Base stats'!BT:BT)/10000+0.01,0.01)
))</f>
        <v>No</v>
      </c>
      <c r="V230" s="4" t="str">
        <f>IF(S230="No","No",
MROUND(_xlfn.XLOOKUP(B230,'Base stats'!B:B,'Base stats'!BF:BF)^0.25
/((_xlfn.XLOOKUP(B230,'Base stats'!B:B,'Base stats'!BO:BO))*10)*_xlfn.XLOOKUP(_xlfn.XLOOKUP(B230,'Base stats'!B:B,'Base stats'!E:E),Groups!A:A,Groups!AE:AE)*150 + 0.5 + _xlfn.XLOOKUP(B230,'Base stats'!B:B,'Base stats'!BW:BW),
0.05))</f>
        <v>No</v>
      </c>
      <c r="W230" s="8">
        <f>MROUND(_xlfn.XLOOKUP(_xlfn.XLOOKUP(B230,'Base stats'!B:B,'Base stats'!E:E),Groups!A:A,Groups!BG:BG)*_xlfn.XLOOKUP(B230,'Base stats'!B:B,'Base stats'!C:C)^-0.165,0.05)</f>
        <v>0.05</v>
      </c>
      <c r="X230" s="1">
        <f>MROUND(_xlfn.XLOOKUP(_xlfn.XLOOKUP(B230,'Base stats'!B:B,'Base stats'!E:E),Groups!A:A,Groups!BH:BH)*_xlfn.XLOOKUP(B230,'Base stats'!B:B,'Base stats'!C:C)^0.165,0.05)</f>
        <v>0.35000000000000003</v>
      </c>
      <c r="Y230" s="8">
        <f>MROUND(_xlfn.XLOOKUP(_xlfn.XLOOKUP(B230,'Base stats'!B:B,'Base stats'!E:E),Groups!A:A,Groups!BI:BI)*_xlfn.XLOOKUP(B230,'Base stats'!B:B,'Base stats'!C:C)^0.165,0.05)</f>
        <v>0.1</v>
      </c>
      <c r="Z230" s="18">
        <f>MROUND(_xlfn.XLOOKUP(B230,'Base stats'!B:B,'Base stats'!AQ:AQ)*_xlfn.XLOOKUP(_xlfn.XLOOKUP(B230,'Base stats'!B:B,'Base stats'!E:E),Groups!A:A,Groups!H:H)/1000,IF((_xlfn.XLOOKUP(B230,'Base stats'!B:B,'Base stats'!AQ:AQ)*_xlfn.XLOOKUP(_xlfn.XLOOKUP(B230,'Base stats'!B:B,'Base stats'!E:E),Groups!A:A,Groups!H:H)/1000)&gt;1,0.05,0.01))</f>
        <v>7.6000000000000005</v>
      </c>
      <c r="AA230" s="18">
        <f>MROUND((1/2)*(_xlfn.XLOOKUP(_xlfn.XLOOKUP(B230,'Base stats'!B:B,'Base stats'!E:E),Groups!A:A,Groups!H:H)*_xlfn.XLOOKUP(_xlfn.XLOOKUP(B230,'Base stats'!B:B,'Base stats'!E:E),Groups!A:A,Groups!I:I))*_xlfn.XLOOKUP(B230,'Base stats'!B:B,'Base stats'!AQ:AQ)*0.01,0.05)</f>
        <v>4.6500000000000004</v>
      </c>
      <c r="AB230" s="18">
        <f>MROUND(250*(Animals!AO230+Animals!AP230),25)</f>
        <v>1875</v>
      </c>
      <c r="AC230" s="18" t="str">
        <f>_xlfn.XLOOKUP(_xlfn.XLOOKUP(B230,'Base stats'!B:B,'Base stats'!E:E),Groups!A:A,Groups!BJ:BJ)</f>
        <v>Serpentine</v>
      </c>
    </row>
    <row r="231" spans="1:29" ht="16.5" thickTop="1" thickBot="1" x14ac:dyDescent="0.3">
      <c r="A231" s="16" t="str">
        <f>Animals!A231</f>
        <v>BlackScarab</v>
      </c>
      <c r="B231" s="6" t="str">
        <f>Animals!B231</f>
        <v>Titanocoleus niger</v>
      </c>
      <c r="C231" s="1" t="str">
        <f>Animals!C231</f>
        <v>&lt;li&gt;AA_BlackScarab&lt;/li&gt;</v>
      </c>
      <c r="D231" s="47">
        <f>MIN(MIN(6,_xlfn.XLOOKUP(A231,Animals!A:A,Animals!AO:AO))*20,MAX(MROUND(_xlfn.XLOOKUP(B231,'Base stats'!B:B,'Base stats'!BS:BS) * (_xlfn.XLOOKUP(B231,'Base stats'!B:B,'Base stats'!AO:AO)*5%)^0.9 / 21,0.1),0.05))</f>
        <v>0.30000000000000004</v>
      </c>
      <c r="E231" s="11">
        <f>MROUND(_xlfn.XLOOKUP(B231,'Base stats'!B:B,'Base stats'!BG:BG) * 0.01 * 2 + 0.01, 0.05)</f>
        <v>0.25</v>
      </c>
      <c r="F231" s="7">
        <f>MROUND(_xlfn.XLOOKUP(B231,'Base stats'!B:B,'Base stats'!BD:BD)^0.25 / (_xlfn.XLOOKUP(B231,'Base stats'!B:B,'Base stats'!BK:BK) * 10) * 150 + 0.5 + _xlfn.XLOOKUP(B231,'Base stats'!B:B,'Base stats'!BW:BW), 0.05)</f>
        <v>2.15</v>
      </c>
      <c r="G231" s="3" t="str">
        <f>IF(Animals!S231="No","No",
IF(_xlfn.XLOOKUP(B231,'Base stats'!B:B,'Base stats'!U:U)="No",
MAX(MROUND(_xlfn.XLOOKUP(B231,'Base stats'!B:B,'Base stats'!BT:BT) * _xlfn.XLOOKUP(B231,'Base stats'!B:B,'Base stats'!BP:BP)^0.9 / 21 * _xlfn.XLOOKUP(B231,'Base stats'!B:B,'Base stats'!BX:BX),0.1),0.05),
MAX(MROUND(((MIN(10,_xlfn.XLOOKUP(B231,'Base stats'!B:B,'Base stats'!U:U)))^0.4*_xlfn.XLOOKUP(B231,'Base stats'!B:B,'Base stats'!BH:BH)^0.73)^0.6 * _xlfn.XLOOKUP(B231,'Base stats'!B:B,'Base stats'!BX:BX),0.1),0.05)
))</f>
        <v>No</v>
      </c>
      <c r="H231" s="11" t="str">
        <f>IF(G231="No","No",
MROUND(_xlfn.XLOOKUP(B231,'Base stats'!B:B,'Base stats'!BH:BH) * 0.01 * 2 + 0.05, 0.05)
)</f>
        <v>No</v>
      </c>
      <c r="I231" s="11" t="str">
        <f>IF(G231="No","No",IF(_xlfn.XLOOKUP(B231,'Base stats'!B:B,'Base stats'!U:U)="No","No",
MROUND(_xlfn.XLOOKUP(B231,'Base stats'!B:B,'Base stats'!BT:BT)/10000+0.01,0.01)
))</f>
        <v>No</v>
      </c>
      <c r="J231" s="4" t="str">
        <f>IF(G231="No","No",
MROUND(_xlfn.XLOOKUP(B231,'Base stats'!B:B,'Base stats'!BE:BE)^0.25
/((_xlfn.XLOOKUP(B231,'Base stats'!B:B,'Base stats'!BL:BL))*10)*_xlfn.XLOOKUP(_xlfn.XLOOKUP(B231,'Base stats'!B:B,'Base stats'!E:E),Groups!A:A,Groups!Q:Q)*150 + 0.5 + _xlfn.XLOOKUP(B231,'Base stats'!B:B,'Base stats'!BW:BW),
0.05))</f>
        <v>No</v>
      </c>
      <c r="K231" s="3" t="str">
        <f>IF(Animals!X231="No","No",
IF(_xlfn.XLOOKUP(_xlfn.XLOOKUP(B231,'Base stats'!B:B,'Base stats'!E:E),Groups!A:A,Groups!BD:BD)=1,
MAX(MROUND(_xlfn.XLOOKUP(B231,'Base stats'!B:B,'Base stats'!BU:BU) * _xlfn.XLOOKUP(B231,'Base stats'!B:B,'Base stats'!BQ:BQ)^0.9 / 21 *_xlfn.XLOOKUP(B231,'Base stats'!B:B,'Base stats'!BX:BX),0.1),0.05),
MAX(MROUND(((MIN(10,_xlfn.XLOOKUP(B231,'Base stats'!B:B,'Base stats'!W:W)))^0.4*_xlfn.XLOOKUP(B231,'Base stats'!B:B,'Base stats'!BI:BI)^0.73)^0.6 *_xlfn.XLOOKUP(B231,'Base stats'!B:B,'Base stats'!BX:BX),0.1),0.05)
))</f>
        <v>No</v>
      </c>
      <c r="L231" s="11" t="str">
        <f>IF(K231="No","No",
MROUND(_xlfn.XLOOKUP(B231,'Base stats'!B:B,'Base stats'!BI:BI) * 0.01 *2 + 0.05, 0.05)
)</f>
        <v>No</v>
      </c>
      <c r="M231" s="5" t="str">
        <f>IF(K231="No","No",IF(_xlfn.XLOOKUP(_xlfn.XLOOKUP(B231,'Base stats'!B:B,'Base stats'!E:E),Groups!A:A,Groups!BD:BD)=1,"No",
MROUND(_xlfn.XLOOKUP(B231,'Base stats'!B:B,'Base stats'!BU:BU)/10000+0.01,0.01)
))</f>
        <v>No</v>
      </c>
      <c r="N231" s="4" t="str">
        <f>IF(K231="No","No",
MROUND(
  _xlfn.XLOOKUP(B231,'Base stats'!B:B,'Base stats'!BC:BC)^0.25
  / (_xlfn.XLOOKUP(B231,'Base stats'!B:B,'Base stats'!BM:BM) * 10)
  * _xlfn.XLOOKUP(
      _xlfn.XLOOKUP(B231,'Base stats'!B:B,'Base stats'!E:E),
      Groups!A:A,
      Groups!V:V
    ) * 150
  + MIN(12, _xlfn.XLOOKUP(B231,'Base stats'!B:B,'Base stats'!W:W))^(1/IF(_xlfn.XLOOKUP(_xlfn.XLOOKUP(B231,'Base stats'!B:B,'Base stats'!E:E),Groups!A:A,Groups!U:U)=1,100,10)) + 0.5 + _xlfn.XLOOKUP(B231,'Base stats'!B:B,'Base stats'!BW:BW),
0.05))</f>
        <v>No</v>
      </c>
      <c r="O231" s="3">
        <f>IF(Animals!AD231="No","No",
MAX(MROUND((MIN(10,_xlfn.XLOOKUP(B231,'Base stats'!B:B,'Base stats'!V:V)*IF(_xlfn.XLOOKUP(_xlfn.XLOOKUP(B231,'Base stats'!B:B,'Base stats'!E:E),Groups!A:A,Groups!O:O)=0,1,0.33))^0.4*_xlfn.XLOOKUP(B231,'Base stats'!B:B,'Base stats'!BJ:BJ)^0.73)^0.6 *_xlfn.XLOOKUP(B231,'Base stats'!B:B,'Base stats'!BX:BX),0.1),0.05)
)</f>
        <v>11.5</v>
      </c>
      <c r="P231" s="11">
        <f>IF(O231="No","No",
MROUND(_xlfn.XLOOKUP(B231,'Base stats'!B:B,'Base stats'!BJ:BJ) * 0.01 * 2 + 0.05, 0.05)
)</f>
        <v>2.25</v>
      </c>
      <c r="Q231" s="5">
        <f>IF(O231="No","No",
MROUND(_xlfn.XLOOKUP(B231,'Base stats'!B:B,'Base stats'!BV:BV)/10000+0.01,0.01)
)</f>
        <v>0.26</v>
      </c>
      <c r="R231" s="4">
        <f>IF(O231="No","No",
MROUND(_xlfn.XLOOKUP(B231,'Base stats'!B:B,'Base stats'!BB:BB)^0.25
/((_xlfn.XLOOKUP(B231,'Base stats'!B:B,'Base stats'!BN:BN))*10)*_xlfn.XLOOKUP(_xlfn.XLOOKUP(B231,'Base stats'!B:B,'Base stats'!E:E),Groups!A:A,Groups!Z:Z)*150 + 0.5 + _xlfn.XLOOKUP(B231,'Base stats'!B:B,'Base stats'!BW:BW),
0.05))</f>
        <v>1.7000000000000002</v>
      </c>
      <c r="S231" s="3" t="str">
        <f>IF(Animals!AI231="No","No",
IF(_xlfn.XLOOKUP(B231,'Base stats'!B:B,'Base stats'!U:U)="No",
MAX(MROUND(_xlfn.XLOOKUP(B231,'Base stats'!B:B,'Base stats'!BT:BT) * _xlfn.XLOOKUP(B231,'Base stats'!B:B,'Base stats'!BP:BP)^0.9 / 21 * _xlfn.XLOOKUP(B231,'Base stats'!B:B,'Base stats'!BX:BX),0.1),0.05),
MAX(MROUND(((MIN(12,_xlfn.XLOOKUP(B231,'Base stats'!B:B,'Base stats'!U:U)))^0.4*_xlfn.XLOOKUP(B231,'Base stats'!B:B,'Base stats'!BH:BH)^0.73)^0.6 * _xlfn.XLOOKUP(B231,'Base stats'!B:B,'Base stats'!BX:BX),0.1),0.05)
))</f>
        <v>No</v>
      </c>
      <c r="T231" s="11" t="str">
        <f>IF(S231="No","No",
MROUND(_xlfn.XLOOKUP(B231,'Base stats'!B:B,'Base stats'!BH:BH) * 0.01 * 2 + 0.05, 0.05)
)</f>
        <v>No</v>
      </c>
      <c r="U231" s="5" t="str">
        <f>IF(S231="No","No",IF(_xlfn.XLOOKUP(B231,'Base stats'!B:B,'Base stats'!U:U)="No","No",
MROUND(_xlfn.XLOOKUP(B231,'Base stats'!B:B,'Base stats'!BT:BT)/10000+0.01,0.01)
))</f>
        <v>No</v>
      </c>
      <c r="V231" s="4" t="str">
        <f>IF(S231="No","No",
MROUND(_xlfn.XLOOKUP(B231,'Base stats'!B:B,'Base stats'!BF:BF)^0.25
/((_xlfn.XLOOKUP(B231,'Base stats'!B:B,'Base stats'!BO:BO))*10)*_xlfn.XLOOKUP(_xlfn.XLOOKUP(B231,'Base stats'!B:B,'Base stats'!E:E),Groups!A:A,Groups!AE:AE)*150 + 0.5 + _xlfn.XLOOKUP(B231,'Base stats'!B:B,'Base stats'!BW:BW),
0.05))</f>
        <v>No</v>
      </c>
      <c r="W231" s="8">
        <f>MROUND(_xlfn.XLOOKUP(_xlfn.XLOOKUP(B231,'Base stats'!B:B,'Base stats'!E:E),Groups!A:A,Groups!BG:BG)*_xlfn.XLOOKUP(B231,'Base stats'!B:B,'Base stats'!C:C)^-0.165,0.05)</f>
        <v>0.15000000000000002</v>
      </c>
      <c r="X231" s="1">
        <f>MROUND(_xlfn.XLOOKUP(_xlfn.XLOOKUP(B231,'Base stats'!B:B,'Base stats'!E:E),Groups!A:A,Groups!BH:BH)*_xlfn.XLOOKUP(B231,'Base stats'!B:B,'Base stats'!C:C)^0.165,0.05)</f>
        <v>0.15000000000000002</v>
      </c>
      <c r="Y231" s="8">
        <f>MROUND(_xlfn.XLOOKUP(_xlfn.XLOOKUP(B231,'Base stats'!B:B,'Base stats'!E:E),Groups!A:A,Groups!BI:BI)*_xlfn.XLOOKUP(B231,'Base stats'!B:B,'Base stats'!C:C)^0.165,0.05)</f>
        <v>0.05</v>
      </c>
      <c r="Z231" s="18">
        <f>MROUND(_xlfn.XLOOKUP(B231,'Base stats'!B:B,'Base stats'!AQ:AQ)*_xlfn.XLOOKUP(_xlfn.XLOOKUP(B231,'Base stats'!B:B,'Base stats'!E:E),Groups!A:A,Groups!H:H)/1000,IF((_xlfn.XLOOKUP(B231,'Base stats'!B:B,'Base stats'!AQ:AQ)*_xlfn.XLOOKUP(_xlfn.XLOOKUP(B231,'Base stats'!B:B,'Base stats'!E:E),Groups!A:A,Groups!H:H)/1000)&gt;1,0.05,0.01))</f>
        <v>1.5</v>
      </c>
      <c r="AA231" s="18">
        <f>MROUND((1/2)*(_xlfn.XLOOKUP(_xlfn.XLOOKUP(B231,'Base stats'!B:B,'Base stats'!E:E),Groups!A:A,Groups!H:H)*_xlfn.XLOOKUP(_xlfn.XLOOKUP(B231,'Base stats'!B:B,'Base stats'!E:E),Groups!A:A,Groups!I:I))*_xlfn.XLOOKUP(B231,'Base stats'!B:B,'Base stats'!AQ:AQ)*0.01,0.05)</f>
        <v>0.95000000000000007</v>
      </c>
      <c r="AB231" s="18">
        <f>MROUND(250*(Animals!AO231+Animals!AP231),25)</f>
        <v>250</v>
      </c>
      <c r="AC231" s="18" t="str">
        <f>_xlfn.XLOOKUP(_xlfn.XLOOKUP(B231,'Base stats'!B:B,'Base stats'!E:E),Groups!A:A,Groups!BJ:BJ)</f>
        <v>QuadrupedLow</v>
      </c>
    </row>
    <row r="232" spans="1:29" ht="16.5" thickTop="1" thickBot="1" x14ac:dyDescent="0.3">
      <c r="A232" s="16" t="str">
        <f>Animals!A232</f>
        <v>BlackSpelopede</v>
      </c>
      <c r="B232" s="6" t="str">
        <f>Animals!B232</f>
        <v>Cryptomorphus niger</v>
      </c>
      <c r="C232" s="1" t="str">
        <f>Animals!C232</f>
        <v>&lt;li&gt;AA_BlackSpelopede&lt;/li&gt;</v>
      </c>
      <c r="D232" s="47">
        <f>MIN(MIN(6,_xlfn.XLOOKUP(A232,Animals!A:A,Animals!AO:AO))*20,MAX(MROUND(_xlfn.XLOOKUP(B232,'Base stats'!B:B,'Base stats'!BS:BS) * (_xlfn.XLOOKUP(B232,'Base stats'!B:B,'Base stats'!AO:AO)*5%)^0.9 / 21,0.1),0.05))</f>
        <v>2.7</v>
      </c>
      <c r="E232" s="11">
        <f>MROUND(_xlfn.XLOOKUP(B232,'Base stats'!B:B,'Base stats'!BG:BG) * 0.01 * 2 + 0.01, 0.05)</f>
        <v>2.4500000000000002</v>
      </c>
      <c r="F232" s="7">
        <f>MROUND(_xlfn.XLOOKUP(B232,'Base stats'!B:B,'Base stats'!BD:BD)^0.25 / (_xlfn.XLOOKUP(B232,'Base stats'!B:B,'Base stats'!BK:BK) * 10) * 150 + 0.5 + _xlfn.XLOOKUP(B232,'Base stats'!B:B,'Base stats'!BW:BW), 0.05)</f>
        <v>3</v>
      </c>
      <c r="G232" s="3" t="str">
        <f>IF(Animals!S232="No","No",
IF(_xlfn.XLOOKUP(B232,'Base stats'!B:B,'Base stats'!U:U)="No",
MAX(MROUND(_xlfn.XLOOKUP(B232,'Base stats'!B:B,'Base stats'!BT:BT) * _xlfn.XLOOKUP(B232,'Base stats'!B:B,'Base stats'!BP:BP)^0.9 / 21 * _xlfn.XLOOKUP(B232,'Base stats'!B:B,'Base stats'!BX:BX),0.1),0.05),
MAX(MROUND(((MIN(10,_xlfn.XLOOKUP(B232,'Base stats'!B:B,'Base stats'!U:U)))^0.4*_xlfn.XLOOKUP(B232,'Base stats'!B:B,'Base stats'!BH:BH)^0.73)^0.6 * _xlfn.XLOOKUP(B232,'Base stats'!B:B,'Base stats'!BX:BX),0.1),0.05)
))</f>
        <v>No</v>
      </c>
      <c r="H232" s="11" t="str">
        <f>IF(G232="No","No",
MROUND(_xlfn.XLOOKUP(B232,'Base stats'!B:B,'Base stats'!BH:BH) * 0.01 * 2 + 0.05, 0.05)
)</f>
        <v>No</v>
      </c>
      <c r="I232" s="11" t="str">
        <f>IF(G232="No","No",IF(_xlfn.XLOOKUP(B232,'Base stats'!B:B,'Base stats'!U:U)="No","No",
MROUND(_xlfn.XLOOKUP(B232,'Base stats'!B:B,'Base stats'!BT:BT)/10000+0.01,0.01)
))</f>
        <v>No</v>
      </c>
      <c r="J232" s="4" t="str">
        <f>IF(G232="No","No",
MROUND(_xlfn.XLOOKUP(B232,'Base stats'!B:B,'Base stats'!BE:BE)^0.25
/((_xlfn.XLOOKUP(B232,'Base stats'!B:B,'Base stats'!BL:BL))*10)*_xlfn.XLOOKUP(_xlfn.XLOOKUP(B232,'Base stats'!B:B,'Base stats'!E:E),Groups!A:A,Groups!Q:Q)*150 + 0.5 + _xlfn.XLOOKUP(B232,'Base stats'!B:B,'Base stats'!BW:BW),
0.05))</f>
        <v>No</v>
      </c>
      <c r="K232" s="3" t="str">
        <f>IF(Animals!X232="No","No",
IF(_xlfn.XLOOKUP(_xlfn.XLOOKUP(B232,'Base stats'!B:B,'Base stats'!E:E),Groups!A:A,Groups!BD:BD)=1,
MAX(MROUND(_xlfn.XLOOKUP(B232,'Base stats'!B:B,'Base stats'!BU:BU) * _xlfn.XLOOKUP(B232,'Base stats'!B:B,'Base stats'!BQ:BQ)^0.9 / 21 *_xlfn.XLOOKUP(B232,'Base stats'!B:B,'Base stats'!BX:BX),0.1),0.05),
MAX(MROUND(((MIN(10,_xlfn.XLOOKUP(B232,'Base stats'!B:B,'Base stats'!W:W)))^0.4*_xlfn.XLOOKUP(B232,'Base stats'!B:B,'Base stats'!BI:BI)^0.73)^0.6 *_xlfn.XLOOKUP(B232,'Base stats'!B:B,'Base stats'!BX:BX),0.1),0.05)
))</f>
        <v>No</v>
      </c>
      <c r="L232" s="11" t="str">
        <f>IF(K232="No","No",
MROUND(_xlfn.XLOOKUP(B232,'Base stats'!B:B,'Base stats'!BI:BI) * 0.01 *2 + 0.05, 0.05)
)</f>
        <v>No</v>
      </c>
      <c r="M232" s="5" t="str">
        <f>IF(K232="No","No",IF(_xlfn.XLOOKUP(_xlfn.XLOOKUP(B232,'Base stats'!B:B,'Base stats'!E:E),Groups!A:A,Groups!BD:BD)=1,"No",
MROUND(_xlfn.XLOOKUP(B232,'Base stats'!B:B,'Base stats'!BU:BU)/10000+0.01,0.01)
))</f>
        <v>No</v>
      </c>
      <c r="N232" s="4" t="str">
        <f>IF(K232="No","No",
MROUND(
  _xlfn.XLOOKUP(B232,'Base stats'!B:B,'Base stats'!BC:BC)^0.25
  / (_xlfn.XLOOKUP(B232,'Base stats'!B:B,'Base stats'!BM:BM) * 10)
  * _xlfn.XLOOKUP(
      _xlfn.XLOOKUP(B232,'Base stats'!B:B,'Base stats'!E:E),
      Groups!A:A,
      Groups!V:V
    ) * 150
  + MIN(12, _xlfn.XLOOKUP(B232,'Base stats'!B:B,'Base stats'!W:W))^(1/IF(_xlfn.XLOOKUP(_xlfn.XLOOKUP(B232,'Base stats'!B:B,'Base stats'!E:E),Groups!A:A,Groups!U:U)=1,100,10)) + 0.5 + _xlfn.XLOOKUP(B232,'Base stats'!B:B,'Base stats'!BW:BW),
0.05))</f>
        <v>No</v>
      </c>
      <c r="O232" s="3">
        <f>IF(Animals!AD232="No","No",
MAX(MROUND((MIN(10,_xlfn.XLOOKUP(B232,'Base stats'!B:B,'Base stats'!V:V)*IF(_xlfn.XLOOKUP(_xlfn.XLOOKUP(B232,'Base stats'!B:B,'Base stats'!E:E),Groups!A:A,Groups!O:O)=0,1,0.33))^0.4*_xlfn.XLOOKUP(B232,'Base stats'!B:B,'Base stats'!BJ:BJ)^0.73)^0.6 *_xlfn.XLOOKUP(B232,'Base stats'!B:B,'Base stats'!BX:BX),0.1),0.05)
)</f>
        <v>33.800000000000004</v>
      </c>
      <c r="P232" s="11">
        <f>IF(O232="No","No",
MROUND(_xlfn.XLOOKUP(B232,'Base stats'!B:B,'Base stats'!BJ:BJ) * 0.01 * 2 + 0.05, 0.05)
)</f>
        <v>17.55</v>
      </c>
      <c r="Q232" s="5">
        <f>IF(O232="No","No",
MROUND(_xlfn.XLOOKUP(B232,'Base stats'!B:B,'Base stats'!BV:BV)/10000+0.01,0.01)
)</f>
        <v>0.69000000000000006</v>
      </c>
      <c r="R232" s="4">
        <f>IF(O232="No","No",
MROUND(_xlfn.XLOOKUP(B232,'Base stats'!B:B,'Base stats'!BB:BB)^0.25
/((_xlfn.XLOOKUP(B232,'Base stats'!B:B,'Base stats'!BN:BN))*10)*_xlfn.XLOOKUP(_xlfn.XLOOKUP(B232,'Base stats'!B:B,'Base stats'!E:E),Groups!A:A,Groups!Z:Z)*150 + 0.5 + _xlfn.XLOOKUP(B232,'Base stats'!B:B,'Base stats'!BW:BW),
0.05))</f>
        <v>2.6500000000000004</v>
      </c>
      <c r="S232" s="3">
        <f>IF(Animals!AI232="No","No",
IF(_xlfn.XLOOKUP(B232,'Base stats'!B:B,'Base stats'!U:U)="No",
MAX(MROUND(_xlfn.XLOOKUP(B232,'Base stats'!B:B,'Base stats'!BT:BT) * _xlfn.XLOOKUP(B232,'Base stats'!B:B,'Base stats'!BP:BP)^0.9 / 21 * _xlfn.XLOOKUP(B232,'Base stats'!B:B,'Base stats'!BX:BX),0.1),0.05),
MAX(MROUND(((MIN(12,_xlfn.XLOOKUP(B232,'Base stats'!B:B,'Base stats'!U:U)))^0.4*_xlfn.XLOOKUP(B232,'Base stats'!B:B,'Base stats'!BH:BH)^0.73)^0.6 * _xlfn.XLOOKUP(B232,'Base stats'!B:B,'Base stats'!BX:BX),0.1),0.05)
))</f>
        <v>29</v>
      </c>
      <c r="T232" s="11">
        <f>IF(S232="No","No",
MROUND(_xlfn.XLOOKUP(B232,'Base stats'!B:B,'Base stats'!BH:BH) * 0.01 * 2 + 0.05, 0.05)
)</f>
        <v>14.05</v>
      </c>
      <c r="U232" s="5">
        <f>IF(S232="No","No",IF(_xlfn.XLOOKUP(B232,'Base stats'!B:B,'Base stats'!U:U)="No","No",
MROUND(_xlfn.XLOOKUP(B232,'Base stats'!B:B,'Base stats'!BT:BT)/10000+0.01,0.01)
))</f>
        <v>5.49</v>
      </c>
      <c r="V232" s="4">
        <f>IF(S232="No","No",
MROUND(_xlfn.XLOOKUP(B232,'Base stats'!B:B,'Base stats'!BF:BF)^0.25
/((_xlfn.XLOOKUP(B232,'Base stats'!B:B,'Base stats'!BO:BO))*10)*_xlfn.XLOOKUP(_xlfn.XLOOKUP(B232,'Base stats'!B:B,'Base stats'!E:E),Groups!A:A,Groups!AE:AE)*150 + 0.5 + _xlfn.XLOOKUP(B232,'Base stats'!B:B,'Base stats'!BW:BW),
0.05))</f>
        <v>3.2</v>
      </c>
      <c r="W232" s="8">
        <f>MROUND(_xlfn.XLOOKUP(_xlfn.XLOOKUP(B232,'Base stats'!B:B,'Base stats'!E:E),Groups!A:A,Groups!BG:BG)*_xlfn.XLOOKUP(B232,'Base stats'!B:B,'Base stats'!C:C)^-0.165,0.05)</f>
        <v>0.1</v>
      </c>
      <c r="X232" s="1">
        <f>MROUND(_xlfn.XLOOKUP(_xlfn.XLOOKUP(B232,'Base stats'!B:B,'Base stats'!E:E),Groups!A:A,Groups!BH:BH)*_xlfn.XLOOKUP(B232,'Base stats'!B:B,'Base stats'!C:C)^0.165,0.05)</f>
        <v>0.25</v>
      </c>
      <c r="Y232" s="8">
        <f>MROUND(_xlfn.XLOOKUP(_xlfn.XLOOKUP(B232,'Base stats'!B:B,'Base stats'!E:E),Groups!A:A,Groups!BI:BI)*_xlfn.XLOOKUP(B232,'Base stats'!B:B,'Base stats'!C:C)^0.165,0.05)</f>
        <v>0.05</v>
      </c>
      <c r="Z232" s="18">
        <f>MROUND(_xlfn.XLOOKUP(B232,'Base stats'!B:B,'Base stats'!AQ:AQ)*_xlfn.XLOOKUP(_xlfn.XLOOKUP(B232,'Base stats'!B:B,'Base stats'!E:E),Groups!A:A,Groups!H:H)/1000,IF((_xlfn.XLOOKUP(B232,'Base stats'!B:B,'Base stats'!AQ:AQ)*_xlfn.XLOOKUP(_xlfn.XLOOKUP(B232,'Base stats'!B:B,'Base stats'!E:E),Groups!A:A,Groups!H:H)/1000)&gt;1,0.05,0.01))</f>
        <v>3.75</v>
      </c>
      <c r="AA232" s="18">
        <f>MROUND((1/2)*(_xlfn.XLOOKUP(_xlfn.XLOOKUP(B232,'Base stats'!B:B,'Base stats'!E:E),Groups!A:A,Groups!H:H)*_xlfn.XLOOKUP(_xlfn.XLOOKUP(B232,'Base stats'!B:B,'Base stats'!E:E),Groups!A:A,Groups!I:I))*_xlfn.XLOOKUP(B232,'Base stats'!B:B,'Base stats'!AQ:AQ)*0.01,0.05)</f>
        <v>2.3000000000000003</v>
      </c>
      <c r="AB232" s="18">
        <f>MROUND(250*(Animals!AO232+Animals!AP232),25)</f>
        <v>900</v>
      </c>
      <c r="AC232" s="18" t="str">
        <f>_xlfn.XLOOKUP(_xlfn.XLOOKUP(B232,'Base stats'!B:B,'Base stats'!E:E),Groups!A:A,Groups!BJ:BJ)</f>
        <v>QuadrupedLow</v>
      </c>
    </row>
    <row r="233" spans="1:29" ht="16.5" thickTop="1" thickBot="1" x14ac:dyDescent="0.3">
      <c r="A233" s="16" t="str">
        <f>Animals!A233</f>
        <v>BlackSpider</v>
      </c>
      <c r="B233" s="6" t="str">
        <f>Animals!B233</f>
        <v>Gigarachne niger</v>
      </c>
      <c r="C233" s="1" t="str">
        <f>Animals!C233</f>
        <v>&lt;li&gt;AA_BlackSpider&lt;/li&gt;</v>
      </c>
      <c r="D233" s="47">
        <f>MIN(MIN(6,_xlfn.XLOOKUP(A233,Animals!A:A,Animals!AO:AO))*20,MAX(MROUND(_xlfn.XLOOKUP(B233,'Base stats'!B:B,'Base stats'!BS:BS) * (_xlfn.XLOOKUP(B233,'Base stats'!B:B,'Base stats'!AO:AO)*5%)^0.9 / 21,0.1),0.05))</f>
        <v>4.9000000000000004</v>
      </c>
      <c r="E233" s="11">
        <f>MROUND(_xlfn.XLOOKUP(B233,'Base stats'!B:B,'Base stats'!BG:BG) * 0.01 * 2 + 0.01, 0.05)</f>
        <v>4.55</v>
      </c>
      <c r="F233" s="7">
        <f>MROUND(_xlfn.XLOOKUP(B233,'Base stats'!B:B,'Base stats'!BD:BD)^0.25 / (_xlfn.XLOOKUP(B233,'Base stats'!B:B,'Base stats'!BK:BK) * 10) * 150 + 0.5 + _xlfn.XLOOKUP(B233,'Base stats'!B:B,'Base stats'!BW:BW), 0.05)</f>
        <v>3.4000000000000004</v>
      </c>
      <c r="G233" s="3" t="str">
        <f>IF(Animals!S233="No","No",
IF(_xlfn.XLOOKUP(B233,'Base stats'!B:B,'Base stats'!U:U)="No",
MAX(MROUND(_xlfn.XLOOKUP(B233,'Base stats'!B:B,'Base stats'!BT:BT) * _xlfn.XLOOKUP(B233,'Base stats'!B:B,'Base stats'!BP:BP)^0.9 / 21 * _xlfn.XLOOKUP(B233,'Base stats'!B:B,'Base stats'!BX:BX),0.1),0.05),
MAX(MROUND(((MIN(10,_xlfn.XLOOKUP(B233,'Base stats'!B:B,'Base stats'!U:U)))^0.4*_xlfn.XLOOKUP(B233,'Base stats'!B:B,'Base stats'!BH:BH)^0.73)^0.6 * _xlfn.XLOOKUP(B233,'Base stats'!B:B,'Base stats'!BX:BX),0.1),0.05)
))</f>
        <v>No</v>
      </c>
      <c r="H233" s="11" t="str">
        <f>IF(G233="No","No",
MROUND(_xlfn.XLOOKUP(B233,'Base stats'!B:B,'Base stats'!BH:BH) * 0.01 * 2 + 0.05, 0.05)
)</f>
        <v>No</v>
      </c>
      <c r="I233" s="11" t="str">
        <f>IF(G233="No","No",IF(_xlfn.XLOOKUP(B233,'Base stats'!B:B,'Base stats'!U:U)="No","No",
MROUND(_xlfn.XLOOKUP(B233,'Base stats'!B:B,'Base stats'!BT:BT)/10000+0.01,0.01)
))</f>
        <v>No</v>
      </c>
      <c r="J233" s="4" t="str">
        <f>IF(G233="No","No",
MROUND(_xlfn.XLOOKUP(B233,'Base stats'!B:B,'Base stats'!BE:BE)^0.25
/((_xlfn.XLOOKUP(B233,'Base stats'!B:B,'Base stats'!BL:BL))*10)*_xlfn.XLOOKUP(_xlfn.XLOOKUP(B233,'Base stats'!B:B,'Base stats'!E:E),Groups!A:A,Groups!Q:Q)*150 + 0.5 + _xlfn.XLOOKUP(B233,'Base stats'!B:B,'Base stats'!BW:BW),
0.05))</f>
        <v>No</v>
      </c>
      <c r="K233" s="3" t="str">
        <f>IF(Animals!X233="No","No",
IF(_xlfn.XLOOKUP(_xlfn.XLOOKUP(B233,'Base stats'!B:B,'Base stats'!E:E),Groups!A:A,Groups!BD:BD)=1,
MAX(MROUND(_xlfn.XLOOKUP(B233,'Base stats'!B:B,'Base stats'!BU:BU) * _xlfn.XLOOKUP(B233,'Base stats'!B:B,'Base stats'!BQ:BQ)^0.9 / 21 *_xlfn.XLOOKUP(B233,'Base stats'!B:B,'Base stats'!BX:BX),0.1),0.05),
MAX(MROUND(((MIN(10,_xlfn.XLOOKUP(B233,'Base stats'!B:B,'Base stats'!W:W)))^0.4*_xlfn.XLOOKUP(B233,'Base stats'!B:B,'Base stats'!BI:BI)^0.73)^0.6 *_xlfn.XLOOKUP(B233,'Base stats'!B:B,'Base stats'!BX:BX),0.1),0.05)
))</f>
        <v>No</v>
      </c>
      <c r="L233" s="11" t="str">
        <f>IF(K233="No","No",
MROUND(_xlfn.XLOOKUP(B233,'Base stats'!B:B,'Base stats'!BI:BI) * 0.01 *2 + 0.05, 0.05)
)</f>
        <v>No</v>
      </c>
      <c r="M233" s="5" t="str">
        <f>IF(K233="No","No",IF(_xlfn.XLOOKUP(_xlfn.XLOOKUP(B233,'Base stats'!B:B,'Base stats'!E:E),Groups!A:A,Groups!BD:BD)=1,"No",
MROUND(_xlfn.XLOOKUP(B233,'Base stats'!B:B,'Base stats'!BU:BU)/10000+0.01,0.01)
))</f>
        <v>No</v>
      </c>
      <c r="N233" s="4" t="str">
        <f>IF(K233="No","No",
MROUND(
  _xlfn.XLOOKUP(B233,'Base stats'!B:B,'Base stats'!BC:BC)^0.25
  / (_xlfn.XLOOKUP(B233,'Base stats'!B:B,'Base stats'!BM:BM) * 10)
  * _xlfn.XLOOKUP(
      _xlfn.XLOOKUP(B233,'Base stats'!B:B,'Base stats'!E:E),
      Groups!A:A,
      Groups!V:V
    ) * 150
  + MIN(12, _xlfn.XLOOKUP(B233,'Base stats'!B:B,'Base stats'!W:W))^(1/IF(_xlfn.XLOOKUP(_xlfn.XLOOKUP(B233,'Base stats'!B:B,'Base stats'!E:E),Groups!A:A,Groups!U:U)=1,100,10)) + 0.5 + _xlfn.XLOOKUP(B233,'Base stats'!B:B,'Base stats'!BW:BW),
0.05))</f>
        <v>No</v>
      </c>
      <c r="O233" s="3">
        <f>IF(Animals!AD233="No","No",
MAX(MROUND((MIN(10,_xlfn.XLOOKUP(B233,'Base stats'!B:B,'Base stats'!V:V)*IF(_xlfn.XLOOKUP(_xlfn.XLOOKUP(B233,'Base stats'!B:B,'Base stats'!E:E),Groups!A:A,Groups!O:O)=0,1,0.33))^0.4*_xlfn.XLOOKUP(B233,'Base stats'!B:B,'Base stats'!BJ:BJ)^0.73)^0.6 *_xlfn.XLOOKUP(B233,'Base stats'!B:B,'Base stats'!BX:BX),0.1),0.05)
)</f>
        <v>43.1</v>
      </c>
      <c r="P233" s="11">
        <f>IF(O233="No","No",
MROUND(_xlfn.XLOOKUP(B233,'Base stats'!B:B,'Base stats'!BJ:BJ) * 0.01 * 2 + 0.05, 0.05)
)</f>
        <v>30.5</v>
      </c>
      <c r="Q233" s="5">
        <f>IF(O233="No","No",
MROUND(_xlfn.XLOOKUP(B233,'Base stats'!B:B,'Base stats'!BV:BV)/10000+0.01,0.01)
)</f>
        <v>0.91</v>
      </c>
      <c r="R233" s="4">
        <f>IF(O233="No","No",
MROUND(_xlfn.XLOOKUP(B233,'Base stats'!B:B,'Base stats'!BB:BB)^0.25
/((_xlfn.XLOOKUP(B233,'Base stats'!B:B,'Base stats'!BN:BN))*10)*_xlfn.XLOOKUP(_xlfn.XLOOKUP(B233,'Base stats'!B:B,'Base stats'!E:E),Groups!A:A,Groups!Z:Z)*150 + 0.5 + _xlfn.XLOOKUP(B233,'Base stats'!B:B,'Base stats'!BW:BW),
0.05))</f>
        <v>3</v>
      </c>
      <c r="S233" s="3">
        <f>IF(Animals!AI233="No","No",
IF(_xlfn.XLOOKUP(B233,'Base stats'!B:B,'Base stats'!U:U)="No",
MAX(MROUND(_xlfn.XLOOKUP(B233,'Base stats'!B:B,'Base stats'!BT:BT) * _xlfn.XLOOKUP(B233,'Base stats'!B:B,'Base stats'!BP:BP)^0.9 / 21 * _xlfn.XLOOKUP(B233,'Base stats'!B:B,'Base stats'!BX:BX),0.1),0.05),
MAX(MROUND(((MIN(12,_xlfn.XLOOKUP(B233,'Base stats'!B:B,'Base stats'!U:U)))^0.4*_xlfn.XLOOKUP(B233,'Base stats'!B:B,'Base stats'!BH:BH)^0.73)^0.6 * _xlfn.XLOOKUP(B233,'Base stats'!B:B,'Base stats'!BX:BX),0.1),0.05)
))</f>
        <v>39</v>
      </c>
      <c r="T233" s="11">
        <f>IF(S233="No","No",
MROUND(_xlfn.XLOOKUP(B233,'Base stats'!B:B,'Base stats'!BH:BH) * 0.01 * 2 + 0.05, 0.05)
)</f>
        <v>24.400000000000002</v>
      </c>
      <c r="U233" s="5">
        <f>IF(S233="No","No",IF(_xlfn.XLOOKUP(B233,'Base stats'!B:B,'Base stats'!U:U)="No","No",
MROUND(_xlfn.XLOOKUP(B233,'Base stats'!B:B,'Base stats'!BT:BT)/10000+0.01,0.01)
))</f>
        <v>7.2</v>
      </c>
      <c r="V233" s="4">
        <f>IF(S233="No","No",
MROUND(_xlfn.XLOOKUP(B233,'Base stats'!B:B,'Base stats'!BF:BF)^0.25
/((_xlfn.XLOOKUP(B233,'Base stats'!B:B,'Base stats'!BO:BO))*10)*_xlfn.XLOOKUP(_xlfn.XLOOKUP(B233,'Base stats'!B:B,'Base stats'!E:E),Groups!A:A,Groups!AE:AE)*150 + 0.5 + _xlfn.XLOOKUP(B233,'Base stats'!B:B,'Base stats'!BW:BW),
0.05))</f>
        <v>3.6</v>
      </c>
      <c r="W233" s="8">
        <f>MROUND(_xlfn.XLOOKUP(_xlfn.XLOOKUP(B233,'Base stats'!B:B,'Base stats'!E:E),Groups!A:A,Groups!BG:BG)*_xlfn.XLOOKUP(B233,'Base stats'!B:B,'Base stats'!C:C)^-0.165,0.05)</f>
        <v>0.1</v>
      </c>
      <c r="X233" s="1">
        <f>MROUND(_xlfn.XLOOKUP(_xlfn.XLOOKUP(B233,'Base stats'!B:B,'Base stats'!E:E),Groups!A:A,Groups!BH:BH)*_xlfn.XLOOKUP(B233,'Base stats'!B:B,'Base stats'!C:C)^0.165,0.05)</f>
        <v>0.25</v>
      </c>
      <c r="Y233" s="8">
        <f>MROUND(_xlfn.XLOOKUP(_xlfn.XLOOKUP(B233,'Base stats'!B:B,'Base stats'!E:E),Groups!A:A,Groups!BI:BI)*_xlfn.XLOOKUP(B233,'Base stats'!B:B,'Base stats'!C:C)^0.165,0.05)</f>
        <v>0.05</v>
      </c>
      <c r="Z233" s="18">
        <f>MROUND(_xlfn.XLOOKUP(B233,'Base stats'!B:B,'Base stats'!AQ:AQ)*_xlfn.XLOOKUP(_xlfn.XLOOKUP(B233,'Base stats'!B:B,'Base stats'!E:E),Groups!A:A,Groups!H:H)/1000,IF((_xlfn.XLOOKUP(B233,'Base stats'!B:B,'Base stats'!AQ:AQ)*_xlfn.XLOOKUP(_xlfn.XLOOKUP(B233,'Base stats'!B:B,'Base stats'!E:E),Groups!A:A,Groups!H:H)/1000)&gt;1,0.05,0.01))</f>
        <v>4.8000000000000007</v>
      </c>
      <c r="AA233" s="18">
        <f>MROUND((1/2)*(_xlfn.XLOOKUP(_xlfn.XLOOKUP(B233,'Base stats'!B:B,'Base stats'!E:E),Groups!A:A,Groups!H:H)*_xlfn.XLOOKUP(_xlfn.XLOOKUP(B233,'Base stats'!B:B,'Base stats'!E:E),Groups!A:A,Groups!I:I))*_xlfn.XLOOKUP(B233,'Base stats'!B:B,'Base stats'!AQ:AQ)*0.01,0.05)</f>
        <v>2.95</v>
      </c>
      <c r="AB233" s="18">
        <f>MROUND(250*(Animals!AO233+Animals!AP233),25)</f>
        <v>1375</v>
      </c>
      <c r="AC233" s="18" t="str">
        <f>_xlfn.XLOOKUP(_xlfn.XLOOKUP(B233,'Base stats'!B:B,'Base stats'!E:E),Groups!A:A,Groups!BJ:BJ)</f>
        <v>QuadrupedLow</v>
      </c>
    </row>
    <row r="234" spans="1:29" ht="16.5" thickTop="1" thickBot="1" x14ac:dyDescent="0.3">
      <c r="A234" s="16" t="str">
        <f>Animals!A234</f>
        <v>Blizzarisk</v>
      </c>
      <c r="B234" s="6" t="str">
        <f>Animals!B234</f>
        <v>Araneodraco glacialis</v>
      </c>
      <c r="C234" s="1" t="str">
        <f>Animals!C234</f>
        <v>&lt;li&gt;AA_Blizzarisk&lt;/li&gt;</v>
      </c>
      <c r="D234" s="47">
        <f>MIN(MIN(6,_xlfn.XLOOKUP(A234,Animals!A:A,Animals!AO:AO))*20,MAX(MROUND(_xlfn.XLOOKUP(B234,'Base stats'!B:B,'Base stats'!BS:BS) * (_xlfn.XLOOKUP(B234,'Base stats'!B:B,'Base stats'!AO:AO)*5%)^0.9 / 21,0.1),0.05))</f>
        <v>3.9000000000000004</v>
      </c>
      <c r="E234" s="11">
        <f>MROUND(_xlfn.XLOOKUP(B234,'Base stats'!B:B,'Base stats'!BG:BG) * 0.01 * 2 + 0.01, 0.05)</f>
        <v>3.5</v>
      </c>
      <c r="F234" s="7">
        <f>MROUND(_xlfn.XLOOKUP(B234,'Base stats'!B:B,'Base stats'!BD:BD)^0.25 / (_xlfn.XLOOKUP(B234,'Base stats'!B:B,'Base stats'!BK:BK) * 10) * 150 + 0.5 + _xlfn.XLOOKUP(B234,'Base stats'!B:B,'Base stats'!BW:BW), 0.05)</f>
        <v>3.25</v>
      </c>
      <c r="G234" s="3" t="str">
        <f>IF(Animals!S234="No","No",
IF(_xlfn.XLOOKUP(B234,'Base stats'!B:B,'Base stats'!U:U)="No",
MAX(MROUND(_xlfn.XLOOKUP(B234,'Base stats'!B:B,'Base stats'!BT:BT) * _xlfn.XLOOKUP(B234,'Base stats'!B:B,'Base stats'!BP:BP)^0.9 / 21 * _xlfn.XLOOKUP(B234,'Base stats'!B:B,'Base stats'!BX:BX),0.1),0.05),
MAX(MROUND(((MIN(10,_xlfn.XLOOKUP(B234,'Base stats'!B:B,'Base stats'!U:U)))^0.4*_xlfn.XLOOKUP(B234,'Base stats'!B:B,'Base stats'!BH:BH)^0.73)^0.6 * _xlfn.XLOOKUP(B234,'Base stats'!B:B,'Base stats'!BX:BX),0.1),0.05)
))</f>
        <v>No</v>
      </c>
      <c r="H234" s="11" t="str">
        <f>IF(G234="No","No",
MROUND(_xlfn.XLOOKUP(B234,'Base stats'!B:B,'Base stats'!BH:BH) * 0.01 * 2 + 0.05, 0.05)
)</f>
        <v>No</v>
      </c>
      <c r="I234" s="11" t="str">
        <f>IF(G234="No","No",IF(_xlfn.XLOOKUP(B234,'Base stats'!B:B,'Base stats'!U:U)="No","No",
MROUND(_xlfn.XLOOKUP(B234,'Base stats'!B:B,'Base stats'!BT:BT)/10000+0.01,0.01)
))</f>
        <v>No</v>
      </c>
      <c r="J234" s="4" t="str">
        <f>IF(G234="No","No",
MROUND(_xlfn.XLOOKUP(B234,'Base stats'!B:B,'Base stats'!BE:BE)^0.25
/((_xlfn.XLOOKUP(B234,'Base stats'!B:B,'Base stats'!BL:BL))*10)*_xlfn.XLOOKUP(_xlfn.XLOOKUP(B234,'Base stats'!B:B,'Base stats'!E:E),Groups!A:A,Groups!Q:Q)*150 + 0.5 + _xlfn.XLOOKUP(B234,'Base stats'!B:B,'Base stats'!BW:BW),
0.05))</f>
        <v>No</v>
      </c>
      <c r="K234" s="3" t="str">
        <f>IF(Animals!X234="No","No",
IF(_xlfn.XLOOKUP(_xlfn.XLOOKUP(B234,'Base stats'!B:B,'Base stats'!E:E),Groups!A:A,Groups!BD:BD)=1,
MAX(MROUND(_xlfn.XLOOKUP(B234,'Base stats'!B:B,'Base stats'!BU:BU) * _xlfn.XLOOKUP(B234,'Base stats'!B:B,'Base stats'!BQ:BQ)^0.9 / 21 *_xlfn.XLOOKUP(B234,'Base stats'!B:B,'Base stats'!BX:BX),0.1),0.05),
MAX(MROUND(((MIN(10,_xlfn.XLOOKUP(B234,'Base stats'!B:B,'Base stats'!W:W)))^0.4*_xlfn.XLOOKUP(B234,'Base stats'!B:B,'Base stats'!BI:BI)^0.73)^0.6 *_xlfn.XLOOKUP(B234,'Base stats'!B:B,'Base stats'!BX:BX),0.1),0.05)
))</f>
        <v>No</v>
      </c>
      <c r="L234" s="11" t="str">
        <f>IF(K234="No","No",
MROUND(_xlfn.XLOOKUP(B234,'Base stats'!B:B,'Base stats'!BI:BI) * 0.01 *2 + 0.05, 0.05)
)</f>
        <v>No</v>
      </c>
      <c r="M234" s="5" t="str">
        <f>IF(K234="No","No",IF(_xlfn.XLOOKUP(_xlfn.XLOOKUP(B234,'Base stats'!B:B,'Base stats'!E:E),Groups!A:A,Groups!BD:BD)=1,"No",
MROUND(_xlfn.XLOOKUP(B234,'Base stats'!B:B,'Base stats'!BU:BU)/10000+0.01,0.01)
))</f>
        <v>No</v>
      </c>
      <c r="N234" s="4" t="str">
        <f>IF(K234="No","No",
MROUND(
  _xlfn.XLOOKUP(B234,'Base stats'!B:B,'Base stats'!BC:BC)^0.25
  / (_xlfn.XLOOKUP(B234,'Base stats'!B:B,'Base stats'!BM:BM) * 10)
  * _xlfn.XLOOKUP(
      _xlfn.XLOOKUP(B234,'Base stats'!B:B,'Base stats'!E:E),
      Groups!A:A,
      Groups!V:V
    ) * 150
  + MIN(12, _xlfn.XLOOKUP(B234,'Base stats'!B:B,'Base stats'!W:W))^(1/IF(_xlfn.XLOOKUP(_xlfn.XLOOKUP(B234,'Base stats'!B:B,'Base stats'!E:E),Groups!A:A,Groups!U:U)=1,100,10)) + 0.5 + _xlfn.XLOOKUP(B234,'Base stats'!B:B,'Base stats'!BW:BW),
0.05))</f>
        <v>No</v>
      </c>
      <c r="O234" s="3">
        <f>IF(Animals!AD234="No","No",
MAX(MROUND((MIN(10,_xlfn.XLOOKUP(B234,'Base stats'!B:B,'Base stats'!V:V)*IF(_xlfn.XLOOKUP(_xlfn.XLOOKUP(B234,'Base stats'!B:B,'Base stats'!E:E),Groups!A:A,Groups!O:O)=0,1,0.33))^0.4*_xlfn.XLOOKUP(B234,'Base stats'!B:B,'Base stats'!BJ:BJ)^0.73)^0.6 *_xlfn.XLOOKUP(B234,'Base stats'!B:B,'Base stats'!BX:BX),0.1),0.05)
)</f>
        <v>31.200000000000003</v>
      </c>
      <c r="P234" s="11">
        <f>IF(O234="No","No",
MROUND(_xlfn.XLOOKUP(B234,'Base stats'!B:B,'Base stats'!BJ:BJ) * 0.01 * 2 + 0.05, 0.05)
)</f>
        <v>24.25</v>
      </c>
      <c r="Q234" s="5">
        <f>IF(O234="No","No",
MROUND(_xlfn.XLOOKUP(B234,'Base stats'!B:B,'Base stats'!BV:BV)/10000+0.01,0.01)
)</f>
        <v>8.0400000000000009</v>
      </c>
      <c r="R234" s="4">
        <f>IF(O234="No","No",
MROUND(_xlfn.XLOOKUP(B234,'Base stats'!B:B,'Base stats'!BB:BB)^0.25
/((_xlfn.XLOOKUP(B234,'Base stats'!B:B,'Base stats'!BN:BN))*10)*_xlfn.XLOOKUP(_xlfn.XLOOKUP(B234,'Base stats'!B:B,'Base stats'!E:E),Groups!A:A,Groups!Z:Z)*150 + 0.5 + _xlfn.XLOOKUP(B234,'Base stats'!B:B,'Base stats'!BW:BW),
0.05))</f>
        <v>2.85</v>
      </c>
      <c r="S234" s="3" t="str">
        <f>IF(Animals!AI234="No","No",
IF(_xlfn.XLOOKUP(B234,'Base stats'!B:B,'Base stats'!U:U)="No",
MAX(MROUND(_xlfn.XLOOKUP(B234,'Base stats'!B:B,'Base stats'!BT:BT) * _xlfn.XLOOKUP(B234,'Base stats'!B:B,'Base stats'!BP:BP)^0.9 / 21 * _xlfn.XLOOKUP(B234,'Base stats'!B:B,'Base stats'!BX:BX),0.1),0.05),
MAX(MROUND(((MIN(12,_xlfn.XLOOKUP(B234,'Base stats'!B:B,'Base stats'!U:U)))^0.4*_xlfn.XLOOKUP(B234,'Base stats'!B:B,'Base stats'!BH:BH)^0.73)^0.6 * _xlfn.XLOOKUP(B234,'Base stats'!B:B,'Base stats'!BX:BX),0.1),0.05)
))</f>
        <v>No</v>
      </c>
      <c r="T234" s="11" t="str">
        <f>IF(S234="No","No",
MROUND(_xlfn.XLOOKUP(B234,'Base stats'!B:B,'Base stats'!BH:BH) * 0.01 * 2 + 0.05, 0.05)
)</f>
        <v>No</v>
      </c>
      <c r="U234" s="5" t="str">
        <f>IF(S234="No","No",IF(_xlfn.XLOOKUP(B234,'Base stats'!B:B,'Base stats'!U:U)="No","No",
MROUND(_xlfn.XLOOKUP(B234,'Base stats'!B:B,'Base stats'!BT:BT)/10000+0.01,0.01)
))</f>
        <v>No</v>
      </c>
      <c r="V234" s="4" t="str">
        <f>IF(S234="No","No",
MROUND(_xlfn.XLOOKUP(B234,'Base stats'!B:B,'Base stats'!BF:BF)^0.25
/((_xlfn.XLOOKUP(B234,'Base stats'!B:B,'Base stats'!BO:BO))*10)*_xlfn.XLOOKUP(_xlfn.XLOOKUP(B234,'Base stats'!B:B,'Base stats'!E:E),Groups!A:A,Groups!AE:AE)*150 + 0.5 + _xlfn.XLOOKUP(B234,'Base stats'!B:B,'Base stats'!BW:BW),
0.05))</f>
        <v>No</v>
      </c>
      <c r="W234" s="8">
        <f>MROUND(_xlfn.XLOOKUP(_xlfn.XLOOKUP(B234,'Base stats'!B:B,'Base stats'!E:E),Groups!A:A,Groups!BG:BG)*_xlfn.XLOOKUP(B234,'Base stats'!B:B,'Base stats'!C:C)^-0.165,0.05)</f>
        <v>0.1</v>
      </c>
      <c r="X234" s="1">
        <f>MROUND(_xlfn.XLOOKUP(_xlfn.XLOOKUP(B234,'Base stats'!B:B,'Base stats'!E:E),Groups!A:A,Groups!BH:BH)*_xlfn.XLOOKUP(B234,'Base stats'!B:B,'Base stats'!C:C)^0.165,0.05)</f>
        <v>0.4</v>
      </c>
      <c r="Y234" s="8">
        <f>MROUND(_xlfn.XLOOKUP(_xlfn.XLOOKUP(B234,'Base stats'!B:B,'Base stats'!E:E),Groups!A:A,Groups!BI:BI)*_xlfn.XLOOKUP(B234,'Base stats'!B:B,'Base stats'!C:C)^0.165,0.05)</f>
        <v>0.05</v>
      </c>
      <c r="Z234" s="18">
        <f>MROUND(_xlfn.XLOOKUP(B234,'Base stats'!B:B,'Base stats'!AQ:AQ)*_xlfn.XLOOKUP(_xlfn.XLOOKUP(B234,'Base stats'!B:B,'Base stats'!E:E),Groups!A:A,Groups!H:H)/1000,IF((_xlfn.XLOOKUP(B234,'Base stats'!B:B,'Base stats'!AQ:AQ)*_xlfn.XLOOKUP(_xlfn.XLOOKUP(B234,'Base stats'!B:B,'Base stats'!E:E),Groups!A:A,Groups!H:H)/1000)&gt;1,0.05,0.01))</f>
        <v>1.7000000000000002</v>
      </c>
      <c r="AA234" s="18">
        <f>MROUND((1/2)*(_xlfn.XLOOKUP(_xlfn.XLOOKUP(B234,'Base stats'!B:B,'Base stats'!E:E),Groups!A:A,Groups!H:H)*_xlfn.XLOOKUP(_xlfn.XLOOKUP(B234,'Base stats'!B:B,'Base stats'!E:E),Groups!A:A,Groups!I:I))*_xlfn.XLOOKUP(B234,'Base stats'!B:B,'Base stats'!AQ:AQ)*0.01,0.05)</f>
        <v>0.15000000000000002</v>
      </c>
      <c r="AB234" s="18">
        <f>MROUND(250*(Animals!AO234+Animals!AP234),25)</f>
        <v>1125</v>
      </c>
      <c r="AC234" s="18" t="str">
        <f>_xlfn.XLOOKUP(_xlfn.XLOOKUP(B234,'Base stats'!B:B,'Base stats'!E:E),Groups!A:A,Groups!BJ:BJ)</f>
        <v>QuadrupedLow</v>
      </c>
    </row>
    <row r="235" spans="1:29" ht="16.5" thickTop="1" thickBot="1" x14ac:dyDescent="0.3">
      <c r="A235" s="16" t="str">
        <f>Animals!A235</f>
        <v>BlizzariskClutchMother</v>
      </c>
      <c r="B235" s="6" t="str">
        <f>Animals!B235</f>
        <v>Araneodraco glacialis (clutch mother)</v>
      </c>
      <c r="C235" s="1" t="str">
        <f>Animals!C235</f>
        <v>&lt;li&gt;AA_BlizzariskClutchMother&lt;/li&gt;</v>
      </c>
      <c r="D235" s="47">
        <f>MIN(MIN(6,_xlfn.XLOOKUP(A235,Animals!A:A,Animals!AO:AO))*20,MAX(MROUND(_xlfn.XLOOKUP(B235,'Base stats'!B:B,'Base stats'!BS:BS) * (_xlfn.XLOOKUP(B235,'Base stats'!B:B,'Base stats'!AO:AO)*5%)^0.9 / 21,0.1),0.05))</f>
        <v>10.700000000000001</v>
      </c>
      <c r="E235" s="11">
        <f>MROUND(_xlfn.XLOOKUP(B235,'Base stats'!B:B,'Base stats'!BG:BG) * 0.01 * 2 + 0.01, 0.05)</f>
        <v>10.5</v>
      </c>
      <c r="F235" s="7">
        <f>MROUND(_xlfn.XLOOKUP(B235,'Base stats'!B:B,'Base stats'!BD:BD)^0.25 / (_xlfn.XLOOKUP(B235,'Base stats'!B:B,'Base stats'!BK:BK) * 10) * 150 + 0.5 + _xlfn.XLOOKUP(B235,'Base stats'!B:B,'Base stats'!BW:BW), 0.05)</f>
        <v>3.6</v>
      </c>
      <c r="G235" s="3" t="str">
        <f>IF(Animals!S235="No","No",
IF(_xlfn.XLOOKUP(B235,'Base stats'!B:B,'Base stats'!U:U)="No",
MAX(MROUND(_xlfn.XLOOKUP(B235,'Base stats'!B:B,'Base stats'!BT:BT) * _xlfn.XLOOKUP(B235,'Base stats'!B:B,'Base stats'!BP:BP)^0.9 / 21 * _xlfn.XLOOKUP(B235,'Base stats'!B:B,'Base stats'!BX:BX),0.1),0.05),
MAX(MROUND(((MIN(10,_xlfn.XLOOKUP(B235,'Base stats'!B:B,'Base stats'!U:U)))^0.4*_xlfn.XLOOKUP(B235,'Base stats'!B:B,'Base stats'!BH:BH)^0.73)^0.6 * _xlfn.XLOOKUP(B235,'Base stats'!B:B,'Base stats'!BX:BX),0.1),0.05)
))</f>
        <v>No</v>
      </c>
      <c r="H235" s="11" t="str">
        <f>IF(G235="No","No",
MROUND(_xlfn.XLOOKUP(B235,'Base stats'!B:B,'Base stats'!BH:BH) * 0.01 * 2 + 0.05, 0.05)
)</f>
        <v>No</v>
      </c>
      <c r="I235" s="11" t="str">
        <f>IF(G235="No","No",IF(_xlfn.XLOOKUP(B235,'Base stats'!B:B,'Base stats'!U:U)="No","No",
MROUND(_xlfn.XLOOKUP(B235,'Base stats'!B:B,'Base stats'!BT:BT)/10000+0.01,0.01)
))</f>
        <v>No</v>
      </c>
      <c r="J235" s="4" t="str">
        <f>IF(G235="No","No",
MROUND(_xlfn.XLOOKUP(B235,'Base stats'!B:B,'Base stats'!BE:BE)^0.25
/((_xlfn.XLOOKUP(B235,'Base stats'!B:B,'Base stats'!BL:BL))*10)*_xlfn.XLOOKUP(_xlfn.XLOOKUP(B235,'Base stats'!B:B,'Base stats'!E:E),Groups!A:A,Groups!Q:Q)*150 + 0.5 + _xlfn.XLOOKUP(B235,'Base stats'!B:B,'Base stats'!BW:BW),
0.05))</f>
        <v>No</v>
      </c>
      <c r="K235" s="3" t="str">
        <f>IF(Animals!X235="No","No",
IF(_xlfn.XLOOKUP(_xlfn.XLOOKUP(B235,'Base stats'!B:B,'Base stats'!E:E),Groups!A:A,Groups!BD:BD)=1,
MAX(MROUND(_xlfn.XLOOKUP(B235,'Base stats'!B:B,'Base stats'!BU:BU) * _xlfn.XLOOKUP(B235,'Base stats'!B:B,'Base stats'!BQ:BQ)^0.9 / 21 *_xlfn.XLOOKUP(B235,'Base stats'!B:B,'Base stats'!BX:BX),0.1),0.05),
MAX(MROUND(((MIN(10,_xlfn.XLOOKUP(B235,'Base stats'!B:B,'Base stats'!W:W)))^0.4*_xlfn.XLOOKUP(B235,'Base stats'!B:B,'Base stats'!BI:BI)^0.73)^0.6 *_xlfn.XLOOKUP(B235,'Base stats'!B:B,'Base stats'!BX:BX),0.1),0.05)
))</f>
        <v>No</v>
      </c>
      <c r="L235" s="11" t="str">
        <f>IF(K235="No","No",
MROUND(_xlfn.XLOOKUP(B235,'Base stats'!B:B,'Base stats'!BI:BI) * 0.01 *2 + 0.05, 0.05)
)</f>
        <v>No</v>
      </c>
      <c r="M235" s="5" t="str">
        <f>IF(K235="No","No",IF(_xlfn.XLOOKUP(_xlfn.XLOOKUP(B235,'Base stats'!B:B,'Base stats'!E:E),Groups!A:A,Groups!BD:BD)=1,"No",
MROUND(_xlfn.XLOOKUP(B235,'Base stats'!B:B,'Base stats'!BU:BU)/10000+0.01,0.01)
))</f>
        <v>No</v>
      </c>
      <c r="N235" s="4" t="str">
        <f>IF(K235="No","No",
MROUND(
  _xlfn.XLOOKUP(B235,'Base stats'!B:B,'Base stats'!BC:BC)^0.25
  / (_xlfn.XLOOKUP(B235,'Base stats'!B:B,'Base stats'!BM:BM) * 10)
  * _xlfn.XLOOKUP(
      _xlfn.XLOOKUP(B235,'Base stats'!B:B,'Base stats'!E:E),
      Groups!A:A,
      Groups!V:V
    ) * 150
  + MIN(12, _xlfn.XLOOKUP(B235,'Base stats'!B:B,'Base stats'!W:W))^(1/IF(_xlfn.XLOOKUP(_xlfn.XLOOKUP(B235,'Base stats'!B:B,'Base stats'!E:E),Groups!A:A,Groups!U:U)=1,100,10)) + 0.5 + _xlfn.XLOOKUP(B235,'Base stats'!B:B,'Base stats'!BW:BW),
0.05))</f>
        <v>No</v>
      </c>
      <c r="O235" s="3">
        <f>IF(Animals!AD235="No","No",
MAX(MROUND((MIN(10,_xlfn.XLOOKUP(B235,'Base stats'!B:B,'Base stats'!V:V)*IF(_xlfn.XLOOKUP(_xlfn.XLOOKUP(B235,'Base stats'!B:B,'Base stats'!E:E),Groups!A:A,Groups!O:O)=0,1,0.33))^0.4*_xlfn.XLOOKUP(B235,'Base stats'!B:B,'Base stats'!BJ:BJ)^0.73)^0.6 *_xlfn.XLOOKUP(B235,'Base stats'!B:B,'Base stats'!BX:BX),0.1),0.05)
)</f>
        <v>47.7</v>
      </c>
      <c r="P235" s="11">
        <f>IF(O235="No","No",
MROUND(_xlfn.XLOOKUP(B235,'Base stats'!B:B,'Base stats'!BJ:BJ) * 0.01 * 2 + 0.05, 0.05)
)</f>
        <v>63.5</v>
      </c>
      <c r="Q235" s="5">
        <f>IF(O235="No","No",
MROUND(_xlfn.XLOOKUP(B235,'Base stats'!B:B,'Base stats'!BV:BV)/10000+0.01,0.01)
)</f>
        <v>12.9</v>
      </c>
      <c r="R235" s="4">
        <f>IF(O235="No","No",
MROUND(_xlfn.XLOOKUP(B235,'Base stats'!B:B,'Base stats'!BB:BB)^0.25
/((_xlfn.XLOOKUP(B235,'Base stats'!B:B,'Base stats'!BN:BN))*10)*_xlfn.XLOOKUP(_xlfn.XLOOKUP(B235,'Base stats'!B:B,'Base stats'!E:E),Groups!A:A,Groups!Z:Z)*150 + 0.5 + _xlfn.XLOOKUP(B235,'Base stats'!B:B,'Base stats'!BW:BW),
0.05))</f>
        <v>3.5</v>
      </c>
      <c r="S235" s="3" t="str">
        <f>IF(Animals!AI235="No","No",
IF(_xlfn.XLOOKUP(B235,'Base stats'!B:B,'Base stats'!U:U)="No",
MAX(MROUND(_xlfn.XLOOKUP(B235,'Base stats'!B:B,'Base stats'!BT:BT) * _xlfn.XLOOKUP(B235,'Base stats'!B:B,'Base stats'!BP:BP)^0.9 / 21 * _xlfn.XLOOKUP(B235,'Base stats'!B:B,'Base stats'!BX:BX),0.1),0.05),
MAX(MROUND(((MIN(12,_xlfn.XLOOKUP(B235,'Base stats'!B:B,'Base stats'!U:U)))^0.4*_xlfn.XLOOKUP(B235,'Base stats'!B:B,'Base stats'!BH:BH)^0.73)^0.6 * _xlfn.XLOOKUP(B235,'Base stats'!B:B,'Base stats'!BX:BX),0.1),0.05)
))</f>
        <v>No</v>
      </c>
      <c r="T235" s="11" t="str">
        <f>IF(S235="No","No",
MROUND(_xlfn.XLOOKUP(B235,'Base stats'!B:B,'Base stats'!BH:BH) * 0.01 * 2 + 0.05, 0.05)
)</f>
        <v>No</v>
      </c>
      <c r="U235" s="5" t="str">
        <f>IF(S235="No","No",IF(_xlfn.XLOOKUP(B235,'Base stats'!B:B,'Base stats'!U:U)="No","No",
MROUND(_xlfn.XLOOKUP(B235,'Base stats'!B:B,'Base stats'!BT:BT)/10000+0.01,0.01)
))</f>
        <v>No</v>
      </c>
      <c r="V235" s="4" t="str">
        <f>IF(S235="No","No",
MROUND(_xlfn.XLOOKUP(B235,'Base stats'!B:B,'Base stats'!BF:BF)^0.25
/((_xlfn.XLOOKUP(B235,'Base stats'!B:B,'Base stats'!BO:BO))*10)*_xlfn.XLOOKUP(_xlfn.XLOOKUP(B235,'Base stats'!B:B,'Base stats'!E:E),Groups!A:A,Groups!AE:AE)*150 + 0.5 + _xlfn.XLOOKUP(B235,'Base stats'!B:B,'Base stats'!BW:BW),
0.05))</f>
        <v>No</v>
      </c>
      <c r="W235" s="8">
        <f>MROUND(_xlfn.XLOOKUP(_xlfn.XLOOKUP(B235,'Base stats'!B:B,'Base stats'!E:E),Groups!A:A,Groups!BG:BG)*_xlfn.XLOOKUP(B235,'Base stats'!B:B,'Base stats'!C:C)^-0.165,0.05)</f>
        <v>0.1</v>
      </c>
      <c r="X235" s="1">
        <f>MROUND(_xlfn.XLOOKUP(_xlfn.XLOOKUP(B235,'Base stats'!B:B,'Base stats'!E:E),Groups!A:A,Groups!BH:BH)*_xlfn.XLOOKUP(B235,'Base stats'!B:B,'Base stats'!C:C)^0.165,0.05)</f>
        <v>0.45</v>
      </c>
      <c r="Y235" s="8">
        <f>MROUND(_xlfn.XLOOKUP(_xlfn.XLOOKUP(B235,'Base stats'!B:B,'Base stats'!E:E),Groups!A:A,Groups!BI:BI)*_xlfn.XLOOKUP(B235,'Base stats'!B:B,'Base stats'!C:C)^0.165,0.05)</f>
        <v>0.1</v>
      </c>
      <c r="Z235" s="18">
        <f>MROUND(_xlfn.XLOOKUP(B235,'Base stats'!B:B,'Base stats'!AQ:AQ)*_xlfn.XLOOKUP(_xlfn.XLOOKUP(B235,'Base stats'!B:B,'Base stats'!E:E),Groups!A:A,Groups!H:H)/1000,IF((_xlfn.XLOOKUP(B235,'Base stats'!B:B,'Base stats'!AQ:AQ)*_xlfn.XLOOKUP(_xlfn.XLOOKUP(B235,'Base stats'!B:B,'Base stats'!E:E),Groups!A:A,Groups!H:H)/1000)&gt;1,0.05,0.01))</f>
        <v>2.5500000000000003</v>
      </c>
      <c r="AA235" s="18">
        <f>MROUND((1/2)*(_xlfn.XLOOKUP(_xlfn.XLOOKUP(B235,'Base stats'!B:B,'Base stats'!E:E),Groups!A:A,Groups!H:H)*_xlfn.XLOOKUP(_xlfn.XLOOKUP(B235,'Base stats'!B:B,'Base stats'!E:E),Groups!A:A,Groups!I:I))*_xlfn.XLOOKUP(B235,'Base stats'!B:B,'Base stats'!AQ:AQ)*0.01,0.05)</f>
        <v>0.25</v>
      </c>
      <c r="AB235" s="18">
        <f>MROUND(250*(Animals!AO235+Animals!AP235),25)</f>
        <v>1750</v>
      </c>
      <c r="AC235" s="18" t="str">
        <f>_xlfn.XLOOKUP(_xlfn.XLOOKUP(B235,'Base stats'!B:B,'Base stats'!E:E),Groups!A:A,Groups!BJ:BJ)</f>
        <v>QuadrupedLow</v>
      </c>
    </row>
    <row r="236" spans="1:29" ht="16.5" thickTop="1" thickBot="1" x14ac:dyDescent="0.3">
      <c r="A236" s="16" t="str">
        <f>Animals!A236</f>
        <v>BloodShrimp</v>
      </c>
      <c r="B236" s="6" t="str">
        <f>Animals!B236</f>
        <v>Caridea sanguinea</v>
      </c>
      <c r="C236" s="1" t="str">
        <f>Animals!C236</f>
        <v>&lt;li&gt;AA_BloodShrimp&lt;/li&gt;</v>
      </c>
      <c r="D236" s="47">
        <f>MIN(MIN(6,_xlfn.XLOOKUP(A236,Animals!A:A,Animals!AO:AO))*20,MAX(MROUND(_xlfn.XLOOKUP(B236,'Base stats'!B:B,'Base stats'!BS:BS) * (_xlfn.XLOOKUP(B236,'Base stats'!B:B,'Base stats'!AO:AO)*5%)^0.9 / 21,0.1),0.05))</f>
        <v>1.1000000000000001</v>
      </c>
      <c r="E236" s="11">
        <f>MROUND(_xlfn.XLOOKUP(B236,'Base stats'!B:B,'Base stats'!BG:BG) * 0.01 * 2 + 0.01, 0.05)</f>
        <v>0.95000000000000007</v>
      </c>
      <c r="F236" s="7">
        <f>MROUND(_xlfn.XLOOKUP(B236,'Base stats'!B:B,'Base stats'!BD:BD)^0.25 / (_xlfn.XLOOKUP(B236,'Base stats'!B:B,'Base stats'!BK:BK) * 10) * 150 + 0.5 + _xlfn.XLOOKUP(B236,'Base stats'!B:B,'Base stats'!BW:BW), 0.05)</f>
        <v>2.5</v>
      </c>
      <c r="G236" s="3" t="str">
        <f>IF(Animals!S236="No","No",
IF(_xlfn.XLOOKUP(B236,'Base stats'!B:B,'Base stats'!U:U)="No",
MAX(MROUND(_xlfn.XLOOKUP(B236,'Base stats'!B:B,'Base stats'!BT:BT) * _xlfn.XLOOKUP(B236,'Base stats'!B:B,'Base stats'!BP:BP)^0.9 / 21 * _xlfn.XLOOKUP(B236,'Base stats'!B:B,'Base stats'!BX:BX),0.1),0.05),
MAX(MROUND(((MIN(10,_xlfn.XLOOKUP(B236,'Base stats'!B:B,'Base stats'!U:U)))^0.4*_xlfn.XLOOKUP(B236,'Base stats'!B:B,'Base stats'!BH:BH)^0.73)^0.6 * _xlfn.XLOOKUP(B236,'Base stats'!B:B,'Base stats'!BX:BX),0.1),0.05)
))</f>
        <v>No</v>
      </c>
      <c r="H236" s="11" t="str">
        <f>IF(G236="No","No",
MROUND(_xlfn.XLOOKUP(B236,'Base stats'!B:B,'Base stats'!BH:BH) * 0.01 * 2 + 0.05, 0.05)
)</f>
        <v>No</v>
      </c>
      <c r="I236" s="11" t="str">
        <f>IF(G236="No","No",IF(_xlfn.XLOOKUP(B236,'Base stats'!B:B,'Base stats'!U:U)="No","No",
MROUND(_xlfn.XLOOKUP(B236,'Base stats'!B:B,'Base stats'!BT:BT)/10000+0.01,0.01)
))</f>
        <v>No</v>
      </c>
      <c r="J236" s="4" t="str">
        <f>IF(G236="No","No",
MROUND(_xlfn.XLOOKUP(B236,'Base stats'!B:B,'Base stats'!BE:BE)^0.25
/((_xlfn.XLOOKUP(B236,'Base stats'!B:B,'Base stats'!BL:BL))*10)*_xlfn.XLOOKUP(_xlfn.XLOOKUP(B236,'Base stats'!B:B,'Base stats'!E:E),Groups!A:A,Groups!Q:Q)*150 + 0.5 + _xlfn.XLOOKUP(B236,'Base stats'!B:B,'Base stats'!BW:BW),
0.05))</f>
        <v>No</v>
      </c>
      <c r="K236" s="3" t="str">
        <f>IF(Animals!X236="No","No",
IF(_xlfn.XLOOKUP(_xlfn.XLOOKUP(B236,'Base stats'!B:B,'Base stats'!E:E),Groups!A:A,Groups!BD:BD)=1,
MAX(MROUND(_xlfn.XLOOKUP(B236,'Base stats'!B:B,'Base stats'!BU:BU) * _xlfn.XLOOKUP(B236,'Base stats'!B:B,'Base stats'!BQ:BQ)^0.9 / 21 *_xlfn.XLOOKUP(B236,'Base stats'!B:B,'Base stats'!BX:BX),0.1),0.05),
MAX(MROUND(((MIN(10,_xlfn.XLOOKUP(B236,'Base stats'!B:B,'Base stats'!W:W)))^0.4*_xlfn.XLOOKUP(B236,'Base stats'!B:B,'Base stats'!BI:BI)^0.73)^0.6 *_xlfn.XLOOKUP(B236,'Base stats'!B:B,'Base stats'!BX:BX),0.1),0.05)
))</f>
        <v>No</v>
      </c>
      <c r="L236" s="11" t="str">
        <f>IF(K236="No","No",
MROUND(_xlfn.XLOOKUP(B236,'Base stats'!B:B,'Base stats'!BI:BI) * 0.01 *2 + 0.05, 0.05)
)</f>
        <v>No</v>
      </c>
      <c r="M236" s="5" t="str">
        <f>IF(K236="No","No",IF(_xlfn.XLOOKUP(_xlfn.XLOOKUP(B236,'Base stats'!B:B,'Base stats'!E:E),Groups!A:A,Groups!BD:BD)=1,"No",
MROUND(_xlfn.XLOOKUP(B236,'Base stats'!B:B,'Base stats'!BU:BU)/10000+0.01,0.01)
))</f>
        <v>No</v>
      </c>
      <c r="N236" s="4" t="str">
        <f>IF(K236="No","No",
MROUND(
  _xlfn.XLOOKUP(B236,'Base stats'!B:B,'Base stats'!BC:BC)^0.25
  / (_xlfn.XLOOKUP(B236,'Base stats'!B:B,'Base stats'!BM:BM) * 10)
  * _xlfn.XLOOKUP(
      _xlfn.XLOOKUP(B236,'Base stats'!B:B,'Base stats'!E:E),
      Groups!A:A,
      Groups!V:V
    ) * 150
  + MIN(12, _xlfn.XLOOKUP(B236,'Base stats'!B:B,'Base stats'!W:W))^(1/IF(_xlfn.XLOOKUP(_xlfn.XLOOKUP(B236,'Base stats'!B:B,'Base stats'!E:E),Groups!A:A,Groups!U:U)=1,100,10)) + 0.5 + _xlfn.XLOOKUP(B236,'Base stats'!B:B,'Base stats'!BW:BW),
0.05))</f>
        <v>No</v>
      </c>
      <c r="O236" s="3">
        <f>IF(Animals!AD236="No","No",
MAX(MROUND((MIN(10,_xlfn.XLOOKUP(B236,'Base stats'!B:B,'Base stats'!V:V)*IF(_xlfn.XLOOKUP(_xlfn.XLOOKUP(B236,'Base stats'!B:B,'Base stats'!E:E),Groups!A:A,Groups!O:O)=0,1,0.33))^0.4*_xlfn.XLOOKUP(B236,'Base stats'!B:B,'Base stats'!BJ:BJ)^0.73)^0.6 *_xlfn.XLOOKUP(B236,'Base stats'!B:B,'Base stats'!BX:BX),0.1),0.05)
)</f>
        <v>17.5</v>
      </c>
      <c r="P236" s="11">
        <f>IF(O236="No","No",
MROUND(_xlfn.XLOOKUP(B236,'Base stats'!B:B,'Base stats'!BJ:BJ) * 0.01 * 2 + 0.05, 0.05)
)</f>
        <v>7.6000000000000005</v>
      </c>
      <c r="Q236" s="5">
        <f>IF(O236="No","No",
MROUND(_xlfn.XLOOKUP(B236,'Base stats'!B:B,'Base stats'!BV:BV)/10000+0.01,0.01)
)</f>
        <v>0.46</v>
      </c>
      <c r="R236" s="4">
        <f>IF(O236="No","No",
MROUND(_xlfn.XLOOKUP(B236,'Base stats'!B:B,'Base stats'!BB:BB)^0.25
/((_xlfn.XLOOKUP(B236,'Base stats'!B:B,'Base stats'!BN:BN))*10)*_xlfn.XLOOKUP(_xlfn.XLOOKUP(B236,'Base stats'!B:B,'Base stats'!E:E),Groups!A:A,Groups!Z:Z)*150 + 0.5 + _xlfn.XLOOKUP(B236,'Base stats'!B:B,'Base stats'!BW:BW),
0.05))</f>
        <v>2.1</v>
      </c>
      <c r="S236" s="3">
        <f>IF(Animals!AI236="No","No",
IF(_xlfn.XLOOKUP(B236,'Base stats'!B:B,'Base stats'!U:U)="No",
MAX(MROUND(_xlfn.XLOOKUP(B236,'Base stats'!B:B,'Base stats'!BT:BT) * _xlfn.XLOOKUP(B236,'Base stats'!B:B,'Base stats'!BP:BP)^0.9 / 21 * _xlfn.XLOOKUP(B236,'Base stats'!B:B,'Base stats'!BX:BX),0.1),0.05),
MAX(MROUND(((MIN(12,_xlfn.XLOOKUP(B236,'Base stats'!B:B,'Base stats'!U:U)))^0.4*_xlfn.XLOOKUP(B236,'Base stats'!B:B,'Base stats'!BH:BH)^0.73)^0.6 * _xlfn.XLOOKUP(B236,'Base stats'!B:B,'Base stats'!BX:BX),0.1),0.05)
))</f>
        <v>22.1</v>
      </c>
      <c r="T236" s="11">
        <f>IF(S236="No","No",
MROUND(_xlfn.XLOOKUP(B236,'Base stats'!B:B,'Base stats'!BH:BH) * 0.01 * 2 + 0.05, 0.05)
)</f>
        <v>6.1000000000000005</v>
      </c>
      <c r="U236" s="5">
        <f>IF(S236="No","No",IF(_xlfn.XLOOKUP(B236,'Base stats'!B:B,'Base stats'!U:U)="No","No",
MROUND(_xlfn.XLOOKUP(B236,'Base stats'!B:B,'Base stats'!BT:BT)/10000+0.01,0.01)
))</f>
        <v>3.64</v>
      </c>
      <c r="V236" s="4">
        <f>IF(S236="No","No",
MROUND(_xlfn.XLOOKUP(B236,'Base stats'!B:B,'Base stats'!BF:BF)^0.25
/((_xlfn.XLOOKUP(B236,'Base stats'!B:B,'Base stats'!BO:BO))*10)*_xlfn.XLOOKUP(_xlfn.XLOOKUP(B236,'Base stats'!B:B,'Base stats'!E:E),Groups!A:A,Groups!AE:AE)*150 + 0.5 + _xlfn.XLOOKUP(B236,'Base stats'!B:B,'Base stats'!BW:BW),
0.05))</f>
        <v>2.75</v>
      </c>
      <c r="W236" s="8">
        <f>MROUND(_xlfn.XLOOKUP(_xlfn.XLOOKUP(B236,'Base stats'!B:B,'Base stats'!E:E),Groups!A:A,Groups!BG:BG)*_xlfn.XLOOKUP(B236,'Base stats'!B:B,'Base stats'!C:C)^-0.165,0.05)</f>
        <v>0.25</v>
      </c>
      <c r="X236" s="1">
        <f>MROUND(_xlfn.XLOOKUP(_xlfn.XLOOKUP(B236,'Base stats'!B:B,'Base stats'!E:E),Groups!A:A,Groups!BH:BH)*_xlfn.XLOOKUP(B236,'Base stats'!B:B,'Base stats'!C:C)^0.165,0.05)</f>
        <v>0.30000000000000004</v>
      </c>
      <c r="Y236" s="8">
        <f>MROUND(_xlfn.XLOOKUP(_xlfn.XLOOKUP(B236,'Base stats'!B:B,'Base stats'!E:E),Groups!A:A,Groups!BI:BI)*_xlfn.XLOOKUP(B236,'Base stats'!B:B,'Base stats'!C:C)^0.165,0.05)</f>
        <v>0.05</v>
      </c>
      <c r="Z236" s="18">
        <f>MROUND(_xlfn.XLOOKUP(B236,'Base stats'!B:B,'Base stats'!AQ:AQ)*_xlfn.XLOOKUP(_xlfn.XLOOKUP(B236,'Base stats'!B:B,'Base stats'!E:E),Groups!A:A,Groups!H:H)/1000,IF((_xlfn.XLOOKUP(B236,'Base stats'!B:B,'Base stats'!AQ:AQ)*_xlfn.XLOOKUP(_xlfn.XLOOKUP(B236,'Base stats'!B:B,'Base stats'!E:E),Groups!A:A,Groups!H:H)/1000)&gt;1,0.05,0.01))</f>
        <v>2.6</v>
      </c>
      <c r="AA236" s="18">
        <f>MROUND((1/2)*(_xlfn.XLOOKUP(_xlfn.XLOOKUP(B236,'Base stats'!B:B,'Base stats'!E:E),Groups!A:A,Groups!H:H)*_xlfn.XLOOKUP(_xlfn.XLOOKUP(B236,'Base stats'!B:B,'Base stats'!E:E),Groups!A:A,Groups!I:I))*_xlfn.XLOOKUP(B236,'Base stats'!B:B,'Base stats'!AQ:AQ)*0.01,0.05)</f>
        <v>1.6</v>
      </c>
      <c r="AB236" s="18">
        <f>MROUND(250*(Animals!AO236+Animals!AP236),25)</f>
        <v>500</v>
      </c>
      <c r="AC236" s="18" t="str">
        <f>_xlfn.XLOOKUP(_xlfn.XLOOKUP(B236,'Base stats'!B:B,'Base stats'!E:E),Groups!A:A,Groups!BJ:BJ)</f>
        <v>Birdlike</v>
      </c>
    </row>
    <row r="237" spans="1:29" ht="16.5" thickTop="1" thickBot="1" x14ac:dyDescent="0.3">
      <c r="A237" s="16" t="str">
        <f>Animals!A237</f>
        <v>Bobeene</v>
      </c>
      <c r="B237" s="6" t="str">
        <f>Animals!B237</f>
        <v>Bombos vivificalis</v>
      </c>
      <c r="C237" s="1" t="str">
        <f>Animals!C237</f>
        <v>&lt;li&gt;AA_Bobeene&lt;/li&gt;</v>
      </c>
      <c r="D237" s="47">
        <f>MIN(MIN(6,_xlfn.XLOOKUP(A237,Animals!A:A,Animals!AO:AO))*20,MAX(MROUND(_xlfn.XLOOKUP(B237,'Base stats'!B:B,'Base stats'!BS:BS) * (_xlfn.XLOOKUP(B237,'Base stats'!B:B,'Base stats'!AO:AO)*5%)^0.9 / 21,0.1),0.05))</f>
        <v>11.9</v>
      </c>
      <c r="E237" s="11">
        <f>MROUND(_xlfn.XLOOKUP(B237,'Base stats'!B:B,'Base stats'!BG:BG) * 0.01 * 2 + 0.01, 0.05)</f>
        <v>11.15</v>
      </c>
      <c r="F237" s="7">
        <f>MROUND(_xlfn.XLOOKUP(B237,'Base stats'!B:B,'Base stats'!BD:BD)^0.25 / (_xlfn.XLOOKUP(B237,'Base stats'!B:B,'Base stats'!BK:BK) * 10) * 150 + 0.5 + _xlfn.XLOOKUP(B237,'Base stats'!B:B,'Base stats'!BW:BW), 0.05)</f>
        <v>1.85</v>
      </c>
      <c r="G237" s="3">
        <f>IF(Animals!S237="No","No",
IF(_xlfn.XLOOKUP(B237,'Base stats'!B:B,'Base stats'!U:U)="No",
MAX(MROUND(_xlfn.XLOOKUP(B237,'Base stats'!B:B,'Base stats'!BT:BT) * _xlfn.XLOOKUP(B237,'Base stats'!B:B,'Base stats'!BP:BP)^0.9 / 21 * _xlfn.XLOOKUP(B237,'Base stats'!B:B,'Base stats'!BX:BX),0.1),0.05),
MAX(MROUND(((MIN(10,_xlfn.XLOOKUP(B237,'Base stats'!B:B,'Base stats'!U:U)))^0.4*_xlfn.XLOOKUP(B237,'Base stats'!B:B,'Base stats'!BH:BH)^0.73)^0.6 * _xlfn.XLOOKUP(B237,'Base stats'!B:B,'Base stats'!BX:BX),0.1),0.05)
))</f>
        <v>19.5</v>
      </c>
      <c r="H237" s="11">
        <f>IF(G237="No","No",
MROUND(_xlfn.XLOOKUP(B237,'Base stats'!B:B,'Base stats'!BH:BH) * 0.01 * 2 + 0.05, 0.05)
)</f>
        <v>12.9</v>
      </c>
      <c r="I237" s="11" t="str">
        <f>IF(G237="No","No",IF(_xlfn.XLOOKUP(B237,'Base stats'!B:B,'Base stats'!U:U)="No","No",
MROUND(_xlfn.XLOOKUP(B237,'Base stats'!B:B,'Base stats'!BT:BT)/10000+0.01,0.01)
))</f>
        <v>No</v>
      </c>
      <c r="J237" s="4">
        <f>IF(G237="No","No",
MROUND(_xlfn.XLOOKUP(B237,'Base stats'!B:B,'Base stats'!BE:BE)^0.25
/((_xlfn.XLOOKUP(B237,'Base stats'!B:B,'Base stats'!BL:BL))*10)*_xlfn.XLOOKUP(_xlfn.XLOOKUP(B237,'Base stats'!B:B,'Base stats'!E:E),Groups!A:A,Groups!Q:Q)*150 + 0.5 + _xlfn.XLOOKUP(B237,'Base stats'!B:B,'Base stats'!BW:BW),
0.05))</f>
        <v>2.85</v>
      </c>
      <c r="K237" s="3">
        <f>IF(Animals!X237="No","No",
IF(_xlfn.XLOOKUP(_xlfn.XLOOKUP(B237,'Base stats'!B:B,'Base stats'!E:E),Groups!A:A,Groups!BD:BD)=1,
MAX(MROUND(_xlfn.XLOOKUP(B237,'Base stats'!B:B,'Base stats'!BU:BU) * _xlfn.XLOOKUP(B237,'Base stats'!B:B,'Base stats'!BQ:BQ)^0.9 / 21 *_xlfn.XLOOKUP(B237,'Base stats'!B:B,'Base stats'!BX:BX),0.1),0.05),
MAX(MROUND(((MIN(10,_xlfn.XLOOKUP(B237,'Base stats'!B:B,'Base stats'!W:W)))^0.4*_xlfn.XLOOKUP(B237,'Base stats'!B:B,'Base stats'!BI:BI)^0.73)^0.6 *_xlfn.XLOOKUP(B237,'Base stats'!B:B,'Base stats'!BX:BX),0.1),0.05)
))</f>
        <v>31.900000000000002</v>
      </c>
      <c r="L237" s="11">
        <f>IF(K237="No","No",
MROUND(_xlfn.XLOOKUP(B237,'Base stats'!B:B,'Base stats'!BI:BI) * 0.01 *2 + 0.05, 0.05)
)</f>
        <v>15.450000000000001</v>
      </c>
      <c r="M237" s="5">
        <f>IF(K237="No","No",IF(_xlfn.XLOOKUP(_xlfn.XLOOKUP(B237,'Base stats'!B:B,'Base stats'!E:E),Groups!A:A,Groups!BD:BD)=1,"No",
MROUND(_xlfn.XLOOKUP(B237,'Base stats'!B:B,'Base stats'!BU:BU)/10000+0.01,0.01)
))</f>
        <v>0.83000000000000007</v>
      </c>
      <c r="N237" s="4">
        <f>IF(K237="No","No",
MROUND(
  _xlfn.XLOOKUP(B237,'Base stats'!B:B,'Base stats'!BC:BC)^0.25
  / (_xlfn.XLOOKUP(B237,'Base stats'!B:B,'Base stats'!BM:BM) * 10)
  * _xlfn.XLOOKUP(
      _xlfn.XLOOKUP(B237,'Base stats'!B:B,'Base stats'!E:E),
      Groups!A:A,
      Groups!V:V
    ) * 150
  + MIN(12, _xlfn.XLOOKUP(B237,'Base stats'!B:B,'Base stats'!W:W))^(1/IF(_xlfn.XLOOKUP(_xlfn.XLOOKUP(B237,'Base stats'!B:B,'Base stats'!E:E),Groups!A:A,Groups!U:U)=1,100,10)) + 0.5 + _xlfn.XLOOKUP(B237,'Base stats'!B:B,'Base stats'!BW:BW),
0.05))</f>
        <v>3.1500000000000004</v>
      </c>
      <c r="O237" s="3" t="str">
        <f>IF(Animals!AD237="No","No",
MAX(MROUND((MIN(10,_xlfn.XLOOKUP(B237,'Base stats'!B:B,'Base stats'!V:V)*IF(_xlfn.XLOOKUP(_xlfn.XLOOKUP(B237,'Base stats'!B:B,'Base stats'!E:E),Groups!A:A,Groups!O:O)=0,1,0.33))^0.4*_xlfn.XLOOKUP(B237,'Base stats'!B:B,'Base stats'!BJ:BJ)^0.73)^0.6 *_xlfn.XLOOKUP(B237,'Base stats'!B:B,'Base stats'!BX:BX),0.1),0.05)
)</f>
        <v>No</v>
      </c>
      <c r="P237" s="11" t="str">
        <f>IF(O237="No","No",
MROUND(_xlfn.XLOOKUP(B237,'Base stats'!B:B,'Base stats'!BJ:BJ) * 0.01 * 2 + 0.05, 0.05)
)</f>
        <v>No</v>
      </c>
      <c r="Q237" s="5" t="str">
        <f>IF(O237="No","No",
MROUND(_xlfn.XLOOKUP(B237,'Base stats'!B:B,'Base stats'!BV:BV)/10000+0.01,0.01)
)</f>
        <v>No</v>
      </c>
      <c r="R237" s="4" t="str">
        <f>IF(O237="No","No",
MROUND(_xlfn.XLOOKUP(B237,'Base stats'!B:B,'Base stats'!BB:BB)^0.25
/((_xlfn.XLOOKUP(B237,'Base stats'!B:B,'Base stats'!BN:BN))*10)*_xlfn.XLOOKUP(_xlfn.XLOOKUP(B237,'Base stats'!B:B,'Base stats'!E:E),Groups!A:A,Groups!Z:Z)*150 + 0.5 + _xlfn.XLOOKUP(B237,'Base stats'!B:B,'Base stats'!BW:BW),
0.05))</f>
        <v>No</v>
      </c>
      <c r="S237" s="3" t="str">
        <f>IF(Animals!AI237="No","No",
IF(_xlfn.XLOOKUP(B237,'Base stats'!B:B,'Base stats'!U:U)="No",
MAX(MROUND(_xlfn.XLOOKUP(B237,'Base stats'!B:B,'Base stats'!BT:BT) * _xlfn.XLOOKUP(B237,'Base stats'!B:B,'Base stats'!BP:BP)^0.9 / 21 * _xlfn.XLOOKUP(B237,'Base stats'!B:B,'Base stats'!BX:BX),0.1),0.05),
MAX(MROUND(((MIN(12,_xlfn.XLOOKUP(B237,'Base stats'!B:B,'Base stats'!U:U)))^0.4*_xlfn.XLOOKUP(B237,'Base stats'!B:B,'Base stats'!BH:BH)^0.73)^0.6 * _xlfn.XLOOKUP(B237,'Base stats'!B:B,'Base stats'!BX:BX),0.1),0.05)
))</f>
        <v>No</v>
      </c>
      <c r="T237" s="11" t="str">
        <f>IF(S237="No","No",
MROUND(_xlfn.XLOOKUP(B237,'Base stats'!B:B,'Base stats'!BH:BH) * 0.01 * 2 + 0.05, 0.05)
)</f>
        <v>No</v>
      </c>
      <c r="U237" s="5" t="str">
        <f>IF(S237="No","No",IF(_xlfn.XLOOKUP(B237,'Base stats'!B:B,'Base stats'!U:U)="No","No",
MROUND(_xlfn.XLOOKUP(B237,'Base stats'!B:B,'Base stats'!BT:BT)/10000+0.01,0.01)
))</f>
        <v>No</v>
      </c>
      <c r="V237" s="4" t="str">
        <f>IF(S237="No","No",
MROUND(_xlfn.XLOOKUP(B237,'Base stats'!B:B,'Base stats'!BF:BF)^0.25
/((_xlfn.XLOOKUP(B237,'Base stats'!B:B,'Base stats'!BO:BO))*10)*_xlfn.XLOOKUP(_xlfn.XLOOKUP(B237,'Base stats'!B:B,'Base stats'!E:E),Groups!A:A,Groups!AE:AE)*150 + 0.5 + _xlfn.XLOOKUP(B237,'Base stats'!B:B,'Base stats'!BW:BW),
0.05))</f>
        <v>No</v>
      </c>
      <c r="W237" s="8">
        <f>MROUND(_xlfn.XLOOKUP(_xlfn.XLOOKUP(B237,'Base stats'!B:B,'Base stats'!E:E),Groups!A:A,Groups!BG:BG)*_xlfn.XLOOKUP(B237,'Base stats'!B:B,'Base stats'!C:C)^-0.165,0.05)</f>
        <v>0.2</v>
      </c>
      <c r="X237" s="1">
        <f>MROUND(_xlfn.XLOOKUP(_xlfn.XLOOKUP(B237,'Base stats'!B:B,'Base stats'!E:E),Groups!A:A,Groups!BH:BH)*_xlfn.XLOOKUP(B237,'Base stats'!B:B,'Base stats'!C:C)^0.165,0.05)</f>
        <v>0</v>
      </c>
      <c r="Y237" s="8">
        <f>MROUND(_xlfn.XLOOKUP(_xlfn.XLOOKUP(B237,'Base stats'!B:B,'Base stats'!E:E),Groups!A:A,Groups!BI:BI)*_xlfn.XLOOKUP(B237,'Base stats'!B:B,'Base stats'!C:C)^0.165,0.05)</f>
        <v>0</v>
      </c>
      <c r="Z237" s="18">
        <f>MROUND(_xlfn.XLOOKUP(B237,'Base stats'!B:B,'Base stats'!AQ:AQ)*_xlfn.XLOOKUP(_xlfn.XLOOKUP(B237,'Base stats'!B:B,'Base stats'!E:E),Groups!A:A,Groups!H:H)/1000,IF((_xlfn.XLOOKUP(B237,'Base stats'!B:B,'Base stats'!AQ:AQ)*_xlfn.XLOOKUP(_xlfn.XLOOKUP(B237,'Base stats'!B:B,'Base stats'!E:E),Groups!A:A,Groups!H:H)/1000)&gt;1,0.05,0.01))</f>
        <v>0.11</v>
      </c>
      <c r="AA237" s="18">
        <f>MROUND((1/2)*(_xlfn.XLOOKUP(_xlfn.XLOOKUP(B237,'Base stats'!B:B,'Base stats'!E:E),Groups!A:A,Groups!H:H)*_xlfn.XLOOKUP(_xlfn.XLOOKUP(B237,'Base stats'!B:B,'Base stats'!E:E),Groups!A:A,Groups!I:I))*_xlfn.XLOOKUP(B237,'Base stats'!B:B,'Base stats'!AQ:AQ)*0.01,0.05)</f>
        <v>0.45</v>
      </c>
      <c r="AB237" s="18">
        <f>MROUND(250*(Animals!AO237+Animals!AP237),25)</f>
        <v>1375</v>
      </c>
      <c r="AC237" s="18" t="str">
        <f>_xlfn.XLOOKUP(_xlfn.XLOOKUP(B237,'Base stats'!B:B,'Base stats'!E:E),Groups!A:A,Groups!BJ:BJ)</f>
        <v>Quadruped</v>
      </c>
    </row>
    <row r="238" spans="1:29" ht="16.5" thickTop="1" thickBot="1" x14ac:dyDescent="0.3">
      <c r="A238" s="16" t="str">
        <f>Animals!A238</f>
        <v>BoulderMit</v>
      </c>
      <c r="B238" s="6" t="str">
        <f>Animals!B238</f>
        <v>Megacancer petreus</v>
      </c>
      <c r="C238" s="1" t="str">
        <f>Animals!C238</f>
        <v>&lt;li&gt;AA_BoulderMit&lt;/li&gt;</v>
      </c>
      <c r="D238" s="47">
        <f>MIN(MIN(6,_xlfn.XLOOKUP(A238,Animals!A:A,Animals!AO:AO))*20,MAX(MROUND(_xlfn.XLOOKUP(B238,'Base stats'!B:B,'Base stats'!BS:BS) * (_xlfn.XLOOKUP(B238,'Base stats'!B:B,'Base stats'!AO:AO)*5%)^0.9 / 21,0.1),0.05))</f>
        <v>37.9</v>
      </c>
      <c r="E238" s="11">
        <f>MROUND(_xlfn.XLOOKUP(B238,'Base stats'!B:B,'Base stats'!BG:BG) * 0.01 * 2 + 0.01, 0.05)</f>
        <v>41.150000000000006</v>
      </c>
      <c r="F238" s="7">
        <f>MROUND(_xlfn.XLOOKUP(B238,'Base stats'!B:B,'Base stats'!BD:BD)^0.25 / (_xlfn.XLOOKUP(B238,'Base stats'!B:B,'Base stats'!BK:BK) * 10) * 150 + 0.5 + _xlfn.XLOOKUP(B238,'Base stats'!B:B,'Base stats'!BW:BW), 0.05)</f>
        <v>3</v>
      </c>
      <c r="G238" s="3" t="str">
        <f>IF(Animals!S238="No","No",
IF(_xlfn.XLOOKUP(B238,'Base stats'!B:B,'Base stats'!U:U)="No",
MAX(MROUND(_xlfn.XLOOKUP(B238,'Base stats'!B:B,'Base stats'!BT:BT) * _xlfn.XLOOKUP(B238,'Base stats'!B:B,'Base stats'!BP:BP)^0.9 / 21 * _xlfn.XLOOKUP(B238,'Base stats'!B:B,'Base stats'!BX:BX),0.1),0.05),
MAX(MROUND(((MIN(10,_xlfn.XLOOKUP(B238,'Base stats'!B:B,'Base stats'!U:U)))^0.4*_xlfn.XLOOKUP(B238,'Base stats'!B:B,'Base stats'!BH:BH)^0.73)^0.6 * _xlfn.XLOOKUP(B238,'Base stats'!B:B,'Base stats'!BX:BX),0.1),0.05)
))</f>
        <v>No</v>
      </c>
      <c r="H238" s="11" t="str">
        <f>IF(G238="No","No",
MROUND(_xlfn.XLOOKUP(B238,'Base stats'!B:B,'Base stats'!BH:BH) * 0.01 * 2 + 0.05, 0.05)
)</f>
        <v>No</v>
      </c>
      <c r="I238" s="11" t="str">
        <f>IF(G238="No","No",IF(_xlfn.XLOOKUP(B238,'Base stats'!B:B,'Base stats'!U:U)="No","No",
MROUND(_xlfn.XLOOKUP(B238,'Base stats'!B:B,'Base stats'!BT:BT)/10000+0.01,0.01)
))</f>
        <v>No</v>
      </c>
      <c r="J238" s="4" t="str">
        <f>IF(G238="No","No",
MROUND(_xlfn.XLOOKUP(B238,'Base stats'!B:B,'Base stats'!BE:BE)^0.25
/((_xlfn.XLOOKUP(B238,'Base stats'!B:B,'Base stats'!BL:BL))*10)*_xlfn.XLOOKUP(_xlfn.XLOOKUP(B238,'Base stats'!B:B,'Base stats'!E:E),Groups!A:A,Groups!Q:Q)*150 + 0.5 + _xlfn.XLOOKUP(B238,'Base stats'!B:B,'Base stats'!BW:BW),
0.05))</f>
        <v>No</v>
      </c>
      <c r="K238" s="3" t="str">
        <f>IF(Animals!X238="No","No",
IF(_xlfn.XLOOKUP(_xlfn.XLOOKUP(B238,'Base stats'!B:B,'Base stats'!E:E),Groups!A:A,Groups!BD:BD)=1,
MAX(MROUND(_xlfn.XLOOKUP(B238,'Base stats'!B:B,'Base stats'!BU:BU) * _xlfn.XLOOKUP(B238,'Base stats'!B:B,'Base stats'!BQ:BQ)^0.9 / 21 *_xlfn.XLOOKUP(B238,'Base stats'!B:B,'Base stats'!BX:BX),0.1),0.05),
MAX(MROUND(((MIN(10,_xlfn.XLOOKUP(B238,'Base stats'!B:B,'Base stats'!W:W)))^0.4*_xlfn.XLOOKUP(B238,'Base stats'!B:B,'Base stats'!BI:BI)^0.73)^0.6 *_xlfn.XLOOKUP(B238,'Base stats'!B:B,'Base stats'!BX:BX),0.1),0.05)
))</f>
        <v>No</v>
      </c>
      <c r="L238" s="11" t="str">
        <f>IF(K238="No","No",
MROUND(_xlfn.XLOOKUP(B238,'Base stats'!B:B,'Base stats'!BI:BI) * 0.01 *2 + 0.05, 0.05)
)</f>
        <v>No</v>
      </c>
      <c r="M238" s="5" t="str">
        <f>IF(K238="No","No",IF(_xlfn.XLOOKUP(_xlfn.XLOOKUP(B238,'Base stats'!B:B,'Base stats'!E:E),Groups!A:A,Groups!BD:BD)=1,"No",
MROUND(_xlfn.XLOOKUP(B238,'Base stats'!B:B,'Base stats'!BU:BU)/10000+0.01,0.01)
))</f>
        <v>No</v>
      </c>
      <c r="N238" s="4" t="str">
        <f>IF(K238="No","No",
MROUND(
  _xlfn.XLOOKUP(B238,'Base stats'!B:B,'Base stats'!BC:BC)^0.25
  / (_xlfn.XLOOKUP(B238,'Base stats'!B:B,'Base stats'!BM:BM) * 10)
  * _xlfn.XLOOKUP(
      _xlfn.XLOOKUP(B238,'Base stats'!B:B,'Base stats'!E:E),
      Groups!A:A,
      Groups!V:V
    ) * 150
  + MIN(12, _xlfn.XLOOKUP(B238,'Base stats'!B:B,'Base stats'!W:W))^(1/IF(_xlfn.XLOOKUP(_xlfn.XLOOKUP(B238,'Base stats'!B:B,'Base stats'!E:E),Groups!A:A,Groups!U:U)=1,100,10)) + 0.5 + _xlfn.XLOOKUP(B238,'Base stats'!B:B,'Base stats'!BW:BW),
0.05))</f>
        <v>No</v>
      </c>
      <c r="O238" s="3" t="str">
        <f>IF(Animals!AD238="No","No",
MAX(MROUND((MIN(10,_xlfn.XLOOKUP(B238,'Base stats'!B:B,'Base stats'!V:V)*IF(_xlfn.XLOOKUP(_xlfn.XLOOKUP(B238,'Base stats'!B:B,'Base stats'!E:E),Groups!A:A,Groups!O:O)=0,1,0.33))^0.4*_xlfn.XLOOKUP(B238,'Base stats'!B:B,'Base stats'!BJ:BJ)^0.73)^0.6 *_xlfn.XLOOKUP(B238,'Base stats'!B:B,'Base stats'!BX:BX),0.1),0.05)
)</f>
        <v>No</v>
      </c>
      <c r="P238" s="11" t="str">
        <f>IF(O238="No","No",
MROUND(_xlfn.XLOOKUP(B238,'Base stats'!B:B,'Base stats'!BJ:BJ) * 0.01 * 2 + 0.05, 0.05)
)</f>
        <v>No</v>
      </c>
      <c r="Q238" s="5" t="str">
        <f>IF(O238="No","No",
MROUND(_xlfn.XLOOKUP(B238,'Base stats'!B:B,'Base stats'!BV:BV)/10000+0.01,0.01)
)</f>
        <v>No</v>
      </c>
      <c r="R238" s="4" t="str">
        <f>IF(O238="No","No",
MROUND(_xlfn.XLOOKUP(B238,'Base stats'!B:B,'Base stats'!BB:BB)^0.25
/((_xlfn.XLOOKUP(B238,'Base stats'!B:B,'Base stats'!BN:BN))*10)*_xlfn.XLOOKUP(_xlfn.XLOOKUP(B238,'Base stats'!B:B,'Base stats'!E:E),Groups!A:A,Groups!Z:Z)*150 + 0.5 + _xlfn.XLOOKUP(B238,'Base stats'!B:B,'Base stats'!BW:BW),
0.05))</f>
        <v>No</v>
      </c>
      <c r="S238" s="3">
        <f>IF(Animals!AI238="No","No",
IF(_xlfn.XLOOKUP(B238,'Base stats'!B:B,'Base stats'!U:U)="No",
MAX(MROUND(_xlfn.XLOOKUP(B238,'Base stats'!B:B,'Base stats'!BT:BT) * _xlfn.XLOOKUP(B238,'Base stats'!B:B,'Base stats'!BP:BP)^0.9 / 21 * _xlfn.XLOOKUP(B238,'Base stats'!B:B,'Base stats'!BX:BX),0.1),0.05),
MAX(MROUND(((MIN(12,_xlfn.XLOOKUP(B238,'Base stats'!B:B,'Base stats'!U:U)))^0.4*_xlfn.XLOOKUP(B238,'Base stats'!B:B,'Base stats'!BH:BH)^0.73)^0.6 * _xlfn.XLOOKUP(B238,'Base stats'!B:B,'Base stats'!BX:BX),0.1),0.05)
))</f>
        <v>41.1</v>
      </c>
      <c r="T238" s="11">
        <f>IF(S238="No","No",
MROUND(_xlfn.XLOOKUP(B238,'Base stats'!B:B,'Base stats'!BH:BH) * 0.01 * 2 + 0.05, 0.05)
)</f>
        <v>36.300000000000004</v>
      </c>
      <c r="U238" s="5">
        <f>IF(S238="No","No",IF(_xlfn.XLOOKUP(B238,'Base stats'!B:B,'Base stats'!U:U)="No","No",
MROUND(_xlfn.XLOOKUP(B238,'Base stats'!B:B,'Base stats'!BT:BT)/10000+0.01,0.01)
))</f>
        <v>4</v>
      </c>
      <c r="V238" s="4">
        <f>IF(S238="No","No",
MROUND(_xlfn.XLOOKUP(B238,'Base stats'!B:B,'Base stats'!BF:BF)^0.25
/((_xlfn.XLOOKUP(B238,'Base stats'!B:B,'Base stats'!BO:BO))*10)*_xlfn.XLOOKUP(_xlfn.XLOOKUP(B238,'Base stats'!B:B,'Base stats'!E:E),Groups!A:A,Groups!AE:AE)*150 + 0.5 + _xlfn.XLOOKUP(B238,'Base stats'!B:B,'Base stats'!BW:BW),
0.05))</f>
        <v>4.9000000000000004</v>
      </c>
      <c r="W238" s="8">
        <f>MROUND(_xlfn.XLOOKUP(_xlfn.XLOOKUP(B238,'Base stats'!B:B,'Base stats'!E:E),Groups!A:A,Groups!BG:BG)*_xlfn.XLOOKUP(B238,'Base stats'!B:B,'Base stats'!C:C)^-0.165,0.05)</f>
        <v>0.05</v>
      </c>
      <c r="X238" s="1">
        <f>MROUND(_xlfn.XLOOKUP(_xlfn.XLOOKUP(B238,'Base stats'!B:B,'Base stats'!E:E),Groups!A:A,Groups!BH:BH)*_xlfn.XLOOKUP(B238,'Base stats'!B:B,'Base stats'!C:C)^0.165,0.05)</f>
        <v>0</v>
      </c>
      <c r="Y238" s="8">
        <f>MROUND(_xlfn.XLOOKUP(_xlfn.XLOOKUP(B238,'Base stats'!B:B,'Base stats'!E:E),Groups!A:A,Groups!BI:BI)*_xlfn.XLOOKUP(B238,'Base stats'!B:B,'Base stats'!C:C)^0.165,0.05)</f>
        <v>0</v>
      </c>
      <c r="Z238" s="18">
        <f>MROUND(_xlfn.XLOOKUP(B238,'Base stats'!B:B,'Base stats'!AQ:AQ)*_xlfn.XLOOKUP(_xlfn.XLOOKUP(B238,'Base stats'!B:B,'Base stats'!E:E),Groups!A:A,Groups!H:H)/1000,IF((_xlfn.XLOOKUP(B238,'Base stats'!B:B,'Base stats'!AQ:AQ)*_xlfn.XLOOKUP(_xlfn.XLOOKUP(B238,'Base stats'!B:B,'Base stats'!E:E),Groups!A:A,Groups!H:H)/1000)&gt;1,0.05,0.01))</f>
        <v>5.4</v>
      </c>
      <c r="AA238" s="18">
        <f>MROUND((1/2)*(_xlfn.XLOOKUP(_xlfn.XLOOKUP(B238,'Base stats'!B:B,'Base stats'!E:E),Groups!A:A,Groups!H:H)*_xlfn.XLOOKUP(_xlfn.XLOOKUP(B238,'Base stats'!B:B,'Base stats'!E:E),Groups!A:A,Groups!I:I))*_xlfn.XLOOKUP(B238,'Base stats'!B:B,'Base stats'!AQ:AQ)*0.01,0.05)</f>
        <v>0.15000000000000002</v>
      </c>
      <c r="AB238" s="18">
        <f>MROUND(250*(Animals!AO238+Animals!AP238),25)</f>
        <v>2500</v>
      </c>
      <c r="AC238" s="18" t="str">
        <f>_xlfn.XLOOKUP(_xlfn.XLOOKUP(B238,'Base stats'!B:B,'Base stats'!E:E),Groups!A:A,Groups!BJ:BJ)</f>
        <v>Quadruped</v>
      </c>
    </row>
    <row r="239" spans="1:29" ht="16.5" thickTop="1" thickBot="1" x14ac:dyDescent="0.3">
      <c r="A239" s="16" t="str">
        <f>Animals!A239</f>
        <v>Bumbledrone</v>
      </c>
      <c r="B239" s="6" t="str">
        <f>Animals!B239</f>
        <v>Bombus militaris</v>
      </c>
      <c r="C239" s="1" t="str">
        <f>Animals!C239</f>
        <v>&lt;li&gt;AA_Bumbledrone&lt;/li&gt;</v>
      </c>
      <c r="D239" s="47">
        <f>MIN(MIN(6,_xlfn.XLOOKUP(A239,Animals!A:A,Animals!AO:AO))*20,MAX(MROUND(_xlfn.XLOOKUP(B239,'Base stats'!B:B,'Base stats'!BS:BS) * (_xlfn.XLOOKUP(B239,'Base stats'!B:B,'Base stats'!AO:AO)*5%)^0.9 / 21,0.1),0.05))</f>
        <v>0.30000000000000004</v>
      </c>
      <c r="E239" s="11">
        <f>MROUND(_xlfn.XLOOKUP(B239,'Base stats'!B:B,'Base stats'!BG:BG) * 0.01 * 2 + 0.01, 0.05)</f>
        <v>0.25</v>
      </c>
      <c r="F239" s="7">
        <f>MROUND(_xlfn.XLOOKUP(B239,'Base stats'!B:B,'Base stats'!BD:BD)^0.25 / (_xlfn.XLOOKUP(B239,'Base stats'!B:B,'Base stats'!BK:BK) * 10) * 150 + 0.5 + _xlfn.XLOOKUP(B239,'Base stats'!B:B,'Base stats'!BW:BW), 0.05)</f>
        <v>2.15</v>
      </c>
      <c r="G239" s="3" t="str">
        <f>IF(Animals!S239="No","No",
IF(_xlfn.XLOOKUP(B239,'Base stats'!B:B,'Base stats'!U:U)="No",
MAX(MROUND(_xlfn.XLOOKUP(B239,'Base stats'!B:B,'Base stats'!BT:BT) * _xlfn.XLOOKUP(B239,'Base stats'!B:B,'Base stats'!BP:BP)^0.9 / 21 * _xlfn.XLOOKUP(B239,'Base stats'!B:B,'Base stats'!BX:BX),0.1),0.05),
MAX(MROUND(((MIN(10,_xlfn.XLOOKUP(B239,'Base stats'!B:B,'Base stats'!U:U)))^0.4*_xlfn.XLOOKUP(B239,'Base stats'!B:B,'Base stats'!BH:BH)^0.73)^0.6 * _xlfn.XLOOKUP(B239,'Base stats'!B:B,'Base stats'!BX:BX),0.1),0.05)
))</f>
        <v>No</v>
      </c>
      <c r="H239" s="11" t="str">
        <f>IF(G239="No","No",
MROUND(_xlfn.XLOOKUP(B239,'Base stats'!B:B,'Base stats'!BH:BH) * 0.01 * 2 + 0.05, 0.05)
)</f>
        <v>No</v>
      </c>
      <c r="I239" s="11" t="str">
        <f>IF(G239="No","No",IF(_xlfn.XLOOKUP(B239,'Base stats'!B:B,'Base stats'!U:U)="No","No",
MROUND(_xlfn.XLOOKUP(B239,'Base stats'!B:B,'Base stats'!BT:BT)/10000+0.01,0.01)
))</f>
        <v>No</v>
      </c>
      <c r="J239" s="4" t="str">
        <f>IF(G239="No","No",
MROUND(_xlfn.XLOOKUP(B239,'Base stats'!B:B,'Base stats'!BE:BE)^0.25
/((_xlfn.XLOOKUP(B239,'Base stats'!B:B,'Base stats'!BL:BL))*10)*_xlfn.XLOOKUP(_xlfn.XLOOKUP(B239,'Base stats'!B:B,'Base stats'!E:E),Groups!A:A,Groups!Q:Q)*150 + 0.5 + _xlfn.XLOOKUP(B239,'Base stats'!B:B,'Base stats'!BW:BW),
0.05))</f>
        <v>No</v>
      </c>
      <c r="K239" s="3">
        <f>IF(Animals!X239="No","No",
IF(_xlfn.XLOOKUP(_xlfn.XLOOKUP(B239,'Base stats'!B:B,'Base stats'!E:E),Groups!A:A,Groups!BD:BD)=1,
MAX(MROUND(_xlfn.XLOOKUP(B239,'Base stats'!B:B,'Base stats'!BU:BU) * _xlfn.XLOOKUP(B239,'Base stats'!B:B,'Base stats'!BQ:BQ)^0.9 / 21 *_xlfn.XLOOKUP(B239,'Base stats'!B:B,'Base stats'!BX:BX),0.1),0.05),
MAX(MROUND(((MIN(10,_xlfn.XLOOKUP(B239,'Base stats'!B:B,'Base stats'!W:W)))^0.4*_xlfn.XLOOKUP(B239,'Base stats'!B:B,'Base stats'!BI:BI)^0.73)^0.6 *_xlfn.XLOOKUP(B239,'Base stats'!B:B,'Base stats'!BX:BX),0.1),0.05)
))</f>
        <v>10.700000000000001</v>
      </c>
      <c r="L239" s="11">
        <f>IF(K239="No","No",
MROUND(_xlfn.XLOOKUP(B239,'Base stats'!B:B,'Base stats'!BI:BI) * 0.01 *2 + 0.05, 0.05)
)</f>
        <v>2.15</v>
      </c>
      <c r="M239" s="5">
        <f>IF(K239="No","No",IF(_xlfn.XLOOKUP(_xlfn.XLOOKUP(B239,'Base stats'!B:B,'Base stats'!E:E),Groups!A:A,Groups!BD:BD)=1,"No",
MROUND(_xlfn.XLOOKUP(B239,'Base stats'!B:B,'Base stats'!BU:BU)/10000+0.01,0.01)
))</f>
        <v>1.76</v>
      </c>
      <c r="N239" s="4">
        <f>IF(K239="No","No",
MROUND(
  _xlfn.XLOOKUP(B239,'Base stats'!B:B,'Base stats'!BC:BC)^0.25
  / (_xlfn.XLOOKUP(B239,'Base stats'!B:B,'Base stats'!BM:BM) * 10)
  * _xlfn.XLOOKUP(
      _xlfn.XLOOKUP(B239,'Base stats'!B:B,'Base stats'!E:E),
      Groups!A:A,
      Groups!V:V
    ) * 150
  + MIN(12, _xlfn.XLOOKUP(B239,'Base stats'!B:B,'Base stats'!W:W))^(1/IF(_xlfn.XLOOKUP(_xlfn.XLOOKUP(B239,'Base stats'!B:B,'Base stats'!E:E),Groups!A:A,Groups!U:U)=1,100,10)) + 0.5 + _xlfn.XLOOKUP(B239,'Base stats'!B:B,'Base stats'!BW:BW),
0.05))</f>
        <v>3.6</v>
      </c>
      <c r="O239" s="3">
        <f>IF(Animals!AD239="No","No",
MAX(MROUND((MIN(10,_xlfn.XLOOKUP(B239,'Base stats'!B:B,'Base stats'!V:V)*IF(_xlfn.XLOOKUP(_xlfn.XLOOKUP(B239,'Base stats'!B:B,'Base stats'!E:E),Groups!A:A,Groups!O:O)=0,1,0.33))^0.4*_xlfn.XLOOKUP(B239,'Base stats'!B:B,'Base stats'!BJ:BJ)^0.73)^0.6 *_xlfn.XLOOKUP(B239,'Base stats'!B:B,'Base stats'!BX:BX),0.1),0.05)
)</f>
        <v>9.2000000000000011</v>
      </c>
      <c r="P239" s="11">
        <f>IF(O239="No","No",
MROUND(_xlfn.XLOOKUP(B239,'Base stats'!B:B,'Base stats'!BJ:BJ) * 0.01 * 2 + 0.05, 0.05)
)</f>
        <v>2.25</v>
      </c>
      <c r="Q239" s="5">
        <f>IF(O239="No","No",
MROUND(_xlfn.XLOOKUP(B239,'Base stats'!B:B,'Base stats'!BV:BV)/10000+0.01,0.01)
)</f>
        <v>0.26</v>
      </c>
      <c r="R239" s="4">
        <f>IF(O239="No","No",
MROUND(_xlfn.XLOOKUP(B239,'Base stats'!B:B,'Base stats'!BB:BB)^0.25
/((_xlfn.XLOOKUP(B239,'Base stats'!B:B,'Base stats'!BN:BN))*10)*_xlfn.XLOOKUP(_xlfn.XLOOKUP(B239,'Base stats'!B:B,'Base stats'!E:E),Groups!A:A,Groups!Z:Z)*150 + 0.5 + _xlfn.XLOOKUP(B239,'Base stats'!B:B,'Base stats'!BW:BW),
0.05))</f>
        <v>1.7000000000000002</v>
      </c>
      <c r="S239" s="3">
        <f>IF(Animals!AI239="No","No",
IF(_xlfn.XLOOKUP(B239,'Base stats'!B:B,'Base stats'!U:U)="No",
MAX(MROUND(_xlfn.XLOOKUP(B239,'Base stats'!B:B,'Base stats'!BT:BT) * _xlfn.XLOOKUP(B239,'Base stats'!B:B,'Base stats'!BP:BP)^0.9 / 21 * _xlfn.XLOOKUP(B239,'Base stats'!B:B,'Base stats'!BX:BX),0.1),0.05),
MAX(MROUND(((MIN(12,_xlfn.XLOOKUP(B239,'Base stats'!B:B,'Base stats'!U:U)))^0.4*_xlfn.XLOOKUP(B239,'Base stats'!B:B,'Base stats'!BH:BH)^0.73)^0.6 * _xlfn.XLOOKUP(B239,'Base stats'!B:B,'Base stats'!BX:BX),0.1),0.05)
))</f>
        <v>9.9</v>
      </c>
      <c r="T239" s="11">
        <f>IF(S239="No","No",
MROUND(_xlfn.XLOOKUP(B239,'Base stats'!B:B,'Base stats'!BH:BH) * 0.01 * 2 + 0.05, 0.05)
)</f>
        <v>1.8</v>
      </c>
      <c r="U239" s="5">
        <f>IF(S239="No","No",IF(_xlfn.XLOOKUP(B239,'Base stats'!B:B,'Base stats'!U:U)="No","No",
MROUND(_xlfn.XLOOKUP(B239,'Base stats'!B:B,'Base stats'!BT:BT)/10000+0.01,0.01)
))</f>
        <v>1.99</v>
      </c>
      <c r="V239" s="4">
        <f>IF(S239="No","No",
MROUND(_xlfn.XLOOKUP(B239,'Base stats'!B:B,'Base stats'!BF:BF)^0.25
/((_xlfn.XLOOKUP(B239,'Base stats'!B:B,'Base stats'!BO:BO))*10)*_xlfn.XLOOKUP(_xlfn.XLOOKUP(B239,'Base stats'!B:B,'Base stats'!E:E),Groups!A:A,Groups!AE:AE)*150 + 0.5 + _xlfn.XLOOKUP(B239,'Base stats'!B:B,'Base stats'!BW:BW),
0.05))</f>
        <v>2.35</v>
      </c>
      <c r="W239" s="8">
        <f>MROUND(_xlfn.XLOOKUP(_xlfn.XLOOKUP(B239,'Base stats'!B:B,'Base stats'!E:E),Groups!A:A,Groups!BG:BG)*_xlfn.XLOOKUP(B239,'Base stats'!B:B,'Base stats'!C:C)^-0.165,0.05)</f>
        <v>0.30000000000000004</v>
      </c>
      <c r="X239" s="1">
        <f>MROUND(_xlfn.XLOOKUP(_xlfn.XLOOKUP(B239,'Base stats'!B:B,'Base stats'!E:E),Groups!A:A,Groups!BH:BH)*_xlfn.XLOOKUP(B239,'Base stats'!B:B,'Base stats'!C:C)^0.165,0.05)</f>
        <v>0.25</v>
      </c>
      <c r="Y239" s="8">
        <f>MROUND(_xlfn.XLOOKUP(_xlfn.XLOOKUP(B239,'Base stats'!B:B,'Base stats'!E:E),Groups!A:A,Groups!BI:BI)*_xlfn.XLOOKUP(B239,'Base stats'!B:B,'Base stats'!C:C)^0.165,0.05)</f>
        <v>0.05</v>
      </c>
      <c r="Z239" s="18">
        <f>MROUND(_xlfn.XLOOKUP(B239,'Base stats'!B:B,'Base stats'!AQ:AQ)*_xlfn.XLOOKUP(_xlfn.XLOOKUP(B239,'Base stats'!B:B,'Base stats'!E:E),Groups!A:A,Groups!H:H)/1000,IF((_xlfn.XLOOKUP(B239,'Base stats'!B:B,'Base stats'!AQ:AQ)*_xlfn.XLOOKUP(_xlfn.XLOOKUP(B239,'Base stats'!B:B,'Base stats'!E:E),Groups!A:A,Groups!H:H)/1000)&gt;1,0.05,0.01))</f>
        <v>1.5</v>
      </c>
      <c r="AA239" s="18">
        <f>MROUND((1/2)*(_xlfn.XLOOKUP(_xlfn.XLOOKUP(B239,'Base stats'!B:B,'Base stats'!E:E),Groups!A:A,Groups!H:H)*_xlfn.XLOOKUP(_xlfn.XLOOKUP(B239,'Base stats'!B:B,'Base stats'!E:E),Groups!A:A,Groups!I:I))*_xlfn.XLOOKUP(B239,'Base stats'!B:B,'Base stats'!AQ:AQ)*0.01,0.05)</f>
        <v>0.95000000000000007</v>
      </c>
      <c r="AB239" s="18">
        <f>MROUND(250*(Animals!AO239+Animals!AP239),25)</f>
        <v>250</v>
      </c>
      <c r="AC239" s="18" t="str">
        <f>_xlfn.XLOOKUP(_xlfn.XLOOKUP(B239,'Base stats'!B:B,'Base stats'!E:E),Groups!A:A,Groups!BJ:BJ)</f>
        <v>Birdlike</v>
      </c>
    </row>
    <row r="240" spans="1:29" ht="16.5" thickTop="1" thickBot="1" x14ac:dyDescent="0.3">
      <c r="A240" s="16" t="str">
        <f>Animals!A240</f>
        <v>BumbledroneHierophant</v>
      </c>
      <c r="B240" s="6" t="str">
        <f>Animals!B240</f>
        <v>Bombus militaris (hierophant)</v>
      </c>
      <c r="C240" s="1" t="str">
        <f>Animals!C240</f>
        <v>&lt;li&gt;AA_BumbledroneHierophant&lt;/li&gt;</v>
      </c>
      <c r="D240" s="47">
        <f>MIN(MIN(6,_xlfn.XLOOKUP(A240,Animals!A:A,Animals!AO:AO))*20,MAX(MROUND(_xlfn.XLOOKUP(B240,'Base stats'!B:B,'Base stats'!BS:BS) * (_xlfn.XLOOKUP(B240,'Base stats'!B:B,'Base stats'!AO:AO)*5%)^0.9 / 21,0.1),0.05))</f>
        <v>0.4</v>
      </c>
      <c r="E240" s="11">
        <f>MROUND(_xlfn.XLOOKUP(B240,'Base stats'!B:B,'Base stats'!BG:BG) * 0.01 * 2 + 0.01, 0.05)</f>
        <v>0.30000000000000004</v>
      </c>
      <c r="F240" s="7">
        <f>MROUND(_xlfn.XLOOKUP(B240,'Base stats'!B:B,'Base stats'!BD:BD)^0.25 / (_xlfn.XLOOKUP(B240,'Base stats'!B:B,'Base stats'!BK:BK) * 10) * 150 + 0.5 + _xlfn.XLOOKUP(B240,'Base stats'!B:B,'Base stats'!BW:BW), 0.05)</f>
        <v>2.3000000000000003</v>
      </c>
      <c r="G240" s="3" t="str">
        <f>IF(Animals!S240="No","No",
IF(_xlfn.XLOOKUP(B240,'Base stats'!B:B,'Base stats'!U:U)="No",
MAX(MROUND(_xlfn.XLOOKUP(B240,'Base stats'!B:B,'Base stats'!BT:BT) * _xlfn.XLOOKUP(B240,'Base stats'!B:B,'Base stats'!BP:BP)^0.9 / 21 * _xlfn.XLOOKUP(B240,'Base stats'!B:B,'Base stats'!BX:BX),0.1),0.05),
MAX(MROUND(((MIN(10,_xlfn.XLOOKUP(B240,'Base stats'!B:B,'Base stats'!U:U)))^0.4*_xlfn.XLOOKUP(B240,'Base stats'!B:B,'Base stats'!BH:BH)^0.73)^0.6 * _xlfn.XLOOKUP(B240,'Base stats'!B:B,'Base stats'!BX:BX),0.1),0.05)
))</f>
        <v>No</v>
      </c>
      <c r="H240" s="11" t="str">
        <f>IF(G240="No","No",
MROUND(_xlfn.XLOOKUP(B240,'Base stats'!B:B,'Base stats'!BH:BH) * 0.01 * 2 + 0.05, 0.05)
)</f>
        <v>No</v>
      </c>
      <c r="I240" s="11" t="str">
        <f>IF(G240="No","No",IF(_xlfn.XLOOKUP(B240,'Base stats'!B:B,'Base stats'!U:U)="No","No",
MROUND(_xlfn.XLOOKUP(B240,'Base stats'!B:B,'Base stats'!BT:BT)/10000+0.01,0.01)
))</f>
        <v>No</v>
      </c>
      <c r="J240" s="4" t="str">
        <f>IF(G240="No","No",
MROUND(_xlfn.XLOOKUP(B240,'Base stats'!B:B,'Base stats'!BE:BE)^0.25
/((_xlfn.XLOOKUP(B240,'Base stats'!B:B,'Base stats'!BL:BL))*10)*_xlfn.XLOOKUP(_xlfn.XLOOKUP(B240,'Base stats'!B:B,'Base stats'!E:E),Groups!A:A,Groups!Q:Q)*150 + 0.5 + _xlfn.XLOOKUP(B240,'Base stats'!B:B,'Base stats'!BW:BW),
0.05))</f>
        <v>No</v>
      </c>
      <c r="K240" s="3">
        <f>IF(Animals!X240="No","No",
IF(_xlfn.XLOOKUP(_xlfn.XLOOKUP(B240,'Base stats'!B:B,'Base stats'!E:E),Groups!A:A,Groups!BD:BD)=1,
MAX(MROUND(_xlfn.XLOOKUP(B240,'Base stats'!B:B,'Base stats'!BU:BU) * _xlfn.XLOOKUP(B240,'Base stats'!B:B,'Base stats'!BQ:BQ)^0.9 / 21 *_xlfn.XLOOKUP(B240,'Base stats'!B:B,'Base stats'!BX:BX),0.1),0.05),
MAX(MROUND(((MIN(10,_xlfn.XLOOKUP(B240,'Base stats'!B:B,'Base stats'!W:W)))^0.4*_xlfn.XLOOKUP(B240,'Base stats'!B:B,'Base stats'!BI:BI)^0.73)^0.6 *_xlfn.XLOOKUP(B240,'Base stats'!B:B,'Base stats'!BX:BX),0.1),0.05)
))</f>
        <v>13.100000000000001</v>
      </c>
      <c r="L240" s="11">
        <f>IF(K240="No","No",
MROUND(_xlfn.XLOOKUP(B240,'Base stats'!B:B,'Base stats'!BI:BI) * 0.01 *2 + 0.05, 0.05)
)</f>
        <v>2.7</v>
      </c>
      <c r="M240" s="5">
        <f>IF(K240="No","No",IF(_xlfn.XLOOKUP(_xlfn.XLOOKUP(B240,'Base stats'!B:B,'Base stats'!E:E),Groups!A:A,Groups!BD:BD)=1,"No",
MROUND(_xlfn.XLOOKUP(B240,'Base stats'!B:B,'Base stats'!BU:BU)/10000+0.01,0.01)
))</f>
        <v>2.11</v>
      </c>
      <c r="N240" s="4">
        <f>IF(K240="No","No",
MROUND(
  _xlfn.XLOOKUP(B240,'Base stats'!B:B,'Base stats'!BC:BC)^0.25
  / (_xlfn.XLOOKUP(B240,'Base stats'!B:B,'Base stats'!BM:BM) * 10)
  * _xlfn.XLOOKUP(
      _xlfn.XLOOKUP(B240,'Base stats'!B:B,'Base stats'!E:E),
      Groups!A:A,
      Groups!V:V
    ) * 150
  + MIN(12, _xlfn.XLOOKUP(B240,'Base stats'!B:B,'Base stats'!W:W))^(1/IF(_xlfn.XLOOKUP(_xlfn.XLOOKUP(B240,'Base stats'!B:B,'Base stats'!E:E),Groups!A:A,Groups!U:U)=1,100,10)) + 0.5 + _xlfn.XLOOKUP(B240,'Base stats'!B:B,'Base stats'!BW:BW),
0.05))</f>
        <v>3.75</v>
      </c>
      <c r="O240" s="3">
        <f>IF(Animals!AD240="No","No",
MAX(MROUND((MIN(10,_xlfn.XLOOKUP(B240,'Base stats'!B:B,'Base stats'!V:V)*IF(_xlfn.XLOOKUP(_xlfn.XLOOKUP(B240,'Base stats'!B:B,'Base stats'!E:E),Groups!A:A,Groups!O:O)=0,1,0.33))^0.4*_xlfn.XLOOKUP(B240,'Base stats'!B:B,'Base stats'!BJ:BJ)^0.73)^0.6 *_xlfn.XLOOKUP(B240,'Base stats'!B:B,'Base stats'!BX:BX),0.1),0.05)
)</f>
        <v>12.100000000000001</v>
      </c>
      <c r="P240" s="11">
        <f>IF(O240="No","No",
MROUND(_xlfn.XLOOKUP(B240,'Base stats'!B:B,'Base stats'!BJ:BJ) * 0.01 * 2 + 0.05, 0.05)
)</f>
        <v>2.8000000000000003</v>
      </c>
      <c r="Q240" s="5">
        <f>IF(O240="No","No",
MROUND(_xlfn.XLOOKUP(B240,'Base stats'!B:B,'Base stats'!BV:BV)/10000+0.01,0.01)
)</f>
        <v>0.28999999999999998</v>
      </c>
      <c r="R240" s="4">
        <f>IF(O240="No","No",
MROUND(_xlfn.XLOOKUP(B240,'Base stats'!B:B,'Base stats'!BB:BB)^0.25
/((_xlfn.XLOOKUP(B240,'Base stats'!B:B,'Base stats'!BN:BN))*10)*_xlfn.XLOOKUP(_xlfn.XLOOKUP(B240,'Base stats'!B:B,'Base stats'!E:E),Groups!A:A,Groups!Z:Z)*150 + 0.5 + _xlfn.XLOOKUP(B240,'Base stats'!B:B,'Base stats'!BW:BW),
0.05))</f>
        <v>1.75</v>
      </c>
      <c r="S240" s="3">
        <f>IF(Animals!AI240="No","No",
IF(_xlfn.XLOOKUP(B240,'Base stats'!B:B,'Base stats'!U:U)="No",
MAX(MROUND(_xlfn.XLOOKUP(B240,'Base stats'!B:B,'Base stats'!BT:BT) * _xlfn.XLOOKUP(B240,'Base stats'!B:B,'Base stats'!BP:BP)^0.9 / 21 * _xlfn.XLOOKUP(B240,'Base stats'!B:B,'Base stats'!BX:BX),0.1),0.05),
MAX(MROUND(((MIN(12,_xlfn.XLOOKUP(B240,'Base stats'!B:B,'Base stats'!U:U)))^0.4*_xlfn.XLOOKUP(B240,'Base stats'!B:B,'Base stats'!BH:BH)^0.73)^0.6 * _xlfn.XLOOKUP(B240,'Base stats'!B:B,'Base stats'!BX:BX),0.1),0.05)
))</f>
        <v>12.100000000000001</v>
      </c>
      <c r="T240" s="11">
        <f>IF(S240="No","No",
MROUND(_xlfn.XLOOKUP(B240,'Base stats'!B:B,'Base stats'!BH:BH) * 0.01 * 2 + 0.05, 0.05)
)</f>
        <v>2.25</v>
      </c>
      <c r="U240" s="5">
        <f>IF(S240="No","No",IF(_xlfn.XLOOKUP(B240,'Base stats'!B:B,'Base stats'!U:U)="No","No",
MROUND(_xlfn.XLOOKUP(B240,'Base stats'!B:B,'Base stats'!BT:BT)/10000+0.01,0.01)
))</f>
        <v>2.23</v>
      </c>
      <c r="V240" s="4">
        <f>IF(S240="No","No",
MROUND(_xlfn.XLOOKUP(B240,'Base stats'!B:B,'Base stats'!BF:BF)^0.25
/((_xlfn.XLOOKUP(B240,'Base stats'!B:B,'Base stats'!BO:BO))*10)*_xlfn.XLOOKUP(_xlfn.XLOOKUP(B240,'Base stats'!B:B,'Base stats'!E:E),Groups!A:A,Groups!AE:AE)*150 + 0.5 + _xlfn.XLOOKUP(B240,'Base stats'!B:B,'Base stats'!BW:BW),
0.05))</f>
        <v>2.4500000000000002</v>
      </c>
      <c r="W240" s="8">
        <f>MROUND(_xlfn.XLOOKUP(_xlfn.XLOOKUP(B240,'Base stats'!B:B,'Base stats'!E:E),Groups!A:A,Groups!BG:BG)*_xlfn.XLOOKUP(B240,'Base stats'!B:B,'Base stats'!C:C)^-0.165,0.05)</f>
        <v>0.30000000000000004</v>
      </c>
      <c r="X240" s="1">
        <f>MROUND(_xlfn.XLOOKUP(_xlfn.XLOOKUP(B240,'Base stats'!B:B,'Base stats'!E:E),Groups!A:A,Groups!BH:BH)*_xlfn.XLOOKUP(B240,'Base stats'!B:B,'Base stats'!C:C)^0.165,0.05)</f>
        <v>0.25</v>
      </c>
      <c r="Y240" s="8">
        <f>MROUND(_xlfn.XLOOKUP(_xlfn.XLOOKUP(B240,'Base stats'!B:B,'Base stats'!E:E),Groups!A:A,Groups!BI:BI)*_xlfn.XLOOKUP(B240,'Base stats'!B:B,'Base stats'!C:C)^0.165,0.05)</f>
        <v>0.05</v>
      </c>
      <c r="Z240" s="18">
        <f>MROUND(_xlfn.XLOOKUP(B240,'Base stats'!B:B,'Base stats'!AQ:AQ)*_xlfn.XLOOKUP(_xlfn.XLOOKUP(B240,'Base stats'!B:B,'Base stats'!E:E),Groups!A:A,Groups!H:H)/1000,IF((_xlfn.XLOOKUP(B240,'Base stats'!B:B,'Base stats'!AQ:AQ)*_xlfn.XLOOKUP(_xlfn.XLOOKUP(B240,'Base stats'!B:B,'Base stats'!E:E),Groups!A:A,Groups!H:H)/1000)&gt;1,0.05,0.01))</f>
        <v>1.7000000000000002</v>
      </c>
      <c r="AA240" s="18">
        <f>MROUND((1/2)*(_xlfn.XLOOKUP(_xlfn.XLOOKUP(B240,'Base stats'!B:B,'Base stats'!E:E),Groups!A:A,Groups!H:H)*_xlfn.XLOOKUP(_xlfn.XLOOKUP(B240,'Base stats'!B:B,'Base stats'!E:E),Groups!A:A,Groups!I:I))*_xlfn.XLOOKUP(B240,'Base stats'!B:B,'Base stats'!AQ:AQ)*0.01,0.05)</f>
        <v>1.05</v>
      </c>
      <c r="AB240" s="18">
        <f>MROUND(250*(Animals!AO240+Animals!AP240),25)</f>
        <v>275</v>
      </c>
      <c r="AC240" s="18" t="str">
        <f>_xlfn.XLOOKUP(_xlfn.XLOOKUP(B240,'Base stats'!B:B,'Base stats'!E:E),Groups!A:A,Groups!BJ:BJ)</f>
        <v>Birdlike</v>
      </c>
    </row>
    <row r="241" spans="1:29" ht="16.5" thickTop="1" thickBot="1" x14ac:dyDescent="0.3">
      <c r="A241" s="16" t="str">
        <f>Animals!A241</f>
        <v>BumbledroneQueen</v>
      </c>
      <c r="B241" s="6" t="str">
        <f>Animals!B241</f>
        <v>Bombus militaris (queen)</v>
      </c>
      <c r="C241" s="1" t="str">
        <f>Animals!C241</f>
        <v>&lt;li&gt;AA_BumbledroneQueen&lt;/li&gt;</v>
      </c>
      <c r="D241" s="47">
        <f>MIN(MIN(6,_xlfn.XLOOKUP(A241,Animals!A:A,Animals!AO:AO))*20,MAX(MROUND(_xlfn.XLOOKUP(B241,'Base stats'!B:B,'Base stats'!BS:BS) * (_xlfn.XLOOKUP(B241,'Base stats'!B:B,'Base stats'!AO:AO)*5%)^0.9 / 21,0.1),0.05))</f>
        <v>0.60000000000000009</v>
      </c>
      <c r="E241" s="11">
        <f>MROUND(_xlfn.XLOOKUP(B241,'Base stats'!B:B,'Base stats'!BG:BG) * 0.01 * 2 + 0.01, 0.05)</f>
        <v>0.5</v>
      </c>
      <c r="F241" s="7">
        <f>MROUND(_xlfn.XLOOKUP(B241,'Base stats'!B:B,'Base stats'!BD:BD)^0.25 / (_xlfn.XLOOKUP(B241,'Base stats'!B:B,'Base stats'!BK:BK) * 10) * 150 + 0.5 + _xlfn.XLOOKUP(B241,'Base stats'!B:B,'Base stats'!BW:BW), 0.05)</f>
        <v>2.25</v>
      </c>
      <c r="G241" s="3" t="str">
        <f>IF(Animals!S241="No","No",
IF(_xlfn.XLOOKUP(B241,'Base stats'!B:B,'Base stats'!U:U)="No",
MAX(MROUND(_xlfn.XLOOKUP(B241,'Base stats'!B:B,'Base stats'!BT:BT) * _xlfn.XLOOKUP(B241,'Base stats'!B:B,'Base stats'!BP:BP)^0.9 / 21 * _xlfn.XLOOKUP(B241,'Base stats'!B:B,'Base stats'!BX:BX),0.1),0.05),
MAX(MROUND(((MIN(10,_xlfn.XLOOKUP(B241,'Base stats'!B:B,'Base stats'!U:U)))^0.4*_xlfn.XLOOKUP(B241,'Base stats'!B:B,'Base stats'!BH:BH)^0.73)^0.6 * _xlfn.XLOOKUP(B241,'Base stats'!B:B,'Base stats'!BX:BX),0.1),0.05)
))</f>
        <v>No</v>
      </c>
      <c r="H241" s="11" t="str">
        <f>IF(G241="No","No",
MROUND(_xlfn.XLOOKUP(B241,'Base stats'!B:B,'Base stats'!BH:BH) * 0.01 * 2 + 0.05, 0.05)
)</f>
        <v>No</v>
      </c>
      <c r="I241" s="11" t="str">
        <f>IF(G241="No","No",IF(_xlfn.XLOOKUP(B241,'Base stats'!B:B,'Base stats'!U:U)="No","No",
MROUND(_xlfn.XLOOKUP(B241,'Base stats'!B:B,'Base stats'!BT:BT)/10000+0.01,0.01)
))</f>
        <v>No</v>
      </c>
      <c r="J241" s="4" t="str">
        <f>IF(G241="No","No",
MROUND(_xlfn.XLOOKUP(B241,'Base stats'!B:B,'Base stats'!BE:BE)^0.25
/((_xlfn.XLOOKUP(B241,'Base stats'!B:B,'Base stats'!BL:BL))*10)*_xlfn.XLOOKUP(_xlfn.XLOOKUP(B241,'Base stats'!B:B,'Base stats'!E:E),Groups!A:A,Groups!Q:Q)*150 + 0.5 + _xlfn.XLOOKUP(B241,'Base stats'!B:B,'Base stats'!BW:BW),
0.05))</f>
        <v>No</v>
      </c>
      <c r="K241" s="3">
        <f>IF(Animals!X241="No","No",
IF(_xlfn.XLOOKUP(_xlfn.XLOOKUP(B241,'Base stats'!B:B,'Base stats'!E:E),Groups!A:A,Groups!BD:BD)=1,
MAX(MROUND(_xlfn.XLOOKUP(B241,'Base stats'!B:B,'Base stats'!BU:BU) * _xlfn.XLOOKUP(B241,'Base stats'!B:B,'Base stats'!BQ:BQ)^0.9 / 21 *_xlfn.XLOOKUP(B241,'Base stats'!B:B,'Base stats'!BX:BX),0.1),0.05),
MAX(MROUND(((MIN(10,_xlfn.XLOOKUP(B241,'Base stats'!B:B,'Base stats'!W:W)))^0.4*_xlfn.XLOOKUP(B241,'Base stats'!B:B,'Base stats'!BI:BI)^0.73)^0.6 *_xlfn.XLOOKUP(B241,'Base stats'!B:B,'Base stats'!BX:BX),0.1),0.05)
))</f>
        <v>16.5</v>
      </c>
      <c r="L241" s="11">
        <f>IF(K241="No","No",
MROUND(_xlfn.XLOOKUP(B241,'Base stats'!B:B,'Base stats'!BI:BI) * 0.01 *2 + 0.05, 0.05)
)</f>
        <v>4.2</v>
      </c>
      <c r="M241" s="5">
        <f>IF(K241="No","No",IF(_xlfn.XLOOKUP(_xlfn.XLOOKUP(B241,'Base stats'!B:B,'Base stats'!E:E),Groups!A:A,Groups!BD:BD)=1,"No",
MROUND(_xlfn.XLOOKUP(B241,'Base stats'!B:B,'Base stats'!BU:BU)/10000+0.01,0.01)
))</f>
        <v>3.0300000000000002</v>
      </c>
      <c r="N241" s="4">
        <f>IF(K241="No","No",
MROUND(
  _xlfn.XLOOKUP(B241,'Base stats'!B:B,'Base stats'!BC:BC)^0.25
  / (_xlfn.XLOOKUP(B241,'Base stats'!B:B,'Base stats'!BM:BM) * 10)
  * _xlfn.XLOOKUP(
      _xlfn.XLOOKUP(B241,'Base stats'!B:B,'Base stats'!E:E),
      Groups!A:A,
      Groups!V:V
    ) * 150
  + MIN(12, _xlfn.XLOOKUP(B241,'Base stats'!B:B,'Base stats'!W:W))^(1/IF(_xlfn.XLOOKUP(_xlfn.XLOOKUP(B241,'Base stats'!B:B,'Base stats'!E:E),Groups!A:A,Groups!U:U)=1,100,10)) + 0.5 + _xlfn.XLOOKUP(B241,'Base stats'!B:B,'Base stats'!BW:BW),
0.05))</f>
        <v>3.85</v>
      </c>
      <c r="O241" s="3">
        <f>IF(Animals!AD241="No","No",
MAX(MROUND((MIN(10,_xlfn.XLOOKUP(B241,'Base stats'!B:B,'Base stats'!V:V)*IF(_xlfn.XLOOKUP(_xlfn.XLOOKUP(B241,'Base stats'!B:B,'Base stats'!E:E),Groups!A:A,Groups!O:O)=0,1,0.33))^0.4*_xlfn.XLOOKUP(B241,'Base stats'!B:B,'Base stats'!BJ:BJ)^0.73)^0.6 *_xlfn.XLOOKUP(B241,'Base stats'!B:B,'Base stats'!BX:BX),0.1),0.05)
)</f>
        <v>15.5</v>
      </c>
      <c r="P241" s="11">
        <f>IF(O241="No","No",
MROUND(_xlfn.XLOOKUP(B241,'Base stats'!B:B,'Base stats'!BJ:BJ) * 0.01 * 2 + 0.05, 0.05)
)</f>
        <v>4.4000000000000004</v>
      </c>
      <c r="Q241" s="5">
        <f>IF(O241="No","No",
MROUND(_xlfn.XLOOKUP(B241,'Base stats'!B:B,'Base stats'!BV:BV)/10000+0.01,0.01)
)</f>
        <v>0.36</v>
      </c>
      <c r="R241" s="4">
        <f>IF(O241="No","No",
MROUND(_xlfn.XLOOKUP(B241,'Base stats'!B:B,'Base stats'!BB:BB)^0.25
/((_xlfn.XLOOKUP(B241,'Base stats'!B:B,'Base stats'!BN:BN))*10)*_xlfn.XLOOKUP(_xlfn.XLOOKUP(B241,'Base stats'!B:B,'Base stats'!E:E),Groups!A:A,Groups!Z:Z)*150 + 0.5 + _xlfn.XLOOKUP(B241,'Base stats'!B:B,'Base stats'!BW:BW),
0.05))</f>
        <v>1.9000000000000001</v>
      </c>
      <c r="S241" s="3">
        <f>IF(Animals!AI241="No","No",
IF(_xlfn.XLOOKUP(B241,'Base stats'!B:B,'Base stats'!U:U)="No",
MAX(MROUND(_xlfn.XLOOKUP(B241,'Base stats'!B:B,'Base stats'!BT:BT) * _xlfn.XLOOKUP(B241,'Base stats'!B:B,'Base stats'!BP:BP)^0.9 / 21 * _xlfn.XLOOKUP(B241,'Base stats'!B:B,'Base stats'!BX:BX),0.1),0.05),
MAX(MROUND(((MIN(12,_xlfn.XLOOKUP(B241,'Base stats'!B:B,'Base stats'!U:U)))^0.4*_xlfn.XLOOKUP(B241,'Base stats'!B:B,'Base stats'!BH:BH)^0.73)^0.6 * _xlfn.XLOOKUP(B241,'Base stats'!B:B,'Base stats'!BX:BX),0.1),0.05)
))</f>
        <v>15.200000000000001</v>
      </c>
      <c r="T241" s="11">
        <f>IF(S241="No","No",
MROUND(_xlfn.XLOOKUP(B241,'Base stats'!B:B,'Base stats'!BH:BH) * 0.01 * 2 + 0.05, 0.05)
)</f>
        <v>3.5</v>
      </c>
      <c r="U241" s="5">
        <f>IF(S241="No","No",IF(_xlfn.XLOOKUP(B241,'Base stats'!B:B,'Base stats'!U:U)="No","No",
MROUND(_xlfn.XLOOKUP(B241,'Base stats'!B:B,'Base stats'!BT:BT)/10000+0.01,0.01)
))</f>
        <v>2.77</v>
      </c>
      <c r="V241" s="4">
        <f>IF(S241="No","No",
MROUND(_xlfn.XLOOKUP(B241,'Base stats'!B:B,'Base stats'!BF:BF)^0.25
/((_xlfn.XLOOKUP(B241,'Base stats'!B:B,'Base stats'!BO:BO))*10)*_xlfn.XLOOKUP(_xlfn.XLOOKUP(B241,'Base stats'!B:B,'Base stats'!E:E),Groups!A:A,Groups!AE:AE)*150 + 0.5 + _xlfn.XLOOKUP(B241,'Base stats'!B:B,'Base stats'!BW:BW),
0.05))</f>
        <v>2.6500000000000004</v>
      </c>
      <c r="W241" s="8">
        <f>MROUND(_xlfn.XLOOKUP(_xlfn.XLOOKUP(B241,'Base stats'!B:B,'Base stats'!E:E),Groups!A:A,Groups!BG:BG)*_xlfn.XLOOKUP(B241,'Base stats'!B:B,'Base stats'!C:C)^-0.165,0.05)</f>
        <v>0.30000000000000004</v>
      </c>
      <c r="X241" s="1">
        <f>MROUND(_xlfn.XLOOKUP(_xlfn.XLOOKUP(B241,'Base stats'!B:B,'Base stats'!E:E),Groups!A:A,Groups!BH:BH)*_xlfn.XLOOKUP(B241,'Base stats'!B:B,'Base stats'!C:C)^0.165,0.05)</f>
        <v>0.25</v>
      </c>
      <c r="Y241" s="8">
        <f>MROUND(_xlfn.XLOOKUP(_xlfn.XLOOKUP(B241,'Base stats'!B:B,'Base stats'!E:E),Groups!A:A,Groups!BI:BI)*_xlfn.XLOOKUP(B241,'Base stats'!B:B,'Base stats'!C:C)^0.165,0.05)</f>
        <v>0.05</v>
      </c>
      <c r="Z241" s="18">
        <f>MROUND(_xlfn.XLOOKUP(B241,'Base stats'!B:B,'Base stats'!AQ:AQ)*_xlfn.XLOOKUP(_xlfn.XLOOKUP(B241,'Base stats'!B:B,'Base stats'!E:E),Groups!A:A,Groups!H:H)/1000,IF((_xlfn.XLOOKUP(B241,'Base stats'!B:B,'Base stats'!AQ:AQ)*_xlfn.XLOOKUP(_xlfn.XLOOKUP(B241,'Base stats'!B:B,'Base stats'!E:E),Groups!A:A,Groups!H:H)/1000)&gt;1,0.05,0.01))</f>
        <v>2.0500000000000003</v>
      </c>
      <c r="AA241" s="18">
        <f>MROUND((1/2)*(_xlfn.XLOOKUP(_xlfn.XLOOKUP(B241,'Base stats'!B:B,'Base stats'!E:E),Groups!A:A,Groups!H:H)*_xlfn.XLOOKUP(_xlfn.XLOOKUP(B241,'Base stats'!B:B,'Base stats'!E:E),Groups!A:A,Groups!I:I))*_xlfn.XLOOKUP(B241,'Base stats'!B:B,'Base stats'!AQ:AQ)*0.01,0.05)</f>
        <v>1.25</v>
      </c>
      <c r="AB241" s="18">
        <f>MROUND(250*(Animals!AO241+Animals!AP241),25)</f>
        <v>375</v>
      </c>
      <c r="AC241" s="18" t="str">
        <f>_xlfn.XLOOKUP(_xlfn.XLOOKUP(B241,'Base stats'!B:B,'Base stats'!E:E),Groups!A:A,Groups!BJ:BJ)</f>
        <v>Birdlike</v>
      </c>
    </row>
    <row r="242" spans="1:29" ht="16.5" thickTop="1" thickBot="1" x14ac:dyDescent="0.3">
      <c r="A242" s="16" t="str">
        <f>Animals!A242</f>
        <v>Cactipine</v>
      </c>
      <c r="B242" s="6" t="str">
        <f>Animals!B242</f>
        <v>Hystrix succulentis</v>
      </c>
      <c r="C242" s="1" t="str">
        <f>Animals!C242</f>
        <v>&lt;li&gt;AA_Cactipine&lt;/li&gt;</v>
      </c>
      <c r="D242" s="47">
        <f>MIN(MIN(6,_xlfn.XLOOKUP(A242,Animals!A:A,Animals!AO:AO))*20,MAX(MROUND(_xlfn.XLOOKUP(B242,'Base stats'!B:B,'Base stats'!BS:BS) * (_xlfn.XLOOKUP(B242,'Base stats'!B:B,'Base stats'!AO:AO)*5%)^0.9 / 21,0.1),0.05))</f>
        <v>0.4</v>
      </c>
      <c r="E242" s="11">
        <f>MROUND(_xlfn.XLOOKUP(B242,'Base stats'!B:B,'Base stats'!BG:BG) * 0.01 * 2 + 0.01, 0.05)</f>
        <v>0.35000000000000003</v>
      </c>
      <c r="F242" s="7">
        <f>MROUND(_xlfn.XLOOKUP(B242,'Base stats'!B:B,'Base stats'!BD:BD)^0.25 / (_xlfn.XLOOKUP(B242,'Base stats'!B:B,'Base stats'!BK:BK) * 10) * 150 + 0.5 + _xlfn.XLOOKUP(B242,'Base stats'!B:B,'Base stats'!BW:BW), 0.05)</f>
        <v>1.4500000000000002</v>
      </c>
      <c r="G242" s="3" t="str">
        <f>IF(Animals!S242="No","No",
IF(_xlfn.XLOOKUP(B242,'Base stats'!B:B,'Base stats'!U:U)="No",
MAX(MROUND(_xlfn.XLOOKUP(B242,'Base stats'!B:B,'Base stats'!BT:BT) * _xlfn.XLOOKUP(B242,'Base stats'!B:B,'Base stats'!BP:BP)^0.9 / 21 * _xlfn.XLOOKUP(B242,'Base stats'!B:B,'Base stats'!BX:BX),0.1),0.05),
MAX(MROUND(((MIN(10,_xlfn.XLOOKUP(B242,'Base stats'!B:B,'Base stats'!U:U)))^0.4*_xlfn.XLOOKUP(B242,'Base stats'!B:B,'Base stats'!BH:BH)^0.73)^0.6 * _xlfn.XLOOKUP(B242,'Base stats'!B:B,'Base stats'!BX:BX),0.1),0.05)
))</f>
        <v>No</v>
      </c>
      <c r="H242" s="11" t="str">
        <f>IF(G242="No","No",
MROUND(_xlfn.XLOOKUP(B242,'Base stats'!B:B,'Base stats'!BH:BH) * 0.01 * 2 + 0.05, 0.05)
)</f>
        <v>No</v>
      </c>
      <c r="I242" s="11" t="str">
        <f>IF(G242="No","No",IF(_xlfn.XLOOKUP(B242,'Base stats'!B:B,'Base stats'!U:U)="No","No",
MROUND(_xlfn.XLOOKUP(B242,'Base stats'!B:B,'Base stats'!BT:BT)/10000+0.01,0.01)
))</f>
        <v>No</v>
      </c>
      <c r="J242" s="4" t="str">
        <f>IF(G242="No","No",
MROUND(_xlfn.XLOOKUP(B242,'Base stats'!B:B,'Base stats'!BE:BE)^0.25
/((_xlfn.XLOOKUP(B242,'Base stats'!B:B,'Base stats'!BL:BL))*10)*_xlfn.XLOOKUP(_xlfn.XLOOKUP(B242,'Base stats'!B:B,'Base stats'!E:E),Groups!A:A,Groups!Q:Q)*150 + 0.5 + _xlfn.XLOOKUP(B242,'Base stats'!B:B,'Base stats'!BW:BW),
0.05))</f>
        <v>No</v>
      </c>
      <c r="K242" s="3" t="str">
        <f>IF(Animals!X242="No","No",
IF(_xlfn.XLOOKUP(_xlfn.XLOOKUP(B242,'Base stats'!B:B,'Base stats'!E:E),Groups!A:A,Groups!BD:BD)=1,
MAX(MROUND(_xlfn.XLOOKUP(B242,'Base stats'!B:B,'Base stats'!BU:BU) * _xlfn.XLOOKUP(B242,'Base stats'!B:B,'Base stats'!BQ:BQ)^0.9 / 21 *_xlfn.XLOOKUP(B242,'Base stats'!B:B,'Base stats'!BX:BX),0.1),0.05),
MAX(MROUND(((MIN(10,_xlfn.XLOOKUP(B242,'Base stats'!B:B,'Base stats'!W:W)))^0.4*_xlfn.XLOOKUP(B242,'Base stats'!B:B,'Base stats'!BI:BI)^0.73)^0.6 *_xlfn.XLOOKUP(B242,'Base stats'!B:B,'Base stats'!BX:BX),0.1),0.05)
))</f>
        <v>No</v>
      </c>
      <c r="L242" s="11" t="str">
        <f>IF(K242="No","No",
MROUND(_xlfn.XLOOKUP(B242,'Base stats'!B:B,'Base stats'!BI:BI) * 0.01 *2 + 0.05, 0.05)
)</f>
        <v>No</v>
      </c>
      <c r="M242" s="5" t="str">
        <f>IF(K242="No","No",IF(_xlfn.XLOOKUP(_xlfn.XLOOKUP(B242,'Base stats'!B:B,'Base stats'!E:E),Groups!A:A,Groups!BD:BD)=1,"No",
MROUND(_xlfn.XLOOKUP(B242,'Base stats'!B:B,'Base stats'!BU:BU)/10000+0.01,0.01)
))</f>
        <v>No</v>
      </c>
      <c r="N242" s="4" t="str">
        <f>IF(K242="No","No",
MROUND(
  _xlfn.XLOOKUP(B242,'Base stats'!B:B,'Base stats'!BC:BC)^0.25
  / (_xlfn.XLOOKUP(B242,'Base stats'!B:B,'Base stats'!BM:BM) * 10)
  * _xlfn.XLOOKUP(
      _xlfn.XLOOKUP(B242,'Base stats'!B:B,'Base stats'!E:E),
      Groups!A:A,
      Groups!V:V
    ) * 150
  + MIN(12, _xlfn.XLOOKUP(B242,'Base stats'!B:B,'Base stats'!W:W))^(1/IF(_xlfn.XLOOKUP(_xlfn.XLOOKUP(B242,'Base stats'!B:B,'Base stats'!E:E),Groups!A:A,Groups!U:U)=1,100,10)) + 0.5 + _xlfn.XLOOKUP(B242,'Base stats'!B:B,'Base stats'!BW:BW),
0.05))</f>
        <v>No</v>
      </c>
      <c r="O242" s="3">
        <f>IF(Animals!AD242="No","No",
MAX(MROUND((MIN(10,_xlfn.XLOOKUP(B242,'Base stats'!B:B,'Base stats'!V:V)*IF(_xlfn.XLOOKUP(_xlfn.XLOOKUP(B242,'Base stats'!B:B,'Base stats'!E:E),Groups!A:A,Groups!O:O)=0,1,0.33))^0.4*_xlfn.XLOOKUP(B242,'Base stats'!B:B,'Base stats'!BJ:BJ)^0.73)^0.6 *_xlfn.XLOOKUP(B242,'Base stats'!B:B,'Base stats'!BX:BX),0.1),0.05)
)</f>
        <v>4.9000000000000004</v>
      </c>
      <c r="P242" s="11">
        <f>IF(O242="No","No",
MROUND(_xlfn.XLOOKUP(B242,'Base stats'!B:B,'Base stats'!BJ:BJ) * 0.01 * 2 + 0.05, 0.05)
)</f>
        <v>0.4</v>
      </c>
      <c r="Q242" s="5">
        <f>IF(O242="No","No",
MROUND(_xlfn.XLOOKUP(B242,'Base stats'!B:B,'Base stats'!BV:BV)/10000+0.01,0.01)
)</f>
        <v>0.05</v>
      </c>
      <c r="R242" s="4">
        <f>IF(O242="No","No",
MROUND(_xlfn.XLOOKUP(B242,'Base stats'!B:B,'Base stats'!BB:BB)^0.25
/((_xlfn.XLOOKUP(B242,'Base stats'!B:B,'Base stats'!BN:BN))*10)*_xlfn.XLOOKUP(_xlfn.XLOOKUP(B242,'Base stats'!B:B,'Base stats'!E:E),Groups!A:A,Groups!Z:Z)*150 + 0.5 + _xlfn.XLOOKUP(B242,'Base stats'!B:B,'Base stats'!BW:BW),
0.05))</f>
        <v>2.0500000000000003</v>
      </c>
      <c r="S242" s="3" t="str">
        <f>IF(Animals!AI242="No","No",
IF(_xlfn.XLOOKUP(B242,'Base stats'!B:B,'Base stats'!U:U)="No",
MAX(MROUND(_xlfn.XLOOKUP(B242,'Base stats'!B:B,'Base stats'!BT:BT) * _xlfn.XLOOKUP(B242,'Base stats'!B:B,'Base stats'!BP:BP)^0.9 / 21 * _xlfn.XLOOKUP(B242,'Base stats'!B:B,'Base stats'!BX:BX),0.1),0.05),
MAX(MROUND(((MIN(12,_xlfn.XLOOKUP(B242,'Base stats'!B:B,'Base stats'!U:U)))^0.4*_xlfn.XLOOKUP(B242,'Base stats'!B:B,'Base stats'!BH:BH)^0.73)^0.6 * _xlfn.XLOOKUP(B242,'Base stats'!B:B,'Base stats'!BX:BX),0.1),0.05)
))</f>
        <v>No</v>
      </c>
      <c r="T242" s="11" t="str">
        <f>IF(S242="No","No",
MROUND(_xlfn.XLOOKUP(B242,'Base stats'!B:B,'Base stats'!BH:BH) * 0.01 * 2 + 0.05, 0.05)
)</f>
        <v>No</v>
      </c>
      <c r="U242" s="5" t="str">
        <f>IF(S242="No","No",IF(_xlfn.XLOOKUP(B242,'Base stats'!B:B,'Base stats'!U:U)="No","No",
MROUND(_xlfn.XLOOKUP(B242,'Base stats'!B:B,'Base stats'!BT:BT)/10000+0.01,0.01)
))</f>
        <v>No</v>
      </c>
      <c r="V242" s="4" t="str">
        <f>IF(S242="No","No",
MROUND(_xlfn.XLOOKUP(B242,'Base stats'!B:B,'Base stats'!BF:BF)^0.25
/((_xlfn.XLOOKUP(B242,'Base stats'!B:B,'Base stats'!BO:BO))*10)*_xlfn.XLOOKUP(_xlfn.XLOOKUP(B242,'Base stats'!B:B,'Base stats'!E:E),Groups!A:A,Groups!AE:AE)*150 + 0.5 + _xlfn.XLOOKUP(B242,'Base stats'!B:B,'Base stats'!BW:BW),
0.05))</f>
        <v>No</v>
      </c>
      <c r="W242" s="8">
        <f>MROUND(_xlfn.XLOOKUP(_xlfn.XLOOKUP(B242,'Base stats'!B:B,'Base stats'!E:E),Groups!A:A,Groups!BG:BG)*_xlfn.XLOOKUP(B242,'Base stats'!B:B,'Base stats'!C:C)^-0.165,0.05)</f>
        <v>0.5</v>
      </c>
      <c r="X242" s="1">
        <f>MROUND(_xlfn.XLOOKUP(_xlfn.XLOOKUP(B242,'Base stats'!B:B,'Base stats'!E:E),Groups!A:A,Groups!BH:BH)*_xlfn.XLOOKUP(B242,'Base stats'!B:B,'Base stats'!C:C)^0.165,0.05)</f>
        <v>0</v>
      </c>
      <c r="Y242" s="8">
        <f>MROUND(_xlfn.XLOOKUP(_xlfn.XLOOKUP(B242,'Base stats'!B:B,'Base stats'!E:E),Groups!A:A,Groups!BI:BI)*_xlfn.XLOOKUP(B242,'Base stats'!B:B,'Base stats'!C:C)^0.165,0.05)</f>
        <v>0</v>
      </c>
      <c r="Z242" s="18">
        <f>MROUND(_xlfn.XLOOKUP(B242,'Base stats'!B:B,'Base stats'!AQ:AQ)*_xlfn.XLOOKUP(_xlfn.XLOOKUP(B242,'Base stats'!B:B,'Base stats'!E:E),Groups!A:A,Groups!H:H)/1000,IF((_xlfn.XLOOKUP(B242,'Base stats'!B:B,'Base stats'!AQ:AQ)*_xlfn.XLOOKUP(_xlfn.XLOOKUP(B242,'Base stats'!B:B,'Base stats'!E:E),Groups!A:A,Groups!H:H)/1000)&gt;1,0.05,0.01))</f>
        <v>0.03</v>
      </c>
      <c r="AA242" s="18">
        <f>MROUND((1/2)*(_xlfn.XLOOKUP(_xlfn.XLOOKUP(B242,'Base stats'!B:B,'Base stats'!E:E),Groups!A:A,Groups!H:H)*_xlfn.XLOOKUP(_xlfn.XLOOKUP(B242,'Base stats'!B:B,'Base stats'!E:E),Groups!A:A,Groups!I:I))*_xlfn.XLOOKUP(B242,'Base stats'!B:B,'Base stats'!AQ:AQ)*0.01,0.05)</f>
        <v>0.15000000000000002</v>
      </c>
      <c r="AB242" s="18">
        <f>MROUND(250*(Animals!AO242+Animals!AP242),25)</f>
        <v>200</v>
      </c>
      <c r="AC242" s="18" t="str">
        <f>_xlfn.XLOOKUP(_xlfn.XLOOKUP(B242,'Base stats'!B:B,'Base stats'!E:E),Groups!A:A,Groups!BJ:BJ)</f>
        <v>QuadrupedLow</v>
      </c>
    </row>
    <row r="243" spans="1:29" ht="16.5" thickTop="1" thickBot="1" x14ac:dyDescent="0.3">
      <c r="A243" s="16" t="str">
        <f>Animals!A243</f>
        <v>ChameleonYak</v>
      </c>
      <c r="B243" s="6" t="str">
        <f>Animals!B243</f>
        <v>Bos chamaeleon</v>
      </c>
      <c r="C243" s="1" t="str">
        <f>Animals!C243</f>
        <v>&lt;li&gt;AA_ChameleonYak&lt;/li&gt;</v>
      </c>
      <c r="D243" s="47">
        <f>MIN(MIN(6,_xlfn.XLOOKUP(A243,Animals!A:A,Animals!AO:AO))*20,MAX(MROUND(_xlfn.XLOOKUP(B243,'Base stats'!B:B,'Base stats'!BS:BS) * (_xlfn.XLOOKUP(B243,'Base stats'!B:B,'Base stats'!AO:AO)*5%)^0.9 / 21,0.1),0.05))</f>
        <v>15.8</v>
      </c>
      <c r="E243" s="11">
        <f>MROUND(_xlfn.XLOOKUP(B243,'Base stats'!B:B,'Base stats'!BG:BG) * 0.01 * 2 + 0.01, 0.05)</f>
        <v>15.15</v>
      </c>
      <c r="F243" s="7">
        <f>MROUND(_xlfn.XLOOKUP(B243,'Base stats'!B:B,'Base stats'!BD:BD)^0.25 / (_xlfn.XLOOKUP(B243,'Base stats'!B:B,'Base stats'!BK:BK) * 10) * 150 + 0.5 + _xlfn.XLOOKUP(B243,'Base stats'!B:B,'Base stats'!BW:BW), 0.05)</f>
        <v>1.9500000000000002</v>
      </c>
      <c r="G243" s="3">
        <f>IF(Animals!S243="No","No",
IF(_xlfn.XLOOKUP(B243,'Base stats'!B:B,'Base stats'!U:U)="No",
MAX(MROUND(_xlfn.XLOOKUP(B243,'Base stats'!B:B,'Base stats'!BT:BT) * _xlfn.XLOOKUP(B243,'Base stats'!B:B,'Base stats'!BP:BP)^0.9 / 21 * _xlfn.XLOOKUP(B243,'Base stats'!B:B,'Base stats'!BX:BX),0.1),0.05),
MAX(MROUND(((MIN(10,_xlfn.XLOOKUP(B243,'Base stats'!B:B,'Base stats'!U:U)))^0.4*_xlfn.XLOOKUP(B243,'Base stats'!B:B,'Base stats'!BH:BH)^0.73)^0.6 * _xlfn.XLOOKUP(B243,'Base stats'!B:B,'Base stats'!BX:BX),0.1),0.05)
))</f>
        <v>25.200000000000003</v>
      </c>
      <c r="H243" s="11">
        <f>IF(G243="No","No",
MROUND(_xlfn.XLOOKUP(B243,'Base stats'!B:B,'Base stats'!BH:BH) * 0.01 * 2 + 0.05, 0.05)
)</f>
        <v>17.150000000000002</v>
      </c>
      <c r="I243" s="11" t="str">
        <f>IF(G243="No","No",IF(_xlfn.XLOOKUP(B243,'Base stats'!B:B,'Base stats'!U:U)="No","No",
MROUND(_xlfn.XLOOKUP(B243,'Base stats'!B:B,'Base stats'!BT:BT)/10000+0.01,0.01)
))</f>
        <v>No</v>
      </c>
      <c r="J243" s="4">
        <f>IF(G243="No","No",
MROUND(_xlfn.XLOOKUP(B243,'Base stats'!B:B,'Base stats'!BE:BE)^0.25
/((_xlfn.XLOOKUP(B243,'Base stats'!B:B,'Base stats'!BL:BL))*10)*_xlfn.XLOOKUP(_xlfn.XLOOKUP(B243,'Base stats'!B:B,'Base stats'!E:E),Groups!A:A,Groups!Q:Q)*150 + 0.5 + _xlfn.XLOOKUP(B243,'Base stats'!B:B,'Base stats'!BW:BW),
0.05))</f>
        <v>2.8000000000000003</v>
      </c>
      <c r="K243" s="3">
        <f>IF(Animals!X243="No","No",
IF(_xlfn.XLOOKUP(_xlfn.XLOOKUP(B243,'Base stats'!B:B,'Base stats'!E:E),Groups!A:A,Groups!BD:BD)=1,
MAX(MROUND(_xlfn.XLOOKUP(B243,'Base stats'!B:B,'Base stats'!BU:BU) * _xlfn.XLOOKUP(B243,'Base stats'!B:B,'Base stats'!BQ:BQ)^0.9 / 21 *_xlfn.XLOOKUP(B243,'Base stats'!B:B,'Base stats'!BX:BX),0.1),0.05),
MAX(MROUND(((MIN(10,_xlfn.XLOOKUP(B243,'Base stats'!B:B,'Base stats'!W:W)))^0.4*_xlfn.XLOOKUP(B243,'Base stats'!B:B,'Base stats'!BI:BI)^0.73)^0.6 *_xlfn.XLOOKUP(B243,'Base stats'!B:B,'Base stats'!BX:BX),0.1),0.05)
))</f>
        <v>36.200000000000003</v>
      </c>
      <c r="L243" s="11">
        <f>IF(K243="No","No",
MROUND(_xlfn.XLOOKUP(B243,'Base stats'!B:B,'Base stats'!BI:BI) * 0.01 *2 + 0.05, 0.05)
)</f>
        <v>20.6</v>
      </c>
      <c r="M243" s="5">
        <f>IF(K243="No","No",IF(_xlfn.XLOOKUP(_xlfn.XLOOKUP(B243,'Base stats'!B:B,'Base stats'!E:E),Groups!A:A,Groups!BD:BD)=1,"No",
MROUND(_xlfn.XLOOKUP(B243,'Base stats'!B:B,'Base stats'!BU:BU)/10000+0.01,0.01)
))</f>
        <v>1.06</v>
      </c>
      <c r="N243" s="4">
        <f>IF(K243="No","No",
MROUND(
  _xlfn.XLOOKUP(B243,'Base stats'!B:B,'Base stats'!BC:BC)^0.25
  / (_xlfn.XLOOKUP(B243,'Base stats'!B:B,'Base stats'!BM:BM) * 10)
  * _xlfn.XLOOKUP(
      _xlfn.XLOOKUP(B243,'Base stats'!B:B,'Base stats'!E:E),
      Groups!A:A,
      Groups!V:V
    ) * 150
  + MIN(12, _xlfn.XLOOKUP(B243,'Base stats'!B:B,'Base stats'!W:W))^(1/IF(_xlfn.XLOOKUP(_xlfn.XLOOKUP(B243,'Base stats'!B:B,'Base stats'!E:E),Groups!A:A,Groups!U:U)=1,100,10)) + 0.5 + _xlfn.XLOOKUP(B243,'Base stats'!B:B,'Base stats'!BW:BW),
0.05))</f>
        <v>3.25</v>
      </c>
      <c r="O243" s="3" t="str">
        <f>IF(Animals!AD243="No","No",
MAX(MROUND((MIN(10,_xlfn.XLOOKUP(B243,'Base stats'!B:B,'Base stats'!V:V)*IF(_xlfn.XLOOKUP(_xlfn.XLOOKUP(B243,'Base stats'!B:B,'Base stats'!E:E),Groups!A:A,Groups!O:O)=0,1,0.33))^0.4*_xlfn.XLOOKUP(B243,'Base stats'!B:B,'Base stats'!BJ:BJ)^0.73)^0.6 *_xlfn.XLOOKUP(B243,'Base stats'!B:B,'Base stats'!BX:BX),0.1),0.05)
)</f>
        <v>No</v>
      </c>
      <c r="P243" s="11" t="str">
        <f>IF(O243="No","No",
MROUND(_xlfn.XLOOKUP(B243,'Base stats'!B:B,'Base stats'!BJ:BJ) * 0.01 * 2 + 0.05, 0.05)
)</f>
        <v>No</v>
      </c>
      <c r="Q243" s="5" t="str">
        <f>IF(O243="No","No",
MROUND(_xlfn.XLOOKUP(B243,'Base stats'!B:B,'Base stats'!BV:BV)/10000+0.01,0.01)
)</f>
        <v>No</v>
      </c>
      <c r="R243" s="4" t="str">
        <f>IF(O243="No","No",
MROUND(_xlfn.XLOOKUP(B243,'Base stats'!B:B,'Base stats'!BB:BB)^0.25
/((_xlfn.XLOOKUP(B243,'Base stats'!B:B,'Base stats'!BN:BN))*10)*_xlfn.XLOOKUP(_xlfn.XLOOKUP(B243,'Base stats'!B:B,'Base stats'!E:E),Groups!A:A,Groups!Z:Z)*150 + 0.5 + _xlfn.XLOOKUP(B243,'Base stats'!B:B,'Base stats'!BW:BW),
0.05))</f>
        <v>No</v>
      </c>
      <c r="S243" s="3" t="str">
        <f>IF(Animals!AI243="No","No",
IF(_xlfn.XLOOKUP(B243,'Base stats'!B:B,'Base stats'!U:U)="No",
MAX(MROUND(_xlfn.XLOOKUP(B243,'Base stats'!B:B,'Base stats'!BT:BT) * _xlfn.XLOOKUP(B243,'Base stats'!B:B,'Base stats'!BP:BP)^0.9 / 21 * _xlfn.XLOOKUP(B243,'Base stats'!B:B,'Base stats'!BX:BX),0.1),0.05),
MAX(MROUND(((MIN(12,_xlfn.XLOOKUP(B243,'Base stats'!B:B,'Base stats'!U:U)))^0.4*_xlfn.XLOOKUP(B243,'Base stats'!B:B,'Base stats'!BH:BH)^0.73)^0.6 * _xlfn.XLOOKUP(B243,'Base stats'!B:B,'Base stats'!BX:BX),0.1),0.05)
))</f>
        <v>No</v>
      </c>
      <c r="T243" s="11" t="str">
        <f>IF(S243="No","No",
MROUND(_xlfn.XLOOKUP(B243,'Base stats'!B:B,'Base stats'!BH:BH) * 0.01 * 2 + 0.05, 0.05)
)</f>
        <v>No</v>
      </c>
      <c r="U243" s="5" t="str">
        <f>IF(S243="No","No",IF(_xlfn.XLOOKUP(B243,'Base stats'!B:B,'Base stats'!U:U)="No","No",
MROUND(_xlfn.XLOOKUP(B243,'Base stats'!B:B,'Base stats'!BT:BT)/10000+0.01,0.01)
))</f>
        <v>No</v>
      </c>
      <c r="V243" s="4" t="str">
        <f>IF(S243="No","No",
MROUND(_xlfn.XLOOKUP(B243,'Base stats'!B:B,'Base stats'!BF:BF)^0.25
/((_xlfn.XLOOKUP(B243,'Base stats'!B:B,'Base stats'!BO:BO))*10)*_xlfn.XLOOKUP(_xlfn.XLOOKUP(B243,'Base stats'!B:B,'Base stats'!E:E),Groups!A:A,Groups!AE:AE)*150 + 0.5 + _xlfn.XLOOKUP(B243,'Base stats'!B:B,'Base stats'!BW:BW),
0.05))</f>
        <v>No</v>
      </c>
      <c r="W243" s="8">
        <f>MROUND(_xlfn.XLOOKUP(_xlfn.XLOOKUP(B243,'Base stats'!B:B,'Base stats'!E:E),Groups!A:A,Groups!BG:BG)*_xlfn.XLOOKUP(B243,'Base stats'!B:B,'Base stats'!C:C)^-0.165,0.05)</f>
        <v>0.15000000000000002</v>
      </c>
      <c r="X243" s="1">
        <f>MROUND(_xlfn.XLOOKUP(_xlfn.XLOOKUP(B243,'Base stats'!B:B,'Base stats'!E:E),Groups!A:A,Groups!BH:BH)*_xlfn.XLOOKUP(B243,'Base stats'!B:B,'Base stats'!C:C)^0.165,0.05)</f>
        <v>0</v>
      </c>
      <c r="Y243" s="8">
        <f>MROUND(_xlfn.XLOOKUP(_xlfn.XLOOKUP(B243,'Base stats'!B:B,'Base stats'!E:E),Groups!A:A,Groups!BI:BI)*_xlfn.XLOOKUP(B243,'Base stats'!B:B,'Base stats'!C:C)^0.165,0.05)</f>
        <v>0</v>
      </c>
      <c r="Z243" s="18">
        <f>MROUND(_xlfn.XLOOKUP(B243,'Base stats'!B:B,'Base stats'!AQ:AQ)*_xlfn.XLOOKUP(_xlfn.XLOOKUP(B243,'Base stats'!B:B,'Base stats'!E:E),Groups!A:A,Groups!H:H)/1000,IF((_xlfn.XLOOKUP(B243,'Base stats'!B:B,'Base stats'!AQ:AQ)*_xlfn.XLOOKUP(_xlfn.XLOOKUP(B243,'Base stats'!B:B,'Base stats'!E:E),Groups!A:A,Groups!H:H)/1000)&gt;1,0.05,0.01))</f>
        <v>0.12</v>
      </c>
      <c r="AA243" s="18">
        <f>MROUND((1/2)*(_xlfn.XLOOKUP(_xlfn.XLOOKUP(B243,'Base stats'!B:B,'Base stats'!E:E),Groups!A:A,Groups!H:H)*_xlfn.XLOOKUP(_xlfn.XLOOKUP(B243,'Base stats'!B:B,'Base stats'!E:E),Groups!A:A,Groups!I:I))*_xlfn.XLOOKUP(B243,'Base stats'!B:B,'Base stats'!AQ:AQ)*0.01,0.05)</f>
        <v>0.5</v>
      </c>
      <c r="AB243" s="18">
        <f>MROUND(250*(Animals!AO243+Animals!AP243),25)</f>
        <v>1625</v>
      </c>
      <c r="AC243" s="18" t="str">
        <f>_xlfn.XLOOKUP(_xlfn.XLOOKUP(B243,'Base stats'!B:B,'Base stats'!E:E),Groups!A:A,Groups!BJ:BJ)</f>
        <v>Quadruped</v>
      </c>
    </row>
    <row r="244" spans="1:29" ht="16.5" thickTop="1" thickBot="1" x14ac:dyDescent="0.3">
      <c r="A244" s="16" t="str">
        <f>Animals!A244</f>
        <v>ChemfuelMyrmidon</v>
      </c>
      <c r="B244" s="6" t="str">
        <f>Animals!B244</f>
        <v>Formica chemurgica</v>
      </c>
      <c r="C244" s="1" t="str">
        <f>Animals!C244</f>
        <v>&lt;li&gt;AA_ChemfuelMyrmidon&lt;/li&gt;</v>
      </c>
      <c r="D244" s="47">
        <f>MIN(MIN(6,_xlfn.XLOOKUP(A244,Animals!A:A,Animals!AO:AO))*20,MAX(MROUND(_xlfn.XLOOKUP(B244,'Base stats'!B:B,'Base stats'!BS:BS) * (_xlfn.XLOOKUP(B244,'Base stats'!B:B,'Base stats'!AO:AO)*5%)^0.9 / 21,0.1),0.05))</f>
        <v>3.3000000000000003</v>
      </c>
      <c r="E244" s="11">
        <f>MROUND(_xlfn.XLOOKUP(B244,'Base stats'!B:B,'Base stats'!BG:BG) * 0.01 * 2 + 0.01, 0.05)</f>
        <v>3</v>
      </c>
      <c r="F244" s="7">
        <f>MROUND(_xlfn.XLOOKUP(B244,'Base stats'!B:B,'Base stats'!BD:BD)^0.25 / (_xlfn.XLOOKUP(B244,'Base stats'!B:B,'Base stats'!BK:BK) * 10) * 150 + 0.5 + _xlfn.XLOOKUP(B244,'Base stats'!B:B,'Base stats'!BW:BW), 0.05)</f>
        <v>2.4000000000000004</v>
      </c>
      <c r="G244" s="3" t="str">
        <f>IF(Animals!S244="No","No",
IF(_xlfn.XLOOKUP(B244,'Base stats'!B:B,'Base stats'!U:U)="No",
MAX(MROUND(_xlfn.XLOOKUP(B244,'Base stats'!B:B,'Base stats'!BT:BT) * _xlfn.XLOOKUP(B244,'Base stats'!B:B,'Base stats'!BP:BP)^0.9 / 21 * _xlfn.XLOOKUP(B244,'Base stats'!B:B,'Base stats'!BX:BX),0.1),0.05),
MAX(MROUND(((MIN(10,_xlfn.XLOOKUP(B244,'Base stats'!B:B,'Base stats'!U:U)))^0.4*_xlfn.XLOOKUP(B244,'Base stats'!B:B,'Base stats'!BH:BH)^0.73)^0.6 * _xlfn.XLOOKUP(B244,'Base stats'!B:B,'Base stats'!BX:BX),0.1),0.05)
))</f>
        <v>No</v>
      </c>
      <c r="H244" s="11" t="str">
        <f>IF(G244="No","No",
MROUND(_xlfn.XLOOKUP(B244,'Base stats'!B:B,'Base stats'!BH:BH) * 0.01 * 2 + 0.05, 0.05)
)</f>
        <v>No</v>
      </c>
      <c r="I244" s="11" t="str">
        <f>IF(G244="No","No",IF(_xlfn.XLOOKUP(B244,'Base stats'!B:B,'Base stats'!U:U)="No","No",
MROUND(_xlfn.XLOOKUP(B244,'Base stats'!B:B,'Base stats'!BT:BT)/10000+0.01,0.01)
))</f>
        <v>No</v>
      </c>
      <c r="J244" s="4" t="str">
        <f>IF(G244="No","No",
MROUND(_xlfn.XLOOKUP(B244,'Base stats'!B:B,'Base stats'!BE:BE)^0.25
/((_xlfn.XLOOKUP(B244,'Base stats'!B:B,'Base stats'!BL:BL))*10)*_xlfn.XLOOKUP(_xlfn.XLOOKUP(B244,'Base stats'!B:B,'Base stats'!E:E),Groups!A:A,Groups!Q:Q)*150 + 0.5 + _xlfn.XLOOKUP(B244,'Base stats'!B:B,'Base stats'!BW:BW),
0.05))</f>
        <v>No</v>
      </c>
      <c r="K244" s="3" t="str">
        <f>IF(Animals!X244="No","No",
IF(_xlfn.XLOOKUP(_xlfn.XLOOKUP(B244,'Base stats'!B:B,'Base stats'!E:E),Groups!A:A,Groups!BD:BD)=1,
MAX(MROUND(_xlfn.XLOOKUP(B244,'Base stats'!B:B,'Base stats'!BU:BU) * _xlfn.XLOOKUP(B244,'Base stats'!B:B,'Base stats'!BQ:BQ)^0.9 / 21 *_xlfn.XLOOKUP(B244,'Base stats'!B:B,'Base stats'!BX:BX),0.1),0.05),
MAX(MROUND(((MIN(10,_xlfn.XLOOKUP(B244,'Base stats'!B:B,'Base stats'!W:W)))^0.4*_xlfn.XLOOKUP(B244,'Base stats'!B:B,'Base stats'!BI:BI)^0.73)^0.6 *_xlfn.XLOOKUP(B244,'Base stats'!B:B,'Base stats'!BX:BX),0.1),0.05)
))</f>
        <v>No</v>
      </c>
      <c r="L244" s="11" t="str">
        <f>IF(K244="No","No",
MROUND(_xlfn.XLOOKUP(B244,'Base stats'!B:B,'Base stats'!BI:BI) * 0.01 *2 + 0.05, 0.05)
)</f>
        <v>No</v>
      </c>
      <c r="M244" s="5" t="str">
        <f>IF(K244="No","No",IF(_xlfn.XLOOKUP(_xlfn.XLOOKUP(B244,'Base stats'!B:B,'Base stats'!E:E),Groups!A:A,Groups!BD:BD)=1,"No",
MROUND(_xlfn.XLOOKUP(B244,'Base stats'!B:B,'Base stats'!BU:BU)/10000+0.01,0.01)
))</f>
        <v>No</v>
      </c>
      <c r="N244" s="4" t="str">
        <f>IF(K244="No","No",
MROUND(
  _xlfn.XLOOKUP(B244,'Base stats'!B:B,'Base stats'!BC:BC)^0.25
  / (_xlfn.XLOOKUP(B244,'Base stats'!B:B,'Base stats'!BM:BM) * 10)
  * _xlfn.XLOOKUP(
      _xlfn.XLOOKUP(B244,'Base stats'!B:B,'Base stats'!E:E),
      Groups!A:A,
      Groups!V:V
    ) * 150
  + MIN(12, _xlfn.XLOOKUP(B244,'Base stats'!B:B,'Base stats'!W:W))^(1/IF(_xlfn.XLOOKUP(_xlfn.XLOOKUP(B244,'Base stats'!B:B,'Base stats'!E:E),Groups!A:A,Groups!U:U)=1,100,10)) + 0.5 + _xlfn.XLOOKUP(B244,'Base stats'!B:B,'Base stats'!BW:BW),
0.05))</f>
        <v>No</v>
      </c>
      <c r="O244" s="3">
        <f>IF(Animals!AD244="No","No",
MAX(MROUND((MIN(10,_xlfn.XLOOKUP(B244,'Base stats'!B:B,'Base stats'!V:V)*IF(_xlfn.XLOOKUP(_xlfn.XLOOKUP(B244,'Base stats'!B:B,'Base stats'!E:E),Groups!A:A,Groups!O:O)=0,1,0.33))^0.4*_xlfn.XLOOKUP(B244,'Base stats'!B:B,'Base stats'!BJ:BJ)^0.73)^0.6 *_xlfn.XLOOKUP(B244,'Base stats'!B:B,'Base stats'!BX:BX),0.1),0.05)
)</f>
        <v>36.5</v>
      </c>
      <c r="P244" s="11">
        <f>IF(O244="No","No",
MROUND(_xlfn.XLOOKUP(B244,'Base stats'!B:B,'Base stats'!BJ:BJ) * 0.01 * 2 + 0.05, 0.05)
)</f>
        <v>20.950000000000003</v>
      </c>
      <c r="Q244" s="5">
        <f>IF(O244="No","No",
MROUND(_xlfn.XLOOKUP(B244,'Base stats'!B:B,'Base stats'!BV:BV)/10000+0.01,0.01)
)</f>
        <v>0.76</v>
      </c>
      <c r="R244" s="4">
        <f>IF(O244="No","No",
MROUND(_xlfn.XLOOKUP(B244,'Base stats'!B:B,'Base stats'!BB:BB)^0.25
/((_xlfn.XLOOKUP(B244,'Base stats'!B:B,'Base stats'!BN:BN))*10)*_xlfn.XLOOKUP(_xlfn.XLOOKUP(B244,'Base stats'!B:B,'Base stats'!E:E),Groups!A:A,Groups!Z:Z)*150 + 0.5 + _xlfn.XLOOKUP(B244,'Base stats'!B:B,'Base stats'!BW:BW),
0.05))</f>
        <v>2.1</v>
      </c>
      <c r="S244" s="3" t="str">
        <f>IF(Animals!AI244="No","No",
IF(_xlfn.XLOOKUP(B244,'Base stats'!B:B,'Base stats'!U:U)="No",
MAX(MROUND(_xlfn.XLOOKUP(B244,'Base stats'!B:B,'Base stats'!BT:BT) * _xlfn.XLOOKUP(B244,'Base stats'!B:B,'Base stats'!BP:BP)^0.9 / 21 * _xlfn.XLOOKUP(B244,'Base stats'!B:B,'Base stats'!BX:BX),0.1),0.05),
MAX(MROUND(((MIN(12,_xlfn.XLOOKUP(B244,'Base stats'!B:B,'Base stats'!U:U)))^0.4*_xlfn.XLOOKUP(B244,'Base stats'!B:B,'Base stats'!BH:BH)^0.73)^0.6 * _xlfn.XLOOKUP(B244,'Base stats'!B:B,'Base stats'!BX:BX),0.1),0.05)
))</f>
        <v>No</v>
      </c>
      <c r="T244" s="11" t="str">
        <f>IF(S244="No","No",
MROUND(_xlfn.XLOOKUP(B244,'Base stats'!B:B,'Base stats'!BH:BH) * 0.01 * 2 + 0.05, 0.05)
)</f>
        <v>No</v>
      </c>
      <c r="U244" s="5" t="str">
        <f>IF(S244="No","No",IF(_xlfn.XLOOKUP(B244,'Base stats'!B:B,'Base stats'!U:U)="No","No",
MROUND(_xlfn.XLOOKUP(B244,'Base stats'!B:B,'Base stats'!BT:BT)/10000+0.01,0.01)
))</f>
        <v>No</v>
      </c>
      <c r="V244" s="4" t="str">
        <f>IF(S244="No","No",
MROUND(_xlfn.XLOOKUP(B244,'Base stats'!B:B,'Base stats'!BF:BF)^0.25
/((_xlfn.XLOOKUP(B244,'Base stats'!B:B,'Base stats'!BO:BO))*10)*_xlfn.XLOOKUP(_xlfn.XLOOKUP(B244,'Base stats'!B:B,'Base stats'!E:E),Groups!A:A,Groups!AE:AE)*150 + 0.5 + _xlfn.XLOOKUP(B244,'Base stats'!B:B,'Base stats'!BW:BW),
0.05))</f>
        <v>No</v>
      </c>
      <c r="W244" s="8">
        <f>MROUND(_xlfn.XLOOKUP(_xlfn.XLOOKUP(B244,'Base stats'!B:B,'Base stats'!E:E),Groups!A:A,Groups!BG:BG)*_xlfn.XLOOKUP(B244,'Base stats'!B:B,'Base stats'!C:C)^-0.165,0.05)</f>
        <v>0.1</v>
      </c>
      <c r="X244" s="1">
        <f>MROUND(_xlfn.XLOOKUP(_xlfn.XLOOKUP(B244,'Base stats'!B:B,'Base stats'!E:E),Groups!A:A,Groups!BH:BH)*_xlfn.XLOOKUP(B244,'Base stats'!B:B,'Base stats'!C:C)^0.165,0.05)</f>
        <v>0.25</v>
      </c>
      <c r="Y244" s="8">
        <f>MROUND(_xlfn.XLOOKUP(_xlfn.XLOOKUP(B244,'Base stats'!B:B,'Base stats'!E:E),Groups!A:A,Groups!BI:BI)*_xlfn.XLOOKUP(B244,'Base stats'!B:B,'Base stats'!C:C)^0.165,0.05)</f>
        <v>0.05</v>
      </c>
      <c r="Z244" s="18">
        <f>MROUND(_xlfn.XLOOKUP(B244,'Base stats'!B:B,'Base stats'!AQ:AQ)*_xlfn.XLOOKUP(_xlfn.XLOOKUP(B244,'Base stats'!B:B,'Base stats'!E:E),Groups!A:A,Groups!H:H)/1000,IF((_xlfn.XLOOKUP(B244,'Base stats'!B:B,'Base stats'!AQ:AQ)*_xlfn.XLOOKUP(_xlfn.XLOOKUP(B244,'Base stats'!B:B,'Base stats'!E:E),Groups!A:A,Groups!H:H)/1000)&gt;1,0.05,0.01))</f>
        <v>1.6</v>
      </c>
      <c r="AA244" s="18">
        <f>MROUND((1/2)*(_xlfn.XLOOKUP(_xlfn.XLOOKUP(B244,'Base stats'!B:B,'Base stats'!E:E),Groups!A:A,Groups!H:H)*_xlfn.XLOOKUP(_xlfn.XLOOKUP(B244,'Base stats'!B:B,'Base stats'!E:E),Groups!A:A,Groups!I:I))*_xlfn.XLOOKUP(B244,'Base stats'!B:B,'Base stats'!AQ:AQ)*0.01,0.05)</f>
        <v>0.15000000000000002</v>
      </c>
      <c r="AB244" s="18">
        <f>MROUND(250*(Animals!AO244+Animals!AP244),25)</f>
        <v>1050</v>
      </c>
      <c r="AC244" s="18" t="str">
        <f>_xlfn.XLOOKUP(_xlfn.XLOOKUP(B244,'Base stats'!B:B,'Base stats'!E:E),Groups!A:A,Groups!BJ:BJ)</f>
        <v>QuadrupedLow</v>
      </c>
    </row>
    <row r="245" spans="1:29" ht="16.5" thickTop="1" thickBot="1" x14ac:dyDescent="0.3">
      <c r="A245" s="16" t="str">
        <f>Animals!A245</f>
        <v>Cinderlisk</v>
      </c>
      <c r="B245" s="6" t="str">
        <f>Animals!B245</f>
        <v>Araneodraco ignis</v>
      </c>
      <c r="C245" s="1" t="str">
        <f>Animals!C245</f>
        <v>&lt;li&gt;AA_Cinderlisk&lt;/li&gt;</v>
      </c>
      <c r="D245" s="47">
        <f>MIN(MIN(6,_xlfn.XLOOKUP(A245,Animals!A:A,Animals!AO:AO))*20,MAX(MROUND(_xlfn.XLOOKUP(B245,'Base stats'!B:B,'Base stats'!BS:BS) * (_xlfn.XLOOKUP(B245,'Base stats'!B:B,'Base stats'!AO:AO)*5%)^0.9 / 21,0.1),0.05))</f>
        <v>4.4000000000000004</v>
      </c>
      <c r="E245" s="11">
        <f>MROUND(_xlfn.XLOOKUP(B245,'Base stats'!B:B,'Base stats'!BG:BG) * 0.01 * 2 + 0.01, 0.05)</f>
        <v>4.05</v>
      </c>
      <c r="F245" s="7">
        <f>MROUND(_xlfn.XLOOKUP(B245,'Base stats'!B:B,'Base stats'!BD:BD)^0.25 / (_xlfn.XLOOKUP(B245,'Base stats'!B:B,'Base stats'!BK:BK) * 10) * 150 + 0.5 + _xlfn.XLOOKUP(B245,'Base stats'!B:B,'Base stats'!BW:BW), 0.05)</f>
        <v>3.3000000000000003</v>
      </c>
      <c r="G245" s="3" t="str">
        <f>IF(Animals!S245="No","No",
IF(_xlfn.XLOOKUP(B245,'Base stats'!B:B,'Base stats'!U:U)="No",
MAX(MROUND(_xlfn.XLOOKUP(B245,'Base stats'!B:B,'Base stats'!BT:BT) * _xlfn.XLOOKUP(B245,'Base stats'!B:B,'Base stats'!BP:BP)^0.9 / 21 * _xlfn.XLOOKUP(B245,'Base stats'!B:B,'Base stats'!BX:BX),0.1),0.05),
MAX(MROUND(((MIN(10,_xlfn.XLOOKUP(B245,'Base stats'!B:B,'Base stats'!U:U)))^0.4*_xlfn.XLOOKUP(B245,'Base stats'!B:B,'Base stats'!BH:BH)^0.73)^0.6 * _xlfn.XLOOKUP(B245,'Base stats'!B:B,'Base stats'!BX:BX),0.1),0.05)
))</f>
        <v>No</v>
      </c>
      <c r="H245" s="11" t="str">
        <f>IF(G245="No","No",
MROUND(_xlfn.XLOOKUP(B245,'Base stats'!B:B,'Base stats'!BH:BH) * 0.01 * 2 + 0.05, 0.05)
)</f>
        <v>No</v>
      </c>
      <c r="I245" s="11" t="str">
        <f>IF(G245="No","No",IF(_xlfn.XLOOKUP(B245,'Base stats'!B:B,'Base stats'!U:U)="No","No",
MROUND(_xlfn.XLOOKUP(B245,'Base stats'!B:B,'Base stats'!BT:BT)/10000+0.01,0.01)
))</f>
        <v>No</v>
      </c>
      <c r="J245" s="4" t="str">
        <f>IF(G245="No","No",
MROUND(_xlfn.XLOOKUP(B245,'Base stats'!B:B,'Base stats'!BE:BE)^0.25
/((_xlfn.XLOOKUP(B245,'Base stats'!B:B,'Base stats'!BL:BL))*10)*_xlfn.XLOOKUP(_xlfn.XLOOKUP(B245,'Base stats'!B:B,'Base stats'!E:E),Groups!A:A,Groups!Q:Q)*150 + 0.5 + _xlfn.XLOOKUP(B245,'Base stats'!B:B,'Base stats'!BW:BW),
0.05))</f>
        <v>No</v>
      </c>
      <c r="K245" s="3" t="str">
        <f>IF(Animals!X245="No","No",
IF(_xlfn.XLOOKUP(_xlfn.XLOOKUP(B245,'Base stats'!B:B,'Base stats'!E:E),Groups!A:A,Groups!BD:BD)=1,
MAX(MROUND(_xlfn.XLOOKUP(B245,'Base stats'!B:B,'Base stats'!BU:BU) * _xlfn.XLOOKUP(B245,'Base stats'!B:B,'Base stats'!BQ:BQ)^0.9 / 21 *_xlfn.XLOOKUP(B245,'Base stats'!B:B,'Base stats'!BX:BX),0.1),0.05),
MAX(MROUND(((MIN(10,_xlfn.XLOOKUP(B245,'Base stats'!B:B,'Base stats'!W:W)))^0.4*_xlfn.XLOOKUP(B245,'Base stats'!B:B,'Base stats'!BI:BI)^0.73)^0.6 *_xlfn.XLOOKUP(B245,'Base stats'!B:B,'Base stats'!BX:BX),0.1),0.05)
))</f>
        <v>No</v>
      </c>
      <c r="L245" s="11" t="str">
        <f>IF(K245="No","No",
MROUND(_xlfn.XLOOKUP(B245,'Base stats'!B:B,'Base stats'!BI:BI) * 0.01 *2 + 0.05, 0.05)
)</f>
        <v>No</v>
      </c>
      <c r="M245" s="5" t="str">
        <f>IF(K245="No","No",IF(_xlfn.XLOOKUP(_xlfn.XLOOKUP(B245,'Base stats'!B:B,'Base stats'!E:E),Groups!A:A,Groups!BD:BD)=1,"No",
MROUND(_xlfn.XLOOKUP(B245,'Base stats'!B:B,'Base stats'!BU:BU)/10000+0.01,0.01)
))</f>
        <v>No</v>
      </c>
      <c r="N245" s="4" t="str">
        <f>IF(K245="No","No",
MROUND(
  _xlfn.XLOOKUP(B245,'Base stats'!B:B,'Base stats'!BC:BC)^0.25
  / (_xlfn.XLOOKUP(B245,'Base stats'!B:B,'Base stats'!BM:BM) * 10)
  * _xlfn.XLOOKUP(
      _xlfn.XLOOKUP(B245,'Base stats'!B:B,'Base stats'!E:E),
      Groups!A:A,
      Groups!V:V
    ) * 150
  + MIN(12, _xlfn.XLOOKUP(B245,'Base stats'!B:B,'Base stats'!W:W))^(1/IF(_xlfn.XLOOKUP(_xlfn.XLOOKUP(B245,'Base stats'!B:B,'Base stats'!E:E),Groups!A:A,Groups!U:U)=1,100,10)) + 0.5 + _xlfn.XLOOKUP(B245,'Base stats'!B:B,'Base stats'!BW:BW),
0.05))</f>
        <v>No</v>
      </c>
      <c r="O245" s="3">
        <f>IF(Animals!AD245="No","No",
MAX(MROUND((MIN(10,_xlfn.XLOOKUP(B245,'Base stats'!B:B,'Base stats'!V:V)*IF(_xlfn.XLOOKUP(_xlfn.XLOOKUP(B245,'Base stats'!B:B,'Base stats'!E:E),Groups!A:A,Groups!O:O)=0,1,0.33))^0.4*_xlfn.XLOOKUP(B245,'Base stats'!B:B,'Base stats'!BJ:BJ)^0.73)^0.6 *_xlfn.XLOOKUP(B245,'Base stats'!B:B,'Base stats'!BX:BX),0.1),0.05)
)</f>
        <v>33</v>
      </c>
      <c r="P245" s="11">
        <f>IF(O245="No","No",
MROUND(_xlfn.XLOOKUP(B245,'Base stats'!B:B,'Base stats'!BJ:BJ) * 0.01 * 2 + 0.05, 0.05)
)</f>
        <v>27.400000000000002</v>
      </c>
      <c r="Q245" s="5">
        <f>IF(O245="No","No",
MROUND(_xlfn.XLOOKUP(B245,'Base stats'!B:B,'Base stats'!BV:BV)/10000+0.01,0.01)
)</f>
        <v>8.5400000000000009</v>
      </c>
      <c r="R245" s="4">
        <f>IF(O245="No","No",
MROUND(_xlfn.XLOOKUP(B245,'Base stats'!B:B,'Base stats'!BB:BB)^0.25
/((_xlfn.XLOOKUP(B245,'Base stats'!B:B,'Base stats'!BN:BN))*10)*_xlfn.XLOOKUP(_xlfn.XLOOKUP(B245,'Base stats'!B:B,'Base stats'!E:E),Groups!A:A,Groups!Z:Z)*150 + 0.5 + _xlfn.XLOOKUP(B245,'Base stats'!B:B,'Base stats'!BW:BW),
0.05))</f>
        <v>2.95</v>
      </c>
      <c r="S245" s="3" t="str">
        <f>IF(Animals!AI245="No","No",
IF(_xlfn.XLOOKUP(B245,'Base stats'!B:B,'Base stats'!U:U)="No",
MAX(MROUND(_xlfn.XLOOKUP(B245,'Base stats'!B:B,'Base stats'!BT:BT) * _xlfn.XLOOKUP(B245,'Base stats'!B:B,'Base stats'!BP:BP)^0.9 / 21 * _xlfn.XLOOKUP(B245,'Base stats'!B:B,'Base stats'!BX:BX),0.1),0.05),
MAX(MROUND(((MIN(12,_xlfn.XLOOKUP(B245,'Base stats'!B:B,'Base stats'!U:U)))^0.4*_xlfn.XLOOKUP(B245,'Base stats'!B:B,'Base stats'!BH:BH)^0.73)^0.6 * _xlfn.XLOOKUP(B245,'Base stats'!B:B,'Base stats'!BX:BX),0.1),0.05)
))</f>
        <v>No</v>
      </c>
      <c r="T245" s="11" t="str">
        <f>IF(S245="No","No",
MROUND(_xlfn.XLOOKUP(B245,'Base stats'!B:B,'Base stats'!BH:BH) * 0.01 * 2 + 0.05, 0.05)
)</f>
        <v>No</v>
      </c>
      <c r="U245" s="5" t="str">
        <f>IF(S245="No","No",IF(_xlfn.XLOOKUP(B245,'Base stats'!B:B,'Base stats'!U:U)="No","No",
MROUND(_xlfn.XLOOKUP(B245,'Base stats'!B:B,'Base stats'!BT:BT)/10000+0.01,0.01)
))</f>
        <v>No</v>
      </c>
      <c r="V245" s="4" t="str">
        <f>IF(S245="No","No",
MROUND(_xlfn.XLOOKUP(B245,'Base stats'!B:B,'Base stats'!BF:BF)^0.25
/((_xlfn.XLOOKUP(B245,'Base stats'!B:B,'Base stats'!BO:BO))*10)*_xlfn.XLOOKUP(_xlfn.XLOOKUP(B245,'Base stats'!B:B,'Base stats'!E:E),Groups!A:A,Groups!AE:AE)*150 + 0.5 + _xlfn.XLOOKUP(B245,'Base stats'!B:B,'Base stats'!BW:BW),
0.05))</f>
        <v>No</v>
      </c>
      <c r="W245" s="8">
        <f>MROUND(_xlfn.XLOOKUP(_xlfn.XLOOKUP(B245,'Base stats'!B:B,'Base stats'!E:E),Groups!A:A,Groups!BG:BG)*_xlfn.XLOOKUP(B245,'Base stats'!B:B,'Base stats'!C:C)^-0.165,0.05)</f>
        <v>0.1</v>
      </c>
      <c r="X245" s="1">
        <f>MROUND(_xlfn.XLOOKUP(_xlfn.XLOOKUP(B245,'Base stats'!B:B,'Base stats'!E:E),Groups!A:A,Groups!BH:BH)*_xlfn.XLOOKUP(B245,'Base stats'!B:B,'Base stats'!C:C)^0.165,0.05)</f>
        <v>0.4</v>
      </c>
      <c r="Y245" s="8">
        <f>MROUND(_xlfn.XLOOKUP(_xlfn.XLOOKUP(B245,'Base stats'!B:B,'Base stats'!E:E),Groups!A:A,Groups!BI:BI)*_xlfn.XLOOKUP(B245,'Base stats'!B:B,'Base stats'!C:C)^0.165,0.05)</f>
        <v>0.05</v>
      </c>
      <c r="Z245" s="18">
        <f>MROUND(_xlfn.XLOOKUP(B245,'Base stats'!B:B,'Base stats'!AQ:AQ)*_xlfn.XLOOKUP(_xlfn.XLOOKUP(B245,'Base stats'!B:B,'Base stats'!E:E),Groups!A:A,Groups!H:H)/1000,IF((_xlfn.XLOOKUP(B245,'Base stats'!B:B,'Base stats'!AQ:AQ)*_xlfn.XLOOKUP(_xlfn.XLOOKUP(B245,'Base stats'!B:B,'Base stats'!E:E),Groups!A:A,Groups!H:H)/1000)&gt;1,0.05,0.01))</f>
        <v>1.75</v>
      </c>
      <c r="AA245" s="18">
        <f>MROUND((1/2)*(_xlfn.XLOOKUP(_xlfn.XLOOKUP(B245,'Base stats'!B:B,'Base stats'!E:E),Groups!A:A,Groups!H:H)*_xlfn.XLOOKUP(_xlfn.XLOOKUP(B245,'Base stats'!B:B,'Base stats'!E:E),Groups!A:A,Groups!I:I))*_xlfn.XLOOKUP(B245,'Base stats'!B:B,'Base stats'!AQ:AQ)*0.01,0.05)</f>
        <v>0.2</v>
      </c>
      <c r="AB245" s="18">
        <f>MROUND(250*(Animals!AO245+Animals!AP245),25)</f>
        <v>1250</v>
      </c>
      <c r="AC245" s="18" t="str">
        <f>_xlfn.XLOOKUP(_xlfn.XLOOKUP(B245,'Base stats'!B:B,'Base stats'!E:E),Groups!A:A,Groups!BJ:BJ)</f>
        <v>QuadrupedLow</v>
      </c>
    </row>
    <row r="246" spans="1:29" ht="16.5" thickTop="1" thickBot="1" x14ac:dyDescent="0.3">
      <c r="A246" s="16" t="str">
        <f>Animals!A246</f>
        <v>CrepuscularBeetle</v>
      </c>
      <c r="B246" s="6" t="str">
        <f>Animals!B246</f>
        <v>Coleoptera crepusculi</v>
      </c>
      <c r="C246" s="1" t="str">
        <f>Animals!C246</f>
        <v>&lt;li&gt;AA_CrepuscularBeetle&lt;/li&gt;</v>
      </c>
      <c r="D246" s="47">
        <f>MIN(MIN(6,_xlfn.XLOOKUP(A246,Animals!A:A,Animals!AO:AO))*20,MAX(MROUND(_xlfn.XLOOKUP(B246,'Base stats'!B:B,'Base stats'!BS:BS) * (_xlfn.XLOOKUP(B246,'Base stats'!B:B,'Base stats'!AO:AO)*5%)^0.9 / 21,0.1),0.05))</f>
        <v>15</v>
      </c>
      <c r="E246" s="11">
        <f>MROUND(_xlfn.XLOOKUP(B246,'Base stats'!B:B,'Base stats'!BG:BG) * 0.01 * 2 + 0.01, 0.05)</f>
        <v>15.15</v>
      </c>
      <c r="F246" s="7">
        <f>MROUND(_xlfn.XLOOKUP(B246,'Base stats'!B:B,'Base stats'!BD:BD)^0.25 / (_xlfn.XLOOKUP(B246,'Base stats'!B:B,'Base stats'!BK:BK) * 10) * 150 + 0.5 + _xlfn.XLOOKUP(B246,'Base stats'!B:B,'Base stats'!BW:BW), 0.05)</f>
        <v>2.7</v>
      </c>
      <c r="G246" s="3" t="str">
        <f>IF(Animals!S246="No","No",
IF(_xlfn.XLOOKUP(B246,'Base stats'!B:B,'Base stats'!U:U)="No",
MAX(MROUND(_xlfn.XLOOKUP(B246,'Base stats'!B:B,'Base stats'!BT:BT) * _xlfn.XLOOKUP(B246,'Base stats'!B:B,'Base stats'!BP:BP)^0.9 / 21 * _xlfn.XLOOKUP(B246,'Base stats'!B:B,'Base stats'!BX:BX),0.1),0.05),
MAX(MROUND(((MIN(10,_xlfn.XLOOKUP(B246,'Base stats'!B:B,'Base stats'!U:U)))^0.4*_xlfn.XLOOKUP(B246,'Base stats'!B:B,'Base stats'!BH:BH)^0.73)^0.6 * _xlfn.XLOOKUP(B246,'Base stats'!B:B,'Base stats'!BX:BX),0.1),0.05)
))</f>
        <v>No</v>
      </c>
      <c r="H246" s="11" t="str">
        <f>IF(G246="No","No",
MROUND(_xlfn.XLOOKUP(B246,'Base stats'!B:B,'Base stats'!BH:BH) * 0.01 * 2 + 0.05, 0.05)
)</f>
        <v>No</v>
      </c>
      <c r="I246" s="11" t="str">
        <f>IF(G246="No","No",IF(_xlfn.XLOOKUP(B246,'Base stats'!B:B,'Base stats'!U:U)="No","No",
MROUND(_xlfn.XLOOKUP(B246,'Base stats'!B:B,'Base stats'!BT:BT)/10000+0.01,0.01)
))</f>
        <v>No</v>
      </c>
      <c r="J246" s="4" t="str">
        <f>IF(G246="No","No",
MROUND(_xlfn.XLOOKUP(B246,'Base stats'!B:B,'Base stats'!BE:BE)^0.25
/((_xlfn.XLOOKUP(B246,'Base stats'!B:B,'Base stats'!BL:BL))*10)*_xlfn.XLOOKUP(_xlfn.XLOOKUP(B246,'Base stats'!B:B,'Base stats'!E:E),Groups!A:A,Groups!Q:Q)*150 + 0.5 + _xlfn.XLOOKUP(B246,'Base stats'!B:B,'Base stats'!BW:BW),
0.05))</f>
        <v>No</v>
      </c>
      <c r="K246" s="3" t="str">
        <f>IF(Animals!X246="No","No",
IF(_xlfn.XLOOKUP(_xlfn.XLOOKUP(B246,'Base stats'!B:B,'Base stats'!E:E),Groups!A:A,Groups!BD:BD)=1,
MAX(MROUND(_xlfn.XLOOKUP(B246,'Base stats'!B:B,'Base stats'!BU:BU) * _xlfn.XLOOKUP(B246,'Base stats'!B:B,'Base stats'!BQ:BQ)^0.9 / 21 *_xlfn.XLOOKUP(B246,'Base stats'!B:B,'Base stats'!BX:BX),0.1),0.05),
MAX(MROUND(((MIN(10,_xlfn.XLOOKUP(B246,'Base stats'!B:B,'Base stats'!W:W)))^0.4*_xlfn.XLOOKUP(B246,'Base stats'!B:B,'Base stats'!BI:BI)^0.73)^0.6 *_xlfn.XLOOKUP(B246,'Base stats'!B:B,'Base stats'!BX:BX),0.1),0.05)
))</f>
        <v>No</v>
      </c>
      <c r="L246" s="11" t="str">
        <f>IF(K246="No","No",
MROUND(_xlfn.XLOOKUP(B246,'Base stats'!B:B,'Base stats'!BI:BI) * 0.01 *2 + 0.05, 0.05)
)</f>
        <v>No</v>
      </c>
      <c r="M246" s="5" t="str">
        <f>IF(K246="No","No",IF(_xlfn.XLOOKUP(_xlfn.XLOOKUP(B246,'Base stats'!B:B,'Base stats'!E:E),Groups!A:A,Groups!BD:BD)=1,"No",
MROUND(_xlfn.XLOOKUP(B246,'Base stats'!B:B,'Base stats'!BU:BU)/10000+0.01,0.01)
))</f>
        <v>No</v>
      </c>
      <c r="N246" s="4" t="str">
        <f>IF(K246="No","No",
MROUND(
  _xlfn.XLOOKUP(B246,'Base stats'!B:B,'Base stats'!BC:BC)^0.25
  / (_xlfn.XLOOKUP(B246,'Base stats'!B:B,'Base stats'!BM:BM) * 10)
  * _xlfn.XLOOKUP(
      _xlfn.XLOOKUP(B246,'Base stats'!B:B,'Base stats'!E:E),
      Groups!A:A,
      Groups!V:V
    ) * 150
  + MIN(12, _xlfn.XLOOKUP(B246,'Base stats'!B:B,'Base stats'!W:W))^(1/IF(_xlfn.XLOOKUP(_xlfn.XLOOKUP(B246,'Base stats'!B:B,'Base stats'!E:E),Groups!A:A,Groups!U:U)=1,100,10)) + 0.5 + _xlfn.XLOOKUP(B246,'Base stats'!B:B,'Base stats'!BW:BW),
0.05))</f>
        <v>No</v>
      </c>
      <c r="O246" s="3">
        <f>IF(Animals!AD246="No","No",
MAX(MROUND((MIN(10,_xlfn.XLOOKUP(B246,'Base stats'!B:B,'Base stats'!V:V)*IF(_xlfn.XLOOKUP(_xlfn.XLOOKUP(B246,'Base stats'!B:B,'Base stats'!E:E),Groups!A:A,Groups!O:O)=0,1,0.33))^0.4*_xlfn.XLOOKUP(B246,'Base stats'!B:B,'Base stats'!BJ:BJ)^0.73)^0.6 *_xlfn.XLOOKUP(B246,'Base stats'!B:B,'Base stats'!BX:BX),0.1),0.05)
)</f>
        <v>68.400000000000006</v>
      </c>
      <c r="P246" s="11">
        <f>IF(O246="No","No",
MROUND(_xlfn.XLOOKUP(B246,'Base stats'!B:B,'Base stats'!BJ:BJ) * 0.01 * 2 + 0.05, 0.05)
)</f>
        <v>87.850000000000009</v>
      </c>
      <c r="Q246" s="5">
        <f>IF(O246="No","No",
MROUND(_xlfn.XLOOKUP(B246,'Base stats'!B:B,'Base stats'!BV:BV)/10000+0.01,0.01)
)</f>
        <v>1.52</v>
      </c>
      <c r="R246" s="4">
        <f>IF(O246="No","No",
MROUND(_xlfn.XLOOKUP(B246,'Base stats'!B:B,'Base stats'!BB:BB)^0.25
/((_xlfn.XLOOKUP(B246,'Base stats'!B:B,'Base stats'!BN:BN))*10)*_xlfn.XLOOKUP(_xlfn.XLOOKUP(B246,'Base stats'!B:B,'Base stats'!E:E),Groups!A:A,Groups!Z:Z)*150 + 0.5 + _xlfn.XLOOKUP(B246,'Base stats'!B:B,'Base stats'!BW:BW),
0.05))</f>
        <v>2.7</v>
      </c>
      <c r="S246" s="3" t="str">
        <f>IF(Animals!AI246="No","No",
IF(_xlfn.XLOOKUP(B246,'Base stats'!B:B,'Base stats'!U:U)="No",
MAX(MROUND(_xlfn.XLOOKUP(B246,'Base stats'!B:B,'Base stats'!BT:BT) * _xlfn.XLOOKUP(B246,'Base stats'!B:B,'Base stats'!BP:BP)^0.9 / 21 * _xlfn.XLOOKUP(B246,'Base stats'!B:B,'Base stats'!BX:BX),0.1),0.05),
MAX(MROUND(((MIN(12,_xlfn.XLOOKUP(B246,'Base stats'!B:B,'Base stats'!U:U)))^0.4*_xlfn.XLOOKUP(B246,'Base stats'!B:B,'Base stats'!BH:BH)^0.73)^0.6 * _xlfn.XLOOKUP(B246,'Base stats'!B:B,'Base stats'!BX:BX),0.1),0.05)
))</f>
        <v>No</v>
      </c>
      <c r="T246" s="11" t="str">
        <f>IF(S246="No","No",
MROUND(_xlfn.XLOOKUP(B246,'Base stats'!B:B,'Base stats'!BH:BH) * 0.01 * 2 + 0.05, 0.05)
)</f>
        <v>No</v>
      </c>
      <c r="U246" s="5" t="str">
        <f>IF(S246="No","No",IF(_xlfn.XLOOKUP(B246,'Base stats'!B:B,'Base stats'!U:U)="No","No",
MROUND(_xlfn.XLOOKUP(B246,'Base stats'!B:B,'Base stats'!BT:BT)/10000+0.01,0.01)
))</f>
        <v>No</v>
      </c>
      <c r="V246" s="4" t="str">
        <f>IF(S246="No","No",
MROUND(_xlfn.XLOOKUP(B246,'Base stats'!B:B,'Base stats'!BF:BF)^0.25
/((_xlfn.XLOOKUP(B246,'Base stats'!B:B,'Base stats'!BO:BO))*10)*_xlfn.XLOOKUP(_xlfn.XLOOKUP(B246,'Base stats'!B:B,'Base stats'!E:E),Groups!A:A,Groups!AE:AE)*150 + 0.5 + _xlfn.XLOOKUP(B246,'Base stats'!B:B,'Base stats'!BW:BW),
0.05))</f>
        <v>No</v>
      </c>
      <c r="W246" s="8">
        <f>MROUND(_xlfn.XLOOKUP(_xlfn.XLOOKUP(B246,'Base stats'!B:B,'Base stats'!E:E),Groups!A:A,Groups!BG:BG)*_xlfn.XLOOKUP(B246,'Base stats'!B:B,'Base stats'!C:C)^-0.165,0.05)</f>
        <v>0.05</v>
      </c>
      <c r="X246" s="1">
        <f>MROUND(_xlfn.XLOOKUP(_xlfn.XLOOKUP(B246,'Base stats'!B:B,'Base stats'!E:E),Groups!A:A,Groups!BH:BH)*_xlfn.XLOOKUP(B246,'Base stats'!B:B,'Base stats'!C:C)^0.165,0.05)</f>
        <v>0.35000000000000003</v>
      </c>
      <c r="Y246" s="8">
        <f>MROUND(_xlfn.XLOOKUP(_xlfn.XLOOKUP(B246,'Base stats'!B:B,'Base stats'!E:E),Groups!A:A,Groups!BI:BI)*_xlfn.XLOOKUP(B246,'Base stats'!B:B,'Base stats'!C:C)^0.165,0.05)</f>
        <v>0.1</v>
      </c>
      <c r="Z246" s="18">
        <f>MROUND(_xlfn.XLOOKUP(B246,'Base stats'!B:B,'Base stats'!AQ:AQ)*_xlfn.XLOOKUP(_xlfn.XLOOKUP(B246,'Base stats'!B:B,'Base stats'!E:E),Groups!A:A,Groups!H:H)/1000,IF((_xlfn.XLOOKUP(B246,'Base stats'!B:B,'Base stats'!AQ:AQ)*_xlfn.XLOOKUP(_xlfn.XLOOKUP(B246,'Base stats'!B:B,'Base stats'!E:E),Groups!A:A,Groups!H:H)/1000)&gt;1,0.05,0.01))</f>
        <v>7.6000000000000005</v>
      </c>
      <c r="AA246" s="18">
        <f>MROUND((1/2)*(_xlfn.XLOOKUP(_xlfn.XLOOKUP(B246,'Base stats'!B:B,'Base stats'!E:E),Groups!A:A,Groups!H:H)*_xlfn.XLOOKUP(_xlfn.XLOOKUP(B246,'Base stats'!B:B,'Base stats'!E:E),Groups!A:A,Groups!I:I))*_xlfn.XLOOKUP(B246,'Base stats'!B:B,'Base stats'!AQ:AQ)*0.01,0.05)</f>
        <v>4.6500000000000004</v>
      </c>
      <c r="AB246" s="18">
        <f>MROUND(250*(Animals!AO246+Animals!AP246),25)</f>
        <v>1875</v>
      </c>
      <c r="AC246" s="18" t="str">
        <f>_xlfn.XLOOKUP(_xlfn.XLOOKUP(B246,'Base stats'!B:B,'Base stats'!E:E),Groups!A:A,Groups!BJ:BJ)</f>
        <v>QuadrupedLow</v>
      </c>
    </row>
    <row r="247" spans="1:29" ht="16.5" thickTop="1" thickBot="1" x14ac:dyDescent="0.3">
      <c r="A247" s="16" t="str">
        <f>Animals!A247</f>
        <v>CrescendoAnole</v>
      </c>
      <c r="B247" s="6" t="str">
        <f>Animals!B247</f>
        <v>Anolis audiens</v>
      </c>
      <c r="C247" s="1" t="str">
        <f>Animals!C247</f>
        <v>&lt;li&gt;AA_CrescendoAnole&lt;/li&gt;</v>
      </c>
      <c r="D247" s="47">
        <f>MIN(MIN(6,_xlfn.XLOOKUP(A247,Animals!A:A,Animals!AO:AO))*20,MAX(MROUND(_xlfn.XLOOKUP(B247,'Base stats'!B:B,'Base stats'!BS:BS) * (_xlfn.XLOOKUP(B247,'Base stats'!B:B,'Base stats'!AO:AO)*5%)^0.9 / 21,0.1),0.05))</f>
        <v>1.7000000000000002</v>
      </c>
      <c r="E247" s="11">
        <f>MROUND(_xlfn.XLOOKUP(B247,'Base stats'!B:B,'Base stats'!BG:BG) * 0.01 * 2 + 0.01, 0.05)</f>
        <v>1.4000000000000001</v>
      </c>
      <c r="F247" s="7">
        <f>MROUND(_xlfn.XLOOKUP(B247,'Base stats'!B:B,'Base stats'!BD:BD)^0.25 / (_xlfn.XLOOKUP(B247,'Base stats'!B:B,'Base stats'!BK:BK) * 10) * 150 + 0.5 + _xlfn.XLOOKUP(B247,'Base stats'!B:B,'Base stats'!BW:BW), 0.05)</f>
        <v>1.85</v>
      </c>
      <c r="G247" s="3" t="str">
        <f>IF(Animals!S247="No","No",
IF(_xlfn.XLOOKUP(B247,'Base stats'!B:B,'Base stats'!U:U)="No",
MAX(MROUND(_xlfn.XLOOKUP(B247,'Base stats'!B:B,'Base stats'!BT:BT) * _xlfn.XLOOKUP(B247,'Base stats'!B:B,'Base stats'!BP:BP)^0.9 / 21 * _xlfn.XLOOKUP(B247,'Base stats'!B:B,'Base stats'!BX:BX),0.1),0.05),
MAX(MROUND(((MIN(10,_xlfn.XLOOKUP(B247,'Base stats'!B:B,'Base stats'!U:U)))^0.4*_xlfn.XLOOKUP(B247,'Base stats'!B:B,'Base stats'!BH:BH)^0.73)^0.6 * _xlfn.XLOOKUP(B247,'Base stats'!B:B,'Base stats'!BX:BX),0.1),0.05)
))</f>
        <v>No</v>
      </c>
      <c r="H247" s="11" t="str">
        <f>IF(G247="No","No",
MROUND(_xlfn.XLOOKUP(B247,'Base stats'!B:B,'Base stats'!BH:BH) * 0.01 * 2 + 0.05, 0.05)
)</f>
        <v>No</v>
      </c>
      <c r="I247" s="11" t="str">
        <f>IF(G247="No","No",IF(_xlfn.XLOOKUP(B247,'Base stats'!B:B,'Base stats'!U:U)="No","No",
MROUND(_xlfn.XLOOKUP(B247,'Base stats'!B:B,'Base stats'!BT:BT)/10000+0.01,0.01)
))</f>
        <v>No</v>
      </c>
      <c r="J247" s="4" t="str">
        <f>IF(G247="No","No",
MROUND(_xlfn.XLOOKUP(B247,'Base stats'!B:B,'Base stats'!BE:BE)^0.25
/((_xlfn.XLOOKUP(B247,'Base stats'!B:B,'Base stats'!BL:BL))*10)*_xlfn.XLOOKUP(_xlfn.XLOOKUP(B247,'Base stats'!B:B,'Base stats'!E:E),Groups!A:A,Groups!Q:Q)*150 + 0.5 + _xlfn.XLOOKUP(B247,'Base stats'!B:B,'Base stats'!BW:BW),
0.05))</f>
        <v>No</v>
      </c>
      <c r="K247" s="3" t="str">
        <f>IF(Animals!X247="No","No",
IF(_xlfn.XLOOKUP(_xlfn.XLOOKUP(B247,'Base stats'!B:B,'Base stats'!E:E),Groups!A:A,Groups!BD:BD)=1,
MAX(MROUND(_xlfn.XLOOKUP(B247,'Base stats'!B:B,'Base stats'!BU:BU) * _xlfn.XLOOKUP(B247,'Base stats'!B:B,'Base stats'!BQ:BQ)^0.9 / 21 *_xlfn.XLOOKUP(B247,'Base stats'!B:B,'Base stats'!BX:BX),0.1),0.05),
MAX(MROUND(((MIN(10,_xlfn.XLOOKUP(B247,'Base stats'!B:B,'Base stats'!W:W)))^0.4*_xlfn.XLOOKUP(B247,'Base stats'!B:B,'Base stats'!BI:BI)^0.73)^0.6 *_xlfn.XLOOKUP(B247,'Base stats'!B:B,'Base stats'!BX:BX),0.1),0.05)
))</f>
        <v>No</v>
      </c>
      <c r="L247" s="11" t="str">
        <f>IF(K247="No","No",
MROUND(_xlfn.XLOOKUP(B247,'Base stats'!B:B,'Base stats'!BI:BI) * 0.01 *2 + 0.05, 0.05)
)</f>
        <v>No</v>
      </c>
      <c r="M247" s="5" t="str">
        <f>IF(K247="No","No",IF(_xlfn.XLOOKUP(_xlfn.XLOOKUP(B247,'Base stats'!B:B,'Base stats'!E:E),Groups!A:A,Groups!BD:BD)=1,"No",
MROUND(_xlfn.XLOOKUP(B247,'Base stats'!B:B,'Base stats'!BU:BU)/10000+0.01,0.01)
))</f>
        <v>No</v>
      </c>
      <c r="N247" s="4" t="str">
        <f>IF(K247="No","No",
MROUND(
  _xlfn.XLOOKUP(B247,'Base stats'!B:B,'Base stats'!BC:BC)^0.25
  / (_xlfn.XLOOKUP(B247,'Base stats'!B:B,'Base stats'!BM:BM) * 10)
  * _xlfn.XLOOKUP(
      _xlfn.XLOOKUP(B247,'Base stats'!B:B,'Base stats'!E:E),
      Groups!A:A,
      Groups!V:V
    ) * 150
  + MIN(12, _xlfn.XLOOKUP(B247,'Base stats'!B:B,'Base stats'!W:W))^(1/IF(_xlfn.XLOOKUP(_xlfn.XLOOKUP(B247,'Base stats'!B:B,'Base stats'!E:E),Groups!A:A,Groups!U:U)=1,100,10)) + 0.5 + _xlfn.XLOOKUP(B247,'Base stats'!B:B,'Base stats'!BW:BW),
0.05))</f>
        <v>No</v>
      </c>
      <c r="O247" s="3">
        <f>IF(Animals!AD247="No","No",
MAX(MROUND((MIN(10,_xlfn.XLOOKUP(B247,'Base stats'!B:B,'Base stats'!V:V)*IF(_xlfn.XLOOKUP(_xlfn.XLOOKUP(B247,'Base stats'!B:B,'Base stats'!E:E),Groups!A:A,Groups!O:O)=0,1,0.33))^0.4*_xlfn.XLOOKUP(B247,'Base stats'!B:B,'Base stats'!BJ:BJ)^0.73)^0.6 *_xlfn.XLOOKUP(B247,'Base stats'!B:B,'Base stats'!BX:BX),0.1),0.05)
)</f>
        <v>22.200000000000003</v>
      </c>
      <c r="P247" s="11">
        <f>IF(O247="No","No",
MROUND(_xlfn.XLOOKUP(B247,'Base stats'!B:B,'Base stats'!BJ:BJ) * 0.01 * 2 + 0.05, 0.05)
)</f>
        <v>14.350000000000001</v>
      </c>
      <c r="Q247" s="5">
        <f>IF(O247="No","No",
MROUND(_xlfn.XLOOKUP(B247,'Base stats'!B:B,'Base stats'!BV:BV)/10000+0.01,0.01)
)</f>
        <v>1</v>
      </c>
      <c r="R247" s="4">
        <f>IF(O247="No","No",
MROUND(_xlfn.XLOOKUP(B247,'Base stats'!B:B,'Base stats'!BB:BB)^0.25
/((_xlfn.XLOOKUP(B247,'Base stats'!B:B,'Base stats'!BN:BN))*10)*_xlfn.XLOOKUP(_xlfn.XLOOKUP(B247,'Base stats'!B:B,'Base stats'!E:E),Groups!A:A,Groups!Z:Z)*150 + 0.5 + _xlfn.XLOOKUP(B247,'Base stats'!B:B,'Base stats'!BW:BW),
0.05))</f>
        <v>2.6</v>
      </c>
      <c r="S247" s="3">
        <f>IF(Animals!AI247="No","No",
IF(_xlfn.XLOOKUP(B247,'Base stats'!B:B,'Base stats'!U:U)="No",
MAX(MROUND(_xlfn.XLOOKUP(B247,'Base stats'!B:B,'Base stats'!BT:BT) * _xlfn.XLOOKUP(B247,'Base stats'!B:B,'Base stats'!BP:BP)^0.9 / 21 * _xlfn.XLOOKUP(B247,'Base stats'!B:B,'Base stats'!BX:BX),0.1),0.05),
MAX(MROUND(((MIN(12,_xlfn.XLOOKUP(B247,'Base stats'!B:B,'Base stats'!U:U)))^0.4*_xlfn.XLOOKUP(B247,'Base stats'!B:B,'Base stats'!BH:BH)^0.73)^0.6 * _xlfn.XLOOKUP(B247,'Base stats'!B:B,'Base stats'!BX:BX),0.1),0.05)
))</f>
        <v>8.5</v>
      </c>
      <c r="T247" s="11">
        <f>IF(S247="No","No",
MROUND(_xlfn.XLOOKUP(B247,'Base stats'!B:B,'Base stats'!BH:BH) * 0.01 * 2 + 0.05, 0.05)
)</f>
        <v>1.85</v>
      </c>
      <c r="U247" s="5">
        <f>IF(S247="No","No",IF(_xlfn.XLOOKUP(B247,'Base stats'!B:B,'Base stats'!U:U)="No","No",
MROUND(_xlfn.XLOOKUP(B247,'Base stats'!B:B,'Base stats'!BT:BT)/10000+0.01,0.01)
))</f>
        <v>0.13</v>
      </c>
      <c r="V247" s="4">
        <f>IF(S247="No","No",
MROUND(_xlfn.XLOOKUP(B247,'Base stats'!B:B,'Base stats'!BF:BF)^0.25
/((_xlfn.XLOOKUP(B247,'Base stats'!B:B,'Base stats'!BO:BO))*10)*_xlfn.XLOOKUP(_xlfn.XLOOKUP(B247,'Base stats'!B:B,'Base stats'!E:E),Groups!A:A,Groups!AE:AE)*150 + 0.5 + _xlfn.XLOOKUP(B247,'Base stats'!B:B,'Base stats'!BW:BW),
0.05))</f>
        <v>1.4000000000000001</v>
      </c>
      <c r="W247" s="8">
        <f>MROUND(_xlfn.XLOOKUP(_xlfn.XLOOKUP(B247,'Base stats'!B:B,'Base stats'!E:E),Groups!A:A,Groups!BG:BG)*_xlfn.XLOOKUP(B247,'Base stats'!B:B,'Base stats'!C:C)^-0.165,0.05)</f>
        <v>0.25</v>
      </c>
      <c r="X247" s="1">
        <f>MROUND(_xlfn.XLOOKUP(_xlfn.XLOOKUP(B247,'Base stats'!B:B,'Base stats'!E:E),Groups!A:A,Groups!BH:BH)*_xlfn.XLOOKUP(B247,'Base stats'!B:B,'Base stats'!C:C)^0.165,0.05)</f>
        <v>0.4</v>
      </c>
      <c r="Y247" s="8">
        <f>MROUND(_xlfn.XLOOKUP(_xlfn.XLOOKUP(B247,'Base stats'!B:B,'Base stats'!E:E),Groups!A:A,Groups!BI:BI)*_xlfn.XLOOKUP(B247,'Base stats'!B:B,'Base stats'!C:C)^0.165,0.05)</f>
        <v>0.05</v>
      </c>
      <c r="Z247" s="18">
        <f>MROUND(_xlfn.XLOOKUP(B247,'Base stats'!B:B,'Base stats'!AQ:AQ)*_xlfn.XLOOKUP(_xlfn.XLOOKUP(B247,'Base stats'!B:B,'Base stats'!E:E),Groups!A:A,Groups!H:H)/1000,IF((_xlfn.XLOOKUP(B247,'Base stats'!B:B,'Base stats'!AQ:AQ)*_xlfn.XLOOKUP(_xlfn.XLOOKUP(B247,'Base stats'!B:B,'Base stats'!E:E),Groups!A:A,Groups!H:H)/1000)&gt;1,0.05,0.01))</f>
        <v>0.06</v>
      </c>
      <c r="AA247" s="18">
        <f>MROUND((1/2)*(_xlfn.XLOOKUP(_xlfn.XLOOKUP(B247,'Base stats'!B:B,'Base stats'!E:E),Groups!A:A,Groups!H:H)*_xlfn.XLOOKUP(_xlfn.XLOOKUP(B247,'Base stats'!B:B,'Base stats'!E:E),Groups!A:A,Groups!I:I))*_xlfn.XLOOKUP(B247,'Base stats'!B:B,'Base stats'!AQ:AQ)*0.01,0.05)</f>
        <v>0.25</v>
      </c>
      <c r="AB247" s="18">
        <f>MROUND(250*(Animals!AO247+Animals!AP247),25)</f>
        <v>850</v>
      </c>
      <c r="AC247" s="18" t="str">
        <f>_xlfn.XLOOKUP(_xlfn.XLOOKUP(B247,'Base stats'!B:B,'Base stats'!E:E),Groups!A:A,Groups!BJ:BJ)</f>
        <v>QuadrupedLow</v>
      </c>
    </row>
    <row r="248" spans="1:29" ht="16.5" thickTop="1" thickBot="1" x14ac:dyDescent="0.3">
      <c r="A248" s="16" t="str">
        <f>Animals!A248</f>
        <v>CrystallineCaracal</v>
      </c>
      <c r="B248" s="6" t="str">
        <f>Animals!B248</f>
        <v>Caracal crystallinus</v>
      </c>
      <c r="C248" s="1" t="str">
        <f>Animals!C248</f>
        <v>&lt;li&gt;AA_CrystallineCaracal&lt;/li&gt;</v>
      </c>
      <c r="D248" s="47">
        <f>MIN(MIN(6,_xlfn.XLOOKUP(A248,Animals!A:A,Animals!AO:AO))*20,MAX(MROUND(_xlfn.XLOOKUP(B248,'Base stats'!B:B,'Base stats'!BS:BS) * (_xlfn.XLOOKUP(B248,'Base stats'!B:B,'Base stats'!AO:AO)*5%)^0.9 / 21,0.1),0.05))</f>
        <v>0.8</v>
      </c>
      <c r="E248" s="11">
        <f>MROUND(_xlfn.XLOOKUP(B248,'Base stats'!B:B,'Base stats'!BG:BG) * 0.01 * 2 + 0.01, 0.05)</f>
        <v>0.60000000000000009</v>
      </c>
      <c r="F248" s="7">
        <f>MROUND(_xlfn.XLOOKUP(B248,'Base stats'!B:B,'Base stats'!BD:BD)^0.25 / (_xlfn.XLOOKUP(B248,'Base stats'!B:B,'Base stats'!BK:BK) * 10) * 150 + 0.5 + _xlfn.XLOOKUP(B248,'Base stats'!B:B,'Base stats'!BW:BW), 0.05)</f>
        <v>1.6500000000000001</v>
      </c>
      <c r="G248" s="3" t="str">
        <f>IF(Animals!S248="No","No",
IF(_xlfn.XLOOKUP(B248,'Base stats'!B:B,'Base stats'!U:U)="No",
MAX(MROUND(_xlfn.XLOOKUP(B248,'Base stats'!B:B,'Base stats'!BT:BT) * _xlfn.XLOOKUP(B248,'Base stats'!B:B,'Base stats'!BP:BP)^0.9 / 21 * _xlfn.XLOOKUP(B248,'Base stats'!B:B,'Base stats'!BX:BX),0.1),0.05),
MAX(MROUND(((MIN(10,_xlfn.XLOOKUP(B248,'Base stats'!B:B,'Base stats'!U:U)))^0.4*_xlfn.XLOOKUP(B248,'Base stats'!B:B,'Base stats'!BH:BH)^0.73)^0.6 * _xlfn.XLOOKUP(B248,'Base stats'!B:B,'Base stats'!BX:BX),0.1),0.05)
))</f>
        <v>No</v>
      </c>
      <c r="H248" s="11" t="str">
        <f>IF(G248="No","No",
MROUND(_xlfn.XLOOKUP(B248,'Base stats'!B:B,'Base stats'!BH:BH) * 0.01 * 2 + 0.05, 0.05)
)</f>
        <v>No</v>
      </c>
      <c r="I248" s="11" t="str">
        <f>IF(G248="No","No",IF(_xlfn.XLOOKUP(B248,'Base stats'!B:B,'Base stats'!U:U)="No","No",
MROUND(_xlfn.XLOOKUP(B248,'Base stats'!B:B,'Base stats'!BT:BT)/10000+0.01,0.01)
))</f>
        <v>No</v>
      </c>
      <c r="J248" s="4" t="str">
        <f>IF(G248="No","No",
MROUND(_xlfn.XLOOKUP(B248,'Base stats'!B:B,'Base stats'!BE:BE)^0.25
/((_xlfn.XLOOKUP(B248,'Base stats'!B:B,'Base stats'!BL:BL))*10)*_xlfn.XLOOKUP(_xlfn.XLOOKUP(B248,'Base stats'!B:B,'Base stats'!E:E),Groups!A:A,Groups!Q:Q)*150 + 0.5 + _xlfn.XLOOKUP(B248,'Base stats'!B:B,'Base stats'!BW:BW),
0.05))</f>
        <v>No</v>
      </c>
      <c r="K248" s="3" t="str">
        <f>IF(Animals!X248="No","No",
IF(_xlfn.XLOOKUP(_xlfn.XLOOKUP(B248,'Base stats'!B:B,'Base stats'!E:E),Groups!A:A,Groups!BD:BD)=1,
MAX(MROUND(_xlfn.XLOOKUP(B248,'Base stats'!B:B,'Base stats'!BU:BU) * _xlfn.XLOOKUP(B248,'Base stats'!B:B,'Base stats'!BQ:BQ)^0.9 / 21 *_xlfn.XLOOKUP(B248,'Base stats'!B:B,'Base stats'!BX:BX),0.1),0.05),
MAX(MROUND(((MIN(10,_xlfn.XLOOKUP(B248,'Base stats'!B:B,'Base stats'!W:W)))^0.4*_xlfn.XLOOKUP(B248,'Base stats'!B:B,'Base stats'!BI:BI)^0.73)^0.6 *_xlfn.XLOOKUP(B248,'Base stats'!B:B,'Base stats'!BX:BX),0.1),0.05)
))</f>
        <v>No</v>
      </c>
      <c r="L248" s="11" t="str">
        <f>IF(K248="No","No",
MROUND(_xlfn.XLOOKUP(B248,'Base stats'!B:B,'Base stats'!BI:BI) * 0.01 *2 + 0.05, 0.05)
)</f>
        <v>No</v>
      </c>
      <c r="M248" s="5" t="str">
        <f>IF(K248="No","No",IF(_xlfn.XLOOKUP(_xlfn.XLOOKUP(B248,'Base stats'!B:B,'Base stats'!E:E),Groups!A:A,Groups!BD:BD)=1,"No",
MROUND(_xlfn.XLOOKUP(B248,'Base stats'!B:B,'Base stats'!BU:BU)/10000+0.01,0.01)
))</f>
        <v>No</v>
      </c>
      <c r="N248" s="4" t="str">
        <f>IF(K248="No","No",
MROUND(
  _xlfn.XLOOKUP(B248,'Base stats'!B:B,'Base stats'!BC:BC)^0.25
  / (_xlfn.XLOOKUP(B248,'Base stats'!B:B,'Base stats'!BM:BM) * 10)
  * _xlfn.XLOOKUP(
      _xlfn.XLOOKUP(B248,'Base stats'!B:B,'Base stats'!E:E),
      Groups!A:A,
      Groups!V:V
    ) * 150
  + MIN(12, _xlfn.XLOOKUP(B248,'Base stats'!B:B,'Base stats'!W:W))^(1/IF(_xlfn.XLOOKUP(_xlfn.XLOOKUP(B248,'Base stats'!B:B,'Base stats'!E:E),Groups!A:A,Groups!U:U)=1,100,10)) + 0.5 + _xlfn.XLOOKUP(B248,'Base stats'!B:B,'Base stats'!BW:BW),
0.05))</f>
        <v>No</v>
      </c>
      <c r="O248" s="3">
        <f>IF(Animals!AD248="No","No",
MAX(MROUND((MIN(10,_xlfn.XLOOKUP(B248,'Base stats'!B:B,'Base stats'!V:V)*IF(_xlfn.XLOOKUP(_xlfn.XLOOKUP(B248,'Base stats'!B:B,'Base stats'!E:E),Groups!A:A,Groups!O:O)=0,1,0.33))^0.4*_xlfn.XLOOKUP(B248,'Base stats'!B:B,'Base stats'!BJ:BJ)^0.73)^0.6 *_xlfn.XLOOKUP(B248,'Base stats'!B:B,'Base stats'!BX:BX),0.1),0.05)
)</f>
        <v>8.2000000000000011</v>
      </c>
      <c r="P248" s="11">
        <f>IF(O248="No","No",
MROUND(_xlfn.XLOOKUP(B248,'Base stats'!B:B,'Base stats'!BJ:BJ) * 0.01 * 2 + 0.05, 0.05)
)</f>
        <v>1.6500000000000001</v>
      </c>
      <c r="Q248" s="5">
        <f>IF(O248="No","No",
MROUND(_xlfn.XLOOKUP(B248,'Base stats'!B:B,'Base stats'!BV:BV)/10000+0.01,0.01)
)</f>
        <v>0.17</v>
      </c>
      <c r="R248" s="4">
        <f>IF(O248="No","No",
MROUND(_xlfn.XLOOKUP(B248,'Base stats'!B:B,'Base stats'!BB:BB)^0.25
/((_xlfn.XLOOKUP(B248,'Base stats'!B:B,'Base stats'!BN:BN))*10)*_xlfn.XLOOKUP(_xlfn.XLOOKUP(B248,'Base stats'!B:B,'Base stats'!E:E),Groups!A:A,Groups!Z:Z)*150 + 0.5 + _xlfn.XLOOKUP(B248,'Base stats'!B:B,'Base stats'!BW:BW),
0.05))</f>
        <v>1.85</v>
      </c>
      <c r="S248" s="3">
        <f>IF(Animals!AI248="No","No",
IF(_xlfn.XLOOKUP(B248,'Base stats'!B:B,'Base stats'!U:U)="No",
MAX(MROUND(_xlfn.XLOOKUP(B248,'Base stats'!B:B,'Base stats'!BT:BT) * _xlfn.XLOOKUP(B248,'Base stats'!B:B,'Base stats'!BP:BP)^0.9 / 21 * _xlfn.XLOOKUP(B248,'Base stats'!B:B,'Base stats'!BX:BX),0.1),0.05),
MAX(MROUND(((MIN(12,_xlfn.XLOOKUP(B248,'Base stats'!B:B,'Base stats'!U:U)))^0.4*_xlfn.XLOOKUP(B248,'Base stats'!B:B,'Base stats'!BH:BH)^0.73)^0.6 * _xlfn.XLOOKUP(B248,'Base stats'!B:B,'Base stats'!BX:BX),0.1),0.05)
))</f>
        <v>6.9</v>
      </c>
      <c r="T248" s="11">
        <f>IF(S248="No","No",
MROUND(_xlfn.XLOOKUP(B248,'Base stats'!B:B,'Base stats'!BH:BH) * 0.01 * 2 + 0.05, 0.05)
)</f>
        <v>0.85000000000000009</v>
      </c>
      <c r="U248" s="5">
        <f>IF(S248="No","No",IF(_xlfn.XLOOKUP(B248,'Base stats'!B:B,'Base stats'!U:U)="No","No",
MROUND(_xlfn.XLOOKUP(B248,'Base stats'!B:B,'Base stats'!BT:BT)/10000+0.01,0.01)
))</f>
        <v>0.09</v>
      </c>
      <c r="V248" s="4">
        <f>IF(S248="No","No",
MROUND(_xlfn.XLOOKUP(B248,'Base stats'!B:B,'Base stats'!BF:BF)^0.25
/((_xlfn.XLOOKUP(B248,'Base stats'!B:B,'Base stats'!BO:BO))*10)*_xlfn.XLOOKUP(_xlfn.XLOOKUP(B248,'Base stats'!B:B,'Base stats'!E:E),Groups!A:A,Groups!AE:AE)*150 + 0.5 + _xlfn.XLOOKUP(B248,'Base stats'!B:B,'Base stats'!BW:BW),
0.05))</f>
        <v>1.3</v>
      </c>
      <c r="W248" s="8">
        <f>MROUND(_xlfn.XLOOKUP(_xlfn.XLOOKUP(B248,'Base stats'!B:B,'Base stats'!E:E),Groups!A:A,Groups!BG:BG)*_xlfn.XLOOKUP(B248,'Base stats'!B:B,'Base stats'!C:C)^-0.165,0.05)</f>
        <v>0.75</v>
      </c>
      <c r="X248" s="1">
        <f>MROUND(_xlfn.XLOOKUP(_xlfn.XLOOKUP(B248,'Base stats'!B:B,'Base stats'!E:E),Groups!A:A,Groups!BH:BH)*_xlfn.XLOOKUP(B248,'Base stats'!B:B,'Base stats'!C:C)^0.165,0.05)</f>
        <v>0.4</v>
      </c>
      <c r="Y248" s="8">
        <f>MROUND(_xlfn.XLOOKUP(_xlfn.XLOOKUP(B248,'Base stats'!B:B,'Base stats'!E:E),Groups!A:A,Groups!BI:BI)*_xlfn.XLOOKUP(B248,'Base stats'!B:B,'Base stats'!C:C)^0.165,0.05)</f>
        <v>0.05</v>
      </c>
      <c r="Z248" s="18">
        <f>MROUND(_xlfn.XLOOKUP(B248,'Base stats'!B:B,'Base stats'!AQ:AQ)*_xlfn.XLOOKUP(_xlfn.XLOOKUP(B248,'Base stats'!B:B,'Base stats'!E:E),Groups!A:A,Groups!H:H)/1000,IF((_xlfn.XLOOKUP(B248,'Base stats'!B:B,'Base stats'!AQ:AQ)*_xlfn.XLOOKUP(_xlfn.XLOOKUP(B248,'Base stats'!B:B,'Base stats'!E:E),Groups!A:A,Groups!H:H)/1000)&gt;1,0.05,0.01))</f>
        <v>0.06</v>
      </c>
      <c r="AA248" s="18">
        <f>MROUND((1/2)*(_xlfn.XLOOKUP(_xlfn.XLOOKUP(B248,'Base stats'!B:B,'Base stats'!E:E),Groups!A:A,Groups!H:H)*_xlfn.XLOOKUP(_xlfn.XLOOKUP(B248,'Base stats'!B:B,'Base stats'!E:E),Groups!A:A,Groups!I:I))*_xlfn.XLOOKUP(B248,'Base stats'!B:B,'Base stats'!AQ:AQ)*0.01,0.05)</f>
        <v>0.25</v>
      </c>
      <c r="AB248" s="18">
        <f>MROUND(250*(Animals!AO248+Animals!AP248),25)</f>
        <v>300</v>
      </c>
      <c r="AC248" s="18" t="str">
        <f>_xlfn.XLOOKUP(_xlfn.XLOOKUP(B248,'Base stats'!B:B,'Base stats'!E:E),Groups!A:A,Groups!BJ:BJ)</f>
        <v>Quadruped</v>
      </c>
    </row>
    <row r="249" spans="1:29" ht="16.5" thickTop="1" thickBot="1" x14ac:dyDescent="0.3">
      <c r="A249" s="16" t="str">
        <f>Animals!A249</f>
        <v>CrystalMit</v>
      </c>
      <c r="B249" s="6" t="str">
        <f>Animals!B249</f>
        <v>Acarus crystallis</v>
      </c>
      <c r="C249" s="1" t="str">
        <f>Animals!C249</f>
        <v>&lt;li&gt;AA_CrystalMit&lt;/li&gt;</v>
      </c>
      <c r="D249" s="47">
        <f>MIN(MIN(6,_xlfn.XLOOKUP(A249,Animals!A:A,Animals!AO:AO))*20,MAX(MROUND(_xlfn.XLOOKUP(B249,'Base stats'!B:B,'Base stats'!BS:BS) * (_xlfn.XLOOKUP(B249,'Base stats'!B:B,'Base stats'!AO:AO)*5%)^0.9 / 21,0.1),0.05))</f>
        <v>0.30000000000000004</v>
      </c>
      <c r="E249" s="11">
        <f>MROUND(_xlfn.XLOOKUP(B249,'Base stats'!B:B,'Base stats'!BG:BG) * 0.01 * 2 + 0.01, 0.05)</f>
        <v>0.25</v>
      </c>
      <c r="F249" s="7">
        <f>MROUND(_xlfn.XLOOKUP(B249,'Base stats'!B:B,'Base stats'!BD:BD)^0.25 / (_xlfn.XLOOKUP(B249,'Base stats'!B:B,'Base stats'!BK:BK) * 10) * 150 + 0.5 + _xlfn.XLOOKUP(B249,'Base stats'!B:B,'Base stats'!BW:BW), 0.05)</f>
        <v>1.9000000000000001</v>
      </c>
      <c r="G249" s="3" t="str">
        <f>IF(Animals!S249="No","No",
IF(_xlfn.XLOOKUP(B249,'Base stats'!B:B,'Base stats'!U:U)="No",
MAX(MROUND(_xlfn.XLOOKUP(B249,'Base stats'!B:B,'Base stats'!BT:BT) * _xlfn.XLOOKUP(B249,'Base stats'!B:B,'Base stats'!BP:BP)^0.9 / 21 * _xlfn.XLOOKUP(B249,'Base stats'!B:B,'Base stats'!BX:BX),0.1),0.05),
MAX(MROUND(((MIN(10,_xlfn.XLOOKUP(B249,'Base stats'!B:B,'Base stats'!U:U)))^0.4*_xlfn.XLOOKUP(B249,'Base stats'!B:B,'Base stats'!BH:BH)^0.73)^0.6 * _xlfn.XLOOKUP(B249,'Base stats'!B:B,'Base stats'!BX:BX),0.1),0.05)
))</f>
        <v>No</v>
      </c>
      <c r="H249" s="11" t="str">
        <f>IF(G249="No","No",
MROUND(_xlfn.XLOOKUP(B249,'Base stats'!B:B,'Base stats'!BH:BH) * 0.01 * 2 + 0.05, 0.05)
)</f>
        <v>No</v>
      </c>
      <c r="I249" s="11" t="str">
        <f>IF(G249="No","No",IF(_xlfn.XLOOKUP(B249,'Base stats'!B:B,'Base stats'!U:U)="No","No",
MROUND(_xlfn.XLOOKUP(B249,'Base stats'!B:B,'Base stats'!BT:BT)/10000+0.01,0.01)
))</f>
        <v>No</v>
      </c>
      <c r="J249" s="4" t="str">
        <f>IF(G249="No","No",
MROUND(_xlfn.XLOOKUP(B249,'Base stats'!B:B,'Base stats'!BE:BE)^0.25
/((_xlfn.XLOOKUP(B249,'Base stats'!B:B,'Base stats'!BL:BL))*10)*_xlfn.XLOOKUP(_xlfn.XLOOKUP(B249,'Base stats'!B:B,'Base stats'!E:E),Groups!A:A,Groups!Q:Q)*150 + 0.5 + _xlfn.XLOOKUP(B249,'Base stats'!B:B,'Base stats'!BW:BW),
0.05))</f>
        <v>No</v>
      </c>
      <c r="K249" s="3" t="str">
        <f>IF(Animals!X249="No","No",
IF(_xlfn.XLOOKUP(_xlfn.XLOOKUP(B249,'Base stats'!B:B,'Base stats'!E:E),Groups!A:A,Groups!BD:BD)=1,
MAX(MROUND(_xlfn.XLOOKUP(B249,'Base stats'!B:B,'Base stats'!BU:BU) * _xlfn.XLOOKUP(B249,'Base stats'!B:B,'Base stats'!BQ:BQ)^0.9 / 21 *_xlfn.XLOOKUP(B249,'Base stats'!B:B,'Base stats'!BX:BX),0.1),0.05),
MAX(MROUND(((MIN(10,_xlfn.XLOOKUP(B249,'Base stats'!B:B,'Base stats'!W:W)))^0.4*_xlfn.XLOOKUP(B249,'Base stats'!B:B,'Base stats'!BI:BI)^0.73)^0.6 *_xlfn.XLOOKUP(B249,'Base stats'!B:B,'Base stats'!BX:BX),0.1),0.05)
))</f>
        <v>No</v>
      </c>
      <c r="L249" s="11" t="str">
        <f>IF(K249="No","No",
MROUND(_xlfn.XLOOKUP(B249,'Base stats'!B:B,'Base stats'!BI:BI) * 0.01 *2 + 0.05, 0.05)
)</f>
        <v>No</v>
      </c>
      <c r="M249" s="5" t="str">
        <f>IF(K249="No","No",IF(_xlfn.XLOOKUP(_xlfn.XLOOKUP(B249,'Base stats'!B:B,'Base stats'!E:E),Groups!A:A,Groups!BD:BD)=1,"No",
MROUND(_xlfn.XLOOKUP(B249,'Base stats'!B:B,'Base stats'!BU:BU)/10000+0.01,0.01)
))</f>
        <v>No</v>
      </c>
      <c r="N249" s="4" t="str">
        <f>IF(K249="No","No",
MROUND(
  _xlfn.XLOOKUP(B249,'Base stats'!B:B,'Base stats'!BC:BC)^0.25
  / (_xlfn.XLOOKUP(B249,'Base stats'!B:B,'Base stats'!BM:BM) * 10)
  * _xlfn.XLOOKUP(
      _xlfn.XLOOKUP(B249,'Base stats'!B:B,'Base stats'!E:E),
      Groups!A:A,
      Groups!V:V
    ) * 150
  + MIN(12, _xlfn.XLOOKUP(B249,'Base stats'!B:B,'Base stats'!W:W))^(1/IF(_xlfn.XLOOKUP(_xlfn.XLOOKUP(B249,'Base stats'!B:B,'Base stats'!E:E),Groups!A:A,Groups!U:U)=1,100,10)) + 0.5 + _xlfn.XLOOKUP(B249,'Base stats'!B:B,'Base stats'!BW:BW),
0.05))</f>
        <v>No</v>
      </c>
      <c r="O249" s="3" t="str">
        <f>IF(Animals!AD249="No","No",
MAX(MROUND((MIN(10,_xlfn.XLOOKUP(B249,'Base stats'!B:B,'Base stats'!V:V)*IF(_xlfn.XLOOKUP(_xlfn.XLOOKUP(B249,'Base stats'!B:B,'Base stats'!E:E),Groups!A:A,Groups!O:O)=0,1,0.33))^0.4*_xlfn.XLOOKUP(B249,'Base stats'!B:B,'Base stats'!BJ:BJ)^0.73)^0.6 *_xlfn.XLOOKUP(B249,'Base stats'!B:B,'Base stats'!BX:BX),0.1),0.05)
)</f>
        <v>No</v>
      </c>
      <c r="P249" s="11" t="str">
        <f>IF(O249="No","No",
MROUND(_xlfn.XLOOKUP(B249,'Base stats'!B:B,'Base stats'!BJ:BJ) * 0.01 * 2 + 0.05, 0.05)
)</f>
        <v>No</v>
      </c>
      <c r="Q249" s="5" t="str">
        <f>IF(O249="No","No",
MROUND(_xlfn.XLOOKUP(B249,'Base stats'!B:B,'Base stats'!BV:BV)/10000+0.01,0.01)
)</f>
        <v>No</v>
      </c>
      <c r="R249" s="4" t="str">
        <f>IF(O249="No","No",
MROUND(_xlfn.XLOOKUP(B249,'Base stats'!B:B,'Base stats'!BB:BB)^0.25
/((_xlfn.XLOOKUP(B249,'Base stats'!B:B,'Base stats'!BN:BN))*10)*_xlfn.XLOOKUP(_xlfn.XLOOKUP(B249,'Base stats'!B:B,'Base stats'!E:E),Groups!A:A,Groups!Z:Z)*150 + 0.5 + _xlfn.XLOOKUP(B249,'Base stats'!B:B,'Base stats'!BW:BW),
0.05))</f>
        <v>No</v>
      </c>
      <c r="S249" s="3">
        <f>IF(Animals!AI249="No","No",
IF(_xlfn.XLOOKUP(B249,'Base stats'!B:B,'Base stats'!U:U)="No",
MAX(MROUND(_xlfn.XLOOKUP(B249,'Base stats'!B:B,'Base stats'!BT:BT) * _xlfn.XLOOKUP(B249,'Base stats'!B:B,'Base stats'!BP:BP)^0.9 / 21 * _xlfn.XLOOKUP(B249,'Base stats'!B:B,'Base stats'!BX:BX),0.1),0.05),
MAX(MROUND(((MIN(12,_xlfn.XLOOKUP(B249,'Base stats'!B:B,'Base stats'!U:U)))^0.4*_xlfn.XLOOKUP(B249,'Base stats'!B:B,'Base stats'!BH:BH)^0.73)^0.6 * _xlfn.XLOOKUP(B249,'Base stats'!B:B,'Base stats'!BX:BX),0.1),0.05)
))</f>
        <v>4.1000000000000005</v>
      </c>
      <c r="T249" s="11">
        <f>IF(S249="No","No",
MROUND(_xlfn.XLOOKUP(B249,'Base stats'!B:B,'Base stats'!BH:BH) * 0.01 * 2 + 0.05, 0.05)
)</f>
        <v>0.35000000000000003</v>
      </c>
      <c r="U249" s="5">
        <f>IF(S249="No","No",IF(_xlfn.XLOOKUP(B249,'Base stats'!B:B,'Base stats'!U:U)="No","No",
MROUND(_xlfn.XLOOKUP(B249,'Base stats'!B:B,'Base stats'!BT:BT)/10000+0.01,0.01)
))</f>
        <v>0.33</v>
      </c>
      <c r="V249" s="4">
        <f>IF(S249="No","No",
MROUND(_xlfn.XLOOKUP(B249,'Base stats'!B:B,'Base stats'!BF:BF)^0.25
/((_xlfn.XLOOKUP(B249,'Base stats'!B:B,'Base stats'!BO:BO))*10)*_xlfn.XLOOKUP(_xlfn.XLOOKUP(B249,'Base stats'!B:B,'Base stats'!E:E),Groups!A:A,Groups!AE:AE)*150 + 0.5 + _xlfn.XLOOKUP(B249,'Base stats'!B:B,'Base stats'!BW:BW),
0.05))</f>
        <v>2.6500000000000004</v>
      </c>
      <c r="W249" s="8">
        <f>MROUND(_xlfn.XLOOKUP(_xlfn.XLOOKUP(B249,'Base stats'!B:B,'Base stats'!E:E),Groups!A:A,Groups!BG:BG)*_xlfn.XLOOKUP(B249,'Base stats'!B:B,'Base stats'!C:C)^-0.165,0.05)</f>
        <v>0.15000000000000002</v>
      </c>
      <c r="X249" s="1">
        <f>MROUND(_xlfn.XLOOKUP(_xlfn.XLOOKUP(B249,'Base stats'!B:B,'Base stats'!E:E),Groups!A:A,Groups!BH:BH)*_xlfn.XLOOKUP(B249,'Base stats'!B:B,'Base stats'!C:C)^0.165,0.05)</f>
        <v>0</v>
      </c>
      <c r="Y249" s="8">
        <f>MROUND(_xlfn.XLOOKUP(_xlfn.XLOOKUP(B249,'Base stats'!B:B,'Base stats'!E:E),Groups!A:A,Groups!BI:BI)*_xlfn.XLOOKUP(B249,'Base stats'!B:B,'Base stats'!C:C)^0.165,0.05)</f>
        <v>0</v>
      </c>
      <c r="Z249" s="18">
        <f>MROUND(_xlfn.XLOOKUP(B249,'Base stats'!B:B,'Base stats'!AQ:AQ)*_xlfn.XLOOKUP(_xlfn.XLOOKUP(B249,'Base stats'!B:B,'Base stats'!E:E),Groups!A:A,Groups!H:H)/1000,IF((_xlfn.XLOOKUP(B249,'Base stats'!B:B,'Base stats'!AQ:AQ)*_xlfn.XLOOKUP(_xlfn.XLOOKUP(B249,'Base stats'!B:B,'Base stats'!E:E),Groups!A:A,Groups!H:H)/1000)&gt;1,0.05,0.01))</f>
        <v>0.74</v>
      </c>
      <c r="AA249" s="18">
        <f>MROUND((1/2)*(_xlfn.XLOOKUP(_xlfn.XLOOKUP(B249,'Base stats'!B:B,'Base stats'!E:E),Groups!A:A,Groups!H:H)*_xlfn.XLOOKUP(_xlfn.XLOOKUP(B249,'Base stats'!B:B,'Base stats'!E:E),Groups!A:A,Groups!I:I))*_xlfn.XLOOKUP(B249,'Base stats'!B:B,'Base stats'!AQ:AQ)*0.01,0.05)</f>
        <v>0</v>
      </c>
      <c r="AB249" s="18">
        <f>MROUND(250*(Animals!AO249+Animals!AP249),25)</f>
        <v>250</v>
      </c>
      <c r="AC249" s="18" t="str">
        <f>_xlfn.XLOOKUP(_xlfn.XLOOKUP(B249,'Base stats'!B:B,'Base stats'!E:E),Groups!A:A,Groups!BJ:BJ)</f>
        <v>Quadruped</v>
      </c>
    </row>
    <row r="250" spans="1:29" ht="16.5" thickTop="1" thickBot="1" x14ac:dyDescent="0.3">
      <c r="A250" s="16" t="str">
        <f>Animals!A250</f>
        <v>Darkbeast</v>
      </c>
      <c r="B250" s="6" t="str">
        <f>Animals!B250</f>
        <v>Bestia nigra</v>
      </c>
      <c r="C250" s="1" t="str">
        <f>Animals!C250</f>
        <v>&lt;li&gt;AA_Darkbeast&lt;/li&gt;</v>
      </c>
      <c r="D250" s="47">
        <f>MIN(MIN(6,_xlfn.XLOOKUP(A250,Animals!A:A,Animals!AO:AO))*20,MAX(MROUND(_xlfn.XLOOKUP(B250,'Base stats'!B:B,'Base stats'!BS:BS) * (_xlfn.XLOOKUP(B250,'Base stats'!B:B,'Base stats'!AO:AO)*5%)^0.9 / 21,0.1),0.05))</f>
        <v>7.7</v>
      </c>
      <c r="E250" s="11">
        <f>MROUND(_xlfn.XLOOKUP(B250,'Base stats'!B:B,'Base stats'!BG:BG) * 0.01 * 2 + 0.01, 0.05)</f>
        <v>7.0500000000000007</v>
      </c>
      <c r="F250" s="7">
        <f>MROUND(_xlfn.XLOOKUP(B250,'Base stats'!B:B,'Base stats'!BD:BD)^0.25 / (_xlfn.XLOOKUP(B250,'Base stats'!B:B,'Base stats'!BK:BK) * 10) * 150 + 0.5 + _xlfn.XLOOKUP(B250,'Base stats'!B:B,'Base stats'!BW:BW), 0.05)</f>
        <v>1.8</v>
      </c>
      <c r="G250" s="3">
        <f>IF(Animals!S250="No","No",
IF(_xlfn.XLOOKUP(B250,'Base stats'!B:B,'Base stats'!U:U)="No",
MAX(MROUND(_xlfn.XLOOKUP(B250,'Base stats'!B:B,'Base stats'!BT:BT) * _xlfn.XLOOKUP(B250,'Base stats'!B:B,'Base stats'!BP:BP)^0.9 / 21 * _xlfn.XLOOKUP(B250,'Base stats'!B:B,'Base stats'!BX:BX),0.1),0.05),
MAX(MROUND(((MIN(10,_xlfn.XLOOKUP(B250,'Base stats'!B:B,'Base stats'!U:U)))^0.4*_xlfn.XLOOKUP(B250,'Base stats'!B:B,'Base stats'!BH:BH)^0.73)^0.6 * _xlfn.XLOOKUP(B250,'Base stats'!B:B,'Base stats'!BX:BX),0.1),0.05)
))</f>
        <v>13.200000000000001</v>
      </c>
      <c r="H250" s="11">
        <f>IF(G250="No","No",
MROUND(_xlfn.XLOOKUP(B250,'Base stats'!B:B,'Base stats'!BH:BH) * 0.01 * 2 + 0.05, 0.05)
)</f>
        <v>8.35</v>
      </c>
      <c r="I250" s="11" t="str">
        <f>IF(G250="No","No",IF(_xlfn.XLOOKUP(B250,'Base stats'!B:B,'Base stats'!U:U)="No","No",
MROUND(_xlfn.XLOOKUP(B250,'Base stats'!B:B,'Base stats'!BT:BT)/10000+0.01,0.01)
))</f>
        <v>No</v>
      </c>
      <c r="J250" s="4">
        <f>IF(G250="No","No",
MROUND(_xlfn.XLOOKUP(B250,'Base stats'!B:B,'Base stats'!BE:BE)^0.25
/((_xlfn.XLOOKUP(B250,'Base stats'!B:B,'Base stats'!BL:BL))*10)*_xlfn.XLOOKUP(_xlfn.XLOOKUP(B250,'Base stats'!B:B,'Base stats'!E:E),Groups!A:A,Groups!Q:Q)*150 + 0.5 + _xlfn.XLOOKUP(B250,'Base stats'!B:B,'Base stats'!BW:BW),
0.05))</f>
        <v>2.4500000000000002</v>
      </c>
      <c r="K250" s="3">
        <f>IF(Animals!X250="No","No",
IF(_xlfn.XLOOKUP(_xlfn.XLOOKUP(B250,'Base stats'!B:B,'Base stats'!E:E),Groups!A:A,Groups!BD:BD)=1,
MAX(MROUND(_xlfn.XLOOKUP(B250,'Base stats'!B:B,'Base stats'!BU:BU) * _xlfn.XLOOKUP(B250,'Base stats'!B:B,'Base stats'!BQ:BQ)^0.9 / 21 *_xlfn.XLOOKUP(B250,'Base stats'!B:B,'Base stats'!BX:BX),0.1),0.05),
MAX(MROUND(((MIN(10,_xlfn.XLOOKUP(B250,'Base stats'!B:B,'Base stats'!W:W)))^0.4*_xlfn.XLOOKUP(B250,'Base stats'!B:B,'Base stats'!BI:BI)^0.73)^0.6 *_xlfn.XLOOKUP(B250,'Base stats'!B:B,'Base stats'!BX:BX),0.1),0.05)
))</f>
        <v>24.5</v>
      </c>
      <c r="L250" s="11">
        <f>IF(K250="No","No",
MROUND(_xlfn.XLOOKUP(B250,'Base stats'!B:B,'Base stats'!BI:BI) * 0.01 *2 + 0.05, 0.05)
)</f>
        <v>8.4500000000000011</v>
      </c>
      <c r="M250" s="5">
        <f>IF(K250="No","No",IF(_xlfn.XLOOKUP(_xlfn.XLOOKUP(B250,'Base stats'!B:B,'Base stats'!E:E),Groups!A:A,Groups!BD:BD)=1,"No",
MROUND(_xlfn.XLOOKUP(B250,'Base stats'!B:B,'Base stats'!BU:BU)/10000+0.01,0.01)
))</f>
        <v>4.7300000000000004</v>
      </c>
      <c r="N250" s="4">
        <f>IF(K250="No","No",
MROUND(
  _xlfn.XLOOKUP(B250,'Base stats'!B:B,'Base stats'!BC:BC)^0.25
  / (_xlfn.XLOOKUP(B250,'Base stats'!B:B,'Base stats'!BM:BM) * 10)
  * _xlfn.XLOOKUP(
      _xlfn.XLOOKUP(B250,'Base stats'!B:B,'Base stats'!E:E),
      Groups!A:A,
      Groups!V:V
    ) * 150
  + MIN(12, _xlfn.XLOOKUP(B250,'Base stats'!B:B,'Base stats'!W:W))^(1/IF(_xlfn.XLOOKUP(_xlfn.XLOOKUP(B250,'Base stats'!B:B,'Base stats'!E:E),Groups!A:A,Groups!U:U)=1,100,10)) + 0.5 + _xlfn.XLOOKUP(B250,'Base stats'!B:B,'Base stats'!BW:BW),
0.05))</f>
        <v>2.4500000000000002</v>
      </c>
      <c r="O250" s="3">
        <f>IF(Animals!AD250="No","No",
MAX(MROUND((MIN(10,_xlfn.XLOOKUP(B250,'Base stats'!B:B,'Base stats'!V:V)*IF(_xlfn.XLOOKUP(_xlfn.XLOOKUP(B250,'Base stats'!B:B,'Base stats'!E:E),Groups!A:A,Groups!O:O)=0,1,0.33))^0.4*_xlfn.XLOOKUP(B250,'Base stats'!B:B,'Base stats'!BJ:BJ)^0.73)^0.6 *_xlfn.XLOOKUP(B250,'Base stats'!B:B,'Base stats'!BX:BX),0.1),0.05)
)</f>
        <v>18.600000000000001</v>
      </c>
      <c r="P250" s="11">
        <f>IF(O250="No","No",
MROUND(_xlfn.XLOOKUP(B250,'Base stats'!B:B,'Base stats'!BJ:BJ) * 0.01 * 2 + 0.05, 0.05)
)</f>
        <v>5.5</v>
      </c>
      <c r="Q250" s="5">
        <f>IF(O250="No","No",
MROUND(_xlfn.XLOOKUP(B250,'Base stats'!B:B,'Base stats'!BV:BV)/10000+0.01,0.01)
)</f>
        <v>1.83</v>
      </c>
      <c r="R250" s="4">
        <f>IF(O250="No","No",
MROUND(_xlfn.XLOOKUP(B250,'Base stats'!B:B,'Base stats'!BB:BB)^0.25
/((_xlfn.XLOOKUP(B250,'Base stats'!B:B,'Base stats'!BN:BN))*10)*_xlfn.XLOOKUP(_xlfn.XLOOKUP(B250,'Base stats'!B:B,'Base stats'!E:E),Groups!A:A,Groups!Z:Z)*150 + 0.5 + _xlfn.XLOOKUP(B250,'Base stats'!B:B,'Base stats'!BW:BW),
0.05))</f>
        <v>2.4500000000000002</v>
      </c>
      <c r="S250" s="3" t="str">
        <f>IF(Animals!AI250="No","No",
IF(_xlfn.XLOOKUP(B250,'Base stats'!B:B,'Base stats'!U:U)="No",
MAX(MROUND(_xlfn.XLOOKUP(B250,'Base stats'!B:B,'Base stats'!BT:BT) * _xlfn.XLOOKUP(B250,'Base stats'!B:B,'Base stats'!BP:BP)^0.9 / 21 * _xlfn.XLOOKUP(B250,'Base stats'!B:B,'Base stats'!BX:BX),0.1),0.05),
MAX(MROUND(((MIN(12,_xlfn.XLOOKUP(B250,'Base stats'!B:B,'Base stats'!U:U)))^0.4*_xlfn.XLOOKUP(B250,'Base stats'!B:B,'Base stats'!BH:BH)^0.73)^0.6 * _xlfn.XLOOKUP(B250,'Base stats'!B:B,'Base stats'!BX:BX),0.1),0.05)
))</f>
        <v>No</v>
      </c>
      <c r="T250" s="11" t="str">
        <f>IF(S250="No","No",
MROUND(_xlfn.XLOOKUP(B250,'Base stats'!B:B,'Base stats'!BH:BH) * 0.01 * 2 + 0.05, 0.05)
)</f>
        <v>No</v>
      </c>
      <c r="U250" s="5" t="str">
        <f>IF(S250="No","No",IF(_xlfn.XLOOKUP(B250,'Base stats'!B:B,'Base stats'!U:U)="No","No",
MROUND(_xlfn.XLOOKUP(B250,'Base stats'!B:B,'Base stats'!BT:BT)/10000+0.01,0.01)
))</f>
        <v>No</v>
      </c>
      <c r="V250" s="4" t="str">
        <f>IF(S250="No","No",
MROUND(_xlfn.XLOOKUP(B250,'Base stats'!B:B,'Base stats'!BF:BF)^0.25
/((_xlfn.XLOOKUP(B250,'Base stats'!B:B,'Base stats'!BO:BO))*10)*_xlfn.XLOOKUP(_xlfn.XLOOKUP(B250,'Base stats'!B:B,'Base stats'!E:E),Groups!A:A,Groups!AE:AE)*150 + 0.5 + _xlfn.XLOOKUP(B250,'Base stats'!B:B,'Base stats'!BW:BW),
0.05))</f>
        <v>No</v>
      </c>
      <c r="W250" s="8">
        <f>MROUND(_xlfn.XLOOKUP(_xlfn.XLOOKUP(B250,'Base stats'!B:B,'Base stats'!E:E),Groups!A:A,Groups!BG:BG)*_xlfn.XLOOKUP(B250,'Base stats'!B:B,'Base stats'!C:C)^-0.165,0.05)</f>
        <v>0.25</v>
      </c>
      <c r="X250" s="1">
        <f>MROUND(_xlfn.XLOOKUP(_xlfn.XLOOKUP(B250,'Base stats'!B:B,'Base stats'!E:E),Groups!A:A,Groups!BH:BH)*_xlfn.XLOOKUP(B250,'Base stats'!B:B,'Base stats'!C:C)^0.165,0.05)</f>
        <v>0.4</v>
      </c>
      <c r="Y250" s="8">
        <f>MROUND(_xlfn.XLOOKUP(_xlfn.XLOOKUP(B250,'Base stats'!B:B,'Base stats'!E:E),Groups!A:A,Groups!BI:BI)*_xlfn.XLOOKUP(B250,'Base stats'!B:B,'Base stats'!C:C)^0.165,0.05)</f>
        <v>0.15000000000000002</v>
      </c>
      <c r="Z250" s="18">
        <f>MROUND(_xlfn.XLOOKUP(B250,'Base stats'!B:B,'Base stats'!AQ:AQ)*_xlfn.XLOOKUP(_xlfn.XLOOKUP(B250,'Base stats'!B:B,'Base stats'!E:E),Groups!A:A,Groups!H:H)/1000,IF((_xlfn.XLOOKUP(B250,'Base stats'!B:B,'Base stats'!AQ:AQ)*_xlfn.XLOOKUP(_xlfn.XLOOKUP(B250,'Base stats'!B:B,'Base stats'!E:E),Groups!A:A,Groups!H:H)/1000)&gt;1,0.05,0.01))</f>
        <v>3.85</v>
      </c>
      <c r="AA250" s="18">
        <f>MROUND((1/2)*(_xlfn.XLOOKUP(_xlfn.XLOOKUP(B250,'Base stats'!B:B,'Base stats'!E:E),Groups!A:A,Groups!H:H)*_xlfn.XLOOKUP(_xlfn.XLOOKUP(B250,'Base stats'!B:B,'Base stats'!E:E),Groups!A:A,Groups!I:I))*_xlfn.XLOOKUP(B250,'Base stats'!B:B,'Base stats'!AQ:AQ)*0.01,0.05)</f>
        <v>5.75</v>
      </c>
      <c r="AB250" s="18">
        <f>MROUND(250*(Animals!AO250+Animals!AP250),25)</f>
        <v>1425</v>
      </c>
      <c r="AC250" s="18" t="str">
        <f>_xlfn.XLOOKUP(_xlfn.XLOOKUP(B250,'Base stats'!B:B,'Base stats'!E:E),Groups!A:A,Groups!BJ:BJ)</f>
        <v>Quadruped</v>
      </c>
    </row>
    <row r="251" spans="1:29" ht="16.5" thickTop="1" thickBot="1" x14ac:dyDescent="0.3">
      <c r="A251" s="16" t="str">
        <f>Animals!A251</f>
        <v>DarkVandal</v>
      </c>
      <c r="B251" s="6" t="str">
        <f>Animals!B251</f>
        <v>Vandalis tenebrosus</v>
      </c>
      <c r="C251" s="1" t="str">
        <f>Animals!C251</f>
        <v>&lt;li&gt;AA_DarkVandal&lt;/li&gt;</v>
      </c>
      <c r="D251" s="47">
        <f>MIN(MIN(6,_xlfn.XLOOKUP(A251,Animals!A:A,Animals!AO:AO))*20,MAX(MROUND(_xlfn.XLOOKUP(B251,'Base stats'!B:B,'Base stats'!BS:BS) * (_xlfn.XLOOKUP(B251,'Base stats'!B:B,'Base stats'!AO:AO)*5%)^0.9 / 21,0.1),0.05))</f>
        <v>5</v>
      </c>
      <c r="E251" s="11">
        <f>MROUND(_xlfn.XLOOKUP(B251,'Base stats'!B:B,'Base stats'!BG:BG) * 0.01 * 2 + 0.01, 0.05)</f>
        <v>4.4000000000000004</v>
      </c>
      <c r="F251" s="7">
        <f>MROUND(_xlfn.XLOOKUP(B251,'Base stats'!B:B,'Base stats'!BD:BD)^0.25 / (_xlfn.XLOOKUP(B251,'Base stats'!B:B,'Base stats'!BK:BK) * 10) * 150 + 0.5 + _xlfn.XLOOKUP(B251,'Base stats'!B:B,'Base stats'!BW:BW), 0.05)</f>
        <v>2.15</v>
      </c>
      <c r="G251" s="3" t="str">
        <f>IF(Animals!S251="No","No",
IF(_xlfn.XLOOKUP(B251,'Base stats'!B:B,'Base stats'!U:U)="No",
MAX(MROUND(_xlfn.XLOOKUP(B251,'Base stats'!B:B,'Base stats'!BT:BT) * _xlfn.XLOOKUP(B251,'Base stats'!B:B,'Base stats'!BP:BP)^0.9 / 21 * _xlfn.XLOOKUP(B251,'Base stats'!B:B,'Base stats'!BX:BX),0.1),0.05),
MAX(MROUND(((MIN(10,_xlfn.XLOOKUP(B251,'Base stats'!B:B,'Base stats'!U:U)))^0.4*_xlfn.XLOOKUP(B251,'Base stats'!B:B,'Base stats'!BH:BH)^0.73)^0.6 * _xlfn.XLOOKUP(B251,'Base stats'!B:B,'Base stats'!BX:BX),0.1),0.05)
))</f>
        <v>No</v>
      </c>
      <c r="H251" s="11" t="str">
        <f>IF(G251="No","No",
MROUND(_xlfn.XLOOKUP(B251,'Base stats'!B:B,'Base stats'!BH:BH) * 0.01 * 2 + 0.05, 0.05)
)</f>
        <v>No</v>
      </c>
      <c r="I251" s="11" t="str">
        <f>IF(G251="No","No",IF(_xlfn.XLOOKUP(B251,'Base stats'!B:B,'Base stats'!U:U)="No","No",
MROUND(_xlfn.XLOOKUP(B251,'Base stats'!B:B,'Base stats'!BT:BT)/10000+0.01,0.01)
))</f>
        <v>No</v>
      </c>
      <c r="J251" s="4" t="str">
        <f>IF(G251="No","No",
MROUND(_xlfn.XLOOKUP(B251,'Base stats'!B:B,'Base stats'!BE:BE)^0.25
/((_xlfn.XLOOKUP(B251,'Base stats'!B:B,'Base stats'!BL:BL))*10)*_xlfn.XLOOKUP(_xlfn.XLOOKUP(B251,'Base stats'!B:B,'Base stats'!E:E),Groups!A:A,Groups!Q:Q)*150 + 0.5 + _xlfn.XLOOKUP(B251,'Base stats'!B:B,'Base stats'!BW:BW),
0.05))</f>
        <v>No</v>
      </c>
      <c r="K251" s="3" t="str">
        <f>IF(Animals!X251="No","No",
IF(_xlfn.XLOOKUP(_xlfn.XLOOKUP(B251,'Base stats'!B:B,'Base stats'!E:E),Groups!A:A,Groups!BD:BD)=1,
MAX(MROUND(_xlfn.XLOOKUP(B251,'Base stats'!B:B,'Base stats'!BU:BU) * _xlfn.XLOOKUP(B251,'Base stats'!B:B,'Base stats'!BQ:BQ)^0.9 / 21 *_xlfn.XLOOKUP(B251,'Base stats'!B:B,'Base stats'!BX:BX),0.1),0.05),
MAX(MROUND(((MIN(10,_xlfn.XLOOKUP(B251,'Base stats'!B:B,'Base stats'!W:W)))^0.4*_xlfn.XLOOKUP(B251,'Base stats'!B:B,'Base stats'!BI:BI)^0.73)^0.6 *_xlfn.XLOOKUP(B251,'Base stats'!B:B,'Base stats'!BX:BX),0.1),0.05)
))</f>
        <v>No</v>
      </c>
      <c r="L251" s="11" t="str">
        <f>IF(K251="No","No",
MROUND(_xlfn.XLOOKUP(B251,'Base stats'!B:B,'Base stats'!BI:BI) * 0.01 *2 + 0.05, 0.05)
)</f>
        <v>No</v>
      </c>
      <c r="M251" s="5" t="str">
        <f>IF(K251="No","No",IF(_xlfn.XLOOKUP(_xlfn.XLOOKUP(B251,'Base stats'!B:B,'Base stats'!E:E),Groups!A:A,Groups!BD:BD)=1,"No",
MROUND(_xlfn.XLOOKUP(B251,'Base stats'!B:B,'Base stats'!BU:BU)/10000+0.01,0.01)
))</f>
        <v>No</v>
      </c>
      <c r="N251" s="4" t="str">
        <f>IF(K251="No","No",
MROUND(
  _xlfn.XLOOKUP(B251,'Base stats'!B:B,'Base stats'!BC:BC)^0.25
  / (_xlfn.XLOOKUP(B251,'Base stats'!B:B,'Base stats'!BM:BM) * 10)
  * _xlfn.XLOOKUP(
      _xlfn.XLOOKUP(B251,'Base stats'!B:B,'Base stats'!E:E),
      Groups!A:A,
      Groups!V:V
    ) * 150
  + MIN(12, _xlfn.XLOOKUP(B251,'Base stats'!B:B,'Base stats'!W:W))^(1/IF(_xlfn.XLOOKUP(_xlfn.XLOOKUP(B251,'Base stats'!B:B,'Base stats'!E:E),Groups!A:A,Groups!U:U)=1,100,10)) + 0.5 + _xlfn.XLOOKUP(B251,'Base stats'!B:B,'Base stats'!BW:BW),
0.05))</f>
        <v>No</v>
      </c>
      <c r="O251" s="3">
        <f>IF(Animals!AD251="No","No",
MAX(MROUND((MIN(10,_xlfn.XLOOKUP(B251,'Base stats'!B:B,'Base stats'!V:V)*IF(_xlfn.XLOOKUP(_xlfn.XLOOKUP(B251,'Base stats'!B:B,'Base stats'!E:E),Groups!A:A,Groups!O:O)=0,1,0.33))^0.4*_xlfn.XLOOKUP(B251,'Base stats'!B:B,'Base stats'!BJ:BJ)^0.73)^0.6 *_xlfn.XLOOKUP(B251,'Base stats'!B:B,'Base stats'!BX:BX),0.1),0.05)
)</f>
        <v>27.900000000000002</v>
      </c>
      <c r="P251" s="11">
        <f>IF(O251="No","No",
MROUND(_xlfn.XLOOKUP(B251,'Base stats'!B:B,'Base stats'!BJ:BJ) * 0.01 * 2 + 0.05, 0.05)
)</f>
        <v>16.350000000000001</v>
      </c>
      <c r="Q251" s="5">
        <f>IF(O251="No","No",
MROUND(_xlfn.XLOOKUP(B251,'Base stats'!B:B,'Base stats'!BV:BV)/10000+0.01,0.01)
)</f>
        <v>0.68</v>
      </c>
      <c r="R251" s="4">
        <f>IF(O251="No","No",
MROUND(_xlfn.XLOOKUP(B251,'Base stats'!B:B,'Base stats'!BB:BB)^0.25
/((_xlfn.XLOOKUP(B251,'Base stats'!B:B,'Base stats'!BN:BN))*10)*_xlfn.XLOOKUP(_xlfn.XLOOKUP(B251,'Base stats'!B:B,'Base stats'!E:E),Groups!A:A,Groups!Z:Z)*150 + 0.5 + _xlfn.XLOOKUP(B251,'Base stats'!B:B,'Base stats'!BW:BW),
0.05))</f>
        <v>2.3000000000000003</v>
      </c>
      <c r="S251" s="3" t="str">
        <f>IF(Animals!AI251="No","No",
IF(_xlfn.XLOOKUP(B251,'Base stats'!B:B,'Base stats'!U:U)="No",
MAX(MROUND(_xlfn.XLOOKUP(B251,'Base stats'!B:B,'Base stats'!BT:BT) * _xlfn.XLOOKUP(B251,'Base stats'!B:B,'Base stats'!BP:BP)^0.9 / 21 * _xlfn.XLOOKUP(B251,'Base stats'!B:B,'Base stats'!BX:BX),0.1),0.05),
MAX(MROUND(((MIN(12,_xlfn.XLOOKUP(B251,'Base stats'!B:B,'Base stats'!U:U)))^0.4*_xlfn.XLOOKUP(B251,'Base stats'!B:B,'Base stats'!BH:BH)^0.73)^0.6 * _xlfn.XLOOKUP(B251,'Base stats'!B:B,'Base stats'!BX:BX),0.1),0.05)
))</f>
        <v>No</v>
      </c>
      <c r="T251" s="11" t="str">
        <f>IF(S251="No","No",
MROUND(_xlfn.XLOOKUP(B251,'Base stats'!B:B,'Base stats'!BH:BH) * 0.01 * 2 + 0.05, 0.05)
)</f>
        <v>No</v>
      </c>
      <c r="U251" s="5" t="str">
        <f>IF(S251="No","No",IF(_xlfn.XLOOKUP(B251,'Base stats'!B:B,'Base stats'!U:U)="No","No",
MROUND(_xlfn.XLOOKUP(B251,'Base stats'!B:B,'Base stats'!BT:BT)/10000+0.01,0.01)
))</f>
        <v>No</v>
      </c>
      <c r="V251" s="4" t="str">
        <f>IF(S251="No","No",
MROUND(_xlfn.XLOOKUP(B251,'Base stats'!B:B,'Base stats'!BF:BF)^0.25
/((_xlfn.XLOOKUP(B251,'Base stats'!B:B,'Base stats'!BO:BO))*10)*_xlfn.XLOOKUP(_xlfn.XLOOKUP(B251,'Base stats'!B:B,'Base stats'!E:E),Groups!A:A,Groups!AE:AE)*150 + 0.5 + _xlfn.XLOOKUP(B251,'Base stats'!B:B,'Base stats'!BW:BW),
0.05))</f>
        <v>No</v>
      </c>
      <c r="W251" s="8">
        <f>MROUND(_xlfn.XLOOKUP(_xlfn.XLOOKUP(B251,'Base stats'!B:B,'Base stats'!E:E),Groups!A:A,Groups!BG:BG)*_xlfn.XLOOKUP(B251,'Base stats'!B:B,'Base stats'!C:C)^-0.165,0.05)</f>
        <v>0.4</v>
      </c>
      <c r="X251" s="1">
        <f>MROUND(_xlfn.XLOOKUP(_xlfn.XLOOKUP(B251,'Base stats'!B:B,'Base stats'!E:E),Groups!A:A,Groups!BH:BH)*_xlfn.XLOOKUP(B251,'Base stats'!B:B,'Base stats'!C:C)^0.165,0.05)</f>
        <v>0.45</v>
      </c>
      <c r="Y251" s="8">
        <f>MROUND(_xlfn.XLOOKUP(_xlfn.XLOOKUP(B251,'Base stats'!B:B,'Base stats'!E:E),Groups!A:A,Groups!BI:BI)*_xlfn.XLOOKUP(B251,'Base stats'!B:B,'Base stats'!C:C)^0.165,0.05)</f>
        <v>0.05</v>
      </c>
      <c r="Z251" s="18">
        <f>MROUND(_xlfn.XLOOKUP(B251,'Base stats'!B:B,'Base stats'!AQ:AQ)*_xlfn.XLOOKUP(_xlfn.XLOOKUP(B251,'Base stats'!B:B,'Base stats'!E:E),Groups!A:A,Groups!H:H)/1000,IF((_xlfn.XLOOKUP(B251,'Base stats'!B:B,'Base stats'!AQ:AQ)*_xlfn.XLOOKUP(_xlfn.XLOOKUP(B251,'Base stats'!B:B,'Base stats'!E:E),Groups!A:A,Groups!H:H)/1000)&gt;1,0.05,0.01))</f>
        <v>0.13</v>
      </c>
      <c r="AA251" s="18">
        <f>MROUND((1/2)*(_xlfn.XLOOKUP(_xlfn.XLOOKUP(B251,'Base stats'!B:B,'Base stats'!E:E),Groups!A:A,Groups!H:H)*_xlfn.XLOOKUP(_xlfn.XLOOKUP(B251,'Base stats'!B:B,'Base stats'!E:E),Groups!A:A,Groups!I:I))*_xlfn.XLOOKUP(B251,'Base stats'!B:B,'Base stats'!AQ:AQ)*0.01,0.05)</f>
        <v>0.55000000000000004</v>
      </c>
      <c r="AB251" s="18">
        <f>MROUND(250*(Animals!AO251+Animals!AP251),25)</f>
        <v>950</v>
      </c>
      <c r="AC251" s="18" t="str">
        <f>_xlfn.XLOOKUP(_xlfn.XLOOKUP(B251,'Base stats'!B:B,'Base stats'!E:E),Groups!A:A,Groups!BJ:BJ)</f>
        <v>Quadruped</v>
      </c>
    </row>
    <row r="252" spans="1:29" ht="16.5" thickTop="1" thickBot="1" x14ac:dyDescent="0.3">
      <c r="A252" s="16" t="str">
        <f>Animals!A252</f>
        <v>DecayDrake</v>
      </c>
      <c r="B252" s="6" t="str">
        <f>Animals!B252</f>
        <v>Draco putrefactus</v>
      </c>
      <c r="C252" s="1" t="str">
        <f>Animals!C252</f>
        <v>&lt;li&gt;AA_DecayDrake&lt;/li&gt;</v>
      </c>
      <c r="D252" s="47">
        <f>MIN(MIN(6,_xlfn.XLOOKUP(A252,Animals!A:A,Animals!AO:AO))*20,MAX(MROUND(_xlfn.XLOOKUP(B252,'Base stats'!B:B,'Base stats'!BS:BS) * (_xlfn.XLOOKUP(B252,'Base stats'!B:B,'Base stats'!AO:AO)*5%)^0.9 / 21,0.1),0.05))</f>
        <v>2.3000000000000003</v>
      </c>
      <c r="E252" s="11">
        <f>MROUND(_xlfn.XLOOKUP(B252,'Base stats'!B:B,'Base stats'!BG:BG) * 0.01 * 2 + 0.01, 0.05)</f>
        <v>1.9000000000000001</v>
      </c>
      <c r="F252" s="7">
        <f>MROUND(_xlfn.XLOOKUP(B252,'Base stats'!B:B,'Base stats'!BD:BD)^0.25 / (_xlfn.XLOOKUP(B252,'Base stats'!B:B,'Base stats'!BK:BK) * 10) * 150 + 0.5 + _xlfn.XLOOKUP(B252,'Base stats'!B:B,'Base stats'!BW:BW), 0.05)</f>
        <v>1.9500000000000002</v>
      </c>
      <c r="G252" s="3" t="str">
        <f>IF(Animals!S252="No","No",
IF(_xlfn.XLOOKUP(B252,'Base stats'!B:B,'Base stats'!U:U)="No",
MAX(MROUND(_xlfn.XLOOKUP(B252,'Base stats'!B:B,'Base stats'!BT:BT) * _xlfn.XLOOKUP(B252,'Base stats'!B:B,'Base stats'!BP:BP)^0.9 / 21 * _xlfn.XLOOKUP(B252,'Base stats'!B:B,'Base stats'!BX:BX),0.1),0.05),
MAX(MROUND(((MIN(10,_xlfn.XLOOKUP(B252,'Base stats'!B:B,'Base stats'!U:U)))^0.4*_xlfn.XLOOKUP(B252,'Base stats'!B:B,'Base stats'!BH:BH)^0.73)^0.6 * _xlfn.XLOOKUP(B252,'Base stats'!B:B,'Base stats'!BX:BX),0.1),0.05)
))</f>
        <v>No</v>
      </c>
      <c r="H252" s="11" t="str">
        <f>IF(G252="No","No",
MROUND(_xlfn.XLOOKUP(B252,'Base stats'!B:B,'Base stats'!BH:BH) * 0.01 * 2 + 0.05, 0.05)
)</f>
        <v>No</v>
      </c>
      <c r="I252" s="11" t="str">
        <f>IF(G252="No","No",IF(_xlfn.XLOOKUP(B252,'Base stats'!B:B,'Base stats'!U:U)="No","No",
MROUND(_xlfn.XLOOKUP(B252,'Base stats'!B:B,'Base stats'!BT:BT)/10000+0.01,0.01)
))</f>
        <v>No</v>
      </c>
      <c r="J252" s="4" t="str">
        <f>IF(G252="No","No",
MROUND(_xlfn.XLOOKUP(B252,'Base stats'!B:B,'Base stats'!BE:BE)^0.25
/((_xlfn.XLOOKUP(B252,'Base stats'!B:B,'Base stats'!BL:BL))*10)*_xlfn.XLOOKUP(_xlfn.XLOOKUP(B252,'Base stats'!B:B,'Base stats'!E:E),Groups!A:A,Groups!Q:Q)*150 + 0.5 + _xlfn.XLOOKUP(B252,'Base stats'!B:B,'Base stats'!BW:BW),
0.05))</f>
        <v>No</v>
      </c>
      <c r="K252" s="3" t="str">
        <f>IF(Animals!X252="No","No",
IF(_xlfn.XLOOKUP(_xlfn.XLOOKUP(B252,'Base stats'!B:B,'Base stats'!E:E),Groups!A:A,Groups!BD:BD)=1,
MAX(MROUND(_xlfn.XLOOKUP(B252,'Base stats'!B:B,'Base stats'!BU:BU) * _xlfn.XLOOKUP(B252,'Base stats'!B:B,'Base stats'!BQ:BQ)^0.9 / 21 *_xlfn.XLOOKUP(B252,'Base stats'!B:B,'Base stats'!BX:BX),0.1),0.05),
MAX(MROUND(((MIN(10,_xlfn.XLOOKUP(B252,'Base stats'!B:B,'Base stats'!W:W)))^0.4*_xlfn.XLOOKUP(B252,'Base stats'!B:B,'Base stats'!BI:BI)^0.73)^0.6 *_xlfn.XLOOKUP(B252,'Base stats'!B:B,'Base stats'!BX:BX),0.1),0.05)
))</f>
        <v>No</v>
      </c>
      <c r="L252" s="11" t="str">
        <f>IF(K252="No","No",
MROUND(_xlfn.XLOOKUP(B252,'Base stats'!B:B,'Base stats'!BI:BI) * 0.01 *2 + 0.05, 0.05)
)</f>
        <v>No</v>
      </c>
      <c r="M252" s="5" t="str">
        <f>IF(K252="No","No",IF(_xlfn.XLOOKUP(_xlfn.XLOOKUP(B252,'Base stats'!B:B,'Base stats'!E:E),Groups!A:A,Groups!BD:BD)=1,"No",
MROUND(_xlfn.XLOOKUP(B252,'Base stats'!B:B,'Base stats'!BU:BU)/10000+0.01,0.01)
))</f>
        <v>No</v>
      </c>
      <c r="N252" s="4" t="str">
        <f>IF(K252="No","No",
MROUND(
  _xlfn.XLOOKUP(B252,'Base stats'!B:B,'Base stats'!BC:BC)^0.25
  / (_xlfn.XLOOKUP(B252,'Base stats'!B:B,'Base stats'!BM:BM) * 10)
  * _xlfn.XLOOKUP(
      _xlfn.XLOOKUP(B252,'Base stats'!B:B,'Base stats'!E:E),
      Groups!A:A,
      Groups!V:V
    ) * 150
  + MIN(12, _xlfn.XLOOKUP(B252,'Base stats'!B:B,'Base stats'!W:W))^(1/IF(_xlfn.XLOOKUP(_xlfn.XLOOKUP(B252,'Base stats'!B:B,'Base stats'!E:E),Groups!A:A,Groups!U:U)=1,100,10)) + 0.5 + _xlfn.XLOOKUP(B252,'Base stats'!B:B,'Base stats'!BW:BW),
0.05))</f>
        <v>No</v>
      </c>
      <c r="O252" s="3">
        <f>IF(Animals!AD252="No","No",
MAX(MROUND((MIN(10,_xlfn.XLOOKUP(B252,'Base stats'!B:B,'Base stats'!V:V)*IF(_xlfn.XLOOKUP(_xlfn.XLOOKUP(B252,'Base stats'!B:B,'Base stats'!E:E),Groups!A:A,Groups!O:O)=0,1,0.33))^0.4*_xlfn.XLOOKUP(B252,'Base stats'!B:B,'Base stats'!BJ:BJ)^0.73)^0.6 *_xlfn.XLOOKUP(B252,'Base stats'!B:B,'Base stats'!BX:BX),0.1),0.05)
)</f>
        <v>15.700000000000001</v>
      </c>
      <c r="P252" s="11">
        <f>IF(O252="No","No",
MROUND(_xlfn.XLOOKUP(B252,'Base stats'!B:B,'Base stats'!BJ:BJ) * 0.01 * 2 + 0.05, 0.05)
)</f>
        <v>5.1000000000000005</v>
      </c>
      <c r="Q252" s="5">
        <f>IF(O252="No","No",
MROUND(_xlfn.XLOOKUP(B252,'Base stats'!B:B,'Base stats'!BV:BV)/10000+0.01,0.01)
)</f>
        <v>0.31</v>
      </c>
      <c r="R252" s="4">
        <f>IF(O252="No","No",
MROUND(_xlfn.XLOOKUP(B252,'Base stats'!B:B,'Base stats'!BB:BB)^0.25
/((_xlfn.XLOOKUP(B252,'Base stats'!B:B,'Base stats'!BN:BN))*10)*_xlfn.XLOOKUP(_xlfn.XLOOKUP(B252,'Base stats'!B:B,'Base stats'!E:E),Groups!A:A,Groups!Z:Z)*150 + 0.5 + _xlfn.XLOOKUP(B252,'Base stats'!B:B,'Base stats'!BW:BW),
0.05))</f>
        <v>2.2000000000000002</v>
      </c>
      <c r="S252" s="3">
        <f>IF(Animals!AI252="No","No",
IF(_xlfn.XLOOKUP(B252,'Base stats'!B:B,'Base stats'!U:U)="No",
MAX(MROUND(_xlfn.XLOOKUP(B252,'Base stats'!B:B,'Base stats'!BT:BT) * _xlfn.XLOOKUP(B252,'Base stats'!B:B,'Base stats'!BP:BP)^0.9 / 21 * _xlfn.XLOOKUP(B252,'Base stats'!B:B,'Base stats'!BX:BX),0.1),0.05),
MAX(MROUND(((MIN(12,_xlfn.XLOOKUP(B252,'Base stats'!B:B,'Base stats'!U:U)))^0.4*_xlfn.XLOOKUP(B252,'Base stats'!B:B,'Base stats'!BH:BH)^0.73)^0.6 * _xlfn.XLOOKUP(B252,'Base stats'!B:B,'Base stats'!BX:BX),0.1),0.05)
))</f>
        <v>10.600000000000001</v>
      </c>
      <c r="T252" s="11">
        <f>IF(S252="No","No",
MROUND(_xlfn.XLOOKUP(B252,'Base stats'!B:B,'Base stats'!BH:BH) * 0.01 * 2 + 0.05, 0.05)
)</f>
        <v>2.4500000000000002</v>
      </c>
      <c r="U252" s="5">
        <f>IF(S252="No","No",IF(_xlfn.XLOOKUP(B252,'Base stats'!B:B,'Base stats'!U:U)="No","No",
MROUND(_xlfn.XLOOKUP(B252,'Base stats'!B:B,'Base stats'!BT:BT)/10000+0.01,0.01)
))</f>
        <v>0.15</v>
      </c>
      <c r="V252" s="4">
        <f>IF(S252="No","No",
MROUND(_xlfn.XLOOKUP(B252,'Base stats'!B:B,'Base stats'!BF:BF)^0.25
/((_xlfn.XLOOKUP(B252,'Base stats'!B:B,'Base stats'!BO:BO))*10)*_xlfn.XLOOKUP(_xlfn.XLOOKUP(B252,'Base stats'!B:B,'Base stats'!E:E),Groups!A:A,Groups!AE:AE)*150 + 0.5 + _xlfn.XLOOKUP(B252,'Base stats'!B:B,'Base stats'!BW:BW),
0.05))</f>
        <v>1.4000000000000001</v>
      </c>
      <c r="W252" s="8">
        <f>MROUND(_xlfn.XLOOKUP(_xlfn.XLOOKUP(B252,'Base stats'!B:B,'Base stats'!E:E),Groups!A:A,Groups!BG:BG)*_xlfn.XLOOKUP(B252,'Base stats'!B:B,'Base stats'!C:C)^-0.165,0.05)</f>
        <v>0.5</v>
      </c>
      <c r="X252" s="1">
        <f>MROUND(_xlfn.XLOOKUP(_xlfn.XLOOKUP(B252,'Base stats'!B:B,'Base stats'!E:E),Groups!A:A,Groups!BH:BH)*_xlfn.XLOOKUP(B252,'Base stats'!B:B,'Base stats'!C:C)^0.165,0.05)</f>
        <v>0.4</v>
      </c>
      <c r="Y252" s="8">
        <f>MROUND(_xlfn.XLOOKUP(_xlfn.XLOOKUP(B252,'Base stats'!B:B,'Base stats'!E:E),Groups!A:A,Groups!BI:BI)*_xlfn.XLOOKUP(B252,'Base stats'!B:B,'Base stats'!C:C)^0.165,0.05)</f>
        <v>0.1</v>
      </c>
      <c r="Z252" s="18">
        <f>MROUND(_xlfn.XLOOKUP(B252,'Base stats'!B:B,'Base stats'!AQ:AQ)*_xlfn.XLOOKUP(_xlfn.XLOOKUP(B252,'Base stats'!B:B,'Base stats'!E:E),Groups!A:A,Groups!H:H)/1000,IF((_xlfn.XLOOKUP(B252,'Base stats'!B:B,'Base stats'!AQ:AQ)*_xlfn.XLOOKUP(_xlfn.XLOOKUP(B252,'Base stats'!B:B,'Base stats'!E:E),Groups!A:A,Groups!H:H)/1000)&gt;1,0.05,0.01))</f>
        <v>7.0000000000000007E-2</v>
      </c>
      <c r="AA252" s="18">
        <f>MROUND((1/2)*(_xlfn.XLOOKUP(_xlfn.XLOOKUP(B252,'Base stats'!B:B,'Base stats'!E:E),Groups!A:A,Groups!H:H)*_xlfn.XLOOKUP(_xlfn.XLOOKUP(B252,'Base stats'!B:B,'Base stats'!E:E),Groups!A:A,Groups!I:I))*_xlfn.XLOOKUP(B252,'Base stats'!B:B,'Base stats'!AQ:AQ)*0.01,0.05)</f>
        <v>0.1</v>
      </c>
      <c r="AB252" s="18">
        <f>MROUND(250*(Animals!AO252+Animals!AP252),25)</f>
        <v>550</v>
      </c>
      <c r="AC252" s="18" t="str">
        <f>_xlfn.XLOOKUP(_xlfn.XLOOKUP(B252,'Base stats'!B:B,'Base stats'!E:E),Groups!A:A,Groups!BJ:BJ)</f>
        <v>Quadruped</v>
      </c>
    </row>
    <row r="253" spans="1:29" ht="16.5" thickTop="1" thickBot="1" x14ac:dyDescent="0.3">
      <c r="A253" s="16" t="str">
        <f>Animals!A253</f>
        <v>DesertAve</v>
      </c>
      <c r="B253" s="6" t="str">
        <f>Animals!B253</f>
        <v>Avis desertum</v>
      </c>
      <c r="C253" s="1" t="str">
        <f>Animals!C253</f>
        <v>&lt;li&gt;AA_DesertAve&lt;/li&gt;</v>
      </c>
      <c r="D253" s="47">
        <f>MIN(MIN(6,_xlfn.XLOOKUP(A253,Animals!A:A,Animals!AO:AO))*20,MAX(MROUND(_xlfn.XLOOKUP(B253,'Base stats'!B:B,'Base stats'!BS:BS) * (_xlfn.XLOOKUP(B253,'Base stats'!B:B,'Base stats'!AO:AO)*5%)^0.9 / 21,0.1),0.05))</f>
        <v>4.8000000000000007</v>
      </c>
      <c r="E253" s="11">
        <f>MROUND(_xlfn.XLOOKUP(B253,'Base stats'!B:B,'Base stats'!BG:BG) * 0.01 * 2 + 0.01, 0.05)</f>
        <v>4.2</v>
      </c>
      <c r="F253" s="7">
        <f>MROUND(_xlfn.XLOOKUP(B253,'Base stats'!B:B,'Base stats'!BD:BD)^0.25 / (_xlfn.XLOOKUP(B253,'Base stats'!B:B,'Base stats'!BK:BK) * 10) * 150 + 0.5 + _xlfn.XLOOKUP(B253,'Base stats'!B:B,'Base stats'!BW:BW), 0.05)</f>
        <v>1.75</v>
      </c>
      <c r="G253" s="3">
        <f>IF(Animals!S253="No","No",
IF(_xlfn.XLOOKUP(B253,'Base stats'!B:B,'Base stats'!U:U)="No",
MAX(MROUND(_xlfn.XLOOKUP(B253,'Base stats'!B:B,'Base stats'!BT:BT) * _xlfn.XLOOKUP(B253,'Base stats'!B:B,'Base stats'!BP:BP)^0.9 / 21 * _xlfn.XLOOKUP(B253,'Base stats'!B:B,'Base stats'!BX:BX),0.1),0.05),
MAX(MROUND(((MIN(10,_xlfn.XLOOKUP(B253,'Base stats'!B:B,'Base stats'!U:U)))^0.4*_xlfn.XLOOKUP(B253,'Base stats'!B:B,'Base stats'!BH:BH)^0.73)^0.6 * _xlfn.XLOOKUP(B253,'Base stats'!B:B,'Base stats'!BX:BX),0.1),0.05)
))</f>
        <v>19.700000000000003</v>
      </c>
      <c r="H253" s="11">
        <f>IF(G253="No","No",
MROUND(_xlfn.XLOOKUP(B253,'Base stats'!B:B,'Base stats'!BH:BH) * 0.01 * 2 + 0.05, 0.05)
)</f>
        <v>5.15</v>
      </c>
      <c r="I253" s="11">
        <f>IF(G253="No","No",IF(_xlfn.XLOOKUP(B253,'Base stats'!B:B,'Base stats'!U:U)="No","No",
MROUND(_xlfn.XLOOKUP(B253,'Base stats'!B:B,'Base stats'!BT:BT)/10000+0.01,0.01)
))</f>
        <v>0.22</v>
      </c>
      <c r="J253" s="4">
        <f>IF(G253="No","No",
MROUND(_xlfn.XLOOKUP(B253,'Base stats'!B:B,'Base stats'!BE:BE)^0.25
/((_xlfn.XLOOKUP(B253,'Base stats'!B:B,'Base stats'!BL:BL))*10)*_xlfn.XLOOKUP(_xlfn.XLOOKUP(B253,'Base stats'!B:B,'Base stats'!E:E),Groups!A:A,Groups!Q:Q)*150 + 0.5 + _xlfn.XLOOKUP(B253,'Base stats'!B:B,'Base stats'!BW:BW),
0.05))</f>
        <v>3.1500000000000004</v>
      </c>
      <c r="K253" s="3" t="str">
        <f>IF(Animals!X253="No","No",
IF(_xlfn.XLOOKUP(_xlfn.XLOOKUP(B253,'Base stats'!B:B,'Base stats'!E:E),Groups!A:A,Groups!BD:BD)=1,
MAX(MROUND(_xlfn.XLOOKUP(B253,'Base stats'!B:B,'Base stats'!BU:BU) * _xlfn.XLOOKUP(B253,'Base stats'!B:B,'Base stats'!BQ:BQ)^0.9 / 21 *_xlfn.XLOOKUP(B253,'Base stats'!B:B,'Base stats'!BX:BX),0.1),0.05),
MAX(MROUND(((MIN(10,_xlfn.XLOOKUP(B253,'Base stats'!B:B,'Base stats'!W:W)))^0.4*_xlfn.XLOOKUP(B253,'Base stats'!B:B,'Base stats'!BI:BI)^0.73)^0.6 *_xlfn.XLOOKUP(B253,'Base stats'!B:B,'Base stats'!BX:BX),0.1),0.05)
))</f>
        <v>No</v>
      </c>
      <c r="L253" s="11" t="str">
        <f>IF(K253="No","No",
MROUND(_xlfn.XLOOKUP(B253,'Base stats'!B:B,'Base stats'!BI:BI) * 0.01 *2 + 0.05, 0.05)
)</f>
        <v>No</v>
      </c>
      <c r="M253" s="5" t="str">
        <f>IF(K253="No","No",IF(_xlfn.XLOOKUP(_xlfn.XLOOKUP(B253,'Base stats'!B:B,'Base stats'!E:E),Groups!A:A,Groups!BD:BD)=1,"No",
MROUND(_xlfn.XLOOKUP(B253,'Base stats'!B:B,'Base stats'!BU:BU)/10000+0.01,0.01)
))</f>
        <v>No</v>
      </c>
      <c r="N253" s="4" t="str">
        <f>IF(K253="No","No",
MROUND(
  _xlfn.XLOOKUP(B253,'Base stats'!B:B,'Base stats'!BC:BC)^0.25
  / (_xlfn.XLOOKUP(B253,'Base stats'!B:B,'Base stats'!BM:BM) * 10)
  * _xlfn.XLOOKUP(
      _xlfn.XLOOKUP(B253,'Base stats'!B:B,'Base stats'!E:E),
      Groups!A:A,
      Groups!V:V
    ) * 150
  + MIN(12, _xlfn.XLOOKUP(B253,'Base stats'!B:B,'Base stats'!W:W))^(1/IF(_xlfn.XLOOKUP(_xlfn.XLOOKUP(B253,'Base stats'!B:B,'Base stats'!E:E),Groups!A:A,Groups!U:U)=1,100,10)) + 0.5 + _xlfn.XLOOKUP(B253,'Base stats'!B:B,'Base stats'!BW:BW),
0.05))</f>
        <v>No</v>
      </c>
      <c r="O253" s="3">
        <f>IF(Animals!AD253="No","No",
MAX(MROUND((MIN(10,_xlfn.XLOOKUP(B253,'Base stats'!B:B,'Base stats'!V:V)*IF(_xlfn.XLOOKUP(_xlfn.XLOOKUP(B253,'Base stats'!B:B,'Base stats'!E:E),Groups!A:A,Groups!O:O)=0,1,0.33))^0.4*_xlfn.XLOOKUP(B253,'Base stats'!B:B,'Base stats'!BJ:BJ)^0.73)^0.6 *_xlfn.XLOOKUP(B253,'Base stats'!B:B,'Base stats'!BX:BX),0.1),0.05)
)</f>
        <v>6.6000000000000005</v>
      </c>
      <c r="P253" s="11">
        <f>IF(O253="No","No",
MROUND(_xlfn.XLOOKUP(B253,'Base stats'!B:B,'Base stats'!BJ:BJ) * 0.01 * 2 + 0.05, 0.05)
)</f>
        <v>0.70000000000000007</v>
      </c>
      <c r="Q253" s="5">
        <f>IF(O253="No","No",
MROUND(_xlfn.XLOOKUP(B253,'Base stats'!B:B,'Base stats'!BV:BV)/10000+0.01,0.01)
)</f>
        <v>0.03</v>
      </c>
      <c r="R253" s="4">
        <f>IF(O253="No","No",
MROUND(_xlfn.XLOOKUP(B253,'Base stats'!B:B,'Base stats'!BB:BB)^0.25
/((_xlfn.XLOOKUP(B253,'Base stats'!B:B,'Base stats'!BN:BN))*10)*_xlfn.XLOOKUP(_xlfn.XLOOKUP(B253,'Base stats'!B:B,'Base stats'!E:E),Groups!A:A,Groups!Z:Z)*150 + 0.5 + _xlfn.XLOOKUP(B253,'Base stats'!B:B,'Base stats'!BW:BW),
0.05))</f>
        <v>2</v>
      </c>
      <c r="S253" s="3" t="str">
        <f>IF(Animals!AI253="No","No",
IF(_xlfn.XLOOKUP(B253,'Base stats'!B:B,'Base stats'!U:U)="No",
MAX(MROUND(_xlfn.XLOOKUP(B253,'Base stats'!B:B,'Base stats'!BT:BT) * _xlfn.XLOOKUP(B253,'Base stats'!B:B,'Base stats'!BP:BP)^0.9 / 21 * _xlfn.XLOOKUP(B253,'Base stats'!B:B,'Base stats'!BX:BX),0.1),0.05),
MAX(MROUND(((MIN(12,_xlfn.XLOOKUP(B253,'Base stats'!B:B,'Base stats'!U:U)))^0.4*_xlfn.XLOOKUP(B253,'Base stats'!B:B,'Base stats'!BH:BH)^0.73)^0.6 * _xlfn.XLOOKUP(B253,'Base stats'!B:B,'Base stats'!BX:BX),0.1),0.05)
))</f>
        <v>No</v>
      </c>
      <c r="T253" s="11" t="str">
        <f>IF(S253="No","No",
MROUND(_xlfn.XLOOKUP(B253,'Base stats'!B:B,'Base stats'!BH:BH) * 0.01 * 2 + 0.05, 0.05)
)</f>
        <v>No</v>
      </c>
      <c r="U253" s="5" t="str">
        <f>IF(S253="No","No",IF(_xlfn.XLOOKUP(B253,'Base stats'!B:B,'Base stats'!U:U)="No","No",
MROUND(_xlfn.XLOOKUP(B253,'Base stats'!B:B,'Base stats'!BT:BT)/10000+0.01,0.01)
))</f>
        <v>No</v>
      </c>
      <c r="V253" s="4" t="str">
        <f>IF(S253="No","No",
MROUND(_xlfn.XLOOKUP(B253,'Base stats'!B:B,'Base stats'!BF:BF)^0.25
/((_xlfn.XLOOKUP(B253,'Base stats'!B:B,'Base stats'!BO:BO))*10)*_xlfn.XLOOKUP(_xlfn.XLOOKUP(B253,'Base stats'!B:B,'Base stats'!E:E),Groups!A:A,Groups!AE:AE)*150 + 0.5 + _xlfn.XLOOKUP(B253,'Base stats'!B:B,'Base stats'!BW:BW),
0.05))</f>
        <v>No</v>
      </c>
      <c r="W253" s="8">
        <f>MROUND(_xlfn.XLOOKUP(_xlfn.XLOOKUP(B253,'Base stats'!B:B,'Base stats'!E:E),Groups!A:A,Groups!BG:BG)*_xlfn.XLOOKUP(B253,'Base stats'!B:B,'Base stats'!C:C)^-0.165,0.05)</f>
        <v>0.45</v>
      </c>
      <c r="X253" s="1">
        <f>MROUND(_xlfn.XLOOKUP(_xlfn.XLOOKUP(B253,'Base stats'!B:B,'Base stats'!E:E),Groups!A:A,Groups!BH:BH)*_xlfn.XLOOKUP(B253,'Base stats'!B:B,'Base stats'!C:C)^0.165,0.05)</f>
        <v>0.25</v>
      </c>
      <c r="Y253" s="8">
        <f>MROUND(_xlfn.XLOOKUP(_xlfn.XLOOKUP(B253,'Base stats'!B:B,'Base stats'!E:E),Groups!A:A,Groups!BI:BI)*_xlfn.XLOOKUP(B253,'Base stats'!B:B,'Base stats'!C:C)^0.165,0.05)</f>
        <v>0.05</v>
      </c>
      <c r="Z253" s="18">
        <f>MROUND(_xlfn.XLOOKUP(B253,'Base stats'!B:B,'Base stats'!AQ:AQ)*_xlfn.XLOOKUP(_xlfn.XLOOKUP(B253,'Base stats'!B:B,'Base stats'!E:E),Groups!A:A,Groups!H:H)/1000,IF((_xlfn.XLOOKUP(B253,'Base stats'!B:B,'Base stats'!AQ:AQ)*_xlfn.XLOOKUP(_xlfn.XLOOKUP(B253,'Base stats'!B:B,'Base stats'!E:E),Groups!A:A,Groups!H:H)/1000)&gt;1,0.05,0.01))</f>
        <v>0</v>
      </c>
      <c r="AA253" s="18">
        <f>MROUND((1/2)*(_xlfn.XLOOKUP(_xlfn.XLOOKUP(B253,'Base stats'!B:B,'Base stats'!E:E),Groups!A:A,Groups!H:H)*_xlfn.XLOOKUP(_xlfn.XLOOKUP(B253,'Base stats'!B:B,'Base stats'!E:E),Groups!A:A,Groups!I:I))*_xlfn.XLOOKUP(B253,'Base stats'!B:B,'Base stats'!AQ:AQ)*0.01,0.05)</f>
        <v>0</v>
      </c>
      <c r="AB253" s="18">
        <f>MROUND(250*(Animals!AO253+Animals!AP253),25)</f>
        <v>850</v>
      </c>
      <c r="AC253" s="18" t="str">
        <f>_xlfn.XLOOKUP(_xlfn.XLOOKUP(B253,'Base stats'!B:B,'Base stats'!E:E),Groups!A:A,Groups!BJ:BJ)</f>
        <v>Birdlike</v>
      </c>
    </row>
    <row r="254" spans="1:29" ht="16.5" thickTop="1" thickBot="1" x14ac:dyDescent="0.3">
      <c r="A254" s="16" t="str">
        <f>Animals!A254</f>
        <v>DevilSheep</v>
      </c>
      <c r="B254" s="6" t="str">
        <f>Animals!B254</f>
        <v>Ovis malignus</v>
      </c>
      <c r="C254" s="1" t="str">
        <f>Animals!C254</f>
        <v>&lt;li&gt;AA_DevilSheep&lt;/li&gt;</v>
      </c>
      <c r="D254" s="47">
        <f>MIN(MIN(6,_xlfn.XLOOKUP(A254,Animals!A:A,Animals!AO:AO))*20,MAX(MROUND(_xlfn.XLOOKUP(B254,'Base stats'!B:B,'Base stats'!BS:BS) * (_xlfn.XLOOKUP(B254,'Base stats'!B:B,'Base stats'!AO:AO)*5%)^0.9 / 21,0.1),0.05))</f>
        <v>3</v>
      </c>
      <c r="E254" s="11">
        <f>MROUND(_xlfn.XLOOKUP(B254,'Base stats'!B:B,'Base stats'!BG:BG) * 0.01 * 2 + 0.01, 0.05)</f>
        <v>2.4500000000000002</v>
      </c>
      <c r="F254" s="7">
        <f>MROUND(_xlfn.XLOOKUP(B254,'Base stats'!B:B,'Base stats'!BD:BD)^0.25 / (_xlfn.XLOOKUP(B254,'Base stats'!B:B,'Base stats'!BK:BK) * 10) * 150 + 0.5 + _xlfn.XLOOKUP(B254,'Base stats'!B:B,'Base stats'!BW:BW), 0.05)</f>
        <v>1.4000000000000001</v>
      </c>
      <c r="G254" s="3">
        <f>IF(Animals!S254="No","No",
IF(_xlfn.XLOOKUP(B254,'Base stats'!B:B,'Base stats'!U:U)="No",
MAX(MROUND(_xlfn.XLOOKUP(B254,'Base stats'!B:B,'Base stats'!BT:BT) * _xlfn.XLOOKUP(B254,'Base stats'!B:B,'Base stats'!BP:BP)^0.9 / 21 * _xlfn.XLOOKUP(B254,'Base stats'!B:B,'Base stats'!BX:BX),0.1),0.05),
MAX(MROUND(((MIN(10,_xlfn.XLOOKUP(B254,'Base stats'!B:B,'Base stats'!U:U)))^0.4*_xlfn.XLOOKUP(B254,'Base stats'!B:B,'Base stats'!BH:BH)^0.73)^0.6 * _xlfn.XLOOKUP(B254,'Base stats'!B:B,'Base stats'!BX:BX),0.1),0.05)
))</f>
        <v>4.1000000000000005</v>
      </c>
      <c r="H254" s="11">
        <f>IF(G254="No","No",
MROUND(_xlfn.XLOOKUP(B254,'Base stats'!B:B,'Base stats'!BH:BH) * 0.01 * 2 + 0.05, 0.05)
)</f>
        <v>2.3000000000000003</v>
      </c>
      <c r="I254" s="11" t="str">
        <f>IF(G254="No","No",IF(_xlfn.XLOOKUP(B254,'Base stats'!B:B,'Base stats'!U:U)="No","No",
MROUND(_xlfn.XLOOKUP(B254,'Base stats'!B:B,'Base stats'!BT:BT)/10000+0.01,0.01)
))</f>
        <v>No</v>
      </c>
      <c r="J254" s="4">
        <f>IF(G254="No","No",
MROUND(_xlfn.XLOOKUP(B254,'Base stats'!B:B,'Base stats'!BE:BE)^0.25
/((_xlfn.XLOOKUP(B254,'Base stats'!B:B,'Base stats'!BL:BL))*10)*_xlfn.XLOOKUP(_xlfn.XLOOKUP(B254,'Base stats'!B:B,'Base stats'!E:E),Groups!A:A,Groups!Q:Q)*150 + 0.5 + _xlfn.XLOOKUP(B254,'Base stats'!B:B,'Base stats'!BW:BW),
0.05))</f>
        <v>2.1</v>
      </c>
      <c r="K254" s="3">
        <f>IF(Animals!X254="No","No",
IF(_xlfn.XLOOKUP(_xlfn.XLOOKUP(B254,'Base stats'!B:B,'Base stats'!E:E),Groups!A:A,Groups!BD:BD)=1,
MAX(MROUND(_xlfn.XLOOKUP(B254,'Base stats'!B:B,'Base stats'!BU:BU) * _xlfn.XLOOKUP(B254,'Base stats'!B:B,'Base stats'!BQ:BQ)^0.9 / 21 *_xlfn.XLOOKUP(B254,'Base stats'!B:B,'Base stats'!BX:BX),0.1),0.05),
MAX(MROUND(((MIN(10,_xlfn.XLOOKUP(B254,'Base stats'!B:B,'Base stats'!W:W)))^0.4*_xlfn.XLOOKUP(B254,'Base stats'!B:B,'Base stats'!BI:BI)^0.73)^0.6 *_xlfn.XLOOKUP(B254,'Base stats'!B:B,'Base stats'!BX:BX),0.1),0.05)
))</f>
        <v>3.6</v>
      </c>
      <c r="L254" s="11">
        <f>IF(K254="No","No",
MROUND(_xlfn.XLOOKUP(B254,'Base stats'!B:B,'Base stats'!BI:BI) * 0.01 *2 + 0.05, 0.05)
)</f>
        <v>3</v>
      </c>
      <c r="M254" s="5" t="str">
        <f>IF(K254="No","No",IF(_xlfn.XLOOKUP(_xlfn.XLOOKUP(B254,'Base stats'!B:B,'Base stats'!E:E),Groups!A:A,Groups!BD:BD)=1,"No",
MROUND(_xlfn.XLOOKUP(B254,'Base stats'!B:B,'Base stats'!BU:BU)/10000+0.01,0.01)
))</f>
        <v>No</v>
      </c>
      <c r="N254" s="4">
        <f>IF(K254="No","No",
MROUND(
  _xlfn.XLOOKUP(B254,'Base stats'!B:B,'Base stats'!BC:BC)^0.25
  / (_xlfn.XLOOKUP(B254,'Base stats'!B:B,'Base stats'!BM:BM) * 10)
  * _xlfn.XLOOKUP(
      _xlfn.XLOOKUP(B254,'Base stats'!B:B,'Base stats'!E:E),
      Groups!A:A,
      Groups!V:V
    ) * 150
  + MIN(12, _xlfn.XLOOKUP(B254,'Base stats'!B:B,'Base stats'!W:W))^(1/IF(_xlfn.XLOOKUP(_xlfn.XLOOKUP(B254,'Base stats'!B:B,'Base stats'!E:E),Groups!A:A,Groups!U:U)=1,100,10)) + 0.5 + _xlfn.XLOOKUP(B254,'Base stats'!B:B,'Base stats'!BW:BW),
0.05))</f>
        <v>2.5</v>
      </c>
      <c r="O254" s="3" t="str">
        <f>IF(Animals!AD254="No","No",
MAX(MROUND((MIN(10,_xlfn.XLOOKUP(B254,'Base stats'!B:B,'Base stats'!V:V)*IF(_xlfn.XLOOKUP(_xlfn.XLOOKUP(B254,'Base stats'!B:B,'Base stats'!E:E),Groups!A:A,Groups!O:O)=0,1,0.33))^0.4*_xlfn.XLOOKUP(B254,'Base stats'!B:B,'Base stats'!BJ:BJ)^0.73)^0.6 *_xlfn.XLOOKUP(B254,'Base stats'!B:B,'Base stats'!BX:BX),0.1),0.05)
)</f>
        <v>No</v>
      </c>
      <c r="P254" s="11" t="str">
        <f>IF(O254="No","No",
MROUND(_xlfn.XLOOKUP(B254,'Base stats'!B:B,'Base stats'!BJ:BJ) * 0.01 * 2 + 0.05, 0.05)
)</f>
        <v>No</v>
      </c>
      <c r="Q254" s="5" t="str">
        <f>IF(O254="No","No",
MROUND(_xlfn.XLOOKUP(B254,'Base stats'!B:B,'Base stats'!BV:BV)/10000+0.01,0.01)
)</f>
        <v>No</v>
      </c>
      <c r="R254" s="4" t="str">
        <f>IF(O254="No","No",
MROUND(_xlfn.XLOOKUP(B254,'Base stats'!B:B,'Base stats'!BB:BB)^0.25
/((_xlfn.XLOOKUP(B254,'Base stats'!B:B,'Base stats'!BN:BN))*10)*_xlfn.XLOOKUP(_xlfn.XLOOKUP(B254,'Base stats'!B:B,'Base stats'!E:E),Groups!A:A,Groups!Z:Z)*150 + 0.5 + _xlfn.XLOOKUP(B254,'Base stats'!B:B,'Base stats'!BW:BW),
0.05))</f>
        <v>No</v>
      </c>
      <c r="S254" s="3" t="str">
        <f>IF(Animals!AI254="No","No",
IF(_xlfn.XLOOKUP(B254,'Base stats'!B:B,'Base stats'!U:U)="No",
MAX(MROUND(_xlfn.XLOOKUP(B254,'Base stats'!B:B,'Base stats'!BT:BT) * _xlfn.XLOOKUP(B254,'Base stats'!B:B,'Base stats'!BP:BP)^0.9 / 21 * _xlfn.XLOOKUP(B254,'Base stats'!B:B,'Base stats'!BX:BX),0.1),0.05),
MAX(MROUND(((MIN(12,_xlfn.XLOOKUP(B254,'Base stats'!B:B,'Base stats'!U:U)))^0.4*_xlfn.XLOOKUP(B254,'Base stats'!B:B,'Base stats'!BH:BH)^0.73)^0.6 * _xlfn.XLOOKUP(B254,'Base stats'!B:B,'Base stats'!BX:BX),0.1),0.05)
))</f>
        <v>No</v>
      </c>
      <c r="T254" s="11" t="str">
        <f>IF(S254="No","No",
MROUND(_xlfn.XLOOKUP(B254,'Base stats'!B:B,'Base stats'!BH:BH) * 0.01 * 2 + 0.05, 0.05)
)</f>
        <v>No</v>
      </c>
      <c r="U254" s="5" t="str">
        <f>IF(S254="No","No",IF(_xlfn.XLOOKUP(B254,'Base stats'!B:B,'Base stats'!U:U)="No","No",
MROUND(_xlfn.XLOOKUP(B254,'Base stats'!B:B,'Base stats'!BT:BT)/10000+0.01,0.01)
))</f>
        <v>No</v>
      </c>
      <c r="V254" s="4" t="str">
        <f>IF(S254="No","No",
MROUND(_xlfn.XLOOKUP(B254,'Base stats'!B:B,'Base stats'!BF:BF)^0.25
/((_xlfn.XLOOKUP(B254,'Base stats'!B:B,'Base stats'!BO:BO))*10)*_xlfn.XLOOKUP(_xlfn.XLOOKUP(B254,'Base stats'!B:B,'Base stats'!E:E),Groups!A:A,Groups!AE:AE)*150 + 0.5 + _xlfn.XLOOKUP(B254,'Base stats'!B:B,'Base stats'!BW:BW),
0.05))</f>
        <v>No</v>
      </c>
      <c r="W254" s="8">
        <f>MROUND(_xlfn.XLOOKUP(_xlfn.XLOOKUP(B254,'Base stats'!B:B,'Base stats'!E:E),Groups!A:A,Groups!BG:BG)*_xlfn.XLOOKUP(B254,'Base stats'!B:B,'Base stats'!C:C)^-0.165,0.05)</f>
        <v>0.25</v>
      </c>
      <c r="X254" s="1">
        <f>MROUND(_xlfn.XLOOKUP(_xlfn.XLOOKUP(B254,'Base stats'!B:B,'Base stats'!E:E),Groups!A:A,Groups!BH:BH)*_xlfn.XLOOKUP(B254,'Base stats'!B:B,'Base stats'!C:C)^0.165,0.05)</f>
        <v>0</v>
      </c>
      <c r="Y254" s="8">
        <f>MROUND(_xlfn.XLOOKUP(_xlfn.XLOOKUP(B254,'Base stats'!B:B,'Base stats'!E:E),Groups!A:A,Groups!BI:BI)*_xlfn.XLOOKUP(B254,'Base stats'!B:B,'Base stats'!C:C)^0.165,0.05)</f>
        <v>0</v>
      </c>
      <c r="Z254" s="18">
        <f>MROUND(_xlfn.XLOOKUP(B254,'Base stats'!B:B,'Base stats'!AQ:AQ)*_xlfn.XLOOKUP(_xlfn.XLOOKUP(B254,'Base stats'!B:B,'Base stats'!E:E),Groups!A:A,Groups!H:H)/1000,IF((_xlfn.XLOOKUP(B254,'Base stats'!B:B,'Base stats'!AQ:AQ)*_xlfn.XLOOKUP(_xlfn.XLOOKUP(B254,'Base stats'!B:B,'Base stats'!E:E),Groups!A:A,Groups!H:H)/1000)&gt;1,0.05,0.01))</f>
        <v>0.06</v>
      </c>
      <c r="AA254" s="18">
        <f>MROUND((1/2)*(_xlfn.XLOOKUP(_xlfn.XLOOKUP(B254,'Base stats'!B:B,'Base stats'!E:E),Groups!A:A,Groups!H:H)*_xlfn.XLOOKUP(_xlfn.XLOOKUP(B254,'Base stats'!B:B,'Base stats'!E:E),Groups!A:A,Groups!I:I))*_xlfn.XLOOKUP(B254,'Base stats'!B:B,'Base stats'!AQ:AQ)*0.01,0.05)</f>
        <v>0.25</v>
      </c>
      <c r="AB254" s="18">
        <f>MROUND(250*(Animals!AO254+Animals!AP254),25)</f>
        <v>475</v>
      </c>
      <c r="AC254" s="18" t="str">
        <f>_xlfn.XLOOKUP(_xlfn.XLOOKUP(B254,'Base stats'!B:B,'Base stats'!E:E),Groups!A:A,Groups!BJ:BJ)</f>
        <v>Quadruped</v>
      </c>
    </row>
    <row r="255" spans="1:29" ht="16.5" thickTop="1" thickBot="1" x14ac:dyDescent="0.3">
      <c r="A255" s="16" t="str">
        <f>Animals!A255</f>
        <v>Drainer</v>
      </c>
      <c r="B255" s="6" t="str">
        <f>Animals!B255</f>
        <v>Haemophagus infinitus</v>
      </c>
      <c r="C255" s="1" t="str">
        <f>Animals!C255</f>
        <v>&lt;li&gt;AA_Drainer&lt;/li&gt;</v>
      </c>
      <c r="D255" s="47">
        <f>MIN(MIN(6,_xlfn.XLOOKUP(A255,Animals!A:A,Animals!AO:AO))*20,MAX(MROUND(_xlfn.XLOOKUP(B255,'Base stats'!B:B,'Base stats'!BS:BS) * (_xlfn.XLOOKUP(B255,'Base stats'!B:B,'Base stats'!AO:AO)*5%)^0.9 / 21,0.1),0.05))</f>
        <v>0.1</v>
      </c>
      <c r="E255" s="11">
        <f>MROUND(_xlfn.XLOOKUP(B255,'Base stats'!B:B,'Base stats'!BG:BG) * 0.01 * 2 + 0.01, 0.05)</f>
        <v>0.1</v>
      </c>
      <c r="F255" s="7">
        <f>MROUND(_xlfn.XLOOKUP(B255,'Base stats'!B:B,'Base stats'!BD:BD)^0.25 / (_xlfn.XLOOKUP(B255,'Base stats'!B:B,'Base stats'!BK:BK) * 10) * 150 + 0.5 + _xlfn.XLOOKUP(B255,'Base stats'!B:B,'Base stats'!BW:BW), 0.05)</f>
        <v>1.6500000000000001</v>
      </c>
      <c r="G255" s="3" t="str">
        <f>IF(Animals!S255="No","No",
IF(_xlfn.XLOOKUP(B255,'Base stats'!B:B,'Base stats'!U:U)="No",
MAX(MROUND(_xlfn.XLOOKUP(B255,'Base stats'!B:B,'Base stats'!BT:BT) * _xlfn.XLOOKUP(B255,'Base stats'!B:B,'Base stats'!BP:BP)^0.9 / 21 * _xlfn.XLOOKUP(B255,'Base stats'!B:B,'Base stats'!BX:BX),0.1),0.05),
MAX(MROUND(((MIN(10,_xlfn.XLOOKUP(B255,'Base stats'!B:B,'Base stats'!U:U)))^0.4*_xlfn.XLOOKUP(B255,'Base stats'!B:B,'Base stats'!BH:BH)^0.73)^0.6 * _xlfn.XLOOKUP(B255,'Base stats'!B:B,'Base stats'!BX:BX),0.1),0.05)
))</f>
        <v>No</v>
      </c>
      <c r="H255" s="11" t="str">
        <f>IF(G255="No","No",
MROUND(_xlfn.XLOOKUP(B255,'Base stats'!B:B,'Base stats'!BH:BH) * 0.01 * 2 + 0.05, 0.05)
)</f>
        <v>No</v>
      </c>
      <c r="I255" s="11" t="str">
        <f>IF(G255="No","No",IF(_xlfn.XLOOKUP(B255,'Base stats'!B:B,'Base stats'!U:U)="No","No",
MROUND(_xlfn.XLOOKUP(B255,'Base stats'!B:B,'Base stats'!BT:BT)/10000+0.01,0.01)
))</f>
        <v>No</v>
      </c>
      <c r="J255" s="4" t="str">
        <f>IF(G255="No","No",
MROUND(_xlfn.XLOOKUP(B255,'Base stats'!B:B,'Base stats'!BE:BE)^0.25
/((_xlfn.XLOOKUP(B255,'Base stats'!B:B,'Base stats'!BL:BL))*10)*_xlfn.XLOOKUP(_xlfn.XLOOKUP(B255,'Base stats'!B:B,'Base stats'!E:E),Groups!A:A,Groups!Q:Q)*150 + 0.5 + _xlfn.XLOOKUP(B255,'Base stats'!B:B,'Base stats'!BW:BW),
0.05))</f>
        <v>No</v>
      </c>
      <c r="K255" s="3" t="str">
        <f>IF(Animals!X255="No","No",
IF(_xlfn.XLOOKUP(_xlfn.XLOOKUP(B255,'Base stats'!B:B,'Base stats'!E:E),Groups!A:A,Groups!BD:BD)=1,
MAX(MROUND(_xlfn.XLOOKUP(B255,'Base stats'!B:B,'Base stats'!BU:BU) * _xlfn.XLOOKUP(B255,'Base stats'!B:B,'Base stats'!BQ:BQ)^0.9 / 21 *_xlfn.XLOOKUP(B255,'Base stats'!B:B,'Base stats'!BX:BX),0.1),0.05),
MAX(MROUND(((MIN(10,_xlfn.XLOOKUP(B255,'Base stats'!B:B,'Base stats'!W:W)))^0.4*_xlfn.XLOOKUP(B255,'Base stats'!B:B,'Base stats'!BI:BI)^0.73)^0.6 *_xlfn.XLOOKUP(B255,'Base stats'!B:B,'Base stats'!BX:BX),0.1),0.05)
))</f>
        <v>No</v>
      </c>
      <c r="L255" s="11" t="str">
        <f>IF(K255="No","No",
MROUND(_xlfn.XLOOKUP(B255,'Base stats'!B:B,'Base stats'!BI:BI) * 0.01 *2 + 0.05, 0.05)
)</f>
        <v>No</v>
      </c>
      <c r="M255" s="5" t="str">
        <f>IF(K255="No","No",IF(_xlfn.XLOOKUP(_xlfn.XLOOKUP(B255,'Base stats'!B:B,'Base stats'!E:E),Groups!A:A,Groups!BD:BD)=1,"No",
MROUND(_xlfn.XLOOKUP(B255,'Base stats'!B:B,'Base stats'!BU:BU)/10000+0.01,0.01)
))</f>
        <v>No</v>
      </c>
      <c r="N255" s="4" t="str">
        <f>IF(K255="No","No",
MROUND(
  _xlfn.XLOOKUP(B255,'Base stats'!B:B,'Base stats'!BC:BC)^0.25
  / (_xlfn.XLOOKUP(B255,'Base stats'!B:B,'Base stats'!BM:BM) * 10)
  * _xlfn.XLOOKUP(
      _xlfn.XLOOKUP(B255,'Base stats'!B:B,'Base stats'!E:E),
      Groups!A:A,
      Groups!V:V
    ) * 150
  + MIN(12, _xlfn.XLOOKUP(B255,'Base stats'!B:B,'Base stats'!W:W))^(1/IF(_xlfn.XLOOKUP(_xlfn.XLOOKUP(B255,'Base stats'!B:B,'Base stats'!E:E),Groups!A:A,Groups!U:U)=1,100,10)) + 0.5 + _xlfn.XLOOKUP(B255,'Base stats'!B:B,'Base stats'!BW:BW),
0.05))</f>
        <v>No</v>
      </c>
      <c r="O255" s="3" t="str">
        <f>IF(Animals!AD255="No","No",
MAX(MROUND((MIN(10,_xlfn.XLOOKUP(B255,'Base stats'!B:B,'Base stats'!V:V)*IF(_xlfn.XLOOKUP(_xlfn.XLOOKUP(B255,'Base stats'!B:B,'Base stats'!E:E),Groups!A:A,Groups!O:O)=0,1,0.33))^0.4*_xlfn.XLOOKUP(B255,'Base stats'!B:B,'Base stats'!BJ:BJ)^0.73)^0.6 *_xlfn.XLOOKUP(B255,'Base stats'!B:B,'Base stats'!BX:BX),0.1),0.05)
)</f>
        <v>No</v>
      </c>
      <c r="P255" s="11" t="str">
        <f>IF(O255="No","No",
MROUND(_xlfn.XLOOKUP(B255,'Base stats'!B:B,'Base stats'!BJ:BJ) * 0.01 * 2 + 0.05, 0.05)
)</f>
        <v>No</v>
      </c>
      <c r="Q255" s="5" t="str">
        <f>IF(O255="No","No",
MROUND(_xlfn.XLOOKUP(B255,'Base stats'!B:B,'Base stats'!BV:BV)/10000+0.01,0.01)
)</f>
        <v>No</v>
      </c>
      <c r="R255" s="4" t="str">
        <f>IF(O255="No","No",
MROUND(_xlfn.XLOOKUP(B255,'Base stats'!B:B,'Base stats'!BB:BB)^0.25
/((_xlfn.XLOOKUP(B255,'Base stats'!B:B,'Base stats'!BN:BN))*10)*_xlfn.XLOOKUP(_xlfn.XLOOKUP(B255,'Base stats'!B:B,'Base stats'!E:E),Groups!A:A,Groups!Z:Z)*150 + 0.5 + _xlfn.XLOOKUP(B255,'Base stats'!B:B,'Base stats'!BW:BW),
0.05))</f>
        <v>No</v>
      </c>
      <c r="S255" s="3" t="str">
        <f>IF(Animals!AI255="No","No",
IF(_xlfn.XLOOKUP(B255,'Base stats'!B:B,'Base stats'!U:U)="No",
MAX(MROUND(_xlfn.XLOOKUP(B255,'Base stats'!B:B,'Base stats'!BT:BT) * _xlfn.XLOOKUP(B255,'Base stats'!B:B,'Base stats'!BP:BP)^0.9 / 21 * _xlfn.XLOOKUP(B255,'Base stats'!B:B,'Base stats'!BX:BX),0.1),0.05),
MAX(MROUND(((MIN(12,_xlfn.XLOOKUP(B255,'Base stats'!B:B,'Base stats'!U:U)))^0.4*_xlfn.XLOOKUP(B255,'Base stats'!B:B,'Base stats'!BH:BH)^0.73)^0.6 * _xlfn.XLOOKUP(B255,'Base stats'!B:B,'Base stats'!BX:BX),0.1),0.05)
))</f>
        <v>No</v>
      </c>
      <c r="T255" s="11" t="str">
        <f>IF(S255="No","No",
MROUND(_xlfn.XLOOKUP(B255,'Base stats'!B:B,'Base stats'!BH:BH) * 0.01 * 2 + 0.05, 0.05)
)</f>
        <v>No</v>
      </c>
      <c r="U255" s="5" t="str">
        <f>IF(S255="No","No",IF(_xlfn.XLOOKUP(B255,'Base stats'!B:B,'Base stats'!U:U)="No","No",
MROUND(_xlfn.XLOOKUP(B255,'Base stats'!B:B,'Base stats'!BT:BT)/10000+0.01,0.01)
))</f>
        <v>No</v>
      </c>
      <c r="V255" s="4" t="str">
        <f>IF(S255="No","No",
MROUND(_xlfn.XLOOKUP(B255,'Base stats'!B:B,'Base stats'!BF:BF)^0.25
/((_xlfn.XLOOKUP(B255,'Base stats'!B:B,'Base stats'!BO:BO))*10)*_xlfn.XLOOKUP(_xlfn.XLOOKUP(B255,'Base stats'!B:B,'Base stats'!E:E),Groups!A:A,Groups!AE:AE)*150 + 0.5 + _xlfn.XLOOKUP(B255,'Base stats'!B:B,'Base stats'!BW:BW),
0.05))</f>
        <v>No</v>
      </c>
      <c r="W255" s="8">
        <f>MROUND(_xlfn.XLOOKUP(_xlfn.XLOOKUP(B255,'Base stats'!B:B,'Base stats'!E:E),Groups!A:A,Groups!BG:BG)*_xlfn.XLOOKUP(B255,'Base stats'!B:B,'Base stats'!C:C)^-0.165,0.05)</f>
        <v>0.2</v>
      </c>
      <c r="X255" s="1">
        <f>MROUND(_xlfn.XLOOKUP(_xlfn.XLOOKUP(B255,'Base stats'!B:B,'Base stats'!E:E),Groups!A:A,Groups!BH:BH)*_xlfn.XLOOKUP(B255,'Base stats'!B:B,'Base stats'!C:C)^0.165,0.05)</f>
        <v>0.15000000000000002</v>
      </c>
      <c r="Y255" s="8">
        <f>MROUND(_xlfn.XLOOKUP(_xlfn.XLOOKUP(B255,'Base stats'!B:B,'Base stats'!E:E),Groups!A:A,Groups!BI:BI)*_xlfn.XLOOKUP(B255,'Base stats'!B:B,'Base stats'!C:C)^0.165,0.05)</f>
        <v>0.05</v>
      </c>
      <c r="Z255" s="18">
        <f>MROUND(_xlfn.XLOOKUP(B255,'Base stats'!B:B,'Base stats'!AQ:AQ)*_xlfn.XLOOKUP(_xlfn.XLOOKUP(B255,'Base stats'!B:B,'Base stats'!E:E),Groups!A:A,Groups!H:H)/1000,IF((_xlfn.XLOOKUP(B255,'Base stats'!B:B,'Base stats'!AQ:AQ)*_xlfn.XLOOKUP(_xlfn.XLOOKUP(B255,'Base stats'!B:B,'Base stats'!E:E),Groups!A:A,Groups!H:H)/1000)&gt;1,0.05,0.01))</f>
        <v>0.4</v>
      </c>
      <c r="AA255" s="18">
        <f>MROUND((1/2)*(_xlfn.XLOOKUP(_xlfn.XLOOKUP(B255,'Base stats'!B:B,'Base stats'!E:E),Groups!A:A,Groups!H:H)*_xlfn.XLOOKUP(_xlfn.XLOOKUP(B255,'Base stats'!B:B,'Base stats'!E:E),Groups!A:A,Groups!I:I))*_xlfn.XLOOKUP(B255,'Base stats'!B:B,'Base stats'!AQ:AQ)*0.01,0.05)</f>
        <v>0.05</v>
      </c>
      <c r="AB255" s="18">
        <f>MROUND(250*(Animals!AO255+Animals!AP255),25)</f>
        <v>150</v>
      </c>
      <c r="AC255" s="18" t="str">
        <f>_xlfn.XLOOKUP(_xlfn.XLOOKUP(B255,'Base stats'!B:B,'Base stats'!E:E),Groups!A:A,Groups!BJ:BJ)</f>
        <v>Birdlike</v>
      </c>
    </row>
    <row r="256" spans="1:29" ht="16.5" thickTop="1" thickBot="1" x14ac:dyDescent="0.3">
      <c r="A256" s="16" t="str">
        <f>Animals!A256</f>
        <v>DrainerLarva</v>
      </c>
      <c r="B256" s="6" t="str">
        <f>Animals!B256</f>
        <v>Haemophagus infinitus (larva)</v>
      </c>
      <c r="C256" s="1" t="str">
        <f>Animals!C256</f>
        <v>&lt;li&gt;AA_DrainerLarva&lt;/li&gt;</v>
      </c>
      <c r="D256" s="47">
        <f>MIN(MIN(6,_xlfn.XLOOKUP(A256,Animals!A:A,Animals!AO:AO))*20,MAX(MROUND(_xlfn.XLOOKUP(B256,'Base stats'!B:B,'Base stats'!BS:BS) * (_xlfn.XLOOKUP(B256,'Base stats'!B:B,'Base stats'!AO:AO)*5%)^0.9 / 21,0.1),0.05))</f>
        <v>0.05</v>
      </c>
      <c r="E256" s="11">
        <f>MROUND(_xlfn.XLOOKUP(B256,'Base stats'!B:B,'Base stats'!BG:BG) * 0.01 * 2 + 0.01, 0.05)</f>
        <v>0</v>
      </c>
      <c r="F256" s="7">
        <f>MROUND(_xlfn.XLOOKUP(B256,'Base stats'!B:B,'Base stats'!BD:BD)^0.25 / (_xlfn.XLOOKUP(B256,'Base stats'!B:B,'Base stats'!BK:BK) * 10) * 150 + 0.5 + _xlfn.XLOOKUP(B256,'Base stats'!B:B,'Base stats'!BW:BW), 0.05)</f>
        <v>1.5</v>
      </c>
      <c r="G256" s="3" t="str">
        <f>IF(Animals!S256="No","No",
IF(_xlfn.XLOOKUP(B256,'Base stats'!B:B,'Base stats'!U:U)="No",
MAX(MROUND(_xlfn.XLOOKUP(B256,'Base stats'!B:B,'Base stats'!BT:BT) * _xlfn.XLOOKUP(B256,'Base stats'!B:B,'Base stats'!BP:BP)^0.9 / 21 * _xlfn.XLOOKUP(B256,'Base stats'!B:B,'Base stats'!BX:BX),0.1),0.05),
MAX(MROUND(((MIN(10,_xlfn.XLOOKUP(B256,'Base stats'!B:B,'Base stats'!U:U)))^0.4*_xlfn.XLOOKUP(B256,'Base stats'!B:B,'Base stats'!BH:BH)^0.73)^0.6 * _xlfn.XLOOKUP(B256,'Base stats'!B:B,'Base stats'!BX:BX),0.1),0.05)
))</f>
        <v>No</v>
      </c>
      <c r="H256" s="11" t="str">
        <f>IF(G256="No","No",
MROUND(_xlfn.XLOOKUP(B256,'Base stats'!B:B,'Base stats'!BH:BH) * 0.01 * 2 + 0.05, 0.05)
)</f>
        <v>No</v>
      </c>
      <c r="I256" s="11" t="str">
        <f>IF(G256="No","No",IF(_xlfn.XLOOKUP(B256,'Base stats'!B:B,'Base stats'!U:U)="No","No",
MROUND(_xlfn.XLOOKUP(B256,'Base stats'!B:B,'Base stats'!BT:BT)/10000+0.01,0.01)
))</f>
        <v>No</v>
      </c>
      <c r="J256" s="4" t="str">
        <f>IF(G256="No","No",
MROUND(_xlfn.XLOOKUP(B256,'Base stats'!B:B,'Base stats'!BE:BE)^0.25
/((_xlfn.XLOOKUP(B256,'Base stats'!B:B,'Base stats'!BL:BL))*10)*_xlfn.XLOOKUP(_xlfn.XLOOKUP(B256,'Base stats'!B:B,'Base stats'!E:E),Groups!A:A,Groups!Q:Q)*150 + 0.5 + _xlfn.XLOOKUP(B256,'Base stats'!B:B,'Base stats'!BW:BW),
0.05))</f>
        <v>No</v>
      </c>
      <c r="K256" s="3" t="str">
        <f>IF(Animals!X256="No","No",
IF(_xlfn.XLOOKUP(_xlfn.XLOOKUP(B256,'Base stats'!B:B,'Base stats'!E:E),Groups!A:A,Groups!BD:BD)=1,
MAX(MROUND(_xlfn.XLOOKUP(B256,'Base stats'!B:B,'Base stats'!BU:BU) * _xlfn.XLOOKUP(B256,'Base stats'!B:B,'Base stats'!BQ:BQ)^0.9 / 21 *_xlfn.XLOOKUP(B256,'Base stats'!B:B,'Base stats'!BX:BX),0.1),0.05),
MAX(MROUND(((MIN(10,_xlfn.XLOOKUP(B256,'Base stats'!B:B,'Base stats'!W:W)))^0.4*_xlfn.XLOOKUP(B256,'Base stats'!B:B,'Base stats'!BI:BI)^0.73)^0.6 *_xlfn.XLOOKUP(B256,'Base stats'!B:B,'Base stats'!BX:BX),0.1),0.05)
))</f>
        <v>No</v>
      </c>
      <c r="L256" s="11" t="str">
        <f>IF(K256="No","No",
MROUND(_xlfn.XLOOKUP(B256,'Base stats'!B:B,'Base stats'!BI:BI) * 0.01 *2 + 0.05, 0.05)
)</f>
        <v>No</v>
      </c>
      <c r="M256" s="5" t="str">
        <f>IF(K256="No","No",IF(_xlfn.XLOOKUP(_xlfn.XLOOKUP(B256,'Base stats'!B:B,'Base stats'!E:E),Groups!A:A,Groups!BD:BD)=1,"No",
MROUND(_xlfn.XLOOKUP(B256,'Base stats'!B:B,'Base stats'!BU:BU)/10000+0.01,0.01)
))</f>
        <v>No</v>
      </c>
      <c r="N256" s="4" t="str">
        <f>IF(K256="No","No",
MROUND(
  _xlfn.XLOOKUP(B256,'Base stats'!B:B,'Base stats'!BC:BC)^0.25
  / (_xlfn.XLOOKUP(B256,'Base stats'!B:B,'Base stats'!BM:BM) * 10)
  * _xlfn.XLOOKUP(
      _xlfn.XLOOKUP(B256,'Base stats'!B:B,'Base stats'!E:E),
      Groups!A:A,
      Groups!V:V
    ) * 150
  + MIN(12, _xlfn.XLOOKUP(B256,'Base stats'!B:B,'Base stats'!W:W))^(1/IF(_xlfn.XLOOKUP(_xlfn.XLOOKUP(B256,'Base stats'!B:B,'Base stats'!E:E),Groups!A:A,Groups!U:U)=1,100,10)) + 0.5 + _xlfn.XLOOKUP(B256,'Base stats'!B:B,'Base stats'!BW:BW),
0.05))</f>
        <v>No</v>
      </c>
      <c r="O256" s="3">
        <f>IF(Animals!AD256="No","No",
MAX(MROUND((MIN(10,_xlfn.XLOOKUP(B256,'Base stats'!B:B,'Base stats'!V:V)*IF(_xlfn.XLOOKUP(_xlfn.XLOOKUP(B256,'Base stats'!B:B,'Base stats'!E:E),Groups!A:A,Groups!O:O)=0,1,0.33))^0.4*_xlfn.XLOOKUP(B256,'Base stats'!B:B,'Base stats'!BJ:BJ)^0.73)^0.6 *_xlfn.XLOOKUP(B256,'Base stats'!B:B,'Base stats'!BX:BX),0.1),0.05)
)</f>
        <v>2.4000000000000004</v>
      </c>
      <c r="P256" s="11">
        <f>IF(O256="No","No",
MROUND(_xlfn.XLOOKUP(B256,'Base stats'!B:B,'Base stats'!BJ:BJ) * 0.01 * 2 + 0.05, 0.05)
)</f>
        <v>0.2</v>
      </c>
      <c r="Q256" s="5">
        <f>IF(O256="No","No",
MROUND(_xlfn.XLOOKUP(B256,'Base stats'!B:B,'Base stats'!BV:BV)/10000+0.01,0.01)
)</f>
        <v>7.0000000000000007E-2</v>
      </c>
      <c r="R256" s="4">
        <f>IF(O256="No","No",
MROUND(_xlfn.XLOOKUP(B256,'Base stats'!B:B,'Base stats'!BB:BB)^0.25
/((_xlfn.XLOOKUP(B256,'Base stats'!B:B,'Base stats'!BN:BN))*10)*_xlfn.XLOOKUP(_xlfn.XLOOKUP(B256,'Base stats'!B:B,'Base stats'!E:E),Groups!A:A,Groups!Z:Z)*150 + 0.5 + _xlfn.XLOOKUP(B256,'Base stats'!B:B,'Base stats'!BW:BW),
0.05))</f>
        <v>1.1000000000000001</v>
      </c>
      <c r="S256" s="3" t="str">
        <f>IF(Animals!AI256="No","No",
IF(_xlfn.XLOOKUP(B256,'Base stats'!B:B,'Base stats'!U:U)="No",
MAX(MROUND(_xlfn.XLOOKUP(B256,'Base stats'!B:B,'Base stats'!BT:BT) * _xlfn.XLOOKUP(B256,'Base stats'!B:B,'Base stats'!BP:BP)^0.9 / 21 * _xlfn.XLOOKUP(B256,'Base stats'!B:B,'Base stats'!BX:BX),0.1),0.05),
MAX(MROUND(((MIN(12,_xlfn.XLOOKUP(B256,'Base stats'!B:B,'Base stats'!U:U)))^0.4*_xlfn.XLOOKUP(B256,'Base stats'!B:B,'Base stats'!BH:BH)^0.73)^0.6 * _xlfn.XLOOKUP(B256,'Base stats'!B:B,'Base stats'!BX:BX),0.1),0.05)
))</f>
        <v>No</v>
      </c>
      <c r="T256" s="11" t="str">
        <f>IF(S256="No","No",
MROUND(_xlfn.XLOOKUP(B256,'Base stats'!B:B,'Base stats'!BH:BH) * 0.01 * 2 + 0.05, 0.05)
)</f>
        <v>No</v>
      </c>
      <c r="U256" s="5" t="str">
        <f>IF(S256="No","No",IF(_xlfn.XLOOKUP(B256,'Base stats'!B:B,'Base stats'!U:U)="No","No",
MROUND(_xlfn.XLOOKUP(B256,'Base stats'!B:B,'Base stats'!BT:BT)/10000+0.01,0.01)
))</f>
        <v>No</v>
      </c>
      <c r="V256" s="4" t="str">
        <f>IF(S256="No","No",
MROUND(_xlfn.XLOOKUP(B256,'Base stats'!B:B,'Base stats'!BF:BF)^0.25
/((_xlfn.XLOOKUP(B256,'Base stats'!B:B,'Base stats'!BO:BO))*10)*_xlfn.XLOOKUP(_xlfn.XLOOKUP(B256,'Base stats'!B:B,'Base stats'!E:E),Groups!A:A,Groups!AE:AE)*150 + 0.5 + _xlfn.XLOOKUP(B256,'Base stats'!B:B,'Base stats'!BW:BW),
0.05))</f>
        <v>No</v>
      </c>
      <c r="W256" s="8">
        <f>MROUND(_xlfn.XLOOKUP(_xlfn.XLOOKUP(B256,'Base stats'!B:B,'Base stats'!E:E),Groups!A:A,Groups!BG:BG)*_xlfn.XLOOKUP(B256,'Base stats'!B:B,'Base stats'!C:C)^-0.165,0.05)</f>
        <v>0.30000000000000004</v>
      </c>
      <c r="X256" s="1">
        <f>MROUND(_xlfn.XLOOKUP(_xlfn.XLOOKUP(B256,'Base stats'!B:B,'Base stats'!E:E),Groups!A:A,Groups!BH:BH)*_xlfn.XLOOKUP(B256,'Base stats'!B:B,'Base stats'!C:C)^0.165,0.05)</f>
        <v>0.1</v>
      </c>
      <c r="Y256" s="8">
        <f>MROUND(_xlfn.XLOOKUP(_xlfn.XLOOKUP(B256,'Base stats'!B:B,'Base stats'!E:E),Groups!A:A,Groups!BI:BI)*_xlfn.XLOOKUP(B256,'Base stats'!B:B,'Base stats'!C:C)^0.165,0.05)</f>
        <v>0</v>
      </c>
      <c r="Z256" s="18">
        <f>MROUND(_xlfn.XLOOKUP(B256,'Base stats'!B:B,'Base stats'!AQ:AQ)*_xlfn.XLOOKUP(_xlfn.XLOOKUP(B256,'Base stats'!B:B,'Base stats'!E:E),Groups!A:A,Groups!H:H)/1000,IF((_xlfn.XLOOKUP(B256,'Base stats'!B:B,'Base stats'!AQ:AQ)*_xlfn.XLOOKUP(_xlfn.XLOOKUP(B256,'Base stats'!B:B,'Base stats'!E:E),Groups!A:A,Groups!H:H)/1000)&gt;1,0.05,0.01))</f>
        <v>0.18</v>
      </c>
      <c r="AA256" s="18">
        <f>MROUND((1/2)*(_xlfn.XLOOKUP(_xlfn.XLOOKUP(B256,'Base stats'!B:B,'Base stats'!E:E),Groups!A:A,Groups!H:H)*_xlfn.XLOOKUP(_xlfn.XLOOKUP(B256,'Base stats'!B:B,'Base stats'!E:E),Groups!A:A,Groups!I:I))*_xlfn.XLOOKUP(B256,'Base stats'!B:B,'Base stats'!AQ:AQ)*0.01,0.05)</f>
        <v>0</v>
      </c>
      <c r="AB256" s="18">
        <f>MROUND(250*(Animals!AO256+Animals!AP256),25)</f>
        <v>50</v>
      </c>
      <c r="AC256" s="18" t="str">
        <f>_xlfn.XLOOKUP(_xlfn.XLOOKUP(B256,'Base stats'!B:B,'Base stats'!E:E),Groups!A:A,Groups!BJ:BJ)</f>
        <v>Serpentine</v>
      </c>
    </row>
    <row r="257" spans="1:29" ht="16.5" thickTop="1" thickBot="1" x14ac:dyDescent="0.3">
      <c r="A257" s="16" t="str">
        <f>Animals!A257</f>
        <v>Dunealisk</v>
      </c>
      <c r="B257" s="6" t="str">
        <f>Animals!B257</f>
        <v>Araneodraco arenosus</v>
      </c>
      <c r="C257" s="1" t="str">
        <f>Animals!C257</f>
        <v>&lt;li&gt;AA_Dunealisk&lt;/li&gt;</v>
      </c>
      <c r="D257" s="47">
        <f>MIN(MIN(6,_xlfn.XLOOKUP(A257,Animals!A:A,Animals!AO:AO))*20,MAX(MROUND(_xlfn.XLOOKUP(B257,'Base stats'!B:B,'Base stats'!BS:BS) * (_xlfn.XLOOKUP(B257,'Base stats'!B:B,'Base stats'!AO:AO)*5%)^0.9 / 21,0.1),0.05))</f>
        <v>3.9000000000000004</v>
      </c>
      <c r="E257" s="11">
        <f>MROUND(_xlfn.XLOOKUP(B257,'Base stats'!B:B,'Base stats'!BG:BG) * 0.01 * 2 + 0.01, 0.05)</f>
        <v>3.5</v>
      </c>
      <c r="F257" s="7">
        <f>MROUND(_xlfn.XLOOKUP(B257,'Base stats'!B:B,'Base stats'!BD:BD)^0.25 / (_xlfn.XLOOKUP(B257,'Base stats'!B:B,'Base stats'!BK:BK) * 10) * 150 + 0.5 + _xlfn.XLOOKUP(B257,'Base stats'!B:B,'Base stats'!BW:BW), 0.05)</f>
        <v>3.25</v>
      </c>
      <c r="G257" s="3" t="str">
        <f>IF(Animals!S257="No","No",
IF(_xlfn.XLOOKUP(B257,'Base stats'!B:B,'Base stats'!U:U)="No",
MAX(MROUND(_xlfn.XLOOKUP(B257,'Base stats'!B:B,'Base stats'!BT:BT) * _xlfn.XLOOKUP(B257,'Base stats'!B:B,'Base stats'!BP:BP)^0.9 / 21 * _xlfn.XLOOKUP(B257,'Base stats'!B:B,'Base stats'!BX:BX),0.1),0.05),
MAX(MROUND(((MIN(10,_xlfn.XLOOKUP(B257,'Base stats'!B:B,'Base stats'!U:U)))^0.4*_xlfn.XLOOKUP(B257,'Base stats'!B:B,'Base stats'!BH:BH)^0.73)^0.6 * _xlfn.XLOOKUP(B257,'Base stats'!B:B,'Base stats'!BX:BX),0.1),0.05)
))</f>
        <v>No</v>
      </c>
      <c r="H257" s="11" t="str">
        <f>IF(G257="No","No",
MROUND(_xlfn.XLOOKUP(B257,'Base stats'!B:B,'Base stats'!BH:BH) * 0.01 * 2 + 0.05, 0.05)
)</f>
        <v>No</v>
      </c>
      <c r="I257" s="11" t="str">
        <f>IF(G257="No","No",IF(_xlfn.XLOOKUP(B257,'Base stats'!B:B,'Base stats'!U:U)="No","No",
MROUND(_xlfn.XLOOKUP(B257,'Base stats'!B:B,'Base stats'!BT:BT)/10000+0.01,0.01)
))</f>
        <v>No</v>
      </c>
      <c r="J257" s="4" t="str">
        <f>IF(G257="No","No",
MROUND(_xlfn.XLOOKUP(B257,'Base stats'!B:B,'Base stats'!BE:BE)^0.25
/((_xlfn.XLOOKUP(B257,'Base stats'!B:B,'Base stats'!BL:BL))*10)*_xlfn.XLOOKUP(_xlfn.XLOOKUP(B257,'Base stats'!B:B,'Base stats'!E:E),Groups!A:A,Groups!Q:Q)*150 + 0.5 + _xlfn.XLOOKUP(B257,'Base stats'!B:B,'Base stats'!BW:BW),
0.05))</f>
        <v>No</v>
      </c>
      <c r="K257" s="3" t="str">
        <f>IF(Animals!X257="No","No",
IF(_xlfn.XLOOKUP(_xlfn.XLOOKUP(B257,'Base stats'!B:B,'Base stats'!E:E),Groups!A:A,Groups!BD:BD)=1,
MAX(MROUND(_xlfn.XLOOKUP(B257,'Base stats'!B:B,'Base stats'!BU:BU) * _xlfn.XLOOKUP(B257,'Base stats'!B:B,'Base stats'!BQ:BQ)^0.9 / 21 *_xlfn.XLOOKUP(B257,'Base stats'!B:B,'Base stats'!BX:BX),0.1),0.05),
MAX(MROUND(((MIN(10,_xlfn.XLOOKUP(B257,'Base stats'!B:B,'Base stats'!W:W)))^0.4*_xlfn.XLOOKUP(B257,'Base stats'!B:B,'Base stats'!BI:BI)^0.73)^0.6 *_xlfn.XLOOKUP(B257,'Base stats'!B:B,'Base stats'!BX:BX),0.1),0.05)
))</f>
        <v>No</v>
      </c>
      <c r="L257" s="11" t="str">
        <f>IF(K257="No","No",
MROUND(_xlfn.XLOOKUP(B257,'Base stats'!B:B,'Base stats'!BI:BI) * 0.01 *2 + 0.05, 0.05)
)</f>
        <v>No</v>
      </c>
      <c r="M257" s="5" t="str">
        <f>IF(K257="No","No",IF(_xlfn.XLOOKUP(_xlfn.XLOOKUP(B257,'Base stats'!B:B,'Base stats'!E:E),Groups!A:A,Groups!BD:BD)=1,"No",
MROUND(_xlfn.XLOOKUP(B257,'Base stats'!B:B,'Base stats'!BU:BU)/10000+0.01,0.01)
))</f>
        <v>No</v>
      </c>
      <c r="N257" s="4" t="str">
        <f>IF(K257="No","No",
MROUND(
  _xlfn.XLOOKUP(B257,'Base stats'!B:B,'Base stats'!BC:BC)^0.25
  / (_xlfn.XLOOKUP(B257,'Base stats'!B:B,'Base stats'!BM:BM) * 10)
  * _xlfn.XLOOKUP(
      _xlfn.XLOOKUP(B257,'Base stats'!B:B,'Base stats'!E:E),
      Groups!A:A,
      Groups!V:V
    ) * 150
  + MIN(12, _xlfn.XLOOKUP(B257,'Base stats'!B:B,'Base stats'!W:W))^(1/IF(_xlfn.XLOOKUP(_xlfn.XLOOKUP(B257,'Base stats'!B:B,'Base stats'!E:E),Groups!A:A,Groups!U:U)=1,100,10)) + 0.5 + _xlfn.XLOOKUP(B257,'Base stats'!B:B,'Base stats'!BW:BW),
0.05))</f>
        <v>No</v>
      </c>
      <c r="O257" s="3">
        <f>IF(Animals!AD257="No","No",
MAX(MROUND((MIN(10,_xlfn.XLOOKUP(B257,'Base stats'!B:B,'Base stats'!V:V)*IF(_xlfn.XLOOKUP(_xlfn.XLOOKUP(B257,'Base stats'!B:B,'Base stats'!E:E),Groups!A:A,Groups!O:O)=0,1,0.33))^0.4*_xlfn.XLOOKUP(B257,'Base stats'!B:B,'Base stats'!BJ:BJ)^0.73)^0.6 *_xlfn.XLOOKUP(B257,'Base stats'!B:B,'Base stats'!BX:BX),0.1),0.05)
)</f>
        <v>31.200000000000003</v>
      </c>
      <c r="P257" s="11">
        <f>IF(O257="No","No",
MROUND(_xlfn.XLOOKUP(B257,'Base stats'!B:B,'Base stats'!BJ:BJ) * 0.01 * 2 + 0.05, 0.05)
)</f>
        <v>24.25</v>
      </c>
      <c r="Q257" s="5">
        <f>IF(O257="No","No",
MROUND(_xlfn.XLOOKUP(B257,'Base stats'!B:B,'Base stats'!BV:BV)/10000+0.01,0.01)
)</f>
        <v>8.0400000000000009</v>
      </c>
      <c r="R257" s="4">
        <f>IF(O257="No","No",
MROUND(_xlfn.XLOOKUP(B257,'Base stats'!B:B,'Base stats'!BB:BB)^0.25
/((_xlfn.XLOOKUP(B257,'Base stats'!B:B,'Base stats'!BN:BN))*10)*_xlfn.XLOOKUP(_xlfn.XLOOKUP(B257,'Base stats'!B:B,'Base stats'!E:E),Groups!A:A,Groups!Z:Z)*150 + 0.5 + _xlfn.XLOOKUP(B257,'Base stats'!B:B,'Base stats'!BW:BW),
0.05))</f>
        <v>2.85</v>
      </c>
      <c r="S257" s="3" t="str">
        <f>IF(Animals!AI257="No","No",
IF(_xlfn.XLOOKUP(B257,'Base stats'!B:B,'Base stats'!U:U)="No",
MAX(MROUND(_xlfn.XLOOKUP(B257,'Base stats'!B:B,'Base stats'!BT:BT) * _xlfn.XLOOKUP(B257,'Base stats'!B:B,'Base stats'!BP:BP)^0.9 / 21 * _xlfn.XLOOKUP(B257,'Base stats'!B:B,'Base stats'!BX:BX),0.1),0.05),
MAX(MROUND(((MIN(12,_xlfn.XLOOKUP(B257,'Base stats'!B:B,'Base stats'!U:U)))^0.4*_xlfn.XLOOKUP(B257,'Base stats'!B:B,'Base stats'!BH:BH)^0.73)^0.6 * _xlfn.XLOOKUP(B257,'Base stats'!B:B,'Base stats'!BX:BX),0.1),0.05)
))</f>
        <v>No</v>
      </c>
      <c r="T257" s="11" t="str">
        <f>IF(S257="No","No",
MROUND(_xlfn.XLOOKUP(B257,'Base stats'!B:B,'Base stats'!BH:BH) * 0.01 * 2 + 0.05, 0.05)
)</f>
        <v>No</v>
      </c>
      <c r="U257" s="5" t="str">
        <f>IF(S257="No","No",IF(_xlfn.XLOOKUP(B257,'Base stats'!B:B,'Base stats'!U:U)="No","No",
MROUND(_xlfn.XLOOKUP(B257,'Base stats'!B:B,'Base stats'!BT:BT)/10000+0.01,0.01)
))</f>
        <v>No</v>
      </c>
      <c r="V257" s="4" t="str">
        <f>IF(S257="No","No",
MROUND(_xlfn.XLOOKUP(B257,'Base stats'!B:B,'Base stats'!BF:BF)^0.25
/((_xlfn.XLOOKUP(B257,'Base stats'!B:B,'Base stats'!BO:BO))*10)*_xlfn.XLOOKUP(_xlfn.XLOOKUP(B257,'Base stats'!B:B,'Base stats'!E:E),Groups!A:A,Groups!AE:AE)*150 + 0.5 + _xlfn.XLOOKUP(B257,'Base stats'!B:B,'Base stats'!BW:BW),
0.05))</f>
        <v>No</v>
      </c>
      <c r="W257" s="8">
        <f>MROUND(_xlfn.XLOOKUP(_xlfn.XLOOKUP(B257,'Base stats'!B:B,'Base stats'!E:E),Groups!A:A,Groups!BG:BG)*_xlfn.XLOOKUP(B257,'Base stats'!B:B,'Base stats'!C:C)^-0.165,0.05)</f>
        <v>0.1</v>
      </c>
      <c r="X257" s="1">
        <f>MROUND(_xlfn.XLOOKUP(_xlfn.XLOOKUP(B257,'Base stats'!B:B,'Base stats'!E:E),Groups!A:A,Groups!BH:BH)*_xlfn.XLOOKUP(B257,'Base stats'!B:B,'Base stats'!C:C)^0.165,0.05)</f>
        <v>0.4</v>
      </c>
      <c r="Y257" s="8">
        <f>MROUND(_xlfn.XLOOKUP(_xlfn.XLOOKUP(B257,'Base stats'!B:B,'Base stats'!E:E),Groups!A:A,Groups!BI:BI)*_xlfn.XLOOKUP(B257,'Base stats'!B:B,'Base stats'!C:C)^0.165,0.05)</f>
        <v>0.05</v>
      </c>
      <c r="Z257" s="18">
        <f>MROUND(_xlfn.XLOOKUP(B257,'Base stats'!B:B,'Base stats'!AQ:AQ)*_xlfn.XLOOKUP(_xlfn.XLOOKUP(B257,'Base stats'!B:B,'Base stats'!E:E),Groups!A:A,Groups!H:H)/1000,IF((_xlfn.XLOOKUP(B257,'Base stats'!B:B,'Base stats'!AQ:AQ)*_xlfn.XLOOKUP(_xlfn.XLOOKUP(B257,'Base stats'!B:B,'Base stats'!E:E),Groups!A:A,Groups!H:H)/1000)&gt;1,0.05,0.01))</f>
        <v>1.7000000000000002</v>
      </c>
      <c r="AA257" s="18">
        <f>MROUND((1/2)*(_xlfn.XLOOKUP(_xlfn.XLOOKUP(B257,'Base stats'!B:B,'Base stats'!E:E),Groups!A:A,Groups!H:H)*_xlfn.XLOOKUP(_xlfn.XLOOKUP(B257,'Base stats'!B:B,'Base stats'!E:E),Groups!A:A,Groups!I:I))*_xlfn.XLOOKUP(B257,'Base stats'!B:B,'Base stats'!AQ:AQ)*0.01,0.05)</f>
        <v>0.15000000000000002</v>
      </c>
      <c r="AB257" s="18">
        <f>MROUND(250*(Animals!AO257+Animals!AP257),25)</f>
        <v>1125</v>
      </c>
      <c r="AC257" s="18" t="str">
        <f>_xlfn.XLOOKUP(_xlfn.XLOOKUP(B257,'Base stats'!B:B,'Base stats'!E:E),Groups!A:A,Groups!BJ:BJ)</f>
        <v>QuadrupedLow</v>
      </c>
    </row>
    <row r="258" spans="1:29" ht="16.5" thickTop="1" thickBot="1" x14ac:dyDescent="0.3">
      <c r="A258" s="16" t="str">
        <f>Animals!A258</f>
        <v>DunealiskClutchMother</v>
      </c>
      <c r="B258" s="6" t="str">
        <f>Animals!B258</f>
        <v>Araneodraco arenosus (clutch mother)</v>
      </c>
      <c r="C258" s="1" t="str">
        <f>Animals!C258</f>
        <v>&lt;li&gt;AA_DunealiskClutchMother&lt;/li&gt;</v>
      </c>
      <c r="D258" s="47">
        <f>MIN(MIN(6,_xlfn.XLOOKUP(A258,Animals!A:A,Animals!AO:AO))*20,MAX(MROUND(_xlfn.XLOOKUP(B258,'Base stats'!B:B,'Base stats'!BS:BS) * (_xlfn.XLOOKUP(B258,'Base stats'!B:B,'Base stats'!AO:AO)*5%)^0.9 / 21,0.1),0.05))</f>
        <v>10.700000000000001</v>
      </c>
      <c r="E258" s="11">
        <f>MROUND(_xlfn.XLOOKUP(B258,'Base stats'!B:B,'Base stats'!BG:BG) * 0.01 * 2 + 0.01, 0.05)</f>
        <v>10.5</v>
      </c>
      <c r="F258" s="7">
        <f>MROUND(_xlfn.XLOOKUP(B258,'Base stats'!B:B,'Base stats'!BD:BD)^0.25 / (_xlfn.XLOOKUP(B258,'Base stats'!B:B,'Base stats'!BK:BK) * 10) * 150 + 0.5 + _xlfn.XLOOKUP(B258,'Base stats'!B:B,'Base stats'!BW:BW), 0.05)</f>
        <v>3.6</v>
      </c>
      <c r="G258" s="3" t="str">
        <f>IF(Animals!S258="No","No",
IF(_xlfn.XLOOKUP(B258,'Base stats'!B:B,'Base stats'!U:U)="No",
MAX(MROUND(_xlfn.XLOOKUP(B258,'Base stats'!B:B,'Base stats'!BT:BT) * _xlfn.XLOOKUP(B258,'Base stats'!B:B,'Base stats'!BP:BP)^0.9 / 21 * _xlfn.XLOOKUP(B258,'Base stats'!B:B,'Base stats'!BX:BX),0.1),0.05),
MAX(MROUND(((MIN(10,_xlfn.XLOOKUP(B258,'Base stats'!B:B,'Base stats'!U:U)))^0.4*_xlfn.XLOOKUP(B258,'Base stats'!B:B,'Base stats'!BH:BH)^0.73)^0.6 * _xlfn.XLOOKUP(B258,'Base stats'!B:B,'Base stats'!BX:BX),0.1),0.05)
))</f>
        <v>No</v>
      </c>
      <c r="H258" s="11" t="str">
        <f>IF(G258="No","No",
MROUND(_xlfn.XLOOKUP(B258,'Base stats'!B:B,'Base stats'!BH:BH) * 0.01 * 2 + 0.05, 0.05)
)</f>
        <v>No</v>
      </c>
      <c r="I258" s="11" t="str">
        <f>IF(G258="No","No",IF(_xlfn.XLOOKUP(B258,'Base stats'!B:B,'Base stats'!U:U)="No","No",
MROUND(_xlfn.XLOOKUP(B258,'Base stats'!B:B,'Base stats'!BT:BT)/10000+0.01,0.01)
))</f>
        <v>No</v>
      </c>
      <c r="J258" s="4" t="str">
        <f>IF(G258="No","No",
MROUND(_xlfn.XLOOKUP(B258,'Base stats'!B:B,'Base stats'!BE:BE)^0.25
/((_xlfn.XLOOKUP(B258,'Base stats'!B:B,'Base stats'!BL:BL))*10)*_xlfn.XLOOKUP(_xlfn.XLOOKUP(B258,'Base stats'!B:B,'Base stats'!E:E),Groups!A:A,Groups!Q:Q)*150 + 0.5 + _xlfn.XLOOKUP(B258,'Base stats'!B:B,'Base stats'!BW:BW),
0.05))</f>
        <v>No</v>
      </c>
      <c r="K258" s="3" t="str">
        <f>IF(Animals!X258="No","No",
IF(_xlfn.XLOOKUP(_xlfn.XLOOKUP(B258,'Base stats'!B:B,'Base stats'!E:E),Groups!A:A,Groups!BD:BD)=1,
MAX(MROUND(_xlfn.XLOOKUP(B258,'Base stats'!B:B,'Base stats'!BU:BU) * _xlfn.XLOOKUP(B258,'Base stats'!B:B,'Base stats'!BQ:BQ)^0.9 / 21 *_xlfn.XLOOKUP(B258,'Base stats'!B:B,'Base stats'!BX:BX),0.1),0.05),
MAX(MROUND(((MIN(10,_xlfn.XLOOKUP(B258,'Base stats'!B:B,'Base stats'!W:W)))^0.4*_xlfn.XLOOKUP(B258,'Base stats'!B:B,'Base stats'!BI:BI)^0.73)^0.6 *_xlfn.XLOOKUP(B258,'Base stats'!B:B,'Base stats'!BX:BX),0.1),0.05)
))</f>
        <v>No</v>
      </c>
      <c r="L258" s="11" t="str">
        <f>IF(K258="No","No",
MROUND(_xlfn.XLOOKUP(B258,'Base stats'!B:B,'Base stats'!BI:BI) * 0.01 *2 + 0.05, 0.05)
)</f>
        <v>No</v>
      </c>
      <c r="M258" s="5" t="str">
        <f>IF(K258="No","No",IF(_xlfn.XLOOKUP(_xlfn.XLOOKUP(B258,'Base stats'!B:B,'Base stats'!E:E),Groups!A:A,Groups!BD:BD)=1,"No",
MROUND(_xlfn.XLOOKUP(B258,'Base stats'!B:B,'Base stats'!BU:BU)/10000+0.01,0.01)
))</f>
        <v>No</v>
      </c>
      <c r="N258" s="4" t="str">
        <f>IF(K258="No","No",
MROUND(
  _xlfn.XLOOKUP(B258,'Base stats'!B:B,'Base stats'!BC:BC)^0.25
  / (_xlfn.XLOOKUP(B258,'Base stats'!B:B,'Base stats'!BM:BM) * 10)
  * _xlfn.XLOOKUP(
      _xlfn.XLOOKUP(B258,'Base stats'!B:B,'Base stats'!E:E),
      Groups!A:A,
      Groups!V:V
    ) * 150
  + MIN(12, _xlfn.XLOOKUP(B258,'Base stats'!B:B,'Base stats'!W:W))^(1/IF(_xlfn.XLOOKUP(_xlfn.XLOOKUP(B258,'Base stats'!B:B,'Base stats'!E:E),Groups!A:A,Groups!U:U)=1,100,10)) + 0.5 + _xlfn.XLOOKUP(B258,'Base stats'!B:B,'Base stats'!BW:BW),
0.05))</f>
        <v>No</v>
      </c>
      <c r="O258" s="3">
        <f>IF(Animals!AD258="No","No",
MAX(MROUND((MIN(10,_xlfn.XLOOKUP(B258,'Base stats'!B:B,'Base stats'!V:V)*IF(_xlfn.XLOOKUP(_xlfn.XLOOKUP(B258,'Base stats'!B:B,'Base stats'!E:E),Groups!A:A,Groups!O:O)=0,1,0.33))^0.4*_xlfn.XLOOKUP(B258,'Base stats'!B:B,'Base stats'!BJ:BJ)^0.73)^0.6 *_xlfn.XLOOKUP(B258,'Base stats'!B:B,'Base stats'!BX:BX),0.1),0.05)
)</f>
        <v>47.7</v>
      </c>
      <c r="P258" s="11">
        <f>IF(O258="No","No",
MROUND(_xlfn.XLOOKUP(B258,'Base stats'!B:B,'Base stats'!BJ:BJ) * 0.01 * 2 + 0.05, 0.05)
)</f>
        <v>63.5</v>
      </c>
      <c r="Q258" s="5">
        <f>IF(O258="No","No",
MROUND(_xlfn.XLOOKUP(B258,'Base stats'!B:B,'Base stats'!BV:BV)/10000+0.01,0.01)
)</f>
        <v>12.9</v>
      </c>
      <c r="R258" s="4">
        <f>IF(O258="No","No",
MROUND(_xlfn.XLOOKUP(B258,'Base stats'!B:B,'Base stats'!BB:BB)^0.25
/((_xlfn.XLOOKUP(B258,'Base stats'!B:B,'Base stats'!BN:BN))*10)*_xlfn.XLOOKUP(_xlfn.XLOOKUP(B258,'Base stats'!B:B,'Base stats'!E:E),Groups!A:A,Groups!Z:Z)*150 + 0.5 + _xlfn.XLOOKUP(B258,'Base stats'!B:B,'Base stats'!BW:BW),
0.05))</f>
        <v>3.5</v>
      </c>
      <c r="S258" s="3" t="str">
        <f>IF(Animals!AI258="No","No",
IF(_xlfn.XLOOKUP(B258,'Base stats'!B:B,'Base stats'!U:U)="No",
MAX(MROUND(_xlfn.XLOOKUP(B258,'Base stats'!B:B,'Base stats'!BT:BT) * _xlfn.XLOOKUP(B258,'Base stats'!B:B,'Base stats'!BP:BP)^0.9 / 21 * _xlfn.XLOOKUP(B258,'Base stats'!B:B,'Base stats'!BX:BX),0.1),0.05),
MAX(MROUND(((MIN(12,_xlfn.XLOOKUP(B258,'Base stats'!B:B,'Base stats'!U:U)))^0.4*_xlfn.XLOOKUP(B258,'Base stats'!B:B,'Base stats'!BH:BH)^0.73)^0.6 * _xlfn.XLOOKUP(B258,'Base stats'!B:B,'Base stats'!BX:BX),0.1),0.05)
))</f>
        <v>No</v>
      </c>
      <c r="T258" s="11" t="str">
        <f>IF(S258="No","No",
MROUND(_xlfn.XLOOKUP(B258,'Base stats'!B:B,'Base stats'!BH:BH) * 0.01 * 2 + 0.05, 0.05)
)</f>
        <v>No</v>
      </c>
      <c r="U258" s="5" t="str">
        <f>IF(S258="No","No",IF(_xlfn.XLOOKUP(B258,'Base stats'!B:B,'Base stats'!U:U)="No","No",
MROUND(_xlfn.XLOOKUP(B258,'Base stats'!B:B,'Base stats'!BT:BT)/10000+0.01,0.01)
))</f>
        <v>No</v>
      </c>
      <c r="V258" s="4" t="str">
        <f>IF(S258="No","No",
MROUND(_xlfn.XLOOKUP(B258,'Base stats'!B:B,'Base stats'!BF:BF)^0.25
/((_xlfn.XLOOKUP(B258,'Base stats'!B:B,'Base stats'!BO:BO))*10)*_xlfn.XLOOKUP(_xlfn.XLOOKUP(B258,'Base stats'!B:B,'Base stats'!E:E),Groups!A:A,Groups!AE:AE)*150 + 0.5 + _xlfn.XLOOKUP(B258,'Base stats'!B:B,'Base stats'!BW:BW),
0.05))</f>
        <v>No</v>
      </c>
      <c r="W258" s="8">
        <f>MROUND(_xlfn.XLOOKUP(_xlfn.XLOOKUP(B258,'Base stats'!B:B,'Base stats'!E:E),Groups!A:A,Groups!BG:BG)*_xlfn.XLOOKUP(B258,'Base stats'!B:B,'Base stats'!C:C)^-0.165,0.05)</f>
        <v>0.1</v>
      </c>
      <c r="X258" s="1">
        <f>MROUND(_xlfn.XLOOKUP(_xlfn.XLOOKUP(B258,'Base stats'!B:B,'Base stats'!E:E),Groups!A:A,Groups!BH:BH)*_xlfn.XLOOKUP(B258,'Base stats'!B:B,'Base stats'!C:C)^0.165,0.05)</f>
        <v>0.45</v>
      </c>
      <c r="Y258" s="8">
        <f>MROUND(_xlfn.XLOOKUP(_xlfn.XLOOKUP(B258,'Base stats'!B:B,'Base stats'!E:E),Groups!A:A,Groups!BI:BI)*_xlfn.XLOOKUP(B258,'Base stats'!B:B,'Base stats'!C:C)^0.165,0.05)</f>
        <v>0.1</v>
      </c>
      <c r="Z258" s="18">
        <f>MROUND(_xlfn.XLOOKUP(B258,'Base stats'!B:B,'Base stats'!AQ:AQ)*_xlfn.XLOOKUP(_xlfn.XLOOKUP(B258,'Base stats'!B:B,'Base stats'!E:E),Groups!A:A,Groups!H:H)/1000,IF((_xlfn.XLOOKUP(B258,'Base stats'!B:B,'Base stats'!AQ:AQ)*_xlfn.XLOOKUP(_xlfn.XLOOKUP(B258,'Base stats'!B:B,'Base stats'!E:E),Groups!A:A,Groups!H:H)/1000)&gt;1,0.05,0.01))</f>
        <v>2.5500000000000003</v>
      </c>
      <c r="AA258" s="18">
        <f>MROUND((1/2)*(_xlfn.XLOOKUP(_xlfn.XLOOKUP(B258,'Base stats'!B:B,'Base stats'!E:E),Groups!A:A,Groups!H:H)*_xlfn.XLOOKUP(_xlfn.XLOOKUP(B258,'Base stats'!B:B,'Base stats'!E:E),Groups!A:A,Groups!I:I))*_xlfn.XLOOKUP(B258,'Base stats'!B:B,'Base stats'!AQ:AQ)*0.01,0.05)</f>
        <v>0.25</v>
      </c>
      <c r="AB258" s="18">
        <f>MROUND(250*(Animals!AO258+Animals!AP258),25)</f>
        <v>1750</v>
      </c>
      <c r="AC258" s="18" t="str">
        <f>_xlfn.XLOOKUP(_xlfn.XLOOKUP(B258,'Base stats'!B:B,'Base stats'!E:E),Groups!A:A,Groups!BJ:BJ)</f>
        <v>QuadrupedLow</v>
      </c>
    </row>
    <row r="259" spans="1:29" ht="16.5" thickTop="1" thickBot="1" x14ac:dyDescent="0.3">
      <c r="A259" s="16" t="str">
        <f>Animals!A259</f>
        <v>DuskProwler</v>
      </c>
      <c r="B259" s="6" t="str">
        <f>Animals!B259</f>
        <v>Crepisculanius crepusculum</v>
      </c>
      <c r="C259" s="1" t="str">
        <f>Animals!C259</f>
        <v>&lt;li&gt;AA_DuskProwler&lt;/li&gt;</v>
      </c>
      <c r="D259" s="47">
        <f>MIN(MIN(6,_xlfn.XLOOKUP(A259,Animals!A:A,Animals!AO:AO))*20,MAX(MROUND(_xlfn.XLOOKUP(B259,'Base stats'!B:B,'Base stats'!BS:BS) * (_xlfn.XLOOKUP(B259,'Base stats'!B:B,'Base stats'!AO:AO)*5%)^0.9 / 21,0.1),0.05))</f>
        <v>2.9000000000000004</v>
      </c>
      <c r="E259" s="11">
        <f>MROUND(_xlfn.XLOOKUP(B259,'Base stats'!B:B,'Base stats'!BG:BG) * 0.01 * 2 + 0.01, 0.05)</f>
        <v>2.5</v>
      </c>
      <c r="F259" s="7">
        <f>MROUND(_xlfn.XLOOKUP(B259,'Base stats'!B:B,'Base stats'!BD:BD)^0.25 / (_xlfn.XLOOKUP(B259,'Base stats'!B:B,'Base stats'!BK:BK) * 10) * 150 + 0.5 + _xlfn.XLOOKUP(B259,'Base stats'!B:B,'Base stats'!BW:BW), 0.05)</f>
        <v>2.0500000000000003</v>
      </c>
      <c r="G259" s="3" t="str">
        <f>IF(Animals!S259="No","No",
IF(_xlfn.XLOOKUP(B259,'Base stats'!B:B,'Base stats'!U:U)="No",
MAX(MROUND(_xlfn.XLOOKUP(B259,'Base stats'!B:B,'Base stats'!BT:BT) * _xlfn.XLOOKUP(B259,'Base stats'!B:B,'Base stats'!BP:BP)^0.9 / 21 * _xlfn.XLOOKUP(B259,'Base stats'!B:B,'Base stats'!BX:BX),0.1),0.05),
MAX(MROUND(((MIN(10,_xlfn.XLOOKUP(B259,'Base stats'!B:B,'Base stats'!U:U)))^0.4*_xlfn.XLOOKUP(B259,'Base stats'!B:B,'Base stats'!BH:BH)^0.73)^0.6 * _xlfn.XLOOKUP(B259,'Base stats'!B:B,'Base stats'!BX:BX),0.1),0.05)
))</f>
        <v>No</v>
      </c>
      <c r="H259" s="11" t="str">
        <f>IF(G259="No","No",
MROUND(_xlfn.XLOOKUP(B259,'Base stats'!B:B,'Base stats'!BH:BH) * 0.01 * 2 + 0.05, 0.05)
)</f>
        <v>No</v>
      </c>
      <c r="I259" s="11" t="str">
        <f>IF(G259="No","No",IF(_xlfn.XLOOKUP(B259,'Base stats'!B:B,'Base stats'!U:U)="No","No",
MROUND(_xlfn.XLOOKUP(B259,'Base stats'!B:B,'Base stats'!BT:BT)/10000+0.01,0.01)
))</f>
        <v>No</v>
      </c>
      <c r="J259" s="4" t="str">
        <f>IF(G259="No","No",
MROUND(_xlfn.XLOOKUP(B259,'Base stats'!B:B,'Base stats'!BE:BE)^0.25
/((_xlfn.XLOOKUP(B259,'Base stats'!B:B,'Base stats'!BL:BL))*10)*_xlfn.XLOOKUP(_xlfn.XLOOKUP(B259,'Base stats'!B:B,'Base stats'!E:E),Groups!A:A,Groups!Q:Q)*150 + 0.5 + _xlfn.XLOOKUP(B259,'Base stats'!B:B,'Base stats'!BW:BW),
0.05))</f>
        <v>No</v>
      </c>
      <c r="K259" s="3">
        <f>IF(Animals!X259="No","No",
IF(_xlfn.XLOOKUP(_xlfn.XLOOKUP(B259,'Base stats'!B:B,'Base stats'!E:E),Groups!A:A,Groups!BD:BD)=1,
MAX(MROUND(_xlfn.XLOOKUP(B259,'Base stats'!B:B,'Base stats'!BU:BU) * _xlfn.XLOOKUP(B259,'Base stats'!B:B,'Base stats'!BQ:BQ)^0.9 / 21 *_xlfn.XLOOKUP(B259,'Base stats'!B:B,'Base stats'!BX:BX),0.1),0.05),
MAX(MROUND(((MIN(10,_xlfn.XLOOKUP(B259,'Base stats'!B:B,'Base stats'!W:W)))^0.4*_xlfn.XLOOKUP(B259,'Base stats'!B:B,'Base stats'!BI:BI)^0.73)^0.6 *_xlfn.XLOOKUP(B259,'Base stats'!B:B,'Base stats'!BX:BX),0.1),0.05)
))</f>
        <v>17.2</v>
      </c>
      <c r="L259" s="11">
        <f>IF(K259="No","No",
MROUND(_xlfn.XLOOKUP(B259,'Base stats'!B:B,'Base stats'!BI:BI) * 0.01 *2 + 0.05, 0.05)
)</f>
        <v>3.8000000000000003</v>
      </c>
      <c r="M259" s="5">
        <f>IF(K259="No","No",IF(_xlfn.XLOOKUP(_xlfn.XLOOKUP(B259,'Base stats'!B:B,'Base stats'!E:E),Groups!A:A,Groups!BD:BD)=1,"No",
MROUND(_xlfn.XLOOKUP(B259,'Base stats'!B:B,'Base stats'!BU:BU)/10000+0.01,0.01)
))</f>
        <v>2.4</v>
      </c>
      <c r="N259" s="4">
        <f>IF(K259="No","No",
MROUND(
  _xlfn.XLOOKUP(B259,'Base stats'!B:B,'Base stats'!BC:BC)^0.25
  / (_xlfn.XLOOKUP(B259,'Base stats'!B:B,'Base stats'!BM:BM) * 10)
  * _xlfn.XLOOKUP(
      _xlfn.XLOOKUP(B259,'Base stats'!B:B,'Base stats'!E:E),
      Groups!A:A,
      Groups!V:V
    ) * 150
  + MIN(12, _xlfn.XLOOKUP(B259,'Base stats'!B:B,'Base stats'!W:W))^(1/IF(_xlfn.XLOOKUP(_xlfn.XLOOKUP(B259,'Base stats'!B:B,'Base stats'!E:E),Groups!A:A,Groups!U:U)=1,100,10)) + 0.5 + _xlfn.XLOOKUP(B259,'Base stats'!B:B,'Base stats'!BW:BW),
0.05))</f>
        <v>2.5500000000000003</v>
      </c>
      <c r="O259" s="3">
        <f>IF(Animals!AD259="No","No",
MAX(MROUND((MIN(10,_xlfn.XLOOKUP(B259,'Base stats'!B:B,'Base stats'!V:V)*IF(_xlfn.XLOOKUP(_xlfn.XLOOKUP(B259,'Base stats'!B:B,'Base stats'!E:E),Groups!A:A,Groups!O:O)=0,1,0.33))^0.4*_xlfn.XLOOKUP(B259,'Base stats'!B:B,'Base stats'!BJ:BJ)^0.73)^0.6 *_xlfn.XLOOKUP(B259,'Base stats'!B:B,'Base stats'!BX:BX),0.1),0.05)
)</f>
        <v>17</v>
      </c>
      <c r="P259" s="11">
        <f>IF(O259="No","No",
MROUND(_xlfn.XLOOKUP(B259,'Base stats'!B:B,'Base stats'!BJ:BJ) * 0.01 * 2 + 0.05, 0.05)
)</f>
        <v>5.95</v>
      </c>
      <c r="Q259" s="5">
        <f>IF(O259="No","No",
MROUND(_xlfn.XLOOKUP(B259,'Base stats'!B:B,'Base stats'!BV:BV)/10000+0.01,0.01)
)</f>
        <v>0.32</v>
      </c>
      <c r="R259" s="4">
        <f>IF(O259="No","No",
MROUND(_xlfn.XLOOKUP(B259,'Base stats'!B:B,'Base stats'!BB:BB)^0.25
/((_xlfn.XLOOKUP(B259,'Base stats'!B:B,'Base stats'!BN:BN))*10)*_xlfn.XLOOKUP(_xlfn.XLOOKUP(B259,'Base stats'!B:B,'Base stats'!E:E),Groups!A:A,Groups!Z:Z)*150 + 0.5 + _xlfn.XLOOKUP(B259,'Base stats'!B:B,'Base stats'!BW:BW),
0.05))</f>
        <v>1.9000000000000001</v>
      </c>
      <c r="S259" s="3">
        <f>IF(Animals!AI259="No","No",
IF(_xlfn.XLOOKUP(B259,'Base stats'!B:B,'Base stats'!U:U)="No",
MAX(MROUND(_xlfn.XLOOKUP(B259,'Base stats'!B:B,'Base stats'!BT:BT) * _xlfn.XLOOKUP(B259,'Base stats'!B:B,'Base stats'!BP:BP)^0.9 / 21 * _xlfn.XLOOKUP(B259,'Base stats'!B:B,'Base stats'!BX:BX),0.1),0.05),
MAX(MROUND(((MIN(12,_xlfn.XLOOKUP(B259,'Base stats'!B:B,'Base stats'!U:U)))^0.4*_xlfn.XLOOKUP(B259,'Base stats'!B:B,'Base stats'!BH:BH)^0.73)^0.6 * _xlfn.XLOOKUP(B259,'Base stats'!B:B,'Base stats'!BX:BX),0.1),0.05)
))</f>
        <v>12.700000000000001</v>
      </c>
      <c r="T259" s="11">
        <f>IF(S259="No","No",
MROUND(_xlfn.XLOOKUP(B259,'Base stats'!B:B,'Base stats'!BH:BH) * 0.01 * 2 + 0.05, 0.05)
)</f>
        <v>3.1500000000000004</v>
      </c>
      <c r="U259" s="5">
        <f>IF(S259="No","No",IF(_xlfn.XLOOKUP(B259,'Base stats'!B:B,'Base stats'!U:U)="No","No",
MROUND(_xlfn.XLOOKUP(B259,'Base stats'!B:B,'Base stats'!BT:BT)/10000+0.01,0.01)
))</f>
        <v>0.18</v>
      </c>
      <c r="V259" s="4">
        <f>IF(S259="No","No",
MROUND(_xlfn.XLOOKUP(B259,'Base stats'!B:B,'Base stats'!BF:BF)^0.25
/((_xlfn.XLOOKUP(B259,'Base stats'!B:B,'Base stats'!BO:BO))*10)*_xlfn.XLOOKUP(_xlfn.XLOOKUP(B259,'Base stats'!B:B,'Base stats'!E:E),Groups!A:A,Groups!AE:AE)*150 + 0.5 + _xlfn.XLOOKUP(B259,'Base stats'!B:B,'Base stats'!BW:BW),
0.05))</f>
        <v>1.4500000000000002</v>
      </c>
      <c r="W259" s="8">
        <f>MROUND(_xlfn.XLOOKUP(_xlfn.XLOOKUP(B259,'Base stats'!B:B,'Base stats'!E:E),Groups!A:A,Groups!BG:BG)*_xlfn.XLOOKUP(B259,'Base stats'!B:B,'Base stats'!C:C)^-0.165,0.05)</f>
        <v>0.60000000000000009</v>
      </c>
      <c r="X259" s="1">
        <f>MROUND(_xlfn.XLOOKUP(_xlfn.XLOOKUP(B259,'Base stats'!B:B,'Base stats'!E:E),Groups!A:A,Groups!BH:BH)*_xlfn.XLOOKUP(B259,'Base stats'!B:B,'Base stats'!C:C)^0.165,0.05)</f>
        <v>0.55000000000000004</v>
      </c>
      <c r="Y259" s="8">
        <f>MROUND(_xlfn.XLOOKUP(_xlfn.XLOOKUP(B259,'Base stats'!B:B,'Base stats'!E:E),Groups!A:A,Groups!BI:BI)*_xlfn.XLOOKUP(B259,'Base stats'!B:B,'Base stats'!C:C)^0.165,0.05)</f>
        <v>0.05</v>
      </c>
      <c r="Z259" s="18">
        <f>MROUND(_xlfn.XLOOKUP(B259,'Base stats'!B:B,'Base stats'!AQ:AQ)*_xlfn.XLOOKUP(_xlfn.XLOOKUP(B259,'Base stats'!B:B,'Base stats'!E:E),Groups!A:A,Groups!H:H)/1000,IF((_xlfn.XLOOKUP(B259,'Base stats'!B:B,'Base stats'!AQ:AQ)*_xlfn.XLOOKUP(_xlfn.XLOOKUP(B259,'Base stats'!B:B,'Base stats'!E:E),Groups!A:A,Groups!H:H)/1000)&gt;1,0.05,0.01))</f>
        <v>0.1</v>
      </c>
      <c r="AA259" s="18">
        <f>MROUND((1/2)*(_xlfn.XLOOKUP(_xlfn.XLOOKUP(B259,'Base stats'!B:B,'Base stats'!E:E),Groups!A:A,Groups!H:H)*_xlfn.XLOOKUP(_xlfn.XLOOKUP(B259,'Base stats'!B:B,'Base stats'!E:E),Groups!A:A,Groups!I:I))*_xlfn.XLOOKUP(B259,'Base stats'!B:B,'Base stats'!AQ:AQ)*0.01,0.05)</f>
        <v>0.45</v>
      </c>
      <c r="AB259" s="18">
        <f>MROUND(250*(Animals!AO259+Animals!AP259),25)</f>
        <v>675</v>
      </c>
      <c r="AC259" s="18" t="str">
        <f>_xlfn.XLOOKUP(_xlfn.XLOOKUP(B259,'Base stats'!B:B,'Base stats'!E:E),Groups!A:A,Groups!BJ:BJ)</f>
        <v>Quadruped</v>
      </c>
    </row>
    <row r="260" spans="1:29" ht="16.5" thickTop="1" thickBot="1" x14ac:dyDescent="0.3">
      <c r="A260" s="16" t="str">
        <f>Animals!A260</f>
        <v>DuskRat</v>
      </c>
      <c r="B260" s="6" t="str">
        <f>Animals!B260</f>
        <v>Rattus nocturnus</v>
      </c>
      <c r="C260" s="1" t="str">
        <f>Animals!C260</f>
        <v>&lt;li&gt;AA_DuskRat&lt;/li&gt;</v>
      </c>
      <c r="D260" s="47">
        <f>MIN(MIN(6,_xlfn.XLOOKUP(A260,Animals!A:A,Animals!AO:AO))*20,MAX(MROUND(_xlfn.XLOOKUP(B260,'Base stats'!B:B,'Base stats'!BS:BS) * (_xlfn.XLOOKUP(B260,'Base stats'!B:B,'Base stats'!AO:AO)*5%)^0.9 / 21,0.1),0.05))</f>
        <v>0.05</v>
      </c>
      <c r="E260" s="11">
        <f>MROUND(_xlfn.XLOOKUP(B260,'Base stats'!B:B,'Base stats'!BG:BG) * 0.01 * 2 + 0.01, 0.05)</f>
        <v>0</v>
      </c>
      <c r="F260" s="7">
        <f>MROUND(_xlfn.XLOOKUP(B260,'Base stats'!B:B,'Base stats'!BD:BD)^0.25 / (_xlfn.XLOOKUP(B260,'Base stats'!B:B,'Base stats'!BK:BK) * 10) * 150 + 0.5 + _xlfn.XLOOKUP(B260,'Base stats'!B:B,'Base stats'!BW:BW), 0.05)</f>
        <v>1.1000000000000001</v>
      </c>
      <c r="G260" s="3" t="str">
        <f>IF(Animals!S260="No","No",
IF(_xlfn.XLOOKUP(B260,'Base stats'!B:B,'Base stats'!U:U)="No",
MAX(MROUND(_xlfn.XLOOKUP(B260,'Base stats'!B:B,'Base stats'!BT:BT) * _xlfn.XLOOKUP(B260,'Base stats'!B:B,'Base stats'!BP:BP)^0.9 / 21 * _xlfn.XLOOKUP(B260,'Base stats'!B:B,'Base stats'!BX:BX),0.1),0.05),
MAX(MROUND(((MIN(10,_xlfn.XLOOKUP(B260,'Base stats'!B:B,'Base stats'!U:U)))^0.4*_xlfn.XLOOKUP(B260,'Base stats'!B:B,'Base stats'!BH:BH)^0.73)^0.6 * _xlfn.XLOOKUP(B260,'Base stats'!B:B,'Base stats'!BX:BX),0.1),0.05)
))</f>
        <v>No</v>
      </c>
      <c r="H260" s="11" t="str">
        <f>IF(G260="No","No",
MROUND(_xlfn.XLOOKUP(B260,'Base stats'!B:B,'Base stats'!BH:BH) * 0.01 * 2 + 0.05, 0.05)
)</f>
        <v>No</v>
      </c>
      <c r="I260" s="11" t="str">
        <f>IF(G260="No","No",IF(_xlfn.XLOOKUP(B260,'Base stats'!B:B,'Base stats'!U:U)="No","No",
MROUND(_xlfn.XLOOKUP(B260,'Base stats'!B:B,'Base stats'!BT:BT)/10000+0.01,0.01)
))</f>
        <v>No</v>
      </c>
      <c r="J260" s="4" t="str">
        <f>IF(G260="No","No",
MROUND(_xlfn.XLOOKUP(B260,'Base stats'!B:B,'Base stats'!BE:BE)^0.25
/((_xlfn.XLOOKUP(B260,'Base stats'!B:B,'Base stats'!BL:BL))*10)*_xlfn.XLOOKUP(_xlfn.XLOOKUP(B260,'Base stats'!B:B,'Base stats'!E:E),Groups!A:A,Groups!Q:Q)*150 + 0.5 + _xlfn.XLOOKUP(B260,'Base stats'!B:B,'Base stats'!BW:BW),
0.05))</f>
        <v>No</v>
      </c>
      <c r="K260" s="3" t="str">
        <f>IF(Animals!X260="No","No",
IF(_xlfn.XLOOKUP(_xlfn.XLOOKUP(B260,'Base stats'!B:B,'Base stats'!E:E),Groups!A:A,Groups!BD:BD)=1,
MAX(MROUND(_xlfn.XLOOKUP(B260,'Base stats'!B:B,'Base stats'!BU:BU) * _xlfn.XLOOKUP(B260,'Base stats'!B:B,'Base stats'!BQ:BQ)^0.9 / 21 *_xlfn.XLOOKUP(B260,'Base stats'!B:B,'Base stats'!BX:BX),0.1),0.05),
MAX(MROUND(((MIN(10,_xlfn.XLOOKUP(B260,'Base stats'!B:B,'Base stats'!W:W)))^0.4*_xlfn.XLOOKUP(B260,'Base stats'!B:B,'Base stats'!BI:BI)^0.73)^0.6 *_xlfn.XLOOKUP(B260,'Base stats'!B:B,'Base stats'!BX:BX),0.1),0.05)
))</f>
        <v>No</v>
      </c>
      <c r="L260" s="11" t="str">
        <f>IF(K260="No","No",
MROUND(_xlfn.XLOOKUP(B260,'Base stats'!B:B,'Base stats'!BI:BI) * 0.01 *2 + 0.05, 0.05)
)</f>
        <v>No</v>
      </c>
      <c r="M260" s="5" t="str">
        <f>IF(K260="No","No",IF(_xlfn.XLOOKUP(_xlfn.XLOOKUP(B260,'Base stats'!B:B,'Base stats'!E:E),Groups!A:A,Groups!BD:BD)=1,"No",
MROUND(_xlfn.XLOOKUP(B260,'Base stats'!B:B,'Base stats'!BU:BU)/10000+0.01,0.01)
))</f>
        <v>No</v>
      </c>
      <c r="N260" s="4" t="str">
        <f>IF(K260="No","No",
MROUND(
  _xlfn.XLOOKUP(B260,'Base stats'!B:B,'Base stats'!BC:BC)^0.25
  / (_xlfn.XLOOKUP(B260,'Base stats'!B:B,'Base stats'!BM:BM) * 10)
  * _xlfn.XLOOKUP(
      _xlfn.XLOOKUP(B260,'Base stats'!B:B,'Base stats'!E:E),
      Groups!A:A,
      Groups!V:V
    ) * 150
  + MIN(12, _xlfn.XLOOKUP(B260,'Base stats'!B:B,'Base stats'!W:W))^(1/IF(_xlfn.XLOOKUP(_xlfn.XLOOKUP(B260,'Base stats'!B:B,'Base stats'!E:E),Groups!A:A,Groups!U:U)=1,100,10)) + 0.5 + _xlfn.XLOOKUP(B260,'Base stats'!B:B,'Base stats'!BW:BW),
0.05))</f>
        <v>No</v>
      </c>
      <c r="O260" s="3">
        <f>IF(Animals!AD260="No","No",
MAX(MROUND((MIN(10,_xlfn.XLOOKUP(B260,'Base stats'!B:B,'Base stats'!V:V)*IF(_xlfn.XLOOKUP(_xlfn.XLOOKUP(B260,'Base stats'!B:B,'Base stats'!E:E),Groups!A:A,Groups!O:O)=0,1,0.33))^0.4*_xlfn.XLOOKUP(B260,'Base stats'!B:B,'Base stats'!BJ:BJ)^0.73)^0.6 *_xlfn.XLOOKUP(B260,'Base stats'!B:B,'Base stats'!BX:BX),0.1),0.05)
)</f>
        <v>1.1000000000000001</v>
      </c>
      <c r="P260" s="11">
        <f>IF(O260="No","No",
MROUND(_xlfn.XLOOKUP(B260,'Base stats'!B:B,'Base stats'!BJ:BJ) * 0.01 * 2 + 0.05, 0.05)
)</f>
        <v>0.1</v>
      </c>
      <c r="Q260" s="5">
        <f>IF(O260="No","No",
MROUND(_xlfn.XLOOKUP(B260,'Base stats'!B:B,'Base stats'!BV:BV)/10000+0.01,0.01)
)</f>
        <v>0.03</v>
      </c>
      <c r="R260" s="4">
        <f>IF(O260="No","No",
MROUND(_xlfn.XLOOKUP(B260,'Base stats'!B:B,'Base stats'!BB:BB)^0.25
/((_xlfn.XLOOKUP(B260,'Base stats'!B:B,'Base stats'!BN:BN))*10)*_xlfn.XLOOKUP(_xlfn.XLOOKUP(B260,'Base stats'!B:B,'Base stats'!E:E),Groups!A:A,Groups!Z:Z)*150 + 0.5 + _xlfn.XLOOKUP(B260,'Base stats'!B:B,'Base stats'!BW:BW),
0.05))</f>
        <v>1.75</v>
      </c>
      <c r="S260" s="3" t="str">
        <f>IF(Animals!AI260="No","No",
IF(_xlfn.XLOOKUP(B260,'Base stats'!B:B,'Base stats'!U:U)="No",
MAX(MROUND(_xlfn.XLOOKUP(B260,'Base stats'!B:B,'Base stats'!BT:BT) * _xlfn.XLOOKUP(B260,'Base stats'!B:B,'Base stats'!BP:BP)^0.9 / 21 * _xlfn.XLOOKUP(B260,'Base stats'!B:B,'Base stats'!BX:BX),0.1),0.05),
MAX(MROUND(((MIN(12,_xlfn.XLOOKUP(B260,'Base stats'!B:B,'Base stats'!U:U)))^0.4*_xlfn.XLOOKUP(B260,'Base stats'!B:B,'Base stats'!BH:BH)^0.73)^0.6 * _xlfn.XLOOKUP(B260,'Base stats'!B:B,'Base stats'!BX:BX),0.1),0.05)
))</f>
        <v>No</v>
      </c>
      <c r="T260" s="11" t="str">
        <f>IF(S260="No","No",
MROUND(_xlfn.XLOOKUP(B260,'Base stats'!B:B,'Base stats'!BH:BH) * 0.01 * 2 + 0.05, 0.05)
)</f>
        <v>No</v>
      </c>
      <c r="U260" s="5" t="str">
        <f>IF(S260="No","No",IF(_xlfn.XLOOKUP(B260,'Base stats'!B:B,'Base stats'!U:U)="No","No",
MROUND(_xlfn.XLOOKUP(B260,'Base stats'!B:B,'Base stats'!BT:BT)/10000+0.01,0.01)
))</f>
        <v>No</v>
      </c>
      <c r="V260" s="4" t="str">
        <f>IF(S260="No","No",
MROUND(_xlfn.XLOOKUP(B260,'Base stats'!B:B,'Base stats'!BF:BF)^0.25
/((_xlfn.XLOOKUP(B260,'Base stats'!B:B,'Base stats'!BO:BO))*10)*_xlfn.XLOOKUP(_xlfn.XLOOKUP(B260,'Base stats'!B:B,'Base stats'!E:E),Groups!A:A,Groups!AE:AE)*150 + 0.5 + _xlfn.XLOOKUP(B260,'Base stats'!B:B,'Base stats'!BW:BW),
0.05))</f>
        <v>No</v>
      </c>
      <c r="W260" s="8">
        <f>MROUND(_xlfn.XLOOKUP(_xlfn.XLOOKUP(B260,'Base stats'!B:B,'Base stats'!E:E),Groups!A:A,Groups!BG:BG)*_xlfn.XLOOKUP(B260,'Base stats'!B:B,'Base stats'!C:C)^-0.165,0.05)</f>
        <v>0.85000000000000009</v>
      </c>
      <c r="X260" s="1">
        <f>MROUND(_xlfn.XLOOKUP(_xlfn.XLOOKUP(B260,'Base stats'!B:B,'Base stats'!E:E),Groups!A:A,Groups!BH:BH)*_xlfn.XLOOKUP(B260,'Base stats'!B:B,'Base stats'!C:C)^0.165,0.05)</f>
        <v>0.1</v>
      </c>
      <c r="Y260" s="8">
        <f>MROUND(_xlfn.XLOOKUP(_xlfn.XLOOKUP(B260,'Base stats'!B:B,'Base stats'!E:E),Groups!A:A,Groups!BI:BI)*_xlfn.XLOOKUP(B260,'Base stats'!B:B,'Base stats'!C:C)^0.165,0.05)</f>
        <v>0</v>
      </c>
      <c r="Z260" s="18">
        <f>MROUND(_xlfn.XLOOKUP(B260,'Base stats'!B:B,'Base stats'!AQ:AQ)*_xlfn.XLOOKUP(_xlfn.XLOOKUP(B260,'Base stats'!B:B,'Base stats'!E:E),Groups!A:A,Groups!H:H)/1000,IF((_xlfn.XLOOKUP(B260,'Base stats'!B:B,'Base stats'!AQ:AQ)*_xlfn.XLOOKUP(_xlfn.XLOOKUP(B260,'Base stats'!B:B,'Base stats'!E:E),Groups!A:A,Groups!H:H)/1000)&gt;1,0.05,0.01))</f>
        <v>0.01</v>
      </c>
      <c r="AA260" s="18">
        <f>MROUND((1/2)*(_xlfn.XLOOKUP(_xlfn.XLOOKUP(B260,'Base stats'!B:B,'Base stats'!E:E),Groups!A:A,Groups!H:H)*_xlfn.XLOOKUP(_xlfn.XLOOKUP(B260,'Base stats'!B:B,'Base stats'!E:E),Groups!A:A,Groups!I:I))*_xlfn.XLOOKUP(B260,'Base stats'!B:B,'Base stats'!AQ:AQ)*0.01,0.05)</f>
        <v>0.05</v>
      </c>
      <c r="AB260" s="18">
        <f>MROUND(250*(Animals!AO260+Animals!AP260),25)</f>
        <v>50</v>
      </c>
      <c r="AC260" s="18" t="str">
        <f>_xlfn.XLOOKUP(_xlfn.XLOOKUP(B260,'Base stats'!B:B,'Base stats'!E:E),Groups!A:A,Groups!BJ:BJ)</f>
        <v>QuadrupedLow</v>
      </c>
    </row>
    <row r="261" spans="1:29" ht="16.5" thickTop="1" thickBot="1" x14ac:dyDescent="0.3">
      <c r="A261" s="16" t="str">
        <f>Animals!A261</f>
        <v>EmpressButterfly</v>
      </c>
      <c r="B261" s="6" t="str">
        <f>Animals!B261</f>
        <v>Papilio imperatrix</v>
      </c>
      <c r="C261" s="1" t="str">
        <f>Animals!C261</f>
        <v>&lt;li&gt;AA_EmpressButterfly&lt;/li&gt;</v>
      </c>
      <c r="D261" s="47">
        <f>MIN(MIN(6,_xlfn.XLOOKUP(A261,Animals!A:A,Animals!AO:AO))*20,MAX(MROUND(_xlfn.XLOOKUP(B261,'Base stats'!B:B,'Base stats'!BS:BS) * (_xlfn.XLOOKUP(B261,'Base stats'!B:B,'Base stats'!AO:AO)*5%)^0.9 / 21,0.1),0.05))</f>
        <v>0.60000000000000009</v>
      </c>
      <c r="E261" s="11">
        <f>MROUND(_xlfn.XLOOKUP(B261,'Base stats'!B:B,'Base stats'!BG:BG) * 0.01 * 2 + 0.01, 0.05)</f>
        <v>0.5</v>
      </c>
      <c r="F261" s="7">
        <f>MROUND(_xlfn.XLOOKUP(B261,'Base stats'!B:B,'Base stats'!BD:BD)^0.25 / (_xlfn.XLOOKUP(B261,'Base stats'!B:B,'Base stats'!BK:BK) * 10) * 150 + 0.5 + _xlfn.XLOOKUP(B261,'Base stats'!B:B,'Base stats'!BW:BW), 0.05)</f>
        <v>1.9500000000000002</v>
      </c>
      <c r="G261" s="3" t="str">
        <f>IF(Animals!S261="No","No",
IF(_xlfn.XLOOKUP(B261,'Base stats'!B:B,'Base stats'!U:U)="No",
MAX(MROUND(_xlfn.XLOOKUP(B261,'Base stats'!B:B,'Base stats'!BT:BT) * _xlfn.XLOOKUP(B261,'Base stats'!B:B,'Base stats'!BP:BP)^0.9 / 21 * _xlfn.XLOOKUP(B261,'Base stats'!B:B,'Base stats'!BX:BX),0.1),0.05),
MAX(MROUND(((MIN(10,_xlfn.XLOOKUP(B261,'Base stats'!B:B,'Base stats'!U:U)))^0.4*_xlfn.XLOOKUP(B261,'Base stats'!B:B,'Base stats'!BH:BH)^0.73)^0.6 * _xlfn.XLOOKUP(B261,'Base stats'!B:B,'Base stats'!BX:BX),0.1),0.05)
))</f>
        <v>No</v>
      </c>
      <c r="H261" s="11" t="str">
        <f>IF(G261="No","No",
MROUND(_xlfn.XLOOKUP(B261,'Base stats'!B:B,'Base stats'!BH:BH) * 0.01 * 2 + 0.05, 0.05)
)</f>
        <v>No</v>
      </c>
      <c r="I261" s="11" t="str">
        <f>IF(G261="No","No",IF(_xlfn.XLOOKUP(B261,'Base stats'!B:B,'Base stats'!U:U)="No","No",
MROUND(_xlfn.XLOOKUP(B261,'Base stats'!B:B,'Base stats'!BT:BT)/10000+0.01,0.01)
))</f>
        <v>No</v>
      </c>
      <c r="J261" s="4" t="str">
        <f>IF(G261="No","No",
MROUND(_xlfn.XLOOKUP(B261,'Base stats'!B:B,'Base stats'!BE:BE)^0.25
/((_xlfn.XLOOKUP(B261,'Base stats'!B:B,'Base stats'!BL:BL))*10)*_xlfn.XLOOKUP(_xlfn.XLOOKUP(B261,'Base stats'!B:B,'Base stats'!E:E),Groups!A:A,Groups!Q:Q)*150 + 0.5 + _xlfn.XLOOKUP(B261,'Base stats'!B:B,'Base stats'!BW:BW),
0.05))</f>
        <v>No</v>
      </c>
      <c r="K261" s="3" t="str">
        <f>IF(Animals!X261="No","No",
IF(_xlfn.XLOOKUP(_xlfn.XLOOKUP(B261,'Base stats'!B:B,'Base stats'!E:E),Groups!A:A,Groups!BD:BD)=1,
MAX(MROUND(_xlfn.XLOOKUP(B261,'Base stats'!B:B,'Base stats'!BU:BU) * _xlfn.XLOOKUP(B261,'Base stats'!B:B,'Base stats'!BQ:BQ)^0.9 / 21 *_xlfn.XLOOKUP(B261,'Base stats'!B:B,'Base stats'!BX:BX),0.1),0.05),
MAX(MROUND(((MIN(10,_xlfn.XLOOKUP(B261,'Base stats'!B:B,'Base stats'!W:W)))^0.4*_xlfn.XLOOKUP(B261,'Base stats'!B:B,'Base stats'!BI:BI)^0.73)^0.6 *_xlfn.XLOOKUP(B261,'Base stats'!B:B,'Base stats'!BX:BX),0.1),0.05)
))</f>
        <v>No</v>
      </c>
      <c r="L261" s="11" t="str">
        <f>IF(K261="No","No",
MROUND(_xlfn.XLOOKUP(B261,'Base stats'!B:B,'Base stats'!BI:BI) * 0.01 *2 + 0.05, 0.05)
)</f>
        <v>No</v>
      </c>
      <c r="M261" s="5" t="str">
        <f>IF(K261="No","No",IF(_xlfn.XLOOKUP(_xlfn.XLOOKUP(B261,'Base stats'!B:B,'Base stats'!E:E),Groups!A:A,Groups!BD:BD)=1,"No",
MROUND(_xlfn.XLOOKUP(B261,'Base stats'!B:B,'Base stats'!BU:BU)/10000+0.01,0.01)
))</f>
        <v>No</v>
      </c>
      <c r="N261" s="4" t="str">
        <f>IF(K261="No","No",
MROUND(
  _xlfn.XLOOKUP(B261,'Base stats'!B:B,'Base stats'!BC:BC)^0.25
  / (_xlfn.XLOOKUP(B261,'Base stats'!B:B,'Base stats'!BM:BM) * 10)
  * _xlfn.XLOOKUP(
      _xlfn.XLOOKUP(B261,'Base stats'!B:B,'Base stats'!E:E),
      Groups!A:A,
      Groups!V:V
    ) * 150
  + MIN(12, _xlfn.XLOOKUP(B261,'Base stats'!B:B,'Base stats'!W:W))^(1/IF(_xlfn.XLOOKUP(_xlfn.XLOOKUP(B261,'Base stats'!B:B,'Base stats'!E:E),Groups!A:A,Groups!U:U)=1,100,10)) + 0.5 + _xlfn.XLOOKUP(B261,'Base stats'!B:B,'Base stats'!BW:BW),
0.05))</f>
        <v>No</v>
      </c>
      <c r="O261" s="3" t="str">
        <f>IF(Animals!AD261="No","No",
MAX(MROUND((MIN(10,_xlfn.XLOOKUP(B261,'Base stats'!B:B,'Base stats'!V:V)*IF(_xlfn.XLOOKUP(_xlfn.XLOOKUP(B261,'Base stats'!B:B,'Base stats'!E:E),Groups!A:A,Groups!O:O)=0,1,0.33))^0.4*_xlfn.XLOOKUP(B261,'Base stats'!B:B,'Base stats'!BJ:BJ)^0.73)^0.6 *_xlfn.XLOOKUP(B261,'Base stats'!B:B,'Base stats'!BX:BX),0.1),0.05)
)</f>
        <v>No</v>
      </c>
      <c r="P261" s="11" t="str">
        <f>IF(O261="No","No",
MROUND(_xlfn.XLOOKUP(B261,'Base stats'!B:B,'Base stats'!BJ:BJ) * 0.01 * 2 + 0.05, 0.05)
)</f>
        <v>No</v>
      </c>
      <c r="Q261" s="5" t="str">
        <f>IF(O261="No","No",
MROUND(_xlfn.XLOOKUP(B261,'Base stats'!B:B,'Base stats'!BV:BV)/10000+0.01,0.01)
)</f>
        <v>No</v>
      </c>
      <c r="R261" s="4" t="str">
        <f>IF(O261="No","No",
MROUND(_xlfn.XLOOKUP(B261,'Base stats'!B:B,'Base stats'!BB:BB)^0.25
/((_xlfn.XLOOKUP(B261,'Base stats'!B:B,'Base stats'!BN:BN))*10)*_xlfn.XLOOKUP(_xlfn.XLOOKUP(B261,'Base stats'!B:B,'Base stats'!E:E),Groups!A:A,Groups!Z:Z)*150 + 0.5 + _xlfn.XLOOKUP(B261,'Base stats'!B:B,'Base stats'!BW:BW),
0.05))</f>
        <v>No</v>
      </c>
      <c r="S261" s="3" t="str">
        <f>IF(Animals!AI261="No","No",
IF(_xlfn.XLOOKUP(B261,'Base stats'!B:B,'Base stats'!U:U)="No",
MAX(MROUND(_xlfn.XLOOKUP(B261,'Base stats'!B:B,'Base stats'!BT:BT) * _xlfn.XLOOKUP(B261,'Base stats'!B:B,'Base stats'!BP:BP)^0.9 / 21 * _xlfn.XLOOKUP(B261,'Base stats'!B:B,'Base stats'!BX:BX),0.1),0.05),
MAX(MROUND(((MIN(12,_xlfn.XLOOKUP(B261,'Base stats'!B:B,'Base stats'!U:U)))^0.4*_xlfn.XLOOKUP(B261,'Base stats'!B:B,'Base stats'!BH:BH)^0.73)^0.6 * _xlfn.XLOOKUP(B261,'Base stats'!B:B,'Base stats'!BX:BX),0.1),0.05)
))</f>
        <v>No</v>
      </c>
      <c r="T261" s="11" t="str">
        <f>IF(S261="No","No",
MROUND(_xlfn.XLOOKUP(B261,'Base stats'!B:B,'Base stats'!BH:BH) * 0.01 * 2 + 0.05, 0.05)
)</f>
        <v>No</v>
      </c>
      <c r="U261" s="5" t="str">
        <f>IF(S261="No","No",IF(_xlfn.XLOOKUP(B261,'Base stats'!B:B,'Base stats'!U:U)="No","No",
MROUND(_xlfn.XLOOKUP(B261,'Base stats'!B:B,'Base stats'!BT:BT)/10000+0.01,0.01)
))</f>
        <v>No</v>
      </c>
      <c r="V261" s="4" t="str">
        <f>IF(S261="No","No",
MROUND(_xlfn.XLOOKUP(B261,'Base stats'!B:B,'Base stats'!BF:BF)^0.25
/((_xlfn.XLOOKUP(B261,'Base stats'!B:B,'Base stats'!BO:BO))*10)*_xlfn.XLOOKUP(_xlfn.XLOOKUP(B261,'Base stats'!B:B,'Base stats'!E:E),Groups!A:A,Groups!AE:AE)*150 + 0.5 + _xlfn.XLOOKUP(B261,'Base stats'!B:B,'Base stats'!BW:BW),
0.05))</f>
        <v>No</v>
      </c>
      <c r="W261" s="8">
        <f>MROUND(_xlfn.XLOOKUP(_xlfn.XLOOKUP(B261,'Base stats'!B:B,'Base stats'!E:E),Groups!A:A,Groups!BG:BG)*_xlfn.XLOOKUP(B261,'Base stats'!B:B,'Base stats'!C:C)^-0.165,0.05)</f>
        <v>0.15000000000000002</v>
      </c>
      <c r="X261" s="1">
        <f>MROUND(_xlfn.XLOOKUP(_xlfn.XLOOKUP(B261,'Base stats'!B:B,'Base stats'!E:E),Groups!A:A,Groups!BH:BH)*_xlfn.XLOOKUP(B261,'Base stats'!B:B,'Base stats'!C:C)^0.165,0.05)</f>
        <v>0.2</v>
      </c>
      <c r="Y261" s="8">
        <f>MROUND(_xlfn.XLOOKUP(_xlfn.XLOOKUP(B261,'Base stats'!B:B,'Base stats'!E:E),Groups!A:A,Groups!BI:BI)*_xlfn.XLOOKUP(B261,'Base stats'!B:B,'Base stats'!C:C)^0.165,0.05)</f>
        <v>0.05</v>
      </c>
      <c r="Z261" s="18">
        <f>MROUND(_xlfn.XLOOKUP(B261,'Base stats'!B:B,'Base stats'!AQ:AQ)*_xlfn.XLOOKUP(_xlfn.XLOOKUP(B261,'Base stats'!B:B,'Base stats'!E:E),Groups!A:A,Groups!H:H)/1000,IF((_xlfn.XLOOKUP(B261,'Base stats'!B:B,'Base stats'!AQ:AQ)*_xlfn.XLOOKUP(_xlfn.XLOOKUP(B261,'Base stats'!B:B,'Base stats'!E:E),Groups!A:A,Groups!H:H)/1000)&gt;1,0.05,0.01))</f>
        <v>0.79</v>
      </c>
      <c r="AA261" s="18">
        <f>MROUND((1/2)*(_xlfn.XLOOKUP(_xlfn.XLOOKUP(B261,'Base stats'!B:B,'Base stats'!E:E),Groups!A:A,Groups!H:H)*_xlfn.XLOOKUP(_xlfn.XLOOKUP(B261,'Base stats'!B:B,'Base stats'!E:E),Groups!A:A,Groups!I:I))*_xlfn.XLOOKUP(B261,'Base stats'!B:B,'Base stats'!AQ:AQ)*0.01,0.05)</f>
        <v>0.1</v>
      </c>
      <c r="AB261" s="18">
        <f>MROUND(250*(Animals!AO261+Animals!AP261),25)</f>
        <v>375</v>
      </c>
      <c r="AC261" s="18" t="str">
        <f>_xlfn.XLOOKUP(_xlfn.XLOOKUP(B261,'Base stats'!B:B,'Base stats'!E:E),Groups!A:A,Groups!BJ:BJ)</f>
        <v>Birdlike</v>
      </c>
    </row>
    <row r="262" spans="1:29" ht="16.5" thickTop="1" thickBot="1" x14ac:dyDescent="0.3">
      <c r="A262" s="16" t="str">
        <f>Animals!A262</f>
        <v>EmpressButterflyLarva</v>
      </c>
      <c r="B262" s="6" t="str">
        <f>Animals!B262</f>
        <v>Papilio imperatrix (larva)</v>
      </c>
      <c r="C262" s="1" t="str">
        <f>Animals!C262</f>
        <v>&lt;li&gt;AA_EmpressButterflyLarva&lt;/li&gt;</v>
      </c>
      <c r="D262" s="47">
        <f>MIN(MIN(6,_xlfn.XLOOKUP(A262,Animals!A:A,Animals!AO:AO))*20,MAX(MROUND(_xlfn.XLOOKUP(B262,'Base stats'!B:B,'Base stats'!BS:BS) * (_xlfn.XLOOKUP(B262,'Base stats'!B:B,'Base stats'!AO:AO)*5%)^0.9 / 21,0.1),0.05))</f>
        <v>0.05</v>
      </c>
      <c r="E262" s="11">
        <f>MROUND(_xlfn.XLOOKUP(B262,'Base stats'!B:B,'Base stats'!BG:BG) * 0.01 * 2 + 0.01, 0.05)</f>
        <v>0</v>
      </c>
      <c r="F262" s="7">
        <f>MROUND(_xlfn.XLOOKUP(B262,'Base stats'!B:B,'Base stats'!BD:BD)^0.25 / (_xlfn.XLOOKUP(B262,'Base stats'!B:B,'Base stats'!BK:BK) * 10) * 150 + 0.5 + _xlfn.XLOOKUP(B262,'Base stats'!B:B,'Base stats'!BW:BW), 0.05)</f>
        <v>1.5</v>
      </c>
      <c r="G262" s="3" t="str">
        <f>IF(Animals!S262="No","No",
IF(_xlfn.XLOOKUP(B262,'Base stats'!B:B,'Base stats'!U:U)="No",
MAX(MROUND(_xlfn.XLOOKUP(B262,'Base stats'!B:B,'Base stats'!BT:BT) * _xlfn.XLOOKUP(B262,'Base stats'!B:B,'Base stats'!BP:BP)^0.9 / 21 * _xlfn.XLOOKUP(B262,'Base stats'!B:B,'Base stats'!BX:BX),0.1),0.05),
MAX(MROUND(((MIN(10,_xlfn.XLOOKUP(B262,'Base stats'!B:B,'Base stats'!U:U)))^0.4*_xlfn.XLOOKUP(B262,'Base stats'!B:B,'Base stats'!BH:BH)^0.73)^0.6 * _xlfn.XLOOKUP(B262,'Base stats'!B:B,'Base stats'!BX:BX),0.1),0.05)
))</f>
        <v>No</v>
      </c>
      <c r="H262" s="11" t="str">
        <f>IF(G262="No","No",
MROUND(_xlfn.XLOOKUP(B262,'Base stats'!B:B,'Base stats'!BH:BH) * 0.01 * 2 + 0.05, 0.05)
)</f>
        <v>No</v>
      </c>
      <c r="I262" s="11" t="str">
        <f>IF(G262="No","No",IF(_xlfn.XLOOKUP(B262,'Base stats'!B:B,'Base stats'!U:U)="No","No",
MROUND(_xlfn.XLOOKUP(B262,'Base stats'!B:B,'Base stats'!BT:BT)/10000+0.01,0.01)
))</f>
        <v>No</v>
      </c>
      <c r="J262" s="4" t="str">
        <f>IF(G262="No","No",
MROUND(_xlfn.XLOOKUP(B262,'Base stats'!B:B,'Base stats'!BE:BE)^0.25
/((_xlfn.XLOOKUP(B262,'Base stats'!B:B,'Base stats'!BL:BL))*10)*_xlfn.XLOOKUP(_xlfn.XLOOKUP(B262,'Base stats'!B:B,'Base stats'!E:E),Groups!A:A,Groups!Q:Q)*150 + 0.5 + _xlfn.XLOOKUP(B262,'Base stats'!B:B,'Base stats'!BW:BW),
0.05))</f>
        <v>No</v>
      </c>
      <c r="K262" s="3" t="str">
        <f>IF(Animals!X262="No","No",
IF(_xlfn.XLOOKUP(_xlfn.XLOOKUP(B262,'Base stats'!B:B,'Base stats'!E:E),Groups!A:A,Groups!BD:BD)=1,
MAX(MROUND(_xlfn.XLOOKUP(B262,'Base stats'!B:B,'Base stats'!BU:BU) * _xlfn.XLOOKUP(B262,'Base stats'!B:B,'Base stats'!BQ:BQ)^0.9 / 21 *_xlfn.XLOOKUP(B262,'Base stats'!B:B,'Base stats'!BX:BX),0.1),0.05),
MAX(MROUND(((MIN(10,_xlfn.XLOOKUP(B262,'Base stats'!B:B,'Base stats'!W:W)))^0.4*_xlfn.XLOOKUP(B262,'Base stats'!B:B,'Base stats'!BI:BI)^0.73)^0.6 *_xlfn.XLOOKUP(B262,'Base stats'!B:B,'Base stats'!BX:BX),0.1),0.05)
))</f>
        <v>No</v>
      </c>
      <c r="L262" s="11" t="str">
        <f>IF(K262="No","No",
MROUND(_xlfn.XLOOKUP(B262,'Base stats'!B:B,'Base stats'!BI:BI) * 0.01 *2 + 0.05, 0.05)
)</f>
        <v>No</v>
      </c>
      <c r="M262" s="5" t="str">
        <f>IF(K262="No","No",IF(_xlfn.XLOOKUP(_xlfn.XLOOKUP(B262,'Base stats'!B:B,'Base stats'!E:E),Groups!A:A,Groups!BD:BD)=1,"No",
MROUND(_xlfn.XLOOKUP(B262,'Base stats'!B:B,'Base stats'!BU:BU)/10000+0.01,0.01)
))</f>
        <v>No</v>
      </c>
      <c r="N262" s="4" t="str">
        <f>IF(K262="No","No",
MROUND(
  _xlfn.XLOOKUP(B262,'Base stats'!B:B,'Base stats'!BC:BC)^0.25
  / (_xlfn.XLOOKUP(B262,'Base stats'!B:B,'Base stats'!BM:BM) * 10)
  * _xlfn.XLOOKUP(
      _xlfn.XLOOKUP(B262,'Base stats'!B:B,'Base stats'!E:E),
      Groups!A:A,
      Groups!V:V
    ) * 150
  + MIN(12, _xlfn.XLOOKUP(B262,'Base stats'!B:B,'Base stats'!W:W))^(1/IF(_xlfn.XLOOKUP(_xlfn.XLOOKUP(B262,'Base stats'!B:B,'Base stats'!E:E),Groups!A:A,Groups!U:U)=1,100,10)) + 0.5 + _xlfn.XLOOKUP(B262,'Base stats'!B:B,'Base stats'!BW:BW),
0.05))</f>
        <v>No</v>
      </c>
      <c r="O262" s="3">
        <f>IF(Animals!AD262="No","No",
MAX(MROUND((MIN(10,_xlfn.XLOOKUP(B262,'Base stats'!B:B,'Base stats'!V:V)*IF(_xlfn.XLOOKUP(_xlfn.XLOOKUP(B262,'Base stats'!B:B,'Base stats'!E:E),Groups!A:A,Groups!O:O)=0,1,0.33))^0.4*_xlfn.XLOOKUP(B262,'Base stats'!B:B,'Base stats'!BJ:BJ)^0.73)^0.6 *_xlfn.XLOOKUP(B262,'Base stats'!B:B,'Base stats'!BX:BX),0.1),0.05)
)</f>
        <v>2.4000000000000004</v>
      </c>
      <c r="P262" s="11">
        <f>IF(O262="No","No",
MROUND(_xlfn.XLOOKUP(B262,'Base stats'!B:B,'Base stats'!BJ:BJ) * 0.01 * 2 + 0.05, 0.05)
)</f>
        <v>0.2</v>
      </c>
      <c r="Q262" s="5">
        <f>IF(O262="No","No",
MROUND(_xlfn.XLOOKUP(B262,'Base stats'!B:B,'Base stats'!BV:BV)/10000+0.01,0.01)
)</f>
        <v>7.0000000000000007E-2</v>
      </c>
      <c r="R262" s="4">
        <f>IF(O262="No","No",
MROUND(_xlfn.XLOOKUP(B262,'Base stats'!B:B,'Base stats'!BB:BB)^0.25
/((_xlfn.XLOOKUP(B262,'Base stats'!B:B,'Base stats'!BN:BN))*10)*_xlfn.XLOOKUP(_xlfn.XLOOKUP(B262,'Base stats'!B:B,'Base stats'!E:E),Groups!A:A,Groups!Z:Z)*150 + 0.5 + _xlfn.XLOOKUP(B262,'Base stats'!B:B,'Base stats'!BW:BW),
0.05))</f>
        <v>1.1000000000000001</v>
      </c>
      <c r="S262" s="3" t="str">
        <f>IF(Animals!AI262="No","No",
IF(_xlfn.XLOOKUP(B262,'Base stats'!B:B,'Base stats'!U:U)="No",
MAX(MROUND(_xlfn.XLOOKUP(B262,'Base stats'!B:B,'Base stats'!BT:BT) * _xlfn.XLOOKUP(B262,'Base stats'!B:B,'Base stats'!BP:BP)^0.9 / 21 * _xlfn.XLOOKUP(B262,'Base stats'!B:B,'Base stats'!BX:BX),0.1),0.05),
MAX(MROUND(((MIN(12,_xlfn.XLOOKUP(B262,'Base stats'!B:B,'Base stats'!U:U)))^0.4*_xlfn.XLOOKUP(B262,'Base stats'!B:B,'Base stats'!BH:BH)^0.73)^0.6 * _xlfn.XLOOKUP(B262,'Base stats'!B:B,'Base stats'!BX:BX),0.1),0.05)
))</f>
        <v>No</v>
      </c>
      <c r="T262" s="11" t="str">
        <f>IF(S262="No","No",
MROUND(_xlfn.XLOOKUP(B262,'Base stats'!B:B,'Base stats'!BH:BH) * 0.01 * 2 + 0.05, 0.05)
)</f>
        <v>No</v>
      </c>
      <c r="U262" s="5" t="str">
        <f>IF(S262="No","No",IF(_xlfn.XLOOKUP(B262,'Base stats'!B:B,'Base stats'!U:U)="No","No",
MROUND(_xlfn.XLOOKUP(B262,'Base stats'!B:B,'Base stats'!BT:BT)/10000+0.01,0.01)
))</f>
        <v>No</v>
      </c>
      <c r="V262" s="4" t="str">
        <f>IF(S262="No","No",
MROUND(_xlfn.XLOOKUP(B262,'Base stats'!B:B,'Base stats'!BF:BF)^0.25
/((_xlfn.XLOOKUP(B262,'Base stats'!B:B,'Base stats'!BO:BO))*10)*_xlfn.XLOOKUP(_xlfn.XLOOKUP(B262,'Base stats'!B:B,'Base stats'!E:E),Groups!A:A,Groups!AE:AE)*150 + 0.5 + _xlfn.XLOOKUP(B262,'Base stats'!B:B,'Base stats'!BW:BW),
0.05))</f>
        <v>No</v>
      </c>
      <c r="W262" s="8">
        <f>MROUND(_xlfn.XLOOKUP(_xlfn.XLOOKUP(B262,'Base stats'!B:B,'Base stats'!E:E),Groups!A:A,Groups!BG:BG)*_xlfn.XLOOKUP(B262,'Base stats'!B:B,'Base stats'!C:C)^-0.165,0.05)</f>
        <v>0.30000000000000004</v>
      </c>
      <c r="X262" s="1">
        <f>MROUND(_xlfn.XLOOKUP(_xlfn.XLOOKUP(B262,'Base stats'!B:B,'Base stats'!E:E),Groups!A:A,Groups!BH:BH)*_xlfn.XLOOKUP(B262,'Base stats'!B:B,'Base stats'!C:C)^0.165,0.05)</f>
        <v>0.1</v>
      </c>
      <c r="Y262" s="8">
        <f>MROUND(_xlfn.XLOOKUP(_xlfn.XLOOKUP(B262,'Base stats'!B:B,'Base stats'!E:E),Groups!A:A,Groups!BI:BI)*_xlfn.XLOOKUP(B262,'Base stats'!B:B,'Base stats'!C:C)^0.165,0.05)</f>
        <v>0</v>
      </c>
      <c r="Z262" s="18">
        <f>MROUND(_xlfn.XLOOKUP(B262,'Base stats'!B:B,'Base stats'!AQ:AQ)*_xlfn.XLOOKUP(_xlfn.XLOOKUP(B262,'Base stats'!B:B,'Base stats'!E:E),Groups!A:A,Groups!H:H)/1000,IF((_xlfn.XLOOKUP(B262,'Base stats'!B:B,'Base stats'!AQ:AQ)*_xlfn.XLOOKUP(_xlfn.XLOOKUP(B262,'Base stats'!B:B,'Base stats'!E:E),Groups!A:A,Groups!H:H)/1000)&gt;1,0.05,0.01))</f>
        <v>0.18</v>
      </c>
      <c r="AA262" s="18">
        <f>MROUND((1/2)*(_xlfn.XLOOKUP(_xlfn.XLOOKUP(B262,'Base stats'!B:B,'Base stats'!E:E),Groups!A:A,Groups!H:H)*_xlfn.XLOOKUP(_xlfn.XLOOKUP(B262,'Base stats'!B:B,'Base stats'!E:E),Groups!A:A,Groups!I:I))*_xlfn.XLOOKUP(B262,'Base stats'!B:B,'Base stats'!AQ:AQ)*0.01,0.05)</f>
        <v>0</v>
      </c>
      <c r="AB262" s="18">
        <f>MROUND(250*(Animals!AO262+Animals!AP262),25)</f>
        <v>50</v>
      </c>
      <c r="AC262" s="18" t="str">
        <f>_xlfn.XLOOKUP(_xlfn.XLOOKUP(B262,'Base stats'!B:B,'Base stats'!E:E),Groups!A:A,Groups!BJ:BJ)</f>
        <v>Serpentine</v>
      </c>
    </row>
    <row r="263" spans="1:29" ht="16.5" thickTop="1" thickBot="1" x14ac:dyDescent="0.3">
      <c r="A263" s="16" t="str">
        <f>Animals!A263</f>
        <v>EngorgedTentacularAberration</v>
      </c>
      <c r="B263" s="6" t="str">
        <f>Animals!B263</f>
        <v>Tentaculabomination gorga</v>
      </c>
      <c r="C263" s="1" t="str">
        <f>Animals!C263</f>
        <v>&lt;li&gt;AA_EngorgedTentacularAberration&lt;/li&gt;</v>
      </c>
      <c r="D263" s="47">
        <f>MIN(MIN(6,_xlfn.XLOOKUP(A263,Animals!A:A,Animals!AO:AO))*20,MAX(MROUND(_xlfn.XLOOKUP(B263,'Base stats'!B:B,'Base stats'!BS:BS) * (_xlfn.XLOOKUP(B263,'Base stats'!B:B,'Base stats'!AO:AO)*5%)^0.9 / 21,0.1),0.05))</f>
        <v>58.400000000000006</v>
      </c>
      <c r="E263" s="11">
        <f>MROUND(_xlfn.XLOOKUP(B263,'Base stats'!B:B,'Base stats'!BG:BG) * 0.01 * 2 + 0.01, 0.05)</f>
        <v>65.45</v>
      </c>
      <c r="F263" s="7">
        <f>MROUND(_xlfn.XLOOKUP(B263,'Base stats'!B:B,'Base stats'!BD:BD)^0.25 / (_xlfn.XLOOKUP(B263,'Base stats'!B:B,'Base stats'!BK:BK) * 10) * 150 + 0.5 + _xlfn.XLOOKUP(B263,'Base stats'!B:B,'Base stats'!BW:BW), 0.05)</f>
        <v>4.75</v>
      </c>
      <c r="G263" s="3" t="str">
        <f>IF(Animals!S263="No","No",
IF(_xlfn.XLOOKUP(B263,'Base stats'!B:B,'Base stats'!U:U)="No",
MAX(MROUND(_xlfn.XLOOKUP(B263,'Base stats'!B:B,'Base stats'!BT:BT) * _xlfn.XLOOKUP(B263,'Base stats'!B:B,'Base stats'!BP:BP)^0.9 / 21 * _xlfn.XLOOKUP(B263,'Base stats'!B:B,'Base stats'!BX:BX),0.1),0.05),
MAX(MROUND(((MIN(10,_xlfn.XLOOKUP(B263,'Base stats'!B:B,'Base stats'!U:U)))^0.4*_xlfn.XLOOKUP(B263,'Base stats'!B:B,'Base stats'!BH:BH)^0.73)^0.6 * _xlfn.XLOOKUP(B263,'Base stats'!B:B,'Base stats'!BX:BX),0.1),0.05)
))</f>
        <v>No</v>
      </c>
      <c r="H263" s="11" t="str">
        <f>IF(G263="No","No",
MROUND(_xlfn.XLOOKUP(B263,'Base stats'!B:B,'Base stats'!BH:BH) * 0.01 * 2 + 0.05, 0.05)
)</f>
        <v>No</v>
      </c>
      <c r="I263" s="11" t="str">
        <f>IF(G263="No","No",IF(_xlfn.XLOOKUP(B263,'Base stats'!B:B,'Base stats'!U:U)="No","No",
MROUND(_xlfn.XLOOKUP(B263,'Base stats'!B:B,'Base stats'!BT:BT)/10000+0.01,0.01)
))</f>
        <v>No</v>
      </c>
      <c r="J263" s="4" t="str">
        <f>IF(G263="No","No",
MROUND(_xlfn.XLOOKUP(B263,'Base stats'!B:B,'Base stats'!BE:BE)^0.25
/((_xlfn.XLOOKUP(B263,'Base stats'!B:B,'Base stats'!BL:BL))*10)*_xlfn.XLOOKUP(_xlfn.XLOOKUP(B263,'Base stats'!B:B,'Base stats'!E:E),Groups!A:A,Groups!Q:Q)*150 + 0.5 + _xlfn.XLOOKUP(B263,'Base stats'!B:B,'Base stats'!BW:BW),
0.05))</f>
        <v>No</v>
      </c>
      <c r="K263" s="3" t="str">
        <f>IF(Animals!X263="No","No",
IF(_xlfn.XLOOKUP(_xlfn.XLOOKUP(B263,'Base stats'!B:B,'Base stats'!E:E),Groups!A:A,Groups!BD:BD)=1,
MAX(MROUND(_xlfn.XLOOKUP(B263,'Base stats'!B:B,'Base stats'!BU:BU) * _xlfn.XLOOKUP(B263,'Base stats'!B:B,'Base stats'!BQ:BQ)^0.9 / 21 *_xlfn.XLOOKUP(B263,'Base stats'!B:B,'Base stats'!BX:BX),0.1),0.05),
MAX(MROUND(((MIN(10,_xlfn.XLOOKUP(B263,'Base stats'!B:B,'Base stats'!W:W)))^0.4*_xlfn.XLOOKUP(B263,'Base stats'!B:B,'Base stats'!BI:BI)^0.73)^0.6 *_xlfn.XLOOKUP(B263,'Base stats'!B:B,'Base stats'!BX:BX),0.1),0.05)
))</f>
        <v>No</v>
      </c>
      <c r="L263" s="11" t="str">
        <f>IF(K263="No","No",
MROUND(_xlfn.XLOOKUP(B263,'Base stats'!B:B,'Base stats'!BI:BI) * 0.01 *2 + 0.05, 0.05)
)</f>
        <v>No</v>
      </c>
      <c r="M263" s="5" t="str">
        <f>IF(K263="No","No",IF(_xlfn.XLOOKUP(_xlfn.XLOOKUP(B263,'Base stats'!B:B,'Base stats'!E:E),Groups!A:A,Groups!BD:BD)=1,"No",
MROUND(_xlfn.XLOOKUP(B263,'Base stats'!B:B,'Base stats'!BU:BU)/10000+0.01,0.01)
))</f>
        <v>No</v>
      </c>
      <c r="N263" s="4" t="str">
        <f>IF(K263="No","No",
MROUND(
  _xlfn.XLOOKUP(B263,'Base stats'!B:B,'Base stats'!BC:BC)^0.25
  / (_xlfn.XLOOKUP(B263,'Base stats'!B:B,'Base stats'!BM:BM) * 10)
  * _xlfn.XLOOKUP(
      _xlfn.XLOOKUP(B263,'Base stats'!B:B,'Base stats'!E:E),
      Groups!A:A,
      Groups!V:V
    ) * 150
  + MIN(12, _xlfn.XLOOKUP(B263,'Base stats'!B:B,'Base stats'!W:W))^(1/IF(_xlfn.XLOOKUP(_xlfn.XLOOKUP(B263,'Base stats'!B:B,'Base stats'!E:E),Groups!A:A,Groups!U:U)=1,100,10)) + 0.5 + _xlfn.XLOOKUP(B263,'Base stats'!B:B,'Base stats'!BW:BW),
0.05))</f>
        <v>No</v>
      </c>
      <c r="O263" s="3">
        <f>IF(Animals!AD263="No","No",
MAX(MROUND((MIN(10,_xlfn.XLOOKUP(B263,'Base stats'!B:B,'Base stats'!V:V)*IF(_xlfn.XLOOKUP(_xlfn.XLOOKUP(B263,'Base stats'!B:B,'Base stats'!E:E),Groups!A:A,Groups!O:O)=0,1,0.33))^0.4*_xlfn.XLOOKUP(B263,'Base stats'!B:B,'Base stats'!BJ:BJ)^0.73)^0.6 *_xlfn.XLOOKUP(B263,'Base stats'!B:B,'Base stats'!BX:BX),0.1),0.05)
)</f>
        <v>72.3</v>
      </c>
      <c r="P263" s="11">
        <f>IF(O263="No","No",
MROUND(_xlfn.XLOOKUP(B263,'Base stats'!B:B,'Base stats'!BJ:BJ) * 0.01 * 2 + 0.05, 0.05)
)</f>
        <v>99.4</v>
      </c>
      <c r="Q263" s="5">
        <f>IF(O263="No","No",
MROUND(_xlfn.XLOOKUP(B263,'Base stats'!B:B,'Base stats'!BV:BV)/10000+0.01,0.01)
)</f>
        <v>0.9</v>
      </c>
      <c r="R263" s="4">
        <f>IF(O263="No","No",
MROUND(_xlfn.XLOOKUP(B263,'Base stats'!B:B,'Base stats'!BB:BB)^0.25
/((_xlfn.XLOOKUP(B263,'Base stats'!B:B,'Base stats'!BN:BN))*10)*_xlfn.XLOOKUP(_xlfn.XLOOKUP(B263,'Base stats'!B:B,'Base stats'!E:E),Groups!A:A,Groups!Z:Z)*150 + 0.5 + _xlfn.XLOOKUP(B263,'Base stats'!B:B,'Base stats'!BW:BW),
0.05))</f>
        <v>3.5500000000000003</v>
      </c>
      <c r="S263" s="3">
        <f>IF(Animals!AI263="No","No",
IF(_xlfn.XLOOKUP(B263,'Base stats'!B:B,'Base stats'!U:U)="No",
MAX(MROUND(_xlfn.XLOOKUP(B263,'Base stats'!B:B,'Base stats'!BT:BT) * _xlfn.XLOOKUP(B263,'Base stats'!B:B,'Base stats'!BP:BP)^0.9 / 21 * _xlfn.XLOOKUP(B263,'Base stats'!B:B,'Base stats'!BX:BX),0.1),0.05),
MAX(MROUND(((MIN(12,_xlfn.XLOOKUP(B263,'Base stats'!B:B,'Base stats'!U:U)))^0.4*_xlfn.XLOOKUP(B263,'Base stats'!B:B,'Base stats'!BH:BH)^0.73)^0.6 * _xlfn.XLOOKUP(B263,'Base stats'!B:B,'Base stats'!BX:BX),0.1),0.05)
))</f>
        <v>77.800000000000011</v>
      </c>
      <c r="T263" s="11">
        <f>IF(S263="No","No",
MROUND(_xlfn.XLOOKUP(B263,'Base stats'!B:B,'Base stats'!BH:BH) * 0.01 * 2 + 0.05, 0.05)
)</f>
        <v>56.1</v>
      </c>
      <c r="U263" s="5" t="str">
        <f>IF(S263="No","No",IF(_xlfn.XLOOKUP(B263,'Base stats'!B:B,'Base stats'!U:U)="No","No",
MROUND(_xlfn.XLOOKUP(B263,'Base stats'!B:B,'Base stats'!BT:BT)/10000+0.01,0.01)
))</f>
        <v>No</v>
      </c>
      <c r="V263" s="4">
        <f>IF(S263="No","No",
MROUND(_xlfn.XLOOKUP(B263,'Base stats'!B:B,'Base stats'!BF:BF)^0.25
/((_xlfn.XLOOKUP(B263,'Base stats'!B:B,'Base stats'!BO:BO))*10)*_xlfn.XLOOKUP(_xlfn.XLOOKUP(B263,'Base stats'!B:B,'Base stats'!E:E),Groups!A:A,Groups!AE:AE)*150 + 0.5 + _xlfn.XLOOKUP(B263,'Base stats'!B:B,'Base stats'!BW:BW),
0.05))</f>
        <v>3.5500000000000003</v>
      </c>
      <c r="W263" s="8">
        <f>MROUND(_xlfn.XLOOKUP(_xlfn.XLOOKUP(B263,'Base stats'!B:B,'Base stats'!E:E),Groups!A:A,Groups!BG:BG)*_xlfn.XLOOKUP(B263,'Base stats'!B:B,'Base stats'!C:C)^-0.165,0.05)</f>
        <v>0</v>
      </c>
      <c r="X263" s="1">
        <f>MROUND(_xlfn.XLOOKUP(_xlfn.XLOOKUP(B263,'Base stats'!B:B,'Base stats'!E:E),Groups!A:A,Groups!BH:BH)*_xlfn.XLOOKUP(B263,'Base stats'!B:B,'Base stats'!C:C)^0.165,0.05)</f>
        <v>0.65</v>
      </c>
      <c r="Y263" s="8">
        <f>MROUND(_xlfn.XLOOKUP(_xlfn.XLOOKUP(B263,'Base stats'!B:B,'Base stats'!E:E),Groups!A:A,Groups!BI:BI)*_xlfn.XLOOKUP(B263,'Base stats'!B:B,'Base stats'!C:C)^0.165,0.05)</f>
        <v>0.2</v>
      </c>
      <c r="Z263" s="18">
        <f>MROUND(_xlfn.XLOOKUP(B263,'Base stats'!B:B,'Base stats'!AQ:AQ)*_xlfn.XLOOKUP(_xlfn.XLOOKUP(B263,'Base stats'!B:B,'Base stats'!E:E),Groups!A:A,Groups!H:H)/1000,IF((_xlfn.XLOOKUP(B263,'Base stats'!B:B,'Base stats'!AQ:AQ)*_xlfn.XLOOKUP(_xlfn.XLOOKUP(B263,'Base stats'!B:B,'Base stats'!E:E),Groups!A:A,Groups!H:H)/1000)&gt;1,0.05,0.01))</f>
        <v>0.01</v>
      </c>
      <c r="AA263" s="18">
        <f>MROUND((1/2)*(_xlfn.XLOOKUP(_xlfn.XLOOKUP(B263,'Base stats'!B:B,'Base stats'!E:E),Groups!A:A,Groups!H:H)*_xlfn.XLOOKUP(_xlfn.XLOOKUP(B263,'Base stats'!B:B,'Base stats'!E:E),Groups!A:A,Groups!I:I))*_xlfn.XLOOKUP(B263,'Base stats'!B:B,'Base stats'!AQ:AQ)*0.01,0.05)</f>
        <v>0.05</v>
      </c>
      <c r="AB263" s="18">
        <f>MROUND(250*(Animals!AO263+Animals!AP263),25)</f>
        <v>3000</v>
      </c>
      <c r="AC263" s="18" t="str">
        <f>_xlfn.XLOOKUP(_xlfn.XLOOKUP(B263,'Base stats'!B:B,'Base stats'!E:E),Groups!A:A,Groups!BJ:BJ)</f>
        <v>QuadrupedLow</v>
      </c>
    </row>
    <row r="264" spans="1:29" ht="16.5" thickTop="1" thickBot="1" x14ac:dyDescent="0.3">
      <c r="A264" s="16" t="str">
        <f>Animals!A264</f>
        <v>Erin</v>
      </c>
      <c r="B264" s="6" t="str">
        <f>Animals!B264</f>
        <v>Erin similis</v>
      </c>
      <c r="C264" s="1" t="str">
        <f>Animals!C264</f>
        <v>&lt;li&gt;AA_Erin&lt;/li&gt;</v>
      </c>
      <c r="D264" s="47">
        <f>MIN(MIN(6,_xlfn.XLOOKUP(A264,Animals!A:A,Animals!AO:AO))*20,MAX(MROUND(_xlfn.XLOOKUP(B264,'Base stats'!B:B,'Base stats'!BS:BS) * (_xlfn.XLOOKUP(B264,'Base stats'!B:B,'Base stats'!AO:AO)*5%)^0.9 / 21,0.1),0.05))</f>
        <v>4.7</v>
      </c>
      <c r="E264" s="11">
        <f>MROUND(_xlfn.XLOOKUP(B264,'Base stats'!B:B,'Base stats'!BG:BG) * 0.01 * 2 + 0.01, 0.05)</f>
        <v>4.1000000000000005</v>
      </c>
      <c r="F264" s="7">
        <f>MROUND(_xlfn.XLOOKUP(B264,'Base stats'!B:B,'Base stats'!BD:BD)^0.25 / (_xlfn.XLOOKUP(B264,'Base stats'!B:B,'Base stats'!BK:BK) * 10) * 150 + 0.5 + _xlfn.XLOOKUP(B264,'Base stats'!B:B,'Base stats'!BW:BW), 0.05)</f>
        <v>2.1</v>
      </c>
      <c r="G264" s="3" t="str">
        <f>IF(Animals!S264="No","No",
IF(_xlfn.XLOOKUP(B264,'Base stats'!B:B,'Base stats'!U:U)="No",
MAX(MROUND(_xlfn.XLOOKUP(B264,'Base stats'!B:B,'Base stats'!BT:BT) * _xlfn.XLOOKUP(B264,'Base stats'!B:B,'Base stats'!BP:BP)^0.9 / 21 * _xlfn.XLOOKUP(B264,'Base stats'!B:B,'Base stats'!BX:BX),0.1),0.05),
MAX(MROUND(((MIN(10,_xlfn.XLOOKUP(B264,'Base stats'!B:B,'Base stats'!U:U)))^0.4*_xlfn.XLOOKUP(B264,'Base stats'!B:B,'Base stats'!BH:BH)^0.73)^0.6 * _xlfn.XLOOKUP(B264,'Base stats'!B:B,'Base stats'!BX:BX),0.1),0.05)
))</f>
        <v>No</v>
      </c>
      <c r="H264" s="11" t="str">
        <f>IF(G264="No","No",
MROUND(_xlfn.XLOOKUP(B264,'Base stats'!B:B,'Base stats'!BH:BH) * 0.01 * 2 + 0.05, 0.05)
)</f>
        <v>No</v>
      </c>
      <c r="I264" s="11" t="str">
        <f>IF(G264="No","No",IF(_xlfn.XLOOKUP(B264,'Base stats'!B:B,'Base stats'!U:U)="No","No",
MROUND(_xlfn.XLOOKUP(B264,'Base stats'!B:B,'Base stats'!BT:BT)/10000+0.01,0.01)
))</f>
        <v>No</v>
      </c>
      <c r="J264" s="4" t="str">
        <f>IF(G264="No","No",
MROUND(_xlfn.XLOOKUP(B264,'Base stats'!B:B,'Base stats'!BE:BE)^0.25
/((_xlfn.XLOOKUP(B264,'Base stats'!B:B,'Base stats'!BL:BL))*10)*_xlfn.XLOOKUP(_xlfn.XLOOKUP(B264,'Base stats'!B:B,'Base stats'!E:E),Groups!A:A,Groups!Q:Q)*150 + 0.5 + _xlfn.XLOOKUP(B264,'Base stats'!B:B,'Base stats'!BW:BW),
0.05))</f>
        <v>No</v>
      </c>
      <c r="K264" s="3" t="str">
        <f>IF(Animals!X264="No","No",
IF(_xlfn.XLOOKUP(_xlfn.XLOOKUP(B264,'Base stats'!B:B,'Base stats'!E:E),Groups!A:A,Groups!BD:BD)=1,
MAX(MROUND(_xlfn.XLOOKUP(B264,'Base stats'!B:B,'Base stats'!BU:BU) * _xlfn.XLOOKUP(B264,'Base stats'!B:B,'Base stats'!BQ:BQ)^0.9 / 21 *_xlfn.XLOOKUP(B264,'Base stats'!B:B,'Base stats'!BX:BX),0.1),0.05),
MAX(MROUND(((MIN(10,_xlfn.XLOOKUP(B264,'Base stats'!B:B,'Base stats'!W:W)))^0.4*_xlfn.XLOOKUP(B264,'Base stats'!B:B,'Base stats'!BI:BI)^0.73)^0.6 *_xlfn.XLOOKUP(B264,'Base stats'!B:B,'Base stats'!BX:BX),0.1),0.05)
))</f>
        <v>No</v>
      </c>
      <c r="L264" s="11" t="str">
        <f>IF(K264="No","No",
MROUND(_xlfn.XLOOKUP(B264,'Base stats'!B:B,'Base stats'!BI:BI) * 0.01 *2 + 0.05, 0.05)
)</f>
        <v>No</v>
      </c>
      <c r="M264" s="5" t="str">
        <f>IF(K264="No","No",IF(_xlfn.XLOOKUP(_xlfn.XLOOKUP(B264,'Base stats'!B:B,'Base stats'!E:E),Groups!A:A,Groups!BD:BD)=1,"No",
MROUND(_xlfn.XLOOKUP(B264,'Base stats'!B:B,'Base stats'!BU:BU)/10000+0.01,0.01)
))</f>
        <v>No</v>
      </c>
      <c r="N264" s="4" t="str">
        <f>IF(K264="No","No",
MROUND(
  _xlfn.XLOOKUP(B264,'Base stats'!B:B,'Base stats'!BC:BC)^0.25
  / (_xlfn.XLOOKUP(B264,'Base stats'!B:B,'Base stats'!BM:BM) * 10)
  * _xlfn.XLOOKUP(
      _xlfn.XLOOKUP(B264,'Base stats'!B:B,'Base stats'!E:E),
      Groups!A:A,
      Groups!V:V
    ) * 150
  + MIN(12, _xlfn.XLOOKUP(B264,'Base stats'!B:B,'Base stats'!W:W))^(1/IF(_xlfn.XLOOKUP(_xlfn.XLOOKUP(B264,'Base stats'!B:B,'Base stats'!E:E),Groups!A:A,Groups!U:U)=1,100,10)) + 0.5 + _xlfn.XLOOKUP(B264,'Base stats'!B:B,'Base stats'!BW:BW),
0.05))</f>
        <v>No</v>
      </c>
      <c r="O264" s="3">
        <f>IF(Animals!AD264="No","No",
MAX(MROUND((MIN(10,_xlfn.XLOOKUP(B264,'Base stats'!B:B,'Base stats'!V:V)*IF(_xlfn.XLOOKUP(_xlfn.XLOOKUP(B264,'Base stats'!B:B,'Base stats'!E:E),Groups!A:A,Groups!O:O)=0,1,0.33))^0.4*_xlfn.XLOOKUP(B264,'Base stats'!B:B,'Base stats'!BJ:BJ)^0.73)^0.6 *_xlfn.XLOOKUP(B264,'Base stats'!B:B,'Base stats'!BX:BX),0.1),0.05)
)</f>
        <v>26.8</v>
      </c>
      <c r="P264" s="11">
        <f>IF(O264="No","No",
MROUND(_xlfn.XLOOKUP(B264,'Base stats'!B:B,'Base stats'!BJ:BJ) * 0.01 * 2 + 0.05, 0.05)
)</f>
        <v>15.15</v>
      </c>
      <c r="Q264" s="5">
        <f>IF(O264="No","No",
MROUND(_xlfn.XLOOKUP(B264,'Base stats'!B:B,'Base stats'!BV:BV)/10000+0.01,0.01)
)</f>
        <v>0.65</v>
      </c>
      <c r="R264" s="4">
        <f>IF(O264="No","No",
MROUND(_xlfn.XLOOKUP(B264,'Base stats'!B:B,'Base stats'!BB:BB)^0.25
/((_xlfn.XLOOKUP(B264,'Base stats'!B:B,'Base stats'!BN:BN))*10)*_xlfn.XLOOKUP(_xlfn.XLOOKUP(B264,'Base stats'!B:B,'Base stats'!E:E),Groups!A:A,Groups!Z:Z)*150 + 0.5 + _xlfn.XLOOKUP(B264,'Base stats'!B:B,'Base stats'!BW:BW),
0.05))</f>
        <v>2.3000000000000003</v>
      </c>
      <c r="S264" s="3" t="str">
        <f>IF(Animals!AI264="No","No",
IF(_xlfn.XLOOKUP(B264,'Base stats'!B:B,'Base stats'!U:U)="No",
MAX(MROUND(_xlfn.XLOOKUP(B264,'Base stats'!B:B,'Base stats'!BT:BT) * _xlfn.XLOOKUP(B264,'Base stats'!B:B,'Base stats'!BP:BP)^0.9 / 21 * _xlfn.XLOOKUP(B264,'Base stats'!B:B,'Base stats'!BX:BX),0.1),0.05),
MAX(MROUND(((MIN(12,_xlfn.XLOOKUP(B264,'Base stats'!B:B,'Base stats'!U:U)))^0.4*_xlfn.XLOOKUP(B264,'Base stats'!B:B,'Base stats'!BH:BH)^0.73)^0.6 * _xlfn.XLOOKUP(B264,'Base stats'!B:B,'Base stats'!BX:BX),0.1),0.05)
))</f>
        <v>No</v>
      </c>
      <c r="T264" s="11" t="str">
        <f>IF(S264="No","No",
MROUND(_xlfn.XLOOKUP(B264,'Base stats'!B:B,'Base stats'!BH:BH) * 0.01 * 2 + 0.05, 0.05)
)</f>
        <v>No</v>
      </c>
      <c r="U264" s="5" t="str">
        <f>IF(S264="No","No",IF(_xlfn.XLOOKUP(B264,'Base stats'!B:B,'Base stats'!U:U)="No","No",
MROUND(_xlfn.XLOOKUP(B264,'Base stats'!B:B,'Base stats'!BT:BT)/10000+0.01,0.01)
))</f>
        <v>No</v>
      </c>
      <c r="V264" s="4" t="str">
        <f>IF(S264="No","No",
MROUND(_xlfn.XLOOKUP(B264,'Base stats'!B:B,'Base stats'!BF:BF)^0.25
/((_xlfn.XLOOKUP(B264,'Base stats'!B:B,'Base stats'!BO:BO))*10)*_xlfn.XLOOKUP(_xlfn.XLOOKUP(B264,'Base stats'!B:B,'Base stats'!E:E),Groups!A:A,Groups!AE:AE)*150 + 0.5 + _xlfn.XLOOKUP(B264,'Base stats'!B:B,'Base stats'!BW:BW),
0.05))</f>
        <v>No</v>
      </c>
      <c r="W264" s="8">
        <f>MROUND(_xlfn.XLOOKUP(_xlfn.XLOOKUP(B264,'Base stats'!B:B,'Base stats'!E:E),Groups!A:A,Groups!BG:BG)*_xlfn.XLOOKUP(B264,'Base stats'!B:B,'Base stats'!C:C)^-0.165,0.05)</f>
        <v>0.45</v>
      </c>
      <c r="X264" s="1">
        <f>MROUND(_xlfn.XLOOKUP(_xlfn.XLOOKUP(B264,'Base stats'!B:B,'Base stats'!E:E),Groups!A:A,Groups!BH:BH)*_xlfn.XLOOKUP(B264,'Base stats'!B:B,'Base stats'!C:C)^0.165,0.05)</f>
        <v>0.45</v>
      </c>
      <c r="Y264" s="8">
        <f>MROUND(_xlfn.XLOOKUP(_xlfn.XLOOKUP(B264,'Base stats'!B:B,'Base stats'!E:E),Groups!A:A,Groups!BI:BI)*_xlfn.XLOOKUP(B264,'Base stats'!B:B,'Base stats'!C:C)^0.165,0.05)</f>
        <v>0.05</v>
      </c>
      <c r="Z264" s="18">
        <f>MROUND(_xlfn.XLOOKUP(B264,'Base stats'!B:B,'Base stats'!AQ:AQ)*_xlfn.XLOOKUP(_xlfn.XLOOKUP(B264,'Base stats'!B:B,'Base stats'!E:E),Groups!A:A,Groups!H:H)/1000,IF((_xlfn.XLOOKUP(B264,'Base stats'!B:B,'Base stats'!AQ:AQ)*_xlfn.XLOOKUP(_xlfn.XLOOKUP(B264,'Base stats'!B:B,'Base stats'!E:E),Groups!A:A,Groups!H:H)/1000)&gt;1,0.05,0.01))</f>
        <v>0.12</v>
      </c>
      <c r="AA264" s="18">
        <f>MROUND((1/2)*(_xlfn.XLOOKUP(_xlfn.XLOOKUP(B264,'Base stats'!B:B,'Base stats'!E:E),Groups!A:A,Groups!H:H)*_xlfn.XLOOKUP(_xlfn.XLOOKUP(B264,'Base stats'!B:B,'Base stats'!E:E),Groups!A:A,Groups!I:I))*_xlfn.XLOOKUP(B264,'Base stats'!B:B,'Base stats'!AQ:AQ)*0.01,0.05)</f>
        <v>0.55000000000000004</v>
      </c>
      <c r="AB264" s="18">
        <f>MROUND(250*(Animals!AO264+Animals!AP264),25)</f>
        <v>875</v>
      </c>
      <c r="AC264" s="18" t="str">
        <f>_xlfn.XLOOKUP(_xlfn.XLOOKUP(B264,'Base stats'!B:B,'Base stats'!E:E),Groups!A:A,Groups!BJ:BJ)</f>
        <v>Quadruped</v>
      </c>
    </row>
    <row r="265" spans="1:29" ht="16.5" thickTop="1" thickBot="1" x14ac:dyDescent="0.3">
      <c r="A265" s="16" t="str">
        <f>Animals!A265</f>
        <v>Eyeling</v>
      </c>
      <c r="B265" s="6" t="str">
        <f>Animals!B265</f>
        <v>Oculus viventis</v>
      </c>
      <c r="C265" s="1" t="str">
        <f>Animals!C265</f>
        <v>&lt;li&gt;AA_Eyeling&lt;/li&gt;</v>
      </c>
      <c r="D265" s="47">
        <f>MIN(MIN(6,_xlfn.XLOOKUP(A265,Animals!A:A,Animals!AO:AO))*20,MAX(MROUND(_xlfn.XLOOKUP(B265,'Base stats'!B:B,'Base stats'!BS:BS) * (_xlfn.XLOOKUP(B265,'Base stats'!B:B,'Base stats'!AO:AO)*5%)^0.9 / 21,0.1),0.05))</f>
        <v>0.30000000000000004</v>
      </c>
      <c r="E265" s="11">
        <f>MROUND(_xlfn.XLOOKUP(B265,'Base stats'!B:B,'Base stats'!BG:BG) * 0.01 * 2 + 0.01, 0.05)</f>
        <v>0.2</v>
      </c>
      <c r="F265" s="7">
        <f>MROUND(_xlfn.XLOOKUP(B265,'Base stats'!B:B,'Base stats'!BD:BD)^0.25 / (_xlfn.XLOOKUP(B265,'Base stats'!B:B,'Base stats'!BK:BK) * 10) * 150 + 0.5 + _xlfn.XLOOKUP(B265,'Base stats'!B:B,'Base stats'!BW:BW), 0.05)</f>
        <v>2.1</v>
      </c>
      <c r="G265" s="3" t="str">
        <f>IF(Animals!S265="No","No",
IF(_xlfn.XLOOKUP(B265,'Base stats'!B:B,'Base stats'!U:U)="No",
MAX(MROUND(_xlfn.XLOOKUP(B265,'Base stats'!B:B,'Base stats'!BT:BT) * _xlfn.XLOOKUP(B265,'Base stats'!B:B,'Base stats'!BP:BP)^0.9 / 21 * _xlfn.XLOOKUP(B265,'Base stats'!B:B,'Base stats'!BX:BX),0.1),0.05),
MAX(MROUND(((MIN(10,_xlfn.XLOOKUP(B265,'Base stats'!B:B,'Base stats'!U:U)))^0.4*_xlfn.XLOOKUP(B265,'Base stats'!B:B,'Base stats'!BH:BH)^0.73)^0.6 * _xlfn.XLOOKUP(B265,'Base stats'!B:B,'Base stats'!BX:BX),0.1),0.05)
))</f>
        <v>No</v>
      </c>
      <c r="H265" s="11" t="str">
        <f>IF(G265="No","No",
MROUND(_xlfn.XLOOKUP(B265,'Base stats'!B:B,'Base stats'!BH:BH) * 0.01 * 2 + 0.05, 0.05)
)</f>
        <v>No</v>
      </c>
      <c r="I265" s="11" t="str">
        <f>IF(G265="No","No",IF(_xlfn.XLOOKUP(B265,'Base stats'!B:B,'Base stats'!U:U)="No","No",
MROUND(_xlfn.XLOOKUP(B265,'Base stats'!B:B,'Base stats'!BT:BT)/10000+0.01,0.01)
))</f>
        <v>No</v>
      </c>
      <c r="J265" s="4" t="str">
        <f>IF(G265="No","No",
MROUND(_xlfn.XLOOKUP(B265,'Base stats'!B:B,'Base stats'!BE:BE)^0.25
/((_xlfn.XLOOKUP(B265,'Base stats'!B:B,'Base stats'!BL:BL))*10)*_xlfn.XLOOKUP(_xlfn.XLOOKUP(B265,'Base stats'!B:B,'Base stats'!E:E),Groups!A:A,Groups!Q:Q)*150 + 0.5 + _xlfn.XLOOKUP(B265,'Base stats'!B:B,'Base stats'!BW:BW),
0.05))</f>
        <v>No</v>
      </c>
      <c r="K265" s="3">
        <f>IF(Animals!X265="No","No",
IF(_xlfn.XLOOKUP(_xlfn.XLOOKUP(B265,'Base stats'!B:B,'Base stats'!E:E),Groups!A:A,Groups!BD:BD)=1,
MAX(MROUND(_xlfn.XLOOKUP(B265,'Base stats'!B:B,'Base stats'!BU:BU) * _xlfn.XLOOKUP(B265,'Base stats'!B:B,'Base stats'!BQ:BQ)^0.9 / 21 *_xlfn.XLOOKUP(B265,'Base stats'!B:B,'Base stats'!BX:BX),0.1),0.05),
MAX(MROUND(((MIN(10,_xlfn.XLOOKUP(B265,'Base stats'!B:B,'Base stats'!W:W)))^0.4*_xlfn.XLOOKUP(B265,'Base stats'!B:B,'Base stats'!BI:BI)^0.73)^0.6 *_xlfn.XLOOKUP(B265,'Base stats'!B:B,'Base stats'!BX:BX),0.1),0.05)
))</f>
        <v>3.7</v>
      </c>
      <c r="L265" s="11">
        <f>IF(K265="No","No",
MROUND(_xlfn.XLOOKUP(B265,'Base stats'!B:B,'Base stats'!BI:BI) * 0.01 *2 + 0.05, 0.05)
)</f>
        <v>0.35000000000000003</v>
      </c>
      <c r="M265" s="5">
        <f>IF(K265="No","No",IF(_xlfn.XLOOKUP(_xlfn.XLOOKUP(B265,'Base stats'!B:B,'Base stats'!E:E),Groups!A:A,Groups!BD:BD)=1,"No",
MROUND(_xlfn.XLOOKUP(B265,'Base stats'!B:B,'Base stats'!BU:BU)/10000+0.01,0.01)
))</f>
        <v>0.03</v>
      </c>
      <c r="N265" s="4">
        <f>IF(K265="No","No",
MROUND(
  _xlfn.XLOOKUP(B265,'Base stats'!B:B,'Base stats'!BC:BC)^0.25
  / (_xlfn.XLOOKUP(B265,'Base stats'!B:B,'Base stats'!BM:BM) * 10)
  * _xlfn.XLOOKUP(
      _xlfn.XLOOKUP(B265,'Base stats'!B:B,'Base stats'!E:E),
      Groups!A:A,
      Groups!V:V
    ) * 150
  + MIN(12, _xlfn.XLOOKUP(B265,'Base stats'!B:B,'Base stats'!W:W))^(1/IF(_xlfn.XLOOKUP(_xlfn.XLOOKUP(B265,'Base stats'!B:B,'Base stats'!E:E),Groups!A:A,Groups!U:U)=1,100,10)) + 0.5 + _xlfn.XLOOKUP(B265,'Base stats'!B:B,'Base stats'!BW:BW),
0.05))</f>
        <v>3.5</v>
      </c>
      <c r="O265" s="3" t="str">
        <f>IF(Animals!AD265="No","No",
MAX(MROUND((MIN(10,_xlfn.XLOOKUP(B265,'Base stats'!B:B,'Base stats'!V:V)*IF(_xlfn.XLOOKUP(_xlfn.XLOOKUP(B265,'Base stats'!B:B,'Base stats'!E:E),Groups!A:A,Groups!O:O)=0,1,0.33))^0.4*_xlfn.XLOOKUP(B265,'Base stats'!B:B,'Base stats'!BJ:BJ)^0.73)^0.6 *_xlfn.XLOOKUP(B265,'Base stats'!B:B,'Base stats'!BX:BX),0.1),0.05)
)</f>
        <v>No</v>
      </c>
      <c r="P265" s="11" t="str">
        <f>IF(O265="No","No",
MROUND(_xlfn.XLOOKUP(B265,'Base stats'!B:B,'Base stats'!BJ:BJ) * 0.01 * 2 + 0.05, 0.05)
)</f>
        <v>No</v>
      </c>
      <c r="Q265" s="5" t="str">
        <f>IF(O265="No","No",
MROUND(_xlfn.XLOOKUP(B265,'Base stats'!B:B,'Base stats'!BV:BV)/10000+0.01,0.01)
)</f>
        <v>No</v>
      </c>
      <c r="R265" s="4" t="str">
        <f>IF(O265="No","No",
MROUND(_xlfn.XLOOKUP(B265,'Base stats'!B:B,'Base stats'!BB:BB)^0.25
/((_xlfn.XLOOKUP(B265,'Base stats'!B:B,'Base stats'!BN:BN))*10)*_xlfn.XLOOKUP(_xlfn.XLOOKUP(B265,'Base stats'!B:B,'Base stats'!E:E),Groups!A:A,Groups!Z:Z)*150 + 0.5 + _xlfn.XLOOKUP(B265,'Base stats'!B:B,'Base stats'!BW:BW),
0.05))</f>
        <v>No</v>
      </c>
      <c r="S265" s="3" t="str">
        <f>IF(Animals!AI265="No","No",
IF(_xlfn.XLOOKUP(B265,'Base stats'!B:B,'Base stats'!U:U)="No",
MAX(MROUND(_xlfn.XLOOKUP(B265,'Base stats'!B:B,'Base stats'!BT:BT) * _xlfn.XLOOKUP(B265,'Base stats'!B:B,'Base stats'!BP:BP)^0.9 / 21 * _xlfn.XLOOKUP(B265,'Base stats'!B:B,'Base stats'!BX:BX),0.1),0.05),
MAX(MROUND(((MIN(12,_xlfn.XLOOKUP(B265,'Base stats'!B:B,'Base stats'!U:U)))^0.4*_xlfn.XLOOKUP(B265,'Base stats'!B:B,'Base stats'!BH:BH)^0.73)^0.6 * _xlfn.XLOOKUP(B265,'Base stats'!B:B,'Base stats'!BX:BX),0.1),0.05)
))</f>
        <v>No</v>
      </c>
      <c r="T265" s="11" t="str">
        <f>IF(S265="No","No",
MROUND(_xlfn.XLOOKUP(B265,'Base stats'!B:B,'Base stats'!BH:BH) * 0.01 * 2 + 0.05, 0.05)
)</f>
        <v>No</v>
      </c>
      <c r="U265" s="5" t="str">
        <f>IF(S265="No","No",IF(_xlfn.XLOOKUP(B265,'Base stats'!B:B,'Base stats'!U:U)="No","No",
MROUND(_xlfn.XLOOKUP(B265,'Base stats'!B:B,'Base stats'!BT:BT)/10000+0.01,0.01)
))</f>
        <v>No</v>
      </c>
      <c r="V265" s="4" t="str">
        <f>IF(S265="No","No",
MROUND(_xlfn.XLOOKUP(B265,'Base stats'!B:B,'Base stats'!BF:BF)^0.25
/((_xlfn.XLOOKUP(B265,'Base stats'!B:B,'Base stats'!BO:BO))*10)*_xlfn.XLOOKUP(_xlfn.XLOOKUP(B265,'Base stats'!B:B,'Base stats'!E:E),Groups!A:A,Groups!AE:AE)*150 + 0.5 + _xlfn.XLOOKUP(B265,'Base stats'!B:B,'Base stats'!BW:BW),
0.05))</f>
        <v>No</v>
      </c>
      <c r="W265" s="8">
        <f>MROUND(_xlfn.XLOOKUP(_xlfn.XLOOKUP(B265,'Base stats'!B:B,'Base stats'!E:E),Groups!A:A,Groups!BG:BG)*_xlfn.XLOOKUP(B265,'Base stats'!B:B,'Base stats'!C:C)^-0.165,0.05)</f>
        <v>0.15000000000000002</v>
      </c>
      <c r="X265" s="1">
        <f>MROUND(_xlfn.XLOOKUP(_xlfn.XLOOKUP(B265,'Base stats'!B:B,'Base stats'!E:E),Groups!A:A,Groups!BH:BH)*_xlfn.XLOOKUP(B265,'Base stats'!B:B,'Base stats'!C:C)^0.165,0.05)</f>
        <v>0.15000000000000002</v>
      </c>
      <c r="Y265" s="8">
        <f>MROUND(_xlfn.XLOOKUP(_xlfn.XLOOKUP(B265,'Base stats'!B:B,'Base stats'!E:E),Groups!A:A,Groups!BI:BI)*_xlfn.XLOOKUP(B265,'Base stats'!B:B,'Base stats'!C:C)^0.165,0.05)</f>
        <v>0.05</v>
      </c>
      <c r="Z265" s="18">
        <f>MROUND(_xlfn.XLOOKUP(B265,'Base stats'!B:B,'Base stats'!AQ:AQ)*_xlfn.XLOOKUP(_xlfn.XLOOKUP(B265,'Base stats'!B:B,'Base stats'!E:E),Groups!A:A,Groups!H:H)/1000,IF((_xlfn.XLOOKUP(B265,'Base stats'!B:B,'Base stats'!AQ:AQ)*_xlfn.XLOOKUP(_xlfn.XLOOKUP(B265,'Base stats'!B:B,'Base stats'!E:E),Groups!A:A,Groups!H:H)/1000)&gt;1,0.05,0.01))</f>
        <v>0.19</v>
      </c>
      <c r="AA265" s="18">
        <f>MROUND((1/2)*(_xlfn.XLOOKUP(_xlfn.XLOOKUP(B265,'Base stats'!B:B,'Base stats'!E:E),Groups!A:A,Groups!H:H)*_xlfn.XLOOKUP(_xlfn.XLOOKUP(B265,'Base stats'!B:B,'Base stats'!E:E),Groups!A:A,Groups!I:I))*_xlfn.XLOOKUP(B265,'Base stats'!B:B,'Base stats'!AQ:AQ)*0.01,0.05)</f>
        <v>0</v>
      </c>
      <c r="AB265" s="18">
        <f>MROUND(250*(Animals!AO265+Animals!AP265),25)</f>
        <v>225</v>
      </c>
      <c r="AC265" s="18" t="str">
        <f>_xlfn.XLOOKUP(_xlfn.XLOOKUP(B265,'Base stats'!B:B,'Base stats'!E:E),Groups!A:A,Groups!BJ:BJ)</f>
        <v>Birdlike</v>
      </c>
    </row>
    <row r="266" spans="1:29" ht="16.5" thickTop="1" thickBot="1" x14ac:dyDescent="0.3">
      <c r="A266" s="16" t="str">
        <f>Animals!A266</f>
        <v>Feralisk</v>
      </c>
      <c r="B266" s="6" t="str">
        <f>Animals!B266</f>
        <v>Araneodraco ferus</v>
      </c>
      <c r="C266" s="1" t="str">
        <f>Animals!C266</f>
        <v>&lt;li&gt;AA_Feralisk&lt;/li&gt;</v>
      </c>
      <c r="D266" s="47">
        <f>MIN(MIN(6,_xlfn.XLOOKUP(A266,Animals!A:A,Animals!AO:AO))*20,MAX(MROUND(_xlfn.XLOOKUP(B266,'Base stats'!B:B,'Base stats'!BS:BS) * (_xlfn.XLOOKUP(B266,'Base stats'!B:B,'Base stats'!AO:AO)*5%)^0.9 / 21,0.1),0.05))</f>
        <v>3.9000000000000004</v>
      </c>
      <c r="E266" s="11">
        <f>MROUND(_xlfn.XLOOKUP(B266,'Base stats'!B:B,'Base stats'!BG:BG) * 0.01 * 2 + 0.01, 0.05)</f>
        <v>3.5</v>
      </c>
      <c r="F266" s="7">
        <f>MROUND(_xlfn.XLOOKUP(B266,'Base stats'!B:B,'Base stats'!BD:BD)^0.25 / (_xlfn.XLOOKUP(B266,'Base stats'!B:B,'Base stats'!BK:BK) * 10) * 150 + 0.5 + _xlfn.XLOOKUP(B266,'Base stats'!B:B,'Base stats'!BW:BW), 0.05)</f>
        <v>3.25</v>
      </c>
      <c r="G266" s="3" t="str">
        <f>IF(Animals!S266="No","No",
IF(_xlfn.XLOOKUP(B266,'Base stats'!B:B,'Base stats'!U:U)="No",
MAX(MROUND(_xlfn.XLOOKUP(B266,'Base stats'!B:B,'Base stats'!BT:BT) * _xlfn.XLOOKUP(B266,'Base stats'!B:B,'Base stats'!BP:BP)^0.9 / 21 * _xlfn.XLOOKUP(B266,'Base stats'!B:B,'Base stats'!BX:BX),0.1),0.05),
MAX(MROUND(((MIN(10,_xlfn.XLOOKUP(B266,'Base stats'!B:B,'Base stats'!U:U)))^0.4*_xlfn.XLOOKUP(B266,'Base stats'!B:B,'Base stats'!BH:BH)^0.73)^0.6 * _xlfn.XLOOKUP(B266,'Base stats'!B:B,'Base stats'!BX:BX),0.1),0.05)
))</f>
        <v>No</v>
      </c>
      <c r="H266" s="11" t="str">
        <f>IF(G266="No","No",
MROUND(_xlfn.XLOOKUP(B266,'Base stats'!B:B,'Base stats'!BH:BH) * 0.01 * 2 + 0.05, 0.05)
)</f>
        <v>No</v>
      </c>
      <c r="I266" s="11" t="str">
        <f>IF(G266="No","No",IF(_xlfn.XLOOKUP(B266,'Base stats'!B:B,'Base stats'!U:U)="No","No",
MROUND(_xlfn.XLOOKUP(B266,'Base stats'!B:B,'Base stats'!BT:BT)/10000+0.01,0.01)
))</f>
        <v>No</v>
      </c>
      <c r="J266" s="4" t="str">
        <f>IF(G266="No","No",
MROUND(_xlfn.XLOOKUP(B266,'Base stats'!B:B,'Base stats'!BE:BE)^0.25
/((_xlfn.XLOOKUP(B266,'Base stats'!B:B,'Base stats'!BL:BL))*10)*_xlfn.XLOOKUP(_xlfn.XLOOKUP(B266,'Base stats'!B:B,'Base stats'!E:E),Groups!A:A,Groups!Q:Q)*150 + 0.5 + _xlfn.XLOOKUP(B266,'Base stats'!B:B,'Base stats'!BW:BW),
0.05))</f>
        <v>No</v>
      </c>
      <c r="K266" s="3" t="str">
        <f>IF(Animals!X266="No","No",
IF(_xlfn.XLOOKUP(_xlfn.XLOOKUP(B266,'Base stats'!B:B,'Base stats'!E:E),Groups!A:A,Groups!BD:BD)=1,
MAX(MROUND(_xlfn.XLOOKUP(B266,'Base stats'!B:B,'Base stats'!BU:BU) * _xlfn.XLOOKUP(B266,'Base stats'!B:B,'Base stats'!BQ:BQ)^0.9 / 21 *_xlfn.XLOOKUP(B266,'Base stats'!B:B,'Base stats'!BX:BX),0.1),0.05),
MAX(MROUND(((MIN(10,_xlfn.XLOOKUP(B266,'Base stats'!B:B,'Base stats'!W:W)))^0.4*_xlfn.XLOOKUP(B266,'Base stats'!B:B,'Base stats'!BI:BI)^0.73)^0.6 *_xlfn.XLOOKUP(B266,'Base stats'!B:B,'Base stats'!BX:BX),0.1),0.05)
))</f>
        <v>No</v>
      </c>
      <c r="L266" s="11" t="str">
        <f>IF(K266="No","No",
MROUND(_xlfn.XLOOKUP(B266,'Base stats'!B:B,'Base stats'!BI:BI) * 0.01 *2 + 0.05, 0.05)
)</f>
        <v>No</v>
      </c>
      <c r="M266" s="5" t="str">
        <f>IF(K266="No","No",IF(_xlfn.XLOOKUP(_xlfn.XLOOKUP(B266,'Base stats'!B:B,'Base stats'!E:E),Groups!A:A,Groups!BD:BD)=1,"No",
MROUND(_xlfn.XLOOKUP(B266,'Base stats'!B:B,'Base stats'!BU:BU)/10000+0.01,0.01)
))</f>
        <v>No</v>
      </c>
      <c r="N266" s="4" t="str">
        <f>IF(K266="No","No",
MROUND(
  _xlfn.XLOOKUP(B266,'Base stats'!B:B,'Base stats'!BC:BC)^0.25
  / (_xlfn.XLOOKUP(B266,'Base stats'!B:B,'Base stats'!BM:BM) * 10)
  * _xlfn.XLOOKUP(
      _xlfn.XLOOKUP(B266,'Base stats'!B:B,'Base stats'!E:E),
      Groups!A:A,
      Groups!V:V
    ) * 150
  + MIN(12, _xlfn.XLOOKUP(B266,'Base stats'!B:B,'Base stats'!W:W))^(1/IF(_xlfn.XLOOKUP(_xlfn.XLOOKUP(B266,'Base stats'!B:B,'Base stats'!E:E),Groups!A:A,Groups!U:U)=1,100,10)) + 0.5 + _xlfn.XLOOKUP(B266,'Base stats'!B:B,'Base stats'!BW:BW),
0.05))</f>
        <v>No</v>
      </c>
      <c r="O266" s="3">
        <f>IF(Animals!AD266="No","No",
MAX(MROUND((MIN(10,_xlfn.XLOOKUP(B266,'Base stats'!B:B,'Base stats'!V:V)*IF(_xlfn.XLOOKUP(_xlfn.XLOOKUP(B266,'Base stats'!B:B,'Base stats'!E:E),Groups!A:A,Groups!O:O)=0,1,0.33))^0.4*_xlfn.XLOOKUP(B266,'Base stats'!B:B,'Base stats'!BJ:BJ)^0.73)^0.6 *_xlfn.XLOOKUP(B266,'Base stats'!B:B,'Base stats'!BX:BX),0.1),0.05)
)</f>
        <v>31.200000000000003</v>
      </c>
      <c r="P266" s="11">
        <f>IF(O266="No","No",
MROUND(_xlfn.XLOOKUP(B266,'Base stats'!B:B,'Base stats'!BJ:BJ) * 0.01 * 2 + 0.05, 0.05)
)</f>
        <v>24.25</v>
      </c>
      <c r="Q266" s="5">
        <f>IF(O266="No","No",
MROUND(_xlfn.XLOOKUP(B266,'Base stats'!B:B,'Base stats'!BV:BV)/10000+0.01,0.01)
)</f>
        <v>8.0400000000000009</v>
      </c>
      <c r="R266" s="4">
        <f>IF(O266="No","No",
MROUND(_xlfn.XLOOKUP(B266,'Base stats'!B:B,'Base stats'!BB:BB)^0.25
/((_xlfn.XLOOKUP(B266,'Base stats'!B:B,'Base stats'!BN:BN))*10)*_xlfn.XLOOKUP(_xlfn.XLOOKUP(B266,'Base stats'!B:B,'Base stats'!E:E),Groups!A:A,Groups!Z:Z)*150 + 0.5 + _xlfn.XLOOKUP(B266,'Base stats'!B:B,'Base stats'!BW:BW),
0.05))</f>
        <v>2.85</v>
      </c>
      <c r="S266" s="3" t="str">
        <f>IF(Animals!AI266="No","No",
IF(_xlfn.XLOOKUP(B266,'Base stats'!B:B,'Base stats'!U:U)="No",
MAX(MROUND(_xlfn.XLOOKUP(B266,'Base stats'!B:B,'Base stats'!BT:BT) * _xlfn.XLOOKUP(B266,'Base stats'!B:B,'Base stats'!BP:BP)^0.9 / 21 * _xlfn.XLOOKUP(B266,'Base stats'!B:B,'Base stats'!BX:BX),0.1),0.05),
MAX(MROUND(((MIN(12,_xlfn.XLOOKUP(B266,'Base stats'!B:B,'Base stats'!U:U)))^0.4*_xlfn.XLOOKUP(B266,'Base stats'!B:B,'Base stats'!BH:BH)^0.73)^0.6 * _xlfn.XLOOKUP(B266,'Base stats'!B:B,'Base stats'!BX:BX),0.1),0.05)
))</f>
        <v>No</v>
      </c>
      <c r="T266" s="11" t="str">
        <f>IF(S266="No","No",
MROUND(_xlfn.XLOOKUP(B266,'Base stats'!B:B,'Base stats'!BH:BH) * 0.01 * 2 + 0.05, 0.05)
)</f>
        <v>No</v>
      </c>
      <c r="U266" s="5" t="str">
        <f>IF(S266="No","No",IF(_xlfn.XLOOKUP(B266,'Base stats'!B:B,'Base stats'!U:U)="No","No",
MROUND(_xlfn.XLOOKUP(B266,'Base stats'!B:B,'Base stats'!BT:BT)/10000+0.01,0.01)
))</f>
        <v>No</v>
      </c>
      <c r="V266" s="4" t="str">
        <f>IF(S266="No","No",
MROUND(_xlfn.XLOOKUP(B266,'Base stats'!B:B,'Base stats'!BF:BF)^0.25
/((_xlfn.XLOOKUP(B266,'Base stats'!B:B,'Base stats'!BO:BO))*10)*_xlfn.XLOOKUP(_xlfn.XLOOKUP(B266,'Base stats'!B:B,'Base stats'!E:E),Groups!A:A,Groups!AE:AE)*150 + 0.5 + _xlfn.XLOOKUP(B266,'Base stats'!B:B,'Base stats'!BW:BW),
0.05))</f>
        <v>No</v>
      </c>
      <c r="W266" s="8">
        <f>MROUND(_xlfn.XLOOKUP(_xlfn.XLOOKUP(B266,'Base stats'!B:B,'Base stats'!E:E),Groups!A:A,Groups!BG:BG)*_xlfn.XLOOKUP(B266,'Base stats'!B:B,'Base stats'!C:C)^-0.165,0.05)</f>
        <v>0.1</v>
      </c>
      <c r="X266" s="1">
        <f>MROUND(_xlfn.XLOOKUP(_xlfn.XLOOKUP(B266,'Base stats'!B:B,'Base stats'!E:E),Groups!A:A,Groups!BH:BH)*_xlfn.XLOOKUP(B266,'Base stats'!B:B,'Base stats'!C:C)^0.165,0.05)</f>
        <v>0.4</v>
      </c>
      <c r="Y266" s="8">
        <f>MROUND(_xlfn.XLOOKUP(_xlfn.XLOOKUP(B266,'Base stats'!B:B,'Base stats'!E:E),Groups!A:A,Groups!BI:BI)*_xlfn.XLOOKUP(B266,'Base stats'!B:B,'Base stats'!C:C)^0.165,0.05)</f>
        <v>0.05</v>
      </c>
      <c r="Z266" s="18">
        <f>MROUND(_xlfn.XLOOKUP(B266,'Base stats'!B:B,'Base stats'!AQ:AQ)*_xlfn.XLOOKUP(_xlfn.XLOOKUP(B266,'Base stats'!B:B,'Base stats'!E:E),Groups!A:A,Groups!H:H)/1000,IF((_xlfn.XLOOKUP(B266,'Base stats'!B:B,'Base stats'!AQ:AQ)*_xlfn.XLOOKUP(_xlfn.XLOOKUP(B266,'Base stats'!B:B,'Base stats'!E:E),Groups!A:A,Groups!H:H)/1000)&gt;1,0.05,0.01))</f>
        <v>1.7000000000000002</v>
      </c>
      <c r="AA266" s="18">
        <f>MROUND((1/2)*(_xlfn.XLOOKUP(_xlfn.XLOOKUP(B266,'Base stats'!B:B,'Base stats'!E:E),Groups!A:A,Groups!H:H)*_xlfn.XLOOKUP(_xlfn.XLOOKUP(B266,'Base stats'!B:B,'Base stats'!E:E),Groups!A:A,Groups!I:I))*_xlfn.XLOOKUP(B266,'Base stats'!B:B,'Base stats'!AQ:AQ)*0.01,0.05)</f>
        <v>0.15000000000000002</v>
      </c>
      <c r="AB266" s="18">
        <f>MROUND(250*(Animals!AO266+Animals!AP266),25)</f>
        <v>1125</v>
      </c>
      <c r="AC266" s="18" t="str">
        <f>_xlfn.XLOOKUP(_xlfn.XLOOKUP(B266,'Base stats'!B:B,'Base stats'!E:E),Groups!A:A,Groups!BJ:BJ)</f>
        <v>QuadrupedLow</v>
      </c>
    </row>
    <row r="267" spans="1:29" ht="16.5" thickTop="1" thickBot="1" x14ac:dyDescent="0.3">
      <c r="A267" s="16" t="str">
        <f>Animals!A267</f>
        <v>FeraliskClutchMother</v>
      </c>
      <c r="B267" s="6" t="str">
        <f>Animals!B267</f>
        <v>Araneodraco ferus (clutch mother)</v>
      </c>
      <c r="C267" s="1" t="str">
        <f>Animals!C267</f>
        <v>&lt;li&gt;AA_FeraliskClutchMother&lt;/li&gt;</v>
      </c>
      <c r="D267" s="47">
        <f>MIN(MIN(6,_xlfn.XLOOKUP(A267,Animals!A:A,Animals!AO:AO))*20,MAX(MROUND(_xlfn.XLOOKUP(B267,'Base stats'!B:B,'Base stats'!BS:BS) * (_xlfn.XLOOKUP(B267,'Base stats'!B:B,'Base stats'!AO:AO)*5%)^0.9 / 21,0.1),0.05))</f>
        <v>10.700000000000001</v>
      </c>
      <c r="E267" s="11">
        <f>MROUND(_xlfn.XLOOKUP(B267,'Base stats'!B:B,'Base stats'!BG:BG) * 0.01 * 2 + 0.01, 0.05)</f>
        <v>10.5</v>
      </c>
      <c r="F267" s="7">
        <f>MROUND(_xlfn.XLOOKUP(B267,'Base stats'!B:B,'Base stats'!BD:BD)^0.25 / (_xlfn.XLOOKUP(B267,'Base stats'!B:B,'Base stats'!BK:BK) * 10) * 150 + 0.5 + _xlfn.XLOOKUP(B267,'Base stats'!B:B,'Base stats'!BW:BW), 0.05)</f>
        <v>3.6</v>
      </c>
      <c r="G267" s="3" t="str">
        <f>IF(Animals!S267="No","No",
IF(_xlfn.XLOOKUP(B267,'Base stats'!B:B,'Base stats'!U:U)="No",
MAX(MROUND(_xlfn.XLOOKUP(B267,'Base stats'!B:B,'Base stats'!BT:BT) * _xlfn.XLOOKUP(B267,'Base stats'!B:B,'Base stats'!BP:BP)^0.9 / 21 * _xlfn.XLOOKUP(B267,'Base stats'!B:B,'Base stats'!BX:BX),0.1),0.05),
MAX(MROUND(((MIN(10,_xlfn.XLOOKUP(B267,'Base stats'!B:B,'Base stats'!U:U)))^0.4*_xlfn.XLOOKUP(B267,'Base stats'!B:B,'Base stats'!BH:BH)^0.73)^0.6 * _xlfn.XLOOKUP(B267,'Base stats'!B:B,'Base stats'!BX:BX),0.1),0.05)
))</f>
        <v>No</v>
      </c>
      <c r="H267" s="11" t="str">
        <f>IF(G267="No","No",
MROUND(_xlfn.XLOOKUP(B267,'Base stats'!B:B,'Base stats'!BH:BH) * 0.01 * 2 + 0.05, 0.05)
)</f>
        <v>No</v>
      </c>
      <c r="I267" s="11" t="str">
        <f>IF(G267="No","No",IF(_xlfn.XLOOKUP(B267,'Base stats'!B:B,'Base stats'!U:U)="No","No",
MROUND(_xlfn.XLOOKUP(B267,'Base stats'!B:B,'Base stats'!BT:BT)/10000+0.01,0.01)
))</f>
        <v>No</v>
      </c>
      <c r="J267" s="4" t="str">
        <f>IF(G267="No","No",
MROUND(_xlfn.XLOOKUP(B267,'Base stats'!B:B,'Base stats'!BE:BE)^0.25
/((_xlfn.XLOOKUP(B267,'Base stats'!B:B,'Base stats'!BL:BL))*10)*_xlfn.XLOOKUP(_xlfn.XLOOKUP(B267,'Base stats'!B:B,'Base stats'!E:E),Groups!A:A,Groups!Q:Q)*150 + 0.5 + _xlfn.XLOOKUP(B267,'Base stats'!B:B,'Base stats'!BW:BW),
0.05))</f>
        <v>No</v>
      </c>
      <c r="K267" s="3" t="str">
        <f>IF(Animals!X267="No","No",
IF(_xlfn.XLOOKUP(_xlfn.XLOOKUP(B267,'Base stats'!B:B,'Base stats'!E:E),Groups!A:A,Groups!BD:BD)=1,
MAX(MROUND(_xlfn.XLOOKUP(B267,'Base stats'!B:B,'Base stats'!BU:BU) * _xlfn.XLOOKUP(B267,'Base stats'!B:B,'Base stats'!BQ:BQ)^0.9 / 21 *_xlfn.XLOOKUP(B267,'Base stats'!B:B,'Base stats'!BX:BX),0.1),0.05),
MAX(MROUND(((MIN(10,_xlfn.XLOOKUP(B267,'Base stats'!B:B,'Base stats'!W:W)))^0.4*_xlfn.XLOOKUP(B267,'Base stats'!B:B,'Base stats'!BI:BI)^0.73)^0.6 *_xlfn.XLOOKUP(B267,'Base stats'!B:B,'Base stats'!BX:BX),0.1),0.05)
))</f>
        <v>No</v>
      </c>
      <c r="L267" s="11" t="str">
        <f>IF(K267="No","No",
MROUND(_xlfn.XLOOKUP(B267,'Base stats'!B:B,'Base stats'!BI:BI) * 0.01 *2 + 0.05, 0.05)
)</f>
        <v>No</v>
      </c>
      <c r="M267" s="5" t="str">
        <f>IF(K267="No","No",IF(_xlfn.XLOOKUP(_xlfn.XLOOKUP(B267,'Base stats'!B:B,'Base stats'!E:E),Groups!A:A,Groups!BD:BD)=1,"No",
MROUND(_xlfn.XLOOKUP(B267,'Base stats'!B:B,'Base stats'!BU:BU)/10000+0.01,0.01)
))</f>
        <v>No</v>
      </c>
      <c r="N267" s="4" t="str">
        <f>IF(K267="No","No",
MROUND(
  _xlfn.XLOOKUP(B267,'Base stats'!B:B,'Base stats'!BC:BC)^0.25
  / (_xlfn.XLOOKUP(B267,'Base stats'!B:B,'Base stats'!BM:BM) * 10)
  * _xlfn.XLOOKUP(
      _xlfn.XLOOKUP(B267,'Base stats'!B:B,'Base stats'!E:E),
      Groups!A:A,
      Groups!V:V
    ) * 150
  + MIN(12, _xlfn.XLOOKUP(B267,'Base stats'!B:B,'Base stats'!W:W))^(1/IF(_xlfn.XLOOKUP(_xlfn.XLOOKUP(B267,'Base stats'!B:B,'Base stats'!E:E),Groups!A:A,Groups!U:U)=1,100,10)) + 0.5 + _xlfn.XLOOKUP(B267,'Base stats'!B:B,'Base stats'!BW:BW),
0.05))</f>
        <v>No</v>
      </c>
      <c r="O267" s="3">
        <f>IF(Animals!AD267="No","No",
MAX(MROUND((MIN(10,_xlfn.XLOOKUP(B267,'Base stats'!B:B,'Base stats'!V:V)*IF(_xlfn.XLOOKUP(_xlfn.XLOOKUP(B267,'Base stats'!B:B,'Base stats'!E:E),Groups!A:A,Groups!O:O)=0,1,0.33))^0.4*_xlfn.XLOOKUP(B267,'Base stats'!B:B,'Base stats'!BJ:BJ)^0.73)^0.6 *_xlfn.XLOOKUP(B267,'Base stats'!B:B,'Base stats'!BX:BX),0.1),0.05)
)</f>
        <v>47.7</v>
      </c>
      <c r="P267" s="11">
        <f>IF(O267="No","No",
MROUND(_xlfn.XLOOKUP(B267,'Base stats'!B:B,'Base stats'!BJ:BJ) * 0.01 * 2 + 0.05, 0.05)
)</f>
        <v>63.5</v>
      </c>
      <c r="Q267" s="5">
        <f>IF(O267="No","No",
MROUND(_xlfn.XLOOKUP(B267,'Base stats'!B:B,'Base stats'!BV:BV)/10000+0.01,0.01)
)</f>
        <v>12.9</v>
      </c>
      <c r="R267" s="4">
        <f>IF(O267="No","No",
MROUND(_xlfn.XLOOKUP(B267,'Base stats'!B:B,'Base stats'!BB:BB)^0.25
/((_xlfn.XLOOKUP(B267,'Base stats'!B:B,'Base stats'!BN:BN))*10)*_xlfn.XLOOKUP(_xlfn.XLOOKUP(B267,'Base stats'!B:B,'Base stats'!E:E),Groups!A:A,Groups!Z:Z)*150 + 0.5 + _xlfn.XLOOKUP(B267,'Base stats'!B:B,'Base stats'!BW:BW),
0.05))</f>
        <v>3.5</v>
      </c>
      <c r="S267" s="3" t="str">
        <f>IF(Animals!AI267="No","No",
IF(_xlfn.XLOOKUP(B267,'Base stats'!B:B,'Base stats'!U:U)="No",
MAX(MROUND(_xlfn.XLOOKUP(B267,'Base stats'!B:B,'Base stats'!BT:BT) * _xlfn.XLOOKUP(B267,'Base stats'!B:B,'Base stats'!BP:BP)^0.9 / 21 * _xlfn.XLOOKUP(B267,'Base stats'!B:B,'Base stats'!BX:BX),0.1),0.05),
MAX(MROUND(((MIN(12,_xlfn.XLOOKUP(B267,'Base stats'!B:B,'Base stats'!U:U)))^0.4*_xlfn.XLOOKUP(B267,'Base stats'!B:B,'Base stats'!BH:BH)^0.73)^0.6 * _xlfn.XLOOKUP(B267,'Base stats'!B:B,'Base stats'!BX:BX),0.1),0.05)
))</f>
        <v>No</v>
      </c>
      <c r="T267" s="11" t="str">
        <f>IF(S267="No","No",
MROUND(_xlfn.XLOOKUP(B267,'Base stats'!B:B,'Base stats'!BH:BH) * 0.01 * 2 + 0.05, 0.05)
)</f>
        <v>No</v>
      </c>
      <c r="U267" s="5" t="str">
        <f>IF(S267="No","No",IF(_xlfn.XLOOKUP(B267,'Base stats'!B:B,'Base stats'!U:U)="No","No",
MROUND(_xlfn.XLOOKUP(B267,'Base stats'!B:B,'Base stats'!BT:BT)/10000+0.01,0.01)
))</f>
        <v>No</v>
      </c>
      <c r="V267" s="4" t="str">
        <f>IF(S267="No","No",
MROUND(_xlfn.XLOOKUP(B267,'Base stats'!B:B,'Base stats'!BF:BF)^0.25
/((_xlfn.XLOOKUP(B267,'Base stats'!B:B,'Base stats'!BO:BO))*10)*_xlfn.XLOOKUP(_xlfn.XLOOKUP(B267,'Base stats'!B:B,'Base stats'!E:E),Groups!A:A,Groups!AE:AE)*150 + 0.5 + _xlfn.XLOOKUP(B267,'Base stats'!B:B,'Base stats'!BW:BW),
0.05))</f>
        <v>No</v>
      </c>
      <c r="W267" s="8">
        <f>MROUND(_xlfn.XLOOKUP(_xlfn.XLOOKUP(B267,'Base stats'!B:B,'Base stats'!E:E),Groups!A:A,Groups!BG:BG)*_xlfn.XLOOKUP(B267,'Base stats'!B:B,'Base stats'!C:C)^-0.165,0.05)</f>
        <v>0.1</v>
      </c>
      <c r="X267" s="1">
        <f>MROUND(_xlfn.XLOOKUP(_xlfn.XLOOKUP(B267,'Base stats'!B:B,'Base stats'!E:E),Groups!A:A,Groups!BH:BH)*_xlfn.XLOOKUP(B267,'Base stats'!B:B,'Base stats'!C:C)^0.165,0.05)</f>
        <v>0.45</v>
      </c>
      <c r="Y267" s="8">
        <f>MROUND(_xlfn.XLOOKUP(_xlfn.XLOOKUP(B267,'Base stats'!B:B,'Base stats'!E:E),Groups!A:A,Groups!BI:BI)*_xlfn.XLOOKUP(B267,'Base stats'!B:B,'Base stats'!C:C)^0.165,0.05)</f>
        <v>0.1</v>
      </c>
      <c r="Z267" s="18">
        <f>MROUND(_xlfn.XLOOKUP(B267,'Base stats'!B:B,'Base stats'!AQ:AQ)*_xlfn.XLOOKUP(_xlfn.XLOOKUP(B267,'Base stats'!B:B,'Base stats'!E:E),Groups!A:A,Groups!H:H)/1000,IF((_xlfn.XLOOKUP(B267,'Base stats'!B:B,'Base stats'!AQ:AQ)*_xlfn.XLOOKUP(_xlfn.XLOOKUP(B267,'Base stats'!B:B,'Base stats'!E:E),Groups!A:A,Groups!H:H)/1000)&gt;1,0.05,0.01))</f>
        <v>2.5500000000000003</v>
      </c>
      <c r="AA267" s="18">
        <f>MROUND((1/2)*(_xlfn.XLOOKUP(_xlfn.XLOOKUP(B267,'Base stats'!B:B,'Base stats'!E:E),Groups!A:A,Groups!H:H)*_xlfn.XLOOKUP(_xlfn.XLOOKUP(B267,'Base stats'!B:B,'Base stats'!E:E),Groups!A:A,Groups!I:I))*_xlfn.XLOOKUP(B267,'Base stats'!B:B,'Base stats'!AQ:AQ)*0.01,0.05)</f>
        <v>0.25</v>
      </c>
      <c r="AB267" s="18">
        <f>MROUND(250*(Animals!AO267+Animals!AP267),25)</f>
        <v>1750</v>
      </c>
      <c r="AC267" s="18" t="str">
        <f>_xlfn.XLOOKUP(_xlfn.XLOOKUP(B267,'Base stats'!B:B,'Base stats'!E:E),Groups!A:A,Groups!BJ:BJ)</f>
        <v>QuadrupedLow</v>
      </c>
    </row>
    <row r="268" spans="1:29" ht="16.5" thickTop="1" thickBot="1" x14ac:dyDescent="0.3">
      <c r="A268" s="16" t="str">
        <f>Animals!A268</f>
        <v>FireWasp</v>
      </c>
      <c r="B268" s="6" t="str">
        <f>Animals!B268</f>
        <v>Vespa incendium</v>
      </c>
      <c r="C268" s="1" t="str">
        <f>Animals!C268</f>
        <v>&lt;li&gt;AA_FireWasp&lt;/li&gt;</v>
      </c>
      <c r="D268" s="47">
        <f>MIN(MIN(6,_xlfn.XLOOKUP(A268,Animals!A:A,Animals!AO:AO))*20,MAX(MROUND(_xlfn.XLOOKUP(B268,'Base stats'!B:B,'Base stats'!BS:BS) * (_xlfn.XLOOKUP(B268,'Base stats'!B:B,'Base stats'!AO:AO)*5%)^0.9 / 21,0.1),0.05))</f>
        <v>0.30000000000000004</v>
      </c>
      <c r="E268" s="11">
        <f>MROUND(_xlfn.XLOOKUP(B268,'Base stats'!B:B,'Base stats'!BG:BG) * 0.01 * 2 + 0.01, 0.05)</f>
        <v>0.25</v>
      </c>
      <c r="F268" s="7">
        <f>MROUND(_xlfn.XLOOKUP(B268,'Base stats'!B:B,'Base stats'!BD:BD)^0.25 / (_xlfn.XLOOKUP(B268,'Base stats'!B:B,'Base stats'!BK:BK) * 10) * 150 + 0.5 + _xlfn.XLOOKUP(B268,'Base stats'!B:B,'Base stats'!BW:BW), 0.05)</f>
        <v>2.15</v>
      </c>
      <c r="G268" s="3" t="str">
        <f>IF(Animals!S268="No","No",
IF(_xlfn.XLOOKUP(B268,'Base stats'!B:B,'Base stats'!U:U)="No",
MAX(MROUND(_xlfn.XLOOKUP(B268,'Base stats'!B:B,'Base stats'!BT:BT) * _xlfn.XLOOKUP(B268,'Base stats'!B:B,'Base stats'!BP:BP)^0.9 / 21 * _xlfn.XLOOKUP(B268,'Base stats'!B:B,'Base stats'!BX:BX),0.1),0.05),
MAX(MROUND(((MIN(10,_xlfn.XLOOKUP(B268,'Base stats'!B:B,'Base stats'!U:U)))^0.4*_xlfn.XLOOKUP(B268,'Base stats'!B:B,'Base stats'!BH:BH)^0.73)^0.6 * _xlfn.XLOOKUP(B268,'Base stats'!B:B,'Base stats'!BX:BX),0.1),0.05)
))</f>
        <v>No</v>
      </c>
      <c r="H268" s="11" t="str">
        <f>IF(G268="No","No",
MROUND(_xlfn.XLOOKUP(B268,'Base stats'!B:B,'Base stats'!BH:BH) * 0.01 * 2 + 0.05, 0.05)
)</f>
        <v>No</v>
      </c>
      <c r="I268" s="11" t="str">
        <f>IF(G268="No","No",IF(_xlfn.XLOOKUP(B268,'Base stats'!B:B,'Base stats'!U:U)="No","No",
MROUND(_xlfn.XLOOKUP(B268,'Base stats'!B:B,'Base stats'!BT:BT)/10000+0.01,0.01)
))</f>
        <v>No</v>
      </c>
      <c r="J268" s="4" t="str">
        <f>IF(G268="No","No",
MROUND(_xlfn.XLOOKUP(B268,'Base stats'!B:B,'Base stats'!BE:BE)^0.25
/((_xlfn.XLOOKUP(B268,'Base stats'!B:B,'Base stats'!BL:BL))*10)*_xlfn.XLOOKUP(_xlfn.XLOOKUP(B268,'Base stats'!B:B,'Base stats'!E:E),Groups!A:A,Groups!Q:Q)*150 + 0.5 + _xlfn.XLOOKUP(B268,'Base stats'!B:B,'Base stats'!BW:BW),
0.05))</f>
        <v>No</v>
      </c>
      <c r="K268" s="3">
        <f>IF(Animals!X268="No","No",
IF(_xlfn.XLOOKUP(_xlfn.XLOOKUP(B268,'Base stats'!B:B,'Base stats'!E:E),Groups!A:A,Groups!BD:BD)=1,
MAX(MROUND(_xlfn.XLOOKUP(B268,'Base stats'!B:B,'Base stats'!BU:BU) * _xlfn.XLOOKUP(B268,'Base stats'!B:B,'Base stats'!BQ:BQ)^0.9 / 21 *_xlfn.XLOOKUP(B268,'Base stats'!B:B,'Base stats'!BX:BX),0.1),0.05),
MAX(MROUND(((MIN(10,_xlfn.XLOOKUP(B268,'Base stats'!B:B,'Base stats'!W:W)))^0.4*_xlfn.XLOOKUP(B268,'Base stats'!B:B,'Base stats'!BI:BI)^0.73)^0.6 *_xlfn.XLOOKUP(B268,'Base stats'!B:B,'Base stats'!BX:BX),0.1),0.05)
))</f>
        <v>12.3</v>
      </c>
      <c r="L268" s="11">
        <f>IF(K268="No","No",
MROUND(_xlfn.XLOOKUP(B268,'Base stats'!B:B,'Base stats'!BI:BI) * 0.01 *2 + 0.05, 0.05)
)</f>
        <v>2.15</v>
      </c>
      <c r="M268" s="5">
        <f>IF(K268="No","No",IF(_xlfn.XLOOKUP(_xlfn.XLOOKUP(B268,'Base stats'!B:B,'Base stats'!E:E),Groups!A:A,Groups!BD:BD)=1,"No",
MROUND(_xlfn.XLOOKUP(B268,'Base stats'!B:B,'Base stats'!BU:BU)/10000+0.01,0.01)
))</f>
        <v>1.76</v>
      </c>
      <c r="N268" s="4">
        <f>IF(K268="No","No",
MROUND(
  _xlfn.XLOOKUP(B268,'Base stats'!B:B,'Base stats'!BC:BC)^0.25
  / (_xlfn.XLOOKUP(B268,'Base stats'!B:B,'Base stats'!BM:BM) * 10)
  * _xlfn.XLOOKUP(
      _xlfn.XLOOKUP(B268,'Base stats'!B:B,'Base stats'!E:E),
      Groups!A:A,
      Groups!V:V
    ) * 150
  + MIN(12, _xlfn.XLOOKUP(B268,'Base stats'!B:B,'Base stats'!W:W))^(1/IF(_xlfn.XLOOKUP(_xlfn.XLOOKUP(B268,'Base stats'!B:B,'Base stats'!E:E),Groups!A:A,Groups!U:U)=1,100,10)) + 0.5 + _xlfn.XLOOKUP(B268,'Base stats'!B:B,'Base stats'!BW:BW),
0.05))</f>
        <v>3.7</v>
      </c>
      <c r="O268" s="3">
        <f>IF(Animals!AD268="No","No",
MAX(MROUND((MIN(10,_xlfn.XLOOKUP(B268,'Base stats'!B:B,'Base stats'!V:V)*IF(_xlfn.XLOOKUP(_xlfn.XLOOKUP(B268,'Base stats'!B:B,'Base stats'!E:E),Groups!A:A,Groups!O:O)=0,1,0.33))^0.4*_xlfn.XLOOKUP(B268,'Base stats'!B:B,'Base stats'!BJ:BJ)^0.73)^0.6 *_xlfn.XLOOKUP(B268,'Base stats'!B:B,'Base stats'!BX:BX),0.1),0.05)
)</f>
        <v>11.5</v>
      </c>
      <c r="P268" s="11">
        <f>IF(O268="No","No",
MROUND(_xlfn.XLOOKUP(B268,'Base stats'!B:B,'Base stats'!BJ:BJ) * 0.01 * 2 + 0.05, 0.05)
)</f>
        <v>2.25</v>
      </c>
      <c r="Q268" s="5">
        <f>IF(O268="No","No",
MROUND(_xlfn.XLOOKUP(B268,'Base stats'!B:B,'Base stats'!BV:BV)/10000+0.01,0.01)
)</f>
        <v>0.26</v>
      </c>
      <c r="R268" s="4">
        <f>IF(O268="No","No",
MROUND(_xlfn.XLOOKUP(B268,'Base stats'!B:B,'Base stats'!BB:BB)^0.25
/((_xlfn.XLOOKUP(B268,'Base stats'!B:B,'Base stats'!BN:BN))*10)*_xlfn.XLOOKUP(_xlfn.XLOOKUP(B268,'Base stats'!B:B,'Base stats'!E:E),Groups!A:A,Groups!Z:Z)*150 + 0.5 + _xlfn.XLOOKUP(B268,'Base stats'!B:B,'Base stats'!BW:BW),
0.05))</f>
        <v>1.7000000000000002</v>
      </c>
      <c r="S268" s="3">
        <f>IF(Animals!AI268="No","No",
IF(_xlfn.XLOOKUP(B268,'Base stats'!B:B,'Base stats'!U:U)="No",
MAX(MROUND(_xlfn.XLOOKUP(B268,'Base stats'!B:B,'Base stats'!BT:BT) * _xlfn.XLOOKUP(B268,'Base stats'!B:B,'Base stats'!BP:BP)^0.9 / 21 * _xlfn.XLOOKUP(B268,'Base stats'!B:B,'Base stats'!BX:BX),0.1),0.05),
MAX(MROUND(((MIN(12,_xlfn.XLOOKUP(B268,'Base stats'!B:B,'Base stats'!U:U)))^0.4*_xlfn.XLOOKUP(B268,'Base stats'!B:B,'Base stats'!BH:BH)^0.73)^0.6 * _xlfn.XLOOKUP(B268,'Base stats'!B:B,'Base stats'!BX:BX),0.1),0.05)
))</f>
        <v>11.3</v>
      </c>
      <c r="T268" s="11">
        <f>IF(S268="No","No",
MROUND(_xlfn.XLOOKUP(B268,'Base stats'!B:B,'Base stats'!BH:BH) * 0.01 * 2 + 0.05, 0.05)
)</f>
        <v>1.8</v>
      </c>
      <c r="U268" s="5">
        <f>IF(S268="No","No",IF(_xlfn.XLOOKUP(B268,'Base stats'!B:B,'Base stats'!U:U)="No","No",
MROUND(_xlfn.XLOOKUP(B268,'Base stats'!B:B,'Base stats'!BT:BT)/10000+0.01,0.01)
))</f>
        <v>1.99</v>
      </c>
      <c r="V268" s="4">
        <f>IF(S268="No","No",
MROUND(_xlfn.XLOOKUP(B268,'Base stats'!B:B,'Base stats'!BF:BF)^0.25
/((_xlfn.XLOOKUP(B268,'Base stats'!B:B,'Base stats'!BO:BO))*10)*_xlfn.XLOOKUP(_xlfn.XLOOKUP(B268,'Base stats'!B:B,'Base stats'!E:E),Groups!A:A,Groups!AE:AE)*150 + 0.5 + _xlfn.XLOOKUP(B268,'Base stats'!B:B,'Base stats'!BW:BW),
0.05))</f>
        <v>2.35</v>
      </c>
      <c r="W268" s="8">
        <f>MROUND(_xlfn.XLOOKUP(_xlfn.XLOOKUP(B268,'Base stats'!B:B,'Base stats'!E:E),Groups!A:A,Groups!BG:BG)*_xlfn.XLOOKUP(B268,'Base stats'!B:B,'Base stats'!C:C)^-0.165,0.05)</f>
        <v>0.30000000000000004</v>
      </c>
      <c r="X268" s="1">
        <f>MROUND(_xlfn.XLOOKUP(_xlfn.XLOOKUP(B268,'Base stats'!B:B,'Base stats'!E:E),Groups!A:A,Groups!BH:BH)*_xlfn.XLOOKUP(B268,'Base stats'!B:B,'Base stats'!C:C)^0.165,0.05)</f>
        <v>0.25</v>
      </c>
      <c r="Y268" s="8">
        <f>MROUND(_xlfn.XLOOKUP(_xlfn.XLOOKUP(B268,'Base stats'!B:B,'Base stats'!E:E),Groups!A:A,Groups!BI:BI)*_xlfn.XLOOKUP(B268,'Base stats'!B:B,'Base stats'!C:C)^0.165,0.05)</f>
        <v>0.05</v>
      </c>
      <c r="Z268" s="18">
        <f>MROUND(_xlfn.XLOOKUP(B268,'Base stats'!B:B,'Base stats'!AQ:AQ)*_xlfn.XLOOKUP(_xlfn.XLOOKUP(B268,'Base stats'!B:B,'Base stats'!E:E),Groups!A:A,Groups!H:H)/1000,IF((_xlfn.XLOOKUP(B268,'Base stats'!B:B,'Base stats'!AQ:AQ)*_xlfn.XLOOKUP(_xlfn.XLOOKUP(B268,'Base stats'!B:B,'Base stats'!E:E),Groups!A:A,Groups!H:H)/1000)&gt;1,0.05,0.01))</f>
        <v>1.5</v>
      </c>
      <c r="AA268" s="18">
        <f>MROUND((1/2)*(_xlfn.XLOOKUP(_xlfn.XLOOKUP(B268,'Base stats'!B:B,'Base stats'!E:E),Groups!A:A,Groups!H:H)*_xlfn.XLOOKUP(_xlfn.XLOOKUP(B268,'Base stats'!B:B,'Base stats'!E:E),Groups!A:A,Groups!I:I))*_xlfn.XLOOKUP(B268,'Base stats'!B:B,'Base stats'!AQ:AQ)*0.01,0.05)</f>
        <v>0.95000000000000007</v>
      </c>
      <c r="AB268" s="18">
        <f>MROUND(250*(Animals!AO268+Animals!AP268),25)</f>
        <v>250</v>
      </c>
      <c r="AC268" s="18" t="str">
        <f>_xlfn.XLOOKUP(_xlfn.XLOOKUP(B268,'Base stats'!B:B,'Base stats'!E:E),Groups!A:A,Groups!BJ:BJ)</f>
        <v>Birdlike</v>
      </c>
    </row>
    <row r="269" spans="1:29" ht="16.5" thickTop="1" thickBot="1" x14ac:dyDescent="0.3">
      <c r="A269" s="16" t="str">
        <f>Animals!A269</f>
        <v>FissionMouse</v>
      </c>
      <c r="B269" s="6" t="str">
        <f>Animals!B269</f>
        <v>Mus fissilis</v>
      </c>
      <c r="C269" s="1" t="str">
        <f>Animals!C269</f>
        <v>&lt;li&gt;AA_FissionMouse&lt;/li&gt;</v>
      </c>
      <c r="D269" s="47">
        <f>MIN(MIN(6,_xlfn.XLOOKUP(A269,Animals!A:A,Animals!AO:AO))*20,MAX(MROUND(_xlfn.XLOOKUP(B269,'Base stats'!B:B,'Base stats'!BS:BS) * (_xlfn.XLOOKUP(B269,'Base stats'!B:B,'Base stats'!AO:AO)*5%)^0.9 / 21,0.1),0.05))</f>
        <v>0.05</v>
      </c>
      <c r="E269" s="11">
        <f>MROUND(_xlfn.XLOOKUP(B269,'Base stats'!B:B,'Base stats'!BG:BG) * 0.01 * 2 + 0.01, 0.05)</f>
        <v>0.05</v>
      </c>
      <c r="F269" s="7">
        <f>MROUND(_xlfn.XLOOKUP(B269,'Base stats'!B:B,'Base stats'!BD:BD)^0.25 / (_xlfn.XLOOKUP(B269,'Base stats'!B:B,'Base stats'!BK:BK) * 10) * 150 + 0.5 + _xlfn.XLOOKUP(B269,'Base stats'!B:B,'Base stats'!BW:BW), 0.05)</f>
        <v>1.1000000000000001</v>
      </c>
      <c r="G269" s="3" t="str">
        <f>IF(Animals!S269="No","No",
IF(_xlfn.XLOOKUP(B269,'Base stats'!B:B,'Base stats'!U:U)="No",
MAX(MROUND(_xlfn.XLOOKUP(B269,'Base stats'!B:B,'Base stats'!BT:BT) * _xlfn.XLOOKUP(B269,'Base stats'!B:B,'Base stats'!BP:BP)^0.9 / 21 * _xlfn.XLOOKUP(B269,'Base stats'!B:B,'Base stats'!BX:BX),0.1),0.05),
MAX(MROUND(((MIN(10,_xlfn.XLOOKUP(B269,'Base stats'!B:B,'Base stats'!U:U)))^0.4*_xlfn.XLOOKUP(B269,'Base stats'!B:B,'Base stats'!BH:BH)^0.73)^0.6 * _xlfn.XLOOKUP(B269,'Base stats'!B:B,'Base stats'!BX:BX),0.1),0.05)
))</f>
        <v>No</v>
      </c>
      <c r="H269" s="11" t="str">
        <f>IF(G269="No","No",
MROUND(_xlfn.XLOOKUP(B269,'Base stats'!B:B,'Base stats'!BH:BH) * 0.01 * 2 + 0.05, 0.05)
)</f>
        <v>No</v>
      </c>
      <c r="I269" s="11" t="str">
        <f>IF(G269="No","No",IF(_xlfn.XLOOKUP(B269,'Base stats'!B:B,'Base stats'!U:U)="No","No",
MROUND(_xlfn.XLOOKUP(B269,'Base stats'!B:B,'Base stats'!BT:BT)/10000+0.01,0.01)
))</f>
        <v>No</v>
      </c>
      <c r="J269" s="4" t="str">
        <f>IF(G269="No","No",
MROUND(_xlfn.XLOOKUP(B269,'Base stats'!B:B,'Base stats'!BE:BE)^0.25
/((_xlfn.XLOOKUP(B269,'Base stats'!B:B,'Base stats'!BL:BL))*10)*_xlfn.XLOOKUP(_xlfn.XLOOKUP(B269,'Base stats'!B:B,'Base stats'!E:E),Groups!A:A,Groups!Q:Q)*150 + 0.5 + _xlfn.XLOOKUP(B269,'Base stats'!B:B,'Base stats'!BW:BW),
0.05))</f>
        <v>No</v>
      </c>
      <c r="K269" s="3" t="str">
        <f>IF(Animals!X269="No","No",
IF(_xlfn.XLOOKUP(_xlfn.XLOOKUP(B269,'Base stats'!B:B,'Base stats'!E:E),Groups!A:A,Groups!BD:BD)=1,
MAX(MROUND(_xlfn.XLOOKUP(B269,'Base stats'!B:B,'Base stats'!BU:BU) * _xlfn.XLOOKUP(B269,'Base stats'!B:B,'Base stats'!BQ:BQ)^0.9 / 21 *_xlfn.XLOOKUP(B269,'Base stats'!B:B,'Base stats'!BX:BX),0.1),0.05),
MAX(MROUND(((MIN(10,_xlfn.XLOOKUP(B269,'Base stats'!B:B,'Base stats'!W:W)))^0.4*_xlfn.XLOOKUP(B269,'Base stats'!B:B,'Base stats'!BI:BI)^0.73)^0.6 *_xlfn.XLOOKUP(B269,'Base stats'!B:B,'Base stats'!BX:BX),0.1),0.05)
))</f>
        <v>No</v>
      </c>
      <c r="L269" s="11" t="str">
        <f>IF(K269="No","No",
MROUND(_xlfn.XLOOKUP(B269,'Base stats'!B:B,'Base stats'!BI:BI) * 0.01 *2 + 0.05, 0.05)
)</f>
        <v>No</v>
      </c>
      <c r="M269" s="5" t="str">
        <f>IF(K269="No","No",IF(_xlfn.XLOOKUP(_xlfn.XLOOKUP(B269,'Base stats'!B:B,'Base stats'!E:E),Groups!A:A,Groups!BD:BD)=1,"No",
MROUND(_xlfn.XLOOKUP(B269,'Base stats'!B:B,'Base stats'!BU:BU)/10000+0.01,0.01)
))</f>
        <v>No</v>
      </c>
      <c r="N269" s="4" t="str">
        <f>IF(K269="No","No",
MROUND(
  _xlfn.XLOOKUP(B269,'Base stats'!B:B,'Base stats'!BC:BC)^0.25
  / (_xlfn.XLOOKUP(B269,'Base stats'!B:B,'Base stats'!BM:BM) * 10)
  * _xlfn.XLOOKUP(
      _xlfn.XLOOKUP(B269,'Base stats'!B:B,'Base stats'!E:E),
      Groups!A:A,
      Groups!V:V
    ) * 150
  + MIN(12, _xlfn.XLOOKUP(B269,'Base stats'!B:B,'Base stats'!W:W))^(1/IF(_xlfn.XLOOKUP(_xlfn.XLOOKUP(B269,'Base stats'!B:B,'Base stats'!E:E),Groups!A:A,Groups!U:U)=1,100,10)) + 0.5 + _xlfn.XLOOKUP(B269,'Base stats'!B:B,'Base stats'!BW:BW),
0.05))</f>
        <v>No</v>
      </c>
      <c r="O269" s="3">
        <f>IF(Animals!AD269="No","No",
MAX(MROUND((MIN(10,_xlfn.XLOOKUP(B269,'Base stats'!B:B,'Base stats'!V:V)*IF(_xlfn.XLOOKUP(_xlfn.XLOOKUP(B269,'Base stats'!B:B,'Base stats'!E:E),Groups!A:A,Groups!O:O)=0,1,0.33))^0.4*_xlfn.XLOOKUP(B269,'Base stats'!B:B,'Base stats'!BJ:BJ)^0.73)^0.6 *_xlfn.XLOOKUP(B269,'Base stats'!B:B,'Base stats'!BX:BX),0.1),0.05)
)</f>
        <v>1.1000000000000001</v>
      </c>
      <c r="P269" s="11">
        <f>IF(O269="No","No",
MROUND(_xlfn.XLOOKUP(B269,'Base stats'!B:B,'Base stats'!BJ:BJ) * 0.01 * 2 + 0.05, 0.05)
)</f>
        <v>0.1</v>
      </c>
      <c r="Q269" s="5">
        <f>IF(O269="No","No",
MROUND(_xlfn.XLOOKUP(B269,'Base stats'!B:B,'Base stats'!BV:BV)/10000+0.01,0.01)
)</f>
        <v>0.03</v>
      </c>
      <c r="R269" s="4">
        <f>IF(O269="No","No",
MROUND(_xlfn.XLOOKUP(B269,'Base stats'!B:B,'Base stats'!BB:BB)^0.25
/((_xlfn.XLOOKUP(B269,'Base stats'!B:B,'Base stats'!BN:BN))*10)*_xlfn.XLOOKUP(_xlfn.XLOOKUP(B269,'Base stats'!B:B,'Base stats'!E:E),Groups!A:A,Groups!Z:Z)*150 + 0.5 + _xlfn.XLOOKUP(B269,'Base stats'!B:B,'Base stats'!BW:BW),
0.05))</f>
        <v>1.9000000000000001</v>
      </c>
      <c r="S269" s="3" t="str">
        <f>IF(Animals!AI269="No","No",
IF(_xlfn.XLOOKUP(B269,'Base stats'!B:B,'Base stats'!U:U)="No",
MAX(MROUND(_xlfn.XLOOKUP(B269,'Base stats'!B:B,'Base stats'!BT:BT) * _xlfn.XLOOKUP(B269,'Base stats'!B:B,'Base stats'!BP:BP)^0.9 / 21 * _xlfn.XLOOKUP(B269,'Base stats'!B:B,'Base stats'!BX:BX),0.1),0.05),
MAX(MROUND(((MIN(12,_xlfn.XLOOKUP(B269,'Base stats'!B:B,'Base stats'!U:U)))^0.4*_xlfn.XLOOKUP(B269,'Base stats'!B:B,'Base stats'!BH:BH)^0.73)^0.6 * _xlfn.XLOOKUP(B269,'Base stats'!B:B,'Base stats'!BX:BX),0.1),0.05)
))</f>
        <v>No</v>
      </c>
      <c r="T269" s="11" t="str">
        <f>IF(S269="No","No",
MROUND(_xlfn.XLOOKUP(B269,'Base stats'!B:B,'Base stats'!BH:BH) * 0.01 * 2 + 0.05, 0.05)
)</f>
        <v>No</v>
      </c>
      <c r="U269" s="5" t="str">
        <f>IF(S269="No","No",IF(_xlfn.XLOOKUP(B269,'Base stats'!B:B,'Base stats'!U:U)="No","No",
MROUND(_xlfn.XLOOKUP(B269,'Base stats'!B:B,'Base stats'!BT:BT)/10000+0.01,0.01)
))</f>
        <v>No</v>
      </c>
      <c r="V269" s="4" t="str">
        <f>IF(S269="No","No",
MROUND(_xlfn.XLOOKUP(B269,'Base stats'!B:B,'Base stats'!BF:BF)^0.25
/((_xlfn.XLOOKUP(B269,'Base stats'!B:B,'Base stats'!BO:BO))*10)*_xlfn.XLOOKUP(_xlfn.XLOOKUP(B269,'Base stats'!B:B,'Base stats'!E:E),Groups!A:A,Groups!AE:AE)*150 + 0.5 + _xlfn.XLOOKUP(B269,'Base stats'!B:B,'Base stats'!BW:BW),
0.05))</f>
        <v>No</v>
      </c>
      <c r="W269" s="8">
        <f>MROUND(_xlfn.XLOOKUP(_xlfn.XLOOKUP(B269,'Base stats'!B:B,'Base stats'!E:E),Groups!A:A,Groups!BG:BG)*_xlfn.XLOOKUP(B269,'Base stats'!B:B,'Base stats'!C:C)^-0.165,0.05)</f>
        <v>0.8</v>
      </c>
      <c r="X269" s="1">
        <f>MROUND(_xlfn.XLOOKUP(_xlfn.XLOOKUP(B269,'Base stats'!B:B,'Base stats'!E:E),Groups!A:A,Groups!BH:BH)*_xlfn.XLOOKUP(B269,'Base stats'!B:B,'Base stats'!C:C)^0.165,0.05)</f>
        <v>0</v>
      </c>
      <c r="Y269" s="8">
        <f>MROUND(_xlfn.XLOOKUP(_xlfn.XLOOKUP(B269,'Base stats'!B:B,'Base stats'!E:E),Groups!A:A,Groups!BI:BI)*_xlfn.XLOOKUP(B269,'Base stats'!B:B,'Base stats'!C:C)^0.165,0.05)</f>
        <v>0</v>
      </c>
      <c r="Z269" s="18">
        <f>MROUND(_xlfn.XLOOKUP(B269,'Base stats'!B:B,'Base stats'!AQ:AQ)*_xlfn.XLOOKUP(_xlfn.XLOOKUP(B269,'Base stats'!B:B,'Base stats'!E:E),Groups!A:A,Groups!H:H)/1000,IF((_xlfn.XLOOKUP(B269,'Base stats'!B:B,'Base stats'!AQ:AQ)*_xlfn.XLOOKUP(_xlfn.XLOOKUP(B269,'Base stats'!B:B,'Base stats'!E:E),Groups!A:A,Groups!H:H)/1000)&gt;1,0.05,0.01))</f>
        <v>0.01</v>
      </c>
      <c r="AA269" s="18">
        <f>MROUND((1/2)*(_xlfn.XLOOKUP(_xlfn.XLOOKUP(B269,'Base stats'!B:B,'Base stats'!E:E),Groups!A:A,Groups!H:H)*_xlfn.XLOOKUP(_xlfn.XLOOKUP(B269,'Base stats'!B:B,'Base stats'!E:E),Groups!A:A,Groups!I:I))*_xlfn.XLOOKUP(B269,'Base stats'!B:B,'Base stats'!AQ:AQ)*0.01,0.05)</f>
        <v>0.05</v>
      </c>
      <c r="AB269" s="18">
        <f>MROUND(250*(Animals!AO269+Animals!AP269),25)</f>
        <v>50</v>
      </c>
      <c r="AC269" s="18" t="str">
        <f>_xlfn.XLOOKUP(_xlfn.XLOOKUP(B269,'Base stats'!B:B,'Base stats'!E:E),Groups!A:A,Groups!BJ:BJ)</f>
        <v>QuadrupedLow</v>
      </c>
    </row>
    <row r="270" spans="1:29" ht="16.5" thickTop="1" thickBot="1" x14ac:dyDescent="0.3">
      <c r="A270" s="16" t="str">
        <f>Animals!A270</f>
        <v>FissionMouseSecond</v>
      </c>
      <c r="B270" s="6" t="str">
        <f>Animals!B270</f>
        <v>Mus fissilis (second form)</v>
      </c>
      <c r="C270" s="1" t="str">
        <f>Animals!C270</f>
        <v>&lt;li&gt;AA_FissionMouseSecond&lt;/li&gt;</v>
      </c>
      <c r="D270" s="47">
        <f>MIN(MIN(6,_xlfn.XLOOKUP(A270,Animals!A:A,Animals!AO:AO))*20,MAX(MROUND(_xlfn.XLOOKUP(B270,'Base stats'!B:B,'Base stats'!BS:BS) * (_xlfn.XLOOKUP(B270,'Base stats'!B:B,'Base stats'!AO:AO)*5%)^0.9 / 21,0.1),0.05))</f>
        <v>0.05</v>
      </c>
      <c r="E270" s="11">
        <f>MROUND(_xlfn.XLOOKUP(B270,'Base stats'!B:B,'Base stats'!BG:BG) * 0.01 * 2 + 0.01, 0.05)</f>
        <v>0.05</v>
      </c>
      <c r="F270" s="7">
        <f>MROUND(_xlfn.XLOOKUP(B270,'Base stats'!B:B,'Base stats'!BD:BD)^0.25 / (_xlfn.XLOOKUP(B270,'Base stats'!B:B,'Base stats'!BK:BK) * 10) * 150 + 0.5 + _xlfn.XLOOKUP(B270,'Base stats'!B:B,'Base stats'!BW:BW), 0.05)</f>
        <v>1.1000000000000001</v>
      </c>
      <c r="G270" s="3" t="str">
        <f>IF(Animals!S270="No","No",
IF(_xlfn.XLOOKUP(B270,'Base stats'!B:B,'Base stats'!U:U)="No",
MAX(MROUND(_xlfn.XLOOKUP(B270,'Base stats'!B:B,'Base stats'!BT:BT) * _xlfn.XLOOKUP(B270,'Base stats'!B:B,'Base stats'!BP:BP)^0.9 / 21 * _xlfn.XLOOKUP(B270,'Base stats'!B:B,'Base stats'!BX:BX),0.1),0.05),
MAX(MROUND(((MIN(10,_xlfn.XLOOKUP(B270,'Base stats'!B:B,'Base stats'!U:U)))^0.4*_xlfn.XLOOKUP(B270,'Base stats'!B:B,'Base stats'!BH:BH)^0.73)^0.6 * _xlfn.XLOOKUP(B270,'Base stats'!B:B,'Base stats'!BX:BX),0.1),0.05)
))</f>
        <v>No</v>
      </c>
      <c r="H270" s="11" t="str">
        <f>IF(G270="No","No",
MROUND(_xlfn.XLOOKUP(B270,'Base stats'!B:B,'Base stats'!BH:BH) * 0.01 * 2 + 0.05, 0.05)
)</f>
        <v>No</v>
      </c>
      <c r="I270" s="11" t="str">
        <f>IF(G270="No","No",IF(_xlfn.XLOOKUP(B270,'Base stats'!B:B,'Base stats'!U:U)="No","No",
MROUND(_xlfn.XLOOKUP(B270,'Base stats'!B:B,'Base stats'!BT:BT)/10000+0.01,0.01)
))</f>
        <v>No</v>
      </c>
      <c r="J270" s="4" t="str">
        <f>IF(G270="No","No",
MROUND(_xlfn.XLOOKUP(B270,'Base stats'!B:B,'Base stats'!BE:BE)^0.25
/((_xlfn.XLOOKUP(B270,'Base stats'!B:B,'Base stats'!BL:BL))*10)*_xlfn.XLOOKUP(_xlfn.XLOOKUP(B270,'Base stats'!B:B,'Base stats'!E:E),Groups!A:A,Groups!Q:Q)*150 + 0.5 + _xlfn.XLOOKUP(B270,'Base stats'!B:B,'Base stats'!BW:BW),
0.05))</f>
        <v>No</v>
      </c>
      <c r="K270" s="3" t="str">
        <f>IF(Animals!X270="No","No",
IF(_xlfn.XLOOKUP(_xlfn.XLOOKUP(B270,'Base stats'!B:B,'Base stats'!E:E),Groups!A:A,Groups!BD:BD)=1,
MAX(MROUND(_xlfn.XLOOKUP(B270,'Base stats'!B:B,'Base stats'!BU:BU) * _xlfn.XLOOKUP(B270,'Base stats'!B:B,'Base stats'!BQ:BQ)^0.9 / 21 *_xlfn.XLOOKUP(B270,'Base stats'!B:B,'Base stats'!BX:BX),0.1),0.05),
MAX(MROUND(((MIN(10,_xlfn.XLOOKUP(B270,'Base stats'!B:B,'Base stats'!W:W)))^0.4*_xlfn.XLOOKUP(B270,'Base stats'!B:B,'Base stats'!BI:BI)^0.73)^0.6 *_xlfn.XLOOKUP(B270,'Base stats'!B:B,'Base stats'!BX:BX),0.1),0.05)
))</f>
        <v>No</v>
      </c>
      <c r="L270" s="11" t="str">
        <f>IF(K270="No","No",
MROUND(_xlfn.XLOOKUP(B270,'Base stats'!B:B,'Base stats'!BI:BI) * 0.01 *2 + 0.05, 0.05)
)</f>
        <v>No</v>
      </c>
      <c r="M270" s="5" t="str">
        <f>IF(K270="No","No",IF(_xlfn.XLOOKUP(_xlfn.XLOOKUP(B270,'Base stats'!B:B,'Base stats'!E:E),Groups!A:A,Groups!BD:BD)=1,"No",
MROUND(_xlfn.XLOOKUP(B270,'Base stats'!B:B,'Base stats'!BU:BU)/10000+0.01,0.01)
))</f>
        <v>No</v>
      </c>
      <c r="N270" s="4" t="str">
        <f>IF(K270="No","No",
MROUND(
  _xlfn.XLOOKUP(B270,'Base stats'!B:B,'Base stats'!BC:BC)^0.25
  / (_xlfn.XLOOKUP(B270,'Base stats'!B:B,'Base stats'!BM:BM) * 10)
  * _xlfn.XLOOKUP(
      _xlfn.XLOOKUP(B270,'Base stats'!B:B,'Base stats'!E:E),
      Groups!A:A,
      Groups!V:V
    ) * 150
  + MIN(12, _xlfn.XLOOKUP(B270,'Base stats'!B:B,'Base stats'!W:W))^(1/IF(_xlfn.XLOOKUP(_xlfn.XLOOKUP(B270,'Base stats'!B:B,'Base stats'!E:E),Groups!A:A,Groups!U:U)=1,100,10)) + 0.5 + _xlfn.XLOOKUP(B270,'Base stats'!B:B,'Base stats'!BW:BW),
0.05))</f>
        <v>No</v>
      </c>
      <c r="O270" s="3">
        <f>IF(Animals!AD270="No","No",
MAX(MROUND((MIN(10,_xlfn.XLOOKUP(B270,'Base stats'!B:B,'Base stats'!V:V)*IF(_xlfn.XLOOKUP(_xlfn.XLOOKUP(B270,'Base stats'!B:B,'Base stats'!E:E),Groups!A:A,Groups!O:O)=0,1,0.33))^0.4*_xlfn.XLOOKUP(B270,'Base stats'!B:B,'Base stats'!BJ:BJ)^0.73)^0.6 *_xlfn.XLOOKUP(B270,'Base stats'!B:B,'Base stats'!BX:BX),0.1),0.05)
)</f>
        <v>1.1000000000000001</v>
      </c>
      <c r="P270" s="11">
        <f>IF(O270="No","No",
MROUND(_xlfn.XLOOKUP(B270,'Base stats'!B:B,'Base stats'!BJ:BJ) * 0.01 * 2 + 0.05, 0.05)
)</f>
        <v>0.1</v>
      </c>
      <c r="Q270" s="5">
        <f>IF(O270="No","No",
MROUND(_xlfn.XLOOKUP(B270,'Base stats'!B:B,'Base stats'!BV:BV)/10000+0.01,0.01)
)</f>
        <v>0.03</v>
      </c>
      <c r="R270" s="4">
        <f>IF(O270="No","No",
MROUND(_xlfn.XLOOKUP(B270,'Base stats'!B:B,'Base stats'!BB:BB)^0.25
/((_xlfn.XLOOKUP(B270,'Base stats'!B:B,'Base stats'!BN:BN))*10)*_xlfn.XLOOKUP(_xlfn.XLOOKUP(B270,'Base stats'!B:B,'Base stats'!E:E),Groups!A:A,Groups!Z:Z)*150 + 0.5 + _xlfn.XLOOKUP(B270,'Base stats'!B:B,'Base stats'!BW:BW),
0.05))</f>
        <v>1.85</v>
      </c>
      <c r="S270" s="3" t="str">
        <f>IF(Animals!AI270="No","No",
IF(_xlfn.XLOOKUP(B270,'Base stats'!B:B,'Base stats'!U:U)="No",
MAX(MROUND(_xlfn.XLOOKUP(B270,'Base stats'!B:B,'Base stats'!BT:BT) * _xlfn.XLOOKUP(B270,'Base stats'!B:B,'Base stats'!BP:BP)^0.9 / 21 * _xlfn.XLOOKUP(B270,'Base stats'!B:B,'Base stats'!BX:BX),0.1),0.05),
MAX(MROUND(((MIN(12,_xlfn.XLOOKUP(B270,'Base stats'!B:B,'Base stats'!U:U)))^0.4*_xlfn.XLOOKUP(B270,'Base stats'!B:B,'Base stats'!BH:BH)^0.73)^0.6 * _xlfn.XLOOKUP(B270,'Base stats'!B:B,'Base stats'!BX:BX),0.1),0.05)
))</f>
        <v>No</v>
      </c>
      <c r="T270" s="11" t="str">
        <f>IF(S270="No","No",
MROUND(_xlfn.XLOOKUP(B270,'Base stats'!B:B,'Base stats'!BH:BH) * 0.01 * 2 + 0.05, 0.05)
)</f>
        <v>No</v>
      </c>
      <c r="U270" s="5" t="str">
        <f>IF(S270="No","No",IF(_xlfn.XLOOKUP(B270,'Base stats'!B:B,'Base stats'!U:U)="No","No",
MROUND(_xlfn.XLOOKUP(B270,'Base stats'!B:B,'Base stats'!BT:BT)/10000+0.01,0.01)
))</f>
        <v>No</v>
      </c>
      <c r="V270" s="4" t="str">
        <f>IF(S270="No","No",
MROUND(_xlfn.XLOOKUP(B270,'Base stats'!B:B,'Base stats'!BF:BF)^0.25
/((_xlfn.XLOOKUP(B270,'Base stats'!B:B,'Base stats'!BO:BO))*10)*_xlfn.XLOOKUP(_xlfn.XLOOKUP(B270,'Base stats'!B:B,'Base stats'!E:E),Groups!A:A,Groups!AE:AE)*150 + 0.5 + _xlfn.XLOOKUP(B270,'Base stats'!B:B,'Base stats'!BW:BW),
0.05))</f>
        <v>No</v>
      </c>
      <c r="W270" s="8">
        <f>MROUND(_xlfn.XLOOKUP(_xlfn.XLOOKUP(B270,'Base stats'!B:B,'Base stats'!E:E),Groups!A:A,Groups!BG:BG)*_xlfn.XLOOKUP(B270,'Base stats'!B:B,'Base stats'!C:C)^-0.165,0.05)</f>
        <v>0.85000000000000009</v>
      </c>
      <c r="X270" s="1">
        <f>MROUND(_xlfn.XLOOKUP(_xlfn.XLOOKUP(B270,'Base stats'!B:B,'Base stats'!E:E),Groups!A:A,Groups!BH:BH)*_xlfn.XLOOKUP(B270,'Base stats'!B:B,'Base stats'!C:C)^0.165,0.05)</f>
        <v>0</v>
      </c>
      <c r="Y270" s="8">
        <f>MROUND(_xlfn.XLOOKUP(_xlfn.XLOOKUP(B270,'Base stats'!B:B,'Base stats'!E:E),Groups!A:A,Groups!BI:BI)*_xlfn.XLOOKUP(B270,'Base stats'!B:B,'Base stats'!C:C)^0.165,0.05)</f>
        <v>0</v>
      </c>
      <c r="Z270" s="18">
        <f>MROUND(_xlfn.XLOOKUP(B270,'Base stats'!B:B,'Base stats'!AQ:AQ)*_xlfn.XLOOKUP(_xlfn.XLOOKUP(B270,'Base stats'!B:B,'Base stats'!E:E),Groups!A:A,Groups!H:H)/1000,IF((_xlfn.XLOOKUP(B270,'Base stats'!B:B,'Base stats'!AQ:AQ)*_xlfn.XLOOKUP(_xlfn.XLOOKUP(B270,'Base stats'!B:B,'Base stats'!E:E),Groups!A:A,Groups!H:H)/1000)&gt;1,0.05,0.01))</f>
        <v>0.01</v>
      </c>
      <c r="AA270" s="18">
        <f>MROUND((1/2)*(_xlfn.XLOOKUP(_xlfn.XLOOKUP(B270,'Base stats'!B:B,'Base stats'!E:E),Groups!A:A,Groups!H:H)*_xlfn.XLOOKUP(_xlfn.XLOOKUP(B270,'Base stats'!B:B,'Base stats'!E:E),Groups!A:A,Groups!I:I))*_xlfn.XLOOKUP(B270,'Base stats'!B:B,'Base stats'!AQ:AQ)*0.01,0.05)</f>
        <v>0.05</v>
      </c>
      <c r="AB270" s="18">
        <f>MROUND(250*(Animals!AO270+Animals!AP270),25)</f>
        <v>50</v>
      </c>
      <c r="AC270" s="18" t="str">
        <f>_xlfn.XLOOKUP(_xlfn.XLOOKUP(B270,'Base stats'!B:B,'Base stats'!E:E),Groups!A:A,Groups!BJ:BJ)</f>
        <v>QuadrupedLow</v>
      </c>
    </row>
    <row r="271" spans="1:29" ht="16.5" thickTop="1" thickBot="1" x14ac:dyDescent="0.3">
      <c r="A271" s="16" t="str">
        <f>Animals!A271</f>
        <v>FissionMouseThird</v>
      </c>
      <c r="B271" s="6" t="str">
        <f>Animals!B271</f>
        <v>Mus fissilis (third form)</v>
      </c>
      <c r="C271" s="1" t="str">
        <f>Animals!C271</f>
        <v>&lt;li&gt;AA_FissionMouseThird&lt;/li&gt;</v>
      </c>
      <c r="D271" s="47">
        <f>MIN(MIN(6,_xlfn.XLOOKUP(A271,Animals!A:A,Animals!AO:AO))*20,MAX(MROUND(_xlfn.XLOOKUP(B271,'Base stats'!B:B,'Base stats'!BS:BS) * (_xlfn.XLOOKUP(B271,'Base stats'!B:B,'Base stats'!AO:AO)*5%)^0.9 / 21,0.1),0.05))</f>
        <v>0.05</v>
      </c>
      <c r="E271" s="11">
        <f>MROUND(_xlfn.XLOOKUP(B271,'Base stats'!B:B,'Base stats'!BG:BG) * 0.01 * 2 + 0.01, 0.05)</f>
        <v>0</v>
      </c>
      <c r="F271" s="7">
        <f>MROUND(_xlfn.XLOOKUP(B271,'Base stats'!B:B,'Base stats'!BD:BD)^0.25 / (_xlfn.XLOOKUP(B271,'Base stats'!B:B,'Base stats'!BK:BK) * 10) * 150 + 0.5 + _xlfn.XLOOKUP(B271,'Base stats'!B:B,'Base stats'!BW:BW), 0.05)</f>
        <v>1.1000000000000001</v>
      </c>
      <c r="G271" s="3" t="str">
        <f>IF(Animals!S271="No","No",
IF(_xlfn.XLOOKUP(B271,'Base stats'!B:B,'Base stats'!U:U)="No",
MAX(MROUND(_xlfn.XLOOKUP(B271,'Base stats'!B:B,'Base stats'!BT:BT) * _xlfn.XLOOKUP(B271,'Base stats'!B:B,'Base stats'!BP:BP)^0.9 / 21 * _xlfn.XLOOKUP(B271,'Base stats'!B:B,'Base stats'!BX:BX),0.1),0.05),
MAX(MROUND(((MIN(10,_xlfn.XLOOKUP(B271,'Base stats'!B:B,'Base stats'!U:U)))^0.4*_xlfn.XLOOKUP(B271,'Base stats'!B:B,'Base stats'!BH:BH)^0.73)^0.6 * _xlfn.XLOOKUP(B271,'Base stats'!B:B,'Base stats'!BX:BX),0.1),0.05)
))</f>
        <v>No</v>
      </c>
      <c r="H271" s="11" t="str">
        <f>IF(G271="No","No",
MROUND(_xlfn.XLOOKUP(B271,'Base stats'!B:B,'Base stats'!BH:BH) * 0.01 * 2 + 0.05, 0.05)
)</f>
        <v>No</v>
      </c>
      <c r="I271" s="11" t="str">
        <f>IF(G271="No","No",IF(_xlfn.XLOOKUP(B271,'Base stats'!B:B,'Base stats'!U:U)="No","No",
MROUND(_xlfn.XLOOKUP(B271,'Base stats'!B:B,'Base stats'!BT:BT)/10000+0.01,0.01)
))</f>
        <v>No</v>
      </c>
      <c r="J271" s="4" t="str">
        <f>IF(G271="No","No",
MROUND(_xlfn.XLOOKUP(B271,'Base stats'!B:B,'Base stats'!BE:BE)^0.25
/((_xlfn.XLOOKUP(B271,'Base stats'!B:B,'Base stats'!BL:BL))*10)*_xlfn.XLOOKUP(_xlfn.XLOOKUP(B271,'Base stats'!B:B,'Base stats'!E:E),Groups!A:A,Groups!Q:Q)*150 + 0.5 + _xlfn.XLOOKUP(B271,'Base stats'!B:B,'Base stats'!BW:BW),
0.05))</f>
        <v>No</v>
      </c>
      <c r="K271" s="3" t="str">
        <f>IF(Animals!X271="No","No",
IF(_xlfn.XLOOKUP(_xlfn.XLOOKUP(B271,'Base stats'!B:B,'Base stats'!E:E),Groups!A:A,Groups!BD:BD)=1,
MAX(MROUND(_xlfn.XLOOKUP(B271,'Base stats'!B:B,'Base stats'!BU:BU) * _xlfn.XLOOKUP(B271,'Base stats'!B:B,'Base stats'!BQ:BQ)^0.9 / 21 *_xlfn.XLOOKUP(B271,'Base stats'!B:B,'Base stats'!BX:BX),0.1),0.05),
MAX(MROUND(((MIN(10,_xlfn.XLOOKUP(B271,'Base stats'!B:B,'Base stats'!W:W)))^0.4*_xlfn.XLOOKUP(B271,'Base stats'!B:B,'Base stats'!BI:BI)^0.73)^0.6 *_xlfn.XLOOKUP(B271,'Base stats'!B:B,'Base stats'!BX:BX),0.1),0.05)
))</f>
        <v>No</v>
      </c>
      <c r="L271" s="11" t="str">
        <f>IF(K271="No","No",
MROUND(_xlfn.XLOOKUP(B271,'Base stats'!B:B,'Base stats'!BI:BI) * 0.01 *2 + 0.05, 0.05)
)</f>
        <v>No</v>
      </c>
      <c r="M271" s="5" t="str">
        <f>IF(K271="No","No",IF(_xlfn.XLOOKUP(_xlfn.XLOOKUP(B271,'Base stats'!B:B,'Base stats'!E:E),Groups!A:A,Groups!BD:BD)=1,"No",
MROUND(_xlfn.XLOOKUP(B271,'Base stats'!B:B,'Base stats'!BU:BU)/10000+0.01,0.01)
))</f>
        <v>No</v>
      </c>
      <c r="N271" s="4" t="str">
        <f>IF(K271="No","No",
MROUND(
  _xlfn.XLOOKUP(B271,'Base stats'!B:B,'Base stats'!BC:BC)^0.25
  / (_xlfn.XLOOKUP(B271,'Base stats'!B:B,'Base stats'!BM:BM) * 10)
  * _xlfn.XLOOKUP(
      _xlfn.XLOOKUP(B271,'Base stats'!B:B,'Base stats'!E:E),
      Groups!A:A,
      Groups!V:V
    ) * 150
  + MIN(12, _xlfn.XLOOKUP(B271,'Base stats'!B:B,'Base stats'!W:W))^(1/IF(_xlfn.XLOOKUP(_xlfn.XLOOKUP(B271,'Base stats'!B:B,'Base stats'!E:E),Groups!A:A,Groups!U:U)=1,100,10)) + 0.5 + _xlfn.XLOOKUP(B271,'Base stats'!B:B,'Base stats'!BW:BW),
0.05))</f>
        <v>No</v>
      </c>
      <c r="O271" s="3">
        <f>IF(Animals!AD271="No","No",
MAX(MROUND((MIN(10,_xlfn.XLOOKUP(B271,'Base stats'!B:B,'Base stats'!V:V)*IF(_xlfn.XLOOKUP(_xlfn.XLOOKUP(B271,'Base stats'!B:B,'Base stats'!E:E),Groups!A:A,Groups!O:O)=0,1,0.33))^0.4*_xlfn.XLOOKUP(B271,'Base stats'!B:B,'Base stats'!BJ:BJ)^0.73)^0.6 *_xlfn.XLOOKUP(B271,'Base stats'!B:B,'Base stats'!BX:BX),0.1),0.05)
)</f>
        <v>1</v>
      </c>
      <c r="P271" s="11">
        <f>IF(O271="No","No",
MROUND(_xlfn.XLOOKUP(B271,'Base stats'!B:B,'Base stats'!BJ:BJ) * 0.01 * 2 + 0.05, 0.05)
)</f>
        <v>0.1</v>
      </c>
      <c r="Q271" s="5">
        <f>IF(O271="No","No",
MROUND(_xlfn.XLOOKUP(B271,'Base stats'!B:B,'Base stats'!BV:BV)/10000+0.01,0.01)
)</f>
        <v>0.03</v>
      </c>
      <c r="R271" s="4">
        <f>IF(O271="No","No",
MROUND(_xlfn.XLOOKUP(B271,'Base stats'!B:B,'Base stats'!BB:BB)^0.25
/((_xlfn.XLOOKUP(B271,'Base stats'!B:B,'Base stats'!BN:BN))*10)*_xlfn.XLOOKUP(_xlfn.XLOOKUP(B271,'Base stats'!B:B,'Base stats'!E:E),Groups!A:A,Groups!Z:Z)*150 + 0.5 + _xlfn.XLOOKUP(B271,'Base stats'!B:B,'Base stats'!BW:BW),
0.05))</f>
        <v>1.85</v>
      </c>
      <c r="S271" s="3" t="str">
        <f>IF(Animals!AI271="No","No",
IF(_xlfn.XLOOKUP(B271,'Base stats'!B:B,'Base stats'!U:U)="No",
MAX(MROUND(_xlfn.XLOOKUP(B271,'Base stats'!B:B,'Base stats'!BT:BT) * _xlfn.XLOOKUP(B271,'Base stats'!B:B,'Base stats'!BP:BP)^0.9 / 21 * _xlfn.XLOOKUP(B271,'Base stats'!B:B,'Base stats'!BX:BX),0.1),0.05),
MAX(MROUND(((MIN(12,_xlfn.XLOOKUP(B271,'Base stats'!B:B,'Base stats'!U:U)))^0.4*_xlfn.XLOOKUP(B271,'Base stats'!B:B,'Base stats'!BH:BH)^0.73)^0.6 * _xlfn.XLOOKUP(B271,'Base stats'!B:B,'Base stats'!BX:BX),0.1),0.05)
))</f>
        <v>No</v>
      </c>
      <c r="T271" s="11" t="str">
        <f>IF(S271="No","No",
MROUND(_xlfn.XLOOKUP(B271,'Base stats'!B:B,'Base stats'!BH:BH) * 0.01 * 2 + 0.05, 0.05)
)</f>
        <v>No</v>
      </c>
      <c r="U271" s="5" t="str">
        <f>IF(S271="No","No",IF(_xlfn.XLOOKUP(B271,'Base stats'!B:B,'Base stats'!U:U)="No","No",
MROUND(_xlfn.XLOOKUP(B271,'Base stats'!B:B,'Base stats'!BT:BT)/10000+0.01,0.01)
))</f>
        <v>No</v>
      </c>
      <c r="V271" s="4" t="str">
        <f>IF(S271="No","No",
MROUND(_xlfn.XLOOKUP(B271,'Base stats'!B:B,'Base stats'!BF:BF)^0.25
/((_xlfn.XLOOKUP(B271,'Base stats'!B:B,'Base stats'!BO:BO))*10)*_xlfn.XLOOKUP(_xlfn.XLOOKUP(B271,'Base stats'!B:B,'Base stats'!E:E),Groups!A:A,Groups!AE:AE)*150 + 0.5 + _xlfn.XLOOKUP(B271,'Base stats'!B:B,'Base stats'!BW:BW),
0.05))</f>
        <v>No</v>
      </c>
      <c r="W271" s="8">
        <f>MROUND(_xlfn.XLOOKUP(_xlfn.XLOOKUP(B271,'Base stats'!B:B,'Base stats'!E:E),Groups!A:A,Groups!BG:BG)*_xlfn.XLOOKUP(B271,'Base stats'!B:B,'Base stats'!C:C)^-0.165,0.05)</f>
        <v>0.85000000000000009</v>
      </c>
      <c r="X271" s="1">
        <f>MROUND(_xlfn.XLOOKUP(_xlfn.XLOOKUP(B271,'Base stats'!B:B,'Base stats'!E:E),Groups!A:A,Groups!BH:BH)*_xlfn.XLOOKUP(B271,'Base stats'!B:B,'Base stats'!C:C)^0.165,0.05)</f>
        <v>0</v>
      </c>
      <c r="Y271" s="8">
        <f>MROUND(_xlfn.XLOOKUP(_xlfn.XLOOKUP(B271,'Base stats'!B:B,'Base stats'!E:E),Groups!A:A,Groups!BI:BI)*_xlfn.XLOOKUP(B271,'Base stats'!B:B,'Base stats'!C:C)^0.165,0.05)</f>
        <v>0</v>
      </c>
      <c r="Z271" s="18">
        <f>MROUND(_xlfn.XLOOKUP(B271,'Base stats'!B:B,'Base stats'!AQ:AQ)*_xlfn.XLOOKUP(_xlfn.XLOOKUP(B271,'Base stats'!B:B,'Base stats'!E:E),Groups!A:A,Groups!H:H)/1000,IF((_xlfn.XLOOKUP(B271,'Base stats'!B:B,'Base stats'!AQ:AQ)*_xlfn.XLOOKUP(_xlfn.XLOOKUP(B271,'Base stats'!B:B,'Base stats'!E:E),Groups!A:A,Groups!H:H)/1000)&gt;1,0.05,0.01))</f>
        <v>0.01</v>
      </c>
      <c r="AA271" s="18">
        <f>MROUND((1/2)*(_xlfn.XLOOKUP(_xlfn.XLOOKUP(B271,'Base stats'!B:B,'Base stats'!E:E),Groups!A:A,Groups!H:H)*_xlfn.XLOOKUP(_xlfn.XLOOKUP(B271,'Base stats'!B:B,'Base stats'!E:E),Groups!A:A,Groups!I:I))*_xlfn.XLOOKUP(B271,'Base stats'!B:B,'Base stats'!AQ:AQ)*0.01,0.05)</f>
        <v>0.05</v>
      </c>
      <c r="AB271" s="18">
        <f>MROUND(250*(Animals!AO271+Animals!AP271),25)</f>
        <v>50</v>
      </c>
      <c r="AC271" s="18" t="str">
        <f>_xlfn.XLOOKUP(_xlfn.XLOOKUP(B271,'Base stats'!B:B,'Base stats'!E:E),Groups!A:A,Groups!BJ:BJ)</f>
        <v>QuadrupedLow</v>
      </c>
    </row>
    <row r="272" spans="1:29" ht="16.5" thickTop="1" thickBot="1" x14ac:dyDescent="0.3">
      <c r="A272" s="16" t="str">
        <f>Animals!A272</f>
        <v>FlamingoPhoenix</v>
      </c>
      <c r="B272" s="6" t="str">
        <f>Animals!B272</f>
        <v>Phoenicopterus phoenix</v>
      </c>
      <c r="C272" s="1" t="str">
        <f>Animals!C272</f>
        <v>&lt;li&gt;AA_FlamingoPhoenix&lt;/li&gt;</v>
      </c>
      <c r="D272" s="47">
        <f>MIN(MIN(6,_xlfn.XLOOKUP(A272,Animals!A:A,Animals!AO:AO))*20,MAX(MROUND(_xlfn.XLOOKUP(B272,'Base stats'!B:B,'Base stats'!BS:BS) * (_xlfn.XLOOKUP(B272,'Base stats'!B:B,'Base stats'!AO:AO)*5%)^0.9 / 21,0.1),0.05))</f>
        <v>0.2</v>
      </c>
      <c r="E272" s="11">
        <f>MROUND(_xlfn.XLOOKUP(B272,'Base stats'!B:B,'Base stats'!BG:BG) * 0.01 * 2 + 0.01, 0.05)</f>
        <v>0.1</v>
      </c>
      <c r="F272" s="7">
        <f>MROUND(_xlfn.XLOOKUP(B272,'Base stats'!B:B,'Base stats'!BD:BD)^0.25 / (_xlfn.XLOOKUP(B272,'Base stats'!B:B,'Base stats'!BK:BK) * 10) * 150 + 0.5 + _xlfn.XLOOKUP(B272,'Base stats'!B:B,'Base stats'!BW:BW), 0.05)</f>
        <v>1.35</v>
      </c>
      <c r="G272" s="3" t="str">
        <f>IF(Animals!S272="No","No",
IF(_xlfn.XLOOKUP(B272,'Base stats'!B:B,'Base stats'!U:U)="No",
MAX(MROUND(_xlfn.XLOOKUP(B272,'Base stats'!B:B,'Base stats'!BT:BT) * _xlfn.XLOOKUP(B272,'Base stats'!B:B,'Base stats'!BP:BP)^0.9 / 21 * _xlfn.XLOOKUP(B272,'Base stats'!B:B,'Base stats'!BX:BX),0.1),0.05),
MAX(MROUND(((MIN(10,_xlfn.XLOOKUP(B272,'Base stats'!B:B,'Base stats'!U:U)))^0.4*_xlfn.XLOOKUP(B272,'Base stats'!B:B,'Base stats'!BH:BH)^0.73)^0.6 * _xlfn.XLOOKUP(B272,'Base stats'!B:B,'Base stats'!BX:BX),0.1),0.05)
))</f>
        <v>No</v>
      </c>
      <c r="H272" s="11" t="str">
        <f>IF(G272="No","No",
MROUND(_xlfn.XLOOKUP(B272,'Base stats'!B:B,'Base stats'!BH:BH) * 0.01 * 2 + 0.05, 0.05)
)</f>
        <v>No</v>
      </c>
      <c r="I272" s="11" t="str">
        <f>IF(G272="No","No",IF(_xlfn.XLOOKUP(B272,'Base stats'!B:B,'Base stats'!U:U)="No","No",
MROUND(_xlfn.XLOOKUP(B272,'Base stats'!B:B,'Base stats'!BT:BT)/10000+0.01,0.01)
))</f>
        <v>No</v>
      </c>
      <c r="J272" s="4" t="str">
        <f>IF(G272="No","No",
MROUND(_xlfn.XLOOKUP(B272,'Base stats'!B:B,'Base stats'!BE:BE)^0.25
/((_xlfn.XLOOKUP(B272,'Base stats'!B:B,'Base stats'!BL:BL))*10)*_xlfn.XLOOKUP(_xlfn.XLOOKUP(B272,'Base stats'!B:B,'Base stats'!E:E),Groups!A:A,Groups!Q:Q)*150 + 0.5 + _xlfn.XLOOKUP(B272,'Base stats'!B:B,'Base stats'!BW:BW),
0.05))</f>
        <v>No</v>
      </c>
      <c r="K272" s="3" t="str">
        <f>IF(Animals!X272="No","No",
IF(_xlfn.XLOOKUP(_xlfn.XLOOKUP(B272,'Base stats'!B:B,'Base stats'!E:E),Groups!A:A,Groups!BD:BD)=1,
MAX(MROUND(_xlfn.XLOOKUP(B272,'Base stats'!B:B,'Base stats'!BU:BU) * _xlfn.XLOOKUP(B272,'Base stats'!B:B,'Base stats'!BQ:BQ)^0.9 / 21 *_xlfn.XLOOKUP(B272,'Base stats'!B:B,'Base stats'!BX:BX),0.1),0.05),
MAX(MROUND(((MIN(10,_xlfn.XLOOKUP(B272,'Base stats'!B:B,'Base stats'!W:W)))^0.4*_xlfn.XLOOKUP(B272,'Base stats'!B:B,'Base stats'!BI:BI)^0.73)^0.6 *_xlfn.XLOOKUP(B272,'Base stats'!B:B,'Base stats'!BX:BX),0.1),0.05)
))</f>
        <v>No</v>
      </c>
      <c r="L272" s="11" t="str">
        <f>IF(K272="No","No",
MROUND(_xlfn.XLOOKUP(B272,'Base stats'!B:B,'Base stats'!BI:BI) * 0.01 *2 + 0.05, 0.05)
)</f>
        <v>No</v>
      </c>
      <c r="M272" s="5" t="str">
        <f>IF(K272="No","No",IF(_xlfn.XLOOKUP(_xlfn.XLOOKUP(B272,'Base stats'!B:B,'Base stats'!E:E),Groups!A:A,Groups!BD:BD)=1,"No",
MROUND(_xlfn.XLOOKUP(B272,'Base stats'!B:B,'Base stats'!BU:BU)/10000+0.01,0.01)
))</f>
        <v>No</v>
      </c>
      <c r="N272" s="4" t="str">
        <f>IF(K272="No","No",
MROUND(
  _xlfn.XLOOKUP(B272,'Base stats'!B:B,'Base stats'!BC:BC)^0.25
  / (_xlfn.XLOOKUP(B272,'Base stats'!B:B,'Base stats'!BM:BM) * 10)
  * _xlfn.XLOOKUP(
      _xlfn.XLOOKUP(B272,'Base stats'!B:B,'Base stats'!E:E),
      Groups!A:A,
      Groups!V:V
    ) * 150
  + MIN(12, _xlfn.XLOOKUP(B272,'Base stats'!B:B,'Base stats'!W:W))^(1/IF(_xlfn.XLOOKUP(_xlfn.XLOOKUP(B272,'Base stats'!B:B,'Base stats'!E:E),Groups!A:A,Groups!U:U)=1,100,10)) + 0.5 + _xlfn.XLOOKUP(B272,'Base stats'!B:B,'Base stats'!BW:BW),
0.05))</f>
        <v>No</v>
      </c>
      <c r="O272" s="3">
        <f>IF(Animals!AD272="No","No",
MAX(MROUND((MIN(10,_xlfn.XLOOKUP(B272,'Base stats'!B:B,'Base stats'!V:V)*IF(_xlfn.XLOOKUP(_xlfn.XLOOKUP(B272,'Base stats'!B:B,'Base stats'!E:E),Groups!A:A,Groups!O:O)=0,1,0.33))^0.4*_xlfn.XLOOKUP(B272,'Base stats'!B:B,'Base stats'!BJ:BJ)^0.73)^0.6 *_xlfn.XLOOKUP(B272,'Base stats'!B:B,'Base stats'!BX:BX),0.1),0.05)
)</f>
        <v>1.7000000000000002</v>
      </c>
      <c r="P272" s="11">
        <f>IF(O272="No","No",
MROUND(_xlfn.XLOOKUP(B272,'Base stats'!B:B,'Base stats'!BJ:BJ) * 0.01 * 2 + 0.05, 0.05)
)</f>
        <v>0.1</v>
      </c>
      <c r="Q272" s="5">
        <f>IF(O272="No","No",
MROUND(_xlfn.XLOOKUP(B272,'Base stats'!B:B,'Base stats'!BV:BV)/10000+0.01,0.01)
)</f>
        <v>0.02</v>
      </c>
      <c r="R272" s="4">
        <f>IF(O272="No","No",
MROUND(_xlfn.XLOOKUP(B272,'Base stats'!B:B,'Base stats'!BB:BB)^0.25
/((_xlfn.XLOOKUP(B272,'Base stats'!B:B,'Base stats'!BN:BN))*10)*_xlfn.XLOOKUP(_xlfn.XLOOKUP(B272,'Base stats'!B:B,'Base stats'!E:E),Groups!A:A,Groups!Z:Z)*150 + 0.5 + _xlfn.XLOOKUP(B272,'Base stats'!B:B,'Base stats'!BW:BW),
0.05))</f>
        <v>1.85</v>
      </c>
      <c r="S272" s="3" t="str">
        <f>IF(Animals!AI272="No","No",
IF(_xlfn.XLOOKUP(B272,'Base stats'!B:B,'Base stats'!U:U)="No",
MAX(MROUND(_xlfn.XLOOKUP(B272,'Base stats'!B:B,'Base stats'!BT:BT) * _xlfn.XLOOKUP(B272,'Base stats'!B:B,'Base stats'!BP:BP)^0.9 / 21 * _xlfn.XLOOKUP(B272,'Base stats'!B:B,'Base stats'!BX:BX),0.1),0.05),
MAX(MROUND(((MIN(12,_xlfn.XLOOKUP(B272,'Base stats'!B:B,'Base stats'!U:U)))^0.4*_xlfn.XLOOKUP(B272,'Base stats'!B:B,'Base stats'!BH:BH)^0.73)^0.6 * _xlfn.XLOOKUP(B272,'Base stats'!B:B,'Base stats'!BX:BX),0.1),0.05)
))</f>
        <v>No</v>
      </c>
      <c r="T272" s="11" t="str">
        <f>IF(S272="No","No",
MROUND(_xlfn.XLOOKUP(B272,'Base stats'!B:B,'Base stats'!BH:BH) * 0.01 * 2 + 0.05, 0.05)
)</f>
        <v>No</v>
      </c>
      <c r="U272" s="5" t="str">
        <f>IF(S272="No","No",IF(_xlfn.XLOOKUP(B272,'Base stats'!B:B,'Base stats'!U:U)="No","No",
MROUND(_xlfn.XLOOKUP(B272,'Base stats'!B:B,'Base stats'!BT:BT)/10000+0.01,0.01)
))</f>
        <v>No</v>
      </c>
      <c r="V272" s="4" t="str">
        <f>IF(S272="No","No",
MROUND(_xlfn.XLOOKUP(B272,'Base stats'!B:B,'Base stats'!BF:BF)^0.25
/((_xlfn.XLOOKUP(B272,'Base stats'!B:B,'Base stats'!BO:BO))*10)*_xlfn.XLOOKUP(_xlfn.XLOOKUP(B272,'Base stats'!B:B,'Base stats'!E:E),Groups!A:A,Groups!AE:AE)*150 + 0.5 + _xlfn.XLOOKUP(B272,'Base stats'!B:B,'Base stats'!BW:BW),
0.05))</f>
        <v>No</v>
      </c>
      <c r="W272" s="8">
        <f>MROUND(_xlfn.XLOOKUP(_xlfn.XLOOKUP(B272,'Base stats'!B:B,'Base stats'!E:E),Groups!A:A,Groups!BG:BG)*_xlfn.XLOOKUP(B272,'Base stats'!B:B,'Base stats'!C:C)^-0.165,0.05)</f>
        <v>0.8</v>
      </c>
      <c r="X272" s="1">
        <f>MROUND(_xlfn.XLOOKUP(_xlfn.XLOOKUP(B272,'Base stats'!B:B,'Base stats'!E:E),Groups!A:A,Groups!BH:BH)*_xlfn.XLOOKUP(B272,'Base stats'!B:B,'Base stats'!C:C)^0.165,0.05)</f>
        <v>0</v>
      </c>
      <c r="Y272" s="8">
        <f>MROUND(_xlfn.XLOOKUP(_xlfn.XLOOKUP(B272,'Base stats'!B:B,'Base stats'!E:E),Groups!A:A,Groups!BI:BI)*_xlfn.XLOOKUP(B272,'Base stats'!B:B,'Base stats'!C:C)^0.165,0.05)</f>
        <v>0</v>
      </c>
      <c r="Z272" s="18">
        <f>MROUND(_xlfn.XLOOKUP(B272,'Base stats'!B:B,'Base stats'!AQ:AQ)*_xlfn.XLOOKUP(_xlfn.XLOOKUP(B272,'Base stats'!B:B,'Base stats'!E:E),Groups!A:A,Groups!H:H)/1000,IF((_xlfn.XLOOKUP(B272,'Base stats'!B:B,'Base stats'!AQ:AQ)*_xlfn.XLOOKUP(_xlfn.XLOOKUP(B272,'Base stats'!B:B,'Base stats'!E:E),Groups!A:A,Groups!H:H)/1000)&gt;1,0.05,0.01))</f>
        <v>0</v>
      </c>
      <c r="AA272" s="18">
        <f>MROUND((1/2)*(_xlfn.XLOOKUP(_xlfn.XLOOKUP(B272,'Base stats'!B:B,'Base stats'!E:E),Groups!A:A,Groups!H:H)*_xlfn.XLOOKUP(_xlfn.XLOOKUP(B272,'Base stats'!B:B,'Base stats'!E:E),Groups!A:A,Groups!I:I))*_xlfn.XLOOKUP(B272,'Base stats'!B:B,'Base stats'!AQ:AQ)*0.01,0.05)</f>
        <v>0</v>
      </c>
      <c r="AB272" s="18">
        <f>MROUND(250*(Animals!AO272+Animals!AP272),25)</f>
        <v>125</v>
      </c>
      <c r="AC272" s="18" t="str">
        <f>_xlfn.XLOOKUP(_xlfn.XLOOKUP(B272,'Base stats'!B:B,'Base stats'!E:E),Groups!A:A,Groups!BJ:BJ)</f>
        <v>Birdlike</v>
      </c>
    </row>
    <row r="273" spans="1:29" ht="16.5" thickTop="1" thickBot="1" x14ac:dyDescent="0.3">
      <c r="A273" s="16" t="str">
        <f>Animals!A273</f>
        <v>FrostAve</v>
      </c>
      <c r="B273" s="6" t="str">
        <f>Animals!B273</f>
        <v>Avis glacialis</v>
      </c>
      <c r="C273" s="1" t="str">
        <f>Animals!C273</f>
        <v>&lt;li&gt;AA_FrostAve&lt;/li&gt;</v>
      </c>
      <c r="D273" s="47">
        <f>MIN(MIN(6,_xlfn.XLOOKUP(A273,Animals!A:A,Animals!AO:AO))*20,MAX(MROUND(_xlfn.XLOOKUP(B273,'Base stats'!B:B,'Base stats'!BS:BS) * (_xlfn.XLOOKUP(B273,'Base stats'!B:B,'Base stats'!AO:AO)*5%)^0.9 / 21,0.1),0.05))</f>
        <v>5.5</v>
      </c>
      <c r="E273" s="11">
        <f>MROUND(_xlfn.XLOOKUP(B273,'Base stats'!B:B,'Base stats'!BG:BG) * 0.01 * 2 + 0.01, 0.05)</f>
        <v>4.8500000000000005</v>
      </c>
      <c r="F273" s="7">
        <f>MROUND(_xlfn.XLOOKUP(B273,'Base stats'!B:B,'Base stats'!BD:BD)^0.25 / (_xlfn.XLOOKUP(B273,'Base stats'!B:B,'Base stats'!BK:BK) * 10) * 150 + 0.5 + _xlfn.XLOOKUP(B273,'Base stats'!B:B,'Base stats'!BW:BW), 0.05)</f>
        <v>1.7000000000000002</v>
      </c>
      <c r="G273" s="3">
        <f>IF(Animals!S273="No","No",
IF(_xlfn.XLOOKUP(B273,'Base stats'!B:B,'Base stats'!U:U)="No",
MAX(MROUND(_xlfn.XLOOKUP(B273,'Base stats'!B:B,'Base stats'!BT:BT) * _xlfn.XLOOKUP(B273,'Base stats'!B:B,'Base stats'!BP:BP)^0.9 / 21 * _xlfn.XLOOKUP(B273,'Base stats'!B:B,'Base stats'!BX:BX),0.1),0.05),
MAX(MROUND(((MIN(10,_xlfn.XLOOKUP(B273,'Base stats'!B:B,'Base stats'!U:U)))^0.4*_xlfn.XLOOKUP(B273,'Base stats'!B:B,'Base stats'!BH:BH)^0.73)^0.6 * _xlfn.XLOOKUP(B273,'Base stats'!B:B,'Base stats'!BX:BX),0.1),0.05)
))</f>
        <v>20.900000000000002</v>
      </c>
      <c r="H273" s="11">
        <f>IF(G273="No","No",
MROUND(_xlfn.XLOOKUP(B273,'Base stats'!B:B,'Base stats'!BH:BH) * 0.01 * 2 + 0.05, 0.05)
)</f>
        <v>5.95</v>
      </c>
      <c r="I273" s="11">
        <f>IF(G273="No","No",IF(_xlfn.XLOOKUP(B273,'Base stats'!B:B,'Base stats'!U:U)="No","No",
MROUND(_xlfn.XLOOKUP(B273,'Base stats'!B:B,'Base stats'!BT:BT)/10000+0.01,0.01)
))</f>
        <v>0.24</v>
      </c>
      <c r="J273" s="4">
        <f>IF(G273="No","No",
MROUND(_xlfn.XLOOKUP(B273,'Base stats'!B:B,'Base stats'!BE:BE)^0.25
/((_xlfn.XLOOKUP(B273,'Base stats'!B:B,'Base stats'!BL:BL))*10)*_xlfn.XLOOKUP(_xlfn.XLOOKUP(B273,'Base stats'!B:B,'Base stats'!E:E),Groups!A:A,Groups!Q:Q)*150 + 0.5 + _xlfn.XLOOKUP(B273,'Base stats'!B:B,'Base stats'!BW:BW),
0.05))</f>
        <v>3.2</v>
      </c>
      <c r="K273" s="3" t="str">
        <f>IF(Animals!X273="No","No",
IF(_xlfn.XLOOKUP(_xlfn.XLOOKUP(B273,'Base stats'!B:B,'Base stats'!E:E),Groups!A:A,Groups!BD:BD)=1,
MAX(MROUND(_xlfn.XLOOKUP(B273,'Base stats'!B:B,'Base stats'!BU:BU) * _xlfn.XLOOKUP(B273,'Base stats'!B:B,'Base stats'!BQ:BQ)^0.9 / 21 *_xlfn.XLOOKUP(B273,'Base stats'!B:B,'Base stats'!BX:BX),0.1),0.05),
MAX(MROUND(((MIN(10,_xlfn.XLOOKUP(B273,'Base stats'!B:B,'Base stats'!W:W)))^0.4*_xlfn.XLOOKUP(B273,'Base stats'!B:B,'Base stats'!BI:BI)^0.73)^0.6 *_xlfn.XLOOKUP(B273,'Base stats'!B:B,'Base stats'!BX:BX),0.1),0.05)
))</f>
        <v>No</v>
      </c>
      <c r="L273" s="11" t="str">
        <f>IF(K273="No","No",
MROUND(_xlfn.XLOOKUP(B273,'Base stats'!B:B,'Base stats'!BI:BI) * 0.01 *2 + 0.05, 0.05)
)</f>
        <v>No</v>
      </c>
      <c r="M273" s="5" t="str">
        <f>IF(K273="No","No",IF(_xlfn.XLOOKUP(_xlfn.XLOOKUP(B273,'Base stats'!B:B,'Base stats'!E:E),Groups!A:A,Groups!BD:BD)=1,"No",
MROUND(_xlfn.XLOOKUP(B273,'Base stats'!B:B,'Base stats'!BU:BU)/10000+0.01,0.01)
))</f>
        <v>No</v>
      </c>
      <c r="N273" s="4" t="str">
        <f>IF(K273="No","No",
MROUND(
  _xlfn.XLOOKUP(B273,'Base stats'!B:B,'Base stats'!BC:BC)^0.25
  / (_xlfn.XLOOKUP(B273,'Base stats'!B:B,'Base stats'!BM:BM) * 10)
  * _xlfn.XLOOKUP(
      _xlfn.XLOOKUP(B273,'Base stats'!B:B,'Base stats'!E:E),
      Groups!A:A,
      Groups!V:V
    ) * 150
  + MIN(12, _xlfn.XLOOKUP(B273,'Base stats'!B:B,'Base stats'!W:W))^(1/IF(_xlfn.XLOOKUP(_xlfn.XLOOKUP(B273,'Base stats'!B:B,'Base stats'!E:E),Groups!A:A,Groups!U:U)=1,100,10)) + 0.5 + _xlfn.XLOOKUP(B273,'Base stats'!B:B,'Base stats'!BW:BW),
0.05))</f>
        <v>No</v>
      </c>
      <c r="O273" s="3">
        <f>IF(Animals!AD273="No","No",
MAX(MROUND((MIN(10,_xlfn.XLOOKUP(B273,'Base stats'!B:B,'Base stats'!V:V)*IF(_xlfn.XLOOKUP(_xlfn.XLOOKUP(B273,'Base stats'!B:B,'Base stats'!E:E),Groups!A:A,Groups!O:O)=0,1,0.33))^0.4*_xlfn.XLOOKUP(B273,'Base stats'!B:B,'Base stats'!BJ:BJ)^0.73)^0.6 *_xlfn.XLOOKUP(B273,'Base stats'!B:B,'Base stats'!BX:BX),0.1),0.05)
)</f>
        <v>7.1000000000000005</v>
      </c>
      <c r="P273" s="11">
        <f>IF(O273="No","No",
MROUND(_xlfn.XLOOKUP(B273,'Base stats'!B:B,'Base stats'!BJ:BJ) * 0.01 * 2 + 0.05, 0.05)
)</f>
        <v>0.75</v>
      </c>
      <c r="Q273" s="5">
        <f>IF(O273="No","No",
MROUND(_xlfn.XLOOKUP(B273,'Base stats'!B:B,'Base stats'!BV:BV)/10000+0.01,0.01)
)</f>
        <v>0.03</v>
      </c>
      <c r="R273" s="4">
        <f>IF(O273="No","No",
MROUND(_xlfn.XLOOKUP(B273,'Base stats'!B:B,'Base stats'!BB:BB)^0.25
/((_xlfn.XLOOKUP(B273,'Base stats'!B:B,'Base stats'!BN:BN))*10)*_xlfn.XLOOKUP(_xlfn.XLOOKUP(B273,'Base stats'!B:B,'Base stats'!E:E),Groups!A:A,Groups!Z:Z)*150 + 0.5 + _xlfn.XLOOKUP(B273,'Base stats'!B:B,'Base stats'!BW:BW),
0.05))</f>
        <v>2.0500000000000003</v>
      </c>
      <c r="S273" s="3" t="str">
        <f>IF(Animals!AI273="No","No",
IF(_xlfn.XLOOKUP(B273,'Base stats'!B:B,'Base stats'!U:U)="No",
MAX(MROUND(_xlfn.XLOOKUP(B273,'Base stats'!B:B,'Base stats'!BT:BT) * _xlfn.XLOOKUP(B273,'Base stats'!B:B,'Base stats'!BP:BP)^0.9 / 21 * _xlfn.XLOOKUP(B273,'Base stats'!B:B,'Base stats'!BX:BX),0.1),0.05),
MAX(MROUND(((MIN(12,_xlfn.XLOOKUP(B273,'Base stats'!B:B,'Base stats'!U:U)))^0.4*_xlfn.XLOOKUP(B273,'Base stats'!B:B,'Base stats'!BH:BH)^0.73)^0.6 * _xlfn.XLOOKUP(B273,'Base stats'!B:B,'Base stats'!BX:BX),0.1),0.05)
))</f>
        <v>No</v>
      </c>
      <c r="T273" s="11" t="str">
        <f>IF(S273="No","No",
MROUND(_xlfn.XLOOKUP(B273,'Base stats'!B:B,'Base stats'!BH:BH) * 0.01 * 2 + 0.05, 0.05)
)</f>
        <v>No</v>
      </c>
      <c r="U273" s="5" t="str">
        <f>IF(S273="No","No",IF(_xlfn.XLOOKUP(B273,'Base stats'!B:B,'Base stats'!U:U)="No","No",
MROUND(_xlfn.XLOOKUP(B273,'Base stats'!B:B,'Base stats'!BT:BT)/10000+0.01,0.01)
))</f>
        <v>No</v>
      </c>
      <c r="V273" s="4" t="str">
        <f>IF(S273="No","No",
MROUND(_xlfn.XLOOKUP(B273,'Base stats'!B:B,'Base stats'!BF:BF)^0.25
/((_xlfn.XLOOKUP(B273,'Base stats'!B:B,'Base stats'!BO:BO))*10)*_xlfn.XLOOKUP(_xlfn.XLOOKUP(B273,'Base stats'!B:B,'Base stats'!E:E),Groups!A:A,Groups!AE:AE)*150 + 0.5 + _xlfn.XLOOKUP(B273,'Base stats'!B:B,'Base stats'!BW:BW),
0.05))</f>
        <v>No</v>
      </c>
      <c r="W273" s="8">
        <f>MROUND(_xlfn.XLOOKUP(_xlfn.XLOOKUP(B273,'Base stats'!B:B,'Base stats'!E:E),Groups!A:A,Groups!BG:BG)*_xlfn.XLOOKUP(B273,'Base stats'!B:B,'Base stats'!C:C)^-0.165,0.05)</f>
        <v>0.4</v>
      </c>
      <c r="X273" s="1">
        <f>MROUND(_xlfn.XLOOKUP(_xlfn.XLOOKUP(B273,'Base stats'!B:B,'Base stats'!E:E),Groups!A:A,Groups!BH:BH)*_xlfn.XLOOKUP(B273,'Base stats'!B:B,'Base stats'!C:C)^0.165,0.05)</f>
        <v>0.25</v>
      </c>
      <c r="Y273" s="8">
        <f>MROUND(_xlfn.XLOOKUP(_xlfn.XLOOKUP(B273,'Base stats'!B:B,'Base stats'!E:E),Groups!A:A,Groups!BI:BI)*_xlfn.XLOOKUP(B273,'Base stats'!B:B,'Base stats'!C:C)^0.165,0.05)</f>
        <v>0.05</v>
      </c>
      <c r="Z273" s="18">
        <f>MROUND(_xlfn.XLOOKUP(B273,'Base stats'!B:B,'Base stats'!AQ:AQ)*_xlfn.XLOOKUP(_xlfn.XLOOKUP(B273,'Base stats'!B:B,'Base stats'!E:E),Groups!A:A,Groups!H:H)/1000,IF((_xlfn.XLOOKUP(B273,'Base stats'!B:B,'Base stats'!AQ:AQ)*_xlfn.XLOOKUP(_xlfn.XLOOKUP(B273,'Base stats'!B:B,'Base stats'!E:E),Groups!A:A,Groups!H:H)/1000)&gt;1,0.05,0.01))</f>
        <v>0</v>
      </c>
      <c r="AA273" s="18">
        <f>MROUND((1/2)*(_xlfn.XLOOKUP(_xlfn.XLOOKUP(B273,'Base stats'!B:B,'Base stats'!E:E),Groups!A:A,Groups!H:H)*_xlfn.XLOOKUP(_xlfn.XLOOKUP(B273,'Base stats'!B:B,'Base stats'!E:E),Groups!A:A,Groups!I:I))*_xlfn.XLOOKUP(B273,'Base stats'!B:B,'Base stats'!AQ:AQ)*0.01,0.05)</f>
        <v>0</v>
      </c>
      <c r="AB273" s="18">
        <f>MROUND(250*(Animals!AO273+Animals!AP273),25)</f>
        <v>900</v>
      </c>
      <c r="AC273" s="18" t="str">
        <f>_xlfn.XLOOKUP(_xlfn.XLOOKUP(B273,'Base stats'!B:B,'Base stats'!E:E),Groups!A:A,Groups!BJ:BJ)</f>
        <v>Birdlike</v>
      </c>
    </row>
    <row r="274" spans="1:29" ht="16.5" thickTop="1" thickBot="1" x14ac:dyDescent="0.3">
      <c r="A274" s="16" t="str">
        <f>Animals!A274</f>
        <v>FrostLynx</v>
      </c>
      <c r="B274" s="6" t="str">
        <f>Animals!B274</f>
        <v>Genix frostis</v>
      </c>
      <c r="C274" s="1" t="str">
        <f>Animals!C274</f>
        <v>&lt;li&gt;AA_FrostLynx&lt;/li&gt;</v>
      </c>
      <c r="D274" s="47">
        <f>MIN(MIN(6,_xlfn.XLOOKUP(A274,Animals!A:A,Animals!AO:AO))*20,MAX(MROUND(_xlfn.XLOOKUP(B274,'Base stats'!B:B,'Base stats'!BS:BS) * (_xlfn.XLOOKUP(B274,'Base stats'!B:B,'Base stats'!AO:AO)*5%)^0.9 / 21,0.1),0.05))</f>
        <v>3.3000000000000003</v>
      </c>
      <c r="E274" s="11">
        <f>MROUND(_xlfn.XLOOKUP(B274,'Base stats'!B:B,'Base stats'!BG:BG) * 0.01 * 2 + 0.01, 0.05)</f>
        <v>2.85</v>
      </c>
      <c r="F274" s="7">
        <f>MROUND(_xlfn.XLOOKUP(B274,'Base stats'!B:B,'Base stats'!BD:BD)^0.25 / (_xlfn.XLOOKUP(B274,'Base stats'!B:B,'Base stats'!BK:BK) * 10) * 150 + 0.5 + _xlfn.XLOOKUP(B274,'Base stats'!B:B,'Base stats'!BW:BW), 0.05)</f>
        <v>2</v>
      </c>
      <c r="G274" s="3" t="str">
        <f>IF(Animals!S274="No","No",
IF(_xlfn.XLOOKUP(B274,'Base stats'!B:B,'Base stats'!U:U)="No",
MAX(MROUND(_xlfn.XLOOKUP(B274,'Base stats'!B:B,'Base stats'!BT:BT) * _xlfn.XLOOKUP(B274,'Base stats'!B:B,'Base stats'!BP:BP)^0.9 / 21 * _xlfn.XLOOKUP(B274,'Base stats'!B:B,'Base stats'!BX:BX),0.1),0.05),
MAX(MROUND(((MIN(10,_xlfn.XLOOKUP(B274,'Base stats'!B:B,'Base stats'!U:U)))^0.4*_xlfn.XLOOKUP(B274,'Base stats'!B:B,'Base stats'!BH:BH)^0.73)^0.6 * _xlfn.XLOOKUP(B274,'Base stats'!B:B,'Base stats'!BX:BX),0.1),0.05)
))</f>
        <v>No</v>
      </c>
      <c r="H274" s="11" t="str">
        <f>IF(G274="No","No",
MROUND(_xlfn.XLOOKUP(B274,'Base stats'!B:B,'Base stats'!BH:BH) * 0.01 * 2 + 0.05, 0.05)
)</f>
        <v>No</v>
      </c>
      <c r="I274" s="11" t="str">
        <f>IF(G274="No","No",IF(_xlfn.XLOOKUP(B274,'Base stats'!B:B,'Base stats'!U:U)="No","No",
MROUND(_xlfn.XLOOKUP(B274,'Base stats'!B:B,'Base stats'!BT:BT)/10000+0.01,0.01)
))</f>
        <v>No</v>
      </c>
      <c r="J274" s="4" t="str">
        <f>IF(G274="No","No",
MROUND(_xlfn.XLOOKUP(B274,'Base stats'!B:B,'Base stats'!BE:BE)^0.25
/((_xlfn.XLOOKUP(B274,'Base stats'!B:B,'Base stats'!BL:BL))*10)*_xlfn.XLOOKUP(_xlfn.XLOOKUP(B274,'Base stats'!B:B,'Base stats'!E:E),Groups!A:A,Groups!Q:Q)*150 + 0.5 + _xlfn.XLOOKUP(B274,'Base stats'!B:B,'Base stats'!BW:BW),
0.05))</f>
        <v>No</v>
      </c>
      <c r="K274" s="3" t="str">
        <f>IF(Animals!X274="No","No",
IF(_xlfn.XLOOKUP(_xlfn.XLOOKUP(B274,'Base stats'!B:B,'Base stats'!E:E),Groups!A:A,Groups!BD:BD)=1,
MAX(MROUND(_xlfn.XLOOKUP(B274,'Base stats'!B:B,'Base stats'!BU:BU) * _xlfn.XLOOKUP(B274,'Base stats'!B:B,'Base stats'!BQ:BQ)^0.9 / 21 *_xlfn.XLOOKUP(B274,'Base stats'!B:B,'Base stats'!BX:BX),0.1),0.05),
MAX(MROUND(((MIN(10,_xlfn.XLOOKUP(B274,'Base stats'!B:B,'Base stats'!W:W)))^0.4*_xlfn.XLOOKUP(B274,'Base stats'!B:B,'Base stats'!BI:BI)^0.73)^0.6 *_xlfn.XLOOKUP(B274,'Base stats'!B:B,'Base stats'!BX:BX),0.1),0.05)
))</f>
        <v>No</v>
      </c>
      <c r="L274" s="11" t="str">
        <f>IF(K274="No","No",
MROUND(_xlfn.XLOOKUP(B274,'Base stats'!B:B,'Base stats'!BI:BI) * 0.01 *2 + 0.05, 0.05)
)</f>
        <v>No</v>
      </c>
      <c r="M274" s="5" t="str">
        <f>IF(K274="No","No",IF(_xlfn.XLOOKUP(_xlfn.XLOOKUP(B274,'Base stats'!B:B,'Base stats'!E:E),Groups!A:A,Groups!BD:BD)=1,"No",
MROUND(_xlfn.XLOOKUP(B274,'Base stats'!B:B,'Base stats'!BU:BU)/10000+0.01,0.01)
))</f>
        <v>No</v>
      </c>
      <c r="N274" s="4" t="str">
        <f>IF(K274="No","No",
MROUND(
  _xlfn.XLOOKUP(B274,'Base stats'!B:B,'Base stats'!BC:BC)^0.25
  / (_xlfn.XLOOKUP(B274,'Base stats'!B:B,'Base stats'!BM:BM) * 10)
  * _xlfn.XLOOKUP(
      _xlfn.XLOOKUP(B274,'Base stats'!B:B,'Base stats'!E:E),
      Groups!A:A,
      Groups!V:V
    ) * 150
  + MIN(12, _xlfn.XLOOKUP(B274,'Base stats'!B:B,'Base stats'!W:W))^(1/IF(_xlfn.XLOOKUP(_xlfn.XLOOKUP(B274,'Base stats'!B:B,'Base stats'!E:E),Groups!A:A,Groups!U:U)=1,100,10)) + 0.5 + _xlfn.XLOOKUP(B274,'Base stats'!B:B,'Base stats'!BW:BW),
0.05))</f>
        <v>No</v>
      </c>
      <c r="O274" s="3">
        <f>IF(Animals!AD274="No","No",
MAX(MROUND((MIN(10,_xlfn.XLOOKUP(B274,'Base stats'!B:B,'Base stats'!V:V)*IF(_xlfn.XLOOKUP(_xlfn.XLOOKUP(B274,'Base stats'!B:B,'Base stats'!E:E),Groups!A:A,Groups!O:O)=0,1,0.33))^0.4*_xlfn.XLOOKUP(B274,'Base stats'!B:B,'Base stats'!BJ:BJ)^0.73)^0.6 *_xlfn.XLOOKUP(B274,'Base stats'!B:B,'Base stats'!BX:BX),0.1),0.05)
)</f>
        <v>18.100000000000001</v>
      </c>
      <c r="P274" s="11">
        <f>IF(O274="No","No",
MROUND(_xlfn.XLOOKUP(B274,'Base stats'!B:B,'Base stats'!BJ:BJ) * 0.01 * 2 + 0.05, 0.05)
)</f>
        <v>6.75</v>
      </c>
      <c r="Q274" s="5">
        <f>IF(O274="No","No",
MROUND(_xlfn.XLOOKUP(B274,'Base stats'!B:B,'Base stats'!BV:BV)/10000+0.01,0.01)
)</f>
        <v>0.34</v>
      </c>
      <c r="R274" s="4">
        <f>IF(O274="No","No",
MROUND(_xlfn.XLOOKUP(B274,'Base stats'!B:B,'Base stats'!BB:BB)^0.25
/((_xlfn.XLOOKUP(B274,'Base stats'!B:B,'Base stats'!BN:BN))*10)*_xlfn.XLOOKUP(_xlfn.XLOOKUP(B274,'Base stats'!B:B,'Base stats'!E:E),Groups!A:A,Groups!Z:Z)*150 + 0.5 + _xlfn.XLOOKUP(B274,'Base stats'!B:B,'Base stats'!BW:BW),
0.05))</f>
        <v>1.9500000000000002</v>
      </c>
      <c r="S274" s="3">
        <f>IF(Animals!AI274="No","No",
IF(_xlfn.XLOOKUP(B274,'Base stats'!B:B,'Base stats'!U:U)="No",
MAX(MROUND(_xlfn.XLOOKUP(B274,'Base stats'!B:B,'Base stats'!BT:BT) * _xlfn.XLOOKUP(B274,'Base stats'!B:B,'Base stats'!BP:BP)^0.9 / 21 * _xlfn.XLOOKUP(B274,'Base stats'!B:B,'Base stats'!BX:BX),0.1),0.05),
MAX(MROUND(((MIN(12,_xlfn.XLOOKUP(B274,'Base stats'!B:B,'Base stats'!U:U)))^0.4*_xlfn.XLOOKUP(B274,'Base stats'!B:B,'Base stats'!BH:BH)^0.73)^0.6 * _xlfn.XLOOKUP(B274,'Base stats'!B:B,'Base stats'!BX:BX),0.1),0.05)
))</f>
        <v>14.5</v>
      </c>
      <c r="T274" s="11">
        <f>IF(S274="No","No",
MROUND(_xlfn.XLOOKUP(B274,'Base stats'!B:B,'Base stats'!BH:BH) * 0.01 * 2 + 0.05, 0.05)
)</f>
        <v>3.6</v>
      </c>
      <c r="U274" s="5">
        <f>IF(S274="No","No",IF(_xlfn.XLOOKUP(B274,'Base stats'!B:B,'Base stats'!U:U)="No","No",
MROUND(_xlfn.XLOOKUP(B274,'Base stats'!B:B,'Base stats'!BT:BT)/10000+0.01,0.01)
))</f>
        <v>0.19</v>
      </c>
      <c r="V274" s="4">
        <f>IF(S274="No","No",
MROUND(_xlfn.XLOOKUP(B274,'Base stats'!B:B,'Base stats'!BF:BF)^0.25
/((_xlfn.XLOOKUP(B274,'Base stats'!B:B,'Base stats'!BO:BO))*10)*_xlfn.XLOOKUP(_xlfn.XLOOKUP(B274,'Base stats'!B:B,'Base stats'!E:E),Groups!A:A,Groups!AE:AE)*150 + 0.5 + _xlfn.XLOOKUP(B274,'Base stats'!B:B,'Base stats'!BW:BW),
0.05))</f>
        <v>1.5</v>
      </c>
      <c r="W274" s="8">
        <f>MROUND(_xlfn.XLOOKUP(_xlfn.XLOOKUP(B274,'Base stats'!B:B,'Base stats'!E:E),Groups!A:A,Groups!BG:BG)*_xlfn.XLOOKUP(B274,'Base stats'!B:B,'Base stats'!C:C)^-0.165,0.05)</f>
        <v>0.60000000000000009</v>
      </c>
      <c r="X274" s="1">
        <f>MROUND(_xlfn.XLOOKUP(_xlfn.XLOOKUP(B274,'Base stats'!B:B,'Base stats'!E:E),Groups!A:A,Groups!BH:BH)*_xlfn.XLOOKUP(B274,'Base stats'!B:B,'Base stats'!C:C)^0.165,0.05)</f>
        <v>0.55000000000000004</v>
      </c>
      <c r="Y274" s="8">
        <f>MROUND(_xlfn.XLOOKUP(_xlfn.XLOOKUP(B274,'Base stats'!B:B,'Base stats'!E:E),Groups!A:A,Groups!BI:BI)*_xlfn.XLOOKUP(B274,'Base stats'!B:B,'Base stats'!C:C)^0.165,0.05)</f>
        <v>0.05</v>
      </c>
      <c r="Z274" s="18">
        <f>MROUND(_xlfn.XLOOKUP(B274,'Base stats'!B:B,'Base stats'!AQ:AQ)*_xlfn.XLOOKUP(_xlfn.XLOOKUP(B274,'Base stats'!B:B,'Base stats'!E:E),Groups!A:A,Groups!H:H)/1000,IF((_xlfn.XLOOKUP(B274,'Base stats'!B:B,'Base stats'!AQ:AQ)*_xlfn.XLOOKUP(_xlfn.XLOOKUP(B274,'Base stats'!B:B,'Base stats'!E:E),Groups!A:A,Groups!H:H)/1000)&gt;1,0.05,0.01))</f>
        <v>0.11</v>
      </c>
      <c r="AA274" s="18">
        <f>MROUND((1/2)*(_xlfn.XLOOKUP(_xlfn.XLOOKUP(B274,'Base stats'!B:B,'Base stats'!E:E),Groups!A:A,Groups!H:H)*_xlfn.XLOOKUP(_xlfn.XLOOKUP(B274,'Base stats'!B:B,'Base stats'!E:E),Groups!A:A,Groups!I:I))*_xlfn.XLOOKUP(B274,'Base stats'!B:B,'Base stats'!AQ:AQ)*0.01,0.05)</f>
        <v>0.45</v>
      </c>
      <c r="AB274" s="18">
        <f>MROUND(250*(Animals!AO274+Animals!AP274),25)</f>
        <v>725</v>
      </c>
      <c r="AC274" s="18" t="str">
        <f>_xlfn.XLOOKUP(_xlfn.XLOOKUP(B274,'Base stats'!B:B,'Base stats'!E:E),Groups!A:A,Groups!BJ:BJ)</f>
        <v>Quadruped</v>
      </c>
    </row>
    <row r="275" spans="1:29" ht="16.5" thickTop="1" thickBot="1" x14ac:dyDescent="0.3">
      <c r="A275" s="16" t="str">
        <f>Animals!A275</f>
        <v>Frostling</v>
      </c>
      <c r="B275" s="6" t="str">
        <f>Animals!B275</f>
        <v>Glaciulus parvus</v>
      </c>
      <c r="C275" s="1" t="str">
        <f>Animals!C275</f>
        <v>&lt;li&gt;AA_Frostling&lt;/li&gt;</v>
      </c>
      <c r="D275" s="47">
        <f>MIN(MIN(6,_xlfn.XLOOKUP(A275,Animals!A:A,Animals!AO:AO))*20,MAX(MROUND(_xlfn.XLOOKUP(B275,'Base stats'!B:B,'Base stats'!BS:BS) * (_xlfn.XLOOKUP(B275,'Base stats'!B:B,'Base stats'!AO:AO)*5%)^0.9 / 21,0.1),0.05))</f>
        <v>3.1</v>
      </c>
      <c r="E275" s="11">
        <f>MROUND(_xlfn.XLOOKUP(B275,'Base stats'!B:B,'Base stats'!BG:BG) * 0.01 * 2 + 0.01, 0.05)</f>
        <v>2.6</v>
      </c>
      <c r="F275" s="7">
        <f>MROUND(_xlfn.XLOOKUP(B275,'Base stats'!B:B,'Base stats'!BD:BD)^0.25 / (_xlfn.XLOOKUP(B275,'Base stats'!B:B,'Base stats'!BK:BK) * 10) * 150 + 0.5 + _xlfn.XLOOKUP(B275,'Base stats'!B:B,'Base stats'!BW:BW), 0.05)</f>
        <v>2.1</v>
      </c>
      <c r="G275" s="3" t="str">
        <f>IF(Animals!S275="No","No",
IF(_xlfn.XLOOKUP(B275,'Base stats'!B:B,'Base stats'!U:U)="No",
MAX(MROUND(_xlfn.XLOOKUP(B275,'Base stats'!B:B,'Base stats'!BT:BT) * _xlfn.XLOOKUP(B275,'Base stats'!B:B,'Base stats'!BP:BP)^0.9 / 21 * _xlfn.XLOOKUP(B275,'Base stats'!B:B,'Base stats'!BX:BX),0.1),0.05),
MAX(MROUND(((MIN(10,_xlfn.XLOOKUP(B275,'Base stats'!B:B,'Base stats'!U:U)))^0.4*_xlfn.XLOOKUP(B275,'Base stats'!B:B,'Base stats'!BH:BH)^0.73)^0.6 * _xlfn.XLOOKUP(B275,'Base stats'!B:B,'Base stats'!BX:BX),0.1),0.05)
))</f>
        <v>No</v>
      </c>
      <c r="H275" s="11" t="str">
        <f>IF(G275="No","No",
MROUND(_xlfn.XLOOKUP(B275,'Base stats'!B:B,'Base stats'!BH:BH) * 0.01 * 2 + 0.05, 0.05)
)</f>
        <v>No</v>
      </c>
      <c r="I275" s="11" t="str">
        <f>IF(G275="No","No",IF(_xlfn.XLOOKUP(B275,'Base stats'!B:B,'Base stats'!U:U)="No","No",
MROUND(_xlfn.XLOOKUP(B275,'Base stats'!B:B,'Base stats'!BT:BT)/10000+0.01,0.01)
))</f>
        <v>No</v>
      </c>
      <c r="J275" s="4" t="str">
        <f>IF(G275="No","No",
MROUND(_xlfn.XLOOKUP(B275,'Base stats'!B:B,'Base stats'!BE:BE)^0.25
/((_xlfn.XLOOKUP(B275,'Base stats'!B:B,'Base stats'!BL:BL))*10)*_xlfn.XLOOKUP(_xlfn.XLOOKUP(B275,'Base stats'!B:B,'Base stats'!E:E),Groups!A:A,Groups!Q:Q)*150 + 0.5 + _xlfn.XLOOKUP(B275,'Base stats'!B:B,'Base stats'!BW:BW),
0.05))</f>
        <v>No</v>
      </c>
      <c r="K275" s="3" t="str">
        <f>IF(Animals!X275="No","No",
IF(_xlfn.XLOOKUP(_xlfn.XLOOKUP(B275,'Base stats'!B:B,'Base stats'!E:E),Groups!A:A,Groups!BD:BD)=1,
MAX(MROUND(_xlfn.XLOOKUP(B275,'Base stats'!B:B,'Base stats'!BU:BU) * _xlfn.XLOOKUP(B275,'Base stats'!B:B,'Base stats'!BQ:BQ)^0.9 / 21 *_xlfn.XLOOKUP(B275,'Base stats'!B:B,'Base stats'!BX:BX),0.1),0.05),
MAX(MROUND(((MIN(10,_xlfn.XLOOKUP(B275,'Base stats'!B:B,'Base stats'!W:W)))^0.4*_xlfn.XLOOKUP(B275,'Base stats'!B:B,'Base stats'!BI:BI)^0.73)^0.6 *_xlfn.XLOOKUP(B275,'Base stats'!B:B,'Base stats'!BX:BX),0.1),0.05)
))</f>
        <v>No</v>
      </c>
      <c r="L275" s="11" t="str">
        <f>IF(K275="No","No",
MROUND(_xlfn.XLOOKUP(B275,'Base stats'!B:B,'Base stats'!BI:BI) * 0.01 *2 + 0.05, 0.05)
)</f>
        <v>No</v>
      </c>
      <c r="M275" s="5" t="str">
        <f>IF(K275="No","No",IF(_xlfn.XLOOKUP(_xlfn.XLOOKUP(B275,'Base stats'!B:B,'Base stats'!E:E),Groups!A:A,Groups!BD:BD)=1,"No",
MROUND(_xlfn.XLOOKUP(B275,'Base stats'!B:B,'Base stats'!BU:BU)/10000+0.01,0.01)
))</f>
        <v>No</v>
      </c>
      <c r="N275" s="4" t="str">
        <f>IF(K275="No","No",
MROUND(
  _xlfn.XLOOKUP(B275,'Base stats'!B:B,'Base stats'!BC:BC)^0.25
  / (_xlfn.XLOOKUP(B275,'Base stats'!B:B,'Base stats'!BM:BM) * 10)
  * _xlfn.XLOOKUP(
      _xlfn.XLOOKUP(B275,'Base stats'!B:B,'Base stats'!E:E),
      Groups!A:A,
      Groups!V:V
    ) * 150
  + MIN(12, _xlfn.XLOOKUP(B275,'Base stats'!B:B,'Base stats'!W:W))^(1/IF(_xlfn.XLOOKUP(_xlfn.XLOOKUP(B275,'Base stats'!B:B,'Base stats'!E:E),Groups!A:A,Groups!U:U)=1,100,10)) + 0.5 + _xlfn.XLOOKUP(B275,'Base stats'!B:B,'Base stats'!BW:BW),
0.05))</f>
        <v>No</v>
      </c>
      <c r="O275" s="3">
        <f>IF(Animals!AD275="No","No",
MAX(MROUND((MIN(10,_xlfn.XLOOKUP(B275,'Base stats'!B:B,'Base stats'!V:V)*IF(_xlfn.XLOOKUP(_xlfn.XLOOKUP(B275,'Base stats'!B:B,'Base stats'!E:E),Groups!A:A,Groups!O:O)=0,1,0.33))^0.4*_xlfn.XLOOKUP(B275,'Base stats'!B:B,'Base stats'!BJ:BJ)^0.73)^0.6 *_xlfn.XLOOKUP(B275,'Base stats'!B:B,'Base stats'!BX:BX),0.1),0.05)
)</f>
        <v>12.8</v>
      </c>
      <c r="P275" s="11">
        <f>IF(O275="No","No",
MROUND(_xlfn.XLOOKUP(B275,'Base stats'!B:B,'Base stats'!BJ:BJ) * 0.01 * 2 + 0.05, 0.05)
)</f>
        <v>3.1</v>
      </c>
      <c r="Q275" s="5">
        <f>IF(O275="No","No",
MROUND(_xlfn.XLOOKUP(B275,'Base stats'!B:B,'Base stats'!BV:BV)/10000+0.01,0.01)
)</f>
        <v>0.17</v>
      </c>
      <c r="R275" s="4">
        <f>IF(O275="No","No",
MROUND(_xlfn.XLOOKUP(B275,'Base stats'!B:B,'Base stats'!BB:BB)^0.25
/((_xlfn.XLOOKUP(B275,'Base stats'!B:B,'Base stats'!BN:BN))*10)*_xlfn.XLOOKUP(_xlfn.XLOOKUP(B275,'Base stats'!B:B,'Base stats'!E:E),Groups!A:A,Groups!Z:Z)*150 + 0.5 + _xlfn.XLOOKUP(B275,'Base stats'!B:B,'Base stats'!BW:BW),
0.05))</f>
        <v>2.0500000000000003</v>
      </c>
      <c r="S275" s="3">
        <f>IF(Animals!AI275="No","No",
IF(_xlfn.XLOOKUP(B275,'Base stats'!B:B,'Base stats'!U:U)="No",
MAX(MROUND(_xlfn.XLOOKUP(B275,'Base stats'!B:B,'Base stats'!BT:BT) * _xlfn.XLOOKUP(B275,'Base stats'!B:B,'Base stats'!BP:BP)^0.9 / 21 * _xlfn.XLOOKUP(B275,'Base stats'!B:B,'Base stats'!BX:BX),0.1),0.05),
MAX(MROUND(((MIN(12,_xlfn.XLOOKUP(B275,'Base stats'!B:B,'Base stats'!U:U)))^0.4*_xlfn.XLOOKUP(B275,'Base stats'!B:B,'Base stats'!BH:BH)^0.73)^0.6 * _xlfn.XLOOKUP(B275,'Base stats'!B:B,'Base stats'!BX:BX),0.1),0.05)
))</f>
        <v>14.3</v>
      </c>
      <c r="T275" s="11">
        <f>IF(S275="No","No",
MROUND(_xlfn.XLOOKUP(B275,'Base stats'!B:B,'Base stats'!BH:BH) * 0.01 * 2 + 0.05, 0.05)
)</f>
        <v>3.3000000000000003</v>
      </c>
      <c r="U275" s="5">
        <f>IF(S275="No","No",IF(_xlfn.XLOOKUP(B275,'Base stats'!B:B,'Base stats'!U:U)="No","No",
MROUND(_xlfn.XLOOKUP(B275,'Base stats'!B:B,'Base stats'!BT:BT)/10000+0.01,0.01)
))</f>
        <v>0.18</v>
      </c>
      <c r="V275" s="4">
        <f>IF(S275="No","No",
MROUND(_xlfn.XLOOKUP(B275,'Base stats'!B:B,'Base stats'!BF:BF)^0.25
/((_xlfn.XLOOKUP(B275,'Base stats'!B:B,'Base stats'!BO:BO))*10)*_xlfn.XLOOKUP(_xlfn.XLOOKUP(B275,'Base stats'!B:B,'Base stats'!E:E),Groups!A:A,Groups!AE:AE)*150 + 0.5 + _xlfn.XLOOKUP(B275,'Base stats'!B:B,'Base stats'!BW:BW),
0.05))</f>
        <v>1.4500000000000002</v>
      </c>
      <c r="W275" s="8">
        <f>MROUND(_xlfn.XLOOKUP(_xlfn.XLOOKUP(B275,'Base stats'!B:B,'Base stats'!E:E),Groups!A:A,Groups!BG:BG)*_xlfn.XLOOKUP(B275,'Base stats'!B:B,'Base stats'!C:C)^-0.165,0.05)</f>
        <v>0.5</v>
      </c>
      <c r="X275" s="1">
        <f>MROUND(_xlfn.XLOOKUP(_xlfn.XLOOKUP(B275,'Base stats'!B:B,'Base stats'!E:E),Groups!A:A,Groups!BH:BH)*_xlfn.XLOOKUP(B275,'Base stats'!B:B,'Base stats'!C:C)^0.165,0.05)</f>
        <v>0.45</v>
      </c>
      <c r="Y275" s="8">
        <f>MROUND(_xlfn.XLOOKUP(_xlfn.XLOOKUP(B275,'Base stats'!B:B,'Base stats'!E:E),Groups!A:A,Groups!BI:BI)*_xlfn.XLOOKUP(B275,'Base stats'!B:B,'Base stats'!C:C)^0.165,0.05)</f>
        <v>0.05</v>
      </c>
      <c r="Z275" s="18">
        <f>MROUND(_xlfn.XLOOKUP(B275,'Base stats'!B:B,'Base stats'!AQ:AQ)*_xlfn.XLOOKUP(_xlfn.XLOOKUP(B275,'Base stats'!B:B,'Base stats'!E:E),Groups!A:A,Groups!H:H)/1000,IF((_xlfn.XLOOKUP(B275,'Base stats'!B:B,'Base stats'!AQ:AQ)*_xlfn.XLOOKUP(_xlfn.XLOOKUP(B275,'Base stats'!B:B,'Base stats'!E:E),Groups!A:A,Groups!H:H)/1000)&gt;1,0.05,0.01))</f>
        <v>0.1</v>
      </c>
      <c r="AA275" s="18">
        <f>MROUND((1/2)*(_xlfn.XLOOKUP(_xlfn.XLOOKUP(B275,'Base stats'!B:B,'Base stats'!E:E),Groups!A:A,Groups!H:H)*_xlfn.XLOOKUP(_xlfn.XLOOKUP(B275,'Base stats'!B:B,'Base stats'!E:E),Groups!A:A,Groups!I:I))*_xlfn.XLOOKUP(B275,'Base stats'!B:B,'Base stats'!AQ:AQ)*0.01,0.05)</f>
        <v>0.45</v>
      </c>
      <c r="AB275" s="18">
        <f>MROUND(250*(Animals!AO275+Animals!AP275),25)</f>
        <v>700</v>
      </c>
      <c r="AC275" s="18" t="str">
        <f>_xlfn.XLOOKUP(_xlfn.XLOOKUP(B275,'Base stats'!B:B,'Base stats'!E:E),Groups!A:A,Groups!BJ:BJ)</f>
        <v>QuadrupedLow</v>
      </c>
    </row>
    <row r="276" spans="1:29" ht="16.5" thickTop="1" thickBot="1" x14ac:dyDescent="0.3">
      <c r="A276" s="16" t="str">
        <f>Animals!A276</f>
        <v>Frostmite</v>
      </c>
      <c r="B276" s="6" t="str">
        <f>Animals!B276</f>
        <v>Acarus glacialis</v>
      </c>
      <c r="C276" s="1" t="str">
        <f>Animals!C276</f>
        <v>&lt;li&gt;AA_Frostmite&lt;/li&gt;</v>
      </c>
      <c r="D276" s="47">
        <f>MIN(MIN(6,_xlfn.XLOOKUP(A276,Animals!A:A,Animals!AO:AO))*20,MAX(MROUND(_xlfn.XLOOKUP(B276,'Base stats'!B:B,'Base stats'!BS:BS) * (_xlfn.XLOOKUP(B276,'Base stats'!B:B,'Base stats'!AO:AO)*5%)^0.9 / 21,0.1),0.05))</f>
        <v>0.60000000000000009</v>
      </c>
      <c r="E276" s="11">
        <f>MROUND(_xlfn.XLOOKUP(B276,'Base stats'!B:B,'Base stats'!BG:BG) * 0.01 * 2 + 0.01, 0.05)</f>
        <v>0.5</v>
      </c>
      <c r="F276" s="7">
        <f>MROUND(_xlfn.XLOOKUP(B276,'Base stats'!B:B,'Base stats'!BD:BD)^0.25 / (_xlfn.XLOOKUP(B276,'Base stats'!B:B,'Base stats'!BK:BK) * 10) * 150 + 0.5 + _xlfn.XLOOKUP(B276,'Base stats'!B:B,'Base stats'!BW:BW), 0.05)</f>
        <v>2.25</v>
      </c>
      <c r="G276" s="3" t="str">
        <f>IF(Animals!S276="No","No",
IF(_xlfn.XLOOKUP(B276,'Base stats'!B:B,'Base stats'!U:U)="No",
MAX(MROUND(_xlfn.XLOOKUP(B276,'Base stats'!B:B,'Base stats'!BT:BT) * _xlfn.XLOOKUP(B276,'Base stats'!B:B,'Base stats'!BP:BP)^0.9 / 21 * _xlfn.XLOOKUP(B276,'Base stats'!B:B,'Base stats'!BX:BX),0.1),0.05),
MAX(MROUND(((MIN(10,_xlfn.XLOOKUP(B276,'Base stats'!B:B,'Base stats'!U:U)))^0.4*_xlfn.XLOOKUP(B276,'Base stats'!B:B,'Base stats'!BH:BH)^0.73)^0.6 * _xlfn.XLOOKUP(B276,'Base stats'!B:B,'Base stats'!BX:BX),0.1),0.05)
))</f>
        <v>No</v>
      </c>
      <c r="H276" s="11" t="str">
        <f>IF(G276="No","No",
MROUND(_xlfn.XLOOKUP(B276,'Base stats'!B:B,'Base stats'!BH:BH) * 0.01 * 2 + 0.05, 0.05)
)</f>
        <v>No</v>
      </c>
      <c r="I276" s="11" t="str">
        <f>IF(G276="No","No",IF(_xlfn.XLOOKUP(B276,'Base stats'!B:B,'Base stats'!U:U)="No","No",
MROUND(_xlfn.XLOOKUP(B276,'Base stats'!B:B,'Base stats'!BT:BT)/10000+0.01,0.01)
))</f>
        <v>No</v>
      </c>
      <c r="J276" s="4" t="str">
        <f>IF(G276="No","No",
MROUND(_xlfn.XLOOKUP(B276,'Base stats'!B:B,'Base stats'!BE:BE)^0.25
/((_xlfn.XLOOKUP(B276,'Base stats'!B:B,'Base stats'!BL:BL))*10)*_xlfn.XLOOKUP(_xlfn.XLOOKUP(B276,'Base stats'!B:B,'Base stats'!E:E),Groups!A:A,Groups!Q:Q)*150 + 0.5 + _xlfn.XLOOKUP(B276,'Base stats'!B:B,'Base stats'!BW:BW),
0.05))</f>
        <v>No</v>
      </c>
      <c r="K276" s="3" t="str">
        <f>IF(Animals!X276="No","No",
IF(_xlfn.XLOOKUP(_xlfn.XLOOKUP(B276,'Base stats'!B:B,'Base stats'!E:E),Groups!A:A,Groups!BD:BD)=1,
MAX(MROUND(_xlfn.XLOOKUP(B276,'Base stats'!B:B,'Base stats'!BU:BU) * _xlfn.XLOOKUP(B276,'Base stats'!B:B,'Base stats'!BQ:BQ)^0.9 / 21 *_xlfn.XLOOKUP(B276,'Base stats'!B:B,'Base stats'!BX:BX),0.1),0.05),
MAX(MROUND(((MIN(10,_xlfn.XLOOKUP(B276,'Base stats'!B:B,'Base stats'!W:W)))^0.4*_xlfn.XLOOKUP(B276,'Base stats'!B:B,'Base stats'!BI:BI)^0.73)^0.6 *_xlfn.XLOOKUP(B276,'Base stats'!B:B,'Base stats'!BX:BX),0.1),0.05)
))</f>
        <v>No</v>
      </c>
      <c r="L276" s="11" t="str">
        <f>IF(K276="No","No",
MROUND(_xlfn.XLOOKUP(B276,'Base stats'!B:B,'Base stats'!BI:BI) * 0.01 *2 + 0.05, 0.05)
)</f>
        <v>No</v>
      </c>
      <c r="M276" s="5" t="str">
        <f>IF(K276="No","No",IF(_xlfn.XLOOKUP(_xlfn.XLOOKUP(B276,'Base stats'!B:B,'Base stats'!E:E),Groups!A:A,Groups!BD:BD)=1,"No",
MROUND(_xlfn.XLOOKUP(B276,'Base stats'!B:B,'Base stats'!BU:BU)/10000+0.01,0.01)
))</f>
        <v>No</v>
      </c>
      <c r="N276" s="4" t="str">
        <f>IF(K276="No","No",
MROUND(
  _xlfn.XLOOKUP(B276,'Base stats'!B:B,'Base stats'!BC:BC)^0.25
  / (_xlfn.XLOOKUP(B276,'Base stats'!B:B,'Base stats'!BM:BM) * 10)
  * _xlfn.XLOOKUP(
      _xlfn.XLOOKUP(B276,'Base stats'!B:B,'Base stats'!E:E),
      Groups!A:A,
      Groups!V:V
    ) * 150
  + MIN(12, _xlfn.XLOOKUP(B276,'Base stats'!B:B,'Base stats'!W:W))^(1/IF(_xlfn.XLOOKUP(_xlfn.XLOOKUP(B276,'Base stats'!B:B,'Base stats'!E:E),Groups!A:A,Groups!U:U)=1,100,10)) + 0.5 + _xlfn.XLOOKUP(B276,'Base stats'!B:B,'Base stats'!BW:BW),
0.05))</f>
        <v>No</v>
      </c>
      <c r="O276" s="3">
        <f>IF(Animals!AD276="No","No",
MAX(MROUND((MIN(10,_xlfn.XLOOKUP(B276,'Base stats'!B:B,'Base stats'!V:V)*IF(_xlfn.XLOOKUP(_xlfn.XLOOKUP(B276,'Base stats'!B:B,'Base stats'!E:E),Groups!A:A,Groups!O:O)=0,1,0.33))^0.4*_xlfn.XLOOKUP(B276,'Base stats'!B:B,'Base stats'!BJ:BJ)^0.73)^0.6 *_xlfn.XLOOKUP(B276,'Base stats'!B:B,'Base stats'!BX:BX),0.1),0.05)
)</f>
        <v>13.700000000000001</v>
      </c>
      <c r="P276" s="11">
        <f>IF(O276="No","No",
MROUND(_xlfn.XLOOKUP(B276,'Base stats'!B:B,'Base stats'!BJ:BJ) * 0.01 * 2 + 0.05, 0.05)
)</f>
        <v>4.4000000000000004</v>
      </c>
      <c r="Q276" s="5">
        <f>IF(O276="No","No",
MROUND(_xlfn.XLOOKUP(B276,'Base stats'!B:B,'Base stats'!BV:BV)/10000+0.01,0.01)
)</f>
        <v>0.36</v>
      </c>
      <c r="R276" s="4">
        <f>IF(O276="No","No",
MROUND(_xlfn.XLOOKUP(B276,'Base stats'!B:B,'Base stats'!BB:BB)^0.25
/((_xlfn.XLOOKUP(B276,'Base stats'!B:B,'Base stats'!BN:BN))*10)*_xlfn.XLOOKUP(_xlfn.XLOOKUP(B276,'Base stats'!B:B,'Base stats'!E:E),Groups!A:A,Groups!Z:Z)*150 + 0.5 + _xlfn.XLOOKUP(B276,'Base stats'!B:B,'Base stats'!BW:BW),
0.05))</f>
        <v>1.9000000000000001</v>
      </c>
      <c r="S276" s="3" t="str">
        <f>IF(Animals!AI276="No","No",
IF(_xlfn.XLOOKUP(B276,'Base stats'!B:B,'Base stats'!U:U)="No",
MAX(MROUND(_xlfn.XLOOKUP(B276,'Base stats'!B:B,'Base stats'!BT:BT) * _xlfn.XLOOKUP(B276,'Base stats'!B:B,'Base stats'!BP:BP)^0.9 / 21 * _xlfn.XLOOKUP(B276,'Base stats'!B:B,'Base stats'!BX:BX),0.1),0.05),
MAX(MROUND(((MIN(12,_xlfn.XLOOKUP(B276,'Base stats'!B:B,'Base stats'!U:U)))^0.4*_xlfn.XLOOKUP(B276,'Base stats'!B:B,'Base stats'!BH:BH)^0.73)^0.6 * _xlfn.XLOOKUP(B276,'Base stats'!B:B,'Base stats'!BX:BX),0.1),0.05)
))</f>
        <v>No</v>
      </c>
      <c r="T276" s="11" t="str">
        <f>IF(S276="No","No",
MROUND(_xlfn.XLOOKUP(B276,'Base stats'!B:B,'Base stats'!BH:BH) * 0.01 * 2 + 0.05, 0.05)
)</f>
        <v>No</v>
      </c>
      <c r="U276" s="5" t="str">
        <f>IF(S276="No","No",IF(_xlfn.XLOOKUP(B276,'Base stats'!B:B,'Base stats'!U:U)="No","No",
MROUND(_xlfn.XLOOKUP(B276,'Base stats'!B:B,'Base stats'!BT:BT)/10000+0.01,0.01)
))</f>
        <v>No</v>
      </c>
      <c r="V276" s="4" t="str">
        <f>IF(S276="No","No",
MROUND(_xlfn.XLOOKUP(B276,'Base stats'!B:B,'Base stats'!BF:BF)^0.25
/((_xlfn.XLOOKUP(B276,'Base stats'!B:B,'Base stats'!BO:BO))*10)*_xlfn.XLOOKUP(_xlfn.XLOOKUP(B276,'Base stats'!B:B,'Base stats'!E:E),Groups!A:A,Groups!AE:AE)*150 + 0.5 + _xlfn.XLOOKUP(B276,'Base stats'!B:B,'Base stats'!BW:BW),
0.05))</f>
        <v>No</v>
      </c>
      <c r="W276" s="8">
        <f>MROUND(_xlfn.XLOOKUP(_xlfn.XLOOKUP(B276,'Base stats'!B:B,'Base stats'!E:E),Groups!A:A,Groups!BG:BG)*_xlfn.XLOOKUP(B276,'Base stats'!B:B,'Base stats'!C:C)^-0.165,0.05)</f>
        <v>0.15000000000000002</v>
      </c>
      <c r="X276" s="1">
        <f>MROUND(_xlfn.XLOOKUP(_xlfn.XLOOKUP(B276,'Base stats'!B:B,'Base stats'!E:E),Groups!A:A,Groups!BH:BH)*_xlfn.XLOOKUP(B276,'Base stats'!B:B,'Base stats'!C:C)^0.165,0.05)</f>
        <v>0.2</v>
      </c>
      <c r="Y276" s="8">
        <f>MROUND(_xlfn.XLOOKUP(_xlfn.XLOOKUP(B276,'Base stats'!B:B,'Base stats'!E:E),Groups!A:A,Groups!BI:BI)*_xlfn.XLOOKUP(B276,'Base stats'!B:B,'Base stats'!C:C)^0.165,0.05)</f>
        <v>0.05</v>
      </c>
      <c r="Z276" s="18">
        <f>MROUND(_xlfn.XLOOKUP(B276,'Base stats'!B:B,'Base stats'!AQ:AQ)*_xlfn.XLOOKUP(_xlfn.XLOOKUP(B276,'Base stats'!B:B,'Base stats'!E:E),Groups!A:A,Groups!H:H)/1000,IF((_xlfn.XLOOKUP(B276,'Base stats'!B:B,'Base stats'!AQ:AQ)*_xlfn.XLOOKUP(_xlfn.XLOOKUP(B276,'Base stats'!B:B,'Base stats'!E:E),Groups!A:A,Groups!H:H)/1000)&gt;1,0.05,0.01))</f>
        <v>0.79</v>
      </c>
      <c r="AA276" s="18">
        <f>MROUND((1/2)*(_xlfn.XLOOKUP(_xlfn.XLOOKUP(B276,'Base stats'!B:B,'Base stats'!E:E),Groups!A:A,Groups!H:H)*_xlfn.XLOOKUP(_xlfn.XLOOKUP(B276,'Base stats'!B:B,'Base stats'!E:E),Groups!A:A,Groups!I:I))*_xlfn.XLOOKUP(B276,'Base stats'!B:B,'Base stats'!AQ:AQ)*0.01,0.05)</f>
        <v>0.1</v>
      </c>
      <c r="AB276" s="18">
        <f>MROUND(250*(Animals!AO276+Animals!AP276),25)</f>
        <v>375</v>
      </c>
      <c r="AC276" s="18" t="str">
        <f>_xlfn.XLOOKUP(_xlfn.XLOOKUP(B276,'Base stats'!B:B,'Base stats'!E:E),Groups!A:A,Groups!BJ:BJ)</f>
        <v>QuadrupedLow</v>
      </c>
    </row>
    <row r="277" spans="1:29" ht="16.5" thickTop="1" thickBot="1" x14ac:dyDescent="0.3">
      <c r="A277" s="16" t="str">
        <f>Animals!A277</f>
        <v>FungalHusk</v>
      </c>
      <c r="B277" s="6" t="str">
        <f>Animals!B277</f>
        <v>Mycodermis tegumentum</v>
      </c>
      <c r="C277" s="1" t="str">
        <f>Animals!C277</f>
        <v>&lt;li&gt;AA_FungalHusk&lt;/li&gt;</v>
      </c>
      <c r="D277" s="47">
        <f>MIN(MIN(6,_xlfn.XLOOKUP(A277,Animals!A:A,Animals!AO:AO))*20,MAX(MROUND(_xlfn.XLOOKUP(B277,'Base stats'!B:B,'Base stats'!BS:BS) * (_xlfn.XLOOKUP(B277,'Base stats'!B:B,'Base stats'!AO:AO)*5%)^0.9 / 21,0.1),0.05))</f>
        <v>1.1000000000000001</v>
      </c>
      <c r="E277" s="11">
        <f>MROUND(_xlfn.XLOOKUP(B277,'Base stats'!B:B,'Base stats'!BG:BG) * 0.01 * 2 + 0.01, 0.05)</f>
        <v>0.95000000000000007</v>
      </c>
      <c r="F277" s="7">
        <f>MROUND(_xlfn.XLOOKUP(B277,'Base stats'!B:B,'Base stats'!BD:BD)^0.25 / (_xlfn.XLOOKUP(B277,'Base stats'!B:B,'Base stats'!BK:BK) * 10) * 150 + 0.5 + _xlfn.XLOOKUP(B277,'Base stats'!B:B,'Base stats'!BW:BW), 0.05)</f>
        <v>2.5</v>
      </c>
      <c r="G277" s="3" t="str">
        <f>IF(Animals!S277="No","No",
IF(_xlfn.XLOOKUP(B277,'Base stats'!B:B,'Base stats'!U:U)="No",
MAX(MROUND(_xlfn.XLOOKUP(B277,'Base stats'!B:B,'Base stats'!BT:BT) * _xlfn.XLOOKUP(B277,'Base stats'!B:B,'Base stats'!BP:BP)^0.9 / 21 * _xlfn.XLOOKUP(B277,'Base stats'!B:B,'Base stats'!BX:BX),0.1),0.05),
MAX(MROUND(((MIN(10,_xlfn.XLOOKUP(B277,'Base stats'!B:B,'Base stats'!U:U)))^0.4*_xlfn.XLOOKUP(B277,'Base stats'!B:B,'Base stats'!BH:BH)^0.73)^0.6 * _xlfn.XLOOKUP(B277,'Base stats'!B:B,'Base stats'!BX:BX),0.1),0.05)
))</f>
        <v>No</v>
      </c>
      <c r="H277" s="11" t="str">
        <f>IF(G277="No","No",
MROUND(_xlfn.XLOOKUP(B277,'Base stats'!B:B,'Base stats'!BH:BH) * 0.01 * 2 + 0.05, 0.05)
)</f>
        <v>No</v>
      </c>
      <c r="I277" s="11" t="str">
        <f>IF(G277="No","No",IF(_xlfn.XLOOKUP(B277,'Base stats'!B:B,'Base stats'!U:U)="No","No",
MROUND(_xlfn.XLOOKUP(B277,'Base stats'!B:B,'Base stats'!BT:BT)/10000+0.01,0.01)
))</f>
        <v>No</v>
      </c>
      <c r="J277" s="4" t="str">
        <f>IF(G277="No","No",
MROUND(_xlfn.XLOOKUP(B277,'Base stats'!B:B,'Base stats'!BE:BE)^0.25
/((_xlfn.XLOOKUP(B277,'Base stats'!B:B,'Base stats'!BL:BL))*10)*_xlfn.XLOOKUP(_xlfn.XLOOKUP(B277,'Base stats'!B:B,'Base stats'!E:E),Groups!A:A,Groups!Q:Q)*150 + 0.5 + _xlfn.XLOOKUP(B277,'Base stats'!B:B,'Base stats'!BW:BW),
0.05))</f>
        <v>No</v>
      </c>
      <c r="K277" s="3" t="str">
        <f>IF(Animals!X277="No","No",
IF(_xlfn.XLOOKUP(_xlfn.XLOOKUP(B277,'Base stats'!B:B,'Base stats'!E:E),Groups!A:A,Groups!BD:BD)=1,
MAX(MROUND(_xlfn.XLOOKUP(B277,'Base stats'!B:B,'Base stats'!BU:BU) * _xlfn.XLOOKUP(B277,'Base stats'!B:B,'Base stats'!BQ:BQ)^0.9 / 21 *_xlfn.XLOOKUP(B277,'Base stats'!B:B,'Base stats'!BX:BX),0.1),0.05),
MAX(MROUND(((MIN(10,_xlfn.XLOOKUP(B277,'Base stats'!B:B,'Base stats'!W:W)))^0.4*_xlfn.XLOOKUP(B277,'Base stats'!B:B,'Base stats'!BI:BI)^0.73)^0.6 *_xlfn.XLOOKUP(B277,'Base stats'!B:B,'Base stats'!BX:BX),0.1),0.05)
))</f>
        <v>No</v>
      </c>
      <c r="L277" s="11" t="str">
        <f>IF(K277="No","No",
MROUND(_xlfn.XLOOKUP(B277,'Base stats'!B:B,'Base stats'!BI:BI) * 0.01 *2 + 0.05, 0.05)
)</f>
        <v>No</v>
      </c>
      <c r="M277" s="5" t="str">
        <f>IF(K277="No","No",IF(_xlfn.XLOOKUP(_xlfn.XLOOKUP(B277,'Base stats'!B:B,'Base stats'!E:E),Groups!A:A,Groups!BD:BD)=1,"No",
MROUND(_xlfn.XLOOKUP(B277,'Base stats'!B:B,'Base stats'!BU:BU)/10000+0.01,0.01)
))</f>
        <v>No</v>
      </c>
      <c r="N277" s="4" t="str">
        <f>IF(K277="No","No",
MROUND(
  _xlfn.XLOOKUP(B277,'Base stats'!B:B,'Base stats'!BC:BC)^0.25
  / (_xlfn.XLOOKUP(B277,'Base stats'!B:B,'Base stats'!BM:BM) * 10)
  * _xlfn.XLOOKUP(
      _xlfn.XLOOKUP(B277,'Base stats'!B:B,'Base stats'!E:E),
      Groups!A:A,
      Groups!V:V
    ) * 150
  + MIN(12, _xlfn.XLOOKUP(B277,'Base stats'!B:B,'Base stats'!W:W))^(1/IF(_xlfn.XLOOKUP(_xlfn.XLOOKUP(B277,'Base stats'!B:B,'Base stats'!E:E),Groups!A:A,Groups!U:U)=1,100,10)) + 0.5 + _xlfn.XLOOKUP(B277,'Base stats'!B:B,'Base stats'!BW:BW),
0.05))</f>
        <v>No</v>
      </c>
      <c r="O277" s="3">
        <f>IF(Animals!AD277="No","No",
MAX(MROUND((MIN(10,_xlfn.XLOOKUP(B277,'Base stats'!B:B,'Base stats'!V:V)*IF(_xlfn.XLOOKUP(_xlfn.XLOOKUP(B277,'Base stats'!B:B,'Base stats'!E:E),Groups!A:A,Groups!O:O)=0,1,0.33))^0.4*_xlfn.XLOOKUP(B277,'Base stats'!B:B,'Base stats'!BJ:BJ)^0.73)^0.6 *_xlfn.XLOOKUP(B277,'Base stats'!B:B,'Base stats'!BX:BX),0.1),0.05)
)</f>
        <v>6.7</v>
      </c>
      <c r="P277" s="11">
        <f>IF(O277="No","No",
MROUND(_xlfn.XLOOKUP(B277,'Base stats'!B:B,'Base stats'!BJ:BJ) * 0.01 * 2 + 0.05, 0.05)
)</f>
        <v>1.3</v>
      </c>
      <c r="Q277" s="5">
        <f>IF(O277="No","No",
MROUND(_xlfn.XLOOKUP(B277,'Base stats'!B:B,'Base stats'!BV:BV)/10000+0.01,0.01)
)</f>
        <v>0.76</v>
      </c>
      <c r="R277" s="4">
        <f>IF(O277="No","No",
MROUND(_xlfn.XLOOKUP(B277,'Base stats'!B:B,'Base stats'!BB:BB)^0.25
/((_xlfn.XLOOKUP(B277,'Base stats'!B:B,'Base stats'!BN:BN))*10)*_xlfn.XLOOKUP(_xlfn.XLOOKUP(B277,'Base stats'!B:B,'Base stats'!E:E),Groups!A:A,Groups!Z:Z)*150 + 0.5 + _xlfn.XLOOKUP(B277,'Base stats'!B:B,'Base stats'!BW:BW),
0.05))</f>
        <v>2.0500000000000003</v>
      </c>
      <c r="S277" s="3">
        <f>IF(Animals!AI277="No","No",
IF(_xlfn.XLOOKUP(B277,'Base stats'!B:B,'Base stats'!U:U)="No",
MAX(MROUND(_xlfn.XLOOKUP(B277,'Base stats'!B:B,'Base stats'!BT:BT) * _xlfn.XLOOKUP(B277,'Base stats'!B:B,'Base stats'!BP:BP)^0.9 / 21 * _xlfn.XLOOKUP(B277,'Base stats'!B:B,'Base stats'!BX:BX),0.1),0.05),
MAX(MROUND(((MIN(12,_xlfn.XLOOKUP(B277,'Base stats'!B:B,'Base stats'!U:U)))^0.4*_xlfn.XLOOKUP(B277,'Base stats'!B:B,'Base stats'!BH:BH)^0.73)^0.6 * _xlfn.XLOOKUP(B277,'Base stats'!B:B,'Base stats'!BX:BX),0.1),0.05)
))</f>
        <v>2.2000000000000002</v>
      </c>
      <c r="T277" s="11">
        <f>IF(S277="No","No",
MROUND(_xlfn.XLOOKUP(B277,'Base stats'!B:B,'Base stats'!BH:BH) * 0.01 * 2 + 0.05, 0.05)
)</f>
        <v>1.1000000000000001</v>
      </c>
      <c r="U277" s="5" t="str">
        <f>IF(S277="No","No",IF(_xlfn.XLOOKUP(B277,'Base stats'!B:B,'Base stats'!U:U)="No","No",
MROUND(_xlfn.XLOOKUP(B277,'Base stats'!B:B,'Base stats'!BT:BT)/10000+0.01,0.01)
))</f>
        <v>No</v>
      </c>
      <c r="V277" s="4">
        <f>IF(S277="No","No",
MROUND(_xlfn.XLOOKUP(B277,'Base stats'!B:B,'Base stats'!BF:BF)^0.25
/((_xlfn.XLOOKUP(B277,'Base stats'!B:B,'Base stats'!BO:BO))*10)*_xlfn.XLOOKUP(_xlfn.XLOOKUP(B277,'Base stats'!B:B,'Base stats'!E:E),Groups!A:A,Groups!AE:AE)*150 + 0.5 + _xlfn.XLOOKUP(B277,'Base stats'!B:B,'Base stats'!BW:BW),
0.05))</f>
        <v>1.85</v>
      </c>
      <c r="W277" s="8">
        <f>MROUND(_xlfn.XLOOKUP(_xlfn.XLOOKUP(B277,'Base stats'!B:B,'Base stats'!E:E),Groups!A:A,Groups!BG:BG)*_xlfn.XLOOKUP(B277,'Base stats'!B:B,'Base stats'!C:C)^-0.165,0.05)</f>
        <v>0.5</v>
      </c>
      <c r="X277" s="1">
        <f>MROUND(_xlfn.XLOOKUP(_xlfn.XLOOKUP(B277,'Base stats'!B:B,'Base stats'!E:E),Groups!A:A,Groups!BH:BH)*_xlfn.XLOOKUP(B277,'Base stats'!B:B,'Base stats'!C:C)^0.165,0.05)</f>
        <v>0.2</v>
      </c>
      <c r="Y277" s="8">
        <f>MROUND(_xlfn.XLOOKUP(_xlfn.XLOOKUP(B277,'Base stats'!B:B,'Base stats'!E:E),Groups!A:A,Groups!BI:BI)*_xlfn.XLOOKUP(B277,'Base stats'!B:B,'Base stats'!C:C)^0.165,0.05)</f>
        <v>0.1</v>
      </c>
      <c r="Z277" s="18">
        <f>MROUND(_xlfn.XLOOKUP(B277,'Base stats'!B:B,'Base stats'!AQ:AQ)*_xlfn.XLOOKUP(_xlfn.XLOOKUP(B277,'Base stats'!B:B,'Base stats'!E:E),Groups!A:A,Groups!H:H)/1000,IF((_xlfn.XLOOKUP(B277,'Base stats'!B:B,'Base stats'!AQ:AQ)*_xlfn.XLOOKUP(_xlfn.XLOOKUP(B277,'Base stats'!B:B,'Base stats'!E:E),Groups!A:A,Groups!H:H)/1000)&gt;1,0.05,0.01))</f>
        <v>0.34</v>
      </c>
      <c r="AA277" s="18">
        <f>MROUND((1/2)*(_xlfn.XLOOKUP(_xlfn.XLOOKUP(B277,'Base stats'!B:B,'Base stats'!E:E),Groups!A:A,Groups!H:H)*_xlfn.XLOOKUP(_xlfn.XLOOKUP(B277,'Base stats'!B:B,'Base stats'!E:E),Groups!A:A,Groups!I:I))*_xlfn.XLOOKUP(B277,'Base stats'!B:B,'Base stats'!AQ:AQ)*0.01,0.05)</f>
        <v>3.3000000000000003</v>
      </c>
      <c r="AB277" s="18">
        <f>MROUND(250*(Animals!AO277+Animals!AP277),25)</f>
        <v>500</v>
      </c>
      <c r="AC277" s="18" t="str">
        <f>_xlfn.XLOOKUP(_xlfn.XLOOKUP(B277,'Base stats'!B:B,'Base stats'!E:E),Groups!A:A,Groups!BJ:BJ)</f>
        <v>Humanoid</v>
      </c>
    </row>
    <row r="278" spans="1:29" ht="16.5" thickTop="1" thickBot="1" x14ac:dyDescent="0.3">
      <c r="A278" s="16" t="str">
        <f>Animals!A278</f>
        <v>Gallatross</v>
      </c>
      <c r="B278" s="6" t="str">
        <f>Animals!B278</f>
        <v>Gallus titanicus</v>
      </c>
      <c r="C278" s="1" t="str">
        <f>Animals!C278</f>
        <v>&lt;li&gt;AA_Gallatross&lt;/li&gt;</v>
      </c>
      <c r="D278" s="47">
        <f>MIN(MIN(6,_xlfn.XLOOKUP(A278,Animals!A:A,Animals!AO:AO))*20,MAX(MROUND(_xlfn.XLOOKUP(B278,'Base stats'!B:B,'Base stats'!BS:BS) * (_xlfn.XLOOKUP(B278,'Base stats'!B:B,'Base stats'!AO:AO)*5%)^0.9 / 21,0.1),0.05))</f>
        <v>89.800000000000011</v>
      </c>
      <c r="E278" s="11">
        <f>MROUND(_xlfn.XLOOKUP(B278,'Base stats'!B:B,'Base stats'!BG:BG) * 0.01 * 2 + 0.01, 0.05)</f>
        <v>104.10000000000001</v>
      </c>
      <c r="F278" s="7">
        <f>MROUND(_xlfn.XLOOKUP(B278,'Base stats'!B:B,'Base stats'!BD:BD)^0.25 / (_xlfn.XLOOKUP(B278,'Base stats'!B:B,'Base stats'!BK:BK) * 10) * 150 + 0.5 + _xlfn.XLOOKUP(B278,'Base stats'!B:B,'Base stats'!BW:BW), 0.05)</f>
        <v>3.3000000000000003</v>
      </c>
      <c r="G278" s="3" t="str">
        <f>IF(Animals!S278="No","No",
IF(_xlfn.XLOOKUP(B278,'Base stats'!B:B,'Base stats'!U:U)="No",
MAX(MROUND(_xlfn.XLOOKUP(B278,'Base stats'!B:B,'Base stats'!BT:BT) * _xlfn.XLOOKUP(B278,'Base stats'!B:B,'Base stats'!BP:BP)^0.9 / 21 * _xlfn.XLOOKUP(B278,'Base stats'!B:B,'Base stats'!BX:BX),0.1),0.05),
MAX(MROUND(((MIN(10,_xlfn.XLOOKUP(B278,'Base stats'!B:B,'Base stats'!U:U)))^0.4*_xlfn.XLOOKUP(B278,'Base stats'!B:B,'Base stats'!BH:BH)^0.73)^0.6 * _xlfn.XLOOKUP(B278,'Base stats'!B:B,'Base stats'!BX:BX),0.1),0.05)
))</f>
        <v>No</v>
      </c>
      <c r="H278" s="11" t="str">
        <f>IF(G278="No","No",
MROUND(_xlfn.XLOOKUP(B278,'Base stats'!B:B,'Base stats'!BH:BH) * 0.01 * 2 + 0.05, 0.05)
)</f>
        <v>No</v>
      </c>
      <c r="I278" s="11" t="str">
        <f>IF(G278="No","No",IF(_xlfn.XLOOKUP(B278,'Base stats'!B:B,'Base stats'!U:U)="No","No",
MROUND(_xlfn.XLOOKUP(B278,'Base stats'!B:B,'Base stats'!BT:BT)/10000+0.01,0.01)
))</f>
        <v>No</v>
      </c>
      <c r="J278" s="4" t="str">
        <f>IF(G278="No","No",
MROUND(_xlfn.XLOOKUP(B278,'Base stats'!B:B,'Base stats'!BE:BE)^0.25
/((_xlfn.XLOOKUP(B278,'Base stats'!B:B,'Base stats'!BL:BL))*10)*_xlfn.XLOOKUP(_xlfn.XLOOKUP(B278,'Base stats'!B:B,'Base stats'!E:E),Groups!A:A,Groups!Q:Q)*150 + 0.5 + _xlfn.XLOOKUP(B278,'Base stats'!B:B,'Base stats'!BW:BW),
0.05))</f>
        <v>No</v>
      </c>
      <c r="K278" s="3">
        <f>IF(Animals!X278="No","No",
IF(_xlfn.XLOOKUP(_xlfn.XLOOKUP(B278,'Base stats'!B:B,'Base stats'!E:E),Groups!A:A,Groups!BD:BD)=1,
MAX(MROUND(_xlfn.XLOOKUP(B278,'Base stats'!B:B,'Base stats'!BU:BU) * _xlfn.XLOOKUP(B278,'Base stats'!B:B,'Base stats'!BQ:BQ)^0.9 / 21 *_xlfn.XLOOKUP(B278,'Base stats'!B:B,'Base stats'!BX:BX),0.1),0.05),
MAX(MROUND(((MIN(10,_xlfn.XLOOKUP(B278,'Base stats'!B:B,'Base stats'!W:W)))^0.4*_xlfn.XLOOKUP(B278,'Base stats'!B:B,'Base stats'!BI:BI)^0.73)^0.6 *_xlfn.XLOOKUP(B278,'Base stats'!B:B,'Base stats'!BX:BX),0.1),0.05)
))</f>
        <v>79.900000000000006</v>
      </c>
      <c r="L278" s="11">
        <f>IF(K278="No","No",
MROUND(_xlfn.XLOOKUP(B278,'Base stats'!B:B,'Base stats'!BI:BI) * 0.01 *2 + 0.05, 0.05)
)</f>
        <v>124.95</v>
      </c>
      <c r="M278" s="5">
        <f>IF(K278="No","No",IF(_xlfn.XLOOKUP(_xlfn.XLOOKUP(B278,'Base stats'!B:B,'Base stats'!E:E),Groups!A:A,Groups!BD:BD)=1,"No",
MROUND(_xlfn.XLOOKUP(B278,'Base stats'!B:B,'Base stats'!BU:BU)/10000+0.01,0.01)
))</f>
        <v>49.77</v>
      </c>
      <c r="N278" s="4">
        <f>IF(K278="No","No",
MROUND(
  _xlfn.XLOOKUP(B278,'Base stats'!B:B,'Base stats'!BC:BC)^0.25
  / (_xlfn.XLOOKUP(B278,'Base stats'!B:B,'Base stats'!BM:BM) * 10)
  * _xlfn.XLOOKUP(
      _xlfn.XLOOKUP(B278,'Base stats'!B:B,'Base stats'!E:E),
      Groups!A:A,
      Groups!V:V
    ) * 150
  + MIN(12, _xlfn.XLOOKUP(B278,'Base stats'!B:B,'Base stats'!W:W))^(1/IF(_xlfn.XLOOKUP(_xlfn.XLOOKUP(B278,'Base stats'!B:B,'Base stats'!E:E),Groups!A:A,Groups!U:U)=1,100,10)) + 0.5 + _xlfn.XLOOKUP(B278,'Base stats'!B:B,'Base stats'!BW:BW),
0.05))</f>
        <v>3.25</v>
      </c>
      <c r="O278" s="3">
        <f>IF(Animals!AD278="No","No",
MAX(MROUND((MIN(10,_xlfn.XLOOKUP(B278,'Base stats'!B:B,'Base stats'!V:V)*IF(_xlfn.XLOOKUP(_xlfn.XLOOKUP(B278,'Base stats'!B:B,'Base stats'!E:E),Groups!A:A,Groups!O:O)=0,1,0.33))^0.4*_xlfn.XLOOKUP(B278,'Base stats'!B:B,'Base stats'!BJ:BJ)^0.73)^0.6 *_xlfn.XLOOKUP(B278,'Base stats'!B:B,'Base stats'!BX:BX),0.1),0.05)
)</f>
        <v>65.5</v>
      </c>
      <c r="P278" s="11">
        <f>IF(O278="No","No",
MROUND(_xlfn.XLOOKUP(B278,'Base stats'!B:B,'Base stats'!BJ:BJ) * 0.01 * 2 + 0.05, 0.05)
)</f>
        <v>79.45</v>
      </c>
      <c r="Q278" s="5">
        <f>IF(O278="No","No",
MROUND(_xlfn.XLOOKUP(B278,'Base stats'!B:B,'Base stats'!BV:BV)/10000+0.01,0.01)
)</f>
        <v>5.7700000000000005</v>
      </c>
      <c r="R278" s="4">
        <f>IF(O278="No","No",
MROUND(_xlfn.XLOOKUP(B278,'Base stats'!B:B,'Base stats'!BB:BB)^0.25
/((_xlfn.XLOOKUP(B278,'Base stats'!B:B,'Base stats'!BN:BN))*10)*_xlfn.XLOOKUP(_xlfn.XLOOKUP(B278,'Base stats'!B:B,'Base stats'!E:E),Groups!A:A,Groups!Z:Z)*150 + 0.5 + _xlfn.XLOOKUP(B278,'Base stats'!B:B,'Base stats'!BW:BW),
0.05))</f>
        <v>2.8000000000000003</v>
      </c>
      <c r="S278" s="3">
        <f>IF(Animals!AI278="No","No",
IF(_xlfn.XLOOKUP(B278,'Base stats'!B:B,'Base stats'!U:U)="No",
MAX(MROUND(_xlfn.XLOOKUP(B278,'Base stats'!B:B,'Base stats'!BT:BT) * _xlfn.XLOOKUP(B278,'Base stats'!B:B,'Base stats'!BP:BP)^0.9 / 21 * _xlfn.XLOOKUP(B278,'Base stats'!B:B,'Base stats'!BX:BX),0.1),0.05),
MAX(MROUND(((MIN(12,_xlfn.XLOOKUP(B278,'Base stats'!B:B,'Base stats'!U:U)))^0.4*_xlfn.XLOOKUP(B278,'Base stats'!B:B,'Base stats'!BH:BH)^0.73)^0.6 * _xlfn.XLOOKUP(B278,'Base stats'!B:B,'Base stats'!BX:BX),0.1),0.05)
))</f>
        <v>71.100000000000009</v>
      </c>
      <c r="T278" s="11">
        <f>IF(S278="No","No",
MROUND(_xlfn.XLOOKUP(B278,'Base stats'!B:B,'Base stats'!BH:BH) * 0.01 * 2 + 0.05, 0.05)
)</f>
        <v>86.75</v>
      </c>
      <c r="U278" s="5">
        <f>IF(S278="No","No",IF(_xlfn.XLOOKUP(B278,'Base stats'!B:B,'Base stats'!U:U)="No","No",
MROUND(_xlfn.XLOOKUP(B278,'Base stats'!B:B,'Base stats'!BT:BT)/10000+0.01,0.01)
))</f>
        <v>6.3</v>
      </c>
      <c r="V278" s="4">
        <f>IF(S278="No","No",
MROUND(_xlfn.XLOOKUP(B278,'Base stats'!B:B,'Base stats'!BF:BF)^0.25
/((_xlfn.XLOOKUP(B278,'Base stats'!B:B,'Base stats'!BO:BO))*10)*_xlfn.XLOOKUP(_xlfn.XLOOKUP(B278,'Base stats'!B:B,'Base stats'!E:E),Groups!A:A,Groups!AE:AE)*150 + 0.5 + _xlfn.XLOOKUP(B278,'Base stats'!B:B,'Base stats'!BW:BW),
0.05))</f>
        <v>3.4000000000000004</v>
      </c>
      <c r="W278" s="8">
        <f>MROUND(_xlfn.XLOOKUP(_xlfn.XLOOKUP(B278,'Base stats'!B:B,'Base stats'!E:E),Groups!A:A,Groups!BG:BG)*_xlfn.XLOOKUP(B278,'Base stats'!B:B,'Base stats'!C:C)^-0.165,0.05)</f>
        <v>0.15000000000000002</v>
      </c>
      <c r="X278" s="1">
        <f>MROUND(_xlfn.XLOOKUP(_xlfn.XLOOKUP(B278,'Base stats'!B:B,'Base stats'!E:E),Groups!A:A,Groups!BH:BH)*_xlfn.XLOOKUP(B278,'Base stats'!B:B,'Base stats'!C:C)^0.165,0.05)</f>
        <v>0.70000000000000007</v>
      </c>
      <c r="Y278" s="8">
        <f>MROUND(_xlfn.XLOOKUP(_xlfn.XLOOKUP(B278,'Base stats'!B:B,'Base stats'!E:E),Groups!A:A,Groups!BI:BI)*_xlfn.XLOOKUP(B278,'Base stats'!B:B,'Base stats'!C:C)^0.165,0.05)</f>
        <v>0.25</v>
      </c>
      <c r="Z278" s="18">
        <f>MROUND(_xlfn.XLOOKUP(B278,'Base stats'!B:B,'Base stats'!AQ:AQ)*_xlfn.XLOOKUP(_xlfn.XLOOKUP(B278,'Base stats'!B:B,'Base stats'!E:E),Groups!A:A,Groups!H:H)/1000,IF((_xlfn.XLOOKUP(B278,'Base stats'!B:B,'Base stats'!AQ:AQ)*_xlfn.XLOOKUP(_xlfn.XLOOKUP(B278,'Base stats'!B:B,'Base stats'!E:E),Groups!A:A,Groups!H:H)/1000)&gt;1,0.05,0.01))</f>
        <v>11.350000000000001</v>
      </c>
      <c r="AA278" s="18">
        <f>MROUND((1/2)*(_xlfn.XLOOKUP(_xlfn.XLOOKUP(B278,'Base stats'!B:B,'Base stats'!E:E),Groups!A:A,Groups!H:H)*_xlfn.XLOOKUP(_xlfn.XLOOKUP(B278,'Base stats'!B:B,'Base stats'!E:E),Groups!A:A,Groups!I:I))*_xlfn.XLOOKUP(B278,'Base stats'!B:B,'Base stats'!AQ:AQ)*0.01,0.05)</f>
        <v>17</v>
      </c>
      <c r="AB278" s="18">
        <f>MROUND(250*(Animals!AO278+Animals!AP278),25)</f>
        <v>13750</v>
      </c>
      <c r="AC278" s="18" t="str">
        <f>_xlfn.XLOOKUP(_xlfn.XLOOKUP(B278,'Base stats'!B:B,'Base stats'!E:E),Groups!A:A,Groups!BJ:BJ)</f>
        <v>QuadrupedTall</v>
      </c>
    </row>
    <row r="279" spans="1:29" ht="16.5" thickTop="1" thickBot="1" x14ac:dyDescent="0.3">
      <c r="A279" s="16" t="str">
        <f>Animals!A279</f>
        <v>GallatrossMoribund</v>
      </c>
      <c r="B279" s="6" t="str">
        <f>Animals!B279</f>
        <v>Gallus titanicus (moribund)</v>
      </c>
      <c r="C279" s="1" t="str">
        <f>Animals!C279</f>
        <v>&lt;li&gt;AA_GallatrossMoribund&lt;/li&gt;</v>
      </c>
      <c r="D279" s="47">
        <f>MIN(MIN(6,_xlfn.XLOOKUP(A279,Animals!A:A,Animals!AO:AO))*20,MAX(MROUND(_xlfn.XLOOKUP(B279,'Base stats'!B:B,'Base stats'!BS:BS) * (_xlfn.XLOOKUP(B279,'Base stats'!B:B,'Base stats'!AO:AO)*5%)^0.9 / 21,0.1),0.05))</f>
        <v>89.800000000000011</v>
      </c>
      <c r="E279" s="11">
        <f>MROUND(_xlfn.XLOOKUP(B279,'Base stats'!B:B,'Base stats'!BG:BG) * 0.01 * 2 + 0.01, 0.05)</f>
        <v>104.10000000000001</v>
      </c>
      <c r="F279" s="7">
        <f>MROUND(_xlfn.XLOOKUP(B279,'Base stats'!B:B,'Base stats'!BD:BD)^0.25 / (_xlfn.XLOOKUP(B279,'Base stats'!B:B,'Base stats'!BK:BK) * 10) * 150 + 0.5 + _xlfn.XLOOKUP(B279,'Base stats'!B:B,'Base stats'!BW:BW), 0.05)</f>
        <v>3.3000000000000003</v>
      </c>
      <c r="G279" s="3" t="str">
        <f>IF(Animals!S279="No","No",
IF(_xlfn.XLOOKUP(B279,'Base stats'!B:B,'Base stats'!U:U)="No",
MAX(MROUND(_xlfn.XLOOKUP(B279,'Base stats'!B:B,'Base stats'!BT:BT) * _xlfn.XLOOKUP(B279,'Base stats'!B:B,'Base stats'!BP:BP)^0.9 / 21 * _xlfn.XLOOKUP(B279,'Base stats'!B:B,'Base stats'!BX:BX),0.1),0.05),
MAX(MROUND(((MIN(10,_xlfn.XLOOKUP(B279,'Base stats'!B:B,'Base stats'!U:U)))^0.4*_xlfn.XLOOKUP(B279,'Base stats'!B:B,'Base stats'!BH:BH)^0.73)^0.6 * _xlfn.XLOOKUP(B279,'Base stats'!B:B,'Base stats'!BX:BX),0.1),0.05)
))</f>
        <v>No</v>
      </c>
      <c r="H279" s="11" t="str">
        <f>IF(G279="No","No",
MROUND(_xlfn.XLOOKUP(B279,'Base stats'!B:B,'Base stats'!BH:BH) * 0.01 * 2 + 0.05, 0.05)
)</f>
        <v>No</v>
      </c>
      <c r="I279" s="11" t="str">
        <f>IF(G279="No","No",IF(_xlfn.XLOOKUP(B279,'Base stats'!B:B,'Base stats'!U:U)="No","No",
MROUND(_xlfn.XLOOKUP(B279,'Base stats'!B:B,'Base stats'!BT:BT)/10000+0.01,0.01)
))</f>
        <v>No</v>
      </c>
      <c r="J279" s="4" t="str">
        <f>IF(G279="No","No",
MROUND(_xlfn.XLOOKUP(B279,'Base stats'!B:B,'Base stats'!BE:BE)^0.25
/((_xlfn.XLOOKUP(B279,'Base stats'!B:B,'Base stats'!BL:BL))*10)*_xlfn.XLOOKUP(_xlfn.XLOOKUP(B279,'Base stats'!B:B,'Base stats'!E:E),Groups!A:A,Groups!Q:Q)*150 + 0.5 + _xlfn.XLOOKUP(B279,'Base stats'!B:B,'Base stats'!BW:BW),
0.05))</f>
        <v>No</v>
      </c>
      <c r="K279" s="3">
        <f>IF(Animals!X279="No","No",
IF(_xlfn.XLOOKUP(_xlfn.XLOOKUP(B279,'Base stats'!B:B,'Base stats'!E:E),Groups!A:A,Groups!BD:BD)=1,
MAX(MROUND(_xlfn.XLOOKUP(B279,'Base stats'!B:B,'Base stats'!BU:BU) * _xlfn.XLOOKUP(B279,'Base stats'!B:B,'Base stats'!BQ:BQ)^0.9 / 21 *_xlfn.XLOOKUP(B279,'Base stats'!B:B,'Base stats'!BX:BX),0.1),0.05),
MAX(MROUND(((MIN(10,_xlfn.XLOOKUP(B279,'Base stats'!B:B,'Base stats'!W:W)))^0.4*_xlfn.XLOOKUP(B279,'Base stats'!B:B,'Base stats'!BI:BI)^0.73)^0.6 *_xlfn.XLOOKUP(B279,'Base stats'!B:B,'Base stats'!BX:BX),0.1),0.05)
))</f>
        <v>79.900000000000006</v>
      </c>
      <c r="L279" s="11">
        <f>IF(K279="No","No",
MROUND(_xlfn.XLOOKUP(B279,'Base stats'!B:B,'Base stats'!BI:BI) * 0.01 *2 + 0.05, 0.05)
)</f>
        <v>124.95</v>
      </c>
      <c r="M279" s="5">
        <f>IF(K279="No","No",IF(_xlfn.XLOOKUP(_xlfn.XLOOKUP(B279,'Base stats'!B:B,'Base stats'!E:E),Groups!A:A,Groups!BD:BD)=1,"No",
MROUND(_xlfn.XLOOKUP(B279,'Base stats'!B:B,'Base stats'!BU:BU)/10000+0.01,0.01)
))</f>
        <v>49.77</v>
      </c>
      <c r="N279" s="4">
        <f>IF(K279="No","No",
MROUND(
  _xlfn.XLOOKUP(B279,'Base stats'!B:B,'Base stats'!BC:BC)^0.25
  / (_xlfn.XLOOKUP(B279,'Base stats'!B:B,'Base stats'!BM:BM) * 10)
  * _xlfn.XLOOKUP(
      _xlfn.XLOOKUP(B279,'Base stats'!B:B,'Base stats'!E:E),
      Groups!A:A,
      Groups!V:V
    ) * 150
  + MIN(12, _xlfn.XLOOKUP(B279,'Base stats'!B:B,'Base stats'!W:W))^(1/IF(_xlfn.XLOOKUP(_xlfn.XLOOKUP(B279,'Base stats'!B:B,'Base stats'!E:E),Groups!A:A,Groups!U:U)=1,100,10)) + 0.5 + _xlfn.XLOOKUP(B279,'Base stats'!B:B,'Base stats'!BW:BW),
0.05))</f>
        <v>3.25</v>
      </c>
      <c r="O279" s="3">
        <f>IF(Animals!AD279="No","No",
MAX(MROUND((MIN(10,_xlfn.XLOOKUP(B279,'Base stats'!B:B,'Base stats'!V:V)*IF(_xlfn.XLOOKUP(_xlfn.XLOOKUP(B279,'Base stats'!B:B,'Base stats'!E:E),Groups!A:A,Groups!O:O)=0,1,0.33))^0.4*_xlfn.XLOOKUP(B279,'Base stats'!B:B,'Base stats'!BJ:BJ)^0.73)^0.6 *_xlfn.XLOOKUP(B279,'Base stats'!B:B,'Base stats'!BX:BX),0.1),0.05)
)</f>
        <v>65.5</v>
      </c>
      <c r="P279" s="11">
        <f>IF(O279="No","No",
MROUND(_xlfn.XLOOKUP(B279,'Base stats'!B:B,'Base stats'!BJ:BJ) * 0.01 * 2 + 0.05, 0.05)
)</f>
        <v>79.45</v>
      </c>
      <c r="Q279" s="5">
        <f>IF(O279="No","No",
MROUND(_xlfn.XLOOKUP(B279,'Base stats'!B:B,'Base stats'!BV:BV)/10000+0.01,0.01)
)</f>
        <v>5.7700000000000005</v>
      </c>
      <c r="R279" s="4">
        <f>IF(O279="No","No",
MROUND(_xlfn.XLOOKUP(B279,'Base stats'!B:B,'Base stats'!BB:BB)^0.25
/((_xlfn.XLOOKUP(B279,'Base stats'!B:B,'Base stats'!BN:BN))*10)*_xlfn.XLOOKUP(_xlfn.XLOOKUP(B279,'Base stats'!B:B,'Base stats'!E:E),Groups!A:A,Groups!Z:Z)*150 + 0.5 + _xlfn.XLOOKUP(B279,'Base stats'!B:B,'Base stats'!BW:BW),
0.05))</f>
        <v>2.8000000000000003</v>
      </c>
      <c r="S279" s="3">
        <f>IF(Animals!AI279="No","No",
IF(_xlfn.XLOOKUP(B279,'Base stats'!B:B,'Base stats'!U:U)="No",
MAX(MROUND(_xlfn.XLOOKUP(B279,'Base stats'!B:B,'Base stats'!BT:BT) * _xlfn.XLOOKUP(B279,'Base stats'!B:B,'Base stats'!BP:BP)^0.9 / 21 * _xlfn.XLOOKUP(B279,'Base stats'!B:B,'Base stats'!BX:BX),0.1),0.05),
MAX(MROUND(((MIN(12,_xlfn.XLOOKUP(B279,'Base stats'!B:B,'Base stats'!U:U)))^0.4*_xlfn.XLOOKUP(B279,'Base stats'!B:B,'Base stats'!BH:BH)^0.73)^0.6 * _xlfn.XLOOKUP(B279,'Base stats'!B:B,'Base stats'!BX:BX),0.1),0.05)
))</f>
        <v>71.100000000000009</v>
      </c>
      <c r="T279" s="11">
        <f>IF(S279="No","No",
MROUND(_xlfn.XLOOKUP(B279,'Base stats'!B:B,'Base stats'!BH:BH) * 0.01 * 2 + 0.05, 0.05)
)</f>
        <v>86.75</v>
      </c>
      <c r="U279" s="5">
        <f>IF(S279="No","No",IF(_xlfn.XLOOKUP(B279,'Base stats'!B:B,'Base stats'!U:U)="No","No",
MROUND(_xlfn.XLOOKUP(B279,'Base stats'!B:B,'Base stats'!BT:BT)/10000+0.01,0.01)
))</f>
        <v>6.3</v>
      </c>
      <c r="V279" s="4">
        <f>IF(S279="No","No",
MROUND(_xlfn.XLOOKUP(B279,'Base stats'!B:B,'Base stats'!BF:BF)^0.25
/((_xlfn.XLOOKUP(B279,'Base stats'!B:B,'Base stats'!BO:BO))*10)*_xlfn.XLOOKUP(_xlfn.XLOOKUP(B279,'Base stats'!B:B,'Base stats'!E:E),Groups!A:A,Groups!AE:AE)*150 + 0.5 + _xlfn.XLOOKUP(B279,'Base stats'!B:B,'Base stats'!BW:BW),
0.05))</f>
        <v>3.4000000000000004</v>
      </c>
      <c r="W279" s="8">
        <f>MROUND(_xlfn.XLOOKUP(_xlfn.XLOOKUP(B279,'Base stats'!B:B,'Base stats'!E:E),Groups!A:A,Groups!BG:BG)*_xlfn.XLOOKUP(B279,'Base stats'!B:B,'Base stats'!C:C)^-0.165,0.05)</f>
        <v>0.15000000000000002</v>
      </c>
      <c r="X279" s="1">
        <f>MROUND(_xlfn.XLOOKUP(_xlfn.XLOOKUP(B279,'Base stats'!B:B,'Base stats'!E:E),Groups!A:A,Groups!BH:BH)*_xlfn.XLOOKUP(B279,'Base stats'!B:B,'Base stats'!C:C)^0.165,0.05)</f>
        <v>0.70000000000000007</v>
      </c>
      <c r="Y279" s="8">
        <f>MROUND(_xlfn.XLOOKUP(_xlfn.XLOOKUP(B279,'Base stats'!B:B,'Base stats'!E:E),Groups!A:A,Groups!BI:BI)*_xlfn.XLOOKUP(B279,'Base stats'!B:B,'Base stats'!C:C)^0.165,0.05)</f>
        <v>0.25</v>
      </c>
      <c r="Z279" s="18">
        <f>MROUND(_xlfn.XLOOKUP(B279,'Base stats'!B:B,'Base stats'!AQ:AQ)*_xlfn.XLOOKUP(_xlfn.XLOOKUP(B279,'Base stats'!B:B,'Base stats'!E:E),Groups!A:A,Groups!H:H)/1000,IF((_xlfn.XLOOKUP(B279,'Base stats'!B:B,'Base stats'!AQ:AQ)*_xlfn.XLOOKUP(_xlfn.XLOOKUP(B279,'Base stats'!B:B,'Base stats'!E:E),Groups!A:A,Groups!H:H)/1000)&gt;1,0.05,0.01))</f>
        <v>11.350000000000001</v>
      </c>
      <c r="AA279" s="18">
        <f>MROUND((1/2)*(_xlfn.XLOOKUP(_xlfn.XLOOKUP(B279,'Base stats'!B:B,'Base stats'!E:E),Groups!A:A,Groups!H:H)*_xlfn.XLOOKUP(_xlfn.XLOOKUP(B279,'Base stats'!B:B,'Base stats'!E:E),Groups!A:A,Groups!I:I))*_xlfn.XLOOKUP(B279,'Base stats'!B:B,'Base stats'!AQ:AQ)*0.01,0.05)</f>
        <v>17</v>
      </c>
      <c r="AB279" s="18">
        <f>MROUND(250*(Animals!AO279+Animals!AP279),25)</f>
        <v>13750</v>
      </c>
      <c r="AC279" s="18" t="str">
        <f>_xlfn.XLOOKUP(_xlfn.XLOOKUP(B279,'Base stats'!B:B,'Base stats'!E:E),Groups!A:A,Groups!BJ:BJ)</f>
        <v>QuadrupedTall</v>
      </c>
    </row>
    <row r="280" spans="1:29" ht="16.5" thickTop="1" thickBot="1" x14ac:dyDescent="0.3">
      <c r="A280" s="16" t="str">
        <f>Animals!A280</f>
        <v>Genix</v>
      </c>
      <c r="B280" s="6" t="str">
        <f>Animals!B280</f>
        <v>Genix ferox</v>
      </c>
      <c r="C280" s="1" t="str">
        <f>Animals!C280</f>
        <v>&lt;li&gt;AA_Genix&lt;/li&gt;</v>
      </c>
      <c r="D280" s="47">
        <f>MIN(MIN(6,_xlfn.XLOOKUP(A280,Animals!A:A,Animals!AO:AO))*20,MAX(MROUND(_xlfn.XLOOKUP(B280,'Base stats'!B:B,'Base stats'!BS:BS) * (_xlfn.XLOOKUP(B280,'Base stats'!B:B,'Base stats'!AO:AO)*5%)^0.9 / 21,0.1),0.05))</f>
        <v>4.9000000000000004</v>
      </c>
      <c r="E280" s="11">
        <f>MROUND(_xlfn.XLOOKUP(B280,'Base stats'!B:B,'Base stats'!BG:BG) * 0.01 * 2 + 0.01, 0.05)</f>
        <v>4.3</v>
      </c>
      <c r="F280" s="7">
        <f>MROUND(_xlfn.XLOOKUP(B280,'Base stats'!B:B,'Base stats'!BD:BD)^0.25 / (_xlfn.XLOOKUP(B280,'Base stats'!B:B,'Base stats'!BK:BK) * 10) * 150 + 0.5 + _xlfn.XLOOKUP(B280,'Base stats'!B:B,'Base stats'!BW:BW), 0.05)</f>
        <v>2.15</v>
      </c>
      <c r="G280" s="3" t="str">
        <f>IF(Animals!S280="No","No",
IF(_xlfn.XLOOKUP(B280,'Base stats'!B:B,'Base stats'!U:U)="No",
MAX(MROUND(_xlfn.XLOOKUP(B280,'Base stats'!B:B,'Base stats'!BT:BT) * _xlfn.XLOOKUP(B280,'Base stats'!B:B,'Base stats'!BP:BP)^0.9 / 21 * _xlfn.XLOOKUP(B280,'Base stats'!B:B,'Base stats'!BX:BX),0.1),0.05),
MAX(MROUND(((MIN(10,_xlfn.XLOOKUP(B280,'Base stats'!B:B,'Base stats'!U:U)))^0.4*_xlfn.XLOOKUP(B280,'Base stats'!B:B,'Base stats'!BH:BH)^0.73)^0.6 * _xlfn.XLOOKUP(B280,'Base stats'!B:B,'Base stats'!BX:BX),0.1),0.05)
))</f>
        <v>No</v>
      </c>
      <c r="H280" s="11" t="str">
        <f>IF(G280="No","No",
MROUND(_xlfn.XLOOKUP(B280,'Base stats'!B:B,'Base stats'!BH:BH) * 0.01 * 2 + 0.05, 0.05)
)</f>
        <v>No</v>
      </c>
      <c r="I280" s="11" t="str">
        <f>IF(G280="No","No",IF(_xlfn.XLOOKUP(B280,'Base stats'!B:B,'Base stats'!U:U)="No","No",
MROUND(_xlfn.XLOOKUP(B280,'Base stats'!B:B,'Base stats'!BT:BT)/10000+0.01,0.01)
))</f>
        <v>No</v>
      </c>
      <c r="J280" s="4" t="str">
        <f>IF(G280="No","No",
MROUND(_xlfn.XLOOKUP(B280,'Base stats'!B:B,'Base stats'!BE:BE)^0.25
/((_xlfn.XLOOKUP(B280,'Base stats'!B:B,'Base stats'!BL:BL))*10)*_xlfn.XLOOKUP(_xlfn.XLOOKUP(B280,'Base stats'!B:B,'Base stats'!E:E),Groups!A:A,Groups!Q:Q)*150 + 0.5 + _xlfn.XLOOKUP(B280,'Base stats'!B:B,'Base stats'!BW:BW),
0.05))</f>
        <v>No</v>
      </c>
      <c r="K280" s="3" t="str">
        <f>IF(Animals!X280="No","No",
IF(_xlfn.XLOOKUP(_xlfn.XLOOKUP(B280,'Base stats'!B:B,'Base stats'!E:E),Groups!A:A,Groups!BD:BD)=1,
MAX(MROUND(_xlfn.XLOOKUP(B280,'Base stats'!B:B,'Base stats'!BU:BU) * _xlfn.XLOOKUP(B280,'Base stats'!B:B,'Base stats'!BQ:BQ)^0.9 / 21 *_xlfn.XLOOKUP(B280,'Base stats'!B:B,'Base stats'!BX:BX),0.1),0.05),
MAX(MROUND(((MIN(10,_xlfn.XLOOKUP(B280,'Base stats'!B:B,'Base stats'!W:W)))^0.4*_xlfn.XLOOKUP(B280,'Base stats'!B:B,'Base stats'!BI:BI)^0.73)^0.6 *_xlfn.XLOOKUP(B280,'Base stats'!B:B,'Base stats'!BX:BX),0.1),0.05)
))</f>
        <v>No</v>
      </c>
      <c r="L280" s="11" t="str">
        <f>IF(K280="No","No",
MROUND(_xlfn.XLOOKUP(B280,'Base stats'!B:B,'Base stats'!BI:BI) * 0.01 *2 + 0.05, 0.05)
)</f>
        <v>No</v>
      </c>
      <c r="M280" s="5" t="str">
        <f>IF(K280="No","No",IF(_xlfn.XLOOKUP(_xlfn.XLOOKUP(B280,'Base stats'!B:B,'Base stats'!E:E),Groups!A:A,Groups!BD:BD)=1,"No",
MROUND(_xlfn.XLOOKUP(B280,'Base stats'!B:B,'Base stats'!BU:BU)/10000+0.01,0.01)
))</f>
        <v>No</v>
      </c>
      <c r="N280" s="4" t="str">
        <f>IF(K280="No","No",
MROUND(
  _xlfn.XLOOKUP(B280,'Base stats'!B:B,'Base stats'!BC:BC)^0.25
  / (_xlfn.XLOOKUP(B280,'Base stats'!B:B,'Base stats'!BM:BM) * 10)
  * _xlfn.XLOOKUP(
      _xlfn.XLOOKUP(B280,'Base stats'!B:B,'Base stats'!E:E),
      Groups!A:A,
      Groups!V:V
    ) * 150
  + MIN(12, _xlfn.XLOOKUP(B280,'Base stats'!B:B,'Base stats'!W:W))^(1/IF(_xlfn.XLOOKUP(_xlfn.XLOOKUP(B280,'Base stats'!B:B,'Base stats'!E:E),Groups!A:A,Groups!U:U)=1,100,10)) + 0.5 + _xlfn.XLOOKUP(B280,'Base stats'!B:B,'Base stats'!BW:BW),
0.05))</f>
        <v>No</v>
      </c>
      <c r="O280" s="3">
        <f>IF(Animals!AD280="No","No",
MAX(MROUND((MIN(10,_xlfn.XLOOKUP(B280,'Base stats'!B:B,'Base stats'!V:V)*IF(_xlfn.XLOOKUP(_xlfn.XLOOKUP(B280,'Base stats'!B:B,'Base stats'!E:E),Groups!A:A,Groups!O:O)=0,1,0.33))^0.4*_xlfn.XLOOKUP(B280,'Base stats'!B:B,'Base stats'!BJ:BJ)^0.73)^0.6 *_xlfn.XLOOKUP(B280,'Base stats'!B:B,'Base stats'!BX:BX),0.1),0.05)
)</f>
        <v>22.400000000000002</v>
      </c>
      <c r="P280" s="11">
        <f>IF(O280="No","No",
MROUND(_xlfn.XLOOKUP(B280,'Base stats'!B:B,'Base stats'!BJ:BJ) * 0.01 * 2 + 0.05, 0.05)
)</f>
        <v>9.9500000000000011</v>
      </c>
      <c r="Q280" s="5">
        <f>IF(O280="No","No",
MROUND(_xlfn.XLOOKUP(B280,'Base stats'!B:B,'Base stats'!BV:BV)/10000+0.01,0.01)
)</f>
        <v>0.42</v>
      </c>
      <c r="R280" s="4">
        <f>IF(O280="No","No",
MROUND(_xlfn.XLOOKUP(B280,'Base stats'!B:B,'Base stats'!BB:BB)^0.25
/((_xlfn.XLOOKUP(B280,'Base stats'!B:B,'Base stats'!BN:BN))*10)*_xlfn.XLOOKUP(_xlfn.XLOOKUP(B280,'Base stats'!B:B,'Base stats'!E:E),Groups!A:A,Groups!Z:Z)*150 + 0.5 + _xlfn.XLOOKUP(B280,'Base stats'!B:B,'Base stats'!BW:BW),
0.05))</f>
        <v>2.0500000000000003</v>
      </c>
      <c r="S280" s="3">
        <f>IF(Animals!AI280="No","No",
IF(_xlfn.XLOOKUP(B280,'Base stats'!B:B,'Base stats'!U:U)="No",
MAX(MROUND(_xlfn.XLOOKUP(B280,'Base stats'!B:B,'Base stats'!BT:BT) * _xlfn.XLOOKUP(B280,'Base stats'!B:B,'Base stats'!BP:BP)^0.9 / 21 * _xlfn.XLOOKUP(B280,'Base stats'!B:B,'Base stats'!BX:BX),0.1),0.05),
MAX(MROUND(((MIN(12,_xlfn.XLOOKUP(B280,'Base stats'!B:B,'Base stats'!U:U)))^0.4*_xlfn.XLOOKUP(B280,'Base stats'!B:B,'Base stats'!BH:BH)^0.73)^0.6 * _xlfn.XLOOKUP(B280,'Base stats'!B:B,'Base stats'!BX:BX),0.1),0.05)
))</f>
        <v>18.3</v>
      </c>
      <c r="T280" s="11">
        <f>IF(S280="No","No",
MROUND(_xlfn.XLOOKUP(B280,'Base stats'!B:B,'Base stats'!BH:BH) * 0.01 * 2 + 0.05, 0.05)
)</f>
        <v>5.3000000000000007</v>
      </c>
      <c r="U280" s="5">
        <f>IF(S280="No","No",IF(_xlfn.XLOOKUP(B280,'Base stats'!B:B,'Base stats'!U:U)="No","No",
MROUND(_xlfn.XLOOKUP(B280,'Base stats'!B:B,'Base stats'!BT:BT)/10000+0.01,0.01)
))</f>
        <v>0.23</v>
      </c>
      <c r="V280" s="4">
        <f>IF(S280="No","No",
MROUND(_xlfn.XLOOKUP(B280,'Base stats'!B:B,'Base stats'!BF:BF)^0.25
/((_xlfn.XLOOKUP(B280,'Base stats'!B:B,'Base stats'!BO:BO))*10)*_xlfn.XLOOKUP(_xlfn.XLOOKUP(B280,'Base stats'!B:B,'Base stats'!E:E),Groups!A:A,Groups!AE:AE)*150 + 0.5 + _xlfn.XLOOKUP(B280,'Base stats'!B:B,'Base stats'!BW:BW),
0.05))</f>
        <v>1.5</v>
      </c>
      <c r="W280" s="8">
        <f>MROUND(_xlfn.XLOOKUP(_xlfn.XLOOKUP(B280,'Base stats'!B:B,'Base stats'!E:E),Groups!A:A,Groups!BG:BG)*_xlfn.XLOOKUP(B280,'Base stats'!B:B,'Base stats'!C:C)^-0.165,0.05)</f>
        <v>0.55000000000000004</v>
      </c>
      <c r="X280" s="1">
        <f>MROUND(_xlfn.XLOOKUP(_xlfn.XLOOKUP(B280,'Base stats'!B:B,'Base stats'!E:E),Groups!A:A,Groups!BH:BH)*_xlfn.XLOOKUP(B280,'Base stats'!B:B,'Base stats'!C:C)^0.165,0.05)</f>
        <v>0.60000000000000009</v>
      </c>
      <c r="Y280" s="8">
        <f>MROUND(_xlfn.XLOOKUP(_xlfn.XLOOKUP(B280,'Base stats'!B:B,'Base stats'!E:E),Groups!A:A,Groups!BI:BI)*_xlfn.XLOOKUP(B280,'Base stats'!B:B,'Base stats'!C:C)^0.165,0.05)</f>
        <v>0.05</v>
      </c>
      <c r="Z280" s="18">
        <f>MROUND(_xlfn.XLOOKUP(B280,'Base stats'!B:B,'Base stats'!AQ:AQ)*_xlfn.XLOOKUP(_xlfn.XLOOKUP(B280,'Base stats'!B:B,'Base stats'!E:E),Groups!A:A,Groups!H:H)/1000,IF((_xlfn.XLOOKUP(B280,'Base stats'!B:B,'Base stats'!AQ:AQ)*_xlfn.XLOOKUP(_xlfn.XLOOKUP(B280,'Base stats'!B:B,'Base stats'!E:E),Groups!A:A,Groups!H:H)/1000)&gt;1,0.05,0.01))</f>
        <v>0.13</v>
      </c>
      <c r="AA280" s="18">
        <f>MROUND((1/2)*(_xlfn.XLOOKUP(_xlfn.XLOOKUP(B280,'Base stats'!B:B,'Base stats'!E:E),Groups!A:A,Groups!H:H)*_xlfn.XLOOKUP(_xlfn.XLOOKUP(B280,'Base stats'!B:B,'Base stats'!E:E),Groups!A:A,Groups!I:I))*_xlfn.XLOOKUP(B280,'Base stats'!B:B,'Base stats'!AQ:AQ)*0.01,0.05)</f>
        <v>0.55000000000000004</v>
      </c>
      <c r="AB280" s="18">
        <f>MROUND(250*(Animals!AO280+Animals!AP280),25)</f>
        <v>950</v>
      </c>
      <c r="AC280" s="18" t="str">
        <f>_xlfn.XLOOKUP(_xlfn.XLOOKUP(B280,'Base stats'!B:B,'Base stats'!E:E),Groups!A:A,Groups!BJ:BJ)</f>
        <v>Quadruped</v>
      </c>
    </row>
    <row r="281" spans="1:29" ht="16.5" thickTop="1" thickBot="1" x14ac:dyDescent="0.3">
      <c r="A281" s="16" t="str">
        <f>Animals!A281</f>
        <v>GiantCrownedSilkie</v>
      </c>
      <c r="B281" s="6" t="str">
        <f>Animals!B281</f>
        <v>Silkie coronatus</v>
      </c>
      <c r="C281" s="1" t="str">
        <f>Animals!C281</f>
        <v>&lt;li&gt;AA_GiantCrownedSilkie&lt;/li&gt;</v>
      </c>
      <c r="D281" s="47">
        <f>MIN(MIN(6,_xlfn.XLOOKUP(A281,Animals!A:A,Animals!AO:AO))*20,MAX(MROUND(_xlfn.XLOOKUP(B281,'Base stats'!B:B,'Base stats'!BS:BS) * (_xlfn.XLOOKUP(B281,'Base stats'!B:B,'Base stats'!AO:AO)*5%)^0.9 / 21,0.1),0.05))</f>
        <v>6.6000000000000005</v>
      </c>
      <c r="E281" s="11">
        <f>MROUND(_xlfn.XLOOKUP(B281,'Base stats'!B:B,'Base stats'!BG:BG) * 0.01 * 2 + 0.01, 0.05)</f>
        <v>5.95</v>
      </c>
      <c r="F281" s="7">
        <f>MROUND(_xlfn.XLOOKUP(B281,'Base stats'!B:B,'Base stats'!BD:BD)^0.25 / (_xlfn.XLOOKUP(B281,'Base stats'!B:B,'Base stats'!BK:BK) * 10) * 150 + 0.5 + _xlfn.XLOOKUP(B281,'Base stats'!B:B,'Base stats'!BW:BW), 0.05)</f>
        <v>1.75</v>
      </c>
      <c r="G281" s="3">
        <f>IF(Animals!S281="No","No",
IF(_xlfn.XLOOKUP(B281,'Base stats'!B:B,'Base stats'!U:U)="No",
MAX(MROUND(_xlfn.XLOOKUP(B281,'Base stats'!B:B,'Base stats'!BT:BT) * _xlfn.XLOOKUP(B281,'Base stats'!B:B,'Base stats'!BP:BP)^0.9 / 21 * _xlfn.XLOOKUP(B281,'Base stats'!B:B,'Base stats'!BX:BX),0.1),0.05),
MAX(MROUND(((MIN(10,_xlfn.XLOOKUP(B281,'Base stats'!B:B,'Base stats'!U:U)))^0.4*_xlfn.XLOOKUP(B281,'Base stats'!B:B,'Base stats'!BH:BH)^0.73)^0.6 * _xlfn.XLOOKUP(B281,'Base stats'!B:B,'Base stats'!BX:BX),0.1),0.05)
))</f>
        <v>20.100000000000001</v>
      </c>
      <c r="H281" s="11">
        <f>IF(G281="No","No",
MROUND(_xlfn.XLOOKUP(B281,'Base stats'!B:B,'Base stats'!BH:BH) * 0.01 * 2 + 0.05, 0.05)
)</f>
        <v>7.15</v>
      </c>
      <c r="I281" s="11">
        <f>IF(G281="No","No",IF(_xlfn.XLOOKUP(B281,'Base stats'!B:B,'Base stats'!U:U)="No","No",
MROUND(_xlfn.XLOOKUP(B281,'Base stats'!B:B,'Base stats'!BT:BT)/10000+0.01,0.01)
))</f>
        <v>0.26</v>
      </c>
      <c r="J281" s="4">
        <f>IF(G281="No","No",
MROUND(_xlfn.XLOOKUP(B281,'Base stats'!B:B,'Base stats'!BE:BE)^0.25
/((_xlfn.XLOOKUP(B281,'Base stats'!B:B,'Base stats'!BL:BL))*10)*_xlfn.XLOOKUP(_xlfn.XLOOKUP(B281,'Base stats'!B:B,'Base stats'!E:E),Groups!A:A,Groups!Q:Q)*150 + 0.5 + _xlfn.XLOOKUP(B281,'Base stats'!B:B,'Base stats'!BW:BW),
0.05))</f>
        <v>3.35</v>
      </c>
      <c r="K281" s="3" t="str">
        <f>IF(Animals!X281="No","No",
IF(_xlfn.XLOOKUP(_xlfn.XLOOKUP(B281,'Base stats'!B:B,'Base stats'!E:E),Groups!A:A,Groups!BD:BD)=1,
MAX(MROUND(_xlfn.XLOOKUP(B281,'Base stats'!B:B,'Base stats'!BU:BU) * _xlfn.XLOOKUP(B281,'Base stats'!B:B,'Base stats'!BQ:BQ)^0.9 / 21 *_xlfn.XLOOKUP(B281,'Base stats'!B:B,'Base stats'!BX:BX),0.1),0.05),
MAX(MROUND(((MIN(10,_xlfn.XLOOKUP(B281,'Base stats'!B:B,'Base stats'!W:W)))^0.4*_xlfn.XLOOKUP(B281,'Base stats'!B:B,'Base stats'!BI:BI)^0.73)^0.6 *_xlfn.XLOOKUP(B281,'Base stats'!B:B,'Base stats'!BX:BX),0.1),0.05)
))</f>
        <v>No</v>
      </c>
      <c r="L281" s="11" t="str">
        <f>IF(K281="No","No",
MROUND(_xlfn.XLOOKUP(B281,'Base stats'!B:B,'Base stats'!BI:BI) * 0.01 *2 + 0.05, 0.05)
)</f>
        <v>No</v>
      </c>
      <c r="M281" s="5" t="str">
        <f>IF(K281="No","No",IF(_xlfn.XLOOKUP(_xlfn.XLOOKUP(B281,'Base stats'!B:B,'Base stats'!E:E),Groups!A:A,Groups!BD:BD)=1,"No",
MROUND(_xlfn.XLOOKUP(B281,'Base stats'!B:B,'Base stats'!BU:BU)/10000+0.01,0.01)
))</f>
        <v>No</v>
      </c>
      <c r="N281" s="4" t="str">
        <f>IF(K281="No","No",
MROUND(
  _xlfn.XLOOKUP(B281,'Base stats'!B:B,'Base stats'!BC:BC)^0.25
  / (_xlfn.XLOOKUP(B281,'Base stats'!B:B,'Base stats'!BM:BM) * 10)
  * _xlfn.XLOOKUP(
      _xlfn.XLOOKUP(B281,'Base stats'!B:B,'Base stats'!E:E),
      Groups!A:A,
      Groups!V:V
    ) * 150
  + MIN(12, _xlfn.XLOOKUP(B281,'Base stats'!B:B,'Base stats'!W:W))^(1/IF(_xlfn.XLOOKUP(_xlfn.XLOOKUP(B281,'Base stats'!B:B,'Base stats'!E:E),Groups!A:A,Groups!U:U)=1,100,10)) + 0.5 + _xlfn.XLOOKUP(B281,'Base stats'!B:B,'Base stats'!BW:BW),
0.05))</f>
        <v>No</v>
      </c>
      <c r="O281" s="3">
        <f>IF(Animals!AD281="No","No",
MAX(MROUND((MIN(10,_xlfn.XLOOKUP(B281,'Base stats'!B:B,'Base stats'!V:V)*IF(_xlfn.XLOOKUP(_xlfn.XLOOKUP(B281,'Base stats'!B:B,'Base stats'!E:E),Groups!A:A,Groups!O:O)=0,1,0.33))^0.4*_xlfn.XLOOKUP(B281,'Base stats'!B:B,'Base stats'!BJ:BJ)^0.73)^0.6 *_xlfn.XLOOKUP(B281,'Base stats'!B:B,'Base stats'!BX:BX),0.1),0.05)
)</f>
        <v>6.3000000000000007</v>
      </c>
      <c r="P281" s="11">
        <f>IF(O281="No","No",
MROUND(_xlfn.XLOOKUP(B281,'Base stats'!B:B,'Base stats'!BJ:BJ) * 0.01 * 2 + 0.05, 0.05)
)</f>
        <v>0.9</v>
      </c>
      <c r="Q281" s="5">
        <f>IF(O281="No","No",
MROUND(_xlfn.XLOOKUP(B281,'Base stats'!B:B,'Base stats'!BV:BV)/10000+0.01,0.01)
)</f>
        <v>0.04</v>
      </c>
      <c r="R281" s="4">
        <f>IF(O281="No","No",
MROUND(_xlfn.XLOOKUP(B281,'Base stats'!B:B,'Base stats'!BB:BB)^0.25
/((_xlfn.XLOOKUP(B281,'Base stats'!B:B,'Base stats'!BN:BN))*10)*_xlfn.XLOOKUP(_xlfn.XLOOKUP(B281,'Base stats'!B:B,'Base stats'!E:E),Groups!A:A,Groups!Z:Z)*150 + 0.5 + _xlfn.XLOOKUP(B281,'Base stats'!B:B,'Base stats'!BW:BW),
0.05))</f>
        <v>2.4500000000000002</v>
      </c>
      <c r="S281" s="3" t="str">
        <f>IF(Animals!AI281="No","No",
IF(_xlfn.XLOOKUP(B281,'Base stats'!B:B,'Base stats'!U:U)="No",
MAX(MROUND(_xlfn.XLOOKUP(B281,'Base stats'!B:B,'Base stats'!BT:BT) * _xlfn.XLOOKUP(B281,'Base stats'!B:B,'Base stats'!BP:BP)^0.9 / 21 * _xlfn.XLOOKUP(B281,'Base stats'!B:B,'Base stats'!BX:BX),0.1),0.05),
MAX(MROUND(((MIN(12,_xlfn.XLOOKUP(B281,'Base stats'!B:B,'Base stats'!U:U)))^0.4*_xlfn.XLOOKUP(B281,'Base stats'!B:B,'Base stats'!BH:BH)^0.73)^0.6 * _xlfn.XLOOKUP(B281,'Base stats'!B:B,'Base stats'!BX:BX),0.1),0.05)
))</f>
        <v>No</v>
      </c>
      <c r="T281" s="11" t="str">
        <f>IF(S281="No","No",
MROUND(_xlfn.XLOOKUP(B281,'Base stats'!B:B,'Base stats'!BH:BH) * 0.01 * 2 + 0.05, 0.05)
)</f>
        <v>No</v>
      </c>
      <c r="U281" s="5" t="str">
        <f>IF(S281="No","No",IF(_xlfn.XLOOKUP(B281,'Base stats'!B:B,'Base stats'!U:U)="No","No",
MROUND(_xlfn.XLOOKUP(B281,'Base stats'!B:B,'Base stats'!BT:BT)/10000+0.01,0.01)
))</f>
        <v>No</v>
      </c>
      <c r="V281" s="4" t="str">
        <f>IF(S281="No","No",
MROUND(_xlfn.XLOOKUP(B281,'Base stats'!B:B,'Base stats'!BF:BF)^0.25
/((_xlfn.XLOOKUP(B281,'Base stats'!B:B,'Base stats'!BO:BO))*10)*_xlfn.XLOOKUP(_xlfn.XLOOKUP(B281,'Base stats'!B:B,'Base stats'!E:E),Groups!A:A,Groups!AE:AE)*150 + 0.5 + _xlfn.XLOOKUP(B281,'Base stats'!B:B,'Base stats'!BW:BW),
0.05))</f>
        <v>No</v>
      </c>
      <c r="W281" s="8">
        <f>MROUND(_xlfn.XLOOKUP(_xlfn.XLOOKUP(B281,'Base stats'!B:B,'Base stats'!E:E),Groups!A:A,Groups!BG:BG)*_xlfn.XLOOKUP(B281,'Base stats'!B:B,'Base stats'!C:C)^-0.165,0.05)</f>
        <v>0.4</v>
      </c>
      <c r="X281" s="1">
        <f>MROUND(_xlfn.XLOOKUP(_xlfn.XLOOKUP(B281,'Base stats'!B:B,'Base stats'!E:E),Groups!A:A,Groups!BH:BH)*_xlfn.XLOOKUP(B281,'Base stats'!B:B,'Base stats'!C:C)^0.165,0.05)</f>
        <v>0</v>
      </c>
      <c r="Y281" s="8">
        <f>MROUND(_xlfn.XLOOKUP(_xlfn.XLOOKUP(B281,'Base stats'!B:B,'Base stats'!E:E),Groups!A:A,Groups!BI:BI)*_xlfn.XLOOKUP(B281,'Base stats'!B:B,'Base stats'!C:C)^0.165,0.05)</f>
        <v>0</v>
      </c>
      <c r="Z281" s="18">
        <f>MROUND(_xlfn.XLOOKUP(B281,'Base stats'!B:B,'Base stats'!AQ:AQ)*_xlfn.XLOOKUP(_xlfn.XLOOKUP(B281,'Base stats'!B:B,'Base stats'!E:E),Groups!A:A,Groups!H:H)/1000,IF((_xlfn.XLOOKUP(B281,'Base stats'!B:B,'Base stats'!AQ:AQ)*_xlfn.XLOOKUP(_xlfn.XLOOKUP(B281,'Base stats'!B:B,'Base stats'!E:E),Groups!A:A,Groups!H:H)/1000)&gt;1,0.05,0.01))</f>
        <v>0</v>
      </c>
      <c r="AA281" s="18">
        <f>MROUND((1/2)*(_xlfn.XLOOKUP(_xlfn.XLOOKUP(B281,'Base stats'!B:B,'Base stats'!E:E),Groups!A:A,Groups!H:H)*_xlfn.XLOOKUP(_xlfn.XLOOKUP(B281,'Base stats'!B:B,'Base stats'!E:E),Groups!A:A,Groups!I:I))*_xlfn.XLOOKUP(B281,'Base stats'!B:B,'Base stats'!AQ:AQ)*0.01,0.05)</f>
        <v>0</v>
      </c>
      <c r="AB281" s="18">
        <f>MROUND(250*(Animals!AO281+Animals!AP281),25)</f>
        <v>1050</v>
      </c>
      <c r="AC281" s="18" t="str">
        <f>_xlfn.XLOOKUP(_xlfn.XLOOKUP(B281,'Base stats'!B:B,'Base stats'!E:E),Groups!A:A,Groups!BJ:BJ)</f>
        <v>Birdlike</v>
      </c>
    </row>
    <row r="282" spans="1:29" ht="16.5" thickTop="1" thickBot="1" x14ac:dyDescent="0.3">
      <c r="A282" s="16" t="str">
        <f>Animals!A282</f>
        <v>Gigantelope</v>
      </c>
      <c r="B282" s="6" t="str">
        <f>Animals!B282</f>
        <v>Antilope giganteus</v>
      </c>
      <c r="C282" s="1" t="str">
        <f>Animals!C282</f>
        <v>&lt;li&gt;AA_Gigantelope&lt;/li&gt;</v>
      </c>
      <c r="D282" s="47">
        <f>MIN(MIN(6,_xlfn.XLOOKUP(A282,Animals!A:A,Animals!AO:AO))*20,MAX(MROUND(_xlfn.XLOOKUP(B282,'Base stats'!B:B,'Base stats'!BS:BS) * (_xlfn.XLOOKUP(B282,'Base stats'!B:B,'Base stats'!AO:AO)*5%)^0.9 / 21,0.1),0.05))</f>
        <v>17.7</v>
      </c>
      <c r="E282" s="11">
        <f>MROUND(_xlfn.XLOOKUP(B282,'Base stats'!B:B,'Base stats'!BG:BG) * 0.01 * 2 + 0.01, 0.05)</f>
        <v>17.100000000000001</v>
      </c>
      <c r="F282" s="7">
        <f>MROUND(_xlfn.XLOOKUP(B282,'Base stats'!B:B,'Base stats'!BD:BD)^0.25 / (_xlfn.XLOOKUP(B282,'Base stats'!B:B,'Base stats'!BK:BK) * 10) * 150 + 0.5 + _xlfn.XLOOKUP(B282,'Base stats'!B:B,'Base stats'!BW:BW), 0.05)</f>
        <v>1.9500000000000002</v>
      </c>
      <c r="G282" s="3">
        <f>IF(Animals!S282="No","No",
IF(_xlfn.XLOOKUP(B282,'Base stats'!B:B,'Base stats'!U:U)="No",
MAX(MROUND(_xlfn.XLOOKUP(B282,'Base stats'!B:B,'Base stats'!BT:BT) * _xlfn.XLOOKUP(B282,'Base stats'!B:B,'Base stats'!BP:BP)^0.9 / 21 * _xlfn.XLOOKUP(B282,'Base stats'!B:B,'Base stats'!BX:BX),0.1),0.05),
MAX(MROUND(((MIN(10,_xlfn.XLOOKUP(B282,'Base stats'!B:B,'Base stats'!U:U)))^0.4*_xlfn.XLOOKUP(B282,'Base stats'!B:B,'Base stats'!BH:BH)^0.73)^0.6 * _xlfn.XLOOKUP(B282,'Base stats'!B:B,'Base stats'!BX:BX),0.1),0.05)
))</f>
        <v>27.900000000000002</v>
      </c>
      <c r="H282" s="11">
        <f>IF(G282="No","No",
MROUND(_xlfn.XLOOKUP(B282,'Base stats'!B:B,'Base stats'!BH:BH) * 0.01 * 2 + 0.05, 0.05)
)</f>
        <v>19.25</v>
      </c>
      <c r="I282" s="11" t="str">
        <f>IF(G282="No","No",IF(_xlfn.XLOOKUP(B282,'Base stats'!B:B,'Base stats'!U:U)="No","No",
MROUND(_xlfn.XLOOKUP(B282,'Base stats'!B:B,'Base stats'!BT:BT)/10000+0.01,0.01)
))</f>
        <v>No</v>
      </c>
      <c r="J282" s="4">
        <f>IF(G282="No","No",
MROUND(_xlfn.XLOOKUP(B282,'Base stats'!B:B,'Base stats'!BE:BE)^0.25
/((_xlfn.XLOOKUP(B282,'Base stats'!B:B,'Base stats'!BL:BL))*10)*_xlfn.XLOOKUP(_xlfn.XLOOKUP(B282,'Base stats'!B:B,'Base stats'!E:E),Groups!A:A,Groups!Q:Q)*150 + 0.5 + _xlfn.XLOOKUP(B282,'Base stats'!B:B,'Base stats'!BW:BW),
0.05))</f>
        <v>2.75</v>
      </c>
      <c r="K282" s="3" t="str">
        <f>IF(Animals!X282="No","No",
IF(_xlfn.XLOOKUP(_xlfn.XLOOKUP(B282,'Base stats'!B:B,'Base stats'!E:E),Groups!A:A,Groups!BD:BD)=1,
MAX(MROUND(_xlfn.XLOOKUP(B282,'Base stats'!B:B,'Base stats'!BU:BU) * _xlfn.XLOOKUP(B282,'Base stats'!B:B,'Base stats'!BQ:BQ)^0.9 / 21 *_xlfn.XLOOKUP(B282,'Base stats'!B:B,'Base stats'!BX:BX),0.1),0.05),
MAX(MROUND(((MIN(10,_xlfn.XLOOKUP(B282,'Base stats'!B:B,'Base stats'!W:W)))^0.4*_xlfn.XLOOKUP(B282,'Base stats'!B:B,'Base stats'!BI:BI)^0.73)^0.6 *_xlfn.XLOOKUP(B282,'Base stats'!B:B,'Base stats'!BX:BX),0.1),0.05)
))</f>
        <v>No</v>
      </c>
      <c r="L282" s="11" t="str">
        <f>IF(K282="No","No",
MROUND(_xlfn.XLOOKUP(B282,'Base stats'!B:B,'Base stats'!BI:BI) * 0.01 *2 + 0.05, 0.05)
)</f>
        <v>No</v>
      </c>
      <c r="M282" s="5" t="str">
        <f>IF(K282="No","No",IF(_xlfn.XLOOKUP(_xlfn.XLOOKUP(B282,'Base stats'!B:B,'Base stats'!E:E),Groups!A:A,Groups!BD:BD)=1,"No",
MROUND(_xlfn.XLOOKUP(B282,'Base stats'!B:B,'Base stats'!BU:BU)/10000+0.01,0.01)
))</f>
        <v>No</v>
      </c>
      <c r="N282" s="4" t="str">
        <f>IF(K282="No","No",
MROUND(
  _xlfn.XLOOKUP(B282,'Base stats'!B:B,'Base stats'!BC:BC)^0.25
  / (_xlfn.XLOOKUP(B282,'Base stats'!B:B,'Base stats'!BM:BM) * 10)
  * _xlfn.XLOOKUP(
      _xlfn.XLOOKUP(B282,'Base stats'!B:B,'Base stats'!E:E),
      Groups!A:A,
      Groups!V:V
    ) * 150
  + MIN(12, _xlfn.XLOOKUP(B282,'Base stats'!B:B,'Base stats'!W:W))^(1/IF(_xlfn.XLOOKUP(_xlfn.XLOOKUP(B282,'Base stats'!B:B,'Base stats'!E:E),Groups!A:A,Groups!U:U)=1,100,10)) + 0.5 + _xlfn.XLOOKUP(B282,'Base stats'!B:B,'Base stats'!BW:BW),
0.05))</f>
        <v>No</v>
      </c>
      <c r="O282" s="3">
        <f>IF(Animals!AD282="No","No",
MAX(MROUND((MIN(10,_xlfn.XLOOKUP(B282,'Base stats'!B:B,'Base stats'!V:V)*IF(_xlfn.XLOOKUP(_xlfn.XLOOKUP(B282,'Base stats'!B:B,'Base stats'!E:E),Groups!A:A,Groups!O:O)=0,1,0.33))^0.4*_xlfn.XLOOKUP(B282,'Base stats'!B:B,'Base stats'!BJ:BJ)^0.73)^0.6 *_xlfn.XLOOKUP(B282,'Base stats'!B:B,'Base stats'!BX:BX),0.1),0.05)
)</f>
        <v>22.8</v>
      </c>
      <c r="P282" s="11">
        <f>IF(O282="No","No",
MROUND(_xlfn.XLOOKUP(B282,'Base stats'!B:B,'Base stats'!BJ:BJ) * 0.01 * 2 + 0.05, 0.05)
)</f>
        <v>11.100000000000001</v>
      </c>
      <c r="Q282" s="5">
        <f>IF(O282="No","No",
MROUND(_xlfn.XLOOKUP(B282,'Base stats'!B:B,'Base stats'!BV:BV)/10000+0.01,0.01)
)</f>
        <v>0.11</v>
      </c>
      <c r="R282" s="4">
        <f>IF(O282="No","No",
MROUND(_xlfn.XLOOKUP(B282,'Base stats'!B:B,'Base stats'!BB:BB)^0.25
/((_xlfn.XLOOKUP(B282,'Base stats'!B:B,'Base stats'!BN:BN))*10)*_xlfn.XLOOKUP(_xlfn.XLOOKUP(B282,'Base stats'!B:B,'Base stats'!E:E),Groups!A:A,Groups!Z:Z)*150 + 0.5 + _xlfn.XLOOKUP(B282,'Base stats'!B:B,'Base stats'!BW:BW),
0.05))</f>
        <v>2.85</v>
      </c>
      <c r="S282" s="3" t="str">
        <f>IF(Animals!AI282="No","No",
IF(_xlfn.XLOOKUP(B282,'Base stats'!B:B,'Base stats'!U:U)="No",
MAX(MROUND(_xlfn.XLOOKUP(B282,'Base stats'!B:B,'Base stats'!BT:BT) * _xlfn.XLOOKUP(B282,'Base stats'!B:B,'Base stats'!BP:BP)^0.9 / 21 * _xlfn.XLOOKUP(B282,'Base stats'!B:B,'Base stats'!BX:BX),0.1),0.05),
MAX(MROUND(((MIN(12,_xlfn.XLOOKUP(B282,'Base stats'!B:B,'Base stats'!U:U)))^0.4*_xlfn.XLOOKUP(B282,'Base stats'!B:B,'Base stats'!BH:BH)^0.73)^0.6 * _xlfn.XLOOKUP(B282,'Base stats'!B:B,'Base stats'!BX:BX),0.1),0.05)
))</f>
        <v>No</v>
      </c>
      <c r="T282" s="11" t="str">
        <f>IF(S282="No","No",
MROUND(_xlfn.XLOOKUP(B282,'Base stats'!B:B,'Base stats'!BH:BH) * 0.01 * 2 + 0.05, 0.05)
)</f>
        <v>No</v>
      </c>
      <c r="U282" s="5" t="str">
        <f>IF(S282="No","No",IF(_xlfn.XLOOKUP(B282,'Base stats'!B:B,'Base stats'!U:U)="No","No",
MROUND(_xlfn.XLOOKUP(B282,'Base stats'!B:B,'Base stats'!BT:BT)/10000+0.01,0.01)
))</f>
        <v>No</v>
      </c>
      <c r="V282" s="4" t="str">
        <f>IF(S282="No","No",
MROUND(_xlfn.XLOOKUP(B282,'Base stats'!B:B,'Base stats'!BF:BF)^0.25
/((_xlfn.XLOOKUP(B282,'Base stats'!B:B,'Base stats'!BO:BO))*10)*_xlfn.XLOOKUP(_xlfn.XLOOKUP(B282,'Base stats'!B:B,'Base stats'!E:E),Groups!A:A,Groups!AE:AE)*150 + 0.5 + _xlfn.XLOOKUP(B282,'Base stats'!B:B,'Base stats'!BW:BW),
0.05))</f>
        <v>No</v>
      </c>
      <c r="W282" s="8">
        <f>MROUND(_xlfn.XLOOKUP(_xlfn.XLOOKUP(B282,'Base stats'!B:B,'Base stats'!E:E),Groups!A:A,Groups!BG:BG)*_xlfn.XLOOKUP(B282,'Base stats'!B:B,'Base stats'!C:C)^-0.165,0.05)</f>
        <v>0.15000000000000002</v>
      </c>
      <c r="X282" s="1">
        <f>MROUND(_xlfn.XLOOKUP(_xlfn.XLOOKUP(B282,'Base stats'!B:B,'Base stats'!E:E),Groups!A:A,Groups!BH:BH)*_xlfn.XLOOKUP(B282,'Base stats'!B:B,'Base stats'!C:C)^0.165,0.05)</f>
        <v>0</v>
      </c>
      <c r="Y282" s="8">
        <f>MROUND(_xlfn.XLOOKUP(_xlfn.XLOOKUP(B282,'Base stats'!B:B,'Base stats'!E:E),Groups!A:A,Groups!BI:BI)*_xlfn.XLOOKUP(B282,'Base stats'!B:B,'Base stats'!C:C)^0.165,0.05)</f>
        <v>0</v>
      </c>
      <c r="Z282" s="18">
        <f>MROUND(_xlfn.XLOOKUP(B282,'Base stats'!B:B,'Base stats'!AQ:AQ)*_xlfn.XLOOKUP(_xlfn.XLOOKUP(B282,'Base stats'!B:B,'Base stats'!E:E),Groups!A:A,Groups!H:H)/1000,IF((_xlfn.XLOOKUP(B282,'Base stats'!B:B,'Base stats'!AQ:AQ)*_xlfn.XLOOKUP(_xlfn.XLOOKUP(B282,'Base stats'!B:B,'Base stats'!E:E),Groups!A:A,Groups!H:H)/1000)&gt;1,0.05,0.01))</f>
        <v>0.12</v>
      </c>
      <c r="AA282" s="18">
        <f>MROUND((1/2)*(_xlfn.XLOOKUP(_xlfn.XLOOKUP(B282,'Base stats'!B:B,'Base stats'!E:E),Groups!A:A,Groups!H:H)*_xlfn.XLOOKUP(_xlfn.XLOOKUP(B282,'Base stats'!B:B,'Base stats'!E:E),Groups!A:A,Groups!I:I))*_xlfn.XLOOKUP(B282,'Base stats'!B:B,'Base stats'!AQ:AQ)*0.01,0.05)</f>
        <v>0.55000000000000004</v>
      </c>
      <c r="AB282" s="18">
        <f>MROUND(250*(Animals!AO282+Animals!AP282),25)</f>
        <v>1625</v>
      </c>
      <c r="AC282" s="18" t="str">
        <f>_xlfn.XLOOKUP(_xlfn.XLOOKUP(B282,'Base stats'!B:B,'Base stats'!E:E),Groups!A:A,Groups!BJ:BJ)</f>
        <v>Quadruped</v>
      </c>
    </row>
    <row r="283" spans="1:29" ht="16.5" thickTop="1" thickBot="1" x14ac:dyDescent="0.3">
      <c r="A283" s="16" t="str">
        <f>Animals!A283</f>
        <v>GreatDevourer</v>
      </c>
      <c r="B283" s="6" t="str">
        <f>Animals!B283</f>
        <v>Devourer maximus</v>
      </c>
      <c r="C283" s="1" t="str">
        <f>Animals!C283</f>
        <v>&lt;li&gt;AA_GreatDevourer&lt;/li&gt;</v>
      </c>
      <c r="D283" s="47">
        <f>MIN(MIN(6,_xlfn.XLOOKUP(A283,Animals!A:A,Animals!AO:AO))*20,MAX(MROUND(_xlfn.XLOOKUP(B283,'Base stats'!B:B,'Base stats'!BS:BS) * (_xlfn.XLOOKUP(B283,'Base stats'!B:B,'Base stats'!AO:AO)*5%)^0.9 / 21,0.1),0.05))</f>
        <v>13.3</v>
      </c>
      <c r="E283" s="11">
        <f>MROUND(_xlfn.XLOOKUP(B283,'Base stats'!B:B,'Base stats'!BG:BG) * 0.01 * 2 + 0.01, 0.05)</f>
        <v>13.3</v>
      </c>
      <c r="F283" s="7">
        <f>MROUND(_xlfn.XLOOKUP(B283,'Base stats'!B:B,'Base stats'!BD:BD)^0.25 / (_xlfn.XLOOKUP(B283,'Base stats'!B:B,'Base stats'!BK:BK) * 10) * 150 + 0.5 + _xlfn.XLOOKUP(B283,'Base stats'!B:B,'Base stats'!BW:BW), 0.05)</f>
        <v>3.8000000000000003</v>
      </c>
      <c r="G283" s="3" t="str">
        <f>IF(Animals!S283="No","No",
IF(_xlfn.XLOOKUP(B283,'Base stats'!B:B,'Base stats'!U:U)="No",
MAX(MROUND(_xlfn.XLOOKUP(B283,'Base stats'!B:B,'Base stats'!BT:BT) * _xlfn.XLOOKUP(B283,'Base stats'!B:B,'Base stats'!BP:BP)^0.9 / 21 * _xlfn.XLOOKUP(B283,'Base stats'!B:B,'Base stats'!BX:BX),0.1),0.05),
MAX(MROUND(((MIN(10,_xlfn.XLOOKUP(B283,'Base stats'!B:B,'Base stats'!U:U)))^0.4*_xlfn.XLOOKUP(B283,'Base stats'!B:B,'Base stats'!BH:BH)^0.73)^0.6 * _xlfn.XLOOKUP(B283,'Base stats'!B:B,'Base stats'!BX:BX),0.1),0.05)
))</f>
        <v>No</v>
      </c>
      <c r="H283" s="11" t="str">
        <f>IF(G283="No","No",
MROUND(_xlfn.XLOOKUP(B283,'Base stats'!B:B,'Base stats'!BH:BH) * 0.01 * 2 + 0.05, 0.05)
)</f>
        <v>No</v>
      </c>
      <c r="I283" s="11" t="str">
        <f>IF(G283="No","No",IF(_xlfn.XLOOKUP(B283,'Base stats'!B:B,'Base stats'!U:U)="No","No",
MROUND(_xlfn.XLOOKUP(B283,'Base stats'!B:B,'Base stats'!BT:BT)/10000+0.01,0.01)
))</f>
        <v>No</v>
      </c>
      <c r="J283" s="4" t="str">
        <f>IF(G283="No","No",
MROUND(_xlfn.XLOOKUP(B283,'Base stats'!B:B,'Base stats'!BE:BE)^0.25
/((_xlfn.XLOOKUP(B283,'Base stats'!B:B,'Base stats'!BL:BL))*10)*_xlfn.XLOOKUP(_xlfn.XLOOKUP(B283,'Base stats'!B:B,'Base stats'!E:E),Groups!A:A,Groups!Q:Q)*150 + 0.5 + _xlfn.XLOOKUP(B283,'Base stats'!B:B,'Base stats'!BW:BW),
0.05))</f>
        <v>No</v>
      </c>
      <c r="K283" s="3" t="str">
        <f>IF(Animals!X283="No","No",
IF(_xlfn.XLOOKUP(_xlfn.XLOOKUP(B283,'Base stats'!B:B,'Base stats'!E:E),Groups!A:A,Groups!BD:BD)=1,
MAX(MROUND(_xlfn.XLOOKUP(B283,'Base stats'!B:B,'Base stats'!BU:BU) * _xlfn.XLOOKUP(B283,'Base stats'!B:B,'Base stats'!BQ:BQ)^0.9 / 21 *_xlfn.XLOOKUP(B283,'Base stats'!B:B,'Base stats'!BX:BX),0.1),0.05),
MAX(MROUND(((MIN(10,_xlfn.XLOOKUP(B283,'Base stats'!B:B,'Base stats'!W:W)))^0.4*_xlfn.XLOOKUP(B283,'Base stats'!B:B,'Base stats'!BI:BI)^0.73)^0.6 *_xlfn.XLOOKUP(B283,'Base stats'!B:B,'Base stats'!BX:BX),0.1),0.05)
))</f>
        <v>No</v>
      </c>
      <c r="L283" s="11" t="str">
        <f>IF(K283="No","No",
MROUND(_xlfn.XLOOKUP(B283,'Base stats'!B:B,'Base stats'!BI:BI) * 0.01 *2 + 0.05, 0.05)
)</f>
        <v>No</v>
      </c>
      <c r="M283" s="5" t="str">
        <f>IF(K283="No","No",IF(_xlfn.XLOOKUP(_xlfn.XLOOKUP(B283,'Base stats'!B:B,'Base stats'!E:E),Groups!A:A,Groups!BD:BD)=1,"No",
MROUND(_xlfn.XLOOKUP(B283,'Base stats'!B:B,'Base stats'!BU:BU)/10000+0.01,0.01)
))</f>
        <v>No</v>
      </c>
      <c r="N283" s="4" t="str">
        <f>IF(K283="No","No",
MROUND(
  _xlfn.XLOOKUP(B283,'Base stats'!B:B,'Base stats'!BC:BC)^0.25
  / (_xlfn.XLOOKUP(B283,'Base stats'!B:B,'Base stats'!BM:BM) * 10)
  * _xlfn.XLOOKUP(
      _xlfn.XLOOKUP(B283,'Base stats'!B:B,'Base stats'!E:E),
      Groups!A:A,
      Groups!V:V
    ) * 150
  + MIN(12, _xlfn.XLOOKUP(B283,'Base stats'!B:B,'Base stats'!W:W))^(1/IF(_xlfn.XLOOKUP(_xlfn.XLOOKUP(B283,'Base stats'!B:B,'Base stats'!E:E),Groups!A:A,Groups!U:U)=1,100,10)) + 0.5 + _xlfn.XLOOKUP(B283,'Base stats'!B:B,'Base stats'!BW:BW),
0.05))</f>
        <v>No</v>
      </c>
      <c r="O283" s="3">
        <f>IF(Animals!AD283="No","No",
MAX(MROUND((MIN(10,_xlfn.XLOOKUP(B283,'Base stats'!B:B,'Base stats'!V:V)*IF(_xlfn.XLOOKUP(_xlfn.XLOOKUP(B283,'Base stats'!B:B,'Base stats'!E:E),Groups!A:A,Groups!O:O)=0,1,0.33))^0.4*_xlfn.XLOOKUP(B283,'Base stats'!B:B,'Base stats'!BJ:BJ)^0.73)^0.6 *_xlfn.XLOOKUP(B283,'Base stats'!B:B,'Base stats'!BX:BX),0.1),0.05)
)</f>
        <v>65.100000000000009</v>
      </c>
      <c r="P283" s="11">
        <f>IF(O283="No","No",
MROUND(_xlfn.XLOOKUP(B283,'Base stats'!B:B,'Base stats'!BJ:BJ) * 0.01 * 2 + 0.05, 0.05)
)</f>
        <v>78.350000000000009</v>
      </c>
      <c r="Q283" s="5">
        <f>IF(O283="No","No",
MROUND(_xlfn.XLOOKUP(B283,'Base stats'!B:B,'Base stats'!BV:BV)/10000+0.01,0.01)
)</f>
        <v>1.44</v>
      </c>
      <c r="R283" s="4">
        <f>IF(O283="No","No",
MROUND(_xlfn.XLOOKUP(B283,'Base stats'!B:B,'Base stats'!BB:BB)^0.25
/((_xlfn.XLOOKUP(B283,'Base stats'!B:B,'Base stats'!BN:BN))*10)*_xlfn.XLOOKUP(_xlfn.XLOOKUP(B283,'Base stats'!B:B,'Base stats'!E:E),Groups!A:A,Groups!Z:Z)*150 + 0.5 + _xlfn.XLOOKUP(B283,'Base stats'!B:B,'Base stats'!BW:BW),
0.05))</f>
        <v>3.95</v>
      </c>
      <c r="S283" s="3" t="str">
        <f>IF(Animals!AI283="No","No",
IF(_xlfn.XLOOKUP(B283,'Base stats'!B:B,'Base stats'!U:U)="No",
MAX(MROUND(_xlfn.XLOOKUP(B283,'Base stats'!B:B,'Base stats'!BT:BT) * _xlfn.XLOOKUP(B283,'Base stats'!B:B,'Base stats'!BP:BP)^0.9 / 21 * _xlfn.XLOOKUP(B283,'Base stats'!B:B,'Base stats'!BX:BX),0.1),0.05),
MAX(MROUND(((MIN(12,_xlfn.XLOOKUP(B283,'Base stats'!B:B,'Base stats'!U:U)))^0.4*_xlfn.XLOOKUP(B283,'Base stats'!B:B,'Base stats'!BH:BH)^0.73)^0.6 * _xlfn.XLOOKUP(B283,'Base stats'!B:B,'Base stats'!BX:BX),0.1),0.05)
))</f>
        <v>No</v>
      </c>
      <c r="T283" s="11" t="str">
        <f>IF(S283="No","No",
MROUND(_xlfn.XLOOKUP(B283,'Base stats'!B:B,'Base stats'!BH:BH) * 0.01 * 2 + 0.05, 0.05)
)</f>
        <v>No</v>
      </c>
      <c r="U283" s="5" t="str">
        <f>IF(S283="No","No",IF(_xlfn.XLOOKUP(B283,'Base stats'!B:B,'Base stats'!U:U)="No","No",
MROUND(_xlfn.XLOOKUP(B283,'Base stats'!B:B,'Base stats'!BT:BT)/10000+0.01,0.01)
))</f>
        <v>No</v>
      </c>
      <c r="V283" s="4" t="str">
        <f>IF(S283="No","No",
MROUND(_xlfn.XLOOKUP(B283,'Base stats'!B:B,'Base stats'!BF:BF)^0.25
/((_xlfn.XLOOKUP(B283,'Base stats'!B:B,'Base stats'!BO:BO))*10)*_xlfn.XLOOKUP(_xlfn.XLOOKUP(B283,'Base stats'!B:B,'Base stats'!E:E),Groups!A:A,Groups!AE:AE)*150 + 0.5 + _xlfn.XLOOKUP(B283,'Base stats'!B:B,'Base stats'!BW:BW),
0.05))</f>
        <v>No</v>
      </c>
      <c r="W283" s="8">
        <f>MROUND(_xlfn.XLOOKUP(_xlfn.XLOOKUP(B283,'Base stats'!B:B,'Base stats'!E:E),Groups!A:A,Groups!BG:BG)*_xlfn.XLOOKUP(B283,'Base stats'!B:B,'Base stats'!C:C)^-0.165,0.05)</f>
        <v>0.1</v>
      </c>
      <c r="X283" s="1">
        <f>MROUND(_xlfn.XLOOKUP(_xlfn.XLOOKUP(B283,'Base stats'!B:B,'Base stats'!E:E),Groups!A:A,Groups!BH:BH)*_xlfn.XLOOKUP(B283,'Base stats'!B:B,'Base stats'!C:C)^0.165,0.05)</f>
        <v>0.35000000000000003</v>
      </c>
      <c r="Y283" s="8">
        <f>MROUND(_xlfn.XLOOKUP(_xlfn.XLOOKUP(B283,'Base stats'!B:B,'Base stats'!E:E),Groups!A:A,Groups!BI:BI)*_xlfn.XLOOKUP(B283,'Base stats'!B:B,'Base stats'!C:C)^0.165,0.05)</f>
        <v>0.1</v>
      </c>
      <c r="Z283" s="18">
        <f>MROUND(_xlfn.XLOOKUP(B283,'Base stats'!B:B,'Base stats'!AQ:AQ)*_xlfn.XLOOKUP(_xlfn.XLOOKUP(B283,'Base stats'!B:B,'Base stats'!E:E),Groups!A:A,Groups!H:H)/1000,IF((_xlfn.XLOOKUP(B283,'Base stats'!B:B,'Base stats'!AQ:AQ)*_xlfn.XLOOKUP(_xlfn.XLOOKUP(B283,'Base stats'!B:B,'Base stats'!E:E),Groups!A:A,Groups!H:H)/1000)&gt;1,0.05,0.01))</f>
        <v>7.25</v>
      </c>
      <c r="AA283" s="18">
        <f>MROUND((1/2)*(_xlfn.XLOOKUP(_xlfn.XLOOKUP(B283,'Base stats'!B:B,'Base stats'!E:E),Groups!A:A,Groups!H:H)*_xlfn.XLOOKUP(_xlfn.XLOOKUP(B283,'Base stats'!B:B,'Base stats'!E:E),Groups!A:A,Groups!I:I))*_xlfn.XLOOKUP(B283,'Base stats'!B:B,'Base stats'!AQ:AQ)*0.01,0.05)</f>
        <v>4.4000000000000004</v>
      </c>
      <c r="AB283" s="18">
        <f>MROUND(250*(Animals!AO283+Animals!AP283),25)</f>
        <v>1875</v>
      </c>
      <c r="AC283" s="18" t="str">
        <f>_xlfn.XLOOKUP(_xlfn.XLOOKUP(B283,'Base stats'!B:B,'Base stats'!E:E),Groups!A:A,Groups!BJ:BJ)</f>
        <v>Serpentine</v>
      </c>
    </row>
    <row r="284" spans="1:29" ht="16.5" thickTop="1" thickBot="1" x14ac:dyDescent="0.3">
      <c r="A284" s="16" t="str">
        <f>Animals!A284</f>
        <v>GreenGoo</v>
      </c>
      <c r="B284" s="6" t="str">
        <f>Animals!B284</f>
        <v>Protofluidum viride</v>
      </c>
      <c r="C284" s="1" t="str">
        <f>Animals!C284</f>
        <v>&lt;li&gt;AA_GreenGoo&lt;/li&gt;</v>
      </c>
      <c r="D284" s="47">
        <f>MIN(MIN(6,_xlfn.XLOOKUP(A284,Animals!A:A,Animals!AO:AO))*20,MAX(MROUND(_xlfn.XLOOKUP(B284,'Base stats'!B:B,'Base stats'!BS:BS) * (_xlfn.XLOOKUP(B284,'Base stats'!B:B,'Base stats'!AO:AO)*5%)^0.9 / 21,0.1),0.05))</f>
        <v>1</v>
      </c>
      <c r="E284" s="11">
        <f>MROUND(_xlfn.XLOOKUP(B284,'Base stats'!B:B,'Base stats'!BG:BG) * 0.01 * 2 + 0.01, 0.05)</f>
        <v>0.8</v>
      </c>
      <c r="F284" s="7">
        <f>MROUND(_xlfn.XLOOKUP(B284,'Base stats'!B:B,'Base stats'!BD:BD)^0.25 / (_xlfn.XLOOKUP(B284,'Base stats'!B:B,'Base stats'!BK:BK) * 10) * 150 + 0.5 + _xlfn.XLOOKUP(B284,'Base stats'!B:B,'Base stats'!BW:BW), 0.05)</f>
        <v>2.1</v>
      </c>
      <c r="G284" s="3" t="str">
        <f>IF(Animals!S284="No","No",
IF(_xlfn.XLOOKUP(B284,'Base stats'!B:B,'Base stats'!U:U)="No",
MAX(MROUND(_xlfn.XLOOKUP(B284,'Base stats'!B:B,'Base stats'!BT:BT) * _xlfn.XLOOKUP(B284,'Base stats'!B:B,'Base stats'!BP:BP)^0.9 / 21 * _xlfn.XLOOKUP(B284,'Base stats'!B:B,'Base stats'!BX:BX),0.1),0.05),
MAX(MROUND(((MIN(10,_xlfn.XLOOKUP(B284,'Base stats'!B:B,'Base stats'!U:U)))^0.4*_xlfn.XLOOKUP(B284,'Base stats'!B:B,'Base stats'!BH:BH)^0.73)^0.6 * _xlfn.XLOOKUP(B284,'Base stats'!B:B,'Base stats'!BX:BX),0.1),0.05)
))</f>
        <v>No</v>
      </c>
      <c r="H284" s="11" t="str">
        <f>IF(G284="No","No",
MROUND(_xlfn.XLOOKUP(B284,'Base stats'!B:B,'Base stats'!BH:BH) * 0.01 * 2 + 0.05, 0.05)
)</f>
        <v>No</v>
      </c>
      <c r="I284" s="11" t="str">
        <f>IF(G284="No","No",IF(_xlfn.XLOOKUP(B284,'Base stats'!B:B,'Base stats'!U:U)="No","No",
MROUND(_xlfn.XLOOKUP(B284,'Base stats'!B:B,'Base stats'!BT:BT)/10000+0.01,0.01)
))</f>
        <v>No</v>
      </c>
      <c r="J284" s="4" t="str">
        <f>IF(G284="No","No",
MROUND(_xlfn.XLOOKUP(B284,'Base stats'!B:B,'Base stats'!BE:BE)^0.25
/((_xlfn.XLOOKUP(B284,'Base stats'!B:B,'Base stats'!BL:BL))*10)*_xlfn.XLOOKUP(_xlfn.XLOOKUP(B284,'Base stats'!B:B,'Base stats'!E:E),Groups!A:A,Groups!Q:Q)*150 + 0.5 + _xlfn.XLOOKUP(B284,'Base stats'!B:B,'Base stats'!BW:BW),
0.05))</f>
        <v>No</v>
      </c>
      <c r="K284" s="3" t="str">
        <f>IF(Animals!X284="No","No",
IF(_xlfn.XLOOKUP(_xlfn.XLOOKUP(B284,'Base stats'!B:B,'Base stats'!E:E),Groups!A:A,Groups!BD:BD)=1,
MAX(MROUND(_xlfn.XLOOKUP(B284,'Base stats'!B:B,'Base stats'!BU:BU) * _xlfn.XLOOKUP(B284,'Base stats'!B:B,'Base stats'!BQ:BQ)^0.9 / 21 *_xlfn.XLOOKUP(B284,'Base stats'!B:B,'Base stats'!BX:BX),0.1),0.05),
MAX(MROUND(((MIN(10,_xlfn.XLOOKUP(B284,'Base stats'!B:B,'Base stats'!W:W)))^0.4*_xlfn.XLOOKUP(B284,'Base stats'!B:B,'Base stats'!BI:BI)^0.73)^0.6 *_xlfn.XLOOKUP(B284,'Base stats'!B:B,'Base stats'!BX:BX),0.1),0.05)
))</f>
        <v>No</v>
      </c>
      <c r="L284" s="11" t="str">
        <f>IF(K284="No","No",
MROUND(_xlfn.XLOOKUP(B284,'Base stats'!B:B,'Base stats'!BI:BI) * 0.01 *2 + 0.05, 0.05)
)</f>
        <v>No</v>
      </c>
      <c r="M284" s="5" t="str">
        <f>IF(K284="No","No",IF(_xlfn.XLOOKUP(_xlfn.XLOOKUP(B284,'Base stats'!B:B,'Base stats'!E:E),Groups!A:A,Groups!BD:BD)=1,"No",
MROUND(_xlfn.XLOOKUP(B284,'Base stats'!B:B,'Base stats'!BU:BU)/10000+0.01,0.01)
))</f>
        <v>No</v>
      </c>
      <c r="N284" s="4" t="str">
        <f>IF(K284="No","No",
MROUND(
  _xlfn.XLOOKUP(B284,'Base stats'!B:B,'Base stats'!BC:BC)^0.25
  / (_xlfn.XLOOKUP(B284,'Base stats'!B:B,'Base stats'!BM:BM) * 10)
  * _xlfn.XLOOKUP(
      _xlfn.XLOOKUP(B284,'Base stats'!B:B,'Base stats'!E:E),
      Groups!A:A,
      Groups!V:V
    ) * 150
  + MIN(12, _xlfn.XLOOKUP(B284,'Base stats'!B:B,'Base stats'!W:W))^(1/IF(_xlfn.XLOOKUP(_xlfn.XLOOKUP(B284,'Base stats'!B:B,'Base stats'!E:E),Groups!A:A,Groups!U:U)=1,100,10)) + 0.5 + _xlfn.XLOOKUP(B284,'Base stats'!B:B,'Base stats'!BW:BW),
0.05))</f>
        <v>No</v>
      </c>
      <c r="O284" s="3" t="str">
        <f>IF(Animals!AD284="No","No",
MAX(MROUND((MIN(10,_xlfn.XLOOKUP(B284,'Base stats'!B:B,'Base stats'!V:V)*IF(_xlfn.XLOOKUP(_xlfn.XLOOKUP(B284,'Base stats'!B:B,'Base stats'!E:E),Groups!A:A,Groups!O:O)=0,1,0.33))^0.4*_xlfn.XLOOKUP(B284,'Base stats'!B:B,'Base stats'!BJ:BJ)^0.73)^0.6 *_xlfn.XLOOKUP(B284,'Base stats'!B:B,'Base stats'!BX:BX),0.1),0.05)
)</f>
        <v>No</v>
      </c>
      <c r="P284" s="11" t="str">
        <f>IF(O284="No","No",
MROUND(_xlfn.XLOOKUP(B284,'Base stats'!B:B,'Base stats'!BJ:BJ) * 0.01 * 2 + 0.05, 0.05)
)</f>
        <v>No</v>
      </c>
      <c r="Q284" s="5" t="str">
        <f>IF(O284="No","No",
MROUND(_xlfn.XLOOKUP(B284,'Base stats'!B:B,'Base stats'!BV:BV)/10000+0.01,0.01)
)</f>
        <v>No</v>
      </c>
      <c r="R284" s="4" t="str">
        <f>IF(O284="No","No",
MROUND(_xlfn.XLOOKUP(B284,'Base stats'!B:B,'Base stats'!BB:BB)^0.25
/((_xlfn.XLOOKUP(B284,'Base stats'!B:B,'Base stats'!BN:BN))*10)*_xlfn.XLOOKUP(_xlfn.XLOOKUP(B284,'Base stats'!B:B,'Base stats'!E:E),Groups!A:A,Groups!Z:Z)*150 + 0.5 + _xlfn.XLOOKUP(B284,'Base stats'!B:B,'Base stats'!BW:BW),
0.05))</f>
        <v>No</v>
      </c>
      <c r="S284" s="3">
        <f>IF(Animals!AI284="No","No",
IF(_xlfn.XLOOKUP(B284,'Base stats'!B:B,'Base stats'!U:U)="No",
MAX(MROUND(_xlfn.XLOOKUP(B284,'Base stats'!B:B,'Base stats'!BT:BT) * _xlfn.XLOOKUP(B284,'Base stats'!B:B,'Base stats'!BP:BP)^0.9 / 21 * _xlfn.XLOOKUP(B284,'Base stats'!B:B,'Base stats'!BX:BX),0.1),0.05),
MAX(MROUND(((MIN(12,_xlfn.XLOOKUP(B284,'Base stats'!B:B,'Base stats'!U:U)))^0.4*_xlfn.XLOOKUP(B284,'Base stats'!B:B,'Base stats'!BH:BH)^0.73)^0.6 * _xlfn.XLOOKUP(B284,'Base stats'!B:B,'Base stats'!BX:BX),0.1),0.05)
))</f>
        <v>2</v>
      </c>
      <c r="T284" s="11">
        <f>IF(S284="No","No",
MROUND(_xlfn.XLOOKUP(B284,'Base stats'!B:B,'Base stats'!BH:BH) * 0.01 * 2 + 0.05, 0.05)
)</f>
        <v>0.95000000000000007</v>
      </c>
      <c r="U284" s="5" t="str">
        <f>IF(S284="No","No",IF(_xlfn.XLOOKUP(B284,'Base stats'!B:B,'Base stats'!U:U)="No","No",
MROUND(_xlfn.XLOOKUP(B284,'Base stats'!B:B,'Base stats'!BT:BT)/10000+0.01,0.01)
))</f>
        <v>No</v>
      </c>
      <c r="V284" s="4">
        <f>IF(S284="No","No",
MROUND(_xlfn.XLOOKUP(B284,'Base stats'!B:B,'Base stats'!BF:BF)^0.25
/((_xlfn.XLOOKUP(B284,'Base stats'!B:B,'Base stats'!BO:BO))*10)*_xlfn.XLOOKUP(_xlfn.XLOOKUP(B284,'Base stats'!B:B,'Base stats'!E:E),Groups!A:A,Groups!AE:AE)*150 + 0.5 + _xlfn.XLOOKUP(B284,'Base stats'!B:B,'Base stats'!BW:BW),
0.05))</f>
        <v>2</v>
      </c>
      <c r="W284" s="8">
        <f>MROUND(_xlfn.XLOOKUP(_xlfn.XLOOKUP(B284,'Base stats'!B:B,'Base stats'!E:E),Groups!A:A,Groups!BG:BG)*_xlfn.XLOOKUP(B284,'Base stats'!B:B,'Base stats'!C:C)^-0.165,0.05)</f>
        <v>0</v>
      </c>
      <c r="X284" s="1">
        <f>MROUND(_xlfn.XLOOKUP(_xlfn.XLOOKUP(B284,'Base stats'!B:B,'Base stats'!E:E),Groups!A:A,Groups!BH:BH)*_xlfn.XLOOKUP(B284,'Base stats'!B:B,'Base stats'!C:C)^0.165,0.05)</f>
        <v>0</v>
      </c>
      <c r="Y284" s="8">
        <f>MROUND(_xlfn.XLOOKUP(_xlfn.XLOOKUP(B284,'Base stats'!B:B,'Base stats'!E:E),Groups!A:A,Groups!BI:BI)*_xlfn.XLOOKUP(B284,'Base stats'!B:B,'Base stats'!C:C)^0.165,0.05)</f>
        <v>0</v>
      </c>
      <c r="Z284" s="18">
        <f>MROUND(_xlfn.XLOOKUP(B284,'Base stats'!B:B,'Base stats'!AQ:AQ)*_xlfn.XLOOKUP(_xlfn.XLOOKUP(B284,'Base stats'!B:B,'Base stats'!E:E),Groups!A:A,Groups!H:H)/1000,IF((_xlfn.XLOOKUP(B284,'Base stats'!B:B,'Base stats'!AQ:AQ)*_xlfn.XLOOKUP(_xlfn.XLOOKUP(B284,'Base stats'!B:B,'Base stats'!E:E),Groups!A:A,Groups!H:H)/1000)&gt;1,0.05,0.01))</f>
        <v>0</v>
      </c>
      <c r="AA284" s="18">
        <f>MROUND((1/2)*(_xlfn.XLOOKUP(_xlfn.XLOOKUP(B284,'Base stats'!B:B,'Base stats'!E:E),Groups!A:A,Groups!H:H)*_xlfn.XLOOKUP(_xlfn.XLOOKUP(B284,'Base stats'!B:B,'Base stats'!E:E),Groups!A:A,Groups!I:I))*_xlfn.XLOOKUP(B284,'Base stats'!B:B,'Base stats'!AQ:AQ)*0.01,0.05)</f>
        <v>0</v>
      </c>
      <c r="AB284" s="18">
        <f>MROUND(250*(Animals!AO284+Animals!AP284),25)</f>
        <v>475</v>
      </c>
      <c r="AC284" s="18" t="str">
        <f>_xlfn.XLOOKUP(_xlfn.XLOOKUP(B284,'Base stats'!B:B,'Base stats'!E:E),Groups!A:A,Groups!BJ:BJ)</f>
        <v>QuadrupedLow</v>
      </c>
    </row>
    <row r="285" spans="1:29" ht="16.5" thickTop="1" thickBot="1" x14ac:dyDescent="0.3">
      <c r="A285" s="16" t="str">
        <f>Animals!A285</f>
        <v>GreyCoatedMouflon</v>
      </c>
      <c r="B285" s="6" t="str">
        <f>Animals!B285</f>
        <v>Ovis griseus</v>
      </c>
      <c r="C285" s="1" t="str">
        <f>Animals!C285</f>
        <v>&lt;li&gt;AA_GreyCoatedMouflon&lt;/li&gt;</v>
      </c>
      <c r="D285" s="47">
        <f>MIN(MIN(6,_xlfn.XLOOKUP(A285,Animals!A:A,Animals!AO:AO))*20,MAX(MROUND(_xlfn.XLOOKUP(B285,'Base stats'!B:B,'Base stats'!BS:BS) * (_xlfn.XLOOKUP(B285,'Base stats'!B:B,'Base stats'!AO:AO)*5%)^0.9 / 21,0.1),0.05))</f>
        <v>4.3</v>
      </c>
      <c r="E285" s="11">
        <f>MROUND(_xlfn.XLOOKUP(B285,'Base stats'!B:B,'Base stats'!BG:BG) * 0.01 * 2 + 0.01, 0.05)</f>
        <v>3.6500000000000004</v>
      </c>
      <c r="F285" s="7">
        <f>MROUND(_xlfn.XLOOKUP(B285,'Base stats'!B:B,'Base stats'!BD:BD)^0.25 / (_xlfn.XLOOKUP(B285,'Base stats'!B:B,'Base stats'!BK:BK) * 10) * 150 + 0.5 + _xlfn.XLOOKUP(B285,'Base stats'!B:B,'Base stats'!BW:BW), 0.05)</f>
        <v>1.5</v>
      </c>
      <c r="G285" s="3">
        <f>IF(Animals!S285="No","No",
IF(_xlfn.XLOOKUP(B285,'Base stats'!B:B,'Base stats'!U:U)="No",
MAX(MROUND(_xlfn.XLOOKUP(B285,'Base stats'!B:B,'Base stats'!BT:BT) * _xlfn.XLOOKUP(B285,'Base stats'!B:B,'Base stats'!BP:BP)^0.9 / 21 * _xlfn.XLOOKUP(B285,'Base stats'!B:B,'Base stats'!BX:BX),0.1),0.05),
MAX(MROUND(((MIN(10,_xlfn.XLOOKUP(B285,'Base stats'!B:B,'Base stats'!U:U)))^0.4*_xlfn.XLOOKUP(B285,'Base stats'!B:B,'Base stats'!BH:BH)^0.73)^0.6 * _xlfn.XLOOKUP(B285,'Base stats'!B:B,'Base stats'!BX:BX),0.1),0.05)
))</f>
        <v>5.7</v>
      </c>
      <c r="H285" s="11">
        <f>IF(G285="No","No",
MROUND(_xlfn.XLOOKUP(B285,'Base stats'!B:B,'Base stats'!BH:BH) * 0.01 * 2 + 0.05, 0.05)
)</f>
        <v>3.3000000000000003</v>
      </c>
      <c r="I285" s="11" t="str">
        <f>IF(G285="No","No",IF(_xlfn.XLOOKUP(B285,'Base stats'!B:B,'Base stats'!U:U)="No","No",
MROUND(_xlfn.XLOOKUP(B285,'Base stats'!B:B,'Base stats'!BT:BT)/10000+0.01,0.01)
))</f>
        <v>No</v>
      </c>
      <c r="J285" s="4">
        <f>IF(G285="No","No",
MROUND(_xlfn.XLOOKUP(B285,'Base stats'!B:B,'Base stats'!BE:BE)^0.25
/((_xlfn.XLOOKUP(B285,'Base stats'!B:B,'Base stats'!BL:BL))*10)*_xlfn.XLOOKUP(_xlfn.XLOOKUP(B285,'Base stats'!B:B,'Base stats'!E:E),Groups!A:A,Groups!Q:Q)*150 + 0.5 + _xlfn.XLOOKUP(B285,'Base stats'!B:B,'Base stats'!BW:BW),
0.05))</f>
        <v>2.25</v>
      </c>
      <c r="K285" s="3">
        <f>IF(Animals!X285="No","No",
IF(_xlfn.XLOOKUP(_xlfn.XLOOKUP(B285,'Base stats'!B:B,'Base stats'!E:E),Groups!A:A,Groups!BD:BD)=1,
MAX(MROUND(_xlfn.XLOOKUP(B285,'Base stats'!B:B,'Base stats'!BU:BU) * _xlfn.XLOOKUP(B285,'Base stats'!B:B,'Base stats'!BQ:BQ)^0.9 / 21 *_xlfn.XLOOKUP(B285,'Base stats'!B:B,'Base stats'!BX:BX),0.1),0.05),
MAX(MROUND(((MIN(10,_xlfn.XLOOKUP(B285,'Base stats'!B:B,'Base stats'!W:W)))^0.4*_xlfn.XLOOKUP(B285,'Base stats'!B:B,'Base stats'!BI:BI)^0.73)^0.6 *_xlfn.XLOOKUP(B285,'Base stats'!B:B,'Base stats'!BX:BX),0.1),0.05)
))</f>
        <v>5.1000000000000005</v>
      </c>
      <c r="L285" s="11">
        <f>IF(K285="No","No",
MROUND(_xlfn.XLOOKUP(B285,'Base stats'!B:B,'Base stats'!BI:BI) * 0.01 *2 + 0.05, 0.05)
)</f>
        <v>4.4000000000000004</v>
      </c>
      <c r="M285" s="5" t="str">
        <f>IF(K285="No","No",IF(_xlfn.XLOOKUP(_xlfn.XLOOKUP(B285,'Base stats'!B:B,'Base stats'!E:E),Groups!A:A,Groups!BD:BD)=1,"No",
MROUND(_xlfn.XLOOKUP(B285,'Base stats'!B:B,'Base stats'!BU:BU)/10000+0.01,0.01)
))</f>
        <v>No</v>
      </c>
      <c r="N285" s="4">
        <f>IF(K285="No","No",
MROUND(
  _xlfn.XLOOKUP(B285,'Base stats'!B:B,'Base stats'!BC:BC)^0.25
  / (_xlfn.XLOOKUP(B285,'Base stats'!B:B,'Base stats'!BM:BM) * 10)
  * _xlfn.XLOOKUP(
      _xlfn.XLOOKUP(B285,'Base stats'!B:B,'Base stats'!E:E),
      Groups!A:A,
      Groups!V:V
    ) * 150
  + MIN(12, _xlfn.XLOOKUP(B285,'Base stats'!B:B,'Base stats'!W:W))^(1/IF(_xlfn.XLOOKUP(_xlfn.XLOOKUP(B285,'Base stats'!B:B,'Base stats'!E:E),Groups!A:A,Groups!U:U)=1,100,10)) + 0.5 + _xlfn.XLOOKUP(B285,'Base stats'!B:B,'Base stats'!BW:BW),
0.05))</f>
        <v>2.5500000000000003</v>
      </c>
      <c r="O285" s="3" t="str">
        <f>IF(Animals!AD285="No","No",
MAX(MROUND((MIN(10,_xlfn.XLOOKUP(B285,'Base stats'!B:B,'Base stats'!V:V)*IF(_xlfn.XLOOKUP(_xlfn.XLOOKUP(B285,'Base stats'!B:B,'Base stats'!E:E),Groups!A:A,Groups!O:O)=0,1,0.33))^0.4*_xlfn.XLOOKUP(B285,'Base stats'!B:B,'Base stats'!BJ:BJ)^0.73)^0.6 *_xlfn.XLOOKUP(B285,'Base stats'!B:B,'Base stats'!BX:BX),0.1),0.05)
)</f>
        <v>No</v>
      </c>
      <c r="P285" s="11" t="str">
        <f>IF(O285="No","No",
MROUND(_xlfn.XLOOKUP(B285,'Base stats'!B:B,'Base stats'!BJ:BJ) * 0.01 * 2 + 0.05, 0.05)
)</f>
        <v>No</v>
      </c>
      <c r="Q285" s="5" t="str">
        <f>IF(O285="No","No",
MROUND(_xlfn.XLOOKUP(B285,'Base stats'!B:B,'Base stats'!BV:BV)/10000+0.01,0.01)
)</f>
        <v>No</v>
      </c>
      <c r="R285" s="4" t="str">
        <f>IF(O285="No","No",
MROUND(_xlfn.XLOOKUP(B285,'Base stats'!B:B,'Base stats'!BB:BB)^0.25
/((_xlfn.XLOOKUP(B285,'Base stats'!B:B,'Base stats'!BN:BN))*10)*_xlfn.XLOOKUP(_xlfn.XLOOKUP(B285,'Base stats'!B:B,'Base stats'!E:E),Groups!A:A,Groups!Z:Z)*150 + 0.5 + _xlfn.XLOOKUP(B285,'Base stats'!B:B,'Base stats'!BW:BW),
0.05))</f>
        <v>No</v>
      </c>
      <c r="S285" s="3" t="str">
        <f>IF(Animals!AI285="No","No",
IF(_xlfn.XLOOKUP(B285,'Base stats'!B:B,'Base stats'!U:U)="No",
MAX(MROUND(_xlfn.XLOOKUP(B285,'Base stats'!B:B,'Base stats'!BT:BT) * _xlfn.XLOOKUP(B285,'Base stats'!B:B,'Base stats'!BP:BP)^0.9 / 21 * _xlfn.XLOOKUP(B285,'Base stats'!B:B,'Base stats'!BX:BX),0.1),0.05),
MAX(MROUND(((MIN(12,_xlfn.XLOOKUP(B285,'Base stats'!B:B,'Base stats'!U:U)))^0.4*_xlfn.XLOOKUP(B285,'Base stats'!B:B,'Base stats'!BH:BH)^0.73)^0.6 * _xlfn.XLOOKUP(B285,'Base stats'!B:B,'Base stats'!BX:BX),0.1),0.05)
))</f>
        <v>No</v>
      </c>
      <c r="T285" s="11" t="str">
        <f>IF(S285="No","No",
MROUND(_xlfn.XLOOKUP(B285,'Base stats'!B:B,'Base stats'!BH:BH) * 0.01 * 2 + 0.05, 0.05)
)</f>
        <v>No</v>
      </c>
      <c r="U285" s="5" t="str">
        <f>IF(S285="No","No",IF(_xlfn.XLOOKUP(B285,'Base stats'!B:B,'Base stats'!U:U)="No","No",
MROUND(_xlfn.XLOOKUP(B285,'Base stats'!B:B,'Base stats'!BT:BT)/10000+0.01,0.01)
))</f>
        <v>No</v>
      </c>
      <c r="V285" s="4" t="str">
        <f>IF(S285="No","No",
MROUND(_xlfn.XLOOKUP(B285,'Base stats'!B:B,'Base stats'!BF:BF)^0.25
/((_xlfn.XLOOKUP(B285,'Base stats'!B:B,'Base stats'!BO:BO))*10)*_xlfn.XLOOKUP(_xlfn.XLOOKUP(B285,'Base stats'!B:B,'Base stats'!E:E),Groups!A:A,Groups!AE:AE)*150 + 0.5 + _xlfn.XLOOKUP(B285,'Base stats'!B:B,'Base stats'!BW:BW),
0.05))</f>
        <v>No</v>
      </c>
      <c r="W285" s="8">
        <f>MROUND(_xlfn.XLOOKUP(_xlfn.XLOOKUP(B285,'Base stats'!B:B,'Base stats'!E:E),Groups!A:A,Groups!BG:BG)*_xlfn.XLOOKUP(B285,'Base stats'!B:B,'Base stats'!C:C)^-0.165,0.05)</f>
        <v>0.25</v>
      </c>
      <c r="X285" s="1">
        <f>MROUND(_xlfn.XLOOKUP(_xlfn.XLOOKUP(B285,'Base stats'!B:B,'Base stats'!E:E),Groups!A:A,Groups!BH:BH)*_xlfn.XLOOKUP(B285,'Base stats'!B:B,'Base stats'!C:C)^0.165,0.05)</f>
        <v>0</v>
      </c>
      <c r="Y285" s="8">
        <f>MROUND(_xlfn.XLOOKUP(_xlfn.XLOOKUP(B285,'Base stats'!B:B,'Base stats'!E:E),Groups!A:A,Groups!BI:BI)*_xlfn.XLOOKUP(B285,'Base stats'!B:B,'Base stats'!C:C)^0.165,0.05)</f>
        <v>0</v>
      </c>
      <c r="Z285" s="18">
        <f>MROUND(_xlfn.XLOOKUP(B285,'Base stats'!B:B,'Base stats'!AQ:AQ)*_xlfn.XLOOKUP(_xlfn.XLOOKUP(B285,'Base stats'!B:B,'Base stats'!E:E),Groups!A:A,Groups!H:H)/1000,IF((_xlfn.XLOOKUP(B285,'Base stats'!B:B,'Base stats'!AQ:AQ)*_xlfn.XLOOKUP(_xlfn.XLOOKUP(B285,'Base stats'!B:B,'Base stats'!E:E),Groups!A:A,Groups!H:H)/1000)&gt;1,0.05,0.01))</f>
        <v>7.0000000000000007E-2</v>
      </c>
      <c r="AA285" s="18">
        <f>MROUND((1/2)*(_xlfn.XLOOKUP(_xlfn.XLOOKUP(B285,'Base stats'!B:B,'Base stats'!E:E),Groups!A:A,Groups!H:H)*_xlfn.XLOOKUP(_xlfn.XLOOKUP(B285,'Base stats'!B:B,'Base stats'!E:E),Groups!A:A,Groups!I:I))*_xlfn.XLOOKUP(B285,'Base stats'!B:B,'Base stats'!AQ:AQ)*0.01,0.05)</f>
        <v>0.30000000000000004</v>
      </c>
      <c r="AB285" s="18">
        <f>MROUND(250*(Animals!AO285+Animals!AP285),25)</f>
        <v>625</v>
      </c>
      <c r="AC285" s="18" t="str">
        <f>_xlfn.XLOOKUP(_xlfn.XLOOKUP(B285,'Base stats'!B:B,'Base stats'!E:E),Groups!A:A,Groups!BJ:BJ)</f>
        <v>Quadruped</v>
      </c>
    </row>
    <row r="286" spans="1:29" ht="16.5" thickTop="1" thickBot="1" x14ac:dyDescent="0.3">
      <c r="A286" s="16" t="str">
        <f>Animals!A286</f>
        <v>Groundrunner</v>
      </c>
      <c r="B286" s="6" t="str">
        <f>Animals!B286</f>
        <v>Canis terrestris</v>
      </c>
      <c r="C286" s="1" t="str">
        <f>Animals!C286</f>
        <v>&lt;li&gt;AA_Groundrunner&lt;/li&gt;</v>
      </c>
      <c r="D286" s="47">
        <f>MIN(MIN(6,_xlfn.XLOOKUP(A286,Animals!A:A,Animals!AO:AO))*20,MAX(MROUND(_xlfn.XLOOKUP(B286,'Base stats'!B:B,'Base stats'!BS:BS) * (_xlfn.XLOOKUP(B286,'Base stats'!B:B,'Base stats'!AO:AO)*5%)^0.9 / 21,0.1),0.05))</f>
        <v>6.1000000000000005</v>
      </c>
      <c r="E286" s="11">
        <f>MROUND(_xlfn.XLOOKUP(B286,'Base stats'!B:B,'Base stats'!BG:BG) * 0.01 * 2 + 0.01, 0.05)</f>
        <v>5.4</v>
      </c>
      <c r="F286" s="7">
        <f>MROUND(_xlfn.XLOOKUP(B286,'Base stats'!B:B,'Base stats'!BD:BD)^0.25 / (_xlfn.XLOOKUP(B286,'Base stats'!B:B,'Base stats'!BK:BK) * 10) * 150 + 0.5 + _xlfn.XLOOKUP(B286,'Base stats'!B:B,'Base stats'!BW:BW), 0.05)</f>
        <v>1.75</v>
      </c>
      <c r="G286" s="3" t="str">
        <f>IF(Animals!S286="No","No",
IF(_xlfn.XLOOKUP(B286,'Base stats'!B:B,'Base stats'!U:U)="No",
MAX(MROUND(_xlfn.XLOOKUP(B286,'Base stats'!B:B,'Base stats'!BT:BT) * _xlfn.XLOOKUP(B286,'Base stats'!B:B,'Base stats'!BP:BP)^0.9 / 21 * _xlfn.XLOOKUP(B286,'Base stats'!B:B,'Base stats'!BX:BX),0.1),0.05),
MAX(MROUND(((MIN(10,_xlfn.XLOOKUP(B286,'Base stats'!B:B,'Base stats'!U:U)))^0.4*_xlfn.XLOOKUP(B286,'Base stats'!B:B,'Base stats'!BH:BH)^0.73)^0.6 * _xlfn.XLOOKUP(B286,'Base stats'!B:B,'Base stats'!BX:BX),0.1),0.05)
))</f>
        <v>No</v>
      </c>
      <c r="H286" s="11" t="str">
        <f>IF(G286="No","No",
MROUND(_xlfn.XLOOKUP(B286,'Base stats'!B:B,'Base stats'!BH:BH) * 0.01 * 2 + 0.05, 0.05)
)</f>
        <v>No</v>
      </c>
      <c r="I286" s="11" t="str">
        <f>IF(G286="No","No",IF(_xlfn.XLOOKUP(B286,'Base stats'!B:B,'Base stats'!U:U)="No","No",
MROUND(_xlfn.XLOOKUP(B286,'Base stats'!B:B,'Base stats'!BT:BT)/10000+0.01,0.01)
))</f>
        <v>No</v>
      </c>
      <c r="J286" s="4" t="str">
        <f>IF(G286="No","No",
MROUND(_xlfn.XLOOKUP(B286,'Base stats'!B:B,'Base stats'!BE:BE)^0.25
/((_xlfn.XLOOKUP(B286,'Base stats'!B:B,'Base stats'!BL:BL))*10)*_xlfn.XLOOKUP(_xlfn.XLOOKUP(B286,'Base stats'!B:B,'Base stats'!E:E),Groups!A:A,Groups!Q:Q)*150 + 0.5 + _xlfn.XLOOKUP(B286,'Base stats'!B:B,'Base stats'!BW:BW),
0.05))</f>
        <v>No</v>
      </c>
      <c r="K286" s="3" t="str">
        <f>IF(Animals!X286="No","No",
IF(_xlfn.XLOOKUP(_xlfn.XLOOKUP(B286,'Base stats'!B:B,'Base stats'!E:E),Groups!A:A,Groups!BD:BD)=1,
MAX(MROUND(_xlfn.XLOOKUP(B286,'Base stats'!B:B,'Base stats'!BU:BU) * _xlfn.XLOOKUP(B286,'Base stats'!B:B,'Base stats'!BQ:BQ)^0.9 / 21 *_xlfn.XLOOKUP(B286,'Base stats'!B:B,'Base stats'!BX:BX),0.1),0.05),
MAX(MROUND(((MIN(10,_xlfn.XLOOKUP(B286,'Base stats'!B:B,'Base stats'!W:W)))^0.4*_xlfn.XLOOKUP(B286,'Base stats'!B:B,'Base stats'!BI:BI)^0.73)^0.6 *_xlfn.XLOOKUP(B286,'Base stats'!B:B,'Base stats'!BX:BX),0.1),0.05)
))</f>
        <v>No</v>
      </c>
      <c r="L286" s="11" t="str">
        <f>IF(K286="No","No",
MROUND(_xlfn.XLOOKUP(B286,'Base stats'!B:B,'Base stats'!BI:BI) * 0.01 *2 + 0.05, 0.05)
)</f>
        <v>No</v>
      </c>
      <c r="M286" s="5" t="str">
        <f>IF(K286="No","No",IF(_xlfn.XLOOKUP(_xlfn.XLOOKUP(B286,'Base stats'!B:B,'Base stats'!E:E),Groups!A:A,Groups!BD:BD)=1,"No",
MROUND(_xlfn.XLOOKUP(B286,'Base stats'!B:B,'Base stats'!BU:BU)/10000+0.01,0.01)
))</f>
        <v>No</v>
      </c>
      <c r="N286" s="4" t="str">
        <f>IF(K286="No","No",
MROUND(
  _xlfn.XLOOKUP(B286,'Base stats'!B:B,'Base stats'!BC:BC)^0.25
  / (_xlfn.XLOOKUP(B286,'Base stats'!B:B,'Base stats'!BM:BM) * 10)
  * _xlfn.XLOOKUP(
      _xlfn.XLOOKUP(B286,'Base stats'!B:B,'Base stats'!E:E),
      Groups!A:A,
      Groups!V:V
    ) * 150
  + MIN(12, _xlfn.XLOOKUP(B286,'Base stats'!B:B,'Base stats'!W:W))^(1/IF(_xlfn.XLOOKUP(_xlfn.XLOOKUP(B286,'Base stats'!B:B,'Base stats'!E:E),Groups!A:A,Groups!U:U)=1,100,10)) + 0.5 + _xlfn.XLOOKUP(B286,'Base stats'!B:B,'Base stats'!BW:BW),
0.05))</f>
        <v>No</v>
      </c>
      <c r="O286" s="3">
        <f>IF(Animals!AD286="No","No",
MAX(MROUND((MIN(10,_xlfn.XLOOKUP(B286,'Base stats'!B:B,'Base stats'!V:V)*IF(_xlfn.XLOOKUP(_xlfn.XLOOKUP(B286,'Base stats'!B:B,'Base stats'!E:E),Groups!A:A,Groups!O:O)=0,1,0.33))^0.4*_xlfn.XLOOKUP(B286,'Base stats'!B:B,'Base stats'!BJ:BJ)^0.73)^0.6 *_xlfn.XLOOKUP(B286,'Base stats'!B:B,'Base stats'!BX:BX),0.1),0.05)
)</f>
        <v>13.8</v>
      </c>
      <c r="P286" s="11">
        <f>IF(O286="No","No",
MROUND(_xlfn.XLOOKUP(B286,'Base stats'!B:B,'Base stats'!BJ:BJ) * 0.01 * 2 + 0.05, 0.05)
)</f>
        <v>2.3000000000000003</v>
      </c>
      <c r="Q286" s="5">
        <f>IF(O286="No","No",
MROUND(_xlfn.XLOOKUP(B286,'Base stats'!B:B,'Base stats'!BV:BV)/10000+0.01,0.01)
)</f>
        <v>0.09</v>
      </c>
      <c r="R286" s="4">
        <f>IF(O286="No","No",
MROUND(_xlfn.XLOOKUP(B286,'Base stats'!B:B,'Base stats'!BB:BB)^0.25
/((_xlfn.XLOOKUP(B286,'Base stats'!B:B,'Base stats'!BN:BN))*10)*_xlfn.XLOOKUP(_xlfn.XLOOKUP(B286,'Base stats'!B:B,'Base stats'!E:E),Groups!A:A,Groups!Z:Z)*150 + 0.5 + _xlfn.XLOOKUP(B286,'Base stats'!B:B,'Base stats'!BW:BW),
0.05))</f>
        <v>2.25</v>
      </c>
      <c r="S286" s="3" t="str">
        <f>IF(Animals!AI286="No","No",
IF(_xlfn.XLOOKUP(B286,'Base stats'!B:B,'Base stats'!U:U)="No",
MAX(MROUND(_xlfn.XLOOKUP(B286,'Base stats'!B:B,'Base stats'!BT:BT) * _xlfn.XLOOKUP(B286,'Base stats'!B:B,'Base stats'!BP:BP)^0.9 / 21 * _xlfn.XLOOKUP(B286,'Base stats'!B:B,'Base stats'!BX:BX),0.1),0.05),
MAX(MROUND(((MIN(12,_xlfn.XLOOKUP(B286,'Base stats'!B:B,'Base stats'!U:U)))^0.4*_xlfn.XLOOKUP(B286,'Base stats'!B:B,'Base stats'!BH:BH)^0.73)^0.6 * _xlfn.XLOOKUP(B286,'Base stats'!B:B,'Base stats'!BX:BX),0.1),0.05)
))</f>
        <v>No</v>
      </c>
      <c r="T286" s="11" t="str">
        <f>IF(S286="No","No",
MROUND(_xlfn.XLOOKUP(B286,'Base stats'!B:B,'Base stats'!BH:BH) * 0.01 * 2 + 0.05, 0.05)
)</f>
        <v>No</v>
      </c>
      <c r="U286" s="5" t="str">
        <f>IF(S286="No","No",IF(_xlfn.XLOOKUP(B286,'Base stats'!B:B,'Base stats'!U:U)="No","No",
MROUND(_xlfn.XLOOKUP(B286,'Base stats'!B:B,'Base stats'!BT:BT)/10000+0.01,0.01)
))</f>
        <v>No</v>
      </c>
      <c r="V286" s="4" t="str">
        <f>IF(S286="No","No",
MROUND(_xlfn.XLOOKUP(B286,'Base stats'!B:B,'Base stats'!BF:BF)^0.25
/((_xlfn.XLOOKUP(B286,'Base stats'!B:B,'Base stats'!BO:BO))*10)*_xlfn.XLOOKUP(_xlfn.XLOOKUP(B286,'Base stats'!B:B,'Base stats'!E:E),Groups!A:A,Groups!AE:AE)*150 + 0.5 + _xlfn.XLOOKUP(B286,'Base stats'!B:B,'Base stats'!BW:BW),
0.05))</f>
        <v>No</v>
      </c>
      <c r="W286" s="8">
        <f>MROUND(_xlfn.XLOOKUP(_xlfn.XLOOKUP(B286,'Base stats'!B:B,'Base stats'!E:E),Groups!A:A,Groups!BG:BG)*_xlfn.XLOOKUP(B286,'Base stats'!B:B,'Base stats'!C:C)^-0.165,0.05)</f>
        <v>0.30000000000000004</v>
      </c>
      <c r="X286" s="1">
        <f>MROUND(_xlfn.XLOOKUP(_xlfn.XLOOKUP(B286,'Base stats'!B:B,'Base stats'!E:E),Groups!A:A,Groups!BH:BH)*_xlfn.XLOOKUP(B286,'Base stats'!B:B,'Base stats'!C:C)^0.165,0.05)</f>
        <v>0</v>
      </c>
      <c r="Y286" s="8">
        <f>MROUND(_xlfn.XLOOKUP(_xlfn.XLOOKUP(B286,'Base stats'!B:B,'Base stats'!E:E),Groups!A:A,Groups!BI:BI)*_xlfn.XLOOKUP(B286,'Base stats'!B:B,'Base stats'!C:C)^0.165,0.05)</f>
        <v>0</v>
      </c>
      <c r="Z286" s="18">
        <f>MROUND(_xlfn.XLOOKUP(B286,'Base stats'!B:B,'Base stats'!AQ:AQ)*_xlfn.XLOOKUP(_xlfn.XLOOKUP(B286,'Base stats'!B:B,'Base stats'!E:E),Groups!A:A,Groups!H:H)/1000,IF((_xlfn.XLOOKUP(B286,'Base stats'!B:B,'Base stats'!AQ:AQ)*_xlfn.XLOOKUP(_xlfn.XLOOKUP(B286,'Base stats'!B:B,'Base stats'!E:E),Groups!A:A,Groups!H:H)/1000)&gt;1,0.05,0.01))</f>
        <v>0.08</v>
      </c>
      <c r="AA286" s="18">
        <f>MROUND((1/2)*(_xlfn.XLOOKUP(_xlfn.XLOOKUP(B286,'Base stats'!B:B,'Base stats'!E:E),Groups!A:A,Groups!H:H)*_xlfn.XLOOKUP(_xlfn.XLOOKUP(B286,'Base stats'!B:B,'Base stats'!E:E),Groups!A:A,Groups!I:I))*_xlfn.XLOOKUP(B286,'Base stats'!B:B,'Base stats'!AQ:AQ)*0.01,0.05)</f>
        <v>0.35000000000000003</v>
      </c>
      <c r="AB286" s="18">
        <f>MROUND(250*(Animals!AO286+Animals!AP286),25)</f>
        <v>1000</v>
      </c>
      <c r="AC286" s="18" t="str">
        <f>_xlfn.XLOOKUP(_xlfn.XLOOKUP(B286,'Base stats'!B:B,'Base stats'!E:E),Groups!A:A,Groups!BJ:BJ)</f>
        <v>QuadrupedLow</v>
      </c>
    </row>
    <row r="287" spans="1:29" ht="16.5" thickTop="1" thickBot="1" x14ac:dyDescent="0.3">
      <c r="A287" s="16" t="str">
        <f>Animals!A287</f>
        <v>Helixien</v>
      </c>
      <c r="B287" s="6" t="str">
        <f>Animals!B287</f>
        <v>Helix giganteus</v>
      </c>
      <c r="C287" s="1" t="str">
        <f>Animals!C287</f>
        <v>&lt;li&gt;AA_Helixien&lt;/li&gt;</v>
      </c>
      <c r="D287" s="47">
        <f>MIN(MIN(6,_xlfn.XLOOKUP(A287,Animals!A:A,Animals!AO:AO))*20,MAX(MROUND(_xlfn.XLOOKUP(B287,'Base stats'!B:B,'Base stats'!BS:BS) * (_xlfn.XLOOKUP(B287,'Base stats'!B:B,'Base stats'!AO:AO)*5%)^0.9 / 21,0.1),0.05))</f>
        <v>8.8000000000000007</v>
      </c>
      <c r="E287" s="11">
        <f>MROUND(_xlfn.XLOOKUP(B287,'Base stats'!B:B,'Base stats'!BG:BG) * 0.01 * 2 + 0.01, 0.05)</f>
        <v>8.5500000000000007</v>
      </c>
      <c r="F287" s="7">
        <f>MROUND(_xlfn.XLOOKUP(B287,'Base stats'!B:B,'Base stats'!BD:BD)^0.25 / (_xlfn.XLOOKUP(B287,'Base stats'!B:B,'Base stats'!BK:BK) * 10) * 150 + 0.5 + _xlfn.XLOOKUP(B287,'Base stats'!B:B,'Base stats'!BW:BW), 0.05)</f>
        <v>2.6500000000000004</v>
      </c>
      <c r="G287" s="3" t="str">
        <f>IF(Animals!S287="No","No",
IF(_xlfn.XLOOKUP(B287,'Base stats'!B:B,'Base stats'!U:U)="No",
MAX(MROUND(_xlfn.XLOOKUP(B287,'Base stats'!B:B,'Base stats'!BT:BT) * _xlfn.XLOOKUP(B287,'Base stats'!B:B,'Base stats'!BP:BP)^0.9 / 21 * _xlfn.XLOOKUP(B287,'Base stats'!B:B,'Base stats'!BX:BX),0.1),0.05),
MAX(MROUND(((MIN(10,_xlfn.XLOOKUP(B287,'Base stats'!B:B,'Base stats'!U:U)))^0.4*_xlfn.XLOOKUP(B287,'Base stats'!B:B,'Base stats'!BH:BH)^0.73)^0.6 * _xlfn.XLOOKUP(B287,'Base stats'!B:B,'Base stats'!BX:BX),0.1),0.05)
))</f>
        <v>No</v>
      </c>
      <c r="H287" s="11" t="str">
        <f>IF(G287="No","No",
MROUND(_xlfn.XLOOKUP(B287,'Base stats'!B:B,'Base stats'!BH:BH) * 0.01 * 2 + 0.05, 0.05)
)</f>
        <v>No</v>
      </c>
      <c r="I287" s="11" t="str">
        <f>IF(G287="No","No",IF(_xlfn.XLOOKUP(B287,'Base stats'!B:B,'Base stats'!U:U)="No","No",
MROUND(_xlfn.XLOOKUP(B287,'Base stats'!B:B,'Base stats'!BT:BT)/10000+0.01,0.01)
))</f>
        <v>No</v>
      </c>
      <c r="J287" s="4" t="str">
        <f>IF(G287="No","No",
MROUND(_xlfn.XLOOKUP(B287,'Base stats'!B:B,'Base stats'!BE:BE)^0.25
/((_xlfn.XLOOKUP(B287,'Base stats'!B:B,'Base stats'!BL:BL))*10)*_xlfn.XLOOKUP(_xlfn.XLOOKUP(B287,'Base stats'!B:B,'Base stats'!E:E),Groups!A:A,Groups!Q:Q)*150 + 0.5 + _xlfn.XLOOKUP(B287,'Base stats'!B:B,'Base stats'!BW:BW),
0.05))</f>
        <v>No</v>
      </c>
      <c r="K287" s="3" t="str">
        <f>IF(Animals!X287="No","No",
IF(_xlfn.XLOOKUP(_xlfn.XLOOKUP(B287,'Base stats'!B:B,'Base stats'!E:E),Groups!A:A,Groups!BD:BD)=1,
MAX(MROUND(_xlfn.XLOOKUP(B287,'Base stats'!B:B,'Base stats'!BU:BU) * _xlfn.XLOOKUP(B287,'Base stats'!B:B,'Base stats'!BQ:BQ)^0.9 / 21 *_xlfn.XLOOKUP(B287,'Base stats'!B:B,'Base stats'!BX:BX),0.1),0.05),
MAX(MROUND(((MIN(10,_xlfn.XLOOKUP(B287,'Base stats'!B:B,'Base stats'!W:W)))^0.4*_xlfn.XLOOKUP(B287,'Base stats'!B:B,'Base stats'!BI:BI)^0.73)^0.6 *_xlfn.XLOOKUP(B287,'Base stats'!B:B,'Base stats'!BX:BX),0.1),0.05)
))</f>
        <v>No</v>
      </c>
      <c r="L287" s="11" t="str">
        <f>IF(K287="No","No",
MROUND(_xlfn.XLOOKUP(B287,'Base stats'!B:B,'Base stats'!BI:BI) * 0.01 *2 + 0.05, 0.05)
)</f>
        <v>No</v>
      </c>
      <c r="M287" s="5" t="str">
        <f>IF(K287="No","No",IF(_xlfn.XLOOKUP(_xlfn.XLOOKUP(B287,'Base stats'!B:B,'Base stats'!E:E),Groups!A:A,Groups!BD:BD)=1,"No",
MROUND(_xlfn.XLOOKUP(B287,'Base stats'!B:B,'Base stats'!BU:BU)/10000+0.01,0.01)
))</f>
        <v>No</v>
      </c>
      <c r="N287" s="4" t="str">
        <f>IF(K287="No","No",
MROUND(
  _xlfn.XLOOKUP(B287,'Base stats'!B:B,'Base stats'!BC:BC)^0.25
  / (_xlfn.XLOOKUP(B287,'Base stats'!B:B,'Base stats'!BM:BM) * 10)
  * _xlfn.XLOOKUP(
      _xlfn.XLOOKUP(B287,'Base stats'!B:B,'Base stats'!E:E),
      Groups!A:A,
      Groups!V:V
    ) * 150
  + MIN(12, _xlfn.XLOOKUP(B287,'Base stats'!B:B,'Base stats'!W:W))^(1/IF(_xlfn.XLOOKUP(_xlfn.XLOOKUP(B287,'Base stats'!B:B,'Base stats'!E:E),Groups!A:A,Groups!U:U)=1,100,10)) + 0.5 + _xlfn.XLOOKUP(B287,'Base stats'!B:B,'Base stats'!BW:BW),
0.05))</f>
        <v>No</v>
      </c>
      <c r="O287" s="3">
        <f>IF(Animals!AD287="No","No",
MAX(MROUND((MIN(10,_xlfn.XLOOKUP(B287,'Base stats'!B:B,'Base stats'!V:V)*IF(_xlfn.XLOOKUP(_xlfn.XLOOKUP(B287,'Base stats'!B:B,'Base stats'!E:E),Groups!A:A,Groups!O:O)=0,1,0.33))^0.4*_xlfn.XLOOKUP(B287,'Base stats'!B:B,'Base stats'!BJ:BJ)^0.73)^0.6 *_xlfn.XLOOKUP(B287,'Base stats'!B:B,'Base stats'!BX:BX),0.1),0.05)
)</f>
        <v>16.2</v>
      </c>
      <c r="P287" s="11">
        <f>IF(O287="No","No",
MROUND(_xlfn.XLOOKUP(B287,'Base stats'!B:B,'Base stats'!BJ:BJ) * 0.01 * 2 + 0.05, 0.05)
)</f>
        <v>7.9</v>
      </c>
      <c r="Q287" s="5">
        <f>IF(O287="No","No",
MROUND(_xlfn.XLOOKUP(B287,'Base stats'!B:B,'Base stats'!BV:BV)/10000+0.01,0.01)
)</f>
        <v>0.18</v>
      </c>
      <c r="R287" s="4">
        <f>IF(O287="No","No",
MROUND(_xlfn.XLOOKUP(B287,'Base stats'!B:B,'Base stats'!BB:BB)^0.25
/((_xlfn.XLOOKUP(B287,'Base stats'!B:B,'Base stats'!BN:BN))*10)*_xlfn.XLOOKUP(_xlfn.XLOOKUP(B287,'Base stats'!B:B,'Base stats'!E:E),Groups!A:A,Groups!Z:Z)*150 + 0.5 + _xlfn.XLOOKUP(B287,'Base stats'!B:B,'Base stats'!BW:BW),
0.05))</f>
        <v>2.6</v>
      </c>
      <c r="S287" s="3" t="str">
        <f>IF(Animals!AI287="No","No",
IF(_xlfn.XLOOKUP(B287,'Base stats'!B:B,'Base stats'!U:U)="No",
MAX(MROUND(_xlfn.XLOOKUP(B287,'Base stats'!B:B,'Base stats'!BT:BT) * _xlfn.XLOOKUP(B287,'Base stats'!B:B,'Base stats'!BP:BP)^0.9 / 21 * _xlfn.XLOOKUP(B287,'Base stats'!B:B,'Base stats'!BX:BX),0.1),0.05),
MAX(MROUND(((MIN(12,_xlfn.XLOOKUP(B287,'Base stats'!B:B,'Base stats'!U:U)))^0.4*_xlfn.XLOOKUP(B287,'Base stats'!B:B,'Base stats'!BH:BH)^0.73)^0.6 * _xlfn.XLOOKUP(B287,'Base stats'!B:B,'Base stats'!BX:BX),0.1),0.05)
))</f>
        <v>No</v>
      </c>
      <c r="T287" s="11" t="str">
        <f>IF(S287="No","No",
MROUND(_xlfn.XLOOKUP(B287,'Base stats'!B:B,'Base stats'!BH:BH) * 0.01 * 2 + 0.05, 0.05)
)</f>
        <v>No</v>
      </c>
      <c r="U287" s="5" t="str">
        <f>IF(S287="No","No",IF(_xlfn.XLOOKUP(B287,'Base stats'!B:B,'Base stats'!U:U)="No","No",
MROUND(_xlfn.XLOOKUP(B287,'Base stats'!B:B,'Base stats'!BT:BT)/10000+0.01,0.01)
))</f>
        <v>No</v>
      </c>
      <c r="V287" s="4" t="str">
        <f>IF(S287="No","No",
MROUND(_xlfn.XLOOKUP(B287,'Base stats'!B:B,'Base stats'!BF:BF)^0.25
/((_xlfn.XLOOKUP(B287,'Base stats'!B:B,'Base stats'!BO:BO))*10)*_xlfn.XLOOKUP(_xlfn.XLOOKUP(B287,'Base stats'!B:B,'Base stats'!E:E),Groups!A:A,Groups!AE:AE)*150 + 0.5 + _xlfn.XLOOKUP(B287,'Base stats'!B:B,'Base stats'!BW:BW),
0.05))</f>
        <v>No</v>
      </c>
      <c r="W287" s="8">
        <f>MROUND(_xlfn.XLOOKUP(_xlfn.XLOOKUP(B287,'Base stats'!B:B,'Base stats'!E:E),Groups!A:A,Groups!BG:BG)*_xlfn.XLOOKUP(B287,'Base stats'!B:B,'Base stats'!C:C)^-0.165,0.05)</f>
        <v>0</v>
      </c>
      <c r="X287" s="1">
        <f>MROUND(_xlfn.XLOOKUP(_xlfn.XLOOKUP(B287,'Base stats'!B:B,'Base stats'!E:E),Groups!A:A,Groups!BH:BH)*_xlfn.XLOOKUP(B287,'Base stats'!B:B,'Base stats'!C:C)^0.165,0.05)</f>
        <v>0</v>
      </c>
      <c r="Y287" s="8">
        <f>MROUND(_xlfn.XLOOKUP(_xlfn.XLOOKUP(B287,'Base stats'!B:B,'Base stats'!E:E),Groups!A:A,Groups!BI:BI)*_xlfn.XLOOKUP(B287,'Base stats'!B:B,'Base stats'!C:C)^0.165,0.05)</f>
        <v>0</v>
      </c>
      <c r="Z287" s="18">
        <f>MROUND(_xlfn.XLOOKUP(B287,'Base stats'!B:B,'Base stats'!AQ:AQ)*_xlfn.XLOOKUP(_xlfn.XLOOKUP(B287,'Base stats'!B:B,'Base stats'!E:E),Groups!A:A,Groups!H:H)/1000,IF((_xlfn.XLOOKUP(B287,'Base stats'!B:B,'Base stats'!AQ:AQ)*_xlfn.XLOOKUP(_xlfn.XLOOKUP(B287,'Base stats'!B:B,'Base stats'!E:E),Groups!A:A,Groups!H:H)/1000)&gt;1,0.05,0.01))</f>
        <v>0.12</v>
      </c>
      <c r="AA287" s="18">
        <f>MROUND((1/2)*(_xlfn.XLOOKUP(_xlfn.XLOOKUP(B287,'Base stats'!B:B,'Base stats'!E:E),Groups!A:A,Groups!H:H)*_xlfn.XLOOKUP(_xlfn.XLOOKUP(B287,'Base stats'!B:B,'Base stats'!E:E),Groups!A:A,Groups!I:I))*_xlfn.XLOOKUP(B287,'Base stats'!B:B,'Base stats'!AQ:AQ)*0.01,0.05)</f>
        <v>0.55000000000000004</v>
      </c>
      <c r="AB287" s="18">
        <f>MROUND(250*(Animals!AO287+Animals!AP287),25)</f>
        <v>1625</v>
      </c>
      <c r="AC287" s="18" t="str">
        <f>_xlfn.XLOOKUP(_xlfn.XLOOKUP(B287,'Base stats'!B:B,'Base stats'!E:E),Groups!A:A,Groups!BJ:BJ)</f>
        <v>QuadrupedLow</v>
      </c>
    </row>
    <row r="288" spans="1:29" ht="16.5" thickTop="1" thickBot="1" x14ac:dyDescent="0.3">
      <c r="A288" s="16" t="str">
        <f>Animals!A288</f>
        <v>IronhuskBeetle</v>
      </c>
      <c r="B288" s="6" t="str">
        <f>Animals!B288</f>
        <v>Coleoptera ferrum</v>
      </c>
      <c r="C288" s="1" t="str">
        <f>Animals!C288</f>
        <v>&lt;li&gt;AA_IronhuskBeetle&lt;/li&gt;</v>
      </c>
      <c r="D288" s="47">
        <f>MIN(MIN(6,_xlfn.XLOOKUP(A288,Animals!A:A,Animals!AO:AO))*20,MAX(MROUND(_xlfn.XLOOKUP(B288,'Base stats'!B:B,'Base stats'!BS:BS) * (_xlfn.XLOOKUP(B288,'Base stats'!B:B,'Base stats'!AO:AO)*5%)^0.9 / 21,0.1),0.05))</f>
        <v>12.4</v>
      </c>
      <c r="E288" s="11">
        <f>MROUND(_xlfn.XLOOKUP(B288,'Base stats'!B:B,'Base stats'!BG:BG) * 0.01 * 2 + 0.01, 0.05)</f>
        <v>12.4</v>
      </c>
      <c r="F288" s="7">
        <f>MROUND(_xlfn.XLOOKUP(B288,'Base stats'!B:B,'Base stats'!BD:BD)^0.25 / (_xlfn.XLOOKUP(B288,'Base stats'!B:B,'Base stats'!BK:BK) * 10) * 150 + 0.5 + _xlfn.XLOOKUP(B288,'Base stats'!B:B,'Base stats'!BW:BW), 0.05)</f>
        <v>2.6</v>
      </c>
      <c r="G288" s="3" t="str">
        <f>IF(Animals!S288="No","No",
IF(_xlfn.XLOOKUP(B288,'Base stats'!B:B,'Base stats'!U:U)="No",
MAX(MROUND(_xlfn.XLOOKUP(B288,'Base stats'!B:B,'Base stats'!BT:BT) * _xlfn.XLOOKUP(B288,'Base stats'!B:B,'Base stats'!BP:BP)^0.9 / 21 * _xlfn.XLOOKUP(B288,'Base stats'!B:B,'Base stats'!BX:BX),0.1),0.05),
MAX(MROUND(((MIN(10,_xlfn.XLOOKUP(B288,'Base stats'!B:B,'Base stats'!U:U)))^0.4*_xlfn.XLOOKUP(B288,'Base stats'!B:B,'Base stats'!BH:BH)^0.73)^0.6 * _xlfn.XLOOKUP(B288,'Base stats'!B:B,'Base stats'!BX:BX),0.1),0.05)
))</f>
        <v>No</v>
      </c>
      <c r="H288" s="11" t="str">
        <f>IF(G288="No","No",
MROUND(_xlfn.XLOOKUP(B288,'Base stats'!B:B,'Base stats'!BH:BH) * 0.01 * 2 + 0.05, 0.05)
)</f>
        <v>No</v>
      </c>
      <c r="I288" s="11" t="str">
        <f>IF(G288="No","No",IF(_xlfn.XLOOKUP(B288,'Base stats'!B:B,'Base stats'!U:U)="No","No",
MROUND(_xlfn.XLOOKUP(B288,'Base stats'!B:B,'Base stats'!BT:BT)/10000+0.01,0.01)
))</f>
        <v>No</v>
      </c>
      <c r="J288" s="4" t="str">
        <f>IF(G288="No","No",
MROUND(_xlfn.XLOOKUP(B288,'Base stats'!B:B,'Base stats'!BE:BE)^0.25
/((_xlfn.XLOOKUP(B288,'Base stats'!B:B,'Base stats'!BL:BL))*10)*_xlfn.XLOOKUP(_xlfn.XLOOKUP(B288,'Base stats'!B:B,'Base stats'!E:E),Groups!A:A,Groups!Q:Q)*150 + 0.5 + _xlfn.XLOOKUP(B288,'Base stats'!B:B,'Base stats'!BW:BW),
0.05))</f>
        <v>No</v>
      </c>
      <c r="K288" s="3" t="str">
        <f>IF(Animals!X288="No","No",
IF(_xlfn.XLOOKUP(_xlfn.XLOOKUP(B288,'Base stats'!B:B,'Base stats'!E:E),Groups!A:A,Groups!BD:BD)=1,
MAX(MROUND(_xlfn.XLOOKUP(B288,'Base stats'!B:B,'Base stats'!BU:BU) * _xlfn.XLOOKUP(B288,'Base stats'!B:B,'Base stats'!BQ:BQ)^0.9 / 21 *_xlfn.XLOOKUP(B288,'Base stats'!B:B,'Base stats'!BX:BX),0.1),0.05),
MAX(MROUND(((MIN(10,_xlfn.XLOOKUP(B288,'Base stats'!B:B,'Base stats'!W:W)))^0.4*_xlfn.XLOOKUP(B288,'Base stats'!B:B,'Base stats'!BI:BI)^0.73)^0.6 *_xlfn.XLOOKUP(B288,'Base stats'!B:B,'Base stats'!BX:BX),0.1),0.05)
))</f>
        <v>No</v>
      </c>
      <c r="L288" s="11" t="str">
        <f>IF(K288="No","No",
MROUND(_xlfn.XLOOKUP(B288,'Base stats'!B:B,'Base stats'!BI:BI) * 0.01 *2 + 0.05, 0.05)
)</f>
        <v>No</v>
      </c>
      <c r="M288" s="5" t="str">
        <f>IF(K288="No","No",IF(_xlfn.XLOOKUP(_xlfn.XLOOKUP(B288,'Base stats'!B:B,'Base stats'!E:E),Groups!A:A,Groups!BD:BD)=1,"No",
MROUND(_xlfn.XLOOKUP(B288,'Base stats'!B:B,'Base stats'!BU:BU)/10000+0.01,0.01)
))</f>
        <v>No</v>
      </c>
      <c r="N288" s="4" t="str">
        <f>IF(K288="No","No",
MROUND(
  _xlfn.XLOOKUP(B288,'Base stats'!B:B,'Base stats'!BC:BC)^0.25
  / (_xlfn.XLOOKUP(B288,'Base stats'!B:B,'Base stats'!BM:BM) * 10)
  * _xlfn.XLOOKUP(
      _xlfn.XLOOKUP(B288,'Base stats'!B:B,'Base stats'!E:E),
      Groups!A:A,
      Groups!V:V
    ) * 150
  + MIN(12, _xlfn.XLOOKUP(B288,'Base stats'!B:B,'Base stats'!W:W))^(1/IF(_xlfn.XLOOKUP(_xlfn.XLOOKUP(B288,'Base stats'!B:B,'Base stats'!E:E),Groups!A:A,Groups!U:U)=1,100,10)) + 0.5 + _xlfn.XLOOKUP(B288,'Base stats'!B:B,'Base stats'!BW:BW),
0.05))</f>
        <v>No</v>
      </c>
      <c r="O288" s="3">
        <f>IF(Animals!AD288="No","No",
MAX(MROUND((MIN(10,_xlfn.XLOOKUP(B288,'Base stats'!B:B,'Base stats'!V:V)*IF(_xlfn.XLOOKUP(_xlfn.XLOOKUP(B288,'Base stats'!B:B,'Base stats'!E:E),Groups!A:A,Groups!O:O)=0,1,0.33))^0.4*_xlfn.XLOOKUP(B288,'Base stats'!B:B,'Base stats'!BJ:BJ)^0.73)^0.6 *_xlfn.XLOOKUP(B288,'Base stats'!B:B,'Base stats'!BX:BX),0.1),0.05)
)</f>
        <v>63.300000000000004</v>
      </c>
      <c r="P288" s="11">
        <f>IF(O288="No","No",
MROUND(_xlfn.XLOOKUP(B288,'Base stats'!B:B,'Base stats'!BJ:BJ) * 0.01 * 2 + 0.05, 0.05)
)</f>
        <v>73.45</v>
      </c>
      <c r="Q288" s="5">
        <f>IF(O288="No","No",
MROUND(_xlfn.XLOOKUP(B288,'Base stats'!B:B,'Base stats'!BV:BV)/10000+0.01,0.01)
)</f>
        <v>1.4000000000000001</v>
      </c>
      <c r="R288" s="4">
        <f>IF(O288="No","No",
MROUND(_xlfn.XLOOKUP(B288,'Base stats'!B:B,'Base stats'!BB:BB)^0.25
/((_xlfn.XLOOKUP(B288,'Base stats'!B:B,'Base stats'!BN:BN))*10)*_xlfn.XLOOKUP(_xlfn.XLOOKUP(B288,'Base stats'!B:B,'Base stats'!E:E),Groups!A:A,Groups!Z:Z)*150 + 0.5 + _xlfn.XLOOKUP(B288,'Base stats'!B:B,'Base stats'!BW:BW),
0.05))</f>
        <v>2.6500000000000004</v>
      </c>
      <c r="S288" s="3" t="str">
        <f>IF(Animals!AI288="No","No",
IF(_xlfn.XLOOKUP(B288,'Base stats'!B:B,'Base stats'!U:U)="No",
MAX(MROUND(_xlfn.XLOOKUP(B288,'Base stats'!B:B,'Base stats'!BT:BT) * _xlfn.XLOOKUP(B288,'Base stats'!B:B,'Base stats'!BP:BP)^0.9 / 21 * _xlfn.XLOOKUP(B288,'Base stats'!B:B,'Base stats'!BX:BX),0.1),0.05),
MAX(MROUND(((MIN(12,_xlfn.XLOOKUP(B288,'Base stats'!B:B,'Base stats'!U:U)))^0.4*_xlfn.XLOOKUP(B288,'Base stats'!B:B,'Base stats'!BH:BH)^0.73)^0.6 * _xlfn.XLOOKUP(B288,'Base stats'!B:B,'Base stats'!BX:BX),0.1),0.05)
))</f>
        <v>No</v>
      </c>
      <c r="T288" s="11" t="str">
        <f>IF(S288="No","No",
MROUND(_xlfn.XLOOKUP(B288,'Base stats'!B:B,'Base stats'!BH:BH) * 0.01 * 2 + 0.05, 0.05)
)</f>
        <v>No</v>
      </c>
      <c r="U288" s="5" t="str">
        <f>IF(S288="No","No",IF(_xlfn.XLOOKUP(B288,'Base stats'!B:B,'Base stats'!U:U)="No","No",
MROUND(_xlfn.XLOOKUP(B288,'Base stats'!B:B,'Base stats'!BT:BT)/10000+0.01,0.01)
))</f>
        <v>No</v>
      </c>
      <c r="V288" s="4" t="str">
        <f>IF(S288="No","No",
MROUND(_xlfn.XLOOKUP(B288,'Base stats'!B:B,'Base stats'!BF:BF)^0.25
/((_xlfn.XLOOKUP(B288,'Base stats'!B:B,'Base stats'!BO:BO))*10)*_xlfn.XLOOKUP(_xlfn.XLOOKUP(B288,'Base stats'!B:B,'Base stats'!E:E),Groups!A:A,Groups!AE:AE)*150 + 0.5 + _xlfn.XLOOKUP(B288,'Base stats'!B:B,'Base stats'!BW:BW),
0.05))</f>
        <v>No</v>
      </c>
      <c r="W288" s="8">
        <f>MROUND(_xlfn.XLOOKUP(_xlfn.XLOOKUP(B288,'Base stats'!B:B,'Base stats'!E:E),Groups!A:A,Groups!BG:BG)*_xlfn.XLOOKUP(B288,'Base stats'!B:B,'Base stats'!C:C)^-0.165,0.05)</f>
        <v>0.1</v>
      </c>
      <c r="X288" s="1">
        <f>MROUND(_xlfn.XLOOKUP(_xlfn.XLOOKUP(B288,'Base stats'!B:B,'Base stats'!E:E),Groups!A:A,Groups!BH:BH)*_xlfn.XLOOKUP(B288,'Base stats'!B:B,'Base stats'!C:C)^0.165,0.05)</f>
        <v>0.30000000000000004</v>
      </c>
      <c r="Y288" s="8">
        <f>MROUND(_xlfn.XLOOKUP(_xlfn.XLOOKUP(B288,'Base stats'!B:B,'Base stats'!E:E),Groups!A:A,Groups!BI:BI)*_xlfn.XLOOKUP(B288,'Base stats'!B:B,'Base stats'!C:C)^0.165,0.05)</f>
        <v>0.1</v>
      </c>
      <c r="Z288" s="18">
        <f>MROUND(_xlfn.XLOOKUP(B288,'Base stats'!B:B,'Base stats'!AQ:AQ)*_xlfn.XLOOKUP(_xlfn.XLOOKUP(B288,'Base stats'!B:B,'Base stats'!E:E),Groups!A:A,Groups!H:H)/1000,IF((_xlfn.XLOOKUP(B288,'Base stats'!B:B,'Base stats'!AQ:AQ)*_xlfn.XLOOKUP(_xlfn.XLOOKUP(B288,'Base stats'!B:B,'Base stats'!E:E),Groups!A:A,Groups!H:H)/1000)&gt;1,0.05,0.01))</f>
        <v>7.0500000000000007</v>
      </c>
      <c r="AA288" s="18">
        <f>MROUND((1/2)*(_xlfn.XLOOKUP(_xlfn.XLOOKUP(B288,'Base stats'!B:B,'Base stats'!E:E),Groups!A:A,Groups!H:H)*_xlfn.XLOOKUP(_xlfn.XLOOKUP(B288,'Base stats'!B:B,'Base stats'!E:E),Groups!A:A,Groups!I:I))*_xlfn.XLOOKUP(B288,'Base stats'!B:B,'Base stats'!AQ:AQ)*0.01,0.05)</f>
        <v>4.3</v>
      </c>
      <c r="AB288" s="18">
        <f>MROUND(250*(Animals!AO288+Animals!AP288),25)</f>
        <v>1750</v>
      </c>
      <c r="AC288" s="18" t="str">
        <f>_xlfn.XLOOKUP(_xlfn.XLOOKUP(B288,'Base stats'!B:B,'Base stats'!E:E),Groups!A:A,Groups!BJ:BJ)</f>
        <v>QuadrupedLow</v>
      </c>
    </row>
    <row r="289" spans="1:29" ht="16.5" thickTop="1" thickBot="1" x14ac:dyDescent="0.3">
      <c r="A289" s="16" t="str">
        <f>Animals!A289</f>
        <v>Junglelisk</v>
      </c>
      <c r="B289" s="6" t="str">
        <f>Animals!B289</f>
        <v>Araneodraco sylvanus</v>
      </c>
      <c r="C289" s="1" t="str">
        <f>Animals!C289</f>
        <v>&lt;li&gt;AA_Junglelisk&lt;/li&gt;</v>
      </c>
      <c r="D289" s="47">
        <f>MIN(MIN(6,_xlfn.XLOOKUP(A289,Animals!A:A,Animals!AO:AO))*20,MAX(MROUND(_xlfn.XLOOKUP(B289,'Base stats'!B:B,'Base stats'!BS:BS) * (_xlfn.XLOOKUP(B289,'Base stats'!B:B,'Base stats'!AO:AO)*5%)^0.9 / 21,0.1),0.05))</f>
        <v>4.9000000000000004</v>
      </c>
      <c r="E289" s="11">
        <f>MROUND(_xlfn.XLOOKUP(B289,'Base stats'!B:B,'Base stats'!BG:BG) * 0.01 * 2 + 0.01, 0.05)</f>
        <v>4.55</v>
      </c>
      <c r="F289" s="7">
        <f>MROUND(_xlfn.XLOOKUP(B289,'Base stats'!B:B,'Base stats'!BD:BD)^0.25 / (_xlfn.XLOOKUP(B289,'Base stats'!B:B,'Base stats'!BK:BK) * 10) * 150 + 0.5 + _xlfn.XLOOKUP(B289,'Base stats'!B:B,'Base stats'!BW:BW), 0.05)</f>
        <v>3.4000000000000004</v>
      </c>
      <c r="G289" s="3" t="str">
        <f>IF(Animals!S289="No","No",
IF(_xlfn.XLOOKUP(B289,'Base stats'!B:B,'Base stats'!U:U)="No",
MAX(MROUND(_xlfn.XLOOKUP(B289,'Base stats'!B:B,'Base stats'!BT:BT) * _xlfn.XLOOKUP(B289,'Base stats'!B:B,'Base stats'!BP:BP)^0.9 / 21 * _xlfn.XLOOKUP(B289,'Base stats'!B:B,'Base stats'!BX:BX),0.1),0.05),
MAX(MROUND(((MIN(10,_xlfn.XLOOKUP(B289,'Base stats'!B:B,'Base stats'!U:U)))^0.4*_xlfn.XLOOKUP(B289,'Base stats'!B:B,'Base stats'!BH:BH)^0.73)^0.6 * _xlfn.XLOOKUP(B289,'Base stats'!B:B,'Base stats'!BX:BX),0.1),0.05)
))</f>
        <v>No</v>
      </c>
      <c r="H289" s="11" t="str">
        <f>IF(G289="No","No",
MROUND(_xlfn.XLOOKUP(B289,'Base stats'!B:B,'Base stats'!BH:BH) * 0.01 * 2 + 0.05, 0.05)
)</f>
        <v>No</v>
      </c>
      <c r="I289" s="11" t="str">
        <f>IF(G289="No","No",IF(_xlfn.XLOOKUP(B289,'Base stats'!B:B,'Base stats'!U:U)="No","No",
MROUND(_xlfn.XLOOKUP(B289,'Base stats'!B:B,'Base stats'!BT:BT)/10000+0.01,0.01)
))</f>
        <v>No</v>
      </c>
      <c r="J289" s="4" t="str">
        <f>IF(G289="No","No",
MROUND(_xlfn.XLOOKUP(B289,'Base stats'!B:B,'Base stats'!BE:BE)^0.25
/((_xlfn.XLOOKUP(B289,'Base stats'!B:B,'Base stats'!BL:BL))*10)*_xlfn.XLOOKUP(_xlfn.XLOOKUP(B289,'Base stats'!B:B,'Base stats'!E:E),Groups!A:A,Groups!Q:Q)*150 + 0.5 + _xlfn.XLOOKUP(B289,'Base stats'!B:B,'Base stats'!BW:BW),
0.05))</f>
        <v>No</v>
      </c>
      <c r="K289" s="3" t="str">
        <f>IF(Animals!X289="No","No",
IF(_xlfn.XLOOKUP(_xlfn.XLOOKUP(B289,'Base stats'!B:B,'Base stats'!E:E),Groups!A:A,Groups!BD:BD)=1,
MAX(MROUND(_xlfn.XLOOKUP(B289,'Base stats'!B:B,'Base stats'!BU:BU) * _xlfn.XLOOKUP(B289,'Base stats'!B:B,'Base stats'!BQ:BQ)^0.9 / 21 *_xlfn.XLOOKUP(B289,'Base stats'!B:B,'Base stats'!BX:BX),0.1),0.05),
MAX(MROUND(((MIN(10,_xlfn.XLOOKUP(B289,'Base stats'!B:B,'Base stats'!W:W)))^0.4*_xlfn.XLOOKUP(B289,'Base stats'!B:B,'Base stats'!BI:BI)^0.73)^0.6 *_xlfn.XLOOKUP(B289,'Base stats'!B:B,'Base stats'!BX:BX),0.1),0.05)
))</f>
        <v>No</v>
      </c>
      <c r="L289" s="11" t="str">
        <f>IF(K289="No","No",
MROUND(_xlfn.XLOOKUP(B289,'Base stats'!B:B,'Base stats'!BI:BI) * 0.01 *2 + 0.05, 0.05)
)</f>
        <v>No</v>
      </c>
      <c r="M289" s="5" t="str">
        <f>IF(K289="No","No",IF(_xlfn.XLOOKUP(_xlfn.XLOOKUP(B289,'Base stats'!B:B,'Base stats'!E:E),Groups!A:A,Groups!BD:BD)=1,"No",
MROUND(_xlfn.XLOOKUP(B289,'Base stats'!B:B,'Base stats'!BU:BU)/10000+0.01,0.01)
))</f>
        <v>No</v>
      </c>
      <c r="N289" s="4" t="str">
        <f>IF(K289="No","No",
MROUND(
  _xlfn.XLOOKUP(B289,'Base stats'!B:B,'Base stats'!BC:BC)^0.25
  / (_xlfn.XLOOKUP(B289,'Base stats'!B:B,'Base stats'!BM:BM) * 10)
  * _xlfn.XLOOKUP(
      _xlfn.XLOOKUP(B289,'Base stats'!B:B,'Base stats'!E:E),
      Groups!A:A,
      Groups!V:V
    ) * 150
  + MIN(12, _xlfn.XLOOKUP(B289,'Base stats'!B:B,'Base stats'!W:W))^(1/IF(_xlfn.XLOOKUP(_xlfn.XLOOKUP(B289,'Base stats'!B:B,'Base stats'!E:E),Groups!A:A,Groups!U:U)=1,100,10)) + 0.5 + _xlfn.XLOOKUP(B289,'Base stats'!B:B,'Base stats'!BW:BW),
0.05))</f>
        <v>No</v>
      </c>
      <c r="O289" s="3">
        <f>IF(Animals!AD289="No","No",
MAX(MROUND((MIN(10,_xlfn.XLOOKUP(B289,'Base stats'!B:B,'Base stats'!V:V)*IF(_xlfn.XLOOKUP(_xlfn.XLOOKUP(B289,'Base stats'!B:B,'Base stats'!E:E),Groups!A:A,Groups!O:O)=0,1,0.33))^0.4*_xlfn.XLOOKUP(B289,'Base stats'!B:B,'Base stats'!BJ:BJ)^0.73)^0.6 *_xlfn.XLOOKUP(B289,'Base stats'!B:B,'Base stats'!BX:BX),0.1),0.05)
)</f>
        <v>34.6</v>
      </c>
      <c r="P289" s="11">
        <f>IF(O289="No","No",
MROUND(_xlfn.XLOOKUP(B289,'Base stats'!B:B,'Base stats'!BJ:BJ) * 0.01 * 2 + 0.05, 0.05)
)</f>
        <v>30.5</v>
      </c>
      <c r="Q289" s="5">
        <f>IF(O289="No","No",
MROUND(_xlfn.XLOOKUP(B289,'Base stats'!B:B,'Base stats'!BV:BV)/10000+0.01,0.01)
)</f>
        <v>9</v>
      </c>
      <c r="R289" s="4">
        <f>IF(O289="No","No",
MROUND(_xlfn.XLOOKUP(B289,'Base stats'!B:B,'Base stats'!BB:BB)^0.25
/((_xlfn.XLOOKUP(B289,'Base stats'!B:B,'Base stats'!BN:BN))*10)*_xlfn.XLOOKUP(_xlfn.XLOOKUP(B289,'Base stats'!B:B,'Base stats'!E:E),Groups!A:A,Groups!Z:Z)*150 + 0.5 + _xlfn.XLOOKUP(B289,'Base stats'!B:B,'Base stats'!BW:BW),
0.05))</f>
        <v>3</v>
      </c>
      <c r="S289" s="3" t="str">
        <f>IF(Animals!AI289="No","No",
IF(_xlfn.XLOOKUP(B289,'Base stats'!B:B,'Base stats'!U:U)="No",
MAX(MROUND(_xlfn.XLOOKUP(B289,'Base stats'!B:B,'Base stats'!BT:BT) * _xlfn.XLOOKUP(B289,'Base stats'!B:B,'Base stats'!BP:BP)^0.9 / 21 * _xlfn.XLOOKUP(B289,'Base stats'!B:B,'Base stats'!BX:BX),0.1),0.05),
MAX(MROUND(((MIN(12,_xlfn.XLOOKUP(B289,'Base stats'!B:B,'Base stats'!U:U)))^0.4*_xlfn.XLOOKUP(B289,'Base stats'!B:B,'Base stats'!BH:BH)^0.73)^0.6 * _xlfn.XLOOKUP(B289,'Base stats'!B:B,'Base stats'!BX:BX),0.1),0.05)
))</f>
        <v>No</v>
      </c>
      <c r="T289" s="11" t="str">
        <f>IF(S289="No","No",
MROUND(_xlfn.XLOOKUP(B289,'Base stats'!B:B,'Base stats'!BH:BH) * 0.01 * 2 + 0.05, 0.05)
)</f>
        <v>No</v>
      </c>
      <c r="U289" s="5" t="str">
        <f>IF(S289="No","No",IF(_xlfn.XLOOKUP(B289,'Base stats'!B:B,'Base stats'!U:U)="No","No",
MROUND(_xlfn.XLOOKUP(B289,'Base stats'!B:B,'Base stats'!BT:BT)/10000+0.01,0.01)
))</f>
        <v>No</v>
      </c>
      <c r="V289" s="4" t="str">
        <f>IF(S289="No","No",
MROUND(_xlfn.XLOOKUP(B289,'Base stats'!B:B,'Base stats'!BF:BF)^0.25
/((_xlfn.XLOOKUP(B289,'Base stats'!B:B,'Base stats'!BO:BO))*10)*_xlfn.XLOOKUP(_xlfn.XLOOKUP(B289,'Base stats'!B:B,'Base stats'!E:E),Groups!A:A,Groups!AE:AE)*150 + 0.5 + _xlfn.XLOOKUP(B289,'Base stats'!B:B,'Base stats'!BW:BW),
0.05))</f>
        <v>No</v>
      </c>
      <c r="W289" s="8">
        <f>MROUND(_xlfn.XLOOKUP(_xlfn.XLOOKUP(B289,'Base stats'!B:B,'Base stats'!E:E),Groups!A:A,Groups!BG:BG)*_xlfn.XLOOKUP(B289,'Base stats'!B:B,'Base stats'!C:C)^-0.165,0.05)</f>
        <v>0.1</v>
      </c>
      <c r="X289" s="1">
        <f>MROUND(_xlfn.XLOOKUP(_xlfn.XLOOKUP(B289,'Base stats'!B:B,'Base stats'!E:E),Groups!A:A,Groups!BH:BH)*_xlfn.XLOOKUP(B289,'Base stats'!B:B,'Base stats'!C:C)^0.165,0.05)</f>
        <v>0.4</v>
      </c>
      <c r="Y289" s="8">
        <f>MROUND(_xlfn.XLOOKUP(_xlfn.XLOOKUP(B289,'Base stats'!B:B,'Base stats'!E:E),Groups!A:A,Groups!BI:BI)*_xlfn.XLOOKUP(B289,'Base stats'!B:B,'Base stats'!C:C)^0.165,0.05)</f>
        <v>0.05</v>
      </c>
      <c r="Z289" s="18">
        <f>MROUND(_xlfn.XLOOKUP(B289,'Base stats'!B:B,'Base stats'!AQ:AQ)*_xlfn.XLOOKUP(_xlfn.XLOOKUP(B289,'Base stats'!B:B,'Base stats'!E:E),Groups!A:A,Groups!H:H)/1000,IF((_xlfn.XLOOKUP(B289,'Base stats'!B:B,'Base stats'!AQ:AQ)*_xlfn.XLOOKUP(_xlfn.XLOOKUP(B289,'Base stats'!B:B,'Base stats'!E:E),Groups!A:A,Groups!H:H)/1000)&gt;1,0.05,0.01))</f>
        <v>1.85</v>
      </c>
      <c r="AA289" s="18">
        <f>MROUND((1/2)*(_xlfn.XLOOKUP(_xlfn.XLOOKUP(B289,'Base stats'!B:B,'Base stats'!E:E),Groups!A:A,Groups!H:H)*_xlfn.XLOOKUP(_xlfn.XLOOKUP(B289,'Base stats'!B:B,'Base stats'!E:E),Groups!A:A,Groups!I:I))*_xlfn.XLOOKUP(B289,'Base stats'!B:B,'Base stats'!AQ:AQ)*0.01,0.05)</f>
        <v>0.2</v>
      </c>
      <c r="AB289" s="18">
        <f>MROUND(250*(Animals!AO289+Animals!AP289),25)</f>
        <v>1375</v>
      </c>
      <c r="AC289" s="18" t="str">
        <f>_xlfn.XLOOKUP(_xlfn.XLOOKUP(B289,'Base stats'!B:B,'Base stats'!E:E),Groups!A:A,Groups!BJ:BJ)</f>
        <v>QuadrupedLow</v>
      </c>
    </row>
    <row r="290" spans="1:29" ht="16.5" thickTop="1" thickBot="1" x14ac:dyDescent="0.3">
      <c r="A290" s="16" t="str">
        <f>Animals!A290</f>
        <v>Lockjaw</v>
      </c>
      <c r="B290" s="6" t="str">
        <f>Animals!B290</f>
        <v>Gnathus ferox</v>
      </c>
      <c r="C290" s="1" t="str">
        <f>Animals!C290</f>
        <v>&lt;li&gt;AA_Lockjaw&lt;/li&gt;</v>
      </c>
      <c r="D290" s="47">
        <f>MIN(MIN(6,_xlfn.XLOOKUP(A290,Animals!A:A,Animals!AO:AO))*20,MAX(MROUND(_xlfn.XLOOKUP(B290,'Base stats'!B:B,'Base stats'!BS:BS) * (_xlfn.XLOOKUP(B290,'Base stats'!B:B,'Base stats'!AO:AO)*5%)^0.9 / 21,0.1),0.05))</f>
        <v>15</v>
      </c>
      <c r="E290" s="11">
        <f>MROUND(_xlfn.XLOOKUP(B290,'Base stats'!B:B,'Base stats'!BG:BG) * 0.01 * 2 + 0.01, 0.05)</f>
        <v>15.15</v>
      </c>
      <c r="F290" s="7">
        <f>MROUND(_xlfn.XLOOKUP(B290,'Base stats'!B:B,'Base stats'!BD:BD)^0.25 / (_xlfn.XLOOKUP(B290,'Base stats'!B:B,'Base stats'!BK:BK) * 10) * 150 + 0.5 + _xlfn.XLOOKUP(B290,'Base stats'!B:B,'Base stats'!BW:BW), 0.05)</f>
        <v>3.9000000000000004</v>
      </c>
      <c r="G290" s="3" t="str">
        <f>IF(Animals!S290="No","No",
IF(_xlfn.XLOOKUP(B290,'Base stats'!B:B,'Base stats'!U:U)="No",
MAX(MROUND(_xlfn.XLOOKUP(B290,'Base stats'!B:B,'Base stats'!BT:BT) * _xlfn.XLOOKUP(B290,'Base stats'!B:B,'Base stats'!BP:BP)^0.9 / 21 * _xlfn.XLOOKUP(B290,'Base stats'!B:B,'Base stats'!BX:BX),0.1),0.05),
MAX(MROUND(((MIN(10,_xlfn.XLOOKUP(B290,'Base stats'!B:B,'Base stats'!U:U)))^0.4*_xlfn.XLOOKUP(B290,'Base stats'!B:B,'Base stats'!BH:BH)^0.73)^0.6 * _xlfn.XLOOKUP(B290,'Base stats'!B:B,'Base stats'!BX:BX),0.1),0.05)
))</f>
        <v>No</v>
      </c>
      <c r="H290" s="11" t="str">
        <f>IF(G290="No","No",
MROUND(_xlfn.XLOOKUP(B290,'Base stats'!B:B,'Base stats'!BH:BH) * 0.01 * 2 + 0.05, 0.05)
)</f>
        <v>No</v>
      </c>
      <c r="I290" s="11" t="str">
        <f>IF(G290="No","No",IF(_xlfn.XLOOKUP(B290,'Base stats'!B:B,'Base stats'!U:U)="No","No",
MROUND(_xlfn.XLOOKUP(B290,'Base stats'!B:B,'Base stats'!BT:BT)/10000+0.01,0.01)
))</f>
        <v>No</v>
      </c>
      <c r="J290" s="4" t="str">
        <f>IF(G290="No","No",
MROUND(_xlfn.XLOOKUP(B290,'Base stats'!B:B,'Base stats'!BE:BE)^0.25
/((_xlfn.XLOOKUP(B290,'Base stats'!B:B,'Base stats'!BL:BL))*10)*_xlfn.XLOOKUP(_xlfn.XLOOKUP(B290,'Base stats'!B:B,'Base stats'!E:E),Groups!A:A,Groups!Q:Q)*150 + 0.5 + _xlfn.XLOOKUP(B290,'Base stats'!B:B,'Base stats'!BW:BW),
0.05))</f>
        <v>No</v>
      </c>
      <c r="K290" s="3" t="str">
        <f>IF(Animals!X290="No","No",
IF(_xlfn.XLOOKUP(_xlfn.XLOOKUP(B290,'Base stats'!B:B,'Base stats'!E:E),Groups!A:A,Groups!BD:BD)=1,
MAX(MROUND(_xlfn.XLOOKUP(B290,'Base stats'!B:B,'Base stats'!BU:BU) * _xlfn.XLOOKUP(B290,'Base stats'!B:B,'Base stats'!BQ:BQ)^0.9 / 21 *_xlfn.XLOOKUP(B290,'Base stats'!B:B,'Base stats'!BX:BX),0.1),0.05),
MAX(MROUND(((MIN(10,_xlfn.XLOOKUP(B290,'Base stats'!B:B,'Base stats'!W:W)))^0.4*_xlfn.XLOOKUP(B290,'Base stats'!B:B,'Base stats'!BI:BI)^0.73)^0.6 *_xlfn.XLOOKUP(B290,'Base stats'!B:B,'Base stats'!BX:BX),0.1),0.05)
))</f>
        <v>No</v>
      </c>
      <c r="L290" s="11" t="str">
        <f>IF(K290="No","No",
MROUND(_xlfn.XLOOKUP(B290,'Base stats'!B:B,'Base stats'!BI:BI) * 0.01 *2 + 0.05, 0.05)
)</f>
        <v>No</v>
      </c>
      <c r="M290" s="5" t="str">
        <f>IF(K290="No","No",IF(_xlfn.XLOOKUP(_xlfn.XLOOKUP(B290,'Base stats'!B:B,'Base stats'!E:E),Groups!A:A,Groups!BD:BD)=1,"No",
MROUND(_xlfn.XLOOKUP(B290,'Base stats'!B:B,'Base stats'!BU:BU)/10000+0.01,0.01)
))</f>
        <v>No</v>
      </c>
      <c r="N290" s="4" t="str">
        <f>IF(K290="No","No",
MROUND(
  _xlfn.XLOOKUP(B290,'Base stats'!B:B,'Base stats'!BC:BC)^0.25
  / (_xlfn.XLOOKUP(B290,'Base stats'!B:B,'Base stats'!BM:BM) * 10)
  * _xlfn.XLOOKUP(
      _xlfn.XLOOKUP(B290,'Base stats'!B:B,'Base stats'!E:E),
      Groups!A:A,
      Groups!V:V
    ) * 150
  + MIN(12, _xlfn.XLOOKUP(B290,'Base stats'!B:B,'Base stats'!W:W))^(1/IF(_xlfn.XLOOKUP(_xlfn.XLOOKUP(B290,'Base stats'!B:B,'Base stats'!E:E),Groups!A:A,Groups!U:U)=1,100,10)) + 0.5 + _xlfn.XLOOKUP(B290,'Base stats'!B:B,'Base stats'!BW:BW),
0.05))</f>
        <v>No</v>
      </c>
      <c r="O290" s="3">
        <f>IF(Animals!AD290="No","No",
MAX(MROUND((MIN(10,_xlfn.XLOOKUP(B290,'Base stats'!B:B,'Base stats'!V:V)*IF(_xlfn.XLOOKUP(_xlfn.XLOOKUP(B290,'Base stats'!B:B,'Base stats'!E:E),Groups!A:A,Groups!O:O)=0,1,0.33))^0.4*_xlfn.XLOOKUP(B290,'Base stats'!B:B,'Base stats'!BJ:BJ)^0.73)^0.6 *_xlfn.XLOOKUP(B290,'Base stats'!B:B,'Base stats'!BX:BX),0.1),0.05)
)</f>
        <v>60</v>
      </c>
      <c r="P290" s="11">
        <f>IF(O290="No","No",
MROUND(_xlfn.XLOOKUP(B290,'Base stats'!B:B,'Base stats'!BJ:BJ) * 0.01 * 2 + 0.05, 0.05)
)</f>
        <v>73.45</v>
      </c>
      <c r="Q290" s="5">
        <f>IF(O290="No","No",
MROUND(_xlfn.XLOOKUP(B290,'Base stats'!B:B,'Base stats'!BV:BV)/10000+0.01,0.01)
)</f>
        <v>0.38</v>
      </c>
      <c r="R290" s="4">
        <f>IF(O290="No","No",
MROUND(_xlfn.XLOOKUP(B290,'Base stats'!B:B,'Base stats'!BB:BB)^0.25
/((_xlfn.XLOOKUP(B290,'Base stats'!B:B,'Base stats'!BN:BN))*10)*_xlfn.XLOOKUP(_xlfn.XLOOKUP(B290,'Base stats'!B:B,'Base stats'!E:E),Groups!A:A,Groups!Z:Z)*150 + 0.5 + _xlfn.XLOOKUP(B290,'Base stats'!B:B,'Base stats'!BW:BW),
0.05))</f>
        <v>2.95</v>
      </c>
      <c r="S290" s="3" t="str">
        <f>IF(Animals!AI290="No","No",
IF(_xlfn.XLOOKUP(B290,'Base stats'!B:B,'Base stats'!U:U)="No",
MAX(MROUND(_xlfn.XLOOKUP(B290,'Base stats'!B:B,'Base stats'!BT:BT) * _xlfn.XLOOKUP(B290,'Base stats'!B:B,'Base stats'!BP:BP)^0.9 / 21 * _xlfn.XLOOKUP(B290,'Base stats'!B:B,'Base stats'!BX:BX),0.1),0.05),
MAX(MROUND(((MIN(12,_xlfn.XLOOKUP(B290,'Base stats'!B:B,'Base stats'!U:U)))^0.4*_xlfn.XLOOKUP(B290,'Base stats'!B:B,'Base stats'!BH:BH)^0.73)^0.6 * _xlfn.XLOOKUP(B290,'Base stats'!B:B,'Base stats'!BX:BX),0.1),0.05)
))</f>
        <v>No</v>
      </c>
      <c r="T290" s="11" t="str">
        <f>IF(S290="No","No",
MROUND(_xlfn.XLOOKUP(B290,'Base stats'!B:B,'Base stats'!BH:BH) * 0.01 * 2 + 0.05, 0.05)
)</f>
        <v>No</v>
      </c>
      <c r="U290" s="5" t="str">
        <f>IF(S290="No","No",IF(_xlfn.XLOOKUP(B290,'Base stats'!B:B,'Base stats'!U:U)="No","No",
MROUND(_xlfn.XLOOKUP(B290,'Base stats'!B:B,'Base stats'!BT:BT)/10000+0.01,0.01)
))</f>
        <v>No</v>
      </c>
      <c r="V290" s="4" t="str">
        <f>IF(S290="No","No",
MROUND(_xlfn.XLOOKUP(B290,'Base stats'!B:B,'Base stats'!BF:BF)^0.25
/((_xlfn.XLOOKUP(B290,'Base stats'!B:B,'Base stats'!BO:BO))*10)*_xlfn.XLOOKUP(_xlfn.XLOOKUP(B290,'Base stats'!B:B,'Base stats'!E:E),Groups!A:A,Groups!AE:AE)*150 + 0.5 + _xlfn.XLOOKUP(B290,'Base stats'!B:B,'Base stats'!BW:BW),
0.05))</f>
        <v>No</v>
      </c>
      <c r="W290" s="8">
        <f>MROUND(_xlfn.XLOOKUP(_xlfn.XLOOKUP(B290,'Base stats'!B:B,'Base stats'!E:E),Groups!A:A,Groups!BG:BG)*_xlfn.XLOOKUP(B290,'Base stats'!B:B,'Base stats'!C:C)^-0.165,0.05)</f>
        <v>0.05</v>
      </c>
      <c r="X290" s="1">
        <f>MROUND(_xlfn.XLOOKUP(_xlfn.XLOOKUP(B290,'Base stats'!B:B,'Base stats'!E:E),Groups!A:A,Groups!BH:BH)*_xlfn.XLOOKUP(B290,'Base stats'!B:B,'Base stats'!C:C)^0.165,0.05)</f>
        <v>0.35000000000000003</v>
      </c>
      <c r="Y290" s="8">
        <f>MROUND(_xlfn.XLOOKUP(_xlfn.XLOOKUP(B290,'Base stats'!B:B,'Base stats'!E:E),Groups!A:A,Groups!BI:BI)*_xlfn.XLOOKUP(B290,'Base stats'!B:B,'Base stats'!C:C)^0.165,0.05)</f>
        <v>0.1</v>
      </c>
      <c r="Z290" s="18">
        <f>MROUND(_xlfn.XLOOKUP(B290,'Base stats'!B:B,'Base stats'!AQ:AQ)*_xlfn.XLOOKUP(_xlfn.XLOOKUP(B290,'Base stats'!B:B,'Base stats'!E:E),Groups!A:A,Groups!H:H)/1000,IF((_xlfn.XLOOKUP(B290,'Base stats'!B:B,'Base stats'!AQ:AQ)*_xlfn.XLOOKUP(_xlfn.XLOOKUP(B290,'Base stats'!B:B,'Base stats'!E:E),Groups!A:A,Groups!H:H)/1000)&gt;1,0.05,0.01))</f>
        <v>0.69000000000000006</v>
      </c>
      <c r="AA290" s="18">
        <f>MROUND((1/2)*(_xlfn.XLOOKUP(_xlfn.XLOOKUP(B290,'Base stats'!B:B,'Base stats'!E:E),Groups!A:A,Groups!H:H)*_xlfn.XLOOKUP(_xlfn.XLOOKUP(B290,'Base stats'!B:B,'Base stats'!E:E),Groups!A:A,Groups!I:I))*_xlfn.XLOOKUP(B290,'Base stats'!B:B,'Base stats'!AQ:AQ)*0.01,0.05)</f>
        <v>0.8</v>
      </c>
      <c r="AB290" s="18">
        <f>MROUND(250*(Animals!AO290+Animals!AP290),25)</f>
        <v>2075</v>
      </c>
      <c r="AC290" s="18" t="str">
        <f>_xlfn.XLOOKUP(_xlfn.XLOOKUP(B290,'Base stats'!B:B,'Base stats'!E:E),Groups!A:A,Groups!BJ:BJ)</f>
        <v>QuadrupedLow</v>
      </c>
    </row>
    <row r="291" spans="1:29" ht="16.5" thickTop="1" thickBot="1" x14ac:dyDescent="0.3">
      <c r="A291" s="16" t="str">
        <f>Animals!A291</f>
        <v>LuciferBug</v>
      </c>
      <c r="B291" s="6" t="str">
        <f>Animals!B291</f>
        <v>Coleoptera lucifer</v>
      </c>
      <c r="C291" s="1" t="str">
        <f>Animals!C291</f>
        <v>&lt;li&gt;AA_LuciferBug&lt;/li&gt;</v>
      </c>
      <c r="D291" s="47">
        <f>MIN(MIN(6,_xlfn.XLOOKUP(A291,Animals!A:A,Animals!AO:AO))*20,MAX(MROUND(_xlfn.XLOOKUP(B291,'Base stats'!B:B,'Base stats'!BS:BS) * (_xlfn.XLOOKUP(B291,'Base stats'!B:B,'Base stats'!AO:AO)*5%)^0.9 / 21,0.1),0.05))</f>
        <v>0.2</v>
      </c>
      <c r="E291" s="11">
        <f>MROUND(_xlfn.XLOOKUP(B291,'Base stats'!B:B,'Base stats'!BG:BG) * 0.01 * 2 + 0.01, 0.05)</f>
        <v>0.15000000000000002</v>
      </c>
      <c r="F291" s="7">
        <f>MROUND(_xlfn.XLOOKUP(B291,'Base stats'!B:B,'Base stats'!BD:BD)^0.25 / (_xlfn.XLOOKUP(B291,'Base stats'!B:B,'Base stats'!BK:BK) * 10) * 150 + 0.5 + _xlfn.XLOOKUP(B291,'Base stats'!B:B,'Base stats'!BW:BW), 0.05)</f>
        <v>1.8</v>
      </c>
      <c r="G291" s="3" t="str">
        <f>IF(Animals!S291="No","No",
IF(_xlfn.XLOOKUP(B291,'Base stats'!B:B,'Base stats'!U:U)="No",
MAX(MROUND(_xlfn.XLOOKUP(B291,'Base stats'!B:B,'Base stats'!BT:BT) * _xlfn.XLOOKUP(B291,'Base stats'!B:B,'Base stats'!BP:BP)^0.9 / 21 * _xlfn.XLOOKUP(B291,'Base stats'!B:B,'Base stats'!BX:BX),0.1),0.05),
MAX(MROUND(((MIN(10,_xlfn.XLOOKUP(B291,'Base stats'!B:B,'Base stats'!U:U)))^0.4*_xlfn.XLOOKUP(B291,'Base stats'!B:B,'Base stats'!BH:BH)^0.73)^0.6 * _xlfn.XLOOKUP(B291,'Base stats'!B:B,'Base stats'!BX:BX),0.1),0.05)
))</f>
        <v>No</v>
      </c>
      <c r="H291" s="11" t="str">
        <f>IF(G291="No","No",
MROUND(_xlfn.XLOOKUP(B291,'Base stats'!B:B,'Base stats'!BH:BH) * 0.01 * 2 + 0.05, 0.05)
)</f>
        <v>No</v>
      </c>
      <c r="I291" s="11" t="str">
        <f>IF(G291="No","No",IF(_xlfn.XLOOKUP(B291,'Base stats'!B:B,'Base stats'!U:U)="No","No",
MROUND(_xlfn.XLOOKUP(B291,'Base stats'!B:B,'Base stats'!BT:BT)/10000+0.01,0.01)
))</f>
        <v>No</v>
      </c>
      <c r="J291" s="4" t="str">
        <f>IF(G291="No","No",
MROUND(_xlfn.XLOOKUP(B291,'Base stats'!B:B,'Base stats'!BE:BE)^0.25
/((_xlfn.XLOOKUP(B291,'Base stats'!B:B,'Base stats'!BL:BL))*10)*_xlfn.XLOOKUP(_xlfn.XLOOKUP(B291,'Base stats'!B:B,'Base stats'!E:E),Groups!A:A,Groups!Q:Q)*150 + 0.5 + _xlfn.XLOOKUP(B291,'Base stats'!B:B,'Base stats'!BW:BW),
0.05))</f>
        <v>No</v>
      </c>
      <c r="K291" s="3" t="str">
        <f>IF(Animals!X291="No","No",
IF(_xlfn.XLOOKUP(_xlfn.XLOOKUP(B291,'Base stats'!B:B,'Base stats'!E:E),Groups!A:A,Groups!BD:BD)=1,
MAX(MROUND(_xlfn.XLOOKUP(B291,'Base stats'!B:B,'Base stats'!BU:BU) * _xlfn.XLOOKUP(B291,'Base stats'!B:B,'Base stats'!BQ:BQ)^0.9 / 21 *_xlfn.XLOOKUP(B291,'Base stats'!B:B,'Base stats'!BX:BX),0.1),0.05),
MAX(MROUND(((MIN(10,_xlfn.XLOOKUP(B291,'Base stats'!B:B,'Base stats'!W:W)))^0.4*_xlfn.XLOOKUP(B291,'Base stats'!B:B,'Base stats'!BI:BI)^0.73)^0.6 *_xlfn.XLOOKUP(B291,'Base stats'!B:B,'Base stats'!BX:BX),0.1),0.05)
))</f>
        <v>No</v>
      </c>
      <c r="L291" s="11" t="str">
        <f>IF(K291="No","No",
MROUND(_xlfn.XLOOKUP(B291,'Base stats'!B:B,'Base stats'!BI:BI) * 0.01 *2 + 0.05, 0.05)
)</f>
        <v>No</v>
      </c>
      <c r="M291" s="5" t="str">
        <f>IF(K291="No","No",IF(_xlfn.XLOOKUP(_xlfn.XLOOKUP(B291,'Base stats'!B:B,'Base stats'!E:E),Groups!A:A,Groups!BD:BD)=1,"No",
MROUND(_xlfn.XLOOKUP(B291,'Base stats'!B:B,'Base stats'!BU:BU)/10000+0.01,0.01)
))</f>
        <v>No</v>
      </c>
      <c r="N291" s="4" t="str">
        <f>IF(K291="No","No",
MROUND(
  _xlfn.XLOOKUP(B291,'Base stats'!B:B,'Base stats'!BC:BC)^0.25
  / (_xlfn.XLOOKUP(B291,'Base stats'!B:B,'Base stats'!BM:BM) * 10)
  * _xlfn.XLOOKUP(
      _xlfn.XLOOKUP(B291,'Base stats'!B:B,'Base stats'!E:E),
      Groups!A:A,
      Groups!V:V
    ) * 150
  + MIN(12, _xlfn.XLOOKUP(B291,'Base stats'!B:B,'Base stats'!W:W))^(1/IF(_xlfn.XLOOKUP(_xlfn.XLOOKUP(B291,'Base stats'!B:B,'Base stats'!E:E),Groups!A:A,Groups!U:U)=1,100,10)) + 0.5 + _xlfn.XLOOKUP(B291,'Base stats'!B:B,'Base stats'!BW:BW),
0.05))</f>
        <v>No</v>
      </c>
      <c r="O291" s="3">
        <f>IF(Animals!AD291="No","No",
MAX(MROUND((MIN(10,_xlfn.XLOOKUP(B291,'Base stats'!B:B,'Base stats'!V:V)*IF(_xlfn.XLOOKUP(_xlfn.XLOOKUP(B291,'Base stats'!B:B,'Base stats'!E:E),Groups!A:A,Groups!O:O)=0,1,0.33))^0.4*_xlfn.XLOOKUP(B291,'Base stats'!B:B,'Base stats'!BJ:BJ)^0.73)^0.6 *_xlfn.XLOOKUP(B291,'Base stats'!B:B,'Base stats'!BX:BX),0.1),0.05)
)</f>
        <v>8</v>
      </c>
      <c r="P291" s="11">
        <f>IF(O291="No","No",
MROUND(_xlfn.XLOOKUP(B291,'Base stats'!B:B,'Base stats'!BJ:BJ) * 0.01 * 2 + 0.05, 0.05)
)</f>
        <v>1.6500000000000001</v>
      </c>
      <c r="Q291" s="5">
        <f>IF(O291="No","No",
MROUND(_xlfn.XLOOKUP(B291,'Base stats'!B:B,'Base stats'!BV:BV)/10000+0.01,0.01)
)</f>
        <v>0.22</v>
      </c>
      <c r="R291" s="4">
        <f>IF(O291="No","No",
MROUND(_xlfn.XLOOKUP(B291,'Base stats'!B:B,'Base stats'!BB:BB)^0.25
/((_xlfn.XLOOKUP(B291,'Base stats'!B:B,'Base stats'!BN:BN))*10)*_xlfn.XLOOKUP(_xlfn.XLOOKUP(B291,'Base stats'!B:B,'Base stats'!E:E),Groups!A:A,Groups!Z:Z)*150 + 0.5 + _xlfn.XLOOKUP(B291,'Base stats'!B:B,'Base stats'!BW:BW),
0.05))</f>
        <v>1.4500000000000002</v>
      </c>
      <c r="S291" s="3" t="str">
        <f>IF(Animals!AI291="No","No",
IF(_xlfn.XLOOKUP(B291,'Base stats'!B:B,'Base stats'!U:U)="No",
MAX(MROUND(_xlfn.XLOOKUP(B291,'Base stats'!B:B,'Base stats'!BT:BT) * _xlfn.XLOOKUP(B291,'Base stats'!B:B,'Base stats'!BP:BP)^0.9 / 21 * _xlfn.XLOOKUP(B291,'Base stats'!B:B,'Base stats'!BX:BX),0.1),0.05),
MAX(MROUND(((MIN(12,_xlfn.XLOOKUP(B291,'Base stats'!B:B,'Base stats'!U:U)))^0.4*_xlfn.XLOOKUP(B291,'Base stats'!B:B,'Base stats'!BH:BH)^0.73)^0.6 * _xlfn.XLOOKUP(B291,'Base stats'!B:B,'Base stats'!BX:BX),0.1),0.05)
))</f>
        <v>No</v>
      </c>
      <c r="T291" s="11" t="str">
        <f>IF(S291="No","No",
MROUND(_xlfn.XLOOKUP(B291,'Base stats'!B:B,'Base stats'!BH:BH) * 0.01 * 2 + 0.05, 0.05)
)</f>
        <v>No</v>
      </c>
      <c r="U291" s="5" t="str">
        <f>IF(S291="No","No",IF(_xlfn.XLOOKUP(B291,'Base stats'!B:B,'Base stats'!U:U)="No","No",
MROUND(_xlfn.XLOOKUP(B291,'Base stats'!B:B,'Base stats'!BT:BT)/10000+0.01,0.01)
))</f>
        <v>No</v>
      </c>
      <c r="V291" s="4" t="str">
        <f>IF(S291="No","No",
MROUND(_xlfn.XLOOKUP(B291,'Base stats'!B:B,'Base stats'!BF:BF)^0.25
/((_xlfn.XLOOKUP(B291,'Base stats'!B:B,'Base stats'!BO:BO))*10)*_xlfn.XLOOKUP(_xlfn.XLOOKUP(B291,'Base stats'!B:B,'Base stats'!E:E),Groups!A:A,Groups!AE:AE)*150 + 0.5 + _xlfn.XLOOKUP(B291,'Base stats'!B:B,'Base stats'!BW:BW),
0.05))</f>
        <v>No</v>
      </c>
      <c r="W291" s="8">
        <f>MROUND(_xlfn.XLOOKUP(_xlfn.XLOOKUP(B291,'Base stats'!B:B,'Base stats'!E:E),Groups!A:A,Groups!BG:BG)*_xlfn.XLOOKUP(B291,'Base stats'!B:B,'Base stats'!C:C)^-0.165,0.05)</f>
        <v>0.15000000000000002</v>
      </c>
      <c r="X291" s="1">
        <f>MROUND(_xlfn.XLOOKUP(_xlfn.XLOOKUP(B291,'Base stats'!B:B,'Base stats'!E:E),Groups!A:A,Groups!BH:BH)*_xlfn.XLOOKUP(B291,'Base stats'!B:B,'Base stats'!C:C)^0.165,0.05)</f>
        <v>0.15000000000000002</v>
      </c>
      <c r="Y291" s="8">
        <f>MROUND(_xlfn.XLOOKUP(_xlfn.XLOOKUP(B291,'Base stats'!B:B,'Base stats'!E:E),Groups!A:A,Groups!BI:BI)*_xlfn.XLOOKUP(B291,'Base stats'!B:B,'Base stats'!C:C)^0.165,0.05)</f>
        <v>0.05</v>
      </c>
      <c r="Z291" s="18">
        <f>MROUND(_xlfn.XLOOKUP(B291,'Base stats'!B:B,'Base stats'!AQ:AQ)*_xlfn.XLOOKUP(_xlfn.XLOOKUP(B291,'Base stats'!B:B,'Base stats'!E:E),Groups!A:A,Groups!H:H)/1000,IF((_xlfn.XLOOKUP(B291,'Base stats'!B:B,'Base stats'!AQ:AQ)*_xlfn.XLOOKUP(_xlfn.XLOOKUP(B291,'Base stats'!B:B,'Base stats'!E:E),Groups!A:A,Groups!H:H)/1000)&gt;1,0.05,0.01))</f>
        <v>0.51</v>
      </c>
      <c r="AA291" s="18">
        <f>MROUND((1/2)*(_xlfn.XLOOKUP(_xlfn.XLOOKUP(B291,'Base stats'!B:B,'Base stats'!E:E),Groups!A:A,Groups!H:H)*_xlfn.XLOOKUP(_xlfn.XLOOKUP(B291,'Base stats'!B:B,'Base stats'!E:E),Groups!A:A,Groups!I:I))*_xlfn.XLOOKUP(B291,'Base stats'!B:B,'Base stats'!AQ:AQ)*0.01,0.05)</f>
        <v>0.05</v>
      </c>
      <c r="AB291" s="18">
        <f>MROUND(250*(Animals!AO291+Animals!AP291),25)</f>
        <v>200</v>
      </c>
      <c r="AC291" s="18" t="str">
        <f>_xlfn.XLOOKUP(_xlfn.XLOOKUP(B291,'Base stats'!B:B,'Base stats'!E:E),Groups!A:A,Groups!BJ:BJ)</f>
        <v>QuadrupedLow</v>
      </c>
    </row>
    <row r="292" spans="1:29" ht="16.5" thickTop="1" thickBot="1" x14ac:dyDescent="0.3">
      <c r="A292" s="16" t="str">
        <f>Animals!A292</f>
        <v>MammothWorm</v>
      </c>
      <c r="B292" s="6" t="str">
        <f>Animals!B292</f>
        <v>Vermes mammuthus</v>
      </c>
      <c r="C292" s="1" t="str">
        <f>Animals!C292</f>
        <v>&lt;li&gt;AA_MammothWorm&lt;/li&gt;</v>
      </c>
      <c r="D292" s="47">
        <f>MIN(MIN(6,_xlfn.XLOOKUP(A292,Animals!A:A,Animals!AO:AO))*20,MAX(MROUND(_xlfn.XLOOKUP(B292,'Base stats'!B:B,'Base stats'!BS:BS) * (_xlfn.XLOOKUP(B292,'Base stats'!B:B,'Base stats'!AO:AO)*5%)^0.9 / 21,0.1),0.05))</f>
        <v>34.300000000000004</v>
      </c>
      <c r="E292" s="11">
        <f>MROUND(_xlfn.XLOOKUP(B292,'Base stats'!B:B,'Base stats'!BG:BG) * 0.01 * 2 + 0.01, 0.05)</f>
        <v>36.950000000000003</v>
      </c>
      <c r="F292" s="7">
        <f>MROUND(_xlfn.XLOOKUP(B292,'Base stats'!B:B,'Base stats'!BD:BD)^0.25 / (_xlfn.XLOOKUP(B292,'Base stats'!B:B,'Base stats'!BK:BK) * 10) * 150 + 0.5 + _xlfn.XLOOKUP(B292,'Base stats'!B:B,'Base stats'!BW:BW), 0.05)</f>
        <v>2.95</v>
      </c>
      <c r="G292" s="3" t="str">
        <f>IF(Animals!S292="No","No",
IF(_xlfn.XLOOKUP(B292,'Base stats'!B:B,'Base stats'!U:U)="No",
MAX(MROUND(_xlfn.XLOOKUP(B292,'Base stats'!B:B,'Base stats'!BT:BT) * _xlfn.XLOOKUP(B292,'Base stats'!B:B,'Base stats'!BP:BP)^0.9 / 21 * _xlfn.XLOOKUP(B292,'Base stats'!B:B,'Base stats'!BX:BX),0.1),0.05),
MAX(MROUND(((MIN(10,_xlfn.XLOOKUP(B292,'Base stats'!B:B,'Base stats'!U:U)))^0.4*_xlfn.XLOOKUP(B292,'Base stats'!B:B,'Base stats'!BH:BH)^0.73)^0.6 * _xlfn.XLOOKUP(B292,'Base stats'!B:B,'Base stats'!BX:BX),0.1),0.05)
))</f>
        <v>No</v>
      </c>
      <c r="H292" s="11" t="str">
        <f>IF(G292="No","No",
MROUND(_xlfn.XLOOKUP(B292,'Base stats'!B:B,'Base stats'!BH:BH) * 0.01 * 2 + 0.05, 0.05)
)</f>
        <v>No</v>
      </c>
      <c r="I292" s="11" t="str">
        <f>IF(G292="No","No",IF(_xlfn.XLOOKUP(B292,'Base stats'!B:B,'Base stats'!U:U)="No","No",
MROUND(_xlfn.XLOOKUP(B292,'Base stats'!B:B,'Base stats'!BT:BT)/10000+0.01,0.01)
))</f>
        <v>No</v>
      </c>
      <c r="J292" s="4" t="str">
        <f>IF(G292="No","No",
MROUND(_xlfn.XLOOKUP(B292,'Base stats'!B:B,'Base stats'!BE:BE)^0.25
/((_xlfn.XLOOKUP(B292,'Base stats'!B:B,'Base stats'!BL:BL))*10)*_xlfn.XLOOKUP(_xlfn.XLOOKUP(B292,'Base stats'!B:B,'Base stats'!E:E),Groups!A:A,Groups!Q:Q)*150 + 0.5 + _xlfn.XLOOKUP(B292,'Base stats'!B:B,'Base stats'!BW:BW),
0.05))</f>
        <v>No</v>
      </c>
      <c r="K292" s="3" t="str">
        <f>IF(Animals!X292="No","No",
IF(_xlfn.XLOOKUP(_xlfn.XLOOKUP(B292,'Base stats'!B:B,'Base stats'!E:E),Groups!A:A,Groups!BD:BD)=1,
MAX(MROUND(_xlfn.XLOOKUP(B292,'Base stats'!B:B,'Base stats'!BU:BU) * _xlfn.XLOOKUP(B292,'Base stats'!B:B,'Base stats'!BQ:BQ)^0.9 / 21 *_xlfn.XLOOKUP(B292,'Base stats'!B:B,'Base stats'!BX:BX),0.1),0.05),
MAX(MROUND(((MIN(10,_xlfn.XLOOKUP(B292,'Base stats'!B:B,'Base stats'!W:W)))^0.4*_xlfn.XLOOKUP(B292,'Base stats'!B:B,'Base stats'!BI:BI)^0.73)^0.6 *_xlfn.XLOOKUP(B292,'Base stats'!B:B,'Base stats'!BX:BX),0.1),0.05)
))</f>
        <v>No</v>
      </c>
      <c r="L292" s="11" t="str">
        <f>IF(K292="No","No",
MROUND(_xlfn.XLOOKUP(B292,'Base stats'!B:B,'Base stats'!BI:BI) * 0.01 *2 + 0.05, 0.05)
)</f>
        <v>No</v>
      </c>
      <c r="M292" s="5" t="str">
        <f>IF(K292="No","No",IF(_xlfn.XLOOKUP(_xlfn.XLOOKUP(B292,'Base stats'!B:B,'Base stats'!E:E),Groups!A:A,Groups!BD:BD)=1,"No",
MROUND(_xlfn.XLOOKUP(B292,'Base stats'!B:B,'Base stats'!BU:BU)/10000+0.01,0.01)
))</f>
        <v>No</v>
      </c>
      <c r="N292" s="4" t="str">
        <f>IF(K292="No","No",
MROUND(
  _xlfn.XLOOKUP(B292,'Base stats'!B:B,'Base stats'!BC:BC)^0.25
  / (_xlfn.XLOOKUP(B292,'Base stats'!B:B,'Base stats'!BM:BM) * 10)
  * _xlfn.XLOOKUP(
      _xlfn.XLOOKUP(B292,'Base stats'!B:B,'Base stats'!E:E),
      Groups!A:A,
      Groups!V:V
    ) * 150
  + MIN(12, _xlfn.XLOOKUP(B292,'Base stats'!B:B,'Base stats'!W:W))^(1/IF(_xlfn.XLOOKUP(_xlfn.XLOOKUP(B292,'Base stats'!B:B,'Base stats'!E:E),Groups!A:A,Groups!U:U)=1,100,10)) + 0.5 + _xlfn.XLOOKUP(B292,'Base stats'!B:B,'Base stats'!BW:BW),
0.05))</f>
        <v>No</v>
      </c>
      <c r="O292" s="3">
        <f>IF(Animals!AD292="No","No",
MAX(MROUND((MIN(10,_xlfn.XLOOKUP(B292,'Base stats'!B:B,'Base stats'!V:V)*IF(_xlfn.XLOOKUP(_xlfn.XLOOKUP(B292,'Base stats'!B:B,'Base stats'!E:E),Groups!A:A,Groups!O:O)=0,1,0.33))^0.4*_xlfn.XLOOKUP(B292,'Base stats'!B:B,'Base stats'!BJ:BJ)^0.73)^0.6 *_xlfn.XLOOKUP(B292,'Base stats'!B:B,'Base stats'!BX:BX),0.1),0.05)
)</f>
        <v>96.600000000000009</v>
      </c>
      <c r="P292" s="11">
        <f>IF(O292="No","No",
MROUND(_xlfn.XLOOKUP(B292,'Base stats'!B:B,'Base stats'!BJ:BJ) * 0.01 * 2 + 0.05, 0.05)
)</f>
        <v>192.65</v>
      </c>
      <c r="Q292" s="5">
        <f>IF(O292="No","No",
MROUND(_xlfn.XLOOKUP(B292,'Base stats'!B:B,'Base stats'!BV:BV)/10000+0.01,0.01)
)</f>
        <v>2.23</v>
      </c>
      <c r="R292" s="4">
        <f>IF(O292="No","No",
MROUND(_xlfn.XLOOKUP(B292,'Base stats'!B:B,'Base stats'!BB:BB)^0.25
/((_xlfn.XLOOKUP(B292,'Base stats'!B:B,'Base stats'!BN:BN))*10)*_xlfn.XLOOKUP(_xlfn.XLOOKUP(B292,'Base stats'!B:B,'Base stats'!E:E),Groups!A:A,Groups!Z:Z)*150 + 0.5 + _xlfn.XLOOKUP(B292,'Base stats'!B:B,'Base stats'!BW:BW),
0.05))</f>
        <v>3.25</v>
      </c>
      <c r="S292" s="3" t="str">
        <f>IF(Animals!AI292="No","No",
IF(_xlfn.XLOOKUP(B292,'Base stats'!B:B,'Base stats'!U:U)="No",
MAX(MROUND(_xlfn.XLOOKUP(B292,'Base stats'!B:B,'Base stats'!BT:BT) * _xlfn.XLOOKUP(B292,'Base stats'!B:B,'Base stats'!BP:BP)^0.9 / 21 * _xlfn.XLOOKUP(B292,'Base stats'!B:B,'Base stats'!BX:BX),0.1),0.05),
MAX(MROUND(((MIN(12,_xlfn.XLOOKUP(B292,'Base stats'!B:B,'Base stats'!U:U)))^0.4*_xlfn.XLOOKUP(B292,'Base stats'!B:B,'Base stats'!BH:BH)^0.73)^0.6 * _xlfn.XLOOKUP(B292,'Base stats'!B:B,'Base stats'!BX:BX),0.1),0.05)
))</f>
        <v>No</v>
      </c>
      <c r="T292" s="11" t="str">
        <f>IF(S292="No","No",
MROUND(_xlfn.XLOOKUP(B292,'Base stats'!B:B,'Base stats'!BH:BH) * 0.01 * 2 + 0.05, 0.05)
)</f>
        <v>No</v>
      </c>
      <c r="U292" s="5" t="str">
        <f>IF(S292="No","No",IF(_xlfn.XLOOKUP(B292,'Base stats'!B:B,'Base stats'!U:U)="No","No",
MROUND(_xlfn.XLOOKUP(B292,'Base stats'!B:B,'Base stats'!BT:BT)/10000+0.01,0.01)
))</f>
        <v>No</v>
      </c>
      <c r="V292" s="4" t="str">
        <f>IF(S292="No","No",
MROUND(_xlfn.XLOOKUP(B292,'Base stats'!B:B,'Base stats'!BF:BF)^0.25
/((_xlfn.XLOOKUP(B292,'Base stats'!B:B,'Base stats'!BO:BO))*10)*_xlfn.XLOOKUP(_xlfn.XLOOKUP(B292,'Base stats'!B:B,'Base stats'!E:E),Groups!A:A,Groups!AE:AE)*150 + 0.5 + _xlfn.XLOOKUP(B292,'Base stats'!B:B,'Base stats'!BW:BW),
0.05))</f>
        <v>No</v>
      </c>
      <c r="W292" s="8">
        <f>MROUND(_xlfn.XLOOKUP(_xlfn.XLOOKUP(B292,'Base stats'!B:B,'Base stats'!E:E),Groups!A:A,Groups!BG:BG)*_xlfn.XLOOKUP(B292,'Base stats'!B:B,'Base stats'!C:C)^-0.165,0.05)</f>
        <v>0.05</v>
      </c>
      <c r="X292" s="1">
        <f>MROUND(_xlfn.XLOOKUP(_xlfn.XLOOKUP(B292,'Base stats'!B:B,'Base stats'!E:E),Groups!A:A,Groups!BH:BH)*_xlfn.XLOOKUP(B292,'Base stats'!B:B,'Base stats'!C:C)^0.165,0.05)</f>
        <v>0.4</v>
      </c>
      <c r="Y292" s="8">
        <f>MROUND(_xlfn.XLOOKUP(_xlfn.XLOOKUP(B292,'Base stats'!B:B,'Base stats'!E:E),Groups!A:A,Groups!BI:BI)*_xlfn.XLOOKUP(B292,'Base stats'!B:B,'Base stats'!C:C)^0.165,0.05)</f>
        <v>0.1</v>
      </c>
      <c r="Z292" s="18">
        <f>MROUND(_xlfn.XLOOKUP(B292,'Base stats'!B:B,'Base stats'!AQ:AQ)*_xlfn.XLOOKUP(_xlfn.XLOOKUP(B292,'Base stats'!B:B,'Base stats'!E:E),Groups!A:A,Groups!H:H)/1000,IF((_xlfn.XLOOKUP(B292,'Base stats'!B:B,'Base stats'!AQ:AQ)*_xlfn.XLOOKUP(_xlfn.XLOOKUP(B292,'Base stats'!B:B,'Base stats'!E:E),Groups!A:A,Groups!H:H)/1000)&gt;1,0.05,0.01))</f>
        <v>10.75</v>
      </c>
      <c r="AA292" s="18">
        <f>MROUND((1/2)*(_xlfn.XLOOKUP(_xlfn.XLOOKUP(B292,'Base stats'!B:B,'Base stats'!E:E),Groups!A:A,Groups!H:H)*_xlfn.XLOOKUP(_xlfn.XLOOKUP(B292,'Base stats'!B:B,'Base stats'!E:E),Groups!A:A,Groups!I:I))*_xlfn.XLOOKUP(B292,'Base stats'!B:B,'Base stats'!AQ:AQ)*0.01,0.05)</f>
        <v>6.5500000000000007</v>
      </c>
      <c r="AB292" s="18">
        <f>MROUND(250*(Animals!AO292+Animals!AP292),25)</f>
        <v>2375</v>
      </c>
      <c r="AC292" s="18" t="str">
        <f>_xlfn.XLOOKUP(_xlfn.XLOOKUP(B292,'Base stats'!B:B,'Base stats'!E:E),Groups!A:A,Groups!BJ:BJ)</f>
        <v>Serpentine</v>
      </c>
    </row>
    <row r="293" spans="1:29" ht="16.5" thickTop="1" thickBot="1" x14ac:dyDescent="0.3">
      <c r="A293" s="16" t="str">
        <f>Animals!A293</f>
        <v>Mantrap</v>
      </c>
      <c r="B293" s="6" t="str">
        <f>Animals!B293</f>
        <v>Mantis carnifera</v>
      </c>
      <c r="C293" s="1" t="str">
        <f>Animals!C293</f>
        <v>&lt;li&gt;AA_Mantrap&lt;/li&gt;</v>
      </c>
      <c r="D293" s="47">
        <f>MIN(MIN(6,_xlfn.XLOOKUP(A293,Animals!A:A,Animals!AO:AO))*20,MAX(MROUND(_xlfn.XLOOKUP(B293,'Base stats'!B:B,'Base stats'!BS:BS) * (_xlfn.XLOOKUP(B293,'Base stats'!B:B,'Base stats'!AO:AO)*5%)^0.9 / 21,0.1),0.05))</f>
        <v>0.70000000000000007</v>
      </c>
      <c r="E293" s="11">
        <f>MROUND(_xlfn.XLOOKUP(B293,'Base stats'!B:B,'Base stats'!BG:BG) * 0.01 * 2 + 0.01, 0.05)</f>
        <v>0.55000000000000004</v>
      </c>
      <c r="F293" s="7">
        <f>MROUND(_xlfn.XLOOKUP(B293,'Base stats'!B:B,'Base stats'!BD:BD)^0.25 / (_xlfn.XLOOKUP(B293,'Base stats'!B:B,'Base stats'!BK:BK) * 10) * 150 + 0.5 + _xlfn.XLOOKUP(B293,'Base stats'!B:B,'Base stats'!BW:BW), 0.05)</f>
        <v>2.3000000000000003</v>
      </c>
      <c r="G293" s="3" t="str">
        <f>IF(Animals!S293="No","No",
IF(_xlfn.XLOOKUP(B293,'Base stats'!B:B,'Base stats'!U:U)="No",
MAX(MROUND(_xlfn.XLOOKUP(B293,'Base stats'!B:B,'Base stats'!BT:BT) * _xlfn.XLOOKUP(B293,'Base stats'!B:B,'Base stats'!BP:BP)^0.9 / 21 * _xlfn.XLOOKUP(B293,'Base stats'!B:B,'Base stats'!BX:BX),0.1),0.05),
MAX(MROUND(((MIN(10,_xlfn.XLOOKUP(B293,'Base stats'!B:B,'Base stats'!U:U)))^0.4*_xlfn.XLOOKUP(B293,'Base stats'!B:B,'Base stats'!BH:BH)^0.73)^0.6 * _xlfn.XLOOKUP(B293,'Base stats'!B:B,'Base stats'!BX:BX),0.1),0.05)
))</f>
        <v>No</v>
      </c>
      <c r="H293" s="11" t="str">
        <f>IF(G293="No","No",
MROUND(_xlfn.XLOOKUP(B293,'Base stats'!B:B,'Base stats'!BH:BH) * 0.01 * 2 + 0.05, 0.05)
)</f>
        <v>No</v>
      </c>
      <c r="I293" s="11" t="str">
        <f>IF(G293="No","No",IF(_xlfn.XLOOKUP(B293,'Base stats'!B:B,'Base stats'!U:U)="No","No",
MROUND(_xlfn.XLOOKUP(B293,'Base stats'!B:B,'Base stats'!BT:BT)/10000+0.01,0.01)
))</f>
        <v>No</v>
      </c>
      <c r="J293" s="4" t="str">
        <f>IF(G293="No","No",
MROUND(_xlfn.XLOOKUP(B293,'Base stats'!B:B,'Base stats'!BE:BE)^0.25
/((_xlfn.XLOOKUP(B293,'Base stats'!B:B,'Base stats'!BL:BL))*10)*_xlfn.XLOOKUP(_xlfn.XLOOKUP(B293,'Base stats'!B:B,'Base stats'!E:E),Groups!A:A,Groups!Q:Q)*150 + 0.5 + _xlfn.XLOOKUP(B293,'Base stats'!B:B,'Base stats'!BW:BW),
0.05))</f>
        <v>No</v>
      </c>
      <c r="K293" s="3" t="str">
        <f>IF(Animals!X293="No","No",
IF(_xlfn.XLOOKUP(_xlfn.XLOOKUP(B293,'Base stats'!B:B,'Base stats'!E:E),Groups!A:A,Groups!BD:BD)=1,
MAX(MROUND(_xlfn.XLOOKUP(B293,'Base stats'!B:B,'Base stats'!BU:BU) * _xlfn.XLOOKUP(B293,'Base stats'!B:B,'Base stats'!BQ:BQ)^0.9 / 21 *_xlfn.XLOOKUP(B293,'Base stats'!B:B,'Base stats'!BX:BX),0.1),0.05),
MAX(MROUND(((MIN(10,_xlfn.XLOOKUP(B293,'Base stats'!B:B,'Base stats'!W:W)))^0.4*_xlfn.XLOOKUP(B293,'Base stats'!B:B,'Base stats'!BI:BI)^0.73)^0.6 *_xlfn.XLOOKUP(B293,'Base stats'!B:B,'Base stats'!BX:BX),0.1),0.05)
))</f>
        <v>No</v>
      </c>
      <c r="L293" s="11" t="str">
        <f>IF(K293="No","No",
MROUND(_xlfn.XLOOKUP(B293,'Base stats'!B:B,'Base stats'!BI:BI) * 0.01 *2 + 0.05, 0.05)
)</f>
        <v>No</v>
      </c>
      <c r="M293" s="5" t="str">
        <f>IF(K293="No","No",IF(_xlfn.XLOOKUP(_xlfn.XLOOKUP(B293,'Base stats'!B:B,'Base stats'!E:E),Groups!A:A,Groups!BD:BD)=1,"No",
MROUND(_xlfn.XLOOKUP(B293,'Base stats'!B:B,'Base stats'!BU:BU)/10000+0.01,0.01)
))</f>
        <v>No</v>
      </c>
      <c r="N293" s="4" t="str">
        <f>IF(K293="No","No",
MROUND(
  _xlfn.XLOOKUP(B293,'Base stats'!B:B,'Base stats'!BC:BC)^0.25
  / (_xlfn.XLOOKUP(B293,'Base stats'!B:B,'Base stats'!BM:BM) * 10)
  * _xlfn.XLOOKUP(
      _xlfn.XLOOKUP(B293,'Base stats'!B:B,'Base stats'!E:E),
      Groups!A:A,
      Groups!V:V
    ) * 150
  + MIN(12, _xlfn.XLOOKUP(B293,'Base stats'!B:B,'Base stats'!W:W))^(1/IF(_xlfn.XLOOKUP(_xlfn.XLOOKUP(B293,'Base stats'!B:B,'Base stats'!E:E),Groups!A:A,Groups!U:U)=1,100,10)) + 0.5 + _xlfn.XLOOKUP(B293,'Base stats'!B:B,'Base stats'!BW:BW),
0.05))</f>
        <v>No</v>
      </c>
      <c r="O293" s="3">
        <f>IF(Animals!AD293="No","No",
MAX(MROUND((MIN(10,_xlfn.XLOOKUP(B293,'Base stats'!B:B,'Base stats'!V:V)*IF(_xlfn.XLOOKUP(_xlfn.XLOOKUP(B293,'Base stats'!B:B,'Base stats'!E:E),Groups!A:A,Groups!O:O)=0,1,0.33))^0.4*_xlfn.XLOOKUP(B293,'Base stats'!B:B,'Base stats'!BJ:BJ)^0.73)^0.6 *_xlfn.XLOOKUP(B293,'Base stats'!B:B,'Base stats'!BX:BX),0.1),0.05)
)</f>
        <v>16.3</v>
      </c>
      <c r="P293" s="11">
        <f>IF(O293="No","No",
MROUND(_xlfn.XLOOKUP(B293,'Base stats'!B:B,'Base stats'!BJ:BJ) * 0.01 * 2 + 0.05, 0.05)
)</f>
        <v>4.8500000000000005</v>
      </c>
      <c r="Q293" s="5">
        <f>IF(O293="No","No",
MROUND(_xlfn.XLOOKUP(B293,'Base stats'!B:B,'Base stats'!BV:BV)/10000+0.01,0.01)
)</f>
        <v>0.37</v>
      </c>
      <c r="R293" s="4">
        <f>IF(O293="No","No",
MROUND(_xlfn.XLOOKUP(B293,'Base stats'!B:B,'Base stats'!BB:BB)^0.25
/((_xlfn.XLOOKUP(B293,'Base stats'!B:B,'Base stats'!BN:BN))*10)*_xlfn.XLOOKUP(_xlfn.XLOOKUP(B293,'Base stats'!B:B,'Base stats'!E:E),Groups!A:A,Groups!Z:Z)*150 + 0.5 + _xlfn.XLOOKUP(B293,'Base stats'!B:B,'Base stats'!BW:BW),
0.05))</f>
        <v>1.6</v>
      </c>
      <c r="S293" s="3">
        <f>IF(Animals!AI293="No","No",
IF(_xlfn.XLOOKUP(B293,'Base stats'!B:B,'Base stats'!U:U)="No",
MAX(MROUND(_xlfn.XLOOKUP(B293,'Base stats'!B:B,'Base stats'!BT:BT) * _xlfn.XLOOKUP(B293,'Base stats'!B:B,'Base stats'!BP:BP)^0.9 / 21 * _xlfn.XLOOKUP(B293,'Base stats'!B:B,'Base stats'!BX:BX),0.1),0.05),
MAX(MROUND(((MIN(12,_xlfn.XLOOKUP(B293,'Base stats'!B:B,'Base stats'!U:U)))^0.4*_xlfn.XLOOKUP(B293,'Base stats'!B:B,'Base stats'!BH:BH)^0.73)^0.6 * _xlfn.XLOOKUP(B293,'Base stats'!B:B,'Base stats'!BX:BX),0.1),0.05)
))</f>
        <v>1.4000000000000001</v>
      </c>
      <c r="T293" s="11">
        <f>IF(S293="No","No",
MROUND(_xlfn.XLOOKUP(B293,'Base stats'!B:B,'Base stats'!BH:BH) * 0.01 * 2 + 0.05, 0.05)
)</f>
        <v>0.70000000000000007</v>
      </c>
      <c r="U293" s="5" t="str">
        <f>IF(S293="No","No",IF(_xlfn.XLOOKUP(B293,'Base stats'!B:B,'Base stats'!U:U)="No","No",
MROUND(_xlfn.XLOOKUP(B293,'Base stats'!B:B,'Base stats'!BT:BT)/10000+0.01,0.01)
))</f>
        <v>No</v>
      </c>
      <c r="V293" s="4">
        <f>IF(S293="No","No",
MROUND(_xlfn.XLOOKUP(B293,'Base stats'!B:B,'Base stats'!BF:BF)^0.25
/((_xlfn.XLOOKUP(B293,'Base stats'!B:B,'Base stats'!BO:BO))*10)*_xlfn.XLOOKUP(_xlfn.XLOOKUP(B293,'Base stats'!B:B,'Base stats'!E:E),Groups!A:A,Groups!AE:AE)*150 + 0.5 + _xlfn.XLOOKUP(B293,'Base stats'!B:B,'Base stats'!BW:BW),
0.05))</f>
        <v>2</v>
      </c>
      <c r="W293" s="8">
        <f>MROUND(_xlfn.XLOOKUP(_xlfn.XLOOKUP(B293,'Base stats'!B:B,'Base stats'!E:E),Groups!A:A,Groups!BG:BG)*_xlfn.XLOOKUP(B293,'Base stats'!B:B,'Base stats'!C:C)^-0.165,0.05)</f>
        <v>0.15000000000000002</v>
      </c>
      <c r="X293" s="1">
        <f>MROUND(_xlfn.XLOOKUP(_xlfn.XLOOKUP(B293,'Base stats'!B:B,'Base stats'!E:E),Groups!A:A,Groups!BH:BH)*_xlfn.XLOOKUP(B293,'Base stats'!B:B,'Base stats'!C:C)^0.165,0.05)</f>
        <v>0.2</v>
      </c>
      <c r="Y293" s="8">
        <f>MROUND(_xlfn.XLOOKUP(_xlfn.XLOOKUP(B293,'Base stats'!B:B,'Base stats'!E:E),Groups!A:A,Groups!BI:BI)*_xlfn.XLOOKUP(B293,'Base stats'!B:B,'Base stats'!C:C)^0.165,0.05)</f>
        <v>0.05</v>
      </c>
      <c r="Z293" s="18">
        <f>MROUND(_xlfn.XLOOKUP(B293,'Base stats'!B:B,'Base stats'!AQ:AQ)*_xlfn.XLOOKUP(_xlfn.XLOOKUP(B293,'Base stats'!B:B,'Base stats'!E:E),Groups!A:A,Groups!H:H)/1000,IF((_xlfn.XLOOKUP(B293,'Base stats'!B:B,'Base stats'!AQ:AQ)*_xlfn.XLOOKUP(_xlfn.XLOOKUP(B293,'Base stats'!B:B,'Base stats'!E:E),Groups!A:A,Groups!H:H)/1000)&gt;1,0.05,0.01))</f>
        <v>2.4000000000000004</v>
      </c>
      <c r="AA293" s="18">
        <f>MROUND((1/2)*(_xlfn.XLOOKUP(_xlfn.XLOOKUP(B293,'Base stats'!B:B,'Base stats'!E:E),Groups!A:A,Groups!H:H)*_xlfn.XLOOKUP(_xlfn.XLOOKUP(B293,'Base stats'!B:B,'Base stats'!E:E),Groups!A:A,Groups!I:I))*_xlfn.XLOOKUP(B293,'Base stats'!B:B,'Base stats'!AQ:AQ)*0.01,0.05)</f>
        <v>23.05</v>
      </c>
      <c r="AB293" s="18">
        <f>MROUND(250*(Animals!AO293+Animals!AP293),25)</f>
        <v>400</v>
      </c>
      <c r="AC293" s="18" t="str">
        <f>_xlfn.XLOOKUP(_xlfn.XLOOKUP(B293,'Base stats'!B:B,'Base stats'!E:E),Groups!A:A,Groups!BJ:BJ)</f>
        <v>Birdlike</v>
      </c>
    </row>
    <row r="294" spans="1:29" ht="16.5" thickTop="1" thickBot="1" x14ac:dyDescent="0.3">
      <c r="A294" s="16" t="str">
        <f>Animals!A294</f>
        <v>MatureFleshbeast</v>
      </c>
      <c r="B294" s="6" t="str">
        <f>Animals!B294</f>
        <v>Carnis putridus (mature)</v>
      </c>
      <c r="C294" s="1" t="str">
        <f>Animals!C294</f>
        <v>&lt;li&gt;AA_MatureFleshbeast&lt;/li&gt;</v>
      </c>
      <c r="D294" s="47">
        <f>MIN(MIN(6,_xlfn.XLOOKUP(A294,Animals!A:A,Animals!AO:AO))*20,MAX(MROUND(_xlfn.XLOOKUP(B294,'Base stats'!B:B,'Base stats'!BS:BS) * (_xlfn.XLOOKUP(B294,'Base stats'!B:B,'Base stats'!AO:AO)*5%)^0.9 / 21,0.1),0.05))</f>
        <v>58.400000000000006</v>
      </c>
      <c r="E294" s="11">
        <f>MROUND(_xlfn.XLOOKUP(B294,'Base stats'!B:B,'Base stats'!BG:BG) * 0.01 * 2 + 0.01, 0.05)</f>
        <v>65.45</v>
      </c>
      <c r="F294" s="7">
        <f>MROUND(_xlfn.XLOOKUP(B294,'Base stats'!B:B,'Base stats'!BD:BD)^0.25 / (_xlfn.XLOOKUP(B294,'Base stats'!B:B,'Base stats'!BK:BK) * 10) * 150 + 0.5 + _xlfn.XLOOKUP(B294,'Base stats'!B:B,'Base stats'!BW:BW), 0.05)</f>
        <v>4.75</v>
      </c>
      <c r="G294" s="3" t="str">
        <f>IF(Animals!S294="No","No",
IF(_xlfn.XLOOKUP(B294,'Base stats'!B:B,'Base stats'!U:U)="No",
MAX(MROUND(_xlfn.XLOOKUP(B294,'Base stats'!B:B,'Base stats'!BT:BT) * _xlfn.XLOOKUP(B294,'Base stats'!B:B,'Base stats'!BP:BP)^0.9 / 21 * _xlfn.XLOOKUP(B294,'Base stats'!B:B,'Base stats'!BX:BX),0.1),0.05),
MAX(MROUND(((MIN(10,_xlfn.XLOOKUP(B294,'Base stats'!B:B,'Base stats'!U:U)))^0.4*_xlfn.XLOOKUP(B294,'Base stats'!B:B,'Base stats'!BH:BH)^0.73)^0.6 * _xlfn.XLOOKUP(B294,'Base stats'!B:B,'Base stats'!BX:BX),0.1),0.05)
))</f>
        <v>No</v>
      </c>
      <c r="H294" s="11" t="str">
        <f>IF(G294="No","No",
MROUND(_xlfn.XLOOKUP(B294,'Base stats'!B:B,'Base stats'!BH:BH) * 0.01 * 2 + 0.05, 0.05)
)</f>
        <v>No</v>
      </c>
      <c r="I294" s="11" t="str">
        <f>IF(G294="No","No",IF(_xlfn.XLOOKUP(B294,'Base stats'!B:B,'Base stats'!U:U)="No","No",
MROUND(_xlfn.XLOOKUP(B294,'Base stats'!B:B,'Base stats'!BT:BT)/10000+0.01,0.01)
))</f>
        <v>No</v>
      </c>
      <c r="J294" s="4" t="str">
        <f>IF(G294="No","No",
MROUND(_xlfn.XLOOKUP(B294,'Base stats'!B:B,'Base stats'!BE:BE)^0.25
/((_xlfn.XLOOKUP(B294,'Base stats'!B:B,'Base stats'!BL:BL))*10)*_xlfn.XLOOKUP(_xlfn.XLOOKUP(B294,'Base stats'!B:B,'Base stats'!E:E),Groups!A:A,Groups!Q:Q)*150 + 0.5 + _xlfn.XLOOKUP(B294,'Base stats'!B:B,'Base stats'!BW:BW),
0.05))</f>
        <v>No</v>
      </c>
      <c r="K294" s="3">
        <f>IF(Animals!X294="No","No",
IF(_xlfn.XLOOKUP(_xlfn.XLOOKUP(B294,'Base stats'!B:B,'Base stats'!E:E),Groups!A:A,Groups!BD:BD)=1,
MAX(MROUND(_xlfn.XLOOKUP(B294,'Base stats'!B:B,'Base stats'!BU:BU) * _xlfn.XLOOKUP(B294,'Base stats'!B:B,'Base stats'!BQ:BQ)^0.9 / 21 *_xlfn.XLOOKUP(B294,'Base stats'!B:B,'Base stats'!BX:BX),0.1),0.05),
MAX(MROUND(((MIN(10,_xlfn.XLOOKUP(B294,'Base stats'!B:B,'Base stats'!W:W)))^0.4*_xlfn.XLOOKUP(B294,'Base stats'!B:B,'Base stats'!BI:BI)^0.73)^0.6 *_xlfn.XLOOKUP(B294,'Base stats'!B:B,'Base stats'!BX:BX),0.1),0.05)
))</f>
        <v>60.900000000000006</v>
      </c>
      <c r="L294" s="11">
        <f>IF(K294="No","No",
MROUND(_xlfn.XLOOKUP(B294,'Base stats'!B:B,'Base stats'!BI:BI) * 0.01 *2 + 0.05, 0.05)
)</f>
        <v>67.3</v>
      </c>
      <c r="M294" s="5">
        <f>IF(K294="No","No",IF(_xlfn.XLOOKUP(_xlfn.XLOOKUP(B294,'Base stats'!B:B,'Base stats'!E:E),Groups!A:A,Groups!BD:BD)=1,"No",
MROUND(_xlfn.XLOOKUP(B294,'Base stats'!B:B,'Base stats'!BU:BU)/10000+0.01,0.01)
))</f>
        <v>2.8000000000000003</v>
      </c>
      <c r="N294" s="4">
        <f>IF(K294="No","No",
MROUND(
  _xlfn.XLOOKUP(B294,'Base stats'!B:B,'Base stats'!BC:BC)^0.25
  / (_xlfn.XLOOKUP(B294,'Base stats'!B:B,'Base stats'!BM:BM) * 10)
  * _xlfn.XLOOKUP(
      _xlfn.XLOOKUP(B294,'Base stats'!B:B,'Base stats'!E:E),
      Groups!A:A,
      Groups!V:V
    ) * 150
  + MIN(12, _xlfn.XLOOKUP(B294,'Base stats'!B:B,'Base stats'!W:W))^(1/IF(_xlfn.XLOOKUP(_xlfn.XLOOKUP(B294,'Base stats'!B:B,'Base stats'!E:E),Groups!A:A,Groups!U:U)=1,100,10)) + 0.5 + _xlfn.XLOOKUP(B294,'Base stats'!B:B,'Base stats'!BW:BW),
0.05))</f>
        <v>4.25</v>
      </c>
      <c r="O294" s="3">
        <f>IF(Animals!AD294="No","No",
MAX(MROUND((MIN(10,_xlfn.XLOOKUP(B294,'Base stats'!B:B,'Base stats'!V:V)*IF(_xlfn.XLOOKUP(_xlfn.XLOOKUP(B294,'Base stats'!B:B,'Base stats'!E:E),Groups!A:A,Groups!O:O)=0,1,0.33))^0.4*_xlfn.XLOOKUP(B294,'Base stats'!B:B,'Base stats'!BJ:BJ)^0.73)^0.6 *_xlfn.XLOOKUP(B294,'Base stats'!B:B,'Base stats'!BX:BX),0.1),0.05)
)</f>
        <v>72.3</v>
      </c>
      <c r="P294" s="11">
        <f>IF(O294="No","No",
MROUND(_xlfn.XLOOKUP(B294,'Base stats'!B:B,'Base stats'!BJ:BJ) * 0.01 * 2 + 0.05, 0.05)
)</f>
        <v>99.4</v>
      </c>
      <c r="Q294" s="5">
        <f>IF(O294="No","No",
MROUND(_xlfn.XLOOKUP(B294,'Base stats'!B:B,'Base stats'!BV:BV)/10000+0.01,0.01)
)</f>
        <v>8.89</v>
      </c>
      <c r="R294" s="4">
        <f>IF(O294="No","No",
MROUND(_xlfn.XLOOKUP(B294,'Base stats'!B:B,'Base stats'!BB:BB)^0.25
/((_xlfn.XLOOKUP(B294,'Base stats'!B:B,'Base stats'!BN:BN))*10)*_xlfn.XLOOKUP(_xlfn.XLOOKUP(B294,'Base stats'!B:B,'Base stats'!E:E),Groups!A:A,Groups!Z:Z)*150 + 0.5 + _xlfn.XLOOKUP(B294,'Base stats'!B:B,'Base stats'!BW:BW),
0.05))</f>
        <v>2.3000000000000003</v>
      </c>
      <c r="S294" s="3">
        <f>IF(Animals!AI294="No","No",
IF(_xlfn.XLOOKUP(B294,'Base stats'!B:B,'Base stats'!U:U)="No",
MAX(MROUND(_xlfn.XLOOKUP(B294,'Base stats'!B:B,'Base stats'!BT:BT) * _xlfn.XLOOKUP(B294,'Base stats'!B:B,'Base stats'!BP:BP)^0.9 / 21 * _xlfn.XLOOKUP(B294,'Base stats'!B:B,'Base stats'!BX:BX),0.1),0.05),
MAX(MROUND(((MIN(12,_xlfn.XLOOKUP(B294,'Base stats'!B:B,'Base stats'!U:U)))^0.4*_xlfn.XLOOKUP(B294,'Base stats'!B:B,'Base stats'!BH:BH)^0.73)^0.6 * _xlfn.XLOOKUP(B294,'Base stats'!B:B,'Base stats'!BX:BX),0.1),0.05)
))</f>
        <v>56.2</v>
      </c>
      <c r="T294" s="11">
        <f>IF(S294="No","No",
MROUND(_xlfn.XLOOKUP(B294,'Base stats'!B:B,'Base stats'!BH:BH) * 0.01 * 2 + 0.05, 0.05)
)</f>
        <v>56.1</v>
      </c>
      <c r="U294" s="5">
        <f>IF(S294="No","No",IF(_xlfn.XLOOKUP(B294,'Base stats'!B:B,'Base stats'!U:U)="No","No",
MROUND(_xlfn.XLOOKUP(B294,'Base stats'!B:B,'Base stats'!BT:BT)/10000+0.01,0.01)
))</f>
        <v>5.0200000000000005</v>
      </c>
      <c r="V294" s="4">
        <f>IF(S294="No","No",
MROUND(_xlfn.XLOOKUP(B294,'Base stats'!B:B,'Base stats'!BF:BF)^0.25
/((_xlfn.XLOOKUP(B294,'Base stats'!B:B,'Base stats'!BO:BO))*10)*_xlfn.XLOOKUP(_xlfn.XLOOKUP(B294,'Base stats'!B:B,'Base stats'!E:E),Groups!A:A,Groups!AE:AE)*150 + 0.5 + _xlfn.XLOOKUP(B294,'Base stats'!B:B,'Base stats'!BW:BW),
0.05))</f>
        <v>3.1500000000000004</v>
      </c>
      <c r="W294" s="8">
        <f>MROUND(_xlfn.XLOOKUP(_xlfn.XLOOKUP(B294,'Base stats'!B:B,'Base stats'!E:E),Groups!A:A,Groups!BG:BG)*_xlfn.XLOOKUP(B294,'Base stats'!B:B,'Base stats'!C:C)^-0.165,0.05)</f>
        <v>0.05</v>
      </c>
      <c r="X294" s="1">
        <f>MROUND(_xlfn.XLOOKUP(_xlfn.XLOOKUP(B294,'Base stats'!B:B,'Base stats'!E:E),Groups!A:A,Groups!BH:BH)*_xlfn.XLOOKUP(B294,'Base stats'!B:B,'Base stats'!C:C)^0.165,0.05)</f>
        <v>1.1000000000000001</v>
      </c>
      <c r="Y294" s="8">
        <f>MROUND(_xlfn.XLOOKUP(_xlfn.XLOOKUP(B294,'Base stats'!B:B,'Base stats'!E:E),Groups!A:A,Groups!BI:BI)*_xlfn.XLOOKUP(B294,'Base stats'!B:B,'Base stats'!C:C)^0.165,0.05)</f>
        <v>0.1</v>
      </c>
      <c r="Z294" s="18">
        <f>MROUND(_xlfn.XLOOKUP(B294,'Base stats'!B:B,'Base stats'!AQ:AQ)*_xlfn.XLOOKUP(_xlfn.XLOOKUP(B294,'Base stats'!B:B,'Base stats'!E:E),Groups!A:A,Groups!H:H)/1000,IF((_xlfn.XLOOKUP(B294,'Base stats'!B:B,'Base stats'!AQ:AQ)*_xlfn.XLOOKUP(_xlfn.XLOOKUP(B294,'Base stats'!B:B,'Base stats'!E:E),Groups!A:A,Groups!H:H)/1000)&gt;1,0.05,0.01))</f>
        <v>0.01</v>
      </c>
      <c r="AA294" s="18">
        <f>MROUND((1/2)*(_xlfn.XLOOKUP(_xlfn.XLOOKUP(B294,'Base stats'!B:B,'Base stats'!E:E),Groups!A:A,Groups!H:H)*_xlfn.XLOOKUP(_xlfn.XLOOKUP(B294,'Base stats'!B:B,'Base stats'!E:E),Groups!A:A,Groups!I:I))*_xlfn.XLOOKUP(B294,'Base stats'!B:B,'Base stats'!AQ:AQ)*0.01,0.05)</f>
        <v>0.05</v>
      </c>
      <c r="AB294" s="18">
        <f>MROUND(250*(Animals!AO294+Animals!AP294),25)</f>
        <v>3300</v>
      </c>
      <c r="AC294" s="18" t="str">
        <f>_xlfn.XLOOKUP(_xlfn.XLOOKUP(B294,'Base stats'!B:B,'Base stats'!E:E),Groups!A:A,Groups!BJ:BJ)</f>
        <v>Quadruped</v>
      </c>
    </row>
    <row r="295" spans="1:29" ht="16.5" thickTop="1" thickBot="1" x14ac:dyDescent="0.3">
      <c r="A295" s="16" t="str">
        <f>Animals!A295</f>
        <v>MeadowAve</v>
      </c>
      <c r="B295" s="6" t="str">
        <f>Animals!B295</f>
        <v>Avis prata</v>
      </c>
      <c r="C295" s="1" t="str">
        <f>Animals!C295</f>
        <v>&lt;li&gt;AA_MeadowAve&lt;/li&gt;</v>
      </c>
      <c r="D295" s="47">
        <f>MIN(MIN(6,_xlfn.XLOOKUP(A295,Animals!A:A,Animals!AO:AO))*20,MAX(MROUND(_xlfn.XLOOKUP(B295,'Base stats'!B:B,'Base stats'!BS:BS) * (_xlfn.XLOOKUP(B295,'Base stats'!B:B,'Base stats'!AO:AO)*5%)^0.9 / 21,0.1),0.05))</f>
        <v>5.5</v>
      </c>
      <c r="E295" s="11">
        <f>MROUND(_xlfn.XLOOKUP(B295,'Base stats'!B:B,'Base stats'!BG:BG) * 0.01 * 2 + 0.01, 0.05)</f>
        <v>4.8500000000000005</v>
      </c>
      <c r="F295" s="7">
        <f>MROUND(_xlfn.XLOOKUP(B295,'Base stats'!B:B,'Base stats'!BD:BD)^0.25 / (_xlfn.XLOOKUP(B295,'Base stats'!B:B,'Base stats'!BK:BK) * 10) * 150 + 0.5 + _xlfn.XLOOKUP(B295,'Base stats'!B:B,'Base stats'!BW:BW), 0.05)</f>
        <v>1.7000000000000002</v>
      </c>
      <c r="G295" s="3">
        <f>IF(Animals!S295="No","No",
IF(_xlfn.XLOOKUP(B295,'Base stats'!B:B,'Base stats'!U:U)="No",
MAX(MROUND(_xlfn.XLOOKUP(B295,'Base stats'!B:B,'Base stats'!BT:BT) * _xlfn.XLOOKUP(B295,'Base stats'!B:B,'Base stats'!BP:BP)^0.9 / 21 * _xlfn.XLOOKUP(B295,'Base stats'!B:B,'Base stats'!BX:BX),0.1),0.05),
MAX(MROUND(((MIN(10,_xlfn.XLOOKUP(B295,'Base stats'!B:B,'Base stats'!U:U)))^0.4*_xlfn.XLOOKUP(B295,'Base stats'!B:B,'Base stats'!BH:BH)^0.73)^0.6 * _xlfn.XLOOKUP(B295,'Base stats'!B:B,'Base stats'!BX:BX),0.1),0.05)
))</f>
        <v>20.900000000000002</v>
      </c>
      <c r="H295" s="11">
        <f>IF(G295="No","No",
MROUND(_xlfn.XLOOKUP(B295,'Base stats'!B:B,'Base stats'!BH:BH) * 0.01 * 2 + 0.05, 0.05)
)</f>
        <v>5.95</v>
      </c>
      <c r="I295" s="11">
        <f>IF(G295="No","No",IF(_xlfn.XLOOKUP(B295,'Base stats'!B:B,'Base stats'!U:U)="No","No",
MROUND(_xlfn.XLOOKUP(B295,'Base stats'!B:B,'Base stats'!BT:BT)/10000+0.01,0.01)
))</f>
        <v>0.24</v>
      </c>
      <c r="J295" s="4">
        <f>IF(G295="No","No",
MROUND(_xlfn.XLOOKUP(B295,'Base stats'!B:B,'Base stats'!BE:BE)^0.25
/((_xlfn.XLOOKUP(B295,'Base stats'!B:B,'Base stats'!BL:BL))*10)*_xlfn.XLOOKUP(_xlfn.XLOOKUP(B295,'Base stats'!B:B,'Base stats'!E:E),Groups!A:A,Groups!Q:Q)*150 + 0.5 + _xlfn.XLOOKUP(B295,'Base stats'!B:B,'Base stats'!BW:BW),
0.05))</f>
        <v>3.2</v>
      </c>
      <c r="K295" s="3" t="str">
        <f>IF(Animals!X295="No","No",
IF(_xlfn.XLOOKUP(_xlfn.XLOOKUP(B295,'Base stats'!B:B,'Base stats'!E:E),Groups!A:A,Groups!BD:BD)=1,
MAX(MROUND(_xlfn.XLOOKUP(B295,'Base stats'!B:B,'Base stats'!BU:BU) * _xlfn.XLOOKUP(B295,'Base stats'!B:B,'Base stats'!BQ:BQ)^0.9 / 21 *_xlfn.XLOOKUP(B295,'Base stats'!B:B,'Base stats'!BX:BX),0.1),0.05),
MAX(MROUND(((MIN(10,_xlfn.XLOOKUP(B295,'Base stats'!B:B,'Base stats'!W:W)))^0.4*_xlfn.XLOOKUP(B295,'Base stats'!B:B,'Base stats'!BI:BI)^0.73)^0.6 *_xlfn.XLOOKUP(B295,'Base stats'!B:B,'Base stats'!BX:BX),0.1),0.05)
))</f>
        <v>No</v>
      </c>
      <c r="L295" s="11" t="str">
        <f>IF(K295="No","No",
MROUND(_xlfn.XLOOKUP(B295,'Base stats'!B:B,'Base stats'!BI:BI) * 0.01 *2 + 0.05, 0.05)
)</f>
        <v>No</v>
      </c>
      <c r="M295" s="5" t="str">
        <f>IF(K295="No","No",IF(_xlfn.XLOOKUP(_xlfn.XLOOKUP(B295,'Base stats'!B:B,'Base stats'!E:E),Groups!A:A,Groups!BD:BD)=1,"No",
MROUND(_xlfn.XLOOKUP(B295,'Base stats'!B:B,'Base stats'!BU:BU)/10000+0.01,0.01)
))</f>
        <v>No</v>
      </c>
      <c r="N295" s="4" t="str">
        <f>IF(K295="No","No",
MROUND(
  _xlfn.XLOOKUP(B295,'Base stats'!B:B,'Base stats'!BC:BC)^0.25
  / (_xlfn.XLOOKUP(B295,'Base stats'!B:B,'Base stats'!BM:BM) * 10)
  * _xlfn.XLOOKUP(
      _xlfn.XLOOKUP(B295,'Base stats'!B:B,'Base stats'!E:E),
      Groups!A:A,
      Groups!V:V
    ) * 150
  + MIN(12, _xlfn.XLOOKUP(B295,'Base stats'!B:B,'Base stats'!W:W))^(1/IF(_xlfn.XLOOKUP(_xlfn.XLOOKUP(B295,'Base stats'!B:B,'Base stats'!E:E),Groups!A:A,Groups!U:U)=1,100,10)) + 0.5 + _xlfn.XLOOKUP(B295,'Base stats'!B:B,'Base stats'!BW:BW),
0.05))</f>
        <v>No</v>
      </c>
      <c r="O295" s="3">
        <f>IF(Animals!AD295="No","No",
MAX(MROUND((MIN(10,_xlfn.XLOOKUP(B295,'Base stats'!B:B,'Base stats'!V:V)*IF(_xlfn.XLOOKUP(_xlfn.XLOOKUP(B295,'Base stats'!B:B,'Base stats'!E:E),Groups!A:A,Groups!O:O)=0,1,0.33))^0.4*_xlfn.XLOOKUP(B295,'Base stats'!B:B,'Base stats'!BJ:BJ)^0.73)^0.6 *_xlfn.XLOOKUP(B295,'Base stats'!B:B,'Base stats'!BX:BX),0.1),0.05)
)</f>
        <v>7.1000000000000005</v>
      </c>
      <c r="P295" s="11">
        <f>IF(O295="No","No",
MROUND(_xlfn.XLOOKUP(B295,'Base stats'!B:B,'Base stats'!BJ:BJ) * 0.01 * 2 + 0.05, 0.05)
)</f>
        <v>0.75</v>
      </c>
      <c r="Q295" s="5">
        <f>IF(O295="No","No",
MROUND(_xlfn.XLOOKUP(B295,'Base stats'!B:B,'Base stats'!BV:BV)/10000+0.01,0.01)
)</f>
        <v>0.03</v>
      </c>
      <c r="R295" s="4">
        <f>IF(O295="No","No",
MROUND(_xlfn.XLOOKUP(B295,'Base stats'!B:B,'Base stats'!BB:BB)^0.25
/((_xlfn.XLOOKUP(B295,'Base stats'!B:B,'Base stats'!BN:BN))*10)*_xlfn.XLOOKUP(_xlfn.XLOOKUP(B295,'Base stats'!B:B,'Base stats'!E:E),Groups!A:A,Groups!Z:Z)*150 + 0.5 + _xlfn.XLOOKUP(B295,'Base stats'!B:B,'Base stats'!BW:BW),
0.05))</f>
        <v>2.0500000000000003</v>
      </c>
      <c r="S295" s="3" t="str">
        <f>IF(Animals!AI295="No","No",
IF(_xlfn.XLOOKUP(B295,'Base stats'!B:B,'Base stats'!U:U)="No",
MAX(MROUND(_xlfn.XLOOKUP(B295,'Base stats'!B:B,'Base stats'!BT:BT) * _xlfn.XLOOKUP(B295,'Base stats'!B:B,'Base stats'!BP:BP)^0.9 / 21 * _xlfn.XLOOKUP(B295,'Base stats'!B:B,'Base stats'!BX:BX),0.1),0.05),
MAX(MROUND(((MIN(12,_xlfn.XLOOKUP(B295,'Base stats'!B:B,'Base stats'!U:U)))^0.4*_xlfn.XLOOKUP(B295,'Base stats'!B:B,'Base stats'!BH:BH)^0.73)^0.6 * _xlfn.XLOOKUP(B295,'Base stats'!B:B,'Base stats'!BX:BX),0.1),0.05)
))</f>
        <v>No</v>
      </c>
      <c r="T295" s="11" t="str">
        <f>IF(S295="No","No",
MROUND(_xlfn.XLOOKUP(B295,'Base stats'!B:B,'Base stats'!BH:BH) * 0.01 * 2 + 0.05, 0.05)
)</f>
        <v>No</v>
      </c>
      <c r="U295" s="5" t="str">
        <f>IF(S295="No","No",IF(_xlfn.XLOOKUP(B295,'Base stats'!B:B,'Base stats'!U:U)="No","No",
MROUND(_xlfn.XLOOKUP(B295,'Base stats'!B:B,'Base stats'!BT:BT)/10000+0.01,0.01)
))</f>
        <v>No</v>
      </c>
      <c r="V295" s="4" t="str">
        <f>IF(S295="No","No",
MROUND(_xlfn.XLOOKUP(B295,'Base stats'!B:B,'Base stats'!BF:BF)^0.25
/((_xlfn.XLOOKUP(B295,'Base stats'!B:B,'Base stats'!BO:BO))*10)*_xlfn.XLOOKUP(_xlfn.XLOOKUP(B295,'Base stats'!B:B,'Base stats'!E:E),Groups!A:A,Groups!AE:AE)*150 + 0.5 + _xlfn.XLOOKUP(B295,'Base stats'!B:B,'Base stats'!BW:BW),
0.05))</f>
        <v>No</v>
      </c>
      <c r="W295" s="8">
        <f>MROUND(_xlfn.XLOOKUP(_xlfn.XLOOKUP(B295,'Base stats'!B:B,'Base stats'!E:E),Groups!A:A,Groups!BG:BG)*_xlfn.XLOOKUP(B295,'Base stats'!B:B,'Base stats'!C:C)^-0.165,0.05)</f>
        <v>0.4</v>
      </c>
      <c r="X295" s="1">
        <f>MROUND(_xlfn.XLOOKUP(_xlfn.XLOOKUP(B295,'Base stats'!B:B,'Base stats'!E:E),Groups!A:A,Groups!BH:BH)*_xlfn.XLOOKUP(B295,'Base stats'!B:B,'Base stats'!C:C)^0.165,0.05)</f>
        <v>0.25</v>
      </c>
      <c r="Y295" s="8">
        <f>MROUND(_xlfn.XLOOKUP(_xlfn.XLOOKUP(B295,'Base stats'!B:B,'Base stats'!E:E),Groups!A:A,Groups!BI:BI)*_xlfn.XLOOKUP(B295,'Base stats'!B:B,'Base stats'!C:C)^0.165,0.05)</f>
        <v>0.05</v>
      </c>
      <c r="Z295" s="18">
        <f>MROUND(_xlfn.XLOOKUP(B295,'Base stats'!B:B,'Base stats'!AQ:AQ)*_xlfn.XLOOKUP(_xlfn.XLOOKUP(B295,'Base stats'!B:B,'Base stats'!E:E),Groups!A:A,Groups!H:H)/1000,IF((_xlfn.XLOOKUP(B295,'Base stats'!B:B,'Base stats'!AQ:AQ)*_xlfn.XLOOKUP(_xlfn.XLOOKUP(B295,'Base stats'!B:B,'Base stats'!E:E),Groups!A:A,Groups!H:H)/1000)&gt;1,0.05,0.01))</f>
        <v>0</v>
      </c>
      <c r="AA295" s="18">
        <f>MROUND((1/2)*(_xlfn.XLOOKUP(_xlfn.XLOOKUP(B295,'Base stats'!B:B,'Base stats'!E:E),Groups!A:A,Groups!H:H)*_xlfn.XLOOKUP(_xlfn.XLOOKUP(B295,'Base stats'!B:B,'Base stats'!E:E),Groups!A:A,Groups!I:I))*_xlfn.XLOOKUP(B295,'Base stats'!B:B,'Base stats'!AQ:AQ)*0.01,0.05)</f>
        <v>0</v>
      </c>
      <c r="AB295" s="18">
        <f>MROUND(250*(Animals!AO295+Animals!AP295),25)</f>
        <v>900</v>
      </c>
      <c r="AC295" s="18" t="str">
        <f>_xlfn.XLOOKUP(_xlfn.XLOOKUP(B295,'Base stats'!B:B,'Base stats'!E:E),Groups!A:A,Groups!BJ:BJ)</f>
        <v>Birdlike</v>
      </c>
    </row>
    <row r="296" spans="1:29" ht="16.5" thickTop="1" thickBot="1" x14ac:dyDescent="0.3">
      <c r="A296" s="16" t="str">
        <f>Animals!A296</f>
        <v>MegaLouse</v>
      </c>
      <c r="B296" s="6" t="str">
        <f>Animals!B296</f>
        <v>Pediculus giganteus</v>
      </c>
      <c r="C296" s="1" t="str">
        <f>Animals!C296</f>
        <v>&lt;li&gt;AA_MegaLouse&lt;/li&gt;</v>
      </c>
      <c r="D296" s="47">
        <f>MIN(MIN(6,_xlfn.XLOOKUP(A296,Animals!A:A,Animals!AO:AO))*20,MAX(MROUND(_xlfn.XLOOKUP(B296,'Base stats'!B:B,'Base stats'!BS:BS) * (_xlfn.XLOOKUP(B296,'Base stats'!B:B,'Base stats'!AO:AO)*5%)^0.9 / 21,0.1),0.05))</f>
        <v>0.9</v>
      </c>
      <c r="E296" s="11">
        <f>MROUND(_xlfn.XLOOKUP(B296,'Base stats'!B:B,'Base stats'!BG:BG) * 0.01 * 2 + 0.01, 0.05)</f>
        <v>0.75</v>
      </c>
      <c r="F296" s="7">
        <f>MROUND(_xlfn.XLOOKUP(B296,'Base stats'!B:B,'Base stats'!BD:BD)^0.25 / (_xlfn.XLOOKUP(B296,'Base stats'!B:B,'Base stats'!BK:BK) * 10) * 150 + 0.5 + _xlfn.XLOOKUP(B296,'Base stats'!B:B,'Base stats'!BW:BW), 0.05)</f>
        <v>2.4000000000000004</v>
      </c>
      <c r="G296" s="3" t="str">
        <f>IF(Animals!S296="No","No",
IF(_xlfn.XLOOKUP(B296,'Base stats'!B:B,'Base stats'!U:U)="No",
MAX(MROUND(_xlfn.XLOOKUP(B296,'Base stats'!B:B,'Base stats'!BT:BT) * _xlfn.XLOOKUP(B296,'Base stats'!B:B,'Base stats'!BP:BP)^0.9 / 21 * _xlfn.XLOOKUP(B296,'Base stats'!B:B,'Base stats'!BX:BX),0.1),0.05),
MAX(MROUND(((MIN(10,_xlfn.XLOOKUP(B296,'Base stats'!B:B,'Base stats'!U:U)))^0.4*_xlfn.XLOOKUP(B296,'Base stats'!B:B,'Base stats'!BH:BH)^0.73)^0.6 * _xlfn.XLOOKUP(B296,'Base stats'!B:B,'Base stats'!BX:BX),0.1),0.05)
))</f>
        <v>No</v>
      </c>
      <c r="H296" s="11" t="str">
        <f>IF(G296="No","No",
MROUND(_xlfn.XLOOKUP(B296,'Base stats'!B:B,'Base stats'!BH:BH) * 0.01 * 2 + 0.05, 0.05)
)</f>
        <v>No</v>
      </c>
      <c r="I296" s="11" t="str">
        <f>IF(G296="No","No",IF(_xlfn.XLOOKUP(B296,'Base stats'!B:B,'Base stats'!U:U)="No","No",
MROUND(_xlfn.XLOOKUP(B296,'Base stats'!B:B,'Base stats'!BT:BT)/10000+0.01,0.01)
))</f>
        <v>No</v>
      </c>
      <c r="J296" s="4" t="str">
        <f>IF(G296="No","No",
MROUND(_xlfn.XLOOKUP(B296,'Base stats'!B:B,'Base stats'!BE:BE)^0.25
/((_xlfn.XLOOKUP(B296,'Base stats'!B:B,'Base stats'!BL:BL))*10)*_xlfn.XLOOKUP(_xlfn.XLOOKUP(B296,'Base stats'!B:B,'Base stats'!E:E),Groups!A:A,Groups!Q:Q)*150 + 0.5 + _xlfn.XLOOKUP(B296,'Base stats'!B:B,'Base stats'!BW:BW),
0.05))</f>
        <v>No</v>
      </c>
      <c r="K296" s="3" t="str">
        <f>IF(Animals!X296="No","No",
IF(_xlfn.XLOOKUP(_xlfn.XLOOKUP(B296,'Base stats'!B:B,'Base stats'!E:E),Groups!A:A,Groups!BD:BD)=1,
MAX(MROUND(_xlfn.XLOOKUP(B296,'Base stats'!B:B,'Base stats'!BU:BU) * _xlfn.XLOOKUP(B296,'Base stats'!B:B,'Base stats'!BQ:BQ)^0.9 / 21 *_xlfn.XLOOKUP(B296,'Base stats'!B:B,'Base stats'!BX:BX),0.1),0.05),
MAX(MROUND(((MIN(10,_xlfn.XLOOKUP(B296,'Base stats'!B:B,'Base stats'!W:W)))^0.4*_xlfn.XLOOKUP(B296,'Base stats'!B:B,'Base stats'!BI:BI)^0.73)^0.6 *_xlfn.XLOOKUP(B296,'Base stats'!B:B,'Base stats'!BX:BX),0.1),0.05)
))</f>
        <v>No</v>
      </c>
      <c r="L296" s="11" t="str">
        <f>IF(K296="No","No",
MROUND(_xlfn.XLOOKUP(B296,'Base stats'!B:B,'Base stats'!BI:BI) * 0.01 *2 + 0.05, 0.05)
)</f>
        <v>No</v>
      </c>
      <c r="M296" s="5" t="str">
        <f>IF(K296="No","No",IF(_xlfn.XLOOKUP(_xlfn.XLOOKUP(B296,'Base stats'!B:B,'Base stats'!E:E),Groups!A:A,Groups!BD:BD)=1,"No",
MROUND(_xlfn.XLOOKUP(B296,'Base stats'!B:B,'Base stats'!BU:BU)/10000+0.01,0.01)
))</f>
        <v>No</v>
      </c>
      <c r="N296" s="4" t="str">
        <f>IF(K296="No","No",
MROUND(
  _xlfn.XLOOKUP(B296,'Base stats'!B:B,'Base stats'!BC:BC)^0.25
  / (_xlfn.XLOOKUP(B296,'Base stats'!B:B,'Base stats'!BM:BM) * 10)
  * _xlfn.XLOOKUP(
      _xlfn.XLOOKUP(B296,'Base stats'!B:B,'Base stats'!E:E),
      Groups!A:A,
      Groups!V:V
    ) * 150
  + MIN(12, _xlfn.XLOOKUP(B296,'Base stats'!B:B,'Base stats'!W:W))^(1/IF(_xlfn.XLOOKUP(_xlfn.XLOOKUP(B296,'Base stats'!B:B,'Base stats'!E:E),Groups!A:A,Groups!U:U)=1,100,10)) + 0.5 + _xlfn.XLOOKUP(B296,'Base stats'!B:B,'Base stats'!BW:BW),
0.05))</f>
        <v>No</v>
      </c>
      <c r="O296" s="3">
        <f>IF(Animals!AD296="No","No",
MAX(MROUND((MIN(10,_xlfn.XLOOKUP(B296,'Base stats'!B:B,'Base stats'!V:V)*IF(_xlfn.XLOOKUP(_xlfn.XLOOKUP(B296,'Base stats'!B:B,'Base stats'!E:E),Groups!A:A,Groups!O:O)=0,1,0.33))^0.4*_xlfn.XLOOKUP(B296,'Base stats'!B:B,'Base stats'!BJ:BJ)^0.73)^0.6 *_xlfn.XLOOKUP(B296,'Base stats'!B:B,'Base stats'!BX:BX),0.1),0.05)
)</f>
        <v>19</v>
      </c>
      <c r="P296" s="11">
        <f>IF(O296="No","No",
MROUND(_xlfn.XLOOKUP(B296,'Base stats'!B:B,'Base stats'!BJ:BJ) * 0.01 * 2 + 0.05, 0.05)
)</f>
        <v>6.25</v>
      </c>
      <c r="Q296" s="5">
        <f>IF(O296="No","No",
MROUND(_xlfn.XLOOKUP(B296,'Base stats'!B:B,'Base stats'!BV:BV)/10000+0.01,0.01)
)</f>
        <v>0.42</v>
      </c>
      <c r="R296" s="4">
        <f>IF(O296="No","No",
MROUND(_xlfn.XLOOKUP(B296,'Base stats'!B:B,'Base stats'!BB:BB)^0.25
/((_xlfn.XLOOKUP(B296,'Base stats'!B:B,'Base stats'!BN:BN))*10)*_xlfn.XLOOKUP(_xlfn.XLOOKUP(B296,'Base stats'!B:B,'Base stats'!E:E),Groups!A:A,Groups!Z:Z)*150 + 0.5 + _xlfn.XLOOKUP(B296,'Base stats'!B:B,'Base stats'!BW:BW),
0.05))</f>
        <v>2.15</v>
      </c>
      <c r="S296" s="3" t="str">
        <f>IF(Animals!AI296="No","No",
IF(_xlfn.XLOOKUP(B296,'Base stats'!B:B,'Base stats'!U:U)="No",
MAX(MROUND(_xlfn.XLOOKUP(B296,'Base stats'!B:B,'Base stats'!BT:BT) * _xlfn.XLOOKUP(B296,'Base stats'!B:B,'Base stats'!BP:BP)^0.9 / 21 * _xlfn.XLOOKUP(B296,'Base stats'!B:B,'Base stats'!BX:BX),0.1),0.05),
MAX(MROUND(((MIN(12,_xlfn.XLOOKUP(B296,'Base stats'!B:B,'Base stats'!U:U)))^0.4*_xlfn.XLOOKUP(B296,'Base stats'!B:B,'Base stats'!BH:BH)^0.73)^0.6 * _xlfn.XLOOKUP(B296,'Base stats'!B:B,'Base stats'!BX:BX),0.1),0.05)
))</f>
        <v>No</v>
      </c>
      <c r="T296" s="11" t="str">
        <f>IF(S296="No","No",
MROUND(_xlfn.XLOOKUP(B296,'Base stats'!B:B,'Base stats'!BH:BH) * 0.01 * 2 + 0.05, 0.05)
)</f>
        <v>No</v>
      </c>
      <c r="U296" s="5" t="str">
        <f>IF(S296="No","No",IF(_xlfn.XLOOKUP(B296,'Base stats'!B:B,'Base stats'!U:U)="No","No",
MROUND(_xlfn.XLOOKUP(B296,'Base stats'!B:B,'Base stats'!BT:BT)/10000+0.01,0.01)
))</f>
        <v>No</v>
      </c>
      <c r="V296" s="4" t="str">
        <f>IF(S296="No","No",
MROUND(_xlfn.XLOOKUP(B296,'Base stats'!B:B,'Base stats'!BF:BF)^0.25
/((_xlfn.XLOOKUP(B296,'Base stats'!B:B,'Base stats'!BO:BO))*10)*_xlfn.XLOOKUP(_xlfn.XLOOKUP(B296,'Base stats'!B:B,'Base stats'!E:E),Groups!A:A,Groups!AE:AE)*150 + 0.5 + _xlfn.XLOOKUP(B296,'Base stats'!B:B,'Base stats'!BW:BW),
0.05))</f>
        <v>No</v>
      </c>
      <c r="W296" s="8">
        <f>MROUND(_xlfn.XLOOKUP(_xlfn.XLOOKUP(B296,'Base stats'!B:B,'Base stats'!E:E),Groups!A:A,Groups!BG:BG)*_xlfn.XLOOKUP(B296,'Base stats'!B:B,'Base stats'!C:C)^-0.165,0.05)</f>
        <v>0.15000000000000002</v>
      </c>
      <c r="X296" s="1">
        <f>MROUND(_xlfn.XLOOKUP(_xlfn.XLOOKUP(B296,'Base stats'!B:B,'Base stats'!E:E),Groups!A:A,Groups!BH:BH)*_xlfn.XLOOKUP(B296,'Base stats'!B:B,'Base stats'!C:C)^0.165,0.05)</f>
        <v>0.2</v>
      </c>
      <c r="Y296" s="8">
        <f>MROUND(_xlfn.XLOOKUP(_xlfn.XLOOKUP(B296,'Base stats'!B:B,'Base stats'!E:E),Groups!A:A,Groups!BI:BI)*_xlfn.XLOOKUP(B296,'Base stats'!B:B,'Base stats'!C:C)^0.165,0.05)</f>
        <v>0.05</v>
      </c>
      <c r="Z296" s="18">
        <f>MROUND(_xlfn.XLOOKUP(B296,'Base stats'!B:B,'Base stats'!AQ:AQ)*_xlfn.XLOOKUP(_xlfn.XLOOKUP(B296,'Base stats'!B:B,'Base stats'!E:E),Groups!A:A,Groups!H:H)/1000,IF((_xlfn.XLOOKUP(B296,'Base stats'!B:B,'Base stats'!AQ:AQ)*_xlfn.XLOOKUP(_xlfn.XLOOKUP(B296,'Base stats'!B:B,'Base stats'!E:E),Groups!A:A,Groups!H:H)/1000)&gt;1,0.05,0.01))</f>
        <v>2.4000000000000004</v>
      </c>
      <c r="AA296" s="18">
        <f>MROUND((1/2)*(_xlfn.XLOOKUP(_xlfn.XLOOKUP(B296,'Base stats'!B:B,'Base stats'!E:E),Groups!A:A,Groups!H:H)*_xlfn.XLOOKUP(_xlfn.XLOOKUP(B296,'Base stats'!B:B,'Base stats'!E:E),Groups!A:A,Groups!I:I))*_xlfn.XLOOKUP(B296,'Base stats'!B:B,'Base stats'!AQ:AQ)*0.01,0.05)</f>
        <v>1.4500000000000002</v>
      </c>
      <c r="AB296" s="18">
        <f>MROUND(250*(Animals!AO296+Animals!AP296),25)</f>
        <v>450</v>
      </c>
      <c r="AC296" s="18" t="str">
        <f>_xlfn.XLOOKUP(_xlfn.XLOOKUP(B296,'Base stats'!B:B,'Base stats'!E:E),Groups!A:A,Groups!BJ:BJ)</f>
        <v>Serpentine</v>
      </c>
    </row>
    <row r="297" spans="1:29" ht="16.5" thickTop="1" thickBot="1" x14ac:dyDescent="0.3">
      <c r="A297" s="16" t="str">
        <f>Animals!A297</f>
        <v>Metallovore</v>
      </c>
      <c r="B297" s="6" t="str">
        <f>Animals!B297</f>
        <v>Metallophagus xenus</v>
      </c>
      <c r="C297" s="1" t="str">
        <f>Animals!C297</f>
        <v>&lt;li&gt;AA_Metallovore&lt;/li&gt;</v>
      </c>
      <c r="D297" s="47">
        <f>MIN(MIN(6,_xlfn.XLOOKUP(A297,Animals!A:A,Animals!AO:AO))*20,MAX(MROUND(_xlfn.XLOOKUP(B297,'Base stats'!B:B,'Base stats'!BS:BS) * (_xlfn.XLOOKUP(B297,'Base stats'!B:B,'Base stats'!AO:AO)*5%)^0.9 / 21,0.1),0.05))</f>
        <v>0.8</v>
      </c>
      <c r="E297" s="11">
        <f>MROUND(_xlfn.XLOOKUP(B297,'Base stats'!B:B,'Base stats'!BG:BG) * 0.01 * 2 + 0.01, 0.05)</f>
        <v>0.65</v>
      </c>
      <c r="F297" s="7">
        <f>MROUND(_xlfn.XLOOKUP(B297,'Base stats'!B:B,'Base stats'!BD:BD)^0.25 / (_xlfn.XLOOKUP(B297,'Base stats'!B:B,'Base stats'!BK:BK) * 10) * 150 + 0.5 + _xlfn.XLOOKUP(B297,'Base stats'!B:B,'Base stats'!BW:BW), 0.05)</f>
        <v>2</v>
      </c>
      <c r="G297" s="3" t="str">
        <f>IF(Animals!S297="No","No",
IF(_xlfn.XLOOKUP(B297,'Base stats'!B:B,'Base stats'!U:U)="No",
MAX(MROUND(_xlfn.XLOOKUP(B297,'Base stats'!B:B,'Base stats'!BT:BT) * _xlfn.XLOOKUP(B297,'Base stats'!B:B,'Base stats'!BP:BP)^0.9 / 21 * _xlfn.XLOOKUP(B297,'Base stats'!B:B,'Base stats'!BX:BX),0.1),0.05),
MAX(MROUND(((MIN(10,_xlfn.XLOOKUP(B297,'Base stats'!B:B,'Base stats'!U:U)))^0.4*_xlfn.XLOOKUP(B297,'Base stats'!B:B,'Base stats'!BH:BH)^0.73)^0.6 * _xlfn.XLOOKUP(B297,'Base stats'!B:B,'Base stats'!BX:BX),0.1),0.05)
))</f>
        <v>No</v>
      </c>
      <c r="H297" s="11" t="str">
        <f>IF(G297="No","No",
MROUND(_xlfn.XLOOKUP(B297,'Base stats'!B:B,'Base stats'!BH:BH) * 0.01 * 2 + 0.05, 0.05)
)</f>
        <v>No</v>
      </c>
      <c r="I297" s="11" t="str">
        <f>IF(G297="No","No",IF(_xlfn.XLOOKUP(B297,'Base stats'!B:B,'Base stats'!U:U)="No","No",
MROUND(_xlfn.XLOOKUP(B297,'Base stats'!B:B,'Base stats'!BT:BT)/10000+0.01,0.01)
))</f>
        <v>No</v>
      </c>
      <c r="J297" s="4" t="str">
        <f>IF(G297="No","No",
MROUND(_xlfn.XLOOKUP(B297,'Base stats'!B:B,'Base stats'!BE:BE)^0.25
/((_xlfn.XLOOKUP(B297,'Base stats'!B:B,'Base stats'!BL:BL))*10)*_xlfn.XLOOKUP(_xlfn.XLOOKUP(B297,'Base stats'!B:B,'Base stats'!E:E),Groups!A:A,Groups!Q:Q)*150 + 0.5 + _xlfn.XLOOKUP(B297,'Base stats'!B:B,'Base stats'!BW:BW),
0.05))</f>
        <v>No</v>
      </c>
      <c r="K297" s="3" t="str">
        <f>IF(Animals!X297="No","No",
IF(_xlfn.XLOOKUP(_xlfn.XLOOKUP(B297,'Base stats'!B:B,'Base stats'!E:E),Groups!A:A,Groups!BD:BD)=1,
MAX(MROUND(_xlfn.XLOOKUP(B297,'Base stats'!B:B,'Base stats'!BU:BU) * _xlfn.XLOOKUP(B297,'Base stats'!B:B,'Base stats'!BQ:BQ)^0.9 / 21 *_xlfn.XLOOKUP(B297,'Base stats'!B:B,'Base stats'!BX:BX),0.1),0.05),
MAX(MROUND(((MIN(10,_xlfn.XLOOKUP(B297,'Base stats'!B:B,'Base stats'!W:W)))^0.4*_xlfn.XLOOKUP(B297,'Base stats'!B:B,'Base stats'!BI:BI)^0.73)^0.6 *_xlfn.XLOOKUP(B297,'Base stats'!B:B,'Base stats'!BX:BX),0.1),0.05)
))</f>
        <v>No</v>
      </c>
      <c r="L297" s="11" t="str">
        <f>IF(K297="No","No",
MROUND(_xlfn.XLOOKUP(B297,'Base stats'!B:B,'Base stats'!BI:BI) * 0.01 *2 + 0.05, 0.05)
)</f>
        <v>No</v>
      </c>
      <c r="M297" s="5" t="str">
        <f>IF(K297="No","No",IF(_xlfn.XLOOKUP(_xlfn.XLOOKUP(B297,'Base stats'!B:B,'Base stats'!E:E),Groups!A:A,Groups!BD:BD)=1,"No",
MROUND(_xlfn.XLOOKUP(B297,'Base stats'!B:B,'Base stats'!BU:BU)/10000+0.01,0.01)
))</f>
        <v>No</v>
      </c>
      <c r="N297" s="4" t="str">
        <f>IF(K297="No","No",
MROUND(
  _xlfn.XLOOKUP(B297,'Base stats'!B:B,'Base stats'!BC:BC)^0.25
  / (_xlfn.XLOOKUP(B297,'Base stats'!B:B,'Base stats'!BM:BM) * 10)
  * _xlfn.XLOOKUP(
      _xlfn.XLOOKUP(B297,'Base stats'!B:B,'Base stats'!E:E),
      Groups!A:A,
      Groups!V:V
    ) * 150
  + MIN(12, _xlfn.XLOOKUP(B297,'Base stats'!B:B,'Base stats'!W:W))^(1/IF(_xlfn.XLOOKUP(_xlfn.XLOOKUP(B297,'Base stats'!B:B,'Base stats'!E:E),Groups!A:A,Groups!U:U)=1,100,10)) + 0.5 + _xlfn.XLOOKUP(B297,'Base stats'!B:B,'Base stats'!BW:BW),
0.05))</f>
        <v>No</v>
      </c>
      <c r="O297" s="3">
        <f>IF(Animals!AD297="No","No",
MAX(MROUND((MIN(10,_xlfn.XLOOKUP(B297,'Base stats'!B:B,'Base stats'!V:V)*IF(_xlfn.XLOOKUP(_xlfn.XLOOKUP(B297,'Base stats'!B:B,'Base stats'!E:E),Groups!A:A,Groups!O:O)=0,1,0.33))^0.4*_xlfn.XLOOKUP(B297,'Base stats'!B:B,'Base stats'!BJ:BJ)^0.73)^0.6 *_xlfn.XLOOKUP(B297,'Base stats'!B:B,'Base stats'!BX:BX),0.1),0.05)
)</f>
        <v>15</v>
      </c>
      <c r="P297" s="11">
        <f>IF(O297="No","No",
MROUND(_xlfn.XLOOKUP(B297,'Base stats'!B:B,'Base stats'!BJ:BJ) * 0.01 * 2 + 0.05, 0.05)
)</f>
        <v>5.3500000000000005</v>
      </c>
      <c r="Q297" s="5">
        <f>IF(O297="No","No",
MROUND(_xlfn.XLOOKUP(B297,'Base stats'!B:B,'Base stats'!BV:BV)/10000+0.01,0.01)
)</f>
        <v>0.39</v>
      </c>
      <c r="R297" s="4">
        <f>IF(O297="No","No",
MROUND(_xlfn.XLOOKUP(B297,'Base stats'!B:B,'Base stats'!BB:BB)^0.25
/((_xlfn.XLOOKUP(B297,'Base stats'!B:B,'Base stats'!BN:BN))*10)*_xlfn.XLOOKUP(_xlfn.XLOOKUP(B297,'Base stats'!B:B,'Base stats'!E:E),Groups!A:A,Groups!Z:Z)*150 + 0.5 + _xlfn.XLOOKUP(B297,'Base stats'!B:B,'Base stats'!BW:BW),
0.05))</f>
        <v>1.7000000000000002</v>
      </c>
      <c r="S297" s="3" t="str">
        <f>IF(Animals!AI297="No","No",
IF(_xlfn.XLOOKUP(B297,'Base stats'!B:B,'Base stats'!U:U)="No",
MAX(MROUND(_xlfn.XLOOKUP(B297,'Base stats'!B:B,'Base stats'!BT:BT) * _xlfn.XLOOKUP(B297,'Base stats'!B:B,'Base stats'!BP:BP)^0.9 / 21 * _xlfn.XLOOKUP(B297,'Base stats'!B:B,'Base stats'!BX:BX),0.1),0.05),
MAX(MROUND(((MIN(12,_xlfn.XLOOKUP(B297,'Base stats'!B:B,'Base stats'!U:U)))^0.4*_xlfn.XLOOKUP(B297,'Base stats'!B:B,'Base stats'!BH:BH)^0.73)^0.6 * _xlfn.XLOOKUP(B297,'Base stats'!B:B,'Base stats'!BX:BX),0.1),0.05)
))</f>
        <v>No</v>
      </c>
      <c r="T297" s="11" t="str">
        <f>IF(S297="No","No",
MROUND(_xlfn.XLOOKUP(B297,'Base stats'!B:B,'Base stats'!BH:BH) * 0.01 * 2 + 0.05, 0.05)
)</f>
        <v>No</v>
      </c>
      <c r="U297" s="5" t="str">
        <f>IF(S297="No","No",IF(_xlfn.XLOOKUP(B297,'Base stats'!B:B,'Base stats'!U:U)="No","No",
MROUND(_xlfn.XLOOKUP(B297,'Base stats'!B:B,'Base stats'!BT:BT)/10000+0.01,0.01)
))</f>
        <v>No</v>
      </c>
      <c r="V297" s="4" t="str">
        <f>IF(S297="No","No",
MROUND(_xlfn.XLOOKUP(B297,'Base stats'!B:B,'Base stats'!BF:BF)^0.25
/((_xlfn.XLOOKUP(B297,'Base stats'!B:B,'Base stats'!BO:BO))*10)*_xlfn.XLOOKUP(_xlfn.XLOOKUP(B297,'Base stats'!B:B,'Base stats'!E:E),Groups!A:A,Groups!AE:AE)*150 + 0.5 + _xlfn.XLOOKUP(B297,'Base stats'!B:B,'Base stats'!BW:BW),
0.05))</f>
        <v>No</v>
      </c>
      <c r="W297" s="8">
        <f>MROUND(_xlfn.XLOOKUP(_xlfn.XLOOKUP(B297,'Base stats'!B:B,'Base stats'!E:E),Groups!A:A,Groups!BG:BG)*_xlfn.XLOOKUP(B297,'Base stats'!B:B,'Base stats'!C:C)^-0.165,0.05)</f>
        <v>0.15000000000000002</v>
      </c>
      <c r="X297" s="1">
        <f>MROUND(_xlfn.XLOOKUP(_xlfn.XLOOKUP(B297,'Base stats'!B:B,'Base stats'!E:E),Groups!A:A,Groups!BH:BH)*_xlfn.XLOOKUP(B297,'Base stats'!B:B,'Base stats'!C:C)^0.165,0.05)</f>
        <v>0.2</v>
      </c>
      <c r="Y297" s="8">
        <f>MROUND(_xlfn.XLOOKUP(_xlfn.XLOOKUP(B297,'Base stats'!B:B,'Base stats'!E:E),Groups!A:A,Groups!BI:BI)*_xlfn.XLOOKUP(B297,'Base stats'!B:B,'Base stats'!C:C)^0.165,0.05)</f>
        <v>0.05</v>
      </c>
      <c r="Z297" s="18">
        <f>MROUND(_xlfn.XLOOKUP(B297,'Base stats'!B:B,'Base stats'!AQ:AQ)*_xlfn.XLOOKUP(_xlfn.XLOOKUP(B297,'Base stats'!B:B,'Base stats'!E:E),Groups!A:A,Groups!H:H)/1000,IF((_xlfn.XLOOKUP(B297,'Base stats'!B:B,'Base stats'!AQ:AQ)*_xlfn.XLOOKUP(_xlfn.XLOOKUP(B297,'Base stats'!B:B,'Base stats'!E:E),Groups!A:A,Groups!H:H)/1000)&gt;1,0.05,0.01))</f>
        <v>0.86</v>
      </c>
      <c r="AA297" s="18">
        <f>MROUND((1/2)*(_xlfn.XLOOKUP(_xlfn.XLOOKUP(B297,'Base stats'!B:B,'Base stats'!E:E),Groups!A:A,Groups!H:H)*_xlfn.XLOOKUP(_xlfn.XLOOKUP(B297,'Base stats'!B:B,'Base stats'!E:E),Groups!A:A,Groups!I:I))*_xlfn.XLOOKUP(B297,'Base stats'!B:B,'Base stats'!AQ:AQ)*0.01,0.05)</f>
        <v>0.1</v>
      </c>
      <c r="AB297" s="18">
        <f>MROUND(250*(Animals!AO297+Animals!AP297),25)</f>
        <v>400</v>
      </c>
      <c r="AC297" s="18" t="str">
        <f>_xlfn.XLOOKUP(_xlfn.XLOOKUP(B297,'Base stats'!B:B,'Base stats'!E:E),Groups!A:A,Groups!BJ:BJ)</f>
        <v>QuadrupedLow</v>
      </c>
    </row>
    <row r="298" spans="1:29" ht="16.5" thickTop="1" thickBot="1" x14ac:dyDescent="0.3">
      <c r="A298" s="16" t="str">
        <f>Animals!A298</f>
        <v>Mime</v>
      </c>
      <c r="B298" s="6" t="str">
        <f>Animals!B298</f>
        <v>Mimo sapientis</v>
      </c>
      <c r="C298" s="1" t="str">
        <f>Animals!C298</f>
        <v>&lt;li&gt;AA_Mime&lt;/li&gt;</v>
      </c>
      <c r="D298" s="47">
        <f>MIN(MIN(6,_xlfn.XLOOKUP(A298,Animals!A:A,Animals!AO:AO))*20,MAX(MROUND(_xlfn.XLOOKUP(B298,'Base stats'!B:B,'Base stats'!BS:BS) * (_xlfn.XLOOKUP(B298,'Base stats'!B:B,'Base stats'!AO:AO)*5%)^0.9 / 21,0.1),0.05))</f>
        <v>2.3000000000000003</v>
      </c>
      <c r="E298" s="11">
        <f>MROUND(_xlfn.XLOOKUP(B298,'Base stats'!B:B,'Base stats'!BG:BG) * 0.01 * 2 + 0.01, 0.05)</f>
        <v>1.9000000000000001</v>
      </c>
      <c r="F298" s="7">
        <f>MROUND(_xlfn.XLOOKUP(B298,'Base stats'!B:B,'Base stats'!BD:BD)^0.25 / (_xlfn.XLOOKUP(B298,'Base stats'!B:B,'Base stats'!BK:BK) * 10) * 150 + 0.5 + _xlfn.XLOOKUP(B298,'Base stats'!B:B,'Base stats'!BW:BW), 0.05)</f>
        <v>1.9500000000000002</v>
      </c>
      <c r="G298" s="3" t="str">
        <f>IF(Animals!S298="No","No",
IF(_xlfn.XLOOKUP(B298,'Base stats'!B:B,'Base stats'!U:U)="No",
MAX(MROUND(_xlfn.XLOOKUP(B298,'Base stats'!B:B,'Base stats'!BT:BT) * _xlfn.XLOOKUP(B298,'Base stats'!B:B,'Base stats'!BP:BP)^0.9 / 21 * _xlfn.XLOOKUP(B298,'Base stats'!B:B,'Base stats'!BX:BX),0.1),0.05),
MAX(MROUND(((MIN(10,_xlfn.XLOOKUP(B298,'Base stats'!B:B,'Base stats'!U:U)))^0.4*_xlfn.XLOOKUP(B298,'Base stats'!B:B,'Base stats'!BH:BH)^0.73)^0.6 * _xlfn.XLOOKUP(B298,'Base stats'!B:B,'Base stats'!BX:BX),0.1),0.05)
))</f>
        <v>No</v>
      </c>
      <c r="H298" s="11" t="str">
        <f>IF(G298="No","No",
MROUND(_xlfn.XLOOKUP(B298,'Base stats'!B:B,'Base stats'!BH:BH) * 0.01 * 2 + 0.05, 0.05)
)</f>
        <v>No</v>
      </c>
      <c r="I298" s="11" t="str">
        <f>IF(G298="No","No",IF(_xlfn.XLOOKUP(B298,'Base stats'!B:B,'Base stats'!U:U)="No","No",
MROUND(_xlfn.XLOOKUP(B298,'Base stats'!B:B,'Base stats'!BT:BT)/10000+0.01,0.01)
))</f>
        <v>No</v>
      </c>
      <c r="J298" s="4" t="str">
        <f>IF(G298="No","No",
MROUND(_xlfn.XLOOKUP(B298,'Base stats'!B:B,'Base stats'!BE:BE)^0.25
/((_xlfn.XLOOKUP(B298,'Base stats'!B:B,'Base stats'!BL:BL))*10)*_xlfn.XLOOKUP(_xlfn.XLOOKUP(B298,'Base stats'!B:B,'Base stats'!E:E),Groups!A:A,Groups!Q:Q)*150 + 0.5 + _xlfn.XLOOKUP(B298,'Base stats'!B:B,'Base stats'!BW:BW),
0.05))</f>
        <v>No</v>
      </c>
      <c r="K298" s="3" t="str">
        <f>IF(Animals!X298="No","No",
IF(_xlfn.XLOOKUP(_xlfn.XLOOKUP(B298,'Base stats'!B:B,'Base stats'!E:E),Groups!A:A,Groups!BD:BD)=1,
MAX(MROUND(_xlfn.XLOOKUP(B298,'Base stats'!B:B,'Base stats'!BU:BU) * _xlfn.XLOOKUP(B298,'Base stats'!B:B,'Base stats'!BQ:BQ)^0.9 / 21 *_xlfn.XLOOKUP(B298,'Base stats'!B:B,'Base stats'!BX:BX),0.1),0.05),
MAX(MROUND(((MIN(10,_xlfn.XLOOKUP(B298,'Base stats'!B:B,'Base stats'!W:W)))^0.4*_xlfn.XLOOKUP(B298,'Base stats'!B:B,'Base stats'!BI:BI)^0.73)^0.6 *_xlfn.XLOOKUP(B298,'Base stats'!B:B,'Base stats'!BX:BX),0.1),0.05)
))</f>
        <v>No</v>
      </c>
      <c r="L298" s="11" t="str">
        <f>IF(K298="No","No",
MROUND(_xlfn.XLOOKUP(B298,'Base stats'!B:B,'Base stats'!BI:BI) * 0.01 *2 + 0.05, 0.05)
)</f>
        <v>No</v>
      </c>
      <c r="M298" s="5" t="str">
        <f>IF(K298="No","No",IF(_xlfn.XLOOKUP(_xlfn.XLOOKUP(B298,'Base stats'!B:B,'Base stats'!E:E),Groups!A:A,Groups!BD:BD)=1,"No",
MROUND(_xlfn.XLOOKUP(B298,'Base stats'!B:B,'Base stats'!BU:BU)/10000+0.01,0.01)
))</f>
        <v>No</v>
      </c>
      <c r="N298" s="4" t="str">
        <f>IF(K298="No","No",
MROUND(
  _xlfn.XLOOKUP(B298,'Base stats'!B:B,'Base stats'!BC:BC)^0.25
  / (_xlfn.XLOOKUP(B298,'Base stats'!B:B,'Base stats'!BM:BM) * 10)
  * _xlfn.XLOOKUP(
      _xlfn.XLOOKUP(B298,'Base stats'!B:B,'Base stats'!E:E),
      Groups!A:A,
      Groups!V:V
    ) * 150
  + MIN(12, _xlfn.XLOOKUP(B298,'Base stats'!B:B,'Base stats'!W:W))^(1/IF(_xlfn.XLOOKUP(_xlfn.XLOOKUP(B298,'Base stats'!B:B,'Base stats'!E:E),Groups!A:A,Groups!U:U)=1,100,10)) + 0.5 + _xlfn.XLOOKUP(B298,'Base stats'!B:B,'Base stats'!BW:BW),
0.05))</f>
        <v>No</v>
      </c>
      <c r="O298" s="3">
        <f>IF(Animals!AD298="No","No",
MAX(MROUND((MIN(10,_xlfn.XLOOKUP(B298,'Base stats'!B:B,'Base stats'!V:V)*IF(_xlfn.XLOOKUP(_xlfn.XLOOKUP(B298,'Base stats'!B:B,'Base stats'!E:E),Groups!A:A,Groups!O:O)=0,1,0.33))^0.4*_xlfn.XLOOKUP(B298,'Base stats'!B:B,'Base stats'!BJ:BJ)^0.73)^0.6 *_xlfn.XLOOKUP(B298,'Base stats'!B:B,'Base stats'!BX:BX),0.1),0.05)
)</f>
        <v>6.7</v>
      </c>
      <c r="P298" s="11">
        <f>IF(O298="No","No",
MROUND(_xlfn.XLOOKUP(B298,'Base stats'!B:B,'Base stats'!BJ:BJ) * 0.01 * 2 + 0.05, 0.05)
)</f>
        <v>1.3</v>
      </c>
      <c r="Q298" s="5">
        <f>IF(O298="No","No",
MROUND(_xlfn.XLOOKUP(B298,'Base stats'!B:B,'Base stats'!BV:BV)/10000+0.01,0.01)
)</f>
        <v>0.76</v>
      </c>
      <c r="R298" s="4">
        <f>IF(O298="No","No",
MROUND(_xlfn.XLOOKUP(B298,'Base stats'!B:B,'Base stats'!BB:BB)^0.25
/((_xlfn.XLOOKUP(B298,'Base stats'!B:B,'Base stats'!BN:BN))*10)*_xlfn.XLOOKUP(_xlfn.XLOOKUP(B298,'Base stats'!B:B,'Base stats'!E:E),Groups!A:A,Groups!Z:Z)*150 + 0.5 + _xlfn.XLOOKUP(B298,'Base stats'!B:B,'Base stats'!BW:BW),
0.05))</f>
        <v>2.0500000000000003</v>
      </c>
      <c r="S298" s="3">
        <f>IF(Animals!AI298="No","No",
IF(_xlfn.XLOOKUP(B298,'Base stats'!B:B,'Base stats'!U:U)="No",
MAX(MROUND(_xlfn.XLOOKUP(B298,'Base stats'!B:B,'Base stats'!BT:BT) * _xlfn.XLOOKUP(B298,'Base stats'!B:B,'Base stats'!BP:BP)^0.9 / 21 * _xlfn.XLOOKUP(B298,'Base stats'!B:B,'Base stats'!BX:BX),0.1),0.05),
MAX(MROUND(((MIN(12,_xlfn.XLOOKUP(B298,'Base stats'!B:B,'Base stats'!U:U)))^0.4*_xlfn.XLOOKUP(B298,'Base stats'!B:B,'Base stats'!BH:BH)^0.73)^0.6 * _xlfn.XLOOKUP(B298,'Base stats'!B:B,'Base stats'!BX:BX),0.1),0.05)
))</f>
        <v>5.1000000000000005</v>
      </c>
      <c r="T298" s="11">
        <f>IF(S298="No","No",
MROUND(_xlfn.XLOOKUP(B298,'Base stats'!B:B,'Base stats'!BH:BH) * 0.01 * 2 + 0.05, 0.05)
)</f>
        <v>2.4500000000000002</v>
      </c>
      <c r="U298" s="5" t="str">
        <f>IF(S298="No","No",IF(_xlfn.XLOOKUP(B298,'Base stats'!B:B,'Base stats'!U:U)="No","No",
MROUND(_xlfn.XLOOKUP(B298,'Base stats'!B:B,'Base stats'!BT:BT)/10000+0.01,0.01)
))</f>
        <v>No</v>
      </c>
      <c r="V298" s="4">
        <f>IF(S298="No","No",
MROUND(_xlfn.XLOOKUP(B298,'Base stats'!B:B,'Base stats'!BF:BF)^0.25
/((_xlfn.XLOOKUP(B298,'Base stats'!B:B,'Base stats'!BO:BO))*10)*_xlfn.XLOOKUP(_xlfn.XLOOKUP(B298,'Base stats'!B:B,'Base stats'!E:E),Groups!A:A,Groups!AE:AE)*150 + 0.5 + _xlfn.XLOOKUP(B298,'Base stats'!B:B,'Base stats'!BW:BW),
0.05))</f>
        <v>1.4000000000000001</v>
      </c>
      <c r="W298" s="8">
        <f>MROUND(_xlfn.XLOOKUP(_xlfn.XLOOKUP(B298,'Base stats'!B:B,'Base stats'!E:E),Groups!A:A,Groups!BG:BG)*_xlfn.XLOOKUP(B298,'Base stats'!B:B,'Base stats'!C:C)^-0.165,0.05)</f>
        <v>0.5</v>
      </c>
      <c r="X298" s="1">
        <f>MROUND(_xlfn.XLOOKUP(_xlfn.XLOOKUP(B298,'Base stats'!B:B,'Base stats'!E:E),Groups!A:A,Groups!BH:BH)*_xlfn.XLOOKUP(B298,'Base stats'!B:B,'Base stats'!C:C)^0.165,0.05)</f>
        <v>0.2</v>
      </c>
      <c r="Y298" s="8">
        <f>MROUND(_xlfn.XLOOKUP(_xlfn.XLOOKUP(B298,'Base stats'!B:B,'Base stats'!E:E),Groups!A:A,Groups!BI:BI)*_xlfn.XLOOKUP(B298,'Base stats'!B:B,'Base stats'!C:C)^0.165,0.05)</f>
        <v>0.1</v>
      </c>
      <c r="Z298" s="18">
        <f>MROUND(_xlfn.XLOOKUP(B298,'Base stats'!B:B,'Base stats'!AQ:AQ)*_xlfn.XLOOKUP(_xlfn.XLOOKUP(B298,'Base stats'!B:B,'Base stats'!E:E),Groups!A:A,Groups!H:H)/1000,IF((_xlfn.XLOOKUP(B298,'Base stats'!B:B,'Base stats'!AQ:AQ)*_xlfn.XLOOKUP(_xlfn.XLOOKUP(B298,'Base stats'!B:B,'Base stats'!E:E),Groups!A:A,Groups!H:H)/1000)&gt;1,0.05,0.01))</f>
        <v>0.06</v>
      </c>
      <c r="AA298" s="18">
        <f>MROUND((1/2)*(_xlfn.XLOOKUP(_xlfn.XLOOKUP(B298,'Base stats'!B:B,'Base stats'!E:E),Groups!A:A,Groups!H:H)*_xlfn.XLOOKUP(_xlfn.XLOOKUP(B298,'Base stats'!B:B,'Base stats'!E:E),Groups!A:A,Groups!I:I))*_xlfn.XLOOKUP(B298,'Base stats'!B:B,'Base stats'!AQ:AQ)*0.01,0.05)</f>
        <v>0.25</v>
      </c>
      <c r="AB298" s="18">
        <f>MROUND(250*(Animals!AO298+Animals!AP298),25)</f>
        <v>500</v>
      </c>
      <c r="AC298" s="18" t="str">
        <f>_xlfn.XLOOKUP(_xlfn.XLOOKUP(B298,'Base stats'!B:B,'Base stats'!E:E),Groups!A:A,Groups!BJ:BJ)</f>
        <v>Humanoid</v>
      </c>
    </row>
    <row r="299" spans="1:29" ht="16.5" thickTop="1" thickBot="1" x14ac:dyDescent="0.3">
      <c r="A299" s="16" t="str">
        <f>Animals!A299</f>
        <v>Murkling</v>
      </c>
      <c r="B299" s="6" t="str">
        <f>Animals!B299</f>
        <v>Murka sapiens</v>
      </c>
      <c r="C299" s="1" t="str">
        <f>Animals!C299</f>
        <v>&lt;li&gt;AA_Murkling&lt;/li&gt;</v>
      </c>
      <c r="D299" s="47">
        <f>MIN(MIN(6,_xlfn.XLOOKUP(A299,Animals!A:A,Animals!AO:AO))*20,MAX(MROUND(_xlfn.XLOOKUP(B299,'Base stats'!B:B,'Base stats'!BS:BS) * (_xlfn.XLOOKUP(B299,'Base stats'!B:B,'Base stats'!AO:AO)*5%)^0.9 / 21,0.1),0.05))</f>
        <v>0.9</v>
      </c>
      <c r="E299" s="11">
        <f>MROUND(_xlfn.XLOOKUP(B299,'Base stats'!B:B,'Base stats'!BG:BG) * 0.01 * 2 + 0.01, 0.05)</f>
        <v>0.75</v>
      </c>
      <c r="F299" s="7">
        <f>MROUND(_xlfn.XLOOKUP(B299,'Base stats'!B:B,'Base stats'!BD:BD)^0.25 / (_xlfn.XLOOKUP(B299,'Base stats'!B:B,'Base stats'!BK:BK) * 10) * 150 + 0.5 + _xlfn.XLOOKUP(B299,'Base stats'!B:B,'Base stats'!BW:BW), 0.05)</f>
        <v>1.7000000000000002</v>
      </c>
      <c r="G299" s="3" t="str">
        <f>IF(Animals!S299="No","No",
IF(_xlfn.XLOOKUP(B299,'Base stats'!B:B,'Base stats'!U:U)="No",
MAX(MROUND(_xlfn.XLOOKUP(B299,'Base stats'!B:B,'Base stats'!BT:BT) * _xlfn.XLOOKUP(B299,'Base stats'!B:B,'Base stats'!BP:BP)^0.9 / 21 * _xlfn.XLOOKUP(B299,'Base stats'!B:B,'Base stats'!BX:BX),0.1),0.05),
MAX(MROUND(((MIN(10,_xlfn.XLOOKUP(B299,'Base stats'!B:B,'Base stats'!U:U)))^0.4*_xlfn.XLOOKUP(B299,'Base stats'!B:B,'Base stats'!BH:BH)^0.73)^0.6 * _xlfn.XLOOKUP(B299,'Base stats'!B:B,'Base stats'!BX:BX),0.1),0.05)
))</f>
        <v>No</v>
      </c>
      <c r="H299" s="11" t="str">
        <f>IF(G299="No","No",
MROUND(_xlfn.XLOOKUP(B299,'Base stats'!B:B,'Base stats'!BH:BH) * 0.01 * 2 + 0.05, 0.05)
)</f>
        <v>No</v>
      </c>
      <c r="I299" s="11" t="str">
        <f>IF(G299="No","No",IF(_xlfn.XLOOKUP(B299,'Base stats'!B:B,'Base stats'!U:U)="No","No",
MROUND(_xlfn.XLOOKUP(B299,'Base stats'!B:B,'Base stats'!BT:BT)/10000+0.01,0.01)
))</f>
        <v>No</v>
      </c>
      <c r="J299" s="4" t="str">
        <f>IF(G299="No","No",
MROUND(_xlfn.XLOOKUP(B299,'Base stats'!B:B,'Base stats'!BE:BE)^0.25
/((_xlfn.XLOOKUP(B299,'Base stats'!B:B,'Base stats'!BL:BL))*10)*_xlfn.XLOOKUP(_xlfn.XLOOKUP(B299,'Base stats'!B:B,'Base stats'!E:E),Groups!A:A,Groups!Q:Q)*150 + 0.5 + _xlfn.XLOOKUP(B299,'Base stats'!B:B,'Base stats'!BW:BW),
0.05))</f>
        <v>No</v>
      </c>
      <c r="K299" s="3" t="str">
        <f>IF(Animals!X299="No","No",
IF(_xlfn.XLOOKUP(_xlfn.XLOOKUP(B299,'Base stats'!B:B,'Base stats'!E:E),Groups!A:A,Groups!BD:BD)=1,
MAX(MROUND(_xlfn.XLOOKUP(B299,'Base stats'!B:B,'Base stats'!BU:BU) * _xlfn.XLOOKUP(B299,'Base stats'!B:B,'Base stats'!BQ:BQ)^0.9 / 21 *_xlfn.XLOOKUP(B299,'Base stats'!B:B,'Base stats'!BX:BX),0.1),0.05),
MAX(MROUND(((MIN(10,_xlfn.XLOOKUP(B299,'Base stats'!B:B,'Base stats'!W:W)))^0.4*_xlfn.XLOOKUP(B299,'Base stats'!B:B,'Base stats'!BI:BI)^0.73)^0.6 *_xlfn.XLOOKUP(B299,'Base stats'!B:B,'Base stats'!BX:BX),0.1),0.05)
))</f>
        <v>No</v>
      </c>
      <c r="L299" s="11" t="str">
        <f>IF(K299="No","No",
MROUND(_xlfn.XLOOKUP(B299,'Base stats'!B:B,'Base stats'!BI:BI) * 0.01 *2 + 0.05, 0.05)
)</f>
        <v>No</v>
      </c>
      <c r="M299" s="5" t="str">
        <f>IF(K299="No","No",IF(_xlfn.XLOOKUP(_xlfn.XLOOKUP(B299,'Base stats'!B:B,'Base stats'!E:E),Groups!A:A,Groups!BD:BD)=1,"No",
MROUND(_xlfn.XLOOKUP(B299,'Base stats'!B:B,'Base stats'!BU:BU)/10000+0.01,0.01)
))</f>
        <v>No</v>
      </c>
      <c r="N299" s="4" t="str">
        <f>IF(K299="No","No",
MROUND(
  _xlfn.XLOOKUP(B299,'Base stats'!B:B,'Base stats'!BC:BC)^0.25
  / (_xlfn.XLOOKUP(B299,'Base stats'!B:B,'Base stats'!BM:BM) * 10)
  * _xlfn.XLOOKUP(
      _xlfn.XLOOKUP(B299,'Base stats'!B:B,'Base stats'!E:E),
      Groups!A:A,
      Groups!V:V
    ) * 150
  + MIN(12, _xlfn.XLOOKUP(B299,'Base stats'!B:B,'Base stats'!W:W))^(1/IF(_xlfn.XLOOKUP(_xlfn.XLOOKUP(B299,'Base stats'!B:B,'Base stats'!E:E),Groups!A:A,Groups!U:U)=1,100,10)) + 0.5 + _xlfn.XLOOKUP(B299,'Base stats'!B:B,'Base stats'!BW:BW),
0.05))</f>
        <v>No</v>
      </c>
      <c r="O299" s="3">
        <f>IF(Animals!AD299="No","No",
MAX(MROUND((MIN(10,_xlfn.XLOOKUP(B299,'Base stats'!B:B,'Base stats'!V:V)*IF(_xlfn.XLOOKUP(_xlfn.XLOOKUP(B299,'Base stats'!B:B,'Base stats'!E:E),Groups!A:A,Groups!O:O)=0,1,0.33))^0.4*_xlfn.XLOOKUP(B299,'Base stats'!B:B,'Base stats'!BJ:BJ)^0.73)^0.6 *_xlfn.XLOOKUP(B299,'Base stats'!B:B,'Base stats'!BX:BX),0.1),0.05)
)</f>
        <v>10.8</v>
      </c>
      <c r="P299" s="11">
        <f>IF(O299="No","No",
MROUND(_xlfn.XLOOKUP(B299,'Base stats'!B:B,'Base stats'!BJ:BJ) * 0.01 * 2 + 0.05, 0.05)
)</f>
        <v>2.8000000000000003</v>
      </c>
      <c r="Q299" s="5">
        <f>IF(O299="No","No",
MROUND(_xlfn.XLOOKUP(B299,'Base stats'!B:B,'Base stats'!BV:BV)/10000+0.01,0.01)
)</f>
        <v>0.26</v>
      </c>
      <c r="R299" s="4">
        <f>IF(O299="No","No",
MROUND(_xlfn.XLOOKUP(B299,'Base stats'!B:B,'Base stats'!BB:BB)^0.25
/((_xlfn.XLOOKUP(B299,'Base stats'!B:B,'Base stats'!BN:BN))*10)*_xlfn.XLOOKUP(_xlfn.XLOOKUP(B299,'Base stats'!B:B,'Base stats'!E:E),Groups!A:A,Groups!Z:Z)*150 + 0.5 + _xlfn.XLOOKUP(B299,'Base stats'!B:B,'Base stats'!BW:BW),
0.05))</f>
        <v>2.0500000000000003</v>
      </c>
      <c r="S299" s="3" t="str">
        <f>IF(Animals!AI299="No","No",
IF(_xlfn.XLOOKUP(B299,'Base stats'!B:B,'Base stats'!U:U)="No",
MAX(MROUND(_xlfn.XLOOKUP(B299,'Base stats'!B:B,'Base stats'!BT:BT) * _xlfn.XLOOKUP(B299,'Base stats'!B:B,'Base stats'!BP:BP)^0.9 / 21 * _xlfn.XLOOKUP(B299,'Base stats'!B:B,'Base stats'!BX:BX),0.1),0.05),
MAX(MROUND(((MIN(12,_xlfn.XLOOKUP(B299,'Base stats'!B:B,'Base stats'!U:U)))^0.4*_xlfn.XLOOKUP(B299,'Base stats'!B:B,'Base stats'!BH:BH)^0.73)^0.6 * _xlfn.XLOOKUP(B299,'Base stats'!B:B,'Base stats'!BX:BX),0.1),0.05)
))</f>
        <v>No</v>
      </c>
      <c r="T299" s="11" t="str">
        <f>IF(S299="No","No",
MROUND(_xlfn.XLOOKUP(B299,'Base stats'!B:B,'Base stats'!BH:BH) * 0.01 * 2 + 0.05, 0.05)
)</f>
        <v>No</v>
      </c>
      <c r="U299" s="5" t="str">
        <f>IF(S299="No","No",IF(_xlfn.XLOOKUP(B299,'Base stats'!B:B,'Base stats'!U:U)="No","No",
MROUND(_xlfn.XLOOKUP(B299,'Base stats'!B:B,'Base stats'!BT:BT)/10000+0.01,0.01)
))</f>
        <v>No</v>
      </c>
      <c r="V299" s="4" t="str">
        <f>IF(S299="No","No",
MROUND(_xlfn.XLOOKUP(B299,'Base stats'!B:B,'Base stats'!BF:BF)^0.25
/((_xlfn.XLOOKUP(B299,'Base stats'!B:B,'Base stats'!BO:BO))*10)*_xlfn.XLOOKUP(_xlfn.XLOOKUP(B299,'Base stats'!B:B,'Base stats'!E:E),Groups!A:A,Groups!AE:AE)*150 + 0.5 + _xlfn.XLOOKUP(B299,'Base stats'!B:B,'Base stats'!BW:BW),
0.05))</f>
        <v>No</v>
      </c>
      <c r="W299" s="8">
        <f>MROUND(_xlfn.XLOOKUP(_xlfn.XLOOKUP(B299,'Base stats'!B:B,'Base stats'!E:E),Groups!A:A,Groups!BG:BG)*_xlfn.XLOOKUP(B299,'Base stats'!B:B,'Base stats'!C:C)^-0.165,0.05)</f>
        <v>0.60000000000000009</v>
      </c>
      <c r="X299" s="1">
        <f>MROUND(_xlfn.XLOOKUP(_xlfn.XLOOKUP(B299,'Base stats'!B:B,'Base stats'!E:E),Groups!A:A,Groups!BH:BH)*_xlfn.XLOOKUP(B299,'Base stats'!B:B,'Base stats'!C:C)^0.165,0.05)</f>
        <v>0.35000000000000003</v>
      </c>
      <c r="Y299" s="8">
        <f>MROUND(_xlfn.XLOOKUP(_xlfn.XLOOKUP(B299,'Base stats'!B:B,'Base stats'!E:E),Groups!A:A,Groups!BI:BI)*_xlfn.XLOOKUP(B299,'Base stats'!B:B,'Base stats'!C:C)^0.165,0.05)</f>
        <v>0.05</v>
      </c>
      <c r="Z299" s="18">
        <f>MROUND(_xlfn.XLOOKUP(B299,'Base stats'!B:B,'Base stats'!AQ:AQ)*_xlfn.XLOOKUP(_xlfn.XLOOKUP(B299,'Base stats'!B:B,'Base stats'!E:E),Groups!A:A,Groups!H:H)/1000,IF((_xlfn.XLOOKUP(B299,'Base stats'!B:B,'Base stats'!AQ:AQ)*_xlfn.XLOOKUP(_xlfn.XLOOKUP(B299,'Base stats'!B:B,'Base stats'!E:E),Groups!A:A,Groups!H:H)/1000)&gt;1,0.05,0.01))</f>
        <v>0.06</v>
      </c>
      <c r="AA299" s="18">
        <f>MROUND((1/2)*(_xlfn.XLOOKUP(_xlfn.XLOOKUP(B299,'Base stats'!B:B,'Base stats'!E:E),Groups!A:A,Groups!H:H)*_xlfn.XLOOKUP(_xlfn.XLOOKUP(B299,'Base stats'!B:B,'Base stats'!E:E),Groups!A:A,Groups!I:I))*_xlfn.XLOOKUP(B299,'Base stats'!B:B,'Base stats'!AQ:AQ)*0.01,0.05)</f>
        <v>0.25</v>
      </c>
      <c r="AB299" s="18">
        <f>MROUND(250*(Animals!AO299+Animals!AP299),25)</f>
        <v>375</v>
      </c>
      <c r="AC299" s="18" t="str">
        <f>_xlfn.XLOOKUP(_xlfn.XLOOKUP(B299,'Base stats'!B:B,'Base stats'!E:E),Groups!A:A,Groups!BJ:BJ)</f>
        <v>Quadruped</v>
      </c>
    </row>
    <row r="300" spans="1:29" ht="16.5" thickTop="1" thickBot="1" x14ac:dyDescent="0.3">
      <c r="A300" s="16" t="str">
        <f>Animals!A300</f>
        <v>MycoidColossus</v>
      </c>
      <c r="B300" s="6" t="str">
        <f>Animals!B300</f>
        <v>Colossus mycoides</v>
      </c>
      <c r="C300" s="1" t="str">
        <f>Animals!C300</f>
        <v>&lt;li&gt;AA_MycoidColossus&lt;/li&gt;</v>
      </c>
      <c r="D300" s="47">
        <f>MIN(MIN(6,_xlfn.XLOOKUP(A300,Animals!A:A,Animals!AO:AO))*20,MAX(MROUND(_xlfn.XLOOKUP(B300,'Base stats'!B:B,'Base stats'!BS:BS) * (_xlfn.XLOOKUP(B300,'Base stats'!B:B,'Base stats'!AO:AO)*5%)^0.9 / 21,0.1),0.05))</f>
        <v>74.400000000000006</v>
      </c>
      <c r="E300" s="11">
        <f>MROUND(_xlfn.XLOOKUP(B300,'Base stats'!B:B,'Base stats'!BG:BG) * 0.01 * 2 + 0.01, 0.05)</f>
        <v>85</v>
      </c>
      <c r="F300" s="7">
        <f>MROUND(_xlfn.XLOOKUP(B300,'Base stats'!B:B,'Base stats'!BD:BD)^0.25 / (_xlfn.XLOOKUP(B300,'Base stats'!B:B,'Base stats'!BK:BK) * 10) * 150 + 0.5 + _xlfn.XLOOKUP(B300,'Base stats'!B:B,'Base stats'!BW:BW), 0.05)</f>
        <v>3.2</v>
      </c>
      <c r="G300" s="3" t="str">
        <f>IF(Animals!S300="No","No",
IF(_xlfn.XLOOKUP(B300,'Base stats'!B:B,'Base stats'!U:U)="No",
MAX(MROUND(_xlfn.XLOOKUP(B300,'Base stats'!B:B,'Base stats'!BT:BT) * _xlfn.XLOOKUP(B300,'Base stats'!B:B,'Base stats'!BP:BP)^0.9 / 21 * _xlfn.XLOOKUP(B300,'Base stats'!B:B,'Base stats'!BX:BX),0.1),0.05),
MAX(MROUND(((MIN(10,_xlfn.XLOOKUP(B300,'Base stats'!B:B,'Base stats'!U:U)))^0.4*_xlfn.XLOOKUP(B300,'Base stats'!B:B,'Base stats'!BH:BH)^0.73)^0.6 * _xlfn.XLOOKUP(B300,'Base stats'!B:B,'Base stats'!BX:BX),0.1),0.05)
))</f>
        <v>No</v>
      </c>
      <c r="H300" s="11" t="str">
        <f>IF(G300="No","No",
MROUND(_xlfn.XLOOKUP(B300,'Base stats'!B:B,'Base stats'!BH:BH) * 0.01 * 2 + 0.05, 0.05)
)</f>
        <v>No</v>
      </c>
      <c r="I300" s="11" t="str">
        <f>IF(G300="No","No",IF(_xlfn.XLOOKUP(B300,'Base stats'!B:B,'Base stats'!U:U)="No","No",
MROUND(_xlfn.XLOOKUP(B300,'Base stats'!B:B,'Base stats'!BT:BT)/10000+0.01,0.01)
))</f>
        <v>No</v>
      </c>
      <c r="J300" s="4" t="str">
        <f>IF(G300="No","No",
MROUND(_xlfn.XLOOKUP(B300,'Base stats'!B:B,'Base stats'!BE:BE)^0.25
/((_xlfn.XLOOKUP(B300,'Base stats'!B:B,'Base stats'!BL:BL))*10)*_xlfn.XLOOKUP(_xlfn.XLOOKUP(B300,'Base stats'!B:B,'Base stats'!E:E),Groups!A:A,Groups!Q:Q)*150 + 0.5 + _xlfn.XLOOKUP(B300,'Base stats'!B:B,'Base stats'!BW:BW),
0.05))</f>
        <v>No</v>
      </c>
      <c r="K300" s="3" t="str">
        <f>IF(Animals!X300="No","No",
IF(_xlfn.XLOOKUP(_xlfn.XLOOKUP(B300,'Base stats'!B:B,'Base stats'!E:E),Groups!A:A,Groups!BD:BD)=1,
MAX(MROUND(_xlfn.XLOOKUP(B300,'Base stats'!B:B,'Base stats'!BU:BU) * _xlfn.XLOOKUP(B300,'Base stats'!B:B,'Base stats'!BQ:BQ)^0.9 / 21 *_xlfn.XLOOKUP(B300,'Base stats'!B:B,'Base stats'!BX:BX),0.1),0.05),
MAX(MROUND(((MIN(10,_xlfn.XLOOKUP(B300,'Base stats'!B:B,'Base stats'!W:W)))^0.4*_xlfn.XLOOKUP(B300,'Base stats'!B:B,'Base stats'!BI:BI)^0.73)^0.6 *_xlfn.XLOOKUP(B300,'Base stats'!B:B,'Base stats'!BX:BX),0.1),0.05)
))</f>
        <v>No</v>
      </c>
      <c r="L300" s="11" t="str">
        <f>IF(K300="No","No",
MROUND(_xlfn.XLOOKUP(B300,'Base stats'!B:B,'Base stats'!BI:BI) * 0.01 *2 + 0.05, 0.05)
)</f>
        <v>No</v>
      </c>
      <c r="M300" s="5" t="str">
        <f>IF(K300="No","No",IF(_xlfn.XLOOKUP(_xlfn.XLOOKUP(B300,'Base stats'!B:B,'Base stats'!E:E),Groups!A:A,Groups!BD:BD)=1,"No",
MROUND(_xlfn.XLOOKUP(B300,'Base stats'!B:B,'Base stats'!BU:BU)/10000+0.01,0.01)
))</f>
        <v>No</v>
      </c>
      <c r="N300" s="4" t="str">
        <f>IF(K300="No","No",
MROUND(
  _xlfn.XLOOKUP(B300,'Base stats'!B:B,'Base stats'!BC:BC)^0.25
  / (_xlfn.XLOOKUP(B300,'Base stats'!B:B,'Base stats'!BM:BM) * 10)
  * _xlfn.XLOOKUP(
      _xlfn.XLOOKUP(B300,'Base stats'!B:B,'Base stats'!E:E),
      Groups!A:A,
      Groups!V:V
    ) * 150
  + MIN(12, _xlfn.XLOOKUP(B300,'Base stats'!B:B,'Base stats'!W:W))^(1/IF(_xlfn.XLOOKUP(_xlfn.XLOOKUP(B300,'Base stats'!B:B,'Base stats'!E:E),Groups!A:A,Groups!U:U)=1,100,10)) + 0.5 + _xlfn.XLOOKUP(B300,'Base stats'!B:B,'Base stats'!BW:BW),
0.05))</f>
        <v>No</v>
      </c>
      <c r="O300" s="3">
        <f>IF(Animals!AD300="No","No",
MAX(MROUND((MIN(10,_xlfn.XLOOKUP(B300,'Base stats'!B:B,'Base stats'!V:V)*IF(_xlfn.XLOOKUP(_xlfn.XLOOKUP(B300,'Base stats'!B:B,'Base stats'!E:E),Groups!A:A,Groups!O:O)=0,1,0.33))^0.4*_xlfn.XLOOKUP(B300,'Base stats'!B:B,'Base stats'!BJ:BJ)^0.73)^0.6 *_xlfn.XLOOKUP(B300,'Base stats'!B:B,'Base stats'!BX:BX),0.1),0.05)
)</f>
        <v>46.5</v>
      </c>
      <c r="P300" s="11">
        <f>IF(O300="No","No",
MROUND(_xlfn.XLOOKUP(B300,'Base stats'!B:B,'Base stats'!BJ:BJ) * 0.01 * 2 + 0.05, 0.05)
)</f>
        <v>48.1</v>
      </c>
      <c r="Q300" s="5">
        <f>IF(O300="No","No",
MROUND(_xlfn.XLOOKUP(B300,'Base stats'!B:B,'Base stats'!BV:BV)/10000+0.01,0.01)
)</f>
        <v>0.39</v>
      </c>
      <c r="R300" s="4">
        <f>IF(O300="No","No",
MROUND(_xlfn.XLOOKUP(B300,'Base stats'!B:B,'Base stats'!BB:BB)^0.25
/((_xlfn.XLOOKUP(B300,'Base stats'!B:B,'Base stats'!BN:BN))*10)*_xlfn.XLOOKUP(_xlfn.XLOOKUP(B300,'Base stats'!B:B,'Base stats'!E:E),Groups!A:A,Groups!Z:Z)*150 + 0.5 + _xlfn.XLOOKUP(B300,'Base stats'!B:B,'Base stats'!BW:BW),
0.05))</f>
        <v>2.8000000000000003</v>
      </c>
      <c r="S300" s="3" t="str">
        <f>IF(Animals!AI300="No","No",
IF(_xlfn.XLOOKUP(B300,'Base stats'!B:B,'Base stats'!U:U)="No",
MAX(MROUND(_xlfn.XLOOKUP(B300,'Base stats'!B:B,'Base stats'!BT:BT) * _xlfn.XLOOKUP(B300,'Base stats'!B:B,'Base stats'!BP:BP)^0.9 / 21 * _xlfn.XLOOKUP(B300,'Base stats'!B:B,'Base stats'!BX:BX),0.1),0.05),
MAX(MROUND(((MIN(12,_xlfn.XLOOKUP(B300,'Base stats'!B:B,'Base stats'!U:U)))^0.4*_xlfn.XLOOKUP(B300,'Base stats'!B:B,'Base stats'!BH:BH)^0.73)^0.6 * _xlfn.XLOOKUP(B300,'Base stats'!B:B,'Base stats'!BX:BX),0.1),0.05)
))</f>
        <v>No</v>
      </c>
      <c r="T300" s="11" t="str">
        <f>IF(S300="No","No",
MROUND(_xlfn.XLOOKUP(B300,'Base stats'!B:B,'Base stats'!BH:BH) * 0.01 * 2 + 0.05, 0.05)
)</f>
        <v>No</v>
      </c>
      <c r="U300" s="5" t="str">
        <f>IF(S300="No","No",IF(_xlfn.XLOOKUP(B300,'Base stats'!B:B,'Base stats'!U:U)="No","No",
MROUND(_xlfn.XLOOKUP(B300,'Base stats'!B:B,'Base stats'!BT:BT)/10000+0.01,0.01)
))</f>
        <v>No</v>
      </c>
      <c r="V300" s="4" t="str">
        <f>IF(S300="No","No",
MROUND(_xlfn.XLOOKUP(B300,'Base stats'!B:B,'Base stats'!BF:BF)^0.25
/((_xlfn.XLOOKUP(B300,'Base stats'!B:B,'Base stats'!BO:BO))*10)*_xlfn.XLOOKUP(_xlfn.XLOOKUP(B300,'Base stats'!B:B,'Base stats'!E:E),Groups!A:A,Groups!AE:AE)*150 + 0.5 + _xlfn.XLOOKUP(B300,'Base stats'!B:B,'Base stats'!BW:BW),
0.05))</f>
        <v>No</v>
      </c>
      <c r="W300" s="8">
        <f>MROUND(_xlfn.XLOOKUP(_xlfn.XLOOKUP(B300,'Base stats'!B:B,'Base stats'!E:E),Groups!A:A,Groups!BG:BG)*_xlfn.XLOOKUP(B300,'Base stats'!B:B,'Base stats'!C:C)^-0.165,0.05)</f>
        <v>0.05</v>
      </c>
      <c r="X300" s="1">
        <f>MROUND(_xlfn.XLOOKUP(_xlfn.XLOOKUP(B300,'Base stats'!B:B,'Base stats'!E:E),Groups!A:A,Groups!BH:BH)*_xlfn.XLOOKUP(B300,'Base stats'!B:B,'Base stats'!C:C)^0.165,0.05)</f>
        <v>0.70000000000000007</v>
      </c>
      <c r="Y300" s="8">
        <f>MROUND(_xlfn.XLOOKUP(_xlfn.XLOOKUP(B300,'Base stats'!B:B,'Base stats'!E:E),Groups!A:A,Groups!BI:BI)*_xlfn.XLOOKUP(B300,'Base stats'!B:B,'Base stats'!C:C)^0.165,0.05)</f>
        <v>0.1</v>
      </c>
      <c r="Z300" s="18">
        <f>MROUND(_xlfn.XLOOKUP(B300,'Base stats'!B:B,'Base stats'!AQ:AQ)*_xlfn.XLOOKUP(_xlfn.XLOOKUP(B300,'Base stats'!B:B,'Base stats'!E:E),Groups!A:A,Groups!H:H)/1000,IF((_xlfn.XLOOKUP(B300,'Base stats'!B:B,'Base stats'!AQ:AQ)*_xlfn.XLOOKUP(_xlfn.XLOOKUP(B300,'Base stats'!B:B,'Base stats'!E:E),Groups!A:A,Groups!H:H)/1000)&gt;1,0.05,0.01))</f>
        <v>10.600000000000001</v>
      </c>
      <c r="AA300" s="18">
        <f>MROUND((1/2)*(_xlfn.XLOOKUP(_xlfn.XLOOKUP(B300,'Base stats'!B:B,'Base stats'!E:E),Groups!A:A,Groups!H:H)*_xlfn.XLOOKUP(_xlfn.XLOOKUP(B300,'Base stats'!B:B,'Base stats'!E:E),Groups!A:A,Groups!I:I))*_xlfn.XLOOKUP(B300,'Base stats'!B:B,'Base stats'!AQ:AQ)*0.01,0.05)</f>
        <v>15.950000000000001</v>
      </c>
      <c r="AB300" s="18">
        <f>MROUND(250*(Animals!AO300+Animals!AP300),25)</f>
        <v>4075</v>
      </c>
      <c r="AC300" s="18" t="str">
        <f>_xlfn.XLOOKUP(_xlfn.XLOOKUP(B300,'Base stats'!B:B,'Base stats'!E:E),Groups!A:A,Groups!BJ:BJ)</f>
        <v>Quadruped</v>
      </c>
    </row>
    <row r="301" spans="1:29" ht="16.5" thickTop="1" thickBot="1" x14ac:dyDescent="0.3">
      <c r="A301" s="16" t="str">
        <f>Animals!A301</f>
        <v>Needlepost</v>
      </c>
      <c r="B301" s="6" t="str">
        <f>Animals!B301</f>
        <v>Echinopsios fixus</v>
      </c>
      <c r="C301" s="1" t="str">
        <f>Animals!C301</f>
        <v>&lt;li&gt;AA_Needlepost&lt;/li&gt;</v>
      </c>
      <c r="D301" s="47">
        <f>MIN(MIN(6,_xlfn.XLOOKUP(A301,Animals!A:A,Animals!AO:AO))*20,MAX(MROUND(_xlfn.XLOOKUP(B301,'Base stats'!B:B,'Base stats'!BS:BS) * (_xlfn.XLOOKUP(B301,'Base stats'!B:B,'Base stats'!AO:AO)*5%)^0.9 / 21,0.1),0.05))</f>
        <v>0.60000000000000009</v>
      </c>
      <c r="E301" s="11">
        <f>MROUND(_xlfn.XLOOKUP(B301,'Base stats'!B:B,'Base stats'!BG:BG) * 0.01 * 2 + 0.01, 0.05)</f>
        <v>0.5</v>
      </c>
      <c r="F301" s="7">
        <f>MROUND(_xlfn.XLOOKUP(B301,'Base stats'!B:B,'Base stats'!BD:BD)^0.25 / (_xlfn.XLOOKUP(B301,'Base stats'!B:B,'Base stats'!BK:BK) * 10) * 150 + 0.5 + _xlfn.XLOOKUP(B301,'Base stats'!B:B,'Base stats'!BW:BW), 0.05)</f>
        <v>1.9500000000000002</v>
      </c>
      <c r="G301" s="3" t="str">
        <f>IF(Animals!S301="No","No",
IF(_xlfn.XLOOKUP(B301,'Base stats'!B:B,'Base stats'!U:U)="No",
MAX(MROUND(_xlfn.XLOOKUP(B301,'Base stats'!B:B,'Base stats'!BT:BT) * _xlfn.XLOOKUP(B301,'Base stats'!B:B,'Base stats'!BP:BP)^0.9 / 21 * _xlfn.XLOOKUP(B301,'Base stats'!B:B,'Base stats'!BX:BX),0.1),0.05),
MAX(MROUND(((MIN(10,_xlfn.XLOOKUP(B301,'Base stats'!B:B,'Base stats'!U:U)))^0.4*_xlfn.XLOOKUP(B301,'Base stats'!B:B,'Base stats'!BH:BH)^0.73)^0.6 * _xlfn.XLOOKUP(B301,'Base stats'!B:B,'Base stats'!BX:BX),0.1),0.05)
))</f>
        <v>No</v>
      </c>
      <c r="H301" s="11" t="str">
        <f>IF(G301="No","No",
MROUND(_xlfn.XLOOKUP(B301,'Base stats'!B:B,'Base stats'!BH:BH) * 0.01 * 2 + 0.05, 0.05)
)</f>
        <v>No</v>
      </c>
      <c r="I301" s="11" t="str">
        <f>IF(G301="No","No",IF(_xlfn.XLOOKUP(B301,'Base stats'!B:B,'Base stats'!U:U)="No","No",
MROUND(_xlfn.XLOOKUP(B301,'Base stats'!B:B,'Base stats'!BT:BT)/10000+0.01,0.01)
))</f>
        <v>No</v>
      </c>
      <c r="J301" s="4" t="str">
        <f>IF(G301="No","No",
MROUND(_xlfn.XLOOKUP(B301,'Base stats'!B:B,'Base stats'!BE:BE)^0.25
/((_xlfn.XLOOKUP(B301,'Base stats'!B:B,'Base stats'!BL:BL))*10)*_xlfn.XLOOKUP(_xlfn.XLOOKUP(B301,'Base stats'!B:B,'Base stats'!E:E),Groups!A:A,Groups!Q:Q)*150 + 0.5 + _xlfn.XLOOKUP(B301,'Base stats'!B:B,'Base stats'!BW:BW),
0.05))</f>
        <v>No</v>
      </c>
      <c r="K301" s="3" t="str">
        <f>IF(Animals!X301="No","No",
IF(_xlfn.XLOOKUP(_xlfn.XLOOKUP(B301,'Base stats'!B:B,'Base stats'!E:E),Groups!A:A,Groups!BD:BD)=1,
MAX(MROUND(_xlfn.XLOOKUP(B301,'Base stats'!B:B,'Base stats'!BU:BU) * _xlfn.XLOOKUP(B301,'Base stats'!B:B,'Base stats'!BQ:BQ)^0.9 / 21 *_xlfn.XLOOKUP(B301,'Base stats'!B:B,'Base stats'!BX:BX),0.1),0.05),
MAX(MROUND(((MIN(10,_xlfn.XLOOKUP(B301,'Base stats'!B:B,'Base stats'!W:W)))^0.4*_xlfn.XLOOKUP(B301,'Base stats'!B:B,'Base stats'!BI:BI)^0.73)^0.6 *_xlfn.XLOOKUP(B301,'Base stats'!B:B,'Base stats'!BX:BX),0.1),0.05)
))</f>
        <v>No</v>
      </c>
      <c r="L301" s="11" t="str">
        <f>IF(K301="No","No",
MROUND(_xlfn.XLOOKUP(B301,'Base stats'!B:B,'Base stats'!BI:BI) * 0.01 *2 + 0.05, 0.05)
)</f>
        <v>No</v>
      </c>
      <c r="M301" s="5" t="str">
        <f>IF(K301="No","No",IF(_xlfn.XLOOKUP(_xlfn.XLOOKUP(B301,'Base stats'!B:B,'Base stats'!E:E),Groups!A:A,Groups!BD:BD)=1,"No",
MROUND(_xlfn.XLOOKUP(B301,'Base stats'!B:B,'Base stats'!BU:BU)/10000+0.01,0.01)
))</f>
        <v>No</v>
      </c>
      <c r="N301" s="4" t="str">
        <f>IF(K301="No","No",
MROUND(
  _xlfn.XLOOKUP(B301,'Base stats'!B:B,'Base stats'!BC:BC)^0.25
  / (_xlfn.XLOOKUP(B301,'Base stats'!B:B,'Base stats'!BM:BM) * 10)
  * _xlfn.XLOOKUP(
      _xlfn.XLOOKUP(B301,'Base stats'!B:B,'Base stats'!E:E),
      Groups!A:A,
      Groups!V:V
    ) * 150
  + MIN(12, _xlfn.XLOOKUP(B301,'Base stats'!B:B,'Base stats'!W:W))^(1/IF(_xlfn.XLOOKUP(_xlfn.XLOOKUP(B301,'Base stats'!B:B,'Base stats'!E:E),Groups!A:A,Groups!U:U)=1,100,10)) + 0.5 + _xlfn.XLOOKUP(B301,'Base stats'!B:B,'Base stats'!BW:BW),
0.05))</f>
        <v>No</v>
      </c>
      <c r="O301" s="3">
        <f>IF(Animals!AD301="No","No",
MAX(MROUND((MIN(10,_xlfn.XLOOKUP(B301,'Base stats'!B:B,'Base stats'!V:V)*IF(_xlfn.XLOOKUP(_xlfn.XLOOKUP(B301,'Base stats'!B:B,'Base stats'!E:E),Groups!A:A,Groups!O:O)=0,1,0.33))^0.4*_xlfn.XLOOKUP(B301,'Base stats'!B:B,'Base stats'!BJ:BJ)^0.73)^0.6 *_xlfn.XLOOKUP(B301,'Base stats'!B:B,'Base stats'!BX:BX),0.1),0.05)
)</f>
        <v>15.5</v>
      </c>
      <c r="P301" s="11">
        <f>IF(O301="No","No",
MROUND(_xlfn.XLOOKUP(B301,'Base stats'!B:B,'Base stats'!BJ:BJ) * 0.01 * 2 + 0.05, 0.05)
)</f>
        <v>4.4000000000000004</v>
      </c>
      <c r="Q301" s="5">
        <f>IF(O301="No","No",
MROUND(_xlfn.XLOOKUP(B301,'Base stats'!B:B,'Base stats'!BV:BV)/10000+0.01,0.01)
)</f>
        <v>0.36</v>
      </c>
      <c r="R301" s="4">
        <f>IF(O301="No","No",
MROUND(_xlfn.XLOOKUP(B301,'Base stats'!B:B,'Base stats'!BB:BB)^0.25
/((_xlfn.XLOOKUP(B301,'Base stats'!B:B,'Base stats'!BN:BN))*10)*_xlfn.XLOOKUP(_xlfn.XLOOKUP(B301,'Base stats'!B:B,'Base stats'!E:E),Groups!A:A,Groups!Z:Z)*150 + 0.5 + _xlfn.XLOOKUP(B301,'Base stats'!B:B,'Base stats'!BW:BW),
0.05))</f>
        <v>1.35</v>
      </c>
      <c r="S301" s="3">
        <f>IF(Animals!AI301="No","No",
IF(_xlfn.XLOOKUP(B301,'Base stats'!B:B,'Base stats'!U:U)="No",
MAX(MROUND(_xlfn.XLOOKUP(B301,'Base stats'!B:B,'Base stats'!BT:BT) * _xlfn.XLOOKUP(B301,'Base stats'!B:B,'Base stats'!BP:BP)^0.9 / 21 * _xlfn.XLOOKUP(B301,'Base stats'!B:B,'Base stats'!BX:BX),0.1),0.05),
MAX(MROUND(((MIN(12,_xlfn.XLOOKUP(B301,'Base stats'!B:B,'Base stats'!U:U)))^0.4*_xlfn.XLOOKUP(B301,'Base stats'!B:B,'Base stats'!BH:BH)^0.73)^0.6 * _xlfn.XLOOKUP(B301,'Base stats'!B:B,'Base stats'!BX:BX),0.1),0.05)
))</f>
        <v>1.3</v>
      </c>
      <c r="T301" s="11">
        <f>IF(S301="No","No",
MROUND(_xlfn.XLOOKUP(B301,'Base stats'!B:B,'Base stats'!BH:BH) * 0.01 * 2 + 0.05, 0.05)
)</f>
        <v>0.65</v>
      </c>
      <c r="U301" s="5" t="str">
        <f>IF(S301="No","No",IF(_xlfn.XLOOKUP(B301,'Base stats'!B:B,'Base stats'!U:U)="No","No",
MROUND(_xlfn.XLOOKUP(B301,'Base stats'!B:B,'Base stats'!BT:BT)/10000+0.01,0.01)
))</f>
        <v>No</v>
      </c>
      <c r="V301" s="4">
        <f>IF(S301="No","No",
MROUND(_xlfn.XLOOKUP(B301,'Base stats'!B:B,'Base stats'!BF:BF)^0.25
/((_xlfn.XLOOKUP(B301,'Base stats'!B:B,'Base stats'!BO:BO))*10)*_xlfn.XLOOKUP(_xlfn.XLOOKUP(B301,'Base stats'!B:B,'Base stats'!E:E),Groups!A:A,Groups!AE:AE)*150 + 0.5 + _xlfn.XLOOKUP(B301,'Base stats'!B:B,'Base stats'!BW:BW),
0.05))</f>
        <v>1.9500000000000002</v>
      </c>
      <c r="W301" s="8">
        <f>MROUND(_xlfn.XLOOKUP(_xlfn.XLOOKUP(B301,'Base stats'!B:B,'Base stats'!E:E),Groups!A:A,Groups!BG:BG)*_xlfn.XLOOKUP(B301,'Base stats'!B:B,'Base stats'!C:C)^-0.165,0.05)</f>
        <v>0.15000000000000002</v>
      </c>
      <c r="X301" s="1">
        <f>MROUND(_xlfn.XLOOKUP(_xlfn.XLOOKUP(B301,'Base stats'!B:B,'Base stats'!E:E),Groups!A:A,Groups!BH:BH)*_xlfn.XLOOKUP(B301,'Base stats'!B:B,'Base stats'!C:C)^0.165,0.05)</f>
        <v>0.2</v>
      </c>
      <c r="Y301" s="8">
        <f>MROUND(_xlfn.XLOOKUP(_xlfn.XLOOKUP(B301,'Base stats'!B:B,'Base stats'!E:E),Groups!A:A,Groups!BI:BI)*_xlfn.XLOOKUP(B301,'Base stats'!B:B,'Base stats'!C:C)^0.165,0.05)</f>
        <v>0.05</v>
      </c>
      <c r="Z301" s="18">
        <f>MROUND(_xlfn.XLOOKUP(B301,'Base stats'!B:B,'Base stats'!AQ:AQ)*_xlfn.XLOOKUP(_xlfn.XLOOKUP(B301,'Base stats'!B:B,'Base stats'!E:E),Groups!A:A,Groups!H:H)/1000,IF((_xlfn.XLOOKUP(B301,'Base stats'!B:B,'Base stats'!AQ:AQ)*_xlfn.XLOOKUP(_xlfn.XLOOKUP(B301,'Base stats'!B:B,'Base stats'!E:E),Groups!A:A,Groups!H:H)/1000)&gt;1,0.05,0.01))</f>
        <v>2.3000000000000003</v>
      </c>
      <c r="AA301" s="18">
        <f>MROUND((1/2)*(_xlfn.XLOOKUP(_xlfn.XLOOKUP(B301,'Base stats'!B:B,'Base stats'!E:E),Groups!A:A,Groups!H:H)*_xlfn.XLOOKUP(_xlfn.XLOOKUP(B301,'Base stats'!B:B,'Base stats'!E:E),Groups!A:A,Groups!I:I))*_xlfn.XLOOKUP(B301,'Base stats'!B:B,'Base stats'!AQ:AQ)*0.01,0.05)</f>
        <v>22</v>
      </c>
      <c r="AB301" s="18">
        <f>MROUND(250*(Animals!AO301+Animals!AP301),25)</f>
        <v>375</v>
      </c>
      <c r="AC301" s="18" t="str">
        <f>_xlfn.XLOOKUP(_xlfn.XLOOKUP(B301,'Base stats'!B:B,'Base stats'!E:E),Groups!A:A,Groups!BJ:BJ)</f>
        <v>Birdlike</v>
      </c>
    </row>
    <row r="302" spans="1:29" ht="16.5" thickTop="1" thickBot="1" x14ac:dyDescent="0.3">
      <c r="A302" s="16" t="str">
        <f>Animals!A302</f>
        <v>Needleroll</v>
      </c>
      <c r="B302" s="6" t="str">
        <f>Animals!B302</f>
        <v>Echinopsios volans</v>
      </c>
      <c r="C302" s="1" t="str">
        <f>Animals!C302</f>
        <v>&lt;li&gt;AA_Needleroll&lt;/li&gt;</v>
      </c>
      <c r="D302" s="47">
        <f>MIN(MIN(6,_xlfn.XLOOKUP(A302,Animals!A:A,Animals!AO:AO))*20,MAX(MROUND(_xlfn.XLOOKUP(B302,'Base stats'!B:B,'Base stats'!BS:BS) * (_xlfn.XLOOKUP(B302,'Base stats'!B:B,'Base stats'!AO:AO)*5%)^0.9 / 21,0.1),0.05))</f>
        <v>0.60000000000000009</v>
      </c>
      <c r="E302" s="11">
        <f>MROUND(_xlfn.XLOOKUP(B302,'Base stats'!B:B,'Base stats'!BG:BG) * 0.01 * 2 + 0.01, 0.05)</f>
        <v>0.5</v>
      </c>
      <c r="F302" s="7">
        <f>MROUND(_xlfn.XLOOKUP(B302,'Base stats'!B:B,'Base stats'!BD:BD)^0.25 / (_xlfn.XLOOKUP(B302,'Base stats'!B:B,'Base stats'!BK:BK) * 10) * 150 + 0.5 + _xlfn.XLOOKUP(B302,'Base stats'!B:B,'Base stats'!BW:BW), 0.05)</f>
        <v>1.9500000000000002</v>
      </c>
      <c r="G302" s="3" t="str">
        <f>IF(Animals!S302="No","No",
IF(_xlfn.XLOOKUP(B302,'Base stats'!B:B,'Base stats'!U:U)="No",
MAX(MROUND(_xlfn.XLOOKUP(B302,'Base stats'!B:B,'Base stats'!BT:BT) * _xlfn.XLOOKUP(B302,'Base stats'!B:B,'Base stats'!BP:BP)^0.9 / 21 * _xlfn.XLOOKUP(B302,'Base stats'!B:B,'Base stats'!BX:BX),0.1),0.05),
MAX(MROUND(((MIN(10,_xlfn.XLOOKUP(B302,'Base stats'!B:B,'Base stats'!U:U)))^0.4*_xlfn.XLOOKUP(B302,'Base stats'!B:B,'Base stats'!BH:BH)^0.73)^0.6 * _xlfn.XLOOKUP(B302,'Base stats'!B:B,'Base stats'!BX:BX),0.1),0.05)
))</f>
        <v>No</v>
      </c>
      <c r="H302" s="11" t="str">
        <f>IF(G302="No","No",
MROUND(_xlfn.XLOOKUP(B302,'Base stats'!B:B,'Base stats'!BH:BH) * 0.01 * 2 + 0.05, 0.05)
)</f>
        <v>No</v>
      </c>
      <c r="I302" s="11" t="str">
        <f>IF(G302="No","No",IF(_xlfn.XLOOKUP(B302,'Base stats'!B:B,'Base stats'!U:U)="No","No",
MROUND(_xlfn.XLOOKUP(B302,'Base stats'!B:B,'Base stats'!BT:BT)/10000+0.01,0.01)
))</f>
        <v>No</v>
      </c>
      <c r="J302" s="4" t="str">
        <f>IF(G302="No","No",
MROUND(_xlfn.XLOOKUP(B302,'Base stats'!B:B,'Base stats'!BE:BE)^0.25
/((_xlfn.XLOOKUP(B302,'Base stats'!B:B,'Base stats'!BL:BL))*10)*_xlfn.XLOOKUP(_xlfn.XLOOKUP(B302,'Base stats'!B:B,'Base stats'!E:E),Groups!A:A,Groups!Q:Q)*150 + 0.5 + _xlfn.XLOOKUP(B302,'Base stats'!B:B,'Base stats'!BW:BW),
0.05))</f>
        <v>No</v>
      </c>
      <c r="K302" s="3" t="str">
        <f>IF(Animals!X302="No","No",
IF(_xlfn.XLOOKUP(_xlfn.XLOOKUP(B302,'Base stats'!B:B,'Base stats'!E:E),Groups!A:A,Groups!BD:BD)=1,
MAX(MROUND(_xlfn.XLOOKUP(B302,'Base stats'!B:B,'Base stats'!BU:BU) * _xlfn.XLOOKUP(B302,'Base stats'!B:B,'Base stats'!BQ:BQ)^0.9 / 21 *_xlfn.XLOOKUP(B302,'Base stats'!B:B,'Base stats'!BX:BX),0.1),0.05),
MAX(MROUND(((MIN(10,_xlfn.XLOOKUP(B302,'Base stats'!B:B,'Base stats'!W:W)))^0.4*_xlfn.XLOOKUP(B302,'Base stats'!B:B,'Base stats'!BI:BI)^0.73)^0.6 *_xlfn.XLOOKUP(B302,'Base stats'!B:B,'Base stats'!BX:BX),0.1),0.05)
))</f>
        <v>No</v>
      </c>
      <c r="L302" s="11" t="str">
        <f>IF(K302="No","No",
MROUND(_xlfn.XLOOKUP(B302,'Base stats'!B:B,'Base stats'!BI:BI) * 0.01 *2 + 0.05, 0.05)
)</f>
        <v>No</v>
      </c>
      <c r="M302" s="5" t="str">
        <f>IF(K302="No","No",IF(_xlfn.XLOOKUP(_xlfn.XLOOKUP(B302,'Base stats'!B:B,'Base stats'!E:E),Groups!A:A,Groups!BD:BD)=1,"No",
MROUND(_xlfn.XLOOKUP(B302,'Base stats'!B:B,'Base stats'!BU:BU)/10000+0.01,0.01)
))</f>
        <v>No</v>
      </c>
      <c r="N302" s="4" t="str">
        <f>IF(K302="No","No",
MROUND(
  _xlfn.XLOOKUP(B302,'Base stats'!B:B,'Base stats'!BC:BC)^0.25
  / (_xlfn.XLOOKUP(B302,'Base stats'!B:B,'Base stats'!BM:BM) * 10)
  * _xlfn.XLOOKUP(
      _xlfn.XLOOKUP(B302,'Base stats'!B:B,'Base stats'!E:E),
      Groups!A:A,
      Groups!V:V
    ) * 150
  + MIN(12, _xlfn.XLOOKUP(B302,'Base stats'!B:B,'Base stats'!W:W))^(1/IF(_xlfn.XLOOKUP(_xlfn.XLOOKUP(B302,'Base stats'!B:B,'Base stats'!E:E),Groups!A:A,Groups!U:U)=1,100,10)) + 0.5 + _xlfn.XLOOKUP(B302,'Base stats'!B:B,'Base stats'!BW:BW),
0.05))</f>
        <v>No</v>
      </c>
      <c r="O302" s="3">
        <f>IF(Animals!AD302="No","No",
MAX(MROUND((MIN(10,_xlfn.XLOOKUP(B302,'Base stats'!B:B,'Base stats'!V:V)*IF(_xlfn.XLOOKUP(_xlfn.XLOOKUP(B302,'Base stats'!B:B,'Base stats'!E:E),Groups!A:A,Groups!O:O)=0,1,0.33))^0.4*_xlfn.XLOOKUP(B302,'Base stats'!B:B,'Base stats'!BJ:BJ)^0.73)^0.6 *_xlfn.XLOOKUP(B302,'Base stats'!B:B,'Base stats'!BX:BX),0.1),0.05)
)</f>
        <v>15.5</v>
      </c>
      <c r="P302" s="11">
        <f>IF(O302="No","No",
MROUND(_xlfn.XLOOKUP(B302,'Base stats'!B:B,'Base stats'!BJ:BJ) * 0.01 * 2 + 0.05, 0.05)
)</f>
        <v>4.4000000000000004</v>
      </c>
      <c r="Q302" s="5">
        <f>IF(O302="No","No",
MROUND(_xlfn.XLOOKUP(B302,'Base stats'!B:B,'Base stats'!BV:BV)/10000+0.01,0.01)
)</f>
        <v>0.36</v>
      </c>
      <c r="R302" s="4">
        <f>IF(O302="No","No",
MROUND(_xlfn.XLOOKUP(B302,'Base stats'!B:B,'Base stats'!BB:BB)^0.25
/((_xlfn.XLOOKUP(B302,'Base stats'!B:B,'Base stats'!BN:BN))*10)*_xlfn.XLOOKUP(_xlfn.XLOOKUP(B302,'Base stats'!B:B,'Base stats'!E:E),Groups!A:A,Groups!Z:Z)*150 + 0.5 + _xlfn.XLOOKUP(B302,'Base stats'!B:B,'Base stats'!BW:BW),
0.05))</f>
        <v>1.35</v>
      </c>
      <c r="S302" s="3">
        <f>IF(Animals!AI302="No","No",
IF(_xlfn.XLOOKUP(B302,'Base stats'!B:B,'Base stats'!U:U)="No",
MAX(MROUND(_xlfn.XLOOKUP(B302,'Base stats'!B:B,'Base stats'!BT:BT) * _xlfn.XLOOKUP(B302,'Base stats'!B:B,'Base stats'!BP:BP)^0.9 / 21 * _xlfn.XLOOKUP(B302,'Base stats'!B:B,'Base stats'!BX:BX),0.1),0.05),
MAX(MROUND(((MIN(12,_xlfn.XLOOKUP(B302,'Base stats'!B:B,'Base stats'!U:U)))^0.4*_xlfn.XLOOKUP(B302,'Base stats'!B:B,'Base stats'!BH:BH)^0.73)^0.6 * _xlfn.XLOOKUP(B302,'Base stats'!B:B,'Base stats'!BX:BX),0.1),0.05)
))</f>
        <v>1.3</v>
      </c>
      <c r="T302" s="11">
        <f>IF(S302="No","No",
MROUND(_xlfn.XLOOKUP(B302,'Base stats'!B:B,'Base stats'!BH:BH) * 0.01 * 2 + 0.05, 0.05)
)</f>
        <v>0.65</v>
      </c>
      <c r="U302" s="5" t="str">
        <f>IF(S302="No","No",IF(_xlfn.XLOOKUP(B302,'Base stats'!B:B,'Base stats'!U:U)="No","No",
MROUND(_xlfn.XLOOKUP(B302,'Base stats'!B:B,'Base stats'!BT:BT)/10000+0.01,0.01)
))</f>
        <v>No</v>
      </c>
      <c r="V302" s="4">
        <f>IF(S302="No","No",
MROUND(_xlfn.XLOOKUP(B302,'Base stats'!B:B,'Base stats'!BF:BF)^0.25
/((_xlfn.XLOOKUP(B302,'Base stats'!B:B,'Base stats'!BO:BO))*10)*_xlfn.XLOOKUP(_xlfn.XLOOKUP(B302,'Base stats'!B:B,'Base stats'!E:E),Groups!A:A,Groups!AE:AE)*150 + 0.5 + _xlfn.XLOOKUP(B302,'Base stats'!B:B,'Base stats'!BW:BW),
0.05))</f>
        <v>1.9500000000000002</v>
      </c>
      <c r="W302" s="8">
        <f>MROUND(_xlfn.XLOOKUP(_xlfn.XLOOKUP(B302,'Base stats'!B:B,'Base stats'!E:E),Groups!A:A,Groups!BG:BG)*_xlfn.XLOOKUP(B302,'Base stats'!B:B,'Base stats'!C:C)^-0.165,0.05)</f>
        <v>0.15000000000000002</v>
      </c>
      <c r="X302" s="1">
        <f>MROUND(_xlfn.XLOOKUP(_xlfn.XLOOKUP(B302,'Base stats'!B:B,'Base stats'!E:E),Groups!A:A,Groups!BH:BH)*_xlfn.XLOOKUP(B302,'Base stats'!B:B,'Base stats'!C:C)^0.165,0.05)</f>
        <v>0.2</v>
      </c>
      <c r="Y302" s="8">
        <f>MROUND(_xlfn.XLOOKUP(_xlfn.XLOOKUP(B302,'Base stats'!B:B,'Base stats'!E:E),Groups!A:A,Groups!BI:BI)*_xlfn.XLOOKUP(B302,'Base stats'!B:B,'Base stats'!C:C)^0.165,0.05)</f>
        <v>0.05</v>
      </c>
      <c r="Z302" s="18">
        <f>MROUND(_xlfn.XLOOKUP(B302,'Base stats'!B:B,'Base stats'!AQ:AQ)*_xlfn.XLOOKUP(_xlfn.XLOOKUP(B302,'Base stats'!B:B,'Base stats'!E:E),Groups!A:A,Groups!H:H)/1000,IF((_xlfn.XLOOKUP(B302,'Base stats'!B:B,'Base stats'!AQ:AQ)*_xlfn.XLOOKUP(_xlfn.XLOOKUP(B302,'Base stats'!B:B,'Base stats'!E:E),Groups!A:A,Groups!H:H)/1000)&gt;1,0.05,0.01))</f>
        <v>2.3000000000000003</v>
      </c>
      <c r="AA302" s="18">
        <f>MROUND((1/2)*(_xlfn.XLOOKUP(_xlfn.XLOOKUP(B302,'Base stats'!B:B,'Base stats'!E:E),Groups!A:A,Groups!H:H)*_xlfn.XLOOKUP(_xlfn.XLOOKUP(B302,'Base stats'!B:B,'Base stats'!E:E),Groups!A:A,Groups!I:I))*_xlfn.XLOOKUP(B302,'Base stats'!B:B,'Base stats'!AQ:AQ)*0.01,0.05)</f>
        <v>22</v>
      </c>
      <c r="AB302" s="18">
        <f>MROUND(250*(Animals!AO302+Animals!AP302),25)</f>
        <v>375</v>
      </c>
      <c r="AC302" s="18" t="str">
        <f>_xlfn.XLOOKUP(_xlfn.XLOOKUP(B302,'Base stats'!B:B,'Base stats'!E:E),Groups!A:A,Groups!BJ:BJ)</f>
        <v>Birdlike</v>
      </c>
    </row>
    <row r="303" spans="1:29" ht="16.5" thickTop="1" thickBot="1" x14ac:dyDescent="0.3">
      <c r="A303" s="16" t="str">
        <f>Animals!A303</f>
        <v>NightAve</v>
      </c>
      <c r="B303" s="6" t="str">
        <f>Animals!B303</f>
        <v>Avis nocturnus</v>
      </c>
      <c r="C303" s="1" t="str">
        <f>Animals!C303</f>
        <v>&lt;li&gt;AA_NightAve&lt;/li&gt;</v>
      </c>
      <c r="D303" s="47">
        <f>MIN(MIN(6,_xlfn.XLOOKUP(A303,Animals!A:A,Animals!AO:AO))*20,MAX(MROUND(_xlfn.XLOOKUP(B303,'Base stats'!B:B,'Base stats'!BS:BS) * (_xlfn.XLOOKUP(B303,'Base stats'!B:B,'Base stats'!AO:AO)*5%)^0.9 / 21,0.1),0.05))</f>
        <v>5.5</v>
      </c>
      <c r="E303" s="11">
        <f>MROUND(_xlfn.XLOOKUP(B303,'Base stats'!B:B,'Base stats'!BG:BG) * 0.01 * 2 + 0.01, 0.05)</f>
        <v>4.8500000000000005</v>
      </c>
      <c r="F303" s="7">
        <f>MROUND(_xlfn.XLOOKUP(B303,'Base stats'!B:B,'Base stats'!BD:BD)^0.25 / (_xlfn.XLOOKUP(B303,'Base stats'!B:B,'Base stats'!BK:BK) * 10) * 150 + 0.5 + _xlfn.XLOOKUP(B303,'Base stats'!B:B,'Base stats'!BW:BW), 0.05)</f>
        <v>1.7000000000000002</v>
      </c>
      <c r="G303" s="3">
        <f>IF(Animals!S303="No","No",
IF(_xlfn.XLOOKUP(B303,'Base stats'!B:B,'Base stats'!U:U)="No",
MAX(MROUND(_xlfn.XLOOKUP(B303,'Base stats'!B:B,'Base stats'!BT:BT) * _xlfn.XLOOKUP(B303,'Base stats'!B:B,'Base stats'!BP:BP)^0.9 / 21 * _xlfn.XLOOKUP(B303,'Base stats'!B:B,'Base stats'!BX:BX),0.1),0.05),
MAX(MROUND(((MIN(10,_xlfn.XLOOKUP(B303,'Base stats'!B:B,'Base stats'!U:U)))^0.4*_xlfn.XLOOKUP(B303,'Base stats'!B:B,'Base stats'!BH:BH)^0.73)^0.6 * _xlfn.XLOOKUP(B303,'Base stats'!B:B,'Base stats'!BX:BX),0.1),0.05)
))</f>
        <v>20.900000000000002</v>
      </c>
      <c r="H303" s="11">
        <f>IF(G303="No","No",
MROUND(_xlfn.XLOOKUP(B303,'Base stats'!B:B,'Base stats'!BH:BH) * 0.01 * 2 + 0.05, 0.05)
)</f>
        <v>5.95</v>
      </c>
      <c r="I303" s="11">
        <f>IF(G303="No","No",IF(_xlfn.XLOOKUP(B303,'Base stats'!B:B,'Base stats'!U:U)="No","No",
MROUND(_xlfn.XLOOKUP(B303,'Base stats'!B:B,'Base stats'!BT:BT)/10000+0.01,0.01)
))</f>
        <v>0.24</v>
      </c>
      <c r="J303" s="4">
        <f>IF(G303="No","No",
MROUND(_xlfn.XLOOKUP(B303,'Base stats'!B:B,'Base stats'!BE:BE)^0.25
/((_xlfn.XLOOKUP(B303,'Base stats'!B:B,'Base stats'!BL:BL))*10)*_xlfn.XLOOKUP(_xlfn.XLOOKUP(B303,'Base stats'!B:B,'Base stats'!E:E),Groups!A:A,Groups!Q:Q)*150 + 0.5 + _xlfn.XLOOKUP(B303,'Base stats'!B:B,'Base stats'!BW:BW),
0.05))</f>
        <v>3.2</v>
      </c>
      <c r="K303" s="3" t="str">
        <f>IF(Animals!X303="No","No",
IF(_xlfn.XLOOKUP(_xlfn.XLOOKUP(B303,'Base stats'!B:B,'Base stats'!E:E),Groups!A:A,Groups!BD:BD)=1,
MAX(MROUND(_xlfn.XLOOKUP(B303,'Base stats'!B:B,'Base stats'!BU:BU) * _xlfn.XLOOKUP(B303,'Base stats'!B:B,'Base stats'!BQ:BQ)^0.9 / 21 *_xlfn.XLOOKUP(B303,'Base stats'!B:B,'Base stats'!BX:BX),0.1),0.05),
MAX(MROUND(((MIN(10,_xlfn.XLOOKUP(B303,'Base stats'!B:B,'Base stats'!W:W)))^0.4*_xlfn.XLOOKUP(B303,'Base stats'!B:B,'Base stats'!BI:BI)^0.73)^0.6 *_xlfn.XLOOKUP(B303,'Base stats'!B:B,'Base stats'!BX:BX),0.1),0.05)
))</f>
        <v>No</v>
      </c>
      <c r="L303" s="11" t="str">
        <f>IF(K303="No","No",
MROUND(_xlfn.XLOOKUP(B303,'Base stats'!B:B,'Base stats'!BI:BI) * 0.01 *2 + 0.05, 0.05)
)</f>
        <v>No</v>
      </c>
      <c r="M303" s="5" t="str">
        <f>IF(K303="No","No",IF(_xlfn.XLOOKUP(_xlfn.XLOOKUP(B303,'Base stats'!B:B,'Base stats'!E:E),Groups!A:A,Groups!BD:BD)=1,"No",
MROUND(_xlfn.XLOOKUP(B303,'Base stats'!B:B,'Base stats'!BU:BU)/10000+0.01,0.01)
))</f>
        <v>No</v>
      </c>
      <c r="N303" s="4" t="str">
        <f>IF(K303="No","No",
MROUND(
  _xlfn.XLOOKUP(B303,'Base stats'!B:B,'Base stats'!BC:BC)^0.25
  / (_xlfn.XLOOKUP(B303,'Base stats'!B:B,'Base stats'!BM:BM) * 10)
  * _xlfn.XLOOKUP(
      _xlfn.XLOOKUP(B303,'Base stats'!B:B,'Base stats'!E:E),
      Groups!A:A,
      Groups!V:V
    ) * 150
  + MIN(12, _xlfn.XLOOKUP(B303,'Base stats'!B:B,'Base stats'!W:W))^(1/IF(_xlfn.XLOOKUP(_xlfn.XLOOKUP(B303,'Base stats'!B:B,'Base stats'!E:E),Groups!A:A,Groups!U:U)=1,100,10)) + 0.5 + _xlfn.XLOOKUP(B303,'Base stats'!B:B,'Base stats'!BW:BW),
0.05))</f>
        <v>No</v>
      </c>
      <c r="O303" s="3">
        <f>IF(Animals!AD303="No","No",
MAX(MROUND((MIN(10,_xlfn.XLOOKUP(B303,'Base stats'!B:B,'Base stats'!V:V)*IF(_xlfn.XLOOKUP(_xlfn.XLOOKUP(B303,'Base stats'!B:B,'Base stats'!E:E),Groups!A:A,Groups!O:O)=0,1,0.33))^0.4*_xlfn.XLOOKUP(B303,'Base stats'!B:B,'Base stats'!BJ:BJ)^0.73)^0.6 *_xlfn.XLOOKUP(B303,'Base stats'!B:B,'Base stats'!BX:BX),0.1),0.05)
)</f>
        <v>7.1000000000000005</v>
      </c>
      <c r="P303" s="11">
        <f>IF(O303="No","No",
MROUND(_xlfn.XLOOKUP(B303,'Base stats'!B:B,'Base stats'!BJ:BJ) * 0.01 * 2 + 0.05, 0.05)
)</f>
        <v>0.75</v>
      </c>
      <c r="Q303" s="5">
        <f>IF(O303="No","No",
MROUND(_xlfn.XLOOKUP(B303,'Base stats'!B:B,'Base stats'!BV:BV)/10000+0.01,0.01)
)</f>
        <v>0.03</v>
      </c>
      <c r="R303" s="4">
        <f>IF(O303="No","No",
MROUND(_xlfn.XLOOKUP(B303,'Base stats'!B:B,'Base stats'!BB:BB)^0.25
/((_xlfn.XLOOKUP(B303,'Base stats'!B:B,'Base stats'!BN:BN))*10)*_xlfn.XLOOKUP(_xlfn.XLOOKUP(B303,'Base stats'!B:B,'Base stats'!E:E),Groups!A:A,Groups!Z:Z)*150 + 0.5 + _xlfn.XLOOKUP(B303,'Base stats'!B:B,'Base stats'!BW:BW),
0.05))</f>
        <v>2.0500000000000003</v>
      </c>
      <c r="S303" s="3" t="str">
        <f>IF(Animals!AI303="No","No",
IF(_xlfn.XLOOKUP(B303,'Base stats'!B:B,'Base stats'!U:U)="No",
MAX(MROUND(_xlfn.XLOOKUP(B303,'Base stats'!B:B,'Base stats'!BT:BT) * _xlfn.XLOOKUP(B303,'Base stats'!B:B,'Base stats'!BP:BP)^0.9 / 21 * _xlfn.XLOOKUP(B303,'Base stats'!B:B,'Base stats'!BX:BX),0.1),0.05),
MAX(MROUND(((MIN(12,_xlfn.XLOOKUP(B303,'Base stats'!B:B,'Base stats'!U:U)))^0.4*_xlfn.XLOOKUP(B303,'Base stats'!B:B,'Base stats'!BH:BH)^0.73)^0.6 * _xlfn.XLOOKUP(B303,'Base stats'!B:B,'Base stats'!BX:BX),0.1),0.05)
))</f>
        <v>No</v>
      </c>
      <c r="T303" s="11" t="str">
        <f>IF(S303="No","No",
MROUND(_xlfn.XLOOKUP(B303,'Base stats'!B:B,'Base stats'!BH:BH) * 0.01 * 2 + 0.05, 0.05)
)</f>
        <v>No</v>
      </c>
      <c r="U303" s="5" t="str">
        <f>IF(S303="No","No",IF(_xlfn.XLOOKUP(B303,'Base stats'!B:B,'Base stats'!U:U)="No","No",
MROUND(_xlfn.XLOOKUP(B303,'Base stats'!B:B,'Base stats'!BT:BT)/10000+0.01,0.01)
))</f>
        <v>No</v>
      </c>
      <c r="V303" s="4" t="str">
        <f>IF(S303="No","No",
MROUND(_xlfn.XLOOKUP(B303,'Base stats'!B:B,'Base stats'!BF:BF)^0.25
/((_xlfn.XLOOKUP(B303,'Base stats'!B:B,'Base stats'!BO:BO))*10)*_xlfn.XLOOKUP(_xlfn.XLOOKUP(B303,'Base stats'!B:B,'Base stats'!E:E),Groups!A:A,Groups!AE:AE)*150 + 0.5 + _xlfn.XLOOKUP(B303,'Base stats'!B:B,'Base stats'!BW:BW),
0.05))</f>
        <v>No</v>
      </c>
      <c r="W303" s="8">
        <f>MROUND(_xlfn.XLOOKUP(_xlfn.XLOOKUP(B303,'Base stats'!B:B,'Base stats'!E:E),Groups!A:A,Groups!BG:BG)*_xlfn.XLOOKUP(B303,'Base stats'!B:B,'Base stats'!C:C)^-0.165,0.05)</f>
        <v>0.4</v>
      </c>
      <c r="X303" s="1">
        <f>MROUND(_xlfn.XLOOKUP(_xlfn.XLOOKUP(B303,'Base stats'!B:B,'Base stats'!E:E),Groups!A:A,Groups!BH:BH)*_xlfn.XLOOKUP(B303,'Base stats'!B:B,'Base stats'!C:C)^0.165,0.05)</f>
        <v>0.25</v>
      </c>
      <c r="Y303" s="8">
        <f>MROUND(_xlfn.XLOOKUP(_xlfn.XLOOKUP(B303,'Base stats'!B:B,'Base stats'!E:E),Groups!A:A,Groups!BI:BI)*_xlfn.XLOOKUP(B303,'Base stats'!B:B,'Base stats'!C:C)^0.165,0.05)</f>
        <v>0.05</v>
      </c>
      <c r="Z303" s="18">
        <f>MROUND(_xlfn.XLOOKUP(B303,'Base stats'!B:B,'Base stats'!AQ:AQ)*_xlfn.XLOOKUP(_xlfn.XLOOKUP(B303,'Base stats'!B:B,'Base stats'!E:E),Groups!A:A,Groups!H:H)/1000,IF((_xlfn.XLOOKUP(B303,'Base stats'!B:B,'Base stats'!AQ:AQ)*_xlfn.XLOOKUP(_xlfn.XLOOKUP(B303,'Base stats'!B:B,'Base stats'!E:E),Groups!A:A,Groups!H:H)/1000)&gt;1,0.05,0.01))</f>
        <v>0</v>
      </c>
      <c r="AA303" s="18">
        <f>MROUND((1/2)*(_xlfn.XLOOKUP(_xlfn.XLOOKUP(B303,'Base stats'!B:B,'Base stats'!E:E),Groups!A:A,Groups!H:H)*_xlfn.XLOOKUP(_xlfn.XLOOKUP(B303,'Base stats'!B:B,'Base stats'!E:E),Groups!A:A,Groups!I:I))*_xlfn.XLOOKUP(B303,'Base stats'!B:B,'Base stats'!AQ:AQ)*0.01,0.05)</f>
        <v>0</v>
      </c>
      <c r="AB303" s="18">
        <f>MROUND(250*(Animals!AO303+Animals!AP303),25)</f>
        <v>900</v>
      </c>
      <c r="AC303" s="18" t="str">
        <f>_xlfn.XLOOKUP(_xlfn.XLOOKUP(B303,'Base stats'!B:B,'Base stats'!E:E),Groups!A:A,Groups!BJ:BJ)</f>
        <v>Birdlike</v>
      </c>
    </row>
    <row r="304" spans="1:29" ht="16.5" thickTop="1" thickBot="1" x14ac:dyDescent="0.3">
      <c r="A304" s="16" t="str">
        <f>Animals!A304</f>
        <v>NightMule</v>
      </c>
      <c r="B304" s="6" t="str">
        <f>Animals!B304</f>
        <v>Crepiscuequs nocturnalis</v>
      </c>
      <c r="C304" s="1" t="str">
        <f>Animals!C304</f>
        <v>&lt;li&gt;AA_NightMule&lt;/li&gt;</v>
      </c>
      <c r="D304" s="47">
        <f>MIN(MIN(6,_xlfn.XLOOKUP(A304,Animals!A:A,Animals!AO:AO))*20,MAX(MROUND(_xlfn.XLOOKUP(B304,'Base stats'!B:B,'Base stats'!BS:BS) * (_xlfn.XLOOKUP(B304,'Base stats'!B:B,'Base stats'!AO:AO)*5%)^0.9 / 21,0.1),0.05))</f>
        <v>9.8000000000000007</v>
      </c>
      <c r="E304" s="11">
        <f>MROUND(_xlfn.XLOOKUP(B304,'Base stats'!B:B,'Base stats'!BG:BG) * 0.01 * 2 + 0.01, 0.05)</f>
        <v>9.1</v>
      </c>
      <c r="F304" s="7">
        <f>MROUND(_xlfn.XLOOKUP(B304,'Base stats'!B:B,'Base stats'!BD:BD)^0.25 / (_xlfn.XLOOKUP(B304,'Base stats'!B:B,'Base stats'!BK:BK) * 10) * 150 + 0.5 + _xlfn.XLOOKUP(B304,'Base stats'!B:B,'Base stats'!BW:BW), 0.05)</f>
        <v>1.9000000000000001</v>
      </c>
      <c r="G304" s="3">
        <f>IF(Animals!S304="No","No",
IF(_xlfn.XLOOKUP(B304,'Base stats'!B:B,'Base stats'!U:U)="No",
MAX(MROUND(_xlfn.XLOOKUP(B304,'Base stats'!B:B,'Base stats'!BT:BT) * _xlfn.XLOOKUP(B304,'Base stats'!B:B,'Base stats'!BP:BP)^0.9 / 21 * _xlfn.XLOOKUP(B304,'Base stats'!B:B,'Base stats'!BX:BX),0.1),0.05),
MAX(MROUND(((MIN(10,_xlfn.XLOOKUP(B304,'Base stats'!B:B,'Base stats'!U:U)))^0.4*_xlfn.XLOOKUP(B304,'Base stats'!B:B,'Base stats'!BH:BH)^0.73)^0.6 * _xlfn.XLOOKUP(B304,'Base stats'!B:B,'Base stats'!BX:BX),0.1),0.05)
))</f>
        <v>16.5</v>
      </c>
      <c r="H304" s="11">
        <f>IF(G304="No","No",
MROUND(_xlfn.XLOOKUP(B304,'Base stats'!B:B,'Base stats'!BH:BH) * 0.01 * 2 + 0.05, 0.05)
)</f>
        <v>10.65</v>
      </c>
      <c r="I304" s="11" t="str">
        <f>IF(G304="No","No",IF(_xlfn.XLOOKUP(B304,'Base stats'!B:B,'Base stats'!U:U)="No","No",
MROUND(_xlfn.XLOOKUP(B304,'Base stats'!B:B,'Base stats'!BT:BT)/10000+0.01,0.01)
))</f>
        <v>No</v>
      </c>
      <c r="J304" s="4">
        <f>IF(G304="No","No",
MROUND(_xlfn.XLOOKUP(B304,'Base stats'!B:B,'Base stats'!BE:BE)^0.25
/((_xlfn.XLOOKUP(B304,'Base stats'!B:B,'Base stats'!BL:BL))*10)*_xlfn.XLOOKUP(_xlfn.XLOOKUP(B304,'Base stats'!B:B,'Base stats'!E:E),Groups!A:A,Groups!Q:Q)*150 + 0.5 + _xlfn.XLOOKUP(B304,'Base stats'!B:B,'Base stats'!BW:BW),
0.05))</f>
        <v>2.75</v>
      </c>
      <c r="K304" s="3">
        <f>IF(Animals!X304="No","No",
IF(_xlfn.XLOOKUP(_xlfn.XLOOKUP(B304,'Base stats'!B:B,'Base stats'!E:E),Groups!A:A,Groups!BD:BD)=1,
MAX(MROUND(_xlfn.XLOOKUP(B304,'Base stats'!B:B,'Base stats'!BU:BU) * _xlfn.XLOOKUP(B304,'Base stats'!B:B,'Base stats'!BQ:BQ)^0.9 / 21 *_xlfn.XLOOKUP(B304,'Base stats'!B:B,'Base stats'!BX:BX),0.1),0.05),
MAX(MROUND(((MIN(10,_xlfn.XLOOKUP(B304,'Base stats'!B:B,'Base stats'!W:W)))^0.4*_xlfn.XLOOKUP(B304,'Base stats'!B:B,'Base stats'!BI:BI)^0.73)^0.6 *_xlfn.XLOOKUP(B304,'Base stats'!B:B,'Base stats'!BX:BX),0.1),0.05)
))</f>
        <v>29.400000000000002</v>
      </c>
      <c r="L304" s="11">
        <f>IF(K304="No","No",
MROUND(_xlfn.XLOOKUP(B304,'Base stats'!B:B,'Base stats'!BI:BI) * 0.01 *2 + 0.05, 0.05)
)</f>
        <v>12.8</v>
      </c>
      <c r="M304" s="5">
        <f>IF(K304="No","No",IF(_xlfn.XLOOKUP(_xlfn.XLOOKUP(B304,'Base stats'!B:B,'Base stats'!E:E),Groups!A:A,Groups!BD:BD)=1,"No",
MROUND(_xlfn.XLOOKUP(B304,'Base stats'!B:B,'Base stats'!BU:BU)/10000+0.01,0.01)
))</f>
        <v>0.70000000000000007</v>
      </c>
      <c r="N304" s="4">
        <f>IF(K304="No","No",
MROUND(
  _xlfn.XLOOKUP(B304,'Base stats'!B:B,'Base stats'!BC:BC)^0.25
  / (_xlfn.XLOOKUP(B304,'Base stats'!B:B,'Base stats'!BM:BM) * 10)
  * _xlfn.XLOOKUP(
      _xlfn.XLOOKUP(B304,'Base stats'!B:B,'Base stats'!E:E),
      Groups!A:A,
      Groups!V:V
    ) * 150
  + MIN(12, _xlfn.XLOOKUP(B304,'Base stats'!B:B,'Base stats'!W:W))^(1/IF(_xlfn.XLOOKUP(_xlfn.XLOOKUP(B304,'Base stats'!B:B,'Base stats'!E:E),Groups!A:A,Groups!U:U)=1,100,10)) + 0.5 + _xlfn.XLOOKUP(B304,'Base stats'!B:B,'Base stats'!BW:BW),
0.05))</f>
        <v>3.2</v>
      </c>
      <c r="O304" s="3" t="str">
        <f>IF(Animals!AD304="No","No",
MAX(MROUND((MIN(10,_xlfn.XLOOKUP(B304,'Base stats'!B:B,'Base stats'!V:V)*IF(_xlfn.XLOOKUP(_xlfn.XLOOKUP(B304,'Base stats'!B:B,'Base stats'!E:E),Groups!A:A,Groups!O:O)=0,1,0.33))^0.4*_xlfn.XLOOKUP(B304,'Base stats'!B:B,'Base stats'!BJ:BJ)^0.73)^0.6 *_xlfn.XLOOKUP(B304,'Base stats'!B:B,'Base stats'!BX:BX),0.1),0.05)
)</f>
        <v>No</v>
      </c>
      <c r="P304" s="11" t="str">
        <f>IF(O304="No","No",
MROUND(_xlfn.XLOOKUP(B304,'Base stats'!B:B,'Base stats'!BJ:BJ) * 0.01 * 2 + 0.05, 0.05)
)</f>
        <v>No</v>
      </c>
      <c r="Q304" s="5" t="str">
        <f>IF(O304="No","No",
MROUND(_xlfn.XLOOKUP(B304,'Base stats'!B:B,'Base stats'!BV:BV)/10000+0.01,0.01)
)</f>
        <v>No</v>
      </c>
      <c r="R304" s="4" t="str">
        <f>IF(O304="No","No",
MROUND(_xlfn.XLOOKUP(B304,'Base stats'!B:B,'Base stats'!BB:BB)^0.25
/((_xlfn.XLOOKUP(B304,'Base stats'!B:B,'Base stats'!BN:BN))*10)*_xlfn.XLOOKUP(_xlfn.XLOOKUP(B304,'Base stats'!B:B,'Base stats'!E:E),Groups!A:A,Groups!Z:Z)*150 + 0.5 + _xlfn.XLOOKUP(B304,'Base stats'!B:B,'Base stats'!BW:BW),
0.05))</f>
        <v>No</v>
      </c>
      <c r="S304" s="3" t="str">
        <f>IF(Animals!AI304="No","No",
IF(_xlfn.XLOOKUP(B304,'Base stats'!B:B,'Base stats'!U:U)="No",
MAX(MROUND(_xlfn.XLOOKUP(B304,'Base stats'!B:B,'Base stats'!BT:BT) * _xlfn.XLOOKUP(B304,'Base stats'!B:B,'Base stats'!BP:BP)^0.9 / 21 * _xlfn.XLOOKUP(B304,'Base stats'!B:B,'Base stats'!BX:BX),0.1),0.05),
MAX(MROUND(((MIN(12,_xlfn.XLOOKUP(B304,'Base stats'!B:B,'Base stats'!U:U)))^0.4*_xlfn.XLOOKUP(B304,'Base stats'!B:B,'Base stats'!BH:BH)^0.73)^0.6 * _xlfn.XLOOKUP(B304,'Base stats'!B:B,'Base stats'!BX:BX),0.1),0.05)
))</f>
        <v>No</v>
      </c>
      <c r="T304" s="11" t="str">
        <f>IF(S304="No","No",
MROUND(_xlfn.XLOOKUP(B304,'Base stats'!B:B,'Base stats'!BH:BH) * 0.01 * 2 + 0.05, 0.05)
)</f>
        <v>No</v>
      </c>
      <c r="U304" s="5" t="str">
        <f>IF(S304="No","No",IF(_xlfn.XLOOKUP(B304,'Base stats'!B:B,'Base stats'!U:U)="No","No",
MROUND(_xlfn.XLOOKUP(B304,'Base stats'!B:B,'Base stats'!BT:BT)/10000+0.01,0.01)
))</f>
        <v>No</v>
      </c>
      <c r="V304" s="4" t="str">
        <f>IF(S304="No","No",
MROUND(_xlfn.XLOOKUP(B304,'Base stats'!B:B,'Base stats'!BF:BF)^0.25
/((_xlfn.XLOOKUP(B304,'Base stats'!B:B,'Base stats'!BO:BO))*10)*_xlfn.XLOOKUP(_xlfn.XLOOKUP(B304,'Base stats'!B:B,'Base stats'!E:E),Groups!A:A,Groups!AE:AE)*150 + 0.5 + _xlfn.XLOOKUP(B304,'Base stats'!B:B,'Base stats'!BW:BW),
0.05))</f>
        <v>No</v>
      </c>
      <c r="W304" s="8">
        <f>MROUND(_xlfn.XLOOKUP(_xlfn.XLOOKUP(B304,'Base stats'!B:B,'Base stats'!E:E),Groups!A:A,Groups!BG:BG)*_xlfn.XLOOKUP(B304,'Base stats'!B:B,'Base stats'!C:C)^-0.165,0.05)</f>
        <v>0.2</v>
      </c>
      <c r="X304" s="1">
        <f>MROUND(_xlfn.XLOOKUP(_xlfn.XLOOKUP(B304,'Base stats'!B:B,'Base stats'!E:E),Groups!A:A,Groups!BH:BH)*_xlfn.XLOOKUP(B304,'Base stats'!B:B,'Base stats'!C:C)^0.165,0.05)</f>
        <v>0</v>
      </c>
      <c r="Y304" s="8">
        <f>MROUND(_xlfn.XLOOKUP(_xlfn.XLOOKUP(B304,'Base stats'!B:B,'Base stats'!E:E),Groups!A:A,Groups!BI:BI)*_xlfn.XLOOKUP(B304,'Base stats'!B:B,'Base stats'!C:C)^0.165,0.05)</f>
        <v>0</v>
      </c>
      <c r="Z304" s="18">
        <f>MROUND(_xlfn.XLOOKUP(B304,'Base stats'!B:B,'Base stats'!AQ:AQ)*_xlfn.XLOOKUP(_xlfn.XLOOKUP(B304,'Base stats'!B:B,'Base stats'!E:E),Groups!A:A,Groups!H:H)/1000,IF((_xlfn.XLOOKUP(B304,'Base stats'!B:B,'Base stats'!AQ:AQ)*_xlfn.XLOOKUP(_xlfn.XLOOKUP(B304,'Base stats'!B:B,'Base stats'!E:E),Groups!A:A,Groups!H:H)/1000)&gt;1,0.05,0.01))</f>
        <v>0.1</v>
      </c>
      <c r="AA304" s="18">
        <f>MROUND((1/2)*(_xlfn.XLOOKUP(_xlfn.XLOOKUP(B304,'Base stats'!B:B,'Base stats'!E:E),Groups!A:A,Groups!H:H)*_xlfn.XLOOKUP(_xlfn.XLOOKUP(B304,'Base stats'!B:B,'Base stats'!E:E),Groups!A:A,Groups!I:I))*_xlfn.XLOOKUP(B304,'Base stats'!B:B,'Base stats'!AQ:AQ)*0.01,0.05)</f>
        <v>0.45</v>
      </c>
      <c r="AB304" s="18">
        <f>MROUND(250*(Animals!AO304+Animals!AP304),25)</f>
        <v>1375</v>
      </c>
      <c r="AC304" s="18" t="str">
        <f>_xlfn.XLOOKUP(_xlfn.XLOOKUP(B304,'Base stats'!B:B,'Base stats'!E:E),Groups!A:A,Groups!BJ:BJ)</f>
        <v>Quadruped</v>
      </c>
    </row>
    <row r="305" spans="1:29" ht="16.5" thickTop="1" thickBot="1" x14ac:dyDescent="0.3">
      <c r="A305" s="16" t="str">
        <f>Animals!A305</f>
        <v>NightRam</v>
      </c>
      <c r="B305" s="6" t="str">
        <f>Animals!B305</f>
        <v>Crepiscuovis nocturnus</v>
      </c>
      <c r="C305" s="1" t="str">
        <f>Animals!C305</f>
        <v>&lt;li&gt;AA_NightRam&lt;/li&gt;</v>
      </c>
      <c r="D305" s="47">
        <f>MIN(MIN(6,_xlfn.XLOOKUP(A305,Animals!A:A,Animals!AO:AO))*20,MAX(MROUND(_xlfn.XLOOKUP(B305,'Base stats'!B:B,'Base stats'!BS:BS) * (_xlfn.XLOOKUP(B305,'Base stats'!B:B,'Base stats'!AO:AO)*5%)^0.9 / 21,0.1),0.05))</f>
        <v>6</v>
      </c>
      <c r="E305" s="11">
        <f>MROUND(_xlfn.XLOOKUP(B305,'Base stats'!B:B,'Base stats'!BG:BG) * 0.01 * 2 + 0.01, 0.05)</f>
        <v>5.25</v>
      </c>
      <c r="F305" s="7">
        <f>MROUND(_xlfn.XLOOKUP(B305,'Base stats'!B:B,'Base stats'!BD:BD)^0.25 / (_xlfn.XLOOKUP(B305,'Base stats'!B:B,'Base stats'!BK:BK) * 10) * 150 + 0.5 + _xlfn.XLOOKUP(B305,'Base stats'!B:B,'Base stats'!BW:BW), 0.05)</f>
        <v>1.5</v>
      </c>
      <c r="G305" s="3">
        <f>IF(Animals!S305="No","No",
IF(_xlfn.XLOOKUP(B305,'Base stats'!B:B,'Base stats'!U:U)="No",
MAX(MROUND(_xlfn.XLOOKUP(B305,'Base stats'!B:B,'Base stats'!BT:BT) * _xlfn.XLOOKUP(B305,'Base stats'!B:B,'Base stats'!BP:BP)^0.9 / 21 * _xlfn.XLOOKUP(B305,'Base stats'!B:B,'Base stats'!BX:BX),0.1),0.05),
MAX(MROUND(((MIN(10,_xlfn.XLOOKUP(B305,'Base stats'!B:B,'Base stats'!U:U)))^0.4*_xlfn.XLOOKUP(B305,'Base stats'!B:B,'Base stats'!BH:BH)^0.73)^0.6 * _xlfn.XLOOKUP(B305,'Base stats'!B:B,'Base stats'!BX:BX),0.1),0.05)
))</f>
        <v>7.8000000000000007</v>
      </c>
      <c r="H305" s="11">
        <f>IF(G305="No","No",
MROUND(_xlfn.XLOOKUP(B305,'Base stats'!B:B,'Base stats'!BH:BH) * 0.01 * 2 + 0.05, 0.05)
)</f>
        <v>4.6500000000000004</v>
      </c>
      <c r="I305" s="11" t="str">
        <f>IF(G305="No","No",IF(_xlfn.XLOOKUP(B305,'Base stats'!B:B,'Base stats'!U:U)="No","No",
MROUND(_xlfn.XLOOKUP(B305,'Base stats'!B:B,'Base stats'!BT:BT)/10000+0.01,0.01)
))</f>
        <v>No</v>
      </c>
      <c r="J305" s="4">
        <f>IF(G305="No","No",
MROUND(_xlfn.XLOOKUP(B305,'Base stats'!B:B,'Base stats'!BE:BE)^0.25
/((_xlfn.XLOOKUP(B305,'Base stats'!B:B,'Base stats'!BL:BL))*10)*_xlfn.XLOOKUP(_xlfn.XLOOKUP(B305,'Base stats'!B:B,'Base stats'!E:E),Groups!A:A,Groups!Q:Q)*150 + 0.5 + _xlfn.XLOOKUP(B305,'Base stats'!B:B,'Base stats'!BW:BW),
0.05))</f>
        <v>2.35</v>
      </c>
      <c r="K305" s="3">
        <f>IF(Animals!X305="No","No",
IF(_xlfn.XLOOKUP(_xlfn.XLOOKUP(B305,'Base stats'!B:B,'Base stats'!E:E),Groups!A:A,Groups!BD:BD)=1,
MAX(MROUND(_xlfn.XLOOKUP(B305,'Base stats'!B:B,'Base stats'!BU:BU) * _xlfn.XLOOKUP(B305,'Base stats'!B:B,'Base stats'!BQ:BQ)^0.9 / 21 *_xlfn.XLOOKUP(B305,'Base stats'!B:B,'Base stats'!BX:BX),0.1),0.05),
MAX(MROUND(((MIN(10,_xlfn.XLOOKUP(B305,'Base stats'!B:B,'Base stats'!W:W)))^0.4*_xlfn.XLOOKUP(B305,'Base stats'!B:B,'Base stats'!BI:BI)^0.73)^0.6 *_xlfn.XLOOKUP(B305,'Base stats'!B:B,'Base stats'!BX:BX),0.1),0.05)
))</f>
        <v>7.2</v>
      </c>
      <c r="L305" s="11">
        <f>IF(K305="No","No",
MROUND(_xlfn.XLOOKUP(B305,'Base stats'!B:B,'Base stats'!BI:BI) * 0.01 *2 + 0.05, 0.05)
)</f>
        <v>6.3500000000000005</v>
      </c>
      <c r="M305" s="5" t="str">
        <f>IF(K305="No","No",IF(_xlfn.XLOOKUP(_xlfn.XLOOKUP(B305,'Base stats'!B:B,'Base stats'!E:E),Groups!A:A,Groups!BD:BD)=1,"No",
MROUND(_xlfn.XLOOKUP(B305,'Base stats'!B:B,'Base stats'!BU:BU)/10000+0.01,0.01)
))</f>
        <v>No</v>
      </c>
      <c r="N305" s="4">
        <f>IF(K305="No","No",
MROUND(
  _xlfn.XLOOKUP(B305,'Base stats'!B:B,'Base stats'!BC:BC)^0.25
  / (_xlfn.XLOOKUP(B305,'Base stats'!B:B,'Base stats'!BM:BM) * 10)
  * _xlfn.XLOOKUP(
      _xlfn.XLOOKUP(B305,'Base stats'!B:B,'Base stats'!E:E),
      Groups!A:A,
      Groups!V:V
    ) * 150
  + MIN(12, _xlfn.XLOOKUP(B305,'Base stats'!B:B,'Base stats'!W:W))^(1/IF(_xlfn.XLOOKUP(_xlfn.XLOOKUP(B305,'Base stats'!B:B,'Base stats'!E:E),Groups!A:A,Groups!U:U)=1,100,10)) + 0.5 + _xlfn.XLOOKUP(B305,'Base stats'!B:B,'Base stats'!BW:BW),
0.05))</f>
        <v>2.5500000000000003</v>
      </c>
      <c r="O305" s="3" t="str">
        <f>IF(Animals!AD305="No","No",
MAX(MROUND((MIN(10,_xlfn.XLOOKUP(B305,'Base stats'!B:B,'Base stats'!V:V)*IF(_xlfn.XLOOKUP(_xlfn.XLOOKUP(B305,'Base stats'!B:B,'Base stats'!E:E),Groups!A:A,Groups!O:O)=0,1,0.33))^0.4*_xlfn.XLOOKUP(B305,'Base stats'!B:B,'Base stats'!BJ:BJ)^0.73)^0.6 *_xlfn.XLOOKUP(B305,'Base stats'!B:B,'Base stats'!BX:BX),0.1),0.05)
)</f>
        <v>No</v>
      </c>
      <c r="P305" s="11" t="str">
        <f>IF(O305="No","No",
MROUND(_xlfn.XLOOKUP(B305,'Base stats'!B:B,'Base stats'!BJ:BJ) * 0.01 * 2 + 0.05, 0.05)
)</f>
        <v>No</v>
      </c>
      <c r="Q305" s="5" t="str">
        <f>IF(O305="No","No",
MROUND(_xlfn.XLOOKUP(B305,'Base stats'!B:B,'Base stats'!BV:BV)/10000+0.01,0.01)
)</f>
        <v>No</v>
      </c>
      <c r="R305" s="4" t="str">
        <f>IF(O305="No","No",
MROUND(_xlfn.XLOOKUP(B305,'Base stats'!B:B,'Base stats'!BB:BB)^0.25
/((_xlfn.XLOOKUP(B305,'Base stats'!B:B,'Base stats'!BN:BN))*10)*_xlfn.XLOOKUP(_xlfn.XLOOKUP(B305,'Base stats'!B:B,'Base stats'!E:E),Groups!A:A,Groups!Z:Z)*150 + 0.5 + _xlfn.XLOOKUP(B305,'Base stats'!B:B,'Base stats'!BW:BW),
0.05))</f>
        <v>No</v>
      </c>
      <c r="S305" s="3" t="str">
        <f>IF(Animals!AI305="No","No",
IF(_xlfn.XLOOKUP(B305,'Base stats'!B:B,'Base stats'!U:U)="No",
MAX(MROUND(_xlfn.XLOOKUP(B305,'Base stats'!B:B,'Base stats'!BT:BT) * _xlfn.XLOOKUP(B305,'Base stats'!B:B,'Base stats'!BP:BP)^0.9 / 21 * _xlfn.XLOOKUP(B305,'Base stats'!B:B,'Base stats'!BX:BX),0.1),0.05),
MAX(MROUND(((MIN(12,_xlfn.XLOOKUP(B305,'Base stats'!B:B,'Base stats'!U:U)))^0.4*_xlfn.XLOOKUP(B305,'Base stats'!B:B,'Base stats'!BH:BH)^0.73)^0.6 * _xlfn.XLOOKUP(B305,'Base stats'!B:B,'Base stats'!BX:BX),0.1),0.05)
))</f>
        <v>No</v>
      </c>
      <c r="T305" s="11" t="str">
        <f>IF(S305="No","No",
MROUND(_xlfn.XLOOKUP(B305,'Base stats'!B:B,'Base stats'!BH:BH) * 0.01 * 2 + 0.05, 0.05)
)</f>
        <v>No</v>
      </c>
      <c r="U305" s="5" t="str">
        <f>IF(S305="No","No",IF(_xlfn.XLOOKUP(B305,'Base stats'!B:B,'Base stats'!U:U)="No","No",
MROUND(_xlfn.XLOOKUP(B305,'Base stats'!B:B,'Base stats'!BT:BT)/10000+0.01,0.01)
))</f>
        <v>No</v>
      </c>
      <c r="V305" s="4" t="str">
        <f>IF(S305="No","No",
MROUND(_xlfn.XLOOKUP(B305,'Base stats'!B:B,'Base stats'!BF:BF)^0.25
/((_xlfn.XLOOKUP(B305,'Base stats'!B:B,'Base stats'!BO:BO))*10)*_xlfn.XLOOKUP(_xlfn.XLOOKUP(B305,'Base stats'!B:B,'Base stats'!E:E),Groups!A:A,Groups!AE:AE)*150 + 0.5 + _xlfn.XLOOKUP(B305,'Base stats'!B:B,'Base stats'!BW:BW),
0.05))</f>
        <v>No</v>
      </c>
      <c r="W305" s="8">
        <f>MROUND(_xlfn.XLOOKUP(_xlfn.XLOOKUP(B305,'Base stats'!B:B,'Base stats'!E:E),Groups!A:A,Groups!BG:BG)*_xlfn.XLOOKUP(B305,'Base stats'!B:B,'Base stats'!C:C)^-0.165,0.05)</f>
        <v>0.2</v>
      </c>
      <c r="X305" s="1">
        <f>MROUND(_xlfn.XLOOKUP(_xlfn.XLOOKUP(B305,'Base stats'!B:B,'Base stats'!E:E),Groups!A:A,Groups!BH:BH)*_xlfn.XLOOKUP(B305,'Base stats'!B:B,'Base stats'!C:C)^0.165,0.05)</f>
        <v>0</v>
      </c>
      <c r="Y305" s="8">
        <f>MROUND(_xlfn.XLOOKUP(_xlfn.XLOOKUP(B305,'Base stats'!B:B,'Base stats'!E:E),Groups!A:A,Groups!BI:BI)*_xlfn.XLOOKUP(B305,'Base stats'!B:B,'Base stats'!C:C)^0.165,0.05)</f>
        <v>0</v>
      </c>
      <c r="Z305" s="18">
        <f>MROUND(_xlfn.XLOOKUP(B305,'Base stats'!B:B,'Base stats'!AQ:AQ)*_xlfn.XLOOKUP(_xlfn.XLOOKUP(B305,'Base stats'!B:B,'Base stats'!E:E),Groups!A:A,Groups!H:H)/1000,IF((_xlfn.XLOOKUP(B305,'Base stats'!B:B,'Base stats'!AQ:AQ)*_xlfn.XLOOKUP(_xlfn.XLOOKUP(B305,'Base stats'!B:B,'Base stats'!E:E),Groups!A:A,Groups!H:H)/1000)&gt;1,0.05,0.01))</f>
        <v>0.08</v>
      </c>
      <c r="AA305" s="18">
        <f>MROUND((1/2)*(_xlfn.XLOOKUP(_xlfn.XLOOKUP(B305,'Base stats'!B:B,'Base stats'!E:E),Groups!A:A,Groups!H:H)*_xlfn.XLOOKUP(_xlfn.XLOOKUP(B305,'Base stats'!B:B,'Base stats'!E:E),Groups!A:A,Groups!I:I))*_xlfn.XLOOKUP(B305,'Base stats'!B:B,'Base stats'!AQ:AQ)*0.01,0.05)</f>
        <v>0.30000000000000004</v>
      </c>
      <c r="AB305" s="18">
        <f>MROUND(250*(Animals!AO305+Animals!AP305),25)</f>
        <v>750</v>
      </c>
      <c r="AC305" s="18" t="str">
        <f>_xlfn.XLOOKUP(_xlfn.XLOOKUP(B305,'Base stats'!B:B,'Base stats'!E:E),Groups!A:A,Groups!BJ:BJ)</f>
        <v>Quadruped</v>
      </c>
    </row>
    <row r="306" spans="1:29" ht="16.5" thickTop="1" thickBot="1" x14ac:dyDescent="0.3">
      <c r="A306" s="16" t="str">
        <f>Animals!A306</f>
        <v>Nightling</v>
      </c>
      <c r="B306" s="6" t="str">
        <f>Animals!B306</f>
        <v>Noctiluca ferox</v>
      </c>
      <c r="C306" s="1" t="str">
        <f>Animals!C306</f>
        <v>&lt;li&gt;AA_Nightling&lt;/li&gt;</v>
      </c>
      <c r="D306" s="47">
        <f>MIN(MIN(6,_xlfn.XLOOKUP(A306,Animals!A:A,Animals!AO:AO))*20,MAX(MROUND(_xlfn.XLOOKUP(B306,'Base stats'!B:B,'Base stats'!BS:BS) * (_xlfn.XLOOKUP(B306,'Base stats'!B:B,'Base stats'!AO:AO)*5%)^0.9 / 21,0.1),0.05))</f>
        <v>2.7</v>
      </c>
      <c r="E306" s="11">
        <f>MROUND(_xlfn.XLOOKUP(B306,'Base stats'!B:B,'Base stats'!BG:BG) * 0.01 * 2 + 0.01, 0.05)</f>
        <v>2.25</v>
      </c>
      <c r="F306" s="7">
        <f>MROUND(_xlfn.XLOOKUP(B306,'Base stats'!B:B,'Base stats'!BD:BD)^0.25 / (_xlfn.XLOOKUP(B306,'Base stats'!B:B,'Base stats'!BK:BK) * 10) * 150 + 0.5 + _xlfn.XLOOKUP(B306,'Base stats'!B:B,'Base stats'!BW:BW), 0.05)</f>
        <v>2.0500000000000003</v>
      </c>
      <c r="G306" s="3" t="str">
        <f>IF(Animals!S306="No","No",
IF(_xlfn.XLOOKUP(B306,'Base stats'!B:B,'Base stats'!U:U)="No",
MAX(MROUND(_xlfn.XLOOKUP(B306,'Base stats'!B:B,'Base stats'!BT:BT) * _xlfn.XLOOKUP(B306,'Base stats'!B:B,'Base stats'!BP:BP)^0.9 / 21 * _xlfn.XLOOKUP(B306,'Base stats'!B:B,'Base stats'!BX:BX),0.1),0.05),
MAX(MROUND(((MIN(10,_xlfn.XLOOKUP(B306,'Base stats'!B:B,'Base stats'!U:U)))^0.4*_xlfn.XLOOKUP(B306,'Base stats'!B:B,'Base stats'!BH:BH)^0.73)^0.6 * _xlfn.XLOOKUP(B306,'Base stats'!B:B,'Base stats'!BX:BX),0.1),0.05)
))</f>
        <v>No</v>
      </c>
      <c r="H306" s="11" t="str">
        <f>IF(G306="No","No",
MROUND(_xlfn.XLOOKUP(B306,'Base stats'!B:B,'Base stats'!BH:BH) * 0.01 * 2 + 0.05, 0.05)
)</f>
        <v>No</v>
      </c>
      <c r="I306" s="11" t="str">
        <f>IF(G306="No","No",IF(_xlfn.XLOOKUP(B306,'Base stats'!B:B,'Base stats'!U:U)="No","No",
MROUND(_xlfn.XLOOKUP(B306,'Base stats'!B:B,'Base stats'!BT:BT)/10000+0.01,0.01)
))</f>
        <v>No</v>
      </c>
      <c r="J306" s="4" t="str">
        <f>IF(G306="No","No",
MROUND(_xlfn.XLOOKUP(B306,'Base stats'!B:B,'Base stats'!BE:BE)^0.25
/((_xlfn.XLOOKUP(B306,'Base stats'!B:B,'Base stats'!BL:BL))*10)*_xlfn.XLOOKUP(_xlfn.XLOOKUP(B306,'Base stats'!B:B,'Base stats'!E:E),Groups!A:A,Groups!Q:Q)*150 + 0.5 + _xlfn.XLOOKUP(B306,'Base stats'!B:B,'Base stats'!BW:BW),
0.05))</f>
        <v>No</v>
      </c>
      <c r="K306" s="3" t="str">
        <f>IF(Animals!X306="No","No",
IF(_xlfn.XLOOKUP(_xlfn.XLOOKUP(B306,'Base stats'!B:B,'Base stats'!E:E),Groups!A:A,Groups!BD:BD)=1,
MAX(MROUND(_xlfn.XLOOKUP(B306,'Base stats'!B:B,'Base stats'!BU:BU) * _xlfn.XLOOKUP(B306,'Base stats'!B:B,'Base stats'!BQ:BQ)^0.9 / 21 *_xlfn.XLOOKUP(B306,'Base stats'!B:B,'Base stats'!BX:BX),0.1),0.05),
MAX(MROUND(((MIN(10,_xlfn.XLOOKUP(B306,'Base stats'!B:B,'Base stats'!W:W)))^0.4*_xlfn.XLOOKUP(B306,'Base stats'!B:B,'Base stats'!BI:BI)^0.73)^0.6 *_xlfn.XLOOKUP(B306,'Base stats'!B:B,'Base stats'!BX:BX),0.1),0.05)
))</f>
        <v>No</v>
      </c>
      <c r="L306" s="11" t="str">
        <f>IF(K306="No","No",
MROUND(_xlfn.XLOOKUP(B306,'Base stats'!B:B,'Base stats'!BI:BI) * 0.01 *2 + 0.05, 0.05)
)</f>
        <v>No</v>
      </c>
      <c r="M306" s="5" t="str">
        <f>IF(K306="No","No",IF(_xlfn.XLOOKUP(_xlfn.XLOOKUP(B306,'Base stats'!B:B,'Base stats'!E:E),Groups!A:A,Groups!BD:BD)=1,"No",
MROUND(_xlfn.XLOOKUP(B306,'Base stats'!B:B,'Base stats'!BU:BU)/10000+0.01,0.01)
))</f>
        <v>No</v>
      </c>
      <c r="N306" s="4" t="str">
        <f>IF(K306="No","No",
MROUND(
  _xlfn.XLOOKUP(B306,'Base stats'!B:B,'Base stats'!BC:BC)^0.25
  / (_xlfn.XLOOKUP(B306,'Base stats'!B:B,'Base stats'!BM:BM) * 10)
  * _xlfn.XLOOKUP(
      _xlfn.XLOOKUP(B306,'Base stats'!B:B,'Base stats'!E:E),
      Groups!A:A,
      Groups!V:V
    ) * 150
  + MIN(12, _xlfn.XLOOKUP(B306,'Base stats'!B:B,'Base stats'!W:W))^(1/IF(_xlfn.XLOOKUP(_xlfn.XLOOKUP(B306,'Base stats'!B:B,'Base stats'!E:E),Groups!A:A,Groups!U:U)=1,100,10)) + 0.5 + _xlfn.XLOOKUP(B306,'Base stats'!B:B,'Base stats'!BW:BW),
0.05))</f>
        <v>No</v>
      </c>
      <c r="O306" s="3">
        <f>IF(Animals!AD306="No","No",
MAX(MROUND((MIN(10,_xlfn.XLOOKUP(B306,'Base stats'!B:B,'Base stats'!V:V)*IF(_xlfn.XLOOKUP(_xlfn.XLOOKUP(B306,'Base stats'!B:B,'Base stats'!E:E),Groups!A:A,Groups!O:O)=0,1,0.33))^0.4*_xlfn.XLOOKUP(B306,'Base stats'!B:B,'Base stats'!BJ:BJ)^0.73)^0.6 *_xlfn.XLOOKUP(B306,'Base stats'!B:B,'Base stats'!BX:BX),0.1),0.05)
)</f>
        <v>11.9</v>
      </c>
      <c r="P306" s="11">
        <f>IF(O306="No","No",
MROUND(_xlfn.XLOOKUP(B306,'Base stats'!B:B,'Base stats'!BJ:BJ) * 0.01 * 2 + 0.05, 0.05)
)</f>
        <v>2.75</v>
      </c>
      <c r="Q306" s="5">
        <f>IF(O306="No","No",
MROUND(_xlfn.XLOOKUP(B306,'Base stats'!B:B,'Base stats'!BV:BV)/10000+0.01,0.01)
)</f>
        <v>0.16</v>
      </c>
      <c r="R306" s="4">
        <f>IF(O306="No","No",
MROUND(_xlfn.XLOOKUP(B306,'Base stats'!B:B,'Base stats'!BB:BB)^0.25
/((_xlfn.XLOOKUP(B306,'Base stats'!B:B,'Base stats'!BN:BN))*10)*_xlfn.XLOOKUP(_xlfn.XLOOKUP(B306,'Base stats'!B:B,'Base stats'!E:E),Groups!A:A,Groups!Z:Z)*150 + 0.5 + _xlfn.XLOOKUP(B306,'Base stats'!B:B,'Base stats'!BW:BW),
0.05))</f>
        <v>2</v>
      </c>
      <c r="S306" s="3">
        <f>IF(Animals!AI306="No","No",
IF(_xlfn.XLOOKUP(B306,'Base stats'!B:B,'Base stats'!U:U)="No",
MAX(MROUND(_xlfn.XLOOKUP(B306,'Base stats'!B:B,'Base stats'!BT:BT) * _xlfn.XLOOKUP(B306,'Base stats'!B:B,'Base stats'!BP:BP)^0.9 / 21 * _xlfn.XLOOKUP(B306,'Base stats'!B:B,'Base stats'!BX:BX),0.1),0.05),
MAX(MROUND(((MIN(12,_xlfn.XLOOKUP(B306,'Base stats'!B:B,'Base stats'!U:U)))^0.4*_xlfn.XLOOKUP(B306,'Base stats'!B:B,'Base stats'!BH:BH)^0.73)^0.6 * _xlfn.XLOOKUP(B306,'Base stats'!B:B,'Base stats'!BX:BX),0.1),0.05)
))</f>
        <v>12.9</v>
      </c>
      <c r="T306" s="11">
        <f>IF(S306="No","No",
MROUND(_xlfn.XLOOKUP(B306,'Base stats'!B:B,'Base stats'!BH:BH) * 0.01 * 2 + 0.05, 0.05)
)</f>
        <v>2.9000000000000004</v>
      </c>
      <c r="U306" s="5">
        <f>IF(S306="No","No",IF(_xlfn.XLOOKUP(B306,'Base stats'!B:B,'Base stats'!U:U)="No","No",
MROUND(_xlfn.XLOOKUP(B306,'Base stats'!B:B,'Base stats'!BT:BT)/10000+0.01,0.01)
))</f>
        <v>0.17</v>
      </c>
      <c r="V306" s="4">
        <f>IF(S306="No","No",
MROUND(_xlfn.XLOOKUP(B306,'Base stats'!B:B,'Base stats'!BF:BF)^0.25
/((_xlfn.XLOOKUP(B306,'Base stats'!B:B,'Base stats'!BO:BO))*10)*_xlfn.XLOOKUP(_xlfn.XLOOKUP(B306,'Base stats'!B:B,'Base stats'!E:E),Groups!A:A,Groups!AE:AE)*150 + 0.5 + _xlfn.XLOOKUP(B306,'Base stats'!B:B,'Base stats'!BW:BW),
0.05))</f>
        <v>1.4500000000000002</v>
      </c>
      <c r="W306" s="8">
        <f>MROUND(_xlfn.XLOOKUP(_xlfn.XLOOKUP(B306,'Base stats'!B:B,'Base stats'!E:E),Groups!A:A,Groups!BG:BG)*_xlfn.XLOOKUP(B306,'Base stats'!B:B,'Base stats'!C:C)^-0.165,0.05)</f>
        <v>0.55000000000000004</v>
      </c>
      <c r="X306" s="1">
        <f>MROUND(_xlfn.XLOOKUP(_xlfn.XLOOKUP(B306,'Base stats'!B:B,'Base stats'!E:E),Groups!A:A,Groups!BH:BH)*_xlfn.XLOOKUP(B306,'Base stats'!B:B,'Base stats'!C:C)^0.165,0.05)</f>
        <v>0.4</v>
      </c>
      <c r="Y306" s="8">
        <f>MROUND(_xlfn.XLOOKUP(_xlfn.XLOOKUP(B306,'Base stats'!B:B,'Base stats'!E:E),Groups!A:A,Groups!BI:BI)*_xlfn.XLOOKUP(B306,'Base stats'!B:B,'Base stats'!C:C)^0.165,0.05)</f>
        <v>0.05</v>
      </c>
      <c r="Z306" s="18">
        <f>MROUND(_xlfn.XLOOKUP(B306,'Base stats'!B:B,'Base stats'!AQ:AQ)*_xlfn.XLOOKUP(_xlfn.XLOOKUP(B306,'Base stats'!B:B,'Base stats'!E:E),Groups!A:A,Groups!H:H)/1000,IF((_xlfn.XLOOKUP(B306,'Base stats'!B:B,'Base stats'!AQ:AQ)*_xlfn.XLOOKUP(_xlfn.XLOOKUP(B306,'Base stats'!B:B,'Base stats'!E:E),Groups!A:A,Groups!H:H)/1000)&gt;1,0.05,0.01))</f>
        <v>0.1</v>
      </c>
      <c r="AA306" s="18">
        <f>MROUND((1/2)*(_xlfn.XLOOKUP(_xlfn.XLOOKUP(B306,'Base stats'!B:B,'Base stats'!E:E),Groups!A:A,Groups!H:H)*_xlfn.XLOOKUP(_xlfn.XLOOKUP(B306,'Base stats'!B:B,'Base stats'!E:E),Groups!A:A,Groups!I:I))*_xlfn.XLOOKUP(B306,'Base stats'!B:B,'Base stats'!AQ:AQ)*0.01,0.05)</f>
        <v>0.4</v>
      </c>
      <c r="AB306" s="18">
        <f>MROUND(250*(Animals!AO306+Animals!AP306),25)</f>
        <v>600</v>
      </c>
      <c r="AC306" s="18" t="str">
        <f>_xlfn.XLOOKUP(_xlfn.XLOOKUP(B306,'Base stats'!B:B,'Base stats'!E:E),Groups!A:A,Groups!BJ:BJ)</f>
        <v>QuadrupedLow</v>
      </c>
    </row>
    <row r="307" spans="1:29" ht="16.5" thickTop="1" thickBot="1" x14ac:dyDescent="0.3">
      <c r="A307" s="16" t="str">
        <f>Animals!A307</f>
        <v>OcularJelly</v>
      </c>
      <c r="B307" s="6" t="str">
        <f>Animals!B307</f>
        <v>Gelatinous oculi</v>
      </c>
      <c r="C307" s="1" t="str">
        <f>Animals!C307</f>
        <v>&lt;li&gt;AA_OcularJelly&lt;/li&gt;</v>
      </c>
      <c r="D307" s="47">
        <f>MIN(MIN(6,_xlfn.XLOOKUP(A307,Animals!A:A,Animals!AO:AO))*20,MAX(MROUND(_xlfn.XLOOKUP(B307,'Base stats'!B:B,'Base stats'!BS:BS) * (_xlfn.XLOOKUP(B307,'Base stats'!B:B,'Base stats'!AO:AO)*5%)^0.9 / 21,0.1),0.05))</f>
        <v>0.4</v>
      </c>
      <c r="E307" s="11">
        <f>MROUND(_xlfn.XLOOKUP(B307,'Base stats'!B:B,'Base stats'!BG:BG) * 0.01 * 2 + 0.01, 0.05)</f>
        <v>0.30000000000000004</v>
      </c>
      <c r="F307" s="7">
        <f>MROUND(_xlfn.XLOOKUP(B307,'Base stats'!B:B,'Base stats'!BD:BD)^0.25 / (_xlfn.XLOOKUP(B307,'Base stats'!B:B,'Base stats'!BK:BK) * 10) * 150 + 0.5 + _xlfn.XLOOKUP(B307,'Base stats'!B:B,'Base stats'!BW:BW), 0.05)</f>
        <v>1.9500000000000002</v>
      </c>
      <c r="G307" s="3" t="str">
        <f>IF(Animals!S307="No","No",
IF(_xlfn.XLOOKUP(B307,'Base stats'!B:B,'Base stats'!U:U)="No",
MAX(MROUND(_xlfn.XLOOKUP(B307,'Base stats'!B:B,'Base stats'!BT:BT) * _xlfn.XLOOKUP(B307,'Base stats'!B:B,'Base stats'!BP:BP)^0.9 / 21 * _xlfn.XLOOKUP(B307,'Base stats'!B:B,'Base stats'!BX:BX),0.1),0.05),
MAX(MROUND(((MIN(10,_xlfn.XLOOKUP(B307,'Base stats'!B:B,'Base stats'!U:U)))^0.4*_xlfn.XLOOKUP(B307,'Base stats'!B:B,'Base stats'!BH:BH)^0.73)^0.6 * _xlfn.XLOOKUP(B307,'Base stats'!B:B,'Base stats'!BX:BX),0.1),0.05)
))</f>
        <v>No</v>
      </c>
      <c r="H307" s="11" t="str">
        <f>IF(G307="No","No",
MROUND(_xlfn.XLOOKUP(B307,'Base stats'!B:B,'Base stats'!BH:BH) * 0.01 * 2 + 0.05, 0.05)
)</f>
        <v>No</v>
      </c>
      <c r="I307" s="11" t="str">
        <f>IF(G307="No","No",IF(_xlfn.XLOOKUP(B307,'Base stats'!B:B,'Base stats'!U:U)="No","No",
MROUND(_xlfn.XLOOKUP(B307,'Base stats'!B:B,'Base stats'!BT:BT)/10000+0.01,0.01)
))</f>
        <v>No</v>
      </c>
      <c r="J307" s="4" t="str">
        <f>IF(G307="No","No",
MROUND(_xlfn.XLOOKUP(B307,'Base stats'!B:B,'Base stats'!BE:BE)^0.25
/((_xlfn.XLOOKUP(B307,'Base stats'!B:B,'Base stats'!BL:BL))*10)*_xlfn.XLOOKUP(_xlfn.XLOOKUP(B307,'Base stats'!B:B,'Base stats'!E:E),Groups!A:A,Groups!Q:Q)*150 + 0.5 + _xlfn.XLOOKUP(B307,'Base stats'!B:B,'Base stats'!BW:BW),
0.05))</f>
        <v>No</v>
      </c>
      <c r="K307" s="3" t="str">
        <f>IF(Animals!X307="No","No",
IF(_xlfn.XLOOKUP(_xlfn.XLOOKUP(B307,'Base stats'!B:B,'Base stats'!E:E),Groups!A:A,Groups!BD:BD)=1,
MAX(MROUND(_xlfn.XLOOKUP(B307,'Base stats'!B:B,'Base stats'!BU:BU) * _xlfn.XLOOKUP(B307,'Base stats'!B:B,'Base stats'!BQ:BQ)^0.9 / 21 *_xlfn.XLOOKUP(B307,'Base stats'!B:B,'Base stats'!BX:BX),0.1),0.05),
MAX(MROUND(((MIN(10,_xlfn.XLOOKUP(B307,'Base stats'!B:B,'Base stats'!W:W)))^0.4*_xlfn.XLOOKUP(B307,'Base stats'!B:B,'Base stats'!BI:BI)^0.73)^0.6 *_xlfn.XLOOKUP(B307,'Base stats'!B:B,'Base stats'!BX:BX),0.1),0.05)
))</f>
        <v>No</v>
      </c>
      <c r="L307" s="11" t="str">
        <f>IF(K307="No","No",
MROUND(_xlfn.XLOOKUP(B307,'Base stats'!B:B,'Base stats'!BI:BI) * 0.01 *2 + 0.05, 0.05)
)</f>
        <v>No</v>
      </c>
      <c r="M307" s="5" t="str">
        <f>IF(K307="No","No",IF(_xlfn.XLOOKUP(_xlfn.XLOOKUP(B307,'Base stats'!B:B,'Base stats'!E:E),Groups!A:A,Groups!BD:BD)=1,"No",
MROUND(_xlfn.XLOOKUP(B307,'Base stats'!B:B,'Base stats'!BU:BU)/10000+0.01,0.01)
))</f>
        <v>No</v>
      </c>
      <c r="N307" s="4" t="str">
        <f>IF(K307="No","No",
MROUND(
  _xlfn.XLOOKUP(B307,'Base stats'!B:B,'Base stats'!BC:BC)^0.25
  / (_xlfn.XLOOKUP(B307,'Base stats'!B:B,'Base stats'!BM:BM) * 10)
  * _xlfn.XLOOKUP(
      _xlfn.XLOOKUP(B307,'Base stats'!B:B,'Base stats'!E:E),
      Groups!A:A,
      Groups!V:V
    ) * 150
  + MIN(12, _xlfn.XLOOKUP(B307,'Base stats'!B:B,'Base stats'!W:W))^(1/IF(_xlfn.XLOOKUP(_xlfn.XLOOKUP(B307,'Base stats'!B:B,'Base stats'!E:E),Groups!A:A,Groups!U:U)=1,100,10)) + 0.5 + _xlfn.XLOOKUP(B307,'Base stats'!B:B,'Base stats'!BW:BW),
0.05))</f>
        <v>No</v>
      </c>
      <c r="O307" s="3" t="str">
        <f>IF(Animals!AD307="No","No",
MAX(MROUND((MIN(10,_xlfn.XLOOKUP(B307,'Base stats'!B:B,'Base stats'!V:V)*IF(_xlfn.XLOOKUP(_xlfn.XLOOKUP(B307,'Base stats'!B:B,'Base stats'!E:E),Groups!A:A,Groups!O:O)=0,1,0.33))^0.4*_xlfn.XLOOKUP(B307,'Base stats'!B:B,'Base stats'!BJ:BJ)^0.73)^0.6 *_xlfn.XLOOKUP(B307,'Base stats'!B:B,'Base stats'!BX:BX),0.1),0.05)
)</f>
        <v>No</v>
      </c>
      <c r="P307" s="11" t="str">
        <f>IF(O307="No","No",
MROUND(_xlfn.XLOOKUP(B307,'Base stats'!B:B,'Base stats'!BJ:BJ) * 0.01 * 2 + 0.05, 0.05)
)</f>
        <v>No</v>
      </c>
      <c r="Q307" s="5" t="str">
        <f>IF(O307="No","No",
MROUND(_xlfn.XLOOKUP(B307,'Base stats'!B:B,'Base stats'!BV:BV)/10000+0.01,0.01)
)</f>
        <v>No</v>
      </c>
      <c r="R307" s="4" t="str">
        <f>IF(O307="No","No",
MROUND(_xlfn.XLOOKUP(B307,'Base stats'!B:B,'Base stats'!BB:BB)^0.25
/((_xlfn.XLOOKUP(B307,'Base stats'!B:B,'Base stats'!BN:BN))*10)*_xlfn.XLOOKUP(_xlfn.XLOOKUP(B307,'Base stats'!B:B,'Base stats'!E:E),Groups!A:A,Groups!Z:Z)*150 + 0.5 + _xlfn.XLOOKUP(B307,'Base stats'!B:B,'Base stats'!BW:BW),
0.05))</f>
        <v>No</v>
      </c>
      <c r="S307" s="3">
        <f>IF(Animals!AI307="No","No",
IF(_xlfn.XLOOKUP(B307,'Base stats'!B:B,'Base stats'!U:U)="No",
MAX(MROUND(_xlfn.XLOOKUP(B307,'Base stats'!B:B,'Base stats'!BT:BT) * _xlfn.XLOOKUP(B307,'Base stats'!B:B,'Base stats'!BP:BP)^0.9 / 21 * _xlfn.XLOOKUP(B307,'Base stats'!B:B,'Base stats'!BX:BX),0.1),0.05),
MAX(MROUND(((MIN(12,_xlfn.XLOOKUP(B307,'Base stats'!B:B,'Base stats'!U:U)))^0.4*_xlfn.XLOOKUP(B307,'Base stats'!B:B,'Base stats'!BH:BH)^0.73)^0.6 * _xlfn.XLOOKUP(B307,'Base stats'!B:B,'Base stats'!BX:BX),0.1),0.05)
))</f>
        <v>0.8</v>
      </c>
      <c r="T307" s="11">
        <f>IF(S307="No","No",
MROUND(_xlfn.XLOOKUP(B307,'Base stats'!B:B,'Base stats'!BH:BH) * 0.01 * 2 + 0.05, 0.05)
)</f>
        <v>0.4</v>
      </c>
      <c r="U307" s="5" t="str">
        <f>IF(S307="No","No",IF(_xlfn.XLOOKUP(B307,'Base stats'!B:B,'Base stats'!U:U)="No","No",
MROUND(_xlfn.XLOOKUP(B307,'Base stats'!B:B,'Base stats'!BT:BT)/10000+0.01,0.01)
))</f>
        <v>No</v>
      </c>
      <c r="V307" s="4">
        <f>IF(S307="No","No",
MROUND(_xlfn.XLOOKUP(B307,'Base stats'!B:B,'Base stats'!BF:BF)^0.25
/((_xlfn.XLOOKUP(B307,'Base stats'!B:B,'Base stats'!BO:BO))*10)*_xlfn.XLOOKUP(_xlfn.XLOOKUP(B307,'Base stats'!B:B,'Base stats'!E:E),Groups!A:A,Groups!AE:AE)*150 + 0.5 + _xlfn.XLOOKUP(B307,'Base stats'!B:B,'Base stats'!BW:BW),
0.05))</f>
        <v>1.9000000000000001</v>
      </c>
      <c r="W307" s="8">
        <f>MROUND(_xlfn.XLOOKUP(_xlfn.XLOOKUP(B307,'Base stats'!B:B,'Base stats'!E:E),Groups!A:A,Groups!BG:BG)*_xlfn.XLOOKUP(B307,'Base stats'!B:B,'Base stats'!C:C)^-0.165,0.05)</f>
        <v>0.15000000000000002</v>
      </c>
      <c r="X307" s="1">
        <f>MROUND(_xlfn.XLOOKUP(_xlfn.XLOOKUP(B307,'Base stats'!B:B,'Base stats'!E:E),Groups!A:A,Groups!BH:BH)*_xlfn.XLOOKUP(B307,'Base stats'!B:B,'Base stats'!C:C)^0.165,0.05)</f>
        <v>0.15000000000000002</v>
      </c>
      <c r="Y307" s="8">
        <f>MROUND(_xlfn.XLOOKUP(_xlfn.XLOOKUP(B307,'Base stats'!B:B,'Base stats'!E:E),Groups!A:A,Groups!BI:BI)*_xlfn.XLOOKUP(B307,'Base stats'!B:B,'Base stats'!C:C)^0.165,0.05)</f>
        <v>0.05</v>
      </c>
      <c r="Z307" s="18">
        <f>MROUND(_xlfn.XLOOKUP(B307,'Base stats'!B:B,'Base stats'!AQ:AQ)*_xlfn.XLOOKUP(_xlfn.XLOOKUP(B307,'Base stats'!B:B,'Base stats'!E:E),Groups!A:A,Groups!H:H)/1000,IF((_xlfn.XLOOKUP(B307,'Base stats'!B:B,'Base stats'!AQ:AQ)*_xlfn.XLOOKUP(_xlfn.XLOOKUP(B307,'Base stats'!B:B,'Base stats'!E:E),Groups!A:A,Groups!H:H)/1000)&gt;1,0.05,0.01))</f>
        <v>0.04</v>
      </c>
      <c r="AA307" s="18">
        <f>MROUND((1/2)*(_xlfn.XLOOKUP(_xlfn.XLOOKUP(B307,'Base stats'!B:B,'Base stats'!E:E),Groups!A:A,Groups!H:H)*_xlfn.XLOOKUP(_xlfn.XLOOKUP(B307,'Base stats'!B:B,'Base stats'!E:E),Groups!A:A,Groups!I:I))*_xlfn.XLOOKUP(B307,'Base stats'!B:B,'Base stats'!AQ:AQ)*0.01,0.05)</f>
        <v>0.2</v>
      </c>
      <c r="AB307" s="18">
        <f>MROUND(250*(Animals!AO307+Animals!AP307),25)</f>
        <v>275</v>
      </c>
      <c r="AC307" s="18" t="str">
        <f>_xlfn.XLOOKUP(_xlfn.XLOOKUP(B307,'Base stats'!B:B,'Base stats'!E:E),Groups!A:A,Groups!BJ:BJ)</f>
        <v>Birdlike</v>
      </c>
    </row>
    <row r="308" spans="1:29" ht="16.5" thickTop="1" thickBot="1" x14ac:dyDescent="0.3">
      <c r="A308" s="16" t="str">
        <f>Animals!A308</f>
        <v>OcularNightling</v>
      </c>
      <c r="B308" s="6" t="str">
        <f>Animals!B308</f>
        <v>Noctiluca oculatus</v>
      </c>
      <c r="C308" s="1" t="str">
        <f>Animals!C308</f>
        <v>&lt;li&gt;AA_OcularNightling&lt;/li&gt;</v>
      </c>
      <c r="D308" s="47">
        <f>MIN(MIN(6,_xlfn.XLOOKUP(A308,Animals!A:A,Animals!AO:AO))*20,MAX(MROUND(_xlfn.XLOOKUP(B308,'Base stats'!B:B,'Base stats'!BS:BS) * (_xlfn.XLOOKUP(B308,'Base stats'!B:B,'Base stats'!AO:AO)*5%)^0.9 / 21,0.1),0.05))</f>
        <v>2.7</v>
      </c>
      <c r="E308" s="11">
        <f>MROUND(_xlfn.XLOOKUP(B308,'Base stats'!B:B,'Base stats'!BG:BG) * 0.01 * 2 + 0.01, 0.05)</f>
        <v>2.25</v>
      </c>
      <c r="F308" s="7">
        <f>MROUND(_xlfn.XLOOKUP(B308,'Base stats'!B:B,'Base stats'!BD:BD)^0.25 / (_xlfn.XLOOKUP(B308,'Base stats'!B:B,'Base stats'!BK:BK) * 10) * 150 + 0.5 + _xlfn.XLOOKUP(B308,'Base stats'!B:B,'Base stats'!BW:BW), 0.05)</f>
        <v>2.0500000000000003</v>
      </c>
      <c r="G308" s="3" t="str">
        <f>IF(Animals!S308="No","No",
IF(_xlfn.XLOOKUP(B308,'Base stats'!B:B,'Base stats'!U:U)="No",
MAX(MROUND(_xlfn.XLOOKUP(B308,'Base stats'!B:B,'Base stats'!BT:BT) * _xlfn.XLOOKUP(B308,'Base stats'!B:B,'Base stats'!BP:BP)^0.9 / 21 * _xlfn.XLOOKUP(B308,'Base stats'!B:B,'Base stats'!BX:BX),0.1),0.05),
MAX(MROUND(((MIN(10,_xlfn.XLOOKUP(B308,'Base stats'!B:B,'Base stats'!U:U)))^0.4*_xlfn.XLOOKUP(B308,'Base stats'!B:B,'Base stats'!BH:BH)^0.73)^0.6 * _xlfn.XLOOKUP(B308,'Base stats'!B:B,'Base stats'!BX:BX),0.1),0.05)
))</f>
        <v>No</v>
      </c>
      <c r="H308" s="11" t="str">
        <f>IF(G308="No","No",
MROUND(_xlfn.XLOOKUP(B308,'Base stats'!B:B,'Base stats'!BH:BH) * 0.01 * 2 + 0.05, 0.05)
)</f>
        <v>No</v>
      </c>
      <c r="I308" s="11" t="str">
        <f>IF(G308="No","No",IF(_xlfn.XLOOKUP(B308,'Base stats'!B:B,'Base stats'!U:U)="No","No",
MROUND(_xlfn.XLOOKUP(B308,'Base stats'!B:B,'Base stats'!BT:BT)/10000+0.01,0.01)
))</f>
        <v>No</v>
      </c>
      <c r="J308" s="4" t="str">
        <f>IF(G308="No","No",
MROUND(_xlfn.XLOOKUP(B308,'Base stats'!B:B,'Base stats'!BE:BE)^0.25
/((_xlfn.XLOOKUP(B308,'Base stats'!B:B,'Base stats'!BL:BL))*10)*_xlfn.XLOOKUP(_xlfn.XLOOKUP(B308,'Base stats'!B:B,'Base stats'!E:E),Groups!A:A,Groups!Q:Q)*150 + 0.5 + _xlfn.XLOOKUP(B308,'Base stats'!B:B,'Base stats'!BW:BW),
0.05))</f>
        <v>No</v>
      </c>
      <c r="K308" s="3" t="str">
        <f>IF(Animals!X308="No","No",
IF(_xlfn.XLOOKUP(_xlfn.XLOOKUP(B308,'Base stats'!B:B,'Base stats'!E:E),Groups!A:A,Groups!BD:BD)=1,
MAX(MROUND(_xlfn.XLOOKUP(B308,'Base stats'!B:B,'Base stats'!BU:BU) * _xlfn.XLOOKUP(B308,'Base stats'!B:B,'Base stats'!BQ:BQ)^0.9 / 21 *_xlfn.XLOOKUP(B308,'Base stats'!B:B,'Base stats'!BX:BX),0.1),0.05),
MAX(MROUND(((MIN(10,_xlfn.XLOOKUP(B308,'Base stats'!B:B,'Base stats'!W:W)))^0.4*_xlfn.XLOOKUP(B308,'Base stats'!B:B,'Base stats'!BI:BI)^0.73)^0.6 *_xlfn.XLOOKUP(B308,'Base stats'!B:B,'Base stats'!BX:BX),0.1),0.05)
))</f>
        <v>No</v>
      </c>
      <c r="L308" s="11" t="str">
        <f>IF(K308="No","No",
MROUND(_xlfn.XLOOKUP(B308,'Base stats'!B:B,'Base stats'!BI:BI) * 0.01 *2 + 0.05, 0.05)
)</f>
        <v>No</v>
      </c>
      <c r="M308" s="5" t="str">
        <f>IF(K308="No","No",IF(_xlfn.XLOOKUP(_xlfn.XLOOKUP(B308,'Base stats'!B:B,'Base stats'!E:E),Groups!A:A,Groups!BD:BD)=1,"No",
MROUND(_xlfn.XLOOKUP(B308,'Base stats'!B:B,'Base stats'!BU:BU)/10000+0.01,0.01)
))</f>
        <v>No</v>
      </c>
      <c r="N308" s="4" t="str">
        <f>IF(K308="No","No",
MROUND(
  _xlfn.XLOOKUP(B308,'Base stats'!B:B,'Base stats'!BC:BC)^0.25
  / (_xlfn.XLOOKUP(B308,'Base stats'!B:B,'Base stats'!BM:BM) * 10)
  * _xlfn.XLOOKUP(
      _xlfn.XLOOKUP(B308,'Base stats'!B:B,'Base stats'!E:E),
      Groups!A:A,
      Groups!V:V
    ) * 150
  + MIN(12, _xlfn.XLOOKUP(B308,'Base stats'!B:B,'Base stats'!W:W))^(1/IF(_xlfn.XLOOKUP(_xlfn.XLOOKUP(B308,'Base stats'!B:B,'Base stats'!E:E),Groups!A:A,Groups!U:U)=1,100,10)) + 0.5 + _xlfn.XLOOKUP(B308,'Base stats'!B:B,'Base stats'!BW:BW),
0.05))</f>
        <v>No</v>
      </c>
      <c r="O308" s="3">
        <f>IF(Animals!AD308="No","No",
MAX(MROUND((MIN(10,_xlfn.XLOOKUP(B308,'Base stats'!B:B,'Base stats'!V:V)*IF(_xlfn.XLOOKUP(_xlfn.XLOOKUP(B308,'Base stats'!B:B,'Base stats'!E:E),Groups!A:A,Groups!O:O)=0,1,0.33))^0.4*_xlfn.XLOOKUP(B308,'Base stats'!B:B,'Base stats'!BJ:BJ)^0.73)^0.6 *_xlfn.XLOOKUP(B308,'Base stats'!B:B,'Base stats'!BX:BX),0.1),0.05)
)</f>
        <v>11.9</v>
      </c>
      <c r="P308" s="11">
        <f>IF(O308="No","No",
MROUND(_xlfn.XLOOKUP(B308,'Base stats'!B:B,'Base stats'!BJ:BJ) * 0.01 * 2 + 0.05, 0.05)
)</f>
        <v>2.75</v>
      </c>
      <c r="Q308" s="5">
        <f>IF(O308="No","No",
MROUND(_xlfn.XLOOKUP(B308,'Base stats'!B:B,'Base stats'!BV:BV)/10000+0.01,0.01)
)</f>
        <v>0.16</v>
      </c>
      <c r="R308" s="4">
        <f>IF(O308="No","No",
MROUND(_xlfn.XLOOKUP(B308,'Base stats'!B:B,'Base stats'!BB:BB)^0.25
/((_xlfn.XLOOKUP(B308,'Base stats'!B:B,'Base stats'!BN:BN))*10)*_xlfn.XLOOKUP(_xlfn.XLOOKUP(B308,'Base stats'!B:B,'Base stats'!E:E),Groups!A:A,Groups!Z:Z)*150 + 0.5 + _xlfn.XLOOKUP(B308,'Base stats'!B:B,'Base stats'!BW:BW),
0.05))</f>
        <v>2</v>
      </c>
      <c r="S308" s="3">
        <f>IF(Animals!AI308="No","No",
IF(_xlfn.XLOOKUP(B308,'Base stats'!B:B,'Base stats'!U:U)="No",
MAX(MROUND(_xlfn.XLOOKUP(B308,'Base stats'!B:B,'Base stats'!BT:BT) * _xlfn.XLOOKUP(B308,'Base stats'!B:B,'Base stats'!BP:BP)^0.9 / 21 * _xlfn.XLOOKUP(B308,'Base stats'!B:B,'Base stats'!BX:BX),0.1),0.05),
MAX(MROUND(((MIN(12,_xlfn.XLOOKUP(B308,'Base stats'!B:B,'Base stats'!U:U)))^0.4*_xlfn.XLOOKUP(B308,'Base stats'!B:B,'Base stats'!BH:BH)^0.73)^0.6 * _xlfn.XLOOKUP(B308,'Base stats'!B:B,'Base stats'!BX:BX),0.1),0.05)
))</f>
        <v>12.9</v>
      </c>
      <c r="T308" s="11">
        <f>IF(S308="No","No",
MROUND(_xlfn.XLOOKUP(B308,'Base stats'!B:B,'Base stats'!BH:BH) * 0.01 * 2 + 0.05, 0.05)
)</f>
        <v>2.9000000000000004</v>
      </c>
      <c r="U308" s="5">
        <f>IF(S308="No","No",IF(_xlfn.XLOOKUP(B308,'Base stats'!B:B,'Base stats'!U:U)="No","No",
MROUND(_xlfn.XLOOKUP(B308,'Base stats'!B:B,'Base stats'!BT:BT)/10000+0.01,0.01)
))</f>
        <v>0.17</v>
      </c>
      <c r="V308" s="4">
        <f>IF(S308="No","No",
MROUND(_xlfn.XLOOKUP(B308,'Base stats'!B:B,'Base stats'!BF:BF)^0.25
/((_xlfn.XLOOKUP(B308,'Base stats'!B:B,'Base stats'!BO:BO))*10)*_xlfn.XLOOKUP(_xlfn.XLOOKUP(B308,'Base stats'!B:B,'Base stats'!E:E),Groups!A:A,Groups!AE:AE)*150 + 0.5 + _xlfn.XLOOKUP(B308,'Base stats'!B:B,'Base stats'!BW:BW),
0.05))</f>
        <v>1.4500000000000002</v>
      </c>
      <c r="W308" s="8">
        <f>MROUND(_xlfn.XLOOKUP(_xlfn.XLOOKUP(B308,'Base stats'!B:B,'Base stats'!E:E),Groups!A:A,Groups!BG:BG)*_xlfn.XLOOKUP(B308,'Base stats'!B:B,'Base stats'!C:C)^-0.165,0.05)</f>
        <v>0.55000000000000004</v>
      </c>
      <c r="X308" s="1">
        <f>MROUND(_xlfn.XLOOKUP(_xlfn.XLOOKUP(B308,'Base stats'!B:B,'Base stats'!E:E),Groups!A:A,Groups!BH:BH)*_xlfn.XLOOKUP(B308,'Base stats'!B:B,'Base stats'!C:C)^0.165,0.05)</f>
        <v>0.4</v>
      </c>
      <c r="Y308" s="8">
        <f>MROUND(_xlfn.XLOOKUP(_xlfn.XLOOKUP(B308,'Base stats'!B:B,'Base stats'!E:E),Groups!A:A,Groups!BI:BI)*_xlfn.XLOOKUP(B308,'Base stats'!B:B,'Base stats'!C:C)^0.165,0.05)</f>
        <v>0.05</v>
      </c>
      <c r="Z308" s="18">
        <f>MROUND(_xlfn.XLOOKUP(B308,'Base stats'!B:B,'Base stats'!AQ:AQ)*_xlfn.XLOOKUP(_xlfn.XLOOKUP(B308,'Base stats'!B:B,'Base stats'!E:E),Groups!A:A,Groups!H:H)/1000,IF((_xlfn.XLOOKUP(B308,'Base stats'!B:B,'Base stats'!AQ:AQ)*_xlfn.XLOOKUP(_xlfn.XLOOKUP(B308,'Base stats'!B:B,'Base stats'!E:E),Groups!A:A,Groups!H:H)/1000)&gt;1,0.05,0.01))</f>
        <v>0.1</v>
      </c>
      <c r="AA308" s="18">
        <f>MROUND((1/2)*(_xlfn.XLOOKUP(_xlfn.XLOOKUP(B308,'Base stats'!B:B,'Base stats'!E:E),Groups!A:A,Groups!H:H)*_xlfn.XLOOKUP(_xlfn.XLOOKUP(B308,'Base stats'!B:B,'Base stats'!E:E),Groups!A:A,Groups!I:I))*_xlfn.XLOOKUP(B308,'Base stats'!B:B,'Base stats'!AQ:AQ)*0.01,0.05)</f>
        <v>0.4</v>
      </c>
      <c r="AB308" s="18">
        <f>MROUND(250*(Animals!AO308+Animals!AP308),25)</f>
        <v>600</v>
      </c>
      <c r="AC308" s="18" t="str">
        <f>_xlfn.XLOOKUP(_xlfn.XLOOKUP(B308,'Base stats'!B:B,'Base stats'!E:E),Groups!A:A,Groups!BJ:BJ)</f>
        <v>QuadrupedLow</v>
      </c>
    </row>
    <row r="309" spans="1:29" ht="16.5" thickTop="1" thickBot="1" x14ac:dyDescent="0.3">
      <c r="A309" s="16" t="str">
        <f>Animals!A309</f>
        <v>OvergrownColossus</v>
      </c>
      <c r="B309" s="6" t="str">
        <f>Animals!B309</f>
        <v>Colossus herbosus</v>
      </c>
      <c r="C309" s="1" t="str">
        <f>Animals!C309</f>
        <v>&lt;li&gt;AA_OvergrownColossus&lt;/li&gt;</v>
      </c>
      <c r="D309" s="47">
        <f>MIN(MIN(6,_xlfn.XLOOKUP(A309,Animals!A:A,Animals!AO:AO))*20,MAX(MROUND(_xlfn.XLOOKUP(B309,'Base stats'!B:B,'Base stats'!BS:BS) * (_xlfn.XLOOKUP(B309,'Base stats'!B:B,'Base stats'!AO:AO)*5%)^0.9 / 21,0.1),0.05))</f>
        <v>74.400000000000006</v>
      </c>
      <c r="E309" s="11">
        <f>MROUND(_xlfn.XLOOKUP(B309,'Base stats'!B:B,'Base stats'!BG:BG) * 0.01 * 2 + 0.01, 0.05)</f>
        <v>85</v>
      </c>
      <c r="F309" s="7">
        <f>MROUND(_xlfn.XLOOKUP(B309,'Base stats'!B:B,'Base stats'!BD:BD)^0.25 / (_xlfn.XLOOKUP(B309,'Base stats'!B:B,'Base stats'!BK:BK) * 10) * 150 + 0.5 + _xlfn.XLOOKUP(B309,'Base stats'!B:B,'Base stats'!BW:BW), 0.05)</f>
        <v>3.2</v>
      </c>
      <c r="G309" s="3" t="str">
        <f>IF(Animals!S309="No","No",
IF(_xlfn.XLOOKUP(B309,'Base stats'!B:B,'Base stats'!U:U)="No",
MAX(MROUND(_xlfn.XLOOKUP(B309,'Base stats'!B:B,'Base stats'!BT:BT) * _xlfn.XLOOKUP(B309,'Base stats'!B:B,'Base stats'!BP:BP)^0.9 / 21 * _xlfn.XLOOKUP(B309,'Base stats'!B:B,'Base stats'!BX:BX),0.1),0.05),
MAX(MROUND(((MIN(10,_xlfn.XLOOKUP(B309,'Base stats'!B:B,'Base stats'!U:U)))^0.4*_xlfn.XLOOKUP(B309,'Base stats'!B:B,'Base stats'!BH:BH)^0.73)^0.6 * _xlfn.XLOOKUP(B309,'Base stats'!B:B,'Base stats'!BX:BX),0.1),0.05)
))</f>
        <v>No</v>
      </c>
      <c r="H309" s="11" t="str">
        <f>IF(G309="No","No",
MROUND(_xlfn.XLOOKUP(B309,'Base stats'!B:B,'Base stats'!BH:BH) * 0.01 * 2 + 0.05, 0.05)
)</f>
        <v>No</v>
      </c>
      <c r="I309" s="11" t="str">
        <f>IF(G309="No","No",IF(_xlfn.XLOOKUP(B309,'Base stats'!B:B,'Base stats'!U:U)="No","No",
MROUND(_xlfn.XLOOKUP(B309,'Base stats'!B:B,'Base stats'!BT:BT)/10000+0.01,0.01)
))</f>
        <v>No</v>
      </c>
      <c r="J309" s="4" t="str">
        <f>IF(G309="No","No",
MROUND(_xlfn.XLOOKUP(B309,'Base stats'!B:B,'Base stats'!BE:BE)^0.25
/((_xlfn.XLOOKUP(B309,'Base stats'!B:B,'Base stats'!BL:BL))*10)*_xlfn.XLOOKUP(_xlfn.XLOOKUP(B309,'Base stats'!B:B,'Base stats'!E:E),Groups!A:A,Groups!Q:Q)*150 + 0.5 + _xlfn.XLOOKUP(B309,'Base stats'!B:B,'Base stats'!BW:BW),
0.05))</f>
        <v>No</v>
      </c>
      <c r="K309" s="3" t="str">
        <f>IF(Animals!X309="No","No",
IF(_xlfn.XLOOKUP(_xlfn.XLOOKUP(B309,'Base stats'!B:B,'Base stats'!E:E),Groups!A:A,Groups!BD:BD)=1,
MAX(MROUND(_xlfn.XLOOKUP(B309,'Base stats'!B:B,'Base stats'!BU:BU) * _xlfn.XLOOKUP(B309,'Base stats'!B:B,'Base stats'!BQ:BQ)^0.9 / 21 *_xlfn.XLOOKUP(B309,'Base stats'!B:B,'Base stats'!BX:BX),0.1),0.05),
MAX(MROUND(((MIN(10,_xlfn.XLOOKUP(B309,'Base stats'!B:B,'Base stats'!W:W)))^0.4*_xlfn.XLOOKUP(B309,'Base stats'!B:B,'Base stats'!BI:BI)^0.73)^0.6 *_xlfn.XLOOKUP(B309,'Base stats'!B:B,'Base stats'!BX:BX),0.1),0.05)
))</f>
        <v>No</v>
      </c>
      <c r="L309" s="11" t="str">
        <f>IF(K309="No","No",
MROUND(_xlfn.XLOOKUP(B309,'Base stats'!B:B,'Base stats'!BI:BI) * 0.01 *2 + 0.05, 0.05)
)</f>
        <v>No</v>
      </c>
      <c r="M309" s="5" t="str">
        <f>IF(K309="No","No",IF(_xlfn.XLOOKUP(_xlfn.XLOOKUP(B309,'Base stats'!B:B,'Base stats'!E:E),Groups!A:A,Groups!BD:BD)=1,"No",
MROUND(_xlfn.XLOOKUP(B309,'Base stats'!B:B,'Base stats'!BU:BU)/10000+0.01,0.01)
))</f>
        <v>No</v>
      </c>
      <c r="N309" s="4" t="str">
        <f>IF(K309="No","No",
MROUND(
  _xlfn.XLOOKUP(B309,'Base stats'!B:B,'Base stats'!BC:BC)^0.25
  / (_xlfn.XLOOKUP(B309,'Base stats'!B:B,'Base stats'!BM:BM) * 10)
  * _xlfn.XLOOKUP(
      _xlfn.XLOOKUP(B309,'Base stats'!B:B,'Base stats'!E:E),
      Groups!A:A,
      Groups!V:V
    ) * 150
  + MIN(12, _xlfn.XLOOKUP(B309,'Base stats'!B:B,'Base stats'!W:W))^(1/IF(_xlfn.XLOOKUP(_xlfn.XLOOKUP(B309,'Base stats'!B:B,'Base stats'!E:E),Groups!A:A,Groups!U:U)=1,100,10)) + 0.5 + _xlfn.XLOOKUP(B309,'Base stats'!B:B,'Base stats'!BW:BW),
0.05))</f>
        <v>No</v>
      </c>
      <c r="O309" s="3">
        <f>IF(Animals!AD309="No","No",
MAX(MROUND((MIN(10,_xlfn.XLOOKUP(B309,'Base stats'!B:B,'Base stats'!V:V)*IF(_xlfn.XLOOKUP(_xlfn.XLOOKUP(B309,'Base stats'!B:B,'Base stats'!E:E),Groups!A:A,Groups!O:O)=0,1,0.33))^0.4*_xlfn.XLOOKUP(B309,'Base stats'!B:B,'Base stats'!BJ:BJ)^0.73)^0.6 *_xlfn.XLOOKUP(B309,'Base stats'!B:B,'Base stats'!BX:BX),0.1),0.05)
)</f>
        <v>46.5</v>
      </c>
      <c r="P309" s="11">
        <f>IF(O309="No","No",
MROUND(_xlfn.XLOOKUP(B309,'Base stats'!B:B,'Base stats'!BJ:BJ) * 0.01 * 2 + 0.05, 0.05)
)</f>
        <v>48.1</v>
      </c>
      <c r="Q309" s="5">
        <f>IF(O309="No","No",
MROUND(_xlfn.XLOOKUP(B309,'Base stats'!B:B,'Base stats'!BV:BV)/10000+0.01,0.01)
)</f>
        <v>0.39</v>
      </c>
      <c r="R309" s="4">
        <f>IF(O309="No","No",
MROUND(_xlfn.XLOOKUP(B309,'Base stats'!B:B,'Base stats'!BB:BB)^0.25
/((_xlfn.XLOOKUP(B309,'Base stats'!B:B,'Base stats'!BN:BN))*10)*_xlfn.XLOOKUP(_xlfn.XLOOKUP(B309,'Base stats'!B:B,'Base stats'!E:E),Groups!A:A,Groups!Z:Z)*150 + 0.5 + _xlfn.XLOOKUP(B309,'Base stats'!B:B,'Base stats'!BW:BW),
0.05))</f>
        <v>2.8000000000000003</v>
      </c>
      <c r="S309" s="3" t="str">
        <f>IF(Animals!AI309="No","No",
IF(_xlfn.XLOOKUP(B309,'Base stats'!B:B,'Base stats'!U:U)="No",
MAX(MROUND(_xlfn.XLOOKUP(B309,'Base stats'!B:B,'Base stats'!BT:BT) * _xlfn.XLOOKUP(B309,'Base stats'!B:B,'Base stats'!BP:BP)^0.9 / 21 * _xlfn.XLOOKUP(B309,'Base stats'!B:B,'Base stats'!BX:BX),0.1),0.05),
MAX(MROUND(((MIN(12,_xlfn.XLOOKUP(B309,'Base stats'!B:B,'Base stats'!U:U)))^0.4*_xlfn.XLOOKUP(B309,'Base stats'!B:B,'Base stats'!BH:BH)^0.73)^0.6 * _xlfn.XLOOKUP(B309,'Base stats'!B:B,'Base stats'!BX:BX),0.1),0.05)
))</f>
        <v>No</v>
      </c>
      <c r="T309" s="11" t="str">
        <f>IF(S309="No","No",
MROUND(_xlfn.XLOOKUP(B309,'Base stats'!B:B,'Base stats'!BH:BH) * 0.01 * 2 + 0.05, 0.05)
)</f>
        <v>No</v>
      </c>
      <c r="U309" s="5" t="str">
        <f>IF(S309="No","No",IF(_xlfn.XLOOKUP(B309,'Base stats'!B:B,'Base stats'!U:U)="No","No",
MROUND(_xlfn.XLOOKUP(B309,'Base stats'!B:B,'Base stats'!BT:BT)/10000+0.01,0.01)
))</f>
        <v>No</v>
      </c>
      <c r="V309" s="4" t="str">
        <f>IF(S309="No","No",
MROUND(_xlfn.XLOOKUP(B309,'Base stats'!B:B,'Base stats'!BF:BF)^0.25
/((_xlfn.XLOOKUP(B309,'Base stats'!B:B,'Base stats'!BO:BO))*10)*_xlfn.XLOOKUP(_xlfn.XLOOKUP(B309,'Base stats'!B:B,'Base stats'!E:E),Groups!A:A,Groups!AE:AE)*150 + 0.5 + _xlfn.XLOOKUP(B309,'Base stats'!B:B,'Base stats'!BW:BW),
0.05))</f>
        <v>No</v>
      </c>
      <c r="W309" s="8">
        <f>MROUND(_xlfn.XLOOKUP(_xlfn.XLOOKUP(B309,'Base stats'!B:B,'Base stats'!E:E),Groups!A:A,Groups!BG:BG)*_xlfn.XLOOKUP(B309,'Base stats'!B:B,'Base stats'!C:C)^-0.165,0.05)</f>
        <v>0.05</v>
      </c>
      <c r="X309" s="1">
        <f>MROUND(_xlfn.XLOOKUP(_xlfn.XLOOKUP(B309,'Base stats'!B:B,'Base stats'!E:E),Groups!A:A,Groups!BH:BH)*_xlfn.XLOOKUP(B309,'Base stats'!B:B,'Base stats'!C:C)^0.165,0.05)</f>
        <v>0.70000000000000007</v>
      </c>
      <c r="Y309" s="8">
        <f>MROUND(_xlfn.XLOOKUP(_xlfn.XLOOKUP(B309,'Base stats'!B:B,'Base stats'!E:E),Groups!A:A,Groups!BI:BI)*_xlfn.XLOOKUP(B309,'Base stats'!B:B,'Base stats'!C:C)^0.165,0.05)</f>
        <v>0.1</v>
      </c>
      <c r="Z309" s="18">
        <f>MROUND(_xlfn.XLOOKUP(B309,'Base stats'!B:B,'Base stats'!AQ:AQ)*_xlfn.XLOOKUP(_xlfn.XLOOKUP(B309,'Base stats'!B:B,'Base stats'!E:E),Groups!A:A,Groups!H:H)/1000,IF((_xlfn.XLOOKUP(B309,'Base stats'!B:B,'Base stats'!AQ:AQ)*_xlfn.XLOOKUP(_xlfn.XLOOKUP(B309,'Base stats'!B:B,'Base stats'!E:E),Groups!A:A,Groups!H:H)/1000)&gt;1,0.05,0.01))</f>
        <v>10.600000000000001</v>
      </c>
      <c r="AA309" s="18">
        <f>MROUND((1/2)*(_xlfn.XLOOKUP(_xlfn.XLOOKUP(B309,'Base stats'!B:B,'Base stats'!E:E),Groups!A:A,Groups!H:H)*_xlfn.XLOOKUP(_xlfn.XLOOKUP(B309,'Base stats'!B:B,'Base stats'!E:E),Groups!A:A,Groups!I:I))*_xlfn.XLOOKUP(B309,'Base stats'!B:B,'Base stats'!AQ:AQ)*0.01,0.05)</f>
        <v>15.950000000000001</v>
      </c>
      <c r="AB309" s="18">
        <f>MROUND(250*(Animals!AO309+Animals!AP309),25)</f>
        <v>4075</v>
      </c>
      <c r="AC309" s="18" t="str">
        <f>_xlfn.XLOOKUP(_xlfn.XLOOKUP(B309,'Base stats'!B:B,'Base stats'!E:E),Groups!A:A,Groups!BJ:BJ)</f>
        <v>Quadruped</v>
      </c>
    </row>
    <row r="310" spans="1:29" ht="16.5" thickTop="1" thickBot="1" x14ac:dyDescent="0.3">
      <c r="A310" s="16" t="str">
        <f>Animals!A310</f>
        <v>PebbleMit</v>
      </c>
      <c r="B310" s="6" t="str">
        <f>Animals!B310</f>
        <v>Megacancer lapidus</v>
      </c>
      <c r="C310" s="1" t="str">
        <f>Animals!C310</f>
        <v>&lt;li&gt;AA_PebbleMit&lt;/li&gt;</v>
      </c>
      <c r="D310" s="47">
        <f>MIN(MIN(6,_xlfn.XLOOKUP(A310,Animals!A:A,Animals!AO:AO))*20,MAX(MROUND(_xlfn.XLOOKUP(B310,'Base stats'!B:B,'Base stats'!BS:BS) * (_xlfn.XLOOKUP(B310,'Base stats'!B:B,'Base stats'!AO:AO)*5%)^0.9 / 21,0.1),0.05))</f>
        <v>0.5</v>
      </c>
      <c r="E310" s="11">
        <f>MROUND(_xlfn.XLOOKUP(B310,'Base stats'!B:B,'Base stats'!BG:BG) * 0.01 * 2 + 0.01, 0.05)</f>
        <v>0.4</v>
      </c>
      <c r="F310" s="7">
        <f>MROUND(_xlfn.XLOOKUP(B310,'Base stats'!B:B,'Base stats'!BD:BD)^0.25 / (_xlfn.XLOOKUP(B310,'Base stats'!B:B,'Base stats'!BK:BK) * 10) * 150 + 0.5 + _xlfn.XLOOKUP(B310,'Base stats'!B:B,'Base stats'!BW:BW), 0.05)</f>
        <v>1.85</v>
      </c>
      <c r="G310" s="3" t="str">
        <f>IF(Animals!S310="No","No",
IF(_xlfn.XLOOKUP(B310,'Base stats'!B:B,'Base stats'!U:U)="No",
MAX(MROUND(_xlfn.XLOOKUP(B310,'Base stats'!B:B,'Base stats'!BT:BT) * _xlfn.XLOOKUP(B310,'Base stats'!B:B,'Base stats'!BP:BP)^0.9 / 21 * _xlfn.XLOOKUP(B310,'Base stats'!B:B,'Base stats'!BX:BX),0.1),0.05),
MAX(MROUND(((MIN(10,_xlfn.XLOOKUP(B310,'Base stats'!B:B,'Base stats'!U:U)))^0.4*_xlfn.XLOOKUP(B310,'Base stats'!B:B,'Base stats'!BH:BH)^0.73)^0.6 * _xlfn.XLOOKUP(B310,'Base stats'!B:B,'Base stats'!BX:BX),0.1),0.05)
))</f>
        <v>No</v>
      </c>
      <c r="H310" s="11" t="str">
        <f>IF(G310="No","No",
MROUND(_xlfn.XLOOKUP(B310,'Base stats'!B:B,'Base stats'!BH:BH) * 0.01 * 2 + 0.05, 0.05)
)</f>
        <v>No</v>
      </c>
      <c r="I310" s="11" t="str">
        <f>IF(G310="No","No",IF(_xlfn.XLOOKUP(B310,'Base stats'!B:B,'Base stats'!U:U)="No","No",
MROUND(_xlfn.XLOOKUP(B310,'Base stats'!B:B,'Base stats'!BT:BT)/10000+0.01,0.01)
))</f>
        <v>No</v>
      </c>
      <c r="J310" s="4" t="str">
        <f>IF(G310="No","No",
MROUND(_xlfn.XLOOKUP(B310,'Base stats'!B:B,'Base stats'!BE:BE)^0.25
/((_xlfn.XLOOKUP(B310,'Base stats'!B:B,'Base stats'!BL:BL))*10)*_xlfn.XLOOKUP(_xlfn.XLOOKUP(B310,'Base stats'!B:B,'Base stats'!E:E),Groups!A:A,Groups!Q:Q)*150 + 0.5 + _xlfn.XLOOKUP(B310,'Base stats'!B:B,'Base stats'!BW:BW),
0.05))</f>
        <v>No</v>
      </c>
      <c r="K310" s="3" t="str">
        <f>IF(Animals!X310="No","No",
IF(_xlfn.XLOOKUP(_xlfn.XLOOKUP(B310,'Base stats'!B:B,'Base stats'!E:E),Groups!A:A,Groups!BD:BD)=1,
MAX(MROUND(_xlfn.XLOOKUP(B310,'Base stats'!B:B,'Base stats'!BU:BU) * _xlfn.XLOOKUP(B310,'Base stats'!B:B,'Base stats'!BQ:BQ)^0.9 / 21 *_xlfn.XLOOKUP(B310,'Base stats'!B:B,'Base stats'!BX:BX),0.1),0.05),
MAX(MROUND(((MIN(10,_xlfn.XLOOKUP(B310,'Base stats'!B:B,'Base stats'!W:W)))^0.4*_xlfn.XLOOKUP(B310,'Base stats'!B:B,'Base stats'!BI:BI)^0.73)^0.6 *_xlfn.XLOOKUP(B310,'Base stats'!B:B,'Base stats'!BX:BX),0.1),0.05)
))</f>
        <v>No</v>
      </c>
      <c r="L310" s="11" t="str">
        <f>IF(K310="No","No",
MROUND(_xlfn.XLOOKUP(B310,'Base stats'!B:B,'Base stats'!BI:BI) * 0.01 *2 + 0.05, 0.05)
)</f>
        <v>No</v>
      </c>
      <c r="M310" s="5" t="str">
        <f>IF(K310="No","No",IF(_xlfn.XLOOKUP(_xlfn.XLOOKUP(B310,'Base stats'!B:B,'Base stats'!E:E),Groups!A:A,Groups!BD:BD)=1,"No",
MROUND(_xlfn.XLOOKUP(B310,'Base stats'!B:B,'Base stats'!BU:BU)/10000+0.01,0.01)
))</f>
        <v>No</v>
      </c>
      <c r="N310" s="4" t="str">
        <f>IF(K310="No","No",
MROUND(
  _xlfn.XLOOKUP(B310,'Base stats'!B:B,'Base stats'!BC:BC)^0.25
  / (_xlfn.XLOOKUP(B310,'Base stats'!B:B,'Base stats'!BM:BM) * 10)
  * _xlfn.XLOOKUP(
      _xlfn.XLOOKUP(B310,'Base stats'!B:B,'Base stats'!E:E),
      Groups!A:A,
      Groups!V:V
    ) * 150
  + MIN(12, _xlfn.XLOOKUP(B310,'Base stats'!B:B,'Base stats'!W:W))^(1/IF(_xlfn.XLOOKUP(_xlfn.XLOOKUP(B310,'Base stats'!B:B,'Base stats'!E:E),Groups!A:A,Groups!U:U)=1,100,10)) + 0.5 + _xlfn.XLOOKUP(B310,'Base stats'!B:B,'Base stats'!BW:BW),
0.05))</f>
        <v>No</v>
      </c>
      <c r="O310" s="3" t="str">
        <f>IF(Animals!AD310="No","No",
MAX(MROUND((MIN(10,_xlfn.XLOOKUP(B310,'Base stats'!B:B,'Base stats'!V:V)*IF(_xlfn.XLOOKUP(_xlfn.XLOOKUP(B310,'Base stats'!B:B,'Base stats'!E:E),Groups!A:A,Groups!O:O)=0,1,0.33))^0.4*_xlfn.XLOOKUP(B310,'Base stats'!B:B,'Base stats'!BJ:BJ)^0.73)^0.6 *_xlfn.XLOOKUP(B310,'Base stats'!B:B,'Base stats'!BX:BX),0.1),0.05)
)</f>
        <v>No</v>
      </c>
      <c r="P310" s="11" t="str">
        <f>IF(O310="No","No",
MROUND(_xlfn.XLOOKUP(B310,'Base stats'!B:B,'Base stats'!BJ:BJ) * 0.01 * 2 + 0.05, 0.05)
)</f>
        <v>No</v>
      </c>
      <c r="Q310" s="5" t="str">
        <f>IF(O310="No","No",
MROUND(_xlfn.XLOOKUP(B310,'Base stats'!B:B,'Base stats'!BV:BV)/10000+0.01,0.01)
)</f>
        <v>No</v>
      </c>
      <c r="R310" s="4" t="str">
        <f>IF(O310="No","No",
MROUND(_xlfn.XLOOKUP(B310,'Base stats'!B:B,'Base stats'!BB:BB)^0.25
/((_xlfn.XLOOKUP(B310,'Base stats'!B:B,'Base stats'!BN:BN))*10)*_xlfn.XLOOKUP(_xlfn.XLOOKUP(B310,'Base stats'!B:B,'Base stats'!E:E),Groups!A:A,Groups!Z:Z)*150 + 0.5 + _xlfn.XLOOKUP(B310,'Base stats'!B:B,'Base stats'!BW:BW),
0.05))</f>
        <v>No</v>
      </c>
      <c r="S310" s="3">
        <f>IF(Animals!AI310="No","No",
IF(_xlfn.XLOOKUP(B310,'Base stats'!B:B,'Base stats'!U:U)="No",
MAX(MROUND(_xlfn.XLOOKUP(B310,'Base stats'!B:B,'Base stats'!BT:BT) * _xlfn.XLOOKUP(B310,'Base stats'!B:B,'Base stats'!BP:BP)^0.9 / 21 * _xlfn.XLOOKUP(B310,'Base stats'!B:B,'Base stats'!BX:BX),0.1),0.05),
MAX(MROUND(((MIN(12,_xlfn.XLOOKUP(B310,'Base stats'!B:B,'Base stats'!U:U)))^0.4*_xlfn.XLOOKUP(B310,'Base stats'!B:B,'Base stats'!BH:BH)^0.73)^0.6 * _xlfn.XLOOKUP(B310,'Base stats'!B:B,'Base stats'!BX:BX),0.1),0.05)
))</f>
        <v>4.5</v>
      </c>
      <c r="T310" s="11">
        <f>IF(S310="No","No",
MROUND(_xlfn.XLOOKUP(B310,'Base stats'!B:B,'Base stats'!BH:BH) * 0.01 * 2 + 0.05, 0.05)
)</f>
        <v>0.5</v>
      </c>
      <c r="U310" s="5">
        <f>IF(S310="No","No",IF(_xlfn.XLOOKUP(B310,'Base stats'!B:B,'Base stats'!U:U)="No","No",
MROUND(_xlfn.XLOOKUP(B310,'Base stats'!B:B,'Base stats'!BT:BT)/10000+0.01,0.01)
))</f>
        <v>0.41000000000000003</v>
      </c>
      <c r="V310" s="4">
        <f>IF(S310="No","No",
MROUND(_xlfn.XLOOKUP(B310,'Base stats'!B:B,'Base stats'!BF:BF)^0.25
/((_xlfn.XLOOKUP(B310,'Base stats'!B:B,'Base stats'!BO:BO))*10)*_xlfn.XLOOKUP(_xlfn.XLOOKUP(B310,'Base stats'!B:B,'Base stats'!E:E),Groups!A:A,Groups!AE:AE)*150 + 0.5 + _xlfn.XLOOKUP(B310,'Base stats'!B:B,'Base stats'!BW:BW),
0.05))</f>
        <v>2.85</v>
      </c>
      <c r="W310" s="8">
        <f>MROUND(_xlfn.XLOOKUP(_xlfn.XLOOKUP(B310,'Base stats'!B:B,'Base stats'!E:E),Groups!A:A,Groups!BG:BG)*_xlfn.XLOOKUP(B310,'Base stats'!B:B,'Base stats'!C:C)^-0.165,0.05)</f>
        <v>0.15000000000000002</v>
      </c>
      <c r="X310" s="1">
        <f>MROUND(_xlfn.XLOOKUP(_xlfn.XLOOKUP(B310,'Base stats'!B:B,'Base stats'!E:E),Groups!A:A,Groups!BH:BH)*_xlfn.XLOOKUP(B310,'Base stats'!B:B,'Base stats'!C:C)^0.165,0.05)</f>
        <v>0</v>
      </c>
      <c r="Y310" s="8">
        <f>MROUND(_xlfn.XLOOKUP(_xlfn.XLOOKUP(B310,'Base stats'!B:B,'Base stats'!E:E),Groups!A:A,Groups!BI:BI)*_xlfn.XLOOKUP(B310,'Base stats'!B:B,'Base stats'!C:C)^0.165,0.05)</f>
        <v>0</v>
      </c>
      <c r="Z310" s="18">
        <f>MROUND(_xlfn.XLOOKUP(B310,'Base stats'!B:B,'Base stats'!AQ:AQ)*_xlfn.XLOOKUP(_xlfn.XLOOKUP(B310,'Base stats'!B:B,'Base stats'!E:E),Groups!A:A,Groups!H:H)/1000,IF((_xlfn.XLOOKUP(B310,'Base stats'!B:B,'Base stats'!AQ:AQ)*_xlfn.XLOOKUP(_xlfn.XLOOKUP(B310,'Base stats'!B:B,'Base stats'!E:E),Groups!A:A,Groups!H:H)/1000)&gt;1,0.05,0.01))</f>
        <v>0.88</v>
      </c>
      <c r="AA310" s="18">
        <f>MROUND((1/2)*(_xlfn.XLOOKUP(_xlfn.XLOOKUP(B310,'Base stats'!B:B,'Base stats'!E:E),Groups!A:A,Groups!H:H)*_xlfn.XLOOKUP(_xlfn.XLOOKUP(B310,'Base stats'!B:B,'Base stats'!E:E),Groups!A:A,Groups!I:I))*_xlfn.XLOOKUP(B310,'Base stats'!B:B,'Base stats'!AQ:AQ)*0.01,0.05)</f>
        <v>0</v>
      </c>
      <c r="AB310" s="18">
        <f>MROUND(250*(Animals!AO310+Animals!AP310),25)</f>
        <v>325</v>
      </c>
      <c r="AC310" s="18" t="str">
        <f>_xlfn.XLOOKUP(_xlfn.XLOOKUP(B310,'Base stats'!B:B,'Base stats'!E:E),Groups!A:A,Groups!BJ:BJ)</f>
        <v>Quadruped</v>
      </c>
    </row>
    <row r="311" spans="1:29" ht="16.5" thickTop="1" thickBot="1" x14ac:dyDescent="0.3">
      <c r="A311" s="16" t="str">
        <f>Animals!A311</f>
        <v>PedigreedRaptor</v>
      </c>
      <c r="B311" s="6" t="str">
        <f>Animals!B311</f>
        <v>Velociraptor nobilis</v>
      </c>
      <c r="C311" s="1" t="str">
        <f>Animals!C311</f>
        <v>&lt;li&gt;AA_PedigreedRaptor&lt;/li&gt;</v>
      </c>
      <c r="D311" s="47">
        <f>MIN(MIN(6,_xlfn.XLOOKUP(A311,Animals!A:A,Animals!AO:AO))*20,MAX(MROUND(_xlfn.XLOOKUP(B311,'Base stats'!B:B,'Base stats'!BS:BS) * (_xlfn.XLOOKUP(B311,'Base stats'!B:B,'Base stats'!AO:AO)*5%)^0.9 / 21,0.1),0.05))</f>
        <v>0.8</v>
      </c>
      <c r="E311" s="11">
        <f>MROUND(_xlfn.XLOOKUP(B311,'Base stats'!B:B,'Base stats'!BG:BG) * 0.01 * 2 + 0.01, 0.05)</f>
        <v>0.60000000000000009</v>
      </c>
      <c r="F311" s="7">
        <f>MROUND(_xlfn.XLOOKUP(B311,'Base stats'!B:B,'Base stats'!BD:BD)^0.25 / (_xlfn.XLOOKUP(B311,'Base stats'!B:B,'Base stats'!BK:BK) * 10) * 150 + 0.5 + _xlfn.XLOOKUP(B311,'Base stats'!B:B,'Base stats'!BW:BW), 0.05)</f>
        <v>1.6500000000000001</v>
      </c>
      <c r="G311" s="3">
        <f>IF(Animals!S311="No","No",
IF(_xlfn.XLOOKUP(B311,'Base stats'!B:B,'Base stats'!U:U)="No",
MAX(MROUND(_xlfn.XLOOKUP(B311,'Base stats'!B:B,'Base stats'!BT:BT) * _xlfn.XLOOKUP(B311,'Base stats'!B:B,'Base stats'!BP:BP)^0.9 / 21 * _xlfn.XLOOKUP(B311,'Base stats'!B:B,'Base stats'!BX:BX),0.1),0.05),
MAX(MROUND(((MIN(10,_xlfn.XLOOKUP(B311,'Base stats'!B:B,'Base stats'!U:U)))^0.4*_xlfn.XLOOKUP(B311,'Base stats'!B:B,'Base stats'!BH:BH)^0.73)^0.6 * _xlfn.XLOOKUP(B311,'Base stats'!B:B,'Base stats'!BX:BX),0.1),0.05)
))</f>
        <v>7.1000000000000005</v>
      </c>
      <c r="H311" s="11">
        <f>IF(G311="No","No",
MROUND(_xlfn.XLOOKUP(B311,'Base stats'!B:B,'Base stats'!BH:BH) * 0.01 * 2 + 0.05, 0.05)
)</f>
        <v>0.85000000000000009</v>
      </c>
      <c r="I311" s="11">
        <f>IF(G311="No","No",IF(_xlfn.XLOOKUP(B311,'Base stats'!B:B,'Base stats'!U:U)="No","No",
MROUND(_xlfn.XLOOKUP(B311,'Base stats'!B:B,'Base stats'!BT:BT)/10000+0.01,0.01)
))</f>
        <v>0.09</v>
      </c>
      <c r="J311" s="4">
        <f>IF(G311="No","No",
MROUND(_xlfn.XLOOKUP(B311,'Base stats'!B:B,'Base stats'!BE:BE)^0.25
/((_xlfn.XLOOKUP(B311,'Base stats'!B:B,'Base stats'!BL:BL))*10)*_xlfn.XLOOKUP(_xlfn.XLOOKUP(B311,'Base stats'!B:B,'Base stats'!E:E),Groups!A:A,Groups!Q:Q)*150 + 0.5 + _xlfn.XLOOKUP(B311,'Base stats'!B:B,'Base stats'!BW:BW),
0.05))</f>
        <v>2.25</v>
      </c>
      <c r="K311" s="3" t="str">
        <f>IF(Animals!X311="No","No",
IF(_xlfn.XLOOKUP(_xlfn.XLOOKUP(B311,'Base stats'!B:B,'Base stats'!E:E),Groups!A:A,Groups!BD:BD)=1,
MAX(MROUND(_xlfn.XLOOKUP(B311,'Base stats'!B:B,'Base stats'!BU:BU) * _xlfn.XLOOKUP(B311,'Base stats'!B:B,'Base stats'!BQ:BQ)^0.9 / 21 *_xlfn.XLOOKUP(B311,'Base stats'!B:B,'Base stats'!BX:BX),0.1),0.05),
MAX(MROUND(((MIN(10,_xlfn.XLOOKUP(B311,'Base stats'!B:B,'Base stats'!W:W)))^0.4*_xlfn.XLOOKUP(B311,'Base stats'!B:B,'Base stats'!BI:BI)^0.73)^0.6 *_xlfn.XLOOKUP(B311,'Base stats'!B:B,'Base stats'!BX:BX),0.1),0.05)
))</f>
        <v>No</v>
      </c>
      <c r="L311" s="11" t="str">
        <f>IF(K311="No","No",
MROUND(_xlfn.XLOOKUP(B311,'Base stats'!B:B,'Base stats'!BI:BI) * 0.01 *2 + 0.05, 0.05)
)</f>
        <v>No</v>
      </c>
      <c r="M311" s="5" t="str">
        <f>IF(K311="No","No",IF(_xlfn.XLOOKUP(_xlfn.XLOOKUP(B311,'Base stats'!B:B,'Base stats'!E:E),Groups!A:A,Groups!BD:BD)=1,"No",
MROUND(_xlfn.XLOOKUP(B311,'Base stats'!B:B,'Base stats'!BU:BU)/10000+0.01,0.01)
))</f>
        <v>No</v>
      </c>
      <c r="N311" s="4" t="str">
        <f>IF(K311="No","No",
MROUND(
  _xlfn.XLOOKUP(B311,'Base stats'!B:B,'Base stats'!BC:BC)^0.25
  / (_xlfn.XLOOKUP(B311,'Base stats'!B:B,'Base stats'!BM:BM) * 10)
  * _xlfn.XLOOKUP(
      _xlfn.XLOOKUP(B311,'Base stats'!B:B,'Base stats'!E:E),
      Groups!A:A,
      Groups!V:V
    ) * 150
  + MIN(12, _xlfn.XLOOKUP(B311,'Base stats'!B:B,'Base stats'!W:W))^(1/IF(_xlfn.XLOOKUP(_xlfn.XLOOKUP(B311,'Base stats'!B:B,'Base stats'!E:E),Groups!A:A,Groups!U:U)=1,100,10)) + 0.5 + _xlfn.XLOOKUP(B311,'Base stats'!B:B,'Base stats'!BW:BW),
0.05))</f>
        <v>No</v>
      </c>
      <c r="O311" s="3">
        <f>IF(Animals!AD311="No","No",
MAX(MROUND((MIN(10,_xlfn.XLOOKUP(B311,'Base stats'!B:B,'Base stats'!V:V)*IF(_xlfn.XLOOKUP(_xlfn.XLOOKUP(B311,'Base stats'!B:B,'Base stats'!E:E),Groups!A:A,Groups!O:O)=0,1,0.33))^0.4*_xlfn.XLOOKUP(B311,'Base stats'!B:B,'Base stats'!BJ:BJ)^0.73)^0.6 *_xlfn.XLOOKUP(B311,'Base stats'!B:B,'Base stats'!BX:BX),0.1),0.05)
)</f>
        <v>3.6</v>
      </c>
      <c r="P311" s="11">
        <f>IF(O311="No","No",
MROUND(_xlfn.XLOOKUP(B311,'Base stats'!B:B,'Base stats'!BJ:BJ) * 0.01 * 2 + 0.05, 0.05)
)</f>
        <v>0.35000000000000003</v>
      </c>
      <c r="Q311" s="5">
        <f>IF(O311="No","No",
MROUND(_xlfn.XLOOKUP(B311,'Base stats'!B:B,'Base stats'!BV:BV)/10000+0.01,0.01)
)</f>
        <v>0.04</v>
      </c>
      <c r="R311" s="4">
        <f>IF(O311="No","No",
MROUND(_xlfn.XLOOKUP(B311,'Base stats'!B:B,'Base stats'!BB:BB)^0.25
/((_xlfn.XLOOKUP(B311,'Base stats'!B:B,'Base stats'!BN:BN))*10)*_xlfn.XLOOKUP(_xlfn.XLOOKUP(B311,'Base stats'!B:B,'Base stats'!E:E),Groups!A:A,Groups!Z:Z)*150 + 0.5 + _xlfn.XLOOKUP(B311,'Base stats'!B:B,'Base stats'!BW:BW),
0.05))</f>
        <v>1.85</v>
      </c>
      <c r="S311" s="3" t="str">
        <f>IF(Animals!AI311="No","No",
IF(_xlfn.XLOOKUP(B311,'Base stats'!B:B,'Base stats'!U:U)="No",
MAX(MROUND(_xlfn.XLOOKUP(B311,'Base stats'!B:B,'Base stats'!BT:BT) * _xlfn.XLOOKUP(B311,'Base stats'!B:B,'Base stats'!BP:BP)^0.9 / 21 * _xlfn.XLOOKUP(B311,'Base stats'!B:B,'Base stats'!BX:BX),0.1),0.05),
MAX(MROUND(((MIN(12,_xlfn.XLOOKUP(B311,'Base stats'!B:B,'Base stats'!U:U)))^0.4*_xlfn.XLOOKUP(B311,'Base stats'!B:B,'Base stats'!BH:BH)^0.73)^0.6 * _xlfn.XLOOKUP(B311,'Base stats'!B:B,'Base stats'!BX:BX),0.1),0.05)
))</f>
        <v>No</v>
      </c>
      <c r="T311" s="11" t="str">
        <f>IF(S311="No","No",
MROUND(_xlfn.XLOOKUP(B311,'Base stats'!B:B,'Base stats'!BH:BH) * 0.01 * 2 + 0.05, 0.05)
)</f>
        <v>No</v>
      </c>
      <c r="U311" s="5" t="str">
        <f>IF(S311="No","No",IF(_xlfn.XLOOKUP(B311,'Base stats'!B:B,'Base stats'!U:U)="No","No",
MROUND(_xlfn.XLOOKUP(B311,'Base stats'!B:B,'Base stats'!BT:BT)/10000+0.01,0.01)
))</f>
        <v>No</v>
      </c>
      <c r="V311" s="4" t="str">
        <f>IF(S311="No","No",
MROUND(_xlfn.XLOOKUP(B311,'Base stats'!B:B,'Base stats'!BF:BF)^0.25
/((_xlfn.XLOOKUP(B311,'Base stats'!B:B,'Base stats'!BO:BO))*10)*_xlfn.XLOOKUP(_xlfn.XLOOKUP(B311,'Base stats'!B:B,'Base stats'!E:E),Groups!A:A,Groups!AE:AE)*150 + 0.5 + _xlfn.XLOOKUP(B311,'Base stats'!B:B,'Base stats'!BW:BW),
0.05))</f>
        <v>No</v>
      </c>
      <c r="W311" s="8">
        <f>MROUND(_xlfn.XLOOKUP(_xlfn.XLOOKUP(B311,'Base stats'!B:B,'Base stats'!E:E),Groups!A:A,Groups!BG:BG)*_xlfn.XLOOKUP(B311,'Base stats'!B:B,'Base stats'!C:C)^-0.165,0.05)</f>
        <v>0.45</v>
      </c>
      <c r="X311" s="1">
        <f>MROUND(_xlfn.XLOOKUP(_xlfn.XLOOKUP(B311,'Base stats'!B:B,'Base stats'!E:E),Groups!A:A,Groups!BH:BH)*_xlfn.XLOOKUP(B311,'Base stats'!B:B,'Base stats'!C:C)^0.165,0.05)</f>
        <v>0.35000000000000003</v>
      </c>
      <c r="Y311" s="8">
        <f>MROUND(_xlfn.XLOOKUP(_xlfn.XLOOKUP(B311,'Base stats'!B:B,'Base stats'!E:E),Groups!A:A,Groups!BI:BI)*_xlfn.XLOOKUP(B311,'Base stats'!B:B,'Base stats'!C:C)^0.165,0.05)</f>
        <v>0.05</v>
      </c>
      <c r="Z311" s="18">
        <f>MROUND(_xlfn.XLOOKUP(B311,'Base stats'!B:B,'Base stats'!AQ:AQ)*_xlfn.XLOOKUP(_xlfn.XLOOKUP(B311,'Base stats'!B:B,'Base stats'!E:E),Groups!A:A,Groups!H:H)/1000,IF((_xlfn.XLOOKUP(B311,'Base stats'!B:B,'Base stats'!AQ:AQ)*_xlfn.XLOOKUP(_xlfn.XLOOKUP(B311,'Base stats'!B:B,'Base stats'!E:E),Groups!A:A,Groups!H:H)/1000)&gt;1,0.05,0.01))</f>
        <v>0.05</v>
      </c>
      <c r="AA311" s="18">
        <f>MROUND((1/2)*(_xlfn.XLOOKUP(_xlfn.XLOOKUP(B311,'Base stats'!B:B,'Base stats'!E:E),Groups!A:A,Groups!H:H)*_xlfn.XLOOKUP(_xlfn.XLOOKUP(B311,'Base stats'!B:B,'Base stats'!E:E),Groups!A:A,Groups!I:I))*_xlfn.XLOOKUP(B311,'Base stats'!B:B,'Base stats'!AQ:AQ)*0.01,0.05)</f>
        <v>0.1</v>
      </c>
      <c r="AB311" s="18">
        <f>MROUND(250*(Animals!AO311+Animals!AP311),25)</f>
        <v>300</v>
      </c>
      <c r="AC311" s="18" t="str">
        <f>_xlfn.XLOOKUP(_xlfn.XLOOKUP(B311,'Base stats'!B:B,'Base stats'!E:E),Groups!A:A,Groups!BJ:BJ)</f>
        <v>Birdlike</v>
      </c>
    </row>
    <row r="312" spans="1:29" ht="16.5" thickTop="1" thickBot="1" x14ac:dyDescent="0.3">
      <c r="A312" s="16" t="str">
        <f>Animals!A312</f>
        <v>PhoenixOwlcat</v>
      </c>
      <c r="B312" s="6" t="str">
        <f>Animals!B312</f>
        <v>Feliscopus phoenix</v>
      </c>
      <c r="C312" s="1" t="str">
        <f>Animals!C312</f>
        <v>&lt;li&gt;AA_PhoenixOwlcat&lt;/li&gt;</v>
      </c>
      <c r="D312" s="47">
        <f>MIN(MIN(6,_xlfn.XLOOKUP(A312,Animals!A:A,Animals!AO:AO))*20,MAX(MROUND(_xlfn.XLOOKUP(B312,'Base stats'!B:B,'Base stats'!BS:BS) * (_xlfn.XLOOKUP(B312,'Base stats'!B:B,'Base stats'!AO:AO)*5%)^0.9 / 21,0.1),0.05))</f>
        <v>0.2</v>
      </c>
      <c r="E312" s="11">
        <f>MROUND(_xlfn.XLOOKUP(B312,'Base stats'!B:B,'Base stats'!BG:BG) * 0.01 * 2 + 0.01, 0.05)</f>
        <v>0.15000000000000002</v>
      </c>
      <c r="F312" s="7">
        <f>MROUND(_xlfn.XLOOKUP(B312,'Base stats'!B:B,'Base stats'!BD:BD)^0.25 / (_xlfn.XLOOKUP(B312,'Base stats'!B:B,'Base stats'!BK:BK) * 10) * 150 + 0.5 + _xlfn.XLOOKUP(B312,'Base stats'!B:B,'Base stats'!BW:BW), 0.05)</f>
        <v>1.4000000000000001</v>
      </c>
      <c r="G312" s="3" t="str">
        <f>IF(Animals!S312="No","No",
IF(_xlfn.XLOOKUP(B312,'Base stats'!B:B,'Base stats'!U:U)="No",
MAX(MROUND(_xlfn.XLOOKUP(B312,'Base stats'!B:B,'Base stats'!BT:BT) * _xlfn.XLOOKUP(B312,'Base stats'!B:B,'Base stats'!BP:BP)^0.9 / 21 * _xlfn.XLOOKUP(B312,'Base stats'!B:B,'Base stats'!BX:BX),0.1),0.05),
MAX(MROUND(((MIN(10,_xlfn.XLOOKUP(B312,'Base stats'!B:B,'Base stats'!U:U)))^0.4*_xlfn.XLOOKUP(B312,'Base stats'!B:B,'Base stats'!BH:BH)^0.73)^0.6 * _xlfn.XLOOKUP(B312,'Base stats'!B:B,'Base stats'!BX:BX),0.1),0.05)
))</f>
        <v>No</v>
      </c>
      <c r="H312" s="11" t="str">
        <f>IF(G312="No","No",
MROUND(_xlfn.XLOOKUP(B312,'Base stats'!B:B,'Base stats'!BH:BH) * 0.01 * 2 + 0.05, 0.05)
)</f>
        <v>No</v>
      </c>
      <c r="I312" s="11" t="str">
        <f>IF(G312="No","No",IF(_xlfn.XLOOKUP(B312,'Base stats'!B:B,'Base stats'!U:U)="No","No",
MROUND(_xlfn.XLOOKUP(B312,'Base stats'!B:B,'Base stats'!BT:BT)/10000+0.01,0.01)
))</f>
        <v>No</v>
      </c>
      <c r="J312" s="4" t="str">
        <f>IF(G312="No","No",
MROUND(_xlfn.XLOOKUP(B312,'Base stats'!B:B,'Base stats'!BE:BE)^0.25
/((_xlfn.XLOOKUP(B312,'Base stats'!B:B,'Base stats'!BL:BL))*10)*_xlfn.XLOOKUP(_xlfn.XLOOKUP(B312,'Base stats'!B:B,'Base stats'!E:E),Groups!A:A,Groups!Q:Q)*150 + 0.5 + _xlfn.XLOOKUP(B312,'Base stats'!B:B,'Base stats'!BW:BW),
0.05))</f>
        <v>No</v>
      </c>
      <c r="K312" s="3" t="str">
        <f>IF(Animals!X312="No","No",
IF(_xlfn.XLOOKUP(_xlfn.XLOOKUP(B312,'Base stats'!B:B,'Base stats'!E:E),Groups!A:A,Groups!BD:BD)=1,
MAX(MROUND(_xlfn.XLOOKUP(B312,'Base stats'!B:B,'Base stats'!BU:BU) * _xlfn.XLOOKUP(B312,'Base stats'!B:B,'Base stats'!BQ:BQ)^0.9 / 21 *_xlfn.XLOOKUP(B312,'Base stats'!B:B,'Base stats'!BX:BX),0.1),0.05),
MAX(MROUND(((MIN(10,_xlfn.XLOOKUP(B312,'Base stats'!B:B,'Base stats'!W:W)))^0.4*_xlfn.XLOOKUP(B312,'Base stats'!B:B,'Base stats'!BI:BI)^0.73)^0.6 *_xlfn.XLOOKUP(B312,'Base stats'!B:B,'Base stats'!BX:BX),0.1),0.05)
))</f>
        <v>No</v>
      </c>
      <c r="L312" s="11" t="str">
        <f>IF(K312="No","No",
MROUND(_xlfn.XLOOKUP(B312,'Base stats'!B:B,'Base stats'!BI:BI) * 0.01 *2 + 0.05, 0.05)
)</f>
        <v>No</v>
      </c>
      <c r="M312" s="5" t="str">
        <f>IF(K312="No","No",IF(_xlfn.XLOOKUP(_xlfn.XLOOKUP(B312,'Base stats'!B:B,'Base stats'!E:E),Groups!A:A,Groups!BD:BD)=1,"No",
MROUND(_xlfn.XLOOKUP(B312,'Base stats'!B:B,'Base stats'!BU:BU)/10000+0.01,0.01)
))</f>
        <v>No</v>
      </c>
      <c r="N312" s="4" t="str">
        <f>IF(K312="No","No",
MROUND(
  _xlfn.XLOOKUP(B312,'Base stats'!B:B,'Base stats'!BC:BC)^0.25
  / (_xlfn.XLOOKUP(B312,'Base stats'!B:B,'Base stats'!BM:BM) * 10)
  * _xlfn.XLOOKUP(
      _xlfn.XLOOKUP(B312,'Base stats'!B:B,'Base stats'!E:E),
      Groups!A:A,
      Groups!V:V
    ) * 150
  + MIN(12, _xlfn.XLOOKUP(B312,'Base stats'!B:B,'Base stats'!W:W))^(1/IF(_xlfn.XLOOKUP(_xlfn.XLOOKUP(B312,'Base stats'!B:B,'Base stats'!E:E),Groups!A:A,Groups!U:U)=1,100,10)) + 0.5 + _xlfn.XLOOKUP(B312,'Base stats'!B:B,'Base stats'!BW:BW),
0.05))</f>
        <v>No</v>
      </c>
      <c r="O312" s="3">
        <f>IF(Animals!AD312="No","No",
MAX(MROUND((MIN(10,_xlfn.XLOOKUP(B312,'Base stats'!B:B,'Base stats'!V:V)*IF(_xlfn.XLOOKUP(_xlfn.XLOOKUP(B312,'Base stats'!B:B,'Base stats'!E:E),Groups!A:A,Groups!O:O)=0,1,0.33))^0.4*_xlfn.XLOOKUP(B312,'Base stats'!B:B,'Base stats'!BJ:BJ)^0.73)^0.6 *_xlfn.XLOOKUP(B312,'Base stats'!B:B,'Base stats'!BX:BX),0.1),0.05)
)</f>
        <v>4</v>
      </c>
      <c r="P312" s="11">
        <f>IF(O312="No","No",
MROUND(_xlfn.XLOOKUP(B312,'Base stats'!B:B,'Base stats'!BJ:BJ) * 0.01 * 2 + 0.05, 0.05)
)</f>
        <v>0.45</v>
      </c>
      <c r="Q312" s="5">
        <f>IF(O312="No","No",
MROUND(_xlfn.XLOOKUP(B312,'Base stats'!B:B,'Base stats'!BV:BV)/10000+0.01,0.01)
)</f>
        <v>0.09</v>
      </c>
      <c r="R312" s="4">
        <f>IF(O312="No","No",
MROUND(_xlfn.XLOOKUP(B312,'Base stats'!B:B,'Base stats'!BB:BB)^0.25
/((_xlfn.XLOOKUP(B312,'Base stats'!B:B,'Base stats'!BN:BN))*10)*_xlfn.XLOOKUP(_xlfn.XLOOKUP(B312,'Base stats'!B:B,'Base stats'!E:E),Groups!A:A,Groups!Z:Z)*150 + 0.5 + _xlfn.XLOOKUP(B312,'Base stats'!B:B,'Base stats'!BW:BW),
0.05))</f>
        <v>1.6500000000000001</v>
      </c>
      <c r="S312" s="3">
        <f>IF(Animals!AI312="No","No",
IF(_xlfn.XLOOKUP(B312,'Base stats'!B:B,'Base stats'!U:U)="No",
MAX(MROUND(_xlfn.XLOOKUP(B312,'Base stats'!B:B,'Base stats'!BT:BT) * _xlfn.XLOOKUP(B312,'Base stats'!B:B,'Base stats'!BP:BP)^0.9 / 21 * _xlfn.XLOOKUP(B312,'Base stats'!B:B,'Base stats'!BX:BX),0.1),0.05),
MAX(MROUND(((MIN(12,_xlfn.XLOOKUP(B312,'Base stats'!B:B,'Base stats'!U:U)))^0.4*_xlfn.XLOOKUP(B312,'Base stats'!B:B,'Base stats'!BH:BH)^0.73)^0.6 * _xlfn.XLOOKUP(B312,'Base stats'!B:B,'Base stats'!BX:BX),0.1),0.05)
))</f>
        <v>2.9000000000000004</v>
      </c>
      <c r="T312" s="11">
        <f>IF(S312="No","No",
MROUND(_xlfn.XLOOKUP(B312,'Base stats'!B:B,'Base stats'!BH:BH) * 0.01 * 2 + 0.05, 0.05)
)</f>
        <v>0.25</v>
      </c>
      <c r="U312" s="5">
        <f>IF(S312="No","No",IF(_xlfn.XLOOKUP(B312,'Base stats'!B:B,'Base stats'!U:U)="No","No",
MROUND(_xlfn.XLOOKUP(B312,'Base stats'!B:B,'Base stats'!BT:BT)/10000+0.01,0.01)
))</f>
        <v>0.05</v>
      </c>
      <c r="V312" s="4">
        <f>IF(S312="No","No",
MROUND(_xlfn.XLOOKUP(B312,'Base stats'!B:B,'Base stats'!BF:BF)^0.25
/((_xlfn.XLOOKUP(B312,'Base stats'!B:B,'Base stats'!BO:BO))*10)*_xlfn.XLOOKUP(_xlfn.XLOOKUP(B312,'Base stats'!B:B,'Base stats'!E:E),Groups!A:A,Groups!AE:AE)*150 + 0.5 + _xlfn.XLOOKUP(B312,'Base stats'!B:B,'Base stats'!BW:BW),
0.05))</f>
        <v>1.05</v>
      </c>
      <c r="W312" s="8">
        <f>MROUND(_xlfn.XLOOKUP(_xlfn.XLOOKUP(B312,'Base stats'!B:B,'Base stats'!E:E),Groups!A:A,Groups!BG:BG)*_xlfn.XLOOKUP(B312,'Base stats'!B:B,'Base stats'!C:C)^-0.165,0.05)</f>
        <v>1</v>
      </c>
      <c r="X312" s="1">
        <f>MROUND(_xlfn.XLOOKUP(_xlfn.XLOOKUP(B312,'Base stats'!B:B,'Base stats'!E:E),Groups!A:A,Groups!BH:BH)*_xlfn.XLOOKUP(B312,'Base stats'!B:B,'Base stats'!C:C)^0.165,0.05)</f>
        <v>0.30000000000000004</v>
      </c>
      <c r="Y312" s="8">
        <f>MROUND(_xlfn.XLOOKUP(_xlfn.XLOOKUP(B312,'Base stats'!B:B,'Base stats'!E:E),Groups!A:A,Groups!BI:BI)*_xlfn.XLOOKUP(B312,'Base stats'!B:B,'Base stats'!C:C)^0.165,0.05)</f>
        <v>0.05</v>
      </c>
      <c r="Z312" s="18">
        <f>MROUND(_xlfn.XLOOKUP(B312,'Base stats'!B:B,'Base stats'!AQ:AQ)*_xlfn.XLOOKUP(_xlfn.XLOOKUP(B312,'Base stats'!B:B,'Base stats'!E:E),Groups!A:A,Groups!H:H)/1000,IF((_xlfn.XLOOKUP(B312,'Base stats'!B:B,'Base stats'!AQ:AQ)*_xlfn.XLOOKUP(_xlfn.XLOOKUP(B312,'Base stats'!B:B,'Base stats'!E:E),Groups!A:A,Groups!H:H)/1000)&gt;1,0.05,0.01))</f>
        <v>0.03</v>
      </c>
      <c r="AA312" s="18">
        <f>MROUND((1/2)*(_xlfn.XLOOKUP(_xlfn.XLOOKUP(B312,'Base stats'!B:B,'Base stats'!E:E),Groups!A:A,Groups!H:H)*_xlfn.XLOOKUP(_xlfn.XLOOKUP(B312,'Base stats'!B:B,'Base stats'!E:E),Groups!A:A,Groups!I:I))*_xlfn.XLOOKUP(B312,'Base stats'!B:B,'Base stats'!AQ:AQ)*0.01,0.05)</f>
        <v>0.15000000000000002</v>
      </c>
      <c r="AB312" s="18">
        <f>MROUND(250*(Animals!AO312+Animals!AP312),25)</f>
        <v>175</v>
      </c>
      <c r="AC312" s="18" t="str">
        <f>_xlfn.XLOOKUP(_xlfn.XLOOKUP(B312,'Base stats'!B:B,'Base stats'!E:E),Groups!A:A,Groups!BJ:BJ)</f>
        <v>Quadruped</v>
      </c>
    </row>
    <row r="313" spans="1:29" ht="16.5" thickTop="1" thickBot="1" x14ac:dyDescent="0.3">
      <c r="A313" s="16" t="str">
        <f>Animals!A313</f>
        <v>Plasmorph</v>
      </c>
      <c r="B313" s="6" t="str">
        <f>Animals!B313</f>
        <v>Plasmodium morphicus</v>
      </c>
      <c r="C313" s="1" t="str">
        <f>Animals!C313</f>
        <v>&lt;li&gt;AA_Plasmorph&lt;/li&gt;</v>
      </c>
      <c r="D313" s="47">
        <f>MIN(MIN(6,_xlfn.XLOOKUP(A313,Animals!A:A,Animals!AO:AO))*20,MAX(MROUND(_xlfn.XLOOKUP(B313,'Base stats'!B:B,'Base stats'!BS:BS) * (_xlfn.XLOOKUP(B313,'Base stats'!B:B,'Base stats'!AO:AO)*5%)^0.9 / 21,0.1),0.05))</f>
        <v>0.4</v>
      </c>
      <c r="E313" s="11">
        <f>MROUND(_xlfn.XLOOKUP(B313,'Base stats'!B:B,'Base stats'!BG:BG) * 0.01 * 2 + 0.01, 0.05)</f>
        <v>0.30000000000000004</v>
      </c>
      <c r="F313" s="7">
        <f>MROUND(_xlfn.XLOOKUP(B313,'Base stats'!B:B,'Base stats'!BD:BD)^0.25 / (_xlfn.XLOOKUP(B313,'Base stats'!B:B,'Base stats'!BK:BK) * 10) * 150 + 0.5 + _xlfn.XLOOKUP(B313,'Base stats'!B:B,'Base stats'!BW:BW), 0.05)</f>
        <v>1.9500000000000002</v>
      </c>
      <c r="G313" s="3" t="str">
        <f>IF(Animals!S313="No","No",
IF(_xlfn.XLOOKUP(B313,'Base stats'!B:B,'Base stats'!U:U)="No",
MAX(MROUND(_xlfn.XLOOKUP(B313,'Base stats'!B:B,'Base stats'!BT:BT) * _xlfn.XLOOKUP(B313,'Base stats'!B:B,'Base stats'!BP:BP)^0.9 / 21 * _xlfn.XLOOKUP(B313,'Base stats'!B:B,'Base stats'!BX:BX),0.1),0.05),
MAX(MROUND(((MIN(10,_xlfn.XLOOKUP(B313,'Base stats'!B:B,'Base stats'!U:U)))^0.4*_xlfn.XLOOKUP(B313,'Base stats'!B:B,'Base stats'!BH:BH)^0.73)^0.6 * _xlfn.XLOOKUP(B313,'Base stats'!B:B,'Base stats'!BX:BX),0.1),0.05)
))</f>
        <v>No</v>
      </c>
      <c r="H313" s="11" t="str">
        <f>IF(G313="No","No",
MROUND(_xlfn.XLOOKUP(B313,'Base stats'!B:B,'Base stats'!BH:BH) * 0.01 * 2 + 0.05, 0.05)
)</f>
        <v>No</v>
      </c>
      <c r="I313" s="11" t="str">
        <f>IF(G313="No","No",IF(_xlfn.XLOOKUP(B313,'Base stats'!B:B,'Base stats'!U:U)="No","No",
MROUND(_xlfn.XLOOKUP(B313,'Base stats'!B:B,'Base stats'!BT:BT)/10000+0.01,0.01)
))</f>
        <v>No</v>
      </c>
      <c r="J313" s="4" t="str">
        <f>IF(G313="No","No",
MROUND(_xlfn.XLOOKUP(B313,'Base stats'!B:B,'Base stats'!BE:BE)^0.25
/((_xlfn.XLOOKUP(B313,'Base stats'!B:B,'Base stats'!BL:BL))*10)*_xlfn.XLOOKUP(_xlfn.XLOOKUP(B313,'Base stats'!B:B,'Base stats'!E:E),Groups!A:A,Groups!Q:Q)*150 + 0.5 + _xlfn.XLOOKUP(B313,'Base stats'!B:B,'Base stats'!BW:BW),
0.05))</f>
        <v>No</v>
      </c>
      <c r="K313" s="3" t="str">
        <f>IF(Animals!X313="No","No",
IF(_xlfn.XLOOKUP(_xlfn.XLOOKUP(B313,'Base stats'!B:B,'Base stats'!E:E),Groups!A:A,Groups!BD:BD)=1,
MAX(MROUND(_xlfn.XLOOKUP(B313,'Base stats'!B:B,'Base stats'!BU:BU) * _xlfn.XLOOKUP(B313,'Base stats'!B:B,'Base stats'!BQ:BQ)^0.9 / 21 *_xlfn.XLOOKUP(B313,'Base stats'!B:B,'Base stats'!BX:BX),0.1),0.05),
MAX(MROUND(((MIN(10,_xlfn.XLOOKUP(B313,'Base stats'!B:B,'Base stats'!W:W)))^0.4*_xlfn.XLOOKUP(B313,'Base stats'!B:B,'Base stats'!BI:BI)^0.73)^0.6 *_xlfn.XLOOKUP(B313,'Base stats'!B:B,'Base stats'!BX:BX),0.1),0.05)
))</f>
        <v>No</v>
      </c>
      <c r="L313" s="11" t="str">
        <f>IF(K313="No","No",
MROUND(_xlfn.XLOOKUP(B313,'Base stats'!B:B,'Base stats'!BI:BI) * 0.01 *2 + 0.05, 0.05)
)</f>
        <v>No</v>
      </c>
      <c r="M313" s="5" t="str">
        <f>IF(K313="No","No",IF(_xlfn.XLOOKUP(_xlfn.XLOOKUP(B313,'Base stats'!B:B,'Base stats'!E:E),Groups!A:A,Groups!BD:BD)=1,"No",
MROUND(_xlfn.XLOOKUP(B313,'Base stats'!B:B,'Base stats'!BU:BU)/10000+0.01,0.01)
))</f>
        <v>No</v>
      </c>
      <c r="N313" s="4" t="str">
        <f>IF(K313="No","No",
MROUND(
  _xlfn.XLOOKUP(B313,'Base stats'!B:B,'Base stats'!BC:BC)^0.25
  / (_xlfn.XLOOKUP(B313,'Base stats'!B:B,'Base stats'!BM:BM) * 10)
  * _xlfn.XLOOKUP(
      _xlfn.XLOOKUP(B313,'Base stats'!B:B,'Base stats'!E:E),
      Groups!A:A,
      Groups!V:V
    ) * 150
  + MIN(12, _xlfn.XLOOKUP(B313,'Base stats'!B:B,'Base stats'!W:W))^(1/IF(_xlfn.XLOOKUP(_xlfn.XLOOKUP(B313,'Base stats'!B:B,'Base stats'!E:E),Groups!A:A,Groups!U:U)=1,100,10)) + 0.5 + _xlfn.XLOOKUP(B313,'Base stats'!B:B,'Base stats'!BW:BW),
0.05))</f>
        <v>No</v>
      </c>
      <c r="O313" s="3">
        <f>IF(Animals!AD313="No","No",
MAX(MROUND((MIN(10,_xlfn.XLOOKUP(B313,'Base stats'!B:B,'Base stats'!V:V)*IF(_xlfn.XLOOKUP(_xlfn.XLOOKUP(B313,'Base stats'!B:B,'Base stats'!E:E),Groups!A:A,Groups!O:O)=0,1,0.33))^0.4*_xlfn.XLOOKUP(B313,'Base stats'!B:B,'Base stats'!BJ:BJ)^0.73)^0.6 *_xlfn.XLOOKUP(B313,'Base stats'!B:B,'Base stats'!BX:BX),0.1),0.05)
)</f>
        <v>4.3</v>
      </c>
      <c r="P313" s="11">
        <f>IF(O313="No","No",
MROUND(_xlfn.XLOOKUP(B313,'Base stats'!B:B,'Base stats'!BJ:BJ) * 0.01 * 2 + 0.05, 0.05)
)</f>
        <v>0.60000000000000009</v>
      </c>
      <c r="Q313" s="5">
        <f>IF(O313="No","No",
MROUND(_xlfn.XLOOKUP(B313,'Base stats'!B:B,'Base stats'!BV:BV)/10000+0.01,0.01)
)</f>
        <v>7.0000000000000007E-2</v>
      </c>
      <c r="R313" s="4">
        <f>IF(O313="No","No",
MROUND(_xlfn.XLOOKUP(B313,'Base stats'!B:B,'Base stats'!BB:BB)^0.25
/((_xlfn.XLOOKUP(B313,'Base stats'!B:B,'Base stats'!BN:BN))*10)*_xlfn.XLOOKUP(_xlfn.XLOOKUP(B313,'Base stats'!B:B,'Base stats'!E:E),Groups!A:A,Groups!Z:Z)*150 + 0.5 + _xlfn.XLOOKUP(B313,'Base stats'!B:B,'Base stats'!BW:BW),
0.05))</f>
        <v>2.25</v>
      </c>
      <c r="S313" s="3" t="str">
        <f>IF(Animals!AI313="No","No",
IF(_xlfn.XLOOKUP(B313,'Base stats'!B:B,'Base stats'!U:U)="No",
MAX(MROUND(_xlfn.XLOOKUP(B313,'Base stats'!B:B,'Base stats'!BT:BT) * _xlfn.XLOOKUP(B313,'Base stats'!B:B,'Base stats'!BP:BP)^0.9 / 21 * _xlfn.XLOOKUP(B313,'Base stats'!B:B,'Base stats'!BX:BX),0.1),0.05),
MAX(MROUND(((MIN(12,_xlfn.XLOOKUP(B313,'Base stats'!B:B,'Base stats'!U:U)))^0.4*_xlfn.XLOOKUP(B313,'Base stats'!B:B,'Base stats'!BH:BH)^0.73)^0.6 * _xlfn.XLOOKUP(B313,'Base stats'!B:B,'Base stats'!BX:BX),0.1),0.05)
))</f>
        <v>No</v>
      </c>
      <c r="T313" s="11" t="str">
        <f>IF(S313="No","No",
MROUND(_xlfn.XLOOKUP(B313,'Base stats'!B:B,'Base stats'!BH:BH) * 0.01 * 2 + 0.05, 0.05)
)</f>
        <v>No</v>
      </c>
      <c r="U313" s="5" t="str">
        <f>IF(S313="No","No",IF(_xlfn.XLOOKUP(B313,'Base stats'!B:B,'Base stats'!U:U)="No","No",
MROUND(_xlfn.XLOOKUP(B313,'Base stats'!B:B,'Base stats'!BT:BT)/10000+0.01,0.01)
))</f>
        <v>No</v>
      </c>
      <c r="V313" s="4" t="str">
        <f>IF(S313="No","No",
MROUND(_xlfn.XLOOKUP(B313,'Base stats'!B:B,'Base stats'!BF:BF)^0.25
/((_xlfn.XLOOKUP(B313,'Base stats'!B:B,'Base stats'!BO:BO))*10)*_xlfn.XLOOKUP(_xlfn.XLOOKUP(B313,'Base stats'!B:B,'Base stats'!E:E),Groups!A:A,Groups!AE:AE)*150 + 0.5 + _xlfn.XLOOKUP(B313,'Base stats'!B:B,'Base stats'!BW:BW),
0.05))</f>
        <v>No</v>
      </c>
      <c r="W313" s="8">
        <f>MROUND(_xlfn.XLOOKUP(_xlfn.XLOOKUP(B313,'Base stats'!B:B,'Base stats'!E:E),Groups!A:A,Groups!BG:BG)*_xlfn.XLOOKUP(B313,'Base stats'!B:B,'Base stats'!C:C)^-0.165,0.05)</f>
        <v>0</v>
      </c>
      <c r="X313" s="1">
        <f>MROUND(_xlfn.XLOOKUP(_xlfn.XLOOKUP(B313,'Base stats'!B:B,'Base stats'!E:E),Groups!A:A,Groups!BH:BH)*_xlfn.XLOOKUP(B313,'Base stats'!B:B,'Base stats'!C:C)^0.165,0.05)</f>
        <v>0</v>
      </c>
      <c r="Y313" s="8">
        <f>MROUND(_xlfn.XLOOKUP(_xlfn.XLOOKUP(B313,'Base stats'!B:B,'Base stats'!E:E),Groups!A:A,Groups!BI:BI)*_xlfn.XLOOKUP(B313,'Base stats'!B:B,'Base stats'!C:C)^0.165,0.05)</f>
        <v>0</v>
      </c>
      <c r="Z313" s="18">
        <f>MROUND(_xlfn.XLOOKUP(B313,'Base stats'!B:B,'Base stats'!AQ:AQ)*_xlfn.XLOOKUP(_xlfn.XLOOKUP(B313,'Base stats'!B:B,'Base stats'!E:E),Groups!A:A,Groups!H:H)/1000,IF((_xlfn.XLOOKUP(B313,'Base stats'!B:B,'Base stats'!AQ:AQ)*_xlfn.XLOOKUP(_xlfn.XLOOKUP(B313,'Base stats'!B:B,'Base stats'!E:E),Groups!A:A,Groups!H:H)/1000)&gt;1,0.05,0.01))</f>
        <v>0.81</v>
      </c>
      <c r="AA313" s="18">
        <f>MROUND((1/2)*(_xlfn.XLOOKUP(_xlfn.XLOOKUP(B313,'Base stats'!B:B,'Base stats'!E:E),Groups!A:A,Groups!H:H)*_xlfn.XLOOKUP(_xlfn.XLOOKUP(B313,'Base stats'!B:B,'Base stats'!E:E),Groups!A:A,Groups!I:I))*_xlfn.XLOOKUP(B313,'Base stats'!B:B,'Base stats'!AQ:AQ)*0.01,0.05)</f>
        <v>0</v>
      </c>
      <c r="AB313" s="18">
        <f>MROUND(250*(Animals!AO313+Animals!AP313),25)</f>
        <v>275</v>
      </c>
      <c r="AC313" s="18" t="str">
        <f>_xlfn.XLOOKUP(_xlfn.XLOOKUP(B313,'Base stats'!B:B,'Base stats'!E:E),Groups!A:A,Groups!BJ:BJ)</f>
        <v>QuadrupedLow</v>
      </c>
    </row>
    <row r="314" spans="1:29" ht="16.5" thickTop="1" thickBot="1" x14ac:dyDescent="0.3">
      <c r="A314" s="16" t="str">
        <f>Animals!A314</f>
        <v>Radyak</v>
      </c>
      <c r="B314" s="6" t="str">
        <f>Animals!B314</f>
        <v>Bos radiatus</v>
      </c>
      <c r="C314" s="1" t="str">
        <f>Animals!C314</f>
        <v>&lt;li&gt;AA_Radyak&lt;/li&gt;</v>
      </c>
      <c r="D314" s="47">
        <f>MIN(MIN(6,_xlfn.XLOOKUP(A314,Animals!A:A,Animals!AO:AO))*20,MAX(MROUND(_xlfn.XLOOKUP(B314,'Base stats'!B:B,'Base stats'!BS:BS) * (_xlfn.XLOOKUP(B314,'Base stats'!B:B,'Base stats'!AO:AO)*5%)^0.9 / 21,0.1),0.05))</f>
        <v>8.8000000000000007</v>
      </c>
      <c r="E314" s="11">
        <f>MROUND(_xlfn.XLOOKUP(B314,'Base stats'!B:B,'Base stats'!BG:BG) * 0.01 * 2 + 0.01, 0.05)</f>
        <v>8.1</v>
      </c>
      <c r="F314" s="7">
        <f>MROUND(_xlfn.XLOOKUP(B314,'Base stats'!B:B,'Base stats'!BD:BD)^0.25 / (_xlfn.XLOOKUP(B314,'Base stats'!B:B,'Base stats'!BK:BK) * 10) * 150 + 0.5 + _xlfn.XLOOKUP(B314,'Base stats'!B:B,'Base stats'!BW:BW), 0.05)</f>
        <v>1.85</v>
      </c>
      <c r="G314" s="3">
        <f>IF(Animals!S314="No","No",
IF(_xlfn.XLOOKUP(B314,'Base stats'!B:B,'Base stats'!U:U)="No",
MAX(MROUND(_xlfn.XLOOKUP(B314,'Base stats'!B:B,'Base stats'!BT:BT) * _xlfn.XLOOKUP(B314,'Base stats'!B:B,'Base stats'!BP:BP)^0.9 / 21 * _xlfn.XLOOKUP(B314,'Base stats'!B:B,'Base stats'!BX:BX),0.1),0.05),
MAX(MROUND(((MIN(10,_xlfn.XLOOKUP(B314,'Base stats'!B:B,'Base stats'!U:U)))^0.4*_xlfn.XLOOKUP(B314,'Base stats'!B:B,'Base stats'!BH:BH)^0.73)^0.6 * _xlfn.XLOOKUP(B314,'Base stats'!B:B,'Base stats'!BX:BX),0.1),0.05)
))</f>
        <v>14.9</v>
      </c>
      <c r="H314" s="11">
        <f>IF(G314="No","No",
MROUND(_xlfn.XLOOKUP(B314,'Base stats'!B:B,'Base stats'!BH:BH) * 0.01 * 2 + 0.05, 0.05)
)</f>
        <v>9.5500000000000007</v>
      </c>
      <c r="I314" s="11" t="str">
        <f>IF(G314="No","No",IF(_xlfn.XLOOKUP(B314,'Base stats'!B:B,'Base stats'!U:U)="No","No",
MROUND(_xlfn.XLOOKUP(B314,'Base stats'!B:B,'Base stats'!BT:BT)/10000+0.01,0.01)
))</f>
        <v>No</v>
      </c>
      <c r="J314" s="4">
        <f>IF(G314="No","No",
MROUND(_xlfn.XLOOKUP(B314,'Base stats'!B:B,'Base stats'!BE:BE)^0.25
/((_xlfn.XLOOKUP(B314,'Base stats'!B:B,'Base stats'!BL:BL))*10)*_xlfn.XLOOKUP(_xlfn.XLOOKUP(B314,'Base stats'!B:B,'Base stats'!E:E),Groups!A:A,Groups!Q:Q)*150 + 0.5 + _xlfn.XLOOKUP(B314,'Base stats'!B:B,'Base stats'!BW:BW),
0.05))</f>
        <v>2.7</v>
      </c>
      <c r="K314" s="3">
        <f>IF(Animals!X314="No","No",
IF(_xlfn.XLOOKUP(_xlfn.XLOOKUP(B314,'Base stats'!B:B,'Base stats'!E:E),Groups!A:A,Groups!BD:BD)=1,
MAX(MROUND(_xlfn.XLOOKUP(B314,'Base stats'!B:B,'Base stats'!BU:BU) * _xlfn.XLOOKUP(B314,'Base stats'!B:B,'Base stats'!BQ:BQ)^0.9 / 21 *_xlfn.XLOOKUP(B314,'Base stats'!B:B,'Base stats'!BX:BX),0.1),0.05),
MAX(MROUND(((MIN(10,_xlfn.XLOOKUP(B314,'Base stats'!B:B,'Base stats'!W:W)))^0.4*_xlfn.XLOOKUP(B314,'Base stats'!B:B,'Base stats'!BI:BI)^0.73)^0.6 *_xlfn.XLOOKUP(B314,'Base stats'!B:B,'Base stats'!BX:BX),0.1),0.05)
))</f>
        <v>28</v>
      </c>
      <c r="L314" s="11">
        <f>IF(K314="No","No",
MROUND(_xlfn.XLOOKUP(B314,'Base stats'!B:B,'Base stats'!BI:BI) * 0.01 *2 + 0.05, 0.05)
)</f>
        <v>11.4</v>
      </c>
      <c r="M314" s="5">
        <f>IF(K314="No","No",IF(_xlfn.XLOOKUP(_xlfn.XLOOKUP(B314,'Base stats'!B:B,'Base stats'!E:E),Groups!A:A,Groups!BD:BD)=1,"No",
MROUND(_xlfn.XLOOKUP(B314,'Base stats'!B:B,'Base stats'!BU:BU)/10000+0.01,0.01)
))</f>
        <v>0.64</v>
      </c>
      <c r="N314" s="4">
        <f>IF(K314="No","No",
MROUND(
  _xlfn.XLOOKUP(B314,'Base stats'!B:B,'Base stats'!BC:BC)^0.25
  / (_xlfn.XLOOKUP(B314,'Base stats'!B:B,'Base stats'!BM:BM) * 10)
  * _xlfn.XLOOKUP(
      _xlfn.XLOOKUP(B314,'Base stats'!B:B,'Base stats'!E:E),
      Groups!A:A,
      Groups!V:V
    ) * 150
  + MIN(12, _xlfn.XLOOKUP(B314,'Base stats'!B:B,'Base stats'!W:W))^(1/IF(_xlfn.XLOOKUP(_xlfn.XLOOKUP(B314,'Base stats'!B:B,'Base stats'!E:E),Groups!A:A,Groups!U:U)=1,100,10)) + 0.5 + _xlfn.XLOOKUP(B314,'Base stats'!B:B,'Base stats'!BW:BW),
0.05))</f>
        <v>3.1500000000000004</v>
      </c>
      <c r="O314" s="3" t="str">
        <f>IF(Animals!AD314="No","No",
MAX(MROUND((MIN(10,_xlfn.XLOOKUP(B314,'Base stats'!B:B,'Base stats'!V:V)*IF(_xlfn.XLOOKUP(_xlfn.XLOOKUP(B314,'Base stats'!B:B,'Base stats'!E:E),Groups!A:A,Groups!O:O)=0,1,0.33))^0.4*_xlfn.XLOOKUP(B314,'Base stats'!B:B,'Base stats'!BJ:BJ)^0.73)^0.6 *_xlfn.XLOOKUP(B314,'Base stats'!B:B,'Base stats'!BX:BX),0.1),0.05)
)</f>
        <v>No</v>
      </c>
      <c r="P314" s="11" t="str">
        <f>IF(O314="No","No",
MROUND(_xlfn.XLOOKUP(B314,'Base stats'!B:B,'Base stats'!BJ:BJ) * 0.01 * 2 + 0.05, 0.05)
)</f>
        <v>No</v>
      </c>
      <c r="Q314" s="5" t="str">
        <f>IF(O314="No","No",
MROUND(_xlfn.XLOOKUP(B314,'Base stats'!B:B,'Base stats'!BV:BV)/10000+0.01,0.01)
)</f>
        <v>No</v>
      </c>
      <c r="R314" s="4" t="str">
        <f>IF(O314="No","No",
MROUND(_xlfn.XLOOKUP(B314,'Base stats'!B:B,'Base stats'!BB:BB)^0.25
/((_xlfn.XLOOKUP(B314,'Base stats'!B:B,'Base stats'!BN:BN))*10)*_xlfn.XLOOKUP(_xlfn.XLOOKUP(B314,'Base stats'!B:B,'Base stats'!E:E),Groups!A:A,Groups!Z:Z)*150 + 0.5 + _xlfn.XLOOKUP(B314,'Base stats'!B:B,'Base stats'!BW:BW),
0.05))</f>
        <v>No</v>
      </c>
      <c r="S314" s="3" t="str">
        <f>IF(Animals!AI314="No","No",
IF(_xlfn.XLOOKUP(B314,'Base stats'!B:B,'Base stats'!U:U)="No",
MAX(MROUND(_xlfn.XLOOKUP(B314,'Base stats'!B:B,'Base stats'!BT:BT) * _xlfn.XLOOKUP(B314,'Base stats'!B:B,'Base stats'!BP:BP)^0.9 / 21 * _xlfn.XLOOKUP(B314,'Base stats'!B:B,'Base stats'!BX:BX),0.1),0.05),
MAX(MROUND(((MIN(12,_xlfn.XLOOKUP(B314,'Base stats'!B:B,'Base stats'!U:U)))^0.4*_xlfn.XLOOKUP(B314,'Base stats'!B:B,'Base stats'!BH:BH)^0.73)^0.6 * _xlfn.XLOOKUP(B314,'Base stats'!B:B,'Base stats'!BX:BX),0.1),0.05)
))</f>
        <v>No</v>
      </c>
      <c r="T314" s="11" t="str">
        <f>IF(S314="No","No",
MROUND(_xlfn.XLOOKUP(B314,'Base stats'!B:B,'Base stats'!BH:BH) * 0.01 * 2 + 0.05, 0.05)
)</f>
        <v>No</v>
      </c>
      <c r="U314" s="5" t="str">
        <f>IF(S314="No","No",IF(_xlfn.XLOOKUP(B314,'Base stats'!B:B,'Base stats'!U:U)="No","No",
MROUND(_xlfn.XLOOKUP(B314,'Base stats'!B:B,'Base stats'!BT:BT)/10000+0.01,0.01)
))</f>
        <v>No</v>
      </c>
      <c r="V314" s="4" t="str">
        <f>IF(S314="No","No",
MROUND(_xlfn.XLOOKUP(B314,'Base stats'!B:B,'Base stats'!BF:BF)^0.25
/((_xlfn.XLOOKUP(B314,'Base stats'!B:B,'Base stats'!BO:BO))*10)*_xlfn.XLOOKUP(_xlfn.XLOOKUP(B314,'Base stats'!B:B,'Base stats'!E:E),Groups!A:A,Groups!AE:AE)*150 + 0.5 + _xlfn.XLOOKUP(B314,'Base stats'!B:B,'Base stats'!BW:BW),
0.05))</f>
        <v>No</v>
      </c>
      <c r="W314" s="8">
        <f>MROUND(_xlfn.XLOOKUP(_xlfn.XLOOKUP(B314,'Base stats'!B:B,'Base stats'!E:E),Groups!A:A,Groups!BG:BG)*_xlfn.XLOOKUP(B314,'Base stats'!B:B,'Base stats'!C:C)^-0.165,0.05)</f>
        <v>0.2</v>
      </c>
      <c r="X314" s="1">
        <f>MROUND(_xlfn.XLOOKUP(_xlfn.XLOOKUP(B314,'Base stats'!B:B,'Base stats'!E:E),Groups!A:A,Groups!BH:BH)*_xlfn.XLOOKUP(B314,'Base stats'!B:B,'Base stats'!C:C)^0.165,0.05)</f>
        <v>0</v>
      </c>
      <c r="Y314" s="8">
        <f>MROUND(_xlfn.XLOOKUP(_xlfn.XLOOKUP(B314,'Base stats'!B:B,'Base stats'!E:E),Groups!A:A,Groups!BI:BI)*_xlfn.XLOOKUP(B314,'Base stats'!B:B,'Base stats'!C:C)^0.165,0.05)</f>
        <v>0</v>
      </c>
      <c r="Z314" s="18">
        <f>MROUND(_xlfn.XLOOKUP(B314,'Base stats'!B:B,'Base stats'!AQ:AQ)*_xlfn.XLOOKUP(_xlfn.XLOOKUP(B314,'Base stats'!B:B,'Base stats'!E:E),Groups!A:A,Groups!H:H)/1000,IF((_xlfn.XLOOKUP(B314,'Base stats'!B:B,'Base stats'!AQ:AQ)*_xlfn.XLOOKUP(_xlfn.XLOOKUP(B314,'Base stats'!B:B,'Base stats'!E:E),Groups!A:A,Groups!H:H)/1000)&gt;1,0.05,0.01))</f>
        <v>0.1</v>
      </c>
      <c r="AA314" s="18">
        <f>MROUND((1/2)*(_xlfn.XLOOKUP(_xlfn.XLOOKUP(B314,'Base stats'!B:B,'Base stats'!E:E),Groups!A:A,Groups!H:H)*_xlfn.XLOOKUP(_xlfn.XLOOKUP(B314,'Base stats'!B:B,'Base stats'!E:E),Groups!A:A,Groups!I:I))*_xlfn.XLOOKUP(B314,'Base stats'!B:B,'Base stats'!AQ:AQ)*0.01,0.05)</f>
        <v>0.4</v>
      </c>
      <c r="AB314" s="18">
        <f>MROUND(250*(Animals!AO314+Animals!AP314),25)</f>
        <v>1250</v>
      </c>
      <c r="AC314" s="18" t="str">
        <f>_xlfn.XLOOKUP(_xlfn.XLOOKUP(B314,'Base stats'!B:B,'Base stats'!E:E),Groups!A:A,Groups!BJ:BJ)</f>
        <v>Quadruped</v>
      </c>
    </row>
    <row r="315" spans="1:29" ht="16.5" thickTop="1" thickBot="1" x14ac:dyDescent="0.3">
      <c r="A315" s="16" t="str">
        <f>Animals!A315</f>
        <v>RaptorShrimp</v>
      </c>
      <c r="B315" s="6" t="str">
        <f>Animals!B315</f>
        <v>Caridea raptrix</v>
      </c>
      <c r="C315" s="1" t="str">
        <f>Animals!C315</f>
        <v>&lt;li&gt;AA_RaptorShrimp&lt;/li&gt;</v>
      </c>
      <c r="D315" s="47">
        <f>MIN(MIN(6,_xlfn.XLOOKUP(A315,Animals!A:A,Animals!AO:AO))*20,MAX(MROUND(_xlfn.XLOOKUP(B315,'Base stats'!B:B,'Base stats'!BS:BS) * (_xlfn.XLOOKUP(B315,'Base stats'!B:B,'Base stats'!AO:AO)*5%)^0.9 / 21,0.1),0.05))</f>
        <v>5.4</v>
      </c>
      <c r="E315" s="11">
        <f>MROUND(_xlfn.XLOOKUP(B315,'Base stats'!B:B,'Base stats'!BG:BG) * 0.01 * 2 + 0.01, 0.05)</f>
        <v>5.1000000000000005</v>
      </c>
      <c r="F315" s="7">
        <f>MROUND(_xlfn.XLOOKUP(B315,'Base stats'!B:B,'Base stats'!BD:BD)^0.25 / (_xlfn.XLOOKUP(B315,'Base stats'!B:B,'Base stats'!BK:BK) * 10) * 150 + 0.5 + _xlfn.XLOOKUP(B315,'Base stats'!B:B,'Base stats'!BW:BW), 0.05)</f>
        <v>3.45</v>
      </c>
      <c r="G315" s="3" t="str">
        <f>IF(Animals!S315="No","No",
IF(_xlfn.XLOOKUP(B315,'Base stats'!B:B,'Base stats'!U:U)="No",
MAX(MROUND(_xlfn.XLOOKUP(B315,'Base stats'!B:B,'Base stats'!BT:BT) * _xlfn.XLOOKUP(B315,'Base stats'!B:B,'Base stats'!BP:BP)^0.9 / 21 * _xlfn.XLOOKUP(B315,'Base stats'!B:B,'Base stats'!BX:BX),0.1),0.05),
MAX(MROUND(((MIN(10,_xlfn.XLOOKUP(B315,'Base stats'!B:B,'Base stats'!U:U)))^0.4*_xlfn.XLOOKUP(B315,'Base stats'!B:B,'Base stats'!BH:BH)^0.73)^0.6 * _xlfn.XLOOKUP(B315,'Base stats'!B:B,'Base stats'!BX:BX),0.1),0.05)
))</f>
        <v>No</v>
      </c>
      <c r="H315" s="11" t="str">
        <f>IF(G315="No","No",
MROUND(_xlfn.XLOOKUP(B315,'Base stats'!B:B,'Base stats'!BH:BH) * 0.01 * 2 + 0.05, 0.05)
)</f>
        <v>No</v>
      </c>
      <c r="I315" s="11" t="str">
        <f>IF(G315="No","No",IF(_xlfn.XLOOKUP(B315,'Base stats'!B:B,'Base stats'!U:U)="No","No",
MROUND(_xlfn.XLOOKUP(B315,'Base stats'!B:B,'Base stats'!BT:BT)/10000+0.01,0.01)
))</f>
        <v>No</v>
      </c>
      <c r="J315" s="4" t="str">
        <f>IF(G315="No","No",
MROUND(_xlfn.XLOOKUP(B315,'Base stats'!B:B,'Base stats'!BE:BE)^0.25
/((_xlfn.XLOOKUP(B315,'Base stats'!B:B,'Base stats'!BL:BL))*10)*_xlfn.XLOOKUP(_xlfn.XLOOKUP(B315,'Base stats'!B:B,'Base stats'!E:E),Groups!A:A,Groups!Q:Q)*150 + 0.5 + _xlfn.XLOOKUP(B315,'Base stats'!B:B,'Base stats'!BW:BW),
0.05))</f>
        <v>No</v>
      </c>
      <c r="K315" s="3" t="str">
        <f>IF(Animals!X315="No","No",
IF(_xlfn.XLOOKUP(_xlfn.XLOOKUP(B315,'Base stats'!B:B,'Base stats'!E:E),Groups!A:A,Groups!BD:BD)=1,
MAX(MROUND(_xlfn.XLOOKUP(B315,'Base stats'!B:B,'Base stats'!BU:BU) * _xlfn.XLOOKUP(B315,'Base stats'!B:B,'Base stats'!BQ:BQ)^0.9 / 21 *_xlfn.XLOOKUP(B315,'Base stats'!B:B,'Base stats'!BX:BX),0.1),0.05),
MAX(MROUND(((MIN(10,_xlfn.XLOOKUP(B315,'Base stats'!B:B,'Base stats'!W:W)))^0.4*_xlfn.XLOOKUP(B315,'Base stats'!B:B,'Base stats'!BI:BI)^0.73)^0.6 *_xlfn.XLOOKUP(B315,'Base stats'!B:B,'Base stats'!BX:BX),0.1),0.05)
))</f>
        <v>No</v>
      </c>
      <c r="L315" s="11" t="str">
        <f>IF(K315="No","No",
MROUND(_xlfn.XLOOKUP(B315,'Base stats'!B:B,'Base stats'!BI:BI) * 0.01 *2 + 0.05, 0.05)
)</f>
        <v>No</v>
      </c>
      <c r="M315" s="5" t="str">
        <f>IF(K315="No","No",IF(_xlfn.XLOOKUP(_xlfn.XLOOKUP(B315,'Base stats'!B:B,'Base stats'!E:E),Groups!A:A,Groups!BD:BD)=1,"No",
MROUND(_xlfn.XLOOKUP(B315,'Base stats'!B:B,'Base stats'!BU:BU)/10000+0.01,0.01)
))</f>
        <v>No</v>
      </c>
      <c r="N315" s="4" t="str">
        <f>IF(K315="No","No",
MROUND(
  _xlfn.XLOOKUP(B315,'Base stats'!B:B,'Base stats'!BC:BC)^0.25
  / (_xlfn.XLOOKUP(B315,'Base stats'!B:B,'Base stats'!BM:BM) * 10)
  * _xlfn.XLOOKUP(
      _xlfn.XLOOKUP(B315,'Base stats'!B:B,'Base stats'!E:E),
      Groups!A:A,
      Groups!V:V
    ) * 150
  + MIN(12, _xlfn.XLOOKUP(B315,'Base stats'!B:B,'Base stats'!W:W))^(1/IF(_xlfn.XLOOKUP(_xlfn.XLOOKUP(B315,'Base stats'!B:B,'Base stats'!E:E),Groups!A:A,Groups!U:U)=1,100,10)) + 0.5 + _xlfn.XLOOKUP(B315,'Base stats'!B:B,'Base stats'!BW:BW),
0.05))</f>
        <v>No</v>
      </c>
      <c r="O315" s="3">
        <f>IF(Animals!AD315="No","No",
MAX(MROUND((MIN(10,_xlfn.XLOOKUP(B315,'Base stats'!B:B,'Base stats'!V:V)*IF(_xlfn.XLOOKUP(_xlfn.XLOOKUP(B315,'Base stats'!B:B,'Base stats'!E:E),Groups!A:A,Groups!O:O)=0,1,0.33))^0.4*_xlfn.XLOOKUP(B315,'Base stats'!B:B,'Base stats'!BJ:BJ)^0.73)^0.6 *_xlfn.XLOOKUP(B315,'Base stats'!B:B,'Base stats'!BX:BX),0.1),0.05)
)</f>
        <v>42.5</v>
      </c>
      <c r="P315" s="11">
        <f>IF(O315="No","No",
MROUND(_xlfn.XLOOKUP(B315,'Base stats'!B:B,'Base stats'!BJ:BJ) * 0.01 * 2 + 0.05, 0.05)
)</f>
        <v>33.5</v>
      </c>
      <c r="Q315" s="5">
        <f>IF(O315="No","No",
MROUND(_xlfn.XLOOKUP(B315,'Base stats'!B:B,'Base stats'!BV:BV)/10000+0.01,0.01)
)</f>
        <v>0.95000000000000007</v>
      </c>
      <c r="R315" s="4">
        <f>IF(O315="No","No",
MROUND(_xlfn.XLOOKUP(B315,'Base stats'!B:B,'Base stats'!BB:BB)^0.25
/((_xlfn.XLOOKUP(B315,'Base stats'!B:B,'Base stats'!BN:BN))*10)*_xlfn.XLOOKUP(_xlfn.XLOOKUP(B315,'Base stats'!B:B,'Base stats'!E:E),Groups!A:A,Groups!Z:Z)*150 + 0.5 + _xlfn.XLOOKUP(B315,'Base stats'!B:B,'Base stats'!BW:BW),
0.05))</f>
        <v>3.0500000000000003</v>
      </c>
      <c r="S315" s="3">
        <f>IF(Animals!AI315="No","No",
IF(_xlfn.XLOOKUP(B315,'Base stats'!B:B,'Base stats'!U:U)="No",
MAX(MROUND(_xlfn.XLOOKUP(B315,'Base stats'!B:B,'Base stats'!BT:BT) * _xlfn.XLOOKUP(B315,'Base stats'!B:B,'Base stats'!BP:BP)^0.9 / 21 * _xlfn.XLOOKUP(B315,'Base stats'!B:B,'Base stats'!BX:BX),0.1),0.05),
MAX(MROUND(((MIN(12,_xlfn.XLOOKUP(B315,'Base stats'!B:B,'Base stats'!U:U)))^0.4*_xlfn.XLOOKUP(B315,'Base stats'!B:B,'Base stats'!BH:BH)^0.73)^0.6 * _xlfn.XLOOKUP(B315,'Base stats'!B:B,'Base stats'!BX:BX),0.1),0.05)
))</f>
        <v>42.5</v>
      </c>
      <c r="T315" s="11">
        <f>IF(S315="No","No",
MROUND(_xlfn.XLOOKUP(B315,'Base stats'!B:B,'Base stats'!BH:BH) * 0.01 * 2 + 0.05, 0.05)
)</f>
        <v>26.8</v>
      </c>
      <c r="U315" s="5">
        <f>IF(S315="No","No",IF(_xlfn.XLOOKUP(B315,'Base stats'!B:B,'Base stats'!U:U)="No","No",
MROUND(_xlfn.XLOOKUP(B315,'Base stats'!B:B,'Base stats'!BT:BT)/10000+0.01,0.01)
))</f>
        <v>7.55</v>
      </c>
      <c r="V315" s="4">
        <f>IF(S315="No","No",
MROUND(_xlfn.XLOOKUP(B315,'Base stats'!B:B,'Base stats'!BF:BF)^0.25
/((_xlfn.XLOOKUP(B315,'Base stats'!B:B,'Base stats'!BO:BO))*10)*_xlfn.XLOOKUP(_xlfn.XLOOKUP(B315,'Base stats'!B:B,'Base stats'!E:E),Groups!A:A,Groups!AE:AE)*150 + 0.5 + _xlfn.XLOOKUP(B315,'Base stats'!B:B,'Base stats'!BW:BW),
0.05))</f>
        <v>3.6500000000000004</v>
      </c>
      <c r="W315" s="8">
        <f>MROUND(_xlfn.XLOOKUP(_xlfn.XLOOKUP(B315,'Base stats'!B:B,'Base stats'!E:E),Groups!A:A,Groups!BG:BG)*_xlfn.XLOOKUP(B315,'Base stats'!B:B,'Base stats'!C:C)^-0.165,0.05)</f>
        <v>0.2</v>
      </c>
      <c r="X315" s="1">
        <f>MROUND(_xlfn.XLOOKUP(_xlfn.XLOOKUP(B315,'Base stats'!B:B,'Base stats'!E:E),Groups!A:A,Groups!BH:BH)*_xlfn.XLOOKUP(B315,'Base stats'!B:B,'Base stats'!C:C)^0.165,0.05)</f>
        <v>0.4</v>
      </c>
      <c r="Y315" s="8">
        <f>MROUND(_xlfn.XLOOKUP(_xlfn.XLOOKUP(B315,'Base stats'!B:B,'Base stats'!E:E),Groups!A:A,Groups!BI:BI)*_xlfn.XLOOKUP(B315,'Base stats'!B:B,'Base stats'!C:C)^0.165,0.05)</f>
        <v>0.05</v>
      </c>
      <c r="Z315" s="18">
        <f>MROUND(_xlfn.XLOOKUP(B315,'Base stats'!B:B,'Base stats'!AQ:AQ)*_xlfn.XLOOKUP(_xlfn.XLOOKUP(B315,'Base stats'!B:B,'Base stats'!E:E),Groups!A:A,Groups!H:H)/1000,IF((_xlfn.XLOOKUP(B315,'Base stats'!B:B,'Base stats'!AQ:AQ)*_xlfn.XLOOKUP(_xlfn.XLOOKUP(B315,'Base stats'!B:B,'Base stats'!E:E),Groups!A:A,Groups!H:H)/1000)&gt;1,0.05,0.01))</f>
        <v>5</v>
      </c>
      <c r="AA315" s="18">
        <f>MROUND((1/2)*(_xlfn.XLOOKUP(_xlfn.XLOOKUP(B315,'Base stats'!B:B,'Base stats'!E:E),Groups!A:A,Groups!H:H)*_xlfn.XLOOKUP(_xlfn.XLOOKUP(B315,'Base stats'!B:B,'Base stats'!E:E),Groups!A:A,Groups!I:I))*_xlfn.XLOOKUP(B315,'Base stats'!B:B,'Base stats'!AQ:AQ)*0.01,0.05)</f>
        <v>3.0500000000000003</v>
      </c>
      <c r="AB315" s="18">
        <f>MROUND(250*(Animals!AO315+Animals!AP315),25)</f>
        <v>1375</v>
      </c>
      <c r="AC315" s="18" t="str">
        <f>_xlfn.XLOOKUP(_xlfn.XLOOKUP(B315,'Base stats'!B:B,'Base stats'!E:E),Groups!A:A,Groups!BJ:BJ)</f>
        <v>Birdlike</v>
      </c>
    </row>
    <row r="316" spans="1:29" ht="16.5" thickTop="1" thickBot="1" x14ac:dyDescent="0.3">
      <c r="A316" s="16" t="str">
        <f>Animals!A316</f>
        <v>Ravager</v>
      </c>
      <c r="B316" s="6" t="str">
        <f>Animals!B316</f>
        <v>Devastator rapax</v>
      </c>
      <c r="C316" s="1" t="str">
        <f>Animals!C316</f>
        <v>&lt;li&gt;AA_Ravager&lt;/li&gt;</v>
      </c>
      <c r="D316" s="47">
        <f>MIN(MIN(6,_xlfn.XLOOKUP(A316,Animals!A:A,Animals!AO:AO))*20,MAX(MROUND(_xlfn.XLOOKUP(B316,'Base stats'!B:B,'Base stats'!BS:BS) * (_xlfn.XLOOKUP(B316,'Base stats'!B:B,'Base stats'!AO:AO)*5%)^0.9 / 21,0.1),0.05))</f>
        <v>4.4000000000000004</v>
      </c>
      <c r="E316" s="11">
        <f>MROUND(_xlfn.XLOOKUP(B316,'Base stats'!B:B,'Base stats'!BG:BG) * 0.01 * 2 + 0.01, 0.05)</f>
        <v>4.05</v>
      </c>
      <c r="F316" s="7">
        <f>MROUND(_xlfn.XLOOKUP(B316,'Base stats'!B:B,'Base stats'!BD:BD)^0.25 / (_xlfn.XLOOKUP(B316,'Base stats'!B:B,'Base stats'!BK:BK) * 10) * 150 + 0.5 + _xlfn.XLOOKUP(B316,'Base stats'!B:B,'Base stats'!BW:BW), 0.05)</f>
        <v>3.3000000000000003</v>
      </c>
      <c r="G316" s="3" t="str">
        <f>IF(Animals!S316="No","No",
IF(_xlfn.XLOOKUP(B316,'Base stats'!B:B,'Base stats'!U:U)="No",
MAX(MROUND(_xlfn.XLOOKUP(B316,'Base stats'!B:B,'Base stats'!BT:BT) * _xlfn.XLOOKUP(B316,'Base stats'!B:B,'Base stats'!BP:BP)^0.9 / 21 * _xlfn.XLOOKUP(B316,'Base stats'!B:B,'Base stats'!BX:BX),0.1),0.05),
MAX(MROUND(((MIN(10,_xlfn.XLOOKUP(B316,'Base stats'!B:B,'Base stats'!U:U)))^0.4*_xlfn.XLOOKUP(B316,'Base stats'!B:B,'Base stats'!BH:BH)^0.73)^0.6 * _xlfn.XLOOKUP(B316,'Base stats'!B:B,'Base stats'!BX:BX),0.1),0.05)
))</f>
        <v>No</v>
      </c>
      <c r="H316" s="11" t="str">
        <f>IF(G316="No","No",
MROUND(_xlfn.XLOOKUP(B316,'Base stats'!B:B,'Base stats'!BH:BH) * 0.01 * 2 + 0.05, 0.05)
)</f>
        <v>No</v>
      </c>
      <c r="I316" s="11" t="str">
        <f>IF(G316="No","No",IF(_xlfn.XLOOKUP(B316,'Base stats'!B:B,'Base stats'!U:U)="No","No",
MROUND(_xlfn.XLOOKUP(B316,'Base stats'!B:B,'Base stats'!BT:BT)/10000+0.01,0.01)
))</f>
        <v>No</v>
      </c>
      <c r="J316" s="4" t="str">
        <f>IF(G316="No","No",
MROUND(_xlfn.XLOOKUP(B316,'Base stats'!B:B,'Base stats'!BE:BE)^0.25
/((_xlfn.XLOOKUP(B316,'Base stats'!B:B,'Base stats'!BL:BL))*10)*_xlfn.XLOOKUP(_xlfn.XLOOKUP(B316,'Base stats'!B:B,'Base stats'!E:E),Groups!A:A,Groups!Q:Q)*150 + 0.5 + _xlfn.XLOOKUP(B316,'Base stats'!B:B,'Base stats'!BW:BW),
0.05))</f>
        <v>No</v>
      </c>
      <c r="K316" s="3" t="str">
        <f>IF(Animals!X316="No","No",
IF(_xlfn.XLOOKUP(_xlfn.XLOOKUP(B316,'Base stats'!B:B,'Base stats'!E:E),Groups!A:A,Groups!BD:BD)=1,
MAX(MROUND(_xlfn.XLOOKUP(B316,'Base stats'!B:B,'Base stats'!BU:BU) * _xlfn.XLOOKUP(B316,'Base stats'!B:B,'Base stats'!BQ:BQ)^0.9 / 21 *_xlfn.XLOOKUP(B316,'Base stats'!B:B,'Base stats'!BX:BX),0.1),0.05),
MAX(MROUND(((MIN(10,_xlfn.XLOOKUP(B316,'Base stats'!B:B,'Base stats'!W:W)))^0.4*_xlfn.XLOOKUP(B316,'Base stats'!B:B,'Base stats'!BI:BI)^0.73)^0.6 *_xlfn.XLOOKUP(B316,'Base stats'!B:B,'Base stats'!BX:BX),0.1),0.05)
))</f>
        <v>No</v>
      </c>
      <c r="L316" s="11" t="str">
        <f>IF(K316="No","No",
MROUND(_xlfn.XLOOKUP(B316,'Base stats'!B:B,'Base stats'!BI:BI) * 0.01 *2 + 0.05, 0.05)
)</f>
        <v>No</v>
      </c>
      <c r="M316" s="5" t="str">
        <f>IF(K316="No","No",IF(_xlfn.XLOOKUP(_xlfn.XLOOKUP(B316,'Base stats'!B:B,'Base stats'!E:E),Groups!A:A,Groups!BD:BD)=1,"No",
MROUND(_xlfn.XLOOKUP(B316,'Base stats'!B:B,'Base stats'!BU:BU)/10000+0.01,0.01)
))</f>
        <v>No</v>
      </c>
      <c r="N316" s="4" t="str">
        <f>IF(K316="No","No",
MROUND(
  _xlfn.XLOOKUP(B316,'Base stats'!B:B,'Base stats'!BC:BC)^0.25
  / (_xlfn.XLOOKUP(B316,'Base stats'!B:B,'Base stats'!BM:BM) * 10)
  * _xlfn.XLOOKUP(
      _xlfn.XLOOKUP(B316,'Base stats'!B:B,'Base stats'!E:E),
      Groups!A:A,
      Groups!V:V
    ) * 150
  + MIN(12, _xlfn.XLOOKUP(B316,'Base stats'!B:B,'Base stats'!W:W))^(1/IF(_xlfn.XLOOKUP(_xlfn.XLOOKUP(B316,'Base stats'!B:B,'Base stats'!E:E),Groups!A:A,Groups!U:U)=1,100,10)) + 0.5 + _xlfn.XLOOKUP(B316,'Base stats'!B:B,'Base stats'!BW:BW),
0.05))</f>
        <v>No</v>
      </c>
      <c r="O316" s="3">
        <f>IF(Animals!AD316="No","No",
MAX(MROUND((MIN(10,_xlfn.XLOOKUP(B316,'Base stats'!B:B,'Base stats'!V:V)*IF(_xlfn.XLOOKUP(_xlfn.XLOOKUP(B316,'Base stats'!B:B,'Base stats'!E:E),Groups!A:A,Groups!O:O)=0,1,0.33))^0.4*_xlfn.XLOOKUP(B316,'Base stats'!B:B,'Base stats'!BJ:BJ)^0.73)^0.6 *_xlfn.XLOOKUP(B316,'Base stats'!B:B,'Base stats'!BX:BX),0.1),0.05)
)</f>
        <v>41.1</v>
      </c>
      <c r="P316" s="11">
        <f>IF(O316="No","No",
MROUND(_xlfn.XLOOKUP(B316,'Base stats'!B:B,'Base stats'!BJ:BJ) * 0.01 * 2 + 0.05, 0.05)
)</f>
        <v>27.400000000000002</v>
      </c>
      <c r="Q316" s="5">
        <f>IF(O316="No","No",
MROUND(_xlfn.XLOOKUP(B316,'Base stats'!B:B,'Base stats'!BV:BV)/10000+0.01,0.01)
)</f>
        <v>0.86</v>
      </c>
      <c r="R316" s="4">
        <f>IF(O316="No","No",
MROUND(_xlfn.XLOOKUP(B316,'Base stats'!B:B,'Base stats'!BB:BB)^0.25
/((_xlfn.XLOOKUP(B316,'Base stats'!B:B,'Base stats'!BN:BN))*10)*_xlfn.XLOOKUP(_xlfn.XLOOKUP(B316,'Base stats'!B:B,'Base stats'!E:E),Groups!A:A,Groups!Z:Z)*150 + 0.5 + _xlfn.XLOOKUP(B316,'Base stats'!B:B,'Base stats'!BW:BW),
0.05))</f>
        <v>2.95</v>
      </c>
      <c r="S316" s="3">
        <f>IF(Animals!AI316="No","No",
IF(_xlfn.XLOOKUP(B316,'Base stats'!B:B,'Base stats'!U:U)="No",
MAX(MROUND(_xlfn.XLOOKUP(B316,'Base stats'!B:B,'Base stats'!BT:BT) * _xlfn.XLOOKUP(B316,'Base stats'!B:B,'Base stats'!BP:BP)^0.9 / 21 * _xlfn.XLOOKUP(B316,'Base stats'!B:B,'Base stats'!BX:BX),0.1),0.05),
MAX(MROUND(((MIN(12,_xlfn.XLOOKUP(B316,'Base stats'!B:B,'Base stats'!U:U)))^0.4*_xlfn.XLOOKUP(B316,'Base stats'!B:B,'Base stats'!BH:BH)^0.73)^0.6 * _xlfn.XLOOKUP(B316,'Base stats'!B:B,'Base stats'!BX:BX),0.1),0.05)
))</f>
        <v>38.900000000000006</v>
      </c>
      <c r="T316" s="11">
        <f>IF(S316="No","No",
MROUND(_xlfn.XLOOKUP(B316,'Base stats'!B:B,'Base stats'!BH:BH) * 0.01 * 2 + 0.05, 0.05)
)</f>
        <v>21.950000000000003</v>
      </c>
      <c r="U316" s="5">
        <f>IF(S316="No","No",IF(_xlfn.XLOOKUP(B316,'Base stats'!B:B,'Base stats'!U:U)="No","No",
MROUND(_xlfn.XLOOKUP(B316,'Base stats'!B:B,'Base stats'!BT:BT)/10000+0.01,0.01)
))</f>
        <v>6.84</v>
      </c>
      <c r="V316" s="4">
        <f>IF(S316="No","No",
MROUND(_xlfn.XLOOKUP(B316,'Base stats'!B:B,'Base stats'!BF:BF)^0.25
/((_xlfn.XLOOKUP(B316,'Base stats'!B:B,'Base stats'!BO:BO))*10)*_xlfn.XLOOKUP(_xlfn.XLOOKUP(B316,'Base stats'!B:B,'Base stats'!E:E),Groups!A:A,Groups!AE:AE)*150 + 0.5 + _xlfn.XLOOKUP(B316,'Base stats'!B:B,'Base stats'!BW:BW),
0.05))</f>
        <v>3.5</v>
      </c>
      <c r="W316" s="8">
        <f>MROUND(_xlfn.XLOOKUP(_xlfn.XLOOKUP(B316,'Base stats'!B:B,'Base stats'!E:E),Groups!A:A,Groups!BG:BG)*_xlfn.XLOOKUP(B316,'Base stats'!B:B,'Base stats'!C:C)^-0.165,0.05)</f>
        <v>0.1</v>
      </c>
      <c r="X316" s="1">
        <f>MROUND(_xlfn.XLOOKUP(_xlfn.XLOOKUP(B316,'Base stats'!B:B,'Base stats'!E:E),Groups!A:A,Groups!BH:BH)*_xlfn.XLOOKUP(B316,'Base stats'!B:B,'Base stats'!C:C)^0.165,0.05)</f>
        <v>0.25</v>
      </c>
      <c r="Y316" s="8">
        <f>MROUND(_xlfn.XLOOKUP(_xlfn.XLOOKUP(B316,'Base stats'!B:B,'Base stats'!E:E),Groups!A:A,Groups!BI:BI)*_xlfn.XLOOKUP(B316,'Base stats'!B:B,'Base stats'!C:C)^0.165,0.05)</f>
        <v>0.05</v>
      </c>
      <c r="Z316" s="18">
        <f>MROUND(_xlfn.XLOOKUP(B316,'Base stats'!B:B,'Base stats'!AQ:AQ)*_xlfn.XLOOKUP(_xlfn.XLOOKUP(B316,'Base stats'!B:B,'Base stats'!E:E),Groups!A:A,Groups!H:H)/1000,IF((_xlfn.XLOOKUP(B316,'Base stats'!B:B,'Base stats'!AQ:AQ)*_xlfn.XLOOKUP(_xlfn.XLOOKUP(B316,'Base stats'!B:B,'Base stats'!E:E),Groups!A:A,Groups!H:H)/1000)&gt;1,0.05,0.01))</f>
        <v>4.6000000000000005</v>
      </c>
      <c r="AA316" s="18">
        <f>MROUND((1/2)*(_xlfn.XLOOKUP(_xlfn.XLOOKUP(B316,'Base stats'!B:B,'Base stats'!E:E),Groups!A:A,Groups!H:H)*_xlfn.XLOOKUP(_xlfn.XLOOKUP(B316,'Base stats'!B:B,'Base stats'!E:E),Groups!A:A,Groups!I:I))*_xlfn.XLOOKUP(B316,'Base stats'!B:B,'Base stats'!AQ:AQ)*0.01,0.05)</f>
        <v>2.8000000000000003</v>
      </c>
      <c r="AB316" s="18">
        <f>MROUND(250*(Animals!AO316+Animals!AP316),25)</f>
        <v>1250</v>
      </c>
      <c r="AC316" s="18" t="str">
        <f>_xlfn.XLOOKUP(_xlfn.XLOOKUP(B316,'Base stats'!B:B,'Base stats'!E:E),Groups!A:A,Groups!BJ:BJ)</f>
        <v>QuadrupedLow</v>
      </c>
    </row>
    <row r="317" spans="1:29" ht="16.5" thickTop="1" thickBot="1" x14ac:dyDescent="0.3">
      <c r="A317" s="16" t="str">
        <f>Animals!A317</f>
        <v>RayHound</v>
      </c>
      <c r="B317" s="6" t="str">
        <f>Animals!B317</f>
        <v>Salvator electronis</v>
      </c>
      <c r="C317" s="1" t="str">
        <f>Animals!C317</f>
        <v>&lt;li&gt;AA_RayHound&lt;/li&gt;</v>
      </c>
      <c r="D317" s="47">
        <f>MIN(MIN(6,_xlfn.XLOOKUP(A317,Animals!A:A,Animals!AO:AO))*20,MAX(MROUND(_xlfn.XLOOKUP(B317,'Base stats'!B:B,'Base stats'!BS:BS) * (_xlfn.XLOOKUP(B317,'Base stats'!B:B,'Base stats'!AO:AO)*5%)^0.9 / 21,0.1),0.05))</f>
        <v>2.3000000000000003</v>
      </c>
      <c r="E317" s="11">
        <f>MROUND(_xlfn.XLOOKUP(B317,'Base stats'!B:B,'Base stats'!BG:BG) * 0.01 * 2 + 0.01, 0.05)</f>
        <v>1.9000000000000001</v>
      </c>
      <c r="F317" s="7">
        <f>MROUND(_xlfn.XLOOKUP(B317,'Base stats'!B:B,'Base stats'!BD:BD)^0.25 / (_xlfn.XLOOKUP(B317,'Base stats'!B:B,'Base stats'!BK:BK) * 10) * 150 + 0.5 + _xlfn.XLOOKUP(B317,'Base stats'!B:B,'Base stats'!BW:BW), 0.05)</f>
        <v>1.9500000000000002</v>
      </c>
      <c r="G317" s="3" t="str">
        <f>IF(Animals!S317="No","No",
IF(_xlfn.XLOOKUP(B317,'Base stats'!B:B,'Base stats'!U:U)="No",
MAX(MROUND(_xlfn.XLOOKUP(B317,'Base stats'!B:B,'Base stats'!BT:BT) * _xlfn.XLOOKUP(B317,'Base stats'!B:B,'Base stats'!BP:BP)^0.9 / 21 * _xlfn.XLOOKUP(B317,'Base stats'!B:B,'Base stats'!BX:BX),0.1),0.05),
MAX(MROUND(((MIN(10,_xlfn.XLOOKUP(B317,'Base stats'!B:B,'Base stats'!U:U)))^0.4*_xlfn.XLOOKUP(B317,'Base stats'!B:B,'Base stats'!BH:BH)^0.73)^0.6 * _xlfn.XLOOKUP(B317,'Base stats'!B:B,'Base stats'!BX:BX),0.1),0.05)
))</f>
        <v>No</v>
      </c>
      <c r="H317" s="11" t="str">
        <f>IF(G317="No","No",
MROUND(_xlfn.XLOOKUP(B317,'Base stats'!B:B,'Base stats'!BH:BH) * 0.01 * 2 + 0.05, 0.05)
)</f>
        <v>No</v>
      </c>
      <c r="I317" s="11" t="str">
        <f>IF(G317="No","No",IF(_xlfn.XLOOKUP(B317,'Base stats'!B:B,'Base stats'!U:U)="No","No",
MROUND(_xlfn.XLOOKUP(B317,'Base stats'!B:B,'Base stats'!BT:BT)/10000+0.01,0.01)
))</f>
        <v>No</v>
      </c>
      <c r="J317" s="4" t="str">
        <f>IF(G317="No","No",
MROUND(_xlfn.XLOOKUP(B317,'Base stats'!B:B,'Base stats'!BE:BE)^0.25
/((_xlfn.XLOOKUP(B317,'Base stats'!B:B,'Base stats'!BL:BL))*10)*_xlfn.XLOOKUP(_xlfn.XLOOKUP(B317,'Base stats'!B:B,'Base stats'!E:E),Groups!A:A,Groups!Q:Q)*150 + 0.5 + _xlfn.XLOOKUP(B317,'Base stats'!B:B,'Base stats'!BW:BW),
0.05))</f>
        <v>No</v>
      </c>
      <c r="K317" s="3" t="str">
        <f>IF(Animals!X317="No","No",
IF(_xlfn.XLOOKUP(_xlfn.XLOOKUP(B317,'Base stats'!B:B,'Base stats'!E:E),Groups!A:A,Groups!BD:BD)=1,
MAX(MROUND(_xlfn.XLOOKUP(B317,'Base stats'!B:B,'Base stats'!BU:BU) * _xlfn.XLOOKUP(B317,'Base stats'!B:B,'Base stats'!BQ:BQ)^0.9 / 21 *_xlfn.XLOOKUP(B317,'Base stats'!B:B,'Base stats'!BX:BX),0.1),0.05),
MAX(MROUND(((MIN(10,_xlfn.XLOOKUP(B317,'Base stats'!B:B,'Base stats'!W:W)))^0.4*_xlfn.XLOOKUP(B317,'Base stats'!B:B,'Base stats'!BI:BI)^0.73)^0.6 *_xlfn.XLOOKUP(B317,'Base stats'!B:B,'Base stats'!BX:BX),0.1),0.05)
))</f>
        <v>No</v>
      </c>
      <c r="L317" s="11" t="str">
        <f>IF(K317="No","No",
MROUND(_xlfn.XLOOKUP(B317,'Base stats'!B:B,'Base stats'!BI:BI) * 0.01 *2 + 0.05, 0.05)
)</f>
        <v>No</v>
      </c>
      <c r="M317" s="5" t="str">
        <f>IF(K317="No","No",IF(_xlfn.XLOOKUP(_xlfn.XLOOKUP(B317,'Base stats'!B:B,'Base stats'!E:E),Groups!A:A,Groups!BD:BD)=1,"No",
MROUND(_xlfn.XLOOKUP(B317,'Base stats'!B:B,'Base stats'!BU:BU)/10000+0.01,0.01)
))</f>
        <v>No</v>
      </c>
      <c r="N317" s="4" t="str">
        <f>IF(K317="No","No",
MROUND(
  _xlfn.XLOOKUP(B317,'Base stats'!B:B,'Base stats'!BC:BC)^0.25
  / (_xlfn.XLOOKUP(B317,'Base stats'!B:B,'Base stats'!BM:BM) * 10)
  * _xlfn.XLOOKUP(
      _xlfn.XLOOKUP(B317,'Base stats'!B:B,'Base stats'!E:E),
      Groups!A:A,
      Groups!V:V
    ) * 150
  + MIN(12, _xlfn.XLOOKUP(B317,'Base stats'!B:B,'Base stats'!W:W))^(1/IF(_xlfn.XLOOKUP(_xlfn.XLOOKUP(B317,'Base stats'!B:B,'Base stats'!E:E),Groups!A:A,Groups!U:U)=1,100,10)) + 0.5 + _xlfn.XLOOKUP(B317,'Base stats'!B:B,'Base stats'!BW:BW),
0.05))</f>
        <v>No</v>
      </c>
      <c r="O317" s="3">
        <f>IF(Animals!AD317="No","No",
MAX(MROUND((MIN(10,_xlfn.XLOOKUP(B317,'Base stats'!B:B,'Base stats'!V:V)*IF(_xlfn.XLOOKUP(_xlfn.XLOOKUP(B317,'Base stats'!B:B,'Base stats'!E:E),Groups!A:A,Groups!O:O)=0,1,0.33))^0.4*_xlfn.XLOOKUP(B317,'Base stats'!B:B,'Base stats'!BJ:BJ)^0.73)^0.6 *_xlfn.XLOOKUP(B317,'Base stats'!B:B,'Base stats'!BX:BX),0.1),0.05)
)</f>
        <v>18.400000000000002</v>
      </c>
      <c r="P317" s="11">
        <f>IF(O317="No","No",
MROUND(_xlfn.XLOOKUP(B317,'Base stats'!B:B,'Base stats'!BJ:BJ) * 0.01 * 2 + 0.05, 0.05)
)</f>
        <v>10.600000000000001</v>
      </c>
      <c r="Q317" s="5">
        <f>IF(O317="No","No",
MROUND(_xlfn.XLOOKUP(B317,'Base stats'!B:B,'Base stats'!BV:BV)/10000+0.01,0.01)
)</f>
        <v>0.64</v>
      </c>
      <c r="R317" s="4">
        <f>IF(O317="No","No",
MROUND(_xlfn.XLOOKUP(B317,'Base stats'!B:B,'Base stats'!BB:BB)^0.25
/((_xlfn.XLOOKUP(B317,'Base stats'!B:B,'Base stats'!BN:BN))*10)*_xlfn.XLOOKUP(_xlfn.XLOOKUP(B317,'Base stats'!B:B,'Base stats'!E:E),Groups!A:A,Groups!Z:Z)*150 + 0.5 + _xlfn.XLOOKUP(B317,'Base stats'!B:B,'Base stats'!BW:BW),
0.05))</f>
        <v>2.4500000000000002</v>
      </c>
      <c r="S317" s="3">
        <f>IF(Animals!AI317="No","No",
IF(_xlfn.XLOOKUP(B317,'Base stats'!B:B,'Base stats'!U:U)="No",
MAX(MROUND(_xlfn.XLOOKUP(B317,'Base stats'!B:B,'Base stats'!BT:BT) * _xlfn.XLOOKUP(B317,'Base stats'!B:B,'Base stats'!BP:BP)^0.9 / 21 * _xlfn.XLOOKUP(B317,'Base stats'!B:B,'Base stats'!BX:BX),0.1),0.05),
MAX(MROUND(((MIN(12,_xlfn.XLOOKUP(B317,'Base stats'!B:B,'Base stats'!U:U)))^0.4*_xlfn.XLOOKUP(B317,'Base stats'!B:B,'Base stats'!BH:BH)^0.73)^0.6 * _xlfn.XLOOKUP(B317,'Base stats'!B:B,'Base stats'!BX:BX),0.1),0.05)
))</f>
        <v>9</v>
      </c>
      <c r="T317" s="11">
        <f>IF(S317="No","No",
MROUND(_xlfn.XLOOKUP(B317,'Base stats'!B:B,'Base stats'!BH:BH) * 0.01 * 2 + 0.05, 0.05)
)</f>
        <v>2.4500000000000002</v>
      </c>
      <c r="U317" s="5">
        <f>IF(S317="No","No",IF(_xlfn.XLOOKUP(B317,'Base stats'!B:B,'Base stats'!U:U)="No","No",
MROUND(_xlfn.XLOOKUP(B317,'Base stats'!B:B,'Base stats'!BT:BT)/10000+0.01,0.01)
))</f>
        <v>0.15</v>
      </c>
      <c r="V317" s="4">
        <f>IF(S317="No","No",
MROUND(_xlfn.XLOOKUP(B317,'Base stats'!B:B,'Base stats'!BF:BF)^0.25
/((_xlfn.XLOOKUP(B317,'Base stats'!B:B,'Base stats'!BO:BO))*10)*_xlfn.XLOOKUP(_xlfn.XLOOKUP(B317,'Base stats'!B:B,'Base stats'!E:E),Groups!A:A,Groups!AE:AE)*150 + 0.5 + _xlfn.XLOOKUP(B317,'Base stats'!B:B,'Base stats'!BW:BW),
0.05))</f>
        <v>1.4500000000000002</v>
      </c>
      <c r="W317" s="8">
        <f>MROUND(_xlfn.XLOOKUP(_xlfn.XLOOKUP(B317,'Base stats'!B:B,'Base stats'!E:E),Groups!A:A,Groups!BG:BG)*_xlfn.XLOOKUP(B317,'Base stats'!B:B,'Base stats'!C:C)^-0.165,0.05)</f>
        <v>0.25</v>
      </c>
      <c r="X317" s="1">
        <f>MROUND(_xlfn.XLOOKUP(_xlfn.XLOOKUP(B317,'Base stats'!B:B,'Base stats'!E:E),Groups!A:A,Groups!BH:BH)*_xlfn.XLOOKUP(B317,'Base stats'!B:B,'Base stats'!C:C)^0.165,0.05)</f>
        <v>0.4</v>
      </c>
      <c r="Y317" s="8">
        <f>MROUND(_xlfn.XLOOKUP(_xlfn.XLOOKUP(B317,'Base stats'!B:B,'Base stats'!E:E),Groups!A:A,Groups!BI:BI)*_xlfn.XLOOKUP(B317,'Base stats'!B:B,'Base stats'!C:C)^0.165,0.05)</f>
        <v>0.05</v>
      </c>
      <c r="Z317" s="18">
        <f>MROUND(_xlfn.XLOOKUP(B317,'Base stats'!B:B,'Base stats'!AQ:AQ)*_xlfn.XLOOKUP(_xlfn.XLOOKUP(B317,'Base stats'!B:B,'Base stats'!E:E),Groups!A:A,Groups!H:H)/1000,IF((_xlfn.XLOOKUP(B317,'Base stats'!B:B,'Base stats'!AQ:AQ)*_xlfn.XLOOKUP(_xlfn.XLOOKUP(B317,'Base stats'!B:B,'Base stats'!E:E),Groups!A:A,Groups!H:H)/1000)&gt;1,0.05,0.01))</f>
        <v>0.06</v>
      </c>
      <c r="AA317" s="18">
        <f>MROUND((1/2)*(_xlfn.XLOOKUP(_xlfn.XLOOKUP(B317,'Base stats'!B:B,'Base stats'!E:E),Groups!A:A,Groups!H:H)*_xlfn.XLOOKUP(_xlfn.XLOOKUP(B317,'Base stats'!B:B,'Base stats'!E:E),Groups!A:A,Groups!I:I))*_xlfn.XLOOKUP(B317,'Base stats'!B:B,'Base stats'!AQ:AQ)*0.01,0.05)</f>
        <v>0.25</v>
      </c>
      <c r="AB317" s="18">
        <f>MROUND(250*(Animals!AO317+Animals!AP317),25)</f>
        <v>550</v>
      </c>
      <c r="AC317" s="18" t="str">
        <f>_xlfn.XLOOKUP(_xlfn.XLOOKUP(B317,'Base stats'!B:B,'Base stats'!E:E),Groups!A:A,Groups!BJ:BJ)</f>
        <v>QuadrupedLow</v>
      </c>
    </row>
    <row r="318" spans="1:29" ht="16.5" thickTop="1" thickBot="1" x14ac:dyDescent="0.3">
      <c r="A318" s="16" t="str">
        <f>Animals!A318</f>
        <v>Razorjack</v>
      </c>
      <c r="B318" s="6" t="str">
        <f>Animals!B318</f>
        <v>Jaculus acutis</v>
      </c>
      <c r="C318" s="1" t="str">
        <f>Animals!C318</f>
        <v>&lt;li&gt;AA_Razorjack&lt;/li&gt;</v>
      </c>
      <c r="D318" s="47">
        <f>MIN(MIN(6,_xlfn.XLOOKUP(A318,Animals!A:A,Animals!AO:AO))*20,MAX(MROUND(_xlfn.XLOOKUP(B318,'Base stats'!B:B,'Base stats'!BS:BS) * (_xlfn.XLOOKUP(B318,'Base stats'!B:B,'Base stats'!AO:AO)*5%)^0.9 / 21,0.1),0.05))</f>
        <v>3.1</v>
      </c>
      <c r="E318" s="11">
        <f>MROUND(_xlfn.XLOOKUP(B318,'Base stats'!B:B,'Base stats'!BG:BG) * 0.01 * 2 + 0.01, 0.05)</f>
        <v>2.6</v>
      </c>
      <c r="F318" s="7">
        <f>MROUND(_xlfn.XLOOKUP(B318,'Base stats'!B:B,'Base stats'!BD:BD)^0.25 / (_xlfn.XLOOKUP(B318,'Base stats'!B:B,'Base stats'!BK:BK) * 10) * 150 + 0.5 + _xlfn.XLOOKUP(B318,'Base stats'!B:B,'Base stats'!BW:BW), 0.05)</f>
        <v>2.1</v>
      </c>
      <c r="G318" s="3" t="str">
        <f>IF(Animals!S318="No","No",
IF(_xlfn.XLOOKUP(B318,'Base stats'!B:B,'Base stats'!U:U)="No",
MAX(MROUND(_xlfn.XLOOKUP(B318,'Base stats'!B:B,'Base stats'!BT:BT) * _xlfn.XLOOKUP(B318,'Base stats'!B:B,'Base stats'!BP:BP)^0.9 / 21 * _xlfn.XLOOKUP(B318,'Base stats'!B:B,'Base stats'!BX:BX),0.1),0.05),
MAX(MROUND(((MIN(10,_xlfn.XLOOKUP(B318,'Base stats'!B:B,'Base stats'!U:U)))^0.4*_xlfn.XLOOKUP(B318,'Base stats'!B:B,'Base stats'!BH:BH)^0.73)^0.6 * _xlfn.XLOOKUP(B318,'Base stats'!B:B,'Base stats'!BX:BX),0.1),0.05)
))</f>
        <v>No</v>
      </c>
      <c r="H318" s="11" t="str">
        <f>IF(G318="No","No",
MROUND(_xlfn.XLOOKUP(B318,'Base stats'!B:B,'Base stats'!BH:BH) * 0.01 * 2 + 0.05, 0.05)
)</f>
        <v>No</v>
      </c>
      <c r="I318" s="11" t="str">
        <f>IF(G318="No","No",IF(_xlfn.XLOOKUP(B318,'Base stats'!B:B,'Base stats'!U:U)="No","No",
MROUND(_xlfn.XLOOKUP(B318,'Base stats'!B:B,'Base stats'!BT:BT)/10000+0.01,0.01)
))</f>
        <v>No</v>
      </c>
      <c r="J318" s="4" t="str">
        <f>IF(G318="No","No",
MROUND(_xlfn.XLOOKUP(B318,'Base stats'!B:B,'Base stats'!BE:BE)^0.25
/((_xlfn.XLOOKUP(B318,'Base stats'!B:B,'Base stats'!BL:BL))*10)*_xlfn.XLOOKUP(_xlfn.XLOOKUP(B318,'Base stats'!B:B,'Base stats'!E:E),Groups!A:A,Groups!Q:Q)*150 + 0.5 + _xlfn.XLOOKUP(B318,'Base stats'!B:B,'Base stats'!BW:BW),
0.05))</f>
        <v>No</v>
      </c>
      <c r="K318" s="3" t="str">
        <f>IF(Animals!X318="No","No",
IF(_xlfn.XLOOKUP(_xlfn.XLOOKUP(B318,'Base stats'!B:B,'Base stats'!E:E),Groups!A:A,Groups!BD:BD)=1,
MAX(MROUND(_xlfn.XLOOKUP(B318,'Base stats'!B:B,'Base stats'!BU:BU) * _xlfn.XLOOKUP(B318,'Base stats'!B:B,'Base stats'!BQ:BQ)^0.9 / 21 *_xlfn.XLOOKUP(B318,'Base stats'!B:B,'Base stats'!BX:BX),0.1),0.05),
MAX(MROUND(((MIN(10,_xlfn.XLOOKUP(B318,'Base stats'!B:B,'Base stats'!W:W)))^0.4*_xlfn.XLOOKUP(B318,'Base stats'!B:B,'Base stats'!BI:BI)^0.73)^0.6 *_xlfn.XLOOKUP(B318,'Base stats'!B:B,'Base stats'!BX:BX),0.1),0.05)
))</f>
        <v>No</v>
      </c>
      <c r="L318" s="11" t="str">
        <f>IF(K318="No","No",
MROUND(_xlfn.XLOOKUP(B318,'Base stats'!B:B,'Base stats'!BI:BI) * 0.01 *2 + 0.05, 0.05)
)</f>
        <v>No</v>
      </c>
      <c r="M318" s="5" t="str">
        <f>IF(K318="No","No",IF(_xlfn.XLOOKUP(_xlfn.XLOOKUP(B318,'Base stats'!B:B,'Base stats'!E:E),Groups!A:A,Groups!BD:BD)=1,"No",
MROUND(_xlfn.XLOOKUP(B318,'Base stats'!B:B,'Base stats'!BU:BU)/10000+0.01,0.01)
))</f>
        <v>No</v>
      </c>
      <c r="N318" s="4" t="str">
        <f>IF(K318="No","No",
MROUND(
  _xlfn.XLOOKUP(B318,'Base stats'!B:B,'Base stats'!BC:BC)^0.25
  / (_xlfn.XLOOKUP(B318,'Base stats'!B:B,'Base stats'!BM:BM) * 10)
  * _xlfn.XLOOKUP(
      _xlfn.XLOOKUP(B318,'Base stats'!B:B,'Base stats'!E:E),
      Groups!A:A,
      Groups!V:V
    ) * 150
  + MIN(12, _xlfn.XLOOKUP(B318,'Base stats'!B:B,'Base stats'!W:W))^(1/IF(_xlfn.XLOOKUP(_xlfn.XLOOKUP(B318,'Base stats'!B:B,'Base stats'!E:E),Groups!A:A,Groups!U:U)=1,100,10)) + 0.5 + _xlfn.XLOOKUP(B318,'Base stats'!B:B,'Base stats'!BW:BW),
0.05))</f>
        <v>No</v>
      </c>
      <c r="O318" s="3">
        <f>IF(Animals!AD318="No","No",
MAX(MROUND((MIN(10,_xlfn.XLOOKUP(B318,'Base stats'!B:B,'Base stats'!V:V)*IF(_xlfn.XLOOKUP(_xlfn.XLOOKUP(B318,'Base stats'!B:B,'Base stats'!E:E),Groups!A:A,Groups!O:O)=0,1,0.33))^0.4*_xlfn.XLOOKUP(B318,'Base stats'!B:B,'Base stats'!BJ:BJ)^0.73)^0.6 *_xlfn.XLOOKUP(B318,'Base stats'!B:B,'Base stats'!BX:BX),0.1),0.05)
)</f>
        <v>21</v>
      </c>
      <c r="P318" s="11">
        <f>IF(O318="No","No",
MROUND(_xlfn.XLOOKUP(B318,'Base stats'!B:B,'Base stats'!BJ:BJ) * 0.01 * 2 + 0.05, 0.05)
)</f>
        <v>9.65</v>
      </c>
      <c r="Q318" s="5">
        <f>IF(O318="No","No",
MROUND(_xlfn.XLOOKUP(B318,'Base stats'!B:B,'Base stats'!BV:BV)/10000+0.01,0.01)
)</f>
        <v>0.51</v>
      </c>
      <c r="R318" s="4">
        <f>IF(O318="No","No",
MROUND(_xlfn.XLOOKUP(B318,'Base stats'!B:B,'Base stats'!BB:BB)^0.25
/((_xlfn.XLOOKUP(B318,'Base stats'!B:B,'Base stats'!BN:BN))*10)*_xlfn.XLOOKUP(_xlfn.XLOOKUP(B318,'Base stats'!B:B,'Base stats'!E:E),Groups!A:A,Groups!Z:Z)*150 + 0.5 + _xlfn.XLOOKUP(B318,'Base stats'!B:B,'Base stats'!BW:BW),
0.05))</f>
        <v>2.3000000000000003</v>
      </c>
      <c r="S318" s="3">
        <f>IF(Animals!AI318="No","No",
IF(_xlfn.XLOOKUP(B318,'Base stats'!B:B,'Base stats'!U:U)="No",
MAX(MROUND(_xlfn.XLOOKUP(B318,'Base stats'!B:B,'Base stats'!BT:BT) * _xlfn.XLOOKUP(B318,'Base stats'!B:B,'Base stats'!BP:BP)^0.9 / 21 * _xlfn.XLOOKUP(B318,'Base stats'!B:B,'Base stats'!BX:BX),0.1),0.05),
MAX(MROUND(((MIN(12,_xlfn.XLOOKUP(B318,'Base stats'!B:B,'Base stats'!U:U)))^0.4*_xlfn.XLOOKUP(B318,'Base stats'!B:B,'Base stats'!BH:BH)^0.73)^0.6 * _xlfn.XLOOKUP(B318,'Base stats'!B:B,'Base stats'!BX:BX),0.1),0.05)
))</f>
        <v>12.600000000000001</v>
      </c>
      <c r="T318" s="11">
        <f>IF(S318="No","No",
MROUND(_xlfn.XLOOKUP(B318,'Base stats'!B:B,'Base stats'!BH:BH) * 0.01 * 2 + 0.05, 0.05)
)</f>
        <v>3.3000000000000003</v>
      </c>
      <c r="U318" s="5">
        <f>IF(S318="No","No",IF(_xlfn.XLOOKUP(B318,'Base stats'!B:B,'Base stats'!U:U)="No","No",
MROUND(_xlfn.XLOOKUP(B318,'Base stats'!B:B,'Base stats'!BT:BT)/10000+0.01,0.01)
))</f>
        <v>0.18</v>
      </c>
      <c r="V318" s="4">
        <f>IF(S318="No","No",
MROUND(_xlfn.XLOOKUP(B318,'Base stats'!B:B,'Base stats'!BF:BF)^0.25
/((_xlfn.XLOOKUP(B318,'Base stats'!B:B,'Base stats'!BO:BO))*10)*_xlfn.XLOOKUP(_xlfn.XLOOKUP(B318,'Base stats'!B:B,'Base stats'!E:E),Groups!A:A,Groups!AE:AE)*150 + 0.5 + _xlfn.XLOOKUP(B318,'Base stats'!B:B,'Base stats'!BW:BW),
0.05))</f>
        <v>1.55</v>
      </c>
      <c r="W318" s="8">
        <f>MROUND(_xlfn.XLOOKUP(_xlfn.XLOOKUP(B318,'Base stats'!B:B,'Base stats'!E:E),Groups!A:A,Groups!BG:BG)*_xlfn.XLOOKUP(B318,'Base stats'!B:B,'Base stats'!C:C)^-0.165,0.05)</f>
        <v>0.45</v>
      </c>
      <c r="X318" s="1">
        <f>MROUND(_xlfn.XLOOKUP(_xlfn.XLOOKUP(B318,'Base stats'!B:B,'Base stats'!E:E),Groups!A:A,Groups!BH:BH)*_xlfn.XLOOKUP(B318,'Base stats'!B:B,'Base stats'!C:C)^0.165,0.05)</f>
        <v>0.45</v>
      </c>
      <c r="Y318" s="8">
        <f>MROUND(_xlfn.XLOOKUP(_xlfn.XLOOKUP(B318,'Base stats'!B:B,'Base stats'!E:E),Groups!A:A,Groups!BI:BI)*_xlfn.XLOOKUP(B318,'Base stats'!B:B,'Base stats'!C:C)^0.165,0.05)</f>
        <v>0.05</v>
      </c>
      <c r="Z318" s="18">
        <f>MROUND(_xlfn.XLOOKUP(B318,'Base stats'!B:B,'Base stats'!AQ:AQ)*_xlfn.XLOOKUP(_xlfn.XLOOKUP(B318,'Base stats'!B:B,'Base stats'!E:E),Groups!A:A,Groups!H:H)/1000,IF((_xlfn.XLOOKUP(B318,'Base stats'!B:B,'Base stats'!AQ:AQ)*_xlfn.XLOOKUP(_xlfn.XLOOKUP(B318,'Base stats'!B:B,'Base stats'!E:E),Groups!A:A,Groups!H:H)/1000)&gt;1,0.05,0.01))</f>
        <v>0.1</v>
      </c>
      <c r="AA318" s="18">
        <f>MROUND((1/2)*(_xlfn.XLOOKUP(_xlfn.XLOOKUP(B318,'Base stats'!B:B,'Base stats'!E:E),Groups!A:A,Groups!H:H)*_xlfn.XLOOKUP(_xlfn.XLOOKUP(B318,'Base stats'!B:B,'Base stats'!E:E),Groups!A:A,Groups!I:I))*_xlfn.XLOOKUP(B318,'Base stats'!B:B,'Base stats'!AQ:AQ)*0.01,0.05)</f>
        <v>0.45</v>
      </c>
      <c r="AB318" s="18">
        <f>MROUND(250*(Animals!AO318+Animals!AP318),25)</f>
        <v>700</v>
      </c>
      <c r="AC318" s="18" t="str">
        <f>_xlfn.XLOOKUP(_xlfn.XLOOKUP(B318,'Base stats'!B:B,'Base stats'!E:E),Groups!A:A,Groups!BJ:BJ)</f>
        <v>Quadruped</v>
      </c>
    </row>
    <row r="319" spans="1:29" ht="16.5" thickTop="1" thickBot="1" x14ac:dyDescent="0.3">
      <c r="A319" s="16" t="str">
        <f>Animals!A319</f>
        <v>RedGoo</v>
      </c>
      <c r="B319" s="6" t="str">
        <f>Animals!B319</f>
        <v>Protofluidum rubrum</v>
      </c>
      <c r="C319" s="1" t="str">
        <f>Animals!C319</f>
        <v>&lt;li&gt;AA_RedGoo&lt;/li&gt;</v>
      </c>
      <c r="D319" s="47">
        <f>MIN(MIN(6,_xlfn.XLOOKUP(A319,Animals!A:A,Animals!AO:AO))*20,MAX(MROUND(_xlfn.XLOOKUP(B319,'Base stats'!B:B,'Base stats'!BS:BS) * (_xlfn.XLOOKUP(B319,'Base stats'!B:B,'Base stats'!AO:AO)*5%)^0.9 / 21,0.1),0.05))</f>
        <v>1</v>
      </c>
      <c r="E319" s="11">
        <f>MROUND(_xlfn.XLOOKUP(B319,'Base stats'!B:B,'Base stats'!BG:BG) * 0.01 * 2 + 0.01, 0.05)</f>
        <v>0.8</v>
      </c>
      <c r="F319" s="7">
        <f>MROUND(_xlfn.XLOOKUP(B319,'Base stats'!B:B,'Base stats'!BD:BD)^0.25 / (_xlfn.XLOOKUP(B319,'Base stats'!B:B,'Base stats'!BK:BK) * 10) * 150 + 0.5 + _xlfn.XLOOKUP(B319,'Base stats'!B:B,'Base stats'!BW:BW), 0.05)</f>
        <v>2.1</v>
      </c>
      <c r="G319" s="3" t="str">
        <f>IF(Animals!S319="No","No",
IF(_xlfn.XLOOKUP(B319,'Base stats'!B:B,'Base stats'!U:U)="No",
MAX(MROUND(_xlfn.XLOOKUP(B319,'Base stats'!B:B,'Base stats'!BT:BT) * _xlfn.XLOOKUP(B319,'Base stats'!B:B,'Base stats'!BP:BP)^0.9 / 21 * _xlfn.XLOOKUP(B319,'Base stats'!B:B,'Base stats'!BX:BX),0.1),0.05),
MAX(MROUND(((MIN(10,_xlfn.XLOOKUP(B319,'Base stats'!B:B,'Base stats'!U:U)))^0.4*_xlfn.XLOOKUP(B319,'Base stats'!B:B,'Base stats'!BH:BH)^0.73)^0.6 * _xlfn.XLOOKUP(B319,'Base stats'!B:B,'Base stats'!BX:BX),0.1),0.05)
))</f>
        <v>No</v>
      </c>
      <c r="H319" s="11" t="str">
        <f>IF(G319="No","No",
MROUND(_xlfn.XLOOKUP(B319,'Base stats'!B:B,'Base stats'!BH:BH) * 0.01 * 2 + 0.05, 0.05)
)</f>
        <v>No</v>
      </c>
      <c r="I319" s="11" t="str">
        <f>IF(G319="No","No",IF(_xlfn.XLOOKUP(B319,'Base stats'!B:B,'Base stats'!U:U)="No","No",
MROUND(_xlfn.XLOOKUP(B319,'Base stats'!B:B,'Base stats'!BT:BT)/10000+0.01,0.01)
))</f>
        <v>No</v>
      </c>
      <c r="J319" s="4" t="str">
        <f>IF(G319="No","No",
MROUND(_xlfn.XLOOKUP(B319,'Base stats'!B:B,'Base stats'!BE:BE)^0.25
/((_xlfn.XLOOKUP(B319,'Base stats'!B:B,'Base stats'!BL:BL))*10)*_xlfn.XLOOKUP(_xlfn.XLOOKUP(B319,'Base stats'!B:B,'Base stats'!E:E),Groups!A:A,Groups!Q:Q)*150 + 0.5 + _xlfn.XLOOKUP(B319,'Base stats'!B:B,'Base stats'!BW:BW),
0.05))</f>
        <v>No</v>
      </c>
      <c r="K319" s="3" t="str">
        <f>IF(Animals!X319="No","No",
IF(_xlfn.XLOOKUP(_xlfn.XLOOKUP(B319,'Base stats'!B:B,'Base stats'!E:E),Groups!A:A,Groups!BD:BD)=1,
MAX(MROUND(_xlfn.XLOOKUP(B319,'Base stats'!B:B,'Base stats'!BU:BU) * _xlfn.XLOOKUP(B319,'Base stats'!B:B,'Base stats'!BQ:BQ)^0.9 / 21 *_xlfn.XLOOKUP(B319,'Base stats'!B:B,'Base stats'!BX:BX),0.1),0.05),
MAX(MROUND(((MIN(10,_xlfn.XLOOKUP(B319,'Base stats'!B:B,'Base stats'!W:W)))^0.4*_xlfn.XLOOKUP(B319,'Base stats'!B:B,'Base stats'!BI:BI)^0.73)^0.6 *_xlfn.XLOOKUP(B319,'Base stats'!B:B,'Base stats'!BX:BX),0.1),0.05)
))</f>
        <v>No</v>
      </c>
      <c r="L319" s="11" t="str">
        <f>IF(K319="No","No",
MROUND(_xlfn.XLOOKUP(B319,'Base stats'!B:B,'Base stats'!BI:BI) * 0.01 *2 + 0.05, 0.05)
)</f>
        <v>No</v>
      </c>
      <c r="M319" s="5" t="str">
        <f>IF(K319="No","No",IF(_xlfn.XLOOKUP(_xlfn.XLOOKUP(B319,'Base stats'!B:B,'Base stats'!E:E),Groups!A:A,Groups!BD:BD)=1,"No",
MROUND(_xlfn.XLOOKUP(B319,'Base stats'!B:B,'Base stats'!BU:BU)/10000+0.01,0.01)
))</f>
        <v>No</v>
      </c>
      <c r="N319" s="4" t="str">
        <f>IF(K319="No","No",
MROUND(
  _xlfn.XLOOKUP(B319,'Base stats'!B:B,'Base stats'!BC:BC)^0.25
  / (_xlfn.XLOOKUP(B319,'Base stats'!B:B,'Base stats'!BM:BM) * 10)
  * _xlfn.XLOOKUP(
      _xlfn.XLOOKUP(B319,'Base stats'!B:B,'Base stats'!E:E),
      Groups!A:A,
      Groups!V:V
    ) * 150
  + MIN(12, _xlfn.XLOOKUP(B319,'Base stats'!B:B,'Base stats'!W:W))^(1/IF(_xlfn.XLOOKUP(_xlfn.XLOOKUP(B319,'Base stats'!B:B,'Base stats'!E:E),Groups!A:A,Groups!U:U)=1,100,10)) + 0.5 + _xlfn.XLOOKUP(B319,'Base stats'!B:B,'Base stats'!BW:BW),
0.05))</f>
        <v>No</v>
      </c>
      <c r="O319" s="3" t="str">
        <f>IF(Animals!AD319="No","No",
MAX(MROUND((MIN(10,_xlfn.XLOOKUP(B319,'Base stats'!B:B,'Base stats'!V:V)*IF(_xlfn.XLOOKUP(_xlfn.XLOOKUP(B319,'Base stats'!B:B,'Base stats'!E:E),Groups!A:A,Groups!O:O)=0,1,0.33))^0.4*_xlfn.XLOOKUP(B319,'Base stats'!B:B,'Base stats'!BJ:BJ)^0.73)^0.6 *_xlfn.XLOOKUP(B319,'Base stats'!B:B,'Base stats'!BX:BX),0.1),0.05)
)</f>
        <v>No</v>
      </c>
      <c r="P319" s="11" t="str">
        <f>IF(O319="No","No",
MROUND(_xlfn.XLOOKUP(B319,'Base stats'!B:B,'Base stats'!BJ:BJ) * 0.01 * 2 + 0.05, 0.05)
)</f>
        <v>No</v>
      </c>
      <c r="Q319" s="5" t="str">
        <f>IF(O319="No","No",
MROUND(_xlfn.XLOOKUP(B319,'Base stats'!B:B,'Base stats'!BV:BV)/10000+0.01,0.01)
)</f>
        <v>No</v>
      </c>
      <c r="R319" s="4" t="str">
        <f>IF(O319="No","No",
MROUND(_xlfn.XLOOKUP(B319,'Base stats'!B:B,'Base stats'!BB:BB)^0.25
/((_xlfn.XLOOKUP(B319,'Base stats'!B:B,'Base stats'!BN:BN))*10)*_xlfn.XLOOKUP(_xlfn.XLOOKUP(B319,'Base stats'!B:B,'Base stats'!E:E),Groups!A:A,Groups!Z:Z)*150 + 0.5 + _xlfn.XLOOKUP(B319,'Base stats'!B:B,'Base stats'!BW:BW),
0.05))</f>
        <v>No</v>
      </c>
      <c r="S319" s="3">
        <f>IF(Animals!AI319="No","No",
IF(_xlfn.XLOOKUP(B319,'Base stats'!B:B,'Base stats'!U:U)="No",
MAX(MROUND(_xlfn.XLOOKUP(B319,'Base stats'!B:B,'Base stats'!BT:BT) * _xlfn.XLOOKUP(B319,'Base stats'!B:B,'Base stats'!BP:BP)^0.9 / 21 * _xlfn.XLOOKUP(B319,'Base stats'!B:B,'Base stats'!BX:BX),0.1),0.05),
MAX(MROUND(((MIN(12,_xlfn.XLOOKUP(B319,'Base stats'!B:B,'Base stats'!U:U)))^0.4*_xlfn.XLOOKUP(B319,'Base stats'!B:B,'Base stats'!BH:BH)^0.73)^0.6 * _xlfn.XLOOKUP(B319,'Base stats'!B:B,'Base stats'!BX:BX),0.1),0.05)
))</f>
        <v>2</v>
      </c>
      <c r="T319" s="11">
        <f>IF(S319="No","No",
MROUND(_xlfn.XLOOKUP(B319,'Base stats'!B:B,'Base stats'!BH:BH) * 0.01 * 2 + 0.05, 0.05)
)</f>
        <v>0.95000000000000007</v>
      </c>
      <c r="U319" s="5" t="str">
        <f>IF(S319="No","No",IF(_xlfn.XLOOKUP(B319,'Base stats'!B:B,'Base stats'!U:U)="No","No",
MROUND(_xlfn.XLOOKUP(B319,'Base stats'!B:B,'Base stats'!BT:BT)/10000+0.01,0.01)
))</f>
        <v>No</v>
      </c>
      <c r="V319" s="4">
        <f>IF(S319="No","No",
MROUND(_xlfn.XLOOKUP(B319,'Base stats'!B:B,'Base stats'!BF:BF)^0.25
/((_xlfn.XLOOKUP(B319,'Base stats'!B:B,'Base stats'!BO:BO))*10)*_xlfn.XLOOKUP(_xlfn.XLOOKUP(B319,'Base stats'!B:B,'Base stats'!E:E),Groups!A:A,Groups!AE:AE)*150 + 0.5 + _xlfn.XLOOKUP(B319,'Base stats'!B:B,'Base stats'!BW:BW),
0.05))</f>
        <v>2</v>
      </c>
      <c r="W319" s="8">
        <f>MROUND(_xlfn.XLOOKUP(_xlfn.XLOOKUP(B319,'Base stats'!B:B,'Base stats'!E:E),Groups!A:A,Groups!BG:BG)*_xlfn.XLOOKUP(B319,'Base stats'!B:B,'Base stats'!C:C)^-0.165,0.05)</f>
        <v>0</v>
      </c>
      <c r="X319" s="1">
        <f>MROUND(_xlfn.XLOOKUP(_xlfn.XLOOKUP(B319,'Base stats'!B:B,'Base stats'!E:E),Groups!A:A,Groups!BH:BH)*_xlfn.XLOOKUP(B319,'Base stats'!B:B,'Base stats'!C:C)^0.165,0.05)</f>
        <v>0</v>
      </c>
      <c r="Y319" s="8">
        <f>MROUND(_xlfn.XLOOKUP(_xlfn.XLOOKUP(B319,'Base stats'!B:B,'Base stats'!E:E),Groups!A:A,Groups!BI:BI)*_xlfn.XLOOKUP(B319,'Base stats'!B:B,'Base stats'!C:C)^0.165,0.05)</f>
        <v>0</v>
      </c>
      <c r="Z319" s="18">
        <f>MROUND(_xlfn.XLOOKUP(B319,'Base stats'!B:B,'Base stats'!AQ:AQ)*_xlfn.XLOOKUP(_xlfn.XLOOKUP(B319,'Base stats'!B:B,'Base stats'!E:E),Groups!A:A,Groups!H:H)/1000,IF((_xlfn.XLOOKUP(B319,'Base stats'!B:B,'Base stats'!AQ:AQ)*_xlfn.XLOOKUP(_xlfn.XLOOKUP(B319,'Base stats'!B:B,'Base stats'!E:E),Groups!A:A,Groups!H:H)/1000)&gt;1,0.05,0.01))</f>
        <v>0</v>
      </c>
      <c r="AA319" s="18">
        <f>MROUND((1/2)*(_xlfn.XLOOKUP(_xlfn.XLOOKUP(B319,'Base stats'!B:B,'Base stats'!E:E),Groups!A:A,Groups!H:H)*_xlfn.XLOOKUP(_xlfn.XLOOKUP(B319,'Base stats'!B:B,'Base stats'!E:E),Groups!A:A,Groups!I:I))*_xlfn.XLOOKUP(B319,'Base stats'!B:B,'Base stats'!AQ:AQ)*0.01,0.05)</f>
        <v>0</v>
      </c>
      <c r="AB319" s="18">
        <f>MROUND(250*(Animals!AO319+Animals!AP319),25)</f>
        <v>475</v>
      </c>
      <c r="AC319" s="18" t="str">
        <f>_xlfn.XLOOKUP(_xlfn.XLOOKUP(B319,'Base stats'!B:B,'Base stats'!E:E),Groups!A:A,Groups!BJ:BJ)</f>
        <v>QuadrupedLow</v>
      </c>
    </row>
    <row r="320" spans="1:29" ht="16.5" thickTop="1" thickBot="1" x14ac:dyDescent="0.3">
      <c r="A320" s="16" t="str">
        <f>Animals!A320</f>
        <v>RedSpore</v>
      </c>
      <c r="B320" s="6" t="str">
        <f>Animals!B320</f>
        <v>Sporus ruber</v>
      </c>
      <c r="C320" s="1" t="str">
        <f>Animals!C320</f>
        <v>&lt;li&gt;AA_RedSpore&lt;/li&gt;</v>
      </c>
      <c r="D320" s="47">
        <f>MIN(MIN(6,_xlfn.XLOOKUP(A320,Animals!A:A,Animals!AO:AO))*20,MAX(MROUND(_xlfn.XLOOKUP(B320,'Base stats'!B:B,'Base stats'!BS:BS) * (_xlfn.XLOOKUP(B320,'Base stats'!B:B,'Base stats'!AO:AO)*5%)^0.9 / 21,0.1),0.05))</f>
        <v>3</v>
      </c>
      <c r="E320" s="11">
        <f>MROUND(_xlfn.XLOOKUP(B320,'Base stats'!B:B,'Base stats'!BG:BG) * 0.01 * 2 + 0.01, 0.05)</f>
        <v>2.7</v>
      </c>
      <c r="F320" s="7">
        <f>MROUND(_xlfn.XLOOKUP(B320,'Base stats'!B:B,'Base stats'!BD:BD)^0.25 / (_xlfn.XLOOKUP(B320,'Base stats'!B:B,'Base stats'!BK:BK) * 10) * 150 + 0.5 + _xlfn.XLOOKUP(B320,'Base stats'!B:B,'Base stats'!BW:BW), 0.05)</f>
        <v>2.35</v>
      </c>
      <c r="G320" s="3" t="str">
        <f>IF(Animals!S320="No","No",
IF(_xlfn.XLOOKUP(B320,'Base stats'!B:B,'Base stats'!U:U)="No",
MAX(MROUND(_xlfn.XLOOKUP(B320,'Base stats'!B:B,'Base stats'!BT:BT) * _xlfn.XLOOKUP(B320,'Base stats'!B:B,'Base stats'!BP:BP)^0.9 / 21 * _xlfn.XLOOKUP(B320,'Base stats'!B:B,'Base stats'!BX:BX),0.1),0.05),
MAX(MROUND(((MIN(10,_xlfn.XLOOKUP(B320,'Base stats'!B:B,'Base stats'!U:U)))^0.4*_xlfn.XLOOKUP(B320,'Base stats'!B:B,'Base stats'!BH:BH)^0.73)^0.6 * _xlfn.XLOOKUP(B320,'Base stats'!B:B,'Base stats'!BX:BX),0.1),0.05)
))</f>
        <v>No</v>
      </c>
      <c r="H320" s="11" t="str">
        <f>IF(G320="No","No",
MROUND(_xlfn.XLOOKUP(B320,'Base stats'!B:B,'Base stats'!BH:BH) * 0.01 * 2 + 0.05, 0.05)
)</f>
        <v>No</v>
      </c>
      <c r="I320" s="11" t="str">
        <f>IF(G320="No","No",IF(_xlfn.XLOOKUP(B320,'Base stats'!B:B,'Base stats'!U:U)="No","No",
MROUND(_xlfn.XLOOKUP(B320,'Base stats'!B:B,'Base stats'!BT:BT)/10000+0.01,0.01)
))</f>
        <v>No</v>
      </c>
      <c r="J320" s="4" t="str">
        <f>IF(G320="No","No",
MROUND(_xlfn.XLOOKUP(B320,'Base stats'!B:B,'Base stats'!BE:BE)^0.25
/((_xlfn.XLOOKUP(B320,'Base stats'!B:B,'Base stats'!BL:BL))*10)*_xlfn.XLOOKUP(_xlfn.XLOOKUP(B320,'Base stats'!B:B,'Base stats'!E:E),Groups!A:A,Groups!Q:Q)*150 + 0.5 + _xlfn.XLOOKUP(B320,'Base stats'!B:B,'Base stats'!BW:BW),
0.05))</f>
        <v>No</v>
      </c>
      <c r="K320" s="3" t="str">
        <f>IF(Animals!X320="No","No",
IF(_xlfn.XLOOKUP(_xlfn.XLOOKUP(B320,'Base stats'!B:B,'Base stats'!E:E),Groups!A:A,Groups!BD:BD)=1,
MAX(MROUND(_xlfn.XLOOKUP(B320,'Base stats'!B:B,'Base stats'!BU:BU) * _xlfn.XLOOKUP(B320,'Base stats'!B:B,'Base stats'!BQ:BQ)^0.9 / 21 *_xlfn.XLOOKUP(B320,'Base stats'!B:B,'Base stats'!BX:BX),0.1),0.05),
MAX(MROUND(((MIN(10,_xlfn.XLOOKUP(B320,'Base stats'!B:B,'Base stats'!W:W)))^0.4*_xlfn.XLOOKUP(B320,'Base stats'!B:B,'Base stats'!BI:BI)^0.73)^0.6 *_xlfn.XLOOKUP(B320,'Base stats'!B:B,'Base stats'!BX:BX),0.1),0.05)
))</f>
        <v>No</v>
      </c>
      <c r="L320" s="11" t="str">
        <f>IF(K320="No","No",
MROUND(_xlfn.XLOOKUP(B320,'Base stats'!B:B,'Base stats'!BI:BI) * 0.01 *2 + 0.05, 0.05)
)</f>
        <v>No</v>
      </c>
      <c r="M320" s="5" t="str">
        <f>IF(K320="No","No",IF(_xlfn.XLOOKUP(_xlfn.XLOOKUP(B320,'Base stats'!B:B,'Base stats'!E:E),Groups!A:A,Groups!BD:BD)=1,"No",
MROUND(_xlfn.XLOOKUP(B320,'Base stats'!B:B,'Base stats'!BU:BU)/10000+0.01,0.01)
))</f>
        <v>No</v>
      </c>
      <c r="N320" s="4" t="str">
        <f>IF(K320="No","No",
MROUND(
  _xlfn.XLOOKUP(B320,'Base stats'!B:B,'Base stats'!BC:BC)^0.25
  / (_xlfn.XLOOKUP(B320,'Base stats'!B:B,'Base stats'!BM:BM) * 10)
  * _xlfn.XLOOKUP(
      _xlfn.XLOOKUP(B320,'Base stats'!B:B,'Base stats'!E:E),
      Groups!A:A,
      Groups!V:V
    ) * 150
  + MIN(12, _xlfn.XLOOKUP(B320,'Base stats'!B:B,'Base stats'!W:W))^(1/IF(_xlfn.XLOOKUP(_xlfn.XLOOKUP(B320,'Base stats'!B:B,'Base stats'!E:E),Groups!A:A,Groups!U:U)=1,100,10)) + 0.5 + _xlfn.XLOOKUP(B320,'Base stats'!B:B,'Base stats'!BW:BW),
0.05))</f>
        <v>No</v>
      </c>
      <c r="O320" s="3" t="str">
        <f>IF(Animals!AD320="No","No",
MAX(MROUND((MIN(10,_xlfn.XLOOKUP(B320,'Base stats'!B:B,'Base stats'!V:V)*IF(_xlfn.XLOOKUP(_xlfn.XLOOKUP(B320,'Base stats'!B:B,'Base stats'!E:E),Groups!A:A,Groups!O:O)=0,1,0.33))^0.4*_xlfn.XLOOKUP(B320,'Base stats'!B:B,'Base stats'!BJ:BJ)^0.73)^0.6 *_xlfn.XLOOKUP(B320,'Base stats'!B:B,'Base stats'!BX:BX),0.1),0.05)
)</f>
        <v>No</v>
      </c>
      <c r="P320" s="11" t="str">
        <f>IF(O320="No","No",
MROUND(_xlfn.XLOOKUP(B320,'Base stats'!B:B,'Base stats'!BJ:BJ) * 0.01 * 2 + 0.05, 0.05)
)</f>
        <v>No</v>
      </c>
      <c r="Q320" s="5" t="str">
        <f>IF(O320="No","No",
MROUND(_xlfn.XLOOKUP(B320,'Base stats'!B:B,'Base stats'!BV:BV)/10000+0.01,0.01)
)</f>
        <v>No</v>
      </c>
      <c r="R320" s="4" t="str">
        <f>IF(O320="No","No",
MROUND(_xlfn.XLOOKUP(B320,'Base stats'!B:B,'Base stats'!BB:BB)^0.25
/((_xlfn.XLOOKUP(B320,'Base stats'!B:B,'Base stats'!BN:BN))*10)*_xlfn.XLOOKUP(_xlfn.XLOOKUP(B320,'Base stats'!B:B,'Base stats'!E:E),Groups!A:A,Groups!Z:Z)*150 + 0.5 + _xlfn.XLOOKUP(B320,'Base stats'!B:B,'Base stats'!BW:BW),
0.05))</f>
        <v>No</v>
      </c>
      <c r="S320" s="3">
        <f>IF(Animals!AI320="No","No",
IF(_xlfn.XLOOKUP(B320,'Base stats'!B:B,'Base stats'!U:U)="No",
MAX(MROUND(_xlfn.XLOOKUP(B320,'Base stats'!B:B,'Base stats'!BT:BT) * _xlfn.XLOOKUP(B320,'Base stats'!B:B,'Base stats'!BP:BP)^0.9 / 21 * _xlfn.XLOOKUP(B320,'Base stats'!B:B,'Base stats'!BX:BX),0.1),0.05),
MAX(MROUND(((MIN(12,_xlfn.XLOOKUP(B320,'Base stats'!B:B,'Base stats'!U:U)))^0.4*_xlfn.XLOOKUP(B320,'Base stats'!B:B,'Base stats'!BH:BH)^0.73)^0.6 * _xlfn.XLOOKUP(B320,'Base stats'!B:B,'Base stats'!BX:BX),0.1),0.05)
))</f>
        <v>5.4</v>
      </c>
      <c r="T320" s="11">
        <f>IF(S320="No","No",
MROUND(_xlfn.XLOOKUP(B320,'Base stats'!B:B,'Base stats'!BH:BH) * 0.01 * 2 + 0.05, 0.05)
)</f>
        <v>2.85</v>
      </c>
      <c r="U320" s="5" t="str">
        <f>IF(S320="No","No",IF(_xlfn.XLOOKUP(B320,'Base stats'!B:B,'Base stats'!U:U)="No","No",
MROUND(_xlfn.XLOOKUP(B320,'Base stats'!B:B,'Base stats'!BT:BT)/10000+0.01,0.01)
))</f>
        <v>No</v>
      </c>
      <c r="V320" s="4">
        <f>IF(S320="No","No",
MROUND(_xlfn.XLOOKUP(B320,'Base stats'!B:B,'Base stats'!BF:BF)^0.25
/((_xlfn.XLOOKUP(B320,'Base stats'!B:B,'Base stats'!BO:BO))*10)*_xlfn.XLOOKUP(_xlfn.XLOOKUP(B320,'Base stats'!B:B,'Base stats'!E:E),Groups!A:A,Groups!AE:AE)*150 + 0.5 + _xlfn.XLOOKUP(B320,'Base stats'!B:B,'Base stats'!BW:BW),
0.05))</f>
        <v>2.4500000000000002</v>
      </c>
      <c r="W320" s="8">
        <f>MROUND(_xlfn.XLOOKUP(_xlfn.XLOOKUP(B320,'Base stats'!B:B,'Base stats'!E:E),Groups!A:A,Groups!BG:BG)*_xlfn.XLOOKUP(B320,'Base stats'!B:B,'Base stats'!C:C)^-0.165,0.05)</f>
        <v>0.1</v>
      </c>
      <c r="X320" s="1">
        <f>MROUND(_xlfn.XLOOKUP(_xlfn.XLOOKUP(B320,'Base stats'!B:B,'Base stats'!E:E),Groups!A:A,Groups!BH:BH)*_xlfn.XLOOKUP(B320,'Base stats'!B:B,'Base stats'!C:C)^0.165,0.05)</f>
        <v>0.25</v>
      </c>
      <c r="Y320" s="8">
        <f>MROUND(_xlfn.XLOOKUP(_xlfn.XLOOKUP(B320,'Base stats'!B:B,'Base stats'!E:E),Groups!A:A,Groups!BI:BI)*_xlfn.XLOOKUP(B320,'Base stats'!B:B,'Base stats'!C:C)^0.165,0.05)</f>
        <v>0.05</v>
      </c>
      <c r="Z320" s="18">
        <f>MROUND(_xlfn.XLOOKUP(B320,'Base stats'!B:B,'Base stats'!AQ:AQ)*_xlfn.XLOOKUP(_xlfn.XLOOKUP(B320,'Base stats'!B:B,'Base stats'!E:E),Groups!A:A,Groups!H:H)/1000,IF((_xlfn.XLOOKUP(B320,'Base stats'!B:B,'Base stats'!AQ:AQ)*_xlfn.XLOOKUP(_xlfn.XLOOKUP(B320,'Base stats'!B:B,'Base stats'!E:E),Groups!A:A,Groups!H:H)/1000)&gt;1,0.05,0.01))</f>
        <v>0.08</v>
      </c>
      <c r="AA320" s="18">
        <f>MROUND((1/2)*(_xlfn.XLOOKUP(_xlfn.XLOOKUP(B320,'Base stats'!B:B,'Base stats'!E:E),Groups!A:A,Groups!H:H)*_xlfn.XLOOKUP(_xlfn.XLOOKUP(B320,'Base stats'!B:B,'Base stats'!E:E),Groups!A:A,Groups!I:I))*_xlfn.XLOOKUP(B320,'Base stats'!B:B,'Base stats'!AQ:AQ)*0.01,0.05)</f>
        <v>0.35000000000000003</v>
      </c>
      <c r="AB320" s="18">
        <f>MROUND(250*(Animals!AO320+Animals!AP320),25)</f>
        <v>1000</v>
      </c>
      <c r="AC320" s="18" t="str">
        <f>_xlfn.XLOOKUP(_xlfn.XLOOKUP(B320,'Base stats'!B:B,'Base stats'!E:E),Groups!A:A,Groups!BJ:BJ)</f>
        <v>Birdlike</v>
      </c>
    </row>
    <row r="321" spans="1:29" ht="16.5" thickTop="1" thickBot="1" x14ac:dyDescent="0.3">
      <c r="A321" s="16" t="str">
        <f>Animals!A321</f>
        <v>RipperHound</v>
      </c>
      <c r="B321" s="6" t="str">
        <f>Animals!B321</f>
        <v>Canis lacerator</v>
      </c>
      <c r="C321" s="1" t="str">
        <f>Animals!C321</f>
        <v>&lt;li&gt;AA_RipperHound&lt;/li&gt;</v>
      </c>
      <c r="D321" s="47">
        <f>MIN(MIN(6,_xlfn.XLOOKUP(A321,Animals!A:A,Animals!AO:AO))*20,MAX(MROUND(_xlfn.XLOOKUP(B321,'Base stats'!B:B,'Base stats'!BS:BS) * (_xlfn.XLOOKUP(B321,'Base stats'!B:B,'Base stats'!AO:AO)*5%)^0.9 / 21,0.1),0.05))</f>
        <v>2.8000000000000003</v>
      </c>
      <c r="E321" s="11">
        <f>MROUND(_xlfn.XLOOKUP(B321,'Base stats'!B:B,'Base stats'!BG:BG) * 0.01 * 2 + 0.01, 0.05)</f>
        <v>2.35</v>
      </c>
      <c r="F321" s="7">
        <f>MROUND(_xlfn.XLOOKUP(B321,'Base stats'!B:B,'Base stats'!BD:BD)^0.25 / (_xlfn.XLOOKUP(B321,'Base stats'!B:B,'Base stats'!BK:BK) * 10) * 150 + 0.5 + _xlfn.XLOOKUP(B321,'Base stats'!B:B,'Base stats'!BW:BW), 0.05)</f>
        <v>2.0500000000000003</v>
      </c>
      <c r="G321" s="3" t="str">
        <f>IF(Animals!S321="No","No",
IF(_xlfn.XLOOKUP(B321,'Base stats'!B:B,'Base stats'!U:U)="No",
MAX(MROUND(_xlfn.XLOOKUP(B321,'Base stats'!B:B,'Base stats'!BT:BT) * _xlfn.XLOOKUP(B321,'Base stats'!B:B,'Base stats'!BP:BP)^0.9 / 21 * _xlfn.XLOOKUP(B321,'Base stats'!B:B,'Base stats'!BX:BX),0.1),0.05),
MAX(MROUND(((MIN(10,_xlfn.XLOOKUP(B321,'Base stats'!B:B,'Base stats'!U:U)))^0.4*_xlfn.XLOOKUP(B321,'Base stats'!B:B,'Base stats'!BH:BH)^0.73)^0.6 * _xlfn.XLOOKUP(B321,'Base stats'!B:B,'Base stats'!BX:BX),0.1),0.05)
))</f>
        <v>No</v>
      </c>
      <c r="H321" s="11" t="str">
        <f>IF(G321="No","No",
MROUND(_xlfn.XLOOKUP(B321,'Base stats'!B:B,'Base stats'!BH:BH) * 0.01 * 2 + 0.05, 0.05)
)</f>
        <v>No</v>
      </c>
      <c r="I321" s="11" t="str">
        <f>IF(G321="No","No",IF(_xlfn.XLOOKUP(B321,'Base stats'!B:B,'Base stats'!U:U)="No","No",
MROUND(_xlfn.XLOOKUP(B321,'Base stats'!B:B,'Base stats'!BT:BT)/10000+0.01,0.01)
))</f>
        <v>No</v>
      </c>
      <c r="J321" s="4" t="str">
        <f>IF(G321="No","No",
MROUND(_xlfn.XLOOKUP(B321,'Base stats'!B:B,'Base stats'!BE:BE)^0.25
/((_xlfn.XLOOKUP(B321,'Base stats'!B:B,'Base stats'!BL:BL))*10)*_xlfn.XLOOKUP(_xlfn.XLOOKUP(B321,'Base stats'!B:B,'Base stats'!E:E),Groups!A:A,Groups!Q:Q)*150 + 0.5 + _xlfn.XLOOKUP(B321,'Base stats'!B:B,'Base stats'!BW:BW),
0.05))</f>
        <v>No</v>
      </c>
      <c r="K321" s="3">
        <f>IF(Animals!X321="No","No",
IF(_xlfn.XLOOKUP(_xlfn.XLOOKUP(B321,'Base stats'!B:B,'Base stats'!E:E),Groups!A:A,Groups!BD:BD)=1,
MAX(MROUND(_xlfn.XLOOKUP(B321,'Base stats'!B:B,'Base stats'!BU:BU) * _xlfn.XLOOKUP(B321,'Base stats'!B:B,'Base stats'!BQ:BQ)^0.9 / 21 *_xlfn.XLOOKUP(B321,'Base stats'!B:B,'Base stats'!BX:BX),0.1),0.05),
MAX(MROUND(((MIN(10,_xlfn.XLOOKUP(B321,'Base stats'!B:B,'Base stats'!W:W)))^0.4*_xlfn.XLOOKUP(B321,'Base stats'!B:B,'Base stats'!BI:BI)^0.73)^0.6 *_xlfn.XLOOKUP(B321,'Base stats'!B:B,'Base stats'!BX:BX),0.1),0.05)
))</f>
        <v>16.8</v>
      </c>
      <c r="L321" s="11">
        <f>IF(K321="No","No",
MROUND(_xlfn.XLOOKUP(B321,'Base stats'!B:B,'Base stats'!BI:BI) * 0.01 *2 + 0.05, 0.05)
)</f>
        <v>3.6</v>
      </c>
      <c r="M321" s="5">
        <f>IF(K321="No","No",IF(_xlfn.XLOOKUP(_xlfn.XLOOKUP(B321,'Base stats'!B:B,'Base stats'!E:E),Groups!A:A,Groups!BD:BD)=1,"No",
MROUND(_xlfn.XLOOKUP(B321,'Base stats'!B:B,'Base stats'!BU:BU)/10000+0.01,0.01)
))</f>
        <v>2.31</v>
      </c>
      <c r="N321" s="4">
        <f>IF(K321="No","No",
MROUND(
  _xlfn.XLOOKUP(B321,'Base stats'!B:B,'Base stats'!BC:BC)^0.25
  / (_xlfn.XLOOKUP(B321,'Base stats'!B:B,'Base stats'!BM:BM) * 10)
  * _xlfn.XLOOKUP(
      _xlfn.XLOOKUP(B321,'Base stats'!B:B,'Base stats'!E:E),
      Groups!A:A,
      Groups!V:V
    ) * 150
  + MIN(12, _xlfn.XLOOKUP(B321,'Base stats'!B:B,'Base stats'!W:W))^(1/IF(_xlfn.XLOOKUP(_xlfn.XLOOKUP(B321,'Base stats'!B:B,'Base stats'!E:E),Groups!A:A,Groups!U:U)=1,100,10)) + 0.5 + _xlfn.XLOOKUP(B321,'Base stats'!B:B,'Base stats'!BW:BW),
0.05))</f>
        <v>2.9000000000000004</v>
      </c>
      <c r="O321" s="3">
        <f>IF(Animals!AD321="No","No",
MAX(MROUND((MIN(10,_xlfn.XLOOKUP(B321,'Base stats'!B:B,'Base stats'!V:V)*IF(_xlfn.XLOOKUP(_xlfn.XLOOKUP(B321,'Base stats'!B:B,'Base stats'!E:E),Groups!A:A,Groups!O:O)=0,1,0.33))^0.4*_xlfn.XLOOKUP(B321,'Base stats'!B:B,'Base stats'!BJ:BJ)^0.73)^0.6 *_xlfn.XLOOKUP(B321,'Base stats'!B:B,'Base stats'!BX:BX),0.1),0.05)
)</f>
        <v>20.6</v>
      </c>
      <c r="P321" s="11">
        <f>IF(O321="No","No",
MROUND(_xlfn.XLOOKUP(B321,'Base stats'!B:B,'Base stats'!BJ:BJ) * 0.01 * 2 + 0.05, 0.05)
)</f>
        <v>9.2000000000000011</v>
      </c>
      <c r="Q321" s="5">
        <f>IF(O321="No","No",
MROUND(_xlfn.XLOOKUP(B321,'Base stats'!B:B,'Base stats'!BV:BV)/10000+0.01,0.01)
)</f>
        <v>0.51</v>
      </c>
      <c r="R321" s="4">
        <f>IF(O321="No","No",
MROUND(_xlfn.XLOOKUP(B321,'Base stats'!B:B,'Base stats'!BB:BB)^0.25
/((_xlfn.XLOOKUP(B321,'Base stats'!B:B,'Base stats'!BN:BN))*10)*_xlfn.XLOOKUP(_xlfn.XLOOKUP(B321,'Base stats'!B:B,'Base stats'!E:E),Groups!A:A,Groups!Z:Z)*150 + 0.5 + _xlfn.XLOOKUP(B321,'Base stats'!B:B,'Base stats'!BW:BW),
0.05))</f>
        <v>2.25</v>
      </c>
      <c r="S321" s="3">
        <f>IF(Animals!AI321="No","No",
IF(_xlfn.XLOOKUP(B321,'Base stats'!B:B,'Base stats'!U:U)="No",
MAX(MROUND(_xlfn.XLOOKUP(B321,'Base stats'!B:B,'Base stats'!BT:BT) * _xlfn.XLOOKUP(B321,'Base stats'!B:B,'Base stats'!BP:BP)^0.9 / 21 * _xlfn.XLOOKUP(B321,'Base stats'!B:B,'Base stats'!BX:BX),0.1),0.05),
MAX(MROUND(((MIN(12,_xlfn.XLOOKUP(B321,'Base stats'!B:B,'Base stats'!U:U)))^0.4*_xlfn.XLOOKUP(B321,'Base stats'!B:B,'Base stats'!BH:BH)^0.73)^0.6 * _xlfn.XLOOKUP(B321,'Base stats'!B:B,'Base stats'!BX:BX),0.1),0.05)
))</f>
        <v>6.2</v>
      </c>
      <c r="T321" s="11">
        <f>IF(S321="No","No",
MROUND(_xlfn.XLOOKUP(B321,'Base stats'!B:B,'Base stats'!BH:BH) * 0.01 * 2 + 0.05, 0.05)
)</f>
        <v>3.0500000000000003</v>
      </c>
      <c r="U321" s="5" t="str">
        <f>IF(S321="No","No",IF(_xlfn.XLOOKUP(B321,'Base stats'!B:B,'Base stats'!U:U)="No","No",
MROUND(_xlfn.XLOOKUP(B321,'Base stats'!B:B,'Base stats'!BT:BT)/10000+0.01,0.01)
))</f>
        <v>No</v>
      </c>
      <c r="V321" s="4">
        <f>IF(S321="No","No",
MROUND(_xlfn.XLOOKUP(B321,'Base stats'!B:B,'Base stats'!BF:BF)^0.25
/((_xlfn.XLOOKUP(B321,'Base stats'!B:B,'Base stats'!BO:BO))*10)*_xlfn.XLOOKUP(_xlfn.XLOOKUP(B321,'Base stats'!B:B,'Base stats'!E:E),Groups!A:A,Groups!AE:AE)*150 + 0.5 + _xlfn.XLOOKUP(B321,'Base stats'!B:B,'Base stats'!BW:BW),
0.05))</f>
        <v>1.5</v>
      </c>
      <c r="W321" s="8">
        <f>MROUND(_xlfn.XLOOKUP(_xlfn.XLOOKUP(B321,'Base stats'!B:B,'Base stats'!E:E),Groups!A:A,Groups!BG:BG)*_xlfn.XLOOKUP(B321,'Base stats'!B:B,'Base stats'!C:C)^-0.165,0.05)</f>
        <v>0.5</v>
      </c>
      <c r="X321" s="1">
        <f>MROUND(_xlfn.XLOOKUP(_xlfn.XLOOKUP(B321,'Base stats'!B:B,'Base stats'!E:E),Groups!A:A,Groups!BH:BH)*_xlfn.XLOOKUP(B321,'Base stats'!B:B,'Base stats'!C:C)^0.165,0.05)</f>
        <v>0.4</v>
      </c>
      <c r="Y321" s="8">
        <f>MROUND(_xlfn.XLOOKUP(_xlfn.XLOOKUP(B321,'Base stats'!B:B,'Base stats'!E:E),Groups!A:A,Groups!BI:BI)*_xlfn.XLOOKUP(B321,'Base stats'!B:B,'Base stats'!C:C)^0.165,0.05)</f>
        <v>0.05</v>
      </c>
      <c r="Z321" s="18">
        <f>MROUND(_xlfn.XLOOKUP(B321,'Base stats'!B:B,'Base stats'!AQ:AQ)*_xlfn.XLOOKUP(_xlfn.XLOOKUP(B321,'Base stats'!B:B,'Base stats'!E:E),Groups!A:A,Groups!H:H)/1000,IF((_xlfn.XLOOKUP(B321,'Base stats'!B:B,'Base stats'!AQ:AQ)*_xlfn.XLOOKUP(_xlfn.XLOOKUP(B321,'Base stats'!B:B,'Base stats'!E:E),Groups!A:A,Groups!H:H)/1000)&gt;1,0.05,0.01))</f>
        <v>0.1</v>
      </c>
      <c r="AA321" s="18">
        <f>MROUND((1/2)*(_xlfn.XLOOKUP(_xlfn.XLOOKUP(B321,'Base stats'!B:B,'Base stats'!E:E),Groups!A:A,Groups!H:H)*_xlfn.XLOOKUP(_xlfn.XLOOKUP(B321,'Base stats'!B:B,'Base stats'!E:E),Groups!A:A,Groups!I:I))*_xlfn.XLOOKUP(B321,'Base stats'!B:B,'Base stats'!AQ:AQ)*0.01,0.05)</f>
        <v>0.45</v>
      </c>
      <c r="AB321" s="18">
        <f>MROUND(250*(Animals!AO321+Animals!AP321),25)</f>
        <v>650</v>
      </c>
      <c r="AC321" s="18" t="str">
        <f>_xlfn.XLOOKUP(_xlfn.XLOOKUP(B321,'Base stats'!B:B,'Base stats'!E:E),Groups!A:A,Groups!BJ:BJ)</f>
        <v>Quadruped</v>
      </c>
    </row>
    <row r="322" spans="1:29" ht="16.5" thickTop="1" thickBot="1" x14ac:dyDescent="0.3">
      <c r="A322" s="16" t="str">
        <f>Animals!A322</f>
        <v>RoughPlatedMonitor</v>
      </c>
      <c r="B322" s="6" t="str">
        <f>Animals!B322</f>
        <v>Varanus squamosus</v>
      </c>
      <c r="C322" s="1" t="str">
        <f>Animals!C322</f>
        <v>&lt;li&gt;AA_RoughPlatedMonitor&lt;/li&gt;</v>
      </c>
      <c r="D322" s="47">
        <f>MIN(MIN(6,_xlfn.XLOOKUP(A322,Animals!A:A,Animals!AO:AO))*20,MAX(MROUND(_xlfn.XLOOKUP(B322,'Base stats'!B:B,'Base stats'!BS:BS) * (_xlfn.XLOOKUP(B322,'Base stats'!B:B,'Base stats'!AO:AO)*5%)^0.9 / 21,0.1),0.05))</f>
        <v>3.1</v>
      </c>
      <c r="E322" s="11">
        <f>MROUND(_xlfn.XLOOKUP(B322,'Base stats'!B:B,'Base stats'!BG:BG) * 0.01 * 2 + 0.01, 0.05)</f>
        <v>2.6</v>
      </c>
      <c r="F322" s="7">
        <f>MROUND(_xlfn.XLOOKUP(B322,'Base stats'!B:B,'Base stats'!BD:BD)^0.25 / (_xlfn.XLOOKUP(B322,'Base stats'!B:B,'Base stats'!BK:BK) * 10) * 150 + 0.5 + _xlfn.XLOOKUP(B322,'Base stats'!B:B,'Base stats'!BW:BW), 0.05)</f>
        <v>2.1</v>
      </c>
      <c r="G322" s="3" t="str">
        <f>IF(Animals!S322="No","No",
IF(_xlfn.XLOOKUP(B322,'Base stats'!B:B,'Base stats'!U:U)="No",
MAX(MROUND(_xlfn.XLOOKUP(B322,'Base stats'!B:B,'Base stats'!BT:BT) * _xlfn.XLOOKUP(B322,'Base stats'!B:B,'Base stats'!BP:BP)^0.9 / 21 * _xlfn.XLOOKUP(B322,'Base stats'!B:B,'Base stats'!BX:BX),0.1),0.05),
MAX(MROUND(((MIN(10,_xlfn.XLOOKUP(B322,'Base stats'!B:B,'Base stats'!U:U)))^0.4*_xlfn.XLOOKUP(B322,'Base stats'!B:B,'Base stats'!BH:BH)^0.73)^0.6 * _xlfn.XLOOKUP(B322,'Base stats'!B:B,'Base stats'!BX:BX),0.1),0.05)
))</f>
        <v>No</v>
      </c>
      <c r="H322" s="11" t="str">
        <f>IF(G322="No","No",
MROUND(_xlfn.XLOOKUP(B322,'Base stats'!B:B,'Base stats'!BH:BH) * 0.01 * 2 + 0.05, 0.05)
)</f>
        <v>No</v>
      </c>
      <c r="I322" s="11" t="str">
        <f>IF(G322="No","No",IF(_xlfn.XLOOKUP(B322,'Base stats'!B:B,'Base stats'!U:U)="No","No",
MROUND(_xlfn.XLOOKUP(B322,'Base stats'!B:B,'Base stats'!BT:BT)/10000+0.01,0.01)
))</f>
        <v>No</v>
      </c>
      <c r="J322" s="4" t="str">
        <f>IF(G322="No","No",
MROUND(_xlfn.XLOOKUP(B322,'Base stats'!B:B,'Base stats'!BE:BE)^0.25
/((_xlfn.XLOOKUP(B322,'Base stats'!B:B,'Base stats'!BL:BL))*10)*_xlfn.XLOOKUP(_xlfn.XLOOKUP(B322,'Base stats'!B:B,'Base stats'!E:E),Groups!A:A,Groups!Q:Q)*150 + 0.5 + _xlfn.XLOOKUP(B322,'Base stats'!B:B,'Base stats'!BW:BW),
0.05))</f>
        <v>No</v>
      </c>
      <c r="K322" s="3" t="str">
        <f>IF(Animals!X322="No","No",
IF(_xlfn.XLOOKUP(_xlfn.XLOOKUP(B322,'Base stats'!B:B,'Base stats'!E:E),Groups!A:A,Groups!BD:BD)=1,
MAX(MROUND(_xlfn.XLOOKUP(B322,'Base stats'!B:B,'Base stats'!BU:BU) * _xlfn.XLOOKUP(B322,'Base stats'!B:B,'Base stats'!BQ:BQ)^0.9 / 21 *_xlfn.XLOOKUP(B322,'Base stats'!B:B,'Base stats'!BX:BX),0.1),0.05),
MAX(MROUND(((MIN(10,_xlfn.XLOOKUP(B322,'Base stats'!B:B,'Base stats'!W:W)))^0.4*_xlfn.XLOOKUP(B322,'Base stats'!B:B,'Base stats'!BI:BI)^0.73)^0.6 *_xlfn.XLOOKUP(B322,'Base stats'!B:B,'Base stats'!BX:BX),0.1),0.05)
))</f>
        <v>No</v>
      </c>
      <c r="L322" s="11" t="str">
        <f>IF(K322="No","No",
MROUND(_xlfn.XLOOKUP(B322,'Base stats'!B:B,'Base stats'!BI:BI) * 0.01 *2 + 0.05, 0.05)
)</f>
        <v>No</v>
      </c>
      <c r="M322" s="5" t="str">
        <f>IF(K322="No","No",IF(_xlfn.XLOOKUP(_xlfn.XLOOKUP(B322,'Base stats'!B:B,'Base stats'!E:E),Groups!A:A,Groups!BD:BD)=1,"No",
MROUND(_xlfn.XLOOKUP(B322,'Base stats'!B:B,'Base stats'!BU:BU)/10000+0.01,0.01)
))</f>
        <v>No</v>
      </c>
      <c r="N322" s="4" t="str">
        <f>IF(K322="No","No",
MROUND(
  _xlfn.XLOOKUP(B322,'Base stats'!B:B,'Base stats'!BC:BC)^0.25
  / (_xlfn.XLOOKUP(B322,'Base stats'!B:B,'Base stats'!BM:BM) * 10)
  * _xlfn.XLOOKUP(
      _xlfn.XLOOKUP(B322,'Base stats'!B:B,'Base stats'!E:E),
      Groups!A:A,
      Groups!V:V
    ) * 150
  + MIN(12, _xlfn.XLOOKUP(B322,'Base stats'!B:B,'Base stats'!W:W))^(1/IF(_xlfn.XLOOKUP(_xlfn.XLOOKUP(B322,'Base stats'!B:B,'Base stats'!E:E),Groups!A:A,Groups!U:U)=1,100,10)) + 0.5 + _xlfn.XLOOKUP(B322,'Base stats'!B:B,'Base stats'!BW:BW),
0.05))</f>
        <v>No</v>
      </c>
      <c r="O322" s="3">
        <f>IF(Animals!AD322="No","No",
MAX(MROUND((MIN(10,_xlfn.XLOOKUP(B322,'Base stats'!B:B,'Base stats'!V:V)*IF(_xlfn.XLOOKUP(_xlfn.XLOOKUP(B322,'Base stats'!B:B,'Base stats'!E:E),Groups!A:A,Groups!O:O)=0,1,0.33))^0.4*_xlfn.XLOOKUP(B322,'Base stats'!B:B,'Base stats'!BJ:BJ)^0.73)^0.6 *_xlfn.XLOOKUP(B322,'Base stats'!B:B,'Base stats'!BX:BX),0.1),0.05)
)</f>
        <v>11.3</v>
      </c>
      <c r="P322" s="11">
        <f>IF(O322="No","No",
MROUND(_xlfn.XLOOKUP(B322,'Base stats'!B:B,'Base stats'!BJ:BJ) * 0.01 * 2 + 0.05, 0.05)
)</f>
        <v>2.8000000000000003</v>
      </c>
      <c r="Q322" s="5">
        <f>IF(O322="No","No",
MROUND(_xlfn.XLOOKUP(B322,'Base stats'!B:B,'Base stats'!BV:BV)/10000+0.01,0.01)
)</f>
        <v>0.15</v>
      </c>
      <c r="R322" s="4">
        <f>IF(O322="No","No",
MROUND(_xlfn.XLOOKUP(B322,'Base stats'!B:B,'Base stats'!BB:BB)^0.25
/((_xlfn.XLOOKUP(B322,'Base stats'!B:B,'Base stats'!BN:BN))*10)*_xlfn.XLOOKUP(_xlfn.XLOOKUP(B322,'Base stats'!B:B,'Base stats'!E:E),Groups!A:A,Groups!Z:Z)*150 + 0.5 + _xlfn.XLOOKUP(B322,'Base stats'!B:B,'Base stats'!BW:BW),
0.05))</f>
        <v>2.1</v>
      </c>
      <c r="S322" s="3">
        <f>IF(Animals!AI322="No","No",
IF(_xlfn.XLOOKUP(B322,'Base stats'!B:B,'Base stats'!U:U)="No",
MAX(MROUND(_xlfn.XLOOKUP(B322,'Base stats'!B:B,'Base stats'!BT:BT) * _xlfn.XLOOKUP(B322,'Base stats'!B:B,'Base stats'!BP:BP)^0.9 / 21 * _xlfn.XLOOKUP(B322,'Base stats'!B:B,'Base stats'!BX:BX),0.1),0.05),
MAX(MROUND(((MIN(12,_xlfn.XLOOKUP(B322,'Base stats'!B:B,'Base stats'!U:U)))^0.4*_xlfn.XLOOKUP(B322,'Base stats'!B:B,'Base stats'!BH:BH)^0.73)^0.6 * _xlfn.XLOOKUP(B322,'Base stats'!B:B,'Base stats'!BX:BX),0.1),0.05)
))</f>
        <v>11.600000000000001</v>
      </c>
      <c r="T322" s="11">
        <f>IF(S322="No","No",
MROUND(_xlfn.XLOOKUP(B322,'Base stats'!B:B,'Base stats'!BH:BH) * 0.01 * 2 + 0.05, 0.05)
)</f>
        <v>3.3000000000000003</v>
      </c>
      <c r="U322" s="5">
        <f>IF(S322="No","No",IF(_xlfn.XLOOKUP(B322,'Base stats'!B:B,'Base stats'!U:U)="No","No",
MROUND(_xlfn.XLOOKUP(B322,'Base stats'!B:B,'Base stats'!BT:BT)/10000+0.01,0.01)
))</f>
        <v>0.18</v>
      </c>
      <c r="V322" s="4">
        <f>IF(S322="No","No",
MROUND(_xlfn.XLOOKUP(B322,'Base stats'!B:B,'Base stats'!BF:BF)^0.25
/((_xlfn.XLOOKUP(B322,'Base stats'!B:B,'Base stats'!BO:BO))*10)*_xlfn.XLOOKUP(_xlfn.XLOOKUP(B322,'Base stats'!B:B,'Base stats'!E:E),Groups!A:A,Groups!AE:AE)*150 + 0.5 + _xlfn.XLOOKUP(B322,'Base stats'!B:B,'Base stats'!BW:BW),
0.05))</f>
        <v>1.55</v>
      </c>
      <c r="W322" s="8">
        <f>MROUND(_xlfn.XLOOKUP(_xlfn.XLOOKUP(B322,'Base stats'!B:B,'Base stats'!E:E),Groups!A:A,Groups!BG:BG)*_xlfn.XLOOKUP(B322,'Base stats'!B:B,'Base stats'!C:C)^-0.165,0.05)</f>
        <v>0.25</v>
      </c>
      <c r="X322" s="1">
        <f>MROUND(_xlfn.XLOOKUP(_xlfn.XLOOKUP(B322,'Base stats'!B:B,'Base stats'!E:E),Groups!A:A,Groups!BH:BH)*_xlfn.XLOOKUP(B322,'Base stats'!B:B,'Base stats'!C:C)^0.165,0.05)</f>
        <v>0.45</v>
      </c>
      <c r="Y322" s="8">
        <f>MROUND(_xlfn.XLOOKUP(_xlfn.XLOOKUP(B322,'Base stats'!B:B,'Base stats'!E:E),Groups!A:A,Groups!BI:BI)*_xlfn.XLOOKUP(B322,'Base stats'!B:B,'Base stats'!C:C)^0.165,0.05)</f>
        <v>0.05</v>
      </c>
      <c r="Z322" s="18">
        <f>MROUND(_xlfn.XLOOKUP(B322,'Base stats'!B:B,'Base stats'!AQ:AQ)*_xlfn.XLOOKUP(_xlfn.XLOOKUP(B322,'Base stats'!B:B,'Base stats'!E:E),Groups!A:A,Groups!H:H)/1000,IF((_xlfn.XLOOKUP(B322,'Base stats'!B:B,'Base stats'!AQ:AQ)*_xlfn.XLOOKUP(_xlfn.XLOOKUP(B322,'Base stats'!B:B,'Base stats'!E:E),Groups!A:A,Groups!H:H)/1000)&gt;1,0.05,0.01))</f>
        <v>7.0000000000000007E-2</v>
      </c>
      <c r="AA322" s="18">
        <f>MROUND((1/2)*(_xlfn.XLOOKUP(_xlfn.XLOOKUP(B322,'Base stats'!B:B,'Base stats'!E:E),Groups!A:A,Groups!H:H)*_xlfn.XLOOKUP(_xlfn.XLOOKUP(B322,'Base stats'!B:B,'Base stats'!E:E),Groups!A:A,Groups!I:I))*_xlfn.XLOOKUP(B322,'Base stats'!B:B,'Base stats'!AQ:AQ)*0.01,0.05)</f>
        <v>0.30000000000000004</v>
      </c>
      <c r="AB322" s="18">
        <f>MROUND(250*(Animals!AO322+Animals!AP322),25)</f>
        <v>700</v>
      </c>
      <c r="AC322" s="18" t="str">
        <f>_xlfn.XLOOKUP(_xlfn.XLOOKUP(B322,'Base stats'!B:B,'Base stats'!E:E),Groups!A:A,Groups!BJ:BJ)</f>
        <v>QuadrupedLow</v>
      </c>
    </row>
    <row r="323" spans="1:29" ht="16.5" thickTop="1" thickBot="1" x14ac:dyDescent="0.3">
      <c r="A323" s="16" t="str">
        <f>Animals!A323</f>
        <v>RoyalAve</v>
      </c>
      <c r="B323" s="6" t="str">
        <f>Animals!B323</f>
        <v>Avis regalis</v>
      </c>
      <c r="C323" s="1" t="str">
        <f>Animals!C323</f>
        <v>&lt;li&gt;AA_RoyalAve&lt;/li&gt;</v>
      </c>
      <c r="D323" s="47">
        <f>MIN(MIN(6,_xlfn.XLOOKUP(A323,Animals!A:A,Animals!AO:AO))*20,MAX(MROUND(_xlfn.XLOOKUP(B323,'Base stats'!B:B,'Base stats'!BS:BS) * (_xlfn.XLOOKUP(B323,'Base stats'!B:B,'Base stats'!AO:AO)*5%)^0.9 / 21,0.1),0.05))</f>
        <v>5.5</v>
      </c>
      <c r="E323" s="11">
        <f>MROUND(_xlfn.XLOOKUP(B323,'Base stats'!B:B,'Base stats'!BG:BG) * 0.01 * 2 + 0.01, 0.05)</f>
        <v>4.8500000000000005</v>
      </c>
      <c r="F323" s="7">
        <f>MROUND(_xlfn.XLOOKUP(B323,'Base stats'!B:B,'Base stats'!BD:BD)^0.25 / (_xlfn.XLOOKUP(B323,'Base stats'!B:B,'Base stats'!BK:BK) * 10) * 150 + 0.5 + _xlfn.XLOOKUP(B323,'Base stats'!B:B,'Base stats'!BW:BW), 0.05)</f>
        <v>1.7000000000000002</v>
      </c>
      <c r="G323" s="3">
        <f>IF(Animals!S323="No","No",
IF(_xlfn.XLOOKUP(B323,'Base stats'!B:B,'Base stats'!U:U)="No",
MAX(MROUND(_xlfn.XLOOKUP(B323,'Base stats'!B:B,'Base stats'!BT:BT) * _xlfn.XLOOKUP(B323,'Base stats'!B:B,'Base stats'!BP:BP)^0.9 / 21 * _xlfn.XLOOKUP(B323,'Base stats'!B:B,'Base stats'!BX:BX),0.1),0.05),
MAX(MROUND(((MIN(10,_xlfn.XLOOKUP(B323,'Base stats'!B:B,'Base stats'!U:U)))^0.4*_xlfn.XLOOKUP(B323,'Base stats'!B:B,'Base stats'!BH:BH)^0.73)^0.6 * _xlfn.XLOOKUP(B323,'Base stats'!B:B,'Base stats'!BX:BX),0.1),0.05)
))</f>
        <v>20.900000000000002</v>
      </c>
      <c r="H323" s="11">
        <f>IF(G323="No","No",
MROUND(_xlfn.XLOOKUP(B323,'Base stats'!B:B,'Base stats'!BH:BH) * 0.01 * 2 + 0.05, 0.05)
)</f>
        <v>5.95</v>
      </c>
      <c r="I323" s="11">
        <f>IF(G323="No","No",IF(_xlfn.XLOOKUP(B323,'Base stats'!B:B,'Base stats'!U:U)="No","No",
MROUND(_xlfn.XLOOKUP(B323,'Base stats'!B:B,'Base stats'!BT:BT)/10000+0.01,0.01)
))</f>
        <v>0.24</v>
      </c>
      <c r="J323" s="4">
        <f>IF(G323="No","No",
MROUND(_xlfn.XLOOKUP(B323,'Base stats'!B:B,'Base stats'!BE:BE)^0.25
/((_xlfn.XLOOKUP(B323,'Base stats'!B:B,'Base stats'!BL:BL))*10)*_xlfn.XLOOKUP(_xlfn.XLOOKUP(B323,'Base stats'!B:B,'Base stats'!E:E),Groups!A:A,Groups!Q:Q)*150 + 0.5 + _xlfn.XLOOKUP(B323,'Base stats'!B:B,'Base stats'!BW:BW),
0.05))</f>
        <v>3.2</v>
      </c>
      <c r="K323" s="3" t="str">
        <f>IF(Animals!X323="No","No",
IF(_xlfn.XLOOKUP(_xlfn.XLOOKUP(B323,'Base stats'!B:B,'Base stats'!E:E),Groups!A:A,Groups!BD:BD)=1,
MAX(MROUND(_xlfn.XLOOKUP(B323,'Base stats'!B:B,'Base stats'!BU:BU) * _xlfn.XLOOKUP(B323,'Base stats'!B:B,'Base stats'!BQ:BQ)^0.9 / 21 *_xlfn.XLOOKUP(B323,'Base stats'!B:B,'Base stats'!BX:BX),0.1),0.05),
MAX(MROUND(((MIN(10,_xlfn.XLOOKUP(B323,'Base stats'!B:B,'Base stats'!W:W)))^0.4*_xlfn.XLOOKUP(B323,'Base stats'!B:B,'Base stats'!BI:BI)^0.73)^0.6 *_xlfn.XLOOKUP(B323,'Base stats'!B:B,'Base stats'!BX:BX),0.1),0.05)
))</f>
        <v>No</v>
      </c>
      <c r="L323" s="11" t="str">
        <f>IF(K323="No","No",
MROUND(_xlfn.XLOOKUP(B323,'Base stats'!B:B,'Base stats'!BI:BI) * 0.01 *2 + 0.05, 0.05)
)</f>
        <v>No</v>
      </c>
      <c r="M323" s="5" t="str">
        <f>IF(K323="No","No",IF(_xlfn.XLOOKUP(_xlfn.XLOOKUP(B323,'Base stats'!B:B,'Base stats'!E:E),Groups!A:A,Groups!BD:BD)=1,"No",
MROUND(_xlfn.XLOOKUP(B323,'Base stats'!B:B,'Base stats'!BU:BU)/10000+0.01,0.01)
))</f>
        <v>No</v>
      </c>
      <c r="N323" s="4" t="str">
        <f>IF(K323="No","No",
MROUND(
  _xlfn.XLOOKUP(B323,'Base stats'!B:B,'Base stats'!BC:BC)^0.25
  / (_xlfn.XLOOKUP(B323,'Base stats'!B:B,'Base stats'!BM:BM) * 10)
  * _xlfn.XLOOKUP(
      _xlfn.XLOOKUP(B323,'Base stats'!B:B,'Base stats'!E:E),
      Groups!A:A,
      Groups!V:V
    ) * 150
  + MIN(12, _xlfn.XLOOKUP(B323,'Base stats'!B:B,'Base stats'!W:W))^(1/IF(_xlfn.XLOOKUP(_xlfn.XLOOKUP(B323,'Base stats'!B:B,'Base stats'!E:E),Groups!A:A,Groups!U:U)=1,100,10)) + 0.5 + _xlfn.XLOOKUP(B323,'Base stats'!B:B,'Base stats'!BW:BW),
0.05))</f>
        <v>No</v>
      </c>
      <c r="O323" s="3">
        <f>IF(Animals!AD323="No","No",
MAX(MROUND((MIN(10,_xlfn.XLOOKUP(B323,'Base stats'!B:B,'Base stats'!V:V)*IF(_xlfn.XLOOKUP(_xlfn.XLOOKUP(B323,'Base stats'!B:B,'Base stats'!E:E),Groups!A:A,Groups!O:O)=0,1,0.33))^0.4*_xlfn.XLOOKUP(B323,'Base stats'!B:B,'Base stats'!BJ:BJ)^0.73)^0.6 *_xlfn.XLOOKUP(B323,'Base stats'!B:B,'Base stats'!BX:BX),0.1),0.05)
)</f>
        <v>7.1000000000000005</v>
      </c>
      <c r="P323" s="11">
        <f>IF(O323="No","No",
MROUND(_xlfn.XLOOKUP(B323,'Base stats'!B:B,'Base stats'!BJ:BJ) * 0.01 * 2 + 0.05, 0.05)
)</f>
        <v>0.75</v>
      </c>
      <c r="Q323" s="5">
        <f>IF(O323="No","No",
MROUND(_xlfn.XLOOKUP(B323,'Base stats'!B:B,'Base stats'!BV:BV)/10000+0.01,0.01)
)</f>
        <v>0.03</v>
      </c>
      <c r="R323" s="4">
        <f>IF(O323="No","No",
MROUND(_xlfn.XLOOKUP(B323,'Base stats'!B:B,'Base stats'!BB:BB)^0.25
/((_xlfn.XLOOKUP(B323,'Base stats'!B:B,'Base stats'!BN:BN))*10)*_xlfn.XLOOKUP(_xlfn.XLOOKUP(B323,'Base stats'!B:B,'Base stats'!E:E),Groups!A:A,Groups!Z:Z)*150 + 0.5 + _xlfn.XLOOKUP(B323,'Base stats'!B:B,'Base stats'!BW:BW),
0.05))</f>
        <v>2.0500000000000003</v>
      </c>
      <c r="S323" s="3" t="str">
        <f>IF(Animals!AI323="No","No",
IF(_xlfn.XLOOKUP(B323,'Base stats'!B:B,'Base stats'!U:U)="No",
MAX(MROUND(_xlfn.XLOOKUP(B323,'Base stats'!B:B,'Base stats'!BT:BT) * _xlfn.XLOOKUP(B323,'Base stats'!B:B,'Base stats'!BP:BP)^0.9 / 21 * _xlfn.XLOOKUP(B323,'Base stats'!B:B,'Base stats'!BX:BX),0.1),0.05),
MAX(MROUND(((MIN(12,_xlfn.XLOOKUP(B323,'Base stats'!B:B,'Base stats'!U:U)))^0.4*_xlfn.XLOOKUP(B323,'Base stats'!B:B,'Base stats'!BH:BH)^0.73)^0.6 * _xlfn.XLOOKUP(B323,'Base stats'!B:B,'Base stats'!BX:BX),0.1),0.05)
))</f>
        <v>No</v>
      </c>
      <c r="T323" s="11" t="str">
        <f>IF(S323="No","No",
MROUND(_xlfn.XLOOKUP(B323,'Base stats'!B:B,'Base stats'!BH:BH) * 0.01 * 2 + 0.05, 0.05)
)</f>
        <v>No</v>
      </c>
      <c r="U323" s="5" t="str">
        <f>IF(S323="No","No",IF(_xlfn.XLOOKUP(B323,'Base stats'!B:B,'Base stats'!U:U)="No","No",
MROUND(_xlfn.XLOOKUP(B323,'Base stats'!B:B,'Base stats'!BT:BT)/10000+0.01,0.01)
))</f>
        <v>No</v>
      </c>
      <c r="V323" s="4" t="str">
        <f>IF(S323="No","No",
MROUND(_xlfn.XLOOKUP(B323,'Base stats'!B:B,'Base stats'!BF:BF)^0.25
/((_xlfn.XLOOKUP(B323,'Base stats'!B:B,'Base stats'!BO:BO))*10)*_xlfn.XLOOKUP(_xlfn.XLOOKUP(B323,'Base stats'!B:B,'Base stats'!E:E),Groups!A:A,Groups!AE:AE)*150 + 0.5 + _xlfn.XLOOKUP(B323,'Base stats'!B:B,'Base stats'!BW:BW),
0.05))</f>
        <v>No</v>
      </c>
      <c r="W323" s="8">
        <f>MROUND(_xlfn.XLOOKUP(_xlfn.XLOOKUP(B323,'Base stats'!B:B,'Base stats'!E:E),Groups!A:A,Groups!BG:BG)*_xlfn.XLOOKUP(B323,'Base stats'!B:B,'Base stats'!C:C)^-0.165,0.05)</f>
        <v>0.4</v>
      </c>
      <c r="X323" s="1">
        <f>MROUND(_xlfn.XLOOKUP(_xlfn.XLOOKUP(B323,'Base stats'!B:B,'Base stats'!E:E),Groups!A:A,Groups!BH:BH)*_xlfn.XLOOKUP(B323,'Base stats'!B:B,'Base stats'!C:C)^0.165,0.05)</f>
        <v>0.25</v>
      </c>
      <c r="Y323" s="8">
        <f>MROUND(_xlfn.XLOOKUP(_xlfn.XLOOKUP(B323,'Base stats'!B:B,'Base stats'!E:E),Groups!A:A,Groups!BI:BI)*_xlfn.XLOOKUP(B323,'Base stats'!B:B,'Base stats'!C:C)^0.165,0.05)</f>
        <v>0.05</v>
      </c>
      <c r="Z323" s="18">
        <f>MROUND(_xlfn.XLOOKUP(B323,'Base stats'!B:B,'Base stats'!AQ:AQ)*_xlfn.XLOOKUP(_xlfn.XLOOKUP(B323,'Base stats'!B:B,'Base stats'!E:E),Groups!A:A,Groups!H:H)/1000,IF((_xlfn.XLOOKUP(B323,'Base stats'!B:B,'Base stats'!AQ:AQ)*_xlfn.XLOOKUP(_xlfn.XLOOKUP(B323,'Base stats'!B:B,'Base stats'!E:E),Groups!A:A,Groups!H:H)/1000)&gt;1,0.05,0.01))</f>
        <v>0</v>
      </c>
      <c r="AA323" s="18">
        <f>MROUND((1/2)*(_xlfn.XLOOKUP(_xlfn.XLOOKUP(B323,'Base stats'!B:B,'Base stats'!E:E),Groups!A:A,Groups!H:H)*_xlfn.XLOOKUP(_xlfn.XLOOKUP(B323,'Base stats'!B:B,'Base stats'!E:E),Groups!A:A,Groups!I:I))*_xlfn.XLOOKUP(B323,'Base stats'!B:B,'Base stats'!AQ:AQ)*0.01,0.05)</f>
        <v>0</v>
      </c>
      <c r="AB323" s="18">
        <f>MROUND(250*(Animals!AO323+Animals!AP323),25)</f>
        <v>900</v>
      </c>
      <c r="AC323" s="18" t="str">
        <f>_xlfn.XLOOKUP(_xlfn.XLOOKUP(B323,'Base stats'!B:B,'Base stats'!E:E),Groups!A:A,Groups!BJ:BJ)</f>
        <v>Birdlike</v>
      </c>
    </row>
    <row r="324" spans="1:29" ht="16.5" thickTop="1" thickBot="1" x14ac:dyDescent="0.3">
      <c r="A324" s="16" t="str">
        <f>Animals!A324</f>
        <v>SandLion</v>
      </c>
      <c r="B324" s="6" t="str">
        <f>Animals!B324</f>
        <v>Panthera arenae</v>
      </c>
      <c r="C324" s="1" t="str">
        <f>Animals!C324</f>
        <v>&lt;li&gt;AA_SandLion&lt;/li&gt;</v>
      </c>
      <c r="D324" s="47">
        <f>MIN(MIN(6,_xlfn.XLOOKUP(A324,Animals!A:A,Animals!AO:AO))*20,MAX(MROUND(_xlfn.XLOOKUP(B324,'Base stats'!B:B,'Base stats'!BS:BS) * (_xlfn.XLOOKUP(B324,'Base stats'!B:B,'Base stats'!AO:AO)*5%)^0.9 / 21,0.1),0.05))</f>
        <v>7.7</v>
      </c>
      <c r="E324" s="11">
        <f>MROUND(_xlfn.XLOOKUP(B324,'Base stats'!B:B,'Base stats'!BG:BG) * 0.01 * 2 + 0.01, 0.05)</f>
        <v>7.0500000000000007</v>
      </c>
      <c r="F324" s="7">
        <f>MROUND(_xlfn.XLOOKUP(B324,'Base stats'!B:B,'Base stats'!BD:BD)^0.25 / (_xlfn.XLOOKUP(B324,'Base stats'!B:B,'Base stats'!BK:BK) * 10) * 150 + 0.5 + _xlfn.XLOOKUP(B324,'Base stats'!B:B,'Base stats'!BW:BW), 0.05)</f>
        <v>2.3000000000000003</v>
      </c>
      <c r="G324" s="3" t="str">
        <f>IF(Animals!S324="No","No",
IF(_xlfn.XLOOKUP(B324,'Base stats'!B:B,'Base stats'!U:U)="No",
MAX(MROUND(_xlfn.XLOOKUP(B324,'Base stats'!B:B,'Base stats'!BT:BT) * _xlfn.XLOOKUP(B324,'Base stats'!B:B,'Base stats'!BP:BP)^0.9 / 21 * _xlfn.XLOOKUP(B324,'Base stats'!B:B,'Base stats'!BX:BX),0.1),0.05),
MAX(MROUND(((MIN(10,_xlfn.XLOOKUP(B324,'Base stats'!B:B,'Base stats'!U:U)))^0.4*_xlfn.XLOOKUP(B324,'Base stats'!B:B,'Base stats'!BH:BH)^0.73)^0.6 * _xlfn.XLOOKUP(B324,'Base stats'!B:B,'Base stats'!BX:BX),0.1),0.05)
))</f>
        <v>No</v>
      </c>
      <c r="H324" s="11" t="str">
        <f>IF(G324="No","No",
MROUND(_xlfn.XLOOKUP(B324,'Base stats'!B:B,'Base stats'!BH:BH) * 0.01 * 2 + 0.05, 0.05)
)</f>
        <v>No</v>
      </c>
      <c r="I324" s="11" t="str">
        <f>IF(G324="No","No",IF(_xlfn.XLOOKUP(B324,'Base stats'!B:B,'Base stats'!U:U)="No","No",
MROUND(_xlfn.XLOOKUP(B324,'Base stats'!B:B,'Base stats'!BT:BT)/10000+0.01,0.01)
))</f>
        <v>No</v>
      </c>
      <c r="J324" s="4" t="str">
        <f>IF(G324="No","No",
MROUND(_xlfn.XLOOKUP(B324,'Base stats'!B:B,'Base stats'!BE:BE)^0.25
/((_xlfn.XLOOKUP(B324,'Base stats'!B:B,'Base stats'!BL:BL))*10)*_xlfn.XLOOKUP(_xlfn.XLOOKUP(B324,'Base stats'!B:B,'Base stats'!E:E),Groups!A:A,Groups!Q:Q)*150 + 0.5 + _xlfn.XLOOKUP(B324,'Base stats'!B:B,'Base stats'!BW:BW),
0.05))</f>
        <v>No</v>
      </c>
      <c r="K324" s="3" t="str">
        <f>IF(Animals!X324="No","No",
IF(_xlfn.XLOOKUP(_xlfn.XLOOKUP(B324,'Base stats'!B:B,'Base stats'!E:E),Groups!A:A,Groups!BD:BD)=1,
MAX(MROUND(_xlfn.XLOOKUP(B324,'Base stats'!B:B,'Base stats'!BU:BU) * _xlfn.XLOOKUP(B324,'Base stats'!B:B,'Base stats'!BQ:BQ)^0.9 / 21 *_xlfn.XLOOKUP(B324,'Base stats'!B:B,'Base stats'!BX:BX),0.1),0.05),
MAX(MROUND(((MIN(10,_xlfn.XLOOKUP(B324,'Base stats'!B:B,'Base stats'!W:W)))^0.4*_xlfn.XLOOKUP(B324,'Base stats'!B:B,'Base stats'!BI:BI)^0.73)^0.6 *_xlfn.XLOOKUP(B324,'Base stats'!B:B,'Base stats'!BX:BX),0.1),0.05)
))</f>
        <v>No</v>
      </c>
      <c r="L324" s="11" t="str">
        <f>IF(K324="No","No",
MROUND(_xlfn.XLOOKUP(B324,'Base stats'!B:B,'Base stats'!BI:BI) * 0.01 *2 + 0.05, 0.05)
)</f>
        <v>No</v>
      </c>
      <c r="M324" s="5" t="str">
        <f>IF(K324="No","No",IF(_xlfn.XLOOKUP(_xlfn.XLOOKUP(B324,'Base stats'!B:B,'Base stats'!E:E),Groups!A:A,Groups!BD:BD)=1,"No",
MROUND(_xlfn.XLOOKUP(B324,'Base stats'!B:B,'Base stats'!BU:BU)/10000+0.01,0.01)
))</f>
        <v>No</v>
      </c>
      <c r="N324" s="4" t="str">
        <f>IF(K324="No","No",
MROUND(
  _xlfn.XLOOKUP(B324,'Base stats'!B:B,'Base stats'!BC:BC)^0.25
  / (_xlfn.XLOOKUP(B324,'Base stats'!B:B,'Base stats'!BM:BM) * 10)
  * _xlfn.XLOOKUP(
      _xlfn.XLOOKUP(B324,'Base stats'!B:B,'Base stats'!E:E),
      Groups!A:A,
      Groups!V:V
    ) * 150
  + MIN(12, _xlfn.XLOOKUP(B324,'Base stats'!B:B,'Base stats'!W:W))^(1/IF(_xlfn.XLOOKUP(_xlfn.XLOOKUP(B324,'Base stats'!B:B,'Base stats'!E:E),Groups!A:A,Groups!U:U)=1,100,10)) + 0.5 + _xlfn.XLOOKUP(B324,'Base stats'!B:B,'Base stats'!BW:BW),
0.05))</f>
        <v>No</v>
      </c>
      <c r="O324" s="3">
        <f>IF(Animals!AD324="No","No",
MAX(MROUND((MIN(10,_xlfn.XLOOKUP(B324,'Base stats'!B:B,'Base stats'!V:V)*IF(_xlfn.XLOOKUP(_xlfn.XLOOKUP(B324,'Base stats'!B:B,'Base stats'!E:E),Groups!A:A,Groups!O:O)=0,1,0.33))^0.4*_xlfn.XLOOKUP(B324,'Base stats'!B:B,'Base stats'!BJ:BJ)^0.73)^0.6 *_xlfn.XLOOKUP(B324,'Base stats'!B:B,'Base stats'!BX:BX),0.1),0.05)
)</f>
        <v>30.5</v>
      </c>
      <c r="P324" s="11">
        <f>IF(O324="No","No",
MROUND(_xlfn.XLOOKUP(B324,'Base stats'!B:B,'Base stats'!BJ:BJ) * 0.01 * 2 + 0.05, 0.05)
)</f>
        <v>17.2</v>
      </c>
      <c r="Q324" s="5">
        <f>IF(O324="No","No",
MROUND(_xlfn.XLOOKUP(B324,'Base stats'!B:B,'Base stats'!BV:BV)/10000+0.01,0.01)
)</f>
        <v>0.57999999999999996</v>
      </c>
      <c r="R324" s="4">
        <f>IF(O324="No","No",
MROUND(_xlfn.XLOOKUP(B324,'Base stats'!B:B,'Base stats'!BB:BB)^0.25
/((_xlfn.XLOOKUP(B324,'Base stats'!B:B,'Base stats'!BN:BN))*10)*_xlfn.XLOOKUP(_xlfn.XLOOKUP(B324,'Base stats'!B:B,'Base stats'!E:E),Groups!A:A,Groups!Z:Z)*150 + 0.5 + _xlfn.XLOOKUP(B324,'Base stats'!B:B,'Base stats'!BW:BW),
0.05))</f>
        <v>2.1</v>
      </c>
      <c r="S324" s="3">
        <f>IF(Animals!AI324="No","No",
IF(_xlfn.XLOOKUP(B324,'Base stats'!B:B,'Base stats'!U:U)="No",
MAX(MROUND(_xlfn.XLOOKUP(B324,'Base stats'!B:B,'Base stats'!BT:BT) * _xlfn.XLOOKUP(B324,'Base stats'!B:B,'Base stats'!BP:BP)^0.9 / 21 * _xlfn.XLOOKUP(B324,'Base stats'!B:B,'Base stats'!BX:BX),0.1),0.05),
MAX(MROUND(((MIN(12,_xlfn.XLOOKUP(B324,'Base stats'!B:B,'Base stats'!U:U)))^0.4*_xlfn.XLOOKUP(B324,'Base stats'!B:B,'Base stats'!BH:BH)^0.73)^0.6 * _xlfn.XLOOKUP(B324,'Base stats'!B:B,'Base stats'!BX:BX),0.1),0.05)
))</f>
        <v>24.700000000000003</v>
      </c>
      <c r="T324" s="11">
        <f>IF(S324="No","No",
MROUND(_xlfn.XLOOKUP(B324,'Base stats'!B:B,'Base stats'!BH:BH) * 0.01 * 2 + 0.05, 0.05)
)</f>
        <v>8.35</v>
      </c>
      <c r="U324" s="5">
        <f>IF(S324="No","No",IF(_xlfn.XLOOKUP(B324,'Base stats'!B:B,'Base stats'!U:U)="No","No",
MROUND(_xlfn.XLOOKUP(B324,'Base stats'!B:B,'Base stats'!BT:BT)/10000+0.01,0.01)
))</f>
        <v>0.28999999999999998</v>
      </c>
      <c r="V324" s="4">
        <f>IF(S324="No","No",
MROUND(_xlfn.XLOOKUP(B324,'Base stats'!B:B,'Base stats'!BF:BF)^0.25
/((_xlfn.XLOOKUP(B324,'Base stats'!B:B,'Base stats'!BO:BO))*10)*_xlfn.XLOOKUP(_xlfn.XLOOKUP(B324,'Base stats'!B:B,'Base stats'!E:E),Groups!A:A,Groups!AE:AE)*150 + 0.5 + _xlfn.XLOOKUP(B324,'Base stats'!B:B,'Base stats'!BW:BW),
0.05))</f>
        <v>1.6</v>
      </c>
      <c r="W324" s="8">
        <f>MROUND(_xlfn.XLOOKUP(_xlfn.XLOOKUP(B324,'Base stats'!B:B,'Base stats'!E:E),Groups!A:A,Groups!BG:BG)*_xlfn.XLOOKUP(B324,'Base stats'!B:B,'Base stats'!C:C)^-0.165,0.05)</f>
        <v>0.5</v>
      </c>
      <c r="X324" s="1">
        <f>MROUND(_xlfn.XLOOKUP(_xlfn.XLOOKUP(B324,'Base stats'!B:B,'Base stats'!E:E),Groups!A:A,Groups!BH:BH)*_xlfn.XLOOKUP(B324,'Base stats'!B:B,'Base stats'!C:C)^0.165,0.05)</f>
        <v>0.65</v>
      </c>
      <c r="Y324" s="8">
        <f>MROUND(_xlfn.XLOOKUP(_xlfn.XLOOKUP(B324,'Base stats'!B:B,'Base stats'!E:E),Groups!A:A,Groups!BI:BI)*_xlfn.XLOOKUP(B324,'Base stats'!B:B,'Base stats'!C:C)^0.165,0.05)</f>
        <v>0.05</v>
      </c>
      <c r="Z324" s="18">
        <f>MROUND(_xlfn.XLOOKUP(B324,'Base stats'!B:B,'Base stats'!AQ:AQ)*_xlfn.XLOOKUP(_xlfn.XLOOKUP(B324,'Base stats'!B:B,'Base stats'!E:E),Groups!A:A,Groups!H:H)/1000,IF((_xlfn.XLOOKUP(B324,'Base stats'!B:B,'Base stats'!AQ:AQ)*_xlfn.XLOOKUP(_xlfn.XLOOKUP(B324,'Base stats'!B:B,'Base stats'!E:E),Groups!A:A,Groups!H:H)/1000)&gt;1,0.05,0.01))</f>
        <v>0.15</v>
      </c>
      <c r="AA324" s="18">
        <f>MROUND((1/2)*(_xlfn.XLOOKUP(_xlfn.XLOOKUP(B324,'Base stats'!B:B,'Base stats'!E:E),Groups!A:A,Groups!H:H)*_xlfn.XLOOKUP(_xlfn.XLOOKUP(B324,'Base stats'!B:B,'Base stats'!E:E),Groups!A:A,Groups!I:I))*_xlfn.XLOOKUP(B324,'Base stats'!B:B,'Base stats'!AQ:AQ)*0.01,0.05)</f>
        <v>0.65</v>
      </c>
      <c r="AB324" s="18">
        <f>MROUND(250*(Animals!AO324+Animals!AP324),25)</f>
        <v>1250</v>
      </c>
      <c r="AC324" s="18" t="str">
        <f>_xlfn.XLOOKUP(_xlfn.XLOOKUP(B324,'Base stats'!B:B,'Base stats'!E:E),Groups!A:A,Groups!BJ:BJ)</f>
        <v>Quadruped</v>
      </c>
    </row>
    <row r="325" spans="1:29" ht="16.5" thickTop="1" thickBot="1" x14ac:dyDescent="0.3">
      <c r="A325" s="16" t="str">
        <f>Animals!A325</f>
        <v>SandProwler</v>
      </c>
      <c r="B325" s="6" t="str">
        <f>Animals!B325</f>
        <v>Carcharofelis arenae</v>
      </c>
      <c r="C325" s="1" t="str">
        <f>Animals!C325</f>
        <v>&lt;li&gt;AA_SandProwler&lt;/li&gt;</v>
      </c>
      <c r="D325" s="47">
        <f>MIN(MIN(6,_xlfn.XLOOKUP(A325,Animals!A:A,Animals!AO:AO))*20,MAX(MROUND(_xlfn.XLOOKUP(B325,'Base stats'!B:B,'Base stats'!BS:BS) * (_xlfn.XLOOKUP(B325,'Base stats'!B:B,'Base stats'!AO:AO)*5%)^0.9 / 21,0.1),0.05))</f>
        <v>11.9</v>
      </c>
      <c r="E325" s="11">
        <f>MROUND(_xlfn.XLOOKUP(B325,'Base stats'!B:B,'Base stats'!BG:BG) * 0.01 * 2 + 0.01, 0.05)</f>
        <v>11.15</v>
      </c>
      <c r="F325" s="7">
        <f>MROUND(_xlfn.XLOOKUP(B325,'Base stats'!B:B,'Base stats'!BD:BD)^0.25 / (_xlfn.XLOOKUP(B325,'Base stats'!B:B,'Base stats'!BK:BK) * 10) * 150 + 0.5 + _xlfn.XLOOKUP(B325,'Base stats'!B:B,'Base stats'!BW:BW), 0.05)</f>
        <v>2.5</v>
      </c>
      <c r="G325" s="3" t="str">
        <f>IF(Animals!S325="No","No",
IF(_xlfn.XLOOKUP(B325,'Base stats'!B:B,'Base stats'!U:U)="No",
MAX(MROUND(_xlfn.XLOOKUP(B325,'Base stats'!B:B,'Base stats'!BT:BT) * _xlfn.XLOOKUP(B325,'Base stats'!B:B,'Base stats'!BP:BP)^0.9 / 21 * _xlfn.XLOOKUP(B325,'Base stats'!B:B,'Base stats'!BX:BX),0.1),0.05),
MAX(MROUND(((MIN(10,_xlfn.XLOOKUP(B325,'Base stats'!B:B,'Base stats'!U:U)))^0.4*_xlfn.XLOOKUP(B325,'Base stats'!B:B,'Base stats'!BH:BH)^0.73)^0.6 * _xlfn.XLOOKUP(B325,'Base stats'!B:B,'Base stats'!BX:BX),0.1),0.05)
))</f>
        <v>No</v>
      </c>
      <c r="H325" s="11" t="str">
        <f>IF(G325="No","No",
MROUND(_xlfn.XLOOKUP(B325,'Base stats'!B:B,'Base stats'!BH:BH) * 0.01 * 2 + 0.05, 0.05)
)</f>
        <v>No</v>
      </c>
      <c r="I325" s="11" t="str">
        <f>IF(G325="No","No",IF(_xlfn.XLOOKUP(B325,'Base stats'!B:B,'Base stats'!U:U)="No","No",
MROUND(_xlfn.XLOOKUP(B325,'Base stats'!B:B,'Base stats'!BT:BT)/10000+0.01,0.01)
))</f>
        <v>No</v>
      </c>
      <c r="J325" s="4" t="str">
        <f>IF(G325="No","No",
MROUND(_xlfn.XLOOKUP(B325,'Base stats'!B:B,'Base stats'!BE:BE)^0.25
/((_xlfn.XLOOKUP(B325,'Base stats'!B:B,'Base stats'!BL:BL))*10)*_xlfn.XLOOKUP(_xlfn.XLOOKUP(B325,'Base stats'!B:B,'Base stats'!E:E),Groups!A:A,Groups!Q:Q)*150 + 0.5 + _xlfn.XLOOKUP(B325,'Base stats'!B:B,'Base stats'!BW:BW),
0.05))</f>
        <v>No</v>
      </c>
      <c r="K325" s="3" t="str">
        <f>IF(Animals!X325="No","No",
IF(_xlfn.XLOOKUP(_xlfn.XLOOKUP(B325,'Base stats'!B:B,'Base stats'!E:E),Groups!A:A,Groups!BD:BD)=1,
MAX(MROUND(_xlfn.XLOOKUP(B325,'Base stats'!B:B,'Base stats'!BU:BU) * _xlfn.XLOOKUP(B325,'Base stats'!B:B,'Base stats'!BQ:BQ)^0.9 / 21 *_xlfn.XLOOKUP(B325,'Base stats'!B:B,'Base stats'!BX:BX),0.1),0.05),
MAX(MROUND(((MIN(10,_xlfn.XLOOKUP(B325,'Base stats'!B:B,'Base stats'!W:W)))^0.4*_xlfn.XLOOKUP(B325,'Base stats'!B:B,'Base stats'!BI:BI)^0.73)^0.6 *_xlfn.XLOOKUP(B325,'Base stats'!B:B,'Base stats'!BX:BX),0.1),0.05)
))</f>
        <v>No</v>
      </c>
      <c r="L325" s="11" t="str">
        <f>IF(K325="No","No",
MROUND(_xlfn.XLOOKUP(B325,'Base stats'!B:B,'Base stats'!BI:BI) * 0.01 *2 + 0.05, 0.05)
)</f>
        <v>No</v>
      </c>
      <c r="M325" s="5" t="str">
        <f>IF(K325="No","No",IF(_xlfn.XLOOKUP(_xlfn.XLOOKUP(B325,'Base stats'!B:B,'Base stats'!E:E),Groups!A:A,Groups!BD:BD)=1,"No",
MROUND(_xlfn.XLOOKUP(B325,'Base stats'!B:B,'Base stats'!BU:BU)/10000+0.01,0.01)
))</f>
        <v>No</v>
      </c>
      <c r="N325" s="4" t="str">
        <f>IF(K325="No","No",
MROUND(
  _xlfn.XLOOKUP(B325,'Base stats'!B:B,'Base stats'!BC:BC)^0.25
  / (_xlfn.XLOOKUP(B325,'Base stats'!B:B,'Base stats'!BM:BM) * 10)
  * _xlfn.XLOOKUP(
      _xlfn.XLOOKUP(B325,'Base stats'!B:B,'Base stats'!E:E),
      Groups!A:A,
      Groups!V:V
    ) * 150
  + MIN(12, _xlfn.XLOOKUP(B325,'Base stats'!B:B,'Base stats'!W:W))^(1/IF(_xlfn.XLOOKUP(_xlfn.XLOOKUP(B325,'Base stats'!B:B,'Base stats'!E:E),Groups!A:A,Groups!U:U)=1,100,10)) + 0.5 + _xlfn.XLOOKUP(B325,'Base stats'!B:B,'Base stats'!BW:BW),
0.05))</f>
        <v>No</v>
      </c>
      <c r="O325" s="3">
        <f>IF(Animals!AD325="No","No",
MAX(MROUND((MIN(10,_xlfn.XLOOKUP(B325,'Base stats'!B:B,'Base stats'!V:V)*IF(_xlfn.XLOOKUP(_xlfn.XLOOKUP(B325,'Base stats'!B:B,'Base stats'!E:E),Groups!A:A,Groups!O:O)=0,1,0.33))^0.4*_xlfn.XLOOKUP(B325,'Base stats'!B:B,'Base stats'!BJ:BJ)^0.73)^0.6 *_xlfn.XLOOKUP(B325,'Base stats'!B:B,'Base stats'!BX:BX),0.1),0.05)
)</f>
        <v>49</v>
      </c>
      <c r="P325" s="11">
        <f>IF(O325="No","No",
MROUND(_xlfn.XLOOKUP(B325,'Base stats'!B:B,'Base stats'!BJ:BJ) * 0.01 * 2 + 0.05, 0.05)
)</f>
        <v>54.2</v>
      </c>
      <c r="Q325" s="5">
        <f>IF(O325="No","No",
MROUND(_xlfn.XLOOKUP(B325,'Base stats'!B:B,'Base stats'!BV:BV)/10000+0.01,0.01)
)</f>
        <v>1.47</v>
      </c>
      <c r="R325" s="4">
        <f>IF(O325="No","No",
MROUND(_xlfn.XLOOKUP(B325,'Base stats'!B:B,'Base stats'!BB:BB)^0.25
/((_xlfn.XLOOKUP(B325,'Base stats'!B:B,'Base stats'!BN:BN))*10)*_xlfn.XLOOKUP(_xlfn.XLOOKUP(B325,'Base stats'!B:B,'Base stats'!E:E),Groups!A:A,Groups!Z:Z)*150 + 0.5 + _xlfn.XLOOKUP(B325,'Base stats'!B:B,'Base stats'!BW:BW),
0.05))</f>
        <v>2.75</v>
      </c>
      <c r="S325" s="3">
        <f>IF(Animals!AI325="No","No",
IF(_xlfn.XLOOKUP(B325,'Base stats'!B:B,'Base stats'!U:U)="No",
MAX(MROUND(_xlfn.XLOOKUP(B325,'Base stats'!B:B,'Base stats'!BT:BT) * _xlfn.XLOOKUP(B325,'Base stats'!B:B,'Base stats'!BP:BP)^0.9 / 21 * _xlfn.XLOOKUP(B325,'Base stats'!B:B,'Base stats'!BX:BX),0.1),0.05),
MAX(MROUND(((MIN(12,_xlfn.XLOOKUP(B325,'Base stats'!B:B,'Base stats'!U:U)))^0.4*_xlfn.XLOOKUP(B325,'Base stats'!B:B,'Base stats'!BH:BH)^0.73)^0.6 * _xlfn.XLOOKUP(B325,'Base stats'!B:B,'Base stats'!BX:BX),0.1),0.05)
))</f>
        <v>24.400000000000002</v>
      </c>
      <c r="T325" s="11">
        <f>IF(S325="No","No",
MROUND(_xlfn.XLOOKUP(B325,'Base stats'!B:B,'Base stats'!BH:BH) * 0.01 * 2 + 0.05, 0.05)
)</f>
        <v>12.9</v>
      </c>
      <c r="U325" s="5">
        <f>IF(S325="No","No",IF(_xlfn.XLOOKUP(B325,'Base stats'!B:B,'Base stats'!U:U)="No","No",
MROUND(_xlfn.XLOOKUP(B325,'Base stats'!B:B,'Base stats'!BT:BT)/10000+0.01,0.01)
))</f>
        <v>0.36</v>
      </c>
      <c r="V325" s="4">
        <f>IF(S325="No","No",
MROUND(_xlfn.XLOOKUP(B325,'Base stats'!B:B,'Base stats'!BF:BF)^0.25
/((_xlfn.XLOOKUP(B325,'Base stats'!B:B,'Base stats'!BO:BO))*10)*_xlfn.XLOOKUP(_xlfn.XLOOKUP(B325,'Base stats'!B:B,'Base stats'!E:E),Groups!A:A,Groups!AE:AE)*150 + 0.5 + _xlfn.XLOOKUP(B325,'Base stats'!B:B,'Base stats'!BW:BW),
0.05))</f>
        <v>1.8</v>
      </c>
      <c r="W325" s="8">
        <f>MROUND(_xlfn.XLOOKUP(_xlfn.XLOOKUP(B325,'Base stats'!B:B,'Base stats'!E:E),Groups!A:A,Groups!BG:BG)*_xlfn.XLOOKUP(B325,'Base stats'!B:B,'Base stats'!C:C)^-0.165,0.05)</f>
        <v>0.2</v>
      </c>
      <c r="X325" s="1">
        <f>MROUND(_xlfn.XLOOKUP(_xlfn.XLOOKUP(B325,'Base stats'!B:B,'Base stats'!E:E),Groups!A:A,Groups!BH:BH)*_xlfn.XLOOKUP(B325,'Base stats'!B:B,'Base stats'!C:C)^0.165,0.05)</f>
        <v>0.55000000000000004</v>
      </c>
      <c r="Y325" s="8">
        <f>MROUND(_xlfn.XLOOKUP(_xlfn.XLOOKUP(B325,'Base stats'!B:B,'Base stats'!E:E),Groups!A:A,Groups!BI:BI)*_xlfn.XLOOKUP(B325,'Base stats'!B:B,'Base stats'!C:C)^0.165,0.05)</f>
        <v>0.05</v>
      </c>
      <c r="Z325" s="18">
        <f>MROUND(_xlfn.XLOOKUP(B325,'Base stats'!B:B,'Base stats'!AQ:AQ)*_xlfn.XLOOKUP(_xlfn.XLOOKUP(B325,'Base stats'!B:B,'Base stats'!E:E),Groups!A:A,Groups!H:H)/1000,IF((_xlfn.XLOOKUP(B325,'Base stats'!B:B,'Base stats'!AQ:AQ)*_xlfn.XLOOKUP(_xlfn.XLOOKUP(B325,'Base stats'!B:B,'Base stats'!E:E),Groups!A:A,Groups!H:H)/1000)&gt;1,0.05,0.01))</f>
        <v>0.11</v>
      </c>
      <c r="AA325" s="18">
        <f>MROUND((1/2)*(_xlfn.XLOOKUP(_xlfn.XLOOKUP(B325,'Base stats'!B:B,'Base stats'!E:E),Groups!A:A,Groups!H:H)*_xlfn.XLOOKUP(_xlfn.XLOOKUP(B325,'Base stats'!B:B,'Base stats'!E:E),Groups!A:A,Groups!I:I))*_xlfn.XLOOKUP(B325,'Base stats'!B:B,'Base stats'!AQ:AQ)*0.01,0.05)</f>
        <v>0.45</v>
      </c>
      <c r="AB325" s="18">
        <f>MROUND(250*(Animals!AO325+Animals!AP325),25)</f>
        <v>1525</v>
      </c>
      <c r="AC325" s="18" t="str">
        <f>_xlfn.XLOOKUP(_xlfn.XLOOKUP(B325,'Base stats'!B:B,'Base stats'!E:E),Groups!A:A,Groups!BJ:BJ)</f>
        <v>QuadrupedLow</v>
      </c>
    </row>
    <row r="326" spans="1:29" ht="16.5" thickTop="1" thickBot="1" x14ac:dyDescent="0.3">
      <c r="A326" s="16" t="str">
        <f>Animals!A326</f>
        <v>SandSquid</v>
      </c>
      <c r="B326" s="6" t="str">
        <f>Animals!B326</f>
        <v>Loligo arenae</v>
      </c>
      <c r="C326" s="1" t="str">
        <f>Animals!C326</f>
        <v>&lt;li&gt;AA_SandSquid&lt;/li&gt;</v>
      </c>
      <c r="D326" s="47">
        <f>MIN(MIN(6,_xlfn.XLOOKUP(A326,Animals!A:A,Animals!AO:AO))*20,MAX(MROUND(_xlfn.XLOOKUP(B326,'Base stats'!B:B,'Base stats'!BS:BS) * (_xlfn.XLOOKUP(B326,'Base stats'!B:B,'Base stats'!AO:AO)*5%)^0.9 / 21,0.1),0.05))</f>
        <v>5.5</v>
      </c>
      <c r="E326" s="11">
        <f>MROUND(_xlfn.XLOOKUP(B326,'Base stats'!B:B,'Base stats'!BG:BG) * 0.01 * 2 + 0.01, 0.05)</f>
        <v>4.8500000000000005</v>
      </c>
      <c r="F326" s="7">
        <f>MROUND(_xlfn.XLOOKUP(B326,'Base stats'!B:B,'Base stats'!BD:BD)^0.25 / (_xlfn.XLOOKUP(B326,'Base stats'!B:B,'Base stats'!BK:BK) * 10) * 150 + 0.5 + _xlfn.XLOOKUP(B326,'Base stats'!B:B,'Base stats'!BW:BW), 0.05)</f>
        <v>1.7000000000000002</v>
      </c>
      <c r="G326" s="3" t="str">
        <f>IF(Animals!S326="No","No",
IF(_xlfn.XLOOKUP(B326,'Base stats'!B:B,'Base stats'!U:U)="No",
MAX(MROUND(_xlfn.XLOOKUP(B326,'Base stats'!B:B,'Base stats'!BT:BT) * _xlfn.XLOOKUP(B326,'Base stats'!B:B,'Base stats'!BP:BP)^0.9 / 21 * _xlfn.XLOOKUP(B326,'Base stats'!B:B,'Base stats'!BX:BX),0.1),0.05),
MAX(MROUND(((MIN(10,_xlfn.XLOOKUP(B326,'Base stats'!B:B,'Base stats'!U:U)))^0.4*_xlfn.XLOOKUP(B326,'Base stats'!B:B,'Base stats'!BH:BH)^0.73)^0.6 * _xlfn.XLOOKUP(B326,'Base stats'!B:B,'Base stats'!BX:BX),0.1),0.05)
))</f>
        <v>No</v>
      </c>
      <c r="H326" s="11" t="str">
        <f>IF(G326="No","No",
MROUND(_xlfn.XLOOKUP(B326,'Base stats'!B:B,'Base stats'!BH:BH) * 0.01 * 2 + 0.05, 0.05)
)</f>
        <v>No</v>
      </c>
      <c r="I326" s="11" t="str">
        <f>IF(G326="No","No",IF(_xlfn.XLOOKUP(B326,'Base stats'!B:B,'Base stats'!U:U)="No","No",
MROUND(_xlfn.XLOOKUP(B326,'Base stats'!B:B,'Base stats'!BT:BT)/10000+0.01,0.01)
))</f>
        <v>No</v>
      </c>
      <c r="J326" s="4" t="str">
        <f>IF(G326="No","No",
MROUND(_xlfn.XLOOKUP(B326,'Base stats'!B:B,'Base stats'!BE:BE)^0.25
/((_xlfn.XLOOKUP(B326,'Base stats'!B:B,'Base stats'!BL:BL))*10)*_xlfn.XLOOKUP(_xlfn.XLOOKUP(B326,'Base stats'!B:B,'Base stats'!E:E),Groups!A:A,Groups!Q:Q)*150 + 0.5 + _xlfn.XLOOKUP(B326,'Base stats'!B:B,'Base stats'!BW:BW),
0.05))</f>
        <v>No</v>
      </c>
      <c r="K326" s="3" t="str">
        <f>IF(Animals!X326="No","No",
IF(_xlfn.XLOOKUP(_xlfn.XLOOKUP(B326,'Base stats'!B:B,'Base stats'!E:E),Groups!A:A,Groups!BD:BD)=1,
MAX(MROUND(_xlfn.XLOOKUP(B326,'Base stats'!B:B,'Base stats'!BU:BU) * _xlfn.XLOOKUP(B326,'Base stats'!B:B,'Base stats'!BQ:BQ)^0.9 / 21 *_xlfn.XLOOKUP(B326,'Base stats'!B:B,'Base stats'!BX:BX),0.1),0.05),
MAX(MROUND(((MIN(10,_xlfn.XLOOKUP(B326,'Base stats'!B:B,'Base stats'!W:W)))^0.4*_xlfn.XLOOKUP(B326,'Base stats'!B:B,'Base stats'!BI:BI)^0.73)^0.6 *_xlfn.XLOOKUP(B326,'Base stats'!B:B,'Base stats'!BX:BX),0.1),0.05)
))</f>
        <v>No</v>
      </c>
      <c r="L326" s="11" t="str">
        <f>IF(K326="No","No",
MROUND(_xlfn.XLOOKUP(B326,'Base stats'!B:B,'Base stats'!BI:BI) * 0.01 *2 + 0.05, 0.05)
)</f>
        <v>No</v>
      </c>
      <c r="M326" s="5" t="str">
        <f>IF(K326="No","No",IF(_xlfn.XLOOKUP(_xlfn.XLOOKUP(B326,'Base stats'!B:B,'Base stats'!E:E),Groups!A:A,Groups!BD:BD)=1,"No",
MROUND(_xlfn.XLOOKUP(B326,'Base stats'!B:B,'Base stats'!BU:BU)/10000+0.01,0.01)
))</f>
        <v>No</v>
      </c>
      <c r="N326" s="4" t="str">
        <f>IF(K326="No","No",
MROUND(
  _xlfn.XLOOKUP(B326,'Base stats'!B:B,'Base stats'!BC:BC)^0.25
  / (_xlfn.XLOOKUP(B326,'Base stats'!B:B,'Base stats'!BM:BM) * 10)
  * _xlfn.XLOOKUP(
      _xlfn.XLOOKUP(B326,'Base stats'!B:B,'Base stats'!E:E),
      Groups!A:A,
      Groups!V:V
    ) * 150
  + MIN(12, _xlfn.XLOOKUP(B326,'Base stats'!B:B,'Base stats'!W:W))^(1/IF(_xlfn.XLOOKUP(_xlfn.XLOOKUP(B326,'Base stats'!B:B,'Base stats'!E:E),Groups!A:A,Groups!U:U)=1,100,10)) + 0.5 + _xlfn.XLOOKUP(B326,'Base stats'!B:B,'Base stats'!BW:BW),
0.05))</f>
        <v>No</v>
      </c>
      <c r="O326" s="3">
        <f>IF(Animals!AD326="No","No",
MAX(MROUND((MIN(10,_xlfn.XLOOKUP(B326,'Base stats'!B:B,'Base stats'!V:V)*IF(_xlfn.XLOOKUP(_xlfn.XLOOKUP(B326,'Base stats'!B:B,'Base stats'!E:E),Groups!A:A,Groups!O:O)=0,1,0.33))^0.4*_xlfn.XLOOKUP(B326,'Base stats'!B:B,'Base stats'!BJ:BJ)^0.73)^0.6 *_xlfn.XLOOKUP(B326,'Base stats'!B:B,'Base stats'!BX:BX),0.1),0.05)
)</f>
        <v>14.600000000000001</v>
      </c>
      <c r="P326" s="11">
        <f>IF(O326="No","No",
MROUND(_xlfn.XLOOKUP(B326,'Base stats'!B:B,'Base stats'!BJ:BJ) * 0.01 * 2 + 0.05, 0.05)
)</f>
        <v>2.95</v>
      </c>
      <c r="Q326" s="5">
        <f>IF(O326="No","No",
MROUND(_xlfn.XLOOKUP(B326,'Base stats'!B:B,'Base stats'!BV:BV)/10000+0.01,0.01)
)</f>
        <v>0.12</v>
      </c>
      <c r="R326" s="4">
        <f>IF(O326="No","No",
MROUND(_xlfn.XLOOKUP(B326,'Base stats'!B:B,'Base stats'!BB:BB)^0.25
/((_xlfn.XLOOKUP(B326,'Base stats'!B:B,'Base stats'!BN:BN))*10)*_xlfn.XLOOKUP(_xlfn.XLOOKUP(B326,'Base stats'!B:B,'Base stats'!E:E),Groups!A:A,Groups!Z:Z)*150 + 0.5 + _xlfn.XLOOKUP(B326,'Base stats'!B:B,'Base stats'!BW:BW),
0.05))</f>
        <v>2.4000000000000004</v>
      </c>
      <c r="S326" s="3">
        <f>IF(Animals!AI326="No","No",
IF(_xlfn.XLOOKUP(B326,'Base stats'!B:B,'Base stats'!U:U)="No",
MAX(MROUND(_xlfn.XLOOKUP(B326,'Base stats'!B:B,'Base stats'!BT:BT) * _xlfn.XLOOKUP(B326,'Base stats'!B:B,'Base stats'!BP:BP)^0.9 / 21 * _xlfn.XLOOKUP(B326,'Base stats'!B:B,'Base stats'!BX:BX),0.1),0.05),
MAX(MROUND(((MIN(12,_xlfn.XLOOKUP(B326,'Base stats'!B:B,'Base stats'!U:U)))^0.4*_xlfn.XLOOKUP(B326,'Base stats'!B:B,'Base stats'!BH:BH)^0.73)^0.6 * _xlfn.XLOOKUP(B326,'Base stats'!B:B,'Base stats'!BX:BX),0.1),0.05)
))</f>
        <v>11.4</v>
      </c>
      <c r="T326" s="11">
        <f>IF(S326="No","No",
MROUND(_xlfn.XLOOKUP(B326,'Base stats'!B:B,'Base stats'!BH:BH) * 0.01 * 2 + 0.05, 0.05)
)</f>
        <v>5.95</v>
      </c>
      <c r="U326" s="5" t="str">
        <f>IF(S326="No","No",IF(_xlfn.XLOOKUP(B326,'Base stats'!B:B,'Base stats'!U:U)="No","No",
MROUND(_xlfn.XLOOKUP(B326,'Base stats'!B:B,'Base stats'!BT:BT)/10000+0.01,0.01)
))</f>
        <v>No</v>
      </c>
      <c r="V326" s="4">
        <f>IF(S326="No","No",
MROUND(_xlfn.XLOOKUP(B326,'Base stats'!B:B,'Base stats'!BF:BF)^0.25
/((_xlfn.XLOOKUP(B326,'Base stats'!B:B,'Base stats'!BO:BO))*10)*_xlfn.XLOOKUP(_xlfn.XLOOKUP(B326,'Base stats'!B:B,'Base stats'!E:E),Groups!A:A,Groups!AE:AE)*150 + 0.5 + _xlfn.XLOOKUP(B326,'Base stats'!B:B,'Base stats'!BW:BW),
0.05))</f>
        <v>1.6500000000000001</v>
      </c>
      <c r="W326" s="8">
        <f>MROUND(_xlfn.XLOOKUP(_xlfn.XLOOKUP(B326,'Base stats'!B:B,'Base stats'!E:E),Groups!A:A,Groups!BG:BG)*_xlfn.XLOOKUP(B326,'Base stats'!B:B,'Base stats'!C:C)^-0.165,0.05)</f>
        <v>0.1</v>
      </c>
      <c r="X326" s="1">
        <f>MROUND(_xlfn.XLOOKUP(_xlfn.XLOOKUP(B326,'Base stats'!B:B,'Base stats'!E:E),Groups!A:A,Groups!BH:BH)*_xlfn.XLOOKUP(B326,'Base stats'!B:B,'Base stats'!C:C)^0.165,0.05)</f>
        <v>0.25</v>
      </c>
      <c r="Y326" s="8">
        <f>MROUND(_xlfn.XLOOKUP(_xlfn.XLOOKUP(B326,'Base stats'!B:B,'Base stats'!E:E),Groups!A:A,Groups!BI:BI)*_xlfn.XLOOKUP(B326,'Base stats'!B:B,'Base stats'!C:C)^0.165,0.05)</f>
        <v>0.05</v>
      </c>
      <c r="Z326" s="18">
        <f>MROUND(_xlfn.XLOOKUP(B326,'Base stats'!B:B,'Base stats'!AQ:AQ)*_xlfn.XLOOKUP(_xlfn.XLOOKUP(B326,'Base stats'!B:B,'Base stats'!E:E),Groups!A:A,Groups!H:H)/1000,IF((_xlfn.XLOOKUP(B326,'Base stats'!B:B,'Base stats'!AQ:AQ)*_xlfn.XLOOKUP(_xlfn.XLOOKUP(B326,'Base stats'!B:B,'Base stats'!E:E),Groups!A:A,Groups!H:H)/1000)&gt;1,0.05,0.01))</f>
        <v>0.08</v>
      </c>
      <c r="AA326" s="18">
        <f>MROUND((1/2)*(_xlfn.XLOOKUP(_xlfn.XLOOKUP(B326,'Base stats'!B:B,'Base stats'!E:E),Groups!A:A,Groups!H:H)*_xlfn.XLOOKUP(_xlfn.XLOOKUP(B326,'Base stats'!B:B,'Base stats'!E:E),Groups!A:A,Groups!I:I))*_xlfn.XLOOKUP(B326,'Base stats'!B:B,'Base stats'!AQ:AQ)*0.01,0.05)</f>
        <v>0.35000000000000003</v>
      </c>
      <c r="AB326" s="18">
        <f>MROUND(250*(Animals!AO326+Animals!AP326),25)</f>
        <v>900</v>
      </c>
      <c r="AC326" s="18" t="str">
        <f>_xlfn.XLOOKUP(_xlfn.XLOOKUP(B326,'Base stats'!B:B,'Base stats'!E:E),Groups!A:A,Groups!BJ:BJ)</f>
        <v>Birdlike</v>
      </c>
    </row>
    <row r="327" spans="1:29" ht="16.5" thickTop="1" thickBot="1" x14ac:dyDescent="0.3">
      <c r="A327" s="16" t="str">
        <f>Animals!A327</f>
        <v>ShadowCharger</v>
      </c>
      <c r="B327" s="6" t="str">
        <f>Animals!B327</f>
        <v>Crepiscuovis umbrosus</v>
      </c>
      <c r="C327" s="1" t="str">
        <f>Animals!C327</f>
        <v>&lt;li&gt;AA_ShadowCharger&lt;/li&gt;</v>
      </c>
      <c r="D327" s="47">
        <f>MIN(MIN(6,_xlfn.XLOOKUP(A327,Animals!A:A,Animals!AO:AO))*20,MAX(MROUND(_xlfn.XLOOKUP(B327,'Base stats'!B:B,'Base stats'!BS:BS) * (_xlfn.XLOOKUP(B327,'Base stats'!B:B,'Base stats'!AO:AO)*5%)^0.9 / 21,0.1),0.05))</f>
        <v>12.3</v>
      </c>
      <c r="E327" s="11">
        <f>MROUND(_xlfn.XLOOKUP(B327,'Base stats'!B:B,'Base stats'!BG:BG) * 0.01 * 2 + 0.01, 0.05)</f>
        <v>11.3</v>
      </c>
      <c r="F327" s="7">
        <f>MROUND(_xlfn.XLOOKUP(B327,'Base stats'!B:B,'Base stats'!BD:BD)^0.25 / (_xlfn.XLOOKUP(B327,'Base stats'!B:B,'Base stats'!BK:BK) * 10) * 150 + 0.5 + _xlfn.XLOOKUP(B327,'Base stats'!B:B,'Base stats'!BW:BW), 0.05)</f>
        <v>1.6</v>
      </c>
      <c r="G327" s="3">
        <f>IF(Animals!S327="No","No",
IF(_xlfn.XLOOKUP(B327,'Base stats'!B:B,'Base stats'!U:U)="No",
MAX(MROUND(_xlfn.XLOOKUP(B327,'Base stats'!B:B,'Base stats'!BT:BT) * _xlfn.XLOOKUP(B327,'Base stats'!B:B,'Base stats'!BP:BP)^0.9 / 21 * _xlfn.XLOOKUP(B327,'Base stats'!B:B,'Base stats'!BX:BX),0.1),0.05),
MAX(MROUND(((MIN(10,_xlfn.XLOOKUP(B327,'Base stats'!B:B,'Base stats'!U:U)))^0.4*_xlfn.XLOOKUP(B327,'Base stats'!B:B,'Base stats'!BH:BH)^0.73)^0.6 * _xlfn.XLOOKUP(B327,'Base stats'!B:B,'Base stats'!BX:BX),0.1),0.05)
))</f>
        <v>14.9</v>
      </c>
      <c r="H327" s="11">
        <f>IF(G327="No","No",
MROUND(_xlfn.XLOOKUP(B327,'Base stats'!B:B,'Base stats'!BH:BH) * 0.01 * 2 + 0.05, 0.05)
)</f>
        <v>9.5500000000000007</v>
      </c>
      <c r="I327" s="11" t="str">
        <f>IF(G327="No","No",IF(_xlfn.XLOOKUP(B327,'Base stats'!B:B,'Base stats'!U:U)="No","No",
MROUND(_xlfn.XLOOKUP(B327,'Base stats'!B:B,'Base stats'!BT:BT)/10000+0.01,0.01)
))</f>
        <v>No</v>
      </c>
      <c r="J327" s="4">
        <f>IF(G327="No","No",
MROUND(_xlfn.XLOOKUP(B327,'Base stats'!B:B,'Base stats'!BE:BE)^0.25
/((_xlfn.XLOOKUP(B327,'Base stats'!B:B,'Base stats'!BL:BL))*10)*_xlfn.XLOOKUP(_xlfn.XLOOKUP(B327,'Base stats'!B:B,'Base stats'!E:E),Groups!A:A,Groups!Q:Q)*150 + 0.5 + _xlfn.XLOOKUP(B327,'Base stats'!B:B,'Base stats'!BW:BW),
0.05))</f>
        <v>2.7</v>
      </c>
      <c r="K327" s="3">
        <f>IF(Animals!X327="No","No",
IF(_xlfn.XLOOKUP(_xlfn.XLOOKUP(B327,'Base stats'!B:B,'Base stats'!E:E),Groups!A:A,Groups!BD:BD)=1,
MAX(MROUND(_xlfn.XLOOKUP(B327,'Base stats'!B:B,'Base stats'!BU:BU) * _xlfn.XLOOKUP(B327,'Base stats'!B:B,'Base stats'!BQ:BQ)^0.9 / 21 *_xlfn.XLOOKUP(B327,'Base stats'!B:B,'Base stats'!BX:BX),0.1),0.05),
MAX(MROUND(((MIN(10,_xlfn.XLOOKUP(B327,'Base stats'!B:B,'Base stats'!W:W)))^0.4*_xlfn.XLOOKUP(B327,'Base stats'!B:B,'Base stats'!BI:BI)^0.73)^0.6 *_xlfn.XLOOKUP(B327,'Base stats'!B:B,'Base stats'!BX:BX),0.1),0.05)
))</f>
        <v>14.8</v>
      </c>
      <c r="L327" s="11">
        <f>IF(K327="No","No",
MROUND(_xlfn.XLOOKUP(B327,'Base stats'!B:B,'Base stats'!BI:BI) * 0.01 *2 + 0.05, 0.05)
)</f>
        <v>13.600000000000001</v>
      </c>
      <c r="M327" s="5" t="str">
        <f>IF(K327="No","No",IF(_xlfn.XLOOKUP(_xlfn.XLOOKUP(B327,'Base stats'!B:B,'Base stats'!E:E),Groups!A:A,Groups!BD:BD)=1,"No",
MROUND(_xlfn.XLOOKUP(B327,'Base stats'!B:B,'Base stats'!BU:BU)/10000+0.01,0.01)
))</f>
        <v>No</v>
      </c>
      <c r="N327" s="4">
        <f>IF(K327="No","No",
MROUND(
  _xlfn.XLOOKUP(B327,'Base stats'!B:B,'Base stats'!BC:BC)^0.25
  / (_xlfn.XLOOKUP(B327,'Base stats'!B:B,'Base stats'!BM:BM) * 10)
  * _xlfn.XLOOKUP(
      _xlfn.XLOOKUP(B327,'Base stats'!B:B,'Base stats'!E:E),
      Groups!A:A,
      Groups!V:V
    ) * 150
  + MIN(12, _xlfn.XLOOKUP(B327,'Base stats'!B:B,'Base stats'!W:W))^(1/IF(_xlfn.XLOOKUP(_xlfn.XLOOKUP(B327,'Base stats'!B:B,'Base stats'!E:E),Groups!A:A,Groups!U:U)=1,100,10)) + 0.5 + _xlfn.XLOOKUP(B327,'Base stats'!B:B,'Base stats'!BW:BW),
0.05))</f>
        <v>2.6500000000000004</v>
      </c>
      <c r="O327" s="3" t="str">
        <f>IF(Animals!AD327="No","No",
MAX(MROUND((MIN(10,_xlfn.XLOOKUP(B327,'Base stats'!B:B,'Base stats'!V:V)*IF(_xlfn.XLOOKUP(_xlfn.XLOOKUP(B327,'Base stats'!B:B,'Base stats'!E:E),Groups!A:A,Groups!O:O)=0,1,0.33))^0.4*_xlfn.XLOOKUP(B327,'Base stats'!B:B,'Base stats'!BJ:BJ)^0.73)^0.6 *_xlfn.XLOOKUP(B327,'Base stats'!B:B,'Base stats'!BX:BX),0.1),0.05)
)</f>
        <v>No</v>
      </c>
      <c r="P327" s="11" t="str">
        <f>IF(O327="No","No",
MROUND(_xlfn.XLOOKUP(B327,'Base stats'!B:B,'Base stats'!BJ:BJ) * 0.01 * 2 + 0.05, 0.05)
)</f>
        <v>No</v>
      </c>
      <c r="Q327" s="5" t="str">
        <f>IF(O327="No","No",
MROUND(_xlfn.XLOOKUP(B327,'Base stats'!B:B,'Base stats'!BV:BV)/10000+0.01,0.01)
)</f>
        <v>No</v>
      </c>
      <c r="R327" s="4" t="str">
        <f>IF(O327="No","No",
MROUND(_xlfn.XLOOKUP(B327,'Base stats'!B:B,'Base stats'!BB:BB)^0.25
/((_xlfn.XLOOKUP(B327,'Base stats'!B:B,'Base stats'!BN:BN))*10)*_xlfn.XLOOKUP(_xlfn.XLOOKUP(B327,'Base stats'!B:B,'Base stats'!E:E),Groups!A:A,Groups!Z:Z)*150 + 0.5 + _xlfn.XLOOKUP(B327,'Base stats'!B:B,'Base stats'!BW:BW),
0.05))</f>
        <v>No</v>
      </c>
      <c r="S327" s="3" t="str">
        <f>IF(Animals!AI327="No","No",
IF(_xlfn.XLOOKUP(B327,'Base stats'!B:B,'Base stats'!U:U)="No",
MAX(MROUND(_xlfn.XLOOKUP(B327,'Base stats'!B:B,'Base stats'!BT:BT) * _xlfn.XLOOKUP(B327,'Base stats'!B:B,'Base stats'!BP:BP)^0.9 / 21 * _xlfn.XLOOKUP(B327,'Base stats'!B:B,'Base stats'!BX:BX),0.1),0.05),
MAX(MROUND(((MIN(12,_xlfn.XLOOKUP(B327,'Base stats'!B:B,'Base stats'!U:U)))^0.4*_xlfn.XLOOKUP(B327,'Base stats'!B:B,'Base stats'!BH:BH)^0.73)^0.6 * _xlfn.XLOOKUP(B327,'Base stats'!B:B,'Base stats'!BX:BX),0.1),0.05)
))</f>
        <v>No</v>
      </c>
      <c r="T327" s="11" t="str">
        <f>IF(S327="No","No",
MROUND(_xlfn.XLOOKUP(B327,'Base stats'!B:B,'Base stats'!BH:BH) * 0.01 * 2 + 0.05, 0.05)
)</f>
        <v>No</v>
      </c>
      <c r="U327" s="5" t="str">
        <f>IF(S327="No","No",IF(_xlfn.XLOOKUP(B327,'Base stats'!B:B,'Base stats'!U:U)="No","No",
MROUND(_xlfn.XLOOKUP(B327,'Base stats'!B:B,'Base stats'!BT:BT)/10000+0.01,0.01)
))</f>
        <v>No</v>
      </c>
      <c r="V327" s="4" t="str">
        <f>IF(S327="No","No",
MROUND(_xlfn.XLOOKUP(B327,'Base stats'!B:B,'Base stats'!BF:BF)^0.25
/((_xlfn.XLOOKUP(B327,'Base stats'!B:B,'Base stats'!BO:BO))*10)*_xlfn.XLOOKUP(_xlfn.XLOOKUP(B327,'Base stats'!B:B,'Base stats'!E:E),Groups!A:A,Groups!AE:AE)*150 + 0.5 + _xlfn.XLOOKUP(B327,'Base stats'!B:B,'Base stats'!BW:BW),
0.05))</f>
        <v>No</v>
      </c>
      <c r="W327" s="8">
        <f>MROUND(_xlfn.XLOOKUP(_xlfn.XLOOKUP(B327,'Base stats'!B:B,'Base stats'!E:E),Groups!A:A,Groups!BG:BG)*_xlfn.XLOOKUP(B327,'Base stats'!B:B,'Base stats'!C:C)^-0.165,0.05)</f>
        <v>0.2</v>
      </c>
      <c r="X327" s="1">
        <f>MROUND(_xlfn.XLOOKUP(_xlfn.XLOOKUP(B327,'Base stats'!B:B,'Base stats'!E:E),Groups!A:A,Groups!BH:BH)*_xlfn.XLOOKUP(B327,'Base stats'!B:B,'Base stats'!C:C)^0.165,0.05)</f>
        <v>0</v>
      </c>
      <c r="Y327" s="8">
        <f>MROUND(_xlfn.XLOOKUP(_xlfn.XLOOKUP(B327,'Base stats'!B:B,'Base stats'!E:E),Groups!A:A,Groups!BI:BI)*_xlfn.XLOOKUP(B327,'Base stats'!B:B,'Base stats'!C:C)^0.165,0.05)</f>
        <v>0</v>
      </c>
      <c r="Z327" s="18">
        <f>MROUND(_xlfn.XLOOKUP(B327,'Base stats'!B:B,'Base stats'!AQ:AQ)*_xlfn.XLOOKUP(_xlfn.XLOOKUP(B327,'Base stats'!B:B,'Base stats'!E:E),Groups!A:A,Groups!H:H)/1000,IF((_xlfn.XLOOKUP(B327,'Base stats'!B:B,'Base stats'!AQ:AQ)*_xlfn.XLOOKUP(_xlfn.XLOOKUP(B327,'Base stats'!B:B,'Base stats'!E:E),Groups!A:A,Groups!H:H)/1000)&gt;1,0.05,0.01))</f>
        <v>0.1</v>
      </c>
      <c r="AA327" s="18">
        <f>MROUND((1/2)*(_xlfn.XLOOKUP(_xlfn.XLOOKUP(B327,'Base stats'!B:B,'Base stats'!E:E),Groups!A:A,Groups!H:H)*_xlfn.XLOOKUP(_xlfn.XLOOKUP(B327,'Base stats'!B:B,'Base stats'!E:E),Groups!A:A,Groups!I:I))*_xlfn.XLOOKUP(B327,'Base stats'!B:B,'Base stats'!AQ:AQ)*0.01,0.05)</f>
        <v>0.4</v>
      </c>
      <c r="AB327" s="18">
        <f>MROUND(250*(Animals!AO327+Animals!AP327),25)</f>
        <v>1250</v>
      </c>
      <c r="AC327" s="18" t="str">
        <f>_xlfn.XLOOKUP(_xlfn.XLOOKUP(B327,'Base stats'!B:B,'Base stats'!E:E),Groups!A:A,Groups!BJ:BJ)</f>
        <v>Quadruped</v>
      </c>
    </row>
    <row r="328" spans="1:29" ht="16.5" thickTop="1" thickBot="1" x14ac:dyDescent="0.3">
      <c r="A328" s="16" t="str">
        <f>Animals!A328</f>
        <v>ShockGoat</v>
      </c>
      <c r="B328" s="6" t="str">
        <f>Animals!B328</f>
        <v>Capra electronica</v>
      </c>
      <c r="C328" s="1" t="str">
        <f>Animals!C328</f>
        <v>&lt;li&gt;AA_ShockGoat&lt;/li&gt;</v>
      </c>
      <c r="D328" s="47">
        <f>MIN(MIN(6,_xlfn.XLOOKUP(A328,Animals!A:A,Animals!AO:AO))*20,MAX(MROUND(_xlfn.XLOOKUP(B328,'Base stats'!B:B,'Base stats'!BS:BS) * (_xlfn.XLOOKUP(B328,'Base stats'!B:B,'Base stats'!AO:AO)*5%)^0.9 / 21,0.1),0.05))</f>
        <v>3.9000000000000004</v>
      </c>
      <c r="E328" s="11">
        <f>MROUND(_xlfn.XLOOKUP(B328,'Base stats'!B:B,'Base stats'!BG:BG) * 0.01 * 2 + 0.01, 0.05)</f>
        <v>3.3000000000000003</v>
      </c>
      <c r="F328" s="7">
        <f>MROUND(_xlfn.XLOOKUP(B328,'Base stats'!B:B,'Base stats'!BD:BD)^0.25 / (_xlfn.XLOOKUP(B328,'Base stats'!B:B,'Base stats'!BK:BK) * 10) * 150 + 0.5 + _xlfn.XLOOKUP(B328,'Base stats'!B:B,'Base stats'!BW:BW), 0.05)</f>
        <v>1.4500000000000002</v>
      </c>
      <c r="G328" s="3">
        <f>IF(Animals!S328="No","No",
IF(_xlfn.XLOOKUP(B328,'Base stats'!B:B,'Base stats'!U:U)="No",
MAX(MROUND(_xlfn.XLOOKUP(B328,'Base stats'!B:B,'Base stats'!BT:BT) * _xlfn.XLOOKUP(B328,'Base stats'!B:B,'Base stats'!BP:BP)^0.9 / 21 * _xlfn.XLOOKUP(B328,'Base stats'!B:B,'Base stats'!BX:BX),0.1),0.05),
MAX(MROUND(((MIN(10,_xlfn.XLOOKUP(B328,'Base stats'!B:B,'Base stats'!U:U)))^0.4*_xlfn.XLOOKUP(B328,'Base stats'!B:B,'Base stats'!BH:BH)^0.73)^0.6 * _xlfn.XLOOKUP(B328,'Base stats'!B:B,'Base stats'!BX:BX),0.1),0.05)
))</f>
        <v>5.3000000000000007</v>
      </c>
      <c r="H328" s="11">
        <f>IF(G328="No","No",
MROUND(_xlfn.XLOOKUP(B328,'Base stats'!B:B,'Base stats'!BH:BH) * 0.01 * 2 + 0.05, 0.05)
)</f>
        <v>3.0500000000000003</v>
      </c>
      <c r="I328" s="11" t="str">
        <f>IF(G328="No","No",IF(_xlfn.XLOOKUP(B328,'Base stats'!B:B,'Base stats'!U:U)="No","No",
MROUND(_xlfn.XLOOKUP(B328,'Base stats'!B:B,'Base stats'!BT:BT)/10000+0.01,0.01)
))</f>
        <v>No</v>
      </c>
      <c r="J328" s="4">
        <f>IF(G328="No","No",
MROUND(_xlfn.XLOOKUP(B328,'Base stats'!B:B,'Base stats'!BE:BE)^0.25
/((_xlfn.XLOOKUP(B328,'Base stats'!B:B,'Base stats'!BL:BL))*10)*_xlfn.XLOOKUP(_xlfn.XLOOKUP(B328,'Base stats'!B:B,'Base stats'!E:E),Groups!A:A,Groups!Q:Q)*150 + 0.5 + _xlfn.XLOOKUP(B328,'Base stats'!B:B,'Base stats'!BW:BW),
0.05))</f>
        <v>2.2000000000000002</v>
      </c>
      <c r="K328" s="3">
        <f>IF(Animals!X328="No","No",
IF(_xlfn.XLOOKUP(_xlfn.XLOOKUP(B328,'Base stats'!B:B,'Base stats'!E:E),Groups!A:A,Groups!BD:BD)=1,
MAX(MROUND(_xlfn.XLOOKUP(B328,'Base stats'!B:B,'Base stats'!BU:BU) * _xlfn.XLOOKUP(B328,'Base stats'!B:B,'Base stats'!BQ:BQ)^0.9 / 21 *_xlfn.XLOOKUP(B328,'Base stats'!B:B,'Base stats'!BX:BX),0.1),0.05),
MAX(MROUND(((MIN(10,_xlfn.XLOOKUP(B328,'Base stats'!B:B,'Base stats'!W:W)))^0.4*_xlfn.XLOOKUP(B328,'Base stats'!B:B,'Base stats'!BI:BI)^0.73)^0.6 *_xlfn.XLOOKUP(B328,'Base stats'!B:B,'Base stats'!BX:BX),0.1),0.05)
))</f>
        <v>4.7</v>
      </c>
      <c r="L328" s="11">
        <f>IF(K328="No","No",
MROUND(_xlfn.XLOOKUP(B328,'Base stats'!B:B,'Base stats'!BI:BI) * 0.01 *2 + 0.05, 0.05)
)</f>
        <v>4</v>
      </c>
      <c r="M328" s="5" t="str">
        <f>IF(K328="No","No",IF(_xlfn.XLOOKUP(_xlfn.XLOOKUP(B328,'Base stats'!B:B,'Base stats'!E:E),Groups!A:A,Groups!BD:BD)=1,"No",
MROUND(_xlfn.XLOOKUP(B328,'Base stats'!B:B,'Base stats'!BU:BU)/10000+0.01,0.01)
))</f>
        <v>No</v>
      </c>
      <c r="N328" s="4">
        <f>IF(K328="No","No",
MROUND(
  _xlfn.XLOOKUP(B328,'Base stats'!B:B,'Base stats'!BC:BC)^0.25
  / (_xlfn.XLOOKUP(B328,'Base stats'!B:B,'Base stats'!BM:BM) * 10)
  * _xlfn.XLOOKUP(
      _xlfn.XLOOKUP(B328,'Base stats'!B:B,'Base stats'!E:E),
      Groups!A:A,
      Groups!V:V
    ) * 150
  + MIN(12, _xlfn.XLOOKUP(B328,'Base stats'!B:B,'Base stats'!W:W))^(1/IF(_xlfn.XLOOKUP(_xlfn.XLOOKUP(B328,'Base stats'!B:B,'Base stats'!E:E),Groups!A:A,Groups!U:U)=1,100,10)) + 0.5 + _xlfn.XLOOKUP(B328,'Base stats'!B:B,'Base stats'!BW:BW),
0.05))</f>
        <v>2.5</v>
      </c>
      <c r="O328" s="3" t="str">
        <f>IF(Animals!AD328="No","No",
MAX(MROUND((MIN(10,_xlfn.XLOOKUP(B328,'Base stats'!B:B,'Base stats'!V:V)*IF(_xlfn.XLOOKUP(_xlfn.XLOOKUP(B328,'Base stats'!B:B,'Base stats'!E:E),Groups!A:A,Groups!O:O)=0,1,0.33))^0.4*_xlfn.XLOOKUP(B328,'Base stats'!B:B,'Base stats'!BJ:BJ)^0.73)^0.6 *_xlfn.XLOOKUP(B328,'Base stats'!B:B,'Base stats'!BX:BX),0.1),0.05)
)</f>
        <v>No</v>
      </c>
      <c r="P328" s="11" t="str">
        <f>IF(O328="No","No",
MROUND(_xlfn.XLOOKUP(B328,'Base stats'!B:B,'Base stats'!BJ:BJ) * 0.01 * 2 + 0.05, 0.05)
)</f>
        <v>No</v>
      </c>
      <c r="Q328" s="5" t="str">
        <f>IF(O328="No","No",
MROUND(_xlfn.XLOOKUP(B328,'Base stats'!B:B,'Base stats'!BV:BV)/10000+0.01,0.01)
)</f>
        <v>No</v>
      </c>
      <c r="R328" s="4" t="str">
        <f>IF(O328="No","No",
MROUND(_xlfn.XLOOKUP(B328,'Base stats'!B:B,'Base stats'!BB:BB)^0.25
/((_xlfn.XLOOKUP(B328,'Base stats'!B:B,'Base stats'!BN:BN))*10)*_xlfn.XLOOKUP(_xlfn.XLOOKUP(B328,'Base stats'!B:B,'Base stats'!E:E),Groups!A:A,Groups!Z:Z)*150 + 0.5 + _xlfn.XLOOKUP(B328,'Base stats'!B:B,'Base stats'!BW:BW),
0.05))</f>
        <v>No</v>
      </c>
      <c r="S328" s="3" t="str">
        <f>IF(Animals!AI328="No","No",
IF(_xlfn.XLOOKUP(B328,'Base stats'!B:B,'Base stats'!U:U)="No",
MAX(MROUND(_xlfn.XLOOKUP(B328,'Base stats'!B:B,'Base stats'!BT:BT) * _xlfn.XLOOKUP(B328,'Base stats'!B:B,'Base stats'!BP:BP)^0.9 / 21 * _xlfn.XLOOKUP(B328,'Base stats'!B:B,'Base stats'!BX:BX),0.1),0.05),
MAX(MROUND(((MIN(12,_xlfn.XLOOKUP(B328,'Base stats'!B:B,'Base stats'!U:U)))^0.4*_xlfn.XLOOKUP(B328,'Base stats'!B:B,'Base stats'!BH:BH)^0.73)^0.6 * _xlfn.XLOOKUP(B328,'Base stats'!B:B,'Base stats'!BX:BX),0.1),0.05)
))</f>
        <v>No</v>
      </c>
      <c r="T328" s="11" t="str">
        <f>IF(S328="No","No",
MROUND(_xlfn.XLOOKUP(B328,'Base stats'!B:B,'Base stats'!BH:BH) * 0.01 * 2 + 0.05, 0.05)
)</f>
        <v>No</v>
      </c>
      <c r="U328" s="5" t="str">
        <f>IF(S328="No","No",IF(_xlfn.XLOOKUP(B328,'Base stats'!B:B,'Base stats'!U:U)="No","No",
MROUND(_xlfn.XLOOKUP(B328,'Base stats'!B:B,'Base stats'!BT:BT)/10000+0.01,0.01)
))</f>
        <v>No</v>
      </c>
      <c r="V328" s="4" t="str">
        <f>IF(S328="No","No",
MROUND(_xlfn.XLOOKUP(B328,'Base stats'!B:B,'Base stats'!BF:BF)^0.25
/((_xlfn.XLOOKUP(B328,'Base stats'!B:B,'Base stats'!BO:BO))*10)*_xlfn.XLOOKUP(_xlfn.XLOOKUP(B328,'Base stats'!B:B,'Base stats'!E:E),Groups!A:A,Groups!AE:AE)*150 + 0.5 + _xlfn.XLOOKUP(B328,'Base stats'!B:B,'Base stats'!BW:BW),
0.05))</f>
        <v>No</v>
      </c>
      <c r="W328" s="8">
        <f>MROUND(_xlfn.XLOOKUP(_xlfn.XLOOKUP(B328,'Base stats'!B:B,'Base stats'!E:E),Groups!A:A,Groups!BG:BG)*_xlfn.XLOOKUP(B328,'Base stats'!B:B,'Base stats'!C:C)^-0.165,0.05)</f>
        <v>0.25</v>
      </c>
      <c r="X328" s="1">
        <f>MROUND(_xlfn.XLOOKUP(_xlfn.XLOOKUP(B328,'Base stats'!B:B,'Base stats'!E:E),Groups!A:A,Groups!BH:BH)*_xlfn.XLOOKUP(B328,'Base stats'!B:B,'Base stats'!C:C)^0.165,0.05)</f>
        <v>0</v>
      </c>
      <c r="Y328" s="8">
        <f>MROUND(_xlfn.XLOOKUP(_xlfn.XLOOKUP(B328,'Base stats'!B:B,'Base stats'!E:E),Groups!A:A,Groups!BI:BI)*_xlfn.XLOOKUP(B328,'Base stats'!B:B,'Base stats'!C:C)^0.165,0.05)</f>
        <v>0</v>
      </c>
      <c r="Z328" s="18">
        <f>MROUND(_xlfn.XLOOKUP(B328,'Base stats'!B:B,'Base stats'!AQ:AQ)*_xlfn.XLOOKUP(_xlfn.XLOOKUP(B328,'Base stats'!B:B,'Base stats'!E:E),Groups!A:A,Groups!H:H)/1000,IF((_xlfn.XLOOKUP(B328,'Base stats'!B:B,'Base stats'!AQ:AQ)*_xlfn.XLOOKUP(_xlfn.XLOOKUP(B328,'Base stats'!B:B,'Base stats'!E:E),Groups!A:A,Groups!H:H)/1000)&gt;1,0.05,0.01))</f>
        <v>0.06</v>
      </c>
      <c r="AA328" s="18">
        <f>MROUND((1/2)*(_xlfn.XLOOKUP(_xlfn.XLOOKUP(B328,'Base stats'!B:B,'Base stats'!E:E),Groups!A:A,Groups!H:H)*_xlfn.XLOOKUP(_xlfn.XLOOKUP(B328,'Base stats'!B:B,'Base stats'!E:E),Groups!A:A,Groups!I:I))*_xlfn.XLOOKUP(B328,'Base stats'!B:B,'Base stats'!AQ:AQ)*0.01,0.05)</f>
        <v>0.30000000000000004</v>
      </c>
      <c r="AB328" s="18">
        <f>MROUND(250*(Animals!AO328+Animals!AP328),25)</f>
        <v>575</v>
      </c>
      <c r="AC328" s="18" t="str">
        <f>_xlfn.XLOOKUP(_xlfn.XLOOKUP(B328,'Base stats'!B:B,'Base stats'!E:E),Groups!A:A,Groups!BJ:BJ)</f>
        <v>Quadruped</v>
      </c>
    </row>
    <row r="329" spans="1:29" ht="16.5" thickTop="1" thickBot="1" x14ac:dyDescent="0.3">
      <c r="A329" s="16" t="str">
        <f>Animals!A329</f>
        <v>Skiphound</v>
      </c>
      <c r="B329" s="6" t="str">
        <f>Animals!B329</f>
        <v>Canis saltator</v>
      </c>
      <c r="C329" s="1" t="str">
        <f>Animals!C329</f>
        <v>&lt;li&gt;AA_Skiphound&lt;/li&gt;</v>
      </c>
      <c r="D329" s="47">
        <f>MIN(MIN(6,_xlfn.XLOOKUP(A329,Animals!A:A,Animals!AO:AO))*20,MAX(MROUND(_xlfn.XLOOKUP(B329,'Base stats'!B:B,'Base stats'!BS:BS) * (_xlfn.XLOOKUP(B329,'Base stats'!B:B,'Base stats'!AO:AO)*5%)^0.9 / 21,0.1),0.05))</f>
        <v>1.4000000000000001</v>
      </c>
      <c r="E329" s="11">
        <f>MROUND(_xlfn.XLOOKUP(B329,'Base stats'!B:B,'Base stats'!BG:BG) * 0.01 * 2 + 0.01, 0.05)</f>
        <v>1.1500000000000001</v>
      </c>
      <c r="F329" s="7">
        <f>MROUND(_xlfn.XLOOKUP(B329,'Base stats'!B:B,'Base stats'!BD:BD)^0.25 / (_xlfn.XLOOKUP(B329,'Base stats'!B:B,'Base stats'!BK:BK) * 10) * 150 + 0.5 + _xlfn.XLOOKUP(B329,'Base stats'!B:B,'Base stats'!BW:BW), 0.05)</f>
        <v>1.8</v>
      </c>
      <c r="G329" s="3" t="str">
        <f>IF(Animals!S329="No","No",
IF(_xlfn.XLOOKUP(B329,'Base stats'!B:B,'Base stats'!U:U)="No",
MAX(MROUND(_xlfn.XLOOKUP(B329,'Base stats'!B:B,'Base stats'!BT:BT) * _xlfn.XLOOKUP(B329,'Base stats'!B:B,'Base stats'!BP:BP)^0.9 / 21 * _xlfn.XLOOKUP(B329,'Base stats'!B:B,'Base stats'!BX:BX),0.1),0.05),
MAX(MROUND(((MIN(10,_xlfn.XLOOKUP(B329,'Base stats'!B:B,'Base stats'!U:U)))^0.4*_xlfn.XLOOKUP(B329,'Base stats'!B:B,'Base stats'!BH:BH)^0.73)^0.6 * _xlfn.XLOOKUP(B329,'Base stats'!B:B,'Base stats'!BX:BX),0.1),0.05)
))</f>
        <v>No</v>
      </c>
      <c r="H329" s="11" t="str">
        <f>IF(G329="No","No",
MROUND(_xlfn.XLOOKUP(B329,'Base stats'!B:B,'Base stats'!BH:BH) * 0.01 * 2 + 0.05, 0.05)
)</f>
        <v>No</v>
      </c>
      <c r="I329" s="11" t="str">
        <f>IF(G329="No","No",IF(_xlfn.XLOOKUP(B329,'Base stats'!B:B,'Base stats'!U:U)="No","No",
MROUND(_xlfn.XLOOKUP(B329,'Base stats'!B:B,'Base stats'!BT:BT)/10000+0.01,0.01)
))</f>
        <v>No</v>
      </c>
      <c r="J329" s="4" t="str">
        <f>IF(G329="No","No",
MROUND(_xlfn.XLOOKUP(B329,'Base stats'!B:B,'Base stats'!BE:BE)^0.25
/((_xlfn.XLOOKUP(B329,'Base stats'!B:B,'Base stats'!BL:BL))*10)*_xlfn.XLOOKUP(_xlfn.XLOOKUP(B329,'Base stats'!B:B,'Base stats'!E:E),Groups!A:A,Groups!Q:Q)*150 + 0.5 + _xlfn.XLOOKUP(B329,'Base stats'!B:B,'Base stats'!BW:BW),
0.05))</f>
        <v>No</v>
      </c>
      <c r="K329" s="3" t="str">
        <f>IF(Animals!X329="No","No",
IF(_xlfn.XLOOKUP(_xlfn.XLOOKUP(B329,'Base stats'!B:B,'Base stats'!E:E),Groups!A:A,Groups!BD:BD)=1,
MAX(MROUND(_xlfn.XLOOKUP(B329,'Base stats'!B:B,'Base stats'!BU:BU) * _xlfn.XLOOKUP(B329,'Base stats'!B:B,'Base stats'!BQ:BQ)^0.9 / 21 *_xlfn.XLOOKUP(B329,'Base stats'!B:B,'Base stats'!BX:BX),0.1),0.05),
MAX(MROUND(((MIN(10,_xlfn.XLOOKUP(B329,'Base stats'!B:B,'Base stats'!W:W)))^0.4*_xlfn.XLOOKUP(B329,'Base stats'!B:B,'Base stats'!BI:BI)^0.73)^0.6 *_xlfn.XLOOKUP(B329,'Base stats'!B:B,'Base stats'!BX:BX),0.1),0.05)
))</f>
        <v>No</v>
      </c>
      <c r="L329" s="11" t="str">
        <f>IF(K329="No","No",
MROUND(_xlfn.XLOOKUP(B329,'Base stats'!B:B,'Base stats'!BI:BI) * 0.01 *2 + 0.05, 0.05)
)</f>
        <v>No</v>
      </c>
      <c r="M329" s="5" t="str">
        <f>IF(K329="No","No",IF(_xlfn.XLOOKUP(_xlfn.XLOOKUP(B329,'Base stats'!B:B,'Base stats'!E:E),Groups!A:A,Groups!BD:BD)=1,"No",
MROUND(_xlfn.XLOOKUP(B329,'Base stats'!B:B,'Base stats'!BU:BU)/10000+0.01,0.01)
))</f>
        <v>No</v>
      </c>
      <c r="N329" s="4" t="str">
        <f>IF(K329="No","No",
MROUND(
  _xlfn.XLOOKUP(B329,'Base stats'!B:B,'Base stats'!BC:BC)^0.25
  / (_xlfn.XLOOKUP(B329,'Base stats'!B:B,'Base stats'!BM:BM) * 10)
  * _xlfn.XLOOKUP(
      _xlfn.XLOOKUP(B329,'Base stats'!B:B,'Base stats'!E:E),
      Groups!A:A,
      Groups!V:V
    ) * 150
  + MIN(12, _xlfn.XLOOKUP(B329,'Base stats'!B:B,'Base stats'!W:W))^(1/IF(_xlfn.XLOOKUP(_xlfn.XLOOKUP(B329,'Base stats'!B:B,'Base stats'!E:E),Groups!A:A,Groups!U:U)=1,100,10)) + 0.5 + _xlfn.XLOOKUP(B329,'Base stats'!B:B,'Base stats'!BW:BW),
0.05))</f>
        <v>No</v>
      </c>
      <c r="O329" s="3">
        <f>IF(Animals!AD329="No","No",
MAX(MROUND((MIN(10,_xlfn.XLOOKUP(B329,'Base stats'!B:B,'Base stats'!V:V)*IF(_xlfn.XLOOKUP(_xlfn.XLOOKUP(B329,'Base stats'!B:B,'Base stats'!E:E),Groups!A:A,Groups!O:O)=0,1,0.33))^0.4*_xlfn.XLOOKUP(B329,'Base stats'!B:B,'Base stats'!BJ:BJ)^0.73)^0.6 *_xlfn.XLOOKUP(B329,'Base stats'!B:B,'Base stats'!BX:BX),0.1),0.05)
)</f>
        <v>13.9</v>
      </c>
      <c r="P329" s="11">
        <f>IF(O329="No","No",
MROUND(_xlfn.XLOOKUP(B329,'Base stats'!B:B,'Base stats'!BJ:BJ) * 0.01 * 2 + 0.05, 0.05)
)</f>
        <v>4.45</v>
      </c>
      <c r="Q329" s="5">
        <f>IF(O329="No","No",
MROUND(_xlfn.XLOOKUP(B329,'Base stats'!B:B,'Base stats'!BV:BV)/10000+0.01,0.01)
)</f>
        <v>0.34</v>
      </c>
      <c r="R329" s="4">
        <f>IF(O329="No","No",
MROUND(_xlfn.XLOOKUP(B329,'Base stats'!B:B,'Base stats'!BB:BB)^0.25
/((_xlfn.XLOOKUP(B329,'Base stats'!B:B,'Base stats'!BN:BN))*10)*_xlfn.XLOOKUP(_xlfn.XLOOKUP(B329,'Base stats'!B:B,'Base stats'!E:E),Groups!A:A,Groups!Z:Z)*150 + 0.5 + _xlfn.XLOOKUP(B329,'Base stats'!B:B,'Base stats'!BW:BW),
0.05))</f>
        <v>2.2000000000000002</v>
      </c>
      <c r="S329" s="3" t="str">
        <f>IF(Animals!AI329="No","No",
IF(_xlfn.XLOOKUP(B329,'Base stats'!B:B,'Base stats'!U:U)="No",
MAX(MROUND(_xlfn.XLOOKUP(B329,'Base stats'!B:B,'Base stats'!BT:BT) * _xlfn.XLOOKUP(B329,'Base stats'!B:B,'Base stats'!BP:BP)^0.9 / 21 * _xlfn.XLOOKUP(B329,'Base stats'!B:B,'Base stats'!BX:BX),0.1),0.05),
MAX(MROUND(((MIN(12,_xlfn.XLOOKUP(B329,'Base stats'!B:B,'Base stats'!U:U)))^0.4*_xlfn.XLOOKUP(B329,'Base stats'!B:B,'Base stats'!BH:BH)^0.73)^0.6 * _xlfn.XLOOKUP(B329,'Base stats'!B:B,'Base stats'!BX:BX),0.1),0.05)
))</f>
        <v>No</v>
      </c>
      <c r="T329" s="11" t="str">
        <f>IF(S329="No","No",
MROUND(_xlfn.XLOOKUP(B329,'Base stats'!B:B,'Base stats'!BH:BH) * 0.01 * 2 + 0.05, 0.05)
)</f>
        <v>No</v>
      </c>
      <c r="U329" s="5" t="str">
        <f>IF(S329="No","No",IF(_xlfn.XLOOKUP(B329,'Base stats'!B:B,'Base stats'!U:U)="No","No",
MROUND(_xlfn.XLOOKUP(B329,'Base stats'!B:B,'Base stats'!BT:BT)/10000+0.01,0.01)
))</f>
        <v>No</v>
      </c>
      <c r="V329" s="4" t="str">
        <f>IF(S329="No","No",
MROUND(_xlfn.XLOOKUP(B329,'Base stats'!B:B,'Base stats'!BF:BF)^0.25
/((_xlfn.XLOOKUP(B329,'Base stats'!B:B,'Base stats'!BO:BO))*10)*_xlfn.XLOOKUP(_xlfn.XLOOKUP(B329,'Base stats'!B:B,'Base stats'!E:E),Groups!A:A,Groups!AE:AE)*150 + 0.5 + _xlfn.XLOOKUP(B329,'Base stats'!B:B,'Base stats'!BW:BW),
0.05))</f>
        <v>No</v>
      </c>
      <c r="W329" s="8">
        <f>MROUND(_xlfn.XLOOKUP(_xlfn.XLOOKUP(B329,'Base stats'!B:B,'Base stats'!E:E),Groups!A:A,Groups!BG:BG)*_xlfn.XLOOKUP(B329,'Base stats'!B:B,'Base stats'!C:C)^-0.165,0.05)</f>
        <v>0.55000000000000004</v>
      </c>
      <c r="X329" s="1">
        <f>MROUND(_xlfn.XLOOKUP(_xlfn.XLOOKUP(B329,'Base stats'!B:B,'Base stats'!E:E),Groups!A:A,Groups!BH:BH)*_xlfn.XLOOKUP(B329,'Base stats'!B:B,'Base stats'!C:C)^0.165,0.05)</f>
        <v>0.35000000000000003</v>
      </c>
      <c r="Y329" s="8">
        <f>MROUND(_xlfn.XLOOKUP(_xlfn.XLOOKUP(B329,'Base stats'!B:B,'Base stats'!E:E),Groups!A:A,Groups!BI:BI)*_xlfn.XLOOKUP(B329,'Base stats'!B:B,'Base stats'!C:C)^0.165,0.05)</f>
        <v>0.05</v>
      </c>
      <c r="Z329" s="18">
        <f>MROUND(_xlfn.XLOOKUP(B329,'Base stats'!B:B,'Base stats'!AQ:AQ)*_xlfn.XLOOKUP(_xlfn.XLOOKUP(B329,'Base stats'!B:B,'Base stats'!E:E),Groups!A:A,Groups!H:H)/1000,IF((_xlfn.XLOOKUP(B329,'Base stats'!B:B,'Base stats'!AQ:AQ)*_xlfn.XLOOKUP(_xlfn.XLOOKUP(B329,'Base stats'!B:B,'Base stats'!E:E),Groups!A:A,Groups!H:H)/1000)&gt;1,0.05,0.01))</f>
        <v>0.08</v>
      </c>
      <c r="AA329" s="18">
        <f>MROUND((1/2)*(_xlfn.XLOOKUP(_xlfn.XLOOKUP(B329,'Base stats'!B:B,'Base stats'!E:E),Groups!A:A,Groups!H:H)*_xlfn.XLOOKUP(_xlfn.XLOOKUP(B329,'Base stats'!B:B,'Base stats'!E:E),Groups!A:A,Groups!I:I))*_xlfn.XLOOKUP(B329,'Base stats'!B:B,'Base stats'!AQ:AQ)*0.01,0.05)</f>
        <v>0.30000000000000004</v>
      </c>
      <c r="AB329" s="18">
        <f>MROUND(250*(Animals!AO329+Animals!AP329),25)</f>
        <v>450</v>
      </c>
      <c r="AC329" s="18" t="str">
        <f>_xlfn.XLOOKUP(_xlfn.XLOOKUP(B329,'Base stats'!B:B,'Base stats'!E:E),Groups!A:A,Groups!BJ:BJ)</f>
        <v>Quadruped</v>
      </c>
    </row>
    <row r="330" spans="1:29" ht="16.5" thickTop="1" thickBot="1" x14ac:dyDescent="0.3">
      <c r="A330" s="16" t="str">
        <f>Animals!A330</f>
        <v>Skyeel</v>
      </c>
      <c r="B330" s="6" t="str">
        <f>Animals!B330</f>
        <v>Anguilla coelestis</v>
      </c>
      <c r="C330" s="1" t="str">
        <f>Animals!C330</f>
        <v>&lt;li&gt;AA_Skyeel&lt;/li&gt;</v>
      </c>
      <c r="D330" s="47">
        <f>MIN(MIN(6,_xlfn.XLOOKUP(A330,Animals!A:A,Animals!AO:AO))*20,MAX(MROUND(_xlfn.XLOOKUP(B330,'Base stats'!B:B,'Base stats'!BS:BS) * (_xlfn.XLOOKUP(B330,'Base stats'!B:B,'Base stats'!AO:AO)*5%)^0.9 / 21,0.1),0.05))</f>
        <v>0.4</v>
      </c>
      <c r="E330" s="11">
        <f>MROUND(_xlfn.XLOOKUP(B330,'Base stats'!B:B,'Base stats'!BG:BG) * 0.01 * 2 + 0.01, 0.05)</f>
        <v>0.35000000000000003</v>
      </c>
      <c r="F330" s="7">
        <f>MROUND(_xlfn.XLOOKUP(B330,'Base stats'!B:B,'Base stats'!BD:BD)^0.25 / (_xlfn.XLOOKUP(B330,'Base stats'!B:B,'Base stats'!BK:BK) * 10) * 150 + 0.5 + _xlfn.XLOOKUP(B330,'Base stats'!B:B,'Base stats'!BW:BW), 0.05)</f>
        <v>1.6</v>
      </c>
      <c r="G330" s="3" t="str">
        <f>IF(Animals!S330="No","No",
IF(_xlfn.XLOOKUP(B330,'Base stats'!B:B,'Base stats'!U:U)="No",
MAX(MROUND(_xlfn.XLOOKUP(B330,'Base stats'!B:B,'Base stats'!BT:BT) * _xlfn.XLOOKUP(B330,'Base stats'!B:B,'Base stats'!BP:BP)^0.9 / 21 * _xlfn.XLOOKUP(B330,'Base stats'!B:B,'Base stats'!BX:BX),0.1),0.05),
MAX(MROUND(((MIN(10,_xlfn.XLOOKUP(B330,'Base stats'!B:B,'Base stats'!U:U)))^0.4*_xlfn.XLOOKUP(B330,'Base stats'!B:B,'Base stats'!BH:BH)^0.73)^0.6 * _xlfn.XLOOKUP(B330,'Base stats'!B:B,'Base stats'!BX:BX),0.1),0.05)
))</f>
        <v>No</v>
      </c>
      <c r="H330" s="11" t="str">
        <f>IF(G330="No","No",
MROUND(_xlfn.XLOOKUP(B330,'Base stats'!B:B,'Base stats'!BH:BH) * 0.01 * 2 + 0.05, 0.05)
)</f>
        <v>No</v>
      </c>
      <c r="I330" s="11" t="str">
        <f>IF(G330="No","No",IF(_xlfn.XLOOKUP(B330,'Base stats'!B:B,'Base stats'!U:U)="No","No",
MROUND(_xlfn.XLOOKUP(B330,'Base stats'!B:B,'Base stats'!BT:BT)/10000+0.01,0.01)
))</f>
        <v>No</v>
      </c>
      <c r="J330" s="4" t="str">
        <f>IF(G330="No","No",
MROUND(_xlfn.XLOOKUP(B330,'Base stats'!B:B,'Base stats'!BE:BE)^0.25
/((_xlfn.XLOOKUP(B330,'Base stats'!B:B,'Base stats'!BL:BL))*10)*_xlfn.XLOOKUP(_xlfn.XLOOKUP(B330,'Base stats'!B:B,'Base stats'!E:E),Groups!A:A,Groups!Q:Q)*150 + 0.5 + _xlfn.XLOOKUP(B330,'Base stats'!B:B,'Base stats'!BW:BW),
0.05))</f>
        <v>No</v>
      </c>
      <c r="K330" s="3" t="str">
        <f>IF(Animals!X330="No","No",
IF(_xlfn.XLOOKUP(_xlfn.XLOOKUP(B330,'Base stats'!B:B,'Base stats'!E:E),Groups!A:A,Groups!BD:BD)=1,
MAX(MROUND(_xlfn.XLOOKUP(B330,'Base stats'!B:B,'Base stats'!BU:BU) * _xlfn.XLOOKUP(B330,'Base stats'!B:B,'Base stats'!BQ:BQ)^0.9 / 21 *_xlfn.XLOOKUP(B330,'Base stats'!B:B,'Base stats'!BX:BX),0.1),0.05),
MAX(MROUND(((MIN(10,_xlfn.XLOOKUP(B330,'Base stats'!B:B,'Base stats'!W:W)))^0.4*_xlfn.XLOOKUP(B330,'Base stats'!B:B,'Base stats'!BI:BI)^0.73)^0.6 *_xlfn.XLOOKUP(B330,'Base stats'!B:B,'Base stats'!BX:BX),0.1),0.05)
))</f>
        <v>No</v>
      </c>
      <c r="L330" s="11" t="str">
        <f>IF(K330="No","No",
MROUND(_xlfn.XLOOKUP(B330,'Base stats'!B:B,'Base stats'!BI:BI) * 0.01 *2 + 0.05, 0.05)
)</f>
        <v>No</v>
      </c>
      <c r="M330" s="5" t="str">
        <f>IF(K330="No","No",IF(_xlfn.XLOOKUP(_xlfn.XLOOKUP(B330,'Base stats'!B:B,'Base stats'!E:E),Groups!A:A,Groups!BD:BD)=1,"No",
MROUND(_xlfn.XLOOKUP(B330,'Base stats'!B:B,'Base stats'!BU:BU)/10000+0.01,0.01)
))</f>
        <v>No</v>
      </c>
      <c r="N330" s="4" t="str">
        <f>IF(K330="No","No",
MROUND(
  _xlfn.XLOOKUP(B330,'Base stats'!B:B,'Base stats'!BC:BC)^0.25
  / (_xlfn.XLOOKUP(B330,'Base stats'!B:B,'Base stats'!BM:BM) * 10)
  * _xlfn.XLOOKUP(
      _xlfn.XLOOKUP(B330,'Base stats'!B:B,'Base stats'!E:E),
      Groups!A:A,
      Groups!V:V
    ) * 150
  + MIN(12, _xlfn.XLOOKUP(B330,'Base stats'!B:B,'Base stats'!W:W))^(1/IF(_xlfn.XLOOKUP(_xlfn.XLOOKUP(B330,'Base stats'!B:B,'Base stats'!E:E),Groups!A:A,Groups!U:U)=1,100,10)) + 0.5 + _xlfn.XLOOKUP(B330,'Base stats'!B:B,'Base stats'!BW:BW),
0.05))</f>
        <v>No</v>
      </c>
      <c r="O330" s="3">
        <f>IF(Animals!AD330="No","No",
MAX(MROUND((MIN(10,_xlfn.XLOOKUP(B330,'Base stats'!B:B,'Base stats'!V:V)*IF(_xlfn.XLOOKUP(_xlfn.XLOOKUP(B330,'Base stats'!B:B,'Base stats'!E:E),Groups!A:A,Groups!O:O)=0,1,0.33))^0.4*_xlfn.XLOOKUP(B330,'Base stats'!B:B,'Base stats'!BJ:BJ)^0.73)^0.6 *_xlfn.XLOOKUP(B330,'Base stats'!B:B,'Base stats'!BX:BX),0.1),0.05)
)</f>
        <v>3.4000000000000004</v>
      </c>
      <c r="P330" s="11">
        <f>IF(O330="No","No",
MROUND(_xlfn.XLOOKUP(B330,'Base stats'!B:B,'Base stats'!BJ:BJ) * 0.01 * 2 + 0.05, 0.05)
)</f>
        <v>0.35000000000000003</v>
      </c>
      <c r="Q330" s="5">
        <f>IF(O330="No","No",
MROUND(_xlfn.XLOOKUP(B330,'Base stats'!B:B,'Base stats'!BV:BV)/10000+0.01,0.01)
)</f>
        <v>0.05</v>
      </c>
      <c r="R330" s="4">
        <f>IF(O330="No","No",
MROUND(_xlfn.XLOOKUP(B330,'Base stats'!B:B,'Base stats'!BB:BB)^0.25
/((_xlfn.XLOOKUP(B330,'Base stats'!B:B,'Base stats'!BN:BN))*10)*_xlfn.XLOOKUP(_xlfn.XLOOKUP(B330,'Base stats'!B:B,'Base stats'!E:E),Groups!A:A,Groups!Z:Z)*150 + 0.5 + _xlfn.XLOOKUP(B330,'Base stats'!B:B,'Base stats'!BW:BW),
0.05))</f>
        <v>1.9000000000000001</v>
      </c>
      <c r="S330" s="3" t="str">
        <f>IF(Animals!AI330="No","No",
IF(_xlfn.XLOOKUP(B330,'Base stats'!B:B,'Base stats'!U:U)="No",
MAX(MROUND(_xlfn.XLOOKUP(B330,'Base stats'!B:B,'Base stats'!BT:BT) * _xlfn.XLOOKUP(B330,'Base stats'!B:B,'Base stats'!BP:BP)^0.9 / 21 * _xlfn.XLOOKUP(B330,'Base stats'!B:B,'Base stats'!BX:BX),0.1),0.05),
MAX(MROUND(((MIN(12,_xlfn.XLOOKUP(B330,'Base stats'!B:B,'Base stats'!U:U)))^0.4*_xlfn.XLOOKUP(B330,'Base stats'!B:B,'Base stats'!BH:BH)^0.73)^0.6 * _xlfn.XLOOKUP(B330,'Base stats'!B:B,'Base stats'!BX:BX),0.1),0.05)
))</f>
        <v>No</v>
      </c>
      <c r="T330" s="11" t="str">
        <f>IF(S330="No","No",
MROUND(_xlfn.XLOOKUP(B330,'Base stats'!B:B,'Base stats'!BH:BH) * 0.01 * 2 + 0.05, 0.05)
)</f>
        <v>No</v>
      </c>
      <c r="U330" s="5" t="str">
        <f>IF(S330="No","No",IF(_xlfn.XLOOKUP(B330,'Base stats'!B:B,'Base stats'!U:U)="No","No",
MROUND(_xlfn.XLOOKUP(B330,'Base stats'!B:B,'Base stats'!BT:BT)/10000+0.01,0.01)
))</f>
        <v>No</v>
      </c>
      <c r="V330" s="4" t="str">
        <f>IF(S330="No","No",
MROUND(_xlfn.XLOOKUP(B330,'Base stats'!B:B,'Base stats'!BF:BF)^0.25
/((_xlfn.XLOOKUP(B330,'Base stats'!B:B,'Base stats'!BO:BO))*10)*_xlfn.XLOOKUP(_xlfn.XLOOKUP(B330,'Base stats'!B:B,'Base stats'!E:E),Groups!A:A,Groups!AE:AE)*150 + 0.5 + _xlfn.XLOOKUP(B330,'Base stats'!B:B,'Base stats'!BW:BW),
0.05))</f>
        <v>No</v>
      </c>
      <c r="W330" s="8">
        <f>MROUND(_xlfn.XLOOKUP(_xlfn.XLOOKUP(B330,'Base stats'!B:B,'Base stats'!E:E),Groups!A:A,Groups!BG:BG)*_xlfn.XLOOKUP(B330,'Base stats'!B:B,'Base stats'!C:C)^-0.165,0.05)</f>
        <v>0.35000000000000003</v>
      </c>
      <c r="X330" s="1">
        <f>MROUND(_xlfn.XLOOKUP(_xlfn.XLOOKUP(B330,'Base stats'!B:B,'Base stats'!E:E),Groups!A:A,Groups!BH:BH)*_xlfn.XLOOKUP(B330,'Base stats'!B:B,'Base stats'!C:C)^0.165,0.05)</f>
        <v>0.15000000000000002</v>
      </c>
      <c r="Y330" s="8">
        <f>MROUND(_xlfn.XLOOKUP(_xlfn.XLOOKUP(B330,'Base stats'!B:B,'Base stats'!E:E),Groups!A:A,Groups!BI:BI)*_xlfn.XLOOKUP(B330,'Base stats'!B:B,'Base stats'!C:C)^0.165,0.05)</f>
        <v>0</v>
      </c>
      <c r="Z330" s="18">
        <f>MROUND(_xlfn.XLOOKUP(B330,'Base stats'!B:B,'Base stats'!AQ:AQ)*_xlfn.XLOOKUP(_xlfn.XLOOKUP(B330,'Base stats'!B:B,'Base stats'!E:E),Groups!A:A,Groups!H:H)/1000,IF((_xlfn.XLOOKUP(B330,'Base stats'!B:B,'Base stats'!AQ:AQ)*_xlfn.XLOOKUP(_xlfn.XLOOKUP(B330,'Base stats'!B:B,'Base stats'!E:E),Groups!A:A,Groups!H:H)/1000)&gt;1,0.05,0.01))</f>
        <v>0.04</v>
      </c>
      <c r="AA330" s="18">
        <f>MROUND((1/2)*(_xlfn.XLOOKUP(_xlfn.XLOOKUP(B330,'Base stats'!B:B,'Base stats'!E:E),Groups!A:A,Groups!H:H)*_xlfn.XLOOKUP(_xlfn.XLOOKUP(B330,'Base stats'!B:B,'Base stats'!E:E),Groups!A:A,Groups!I:I))*_xlfn.XLOOKUP(B330,'Base stats'!B:B,'Base stats'!AQ:AQ)*0.01,0.05)</f>
        <v>0.05</v>
      </c>
      <c r="AB330" s="18">
        <f>MROUND(250*(Animals!AO330+Animals!AP330),25)</f>
        <v>200</v>
      </c>
      <c r="AC330" s="18" t="str">
        <f>_xlfn.XLOOKUP(_xlfn.XLOOKUP(B330,'Base stats'!B:B,'Base stats'!E:E),Groups!A:A,Groups!BJ:BJ)</f>
        <v>Serpentine</v>
      </c>
    </row>
    <row r="331" spans="1:29" ht="16.5" thickTop="1" thickBot="1" x14ac:dyDescent="0.3">
      <c r="A331" s="16" t="str">
        <f>Animals!A331</f>
        <v>Slurrypede</v>
      </c>
      <c r="B331" s="6" t="str">
        <f>Animals!B331</f>
        <v>Technoscolopendra mucosa</v>
      </c>
      <c r="C331" s="1" t="str">
        <f>Animals!C331</f>
        <v>&lt;li&gt;AA_Slurrypede&lt;/li&gt;</v>
      </c>
      <c r="D331" s="47">
        <f>MIN(MIN(6,_xlfn.XLOOKUP(A331,Animals!A:A,Animals!AO:AO))*20,MAX(MROUND(_xlfn.XLOOKUP(B331,'Base stats'!B:B,'Base stats'!BS:BS) * (_xlfn.XLOOKUP(B331,'Base stats'!B:B,'Base stats'!AO:AO)*5%)^0.9 / 21,0.1),0.05))</f>
        <v>34.300000000000004</v>
      </c>
      <c r="E331" s="11">
        <f>MROUND(_xlfn.XLOOKUP(B331,'Base stats'!B:B,'Base stats'!BG:BG) * 0.01 * 2 + 0.01, 0.05)</f>
        <v>36.950000000000003</v>
      </c>
      <c r="F331" s="7">
        <f>MROUND(_xlfn.XLOOKUP(B331,'Base stats'!B:B,'Base stats'!BD:BD)^0.25 / (_xlfn.XLOOKUP(B331,'Base stats'!B:B,'Base stats'!BK:BK) * 10) * 150 + 0.5 + _xlfn.XLOOKUP(B331,'Base stats'!B:B,'Base stats'!BW:BW), 0.05)</f>
        <v>2.95</v>
      </c>
      <c r="G331" s="3" t="str">
        <f>IF(Animals!S331="No","No",
IF(_xlfn.XLOOKUP(B331,'Base stats'!B:B,'Base stats'!U:U)="No",
MAX(MROUND(_xlfn.XLOOKUP(B331,'Base stats'!B:B,'Base stats'!BT:BT) * _xlfn.XLOOKUP(B331,'Base stats'!B:B,'Base stats'!BP:BP)^0.9 / 21 * _xlfn.XLOOKUP(B331,'Base stats'!B:B,'Base stats'!BX:BX),0.1),0.05),
MAX(MROUND(((MIN(10,_xlfn.XLOOKUP(B331,'Base stats'!B:B,'Base stats'!U:U)))^0.4*_xlfn.XLOOKUP(B331,'Base stats'!B:B,'Base stats'!BH:BH)^0.73)^0.6 * _xlfn.XLOOKUP(B331,'Base stats'!B:B,'Base stats'!BX:BX),0.1),0.05)
))</f>
        <v>No</v>
      </c>
      <c r="H331" s="11" t="str">
        <f>IF(G331="No","No",
MROUND(_xlfn.XLOOKUP(B331,'Base stats'!B:B,'Base stats'!BH:BH) * 0.01 * 2 + 0.05, 0.05)
)</f>
        <v>No</v>
      </c>
      <c r="I331" s="11" t="str">
        <f>IF(G331="No","No",IF(_xlfn.XLOOKUP(B331,'Base stats'!B:B,'Base stats'!U:U)="No","No",
MROUND(_xlfn.XLOOKUP(B331,'Base stats'!B:B,'Base stats'!BT:BT)/10000+0.01,0.01)
))</f>
        <v>No</v>
      </c>
      <c r="J331" s="4" t="str">
        <f>IF(G331="No","No",
MROUND(_xlfn.XLOOKUP(B331,'Base stats'!B:B,'Base stats'!BE:BE)^0.25
/((_xlfn.XLOOKUP(B331,'Base stats'!B:B,'Base stats'!BL:BL))*10)*_xlfn.XLOOKUP(_xlfn.XLOOKUP(B331,'Base stats'!B:B,'Base stats'!E:E),Groups!A:A,Groups!Q:Q)*150 + 0.5 + _xlfn.XLOOKUP(B331,'Base stats'!B:B,'Base stats'!BW:BW),
0.05))</f>
        <v>No</v>
      </c>
      <c r="K331" s="3" t="str">
        <f>IF(Animals!X331="No","No",
IF(_xlfn.XLOOKUP(_xlfn.XLOOKUP(B331,'Base stats'!B:B,'Base stats'!E:E),Groups!A:A,Groups!BD:BD)=1,
MAX(MROUND(_xlfn.XLOOKUP(B331,'Base stats'!B:B,'Base stats'!BU:BU) * _xlfn.XLOOKUP(B331,'Base stats'!B:B,'Base stats'!BQ:BQ)^0.9 / 21 *_xlfn.XLOOKUP(B331,'Base stats'!B:B,'Base stats'!BX:BX),0.1),0.05),
MAX(MROUND(((MIN(10,_xlfn.XLOOKUP(B331,'Base stats'!B:B,'Base stats'!W:W)))^0.4*_xlfn.XLOOKUP(B331,'Base stats'!B:B,'Base stats'!BI:BI)^0.73)^0.6 *_xlfn.XLOOKUP(B331,'Base stats'!B:B,'Base stats'!BX:BX),0.1),0.05)
))</f>
        <v>No</v>
      </c>
      <c r="L331" s="11" t="str">
        <f>IF(K331="No","No",
MROUND(_xlfn.XLOOKUP(B331,'Base stats'!B:B,'Base stats'!BI:BI) * 0.01 *2 + 0.05, 0.05)
)</f>
        <v>No</v>
      </c>
      <c r="M331" s="5" t="str">
        <f>IF(K331="No","No",IF(_xlfn.XLOOKUP(_xlfn.XLOOKUP(B331,'Base stats'!B:B,'Base stats'!E:E),Groups!A:A,Groups!BD:BD)=1,"No",
MROUND(_xlfn.XLOOKUP(B331,'Base stats'!B:B,'Base stats'!BU:BU)/10000+0.01,0.01)
))</f>
        <v>No</v>
      </c>
      <c r="N331" s="4" t="str">
        <f>IF(K331="No","No",
MROUND(
  _xlfn.XLOOKUP(B331,'Base stats'!B:B,'Base stats'!BC:BC)^0.25
  / (_xlfn.XLOOKUP(B331,'Base stats'!B:B,'Base stats'!BM:BM) * 10)
  * _xlfn.XLOOKUP(
      _xlfn.XLOOKUP(B331,'Base stats'!B:B,'Base stats'!E:E),
      Groups!A:A,
      Groups!V:V
    ) * 150
  + MIN(12, _xlfn.XLOOKUP(B331,'Base stats'!B:B,'Base stats'!W:W))^(1/IF(_xlfn.XLOOKUP(_xlfn.XLOOKUP(B331,'Base stats'!B:B,'Base stats'!E:E),Groups!A:A,Groups!U:U)=1,100,10)) + 0.5 + _xlfn.XLOOKUP(B331,'Base stats'!B:B,'Base stats'!BW:BW),
0.05))</f>
        <v>No</v>
      </c>
      <c r="O331" s="3" t="str">
        <f>IF(Animals!AD331="No","No",
MAX(MROUND((MIN(10,_xlfn.XLOOKUP(B331,'Base stats'!B:B,'Base stats'!V:V)*IF(_xlfn.XLOOKUP(_xlfn.XLOOKUP(B331,'Base stats'!B:B,'Base stats'!E:E),Groups!A:A,Groups!O:O)=0,1,0.33))^0.4*_xlfn.XLOOKUP(B331,'Base stats'!B:B,'Base stats'!BJ:BJ)^0.73)^0.6 *_xlfn.XLOOKUP(B331,'Base stats'!B:B,'Base stats'!BX:BX),0.1),0.05)
)</f>
        <v>No</v>
      </c>
      <c r="P331" s="11" t="str">
        <f>IF(O331="No","No",
MROUND(_xlfn.XLOOKUP(B331,'Base stats'!B:B,'Base stats'!BJ:BJ) * 0.01 * 2 + 0.05, 0.05)
)</f>
        <v>No</v>
      </c>
      <c r="Q331" s="5" t="str">
        <f>IF(O331="No","No",
MROUND(_xlfn.XLOOKUP(B331,'Base stats'!B:B,'Base stats'!BV:BV)/10000+0.01,0.01)
)</f>
        <v>No</v>
      </c>
      <c r="R331" s="4" t="str">
        <f>IF(O331="No","No",
MROUND(_xlfn.XLOOKUP(B331,'Base stats'!B:B,'Base stats'!BB:BB)^0.25
/((_xlfn.XLOOKUP(B331,'Base stats'!B:B,'Base stats'!BN:BN))*10)*_xlfn.XLOOKUP(_xlfn.XLOOKUP(B331,'Base stats'!B:B,'Base stats'!E:E),Groups!A:A,Groups!Z:Z)*150 + 0.5 + _xlfn.XLOOKUP(B331,'Base stats'!B:B,'Base stats'!BW:BW),
0.05))</f>
        <v>No</v>
      </c>
      <c r="S331" s="3" t="str">
        <f>IF(Animals!AI331="No","No",
IF(_xlfn.XLOOKUP(B331,'Base stats'!B:B,'Base stats'!U:U)="No",
MAX(MROUND(_xlfn.XLOOKUP(B331,'Base stats'!B:B,'Base stats'!BT:BT) * _xlfn.XLOOKUP(B331,'Base stats'!B:B,'Base stats'!BP:BP)^0.9 / 21 * _xlfn.XLOOKUP(B331,'Base stats'!B:B,'Base stats'!BX:BX),0.1),0.05),
MAX(MROUND(((MIN(12,_xlfn.XLOOKUP(B331,'Base stats'!B:B,'Base stats'!U:U)))^0.4*_xlfn.XLOOKUP(B331,'Base stats'!B:B,'Base stats'!BH:BH)^0.73)^0.6 * _xlfn.XLOOKUP(B331,'Base stats'!B:B,'Base stats'!BX:BX),0.1),0.05)
))</f>
        <v>No</v>
      </c>
      <c r="T331" s="11" t="str">
        <f>IF(S331="No","No",
MROUND(_xlfn.XLOOKUP(B331,'Base stats'!B:B,'Base stats'!BH:BH) * 0.01 * 2 + 0.05, 0.05)
)</f>
        <v>No</v>
      </c>
      <c r="U331" s="5" t="str">
        <f>IF(S331="No","No",IF(_xlfn.XLOOKUP(B331,'Base stats'!B:B,'Base stats'!U:U)="No","No",
MROUND(_xlfn.XLOOKUP(B331,'Base stats'!B:B,'Base stats'!BT:BT)/10000+0.01,0.01)
))</f>
        <v>No</v>
      </c>
      <c r="V331" s="4" t="str">
        <f>IF(S331="No","No",
MROUND(_xlfn.XLOOKUP(B331,'Base stats'!B:B,'Base stats'!BF:BF)^0.25
/((_xlfn.XLOOKUP(B331,'Base stats'!B:B,'Base stats'!BO:BO))*10)*_xlfn.XLOOKUP(_xlfn.XLOOKUP(B331,'Base stats'!B:B,'Base stats'!E:E),Groups!A:A,Groups!AE:AE)*150 + 0.5 + _xlfn.XLOOKUP(B331,'Base stats'!B:B,'Base stats'!BW:BW),
0.05))</f>
        <v>No</v>
      </c>
      <c r="W331" s="8">
        <f>MROUND(_xlfn.XLOOKUP(_xlfn.XLOOKUP(B331,'Base stats'!B:B,'Base stats'!E:E),Groups!A:A,Groups!BG:BG)*_xlfn.XLOOKUP(B331,'Base stats'!B:B,'Base stats'!C:C)^-0.165,0.05)</f>
        <v>0</v>
      </c>
      <c r="X331" s="1">
        <f>MROUND(_xlfn.XLOOKUP(_xlfn.XLOOKUP(B331,'Base stats'!B:B,'Base stats'!E:E),Groups!A:A,Groups!BH:BH)*_xlfn.XLOOKUP(B331,'Base stats'!B:B,'Base stats'!C:C)^0.165,0.05)</f>
        <v>0</v>
      </c>
      <c r="Y331" s="8">
        <f>MROUND(_xlfn.XLOOKUP(_xlfn.XLOOKUP(B331,'Base stats'!B:B,'Base stats'!E:E),Groups!A:A,Groups!BI:BI)*_xlfn.XLOOKUP(B331,'Base stats'!B:B,'Base stats'!C:C)^0.165,0.05)</f>
        <v>0</v>
      </c>
      <c r="Z331" s="18">
        <f>MROUND(_xlfn.XLOOKUP(B331,'Base stats'!B:B,'Base stats'!AQ:AQ)*_xlfn.XLOOKUP(_xlfn.XLOOKUP(B331,'Base stats'!B:B,'Base stats'!E:E),Groups!A:A,Groups!H:H)/1000,IF((_xlfn.XLOOKUP(B331,'Base stats'!B:B,'Base stats'!AQ:AQ)*_xlfn.XLOOKUP(_xlfn.XLOOKUP(B331,'Base stats'!B:B,'Base stats'!E:E),Groups!A:A,Groups!H:H)/1000)&gt;1,0.05,0.01))</f>
        <v>10.700000000000001</v>
      </c>
      <c r="AA331" s="18">
        <f>MROUND((1/2)*(_xlfn.XLOOKUP(_xlfn.XLOOKUP(B331,'Base stats'!B:B,'Base stats'!E:E),Groups!A:A,Groups!H:H)*_xlfn.XLOOKUP(_xlfn.XLOOKUP(B331,'Base stats'!B:B,'Base stats'!E:E),Groups!A:A,Groups!I:I))*_xlfn.XLOOKUP(B331,'Base stats'!B:B,'Base stats'!AQ:AQ)*0.01,0.05)</f>
        <v>5.9</v>
      </c>
      <c r="AB331" s="18">
        <f>MROUND(250*(Animals!AO331+Animals!AP331),25)</f>
        <v>2375</v>
      </c>
      <c r="AC331" s="18" t="str">
        <f>_xlfn.XLOOKUP(_xlfn.XLOOKUP(B331,'Base stats'!B:B,'Base stats'!E:E),Groups!A:A,Groups!BJ:BJ)</f>
        <v>QuadrupedLow</v>
      </c>
    </row>
    <row r="332" spans="1:29" ht="16.5" thickTop="1" thickBot="1" x14ac:dyDescent="0.3">
      <c r="A332" s="16" t="str">
        <f>Animals!A332</f>
        <v>SpinedGow</v>
      </c>
      <c r="B332" s="6" t="str">
        <f>Animals!B332</f>
        <v>Caprabos aculeus</v>
      </c>
      <c r="C332" s="1" t="str">
        <f>Animals!C332</f>
        <v>&lt;li&gt;AA_SpinedGow&lt;/li&gt;</v>
      </c>
      <c r="D332" s="47">
        <f>MIN(MIN(6,_xlfn.XLOOKUP(A332,Animals!A:A,Animals!AO:AO))*20,MAX(MROUND(_xlfn.XLOOKUP(B332,'Base stats'!B:B,'Base stats'!BS:BS) * (_xlfn.XLOOKUP(B332,'Base stats'!B:B,'Base stats'!AO:AO)*5%)^0.9 / 21,0.1),0.05))</f>
        <v>14.5</v>
      </c>
      <c r="E332" s="11">
        <f>MROUND(_xlfn.XLOOKUP(B332,'Base stats'!B:B,'Base stats'!BG:BG) * 0.01 * 2 + 0.01, 0.05)</f>
        <v>13.5</v>
      </c>
      <c r="F332" s="7">
        <f>MROUND(_xlfn.XLOOKUP(B332,'Base stats'!B:B,'Base stats'!BD:BD)^0.25 / (_xlfn.XLOOKUP(B332,'Base stats'!B:B,'Base stats'!BK:BK) * 10) * 150 + 0.5 + _xlfn.XLOOKUP(B332,'Base stats'!B:B,'Base stats'!BW:BW), 0.05)</f>
        <v>1.6500000000000001</v>
      </c>
      <c r="G332" s="3">
        <f>IF(Animals!S332="No","No",
IF(_xlfn.XLOOKUP(B332,'Base stats'!B:B,'Base stats'!U:U)="No",
MAX(MROUND(_xlfn.XLOOKUP(B332,'Base stats'!B:B,'Base stats'!BT:BT) * _xlfn.XLOOKUP(B332,'Base stats'!B:B,'Base stats'!BP:BP)^0.9 / 21 * _xlfn.XLOOKUP(B332,'Base stats'!B:B,'Base stats'!BX:BX),0.1),0.05),
MAX(MROUND(((MIN(10,_xlfn.XLOOKUP(B332,'Base stats'!B:B,'Base stats'!U:U)))^0.4*_xlfn.XLOOKUP(B332,'Base stats'!B:B,'Base stats'!BH:BH)^0.73)^0.6 * _xlfn.XLOOKUP(B332,'Base stats'!B:B,'Base stats'!BX:BX),0.1),0.05)
))</f>
        <v>17.3</v>
      </c>
      <c r="H332" s="11">
        <f>IF(G332="No","No",
MROUND(_xlfn.XLOOKUP(B332,'Base stats'!B:B,'Base stats'!BH:BH) * 0.01 * 2 + 0.05, 0.05)
)</f>
        <v>11.25</v>
      </c>
      <c r="I332" s="11" t="str">
        <f>IF(G332="No","No",IF(_xlfn.XLOOKUP(B332,'Base stats'!B:B,'Base stats'!U:U)="No","No",
MROUND(_xlfn.XLOOKUP(B332,'Base stats'!B:B,'Base stats'!BT:BT)/10000+0.01,0.01)
))</f>
        <v>No</v>
      </c>
      <c r="J332" s="4">
        <f>IF(G332="No","No",
MROUND(_xlfn.XLOOKUP(B332,'Base stats'!B:B,'Base stats'!BE:BE)^0.25
/((_xlfn.XLOOKUP(B332,'Base stats'!B:B,'Base stats'!BL:BL))*10)*_xlfn.XLOOKUP(_xlfn.XLOOKUP(B332,'Base stats'!B:B,'Base stats'!E:E),Groups!A:A,Groups!Q:Q)*150 + 0.5 + _xlfn.XLOOKUP(B332,'Base stats'!B:B,'Base stats'!BW:BW),
0.05))</f>
        <v>2.8000000000000003</v>
      </c>
      <c r="K332" s="3">
        <f>IF(Animals!X332="No","No",
IF(_xlfn.XLOOKUP(_xlfn.XLOOKUP(B332,'Base stats'!B:B,'Base stats'!E:E),Groups!A:A,Groups!BD:BD)=1,
MAX(MROUND(_xlfn.XLOOKUP(B332,'Base stats'!B:B,'Base stats'!BU:BU) * _xlfn.XLOOKUP(B332,'Base stats'!B:B,'Base stats'!BQ:BQ)^0.9 / 21 *_xlfn.XLOOKUP(B332,'Base stats'!B:B,'Base stats'!BX:BX),0.1),0.05),
MAX(MROUND(((MIN(10,_xlfn.XLOOKUP(B332,'Base stats'!B:B,'Base stats'!W:W)))^0.4*_xlfn.XLOOKUP(B332,'Base stats'!B:B,'Base stats'!BI:BI)^0.73)^0.6 *_xlfn.XLOOKUP(B332,'Base stats'!B:B,'Base stats'!BX:BX),0.1),0.05)
))</f>
        <v>17.400000000000002</v>
      </c>
      <c r="L332" s="11">
        <f>IF(K332="No","No",
MROUND(_xlfn.XLOOKUP(B332,'Base stats'!B:B,'Base stats'!BI:BI) * 0.01 *2 + 0.05, 0.05)
)</f>
        <v>16.25</v>
      </c>
      <c r="M332" s="5" t="str">
        <f>IF(K332="No","No",IF(_xlfn.XLOOKUP(_xlfn.XLOOKUP(B332,'Base stats'!B:B,'Base stats'!E:E),Groups!A:A,Groups!BD:BD)=1,"No",
MROUND(_xlfn.XLOOKUP(B332,'Base stats'!B:B,'Base stats'!BU:BU)/10000+0.01,0.01)
))</f>
        <v>No</v>
      </c>
      <c r="N332" s="4">
        <f>IF(K332="No","No",
MROUND(
  _xlfn.XLOOKUP(B332,'Base stats'!B:B,'Base stats'!BC:BC)^0.25
  / (_xlfn.XLOOKUP(B332,'Base stats'!B:B,'Base stats'!BM:BM) * 10)
  * _xlfn.XLOOKUP(
      _xlfn.XLOOKUP(B332,'Base stats'!B:B,'Base stats'!E:E),
      Groups!A:A,
      Groups!V:V
    ) * 150
  + MIN(12, _xlfn.XLOOKUP(B332,'Base stats'!B:B,'Base stats'!W:W))^(1/IF(_xlfn.XLOOKUP(_xlfn.XLOOKUP(B332,'Base stats'!B:B,'Base stats'!E:E),Groups!A:A,Groups!U:U)=1,100,10)) + 0.5 + _xlfn.XLOOKUP(B332,'Base stats'!B:B,'Base stats'!BW:BW),
0.05))</f>
        <v>2.6500000000000004</v>
      </c>
      <c r="O332" s="3" t="str">
        <f>IF(Animals!AD332="No","No",
MAX(MROUND((MIN(10,_xlfn.XLOOKUP(B332,'Base stats'!B:B,'Base stats'!V:V)*IF(_xlfn.XLOOKUP(_xlfn.XLOOKUP(B332,'Base stats'!B:B,'Base stats'!E:E),Groups!A:A,Groups!O:O)=0,1,0.33))^0.4*_xlfn.XLOOKUP(B332,'Base stats'!B:B,'Base stats'!BJ:BJ)^0.73)^0.6 *_xlfn.XLOOKUP(B332,'Base stats'!B:B,'Base stats'!BX:BX),0.1),0.05)
)</f>
        <v>No</v>
      </c>
      <c r="P332" s="11" t="str">
        <f>IF(O332="No","No",
MROUND(_xlfn.XLOOKUP(B332,'Base stats'!B:B,'Base stats'!BJ:BJ) * 0.01 * 2 + 0.05, 0.05)
)</f>
        <v>No</v>
      </c>
      <c r="Q332" s="5" t="str">
        <f>IF(O332="No","No",
MROUND(_xlfn.XLOOKUP(B332,'Base stats'!B:B,'Base stats'!BV:BV)/10000+0.01,0.01)
)</f>
        <v>No</v>
      </c>
      <c r="R332" s="4" t="str">
        <f>IF(O332="No","No",
MROUND(_xlfn.XLOOKUP(B332,'Base stats'!B:B,'Base stats'!BB:BB)^0.25
/((_xlfn.XLOOKUP(B332,'Base stats'!B:B,'Base stats'!BN:BN))*10)*_xlfn.XLOOKUP(_xlfn.XLOOKUP(B332,'Base stats'!B:B,'Base stats'!E:E),Groups!A:A,Groups!Z:Z)*150 + 0.5 + _xlfn.XLOOKUP(B332,'Base stats'!B:B,'Base stats'!BW:BW),
0.05))</f>
        <v>No</v>
      </c>
      <c r="S332" s="3" t="str">
        <f>IF(Animals!AI332="No","No",
IF(_xlfn.XLOOKUP(B332,'Base stats'!B:B,'Base stats'!U:U)="No",
MAX(MROUND(_xlfn.XLOOKUP(B332,'Base stats'!B:B,'Base stats'!BT:BT) * _xlfn.XLOOKUP(B332,'Base stats'!B:B,'Base stats'!BP:BP)^0.9 / 21 * _xlfn.XLOOKUP(B332,'Base stats'!B:B,'Base stats'!BX:BX),0.1),0.05),
MAX(MROUND(((MIN(12,_xlfn.XLOOKUP(B332,'Base stats'!B:B,'Base stats'!U:U)))^0.4*_xlfn.XLOOKUP(B332,'Base stats'!B:B,'Base stats'!BH:BH)^0.73)^0.6 * _xlfn.XLOOKUP(B332,'Base stats'!B:B,'Base stats'!BX:BX),0.1),0.05)
))</f>
        <v>No</v>
      </c>
      <c r="T332" s="11" t="str">
        <f>IF(S332="No","No",
MROUND(_xlfn.XLOOKUP(B332,'Base stats'!B:B,'Base stats'!BH:BH) * 0.01 * 2 + 0.05, 0.05)
)</f>
        <v>No</v>
      </c>
      <c r="U332" s="5" t="str">
        <f>IF(S332="No","No",IF(_xlfn.XLOOKUP(B332,'Base stats'!B:B,'Base stats'!U:U)="No","No",
MROUND(_xlfn.XLOOKUP(B332,'Base stats'!B:B,'Base stats'!BT:BT)/10000+0.01,0.01)
))</f>
        <v>No</v>
      </c>
      <c r="V332" s="4" t="str">
        <f>IF(S332="No","No",
MROUND(_xlfn.XLOOKUP(B332,'Base stats'!B:B,'Base stats'!BF:BF)^0.25
/((_xlfn.XLOOKUP(B332,'Base stats'!B:B,'Base stats'!BO:BO))*10)*_xlfn.XLOOKUP(_xlfn.XLOOKUP(B332,'Base stats'!B:B,'Base stats'!E:E),Groups!A:A,Groups!AE:AE)*150 + 0.5 + _xlfn.XLOOKUP(B332,'Base stats'!B:B,'Base stats'!BW:BW),
0.05))</f>
        <v>No</v>
      </c>
      <c r="W332" s="8">
        <f>MROUND(_xlfn.XLOOKUP(_xlfn.XLOOKUP(B332,'Base stats'!B:B,'Base stats'!E:E),Groups!A:A,Groups!BG:BG)*_xlfn.XLOOKUP(B332,'Base stats'!B:B,'Base stats'!C:C)^-0.165,0.05)</f>
        <v>0.2</v>
      </c>
      <c r="X332" s="1">
        <f>MROUND(_xlfn.XLOOKUP(_xlfn.XLOOKUP(B332,'Base stats'!B:B,'Base stats'!E:E),Groups!A:A,Groups!BH:BH)*_xlfn.XLOOKUP(B332,'Base stats'!B:B,'Base stats'!C:C)^0.165,0.05)</f>
        <v>0</v>
      </c>
      <c r="Y332" s="8">
        <f>MROUND(_xlfn.XLOOKUP(_xlfn.XLOOKUP(B332,'Base stats'!B:B,'Base stats'!E:E),Groups!A:A,Groups!BI:BI)*_xlfn.XLOOKUP(B332,'Base stats'!B:B,'Base stats'!C:C)^0.165,0.05)</f>
        <v>0</v>
      </c>
      <c r="Z332" s="18">
        <f>MROUND(_xlfn.XLOOKUP(B332,'Base stats'!B:B,'Base stats'!AQ:AQ)*_xlfn.XLOOKUP(_xlfn.XLOOKUP(B332,'Base stats'!B:B,'Base stats'!E:E),Groups!A:A,Groups!H:H)/1000,IF((_xlfn.XLOOKUP(B332,'Base stats'!B:B,'Base stats'!AQ:AQ)*_xlfn.XLOOKUP(_xlfn.XLOOKUP(B332,'Base stats'!B:B,'Base stats'!E:E),Groups!A:A,Groups!H:H)/1000)&gt;1,0.05,0.01))</f>
        <v>0.1</v>
      </c>
      <c r="AA332" s="18">
        <f>MROUND((1/2)*(_xlfn.XLOOKUP(_xlfn.XLOOKUP(B332,'Base stats'!B:B,'Base stats'!E:E),Groups!A:A,Groups!H:H)*_xlfn.XLOOKUP(_xlfn.XLOOKUP(B332,'Base stats'!B:B,'Base stats'!E:E),Groups!A:A,Groups!I:I))*_xlfn.XLOOKUP(B332,'Base stats'!B:B,'Base stats'!AQ:AQ)*0.01,0.05)</f>
        <v>0.45</v>
      </c>
      <c r="AB332" s="18">
        <f>MROUND(250*(Animals!AO332+Animals!AP332),25)</f>
        <v>1375</v>
      </c>
      <c r="AC332" s="18" t="str">
        <f>_xlfn.XLOOKUP(_xlfn.XLOOKUP(B332,'Base stats'!B:B,'Base stats'!E:E),Groups!A:A,Groups!BJ:BJ)</f>
        <v>Quadruped</v>
      </c>
    </row>
    <row r="333" spans="1:29" ht="16.5" thickTop="1" thickBot="1" x14ac:dyDescent="0.3">
      <c r="A333" s="16" t="str">
        <f>Animals!A333</f>
        <v>SummitCrab</v>
      </c>
      <c r="B333" s="6" t="str">
        <f>Animals!B333</f>
        <v>Megacancer montanus</v>
      </c>
      <c r="C333" s="1" t="str">
        <f>Animals!C333</f>
        <v>&lt;li&gt;AA_SummitCrab&lt;/li&gt;</v>
      </c>
      <c r="D333" s="47">
        <f>MIN(MIN(6,_xlfn.XLOOKUP(A333,Animals!A:A,Animals!AO:AO))*20,MAX(MROUND(_xlfn.XLOOKUP(B333,'Base stats'!B:B,'Base stats'!BS:BS) * (_xlfn.XLOOKUP(B333,'Base stats'!B:B,'Base stats'!AO:AO)*5%)^0.9 / 21,0.1),0.05))</f>
        <v>120</v>
      </c>
      <c r="E333" s="11">
        <f>MROUND(_xlfn.XLOOKUP(B333,'Base stats'!B:B,'Base stats'!BG:BG) * 0.01 * 2 + 0.01, 0.05)</f>
        <v>230.65</v>
      </c>
      <c r="F333" s="7">
        <f>MROUND(_xlfn.XLOOKUP(B333,'Base stats'!B:B,'Base stats'!BD:BD)^0.25 / (_xlfn.XLOOKUP(B333,'Base stats'!B:B,'Base stats'!BK:BK) * 10) * 150 + 0.5 + _xlfn.XLOOKUP(B333,'Base stats'!B:B,'Base stats'!BW:BW), 0.05)</f>
        <v>3.6</v>
      </c>
      <c r="G333" s="3" t="str">
        <f>IF(Animals!S333="No","No",
IF(_xlfn.XLOOKUP(B333,'Base stats'!B:B,'Base stats'!U:U)="No",
MAX(MROUND(_xlfn.XLOOKUP(B333,'Base stats'!B:B,'Base stats'!BT:BT) * _xlfn.XLOOKUP(B333,'Base stats'!B:B,'Base stats'!BP:BP)^0.9 / 21 * _xlfn.XLOOKUP(B333,'Base stats'!B:B,'Base stats'!BX:BX),0.1),0.05),
MAX(MROUND(((MIN(10,_xlfn.XLOOKUP(B333,'Base stats'!B:B,'Base stats'!U:U)))^0.4*_xlfn.XLOOKUP(B333,'Base stats'!B:B,'Base stats'!BH:BH)^0.73)^0.6 * _xlfn.XLOOKUP(B333,'Base stats'!B:B,'Base stats'!BX:BX),0.1),0.05)
))</f>
        <v>No</v>
      </c>
      <c r="H333" s="11" t="str">
        <f>IF(G333="No","No",
MROUND(_xlfn.XLOOKUP(B333,'Base stats'!B:B,'Base stats'!BH:BH) * 0.01 * 2 + 0.05, 0.05)
)</f>
        <v>No</v>
      </c>
      <c r="I333" s="11" t="str">
        <f>IF(G333="No","No",IF(_xlfn.XLOOKUP(B333,'Base stats'!B:B,'Base stats'!U:U)="No","No",
MROUND(_xlfn.XLOOKUP(B333,'Base stats'!B:B,'Base stats'!BT:BT)/10000+0.01,0.01)
))</f>
        <v>No</v>
      </c>
      <c r="J333" s="4" t="str">
        <f>IF(G333="No","No",
MROUND(_xlfn.XLOOKUP(B333,'Base stats'!B:B,'Base stats'!BE:BE)^0.25
/((_xlfn.XLOOKUP(B333,'Base stats'!B:B,'Base stats'!BL:BL))*10)*_xlfn.XLOOKUP(_xlfn.XLOOKUP(B333,'Base stats'!B:B,'Base stats'!E:E),Groups!A:A,Groups!Q:Q)*150 + 0.5 + _xlfn.XLOOKUP(B333,'Base stats'!B:B,'Base stats'!BW:BW),
0.05))</f>
        <v>No</v>
      </c>
      <c r="K333" s="3" t="str">
        <f>IF(Animals!X333="No","No",
IF(_xlfn.XLOOKUP(_xlfn.XLOOKUP(B333,'Base stats'!B:B,'Base stats'!E:E),Groups!A:A,Groups!BD:BD)=1,
MAX(MROUND(_xlfn.XLOOKUP(B333,'Base stats'!B:B,'Base stats'!BU:BU) * _xlfn.XLOOKUP(B333,'Base stats'!B:B,'Base stats'!BQ:BQ)^0.9 / 21 *_xlfn.XLOOKUP(B333,'Base stats'!B:B,'Base stats'!BX:BX),0.1),0.05),
MAX(MROUND(((MIN(10,_xlfn.XLOOKUP(B333,'Base stats'!B:B,'Base stats'!W:W)))^0.4*_xlfn.XLOOKUP(B333,'Base stats'!B:B,'Base stats'!BI:BI)^0.73)^0.6 *_xlfn.XLOOKUP(B333,'Base stats'!B:B,'Base stats'!BX:BX),0.1),0.05)
))</f>
        <v>No</v>
      </c>
      <c r="L333" s="11" t="str">
        <f>IF(K333="No","No",
MROUND(_xlfn.XLOOKUP(B333,'Base stats'!B:B,'Base stats'!BI:BI) * 0.01 *2 + 0.05, 0.05)
)</f>
        <v>No</v>
      </c>
      <c r="M333" s="5" t="str">
        <f>IF(K333="No","No",IF(_xlfn.XLOOKUP(_xlfn.XLOOKUP(B333,'Base stats'!B:B,'Base stats'!E:E),Groups!A:A,Groups!BD:BD)=1,"No",
MROUND(_xlfn.XLOOKUP(B333,'Base stats'!B:B,'Base stats'!BU:BU)/10000+0.01,0.01)
))</f>
        <v>No</v>
      </c>
      <c r="N333" s="4" t="str">
        <f>IF(K333="No","No",
MROUND(
  _xlfn.XLOOKUP(B333,'Base stats'!B:B,'Base stats'!BC:BC)^0.25
  / (_xlfn.XLOOKUP(B333,'Base stats'!B:B,'Base stats'!BM:BM) * 10)
  * _xlfn.XLOOKUP(
      _xlfn.XLOOKUP(B333,'Base stats'!B:B,'Base stats'!E:E),
      Groups!A:A,
      Groups!V:V
    ) * 150
  + MIN(12, _xlfn.XLOOKUP(B333,'Base stats'!B:B,'Base stats'!W:W))^(1/IF(_xlfn.XLOOKUP(_xlfn.XLOOKUP(B333,'Base stats'!B:B,'Base stats'!E:E),Groups!A:A,Groups!U:U)=1,100,10)) + 0.5 + _xlfn.XLOOKUP(B333,'Base stats'!B:B,'Base stats'!BW:BW),
0.05))</f>
        <v>No</v>
      </c>
      <c r="O333" s="3" t="str">
        <f>IF(Animals!AD333="No","No",
MAX(MROUND((MIN(10,_xlfn.XLOOKUP(B333,'Base stats'!B:B,'Base stats'!V:V)*IF(_xlfn.XLOOKUP(_xlfn.XLOOKUP(B333,'Base stats'!B:B,'Base stats'!E:E),Groups!A:A,Groups!O:O)=0,1,0.33))^0.4*_xlfn.XLOOKUP(B333,'Base stats'!B:B,'Base stats'!BJ:BJ)^0.73)^0.6 *_xlfn.XLOOKUP(B333,'Base stats'!B:B,'Base stats'!BX:BX),0.1),0.05)
)</f>
        <v>No</v>
      </c>
      <c r="P333" s="11" t="str">
        <f>IF(O333="No","No",
MROUND(_xlfn.XLOOKUP(B333,'Base stats'!B:B,'Base stats'!BJ:BJ) * 0.01 * 2 + 0.05, 0.05)
)</f>
        <v>No</v>
      </c>
      <c r="Q333" s="5" t="str">
        <f>IF(O333="No","No",
MROUND(_xlfn.XLOOKUP(B333,'Base stats'!B:B,'Base stats'!BV:BV)/10000+0.01,0.01)
)</f>
        <v>No</v>
      </c>
      <c r="R333" s="4" t="str">
        <f>IF(O333="No","No",
MROUND(_xlfn.XLOOKUP(B333,'Base stats'!B:B,'Base stats'!BB:BB)^0.25
/((_xlfn.XLOOKUP(B333,'Base stats'!B:B,'Base stats'!BN:BN))*10)*_xlfn.XLOOKUP(_xlfn.XLOOKUP(B333,'Base stats'!B:B,'Base stats'!E:E),Groups!A:A,Groups!Z:Z)*150 + 0.5 + _xlfn.XLOOKUP(B333,'Base stats'!B:B,'Base stats'!BW:BW),
0.05))</f>
        <v>No</v>
      </c>
      <c r="S333" s="3">
        <f>IF(Animals!AI333="No","No",
IF(_xlfn.XLOOKUP(B333,'Base stats'!B:B,'Base stats'!U:U)="No",
MAX(MROUND(_xlfn.XLOOKUP(B333,'Base stats'!B:B,'Base stats'!BT:BT) * _xlfn.XLOOKUP(B333,'Base stats'!B:B,'Base stats'!BP:BP)^0.9 / 21 * _xlfn.XLOOKUP(B333,'Base stats'!B:B,'Base stats'!BX:BX),0.1),0.05),
MAX(MROUND(((MIN(12,_xlfn.XLOOKUP(B333,'Base stats'!B:B,'Base stats'!U:U)))^0.4*_xlfn.XLOOKUP(B333,'Base stats'!B:B,'Base stats'!BH:BH)^0.73)^0.6 * _xlfn.XLOOKUP(B333,'Base stats'!B:B,'Base stats'!BX:BX),0.1),0.05)
))</f>
        <v>94.4</v>
      </c>
      <c r="T333" s="11">
        <f>IF(S333="No","No",
MROUND(_xlfn.XLOOKUP(B333,'Base stats'!B:B,'Base stats'!BH:BH) * 0.01 * 2 + 0.05, 0.05)
)</f>
        <v>182.95000000000002</v>
      </c>
      <c r="U333" s="5">
        <f>IF(S333="No","No",IF(_xlfn.XLOOKUP(B333,'Base stats'!B:B,'Base stats'!U:U)="No","No",
MROUND(_xlfn.XLOOKUP(B333,'Base stats'!B:B,'Base stats'!BT:BT)/10000+0.01,0.01)
))</f>
        <v>9.3000000000000007</v>
      </c>
      <c r="V333" s="4">
        <f>IF(S333="No","No",
MROUND(_xlfn.XLOOKUP(B333,'Base stats'!B:B,'Base stats'!BF:BF)^0.25
/((_xlfn.XLOOKUP(B333,'Base stats'!B:B,'Base stats'!BO:BO))*10)*_xlfn.XLOOKUP(_xlfn.XLOOKUP(B333,'Base stats'!B:B,'Base stats'!E:E),Groups!A:A,Groups!AE:AE)*150 + 0.5 + _xlfn.XLOOKUP(B333,'Base stats'!B:B,'Base stats'!BW:BW),
0.05))</f>
        <v>6.8000000000000007</v>
      </c>
      <c r="W333" s="8">
        <f>MROUND(_xlfn.XLOOKUP(_xlfn.XLOOKUP(B333,'Base stats'!B:B,'Base stats'!E:E),Groups!A:A,Groups!BG:BG)*_xlfn.XLOOKUP(B333,'Base stats'!B:B,'Base stats'!C:C)^-0.165,0.05)</f>
        <v>0.05</v>
      </c>
      <c r="X333" s="1">
        <f>MROUND(_xlfn.XLOOKUP(_xlfn.XLOOKUP(B333,'Base stats'!B:B,'Base stats'!E:E),Groups!A:A,Groups!BH:BH)*_xlfn.XLOOKUP(B333,'Base stats'!B:B,'Base stats'!C:C)^0.165,0.05)</f>
        <v>0</v>
      </c>
      <c r="Y333" s="8">
        <f>MROUND(_xlfn.XLOOKUP(_xlfn.XLOOKUP(B333,'Base stats'!B:B,'Base stats'!E:E),Groups!A:A,Groups!BI:BI)*_xlfn.XLOOKUP(B333,'Base stats'!B:B,'Base stats'!C:C)^0.165,0.05)</f>
        <v>0</v>
      </c>
      <c r="Z333" s="18">
        <f>MROUND(_xlfn.XLOOKUP(B333,'Base stats'!B:B,'Base stats'!AQ:AQ)*_xlfn.XLOOKUP(_xlfn.XLOOKUP(B333,'Base stats'!B:B,'Base stats'!E:E),Groups!A:A,Groups!H:H)/1000,IF((_xlfn.XLOOKUP(B333,'Base stats'!B:B,'Base stats'!AQ:AQ)*_xlfn.XLOOKUP(_xlfn.XLOOKUP(B333,'Base stats'!B:B,'Base stats'!E:E),Groups!A:A,Groups!H:H)/1000)&gt;1,0.05,0.01))</f>
        <v>10.5</v>
      </c>
      <c r="AA333" s="18">
        <f>MROUND((1/2)*(_xlfn.XLOOKUP(_xlfn.XLOOKUP(B333,'Base stats'!B:B,'Base stats'!E:E),Groups!A:A,Groups!H:H)*_xlfn.XLOOKUP(_xlfn.XLOOKUP(B333,'Base stats'!B:B,'Base stats'!E:E),Groups!A:A,Groups!I:I))*_xlfn.XLOOKUP(B333,'Base stats'!B:B,'Base stats'!AQ:AQ)*0.01,0.05)</f>
        <v>0.25</v>
      </c>
      <c r="AB333" s="18">
        <f>MROUND(250*(Animals!AO333+Animals!AP333),25)</f>
        <v>5000</v>
      </c>
      <c r="AC333" s="18" t="str">
        <f>_xlfn.XLOOKUP(_xlfn.XLOOKUP(B333,'Base stats'!B:B,'Base stats'!E:E),Groups!A:A,Groups!BJ:BJ)</f>
        <v>Quadruped</v>
      </c>
    </row>
    <row r="334" spans="1:29" ht="16.5" thickTop="1" thickBot="1" x14ac:dyDescent="0.3">
      <c r="A334" s="16" t="str">
        <f>Animals!A334</f>
        <v>Swarmling</v>
      </c>
      <c r="B334" s="6" t="str">
        <f>Animals!B334</f>
        <v>Vermis collectivus</v>
      </c>
      <c r="C334" s="1" t="str">
        <f>Animals!C334</f>
        <v>&lt;li&gt;AA_Swarmling&lt;/li&gt;</v>
      </c>
      <c r="D334" s="47">
        <f>MIN(MIN(6,_xlfn.XLOOKUP(A334,Animals!A:A,Animals!AO:AO))*20,MAX(MROUND(_xlfn.XLOOKUP(B334,'Base stats'!B:B,'Base stats'!BS:BS) * (_xlfn.XLOOKUP(B334,'Base stats'!B:B,'Base stats'!AO:AO)*5%)^0.9 / 21,0.1),0.05))</f>
        <v>0.1</v>
      </c>
      <c r="E334" s="11">
        <f>MROUND(_xlfn.XLOOKUP(B334,'Base stats'!B:B,'Base stats'!BG:BG) * 0.01 * 2 + 0.01, 0.05)</f>
        <v>0.1</v>
      </c>
      <c r="F334" s="7">
        <f>MROUND(_xlfn.XLOOKUP(B334,'Base stats'!B:B,'Base stats'!BD:BD)^0.25 / (_xlfn.XLOOKUP(B334,'Base stats'!B:B,'Base stats'!BK:BK) * 10) * 150 + 0.5 + _xlfn.XLOOKUP(B334,'Base stats'!B:B,'Base stats'!BW:BW), 0.05)</f>
        <v>1.8</v>
      </c>
      <c r="G334" s="3" t="str">
        <f>IF(Animals!S334="No","No",
IF(_xlfn.XLOOKUP(B334,'Base stats'!B:B,'Base stats'!U:U)="No",
MAX(MROUND(_xlfn.XLOOKUP(B334,'Base stats'!B:B,'Base stats'!BT:BT) * _xlfn.XLOOKUP(B334,'Base stats'!B:B,'Base stats'!BP:BP)^0.9 / 21 * _xlfn.XLOOKUP(B334,'Base stats'!B:B,'Base stats'!BX:BX),0.1),0.05),
MAX(MROUND(((MIN(10,_xlfn.XLOOKUP(B334,'Base stats'!B:B,'Base stats'!U:U)))^0.4*_xlfn.XLOOKUP(B334,'Base stats'!B:B,'Base stats'!BH:BH)^0.73)^0.6 * _xlfn.XLOOKUP(B334,'Base stats'!B:B,'Base stats'!BX:BX),0.1),0.05)
))</f>
        <v>No</v>
      </c>
      <c r="H334" s="11" t="str">
        <f>IF(G334="No","No",
MROUND(_xlfn.XLOOKUP(B334,'Base stats'!B:B,'Base stats'!BH:BH) * 0.01 * 2 + 0.05, 0.05)
)</f>
        <v>No</v>
      </c>
      <c r="I334" s="11" t="str">
        <f>IF(G334="No","No",IF(_xlfn.XLOOKUP(B334,'Base stats'!B:B,'Base stats'!U:U)="No","No",
MROUND(_xlfn.XLOOKUP(B334,'Base stats'!B:B,'Base stats'!BT:BT)/10000+0.01,0.01)
))</f>
        <v>No</v>
      </c>
      <c r="J334" s="4" t="str">
        <f>IF(G334="No","No",
MROUND(_xlfn.XLOOKUP(B334,'Base stats'!B:B,'Base stats'!BE:BE)^0.25
/((_xlfn.XLOOKUP(B334,'Base stats'!B:B,'Base stats'!BL:BL))*10)*_xlfn.XLOOKUP(_xlfn.XLOOKUP(B334,'Base stats'!B:B,'Base stats'!E:E),Groups!A:A,Groups!Q:Q)*150 + 0.5 + _xlfn.XLOOKUP(B334,'Base stats'!B:B,'Base stats'!BW:BW),
0.05))</f>
        <v>No</v>
      </c>
      <c r="K334" s="3" t="str">
        <f>IF(Animals!X334="No","No",
IF(_xlfn.XLOOKUP(_xlfn.XLOOKUP(B334,'Base stats'!B:B,'Base stats'!E:E),Groups!A:A,Groups!BD:BD)=1,
MAX(MROUND(_xlfn.XLOOKUP(B334,'Base stats'!B:B,'Base stats'!BU:BU) * _xlfn.XLOOKUP(B334,'Base stats'!B:B,'Base stats'!BQ:BQ)^0.9 / 21 *_xlfn.XLOOKUP(B334,'Base stats'!B:B,'Base stats'!BX:BX),0.1),0.05),
MAX(MROUND(((MIN(10,_xlfn.XLOOKUP(B334,'Base stats'!B:B,'Base stats'!W:W)))^0.4*_xlfn.XLOOKUP(B334,'Base stats'!B:B,'Base stats'!BI:BI)^0.73)^0.6 *_xlfn.XLOOKUP(B334,'Base stats'!B:B,'Base stats'!BX:BX),0.1),0.05)
))</f>
        <v>No</v>
      </c>
      <c r="L334" s="11" t="str">
        <f>IF(K334="No","No",
MROUND(_xlfn.XLOOKUP(B334,'Base stats'!B:B,'Base stats'!BI:BI) * 0.01 *2 + 0.05, 0.05)
)</f>
        <v>No</v>
      </c>
      <c r="M334" s="5" t="str">
        <f>IF(K334="No","No",IF(_xlfn.XLOOKUP(_xlfn.XLOOKUP(B334,'Base stats'!B:B,'Base stats'!E:E),Groups!A:A,Groups!BD:BD)=1,"No",
MROUND(_xlfn.XLOOKUP(B334,'Base stats'!B:B,'Base stats'!BU:BU)/10000+0.01,0.01)
))</f>
        <v>No</v>
      </c>
      <c r="N334" s="4" t="str">
        <f>IF(K334="No","No",
MROUND(
  _xlfn.XLOOKUP(B334,'Base stats'!B:B,'Base stats'!BC:BC)^0.25
  / (_xlfn.XLOOKUP(B334,'Base stats'!B:B,'Base stats'!BM:BM) * 10)
  * _xlfn.XLOOKUP(
      _xlfn.XLOOKUP(B334,'Base stats'!B:B,'Base stats'!E:E),
      Groups!A:A,
      Groups!V:V
    ) * 150
  + MIN(12, _xlfn.XLOOKUP(B334,'Base stats'!B:B,'Base stats'!W:W))^(1/IF(_xlfn.XLOOKUP(_xlfn.XLOOKUP(B334,'Base stats'!B:B,'Base stats'!E:E),Groups!A:A,Groups!U:U)=1,100,10)) + 0.5 + _xlfn.XLOOKUP(B334,'Base stats'!B:B,'Base stats'!BW:BW),
0.05))</f>
        <v>No</v>
      </c>
      <c r="O334" s="3">
        <f>IF(Animals!AD334="No","No",
MAX(MROUND((MIN(10,_xlfn.XLOOKUP(B334,'Base stats'!B:B,'Base stats'!V:V)*IF(_xlfn.XLOOKUP(_xlfn.XLOOKUP(B334,'Base stats'!B:B,'Base stats'!E:E),Groups!A:A,Groups!O:O)=0,1,0.33))^0.4*_xlfn.XLOOKUP(B334,'Base stats'!B:B,'Base stats'!BJ:BJ)^0.73)^0.6 *_xlfn.XLOOKUP(B334,'Base stats'!B:B,'Base stats'!BX:BX),0.1),0.05)
)</f>
        <v>6.1000000000000005</v>
      </c>
      <c r="P334" s="11">
        <f>IF(O334="No","No",
MROUND(_xlfn.XLOOKUP(B334,'Base stats'!B:B,'Base stats'!BJ:BJ) * 0.01 * 2 + 0.05, 0.05)
)</f>
        <v>0.9</v>
      </c>
      <c r="Q334" s="5">
        <f>IF(O334="No","No",
MROUND(_xlfn.XLOOKUP(B334,'Base stats'!B:B,'Base stats'!BV:BV)/10000+0.01,0.01)
)</f>
        <v>0.16</v>
      </c>
      <c r="R334" s="4">
        <f>IF(O334="No","No",
MROUND(_xlfn.XLOOKUP(B334,'Base stats'!B:B,'Base stats'!BB:BB)^0.25
/((_xlfn.XLOOKUP(B334,'Base stats'!B:B,'Base stats'!BN:BN))*10)*_xlfn.XLOOKUP(_xlfn.XLOOKUP(B334,'Base stats'!B:B,'Base stats'!E:E),Groups!A:A,Groups!Z:Z)*150 + 0.5 + _xlfn.XLOOKUP(B334,'Base stats'!B:B,'Base stats'!BW:BW),
0.05))</f>
        <v>1.4000000000000001</v>
      </c>
      <c r="S334" s="3">
        <f>IF(Animals!AI334="No","No",
IF(_xlfn.XLOOKUP(B334,'Base stats'!B:B,'Base stats'!U:U)="No",
MAX(MROUND(_xlfn.XLOOKUP(B334,'Base stats'!B:B,'Base stats'!BT:BT) * _xlfn.XLOOKUP(B334,'Base stats'!B:B,'Base stats'!BP:BP)^0.9 / 21 * _xlfn.XLOOKUP(B334,'Base stats'!B:B,'Base stats'!BX:BX),0.1),0.05),
MAX(MROUND(((MIN(12,_xlfn.XLOOKUP(B334,'Base stats'!B:B,'Base stats'!U:U)))^0.4*_xlfn.XLOOKUP(B334,'Base stats'!B:B,'Base stats'!BH:BH)^0.73)^0.6 * _xlfn.XLOOKUP(B334,'Base stats'!B:B,'Base stats'!BX:BX),0.1),0.05)
))</f>
        <v>1.8</v>
      </c>
      <c r="T334" s="11">
        <f>IF(S334="No","No",
MROUND(_xlfn.XLOOKUP(B334,'Base stats'!B:B,'Base stats'!BH:BH) * 0.01 * 2 + 0.05, 0.05)
)</f>
        <v>0.70000000000000007</v>
      </c>
      <c r="U334" s="5" t="str">
        <f>IF(S334="No","No",IF(_xlfn.XLOOKUP(B334,'Base stats'!B:B,'Base stats'!U:U)="No","No",
MROUND(_xlfn.XLOOKUP(B334,'Base stats'!B:B,'Base stats'!BT:BT)/10000+0.01,0.01)
))</f>
        <v>No</v>
      </c>
      <c r="V334" s="4">
        <f>IF(S334="No","No",
MROUND(_xlfn.XLOOKUP(B334,'Base stats'!B:B,'Base stats'!BF:BF)^0.25
/((_xlfn.XLOOKUP(B334,'Base stats'!B:B,'Base stats'!BO:BO))*10)*_xlfn.XLOOKUP(_xlfn.XLOOKUP(B334,'Base stats'!B:B,'Base stats'!E:E),Groups!A:A,Groups!AE:AE)*150 + 0.5 + _xlfn.XLOOKUP(B334,'Base stats'!B:B,'Base stats'!BW:BW),
0.05))</f>
        <v>1.9500000000000002</v>
      </c>
      <c r="W334" s="8">
        <f>MROUND(_xlfn.XLOOKUP(_xlfn.XLOOKUP(B334,'Base stats'!B:B,'Base stats'!E:E),Groups!A:A,Groups!BG:BG)*_xlfn.XLOOKUP(B334,'Base stats'!B:B,'Base stats'!C:C)^-0.165,0.05)</f>
        <v>0.2</v>
      </c>
      <c r="X334" s="1">
        <f>MROUND(_xlfn.XLOOKUP(_xlfn.XLOOKUP(B334,'Base stats'!B:B,'Base stats'!E:E),Groups!A:A,Groups!BH:BH)*_xlfn.XLOOKUP(B334,'Base stats'!B:B,'Base stats'!C:C)^0.165,0.05)</f>
        <v>0.15000000000000002</v>
      </c>
      <c r="Y334" s="8">
        <f>MROUND(_xlfn.XLOOKUP(_xlfn.XLOOKUP(B334,'Base stats'!B:B,'Base stats'!E:E),Groups!A:A,Groups!BI:BI)*_xlfn.XLOOKUP(B334,'Base stats'!B:B,'Base stats'!C:C)^0.165,0.05)</f>
        <v>0.05</v>
      </c>
      <c r="Z334" s="18">
        <f>MROUND(_xlfn.XLOOKUP(B334,'Base stats'!B:B,'Base stats'!AQ:AQ)*_xlfn.XLOOKUP(_xlfn.XLOOKUP(B334,'Base stats'!B:B,'Base stats'!E:E),Groups!A:A,Groups!H:H)/1000,IF((_xlfn.XLOOKUP(B334,'Base stats'!B:B,'Base stats'!AQ:AQ)*_xlfn.XLOOKUP(_xlfn.XLOOKUP(B334,'Base stats'!B:B,'Base stats'!E:E),Groups!A:A,Groups!H:H)/1000)&gt;1,0.05,0.01))</f>
        <v>0.39</v>
      </c>
      <c r="AA334" s="18">
        <f>MROUND((1/2)*(_xlfn.XLOOKUP(_xlfn.XLOOKUP(B334,'Base stats'!B:B,'Base stats'!E:E),Groups!A:A,Groups!H:H)*_xlfn.XLOOKUP(_xlfn.XLOOKUP(B334,'Base stats'!B:B,'Base stats'!E:E),Groups!A:A,Groups!I:I))*_xlfn.XLOOKUP(B334,'Base stats'!B:B,'Base stats'!AQ:AQ)*0.01,0.05)</f>
        <v>0.05</v>
      </c>
      <c r="AB334" s="18">
        <f>MROUND(250*(Animals!AO334+Animals!AP334),25)</f>
        <v>150</v>
      </c>
      <c r="AC334" s="18" t="str">
        <f>_xlfn.XLOOKUP(_xlfn.XLOOKUP(B334,'Base stats'!B:B,'Base stats'!E:E),Groups!A:A,Groups!BJ:BJ)</f>
        <v>QuadrupedLow</v>
      </c>
    </row>
    <row r="335" spans="1:29" ht="16.5" thickTop="1" thickBot="1" x14ac:dyDescent="0.3">
      <c r="A335" s="16" t="str">
        <f>Animals!A335</f>
        <v>TarGuzzler</v>
      </c>
      <c r="B335" s="6" t="str">
        <f>Animals!B335</f>
        <v>Petrovorax asphaltus</v>
      </c>
      <c r="C335" s="1" t="str">
        <f>Animals!C335</f>
        <v>&lt;li&gt;AA_TarGuzzler&lt;/li&gt;</v>
      </c>
      <c r="D335" s="47">
        <f>MIN(MIN(6,_xlfn.XLOOKUP(A335,Animals!A:A,Animals!AO:AO))*20,MAX(MROUND(_xlfn.XLOOKUP(B335,'Base stats'!B:B,'Base stats'!BS:BS) * (_xlfn.XLOOKUP(B335,'Base stats'!B:B,'Base stats'!AO:AO)*5%)^0.9 / 21,0.1),0.05))</f>
        <v>5.5</v>
      </c>
      <c r="E335" s="11">
        <f>MROUND(_xlfn.XLOOKUP(B335,'Base stats'!B:B,'Base stats'!BG:BG) * 0.01 * 2 + 0.01, 0.05)</f>
        <v>4.8500000000000005</v>
      </c>
      <c r="F335" s="7">
        <f>MROUND(_xlfn.XLOOKUP(B335,'Base stats'!B:B,'Base stats'!BD:BD)^0.25 / (_xlfn.XLOOKUP(B335,'Base stats'!B:B,'Base stats'!BK:BK) * 10) * 150 + 0.5 + _xlfn.XLOOKUP(B335,'Base stats'!B:B,'Base stats'!BW:BW), 0.05)</f>
        <v>2.15</v>
      </c>
      <c r="G335" s="3" t="str">
        <f>IF(Animals!S335="No","No",
IF(_xlfn.XLOOKUP(B335,'Base stats'!B:B,'Base stats'!U:U)="No",
MAX(MROUND(_xlfn.XLOOKUP(B335,'Base stats'!B:B,'Base stats'!BT:BT) * _xlfn.XLOOKUP(B335,'Base stats'!B:B,'Base stats'!BP:BP)^0.9 / 21 * _xlfn.XLOOKUP(B335,'Base stats'!B:B,'Base stats'!BX:BX),0.1),0.05),
MAX(MROUND(((MIN(10,_xlfn.XLOOKUP(B335,'Base stats'!B:B,'Base stats'!U:U)))^0.4*_xlfn.XLOOKUP(B335,'Base stats'!B:B,'Base stats'!BH:BH)^0.73)^0.6 * _xlfn.XLOOKUP(B335,'Base stats'!B:B,'Base stats'!BX:BX),0.1),0.05)
))</f>
        <v>No</v>
      </c>
      <c r="H335" s="11" t="str">
        <f>IF(G335="No","No",
MROUND(_xlfn.XLOOKUP(B335,'Base stats'!B:B,'Base stats'!BH:BH) * 0.01 * 2 + 0.05, 0.05)
)</f>
        <v>No</v>
      </c>
      <c r="I335" s="11" t="str">
        <f>IF(G335="No","No",IF(_xlfn.XLOOKUP(B335,'Base stats'!B:B,'Base stats'!U:U)="No","No",
MROUND(_xlfn.XLOOKUP(B335,'Base stats'!B:B,'Base stats'!BT:BT)/10000+0.01,0.01)
))</f>
        <v>No</v>
      </c>
      <c r="J335" s="4" t="str">
        <f>IF(G335="No","No",
MROUND(_xlfn.XLOOKUP(B335,'Base stats'!B:B,'Base stats'!BE:BE)^0.25
/((_xlfn.XLOOKUP(B335,'Base stats'!B:B,'Base stats'!BL:BL))*10)*_xlfn.XLOOKUP(_xlfn.XLOOKUP(B335,'Base stats'!B:B,'Base stats'!E:E),Groups!A:A,Groups!Q:Q)*150 + 0.5 + _xlfn.XLOOKUP(B335,'Base stats'!B:B,'Base stats'!BW:BW),
0.05))</f>
        <v>No</v>
      </c>
      <c r="K335" s="3" t="str">
        <f>IF(Animals!X335="No","No",
IF(_xlfn.XLOOKUP(_xlfn.XLOOKUP(B335,'Base stats'!B:B,'Base stats'!E:E),Groups!A:A,Groups!BD:BD)=1,
MAX(MROUND(_xlfn.XLOOKUP(B335,'Base stats'!B:B,'Base stats'!BU:BU) * _xlfn.XLOOKUP(B335,'Base stats'!B:B,'Base stats'!BQ:BQ)^0.9 / 21 *_xlfn.XLOOKUP(B335,'Base stats'!B:B,'Base stats'!BX:BX),0.1),0.05),
MAX(MROUND(((MIN(10,_xlfn.XLOOKUP(B335,'Base stats'!B:B,'Base stats'!W:W)))^0.4*_xlfn.XLOOKUP(B335,'Base stats'!B:B,'Base stats'!BI:BI)^0.73)^0.6 *_xlfn.XLOOKUP(B335,'Base stats'!B:B,'Base stats'!BX:BX),0.1),0.05)
))</f>
        <v>No</v>
      </c>
      <c r="L335" s="11" t="str">
        <f>IF(K335="No","No",
MROUND(_xlfn.XLOOKUP(B335,'Base stats'!B:B,'Base stats'!BI:BI) * 0.01 *2 + 0.05, 0.05)
)</f>
        <v>No</v>
      </c>
      <c r="M335" s="5" t="str">
        <f>IF(K335="No","No",IF(_xlfn.XLOOKUP(_xlfn.XLOOKUP(B335,'Base stats'!B:B,'Base stats'!E:E),Groups!A:A,Groups!BD:BD)=1,"No",
MROUND(_xlfn.XLOOKUP(B335,'Base stats'!B:B,'Base stats'!BU:BU)/10000+0.01,0.01)
))</f>
        <v>No</v>
      </c>
      <c r="N335" s="4" t="str">
        <f>IF(K335="No","No",
MROUND(
  _xlfn.XLOOKUP(B335,'Base stats'!B:B,'Base stats'!BC:BC)^0.25
  / (_xlfn.XLOOKUP(B335,'Base stats'!B:B,'Base stats'!BM:BM) * 10)
  * _xlfn.XLOOKUP(
      _xlfn.XLOOKUP(B335,'Base stats'!B:B,'Base stats'!E:E),
      Groups!A:A,
      Groups!V:V
    ) * 150
  + MIN(12, _xlfn.XLOOKUP(B335,'Base stats'!B:B,'Base stats'!W:W))^(1/IF(_xlfn.XLOOKUP(_xlfn.XLOOKUP(B335,'Base stats'!B:B,'Base stats'!E:E),Groups!A:A,Groups!U:U)=1,100,10)) + 0.5 + _xlfn.XLOOKUP(B335,'Base stats'!B:B,'Base stats'!BW:BW),
0.05))</f>
        <v>No</v>
      </c>
      <c r="O335" s="3">
        <f>IF(Animals!AD335="No","No",
MAX(MROUND((MIN(10,_xlfn.XLOOKUP(B335,'Base stats'!B:B,'Base stats'!V:V)*IF(_xlfn.XLOOKUP(_xlfn.XLOOKUP(B335,'Base stats'!B:B,'Base stats'!E:E),Groups!A:A,Groups!O:O)=0,1,0.33))^0.4*_xlfn.XLOOKUP(B335,'Base stats'!B:B,'Base stats'!BJ:BJ)^0.73)^0.6 *_xlfn.XLOOKUP(B335,'Base stats'!B:B,'Base stats'!BX:BX),0.1),0.05)
)</f>
        <v>12.3</v>
      </c>
      <c r="P335" s="11">
        <f>IF(O335="No","No",
MROUND(_xlfn.XLOOKUP(B335,'Base stats'!B:B,'Base stats'!BJ:BJ) * 0.01 * 2 + 0.05, 0.05)
)</f>
        <v>2.95</v>
      </c>
      <c r="Q335" s="5">
        <f>IF(O335="No","No",
MROUND(_xlfn.XLOOKUP(B335,'Base stats'!B:B,'Base stats'!BV:BV)/10000+0.01,0.01)
)</f>
        <v>0.12</v>
      </c>
      <c r="R335" s="4">
        <f>IF(O335="No","No",
MROUND(_xlfn.XLOOKUP(B335,'Base stats'!B:B,'Base stats'!BB:BB)^0.25
/((_xlfn.XLOOKUP(B335,'Base stats'!B:B,'Base stats'!BN:BN))*10)*_xlfn.XLOOKUP(_xlfn.XLOOKUP(B335,'Base stats'!B:B,'Base stats'!E:E),Groups!A:A,Groups!Z:Z)*150 + 0.5 + _xlfn.XLOOKUP(B335,'Base stats'!B:B,'Base stats'!BW:BW),
0.05))</f>
        <v>2.4500000000000002</v>
      </c>
      <c r="S335" s="3">
        <f>IF(Animals!AI335="No","No",
IF(_xlfn.XLOOKUP(B335,'Base stats'!B:B,'Base stats'!U:U)="No",
MAX(MROUND(_xlfn.XLOOKUP(B335,'Base stats'!B:B,'Base stats'!BT:BT) * _xlfn.XLOOKUP(B335,'Base stats'!B:B,'Base stats'!BP:BP)^0.9 / 21 * _xlfn.XLOOKUP(B335,'Base stats'!B:B,'Base stats'!BX:BX),0.1),0.05),
MAX(MROUND(((MIN(12,_xlfn.XLOOKUP(B335,'Base stats'!B:B,'Base stats'!U:U)))^0.4*_xlfn.XLOOKUP(B335,'Base stats'!B:B,'Base stats'!BH:BH)^0.73)^0.6 * _xlfn.XLOOKUP(B335,'Base stats'!B:B,'Base stats'!BX:BX),0.1),0.05)
))</f>
        <v>11.4</v>
      </c>
      <c r="T335" s="11">
        <f>IF(S335="No","No",
MROUND(_xlfn.XLOOKUP(B335,'Base stats'!B:B,'Base stats'!BH:BH) * 0.01 * 2 + 0.05, 0.05)
)</f>
        <v>5.95</v>
      </c>
      <c r="U335" s="5" t="str">
        <f>IF(S335="No","No",IF(_xlfn.XLOOKUP(B335,'Base stats'!B:B,'Base stats'!U:U)="No","No",
MROUND(_xlfn.XLOOKUP(B335,'Base stats'!B:B,'Base stats'!BT:BT)/10000+0.01,0.01)
))</f>
        <v>No</v>
      </c>
      <c r="V335" s="4">
        <f>IF(S335="No","No",
MROUND(_xlfn.XLOOKUP(B335,'Base stats'!B:B,'Base stats'!BF:BF)^0.25
/((_xlfn.XLOOKUP(B335,'Base stats'!B:B,'Base stats'!BO:BO))*10)*_xlfn.XLOOKUP(_xlfn.XLOOKUP(B335,'Base stats'!B:B,'Base stats'!E:E),Groups!A:A,Groups!AE:AE)*150 + 0.5 + _xlfn.XLOOKUP(B335,'Base stats'!B:B,'Base stats'!BW:BW),
0.05))</f>
        <v>1.6500000000000001</v>
      </c>
      <c r="W335" s="8">
        <f>MROUND(_xlfn.XLOOKUP(_xlfn.XLOOKUP(B335,'Base stats'!B:B,'Base stats'!E:E),Groups!A:A,Groups!BG:BG)*_xlfn.XLOOKUP(B335,'Base stats'!B:B,'Base stats'!C:C)^-0.165,0.05)</f>
        <v>0.1</v>
      </c>
      <c r="X335" s="1">
        <f>MROUND(_xlfn.XLOOKUP(_xlfn.XLOOKUP(B335,'Base stats'!B:B,'Base stats'!E:E),Groups!A:A,Groups!BH:BH)*_xlfn.XLOOKUP(B335,'Base stats'!B:B,'Base stats'!C:C)^0.165,0.05)</f>
        <v>0.25</v>
      </c>
      <c r="Y335" s="8">
        <f>MROUND(_xlfn.XLOOKUP(_xlfn.XLOOKUP(B335,'Base stats'!B:B,'Base stats'!E:E),Groups!A:A,Groups!BI:BI)*_xlfn.XLOOKUP(B335,'Base stats'!B:B,'Base stats'!C:C)^0.165,0.05)</f>
        <v>0.05</v>
      </c>
      <c r="Z335" s="18">
        <f>MROUND(_xlfn.XLOOKUP(B335,'Base stats'!B:B,'Base stats'!AQ:AQ)*_xlfn.XLOOKUP(_xlfn.XLOOKUP(B335,'Base stats'!B:B,'Base stats'!E:E),Groups!A:A,Groups!H:H)/1000,IF((_xlfn.XLOOKUP(B335,'Base stats'!B:B,'Base stats'!AQ:AQ)*_xlfn.XLOOKUP(_xlfn.XLOOKUP(B335,'Base stats'!B:B,'Base stats'!E:E),Groups!A:A,Groups!H:H)/1000)&gt;1,0.05,0.01))</f>
        <v>0.08</v>
      </c>
      <c r="AA335" s="18">
        <f>MROUND((1/2)*(_xlfn.XLOOKUP(_xlfn.XLOOKUP(B335,'Base stats'!B:B,'Base stats'!E:E),Groups!A:A,Groups!H:H)*_xlfn.XLOOKUP(_xlfn.XLOOKUP(B335,'Base stats'!B:B,'Base stats'!E:E),Groups!A:A,Groups!I:I))*_xlfn.XLOOKUP(B335,'Base stats'!B:B,'Base stats'!AQ:AQ)*0.01,0.05)</f>
        <v>0.35000000000000003</v>
      </c>
      <c r="AB335" s="18">
        <f>MROUND(250*(Animals!AO335+Animals!AP335),25)</f>
        <v>900</v>
      </c>
      <c r="AC335" s="18" t="str">
        <f>_xlfn.XLOOKUP(_xlfn.XLOOKUP(B335,'Base stats'!B:B,'Base stats'!E:E),Groups!A:A,Groups!BJ:BJ)</f>
        <v>Birdlike</v>
      </c>
    </row>
    <row r="336" spans="1:29" ht="16.5" thickTop="1" thickBot="1" x14ac:dyDescent="0.3">
      <c r="A336" s="16" t="str">
        <f>Animals!A336</f>
        <v>TeratogenicOriginator</v>
      </c>
      <c r="B336" s="6" t="str">
        <f>Animals!B336</f>
        <v>Teratomor primordius</v>
      </c>
      <c r="C336" s="1" t="str">
        <f>Animals!C336</f>
        <v>&lt;li&gt;AA_TeratogenicOriginator&lt;/li&gt;</v>
      </c>
      <c r="D336" s="47">
        <f>MIN(MIN(6,_xlfn.XLOOKUP(A336,Animals!A:A,Animals!AO:AO))*20,MAX(MROUND(_xlfn.XLOOKUP(B336,'Base stats'!B:B,'Base stats'!BS:BS) * (_xlfn.XLOOKUP(B336,'Base stats'!B:B,'Base stats'!AO:AO)*5%)^0.9 / 21,0.1),0.05))</f>
        <v>5.9</v>
      </c>
      <c r="E336" s="11">
        <f>MROUND(_xlfn.XLOOKUP(B336,'Base stats'!B:B,'Base stats'!BG:BG) * 0.01 * 2 + 0.01, 0.05)</f>
        <v>5.6000000000000005</v>
      </c>
      <c r="F336" s="7">
        <f>MROUND(_xlfn.XLOOKUP(B336,'Base stats'!B:B,'Base stats'!BD:BD)^0.25 / (_xlfn.XLOOKUP(B336,'Base stats'!B:B,'Base stats'!BK:BK) * 10) * 150 + 0.5 + _xlfn.XLOOKUP(B336,'Base stats'!B:B,'Base stats'!BW:BW), 0.05)</f>
        <v>2.4500000000000002</v>
      </c>
      <c r="G336" s="3" t="str">
        <f>IF(Animals!S336="No","No",
IF(_xlfn.XLOOKUP(B336,'Base stats'!B:B,'Base stats'!U:U)="No",
MAX(MROUND(_xlfn.XLOOKUP(B336,'Base stats'!B:B,'Base stats'!BT:BT) * _xlfn.XLOOKUP(B336,'Base stats'!B:B,'Base stats'!BP:BP)^0.9 / 21 * _xlfn.XLOOKUP(B336,'Base stats'!B:B,'Base stats'!BX:BX),0.1),0.05),
MAX(MROUND(((MIN(10,_xlfn.XLOOKUP(B336,'Base stats'!B:B,'Base stats'!U:U)))^0.4*_xlfn.XLOOKUP(B336,'Base stats'!B:B,'Base stats'!BH:BH)^0.73)^0.6 * _xlfn.XLOOKUP(B336,'Base stats'!B:B,'Base stats'!BX:BX),0.1),0.05)
))</f>
        <v>No</v>
      </c>
      <c r="H336" s="11" t="str">
        <f>IF(G336="No","No",
MROUND(_xlfn.XLOOKUP(B336,'Base stats'!B:B,'Base stats'!BH:BH) * 0.01 * 2 + 0.05, 0.05)
)</f>
        <v>No</v>
      </c>
      <c r="I336" s="11" t="str">
        <f>IF(G336="No","No",IF(_xlfn.XLOOKUP(B336,'Base stats'!B:B,'Base stats'!U:U)="No","No",
MROUND(_xlfn.XLOOKUP(B336,'Base stats'!B:B,'Base stats'!BT:BT)/10000+0.01,0.01)
))</f>
        <v>No</v>
      </c>
      <c r="J336" s="4" t="str">
        <f>IF(G336="No","No",
MROUND(_xlfn.XLOOKUP(B336,'Base stats'!B:B,'Base stats'!BE:BE)^0.25
/((_xlfn.XLOOKUP(B336,'Base stats'!B:B,'Base stats'!BL:BL))*10)*_xlfn.XLOOKUP(_xlfn.XLOOKUP(B336,'Base stats'!B:B,'Base stats'!E:E),Groups!A:A,Groups!Q:Q)*150 + 0.5 + _xlfn.XLOOKUP(B336,'Base stats'!B:B,'Base stats'!BW:BW),
0.05))</f>
        <v>No</v>
      </c>
      <c r="K336" s="3" t="str">
        <f>IF(Animals!X336="No","No",
IF(_xlfn.XLOOKUP(_xlfn.XLOOKUP(B336,'Base stats'!B:B,'Base stats'!E:E),Groups!A:A,Groups!BD:BD)=1,
MAX(MROUND(_xlfn.XLOOKUP(B336,'Base stats'!B:B,'Base stats'!BU:BU) * _xlfn.XLOOKUP(B336,'Base stats'!B:B,'Base stats'!BQ:BQ)^0.9 / 21 *_xlfn.XLOOKUP(B336,'Base stats'!B:B,'Base stats'!BX:BX),0.1),0.05),
MAX(MROUND(((MIN(10,_xlfn.XLOOKUP(B336,'Base stats'!B:B,'Base stats'!W:W)))^0.4*_xlfn.XLOOKUP(B336,'Base stats'!B:B,'Base stats'!BI:BI)^0.73)^0.6 *_xlfn.XLOOKUP(B336,'Base stats'!B:B,'Base stats'!BX:BX),0.1),0.05)
))</f>
        <v>No</v>
      </c>
      <c r="L336" s="11" t="str">
        <f>IF(K336="No","No",
MROUND(_xlfn.XLOOKUP(B336,'Base stats'!B:B,'Base stats'!BI:BI) * 0.01 *2 + 0.05, 0.05)
)</f>
        <v>No</v>
      </c>
      <c r="M336" s="5" t="str">
        <f>IF(K336="No","No",IF(_xlfn.XLOOKUP(_xlfn.XLOOKUP(B336,'Base stats'!B:B,'Base stats'!E:E),Groups!A:A,Groups!BD:BD)=1,"No",
MROUND(_xlfn.XLOOKUP(B336,'Base stats'!B:B,'Base stats'!BU:BU)/10000+0.01,0.01)
))</f>
        <v>No</v>
      </c>
      <c r="N336" s="4" t="str">
        <f>IF(K336="No","No",
MROUND(
  _xlfn.XLOOKUP(B336,'Base stats'!B:B,'Base stats'!BC:BC)^0.25
  / (_xlfn.XLOOKUP(B336,'Base stats'!B:B,'Base stats'!BM:BM) * 10)
  * _xlfn.XLOOKUP(
      _xlfn.XLOOKUP(B336,'Base stats'!B:B,'Base stats'!E:E),
      Groups!A:A,
      Groups!V:V
    ) * 150
  + MIN(12, _xlfn.XLOOKUP(B336,'Base stats'!B:B,'Base stats'!W:W))^(1/IF(_xlfn.XLOOKUP(_xlfn.XLOOKUP(B336,'Base stats'!B:B,'Base stats'!E:E),Groups!A:A,Groups!U:U)=1,100,10)) + 0.5 + _xlfn.XLOOKUP(B336,'Base stats'!B:B,'Base stats'!BW:BW),
0.05))</f>
        <v>No</v>
      </c>
      <c r="O336" s="3" t="str">
        <f>IF(Animals!AD336="No","No",
MAX(MROUND((MIN(10,_xlfn.XLOOKUP(B336,'Base stats'!B:B,'Base stats'!V:V)*IF(_xlfn.XLOOKUP(_xlfn.XLOOKUP(B336,'Base stats'!B:B,'Base stats'!E:E),Groups!A:A,Groups!O:O)=0,1,0.33))^0.4*_xlfn.XLOOKUP(B336,'Base stats'!B:B,'Base stats'!BJ:BJ)^0.73)^0.6 *_xlfn.XLOOKUP(B336,'Base stats'!B:B,'Base stats'!BX:BX),0.1),0.05)
)</f>
        <v>No</v>
      </c>
      <c r="P336" s="11" t="str">
        <f>IF(O336="No","No",
MROUND(_xlfn.XLOOKUP(B336,'Base stats'!B:B,'Base stats'!BJ:BJ) * 0.01 * 2 + 0.05, 0.05)
)</f>
        <v>No</v>
      </c>
      <c r="Q336" s="5" t="str">
        <f>IF(O336="No","No",
MROUND(_xlfn.XLOOKUP(B336,'Base stats'!B:B,'Base stats'!BV:BV)/10000+0.01,0.01)
)</f>
        <v>No</v>
      </c>
      <c r="R336" s="4" t="str">
        <f>IF(O336="No","No",
MROUND(_xlfn.XLOOKUP(B336,'Base stats'!B:B,'Base stats'!BB:BB)^0.25
/((_xlfn.XLOOKUP(B336,'Base stats'!B:B,'Base stats'!BN:BN))*10)*_xlfn.XLOOKUP(_xlfn.XLOOKUP(B336,'Base stats'!B:B,'Base stats'!E:E),Groups!A:A,Groups!Z:Z)*150 + 0.5 + _xlfn.XLOOKUP(B336,'Base stats'!B:B,'Base stats'!BW:BW),
0.05))</f>
        <v>No</v>
      </c>
      <c r="S336" s="3">
        <f>IF(Animals!AI336="No","No",
IF(_xlfn.XLOOKUP(B336,'Base stats'!B:B,'Base stats'!U:U)="No",
MAX(MROUND(_xlfn.XLOOKUP(B336,'Base stats'!B:B,'Base stats'!BT:BT) * _xlfn.XLOOKUP(B336,'Base stats'!B:B,'Base stats'!BP:BP)^0.9 / 21 * _xlfn.XLOOKUP(B336,'Base stats'!B:B,'Base stats'!BX:BX),0.1),0.05),
MAX(MROUND(((MIN(12,_xlfn.XLOOKUP(B336,'Base stats'!B:B,'Base stats'!U:U)))^0.4*_xlfn.XLOOKUP(B336,'Base stats'!B:B,'Base stats'!BH:BH)^0.73)^0.6 * _xlfn.XLOOKUP(B336,'Base stats'!B:B,'Base stats'!BX:BX),0.1),0.05)
))</f>
        <v>9.9</v>
      </c>
      <c r="T336" s="11">
        <f>IF(S336="No","No",
MROUND(_xlfn.XLOOKUP(B336,'Base stats'!B:B,'Base stats'!BH:BH) * 0.01 * 2 + 0.05, 0.05)
)</f>
        <v>5.6000000000000005</v>
      </c>
      <c r="U336" s="5" t="str">
        <f>IF(S336="No","No",IF(_xlfn.XLOOKUP(B336,'Base stats'!B:B,'Base stats'!U:U)="No","No",
MROUND(_xlfn.XLOOKUP(B336,'Base stats'!B:B,'Base stats'!BT:BT)/10000+0.01,0.01)
))</f>
        <v>No</v>
      </c>
      <c r="V336" s="4">
        <f>IF(S336="No","No",
MROUND(_xlfn.XLOOKUP(B336,'Base stats'!B:B,'Base stats'!BF:BF)^0.25
/((_xlfn.XLOOKUP(B336,'Base stats'!B:B,'Base stats'!BO:BO))*10)*_xlfn.XLOOKUP(_xlfn.XLOOKUP(B336,'Base stats'!B:B,'Base stats'!E:E),Groups!A:A,Groups!AE:AE)*150 + 0.5 + _xlfn.XLOOKUP(B336,'Base stats'!B:B,'Base stats'!BW:BW),
0.05))</f>
        <v>2.5</v>
      </c>
      <c r="W336" s="8">
        <f>MROUND(_xlfn.XLOOKUP(_xlfn.XLOOKUP(B336,'Base stats'!B:B,'Base stats'!E:E),Groups!A:A,Groups!BG:BG)*_xlfn.XLOOKUP(B336,'Base stats'!B:B,'Base stats'!C:C)^-0.165,0.05)</f>
        <v>0</v>
      </c>
      <c r="X336" s="1">
        <f>MROUND(_xlfn.XLOOKUP(_xlfn.XLOOKUP(B336,'Base stats'!B:B,'Base stats'!E:E),Groups!A:A,Groups!BH:BH)*_xlfn.XLOOKUP(B336,'Base stats'!B:B,'Base stats'!C:C)^0.165,0.05)</f>
        <v>0</v>
      </c>
      <c r="Y336" s="8">
        <f>MROUND(_xlfn.XLOOKUP(_xlfn.XLOOKUP(B336,'Base stats'!B:B,'Base stats'!E:E),Groups!A:A,Groups!BI:BI)*_xlfn.XLOOKUP(B336,'Base stats'!B:B,'Base stats'!C:C)^0.165,0.05)</f>
        <v>0</v>
      </c>
      <c r="Z336" s="18">
        <f>MROUND(_xlfn.XLOOKUP(B336,'Base stats'!B:B,'Base stats'!AQ:AQ)*_xlfn.XLOOKUP(_xlfn.XLOOKUP(B336,'Base stats'!B:B,'Base stats'!E:E),Groups!A:A,Groups!H:H)/1000,IF((_xlfn.XLOOKUP(B336,'Base stats'!B:B,'Base stats'!AQ:AQ)*_xlfn.XLOOKUP(_xlfn.XLOOKUP(B336,'Base stats'!B:B,'Base stats'!E:E),Groups!A:A,Groups!H:H)/1000)&gt;1,0.05,0.01))</f>
        <v>0.01</v>
      </c>
      <c r="AA336" s="18">
        <f>MROUND((1/2)*(_xlfn.XLOOKUP(_xlfn.XLOOKUP(B336,'Base stats'!B:B,'Base stats'!E:E),Groups!A:A,Groups!H:H)*_xlfn.XLOOKUP(_xlfn.XLOOKUP(B336,'Base stats'!B:B,'Base stats'!E:E),Groups!A:A,Groups!I:I))*_xlfn.XLOOKUP(B336,'Base stats'!B:B,'Base stats'!AQ:AQ)*0.01,0.05)</f>
        <v>0.05</v>
      </c>
      <c r="AB336" s="18">
        <f>MROUND(250*(Animals!AO336+Animals!AP336),25)</f>
        <v>1375</v>
      </c>
      <c r="AC336" s="18" t="str">
        <f>_xlfn.XLOOKUP(_xlfn.XLOOKUP(B336,'Base stats'!B:B,'Base stats'!E:E),Groups!A:A,Groups!BJ:BJ)</f>
        <v>QuadrupedLow</v>
      </c>
    </row>
    <row r="337" spans="1:29" ht="16.5" thickTop="1" thickBot="1" x14ac:dyDescent="0.3">
      <c r="A337" s="16" t="str">
        <f>Animals!A337</f>
        <v>Terramorph</v>
      </c>
      <c r="B337" s="6" t="str">
        <f>Animals!B337</f>
        <v>Terramorpha mutabilis</v>
      </c>
      <c r="C337" s="1" t="str">
        <f>Animals!C337</f>
        <v>&lt;li&gt;AA_Terramorph&lt;/li&gt;</v>
      </c>
      <c r="D337" s="47">
        <f>MIN(MIN(6,_xlfn.XLOOKUP(A337,Animals!A:A,Animals!AO:AO))*20,MAX(MROUND(_xlfn.XLOOKUP(B337,'Base stats'!B:B,'Base stats'!BS:BS) * (_xlfn.XLOOKUP(B337,'Base stats'!B:B,'Base stats'!AO:AO)*5%)^0.9 / 21,0.1),0.05))</f>
        <v>0.70000000000000007</v>
      </c>
      <c r="E337" s="11">
        <f>MROUND(_xlfn.XLOOKUP(B337,'Base stats'!B:B,'Base stats'!BG:BG) * 0.01 * 2 + 0.01, 0.05)</f>
        <v>0.55000000000000004</v>
      </c>
      <c r="F337" s="7">
        <f>MROUND(_xlfn.XLOOKUP(B337,'Base stats'!B:B,'Base stats'!BD:BD)^0.25 / (_xlfn.XLOOKUP(B337,'Base stats'!B:B,'Base stats'!BK:BK) * 10) * 150 + 0.5 + _xlfn.XLOOKUP(B337,'Base stats'!B:B,'Base stats'!BW:BW), 0.05)</f>
        <v>2</v>
      </c>
      <c r="G337" s="3" t="str">
        <f>IF(Animals!S337="No","No",
IF(_xlfn.XLOOKUP(B337,'Base stats'!B:B,'Base stats'!U:U)="No",
MAX(MROUND(_xlfn.XLOOKUP(B337,'Base stats'!B:B,'Base stats'!BT:BT) * _xlfn.XLOOKUP(B337,'Base stats'!B:B,'Base stats'!BP:BP)^0.9 / 21 * _xlfn.XLOOKUP(B337,'Base stats'!B:B,'Base stats'!BX:BX),0.1),0.05),
MAX(MROUND(((MIN(10,_xlfn.XLOOKUP(B337,'Base stats'!B:B,'Base stats'!U:U)))^0.4*_xlfn.XLOOKUP(B337,'Base stats'!B:B,'Base stats'!BH:BH)^0.73)^0.6 * _xlfn.XLOOKUP(B337,'Base stats'!B:B,'Base stats'!BX:BX),0.1),0.05)
))</f>
        <v>No</v>
      </c>
      <c r="H337" s="11" t="str">
        <f>IF(G337="No","No",
MROUND(_xlfn.XLOOKUP(B337,'Base stats'!B:B,'Base stats'!BH:BH) * 0.01 * 2 + 0.05, 0.05)
)</f>
        <v>No</v>
      </c>
      <c r="I337" s="11" t="str">
        <f>IF(G337="No","No",IF(_xlfn.XLOOKUP(B337,'Base stats'!B:B,'Base stats'!U:U)="No","No",
MROUND(_xlfn.XLOOKUP(B337,'Base stats'!B:B,'Base stats'!BT:BT)/10000+0.01,0.01)
))</f>
        <v>No</v>
      </c>
      <c r="J337" s="4" t="str">
        <f>IF(G337="No","No",
MROUND(_xlfn.XLOOKUP(B337,'Base stats'!B:B,'Base stats'!BE:BE)^0.25
/((_xlfn.XLOOKUP(B337,'Base stats'!B:B,'Base stats'!BL:BL))*10)*_xlfn.XLOOKUP(_xlfn.XLOOKUP(B337,'Base stats'!B:B,'Base stats'!E:E),Groups!A:A,Groups!Q:Q)*150 + 0.5 + _xlfn.XLOOKUP(B337,'Base stats'!B:B,'Base stats'!BW:BW),
0.05))</f>
        <v>No</v>
      </c>
      <c r="K337" s="3" t="str">
        <f>IF(Animals!X337="No","No",
IF(_xlfn.XLOOKUP(_xlfn.XLOOKUP(B337,'Base stats'!B:B,'Base stats'!E:E),Groups!A:A,Groups!BD:BD)=1,
MAX(MROUND(_xlfn.XLOOKUP(B337,'Base stats'!B:B,'Base stats'!BU:BU) * _xlfn.XLOOKUP(B337,'Base stats'!B:B,'Base stats'!BQ:BQ)^0.9 / 21 *_xlfn.XLOOKUP(B337,'Base stats'!B:B,'Base stats'!BX:BX),0.1),0.05),
MAX(MROUND(((MIN(10,_xlfn.XLOOKUP(B337,'Base stats'!B:B,'Base stats'!W:W)))^0.4*_xlfn.XLOOKUP(B337,'Base stats'!B:B,'Base stats'!BI:BI)^0.73)^0.6 *_xlfn.XLOOKUP(B337,'Base stats'!B:B,'Base stats'!BX:BX),0.1),0.05)
))</f>
        <v>No</v>
      </c>
      <c r="L337" s="11" t="str">
        <f>IF(K337="No","No",
MROUND(_xlfn.XLOOKUP(B337,'Base stats'!B:B,'Base stats'!BI:BI) * 0.01 *2 + 0.05, 0.05)
)</f>
        <v>No</v>
      </c>
      <c r="M337" s="5" t="str">
        <f>IF(K337="No","No",IF(_xlfn.XLOOKUP(_xlfn.XLOOKUP(B337,'Base stats'!B:B,'Base stats'!E:E),Groups!A:A,Groups!BD:BD)=1,"No",
MROUND(_xlfn.XLOOKUP(B337,'Base stats'!B:B,'Base stats'!BU:BU)/10000+0.01,0.01)
))</f>
        <v>No</v>
      </c>
      <c r="N337" s="4" t="str">
        <f>IF(K337="No","No",
MROUND(
  _xlfn.XLOOKUP(B337,'Base stats'!B:B,'Base stats'!BC:BC)^0.25
  / (_xlfn.XLOOKUP(B337,'Base stats'!B:B,'Base stats'!BM:BM) * 10)
  * _xlfn.XLOOKUP(
      _xlfn.XLOOKUP(B337,'Base stats'!B:B,'Base stats'!E:E),
      Groups!A:A,
      Groups!V:V
    ) * 150
  + MIN(12, _xlfn.XLOOKUP(B337,'Base stats'!B:B,'Base stats'!W:W))^(1/IF(_xlfn.XLOOKUP(_xlfn.XLOOKUP(B337,'Base stats'!B:B,'Base stats'!E:E),Groups!A:A,Groups!U:U)=1,100,10)) + 0.5 + _xlfn.XLOOKUP(B337,'Base stats'!B:B,'Base stats'!BW:BW),
0.05))</f>
        <v>No</v>
      </c>
      <c r="O337" s="3">
        <f>IF(Animals!AD337="No","No",
MAX(MROUND((MIN(10,_xlfn.XLOOKUP(B337,'Base stats'!B:B,'Base stats'!V:V)*IF(_xlfn.XLOOKUP(_xlfn.XLOOKUP(B337,'Base stats'!B:B,'Base stats'!E:E),Groups!A:A,Groups!O:O)=0,1,0.33))^0.4*_xlfn.XLOOKUP(B337,'Base stats'!B:B,'Base stats'!BJ:BJ)^0.73)^0.6 *_xlfn.XLOOKUP(B337,'Base stats'!B:B,'Base stats'!BX:BX),0.1),0.05)
)</f>
        <v>6.3000000000000007</v>
      </c>
      <c r="P337" s="11">
        <f>IF(O337="No","No",
MROUND(_xlfn.XLOOKUP(B337,'Base stats'!B:B,'Base stats'!BJ:BJ) * 0.01 * 2 + 0.05, 0.05)
)</f>
        <v>0.95000000000000007</v>
      </c>
      <c r="Q337" s="5">
        <f>IF(O337="No","No",
MROUND(_xlfn.XLOOKUP(B337,'Base stats'!B:B,'Base stats'!BV:BV)/10000+0.01,0.01)
)</f>
        <v>0.08</v>
      </c>
      <c r="R337" s="4">
        <f>IF(O337="No","No",
MROUND(_xlfn.XLOOKUP(B337,'Base stats'!B:B,'Base stats'!BB:BB)^0.25
/((_xlfn.XLOOKUP(B337,'Base stats'!B:B,'Base stats'!BN:BN))*10)*_xlfn.XLOOKUP(_xlfn.XLOOKUP(B337,'Base stats'!B:B,'Base stats'!E:E),Groups!A:A,Groups!Z:Z)*150 + 0.5 + _xlfn.XLOOKUP(B337,'Base stats'!B:B,'Base stats'!BW:BW),
0.05))</f>
        <v>2.2000000000000002</v>
      </c>
      <c r="S337" s="3" t="str">
        <f>IF(Animals!AI337="No","No",
IF(_xlfn.XLOOKUP(B337,'Base stats'!B:B,'Base stats'!U:U)="No",
MAX(MROUND(_xlfn.XLOOKUP(B337,'Base stats'!B:B,'Base stats'!BT:BT) * _xlfn.XLOOKUP(B337,'Base stats'!B:B,'Base stats'!BP:BP)^0.9 / 21 * _xlfn.XLOOKUP(B337,'Base stats'!B:B,'Base stats'!BX:BX),0.1),0.05),
MAX(MROUND(((MIN(12,_xlfn.XLOOKUP(B337,'Base stats'!B:B,'Base stats'!U:U)))^0.4*_xlfn.XLOOKUP(B337,'Base stats'!B:B,'Base stats'!BH:BH)^0.73)^0.6 * _xlfn.XLOOKUP(B337,'Base stats'!B:B,'Base stats'!BX:BX),0.1),0.05)
))</f>
        <v>No</v>
      </c>
      <c r="T337" s="11" t="str">
        <f>IF(S337="No","No",
MROUND(_xlfn.XLOOKUP(B337,'Base stats'!B:B,'Base stats'!BH:BH) * 0.01 * 2 + 0.05, 0.05)
)</f>
        <v>No</v>
      </c>
      <c r="U337" s="5" t="str">
        <f>IF(S337="No","No",IF(_xlfn.XLOOKUP(B337,'Base stats'!B:B,'Base stats'!U:U)="No","No",
MROUND(_xlfn.XLOOKUP(B337,'Base stats'!B:B,'Base stats'!BT:BT)/10000+0.01,0.01)
))</f>
        <v>No</v>
      </c>
      <c r="V337" s="4" t="str">
        <f>IF(S337="No","No",
MROUND(_xlfn.XLOOKUP(B337,'Base stats'!B:B,'Base stats'!BF:BF)^0.25
/((_xlfn.XLOOKUP(B337,'Base stats'!B:B,'Base stats'!BO:BO))*10)*_xlfn.XLOOKUP(_xlfn.XLOOKUP(B337,'Base stats'!B:B,'Base stats'!E:E),Groups!A:A,Groups!AE:AE)*150 + 0.5 + _xlfn.XLOOKUP(B337,'Base stats'!B:B,'Base stats'!BW:BW),
0.05))</f>
        <v>No</v>
      </c>
      <c r="W337" s="8">
        <f>MROUND(_xlfn.XLOOKUP(_xlfn.XLOOKUP(B337,'Base stats'!B:B,'Base stats'!E:E),Groups!A:A,Groups!BG:BG)*_xlfn.XLOOKUP(B337,'Base stats'!B:B,'Base stats'!C:C)^-0.165,0.05)</f>
        <v>0</v>
      </c>
      <c r="X337" s="1">
        <f>MROUND(_xlfn.XLOOKUP(_xlfn.XLOOKUP(B337,'Base stats'!B:B,'Base stats'!E:E),Groups!A:A,Groups!BH:BH)*_xlfn.XLOOKUP(B337,'Base stats'!B:B,'Base stats'!C:C)^0.165,0.05)</f>
        <v>0</v>
      </c>
      <c r="Y337" s="8">
        <f>MROUND(_xlfn.XLOOKUP(_xlfn.XLOOKUP(B337,'Base stats'!B:B,'Base stats'!E:E),Groups!A:A,Groups!BI:BI)*_xlfn.XLOOKUP(B337,'Base stats'!B:B,'Base stats'!C:C)^0.165,0.05)</f>
        <v>0</v>
      </c>
      <c r="Z337" s="18">
        <f>MROUND(_xlfn.XLOOKUP(B337,'Base stats'!B:B,'Base stats'!AQ:AQ)*_xlfn.XLOOKUP(_xlfn.XLOOKUP(B337,'Base stats'!B:B,'Base stats'!E:E),Groups!A:A,Groups!H:H)/1000,IF((_xlfn.XLOOKUP(B337,'Base stats'!B:B,'Base stats'!AQ:AQ)*_xlfn.XLOOKUP(_xlfn.XLOOKUP(B337,'Base stats'!B:B,'Base stats'!E:E),Groups!A:A,Groups!H:H)/1000)&gt;1,0.05,0.01))</f>
        <v>0.05</v>
      </c>
      <c r="AA337" s="18">
        <f>MROUND((1/2)*(_xlfn.XLOOKUP(_xlfn.XLOOKUP(B337,'Base stats'!B:B,'Base stats'!E:E),Groups!A:A,Groups!H:H)*_xlfn.XLOOKUP(_xlfn.XLOOKUP(B337,'Base stats'!B:B,'Base stats'!E:E),Groups!A:A,Groups!I:I))*_xlfn.XLOOKUP(B337,'Base stats'!B:B,'Base stats'!AQ:AQ)*0.01,0.05)</f>
        <v>0.2</v>
      </c>
      <c r="AB337" s="18">
        <f>MROUND(250*(Animals!AO337+Animals!AP337),25)</f>
        <v>400</v>
      </c>
      <c r="AC337" s="18" t="str">
        <f>_xlfn.XLOOKUP(_xlfn.XLOOKUP(B337,'Base stats'!B:B,'Base stats'!E:E),Groups!A:A,Groups!BJ:BJ)</f>
        <v>QuadrupedLow</v>
      </c>
    </row>
    <row r="338" spans="1:29" ht="16.5" thickTop="1" thickBot="1" x14ac:dyDescent="0.3">
      <c r="A338" s="16" t="str">
        <f>Animals!A338</f>
        <v>TetraSlug</v>
      </c>
      <c r="B338" s="6" t="str">
        <f>Animals!B338</f>
        <v>Limax tetrapodium</v>
      </c>
      <c r="C338" s="1" t="str">
        <f>Animals!C338</f>
        <v>&lt;li&gt;AA_TetraSlug&lt;/li&gt;</v>
      </c>
      <c r="D338" s="47">
        <f>MIN(MIN(6,_xlfn.XLOOKUP(A338,Animals!A:A,Animals!AO:AO))*20,MAX(MROUND(_xlfn.XLOOKUP(B338,'Base stats'!B:B,'Base stats'!BS:BS) * (_xlfn.XLOOKUP(B338,'Base stats'!B:B,'Base stats'!AO:AO)*5%)^0.9 / 21,0.1),0.05))</f>
        <v>37.9</v>
      </c>
      <c r="E338" s="11">
        <f>MROUND(_xlfn.XLOOKUP(B338,'Base stats'!B:B,'Base stats'!BG:BG) * 0.01 * 2 + 0.01, 0.05)</f>
        <v>41.150000000000006</v>
      </c>
      <c r="F338" s="7">
        <f>MROUND(_xlfn.XLOOKUP(B338,'Base stats'!B:B,'Base stats'!BD:BD)^0.25 / (_xlfn.XLOOKUP(B338,'Base stats'!B:B,'Base stats'!BK:BK) * 10) * 150 + 0.5 + _xlfn.XLOOKUP(B338,'Base stats'!B:B,'Base stats'!BW:BW), 0.05)</f>
        <v>3</v>
      </c>
      <c r="G338" s="3" t="str">
        <f>IF(Animals!S338="No","No",
IF(_xlfn.XLOOKUP(B338,'Base stats'!B:B,'Base stats'!U:U)="No",
MAX(MROUND(_xlfn.XLOOKUP(B338,'Base stats'!B:B,'Base stats'!BT:BT) * _xlfn.XLOOKUP(B338,'Base stats'!B:B,'Base stats'!BP:BP)^0.9 / 21 * _xlfn.XLOOKUP(B338,'Base stats'!B:B,'Base stats'!BX:BX),0.1),0.05),
MAX(MROUND(((MIN(10,_xlfn.XLOOKUP(B338,'Base stats'!B:B,'Base stats'!U:U)))^0.4*_xlfn.XLOOKUP(B338,'Base stats'!B:B,'Base stats'!BH:BH)^0.73)^0.6 * _xlfn.XLOOKUP(B338,'Base stats'!B:B,'Base stats'!BX:BX),0.1),0.05)
))</f>
        <v>No</v>
      </c>
      <c r="H338" s="11" t="str">
        <f>IF(G338="No","No",
MROUND(_xlfn.XLOOKUP(B338,'Base stats'!B:B,'Base stats'!BH:BH) * 0.01 * 2 + 0.05, 0.05)
)</f>
        <v>No</v>
      </c>
      <c r="I338" s="11" t="str">
        <f>IF(G338="No","No",IF(_xlfn.XLOOKUP(B338,'Base stats'!B:B,'Base stats'!U:U)="No","No",
MROUND(_xlfn.XLOOKUP(B338,'Base stats'!B:B,'Base stats'!BT:BT)/10000+0.01,0.01)
))</f>
        <v>No</v>
      </c>
      <c r="J338" s="4" t="str">
        <f>IF(G338="No","No",
MROUND(_xlfn.XLOOKUP(B338,'Base stats'!B:B,'Base stats'!BE:BE)^0.25
/((_xlfn.XLOOKUP(B338,'Base stats'!B:B,'Base stats'!BL:BL))*10)*_xlfn.XLOOKUP(_xlfn.XLOOKUP(B338,'Base stats'!B:B,'Base stats'!E:E),Groups!A:A,Groups!Q:Q)*150 + 0.5 + _xlfn.XLOOKUP(B338,'Base stats'!B:B,'Base stats'!BW:BW),
0.05))</f>
        <v>No</v>
      </c>
      <c r="K338" s="3" t="str">
        <f>IF(Animals!X338="No","No",
IF(_xlfn.XLOOKUP(_xlfn.XLOOKUP(B338,'Base stats'!B:B,'Base stats'!E:E),Groups!A:A,Groups!BD:BD)=1,
MAX(MROUND(_xlfn.XLOOKUP(B338,'Base stats'!B:B,'Base stats'!BU:BU) * _xlfn.XLOOKUP(B338,'Base stats'!B:B,'Base stats'!BQ:BQ)^0.9 / 21 *_xlfn.XLOOKUP(B338,'Base stats'!B:B,'Base stats'!BX:BX),0.1),0.05),
MAX(MROUND(((MIN(10,_xlfn.XLOOKUP(B338,'Base stats'!B:B,'Base stats'!W:W)))^0.4*_xlfn.XLOOKUP(B338,'Base stats'!B:B,'Base stats'!BI:BI)^0.73)^0.6 *_xlfn.XLOOKUP(B338,'Base stats'!B:B,'Base stats'!BX:BX),0.1),0.05)
))</f>
        <v>No</v>
      </c>
      <c r="L338" s="11" t="str">
        <f>IF(K338="No","No",
MROUND(_xlfn.XLOOKUP(B338,'Base stats'!B:B,'Base stats'!BI:BI) * 0.01 *2 + 0.05, 0.05)
)</f>
        <v>No</v>
      </c>
      <c r="M338" s="5" t="str">
        <f>IF(K338="No","No",IF(_xlfn.XLOOKUP(_xlfn.XLOOKUP(B338,'Base stats'!B:B,'Base stats'!E:E),Groups!A:A,Groups!BD:BD)=1,"No",
MROUND(_xlfn.XLOOKUP(B338,'Base stats'!B:B,'Base stats'!BU:BU)/10000+0.01,0.01)
))</f>
        <v>No</v>
      </c>
      <c r="N338" s="4" t="str">
        <f>IF(K338="No","No",
MROUND(
  _xlfn.XLOOKUP(B338,'Base stats'!B:B,'Base stats'!BC:BC)^0.25
  / (_xlfn.XLOOKUP(B338,'Base stats'!B:B,'Base stats'!BM:BM) * 10)
  * _xlfn.XLOOKUP(
      _xlfn.XLOOKUP(B338,'Base stats'!B:B,'Base stats'!E:E),
      Groups!A:A,
      Groups!V:V
    ) * 150
  + MIN(12, _xlfn.XLOOKUP(B338,'Base stats'!B:B,'Base stats'!W:W))^(1/IF(_xlfn.XLOOKUP(_xlfn.XLOOKUP(B338,'Base stats'!B:B,'Base stats'!E:E),Groups!A:A,Groups!U:U)=1,100,10)) + 0.5 + _xlfn.XLOOKUP(B338,'Base stats'!B:B,'Base stats'!BW:BW),
0.05))</f>
        <v>No</v>
      </c>
      <c r="O338" s="3">
        <f>IF(Animals!AD338="No","No",
MAX(MROUND((MIN(10,_xlfn.XLOOKUP(B338,'Base stats'!B:B,'Base stats'!V:V)*IF(_xlfn.XLOOKUP(_xlfn.XLOOKUP(B338,'Base stats'!B:B,'Base stats'!E:E),Groups!A:A,Groups!O:O)=0,1,0.33))^0.4*_xlfn.XLOOKUP(B338,'Base stats'!B:B,'Base stats'!BJ:BJ)^0.73)^0.6 *_xlfn.XLOOKUP(B338,'Base stats'!B:B,'Base stats'!BX:BX),0.1),0.05)
)</f>
        <v>30.6</v>
      </c>
      <c r="P338" s="11">
        <f>IF(O338="No","No",
MROUND(_xlfn.XLOOKUP(B338,'Base stats'!B:B,'Base stats'!BJ:BJ) * 0.01 * 2 + 0.05, 0.05)
)</f>
        <v>27.150000000000002</v>
      </c>
      <c r="Q338" s="5">
        <f>IF(O338="No","No",
MROUND(_xlfn.XLOOKUP(B338,'Base stats'!B:B,'Base stats'!BV:BV)/10000+0.01,0.01)
)</f>
        <v>0.31</v>
      </c>
      <c r="R338" s="4">
        <f>IF(O338="No","No",
MROUND(_xlfn.XLOOKUP(B338,'Base stats'!B:B,'Base stats'!BB:BB)^0.25
/((_xlfn.XLOOKUP(B338,'Base stats'!B:B,'Base stats'!BN:BN))*10)*_xlfn.XLOOKUP(_xlfn.XLOOKUP(B338,'Base stats'!B:B,'Base stats'!E:E),Groups!A:A,Groups!Z:Z)*150 + 0.5 + _xlfn.XLOOKUP(B338,'Base stats'!B:B,'Base stats'!BW:BW),
0.05))</f>
        <v>2.75</v>
      </c>
      <c r="S338" s="3" t="str">
        <f>IF(Animals!AI338="No","No",
IF(_xlfn.XLOOKUP(B338,'Base stats'!B:B,'Base stats'!U:U)="No",
MAX(MROUND(_xlfn.XLOOKUP(B338,'Base stats'!B:B,'Base stats'!BT:BT) * _xlfn.XLOOKUP(B338,'Base stats'!B:B,'Base stats'!BP:BP)^0.9 / 21 * _xlfn.XLOOKUP(B338,'Base stats'!B:B,'Base stats'!BX:BX),0.1),0.05),
MAX(MROUND(((MIN(12,_xlfn.XLOOKUP(B338,'Base stats'!B:B,'Base stats'!U:U)))^0.4*_xlfn.XLOOKUP(B338,'Base stats'!B:B,'Base stats'!BH:BH)^0.73)^0.6 * _xlfn.XLOOKUP(B338,'Base stats'!B:B,'Base stats'!BX:BX),0.1),0.05)
))</f>
        <v>No</v>
      </c>
      <c r="T338" s="11" t="str">
        <f>IF(S338="No","No",
MROUND(_xlfn.XLOOKUP(B338,'Base stats'!B:B,'Base stats'!BH:BH) * 0.01 * 2 + 0.05, 0.05)
)</f>
        <v>No</v>
      </c>
      <c r="U338" s="5" t="str">
        <f>IF(S338="No","No",IF(_xlfn.XLOOKUP(B338,'Base stats'!B:B,'Base stats'!U:U)="No","No",
MROUND(_xlfn.XLOOKUP(B338,'Base stats'!B:B,'Base stats'!BT:BT)/10000+0.01,0.01)
))</f>
        <v>No</v>
      </c>
      <c r="V338" s="4" t="str">
        <f>IF(S338="No","No",
MROUND(_xlfn.XLOOKUP(B338,'Base stats'!B:B,'Base stats'!BF:BF)^0.25
/((_xlfn.XLOOKUP(B338,'Base stats'!B:B,'Base stats'!BO:BO))*10)*_xlfn.XLOOKUP(_xlfn.XLOOKUP(B338,'Base stats'!B:B,'Base stats'!E:E),Groups!A:A,Groups!AE:AE)*150 + 0.5 + _xlfn.XLOOKUP(B338,'Base stats'!B:B,'Base stats'!BW:BW),
0.05))</f>
        <v>No</v>
      </c>
      <c r="W338" s="8">
        <f>MROUND(_xlfn.XLOOKUP(_xlfn.XLOOKUP(B338,'Base stats'!B:B,'Base stats'!E:E),Groups!A:A,Groups!BG:BG)*_xlfn.XLOOKUP(B338,'Base stats'!B:B,'Base stats'!C:C)^-0.165,0.05)</f>
        <v>0</v>
      </c>
      <c r="X338" s="1">
        <f>MROUND(_xlfn.XLOOKUP(_xlfn.XLOOKUP(B338,'Base stats'!B:B,'Base stats'!E:E),Groups!A:A,Groups!BH:BH)*_xlfn.XLOOKUP(B338,'Base stats'!B:B,'Base stats'!C:C)^0.165,0.05)</f>
        <v>0</v>
      </c>
      <c r="Y338" s="8">
        <f>MROUND(_xlfn.XLOOKUP(_xlfn.XLOOKUP(B338,'Base stats'!B:B,'Base stats'!E:E),Groups!A:A,Groups!BI:BI)*_xlfn.XLOOKUP(B338,'Base stats'!B:B,'Base stats'!C:C)^0.165,0.05)</f>
        <v>0</v>
      </c>
      <c r="Z338" s="18">
        <f>MROUND(_xlfn.XLOOKUP(B338,'Base stats'!B:B,'Base stats'!AQ:AQ)*_xlfn.XLOOKUP(_xlfn.XLOOKUP(B338,'Base stats'!B:B,'Base stats'!E:E),Groups!A:A,Groups!H:H)/1000,IF((_xlfn.XLOOKUP(B338,'Base stats'!B:B,'Base stats'!AQ:AQ)*_xlfn.XLOOKUP(_xlfn.XLOOKUP(B338,'Base stats'!B:B,'Base stats'!E:E),Groups!A:A,Groups!H:H)/1000)&gt;1,0.05,0.01))</f>
        <v>0.2</v>
      </c>
      <c r="AA338" s="18">
        <f>MROUND((1/2)*(_xlfn.XLOOKUP(_xlfn.XLOOKUP(B338,'Base stats'!B:B,'Base stats'!E:E),Groups!A:A,Groups!H:H)*_xlfn.XLOOKUP(_xlfn.XLOOKUP(B338,'Base stats'!B:B,'Base stats'!E:E),Groups!A:A,Groups!I:I))*_xlfn.XLOOKUP(B338,'Base stats'!B:B,'Base stats'!AQ:AQ)*0.01,0.05)</f>
        <v>0.85000000000000009</v>
      </c>
      <c r="AB338" s="18">
        <f>MROUND(250*(Animals!AO338+Animals!AP338),25)</f>
        <v>2500</v>
      </c>
      <c r="AC338" s="18" t="str">
        <f>_xlfn.XLOOKUP(_xlfn.XLOOKUP(B338,'Base stats'!B:B,'Base stats'!E:E),Groups!A:A,Groups!BJ:BJ)</f>
        <v>QuadrupedLow</v>
      </c>
    </row>
    <row r="339" spans="1:29" ht="16.5" thickTop="1" thickBot="1" x14ac:dyDescent="0.3">
      <c r="A339" s="16" t="str">
        <f>Animals!A339</f>
        <v>Thermadon</v>
      </c>
      <c r="B339" s="6" t="str">
        <f>Animals!B339</f>
        <v>Thermophis titan</v>
      </c>
      <c r="C339" s="1" t="str">
        <f>Animals!C339</f>
        <v>&lt;li&gt;AA_Thermadon&lt;/li&gt;</v>
      </c>
      <c r="D339" s="47">
        <f>MIN(MIN(6,_xlfn.XLOOKUP(A339,Animals!A:A,Animals!AO:AO))*20,MAX(MROUND(_xlfn.XLOOKUP(B339,'Base stats'!B:B,'Base stats'!BS:BS) * (_xlfn.XLOOKUP(B339,'Base stats'!B:B,'Base stats'!AO:AO)*5%)^0.9 / 21,0.1),0.05))</f>
        <v>5.4</v>
      </c>
      <c r="E339" s="11">
        <f>MROUND(_xlfn.XLOOKUP(B339,'Base stats'!B:B,'Base stats'!BG:BG) * 0.01 * 2 + 0.01, 0.05)</f>
        <v>5.1000000000000005</v>
      </c>
      <c r="F339" s="7">
        <f>MROUND(_xlfn.XLOOKUP(B339,'Base stats'!B:B,'Base stats'!BD:BD)^0.25 / (_xlfn.XLOOKUP(B339,'Base stats'!B:B,'Base stats'!BK:BK) * 10) * 150 + 0.5 + _xlfn.XLOOKUP(B339,'Base stats'!B:B,'Base stats'!BW:BW), 0.05)</f>
        <v>3.45</v>
      </c>
      <c r="G339" s="3" t="str">
        <f>IF(Animals!S339="No","No",
IF(_xlfn.XLOOKUP(B339,'Base stats'!B:B,'Base stats'!U:U)="No",
MAX(MROUND(_xlfn.XLOOKUP(B339,'Base stats'!B:B,'Base stats'!BT:BT) * _xlfn.XLOOKUP(B339,'Base stats'!B:B,'Base stats'!BP:BP)^0.9 / 21 * _xlfn.XLOOKUP(B339,'Base stats'!B:B,'Base stats'!BX:BX),0.1),0.05),
MAX(MROUND(((MIN(10,_xlfn.XLOOKUP(B339,'Base stats'!B:B,'Base stats'!U:U)))^0.4*_xlfn.XLOOKUP(B339,'Base stats'!B:B,'Base stats'!BH:BH)^0.73)^0.6 * _xlfn.XLOOKUP(B339,'Base stats'!B:B,'Base stats'!BX:BX),0.1),0.05)
))</f>
        <v>No</v>
      </c>
      <c r="H339" s="11" t="str">
        <f>IF(G339="No","No",
MROUND(_xlfn.XLOOKUP(B339,'Base stats'!B:B,'Base stats'!BH:BH) * 0.01 * 2 + 0.05, 0.05)
)</f>
        <v>No</v>
      </c>
      <c r="I339" s="11" t="str">
        <f>IF(G339="No","No",IF(_xlfn.XLOOKUP(B339,'Base stats'!B:B,'Base stats'!U:U)="No","No",
MROUND(_xlfn.XLOOKUP(B339,'Base stats'!B:B,'Base stats'!BT:BT)/10000+0.01,0.01)
))</f>
        <v>No</v>
      </c>
      <c r="J339" s="4" t="str">
        <f>IF(G339="No","No",
MROUND(_xlfn.XLOOKUP(B339,'Base stats'!B:B,'Base stats'!BE:BE)^0.25
/((_xlfn.XLOOKUP(B339,'Base stats'!B:B,'Base stats'!BL:BL))*10)*_xlfn.XLOOKUP(_xlfn.XLOOKUP(B339,'Base stats'!B:B,'Base stats'!E:E),Groups!A:A,Groups!Q:Q)*150 + 0.5 + _xlfn.XLOOKUP(B339,'Base stats'!B:B,'Base stats'!BW:BW),
0.05))</f>
        <v>No</v>
      </c>
      <c r="K339" s="3" t="str">
        <f>IF(Animals!X339="No","No",
IF(_xlfn.XLOOKUP(_xlfn.XLOOKUP(B339,'Base stats'!B:B,'Base stats'!E:E),Groups!A:A,Groups!BD:BD)=1,
MAX(MROUND(_xlfn.XLOOKUP(B339,'Base stats'!B:B,'Base stats'!BU:BU) * _xlfn.XLOOKUP(B339,'Base stats'!B:B,'Base stats'!BQ:BQ)^0.9 / 21 *_xlfn.XLOOKUP(B339,'Base stats'!B:B,'Base stats'!BX:BX),0.1),0.05),
MAX(MROUND(((MIN(10,_xlfn.XLOOKUP(B339,'Base stats'!B:B,'Base stats'!W:W)))^0.4*_xlfn.XLOOKUP(B339,'Base stats'!B:B,'Base stats'!BI:BI)^0.73)^0.6 *_xlfn.XLOOKUP(B339,'Base stats'!B:B,'Base stats'!BX:BX),0.1),0.05)
))</f>
        <v>No</v>
      </c>
      <c r="L339" s="11" t="str">
        <f>IF(K339="No","No",
MROUND(_xlfn.XLOOKUP(B339,'Base stats'!B:B,'Base stats'!BI:BI) * 0.01 *2 + 0.05, 0.05)
)</f>
        <v>No</v>
      </c>
      <c r="M339" s="5" t="str">
        <f>IF(K339="No","No",IF(_xlfn.XLOOKUP(_xlfn.XLOOKUP(B339,'Base stats'!B:B,'Base stats'!E:E),Groups!A:A,Groups!BD:BD)=1,"No",
MROUND(_xlfn.XLOOKUP(B339,'Base stats'!B:B,'Base stats'!BU:BU)/10000+0.01,0.01)
))</f>
        <v>No</v>
      </c>
      <c r="N339" s="4" t="str">
        <f>IF(K339="No","No",
MROUND(
  _xlfn.XLOOKUP(B339,'Base stats'!B:B,'Base stats'!BC:BC)^0.25
  / (_xlfn.XLOOKUP(B339,'Base stats'!B:B,'Base stats'!BM:BM) * 10)
  * _xlfn.XLOOKUP(
      _xlfn.XLOOKUP(B339,'Base stats'!B:B,'Base stats'!E:E),
      Groups!A:A,
      Groups!V:V
    ) * 150
  + MIN(12, _xlfn.XLOOKUP(B339,'Base stats'!B:B,'Base stats'!W:W))^(1/IF(_xlfn.XLOOKUP(_xlfn.XLOOKUP(B339,'Base stats'!B:B,'Base stats'!E:E),Groups!A:A,Groups!U:U)=1,100,10)) + 0.5 + _xlfn.XLOOKUP(B339,'Base stats'!B:B,'Base stats'!BW:BW),
0.05))</f>
        <v>No</v>
      </c>
      <c r="O339" s="3">
        <f>IF(Animals!AD339="No","No",
MAX(MROUND((MIN(10,_xlfn.XLOOKUP(B339,'Base stats'!B:B,'Base stats'!V:V)*IF(_xlfn.XLOOKUP(_xlfn.XLOOKUP(B339,'Base stats'!B:B,'Base stats'!E:E),Groups!A:A,Groups!O:O)=0,1,0.33))^0.4*_xlfn.XLOOKUP(B339,'Base stats'!B:B,'Base stats'!BJ:BJ)^0.73)^0.6 *_xlfn.XLOOKUP(B339,'Base stats'!B:B,'Base stats'!BX:BX),0.1),0.05)
)</f>
        <v>44.900000000000006</v>
      </c>
      <c r="P339" s="11">
        <f>IF(O339="No","No",
MROUND(_xlfn.XLOOKUP(B339,'Base stats'!B:B,'Base stats'!BJ:BJ) * 0.01 * 2 + 0.05, 0.05)
)</f>
        <v>33.5</v>
      </c>
      <c r="Q339" s="5">
        <f>IF(O339="No","No",
MROUND(_xlfn.XLOOKUP(B339,'Base stats'!B:B,'Base stats'!BV:BV)/10000+0.01,0.01)
)</f>
        <v>0.95000000000000007</v>
      </c>
      <c r="R339" s="4">
        <f>IF(O339="No","No",
MROUND(_xlfn.XLOOKUP(B339,'Base stats'!B:B,'Base stats'!BB:BB)^0.25
/((_xlfn.XLOOKUP(B339,'Base stats'!B:B,'Base stats'!BN:BN))*10)*_xlfn.XLOOKUP(_xlfn.XLOOKUP(B339,'Base stats'!B:B,'Base stats'!E:E),Groups!A:A,Groups!Z:Z)*150 + 0.5 + _xlfn.XLOOKUP(B339,'Base stats'!B:B,'Base stats'!BW:BW),
0.05))</f>
        <v>3.0500000000000003</v>
      </c>
      <c r="S339" s="3">
        <f>IF(Animals!AI339="No","No",
IF(_xlfn.XLOOKUP(B339,'Base stats'!B:B,'Base stats'!U:U)="No",
MAX(MROUND(_xlfn.XLOOKUP(B339,'Base stats'!B:B,'Base stats'!BT:BT) * _xlfn.XLOOKUP(B339,'Base stats'!B:B,'Base stats'!BP:BP)^0.9 / 21 * _xlfn.XLOOKUP(B339,'Base stats'!B:B,'Base stats'!BX:BX),0.1),0.05),
MAX(MROUND(((MIN(12,_xlfn.XLOOKUP(B339,'Base stats'!B:B,'Base stats'!U:U)))^0.4*_xlfn.XLOOKUP(B339,'Base stats'!B:B,'Base stats'!BH:BH)^0.73)^0.6 * _xlfn.XLOOKUP(B339,'Base stats'!B:B,'Base stats'!BX:BX),0.1),0.05)
))</f>
        <v>39.700000000000003</v>
      </c>
      <c r="T339" s="11">
        <f>IF(S339="No","No",
MROUND(_xlfn.XLOOKUP(B339,'Base stats'!B:B,'Base stats'!BH:BH) * 0.01 * 2 + 0.05, 0.05)
)</f>
        <v>26.8</v>
      </c>
      <c r="U339" s="5">
        <f>IF(S339="No","No",IF(_xlfn.XLOOKUP(B339,'Base stats'!B:B,'Base stats'!U:U)="No","No",
MROUND(_xlfn.XLOOKUP(B339,'Base stats'!B:B,'Base stats'!BT:BT)/10000+0.01,0.01)
))</f>
        <v>7.55</v>
      </c>
      <c r="V339" s="4">
        <f>IF(S339="No","No",
MROUND(_xlfn.XLOOKUP(B339,'Base stats'!B:B,'Base stats'!BF:BF)^0.25
/((_xlfn.XLOOKUP(B339,'Base stats'!B:B,'Base stats'!BO:BO))*10)*_xlfn.XLOOKUP(_xlfn.XLOOKUP(B339,'Base stats'!B:B,'Base stats'!E:E),Groups!A:A,Groups!AE:AE)*150 + 0.5 + _xlfn.XLOOKUP(B339,'Base stats'!B:B,'Base stats'!BW:BW),
0.05))</f>
        <v>3.6500000000000004</v>
      </c>
      <c r="W339" s="8">
        <f>MROUND(_xlfn.XLOOKUP(_xlfn.XLOOKUP(B339,'Base stats'!B:B,'Base stats'!E:E),Groups!A:A,Groups!BG:BG)*_xlfn.XLOOKUP(B339,'Base stats'!B:B,'Base stats'!C:C)^-0.165,0.05)</f>
        <v>0.1</v>
      </c>
      <c r="X339" s="1">
        <f>MROUND(_xlfn.XLOOKUP(_xlfn.XLOOKUP(B339,'Base stats'!B:B,'Base stats'!E:E),Groups!A:A,Groups!BH:BH)*_xlfn.XLOOKUP(B339,'Base stats'!B:B,'Base stats'!C:C)^0.165,0.05)</f>
        <v>0.25</v>
      </c>
      <c r="Y339" s="8">
        <f>MROUND(_xlfn.XLOOKUP(_xlfn.XLOOKUP(B339,'Base stats'!B:B,'Base stats'!E:E),Groups!A:A,Groups!BI:BI)*_xlfn.XLOOKUP(B339,'Base stats'!B:B,'Base stats'!C:C)^0.165,0.05)</f>
        <v>0.05</v>
      </c>
      <c r="Z339" s="18">
        <f>MROUND(_xlfn.XLOOKUP(B339,'Base stats'!B:B,'Base stats'!AQ:AQ)*_xlfn.XLOOKUP(_xlfn.XLOOKUP(B339,'Base stats'!B:B,'Base stats'!E:E),Groups!A:A,Groups!H:H)/1000,IF((_xlfn.XLOOKUP(B339,'Base stats'!B:B,'Base stats'!AQ:AQ)*_xlfn.XLOOKUP(_xlfn.XLOOKUP(B339,'Base stats'!B:B,'Base stats'!E:E),Groups!A:A,Groups!H:H)/1000)&gt;1,0.05,0.01))</f>
        <v>5</v>
      </c>
      <c r="AA339" s="18">
        <f>MROUND((1/2)*(_xlfn.XLOOKUP(_xlfn.XLOOKUP(B339,'Base stats'!B:B,'Base stats'!E:E),Groups!A:A,Groups!H:H)*_xlfn.XLOOKUP(_xlfn.XLOOKUP(B339,'Base stats'!B:B,'Base stats'!E:E),Groups!A:A,Groups!I:I))*_xlfn.XLOOKUP(B339,'Base stats'!B:B,'Base stats'!AQ:AQ)*0.01,0.05)</f>
        <v>3.0500000000000003</v>
      </c>
      <c r="AB339" s="18">
        <f>MROUND(250*(Animals!AO339+Animals!AP339),25)</f>
        <v>1375</v>
      </c>
      <c r="AC339" s="18" t="str">
        <f>_xlfn.XLOOKUP(_xlfn.XLOOKUP(B339,'Base stats'!B:B,'Base stats'!E:E),Groups!A:A,Groups!BJ:BJ)</f>
        <v>QuadrupedLow</v>
      </c>
    </row>
    <row r="340" spans="1:29" ht="16.5" thickTop="1" thickBot="1" x14ac:dyDescent="0.3">
      <c r="A340" s="16" t="str">
        <f>Animals!A340</f>
        <v>Thunderbeast</v>
      </c>
      <c r="B340" s="6" t="str">
        <f>Animals!B340</f>
        <v>Bestia tonitrus</v>
      </c>
      <c r="C340" s="1" t="str">
        <f>Animals!C340</f>
        <v>&lt;li&gt;AA_Thunderbeast&lt;/li&gt;</v>
      </c>
      <c r="D340" s="47">
        <f>MIN(MIN(6,_xlfn.XLOOKUP(A340,Animals!A:A,Animals!AO:AO))*20,MAX(MROUND(_xlfn.XLOOKUP(B340,'Base stats'!B:B,'Base stats'!BS:BS) * (_xlfn.XLOOKUP(B340,'Base stats'!B:B,'Base stats'!AO:AO)*5%)^0.9 / 21,0.1),0.05))</f>
        <v>7.7</v>
      </c>
      <c r="E340" s="11">
        <f>MROUND(_xlfn.XLOOKUP(B340,'Base stats'!B:B,'Base stats'!BG:BG) * 0.01 * 2 + 0.01, 0.05)</f>
        <v>7.0500000000000007</v>
      </c>
      <c r="F340" s="7">
        <f>MROUND(_xlfn.XLOOKUP(B340,'Base stats'!B:B,'Base stats'!BD:BD)^0.25 / (_xlfn.XLOOKUP(B340,'Base stats'!B:B,'Base stats'!BK:BK) * 10) * 150 + 0.5 + _xlfn.XLOOKUP(B340,'Base stats'!B:B,'Base stats'!BW:BW), 0.05)</f>
        <v>1.8</v>
      </c>
      <c r="G340" s="3">
        <f>IF(Animals!S340="No","No",
IF(_xlfn.XLOOKUP(B340,'Base stats'!B:B,'Base stats'!U:U)="No",
MAX(MROUND(_xlfn.XLOOKUP(B340,'Base stats'!B:B,'Base stats'!BT:BT) * _xlfn.XLOOKUP(B340,'Base stats'!B:B,'Base stats'!BP:BP)^0.9 / 21 * _xlfn.XLOOKUP(B340,'Base stats'!B:B,'Base stats'!BX:BX),0.1),0.05),
MAX(MROUND(((MIN(10,_xlfn.XLOOKUP(B340,'Base stats'!B:B,'Base stats'!U:U)))^0.4*_xlfn.XLOOKUP(B340,'Base stats'!B:B,'Base stats'!BH:BH)^0.73)^0.6 * _xlfn.XLOOKUP(B340,'Base stats'!B:B,'Base stats'!BX:BX),0.1),0.05)
))</f>
        <v>13.200000000000001</v>
      </c>
      <c r="H340" s="11">
        <f>IF(G340="No","No",
MROUND(_xlfn.XLOOKUP(B340,'Base stats'!B:B,'Base stats'!BH:BH) * 0.01 * 2 + 0.05, 0.05)
)</f>
        <v>8.35</v>
      </c>
      <c r="I340" s="11" t="str">
        <f>IF(G340="No","No",IF(_xlfn.XLOOKUP(B340,'Base stats'!B:B,'Base stats'!U:U)="No","No",
MROUND(_xlfn.XLOOKUP(B340,'Base stats'!B:B,'Base stats'!BT:BT)/10000+0.01,0.01)
))</f>
        <v>No</v>
      </c>
      <c r="J340" s="4">
        <f>IF(G340="No","No",
MROUND(_xlfn.XLOOKUP(B340,'Base stats'!B:B,'Base stats'!BE:BE)^0.25
/((_xlfn.XLOOKUP(B340,'Base stats'!B:B,'Base stats'!BL:BL))*10)*_xlfn.XLOOKUP(_xlfn.XLOOKUP(B340,'Base stats'!B:B,'Base stats'!E:E),Groups!A:A,Groups!Q:Q)*150 + 0.5 + _xlfn.XLOOKUP(B340,'Base stats'!B:B,'Base stats'!BW:BW),
0.05))</f>
        <v>2.4500000000000002</v>
      </c>
      <c r="K340" s="3">
        <f>IF(Animals!X340="No","No",
IF(_xlfn.XLOOKUP(_xlfn.XLOOKUP(B340,'Base stats'!B:B,'Base stats'!E:E),Groups!A:A,Groups!BD:BD)=1,
MAX(MROUND(_xlfn.XLOOKUP(B340,'Base stats'!B:B,'Base stats'!BU:BU) * _xlfn.XLOOKUP(B340,'Base stats'!B:B,'Base stats'!BQ:BQ)^0.9 / 21 *_xlfn.XLOOKUP(B340,'Base stats'!B:B,'Base stats'!BX:BX),0.1),0.05),
MAX(MROUND(((MIN(10,_xlfn.XLOOKUP(B340,'Base stats'!B:B,'Base stats'!W:W)))^0.4*_xlfn.XLOOKUP(B340,'Base stats'!B:B,'Base stats'!BI:BI)^0.73)^0.6 *_xlfn.XLOOKUP(B340,'Base stats'!B:B,'Base stats'!BX:BX),0.1),0.05)
))</f>
        <v>24.5</v>
      </c>
      <c r="L340" s="11">
        <f>IF(K340="No","No",
MROUND(_xlfn.XLOOKUP(B340,'Base stats'!B:B,'Base stats'!BI:BI) * 0.01 *2 + 0.05, 0.05)
)</f>
        <v>8.4500000000000011</v>
      </c>
      <c r="M340" s="5">
        <f>IF(K340="No","No",IF(_xlfn.XLOOKUP(_xlfn.XLOOKUP(B340,'Base stats'!B:B,'Base stats'!E:E),Groups!A:A,Groups!BD:BD)=1,"No",
MROUND(_xlfn.XLOOKUP(B340,'Base stats'!B:B,'Base stats'!BU:BU)/10000+0.01,0.01)
))</f>
        <v>4.7300000000000004</v>
      </c>
      <c r="N340" s="4">
        <f>IF(K340="No","No",
MROUND(
  _xlfn.XLOOKUP(B340,'Base stats'!B:B,'Base stats'!BC:BC)^0.25
  / (_xlfn.XLOOKUP(B340,'Base stats'!B:B,'Base stats'!BM:BM) * 10)
  * _xlfn.XLOOKUP(
      _xlfn.XLOOKUP(B340,'Base stats'!B:B,'Base stats'!E:E),
      Groups!A:A,
      Groups!V:V
    ) * 150
  + MIN(12, _xlfn.XLOOKUP(B340,'Base stats'!B:B,'Base stats'!W:W))^(1/IF(_xlfn.XLOOKUP(_xlfn.XLOOKUP(B340,'Base stats'!B:B,'Base stats'!E:E),Groups!A:A,Groups!U:U)=1,100,10)) + 0.5 + _xlfn.XLOOKUP(B340,'Base stats'!B:B,'Base stats'!BW:BW),
0.05))</f>
        <v>2.4500000000000002</v>
      </c>
      <c r="O340" s="3">
        <f>IF(Animals!AD340="No","No",
MAX(MROUND((MIN(10,_xlfn.XLOOKUP(B340,'Base stats'!B:B,'Base stats'!V:V)*IF(_xlfn.XLOOKUP(_xlfn.XLOOKUP(B340,'Base stats'!B:B,'Base stats'!E:E),Groups!A:A,Groups!O:O)=0,1,0.33))^0.4*_xlfn.XLOOKUP(B340,'Base stats'!B:B,'Base stats'!BJ:BJ)^0.73)^0.6 *_xlfn.XLOOKUP(B340,'Base stats'!B:B,'Base stats'!BX:BX),0.1),0.05)
)</f>
        <v>18.600000000000001</v>
      </c>
      <c r="P340" s="11">
        <f>IF(O340="No","No",
MROUND(_xlfn.XLOOKUP(B340,'Base stats'!B:B,'Base stats'!BJ:BJ) * 0.01 * 2 + 0.05, 0.05)
)</f>
        <v>5.5</v>
      </c>
      <c r="Q340" s="5">
        <f>IF(O340="No","No",
MROUND(_xlfn.XLOOKUP(B340,'Base stats'!B:B,'Base stats'!BV:BV)/10000+0.01,0.01)
)</f>
        <v>1.83</v>
      </c>
      <c r="R340" s="4">
        <f>IF(O340="No","No",
MROUND(_xlfn.XLOOKUP(B340,'Base stats'!B:B,'Base stats'!BB:BB)^0.25
/((_xlfn.XLOOKUP(B340,'Base stats'!B:B,'Base stats'!BN:BN))*10)*_xlfn.XLOOKUP(_xlfn.XLOOKUP(B340,'Base stats'!B:B,'Base stats'!E:E),Groups!A:A,Groups!Z:Z)*150 + 0.5 + _xlfn.XLOOKUP(B340,'Base stats'!B:B,'Base stats'!BW:BW),
0.05))</f>
        <v>2.4500000000000002</v>
      </c>
      <c r="S340" s="3" t="str">
        <f>IF(Animals!AI340="No","No",
IF(_xlfn.XLOOKUP(B340,'Base stats'!B:B,'Base stats'!U:U)="No",
MAX(MROUND(_xlfn.XLOOKUP(B340,'Base stats'!B:B,'Base stats'!BT:BT) * _xlfn.XLOOKUP(B340,'Base stats'!B:B,'Base stats'!BP:BP)^0.9 / 21 * _xlfn.XLOOKUP(B340,'Base stats'!B:B,'Base stats'!BX:BX),0.1),0.05),
MAX(MROUND(((MIN(12,_xlfn.XLOOKUP(B340,'Base stats'!B:B,'Base stats'!U:U)))^0.4*_xlfn.XLOOKUP(B340,'Base stats'!B:B,'Base stats'!BH:BH)^0.73)^0.6 * _xlfn.XLOOKUP(B340,'Base stats'!B:B,'Base stats'!BX:BX),0.1),0.05)
))</f>
        <v>No</v>
      </c>
      <c r="T340" s="11" t="str">
        <f>IF(S340="No","No",
MROUND(_xlfn.XLOOKUP(B340,'Base stats'!B:B,'Base stats'!BH:BH) * 0.01 * 2 + 0.05, 0.05)
)</f>
        <v>No</v>
      </c>
      <c r="U340" s="5" t="str">
        <f>IF(S340="No","No",IF(_xlfn.XLOOKUP(B340,'Base stats'!B:B,'Base stats'!U:U)="No","No",
MROUND(_xlfn.XLOOKUP(B340,'Base stats'!B:B,'Base stats'!BT:BT)/10000+0.01,0.01)
))</f>
        <v>No</v>
      </c>
      <c r="V340" s="4" t="str">
        <f>IF(S340="No","No",
MROUND(_xlfn.XLOOKUP(B340,'Base stats'!B:B,'Base stats'!BF:BF)^0.25
/((_xlfn.XLOOKUP(B340,'Base stats'!B:B,'Base stats'!BO:BO))*10)*_xlfn.XLOOKUP(_xlfn.XLOOKUP(B340,'Base stats'!B:B,'Base stats'!E:E),Groups!A:A,Groups!AE:AE)*150 + 0.5 + _xlfn.XLOOKUP(B340,'Base stats'!B:B,'Base stats'!BW:BW),
0.05))</f>
        <v>No</v>
      </c>
      <c r="W340" s="8">
        <f>MROUND(_xlfn.XLOOKUP(_xlfn.XLOOKUP(B340,'Base stats'!B:B,'Base stats'!E:E),Groups!A:A,Groups!BG:BG)*_xlfn.XLOOKUP(B340,'Base stats'!B:B,'Base stats'!C:C)^-0.165,0.05)</f>
        <v>0.25</v>
      </c>
      <c r="X340" s="1">
        <f>MROUND(_xlfn.XLOOKUP(_xlfn.XLOOKUP(B340,'Base stats'!B:B,'Base stats'!E:E),Groups!A:A,Groups!BH:BH)*_xlfn.XLOOKUP(B340,'Base stats'!B:B,'Base stats'!C:C)^0.165,0.05)</f>
        <v>0.4</v>
      </c>
      <c r="Y340" s="8">
        <f>MROUND(_xlfn.XLOOKUP(_xlfn.XLOOKUP(B340,'Base stats'!B:B,'Base stats'!E:E),Groups!A:A,Groups!BI:BI)*_xlfn.XLOOKUP(B340,'Base stats'!B:B,'Base stats'!C:C)^0.165,0.05)</f>
        <v>0.15000000000000002</v>
      </c>
      <c r="Z340" s="18">
        <f>MROUND(_xlfn.XLOOKUP(B340,'Base stats'!B:B,'Base stats'!AQ:AQ)*_xlfn.XLOOKUP(_xlfn.XLOOKUP(B340,'Base stats'!B:B,'Base stats'!E:E),Groups!A:A,Groups!H:H)/1000,IF((_xlfn.XLOOKUP(B340,'Base stats'!B:B,'Base stats'!AQ:AQ)*_xlfn.XLOOKUP(_xlfn.XLOOKUP(B340,'Base stats'!B:B,'Base stats'!E:E),Groups!A:A,Groups!H:H)/1000)&gt;1,0.05,0.01))</f>
        <v>3.85</v>
      </c>
      <c r="AA340" s="18">
        <f>MROUND((1/2)*(_xlfn.XLOOKUP(_xlfn.XLOOKUP(B340,'Base stats'!B:B,'Base stats'!E:E),Groups!A:A,Groups!H:H)*_xlfn.XLOOKUP(_xlfn.XLOOKUP(B340,'Base stats'!B:B,'Base stats'!E:E),Groups!A:A,Groups!I:I))*_xlfn.XLOOKUP(B340,'Base stats'!B:B,'Base stats'!AQ:AQ)*0.01,0.05)</f>
        <v>5.75</v>
      </c>
      <c r="AB340" s="18">
        <f>MROUND(250*(Animals!AO340+Animals!AP340),25)</f>
        <v>1425</v>
      </c>
      <c r="AC340" s="18" t="str">
        <f>_xlfn.XLOOKUP(_xlfn.XLOOKUP(B340,'Base stats'!B:B,'Base stats'!E:E),Groups!A:A,Groups!BJ:BJ)</f>
        <v>Quadruped</v>
      </c>
    </row>
    <row r="341" spans="1:29" ht="16.5" thickTop="1" thickBot="1" x14ac:dyDescent="0.3">
      <c r="A341" s="16" t="str">
        <f>Animals!A341</f>
        <v>Thunderox</v>
      </c>
      <c r="B341" s="6" t="str">
        <f>Animals!B341</f>
        <v>Crepiscubos tonitrus</v>
      </c>
      <c r="C341" s="1" t="str">
        <f>Animals!C341</f>
        <v>&lt;li&gt;AA_Thunderox&lt;/li&gt;</v>
      </c>
      <c r="D341" s="47">
        <f>MIN(MIN(6,_xlfn.XLOOKUP(A341,Animals!A:A,Animals!AO:AO))*20,MAX(MROUND(_xlfn.XLOOKUP(B341,'Base stats'!B:B,'Base stats'!BS:BS) * (_xlfn.XLOOKUP(B341,'Base stats'!B:B,'Base stats'!AO:AO)*5%)^0.9 / 21,0.1),0.05))</f>
        <v>21.3</v>
      </c>
      <c r="E341" s="11">
        <f>MROUND(_xlfn.XLOOKUP(B341,'Base stats'!B:B,'Base stats'!BG:BG) * 0.01 * 2 + 0.01, 0.05)</f>
        <v>20.400000000000002</v>
      </c>
      <c r="F341" s="7">
        <f>MROUND(_xlfn.XLOOKUP(B341,'Base stats'!B:B,'Base stats'!BD:BD)^0.25 / (_xlfn.XLOOKUP(B341,'Base stats'!B:B,'Base stats'!BK:BK) * 10) * 150 + 0.5 + _xlfn.XLOOKUP(B341,'Base stats'!B:B,'Base stats'!BW:BW), 0.05)</f>
        <v>1.7000000000000002</v>
      </c>
      <c r="G341" s="3">
        <f>IF(Animals!S341="No","No",
IF(_xlfn.XLOOKUP(B341,'Base stats'!B:B,'Base stats'!U:U)="No",
MAX(MROUND(_xlfn.XLOOKUP(B341,'Base stats'!B:B,'Base stats'!BT:BT) * _xlfn.XLOOKUP(B341,'Base stats'!B:B,'Base stats'!BP:BP)^0.9 / 21 * _xlfn.XLOOKUP(B341,'Base stats'!B:B,'Base stats'!BX:BX),0.1),0.05),
MAX(MROUND(((MIN(10,_xlfn.XLOOKUP(B341,'Base stats'!B:B,'Base stats'!U:U)))^0.4*_xlfn.XLOOKUP(B341,'Base stats'!B:B,'Base stats'!BH:BH)^0.73)^0.6 * _xlfn.XLOOKUP(B341,'Base stats'!B:B,'Base stats'!BX:BX),0.1),0.05)
))</f>
        <v>24.400000000000002</v>
      </c>
      <c r="H341" s="11">
        <f>IF(G341="No","No",
MROUND(_xlfn.XLOOKUP(B341,'Base stats'!B:B,'Base stats'!BH:BH) * 0.01 * 2 + 0.05, 0.05)
)</f>
        <v>16.55</v>
      </c>
      <c r="I341" s="11" t="str">
        <f>IF(G341="No","No",IF(_xlfn.XLOOKUP(B341,'Base stats'!B:B,'Base stats'!U:U)="No","No",
MROUND(_xlfn.XLOOKUP(B341,'Base stats'!B:B,'Base stats'!BT:BT)/10000+0.01,0.01)
))</f>
        <v>No</v>
      </c>
      <c r="J341" s="4">
        <f>IF(G341="No","No",
MROUND(_xlfn.XLOOKUP(B341,'Base stats'!B:B,'Base stats'!BE:BE)^0.25
/((_xlfn.XLOOKUP(B341,'Base stats'!B:B,'Base stats'!BL:BL))*10)*_xlfn.XLOOKUP(_xlfn.XLOOKUP(B341,'Base stats'!B:B,'Base stats'!E:E),Groups!A:A,Groups!Q:Q)*150 + 0.5 + _xlfn.XLOOKUP(B341,'Base stats'!B:B,'Base stats'!BW:BW),
0.05))</f>
        <v>2.8000000000000003</v>
      </c>
      <c r="K341" s="3">
        <f>IF(Animals!X341="No","No",
IF(_xlfn.XLOOKUP(_xlfn.XLOOKUP(B341,'Base stats'!B:B,'Base stats'!E:E),Groups!A:A,Groups!BD:BD)=1,
MAX(MROUND(_xlfn.XLOOKUP(B341,'Base stats'!B:B,'Base stats'!BU:BU) * _xlfn.XLOOKUP(B341,'Base stats'!B:B,'Base stats'!BQ:BQ)^0.9 / 21 *_xlfn.XLOOKUP(B341,'Base stats'!B:B,'Base stats'!BX:BX),0.1),0.05),
MAX(MROUND(((MIN(10,_xlfn.XLOOKUP(B341,'Base stats'!B:B,'Base stats'!W:W)))^0.4*_xlfn.XLOOKUP(B341,'Base stats'!B:B,'Base stats'!BI:BI)^0.73)^0.6 *_xlfn.XLOOKUP(B341,'Base stats'!B:B,'Base stats'!BX:BX),0.1),0.05)
))</f>
        <v>25.5</v>
      </c>
      <c r="L341" s="11">
        <f>IF(K341="No","No",
MROUND(_xlfn.XLOOKUP(B341,'Base stats'!B:B,'Base stats'!BI:BI) * 0.01 *2 + 0.05, 0.05)
)</f>
        <v>24.5</v>
      </c>
      <c r="M341" s="5" t="str">
        <f>IF(K341="No","No",IF(_xlfn.XLOOKUP(_xlfn.XLOOKUP(B341,'Base stats'!B:B,'Base stats'!E:E),Groups!A:A,Groups!BD:BD)=1,"No",
MROUND(_xlfn.XLOOKUP(B341,'Base stats'!B:B,'Base stats'!BU:BU)/10000+0.01,0.01)
))</f>
        <v>No</v>
      </c>
      <c r="N341" s="4">
        <f>IF(K341="No","No",
MROUND(
  _xlfn.XLOOKUP(B341,'Base stats'!B:B,'Base stats'!BC:BC)^0.25
  / (_xlfn.XLOOKUP(B341,'Base stats'!B:B,'Base stats'!BM:BM) * 10)
  * _xlfn.XLOOKUP(
      _xlfn.XLOOKUP(B341,'Base stats'!B:B,'Base stats'!E:E),
      Groups!A:A,
      Groups!V:V
    ) * 150
  + MIN(12, _xlfn.XLOOKUP(B341,'Base stats'!B:B,'Base stats'!W:W))^(1/IF(_xlfn.XLOOKUP(_xlfn.XLOOKUP(B341,'Base stats'!B:B,'Base stats'!E:E),Groups!A:A,Groups!U:U)=1,100,10)) + 0.5 + _xlfn.XLOOKUP(B341,'Base stats'!B:B,'Base stats'!BW:BW),
0.05))</f>
        <v>2.7</v>
      </c>
      <c r="O341" s="3" t="str">
        <f>IF(Animals!AD341="No","No",
MAX(MROUND((MIN(10,_xlfn.XLOOKUP(B341,'Base stats'!B:B,'Base stats'!V:V)*IF(_xlfn.XLOOKUP(_xlfn.XLOOKUP(B341,'Base stats'!B:B,'Base stats'!E:E),Groups!A:A,Groups!O:O)=0,1,0.33))^0.4*_xlfn.XLOOKUP(B341,'Base stats'!B:B,'Base stats'!BJ:BJ)^0.73)^0.6 *_xlfn.XLOOKUP(B341,'Base stats'!B:B,'Base stats'!BX:BX),0.1),0.05)
)</f>
        <v>No</v>
      </c>
      <c r="P341" s="11" t="str">
        <f>IF(O341="No","No",
MROUND(_xlfn.XLOOKUP(B341,'Base stats'!B:B,'Base stats'!BJ:BJ) * 0.01 * 2 + 0.05, 0.05)
)</f>
        <v>No</v>
      </c>
      <c r="Q341" s="5" t="str">
        <f>IF(O341="No","No",
MROUND(_xlfn.XLOOKUP(B341,'Base stats'!B:B,'Base stats'!BV:BV)/10000+0.01,0.01)
)</f>
        <v>No</v>
      </c>
      <c r="R341" s="4" t="str">
        <f>IF(O341="No","No",
MROUND(_xlfn.XLOOKUP(B341,'Base stats'!B:B,'Base stats'!BB:BB)^0.25
/((_xlfn.XLOOKUP(B341,'Base stats'!B:B,'Base stats'!BN:BN))*10)*_xlfn.XLOOKUP(_xlfn.XLOOKUP(B341,'Base stats'!B:B,'Base stats'!E:E),Groups!A:A,Groups!Z:Z)*150 + 0.5 + _xlfn.XLOOKUP(B341,'Base stats'!B:B,'Base stats'!BW:BW),
0.05))</f>
        <v>No</v>
      </c>
      <c r="S341" s="3" t="str">
        <f>IF(Animals!AI341="No","No",
IF(_xlfn.XLOOKUP(B341,'Base stats'!B:B,'Base stats'!U:U)="No",
MAX(MROUND(_xlfn.XLOOKUP(B341,'Base stats'!B:B,'Base stats'!BT:BT) * _xlfn.XLOOKUP(B341,'Base stats'!B:B,'Base stats'!BP:BP)^0.9 / 21 * _xlfn.XLOOKUP(B341,'Base stats'!B:B,'Base stats'!BX:BX),0.1),0.05),
MAX(MROUND(((MIN(12,_xlfn.XLOOKUP(B341,'Base stats'!B:B,'Base stats'!U:U)))^0.4*_xlfn.XLOOKUP(B341,'Base stats'!B:B,'Base stats'!BH:BH)^0.73)^0.6 * _xlfn.XLOOKUP(B341,'Base stats'!B:B,'Base stats'!BX:BX),0.1),0.05)
))</f>
        <v>No</v>
      </c>
      <c r="T341" s="11" t="str">
        <f>IF(S341="No","No",
MROUND(_xlfn.XLOOKUP(B341,'Base stats'!B:B,'Base stats'!BH:BH) * 0.01 * 2 + 0.05, 0.05)
)</f>
        <v>No</v>
      </c>
      <c r="U341" s="5" t="str">
        <f>IF(S341="No","No",IF(_xlfn.XLOOKUP(B341,'Base stats'!B:B,'Base stats'!U:U)="No","No",
MROUND(_xlfn.XLOOKUP(B341,'Base stats'!B:B,'Base stats'!BT:BT)/10000+0.01,0.01)
))</f>
        <v>No</v>
      </c>
      <c r="V341" s="4" t="str">
        <f>IF(S341="No","No",
MROUND(_xlfn.XLOOKUP(B341,'Base stats'!B:B,'Base stats'!BF:BF)^0.25
/((_xlfn.XLOOKUP(B341,'Base stats'!B:B,'Base stats'!BO:BO))*10)*_xlfn.XLOOKUP(_xlfn.XLOOKUP(B341,'Base stats'!B:B,'Base stats'!E:E),Groups!A:A,Groups!AE:AE)*150 + 0.5 + _xlfn.XLOOKUP(B341,'Base stats'!B:B,'Base stats'!BW:BW),
0.05))</f>
        <v>No</v>
      </c>
      <c r="W341" s="8">
        <f>MROUND(_xlfn.XLOOKUP(_xlfn.XLOOKUP(B341,'Base stats'!B:B,'Base stats'!E:E),Groups!A:A,Groups!BG:BG)*_xlfn.XLOOKUP(B341,'Base stats'!B:B,'Base stats'!C:C)^-0.165,0.05)</f>
        <v>0.15000000000000002</v>
      </c>
      <c r="X341" s="1">
        <f>MROUND(_xlfn.XLOOKUP(_xlfn.XLOOKUP(B341,'Base stats'!B:B,'Base stats'!E:E),Groups!A:A,Groups!BH:BH)*_xlfn.XLOOKUP(B341,'Base stats'!B:B,'Base stats'!C:C)^0.165,0.05)</f>
        <v>0</v>
      </c>
      <c r="Y341" s="8">
        <f>MROUND(_xlfn.XLOOKUP(_xlfn.XLOOKUP(B341,'Base stats'!B:B,'Base stats'!E:E),Groups!A:A,Groups!BI:BI)*_xlfn.XLOOKUP(B341,'Base stats'!B:B,'Base stats'!C:C)^0.165,0.05)</f>
        <v>0</v>
      </c>
      <c r="Z341" s="18">
        <f>MROUND(_xlfn.XLOOKUP(B341,'Base stats'!B:B,'Base stats'!AQ:AQ)*_xlfn.XLOOKUP(_xlfn.XLOOKUP(B341,'Base stats'!B:B,'Base stats'!E:E),Groups!A:A,Groups!H:H)/1000,IF((_xlfn.XLOOKUP(B341,'Base stats'!B:B,'Base stats'!AQ:AQ)*_xlfn.XLOOKUP(_xlfn.XLOOKUP(B341,'Base stats'!B:B,'Base stats'!E:E),Groups!A:A,Groups!H:H)/1000)&gt;1,0.05,0.01))</f>
        <v>0.12</v>
      </c>
      <c r="AA341" s="18">
        <f>MROUND((1/2)*(_xlfn.XLOOKUP(_xlfn.XLOOKUP(B341,'Base stats'!B:B,'Base stats'!E:E),Groups!A:A,Groups!H:H)*_xlfn.XLOOKUP(_xlfn.XLOOKUP(B341,'Base stats'!B:B,'Base stats'!E:E),Groups!A:A,Groups!I:I))*_xlfn.XLOOKUP(B341,'Base stats'!B:B,'Base stats'!AQ:AQ)*0.01,0.05)</f>
        <v>0.5</v>
      </c>
      <c r="AB341" s="18">
        <f>MROUND(250*(Animals!AO341+Animals!AP341),25)</f>
        <v>1500</v>
      </c>
      <c r="AC341" s="18" t="str">
        <f>_xlfn.XLOOKUP(_xlfn.XLOOKUP(B341,'Base stats'!B:B,'Base stats'!E:E),Groups!A:A,Groups!BJ:BJ)</f>
        <v>Quadruped</v>
      </c>
    </row>
    <row r="342" spans="1:29" ht="16.5" thickTop="1" thickBot="1" x14ac:dyDescent="0.3">
      <c r="A342" s="16" t="str">
        <f>Animals!A342</f>
        <v>UnblinkingEye</v>
      </c>
      <c r="B342" s="6" t="str">
        <f>Animals!B342</f>
        <v>Oculus immortalis</v>
      </c>
      <c r="C342" s="1" t="str">
        <f>Animals!C342</f>
        <v>&lt;li&gt;AA_UnblinkingEye&lt;/li&gt;</v>
      </c>
      <c r="D342" s="47">
        <f>MIN(MIN(6,_xlfn.XLOOKUP(A342,Animals!A:A,Animals!AO:AO))*20,MAX(MROUND(_xlfn.XLOOKUP(B342,'Base stats'!B:B,'Base stats'!BS:BS) * (_xlfn.XLOOKUP(B342,'Base stats'!B:B,'Base stats'!AO:AO)*5%)^0.9 / 21,0.1),0.05))</f>
        <v>74.400000000000006</v>
      </c>
      <c r="E342" s="11">
        <f>MROUND(_xlfn.XLOOKUP(B342,'Base stats'!B:B,'Base stats'!BG:BG) * 0.01 * 2 + 0.01, 0.05)</f>
        <v>85</v>
      </c>
      <c r="F342" s="7">
        <f>MROUND(_xlfn.XLOOKUP(B342,'Base stats'!B:B,'Base stats'!BD:BD)^0.25 / (_xlfn.XLOOKUP(B342,'Base stats'!B:B,'Base stats'!BK:BK) * 10) * 150 + 0.5 + _xlfn.XLOOKUP(B342,'Base stats'!B:B,'Base stats'!BW:BW), 0.05)</f>
        <v>5</v>
      </c>
      <c r="G342" s="3" t="str">
        <f>IF(Animals!S342="No","No",
IF(_xlfn.XLOOKUP(B342,'Base stats'!B:B,'Base stats'!U:U)="No",
MAX(MROUND(_xlfn.XLOOKUP(B342,'Base stats'!B:B,'Base stats'!BT:BT) * _xlfn.XLOOKUP(B342,'Base stats'!B:B,'Base stats'!BP:BP)^0.9 / 21 * _xlfn.XLOOKUP(B342,'Base stats'!B:B,'Base stats'!BX:BX),0.1),0.05),
MAX(MROUND(((MIN(10,_xlfn.XLOOKUP(B342,'Base stats'!B:B,'Base stats'!U:U)))^0.4*_xlfn.XLOOKUP(B342,'Base stats'!B:B,'Base stats'!BH:BH)^0.73)^0.6 * _xlfn.XLOOKUP(B342,'Base stats'!B:B,'Base stats'!BX:BX),0.1),0.05)
))</f>
        <v>No</v>
      </c>
      <c r="H342" s="11" t="str">
        <f>IF(G342="No","No",
MROUND(_xlfn.XLOOKUP(B342,'Base stats'!B:B,'Base stats'!BH:BH) * 0.01 * 2 + 0.05, 0.05)
)</f>
        <v>No</v>
      </c>
      <c r="I342" s="11" t="str">
        <f>IF(G342="No","No",IF(_xlfn.XLOOKUP(B342,'Base stats'!B:B,'Base stats'!U:U)="No","No",
MROUND(_xlfn.XLOOKUP(B342,'Base stats'!B:B,'Base stats'!BT:BT)/10000+0.01,0.01)
))</f>
        <v>No</v>
      </c>
      <c r="J342" s="4" t="str">
        <f>IF(G342="No","No",
MROUND(_xlfn.XLOOKUP(B342,'Base stats'!B:B,'Base stats'!BE:BE)^0.25
/((_xlfn.XLOOKUP(B342,'Base stats'!B:B,'Base stats'!BL:BL))*10)*_xlfn.XLOOKUP(_xlfn.XLOOKUP(B342,'Base stats'!B:B,'Base stats'!E:E),Groups!A:A,Groups!Q:Q)*150 + 0.5 + _xlfn.XLOOKUP(B342,'Base stats'!B:B,'Base stats'!BW:BW),
0.05))</f>
        <v>No</v>
      </c>
      <c r="K342" s="3">
        <f>IF(Animals!X342="No","No",
IF(_xlfn.XLOOKUP(_xlfn.XLOOKUP(B342,'Base stats'!B:B,'Base stats'!E:E),Groups!A:A,Groups!BD:BD)=1,
MAX(MROUND(_xlfn.XLOOKUP(B342,'Base stats'!B:B,'Base stats'!BU:BU) * _xlfn.XLOOKUP(B342,'Base stats'!B:B,'Base stats'!BQ:BQ)^0.9 / 21 *_xlfn.XLOOKUP(B342,'Base stats'!B:B,'Base stats'!BX:BX),0.1),0.05),
MAX(MROUND(((MIN(10,_xlfn.XLOOKUP(B342,'Base stats'!B:B,'Base stats'!W:W)))^0.4*_xlfn.XLOOKUP(B342,'Base stats'!B:B,'Base stats'!BI:BI)^0.73)^0.6 *_xlfn.XLOOKUP(B342,'Base stats'!B:B,'Base stats'!BX:BX),0.1),0.05)
))</f>
        <v>46.1</v>
      </c>
      <c r="L342" s="11">
        <f>IF(K342="No","No",
MROUND(_xlfn.XLOOKUP(B342,'Base stats'!B:B,'Base stats'!BI:BI) * 0.01 *2 + 0.05, 0.05)
)</f>
        <v>86.050000000000011</v>
      </c>
      <c r="M342" s="5">
        <f>IF(K342="No","No",IF(_xlfn.XLOOKUP(_xlfn.XLOOKUP(B342,'Base stats'!B:B,'Base stats'!E:E),Groups!A:A,Groups!BD:BD)=1,"No",
MROUND(_xlfn.XLOOKUP(B342,'Base stats'!B:B,'Base stats'!BU:BU)/10000+0.01,0.01)
))</f>
        <v>3.5</v>
      </c>
      <c r="N342" s="4">
        <f>IF(K342="No","No",
MROUND(
  _xlfn.XLOOKUP(B342,'Base stats'!B:B,'Base stats'!BC:BC)^0.25
  / (_xlfn.XLOOKUP(B342,'Base stats'!B:B,'Base stats'!BM:BM) * 10)
  * _xlfn.XLOOKUP(
      _xlfn.XLOOKUP(B342,'Base stats'!B:B,'Base stats'!E:E),
      Groups!A:A,
      Groups!V:V
    ) * 150
  + MIN(12, _xlfn.XLOOKUP(B342,'Base stats'!B:B,'Base stats'!W:W))^(1/IF(_xlfn.XLOOKUP(_xlfn.XLOOKUP(B342,'Base stats'!B:B,'Base stats'!E:E),Groups!A:A,Groups!U:U)=1,100,10)) + 0.5 + _xlfn.XLOOKUP(B342,'Base stats'!B:B,'Base stats'!BW:BW),
0.05))</f>
        <v>7.3000000000000007</v>
      </c>
      <c r="O342" s="3" t="str">
        <f>IF(Animals!AD342="No","No",
MAX(MROUND((MIN(10,_xlfn.XLOOKUP(B342,'Base stats'!B:B,'Base stats'!V:V)*IF(_xlfn.XLOOKUP(_xlfn.XLOOKUP(B342,'Base stats'!B:B,'Base stats'!E:E),Groups!A:A,Groups!O:O)=0,1,0.33))^0.4*_xlfn.XLOOKUP(B342,'Base stats'!B:B,'Base stats'!BJ:BJ)^0.73)^0.6 *_xlfn.XLOOKUP(B342,'Base stats'!B:B,'Base stats'!BX:BX),0.1),0.05)
)</f>
        <v>No</v>
      </c>
      <c r="P342" s="11" t="str">
        <f>IF(O342="No","No",
MROUND(_xlfn.XLOOKUP(B342,'Base stats'!B:B,'Base stats'!BJ:BJ) * 0.01 * 2 + 0.05, 0.05)
)</f>
        <v>No</v>
      </c>
      <c r="Q342" s="5" t="str">
        <f>IF(O342="No","No",
MROUND(_xlfn.XLOOKUP(B342,'Base stats'!B:B,'Base stats'!BV:BV)/10000+0.01,0.01)
)</f>
        <v>No</v>
      </c>
      <c r="R342" s="4" t="str">
        <f>IF(O342="No","No",
MROUND(_xlfn.XLOOKUP(B342,'Base stats'!B:B,'Base stats'!BB:BB)^0.25
/((_xlfn.XLOOKUP(B342,'Base stats'!B:B,'Base stats'!BN:BN))*10)*_xlfn.XLOOKUP(_xlfn.XLOOKUP(B342,'Base stats'!B:B,'Base stats'!E:E),Groups!A:A,Groups!Z:Z)*150 + 0.5 + _xlfn.XLOOKUP(B342,'Base stats'!B:B,'Base stats'!BW:BW),
0.05))</f>
        <v>No</v>
      </c>
      <c r="S342" s="3" t="str">
        <f>IF(Animals!AI342="No","No",
IF(_xlfn.XLOOKUP(B342,'Base stats'!B:B,'Base stats'!U:U)="No",
MAX(MROUND(_xlfn.XLOOKUP(B342,'Base stats'!B:B,'Base stats'!BT:BT) * _xlfn.XLOOKUP(B342,'Base stats'!B:B,'Base stats'!BP:BP)^0.9 / 21 * _xlfn.XLOOKUP(B342,'Base stats'!B:B,'Base stats'!BX:BX),0.1),0.05),
MAX(MROUND(((MIN(12,_xlfn.XLOOKUP(B342,'Base stats'!B:B,'Base stats'!U:U)))^0.4*_xlfn.XLOOKUP(B342,'Base stats'!B:B,'Base stats'!BH:BH)^0.73)^0.6 * _xlfn.XLOOKUP(B342,'Base stats'!B:B,'Base stats'!BX:BX),0.1),0.05)
))</f>
        <v>No</v>
      </c>
      <c r="T342" s="11" t="str">
        <f>IF(S342="No","No",
MROUND(_xlfn.XLOOKUP(B342,'Base stats'!B:B,'Base stats'!BH:BH) * 0.01 * 2 + 0.05, 0.05)
)</f>
        <v>No</v>
      </c>
      <c r="U342" s="5" t="str">
        <f>IF(S342="No","No",IF(_xlfn.XLOOKUP(B342,'Base stats'!B:B,'Base stats'!U:U)="No","No",
MROUND(_xlfn.XLOOKUP(B342,'Base stats'!B:B,'Base stats'!BT:BT)/10000+0.01,0.01)
))</f>
        <v>No</v>
      </c>
      <c r="V342" s="4" t="str">
        <f>IF(S342="No","No",
MROUND(_xlfn.XLOOKUP(B342,'Base stats'!B:B,'Base stats'!BF:BF)^0.25
/((_xlfn.XLOOKUP(B342,'Base stats'!B:B,'Base stats'!BO:BO))*10)*_xlfn.XLOOKUP(_xlfn.XLOOKUP(B342,'Base stats'!B:B,'Base stats'!E:E),Groups!A:A,Groups!AE:AE)*150 + 0.5 + _xlfn.XLOOKUP(B342,'Base stats'!B:B,'Base stats'!BW:BW),
0.05))</f>
        <v>No</v>
      </c>
      <c r="W342" s="8">
        <f>MROUND(_xlfn.XLOOKUP(_xlfn.XLOOKUP(B342,'Base stats'!B:B,'Base stats'!E:E),Groups!A:A,Groups!BG:BG)*_xlfn.XLOOKUP(B342,'Base stats'!B:B,'Base stats'!C:C)^-0.165,0.05)</f>
        <v>0.05</v>
      </c>
      <c r="X342" s="1">
        <f>MROUND(_xlfn.XLOOKUP(_xlfn.XLOOKUP(B342,'Base stats'!B:B,'Base stats'!E:E),Groups!A:A,Groups!BH:BH)*_xlfn.XLOOKUP(B342,'Base stats'!B:B,'Base stats'!C:C)^0.165,0.05)</f>
        <v>0.45</v>
      </c>
      <c r="Y342" s="8">
        <f>MROUND(_xlfn.XLOOKUP(_xlfn.XLOOKUP(B342,'Base stats'!B:B,'Base stats'!E:E),Groups!A:A,Groups!BI:BI)*_xlfn.XLOOKUP(B342,'Base stats'!B:B,'Base stats'!C:C)^0.165,0.05)</f>
        <v>0.1</v>
      </c>
      <c r="Z342" s="18">
        <f>MROUND(_xlfn.XLOOKUP(B342,'Base stats'!B:B,'Base stats'!AQ:AQ)*_xlfn.XLOOKUP(_xlfn.XLOOKUP(B342,'Base stats'!B:B,'Base stats'!E:E),Groups!A:A,Groups!H:H)/1000,IF((_xlfn.XLOOKUP(B342,'Base stats'!B:B,'Base stats'!AQ:AQ)*_xlfn.XLOOKUP(_xlfn.XLOOKUP(B342,'Base stats'!B:B,'Base stats'!E:E),Groups!A:A,Groups!H:H)/1000)&gt;1,0.05,0.01))</f>
        <v>1.3</v>
      </c>
      <c r="AA342" s="18">
        <f>MROUND((1/2)*(_xlfn.XLOOKUP(_xlfn.XLOOKUP(B342,'Base stats'!B:B,'Base stats'!E:E),Groups!A:A,Groups!H:H)*_xlfn.XLOOKUP(_xlfn.XLOOKUP(B342,'Base stats'!B:B,'Base stats'!E:E),Groups!A:A,Groups!I:I))*_xlfn.XLOOKUP(B342,'Base stats'!B:B,'Base stats'!AQ:AQ)*0.01,0.05)</f>
        <v>0.15000000000000002</v>
      </c>
      <c r="AB342" s="18">
        <f>MROUND(250*(Animals!AO342+Animals!AP342),25)</f>
        <v>3250</v>
      </c>
      <c r="AC342" s="18" t="str">
        <f>_xlfn.XLOOKUP(_xlfn.XLOOKUP(B342,'Base stats'!B:B,'Base stats'!E:E),Groups!A:A,Groups!BJ:BJ)</f>
        <v>Birdlike</v>
      </c>
    </row>
    <row r="343" spans="1:29" ht="16.5" thickTop="1" thickBot="1" x14ac:dyDescent="0.3">
      <c r="A343" s="16" t="str">
        <f>Animals!A343</f>
        <v>Wildpawn</v>
      </c>
      <c r="B343" s="6" t="str">
        <f>Animals!B343</f>
        <v>Mycopion ferus</v>
      </c>
      <c r="C343" s="1" t="str">
        <f>Animals!C343</f>
        <v>&lt;li&gt;AA_Wildpawn&lt;/li&gt;</v>
      </c>
      <c r="D343" s="47">
        <f>MIN(MIN(6,_xlfn.XLOOKUP(A343,Animals!A:A,Animals!AO:AO))*20,MAX(MROUND(_xlfn.XLOOKUP(B343,'Base stats'!B:B,'Base stats'!BS:BS) * (_xlfn.XLOOKUP(B343,'Base stats'!B:B,'Base stats'!AO:AO)*5%)^0.9 / 21,0.1),0.05))</f>
        <v>0.4</v>
      </c>
      <c r="E343" s="11">
        <f>MROUND(_xlfn.XLOOKUP(B343,'Base stats'!B:B,'Base stats'!BG:BG) * 0.01 * 2 + 0.01, 0.05)</f>
        <v>0.30000000000000004</v>
      </c>
      <c r="F343" s="7">
        <f>MROUND(_xlfn.XLOOKUP(B343,'Base stats'!B:B,'Base stats'!BD:BD)^0.25 / (_xlfn.XLOOKUP(B343,'Base stats'!B:B,'Base stats'!BK:BK) * 10) * 150 + 0.5 + _xlfn.XLOOKUP(B343,'Base stats'!B:B,'Base stats'!BW:BW), 0.05)</f>
        <v>1.9500000000000002</v>
      </c>
      <c r="G343" s="3" t="str">
        <f>IF(Animals!S343="No","No",
IF(_xlfn.XLOOKUP(B343,'Base stats'!B:B,'Base stats'!U:U)="No",
MAX(MROUND(_xlfn.XLOOKUP(B343,'Base stats'!B:B,'Base stats'!BT:BT) * _xlfn.XLOOKUP(B343,'Base stats'!B:B,'Base stats'!BP:BP)^0.9 / 21 * _xlfn.XLOOKUP(B343,'Base stats'!B:B,'Base stats'!BX:BX),0.1),0.05),
MAX(MROUND(((MIN(10,_xlfn.XLOOKUP(B343,'Base stats'!B:B,'Base stats'!U:U)))^0.4*_xlfn.XLOOKUP(B343,'Base stats'!B:B,'Base stats'!BH:BH)^0.73)^0.6 * _xlfn.XLOOKUP(B343,'Base stats'!B:B,'Base stats'!BX:BX),0.1),0.05)
))</f>
        <v>No</v>
      </c>
      <c r="H343" s="11" t="str">
        <f>IF(G343="No","No",
MROUND(_xlfn.XLOOKUP(B343,'Base stats'!B:B,'Base stats'!BH:BH) * 0.01 * 2 + 0.05, 0.05)
)</f>
        <v>No</v>
      </c>
      <c r="I343" s="11" t="str">
        <f>IF(G343="No","No",IF(_xlfn.XLOOKUP(B343,'Base stats'!B:B,'Base stats'!U:U)="No","No",
MROUND(_xlfn.XLOOKUP(B343,'Base stats'!B:B,'Base stats'!BT:BT)/10000+0.01,0.01)
))</f>
        <v>No</v>
      </c>
      <c r="J343" s="4" t="str">
        <f>IF(G343="No","No",
MROUND(_xlfn.XLOOKUP(B343,'Base stats'!B:B,'Base stats'!BE:BE)^0.25
/((_xlfn.XLOOKUP(B343,'Base stats'!B:B,'Base stats'!BL:BL))*10)*_xlfn.XLOOKUP(_xlfn.XLOOKUP(B343,'Base stats'!B:B,'Base stats'!E:E),Groups!A:A,Groups!Q:Q)*150 + 0.5 + _xlfn.XLOOKUP(B343,'Base stats'!B:B,'Base stats'!BW:BW),
0.05))</f>
        <v>No</v>
      </c>
      <c r="K343" s="3" t="str">
        <f>IF(Animals!X343="No","No",
IF(_xlfn.XLOOKUP(_xlfn.XLOOKUP(B343,'Base stats'!B:B,'Base stats'!E:E),Groups!A:A,Groups!BD:BD)=1,
MAX(MROUND(_xlfn.XLOOKUP(B343,'Base stats'!B:B,'Base stats'!BU:BU) * _xlfn.XLOOKUP(B343,'Base stats'!B:B,'Base stats'!BQ:BQ)^0.9 / 21 *_xlfn.XLOOKUP(B343,'Base stats'!B:B,'Base stats'!BX:BX),0.1),0.05),
MAX(MROUND(((MIN(10,_xlfn.XLOOKUP(B343,'Base stats'!B:B,'Base stats'!W:W)))^0.4*_xlfn.XLOOKUP(B343,'Base stats'!B:B,'Base stats'!BI:BI)^0.73)^0.6 *_xlfn.XLOOKUP(B343,'Base stats'!B:B,'Base stats'!BX:BX),0.1),0.05)
))</f>
        <v>No</v>
      </c>
      <c r="L343" s="11" t="str">
        <f>IF(K343="No","No",
MROUND(_xlfn.XLOOKUP(B343,'Base stats'!B:B,'Base stats'!BI:BI) * 0.01 *2 + 0.05, 0.05)
)</f>
        <v>No</v>
      </c>
      <c r="M343" s="5" t="str">
        <f>IF(K343="No","No",IF(_xlfn.XLOOKUP(_xlfn.XLOOKUP(B343,'Base stats'!B:B,'Base stats'!E:E),Groups!A:A,Groups!BD:BD)=1,"No",
MROUND(_xlfn.XLOOKUP(B343,'Base stats'!B:B,'Base stats'!BU:BU)/10000+0.01,0.01)
))</f>
        <v>No</v>
      </c>
      <c r="N343" s="4" t="str">
        <f>IF(K343="No","No",
MROUND(
  _xlfn.XLOOKUP(B343,'Base stats'!B:B,'Base stats'!BC:BC)^0.25
  / (_xlfn.XLOOKUP(B343,'Base stats'!B:B,'Base stats'!BM:BM) * 10)
  * _xlfn.XLOOKUP(
      _xlfn.XLOOKUP(B343,'Base stats'!B:B,'Base stats'!E:E),
      Groups!A:A,
      Groups!V:V
    ) * 150
  + MIN(12, _xlfn.XLOOKUP(B343,'Base stats'!B:B,'Base stats'!W:W))^(1/IF(_xlfn.XLOOKUP(_xlfn.XLOOKUP(B343,'Base stats'!B:B,'Base stats'!E:E),Groups!A:A,Groups!U:U)=1,100,10)) + 0.5 + _xlfn.XLOOKUP(B343,'Base stats'!B:B,'Base stats'!BW:BW),
0.05))</f>
        <v>No</v>
      </c>
      <c r="O343" s="3">
        <f>IF(Animals!AD343="No","No",
MAX(MROUND((MIN(10,_xlfn.XLOOKUP(B343,'Base stats'!B:B,'Base stats'!V:V)*IF(_xlfn.XLOOKUP(_xlfn.XLOOKUP(B343,'Base stats'!B:B,'Base stats'!E:E),Groups!A:A,Groups!O:O)=0,1,0.33))^0.4*_xlfn.XLOOKUP(B343,'Base stats'!B:B,'Base stats'!BJ:BJ)^0.73)^0.6 *_xlfn.XLOOKUP(B343,'Base stats'!B:B,'Base stats'!BX:BX),0.1),0.05)
)</f>
        <v>6.3000000000000007</v>
      </c>
      <c r="P343" s="11">
        <f>IF(O343="No","No",
MROUND(_xlfn.XLOOKUP(B343,'Base stats'!B:B,'Base stats'!BJ:BJ) * 0.01 * 2 + 0.05, 0.05)
)</f>
        <v>0.9</v>
      </c>
      <c r="Q343" s="5">
        <f>IF(O343="No","No",
MROUND(_xlfn.XLOOKUP(B343,'Base stats'!B:B,'Base stats'!BV:BV)/10000+0.01,0.01)
)</f>
        <v>0.09</v>
      </c>
      <c r="R343" s="4">
        <f>IF(O343="No","No",
MROUND(_xlfn.XLOOKUP(B343,'Base stats'!B:B,'Base stats'!BB:BB)^0.25
/((_xlfn.XLOOKUP(B343,'Base stats'!B:B,'Base stats'!BN:BN))*10)*_xlfn.XLOOKUP(_xlfn.XLOOKUP(B343,'Base stats'!B:B,'Base stats'!E:E),Groups!A:A,Groups!Z:Z)*150 + 0.5 + _xlfn.XLOOKUP(B343,'Base stats'!B:B,'Base stats'!BW:BW),
0.05))</f>
        <v>2.15</v>
      </c>
      <c r="S343" s="3">
        <f>IF(Animals!AI343="No","No",
IF(_xlfn.XLOOKUP(B343,'Base stats'!B:B,'Base stats'!U:U)="No",
MAX(MROUND(_xlfn.XLOOKUP(B343,'Base stats'!B:B,'Base stats'!BT:BT) * _xlfn.XLOOKUP(B343,'Base stats'!B:B,'Base stats'!BP:BP)^0.9 / 21 * _xlfn.XLOOKUP(B343,'Base stats'!B:B,'Base stats'!BX:BX),0.1),0.05),
MAX(MROUND(((MIN(12,_xlfn.XLOOKUP(B343,'Base stats'!B:B,'Base stats'!U:U)))^0.4*_xlfn.XLOOKUP(B343,'Base stats'!B:B,'Base stats'!BH:BH)^0.73)^0.6 * _xlfn.XLOOKUP(B343,'Base stats'!B:B,'Base stats'!BX:BX),0.1),0.05)
))</f>
        <v>4.6000000000000005</v>
      </c>
      <c r="T343" s="11">
        <f>IF(S343="No","No",
MROUND(_xlfn.XLOOKUP(B343,'Base stats'!B:B,'Base stats'!BH:BH) * 0.01 * 2 + 0.05, 0.05)
)</f>
        <v>0.4</v>
      </c>
      <c r="U343" s="5">
        <f>IF(S343="No","No",IF(_xlfn.XLOOKUP(B343,'Base stats'!B:B,'Base stats'!U:U)="No","No",
MROUND(_xlfn.XLOOKUP(B343,'Base stats'!B:B,'Base stats'!BT:BT)/10000+0.01,0.01)
))</f>
        <v>0.37</v>
      </c>
      <c r="V343" s="4">
        <f>IF(S343="No","No",
MROUND(_xlfn.XLOOKUP(B343,'Base stats'!B:B,'Base stats'!BF:BF)^0.25
/((_xlfn.XLOOKUP(B343,'Base stats'!B:B,'Base stats'!BO:BO))*10)*_xlfn.XLOOKUP(_xlfn.XLOOKUP(B343,'Base stats'!B:B,'Base stats'!E:E),Groups!A:A,Groups!AE:AE)*150 + 0.5 + _xlfn.XLOOKUP(B343,'Base stats'!B:B,'Base stats'!BW:BW),
0.05))</f>
        <v>1.8</v>
      </c>
      <c r="W343" s="8">
        <f>MROUND(_xlfn.XLOOKUP(_xlfn.XLOOKUP(B343,'Base stats'!B:B,'Base stats'!E:E),Groups!A:A,Groups!BG:BG)*_xlfn.XLOOKUP(B343,'Base stats'!B:B,'Base stats'!C:C)^-0.165,0.05)</f>
        <v>0.15000000000000002</v>
      </c>
      <c r="X343" s="1">
        <f>MROUND(_xlfn.XLOOKUP(_xlfn.XLOOKUP(B343,'Base stats'!B:B,'Base stats'!E:E),Groups!A:A,Groups!BH:BH)*_xlfn.XLOOKUP(B343,'Base stats'!B:B,'Base stats'!C:C)^0.165,0.05)</f>
        <v>0.25</v>
      </c>
      <c r="Y343" s="8">
        <f>MROUND(_xlfn.XLOOKUP(_xlfn.XLOOKUP(B343,'Base stats'!B:B,'Base stats'!E:E),Groups!A:A,Groups!BI:BI)*_xlfn.XLOOKUP(B343,'Base stats'!B:B,'Base stats'!C:C)^0.165,0.05)</f>
        <v>0.05</v>
      </c>
      <c r="Z343" s="18">
        <f>MROUND(_xlfn.XLOOKUP(B343,'Base stats'!B:B,'Base stats'!AQ:AQ)*_xlfn.XLOOKUP(_xlfn.XLOOKUP(B343,'Base stats'!B:B,'Base stats'!E:E),Groups!A:A,Groups!H:H)/1000,IF((_xlfn.XLOOKUP(B343,'Base stats'!B:B,'Base stats'!AQ:AQ)*_xlfn.XLOOKUP(_xlfn.XLOOKUP(B343,'Base stats'!B:B,'Base stats'!E:E),Groups!A:A,Groups!H:H)/1000)&gt;1,0.05,0.01))</f>
        <v>1.9000000000000001</v>
      </c>
      <c r="AA343" s="18">
        <f>MROUND((1/2)*(_xlfn.XLOOKUP(_xlfn.XLOOKUP(B343,'Base stats'!B:B,'Base stats'!E:E),Groups!A:A,Groups!H:H)*_xlfn.XLOOKUP(_xlfn.XLOOKUP(B343,'Base stats'!B:B,'Base stats'!E:E),Groups!A:A,Groups!I:I))*_xlfn.XLOOKUP(B343,'Base stats'!B:B,'Base stats'!AQ:AQ)*0.01,0.05)</f>
        <v>18.100000000000001</v>
      </c>
      <c r="AB343" s="18">
        <f>MROUND(250*(Animals!AO343+Animals!AP343),25)</f>
        <v>275</v>
      </c>
      <c r="AC343" s="18" t="str">
        <f>_xlfn.XLOOKUP(_xlfn.XLOOKUP(B343,'Base stats'!B:B,'Base stats'!E:E),Groups!A:A,Groups!BJ:BJ)</f>
        <v>Quadruped</v>
      </c>
    </row>
    <row r="344" spans="1:29" ht="16.5" thickTop="1" thickBot="1" x14ac:dyDescent="0.3">
      <c r="A344" s="16" t="str">
        <f>Animals!A344</f>
        <v>Wildpod</v>
      </c>
      <c r="B344" s="6" t="str">
        <f>Animals!B344</f>
        <v>Mycopodium ferus</v>
      </c>
      <c r="C344" s="1" t="str">
        <f>Animals!C344</f>
        <v>&lt;li&gt;AA_Wildpod&lt;/li&gt;</v>
      </c>
      <c r="D344" s="47">
        <f>MIN(MIN(6,_xlfn.XLOOKUP(A344,Animals!A:A,Animals!AO:AO))*20,MAX(MROUND(_xlfn.XLOOKUP(B344,'Base stats'!B:B,'Base stats'!BS:BS) * (_xlfn.XLOOKUP(B344,'Base stats'!B:B,'Base stats'!AO:AO)*5%)^0.9 / 21,0.1),0.05))</f>
        <v>41.5</v>
      </c>
      <c r="E344" s="11">
        <f>MROUND(_xlfn.XLOOKUP(B344,'Base stats'!B:B,'Base stats'!BG:BG) * 0.01 * 2 + 0.01, 0.05)</f>
        <v>45.25</v>
      </c>
      <c r="F344" s="7">
        <f>MROUND(_xlfn.XLOOKUP(B344,'Base stats'!B:B,'Base stats'!BD:BD)^0.25 / (_xlfn.XLOOKUP(B344,'Base stats'!B:B,'Base stats'!BK:BK) * 10) * 150 + 0.5 + _xlfn.XLOOKUP(B344,'Base stats'!B:B,'Base stats'!BW:BW), 0.05)</f>
        <v>3.0500000000000003</v>
      </c>
      <c r="G344" s="3" t="str">
        <f>IF(Animals!S344="No","No",
IF(_xlfn.XLOOKUP(B344,'Base stats'!B:B,'Base stats'!U:U)="No",
MAX(MROUND(_xlfn.XLOOKUP(B344,'Base stats'!B:B,'Base stats'!BT:BT) * _xlfn.XLOOKUP(B344,'Base stats'!B:B,'Base stats'!BP:BP)^0.9 / 21 * _xlfn.XLOOKUP(B344,'Base stats'!B:B,'Base stats'!BX:BX),0.1),0.05),
MAX(MROUND(((MIN(10,_xlfn.XLOOKUP(B344,'Base stats'!B:B,'Base stats'!U:U)))^0.4*_xlfn.XLOOKUP(B344,'Base stats'!B:B,'Base stats'!BH:BH)^0.73)^0.6 * _xlfn.XLOOKUP(B344,'Base stats'!B:B,'Base stats'!BX:BX),0.1),0.05)
))</f>
        <v>No</v>
      </c>
      <c r="H344" s="11" t="str">
        <f>IF(G344="No","No",
MROUND(_xlfn.XLOOKUP(B344,'Base stats'!B:B,'Base stats'!BH:BH) * 0.01 * 2 + 0.05, 0.05)
)</f>
        <v>No</v>
      </c>
      <c r="I344" s="11" t="str">
        <f>IF(G344="No","No",IF(_xlfn.XLOOKUP(B344,'Base stats'!B:B,'Base stats'!U:U)="No","No",
MROUND(_xlfn.XLOOKUP(B344,'Base stats'!B:B,'Base stats'!BT:BT)/10000+0.01,0.01)
))</f>
        <v>No</v>
      </c>
      <c r="J344" s="4" t="str">
        <f>IF(G344="No","No",
MROUND(_xlfn.XLOOKUP(B344,'Base stats'!B:B,'Base stats'!BE:BE)^0.25
/((_xlfn.XLOOKUP(B344,'Base stats'!B:B,'Base stats'!BL:BL))*10)*_xlfn.XLOOKUP(_xlfn.XLOOKUP(B344,'Base stats'!B:B,'Base stats'!E:E),Groups!A:A,Groups!Q:Q)*150 + 0.5 + _xlfn.XLOOKUP(B344,'Base stats'!B:B,'Base stats'!BW:BW),
0.05))</f>
        <v>No</v>
      </c>
      <c r="K344" s="3" t="str">
        <f>IF(Animals!X344="No","No",
IF(_xlfn.XLOOKUP(_xlfn.XLOOKUP(B344,'Base stats'!B:B,'Base stats'!E:E),Groups!A:A,Groups!BD:BD)=1,
MAX(MROUND(_xlfn.XLOOKUP(B344,'Base stats'!B:B,'Base stats'!BU:BU) * _xlfn.XLOOKUP(B344,'Base stats'!B:B,'Base stats'!BQ:BQ)^0.9 / 21 *_xlfn.XLOOKUP(B344,'Base stats'!B:B,'Base stats'!BX:BX),0.1),0.05),
MAX(MROUND(((MIN(10,_xlfn.XLOOKUP(B344,'Base stats'!B:B,'Base stats'!W:W)))^0.4*_xlfn.XLOOKUP(B344,'Base stats'!B:B,'Base stats'!BI:BI)^0.73)^0.6 *_xlfn.XLOOKUP(B344,'Base stats'!B:B,'Base stats'!BX:BX),0.1),0.05)
))</f>
        <v>No</v>
      </c>
      <c r="L344" s="11" t="str">
        <f>IF(K344="No","No",
MROUND(_xlfn.XLOOKUP(B344,'Base stats'!B:B,'Base stats'!BI:BI) * 0.01 *2 + 0.05, 0.05)
)</f>
        <v>No</v>
      </c>
      <c r="M344" s="5" t="str">
        <f>IF(K344="No","No",IF(_xlfn.XLOOKUP(_xlfn.XLOOKUP(B344,'Base stats'!B:B,'Base stats'!E:E),Groups!A:A,Groups!BD:BD)=1,"No",
MROUND(_xlfn.XLOOKUP(B344,'Base stats'!B:B,'Base stats'!BU:BU)/10000+0.01,0.01)
))</f>
        <v>No</v>
      </c>
      <c r="N344" s="4" t="str">
        <f>IF(K344="No","No",
MROUND(
  _xlfn.XLOOKUP(B344,'Base stats'!B:B,'Base stats'!BC:BC)^0.25
  / (_xlfn.XLOOKUP(B344,'Base stats'!B:B,'Base stats'!BM:BM) * 10)
  * _xlfn.XLOOKUP(
      _xlfn.XLOOKUP(B344,'Base stats'!B:B,'Base stats'!E:E),
      Groups!A:A,
      Groups!V:V
    ) * 150
  + MIN(12, _xlfn.XLOOKUP(B344,'Base stats'!B:B,'Base stats'!W:W))^(1/IF(_xlfn.XLOOKUP(_xlfn.XLOOKUP(B344,'Base stats'!B:B,'Base stats'!E:E),Groups!A:A,Groups!U:U)=1,100,10)) + 0.5 + _xlfn.XLOOKUP(B344,'Base stats'!B:B,'Base stats'!BW:BW),
0.05))</f>
        <v>No</v>
      </c>
      <c r="O344" s="3">
        <f>IF(Animals!AD344="No","No",
MAX(MROUND((MIN(10,_xlfn.XLOOKUP(B344,'Base stats'!B:B,'Base stats'!V:V)*IF(_xlfn.XLOOKUP(_xlfn.XLOOKUP(B344,'Base stats'!B:B,'Base stats'!E:E),Groups!A:A,Groups!O:O)=0,1,0.33))^0.4*_xlfn.XLOOKUP(B344,'Base stats'!B:B,'Base stats'!BJ:BJ)^0.73)^0.6 *_xlfn.XLOOKUP(B344,'Base stats'!B:B,'Base stats'!BX:BX),0.1),0.05)
)</f>
        <v>62.6</v>
      </c>
      <c r="P344" s="11">
        <f>IF(O344="No","No",
MROUND(_xlfn.XLOOKUP(B344,'Base stats'!B:B,'Base stats'!BJ:BJ) * 0.01 * 2 + 0.05, 0.05)
)</f>
        <v>71.7</v>
      </c>
      <c r="Q344" s="5">
        <f>IF(O344="No","No",
MROUND(_xlfn.XLOOKUP(B344,'Base stats'!B:B,'Base stats'!BV:BV)/10000+0.01,0.01)
)</f>
        <v>0.77</v>
      </c>
      <c r="R344" s="4">
        <f>IF(O344="No","No",
MROUND(_xlfn.XLOOKUP(B344,'Base stats'!B:B,'Base stats'!BB:BB)^0.25
/((_xlfn.XLOOKUP(B344,'Base stats'!B:B,'Base stats'!BN:BN))*10)*_xlfn.XLOOKUP(_xlfn.XLOOKUP(B344,'Base stats'!B:B,'Base stats'!E:E),Groups!A:A,Groups!Z:Z)*150 + 0.5 + _xlfn.XLOOKUP(B344,'Base stats'!B:B,'Base stats'!BW:BW),
0.05))</f>
        <v>2.85</v>
      </c>
      <c r="S344" s="3">
        <f>IF(Animals!AI344="No","No",
IF(_xlfn.XLOOKUP(B344,'Base stats'!B:B,'Base stats'!U:U)="No",
MAX(MROUND(_xlfn.XLOOKUP(B344,'Base stats'!B:B,'Base stats'!BT:BT) * _xlfn.XLOOKUP(B344,'Base stats'!B:B,'Base stats'!BP:BP)^0.9 / 21 * _xlfn.XLOOKUP(B344,'Base stats'!B:B,'Base stats'!BX:BX),0.1),0.05),
MAX(MROUND(((MIN(12,_xlfn.XLOOKUP(B344,'Base stats'!B:B,'Base stats'!U:U)))^0.4*_xlfn.XLOOKUP(B344,'Base stats'!B:B,'Base stats'!BH:BH)^0.73)^0.6 * _xlfn.XLOOKUP(B344,'Base stats'!B:B,'Base stats'!BX:BX),0.1),0.05)
))</f>
        <v>50.5</v>
      </c>
      <c r="T344" s="11">
        <f>IF(S344="No","No",
MROUND(_xlfn.XLOOKUP(B344,'Base stats'!B:B,'Base stats'!BH:BH) * 0.01 * 2 + 0.05, 0.05)
)</f>
        <v>39.700000000000003</v>
      </c>
      <c r="U344" s="5">
        <f>IF(S344="No","No",IF(_xlfn.XLOOKUP(B344,'Base stats'!B:B,'Base stats'!U:U)="No","No",
MROUND(_xlfn.XLOOKUP(B344,'Base stats'!B:B,'Base stats'!BT:BT)/10000+0.01,0.01)
))</f>
        <v>4.1900000000000004</v>
      </c>
      <c r="V344" s="4">
        <f>IF(S344="No","No",
MROUND(_xlfn.XLOOKUP(B344,'Base stats'!B:B,'Base stats'!BF:BF)^0.25
/((_xlfn.XLOOKUP(B344,'Base stats'!B:B,'Base stats'!BO:BO))*10)*_xlfn.XLOOKUP(_xlfn.XLOOKUP(B344,'Base stats'!B:B,'Base stats'!E:E),Groups!A:A,Groups!AE:AE)*150 + 0.5 + _xlfn.XLOOKUP(B344,'Base stats'!B:B,'Base stats'!BW:BW),
0.05))</f>
        <v>3.1</v>
      </c>
      <c r="W344" s="8">
        <f>MROUND(_xlfn.XLOOKUP(_xlfn.XLOOKUP(B344,'Base stats'!B:B,'Base stats'!E:E),Groups!A:A,Groups!BG:BG)*_xlfn.XLOOKUP(B344,'Base stats'!B:B,'Base stats'!C:C)^-0.165,0.05)</f>
        <v>0.05</v>
      </c>
      <c r="X344" s="1">
        <f>MROUND(_xlfn.XLOOKUP(_xlfn.XLOOKUP(B344,'Base stats'!B:B,'Base stats'!E:E),Groups!A:A,Groups!BH:BH)*_xlfn.XLOOKUP(B344,'Base stats'!B:B,'Base stats'!C:C)^0.165,0.05)</f>
        <v>0.60000000000000009</v>
      </c>
      <c r="Y344" s="8">
        <f>MROUND(_xlfn.XLOOKUP(_xlfn.XLOOKUP(B344,'Base stats'!B:B,'Base stats'!E:E),Groups!A:A,Groups!BI:BI)*_xlfn.XLOOKUP(B344,'Base stats'!B:B,'Base stats'!C:C)^0.165,0.05)</f>
        <v>0.1</v>
      </c>
      <c r="Z344" s="18">
        <f>MROUND(_xlfn.XLOOKUP(B344,'Base stats'!B:B,'Base stats'!AQ:AQ)*_xlfn.XLOOKUP(_xlfn.XLOOKUP(B344,'Base stats'!B:B,'Base stats'!E:E),Groups!A:A,Groups!H:H)/1000,IF((_xlfn.XLOOKUP(B344,'Base stats'!B:B,'Base stats'!AQ:AQ)*_xlfn.XLOOKUP(_xlfn.XLOOKUP(B344,'Base stats'!B:B,'Base stats'!E:E),Groups!A:A,Groups!H:H)/1000)&gt;1,0.05,0.01))</f>
        <v>12.950000000000001</v>
      </c>
      <c r="AA344" s="18">
        <f>MROUND((1/2)*(_xlfn.XLOOKUP(_xlfn.XLOOKUP(B344,'Base stats'!B:B,'Base stats'!E:E),Groups!A:A,Groups!H:H)*_xlfn.XLOOKUP(_xlfn.XLOOKUP(B344,'Base stats'!B:B,'Base stats'!E:E),Groups!A:A,Groups!I:I))*_xlfn.XLOOKUP(B344,'Base stats'!B:B,'Base stats'!AQ:AQ)*0.01,0.05)</f>
        <v>124.95</v>
      </c>
      <c r="AB344" s="18">
        <f>MROUND(250*(Animals!AO344+Animals!AP344),25)</f>
        <v>2500</v>
      </c>
      <c r="AC344" s="18" t="str">
        <f>_xlfn.XLOOKUP(_xlfn.XLOOKUP(B344,'Base stats'!B:B,'Base stats'!E:E),Groups!A:A,Groups!BJ:BJ)</f>
        <v>Quadruped</v>
      </c>
    </row>
    <row r="345" spans="1:29" ht="16.5" thickTop="1" thickBot="1" x14ac:dyDescent="0.3">
      <c r="A345" s="16" t="str">
        <f>Animals!A345</f>
        <v>WindBeast</v>
      </c>
      <c r="B345" s="6" t="str">
        <f>Animals!B345</f>
        <v>Bestia ventus</v>
      </c>
      <c r="C345" s="1" t="str">
        <f>Animals!C345</f>
        <v>&lt;li&gt;AA_WindBeast&lt;/li&gt;</v>
      </c>
      <c r="D345" s="47">
        <f>MIN(MIN(6,_xlfn.XLOOKUP(A345,Animals!A:A,Animals!AO:AO))*20,MAX(MROUND(_xlfn.XLOOKUP(B345,'Base stats'!B:B,'Base stats'!BS:BS) * (_xlfn.XLOOKUP(B345,'Base stats'!B:B,'Base stats'!AO:AO)*5%)^0.9 / 21,0.1),0.05))</f>
        <v>7.7</v>
      </c>
      <c r="E345" s="11">
        <f>MROUND(_xlfn.XLOOKUP(B345,'Base stats'!B:B,'Base stats'!BG:BG) * 0.01 * 2 + 0.01, 0.05)</f>
        <v>7.0500000000000007</v>
      </c>
      <c r="F345" s="7">
        <f>MROUND(_xlfn.XLOOKUP(B345,'Base stats'!B:B,'Base stats'!BD:BD)^0.25 / (_xlfn.XLOOKUP(B345,'Base stats'!B:B,'Base stats'!BK:BK) * 10) * 150 + 0.5 + _xlfn.XLOOKUP(B345,'Base stats'!B:B,'Base stats'!BW:BW), 0.05)</f>
        <v>1.8</v>
      </c>
      <c r="G345" s="3">
        <f>IF(Animals!S345="No","No",
IF(_xlfn.XLOOKUP(B345,'Base stats'!B:B,'Base stats'!U:U)="No",
MAX(MROUND(_xlfn.XLOOKUP(B345,'Base stats'!B:B,'Base stats'!BT:BT) * _xlfn.XLOOKUP(B345,'Base stats'!B:B,'Base stats'!BP:BP)^0.9 / 21 * _xlfn.XLOOKUP(B345,'Base stats'!B:B,'Base stats'!BX:BX),0.1),0.05),
MAX(MROUND(((MIN(10,_xlfn.XLOOKUP(B345,'Base stats'!B:B,'Base stats'!U:U)))^0.4*_xlfn.XLOOKUP(B345,'Base stats'!B:B,'Base stats'!BH:BH)^0.73)^0.6 * _xlfn.XLOOKUP(B345,'Base stats'!B:B,'Base stats'!BX:BX),0.1),0.05)
))</f>
        <v>13.200000000000001</v>
      </c>
      <c r="H345" s="11">
        <f>IF(G345="No","No",
MROUND(_xlfn.XLOOKUP(B345,'Base stats'!B:B,'Base stats'!BH:BH) * 0.01 * 2 + 0.05, 0.05)
)</f>
        <v>8.35</v>
      </c>
      <c r="I345" s="11" t="str">
        <f>IF(G345="No","No",IF(_xlfn.XLOOKUP(B345,'Base stats'!B:B,'Base stats'!U:U)="No","No",
MROUND(_xlfn.XLOOKUP(B345,'Base stats'!B:B,'Base stats'!BT:BT)/10000+0.01,0.01)
))</f>
        <v>No</v>
      </c>
      <c r="J345" s="4">
        <f>IF(G345="No","No",
MROUND(_xlfn.XLOOKUP(B345,'Base stats'!B:B,'Base stats'!BE:BE)^0.25
/((_xlfn.XLOOKUP(B345,'Base stats'!B:B,'Base stats'!BL:BL))*10)*_xlfn.XLOOKUP(_xlfn.XLOOKUP(B345,'Base stats'!B:B,'Base stats'!E:E),Groups!A:A,Groups!Q:Q)*150 + 0.5 + _xlfn.XLOOKUP(B345,'Base stats'!B:B,'Base stats'!BW:BW),
0.05))</f>
        <v>2.4500000000000002</v>
      </c>
      <c r="K345" s="3">
        <f>IF(Animals!X345="No","No",
IF(_xlfn.XLOOKUP(_xlfn.XLOOKUP(B345,'Base stats'!B:B,'Base stats'!E:E),Groups!A:A,Groups!BD:BD)=1,
MAX(MROUND(_xlfn.XLOOKUP(B345,'Base stats'!B:B,'Base stats'!BU:BU) * _xlfn.XLOOKUP(B345,'Base stats'!B:B,'Base stats'!BQ:BQ)^0.9 / 21 *_xlfn.XLOOKUP(B345,'Base stats'!B:B,'Base stats'!BX:BX),0.1),0.05),
MAX(MROUND(((MIN(10,_xlfn.XLOOKUP(B345,'Base stats'!B:B,'Base stats'!W:W)))^0.4*_xlfn.XLOOKUP(B345,'Base stats'!B:B,'Base stats'!BI:BI)^0.73)^0.6 *_xlfn.XLOOKUP(B345,'Base stats'!B:B,'Base stats'!BX:BX),0.1),0.05)
))</f>
        <v>24.5</v>
      </c>
      <c r="L345" s="11">
        <f>IF(K345="No","No",
MROUND(_xlfn.XLOOKUP(B345,'Base stats'!B:B,'Base stats'!BI:BI) * 0.01 *2 + 0.05, 0.05)
)</f>
        <v>8.4500000000000011</v>
      </c>
      <c r="M345" s="5">
        <f>IF(K345="No","No",IF(_xlfn.XLOOKUP(_xlfn.XLOOKUP(B345,'Base stats'!B:B,'Base stats'!E:E),Groups!A:A,Groups!BD:BD)=1,"No",
MROUND(_xlfn.XLOOKUP(B345,'Base stats'!B:B,'Base stats'!BU:BU)/10000+0.01,0.01)
))</f>
        <v>4.7300000000000004</v>
      </c>
      <c r="N345" s="4">
        <f>IF(K345="No","No",
MROUND(
  _xlfn.XLOOKUP(B345,'Base stats'!B:B,'Base stats'!BC:BC)^0.25
  / (_xlfn.XLOOKUP(B345,'Base stats'!B:B,'Base stats'!BM:BM) * 10)
  * _xlfn.XLOOKUP(
      _xlfn.XLOOKUP(B345,'Base stats'!B:B,'Base stats'!E:E),
      Groups!A:A,
      Groups!V:V
    ) * 150
  + MIN(12, _xlfn.XLOOKUP(B345,'Base stats'!B:B,'Base stats'!W:W))^(1/IF(_xlfn.XLOOKUP(_xlfn.XLOOKUP(B345,'Base stats'!B:B,'Base stats'!E:E),Groups!A:A,Groups!U:U)=1,100,10)) + 0.5 + _xlfn.XLOOKUP(B345,'Base stats'!B:B,'Base stats'!BW:BW),
0.05))</f>
        <v>2.4500000000000002</v>
      </c>
      <c r="O345" s="3">
        <f>IF(Animals!AD345="No","No",
MAX(MROUND((MIN(10,_xlfn.XLOOKUP(B345,'Base stats'!B:B,'Base stats'!V:V)*IF(_xlfn.XLOOKUP(_xlfn.XLOOKUP(B345,'Base stats'!B:B,'Base stats'!E:E),Groups!A:A,Groups!O:O)=0,1,0.33))^0.4*_xlfn.XLOOKUP(B345,'Base stats'!B:B,'Base stats'!BJ:BJ)^0.73)^0.6 *_xlfn.XLOOKUP(B345,'Base stats'!B:B,'Base stats'!BX:BX),0.1),0.05)
)</f>
        <v>18.600000000000001</v>
      </c>
      <c r="P345" s="11">
        <f>IF(O345="No","No",
MROUND(_xlfn.XLOOKUP(B345,'Base stats'!B:B,'Base stats'!BJ:BJ) * 0.01 * 2 + 0.05, 0.05)
)</f>
        <v>5.5</v>
      </c>
      <c r="Q345" s="5">
        <f>IF(O345="No","No",
MROUND(_xlfn.XLOOKUP(B345,'Base stats'!B:B,'Base stats'!BV:BV)/10000+0.01,0.01)
)</f>
        <v>1.83</v>
      </c>
      <c r="R345" s="4">
        <f>IF(O345="No","No",
MROUND(_xlfn.XLOOKUP(B345,'Base stats'!B:B,'Base stats'!BB:BB)^0.25
/((_xlfn.XLOOKUP(B345,'Base stats'!B:B,'Base stats'!BN:BN))*10)*_xlfn.XLOOKUP(_xlfn.XLOOKUP(B345,'Base stats'!B:B,'Base stats'!E:E),Groups!A:A,Groups!Z:Z)*150 + 0.5 + _xlfn.XLOOKUP(B345,'Base stats'!B:B,'Base stats'!BW:BW),
0.05))</f>
        <v>2.4500000000000002</v>
      </c>
      <c r="S345" s="3" t="str">
        <f>IF(Animals!AI345="No","No",
IF(_xlfn.XLOOKUP(B345,'Base stats'!B:B,'Base stats'!U:U)="No",
MAX(MROUND(_xlfn.XLOOKUP(B345,'Base stats'!B:B,'Base stats'!BT:BT) * _xlfn.XLOOKUP(B345,'Base stats'!B:B,'Base stats'!BP:BP)^0.9 / 21 * _xlfn.XLOOKUP(B345,'Base stats'!B:B,'Base stats'!BX:BX),0.1),0.05),
MAX(MROUND(((MIN(12,_xlfn.XLOOKUP(B345,'Base stats'!B:B,'Base stats'!U:U)))^0.4*_xlfn.XLOOKUP(B345,'Base stats'!B:B,'Base stats'!BH:BH)^0.73)^0.6 * _xlfn.XLOOKUP(B345,'Base stats'!B:B,'Base stats'!BX:BX),0.1),0.05)
))</f>
        <v>No</v>
      </c>
      <c r="T345" s="11" t="str">
        <f>IF(S345="No","No",
MROUND(_xlfn.XLOOKUP(B345,'Base stats'!B:B,'Base stats'!BH:BH) * 0.01 * 2 + 0.05, 0.05)
)</f>
        <v>No</v>
      </c>
      <c r="U345" s="5" t="str">
        <f>IF(S345="No","No",IF(_xlfn.XLOOKUP(B345,'Base stats'!B:B,'Base stats'!U:U)="No","No",
MROUND(_xlfn.XLOOKUP(B345,'Base stats'!B:B,'Base stats'!BT:BT)/10000+0.01,0.01)
))</f>
        <v>No</v>
      </c>
      <c r="V345" s="4" t="str">
        <f>IF(S345="No","No",
MROUND(_xlfn.XLOOKUP(B345,'Base stats'!B:B,'Base stats'!BF:BF)^0.25
/((_xlfn.XLOOKUP(B345,'Base stats'!B:B,'Base stats'!BO:BO))*10)*_xlfn.XLOOKUP(_xlfn.XLOOKUP(B345,'Base stats'!B:B,'Base stats'!E:E),Groups!A:A,Groups!AE:AE)*150 + 0.5 + _xlfn.XLOOKUP(B345,'Base stats'!B:B,'Base stats'!BW:BW),
0.05))</f>
        <v>No</v>
      </c>
      <c r="W345" s="8">
        <f>MROUND(_xlfn.XLOOKUP(_xlfn.XLOOKUP(B345,'Base stats'!B:B,'Base stats'!E:E),Groups!A:A,Groups!BG:BG)*_xlfn.XLOOKUP(B345,'Base stats'!B:B,'Base stats'!C:C)^-0.165,0.05)</f>
        <v>0.25</v>
      </c>
      <c r="X345" s="1">
        <f>MROUND(_xlfn.XLOOKUP(_xlfn.XLOOKUP(B345,'Base stats'!B:B,'Base stats'!E:E),Groups!A:A,Groups!BH:BH)*_xlfn.XLOOKUP(B345,'Base stats'!B:B,'Base stats'!C:C)^0.165,0.05)</f>
        <v>0.4</v>
      </c>
      <c r="Y345" s="8">
        <f>MROUND(_xlfn.XLOOKUP(_xlfn.XLOOKUP(B345,'Base stats'!B:B,'Base stats'!E:E),Groups!A:A,Groups!BI:BI)*_xlfn.XLOOKUP(B345,'Base stats'!B:B,'Base stats'!C:C)^0.165,0.05)</f>
        <v>0.15000000000000002</v>
      </c>
      <c r="Z345" s="18">
        <f>MROUND(_xlfn.XLOOKUP(B345,'Base stats'!B:B,'Base stats'!AQ:AQ)*_xlfn.XLOOKUP(_xlfn.XLOOKUP(B345,'Base stats'!B:B,'Base stats'!E:E),Groups!A:A,Groups!H:H)/1000,IF((_xlfn.XLOOKUP(B345,'Base stats'!B:B,'Base stats'!AQ:AQ)*_xlfn.XLOOKUP(_xlfn.XLOOKUP(B345,'Base stats'!B:B,'Base stats'!E:E),Groups!A:A,Groups!H:H)/1000)&gt;1,0.05,0.01))</f>
        <v>3.85</v>
      </c>
      <c r="AA345" s="18">
        <f>MROUND((1/2)*(_xlfn.XLOOKUP(_xlfn.XLOOKUP(B345,'Base stats'!B:B,'Base stats'!E:E),Groups!A:A,Groups!H:H)*_xlfn.XLOOKUP(_xlfn.XLOOKUP(B345,'Base stats'!B:B,'Base stats'!E:E),Groups!A:A,Groups!I:I))*_xlfn.XLOOKUP(B345,'Base stats'!B:B,'Base stats'!AQ:AQ)*0.01,0.05)</f>
        <v>5.75</v>
      </c>
      <c r="AB345" s="18">
        <f>MROUND(250*(Animals!AO345+Animals!AP345),25)</f>
        <v>1425</v>
      </c>
      <c r="AC345" s="18" t="str">
        <f>_xlfn.XLOOKUP(_xlfn.XLOOKUP(B345,'Base stats'!B:B,'Base stats'!E:E),Groups!A:A,Groups!BJ:BJ)</f>
        <v>Quadruped</v>
      </c>
    </row>
    <row r="346" spans="1:29" ht="16.5" thickTop="1" thickBot="1" x14ac:dyDescent="0.3">
      <c r="A346" s="16" t="str">
        <f>Animals!A346</f>
        <v>TyrannosaurusRex</v>
      </c>
      <c r="B346" s="6" t="str">
        <f>Animals!B346</f>
        <v>Tyrannosaurus rex</v>
      </c>
      <c r="C346" s="1" t="str">
        <f>Animals!C346</f>
        <v>&lt;li&gt;TyrannosaurusRex&lt;/li&gt;</v>
      </c>
      <c r="D346" s="47">
        <f>MIN(MIN(6,_xlfn.XLOOKUP(A346,Animals!A:A,Animals!AO:AO))*20,MAX(MROUND(_xlfn.XLOOKUP(B346,'Base stats'!B:B,'Base stats'!BS:BS) * (_xlfn.XLOOKUP(B346,'Base stats'!B:B,'Base stats'!AO:AO)*5%)^0.9 / 21,0.1),0.05))</f>
        <v>91.800000000000011</v>
      </c>
      <c r="E346" s="11">
        <f>MROUND(_xlfn.XLOOKUP(B346,'Base stats'!B:B,'Base stats'!BG:BG) * 0.01 * 2 + 0.01, 0.05)</f>
        <v>101.05000000000001</v>
      </c>
      <c r="F346" s="7">
        <f>MROUND(_xlfn.XLOOKUP(B346,'Base stats'!B:B,'Base stats'!BD:BD)^0.25 / (_xlfn.XLOOKUP(B346,'Base stats'!B:B,'Base stats'!BK:BK) * 10) * 150 + 0.5 + _xlfn.XLOOKUP(B346,'Base stats'!B:B,'Base stats'!BW:BW), 0.05)</f>
        <v>3.35</v>
      </c>
      <c r="G346" s="3" t="str">
        <f>IF(Animals!S346="No","No",
IF(_xlfn.XLOOKUP(B346,'Base stats'!B:B,'Base stats'!U:U)="No",
MAX(MROUND(_xlfn.XLOOKUP(B346,'Base stats'!B:B,'Base stats'!BT:BT) * _xlfn.XLOOKUP(B346,'Base stats'!B:B,'Base stats'!BP:BP)^0.9 / 21 * _xlfn.XLOOKUP(B346,'Base stats'!B:B,'Base stats'!BX:BX),0.1),0.05),
MAX(MROUND(((MIN(10,_xlfn.XLOOKUP(B346,'Base stats'!B:B,'Base stats'!U:U)))^0.4*_xlfn.XLOOKUP(B346,'Base stats'!B:B,'Base stats'!BH:BH)^0.73)^0.6 * _xlfn.XLOOKUP(B346,'Base stats'!B:B,'Base stats'!BX:BX),0.1),0.05)
))</f>
        <v>No</v>
      </c>
      <c r="H346" s="11" t="str">
        <f>IF(G346="No","No",
MROUND(_xlfn.XLOOKUP(B346,'Base stats'!B:B,'Base stats'!BH:BH) * 0.01 * 2 + 0.05, 0.05)
)</f>
        <v>No</v>
      </c>
      <c r="I346" s="11" t="str">
        <f>IF(G346="No","No",IF(_xlfn.XLOOKUP(B346,'Base stats'!B:B,'Base stats'!U:U)="No","No",
MROUND(_xlfn.XLOOKUP(B346,'Base stats'!B:B,'Base stats'!BT:BT)/10000+0.01,0.01)
))</f>
        <v>No</v>
      </c>
      <c r="J346" s="4" t="str">
        <f>IF(G346="No","No",
MROUND(_xlfn.XLOOKUP(B346,'Base stats'!B:B,'Base stats'!BE:BE)^0.25
/((_xlfn.XLOOKUP(B346,'Base stats'!B:B,'Base stats'!BL:BL))*10)*_xlfn.XLOOKUP(_xlfn.XLOOKUP(B346,'Base stats'!B:B,'Base stats'!E:E),Groups!A:A,Groups!Q:Q)*150 + 0.5 + _xlfn.XLOOKUP(B346,'Base stats'!B:B,'Base stats'!BW:BW),
0.05))</f>
        <v>No</v>
      </c>
      <c r="K346" s="3" t="str">
        <f>IF(Animals!X346="No","No",
IF(_xlfn.XLOOKUP(_xlfn.XLOOKUP(B346,'Base stats'!B:B,'Base stats'!E:E),Groups!A:A,Groups!BD:BD)=1,
MAX(MROUND(_xlfn.XLOOKUP(B346,'Base stats'!B:B,'Base stats'!BU:BU) * _xlfn.XLOOKUP(B346,'Base stats'!B:B,'Base stats'!BQ:BQ)^0.9 / 21 *_xlfn.XLOOKUP(B346,'Base stats'!B:B,'Base stats'!BX:BX),0.1),0.05),
MAX(MROUND(((MIN(10,_xlfn.XLOOKUP(B346,'Base stats'!B:B,'Base stats'!W:W)))^0.4*_xlfn.XLOOKUP(B346,'Base stats'!B:B,'Base stats'!BI:BI)^0.73)^0.6 *_xlfn.XLOOKUP(B346,'Base stats'!B:B,'Base stats'!BX:BX),0.1),0.05)
))</f>
        <v>No</v>
      </c>
      <c r="L346" s="11" t="str">
        <f>IF(K346="No","No",
MROUND(_xlfn.XLOOKUP(B346,'Base stats'!B:B,'Base stats'!BI:BI) * 0.01 *2 + 0.05, 0.05)
)</f>
        <v>No</v>
      </c>
      <c r="M346" s="5" t="str">
        <f>IF(K346="No","No",IF(_xlfn.XLOOKUP(_xlfn.XLOOKUP(B346,'Base stats'!B:B,'Base stats'!E:E),Groups!A:A,Groups!BD:BD)=1,"No",
MROUND(_xlfn.XLOOKUP(B346,'Base stats'!B:B,'Base stats'!BU:BU)/10000+0.01,0.01)
))</f>
        <v>No</v>
      </c>
      <c r="N346" s="4" t="str">
        <f>IF(K346="No","No",
MROUND(
  _xlfn.XLOOKUP(B346,'Base stats'!B:B,'Base stats'!BC:BC)^0.25
  / (_xlfn.XLOOKUP(B346,'Base stats'!B:B,'Base stats'!BM:BM) * 10)
  * _xlfn.XLOOKUP(
      _xlfn.XLOOKUP(B346,'Base stats'!B:B,'Base stats'!E:E),
      Groups!A:A,
      Groups!V:V
    ) * 150
  + MIN(12, _xlfn.XLOOKUP(B346,'Base stats'!B:B,'Base stats'!W:W))^(1/IF(_xlfn.XLOOKUP(_xlfn.XLOOKUP(B346,'Base stats'!B:B,'Base stats'!E:E),Groups!A:A,Groups!U:U)=1,100,10)) + 0.5 + _xlfn.XLOOKUP(B346,'Base stats'!B:B,'Base stats'!BW:BW),
0.05))</f>
        <v>No</v>
      </c>
      <c r="O346" s="3">
        <f>IF(Animals!AD346="No","No",
MAX(MROUND((MIN(10,_xlfn.XLOOKUP(B346,'Base stats'!B:B,'Base stats'!V:V)*IF(_xlfn.XLOOKUP(_xlfn.XLOOKUP(B346,'Base stats'!B:B,'Base stats'!E:E),Groups!A:A,Groups!O:O)=0,1,0.33))^0.4*_xlfn.XLOOKUP(B346,'Base stats'!B:B,'Base stats'!BJ:BJ)^0.73)^0.6 *_xlfn.XLOOKUP(B346,'Base stats'!B:B,'Base stats'!BX:BX),0.1),0.05)
)</f>
        <v>68.400000000000006</v>
      </c>
      <c r="P346" s="11">
        <f>IF(O346="No","No",
MROUND(_xlfn.XLOOKUP(B346,'Base stats'!B:B,'Base stats'!BJ:BJ) * 0.01 * 2 + 0.05, 0.05)
)</f>
        <v>87.65</v>
      </c>
      <c r="Q346" s="5">
        <f>IF(O346="No","No",
MROUND(_xlfn.XLOOKUP(B346,'Base stats'!B:B,'Base stats'!BV:BV)/10000+0.01,0.01)
)</f>
        <v>0.89</v>
      </c>
      <c r="R346" s="4">
        <f>IF(O346="No","No",
MROUND(_xlfn.XLOOKUP(B346,'Base stats'!B:B,'Base stats'!BB:BB)^0.25
/((_xlfn.XLOOKUP(B346,'Base stats'!B:B,'Base stats'!BN:BN))*10)*_xlfn.XLOOKUP(_xlfn.XLOOKUP(B346,'Base stats'!B:B,'Base stats'!E:E),Groups!A:A,Groups!Z:Z)*150 + 0.5 + _xlfn.XLOOKUP(B346,'Base stats'!B:B,'Base stats'!BW:BW),
0.05))</f>
        <v>2.35</v>
      </c>
      <c r="S346" s="3" t="str">
        <f>IF(Animals!AI346="No","No",
IF(_xlfn.XLOOKUP(B346,'Base stats'!B:B,'Base stats'!U:U)="No",
MAX(MROUND(_xlfn.XLOOKUP(B346,'Base stats'!B:B,'Base stats'!BT:BT) * _xlfn.XLOOKUP(B346,'Base stats'!B:B,'Base stats'!BP:BP)^0.9 / 21 * _xlfn.XLOOKUP(B346,'Base stats'!B:B,'Base stats'!BX:BX),0.1),0.05),
MAX(MROUND(((MIN(12,_xlfn.XLOOKUP(B346,'Base stats'!B:B,'Base stats'!U:U)))^0.4*_xlfn.XLOOKUP(B346,'Base stats'!B:B,'Base stats'!BH:BH)^0.73)^0.6 * _xlfn.XLOOKUP(B346,'Base stats'!B:B,'Base stats'!BX:BX),0.1),0.05)
))</f>
        <v>No</v>
      </c>
      <c r="T346" s="11" t="str">
        <f>IF(S346="No","No",
MROUND(_xlfn.XLOOKUP(B346,'Base stats'!B:B,'Base stats'!BH:BH) * 0.01 * 2 + 0.05, 0.05)
)</f>
        <v>No</v>
      </c>
      <c r="U346" s="5" t="str">
        <f>IF(S346="No","No",IF(_xlfn.XLOOKUP(B346,'Base stats'!B:B,'Base stats'!U:U)="No","No",
MROUND(_xlfn.XLOOKUP(B346,'Base stats'!B:B,'Base stats'!BT:BT)/10000+0.01,0.01)
))</f>
        <v>No</v>
      </c>
      <c r="V346" s="4" t="str">
        <f>IF(S346="No","No",
MROUND(_xlfn.XLOOKUP(B346,'Base stats'!B:B,'Base stats'!BF:BF)^0.25
/((_xlfn.XLOOKUP(B346,'Base stats'!B:B,'Base stats'!BO:BO))*10)*_xlfn.XLOOKUP(_xlfn.XLOOKUP(B346,'Base stats'!B:B,'Base stats'!E:E),Groups!A:A,Groups!AE:AE)*150 + 0.5 + _xlfn.XLOOKUP(B346,'Base stats'!B:B,'Base stats'!BW:BW),
0.05))</f>
        <v>No</v>
      </c>
      <c r="W346" s="8">
        <f>MROUND(_xlfn.XLOOKUP(_xlfn.XLOOKUP(B346,'Base stats'!B:B,'Base stats'!E:E),Groups!A:A,Groups!BG:BG)*_xlfn.XLOOKUP(B346,'Base stats'!B:B,'Base stats'!C:C)^-0.165,0.05)</f>
        <v>0.15000000000000002</v>
      </c>
      <c r="X346" s="1">
        <f>MROUND(_xlfn.XLOOKUP(_xlfn.XLOOKUP(B346,'Base stats'!B:B,'Base stats'!E:E),Groups!A:A,Groups!BH:BH)*_xlfn.XLOOKUP(B346,'Base stats'!B:B,'Base stats'!C:C)^0.165,0.05)</f>
        <v>0.85000000000000009</v>
      </c>
      <c r="Y346" s="8">
        <f>MROUND(_xlfn.XLOOKUP(_xlfn.XLOOKUP(B346,'Base stats'!B:B,'Base stats'!E:E),Groups!A:A,Groups!BI:BI)*_xlfn.XLOOKUP(B346,'Base stats'!B:B,'Base stats'!C:C)^0.165,0.05)</f>
        <v>0.1</v>
      </c>
      <c r="Z346" s="18">
        <f>MROUND(_xlfn.XLOOKUP(B346,'Base stats'!B:B,'Base stats'!AQ:AQ)*_xlfn.XLOOKUP(_xlfn.XLOOKUP(B346,'Base stats'!B:B,'Base stats'!E:E),Groups!A:A,Groups!H:H)/1000,IF((_xlfn.XLOOKUP(B346,'Base stats'!B:B,'Base stats'!AQ:AQ)*_xlfn.XLOOKUP(_xlfn.XLOOKUP(B346,'Base stats'!B:B,'Base stats'!E:E),Groups!A:A,Groups!H:H)/1000)&gt;1,0.05,0.01))</f>
        <v>0.24</v>
      </c>
      <c r="AA346" s="18">
        <f>MROUND((1/2)*(_xlfn.XLOOKUP(_xlfn.XLOOKUP(B346,'Base stats'!B:B,'Base stats'!E:E),Groups!A:A,Groups!H:H)*_xlfn.XLOOKUP(_xlfn.XLOOKUP(B346,'Base stats'!B:B,'Base stats'!E:E),Groups!A:A,Groups!I:I))*_xlfn.XLOOKUP(B346,'Base stats'!B:B,'Base stats'!AQ:AQ)*0.01,0.05)</f>
        <v>0.45</v>
      </c>
      <c r="AB346" s="18">
        <f>MROUND(250*(Animals!AO346+Animals!AP346),25)</f>
        <v>3025</v>
      </c>
      <c r="AC346" s="18" t="str">
        <f>_xlfn.XLOOKUP(_xlfn.XLOOKUP(B346,'Base stats'!B:B,'Base stats'!E:E),Groups!A:A,Groups!BJ:BJ)</f>
        <v>Birdlike</v>
      </c>
    </row>
    <row r="347" spans="1:29" ht="16.5" thickTop="1" thickBot="1" x14ac:dyDescent="0.3">
      <c r="A347" s="16" t="str">
        <f>Animals!A347</f>
        <v>Yutyrannus</v>
      </c>
      <c r="B347" s="6" t="str">
        <f>Animals!B347</f>
        <v>Yutyrannus huali</v>
      </c>
      <c r="C347" s="1" t="str">
        <f>Animals!C347</f>
        <v>&lt;li&gt;Yutyrannus&lt;/li&gt;</v>
      </c>
      <c r="D347" s="47">
        <f>MIN(MIN(6,_xlfn.XLOOKUP(A347,Animals!A:A,Animals!AO:AO))*20,MAX(MROUND(_xlfn.XLOOKUP(B347,'Base stats'!B:B,'Base stats'!BS:BS) * (_xlfn.XLOOKUP(B347,'Base stats'!B:B,'Base stats'!AO:AO)*5%)^0.9 / 21,0.1),0.05))</f>
        <v>28.6</v>
      </c>
      <c r="E347" s="11">
        <f>MROUND(_xlfn.XLOOKUP(B347,'Base stats'!B:B,'Base stats'!BG:BG) * 0.01 * 2 + 0.01, 0.05)</f>
        <v>28.75</v>
      </c>
      <c r="F347" s="7">
        <f>MROUND(_xlfn.XLOOKUP(B347,'Base stats'!B:B,'Base stats'!BD:BD)^0.25 / (_xlfn.XLOOKUP(B347,'Base stats'!B:B,'Base stats'!BK:BK) * 10) * 150 + 0.5 + _xlfn.XLOOKUP(B347,'Base stats'!B:B,'Base stats'!BW:BW), 0.05)</f>
        <v>2.8000000000000003</v>
      </c>
      <c r="G347" s="3" t="str">
        <f>IF(Animals!S347="No","No",
IF(_xlfn.XLOOKUP(B347,'Base stats'!B:B,'Base stats'!U:U)="No",
MAX(MROUND(_xlfn.XLOOKUP(B347,'Base stats'!B:B,'Base stats'!BT:BT) * _xlfn.XLOOKUP(B347,'Base stats'!B:B,'Base stats'!BP:BP)^0.9 / 21 * _xlfn.XLOOKUP(B347,'Base stats'!B:B,'Base stats'!BX:BX),0.1),0.05),
MAX(MROUND(((MIN(10,_xlfn.XLOOKUP(B347,'Base stats'!B:B,'Base stats'!U:U)))^0.4*_xlfn.XLOOKUP(B347,'Base stats'!B:B,'Base stats'!BH:BH)^0.73)^0.6 * _xlfn.XLOOKUP(B347,'Base stats'!B:B,'Base stats'!BX:BX),0.1),0.05)
))</f>
        <v>No</v>
      </c>
      <c r="H347" s="11" t="str">
        <f>IF(G347="No","No",
MROUND(_xlfn.XLOOKUP(B347,'Base stats'!B:B,'Base stats'!BH:BH) * 0.01 * 2 + 0.05, 0.05)
)</f>
        <v>No</v>
      </c>
      <c r="I347" s="11" t="str">
        <f>IF(G347="No","No",IF(_xlfn.XLOOKUP(B347,'Base stats'!B:B,'Base stats'!U:U)="No","No",
MROUND(_xlfn.XLOOKUP(B347,'Base stats'!B:B,'Base stats'!BT:BT)/10000+0.01,0.01)
))</f>
        <v>No</v>
      </c>
      <c r="J347" s="4" t="str">
        <f>IF(G347="No","No",
MROUND(_xlfn.XLOOKUP(B347,'Base stats'!B:B,'Base stats'!BE:BE)^0.25
/((_xlfn.XLOOKUP(B347,'Base stats'!B:B,'Base stats'!BL:BL))*10)*_xlfn.XLOOKUP(_xlfn.XLOOKUP(B347,'Base stats'!B:B,'Base stats'!E:E),Groups!A:A,Groups!Q:Q)*150 + 0.5 + _xlfn.XLOOKUP(B347,'Base stats'!B:B,'Base stats'!BW:BW),
0.05))</f>
        <v>No</v>
      </c>
      <c r="K347" s="3" t="str">
        <f>IF(Animals!X347="No","No",
IF(_xlfn.XLOOKUP(_xlfn.XLOOKUP(B347,'Base stats'!B:B,'Base stats'!E:E),Groups!A:A,Groups!BD:BD)=1,
MAX(MROUND(_xlfn.XLOOKUP(B347,'Base stats'!B:B,'Base stats'!BU:BU) * _xlfn.XLOOKUP(B347,'Base stats'!B:B,'Base stats'!BQ:BQ)^0.9 / 21 *_xlfn.XLOOKUP(B347,'Base stats'!B:B,'Base stats'!BX:BX),0.1),0.05),
MAX(MROUND(((MIN(10,_xlfn.XLOOKUP(B347,'Base stats'!B:B,'Base stats'!W:W)))^0.4*_xlfn.XLOOKUP(B347,'Base stats'!B:B,'Base stats'!BI:BI)^0.73)^0.6 *_xlfn.XLOOKUP(B347,'Base stats'!B:B,'Base stats'!BX:BX),0.1),0.05)
))</f>
        <v>No</v>
      </c>
      <c r="L347" s="11" t="str">
        <f>IF(K347="No","No",
MROUND(_xlfn.XLOOKUP(B347,'Base stats'!B:B,'Base stats'!BI:BI) * 0.01 *2 + 0.05, 0.05)
)</f>
        <v>No</v>
      </c>
      <c r="M347" s="5" t="str">
        <f>IF(K347="No","No",IF(_xlfn.XLOOKUP(_xlfn.XLOOKUP(B347,'Base stats'!B:B,'Base stats'!E:E),Groups!A:A,Groups!BD:BD)=1,"No",
MROUND(_xlfn.XLOOKUP(B347,'Base stats'!B:B,'Base stats'!BU:BU)/10000+0.01,0.01)
))</f>
        <v>No</v>
      </c>
      <c r="N347" s="4" t="str">
        <f>IF(K347="No","No",
MROUND(
  _xlfn.XLOOKUP(B347,'Base stats'!B:B,'Base stats'!BC:BC)^0.25
  / (_xlfn.XLOOKUP(B347,'Base stats'!B:B,'Base stats'!BM:BM) * 10)
  * _xlfn.XLOOKUP(
      _xlfn.XLOOKUP(B347,'Base stats'!B:B,'Base stats'!E:E),
      Groups!A:A,
      Groups!V:V
    ) * 150
  + MIN(12, _xlfn.XLOOKUP(B347,'Base stats'!B:B,'Base stats'!W:W))^(1/IF(_xlfn.XLOOKUP(_xlfn.XLOOKUP(B347,'Base stats'!B:B,'Base stats'!E:E),Groups!A:A,Groups!U:U)=1,100,10)) + 0.5 + _xlfn.XLOOKUP(B347,'Base stats'!B:B,'Base stats'!BW:BW),
0.05))</f>
        <v>No</v>
      </c>
      <c r="O347" s="3">
        <f>IF(Animals!AD347="No","No",
MAX(MROUND((MIN(10,_xlfn.XLOOKUP(B347,'Base stats'!B:B,'Base stats'!V:V)*IF(_xlfn.XLOOKUP(_xlfn.XLOOKUP(B347,'Base stats'!B:B,'Base stats'!E:E),Groups!A:A,Groups!O:O)=0,1,0.33))^0.4*_xlfn.XLOOKUP(B347,'Base stats'!B:B,'Base stats'!BJ:BJ)^0.73)^0.6 *_xlfn.XLOOKUP(B347,'Base stats'!B:B,'Base stats'!BX:BX),0.1),0.05)
)</f>
        <v>29.400000000000002</v>
      </c>
      <c r="P347" s="11">
        <f>IF(O347="No","No",
MROUND(_xlfn.XLOOKUP(B347,'Base stats'!B:B,'Base stats'!BJ:BJ) * 0.01 * 2 + 0.05, 0.05)
)</f>
        <v>16.2</v>
      </c>
      <c r="Q347" s="5">
        <f>IF(O347="No","No",
MROUND(_xlfn.XLOOKUP(B347,'Base stats'!B:B,'Base stats'!BV:BV)/10000+0.01,0.01)
)</f>
        <v>0.28999999999999998</v>
      </c>
      <c r="R347" s="4">
        <f>IF(O347="No","No",
MROUND(_xlfn.XLOOKUP(B347,'Base stats'!B:B,'Base stats'!BB:BB)^0.25
/((_xlfn.XLOOKUP(B347,'Base stats'!B:B,'Base stats'!BN:BN))*10)*_xlfn.XLOOKUP(_xlfn.XLOOKUP(B347,'Base stats'!B:B,'Base stats'!E:E),Groups!A:A,Groups!Z:Z)*150 + 0.5 + _xlfn.XLOOKUP(B347,'Base stats'!B:B,'Base stats'!BW:BW),
0.05))</f>
        <v>2.2000000000000002</v>
      </c>
      <c r="S347" s="3">
        <f>IF(Animals!AI347="No","No",
IF(_xlfn.XLOOKUP(B347,'Base stats'!B:B,'Base stats'!U:U)="No",
MAX(MROUND(_xlfn.XLOOKUP(B347,'Base stats'!B:B,'Base stats'!BT:BT) * _xlfn.XLOOKUP(B347,'Base stats'!B:B,'Base stats'!BP:BP)^0.9 / 21 * _xlfn.XLOOKUP(B347,'Base stats'!B:B,'Base stats'!BX:BX),0.1),0.05),
MAX(MROUND(((MIN(12,_xlfn.XLOOKUP(B347,'Base stats'!B:B,'Base stats'!U:U)))^0.4*_xlfn.XLOOKUP(B347,'Base stats'!B:B,'Base stats'!BH:BH)^0.73)^0.6 * _xlfn.XLOOKUP(B347,'Base stats'!B:B,'Base stats'!BX:BX),0.1),0.05)
))</f>
        <v>45.400000000000006</v>
      </c>
      <c r="T347" s="11">
        <f>IF(S347="No","No",
MROUND(_xlfn.XLOOKUP(B347,'Base stats'!B:B,'Base stats'!BH:BH) * 0.01 * 2 + 0.05, 0.05)
)</f>
        <v>31.200000000000003</v>
      </c>
      <c r="U347" s="5">
        <f>IF(S347="No","No",IF(_xlfn.XLOOKUP(B347,'Base stats'!B:B,'Base stats'!U:U)="No","No",
MROUND(_xlfn.XLOOKUP(B347,'Base stats'!B:B,'Base stats'!BT:BT)/10000+0.01,0.01)
))</f>
        <v>0.56000000000000005</v>
      </c>
      <c r="V347" s="4">
        <f>IF(S347="No","No",
MROUND(_xlfn.XLOOKUP(B347,'Base stats'!B:B,'Base stats'!BF:BF)^0.25
/((_xlfn.XLOOKUP(B347,'Base stats'!B:B,'Base stats'!BO:BO))*10)*_xlfn.XLOOKUP(_xlfn.XLOOKUP(B347,'Base stats'!B:B,'Base stats'!E:E),Groups!A:A,Groups!AE:AE)*150 + 0.5 + _xlfn.XLOOKUP(B347,'Base stats'!B:B,'Base stats'!BW:BW),
0.05))</f>
        <v>2.1</v>
      </c>
      <c r="W347" s="8">
        <f>MROUND(_xlfn.XLOOKUP(_xlfn.XLOOKUP(B347,'Base stats'!B:B,'Base stats'!E:E),Groups!A:A,Groups!BG:BG)*_xlfn.XLOOKUP(B347,'Base stats'!B:B,'Base stats'!C:C)^-0.165,0.05)</f>
        <v>0.2</v>
      </c>
      <c r="X347" s="1">
        <f>MROUND(_xlfn.XLOOKUP(_xlfn.XLOOKUP(B347,'Base stats'!B:B,'Base stats'!E:E),Groups!A:A,Groups!BH:BH)*_xlfn.XLOOKUP(B347,'Base stats'!B:B,'Base stats'!C:C)^0.165,0.05)</f>
        <v>0.65</v>
      </c>
      <c r="Y347" s="8">
        <f>MROUND(_xlfn.XLOOKUP(_xlfn.XLOOKUP(B347,'Base stats'!B:B,'Base stats'!E:E),Groups!A:A,Groups!BI:BI)*_xlfn.XLOOKUP(B347,'Base stats'!B:B,'Base stats'!C:C)^0.165,0.05)</f>
        <v>0.1</v>
      </c>
      <c r="Z347" s="18">
        <f>MROUND(_xlfn.XLOOKUP(B347,'Base stats'!B:B,'Base stats'!AQ:AQ)*_xlfn.XLOOKUP(_xlfn.XLOOKUP(B347,'Base stats'!B:B,'Base stats'!E:E),Groups!A:A,Groups!H:H)/1000,IF((_xlfn.XLOOKUP(B347,'Base stats'!B:B,'Base stats'!AQ:AQ)*_xlfn.XLOOKUP(_xlfn.XLOOKUP(B347,'Base stats'!B:B,'Base stats'!E:E),Groups!A:A,Groups!H:H)/1000)&gt;1,0.05,0.01))</f>
        <v>0.16</v>
      </c>
      <c r="AA347" s="18">
        <f>MROUND((1/2)*(_xlfn.XLOOKUP(_xlfn.XLOOKUP(B347,'Base stats'!B:B,'Base stats'!E:E),Groups!A:A,Groups!H:H)*_xlfn.XLOOKUP(_xlfn.XLOOKUP(B347,'Base stats'!B:B,'Base stats'!E:E),Groups!A:A,Groups!I:I))*_xlfn.XLOOKUP(B347,'Base stats'!B:B,'Base stats'!AQ:AQ)*0.01,0.05)</f>
        <v>0.30000000000000004</v>
      </c>
      <c r="AB347" s="18">
        <f>MROUND(250*(Animals!AO347+Animals!AP347),25)</f>
        <v>2075</v>
      </c>
      <c r="AC347" s="18" t="str">
        <f>_xlfn.XLOOKUP(_xlfn.XLOOKUP(B347,'Base stats'!B:B,'Base stats'!E:E),Groups!A:A,Groups!BJ:BJ)</f>
        <v>Birdlike</v>
      </c>
    </row>
    <row r="348" spans="1:29" ht="16.5" thickTop="1" thickBot="1" x14ac:dyDescent="0.3">
      <c r="A348" s="16" t="str">
        <f>Animals!A348</f>
        <v>Carnotaurus</v>
      </c>
      <c r="B348" s="6" t="str">
        <f>Animals!B348</f>
        <v>Carnotaurus sastrei</v>
      </c>
      <c r="C348" s="1" t="str">
        <f>Animals!C348</f>
        <v>&lt;li&gt;Carnotaurus&lt;/li&gt;</v>
      </c>
      <c r="D348" s="47">
        <f>MIN(MIN(6,_xlfn.XLOOKUP(A348,Animals!A:A,Animals!AO:AO))*20,MAX(MROUND(_xlfn.XLOOKUP(B348,'Base stats'!B:B,'Base stats'!BS:BS) * (_xlfn.XLOOKUP(B348,'Base stats'!B:B,'Base stats'!AO:AO)*5%)^0.9 / 21,0.1),0.05))</f>
        <v>31.400000000000002</v>
      </c>
      <c r="E348" s="11">
        <f>MROUND(_xlfn.XLOOKUP(B348,'Base stats'!B:B,'Base stats'!BG:BG) * 0.01 * 2 + 0.01, 0.05)</f>
        <v>31.8</v>
      </c>
      <c r="F348" s="7">
        <f>MROUND(_xlfn.XLOOKUP(B348,'Base stats'!B:B,'Base stats'!BD:BD)^0.25 / (_xlfn.XLOOKUP(B348,'Base stats'!B:B,'Base stats'!BK:BK) * 10) * 150 + 0.5 + _xlfn.XLOOKUP(B348,'Base stats'!B:B,'Base stats'!BW:BW), 0.05)</f>
        <v>2.85</v>
      </c>
      <c r="G348" s="3" t="str">
        <f>IF(Animals!S348="No","No",
IF(_xlfn.XLOOKUP(B348,'Base stats'!B:B,'Base stats'!U:U)="No",
MAX(MROUND(_xlfn.XLOOKUP(B348,'Base stats'!B:B,'Base stats'!BT:BT) * _xlfn.XLOOKUP(B348,'Base stats'!B:B,'Base stats'!BP:BP)^0.9 / 21 * _xlfn.XLOOKUP(B348,'Base stats'!B:B,'Base stats'!BX:BX),0.1),0.05),
MAX(MROUND(((MIN(10,_xlfn.XLOOKUP(B348,'Base stats'!B:B,'Base stats'!U:U)))^0.4*_xlfn.XLOOKUP(B348,'Base stats'!B:B,'Base stats'!BH:BH)^0.73)^0.6 * _xlfn.XLOOKUP(B348,'Base stats'!B:B,'Base stats'!BX:BX),0.1),0.05)
))</f>
        <v>No</v>
      </c>
      <c r="H348" s="11" t="str">
        <f>IF(G348="No","No",
MROUND(_xlfn.XLOOKUP(B348,'Base stats'!B:B,'Base stats'!BH:BH) * 0.01 * 2 + 0.05, 0.05)
)</f>
        <v>No</v>
      </c>
      <c r="I348" s="11" t="str">
        <f>IF(G348="No","No",IF(_xlfn.XLOOKUP(B348,'Base stats'!B:B,'Base stats'!U:U)="No","No",
MROUND(_xlfn.XLOOKUP(B348,'Base stats'!B:B,'Base stats'!BT:BT)/10000+0.01,0.01)
))</f>
        <v>No</v>
      </c>
      <c r="J348" s="4" t="str">
        <f>IF(G348="No","No",
MROUND(_xlfn.XLOOKUP(B348,'Base stats'!B:B,'Base stats'!BE:BE)^0.25
/((_xlfn.XLOOKUP(B348,'Base stats'!B:B,'Base stats'!BL:BL))*10)*_xlfn.XLOOKUP(_xlfn.XLOOKUP(B348,'Base stats'!B:B,'Base stats'!E:E),Groups!A:A,Groups!Q:Q)*150 + 0.5 + _xlfn.XLOOKUP(B348,'Base stats'!B:B,'Base stats'!BW:BW),
0.05))</f>
        <v>No</v>
      </c>
      <c r="K348" s="3" t="str">
        <f>IF(Animals!X348="No","No",
IF(_xlfn.XLOOKUP(_xlfn.XLOOKUP(B348,'Base stats'!B:B,'Base stats'!E:E),Groups!A:A,Groups!BD:BD)=1,
MAX(MROUND(_xlfn.XLOOKUP(B348,'Base stats'!B:B,'Base stats'!BU:BU) * _xlfn.XLOOKUP(B348,'Base stats'!B:B,'Base stats'!BQ:BQ)^0.9 / 21 *_xlfn.XLOOKUP(B348,'Base stats'!B:B,'Base stats'!BX:BX),0.1),0.05),
MAX(MROUND(((MIN(10,_xlfn.XLOOKUP(B348,'Base stats'!B:B,'Base stats'!W:W)))^0.4*_xlfn.XLOOKUP(B348,'Base stats'!B:B,'Base stats'!BI:BI)^0.73)^0.6 *_xlfn.XLOOKUP(B348,'Base stats'!B:B,'Base stats'!BX:BX),0.1),0.05)
))</f>
        <v>No</v>
      </c>
      <c r="L348" s="11" t="str">
        <f>IF(K348="No","No",
MROUND(_xlfn.XLOOKUP(B348,'Base stats'!B:B,'Base stats'!BI:BI) * 0.01 *2 + 0.05, 0.05)
)</f>
        <v>No</v>
      </c>
      <c r="M348" s="5" t="str">
        <f>IF(K348="No","No",IF(_xlfn.XLOOKUP(_xlfn.XLOOKUP(B348,'Base stats'!B:B,'Base stats'!E:E),Groups!A:A,Groups!BD:BD)=1,"No",
MROUND(_xlfn.XLOOKUP(B348,'Base stats'!B:B,'Base stats'!BU:BU)/10000+0.01,0.01)
))</f>
        <v>No</v>
      </c>
      <c r="N348" s="4" t="str">
        <f>IF(K348="No","No",
MROUND(
  _xlfn.XLOOKUP(B348,'Base stats'!B:B,'Base stats'!BC:BC)^0.25
  / (_xlfn.XLOOKUP(B348,'Base stats'!B:B,'Base stats'!BM:BM) * 10)
  * _xlfn.XLOOKUP(
      _xlfn.XLOOKUP(B348,'Base stats'!B:B,'Base stats'!E:E),
      Groups!A:A,
      Groups!V:V
    ) * 150
  + MIN(12, _xlfn.XLOOKUP(B348,'Base stats'!B:B,'Base stats'!W:W))^(1/IF(_xlfn.XLOOKUP(_xlfn.XLOOKUP(B348,'Base stats'!B:B,'Base stats'!E:E),Groups!A:A,Groups!U:U)=1,100,10)) + 0.5 + _xlfn.XLOOKUP(B348,'Base stats'!B:B,'Base stats'!BW:BW),
0.05))</f>
        <v>No</v>
      </c>
      <c r="O348" s="3">
        <f>IF(Animals!AD348="No","No",
MAX(MROUND((MIN(10,_xlfn.XLOOKUP(B348,'Base stats'!B:B,'Base stats'!V:V)*IF(_xlfn.XLOOKUP(_xlfn.XLOOKUP(B348,'Base stats'!B:B,'Base stats'!E:E),Groups!A:A,Groups!O:O)=0,1,0.33))^0.4*_xlfn.XLOOKUP(B348,'Base stats'!B:B,'Base stats'!BJ:BJ)^0.73)^0.6 *_xlfn.XLOOKUP(B348,'Base stats'!B:B,'Base stats'!BX:BX),0.1),0.05)
)</f>
        <v>22.3</v>
      </c>
      <c r="P348" s="11">
        <f>IF(O348="No","No",
MROUND(_xlfn.XLOOKUP(B348,'Base stats'!B:B,'Base stats'!BJ:BJ) * 0.01 * 2 + 0.05, 0.05)
)</f>
        <v>10.55</v>
      </c>
      <c r="Q348" s="5">
        <f>IF(O348="No","No",
MROUND(_xlfn.XLOOKUP(B348,'Base stats'!B:B,'Base stats'!BV:BV)/10000+0.01,0.01)
)</f>
        <v>0.19</v>
      </c>
      <c r="R348" s="4">
        <f>IF(O348="No","No",
MROUND(_xlfn.XLOOKUP(B348,'Base stats'!B:B,'Base stats'!BB:BB)^0.25
/((_xlfn.XLOOKUP(B348,'Base stats'!B:B,'Base stats'!BN:BN))*10)*_xlfn.XLOOKUP(_xlfn.XLOOKUP(B348,'Base stats'!B:B,'Base stats'!E:E),Groups!A:A,Groups!Z:Z)*150 + 0.5 + _xlfn.XLOOKUP(B348,'Base stats'!B:B,'Base stats'!BW:BW),
0.05))</f>
        <v>2.25</v>
      </c>
      <c r="S348" s="3" t="str">
        <f>IF(Animals!AI348="No","No",
IF(_xlfn.XLOOKUP(B348,'Base stats'!B:B,'Base stats'!U:U)="No",
MAX(MROUND(_xlfn.XLOOKUP(B348,'Base stats'!B:B,'Base stats'!BT:BT) * _xlfn.XLOOKUP(B348,'Base stats'!B:B,'Base stats'!BP:BP)^0.9 / 21 * _xlfn.XLOOKUP(B348,'Base stats'!B:B,'Base stats'!BX:BX),0.1),0.05),
MAX(MROUND(((MIN(12,_xlfn.XLOOKUP(B348,'Base stats'!B:B,'Base stats'!U:U)))^0.4*_xlfn.XLOOKUP(B348,'Base stats'!B:B,'Base stats'!BH:BH)^0.73)^0.6 * _xlfn.XLOOKUP(B348,'Base stats'!B:B,'Base stats'!BX:BX),0.1),0.05)
))</f>
        <v>No</v>
      </c>
      <c r="T348" s="11" t="str">
        <f>IF(S348="No","No",
MROUND(_xlfn.XLOOKUP(B348,'Base stats'!B:B,'Base stats'!BH:BH) * 0.01 * 2 + 0.05, 0.05)
)</f>
        <v>No</v>
      </c>
      <c r="U348" s="5" t="str">
        <f>IF(S348="No","No",IF(_xlfn.XLOOKUP(B348,'Base stats'!B:B,'Base stats'!U:U)="No","No",
MROUND(_xlfn.XLOOKUP(B348,'Base stats'!B:B,'Base stats'!BT:BT)/10000+0.01,0.01)
))</f>
        <v>No</v>
      </c>
      <c r="V348" s="4" t="str">
        <f>IF(S348="No","No",
MROUND(_xlfn.XLOOKUP(B348,'Base stats'!B:B,'Base stats'!BF:BF)^0.25
/((_xlfn.XLOOKUP(B348,'Base stats'!B:B,'Base stats'!BO:BO))*10)*_xlfn.XLOOKUP(_xlfn.XLOOKUP(B348,'Base stats'!B:B,'Base stats'!E:E),Groups!A:A,Groups!AE:AE)*150 + 0.5 + _xlfn.XLOOKUP(B348,'Base stats'!B:B,'Base stats'!BW:BW),
0.05))</f>
        <v>No</v>
      </c>
      <c r="W348" s="8">
        <f>MROUND(_xlfn.XLOOKUP(_xlfn.XLOOKUP(B348,'Base stats'!B:B,'Base stats'!E:E),Groups!A:A,Groups!BG:BG)*_xlfn.XLOOKUP(B348,'Base stats'!B:B,'Base stats'!C:C)^-0.165,0.05)</f>
        <v>0.2</v>
      </c>
      <c r="X348" s="1">
        <f>MROUND(_xlfn.XLOOKUP(_xlfn.XLOOKUP(B348,'Base stats'!B:B,'Base stats'!E:E),Groups!A:A,Groups!BH:BH)*_xlfn.XLOOKUP(B348,'Base stats'!B:B,'Base stats'!C:C)^0.165,0.05)</f>
        <v>0.65</v>
      </c>
      <c r="Y348" s="8">
        <f>MROUND(_xlfn.XLOOKUP(_xlfn.XLOOKUP(B348,'Base stats'!B:B,'Base stats'!E:E),Groups!A:A,Groups!BI:BI)*_xlfn.XLOOKUP(B348,'Base stats'!B:B,'Base stats'!C:C)^0.165,0.05)</f>
        <v>0.1</v>
      </c>
      <c r="Z348" s="18">
        <f>MROUND(_xlfn.XLOOKUP(B348,'Base stats'!B:B,'Base stats'!AQ:AQ)*_xlfn.XLOOKUP(_xlfn.XLOOKUP(B348,'Base stats'!B:B,'Base stats'!E:E),Groups!A:A,Groups!H:H)/1000,IF((_xlfn.XLOOKUP(B348,'Base stats'!B:B,'Base stats'!AQ:AQ)*_xlfn.XLOOKUP(_xlfn.XLOOKUP(B348,'Base stats'!B:B,'Base stats'!E:E),Groups!A:A,Groups!H:H)/1000)&gt;1,0.05,0.01))</f>
        <v>0.17</v>
      </c>
      <c r="AA348" s="18">
        <f>MROUND((1/2)*(_xlfn.XLOOKUP(_xlfn.XLOOKUP(B348,'Base stats'!B:B,'Base stats'!E:E),Groups!A:A,Groups!H:H)*_xlfn.XLOOKUP(_xlfn.XLOOKUP(B348,'Base stats'!B:B,'Base stats'!E:E),Groups!A:A,Groups!I:I))*_xlfn.XLOOKUP(B348,'Base stats'!B:B,'Base stats'!AQ:AQ)*0.01,0.05)</f>
        <v>0.30000000000000004</v>
      </c>
      <c r="AB348" s="18">
        <f>MROUND(250*(Animals!AO348+Animals!AP348),25)</f>
        <v>2075</v>
      </c>
      <c r="AC348" s="18" t="str">
        <f>_xlfn.XLOOKUP(_xlfn.XLOOKUP(B348,'Base stats'!B:B,'Base stats'!E:E),Groups!A:A,Groups!BJ:BJ)</f>
        <v>Birdlike</v>
      </c>
    </row>
    <row r="349" spans="1:29" ht="16.5" thickTop="1" thickBot="1" x14ac:dyDescent="0.3">
      <c r="A349" s="16" t="str">
        <f>Animals!A349</f>
        <v>Allosaurus</v>
      </c>
      <c r="B349" s="6" t="str">
        <f>Animals!B349</f>
        <v>Allosaurus fragilis</v>
      </c>
      <c r="C349" s="1" t="str">
        <f>Animals!C349</f>
        <v>&lt;li&gt;Allosaurus&lt;/li&gt;</v>
      </c>
      <c r="D349" s="47">
        <f>MIN(MIN(6,_xlfn.XLOOKUP(A349,Animals!A:A,Animals!AO:AO))*20,MAX(MROUND(_xlfn.XLOOKUP(B349,'Base stats'!B:B,'Base stats'!BS:BS) * (_xlfn.XLOOKUP(B349,'Base stats'!B:B,'Base stats'!AO:AO)*5%)^0.9 / 21,0.1),0.05))</f>
        <v>49</v>
      </c>
      <c r="E349" s="11">
        <f>MROUND(_xlfn.XLOOKUP(B349,'Base stats'!B:B,'Base stats'!BG:BG) * 0.01 * 2 + 0.01, 0.05)</f>
        <v>51.400000000000006</v>
      </c>
      <c r="F349" s="7">
        <f>MROUND(_xlfn.XLOOKUP(B349,'Base stats'!B:B,'Base stats'!BD:BD)^0.25 / (_xlfn.XLOOKUP(B349,'Base stats'!B:B,'Base stats'!BK:BK) * 10) * 150 + 0.5 + _xlfn.XLOOKUP(B349,'Base stats'!B:B,'Base stats'!BW:BW), 0.05)</f>
        <v>3.1500000000000004</v>
      </c>
      <c r="G349" s="3" t="str">
        <f>IF(Animals!S349="No","No",
IF(_xlfn.XLOOKUP(B349,'Base stats'!B:B,'Base stats'!U:U)="No",
MAX(MROUND(_xlfn.XLOOKUP(B349,'Base stats'!B:B,'Base stats'!BT:BT) * _xlfn.XLOOKUP(B349,'Base stats'!B:B,'Base stats'!BP:BP)^0.9 / 21 * _xlfn.XLOOKUP(B349,'Base stats'!B:B,'Base stats'!BX:BX),0.1),0.05),
MAX(MROUND(((MIN(10,_xlfn.XLOOKUP(B349,'Base stats'!B:B,'Base stats'!U:U)))^0.4*_xlfn.XLOOKUP(B349,'Base stats'!B:B,'Base stats'!BH:BH)^0.73)^0.6 * _xlfn.XLOOKUP(B349,'Base stats'!B:B,'Base stats'!BX:BX),0.1),0.05)
))</f>
        <v>No</v>
      </c>
      <c r="H349" s="11" t="str">
        <f>IF(G349="No","No",
MROUND(_xlfn.XLOOKUP(B349,'Base stats'!B:B,'Base stats'!BH:BH) * 0.01 * 2 + 0.05, 0.05)
)</f>
        <v>No</v>
      </c>
      <c r="I349" s="11" t="str">
        <f>IF(G349="No","No",IF(_xlfn.XLOOKUP(B349,'Base stats'!B:B,'Base stats'!U:U)="No","No",
MROUND(_xlfn.XLOOKUP(B349,'Base stats'!B:B,'Base stats'!BT:BT)/10000+0.01,0.01)
))</f>
        <v>No</v>
      </c>
      <c r="J349" s="4" t="str">
        <f>IF(G349="No","No",
MROUND(_xlfn.XLOOKUP(B349,'Base stats'!B:B,'Base stats'!BE:BE)^0.25
/((_xlfn.XLOOKUP(B349,'Base stats'!B:B,'Base stats'!BL:BL))*10)*_xlfn.XLOOKUP(_xlfn.XLOOKUP(B349,'Base stats'!B:B,'Base stats'!E:E),Groups!A:A,Groups!Q:Q)*150 + 0.5 + _xlfn.XLOOKUP(B349,'Base stats'!B:B,'Base stats'!BW:BW),
0.05))</f>
        <v>No</v>
      </c>
      <c r="K349" s="3" t="str">
        <f>IF(Animals!X349="No","No",
IF(_xlfn.XLOOKUP(_xlfn.XLOOKUP(B349,'Base stats'!B:B,'Base stats'!E:E),Groups!A:A,Groups!BD:BD)=1,
MAX(MROUND(_xlfn.XLOOKUP(B349,'Base stats'!B:B,'Base stats'!BU:BU) * _xlfn.XLOOKUP(B349,'Base stats'!B:B,'Base stats'!BQ:BQ)^0.9 / 21 *_xlfn.XLOOKUP(B349,'Base stats'!B:B,'Base stats'!BX:BX),0.1),0.05),
MAX(MROUND(((MIN(10,_xlfn.XLOOKUP(B349,'Base stats'!B:B,'Base stats'!W:W)))^0.4*_xlfn.XLOOKUP(B349,'Base stats'!B:B,'Base stats'!BI:BI)^0.73)^0.6 *_xlfn.XLOOKUP(B349,'Base stats'!B:B,'Base stats'!BX:BX),0.1),0.05)
))</f>
        <v>No</v>
      </c>
      <c r="L349" s="11" t="str">
        <f>IF(K349="No","No",
MROUND(_xlfn.XLOOKUP(B349,'Base stats'!B:B,'Base stats'!BI:BI) * 0.01 *2 + 0.05, 0.05)
)</f>
        <v>No</v>
      </c>
      <c r="M349" s="5" t="str">
        <f>IF(K349="No","No",IF(_xlfn.XLOOKUP(_xlfn.XLOOKUP(B349,'Base stats'!B:B,'Base stats'!E:E),Groups!A:A,Groups!BD:BD)=1,"No",
MROUND(_xlfn.XLOOKUP(B349,'Base stats'!B:B,'Base stats'!BU:BU)/10000+0.01,0.01)
))</f>
        <v>No</v>
      </c>
      <c r="N349" s="4" t="str">
        <f>IF(K349="No","No",
MROUND(
  _xlfn.XLOOKUP(B349,'Base stats'!B:B,'Base stats'!BC:BC)^0.25
  / (_xlfn.XLOOKUP(B349,'Base stats'!B:B,'Base stats'!BM:BM) * 10)
  * _xlfn.XLOOKUP(
      _xlfn.XLOOKUP(B349,'Base stats'!B:B,'Base stats'!E:E),
      Groups!A:A,
      Groups!V:V
    ) * 150
  + MIN(12, _xlfn.XLOOKUP(B349,'Base stats'!B:B,'Base stats'!W:W))^(1/IF(_xlfn.XLOOKUP(_xlfn.XLOOKUP(B349,'Base stats'!B:B,'Base stats'!E:E),Groups!A:A,Groups!U:U)=1,100,10)) + 0.5 + _xlfn.XLOOKUP(B349,'Base stats'!B:B,'Base stats'!BW:BW),
0.05))</f>
        <v>No</v>
      </c>
      <c r="O349" s="3">
        <f>IF(Animals!AD349="No","No",
MAX(MROUND((MIN(10,_xlfn.XLOOKUP(B349,'Base stats'!B:B,'Base stats'!V:V)*IF(_xlfn.XLOOKUP(_xlfn.XLOOKUP(B349,'Base stats'!B:B,'Base stats'!E:E),Groups!A:A,Groups!O:O)=0,1,0.33))^0.4*_xlfn.XLOOKUP(B349,'Base stats'!B:B,'Base stats'!BJ:BJ)^0.73)^0.6 *_xlfn.XLOOKUP(B349,'Base stats'!B:B,'Base stats'!BX:BX),0.1),0.05)
)</f>
        <v>34.5</v>
      </c>
      <c r="P349" s="11">
        <f>IF(O349="No","No",
MROUND(_xlfn.XLOOKUP(B349,'Base stats'!B:B,'Base stats'!BJ:BJ) * 0.01 * 2 + 0.05, 0.05)
)</f>
        <v>23.3</v>
      </c>
      <c r="Q349" s="5">
        <f>IF(O349="No","No",
MROUND(_xlfn.XLOOKUP(B349,'Base stats'!B:B,'Base stats'!BV:BV)/10000+0.01,0.01)
)</f>
        <v>0.33</v>
      </c>
      <c r="R349" s="4">
        <f>IF(O349="No","No",
MROUND(_xlfn.XLOOKUP(B349,'Base stats'!B:B,'Base stats'!BB:BB)^0.25
/((_xlfn.XLOOKUP(B349,'Base stats'!B:B,'Base stats'!BN:BN))*10)*_xlfn.XLOOKUP(_xlfn.XLOOKUP(B349,'Base stats'!B:B,'Base stats'!E:E),Groups!A:A,Groups!Z:Z)*150 + 0.5 + _xlfn.XLOOKUP(B349,'Base stats'!B:B,'Base stats'!BW:BW),
0.05))</f>
        <v>2.35</v>
      </c>
      <c r="S349" s="3">
        <f>IF(Animals!AI349="No","No",
IF(_xlfn.XLOOKUP(B349,'Base stats'!B:B,'Base stats'!U:U)="No",
MAX(MROUND(_xlfn.XLOOKUP(B349,'Base stats'!B:B,'Base stats'!BT:BT) * _xlfn.XLOOKUP(B349,'Base stats'!B:B,'Base stats'!BP:BP)^0.9 / 21 * _xlfn.XLOOKUP(B349,'Base stats'!B:B,'Base stats'!BX:BX),0.1),0.05),
MAX(MROUND(((MIN(12,_xlfn.XLOOKUP(B349,'Base stats'!B:B,'Base stats'!U:U)))^0.4*_xlfn.XLOOKUP(B349,'Base stats'!B:B,'Base stats'!BH:BH)^0.73)^0.6 * _xlfn.XLOOKUP(B349,'Base stats'!B:B,'Base stats'!BX:BX),0.1),0.05)
))</f>
        <v>57.7</v>
      </c>
      <c r="T349" s="11">
        <f>IF(S349="No","No",
MROUND(_xlfn.XLOOKUP(B349,'Base stats'!B:B,'Base stats'!BH:BH) * 0.01 * 2 + 0.05, 0.05)
)</f>
        <v>53.85</v>
      </c>
      <c r="U349" s="5">
        <f>IF(S349="No","No",IF(_xlfn.XLOOKUP(B349,'Base stats'!B:B,'Base stats'!U:U)="No","No",
MROUND(_xlfn.XLOOKUP(B349,'Base stats'!B:B,'Base stats'!BT:BT)/10000+0.01,0.01)
))</f>
        <v>0.74</v>
      </c>
      <c r="V349" s="4">
        <f>IF(S349="No","No",
MROUND(_xlfn.XLOOKUP(B349,'Base stats'!B:B,'Base stats'!BF:BF)^0.25
/((_xlfn.XLOOKUP(B349,'Base stats'!B:B,'Base stats'!BO:BO))*10)*_xlfn.XLOOKUP(_xlfn.XLOOKUP(B349,'Base stats'!B:B,'Base stats'!E:E),Groups!A:A,Groups!AE:AE)*150 + 0.5 + _xlfn.XLOOKUP(B349,'Base stats'!B:B,'Base stats'!BW:BW),
0.05))</f>
        <v>2.3000000000000003</v>
      </c>
      <c r="W349" s="8">
        <f>MROUND(_xlfn.XLOOKUP(_xlfn.XLOOKUP(B349,'Base stats'!B:B,'Base stats'!E:E),Groups!A:A,Groups!BG:BG)*_xlfn.XLOOKUP(B349,'Base stats'!B:B,'Base stats'!C:C)^-0.165,0.05)</f>
        <v>0.2</v>
      </c>
      <c r="X349" s="1">
        <f>MROUND(_xlfn.XLOOKUP(_xlfn.XLOOKUP(B349,'Base stats'!B:B,'Base stats'!E:E),Groups!A:A,Groups!BH:BH)*_xlfn.XLOOKUP(B349,'Base stats'!B:B,'Base stats'!C:C)^0.165,0.05)</f>
        <v>0.75</v>
      </c>
      <c r="Y349" s="8">
        <f>MROUND(_xlfn.XLOOKUP(_xlfn.XLOOKUP(B349,'Base stats'!B:B,'Base stats'!E:E),Groups!A:A,Groups!BI:BI)*_xlfn.XLOOKUP(B349,'Base stats'!B:B,'Base stats'!C:C)^0.165,0.05)</f>
        <v>0.1</v>
      </c>
      <c r="Z349" s="18">
        <f>MROUND(_xlfn.XLOOKUP(B349,'Base stats'!B:B,'Base stats'!AQ:AQ)*_xlfn.XLOOKUP(_xlfn.XLOOKUP(B349,'Base stats'!B:B,'Base stats'!E:E),Groups!A:A,Groups!H:H)/1000,IF((_xlfn.XLOOKUP(B349,'Base stats'!B:B,'Base stats'!AQ:AQ)*_xlfn.XLOOKUP(_xlfn.XLOOKUP(B349,'Base stats'!B:B,'Base stats'!E:E),Groups!A:A,Groups!H:H)/1000)&gt;1,0.05,0.01))</f>
        <v>0.19</v>
      </c>
      <c r="AA349" s="18">
        <f>MROUND((1/2)*(_xlfn.XLOOKUP(_xlfn.XLOOKUP(B349,'Base stats'!B:B,'Base stats'!E:E),Groups!A:A,Groups!H:H)*_xlfn.XLOOKUP(_xlfn.XLOOKUP(B349,'Base stats'!B:B,'Base stats'!E:E),Groups!A:A,Groups!I:I))*_xlfn.XLOOKUP(B349,'Base stats'!B:B,'Base stats'!AQ:AQ)*0.01,0.05)</f>
        <v>0.35000000000000003</v>
      </c>
      <c r="AB349" s="18">
        <f>MROUND(250*(Animals!AO349+Animals!AP349),25)</f>
        <v>2350</v>
      </c>
      <c r="AC349" s="18" t="str">
        <f>_xlfn.XLOOKUP(_xlfn.XLOOKUP(B349,'Base stats'!B:B,'Base stats'!E:E),Groups!A:A,Groups!BJ:BJ)</f>
        <v>Birdlike</v>
      </c>
    </row>
    <row r="350" spans="1:29" ht="16.5" thickTop="1" thickBot="1" x14ac:dyDescent="0.3">
      <c r="A350" s="16" t="str">
        <f>Animals!A350</f>
        <v>Spinosaurus</v>
      </c>
      <c r="B350" s="6" t="str">
        <f>Animals!B350</f>
        <v>Spinosaurus aegyptiacus</v>
      </c>
      <c r="C350" s="1" t="str">
        <f>Animals!C350</f>
        <v>&lt;li&gt;Spinosaurus&lt;/li&gt;</v>
      </c>
      <c r="D350" s="47">
        <f>MIN(MIN(6,_xlfn.XLOOKUP(A350,Animals!A:A,Animals!AO:AO))*20,MAX(MROUND(_xlfn.XLOOKUP(B350,'Base stats'!B:B,'Base stats'!BS:BS) * (_xlfn.XLOOKUP(B350,'Base stats'!B:B,'Base stats'!AO:AO)*5%)^0.9 / 21,0.1),0.05))</f>
        <v>82.5</v>
      </c>
      <c r="E350" s="11">
        <f>MROUND(_xlfn.XLOOKUP(B350,'Base stats'!B:B,'Base stats'!BG:BG) * 0.01 * 2 + 0.01, 0.05)</f>
        <v>90.050000000000011</v>
      </c>
      <c r="F350" s="7">
        <f>MROUND(_xlfn.XLOOKUP(B350,'Base stats'!B:B,'Base stats'!BD:BD)^0.25 / (_xlfn.XLOOKUP(B350,'Base stats'!B:B,'Base stats'!BK:BK) * 10) * 150 + 0.5 + _xlfn.XLOOKUP(B350,'Base stats'!B:B,'Base stats'!BW:BW), 0.05)</f>
        <v>3.5</v>
      </c>
      <c r="G350" s="3" t="str">
        <f>IF(Animals!S350="No","No",
IF(_xlfn.XLOOKUP(B350,'Base stats'!B:B,'Base stats'!U:U)="No",
MAX(MROUND(_xlfn.XLOOKUP(B350,'Base stats'!B:B,'Base stats'!BT:BT) * _xlfn.XLOOKUP(B350,'Base stats'!B:B,'Base stats'!BP:BP)^0.9 / 21 * _xlfn.XLOOKUP(B350,'Base stats'!B:B,'Base stats'!BX:BX),0.1),0.05),
MAX(MROUND(((MIN(10,_xlfn.XLOOKUP(B350,'Base stats'!B:B,'Base stats'!U:U)))^0.4*_xlfn.XLOOKUP(B350,'Base stats'!B:B,'Base stats'!BH:BH)^0.73)^0.6 * _xlfn.XLOOKUP(B350,'Base stats'!B:B,'Base stats'!BX:BX),0.1),0.05)
))</f>
        <v>No</v>
      </c>
      <c r="H350" s="11" t="str">
        <f>IF(G350="No","No",
MROUND(_xlfn.XLOOKUP(B350,'Base stats'!B:B,'Base stats'!BH:BH) * 0.01 * 2 + 0.05, 0.05)
)</f>
        <v>No</v>
      </c>
      <c r="I350" s="11" t="str">
        <f>IF(G350="No","No",IF(_xlfn.XLOOKUP(B350,'Base stats'!B:B,'Base stats'!U:U)="No","No",
MROUND(_xlfn.XLOOKUP(B350,'Base stats'!B:B,'Base stats'!BT:BT)/10000+0.01,0.01)
))</f>
        <v>No</v>
      </c>
      <c r="J350" s="4" t="str">
        <f>IF(G350="No","No",
MROUND(_xlfn.XLOOKUP(B350,'Base stats'!B:B,'Base stats'!BE:BE)^0.25
/((_xlfn.XLOOKUP(B350,'Base stats'!B:B,'Base stats'!BL:BL))*10)*_xlfn.XLOOKUP(_xlfn.XLOOKUP(B350,'Base stats'!B:B,'Base stats'!E:E),Groups!A:A,Groups!Q:Q)*150 + 0.5 + _xlfn.XLOOKUP(B350,'Base stats'!B:B,'Base stats'!BW:BW),
0.05))</f>
        <v>No</v>
      </c>
      <c r="K350" s="3" t="str">
        <f>IF(Animals!X350="No","No",
IF(_xlfn.XLOOKUP(_xlfn.XLOOKUP(B350,'Base stats'!B:B,'Base stats'!E:E),Groups!A:A,Groups!BD:BD)=1,
MAX(MROUND(_xlfn.XLOOKUP(B350,'Base stats'!B:B,'Base stats'!BU:BU) * _xlfn.XLOOKUP(B350,'Base stats'!B:B,'Base stats'!BQ:BQ)^0.9 / 21 *_xlfn.XLOOKUP(B350,'Base stats'!B:B,'Base stats'!BX:BX),0.1),0.05),
MAX(MROUND(((MIN(10,_xlfn.XLOOKUP(B350,'Base stats'!B:B,'Base stats'!W:W)))^0.4*_xlfn.XLOOKUP(B350,'Base stats'!B:B,'Base stats'!BI:BI)^0.73)^0.6 *_xlfn.XLOOKUP(B350,'Base stats'!B:B,'Base stats'!BX:BX),0.1),0.05)
))</f>
        <v>No</v>
      </c>
      <c r="L350" s="11" t="str">
        <f>IF(K350="No","No",
MROUND(_xlfn.XLOOKUP(B350,'Base stats'!B:B,'Base stats'!BI:BI) * 0.01 *2 + 0.05, 0.05)
)</f>
        <v>No</v>
      </c>
      <c r="M350" s="5" t="str">
        <f>IF(K350="No","No",IF(_xlfn.XLOOKUP(_xlfn.XLOOKUP(B350,'Base stats'!B:B,'Base stats'!E:E),Groups!A:A,Groups!BD:BD)=1,"No",
MROUND(_xlfn.XLOOKUP(B350,'Base stats'!B:B,'Base stats'!BU:BU)/10000+0.01,0.01)
))</f>
        <v>No</v>
      </c>
      <c r="N350" s="4" t="str">
        <f>IF(K350="No","No",
MROUND(
  _xlfn.XLOOKUP(B350,'Base stats'!B:B,'Base stats'!BC:BC)^0.25
  / (_xlfn.XLOOKUP(B350,'Base stats'!B:B,'Base stats'!BM:BM) * 10)
  * _xlfn.XLOOKUP(
      _xlfn.XLOOKUP(B350,'Base stats'!B:B,'Base stats'!E:E),
      Groups!A:A,
      Groups!V:V
    ) * 150
  + MIN(12, _xlfn.XLOOKUP(B350,'Base stats'!B:B,'Base stats'!W:W))^(1/IF(_xlfn.XLOOKUP(_xlfn.XLOOKUP(B350,'Base stats'!B:B,'Base stats'!E:E),Groups!A:A,Groups!U:U)=1,100,10)) + 0.5 + _xlfn.XLOOKUP(B350,'Base stats'!B:B,'Base stats'!BW:BW),
0.05))</f>
        <v>No</v>
      </c>
      <c r="O350" s="3">
        <f>IF(Animals!AD350="No","No",
MAX(MROUND((MIN(10,_xlfn.XLOOKUP(B350,'Base stats'!B:B,'Base stats'!V:V)*IF(_xlfn.XLOOKUP(_xlfn.XLOOKUP(B350,'Base stats'!B:B,'Base stats'!E:E),Groups!A:A,Groups!O:O)=0,1,0.33))^0.4*_xlfn.XLOOKUP(B350,'Base stats'!B:B,'Base stats'!BJ:BJ)^0.73)^0.6 *_xlfn.XLOOKUP(B350,'Base stats'!B:B,'Base stats'!BX:BX),0.1),0.05)
)</f>
        <v>31.1</v>
      </c>
      <c r="P350" s="11">
        <f>IF(O350="No","No",
MROUND(_xlfn.XLOOKUP(B350,'Base stats'!B:B,'Base stats'!BJ:BJ) * 0.01 * 2 + 0.05, 0.05)
)</f>
        <v>14.55</v>
      </c>
      <c r="Q350" s="5">
        <f>IF(O350="No","No",
MROUND(_xlfn.XLOOKUP(B350,'Base stats'!B:B,'Base stats'!BV:BV)/10000+0.01,0.01)
)</f>
        <v>0.16</v>
      </c>
      <c r="R350" s="4">
        <f>IF(O350="No","No",
MROUND(_xlfn.XLOOKUP(B350,'Base stats'!B:B,'Base stats'!BB:BB)^0.25
/((_xlfn.XLOOKUP(B350,'Base stats'!B:B,'Base stats'!BN:BN))*10)*_xlfn.XLOOKUP(_xlfn.XLOOKUP(B350,'Base stats'!B:B,'Base stats'!E:E),Groups!A:A,Groups!Z:Z)*150 + 0.5 + _xlfn.XLOOKUP(B350,'Base stats'!B:B,'Base stats'!BW:BW),
0.05))</f>
        <v>2.6500000000000004</v>
      </c>
      <c r="S350" s="3">
        <f>IF(Animals!AI350="No","No",
IF(_xlfn.XLOOKUP(B350,'Base stats'!B:B,'Base stats'!U:U)="No",
MAX(MROUND(_xlfn.XLOOKUP(B350,'Base stats'!B:B,'Base stats'!BT:BT) * _xlfn.XLOOKUP(B350,'Base stats'!B:B,'Base stats'!BP:BP)^0.9 / 21 * _xlfn.XLOOKUP(B350,'Base stats'!B:B,'Base stats'!BX:BX),0.1),0.05),
MAX(MROUND(((MIN(12,_xlfn.XLOOKUP(B350,'Base stats'!B:B,'Base stats'!U:U)))^0.4*_xlfn.XLOOKUP(B350,'Base stats'!B:B,'Base stats'!BH:BH)^0.73)^0.6 * _xlfn.XLOOKUP(B350,'Base stats'!B:B,'Base stats'!BX:BX),0.1),0.05)
))</f>
        <v>72.7</v>
      </c>
      <c r="T350" s="11">
        <f>IF(S350="No","No",
MROUND(_xlfn.XLOOKUP(B350,'Base stats'!B:B,'Base stats'!BH:BH) * 0.01 * 2 + 0.05, 0.05)
)</f>
        <v>91.15</v>
      </c>
      <c r="U350" s="5">
        <f>IF(S350="No","No",IF(_xlfn.XLOOKUP(B350,'Base stats'!B:B,'Base stats'!U:U)="No","No",
MROUND(_xlfn.XLOOKUP(B350,'Base stats'!B:B,'Base stats'!BT:BT)/10000+0.01,0.01)
))</f>
        <v>0.97</v>
      </c>
      <c r="V350" s="4">
        <f>IF(S350="No","No",
MROUND(_xlfn.XLOOKUP(B350,'Base stats'!B:B,'Base stats'!BF:BF)^0.25
/((_xlfn.XLOOKUP(B350,'Base stats'!B:B,'Base stats'!BO:BO))*10)*_xlfn.XLOOKUP(_xlfn.XLOOKUP(B350,'Base stats'!B:B,'Base stats'!E:E),Groups!A:A,Groups!AE:AE)*150 + 0.5 + _xlfn.XLOOKUP(B350,'Base stats'!B:B,'Base stats'!BW:BW),
0.05))</f>
        <v>2.35</v>
      </c>
      <c r="W350" s="8">
        <f>MROUND(_xlfn.XLOOKUP(_xlfn.XLOOKUP(B350,'Base stats'!B:B,'Base stats'!E:E),Groups!A:A,Groups!BG:BG)*_xlfn.XLOOKUP(B350,'Base stats'!B:B,'Base stats'!C:C)^-0.165,0.05)</f>
        <v>0.15000000000000002</v>
      </c>
      <c r="X350" s="1">
        <f>MROUND(_xlfn.XLOOKUP(_xlfn.XLOOKUP(B350,'Base stats'!B:B,'Base stats'!E:E),Groups!A:A,Groups!BH:BH)*_xlfn.XLOOKUP(B350,'Base stats'!B:B,'Base stats'!C:C)^0.165,0.05)</f>
        <v>0.8</v>
      </c>
      <c r="Y350" s="8">
        <f>MROUND(_xlfn.XLOOKUP(_xlfn.XLOOKUP(B350,'Base stats'!B:B,'Base stats'!E:E),Groups!A:A,Groups!BI:BI)*_xlfn.XLOOKUP(B350,'Base stats'!B:B,'Base stats'!C:C)^0.165,0.05)</f>
        <v>0.1</v>
      </c>
      <c r="Z350" s="18">
        <f>MROUND(_xlfn.XLOOKUP(B350,'Base stats'!B:B,'Base stats'!AQ:AQ)*_xlfn.XLOOKUP(_xlfn.XLOOKUP(B350,'Base stats'!B:B,'Base stats'!E:E),Groups!A:A,Groups!H:H)/1000,IF((_xlfn.XLOOKUP(B350,'Base stats'!B:B,'Base stats'!AQ:AQ)*_xlfn.XLOOKUP(_xlfn.XLOOKUP(B350,'Base stats'!B:B,'Base stats'!E:E),Groups!A:A,Groups!H:H)/1000)&gt;1,0.05,0.01))</f>
        <v>0.23</v>
      </c>
      <c r="AA350" s="18">
        <f>MROUND((1/2)*(_xlfn.XLOOKUP(_xlfn.XLOOKUP(B350,'Base stats'!B:B,'Base stats'!E:E),Groups!A:A,Groups!H:H)*_xlfn.XLOOKUP(_xlfn.XLOOKUP(B350,'Base stats'!B:B,'Base stats'!E:E),Groups!A:A,Groups!I:I))*_xlfn.XLOOKUP(B350,'Base stats'!B:B,'Base stats'!AQ:AQ)*0.01,0.05)</f>
        <v>0.45</v>
      </c>
      <c r="AB350" s="18">
        <f>MROUND(250*(Animals!AO350+Animals!AP350),25)</f>
        <v>2750</v>
      </c>
      <c r="AC350" s="18" t="str">
        <f>_xlfn.XLOOKUP(_xlfn.XLOOKUP(B350,'Base stats'!B:B,'Base stats'!E:E),Groups!A:A,Groups!BJ:BJ)</f>
        <v>Birdlike</v>
      </c>
    </row>
    <row r="351" spans="1:29" ht="16.5" thickTop="1" thickBot="1" x14ac:dyDescent="0.3">
      <c r="A351" s="16" t="str">
        <f>Animals!A351</f>
        <v>Baryonyx</v>
      </c>
      <c r="B351" s="6" t="str">
        <f>Animals!B351</f>
        <v>Baryonyx walkeri</v>
      </c>
      <c r="C351" s="1" t="str">
        <f>Animals!C351</f>
        <v>&lt;li&gt;Baryonyx&lt;/li&gt;</v>
      </c>
      <c r="D351" s="47">
        <f>MIN(MIN(6,_xlfn.XLOOKUP(A351,Animals!A:A,Animals!AO:AO))*20,MAX(MROUND(_xlfn.XLOOKUP(B351,'Base stats'!B:B,'Base stats'!BS:BS) * (_xlfn.XLOOKUP(B351,'Base stats'!B:B,'Base stats'!AO:AO)*5%)^0.9 / 21,0.1),0.05))</f>
        <v>40</v>
      </c>
      <c r="E351" s="11">
        <f>MROUND(_xlfn.XLOOKUP(B351,'Base stats'!B:B,'Base stats'!BG:BG) * 0.01 * 2 + 0.01, 0.05)</f>
        <v>41.25</v>
      </c>
      <c r="F351" s="7">
        <f>MROUND(_xlfn.XLOOKUP(B351,'Base stats'!B:B,'Base stats'!BD:BD)^0.25 / (_xlfn.XLOOKUP(B351,'Base stats'!B:B,'Base stats'!BK:BK) * 10) * 150 + 0.5 + _xlfn.XLOOKUP(B351,'Base stats'!B:B,'Base stats'!BW:BW), 0.05)</f>
        <v>3</v>
      </c>
      <c r="G351" s="3" t="str">
        <f>IF(Animals!S351="No","No",
IF(_xlfn.XLOOKUP(B351,'Base stats'!B:B,'Base stats'!U:U)="No",
MAX(MROUND(_xlfn.XLOOKUP(B351,'Base stats'!B:B,'Base stats'!BT:BT) * _xlfn.XLOOKUP(B351,'Base stats'!B:B,'Base stats'!BP:BP)^0.9 / 21 * _xlfn.XLOOKUP(B351,'Base stats'!B:B,'Base stats'!BX:BX),0.1),0.05),
MAX(MROUND(((MIN(10,_xlfn.XLOOKUP(B351,'Base stats'!B:B,'Base stats'!U:U)))^0.4*_xlfn.XLOOKUP(B351,'Base stats'!B:B,'Base stats'!BH:BH)^0.73)^0.6 * _xlfn.XLOOKUP(B351,'Base stats'!B:B,'Base stats'!BX:BX),0.1),0.05)
))</f>
        <v>No</v>
      </c>
      <c r="H351" s="11" t="str">
        <f>IF(G351="No","No",
MROUND(_xlfn.XLOOKUP(B351,'Base stats'!B:B,'Base stats'!BH:BH) * 0.01 * 2 + 0.05, 0.05)
)</f>
        <v>No</v>
      </c>
      <c r="I351" s="11" t="str">
        <f>IF(G351="No","No",IF(_xlfn.XLOOKUP(B351,'Base stats'!B:B,'Base stats'!U:U)="No","No",
MROUND(_xlfn.XLOOKUP(B351,'Base stats'!B:B,'Base stats'!BT:BT)/10000+0.01,0.01)
))</f>
        <v>No</v>
      </c>
      <c r="J351" s="4" t="str">
        <f>IF(G351="No","No",
MROUND(_xlfn.XLOOKUP(B351,'Base stats'!B:B,'Base stats'!BE:BE)^0.25
/((_xlfn.XLOOKUP(B351,'Base stats'!B:B,'Base stats'!BL:BL))*10)*_xlfn.XLOOKUP(_xlfn.XLOOKUP(B351,'Base stats'!B:B,'Base stats'!E:E),Groups!A:A,Groups!Q:Q)*150 + 0.5 + _xlfn.XLOOKUP(B351,'Base stats'!B:B,'Base stats'!BW:BW),
0.05))</f>
        <v>No</v>
      </c>
      <c r="K351" s="3" t="str">
        <f>IF(Animals!X351="No","No",
IF(_xlfn.XLOOKUP(_xlfn.XLOOKUP(B351,'Base stats'!B:B,'Base stats'!E:E),Groups!A:A,Groups!BD:BD)=1,
MAX(MROUND(_xlfn.XLOOKUP(B351,'Base stats'!B:B,'Base stats'!BU:BU) * _xlfn.XLOOKUP(B351,'Base stats'!B:B,'Base stats'!BQ:BQ)^0.9 / 21 *_xlfn.XLOOKUP(B351,'Base stats'!B:B,'Base stats'!BX:BX),0.1),0.05),
MAX(MROUND(((MIN(10,_xlfn.XLOOKUP(B351,'Base stats'!B:B,'Base stats'!W:W)))^0.4*_xlfn.XLOOKUP(B351,'Base stats'!B:B,'Base stats'!BI:BI)^0.73)^0.6 *_xlfn.XLOOKUP(B351,'Base stats'!B:B,'Base stats'!BX:BX),0.1),0.05)
))</f>
        <v>No</v>
      </c>
      <c r="L351" s="11" t="str">
        <f>IF(K351="No","No",
MROUND(_xlfn.XLOOKUP(B351,'Base stats'!B:B,'Base stats'!BI:BI) * 0.01 *2 + 0.05, 0.05)
)</f>
        <v>No</v>
      </c>
      <c r="M351" s="5" t="str">
        <f>IF(K351="No","No",IF(_xlfn.XLOOKUP(_xlfn.XLOOKUP(B351,'Base stats'!B:B,'Base stats'!E:E),Groups!A:A,Groups!BD:BD)=1,"No",
MROUND(_xlfn.XLOOKUP(B351,'Base stats'!B:B,'Base stats'!BU:BU)/10000+0.01,0.01)
))</f>
        <v>No</v>
      </c>
      <c r="N351" s="4" t="str">
        <f>IF(K351="No","No",
MROUND(
  _xlfn.XLOOKUP(B351,'Base stats'!B:B,'Base stats'!BC:BC)^0.25
  / (_xlfn.XLOOKUP(B351,'Base stats'!B:B,'Base stats'!BM:BM) * 10)
  * _xlfn.XLOOKUP(
      _xlfn.XLOOKUP(B351,'Base stats'!B:B,'Base stats'!E:E),
      Groups!A:A,
      Groups!V:V
    ) * 150
  + MIN(12, _xlfn.XLOOKUP(B351,'Base stats'!B:B,'Base stats'!W:W))^(1/IF(_xlfn.XLOOKUP(_xlfn.XLOOKUP(B351,'Base stats'!B:B,'Base stats'!E:E),Groups!A:A,Groups!U:U)=1,100,10)) + 0.5 + _xlfn.XLOOKUP(B351,'Base stats'!B:B,'Base stats'!BW:BW),
0.05))</f>
        <v>No</v>
      </c>
      <c r="O351" s="3">
        <f>IF(Animals!AD351="No","No",
MAX(MROUND((MIN(10,_xlfn.XLOOKUP(B351,'Base stats'!B:B,'Base stats'!V:V)*IF(_xlfn.XLOOKUP(_xlfn.XLOOKUP(B351,'Base stats'!B:B,'Base stats'!E:E),Groups!A:A,Groups!O:O)=0,1,0.33))^0.4*_xlfn.XLOOKUP(B351,'Base stats'!B:B,'Base stats'!BJ:BJ)^0.73)^0.6 *_xlfn.XLOOKUP(B351,'Base stats'!B:B,'Base stats'!BX:BX),0.1),0.05)
)</f>
        <v>15.8</v>
      </c>
      <c r="P351" s="11">
        <f>IF(O351="No","No",
MROUND(_xlfn.XLOOKUP(B351,'Base stats'!B:B,'Base stats'!BJ:BJ) * 0.01 * 2 + 0.05, 0.05)
)</f>
        <v>5.15</v>
      </c>
      <c r="Q351" s="5">
        <f>IF(O351="No","No",
MROUND(_xlfn.XLOOKUP(B351,'Base stats'!B:B,'Base stats'!BV:BV)/10000+0.01,0.01)
)</f>
        <v>0.09</v>
      </c>
      <c r="R351" s="4">
        <f>IF(O351="No","No",
MROUND(_xlfn.XLOOKUP(B351,'Base stats'!B:B,'Base stats'!BB:BB)^0.25
/((_xlfn.XLOOKUP(B351,'Base stats'!B:B,'Base stats'!BN:BN))*10)*_xlfn.XLOOKUP(_xlfn.XLOOKUP(B351,'Base stats'!B:B,'Base stats'!E:E),Groups!A:A,Groups!Z:Z)*150 + 0.5 + _xlfn.XLOOKUP(B351,'Base stats'!B:B,'Base stats'!BW:BW),
0.05))</f>
        <v>2.75</v>
      </c>
      <c r="S351" s="3">
        <f>IF(Animals!AI351="No","No",
IF(_xlfn.XLOOKUP(B351,'Base stats'!B:B,'Base stats'!U:U)="No",
MAX(MROUND(_xlfn.XLOOKUP(B351,'Base stats'!B:B,'Base stats'!BT:BT) * _xlfn.XLOOKUP(B351,'Base stats'!B:B,'Base stats'!BP:BP)^0.9 / 21 * _xlfn.XLOOKUP(B351,'Base stats'!B:B,'Base stats'!BX:BX),0.1),0.05),
MAX(MROUND(((MIN(12,_xlfn.XLOOKUP(B351,'Base stats'!B:B,'Base stats'!U:U)))^0.4*_xlfn.XLOOKUP(B351,'Base stats'!B:B,'Base stats'!BH:BH)^0.73)^0.6 * _xlfn.XLOOKUP(B351,'Base stats'!B:B,'Base stats'!BX:BX),0.1),0.05)
))</f>
        <v>52.7</v>
      </c>
      <c r="T351" s="11">
        <f>IF(S351="No","No",
MROUND(_xlfn.XLOOKUP(B351,'Base stats'!B:B,'Base stats'!BH:BH) * 0.01 * 2 + 0.05, 0.05)
)</f>
        <v>43.85</v>
      </c>
      <c r="U351" s="5">
        <f>IF(S351="No","No",IF(_xlfn.XLOOKUP(B351,'Base stats'!B:B,'Base stats'!U:U)="No","No",
MROUND(_xlfn.XLOOKUP(B351,'Base stats'!B:B,'Base stats'!BT:BT)/10000+0.01,0.01)
))</f>
        <v>0.67</v>
      </c>
      <c r="V351" s="4">
        <f>IF(S351="No","No",
MROUND(_xlfn.XLOOKUP(B351,'Base stats'!B:B,'Base stats'!BF:BF)^0.25
/((_xlfn.XLOOKUP(B351,'Base stats'!B:B,'Base stats'!BO:BO))*10)*_xlfn.XLOOKUP(_xlfn.XLOOKUP(B351,'Base stats'!B:B,'Base stats'!E:E),Groups!A:A,Groups!AE:AE)*150 + 0.5 + _xlfn.XLOOKUP(B351,'Base stats'!B:B,'Base stats'!BW:BW),
0.05))</f>
        <v>2.2000000000000002</v>
      </c>
      <c r="W351" s="8">
        <f>MROUND(_xlfn.XLOOKUP(_xlfn.XLOOKUP(B351,'Base stats'!B:B,'Base stats'!E:E),Groups!A:A,Groups!BG:BG)*_xlfn.XLOOKUP(B351,'Base stats'!B:B,'Base stats'!C:C)^-0.165,0.05)</f>
        <v>0.2</v>
      </c>
      <c r="X351" s="1">
        <f>MROUND(_xlfn.XLOOKUP(_xlfn.XLOOKUP(B351,'Base stats'!B:B,'Base stats'!E:E),Groups!A:A,Groups!BH:BH)*_xlfn.XLOOKUP(B351,'Base stats'!B:B,'Base stats'!C:C)^0.165,0.05)</f>
        <v>0.70000000000000007</v>
      </c>
      <c r="Y351" s="8">
        <f>MROUND(_xlfn.XLOOKUP(_xlfn.XLOOKUP(B351,'Base stats'!B:B,'Base stats'!E:E),Groups!A:A,Groups!BI:BI)*_xlfn.XLOOKUP(B351,'Base stats'!B:B,'Base stats'!C:C)^0.165,0.05)</f>
        <v>0.1</v>
      </c>
      <c r="Z351" s="18">
        <f>MROUND(_xlfn.XLOOKUP(B351,'Base stats'!B:B,'Base stats'!AQ:AQ)*_xlfn.XLOOKUP(_xlfn.XLOOKUP(B351,'Base stats'!B:B,'Base stats'!E:E),Groups!A:A,Groups!H:H)/1000,IF((_xlfn.XLOOKUP(B351,'Base stats'!B:B,'Base stats'!AQ:AQ)*_xlfn.XLOOKUP(_xlfn.XLOOKUP(B351,'Base stats'!B:B,'Base stats'!E:E),Groups!A:A,Groups!H:H)/1000)&gt;1,0.05,0.01))</f>
        <v>0.18</v>
      </c>
      <c r="AA351" s="18">
        <f>MROUND((1/2)*(_xlfn.XLOOKUP(_xlfn.XLOOKUP(B351,'Base stats'!B:B,'Base stats'!E:E),Groups!A:A,Groups!H:H)*_xlfn.XLOOKUP(_xlfn.XLOOKUP(B351,'Base stats'!B:B,'Base stats'!E:E),Groups!A:A,Groups!I:I))*_xlfn.XLOOKUP(B351,'Base stats'!B:B,'Base stats'!AQ:AQ)*0.01,0.05)</f>
        <v>0.35000000000000003</v>
      </c>
      <c r="AB351" s="18">
        <f>MROUND(250*(Animals!AO351+Animals!AP351),25)</f>
        <v>2075</v>
      </c>
      <c r="AC351" s="18" t="str">
        <f>_xlfn.XLOOKUP(_xlfn.XLOOKUP(B351,'Base stats'!B:B,'Base stats'!E:E),Groups!A:A,Groups!BJ:BJ)</f>
        <v>Birdlike</v>
      </c>
    </row>
    <row r="352" spans="1:29" ht="16.5" thickTop="1" thickBot="1" x14ac:dyDescent="0.3">
      <c r="A352" s="16" t="str">
        <f>Animals!A352</f>
        <v>Ankylosaurus</v>
      </c>
      <c r="B352" s="6" t="str">
        <f>Animals!B352</f>
        <v>Ankylosaurus magniventris</v>
      </c>
      <c r="C352" s="1" t="str">
        <f>Animals!C352</f>
        <v>&lt;li&gt;Ankylosaurus&lt;/li&gt;</v>
      </c>
      <c r="D352" s="47">
        <f>MIN(MIN(6,_xlfn.XLOOKUP(A352,Animals!A:A,Animals!AO:AO))*20,MAX(MROUND(_xlfn.XLOOKUP(B352,'Base stats'!B:B,'Base stats'!BS:BS) * (_xlfn.XLOOKUP(B352,'Base stats'!B:B,'Base stats'!AO:AO)*5%)^0.9 / 21,0.1),0.05))</f>
        <v>50.800000000000004</v>
      </c>
      <c r="E352" s="11">
        <f>MROUND(_xlfn.XLOOKUP(B352,'Base stats'!B:B,'Base stats'!BG:BG) * 0.01 * 2 + 0.01, 0.05)</f>
        <v>56.35</v>
      </c>
      <c r="F352" s="7">
        <f>MROUND(_xlfn.XLOOKUP(B352,'Base stats'!B:B,'Base stats'!BD:BD)^0.25 / (_xlfn.XLOOKUP(B352,'Base stats'!B:B,'Base stats'!BK:BK) * 10) * 150 + 0.5 + _xlfn.XLOOKUP(B352,'Base stats'!B:B,'Base stats'!BW:BW), 0.05)</f>
        <v>3.2</v>
      </c>
      <c r="G352" s="3" t="str">
        <f>IF(Animals!S352="No","No",
IF(_xlfn.XLOOKUP(B352,'Base stats'!B:B,'Base stats'!U:U)="No",
MAX(MROUND(_xlfn.XLOOKUP(B352,'Base stats'!B:B,'Base stats'!BT:BT) * _xlfn.XLOOKUP(B352,'Base stats'!B:B,'Base stats'!BP:BP)^0.9 / 21 * _xlfn.XLOOKUP(B352,'Base stats'!B:B,'Base stats'!BX:BX),0.1),0.05),
MAX(MROUND(((MIN(10,_xlfn.XLOOKUP(B352,'Base stats'!B:B,'Base stats'!U:U)))^0.4*_xlfn.XLOOKUP(B352,'Base stats'!B:B,'Base stats'!BH:BH)^0.73)^0.6 * _xlfn.XLOOKUP(B352,'Base stats'!B:B,'Base stats'!BX:BX),0.1),0.05)
))</f>
        <v>No</v>
      </c>
      <c r="H352" s="11" t="str">
        <f>IF(G352="No","No",
MROUND(_xlfn.XLOOKUP(B352,'Base stats'!B:B,'Base stats'!BH:BH) * 0.01 * 2 + 0.05, 0.05)
)</f>
        <v>No</v>
      </c>
      <c r="I352" s="11" t="str">
        <f>IF(G352="No","No",IF(_xlfn.XLOOKUP(B352,'Base stats'!B:B,'Base stats'!U:U)="No","No",
MROUND(_xlfn.XLOOKUP(B352,'Base stats'!B:B,'Base stats'!BT:BT)/10000+0.01,0.01)
))</f>
        <v>No</v>
      </c>
      <c r="J352" s="4" t="str">
        <f>IF(G352="No","No",
MROUND(_xlfn.XLOOKUP(B352,'Base stats'!B:B,'Base stats'!BE:BE)^0.25
/((_xlfn.XLOOKUP(B352,'Base stats'!B:B,'Base stats'!BL:BL))*10)*_xlfn.XLOOKUP(_xlfn.XLOOKUP(B352,'Base stats'!B:B,'Base stats'!E:E),Groups!A:A,Groups!Q:Q)*150 + 0.5 + _xlfn.XLOOKUP(B352,'Base stats'!B:B,'Base stats'!BW:BW),
0.05))</f>
        <v>No</v>
      </c>
      <c r="K352" s="3">
        <f>IF(Animals!X352="No","No",
IF(_xlfn.XLOOKUP(_xlfn.XLOOKUP(B352,'Base stats'!B:B,'Base stats'!E:E),Groups!A:A,Groups!BD:BD)=1,
MAX(MROUND(_xlfn.XLOOKUP(B352,'Base stats'!B:B,'Base stats'!BU:BU) * _xlfn.XLOOKUP(B352,'Base stats'!B:B,'Base stats'!BQ:BQ)^0.9 / 21 *_xlfn.XLOOKUP(B352,'Base stats'!B:B,'Base stats'!BX:BX),0.1),0.05),
MAX(MROUND(((MIN(10,_xlfn.XLOOKUP(B352,'Base stats'!B:B,'Base stats'!W:W)))^0.4*_xlfn.XLOOKUP(B352,'Base stats'!B:B,'Base stats'!BI:BI)^0.73)^0.6 *_xlfn.XLOOKUP(B352,'Base stats'!B:B,'Base stats'!BX:BX),0.1),0.05)
))</f>
        <v>57.300000000000004</v>
      </c>
      <c r="L352" s="11">
        <f>IF(K352="No","No",
MROUND(_xlfn.XLOOKUP(B352,'Base stats'!B:B,'Base stats'!BI:BI) * 0.01 *2 + 0.05, 0.05)
)</f>
        <v>58.550000000000004</v>
      </c>
      <c r="M352" s="5">
        <f>IF(K352="No","No",IF(_xlfn.XLOOKUP(_xlfn.XLOOKUP(B352,'Base stats'!B:B,'Base stats'!E:E),Groups!A:A,Groups!BD:BD)=1,"No",
MROUND(_xlfn.XLOOKUP(B352,'Base stats'!B:B,'Base stats'!BU:BU)/10000+0.01,0.01)
))</f>
        <v>2.4700000000000002</v>
      </c>
      <c r="N352" s="4">
        <f>IF(K352="No","No",
MROUND(
  _xlfn.XLOOKUP(B352,'Base stats'!B:B,'Base stats'!BC:BC)^0.25
  / (_xlfn.XLOOKUP(B352,'Base stats'!B:B,'Base stats'!BM:BM) * 10)
  * _xlfn.XLOOKUP(
      _xlfn.XLOOKUP(B352,'Base stats'!B:B,'Base stats'!E:E),
      Groups!A:A,
      Groups!V:V
    ) * 150
  + MIN(12, _xlfn.XLOOKUP(B352,'Base stats'!B:B,'Base stats'!W:W))^(1/IF(_xlfn.XLOOKUP(_xlfn.XLOOKUP(B352,'Base stats'!B:B,'Base stats'!E:E),Groups!A:A,Groups!U:U)=1,100,10)) + 0.5 + _xlfn.XLOOKUP(B352,'Base stats'!B:B,'Base stats'!BW:BW),
0.05))</f>
        <v>4.4000000000000004</v>
      </c>
      <c r="O352" s="3" t="str">
        <f>IF(Animals!AD352="No","No",
MAX(MROUND((MIN(10,_xlfn.XLOOKUP(B352,'Base stats'!B:B,'Base stats'!V:V)*IF(_xlfn.XLOOKUP(_xlfn.XLOOKUP(B352,'Base stats'!B:B,'Base stats'!E:E),Groups!A:A,Groups!O:O)=0,1,0.33))^0.4*_xlfn.XLOOKUP(B352,'Base stats'!B:B,'Base stats'!BJ:BJ)^0.73)^0.6 *_xlfn.XLOOKUP(B352,'Base stats'!B:B,'Base stats'!BX:BX),0.1),0.05)
)</f>
        <v>No</v>
      </c>
      <c r="P352" s="11" t="str">
        <f>IF(O352="No","No",
MROUND(_xlfn.XLOOKUP(B352,'Base stats'!B:B,'Base stats'!BJ:BJ) * 0.01 * 2 + 0.05, 0.05)
)</f>
        <v>No</v>
      </c>
      <c r="Q352" s="5" t="str">
        <f>IF(O352="No","No",
MROUND(_xlfn.XLOOKUP(B352,'Base stats'!B:B,'Base stats'!BV:BV)/10000+0.01,0.01)
)</f>
        <v>No</v>
      </c>
      <c r="R352" s="4" t="str">
        <f>IF(O352="No","No",
MROUND(_xlfn.XLOOKUP(B352,'Base stats'!B:B,'Base stats'!BB:BB)^0.25
/((_xlfn.XLOOKUP(B352,'Base stats'!B:B,'Base stats'!BN:BN))*10)*_xlfn.XLOOKUP(_xlfn.XLOOKUP(B352,'Base stats'!B:B,'Base stats'!E:E),Groups!A:A,Groups!Z:Z)*150 + 0.5 + _xlfn.XLOOKUP(B352,'Base stats'!B:B,'Base stats'!BW:BW),
0.05))</f>
        <v>No</v>
      </c>
      <c r="S352" s="3" t="str">
        <f>IF(Animals!AI352="No","No",
IF(_xlfn.XLOOKUP(B352,'Base stats'!B:B,'Base stats'!U:U)="No",
MAX(MROUND(_xlfn.XLOOKUP(B352,'Base stats'!B:B,'Base stats'!BT:BT) * _xlfn.XLOOKUP(B352,'Base stats'!B:B,'Base stats'!BP:BP)^0.9 / 21 * _xlfn.XLOOKUP(B352,'Base stats'!B:B,'Base stats'!BX:BX),0.1),0.05),
MAX(MROUND(((MIN(12,_xlfn.XLOOKUP(B352,'Base stats'!B:B,'Base stats'!U:U)))^0.4*_xlfn.XLOOKUP(B352,'Base stats'!B:B,'Base stats'!BH:BH)^0.73)^0.6 * _xlfn.XLOOKUP(B352,'Base stats'!B:B,'Base stats'!BX:BX),0.1),0.05)
))</f>
        <v>No</v>
      </c>
      <c r="T352" s="11" t="str">
        <f>IF(S352="No","No",
MROUND(_xlfn.XLOOKUP(B352,'Base stats'!B:B,'Base stats'!BH:BH) * 0.01 * 2 + 0.05, 0.05)
)</f>
        <v>No</v>
      </c>
      <c r="U352" s="5" t="str">
        <f>IF(S352="No","No",IF(_xlfn.XLOOKUP(B352,'Base stats'!B:B,'Base stats'!U:U)="No","No",
MROUND(_xlfn.XLOOKUP(B352,'Base stats'!B:B,'Base stats'!BT:BT)/10000+0.01,0.01)
))</f>
        <v>No</v>
      </c>
      <c r="V352" s="4" t="str">
        <f>IF(S352="No","No",
MROUND(_xlfn.XLOOKUP(B352,'Base stats'!B:B,'Base stats'!BF:BF)^0.25
/((_xlfn.XLOOKUP(B352,'Base stats'!B:B,'Base stats'!BO:BO))*10)*_xlfn.XLOOKUP(_xlfn.XLOOKUP(B352,'Base stats'!B:B,'Base stats'!E:E),Groups!A:A,Groups!AE:AE)*150 + 0.5 + _xlfn.XLOOKUP(B352,'Base stats'!B:B,'Base stats'!BW:BW),
0.05))</f>
        <v>No</v>
      </c>
      <c r="W352" s="8">
        <f>MROUND(_xlfn.XLOOKUP(_xlfn.XLOOKUP(B352,'Base stats'!B:B,'Base stats'!E:E),Groups!A:A,Groups!BG:BG)*_xlfn.XLOOKUP(B352,'Base stats'!B:B,'Base stats'!C:C)^-0.165,0.05)</f>
        <v>0</v>
      </c>
      <c r="X352" s="1">
        <f>MROUND(_xlfn.XLOOKUP(_xlfn.XLOOKUP(B352,'Base stats'!B:B,'Base stats'!E:E),Groups!A:A,Groups!BH:BH)*_xlfn.XLOOKUP(B352,'Base stats'!B:B,'Base stats'!C:C)^0.165,0.05)</f>
        <v>0.4</v>
      </c>
      <c r="Y352" s="8">
        <f>MROUND(_xlfn.XLOOKUP(_xlfn.XLOOKUP(B352,'Base stats'!B:B,'Base stats'!E:E),Groups!A:A,Groups!BI:BI)*_xlfn.XLOOKUP(B352,'Base stats'!B:B,'Base stats'!C:C)^0.165,0.05)</f>
        <v>0.1</v>
      </c>
      <c r="Z352" s="18">
        <f>MROUND(_xlfn.XLOOKUP(B352,'Base stats'!B:B,'Base stats'!AQ:AQ)*_xlfn.XLOOKUP(_xlfn.XLOOKUP(B352,'Base stats'!B:B,'Base stats'!E:E),Groups!A:A,Groups!H:H)/1000,IF((_xlfn.XLOOKUP(B352,'Base stats'!B:B,'Base stats'!AQ:AQ)*_xlfn.XLOOKUP(_xlfn.XLOOKUP(B352,'Base stats'!B:B,'Base stats'!E:E),Groups!A:A,Groups!H:H)/1000)&gt;1,0.05,0.01))</f>
        <v>1.1500000000000001</v>
      </c>
      <c r="AA352" s="18">
        <f>MROUND((1/2)*(_xlfn.XLOOKUP(_xlfn.XLOOKUP(B352,'Base stats'!B:B,'Base stats'!E:E),Groups!A:A,Groups!H:H)*_xlfn.XLOOKUP(_xlfn.XLOOKUP(B352,'Base stats'!B:B,'Base stats'!E:E),Groups!A:A,Groups!I:I))*_xlfn.XLOOKUP(B352,'Base stats'!B:B,'Base stats'!AQ:AQ)*0.01,0.05)</f>
        <v>1.3</v>
      </c>
      <c r="AB352" s="18">
        <f>MROUND(250*(Animals!AO352+Animals!AP352),25)</f>
        <v>2750</v>
      </c>
      <c r="AC352" s="18" t="str">
        <f>_xlfn.XLOOKUP(_xlfn.XLOOKUP(B352,'Base stats'!B:B,'Base stats'!E:E),Groups!A:A,Groups!BJ:BJ)</f>
        <v>Quadruped</v>
      </c>
    </row>
    <row r="353" spans="1:29" ht="16.5" thickTop="1" thickBot="1" x14ac:dyDescent="0.3">
      <c r="A353" s="16" t="str">
        <f>Animals!A353</f>
        <v>Minmi</v>
      </c>
      <c r="B353" s="6" t="str">
        <f>Animals!B353</f>
        <v>Minmi paravertebra</v>
      </c>
      <c r="C353" s="1" t="str">
        <f>Animals!C353</f>
        <v>&lt;li&gt;Minmi&lt;/li&gt;</v>
      </c>
      <c r="D353" s="47">
        <f>MIN(MIN(6,_xlfn.XLOOKUP(A353,Animals!A:A,Animals!AO:AO))*20,MAX(MROUND(_xlfn.XLOOKUP(B353,'Base stats'!B:B,'Base stats'!BS:BS) * (_xlfn.XLOOKUP(B353,'Base stats'!B:B,'Base stats'!AO:AO)*5%)^0.9 / 21,0.1),0.05))</f>
        <v>3.9000000000000004</v>
      </c>
      <c r="E353" s="11">
        <f>MROUND(_xlfn.XLOOKUP(B353,'Base stats'!B:B,'Base stats'!BG:BG) * 0.01 * 2 + 0.01, 0.05)</f>
        <v>3.5</v>
      </c>
      <c r="F353" s="7">
        <f>MROUND(_xlfn.XLOOKUP(B353,'Base stats'!B:B,'Base stats'!BD:BD)^0.25 / (_xlfn.XLOOKUP(B353,'Base stats'!B:B,'Base stats'!BK:BK) * 10) * 150 + 0.5 + _xlfn.XLOOKUP(B353,'Base stats'!B:B,'Base stats'!BW:BW), 0.05)</f>
        <v>2.3000000000000003</v>
      </c>
      <c r="G353" s="3" t="str">
        <f>IF(Animals!S353="No","No",
IF(_xlfn.XLOOKUP(B353,'Base stats'!B:B,'Base stats'!U:U)="No",
MAX(MROUND(_xlfn.XLOOKUP(B353,'Base stats'!B:B,'Base stats'!BT:BT) * _xlfn.XLOOKUP(B353,'Base stats'!B:B,'Base stats'!BP:BP)^0.9 / 21 * _xlfn.XLOOKUP(B353,'Base stats'!B:B,'Base stats'!BX:BX),0.1),0.05),
MAX(MROUND(((MIN(10,_xlfn.XLOOKUP(B353,'Base stats'!B:B,'Base stats'!U:U)))^0.4*_xlfn.XLOOKUP(B353,'Base stats'!B:B,'Base stats'!BH:BH)^0.73)^0.6 * _xlfn.XLOOKUP(B353,'Base stats'!B:B,'Base stats'!BX:BX),0.1),0.05)
))</f>
        <v>No</v>
      </c>
      <c r="H353" s="11" t="str">
        <f>IF(G353="No","No",
MROUND(_xlfn.XLOOKUP(B353,'Base stats'!B:B,'Base stats'!BH:BH) * 0.01 * 2 + 0.05, 0.05)
)</f>
        <v>No</v>
      </c>
      <c r="I353" s="11" t="str">
        <f>IF(G353="No","No",IF(_xlfn.XLOOKUP(B353,'Base stats'!B:B,'Base stats'!U:U)="No","No",
MROUND(_xlfn.XLOOKUP(B353,'Base stats'!B:B,'Base stats'!BT:BT)/10000+0.01,0.01)
))</f>
        <v>No</v>
      </c>
      <c r="J353" s="4" t="str">
        <f>IF(G353="No","No",
MROUND(_xlfn.XLOOKUP(B353,'Base stats'!B:B,'Base stats'!BE:BE)^0.25
/((_xlfn.XLOOKUP(B353,'Base stats'!B:B,'Base stats'!BL:BL))*10)*_xlfn.XLOOKUP(_xlfn.XLOOKUP(B353,'Base stats'!B:B,'Base stats'!E:E),Groups!A:A,Groups!Q:Q)*150 + 0.5 + _xlfn.XLOOKUP(B353,'Base stats'!B:B,'Base stats'!BW:BW),
0.05))</f>
        <v>No</v>
      </c>
      <c r="K353" s="3">
        <f>IF(Animals!X353="No","No",
IF(_xlfn.XLOOKUP(_xlfn.XLOOKUP(B353,'Base stats'!B:B,'Base stats'!E:E),Groups!A:A,Groups!BD:BD)=1,
MAX(MROUND(_xlfn.XLOOKUP(B353,'Base stats'!B:B,'Base stats'!BU:BU) * _xlfn.XLOOKUP(B353,'Base stats'!B:B,'Base stats'!BQ:BQ)^0.9 / 21 *_xlfn.XLOOKUP(B353,'Base stats'!B:B,'Base stats'!BX:BX),0.1),0.05),
MAX(MROUND(((MIN(10,_xlfn.XLOOKUP(B353,'Base stats'!B:B,'Base stats'!W:W)))^0.4*_xlfn.XLOOKUP(B353,'Base stats'!B:B,'Base stats'!BI:BI)^0.73)^0.6 *_xlfn.XLOOKUP(B353,'Base stats'!B:B,'Base stats'!BX:BX),0.1),0.05)
))</f>
        <v>18.3</v>
      </c>
      <c r="L353" s="11">
        <f>IF(K353="No","No",
MROUND(_xlfn.XLOOKUP(B353,'Base stats'!B:B,'Base stats'!BI:BI) * 0.01 *2 + 0.05, 0.05)
)</f>
        <v>4.3500000000000005</v>
      </c>
      <c r="M353" s="5">
        <f>IF(K353="No","No",IF(_xlfn.XLOOKUP(_xlfn.XLOOKUP(B353,'Base stats'!B:B,'Base stats'!E:E),Groups!A:A,Groups!BD:BD)=1,"No",
MROUND(_xlfn.XLOOKUP(B353,'Base stats'!B:B,'Base stats'!BU:BU)/10000+0.01,0.01)
))</f>
        <v>0.25</v>
      </c>
      <c r="N353" s="4">
        <f>IF(K353="No","No",
MROUND(
  _xlfn.XLOOKUP(B353,'Base stats'!B:B,'Base stats'!BC:BC)^0.25
  / (_xlfn.XLOOKUP(B353,'Base stats'!B:B,'Base stats'!BM:BM) * 10)
  * _xlfn.XLOOKUP(
      _xlfn.XLOOKUP(B353,'Base stats'!B:B,'Base stats'!E:E),
      Groups!A:A,
      Groups!V:V
    ) * 150
  + MIN(12, _xlfn.XLOOKUP(B353,'Base stats'!B:B,'Base stats'!W:W))^(1/IF(_xlfn.XLOOKUP(_xlfn.XLOOKUP(B353,'Base stats'!B:B,'Base stats'!E:E),Groups!A:A,Groups!U:U)=1,100,10)) + 0.5 + _xlfn.XLOOKUP(B353,'Base stats'!B:B,'Base stats'!BW:BW),
0.05))</f>
        <v>3.85</v>
      </c>
      <c r="O353" s="3" t="str">
        <f>IF(Animals!AD353="No","No",
MAX(MROUND((MIN(10,_xlfn.XLOOKUP(B353,'Base stats'!B:B,'Base stats'!V:V)*IF(_xlfn.XLOOKUP(_xlfn.XLOOKUP(B353,'Base stats'!B:B,'Base stats'!E:E),Groups!A:A,Groups!O:O)=0,1,0.33))^0.4*_xlfn.XLOOKUP(B353,'Base stats'!B:B,'Base stats'!BJ:BJ)^0.73)^0.6 *_xlfn.XLOOKUP(B353,'Base stats'!B:B,'Base stats'!BX:BX),0.1),0.05)
)</f>
        <v>No</v>
      </c>
      <c r="P353" s="11" t="str">
        <f>IF(O353="No","No",
MROUND(_xlfn.XLOOKUP(B353,'Base stats'!B:B,'Base stats'!BJ:BJ) * 0.01 * 2 + 0.05, 0.05)
)</f>
        <v>No</v>
      </c>
      <c r="Q353" s="5" t="str">
        <f>IF(O353="No","No",
MROUND(_xlfn.XLOOKUP(B353,'Base stats'!B:B,'Base stats'!BV:BV)/10000+0.01,0.01)
)</f>
        <v>No</v>
      </c>
      <c r="R353" s="4" t="str">
        <f>IF(O353="No","No",
MROUND(_xlfn.XLOOKUP(B353,'Base stats'!B:B,'Base stats'!BB:BB)^0.25
/((_xlfn.XLOOKUP(B353,'Base stats'!B:B,'Base stats'!BN:BN))*10)*_xlfn.XLOOKUP(_xlfn.XLOOKUP(B353,'Base stats'!B:B,'Base stats'!E:E),Groups!A:A,Groups!Z:Z)*150 + 0.5 + _xlfn.XLOOKUP(B353,'Base stats'!B:B,'Base stats'!BW:BW),
0.05))</f>
        <v>No</v>
      </c>
      <c r="S353" s="3" t="str">
        <f>IF(Animals!AI353="No","No",
IF(_xlfn.XLOOKUP(B353,'Base stats'!B:B,'Base stats'!U:U)="No",
MAX(MROUND(_xlfn.XLOOKUP(B353,'Base stats'!B:B,'Base stats'!BT:BT) * _xlfn.XLOOKUP(B353,'Base stats'!B:B,'Base stats'!BP:BP)^0.9 / 21 * _xlfn.XLOOKUP(B353,'Base stats'!B:B,'Base stats'!BX:BX),0.1),0.05),
MAX(MROUND(((MIN(12,_xlfn.XLOOKUP(B353,'Base stats'!B:B,'Base stats'!U:U)))^0.4*_xlfn.XLOOKUP(B353,'Base stats'!B:B,'Base stats'!BH:BH)^0.73)^0.6 * _xlfn.XLOOKUP(B353,'Base stats'!B:B,'Base stats'!BX:BX),0.1),0.05)
))</f>
        <v>No</v>
      </c>
      <c r="T353" s="11" t="str">
        <f>IF(S353="No","No",
MROUND(_xlfn.XLOOKUP(B353,'Base stats'!B:B,'Base stats'!BH:BH) * 0.01 * 2 + 0.05, 0.05)
)</f>
        <v>No</v>
      </c>
      <c r="U353" s="5" t="str">
        <f>IF(S353="No","No",IF(_xlfn.XLOOKUP(B353,'Base stats'!B:B,'Base stats'!U:U)="No","No",
MROUND(_xlfn.XLOOKUP(B353,'Base stats'!B:B,'Base stats'!BT:BT)/10000+0.01,0.01)
))</f>
        <v>No</v>
      </c>
      <c r="V353" s="4" t="str">
        <f>IF(S353="No","No",
MROUND(_xlfn.XLOOKUP(B353,'Base stats'!B:B,'Base stats'!BF:BF)^0.25
/((_xlfn.XLOOKUP(B353,'Base stats'!B:B,'Base stats'!BO:BO))*10)*_xlfn.XLOOKUP(_xlfn.XLOOKUP(B353,'Base stats'!B:B,'Base stats'!E:E),Groups!A:A,Groups!AE:AE)*150 + 0.5 + _xlfn.XLOOKUP(B353,'Base stats'!B:B,'Base stats'!BW:BW),
0.05))</f>
        <v>No</v>
      </c>
      <c r="W353" s="8">
        <f>MROUND(_xlfn.XLOOKUP(_xlfn.XLOOKUP(B353,'Base stats'!B:B,'Base stats'!E:E),Groups!A:A,Groups!BG:BG)*_xlfn.XLOOKUP(B353,'Base stats'!B:B,'Base stats'!C:C)^-0.165,0.05)</f>
        <v>0</v>
      </c>
      <c r="X353" s="1">
        <f>MROUND(_xlfn.XLOOKUP(_xlfn.XLOOKUP(B353,'Base stats'!B:B,'Base stats'!E:E),Groups!A:A,Groups!BH:BH)*_xlfn.XLOOKUP(B353,'Base stats'!B:B,'Base stats'!C:C)^0.165,0.05)</f>
        <v>0.25</v>
      </c>
      <c r="Y353" s="8">
        <f>MROUND(_xlfn.XLOOKUP(_xlfn.XLOOKUP(B353,'Base stats'!B:B,'Base stats'!E:E),Groups!A:A,Groups!BI:BI)*_xlfn.XLOOKUP(B353,'Base stats'!B:B,'Base stats'!C:C)^0.165,0.05)</f>
        <v>0.05</v>
      </c>
      <c r="Z353" s="18">
        <f>MROUND(_xlfn.XLOOKUP(B353,'Base stats'!B:B,'Base stats'!AQ:AQ)*_xlfn.XLOOKUP(_xlfn.XLOOKUP(B353,'Base stats'!B:B,'Base stats'!E:E),Groups!A:A,Groups!H:H)/1000,IF((_xlfn.XLOOKUP(B353,'Base stats'!B:B,'Base stats'!AQ:AQ)*_xlfn.XLOOKUP(_xlfn.XLOOKUP(B353,'Base stats'!B:B,'Base stats'!E:E),Groups!A:A,Groups!H:H)/1000)&gt;1,0.05,0.01))</f>
        <v>0.39</v>
      </c>
      <c r="AA353" s="18">
        <f>MROUND((1/2)*(_xlfn.XLOOKUP(_xlfn.XLOOKUP(B353,'Base stats'!B:B,'Base stats'!E:E),Groups!A:A,Groups!H:H)*_xlfn.XLOOKUP(_xlfn.XLOOKUP(B353,'Base stats'!B:B,'Base stats'!E:E),Groups!A:A,Groups!I:I))*_xlfn.XLOOKUP(B353,'Base stats'!B:B,'Base stats'!AQ:AQ)*0.01,0.05)</f>
        <v>0.45</v>
      </c>
      <c r="AB353" s="18">
        <f>MROUND(250*(Animals!AO353+Animals!AP353),25)</f>
        <v>1125</v>
      </c>
      <c r="AC353" s="18" t="str">
        <f>_xlfn.XLOOKUP(_xlfn.XLOOKUP(B353,'Base stats'!B:B,'Base stats'!E:E),Groups!A:A,Groups!BJ:BJ)</f>
        <v>Quadruped</v>
      </c>
    </row>
    <row r="354" spans="1:29" ht="16.5" thickTop="1" thickBot="1" x14ac:dyDescent="0.3">
      <c r="A354" s="16" t="str">
        <f>Animals!A354</f>
        <v>Brachiosaurus</v>
      </c>
      <c r="B354" s="6" t="str">
        <f>Animals!B354</f>
        <v>Giraffatitan brancai</v>
      </c>
      <c r="C354" s="1" t="str">
        <f>Animals!C354</f>
        <v>&lt;li&gt;Brachiosaurus&lt;/li&gt;</v>
      </c>
      <c r="D354" s="47">
        <f>MIN(MIN(6,_xlfn.XLOOKUP(A354,Animals!A:A,Animals!AO:AO))*20,MAX(MROUND(_xlfn.XLOOKUP(B354,'Base stats'!B:B,'Base stats'!BS:BS) * (_xlfn.XLOOKUP(B354,'Base stats'!B:B,'Base stats'!AO:AO)*5%)^0.9 / 21,0.1),0.05))</f>
        <v>120</v>
      </c>
      <c r="E354" s="11">
        <f>MROUND(_xlfn.XLOOKUP(B354,'Base stats'!B:B,'Base stats'!BG:BG) * 0.01 * 2 + 0.01, 0.05)</f>
        <v>183.60000000000002</v>
      </c>
      <c r="F354" s="7">
        <f>MROUND(_xlfn.XLOOKUP(B354,'Base stats'!B:B,'Base stats'!BD:BD)^0.25 / (_xlfn.XLOOKUP(B354,'Base stats'!B:B,'Base stats'!BK:BK) * 10) * 150 + 0.5 + _xlfn.XLOOKUP(B354,'Base stats'!B:B,'Base stats'!BW:BW), 0.05)</f>
        <v>3.45</v>
      </c>
      <c r="G354" s="3">
        <f>IF(Animals!S354="No","No",
IF(_xlfn.XLOOKUP(B354,'Base stats'!B:B,'Base stats'!U:U)="No",
MAX(MROUND(_xlfn.XLOOKUP(B354,'Base stats'!B:B,'Base stats'!BT:BT) * _xlfn.XLOOKUP(B354,'Base stats'!B:B,'Base stats'!BP:BP)^0.9 / 21 * _xlfn.XLOOKUP(B354,'Base stats'!B:B,'Base stats'!BX:BX),0.1),0.05),
MAX(MROUND(((MIN(10,_xlfn.XLOOKUP(B354,'Base stats'!B:B,'Base stats'!U:U)))^0.4*_xlfn.XLOOKUP(B354,'Base stats'!B:B,'Base stats'!BH:BH)^0.73)^0.6 * _xlfn.XLOOKUP(B354,'Base stats'!B:B,'Base stats'!BX:BX),0.1),0.05)
))</f>
        <v>156.5</v>
      </c>
      <c r="H354" s="11">
        <f>IF(G354="No","No",
MROUND(_xlfn.XLOOKUP(B354,'Base stats'!B:B,'Base stats'!BH:BH) * 0.01 * 2 + 0.05, 0.05)
)</f>
        <v>147.65</v>
      </c>
      <c r="I354" s="11" t="str">
        <f>IF(G354="No","No",IF(_xlfn.XLOOKUP(B354,'Base stats'!B:B,'Base stats'!U:U)="No","No",
MROUND(_xlfn.XLOOKUP(B354,'Base stats'!B:B,'Base stats'!BT:BT)/10000+0.01,0.01)
))</f>
        <v>No</v>
      </c>
      <c r="J354" s="4">
        <f>IF(G354="No","No",
MROUND(_xlfn.XLOOKUP(B354,'Base stats'!B:B,'Base stats'!BE:BE)^0.25
/((_xlfn.XLOOKUP(B354,'Base stats'!B:B,'Base stats'!BL:BL))*10)*_xlfn.XLOOKUP(_xlfn.XLOOKUP(B354,'Base stats'!B:B,'Base stats'!E:E),Groups!A:A,Groups!Q:Q)*150 + 0.5 + _xlfn.XLOOKUP(B354,'Base stats'!B:B,'Base stats'!BW:BW),
0.05))</f>
        <v>5.75</v>
      </c>
      <c r="K354" s="3" t="str">
        <f>IF(Animals!X354="No","No",
IF(_xlfn.XLOOKUP(_xlfn.XLOOKUP(B354,'Base stats'!B:B,'Base stats'!E:E),Groups!A:A,Groups!BD:BD)=1,
MAX(MROUND(_xlfn.XLOOKUP(B354,'Base stats'!B:B,'Base stats'!BU:BU) * _xlfn.XLOOKUP(B354,'Base stats'!B:B,'Base stats'!BQ:BQ)^0.9 / 21 *_xlfn.XLOOKUP(B354,'Base stats'!B:B,'Base stats'!BX:BX),0.1),0.05),
MAX(MROUND(((MIN(10,_xlfn.XLOOKUP(B354,'Base stats'!B:B,'Base stats'!W:W)))^0.4*_xlfn.XLOOKUP(B354,'Base stats'!B:B,'Base stats'!BI:BI)^0.73)^0.6 *_xlfn.XLOOKUP(B354,'Base stats'!B:B,'Base stats'!BX:BX),0.1),0.05)
))</f>
        <v>No</v>
      </c>
      <c r="L354" s="11" t="str">
        <f>IF(K354="No","No",
MROUND(_xlfn.XLOOKUP(B354,'Base stats'!B:B,'Base stats'!BI:BI) * 0.01 *2 + 0.05, 0.05)
)</f>
        <v>No</v>
      </c>
      <c r="M354" s="5" t="str">
        <f>IF(K354="No","No",IF(_xlfn.XLOOKUP(_xlfn.XLOOKUP(B354,'Base stats'!B:B,'Base stats'!E:E),Groups!A:A,Groups!BD:BD)=1,"No",
MROUND(_xlfn.XLOOKUP(B354,'Base stats'!B:B,'Base stats'!BU:BU)/10000+0.01,0.01)
))</f>
        <v>No</v>
      </c>
      <c r="N354" s="4" t="str">
        <f>IF(K354="No","No",
MROUND(
  _xlfn.XLOOKUP(B354,'Base stats'!B:B,'Base stats'!BC:BC)^0.25
  / (_xlfn.XLOOKUP(B354,'Base stats'!B:B,'Base stats'!BM:BM) * 10)
  * _xlfn.XLOOKUP(
      _xlfn.XLOOKUP(B354,'Base stats'!B:B,'Base stats'!E:E),
      Groups!A:A,
      Groups!V:V
    ) * 150
  + MIN(12, _xlfn.XLOOKUP(B354,'Base stats'!B:B,'Base stats'!W:W))^(1/IF(_xlfn.XLOOKUP(_xlfn.XLOOKUP(B354,'Base stats'!B:B,'Base stats'!E:E),Groups!A:A,Groups!U:U)=1,100,10)) + 0.5 + _xlfn.XLOOKUP(B354,'Base stats'!B:B,'Base stats'!BW:BW),
0.05))</f>
        <v>No</v>
      </c>
      <c r="O354" s="3" t="str">
        <f>IF(Animals!AD354="No","No",
MAX(MROUND((MIN(10,_xlfn.XLOOKUP(B354,'Base stats'!B:B,'Base stats'!V:V)*IF(_xlfn.XLOOKUP(_xlfn.XLOOKUP(B354,'Base stats'!B:B,'Base stats'!E:E),Groups!A:A,Groups!O:O)=0,1,0.33))^0.4*_xlfn.XLOOKUP(B354,'Base stats'!B:B,'Base stats'!BJ:BJ)^0.73)^0.6 *_xlfn.XLOOKUP(B354,'Base stats'!B:B,'Base stats'!BX:BX),0.1),0.05)
)</f>
        <v>No</v>
      </c>
      <c r="P354" s="11" t="str">
        <f>IF(O354="No","No",
MROUND(_xlfn.XLOOKUP(B354,'Base stats'!B:B,'Base stats'!BJ:BJ) * 0.01 * 2 + 0.05, 0.05)
)</f>
        <v>No</v>
      </c>
      <c r="Q354" s="5" t="str">
        <f>IF(O354="No","No",
MROUND(_xlfn.XLOOKUP(B354,'Base stats'!B:B,'Base stats'!BV:BV)/10000+0.01,0.01)
)</f>
        <v>No</v>
      </c>
      <c r="R354" s="4" t="str">
        <f>IF(O354="No","No",
MROUND(_xlfn.XLOOKUP(B354,'Base stats'!B:B,'Base stats'!BB:BB)^0.25
/((_xlfn.XLOOKUP(B354,'Base stats'!B:B,'Base stats'!BN:BN))*10)*_xlfn.XLOOKUP(_xlfn.XLOOKUP(B354,'Base stats'!B:B,'Base stats'!E:E),Groups!A:A,Groups!Z:Z)*150 + 0.5 + _xlfn.XLOOKUP(B354,'Base stats'!B:B,'Base stats'!BW:BW),
0.05))</f>
        <v>No</v>
      </c>
      <c r="S354" s="3" t="str">
        <f>IF(Animals!AI354="No","No",
IF(_xlfn.XLOOKUP(B354,'Base stats'!B:B,'Base stats'!U:U)="No",
MAX(MROUND(_xlfn.XLOOKUP(B354,'Base stats'!B:B,'Base stats'!BT:BT) * _xlfn.XLOOKUP(B354,'Base stats'!B:B,'Base stats'!BP:BP)^0.9 / 21 * _xlfn.XLOOKUP(B354,'Base stats'!B:B,'Base stats'!BX:BX),0.1),0.05),
MAX(MROUND(((MIN(12,_xlfn.XLOOKUP(B354,'Base stats'!B:B,'Base stats'!U:U)))^0.4*_xlfn.XLOOKUP(B354,'Base stats'!B:B,'Base stats'!BH:BH)^0.73)^0.6 * _xlfn.XLOOKUP(B354,'Base stats'!B:B,'Base stats'!BX:BX),0.1),0.05)
))</f>
        <v>No</v>
      </c>
      <c r="T354" s="11" t="str">
        <f>IF(S354="No","No",
MROUND(_xlfn.XLOOKUP(B354,'Base stats'!B:B,'Base stats'!BH:BH) * 0.01 * 2 + 0.05, 0.05)
)</f>
        <v>No</v>
      </c>
      <c r="U354" s="5" t="str">
        <f>IF(S354="No","No",IF(_xlfn.XLOOKUP(B354,'Base stats'!B:B,'Base stats'!U:U)="No","No",
MROUND(_xlfn.XLOOKUP(B354,'Base stats'!B:B,'Base stats'!BT:BT)/10000+0.01,0.01)
))</f>
        <v>No</v>
      </c>
      <c r="V354" s="4" t="str">
        <f>IF(S354="No","No",
MROUND(_xlfn.XLOOKUP(B354,'Base stats'!B:B,'Base stats'!BF:BF)^0.25
/((_xlfn.XLOOKUP(B354,'Base stats'!B:B,'Base stats'!BO:BO))*10)*_xlfn.XLOOKUP(_xlfn.XLOOKUP(B354,'Base stats'!B:B,'Base stats'!E:E),Groups!A:A,Groups!AE:AE)*150 + 0.5 + _xlfn.XLOOKUP(B354,'Base stats'!B:B,'Base stats'!BW:BW),
0.05))</f>
        <v>No</v>
      </c>
      <c r="W354" s="8">
        <f>MROUND(_xlfn.XLOOKUP(_xlfn.XLOOKUP(B354,'Base stats'!B:B,'Base stats'!E:E),Groups!A:A,Groups!BG:BG)*_xlfn.XLOOKUP(B354,'Base stats'!B:B,'Base stats'!C:C)^-0.165,0.05)</f>
        <v>0</v>
      </c>
      <c r="X354" s="1">
        <f>MROUND(_xlfn.XLOOKUP(_xlfn.XLOOKUP(B354,'Base stats'!B:B,'Base stats'!E:E),Groups!A:A,Groups!BH:BH)*_xlfn.XLOOKUP(B354,'Base stats'!B:B,'Base stats'!C:C)^0.165,0.05)</f>
        <v>0</v>
      </c>
      <c r="Y354" s="8">
        <f>MROUND(_xlfn.XLOOKUP(_xlfn.XLOOKUP(B354,'Base stats'!B:B,'Base stats'!E:E),Groups!A:A,Groups!BI:BI)*_xlfn.XLOOKUP(B354,'Base stats'!B:B,'Base stats'!C:C)^0.165,0.05)</f>
        <v>0</v>
      </c>
      <c r="Z354" s="18">
        <f>MROUND(_xlfn.XLOOKUP(B354,'Base stats'!B:B,'Base stats'!AQ:AQ)*_xlfn.XLOOKUP(_xlfn.XLOOKUP(B354,'Base stats'!B:B,'Base stats'!E:E),Groups!A:A,Groups!H:H)/1000,IF((_xlfn.XLOOKUP(B354,'Base stats'!B:B,'Base stats'!AQ:AQ)*_xlfn.XLOOKUP(_xlfn.XLOOKUP(B354,'Base stats'!B:B,'Base stats'!E:E),Groups!A:A,Groups!H:H)/1000)&gt;1,0.05,0.01))</f>
        <v>0.36</v>
      </c>
      <c r="AA354" s="18">
        <f>MROUND((1/2)*(_xlfn.XLOOKUP(_xlfn.XLOOKUP(B354,'Base stats'!B:B,'Base stats'!E:E),Groups!A:A,Groups!H:H)*_xlfn.XLOOKUP(_xlfn.XLOOKUP(B354,'Base stats'!B:B,'Base stats'!E:E),Groups!A:A,Groups!I:I))*_xlfn.XLOOKUP(B354,'Base stats'!B:B,'Base stats'!AQ:AQ)*0.01,0.05)</f>
        <v>0.65</v>
      </c>
      <c r="AB354" s="18">
        <f>MROUND(250*(Animals!AO354+Animals!AP354),25)</f>
        <v>4500</v>
      </c>
      <c r="AC354" s="18" t="str">
        <f>_xlfn.XLOOKUP(_xlfn.XLOOKUP(B354,'Base stats'!B:B,'Base stats'!E:E),Groups!A:A,Groups!BJ:BJ)</f>
        <v>QuadrupedTall</v>
      </c>
    </row>
    <row r="355" spans="1:29" ht="16.5" thickTop="1" thickBot="1" x14ac:dyDescent="0.3">
      <c r="A355" s="16" t="str">
        <f>Animals!A355</f>
        <v>Brontosaurus</v>
      </c>
      <c r="B355" s="6" t="str">
        <f>Animals!B355</f>
        <v>Brontosaurus parvus</v>
      </c>
      <c r="C355" s="1" t="str">
        <f>Animals!C355</f>
        <v>&lt;li&gt;Brontosaurus&lt;/li&gt;</v>
      </c>
      <c r="D355" s="47">
        <f>MIN(MIN(6,_xlfn.XLOOKUP(A355,Animals!A:A,Animals!AO:AO))*20,MAX(MROUND(_xlfn.XLOOKUP(B355,'Base stats'!B:B,'Base stats'!BS:BS) * (_xlfn.XLOOKUP(B355,'Base stats'!B:B,'Base stats'!AO:AO)*5%)^0.9 / 21,0.1),0.05))</f>
        <v>98.800000000000011</v>
      </c>
      <c r="E355" s="11">
        <f>MROUND(_xlfn.XLOOKUP(B355,'Base stats'!B:B,'Base stats'!BG:BG) * 0.01 * 2 + 0.01, 0.05)</f>
        <v>115.4</v>
      </c>
      <c r="F355" s="7">
        <f>MROUND(_xlfn.XLOOKUP(B355,'Base stats'!B:B,'Base stats'!BD:BD)^0.25 / (_xlfn.XLOOKUP(B355,'Base stats'!B:B,'Base stats'!BK:BK) * 10) * 150 + 0.5 + _xlfn.XLOOKUP(B355,'Base stats'!B:B,'Base stats'!BW:BW), 0.05)</f>
        <v>3.4000000000000004</v>
      </c>
      <c r="G355" s="3">
        <f>IF(Animals!S355="No","No",
IF(_xlfn.XLOOKUP(B355,'Base stats'!B:B,'Base stats'!U:U)="No",
MAX(MROUND(_xlfn.XLOOKUP(B355,'Base stats'!B:B,'Base stats'!BT:BT) * _xlfn.XLOOKUP(B355,'Base stats'!B:B,'Base stats'!BP:BP)^0.9 / 21 * _xlfn.XLOOKUP(B355,'Base stats'!B:B,'Base stats'!BX:BX),0.1),0.05),
MAX(MROUND(((MIN(10,_xlfn.XLOOKUP(B355,'Base stats'!B:B,'Base stats'!U:U)))^0.4*_xlfn.XLOOKUP(B355,'Base stats'!B:B,'Base stats'!BH:BH)^0.73)^0.6 * _xlfn.XLOOKUP(B355,'Base stats'!B:B,'Base stats'!BX:BX),0.1),0.05)
))</f>
        <v>106.30000000000001</v>
      </c>
      <c r="H355" s="11">
        <f>IF(G355="No","No",
MROUND(_xlfn.XLOOKUP(B355,'Base stats'!B:B,'Base stats'!BH:BH) * 0.01 * 2 + 0.05, 0.05)
)</f>
        <v>95.5</v>
      </c>
      <c r="I355" s="11" t="str">
        <f>IF(G355="No","No",IF(_xlfn.XLOOKUP(B355,'Base stats'!B:B,'Base stats'!U:U)="No","No",
MROUND(_xlfn.XLOOKUP(B355,'Base stats'!B:B,'Base stats'!BT:BT)/10000+0.01,0.01)
))</f>
        <v>No</v>
      </c>
      <c r="J355" s="4">
        <f>IF(G355="No","No",
MROUND(_xlfn.XLOOKUP(B355,'Base stats'!B:B,'Base stats'!BE:BE)^0.25
/((_xlfn.XLOOKUP(B355,'Base stats'!B:B,'Base stats'!BL:BL))*10)*_xlfn.XLOOKUP(_xlfn.XLOOKUP(B355,'Base stats'!B:B,'Base stats'!E:E),Groups!A:A,Groups!Q:Q)*150 + 0.5 + _xlfn.XLOOKUP(B355,'Base stats'!B:B,'Base stats'!BW:BW),
0.05))</f>
        <v>5.25</v>
      </c>
      <c r="K355" s="3" t="str">
        <f>IF(Animals!X355="No","No",
IF(_xlfn.XLOOKUP(_xlfn.XLOOKUP(B355,'Base stats'!B:B,'Base stats'!E:E),Groups!A:A,Groups!BD:BD)=1,
MAX(MROUND(_xlfn.XLOOKUP(B355,'Base stats'!B:B,'Base stats'!BU:BU) * _xlfn.XLOOKUP(B355,'Base stats'!B:B,'Base stats'!BQ:BQ)^0.9 / 21 *_xlfn.XLOOKUP(B355,'Base stats'!B:B,'Base stats'!BX:BX),0.1),0.05),
MAX(MROUND(((MIN(10,_xlfn.XLOOKUP(B355,'Base stats'!B:B,'Base stats'!W:W)))^0.4*_xlfn.XLOOKUP(B355,'Base stats'!B:B,'Base stats'!BI:BI)^0.73)^0.6 *_xlfn.XLOOKUP(B355,'Base stats'!B:B,'Base stats'!BX:BX),0.1),0.05)
))</f>
        <v>No</v>
      </c>
      <c r="L355" s="11" t="str">
        <f>IF(K355="No","No",
MROUND(_xlfn.XLOOKUP(B355,'Base stats'!B:B,'Base stats'!BI:BI) * 0.01 *2 + 0.05, 0.05)
)</f>
        <v>No</v>
      </c>
      <c r="M355" s="5" t="str">
        <f>IF(K355="No","No",IF(_xlfn.XLOOKUP(_xlfn.XLOOKUP(B355,'Base stats'!B:B,'Base stats'!E:E),Groups!A:A,Groups!BD:BD)=1,"No",
MROUND(_xlfn.XLOOKUP(B355,'Base stats'!B:B,'Base stats'!BU:BU)/10000+0.01,0.01)
))</f>
        <v>No</v>
      </c>
      <c r="N355" s="4" t="str">
        <f>IF(K355="No","No",
MROUND(
  _xlfn.XLOOKUP(B355,'Base stats'!B:B,'Base stats'!BC:BC)^0.25
  / (_xlfn.XLOOKUP(B355,'Base stats'!B:B,'Base stats'!BM:BM) * 10)
  * _xlfn.XLOOKUP(
      _xlfn.XLOOKUP(B355,'Base stats'!B:B,'Base stats'!E:E),
      Groups!A:A,
      Groups!V:V
    ) * 150
  + MIN(12, _xlfn.XLOOKUP(B355,'Base stats'!B:B,'Base stats'!W:W))^(1/IF(_xlfn.XLOOKUP(_xlfn.XLOOKUP(B355,'Base stats'!B:B,'Base stats'!E:E),Groups!A:A,Groups!U:U)=1,100,10)) + 0.5 + _xlfn.XLOOKUP(B355,'Base stats'!B:B,'Base stats'!BW:BW),
0.05))</f>
        <v>No</v>
      </c>
      <c r="O355" s="3" t="str">
        <f>IF(Animals!AD355="No","No",
MAX(MROUND((MIN(10,_xlfn.XLOOKUP(B355,'Base stats'!B:B,'Base stats'!V:V)*IF(_xlfn.XLOOKUP(_xlfn.XLOOKUP(B355,'Base stats'!B:B,'Base stats'!E:E),Groups!A:A,Groups!O:O)=0,1,0.33))^0.4*_xlfn.XLOOKUP(B355,'Base stats'!B:B,'Base stats'!BJ:BJ)^0.73)^0.6 *_xlfn.XLOOKUP(B355,'Base stats'!B:B,'Base stats'!BX:BX),0.1),0.05)
)</f>
        <v>No</v>
      </c>
      <c r="P355" s="11" t="str">
        <f>IF(O355="No","No",
MROUND(_xlfn.XLOOKUP(B355,'Base stats'!B:B,'Base stats'!BJ:BJ) * 0.01 * 2 + 0.05, 0.05)
)</f>
        <v>No</v>
      </c>
      <c r="Q355" s="5" t="str">
        <f>IF(O355="No","No",
MROUND(_xlfn.XLOOKUP(B355,'Base stats'!B:B,'Base stats'!BV:BV)/10000+0.01,0.01)
)</f>
        <v>No</v>
      </c>
      <c r="R355" s="4" t="str">
        <f>IF(O355="No","No",
MROUND(_xlfn.XLOOKUP(B355,'Base stats'!B:B,'Base stats'!BB:BB)^0.25
/((_xlfn.XLOOKUP(B355,'Base stats'!B:B,'Base stats'!BN:BN))*10)*_xlfn.XLOOKUP(_xlfn.XLOOKUP(B355,'Base stats'!B:B,'Base stats'!E:E),Groups!A:A,Groups!Z:Z)*150 + 0.5 + _xlfn.XLOOKUP(B355,'Base stats'!B:B,'Base stats'!BW:BW),
0.05))</f>
        <v>No</v>
      </c>
      <c r="S355" s="3" t="str">
        <f>IF(Animals!AI355="No","No",
IF(_xlfn.XLOOKUP(B355,'Base stats'!B:B,'Base stats'!U:U)="No",
MAX(MROUND(_xlfn.XLOOKUP(B355,'Base stats'!B:B,'Base stats'!BT:BT) * _xlfn.XLOOKUP(B355,'Base stats'!B:B,'Base stats'!BP:BP)^0.9 / 21 * _xlfn.XLOOKUP(B355,'Base stats'!B:B,'Base stats'!BX:BX),0.1),0.05),
MAX(MROUND(((MIN(12,_xlfn.XLOOKUP(B355,'Base stats'!B:B,'Base stats'!U:U)))^0.4*_xlfn.XLOOKUP(B355,'Base stats'!B:B,'Base stats'!BH:BH)^0.73)^0.6 * _xlfn.XLOOKUP(B355,'Base stats'!B:B,'Base stats'!BX:BX),0.1),0.05)
))</f>
        <v>No</v>
      </c>
      <c r="T355" s="11" t="str">
        <f>IF(S355="No","No",
MROUND(_xlfn.XLOOKUP(B355,'Base stats'!B:B,'Base stats'!BH:BH) * 0.01 * 2 + 0.05, 0.05)
)</f>
        <v>No</v>
      </c>
      <c r="U355" s="5" t="str">
        <f>IF(S355="No","No",IF(_xlfn.XLOOKUP(B355,'Base stats'!B:B,'Base stats'!U:U)="No","No",
MROUND(_xlfn.XLOOKUP(B355,'Base stats'!B:B,'Base stats'!BT:BT)/10000+0.01,0.01)
))</f>
        <v>No</v>
      </c>
      <c r="V355" s="4" t="str">
        <f>IF(S355="No","No",
MROUND(_xlfn.XLOOKUP(B355,'Base stats'!B:B,'Base stats'!BF:BF)^0.25
/((_xlfn.XLOOKUP(B355,'Base stats'!B:B,'Base stats'!BO:BO))*10)*_xlfn.XLOOKUP(_xlfn.XLOOKUP(B355,'Base stats'!B:B,'Base stats'!E:E),Groups!A:A,Groups!AE:AE)*150 + 0.5 + _xlfn.XLOOKUP(B355,'Base stats'!B:B,'Base stats'!BW:BW),
0.05))</f>
        <v>No</v>
      </c>
      <c r="W355" s="8">
        <f>MROUND(_xlfn.XLOOKUP(_xlfn.XLOOKUP(B355,'Base stats'!B:B,'Base stats'!E:E),Groups!A:A,Groups!BG:BG)*_xlfn.XLOOKUP(B355,'Base stats'!B:B,'Base stats'!C:C)^-0.165,0.05)</f>
        <v>0</v>
      </c>
      <c r="X355" s="1">
        <f>MROUND(_xlfn.XLOOKUP(_xlfn.XLOOKUP(B355,'Base stats'!B:B,'Base stats'!E:E),Groups!A:A,Groups!BH:BH)*_xlfn.XLOOKUP(B355,'Base stats'!B:B,'Base stats'!C:C)^0.165,0.05)</f>
        <v>0</v>
      </c>
      <c r="Y355" s="8">
        <f>MROUND(_xlfn.XLOOKUP(_xlfn.XLOOKUP(B355,'Base stats'!B:B,'Base stats'!E:E),Groups!A:A,Groups!BI:BI)*_xlfn.XLOOKUP(B355,'Base stats'!B:B,'Base stats'!C:C)^0.165,0.05)</f>
        <v>0</v>
      </c>
      <c r="Z355" s="18">
        <f>MROUND(_xlfn.XLOOKUP(B355,'Base stats'!B:B,'Base stats'!AQ:AQ)*_xlfn.XLOOKUP(_xlfn.XLOOKUP(B355,'Base stats'!B:B,'Base stats'!E:E),Groups!A:A,Groups!H:H)/1000,IF((_xlfn.XLOOKUP(B355,'Base stats'!B:B,'Base stats'!AQ:AQ)*_xlfn.XLOOKUP(_xlfn.XLOOKUP(B355,'Base stats'!B:B,'Base stats'!E:E),Groups!A:A,Groups!H:H)/1000)&gt;1,0.05,0.01))</f>
        <v>0.31</v>
      </c>
      <c r="AA355" s="18">
        <f>MROUND((1/2)*(_xlfn.XLOOKUP(_xlfn.XLOOKUP(B355,'Base stats'!B:B,'Base stats'!E:E),Groups!A:A,Groups!H:H)*_xlfn.XLOOKUP(_xlfn.XLOOKUP(B355,'Base stats'!B:B,'Base stats'!E:E),Groups!A:A,Groups!I:I))*_xlfn.XLOOKUP(B355,'Base stats'!B:B,'Base stats'!AQ:AQ)*0.01,0.05)</f>
        <v>0.60000000000000009</v>
      </c>
      <c r="AB355" s="18">
        <f>MROUND(250*(Animals!AO355+Animals!AP355),25)</f>
        <v>3750</v>
      </c>
      <c r="AC355" s="18" t="str">
        <f>_xlfn.XLOOKUP(_xlfn.XLOOKUP(B355,'Base stats'!B:B,'Base stats'!E:E),Groups!A:A,Groups!BJ:BJ)</f>
        <v>Quadruped</v>
      </c>
    </row>
    <row r="356" spans="1:29" ht="16.5" thickTop="1" thickBot="1" x14ac:dyDescent="0.3">
      <c r="A356" s="16" t="str">
        <f>Animals!A356</f>
        <v>Diplodocus</v>
      </c>
      <c r="B356" s="6" t="str">
        <f>Animals!B356</f>
        <v>Diplodocus longus</v>
      </c>
      <c r="C356" s="1" t="str">
        <f>Animals!C356</f>
        <v>&lt;li&gt;Diplodocus&lt;/li&gt;</v>
      </c>
      <c r="D356" s="47">
        <f>MIN(MIN(6,_xlfn.XLOOKUP(A356,Animals!A:A,Animals!AO:AO))*20,MAX(MROUND(_xlfn.XLOOKUP(B356,'Base stats'!B:B,'Base stats'!BS:BS) * (_xlfn.XLOOKUP(B356,'Base stats'!B:B,'Base stats'!AO:AO)*5%)^0.9 / 21,0.1),0.05))</f>
        <v>92.800000000000011</v>
      </c>
      <c r="E356" s="11">
        <f>MROUND(_xlfn.XLOOKUP(B356,'Base stats'!B:B,'Base stats'!BG:BG) * 0.01 * 2 + 0.01, 0.05)</f>
        <v>107.85000000000001</v>
      </c>
      <c r="F356" s="7">
        <f>MROUND(_xlfn.XLOOKUP(B356,'Base stats'!B:B,'Base stats'!BD:BD)^0.25 / (_xlfn.XLOOKUP(B356,'Base stats'!B:B,'Base stats'!BK:BK) * 10) * 150 + 0.5 + _xlfn.XLOOKUP(B356,'Base stats'!B:B,'Base stats'!BW:BW), 0.05)</f>
        <v>3.35</v>
      </c>
      <c r="G356" s="3">
        <f>IF(Animals!S356="No","No",
IF(_xlfn.XLOOKUP(B356,'Base stats'!B:B,'Base stats'!U:U)="No",
MAX(MROUND(_xlfn.XLOOKUP(B356,'Base stats'!B:B,'Base stats'!BT:BT) * _xlfn.XLOOKUP(B356,'Base stats'!B:B,'Base stats'!BP:BP)^0.9 / 21 * _xlfn.XLOOKUP(B356,'Base stats'!B:B,'Base stats'!BX:BX),0.1),0.05),
MAX(MROUND(((MIN(10,_xlfn.XLOOKUP(B356,'Base stats'!B:B,'Base stats'!U:U)))^0.4*_xlfn.XLOOKUP(B356,'Base stats'!B:B,'Base stats'!BH:BH)^0.73)^0.6 * _xlfn.XLOOKUP(B356,'Base stats'!B:B,'Base stats'!BX:BX),0.1),0.05)
))</f>
        <v>100.5</v>
      </c>
      <c r="H356" s="11">
        <f>IF(G356="No","No",
MROUND(_xlfn.XLOOKUP(B356,'Base stats'!B:B,'Base stats'!BH:BH) * 0.01 * 2 + 0.05, 0.05)
)</f>
        <v>89.65</v>
      </c>
      <c r="I356" s="11" t="str">
        <f>IF(G356="No","No",IF(_xlfn.XLOOKUP(B356,'Base stats'!B:B,'Base stats'!U:U)="No","No",
MROUND(_xlfn.XLOOKUP(B356,'Base stats'!B:B,'Base stats'!BT:BT)/10000+0.01,0.01)
))</f>
        <v>No</v>
      </c>
      <c r="J356" s="4">
        <f>IF(G356="No","No",
MROUND(_xlfn.XLOOKUP(B356,'Base stats'!B:B,'Base stats'!BE:BE)^0.25
/((_xlfn.XLOOKUP(B356,'Base stats'!B:B,'Base stats'!BL:BL))*10)*_xlfn.XLOOKUP(_xlfn.XLOOKUP(B356,'Base stats'!B:B,'Base stats'!E:E),Groups!A:A,Groups!Q:Q)*150 + 0.5 + _xlfn.XLOOKUP(B356,'Base stats'!B:B,'Base stats'!BW:BW),
0.05))</f>
        <v>5.2</v>
      </c>
      <c r="K356" s="3" t="str">
        <f>IF(Animals!X356="No","No",
IF(_xlfn.XLOOKUP(_xlfn.XLOOKUP(B356,'Base stats'!B:B,'Base stats'!E:E),Groups!A:A,Groups!BD:BD)=1,
MAX(MROUND(_xlfn.XLOOKUP(B356,'Base stats'!B:B,'Base stats'!BU:BU) * _xlfn.XLOOKUP(B356,'Base stats'!B:B,'Base stats'!BQ:BQ)^0.9 / 21 *_xlfn.XLOOKUP(B356,'Base stats'!B:B,'Base stats'!BX:BX),0.1),0.05),
MAX(MROUND(((MIN(10,_xlfn.XLOOKUP(B356,'Base stats'!B:B,'Base stats'!W:W)))^0.4*_xlfn.XLOOKUP(B356,'Base stats'!B:B,'Base stats'!BI:BI)^0.73)^0.6 *_xlfn.XLOOKUP(B356,'Base stats'!B:B,'Base stats'!BX:BX),0.1),0.05)
))</f>
        <v>No</v>
      </c>
      <c r="L356" s="11" t="str">
        <f>IF(K356="No","No",
MROUND(_xlfn.XLOOKUP(B356,'Base stats'!B:B,'Base stats'!BI:BI) * 0.01 *2 + 0.05, 0.05)
)</f>
        <v>No</v>
      </c>
      <c r="M356" s="5" t="str">
        <f>IF(K356="No","No",IF(_xlfn.XLOOKUP(_xlfn.XLOOKUP(B356,'Base stats'!B:B,'Base stats'!E:E),Groups!A:A,Groups!BD:BD)=1,"No",
MROUND(_xlfn.XLOOKUP(B356,'Base stats'!B:B,'Base stats'!BU:BU)/10000+0.01,0.01)
))</f>
        <v>No</v>
      </c>
      <c r="N356" s="4" t="str">
        <f>IF(K356="No","No",
MROUND(
  _xlfn.XLOOKUP(B356,'Base stats'!B:B,'Base stats'!BC:BC)^0.25
  / (_xlfn.XLOOKUP(B356,'Base stats'!B:B,'Base stats'!BM:BM) * 10)
  * _xlfn.XLOOKUP(
      _xlfn.XLOOKUP(B356,'Base stats'!B:B,'Base stats'!E:E),
      Groups!A:A,
      Groups!V:V
    ) * 150
  + MIN(12, _xlfn.XLOOKUP(B356,'Base stats'!B:B,'Base stats'!W:W))^(1/IF(_xlfn.XLOOKUP(_xlfn.XLOOKUP(B356,'Base stats'!B:B,'Base stats'!E:E),Groups!A:A,Groups!U:U)=1,100,10)) + 0.5 + _xlfn.XLOOKUP(B356,'Base stats'!B:B,'Base stats'!BW:BW),
0.05))</f>
        <v>No</v>
      </c>
      <c r="O356" s="3" t="str">
        <f>IF(Animals!AD356="No","No",
MAX(MROUND((MIN(10,_xlfn.XLOOKUP(B356,'Base stats'!B:B,'Base stats'!V:V)*IF(_xlfn.XLOOKUP(_xlfn.XLOOKUP(B356,'Base stats'!B:B,'Base stats'!E:E),Groups!A:A,Groups!O:O)=0,1,0.33))^0.4*_xlfn.XLOOKUP(B356,'Base stats'!B:B,'Base stats'!BJ:BJ)^0.73)^0.6 *_xlfn.XLOOKUP(B356,'Base stats'!B:B,'Base stats'!BX:BX),0.1),0.05)
)</f>
        <v>No</v>
      </c>
      <c r="P356" s="11" t="str">
        <f>IF(O356="No","No",
MROUND(_xlfn.XLOOKUP(B356,'Base stats'!B:B,'Base stats'!BJ:BJ) * 0.01 * 2 + 0.05, 0.05)
)</f>
        <v>No</v>
      </c>
      <c r="Q356" s="5" t="str">
        <f>IF(O356="No","No",
MROUND(_xlfn.XLOOKUP(B356,'Base stats'!B:B,'Base stats'!BV:BV)/10000+0.01,0.01)
)</f>
        <v>No</v>
      </c>
      <c r="R356" s="4" t="str">
        <f>IF(O356="No","No",
MROUND(_xlfn.XLOOKUP(B356,'Base stats'!B:B,'Base stats'!BB:BB)^0.25
/((_xlfn.XLOOKUP(B356,'Base stats'!B:B,'Base stats'!BN:BN))*10)*_xlfn.XLOOKUP(_xlfn.XLOOKUP(B356,'Base stats'!B:B,'Base stats'!E:E),Groups!A:A,Groups!Z:Z)*150 + 0.5 + _xlfn.XLOOKUP(B356,'Base stats'!B:B,'Base stats'!BW:BW),
0.05))</f>
        <v>No</v>
      </c>
      <c r="S356" s="3" t="str">
        <f>IF(Animals!AI356="No","No",
IF(_xlfn.XLOOKUP(B356,'Base stats'!B:B,'Base stats'!U:U)="No",
MAX(MROUND(_xlfn.XLOOKUP(B356,'Base stats'!B:B,'Base stats'!BT:BT) * _xlfn.XLOOKUP(B356,'Base stats'!B:B,'Base stats'!BP:BP)^0.9 / 21 * _xlfn.XLOOKUP(B356,'Base stats'!B:B,'Base stats'!BX:BX),0.1),0.05),
MAX(MROUND(((MIN(12,_xlfn.XLOOKUP(B356,'Base stats'!B:B,'Base stats'!U:U)))^0.4*_xlfn.XLOOKUP(B356,'Base stats'!B:B,'Base stats'!BH:BH)^0.73)^0.6 * _xlfn.XLOOKUP(B356,'Base stats'!B:B,'Base stats'!BX:BX),0.1),0.05)
))</f>
        <v>No</v>
      </c>
      <c r="T356" s="11" t="str">
        <f>IF(S356="No","No",
MROUND(_xlfn.XLOOKUP(B356,'Base stats'!B:B,'Base stats'!BH:BH) * 0.01 * 2 + 0.05, 0.05)
)</f>
        <v>No</v>
      </c>
      <c r="U356" s="5" t="str">
        <f>IF(S356="No","No",IF(_xlfn.XLOOKUP(B356,'Base stats'!B:B,'Base stats'!U:U)="No","No",
MROUND(_xlfn.XLOOKUP(B356,'Base stats'!B:B,'Base stats'!BT:BT)/10000+0.01,0.01)
))</f>
        <v>No</v>
      </c>
      <c r="V356" s="4" t="str">
        <f>IF(S356="No","No",
MROUND(_xlfn.XLOOKUP(B356,'Base stats'!B:B,'Base stats'!BF:BF)^0.25
/((_xlfn.XLOOKUP(B356,'Base stats'!B:B,'Base stats'!BO:BO))*10)*_xlfn.XLOOKUP(_xlfn.XLOOKUP(B356,'Base stats'!B:B,'Base stats'!E:E),Groups!A:A,Groups!AE:AE)*150 + 0.5 + _xlfn.XLOOKUP(B356,'Base stats'!B:B,'Base stats'!BW:BW),
0.05))</f>
        <v>No</v>
      </c>
      <c r="W356" s="8">
        <f>MROUND(_xlfn.XLOOKUP(_xlfn.XLOOKUP(B356,'Base stats'!B:B,'Base stats'!E:E),Groups!A:A,Groups!BG:BG)*_xlfn.XLOOKUP(B356,'Base stats'!B:B,'Base stats'!C:C)^-0.165,0.05)</f>
        <v>0</v>
      </c>
      <c r="X356" s="1">
        <f>MROUND(_xlfn.XLOOKUP(_xlfn.XLOOKUP(B356,'Base stats'!B:B,'Base stats'!E:E),Groups!A:A,Groups!BH:BH)*_xlfn.XLOOKUP(B356,'Base stats'!B:B,'Base stats'!C:C)^0.165,0.05)</f>
        <v>0</v>
      </c>
      <c r="Y356" s="8">
        <f>MROUND(_xlfn.XLOOKUP(_xlfn.XLOOKUP(B356,'Base stats'!B:B,'Base stats'!E:E),Groups!A:A,Groups!BI:BI)*_xlfn.XLOOKUP(B356,'Base stats'!B:B,'Base stats'!C:C)^0.165,0.05)</f>
        <v>0</v>
      </c>
      <c r="Z356" s="18">
        <f>MROUND(_xlfn.XLOOKUP(B356,'Base stats'!B:B,'Base stats'!AQ:AQ)*_xlfn.XLOOKUP(_xlfn.XLOOKUP(B356,'Base stats'!B:B,'Base stats'!E:E),Groups!A:A,Groups!H:H)/1000,IF((_xlfn.XLOOKUP(B356,'Base stats'!B:B,'Base stats'!AQ:AQ)*_xlfn.XLOOKUP(_xlfn.XLOOKUP(B356,'Base stats'!B:B,'Base stats'!E:E),Groups!A:A,Groups!H:H)/1000)&gt;1,0.05,0.01))</f>
        <v>0.31</v>
      </c>
      <c r="AA356" s="18">
        <f>MROUND((1/2)*(_xlfn.XLOOKUP(_xlfn.XLOOKUP(B356,'Base stats'!B:B,'Base stats'!E:E),Groups!A:A,Groups!H:H)*_xlfn.XLOOKUP(_xlfn.XLOOKUP(B356,'Base stats'!B:B,'Base stats'!E:E),Groups!A:A,Groups!I:I))*_xlfn.XLOOKUP(B356,'Base stats'!B:B,'Base stats'!AQ:AQ)*0.01,0.05)</f>
        <v>0.55000000000000004</v>
      </c>
      <c r="AB356" s="18">
        <f>MROUND(250*(Animals!AO356+Animals!AP356),25)</f>
        <v>3750</v>
      </c>
      <c r="AC356" s="18" t="str">
        <f>_xlfn.XLOOKUP(_xlfn.XLOOKUP(B356,'Base stats'!B:B,'Base stats'!E:E),Groups!A:A,Groups!BJ:BJ)</f>
        <v>Quadruped</v>
      </c>
    </row>
    <row r="357" spans="1:29" ht="16.5" thickTop="1" thickBot="1" x14ac:dyDescent="0.3">
      <c r="A357" s="16" t="str">
        <f>Animals!A357</f>
        <v>Magyarosaurus</v>
      </c>
      <c r="B357" s="6" t="str">
        <f>Animals!B357</f>
        <v>Magyarosaurus transsylvanicus</v>
      </c>
      <c r="C357" s="1" t="str">
        <f>Animals!C357</f>
        <v>&lt;li&gt;Magyarosaurus&lt;/li&gt;</v>
      </c>
      <c r="D357" s="47">
        <f>MIN(MIN(6,_xlfn.XLOOKUP(A357,Animals!A:A,Animals!AO:AO))*20,MAX(MROUND(_xlfn.XLOOKUP(B357,'Base stats'!B:B,'Base stats'!BS:BS) * (_xlfn.XLOOKUP(B357,'Base stats'!B:B,'Base stats'!AO:AO)*5%)^0.9 / 21,0.1),0.05))</f>
        <v>9</v>
      </c>
      <c r="E357" s="11">
        <f>MROUND(_xlfn.XLOOKUP(B357,'Base stats'!B:B,'Base stats'!BG:BG) * 0.01 * 2 + 0.01, 0.05)</f>
        <v>8.7000000000000011</v>
      </c>
      <c r="F357" s="7">
        <f>MROUND(_xlfn.XLOOKUP(B357,'Base stats'!B:B,'Base stats'!BD:BD)^0.25 / (_xlfn.XLOOKUP(B357,'Base stats'!B:B,'Base stats'!BK:BK) * 10) * 150 + 0.5 + _xlfn.XLOOKUP(B357,'Base stats'!B:B,'Base stats'!BW:BW), 0.05)</f>
        <v>2.6500000000000004</v>
      </c>
      <c r="G357" s="3">
        <f>IF(Animals!S357="No","No",
IF(_xlfn.XLOOKUP(B357,'Base stats'!B:B,'Base stats'!U:U)="No",
MAX(MROUND(_xlfn.XLOOKUP(B357,'Base stats'!B:B,'Base stats'!BT:BT) * _xlfn.XLOOKUP(B357,'Base stats'!B:B,'Base stats'!BP:BP)^0.9 / 21 * _xlfn.XLOOKUP(B357,'Base stats'!B:B,'Base stats'!BX:BX),0.1),0.05),
MAX(MROUND(((MIN(10,_xlfn.XLOOKUP(B357,'Base stats'!B:B,'Base stats'!U:U)))^0.4*_xlfn.XLOOKUP(B357,'Base stats'!B:B,'Base stats'!BH:BH)^0.73)^0.6 * _xlfn.XLOOKUP(B357,'Base stats'!B:B,'Base stats'!BX:BX),0.1),0.05)
))</f>
        <v>12.3</v>
      </c>
      <c r="H357" s="11">
        <f>IF(G357="No","No",
MROUND(_xlfn.XLOOKUP(B357,'Base stats'!B:B,'Base stats'!BH:BH) * 0.01 * 2 + 0.05, 0.05)
)</f>
        <v>8.5</v>
      </c>
      <c r="I357" s="11" t="str">
        <f>IF(G357="No","No",IF(_xlfn.XLOOKUP(B357,'Base stats'!B:B,'Base stats'!U:U)="No","No",
MROUND(_xlfn.XLOOKUP(B357,'Base stats'!B:B,'Base stats'!BT:BT)/10000+0.01,0.01)
))</f>
        <v>No</v>
      </c>
      <c r="J357" s="4">
        <f>IF(G357="No","No",
MROUND(_xlfn.XLOOKUP(B357,'Base stats'!B:B,'Base stats'!BE:BE)^0.25
/((_xlfn.XLOOKUP(B357,'Base stats'!B:B,'Base stats'!BL:BL))*10)*_xlfn.XLOOKUP(_xlfn.XLOOKUP(B357,'Base stats'!B:B,'Base stats'!E:E),Groups!A:A,Groups!Q:Q)*150 + 0.5 + _xlfn.XLOOKUP(B357,'Base stats'!B:B,'Base stats'!BW:BW),
0.05))</f>
        <v>3.5</v>
      </c>
      <c r="K357" s="3" t="str">
        <f>IF(Animals!X357="No","No",
IF(_xlfn.XLOOKUP(_xlfn.XLOOKUP(B357,'Base stats'!B:B,'Base stats'!E:E),Groups!A:A,Groups!BD:BD)=1,
MAX(MROUND(_xlfn.XLOOKUP(B357,'Base stats'!B:B,'Base stats'!BU:BU) * _xlfn.XLOOKUP(B357,'Base stats'!B:B,'Base stats'!BQ:BQ)^0.9 / 21 *_xlfn.XLOOKUP(B357,'Base stats'!B:B,'Base stats'!BX:BX),0.1),0.05),
MAX(MROUND(((MIN(10,_xlfn.XLOOKUP(B357,'Base stats'!B:B,'Base stats'!W:W)))^0.4*_xlfn.XLOOKUP(B357,'Base stats'!B:B,'Base stats'!BI:BI)^0.73)^0.6 *_xlfn.XLOOKUP(B357,'Base stats'!B:B,'Base stats'!BX:BX),0.1),0.05)
))</f>
        <v>No</v>
      </c>
      <c r="L357" s="11" t="str">
        <f>IF(K357="No","No",
MROUND(_xlfn.XLOOKUP(B357,'Base stats'!B:B,'Base stats'!BI:BI) * 0.01 *2 + 0.05, 0.05)
)</f>
        <v>No</v>
      </c>
      <c r="M357" s="5" t="str">
        <f>IF(K357="No","No",IF(_xlfn.XLOOKUP(_xlfn.XLOOKUP(B357,'Base stats'!B:B,'Base stats'!E:E),Groups!A:A,Groups!BD:BD)=1,"No",
MROUND(_xlfn.XLOOKUP(B357,'Base stats'!B:B,'Base stats'!BU:BU)/10000+0.01,0.01)
))</f>
        <v>No</v>
      </c>
      <c r="N357" s="4" t="str">
        <f>IF(K357="No","No",
MROUND(
  _xlfn.XLOOKUP(B357,'Base stats'!B:B,'Base stats'!BC:BC)^0.25
  / (_xlfn.XLOOKUP(B357,'Base stats'!B:B,'Base stats'!BM:BM) * 10)
  * _xlfn.XLOOKUP(
      _xlfn.XLOOKUP(B357,'Base stats'!B:B,'Base stats'!E:E),
      Groups!A:A,
      Groups!V:V
    ) * 150
  + MIN(12, _xlfn.XLOOKUP(B357,'Base stats'!B:B,'Base stats'!W:W))^(1/IF(_xlfn.XLOOKUP(_xlfn.XLOOKUP(B357,'Base stats'!B:B,'Base stats'!E:E),Groups!A:A,Groups!U:U)=1,100,10)) + 0.5 + _xlfn.XLOOKUP(B357,'Base stats'!B:B,'Base stats'!BW:BW),
0.05))</f>
        <v>No</v>
      </c>
      <c r="O357" s="3" t="str">
        <f>IF(Animals!AD357="No","No",
MAX(MROUND((MIN(10,_xlfn.XLOOKUP(B357,'Base stats'!B:B,'Base stats'!V:V)*IF(_xlfn.XLOOKUP(_xlfn.XLOOKUP(B357,'Base stats'!B:B,'Base stats'!E:E),Groups!A:A,Groups!O:O)=0,1,0.33))^0.4*_xlfn.XLOOKUP(B357,'Base stats'!B:B,'Base stats'!BJ:BJ)^0.73)^0.6 *_xlfn.XLOOKUP(B357,'Base stats'!B:B,'Base stats'!BX:BX),0.1),0.05)
)</f>
        <v>No</v>
      </c>
      <c r="P357" s="11" t="str">
        <f>IF(O357="No","No",
MROUND(_xlfn.XLOOKUP(B357,'Base stats'!B:B,'Base stats'!BJ:BJ) * 0.01 * 2 + 0.05, 0.05)
)</f>
        <v>No</v>
      </c>
      <c r="Q357" s="5" t="str">
        <f>IF(O357="No","No",
MROUND(_xlfn.XLOOKUP(B357,'Base stats'!B:B,'Base stats'!BV:BV)/10000+0.01,0.01)
)</f>
        <v>No</v>
      </c>
      <c r="R357" s="4" t="str">
        <f>IF(O357="No","No",
MROUND(_xlfn.XLOOKUP(B357,'Base stats'!B:B,'Base stats'!BB:BB)^0.25
/((_xlfn.XLOOKUP(B357,'Base stats'!B:B,'Base stats'!BN:BN))*10)*_xlfn.XLOOKUP(_xlfn.XLOOKUP(B357,'Base stats'!B:B,'Base stats'!E:E),Groups!A:A,Groups!Z:Z)*150 + 0.5 + _xlfn.XLOOKUP(B357,'Base stats'!B:B,'Base stats'!BW:BW),
0.05))</f>
        <v>No</v>
      </c>
      <c r="S357" s="3" t="str">
        <f>IF(Animals!AI357="No","No",
IF(_xlfn.XLOOKUP(B357,'Base stats'!B:B,'Base stats'!U:U)="No",
MAX(MROUND(_xlfn.XLOOKUP(B357,'Base stats'!B:B,'Base stats'!BT:BT) * _xlfn.XLOOKUP(B357,'Base stats'!B:B,'Base stats'!BP:BP)^0.9 / 21 * _xlfn.XLOOKUP(B357,'Base stats'!B:B,'Base stats'!BX:BX),0.1),0.05),
MAX(MROUND(((MIN(12,_xlfn.XLOOKUP(B357,'Base stats'!B:B,'Base stats'!U:U)))^0.4*_xlfn.XLOOKUP(B357,'Base stats'!B:B,'Base stats'!BH:BH)^0.73)^0.6 * _xlfn.XLOOKUP(B357,'Base stats'!B:B,'Base stats'!BX:BX),0.1),0.05)
))</f>
        <v>No</v>
      </c>
      <c r="T357" s="11" t="str">
        <f>IF(S357="No","No",
MROUND(_xlfn.XLOOKUP(B357,'Base stats'!B:B,'Base stats'!BH:BH) * 0.01 * 2 + 0.05, 0.05)
)</f>
        <v>No</v>
      </c>
      <c r="U357" s="5" t="str">
        <f>IF(S357="No","No",IF(_xlfn.XLOOKUP(B357,'Base stats'!B:B,'Base stats'!U:U)="No","No",
MROUND(_xlfn.XLOOKUP(B357,'Base stats'!B:B,'Base stats'!BT:BT)/10000+0.01,0.01)
))</f>
        <v>No</v>
      </c>
      <c r="V357" s="4" t="str">
        <f>IF(S357="No","No",
MROUND(_xlfn.XLOOKUP(B357,'Base stats'!B:B,'Base stats'!BF:BF)^0.25
/((_xlfn.XLOOKUP(B357,'Base stats'!B:B,'Base stats'!BO:BO))*10)*_xlfn.XLOOKUP(_xlfn.XLOOKUP(B357,'Base stats'!B:B,'Base stats'!E:E),Groups!A:A,Groups!AE:AE)*150 + 0.5 + _xlfn.XLOOKUP(B357,'Base stats'!B:B,'Base stats'!BW:BW),
0.05))</f>
        <v>No</v>
      </c>
      <c r="W357" s="8">
        <f>MROUND(_xlfn.XLOOKUP(_xlfn.XLOOKUP(B357,'Base stats'!B:B,'Base stats'!E:E),Groups!A:A,Groups!BG:BG)*_xlfn.XLOOKUP(B357,'Base stats'!B:B,'Base stats'!C:C)^-0.165,0.05)</f>
        <v>0</v>
      </c>
      <c r="X357" s="1">
        <f>MROUND(_xlfn.XLOOKUP(_xlfn.XLOOKUP(B357,'Base stats'!B:B,'Base stats'!E:E),Groups!A:A,Groups!BH:BH)*_xlfn.XLOOKUP(B357,'Base stats'!B:B,'Base stats'!C:C)^0.165,0.05)</f>
        <v>0</v>
      </c>
      <c r="Y357" s="8">
        <f>MROUND(_xlfn.XLOOKUP(_xlfn.XLOOKUP(B357,'Base stats'!B:B,'Base stats'!E:E),Groups!A:A,Groups!BI:BI)*_xlfn.XLOOKUP(B357,'Base stats'!B:B,'Base stats'!C:C)^0.165,0.05)</f>
        <v>0</v>
      </c>
      <c r="Z357" s="18">
        <f>MROUND(_xlfn.XLOOKUP(B357,'Base stats'!B:B,'Base stats'!AQ:AQ)*_xlfn.XLOOKUP(_xlfn.XLOOKUP(B357,'Base stats'!B:B,'Base stats'!E:E),Groups!A:A,Groups!H:H)/1000,IF((_xlfn.XLOOKUP(B357,'Base stats'!B:B,'Base stats'!AQ:AQ)*_xlfn.XLOOKUP(_xlfn.XLOOKUP(B357,'Base stats'!B:B,'Base stats'!E:E),Groups!A:A,Groups!H:H)/1000)&gt;1,0.05,0.01))</f>
        <v>0.14000000000000001</v>
      </c>
      <c r="AA357" s="18">
        <f>MROUND((1/2)*(_xlfn.XLOOKUP(_xlfn.XLOOKUP(B357,'Base stats'!B:B,'Base stats'!E:E),Groups!A:A,Groups!H:H)*_xlfn.XLOOKUP(_xlfn.XLOOKUP(B357,'Base stats'!B:B,'Base stats'!E:E),Groups!A:A,Groups!I:I))*_xlfn.XLOOKUP(B357,'Base stats'!B:B,'Base stats'!AQ:AQ)*0.01,0.05)</f>
        <v>0.25</v>
      </c>
      <c r="AB357" s="18">
        <f>MROUND(250*(Animals!AO357+Animals!AP357),25)</f>
        <v>1625</v>
      </c>
      <c r="AC357" s="18" t="str">
        <f>_xlfn.XLOOKUP(_xlfn.XLOOKUP(B357,'Base stats'!B:B,'Base stats'!E:E),Groups!A:A,Groups!BJ:BJ)</f>
        <v>Quadruped</v>
      </c>
    </row>
    <row r="358" spans="1:29" ht="16.5" thickTop="1" thickBot="1" x14ac:dyDescent="0.3">
      <c r="A358" s="16" t="str">
        <f>Animals!A358</f>
        <v>Utahraptor</v>
      </c>
      <c r="B358" s="6" t="str">
        <f>Animals!B358</f>
        <v>Utahraptor ostrommaysi</v>
      </c>
      <c r="C358" s="1" t="str">
        <f>Animals!C358</f>
        <v>&lt;li&gt;Utahraptor&lt;/li&gt;</v>
      </c>
      <c r="D358" s="47">
        <f>MIN(MIN(6,_xlfn.XLOOKUP(A358,Animals!A:A,Animals!AO:AO))*20,MAX(MROUND(_xlfn.XLOOKUP(B358,'Base stats'!B:B,'Base stats'!BS:BS) * (_xlfn.XLOOKUP(B358,'Base stats'!B:B,'Base stats'!AO:AO)*5%)^0.9 / 21,0.1),0.05))</f>
        <v>7.3000000000000007</v>
      </c>
      <c r="E358" s="11">
        <f>MROUND(_xlfn.XLOOKUP(B358,'Base stats'!B:B,'Base stats'!BG:BG) * 0.01 * 2 + 0.01, 0.05)</f>
        <v>6.6000000000000005</v>
      </c>
      <c r="F358" s="7">
        <f>MROUND(_xlfn.XLOOKUP(B358,'Base stats'!B:B,'Base stats'!BD:BD)^0.25 / (_xlfn.XLOOKUP(B358,'Base stats'!B:B,'Base stats'!BK:BK) * 10) * 150 + 0.5 + _xlfn.XLOOKUP(B358,'Base stats'!B:B,'Base stats'!BW:BW), 0.05)</f>
        <v>2.3000000000000003</v>
      </c>
      <c r="G358" s="3">
        <f>IF(Animals!S358="No","No",
IF(_xlfn.XLOOKUP(B358,'Base stats'!B:B,'Base stats'!U:U)="No",
MAX(MROUND(_xlfn.XLOOKUP(B358,'Base stats'!B:B,'Base stats'!BT:BT) * _xlfn.XLOOKUP(B358,'Base stats'!B:B,'Base stats'!BP:BP)^0.9 / 21 * _xlfn.XLOOKUP(B358,'Base stats'!B:B,'Base stats'!BX:BX),0.1),0.05),
MAX(MROUND(((MIN(10,_xlfn.XLOOKUP(B358,'Base stats'!B:B,'Base stats'!U:U)))^0.4*_xlfn.XLOOKUP(B358,'Base stats'!B:B,'Base stats'!BH:BH)^0.73)^0.6 * _xlfn.XLOOKUP(B358,'Base stats'!B:B,'Base stats'!BX:BX),0.1),0.05)
))</f>
        <v>23.8</v>
      </c>
      <c r="H358" s="11">
        <f>IF(G358="No","No",
MROUND(_xlfn.XLOOKUP(B358,'Base stats'!B:B,'Base stats'!BH:BH) * 0.01 * 2 + 0.05, 0.05)
)</f>
        <v>7.9</v>
      </c>
      <c r="I358" s="11">
        <f>IF(G358="No","No",IF(_xlfn.XLOOKUP(B358,'Base stats'!B:B,'Base stats'!U:U)="No","No",
MROUND(_xlfn.XLOOKUP(B358,'Base stats'!B:B,'Base stats'!BT:BT)/10000+0.01,0.01)
))</f>
        <v>0.28000000000000003</v>
      </c>
      <c r="J358" s="4">
        <f>IF(G358="No","No",
MROUND(_xlfn.XLOOKUP(B358,'Base stats'!B:B,'Base stats'!BE:BE)^0.25
/((_xlfn.XLOOKUP(B358,'Base stats'!B:B,'Base stats'!BL:BL))*10)*_xlfn.XLOOKUP(_xlfn.XLOOKUP(B358,'Base stats'!B:B,'Base stats'!E:E),Groups!A:A,Groups!Q:Q)*150 + 0.5 + _xlfn.XLOOKUP(B358,'Base stats'!B:B,'Base stats'!BW:BW),
0.05))</f>
        <v>3.1</v>
      </c>
      <c r="K358" s="3" t="str">
        <f>IF(Animals!X358="No","No",
IF(_xlfn.XLOOKUP(_xlfn.XLOOKUP(B358,'Base stats'!B:B,'Base stats'!E:E),Groups!A:A,Groups!BD:BD)=1,
MAX(MROUND(_xlfn.XLOOKUP(B358,'Base stats'!B:B,'Base stats'!BU:BU) * _xlfn.XLOOKUP(B358,'Base stats'!B:B,'Base stats'!BQ:BQ)^0.9 / 21 *_xlfn.XLOOKUP(B358,'Base stats'!B:B,'Base stats'!BX:BX),0.1),0.05),
MAX(MROUND(((MIN(10,_xlfn.XLOOKUP(B358,'Base stats'!B:B,'Base stats'!W:W)))^0.4*_xlfn.XLOOKUP(B358,'Base stats'!B:B,'Base stats'!BI:BI)^0.73)^0.6 *_xlfn.XLOOKUP(B358,'Base stats'!B:B,'Base stats'!BX:BX),0.1),0.05)
))</f>
        <v>No</v>
      </c>
      <c r="L358" s="11" t="str">
        <f>IF(K358="No","No",
MROUND(_xlfn.XLOOKUP(B358,'Base stats'!B:B,'Base stats'!BI:BI) * 0.01 *2 + 0.05, 0.05)
)</f>
        <v>No</v>
      </c>
      <c r="M358" s="5" t="str">
        <f>IF(K358="No","No",IF(_xlfn.XLOOKUP(_xlfn.XLOOKUP(B358,'Base stats'!B:B,'Base stats'!E:E),Groups!A:A,Groups!BD:BD)=1,"No",
MROUND(_xlfn.XLOOKUP(B358,'Base stats'!B:B,'Base stats'!BU:BU)/10000+0.01,0.01)
))</f>
        <v>No</v>
      </c>
      <c r="N358" s="4" t="str">
        <f>IF(K358="No","No",
MROUND(
  _xlfn.XLOOKUP(B358,'Base stats'!B:B,'Base stats'!BC:BC)^0.25
  / (_xlfn.XLOOKUP(B358,'Base stats'!B:B,'Base stats'!BM:BM) * 10)
  * _xlfn.XLOOKUP(
      _xlfn.XLOOKUP(B358,'Base stats'!B:B,'Base stats'!E:E),
      Groups!A:A,
      Groups!V:V
    ) * 150
  + MIN(12, _xlfn.XLOOKUP(B358,'Base stats'!B:B,'Base stats'!W:W))^(1/IF(_xlfn.XLOOKUP(_xlfn.XLOOKUP(B358,'Base stats'!B:B,'Base stats'!E:E),Groups!A:A,Groups!U:U)=1,100,10)) + 0.5 + _xlfn.XLOOKUP(B358,'Base stats'!B:B,'Base stats'!BW:BW),
0.05))</f>
        <v>No</v>
      </c>
      <c r="O358" s="3">
        <f>IF(Animals!AD358="No","No",
MAX(MROUND((MIN(10,_xlfn.XLOOKUP(B358,'Base stats'!B:B,'Base stats'!V:V)*IF(_xlfn.XLOOKUP(_xlfn.XLOOKUP(B358,'Base stats'!B:B,'Base stats'!E:E),Groups!A:A,Groups!O:O)=0,1,0.33))^0.4*_xlfn.XLOOKUP(B358,'Base stats'!B:B,'Base stats'!BJ:BJ)^0.73)^0.6 *_xlfn.XLOOKUP(B358,'Base stats'!B:B,'Base stats'!BX:BX),0.1),0.05)
)</f>
        <v>15.8</v>
      </c>
      <c r="P358" s="11">
        <f>IF(O358="No","No",
MROUND(_xlfn.XLOOKUP(B358,'Base stats'!B:B,'Base stats'!BJ:BJ) * 0.01 * 2 + 0.05, 0.05)
)</f>
        <v>4.8500000000000005</v>
      </c>
      <c r="Q358" s="5">
        <f>IF(O358="No","No",
MROUND(_xlfn.XLOOKUP(B358,'Base stats'!B:B,'Base stats'!BV:BV)/10000+0.01,0.01)
)</f>
        <v>0.17</v>
      </c>
      <c r="R358" s="4">
        <f>IF(O358="No","No",
MROUND(_xlfn.XLOOKUP(B358,'Base stats'!B:B,'Base stats'!BB:BB)^0.25
/((_xlfn.XLOOKUP(B358,'Base stats'!B:B,'Base stats'!BN:BN))*10)*_xlfn.XLOOKUP(_xlfn.XLOOKUP(B358,'Base stats'!B:B,'Base stats'!E:E),Groups!A:A,Groups!Z:Z)*150 + 0.5 + _xlfn.XLOOKUP(B358,'Base stats'!B:B,'Base stats'!BW:BW),
0.05))</f>
        <v>2.1</v>
      </c>
      <c r="S358" s="3" t="str">
        <f>IF(Animals!AI358="No","No",
IF(_xlfn.XLOOKUP(B358,'Base stats'!B:B,'Base stats'!U:U)="No",
MAX(MROUND(_xlfn.XLOOKUP(B358,'Base stats'!B:B,'Base stats'!BT:BT) * _xlfn.XLOOKUP(B358,'Base stats'!B:B,'Base stats'!BP:BP)^0.9 / 21 * _xlfn.XLOOKUP(B358,'Base stats'!B:B,'Base stats'!BX:BX),0.1),0.05),
MAX(MROUND(((MIN(12,_xlfn.XLOOKUP(B358,'Base stats'!B:B,'Base stats'!U:U)))^0.4*_xlfn.XLOOKUP(B358,'Base stats'!B:B,'Base stats'!BH:BH)^0.73)^0.6 * _xlfn.XLOOKUP(B358,'Base stats'!B:B,'Base stats'!BX:BX),0.1),0.05)
))</f>
        <v>No</v>
      </c>
      <c r="T358" s="11" t="str">
        <f>IF(S358="No","No",
MROUND(_xlfn.XLOOKUP(B358,'Base stats'!B:B,'Base stats'!BH:BH) * 0.01 * 2 + 0.05, 0.05)
)</f>
        <v>No</v>
      </c>
      <c r="U358" s="5" t="str">
        <f>IF(S358="No","No",IF(_xlfn.XLOOKUP(B358,'Base stats'!B:B,'Base stats'!U:U)="No","No",
MROUND(_xlfn.XLOOKUP(B358,'Base stats'!B:B,'Base stats'!BT:BT)/10000+0.01,0.01)
))</f>
        <v>No</v>
      </c>
      <c r="V358" s="4" t="str">
        <f>IF(S358="No","No",
MROUND(_xlfn.XLOOKUP(B358,'Base stats'!B:B,'Base stats'!BF:BF)^0.25
/((_xlfn.XLOOKUP(B358,'Base stats'!B:B,'Base stats'!BO:BO))*10)*_xlfn.XLOOKUP(_xlfn.XLOOKUP(B358,'Base stats'!B:B,'Base stats'!E:E),Groups!A:A,Groups!AE:AE)*150 + 0.5 + _xlfn.XLOOKUP(B358,'Base stats'!B:B,'Base stats'!BW:BW),
0.05))</f>
        <v>No</v>
      </c>
      <c r="W358" s="8">
        <f>MROUND(_xlfn.XLOOKUP(_xlfn.XLOOKUP(B358,'Base stats'!B:B,'Base stats'!E:E),Groups!A:A,Groups!BG:BG)*_xlfn.XLOOKUP(B358,'Base stats'!B:B,'Base stats'!C:C)^-0.165,0.05)</f>
        <v>0.30000000000000004</v>
      </c>
      <c r="X358" s="1">
        <f>MROUND(_xlfn.XLOOKUP(_xlfn.XLOOKUP(B358,'Base stats'!B:B,'Base stats'!E:E),Groups!A:A,Groups!BH:BH)*_xlfn.XLOOKUP(B358,'Base stats'!B:B,'Base stats'!C:C)^0.165,0.05)</f>
        <v>0.5</v>
      </c>
      <c r="Y358" s="8">
        <f>MROUND(_xlfn.XLOOKUP(_xlfn.XLOOKUP(B358,'Base stats'!B:B,'Base stats'!E:E),Groups!A:A,Groups!BI:BI)*_xlfn.XLOOKUP(B358,'Base stats'!B:B,'Base stats'!C:C)^0.165,0.05)</f>
        <v>0.05</v>
      </c>
      <c r="Z358" s="18">
        <f>MROUND(_xlfn.XLOOKUP(B358,'Base stats'!B:B,'Base stats'!AQ:AQ)*_xlfn.XLOOKUP(_xlfn.XLOOKUP(B358,'Base stats'!B:B,'Base stats'!E:E),Groups!A:A,Groups!H:H)/1000,IF((_xlfn.XLOOKUP(B358,'Base stats'!B:B,'Base stats'!AQ:AQ)*_xlfn.XLOOKUP(_xlfn.XLOOKUP(B358,'Base stats'!B:B,'Base stats'!E:E),Groups!A:A,Groups!H:H)/1000)&gt;1,0.05,0.01))</f>
        <v>0.1</v>
      </c>
      <c r="AA358" s="18">
        <f>MROUND((1/2)*(_xlfn.XLOOKUP(_xlfn.XLOOKUP(B358,'Base stats'!B:B,'Base stats'!E:E),Groups!A:A,Groups!H:H)*_xlfn.XLOOKUP(_xlfn.XLOOKUP(B358,'Base stats'!B:B,'Base stats'!E:E),Groups!A:A,Groups!I:I))*_xlfn.XLOOKUP(B358,'Base stats'!B:B,'Base stats'!AQ:AQ)*0.01,0.05)</f>
        <v>0.2</v>
      </c>
      <c r="AB358" s="18">
        <f>MROUND(250*(Animals!AO358+Animals!AP358),25)</f>
        <v>1250</v>
      </c>
      <c r="AC358" s="18" t="str">
        <f>_xlfn.XLOOKUP(_xlfn.XLOOKUP(B358,'Base stats'!B:B,'Base stats'!E:E),Groups!A:A,Groups!BJ:BJ)</f>
        <v>Birdlike</v>
      </c>
    </row>
    <row r="359" spans="1:29" ht="16.5" thickTop="1" thickBot="1" x14ac:dyDescent="0.3">
      <c r="A359" s="16" t="str">
        <f>Animals!A359</f>
        <v>Dakotaraptor</v>
      </c>
      <c r="B359" s="6" t="str">
        <f>Animals!B359</f>
        <v>Dakotaraptor steini</v>
      </c>
      <c r="C359" s="1" t="str">
        <f>Animals!C359</f>
        <v>&lt;li&gt;Dakotaraptor&lt;/li&gt;</v>
      </c>
      <c r="D359" s="47">
        <f>MIN(MIN(6,_xlfn.XLOOKUP(A359,Animals!A:A,Animals!AO:AO))*20,MAX(MROUND(_xlfn.XLOOKUP(B359,'Base stats'!B:B,'Base stats'!BS:BS) * (_xlfn.XLOOKUP(B359,'Base stats'!B:B,'Base stats'!AO:AO)*5%)^0.9 / 21,0.1),0.05))</f>
        <v>5.9</v>
      </c>
      <c r="E359" s="11">
        <f>MROUND(_xlfn.XLOOKUP(B359,'Base stats'!B:B,'Base stats'!BG:BG) * 0.01 * 2 + 0.01, 0.05)</f>
        <v>5.3000000000000007</v>
      </c>
      <c r="F359" s="7">
        <f>MROUND(_xlfn.XLOOKUP(B359,'Base stats'!B:B,'Base stats'!BD:BD)^0.25 / (_xlfn.XLOOKUP(B359,'Base stats'!B:B,'Base stats'!BK:BK) * 10) * 150 + 0.5 + _xlfn.XLOOKUP(B359,'Base stats'!B:B,'Base stats'!BW:BW), 0.05)</f>
        <v>2.2000000000000002</v>
      </c>
      <c r="G359" s="3">
        <f>IF(Animals!S359="No","No",
IF(_xlfn.XLOOKUP(B359,'Base stats'!B:B,'Base stats'!U:U)="No",
MAX(MROUND(_xlfn.XLOOKUP(B359,'Base stats'!B:B,'Base stats'!BT:BT) * _xlfn.XLOOKUP(B359,'Base stats'!B:B,'Base stats'!BP:BP)^0.9 / 21 * _xlfn.XLOOKUP(B359,'Base stats'!B:B,'Base stats'!BX:BX),0.1),0.05),
MAX(MROUND(((MIN(10,_xlfn.XLOOKUP(B359,'Base stats'!B:B,'Base stats'!U:U)))^0.4*_xlfn.XLOOKUP(B359,'Base stats'!B:B,'Base stats'!BH:BH)^0.73)^0.6 * _xlfn.XLOOKUP(B359,'Base stats'!B:B,'Base stats'!BX:BX),0.1),0.05)
))</f>
        <v>21.700000000000003</v>
      </c>
      <c r="H359" s="11">
        <f>IF(G359="No","No",
MROUND(_xlfn.XLOOKUP(B359,'Base stats'!B:B,'Base stats'!BH:BH) * 0.01 * 2 + 0.05, 0.05)
)</f>
        <v>6.45</v>
      </c>
      <c r="I359" s="11">
        <f>IF(G359="No","No",IF(_xlfn.XLOOKUP(B359,'Base stats'!B:B,'Base stats'!U:U)="No","No",
MROUND(_xlfn.XLOOKUP(B359,'Base stats'!B:B,'Base stats'!BT:BT)/10000+0.01,0.01)
))</f>
        <v>0.25</v>
      </c>
      <c r="J359" s="4">
        <f>IF(G359="No","No",
MROUND(_xlfn.XLOOKUP(B359,'Base stats'!B:B,'Base stats'!BE:BE)^0.25
/((_xlfn.XLOOKUP(B359,'Base stats'!B:B,'Base stats'!BL:BL))*10)*_xlfn.XLOOKUP(_xlfn.XLOOKUP(B359,'Base stats'!B:B,'Base stats'!E:E),Groups!A:A,Groups!Q:Q)*150 + 0.5 + _xlfn.XLOOKUP(B359,'Base stats'!B:B,'Base stats'!BW:BW),
0.05))</f>
        <v>3</v>
      </c>
      <c r="K359" s="3" t="str">
        <f>IF(Animals!X359="No","No",
IF(_xlfn.XLOOKUP(_xlfn.XLOOKUP(B359,'Base stats'!B:B,'Base stats'!E:E),Groups!A:A,Groups!BD:BD)=1,
MAX(MROUND(_xlfn.XLOOKUP(B359,'Base stats'!B:B,'Base stats'!BU:BU) * _xlfn.XLOOKUP(B359,'Base stats'!B:B,'Base stats'!BQ:BQ)^0.9 / 21 *_xlfn.XLOOKUP(B359,'Base stats'!B:B,'Base stats'!BX:BX),0.1),0.05),
MAX(MROUND(((MIN(10,_xlfn.XLOOKUP(B359,'Base stats'!B:B,'Base stats'!W:W)))^0.4*_xlfn.XLOOKUP(B359,'Base stats'!B:B,'Base stats'!BI:BI)^0.73)^0.6 *_xlfn.XLOOKUP(B359,'Base stats'!B:B,'Base stats'!BX:BX),0.1),0.05)
))</f>
        <v>No</v>
      </c>
      <c r="L359" s="11" t="str">
        <f>IF(K359="No","No",
MROUND(_xlfn.XLOOKUP(B359,'Base stats'!B:B,'Base stats'!BI:BI) * 0.01 *2 + 0.05, 0.05)
)</f>
        <v>No</v>
      </c>
      <c r="M359" s="5" t="str">
        <f>IF(K359="No","No",IF(_xlfn.XLOOKUP(_xlfn.XLOOKUP(B359,'Base stats'!B:B,'Base stats'!E:E),Groups!A:A,Groups!BD:BD)=1,"No",
MROUND(_xlfn.XLOOKUP(B359,'Base stats'!B:B,'Base stats'!BU:BU)/10000+0.01,0.01)
))</f>
        <v>No</v>
      </c>
      <c r="N359" s="4" t="str">
        <f>IF(K359="No","No",
MROUND(
  _xlfn.XLOOKUP(B359,'Base stats'!B:B,'Base stats'!BC:BC)^0.25
  / (_xlfn.XLOOKUP(B359,'Base stats'!B:B,'Base stats'!BM:BM) * 10)
  * _xlfn.XLOOKUP(
      _xlfn.XLOOKUP(B359,'Base stats'!B:B,'Base stats'!E:E),
      Groups!A:A,
      Groups!V:V
    ) * 150
  + MIN(12, _xlfn.XLOOKUP(B359,'Base stats'!B:B,'Base stats'!W:W))^(1/IF(_xlfn.XLOOKUP(_xlfn.XLOOKUP(B359,'Base stats'!B:B,'Base stats'!E:E),Groups!A:A,Groups!U:U)=1,100,10)) + 0.5 + _xlfn.XLOOKUP(B359,'Base stats'!B:B,'Base stats'!BW:BW),
0.05))</f>
        <v>No</v>
      </c>
      <c r="O359" s="3">
        <f>IF(Animals!AD359="No","No",
MAX(MROUND((MIN(10,_xlfn.XLOOKUP(B359,'Base stats'!B:B,'Base stats'!V:V)*IF(_xlfn.XLOOKUP(_xlfn.XLOOKUP(B359,'Base stats'!B:B,'Base stats'!E:E),Groups!A:A,Groups!O:O)=0,1,0.33))^0.4*_xlfn.XLOOKUP(B359,'Base stats'!B:B,'Base stats'!BJ:BJ)^0.73)^0.6 *_xlfn.XLOOKUP(B359,'Base stats'!B:B,'Base stats'!BX:BX),0.1),0.05)
)</f>
        <v>14.200000000000001</v>
      </c>
      <c r="P359" s="11">
        <f>IF(O359="No","No",
MROUND(_xlfn.XLOOKUP(B359,'Base stats'!B:B,'Base stats'!BJ:BJ) * 0.01 * 2 + 0.05, 0.05)
)</f>
        <v>4.05</v>
      </c>
      <c r="Q359" s="5">
        <f>IF(O359="No","No",
MROUND(_xlfn.XLOOKUP(B359,'Base stats'!B:B,'Base stats'!BV:BV)/10000+0.01,0.01)
)</f>
        <v>0.16</v>
      </c>
      <c r="R359" s="4">
        <f>IF(O359="No","No",
MROUND(_xlfn.XLOOKUP(B359,'Base stats'!B:B,'Base stats'!BB:BB)^0.25
/((_xlfn.XLOOKUP(B359,'Base stats'!B:B,'Base stats'!BN:BN))*10)*_xlfn.XLOOKUP(_xlfn.XLOOKUP(B359,'Base stats'!B:B,'Base stats'!E:E),Groups!A:A,Groups!Z:Z)*150 + 0.5 + _xlfn.XLOOKUP(B359,'Base stats'!B:B,'Base stats'!BW:BW),
0.05))</f>
        <v>2.0500000000000003</v>
      </c>
      <c r="S359" s="3" t="str">
        <f>IF(Animals!AI359="No","No",
IF(_xlfn.XLOOKUP(B359,'Base stats'!B:B,'Base stats'!U:U)="No",
MAX(MROUND(_xlfn.XLOOKUP(B359,'Base stats'!B:B,'Base stats'!BT:BT) * _xlfn.XLOOKUP(B359,'Base stats'!B:B,'Base stats'!BP:BP)^0.9 / 21 * _xlfn.XLOOKUP(B359,'Base stats'!B:B,'Base stats'!BX:BX),0.1),0.05),
MAX(MROUND(((MIN(12,_xlfn.XLOOKUP(B359,'Base stats'!B:B,'Base stats'!U:U)))^0.4*_xlfn.XLOOKUP(B359,'Base stats'!B:B,'Base stats'!BH:BH)^0.73)^0.6 * _xlfn.XLOOKUP(B359,'Base stats'!B:B,'Base stats'!BX:BX),0.1),0.05)
))</f>
        <v>No</v>
      </c>
      <c r="T359" s="11" t="str">
        <f>IF(S359="No","No",
MROUND(_xlfn.XLOOKUP(B359,'Base stats'!B:B,'Base stats'!BH:BH) * 0.01 * 2 + 0.05, 0.05)
)</f>
        <v>No</v>
      </c>
      <c r="U359" s="5" t="str">
        <f>IF(S359="No","No",IF(_xlfn.XLOOKUP(B359,'Base stats'!B:B,'Base stats'!U:U)="No","No",
MROUND(_xlfn.XLOOKUP(B359,'Base stats'!B:B,'Base stats'!BT:BT)/10000+0.01,0.01)
))</f>
        <v>No</v>
      </c>
      <c r="V359" s="4" t="str">
        <f>IF(S359="No","No",
MROUND(_xlfn.XLOOKUP(B359,'Base stats'!B:B,'Base stats'!BF:BF)^0.25
/((_xlfn.XLOOKUP(B359,'Base stats'!B:B,'Base stats'!BO:BO))*10)*_xlfn.XLOOKUP(_xlfn.XLOOKUP(B359,'Base stats'!B:B,'Base stats'!E:E),Groups!A:A,Groups!AE:AE)*150 + 0.5 + _xlfn.XLOOKUP(B359,'Base stats'!B:B,'Base stats'!BW:BW),
0.05))</f>
        <v>No</v>
      </c>
      <c r="W359" s="8">
        <f>MROUND(_xlfn.XLOOKUP(_xlfn.XLOOKUP(B359,'Base stats'!B:B,'Base stats'!E:E),Groups!A:A,Groups!BG:BG)*_xlfn.XLOOKUP(B359,'Base stats'!B:B,'Base stats'!C:C)^-0.165,0.05)</f>
        <v>0.30000000000000004</v>
      </c>
      <c r="X359" s="1">
        <f>MROUND(_xlfn.XLOOKUP(_xlfn.XLOOKUP(B359,'Base stats'!B:B,'Base stats'!E:E),Groups!A:A,Groups!BH:BH)*_xlfn.XLOOKUP(B359,'Base stats'!B:B,'Base stats'!C:C)^0.165,0.05)</f>
        <v>0.5</v>
      </c>
      <c r="Y359" s="8">
        <f>MROUND(_xlfn.XLOOKUP(_xlfn.XLOOKUP(B359,'Base stats'!B:B,'Base stats'!E:E),Groups!A:A,Groups!BI:BI)*_xlfn.XLOOKUP(B359,'Base stats'!B:B,'Base stats'!C:C)^0.165,0.05)</f>
        <v>0.05</v>
      </c>
      <c r="Z359" s="18">
        <f>MROUND(_xlfn.XLOOKUP(B359,'Base stats'!B:B,'Base stats'!AQ:AQ)*_xlfn.XLOOKUP(_xlfn.XLOOKUP(B359,'Base stats'!B:B,'Base stats'!E:E),Groups!A:A,Groups!H:H)/1000,IF((_xlfn.XLOOKUP(B359,'Base stats'!B:B,'Base stats'!AQ:AQ)*_xlfn.XLOOKUP(_xlfn.XLOOKUP(B359,'Base stats'!B:B,'Base stats'!E:E),Groups!A:A,Groups!H:H)/1000)&gt;1,0.05,0.01))</f>
        <v>0.09</v>
      </c>
      <c r="AA359" s="18">
        <f>MROUND((1/2)*(_xlfn.XLOOKUP(_xlfn.XLOOKUP(B359,'Base stats'!B:B,'Base stats'!E:E),Groups!A:A,Groups!H:H)*_xlfn.XLOOKUP(_xlfn.XLOOKUP(B359,'Base stats'!B:B,'Base stats'!E:E),Groups!A:A,Groups!I:I))*_xlfn.XLOOKUP(B359,'Base stats'!B:B,'Base stats'!AQ:AQ)*0.01,0.05)</f>
        <v>0.15000000000000002</v>
      </c>
      <c r="AB359" s="18">
        <f>MROUND(250*(Animals!AO359+Animals!AP359),25)</f>
        <v>1050</v>
      </c>
      <c r="AC359" s="18" t="str">
        <f>_xlfn.XLOOKUP(_xlfn.XLOOKUP(B359,'Base stats'!B:B,'Base stats'!E:E),Groups!A:A,Groups!BJ:BJ)</f>
        <v>Birdlike</v>
      </c>
    </row>
    <row r="360" spans="1:29" ht="16.5" thickTop="1" thickBot="1" x14ac:dyDescent="0.3">
      <c r="A360" s="16" t="str">
        <f>Animals!A360</f>
        <v>Dilophosaurus</v>
      </c>
      <c r="B360" s="6" t="str">
        <f>Animals!B360</f>
        <v>Dilophosaurus wetherilli</v>
      </c>
      <c r="C360" s="1" t="str">
        <f>Animals!C360</f>
        <v>&lt;li&gt;Dilophosaurus&lt;/li&gt;</v>
      </c>
      <c r="D360" s="47">
        <f>MIN(MIN(6,_xlfn.XLOOKUP(A360,Animals!A:A,Animals!AO:AO))*20,MAX(MROUND(_xlfn.XLOOKUP(B360,'Base stats'!B:B,'Base stats'!BS:BS) * (_xlfn.XLOOKUP(B360,'Base stats'!B:B,'Base stats'!AO:AO)*5%)^0.9 / 21,0.1),0.05))</f>
        <v>9.8000000000000007</v>
      </c>
      <c r="E360" s="11">
        <f>MROUND(_xlfn.XLOOKUP(B360,'Base stats'!B:B,'Base stats'!BG:BG) * 0.01 * 2 + 0.01, 0.05)</f>
        <v>9.1</v>
      </c>
      <c r="F360" s="7">
        <f>MROUND(_xlfn.XLOOKUP(B360,'Base stats'!B:B,'Base stats'!BD:BD)^0.25 / (_xlfn.XLOOKUP(B360,'Base stats'!B:B,'Base stats'!BK:BK) * 10) * 150 + 0.5 + _xlfn.XLOOKUP(B360,'Base stats'!B:B,'Base stats'!BW:BW), 0.05)</f>
        <v>2.4500000000000002</v>
      </c>
      <c r="G360" s="3">
        <f>IF(Animals!S360="No","No",
IF(_xlfn.XLOOKUP(B360,'Base stats'!B:B,'Base stats'!U:U)="No",
MAX(MROUND(_xlfn.XLOOKUP(B360,'Base stats'!B:B,'Base stats'!BT:BT) * _xlfn.XLOOKUP(B360,'Base stats'!B:B,'Base stats'!BP:BP)^0.9 / 21 * _xlfn.XLOOKUP(B360,'Base stats'!B:B,'Base stats'!BX:BX),0.1),0.05),
MAX(MROUND(((MIN(10,_xlfn.XLOOKUP(B360,'Base stats'!B:B,'Base stats'!U:U)))^0.4*_xlfn.XLOOKUP(B360,'Base stats'!B:B,'Base stats'!BH:BH)^0.73)^0.6 * _xlfn.XLOOKUP(B360,'Base stats'!B:B,'Base stats'!BX:BX),0.1),0.05)
))</f>
        <v>25.3</v>
      </c>
      <c r="H360" s="11">
        <f>IF(G360="No","No",
MROUND(_xlfn.XLOOKUP(B360,'Base stats'!B:B,'Base stats'!BH:BH) * 0.01 * 2 + 0.05, 0.05)
)</f>
        <v>10.65</v>
      </c>
      <c r="I360" s="11">
        <f>IF(G360="No","No",IF(_xlfn.XLOOKUP(B360,'Base stats'!B:B,'Base stats'!U:U)="No","No",
MROUND(_xlfn.XLOOKUP(B360,'Base stats'!B:B,'Base stats'!BT:BT)/10000+0.01,0.01)
))</f>
        <v>0.32</v>
      </c>
      <c r="J360" s="4">
        <f>IF(G360="No","No",
MROUND(_xlfn.XLOOKUP(B360,'Base stats'!B:B,'Base stats'!BE:BE)^0.25
/((_xlfn.XLOOKUP(B360,'Base stats'!B:B,'Base stats'!BL:BL))*10)*_xlfn.XLOOKUP(_xlfn.XLOOKUP(B360,'Base stats'!B:B,'Base stats'!E:E),Groups!A:A,Groups!Q:Q)*150 + 0.5 + _xlfn.XLOOKUP(B360,'Base stats'!B:B,'Base stats'!BW:BW),
0.05))</f>
        <v>3.3000000000000003</v>
      </c>
      <c r="K360" s="3" t="str">
        <f>IF(Animals!X360="No","No",
IF(_xlfn.XLOOKUP(_xlfn.XLOOKUP(B360,'Base stats'!B:B,'Base stats'!E:E),Groups!A:A,Groups!BD:BD)=1,
MAX(MROUND(_xlfn.XLOOKUP(B360,'Base stats'!B:B,'Base stats'!BU:BU) * _xlfn.XLOOKUP(B360,'Base stats'!B:B,'Base stats'!BQ:BQ)^0.9 / 21 *_xlfn.XLOOKUP(B360,'Base stats'!B:B,'Base stats'!BX:BX),0.1),0.05),
MAX(MROUND(((MIN(10,_xlfn.XLOOKUP(B360,'Base stats'!B:B,'Base stats'!W:W)))^0.4*_xlfn.XLOOKUP(B360,'Base stats'!B:B,'Base stats'!BI:BI)^0.73)^0.6 *_xlfn.XLOOKUP(B360,'Base stats'!B:B,'Base stats'!BX:BX),0.1),0.05)
))</f>
        <v>No</v>
      </c>
      <c r="L360" s="11" t="str">
        <f>IF(K360="No","No",
MROUND(_xlfn.XLOOKUP(B360,'Base stats'!B:B,'Base stats'!BI:BI) * 0.01 *2 + 0.05, 0.05)
)</f>
        <v>No</v>
      </c>
      <c r="M360" s="5" t="str">
        <f>IF(K360="No","No",IF(_xlfn.XLOOKUP(_xlfn.XLOOKUP(B360,'Base stats'!B:B,'Base stats'!E:E),Groups!A:A,Groups!BD:BD)=1,"No",
MROUND(_xlfn.XLOOKUP(B360,'Base stats'!B:B,'Base stats'!BU:BU)/10000+0.01,0.01)
))</f>
        <v>No</v>
      </c>
      <c r="N360" s="4" t="str">
        <f>IF(K360="No","No",
MROUND(
  _xlfn.XLOOKUP(B360,'Base stats'!B:B,'Base stats'!BC:BC)^0.25
  / (_xlfn.XLOOKUP(B360,'Base stats'!B:B,'Base stats'!BM:BM) * 10)
  * _xlfn.XLOOKUP(
      _xlfn.XLOOKUP(B360,'Base stats'!B:B,'Base stats'!E:E),
      Groups!A:A,
      Groups!V:V
    ) * 150
  + MIN(12, _xlfn.XLOOKUP(B360,'Base stats'!B:B,'Base stats'!W:W))^(1/IF(_xlfn.XLOOKUP(_xlfn.XLOOKUP(B360,'Base stats'!B:B,'Base stats'!E:E),Groups!A:A,Groups!U:U)=1,100,10)) + 0.5 + _xlfn.XLOOKUP(B360,'Base stats'!B:B,'Base stats'!BW:BW),
0.05))</f>
        <v>No</v>
      </c>
      <c r="O360" s="3">
        <f>IF(Animals!AD360="No","No",
MAX(MROUND((MIN(10,_xlfn.XLOOKUP(B360,'Base stats'!B:B,'Base stats'!V:V)*IF(_xlfn.XLOOKUP(_xlfn.XLOOKUP(B360,'Base stats'!B:B,'Base stats'!E:E),Groups!A:A,Groups!O:O)=0,1,0.33))^0.4*_xlfn.XLOOKUP(B360,'Base stats'!B:B,'Base stats'!BJ:BJ)^0.73)^0.6 *_xlfn.XLOOKUP(B360,'Base stats'!B:B,'Base stats'!BX:BX),0.1),0.05)
)</f>
        <v>19.400000000000002</v>
      </c>
      <c r="P360" s="11">
        <f>IF(O360="No","No",
MROUND(_xlfn.XLOOKUP(B360,'Base stats'!B:B,'Base stats'!BJ:BJ) * 0.01 * 2 + 0.05, 0.05)
)</f>
        <v>6.3000000000000007</v>
      </c>
      <c r="Q360" s="5">
        <f>IF(O360="No","No",
MROUND(_xlfn.XLOOKUP(B360,'Base stats'!B:B,'Base stats'!BV:BV)/10000+0.01,0.01)
)</f>
        <v>0.2</v>
      </c>
      <c r="R360" s="4">
        <f>IF(O360="No","No",
MROUND(_xlfn.XLOOKUP(B360,'Base stats'!B:B,'Base stats'!BB:BB)^0.25
/((_xlfn.XLOOKUP(B360,'Base stats'!B:B,'Base stats'!BN:BN))*10)*_xlfn.XLOOKUP(_xlfn.XLOOKUP(B360,'Base stats'!B:B,'Base stats'!E:E),Groups!A:A,Groups!Z:Z)*150 + 0.5 + _xlfn.XLOOKUP(B360,'Base stats'!B:B,'Base stats'!BW:BW),
0.05))</f>
        <v>2.0500000000000003</v>
      </c>
      <c r="S360" s="3" t="str">
        <f>IF(Animals!AI360="No","No",
IF(_xlfn.XLOOKUP(B360,'Base stats'!B:B,'Base stats'!U:U)="No",
MAX(MROUND(_xlfn.XLOOKUP(B360,'Base stats'!B:B,'Base stats'!BT:BT) * _xlfn.XLOOKUP(B360,'Base stats'!B:B,'Base stats'!BP:BP)^0.9 / 21 * _xlfn.XLOOKUP(B360,'Base stats'!B:B,'Base stats'!BX:BX),0.1),0.05),
MAX(MROUND(((MIN(12,_xlfn.XLOOKUP(B360,'Base stats'!B:B,'Base stats'!U:U)))^0.4*_xlfn.XLOOKUP(B360,'Base stats'!B:B,'Base stats'!BH:BH)^0.73)^0.6 * _xlfn.XLOOKUP(B360,'Base stats'!B:B,'Base stats'!BX:BX),0.1),0.05)
))</f>
        <v>No</v>
      </c>
      <c r="T360" s="11" t="str">
        <f>IF(S360="No","No",
MROUND(_xlfn.XLOOKUP(B360,'Base stats'!B:B,'Base stats'!BH:BH) * 0.01 * 2 + 0.05, 0.05)
)</f>
        <v>No</v>
      </c>
      <c r="U360" s="5" t="str">
        <f>IF(S360="No","No",IF(_xlfn.XLOOKUP(B360,'Base stats'!B:B,'Base stats'!U:U)="No","No",
MROUND(_xlfn.XLOOKUP(B360,'Base stats'!B:B,'Base stats'!BT:BT)/10000+0.01,0.01)
))</f>
        <v>No</v>
      </c>
      <c r="V360" s="4" t="str">
        <f>IF(S360="No","No",
MROUND(_xlfn.XLOOKUP(B360,'Base stats'!B:B,'Base stats'!BF:BF)^0.25
/((_xlfn.XLOOKUP(B360,'Base stats'!B:B,'Base stats'!BO:BO))*10)*_xlfn.XLOOKUP(_xlfn.XLOOKUP(B360,'Base stats'!B:B,'Base stats'!E:E),Groups!A:A,Groups!AE:AE)*150 + 0.5 + _xlfn.XLOOKUP(B360,'Base stats'!B:B,'Base stats'!BW:BW),
0.05))</f>
        <v>No</v>
      </c>
      <c r="W360" s="8">
        <f>MROUND(_xlfn.XLOOKUP(_xlfn.XLOOKUP(B360,'Base stats'!B:B,'Base stats'!E:E),Groups!A:A,Groups!BG:BG)*_xlfn.XLOOKUP(B360,'Base stats'!B:B,'Base stats'!C:C)^-0.165,0.05)</f>
        <v>0.25</v>
      </c>
      <c r="X360" s="1">
        <f>MROUND(_xlfn.XLOOKUP(_xlfn.XLOOKUP(B360,'Base stats'!B:B,'Base stats'!E:E),Groups!A:A,Groups!BH:BH)*_xlfn.XLOOKUP(B360,'Base stats'!B:B,'Base stats'!C:C)^0.165,0.05)</f>
        <v>0.55000000000000004</v>
      </c>
      <c r="Y360" s="8">
        <f>MROUND(_xlfn.XLOOKUP(_xlfn.XLOOKUP(B360,'Base stats'!B:B,'Base stats'!E:E),Groups!A:A,Groups!BI:BI)*_xlfn.XLOOKUP(B360,'Base stats'!B:B,'Base stats'!C:C)^0.165,0.05)</f>
        <v>0.05</v>
      </c>
      <c r="Z360" s="18">
        <f>MROUND(_xlfn.XLOOKUP(B360,'Base stats'!B:B,'Base stats'!AQ:AQ)*_xlfn.XLOOKUP(_xlfn.XLOOKUP(B360,'Base stats'!B:B,'Base stats'!E:E),Groups!A:A,Groups!H:H)/1000,IF((_xlfn.XLOOKUP(B360,'Base stats'!B:B,'Base stats'!AQ:AQ)*_xlfn.XLOOKUP(_xlfn.XLOOKUP(B360,'Base stats'!B:B,'Base stats'!E:E),Groups!A:A,Groups!H:H)/1000)&gt;1,0.05,0.01))</f>
        <v>0.11</v>
      </c>
      <c r="AA360" s="18">
        <f>MROUND((1/2)*(_xlfn.XLOOKUP(_xlfn.XLOOKUP(B360,'Base stats'!B:B,'Base stats'!E:E),Groups!A:A,Groups!H:H)*_xlfn.XLOOKUP(_xlfn.XLOOKUP(B360,'Base stats'!B:B,'Base stats'!E:E),Groups!A:A,Groups!I:I))*_xlfn.XLOOKUP(B360,'Base stats'!B:B,'Base stats'!AQ:AQ)*0.01,0.05)</f>
        <v>0.2</v>
      </c>
      <c r="AB360" s="18">
        <f>MROUND(250*(Animals!AO360+Animals!AP360),25)</f>
        <v>1525</v>
      </c>
      <c r="AC360" s="18" t="str">
        <f>_xlfn.XLOOKUP(_xlfn.XLOOKUP(B360,'Base stats'!B:B,'Base stats'!E:E),Groups!A:A,Groups!BJ:BJ)</f>
        <v>Birdlike</v>
      </c>
    </row>
    <row r="361" spans="1:29" ht="16.5" thickTop="1" thickBot="1" x14ac:dyDescent="0.3">
      <c r="A361" s="16" t="str">
        <f>Animals!A361</f>
        <v>Velociraptor</v>
      </c>
      <c r="B361" s="6" t="str">
        <f>Animals!B361</f>
        <v>Velociraptor mongoliensis</v>
      </c>
      <c r="C361" s="1" t="str">
        <f>Animals!C361</f>
        <v>&lt;li&gt;Velociraptor&lt;/li&gt;</v>
      </c>
      <c r="D361" s="47">
        <f>MIN(MIN(6,_xlfn.XLOOKUP(A361,Animals!A:A,Animals!AO:AO))*20,MAX(MROUND(_xlfn.XLOOKUP(B361,'Base stats'!B:B,'Base stats'!BS:BS) * (_xlfn.XLOOKUP(B361,'Base stats'!B:B,'Base stats'!AO:AO)*5%)^0.9 / 21,0.1),0.05))</f>
        <v>0.8</v>
      </c>
      <c r="E361" s="11">
        <f>MROUND(_xlfn.XLOOKUP(B361,'Base stats'!B:B,'Base stats'!BG:BG) * 0.01 * 2 + 0.01, 0.05)</f>
        <v>0.60000000000000009</v>
      </c>
      <c r="F361" s="7">
        <f>MROUND(_xlfn.XLOOKUP(B361,'Base stats'!B:B,'Base stats'!BD:BD)^0.25 / (_xlfn.XLOOKUP(B361,'Base stats'!B:B,'Base stats'!BK:BK) * 10) * 150 + 0.5 + _xlfn.XLOOKUP(B361,'Base stats'!B:B,'Base stats'!BW:BW), 0.05)</f>
        <v>1.6500000000000001</v>
      </c>
      <c r="G361" s="3">
        <f>IF(Animals!S361="No","No",
IF(_xlfn.XLOOKUP(B361,'Base stats'!B:B,'Base stats'!U:U)="No",
MAX(MROUND(_xlfn.XLOOKUP(B361,'Base stats'!B:B,'Base stats'!BT:BT) * _xlfn.XLOOKUP(B361,'Base stats'!B:B,'Base stats'!BP:BP)^0.9 / 21 * _xlfn.XLOOKUP(B361,'Base stats'!B:B,'Base stats'!BX:BX),0.1),0.05),
MAX(MROUND(((MIN(10,_xlfn.XLOOKUP(B361,'Base stats'!B:B,'Base stats'!U:U)))^0.4*_xlfn.XLOOKUP(B361,'Base stats'!B:B,'Base stats'!BH:BH)^0.73)^0.6 * _xlfn.XLOOKUP(B361,'Base stats'!B:B,'Base stats'!BX:BX),0.1),0.05)
))</f>
        <v>8.8000000000000007</v>
      </c>
      <c r="H361" s="11">
        <f>IF(G361="No","No",
MROUND(_xlfn.XLOOKUP(B361,'Base stats'!B:B,'Base stats'!BH:BH) * 0.01 * 2 + 0.05, 0.05)
)</f>
        <v>0.85000000000000009</v>
      </c>
      <c r="I361" s="11">
        <f>IF(G361="No","No",IF(_xlfn.XLOOKUP(B361,'Base stats'!B:B,'Base stats'!U:U)="No","No",
MROUND(_xlfn.XLOOKUP(B361,'Base stats'!B:B,'Base stats'!BT:BT)/10000+0.01,0.01)
))</f>
        <v>0.09</v>
      </c>
      <c r="J361" s="4">
        <f>IF(G361="No","No",
MROUND(_xlfn.XLOOKUP(B361,'Base stats'!B:B,'Base stats'!BE:BE)^0.25
/((_xlfn.XLOOKUP(B361,'Base stats'!B:B,'Base stats'!BL:BL))*10)*_xlfn.XLOOKUP(_xlfn.XLOOKUP(B361,'Base stats'!B:B,'Base stats'!E:E),Groups!A:A,Groups!Q:Q)*150 + 0.5 + _xlfn.XLOOKUP(B361,'Base stats'!B:B,'Base stats'!BW:BW),
0.05))</f>
        <v>2.25</v>
      </c>
      <c r="K361" s="3" t="str">
        <f>IF(Animals!X361="No","No",
IF(_xlfn.XLOOKUP(_xlfn.XLOOKUP(B361,'Base stats'!B:B,'Base stats'!E:E),Groups!A:A,Groups!BD:BD)=1,
MAX(MROUND(_xlfn.XLOOKUP(B361,'Base stats'!B:B,'Base stats'!BU:BU) * _xlfn.XLOOKUP(B361,'Base stats'!B:B,'Base stats'!BQ:BQ)^0.9 / 21 *_xlfn.XLOOKUP(B361,'Base stats'!B:B,'Base stats'!BX:BX),0.1),0.05),
MAX(MROUND(((MIN(10,_xlfn.XLOOKUP(B361,'Base stats'!B:B,'Base stats'!W:W)))^0.4*_xlfn.XLOOKUP(B361,'Base stats'!B:B,'Base stats'!BI:BI)^0.73)^0.6 *_xlfn.XLOOKUP(B361,'Base stats'!B:B,'Base stats'!BX:BX),0.1),0.05)
))</f>
        <v>No</v>
      </c>
      <c r="L361" s="11" t="str">
        <f>IF(K361="No","No",
MROUND(_xlfn.XLOOKUP(B361,'Base stats'!B:B,'Base stats'!BI:BI) * 0.01 *2 + 0.05, 0.05)
)</f>
        <v>No</v>
      </c>
      <c r="M361" s="5" t="str">
        <f>IF(K361="No","No",IF(_xlfn.XLOOKUP(_xlfn.XLOOKUP(B361,'Base stats'!B:B,'Base stats'!E:E),Groups!A:A,Groups!BD:BD)=1,"No",
MROUND(_xlfn.XLOOKUP(B361,'Base stats'!B:B,'Base stats'!BU:BU)/10000+0.01,0.01)
))</f>
        <v>No</v>
      </c>
      <c r="N361" s="4" t="str">
        <f>IF(K361="No","No",
MROUND(
  _xlfn.XLOOKUP(B361,'Base stats'!B:B,'Base stats'!BC:BC)^0.25
  / (_xlfn.XLOOKUP(B361,'Base stats'!B:B,'Base stats'!BM:BM) * 10)
  * _xlfn.XLOOKUP(
      _xlfn.XLOOKUP(B361,'Base stats'!B:B,'Base stats'!E:E),
      Groups!A:A,
      Groups!V:V
    ) * 150
  + MIN(12, _xlfn.XLOOKUP(B361,'Base stats'!B:B,'Base stats'!W:W))^(1/IF(_xlfn.XLOOKUP(_xlfn.XLOOKUP(B361,'Base stats'!B:B,'Base stats'!E:E),Groups!A:A,Groups!U:U)=1,100,10)) + 0.5 + _xlfn.XLOOKUP(B361,'Base stats'!B:B,'Base stats'!BW:BW),
0.05))</f>
        <v>No</v>
      </c>
      <c r="O361" s="3">
        <f>IF(Animals!AD361="No","No",
MAX(MROUND((MIN(10,_xlfn.XLOOKUP(B361,'Base stats'!B:B,'Base stats'!V:V)*IF(_xlfn.XLOOKUP(_xlfn.XLOOKUP(B361,'Base stats'!B:B,'Base stats'!E:E),Groups!A:A,Groups!O:O)=0,1,0.33))^0.4*_xlfn.XLOOKUP(B361,'Base stats'!B:B,'Base stats'!BJ:BJ)^0.73)^0.6 *_xlfn.XLOOKUP(B361,'Base stats'!B:B,'Base stats'!BX:BX),0.1),0.05)
)</f>
        <v>3.3000000000000003</v>
      </c>
      <c r="P361" s="11">
        <f>IF(O361="No","No",
MROUND(_xlfn.XLOOKUP(B361,'Base stats'!B:B,'Base stats'!BJ:BJ) * 0.01 * 2 + 0.05, 0.05)
)</f>
        <v>0.35000000000000003</v>
      </c>
      <c r="Q361" s="5">
        <f>IF(O361="No","No",
MROUND(_xlfn.XLOOKUP(B361,'Base stats'!B:B,'Base stats'!BV:BV)/10000+0.01,0.01)
)</f>
        <v>0.04</v>
      </c>
      <c r="R361" s="4">
        <f>IF(O361="No","No",
MROUND(_xlfn.XLOOKUP(B361,'Base stats'!B:B,'Base stats'!BB:BB)^0.25
/((_xlfn.XLOOKUP(B361,'Base stats'!B:B,'Base stats'!BN:BN))*10)*_xlfn.XLOOKUP(_xlfn.XLOOKUP(B361,'Base stats'!B:B,'Base stats'!E:E),Groups!A:A,Groups!Z:Z)*150 + 0.5 + _xlfn.XLOOKUP(B361,'Base stats'!B:B,'Base stats'!BW:BW),
0.05))</f>
        <v>1.85</v>
      </c>
      <c r="S361" s="3" t="str">
        <f>IF(Animals!AI361="No","No",
IF(_xlfn.XLOOKUP(B361,'Base stats'!B:B,'Base stats'!U:U)="No",
MAX(MROUND(_xlfn.XLOOKUP(B361,'Base stats'!B:B,'Base stats'!BT:BT) * _xlfn.XLOOKUP(B361,'Base stats'!B:B,'Base stats'!BP:BP)^0.9 / 21 * _xlfn.XLOOKUP(B361,'Base stats'!B:B,'Base stats'!BX:BX),0.1),0.05),
MAX(MROUND(((MIN(12,_xlfn.XLOOKUP(B361,'Base stats'!B:B,'Base stats'!U:U)))^0.4*_xlfn.XLOOKUP(B361,'Base stats'!B:B,'Base stats'!BH:BH)^0.73)^0.6 * _xlfn.XLOOKUP(B361,'Base stats'!B:B,'Base stats'!BX:BX),0.1),0.05)
))</f>
        <v>No</v>
      </c>
      <c r="T361" s="11" t="str">
        <f>IF(S361="No","No",
MROUND(_xlfn.XLOOKUP(B361,'Base stats'!B:B,'Base stats'!BH:BH) * 0.01 * 2 + 0.05, 0.05)
)</f>
        <v>No</v>
      </c>
      <c r="U361" s="5" t="str">
        <f>IF(S361="No","No",IF(_xlfn.XLOOKUP(B361,'Base stats'!B:B,'Base stats'!U:U)="No","No",
MROUND(_xlfn.XLOOKUP(B361,'Base stats'!B:B,'Base stats'!BT:BT)/10000+0.01,0.01)
))</f>
        <v>No</v>
      </c>
      <c r="V361" s="4" t="str">
        <f>IF(S361="No","No",
MROUND(_xlfn.XLOOKUP(B361,'Base stats'!B:B,'Base stats'!BF:BF)^0.25
/((_xlfn.XLOOKUP(B361,'Base stats'!B:B,'Base stats'!BO:BO))*10)*_xlfn.XLOOKUP(_xlfn.XLOOKUP(B361,'Base stats'!B:B,'Base stats'!E:E),Groups!A:A,Groups!AE:AE)*150 + 0.5 + _xlfn.XLOOKUP(B361,'Base stats'!B:B,'Base stats'!BW:BW),
0.05))</f>
        <v>No</v>
      </c>
      <c r="W361" s="8">
        <f>MROUND(_xlfn.XLOOKUP(_xlfn.XLOOKUP(B361,'Base stats'!B:B,'Base stats'!E:E),Groups!A:A,Groups!BG:BG)*_xlfn.XLOOKUP(B361,'Base stats'!B:B,'Base stats'!C:C)^-0.165,0.05)</f>
        <v>0.45</v>
      </c>
      <c r="X361" s="1">
        <f>MROUND(_xlfn.XLOOKUP(_xlfn.XLOOKUP(B361,'Base stats'!B:B,'Base stats'!E:E),Groups!A:A,Groups!BH:BH)*_xlfn.XLOOKUP(B361,'Base stats'!B:B,'Base stats'!C:C)^0.165,0.05)</f>
        <v>0.35000000000000003</v>
      </c>
      <c r="Y361" s="8">
        <f>MROUND(_xlfn.XLOOKUP(_xlfn.XLOOKUP(B361,'Base stats'!B:B,'Base stats'!E:E),Groups!A:A,Groups!BI:BI)*_xlfn.XLOOKUP(B361,'Base stats'!B:B,'Base stats'!C:C)^0.165,0.05)</f>
        <v>0.05</v>
      </c>
      <c r="Z361" s="18">
        <f>MROUND(_xlfn.XLOOKUP(B361,'Base stats'!B:B,'Base stats'!AQ:AQ)*_xlfn.XLOOKUP(_xlfn.XLOOKUP(B361,'Base stats'!B:B,'Base stats'!E:E),Groups!A:A,Groups!H:H)/1000,IF((_xlfn.XLOOKUP(B361,'Base stats'!B:B,'Base stats'!AQ:AQ)*_xlfn.XLOOKUP(_xlfn.XLOOKUP(B361,'Base stats'!B:B,'Base stats'!E:E),Groups!A:A,Groups!H:H)/1000)&gt;1,0.05,0.01))</f>
        <v>0.05</v>
      </c>
      <c r="AA361" s="18">
        <f>MROUND((1/2)*(_xlfn.XLOOKUP(_xlfn.XLOOKUP(B361,'Base stats'!B:B,'Base stats'!E:E),Groups!A:A,Groups!H:H)*_xlfn.XLOOKUP(_xlfn.XLOOKUP(B361,'Base stats'!B:B,'Base stats'!E:E),Groups!A:A,Groups!I:I))*_xlfn.XLOOKUP(B361,'Base stats'!B:B,'Base stats'!AQ:AQ)*0.01,0.05)</f>
        <v>0.1</v>
      </c>
      <c r="AB361" s="18">
        <f>MROUND(250*(Animals!AO361+Animals!AP361),25)</f>
        <v>300</v>
      </c>
      <c r="AC361" s="18" t="str">
        <f>_xlfn.XLOOKUP(_xlfn.XLOOKUP(B361,'Base stats'!B:B,'Base stats'!E:E),Groups!A:A,Groups!BJ:BJ)</f>
        <v>Birdlike</v>
      </c>
    </row>
    <row r="362" spans="1:29" ht="16.5" thickTop="1" thickBot="1" x14ac:dyDescent="0.3">
      <c r="A362" s="16" t="str">
        <f>Animals!A362</f>
        <v xml:space="preserve">Compsognathus </v>
      </c>
      <c r="B362" s="6" t="str">
        <f>Animals!B362</f>
        <v xml:space="preserve">Compsognathus longipes </v>
      </c>
      <c r="C362" s="1" t="str">
        <f>Animals!C362</f>
        <v>&lt;li&gt;Compsognathus&lt;/li&gt;</v>
      </c>
      <c r="D362" s="47">
        <f>MIN(MIN(6,_xlfn.XLOOKUP(A362,Animals!A:A,Animals!AO:AO))*20,MAX(MROUND(_xlfn.XLOOKUP(B362,'Base stats'!B:B,'Base stats'!BS:BS) * (_xlfn.XLOOKUP(B362,'Base stats'!B:B,'Base stats'!AO:AO)*5%)^0.9 / 21,0.1),0.05))</f>
        <v>0.2</v>
      </c>
      <c r="E362" s="11">
        <f>MROUND(_xlfn.XLOOKUP(B362,'Base stats'!B:B,'Base stats'!BG:BG) * 0.01 * 2 + 0.01, 0.05)</f>
        <v>0.15000000000000002</v>
      </c>
      <c r="F362" s="7">
        <f>MROUND(_xlfn.XLOOKUP(B362,'Base stats'!B:B,'Base stats'!BD:BD)^0.25 / (_xlfn.XLOOKUP(B362,'Base stats'!B:B,'Base stats'!BK:BK) * 10) * 150 + 0.5 + _xlfn.XLOOKUP(B362,'Base stats'!B:B,'Base stats'!BW:BW), 0.05)</f>
        <v>1.35</v>
      </c>
      <c r="G362" s="3" t="str">
        <f>IF(Animals!S362="No","No",
IF(_xlfn.XLOOKUP(B362,'Base stats'!B:B,'Base stats'!U:U)="No",
MAX(MROUND(_xlfn.XLOOKUP(B362,'Base stats'!B:B,'Base stats'!BT:BT) * _xlfn.XLOOKUP(B362,'Base stats'!B:B,'Base stats'!BP:BP)^0.9 / 21 * _xlfn.XLOOKUP(B362,'Base stats'!B:B,'Base stats'!BX:BX),0.1),0.05),
MAX(MROUND(((MIN(10,_xlfn.XLOOKUP(B362,'Base stats'!B:B,'Base stats'!U:U)))^0.4*_xlfn.XLOOKUP(B362,'Base stats'!B:B,'Base stats'!BH:BH)^0.73)^0.6 * _xlfn.XLOOKUP(B362,'Base stats'!B:B,'Base stats'!BX:BX),0.1),0.05)
))</f>
        <v>No</v>
      </c>
      <c r="H362" s="11" t="str">
        <f>IF(G362="No","No",
MROUND(_xlfn.XLOOKUP(B362,'Base stats'!B:B,'Base stats'!BH:BH) * 0.01 * 2 + 0.05, 0.05)
)</f>
        <v>No</v>
      </c>
      <c r="I362" s="11" t="str">
        <f>IF(G362="No","No",IF(_xlfn.XLOOKUP(B362,'Base stats'!B:B,'Base stats'!U:U)="No","No",
MROUND(_xlfn.XLOOKUP(B362,'Base stats'!B:B,'Base stats'!BT:BT)/10000+0.01,0.01)
))</f>
        <v>No</v>
      </c>
      <c r="J362" s="4" t="str">
        <f>IF(G362="No","No",
MROUND(_xlfn.XLOOKUP(B362,'Base stats'!B:B,'Base stats'!BE:BE)^0.25
/((_xlfn.XLOOKUP(B362,'Base stats'!B:B,'Base stats'!BL:BL))*10)*_xlfn.XLOOKUP(_xlfn.XLOOKUP(B362,'Base stats'!B:B,'Base stats'!E:E),Groups!A:A,Groups!Q:Q)*150 + 0.5 + _xlfn.XLOOKUP(B362,'Base stats'!B:B,'Base stats'!BW:BW),
0.05))</f>
        <v>No</v>
      </c>
      <c r="K362" s="3" t="str">
        <f>IF(Animals!X362="No","No",
IF(_xlfn.XLOOKUP(_xlfn.XLOOKUP(B362,'Base stats'!B:B,'Base stats'!E:E),Groups!A:A,Groups!BD:BD)=1,
MAX(MROUND(_xlfn.XLOOKUP(B362,'Base stats'!B:B,'Base stats'!BU:BU) * _xlfn.XLOOKUP(B362,'Base stats'!B:B,'Base stats'!BQ:BQ)^0.9 / 21 *_xlfn.XLOOKUP(B362,'Base stats'!B:B,'Base stats'!BX:BX),0.1),0.05),
MAX(MROUND(((MIN(10,_xlfn.XLOOKUP(B362,'Base stats'!B:B,'Base stats'!W:W)))^0.4*_xlfn.XLOOKUP(B362,'Base stats'!B:B,'Base stats'!BI:BI)^0.73)^0.6 *_xlfn.XLOOKUP(B362,'Base stats'!B:B,'Base stats'!BX:BX),0.1),0.05)
))</f>
        <v>No</v>
      </c>
      <c r="L362" s="11" t="str">
        <f>IF(K362="No","No",
MROUND(_xlfn.XLOOKUP(B362,'Base stats'!B:B,'Base stats'!BI:BI) * 0.01 *2 + 0.05, 0.05)
)</f>
        <v>No</v>
      </c>
      <c r="M362" s="5" t="str">
        <f>IF(K362="No","No",IF(_xlfn.XLOOKUP(_xlfn.XLOOKUP(B362,'Base stats'!B:B,'Base stats'!E:E),Groups!A:A,Groups!BD:BD)=1,"No",
MROUND(_xlfn.XLOOKUP(B362,'Base stats'!B:B,'Base stats'!BU:BU)/10000+0.01,0.01)
))</f>
        <v>No</v>
      </c>
      <c r="N362" s="4" t="str">
        <f>IF(K362="No","No",
MROUND(
  _xlfn.XLOOKUP(B362,'Base stats'!B:B,'Base stats'!BC:BC)^0.25
  / (_xlfn.XLOOKUP(B362,'Base stats'!B:B,'Base stats'!BM:BM) * 10)
  * _xlfn.XLOOKUP(
      _xlfn.XLOOKUP(B362,'Base stats'!B:B,'Base stats'!E:E),
      Groups!A:A,
      Groups!V:V
    ) * 150
  + MIN(12, _xlfn.XLOOKUP(B362,'Base stats'!B:B,'Base stats'!W:W))^(1/IF(_xlfn.XLOOKUP(_xlfn.XLOOKUP(B362,'Base stats'!B:B,'Base stats'!E:E),Groups!A:A,Groups!U:U)=1,100,10)) + 0.5 + _xlfn.XLOOKUP(B362,'Base stats'!B:B,'Base stats'!BW:BW),
0.05))</f>
        <v>No</v>
      </c>
      <c r="O362" s="3">
        <f>IF(Animals!AD362="No","No",
MAX(MROUND((MIN(10,_xlfn.XLOOKUP(B362,'Base stats'!B:B,'Base stats'!V:V)*IF(_xlfn.XLOOKUP(_xlfn.XLOOKUP(B362,'Base stats'!B:B,'Base stats'!E:E),Groups!A:A,Groups!O:O)=0,1,0.33))^0.4*_xlfn.XLOOKUP(B362,'Base stats'!B:B,'Base stats'!BJ:BJ)^0.73)^0.6 *_xlfn.XLOOKUP(B362,'Base stats'!B:B,'Base stats'!BX:BX),0.1),0.05)
)</f>
        <v>2.2000000000000002</v>
      </c>
      <c r="P362" s="11">
        <f>IF(O362="No","No",
MROUND(_xlfn.XLOOKUP(B362,'Base stats'!B:B,'Base stats'!BJ:BJ) * 0.01 * 2 + 0.05, 0.05)
)</f>
        <v>0.25</v>
      </c>
      <c r="Q362" s="5">
        <f>IF(O362="No","No",
MROUND(_xlfn.XLOOKUP(B362,'Base stats'!B:B,'Base stats'!BV:BV)/10000+0.01,0.01)
)</f>
        <v>0.05</v>
      </c>
      <c r="R362" s="4">
        <f>IF(O362="No","No",
MROUND(_xlfn.XLOOKUP(B362,'Base stats'!B:B,'Base stats'!BB:BB)^0.25
/((_xlfn.XLOOKUP(B362,'Base stats'!B:B,'Base stats'!BN:BN))*10)*_xlfn.XLOOKUP(_xlfn.XLOOKUP(B362,'Base stats'!B:B,'Base stats'!E:E),Groups!A:A,Groups!Z:Z)*150 + 0.5 + _xlfn.XLOOKUP(B362,'Base stats'!B:B,'Base stats'!BW:BW),
0.05))</f>
        <v>1.7000000000000002</v>
      </c>
      <c r="S362" s="3">
        <f>IF(Animals!AI362="No","No",
IF(_xlfn.XLOOKUP(B362,'Base stats'!B:B,'Base stats'!U:U)="No",
MAX(MROUND(_xlfn.XLOOKUP(B362,'Base stats'!B:B,'Base stats'!BT:BT) * _xlfn.XLOOKUP(B362,'Base stats'!B:B,'Base stats'!BP:BP)^0.9 / 21 * _xlfn.XLOOKUP(B362,'Base stats'!B:B,'Base stats'!BX:BX),0.1),0.05),
MAX(MROUND(((MIN(12,_xlfn.XLOOKUP(B362,'Base stats'!B:B,'Base stats'!U:U)))^0.4*_xlfn.XLOOKUP(B362,'Base stats'!B:B,'Base stats'!BH:BH)^0.73)^0.6 * _xlfn.XLOOKUP(B362,'Base stats'!B:B,'Base stats'!BX:BX),0.1),0.05)
))</f>
        <v>2.3000000000000003</v>
      </c>
      <c r="T362" s="11">
        <f>IF(S362="No","No",
MROUND(_xlfn.XLOOKUP(B362,'Base stats'!B:B,'Base stats'!BH:BH) * 0.01 * 2 + 0.05, 0.05)
)</f>
        <v>0.25</v>
      </c>
      <c r="U362" s="5">
        <f>IF(S362="No","No",IF(_xlfn.XLOOKUP(B362,'Base stats'!B:B,'Base stats'!U:U)="No","No",
MROUND(_xlfn.XLOOKUP(B362,'Base stats'!B:B,'Base stats'!BT:BT)/10000+0.01,0.01)
))</f>
        <v>0.05</v>
      </c>
      <c r="V362" s="4">
        <f>IF(S362="No","No",
MROUND(_xlfn.XLOOKUP(B362,'Base stats'!B:B,'Base stats'!BF:BF)^0.25
/((_xlfn.XLOOKUP(B362,'Base stats'!B:B,'Base stats'!BO:BO))*10)*_xlfn.XLOOKUP(_xlfn.XLOOKUP(B362,'Base stats'!B:B,'Base stats'!E:E),Groups!A:A,Groups!AE:AE)*150 + 0.5 + _xlfn.XLOOKUP(B362,'Base stats'!B:B,'Base stats'!BW:BW),
0.05))</f>
        <v>1.2000000000000002</v>
      </c>
      <c r="W362" s="8">
        <f>MROUND(_xlfn.XLOOKUP(_xlfn.XLOOKUP(B362,'Base stats'!B:B,'Base stats'!E:E),Groups!A:A,Groups!BG:BG)*_xlfn.XLOOKUP(B362,'Base stats'!B:B,'Base stats'!C:C)^-0.165,0.05)</f>
        <v>0.55000000000000004</v>
      </c>
      <c r="X362" s="1">
        <f>MROUND(_xlfn.XLOOKUP(_xlfn.XLOOKUP(B362,'Base stats'!B:B,'Base stats'!E:E),Groups!A:A,Groups!BH:BH)*_xlfn.XLOOKUP(B362,'Base stats'!B:B,'Base stats'!C:C)^0.165,0.05)</f>
        <v>0.25</v>
      </c>
      <c r="Y362" s="8">
        <f>MROUND(_xlfn.XLOOKUP(_xlfn.XLOOKUP(B362,'Base stats'!B:B,'Base stats'!E:E),Groups!A:A,Groups!BI:BI)*_xlfn.XLOOKUP(B362,'Base stats'!B:B,'Base stats'!C:C)^0.165,0.05)</f>
        <v>0.05</v>
      </c>
      <c r="Z362" s="18">
        <f>MROUND(_xlfn.XLOOKUP(B362,'Base stats'!B:B,'Base stats'!AQ:AQ)*_xlfn.XLOOKUP(_xlfn.XLOOKUP(B362,'Base stats'!B:B,'Base stats'!E:E),Groups!A:A,Groups!H:H)/1000,IF((_xlfn.XLOOKUP(B362,'Base stats'!B:B,'Base stats'!AQ:AQ)*_xlfn.XLOOKUP(_xlfn.XLOOKUP(B362,'Base stats'!B:B,'Base stats'!E:E),Groups!A:A,Groups!H:H)/1000)&gt;1,0.05,0.01))</f>
        <v>0.03</v>
      </c>
      <c r="AA362" s="18">
        <f>MROUND((1/2)*(_xlfn.XLOOKUP(_xlfn.XLOOKUP(B362,'Base stats'!B:B,'Base stats'!E:E),Groups!A:A,Groups!H:H)*_xlfn.XLOOKUP(_xlfn.XLOOKUP(B362,'Base stats'!B:B,'Base stats'!E:E),Groups!A:A,Groups!I:I))*_xlfn.XLOOKUP(B362,'Base stats'!B:B,'Base stats'!AQ:AQ)*0.01,0.05)</f>
        <v>0.05</v>
      </c>
      <c r="AB362" s="18">
        <f>MROUND(250*(Animals!AO362+Animals!AP362),25)</f>
        <v>150</v>
      </c>
      <c r="AC362" s="18" t="str">
        <f>_xlfn.XLOOKUP(_xlfn.XLOOKUP(B362,'Base stats'!B:B,'Base stats'!E:E),Groups!A:A,Groups!BJ:BJ)</f>
        <v>Birdlike</v>
      </c>
    </row>
    <row r="363" spans="1:29" ht="16.5" thickTop="1" thickBot="1" x14ac:dyDescent="0.3">
      <c r="A363" s="16" t="str">
        <f>Animals!A363</f>
        <v>Gallimimus</v>
      </c>
      <c r="B363" s="6" t="str">
        <f>Animals!B363</f>
        <v>Gallimimus bullatus</v>
      </c>
      <c r="C363" s="1" t="str">
        <f>Animals!C363</f>
        <v>&lt;li&gt;Gallimimus&lt;/li&gt;</v>
      </c>
      <c r="D363" s="47">
        <f>MIN(MIN(6,_xlfn.XLOOKUP(A363,Animals!A:A,Animals!AO:AO))*20,MAX(MROUND(_xlfn.XLOOKUP(B363,'Base stats'!B:B,'Base stats'!BS:BS) * (_xlfn.XLOOKUP(B363,'Base stats'!B:B,'Base stats'!AO:AO)*5%)^0.9 / 21,0.1),0.05))</f>
        <v>13</v>
      </c>
      <c r="E363" s="11">
        <f>MROUND(_xlfn.XLOOKUP(B363,'Base stats'!B:B,'Base stats'!BG:BG) * 0.01 * 2 + 0.01, 0.05)</f>
        <v>12.350000000000001</v>
      </c>
      <c r="F363" s="7">
        <f>MROUND(_xlfn.XLOOKUP(B363,'Base stats'!B:B,'Base stats'!BD:BD)^0.25 / (_xlfn.XLOOKUP(B363,'Base stats'!B:B,'Base stats'!BK:BK) * 10) * 150 + 0.5 + _xlfn.XLOOKUP(B363,'Base stats'!B:B,'Base stats'!BW:BW), 0.05)</f>
        <v>1.85</v>
      </c>
      <c r="G363" s="3" t="str">
        <f>IF(Animals!S363="No","No",
IF(_xlfn.XLOOKUP(B363,'Base stats'!B:B,'Base stats'!U:U)="No",
MAX(MROUND(_xlfn.XLOOKUP(B363,'Base stats'!B:B,'Base stats'!BT:BT) * _xlfn.XLOOKUP(B363,'Base stats'!B:B,'Base stats'!BP:BP)^0.9 / 21 * _xlfn.XLOOKUP(B363,'Base stats'!B:B,'Base stats'!BX:BX),0.1),0.05),
MAX(MROUND(((MIN(10,_xlfn.XLOOKUP(B363,'Base stats'!B:B,'Base stats'!U:U)))^0.4*_xlfn.XLOOKUP(B363,'Base stats'!B:B,'Base stats'!BH:BH)^0.73)^0.6 * _xlfn.XLOOKUP(B363,'Base stats'!B:B,'Base stats'!BX:BX),0.1),0.05)
))</f>
        <v>No</v>
      </c>
      <c r="H363" s="11" t="str">
        <f>IF(G363="No","No",
MROUND(_xlfn.XLOOKUP(B363,'Base stats'!B:B,'Base stats'!BH:BH) * 0.01 * 2 + 0.05, 0.05)
)</f>
        <v>No</v>
      </c>
      <c r="I363" s="11" t="str">
        <f>IF(G363="No","No",IF(_xlfn.XLOOKUP(B363,'Base stats'!B:B,'Base stats'!U:U)="No","No",
MROUND(_xlfn.XLOOKUP(B363,'Base stats'!B:B,'Base stats'!BT:BT)/10000+0.01,0.01)
))</f>
        <v>No</v>
      </c>
      <c r="J363" s="4" t="str">
        <f>IF(G363="No","No",
MROUND(_xlfn.XLOOKUP(B363,'Base stats'!B:B,'Base stats'!BE:BE)^0.25
/((_xlfn.XLOOKUP(B363,'Base stats'!B:B,'Base stats'!BL:BL))*10)*_xlfn.XLOOKUP(_xlfn.XLOOKUP(B363,'Base stats'!B:B,'Base stats'!E:E),Groups!A:A,Groups!Q:Q)*150 + 0.5 + _xlfn.XLOOKUP(B363,'Base stats'!B:B,'Base stats'!BW:BW),
0.05))</f>
        <v>No</v>
      </c>
      <c r="K363" s="3" t="str">
        <f>IF(Animals!X363="No","No",
IF(_xlfn.XLOOKUP(_xlfn.XLOOKUP(B363,'Base stats'!B:B,'Base stats'!E:E),Groups!A:A,Groups!BD:BD)=1,
MAX(MROUND(_xlfn.XLOOKUP(B363,'Base stats'!B:B,'Base stats'!BU:BU) * _xlfn.XLOOKUP(B363,'Base stats'!B:B,'Base stats'!BQ:BQ)^0.9 / 21 *_xlfn.XLOOKUP(B363,'Base stats'!B:B,'Base stats'!BX:BX),0.1),0.05),
MAX(MROUND(((MIN(10,_xlfn.XLOOKUP(B363,'Base stats'!B:B,'Base stats'!W:W)))^0.4*_xlfn.XLOOKUP(B363,'Base stats'!B:B,'Base stats'!BI:BI)^0.73)^0.6 *_xlfn.XLOOKUP(B363,'Base stats'!B:B,'Base stats'!BX:BX),0.1),0.05)
))</f>
        <v>No</v>
      </c>
      <c r="L363" s="11" t="str">
        <f>IF(K363="No","No",
MROUND(_xlfn.XLOOKUP(B363,'Base stats'!B:B,'Base stats'!BI:BI) * 0.01 *2 + 0.05, 0.05)
)</f>
        <v>No</v>
      </c>
      <c r="M363" s="5" t="str">
        <f>IF(K363="No","No",IF(_xlfn.XLOOKUP(_xlfn.XLOOKUP(B363,'Base stats'!B:B,'Base stats'!E:E),Groups!A:A,Groups!BD:BD)=1,"No",
MROUND(_xlfn.XLOOKUP(B363,'Base stats'!B:B,'Base stats'!BU:BU)/10000+0.01,0.01)
))</f>
        <v>No</v>
      </c>
      <c r="N363" s="4" t="str">
        <f>IF(K363="No","No",
MROUND(
  _xlfn.XLOOKUP(B363,'Base stats'!B:B,'Base stats'!BC:BC)^0.25
  / (_xlfn.XLOOKUP(B363,'Base stats'!B:B,'Base stats'!BM:BM) * 10)
  * _xlfn.XLOOKUP(
      _xlfn.XLOOKUP(B363,'Base stats'!B:B,'Base stats'!E:E),
      Groups!A:A,
      Groups!V:V
    ) * 150
  + MIN(12, _xlfn.XLOOKUP(B363,'Base stats'!B:B,'Base stats'!W:W))^(1/IF(_xlfn.XLOOKUP(_xlfn.XLOOKUP(B363,'Base stats'!B:B,'Base stats'!E:E),Groups!A:A,Groups!U:U)=1,100,10)) + 0.5 + _xlfn.XLOOKUP(B363,'Base stats'!B:B,'Base stats'!BW:BW),
0.05))</f>
        <v>No</v>
      </c>
      <c r="O363" s="3">
        <f>IF(Animals!AD363="No","No",
MAX(MROUND((MIN(10,_xlfn.XLOOKUP(B363,'Base stats'!B:B,'Base stats'!V:V)*IF(_xlfn.XLOOKUP(_xlfn.XLOOKUP(B363,'Base stats'!B:B,'Base stats'!E:E),Groups!A:A,Groups!O:O)=0,1,0.33))^0.4*_xlfn.XLOOKUP(B363,'Base stats'!B:B,'Base stats'!BJ:BJ)^0.73)^0.6 *_xlfn.XLOOKUP(B363,'Base stats'!B:B,'Base stats'!BX:BX),0.1),0.05)
)</f>
        <v>4.4000000000000004</v>
      </c>
      <c r="P363" s="11">
        <f>IF(O363="No","No",
MROUND(_xlfn.XLOOKUP(B363,'Base stats'!B:B,'Base stats'!BJ:BJ) * 0.01 * 2 + 0.05, 0.05)
)</f>
        <v>0.4</v>
      </c>
      <c r="Q363" s="5">
        <f>IF(O363="No","No",
MROUND(_xlfn.XLOOKUP(B363,'Base stats'!B:B,'Base stats'!BV:BV)/10000+0.01,0.01)
)</f>
        <v>0.02</v>
      </c>
      <c r="R363" s="4">
        <f>IF(O363="No","No",
MROUND(_xlfn.XLOOKUP(B363,'Base stats'!B:B,'Base stats'!BB:BB)^0.25
/((_xlfn.XLOOKUP(B363,'Base stats'!B:B,'Base stats'!BN:BN))*10)*_xlfn.XLOOKUP(_xlfn.XLOOKUP(B363,'Base stats'!B:B,'Base stats'!E:E),Groups!A:A,Groups!Z:Z)*150 + 0.5 + _xlfn.XLOOKUP(B363,'Base stats'!B:B,'Base stats'!BW:BW),
0.05))</f>
        <v>3.6500000000000004</v>
      </c>
      <c r="S363" s="3" t="str">
        <f>IF(Animals!AI363="No","No",
IF(_xlfn.XLOOKUP(B363,'Base stats'!B:B,'Base stats'!U:U)="No",
MAX(MROUND(_xlfn.XLOOKUP(B363,'Base stats'!B:B,'Base stats'!BT:BT) * _xlfn.XLOOKUP(B363,'Base stats'!B:B,'Base stats'!BP:BP)^0.9 / 21 * _xlfn.XLOOKUP(B363,'Base stats'!B:B,'Base stats'!BX:BX),0.1),0.05),
MAX(MROUND(((MIN(12,_xlfn.XLOOKUP(B363,'Base stats'!B:B,'Base stats'!U:U)))^0.4*_xlfn.XLOOKUP(B363,'Base stats'!B:B,'Base stats'!BH:BH)^0.73)^0.6 * _xlfn.XLOOKUP(B363,'Base stats'!B:B,'Base stats'!BX:BX),0.1),0.05)
))</f>
        <v>No</v>
      </c>
      <c r="T363" s="11" t="str">
        <f>IF(S363="No","No",
MROUND(_xlfn.XLOOKUP(B363,'Base stats'!B:B,'Base stats'!BH:BH) * 0.01 * 2 + 0.05, 0.05)
)</f>
        <v>No</v>
      </c>
      <c r="U363" s="5" t="str">
        <f>IF(S363="No","No",IF(_xlfn.XLOOKUP(B363,'Base stats'!B:B,'Base stats'!U:U)="No","No",
MROUND(_xlfn.XLOOKUP(B363,'Base stats'!B:B,'Base stats'!BT:BT)/10000+0.01,0.01)
))</f>
        <v>No</v>
      </c>
      <c r="V363" s="4" t="str">
        <f>IF(S363="No","No",
MROUND(_xlfn.XLOOKUP(B363,'Base stats'!B:B,'Base stats'!BF:BF)^0.25
/((_xlfn.XLOOKUP(B363,'Base stats'!B:B,'Base stats'!BO:BO))*10)*_xlfn.XLOOKUP(_xlfn.XLOOKUP(B363,'Base stats'!B:B,'Base stats'!E:E),Groups!A:A,Groups!AE:AE)*150 + 0.5 + _xlfn.XLOOKUP(B363,'Base stats'!B:B,'Base stats'!BW:BW),
0.05))</f>
        <v>No</v>
      </c>
      <c r="W363" s="8">
        <f>MROUND(_xlfn.XLOOKUP(_xlfn.XLOOKUP(B363,'Base stats'!B:B,'Base stats'!E:E),Groups!A:A,Groups!BG:BG)*_xlfn.XLOOKUP(B363,'Base stats'!B:B,'Base stats'!C:C)^-0.165,0.05)</f>
        <v>0.25</v>
      </c>
      <c r="X363" s="1">
        <f>MROUND(_xlfn.XLOOKUP(_xlfn.XLOOKUP(B363,'Base stats'!B:B,'Base stats'!E:E),Groups!A:A,Groups!BH:BH)*_xlfn.XLOOKUP(B363,'Base stats'!B:B,'Base stats'!C:C)^0.165,0.05)</f>
        <v>0</v>
      </c>
      <c r="Y363" s="8">
        <f>MROUND(_xlfn.XLOOKUP(_xlfn.XLOOKUP(B363,'Base stats'!B:B,'Base stats'!E:E),Groups!A:A,Groups!BI:BI)*_xlfn.XLOOKUP(B363,'Base stats'!B:B,'Base stats'!C:C)^0.165,0.05)</f>
        <v>0.05</v>
      </c>
      <c r="Z363" s="18">
        <f>MROUND(_xlfn.XLOOKUP(B363,'Base stats'!B:B,'Base stats'!AQ:AQ)*_xlfn.XLOOKUP(_xlfn.XLOOKUP(B363,'Base stats'!B:B,'Base stats'!E:E),Groups!A:A,Groups!H:H)/1000,IF((_xlfn.XLOOKUP(B363,'Base stats'!B:B,'Base stats'!AQ:AQ)*_xlfn.XLOOKUP(_xlfn.XLOOKUP(B363,'Base stats'!B:B,'Base stats'!E:E),Groups!A:A,Groups!H:H)/1000)&gt;1,0.05,0.01))</f>
        <v>0.12</v>
      </c>
      <c r="AA363" s="18">
        <f>MROUND((1/2)*(_xlfn.XLOOKUP(_xlfn.XLOOKUP(B363,'Base stats'!B:B,'Base stats'!E:E),Groups!A:A,Groups!H:H)*_xlfn.XLOOKUP(_xlfn.XLOOKUP(B363,'Base stats'!B:B,'Base stats'!E:E),Groups!A:A,Groups!I:I))*_xlfn.XLOOKUP(B363,'Base stats'!B:B,'Base stats'!AQ:AQ)*0.01,0.05)</f>
        <v>0.25</v>
      </c>
      <c r="AB363" s="18">
        <f>MROUND(250*(Animals!AO363+Animals!AP363),25)</f>
        <v>1650</v>
      </c>
      <c r="AC363" s="18" t="str">
        <f>_xlfn.XLOOKUP(_xlfn.XLOOKUP(B363,'Base stats'!B:B,'Base stats'!E:E),Groups!A:A,Groups!BJ:BJ)</f>
        <v>Birdlike</v>
      </c>
    </row>
    <row r="364" spans="1:29" ht="16.5" thickTop="1" thickBot="1" x14ac:dyDescent="0.3">
      <c r="A364" s="16" t="str">
        <f>Animals!A364</f>
        <v>Gigantoraptor</v>
      </c>
      <c r="B364" s="6" t="str">
        <f>Animals!B364</f>
        <v>Gigantoraptor erlianensis</v>
      </c>
      <c r="C364" s="1" t="str">
        <f>Animals!C364</f>
        <v>&lt;li&gt;Gigantoraptor&lt;/li&gt;</v>
      </c>
      <c r="D364" s="47">
        <f>MIN(MIN(6,_xlfn.XLOOKUP(A364,Animals!A:A,Animals!AO:AO))*20,MAX(MROUND(_xlfn.XLOOKUP(B364,'Base stats'!B:B,'Base stats'!BS:BS) * (_xlfn.XLOOKUP(B364,'Base stats'!B:B,'Base stats'!AO:AO)*5%)^0.9 / 21,0.1),0.05))</f>
        <v>39.700000000000003</v>
      </c>
      <c r="E364" s="11">
        <f>MROUND(_xlfn.XLOOKUP(B364,'Base stats'!B:B,'Base stats'!BG:BG) * 0.01 * 2 + 0.01, 0.05)</f>
        <v>41</v>
      </c>
      <c r="F364" s="7">
        <f>MROUND(_xlfn.XLOOKUP(B364,'Base stats'!B:B,'Base stats'!BD:BD)^0.25 / (_xlfn.XLOOKUP(B364,'Base stats'!B:B,'Base stats'!BK:BK) * 10) * 150 + 0.5 + _xlfn.XLOOKUP(B364,'Base stats'!B:B,'Base stats'!BW:BW), 0.05)</f>
        <v>2.0500000000000003</v>
      </c>
      <c r="G364" s="3" t="str">
        <f>IF(Animals!S364="No","No",
IF(_xlfn.XLOOKUP(B364,'Base stats'!B:B,'Base stats'!U:U)="No",
MAX(MROUND(_xlfn.XLOOKUP(B364,'Base stats'!B:B,'Base stats'!BT:BT) * _xlfn.XLOOKUP(B364,'Base stats'!B:B,'Base stats'!BP:BP)^0.9 / 21 * _xlfn.XLOOKUP(B364,'Base stats'!B:B,'Base stats'!BX:BX),0.1),0.05),
MAX(MROUND(((MIN(10,_xlfn.XLOOKUP(B364,'Base stats'!B:B,'Base stats'!U:U)))^0.4*_xlfn.XLOOKUP(B364,'Base stats'!B:B,'Base stats'!BH:BH)^0.73)^0.6 * _xlfn.XLOOKUP(B364,'Base stats'!B:B,'Base stats'!BX:BX),0.1),0.05)
))</f>
        <v>No</v>
      </c>
      <c r="H364" s="11" t="str">
        <f>IF(G364="No","No",
MROUND(_xlfn.XLOOKUP(B364,'Base stats'!B:B,'Base stats'!BH:BH) * 0.01 * 2 + 0.05, 0.05)
)</f>
        <v>No</v>
      </c>
      <c r="I364" s="11" t="str">
        <f>IF(G364="No","No",IF(_xlfn.XLOOKUP(B364,'Base stats'!B:B,'Base stats'!U:U)="No","No",
MROUND(_xlfn.XLOOKUP(B364,'Base stats'!B:B,'Base stats'!BT:BT)/10000+0.01,0.01)
))</f>
        <v>No</v>
      </c>
      <c r="J364" s="4" t="str">
        <f>IF(G364="No","No",
MROUND(_xlfn.XLOOKUP(B364,'Base stats'!B:B,'Base stats'!BE:BE)^0.25
/((_xlfn.XLOOKUP(B364,'Base stats'!B:B,'Base stats'!BL:BL))*10)*_xlfn.XLOOKUP(_xlfn.XLOOKUP(B364,'Base stats'!B:B,'Base stats'!E:E),Groups!A:A,Groups!Q:Q)*150 + 0.5 + _xlfn.XLOOKUP(B364,'Base stats'!B:B,'Base stats'!BW:BW),
0.05))</f>
        <v>No</v>
      </c>
      <c r="K364" s="3" t="str">
        <f>IF(Animals!X364="No","No",
IF(_xlfn.XLOOKUP(_xlfn.XLOOKUP(B364,'Base stats'!B:B,'Base stats'!E:E),Groups!A:A,Groups!BD:BD)=1,
MAX(MROUND(_xlfn.XLOOKUP(B364,'Base stats'!B:B,'Base stats'!BU:BU) * _xlfn.XLOOKUP(B364,'Base stats'!B:B,'Base stats'!BQ:BQ)^0.9 / 21 *_xlfn.XLOOKUP(B364,'Base stats'!B:B,'Base stats'!BX:BX),0.1),0.05),
MAX(MROUND(((MIN(10,_xlfn.XLOOKUP(B364,'Base stats'!B:B,'Base stats'!W:W)))^0.4*_xlfn.XLOOKUP(B364,'Base stats'!B:B,'Base stats'!BI:BI)^0.73)^0.6 *_xlfn.XLOOKUP(B364,'Base stats'!B:B,'Base stats'!BX:BX),0.1),0.05)
))</f>
        <v>No</v>
      </c>
      <c r="L364" s="11" t="str">
        <f>IF(K364="No","No",
MROUND(_xlfn.XLOOKUP(B364,'Base stats'!B:B,'Base stats'!BI:BI) * 0.01 *2 + 0.05, 0.05)
)</f>
        <v>No</v>
      </c>
      <c r="M364" s="5" t="str">
        <f>IF(K364="No","No",IF(_xlfn.XLOOKUP(_xlfn.XLOOKUP(B364,'Base stats'!B:B,'Base stats'!E:E),Groups!A:A,Groups!BD:BD)=1,"No",
MROUND(_xlfn.XLOOKUP(B364,'Base stats'!B:B,'Base stats'!BU:BU)/10000+0.01,0.01)
))</f>
        <v>No</v>
      </c>
      <c r="N364" s="4" t="str">
        <f>IF(K364="No","No",
MROUND(
  _xlfn.XLOOKUP(B364,'Base stats'!B:B,'Base stats'!BC:BC)^0.25
  / (_xlfn.XLOOKUP(B364,'Base stats'!B:B,'Base stats'!BM:BM) * 10)
  * _xlfn.XLOOKUP(
      _xlfn.XLOOKUP(B364,'Base stats'!B:B,'Base stats'!E:E),
      Groups!A:A,
      Groups!V:V
    ) * 150
  + MIN(12, _xlfn.XLOOKUP(B364,'Base stats'!B:B,'Base stats'!W:W))^(1/IF(_xlfn.XLOOKUP(_xlfn.XLOOKUP(B364,'Base stats'!B:B,'Base stats'!E:E),Groups!A:A,Groups!U:U)=1,100,10)) + 0.5 + _xlfn.XLOOKUP(B364,'Base stats'!B:B,'Base stats'!BW:BW),
0.05))</f>
        <v>No</v>
      </c>
      <c r="O364" s="3">
        <f>IF(Animals!AD364="No","No",
MAX(MROUND((MIN(10,_xlfn.XLOOKUP(B364,'Base stats'!B:B,'Base stats'!V:V)*IF(_xlfn.XLOOKUP(_xlfn.XLOOKUP(B364,'Base stats'!B:B,'Base stats'!E:E),Groups!A:A,Groups!O:O)=0,1,0.33))^0.4*_xlfn.XLOOKUP(B364,'Base stats'!B:B,'Base stats'!BJ:BJ)^0.73)^0.6 *_xlfn.XLOOKUP(B364,'Base stats'!B:B,'Base stats'!BX:BX),0.1),0.05)
)</f>
        <v>29.700000000000003</v>
      </c>
      <c r="P364" s="11">
        <f>IF(O364="No","No",
MROUND(_xlfn.XLOOKUP(B364,'Base stats'!B:B,'Base stats'!BJ:BJ) * 0.01 * 2 + 0.05, 0.05)
)</f>
        <v>21.700000000000003</v>
      </c>
      <c r="Q364" s="5">
        <f>IF(O364="No","No",
MROUND(_xlfn.XLOOKUP(B364,'Base stats'!B:B,'Base stats'!BV:BV)/10000+0.01,0.01)
)</f>
        <v>0.34</v>
      </c>
      <c r="R364" s="4">
        <f>IF(O364="No","No",
MROUND(_xlfn.XLOOKUP(B364,'Base stats'!B:B,'Base stats'!BB:BB)^0.25
/((_xlfn.XLOOKUP(B364,'Base stats'!B:B,'Base stats'!BN:BN))*10)*_xlfn.XLOOKUP(_xlfn.XLOOKUP(B364,'Base stats'!B:B,'Base stats'!E:E),Groups!A:A,Groups!Z:Z)*150 + 0.5 + _xlfn.XLOOKUP(B364,'Base stats'!B:B,'Base stats'!BW:BW),
0.05))</f>
        <v>2.6500000000000004</v>
      </c>
      <c r="S364" s="3">
        <f>IF(Animals!AI364="No","No",
IF(_xlfn.XLOOKUP(B364,'Base stats'!B:B,'Base stats'!U:U)="No",
MAX(MROUND(_xlfn.XLOOKUP(B364,'Base stats'!B:B,'Base stats'!BT:BT) * _xlfn.XLOOKUP(B364,'Base stats'!B:B,'Base stats'!BP:BP)^0.9 / 21 * _xlfn.XLOOKUP(B364,'Base stats'!B:B,'Base stats'!BX:BX),0.1),0.05),
MAX(MROUND(((MIN(12,_xlfn.XLOOKUP(B364,'Base stats'!B:B,'Base stats'!U:U)))^0.4*_xlfn.XLOOKUP(B364,'Base stats'!B:B,'Base stats'!BH:BH)^0.73)^0.6 * _xlfn.XLOOKUP(B364,'Base stats'!B:B,'Base stats'!BX:BX),0.1),0.05)
))</f>
        <v>52.6</v>
      </c>
      <c r="T364" s="11">
        <f>IF(S364="No","No",
MROUND(_xlfn.XLOOKUP(B364,'Base stats'!B:B,'Base stats'!BH:BH) * 0.01 * 2 + 0.05, 0.05)
)</f>
        <v>43.6</v>
      </c>
      <c r="U364" s="5">
        <f>IF(S364="No","No",IF(_xlfn.XLOOKUP(B364,'Base stats'!B:B,'Base stats'!U:U)="No","No",
MROUND(_xlfn.XLOOKUP(B364,'Base stats'!B:B,'Base stats'!BT:BT)/10000+0.01,0.01)
))</f>
        <v>0.66</v>
      </c>
      <c r="V364" s="4">
        <f>IF(S364="No","No",
MROUND(_xlfn.XLOOKUP(B364,'Base stats'!B:B,'Base stats'!BF:BF)^0.25
/((_xlfn.XLOOKUP(B364,'Base stats'!B:B,'Base stats'!BO:BO))*10)*_xlfn.XLOOKUP(_xlfn.XLOOKUP(B364,'Base stats'!B:B,'Base stats'!E:E),Groups!A:A,Groups!AE:AE)*150 + 0.5 + _xlfn.XLOOKUP(B364,'Base stats'!B:B,'Base stats'!BW:BW),
0.05))</f>
        <v>2.2000000000000002</v>
      </c>
      <c r="W364" s="8">
        <f>MROUND(_xlfn.XLOOKUP(_xlfn.XLOOKUP(B364,'Base stats'!B:B,'Base stats'!E:E),Groups!A:A,Groups!BG:BG)*_xlfn.XLOOKUP(B364,'Base stats'!B:B,'Base stats'!C:C)^-0.165,0.05)</f>
        <v>0.2</v>
      </c>
      <c r="X364" s="1">
        <f>MROUND(_xlfn.XLOOKUP(_xlfn.XLOOKUP(B364,'Base stats'!B:B,'Base stats'!E:E),Groups!A:A,Groups!BH:BH)*_xlfn.XLOOKUP(B364,'Base stats'!B:B,'Base stats'!C:C)^0.165,0.05)</f>
        <v>0.35000000000000003</v>
      </c>
      <c r="Y364" s="8">
        <f>MROUND(_xlfn.XLOOKUP(_xlfn.XLOOKUP(B364,'Base stats'!B:B,'Base stats'!E:E),Groups!A:A,Groups!BI:BI)*_xlfn.XLOOKUP(B364,'Base stats'!B:B,'Base stats'!C:C)^0.165,0.05)</f>
        <v>0.1</v>
      </c>
      <c r="Z364" s="18">
        <f>MROUND(_xlfn.XLOOKUP(B364,'Base stats'!B:B,'Base stats'!AQ:AQ)*_xlfn.XLOOKUP(_xlfn.XLOOKUP(B364,'Base stats'!B:B,'Base stats'!E:E),Groups!A:A,Groups!H:H)/1000,IF((_xlfn.XLOOKUP(B364,'Base stats'!B:B,'Base stats'!AQ:AQ)*_xlfn.XLOOKUP(_xlfn.XLOOKUP(B364,'Base stats'!B:B,'Base stats'!E:E),Groups!A:A,Groups!H:H)/1000)&gt;1,0.05,0.01))</f>
        <v>0.18</v>
      </c>
      <c r="AA364" s="18">
        <f>MROUND((1/2)*(_xlfn.XLOOKUP(_xlfn.XLOOKUP(B364,'Base stats'!B:B,'Base stats'!E:E),Groups!A:A,Groups!H:H)*_xlfn.XLOOKUP(_xlfn.XLOOKUP(B364,'Base stats'!B:B,'Base stats'!E:E),Groups!A:A,Groups!I:I))*_xlfn.XLOOKUP(B364,'Base stats'!B:B,'Base stats'!AQ:AQ)*0.01,0.05)</f>
        <v>0.35000000000000003</v>
      </c>
      <c r="AB364" s="18">
        <f>MROUND(250*(Animals!AO364+Animals!AP364),25)</f>
        <v>2075</v>
      </c>
      <c r="AC364" s="18" t="str">
        <f>_xlfn.XLOOKUP(_xlfn.XLOOKUP(B364,'Base stats'!B:B,'Base stats'!E:E),Groups!A:A,Groups!BJ:BJ)</f>
        <v>Birdlike</v>
      </c>
    </row>
    <row r="365" spans="1:29" ht="16.5" thickTop="1" thickBot="1" x14ac:dyDescent="0.3">
      <c r="A365" s="16" t="str">
        <f>Animals!A365</f>
        <v>Iguanodon</v>
      </c>
      <c r="B365" s="6" t="str">
        <f>Animals!B365</f>
        <v>Iguanodon bernissartensis</v>
      </c>
      <c r="C365" s="1" t="str">
        <f>Animals!C365</f>
        <v>&lt;li&gt;Iguanodon&lt;/li&gt;</v>
      </c>
      <c r="D365" s="47">
        <f>MIN(MIN(6,_xlfn.XLOOKUP(A365,Animals!A:A,Animals!AO:AO))*20,MAX(MROUND(_xlfn.XLOOKUP(B365,'Base stats'!B:B,'Base stats'!BS:BS) * (_xlfn.XLOOKUP(B365,'Base stats'!B:B,'Base stats'!AO:AO)*5%)^0.9 / 21,0.1),0.05))</f>
        <v>32.700000000000003</v>
      </c>
      <c r="E365" s="11">
        <f>MROUND(_xlfn.XLOOKUP(B365,'Base stats'!B:B,'Base stats'!BG:BG) * 0.01 * 2 + 0.01, 0.05)</f>
        <v>35.050000000000004</v>
      </c>
      <c r="F365" s="7">
        <f>MROUND(_xlfn.XLOOKUP(B365,'Base stats'!B:B,'Base stats'!BD:BD)^0.25 / (_xlfn.XLOOKUP(B365,'Base stats'!B:B,'Base stats'!BK:BK) * 10) * 150 + 0.5 + _xlfn.XLOOKUP(B365,'Base stats'!B:B,'Base stats'!BW:BW), 0.05)</f>
        <v>2.95</v>
      </c>
      <c r="G365" s="3">
        <f>IF(Animals!S365="No","No",
IF(_xlfn.XLOOKUP(B365,'Base stats'!B:B,'Base stats'!U:U)="No",
MAX(MROUND(_xlfn.XLOOKUP(B365,'Base stats'!B:B,'Base stats'!BT:BT) * _xlfn.XLOOKUP(B365,'Base stats'!B:B,'Base stats'!BP:BP)^0.9 / 21 * _xlfn.XLOOKUP(B365,'Base stats'!B:B,'Base stats'!BX:BX),0.1),0.05),
MAX(MROUND(((MIN(10,_xlfn.XLOOKUP(B365,'Base stats'!B:B,'Base stats'!U:U)))^0.4*_xlfn.XLOOKUP(B365,'Base stats'!B:B,'Base stats'!BH:BH)^0.73)^0.6 * _xlfn.XLOOKUP(B365,'Base stats'!B:B,'Base stats'!BX:BX),0.1),0.05)
))</f>
        <v>43.5</v>
      </c>
      <c r="H365" s="11">
        <f>IF(G365="No","No",
MROUND(_xlfn.XLOOKUP(B365,'Base stats'!B:B,'Base stats'!BH:BH) * 0.01 * 2 + 0.05, 0.05)
)</f>
        <v>31.25</v>
      </c>
      <c r="I365" s="11">
        <f>IF(G365="No","No",IF(_xlfn.XLOOKUP(B365,'Base stats'!B:B,'Base stats'!U:U)="No","No",
MROUND(_xlfn.XLOOKUP(B365,'Base stats'!B:B,'Base stats'!BT:BT)/10000+0.01,0.01)
))</f>
        <v>0.38</v>
      </c>
      <c r="J365" s="4">
        <f>IF(G365="No","No",
MROUND(_xlfn.XLOOKUP(B365,'Base stats'!B:B,'Base stats'!BE:BE)^0.25
/((_xlfn.XLOOKUP(B365,'Base stats'!B:B,'Base stats'!BL:BL))*10)*_xlfn.XLOOKUP(_xlfn.XLOOKUP(B365,'Base stats'!B:B,'Base stats'!E:E),Groups!A:A,Groups!Q:Q)*150 + 0.5 + _xlfn.XLOOKUP(B365,'Base stats'!B:B,'Base stats'!BW:BW),
0.05))</f>
        <v>3.5500000000000003</v>
      </c>
      <c r="K365" s="3" t="str">
        <f>IF(Animals!X365="No","No",
IF(_xlfn.XLOOKUP(_xlfn.XLOOKUP(B365,'Base stats'!B:B,'Base stats'!E:E),Groups!A:A,Groups!BD:BD)=1,
MAX(MROUND(_xlfn.XLOOKUP(B365,'Base stats'!B:B,'Base stats'!BU:BU) * _xlfn.XLOOKUP(B365,'Base stats'!B:B,'Base stats'!BQ:BQ)^0.9 / 21 *_xlfn.XLOOKUP(B365,'Base stats'!B:B,'Base stats'!BX:BX),0.1),0.05),
MAX(MROUND(((MIN(10,_xlfn.XLOOKUP(B365,'Base stats'!B:B,'Base stats'!W:W)))^0.4*_xlfn.XLOOKUP(B365,'Base stats'!B:B,'Base stats'!BI:BI)^0.73)^0.6 *_xlfn.XLOOKUP(B365,'Base stats'!B:B,'Base stats'!BX:BX),0.1),0.05)
))</f>
        <v>No</v>
      </c>
      <c r="L365" s="11" t="str">
        <f>IF(K365="No","No",
MROUND(_xlfn.XLOOKUP(B365,'Base stats'!B:B,'Base stats'!BI:BI) * 0.01 *2 + 0.05, 0.05)
)</f>
        <v>No</v>
      </c>
      <c r="M365" s="5" t="str">
        <f>IF(K365="No","No",IF(_xlfn.XLOOKUP(_xlfn.XLOOKUP(B365,'Base stats'!B:B,'Base stats'!E:E),Groups!A:A,Groups!BD:BD)=1,"No",
MROUND(_xlfn.XLOOKUP(B365,'Base stats'!B:B,'Base stats'!BU:BU)/10000+0.01,0.01)
))</f>
        <v>No</v>
      </c>
      <c r="N365" s="4" t="str">
        <f>IF(K365="No","No",
MROUND(
  _xlfn.XLOOKUP(B365,'Base stats'!B:B,'Base stats'!BC:BC)^0.25
  / (_xlfn.XLOOKUP(B365,'Base stats'!B:B,'Base stats'!BM:BM) * 10)
  * _xlfn.XLOOKUP(
      _xlfn.XLOOKUP(B365,'Base stats'!B:B,'Base stats'!E:E),
      Groups!A:A,
      Groups!V:V
    ) * 150
  + MIN(12, _xlfn.XLOOKUP(B365,'Base stats'!B:B,'Base stats'!W:W))^(1/IF(_xlfn.XLOOKUP(_xlfn.XLOOKUP(B365,'Base stats'!B:B,'Base stats'!E:E),Groups!A:A,Groups!U:U)=1,100,10)) + 0.5 + _xlfn.XLOOKUP(B365,'Base stats'!B:B,'Base stats'!BW:BW),
0.05))</f>
        <v>No</v>
      </c>
      <c r="O365" s="3">
        <f>IF(Animals!AD365="No","No",
MAX(MROUND((MIN(10,_xlfn.XLOOKUP(B365,'Base stats'!B:B,'Base stats'!V:V)*IF(_xlfn.XLOOKUP(_xlfn.XLOOKUP(B365,'Base stats'!B:B,'Base stats'!E:E),Groups!A:A,Groups!O:O)=0,1,0.33))^0.4*_xlfn.XLOOKUP(B365,'Base stats'!B:B,'Base stats'!BJ:BJ)^0.73)^0.6 *_xlfn.XLOOKUP(B365,'Base stats'!B:B,'Base stats'!BX:BX),0.1),0.05)
)</f>
        <v>45</v>
      </c>
      <c r="P365" s="11">
        <f>IF(O365="No","No",
MROUND(_xlfn.XLOOKUP(B365,'Base stats'!B:B,'Base stats'!BJ:BJ) * 0.01 * 2 + 0.05, 0.05)
)</f>
        <v>33.700000000000003</v>
      </c>
      <c r="Q365" s="5">
        <f>IF(O365="No","No",
MROUND(_xlfn.XLOOKUP(B365,'Base stats'!B:B,'Base stats'!BV:BV)/10000+0.01,0.01)
)</f>
        <v>0.41000000000000003</v>
      </c>
      <c r="R365" s="4">
        <f>IF(O365="No","No",
MROUND(_xlfn.XLOOKUP(B365,'Base stats'!B:B,'Base stats'!BB:BB)^0.25
/((_xlfn.XLOOKUP(B365,'Base stats'!B:B,'Base stats'!BN:BN))*10)*_xlfn.XLOOKUP(_xlfn.XLOOKUP(B365,'Base stats'!B:B,'Base stats'!E:E),Groups!A:A,Groups!Z:Z)*150 + 0.5 + _xlfn.XLOOKUP(B365,'Base stats'!B:B,'Base stats'!BW:BW),
0.05))</f>
        <v>3.1500000000000004</v>
      </c>
      <c r="S365" s="3" t="str">
        <f>IF(Animals!AI365="No","No",
IF(_xlfn.XLOOKUP(B365,'Base stats'!B:B,'Base stats'!U:U)="No",
MAX(MROUND(_xlfn.XLOOKUP(B365,'Base stats'!B:B,'Base stats'!BT:BT) * _xlfn.XLOOKUP(B365,'Base stats'!B:B,'Base stats'!BP:BP)^0.9 / 21 * _xlfn.XLOOKUP(B365,'Base stats'!B:B,'Base stats'!BX:BX),0.1),0.05),
MAX(MROUND(((MIN(12,_xlfn.XLOOKUP(B365,'Base stats'!B:B,'Base stats'!U:U)))^0.4*_xlfn.XLOOKUP(B365,'Base stats'!B:B,'Base stats'!BH:BH)^0.73)^0.6 * _xlfn.XLOOKUP(B365,'Base stats'!B:B,'Base stats'!BX:BX),0.1),0.05)
))</f>
        <v>No</v>
      </c>
      <c r="T365" s="11" t="str">
        <f>IF(S365="No","No",
MROUND(_xlfn.XLOOKUP(B365,'Base stats'!B:B,'Base stats'!BH:BH) * 0.01 * 2 + 0.05, 0.05)
)</f>
        <v>No</v>
      </c>
      <c r="U365" s="5" t="str">
        <f>IF(S365="No","No",IF(_xlfn.XLOOKUP(B365,'Base stats'!B:B,'Base stats'!U:U)="No","No",
MROUND(_xlfn.XLOOKUP(B365,'Base stats'!B:B,'Base stats'!BT:BT)/10000+0.01,0.01)
))</f>
        <v>No</v>
      </c>
      <c r="V365" s="4" t="str">
        <f>IF(S365="No","No",
MROUND(_xlfn.XLOOKUP(B365,'Base stats'!B:B,'Base stats'!BF:BF)^0.25
/((_xlfn.XLOOKUP(B365,'Base stats'!B:B,'Base stats'!BO:BO))*10)*_xlfn.XLOOKUP(_xlfn.XLOOKUP(B365,'Base stats'!B:B,'Base stats'!E:E),Groups!A:A,Groups!AE:AE)*150 + 0.5 + _xlfn.XLOOKUP(B365,'Base stats'!B:B,'Base stats'!BW:BW),
0.05))</f>
        <v>No</v>
      </c>
      <c r="W365" s="8">
        <f>MROUND(_xlfn.XLOOKUP(_xlfn.XLOOKUP(B365,'Base stats'!B:B,'Base stats'!E:E),Groups!A:A,Groups!BG:BG)*_xlfn.XLOOKUP(B365,'Base stats'!B:B,'Base stats'!C:C)^-0.165,0.05)</f>
        <v>0.05</v>
      </c>
      <c r="X365" s="1">
        <f>MROUND(_xlfn.XLOOKUP(_xlfn.XLOOKUP(B365,'Base stats'!B:B,'Base stats'!E:E),Groups!A:A,Groups!BH:BH)*_xlfn.XLOOKUP(B365,'Base stats'!B:B,'Base stats'!C:C)^0.165,0.05)</f>
        <v>0.4</v>
      </c>
      <c r="Y365" s="8">
        <f>MROUND(_xlfn.XLOOKUP(_xlfn.XLOOKUP(B365,'Base stats'!B:B,'Base stats'!E:E),Groups!A:A,Groups!BI:BI)*_xlfn.XLOOKUP(B365,'Base stats'!B:B,'Base stats'!C:C)^0.165,0.05)</f>
        <v>0.1</v>
      </c>
      <c r="Z365" s="18">
        <f>MROUND(_xlfn.XLOOKUP(B365,'Base stats'!B:B,'Base stats'!AQ:AQ)*_xlfn.XLOOKUP(_xlfn.XLOOKUP(B365,'Base stats'!B:B,'Base stats'!E:E),Groups!A:A,Groups!H:H)/1000,IF((_xlfn.XLOOKUP(B365,'Base stats'!B:B,'Base stats'!AQ:AQ)*_xlfn.XLOOKUP(_xlfn.XLOOKUP(B365,'Base stats'!B:B,'Base stats'!E:E),Groups!A:A,Groups!H:H)/1000)&gt;1,0.05,0.01))</f>
        <v>0.21</v>
      </c>
      <c r="AA365" s="18">
        <f>MROUND((1/2)*(_xlfn.XLOOKUP(_xlfn.XLOOKUP(B365,'Base stats'!B:B,'Base stats'!E:E),Groups!A:A,Groups!H:H)*_xlfn.XLOOKUP(_xlfn.XLOOKUP(B365,'Base stats'!B:B,'Base stats'!E:E),Groups!A:A,Groups!I:I))*_xlfn.XLOOKUP(B365,'Base stats'!B:B,'Base stats'!AQ:AQ)*0.01,0.05)</f>
        <v>0.4</v>
      </c>
      <c r="AB365" s="18">
        <f>MROUND(250*(Animals!AO365+Animals!AP365),25)</f>
        <v>2375</v>
      </c>
      <c r="AC365" s="18" t="str">
        <f>_xlfn.XLOOKUP(_xlfn.XLOOKUP(B365,'Base stats'!B:B,'Base stats'!E:E),Groups!A:A,Groups!BJ:BJ)</f>
        <v>Quadruped</v>
      </c>
    </row>
    <row r="366" spans="1:29" ht="16.5" thickTop="1" thickBot="1" x14ac:dyDescent="0.3">
      <c r="A366" s="16" t="str">
        <f>Animals!A366</f>
        <v>Parasaur</v>
      </c>
      <c r="B366" s="6" t="str">
        <f>Animals!B366</f>
        <v>Parasaurolophus walkeri</v>
      </c>
      <c r="C366" s="1" t="str">
        <f>Animals!C366</f>
        <v>&lt;li&gt;Parasaur&lt;/li&gt;</v>
      </c>
      <c r="D366" s="47">
        <f>MIN(MIN(6,_xlfn.XLOOKUP(A366,Animals!A:A,Animals!AO:AO))*20,MAX(MROUND(_xlfn.XLOOKUP(B366,'Base stats'!B:B,'Base stats'!BS:BS) * (_xlfn.XLOOKUP(B366,'Base stats'!B:B,'Base stats'!AO:AO)*5%)^0.9 / 21,0.1),0.05))</f>
        <v>41.900000000000006</v>
      </c>
      <c r="E366" s="11">
        <f>MROUND(_xlfn.XLOOKUP(B366,'Base stats'!B:B,'Base stats'!BG:BG) * 0.01 * 2 + 0.01, 0.05)</f>
        <v>45.75</v>
      </c>
      <c r="F366" s="7">
        <f>MROUND(_xlfn.XLOOKUP(B366,'Base stats'!B:B,'Base stats'!BD:BD)^0.25 / (_xlfn.XLOOKUP(B366,'Base stats'!B:B,'Base stats'!BK:BK) * 10) * 150 + 0.5 + _xlfn.XLOOKUP(B366,'Base stats'!B:B,'Base stats'!BW:BW), 0.05)</f>
        <v>3.0500000000000003</v>
      </c>
      <c r="G366" s="3">
        <f>IF(Animals!S366="No","No",
IF(_xlfn.XLOOKUP(B366,'Base stats'!B:B,'Base stats'!U:U)="No",
MAX(MROUND(_xlfn.XLOOKUP(B366,'Base stats'!B:B,'Base stats'!BT:BT) * _xlfn.XLOOKUP(B366,'Base stats'!B:B,'Base stats'!BP:BP)^0.9 / 21 * _xlfn.XLOOKUP(B366,'Base stats'!B:B,'Base stats'!BX:BX),0.1),0.05),
MAX(MROUND(((MIN(10,_xlfn.XLOOKUP(B366,'Base stats'!B:B,'Base stats'!U:U)))^0.4*_xlfn.XLOOKUP(B366,'Base stats'!B:B,'Base stats'!BH:BH)^0.73)^0.6 * _xlfn.XLOOKUP(B366,'Base stats'!B:B,'Base stats'!BX:BX),0.1),0.05)
))</f>
        <v>49.1</v>
      </c>
      <c r="H366" s="11">
        <f>IF(G366="No","No",
MROUND(_xlfn.XLOOKUP(B366,'Base stats'!B:B,'Base stats'!BH:BH) * 0.01 * 2 + 0.05, 0.05)
)</f>
        <v>40.1</v>
      </c>
      <c r="I366" s="11" t="str">
        <f>IF(G366="No","No",IF(_xlfn.XLOOKUP(B366,'Base stats'!B:B,'Base stats'!U:U)="No","No",
MROUND(_xlfn.XLOOKUP(B366,'Base stats'!B:B,'Base stats'!BT:BT)/10000+0.01,0.01)
))</f>
        <v>No</v>
      </c>
      <c r="J366" s="4">
        <f>IF(G366="No","No",
MROUND(_xlfn.XLOOKUP(B366,'Base stats'!B:B,'Base stats'!BE:BE)^0.25
/((_xlfn.XLOOKUP(B366,'Base stats'!B:B,'Base stats'!BL:BL))*10)*_xlfn.XLOOKUP(_xlfn.XLOOKUP(B366,'Base stats'!B:B,'Base stats'!E:E),Groups!A:A,Groups!Q:Q)*150 + 0.5 + _xlfn.XLOOKUP(B366,'Base stats'!B:B,'Base stats'!BW:BW),
0.05))</f>
        <v>3.75</v>
      </c>
      <c r="K366" s="3" t="str">
        <f>IF(Animals!X366="No","No",
IF(_xlfn.XLOOKUP(_xlfn.XLOOKUP(B366,'Base stats'!B:B,'Base stats'!E:E),Groups!A:A,Groups!BD:BD)=1,
MAX(MROUND(_xlfn.XLOOKUP(B366,'Base stats'!B:B,'Base stats'!BU:BU) * _xlfn.XLOOKUP(B366,'Base stats'!B:B,'Base stats'!BQ:BQ)^0.9 / 21 *_xlfn.XLOOKUP(B366,'Base stats'!B:B,'Base stats'!BX:BX),0.1),0.05),
MAX(MROUND(((MIN(10,_xlfn.XLOOKUP(B366,'Base stats'!B:B,'Base stats'!W:W)))^0.4*_xlfn.XLOOKUP(B366,'Base stats'!B:B,'Base stats'!BI:BI)^0.73)^0.6 *_xlfn.XLOOKUP(B366,'Base stats'!B:B,'Base stats'!BX:BX),0.1),0.05)
))</f>
        <v>No</v>
      </c>
      <c r="L366" s="11" t="str">
        <f>IF(K366="No","No",
MROUND(_xlfn.XLOOKUP(B366,'Base stats'!B:B,'Base stats'!BI:BI) * 0.01 *2 + 0.05, 0.05)
)</f>
        <v>No</v>
      </c>
      <c r="M366" s="5" t="str">
        <f>IF(K366="No","No",IF(_xlfn.XLOOKUP(_xlfn.XLOOKUP(B366,'Base stats'!B:B,'Base stats'!E:E),Groups!A:A,Groups!BD:BD)=1,"No",
MROUND(_xlfn.XLOOKUP(B366,'Base stats'!B:B,'Base stats'!BU:BU)/10000+0.01,0.01)
))</f>
        <v>No</v>
      </c>
      <c r="N366" s="4" t="str">
        <f>IF(K366="No","No",
MROUND(
  _xlfn.XLOOKUP(B366,'Base stats'!B:B,'Base stats'!BC:BC)^0.25
  / (_xlfn.XLOOKUP(B366,'Base stats'!B:B,'Base stats'!BM:BM) * 10)
  * _xlfn.XLOOKUP(
      _xlfn.XLOOKUP(B366,'Base stats'!B:B,'Base stats'!E:E),
      Groups!A:A,
      Groups!V:V
    ) * 150
  + MIN(12, _xlfn.XLOOKUP(B366,'Base stats'!B:B,'Base stats'!W:W))^(1/IF(_xlfn.XLOOKUP(_xlfn.XLOOKUP(B366,'Base stats'!B:B,'Base stats'!E:E),Groups!A:A,Groups!U:U)=1,100,10)) + 0.5 + _xlfn.XLOOKUP(B366,'Base stats'!B:B,'Base stats'!BW:BW),
0.05))</f>
        <v>No</v>
      </c>
      <c r="O366" s="3" t="str">
        <f>IF(Animals!AD366="No","No",
MAX(MROUND((MIN(10,_xlfn.XLOOKUP(B366,'Base stats'!B:B,'Base stats'!V:V)*IF(_xlfn.XLOOKUP(_xlfn.XLOOKUP(B366,'Base stats'!B:B,'Base stats'!E:E),Groups!A:A,Groups!O:O)=0,1,0.33))^0.4*_xlfn.XLOOKUP(B366,'Base stats'!B:B,'Base stats'!BJ:BJ)^0.73)^0.6 *_xlfn.XLOOKUP(B366,'Base stats'!B:B,'Base stats'!BX:BX),0.1),0.05)
)</f>
        <v>No</v>
      </c>
      <c r="P366" s="11" t="str">
        <f>IF(O366="No","No",
MROUND(_xlfn.XLOOKUP(B366,'Base stats'!B:B,'Base stats'!BJ:BJ) * 0.01 * 2 + 0.05, 0.05)
)</f>
        <v>No</v>
      </c>
      <c r="Q366" s="5" t="str">
        <f>IF(O366="No","No",
MROUND(_xlfn.XLOOKUP(B366,'Base stats'!B:B,'Base stats'!BV:BV)/10000+0.01,0.01)
)</f>
        <v>No</v>
      </c>
      <c r="R366" s="4" t="str">
        <f>IF(O366="No","No",
MROUND(_xlfn.XLOOKUP(B366,'Base stats'!B:B,'Base stats'!BB:BB)^0.25
/((_xlfn.XLOOKUP(B366,'Base stats'!B:B,'Base stats'!BN:BN))*10)*_xlfn.XLOOKUP(_xlfn.XLOOKUP(B366,'Base stats'!B:B,'Base stats'!E:E),Groups!A:A,Groups!Z:Z)*150 + 0.5 + _xlfn.XLOOKUP(B366,'Base stats'!B:B,'Base stats'!BW:BW),
0.05))</f>
        <v>No</v>
      </c>
      <c r="S366" s="3" t="str">
        <f>IF(Animals!AI366="No","No",
IF(_xlfn.XLOOKUP(B366,'Base stats'!B:B,'Base stats'!U:U)="No",
MAX(MROUND(_xlfn.XLOOKUP(B366,'Base stats'!B:B,'Base stats'!BT:BT) * _xlfn.XLOOKUP(B366,'Base stats'!B:B,'Base stats'!BP:BP)^0.9 / 21 * _xlfn.XLOOKUP(B366,'Base stats'!B:B,'Base stats'!BX:BX),0.1),0.05),
MAX(MROUND(((MIN(12,_xlfn.XLOOKUP(B366,'Base stats'!B:B,'Base stats'!U:U)))^0.4*_xlfn.XLOOKUP(B366,'Base stats'!B:B,'Base stats'!BH:BH)^0.73)^0.6 * _xlfn.XLOOKUP(B366,'Base stats'!B:B,'Base stats'!BX:BX),0.1),0.05)
))</f>
        <v>No</v>
      </c>
      <c r="T366" s="11" t="str">
        <f>IF(S366="No","No",
MROUND(_xlfn.XLOOKUP(B366,'Base stats'!B:B,'Base stats'!BH:BH) * 0.01 * 2 + 0.05, 0.05)
)</f>
        <v>No</v>
      </c>
      <c r="U366" s="5" t="str">
        <f>IF(S366="No","No",IF(_xlfn.XLOOKUP(B366,'Base stats'!B:B,'Base stats'!U:U)="No","No",
MROUND(_xlfn.XLOOKUP(B366,'Base stats'!B:B,'Base stats'!BT:BT)/10000+0.01,0.01)
))</f>
        <v>No</v>
      </c>
      <c r="V366" s="4" t="str">
        <f>IF(S366="No","No",
MROUND(_xlfn.XLOOKUP(B366,'Base stats'!B:B,'Base stats'!BF:BF)^0.25
/((_xlfn.XLOOKUP(B366,'Base stats'!B:B,'Base stats'!BO:BO))*10)*_xlfn.XLOOKUP(_xlfn.XLOOKUP(B366,'Base stats'!B:B,'Base stats'!E:E),Groups!A:A,Groups!AE:AE)*150 + 0.5 + _xlfn.XLOOKUP(B366,'Base stats'!B:B,'Base stats'!BW:BW),
0.05))</f>
        <v>No</v>
      </c>
      <c r="W366" s="8">
        <f>MROUND(_xlfn.XLOOKUP(_xlfn.XLOOKUP(B366,'Base stats'!B:B,'Base stats'!E:E),Groups!A:A,Groups!BG:BG)*_xlfn.XLOOKUP(B366,'Base stats'!B:B,'Base stats'!C:C)^-0.165,0.05)</f>
        <v>0.05</v>
      </c>
      <c r="X366" s="1">
        <f>MROUND(_xlfn.XLOOKUP(_xlfn.XLOOKUP(B366,'Base stats'!B:B,'Base stats'!E:E),Groups!A:A,Groups!BH:BH)*_xlfn.XLOOKUP(B366,'Base stats'!B:B,'Base stats'!C:C)^0.165,0.05)</f>
        <v>0</v>
      </c>
      <c r="Y366" s="8">
        <f>MROUND(_xlfn.XLOOKUP(_xlfn.XLOOKUP(B366,'Base stats'!B:B,'Base stats'!E:E),Groups!A:A,Groups!BI:BI)*_xlfn.XLOOKUP(B366,'Base stats'!B:B,'Base stats'!C:C)^0.165,0.05)</f>
        <v>0.1</v>
      </c>
      <c r="Z366" s="18">
        <f>MROUND(_xlfn.XLOOKUP(B366,'Base stats'!B:B,'Base stats'!AQ:AQ)*_xlfn.XLOOKUP(_xlfn.XLOOKUP(B366,'Base stats'!B:B,'Base stats'!E:E),Groups!A:A,Groups!H:H)/1000,IF((_xlfn.XLOOKUP(B366,'Base stats'!B:B,'Base stats'!AQ:AQ)*_xlfn.XLOOKUP(_xlfn.XLOOKUP(B366,'Base stats'!B:B,'Base stats'!E:E),Groups!A:A,Groups!H:H)/1000)&gt;1,0.05,0.01))</f>
        <v>0.23</v>
      </c>
      <c r="AA366" s="18">
        <f>MROUND((1/2)*(_xlfn.XLOOKUP(_xlfn.XLOOKUP(B366,'Base stats'!B:B,'Base stats'!E:E),Groups!A:A,Groups!H:H)*_xlfn.XLOOKUP(_xlfn.XLOOKUP(B366,'Base stats'!B:B,'Base stats'!E:E),Groups!A:A,Groups!I:I))*_xlfn.XLOOKUP(B366,'Base stats'!B:B,'Base stats'!AQ:AQ)*0.01,0.05)</f>
        <v>0.45</v>
      </c>
      <c r="AB366" s="18">
        <f>MROUND(250*(Animals!AO366+Animals!AP366),25)</f>
        <v>2500</v>
      </c>
      <c r="AC366" s="18" t="str">
        <f>_xlfn.XLOOKUP(_xlfn.XLOOKUP(B366,'Base stats'!B:B,'Base stats'!E:E),Groups!A:A,Groups!BJ:BJ)</f>
        <v>Quadruped</v>
      </c>
    </row>
    <row r="367" spans="1:29" ht="16.5" thickTop="1" thickBot="1" x14ac:dyDescent="0.3">
      <c r="A367" s="16" t="str">
        <f>Animals!A367</f>
        <v>Corythosaurus</v>
      </c>
      <c r="B367" s="6" t="str">
        <f>Animals!B367</f>
        <v>Corythosaurus casuarius</v>
      </c>
      <c r="C367" s="1" t="str">
        <f>Animals!C367</f>
        <v>&lt;li&gt;Corythosaurus&lt;/li&gt;</v>
      </c>
      <c r="D367" s="47">
        <f>MIN(MIN(6,_xlfn.XLOOKUP(A367,Animals!A:A,Animals!AO:AO))*20,MAX(MROUND(_xlfn.XLOOKUP(B367,'Base stats'!B:B,'Base stats'!BS:BS) * (_xlfn.XLOOKUP(B367,'Base stats'!B:B,'Base stats'!AO:AO)*5%)^0.9 / 21,0.1),0.05))</f>
        <v>27.5</v>
      </c>
      <c r="E367" s="11">
        <f>MROUND(_xlfn.XLOOKUP(B367,'Base stats'!B:B,'Base stats'!BG:BG) * 0.01 * 2 + 0.01, 0.05)</f>
        <v>29.150000000000002</v>
      </c>
      <c r="F367" s="7">
        <f>MROUND(_xlfn.XLOOKUP(B367,'Base stats'!B:B,'Base stats'!BD:BD)^0.25 / (_xlfn.XLOOKUP(B367,'Base stats'!B:B,'Base stats'!BK:BK) * 10) * 150 + 0.5 + _xlfn.XLOOKUP(B367,'Base stats'!B:B,'Base stats'!BW:BW), 0.05)</f>
        <v>2.85</v>
      </c>
      <c r="G367" s="3">
        <f>IF(Animals!S367="No","No",
IF(_xlfn.XLOOKUP(B367,'Base stats'!B:B,'Base stats'!U:U)="No",
MAX(MROUND(_xlfn.XLOOKUP(B367,'Base stats'!B:B,'Base stats'!BT:BT) * _xlfn.XLOOKUP(B367,'Base stats'!B:B,'Base stats'!BP:BP)^0.9 / 21 * _xlfn.XLOOKUP(B367,'Base stats'!B:B,'Base stats'!BX:BX),0.1),0.05),
MAX(MROUND(((MIN(10,_xlfn.XLOOKUP(B367,'Base stats'!B:B,'Base stats'!U:U)))^0.4*_xlfn.XLOOKUP(B367,'Base stats'!B:B,'Base stats'!BH:BH)^0.73)^0.6 * _xlfn.XLOOKUP(B367,'Base stats'!B:B,'Base stats'!BX:BX),0.1),0.05)
))</f>
        <v>33.700000000000003</v>
      </c>
      <c r="H367" s="11">
        <f>IF(G367="No","No",
MROUND(_xlfn.XLOOKUP(B367,'Base stats'!B:B,'Base stats'!BH:BH) * 0.01 * 2 + 0.05, 0.05)
)</f>
        <v>26.3</v>
      </c>
      <c r="I367" s="11" t="str">
        <f>IF(G367="No","No",IF(_xlfn.XLOOKUP(B367,'Base stats'!B:B,'Base stats'!U:U)="No","No",
MROUND(_xlfn.XLOOKUP(B367,'Base stats'!B:B,'Base stats'!BT:BT)/10000+0.01,0.01)
))</f>
        <v>No</v>
      </c>
      <c r="J367" s="4">
        <f>IF(G367="No","No",
MROUND(_xlfn.XLOOKUP(B367,'Base stats'!B:B,'Base stats'!BE:BE)^0.25
/((_xlfn.XLOOKUP(B367,'Base stats'!B:B,'Base stats'!BL:BL))*10)*_xlfn.XLOOKUP(_xlfn.XLOOKUP(B367,'Base stats'!B:B,'Base stats'!E:E),Groups!A:A,Groups!Q:Q)*150 + 0.5 + _xlfn.XLOOKUP(B367,'Base stats'!B:B,'Base stats'!BW:BW),
0.05))</f>
        <v>3.75</v>
      </c>
      <c r="K367" s="3" t="str">
        <f>IF(Animals!X367="No","No",
IF(_xlfn.XLOOKUP(_xlfn.XLOOKUP(B367,'Base stats'!B:B,'Base stats'!E:E),Groups!A:A,Groups!BD:BD)=1,
MAX(MROUND(_xlfn.XLOOKUP(B367,'Base stats'!B:B,'Base stats'!BU:BU) * _xlfn.XLOOKUP(B367,'Base stats'!B:B,'Base stats'!BQ:BQ)^0.9 / 21 *_xlfn.XLOOKUP(B367,'Base stats'!B:B,'Base stats'!BX:BX),0.1),0.05),
MAX(MROUND(((MIN(10,_xlfn.XLOOKUP(B367,'Base stats'!B:B,'Base stats'!W:W)))^0.4*_xlfn.XLOOKUP(B367,'Base stats'!B:B,'Base stats'!BI:BI)^0.73)^0.6 *_xlfn.XLOOKUP(B367,'Base stats'!B:B,'Base stats'!BX:BX),0.1),0.05)
))</f>
        <v>No</v>
      </c>
      <c r="L367" s="11" t="str">
        <f>IF(K367="No","No",
MROUND(_xlfn.XLOOKUP(B367,'Base stats'!B:B,'Base stats'!BI:BI) * 0.01 *2 + 0.05, 0.05)
)</f>
        <v>No</v>
      </c>
      <c r="M367" s="5" t="str">
        <f>IF(K367="No","No",IF(_xlfn.XLOOKUP(_xlfn.XLOOKUP(B367,'Base stats'!B:B,'Base stats'!E:E),Groups!A:A,Groups!BD:BD)=1,"No",
MROUND(_xlfn.XLOOKUP(B367,'Base stats'!B:B,'Base stats'!BU:BU)/10000+0.01,0.01)
))</f>
        <v>No</v>
      </c>
      <c r="N367" s="4" t="str">
        <f>IF(K367="No","No",
MROUND(
  _xlfn.XLOOKUP(B367,'Base stats'!B:B,'Base stats'!BC:BC)^0.25
  / (_xlfn.XLOOKUP(B367,'Base stats'!B:B,'Base stats'!BM:BM) * 10)
  * _xlfn.XLOOKUP(
      _xlfn.XLOOKUP(B367,'Base stats'!B:B,'Base stats'!E:E),
      Groups!A:A,
      Groups!V:V
    ) * 150
  + MIN(12, _xlfn.XLOOKUP(B367,'Base stats'!B:B,'Base stats'!W:W))^(1/IF(_xlfn.XLOOKUP(_xlfn.XLOOKUP(B367,'Base stats'!B:B,'Base stats'!E:E),Groups!A:A,Groups!U:U)=1,100,10)) + 0.5 + _xlfn.XLOOKUP(B367,'Base stats'!B:B,'Base stats'!BW:BW),
0.05))</f>
        <v>No</v>
      </c>
      <c r="O367" s="3" t="str">
        <f>IF(Animals!AD367="No","No",
MAX(MROUND((MIN(10,_xlfn.XLOOKUP(B367,'Base stats'!B:B,'Base stats'!V:V)*IF(_xlfn.XLOOKUP(_xlfn.XLOOKUP(B367,'Base stats'!B:B,'Base stats'!E:E),Groups!A:A,Groups!O:O)=0,1,0.33))^0.4*_xlfn.XLOOKUP(B367,'Base stats'!B:B,'Base stats'!BJ:BJ)^0.73)^0.6 *_xlfn.XLOOKUP(B367,'Base stats'!B:B,'Base stats'!BX:BX),0.1),0.05)
)</f>
        <v>No</v>
      </c>
      <c r="P367" s="11" t="str">
        <f>IF(O367="No","No",
MROUND(_xlfn.XLOOKUP(B367,'Base stats'!B:B,'Base stats'!BJ:BJ) * 0.01 * 2 + 0.05, 0.05)
)</f>
        <v>No</v>
      </c>
      <c r="Q367" s="5" t="str">
        <f>IF(O367="No","No",
MROUND(_xlfn.XLOOKUP(B367,'Base stats'!B:B,'Base stats'!BV:BV)/10000+0.01,0.01)
)</f>
        <v>No</v>
      </c>
      <c r="R367" s="4" t="str">
        <f>IF(O367="No","No",
MROUND(_xlfn.XLOOKUP(B367,'Base stats'!B:B,'Base stats'!BB:BB)^0.25
/((_xlfn.XLOOKUP(B367,'Base stats'!B:B,'Base stats'!BN:BN))*10)*_xlfn.XLOOKUP(_xlfn.XLOOKUP(B367,'Base stats'!B:B,'Base stats'!E:E),Groups!A:A,Groups!Z:Z)*150 + 0.5 + _xlfn.XLOOKUP(B367,'Base stats'!B:B,'Base stats'!BW:BW),
0.05))</f>
        <v>No</v>
      </c>
      <c r="S367" s="3" t="str">
        <f>IF(Animals!AI367="No","No",
IF(_xlfn.XLOOKUP(B367,'Base stats'!B:B,'Base stats'!U:U)="No",
MAX(MROUND(_xlfn.XLOOKUP(B367,'Base stats'!B:B,'Base stats'!BT:BT) * _xlfn.XLOOKUP(B367,'Base stats'!B:B,'Base stats'!BP:BP)^0.9 / 21 * _xlfn.XLOOKUP(B367,'Base stats'!B:B,'Base stats'!BX:BX),0.1),0.05),
MAX(MROUND(((MIN(12,_xlfn.XLOOKUP(B367,'Base stats'!B:B,'Base stats'!U:U)))^0.4*_xlfn.XLOOKUP(B367,'Base stats'!B:B,'Base stats'!BH:BH)^0.73)^0.6 * _xlfn.XLOOKUP(B367,'Base stats'!B:B,'Base stats'!BX:BX),0.1),0.05)
))</f>
        <v>No</v>
      </c>
      <c r="T367" s="11" t="str">
        <f>IF(S367="No","No",
MROUND(_xlfn.XLOOKUP(B367,'Base stats'!B:B,'Base stats'!BH:BH) * 0.01 * 2 + 0.05, 0.05)
)</f>
        <v>No</v>
      </c>
      <c r="U367" s="5" t="str">
        <f>IF(S367="No","No",IF(_xlfn.XLOOKUP(B367,'Base stats'!B:B,'Base stats'!U:U)="No","No",
MROUND(_xlfn.XLOOKUP(B367,'Base stats'!B:B,'Base stats'!BT:BT)/10000+0.01,0.01)
))</f>
        <v>No</v>
      </c>
      <c r="V367" s="4" t="str">
        <f>IF(S367="No","No",
MROUND(_xlfn.XLOOKUP(B367,'Base stats'!B:B,'Base stats'!BF:BF)^0.25
/((_xlfn.XLOOKUP(B367,'Base stats'!B:B,'Base stats'!BO:BO))*10)*_xlfn.XLOOKUP(_xlfn.XLOOKUP(B367,'Base stats'!B:B,'Base stats'!E:E),Groups!A:A,Groups!AE:AE)*150 + 0.5 + _xlfn.XLOOKUP(B367,'Base stats'!B:B,'Base stats'!BW:BW),
0.05))</f>
        <v>No</v>
      </c>
      <c r="W367" s="8">
        <f>MROUND(_xlfn.XLOOKUP(_xlfn.XLOOKUP(B367,'Base stats'!B:B,'Base stats'!E:E),Groups!A:A,Groups!BG:BG)*_xlfn.XLOOKUP(B367,'Base stats'!B:B,'Base stats'!C:C)^-0.165,0.05)</f>
        <v>0.05</v>
      </c>
      <c r="X367" s="1">
        <f>MROUND(_xlfn.XLOOKUP(_xlfn.XLOOKUP(B367,'Base stats'!B:B,'Base stats'!E:E),Groups!A:A,Groups!BH:BH)*_xlfn.XLOOKUP(B367,'Base stats'!B:B,'Base stats'!C:C)^0.165,0.05)</f>
        <v>0</v>
      </c>
      <c r="Y367" s="8">
        <f>MROUND(_xlfn.XLOOKUP(_xlfn.XLOOKUP(B367,'Base stats'!B:B,'Base stats'!E:E),Groups!A:A,Groups!BI:BI)*_xlfn.XLOOKUP(B367,'Base stats'!B:B,'Base stats'!C:C)^0.165,0.05)</f>
        <v>0.1</v>
      </c>
      <c r="Z367" s="18">
        <f>MROUND(_xlfn.XLOOKUP(B367,'Base stats'!B:B,'Base stats'!AQ:AQ)*_xlfn.XLOOKUP(_xlfn.XLOOKUP(B367,'Base stats'!B:B,'Base stats'!E:E),Groups!A:A,Groups!H:H)/1000,IF((_xlfn.XLOOKUP(B367,'Base stats'!B:B,'Base stats'!AQ:AQ)*_xlfn.XLOOKUP(_xlfn.XLOOKUP(B367,'Base stats'!B:B,'Base stats'!E:E),Groups!A:A,Groups!H:H)/1000)&gt;1,0.05,0.01))</f>
        <v>0.2</v>
      </c>
      <c r="AA367" s="18">
        <f>MROUND((1/2)*(_xlfn.XLOOKUP(_xlfn.XLOOKUP(B367,'Base stats'!B:B,'Base stats'!E:E),Groups!A:A,Groups!H:H)*_xlfn.XLOOKUP(_xlfn.XLOOKUP(B367,'Base stats'!B:B,'Base stats'!E:E),Groups!A:A,Groups!I:I))*_xlfn.XLOOKUP(B367,'Base stats'!B:B,'Base stats'!AQ:AQ)*0.01,0.05)</f>
        <v>0.35000000000000003</v>
      </c>
      <c r="AB367" s="18">
        <f>MROUND(250*(Animals!AO367+Animals!AP367),25)</f>
        <v>2125</v>
      </c>
      <c r="AC367" s="18" t="str">
        <f>_xlfn.XLOOKUP(_xlfn.XLOOKUP(B367,'Base stats'!B:B,'Base stats'!E:E),Groups!A:A,Groups!BJ:BJ)</f>
        <v>Quadruped</v>
      </c>
    </row>
    <row r="368" spans="1:29" ht="16.5" thickTop="1" thickBot="1" x14ac:dyDescent="0.3">
      <c r="A368" s="16" t="str">
        <f>Animals!A368</f>
        <v>Deinocheirus</v>
      </c>
      <c r="B368" s="6" t="str">
        <f>Animals!B368</f>
        <v>Deinocheirus mirificus</v>
      </c>
      <c r="C368" s="1" t="str">
        <f>Animals!C368</f>
        <v>&lt;li&gt;Deinocheirus&lt;/li&gt;</v>
      </c>
      <c r="D368" s="47">
        <f>MIN(MIN(6,_xlfn.XLOOKUP(A368,Animals!A:A,Animals!AO:AO))*20,MAX(MROUND(_xlfn.XLOOKUP(B368,'Base stats'!B:B,'Base stats'!BS:BS) * (_xlfn.XLOOKUP(B368,'Base stats'!B:B,'Base stats'!AO:AO)*5%)^0.9 / 21,0.1),0.05))</f>
        <v>101.5</v>
      </c>
      <c r="E368" s="11">
        <f>MROUND(_xlfn.XLOOKUP(B368,'Base stats'!B:B,'Base stats'!BG:BG) * 0.01 * 2 + 0.01, 0.05)</f>
        <v>112.60000000000001</v>
      </c>
      <c r="F368" s="7">
        <f>MROUND(_xlfn.XLOOKUP(B368,'Base stats'!B:B,'Base stats'!BD:BD)^0.25 / (_xlfn.XLOOKUP(B368,'Base stats'!B:B,'Base stats'!BK:BK) * 10) * 150 + 0.5 + _xlfn.XLOOKUP(B368,'Base stats'!B:B,'Base stats'!BW:BW), 0.05)</f>
        <v>2.35</v>
      </c>
      <c r="G368" s="3" t="str">
        <f>IF(Animals!S368="No","No",
IF(_xlfn.XLOOKUP(B368,'Base stats'!B:B,'Base stats'!U:U)="No",
MAX(MROUND(_xlfn.XLOOKUP(B368,'Base stats'!B:B,'Base stats'!BT:BT) * _xlfn.XLOOKUP(B368,'Base stats'!B:B,'Base stats'!BP:BP)^0.9 / 21 * _xlfn.XLOOKUP(B368,'Base stats'!B:B,'Base stats'!BX:BX),0.1),0.05),
MAX(MROUND(((MIN(10,_xlfn.XLOOKUP(B368,'Base stats'!B:B,'Base stats'!U:U)))^0.4*_xlfn.XLOOKUP(B368,'Base stats'!B:B,'Base stats'!BH:BH)^0.73)^0.6 * _xlfn.XLOOKUP(B368,'Base stats'!B:B,'Base stats'!BX:BX),0.1),0.05)
))</f>
        <v>No</v>
      </c>
      <c r="H368" s="11" t="str">
        <f>IF(G368="No","No",
MROUND(_xlfn.XLOOKUP(B368,'Base stats'!B:B,'Base stats'!BH:BH) * 0.01 * 2 + 0.05, 0.05)
)</f>
        <v>No</v>
      </c>
      <c r="I368" s="11" t="str">
        <f>IF(G368="No","No",IF(_xlfn.XLOOKUP(B368,'Base stats'!B:B,'Base stats'!U:U)="No","No",
MROUND(_xlfn.XLOOKUP(B368,'Base stats'!B:B,'Base stats'!BT:BT)/10000+0.01,0.01)
))</f>
        <v>No</v>
      </c>
      <c r="J368" s="4" t="str">
        <f>IF(G368="No","No",
MROUND(_xlfn.XLOOKUP(B368,'Base stats'!B:B,'Base stats'!BE:BE)^0.25
/((_xlfn.XLOOKUP(B368,'Base stats'!B:B,'Base stats'!BL:BL))*10)*_xlfn.XLOOKUP(_xlfn.XLOOKUP(B368,'Base stats'!B:B,'Base stats'!E:E),Groups!A:A,Groups!Q:Q)*150 + 0.5 + _xlfn.XLOOKUP(B368,'Base stats'!B:B,'Base stats'!BW:BW),
0.05))</f>
        <v>No</v>
      </c>
      <c r="K368" s="3" t="str">
        <f>IF(Animals!X368="No","No",
IF(_xlfn.XLOOKUP(_xlfn.XLOOKUP(B368,'Base stats'!B:B,'Base stats'!E:E),Groups!A:A,Groups!BD:BD)=1,
MAX(MROUND(_xlfn.XLOOKUP(B368,'Base stats'!B:B,'Base stats'!BU:BU) * _xlfn.XLOOKUP(B368,'Base stats'!B:B,'Base stats'!BQ:BQ)^0.9 / 21 *_xlfn.XLOOKUP(B368,'Base stats'!B:B,'Base stats'!BX:BX),0.1),0.05),
MAX(MROUND(((MIN(10,_xlfn.XLOOKUP(B368,'Base stats'!B:B,'Base stats'!W:W)))^0.4*_xlfn.XLOOKUP(B368,'Base stats'!B:B,'Base stats'!BI:BI)^0.73)^0.6 *_xlfn.XLOOKUP(B368,'Base stats'!B:B,'Base stats'!BX:BX),0.1),0.05)
))</f>
        <v>No</v>
      </c>
      <c r="L368" s="11" t="str">
        <f>IF(K368="No","No",
MROUND(_xlfn.XLOOKUP(B368,'Base stats'!B:B,'Base stats'!BI:BI) * 0.01 *2 + 0.05, 0.05)
)</f>
        <v>No</v>
      </c>
      <c r="M368" s="5" t="str">
        <f>IF(K368="No","No",IF(_xlfn.XLOOKUP(_xlfn.XLOOKUP(B368,'Base stats'!B:B,'Base stats'!E:E),Groups!A:A,Groups!BD:BD)=1,"No",
MROUND(_xlfn.XLOOKUP(B368,'Base stats'!B:B,'Base stats'!BU:BU)/10000+0.01,0.01)
))</f>
        <v>No</v>
      </c>
      <c r="N368" s="4" t="str">
        <f>IF(K368="No","No",
MROUND(
  _xlfn.XLOOKUP(B368,'Base stats'!B:B,'Base stats'!BC:BC)^0.25
  / (_xlfn.XLOOKUP(B368,'Base stats'!B:B,'Base stats'!BM:BM) * 10)
  * _xlfn.XLOOKUP(
      _xlfn.XLOOKUP(B368,'Base stats'!B:B,'Base stats'!E:E),
      Groups!A:A,
      Groups!V:V
    ) * 150
  + MIN(12, _xlfn.XLOOKUP(B368,'Base stats'!B:B,'Base stats'!W:W))^(1/IF(_xlfn.XLOOKUP(_xlfn.XLOOKUP(B368,'Base stats'!B:B,'Base stats'!E:E),Groups!A:A,Groups!U:U)=1,100,10)) + 0.5 + _xlfn.XLOOKUP(B368,'Base stats'!B:B,'Base stats'!BW:BW),
0.05))</f>
        <v>No</v>
      </c>
      <c r="O368" s="3">
        <f>IF(Animals!AD368="No","No",
MAX(MROUND((MIN(10,_xlfn.XLOOKUP(B368,'Base stats'!B:B,'Base stats'!V:V)*IF(_xlfn.XLOOKUP(_xlfn.XLOOKUP(B368,'Base stats'!B:B,'Base stats'!E:E),Groups!A:A,Groups!O:O)=0,1,0.33))^0.4*_xlfn.XLOOKUP(B368,'Base stats'!B:B,'Base stats'!BJ:BJ)^0.73)^0.6 *_xlfn.XLOOKUP(B368,'Base stats'!B:B,'Base stats'!BX:BX),0.1),0.05)
)</f>
        <v>45.1</v>
      </c>
      <c r="P368" s="11">
        <f>IF(O368="No","No",
MROUND(_xlfn.XLOOKUP(B368,'Base stats'!B:B,'Base stats'!BJ:BJ) * 0.01 * 2 + 0.05, 0.05)
)</f>
        <v>49.85</v>
      </c>
      <c r="Q368" s="5">
        <f>IF(O368="No","No",
MROUND(_xlfn.XLOOKUP(B368,'Base stats'!B:B,'Base stats'!BV:BV)/10000+0.01,0.01)
)</f>
        <v>0.49</v>
      </c>
      <c r="R368" s="4">
        <f>IF(O368="No","No",
MROUND(_xlfn.XLOOKUP(B368,'Base stats'!B:B,'Base stats'!BB:BB)^0.25
/((_xlfn.XLOOKUP(B368,'Base stats'!B:B,'Base stats'!BN:BN))*10)*_xlfn.XLOOKUP(_xlfn.XLOOKUP(B368,'Base stats'!B:B,'Base stats'!E:E),Groups!A:A,Groups!Z:Z)*150 + 0.5 + _xlfn.XLOOKUP(B368,'Base stats'!B:B,'Base stats'!BW:BW),
0.05))</f>
        <v>2.85</v>
      </c>
      <c r="S368" s="3">
        <f>IF(Animals!AI368="No","No",
IF(_xlfn.XLOOKUP(B368,'Base stats'!B:B,'Base stats'!U:U)="No",
MAX(MROUND(_xlfn.XLOOKUP(B368,'Base stats'!B:B,'Base stats'!BT:BT) * _xlfn.XLOOKUP(B368,'Base stats'!B:B,'Base stats'!BP:BP)^0.9 / 21 * _xlfn.XLOOKUP(B368,'Base stats'!B:B,'Base stats'!BX:BX),0.1),0.05),
MAX(MROUND(((MIN(12,_xlfn.XLOOKUP(B368,'Base stats'!B:B,'Base stats'!U:U)))^0.4*_xlfn.XLOOKUP(B368,'Base stats'!B:B,'Base stats'!BH:BH)^0.73)^0.6 * _xlfn.XLOOKUP(B368,'Base stats'!B:B,'Base stats'!BX:BX),0.1),0.05)
))</f>
        <v>79.7</v>
      </c>
      <c r="T368" s="11">
        <f>IF(S368="No","No",
MROUND(_xlfn.XLOOKUP(B368,'Base stats'!B:B,'Base stats'!BH:BH) * 0.01 * 2 + 0.05, 0.05)
)</f>
        <v>112.4</v>
      </c>
      <c r="U368" s="5">
        <f>IF(S368="No","No",IF(_xlfn.XLOOKUP(B368,'Base stats'!B:B,'Base stats'!U:U)="No","No",
MROUND(_xlfn.XLOOKUP(B368,'Base stats'!B:B,'Base stats'!BT:BT)/10000+0.01,0.01)
))</f>
        <v>1.08</v>
      </c>
      <c r="V368" s="4">
        <f>IF(S368="No","No",
MROUND(_xlfn.XLOOKUP(B368,'Base stats'!B:B,'Base stats'!BF:BF)^0.25
/((_xlfn.XLOOKUP(B368,'Base stats'!B:B,'Base stats'!BO:BO))*10)*_xlfn.XLOOKUP(_xlfn.XLOOKUP(B368,'Base stats'!B:B,'Base stats'!E:E),Groups!A:A,Groups!AE:AE)*150 + 0.5 + _xlfn.XLOOKUP(B368,'Base stats'!B:B,'Base stats'!BW:BW),
0.05))</f>
        <v>2.4500000000000002</v>
      </c>
      <c r="W368" s="8">
        <f>MROUND(_xlfn.XLOOKUP(_xlfn.XLOOKUP(B368,'Base stats'!B:B,'Base stats'!E:E),Groups!A:A,Groups!BG:BG)*_xlfn.XLOOKUP(B368,'Base stats'!B:B,'Base stats'!C:C)^-0.165,0.05)</f>
        <v>0.15000000000000002</v>
      </c>
      <c r="X368" s="1">
        <f>MROUND(_xlfn.XLOOKUP(_xlfn.XLOOKUP(B368,'Base stats'!B:B,'Base stats'!E:E),Groups!A:A,Groups!BH:BH)*_xlfn.XLOOKUP(B368,'Base stats'!B:B,'Base stats'!C:C)^0.165,0.05)</f>
        <v>0.4</v>
      </c>
      <c r="Y368" s="8">
        <f>MROUND(_xlfn.XLOOKUP(_xlfn.XLOOKUP(B368,'Base stats'!B:B,'Base stats'!E:E),Groups!A:A,Groups!BI:BI)*_xlfn.XLOOKUP(B368,'Base stats'!B:B,'Base stats'!C:C)^0.165,0.05)</f>
        <v>0.1</v>
      </c>
      <c r="Z368" s="18">
        <f>MROUND(_xlfn.XLOOKUP(B368,'Base stats'!B:B,'Base stats'!AQ:AQ)*_xlfn.XLOOKUP(_xlfn.XLOOKUP(B368,'Base stats'!B:B,'Base stats'!E:E),Groups!A:A,Groups!H:H)/1000,IF((_xlfn.XLOOKUP(B368,'Base stats'!B:B,'Base stats'!AQ:AQ)*_xlfn.XLOOKUP(_xlfn.XLOOKUP(B368,'Base stats'!B:B,'Base stats'!E:E),Groups!A:A,Groups!H:H)/1000)&gt;1,0.05,0.01))</f>
        <v>0.25</v>
      </c>
      <c r="AA368" s="18">
        <f>MROUND((1/2)*(_xlfn.XLOOKUP(_xlfn.XLOOKUP(B368,'Base stats'!B:B,'Base stats'!E:E),Groups!A:A,Groups!H:H)*_xlfn.XLOOKUP(_xlfn.XLOOKUP(B368,'Base stats'!B:B,'Base stats'!E:E),Groups!A:A,Groups!I:I))*_xlfn.XLOOKUP(B368,'Base stats'!B:B,'Base stats'!AQ:AQ)*0.01,0.05)</f>
        <v>0.45</v>
      </c>
      <c r="AB368" s="18">
        <f>MROUND(250*(Animals!AO368+Animals!AP368),25)</f>
        <v>3025</v>
      </c>
      <c r="AC368" s="18" t="str">
        <f>_xlfn.XLOOKUP(_xlfn.XLOOKUP(B368,'Base stats'!B:B,'Base stats'!E:E),Groups!A:A,Groups!BJ:BJ)</f>
        <v>Birdlike</v>
      </c>
    </row>
    <row r="369" spans="1:29" ht="16.5" thickTop="1" thickBot="1" x14ac:dyDescent="0.3">
      <c r="A369" s="16" t="str">
        <f>Animals!A369</f>
        <v>Therizinosaurus</v>
      </c>
      <c r="B369" s="6" t="str">
        <f>Animals!B369</f>
        <v>Therizinosaurus cheloniformis</v>
      </c>
      <c r="C369" s="1" t="str">
        <f>Animals!C369</f>
        <v>&lt;li&gt;Therizinosaurus&lt;/li&gt;</v>
      </c>
      <c r="D369" s="47">
        <f>MIN(MIN(6,_xlfn.XLOOKUP(A369,Animals!A:A,Animals!AO:AO))*20,MAX(MROUND(_xlfn.XLOOKUP(B369,'Base stats'!B:B,'Base stats'!BS:BS) * (_xlfn.XLOOKUP(B369,'Base stats'!B:B,'Base stats'!AO:AO)*5%)^0.9 / 21,0.1),0.05))</f>
        <v>82.9</v>
      </c>
      <c r="E369" s="11">
        <f>MROUND(_xlfn.XLOOKUP(B369,'Base stats'!B:B,'Base stats'!BG:BG) * 0.01 * 2 + 0.01, 0.05)</f>
        <v>90.550000000000011</v>
      </c>
      <c r="F369" s="7">
        <f>MROUND(_xlfn.XLOOKUP(B369,'Base stats'!B:B,'Base stats'!BD:BD)^0.25 / (_xlfn.XLOOKUP(B369,'Base stats'!B:B,'Base stats'!BK:BK) * 10) * 150 + 0.5 + _xlfn.XLOOKUP(B369,'Base stats'!B:B,'Base stats'!BW:BW), 0.05)</f>
        <v>2.25</v>
      </c>
      <c r="G369" s="3" t="str">
        <f>IF(Animals!S369="No","No",
IF(_xlfn.XLOOKUP(B369,'Base stats'!B:B,'Base stats'!U:U)="No",
MAX(MROUND(_xlfn.XLOOKUP(B369,'Base stats'!B:B,'Base stats'!BT:BT) * _xlfn.XLOOKUP(B369,'Base stats'!B:B,'Base stats'!BP:BP)^0.9 / 21 * _xlfn.XLOOKUP(B369,'Base stats'!B:B,'Base stats'!BX:BX),0.1),0.05),
MAX(MROUND(((MIN(10,_xlfn.XLOOKUP(B369,'Base stats'!B:B,'Base stats'!U:U)))^0.4*_xlfn.XLOOKUP(B369,'Base stats'!B:B,'Base stats'!BH:BH)^0.73)^0.6 * _xlfn.XLOOKUP(B369,'Base stats'!B:B,'Base stats'!BX:BX),0.1),0.05)
))</f>
        <v>No</v>
      </c>
      <c r="H369" s="11" t="str">
        <f>IF(G369="No","No",
MROUND(_xlfn.XLOOKUP(B369,'Base stats'!B:B,'Base stats'!BH:BH) * 0.01 * 2 + 0.05, 0.05)
)</f>
        <v>No</v>
      </c>
      <c r="I369" s="11" t="str">
        <f>IF(G369="No","No",IF(_xlfn.XLOOKUP(B369,'Base stats'!B:B,'Base stats'!U:U)="No","No",
MROUND(_xlfn.XLOOKUP(B369,'Base stats'!B:B,'Base stats'!BT:BT)/10000+0.01,0.01)
))</f>
        <v>No</v>
      </c>
      <c r="J369" s="4" t="str">
        <f>IF(G369="No","No",
MROUND(_xlfn.XLOOKUP(B369,'Base stats'!B:B,'Base stats'!BE:BE)^0.25
/((_xlfn.XLOOKUP(B369,'Base stats'!B:B,'Base stats'!BL:BL))*10)*_xlfn.XLOOKUP(_xlfn.XLOOKUP(B369,'Base stats'!B:B,'Base stats'!E:E),Groups!A:A,Groups!Q:Q)*150 + 0.5 + _xlfn.XLOOKUP(B369,'Base stats'!B:B,'Base stats'!BW:BW),
0.05))</f>
        <v>No</v>
      </c>
      <c r="K369" s="3" t="str">
        <f>IF(Animals!X369="No","No",
IF(_xlfn.XLOOKUP(_xlfn.XLOOKUP(B369,'Base stats'!B:B,'Base stats'!E:E),Groups!A:A,Groups!BD:BD)=1,
MAX(MROUND(_xlfn.XLOOKUP(B369,'Base stats'!B:B,'Base stats'!BU:BU) * _xlfn.XLOOKUP(B369,'Base stats'!B:B,'Base stats'!BQ:BQ)^0.9 / 21 *_xlfn.XLOOKUP(B369,'Base stats'!B:B,'Base stats'!BX:BX),0.1),0.05),
MAX(MROUND(((MIN(10,_xlfn.XLOOKUP(B369,'Base stats'!B:B,'Base stats'!W:W)))^0.4*_xlfn.XLOOKUP(B369,'Base stats'!B:B,'Base stats'!BI:BI)^0.73)^0.6 *_xlfn.XLOOKUP(B369,'Base stats'!B:B,'Base stats'!BX:BX),0.1),0.05)
))</f>
        <v>No</v>
      </c>
      <c r="L369" s="11" t="str">
        <f>IF(K369="No","No",
MROUND(_xlfn.XLOOKUP(B369,'Base stats'!B:B,'Base stats'!BI:BI) * 0.01 *2 + 0.05, 0.05)
)</f>
        <v>No</v>
      </c>
      <c r="M369" s="5" t="str">
        <f>IF(K369="No","No",IF(_xlfn.XLOOKUP(_xlfn.XLOOKUP(B369,'Base stats'!B:B,'Base stats'!E:E),Groups!A:A,Groups!BD:BD)=1,"No",
MROUND(_xlfn.XLOOKUP(B369,'Base stats'!B:B,'Base stats'!BU:BU)/10000+0.01,0.01)
))</f>
        <v>No</v>
      </c>
      <c r="N369" s="4" t="str">
        <f>IF(K369="No","No",
MROUND(
  _xlfn.XLOOKUP(B369,'Base stats'!B:B,'Base stats'!BC:BC)^0.25
  / (_xlfn.XLOOKUP(B369,'Base stats'!B:B,'Base stats'!BM:BM) * 10)
  * _xlfn.XLOOKUP(
      _xlfn.XLOOKUP(B369,'Base stats'!B:B,'Base stats'!E:E),
      Groups!A:A,
      Groups!V:V
    ) * 150
  + MIN(12, _xlfn.XLOOKUP(B369,'Base stats'!B:B,'Base stats'!W:W))^(1/IF(_xlfn.XLOOKUP(_xlfn.XLOOKUP(B369,'Base stats'!B:B,'Base stats'!E:E),Groups!A:A,Groups!U:U)=1,100,10)) + 0.5 + _xlfn.XLOOKUP(B369,'Base stats'!B:B,'Base stats'!BW:BW),
0.05))</f>
        <v>No</v>
      </c>
      <c r="O369" s="3">
        <f>IF(Animals!AD369="No","No",
MAX(MROUND((MIN(10,_xlfn.XLOOKUP(B369,'Base stats'!B:B,'Base stats'!V:V)*IF(_xlfn.XLOOKUP(_xlfn.XLOOKUP(B369,'Base stats'!B:B,'Base stats'!E:E),Groups!A:A,Groups!O:O)=0,1,0.33))^0.4*_xlfn.XLOOKUP(B369,'Base stats'!B:B,'Base stats'!BJ:BJ)^0.73)^0.6 *_xlfn.XLOOKUP(B369,'Base stats'!B:B,'Base stats'!BX:BX),0.1),0.05)
)</f>
        <v>41.7</v>
      </c>
      <c r="P369" s="11">
        <f>IF(O369="No","No",
MROUND(_xlfn.XLOOKUP(B369,'Base stats'!B:B,'Base stats'!BJ:BJ) * 0.01 * 2 + 0.05, 0.05)
)</f>
        <v>41.650000000000006</v>
      </c>
      <c r="Q369" s="5">
        <f>IF(O369="No","No",
MROUND(_xlfn.XLOOKUP(B369,'Base stats'!B:B,'Base stats'!BV:BV)/10000+0.01,0.01)
)</f>
        <v>0.45</v>
      </c>
      <c r="R369" s="4">
        <f>IF(O369="No","No",
MROUND(_xlfn.XLOOKUP(B369,'Base stats'!B:B,'Base stats'!BB:BB)^0.25
/((_xlfn.XLOOKUP(B369,'Base stats'!B:B,'Base stats'!BN:BN))*10)*_xlfn.XLOOKUP(_xlfn.XLOOKUP(B369,'Base stats'!B:B,'Base stats'!E:E),Groups!A:A,Groups!Z:Z)*150 + 0.5 + _xlfn.XLOOKUP(B369,'Base stats'!B:B,'Base stats'!BW:BW),
0.05))</f>
        <v>2.75</v>
      </c>
      <c r="S369" s="3">
        <f>IF(Animals!AI369="No","No",
IF(_xlfn.XLOOKUP(B369,'Base stats'!B:B,'Base stats'!U:U)="No",
MAX(MROUND(_xlfn.XLOOKUP(B369,'Base stats'!B:B,'Base stats'!BT:BT) * _xlfn.XLOOKUP(B369,'Base stats'!B:B,'Base stats'!BP:BP)^0.9 / 21 * _xlfn.XLOOKUP(B369,'Base stats'!B:B,'Base stats'!BX:BX),0.1),0.05),
MAX(MROUND(((MIN(12,_xlfn.XLOOKUP(B369,'Base stats'!B:B,'Base stats'!U:U)))^0.4*_xlfn.XLOOKUP(B369,'Base stats'!B:B,'Base stats'!BH:BH)^0.73)^0.6 * _xlfn.XLOOKUP(B369,'Base stats'!B:B,'Base stats'!BX:BX),0.1),0.05)
))</f>
        <v>69.7</v>
      </c>
      <c r="T369" s="11">
        <f>IF(S369="No","No",
MROUND(_xlfn.XLOOKUP(B369,'Base stats'!B:B,'Base stats'!BH:BH) * 0.01 * 2 + 0.05, 0.05)
)</f>
        <v>91.600000000000009</v>
      </c>
      <c r="U369" s="5">
        <f>IF(S369="No","No",IF(_xlfn.XLOOKUP(B369,'Base stats'!B:B,'Base stats'!U:U)="No","No",
MROUND(_xlfn.XLOOKUP(B369,'Base stats'!B:B,'Base stats'!BT:BT)/10000+0.01,0.01)
))</f>
        <v>0.98</v>
      </c>
      <c r="V369" s="4">
        <f>IF(S369="No","No",
MROUND(_xlfn.XLOOKUP(B369,'Base stats'!B:B,'Base stats'!BF:BF)^0.25
/((_xlfn.XLOOKUP(B369,'Base stats'!B:B,'Base stats'!BO:BO))*10)*_xlfn.XLOOKUP(_xlfn.XLOOKUP(B369,'Base stats'!B:B,'Base stats'!E:E),Groups!A:A,Groups!AE:AE)*150 + 0.5 + _xlfn.XLOOKUP(B369,'Base stats'!B:B,'Base stats'!BW:BW),
0.05))</f>
        <v>2.35</v>
      </c>
      <c r="W369" s="8">
        <f>MROUND(_xlfn.XLOOKUP(_xlfn.XLOOKUP(B369,'Base stats'!B:B,'Base stats'!E:E),Groups!A:A,Groups!BG:BG)*_xlfn.XLOOKUP(B369,'Base stats'!B:B,'Base stats'!C:C)^-0.165,0.05)</f>
        <v>0.15000000000000002</v>
      </c>
      <c r="X369" s="1">
        <f>MROUND(_xlfn.XLOOKUP(_xlfn.XLOOKUP(B369,'Base stats'!B:B,'Base stats'!E:E),Groups!A:A,Groups!BH:BH)*_xlfn.XLOOKUP(B369,'Base stats'!B:B,'Base stats'!C:C)^0.165,0.05)</f>
        <v>0.4</v>
      </c>
      <c r="Y369" s="8">
        <f>MROUND(_xlfn.XLOOKUP(_xlfn.XLOOKUP(B369,'Base stats'!B:B,'Base stats'!E:E),Groups!A:A,Groups!BI:BI)*_xlfn.XLOOKUP(B369,'Base stats'!B:B,'Base stats'!C:C)^0.165,0.05)</f>
        <v>0.1</v>
      </c>
      <c r="Z369" s="18">
        <f>MROUND(_xlfn.XLOOKUP(B369,'Base stats'!B:B,'Base stats'!AQ:AQ)*_xlfn.XLOOKUP(_xlfn.XLOOKUP(B369,'Base stats'!B:B,'Base stats'!E:E),Groups!A:A,Groups!H:H)/1000,IF((_xlfn.XLOOKUP(B369,'Base stats'!B:B,'Base stats'!AQ:AQ)*_xlfn.XLOOKUP(_xlfn.XLOOKUP(B369,'Base stats'!B:B,'Base stats'!E:E),Groups!A:A,Groups!H:H)/1000)&gt;1,0.05,0.01))</f>
        <v>0.23</v>
      </c>
      <c r="AA369" s="18">
        <f>MROUND((1/2)*(_xlfn.XLOOKUP(_xlfn.XLOOKUP(B369,'Base stats'!B:B,'Base stats'!E:E),Groups!A:A,Groups!H:H)*_xlfn.XLOOKUP(_xlfn.XLOOKUP(B369,'Base stats'!B:B,'Base stats'!E:E),Groups!A:A,Groups!I:I))*_xlfn.XLOOKUP(B369,'Base stats'!B:B,'Base stats'!AQ:AQ)*0.01,0.05)</f>
        <v>0.45</v>
      </c>
      <c r="AB369" s="18">
        <f>MROUND(250*(Animals!AO369+Animals!AP369),25)</f>
        <v>2750</v>
      </c>
      <c r="AC369" s="18" t="str">
        <f>_xlfn.XLOOKUP(_xlfn.XLOOKUP(B369,'Base stats'!B:B,'Base stats'!E:E),Groups!A:A,Groups!BJ:BJ)</f>
        <v>Birdlike</v>
      </c>
    </row>
    <row r="370" spans="1:29" ht="16.5" thickTop="1" thickBot="1" x14ac:dyDescent="0.3">
      <c r="A370" s="16" t="str">
        <f>Animals!A370</f>
        <v>Pachycephalosaurus</v>
      </c>
      <c r="B370" s="6" t="str">
        <f>Animals!B370</f>
        <v>Pachycephalosaurus wyomingensis</v>
      </c>
      <c r="C370" s="1" t="str">
        <f>Animals!C370</f>
        <v>&lt;li&gt;Pachycephalosaurus&lt;/li&gt;</v>
      </c>
      <c r="D370" s="47">
        <f>MIN(MIN(6,_xlfn.XLOOKUP(A370,Animals!A:A,Animals!AO:AO))*20,MAX(MROUND(_xlfn.XLOOKUP(B370,'Base stats'!B:B,'Base stats'!BS:BS) * (_xlfn.XLOOKUP(B370,'Base stats'!B:B,'Base stats'!AO:AO)*5%)^0.9 / 21,0.1),0.05))</f>
        <v>12.9</v>
      </c>
      <c r="E370" s="11">
        <f>MROUND(_xlfn.XLOOKUP(B370,'Base stats'!B:B,'Base stats'!BG:BG) * 0.01 * 2 + 0.01, 0.05)</f>
        <v>11.9</v>
      </c>
      <c r="F370" s="7">
        <f>MROUND(_xlfn.XLOOKUP(B370,'Base stats'!B:B,'Base stats'!BD:BD)^0.25 / (_xlfn.XLOOKUP(B370,'Base stats'!B:B,'Base stats'!BK:BK) * 10) * 150 + 0.5 + _xlfn.XLOOKUP(B370,'Base stats'!B:B,'Base stats'!BW:BW), 0.05)</f>
        <v>1.6500000000000001</v>
      </c>
      <c r="G370" s="3" t="str">
        <f>IF(Animals!S370="No","No",
IF(_xlfn.XLOOKUP(B370,'Base stats'!B:B,'Base stats'!U:U)="No",
MAX(MROUND(_xlfn.XLOOKUP(B370,'Base stats'!B:B,'Base stats'!BT:BT) * _xlfn.XLOOKUP(B370,'Base stats'!B:B,'Base stats'!BP:BP)^0.9 / 21 * _xlfn.XLOOKUP(B370,'Base stats'!B:B,'Base stats'!BX:BX),0.1),0.05),
MAX(MROUND(((MIN(10,_xlfn.XLOOKUP(B370,'Base stats'!B:B,'Base stats'!U:U)))^0.4*_xlfn.XLOOKUP(B370,'Base stats'!B:B,'Base stats'!BH:BH)^0.73)^0.6 * _xlfn.XLOOKUP(B370,'Base stats'!B:B,'Base stats'!BX:BX),0.1),0.05)
))</f>
        <v>No</v>
      </c>
      <c r="H370" s="11" t="str">
        <f>IF(G370="No","No",
MROUND(_xlfn.XLOOKUP(B370,'Base stats'!B:B,'Base stats'!BH:BH) * 0.01 * 2 + 0.05, 0.05)
)</f>
        <v>No</v>
      </c>
      <c r="I370" s="11" t="str">
        <f>IF(G370="No","No",IF(_xlfn.XLOOKUP(B370,'Base stats'!B:B,'Base stats'!U:U)="No","No",
MROUND(_xlfn.XLOOKUP(B370,'Base stats'!B:B,'Base stats'!BT:BT)/10000+0.01,0.01)
))</f>
        <v>No</v>
      </c>
      <c r="J370" s="4" t="str">
        <f>IF(G370="No","No",
MROUND(_xlfn.XLOOKUP(B370,'Base stats'!B:B,'Base stats'!BE:BE)^0.25
/((_xlfn.XLOOKUP(B370,'Base stats'!B:B,'Base stats'!BL:BL))*10)*_xlfn.XLOOKUP(_xlfn.XLOOKUP(B370,'Base stats'!B:B,'Base stats'!E:E),Groups!A:A,Groups!Q:Q)*150 + 0.5 + _xlfn.XLOOKUP(B370,'Base stats'!B:B,'Base stats'!BW:BW),
0.05))</f>
        <v>No</v>
      </c>
      <c r="K370" s="3">
        <f>IF(Animals!X370="No","No",
IF(_xlfn.XLOOKUP(_xlfn.XLOOKUP(B370,'Base stats'!B:B,'Base stats'!E:E),Groups!A:A,Groups!BD:BD)=1,
MAX(MROUND(_xlfn.XLOOKUP(B370,'Base stats'!B:B,'Base stats'!BU:BU) * _xlfn.XLOOKUP(B370,'Base stats'!B:B,'Base stats'!BQ:BQ)^0.9 / 21 *_xlfn.XLOOKUP(B370,'Base stats'!B:B,'Base stats'!BX:BX),0.1),0.05),
MAX(MROUND(((MIN(10,_xlfn.XLOOKUP(B370,'Base stats'!B:B,'Base stats'!W:W)))^0.4*_xlfn.XLOOKUP(B370,'Base stats'!B:B,'Base stats'!BI:BI)^0.73)^0.6 *_xlfn.XLOOKUP(B370,'Base stats'!B:B,'Base stats'!BX:BX),0.1),0.05)
))</f>
        <v>15.5</v>
      </c>
      <c r="L370" s="11">
        <f>IF(K370="No","No",
MROUND(_xlfn.XLOOKUP(B370,'Base stats'!B:B,'Base stats'!BI:BI) * 0.01 *2 + 0.05, 0.05)
)</f>
        <v>14.3</v>
      </c>
      <c r="M370" s="5" t="str">
        <f>IF(K370="No","No",IF(_xlfn.XLOOKUP(_xlfn.XLOOKUP(B370,'Base stats'!B:B,'Base stats'!E:E),Groups!A:A,Groups!BD:BD)=1,"No",
MROUND(_xlfn.XLOOKUP(B370,'Base stats'!B:B,'Base stats'!BU:BU)/10000+0.01,0.01)
))</f>
        <v>No</v>
      </c>
      <c r="N370" s="4">
        <f>IF(K370="No","No",
MROUND(
  _xlfn.XLOOKUP(B370,'Base stats'!B:B,'Base stats'!BC:BC)^0.25
  / (_xlfn.XLOOKUP(B370,'Base stats'!B:B,'Base stats'!BM:BM) * 10)
  * _xlfn.XLOOKUP(
      _xlfn.XLOOKUP(B370,'Base stats'!B:B,'Base stats'!E:E),
      Groups!A:A,
      Groups!V:V
    ) * 150
  + MIN(12, _xlfn.XLOOKUP(B370,'Base stats'!B:B,'Base stats'!W:W))^(1/IF(_xlfn.XLOOKUP(_xlfn.XLOOKUP(B370,'Base stats'!B:B,'Base stats'!E:E),Groups!A:A,Groups!U:U)=1,100,10)) + 0.5 + _xlfn.XLOOKUP(B370,'Base stats'!B:B,'Base stats'!BW:BW),
0.05))</f>
        <v>2.6500000000000004</v>
      </c>
      <c r="O370" s="3">
        <f>IF(Animals!AD370="No","No",
MAX(MROUND((MIN(10,_xlfn.XLOOKUP(B370,'Base stats'!B:B,'Base stats'!V:V)*IF(_xlfn.XLOOKUP(_xlfn.XLOOKUP(B370,'Base stats'!B:B,'Base stats'!E:E),Groups!A:A,Groups!O:O)=0,1,0.33))^0.4*_xlfn.XLOOKUP(B370,'Base stats'!B:B,'Base stats'!BJ:BJ)^0.73)^0.6 *_xlfn.XLOOKUP(B370,'Base stats'!B:B,'Base stats'!BX:BX),0.1),0.05)
)</f>
        <v>13.700000000000001</v>
      </c>
      <c r="P370" s="11">
        <f>IF(O370="No","No",
MROUND(_xlfn.XLOOKUP(B370,'Base stats'!B:B,'Base stats'!BJ:BJ) * 0.01 * 2 + 0.05, 0.05)
)</f>
        <v>6.4</v>
      </c>
      <c r="Q370" s="5">
        <f>IF(O370="No","No",
MROUND(_xlfn.XLOOKUP(B370,'Base stats'!B:B,'Base stats'!BV:BV)/10000+0.01,0.01)
)</f>
        <v>0.2</v>
      </c>
      <c r="R370" s="4">
        <f>IF(O370="No","No",
MROUND(_xlfn.XLOOKUP(B370,'Base stats'!B:B,'Base stats'!BB:BB)^0.25
/((_xlfn.XLOOKUP(B370,'Base stats'!B:B,'Base stats'!BN:BN))*10)*_xlfn.XLOOKUP(_xlfn.XLOOKUP(B370,'Base stats'!B:B,'Base stats'!E:E),Groups!A:A,Groups!Z:Z)*150 + 0.5 + _xlfn.XLOOKUP(B370,'Base stats'!B:B,'Base stats'!BW:BW),
0.05))</f>
        <v>2.5</v>
      </c>
      <c r="S370" s="3" t="str">
        <f>IF(Animals!AI370="No","No",
IF(_xlfn.XLOOKUP(B370,'Base stats'!B:B,'Base stats'!U:U)="No",
MAX(MROUND(_xlfn.XLOOKUP(B370,'Base stats'!B:B,'Base stats'!BT:BT) * _xlfn.XLOOKUP(B370,'Base stats'!B:B,'Base stats'!BP:BP)^0.9 / 21 * _xlfn.XLOOKUP(B370,'Base stats'!B:B,'Base stats'!BX:BX),0.1),0.05),
MAX(MROUND(((MIN(12,_xlfn.XLOOKUP(B370,'Base stats'!B:B,'Base stats'!U:U)))^0.4*_xlfn.XLOOKUP(B370,'Base stats'!B:B,'Base stats'!BH:BH)^0.73)^0.6 * _xlfn.XLOOKUP(B370,'Base stats'!B:B,'Base stats'!BX:BX),0.1),0.05)
))</f>
        <v>No</v>
      </c>
      <c r="T370" s="11" t="str">
        <f>IF(S370="No","No",
MROUND(_xlfn.XLOOKUP(B370,'Base stats'!B:B,'Base stats'!BH:BH) * 0.01 * 2 + 0.05, 0.05)
)</f>
        <v>No</v>
      </c>
      <c r="U370" s="5" t="str">
        <f>IF(S370="No","No",IF(_xlfn.XLOOKUP(B370,'Base stats'!B:B,'Base stats'!U:U)="No","No",
MROUND(_xlfn.XLOOKUP(B370,'Base stats'!B:B,'Base stats'!BT:BT)/10000+0.01,0.01)
))</f>
        <v>No</v>
      </c>
      <c r="V370" s="4" t="str">
        <f>IF(S370="No","No",
MROUND(_xlfn.XLOOKUP(B370,'Base stats'!B:B,'Base stats'!BF:BF)^0.25
/((_xlfn.XLOOKUP(B370,'Base stats'!B:B,'Base stats'!BO:BO))*10)*_xlfn.XLOOKUP(_xlfn.XLOOKUP(B370,'Base stats'!B:B,'Base stats'!E:E),Groups!A:A,Groups!AE:AE)*150 + 0.5 + _xlfn.XLOOKUP(B370,'Base stats'!B:B,'Base stats'!BW:BW),
0.05))</f>
        <v>No</v>
      </c>
      <c r="W370" s="8">
        <f>MROUND(_xlfn.XLOOKUP(_xlfn.XLOOKUP(B370,'Base stats'!B:B,'Base stats'!E:E),Groups!A:A,Groups!BG:BG)*_xlfn.XLOOKUP(B370,'Base stats'!B:B,'Base stats'!C:C)^-0.165,0.05)</f>
        <v>0.1</v>
      </c>
      <c r="X370" s="1">
        <f>MROUND(_xlfn.XLOOKUP(_xlfn.XLOOKUP(B370,'Base stats'!B:B,'Base stats'!E:E),Groups!A:A,Groups!BH:BH)*_xlfn.XLOOKUP(B370,'Base stats'!B:B,'Base stats'!C:C)^0.165,0.05)</f>
        <v>0.25</v>
      </c>
      <c r="Y370" s="8">
        <f>MROUND(_xlfn.XLOOKUP(_xlfn.XLOOKUP(B370,'Base stats'!B:B,'Base stats'!E:E),Groups!A:A,Groups!BI:BI)*_xlfn.XLOOKUP(B370,'Base stats'!B:B,'Base stats'!C:C)^0.165,0.05)</f>
        <v>0.05</v>
      </c>
      <c r="Z370" s="18">
        <f>MROUND(_xlfn.XLOOKUP(B370,'Base stats'!B:B,'Base stats'!AQ:AQ)*_xlfn.XLOOKUP(_xlfn.XLOOKUP(B370,'Base stats'!B:B,'Base stats'!E:E),Groups!A:A,Groups!H:H)/1000,IF((_xlfn.XLOOKUP(B370,'Base stats'!B:B,'Base stats'!AQ:AQ)*_xlfn.XLOOKUP(_xlfn.XLOOKUP(B370,'Base stats'!B:B,'Base stats'!E:E),Groups!A:A,Groups!H:H)/1000)&gt;1,0.05,0.01))</f>
        <v>0.11</v>
      </c>
      <c r="AA370" s="18">
        <f>MROUND((1/2)*(_xlfn.XLOOKUP(_xlfn.XLOOKUP(B370,'Base stats'!B:B,'Base stats'!E:E),Groups!A:A,Groups!H:H)*_xlfn.XLOOKUP(_xlfn.XLOOKUP(B370,'Base stats'!B:B,'Base stats'!E:E),Groups!A:A,Groups!I:I))*_xlfn.XLOOKUP(B370,'Base stats'!B:B,'Base stats'!AQ:AQ)*0.01,0.05)</f>
        <v>0.2</v>
      </c>
      <c r="AB370" s="18">
        <f>MROUND(250*(Animals!AO370+Animals!AP370),25)</f>
        <v>1250</v>
      </c>
      <c r="AC370" s="18" t="str">
        <f>_xlfn.XLOOKUP(_xlfn.XLOOKUP(B370,'Base stats'!B:B,'Base stats'!E:E),Groups!A:A,Groups!BJ:BJ)</f>
        <v>Quadruped</v>
      </c>
    </row>
    <row r="371" spans="1:29" ht="16.5" thickTop="1" thickBot="1" x14ac:dyDescent="0.3">
      <c r="A371" s="16" t="str">
        <f>Animals!A371</f>
        <v>Stygimoloch</v>
      </c>
      <c r="B371" s="6" t="str">
        <f>Animals!B371</f>
        <v>Stygimoloch spinifer</v>
      </c>
      <c r="C371" s="1" t="str">
        <f>Animals!C371</f>
        <v>&lt;li&gt;Stygimoloch&lt;/li&gt;</v>
      </c>
      <c r="D371" s="47">
        <f>MIN(MIN(6,_xlfn.XLOOKUP(A371,Animals!A:A,Animals!AO:AO))*20,MAX(MROUND(_xlfn.XLOOKUP(B371,'Base stats'!B:B,'Base stats'!BS:BS) * (_xlfn.XLOOKUP(B371,'Base stats'!B:B,'Base stats'!AO:AO)*5%)^0.9 / 21,0.1),0.05))</f>
        <v>3.7</v>
      </c>
      <c r="E371" s="11">
        <f>MROUND(_xlfn.XLOOKUP(B371,'Base stats'!B:B,'Base stats'!BG:BG) * 0.01 * 2 + 0.01, 0.05)</f>
        <v>3.1</v>
      </c>
      <c r="F371" s="7">
        <f>MROUND(_xlfn.XLOOKUP(B371,'Base stats'!B:B,'Base stats'!BD:BD)^0.25 / (_xlfn.XLOOKUP(B371,'Base stats'!B:B,'Base stats'!BK:BK) * 10) * 150 + 0.5 + _xlfn.XLOOKUP(B371,'Base stats'!B:B,'Base stats'!BW:BW), 0.05)</f>
        <v>1.4500000000000002</v>
      </c>
      <c r="G371" s="3" t="str">
        <f>IF(Animals!S371="No","No",
IF(_xlfn.XLOOKUP(B371,'Base stats'!B:B,'Base stats'!U:U)="No",
MAX(MROUND(_xlfn.XLOOKUP(B371,'Base stats'!B:B,'Base stats'!BT:BT) * _xlfn.XLOOKUP(B371,'Base stats'!B:B,'Base stats'!BP:BP)^0.9 / 21 * _xlfn.XLOOKUP(B371,'Base stats'!B:B,'Base stats'!BX:BX),0.1),0.05),
MAX(MROUND(((MIN(10,_xlfn.XLOOKUP(B371,'Base stats'!B:B,'Base stats'!U:U)))^0.4*_xlfn.XLOOKUP(B371,'Base stats'!B:B,'Base stats'!BH:BH)^0.73)^0.6 * _xlfn.XLOOKUP(B371,'Base stats'!B:B,'Base stats'!BX:BX),0.1),0.05)
))</f>
        <v>No</v>
      </c>
      <c r="H371" s="11" t="str">
        <f>IF(G371="No","No",
MROUND(_xlfn.XLOOKUP(B371,'Base stats'!B:B,'Base stats'!BH:BH) * 0.01 * 2 + 0.05, 0.05)
)</f>
        <v>No</v>
      </c>
      <c r="I371" s="11" t="str">
        <f>IF(G371="No","No",IF(_xlfn.XLOOKUP(B371,'Base stats'!B:B,'Base stats'!U:U)="No","No",
MROUND(_xlfn.XLOOKUP(B371,'Base stats'!B:B,'Base stats'!BT:BT)/10000+0.01,0.01)
))</f>
        <v>No</v>
      </c>
      <c r="J371" s="4" t="str">
        <f>IF(G371="No","No",
MROUND(_xlfn.XLOOKUP(B371,'Base stats'!B:B,'Base stats'!BE:BE)^0.25
/((_xlfn.XLOOKUP(B371,'Base stats'!B:B,'Base stats'!BL:BL))*10)*_xlfn.XLOOKUP(_xlfn.XLOOKUP(B371,'Base stats'!B:B,'Base stats'!E:E),Groups!A:A,Groups!Q:Q)*150 + 0.5 + _xlfn.XLOOKUP(B371,'Base stats'!B:B,'Base stats'!BW:BW),
0.05))</f>
        <v>No</v>
      </c>
      <c r="K371" s="3">
        <f>IF(Animals!X371="No","No",
IF(_xlfn.XLOOKUP(_xlfn.XLOOKUP(B371,'Base stats'!B:B,'Base stats'!E:E),Groups!A:A,Groups!BD:BD)=1,
MAX(MROUND(_xlfn.XLOOKUP(B371,'Base stats'!B:B,'Base stats'!BU:BU) * _xlfn.XLOOKUP(B371,'Base stats'!B:B,'Base stats'!BQ:BQ)^0.9 / 21 *_xlfn.XLOOKUP(B371,'Base stats'!B:B,'Base stats'!BX:BX),0.1),0.05),
MAX(MROUND(((MIN(10,_xlfn.XLOOKUP(B371,'Base stats'!B:B,'Base stats'!W:W)))^0.4*_xlfn.XLOOKUP(B371,'Base stats'!B:B,'Base stats'!BI:BI)^0.73)^0.6 *_xlfn.XLOOKUP(B371,'Base stats'!B:B,'Base stats'!BX:BX),0.1),0.05)
))</f>
        <v>4.4000000000000004</v>
      </c>
      <c r="L371" s="11">
        <f>IF(K371="No","No",
MROUND(_xlfn.XLOOKUP(B371,'Base stats'!B:B,'Base stats'!BI:BI) * 0.01 *2 + 0.05, 0.05)
)</f>
        <v>3.75</v>
      </c>
      <c r="M371" s="5" t="str">
        <f>IF(K371="No","No",IF(_xlfn.XLOOKUP(_xlfn.XLOOKUP(B371,'Base stats'!B:B,'Base stats'!E:E),Groups!A:A,Groups!BD:BD)=1,"No",
MROUND(_xlfn.XLOOKUP(B371,'Base stats'!B:B,'Base stats'!BU:BU)/10000+0.01,0.01)
))</f>
        <v>No</v>
      </c>
      <c r="N371" s="4">
        <f>IF(K371="No","No",
MROUND(
  _xlfn.XLOOKUP(B371,'Base stats'!B:B,'Base stats'!BC:BC)^0.25
  / (_xlfn.XLOOKUP(B371,'Base stats'!B:B,'Base stats'!BM:BM) * 10)
  * _xlfn.XLOOKUP(
      _xlfn.XLOOKUP(B371,'Base stats'!B:B,'Base stats'!E:E),
      Groups!A:A,
      Groups!V:V
    ) * 150
  + MIN(12, _xlfn.XLOOKUP(B371,'Base stats'!B:B,'Base stats'!W:W))^(1/IF(_xlfn.XLOOKUP(_xlfn.XLOOKUP(B371,'Base stats'!B:B,'Base stats'!E:E),Groups!A:A,Groups!U:U)=1,100,10)) + 0.5 + _xlfn.XLOOKUP(B371,'Base stats'!B:B,'Base stats'!BW:BW),
0.05))</f>
        <v>2.5</v>
      </c>
      <c r="O371" s="3">
        <f>IF(Animals!AD371="No","No",
MAX(MROUND((MIN(10,_xlfn.XLOOKUP(B371,'Base stats'!B:B,'Base stats'!V:V)*IF(_xlfn.XLOOKUP(_xlfn.XLOOKUP(B371,'Base stats'!B:B,'Base stats'!E:E),Groups!A:A,Groups!O:O)=0,1,0.33))^0.4*_xlfn.XLOOKUP(B371,'Base stats'!B:B,'Base stats'!BJ:BJ)^0.73)^0.6 *_xlfn.XLOOKUP(B371,'Base stats'!B:B,'Base stats'!BX:BX),0.1),0.05)
)</f>
        <v>7.8000000000000007</v>
      </c>
      <c r="P371" s="11">
        <f>IF(O371="No","No",
MROUND(_xlfn.XLOOKUP(B371,'Base stats'!B:B,'Base stats'!BJ:BJ) * 0.01 * 2 + 0.05, 0.05)
)</f>
        <v>2.25</v>
      </c>
      <c r="Q371" s="5">
        <f>IF(O371="No","No",
MROUND(_xlfn.XLOOKUP(B371,'Base stats'!B:B,'Base stats'!BV:BV)/10000+0.01,0.01)
)</f>
        <v>0.13</v>
      </c>
      <c r="R371" s="4">
        <f>IF(O371="No","No",
MROUND(_xlfn.XLOOKUP(B371,'Base stats'!B:B,'Base stats'!BB:BB)^0.25
/((_xlfn.XLOOKUP(B371,'Base stats'!B:B,'Base stats'!BN:BN))*10)*_xlfn.XLOOKUP(_xlfn.XLOOKUP(B371,'Base stats'!B:B,'Base stats'!E:E),Groups!A:A,Groups!Z:Z)*150 + 0.5 + _xlfn.XLOOKUP(B371,'Base stats'!B:B,'Base stats'!BW:BW),
0.05))</f>
        <v>2.3000000000000003</v>
      </c>
      <c r="S371" s="3" t="str">
        <f>IF(Animals!AI371="No","No",
IF(_xlfn.XLOOKUP(B371,'Base stats'!B:B,'Base stats'!U:U)="No",
MAX(MROUND(_xlfn.XLOOKUP(B371,'Base stats'!B:B,'Base stats'!BT:BT) * _xlfn.XLOOKUP(B371,'Base stats'!B:B,'Base stats'!BP:BP)^0.9 / 21 * _xlfn.XLOOKUP(B371,'Base stats'!B:B,'Base stats'!BX:BX),0.1),0.05),
MAX(MROUND(((MIN(12,_xlfn.XLOOKUP(B371,'Base stats'!B:B,'Base stats'!U:U)))^0.4*_xlfn.XLOOKUP(B371,'Base stats'!B:B,'Base stats'!BH:BH)^0.73)^0.6 * _xlfn.XLOOKUP(B371,'Base stats'!B:B,'Base stats'!BX:BX),0.1),0.05)
))</f>
        <v>No</v>
      </c>
      <c r="T371" s="11" t="str">
        <f>IF(S371="No","No",
MROUND(_xlfn.XLOOKUP(B371,'Base stats'!B:B,'Base stats'!BH:BH) * 0.01 * 2 + 0.05, 0.05)
)</f>
        <v>No</v>
      </c>
      <c r="U371" s="5" t="str">
        <f>IF(S371="No","No",IF(_xlfn.XLOOKUP(B371,'Base stats'!B:B,'Base stats'!U:U)="No","No",
MROUND(_xlfn.XLOOKUP(B371,'Base stats'!B:B,'Base stats'!BT:BT)/10000+0.01,0.01)
))</f>
        <v>No</v>
      </c>
      <c r="V371" s="4" t="str">
        <f>IF(S371="No","No",
MROUND(_xlfn.XLOOKUP(B371,'Base stats'!B:B,'Base stats'!BF:BF)^0.25
/((_xlfn.XLOOKUP(B371,'Base stats'!B:B,'Base stats'!BO:BO))*10)*_xlfn.XLOOKUP(_xlfn.XLOOKUP(B371,'Base stats'!B:B,'Base stats'!E:E),Groups!A:A,Groups!AE:AE)*150 + 0.5 + _xlfn.XLOOKUP(B371,'Base stats'!B:B,'Base stats'!BW:BW),
0.05))</f>
        <v>No</v>
      </c>
      <c r="W371" s="8">
        <f>MROUND(_xlfn.XLOOKUP(_xlfn.XLOOKUP(B371,'Base stats'!B:B,'Base stats'!E:E),Groups!A:A,Groups!BG:BG)*_xlfn.XLOOKUP(B371,'Base stats'!B:B,'Base stats'!C:C)^-0.165,0.05)</f>
        <v>0.1</v>
      </c>
      <c r="X371" s="1">
        <f>MROUND(_xlfn.XLOOKUP(_xlfn.XLOOKUP(B371,'Base stats'!B:B,'Base stats'!E:E),Groups!A:A,Groups!BH:BH)*_xlfn.XLOOKUP(B371,'Base stats'!B:B,'Base stats'!C:C)^0.165,0.05)</f>
        <v>0.2</v>
      </c>
      <c r="Y371" s="8">
        <f>MROUND(_xlfn.XLOOKUP(_xlfn.XLOOKUP(B371,'Base stats'!B:B,'Base stats'!E:E),Groups!A:A,Groups!BI:BI)*_xlfn.XLOOKUP(B371,'Base stats'!B:B,'Base stats'!C:C)^0.165,0.05)</f>
        <v>0.05</v>
      </c>
      <c r="Z371" s="18">
        <f>MROUND(_xlfn.XLOOKUP(B371,'Base stats'!B:B,'Base stats'!AQ:AQ)*_xlfn.XLOOKUP(_xlfn.XLOOKUP(B371,'Base stats'!B:B,'Base stats'!E:E),Groups!A:A,Groups!H:H)/1000,IF((_xlfn.XLOOKUP(B371,'Base stats'!B:B,'Base stats'!AQ:AQ)*_xlfn.XLOOKUP(_xlfn.XLOOKUP(B371,'Base stats'!B:B,'Base stats'!E:E),Groups!A:A,Groups!H:H)/1000)&gt;1,0.05,0.01))</f>
        <v>7.0000000000000007E-2</v>
      </c>
      <c r="AA371" s="18">
        <f>MROUND((1/2)*(_xlfn.XLOOKUP(_xlfn.XLOOKUP(B371,'Base stats'!B:B,'Base stats'!E:E),Groups!A:A,Groups!H:H)*_xlfn.XLOOKUP(_xlfn.XLOOKUP(B371,'Base stats'!B:B,'Base stats'!E:E),Groups!A:A,Groups!I:I))*_xlfn.XLOOKUP(B371,'Base stats'!B:B,'Base stats'!AQ:AQ)*0.01,0.05)</f>
        <v>0.15000000000000002</v>
      </c>
      <c r="AB371" s="18">
        <f>MROUND(250*(Animals!AO371+Animals!AP371),25)</f>
        <v>550</v>
      </c>
      <c r="AC371" s="18" t="str">
        <f>_xlfn.XLOOKUP(_xlfn.XLOOKUP(B371,'Base stats'!B:B,'Base stats'!E:E),Groups!A:A,Groups!BJ:BJ)</f>
        <v>Quadruped</v>
      </c>
    </row>
    <row r="372" spans="1:29" ht="16.5" thickTop="1" thickBot="1" x14ac:dyDescent="0.3">
      <c r="A372" s="16" t="str">
        <f>Animals!A372</f>
        <v>Dryosaurus</v>
      </c>
      <c r="B372" s="6" t="str">
        <f>Animals!B372</f>
        <v>Dryosaurus altus</v>
      </c>
      <c r="C372" s="1" t="str">
        <f>Animals!C372</f>
        <v>&lt;li&gt;Dryosaurus&lt;/li&gt;</v>
      </c>
      <c r="D372" s="47">
        <f>MIN(MIN(6,_xlfn.XLOOKUP(A372,Animals!A:A,Animals!AO:AO))*20,MAX(MROUND(_xlfn.XLOOKUP(B372,'Base stats'!B:B,'Base stats'!BS:BS) * (_xlfn.XLOOKUP(B372,'Base stats'!B:B,'Base stats'!AO:AO)*5%)^0.9 / 21,0.1),0.05))</f>
        <v>3.2</v>
      </c>
      <c r="E372" s="11">
        <f>MROUND(_xlfn.XLOOKUP(B372,'Base stats'!B:B,'Base stats'!BG:BG) * 0.01 * 2 + 0.01, 0.05)</f>
        <v>2.7</v>
      </c>
      <c r="F372" s="7">
        <f>MROUND(_xlfn.XLOOKUP(B372,'Base stats'!B:B,'Base stats'!BD:BD)^0.25 / (_xlfn.XLOOKUP(B372,'Base stats'!B:B,'Base stats'!BK:BK) * 10) * 150 + 0.5 + _xlfn.XLOOKUP(B372,'Base stats'!B:B,'Base stats'!BW:BW), 0.05)</f>
        <v>1.6500000000000001</v>
      </c>
      <c r="G372" s="3" t="str">
        <f>IF(Animals!S372="No","No",
IF(_xlfn.XLOOKUP(B372,'Base stats'!B:B,'Base stats'!U:U)="No",
MAX(MROUND(_xlfn.XLOOKUP(B372,'Base stats'!B:B,'Base stats'!BT:BT) * _xlfn.XLOOKUP(B372,'Base stats'!B:B,'Base stats'!BP:BP)^0.9 / 21 * _xlfn.XLOOKUP(B372,'Base stats'!B:B,'Base stats'!BX:BX),0.1),0.05),
MAX(MROUND(((MIN(10,_xlfn.XLOOKUP(B372,'Base stats'!B:B,'Base stats'!U:U)))^0.4*_xlfn.XLOOKUP(B372,'Base stats'!B:B,'Base stats'!BH:BH)^0.73)^0.6 * _xlfn.XLOOKUP(B372,'Base stats'!B:B,'Base stats'!BX:BX),0.1),0.05)
))</f>
        <v>No</v>
      </c>
      <c r="H372" s="11" t="str">
        <f>IF(G372="No","No",
MROUND(_xlfn.XLOOKUP(B372,'Base stats'!B:B,'Base stats'!BH:BH) * 0.01 * 2 + 0.05, 0.05)
)</f>
        <v>No</v>
      </c>
      <c r="I372" s="11" t="str">
        <f>IF(G372="No","No",IF(_xlfn.XLOOKUP(B372,'Base stats'!B:B,'Base stats'!U:U)="No","No",
MROUND(_xlfn.XLOOKUP(B372,'Base stats'!B:B,'Base stats'!BT:BT)/10000+0.01,0.01)
))</f>
        <v>No</v>
      </c>
      <c r="J372" s="4" t="str">
        <f>IF(G372="No","No",
MROUND(_xlfn.XLOOKUP(B372,'Base stats'!B:B,'Base stats'!BE:BE)^0.25
/((_xlfn.XLOOKUP(B372,'Base stats'!B:B,'Base stats'!BL:BL))*10)*_xlfn.XLOOKUP(_xlfn.XLOOKUP(B372,'Base stats'!B:B,'Base stats'!E:E),Groups!A:A,Groups!Q:Q)*150 + 0.5 + _xlfn.XLOOKUP(B372,'Base stats'!B:B,'Base stats'!BW:BW),
0.05))</f>
        <v>No</v>
      </c>
      <c r="K372" s="3" t="str">
        <f>IF(Animals!X372="No","No",
IF(_xlfn.XLOOKUP(_xlfn.XLOOKUP(B372,'Base stats'!B:B,'Base stats'!E:E),Groups!A:A,Groups!BD:BD)=1,
MAX(MROUND(_xlfn.XLOOKUP(B372,'Base stats'!B:B,'Base stats'!BU:BU) * _xlfn.XLOOKUP(B372,'Base stats'!B:B,'Base stats'!BQ:BQ)^0.9 / 21 *_xlfn.XLOOKUP(B372,'Base stats'!B:B,'Base stats'!BX:BX),0.1),0.05),
MAX(MROUND(((MIN(10,_xlfn.XLOOKUP(B372,'Base stats'!B:B,'Base stats'!W:W)))^0.4*_xlfn.XLOOKUP(B372,'Base stats'!B:B,'Base stats'!BI:BI)^0.73)^0.6 *_xlfn.XLOOKUP(B372,'Base stats'!B:B,'Base stats'!BX:BX),0.1),0.05)
))</f>
        <v>No</v>
      </c>
      <c r="L372" s="11" t="str">
        <f>IF(K372="No","No",
MROUND(_xlfn.XLOOKUP(B372,'Base stats'!B:B,'Base stats'!BI:BI) * 0.01 *2 + 0.05, 0.05)
)</f>
        <v>No</v>
      </c>
      <c r="M372" s="5" t="str">
        <f>IF(K372="No","No",IF(_xlfn.XLOOKUP(_xlfn.XLOOKUP(B372,'Base stats'!B:B,'Base stats'!E:E),Groups!A:A,Groups!BD:BD)=1,"No",
MROUND(_xlfn.XLOOKUP(B372,'Base stats'!B:B,'Base stats'!BU:BU)/10000+0.01,0.01)
))</f>
        <v>No</v>
      </c>
      <c r="N372" s="4" t="str">
        <f>IF(K372="No","No",
MROUND(
  _xlfn.XLOOKUP(B372,'Base stats'!B:B,'Base stats'!BC:BC)^0.25
  / (_xlfn.XLOOKUP(B372,'Base stats'!B:B,'Base stats'!BM:BM) * 10)
  * _xlfn.XLOOKUP(
      _xlfn.XLOOKUP(B372,'Base stats'!B:B,'Base stats'!E:E),
      Groups!A:A,
      Groups!V:V
    ) * 150
  + MIN(12, _xlfn.XLOOKUP(B372,'Base stats'!B:B,'Base stats'!W:W))^(1/IF(_xlfn.XLOOKUP(_xlfn.XLOOKUP(B372,'Base stats'!B:B,'Base stats'!E:E),Groups!A:A,Groups!U:U)=1,100,10)) + 0.5 + _xlfn.XLOOKUP(B372,'Base stats'!B:B,'Base stats'!BW:BW),
0.05))</f>
        <v>No</v>
      </c>
      <c r="O372" s="3">
        <f>IF(Animals!AD372="No","No",
MAX(MROUND((MIN(10,_xlfn.XLOOKUP(B372,'Base stats'!B:B,'Base stats'!V:V)*IF(_xlfn.XLOOKUP(_xlfn.XLOOKUP(B372,'Base stats'!B:B,'Base stats'!E:E),Groups!A:A,Groups!O:O)=0,1,0.33))^0.4*_xlfn.XLOOKUP(B372,'Base stats'!B:B,'Base stats'!BJ:BJ)^0.73)^0.6 *_xlfn.XLOOKUP(B372,'Base stats'!B:B,'Base stats'!BX:BX),0.1),0.05)
)</f>
        <v>9.9</v>
      </c>
      <c r="P372" s="11">
        <f>IF(O372="No","No",
MROUND(_xlfn.XLOOKUP(B372,'Base stats'!B:B,'Base stats'!BJ:BJ) * 0.01 * 2 + 0.05, 0.05)
)</f>
        <v>2.35</v>
      </c>
      <c r="Q372" s="5">
        <f>IF(O372="No","No",
MROUND(_xlfn.XLOOKUP(B372,'Base stats'!B:B,'Base stats'!BV:BV)/10000+0.01,0.01)
)</f>
        <v>0.13</v>
      </c>
      <c r="R372" s="4">
        <f>IF(O372="No","No",
MROUND(_xlfn.XLOOKUP(B372,'Base stats'!B:B,'Base stats'!BB:BB)^0.25
/((_xlfn.XLOOKUP(B372,'Base stats'!B:B,'Base stats'!BN:BN))*10)*_xlfn.XLOOKUP(_xlfn.XLOOKUP(B372,'Base stats'!B:B,'Base stats'!E:E),Groups!A:A,Groups!Z:Z)*150 + 0.5 + _xlfn.XLOOKUP(B372,'Base stats'!B:B,'Base stats'!BW:BW),
0.05))</f>
        <v>2.3000000000000003</v>
      </c>
      <c r="S372" s="3" t="str">
        <f>IF(Animals!AI372="No","No",
IF(_xlfn.XLOOKUP(B372,'Base stats'!B:B,'Base stats'!U:U)="No",
MAX(MROUND(_xlfn.XLOOKUP(B372,'Base stats'!B:B,'Base stats'!BT:BT) * _xlfn.XLOOKUP(B372,'Base stats'!B:B,'Base stats'!BP:BP)^0.9 / 21 * _xlfn.XLOOKUP(B372,'Base stats'!B:B,'Base stats'!BX:BX),0.1),0.05),
MAX(MROUND(((MIN(12,_xlfn.XLOOKUP(B372,'Base stats'!B:B,'Base stats'!U:U)))^0.4*_xlfn.XLOOKUP(B372,'Base stats'!B:B,'Base stats'!BH:BH)^0.73)^0.6 * _xlfn.XLOOKUP(B372,'Base stats'!B:B,'Base stats'!BX:BX),0.1),0.05)
))</f>
        <v>No</v>
      </c>
      <c r="T372" s="11" t="str">
        <f>IF(S372="No","No",
MROUND(_xlfn.XLOOKUP(B372,'Base stats'!B:B,'Base stats'!BH:BH) * 0.01 * 2 + 0.05, 0.05)
)</f>
        <v>No</v>
      </c>
      <c r="U372" s="5" t="str">
        <f>IF(S372="No","No",IF(_xlfn.XLOOKUP(B372,'Base stats'!B:B,'Base stats'!U:U)="No","No",
MROUND(_xlfn.XLOOKUP(B372,'Base stats'!B:B,'Base stats'!BT:BT)/10000+0.01,0.01)
))</f>
        <v>No</v>
      </c>
      <c r="V372" s="4" t="str">
        <f>IF(S372="No","No",
MROUND(_xlfn.XLOOKUP(B372,'Base stats'!B:B,'Base stats'!BF:BF)^0.25
/((_xlfn.XLOOKUP(B372,'Base stats'!B:B,'Base stats'!BO:BO))*10)*_xlfn.XLOOKUP(_xlfn.XLOOKUP(B372,'Base stats'!B:B,'Base stats'!E:E),Groups!A:A,Groups!AE:AE)*150 + 0.5 + _xlfn.XLOOKUP(B372,'Base stats'!B:B,'Base stats'!BW:BW),
0.05))</f>
        <v>No</v>
      </c>
      <c r="W372" s="8">
        <f>MROUND(_xlfn.XLOOKUP(_xlfn.XLOOKUP(B372,'Base stats'!B:B,'Base stats'!E:E),Groups!A:A,Groups!BG:BG)*_xlfn.XLOOKUP(B372,'Base stats'!B:B,'Base stats'!C:C)^-0.165,0.05)</f>
        <v>0.35000000000000003</v>
      </c>
      <c r="X372" s="1">
        <f>MROUND(_xlfn.XLOOKUP(_xlfn.XLOOKUP(B372,'Base stats'!B:B,'Base stats'!E:E),Groups!A:A,Groups!BH:BH)*_xlfn.XLOOKUP(B372,'Base stats'!B:B,'Base stats'!C:C)^0.165,0.05)</f>
        <v>0</v>
      </c>
      <c r="Y372" s="8">
        <f>MROUND(_xlfn.XLOOKUP(_xlfn.XLOOKUP(B372,'Base stats'!B:B,'Base stats'!E:E),Groups!A:A,Groups!BI:BI)*_xlfn.XLOOKUP(B372,'Base stats'!B:B,'Base stats'!C:C)^0.165,0.05)</f>
        <v>0.05</v>
      </c>
      <c r="Z372" s="18">
        <f>MROUND(_xlfn.XLOOKUP(B372,'Base stats'!B:B,'Base stats'!AQ:AQ)*_xlfn.XLOOKUP(_xlfn.XLOOKUP(B372,'Base stats'!B:B,'Base stats'!E:E),Groups!A:A,Groups!H:H)/1000,IF((_xlfn.XLOOKUP(B372,'Base stats'!B:B,'Base stats'!AQ:AQ)*_xlfn.XLOOKUP(_xlfn.XLOOKUP(B372,'Base stats'!B:B,'Base stats'!E:E),Groups!A:A,Groups!H:H)/1000)&gt;1,0.05,0.01))</f>
        <v>0.08</v>
      </c>
      <c r="AA372" s="18">
        <f>MROUND((1/2)*(_xlfn.XLOOKUP(_xlfn.XLOOKUP(B372,'Base stats'!B:B,'Base stats'!E:E),Groups!A:A,Groups!H:H)*_xlfn.XLOOKUP(_xlfn.XLOOKUP(B372,'Base stats'!B:B,'Base stats'!E:E),Groups!A:A,Groups!I:I))*_xlfn.XLOOKUP(B372,'Base stats'!B:B,'Base stats'!AQ:AQ)*0.01,0.05)</f>
        <v>0.15000000000000002</v>
      </c>
      <c r="AB372" s="18">
        <f>MROUND(250*(Animals!AO372+Animals!AP372),25)</f>
        <v>725</v>
      </c>
      <c r="AC372" s="18" t="str">
        <f>_xlfn.XLOOKUP(_xlfn.XLOOKUP(B372,'Base stats'!B:B,'Base stats'!E:E),Groups!A:A,Groups!BJ:BJ)</f>
        <v>Birdlike</v>
      </c>
    </row>
    <row r="373" spans="1:29" ht="16.5" thickTop="1" thickBot="1" x14ac:dyDescent="0.3">
      <c r="A373" s="16" t="str">
        <f>Animals!A373</f>
        <v>Stegosaurus</v>
      </c>
      <c r="B373" s="6" t="str">
        <f>Animals!B373</f>
        <v>Stegosaurus stenops</v>
      </c>
      <c r="C373" s="1" t="str">
        <f>Animals!C373</f>
        <v>&lt;li&gt;Stegosaurus&lt;/li&gt;</v>
      </c>
      <c r="D373" s="47">
        <f>MIN(MIN(6,_xlfn.XLOOKUP(A373,Animals!A:A,Animals!AO:AO))*20,MAX(MROUND(_xlfn.XLOOKUP(B373,'Base stats'!B:B,'Base stats'!BS:BS) * (_xlfn.XLOOKUP(B373,'Base stats'!B:B,'Base stats'!AO:AO)*5%)^0.9 / 21,0.1),0.05))</f>
        <v>33.6</v>
      </c>
      <c r="E373" s="11">
        <f>MROUND(_xlfn.XLOOKUP(B373,'Base stats'!B:B,'Base stats'!BG:BG) * 0.01 * 2 + 0.01, 0.05)</f>
        <v>36.1</v>
      </c>
      <c r="F373" s="7">
        <f>MROUND(_xlfn.XLOOKUP(B373,'Base stats'!B:B,'Base stats'!BD:BD)^0.25 / (_xlfn.XLOOKUP(B373,'Base stats'!B:B,'Base stats'!BK:BK) * 10) * 150 + 0.5 + _xlfn.XLOOKUP(B373,'Base stats'!B:B,'Base stats'!BW:BW), 0.05)</f>
        <v>2.95</v>
      </c>
      <c r="G373" s="3" t="str">
        <f>IF(Animals!S373="No","No",
IF(_xlfn.XLOOKUP(B373,'Base stats'!B:B,'Base stats'!U:U)="No",
MAX(MROUND(_xlfn.XLOOKUP(B373,'Base stats'!B:B,'Base stats'!BT:BT) * _xlfn.XLOOKUP(B373,'Base stats'!B:B,'Base stats'!BP:BP)^0.9 / 21 * _xlfn.XLOOKUP(B373,'Base stats'!B:B,'Base stats'!BX:BX),0.1),0.05),
MAX(MROUND(((MIN(10,_xlfn.XLOOKUP(B373,'Base stats'!B:B,'Base stats'!U:U)))^0.4*_xlfn.XLOOKUP(B373,'Base stats'!B:B,'Base stats'!BH:BH)^0.73)^0.6 * _xlfn.XLOOKUP(B373,'Base stats'!B:B,'Base stats'!BX:BX),0.1),0.05)
))</f>
        <v>No</v>
      </c>
      <c r="H373" s="11" t="str">
        <f>IF(G373="No","No",
MROUND(_xlfn.XLOOKUP(B373,'Base stats'!B:B,'Base stats'!BH:BH) * 0.01 * 2 + 0.05, 0.05)
)</f>
        <v>No</v>
      </c>
      <c r="I373" s="11" t="str">
        <f>IF(G373="No","No",IF(_xlfn.XLOOKUP(B373,'Base stats'!B:B,'Base stats'!U:U)="No","No",
MROUND(_xlfn.XLOOKUP(B373,'Base stats'!B:B,'Base stats'!BT:BT)/10000+0.01,0.01)
))</f>
        <v>No</v>
      </c>
      <c r="J373" s="4" t="str">
        <f>IF(G373="No","No",
MROUND(_xlfn.XLOOKUP(B373,'Base stats'!B:B,'Base stats'!BE:BE)^0.25
/((_xlfn.XLOOKUP(B373,'Base stats'!B:B,'Base stats'!BL:BL))*10)*_xlfn.XLOOKUP(_xlfn.XLOOKUP(B373,'Base stats'!B:B,'Base stats'!E:E),Groups!A:A,Groups!Q:Q)*150 + 0.5 + _xlfn.XLOOKUP(B373,'Base stats'!B:B,'Base stats'!BW:BW),
0.05))</f>
        <v>No</v>
      </c>
      <c r="K373" s="3">
        <f>IF(Animals!X373="No","No",
IF(_xlfn.XLOOKUP(_xlfn.XLOOKUP(B373,'Base stats'!B:B,'Base stats'!E:E),Groups!A:A,Groups!BD:BD)=1,
MAX(MROUND(_xlfn.XLOOKUP(B373,'Base stats'!B:B,'Base stats'!BU:BU) * _xlfn.XLOOKUP(B373,'Base stats'!B:B,'Base stats'!BQ:BQ)^0.9 / 21 *_xlfn.XLOOKUP(B373,'Base stats'!B:B,'Base stats'!BX:BX),0.1),0.05),
MAX(MROUND(((MIN(10,_xlfn.XLOOKUP(B373,'Base stats'!B:B,'Base stats'!W:W)))^0.4*_xlfn.XLOOKUP(B373,'Base stats'!B:B,'Base stats'!BI:BI)^0.73)^0.6 *_xlfn.XLOOKUP(B373,'Base stats'!B:B,'Base stats'!BX:BX),0.1),0.05)
))</f>
        <v>47.7</v>
      </c>
      <c r="L373" s="11">
        <f>IF(K373="No","No",
MROUND(_xlfn.XLOOKUP(B373,'Base stats'!B:B,'Base stats'!BI:BI) * 0.01 *2 + 0.05, 0.05)
)</f>
        <v>38.550000000000004</v>
      </c>
      <c r="M373" s="5">
        <f>IF(K373="No","No",IF(_xlfn.XLOOKUP(_xlfn.XLOOKUP(B373,'Base stats'!B:B,'Base stats'!E:E),Groups!A:A,Groups!BD:BD)=1,"No",
MROUND(_xlfn.XLOOKUP(B373,'Base stats'!B:B,'Base stats'!BU:BU)/10000+0.01,0.01)
))</f>
        <v>1.7</v>
      </c>
      <c r="N373" s="4">
        <f>IF(K373="No","No",
MROUND(
  _xlfn.XLOOKUP(B373,'Base stats'!B:B,'Base stats'!BC:BC)^0.25
  / (_xlfn.XLOOKUP(B373,'Base stats'!B:B,'Base stats'!BM:BM) * 10)
  * _xlfn.XLOOKUP(
      _xlfn.XLOOKUP(B373,'Base stats'!B:B,'Base stats'!E:E),
      Groups!A:A,
      Groups!V:V
    ) * 150
  + MIN(12, _xlfn.XLOOKUP(B373,'Base stats'!B:B,'Base stats'!W:W))^(1/IF(_xlfn.XLOOKUP(_xlfn.XLOOKUP(B373,'Base stats'!B:B,'Base stats'!E:E),Groups!A:A,Groups!U:U)=1,100,10)) + 0.5 + _xlfn.XLOOKUP(B373,'Base stats'!B:B,'Base stats'!BW:BW),
0.05))</f>
        <v>4.2</v>
      </c>
      <c r="O373" s="3" t="str">
        <f>IF(Animals!AD373="No","No",
MAX(MROUND((MIN(10,_xlfn.XLOOKUP(B373,'Base stats'!B:B,'Base stats'!V:V)*IF(_xlfn.XLOOKUP(_xlfn.XLOOKUP(B373,'Base stats'!B:B,'Base stats'!E:E),Groups!A:A,Groups!O:O)=0,1,0.33))^0.4*_xlfn.XLOOKUP(B373,'Base stats'!B:B,'Base stats'!BJ:BJ)^0.73)^0.6 *_xlfn.XLOOKUP(B373,'Base stats'!B:B,'Base stats'!BX:BX),0.1),0.05)
)</f>
        <v>No</v>
      </c>
      <c r="P373" s="11" t="str">
        <f>IF(O373="No","No",
MROUND(_xlfn.XLOOKUP(B373,'Base stats'!B:B,'Base stats'!BJ:BJ) * 0.01 * 2 + 0.05, 0.05)
)</f>
        <v>No</v>
      </c>
      <c r="Q373" s="5" t="str">
        <f>IF(O373="No","No",
MROUND(_xlfn.XLOOKUP(B373,'Base stats'!B:B,'Base stats'!BV:BV)/10000+0.01,0.01)
)</f>
        <v>No</v>
      </c>
      <c r="R373" s="4" t="str">
        <f>IF(O373="No","No",
MROUND(_xlfn.XLOOKUP(B373,'Base stats'!B:B,'Base stats'!BB:BB)^0.25
/((_xlfn.XLOOKUP(B373,'Base stats'!B:B,'Base stats'!BN:BN))*10)*_xlfn.XLOOKUP(_xlfn.XLOOKUP(B373,'Base stats'!B:B,'Base stats'!E:E),Groups!A:A,Groups!Z:Z)*150 + 0.5 + _xlfn.XLOOKUP(B373,'Base stats'!B:B,'Base stats'!BW:BW),
0.05))</f>
        <v>No</v>
      </c>
      <c r="S373" s="3" t="str">
        <f>IF(Animals!AI373="No","No",
IF(_xlfn.XLOOKUP(B373,'Base stats'!B:B,'Base stats'!U:U)="No",
MAX(MROUND(_xlfn.XLOOKUP(B373,'Base stats'!B:B,'Base stats'!BT:BT) * _xlfn.XLOOKUP(B373,'Base stats'!B:B,'Base stats'!BP:BP)^0.9 / 21 * _xlfn.XLOOKUP(B373,'Base stats'!B:B,'Base stats'!BX:BX),0.1),0.05),
MAX(MROUND(((MIN(12,_xlfn.XLOOKUP(B373,'Base stats'!B:B,'Base stats'!U:U)))^0.4*_xlfn.XLOOKUP(B373,'Base stats'!B:B,'Base stats'!BH:BH)^0.73)^0.6 * _xlfn.XLOOKUP(B373,'Base stats'!B:B,'Base stats'!BX:BX),0.1),0.05)
))</f>
        <v>No</v>
      </c>
      <c r="T373" s="11" t="str">
        <f>IF(S373="No","No",
MROUND(_xlfn.XLOOKUP(B373,'Base stats'!B:B,'Base stats'!BH:BH) * 0.01 * 2 + 0.05, 0.05)
)</f>
        <v>No</v>
      </c>
      <c r="U373" s="5" t="str">
        <f>IF(S373="No","No",IF(_xlfn.XLOOKUP(B373,'Base stats'!B:B,'Base stats'!U:U)="No","No",
MROUND(_xlfn.XLOOKUP(B373,'Base stats'!B:B,'Base stats'!BT:BT)/10000+0.01,0.01)
))</f>
        <v>No</v>
      </c>
      <c r="V373" s="4" t="str">
        <f>IF(S373="No","No",
MROUND(_xlfn.XLOOKUP(B373,'Base stats'!B:B,'Base stats'!BF:BF)^0.25
/((_xlfn.XLOOKUP(B373,'Base stats'!B:B,'Base stats'!BO:BO))*10)*_xlfn.XLOOKUP(_xlfn.XLOOKUP(B373,'Base stats'!B:B,'Base stats'!E:E),Groups!A:A,Groups!AE:AE)*150 + 0.5 + _xlfn.XLOOKUP(B373,'Base stats'!B:B,'Base stats'!BW:BW),
0.05))</f>
        <v>No</v>
      </c>
      <c r="W373" s="8">
        <f>MROUND(_xlfn.XLOOKUP(_xlfn.XLOOKUP(B373,'Base stats'!B:B,'Base stats'!E:E),Groups!A:A,Groups!BG:BG)*_xlfn.XLOOKUP(B373,'Base stats'!B:B,'Base stats'!C:C)^-0.165,0.05)</f>
        <v>0</v>
      </c>
      <c r="X373" s="1">
        <f>MROUND(_xlfn.XLOOKUP(_xlfn.XLOOKUP(B373,'Base stats'!B:B,'Base stats'!E:E),Groups!A:A,Groups!BH:BH)*_xlfn.XLOOKUP(B373,'Base stats'!B:B,'Base stats'!C:C)^0.165,0.05)</f>
        <v>0.4</v>
      </c>
      <c r="Y373" s="8">
        <f>MROUND(_xlfn.XLOOKUP(_xlfn.XLOOKUP(B373,'Base stats'!B:B,'Base stats'!E:E),Groups!A:A,Groups!BI:BI)*_xlfn.XLOOKUP(B373,'Base stats'!B:B,'Base stats'!C:C)^0.165,0.05)</f>
        <v>0.1</v>
      </c>
      <c r="Z373" s="18">
        <f>MROUND(_xlfn.XLOOKUP(B373,'Base stats'!B:B,'Base stats'!AQ:AQ)*_xlfn.XLOOKUP(_xlfn.XLOOKUP(B373,'Base stats'!B:B,'Base stats'!E:E),Groups!A:A,Groups!H:H)/1000,IF((_xlfn.XLOOKUP(B373,'Base stats'!B:B,'Base stats'!AQ:AQ)*_xlfn.XLOOKUP(_xlfn.XLOOKUP(B373,'Base stats'!B:B,'Base stats'!E:E),Groups!A:A,Groups!H:H)/1000)&gt;1,0.05,0.01))</f>
        <v>0.67</v>
      </c>
      <c r="AA373" s="18">
        <f>MROUND((1/2)*(_xlfn.XLOOKUP(_xlfn.XLOOKUP(B373,'Base stats'!B:B,'Base stats'!E:E),Groups!A:A,Groups!H:H)*_xlfn.XLOOKUP(_xlfn.XLOOKUP(B373,'Base stats'!B:B,'Base stats'!E:E),Groups!A:A,Groups!I:I))*_xlfn.XLOOKUP(B373,'Base stats'!B:B,'Base stats'!AQ:AQ)*0.01,0.05)</f>
        <v>1.25</v>
      </c>
      <c r="AB373" s="18">
        <f>MROUND(250*(Animals!AO373+Animals!AP373),25)</f>
        <v>2375</v>
      </c>
      <c r="AC373" s="18" t="str">
        <f>_xlfn.XLOOKUP(_xlfn.XLOOKUP(B373,'Base stats'!B:B,'Base stats'!E:E),Groups!A:A,Groups!BJ:BJ)</f>
        <v>Quadruped</v>
      </c>
    </row>
    <row r="374" spans="1:29" ht="16.5" thickTop="1" thickBot="1" x14ac:dyDescent="0.3">
      <c r="A374" s="16" t="str">
        <f>Animals!A374</f>
        <v>Protoceratops</v>
      </c>
      <c r="B374" s="6" t="str">
        <f>Animals!B374</f>
        <v>Protoceratops andrewsi</v>
      </c>
      <c r="C374" s="1" t="str">
        <f>Animals!C374</f>
        <v>&lt;li&gt;Protoceratops&lt;/li&gt;</v>
      </c>
      <c r="D374" s="47">
        <f>MIN(MIN(6,_xlfn.XLOOKUP(A374,Animals!A:A,Animals!AO:AO))*20,MAX(MROUND(_xlfn.XLOOKUP(B374,'Base stats'!B:B,'Base stats'!BS:BS) * (_xlfn.XLOOKUP(B374,'Base stats'!B:B,'Base stats'!AO:AO)*5%)^0.9 / 21,0.1),0.05))</f>
        <v>1.3</v>
      </c>
      <c r="E374" s="11">
        <f>MROUND(_xlfn.XLOOKUP(B374,'Base stats'!B:B,'Base stats'!BG:BG) * 0.01 * 2 + 0.01, 0.05)</f>
        <v>1.1000000000000001</v>
      </c>
      <c r="F374" s="7">
        <f>MROUND(_xlfn.XLOOKUP(B374,'Base stats'!B:B,'Base stats'!BD:BD)^0.25 / (_xlfn.XLOOKUP(B374,'Base stats'!B:B,'Base stats'!BK:BK) * 10) * 150 + 0.5 + _xlfn.XLOOKUP(B374,'Base stats'!B:B,'Base stats'!BW:BW), 0.05)</f>
        <v>2.2000000000000002</v>
      </c>
      <c r="G374" s="3" t="str">
        <f>IF(Animals!S374="No","No",
IF(_xlfn.XLOOKUP(B374,'Base stats'!B:B,'Base stats'!U:U)="No",
MAX(MROUND(_xlfn.XLOOKUP(B374,'Base stats'!B:B,'Base stats'!BT:BT) * _xlfn.XLOOKUP(B374,'Base stats'!B:B,'Base stats'!BP:BP)^0.9 / 21 * _xlfn.XLOOKUP(B374,'Base stats'!B:B,'Base stats'!BX:BX),0.1),0.05),
MAX(MROUND(((MIN(10,_xlfn.XLOOKUP(B374,'Base stats'!B:B,'Base stats'!U:U)))^0.4*_xlfn.XLOOKUP(B374,'Base stats'!B:B,'Base stats'!BH:BH)^0.73)^0.6 * _xlfn.XLOOKUP(B374,'Base stats'!B:B,'Base stats'!BX:BX),0.1),0.05)
))</f>
        <v>No</v>
      </c>
      <c r="H374" s="11" t="str">
        <f>IF(G374="No","No",
MROUND(_xlfn.XLOOKUP(B374,'Base stats'!B:B,'Base stats'!BH:BH) * 0.01 * 2 + 0.05, 0.05)
)</f>
        <v>No</v>
      </c>
      <c r="I374" s="11" t="str">
        <f>IF(G374="No","No",IF(_xlfn.XLOOKUP(B374,'Base stats'!B:B,'Base stats'!U:U)="No","No",
MROUND(_xlfn.XLOOKUP(B374,'Base stats'!B:B,'Base stats'!BT:BT)/10000+0.01,0.01)
))</f>
        <v>No</v>
      </c>
      <c r="J374" s="4" t="str">
        <f>IF(G374="No","No",
MROUND(_xlfn.XLOOKUP(B374,'Base stats'!B:B,'Base stats'!BE:BE)^0.25
/((_xlfn.XLOOKUP(B374,'Base stats'!B:B,'Base stats'!BL:BL))*10)*_xlfn.XLOOKUP(_xlfn.XLOOKUP(B374,'Base stats'!B:B,'Base stats'!E:E),Groups!A:A,Groups!Q:Q)*150 + 0.5 + _xlfn.XLOOKUP(B374,'Base stats'!B:B,'Base stats'!BW:BW),
0.05))</f>
        <v>No</v>
      </c>
      <c r="K374" s="3" t="str">
        <f>IF(Animals!X374="No","No",
IF(_xlfn.XLOOKUP(_xlfn.XLOOKUP(B374,'Base stats'!B:B,'Base stats'!E:E),Groups!A:A,Groups!BD:BD)=1,
MAX(MROUND(_xlfn.XLOOKUP(B374,'Base stats'!B:B,'Base stats'!BU:BU) * _xlfn.XLOOKUP(B374,'Base stats'!B:B,'Base stats'!BQ:BQ)^0.9 / 21 *_xlfn.XLOOKUP(B374,'Base stats'!B:B,'Base stats'!BX:BX),0.1),0.05),
MAX(MROUND(((MIN(10,_xlfn.XLOOKUP(B374,'Base stats'!B:B,'Base stats'!W:W)))^0.4*_xlfn.XLOOKUP(B374,'Base stats'!B:B,'Base stats'!BI:BI)^0.73)^0.6 *_xlfn.XLOOKUP(B374,'Base stats'!B:B,'Base stats'!BX:BX),0.1),0.05)
))</f>
        <v>No</v>
      </c>
      <c r="L374" s="11" t="str">
        <f>IF(K374="No","No",
MROUND(_xlfn.XLOOKUP(B374,'Base stats'!B:B,'Base stats'!BI:BI) * 0.01 *2 + 0.05, 0.05)
)</f>
        <v>No</v>
      </c>
      <c r="M374" s="5" t="str">
        <f>IF(K374="No","No",IF(_xlfn.XLOOKUP(_xlfn.XLOOKUP(B374,'Base stats'!B:B,'Base stats'!E:E),Groups!A:A,Groups!BD:BD)=1,"No",
MROUND(_xlfn.XLOOKUP(B374,'Base stats'!B:B,'Base stats'!BU:BU)/10000+0.01,0.01)
))</f>
        <v>No</v>
      </c>
      <c r="N374" s="4" t="str">
        <f>IF(K374="No","No",
MROUND(
  _xlfn.XLOOKUP(B374,'Base stats'!B:B,'Base stats'!BC:BC)^0.25
  / (_xlfn.XLOOKUP(B374,'Base stats'!B:B,'Base stats'!BM:BM) * 10)
  * _xlfn.XLOOKUP(
      _xlfn.XLOOKUP(B374,'Base stats'!B:B,'Base stats'!E:E),
      Groups!A:A,
      Groups!V:V
    ) * 150
  + MIN(12, _xlfn.XLOOKUP(B374,'Base stats'!B:B,'Base stats'!W:W))^(1/IF(_xlfn.XLOOKUP(_xlfn.XLOOKUP(B374,'Base stats'!B:B,'Base stats'!E:E),Groups!A:A,Groups!U:U)=1,100,10)) + 0.5 + _xlfn.XLOOKUP(B374,'Base stats'!B:B,'Base stats'!BW:BW),
0.05))</f>
        <v>No</v>
      </c>
      <c r="O374" s="3">
        <f>IF(Animals!AD374="No","No",
MAX(MROUND((MIN(10,_xlfn.XLOOKUP(B374,'Base stats'!B:B,'Base stats'!V:V)*IF(_xlfn.XLOOKUP(_xlfn.XLOOKUP(B374,'Base stats'!B:B,'Base stats'!E:E),Groups!A:A,Groups!O:O)=0,1,0.33))^0.4*_xlfn.XLOOKUP(B374,'Base stats'!B:B,'Base stats'!BJ:BJ)^0.73)^0.6 *_xlfn.XLOOKUP(B374,'Base stats'!B:B,'Base stats'!BX:BX),0.1),0.05)
)</f>
        <v>8.8000000000000007</v>
      </c>
      <c r="P374" s="11">
        <f>IF(O374="No","No",
MROUND(_xlfn.XLOOKUP(B374,'Base stats'!B:B,'Base stats'!BJ:BJ) * 0.01 * 2 + 0.05, 0.05)
)</f>
        <v>2.25</v>
      </c>
      <c r="Q374" s="5">
        <f>IF(O374="No","No",
MROUND(_xlfn.XLOOKUP(B374,'Base stats'!B:B,'Base stats'!BV:BV)/10000+0.01,0.01)
)</f>
        <v>0.13</v>
      </c>
      <c r="R374" s="4">
        <f>IF(O374="No","No",
MROUND(_xlfn.XLOOKUP(B374,'Base stats'!B:B,'Base stats'!BB:BB)^0.25
/((_xlfn.XLOOKUP(B374,'Base stats'!B:B,'Base stats'!BN:BN))*10)*_xlfn.XLOOKUP(_xlfn.XLOOKUP(B374,'Base stats'!B:B,'Base stats'!E:E),Groups!A:A,Groups!Z:Z)*150 + 0.5 + _xlfn.XLOOKUP(B374,'Base stats'!B:B,'Base stats'!BW:BW),
0.05))</f>
        <v>2.3000000000000003</v>
      </c>
      <c r="S374" s="3" t="str">
        <f>IF(Animals!AI374="No","No",
IF(_xlfn.XLOOKUP(B374,'Base stats'!B:B,'Base stats'!U:U)="No",
MAX(MROUND(_xlfn.XLOOKUP(B374,'Base stats'!B:B,'Base stats'!BT:BT) * _xlfn.XLOOKUP(B374,'Base stats'!B:B,'Base stats'!BP:BP)^0.9 / 21 * _xlfn.XLOOKUP(B374,'Base stats'!B:B,'Base stats'!BX:BX),0.1),0.05),
MAX(MROUND(((MIN(12,_xlfn.XLOOKUP(B374,'Base stats'!B:B,'Base stats'!U:U)))^0.4*_xlfn.XLOOKUP(B374,'Base stats'!B:B,'Base stats'!BH:BH)^0.73)^0.6 * _xlfn.XLOOKUP(B374,'Base stats'!B:B,'Base stats'!BX:BX),0.1),0.05)
))</f>
        <v>No</v>
      </c>
      <c r="T374" s="11" t="str">
        <f>IF(S374="No","No",
MROUND(_xlfn.XLOOKUP(B374,'Base stats'!B:B,'Base stats'!BH:BH) * 0.01 * 2 + 0.05, 0.05)
)</f>
        <v>No</v>
      </c>
      <c r="U374" s="5" t="str">
        <f>IF(S374="No","No",IF(_xlfn.XLOOKUP(B374,'Base stats'!B:B,'Base stats'!U:U)="No","No",
MROUND(_xlfn.XLOOKUP(B374,'Base stats'!B:B,'Base stats'!BT:BT)/10000+0.01,0.01)
))</f>
        <v>No</v>
      </c>
      <c r="V374" s="4" t="str">
        <f>IF(S374="No","No",
MROUND(_xlfn.XLOOKUP(B374,'Base stats'!B:B,'Base stats'!BF:BF)^0.25
/((_xlfn.XLOOKUP(B374,'Base stats'!B:B,'Base stats'!BO:BO))*10)*_xlfn.XLOOKUP(_xlfn.XLOOKUP(B374,'Base stats'!B:B,'Base stats'!E:E),Groups!A:A,Groups!AE:AE)*150 + 0.5 + _xlfn.XLOOKUP(B374,'Base stats'!B:B,'Base stats'!BW:BW),
0.05))</f>
        <v>No</v>
      </c>
      <c r="W374" s="8">
        <f>MROUND(_xlfn.XLOOKUP(_xlfn.XLOOKUP(B374,'Base stats'!B:B,'Base stats'!E:E),Groups!A:A,Groups!BG:BG)*_xlfn.XLOOKUP(B374,'Base stats'!B:B,'Base stats'!C:C)^-0.165,0.05)</f>
        <v>0.1</v>
      </c>
      <c r="X374" s="1">
        <f>MROUND(_xlfn.XLOOKUP(_xlfn.XLOOKUP(B374,'Base stats'!B:B,'Base stats'!E:E),Groups!A:A,Groups!BH:BH)*_xlfn.XLOOKUP(B374,'Base stats'!B:B,'Base stats'!C:C)^0.165,0.05)</f>
        <v>0.2</v>
      </c>
      <c r="Y374" s="8">
        <f>MROUND(_xlfn.XLOOKUP(_xlfn.XLOOKUP(B374,'Base stats'!B:B,'Base stats'!E:E),Groups!A:A,Groups!BI:BI)*_xlfn.XLOOKUP(B374,'Base stats'!B:B,'Base stats'!C:C)^0.165,0.05)</f>
        <v>0.05</v>
      </c>
      <c r="Z374" s="18">
        <f>MROUND(_xlfn.XLOOKUP(B374,'Base stats'!B:B,'Base stats'!AQ:AQ)*_xlfn.XLOOKUP(_xlfn.XLOOKUP(B374,'Base stats'!B:B,'Base stats'!E:E),Groups!A:A,Groups!H:H)/1000,IF((_xlfn.XLOOKUP(B374,'Base stats'!B:B,'Base stats'!AQ:AQ)*_xlfn.XLOOKUP(_xlfn.XLOOKUP(B374,'Base stats'!B:B,'Base stats'!E:E),Groups!A:A,Groups!H:H)/1000)&gt;1,0.05,0.01))</f>
        <v>7.0000000000000007E-2</v>
      </c>
      <c r="AA374" s="18">
        <f>MROUND((1/2)*(_xlfn.XLOOKUP(_xlfn.XLOOKUP(B374,'Base stats'!B:B,'Base stats'!E:E),Groups!A:A,Groups!H:H)*_xlfn.XLOOKUP(_xlfn.XLOOKUP(B374,'Base stats'!B:B,'Base stats'!E:E),Groups!A:A,Groups!I:I))*_xlfn.XLOOKUP(B374,'Base stats'!B:B,'Base stats'!AQ:AQ)*0.01,0.05)</f>
        <v>0.15000000000000002</v>
      </c>
      <c r="AB374" s="18">
        <f>MROUND(250*(Animals!AO374+Animals!AP374),25)</f>
        <v>550</v>
      </c>
      <c r="AC374" s="18" t="str">
        <f>_xlfn.XLOOKUP(_xlfn.XLOOKUP(B374,'Base stats'!B:B,'Base stats'!E:E),Groups!A:A,Groups!BJ:BJ)</f>
        <v>Quadruped</v>
      </c>
    </row>
    <row r="375" spans="1:29" ht="16.5" thickTop="1" thickBot="1" x14ac:dyDescent="0.3">
      <c r="A375" s="16" t="str">
        <f>Animals!A375</f>
        <v>Triceratops</v>
      </c>
      <c r="B375" s="6" t="str">
        <f>Animals!B375</f>
        <v>Triceratops horridus</v>
      </c>
      <c r="C375" s="1" t="str">
        <f>Animals!C375</f>
        <v>&lt;li&gt;Triceratops&lt;/li&gt;</v>
      </c>
      <c r="D375" s="47">
        <f>MIN(MIN(6,_xlfn.XLOOKUP(A375,Animals!A:A,Animals!AO:AO))*20,MAX(MROUND(_xlfn.XLOOKUP(B375,'Base stats'!B:B,'Base stats'!BS:BS) * (_xlfn.XLOOKUP(B375,'Base stats'!B:B,'Base stats'!AO:AO)*5%)^0.9 / 21,0.1),0.05))</f>
        <v>51.1</v>
      </c>
      <c r="E375" s="11">
        <f>MROUND(_xlfn.XLOOKUP(B375,'Base stats'!B:B,'Base stats'!BG:BG) * 0.01 * 2 + 0.01, 0.05)</f>
        <v>56.650000000000006</v>
      </c>
      <c r="F375" s="7">
        <f>MROUND(_xlfn.XLOOKUP(B375,'Base stats'!B:B,'Base stats'!BD:BD)^0.25 / (_xlfn.XLOOKUP(B375,'Base stats'!B:B,'Base stats'!BK:BK) * 10) * 150 + 0.5 + _xlfn.XLOOKUP(B375,'Base stats'!B:B,'Base stats'!BW:BW), 0.05)</f>
        <v>3.2</v>
      </c>
      <c r="G375" s="3" t="str">
        <f>IF(Animals!S375="No","No",
IF(_xlfn.XLOOKUP(B375,'Base stats'!B:B,'Base stats'!U:U)="No",
MAX(MROUND(_xlfn.XLOOKUP(B375,'Base stats'!B:B,'Base stats'!BT:BT) * _xlfn.XLOOKUP(B375,'Base stats'!B:B,'Base stats'!BP:BP)^0.9 / 21 * _xlfn.XLOOKUP(B375,'Base stats'!B:B,'Base stats'!BX:BX),0.1),0.05),
MAX(MROUND(((MIN(10,_xlfn.XLOOKUP(B375,'Base stats'!B:B,'Base stats'!U:U)))^0.4*_xlfn.XLOOKUP(B375,'Base stats'!B:B,'Base stats'!BH:BH)^0.73)^0.6 * _xlfn.XLOOKUP(B375,'Base stats'!B:B,'Base stats'!BX:BX),0.1),0.05)
))</f>
        <v>No</v>
      </c>
      <c r="H375" s="11" t="str">
        <f>IF(G375="No","No",
MROUND(_xlfn.XLOOKUP(B375,'Base stats'!B:B,'Base stats'!BH:BH) * 0.01 * 2 + 0.05, 0.05)
)</f>
        <v>No</v>
      </c>
      <c r="I375" s="11" t="str">
        <f>IF(G375="No","No",IF(_xlfn.XLOOKUP(B375,'Base stats'!B:B,'Base stats'!U:U)="No","No",
MROUND(_xlfn.XLOOKUP(B375,'Base stats'!B:B,'Base stats'!BT:BT)/10000+0.01,0.01)
))</f>
        <v>No</v>
      </c>
      <c r="J375" s="4" t="str">
        <f>IF(G375="No","No",
MROUND(_xlfn.XLOOKUP(B375,'Base stats'!B:B,'Base stats'!BE:BE)^0.25
/((_xlfn.XLOOKUP(B375,'Base stats'!B:B,'Base stats'!BL:BL))*10)*_xlfn.XLOOKUP(_xlfn.XLOOKUP(B375,'Base stats'!B:B,'Base stats'!E:E),Groups!A:A,Groups!Q:Q)*150 + 0.5 + _xlfn.XLOOKUP(B375,'Base stats'!B:B,'Base stats'!BW:BW),
0.05))</f>
        <v>No</v>
      </c>
      <c r="K375" s="3">
        <f>IF(Animals!X375="No","No",
IF(_xlfn.XLOOKUP(_xlfn.XLOOKUP(B375,'Base stats'!B:B,'Base stats'!E:E),Groups!A:A,Groups!BD:BD)=1,
MAX(MROUND(_xlfn.XLOOKUP(B375,'Base stats'!B:B,'Base stats'!BU:BU) * _xlfn.XLOOKUP(B375,'Base stats'!B:B,'Base stats'!BQ:BQ)^0.9 / 21 *_xlfn.XLOOKUP(B375,'Base stats'!B:B,'Base stats'!BX:BX),0.1),0.05),
MAX(MROUND(((MIN(10,_xlfn.XLOOKUP(B375,'Base stats'!B:B,'Base stats'!W:W)))^0.4*_xlfn.XLOOKUP(B375,'Base stats'!B:B,'Base stats'!BI:BI)^0.73)^0.6 *_xlfn.XLOOKUP(B375,'Base stats'!B:B,'Base stats'!BX:BX),0.1),0.05)
))</f>
        <v>57.400000000000006</v>
      </c>
      <c r="L375" s="11">
        <f>IF(K375="No","No",
MROUND(_xlfn.XLOOKUP(B375,'Base stats'!B:B,'Base stats'!BI:BI) * 0.01 *2 + 0.05, 0.05)
)</f>
        <v>58.800000000000004</v>
      </c>
      <c r="M375" s="5">
        <f>IF(K375="No","No",IF(_xlfn.XLOOKUP(_xlfn.XLOOKUP(B375,'Base stats'!B:B,'Base stats'!E:E),Groups!A:A,Groups!BD:BD)=1,"No",
MROUND(_xlfn.XLOOKUP(B375,'Base stats'!B:B,'Base stats'!BU:BU)/10000+0.01,0.01)
))</f>
        <v>2.48</v>
      </c>
      <c r="N375" s="4">
        <f>IF(K375="No","No",
MROUND(
  _xlfn.XLOOKUP(B375,'Base stats'!B:B,'Base stats'!BC:BC)^0.25
  / (_xlfn.XLOOKUP(B375,'Base stats'!B:B,'Base stats'!BM:BM) * 10)
  * _xlfn.XLOOKUP(
      _xlfn.XLOOKUP(B375,'Base stats'!B:B,'Base stats'!E:E),
      Groups!A:A,
      Groups!V:V
    ) * 150
  + MIN(12, _xlfn.XLOOKUP(B375,'Base stats'!B:B,'Base stats'!W:W))^(1/IF(_xlfn.XLOOKUP(_xlfn.XLOOKUP(B375,'Base stats'!B:B,'Base stats'!E:E),Groups!A:A,Groups!U:U)=1,100,10)) + 0.5 + _xlfn.XLOOKUP(B375,'Base stats'!B:B,'Base stats'!BW:BW),
0.05))</f>
        <v>4.4000000000000004</v>
      </c>
      <c r="O375" s="3">
        <f>IF(Animals!AD375="No","No",
MAX(MROUND((MIN(10,_xlfn.XLOOKUP(B375,'Base stats'!B:B,'Base stats'!V:V)*IF(_xlfn.XLOOKUP(_xlfn.XLOOKUP(B375,'Base stats'!B:B,'Base stats'!E:E),Groups!A:A,Groups!O:O)=0,1,0.33))^0.4*_xlfn.XLOOKUP(B375,'Base stats'!B:B,'Base stats'!BJ:BJ)^0.73)^0.6 *_xlfn.XLOOKUP(B375,'Base stats'!B:B,'Base stats'!BX:BX),0.1),0.05)
)</f>
        <v>48</v>
      </c>
      <c r="P375" s="11">
        <f>IF(O375="No","No",
MROUND(_xlfn.XLOOKUP(B375,'Base stats'!B:B,'Base stats'!BJ:BJ) * 0.01 * 2 + 0.05, 0.05)
)</f>
        <v>49.2</v>
      </c>
      <c r="Q375" s="5">
        <f>IF(O375="No","No",
MROUND(_xlfn.XLOOKUP(B375,'Base stats'!B:B,'Base stats'!BV:BV)/10000+0.01,0.01)
)</f>
        <v>0.48</v>
      </c>
      <c r="R375" s="4">
        <f>IF(O375="No","No",
MROUND(_xlfn.XLOOKUP(B375,'Base stats'!B:B,'Base stats'!BB:BB)^0.25
/((_xlfn.XLOOKUP(B375,'Base stats'!B:B,'Base stats'!BN:BN))*10)*_xlfn.XLOOKUP(_xlfn.XLOOKUP(B375,'Base stats'!B:B,'Base stats'!E:E),Groups!A:A,Groups!Z:Z)*150 + 0.5 + _xlfn.XLOOKUP(B375,'Base stats'!B:B,'Base stats'!BW:BW),
0.05))</f>
        <v>2.75</v>
      </c>
      <c r="S375" s="3" t="str">
        <f>IF(Animals!AI375="No","No",
IF(_xlfn.XLOOKUP(B375,'Base stats'!B:B,'Base stats'!U:U)="No",
MAX(MROUND(_xlfn.XLOOKUP(B375,'Base stats'!B:B,'Base stats'!BT:BT) * _xlfn.XLOOKUP(B375,'Base stats'!B:B,'Base stats'!BP:BP)^0.9 / 21 * _xlfn.XLOOKUP(B375,'Base stats'!B:B,'Base stats'!BX:BX),0.1),0.05),
MAX(MROUND(((MIN(12,_xlfn.XLOOKUP(B375,'Base stats'!B:B,'Base stats'!U:U)))^0.4*_xlfn.XLOOKUP(B375,'Base stats'!B:B,'Base stats'!BH:BH)^0.73)^0.6 * _xlfn.XLOOKUP(B375,'Base stats'!B:B,'Base stats'!BX:BX),0.1),0.05)
))</f>
        <v>No</v>
      </c>
      <c r="T375" s="11" t="str">
        <f>IF(S375="No","No",
MROUND(_xlfn.XLOOKUP(B375,'Base stats'!B:B,'Base stats'!BH:BH) * 0.01 * 2 + 0.05, 0.05)
)</f>
        <v>No</v>
      </c>
      <c r="U375" s="5" t="str">
        <f>IF(S375="No","No",IF(_xlfn.XLOOKUP(B375,'Base stats'!B:B,'Base stats'!U:U)="No","No",
MROUND(_xlfn.XLOOKUP(B375,'Base stats'!B:B,'Base stats'!BT:BT)/10000+0.01,0.01)
))</f>
        <v>No</v>
      </c>
      <c r="V375" s="4" t="str">
        <f>IF(S375="No","No",
MROUND(_xlfn.XLOOKUP(B375,'Base stats'!B:B,'Base stats'!BF:BF)^0.25
/((_xlfn.XLOOKUP(B375,'Base stats'!B:B,'Base stats'!BO:BO))*10)*_xlfn.XLOOKUP(_xlfn.XLOOKUP(B375,'Base stats'!B:B,'Base stats'!E:E),Groups!A:A,Groups!AE:AE)*150 + 0.5 + _xlfn.XLOOKUP(B375,'Base stats'!B:B,'Base stats'!BW:BW),
0.05))</f>
        <v>No</v>
      </c>
      <c r="W375" s="8">
        <f>MROUND(_xlfn.XLOOKUP(_xlfn.XLOOKUP(B375,'Base stats'!B:B,'Base stats'!E:E),Groups!A:A,Groups!BG:BG)*_xlfn.XLOOKUP(B375,'Base stats'!B:B,'Base stats'!C:C)^-0.165,0.05)</f>
        <v>0.05</v>
      </c>
      <c r="X375" s="1">
        <f>MROUND(_xlfn.XLOOKUP(_xlfn.XLOOKUP(B375,'Base stats'!B:B,'Base stats'!E:E),Groups!A:A,Groups!BH:BH)*_xlfn.XLOOKUP(B375,'Base stats'!B:B,'Base stats'!C:C)^0.165,0.05)</f>
        <v>0.4</v>
      </c>
      <c r="Y375" s="8">
        <f>MROUND(_xlfn.XLOOKUP(_xlfn.XLOOKUP(B375,'Base stats'!B:B,'Base stats'!E:E),Groups!A:A,Groups!BI:BI)*_xlfn.XLOOKUP(B375,'Base stats'!B:B,'Base stats'!C:C)^0.165,0.05)</f>
        <v>0.1</v>
      </c>
      <c r="Z375" s="18">
        <f>MROUND(_xlfn.XLOOKUP(B375,'Base stats'!B:B,'Base stats'!AQ:AQ)*_xlfn.XLOOKUP(_xlfn.XLOOKUP(B375,'Base stats'!B:B,'Base stats'!E:E),Groups!A:A,Groups!H:H)/1000,IF((_xlfn.XLOOKUP(B375,'Base stats'!B:B,'Base stats'!AQ:AQ)*_xlfn.XLOOKUP(_xlfn.XLOOKUP(B375,'Base stats'!B:B,'Base stats'!E:E),Groups!A:A,Groups!H:H)/1000)&gt;1,0.05,0.01))</f>
        <v>0.25</v>
      </c>
      <c r="AA375" s="18">
        <f>MROUND((1/2)*(_xlfn.XLOOKUP(_xlfn.XLOOKUP(B375,'Base stats'!B:B,'Base stats'!E:E),Groups!A:A,Groups!H:H)*_xlfn.XLOOKUP(_xlfn.XLOOKUP(B375,'Base stats'!B:B,'Base stats'!E:E),Groups!A:A,Groups!I:I))*_xlfn.XLOOKUP(B375,'Base stats'!B:B,'Base stats'!AQ:AQ)*0.01,0.05)</f>
        <v>0.45</v>
      </c>
      <c r="AB375" s="18">
        <f>MROUND(250*(Animals!AO375+Animals!AP375),25)</f>
        <v>2750</v>
      </c>
      <c r="AC375" s="18" t="str">
        <f>_xlfn.XLOOKUP(_xlfn.XLOOKUP(B375,'Base stats'!B:B,'Base stats'!E:E),Groups!A:A,Groups!BJ:BJ)</f>
        <v>Quadruped</v>
      </c>
    </row>
    <row r="376" spans="1:29" ht="16.5" thickTop="1" thickBot="1" x14ac:dyDescent="0.3">
      <c r="A376" s="16" t="str">
        <f>Animals!A376</f>
        <v>Quetzalcoatlus</v>
      </c>
      <c r="B376" s="6" t="str">
        <f>Animals!B376</f>
        <v>Quetzalcoatlus northropi</v>
      </c>
      <c r="C376" s="1" t="str">
        <f>Animals!C376</f>
        <v>&lt;li&gt;Quetzalcoatlus&lt;/li&gt;</v>
      </c>
      <c r="D376" s="47">
        <f>MIN(MIN(6,_xlfn.XLOOKUP(A376,Animals!A:A,Animals!AO:AO))*20,MAX(MROUND(_xlfn.XLOOKUP(B376,'Base stats'!B:B,'Base stats'!BS:BS) * (_xlfn.XLOOKUP(B376,'Base stats'!B:B,'Base stats'!AO:AO)*5%)^0.9 / 21,0.1),0.05))</f>
        <v>12.8</v>
      </c>
      <c r="E376" s="11">
        <f>MROUND(_xlfn.XLOOKUP(B376,'Base stats'!B:B,'Base stats'!BG:BG) * 0.01 * 2 + 0.01, 0.05)</f>
        <v>12.05</v>
      </c>
      <c r="F376" s="7">
        <f>MROUND(_xlfn.XLOOKUP(B376,'Base stats'!B:B,'Base stats'!BD:BD)^0.25 / (_xlfn.XLOOKUP(B376,'Base stats'!B:B,'Base stats'!BK:BK) * 10) * 150 + 0.5 + _xlfn.XLOOKUP(B376,'Base stats'!B:B,'Base stats'!BW:BW), 0.05)</f>
        <v>2.5500000000000003</v>
      </c>
      <c r="G376" s="3" t="str">
        <f>IF(Animals!S376="No","No",
IF(_xlfn.XLOOKUP(B376,'Base stats'!B:B,'Base stats'!U:U)="No",
MAX(MROUND(_xlfn.XLOOKUP(B376,'Base stats'!B:B,'Base stats'!BT:BT) * _xlfn.XLOOKUP(B376,'Base stats'!B:B,'Base stats'!BP:BP)^0.9 / 21 * _xlfn.XLOOKUP(B376,'Base stats'!B:B,'Base stats'!BX:BX),0.1),0.05),
MAX(MROUND(((MIN(10,_xlfn.XLOOKUP(B376,'Base stats'!B:B,'Base stats'!U:U)))^0.4*_xlfn.XLOOKUP(B376,'Base stats'!B:B,'Base stats'!BH:BH)^0.73)^0.6 * _xlfn.XLOOKUP(B376,'Base stats'!B:B,'Base stats'!BX:BX),0.1),0.05)
))</f>
        <v>No</v>
      </c>
      <c r="H376" s="11" t="str">
        <f>IF(G376="No","No",
MROUND(_xlfn.XLOOKUP(B376,'Base stats'!B:B,'Base stats'!BH:BH) * 0.01 * 2 + 0.05, 0.05)
)</f>
        <v>No</v>
      </c>
      <c r="I376" s="11" t="str">
        <f>IF(G376="No","No",IF(_xlfn.XLOOKUP(B376,'Base stats'!B:B,'Base stats'!U:U)="No","No",
MROUND(_xlfn.XLOOKUP(B376,'Base stats'!B:B,'Base stats'!BT:BT)/10000+0.01,0.01)
))</f>
        <v>No</v>
      </c>
      <c r="J376" s="4" t="str">
        <f>IF(G376="No","No",
MROUND(_xlfn.XLOOKUP(B376,'Base stats'!B:B,'Base stats'!BE:BE)^0.25
/((_xlfn.XLOOKUP(B376,'Base stats'!B:B,'Base stats'!BL:BL))*10)*_xlfn.XLOOKUP(_xlfn.XLOOKUP(B376,'Base stats'!B:B,'Base stats'!E:E),Groups!A:A,Groups!Q:Q)*150 + 0.5 + _xlfn.XLOOKUP(B376,'Base stats'!B:B,'Base stats'!BW:BW),
0.05))</f>
        <v>No</v>
      </c>
      <c r="K376" s="3" t="str">
        <f>IF(Animals!X376="No","No",
IF(_xlfn.XLOOKUP(_xlfn.XLOOKUP(B376,'Base stats'!B:B,'Base stats'!E:E),Groups!A:A,Groups!BD:BD)=1,
MAX(MROUND(_xlfn.XLOOKUP(B376,'Base stats'!B:B,'Base stats'!BU:BU) * _xlfn.XLOOKUP(B376,'Base stats'!B:B,'Base stats'!BQ:BQ)^0.9 / 21 *_xlfn.XLOOKUP(B376,'Base stats'!B:B,'Base stats'!BX:BX),0.1),0.05),
MAX(MROUND(((MIN(10,_xlfn.XLOOKUP(B376,'Base stats'!B:B,'Base stats'!W:W)))^0.4*_xlfn.XLOOKUP(B376,'Base stats'!B:B,'Base stats'!BI:BI)^0.73)^0.6 *_xlfn.XLOOKUP(B376,'Base stats'!B:B,'Base stats'!BX:BX),0.1),0.05)
))</f>
        <v>No</v>
      </c>
      <c r="L376" s="11" t="str">
        <f>IF(K376="No","No",
MROUND(_xlfn.XLOOKUP(B376,'Base stats'!B:B,'Base stats'!BI:BI) * 0.01 *2 + 0.05, 0.05)
)</f>
        <v>No</v>
      </c>
      <c r="M376" s="5" t="str">
        <f>IF(K376="No","No",IF(_xlfn.XLOOKUP(_xlfn.XLOOKUP(B376,'Base stats'!B:B,'Base stats'!E:E),Groups!A:A,Groups!BD:BD)=1,"No",
MROUND(_xlfn.XLOOKUP(B376,'Base stats'!B:B,'Base stats'!BU:BU)/10000+0.01,0.01)
))</f>
        <v>No</v>
      </c>
      <c r="N376" s="4" t="str">
        <f>IF(K376="No","No",
MROUND(
  _xlfn.XLOOKUP(B376,'Base stats'!B:B,'Base stats'!BC:BC)^0.25
  / (_xlfn.XLOOKUP(B376,'Base stats'!B:B,'Base stats'!BM:BM) * 10)
  * _xlfn.XLOOKUP(
      _xlfn.XLOOKUP(B376,'Base stats'!B:B,'Base stats'!E:E),
      Groups!A:A,
      Groups!V:V
    ) * 150
  + MIN(12, _xlfn.XLOOKUP(B376,'Base stats'!B:B,'Base stats'!W:W))^(1/IF(_xlfn.XLOOKUP(_xlfn.XLOOKUP(B376,'Base stats'!B:B,'Base stats'!E:E),Groups!A:A,Groups!U:U)=1,100,10)) + 0.5 + _xlfn.XLOOKUP(B376,'Base stats'!B:B,'Base stats'!BW:BW),
0.05))</f>
        <v>No</v>
      </c>
      <c r="O376" s="3">
        <f>IF(Animals!AD376="No","No",
MAX(MROUND((MIN(10,_xlfn.XLOOKUP(B376,'Base stats'!B:B,'Base stats'!V:V)*IF(_xlfn.XLOOKUP(_xlfn.XLOOKUP(B376,'Base stats'!B:B,'Base stats'!E:E),Groups!A:A,Groups!O:O)=0,1,0.33))^0.4*_xlfn.XLOOKUP(B376,'Base stats'!B:B,'Base stats'!BJ:BJ)^0.73)^0.6 *_xlfn.XLOOKUP(B376,'Base stats'!B:B,'Base stats'!BX:BX),0.1),0.05)
)</f>
        <v>11.5</v>
      </c>
      <c r="P376" s="11">
        <f>IF(O376="No","No",
MROUND(_xlfn.XLOOKUP(B376,'Base stats'!B:B,'Base stats'!BJ:BJ) * 0.01 * 2 + 0.05, 0.05)
)</f>
        <v>1.55</v>
      </c>
      <c r="Q376" s="5">
        <f>IF(O376="No","No",
MROUND(_xlfn.XLOOKUP(B376,'Base stats'!B:B,'Base stats'!BV:BV)/10000+0.01,0.01)
)</f>
        <v>0.05</v>
      </c>
      <c r="R376" s="4">
        <f>IF(O376="No","No",
MROUND(_xlfn.XLOOKUP(B376,'Base stats'!B:B,'Base stats'!BB:BB)^0.25
/((_xlfn.XLOOKUP(B376,'Base stats'!B:B,'Base stats'!BN:BN))*10)*_xlfn.XLOOKUP(_xlfn.XLOOKUP(B376,'Base stats'!B:B,'Base stats'!E:E),Groups!A:A,Groups!Z:Z)*150 + 0.5 + _xlfn.XLOOKUP(B376,'Base stats'!B:B,'Base stats'!BW:BW),
0.05))</f>
        <v>3.2</v>
      </c>
      <c r="S376" s="3" t="str">
        <f>IF(Animals!AI376="No","No",
IF(_xlfn.XLOOKUP(B376,'Base stats'!B:B,'Base stats'!U:U)="No",
MAX(MROUND(_xlfn.XLOOKUP(B376,'Base stats'!B:B,'Base stats'!BT:BT) * _xlfn.XLOOKUP(B376,'Base stats'!B:B,'Base stats'!BP:BP)^0.9 / 21 * _xlfn.XLOOKUP(B376,'Base stats'!B:B,'Base stats'!BX:BX),0.1),0.05),
MAX(MROUND(((MIN(12,_xlfn.XLOOKUP(B376,'Base stats'!B:B,'Base stats'!U:U)))^0.4*_xlfn.XLOOKUP(B376,'Base stats'!B:B,'Base stats'!BH:BH)^0.73)^0.6 * _xlfn.XLOOKUP(B376,'Base stats'!B:B,'Base stats'!BX:BX),0.1),0.05)
))</f>
        <v>No</v>
      </c>
      <c r="T376" s="11" t="str">
        <f>IF(S376="No","No",
MROUND(_xlfn.XLOOKUP(B376,'Base stats'!B:B,'Base stats'!BH:BH) * 0.01 * 2 + 0.05, 0.05)
)</f>
        <v>No</v>
      </c>
      <c r="U376" s="5" t="str">
        <f>IF(S376="No","No",IF(_xlfn.XLOOKUP(B376,'Base stats'!B:B,'Base stats'!U:U)="No","No",
MROUND(_xlfn.XLOOKUP(B376,'Base stats'!B:B,'Base stats'!BT:BT)/10000+0.01,0.01)
))</f>
        <v>No</v>
      </c>
      <c r="V376" s="4" t="str">
        <f>IF(S376="No","No",
MROUND(_xlfn.XLOOKUP(B376,'Base stats'!B:B,'Base stats'!BF:BF)^0.25
/((_xlfn.XLOOKUP(B376,'Base stats'!B:B,'Base stats'!BO:BO))*10)*_xlfn.XLOOKUP(_xlfn.XLOOKUP(B376,'Base stats'!B:B,'Base stats'!E:E),Groups!A:A,Groups!AE:AE)*150 + 0.5 + _xlfn.XLOOKUP(B376,'Base stats'!B:B,'Base stats'!BW:BW),
0.05))</f>
        <v>No</v>
      </c>
      <c r="W376" s="8">
        <f>MROUND(_xlfn.XLOOKUP(_xlfn.XLOOKUP(B376,'Base stats'!B:B,'Base stats'!E:E),Groups!A:A,Groups!BG:BG)*_xlfn.XLOOKUP(B376,'Base stats'!B:B,'Base stats'!C:C)^-0.165,0.05)</f>
        <v>0.35000000000000003</v>
      </c>
      <c r="X376" s="1">
        <f>MROUND(_xlfn.XLOOKUP(_xlfn.XLOOKUP(B376,'Base stats'!B:B,'Base stats'!E:E),Groups!A:A,Groups!BH:BH)*_xlfn.XLOOKUP(B376,'Base stats'!B:B,'Base stats'!C:C)^0.165,0.05)</f>
        <v>0.4</v>
      </c>
      <c r="Y376" s="8">
        <f>MROUND(_xlfn.XLOOKUP(_xlfn.XLOOKUP(B376,'Base stats'!B:B,'Base stats'!E:E),Groups!A:A,Groups!BI:BI)*_xlfn.XLOOKUP(B376,'Base stats'!B:B,'Base stats'!C:C)^0.165,0.05)</f>
        <v>0.05</v>
      </c>
      <c r="Z376" s="18">
        <f>MROUND(_xlfn.XLOOKUP(B376,'Base stats'!B:B,'Base stats'!AQ:AQ)*_xlfn.XLOOKUP(_xlfn.XLOOKUP(B376,'Base stats'!B:B,'Base stats'!E:E),Groups!A:A,Groups!H:H)/1000,IF((_xlfn.XLOOKUP(B376,'Base stats'!B:B,'Base stats'!AQ:AQ)*_xlfn.XLOOKUP(_xlfn.XLOOKUP(B376,'Base stats'!B:B,'Base stats'!E:E),Groups!A:A,Groups!H:H)/1000)&gt;1,0.05,0.01))</f>
        <v>0.12</v>
      </c>
      <c r="AA376" s="18">
        <f>MROUND((1/2)*(_xlfn.XLOOKUP(_xlfn.XLOOKUP(B376,'Base stats'!B:B,'Base stats'!E:E),Groups!A:A,Groups!H:H)*_xlfn.XLOOKUP(_xlfn.XLOOKUP(B376,'Base stats'!B:B,'Base stats'!E:E),Groups!A:A,Groups!I:I))*_xlfn.XLOOKUP(B376,'Base stats'!B:B,'Base stats'!AQ:AQ)*0.01,0.05)</f>
        <v>0.25</v>
      </c>
      <c r="AB376" s="18">
        <f>MROUND(250*(Animals!AO376+Animals!AP376),25)</f>
        <v>1500</v>
      </c>
      <c r="AC376" s="18" t="str">
        <f>_xlfn.XLOOKUP(_xlfn.XLOOKUP(B376,'Base stats'!B:B,'Base stats'!E:E),Groups!A:A,Groups!BJ:BJ)</f>
        <v>Birdlike</v>
      </c>
    </row>
    <row r="377" spans="1:29" ht="16.5" thickTop="1" thickBot="1" x14ac:dyDescent="0.3">
      <c r="A377" s="16" t="str">
        <f>Animals!A377</f>
        <v>Pteranodon</v>
      </c>
      <c r="B377" s="6" t="str">
        <f>Animals!B377</f>
        <v>Pteranodon longiceps</v>
      </c>
      <c r="C377" s="1" t="str">
        <f>Animals!C377</f>
        <v>&lt;li&gt;Pteranodon&lt;/li&gt;</v>
      </c>
      <c r="D377" s="47">
        <f>MIN(MIN(6,_xlfn.XLOOKUP(A377,Animals!A:A,Animals!AO:AO))*20,MAX(MROUND(_xlfn.XLOOKUP(B377,'Base stats'!B:B,'Base stats'!BS:BS) * (_xlfn.XLOOKUP(B377,'Base stats'!B:B,'Base stats'!AO:AO)*5%)^0.9 / 21,0.1),0.05))</f>
        <v>0.70000000000000007</v>
      </c>
      <c r="E377" s="11">
        <f>MROUND(_xlfn.XLOOKUP(B377,'Base stats'!B:B,'Base stats'!BG:BG) * 0.01 * 2 + 0.01, 0.05)</f>
        <v>0.55000000000000004</v>
      </c>
      <c r="F377" s="7">
        <f>MROUND(_xlfn.XLOOKUP(B377,'Base stats'!B:B,'Base stats'!BD:BD)^0.25 / (_xlfn.XLOOKUP(B377,'Base stats'!B:B,'Base stats'!BK:BK) * 10) * 150 + 0.5 + _xlfn.XLOOKUP(B377,'Base stats'!B:B,'Base stats'!BW:BW), 0.05)</f>
        <v>1.6</v>
      </c>
      <c r="G377" s="3" t="str">
        <f>IF(Animals!S377="No","No",
IF(_xlfn.XLOOKUP(B377,'Base stats'!B:B,'Base stats'!U:U)="No",
MAX(MROUND(_xlfn.XLOOKUP(B377,'Base stats'!B:B,'Base stats'!BT:BT) * _xlfn.XLOOKUP(B377,'Base stats'!B:B,'Base stats'!BP:BP)^0.9 / 21 * _xlfn.XLOOKUP(B377,'Base stats'!B:B,'Base stats'!BX:BX),0.1),0.05),
MAX(MROUND(((MIN(10,_xlfn.XLOOKUP(B377,'Base stats'!B:B,'Base stats'!U:U)))^0.4*_xlfn.XLOOKUP(B377,'Base stats'!B:B,'Base stats'!BH:BH)^0.73)^0.6 * _xlfn.XLOOKUP(B377,'Base stats'!B:B,'Base stats'!BX:BX),0.1),0.05)
))</f>
        <v>No</v>
      </c>
      <c r="H377" s="11" t="str">
        <f>IF(G377="No","No",
MROUND(_xlfn.XLOOKUP(B377,'Base stats'!B:B,'Base stats'!BH:BH) * 0.01 * 2 + 0.05, 0.05)
)</f>
        <v>No</v>
      </c>
      <c r="I377" s="11" t="str">
        <f>IF(G377="No","No",IF(_xlfn.XLOOKUP(B377,'Base stats'!B:B,'Base stats'!U:U)="No","No",
MROUND(_xlfn.XLOOKUP(B377,'Base stats'!B:B,'Base stats'!BT:BT)/10000+0.01,0.01)
))</f>
        <v>No</v>
      </c>
      <c r="J377" s="4" t="str">
        <f>IF(G377="No","No",
MROUND(_xlfn.XLOOKUP(B377,'Base stats'!B:B,'Base stats'!BE:BE)^0.25
/((_xlfn.XLOOKUP(B377,'Base stats'!B:B,'Base stats'!BL:BL))*10)*_xlfn.XLOOKUP(_xlfn.XLOOKUP(B377,'Base stats'!B:B,'Base stats'!E:E),Groups!A:A,Groups!Q:Q)*150 + 0.5 + _xlfn.XLOOKUP(B377,'Base stats'!B:B,'Base stats'!BW:BW),
0.05))</f>
        <v>No</v>
      </c>
      <c r="K377" s="3" t="str">
        <f>IF(Animals!X377="No","No",
IF(_xlfn.XLOOKUP(_xlfn.XLOOKUP(B377,'Base stats'!B:B,'Base stats'!E:E),Groups!A:A,Groups!BD:BD)=1,
MAX(MROUND(_xlfn.XLOOKUP(B377,'Base stats'!B:B,'Base stats'!BU:BU) * _xlfn.XLOOKUP(B377,'Base stats'!B:B,'Base stats'!BQ:BQ)^0.9 / 21 *_xlfn.XLOOKUP(B377,'Base stats'!B:B,'Base stats'!BX:BX),0.1),0.05),
MAX(MROUND(((MIN(10,_xlfn.XLOOKUP(B377,'Base stats'!B:B,'Base stats'!W:W)))^0.4*_xlfn.XLOOKUP(B377,'Base stats'!B:B,'Base stats'!BI:BI)^0.73)^0.6 *_xlfn.XLOOKUP(B377,'Base stats'!B:B,'Base stats'!BX:BX),0.1),0.05)
))</f>
        <v>No</v>
      </c>
      <c r="L377" s="11" t="str">
        <f>IF(K377="No","No",
MROUND(_xlfn.XLOOKUP(B377,'Base stats'!B:B,'Base stats'!BI:BI) * 0.01 *2 + 0.05, 0.05)
)</f>
        <v>No</v>
      </c>
      <c r="M377" s="5" t="str">
        <f>IF(K377="No","No",IF(_xlfn.XLOOKUP(_xlfn.XLOOKUP(B377,'Base stats'!B:B,'Base stats'!E:E),Groups!A:A,Groups!BD:BD)=1,"No",
MROUND(_xlfn.XLOOKUP(B377,'Base stats'!B:B,'Base stats'!BU:BU)/10000+0.01,0.01)
))</f>
        <v>No</v>
      </c>
      <c r="N377" s="4" t="str">
        <f>IF(K377="No","No",
MROUND(
  _xlfn.XLOOKUP(B377,'Base stats'!B:B,'Base stats'!BC:BC)^0.25
  / (_xlfn.XLOOKUP(B377,'Base stats'!B:B,'Base stats'!BM:BM) * 10)
  * _xlfn.XLOOKUP(
      _xlfn.XLOOKUP(B377,'Base stats'!B:B,'Base stats'!E:E),
      Groups!A:A,
      Groups!V:V
    ) * 150
  + MIN(12, _xlfn.XLOOKUP(B377,'Base stats'!B:B,'Base stats'!W:W))^(1/IF(_xlfn.XLOOKUP(_xlfn.XLOOKUP(B377,'Base stats'!B:B,'Base stats'!E:E),Groups!A:A,Groups!U:U)=1,100,10)) + 0.5 + _xlfn.XLOOKUP(B377,'Base stats'!B:B,'Base stats'!BW:BW),
0.05))</f>
        <v>No</v>
      </c>
      <c r="O377" s="3">
        <f>IF(Animals!AD377="No","No",
MAX(MROUND((MIN(10,_xlfn.XLOOKUP(B377,'Base stats'!B:B,'Base stats'!V:V)*IF(_xlfn.XLOOKUP(_xlfn.XLOOKUP(B377,'Base stats'!B:B,'Base stats'!E:E),Groups!A:A,Groups!O:O)=0,1,0.33))^0.4*_xlfn.XLOOKUP(B377,'Base stats'!B:B,'Base stats'!BJ:BJ)^0.73)^0.6 *_xlfn.XLOOKUP(B377,'Base stats'!B:B,'Base stats'!BX:BX),0.1),0.05)
)</f>
        <v>3.8000000000000003</v>
      </c>
      <c r="P377" s="11">
        <f>IF(O377="No","No",
MROUND(_xlfn.XLOOKUP(B377,'Base stats'!B:B,'Base stats'!BJ:BJ) * 0.01 * 2 + 0.05, 0.05)
)</f>
        <v>0.15000000000000002</v>
      </c>
      <c r="Q377" s="5">
        <f>IF(O377="No","No",
MROUND(_xlfn.XLOOKUP(B377,'Base stats'!B:B,'Base stats'!BV:BV)/10000+0.01,0.01)
)</f>
        <v>0.02</v>
      </c>
      <c r="R377" s="4">
        <f>IF(O377="No","No",
MROUND(_xlfn.XLOOKUP(B377,'Base stats'!B:B,'Base stats'!BB:BB)^0.25
/((_xlfn.XLOOKUP(B377,'Base stats'!B:B,'Base stats'!BN:BN))*10)*_xlfn.XLOOKUP(_xlfn.XLOOKUP(B377,'Base stats'!B:B,'Base stats'!E:E),Groups!A:A,Groups!Z:Z)*150 + 0.5 + _xlfn.XLOOKUP(B377,'Base stats'!B:B,'Base stats'!BW:BW),
0.05))</f>
        <v>2.35</v>
      </c>
      <c r="S377" s="3" t="str">
        <f>IF(Animals!AI377="No","No",
IF(_xlfn.XLOOKUP(B377,'Base stats'!B:B,'Base stats'!U:U)="No",
MAX(MROUND(_xlfn.XLOOKUP(B377,'Base stats'!B:B,'Base stats'!BT:BT) * _xlfn.XLOOKUP(B377,'Base stats'!B:B,'Base stats'!BP:BP)^0.9 / 21 * _xlfn.XLOOKUP(B377,'Base stats'!B:B,'Base stats'!BX:BX),0.1),0.05),
MAX(MROUND(((MIN(12,_xlfn.XLOOKUP(B377,'Base stats'!B:B,'Base stats'!U:U)))^0.4*_xlfn.XLOOKUP(B377,'Base stats'!B:B,'Base stats'!BH:BH)^0.73)^0.6 * _xlfn.XLOOKUP(B377,'Base stats'!B:B,'Base stats'!BX:BX),0.1),0.05)
))</f>
        <v>No</v>
      </c>
      <c r="T377" s="11" t="str">
        <f>IF(S377="No","No",
MROUND(_xlfn.XLOOKUP(B377,'Base stats'!B:B,'Base stats'!BH:BH) * 0.01 * 2 + 0.05, 0.05)
)</f>
        <v>No</v>
      </c>
      <c r="U377" s="5" t="str">
        <f>IF(S377="No","No",IF(_xlfn.XLOOKUP(B377,'Base stats'!B:B,'Base stats'!U:U)="No","No",
MROUND(_xlfn.XLOOKUP(B377,'Base stats'!B:B,'Base stats'!BT:BT)/10000+0.01,0.01)
))</f>
        <v>No</v>
      </c>
      <c r="V377" s="4" t="str">
        <f>IF(S377="No","No",
MROUND(_xlfn.XLOOKUP(B377,'Base stats'!B:B,'Base stats'!BF:BF)^0.25
/((_xlfn.XLOOKUP(B377,'Base stats'!B:B,'Base stats'!BO:BO))*10)*_xlfn.XLOOKUP(_xlfn.XLOOKUP(B377,'Base stats'!B:B,'Base stats'!E:E),Groups!A:A,Groups!AE:AE)*150 + 0.5 + _xlfn.XLOOKUP(B377,'Base stats'!B:B,'Base stats'!BW:BW),
0.05))</f>
        <v>No</v>
      </c>
      <c r="W377" s="8">
        <f>MROUND(_xlfn.XLOOKUP(_xlfn.XLOOKUP(B377,'Base stats'!B:B,'Base stats'!E:E),Groups!A:A,Groups!BG:BG)*_xlfn.XLOOKUP(B377,'Base stats'!B:B,'Base stats'!C:C)^-0.165,0.05)</f>
        <v>0.60000000000000009</v>
      </c>
      <c r="X377" s="1">
        <f>MROUND(_xlfn.XLOOKUP(_xlfn.XLOOKUP(B377,'Base stats'!B:B,'Base stats'!E:E),Groups!A:A,Groups!BH:BH)*_xlfn.XLOOKUP(B377,'Base stats'!B:B,'Base stats'!C:C)^0.165,0.05)</f>
        <v>0.25</v>
      </c>
      <c r="Y377" s="8">
        <f>MROUND(_xlfn.XLOOKUP(_xlfn.XLOOKUP(B377,'Base stats'!B:B,'Base stats'!E:E),Groups!A:A,Groups!BI:BI)*_xlfn.XLOOKUP(B377,'Base stats'!B:B,'Base stats'!C:C)^0.165,0.05)</f>
        <v>0.05</v>
      </c>
      <c r="Z377" s="18">
        <f>MROUND(_xlfn.XLOOKUP(B377,'Base stats'!B:B,'Base stats'!AQ:AQ)*_xlfn.XLOOKUP(_xlfn.XLOOKUP(B377,'Base stats'!B:B,'Base stats'!E:E),Groups!A:A,Groups!H:H)/1000,IF((_xlfn.XLOOKUP(B377,'Base stats'!B:B,'Base stats'!AQ:AQ)*_xlfn.XLOOKUP(_xlfn.XLOOKUP(B377,'Base stats'!B:B,'Base stats'!E:E),Groups!A:A,Groups!H:H)/1000)&gt;1,0.05,0.01))</f>
        <v>0.05</v>
      </c>
      <c r="AA377" s="18">
        <f>MROUND((1/2)*(_xlfn.XLOOKUP(_xlfn.XLOOKUP(B377,'Base stats'!B:B,'Base stats'!E:E),Groups!A:A,Groups!H:H)*_xlfn.XLOOKUP(_xlfn.XLOOKUP(B377,'Base stats'!B:B,'Base stats'!E:E),Groups!A:A,Groups!I:I))*_xlfn.XLOOKUP(B377,'Base stats'!B:B,'Base stats'!AQ:AQ)*0.01,0.05)</f>
        <v>0.1</v>
      </c>
      <c r="AB377" s="18">
        <f>MROUND(250*(Animals!AO377+Animals!AP377),25)</f>
        <v>275</v>
      </c>
      <c r="AC377" s="18" t="str">
        <f>_xlfn.XLOOKUP(_xlfn.XLOOKUP(B377,'Base stats'!B:B,'Base stats'!E:E),Groups!A:A,Groups!BJ:BJ)</f>
        <v>Birdlike</v>
      </c>
    </row>
    <row r="378" spans="1:29" s="16" customFormat="1" ht="16.5" thickTop="1" thickBot="1" x14ac:dyDescent="0.3">
      <c r="A378" s="16" t="str">
        <f>Animals!A378</f>
        <v>Arthropleura</v>
      </c>
      <c r="B378" s="6" t="str">
        <f>Animals!B378</f>
        <v xml:space="preserve">Arthropleura armata </v>
      </c>
      <c r="C378" s="1" t="str">
        <f>Animals!C378</f>
        <v>&lt;li&gt;Arthropleura&lt;/li&gt;</v>
      </c>
      <c r="D378" s="47">
        <f>MIN(MIN(6,_xlfn.XLOOKUP(A378,Animals!A:A,Animals!AO:AO))*20,MAX(MROUND(_xlfn.XLOOKUP(B378,'Base stats'!B:B,'Base stats'!BS:BS) * (_xlfn.XLOOKUP(B378,'Base stats'!B:B,'Base stats'!AO:AO)*5%)^0.9 / 21,0.1),0.05))</f>
        <v>0.9</v>
      </c>
      <c r="E378" s="11">
        <f>MROUND(_xlfn.XLOOKUP(B378,'Base stats'!B:B,'Base stats'!BG:BG) * 0.01 * 2 + 0.01, 0.05)</f>
        <v>0.70000000000000007</v>
      </c>
      <c r="F378" s="7">
        <f>MROUND(_xlfn.XLOOKUP(B378,'Base stats'!B:B,'Base stats'!BD:BD)^0.25 / (_xlfn.XLOOKUP(B378,'Base stats'!B:B,'Base stats'!BK:BK) * 10) * 150 + 0.5 + _xlfn.XLOOKUP(B378,'Base stats'!B:B,'Base stats'!BW:BW), 0.05)</f>
        <v>2.0500000000000003</v>
      </c>
      <c r="G378" s="3" t="str">
        <f>IF(Animals!S378="No","No",
IF(_xlfn.XLOOKUP(B378,'Base stats'!B:B,'Base stats'!U:U)="No",
MAX(MROUND(_xlfn.XLOOKUP(B378,'Base stats'!B:B,'Base stats'!BT:BT) * _xlfn.XLOOKUP(B378,'Base stats'!B:B,'Base stats'!BP:BP)^0.9 / 21 * _xlfn.XLOOKUP(B378,'Base stats'!B:B,'Base stats'!BX:BX),0.1),0.05),
MAX(MROUND(((MIN(10,_xlfn.XLOOKUP(B378,'Base stats'!B:B,'Base stats'!U:U)))^0.4*_xlfn.XLOOKUP(B378,'Base stats'!B:B,'Base stats'!BH:BH)^0.73)^0.6 * _xlfn.XLOOKUP(B378,'Base stats'!B:B,'Base stats'!BX:BX),0.1),0.05)
))</f>
        <v>No</v>
      </c>
      <c r="H378" s="11" t="str">
        <f>IF(G378="No","No",
MROUND(_xlfn.XLOOKUP(B378,'Base stats'!B:B,'Base stats'!BH:BH) * 0.01 * 2 + 0.05, 0.05)
)</f>
        <v>No</v>
      </c>
      <c r="I378" s="11" t="str">
        <f>IF(G378="No","No",IF(_xlfn.XLOOKUP(B378,'Base stats'!B:B,'Base stats'!U:U)="No","No",
MROUND(_xlfn.XLOOKUP(B378,'Base stats'!B:B,'Base stats'!BT:BT)/10000+0.01,0.01)
))</f>
        <v>No</v>
      </c>
      <c r="J378" s="4" t="str">
        <f>IF(G378="No","No",
MROUND(_xlfn.XLOOKUP(B378,'Base stats'!B:B,'Base stats'!BE:BE)^0.25
/((_xlfn.XLOOKUP(B378,'Base stats'!B:B,'Base stats'!BL:BL))*10)*_xlfn.XLOOKUP(_xlfn.XLOOKUP(B378,'Base stats'!B:B,'Base stats'!E:E),Groups!A:A,Groups!Q:Q)*150 + 0.5 + _xlfn.XLOOKUP(B378,'Base stats'!B:B,'Base stats'!BW:BW),
0.05))</f>
        <v>No</v>
      </c>
      <c r="K378" s="3" t="str">
        <f>IF(Animals!X378="No","No",
IF(_xlfn.XLOOKUP(_xlfn.XLOOKUP(B378,'Base stats'!B:B,'Base stats'!E:E),Groups!A:A,Groups!BD:BD)=1,
MAX(MROUND(_xlfn.XLOOKUP(B378,'Base stats'!B:B,'Base stats'!BU:BU) * _xlfn.XLOOKUP(B378,'Base stats'!B:B,'Base stats'!BQ:BQ)^0.9 / 21 *_xlfn.XLOOKUP(B378,'Base stats'!B:B,'Base stats'!BX:BX),0.1),0.05),
MAX(MROUND(((MIN(10,_xlfn.XLOOKUP(B378,'Base stats'!B:B,'Base stats'!W:W)))^0.4*_xlfn.XLOOKUP(B378,'Base stats'!B:B,'Base stats'!BI:BI)^0.73)^0.6 *_xlfn.XLOOKUP(B378,'Base stats'!B:B,'Base stats'!BX:BX),0.1),0.05)
))</f>
        <v>No</v>
      </c>
      <c r="L378" s="11" t="str">
        <f>IF(K378="No","No",
MROUND(_xlfn.XLOOKUP(B378,'Base stats'!B:B,'Base stats'!BI:BI) * 0.01 *2 + 0.05, 0.05)
)</f>
        <v>No</v>
      </c>
      <c r="M378" s="5" t="str">
        <f>IF(K378="No","No",IF(_xlfn.XLOOKUP(_xlfn.XLOOKUP(B378,'Base stats'!B:B,'Base stats'!E:E),Groups!A:A,Groups!BD:BD)=1,"No",
MROUND(_xlfn.XLOOKUP(B378,'Base stats'!B:B,'Base stats'!BU:BU)/10000+0.01,0.01)
))</f>
        <v>No</v>
      </c>
      <c r="N378" s="4" t="str">
        <f>IF(K378="No","No",
MROUND(
  _xlfn.XLOOKUP(B378,'Base stats'!B:B,'Base stats'!BC:BC)^0.25
  / (_xlfn.XLOOKUP(B378,'Base stats'!B:B,'Base stats'!BM:BM) * 10)
  * _xlfn.XLOOKUP(
      _xlfn.XLOOKUP(B378,'Base stats'!B:B,'Base stats'!E:E),
      Groups!A:A,
      Groups!V:V
    ) * 150
  + MIN(12, _xlfn.XLOOKUP(B378,'Base stats'!B:B,'Base stats'!W:W))^(1/IF(_xlfn.XLOOKUP(_xlfn.XLOOKUP(B378,'Base stats'!B:B,'Base stats'!E:E),Groups!A:A,Groups!U:U)=1,100,10)) + 0.5 + _xlfn.XLOOKUP(B378,'Base stats'!B:B,'Base stats'!BW:BW),
0.05))</f>
        <v>No</v>
      </c>
      <c r="O378" s="3">
        <f>IF(Animals!AD378="No","No",
MAX(MROUND((MIN(10,_xlfn.XLOOKUP(B378,'Base stats'!B:B,'Base stats'!V:V)*IF(_xlfn.XLOOKUP(_xlfn.XLOOKUP(B378,'Base stats'!B:B,'Base stats'!E:E),Groups!A:A,Groups!O:O)=0,1,0.33))^0.4*_xlfn.XLOOKUP(B378,'Base stats'!B:B,'Base stats'!BJ:BJ)^0.73)^0.6 *_xlfn.XLOOKUP(B378,'Base stats'!B:B,'Base stats'!BX:BX),0.1),0.05)
)</f>
        <v>17.600000000000001</v>
      </c>
      <c r="P378" s="11">
        <f>IF(O378="No","No",
MROUND(_xlfn.XLOOKUP(B378,'Base stats'!B:B,'Base stats'!BJ:BJ) * 0.01 * 2 + 0.05, 0.05)
)</f>
        <v>5.8000000000000007</v>
      </c>
      <c r="Q378" s="5">
        <f>IF(O378="No","No",
MROUND(_xlfn.XLOOKUP(B378,'Base stats'!B:B,'Base stats'!BV:BV)/10000+0.01,0.01)
)</f>
        <v>0.41000000000000003</v>
      </c>
      <c r="R378" s="4">
        <f>IF(O378="No","No",
MROUND(_xlfn.XLOOKUP(B378,'Base stats'!B:B,'Base stats'!BB:BB)^0.25
/((_xlfn.XLOOKUP(B378,'Base stats'!B:B,'Base stats'!BN:BN))*10)*_xlfn.XLOOKUP(_xlfn.XLOOKUP(B378,'Base stats'!B:B,'Base stats'!E:E),Groups!A:A,Groups!Z:Z)*150 + 0.5 + _xlfn.XLOOKUP(B378,'Base stats'!B:B,'Base stats'!BW:BW),
0.05))</f>
        <v>1.85</v>
      </c>
      <c r="S378" s="3" t="str">
        <f>IF(Animals!AI378="No","No",
IF(_xlfn.XLOOKUP(B378,'Base stats'!B:B,'Base stats'!U:U)="No",
MAX(MROUND(_xlfn.XLOOKUP(B378,'Base stats'!B:B,'Base stats'!BT:BT) * _xlfn.XLOOKUP(B378,'Base stats'!B:B,'Base stats'!BP:BP)^0.9 / 21 * _xlfn.XLOOKUP(B378,'Base stats'!B:B,'Base stats'!BX:BX),0.1),0.05),
MAX(MROUND(((MIN(12,_xlfn.XLOOKUP(B378,'Base stats'!B:B,'Base stats'!U:U)))^0.4*_xlfn.XLOOKUP(B378,'Base stats'!B:B,'Base stats'!BH:BH)^0.73)^0.6 * _xlfn.XLOOKUP(B378,'Base stats'!B:B,'Base stats'!BX:BX),0.1),0.05)
))</f>
        <v>No</v>
      </c>
      <c r="T378" s="11" t="str">
        <f>IF(S378="No","No",
MROUND(_xlfn.XLOOKUP(B378,'Base stats'!B:B,'Base stats'!BH:BH) * 0.01 * 2 + 0.05, 0.05)
)</f>
        <v>No</v>
      </c>
      <c r="U378" s="5" t="str">
        <f>IF(S378="No","No",IF(_xlfn.XLOOKUP(B378,'Base stats'!B:B,'Base stats'!U:U)="No","No",
MROUND(_xlfn.XLOOKUP(B378,'Base stats'!B:B,'Base stats'!BT:BT)/10000+0.01,0.01)
))</f>
        <v>No</v>
      </c>
      <c r="V378" s="4" t="str">
        <f>IF(S378="No","No",
MROUND(_xlfn.XLOOKUP(B378,'Base stats'!B:B,'Base stats'!BF:BF)^0.25
/((_xlfn.XLOOKUP(B378,'Base stats'!B:B,'Base stats'!BO:BO))*10)*_xlfn.XLOOKUP(_xlfn.XLOOKUP(B378,'Base stats'!B:B,'Base stats'!E:E),Groups!A:A,Groups!AE:AE)*150 + 0.5 + _xlfn.XLOOKUP(B378,'Base stats'!B:B,'Base stats'!BW:BW),
0.05))</f>
        <v>No</v>
      </c>
      <c r="W378" s="8">
        <f>MROUND(_xlfn.XLOOKUP(_xlfn.XLOOKUP(B378,'Base stats'!B:B,'Base stats'!E:E),Groups!A:A,Groups!BG:BG)*_xlfn.XLOOKUP(B378,'Base stats'!B:B,'Base stats'!C:C)^-0.165,0.05)</f>
        <v>0.15000000000000002</v>
      </c>
      <c r="X378" s="1">
        <f>MROUND(_xlfn.XLOOKUP(_xlfn.XLOOKUP(B378,'Base stats'!B:B,'Base stats'!E:E),Groups!A:A,Groups!BH:BH)*_xlfn.XLOOKUP(B378,'Base stats'!B:B,'Base stats'!C:C)^0.165,0.05)</f>
        <v>0.2</v>
      </c>
      <c r="Y378" s="8">
        <f>MROUND(_xlfn.XLOOKUP(_xlfn.XLOOKUP(B378,'Base stats'!B:B,'Base stats'!E:E),Groups!A:A,Groups!BI:BI)*_xlfn.XLOOKUP(B378,'Base stats'!B:B,'Base stats'!C:C)^0.165,0.05)</f>
        <v>0.05</v>
      </c>
      <c r="Z378" s="18">
        <f>MROUND(_xlfn.XLOOKUP(B378,'Base stats'!B:B,'Base stats'!AQ:AQ)*_xlfn.XLOOKUP(_xlfn.XLOOKUP(B378,'Base stats'!B:B,'Base stats'!E:E),Groups!A:A,Groups!H:H)/1000,IF((_xlfn.XLOOKUP(B378,'Base stats'!B:B,'Base stats'!AQ:AQ)*_xlfn.XLOOKUP(_xlfn.XLOOKUP(B378,'Base stats'!B:B,'Base stats'!E:E),Groups!A:A,Groups!H:H)/1000)&gt;1,0.05,0.01))</f>
        <v>2.3000000000000003</v>
      </c>
      <c r="AA378" s="18">
        <f>MROUND((1/2)*(_xlfn.XLOOKUP(_xlfn.XLOOKUP(B378,'Base stats'!B:B,'Base stats'!E:E),Groups!A:A,Groups!H:H)*_xlfn.XLOOKUP(_xlfn.XLOOKUP(B378,'Base stats'!B:B,'Base stats'!E:E),Groups!A:A,Groups!I:I))*_xlfn.XLOOKUP(B378,'Base stats'!B:B,'Base stats'!AQ:AQ)*0.01,0.05)</f>
        <v>1.4000000000000001</v>
      </c>
      <c r="AB378" s="18">
        <f>MROUND(250*(Animals!AO378+Animals!AP378),25)</f>
        <v>425</v>
      </c>
      <c r="AC378" s="18" t="str">
        <f>_xlfn.XLOOKUP(_xlfn.XLOOKUP(B378,'Base stats'!B:B,'Base stats'!E:E),Groups!A:A,Groups!BJ:BJ)</f>
        <v>Serpentine</v>
      </c>
    </row>
    <row r="379" spans="1:29" s="16" customFormat="1" ht="16.5" thickTop="1" thickBot="1" x14ac:dyDescent="0.3">
      <c r="A379" s="16" t="str">
        <f>Animals!A379</f>
        <v>Doedicurus</v>
      </c>
      <c r="B379" s="6" t="str">
        <f>Animals!B379</f>
        <v>Doedicurus clavicaudatus</v>
      </c>
      <c r="C379" s="1" t="str">
        <f>Animals!C379</f>
        <v>&lt;li&gt;Doedicurus&lt;/li&gt;</v>
      </c>
      <c r="D379" s="47">
        <f>MIN(MIN(6,_xlfn.XLOOKUP(A379,Animals!A:A,Animals!AO:AO))*20,MAX(MROUND(_xlfn.XLOOKUP(B379,'Base stats'!B:B,'Base stats'!BS:BS) * (_xlfn.XLOOKUP(B379,'Base stats'!B:B,'Base stats'!AO:AO)*5%)^0.9 / 21,0.1),0.05))</f>
        <v>28.3</v>
      </c>
      <c r="E379" s="11">
        <f>MROUND(_xlfn.XLOOKUP(B379,'Base stats'!B:B,'Base stats'!BG:BG) * 0.01 * 2 + 0.01, 0.05)</f>
        <v>28.450000000000003</v>
      </c>
      <c r="F379" s="7">
        <f>MROUND(_xlfn.XLOOKUP(B379,'Base stats'!B:B,'Base stats'!BD:BD)^0.25 / (_xlfn.XLOOKUP(B379,'Base stats'!B:B,'Base stats'!BK:BK) * 10) * 150 + 0.5 + _xlfn.XLOOKUP(B379,'Base stats'!B:B,'Base stats'!BW:BW), 0.05)</f>
        <v>2.0500000000000003</v>
      </c>
      <c r="G379" s="3" t="str">
        <f>IF(Animals!S379="No","No",
IF(_xlfn.XLOOKUP(B379,'Base stats'!B:B,'Base stats'!U:U)="No",
MAX(MROUND(_xlfn.XLOOKUP(B379,'Base stats'!B:B,'Base stats'!BT:BT) * _xlfn.XLOOKUP(B379,'Base stats'!B:B,'Base stats'!BP:BP)^0.9 / 21 * _xlfn.XLOOKUP(B379,'Base stats'!B:B,'Base stats'!BX:BX),0.1),0.05),
MAX(MROUND(((MIN(10,_xlfn.XLOOKUP(B379,'Base stats'!B:B,'Base stats'!U:U)))^0.4*_xlfn.XLOOKUP(B379,'Base stats'!B:B,'Base stats'!BH:BH)^0.73)^0.6 * _xlfn.XLOOKUP(B379,'Base stats'!B:B,'Base stats'!BX:BX),0.1),0.05)
))</f>
        <v>No</v>
      </c>
      <c r="H379" s="11" t="str">
        <f>IF(G379="No","No",
MROUND(_xlfn.XLOOKUP(B379,'Base stats'!B:B,'Base stats'!BH:BH) * 0.01 * 2 + 0.05, 0.05)
)</f>
        <v>No</v>
      </c>
      <c r="I379" s="11" t="str">
        <f>IF(G379="No","No",IF(_xlfn.XLOOKUP(B379,'Base stats'!B:B,'Base stats'!U:U)="No","No",
MROUND(_xlfn.XLOOKUP(B379,'Base stats'!B:B,'Base stats'!BT:BT)/10000+0.01,0.01)
))</f>
        <v>No</v>
      </c>
      <c r="J379" s="4" t="str">
        <f>IF(G379="No","No",
MROUND(_xlfn.XLOOKUP(B379,'Base stats'!B:B,'Base stats'!BE:BE)^0.25
/((_xlfn.XLOOKUP(B379,'Base stats'!B:B,'Base stats'!BL:BL))*10)*_xlfn.XLOOKUP(_xlfn.XLOOKUP(B379,'Base stats'!B:B,'Base stats'!E:E),Groups!A:A,Groups!Q:Q)*150 + 0.5 + _xlfn.XLOOKUP(B379,'Base stats'!B:B,'Base stats'!BW:BW),
0.05))</f>
        <v>No</v>
      </c>
      <c r="K379" s="3">
        <f>IF(Animals!X379="No","No",
IF(_xlfn.XLOOKUP(_xlfn.XLOOKUP(B379,'Base stats'!B:B,'Base stats'!E:E),Groups!A:A,Groups!BD:BD)=1,
MAX(MROUND(_xlfn.XLOOKUP(B379,'Base stats'!B:B,'Base stats'!BU:BU) * _xlfn.XLOOKUP(B379,'Base stats'!B:B,'Base stats'!BQ:BQ)^0.9 / 21 *_xlfn.XLOOKUP(B379,'Base stats'!B:B,'Base stats'!BX:BX),0.1),0.05),
MAX(MROUND(((MIN(10,_xlfn.XLOOKUP(B379,'Base stats'!B:B,'Base stats'!W:W)))^0.4*_xlfn.XLOOKUP(B379,'Base stats'!B:B,'Base stats'!BI:BI)^0.73)^0.6 *_xlfn.XLOOKUP(B379,'Base stats'!B:B,'Base stats'!BX:BX),0.1),0.05)
))</f>
        <v>46.900000000000006</v>
      </c>
      <c r="L379" s="11">
        <f>IF(K379="No","No",
MROUND(_xlfn.XLOOKUP(B379,'Base stats'!B:B,'Base stats'!BI:BI) * 0.01 *2 + 0.05, 0.05)
)</f>
        <v>37.15</v>
      </c>
      <c r="M379" s="5">
        <f>IF(K379="No","No",IF(_xlfn.XLOOKUP(_xlfn.XLOOKUP(B379,'Base stats'!B:B,'Base stats'!E:E),Groups!A:A,Groups!BD:BD)=1,"No",
MROUND(_xlfn.XLOOKUP(B379,'Base stats'!B:B,'Base stats'!BU:BU)/10000+0.01,0.01)
))</f>
        <v>1.79</v>
      </c>
      <c r="N379" s="4">
        <f>IF(K379="No","No",
MROUND(
  _xlfn.XLOOKUP(B379,'Base stats'!B:B,'Base stats'!BC:BC)^0.25
  / (_xlfn.XLOOKUP(B379,'Base stats'!B:B,'Base stats'!BM:BM) * 10)
  * _xlfn.XLOOKUP(
      _xlfn.XLOOKUP(B379,'Base stats'!B:B,'Base stats'!E:E),
      Groups!A:A,
      Groups!V:V
    ) * 150
  + MIN(12, _xlfn.XLOOKUP(B379,'Base stats'!B:B,'Base stats'!W:W))^(1/IF(_xlfn.XLOOKUP(_xlfn.XLOOKUP(B379,'Base stats'!B:B,'Base stats'!E:E),Groups!A:A,Groups!U:U)=1,100,10)) + 0.5 + _xlfn.XLOOKUP(B379,'Base stats'!B:B,'Base stats'!BW:BW),
0.05))</f>
        <v>3.45</v>
      </c>
      <c r="O379" s="3">
        <f>IF(Animals!AD379="No","No",
MAX(MROUND((MIN(10,_xlfn.XLOOKUP(B379,'Base stats'!B:B,'Base stats'!V:V)*IF(_xlfn.XLOOKUP(_xlfn.XLOOKUP(B379,'Base stats'!B:B,'Base stats'!E:E),Groups!A:A,Groups!O:O)=0,1,0.33))^0.4*_xlfn.XLOOKUP(B379,'Base stats'!B:B,'Base stats'!BJ:BJ)^0.73)^0.6 *_xlfn.XLOOKUP(B379,'Base stats'!B:B,'Base stats'!BX:BX),0.1),0.05)
)</f>
        <v>23</v>
      </c>
      <c r="P379" s="11">
        <f>IF(O379="No","No",
MROUND(_xlfn.XLOOKUP(B379,'Base stats'!B:B,'Base stats'!BJ:BJ) * 0.01 * 2 + 0.05, 0.05)
)</f>
        <v>16.55</v>
      </c>
      <c r="Q379" s="5">
        <f>IF(O379="No","No",
MROUND(_xlfn.XLOOKUP(B379,'Base stats'!B:B,'Base stats'!BV:BV)/10000+0.01,0.01)
)</f>
        <v>0.3</v>
      </c>
      <c r="R379" s="4">
        <f>IF(O379="No","No",
MROUND(_xlfn.XLOOKUP(B379,'Base stats'!B:B,'Base stats'!BB:BB)^0.25
/((_xlfn.XLOOKUP(B379,'Base stats'!B:B,'Base stats'!BN:BN))*10)*_xlfn.XLOOKUP(_xlfn.XLOOKUP(B379,'Base stats'!B:B,'Base stats'!E:E),Groups!A:A,Groups!Z:Z)*150 + 0.5 + _xlfn.XLOOKUP(B379,'Base stats'!B:B,'Base stats'!BW:BW),
0.05))</f>
        <v>2.6500000000000004</v>
      </c>
      <c r="S379" s="3" t="str">
        <f>IF(Animals!AI379="No","No",
IF(_xlfn.XLOOKUP(B379,'Base stats'!B:B,'Base stats'!U:U)="No",
MAX(MROUND(_xlfn.XLOOKUP(B379,'Base stats'!B:B,'Base stats'!BT:BT) * _xlfn.XLOOKUP(B379,'Base stats'!B:B,'Base stats'!BP:BP)^0.9 / 21 * _xlfn.XLOOKUP(B379,'Base stats'!B:B,'Base stats'!BX:BX),0.1),0.05),
MAX(MROUND(((MIN(12,_xlfn.XLOOKUP(B379,'Base stats'!B:B,'Base stats'!U:U)))^0.4*_xlfn.XLOOKUP(B379,'Base stats'!B:B,'Base stats'!BH:BH)^0.73)^0.6 * _xlfn.XLOOKUP(B379,'Base stats'!B:B,'Base stats'!BX:BX),0.1),0.05)
))</f>
        <v>No</v>
      </c>
      <c r="T379" s="11" t="str">
        <f>IF(S379="No","No",
MROUND(_xlfn.XLOOKUP(B379,'Base stats'!B:B,'Base stats'!BH:BH) * 0.01 * 2 + 0.05, 0.05)
)</f>
        <v>No</v>
      </c>
      <c r="U379" s="5" t="str">
        <f>IF(S379="No","No",IF(_xlfn.XLOOKUP(B379,'Base stats'!B:B,'Base stats'!U:U)="No","No",
MROUND(_xlfn.XLOOKUP(B379,'Base stats'!B:B,'Base stats'!BT:BT)/10000+0.01,0.01)
))</f>
        <v>No</v>
      </c>
      <c r="V379" s="4" t="str">
        <f>IF(S379="No","No",
MROUND(_xlfn.XLOOKUP(B379,'Base stats'!B:B,'Base stats'!BF:BF)^0.25
/((_xlfn.XLOOKUP(B379,'Base stats'!B:B,'Base stats'!BO:BO))*10)*_xlfn.XLOOKUP(_xlfn.XLOOKUP(B379,'Base stats'!B:B,'Base stats'!E:E),Groups!A:A,Groups!AE:AE)*150 + 0.5 + _xlfn.XLOOKUP(B379,'Base stats'!B:B,'Base stats'!BW:BW),
0.05))</f>
        <v>No</v>
      </c>
      <c r="W379" s="8">
        <f>MROUND(_xlfn.XLOOKUP(_xlfn.XLOOKUP(B379,'Base stats'!B:B,'Base stats'!E:E),Groups!A:A,Groups!BG:BG)*_xlfn.XLOOKUP(B379,'Base stats'!B:B,'Base stats'!C:C)^-0.165,0.05)</f>
        <v>0.15000000000000002</v>
      </c>
      <c r="X379" s="1">
        <f>MROUND(_xlfn.XLOOKUP(_xlfn.XLOOKUP(B379,'Base stats'!B:B,'Base stats'!E:E),Groups!A:A,Groups!BH:BH)*_xlfn.XLOOKUP(B379,'Base stats'!B:B,'Base stats'!C:C)^0.165,0.05)</f>
        <v>0.35000000000000003</v>
      </c>
      <c r="Y379" s="8">
        <f>MROUND(_xlfn.XLOOKUP(_xlfn.XLOOKUP(B379,'Base stats'!B:B,'Base stats'!E:E),Groups!A:A,Groups!BI:BI)*_xlfn.XLOOKUP(B379,'Base stats'!B:B,'Base stats'!C:C)^0.165,0.05)</f>
        <v>0</v>
      </c>
      <c r="Z379" s="18">
        <f>MROUND(_xlfn.XLOOKUP(B379,'Base stats'!B:B,'Base stats'!AQ:AQ)*_xlfn.XLOOKUP(_xlfn.XLOOKUP(B379,'Base stats'!B:B,'Base stats'!E:E),Groups!A:A,Groups!H:H)/1000,IF((_xlfn.XLOOKUP(B379,'Base stats'!B:B,'Base stats'!AQ:AQ)*_xlfn.XLOOKUP(_xlfn.XLOOKUP(B379,'Base stats'!B:B,'Base stats'!E:E),Groups!A:A,Groups!H:H)/1000)&gt;1,0.05,0.01))</f>
        <v>3.3000000000000003</v>
      </c>
      <c r="AA379" s="18">
        <f>MROUND((1/2)*(_xlfn.XLOOKUP(_xlfn.XLOOKUP(B379,'Base stats'!B:B,'Base stats'!E:E),Groups!A:A,Groups!H:H)*_xlfn.XLOOKUP(_xlfn.XLOOKUP(B379,'Base stats'!B:B,'Base stats'!E:E),Groups!A:A,Groups!I:I))*_xlfn.XLOOKUP(B379,'Base stats'!B:B,'Base stats'!AQ:AQ)*0.01,0.05)</f>
        <v>2.35</v>
      </c>
      <c r="AB379" s="18">
        <f>MROUND(250*(Animals!AO379+Animals!AP379),25)</f>
        <v>1875</v>
      </c>
      <c r="AC379" s="18" t="str">
        <f>_xlfn.XLOOKUP(_xlfn.XLOOKUP(B379,'Base stats'!B:B,'Base stats'!E:E),Groups!A:A,Groups!BJ:BJ)</f>
        <v>Quadruped</v>
      </c>
    </row>
    <row r="380" spans="1:29" s="16" customFormat="1" ht="16.5" thickTop="1" thickBot="1" x14ac:dyDescent="0.3">
      <c r="A380" s="16" t="str">
        <f>Animals!A380</f>
        <v>Daeodon</v>
      </c>
      <c r="B380" s="6" t="str">
        <f>Animals!B380</f>
        <v>Daeodon shoshonensis</v>
      </c>
      <c r="C380" s="1" t="str">
        <f>Animals!C380</f>
        <v>&lt;li&gt;Daeodon&lt;/li&gt;</v>
      </c>
      <c r="D380" s="47">
        <f>MIN(MIN(6,_xlfn.XLOOKUP(A380,Animals!A:A,Animals!AO:AO))*20,MAX(MROUND(_xlfn.XLOOKUP(B380,'Base stats'!B:B,'Base stats'!BS:BS) * (_xlfn.XLOOKUP(B380,'Base stats'!B:B,'Base stats'!AO:AO)*5%)^0.9 / 21,0.1),0.05))</f>
        <v>16.7</v>
      </c>
      <c r="E380" s="11">
        <f>MROUND(_xlfn.XLOOKUP(B380,'Base stats'!B:B,'Base stats'!BG:BG) * 0.01 * 2 + 0.01, 0.05)</f>
        <v>16.150000000000002</v>
      </c>
      <c r="F380" s="7">
        <f>MROUND(_xlfn.XLOOKUP(B380,'Base stats'!B:B,'Base stats'!BD:BD)^0.25 / (_xlfn.XLOOKUP(B380,'Base stats'!B:B,'Base stats'!BK:BK) * 10) * 150 + 0.5 + _xlfn.XLOOKUP(B380,'Base stats'!B:B,'Base stats'!BW:BW), 0.05)</f>
        <v>1.9500000000000002</v>
      </c>
      <c r="G380" s="3" t="str">
        <f>IF(Animals!S380="No","No",
IF(_xlfn.XLOOKUP(B380,'Base stats'!B:B,'Base stats'!U:U)="No",
MAX(MROUND(_xlfn.XLOOKUP(B380,'Base stats'!B:B,'Base stats'!BT:BT) * _xlfn.XLOOKUP(B380,'Base stats'!B:B,'Base stats'!BP:BP)^0.9 / 21 * _xlfn.XLOOKUP(B380,'Base stats'!B:B,'Base stats'!BX:BX),0.1),0.05),
MAX(MROUND(((MIN(10,_xlfn.XLOOKUP(B380,'Base stats'!B:B,'Base stats'!U:U)))^0.4*_xlfn.XLOOKUP(B380,'Base stats'!B:B,'Base stats'!BH:BH)^0.73)^0.6 * _xlfn.XLOOKUP(B380,'Base stats'!B:B,'Base stats'!BX:BX),0.1),0.05)
))</f>
        <v>No</v>
      </c>
      <c r="H380" s="11" t="str">
        <f>IF(G380="No","No",
MROUND(_xlfn.XLOOKUP(B380,'Base stats'!B:B,'Base stats'!BH:BH) * 0.01 * 2 + 0.05, 0.05)
)</f>
        <v>No</v>
      </c>
      <c r="I380" s="11" t="str">
        <f>IF(G380="No","No",IF(_xlfn.XLOOKUP(B380,'Base stats'!B:B,'Base stats'!U:U)="No","No",
MROUND(_xlfn.XLOOKUP(B380,'Base stats'!B:B,'Base stats'!BT:BT)/10000+0.01,0.01)
))</f>
        <v>No</v>
      </c>
      <c r="J380" s="4" t="str">
        <f>IF(G380="No","No",
MROUND(_xlfn.XLOOKUP(B380,'Base stats'!B:B,'Base stats'!BE:BE)^0.25
/((_xlfn.XLOOKUP(B380,'Base stats'!B:B,'Base stats'!BL:BL))*10)*_xlfn.XLOOKUP(_xlfn.XLOOKUP(B380,'Base stats'!B:B,'Base stats'!E:E),Groups!A:A,Groups!Q:Q)*150 + 0.5 + _xlfn.XLOOKUP(B380,'Base stats'!B:B,'Base stats'!BW:BW),
0.05))</f>
        <v>No</v>
      </c>
      <c r="K380" s="3" t="str">
        <f>IF(Animals!X380="No","No",
IF(_xlfn.XLOOKUP(_xlfn.XLOOKUP(B380,'Base stats'!B:B,'Base stats'!E:E),Groups!A:A,Groups!BD:BD)=1,
MAX(MROUND(_xlfn.XLOOKUP(B380,'Base stats'!B:B,'Base stats'!BU:BU) * _xlfn.XLOOKUP(B380,'Base stats'!B:B,'Base stats'!BQ:BQ)^0.9 / 21 *_xlfn.XLOOKUP(B380,'Base stats'!B:B,'Base stats'!BX:BX),0.1),0.05),
MAX(MROUND(((MIN(10,_xlfn.XLOOKUP(B380,'Base stats'!B:B,'Base stats'!W:W)))^0.4*_xlfn.XLOOKUP(B380,'Base stats'!B:B,'Base stats'!BI:BI)^0.73)^0.6 *_xlfn.XLOOKUP(B380,'Base stats'!B:B,'Base stats'!BX:BX),0.1),0.05)
))</f>
        <v>No</v>
      </c>
      <c r="L380" s="11" t="str">
        <f>IF(K380="No","No",
MROUND(_xlfn.XLOOKUP(B380,'Base stats'!B:B,'Base stats'!BI:BI) * 0.01 *2 + 0.05, 0.05)
)</f>
        <v>No</v>
      </c>
      <c r="M380" s="5" t="str">
        <f>IF(K380="No","No",IF(_xlfn.XLOOKUP(_xlfn.XLOOKUP(B380,'Base stats'!B:B,'Base stats'!E:E),Groups!A:A,Groups!BD:BD)=1,"No",
MROUND(_xlfn.XLOOKUP(B380,'Base stats'!B:B,'Base stats'!BU:BU)/10000+0.01,0.01)
))</f>
        <v>No</v>
      </c>
      <c r="N380" s="4" t="str">
        <f>IF(K380="No","No",
MROUND(
  _xlfn.XLOOKUP(B380,'Base stats'!B:B,'Base stats'!BC:BC)^0.25
  / (_xlfn.XLOOKUP(B380,'Base stats'!B:B,'Base stats'!BM:BM) * 10)
  * _xlfn.XLOOKUP(
      _xlfn.XLOOKUP(B380,'Base stats'!B:B,'Base stats'!E:E),
      Groups!A:A,
      Groups!V:V
    ) * 150
  + MIN(12, _xlfn.XLOOKUP(B380,'Base stats'!B:B,'Base stats'!W:W))^(1/IF(_xlfn.XLOOKUP(_xlfn.XLOOKUP(B380,'Base stats'!B:B,'Base stats'!E:E),Groups!A:A,Groups!U:U)=1,100,10)) + 0.5 + _xlfn.XLOOKUP(B380,'Base stats'!B:B,'Base stats'!BW:BW),
0.05))</f>
        <v>No</v>
      </c>
      <c r="O380" s="3">
        <f>IF(Animals!AD380="No","No",
MAX(MROUND((MIN(10,_xlfn.XLOOKUP(B380,'Base stats'!B:B,'Base stats'!V:V)*IF(_xlfn.XLOOKUP(_xlfn.XLOOKUP(B380,'Base stats'!B:B,'Base stats'!E:E),Groups!A:A,Groups!O:O)=0,1,0.33))^0.4*_xlfn.XLOOKUP(B380,'Base stats'!B:B,'Base stats'!BJ:BJ)^0.73)^0.6 *_xlfn.XLOOKUP(B380,'Base stats'!B:B,'Base stats'!BX:BX),0.1),0.05)
)</f>
        <v>30.400000000000002</v>
      </c>
      <c r="P380" s="11">
        <f>IF(O380="No","No",
MROUND(_xlfn.XLOOKUP(B380,'Base stats'!B:B,'Base stats'!BJ:BJ) * 0.01 * 2 + 0.05, 0.05)
)</f>
        <v>13.850000000000001</v>
      </c>
      <c r="Q380" s="5">
        <f>IF(O380="No","No",
MROUND(_xlfn.XLOOKUP(B380,'Base stats'!B:B,'Base stats'!BV:BV)/10000+0.01,0.01)
)</f>
        <v>0.32</v>
      </c>
      <c r="R380" s="4">
        <f>IF(O380="No","No",
MROUND(_xlfn.XLOOKUP(B380,'Base stats'!B:B,'Base stats'!BB:BB)^0.25
/((_xlfn.XLOOKUP(B380,'Base stats'!B:B,'Base stats'!BN:BN))*10)*_xlfn.XLOOKUP(_xlfn.XLOOKUP(B380,'Base stats'!B:B,'Base stats'!E:E),Groups!A:A,Groups!Z:Z)*150 + 0.5 + _xlfn.XLOOKUP(B380,'Base stats'!B:B,'Base stats'!BW:BW),
0.05))</f>
        <v>3.2</v>
      </c>
      <c r="S380" s="3" t="str">
        <f>IF(Animals!AI380="No","No",
IF(_xlfn.XLOOKUP(B380,'Base stats'!B:B,'Base stats'!U:U)="No",
MAX(MROUND(_xlfn.XLOOKUP(B380,'Base stats'!B:B,'Base stats'!BT:BT) * _xlfn.XLOOKUP(B380,'Base stats'!B:B,'Base stats'!BP:BP)^0.9 / 21 * _xlfn.XLOOKUP(B380,'Base stats'!B:B,'Base stats'!BX:BX),0.1),0.05),
MAX(MROUND(((MIN(12,_xlfn.XLOOKUP(B380,'Base stats'!B:B,'Base stats'!U:U)))^0.4*_xlfn.XLOOKUP(B380,'Base stats'!B:B,'Base stats'!BH:BH)^0.73)^0.6 * _xlfn.XLOOKUP(B380,'Base stats'!B:B,'Base stats'!BX:BX),0.1),0.05)
))</f>
        <v>No</v>
      </c>
      <c r="T380" s="11" t="str">
        <f>IF(S380="No","No",
MROUND(_xlfn.XLOOKUP(B380,'Base stats'!B:B,'Base stats'!BH:BH) * 0.01 * 2 + 0.05, 0.05)
)</f>
        <v>No</v>
      </c>
      <c r="U380" s="5" t="str">
        <f>IF(S380="No","No",IF(_xlfn.XLOOKUP(B380,'Base stats'!B:B,'Base stats'!U:U)="No","No",
MROUND(_xlfn.XLOOKUP(B380,'Base stats'!B:B,'Base stats'!BT:BT)/10000+0.01,0.01)
))</f>
        <v>No</v>
      </c>
      <c r="V380" s="4" t="str">
        <f>IF(S380="No","No",
MROUND(_xlfn.XLOOKUP(B380,'Base stats'!B:B,'Base stats'!BF:BF)^0.25
/((_xlfn.XLOOKUP(B380,'Base stats'!B:B,'Base stats'!BO:BO))*10)*_xlfn.XLOOKUP(_xlfn.XLOOKUP(B380,'Base stats'!B:B,'Base stats'!E:E),Groups!A:A,Groups!AE:AE)*150 + 0.5 + _xlfn.XLOOKUP(B380,'Base stats'!B:B,'Base stats'!BW:BW),
0.05))</f>
        <v>No</v>
      </c>
      <c r="W380" s="8">
        <f>MROUND(_xlfn.XLOOKUP(_xlfn.XLOOKUP(B380,'Base stats'!B:B,'Base stats'!E:E),Groups!A:A,Groups!BG:BG)*_xlfn.XLOOKUP(B380,'Base stats'!B:B,'Base stats'!C:C)^-0.165,0.05)</f>
        <v>0.15000000000000002</v>
      </c>
      <c r="X380" s="1">
        <f>MROUND(_xlfn.XLOOKUP(_xlfn.XLOOKUP(B380,'Base stats'!B:B,'Base stats'!E:E),Groups!A:A,Groups!BH:BH)*_xlfn.XLOOKUP(B380,'Base stats'!B:B,'Base stats'!C:C)^0.165,0.05)</f>
        <v>0.60000000000000009</v>
      </c>
      <c r="Y380" s="8">
        <f>MROUND(_xlfn.XLOOKUP(_xlfn.XLOOKUP(B380,'Base stats'!B:B,'Base stats'!E:E),Groups!A:A,Groups!BI:BI)*_xlfn.XLOOKUP(B380,'Base stats'!B:B,'Base stats'!C:C)^0.165,0.05)</f>
        <v>0.05</v>
      </c>
      <c r="Z380" s="18">
        <f>MROUND(_xlfn.XLOOKUP(B380,'Base stats'!B:B,'Base stats'!AQ:AQ)*_xlfn.XLOOKUP(_xlfn.XLOOKUP(B380,'Base stats'!B:B,'Base stats'!E:E),Groups!A:A,Groups!H:H)/1000,IF((_xlfn.XLOOKUP(B380,'Base stats'!B:B,'Base stats'!AQ:AQ)*_xlfn.XLOOKUP(_xlfn.XLOOKUP(B380,'Base stats'!B:B,'Base stats'!E:E),Groups!A:A,Groups!H:H)/1000)&gt;1,0.05,0.01))</f>
        <v>0.12</v>
      </c>
      <c r="AA380" s="18">
        <f>MROUND((1/2)*(_xlfn.XLOOKUP(_xlfn.XLOOKUP(B380,'Base stats'!B:B,'Base stats'!E:E),Groups!A:A,Groups!H:H)*_xlfn.XLOOKUP(_xlfn.XLOOKUP(B380,'Base stats'!B:B,'Base stats'!E:E),Groups!A:A,Groups!I:I))*_xlfn.XLOOKUP(B380,'Base stats'!B:B,'Base stats'!AQ:AQ)*0.01,0.05)</f>
        <v>0.5</v>
      </c>
      <c r="AB380" s="18">
        <f>MROUND(250*(Animals!AO380+Animals!AP380),25)</f>
        <v>1625</v>
      </c>
      <c r="AC380" s="18" t="str">
        <f>_xlfn.XLOOKUP(_xlfn.XLOOKUP(B380,'Base stats'!B:B,'Base stats'!E:E),Groups!A:A,Groups!BJ:BJ)</f>
        <v>Quadruped</v>
      </c>
    </row>
    <row r="381" spans="1:29" s="16" customFormat="1" ht="16.5" thickTop="1" thickBot="1" x14ac:dyDescent="0.3">
      <c r="A381" s="16" t="str">
        <f>Animals!A381</f>
        <v>Gigantopithecus</v>
      </c>
      <c r="B381" s="6" t="str">
        <f>Animals!B381</f>
        <v>Gigantopithecus blacki</v>
      </c>
      <c r="C381" s="1" t="str">
        <f>Animals!C381</f>
        <v>&lt;li&gt;Gigantopithecus&lt;/li&gt;</v>
      </c>
      <c r="D381" s="47">
        <f>MIN(MIN(6,_xlfn.XLOOKUP(A381,Animals!A:A,Animals!AO:AO))*20,MAX(MROUND(_xlfn.XLOOKUP(B381,'Base stats'!B:B,'Base stats'!BS:BS) * (_xlfn.XLOOKUP(B381,'Base stats'!B:B,'Base stats'!AO:AO)*5%)^0.9 / 21,0.1),0.05))</f>
        <v>6.6000000000000005</v>
      </c>
      <c r="E381" s="11">
        <f>MROUND(_xlfn.XLOOKUP(B381,'Base stats'!B:B,'Base stats'!BG:BG) * 0.01 * 2 + 0.01, 0.05)</f>
        <v>5.95</v>
      </c>
      <c r="F381" s="7">
        <f>MROUND(_xlfn.XLOOKUP(B381,'Base stats'!B:B,'Base stats'!BD:BD)^0.25 / (_xlfn.XLOOKUP(B381,'Base stats'!B:B,'Base stats'!BK:BK) * 10) * 150 + 0.5 + _xlfn.XLOOKUP(B381,'Base stats'!B:B,'Base stats'!BW:BW), 0.05)</f>
        <v>1.75</v>
      </c>
      <c r="G381" s="3" t="str">
        <f>IF(Animals!S381="No","No",
IF(_xlfn.XLOOKUP(B381,'Base stats'!B:B,'Base stats'!U:U)="No",
MAX(MROUND(_xlfn.XLOOKUP(B381,'Base stats'!B:B,'Base stats'!BT:BT) * _xlfn.XLOOKUP(B381,'Base stats'!B:B,'Base stats'!BP:BP)^0.9 / 21 * _xlfn.XLOOKUP(B381,'Base stats'!B:B,'Base stats'!BX:BX),0.1),0.05),
MAX(MROUND(((MIN(10,_xlfn.XLOOKUP(B381,'Base stats'!B:B,'Base stats'!U:U)))^0.4*_xlfn.XLOOKUP(B381,'Base stats'!B:B,'Base stats'!BH:BH)^0.73)^0.6 * _xlfn.XLOOKUP(B381,'Base stats'!B:B,'Base stats'!BX:BX),0.1),0.05)
))</f>
        <v>No</v>
      </c>
      <c r="H381" s="11" t="str">
        <f>IF(G381="No","No",
MROUND(_xlfn.XLOOKUP(B381,'Base stats'!B:B,'Base stats'!BH:BH) * 0.01 * 2 + 0.05, 0.05)
)</f>
        <v>No</v>
      </c>
      <c r="I381" s="11" t="str">
        <f>IF(G381="No","No",IF(_xlfn.XLOOKUP(B381,'Base stats'!B:B,'Base stats'!U:U)="No","No",
MROUND(_xlfn.XLOOKUP(B381,'Base stats'!B:B,'Base stats'!BT:BT)/10000+0.01,0.01)
))</f>
        <v>No</v>
      </c>
      <c r="J381" s="4" t="str">
        <f>IF(G381="No","No",
MROUND(_xlfn.XLOOKUP(B381,'Base stats'!B:B,'Base stats'!BE:BE)^0.25
/((_xlfn.XLOOKUP(B381,'Base stats'!B:B,'Base stats'!BL:BL))*10)*_xlfn.XLOOKUP(_xlfn.XLOOKUP(B381,'Base stats'!B:B,'Base stats'!E:E),Groups!A:A,Groups!Q:Q)*150 + 0.5 + _xlfn.XLOOKUP(B381,'Base stats'!B:B,'Base stats'!BW:BW),
0.05))</f>
        <v>No</v>
      </c>
      <c r="K381" s="3" t="str">
        <f>IF(Animals!X381="No","No",
IF(_xlfn.XLOOKUP(_xlfn.XLOOKUP(B381,'Base stats'!B:B,'Base stats'!E:E),Groups!A:A,Groups!BD:BD)=1,
MAX(MROUND(_xlfn.XLOOKUP(B381,'Base stats'!B:B,'Base stats'!BU:BU) * _xlfn.XLOOKUP(B381,'Base stats'!B:B,'Base stats'!BQ:BQ)^0.9 / 21 *_xlfn.XLOOKUP(B381,'Base stats'!B:B,'Base stats'!BX:BX),0.1),0.05),
MAX(MROUND(((MIN(10,_xlfn.XLOOKUP(B381,'Base stats'!B:B,'Base stats'!W:W)))^0.4*_xlfn.XLOOKUP(B381,'Base stats'!B:B,'Base stats'!BI:BI)^0.73)^0.6 *_xlfn.XLOOKUP(B381,'Base stats'!B:B,'Base stats'!BX:BX),0.1),0.05)
))</f>
        <v>No</v>
      </c>
      <c r="L381" s="11" t="str">
        <f>IF(K381="No","No",
MROUND(_xlfn.XLOOKUP(B381,'Base stats'!B:B,'Base stats'!BI:BI) * 0.01 *2 + 0.05, 0.05)
)</f>
        <v>No</v>
      </c>
      <c r="M381" s="5" t="str">
        <f>IF(K381="No","No",IF(_xlfn.XLOOKUP(_xlfn.XLOOKUP(B381,'Base stats'!B:B,'Base stats'!E:E),Groups!A:A,Groups!BD:BD)=1,"No",
MROUND(_xlfn.XLOOKUP(B381,'Base stats'!B:B,'Base stats'!BU:BU)/10000+0.01,0.01)
))</f>
        <v>No</v>
      </c>
      <c r="N381" s="4" t="str">
        <f>IF(K381="No","No",
MROUND(
  _xlfn.XLOOKUP(B381,'Base stats'!B:B,'Base stats'!BC:BC)^0.25
  / (_xlfn.XLOOKUP(B381,'Base stats'!B:B,'Base stats'!BM:BM) * 10)
  * _xlfn.XLOOKUP(
      _xlfn.XLOOKUP(B381,'Base stats'!B:B,'Base stats'!E:E),
      Groups!A:A,
      Groups!V:V
    ) * 150
  + MIN(12, _xlfn.XLOOKUP(B381,'Base stats'!B:B,'Base stats'!W:W))^(1/IF(_xlfn.XLOOKUP(_xlfn.XLOOKUP(B381,'Base stats'!B:B,'Base stats'!E:E),Groups!A:A,Groups!U:U)=1,100,10)) + 0.5 + _xlfn.XLOOKUP(B381,'Base stats'!B:B,'Base stats'!BW:BW),
0.05))</f>
        <v>No</v>
      </c>
      <c r="O381" s="3">
        <f>IF(Animals!AD381="No","No",
MAX(MROUND((MIN(10,_xlfn.XLOOKUP(B381,'Base stats'!B:B,'Base stats'!V:V)*IF(_xlfn.XLOOKUP(_xlfn.XLOOKUP(B381,'Base stats'!B:B,'Base stats'!E:E),Groups!A:A,Groups!O:O)=0,1,0.33))^0.4*_xlfn.XLOOKUP(B381,'Base stats'!B:B,'Base stats'!BJ:BJ)^0.73)^0.6 *_xlfn.XLOOKUP(B381,'Base stats'!B:B,'Base stats'!BX:BX),0.1),0.05)
)</f>
        <v>14.9</v>
      </c>
      <c r="P381" s="11">
        <f>IF(O381="No","No",
MROUND(_xlfn.XLOOKUP(B381,'Base stats'!B:B,'Base stats'!BJ:BJ) * 0.01 * 2 + 0.05, 0.05)
)</f>
        <v>3.7</v>
      </c>
      <c r="Q381" s="5">
        <f>IF(O381="No","No",
MROUND(_xlfn.XLOOKUP(B381,'Base stats'!B:B,'Base stats'!BV:BV)/10000+0.01,0.01)
)</f>
        <v>0.14000000000000001</v>
      </c>
      <c r="R381" s="4">
        <f>IF(O381="No","No",
MROUND(_xlfn.XLOOKUP(B381,'Base stats'!B:B,'Base stats'!BB:BB)^0.25
/((_xlfn.XLOOKUP(B381,'Base stats'!B:B,'Base stats'!BN:BN))*10)*_xlfn.XLOOKUP(_xlfn.XLOOKUP(B381,'Base stats'!B:B,'Base stats'!E:E),Groups!A:A,Groups!Z:Z)*150 + 0.5 + _xlfn.XLOOKUP(B381,'Base stats'!B:B,'Base stats'!BW:BW),
0.05))</f>
        <v>2.2000000000000002</v>
      </c>
      <c r="S381" s="3">
        <f>IF(Animals!AI381="No","No",
IF(_xlfn.XLOOKUP(B381,'Base stats'!B:B,'Base stats'!U:U)="No",
MAX(MROUND(_xlfn.XLOOKUP(B381,'Base stats'!B:B,'Base stats'!BT:BT) * _xlfn.XLOOKUP(B381,'Base stats'!B:B,'Base stats'!BP:BP)^0.9 / 21 * _xlfn.XLOOKUP(B381,'Base stats'!B:B,'Base stats'!BX:BX),0.1),0.05),
MAX(MROUND(((MIN(12,_xlfn.XLOOKUP(B381,'Base stats'!B:B,'Base stats'!U:U)))^0.4*_xlfn.XLOOKUP(B381,'Base stats'!B:B,'Base stats'!BH:BH)^0.73)^0.6 * _xlfn.XLOOKUP(B381,'Base stats'!B:B,'Base stats'!BX:BX),0.1),0.05)
))</f>
        <v>13.5</v>
      </c>
      <c r="T381" s="11">
        <f>IF(S381="No","No",
MROUND(_xlfn.XLOOKUP(B381,'Base stats'!B:B,'Base stats'!BH:BH) * 0.01 * 2 + 0.05, 0.05)
)</f>
        <v>7.15</v>
      </c>
      <c r="U381" s="5" t="str">
        <f>IF(S381="No","No",IF(_xlfn.XLOOKUP(B381,'Base stats'!B:B,'Base stats'!U:U)="No","No",
MROUND(_xlfn.XLOOKUP(B381,'Base stats'!B:B,'Base stats'!BT:BT)/10000+0.01,0.01)
))</f>
        <v>No</v>
      </c>
      <c r="V381" s="4">
        <f>IF(S381="No","No",
MROUND(_xlfn.XLOOKUP(B381,'Base stats'!B:B,'Base stats'!BF:BF)^0.25
/((_xlfn.XLOOKUP(B381,'Base stats'!B:B,'Base stats'!BO:BO))*10)*_xlfn.XLOOKUP(_xlfn.XLOOKUP(B381,'Base stats'!B:B,'Base stats'!E:E),Groups!A:A,Groups!AE:AE)*150 + 0.5 + _xlfn.XLOOKUP(B381,'Base stats'!B:B,'Base stats'!BW:BW),
0.05))</f>
        <v>1.55</v>
      </c>
      <c r="W381" s="8">
        <f>MROUND(_xlfn.XLOOKUP(_xlfn.XLOOKUP(B381,'Base stats'!B:B,'Base stats'!E:E),Groups!A:A,Groups!BG:BG)*_xlfn.XLOOKUP(B381,'Base stats'!B:B,'Base stats'!C:C)^-0.165,0.05)</f>
        <v>0.4</v>
      </c>
      <c r="X381" s="1">
        <f>MROUND(_xlfn.XLOOKUP(_xlfn.XLOOKUP(B381,'Base stats'!B:B,'Base stats'!E:E),Groups!A:A,Groups!BH:BH)*_xlfn.XLOOKUP(B381,'Base stats'!B:B,'Base stats'!C:C)^0.165,0.05)</f>
        <v>0.25</v>
      </c>
      <c r="Y381" s="8">
        <f>MROUND(_xlfn.XLOOKUP(_xlfn.XLOOKUP(B381,'Base stats'!B:B,'Base stats'!E:E),Groups!A:A,Groups!BI:BI)*_xlfn.XLOOKUP(B381,'Base stats'!B:B,'Base stats'!C:C)^0.165,0.05)</f>
        <v>0.1</v>
      </c>
      <c r="Z381" s="18">
        <f>MROUND(_xlfn.XLOOKUP(B381,'Base stats'!B:B,'Base stats'!AQ:AQ)*_xlfn.XLOOKUP(_xlfn.XLOOKUP(B381,'Base stats'!B:B,'Base stats'!E:E),Groups!A:A,Groups!H:H)/1000,IF((_xlfn.XLOOKUP(B381,'Base stats'!B:B,'Base stats'!AQ:AQ)*_xlfn.XLOOKUP(_xlfn.XLOOKUP(B381,'Base stats'!B:B,'Base stats'!E:E),Groups!A:A,Groups!H:H)/1000)&gt;1,0.05,0.01))</f>
        <v>0.09</v>
      </c>
      <c r="AA381" s="18">
        <f>MROUND((1/2)*(_xlfn.XLOOKUP(_xlfn.XLOOKUP(B381,'Base stats'!B:B,'Base stats'!E:E),Groups!A:A,Groups!H:H)*_xlfn.XLOOKUP(_xlfn.XLOOKUP(B381,'Base stats'!B:B,'Base stats'!E:E),Groups!A:A,Groups!I:I))*_xlfn.XLOOKUP(B381,'Base stats'!B:B,'Base stats'!AQ:AQ)*0.01,0.05)</f>
        <v>0.35000000000000003</v>
      </c>
      <c r="AB381" s="18">
        <f>MROUND(250*(Animals!AO381+Animals!AP381),25)</f>
        <v>1050</v>
      </c>
      <c r="AC381" s="18" t="str">
        <f>_xlfn.XLOOKUP(_xlfn.XLOOKUP(B381,'Base stats'!B:B,'Base stats'!E:E),Groups!A:A,Groups!BJ:BJ)</f>
        <v>HumanoidWide</v>
      </c>
    </row>
    <row r="382" spans="1:29" s="16" customFormat="1" ht="16.5" thickTop="1" thickBot="1" x14ac:dyDescent="0.3">
      <c r="A382" s="16" t="str">
        <f>Animals!A382</f>
        <v>Paraceratherium</v>
      </c>
      <c r="B382" s="6" t="str">
        <f>Animals!B382</f>
        <v>Paraceratherium transouralicum</v>
      </c>
      <c r="C382" s="1" t="str">
        <f>Animals!C382</f>
        <v>&lt;li&gt;Paraceratherium&lt;/li&gt;</v>
      </c>
      <c r="D382" s="47">
        <f>MIN(MIN(6,_xlfn.XLOOKUP(A382,Animals!A:A,Animals!AO:AO))*20,MAX(MROUND(_xlfn.XLOOKUP(B382,'Base stats'!B:B,'Base stats'!BS:BS) * (_xlfn.XLOOKUP(B382,'Base stats'!B:B,'Base stats'!AO:AO)*5%)^0.9 / 21,0.1),0.05))</f>
        <v>117</v>
      </c>
      <c r="E382" s="11">
        <f>MROUND(_xlfn.XLOOKUP(B382,'Base stats'!B:B,'Base stats'!BG:BG) * 0.01 * 2 + 0.01, 0.05)</f>
        <v>138.4</v>
      </c>
      <c r="F382" s="7">
        <f>MROUND(_xlfn.XLOOKUP(B382,'Base stats'!B:B,'Base stats'!BD:BD)^0.25 / (_xlfn.XLOOKUP(B382,'Base stats'!B:B,'Base stats'!BK:BK) * 10) * 150 + 0.5 + _xlfn.XLOOKUP(B382,'Base stats'!B:B,'Base stats'!BW:BW), 0.05)</f>
        <v>3.3000000000000003</v>
      </c>
      <c r="G382" s="3" t="str">
        <f>IF(Animals!S382="No","No",
IF(_xlfn.XLOOKUP(B382,'Base stats'!B:B,'Base stats'!U:U)="No",
MAX(MROUND(_xlfn.XLOOKUP(B382,'Base stats'!B:B,'Base stats'!BT:BT) * _xlfn.XLOOKUP(B382,'Base stats'!B:B,'Base stats'!BP:BP)^0.9 / 21 * _xlfn.XLOOKUP(B382,'Base stats'!B:B,'Base stats'!BX:BX),0.1),0.05),
MAX(MROUND(((MIN(10,_xlfn.XLOOKUP(B382,'Base stats'!B:B,'Base stats'!U:U)))^0.4*_xlfn.XLOOKUP(B382,'Base stats'!B:B,'Base stats'!BH:BH)^0.73)^0.6 * _xlfn.XLOOKUP(B382,'Base stats'!B:B,'Base stats'!BX:BX),0.1),0.05)
))</f>
        <v>No</v>
      </c>
      <c r="H382" s="11" t="str">
        <f>IF(G382="No","No",
MROUND(_xlfn.XLOOKUP(B382,'Base stats'!B:B,'Base stats'!BH:BH) * 0.01 * 2 + 0.05, 0.05)
)</f>
        <v>No</v>
      </c>
      <c r="I382" s="11" t="str">
        <f>IF(G382="No","No",IF(_xlfn.XLOOKUP(B382,'Base stats'!B:B,'Base stats'!U:U)="No","No",
MROUND(_xlfn.XLOOKUP(B382,'Base stats'!B:B,'Base stats'!BT:BT)/10000+0.01,0.01)
))</f>
        <v>No</v>
      </c>
      <c r="J382" s="4" t="str">
        <f>IF(G382="No","No",
MROUND(_xlfn.XLOOKUP(B382,'Base stats'!B:B,'Base stats'!BE:BE)^0.25
/((_xlfn.XLOOKUP(B382,'Base stats'!B:B,'Base stats'!BL:BL))*10)*_xlfn.XLOOKUP(_xlfn.XLOOKUP(B382,'Base stats'!B:B,'Base stats'!E:E),Groups!A:A,Groups!Q:Q)*150 + 0.5 + _xlfn.XLOOKUP(B382,'Base stats'!B:B,'Base stats'!BW:BW),
0.05))</f>
        <v>No</v>
      </c>
      <c r="K382" s="3" t="str">
        <f>IF(Animals!X382="No","No",
IF(_xlfn.XLOOKUP(_xlfn.XLOOKUP(B382,'Base stats'!B:B,'Base stats'!E:E),Groups!A:A,Groups!BD:BD)=1,
MAX(MROUND(_xlfn.XLOOKUP(B382,'Base stats'!B:B,'Base stats'!BU:BU) * _xlfn.XLOOKUP(B382,'Base stats'!B:B,'Base stats'!BQ:BQ)^0.9 / 21 *_xlfn.XLOOKUP(B382,'Base stats'!B:B,'Base stats'!BX:BX),0.1),0.05),
MAX(MROUND(((MIN(10,_xlfn.XLOOKUP(B382,'Base stats'!B:B,'Base stats'!W:W)))^0.4*_xlfn.XLOOKUP(B382,'Base stats'!B:B,'Base stats'!BI:BI)^0.73)^0.6 *_xlfn.XLOOKUP(B382,'Base stats'!B:B,'Base stats'!BX:BX),0.1),0.05)
))</f>
        <v>No</v>
      </c>
      <c r="L382" s="11" t="str">
        <f>IF(K382="No","No",
MROUND(_xlfn.XLOOKUP(B382,'Base stats'!B:B,'Base stats'!BI:BI) * 0.01 *2 + 0.05, 0.05)
)</f>
        <v>No</v>
      </c>
      <c r="M382" s="5" t="str">
        <f>IF(K382="No","No",IF(_xlfn.XLOOKUP(_xlfn.XLOOKUP(B382,'Base stats'!B:B,'Base stats'!E:E),Groups!A:A,Groups!BD:BD)=1,"No",
MROUND(_xlfn.XLOOKUP(B382,'Base stats'!B:B,'Base stats'!BU:BU)/10000+0.01,0.01)
))</f>
        <v>No</v>
      </c>
      <c r="N382" s="4" t="str">
        <f>IF(K382="No","No",
MROUND(
  _xlfn.XLOOKUP(B382,'Base stats'!B:B,'Base stats'!BC:BC)^0.25
  / (_xlfn.XLOOKUP(B382,'Base stats'!B:B,'Base stats'!BM:BM) * 10)
  * _xlfn.XLOOKUP(
      _xlfn.XLOOKUP(B382,'Base stats'!B:B,'Base stats'!E:E),
      Groups!A:A,
      Groups!V:V
    ) * 150
  + MIN(12, _xlfn.XLOOKUP(B382,'Base stats'!B:B,'Base stats'!W:W))^(1/IF(_xlfn.XLOOKUP(_xlfn.XLOOKUP(B382,'Base stats'!B:B,'Base stats'!E:E),Groups!A:A,Groups!U:U)=1,100,10)) + 0.5 + _xlfn.XLOOKUP(B382,'Base stats'!B:B,'Base stats'!BW:BW),
0.05))</f>
        <v>No</v>
      </c>
      <c r="O382" s="3">
        <f>IF(Animals!AD382="No","No",
MAX(MROUND((MIN(10,_xlfn.XLOOKUP(B382,'Base stats'!B:B,'Base stats'!V:V)*IF(_xlfn.XLOOKUP(_xlfn.XLOOKUP(B382,'Base stats'!B:B,'Base stats'!E:E),Groups!A:A,Groups!O:O)=0,1,0.33))^0.4*_xlfn.XLOOKUP(B382,'Base stats'!B:B,'Base stats'!BJ:BJ)^0.73)^0.6 *_xlfn.XLOOKUP(B382,'Base stats'!B:B,'Base stats'!BX:BX),0.1),0.05)
)</f>
        <v>61.2</v>
      </c>
      <c r="P382" s="11">
        <f>IF(O382="No","No",
MROUND(_xlfn.XLOOKUP(B382,'Base stats'!B:B,'Base stats'!BJ:BJ) * 0.01 * 2 + 0.05, 0.05)
)</f>
        <v>99.5</v>
      </c>
      <c r="Q382" s="5">
        <f>IF(O382="No","No",
MROUND(_xlfn.XLOOKUP(B382,'Base stats'!B:B,'Base stats'!BV:BV)/10000+0.01,0.01)
)</f>
        <v>0.64</v>
      </c>
      <c r="R382" s="4">
        <f>IF(O382="No","No",
MROUND(_xlfn.XLOOKUP(B382,'Base stats'!B:B,'Base stats'!BB:BB)^0.25
/((_xlfn.XLOOKUP(B382,'Base stats'!B:B,'Base stats'!BN:BN))*10)*_xlfn.XLOOKUP(_xlfn.XLOOKUP(B382,'Base stats'!B:B,'Base stats'!E:E),Groups!A:A,Groups!Z:Z)*150 + 0.5 + _xlfn.XLOOKUP(B382,'Base stats'!B:B,'Base stats'!BW:BW),
0.05))</f>
        <v>3.3000000000000003</v>
      </c>
      <c r="S382" s="3" t="str">
        <f>IF(Animals!AI382="No","No",
IF(_xlfn.XLOOKUP(B382,'Base stats'!B:B,'Base stats'!U:U)="No",
MAX(MROUND(_xlfn.XLOOKUP(B382,'Base stats'!B:B,'Base stats'!BT:BT) * _xlfn.XLOOKUP(B382,'Base stats'!B:B,'Base stats'!BP:BP)^0.9 / 21 * _xlfn.XLOOKUP(B382,'Base stats'!B:B,'Base stats'!BX:BX),0.1),0.05),
MAX(MROUND(((MIN(12,_xlfn.XLOOKUP(B382,'Base stats'!B:B,'Base stats'!U:U)))^0.4*_xlfn.XLOOKUP(B382,'Base stats'!B:B,'Base stats'!BH:BH)^0.73)^0.6 * _xlfn.XLOOKUP(B382,'Base stats'!B:B,'Base stats'!BX:BX),0.1),0.05)
))</f>
        <v>No</v>
      </c>
      <c r="T382" s="11" t="str">
        <f>IF(S382="No","No",
MROUND(_xlfn.XLOOKUP(B382,'Base stats'!B:B,'Base stats'!BH:BH) * 0.01 * 2 + 0.05, 0.05)
)</f>
        <v>No</v>
      </c>
      <c r="U382" s="5" t="str">
        <f>IF(S382="No","No",IF(_xlfn.XLOOKUP(B382,'Base stats'!B:B,'Base stats'!U:U)="No","No",
MROUND(_xlfn.XLOOKUP(B382,'Base stats'!B:B,'Base stats'!BT:BT)/10000+0.01,0.01)
))</f>
        <v>No</v>
      </c>
      <c r="V382" s="4" t="str">
        <f>IF(S382="No","No",
MROUND(_xlfn.XLOOKUP(B382,'Base stats'!B:B,'Base stats'!BF:BF)^0.25
/((_xlfn.XLOOKUP(B382,'Base stats'!B:B,'Base stats'!BO:BO))*10)*_xlfn.XLOOKUP(_xlfn.XLOOKUP(B382,'Base stats'!B:B,'Base stats'!E:E),Groups!A:A,Groups!AE:AE)*150 + 0.5 + _xlfn.XLOOKUP(B382,'Base stats'!B:B,'Base stats'!BW:BW),
0.05))</f>
        <v>No</v>
      </c>
      <c r="W382" s="8">
        <f>MROUND(_xlfn.XLOOKUP(_xlfn.XLOOKUP(B382,'Base stats'!B:B,'Base stats'!E:E),Groups!A:A,Groups!BG:BG)*_xlfn.XLOOKUP(B382,'Base stats'!B:B,'Base stats'!C:C)^-0.165,0.05)</f>
        <v>0.1</v>
      </c>
      <c r="X382" s="1">
        <f>MROUND(_xlfn.XLOOKUP(_xlfn.XLOOKUP(B382,'Base stats'!B:B,'Base stats'!E:E),Groups!A:A,Groups!BH:BH)*_xlfn.XLOOKUP(B382,'Base stats'!B:B,'Base stats'!C:C)^0.165,0.05)</f>
        <v>0.5</v>
      </c>
      <c r="Y382" s="8">
        <f>MROUND(_xlfn.XLOOKUP(_xlfn.XLOOKUP(B382,'Base stats'!B:B,'Base stats'!E:E),Groups!A:A,Groups!BI:BI)*_xlfn.XLOOKUP(B382,'Base stats'!B:B,'Base stats'!C:C)^0.165,0.05)</f>
        <v>0.1</v>
      </c>
      <c r="Z382" s="18">
        <f>MROUND(_xlfn.XLOOKUP(B382,'Base stats'!B:B,'Base stats'!AQ:AQ)*_xlfn.XLOOKUP(_xlfn.XLOOKUP(B382,'Base stats'!B:B,'Base stats'!E:E),Groups!A:A,Groups!H:H)/1000,IF((_xlfn.XLOOKUP(B382,'Base stats'!B:B,'Base stats'!AQ:AQ)*_xlfn.XLOOKUP(_xlfn.XLOOKUP(B382,'Base stats'!B:B,'Base stats'!E:E),Groups!A:A,Groups!H:H)/1000)&gt;1,0.05,0.01))</f>
        <v>0.45</v>
      </c>
      <c r="AA382" s="18">
        <f>MROUND((1/2)*(_xlfn.XLOOKUP(_xlfn.XLOOKUP(B382,'Base stats'!B:B,'Base stats'!E:E),Groups!A:A,Groups!H:H)*_xlfn.XLOOKUP(_xlfn.XLOOKUP(B382,'Base stats'!B:B,'Base stats'!E:E),Groups!A:A,Groups!I:I))*_xlfn.XLOOKUP(B382,'Base stats'!B:B,'Base stats'!AQ:AQ)*0.01,0.05)</f>
        <v>0.55000000000000004</v>
      </c>
      <c r="AB382" s="18">
        <f>MROUND(250*(Animals!AO382+Animals!AP382),25)</f>
        <v>4400</v>
      </c>
      <c r="AC382" s="18" t="str">
        <f>_xlfn.XLOOKUP(_xlfn.XLOOKUP(B382,'Base stats'!B:B,'Base stats'!E:E),Groups!A:A,Groups!BJ:BJ)</f>
        <v>Quadruped</v>
      </c>
    </row>
    <row r="383" spans="1:29" s="16" customFormat="1" ht="16.5" thickTop="1" thickBot="1" x14ac:dyDescent="0.3">
      <c r="A383" s="16" t="str">
        <f>Animals!A383</f>
        <v>Titanis</v>
      </c>
      <c r="B383" s="6" t="str">
        <f>Animals!B383</f>
        <v>Titanis walleri</v>
      </c>
      <c r="C383" s="1" t="str">
        <f>Animals!C383</f>
        <v>&lt;li&gt;Titanis&lt;/li&gt;</v>
      </c>
      <c r="D383" s="47">
        <f>MIN(MIN(6,_xlfn.XLOOKUP(A383,Animals!A:A,Animals!AO:AO))*20,MAX(MROUND(_xlfn.XLOOKUP(B383,'Base stats'!B:B,'Base stats'!BS:BS) * (_xlfn.XLOOKUP(B383,'Base stats'!B:B,'Base stats'!AO:AO)*5%)^0.9 / 21,0.1),0.05))</f>
        <v>4.3</v>
      </c>
      <c r="E383" s="11">
        <f>MROUND(_xlfn.XLOOKUP(B383,'Base stats'!B:B,'Base stats'!BG:BG) * 0.01 * 2 + 0.01, 0.05)</f>
        <v>3.75</v>
      </c>
      <c r="F383" s="7">
        <f>MROUND(_xlfn.XLOOKUP(B383,'Base stats'!B:B,'Base stats'!BD:BD)^0.25 / (_xlfn.XLOOKUP(B383,'Base stats'!B:B,'Base stats'!BK:BK) * 10) * 150 + 0.5 + _xlfn.XLOOKUP(B383,'Base stats'!B:B,'Base stats'!BW:BW), 0.05)</f>
        <v>2.1</v>
      </c>
      <c r="G383" s="3">
        <f>IF(Animals!S383="No","No",
IF(_xlfn.XLOOKUP(B383,'Base stats'!B:B,'Base stats'!U:U)="No",
MAX(MROUND(_xlfn.XLOOKUP(B383,'Base stats'!B:B,'Base stats'!BT:BT) * _xlfn.XLOOKUP(B383,'Base stats'!B:B,'Base stats'!BP:BP)^0.9 / 21 * _xlfn.XLOOKUP(B383,'Base stats'!B:B,'Base stats'!BX:BX),0.1),0.05),
MAX(MROUND(((MIN(10,_xlfn.XLOOKUP(B383,'Base stats'!B:B,'Base stats'!U:U)))^0.4*_xlfn.XLOOKUP(B383,'Base stats'!B:B,'Base stats'!BH:BH)^0.73)^0.6 * _xlfn.XLOOKUP(B383,'Base stats'!B:B,'Base stats'!BX:BX),0.1),0.05)
))</f>
        <v>15.9</v>
      </c>
      <c r="H383" s="11">
        <f>IF(G383="No","No",
MROUND(_xlfn.XLOOKUP(B383,'Base stats'!B:B,'Base stats'!BH:BH) * 0.01 * 2 + 0.05, 0.05)
)</f>
        <v>4.6500000000000004</v>
      </c>
      <c r="I383" s="11">
        <f>IF(G383="No","No",IF(_xlfn.XLOOKUP(B383,'Base stats'!B:B,'Base stats'!U:U)="No","No",
MROUND(_xlfn.XLOOKUP(B383,'Base stats'!B:B,'Base stats'!BT:BT)/10000+0.01,0.01)
))</f>
        <v>0.21</v>
      </c>
      <c r="J383" s="4">
        <f>IF(G383="No","No",
MROUND(_xlfn.XLOOKUP(B383,'Base stats'!B:B,'Base stats'!BE:BE)^0.25
/((_xlfn.XLOOKUP(B383,'Base stats'!B:B,'Base stats'!BL:BL))*10)*_xlfn.XLOOKUP(_xlfn.XLOOKUP(B383,'Base stats'!B:B,'Base stats'!E:E),Groups!A:A,Groups!Q:Q)*150 + 0.5 + _xlfn.XLOOKUP(B383,'Base stats'!B:B,'Base stats'!BW:BW),
0.05))</f>
        <v>3.4000000000000004</v>
      </c>
      <c r="K383" s="3" t="str">
        <f>IF(Animals!X383="No","No",
IF(_xlfn.XLOOKUP(_xlfn.XLOOKUP(B383,'Base stats'!B:B,'Base stats'!E:E),Groups!A:A,Groups!BD:BD)=1,
MAX(MROUND(_xlfn.XLOOKUP(B383,'Base stats'!B:B,'Base stats'!BU:BU) * _xlfn.XLOOKUP(B383,'Base stats'!B:B,'Base stats'!BQ:BQ)^0.9 / 21 *_xlfn.XLOOKUP(B383,'Base stats'!B:B,'Base stats'!BX:BX),0.1),0.05),
MAX(MROUND(((MIN(10,_xlfn.XLOOKUP(B383,'Base stats'!B:B,'Base stats'!W:W)))^0.4*_xlfn.XLOOKUP(B383,'Base stats'!B:B,'Base stats'!BI:BI)^0.73)^0.6 *_xlfn.XLOOKUP(B383,'Base stats'!B:B,'Base stats'!BX:BX),0.1),0.05)
))</f>
        <v>No</v>
      </c>
      <c r="L383" s="11" t="str">
        <f>IF(K383="No","No",
MROUND(_xlfn.XLOOKUP(B383,'Base stats'!B:B,'Base stats'!BI:BI) * 0.01 *2 + 0.05, 0.05)
)</f>
        <v>No</v>
      </c>
      <c r="M383" s="5" t="str">
        <f>IF(K383="No","No",IF(_xlfn.XLOOKUP(_xlfn.XLOOKUP(B383,'Base stats'!B:B,'Base stats'!E:E),Groups!A:A,Groups!BD:BD)=1,"No",
MROUND(_xlfn.XLOOKUP(B383,'Base stats'!B:B,'Base stats'!BU:BU)/10000+0.01,0.01)
))</f>
        <v>No</v>
      </c>
      <c r="N383" s="4" t="str">
        <f>IF(K383="No","No",
MROUND(
  _xlfn.XLOOKUP(B383,'Base stats'!B:B,'Base stats'!BC:BC)^0.25
  / (_xlfn.XLOOKUP(B383,'Base stats'!B:B,'Base stats'!BM:BM) * 10)
  * _xlfn.XLOOKUP(
      _xlfn.XLOOKUP(B383,'Base stats'!B:B,'Base stats'!E:E),
      Groups!A:A,
      Groups!V:V
    ) * 150
  + MIN(12, _xlfn.XLOOKUP(B383,'Base stats'!B:B,'Base stats'!W:W))^(1/IF(_xlfn.XLOOKUP(_xlfn.XLOOKUP(B383,'Base stats'!B:B,'Base stats'!E:E),Groups!A:A,Groups!U:U)=1,100,10)) + 0.5 + _xlfn.XLOOKUP(B383,'Base stats'!B:B,'Base stats'!BW:BW),
0.05))</f>
        <v>No</v>
      </c>
      <c r="O383" s="3">
        <f>IF(Animals!AD383="No","No",
MAX(MROUND((MIN(10,_xlfn.XLOOKUP(B383,'Base stats'!B:B,'Base stats'!V:V)*IF(_xlfn.XLOOKUP(_xlfn.XLOOKUP(B383,'Base stats'!B:B,'Base stats'!E:E),Groups!A:A,Groups!O:O)=0,1,0.33))^0.4*_xlfn.XLOOKUP(B383,'Base stats'!B:B,'Base stats'!BJ:BJ)^0.73)^0.6 *_xlfn.XLOOKUP(B383,'Base stats'!B:B,'Base stats'!BX:BX),0.1),0.05)
)</f>
        <v>7.2</v>
      </c>
      <c r="P383" s="11">
        <f>IF(O383="No","No",
MROUND(_xlfn.XLOOKUP(B383,'Base stats'!B:B,'Base stats'!BJ:BJ) * 0.01 * 2 + 0.05, 0.05)
)</f>
        <v>0.60000000000000009</v>
      </c>
      <c r="Q383" s="5">
        <f>IF(O383="No","No",
MROUND(_xlfn.XLOOKUP(B383,'Base stats'!B:B,'Base stats'!BV:BV)/10000+0.01,0.01)
)</f>
        <v>0.03</v>
      </c>
      <c r="R383" s="4">
        <f>IF(O383="No","No",
MROUND(_xlfn.XLOOKUP(B383,'Base stats'!B:B,'Base stats'!BB:BB)^0.25
/((_xlfn.XLOOKUP(B383,'Base stats'!B:B,'Base stats'!BN:BN))*10)*_xlfn.XLOOKUP(_xlfn.XLOOKUP(B383,'Base stats'!B:B,'Base stats'!E:E),Groups!A:A,Groups!Z:Z)*150 + 0.5 + _xlfn.XLOOKUP(B383,'Base stats'!B:B,'Base stats'!BW:BW),
0.05))</f>
        <v>2.25</v>
      </c>
      <c r="S383" s="3" t="str">
        <f>IF(Animals!AI383="No","No",
IF(_xlfn.XLOOKUP(B383,'Base stats'!B:B,'Base stats'!U:U)="No",
MAX(MROUND(_xlfn.XLOOKUP(B383,'Base stats'!B:B,'Base stats'!BT:BT) * _xlfn.XLOOKUP(B383,'Base stats'!B:B,'Base stats'!BP:BP)^0.9 / 21 * _xlfn.XLOOKUP(B383,'Base stats'!B:B,'Base stats'!BX:BX),0.1),0.05),
MAX(MROUND(((MIN(12,_xlfn.XLOOKUP(B383,'Base stats'!B:B,'Base stats'!U:U)))^0.4*_xlfn.XLOOKUP(B383,'Base stats'!B:B,'Base stats'!BH:BH)^0.73)^0.6 * _xlfn.XLOOKUP(B383,'Base stats'!B:B,'Base stats'!BX:BX),0.1),0.05)
))</f>
        <v>No</v>
      </c>
      <c r="T383" s="11" t="str">
        <f>IF(S383="No","No",
MROUND(_xlfn.XLOOKUP(B383,'Base stats'!B:B,'Base stats'!BH:BH) * 0.01 * 2 + 0.05, 0.05)
)</f>
        <v>No</v>
      </c>
      <c r="U383" s="5" t="str">
        <f>IF(S383="No","No",IF(_xlfn.XLOOKUP(B383,'Base stats'!B:B,'Base stats'!U:U)="No","No",
MROUND(_xlfn.XLOOKUP(B383,'Base stats'!B:B,'Base stats'!BT:BT)/10000+0.01,0.01)
))</f>
        <v>No</v>
      </c>
      <c r="V383" s="4" t="str">
        <f>IF(S383="No","No",
MROUND(_xlfn.XLOOKUP(B383,'Base stats'!B:B,'Base stats'!BF:BF)^0.25
/((_xlfn.XLOOKUP(B383,'Base stats'!B:B,'Base stats'!BO:BO))*10)*_xlfn.XLOOKUP(_xlfn.XLOOKUP(B383,'Base stats'!B:B,'Base stats'!E:E),Groups!A:A,Groups!AE:AE)*150 + 0.5 + _xlfn.XLOOKUP(B383,'Base stats'!B:B,'Base stats'!BW:BW),
0.05))</f>
        <v>No</v>
      </c>
      <c r="W383" s="8">
        <f>MROUND(_xlfn.XLOOKUP(_xlfn.XLOOKUP(B383,'Base stats'!B:B,'Base stats'!E:E),Groups!A:A,Groups!BG:BG)*_xlfn.XLOOKUP(B383,'Base stats'!B:B,'Base stats'!C:C)^-0.165,0.05)</f>
        <v>0.45</v>
      </c>
      <c r="X383" s="1">
        <f>MROUND(_xlfn.XLOOKUP(_xlfn.XLOOKUP(B383,'Base stats'!B:B,'Base stats'!E:E),Groups!A:A,Groups!BH:BH)*_xlfn.XLOOKUP(B383,'Base stats'!B:B,'Base stats'!C:C)^0.165,0.05)</f>
        <v>0.45</v>
      </c>
      <c r="Y383" s="8">
        <f>MROUND(_xlfn.XLOOKUP(_xlfn.XLOOKUP(B383,'Base stats'!B:B,'Base stats'!E:E),Groups!A:A,Groups!BI:BI)*_xlfn.XLOOKUP(B383,'Base stats'!B:B,'Base stats'!C:C)^0.165,0.05)</f>
        <v>0.05</v>
      </c>
      <c r="Z383" s="18">
        <f>MROUND(_xlfn.XLOOKUP(B383,'Base stats'!B:B,'Base stats'!AQ:AQ)*_xlfn.XLOOKUP(_xlfn.XLOOKUP(B383,'Base stats'!B:B,'Base stats'!E:E),Groups!A:A,Groups!H:H)/1000,IF((_xlfn.XLOOKUP(B383,'Base stats'!B:B,'Base stats'!AQ:AQ)*_xlfn.XLOOKUP(_xlfn.XLOOKUP(B383,'Base stats'!B:B,'Base stats'!E:E),Groups!A:A,Groups!H:H)/1000)&gt;1,0.05,0.01))</f>
        <v>0</v>
      </c>
      <c r="AA383" s="18">
        <f>MROUND((1/2)*(_xlfn.XLOOKUP(_xlfn.XLOOKUP(B383,'Base stats'!B:B,'Base stats'!E:E),Groups!A:A,Groups!H:H)*_xlfn.XLOOKUP(_xlfn.XLOOKUP(B383,'Base stats'!B:B,'Base stats'!E:E),Groups!A:A,Groups!I:I))*_xlfn.XLOOKUP(B383,'Base stats'!B:B,'Base stats'!AQ:AQ)*0.01,0.05)</f>
        <v>0</v>
      </c>
      <c r="AB383" s="18">
        <f>MROUND(250*(Animals!AO383+Animals!AP383),25)</f>
        <v>375</v>
      </c>
      <c r="AC383" s="18" t="str">
        <f>_xlfn.XLOOKUP(_xlfn.XLOOKUP(B383,'Base stats'!B:B,'Base stats'!E:E),Groups!A:A,Groups!BJ:BJ)</f>
        <v>Birdlike</v>
      </c>
    </row>
    <row r="384" spans="1:29" ht="16.5" thickTop="1" thickBot="1" x14ac:dyDescent="0.3">
      <c r="A384" s="16" t="str">
        <f>Animals!A384</f>
        <v>Titanoboa</v>
      </c>
      <c r="B384" s="6" t="str">
        <f>Animals!B384</f>
        <v>Titanoboa cerrejonensis</v>
      </c>
      <c r="C384" s="1" t="str">
        <f>Animals!C384</f>
        <v>&lt;li&gt;Titanoboa&lt;/li&gt;</v>
      </c>
      <c r="D384" s="47">
        <f>MIN(MIN(6,_xlfn.XLOOKUP(A384,Animals!A:A,Animals!AO:AO))*20,MAX(MROUND(_xlfn.XLOOKUP(B384,'Base stats'!B:B,'Base stats'!BS:BS) * (_xlfn.XLOOKUP(B384,'Base stats'!B:B,'Base stats'!AO:AO)*5%)^0.9 / 21,0.1),0.05))</f>
        <v>23.700000000000003</v>
      </c>
      <c r="E384" s="11">
        <f>MROUND(_xlfn.XLOOKUP(B384,'Base stats'!B:B,'Base stats'!BG:BG) * 0.01 * 2 + 0.01, 0.05)</f>
        <v>23.55</v>
      </c>
      <c r="F384" s="7">
        <f>MROUND(_xlfn.XLOOKUP(B384,'Base stats'!B:B,'Base stats'!BD:BD)^0.25 / (_xlfn.XLOOKUP(B384,'Base stats'!B:B,'Base stats'!BK:BK) * 10) * 150 + 0.5 + _xlfn.XLOOKUP(B384,'Base stats'!B:B,'Base stats'!BW:BW), 0.05)</f>
        <v>2.7</v>
      </c>
      <c r="G384" s="3" t="str">
        <f>IF(Animals!S384="No","No",
IF(_xlfn.XLOOKUP(B384,'Base stats'!B:B,'Base stats'!U:U)="No",
MAX(MROUND(_xlfn.XLOOKUP(B384,'Base stats'!B:B,'Base stats'!BT:BT) * _xlfn.XLOOKUP(B384,'Base stats'!B:B,'Base stats'!BP:BP)^0.9 / 21 * _xlfn.XLOOKUP(B384,'Base stats'!B:B,'Base stats'!BX:BX),0.1),0.05),
MAX(MROUND(((MIN(10,_xlfn.XLOOKUP(B384,'Base stats'!B:B,'Base stats'!U:U)))^0.4*_xlfn.XLOOKUP(B384,'Base stats'!B:B,'Base stats'!BH:BH)^0.73)^0.6 * _xlfn.XLOOKUP(B384,'Base stats'!B:B,'Base stats'!BX:BX),0.1),0.05)
))</f>
        <v>No</v>
      </c>
      <c r="H384" s="11" t="str">
        <f>IF(G384="No","No",
MROUND(_xlfn.XLOOKUP(B384,'Base stats'!B:B,'Base stats'!BH:BH) * 0.01 * 2 + 0.05, 0.05)
)</f>
        <v>No</v>
      </c>
      <c r="I384" s="11" t="str">
        <f>IF(G384="No","No",IF(_xlfn.XLOOKUP(B384,'Base stats'!B:B,'Base stats'!U:U)="No","No",
MROUND(_xlfn.XLOOKUP(B384,'Base stats'!B:B,'Base stats'!BT:BT)/10000+0.01,0.01)
))</f>
        <v>No</v>
      </c>
      <c r="J384" s="4" t="str">
        <f>IF(G384="No","No",
MROUND(_xlfn.XLOOKUP(B384,'Base stats'!B:B,'Base stats'!BE:BE)^0.25
/((_xlfn.XLOOKUP(B384,'Base stats'!B:B,'Base stats'!BL:BL))*10)*_xlfn.XLOOKUP(_xlfn.XLOOKUP(B384,'Base stats'!B:B,'Base stats'!E:E),Groups!A:A,Groups!Q:Q)*150 + 0.5 + _xlfn.XLOOKUP(B384,'Base stats'!B:B,'Base stats'!BW:BW),
0.05))</f>
        <v>No</v>
      </c>
      <c r="K384" s="3" t="str">
        <f>IF(Animals!X384="No","No",
IF(_xlfn.XLOOKUP(_xlfn.XLOOKUP(B384,'Base stats'!B:B,'Base stats'!E:E),Groups!A:A,Groups!BD:BD)=1,
MAX(MROUND(_xlfn.XLOOKUP(B384,'Base stats'!B:B,'Base stats'!BU:BU) * _xlfn.XLOOKUP(B384,'Base stats'!B:B,'Base stats'!BQ:BQ)^0.9 / 21 *_xlfn.XLOOKUP(B384,'Base stats'!B:B,'Base stats'!BX:BX),0.1),0.05),
MAX(MROUND(((MIN(10,_xlfn.XLOOKUP(B384,'Base stats'!B:B,'Base stats'!W:W)))^0.4*_xlfn.XLOOKUP(B384,'Base stats'!B:B,'Base stats'!BI:BI)^0.73)^0.6 *_xlfn.XLOOKUP(B384,'Base stats'!B:B,'Base stats'!BX:BX),0.1),0.05)
))</f>
        <v>No</v>
      </c>
      <c r="L384" s="11" t="str">
        <f>IF(K384="No","No",
MROUND(_xlfn.XLOOKUP(B384,'Base stats'!B:B,'Base stats'!BI:BI) * 0.01 *2 + 0.05, 0.05)
)</f>
        <v>No</v>
      </c>
      <c r="M384" s="5" t="str">
        <f>IF(K384="No","No",IF(_xlfn.XLOOKUP(_xlfn.XLOOKUP(B384,'Base stats'!B:B,'Base stats'!E:E),Groups!A:A,Groups!BD:BD)=1,"No",
MROUND(_xlfn.XLOOKUP(B384,'Base stats'!B:B,'Base stats'!BU:BU)/10000+0.01,0.01)
))</f>
        <v>No</v>
      </c>
      <c r="N384" s="4" t="str">
        <f>IF(K384="No","No",
MROUND(
  _xlfn.XLOOKUP(B384,'Base stats'!B:B,'Base stats'!BC:BC)^0.25
  / (_xlfn.XLOOKUP(B384,'Base stats'!B:B,'Base stats'!BM:BM) * 10)
  * _xlfn.XLOOKUP(
      _xlfn.XLOOKUP(B384,'Base stats'!B:B,'Base stats'!E:E),
      Groups!A:A,
      Groups!V:V
    ) * 150
  + MIN(12, _xlfn.XLOOKUP(B384,'Base stats'!B:B,'Base stats'!W:W))^(1/IF(_xlfn.XLOOKUP(_xlfn.XLOOKUP(B384,'Base stats'!B:B,'Base stats'!E:E),Groups!A:A,Groups!U:U)=1,100,10)) + 0.5 + _xlfn.XLOOKUP(B384,'Base stats'!B:B,'Base stats'!BW:BW),
0.05))</f>
        <v>No</v>
      </c>
      <c r="O384" s="3">
        <f>IF(Animals!AD384="No","No",
MAX(MROUND((MIN(10,_xlfn.XLOOKUP(B384,'Base stats'!B:B,'Base stats'!V:V)*IF(_xlfn.XLOOKUP(_xlfn.XLOOKUP(B384,'Base stats'!B:B,'Base stats'!E:E),Groups!A:A,Groups!O:O)=0,1,0.33))^0.4*_xlfn.XLOOKUP(B384,'Base stats'!B:B,'Base stats'!BJ:BJ)^0.73)^0.6 *_xlfn.XLOOKUP(B384,'Base stats'!B:B,'Base stats'!BX:BX),0.1),0.05)
)</f>
        <v>20.700000000000003</v>
      </c>
      <c r="P384" s="11">
        <f>IF(O384="No","No",
MROUND(_xlfn.XLOOKUP(B384,'Base stats'!B:B,'Base stats'!BJ:BJ) * 0.01 * 2 + 0.05, 0.05)
)</f>
        <v>8.4500000000000011</v>
      </c>
      <c r="Q384" s="5">
        <f>IF(O384="No","No",
MROUND(_xlfn.XLOOKUP(B384,'Base stats'!B:B,'Base stats'!BV:BV)/10000+0.01,0.01)
)</f>
        <v>0.17</v>
      </c>
      <c r="R384" s="4">
        <f>IF(O384="No","No",
MROUND(_xlfn.XLOOKUP(B384,'Base stats'!B:B,'Base stats'!BB:BB)^0.25
/((_xlfn.XLOOKUP(B384,'Base stats'!B:B,'Base stats'!BN:BN))*10)*_xlfn.XLOOKUP(_xlfn.XLOOKUP(B384,'Base stats'!B:B,'Base stats'!E:E),Groups!A:A,Groups!Z:Z)*150 + 0.5 + _xlfn.XLOOKUP(B384,'Base stats'!B:B,'Base stats'!BW:BW),
0.05))</f>
        <v>2.25</v>
      </c>
      <c r="S384" s="3" t="str">
        <f>IF(Animals!AI384="No","No",
IF(_xlfn.XLOOKUP(B384,'Base stats'!B:B,'Base stats'!U:U)="No",
MAX(MROUND(_xlfn.XLOOKUP(B384,'Base stats'!B:B,'Base stats'!BT:BT) * _xlfn.XLOOKUP(B384,'Base stats'!B:B,'Base stats'!BP:BP)^0.9 / 21 * _xlfn.XLOOKUP(B384,'Base stats'!B:B,'Base stats'!BX:BX),0.1),0.05),
MAX(MROUND(((MIN(12,_xlfn.XLOOKUP(B384,'Base stats'!B:B,'Base stats'!U:U)))^0.4*_xlfn.XLOOKUP(B384,'Base stats'!B:B,'Base stats'!BH:BH)^0.73)^0.6 * _xlfn.XLOOKUP(B384,'Base stats'!B:B,'Base stats'!BX:BX),0.1),0.05)
))</f>
        <v>No</v>
      </c>
      <c r="T384" s="11" t="str">
        <f>IF(S384="No","No",
MROUND(_xlfn.XLOOKUP(B384,'Base stats'!B:B,'Base stats'!BH:BH) * 0.01 * 2 + 0.05, 0.05)
)</f>
        <v>No</v>
      </c>
      <c r="U384" s="5" t="str">
        <f>IF(S384="No","No",IF(_xlfn.XLOOKUP(B384,'Base stats'!B:B,'Base stats'!U:U)="No","No",
MROUND(_xlfn.XLOOKUP(B384,'Base stats'!B:B,'Base stats'!BT:BT)/10000+0.01,0.01)
))</f>
        <v>No</v>
      </c>
      <c r="V384" s="4" t="str">
        <f>IF(S384="No","No",
MROUND(_xlfn.XLOOKUP(B384,'Base stats'!B:B,'Base stats'!BF:BF)^0.25
/((_xlfn.XLOOKUP(B384,'Base stats'!B:B,'Base stats'!BO:BO))*10)*_xlfn.XLOOKUP(_xlfn.XLOOKUP(B384,'Base stats'!B:B,'Base stats'!E:E),Groups!A:A,Groups!AE:AE)*150 + 0.5 + _xlfn.XLOOKUP(B384,'Base stats'!B:B,'Base stats'!BW:BW),
0.05))</f>
        <v>No</v>
      </c>
      <c r="W384" s="8">
        <f>MROUND(_xlfn.XLOOKUP(_xlfn.XLOOKUP(B384,'Base stats'!B:B,'Base stats'!E:E),Groups!A:A,Groups!BG:BG)*_xlfn.XLOOKUP(B384,'Base stats'!B:B,'Base stats'!C:C)^-0.165,0.05)</f>
        <v>0.15000000000000002</v>
      </c>
      <c r="X384" s="1">
        <f>MROUND(_xlfn.XLOOKUP(_xlfn.XLOOKUP(B384,'Base stats'!B:B,'Base stats'!E:E),Groups!A:A,Groups!BH:BH)*_xlfn.XLOOKUP(B384,'Base stats'!B:B,'Base stats'!C:C)^0.165,0.05)</f>
        <v>0.30000000000000004</v>
      </c>
      <c r="Y384" s="8">
        <f>MROUND(_xlfn.XLOOKUP(_xlfn.XLOOKUP(B384,'Base stats'!B:B,'Base stats'!E:E),Groups!A:A,Groups!BI:BI)*_xlfn.XLOOKUP(B384,'Base stats'!B:B,'Base stats'!C:C)^0.165,0.05)</f>
        <v>0</v>
      </c>
      <c r="Z384" s="18">
        <f>MROUND(_xlfn.XLOOKUP(B384,'Base stats'!B:B,'Base stats'!AQ:AQ)*_xlfn.XLOOKUP(_xlfn.XLOOKUP(B384,'Base stats'!B:B,'Base stats'!E:E),Groups!A:A,Groups!H:H)/1000,IF((_xlfn.XLOOKUP(B384,'Base stats'!B:B,'Base stats'!AQ:AQ)*_xlfn.XLOOKUP(_xlfn.XLOOKUP(B384,'Base stats'!B:B,'Base stats'!E:E),Groups!A:A,Groups!H:H)/1000)&gt;1,0.05,0.01))</f>
        <v>0.15</v>
      </c>
      <c r="AA384" s="18">
        <f>MROUND((1/2)*(_xlfn.XLOOKUP(_xlfn.XLOOKUP(B384,'Base stats'!B:B,'Base stats'!E:E),Groups!A:A,Groups!H:H)*_xlfn.XLOOKUP(_xlfn.XLOOKUP(B384,'Base stats'!B:B,'Base stats'!E:E),Groups!A:A,Groups!I:I))*_xlfn.XLOOKUP(B384,'Base stats'!B:B,'Base stats'!AQ:AQ)*0.01,0.05)</f>
        <v>0.30000000000000004</v>
      </c>
      <c r="AB384" s="18">
        <f>MROUND(250*(Animals!AO384+Animals!AP384),25)</f>
        <v>1750</v>
      </c>
      <c r="AC384" s="18" t="str">
        <f>_xlfn.XLOOKUP(_xlfn.XLOOKUP(B384,'Base stats'!B:B,'Base stats'!E:E),Groups!A:A,Groups!BJ:BJ)</f>
        <v>Serpentine</v>
      </c>
    </row>
    <row r="385" spans="1:29" ht="16.5" thickTop="1" thickBot="1" x14ac:dyDescent="0.3">
      <c r="A385" s="16" t="str">
        <f>Animals!A385</f>
        <v>WoollyMammoth</v>
      </c>
      <c r="B385" s="6" t="str">
        <f>Animals!B385</f>
        <v xml:space="preserve">Mammuthus primigenius </v>
      </c>
      <c r="C385" s="1" t="str">
        <f>Animals!C385</f>
        <v>&lt;li&gt;WoollyMammoth&lt;/li&gt;</v>
      </c>
      <c r="D385" s="47">
        <f>MIN(MIN(6,_xlfn.XLOOKUP(A385,Animals!A:A,Animals!AO:AO))*20,MAX(MROUND(_xlfn.XLOOKUP(B385,'Base stats'!B:B,'Base stats'!BS:BS) * (_xlfn.XLOOKUP(B385,'Base stats'!B:B,'Base stats'!AO:AO)*5%)^0.9 / 21,0.1),0.05))</f>
        <v>37.9</v>
      </c>
      <c r="E385" s="11">
        <f>MROUND(_xlfn.XLOOKUP(B385,'Base stats'!B:B,'Base stats'!BG:BG) * 0.01 * 2 + 0.01, 0.05)</f>
        <v>41.150000000000006</v>
      </c>
      <c r="F385" s="7">
        <f>MROUND(_xlfn.XLOOKUP(B385,'Base stats'!B:B,'Base stats'!BD:BD)^0.25 / (_xlfn.XLOOKUP(B385,'Base stats'!B:B,'Base stats'!BK:BK) * 10) * 150 + 0.5 + _xlfn.XLOOKUP(B385,'Base stats'!B:B,'Base stats'!BW:BW), 0.05)</f>
        <v>3</v>
      </c>
      <c r="G385" s="3">
        <f>IF(Animals!S385="No","No",
IF(_xlfn.XLOOKUP(B385,'Base stats'!B:B,'Base stats'!U:U)="No",
MAX(MROUND(_xlfn.XLOOKUP(B385,'Base stats'!B:B,'Base stats'!BT:BT) * _xlfn.XLOOKUP(B385,'Base stats'!B:B,'Base stats'!BP:BP)^0.9 / 21 * _xlfn.XLOOKUP(B385,'Base stats'!B:B,'Base stats'!BX:BX),0.1),0.05),
MAX(MROUND(((MIN(10,_xlfn.XLOOKUP(B385,'Base stats'!B:B,'Base stats'!U:U)))^0.4*_xlfn.XLOOKUP(B385,'Base stats'!B:B,'Base stats'!BH:BH)^0.73)^0.6 * _xlfn.XLOOKUP(B385,'Base stats'!B:B,'Base stats'!BX:BX),0.1),0.05)
))</f>
        <v>45</v>
      </c>
      <c r="H385" s="11">
        <f>IF(G385="No","No",
MROUND(_xlfn.XLOOKUP(B385,'Base stats'!B:B,'Base stats'!BH:BH) * 0.01 * 2 + 0.05, 0.05)
)</f>
        <v>36.300000000000004</v>
      </c>
      <c r="I385" s="11" t="str">
        <f>IF(G385="No","No",IF(_xlfn.XLOOKUP(B385,'Base stats'!B:B,'Base stats'!U:U)="No","No",
MROUND(_xlfn.XLOOKUP(B385,'Base stats'!B:B,'Base stats'!BT:BT)/10000+0.01,0.01)
))</f>
        <v>No</v>
      </c>
      <c r="J385" s="4">
        <f>IF(G385="No","No",
MROUND(_xlfn.XLOOKUP(B385,'Base stats'!B:B,'Base stats'!BE:BE)^0.25
/((_xlfn.XLOOKUP(B385,'Base stats'!B:B,'Base stats'!BL:BL))*10)*_xlfn.XLOOKUP(_xlfn.XLOOKUP(B385,'Base stats'!B:B,'Base stats'!E:E),Groups!A:A,Groups!Q:Q)*150 + 0.5 + _xlfn.XLOOKUP(B385,'Base stats'!B:B,'Base stats'!BW:BW),
0.05))</f>
        <v>3.35</v>
      </c>
      <c r="K385" s="3">
        <f>IF(Animals!X385="No","No",
IF(_xlfn.XLOOKUP(_xlfn.XLOOKUP(B385,'Base stats'!B:B,'Base stats'!E:E),Groups!A:A,Groups!BD:BD)=1,
MAX(MROUND(_xlfn.XLOOKUP(B385,'Base stats'!B:B,'Base stats'!BU:BU) * _xlfn.XLOOKUP(B385,'Base stats'!B:B,'Base stats'!BQ:BQ)^0.9 / 21 *_xlfn.XLOOKUP(B385,'Base stats'!B:B,'Base stats'!BX:BX),0.1),0.05),
MAX(MROUND(((MIN(10,_xlfn.XLOOKUP(B385,'Base stats'!B:B,'Base stats'!W:W)))^0.4*_xlfn.XLOOKUP(B385,'Base stats'!B:B,'Base stats'!BI:BI)^0.73)^0.6 *_xlfn.XLOOKUP(B385,'Base stats'!B:B,'Base stats'!BX:BX),0.1),0.05)
))</f>
        <v>50.300000000000004</v>
      </c>
      <c r="L385" s="11">
        <f>IF(K385="No","No",
MROUND(_xlfn.XLOOKUP(B385,'Base stats'!B:B,'Base stats'!BI:BI) * 0.01 *2 + 0.05, 0.05)
)</f>
        <v>43.550000000000004</v>
      </c>
      <c r="M385" s="5">
        <f>IF(K385="No","No",IF(_xlfn.XLOOKUP(_xlfn.XLOOKUP(B385,'Base stats'!B:B,'Base stats'!E:E),Groups!A:A,Groups!BD:BD)=1,"No",
MROUND(_xlfn.XLOOKUP(B385,'Base stats'!B:B,'Base stats'!BU:BU)/10000+0.01,0.01)
))</f>
        <v>1.9000000000000001</v>
      </c>
      <c r="N385" s="4">
        <f>IF(K385="No","No",
MROUND(
  _xlfn.XLOOKUP(B385,'Base stats'!B:B,'Base stats'!BC:BC)^0.25
  / (_xlfn.XLOOKUP(B385,'Base stats'!B:B,'Base stats'!BM:BM) * 10)
  * _xlfn.XLOOKUP(
      _xlfn.XLOOKUP(B385,'Base stats'!B:B,'Base stats'!E:E),
      Groups!A:A,
      Groups!V:V
    ) * 150
  + MIN(12, _xlfn.XLOOKUP(B385,'Base stats'!B:B,'Base stats'!W:W))^(1/IF(_xlfn.XLOOKUP(_xlfn.XLOOKUP(B385,'Base stats'!B:B,'Base stats'!E:E),Groups!A:A,Groups!U:U)=1,100,10)) + 0.5 + _xlfn.XLOOKUP(B385,'Base stats'!B:B,'Base stats'!BW:BW),
0.05))</f>
        <v>3.8000000000000003</v>
      </c>
      <c r="O385" s="3" t="str">
        <f>IF(Animals!AD385="No","No",
MAX(MROUND((MIN(10,_xlfn.XLOOKUP(B385,'Base stats'!B:B,'Base stats'!V:V)*IF(_xlfn.XLOOKUP(_xlfn.XLOOKUP(B385,'Base stats'!B:B,'Base stats'!E:E),Groups!A:A,Groups!O:O)=0,1,0.33))^0.4*_xlfn.XLOOKUP(B385,'Base stats'!B:B,'Base stats'!BJ:BJ)^0.73)^0.6 *_xlfn.XLOOKUP(B385,'Base stats'!B:B,'Base stats'!BX:BX),0.1),0.05)
)</f>
        <v>No</v>
      </c>
      <c r="P385" s="11" t="str">
        <f>IF(O385="No","No",
MROUND(_xlfn.XLOOKUP(B385,'Base stats'!B:B,'Base stats'!BJ:BJ) * 0.01 * 2 + 0.05, 0.05)
)</f>
        <v>No</v>
      </c>
      <c r="Q385" s="5" t="str">
        <f>IF(O385="No","No",
MROUND(_xlfn.XLOOKUP(B385,'Base stats'!B:B,'Base stats'!BV:BV)/10000+0.01,0.01)
)</f>
        <v>No</v>
      </c>
      <c r="R385" s="4" t="str">
        <f>IF(O385="No","No",
MROUND(_xlfn.XLOOKUP(B385,'Base stats'!B:B,'Base stats'!BB:BB)^0.25
/((_xlfn.XLOOKUP(B385,'Base stats'!B:B,'Base stats'!BN:BN))*10)*_xlfn.XLOOKUP(_xlfn.XLOOKUP(B385,'Base stats'!B:B,'Base stats'!E:E),Groups!A:A,Groups!Z:Z)*150 + 0.5 + _xlfn.XLOOKUP(B385,'Base stats'!B:B,'Base stats'!BW:BW),
0.05))</f>
        <v>No</v>
      </c>
      <c r="S385" s="3" t="str">
        <f>IF(Animals!AI385="No","No",
IF(_xlfn.XLOOKUP(B385,'Base stats'!B:B,'Base stats'!U:U)="No",
MAX(MROUND(_xlfn.XLOOKUP(B385,'Base stats'!B:B,'Base stats'!BT:BT) * _xlfn.XLOOKUP(B385,'Base stats'!B:B,'Base stats'!BP:BP)^0.9 / 21 * _xlfn.XLOOKUP(B385,'Base stats'!B:B,'Base stats'!BX:BX),0.1),0.05),
MAX(MROUND(((MIN(12,_xlfn.XLOOKUP(B385,'Base stats'!B:B,'Base stats'!U:U)))^0.4*_xlfn.XLOOKUP(B385,'Base stats'!B:B,'Base stats'!BH:BH)^0.73)^0.6 * _xlfn.XLOOKUP(B385,'Base stats'!B:B,'Base stats'!BX:BX),0.1),0.05)
))</f>
        <v>No</v>
      </c>
      <c r="T385" s="11" t="str">
        <f>IF(S385="No","No",
MROUND(_xlfn.XLOOKUP(B385,'Base stats'!B:B,'Base stats'!BH:BH) * 0.01 * 2 + 0.05, 0.05)
)</f>
        <v>No</v>
      </c>
      <c r="U385" s="5" t="str">
        <f>IF(S385="No","No",IF(_xlfn.XLOOKUP(B385,'Base stats'!B:B,'Base stats'!U:U)="No","No",
MROUND(_xlfn.XLOOKUP(B385,'Base stats'!B:B,'Base stats'!BT:BT)/10000+0.01,0.01)
))</f>
        <v>No</v>
      </c>
      <c r="V385" s="4" t="str">
        <f>IF(S385="No","No",
MROUND(_xlfn.XLOOKUP(B385,'Base stats'!B:B,'Base stats'!BF:BF)^0.25
/((_xlfn.XLOOKUP(B385,'Base stats'!B:B,'Base stats'!BO:BO))*10)*_xlfn.XLOOKUP(_xlfn.XLOOKUP(B385,'Base stats'!B:B,'Base stats'!E:E),Groups!A:A,Groups!AE:AE)*150 + 0.5 + _xlfn.XLOOKUP(B385,'Base stats'!B:B,'Base stats'!BW:BW),
0.05))</f>
        <v>No</v>
      </c>
      <c r="W385" s="8">
        <f>MROUND(_xlfn.XLOOKUP(_xlfn.XLOOKUP(B385,'Base stats'!B:B,'Base stats'!E:E),Groups!A:A,Groups!BG:BG)*_xlfn.XLOOKUP(B385,'Base stats'!B:B,'Base stats'!C:C)^-0.165,0.05)</f>
        <v>0.05</v>
      </c>
      <c r="X385" s="1">
        <f>MROUND(_xlfn.XLOOKUP(_xlfn.XLOOKUP(B385,'Base stats'!B:B,'Base stats'!E:E),Groups!A:A,Groups!BH:BH)*_xlfn.XLOOKUP(B385,'Base stats'!B:B,'Base stats'!C:C)^0.165,0.05)</f>
        <v>0.4</v>
      </c>
      <c r="Y385" s="8">
        <f>MROUND(_xlfn.XLOOKUP(_xlfn.XLOOKUP(B385,'Base stats'!B:B,'Base stats'!E:E),Groups!A:A,Groups!BI:BI)*_xlfn.XLOOKUP(B385,'Base stats'!B:B,'Base stats'!C:C)^0.165,0.05)</f>
        <v>0.2</v>
      </c>
      <c r="Z385" s="18">
        <f>MROUND(_xlfn.XLOOKUP(B385,'Base stats'!B:B,'Base stats'!AQ:AQ)*_xlfn.XLOOKUP(_xlfn.XLOOKUP(B385,'Base stats'!B:B,'Base stats'!E:E),Groups!A:A,Groups!H:H)/1000,IF((_xlfn.XLOOKUP(B385,'Base stats'!B:B,'Base stats'!AQ:AQ)*_xlfn.XLOOKUP(_xlfn.XLOOKUP(B385,'Base stats'!B:B,'Base stats'!E:E),Groups!A:A,Groups!H:H)/1000)&gt;1,0.05,0.01))</f>
        <v>0.25</v>
      </c>
      <c r="AA385" s="18">
        <f>MROUND((1/2)*(_xlfn.XLOOKUP(_xlfn.XLOOKUP(B385,'Base stats'!B:B,'Base stats'!E:E),Groups!A:A,Groups!H:H)*_xlfn.XLOOKUP(_xlfn.XLOOKUP(B385,'Base stats'!B:B,'Base stats'!E:E),Groups!A:A,Groups!I:I))*_xlfn.XLOOKUP(B385,'Base stats'!B:B,'Base stats'!AQ:AQ)*0.01,0.05)</f>
        <v>1.1000000000000001</v>
      </c>
      <c r="AB385" s="18">
        <f>MROUND(250*(Animals!AO385+Animals!AP385),25)</f>
        <v>2500</v>
      </c>
      <c r="AC385" s="18" t="str">
        <f>_xlfn.XLOOKUP(_xlfn.XLOOKUP(B385,'Base stats'!B:B,'Base stats'!E:E),Groups!A:A,Groups!BJ:BJ)</f>
        <v>Quadruped</v>
      </c>
    </row>
    <row r="386" spans="1:29" ht="16.5" thickTop="1" thickBot="1" x14ac:dyDescent="0.3">
      <c r="A386" s="16" t="str">
        <f>Animals!A386</f>
        <v>Elasmotherium</v>
      </c>
      <c r="B386" s="6" t="str">
        <f>Animals!B386</f>
        <v>Elasmotherium sibiricum</v>
      </c>
      <c r="C386" s="1" t="str">
        <f>Animals!C386</f>
        <v>&lt;li&gt;Elasmotherium&lt;/li&gt;</v>
      </c>
      <c r="D386" s="47">
        <f>MIN(MIN(6,_xlfn.XLOOKUP(A386,Animals!A:A,Animals!AO:AO))*20,MAX(MROUND(_xlfn.XLOOKUP(B386,'Base stats'!B:B,'Base stats'!BS:BS) * (_xlfn.XLOOKUP(B386,'Base stats'!B:B,'Base stats'!AO:AO)*5%)^0.9 / 21,0.1),0.05))</f>
        <v>61.400000000000006</v>
      </c>
      <c r="E386" s="11">
        <f>MROUND(_xlfn.XLOOKUP(B386,'Base stats'!B:B,'Base stats'!BG:BG) * 0.01 * 2 + 0.01, 0.05)</f>
        <v>65.45</v>
      </c>
      <c r="F386" s="7">
        <f>MROUND(_xlfn.XLOOKUP(B386,'Base stats'!B:B,'Base stats'!BD:BD)^0.25 / (_xlfn.XLOOKUP(B386,'Base stats'!B:B,'Base stats'!BK:BK) * 10) * 150 + 0.5 + _xlfn.XLOOKUP(B386,'Base stats'!B:B,'Base stats'!BW:BW), 0.05)</f>
        <v>2.25</v>
      </c>
      <c r="G386" s="3" t="str">
        <f>IF(Animals!S386="No","No",
IF(_xlfn.XLOOKUP(B386,'Base stats'!B:B,'Base stats'!U:U)="No",
MAX(MROUND(_xlfn.XLOOKUP(B386,'Base stats'!B:B,'Base stats'!BT:BT) * _xlfn.XLOOKUP(B386,'Base stats'!B:B,'Base stats'!BP:BP)^0.9 / 21 * _xlfn.XLOOKUP(B386,'Base stats'!B:B,'Base stats'!BX:BX),0.1),0.05),
MAX(MROUND(((MIN(10,_xlfn.XLOOKUP(B386,'Base stats'!B:B,'Base stats'!U:U)))^0.4*_xlfn.XLOOKUP(B386,'Base stats'!B:B,'Base stats'!BH:BH)^0.73)^0.6 * _xlfn.XLOOKUP(B386,'Base stats'!B:B,'Base stats'!BX:BX),0.1),0.05)
))</f>
        <v>No</v>
      </c>
      <c r="H386" s="11" t="str">
        <f>IF(G386="No","No",
MROUND(_xlfn.XLOOKUP(B386,'Base stats'!B:B,'Base stats'!BH:BH) * 0.01 * 2 + 0.05, 0.05)
)</f>
        <v>No</v>
      </c>
      <c r="I386" s="11" t="str">
        <f>IF(G386="No","No",IF(_xlfn.XLOOKUP(B386,'Base stats'!B:B,'Base stats'!U:U)="No","No",
MROUND(_xlfn.XLOOKUP(B386,'Base stats'!B:B,'Base stats'!BT:BT)/10000+0.01,0.01)
))</f>
        <v>No</v>
      </c>
      <c r="J386" s="4" t="str">
        <f>IF(G386="No","No",
MROUND(_xlfn.XLOOKUP(B386,'Base stats'!B:B,'Base stats'!BE:BE)^0.25
/((_xlfn.XLOOKUP(B386,'Base stats'!B:B,'Base stats'!BL:BL))*10)*_xlfn.XLOOKUP(_xlfn.XLOOKUP(B386,'Base stats'!B:B,'Base stats'!E:E),Groups!A:A,Groups!Q:Q)*150 + 0.5 + _xlfn.XLOOKUP(B386,'Base stats'!B:B,'Base stats'!BW:BW),
0.05))</f>
        <v>No</v>
      </c>
      <c r="K386" s="3">
        <f>IF(Animals!X386="No","No",
IF(_xlfn.XLOOKUP(_xlfn.XLOOKUP(B386,'Base stats'!B:B,'Base stats'!E:E),Groups!A:A,Groups!BD:BD)=1,
MAX(MROUND(_xlfn.XLOOKUP(B386,'Base stats'!B:B,'Base stats'!BU:BU) * _xlfn.XLOOKUP(B386,'Base stats'!B:B,'Base stats'!BQ:BQ)^0.9 / 21 *_xlfn.XLOOKUP(B386,'Base stats'!B:B,'Base stats'!BX:BX),0.1),0.05),
MAX(MROUND(((MIN(10,_xlfn.XLOOKUP(B386,'Base stats'!B:B,'Base stats'!W:W)))^0.4*_xlfn.XLOOKUP(B386,'Base stats'!B:B,'Base stats'!BI:BI)^0.73)^0.6 *_xlfn.XLOOKUP(B386,'Base stats'!B:B,'Base stats'!BX:BX),0.1),0.05)
))</f>
        <v>65.2</v>
      </c>
      <c r="L386" s="11">
        <f>IF(K386="No","No",
MROUND(_xlfn.XLOOKUP(B386,'Base stats'!B:B,'Base stats'!BI:BI) * 0.01 *2 + 0.05, 0.05)
)</f>
        <v>78.600000000000009</v>
      </c>
      <c r="M386" s="5">
        <f>IF(K386="No","No",IF(_xlfn.XLOOKUP(_xlfn.XLOOKUP(B386,'Base stats'!B:B,'Base stats'!E:E),Groups!A:A,Groups!BD:BD)=1,"No",
MROUND(_xlfn.XLOOKUP(B386,'Base stats'!B:B,'Base stats'!BU:BU)/10000+0.01,0.01)
))</f>
        <v>3.49</v>
      </c>
      <c r="N386" s="4">
        <f>IF(K386="No","No",
MROUND(
  _xlfn.XLOOKUP(B386,'Base stats'!B:B,'Base stats'!BC:BC)^0.25
  / (_xlfn.XLOOKUP(B386,'Base stats'!B:B,'Base stats'!BM:BM) * 10)
  * _xlfn.XLOOKUP(
      _xlfn.XLOOKUP(B386,'Base stats'!B:B,'Base stats'!E:E),
      Groups!A:A,
      Groups!V:V
    ) * 150
  + MIN(12, _xlfn.XLOOKUP(B386,'Base stats'!B:B,'Base stats'!W:W))^(1/IF(_xlfn.XLOOKUP(_xlfn.XLOOKUP(B386,'Base stats'!B:B,'Base stats'!E:E),Groups!A:A,Groups!U:U)=1,100,10)) + 0.5 + _xlfn.XLOOKUP(B386,'Base stats'!B:B,'Base stats'!BW:BW),
0.05))</f>
        <v>2.85</v>
      </c>
      <c r="O386" s="3">
        <f>IF(Animals!AD386="No","No",
MAX(MROUND((MIN(10,_xlfn.XLOOKUP(B386,'Base stats'!B:B,'Base stats'!V:V)*IF(_xlfn.XLOOKUP(_xlfn.XLOOKUP(B386,'Base stats'!B:B,'Base stats'!E:E),Groups!A:A,Groups!O:O)=0,1,0.33))^0.4*_xlfn.XLOOKUP(B386,'Base stats'!B:B,'Base stats'!BJ:BJ)^0.73)^0.6 *_xlfn.XLOOKUP(B386,'Base stats'!B:B,'Base stats'!BX:BX),0.1),0.05)
)</f>
        <v>31.5</v>
      </c>
      <c r="P386" s="11">
        <f>IF(O386="No","No",
MROUND(_xlfn.XLOOKUP(B386,'Base stats'!B:B,'Base stats'!BJ:BJ) * 0.01 * 2 + 0.05, 0.05)
)</f>
        <v>31.900000000000002</v>
      </c>
      <c r="Q386" s="5">
        <f>IF(O386="No","No",
MROUND(_xlfn.XLOOKUP(B386,'Base stats'!B:B,'Base stats'!BV:BV)/10000+0.01,0.01)
)</f>
        <v>0.4</v>
      </c>
      <c r="R386" s="4">
        <f>IF(O386="No","No",
MROUND(_xlfn.XLOOKUP(B386,'Base stats'!B:B,'Base stats'!BB:BB)^0.25
/((_xlfn.XLOOKUP(B386,'Base stats'!B:B,'Base stats'!BN:BN))*10)*_xlfn.XLOOKUP(_xlfn.XLOOKUP(B386,'Base stats'!B:B,'Base stats'!E:E),Groups!A:A,Groups!Z:Z)*150 + 0.5 + _xlfn.XLOOKUP(B386,'Base stats'!B:B,'Base stats'!BW:BW),
0.05))</f>
        <v>3.1500000000000004</v>
      </c>
      <c r="S386" s="3" t="str">
        <f>IF(Animals!AI386="No","No",
IF(_xlfn.XLOOKUP(B386,'Base stats'!B:B,'Base stats'!U:U)="No",
MAX(MROUND(_xlfn.XLOOKUP(B386,'Base stats'!B:B,'Base stats'!BT:BT) * _xlfn.XLOOKUP(B386,'Base stats'!B:B,'Base stats'!BP:BP)^0.9 / 21 * _xlfn.XLOOKUP(B386,'Base stats'!B:B,'Base stats'!BX:BX),0.1),0.05),
MAX(MROUND(((MIN(12,_xlfn.XLOOKUP(B386,'Base stats'!B:B,'Base stats'!U:U)))^0.4*_xlfn.XLOOKUP(B386,'Base stats'!B:B,'Base stats'!BH:BH)^0.73)^0.6 * _xlfn.XLOOKUP(B386,'Base stats'!B:B,'Base stats'!BX:BX),0.1),0.05)
))</f>
        <v>No</v>
      </c>
      <c r="T386" s="11" t="str">
        <f>IF(S386="No","No",
MROUND(_xlfn.XLOOKUP(B386,'Base stats'!B:B,'Base stats'!BH:BH) * 0.01 * 2 + 0.05, 0.05)
)</f>
        <v>No</v>
      </c>
      <c r="U386" s="5" t="str">
        <f>IF(S386="No","No",IF(_xlfn.XLOOKUP(B386,'Base stats'!B:B,'Base stats'!U:U)="No","No",
MROUND(_xlfn.XLOOKUP(B386,'Base stats'!B:B,'Base stats'!BT:BT)/10000+0.01,0.01)
))</f>
        <v>No</v>
      </c>
      <c r="V386" s="4" t="str">
        <f>IF(S386="No","No",
MROUND(_xlfn.XLOOKUP(B386,'Base stats'!B:B,'Base stats'!BF:BF)^0.25
/((_xlfn.XLOOKUP(B386,'Base stats'!B:B,'Base stats'!BO:BO))*10)*_xlfn.XLOOKUP(_xlfn.XLOOKUP(B386,'Base stats'!B:B,'Base stats'!E:E),Groups!A:A,Groups!AE:AE)*150 + 0.5 + _xlfn.XLOOKUP(B386,'Base stats'!B:B,'Base stats'!BW:BW),
0.05))</f>
        <v>No</v>
      </c>
      <c r="W386" s="8">
        <f>MROUND(_xlfn.XLOOKUP(_xlfn.XLOOKUP(B386,'Base stats'!B:B,'Base stats'!E:E),Groups!A:A,Groups!BG:BG)*_xlfn.XLOOKUP(B386,'Base stats'!B:B,'Base stats'!C:C)^-0.165,0.05)</f>
        <v>0.15000000000000002</v>
      </c>
      <c r="X386" s="1">
        <f>MROUND(_xlfn.XLOOKUP(_xlfn.XLOOKUP(B386,'Base stats'!B:B,'Base stats'!E:E),Groups!A:A,Groups!BH:BH)*_xlfn.XLOOKUP(B386,'Base stats'!B:B,'Base stats'!C:C)^0.165,0.05)</f>
        <v>0.60000000000000009</v>
      </c>
      <c r="Y386" s="8">
        <f>MROUND(_xlfn.XLOOKUP(_xlfn.XLOOKUP(B386,'Base stats'!B:B,'Base stats'!E:E),Groups!A:A,Groups!BI:BI)*_xlfn.XLOOKUP(B386,'Base stats'!B:B,'Base stats'!C:C)^0.165,0.05)</f>
        <v>0.1</v>
      </c>
      <c r="Z386" s="18">
        <f>MROUND(_xlfn.XLOOKUP(B386,'Base stats'!B:B,'Base stats'!AQ:AQ)*_xlfn.XLOOKUP(_xlfn.XLOOKUP(B386,'Base stats'!B:B,'Base stats'!E:E),Groups!A:A,Groups!H:H)/1000,IF((_xlfn.XLOOKUP(B386,'Base stats'!B:B,'Base stats'!AQ:AQ)*_xlfn.XLOOKUP(_xlfn.XLOOKUP(B386,'Base stats'!B:B,'Base stats'!E:E),Groups!A:A,Groups!H:H)/1000)&gt;1,0.05,0.01))</f>
        <v>0.28000000000000003</v>
      </c>
      <c r="AA386" s="18">
        <f>MROUND((1/2)*(_xlfn.XLOOKUP(_xlfn.XLOOKUP(B386,'Base stats'!B:B,'Base stats'!E:E),Groups!A:A,Groups!H:H)*_xlfn.XLOOKUP(_xlfn.XLOOKUP(B386,'Base stats'!B:B,'Base stats'!E:E),Groups!A:A,Groups!I:I))*_xlfn.XLOOKUP(B386,'Base stats'!B:B,'Base stats'!AQ:AQ)*0.01,0.05)</f>
        <v>0.35000000000000003</v>
      </c>
      <c r="AB386" s="18">
        <f>MROUND(250*(Animals!AO386+Animals!AP386),25)</f>
        <v>2475</v>
      </c>
      <c r="AC386" s="18" t="str">
        <f>_xlfn.XLOOKUP(_xlfn.XLOOKUP(B386,'Base stats'!B:B,'Base stats'!E:E),Groups!A:A,Groups!BJ:BJ)</f>
        <v>Quadruped</v>
      </c>
    </row>
    <row r="387" spans="1:29" ht="16.5" thickTop="1" thickBot="1" x14ac:dyDescent="0.3">
      <c r="A387" s="16" t="str">
        <f>Animals!A387</f>
        <v>Smilodon</v>
      </c>
      <c r="B387" s="6" t="str">
        <f>Animals!B387</f>
        <v>Smilodon fatalis</v>
      </c>
      <c r="C387" s="1" t="str">
        <f>Animals!C387</f>
        <v>&lt;li&gt;Smilodon&lt;/li&gt;</v>
      </c>
      <c r="D387" s="47">
        <f>MIN(MIN(6,_xlfn.XLOOKUP(A387,Animals!A:A,Animals!AO:AO))*20,MAX(MROUND(_xlfn.XLOOKUP(B387,'Base stats'!B:B,'Base stats'!BS:BS) * (_xlfn.XLOOKUP(B387,'Base stats'!B:B,'Base stats'!AO:AO)*5%)^0.9 / 21,0.1),0.05))</f>
        <v>6.4</v>
      </c>
      <c r="E387" s="11">
        <f>MROUND(_xlfn.XLOOKUP(B387,'Base stats'!B:B,'Base stats'!BG:BG) * 0.01 * 2 + 0.01, 0.05)</f>
        <v>5.75</v>
      </c>
      <c r="F387" s="7">
        <f>MROUND(_xlfn.XLOOKUP(B387,'Base stats'!B:B,'Base stats'!BD:BD)^0.25 / (_xlfn.XLOOKUP(B387,'Base stats'!B:B,'Base stats'!BK:BK) * 10) * 150 + 0.5 + _xlfn.XLOOKUP(B387,'Base stats'!B:B,'Base stats'!BW:BW), 0.05)</f>
        <v>2.25</v>
      </c>
      <c r="G387" s="3" t="str">
        <f>IF(Animals!S387="No","No",
IF(_xlfn.XLOOKUP(B387,'Base stats'!B:B,'Base stats'!U:U)="No",
MAX(MROUND(_xlfn.XLOOKUP(B387,'Base stats'!B:B,'Base stats'!BT:BT) * _xlfn.XLOOKUP(B387,'Base stats'!B:B,'Base stats'!BP:BP)^0.9 / 21 * _xlfn.XLOOKUP(B387,'Base stats'!B:B,'Base stats'!BX:BX),0.1),0.05),
MAX(MROUND(((MIN(10,_xlfn.XLOOKUP(B387,'Base stats'!B:B,'Base stats'!U:U)))^0.4*_xlfn.XLOOKUP(B387,'Base stats'!B:B,'Base stats'!BH:BH)^0.73)^0.6 * _xlfn.XLOOKUP(B387,'Base stats'!B:B,'Base stats'!BX:BX),0.1),0.05)
))</f>
        <v>No</v>
      </c>
      <c r="H387" s="11" t="str">
        <f>IF(G387="No","No",
MROUND(_xlfn.XLOOKUP(B387,'Base stats'!B:B,'Base stats'!BH:BH) * 0.01 * 2 + 0.05, 0.05)
)</f>
        <v>No</v>
      </c>
      <c r="I387" s="11" t="str">
        <f>IF(G387="No","No",IF(_xlfn.XLOOKUP(B387,'Base stats'!B:B,'Base stats'!U:U)="No","No",
MROUND(_xlfn.XLOOKUP(B387,'Base stats'!B:B,'Base stats'!BT:BT)/10000+0.01,0.01)
))</f>
        <v>No</v>
      </c>
      <c r="J387" s="4" t="str">
        <f>IF(G387="No","No",
MROUND(_xlfn.XLOOKUP(B387,'Base stats'!B:B,'Base stats'!BE:BE)^0.25
/((_xlfn.XLOOKUP(B387,'Base stats'!B:B,'Base stats'!BL:BL))*10)*_xlfn.XLOOKUP(_xlfn.XLOOKUP(B387,'Base stats'!B:B,'Base stats'!E:E),Groups!A:A,Groups!Q:Q)*150 + 0.5 + _xlfn.XLOOKUP(B387,'Base stats'!B:B,'Base stats'!BW:BW),
0.05))</f>
        <v>No</v>
      </c>
      <c r="K387" s="3" t="str">
        <f>IF(Animals!X387="No","No",
IF(_xlfn.XLOOKUP(_xlfn.XLOOKUP(B387,'Base stats'!B:B,'Base stats'!E:E),Groups!A:A,Groups!BD:BD)=1,
MAX(MROUND(_xlfn.XLOOKUP(B387,'Base stats'!B:B,'Base stats'!BU:BU) * _xlfn.XLOOKUP(B387,'Base stats'!B:B,'Base stats'!BQ:BQ)^0.9 / 21 *_xlfn.XLOOKUP(B387,'Base stats'!B:B,'Base stats'!BX:BX),0.1),0.05),
MAX(MROUND(((MIN(10,_xlfn.XLOOKUP(B387,'Base stats'!B:B,'Base stats'!W:W)))^0.4*_xlfn.XLOOKUP(B387,'Base stats'!B:B,'Base stats'!BI:BI)^0.73)^0.6 *_xlfn.XLOOKUP(B387,'Base stats'!B:B,'Base stats'!BX:BX),0.1),0.05)
))</f>
        <v>No</v>
      </c>
      <c r="L387" s="11" t="str">
        <f>IF(K387="No","No",
MROUND(_xlfn.XLOOKUP(B387,'Base stats'!B:B,'Base stats'!BI:BI) * 0.01 *2 + 0.05, 0.05)
)</f>
        <v>No</v>
      </c>
      <c r="M387" s="5" t="str">
        <f>IF(K387="No","No",IF(_xlfn.XLOOKUP(_xlfn.XLOOKUP(B387,'Base stats'!B:B,'Base stats'!E:E),Groups!A:A,Groups!BD:BD)=1,"No",
MROUND(_xlfn.XLOOKUP(B387,'Base stats'!B:B,'Base stats'!BU:BU)/10000+0.01,0.01)
))</f>
        <v>No</v>
      </c>
      <c r="N387" s="4" t="str">
        <f>IF(K387="No","No",
MROUND(
  _xlfn.XLOOKUP(B387,'Base stats'!B:B,'Base stats'!BC:BC)^0.25
  / (_xlfn.XLOOKUP(B387,'Base stats'!B:B,'Base stats'!BM:BM) * 10)
  * _xlfn.XLOOKUP(
      _xlfn.XLOOKUP(B387,'Base stats'!B:B,'Base stats'!E:E),
      Groups!A:A,
      Groups!V:V
    ) * 150
  + MIN(12, _xlfn.XLOOKUP(B387,'Base stats'!B:B,'Base stats'!W:W))^(1/IF(_xlfn.XLOOKUP(_xlfn.XLOOKUP(B387,'Base stats'!B:B,'Base stats'!E:E),Groups!A:A,Groups!U:U)=1,100,10)) + 0.5 + _xlfn.XLOOKUP(B387,'Base stats'!B:B,'Base stats'!BW:BW),
0.05))</f>
        <v>No</v>
      </c>
      <c r="O387" s="3">
        <f>IF(Animals!AD387="No","No",
MAX(MROUND((MIN(10,_xlfn.XLOOKUP(B387,'Base stats'!B:B,'Base stats'!V:V)*IF(_xlfn.XLOOKUP(_xlfn.XLOOKUP(B387,'Base stats'!B:B,'Base stats'!E:E),Groups!A:A,Groups!O:O)=0,1,0.33))^0.4*_xlfn.XLOOKUP(B387,'Base stats'!B:B,'Base stats'!BJ:BJ)^0.73)^0.6 *_xlfn.XLOOKUP(B387,'Base stats'!B:B,'Base stats'!BX:BX),0.1),0.05)
)</f>
        <v>23.5</v>
      </c>
      <c r="P387" s="11">
        <f>IF(O387="No","No",
MROUND(_xlfn.XLOOKUP(B387,'Base stats'!B:B,'Base stats'!BJ:BJ) * 0.01 * 2 + 0.05, 0.05)
)</f>
        <v>7.7</v>
      </c>
      <c r="Q387" s="5">
        <f>IF(O387="No","No",
MROUND(_xlfn.XLOOKUP(B387,'Base stats'!B:B,'Base stats'!BV:BV)/10000+0.01,0.01)
)</f>
        <v>0.28999999999999998</v>
      </c>
      <c r="R387" s="4">
        <f>IF(O387="No","No",
MROUND(_xlfn.XLOOKUP(B387,'Base stats'!B:B,'Base stats'!BB:BB)^0.25
/((_xlfn.XLOOKUP(B387,'Base stats'!B:B,'Base stats'!BN:BN))*10)*_xlfn.XLOOKUP(_xlfn.XLOOKUP(B387,'Base stats'!B:B,'Base stats'!E:E),Groups!A:A,Groups!Z:Z)*150 + 0.5 + _xlfn.XLOOKUP(B387,'Base stats'!B:B,'Base stats'!BW:BW),
0.05))</f>
        <v>2</v>
      </c>
      <c r="S387" s="3">
        <f>IF(Animals!AI387="No","No",
IF(_xlfn.XLOOKUP(B387,'Base stats'!B:B,'Base stats'!U:U)="No",
MAX(MROUND(_xlfn.XLOOKUP(B387,'Base stats'!B:B,'Base stats'!BT:BT) * _xlfn.XLOOKUP(B387,'Base stats'!B:B,'Base stats'!BP:BP)^0.9 / 21 * _xlfn.XLOOKUP(B387,'Base stats'!B:B,'Base stats'!BX:BX),0.1),0.05),
MAX(MROUND(((MIN(12,_xlfn.XLOOKUP(B387,'Base stats'!B:B,'Base stats'!U:U)))^0.4*_xlfn.XLOOKUP(B387,'Base stats'!B:B,'Base stats'!BH:BH)^0.73)^0.6 * _xlfn.XLOOKUP(B387,'Base stats'!B:B,'Base stats'!BX:BX),0.1),0.05)
))</f>
        <v>23.5</v>
      </c>
      <c r="T387" s="11">
        <f>IF(S387="No","No",
MROUND(_xlfn.XLOOKUP(B387,'Base stats'!B:B,'Base stats'!BH:BH) * 0.01 * 2 + 0.05, 0.05)
)</f>
        <v>6.95</v>
      </c>
      <c r="U387" s="5">
        <f>IF(S387="No","No",IF(_xlfn.XLOOKUP(B387,'Base stats'!B:B,'Base stats'!U:U)="No","No",
MROUND(_xlfn.XLOOKUP(B387,'Base stats'!B:B,'Base stats'!BT:BT)/10000+0.01,0.01)
))</f>
        <v>0.26</v>
      </c>
      <c r="V387" s="4">
        <f>IF(S387="No","No",
MROUND(_xlfn.XLOOKUP(B387,'Base stats'!B:B,'Base stats'!BF:BF)^0.25
/((_xlfn.XLOOKUP(B387,'Base stats'!B:B,'Base stats'!BO:BO))*10)*_xlfn.XLOOKUP(_xlfn.XLOOKUP(B387,'Base stats'!B:B,'Base stats'!E:E),Groups!A:A,Groups!AE:AE)*150 + 0.5 + _xlfn.XLOOKUP(B387,'Base stats'!B:B,'Base stats'!BW:BW),
0.05))</f>
        <v>1.55</v>
      </c>
      <c r="W387" s="8">
        <f>MROUND(_xlfn.XLOOKUP(_xlfn.XLOOKUP(B387,'Base stats'!B:B,'Base stats'!E:E),Groups!A:A,Groups!BG:BG)*_xlfn.XLOOKUP(B387,'Base stats'!B:B,'Base stats'!C:C)^-0.165,0.05)</f>
        <v>0.5</v>
      </c>
      <c r="X387" s="1">
        <f>MROUND(_xlfn.XLOOKUP(_xlfn.XLOOKUP(B387,'Base stats'!B:B,'Base stats'!E:E),Groups!A:A,Groups!BH:BH)*_xlfn.XLOOKUP(B387,'Base stats'!B:B,'Base stats'!C:C)^0.165,0.05)</f>
        <v>0.60000000000000009</v>
      </c>
      <c r="Y387" s="8">
        <f>MROUND(_xlfn.XLOOKUP(_xlfn.XLOOKUP(B387,'Base stats'!B:B,'Base stats'!E:E),Groups!A:A,Groups!BI:BI)*_xlfn.XLOOKUP(B387,'Base stats'!B:B,'Base stats'!C:C)^0.165,0.05)</f>
        <v>0.05</v>
      </c>
      <c r="Z387" s="18">
        <f>MROUND(_xlfn.XLOOKUP(B387,'Base stats'!B:B,'Base stats'!AQ:AQ)*_xlfn.XLOOKUP(_xlfn.XLOOKUP(B387,'Base stats'!B:B,'Base stats'!E:E),Groups!A:A,Groups!H:H)/1000,IF((_xlfn.XLOOKUP(B387,'Base stats'!B:B,'Base stats'!AQ:AQ)*_xlfn.XLOOKUP(_xlfn.XLOOKUP(B387,'Base stats'!B:B,'Base stats'!E:E),Groups!A:A,Groups!H:H)/1000)&gt;1,0.05,0.01))</f>
        <v>0.14000000000000001</v>
      </c>
      <c r="AA387" s="18">
        <f>MROUND((1/2)*(_xlfn.XLOOKUP(_xlfn.XLOOKUP(B387,'Base stats'!B:B,'Base stats'!E:E),Groups!A:A,Groups!H:H)*_xlfn.XLOOKUP(_xlfn.XLOOKUP(B387,'Base stats'!B:B,'Base stats'!E:E),Groups!A:A,Groups!I:I))*_xlfn.XLOOKUP(B387,'Base stats'!B:B,'Base stats'!AQ:AQ)*0.01,0.05)</f>
        <v>0.60000000000000009</v>
      </c>
      <c r="AB387" s="18">
        <f>MROUND(250*(Animals!AO387+Animals!AP387),25)</f>
        <v>1100</v>
      </c>
      <c r="AC387" s="18" t="str">
        <f>_xlfn.XLOOKUP(_xlfn.XLOOKUP(B387,'Base stats'!B:B,'Base stats'!E:E),Groups!A:A,Groups!BJ:BJ)</f>
        <v>Quadruped</v>
      </c>
    </row>
    <row r="388" spans="1:29" ht="16.5" thickTop="1" thickBot="1" x14ac:dyDescent="0.3">
      <c r="A388" s="16" t="str">
        <f>Animals!A388</f>
        <v>Chalicotherium</v>
      </c>
      <c r="B388" s="6" t="str">
        <f>Animals!B388</f>
        <v>Chalicotherium goldfussi</v>
      </c>
      <c r="C388" s="1" t="str">
        <f>Animals!C388</f>
        <v>&lt;li&gt;Chalicotherium&lt;/li&gt;</v>
      </c>
      <c r="D388" s="47">
        <f>MIN(MIN(6,_xlfn.XLOOKUP(A388,Animals!A:A,Animals!AO:AO))*20,MAX(MROUND(_xlfn.XLOOKUP(B388,'Base stats'!B:B,'Base stats'!BS:BS) * (_xlfn.XLOOKUP(B388,'Base stats'!B:B,'Base stats'!AO:AO)*5%)^0.9 / 21,0.1),0.05))</f>
        <v>10</v>
      </c>
      <c r="E388" s="11">
        <f>MROUND(_xlfn.XLOOKUP(B388,'Base stats'!B:B,'Base stats'!BG:BG) * 0.01 * 2 + 0.01, 0.05)</f>
        <v>9.75</v>
      </c>
      <c r="F388" s="7">
        <f>MROUND(_xlfn.XLOOKUP(B388,'Base stats'!B:B,'Base stats'!BD:BD)^0.25 / (_xlfn.XLOOKUP(B388,'Base stats'!B:B,'Base stats'!BK:BK) * 10) * 150 + 0.5 + _xlfn.XLOOKUP(B388,'Base stats'!B:B,'Base stats'!BW:BW), 0.05)</f>
        <v>2.5</v>
      </c>
      <c r="G388" s="3" t="str">
        <f>IF(Animals!S388="No","No",
IF(_xlfn.XLOOKUP(B388,'Base stats'!B:B,'Base stats'!U:U)="No",
MAX(MROUND(_xlfn.XLOOKUP(B388,'Base stats'!B:B,'Base stats'!BT:BT) * _xlfn.XLOOKUP(B388,'Base stats'!B:B,'Base stats'!BP:BP)^0.9 / 21 * _xlfn.XLOOKUP(B388,'Base stats'!B:B,'Base stats'!BX:BX),0.1),0.05),
MAX(MROUND(((MIN(10,_xlfn.XLOOKUP(B388,'Base stats'!B:B,'Base stats'!U:U)))^0.4*_xlfn.XLOOKUP(B388,'Base stats'!B:B,'Base stats'!BH:BH)^0.73)^0.6 * _xlfn.XLOOKUP(B388,'Base stats'!B:B,'Base stats'!BX:BX),0.1),0.05)
))</f>
        <v>No</v>
      </c>
      <c r="H388" s="11" t="str">
        <f>IF(G388="No","No",
MROUND(_xlfn.XLOOKUP(B388,'Base stats'!B:B,'Base stats'!BH:BH) * 0.01 * 2 + 0.05, 0.05)
)</f>
        <v>No</v>
      </c>
      <c r="I388" s="11" t="str">
        <f>IF(G388="No","No",IF(_xlfn.XLOOKUP(B388,'Base stats'!B:B,'Base stats'!U:U)="No","No",
MROUND(_xlfn.XLOOKUP(B388,'Base stats'!B:B,'Base stats'!BT:BT)/10000+0.01,0.01)
))</f>
        <v>No</v>
      </c>
      <c r="J388" s="4" t="str">
        <f>IF(G388="No","No",
MROUND(_xlfn.XLOOKUP(B388,'Base stats'!B:B,'Base stats'!BE:BE)^0.25
/((_xlfn.XLOOKUP(B388,'Base stats'!B:B,'Base stats'!BL:BL))*10)*_xlfn.XLOOKUP(_xlfn.XLOOKUP(B388,'Base stats'!B:B,'Base stats'!E:E),Groups!A:A,Groups!Q:Q)*150 + 0.5 + _xlfn.XLOOKUP(B388,'Base stats'!B:B,'Base stats'!BW:BW),
0.05))</f>
        <v>No</v>
      </c>
      <c r="K388" s="3" t="str">
        <f>IF(Animals!X388="No","No",
IF(_xlfn.XLOOKUP(_xlfn.XLOOKUP(B388,'Base stats'!B:B,'Base stats'!E:E),Groups!A:A,Groups!BD:BD)=1,
MAX(MROUND(_xlfn.XLOOKUP(B388,'Base stats'!B:B,'Base stats'!BU:BU) * _xlfn.XLOOKUP(B388,'Base stats'!B:B,'Base stats'!BQ:BQ)^0.9 / 21 *_xlfn.XLOOKUP(B388,'Base stats'!B:B,'Base stats'!BX:BX),0.1),0.05),
MAX(MROUND(((MIN(10,_xlfn.XLOOKUP(B388,'Base stats'!B:B,'Base stats'!W:W)))^0.4*_xlfn.XLOOKUP(B388,'Base stats'!B:B,'Base stats'!BI:BI)^0.73)^0.6 *_xlfn.XLOOKUP(B388,'Base stats'!B:B,'Base stats'!BX:BX),0.1),0.05)
))</f>
        <v>No</v>
      </c>
      <c r="L388" s="11" t="str">
        <f>IF(K388="No","No",
MROUND(_xlfn.XLOOKUP(B388,'Base stats'!B:B,'Base stats'!BI:BI) * 0.01 *2 + 0.05, 0.05)
)</f>
        <v>No</v>
      </c>
      <c r="M388" s="5" t="str">
        <f>IF(K388="No","No",IF(_xlfn.XLOOKUP(_xlfn.XLOOKUP(B388,'Base stats'!B:B,'Base stats'!E:E),Groups!A:A,Groups!BD:BD)=1,"No",
MROUND(_xlfn.XLOOKUP(B388,'Base stats'!B:B,'Base stats'!BU:BU)/10000+0.01,0.01)
))</f>
        <v>No</v>
      </c>
      <c r="N388" s="4" t="str">
        <f>IF(K388="No","No",
MROUND(
  _xlfn.XLOOKUP(B388,'Base stats'!B:B,'Base stats'!BC:BC)^0.25
  / (_xlfn.XLOOKUP(B388,'Base stats'!B:B,'Base stats'!BM:BM) * 10)
  * _xlfn.XLOOKUP(
      _xlfn.XLOOKUP(B388,'Base stats'!B:B,'Base stats'!E:E),
      Groups!A:A,
      Groups!V:V
    ) * 150
  + MIN(12, _xlfn.XLOOKUP(B388,'Base stats'!B:B,'Base stats'!W:W))^(1/IF(_xlfn.XLOOKUP(_xlfn.XLOOKUP(B388,'Base stats'!B:B,'Base stats'!E:E),Groups!A:A,Groups!U:U)=1,100,10)) + 0.5 + _xlfn.XLOOKUP(B388,'Base stats'!B:B,'Base stats'!BW:BW),
0.05))</f>
        <v>No</v>
      </c>
      <c r="O388" s="3">
        <f>IF(Animals!AD388="No","No",
MAX(MROUND((MIN(10,_xlfn.XLOOKUP(B388,'Base stats'!B:B,'Base stats'!V:V)*IF(_xlfn.XLOOKUP(_xlfn.XLOOKUP(B388,'Base stats'!B:B,'Base stats'!E:E),Groups!A:A,Groups!O:O)=0,1,0.33))^0.4*_xlfn.XLOOKUP(B388,'Base stats'!B:B,'Base stats'!BJ:BJ)^0.73)^0.6 *_xlfn.XLOOKUP(B388,'Base stats'!B:B,'Base stats'!BX:BX),0.1),0.05)
)</f>
        <v>19.600000000000001</v>
      </c>
      <c r="P388" s="11">
        <f>IF(O388="No","No",
MROUND(_xlfn.XLOOKUP(B388,'Base stats'!B:B,'Base stats'!BJ:BJ) * 0.01 * 2 + 0.05, 0.05)
)</f>
        <v>12.3</v>
      </c>
      <c r="Q388" s="5">
        <f>IF(O388="No","No",
MROUND(_xlfn.XLOOKUP(B388,'Base stats'!B:B,'Base stats'!BV:BV)/10000+0.01,0.01)
)</f>
        <v>0.11</v>
      </c>
      <c r="R388" s="4">
        <f>IF(O388="No","No",
MROUND(_xlfn.XLOOKUP(B388,'Base stats'!B:B,'Base stats'!BB:BB)^0.25
/((_xlfn.XLOOKUP(B388,'Base stats'!B:B,'Base stats'!BN:BN))*10)*_xlfn.XLOOKUP(_xlfn.XLOOKUP(B388,'Base stats'!B:B,'Base stats'!E:E),Groups!A:A,Groups!Z:Z)*150 + 0.5 + _xlfn.XLOOKUP(B388,'Base stats'!B:B,'Base stats'!BW:BW),
0.05))</f>
        <v>2.5500000000000003</v>
      </c>
      <c r="S388" s="3">
        <f>IF(Animals!AI388="No","No",
IF(_xlfn.XLOOKUP(B388,'Base stats'!B:B,'Base stats'!U:U)="No",
MAX(MROUND(_xlfn.XLOOKUP(B388,'Base stats'!B:B,'Base stats'!BT:BT) * _xlfn.XLOOKUP(B388,'Base stats'!B:B,'Base stats'!BP:BP)^0.9 / 21 * _xlfn.XLOOKUP(B388,'Base stats'!B:B,'Base stats'!BX:BX),0.1),0.05),
MAX(MROUND(((MIN(12,_xlfn.XLOOKUP(B388,'Base stats'!B:B,'Base stats'!U:U)))^0.4*_xlfn.XLOOKUP(B388,'Base stats'!B:B,'Base stats'!BH:BH)^0.73)^0.6 * _xlfn.XLOOKUP(B388,'Base stats'!B:B,'Base stats'!BX:BX),0.1),0.05)
))</f>
        <v>21.8</v>
      </c>
      <c r="T388" s="11">
        <f>IF(S388="No","No",
MROUND(_xlfn.XLOOKUP(B388,'Base stats'!B:B,'Base stats'!BH:BH) * 0.01 * 2 + 0.05, 0.05)
)</f>
        <v>9.4500000000000011</v>
      </c>
      <c r="U388" s="5">
        <f>IF(S388="No","No",IF(_xlfn.XLOOKUP(B388,'Base stats'!B:B,'Base stats'!U:U)="No","No",
MROUND(_xlfn.XLOOKUP(B388,'Base stats'!B:B,'Base stats'!BT:BT)/10000+0.01,0.01)
))</f>
        <v>0.21</v>
      </c>
      <c r="V388" s="4">
        <f>IF(S388="No","No",
MROUND(_xlfn.XLOOKUP(B388,'Base stats'!B:B,'Base stats'!BF:BF)^0.25
/((_xlfn.XLOOKUP(B388,'Base stats'!B:B,'Base stats'!BO:BO))*10)*_xlfn.XLOOKUP(_xlfn.XLOOKUP(B388,'Base stats'!B:B,'Base stats'!E:E),Groups!A:A,Groups!AE:AE)*150 + 0.5 + _xlfn.XLOOKUP(B388,'Base stats'!B:B,'Base stats'!BW:BW),
0.05))</f>
        <v>2.4500000000000002</v>
      </c>
      <c r="W388" s="8">
        <f>MROUND(_xlfn.XLOOKUP(_xlfn.XLOOKUP(B388,'Base stats'!B:B,'Base stats'!E:E),Groups!A:A,Groups!BG:BG)*_xlfn.XLOOKUP(B388,'Base stats'!B:B,'Base stats'!C:C)^-0.165,0.05)</f>
        <v>0.1</v>
      </c>
      <c r="X388" s="1">
        <f>MROUND(_xlfn.XLOOKUP(_xlfn.XLOOKUP(B388,'Base stats'!B:B,'Base stats'!E:E),Groups!A:A,Groups!BH:BH)*_xlfn.XLOOKUP(B388,'Base stats'!B:B,'Base stats'!C:C)^0.165,0.05)</f>
        <v>0.30000000000000004</v>
      </c>
      <c r="Y388" s="8">
        <f>MROUND(_xlfn.XLOOKUP(_xlfn.XLOOKUP(B388,'Base stats'!B:B,'Base stats'!E:E),Groups!A:A,Groups!BI:BI)*_xlfn.XLOOKUP(B388,'Base stats'!B:B,'Base stats'!C:C)^0.165,0.05)</f>
        <v>0.1</v>
      </c>
      <c r="Z388" s="18">
        <f>MROUND(_xlfn.XLOOKUP(B388,'Base stats'!B:B,'Base stats'!AQ:AQ)*_xlfn.XLOOKUP(_xlfn.XLOOKUP(B388,'Base stats'!B:B,'Base stats'!E:E),Groups!A:A,Groups!H:H)/1000,IF((_xlfn.XLOOKUP(B388,'Base stats'!B:B,'Base stats'!AQ:AQ)*_xlfn.XLOOKUP(_xlfn.XLOOKUP(B388,'Base stats'!B:B,'Base stats'!E:E),Groups!A:A,Groups!H:H)/1000)&gt;1,0.05,0.01))</f>
        <v>0.21</v>
      </c>
      <c r="AA388" s="18">
        <f>MROUND((1/2)*(_xlfn.XLOOKUP(_xlfn.XLOOKUP(B388,'Base stats'!B:B,'Base stats'!E:E),Groups!A:A,Groups!H:H)*_xlfn.XLOOKUP(_xlfn.XLOOKUP(B388,'Base stats'!B:B,'Base stats'!E:E),Groups!A:A,Groups!I:I))*_xlfn.XLOOKUP(B388,'Base stats'!B:B,'Base stats'!AQ:AQ)*0.01,0.05)</f>
        <v>0.25</v>
      </c>
      <c r="AB388" s="18">
        <f>MROUND(250*(Animals!AO388+Animals!AP388),25)</f>
        <v>1800</v>
      </c>
      <c r="AC388" s="18" t="str">
        <f>_xlfn.XLOOKUP(_xlfn.XLOOKUP(B388,'Base stats'!B:B,'Base stats'!E:E),Groups!A:A,Groups!BJ:BJ)</f>
        <v>Quadruped</v>
      </c>
    </row>
    <row r="389" spans="1:29" ht="16.5" thickTop="1" thickBot="1" x14ac:dyDescent="0.3">
      <c r="A389" s="16" t="str">
        <f>Animals!A389</f>
        <v>Megaloceros</v>
      </c>
      <c r="B389" s="6" t="str">
        <f>Animals!B389</f>
        <v>Megaloceros giganteus</v>
      </c>
      <c r="C389" s="1" t="str">
        <f>Animals!C389</f>
        <v>&lt;li&gt;Megaloceros&lt;/li&gt;</v>
      </c>
      <c r="D389" s="47">
        <f>MIN(MIN(6,_xlfn.XLOOKUP(A389,Animals!A:A,Animals!AO:AO))*20,MAX(MROUND(_xlfn.XLOOKUP(B389,'Base stats'!B:B,'Base stats'!BS:BS) * (_xlfn.XLOOKUP(B389,'Base stats'!B:B,'Base stats'!AO:AO)*5%)^0.9 / 21,0.1),0.05))</f>
        <v>12.5</v>
      </c>
      <c r="E389" s="11">
        <f>MROUND(_xlfn.XLOOKUP(B389,'Base stats'!B:B,'Base stats'!BG:BG) * 0.01 * 2 + 0.01, 0.05)</f>
        <v>11.8</v>
      </c>
      <c r="F389" s="7">
        <f>MROUND(_xlfn.XLOOKUP(B389,'Base stats'!B:B,'Base stats'!BD:BD)^0.25 / (_xlfn.XLOOKUP(B389,'Base stats'!B:B,'Base stats'!BK:BK) * 10) * 150 + 0.5 + _xlfn.XLOOKUP(B389,'Base stats'!B:B,'Base stats'!BW:BW), 0.05)</f>
        <v>1.85</v>
      </c>
      <c r="G389" s="3">
        <f>IF(Animals!S389="No","No",
IF(_xlfn.XLOOKUP(B389,'Base stats'!B:B,'Base stats'!U:U)="No",
MAX(MROUND(_xlfn.XLOOKUP(B389,'Base stats'!B:B,'Base stats'!BT:BT) * _xlfn.XLOOKUP(B389,'Base stats'!B:B,'Base stats'!BP:BP)^0.9 / 21 * _xlfn.XLOOKUP(B389,'Base stats'!B:B,'Base stats'!BX:BX),0.1),0.05),
MAX(MROUND(((MIN(10,_xlfn.XLOOKUP(B389,'Base stats'!B:B,'Base stats'!U:U)))^0.4*_xlfn.XLOOKUP(B389,'Base stats'!B:B,'Base stats'!BH:BH)^0.73)^0.6 * _xlfn.XLOOKUP(B389,'Base stats'!B:B,'Base stats'!BX:BX),0.1),0.05)
))</f>
        <v>20.400000000000002</v>
      </c>
      <c r="H389" s="11">
        <f>IF(G389="No","No",
MROUND(_xlfn.XLOOKUP(B389,'Base stats'!B:B,'Base stats'!BH:BH) * 0.01 * 2 + 0.05, 0.05)
)</f>
        <v>13.55</v>
      </c>
      <c r="I389" s="11" t="str">
        <f>IF(G389="No","No",IF(_xlfn.XLOOKUP(B389,'Base stats'!B:B,'Base stats'!U:U)="No","No",
MROUND(_xlfn.XLOOKUP(B389,'Base stats'!B:B,'Base stats'!BT:BT)/10000+0.01,0.01)
))</f>
        <v>No</v>
      </c>
      <c r="J389" s="4">
        <f>IF(G389="No","No",
MROUND(_xlfn.XLOOKUP(B389,'Base stats'!B:B,'Base stats'!BE:BE)^0.25
/((_xlfn.XLOOKUP(B389,'Base stats'!B:B,'Base stats'!BL:BL))*10)*_xlfn.XLOOKUP(_xlfn.XLOOKUP(B389,'Base stats'!B:B,'Base stats'!E:E),Groups!A:A,Groups!Q:Q)*150 + 0.5 + _xlfn.XLOOKUP(B389,'Base stats'!B:B,'Base stats'!BW:BW),
0.05))</f>
        <v>2.9000000000000004</v>
      </c>
      <c r="K389" s="3">
        <f>IF(Animals!X389="No","No",
IF(_xlfn.XLOOKUP(_xlfn.XLOOKUP(B389,'Base stats'!B:B,'Base stats'!E:E),Groups!A:A,Groups!BD:BD)=1,
MAX(MROUND(_xlfn.XLOOKUP(B389,'Base stats'!B:B,'Base stats'!BU:BU) * _xlfn.XLOOKUP(B389,'Base stats'!B:B,'Base stats'!BQ:BQ)^0.9 / 21 *_xlfn.XLOOKUP(B389,'Base stats'!B:B,'Base stats'!BX:BX),0.1),0.05),
MAX(MROUND(((MIN(10,_xlfn.XLOOKUP(B389,'Base stats'!B:B,'Base stats'!W:W)))^0.4*_xlfn.XLOOKUP(B389,'Base stats'!B:B,'Base stats'!BI:BI)^0.73)^0.6 *_xlfn.XLOOKUP(B389,'Base stats'!B:B,'Base stats'!BX:BX),0.1),0.05)
))</f>
        <v>32.700000000000003</v>
      </c>
      <c r="L389" s="11">
        <f>IF(K389="No","No",
MROUND(_xlfn.XLOOKUP(B389,'Base stats'!B:B,'Base stats'!BI:BI) * 0.01 *2 + 0.05, 0.05)
)</f>
        <v>16.25</v>
      </c>
      <c r="M389" s="5">
        <f>IF(K389="No","No",IF(_xlfn.XLOOKUP(_xlfn.XLOOKUP(B389,'Base stats'!B:B,'Base stats'!E:E),Groups!A:A,Groups!BD:BD)=1,"No",
MROUND(_xlfn.XLOOKUP(B389,'Base stats'!B:B,'Base stats'!BU:BU)/10000+0.01,0.01)
))</f>
        <v>0.87</v>
      </c>
      <c r="N389" s="4">
        <f>IF(K389="No","No",
MROUND(
  _xlfn.XLOOKUP(B389,'Base stats'!B:B,'Base stats'!BC:BC)^0.25
  / (_xlfn.XLOOKUP(B389,'Base stats'!B:B,'Base stats'!BM:BM) * 10)
  * _xlfn.XLOOKUP(
      _xlfn.XLOOKUP(B389,'Base stats'!B:B,'Base stats'!E:E),
      Groups!A:A,
      Groups!V:V
    ) * 150
  + MIN(12, _xlfn.XLOOKUP(B389,'Base stats'!B:B,'Base stats'!W:W))^(1/IF(_xlfn.XLOOKUP(_xlfn.XLOOKUP(B389,'Base stats'!B:B,'Base stats'!E:E),Groups!A:A,Groups!U:U)=1,100,10)) + 0.5 + _xlfn.XLOOKUP(B389,'Base stats'!B:B,'Base stats'!BW:BW),
0.05))</f>
        <v>3.1500000000000004</v>
      </c>
      <c r="O389" s="3" t="str">
        <f>IF(Animals!AD389="No","No",
MAX(MROUND((MIN(10,_xlfn.XLOOKUP(B389,'Base stats'!B:B,'Base stats'!V:V)*IF(_xlfn.XLOOKUP(_xlfn.XLOOKUP(B389,'Base stats'!B:B,'Base stats'!E:E),Groups!A:A,Groups!O:O)=0,1,0.33))^0.4*_xlfn.XLOOKUP(B389,'Base stats'!B:B,'Base stats'!BJ:BJ)^0.73)^0.6 *_xlfn.XLOOKUP(B389,'Base stats'!B:B,'Base stats'!BX:BX),0.1),0.05)
)</f>
        <v>No</v>
      </c>
      <c r="P389" s="11" t="str">
        <f>IF(O389="No","No",
MROUND(_xlfn.XLOOKUP(B389,'Base stats'!B:B,'Base stats'!BJ:BJ) * 0.01 * 2 + 0.05, 0.05)
)</f>
        <v>No</v>
      </c>
      <c r="Q389" s="5" t="str">
        <f>IF(O389="No","No",
MROUND(_xlfn.XLOOKUP(B389,'Base stats'!B:B,'Base stats'!BV:BV)/10000+0.01,0.01)
)</f>
        <v>No</v>
      </c>
      <c r="R389" s="4" t="str">
        <f>IF(O389="No","No",
MROUND(_xlfn.XLOOKUP(B389,'Base stats'!B:B,'Base stats'!BB:BB)^0.25
/((_xlfn.XLOOKUP(B389,'Base stats'!B:B,'Base stats'!BN:BN))*10)*_xlfn.XLOOKUP(_xlfn.XLOOKUP(B389,'Base stats'!B:B,'Base stats'!E:E),Groups!A:A,Groups!Z:Z)*150 + 0.5 + _xlfn.XLOOKUP(B389,'Base stats'!B:B,'Base stats'!BW:BW),
0.05))</f>
        <v>No</v>
      </c>
      <c r="S389" s="3" t="str">
        <f>IF(Animals!AI389="No","No",
IF(_xlfn.XLOOKUP(B389,'Base stats'!B:B,'Base stats'!U:U)="No",
MAX(MROUND(_xlfn.XLOOKUP(B389,'Base stats'!B:B,'Base stats'!BT:BT) * _xlfn.XLOOKUP(B389,'Base stats'!B:B,'Base stats'!BP:BP)^0.9 / 21 * _xlfn.XLOOKUP(B389,'Base stats'!B:B,'Base stats'!BX:BX),0.1),0.05),
MAX(MROUND(((MIN(12,_xlfn.XLOOKUP(B389,'Base stats'!B:B,'Base stats'!U:U)))^0.4*_xlfn.XLOOKUP(B389,'Base stats'!B:B,'Base stats'!BH:BH)^0.73)^0.6 * _xlfn.XLOOKUP(B389,'Base stats'!B:B,'Base stats'!BX:BX),0.1),0.05)
))</f>
        <v>No</v>
      </c>
      <c r="T389" s="11" t="str">
        <f>IF(S389="No","No",
MROUND(_xlfn.XLOOKUP(B389,'Base stats'!B:B,'Base stats'!BH:BH) * 0.01 * 2 + 0.05, 0.05)
)</f>
        <v>No</v>
      </c>
      <c r="U389" s="5" t="str">
        <f>IF(S389="No","No",IF(_xlfn.XLOOKUP(B389,'Base stats'!B:B,'Base stats'!U:U)="No","No",
MROUND(_xlfn.XLOOKUP(B389,'Base stats'!B:B,'Base stats'!BT:BT)/10000+0.01,0.01)
))</f>
        <v>No</v>
      </c>
      <c r="V389" s="4" t="str">
        <f>IF(S389="No","No",
MROUND(_xlfn.XLOOKUP(B389,'Base stats'!B:B,'Base stats'!BF:BF)^0.25
/((_xlfn.XLOOKUP(B389,'Base stats'!B:B,'Base stats'!BO:BO))*10)*_xlfn.XLOOKUP(_xlfn.XLOOKUP(B389,'Base stats'!B:B,'Base stats'!E:E),Groups!A:A,Groups!AE:AE)*150 + 0.5 + _xlfn.XLOOKUP(B389,'Base stats'!B:B,'Base stats'!BW:BW),
0.05))</f>
        <v>No</v>
      </c>
      <c r="W389" s="8">
        <f>MROUND(_xlfn.XLOOKUP(_xlfn.XLOOKUP(B389,'Base stats'!B:B,'Base stats'!E:E),Groups!A:A,Groups!BG:BG)*_xlfn.XLOOKUP(B389,'Base stats'!B:B,'Base stats'!C:C)^-0.165,0.05)</f>
        <v>0.2</v>
      </c>
      <c r="X389" s="1">
        <f>MROUND(_xlfn.XLOOKUP(_xlfn.XLOOKUP(B389,'Base stats'!B:B,'Base stats'!E:E),Groups!A:A,Groups!BH:BH)*_xlfn.XLOOKUP(B389,'Base stats'!B:B,'Base stats'!C:C)^0.165,0.05)</f>
        <v>0</v>
      </c>
      <c r="Y389" s="8">
        <f>MROUND(_xlfn.XLOOKUP(_xlfn.XLOOKUP(B389,'Base stats'!B:B,'Base stats'!E:E),Groups!A:A,Groups!BI:BI)*_xlfn.XLOOKUP(B389,'Base stats'!B:B,'Base stats'!C:C)^0.165,0.05)</f>
        <v>0</v>
      </c>
      <c r="Z389" s="18">
        <f>MROUND(_xlfn.XLOOKUP(B389,'Base stats'!B:B,'Base stats'!AQ:AQ)*_xlfn.XLOOKUP(_xlfn.XLOOKUP(B389,'Base stats'!B:B,'Base stats'!E:E),Groups!A:A,Groups!H:H)/1000,IF((_xlfn.XLOOKUP(B389,'Base stats'!B:B,'Base stats'!AQ:AQ)*_xlfn.XLOOKUP(_xlfn.XLOOKUP(B389,'Base stats'!B:B,'Base stats'!E:E),Groups!A:A,Groups!H:H)/1000)&gt;1,0.05,0.01))</f>
        <v>0.11</v>
      </c>
      <c r="AA389" s="18">
        <f>MROUND((1/2)*(_xlfn.XLOOKUP(_xlfn.XLOOKUP(B389,'Base stats'!B:B,'Base stats'!E:E),Groups!A:A,Groups!H:H)*_xlfn.XLOOKUP(_xlfn.XLOOKUP(B389,'Base stats'!B:B,'Base stats'!E:E),Groups!A:A,Groups!I:I))*_xlfn.XLOOKUP(B389,'Base stats'!B:B,'Base stats'!AQ:AQ)*0.01,0.05)</f>
        <v>0.45</v>
      </c>
      <c r="AB389" s="18">
        <f>MROUND(250*(Animals!AO389+Animals!AP389),25)</f>
        <v>1500</v>
      </c>
      <c r="AC389" s="18" t="str">
        <f>_xlfn.XLOOKUP(_xlfn.XLOOKUP(B389,'Base stats'!B:B,'Base stats'!E:E),Groups!A:A,Groups!BJ:BJ)</f>
        <v>Quadruped</v>
      </c>
    </row>
    <row r="390" spans="1:29" ht="16.5" thickTop="1" thickBot="1" x14ac:dyDescent="0.3">
      <c r="A390" s="16" t="str">
        <f>Animals!A390</f>
        <v>Procoptodon</v>
      </c>
      <c r="B390" s="6" t="str">
        <f>Animals!B390</f>
        <v>Procoptodon goliah</v>
      </c>
      <c r="C390" s="1" t="str">
        <f>Animals!C390</f>
        <v>&lt;li&gt;Procoptodon&lt;/li&gt;</v>
      </c>
      <c r="D390" s="47">
        <f>MIN(MIN(6,_xlfn.XLOOKUP(A390,Animals!A:A,Animals!AO:AO))*20,MAX(MROUND(_xlfn.XLOOKUP(B390,'Base stats'!B:B,'Base stats'!BS:BS) * (_xlfn.XLOOKUP(B390,'Base stats'!B:B,'Base stats'!AO:AO)*5%)^0.9 / 21,0.1),0.05))</f>
        <v>6.4</v>
      </c>
      <c r="E390" s="11">
        <f>MROUND(_xlfn.XLOOKUP(B390,'Base stats'!B:B,'Base stats'!BG:BG) * 0.01 * 2 + 0.01, 0.05)</f>
        <v>5.75</v>
      </c>
      <c r="F390" s="7">
        <f>MROUND(_xlfn.XLOOKUP(B390,'Base stats'!B:B,'Base stats'!BD:BD)^0.25 / (_xlfn.XLOOKUP(B390,'Base stats'!B:B,'Base stats'!BK:BK) * 10) * 150 + 0.5 + _xlfn.XLOOKUP(B390,'Base stats'!B:B,'Base stats'!BW:BW), 0.05)</f>
        <v>1.75</v>
      </c>
      <c r="G390" s="3">
        <f>IF(Animals!S390="No","No",
IF(_xlfn.XLOOKUP(B390,'Base stats'!B:B,'Base stats'!U:U)="No",
MAX(MROUND(_xlfn.XLOOKUP(B390,'Base stats'!B:B,'Base stats'!BT:BT) * _xlfn.XLOOKUP(B390,'Base stats'!B:B,'Base stats'!BP:BP)^0.9 / 21 * _xlfn.XLOOKUP(B390,'Base stats'!B:B,'Base stats'!BX:BX),0.1),0.05),
MAX(MROUND(((MIN(10,_xlfn.XLOOKUP(B390,'Base stats'!B:B,'Base stats'!U:U)))^0.4*_xlfn.XLOOKUP(B390,'Base stats'!B:B,'Base stats'!BH:BH)^0.73)^0.6 * _xlfn.XLOOKUP(B390,'Base stats'!B:B,'Base stats'!BX:BX),0.1),0.05)
))</f>
        <v>22.400000000000002</v>
      </c>
      <c r="H390" s="11">
        <f>IF(G390="No","No",
MROUND(_xlfn.XLOOKUP(B390,'Base stats'!B:B,'Base stats'!BH:BH) * 0.01 * 2 + 0.05, 0.05)
)</f>
        <v>6.9</v>
      </c>
      <c r="I390" s="11">
        <f>IF(G390="No","No",IF(_xlfn.XLOOKUP(B390,'Base stats'!B:B,'Base stats'!U:U)="No","No",
MROUND(_xlfn.XLOOKUP(B390,'Base stats'!B:B,'Base stats'!BT:BT)/10000+0.01,0.01)
))</f>
        <v>0.26</v>
      </c>
      <c r="J390" s="4">
        <f>IF(G390="No","No",
MROUND(_xlfn.XLOOKUP(B390,'Base stats'!B:B,'Base stats'!BE:BE)^0.25
/((_xlfn.XLOOKUP(B390,'Base stats'!B:B,'Base stats'!BL:BL))*10)*_xlfn.XLOOKUP(_xlfn.XLOOKUP(B390,'Base stats'!B:B,'Base stats'!E:E),Groups!A:A,Groups!Q:Q)*150 + 0.5 + _xlfn.XLOOKUP(B390,'Base stats'!B:B,'Base stats'!BW:BW),
0.05))</f>
        <v>3.3000000000000003</v>
      </c>
      <c r="K390" s="3" t="str">
        <f>IF(Animals!X390="No","No",
IF(_xlfn.XLOOKUP(_xlfn.XLOOKUP(B390,'Base stats'!B:B,'Base stats'!E:E),Groups!A:A,Groups!BD:BD)=1,
MAX(MROUND(_xlfn.XLOOKUP(B390,'Base stats'!B:B,'Base stats'!BU:BU) * _xlfn.XLOOKUP(B390,'Base stats'!B:B,'Base stats'!BQ:BQ)^0.9 / 21 *_xlfn.XLOOKUP(B390,'Base stats'!B:B,'Base stats'!BX:BX),0.1),0.05),
MAX(MROUND(((MIN(10,_xlfn.XLOOKUP(B390,'Base stats'!B:B,'Base stats'!W:W)))^0.4*_xlfn.XLOOKUP(B390,'Base stats'!B:B,'Base stats'!BI:BI)^0.73)^0.6 *_xlfn.XLOOKUP(B390,'Base stats'!B:B,'Base stats'!BX:BX),0.1),0.05)
))</f>
        <v>No</v>
      </c>
      <c r="L390" s="11" t="str">
        <f>IF(K390="No","No",
MROUND(_xlfn.XLOOKUP(B390,'Base stats'!B:B,'Base stats'!BI:BI) * 0.01 *2 + 0.05, 0.05)
)</f>
        <v>No</v>
      </c>
      <c r="M390" s="5" t="str">
        <f>IF(K390="No","No",IF(_xlfn.XLOOKUP(_xlfn.XLOOKUP(B390,'Base stats'!B:B,'Base stats'!E:E),Groups!A:A,Groups!BD:BD)=1,"No",
MROUND(_xlfn.XLOOKUP(B390,'Base stats'!B:B,'Base stats'!BU:BU)/10000+0.01,0.01)
))</f>
        <v>No</v>
      </c>
      <c r="N390" s="4" t="str">
        <f>IF(K390="No","No",
MROUND(
  _xlfn.XLOOKUP(B390,'Base stats'!B:B,'Base stats'!BC:BC)^0.25
  / (_xlfn.XLOOKUP(B390,'Base stats'!B:B,'Base stats'!BM:BM) * 10)
  * _xlfn.XLOOKUP(
      _xlfn.XLOOKUP(B390,'Base stats'!B:B,'Base stats'!E:E),
      Groups!A:A,
      Groups!V:V
    ) * 150
  + MIN(12, _xlfn.XLOOKUP(B390,'Base stats'!B:B,'Base stats'!W:W))^(1/IF(_xlfn.XLOOKUP(_xlfn.XLOOKUP(B390,'Base stats'!B:B,'Base stats'!E:E),Groups!A:A,Groups!U:U)=1,100,10)) + 0.5 + _xlfn.XLOOKUP(B390,'Base stats'!B:B,'Base stats'!BW:BW),
0.05))</f>
        <v>No</v>
      </c>
      <c r="O390" s="3" t="str">
        <f>IF(Animals!AD390="No","No",
MAX(MROUND((MIN(10,_xlfn.XLOOKUP(B390,'Base stats'!B:B,'Base stats'!V:V)*IF(_xlfn.XLOOKUP(_xlfn.XLOOKUP(B390,'Base stats'!B:B,'Base stats'!E:E),Groups!A:A,Groups!O:O)=0,1,0.33))^0.4*_xlfn.XLOOKUP(B390,'Base stats'!B:B,'Base stats'!BJ:BJ)^0.73)^0.6 *_xlfn.XLOOKUP(B390,'Base stats'!B:B,'Base stats'!BX:BX),0.1),0.05)
)</f>
        <v>No</v>
      </c>
      <c r="P390" s="11" t="str">
        <f>IF(O390="No","No",
MROUND(_xlfn.XLOOKUP(B390,'Base stats'!B:B,'Base stats'!BJ:BJ) * 0.01 * 2 + 0.05, 0.05)
)</f>
        <v>No</v>
      </c>
      <c r="Q390" s="5" t="str">
        <f>IF(O390="No","No",
MROUND(_xlfn.XLOOKUP(B390,'Base stats'!B:B,'Base stats'!BV:BV)/10000+0.01,0.01)
)</f>
        <v>No</v>
      </c>
      <c r="R390" s="4" t="str">
        <f>IF(O390="No","No",
MROUND(_xlfn.XLOOKUP(B390,'Base stats'!B:B,'Base stats'!BB:BB)^0.25
/((_xlfn.XLOOKUP(B390,'Base stats'!B:B,'Base stats'!BN:BN))*10)*_xlfn.XLOOKUP(_xlfn.XLOOKUP(B390,'Base stats'!B:B,'Base stats'!E:E),Groups!A:A,Groups!Z:Z)*150 + 0.5 + _xlfn.XLOOKUP(B390,'Base stats'!B:B,'Base stats'!BW:BW),
0.05))</f>
        <v>No</v>
      </c>
      <c r="S390" s="3" t="str">
        <f>IF(Animals!AI390="No","No",
IF(_xlfn.XLOOKUP(B390,'Base stats'!B:B,'Base stats'!U:U)="No",
MAX(MROUND(_xlfn.XLOOKUP(B390,'Base stats'!B:B,'Base stats'!BT:BT) * _xlfn.XLOOKUP(B390,'Base stats'!B:B,'Base stats'!BP:BP)^0.9 / 21 * _xlfn.XLOOKUP(B390,'Base stats'!B:B,'Base stats'!BX:BX),0.1),0.05),
MAX(MROUND(((MIN(12,_xlfn.XLOOKUP(B390,'Base stats'!B:B,'Base stats'!U:U)))^0.4*_xlfn.XLOOKUP(B390,'Base stats'!B:B,'Base stats'!BH:BH)^0.73)^0.6 * _xlfn.XLOOKUP(B390,'Base stats'!B:B,'Base stats'!BX:BX),0.1),0.05)
))</f>
        <v>No</v>
      </c>
      <c r="T390" s="11" t="str">
        <f>IF(S390="No","No",
MROUND(_xlfn.XLOOKUP(B390,'Base stats'!B:B,'Base stats'!BH:BH) * 0.01 * 2 + 0.05, 0.05)
)</f>
        <v>No</v>
      </c>
      <c r="U390" s="5" t="str">
        <f>IF(S390="No","No",IF(_xlfn.XLOOKUP(B390,'Base stats'!B:B,'Base stats'!U:U)="No","No",
MROUND(_xlfn.XLOOKUP(B390,'Base stats'!B:B,'Base stats'!BT:BT)/10000+0.01,0.01)
))</f>
        <v>No</v>
      </c>
      <c r="V390" s="4" t="str">
        <f>IF(S390="No","No",
MROUND(_xlfn.XLOOKUP(B390,'Base stats'!B:B,'Base stats'!BF:BF)^0.25
/((_xlfn.XLOOKUP(B390,'Base stats'!B:B,'Base stats'!BO:BO))*10)*_xlfn.XLOOKUP(_xlfn.XLOOKUP(B390,'Base stats'!B:B,'Base stats'!E:E),Groups!A:A,Groups!AE:AE)*150 + 0.5 + _xlfn.XLOOKUP(B390,'Base stats'!B:B,'Base stats'!BW:BW),
0.05))</f>
        <v>No</v>
      </c>
      <c r="W390" s="8">
        <f>MROUND(_xlfn.XLOOKUP(_xlfn.XLOOKUP(B390,'Base stats'!B:B,'Base stats'!E:E),Groups!A:A,Groups!BG:BG)*_xlfn.XLOOKUP(B390,'Base stats'!B:B,'Base stats'!C:C)^-0.165,0.05)</f>
        <v>0.30000000000000004</v>
      </c>
      <c r="X390" s="1">
        <f>MROUND(_xlfn.XLOOKUP(_xlfn.XLOOKUP(B390,'Base stats'!B:B,'Base stats'!E:E),Groups!A:A,Groups!BH:BH)*_xlfn.XLOOKUP(B390,'Base stats'!B:B,'Base stats'!C:C)^0.165,0.05)</f>
        <v>0</v>
      </c>
      <c r="Y390" s="8">
        <f>MROUND(_xlfn.XLOOKUP(_xlfn.XLOOKUP(B390,'Base stats'!B:B,'Base stats'!E:E),Groups!A:A,Groups!BI:BI)*_xlfn.XLOOKUP(B390,'Base stats'!B:B,'Base stats'!C:C)^0.165,0.05)</f>
        <v>0</v>
      </c>
      <c r="Z390" s="18">
        <f>MROUND(_xlfn.XLOOKUP(B390,'Base stats'!B:B,'Base stats'!AQ:AQ)*_xlfn.XLOOKUP(_xlfn.XLOOKUP(B390,'Base stats'!B:B,'Base stats'!E:E),Groups!A:A,Groups!H:H)/1000,IF((_xlfn.XLOOKUP(B390,'Base stats'!B:B,'Base stats'!AQ:AQ)*_xlfn.XLOOKUP(_xlfn.XLOOKUP(B390,'Base stats'!B:B,'Base stats'!E:E),Groups!A:A,Groups!H:H)/1000)&gt;1,0.05,0.01))</f>
        <v>0.09</v>
      </c>
      <c r="AA390" s="18">
        <f>MROUND((1/2)*(_xlfn.XLOOKUP(_xlfn.XLOOKUP(B390,'Base stats'!B:B,'Base stats'!E:E),Groups!A:A,Groups!H:H)*_xlfn.XLOOKUP(_xlfn.XLOOKUP(B390,'Base stats'!B:B,'Base stats'!E:E),Groups!A:A,Groups!I:I))*_xlfn.XLOOKUP(B390,'Base stats'!B:B,'Base stats'!AQ:AQ)*0.01,0.05)</f>
        <v>0.35000000000000003</v>
      </c>
      <c r="AB390" s="18">
        <f>MROUND(250*(Animals!AO390+Animals!AP390),25)</f>
        <v>1000</v>
      </c>
      <c r="AC390" s="18" t="str">
        <f>_xlfn.XLOOKUP(_xlfn.XLOOKUP(B390,'Base stats'!B:B,'Base stats'!E:E),Groups!A:A,Groups!BJ:BJ)</f>
        <v>Humanoid</v>
      </c>
    </row>
    <row r="391" spans="1:29" ht="16.5" thickTop="1" thickBot="1" x14ac:dyDescent="0.3">
      <c r="A391" s="16" t="str">
        <f>Animals!A391</f>
        <v>Megalania</v>
      </c>
      <c r="B391" s="6" t="str">
        <f>Animals!B391</f>
        <v>Varanus priscus</v>
      </c>
      <c r="C391" s="1" t="str">
        <f>Animals!C391</f>
        <v>&lt;li&gt;Megalania&lt;/li&gt;</v>
      </c>
      <c r="D391" s="47">
        <f>MIN(MIN(6,_xlfn.XLOOKUP(A391,Animals!A:A,Animals!AO:AO))*20,MAX(MROUND(_xlfn.XLOOKUP(B391,'Base stats'!B:B,'Base stats'!BS:BS) * (_xlfn.XLOOKUP(B391,'Base stats'!B:B,'Base stats'!AO:AO)*5%)^0.9 / 21,0.1),0.05))</f>
        <v>13.4</v>
      </c>
      <c r="E391" s="11">
        <f>MROUND(_xlfn.XLOOKUP(B391,'Base stats'!B:B,'Base stats'!BG:BG) * 0.01 * 2 + 0.01, 0.05)</f>
        <v>12.700000000000001</v>
      </c>
      <c r="F391" s="7">
        <f>MROUND(_xlfn.XLOOKUP(B391,'Base stats'!B:B,'Base stats'!BD:BD)^0.25 / (_xlfn.XLOOKUP(B391,'Base stats'!B:B,'Base stats'!BK:BK) * 10) * 150 + 0.5 + _xlfn.XLOOKUP(B391,'Base stats'!B:B,'Base stats'!BW:BW), 0.05)</f>
        <v>2.6</v>
      </c>
      <c r="G391" s="3" t="str">
        <f>IF(Animals!S391="No","No",
IF(_xlfn.XLOOKUP(B391,'Base stats'!B:B,'Base stats'!U:U)="No",
MAX(MROUND(_xlfn.XLOOKUP(B391,'Base stats'!B:B,'Base stats'!BT:BT) * _xlfn.XLOOKUP(B391,'Base stats'!B:B,'Base stats'!BP:BP)^0.9 / 21 * _xlfn.XLOOKUP(B391,'Base stats'!B:B,'Base stats'!BX:BX),0.1),0.05),
MAX(MROUND(((MIN(10,_xlfn.XLOOKUP(B391,'Base stats'!B:B,'Base stats'!U:U)))^0.4*_xlfn.XLOOKUP(B391,'Base stats'!B:B,'Base stats'!BH:BH)^0.73)^0.6 * _xlfn.XLOOKUP(B391,'Base stats'!B:B,'Base stats'!BX:BX),0.1),0.05)
))</f>
        <v>No</v>
      </c>
      <c r="H391" s="11" t="str">
        <f>IF(G391="No","No",
MROUND(_xlfn.XLOOKUP(B391,'Base stats'!B:B,'Base stats'!BH:BH) * 0.01 * 2 + 0.05, 0.05)
)</f>
        <v>No</v>
      </c>
      <c r="I391" s="11" t="str">
        <f>IF(G391="No","No",IF(_xlfn.XLOOKUP(B391,'Base stats'!B:B,'Base stats'!U:U)="No","No",
MROUND(_xlfn.XLOOKUP(B391,'Base stats'!B:B,'Base stats'!BT:BT)/10000+0.01,0.01)
))</f>
        <v>No</v>
      </c>
      <c r="J391" s="4" t="str">
        <f>IF(G391="No","No",
MROUND(_xlfn.XLOOKUP(B391,'Base stats'!B:B,'Base stats'!BE:BE)^0.25
/((_xlfn.XLOOKUP(B391,'Base stats'!B:B,'Base stats'!BL:BL))*10)*_xlfn.XLOOKUP(_xlfn.XLOOKUP(B391,'Base stats'!B:B,'Base stats'!E:E),Groups!A:A,Groups!Q:Q)*150 + 0.5 + _xlfn.XLOOKUP(B391,'Base stats'!B:B,'Base stats'!BW:BW),
0.05))</f>
        <v>No</v>
      </c>
      <c r="K391" s="3" t="str">
        <f>IF(Animals!X391="No","No",
IF(_xlfn.XLOOKUP(_xlfn.XLOOKUP(B391,'Base stats'!B:B,'Base stats'!E:E),Groups!A:A,Groups!BD:BD)=1,
MAX(MROUND(_xlfn.XLOOKUP(B391,'Base stats'!B:B,'Base stats'!BU:BU) * _xlfn.XLOOKUP(B391,'Base stats'!B:B,'Base stats'!BQ:BQ)^0.9 / 21 *_xlfn.XLOOKUP(B391,'Base stats'!B:B,'Base stats'!BX:BX),0.1),0.05),
MAX(MROUND(((MIN(10,_xlfn.XLOOKUP(B391,'Base stats'!B:B,'Base stats'!W:W)))^0.4*_xlfn.XLOOKUP(B391,'Base stats'!B:B,'Base stats'!BI:BI)^0.73)^0.6 *_xlfn.XLOOKUP(B391,'Base stats'!B:B,'Base stats'!BX:BX),0.1),0.05)
))</f>
        <v>No</v>
      </c>
      <c r="L391" s="11" t="str">
        <f>IF(K391="No","No",
MROUND(_xlfn.XLOOKUP(B391,'Base stats'!B:B,'Base stats'!BI:BI) * 0.01 *2 + 0.05, 0.05)
)</f>
        <v>No</v>
      </c>
      <c r="M391" s="5" t="str">
        <f>IF(K391="No","No",IF(_xlfn.XLOOKUP(_xlfn.XLOOKUP(B391,'Base stats'!B:B,'Base stats'!E:E),Groups!A:A,Groups!BD:BD)=1,"No",
MROUND(_xlfn.XLOOKUP(B391,'Base stats'!B:B,'Base stats'!BU:BU)/10000+0.01,0.01)
))</f>
        <v>No</v>
      </c>
      <c r="N391" s="4" t="str">
        <f>IF(K391="No","No",
MROUND(
  _xlfn.XLOOKUP(B391,'Base stats'!B:B,'Base stats'!BC:BC)^0.25
  / (_xlfn.XLOOKUP(B391,'Base stats'!B:B,'Base stats'!BM:BM) * 10)
  * _xlfn.XLOOKUP(
      _xlfn.XLOOKUP(B391,'Base stats'!B:B,'Base stats'!E:E),
      Groups!A:A,
      Groups!V:V
    ) * 150
  + MIN(12, _xlfn.XLOOKUP(B391,'Base stats'!B:B,'Base stats'!W:W))^(1/IF(_xlfn.XLOOKUP(_xlfn.XLOOKUP(B391,'Base stats'!B:B,'Base stats'!E:E),Groups!A:A,Groups!U:U)=1,100,10)) + 0.5 + _xlfn.XLOOKUP(B391,'Base stats'!B:B,'Base stats'!BW:BW),
0.05))</f>
        <v>No</v>
      </c>
      <c r="O391" s="3">
        <f>IF(Animals!AD391="No","No",
MAX(MROUND((MIN(10,_xlfn.XLOOKUP(B391,'Base stats'!B:B,'Base stats'!V:V)*IF(_xlfn.XLOOKUP(_xlfn.XLOOKUP(B391,'Base stats'!B:B,'Base stats'!E:E),Groups!A:A,Groups!O:O)=0,1,0.33))^0.4*_xlfn.XLOOKUP(B391,'Base stats'!B:B,'Base stats'!BJ:BJ)^0.73)^0.6 *_xlfn.XLOOKUP(B391,'Base stats'!B:B,'Base stats'!BX:BX),0.1),0.05)
)</f>
        <v>49.400000000000006</v>
      </c>
      <c r="P391" s="11">
        <f>IF(O391="No","No",
MROUND(_xlfn.XLOOKUP(B391,'Base stats'!B:B,'Base stats'!BJ:BJ) * 0.01 * 2 + 0.05, 0.05)
)</f>
        <v>60.85</v>
      </c>
      <c r="Q391" s="5">
        <f>IF(O391="No","No",
MROUND(_xlfn.XLOOKUP(B391,'Base stats'!B:B,'Base stats'!BV:BV)/10000+0.01,0.01)
)</f>
        <v>1.56</v>
      </c>
      <c r="R391" s="4">
        <f>IF(O391="No","No",
MROUND(_xlfn.XLOOKUP(B391,'Base stats'!B:B,'Base stats'!BB:BB)^0.25
/((_xlfn.XLOOKUP(B391,'Base stats'!B:B,'Base stats'!BN:BN))*10)*_xlfn.XLOOKUP(_xlfn.XLOOKUP(B391,'Base stats'!B:B,'Base stats'!E:E),Groups!A:A,Groups!Z:Z)*150 + 0.5 + _xlfn.XLOOKUP(B391,'Base stats'!B:B,'Base stats'!BW:BW),
0.05))</f>
        <v>2.8000000000000003</v>
      </c>
      <c r="S391" s="3">
        <f>IF(Animals!AI391="No","No",
IF(_xlfn.XLOOKUP(B391,'Base stats'!B:B,'Base stats'!U:U)="No",
MAX(MROUND(_xlfn.XLOOKUP(B391,'Base stats'!B:B,'Base stats'!BT:BT) * _xlfn.XLOOKUP(B391,'Base stats'!B:B,'Base stats'!BP:BP)^0.9 / 21 * _xlfn.XLOOKUP(B391,'Base stats'!B:B,'Base stats'!BX:BX),0.1),0.05),
MAX(MROUND(((MIN(12,_xlfn.XLOOKUP(B391,'Base stats'!B:B,'Base stats'!U:U)))^0.4*_xlfn.XLOOKUP(B391,'Base stats'!B:B,'Base stats'!BH:BH)^0.73)^0.6 * _xlfn.XLOOKUP(B391,'Base stats'!B:B,'Base stats'!BX:BX),0.1),0.05)
))</f>
        <v>26.3</v>
      </c>
      <c r="T391" s="11">
        <f>IF(S391="No","No",
MROUND(_xlfn.XLOOKUP(B391,'Base stats'!B:B,'Base stats'!BH:BH) * 0.01 * 2 + 0.05, 0.05)
)</f>
        <v>14.5</v>
      </c>
      <c r="U391" s="5">
        <f>IF(S391="No","No",IF(_xlfn.XLOOKUP(B391,'Base stats'!B:B,'Base stats'!U:U)="No","No",
MROUND(_xlfn.XLOOKUP(B391,'Base stats'!B:B,'Base stats'!BT:BT)/10000+0.01,0.01)
))</f>
        <v>0.38</v>
      </c>
      <c r="V391" s="4">
        <f>IF(S391="No","No",
MROUND(_xlfn.XLOOKUP(B391,'Base stats'!B:B,'Base stats'!BF:BF)^0.25
/((_xlfn.XLOOKUP(B391,'Base stats'!B:B,'Base stats'!BO:BO))*10)*_xlfn.XLOOKUP(_xlfn.XLOOKUP(B391,'Base stats'!B:B,'Base stats'!E:E),Groups!A:A,Groups!AE:AE)*150 + 0.5 + _xlfn.XLOOKUP(B391,'Base stats'!B:B,'Base stats'!BW:BW),
0.05))</f>
        <v>1.85</v>
      </c>
      <c r="W391" s="8">
        <f>MROUND(_xlfn.XLOOKUP(_xlfn.XLOOKUP(B391,'Base stats'!B:B,'Base stats'!E:E),Groups!A:A,Groups!BG:BG)*_xlfn.XLOOKUP(B391,'Base stats'!B:B,'Base stats'!C:C)^-0.165,0.05)</f>
        <v>0.2</v>
      </c>
      <c r="X391" s="1">
        <f>MROUND(_xlfn.XLOOKUP(_xlfn.XLOOKUP(B391,'Base stats'!B:B,'Base stats'!E:E),Groups!A:A,Groups!BH:BH)*_xlfn.XLOOKUP(B391,'Base stats'!B:B,'Base stats'!C:C)^0.165,0.05)</f>
        <v>0.55000000000000004</v>
      </c>
      <c r="Y391" s="8">
        <f>MROUND(_xlfn.XLOOKUP(_xlfn.XLOOKUP(B391,'Base stats'!B:B,'Base stats'!E:E),Groups!A:A,Groups!BI:BI)*_xlfn.XLOOKUP(B391,'Base stats'!B:B,'Base stats'!C:C)^0.165,0.05)</f>
        <v>0.05</v>
      </c>
      <c r="Z391" s="18">
        <f>MROUND(_xlfn.XLOOKUP(B391,'Base stats'!B:B,'Base stats'!AQ:AQ)*_xlfn.XLOOKUP(_xlfn.XLOOKUP(B391,'Base stats'!B:B,'Base stats'!E:E),Groups!A:A,Groups!H:H)/1000,IF((_xlfn.XLOOKUP(B391,'Base stats'!B:B,'Base stats'!AQ:AQ)*_xlfn.XLOOKUP(_xlfn.XLOOKUP(B391,'Base stats'!B:B,'Base stats'!E:E),Groups!A:A,Groups!H:H)/1000)&gt;1,0.05,0.01))</f>
        <v>0.12</v>
      </c>
      <c r="AA391" s="18">
        <f>MROUND((1/2)*(_xlfn.XLOOKUP(_xlfn.XLOOKUP(B391,'Base stats'!B:B,'Base stats'!E:E),Groups!A:A,Groups!H:H)*_xlfn.XLOOKUP(_xlfn.XLOOKUP(B391,'Base stats'!B:B,'Base stats'!E:E),Groups!A:A,Groups!I:I))*_xlfn.XLOOKUP(B391,'Base stats'!B:B,'Base stats'!AQ:AQ)*0.01,0.05)</f>
        <v>0.5</v>
      </c>
      <c r="AB391" s="18">
        <f>MROUND(250*(Animals!AO391+Animals!AP391),25)</f>
        <v>1650</v>
      </c>
      <c r="AC391" s="18" t="str">
        <f>_xlfn.XLOOKUP(_xlfn.XLOOKUP(B391,'Base stats'!B:B,'Base stats'!E:E),Groups!A:A,Groups!BJ:BJ)</f>
        <v>QuadrupedLow</v>
      </c>
    </row>
    <row r="392" spans="1:29" ht="16.5" thickTop="1" thickBot="1" x14ac:dyDescent="0.3">
      <c r="A392" s="16" t="str">
        <f>Animals!A392</f>
        <v>Gomphotaria</v>
      </c>
      <c r="B392" s="6" t="str">
        <f>Animals!B392</f>
        <v>Gomphotaria pugnax</v>
      </c>
      <c r="C392" s="1" t="str">
        <f>Animals!C392</f>
        <v>&lt;li&gt;Gomphotaria&lt;/li&gt;</v>
      </c>
      <c r="D392" s="47">
        <f>MIN(MIN(6,_xlfn.XLOOKUP(A392,Animals!A:A,Animals!AO:AO))*20,MAX(MROUND(_xlfn.XLOOKUP(B392,'Base stats'!B:B,'Base stats'!BS:BS) * (_xlfn.XLOOKUP(B392,'Base stats'!B:B,'Base stats'!AO:AO)*5%)^0.9 / 21,0.1),0.05))</f>
        <v>30</v>
      </c>
      <c r="E392" s="11">
        <f>MROUND(_xlfn.XLOOKUP(B392,'Base stats'!B:B,'Base stats'!BG:BG) * 0.01 * 2 + 0.01, 0.05)</f>
        <v>30.3</v>
      </c>
      <c r="F392" s="7">
        <f>MROUND(_xlfn.XLOOKUP(B392,'Base stats'!B:B,'Base stats'!BD:BD)^0.25 / (_xlfn.XLOOKUP(B392,'Base stats'!B:B,'Base stats'!BK:BK) * 10) * 150 + 0.5 + _xlfn.XLOOKUP(B392,'Base stats'!B:B,'Base stats'!BW:BW), 0.05)</f>
        <v>2.85</v>
      </c>
      <c r="G392" s="3" t="str">
        <f>IF(Animals!S392="No","No",
IF(_xlfn.XLOOKUP(B392,'Base stats'!B:B,'Base stats'!U:U)="No",
MAX(MROUND(_xlfn.XLOOKUP(B392,'Base stats'!B:B,'Base stats'!BT:BT) * _xlfn.XLOOKUP(B392,'Base stats'!B:B,'Base stats'!BP:BP)^0.9 / 21 * _xlfn.XLOOKUP(B392,'Base stats'!B:B,'Base stats'!BX:BX),0.1),0.05),
MAX(MROUND(((MIN(10,_xlfn.XLOOKUP(B392,'Base stats'!B:B,'Base stats'!U:U)))^0.4*_xlfn.XLOOKUP(B392,'Base stats'!B:B,'Base stats'!BH:BH)^0.73)^0.6 * _xlfn.XLOOKUP(B392,'Base stats'!B:B,'Base stats'!BX:BX),0.1),0.05)
))</f>
        <v>No</v>
      </c>
      <c r="H392" s="11" t="str">
        <f>IF(G392="No","No",
MROUND(_xlfn.XLOOKUP(B392,'Base stats'!B:B,'Base stats'!BH:BH) * 0.01 * 2 + 0.05, 0.05)
)</f>
        <v>No</v>
      </c>
      <c r="I392" s="11" t="str">
        <f>IF(G392="No","No",IF(_xlfn.XLOOKUP(B392,'Base stats'!B:B,'Base stats'!U:U)="No","No",
MROUND(_xlfn.XLOOKUP(B392,'Base stats'!B:B,'Base stats'!BT:BT)/10000+0.01,0.01)
))</f>
        <v>No</v>
      </c>
      <c r="J392" s="4" t="str">
        <f>IF(G392="No","No",
MROUND(_xlfn.XLOOKUP(B392,'Base stats'!B:B,'Base stats'!BE:BE)^0.25
/((_xlfn.XLOOKUP(B392,'Base stats'!B:B,'Base stats'!BL:BL))*10)*_xlfn.XLOOKUP(_xlfn.XLOOKUP(B392,'Base stats'!B:B,'Base stats'!E:E),Groups!A:A,Groups!Q:Q)*150 + 0.5 + _xlfn.XLOOKUP(B392,'Base stats'!B:B,'Base stats'!BW:BW),
0.05))</f>
        <v>No</v>
      </c>
      <c r="K392" s="3">
        <f>IF(Animals!X392="No","No",
IF(_xlfn.XLOOKUP(_xlfn.XLOOKUP(B392,'Base stats'!B:B,'Base stats'!E:E),Groups!A:A,Groups!BD:BD)=1,
MAX(MROUND(_xlfn.XLOOKUP(B392,'Base stats'!B:B,'Base stats'!BU:BU) * _xlfn.XLOOKUP(B392,'Base stats'!B:B,'Base stats'!BQ:BQ)^0.9 / 21 *_xlfn.XLOOKUP(B392,'Base stats'!B:B,'Base stats'!BX:BX),0.1),0.05),
MAX(MROUND(((MIN(10,_xlfn.XLOOKUP(B392,'Base stats'!B:B,'Base stats'!W:W)))^0.4*_xlfn.XLOOKUP(B392,'Base stats'!B:B,'Base stats'!BI:BI)^0.73)^0.6 *_xlfn.XLOOKUP(B392,'Base stats'!B:B,'Base stats'!BX:BX),0.1),0.05)
))</f>
        <v>48.2</v>
      </c>
      <c r="L392" s="11">
        <f>IF(K392="No","No",
MROUND(_xlfn.XLOOKUP(B392,'Base stats'!B:B,'Base stats'!BI:BI) * 0.01 *2 + 0.05, 0.05)
)</f>
        <v>39.400000000000006</v>
      </c>
      <c r="M392" s="5">
        <f>IF(K392="No","No",IF(_xlfn.XLOOKUP(_xlfn.XLOOKUP(B392,'Base stats'!B:B,'Base stats'!E:E),Groups!A:A,Groups!BD:BD)=1,"No",
MROUND(_xlfn.XLOOKUP(B392,'Base stats'!B:B,'Base stats'!BU:BU)/10000+0.01,0.01)
))</f>
        <v>1.8900000000000001</v>
      </c>
      <c r="N392" s="4">
        <f>IF(K392="No","No",
MROUND(
  _xlfn.XLOOKUP(B392,'Base stats'!B:B,'Base stats'!BC:BC)^0.25
  / (_xlfn.XLOOKUP(B392,'Base stats'!B:B,'Base stats'!BM:BM) * 10)
  * _xlfn.XLOOKUP(
      _xlfn.XLOOKUP(B392,'Base stats'!B:B,'Base stats'!E:E),
      Groups!A:A,
      Groups!V:V
    ) * 150
  + MIN(12, _xlfn.XLOOKUP(B392,'Base stats'!B:B,'Base stats'!W:W))^(1/IF(_xlfn.XLOOKUP(_xlfn.XLOOKUP(B392,'Base stats'!B:B,'Base stats'!E:E),Groups!A:A,Groups!U:U)=1,100,10)) + 0.5 + _xlfn.XLOOKUP(B392,'Base stats'!B:B,'Base stats'!BW:BW),
0.05))</f>
        <v>3.25</v>
      </c>
      <c r="O392" s="3" t="str">
        <f>IF(Animals!AD392="No","No",
MAX(MROUND((MIN(10,_xlfn.XLOOKUP(B392,'Base stats'!B:B,'Base stats'!V:V)*IF(_xlfn.XLOOKUP(_xlfn.XLOOKUP(B392,'Base stats'!B:B,'Base stats'!E:E),Groups!A:A,Groups!O:O)=0,1,0.33))^0.4*_xlfn.XLOOKUP(B392,'Base stats'!B:B,'Base stats'!BJ:BJ)^0.73)^0.6 *_xlfn.XLOOKUP(B392,'Base stats'!B:B,'Base stats'!BX:BX),0.1),0.05)
)</f>
        <v>No</v>
      </c>
      <c r="P392" s="11" t="str">
        <f>IF(O392="No","No",
MROUND(_xlfn.XLOOKUP(B392,'Base stats'!B:B,'Base stats'!BJ:BJ) * 0.01 * 2 + 0.05, 0.05)
)</f>
        <v>No</v>
      </c>
      <c r="Q392" s="5" t="str">
        <f>IF(O392="No","No",
MROUND(_xlfn.XLOOKUP(B392,'Base stats'!B:B,'Base stats'!BV:BV)/10000+0.01,0.01)
)</f>
        <v>No</v>
      </c>
      <c r="R392" s="4" t="str">
        <f>IF(O392="No","No",
MROUND(_xlfn.XLOOKUP(B392,'Base stats'!B:B,'Base stats'!BB:BB)^0.25
/((_xlfn.XLOOKUP(B392,'Base stats'!B:B,'Base stats'!BN:BN))*10)*_xlfn.XLOOKUP(_xlfn.XLOOKUP(B392,'Base stats'!B:B,'Base stats'!E:E),Groups!A:A,Groups!Z:Z)*150 + 0.5 + _xlfn.XLOOKUP(B392,'Base stats'!B:B,'Base stats'!BW:BW),
0.05))</f>
        <v>No</v>
      </c>
      <c r="S392" s="3" t="str">
        <f>IF(Animals!AI392="No","No",
IF(_xlfn.XLOOKUP(B392,'Base stats'!B:B,'Base stats'!U:U)="No",
MAX(MROUND(_xlfn.XLOOKUP(B392,'Base stats'!B:B,'Base stats'!BT:BT) * _xlfn.XLOOKUP(B392,'Base stats'!B:B,'Base stats'!BP:BP)^0.9 / 21 * _xlfn.XLOOKUP(B392,'Base stats'!B:B,'Base stats'!BX:BX),0.1),0.05),
MAX(MROUND(((MIN(12,_xlfn.XLOOKUP(B392,'Base stats'!B:B,'Base stats'!U:U)))^0.4*_xlfn.XLOOKUP(B392,'Base stats'!B:B,'Base stats'!BH:BH)^0.73)^0.6 * _xlfn.XLOOKUP(B392,'Base stats'!B:B,'Base stats'!BX:BX),0.1),0.05)
))</f>
        <v>No</v>
      </c>
      <c r="T392" s="11" t="str">
        <f>IF(S392="No","No",
MROUND(_xlfn.XLOOKUP(B392,'Base stats'!B:B,'Base stats'!BH:BH) * 0.01 * 2 + 0.05, 0.05)
)</f>
        <v>No</v>
      </c>
      <c r="U392" s="5" t="str">
        <f>IF(S392="No","No",IF(_xlfn.XLOOKUP(B392,'Base stats'!B:B,'Base stats'!U:U)="No","No",
MROUND(_xlfn.XLOOKUP(B392,'Base stats'!B:B,'Base stats'!BT:BT)/10000+0.01,0.01)
))</f>
        <v>No</v>
      </c>
      <c r="V392" s="4" t="str">
        <f>IF(S392="No","No",
MROUND(_xlfn.XLOOKUP(B392,'Base stats'!B:B,'Base stats'!BF:BF)^0.25
/((_xlfn.XLOOKUP(B392,'Base stats'!B:B,'Base stats'!BO:BO))*10)*_xlfn.XLOOKUP(_xlfn.XLOOKUP(B392,'Base stats'!B:B,'Base stats'!E:E),Groups!A:A,Groups!AE:AE)*150 + 0.5 + _xlfn.XLOOKUP(B392,'Base stats'!B:B,'Base stats'!BW:BW),
0.05))</f>
        <v>No</v>
      </c>
      <c r="W392" s="8">
        <f>MROUND(_xlfn.XLOOKUP(_xlfn.XLOOKUP(B392,'Base stats'!B:B,'Base stats'!E:E),Groups!A:A,Groups!BG:BG)*_xlfn.XLOOKUP(B392,'Base stats'!B:B,'Base stats'!C:C)^-0.165,0.05)</f>
        <v>0.2</v>
      </c>
      <c r="X392" s="1">
        <f>MROUND(_xlfn.XLOOKUP(_xlfn.XLOOKUP(B392,'Base stats'!B:B,'Base stats'!E:E),Groups!A:A,Groups!BH:BH)*_xlfn.XLOOKUP(B392,'Base stats'!B:B,'Base stats'!C:C)^0.165,0.05)</f>
        <v>0.35000000000000003</v>
      </c>
      <c r="Y392" s="8">
        <f>MROUND(_xlfn.XLOOKUP(_xlfn.XLOOKUP(B392,'Base stats'!B:B,'Base stats'!E:E),Groups!A:A,Groups!BI:BI)*_xlfn.XLOOKUP(B392,'Base stats'!B:B,'Base stats'!C:C)^0.165,0.05)</f>
        <v>0.1</v>
      </c>
      <c r="Z392" s="18">
        <f>MROUND(_xlfn.XLOOKUP(B392,'Base stats'!B:B,'Base stats'!AQ:AQ)*_xlfn.XLOOKUP(_xlfn.XLOOKUP(B392,'Base stats'!B:B,'Base stats'!E:E),Groups!A:A,Groups!H:H)/1000,IF((_xlfn.XLOOKUP(B392,'Base stats'!B:B,'Base stats'!AQ:AQ)*_xlfn.XLOOKUP(_xlfn.XLOOKUP(B392,'Base stats'!B:B,'Base stats'!E:E),Groups!A:A,Groups!H:H)/1000)&gt;1,0.05,0.01))</f>
        <v>0.27</v>
      </c>
      <c r="AA392" s="18">
        <f>MROUND((1/2)*(_xlfn.XLOOKUP(_xlfn.XLOOKUP(B392,'Base stats'!B:B,'Base stats'!E:E),Groups!A:A,Groups!H:H)*_xlfn.XLOOKUP(_xlfn.XLOOKUP(B392,'Base stats'!B:B,'Base stats'!E:E),Groups!A:A,Groups!I:I))*_xlfn.XLOOKUP(B392,'Base stats'!B:B,'Base stats'!AQ:AQ)*0.01,0.05)</f>
        <v>1.1500000000000001</v>
      </c>
      <c r="AB392" s="18">
        <f>MROUND(250*(Animals!AO392+Animals!AP392),25)</f>
        <v>2075</v>
      </c>
      <c r="AC392" s="18" t="str">
        <f>_xlfn.XLOOKUP(_xlfn.XLOOKUP(B392,'Base stats'!B:B,'Base stats'!E:E),Groups!A:A,Groups!BJ:BJ)</f>
        <v>QuadrupedLow</v>
      </c>
    </row>
    <row r="393" spans="1:29" ht="16.5" thickTop="1" thickBot="1" x14ac:dyDescent="0.3">
      <c r="A393" s="16" t="str">
        <f>Animals!A393</f>
        <v>Diprotodon</v>
      </c>
      <c r="B393" s="6" t="str">
        <f>Animals!B393</f>
        <v>Diprotodon optatum</v>
      </c>
      <c r="C393" s="1" t="str">
        <f>Animals!C393</f>
        <v>&lt;li&gt;Diprotodon&lt;/li&gt;</v>
      </c>
      <c r="D393" s="47">
        <f>MIN(MIN(6,_xlfn.XLOOKUP(A393,Animals!A:A,Animals!AO:AO))*20,MAX(MROUND(_xlfn.XLOOKUP(B393,'Base stats'!B:B,'Base stats'!BS:BS) * (_xlfn.XLOOKUP(B393,'Base stats'!B:B,'Base stats'!AO:AO)*5%)^0.9 / 21,0.1),0.05))</f>
        <v>50.6</v>
      </c>
      <c r="E393" s="11">
        <f>MROUND(_xlfn.XLOOKUP(B393,'Base stats'!B:B,'Base stats'!BG:BG) * 0.01 * 2 + 0.01, 0.05)</f>
        <v>53.2</v>
      </c>
      <c r="F393" s="7">
        <f>MROUND(_xlfn.XLOOKUP(B393,'Base stats'!B:B,'Base stats'!BD:BD)^0.25 / (_xlfn.XLOOKUP(B393,'Base stats'!B:B,'Base stats'!BK:BK) * 10) * 150 + 0.5 + _xlfn.XLOOKUP(B393,'Base stats'!B:B,'Base stats'!BW:BW), 0.05)</f>
        <v>2.15</v>
      </c>
      <c r="G393" s="3" t="str">
        <f>IF(Animals!S393="No","No",
IF(_xlfn.XLOOKUP(B393,'Base stats'!B:B,'Base stats'!U:U)="No",
MAX(MROUND(_xlfn.XLOOKUP(B393,'Base stats'!B:B,'Base stats'!BT:BT) * _xlfn.XLOOKUP(B393,'Base stats'!B:B,'Base stats'!BP:BP)^0.9 / 21 * _xlfn.XLOOKUP(B393,'Base stats'!B:B,'Base stats'!BX:BX),0.1),0.05),
MAX(MROUND(((MIN(10,_xlfn.XLOOKUP(B393,'Base stats'!B:B,'Base stats'!U:U)))^0.4*_xlfn.XLOOKUP(B393,'Base stats'!B:B,'Base stats'!BH:BH)^0.73)^0.6 * _xlfn.XLOOKUP(B393,'Base stats'!B:B,'Base stats'!BX:BX),0.1),0.05)
))</f>
        <v>No</v>
      </c>
      <c r="H393" s="11" t="str">
        <f>IF(G393="No","No",
MROUND(_xlfn.XLOOKUP(B393,'Base stats'!B:B,'Base stats'!BH:BH) * 0.01 * 2 + 0.05, 0.05)
)</f>
        <v>No</v>
      </c>
      <c r="I393" s="11" t="str">
        <f>IF(G393="No","No",IF(_xlfn.XLOOKUP(B393,'Base stats'!B:B,'Base stats'!U:U)="No","No",
MROUND(_xlfn.XLOOKUP(B393,'Base stats'!B:B,'Base stats'!BT:BT)/10000+0.01,0.01)
))</f>
        <v>No</v>
      </c>
      <c r="J393" s="4" t="str">
        <f>IF(G393="No","No",
MROUND(_xlfn.XLOOKUP(B393,'Base stats'!B:B,'Base stats'!BE:BE)^0.25
/((_xlfn.XLOOKUP(B393,'Base stats'!B:B,'Base stats'!BL:BL))*10)*_xlfn.XLOOKUP(_xlfn.XLOOKUP(B393,'Base stats'!B:B,'Base stats'!E:E),Groups!A:A,Groups!Q:Q)*150 + 0.5 + _xlfn.XLOOKUP(B393,'Base stats'!B:B,'Base stats'!BW:BW),
0.05))</f>
        <v>No</v>
      </c>
      <c r="K393" s="3" t="str">
        <f>IF(Animals!X393="No","No",
IF(_xlfn.XLOOKUP(_xlfn.XLOOKUP(B393,'Base stats'!B:B,'Base stats'!E:E),Groups!A:A,Groups!BD:BD)=1,
MAX(MROUND(_xlfn.XLOOKUP(B393,'Base stats'!B:B,'Base stats'!BU:BU) * _xlfn.XLOOKUP(B393,'Base stats'!B:B,'Base stats'!BQ:BQ)^0.9 / 21 *_xlfn.XLOOKUP(B393,'Base stats'!B:B,'Base stats'!BX:BX),0.1),0.05),
MAX(MROUND(((MIN(10,_xlfn.XLOOKUP(B393,'Base stats'!B:B,'Base stats'!W:W)))^0.4*_xlfn.XLOOKUP(B393,'Base stats'!B:B,'Base stats'!BI:BI)^0.73)^0.6 *_xlfn.XLOOKUP(B393,'Base stats'!B:B,'Base stats'!BX:BX),0.1),0.05)
))</f>
        <v>No</v>
      </c>
      <c r="L393" s="11" t="str">
        <f>IF(K393="No","No",
MROUND(_xlfn.XLOOKUP(B393,'Base stats'!B:B,'Base stats'!BI:BI) * 0.01 *2 + 0.05, 0.05)
)</f>
        <v>No</v>
      </c>
      <c r="M393" s="5" t="str">
        <f>IF(K393="No","No",IF(_xlfn.XLOOKUP(_xlfn.XLOOKUP(B393,'Base stats'!B:B,'Base stats'!E:E),Groups!A:A,Groups!BD:BD)=1,"No",
MROUND(_xlfn.XLOOKUP(B393,'Base stats'!B:B,'Base stats'!BU:BU)/10000+0.01,0.01)
))</f>
        <v>No</v>
      </c>
      <c r="N393" s="4" t="str">
        <f>IF(K393="No","No",
MROUND(
  _xlfn.XLOOKUP(B393,'Base stats'!B:B,'Base stats'!BC:BC)^0.25
  / (_xlfn.XLOOKUP(B393,'Base stats'!B:B,'Base stats'!BM:BM) * 10)
  * _xlfn.XLOOKUP(
      _xlfn.XLOOKUP(B393,'Base stats'!B:B,'Base stats'!E:E),
      Groups!A:A,
      Groups!V:V
    ) * 150
  + MIN(12, _xlfn.XLOOKUP(B393,'Base stats'!B:B,'Base stats'!W:W))^(1/IF(_xlfn.XLOOKUP(_xlfn.XLOOKUP(B393,'Base stats'!B:B,'Base stats'!E:E),Groups!A:A,Groups!U:U)=1,100,10)) + 0.5 + _xlfn.XLOOKUP(B393,'Base stats'!B:B,'Base stats'!BW:BW),
0.05))</f>
        <v>No</v>
      </c>
      <c r="O393" s="3">
        <f>IF(Animals!AD393="No","No",
MAX(MROUND((MIN(10,_xlfn.XLOOKUP(B393,'Base stats'!B:B,'Base stats'!V:V)*IF(_xlfn.XLOOKUP(_xlfn.XLOOKUP(B393,'Base stats'!B:B,'Base stats'!E:E),Groups!A:A,Groups!O:O)=0,1,0.33))^0.4*_xlfn.XLOOKUP(B393,'Base stats'!B:B,'Base stats'!BJ:BJ)^0.73)^0.6 *_xlfn.XLOOKUP(B393,'Base stats'!B:B,'Base stats'!BX:BX),0.1),0.05)
)</f>
        <v>26.400000000000002</v>
      </c>
      <c r="P393" s="11">
        <f>IF(O393="No","No",
MROUND(_xlfn.XLOOKUP(B393,'Base stats'!B:B,'Base stats'!BJ:BJ) * 0.01 * 2 + 0.05, 0.05)
)</f>
        <v>10</v>
      </c>
      <c r="Q393" s="5">
        <f>IF(O393="No","No",
MROUND(_xlfn.XLOOKUP(B393,'Base stats'!B:B,'Base stats'!BV:BV)/10000+0.01,0.01)
)</f>
        <v>0.14000000000000001</v>
      </c>
      <c r="R393" s="4">
        <f>IF(O393="No","No",
MROUND(_xlfn.XLOOKUP(B393,'Base stats'!B:B,'Base stats'!BB:BB)^0.25
/((_xlfn.XLOOKUP(B393,'Base stats'!B:B,'Base stats'!BN:BN))*10)*_xlfn.XLOOKUP(_xlfn.XLOOKUP(B393,'Base stats'!B:B,'Base stats'!E:E),Groups!A:A,Groups!Z:Z)*150 + 0.5 + _xlfn.XLOOKUP(B393,'Base stats'!B:B,'Base stats'!BW:BW),
0.05))</f>
        <v>2.6</v>
      </c>
      <c r="S393" s="3" t="str">
        <f>IF(Animals!AI393="No","No",
IF(_xlfn.XLOOKUP(B393,'Base stats'!B:B,'Base stats'!U:U)="No",
MAX(MROUND(_xlfn.XLOOKUP(B393,'Base stats'!B:B,'Base stats'!BT:BT) * _xlfn.XLOOKUP(B393,'Base stats'!B:B,'Base stats'!BP:BP)^0.9 / 21 * _xlfn.XLOOKUP(B393,'Base stats'!B:B,'Base stats'!BX:BX),0.1),0.05),
MAX(MROUND(((MIN(12,_xlfn.XLOOKUP(B393,'Base stats'!B:B,'Base stats'!U:U)))^0.4*_xlfn.XLOOKUP(B393,'Base stats'!B:B,'Base stats'!BH:BH)^0.73)^0.6 * _xlfn.XLOOKUP(B393,'Base stats'!B:B,'Base stats'!BX:BX),0.1),0.05)
))</f>
        <v>No</v>
      </c>
      <c r="T393" s="11" t="str">
        <f>IF(S393="No","No",
MROUND(_xlfn.XLOOKUP(B393,'Base stats'!B:B,'Base stats'!BH:BH) * 0.01 * 2 + 0.05, 0.05)
)</f>
        <v>No</v>
      </c>
      <c r="U393" s="5" t="str">
        <f>IF(S393="No","No",IF(_xlfn.XLOOKUP(B393,'Base stats'!B:B,'Base stats'!U:U)="No","No",
MROUND(_xlfn.XLOOKUP(B393,'Base stats'!B:B,'Base stats'!BT:BT)/10000+0.01,0.01)
))</f>
        <v>No</v>
      </c>
      <c r="V393" s="4" t="str">
        <f>IF(S393="No","No",
MROUND(_xlfn.XLOOKUP(B393,'Base stats'!B:B,'Base stats'!BF:BF)^0.25
/((_xlfn.XLOOKUP(B393,'Base stats'!B:B,'Base stats'!BO:BO))*10)*_xlfn.XLOOKUP(_xlfn.XLOOKUP(B393,'Base stats'!B:B,'Base stats'!E:E),Groups!A:A,Groups!AE:AE)*150 + 0.5 + _xlfn.XLOOKUP(B393,'Base stats'!B:B,'Base stats'!BW:BW),
0.05))</f>
        <v>No</v>
      </c>
      <c r="W393" s="8">
        <f>MROUND(_xlfn.XLOOKUP(_xlfn.XLOOKUP(B393,'Base stats'!B:B,'Base stats'!E:E),Groups!A:A,Groups!BG:BG)*_xlfn.XLOOKUP(B393,'Base stats'!B:B,'Base stats'!C:C)^-0.165,0.05)</f>
        <v>0.15000000000000002</v>
      </c>
      <c r="X393" s="1">
        <f>MROUND(_xlfn.XLOOKUP(_xlfn.XLOOKUP(B393,'Base stats'!B:B,'Base stats'!E:E),Groups!A:A,Groups!BH:BH)*_xlfn.XLOOKUP(B393,'Base stats'!B:B,'Base stats'!C:C)^0.165,0.05)</f>
        <v>0</v>
      </c>
      <c r="Y393" s="8">
        <f>MROUND(_xlfn.XLOOKUP(_xlfn.XLOOKUP(B393,'Base stats'!B:B,'Base stats'!E:E),Groups!A:A,Groups!BI:BI)*_xlfn.XLOOKUP(B393,'Base stats'!B:B,'Base stats'!C:C)^0.165,0.05)</f>
        <v>0</v>
      </c>
      <c r="Z393" s="18">
        <f>MROUND(_xlfn.XLOOKUP(B393,'Base stats'!B:B,'Base stats'!AQ:AQ)*_xlfn.XLOOKUP(_xlfn.XLOOKUP(B393,'Base stats'!B:B,'Base stats'!E:E),Groups!A:A,Groups!H:H)/1000,IF((_xlfn.XLOOKUP(B393,'Base stats'!B:B,'Base stats'!AQ:AQ)*_xlfn.XLOOKUP(_xlfn.XLOOKUP(B393,'Base stats'!B:B,'Base stats'!E:E),Groups!A:A,Groups!H:H)/1000)&gt;1,0.05,0.01))</f>
        <v>0.18</v>
      </c>
      <c r="AA393" s="18">
        <f>MROUND((1/2)*(_xlfn.XLOOKUP(_xlfn.XLOOKUP(B393,'Base stats'!B:B,'Base stats'!E:E),Groups!A:A,Groups!H:H)*_xlfn.XLOOKUP(_xlfn.XLOOKUP(B393,'Base stats'!B:B,'Base stats'!E:E),Groups!A:A,Groups!I:I))*_xlfn.XLOOKUP(B393,'Base stats'!B:B,'Base stats'!AQ:AQ)*0.01,0.05)</f>
        <v>0.75</v>
      </c>
      <c r="AB393" s="18">
        <f>MROUND(250*(Animals!AO393+Animals!AP393),25)</f>
        <v>2125</v>
      </c>
      <c r="AC393" s="18" t="str">
        <f>_xlfn.XLOOKUP(_xlfn.XLOOKUP(B393,'Base stats'!B:B,'Base stats'!E:E),Groups!A:A,Groups!BJ:BJ)</f>
        <v>Quadruped</v>
      </c>
    </row>
    <row r="394" spans="1:29" ht="16.5" thickTop="1" thickBot="1" x14ac:dyDescent="0.3">
      <c r="A394" s="16" t="str">
        <f>Animals!A394</f>
        <v>ShortfacedBear</v>
      </c>
      <c r="B394" s="6" t="str">
        <f>Animals!B394</f>
        <v>Arctodus simus</v>
      </c>
      <c r="C394" s="1" t="str">
        <f>Animals!C394</f>
        <v>&lt;li&gt;ShortfacedBear&lt;/li&gt;</v>
      </c>
      <c r="D394" s="47">
        <f>MIN(MIN(6,_xlfn.XLOOKUP(A394,Animals!A:A,Animals!AO:AO))*20,MAX(MROUND(_xlfn.XLOOKUP(B394,'Base stats'!B:B,'Base stats'!BS:BS) * (_xlfn.XLOOKUP(B394,'Base stats'!B:B,'Base stats'!AO:AO)*5%)^0.9 / 21,0.1),0.05))</f>
        <v>14.8</v>
      </c>
      <c r="E394" s="11">
        <f>MROUND(_xlfn.XLOOKUP(B394,'Base stats'!B:B,'Base stats'!BG:BG) * 0.01 * 2 + 0.01, 0.05)</f>
        <v>14.200000000000001</v>
      </c>
      <c r="F394" s="7">
        <f>MROUND(_xlfn.XLOOKUP(B394,'Base stats'!B:B,'Base stats'!BD:BD)^0.25 / (_xlfn.XLOOKUP(B394,'Base stats'!B:B,'Base stats'!BK:BK) * 10) * 150 + 0.5 + _xlfn.XLOOKUP(B394,'Base stats'!B:B,'Base stats'!BW:BW), 0.05)</f>
        <v>2.6500000000000004</v>
      </c>
      <c r="G394" s="3" t="str">
        <f>IF(Animals!S394="No","No",
IF(_xlfn.XLOOKUP(B394,'Base stats'!B:B,'Base stats'!U:U)="No",
MAX(MROUND(_xlfn.XLOOKUP(B394,'Base stats'!B:B,'Base stats'!BT:BT) * _xlfn.XLOOKUP(B394,'Base stats'!B:B,'Base stats'!BP:BP)^0.9 / 21 * _xlfn.XLOOKUP(B394,'Base stats'!B:B,'Base stats'!BX:BX),0.1),0.05),
MAX(MROUND(((MIN(10,_xlfn.XLOOKUP(B394,'Base stats'!B:B,'Base stats'!U:U)))^0.4*_xlfn.XLOOKUP(B394,'Base stats'!B:B,'Base stats'!BH:BH)^0.73)^0.6 * _xlfn.XLOOKUP(B394,'Base stats'!B:B,'Base stats'!BX:BX),0.1),0.05)
))</f>
        <v>No</v>
      </c>
      <c r="H394" s="11" t="str">
        <f>IF(G394="No","No",
MROUND(_xlfn.XLOOKUP(B394,'Base stats'!B:B,'Base stats'!BH:BH) * 0.01 * 2 + 0.05, 0.05)
)</f>
        <v>No</v>
      </c>
      <c r="I394" s="11" t="str">
        <f>IF(G394="No","No",IF(_xlfn.XLOOKUP(B394,'Base stats'!B:B,'Base stats'!U:U)="No","No",
MROUND(_xlfn.XLOOKUP(B394,'Base stats'!B:B,'Base stats'!BT:BT)/10000+0.01,0.01)
))</f>
        <v>No</v>
      </c>
      <c r="J394" s="4" t="str">
        <f>IF(G394="No","No",
MROUND(_xlfn.XLOOKUP(B394,'Base stats'!B:B,'Base stats'!BE:BE)^0.25
/((_xlfn.XLOOKUP(B394,'Base stats'!B:B,'Base stats'!BL:BL))*10)*_xlfn.XLOOKUP(_xlfn.XLOOKUP(B394,'Base stats'!B:B,'Base stats'!E:E),Groups!A:A,Groups!Q:Q)*150 + 0.5 + _xlfn.XLOOKUP(B394,'Base stats'!B:B,'Base stats'!BW:BW),
0.05))</f>
        <v>No</v>
      </c>
      <c r="K394" s="3" t="str">
        <f>IF(Animals!X394="No","No",
IF(_xlfn.XLOOKUP(_xlfn.XLOOKUP(B394,'Base stats'!B:B,'Base stats'!E:E),Groups!A:A,Groups!BD:BD)=1,
MAX(MROUND(_xlfn.XLOOKUP(B394,'Base stats'!B:B,'Base stats'!BU:BU) * _xlfn.XLOOKUP(B394,'Base stats'!B:B,'Base stats'!BQ:BQ)^0.9 / 21 *_xlfn.XLOOKUP(B394,'Base stats'!B:B,'Base stats'!BX:BX),0.1),0.05),
MAX(MROUND(((MIN(10,_xlfn.XLOOKUP(B394,'Base stats'!B:B,'Base stats'!W:W)))^0.4*_xlfn.XLOOKUP(B394,'Base stats'!B:B,'Base stats'!BI:BI)^0.73)^0.6 *_xlfn.XLOOKUP(B394,'Base stats'!B:B,'Base stats'!BX:BX),0.1),0.05)
))</f>
        <v>No</v>
      </c>
      <c r="L394" s="11" t="str">
        <f>IF(K394="No","No",
MROUND(_xlfn.XLOOKUP(B394,'Base stats'!B:B,'Base stats'!BI:BI) * 0.01 *2 + 0.05, 0.05)
)</f>
        <v>No</v>
      </c>
      <c r="M394" s="5" t="str">
        <f>IF(K394="No","No",IF(_xlfn.XLOOKUP(_xlfn.XLOOKUP(B394,'Base stats'!B:B,'Base stats'!E:E),Groups!A:A,Groups!BD:BD)=1,"No",
MROUND(_xlfn.XLOOKUP(B394,'Base stats'!B:B,'Base stats'!BU:BU)/10000+0.01,0.01)
))</f>
        <v>No</v>
      </c>
      <c r="N394" s="4" t="str">
        <f>IF(K394="No","No",
MROUND(
  _xlfn.XLOOKUP(B394,'Base stats'!B:B,'Base stats'!BC:BC)^0.25
  / (_xlfn.XLOOKUP(B394,'Base stats'!B:B,'Base stats'!BM:BM) * 10)
  * _xlfn.XLOOKUP(
      _xlfn.XLOOKUP(B394,'Base stats'!B:B,'Base stats'!E:E),
      Groups!A:A,
      Groups!V:V
    ) * 150
  + MIN(12, _xlfn.XLOOKUP(B394,'Base stats'!B:B,'Base stats'!W:W))^(1/IF(_xlfn.XLOOKUP(_xlfn.XLOOKUP(B394,'Base stats'!B:B,'Base stats'!E:E),Groups!A:A,Groups!U:U)=1,100,10)) + 0.5 + _xlfn.XLOOKUP(B394,'Base stats'!B:B,'Base stats'!BW:BW),
0.05))</f>
        <v>No</v>
      </c>
      <c r="O394" s="3">
        <f>IF(Animals!AD394="No","No",
MAX(MROUND((MIN(10,_xlfn.XLOOKUP(B394,'Base stats'!B:B,'Base stats'!V:V)*IF(_xlfn.XLOOKUP(_xlfn.XLOOKUP(B394,'Base stats'!B:B,'Base stats'!E:E),Groups!A:A,Groups!O:O)=0,1,0.33))^0.4*_xlfn.XLOOKUP(B394,'Base stats'!B:B,'Base stats'!BJ:BJ)^0.73)^0.6 *_xlfn.XLOOKUP(B394,'Base stats'!B:B,'Base stats'!BX:BX),0.1),0.05)
)</f>
        <v>29</v>
      </c>
      <c r="P394" s="11">
        <f>IF(O394="No","No",
MROUND(_xlfn.XLOOKUP(B394,'Base stats'!B:B,'Base stats'!BJ:BJ) * 0.01 * 2 + 0.05, 0.05)
)</f>
        <v>13.9</v>
      </c>
      <c r="Q394" s="5">
        <f>IF(O394="No","No",
MROUND(_xlfn.XLOOKUP(B394,'Base stats'!B:B,'Base stats'!BV:BV)/10000+0.01,0.01)
)</f>
        <v>0.35000000000000003</v>
      </c>
      <c r="R394" s="4">
        <f>IF(O394="No","No",
MROUND(_xlfn.XLOOKUP(B394,'Base stats'!B:B,'Base stats'!BB:BB)^0.25
/((_xlfn.XLOOKUP(B394,'Base stats'!B:B,'Base stats'!BN:BN))*10)*_xlfn.XLOOKUP(_xlfn.XLOOKUP(B394,'Base stats'!B:B,'Base stats'!E:E),Groups!A:A,Groups!Z:Z)*150 + 0.5 + _xlfn.XLOOKUP(B394,'Base stats'!B:B,'Base stats'!BW:BW),
0.05))</f>
        <v>2.35</v>
      </c>
      <c r="S394" s="3">
        <f>IF(Animals!AI394="No","No",
IF(_xlfn.XLOOKUP(B394,'Base stats'!B:B,'Base stats'!U:U)="No",
MAX(MROUND(_xlfn.XLOOKUP(B394,'Base stats'!B:B,'Base stats'!BT:BT) * _xlfn.XLOOKUP(B394,'Base stats'!B:B,'Base stats'!BP:BP)^0.9 / 21 * _xlfn.XLOOKUP(B394,'Base stats'!B:B,'Base stats'!BX:BX),0.1),0.05),
MAX(MROUND(((MIN(12,_xlfn.XLOOKUP(B394,'Base stats'!B:B,'Base stats'!U:U)))^0.4*_xlfn.XLOOKUP(B394,'Base stats'!B:B,'Base stats'!BH:BH)^0.73)^0.6 * _xlfn.XLOOKUP(B394,'Base stats'!B:B,'Base stats'!BX:BX),0.1),0.05)
))</f>
        <v>30.5</v>
      </c>
      <c r="T394" s="11">
        <f>IF(S394="No","No",
MROUND(_xlfn.XLOOKUP(B394,'Base stats'!B:B,'Base stats'!BH:BH) * 0.01 * 2 + 0.05, 0.05)
)</f>
        <v>16.100000000000001</v>
      </c>
      <c r="U394" s="5">
        <f>IF(S394="No","No",IF(_xlfn.XLOOKUP(B394,'Base stats'!B:B,'Base stats'!U:U)="No","No",
MROUND(_xlfn.XLOOKUP(B394,'Base stats'!B:B,'Base stats'!BT:BT)/10000+0.01,0.01)
))</f>
        <v>0.4</v>
      </c>
      <c r="V394" s="4">
        <f>IF(S394="No","No",
MROUND(_xlfn.XLOOKUP(B394,'Base stats'!B:B,'Base stats'!BF:BF)^0.25
/((_xlfn.XLOOKUP(B394,'Base stats'!B:B,'Base stats'!BO:BO))*10)*_xlfn.XLOOKUP(_xlfn.XLOOKUP(B394,'Base stats'!B:B,'Base stats'!E:E),Groups!A:A,Groups!AE:AE)*150 + 0.5 + _xlfn.XLOOKUP(B394,'Base stats'!B:B,'Base stats'!BW:BW),
0.05))</f>
        <v>1.75</v>
      </c>
      <c r="W394" s="8">
        <f>MROUND(_xlfn.XLOOKUP(_xlfn.XLOOKUP(B394,'Base stats'!B:B,'Base stats'!E:E),Groups!A:A,Groups!BG:BG)*_xlfn.XLOOKUP(B394,'Base stats'!B:B,'Base stats'!C:C)^-0.165,0.05)</f>
        <v>0.25</v>
      </c>
      <c r="X394" s="1">
        <f>MROUND(_xlfn.XLOOKUP(_xlfn.XLOOKUP(B394,'Base stats'!B:B,'Base stats'!E:E),Groups!A:A,Groups!BH:BH)*_xlfn.XLOOKUP(B394,'Base stats'!B:B,'Base stats'!C:C)^0.165,0.05)</f>
        <v>0.45</v>
      </c>
      <c r="Y394" s="8">
        <f>MROUND(_xlfn.XLOOKUP(_xlfn.XLOOKUP(B394,'Base stats'!B:B,'Base stats'!E:E),Groups!A:A,Groups!BI:BI)*_xlfn.XLOOKUP(B394,'Base stats'!B:B,'Base stats'!C:C)^0.165,0.05)</f>
        <v>0.05</v>
      </c>
      <c r="Z394" s="18">
        <f>MROUND(_xlfn.XLOOKUP(B394,'Base stats'!B:B,'Base stats'!AQ:AQ)*_xlfn.XLOOKUP(_xlfn.XLOOKUP(B394,'Base stats'!B:B,'Base stats'!E:E),Groups!A:A,Groups!H:H)/1000,IF((_xlfn.XLOOKUP(B394,'Base stats'!B:B,'Base stats'!AQ:AQ)*_xlfn.XLOOKUP(_xlfn.XLOOKUP(B394,'Base stats'!B:B,'Base stats'!E:E),Groups!A:A,Groups!H:H)/1000)&gt;1,0.05,0.01))</f>
        <v>0.2</v>
      </c>
      <c r="AA394" s="18">
        <f>MROUND((1/2)*(_xlfn.XLOOKUP(_xlfn.XLOOKUP(B394,'Base stats'!B:B,'Base stats'!E:E),Groups!A:A,Groups!H:H)*_xlfn.XLOOKUP(_xlfn.XLOOKUP(B394,'Base stats'!B:B,'Base stats'!E:E),Groups!A:A,Groups!I:I))*_xlfn.XLOOKUP(B394,'Base stats'!B:B,'Base stats'!AQ:AQ)*0.01,0.05)</f>
        <v>0.85000000000000009</v>
      </c>
      <c r="AB394" s="18">
        <f>MROUND(250*(Animals!AO394+Animals!AP394),25)</f>
        <v>1650</v>
      </c>
      <c r="AC394" s="18" t="str">
        <f>_xlfn.XLOOKUP(_xlfn.XLOOKUP(B394,'Base stats'!B:B,'Base stats'!E:E),Groups!A:A,Groups!BJ:BJ)</f>
        <v>Quadruped</v>
      </c>
    </row>
    <row r="395" spans="1:29" ht="16.5" thickTop="1" thickBot="1" x14ac:dyDescent="0.3">
      <c r="A395" s="16" t="str">
        <f>Animals!A395</f>
        <v>Dinocrocuta</v>
      </c>
      <c r="B395" s="6" t="str">
        <f>Animals!B395</f>
        <v>Dinocrocuta gigantea</v>
      </c>
      <c r="C395" s="1" t="str">
        <f>Animals!C395</f>
        <v>&lt;li&gt;Dinocrocuta&lt;/li&gt;</v>
      </c>
      <c r="D395" s="47">
        <f>MIN(MIN(6,_xlfn.XLOOKUP(A395,Animals!A:A,Animals!AO:AO))*20,MAX(MROUND(_xlfn.XLOOKUP(B395,'Base stats'!B:B,'Base stats'!BS:BS) * (_xlfn.XLOOKUP(B395,'Base stats'!B:B,'Base stats'!AO:AO)*5%)^0.9 / 21,0.1),0.05))</f>
        <v>5.5</v>
      </c>
      <c r="E395" s="11">
        <f>MROUND(_xlfn.XLOOKUP(B395,'Base stats'!B:B,'Base stats'!BG:BG) * 0.01 * 2 + 0.01, 0.05)</f>
        <v>4.8500000000000005</v>
      </c>
      <c r="F395" s="7">
        <f>MROUND(_xlfn.XLOOKUP(B395,'Base stats'!B:B,'Base stats'!BD:BD)^0.25 / (_xlfn.XLOOKUP(B395,'Base stats'!B:B,'Base stats'!BK:BK) * 10) * 150 + 0.5 + _xlfn.XLOOKUP(B395,'Base stats'!B:B,'Base stats'!BW:BW), 0.05)</f>
        <v>2.15</v>
      </c>
      <c r="G395" s="3" t="str">
        <f>IF(Animals!S395="No","No",
IF(_xlfn.XLOOKUP(B395,'Base stats'!B:B,'Base stats'!U:U)="No",
MAX(MROUND(_xlfn.XLOOKUP(B395,'Base stats'!B:B,'Base stats'!BT:BT) * _xlfn.XLOOKUP(B395,'Base stats'!B:B,'Base stats'!BP:BP)^0.9 / 21 * _xlfn.XLOOKUP(B395,'Base stats'!B:B,'Base stats'!BX:BX),0.1),0.05),
MAX(MROUND(((MIN(10,_xlfn.XLOOKUP(B395,'Base stats'!B:B,'Base stats'!U:U)))^0.4*_xlfn.XLOOKUP(B395,'Base stats'!B:B,'Base stats'!BH:BH)^0.73)^0.6 * _xlfn.XLOOKUP(B395,'Base stats'!B:B,'Base stats'!BX:BX),0.1),0.05)
))</f>
        <v>No</v>
      </c>
      <c r="H395" s="11" t="str">
        <f>IF(G395="No","No",
MROUND(_xlfn.XLOOKUP(B395,'Base stats'!B:B,'Base stats'!BH:BH) * 0.01 * 2 + 0.05, 0.05)
)</f>
        <v>No</v>
      </c>
      <c r="I395" s="11" t="str">
        <f>IF(G395="No","No",IF(_xlfn.XLOOKUP(B395,'Base stats'!B:B,'Base stats'!U:U)="No","No",
MROUND(_xlfn.XLOOKUP(B395,'Base stats'!B:B,'Base stats'!BT:BT)/10000+0.01,0.01)
))</f>
        <v>No</v>
      </c>
      <c r="J395" s="4" t="str">
        <f>IF(G395="No","No",
MROUND(_xlfn.XLOOKUP(B395,'Base stats'!B:B,'Base stats'!BE:BE)^0.25
/((_xlfn.XLOOKUP(B395,'Base stats'!B:B,'Base stats'!BL:BL))*10)*_xlfn.XLOOKUP(_xlfn.XLOOKUP(B395,'Base stats'!B:B,'Base stats'!E:E),Groups!A:A,Groups!Q:Q)*150 + 0.5 + _xlfn.XLOOKUP(B395,'Base stats'!B:B,'Base stats'!BW:BW),
0.05))</f>
        <v>No</v>
      </c>
      <c r="K395" s="3" t="str">
        <f>IF(Animals!X395="No","No",
IF(_xlfn.XLOOKUP(_xlfn.XLOOKUP(B395,'Base stats'!B:B,'Base stats'!E:E),Groups!A:A,Groups!BD:BD)=1,
MAX(MROUND(_xlfn.XLOOKUP(B395,'Base stats'!B:B,'Base stats'!BU:BU) * _xlfn.XLOOKUP(B395,'Base stats'!B:B,'Base stats'!BQ:BQ)^0.9 / 21 *_xlfn.XLOOKUP(B395,'Base stats'!B:B,'Base stats'!BX:BX),0.1),0.05),
MAX(MROUND(((MIN(10,_xlfn.XLOOKUP(B395,'Base stats'!B:B,'Base stats'!W:W)))^0.4*_xlfn.XLOOKUP(B395,'Base stats'!B:B,'Base stats'!BI:BI)^0.73)^0.6 *_xlfn.XLOOKUP(B395,'Base stats'!B:B,'Base stats'!BX:BX),0.1),0.05)
))</f>
        <v>No</v>
      </c>
      <c r="L395" s="11" t="str">
        <f>IF(K395="No","No",
MROUND(_xlfn.XLOOKUP(B395,'Base stats'!B:B,'Base stats'!BI:BI) * 0.01 *2 + 0.05, 0.05)
)</f>
        <v>No</v>
      </c>
      <c r="M395" s="5" t="str">
        <f>IF(K395="No","No",IF(_xlfn.XLOOKUP(_xlfn.XLOOKUP(B395,'Base stats'!B:B,'Base stats'!E:E),Groups!A:A,Groups!BD:BD)=1,"No",
MROUND(_xlfn.XLOOKUP(B395,'Base stats'!B:B,'Base stats'!BU:BU)/10000+0.01,0.01)
))</f>
        <v>No</v>
      </c>
      <c r="N395" s="4" t="str">
        <f>IF(K395="No","No",
MROUND(
  _xlfn.XLOOKUP(B395,'Base stats'!B:B,'Base stats'!BC:BC)^0.25
  / (_xlfn.XLOOKUP(B395,'Base stats'!B:B,'Base stats'!BM:BM) * 10)
  * _xlfn.XLOOKUP(
      _xlfn.XLOOKUP(B395,'Base stats'!B:B,'Base stats'!E:E),
      Groups!A:A,
      Groups!V:V
    ) * 150
  + MIN(12, _xlfn.XLOOKUP(B395,'Base stats'!B:B,'Base stats'!W:W))^(1/IF(_xlfn.XLOOKUP(_xlfn.XLOOKUP(B395,'Base stats'!B:B,'Base stats'!E:E),Groups!A:A,Groups!U:U)=1,100,10)) + 0.5 + _xlfn.XLOOKUP(B395,'Base stats'!B:B,'Base stats'!BW:BW),
0.05))</f>
        <v>No</v>
      </c>
      <c r="O395" s="3">
        <f>IF(Animals!AD395="No","No",
MAX(MROUND((MIN(10,_xlfn.XLOOKUP(B395,'Base stats'!B:B,'Base stats'!V:V)*IF(_xlfn.XLOOKUP(_xlfn.XLOOKUP(B395,'Base stats'!B:B,'Base stats'!E:E),Groups!A:A,Groups!O:O)=0,1,0.33))^0.4*_xlfn.XLOOKUP(B395,'Base stats'!B:B,'Base stats'!BJ:BJ)^0.73)^0.6 *_xlfn.XLOOKUP(B395,'Base stats'!B:B,'Base stats'!BX:BX),0.1),0.05)
)</f>
        <v>29.400000000000002</v>
      </c>
      <c r="P395" s="11">
        <f>IF(O395="No","No",
MROUND(_xlfn.XLOOKUP(B395,'Base stats'!B:B,'Base stats'!BJ:BJ) * 0.01 * 2 + 0.05, 0.05)
)</f>
        <v>17.95</v>
      </c>
      <c r="Q395" s="5">
        <f>IF(O395="No","No",
MROUND(_xlfn.XLOOKUP(B395,'Base stats'!B:B,'Base stats'!BV:BV)/10000+0.01,0.01)
)</f>
        <v>0.71</v>
      </c>
      <c r="R395" s="4">
        <f>IF(O395="No","No",
MROUND(_xlfn.XLOOKUP(B395,'Base stats'!B:B,'Base stats'!BB:BB)^0.25
/((_xlfn.XLOOKUP(B395,'Base stats'!B:B,'Base stats'!BN:BN))*10)*_xlfn.XLOOKUP(_xlfn.XLOOKUP(B395,'Base stats'!B:B,'Base stats'!E:E),Groups!A:A,Groups!Z:Z)*150 + 0.5 + _xlfn.XLOOKUP(B395,'Base stats'!B:B,'Base stats'!BW:BW),
0.05))</f>
        <v>2.35</v>
      </c>
      <c r="S395" s="3" t="str">
        <f>IF(Animals!AI395="No","No",
IF(_xlfn.XLOOKUP(B395,'Base stats'!B:B,'Base stats'!U:U)="No",
MAX(MROUND(_xlfn.XLOOKUP(B395,'Base stats'!B:B,'Base stats'!BT:BT) * _xlfn.XLOOKUP(B395,'Base stats'!B:B,'Base stats'!BP:BP)^0.9 / 21 * _xlfn.XLOOKUP(B395,'Base stats'!B:B,'Base stats'!BX:BX),0.1),0.05),
MAX(MROUND(((MIN(12,_xlfn.XLOOKUP(B395,'Base stats'!B:B,'Base stats'!U:U)))^0.4*_xlfn.XLOOKUP(B395,'Base stats'!B:B,'Base stats'!BH:BH)^0.73)^0.6 * _xlfn.XLOOKUP(B395,'Base stats'!B:B,'Base stats'!BX:BX),0.1),0.05)
))</f>
        <v>No</v>
      </c>
      <c r="T395" s="11" t="str">
        <f>IF(S395="No","No",
MROUND(_xlfn.XLOOKUP(B395,'Base stats'!B:B,'Base stats'!BH:BH) * 0.01 * 2 + 0.05, 0.05)
)</f>
        <v>No</v>
      </c>
      <c r="U395" s="5" t="str">
        <f>IF(S395="No","No",IF(_xlfn.XLOOKUP(B395,'Base stats'!B:B,'Base stats'!U:U)="No","No",
MROUND(_xlfn.XLOOKUP(B395,'Base stats'!B:B,'Base stats'!BT:BT)/10000+0.01,0.01)
))</f>
        <v>No</v>
      </c>
      <c r="V395" s="4" t="str">
        <f>IF(S395="No","No",
MROUND(_xlfn.XLOOKUP(B395,'Base stats'!B:B,'Base stats'!BF:BF)^0.25
/((_xlfn.XLOOKUP(B395,'Base stats'!B:B,'Base stats'!BO:BO))*10)*_xlfn.XLOOKUP(_xlfn.XLOOKUP(B395,'Base stats'!B:B,'Base stats'!E:E),Groups!A:A,Groups!AE:AE)*150 + 0.5 + _xlfn.XLOOKUP(B395,'Base stats'!B:B,'Base stats'!BW:BW),
0.05))</f>
        <v>No</v>
      </c>
      <c r="W395" s="8">
        <f>MROUND(_xlfn.XLOOKUP(_xlfn.XLOOKUP(B395,'Base stats'!B:B,'Base stats'!E:E),Groups!A:A,Groups!BG:BG)*_xlfn.XLOOKUP(B395,'Base stats'!B:B,'Base stats'!C:C)^-0.165,0.05)</f>
        <v>0.4</v>
      </c>
      <c r="X395" s="1">
        <f>MROUND(_xlfn.XLOOKUP(_xlfn.XLOOKUP(B395,'Base stats'!B:B,'Base stats'!E:E),Groups!A:A,Groups!BH:BH)*_xlfn.XLOOKUP(B395,'Base stats'!B:B,'Base stats'!C:C)^0.165,0.05)</f>
        <v>0.5</v>
      </c>
      <c r="Y395" s="8">
        <f>MROUND(_xlfn.XLOOKUP(_xlfn.XLOOKUP(B395,'Base stats'!B:B,'Base stats'!E:E),Groups!A:A,Groups!BI:BI)*_xlfn.XLOOKUP(B395,'Base stats'!B:B,'Base stats'!C:C)^0.165,0.05)</f>
        <v>0.05</v>
      </c>
      <c r="Z395" s="18">
        <f>MROUND(_xlfn.XLOOKUP(B395,'Base stats'!B:B,'Base stats'!AQ:AQ)*_xlfn.XLOOKUP(_xlfn.XLOOKUP(B395,'Base stats'!B:B,'Base stats'!E:E),Groups!A:A,Groups!H:H)/1000,IF((_xlfn.XLOOKUP(B395,'Base stats'!B:B,'Base stats'!AQ:AQ)*_xlfn.XLOOKUP(_xlfn.XLOOKUP(B395,'Base stats'!B:B,'Base stats'!E:E),Groups!A:A,Groups!H:H)/1000)&gt;1,0.05,0.01))</f>
        <v>0.13</v>
      </c>
      <c r="AA395" s="18">
        <f>MROUND((1/2)*(_xlfn.XLOOKUP(_xlfn.XLOOKUP(B395,'Base stats'!B:B,'Base stats'!E:E),Groups!A:A,Groups!H:H)*_xlfn.XLOOKUP(_xlfn.XLOOKUP(B395,'Base stats'!B:B,'Base stats'!E:E),Groups!A:A,Groups!I:I))*_xlfn.XLOOKUP(B395,'Base stats'!B:B,'Base stats'!AQ:AQ)*0.01,0.05)</f>
        <v>0.55000000000000004</v>
      </c>
      <c r="AB395" s="18">
        <f>MROUND(250*(Animals!AO395+Animals!AP395),25)</f>
        <v>1000</v>
      </c>
      <c r="AC395" s="18" t="str">
        <f>_xlfn.XLOOKUP(_xlfn.XLOOKUP(B395,'Base stats'!B:B,'Base stats'!E:E),Groups!A:A,Groups!BJ:BJ)</f>
        <v>Quadruped</v>
      </c>
    </row>
    <row r="396" spans="1:29" ht="16.5" thickTop="1" thickBot="1" x14ac:dyDescent="0.3">
      <c r="A396" s="16" t="str">
        <f>Animals!A396</f>
        <v>Sivatherium</v>
      </c>
      <c r="B396" s="6" t="str">
        <f>Animals!B396</f>
        <v>Sivatherium giganteum</v>
      </c>
      <c r="C396" s="1" t="str">
        <f>Animals!C396</f>
        <v>&lt;li&gt;Sivatherium&lt;/li&gt;</v>
      </c>
      <c r="D396" s="47">
        <f>MIN(MIN(6,_xlfn.XLOOKUP(A396,Animals!A:A,Animals!AO:AO))*20,MAX(MROUND(_xlfn.XLOOKUP(B396,'Base stats'!B:B,'Base stats'!BS:BS) * (_xlfn.XLOOKUP(B396,'Base stats'!B:B,'Base stats'!AO:AO)*5%)^0.9 / 21,0.1),0.05))</f>
        <v>25.700000000000003</v>
      </c>
      <c r="E396" s="11">
        <f>MROUND(_xlfn.XLOOKUP(B396,'Base stats'!B:B,'Base stats'!BG:BG) * 0.01 * 2 + 0.01, 0.05)</f>
        <v>25.6</v>
      </c>
      <c r="F396" s="7">
        <f>MROUND(_xlfn.XLOOKUP(B396,'Base stats'!B:B,'Base stats'!BD:BD)^0.25 / (_xlfn.XLOOKUP(B396,'Base stats'!B:B,'Base stats'!BK:BK) * 10) * 150 + 0.5 + _xlfn.XLOOKUP(B396,'Base stats'!B:B,'Base stats'!BW:BW), 0.05)</f>
        <v>2</v>
      </c>
      <c r="G396" s="3">
        <f>IF(Animals!S396="No","No",
IF(_xlfn.XLOOKUP(B396,'Base stats'!B:B,'Base stats'!U:U)="No",
MAX(MROUND(_xlfn.XLOOKUP(B396,'Base stats'!B:B,'Base stats'!BT:BT) * _xlfn.XLOOKUP(B396,'Base stats'!B:B,'Base stats'!BP:BP)^0.9 / 21 * _xlfn.XLOOKUP(B396,'Base stats'!B:B,'Base stats'!BX:BX),0.1),0.05),
MAX(MROUND(((MIN(10,_xlfn.XLOOKUP(B396,'Base stats'!B:B,'Base stats'!U:U)))^0.4*_xlfn.XLOOKUP(B396,'Base stats'!B:B,'Base stats'!BH:BH)^0.73)^0.6 * _xlfn.XLOOKUP(B396,'Base stats'!B:B,'Base stats'!BX:BX),0.1),0.05)
))</f>
        <v>39.1</v>
      </c>
      <c r="H396" s="11">
        <f>IF(G396="No","No",
MROUND(_xlfn.XLOOKUP(B396,'Base stats'!B:B,'Base stats'!BH:BH) * 0.01 * 2 + 0.05, 0.05)
)</f>
        <v>28.05</v>
      </c>
      <c r="I396" s="11" t="str">
        <f>IF(G396="No","No",IF(_xlfn.XLOOKUP(B396,'Base stats'!B:B,'Base stats'!U:U)="No","No",
MROUND(_xlfn.XLOOKUP(B396,'Base stats'!B:B,'Base stats'!BT:BT)/10000+0.01,0.01)
))</f>
        <v>No</v>
      </c>
      <c r="J396" s="4">
        <f>IF(G396="No","No",
MROUND(_xlfn.XLOOKUP(B396,'Base stats'!B:B,'Base stats'!BE:BE)^0.25
/((_xlfn.XLOOKUP(B396,'Base stats'!B:B,'Base stats'!BL:BL))*10)*_xlfn.XLOOKUP(_xlfn.XLOOKUP(B396,'Base stats'!B:B,'Base stats'!E:E),Groups!A:A,Groups!Q:Q)*150 + 0.5 + _xlfn.XLOOKUP(B396,'Base stats'!B:B,'Base stats'!BW:BW),
0.05))</f>
        <v>3.1</v>
      </c>
      <c r="K396" s="3" t="str">
        <f>IF(Animals!X396="No","No",
IF(_xlfn.XLOOKUP(_xlfn.XLOOKUP(B396,'Base stats'!B:B,'Base stats'!E:E),Groups!A:A,Groups!BD:BD)=1,
MAX(MROUND(_xlfn.XLOOKUP(B396,'Base stats'!B:B,'Base stats'!BU:BU) * _xlfn.XLOOKUP(B396,'Base stats'!B:B,'Base stats'!BQ:BQ)^0.9 / 21 *_xlfn.XLOOKUP(B396,'Base stats'!B:B,'Base stats'!BX:BX),0.1),0.05),
MAX(MROUND(((MIN(10,_xlfn.XLOOKUP(B396,'Base stats'!B:B,'Base stats'!W:W)))^0.4*_xlfn.XLOOKUP(B396,'Base stats'!B:B,'Base stats'!BI:BI)^0.73)^0.6 *_xlfn.XLOOKUP(B396,'Base stats'!B:B,'Base stats'!BX:BX),0.1),0.05)
))</f>
        <v>No</v>
      </c>
      <c r="L396" s="11" t="str">
        <f>IF(K396="No","No",
MROUND(_xlfn.XLOOKUP(B396,'Base stats'!B:B,'Base stats'!BI:BI) * 0.01 *2 + 0.05, 0.05)
)</f>
        <v>No</v>
      </c>
      <c r="M396" s="5" t="str">
        <f>IF(K396="No","No",IF(_xlfn.XLOOKUP(_xlfn.XLOOKUP(B396,'Base stats'!B:B,'Base stats'!E:E),Groups!A:A,Groups!BD:BD)=1,"No",
MROUND(_xlfn.XLOOKUP(B396,'Base stats'!B:B,'Base stats'!BU:BU)/10000+0.01,0.01)
))</f>
        <v>No</v>
      </c>
      <c r="N396" s="4" t="str">
        <f>IF(K396="No","No",
MROUND(
  _xlfn.XLOOKUP(B396,'Base stats'!B:B,'Base stats'!BC:BC)^0.25
  / (_xlfn.XLOOKUP(B396,'Base stats'!B:B,'Base stats'!BM:BM) * 10)
  * _xlfn.XLOOKUP(
      _xlfn.XLOOKUP(B396,'Base stats'!B:B,'Base stats'!E:E),
      Groups!A:A,
      Groups!V:V
    ) * 150
  + MIN(12, _xlfn.XLOOKUP(B396,'Base stats'!B:B,'Base stats'!W:W))^(1/IF(_xlfn.XLOOKUP(_xlfn.XLOOKUP(B396,'Base stats'!B:B,'Base stats'!E:E),Groups!A:A,Groups!U:U)=1,100,10)) + 0.5 + _xlfn.XLOOKUP(B396,'Base stats'!B:B,'Base stats'!BW:BW),
0.05))</f>
        <v>No</v>
      </c>
      <c r="O396" s="3" t="str">
        <f>IF(Animals!AD396="No","No",
MAX(MROUND((MIN(10,_xlfn.XLOOKUP(B396,'Base stats'!B:B,'Base stats'!V:V)*IF(_xlfn.XLOOKUP(_xlfn.XLOOKUP(B396,'Base stats'!B:B,'Base stats'!E:E),Groups!A:A,Groups!O:O)=0,1,0.33))^0.4*_xlfn.XLOOKUP(B396,'Base stats'!B:B,'Base stats'!BJ:BJ)^0.73)^0.6 *_xlfn.XLOOKUP(B396,'Base stats'!B:B,'Base stats'!BX:BX),0.1),0.05)
)</f>
        <v>No</v>
      </c>
      <c r="P396" s="11" t="str">
        <f>IF(O396="No","No",
MROUND(_xlfn.XLOOKUP(B396,'Base stats'!B:B,'Base stats'!BJ:BJ) * 0.01 * 2 + 0.05, 0.05)
)</f>
        <v>No</v>
      </c>
      <c r="Q396" s="5" t="str">
        <f>IF(O396="No","No",
MROUND(_xlfn.XLOOKUP(B396,'Base stats'!B:B,'Base stats'!BV:BV)/10000+0.01,0.01)
)</f>
        <v>No</v>
      </c>
      <c r="R396" s="4" t="str">
        <f>IF(O396="No","No",
MROUND(_xlfn.XLOOKUP(B396,'Base stats'!B:B,'Base stats'!BB:BB)^0.25
/((_xlfn.XLOOKUP(B396,'Base stats'!B:B,'Base stats'!BN:BN))*10)*_xlfn.XLOOKUP(_xlfn.XLOOKUP(B396,'Base stats'!B:B,'Base stats'!E:E),Groups!A:A,Groups!Z:Z)*150 + 0.5 + _xlfn.XLOOKUP(B396,'Base stats'!B:B,'Base stats'!BW:BW),
0.05))</f>
        <v>No</v>
      </c>
      <c r="S396" s="3" t="str">
        <f>IF(Animals!AI396="No","No",
IF(_xlfn.XLOOKUP(B396,'Base stats'!B:B,'Base stats'!U:U)="No",
MAX(MROUND(_xlfn.XLOOKUP(B396,'Base stats'!B:B,'Base stats'!BT:BT) * _xlfn.XLOOKUP(B396,'Base stats'!B:B,'Base stats'!BP:BP)^0.9 / 21 * _xlfn.XLOOKUP(B396,'Base stats'!B:B,'Base stats'!BX:BX),0.1),0.05),
MAX(MROUND(((MIN(12,_xlfn.XLOOKUP(B396,'Base stats'!B:B,'Base stats'!U:U)))^0.4*_xlfn.XLOOKUP(B396,'Base stats'!B:B,'Base stats'!BH:BH)^0.73)^0.6 * _xlfn.XLOOKUP(B396,'Base stats'!B:B,'Base stats'!BX:BX),0.1),0.05)
))</f>
        <v>No</v>
      </c>
      <c r="T396" s="11" t="str">
        <f>IF(S396="No","No",
MROUND(_xlfn.XLOOKUP(B396,'Base stats'!B:B,'Base stats'!BH:BH) * 0.01 * 2 + 0.05, 0.05)
)</f>
        <v>No</v>
      </c>
      <c r="U396" s="5" t="str">
        <f>IF(S396="No","No",IF(_xlfn.XLOOKUP(B396,'Base stats'!B:B,'Base stats'!U:U)="No","No",
MROUND(_xlfn.XLOOKUP(B396,'Base stats'!B:B,'Base stats'!BT:BT)/10000+0.01,0.01)
))</f>
        <v>No</v>
      </c>
      <c r="V396" s="4" t="str">
        <f>IF(S396="No","No",
MROUND(_xlfn.XLOOKUP(B396,'Base stats'!B:B,'Base stats'!BF:BF)^0.25
/((_xlfn.XLOOKUP(B396,'Base stats'!B:B,'Base stats'!BO:BO))*10)*_xlfn.XLOOKUP(_xlfn.XLOOKUP(B396,'Base stats'!B:B,'Base stats'!E:E),Groups!A:A,Groups!AE:AE)*150 + 0.5 + _xlfn.XLOOKUP(B396,'Base stats'!B:B,'Base stats'!BW:BW),
0.05))</f>
        <v>No</v>
      </c>
      <c r="W396" s="8">
        <f>MROUND(_xlfn.XLOOKUP(_xlfn.XLOOKUP(B396,'Base stats'!B:B,'Base stats'!E:E),Groups!A:A,Groups!BG:BG)*_xlfn.XLOOKUP(B396,'Base stats'!B:B,'Base stats'!C:C)^-0.165,0.05)</f>
        <v>0.15000000000000002</v>
      </c>
      <c r="X396" s="1">
        <f>MROUND(_xlfn.XLOOKUP(_xlfn.XLOOKUP(B396,'Base stats'!B:B,'Base stats'!E:E),Groups!A:A,Groups!BH:BH)*_xlfn.XLOOKUP(B396,'Base stats'!B:B,'Base stats'!C:C)^0.165,0.05)</f>
        <v>0</v>
      </c>
      <c r="Y396" s="8">
        <f>MROUND(_xlfn.XLOOKUP(_xlfn.XLOOKUP(B396,'Base stats'!B:B,'Base stats'!E:E),Groups!A:A,Groups!BI:BI)*_xlfn.XLOOKUP(B396,'Base stats'!B:B,'Base stats'!C:C)^0.165,0.05)</f>
        <v>0</v>
      </c>
      <c r="Z396" s="18">
        <f>MROUND(_xlfn.XLOOKUP(B396,'Base stats'!B:B,'Base stats'!AQ:AQ)*_xlfn.XLOOKUP(_xlfn.XLOOKUP(B396,'Base stats'!B:B,'Base stats'!E:E),Groups!A:A,Groups!H:H)/1000,IF((_xlfn.XLOOKUP(B396,'Base stats'!B:B,'Base stats'!AQ:AQ)*_xlfn.XLOOKUP(_xlfn.XLOOKUP(B396,'Base stats'!B:B,'Base stats'!E:E),Groups!A:A,Groups!H:H)/1000)&gt;1,0.05,0.01))</f>
        <v>0.14000000000000001</v>
      </c>
      <c r="AA396" s="18">
        <f>MROUND((1/2)*(_xlfn.XLOOKUP(_xlfn.XLOOKUP(B396,'Base stats'!B:B,'Base stats'!E:E),Groups!A:A,Groups!H:H)*_xlfn.XLOOKUP(_xlfn.XLOOKUP(B396,'Base stats'!B:B,'Base stats'!E:E),Groups!A:A,Groups!I:I))*_xlfn.XLOOKUP(B396,'Base stats'!B:B,'Base stats'!AQ:AQ)*0.01,0.05)</f>
        <v>0.60000000000000009</v>
      </c>
      <c r="AB396" s="18">
        <f>MROUND(250*(Animals!AO396+Animals!AP396),25)</f>
        <v>1750</v>
      </c>
      <c r="AC396" s="18" t="str">
        <f>_xlfn.XLOOKUP(_xlfn.XLOOKUP(B396,'Base stats'!B:B,'Base stats'!E:E),Groups!A:A,Groups!BJ:BJ)</f>
        <v>QuadrupedTall</v>
      </c>
    </row>
    <row r="397" spans="1:29" ht="16.5" thickTop="1" thickBot="1" x14ac:dyDescent="0.3">
      <c r="A397" s="16" t="str">
        <f>Animals!A397</f>
        <v>Andrewsarchus</v>
      </c>
      <c r="B397" s="6" t="str">
        <f>Animals!B397</f>
        <v>Andrewsarchus mongoliensis</v>
      </c>
      <c r="C397" s="1" t="str">
        <f>Animals!C397</f>
        <v>&lt;li&gt;Andrewsarchus&lt;/li&gt;</v>
      </c>
      <c r="D397" s="47">
        <f>MIN(MIN(6,_xlfn.XLOOKUP(A397,Animals!A:A,Animals!AO:AO))*20,MAX(MROUND(_xlfn.XLOOKUP(B397,'Base stats'!B:B,'Base stats'!BS:BS) * (_xlfn.XLOOKUP(B397,'Base stats'!B:B,'Base stats'!AO:AO)*5%)^0.9 / 21,0.1),0.05))</f>
        <v>21.3</v>
      </c>
      <c r="E397" s="11">
        <f>MROUND(_xlfn.XLOOKUP(B397,'Base stats'!B:B,'Base stats'!BG:BG) * 0.01 * 2 + 0.01, 0.05)</f>
        <v>20.950000000000003</v>
      </c>
      <c r="F397" s="7">
        <f>MROUND(_xlfn.XLOOKUP(B397,'Base stats'!B:B,'Base stats'!BD:BD)^0.25 / (_xlfn.XLOOKUP(B397,'Base stats'!B:B,'Base stats'!BK:BK) * 10) * 150 + 0.5 + _xlfn.XLOOKUP(B397,'Base stats'!B:B,'Base stats'!BW:BW), 0.05)</f>
        <v>1.9500000000000002</v>
      </c>
      <c r="G397" s="3" t="str">
        <f>IF(Animals!S397="No","No",
IF(_xlfn.XLOOKUP(B397,'Base stats'!B:B,'Base stats'!U:U)="No",
MAX(MROUND(_xlfn.XLOOKUP(B397,'Base stats'!B:B,'Base stats'!BT:BT) * _xlfn.XLOOKUP(B397,'Base stats'!B:B,'Base stats'!BP:BP)^0.9 / 21 * _xlfn.XLOOKUP(B397,'Base stats'!B:B,'Base stats'!BX:BX),0.1),0.05),
MAX(MROUND(((MIN(10,_xlfn.XLOOKUP(B397,'Base stats'!B:B,'Base stats'!U:U)))^0.4*_xlfn.XLOOKUP(B397,'Base stats'!B:B,'Base stats'!BH:BH)^0.73)^0.6 * _xlfn.XLOOKUP(B397,'Base stats'!B:B,'Base stats'!BX:BX),0.1),0.05)
))</f>
        <v>No</v>
      </c>
      <c r="H397" s="11" t="str">
        <f>IF(G397="No","No",
MROUND(_xlfn.XLOOKUP(B397,'Base stats'!B:B,'Base stats'!BH:BH) * 0.01 * 2 + 0.05, 0.05)
)</f>
        <v>No</v>
      </c>
      <c r="I397" s="11" t="str">
        <f>IF(G397="No","No",IF(_xlfn.XLOOKUP(B397,'Base stats'!B:B,'Base stats'!U:U)="No","No",
MROUND(_xlfn.XLOOKUP(B397,'Base stats'!B:B,'Base stats'!BT:BT)/10000+0.01,0.01)
))</f>
        <v>No</v>
      </c>
      <c r="J397" s="4" t="str">
        <f>IF(G397="No","No",
MROUND(_xlfn.XLOOKUP(B397,'Base stats'!B:B,'Base stats'!BE:BE)^0.25
/((_xlfn.XLOOKUP(B397,'Base stats'!B:B,'Base stats'!BL:BL))*10)*_xlfn.XLOOKUP(_xlfn.XLOOKUP(B397,'Base stats'!B:B,'Base stats'!E:E),Groups!A:A,Groups!Q:Q)*150 + 0.5 + _xlfn.XLOOKUP(B397,'Base stats'!B:B,'Base stats'!BW:BW),
0.05))</f>
        <v>No</v>
      </c>
      <c r="K397" s="3" t="str">
        <f>IF(Animals!X397="No","No",
IF(_xlfn.XLOOKUP(_xlfn.XLOOKUP(B397,'Base stats'!B:B,'Base stats'!E:E),Groups!A:A,Groups!BD:BD)=1,
MAX(MROUND(_xlfn.XLOOKUP(B397,'Base stats'!B:B,'Base stats'!BU:BU) * _xlfn.XLOOKUP(B397,'Base stats'!B:B,'Base stats'!BQ:BQ)^0.9 / 21 *_xlfn.XLOOKUP(B397,'Base stats'!B:B,'Base stats'!BX:BX),0.1),0.05),
MAX(MROUND(((MIN(10,_xlfn.XLOOKUP(B397,'Base stats'!B:B,'Base stats'!W:W)))^0.4*_xlfn.XLOOKUP(B397,'Base stats'!B:B,'Base stats'!BI:BI)^0.73)^0.6 *_xlfn.XLOOKUP(B397,'Base stats'!B:B,'Base stats'!BX:BX),0.1),0.05)
))</f>
        <v>No</v>
      </c>
      <c r="L397" s="11" t="str">
        <f>IF(K397="No","No",
MROUND(_xlfn.XLOOKUP(B397,'Base stats'!B:B,'Base stats'!BI:BI) * 0.01 *2 + 0.05, 0.05)
)</f>
        <v>No</v>
      </c>
      <c r="M397" s="5" t="str">
        <f>IF(K397="No","No",IF(_xlfn.XLOOKUP(_xlfn.XLOOKUP(B397,'Base stats'!B:B,'Base stats'!E:E),Groups!A:A,Groups!BD:BD)=1,"No",
MROUND(_xlfn.XLOOKUP(B397,'Base stats'!B:B,'Base stats'!BU:BU)/10000+0.01,0.01)
))</f>
        <v>No</v>
      </c>
      <c r="N397" s="4" t="str">
        <f>IF(K397="No","No",
MROUND(
  _xlfn.XLOOKUP(B397,'Base stats'!B:B,'Base stats'!BC:BC)^0.25
  / (_xlfn.XLOOKUP(B397,'Base stats'!B:B,'Base stats'!BM:BM) * 10)
  * _xlfn.XLOOKUP(
      _xlfn.XLOOKUP(B397,'Base stats'!B:B,'Base stats'!E:E),
      Groups!A:A,
      Groups!V:V
    ) * 150
  + MIN(12, _xlfn.XLOOKUP(B397,'Base stats'!B:B,'Base stats'!W:W))^(1/IF(_xlfn.XLOOKUP(_xlfn.XLOOKUP(B397,'Base stats'!B:B,'Base stats'!E:E),Groups!A:A,Groups!U:U)=1,100,10)) + 0.5 + _xlfn.XLOOKUP(B397,'Base stats'!B:B,'Base stats'!BW:BW),
0.05))</f>
        <v>No</v>
      </c>
      <c r="O397" s="3">
        <f>IF(Animals!AD397="No","No",
MAX(MROUND((MIN(10,_xlfn.XLOOKUP(B397,'Base stats'!B:B,'Base stats'!V:V)*IF(_xlfn.XLOOKUP(_xlfn.XLOOKUP(B397,'Base stats'!B:B,'Base stats'!E:E),Groups!A:A,Groups!O:O)=0,1,0.33))^0.4*_xlfn.XLOOKUP(B397,'Base stats'!B:B,'Base stats'!BJ:BJ)^0.73)^0.6 *_xlfn.XLOOKUP(B397,'Base stats'!B:B,'Base stats'!BX:BX),0.1),0.05)
)</f>
        <v>31.900000000000002</v>
      </c>
      <c r="P397" s="11">
        <f>IF(O397="No","No",
MROUND(_xlfn.XLOOKUP(B397,'Base stats'!B:B,'Base stats'!BJ:BJ) * 0.01 * 2 + 0.05, 0.05)
)</f>
        <v>15.4</v>
      </c>
      <c r="Q397" s="5">
        <f>IF(O397="No","No",
MROUND(_xlfn.XLOOKUP(B397,'Base stats'!B:B,'Base stats'!BV:BV)/10000+0.01,0.01)
)</f>
        <v>0.32</v>
      </c>
      <c r="R397" s="4">
        <f>IF(O397="No","No",
MROUND(_xlfn.XLOOKUP(B397,'Base stats'!B:B,'Base stats'!BB:BB)^0.25
/((_xlfn.XLOOKUP(B397,'Base stats'!B:B,'Base stats'!BN:BN))*10)*_xlfn.XLOOKUP(_xlfn.XLOOKUP(B397,'Base stats'!B:B,'Base stats'!E:E),Groups!A:A,Groups!Z:Z)*150 + 0.5 + _xlfn.XLOOKUP(B397,'Base stats'!B:B,'Base stats'!BW:BW),
0.05))</f>
        <v>3.25</v>
      </c>
      <c r="S397" s="3" t="str">
        <f>IF(Animals!AI397="No","No",
IF(_xlfn.XLOOKUP(B397,'Base stats'!B:B,'Base stats'!U:U)="No",
MAX(MROUND(_xlfn.XLOOKUP(B397,'Base stats'!B:B,'Base stats'!BT:BT) * _xlfn.XLOOKUP(B397,'Base stats'!B:B,'Base stats'!BP:BP)^0.9 / 21 * _xlfn.XLOOKUP(B397,'Base stats'!B:B,'Base stats'!BX:BX),0.1),0.05),
MAX(MROUND(((MIN(12,_xlfn.XLOOKUP(B397,'Base stats'!B:B,'Base stats'!U:U)))^0.4*_xlfn.XLOOKUP(B397,'Base stats'!B:B,'Base stats'!BH:BH)^0.73)^0.6 * _xlfn.XLOOKUP(B397,'Base stats'!B:B,'Base stats'!BX:BX),0.1),0.05)
))</f>
        <v>No</v>
      </c>
      <c r="T397" s="11" t="str">
        <f>IF(S397="No","No",
MROUND(_xlfn.XLOOKUP(B397,'Base stats'!B:B,'Base stats'!BH:BH) * 0.01 * 2 + 0.05, 0.05)
)</f>
        <v>No</v>
      </c>
      <c r="U397" s="5" t="str">
        <f>IF(S397="No","No",IF(_xlfn.XLOOKUP(B397,'Base stats'!B:B,'Base stats'!U:U)="No","No",
MROUND(_xlfn.XLOOKUP(B397,'Base stats'!B:B,'Base stats'!BT:BT)/10000+0.01,0.01)
))</f>
        <v>No</v>
      </c>
      <c r="V397" s="4" t="str">
        <f>IF(S397="No","No",
MROUND(_xlfn.XLOOKUP(B397,'Base stats'!B:B,'Base stats'!BF:BF)^0.25
/((_xlfn.XLOOKUP(B397,'Base stats'!B:B,'Base stats'!BO:BO))*10)*_xlfn.XLOOKUP(_xlfn.XLOOKUP(B397,'Base stats'!B:B,'Base stats'!E:E),Groups!A:A,Groups!AE:AE)*150 + 0.5 + _xlfn.XLOOKUP(B397,'Base stats'!B:B,'Base stats'!BW:BW),
0.05))</f>
        <v>No</v>
      </c>
      <c r="W397" s="8">
        <f>MROUND(_xlfn.XLOOKUP(_xlfn.XLOOKUP(B397,'Base stats'!B:B,'Base stats'!E:E),Groups!A:A,Groups!BG:BG)*_xlfn.XLOOKUP(B397,'Base stats'!B:B,'Base stats'!C:C)^-0.165,0.05)</f>
        <v>0.15000000000000002</v>
      </c>
      <c r="X397" s="1">
        <f>MROUND(_xlfn.XLOOKUP(_xlfn.XLOOKUP(B397,'Base stats'!B:B,'Base stats'!E:E),Groups!A:A,Groups!BH:BH)*_xlfn.XLOOKUP(B397,'Base stats'!B:B,'Base stats'!C:C)^0.165,0.05)</f>
        <v>0.65</v>
      </c>
      <c r="Y397" s="8">
        <f>MROUND(_xlfn.XLOOKUP(_xlfn.XLOOKUP(B397,'Base stats'!B:B,'Base stats'!E:E),Groups!A:A,Groups!BI:BI)*_xlfn.XLOOKUP(B397,'Base stats'!B:B,'Base stats'!C:C)^0.165,0.05)</f>
        <v>0.1</v>
      </c>
      <c r="Z397" s="18">
        <f>MROUND(_xlfn.XLOOKUP(B397,'Base stats'!B:B,'Base stats'!AQ:AQ)*_xlfn.XLOOKUP(_xlfn.XLOOKUP(B397,'Base stats'!B:B,'Base stats'!E:E),Groups!A:A,Groups!H:H)/1000,IF((_xlfn.XLOOKUP(B397,'Base stats'!B:B,'Base stats'!AQ:AQ)*_xlfn.XLOOKUP(_xlfn.XLOOKUP(B397,'Base stats'!B:B,'Base stats'!E:E),Groups!A:A,Groups!H:H)/1000)&gt;1,0.05,0.01))</f>
        <v>0.13</v>
      </c>
      <c r="AA397" s="18">
        <f>MROUND((1/2)*(_xlfn.XLOOKUP(_xlfn.XLOOKUP(B397,'Base stats'!B:B,'Base stats'!E:E),Groups!A:A,Groups!H:H)*_xlfn.XLOOKUP(_xlfn.XLOOKUP(B397,'Base stats'!B:B,'Base stats'!E:E),Groups!A:A,Groups!I:I))*_xlfn.XLOOKUP(B397,'Base stats'!B:B,'Base stats'!AQ:AQ)*0.01,0.05)</f>
        <v>0.55000000000000004</v>
      </c>
      <c r="AB397" s="18">
        <f>MROUND(250*(Animals!AO397+Animals!AP397),25)</f>
        <v>1750</v>
      </c>
      <c r="AC397" s="18" t="str">
        <f>_xlfn.XLOOKUP(_xlfn.XLOOKUP(B397,'Base stats'!B:B,'Base stats'!E:E),Groups!A:A,Groups!BJ:BJ)</f>
        <v>Quadruped</v>
      </c>
    </row>
    <row r="398" spans="1:29" ht="16.5" thickTop="1" thickBot="1" x14ac:dyDescent="0.3">
      <c r="A398" s="16" t="str">
        <f>Animals!A398</f>
        <v>Dinornis</v>
      </c>
      <c r="B398" s="6" t="str">
        <f>Animals!B398</f>
        <v>Dinornis novaezealandiae</v>
      </c>
      <c r="C398" s="1" t="str">
        <f>Animals!C398</f>
        <v>&lt;li&gt;Dinornis&lt;/li&gt;</v>
      </c>
      <c r="D398" s="47">
        <f>MIN(MIN(6,_xlfn.XLOOKUP(A398,Animals!A:A,Animals!AO:AO))*20,MAX(MROUND(_xlfn.XLOOKUP(B398,'Base stats'!B:B,'Base stats'!BS:BS) * (_xlfn.XLOOKUP(B398,'Base stats'!B:B,'Base stats'!AO:AO)*5%)^0.9 / 21,0.1),0.05))</f>
        <v>4.5</v>
      </c>
      <c r="E398" s="11">
        <f>MROUND(_xlfn.XLOOKUP(B398,'Base stats'!B:B,'Base stats'!BG:BG) * 0.01 * 2 + 0.01, 0.05)</f>
        <v>3.95</v>
      </c>
      <c r="F398" s="7">
        <f>MROUND(_xlfn.XLOOKUP(B398,'Base stats'!B:B,'Base stats'!BD:BD)^0.25 / (_xlfn.XLOOKUP(B398,'Base stats'!B:B,'Base stats'!BK:BK) * 10) * 150 + 0.5 + _xlfn.XLOOKUP(B398,'Base stats'!B:B,'Base stats'!BW:BW), 0.05)</f>
        <v>1.75</v>
      </c>
      <c r="G398" s="3">
        <f>IF(Animals!S398="No","No",
IF(_xlfn.XLOOKUP(B398,'Base stats'!B:B,'Base stats'!U:U)="No",
MAX(MROUND(_xlfn.XLOOKUP(B398,'Base stats'!B:B,'Base stats'!BT:BT) * _xlfn.XLOOKUP(B398,'Base stats'!B:B,'Base stats'!BP:BP)^0.9 / 21 * _xlfn.XLOOKUP(B398,'Base stats'!B:B,'Base stats'!BX:BX),0.1),0.05),
MAX(MROUND(((MIN(10,_xlfn.XLOOKUP(B398,'Base stats'!B:B,'Base stats'!U:U)))^0.4*_xlfn.XLOOKUP(B398,'Base stats'!B:B,'Base stats'!BH:BH)^0.73)^0.6 * _xlfn.XLOOKUP(B398,'Base stats'!B:B,'Base stats'!BX:BX),0.1),0.05)
))</f>
        <v>17</v>
      </c>
      <c r="H398" s="11">
        <f>IF(G398="No","No",
MROUND(_xlfn.XLOOKUP(B398,'Base stats'!B:B,'Base stats'!BH:BH) * 0.01 * 2 + 0.05, 0.05)
)</f>
        <v>4.8500000000000005</v>
      </c>
      <c r="I398" s="11">
        <f>IF(G398="No","No",IF(_xlfn.XLOOKUP(B398,'Base stats'!B:B,'Base stats'!U:U)="No","No",
MROUND(_xlfn.XLOOKUP(B398,'Base stats'!B:B,'Base stats'!BT:BT)/10000+0.01,0.01)
))</f>
        <v>0.22</v>
      </c>
      <c r="J398" s="4">
        <f>IF(G398="No","No",
MROUND(_xlfn.XLOOKUP(B398,'Base stats'!B:B,'Base stats'!BE:BE)^0.25
/((_xlfn.XLOOKUP(B398,'Base stats'!B:B,'Base stats'!BL:BL))*10)*_xlfn.XLOOKUP(_xlfn.XLOOKUP(B398,'Base stats'!B:B,'Base stats'!E:E),Groups!A:A,Groups!Q:Q)*150 + 0.5 + _xlfn.XLOOKUP(B398,'Base stats'!B:B,'Base stats'!BW:BW),
0.05))</f>
        <v>3.1</v>
      </c>
      <c r="K398" s="3" t="str">
        <f>IF(Animals!X398="No","No",
IF(_xlfn.XLOOKUP(_xlfn.XLOOKUP(B398,'Base stats'!B:B,'Base stats'!E:E),Groups!A:A,Groups!BD:BD)=1,
MAX(MROUND(_xlfn.XLOOKUP(B398,'Base stats'!B:B,'Base stats'!BU:BU) * _xlfn.XLOOKUP(B398,'Base stats'!B:B,'Base stats'!BQ:BQ)^0.9 / 21 *_xlfn.XLOOKUP(B398,'Base stats'!B:B,'Base stats'!BX:BX),0.1),0.05),
MAX(MROUND(((MIN(10,_xlfn.XLOOKUP(B398,'Base stats'!B:B,'Base stats'!W:W)))^0.4*_xlfn.XLOOKUP(B398,'Base stats'!B:B,'Base stats'!BI:BI)^0.73)^0.6 *_xlfn.XLOOKUP(B398,'Base stats'!B:B,'Base stats'!BX:BX),0.1),0.05)
))</f>
        <v>No</v>
      </c>
      <c r="L398" s="11" t="str">
        <f>IF(K398="No","No",
MROUND(_xlfn.XLOOKUP(B398,'Base stats'!B:B,'Base stats'!BI:BI) * 0.01 *2 + 0.05, 0.05)
)</f>
        <v>No</v>
      </c>
      <c r="M398" s="5" t="str">
        <f>IF(K398="No","No",IF(_xlfn.XLOOKUP(_xlfn.XLOOKUP(B398,'Base stats'!B:B,'Base stats'!E:E),Groups!A:A,Groups!BD:BD)=1,"No",
MROUND(_xlfn.XLOOKUP(B398,'Base stats'!B:B,'Base stats'!BU:BU)/10000+0.01,0.01)
))</f>
        <v>No</v>
      </c>
      <c r="N398" s="4" t="str">
        <f>IF(K398="No","No",
MROUND(
  _xlfn.XLOOKUP(B398,'Base stats'!B:B,'Base stats'!BC:BC)^0.25
  / (_xlfn.XLOOKUP(B398,'Base stats'!B:B,'Base stats'!BM:BM) * 10)
  * _xlfn.XLOOKUP(
      _xlfn.XLOOKUP(B398,'Base stats'!B:B,'Base stats'!E:E),
      Groups!A:A,
      Groups!V:V
    ) * 150
  + MIN(12, _xlfn.XLOOKUP(B398,'Base stats'!B:B,'Base stats'!W:W))^(1/IF(_xlfn.XLOOKUP(_xlfn.XLOOKUP(B398,'Base stats'!B:B,'Base stats'!E:E),Groups!A:A,Groups!U:U)=1,100,10)) + 0.5 + _xlfn.XLOOKUP(B398,'Base stats'!B:B,'Base stats'!BW:BW),
0.05))</f>
        <v>No</v>
      </c>
      <c r="O398" s="3">
        <f>IF(Animals!AD398="No","No",
MAX(MROUND((MIN(10,_xlfn.XLOOKUP(B398,'Base stats'!B:B,'Base stats'!V:V)*IF(_xlfn.XLOOKUP(_xlfn.XLOOKUP(B398,'Base stats'!B:B,'Base stats'!E:E),Groups!A:A,Groups!O:O)=0,1,0.33))^0.4*_xlfn.XLOOKUP(B398,'Base stats'!B:B,'Base stats'!BJ:BJ)^0.73)^0.6 *_xlfn.XLOOKUP(B398,'Base stats'!B:B,'Base stats'!BX:BX),0.1),0.05)
)</f>
        <v>5.6000000000000005</v>
      </c>
      <c r="P398" s="11">
        <f>IF(O398="No","No",
MROUND(_xlfn.XLOOKUP(B398,'Base stats'!B:B,'Base stats'!BJ:BJ) * 0.01 * 2 + 0.05, 0.05)
)</f>
        <v>0.65</v>
      </c>
      <c r="Q398" s="5">
        <f>IF(O398="No","No",
MROUND(_xlfn.XLOOKUP(B398,'Base stats'!B:B,'Base stats'!BV:BV)/10000+0.01,0.01)
)</f>
        <v>0.04</v>
      </c>
      <c r="R398" s="4">
        <f>IF(O398="No","No",
MROUND(_xlfn.XLOOKUP(B398,'Base stats'!B:B,'Base stats'!BB:BB)^0.25
/((_xlfn.XLOOKUP(B398,'Base stats'!B:B,'Base stats'!BN:BN))*10)*_xlfn.XLOOKUP(_xlfn.XLOOKUP(B398,'Base stats'!B:B,'Base stats'!E:E),Groups!A:A,Groups!Z:Z)*150 + 0.5 + _xlfn.XLOOKUP(B398,'Base stats'!B:B,'Base stats'!BW:BW),
0.05))</f>
        <v>2.35</v>
      </c>
      <c r="S398" s="3" t="str">
        <f>IF(Animals!AI398="No","No",
IF(_xlfn.XLOOKUP(B398,'Base stats'!B:B,'Base stats'!U:U)="No",
MAX(MROUND(_xlfn.XLOOKUP(B398,'Base stats'!B:B,'Base stats'!BT:BT) * _xlfn.XLOOKUP(B398,'Base stats'!B:B,'Base stats'!BP:BP)^0.9 / 21 * _xlfn.XLOOKUP(B398,'Base stats'!B:B,'Base stats'!BX:BX),0.1),0.05),
MAX(MROUND(((MIN(12,_xlfn.XLOOKUP(B398,'Base stats'!B:B,'Base stats'!U:U)))^0.4*_xlfn.XLOOKUP(B398,'Base stats'!B:B,'Base stats'!BH:BH)^0.73)^0.6 * _xlfn.XLOOKUP(B398,'Base stats'!B:B,'Base stats'!BX:BX),0.1),0.05)
))</f>
        <v>No</v>
      </c>
      <c r="T398" s="11" t="str">
        <f>IF(S398="No","No",
MROUND(_xlfn.XLOOKUP(B398,'Base stats'!B:B,'Base stats'!BH:BH) * 0.01 * 2 + 0.05, 0.05)
)</f>
        <v>No</v>
      </c>
      <c r="U398" s="5" t="str">
        <f>IF(S398="No","No",IF(_xlfn.XLOOKUP(B398,'Base stats'!B:B,'Base stats'!U:U)="No","No",
MROUND(_xlfn.XLOOKUP(B398,'Base stats'!B:B,'Base stats'!BT:BT)/10000+0.01,0.01)
))</f>
        <v>No</v>
      </c>
      <c r="V398" s="4" t="str">
        <f>IF(S398="No","No",
MROUND(_xlfn.XLOOKUP(B398,'Base stats'!B:B,'Base stats'!BF:BF)^0.25
/((_xlfn.XLOOKUP(B398,'Base stats'!B:B,'Base stats'!BO:BO))*10)*_xlfn.XLOOKUP(_xlfn.XLOOKUP(B398,'Base stats'!B:B,'Base stats'!E:E),Groups!A:A,Groups!AE:AE)*150 + 0.5 + _xlfn.XLOOKUP(B398,'Base stats'!B:B,'Base stats'!BW:BW),
0.05))</f>
        <v>No</v>
      </c>
      <c r="W398" s="8">
        <f>MROUND(_xlfn.XLOOKUP(_xlfn.XLOOKUP(B398,'Base stats'!B:B,'Base stats'!E:E),Groups!A:A,Groups!BG:BG)*_xlfn.XLOOKUP(B398,'Base stats'!B:B,'Base stats'!C:C)^-0.165,0.05)</f>
        <v>0.45</v>
      </c>
      <c r="X398" s="1">
        <f>MROUND(_xlfn.XLOOKUP(_xlfn.XLOOKUP(B398,'Base stats'!B:B,'Base stats'!E:E),Groups!A:A,Groups!BH:BH)*_xlfn.XLOOKUP(B398,'Base stats'!B:B,'Base stats'!C:C)^0.165,0.05)</f>
        <v>0</v>
      </c>
      <c r="Y398" s="8">
        <f>MROUND(_xlfn.XLOOKUP(_xlfn.XLOOKUP(B398,'Base stats'!B:B,'Base stats'!E:E),Groups!A:A,Groups!BI:BI)*_xlfn.XLOOKUP(B398,'Base stats'!B:B,'Base stats'!C:C)^0.165,0.05)</f>
        <v>0</v>
      </c>
      <c r="Z398" s="18">
        <f>MROUND(_xlfn.XLOOKUP(B398,'Base stats'!B:B,'Base stats'!AQ:AQ)*_xlfn.XLOOKUP(_xlfn.XLOOKUP(B398,'Base stats'!B:B,'Base stats'!E:E),Groups!A:A,Groups!H:H)/1000,IF((_xlfn.XLOOKUP(B398,'Base stats'!B:B,'Base stats'!AQ:AQ)*_xlfn.XLOOKUP(_xlfn.XLOOKUP(B398,'Base stats'!B:B,'Base stats'!E:E),Groups!A:A,Groups!H:H)/1000)&gt;1,0.05,0.01))</f>
        <v>0</v>
      </c>
      <c r="AA398" s="18">
        <f>MROUND((1/2)*(_xlfn.XLOOKUP(_xlfn.XLOOKUP(B398,'Base stats'!B:B,'Base stats'!E:E),Groups!A:A,Groups!H:H)*_xlfn.XLOOKUP(_xlfn.XLOOKUP(B398,'Base stats'!B:B,'Base stats'!E:E),Groups!A:A,Groups!I:I))*_xlfn.XLOOKUP(B398,'Base stats'!B:B,'Base stats'!AQ:AQ)*0.01,0.05)</f>
        <v>0</v>
      </c>
      <c r="AB398" s="18">
        <f>MROUND(250*(Animals!AO398+Animals!AP398),25)</f>
        <v>800</v>
      </c>
      <c r="AC398" s="18" t="str">
        <f>_xlfn.XLOOKUP(_xlfn.XLOOKUP(B398,'Base stats'!B:B,'Base stats'!E:E),Groups!A:A,Groups!BJ:BJ)</f>
        <v>Birdlike</v>
      </c>
    </row>
    <row r="399" spans="1:29" ht="16.5" thickTop="1" thickBot="1" x14ac:dyDescent="0.3">
      <c r="A399" s="16" t="str">
        <f>Animals!A399</f>
        <v>Macrauchenia</v>
      </c>
      <c r="B399" s="6" t="str">
        <f>Animals!B399</f>
        <v>Macrauchenia patachonica</v>
      </c>
      <c r="C399" s="1" t="str">
        <f>Animals!C399</f>
        <v>&lt;li&gt;Macrauchenia&lt;/li&gt;</v>
      </c>
      <c r="D399" s="47">
        <f>MIN(MIN(6,_xlfn.XLOOKUP(A399,Animals!A:A,Animals!AO:AO))*20,MAX(MROUND(_xlfn.XLOOKUP(B399,'Base stats'!B:B,'Base stats'!BS:BS) * (_xlfn.XLOOKUP(B399,'Base stats'!B:B,'Base stats'!AO:AO)*5%)^0.9 / 21,0.1),0.05))</f>
        <v>21.3</v>
      </c>
      <c r="E399" s="11">
        <f>MROUND(_xlfn.XLOOKUP(B399,'Base stats'!B:B,'Base stats'!BG:BG) * 0.01 * 2 + 0.01, 0.05)</f>
        <v>20.950000000000003</v>
      </c>
      <c r="F399" s="7">
        <f>MROUND(_xlfn.XLOOKUP(B399,'Base stats'!B:B,'Base stats'!BD:BD)^0.25 / (_xlfn.XLOOKUP(B399,'Base stats'!B:B,'Base stats'!BK:BK) * 10) * 150 + 0.5 + _xlfn.XLOOKUP(B399,'Base stats'!B:B,'Base stats'!BW:BW), 0.05)</f>
        <v>1.9500000000000002</v>
      </c>
      <c r="G399" s="3">
        <f>IF(Animals!S399="No","No",
IF(_xlfn.XLOOKUP(B399,'Base stats'!B:B,'Base stats'!U:U)="No",
MAX(MROUND(_xlfn.XLOOKUP(B399,'Base stats'!B:B,'Base stats'!BT:BT) * _xlfn.XLOOKUP(B399,'Base stats'!B:B,'Base stats'!BP:BP)^0.9 / 21 * _xlfn.XLOOKUP(B399,'Base stats'!B:B,'Base stats'!BX:BX),0.1),0.05),
MAX(MROUND(((MIN(10,_xlfn.XLOOKUP(B399,'Base stats'!B:B,'Base stats'!U:U)))^0.4*_xlfn.XLOOKUP(B399,'Base stats'!B:B,'Base stats'!BH:BH)^0.73)^0.6 * _xlfn.XLOOKUP(B399,'Base stats'!B:B,'Base stats'!BX:BX),0.1),0.05)
))</f>
        <v>33.1</v>
      </c>
      <c r="H399" s="11">
        <f>IF(G399="No","No",
MROUND(_xlfn.XLOOKUP(B399,'Base stats'!B:B,'Base stats'!BH:BH) * 0.01 * 2 + 0.05, 0.05)
)</f>
        <v>23.25</v>
      </c>
      <c r="I399" s="11" t="str">
        <f>IF(G399="No","No",IF(_xlfn.XLOOKUP(B399,'Base stats'!B:B,'Base stats'!U:U)="No","No",
MROUND(_xlfn.XLOOKUP(B399,'Base stats'!B:B,'Base stats'!BT:BT)/10000+0.01,0.01)
))</f>
        <v>No</v>
      </c>
      <c r="J399" s="4">
        <f>IF(G399="No","No",
MROUND(_xlfn.XLOOKUP(B399,'Base stats'!B:B,'Base stats'!BE:BE)^0.25
/((_xlfn.XLOOKUP(B399,'Base stats'!B:B,'Base stats'!BL:BL))*10)*_xlfn.XLOOKUP(_xlfn.XLOOKUP(B399,'Base stats'!B:B,'Base stats'!E:E),Groups!A:A,Groups!Q:Q)*150 + 0.5 + _xlfn.XLOOKUP(B399,'Base stats'!B:B,'Base stats'!BW:BW),
0.05))</f>
        <v>2.85</v>
      </c>
      <c r="K399" s="3" t="str">
        <f>IF(Animals!X399="No","No",
IF(_xlfn.XLOOKUP(_xlfn.XLOOKUP(B399,'Base stats'!B:B,'Base stats'!E:E),Groups!A:A,Groups!BD:BD)=1,
MAX(MROUND(_xlfn.XLOOKUP(B399,'Base stats'!B:B,'Base stats'!BU:BU) * _xlfn.XLOOKUP(B399,'Base stats'!B:B,'Base stats'!BQ:BQ)^0.9 / 21 *_xlfn.XLOOKUP(B399,'Base stats'!B:B,'Base stats'!BX:BX),0.1),0.05),
MAX(MROUND(((MIN(10,_xlfn.XLOOKUP(B399,'Base stats'!B:B,'Base stats'!W:W)))^0.4*_xlfn.XLOOKUP(B399,'Base stats'!B:B,'Base stats'!BI:BI)^0.73)^0.6 *_xlfn.XLOOKUP(B399,'Base stats'!B:B,'Base stats'!BX:BX),0.1),0.05)
))</f>
        <v>No</v>
      </c>
      <c r="L399" s="11" t="str">
        <f>IF(K399="No","No",
MROUND(_xlfn.XLOOKUP(B399,'Base stats'!B:B,'Base stats'!BI:BI) * 0.01 *2 + 0.05, 0.05)
)</f>
        <v>No</v>
      </c>
      <c r="M399" s="5" t="str">
        <f>IF(K399="No","No",IF(_xlfn.XLOOKUP(_xlfn.XLOOKUP(B399,'Base stats'!B:B,'Base stats'!E:E),Groups!A:A,Groups!BD:BD)=1,"No",
MROUND(_xlfn.XLOOKUP(B399,'Base stats'!B:B,'Base stats'!BU:BU)/10000+0.01,0.01)
))</f>
        <v>No</v>
      </c>
      <c r="N399" s="4" t="str">
        <f>IF(K399="No","No",
MROUND(
  _xlfn.XLOOKUP(B399,'Base stats'!B:B,'Base stats'!BC:BC)^0.25
  / (_xlfn.XLOOKUP(B399,'Base stats'!B:B,'Base stats'!BM:BM) * 10)
  * _xlfn.XLOOKUP(
      _xlfn.XLOOKUP(B399,'Base stats'!B:B,'Base stats'!E:E),
      Groups!A:A,
      Groups!V:V
    ) * 150
  + MIN(12, _xlfn.XLOOKUP(B399,'Base stats'!B:B,'Base stats'!W:W))^(1/IF(_xlfn.XLOOKUP(_xlfn.XLOOKUP(B399,'Base stats'!B:B,'Base stats'!E:E),Groups!A:A,Groups!U:U)=1,100,10)) + 0.5 + _xlfn.XLOOKUP(B399,'Base stats'!B:B,'Base stats'!BW:BW),
0.05))</f>
        <v>No</v>
      </c>
      <c r="O399" s="3">
        <f>IF(Animals!AD399="No","No",
MAX(MROUND((MIN(10,_xlfn.XLOOKUP(B399,'Base stats'!B:B,'Base stats'!V:V)*IF(_xlfn.XLOOKUP(_xlfn.XLOOKUP(B399,'Base stats'!B:B,'Base stats'!E:E),Groups!A:A,Groups!O:O)=0,1,0.33))^0.4*_xlfn.XLOOKUP(B399,'Base stats'!B:B,'Base stats'!BJ:BJ)^0.73)^0.6 *_xlfn.XLOOKUP(B399,'Base stats'!B:B,'Base stats'!BX:BX),0.1),0.05)
)</f>
        <v>21.200000000000003</v>
      </c>
      <c r="P399" s="11">
        <f>IF(O399="No","No",
MROUND(_xlfn.XLOOKUP(B399,'Base stats'!B:B,'Base stats'!BJ:BJ) * 0.01 * 2 + 0.05, 0.05)
)</f>
        <v>13</v>
      </c>
      <c r="Q399" s="5">
        <f>IF(O399="No","No",
MROUND(_xlfn.XLOOKUP(B399,'Base stats'!B:B,'Base stats'!BV:BV)/10000+0.01,0.01)
)</f>
        <v>0.11</v>
      </c>
      <c r="R399" s="4">
        <f>IF(O399="No","No",
MROUND(_xlfn.XLOOKUP(B399,'Base stats'!B:B,'Base stats'!BB:BB)^0.25
/((_xlfn.XLOOKUP(B399,'Base stats'!B:B,'Base stats'!BN:BN))*10)*_xlfn.XLOOKUP(_xlfn.XLOOKUP(B399,'Base stats'!B:B,'Base stats'!E:E),Groups!A:A,Groups!Z:Z)*150 + 0.5 + _xlfn.XLOOKUP(B399,'Base stats'!B:B,'Base stats'!BW:BW),
0.05))</f>
        <v>2.95</v>
      </c>
      <c r="S399" s="3" t="str">
        <f>IF(Animals!AI399="No","No",
IF(_xlfn.XLOOKUP(B399,'Base stats'!B:B,'Base stats'!U:U)="No",
MAX(MROUND(_xlfn.XLOOKUP(B399,'Base stats'!B:B,'Base stats'!BT:BT) * _xlfn.XLOOKUP(B399,'Base stats'!B:B,'Base stats'!BP:BP)^0.9 / 21 * _xlfn.XLOOKUP(B399,'Base stats'!B:B,'Base stats'!BX:BX),0.1),0.05),
MAX(MROUND(((MIN(12,_xlfn.XLOOKUP(B399,'Base stats'!B:B,'Base stats'!U:U)))^0.4*_xlfn.XLOOKUP(B399,'Base stats'!B:B,'Base stats'!BH:BH)^0.73)^0.6 * _xlfn.XLOOKUP(B399,'Base stats'!B:B,'Base stats'!BX:BX),0.1),0.05)
))</f>
        <v>No</v>
      </c>
      <c r="T399" s="11" t="str">
        <f>IF(S399="No","No",
MROUND(_xlfn.XLOOKUP(B399,'Base stats'!B:B,'Base stats'!BH:BH) * 0.01 * 2 + 0.05, 0.05)
)</f>
        <v>No</v>
      </c>
      <c r="U399" s="5" t="str">
        <f>IF(S399="No","No",IF(_xlfn.XLOOKUP(B399,'Base stats'!B:B,'Base stats'!U:U)="No","No",
MROUND(_xlfn.XLOOKUP(B399,'Base stats'!B:B,'Base stats'!BT:BT)/10000+0.01,0.01)
))</f>
        <v>No</v>
      </c>
      <c r="V399" s="4" t="str">
        <f>IF(S399="No","No",
MROUND(_xlfn.XLOOKUP(B399,'Base stats'!B:B,'Base stats'!BF:BF)^0.25
/((_xlfn.XLOOKUP(B399,'Base stats'!B:B,'Base stats'!BO:BO))*10)*_xlfn.XLOOKUP(_xlfn.XLOOKUP(B399,'Base stats'!B:B,'Base stats'!E:E),Groups!A:A,Groups!AE:AE)*150 + 0.5 + _xlfn.XLOOKUP(B399,'Base stats'!B:B,'Base stats'!BW:BW),
0.05))</f>
        <v>No</v>
      </c>
      <c r="W399" s="8">
        <f>MROUND(_xlfn.XLOOKUP(_xlfn.XLOOKUP(B399,'Base stats'!B:B,'Base stats'!E:E),Groups!A:A,Groups!BG:BG)*_xlfn.XLOOKUP(B399,'Base stats'!B:B,'Base stats'!C:C)^-0.165,0.05)</f>
        <v>0.15000000000000002</v>
      </c>
      <c r="X399" s="1">
        <f>MROUND(_xlfn.XLOOKUP(_xlfn.XLOOKUP(B399,'Base stats'!B:B,'Base stats'!E:E),Groups!A:A,Groups!BH:BH)*_xlfn.XLOOKUP(B399,'Base stats'!B:B,'Base stats'!C:C)^0.165,0.05)</f>
        <v>0</v>
      </c>
      <c r="Y399" s="8">
        <f>MROUND(_xlfn.XLOOKUP(_xlfn.XLOOKUP(B399,'Base stats'!B:B,'Base stats'!E:E),Groups!A:A,Groups!BI:BI)*_xlfn.XLOOKUP(B399,'Base stats'!B:B,'Base stats'!C:C)^0.165,0.05)</f>
        <v>0</v>
      </c>
      <c r="Z399" s="18">
        <f>MROUND(_xlfn.XLOOKUP(B399,'Base stats'!B:B,'Base stats'!AQ:AQ)*_xlfn.XLOOKUP(_xlfn.XLOOKUP(B399,'Base stats'!B:B,'Base stats'!E:E),Groups!A:A,Groups!H:H)/1000,IF((_xlfn.XLOOKUP(B399,'Base stats'!B:B,'Base stats'!AQ:AQ)*_xlfn.XLOOKUP(_xlfn.XLOOKUP(B399,'Base stats'!B:B,'Base stats'!E:E),Groups!A:A,Groups!H:H)/1000)&gt;1,0.05,0.01))</f>
        <v>0.13</v>
      </c>
      <c r="AA399" s="18">
        <f>MROUND((1/2)*(_xlfn.XLOOKUP(_xlfn.XLOOKUP(B399,'Base stats'!B:B,'Base stats'!E:E),Groups!A:A,Groups!H:H)*_xlfn.XLOOKUP(_xlfn.XLOOKUP(B399,'Base stats'!B:B,'Base stats'!E:E),Groups!A:A,Groups!I:I))*_xlfn.XLOOKUP(B399,'Base stats'!B:B,'Base stats'!AQ:AQ)*0.01,0.05)</f>
        <v>0.55000000000000004</v>
      </c>
      <c r="AB399" s="18">
        <f>MROUND(250*(Animals!AO399+Animals!AP399),25)</f>
        <v>1750</v>
      </c>
      <c r="AC399" s="18" t="str">
        <f>_xlfn.XLOOKUP(_xlfn.XLOOKUP(B399,'Base stats'!B:B,'Base stats'!E:E),Groups!A:A,Groups!BJ:BJ)</f>
        <v>Quadruped</v>
      </c>
    </row>
    <row r="400" spans="1:29" ht="16.5" thickTop="1" thickBot="1" x14ac:dyDescent="0.3">
      <c r="A400" s="16" t="str">
        <f>Animals!A400</f>
        <v>Quinkana</v>
      </c>
      <c r="B400" s="6" t="str">
        <f>Animals!B400</f>
        <v>Quinkana barbara</v>
      </c>
      <c r="C400" s="1" t="str">
        <f>Animals!C400</f>
        <v>&lt;li&gt;Quinkana&lt;/li&gt;</v>
      </c>
      <c r="D400" s="47">
        <f>MIN(MIN(6,_xlfn.XLOOKUP(A400,Animals!A:A,Animals!AO:AO))*20,MAX(MROUND(_xlfn.XLOOKUP(B400,'Base stats'!B:B,'Base stats'!BS:BS) * (_xlfn.XLOOKUP(B400,'Base stats'!B:B,'Base stats'!AO:AO)*5%)^0.9 / 21,0.1),0.05))</f>
        <v>11.8</v>
      </c>
      <c r="E400" s="11">
        <f>MROUND(_xlfn.XLOOKUP(B400,'Base stats'!B:B,'Base stats'!BG:BG) * 0.01 * 2 + 0.01, 0.05)</f>
        <v>11.65</v>
      </c>
      <c r="F400" s="7">
        <f>MROUND(_xlfn.XLOOKUP(B400,'Base stats'!B:B,'Base stats'!BD:BD)^0.25 / (_xlfn.XLOOKUP(B400,'Base stats'!B:B,'Base stats'!BK:BK) * 10) * 150 + 0.5 + _xlfn.XLOOKUP(B400,'Base stats'!B:B,'Base stats'!BW:BW), 0.05)</f>
        <v>3.7</v>
      </c>
      <c r="G400" s="3" t="str">
        <f>IF(Animals!S400="No","No",
IF(_xlfn.XLOOKUP(B400,'Base stats'!B:B,'Base stats'!U:U)="No",
MAX(MROUND(_xlfn.XLOOKUP(B400,'Base stats'!B:B,'Base stats'!BT:BT) * _xlfn.XLOOKUP(B400,'Base stats'!B:B,'Base stats'!BP:BP)^0.9 / 21 * _xlfn.XLOOKUP(B400,'Base stats'!B:B,'Base stats'!BX:BX),0.1),0.05),
MAX(MROUND(((MIN(10,_xlfn.XLOOKUP(B400,'Base stats'!B:B,'Base stats'!U:U)))^0.4*_xlfn.XLOOKUP(B400,'Base stats'!B:B,'Base stats'!BH:BH)^0.73)^0.6 * _xlfn.XLOOKUP(B400,'Base stats'!B:B,'Base stats'!BX:BX),0.1),0.05)
))</f>
        <v>No</v>
      </c>
      <c r="H400" s="11" t="str">
        <f>IF(G400="No","No",
MROUND(_xlfn.XLOOKUP(B400,'Base stats'!B:B,'Base stats'!BH:BH) * 0.01 * 2 + 0.05, 0.05)
)</f>
        <v>No</v>
      </c>
      <c r="I400" s="11" t="str">
        <f>IF(G400="No","No",IF(_xlfn.XLOOKUP(B400,'Base stats'!B:B,'Base stats'!U:U)="No","No",
MROUND(_xlfn.XLOOKUP(B400,'Base stats'!B:B,'Base stats'!BT:BT)/10000+0.01,0.01)
))</f>
        <v>No</v>
      </c>
      <c r="J400" s="4" t="str">
        <f>IF(G400="No","No",
MROUND(_xlfn.XLOOKUP(B400,'Base stats'!B:B,'Base stats'!BE:BE)^0.25
/((_xlfn.XLOOKUP(B400,'Base stats'!B:B,'Base stats'!BL:BL))*10)*_xlfn.XLOOKUP(_xlfn.XLOOKUP(B400,'Base stats'!B:B,'Base stats'!E:E),Groups!A:A,Groups!Q:Q)*150 + 0.5 + _xlfn.XLOOKUP(B400,'Base stats'!B:B,'Base stats'!BW:BW),
0.05))</f>
        <v>No</v>
      </c>
      <c r="K400" s="3" t="str">
        <f>IF(Animals!X400="No","No",
IF(_xlfn.XLOOKUP(_xlfn.XLOOKUP(B400,'Base stats'!B:B,'Base stats'!E:E),Groups!A:A,Groups!BD:BD)=1,
MAX(MROUND(_xlfn.XLOOKUP(B400,'Base stats'!B:B,'Base stats'!BU:BU) * _xlfn.XLOOKUP(B400,'Base stats'!B:B,'Base stats'!BQ:BQ)^0.9 / 21 *_xlfn.XLOOKUP(B400,'Base stats'!B:B,'Base stats'!BX:BX),0.1),0.05),
MAX(MROUND(((MIN(10,_xlfn.XLOOKUP(B400,'Base stats'!B:B,'Base stats'!W:W)))^0.4*_xlfn.XLOOKUP(B400,'Base stats'!B:B,'Base stats'!BI:BI)^0.73)^0.6 *_xlfn.XLOOKUP(B400,'Base stats'!B:B,'Base stats'!BX:BX),0.1),0.05)
))</f>
        <v>No</v>
      </c>
      <c r="L400" s="11" t="str">
        <f>IF(K400="No","No",
MROUND(_xlfn.XLOOKUP(B400,'Base stats'!B:B,'Base stats'!BI:BI) * 0.01 *2 + 0.05, 0.05)
)</f>
        <v>No</v>
      </c>
      <c r="M400" s="5" t="str">
        <f>IF(K400="No","No",IF(_xlfn.XLOOKUP(_xlfn.XLOOKUP(B400,'Base stats'!B:B,'Base stats'!E:E),Groups!A:A,Groups!BD:BD)=1,"No",
MROUND(_xlfn.XLOOKUP(B400,'Base stats'!B:B,'Base stats'!BU:BU)/10000+0.01,0.01)
))</f>
        <v>No</v>
      </c>
      <c r="N400" s="4" t="str">
        <f>IF(K400="No","No",
MROUND(
  _xlfn.XLOOKUP(B400,'Base stats'!B:B,'Base stats'!BC:BC)^0.25
  / (_xlfn.XLOOKUP(B400,'Base stats'!B:B,'Base stats'!BM:BM) * 10)
  * _xlfn.XLOOKUP(
      _xlfn.XLOOKUP(B400,'Base stats'!B:B,'Base stats'!E:E),
      Groups!A:A,
      Groups!V:V
    ) * 150
  + MIN(12, _xlfn.XLOOKUP(B400,'Base stats'!B:B,'Base stats'!W:W))^(1/IF(_xlfn.XLOOKUP(_xlfn.XLOOKUP(B400,'Base stats'!B:B,'Base stats'!E:E),Groups!A:A,Groups!U:U)=1,100,10)) + 0.5 + _xlfn.XLOOKUP(B400,'Base stats'!B:B,'Base stats'!BW:BW),
0.05))</f>
        <v>No</v>
      </c>
      <c r="O400" s="3">
        <f>IF(Animals!AD400="No","No",
MAX(MROUND((MIN(10,_xlfn.XLOOKUP(B400,'Base stats'!B:B,'Base stats'!V:V)*IF(_xlfn.XLOOKUP(_xlfn.XLOOKUP(B400,'Base stats'!B:B,'Base stats'!E:E),Groups!A:A,Groups!O:O)=0,1,0.33))^0.4*_xlfn.XLOOKUP(B400,'Base stats'!B:B,'Base stats'!BJ:BJ)^0.73)^0.6 *_xlfn.XLOOKUP(B400,'Base stats'!B:B,'Base stats'!BX:BX),0.1),0.05)
)</f>
        <v>52.900000000000006</v>
      </c>
      <c r="P400" s="11">
        <f>IF(O400="No","No",
MROUND(_xlfn.XLOOKUP(B400,'Base stats'!B:B,'Base stats'!BJ:BJ) * 0.01 * 2 + 0.05, 0.05)
)</f>
        <v>57.050000000000004</v>
      </c>
      <c r="Q400" s="5">
        <f>IF(O400="No","No",
MROUND(_xlfn.XLOOKUP(B400,'Base stats'!B:B,'Base stats'!BV:BV)/10000+0.01,0.01)
)</f>
        <v>0.39</v>
      </c>
      <c r="R400" s="4">
        <f>IF(O400="No","No",
MROUND(_xlfn.XLOOKUP(B400,'Base stats'!B:B,'Base stats'!BB:BB)^0.25
/((_xlfn.XLOOKUP(B400,'Base stats'!B:B,'Base stats'!BN:BN))*10)*_xlfn.XLOOKUP(_xlfn.XLOOKUP(B400,'Base stats'!B:B,'Base stats'!E:E),Groups!A:A,Groups!Z:Z)*150 + 0.5 + _xlfn.XLOOKUP(B400,'Base stats'!B:B,'Base stats'!BW:BW),
0.05))</f>
        <v>2.85</v>
      </c>
      <c r="S400" s="3" t="str">
        <f>IF(Animals!AI400="No","No",
IF(_xlfn.XLOOKUP(B400,'Base stats'!B:B,'Base stats'!U:U)="No",
MAX(MROUND(_xlfn.XLOOKUP(B400,'Base stats'!B:B,'Base stats'!BT:BT) * _xlfn.XLOOKUP(B400,'Base stats'!B:B,'Base stats'!BP:BP)^0.9 / 21 * _xlfn.XLOOKUP(B400,'Base stats'!B:B,'Base stats'!BX:BX),0.1),0.05),
MAX(MROUND(((MIN(12,_xlfn.XLOOKUP(B400,'Base stats'!B:B,'Base stats'!U:U)))^0.4*_xlfn.XLOOKUP(B400,'Base stats'!B:B,'Base stats'!BH:BH)^0.73)^0.6 * _xlfn.XLOOKUP(B400,'Base stats'!B:B,'Base stats'!BX:BX),0.1),0.05)
))</f>
        <v>No</v>
      </c>
      <c r="T400" s="11" t="str">
        <f>IF(S400="No","No",
MROUND(_xlfn.XLOOKUP(B400,'Base stats'!B:B,'Base stats'!BH:BH) * 0.01 * 2 + 0.05, 0.05)
)</f>
        <v>No</v>
      </c>
      <c r="U400" s="5" t="str">
        <f>IF(S400="No","No",IF(_xlfn.XLOOKUP(B400,'Base stats'!B:B,'Base stats'!U:U)="No","No",
MROUND(_xlfn.XLOOKUP(B400,'Base stats'!B:B,'Base stats'!BT:BT)/10000+0.01,0.01)
))</f>
        <v>No</v>
      </c>
      <c r="V400" s="4" t="str">
        <f>IF(S400="No","No",
MROUND(_xlfn.XLOOKUP(B400,'Base stats'!B:B,'Base stats'!BF:BF)^0.25
/((_xlfn.XLOOKUP(B400,'Base stats'!B:B,'Base stats'!BO:BO))*10)*_xlfn.XLOOKUP(_xlfn.XLOOKUP(B400,'Base stats'!B:B,'Base stats'!E:E),Groups!A:A,Groups!AE:AE)*150 + 0.5 + _xlfn.XLOOKUP(B400,'Base stats'!B:B,'Base stats'!BW:BW),
0.05))</f>
        <v>No</v>
      </c>
      <c r="W400" s="8">
        <f>MROUND(_xlfn.XLOOKUP(_xlfn.XLOOKUP(B400,'Base stats'!B:B,'Base stats'!E:E),Groups!A:A,Groups!BG:BG)*_xlfn.XLOOKUP(B400,'Base stats'!B:B,'Base stats'!C:C)^-0.165,0.05)</f>
        <v>0.1</v>
      </c>
      <c r="X400" s="1">
        <f>MROUND(_xlfn.XLOOKUP(_xlfn.XLOOKUP(B400,'Base stats'!B:B,'Base stats'!E:E),Groups!A:A,Groups!BH:BH)*_xlfn.XLOOKUP(B400,'Base stats'!B:B,'Base stats'!C:C)^0.165,0.05)</f>
        <v>0.30000000000000004</v>
      </c>
      <c r="Y400" s="8">
        <f>MROUND(_xlfn.XLOOKUP(_xlfn.XLOOKUP(B400,'Base stats'!B:B,'Base stats'!E:E),Groups!A:A,Groups!BI:BI)*_xlfn.XLOOKUP(B400,'Base stats'!B:B,'Base stats'!C:C)^0.165,0.05)</f>
        <v>0.1</v>
      </c>
      <c r="Z400" s="18">
        <f>MROUND(_xlfn.XLOOKUP(B400,'Base stats'!B:B,'Base stats'!AQ:AQ)*_xlfn.XLOOKUP(_xlfn.XLOOKUP(B400,'Base stats'!B:B,'Base stats'!E:E),Groups!A:A,Groups!H:H)/1000,IF((_xlfn.XLOOKUP(B400,'Base stats'!B:B,'Base stats'!AQ:AQ)*_xlfn.XLOOKUP(_xlfn.XLOOKUP(B400,'Base stats'!B:B,'Base stats'!E:E),Groups!A:A,Groups!H:H)/1000)&gt;1,0.05,0.01))</f>
        <v>0.63</v>
      </c>
      <c r="AA400" s="18">
        <f>MROUND((1/2)*(_xlfn.XLOOKUP(_xlfn.XLOOKUP(B400,'Base stats'!B:B,'Base stats'!E:E),Groups!A:A,Groups!H:H)*_xlfn.XLOOKUP(_xlfn.XLOOKUP(B400,'Base stats'!B:B,'Base stats'!E:E),Groups!A:A,Groups!I:I))*_xlfn.XLOOKUP(B400,'Base stats'!B:B,'Base stats'!AQ:AQ)*0.01,0.05)</f>
        <v>0.70000000000000007</v>
      </c>
      <c r="AB400" s="18">
        <f>MROUND(250*(Animals!AO400+Animals!AP400),25)</f>
        <v>1925</v>
      </c>
      <c r="AC400" s="18" t="str">
        <f>_xlfn.XLOOKUP(_xlfn.XLOOKUP(B400,'Base stats'!B:B,'Base stats'!E:E),Groups!A:A,Groups!BJ:BJ)</f>
        <v>QuadrupedLow</v>
      </c>
    </row>
    <row r="401" spans="1:29" ht="16.5" thickTop="1" thickBot="1" x14ac:dyDescent="0.3">
      <c r="A401" s="16" t="str">
        <f>Animals!A401</f>
        <v>Deinotherium</v>
      </c>
      <c r="B401" s="6" t="str">
        <f>Animals!B401</f>
        <v>Deinotherium proavum</v>
      </c>
      <c r="C401" s="1" t="str">
        <f>Animals!C401</f>
        <v>&lt;li&gt;Deinotherium&lt;/li&gt;</v>
      </c>
      <c r="D401" s="47">
        <f>MIN(MIN(6,_xlfn.XLOOKUP(A401,Animals!A:A,Animals!AO:AO))*20,MAX(MROUND(_xlfn.XLOOKUP(B401,'Base stats'!B:B,'Base stats'!BS:BS) * (_xlfn.XLOOKUP(B401,'Base stats'!B:B,'Base stats'!AO:AO)*5%)^0.9 / 21,0.1),0.05))</f>
        <v>77.5</v>
      </c>
      <c r="E401" s="11">
        <f>MROUND(_xlfn.XLOOKUP(B401,'Base stats'!B:B,'Base stats'!BG:BG) * 0.01 * 2 + 0.01, 0.05)</f>
        <v>88.850000000000009</v>
      </c>
      <c r="F401" s="7">
        <f>MROUND(_xlfn.XLOOKUP(B401,'Base stats'!B:B,'Base stats'!BD:BD)^0.25 / (_xlfn.XLOOKUP(B401,'Base stats'!B:B,'Base stats'!BK:BK) * 10) * 150 + 0.5 + _xlfn.XLOOKUP(B401,'Base stats'!B:B,'Base stats'!BW:BW), 0.05)</f>
        <v>3.25</v>
      </c>
      <c r="G401" s="3">
        <f>IF(Animals!S401="No","No",
IF(_xlfn.XLOOKUP(B401,'Base stats'!B:B,'Base stats'!U:U)="No",
MAX(MROUND(_xlfn.XLOOKUP(B401,'Base stats'!B:B,'Base stats'!BT:BT) * _xlfn.XLOOKUP(B401,'Base stats'!B:B,'Base stats'!BP:BP)^0.9 / 21 * _xlfn.XLOOKUP(B401,'Base stats'!B:B,'Base stats'!BX:BX),0.1),0.05),
MAX(MROUND(((MIN(10,_xlfn.XLOOKUP(B401,'Base stats'!B:B,'Base stats'!U:U)))^0.4*_xlfn.XLOOKUP(B401,'Base stats'!B:B,'Base stats'!BH:BH)^0.73)^0.6 * _xlfn.XLOOKUP(B401,'Base stats'!B:B,'Base stats'!BX:BX),0.1),0.05)
))</f>
        <v>85.5</v>
      </c>
      <c r="H401" s="11">
        <f>IF(G401="No","No",
MROUND(_xlfn.XLOOKUP(B401,'Base stats'!B:B,'Base stats'!BH:BH) * 0.01 * 2 + 0.05, 0.05)
)</f>
        <v>74.75</v>
      </c>
      <c r="I401" s="11" t="str">
        <f>IF(G401="No","No",IF(_xlfn.XLOOKUP(B401,'Base stats'!B:B,'Base stats'!U:U)="No","No",
MROUND(_xlfn.XLOOKUP(B401,'Base stats'!B:B,'Base stats'!BT:BT)/10000+0.01,0.01)
))</f>
        <v>No</v>
      </c>
      <c r="J401" s="4">
        <f>IF(G401="No","No",
MROUND(_xlfn.XLOOKUP(B401,'Base stats'!B:B,'Base stats'!BE:BE)^0.25
/((_xlfn.XLOOKUP(B401,'Base stats'!B:B,'Base stats'!BL:BL))*10)*_xlfn.XLOOKUP(_xlfn.XLOOKUP(B401,'Base stats'!B:B,'Base stats'!E:E),Groups!A:A,Groups!Q:Q)*150 + 0.5 + _xlfn.XLOOKUP(B401,'Base stats'!B:B,'Base stats'!BW:BW),
0.05))</f>
        <v>3.9000000000000004</v>
      </c>
      <c r="K401" s="3">
        <f>IF(Animals!X401="No","No",
IF(_xlfn.XLOOKUP(_xlfn.XLOOKUP(B401,'Base stats'!B:B,'Base stats'!E:E),Groups!A:A,Groups!BD:BD)=1,
MAX(MROUND(_xlfn.XLOOKUP(B401,'Base stats'!B:B,'Base stats'!BU:BU) * _xlfn.XLOOKUP(B401,'Base stats'!B:B,'Base stats'!BQ:BQ)^0.9 / 21 *_xlfn.XLOOKUP(B401,'Base stats'!B:B,'Base stats'!BX:BX),0.1),0.05),
MAX(MROUND(((MIN(10,_xlfn.XLOOKUP(B401,'Base stats'!B:B,'Base stats'!W:W)))^0.4*_xlfn.XLOOKUP(B401,'Base stats'!B:B,'Base stats'!BI:BI)^0.73)^0.6 *_xlfn.XLOOKUP(B401,'Base stats'!B:B,'Base stats'!BX:BX),0.1),0.05)
))</f>
        <v>69.100000000000009</v>
      </c>
      <c r="L401" s="11">
        <f>IF(K401="No","No",
MROUND(_xlfn.XLOOKUP(B401,'Base stats'!B:B,'Base stats'!BI:BI) * 0.01 *2 + 0.05, 0.05)
)</f>
        <v>89.7</v>
      </c>
      <c r="M401" s="5">
        <f>IF(K401="No","No",IF(_xlfn.XLOOKUP(_xlfn.XLOOKUP(B401,'Base stats'!B:B,'Base stats'!E:E),Groups!A:A,Groups!BD:BD)=1,"No",
MROUND(_xlfn.XLOOKUP(B401,'Base stats'!B:B,'Base stats'!BU:BU)/10000+0.01,0.01)
))</f>
        <v>3.63</v>
      </c>
      <c r="N401" s="4">
        <f>IF(K401="No","No",
MROUND(
  _xlfn.XLOOKUP(B401,'Base stats'!B:B,'Base stats'!BC:BC)^0.25
  / (_xlfn.XLOOKUP(B401,'Base stats'!B:B,'Base stats'!BM:BM) * 10)
  * _xlfn.XLOOKUP(
      _xlfn.XLOOKUP(B401,'Base stats'!B:B,'Base stats'!E:E),
      Groups!A:A,
      Groups!V:V
    ) * 150
  + MIN(12, _xlfn.XLOOKUP(B401,'Base stats'!B:B,'Base stats'!W:W))^(1/IF(_xlfn.XLOOKUP(_xlfn.XLOOKUP(B401,'Base stats'!B:B,'Base stats'!E:E),Groups!A:A,Groups!U:U)=1,100,10)) + 0.5 + _xlfn.XLOOKUP(B401,'Base stats'!B:B,'Base stats'!BW:BW),
0.05))</f>
        <v>4.1500000000000004</v>
      </c>
      <c r="O401" s="3" t="str">
        <f>IF(Animals!AD401="No","No",
MAX(MROUND((MIN(10,_xlfn.XLOOKUP(B401,'Base stats'!B:B,'Base stats'!V:V)*IF(_xlfn.XLOOKUP(_xlfn.XLOOKUP(B401,'Base stats'!B:B,'Base stats'!E:E),Groups!A:A,Groups!O:O)=0,1,0.33))^0.4*_xlfn.XLOOKUP(B401,'Base stats'!B:B,'Base stats'!BJ:BJ)^0.73)^0.6 *_xlfn.XLOOKUP(B401,'Base stats'!B:B,'Base stats'!BX:BX),0.1),0.05)
)</f>
        <v>No</v>
      </c>
      <c r="P401" s="11" t="str">
        <f>IF(O401="No","No",
MROUND(_xlfn.XLOOKUP(B401,'Base stats'!B:B,'Base stats'!BJ:BJ) * 0.01 * 2 + 0.05, 0.05)
)</f>
        <v>No</v>
      </c>
      <c r="Q401" s="5" t="str">
        <f>IF(O401="No","No",
MROUND(_xlfn.XLOOKUP(B401,'Base stats'!B:B,'Base stats'!BV:BV)/10000+0.01,0.01)
)</f>
        <v>No</v>
      </c>
      <c r="R401" s="4" t="str">
        <f>IF(O401="No","No",
MROUND(_xlfn.XLOOKUP(B401,'Base stats'!B:B,'Base stats'!BB:BB)^0.25
/((_xlfn.XLOOKUP(B401,'Base stats'!B:B,'Base stats'!BN:BN))*10)*_xlfn.XLOOKUP(_xlfn.XLOOKUP(B401,'Base stats'!B:B,'Base stats'!E:E),Groups!A:A,Groups!Z:Z)*150 + 0.5 + _xlfn.XLOOKUP(B401,'Base stats'!B:B,'Base stats'!BW:BW),
0.05))</f>
        <v>No</v>
      </c>
      <c r="S401" s="3" t="str">
        <f>IF(Animals!AI401="No","No",
IF(_xlfn.XLOOKUP(B401,'Base stats'!B:B,'Base stats'!U:U)="No",
MAX(MROUND(_xlfn.XLOOKUP(B401,'Base stats'!B:B,'Base stats'!BT:BT) * _xlfn.XLOOKUP(B401,'Base stats'!B:B,'Base stats'!BP:BP)^0.9 / 21 * _xlfn.XLOOKUP(B401,'Base stats'!B:B,'Base stats'!BX:BX),0.1),0.05),
MAX(MROUND(((MIN(12,_xlfn.XLOOKUP(B401,'Base stats'!B:B,'Base stats'!U:U)))^0.4*_xlfn.XLOOKUP(B401,'Base stats'!B:B,'Base stats'!BH:BH)^0.73)^0.6 * _xlfn.XLOOKUP(B401,'Base stats'!B:B,'Base stats'!BX:BX),0.1),0.05)
))</f>
        <v>No</v>
      </c>
      <c r="T401" s="11" t="str">
        <f>IF(S401="No","No",
MROUND(_xlfn.XLOOKUP(B401,'Base stats'!B:B,'Base stats'!BH:BH) * 0.01 * 2 + 0.05, 0.05)
)</f>
        <v>No</v>
      </c>
      <c r="U401" s="5" t="str">
        <f>IF(S401="No","No",IF(_xlfn.XLOOKUP(B401,'Base stats'!B:B,'Base stats'!U:U)="No","No",
MROUND(_xlfn.XLOOKUP(B401,'Base stats'!B:B,'Base stats'!BT:BT)/10000+0.01,0.01)
))</f>
        <v>No</v>
      </c>
      <c r="V401" s="4" t="str">
        <f>IF(S401="No","No",
MROUND(_xlfn.XLOOKUP(B401,'Base stats'!B:B,'Base stats'!BF:BF)^0.25
/((_xlfn.XLOOKUP(B401,'Base stats'!B:B,'Base stats'!BO:BO))*10)*_xlfn.XLOOKUP(_xlfn.XLOOKUP(B401,'Base stats'!B:B,'Base stats'!E:E),Groups!A:A,Groups!AE:AE)*150 + 0.5 + _xlfn.XLOOKUP(B401,'Base stats'!B:B,'Base stats'!BW:BW),
0.05))</f>
        <v>No</v>
      </c>
      <c r="W401" s="8">
        <f>MROUND(_xlfn.XLOOKUP(_xlfn.XLOOKUP(B401,'Base stats'!B:B,'Base stats'!E:E),Groups!A:A,Groups!BG:BG)*_xlfn.XLOOKUP(B401,'Base stats'!B:B,'Base stats'!C:C)^-0.165,0.05)</f>
        <v>0.05</v>
      </c>
      <c r="X401" s="1">
        <f>MROUND(_xlfn.XLOOKUP(_xlfn.XLOOKUP(B401,'Base stats'!B:B,'Base stats'!E:E),Groups!A:A,Groups!BH:BH)*_xlfn.XLOOKUP(B401,'Base stats'!B:B,'Base stats'!C:C)^0.165,0.05)</f>
        <v>0.45</v>
      </c>
      <c r="Y401" s="8">
        <f>MROUND(_xlfn.XLOOKUP(_xlfn.XLOOKUP(B401,'Base stats'!B:B,'Base stats'!E:E),Groups!A:A,Groups!BI:BI)*_xlfn.XLOOKUP(B401,'Base stats'!B:B,'Base stats'!C:C)^0.165,0.05)</f>
        <v>0.25</v>
      </c>
      <c r="Z401" s="18">
        <f>MROUND(_xlfn.XLOOKUP(B401,'Base stats'!B:B,'Base stats'!AQ:AQ)*_xlfn.XLOOKUP(_xlfn.XLOOKUP(B401,'Base stats'!B:B,'Base stats'!E:E),Groups!A:A,Groups!H:H)/1000,IF((_xlfn.XLOOKUP(B401,'Base stats'!B:B,'Base stats'!AQ:AQ)*_xlfn.XLOOKUP(_xlfn.XLOOKUP(B401,'Base stats'!B:B,'Base stats'!E:E),Groups!A:A,Groups!H:H)/1000)&gt;1,0.05,0.01))</f>
        <v>0.34</v>
      </c>
      <c r="AA401" s="18">
        <f>MROUND((1/2)*(_xlfn.XLOOKUP(_xlfn.XLOOKUP(B401,'Base stats'!B:B,'Base stats'!E:E),Groups!A:A,Groups!H:H)*_xlfn.XLOOKUP(_xlfn.XLOOKUP(B401,'Base stats'!B:B,'Base stats'!E:E),Groups!A:A,Groups!I:I))*_xlfn.XLOOKUP(B401,'Base stats'!B:B,'Base stats'!AQ:AQ)*0.01,0.05)</f>
        <v>1.4500000000000002</v>
      </c>
      <c r="AB401" s="18">
        <f>MROUND(250*(Animals!AO401+Animals!AP401),25)</f>
        <v>3500</v>
      </c>
      <c r="AC401" s="18" t="str">
        <f>_xlfn.XLOOKUP(_xlfn.XLOOKUP(B401,'Base stats'!B:B,'Base stats'!E:E),Groups!A:A,Groups!BJ:BJ)</f>
        <v>Quadruped</v>
      </c>
    </row>
    <row r="402" spans="1:29" ht="16.5" thickTop="1" thickBot="1" x14ac:dyDescent="0.3">
      <c r="A402" s="16" t="str">
        <f>Animals!A402</f>
        <v>Aurochs</v>
      </c>
      <c r="B402" s="6" t="str">
        <f>Animals!B402</f>
        <v>Bos primigenius</v>
      </c>
      <c r="C402" s="1" t="str">
        <f>Animals!C402</f>
        <v>&lt;li&gt;Aurochs&lt;/li&gt;</v>
      </c>
      <c r="D402" s="47">
        <f>MIN(MIN(6,_xlfn.XLOOKUP(A402,Animals!A:A,Animals!AO:AO))*20,MAX(MROUND(_xlfn.XLOOKUP(B402,'Base stats'!B:B,'Base stats'!BS:BS) * (_xlfn.XLOOKUP(B402,'Base stats'!B:B,'Base stats'!AO:AO)*5%)^0.9 / 21,0.1),0.05))</f>
        <v>18</v>
      </c>
      <c r="E402" s="11">
        <f>MROUND(_xlfn.XLOOKUP(B402,'Base stats'!B:B,'Base stats'!BG:BG) * 0.01 * 2 + 0.01, 0.05)</f>
        <v>17.45</v>
      </c>
      <c r="F402" s="7">
        <f>MROUND(_xlfn.XLOOKUP(B402,'Base stats'!B:B,'Base stats'!BD:BD)^0.25 / (_xlfn.XLOOKUP(B402,'Base stats'!B:B,'Base stats'!BK:BK) * 10) * 150 + 0.5 + _xlfn.XLOOKUP(B402,'Base stats'!B:B,'Base stats'!BW:BW), 0.05)</f>
        <v>2</v>
      </c>
      <c r="G402" s="3">
        <f>IF(Animals!S402="No","No",
IF(_xlfn.XLOOKUP(B402,'Base stats'!B:B,'Base stats'!U:U)="No",
MAX(MROUND(_xlfn.XLOOKUP(B402,'Base stats'!B:B,'Base stats'!BT:BT) * _xlfn.XLOOKUP(B402,'Base stats'!B:B,'Base stats'!BP:BP)^0.9 / 21 * _xlfn.XLOOKUP(B402,'Base stats'!B:B,'Base stats'!BX:BX),0.1),0.05),
MAX(MROUND(((MIN(10,_xlfn.XLOOKUP(B402,'Base stats'!B:B,'Base stats'!U:U)))^0.4*_xlfn.XLOOKUP(B402,'Base stats'!B:B,'Base stats'!BH:BH)^0.73)^0.6 * _xlfn.XLOOKUP(B402,'Base stats'!B:B,'Base stats'!BX:BX),0.1),0.05)
))</f>
        <v>28.400000000000002</v>
      </c>
      <c r="H402" s="11">
        <f>IF(G402="No","No",
MROUND(_xlfn.XLOOKUP(B402,'Base stats'!B:B,'Base stats'!BH:BH) * 0.01 * 2 + 0.05, 0.05)
)</f>
        <v>19.55</v>
      </c>
      <c r="I402" s="11" t="str">
        <f>IF(G402="No","No",IF(_xlfn.XLOOKUP(B402,'Base stats'!B:B,'Base stats'!U:U)="No","No",
MROUND(_xlfn.XLOOKUP(B402,'Base stats'!B:B,'Base stats'!BT:BT)/10000+0.01,0.01)
))</f>
        <v>No</v>
      </c>
      <c r="J402" s="4">
        <f>IF(G402="No","No",
MROUND(_xlfn.XLOOKUP(B402,'Base stats'!B:B,'Base stats'!BE:BE)^0.25
/((_xlfn.XLOOKUP(B402,'Base stats'!B:B,'Base stats'!BL:BL))*10)*_xlfn.XLOOKUP(_xlfn.XLOOKUP(B402,'Base stats'!B:B,'Base stats'!E:E),Groups!A:A,Groups!Q:Q)*150 + 0.5 + _xlfn.XLOOKUP(B402,'Base stats'!B:B,'Base stats'!BW:BW),
0.05))</f>
        <v>2.9000000000000004</v>
      </c>
      <c r="K402" s="3">
        <f>IF(Animals!X402="No","No",
IF(_xlfn.XLOOKUP(_xlfn.XLOOKUP(B402,'Base stats'!B:B,'Base stats'!E:E),Groups!A:A,Groups!BD:BD)=1,
MAX(MROUND(_xlfn.XLOOKUP(B402,'Base stats'!B:B,'Base stats'!BU:BU) * _xlfn.XLOOKUP(B402,'Base stats'!B:B,'Base stats'!BQ:BQ)^0.9 / 21 *_xlfn.XLOOKUP(B402,'Base stats'!B:B,'Base stats'!BX:BX),0.1),0.05),
MAX(MROUND(((MIN(10,_xlfn.XLOOKUP(B402,'Base stats'!B:B,'Base stats'!W:W)))^0.4*_xlfn.XLOOKUP(B402,'Base stats'!B:B,'Base stats'!BI:BI)^0.73)^0.6 *_xlfn.XLOOKUP(B402,'Base stats'!B:B,'Base stats'!BX:BX),0.1),0.05)
))</f>
        <v>38.400000000000006</v>
      </c>
      <c r="L402" s="11">
        <f>IF(K402="No","No",
MROUND(_xlfn.XLOOKUP(B402,'Base stats'!B:B,'Base stats'!BI:BI) * 0.01 *2 + 0.05, 0.05)
)</f>
        <v>23.5</v>
      </c>
      <c r="M402" s="5">
        <f>IF(K402="No","No",IF(_xlfn.XLOOKUP(_xlfn.XLOOKUP(B402,'Base stats'!B:B,'Base stats'!E:E),Groups!A:A,Groups!BD:BD)=1,"No",
MROUND(_xlfn.XLOOKUP(B402,'Base stats'!B:B,'Base stats'!BU:BU)/10000+0.01,0.01)
))</f>
        <v>1.19</v>
      </c>
      <c r="N402" s="4">
        <f>IF(K402="No","No",
MROUND(
  _xlfn.XLOOKUP(B402,'Base stats'!B:B,'Base stats'!BC:BC)^0.25
  / (_xlfn.XLOOKUP(B402,'Base stats'!B:B,'Base stats'!BM:BM) * 10)
  * _xlfn.XLOOKUP(
      _xlfn.XLOOKUP(B402,'Base stats'!B:B,'Base stats'!E:E),
      Groups!A:A,
      Groups!V:V
    ) * 150
  + MIN(12, _xlfn.XLOOKUP(B402,'Base stats'!B:B,'Base stats'!W:W))^(1/IF(_xlfn.XLOOKUP(_xlfn.XLOOKUP(B402,'Base stats'!B:B,'Base stats'!E:E),Groups!A:A,Groups!U:U)=1,100,10)) + 0.5 + _xlfn.XLOOKUP(B402,'Base stats'!B:B,'Base stats'!BW:BW),
0.05))</f>
        <v>3.3000000000000003</v>
      </c>
      <c r="O402" s="3" t="str">
        <f>IF(Animals!AD402="No","No",
MAX(MROUND((MIN(10,_xlfn.XLOOKUP(B402,'Base stats'!B:B,'Base stats'!V:V)*IF(_xlfn.XLOOKUP(_xlfn.XLOOKUP(B402,'Base stats'!B:B,'Base stats'!E:E),Groups!A:A,Groups!O:O)=0,1,0.33))^0.4*_xlfn.XLOOKUP(B402,'Base stats'!B:B,'Base stats'!BJ:BJ)^0.73)^0.6 *_xlfn.XLOOKUP(B402,'Base stats'!B:B,'Base stats'!BX:BX),0.1),0.05)
)</f>
        <v>No</v>
      </c>
      <c r="P402" s="11" t="str">
        <f>IF(O402="No","No",
MROUND(_xlfn.XLOOKUP(B402,'Base stats'!B:B,'Base stats'!BJ:BJ) * 0.01 * 2 + 0.05, 0.05)
)</f>
        <v>No</v>
      </c>
      <c r="Q402" s="5" t="str">
        <f>IF(O402="No","No",
MROUND(_xlfn.XLOOKUP(B402,'Base stats'!B:B,'Base stats'!BV:BV)/10000+0.01,0.01)
)</f>
        <v>No</v>
      </c>
      <c r="R402" s="4" t="str">
        <f>IF(O402="No","No",
MROUND(_xlfn.XLOOKUP(B402,'Base stats'!B:B,'Base stats'!BB:BB)^0.25
/((_xlfn.XLOOKUP(B402,'Base stats'!B:B,'Base stats'!BN:BN))*10)*_xlfn.XLOOKUP(_xlfn.XLOOKUP(B402,'Base stats'!B:B,'Base stats'!E:E),Groups!A:A,Groups!Z:Z)*150 + 0.5 + _xlfn.XLOOKUP(B402,'Base stats'!B:B,'Base stats'!BW:BW),
0.05))</f>
        <v>No</v>
      </c>
      <c r="S402" s="3" t="str">
        <f>IF(Animals!AI402="No","No",
IF(_xlfn.XLOOKUP(B402,'Base stats'!B:B,'Base stats'!U:U)="No",
MAX(MROUND(_xlfn.XLOOKUP(B402,'Base stats'!B:B,'Base stats'!BT:BT) * _xlfn.XLOOKUP(B402,'Base stats'!B:B,'Base stats'!BP:BP)^0.9 / 21 * _xlfn.XLOOKUP(B402,'Base stats'!B:B,'Base stats'!BX:BX),0.1),0.05),
MAX(MROUND(((MIN(12,_xlfn.XLOOKUP(B402,'Base stats'!B:B,'Base stats'!U:U)))^0.4*_xlfn.XLOOKUP(B402,'Base stats'!B:B,'Base stats'!BH:BH)^0.73)^0.6 * _xlfn.XLOOKUP(B402,'Base stats'!B:B,'Base stats'!BX:BX),0.1),0.05)
))</f>
        <v>No</v>
      </c>
      <c r="T402" s="11" t="str">
        <f>IF(S402="No","No",
MROUND(_xlfn.XLOOKUP(B402,'Base stats'!B:B,'Base stats'!BH:BH) * 0.01 * 2 + 0.05, 0.05)
)</f>
        <v>No</v>
      </c>
      <c r="U402" s="5" t="str">
        <f>IF(S402="No","No",IF(_xlfn.XLOOKUP(B402,'Base stats'!B:B,'Base stats'!U:U)="No","No",
MROUND(_xlfn.XLOOKUP(B402,'Base stats'!B:B,'Base stats'!BT:BT)/10000+0.01,0.01)
))</f>
        <v>No</v>
      </c>
      <c r="V402" s="4" t="str">
        <f>IF(S402="No","No",
MROUND(_xlfn.XLOOKUP(B402,'Base stats'!B:B,'Base stats'!BF:BF)^0.25
/((_xlfn.XLOOKUP(B402,'Base stats'!B:B,'Base stats'!BO:BO))*10)*_xlfn.XLOOKUP(_xlfn.XLOOKUP(B402,'Base stats'!B:B,'Base stats'!E:E),Groups!A:A,Groups!AE:AE)*150 + 0.5 + _xlfn.XLOOKUP(B402,'Base stats'!B:B,'Base stats'!BW:BW),
0.05))</f>
        <v>No</v>
      </c>
      <c r="W402" s="8">
        <f>MROUND(_xlfn.XLOOKUP(_xlfn.XLOOKUP(B402,'Base stats'!B:B,'Base stats'!E:E),Groups!A:A,Groups!BG:BG)*_xlfn.XLOOKUP(B402,'Base stats'!B:B,'Base stats'!C:C)^-0.165,0.05)</f>
        <v>0.15000000000000002</v>
      </c>
      <c r="X402" s="1">
        <f>MROUND(_xlfn.XLOOKUP(_xlfn.XLOOKUP(B402,'Base stats'!B:B,'Base stats'!E:E),Groups!A:A,Groups!BH:BH)*_xlfn.XLOOKUP(B402,'Base stats'!B:B,'Base stats'!C:C)^0.165,0.05)</f>
        <v>0</v>
      </c>
      <c r="Y402" s="8">
        <f>MROUND(_xlfn.XLOOKUP(_xlfn.XLOOKUP(B402,'Base stats'!B:B,'Base stats'!E:E),Groups!A:A,Groups!BI:BI)*_xlfn.XLOOKUP(B402,'Base stats'!B:B,'Base stats'!C:C)^0.165,0.05)</f>
        <v>0</v>
      </c>
      <c r="Z402" s="18">
        <f>MROUND(_xlfn.XLOOKUP(B402,'Base stats'!B:B,'Base stats'!AQ:AQ)*_xlfn.XLOOKUP(_xlfn.XLOOKUP(B402,'Base stats'!B:B,'Base stats'!E:E),Groups!A:A,Groups!H:H)/1000,IF((_xlfn.XLOOKUP(B402,'Base stats'!B:B,'Base stats'!AQ:AQ)*_xlfn.XLOOKUP(_xlfn.XLOOKUP(B402,'Base stats'!B:B,'Base stats'!E:E),Groups!A:A,Groups!H:H)/1000)&gt;1,0.05,0.01))</f>
        <v>0.12</v>
      </c>
      <c r="AA402" s="18">
        <f>MROUND((1/2)*(_xlfn.XLOOKUP(_xlfn.XLOOKUP(B402,'Base stats'!B:B,'Base stats'!E:E),Groups!A:A,Groups!H:H)*_xlfn.XLOOKUP(_xlfn.XLOOKUP(B402,'Base stats'!B:B,'Base stats'!E:E),Groups!A:A,Groups!I:I))*_xlfn.XLOOKUP(B402,'Base stats'!B:B,'Base stats'!AQ:AQ)*0.01,0.05)</f>
        <v>0.55000000000000004</v>
      </c>
      <c r="AB402" s="18">
        <f>MROUND(250*(Animals!AO402+Animals!AP402),25)</f>
        <v>1625</v>
      </c>
      <c r="AC402" s="18" t="str">
        <f>_xlfn.XLOOKUP(_xlfn.XLOOKUP(B402,'Base stats'!B:B,'Base stats'!E:E),Groups!A:A,Groups!BJ:BJ)</f>
        <v>Quadruped</v>
      </c>
    </row>
    <row r="403" spans="1:29" ht="16.5" thickTop="1" thickBot="1" x14ac:dyDescent="0.3">
      <c r="A403" s="16" t="str">
        <f>Animals!A403</f>
        <v>Megalochelys</v>
      </c>
      <c r="B403" s="6" t="str">
        <f>Animals!B403</f>
        <v>Megalochelys atlas</v>
      </c>
      <c r="C403" s="1" t="str">
        <f>Animals!C403</f>
        <v>&lt;li&gt;Megalochelys&lt;/li&gt;</v>
      </c>
      <c r="D403" s="47">
        <f>MIN(MIN(6,_xlfn.XLOOKUP(A403,Animals!A:A,Animals!AO:AO))*20,MAX(MROUND(_xlfn.XLOOKUP(B403,'Base stats'!B:B,'Base stats'!BS:BS) * (_xlfn.XLOOKUP(B403,'Base stats'!B:B,'Base stats'!AO:AO)*5%)^0.9 / 21,0.1),0.05))</f>
        <v>10.700000000000001</v>
      </c>
      <c r="E403" s="11">
        <f>MROUND(_xlfn.XLOOKUP(B403,'Base stats'!B:B,'Base stats'!BG:BG) * 0.01 * 2 + 0.01, 0.05)</f>
        <v>10.5</v>
      </c>
      <c r="F403" s="7">
        <f>MROUND(_xlfn.XLOOKUP(B403,'Base stats'!B:B,'Base stats'!BD:BD)^0.25 / (_xlfn.XLOOKUP(B403,'Base stats'!B:B,'Base stats'!BK:BK) * 10) * 150 + 0.5 + _xlfn.XLOOKUP(B403,'Base stats'!B:B,'Base stats'!BW:BW), 0.05)</f>
        <v>2.5500000000000003</v>
      </c>
      <c r="G403" s="3" t="str">
        <f>IF(Animals!S403="No","No",
IF(_xlfn.XLOOKUP(B403,'Base stats'!B:B,'Base stats'!U:U)="No",
MAX(MROUND(_xlfn.XLOOKUP(B403,'Base stats'!B:B,'Base stats'!BT:BT) * _xlfn.XLOOKUP(B403,'Base stats'!B:B,'Base stats'!BP:BP)^0.9 / 21 * _xlfn.XLOOKUP(B403,'Base stats'!B:B,'Base stats'!BX:BX),0.1),0.05),
MAX(MROUND(((MIN(10,_xlfn.XLOOKUP(B403,'Base stats'!B:B,'Base stats'!U:U)))^0.4*_xlfn.XLOOKUP(B403,'Base stats'!B:B,'Base stats'!BH:BH)^0.73)^0.6 * _xlfn.XLOOKUP(B403,'Base stats'!B:B,'Base stats'!BX:BX),0.1),0.05)
))</f>
        <v>No</v>
      </c>
      <c r="H403" s="11" t="str">
        <f>IF(G403="No","No",
MROUND(_xlfn.XLOOKUP(B403,'Base stats'!B:B,'Base stats'!BH:BH) * 0.01 * 2 + 0.05, 0.05)
)</f>
        <v>No</v>
      </c>
      <c r="I403" s="11" t="str">
        <f>IF(G403="No","No",IF(_xlfn.XLOOKUP(B403,'Base stats'!B:B,'Base stats'!U:U)="No","No",
MROUND(_xlfn.XLOOKUP(B403,'Base stats'!B:B,'Base stats'!BT:BT)/10000+0.01,0.01)
))</f>
        <v>No</v>
      </c>
      <c r="J403" s="4" t="str">
        <f>IF(G403="No","No",
MROUND(_xlfn.XLOOKUP(B403,'Base stats'!B:B,'Base stats'!BE:BE)^0.25
/((_xlfn.XLOOKUP(B403,'Base stats'!B:B,'Base stats'!BL:BL))*10)*_xlfn.XLOOKUP(_xlfn.XLOOKUP(B403,'Base stats'!B:B,'Base stats'!E:E),Groups!A:A,Groups!Q:Q)*150 + 0.5 + _xlfn.XLOOKUP(B403,'Base stats'!B:B,'Base stats'!BW:BW),
0.05))</f>
        <v>No</v>
      </c>
      <c r="K403" s="3" t="str">
        <f>IF(Animals!X403="No","No",
IF(_xlfn.XLOOKUP(_xlfn.XLOOKUP(B403,'Base stats'!B:B,'Base stats'!E:E),Groups!A:A,Groups!BD:BD)=1,
MAX(MROUND(_xlfn.XLOOKUP(B403,'Base stats'!B:B,'Base stats'!BU:BU) * _xlfn.XLOOKUP(B403,'Base stats'!B:B,'Base stats'!BQ:BQ)^0.9 / 21 *_xlfn.XLOOKUP(B403,'Base stats'!B:B,'Base stats'!BX:BX),0.1),0.05),
MAX(MROUND(((MIN(10,_xlfn.XLOOKUP(B403,'Base stats'!B:B,'Base stats'!W:W)))^0.4*_xlfn.XLOOKUP(B403,'Base stats'!B:B,'Base stats'!BI:BI)^0.73)^0.6 *_xlfn.XLOOKUP(B403,'Base stats'!B:B,'Base stats'!BX:BX),0.1),0.05)
))</f>
        <v>No</v>
      </c>
      <c r="L403" s="11" t="str">
        <f>IF(K403="No","No",
MROUND(_xlfn.XLOOKUP(B403,'Base stats'!B:B,'Base stats'!BI:BI) * 0.01 *2 + 0.05, 0.05)
)</f>
        <v>No</v>
      </c>
      <c r="M403" s="5" t="str">
        <f>IF(K403="No","No",IF(_xlfn.XLOOKUP(_xlfn.XLOOKUP(B403,'Base stats'!B:B,'Base stats'!E:E),Groups!A:A,Groups!BD:BD)=1,"No",
MROUND(_xlfn.XLOOKUP(B403,'Base stats'!B:B,'Base stats'!BU:BU)/10000+0.01,0.01)
))</f>
        <v>No</v>
      </c>
      <c r="N403" s="4" t="str">
        <f>IF(K403="No","No",
MROUND(
  _xlfn.XLOOKUP(B403,'Base stats'!B:B,'Base stats'!BC:BC)^0.25
  / (_xlfn.XLOOKUP(B403,'Base stats'!B:B,'Base stats'!BM:BM) * 10)
  * _xlfn.XLOOKUP(
      _xlfn.XLOOKUP(B403,'Base stats'!B:B,'Base stats'!E:E),
      Groups!A:A,
      Groups!V:V
    ) * 150
  + MIN(12, _xlfn.XLOOKUP(B403,'Base stats'!B:B,'Base stats'!W:W))^(1/IF(_xlfn.XLOOKUP(_xlfn.XLOOKUP(B403,'Base stats'!B:B,'Base stats'!E:E),Groups!A:A,Groups!U:U)=1,100,10)) + 0.5 + _xlfn.XLOOKUP(B403,'Base stats'!B:B,'Base stats'!BW:BW),
0.05))</f>
        <v>No</v>
      </c>
      <c r="O403" s="3">
        <f>IF(Animals!AD403="No","No",
MAX(MROUND((MIN(10,_xlfn.XLOOKUP(B403,'Base stats'!B:B,'Base stats'!V:V)*IF(_xlfn.XLOOKUP(_xlfn.XLOOKUP(B403,'Base stats'!B:B,'Base stats'!E:E),Groups!A:A,Groups!O:O)=0,1,0.33))^0.4*_xlfn.XLOOKUP(B403,'Base stats'!B:B,'Base stats'!BJ:BJ)^0.73)^0.6 *_xlfn.XLOOKUP(B403,'Base stats'!B:B,'Base stats'!BX:BX),0.1),0.05)
)</f>
        <v>23.1</v>
      </c>
      <c r="P403" s="11">
        <f>IF(O403="No","No",
MROUND(_xlfn.XLOOKUP(B403,'Base stats'!B:B,'Base stats'!BJ:BJ) * 0.01 * 2 + 0.05, 0.05)
)</f>
        <v>9.25</v>
      </c>
      <c r="Q403" s="5">
        <f>IF(O403="No","No",
MROUND(_xlfn.XLOOKUP(B403,'Base stats'!B:B,'Base stats'!BV:BV)/10000+0.01,0.01)
)</f>
        <v>0.08</v>
      </c>
      <c r="R403" s="4">
        <f>IF(O403="No","No",
MROUND(_xlfn.XLOOKUP(B403,'Base stats'!B:B,'Base stats'!BB:BB)^0.25
/((_xlfn.XLOOKUP(B403,'Base stats'!B:B,'Base stats'!BN:BN))*10)*_xlfn.XLOOKUP(_xlfn.XLOOKUP(B403,'Base stats'!B:B,'Base stats'!E:E),Groups!A:A,Groups!Z:Z)*150 + 0.5 + _xlfn.XLOOKUP(B403,'Base stats'!B:B,'Base stats'!BW:BW),
0.05))</f>
        <v>2.4500000000000002</v>
      </c>
      <c r="S403" s="3" t="str">
        <f>IF(Animals!AI403="No","No",
IF(_xlfn.XLOOKUP(B403,'Base stats'!B:B,'Base stats'!U:U)="No",
MAX(MROUND(_xlfn.XLOOKUP(B403,'Base stats'!B:B,'Base stats'!BT:BT) * _xlfn.XLOOKUP(B403,'Base stats'!B:B,'Base stats'!BP:BP)^0.9 / 21 * _xlfn.XLOOKUP(B403,'Base stats'!B:B,'Base stats'!BX:BX),0.1),0.05),
MAX(MROUND(((MIN(12,_xlfn.XLOOKUP(B403,'Base stats'!B:B,'Base stats'!U:U)))^0.4*_xlfn.XLOOKUP(B403,'Base stats'!B:B,'Base stats'!BH:BH)^0.73)^0.6 * _xlfn.XLOOKUP(B403,'Base stats'!B:B,'Base stats'!BX:BX),0.1),0.05)
))</f>
        <v>No</v>
      </c>
      <c r="T403" s="11" t="str">
        <f>IF(S403="No","No",
MROUND(_xlfn.XLOOKUP(B403,'Base stats'!B:B,'Base stats'!BH:BH) * 0.01 * 2 + 0.05, 0.05)
)</f>
        <v>No</v>
      </c>
      <c r="U403" s="5" t="str">
        <f>IF(S403="No","No",IF(_xlfn.XLOOKUP(B403,'Base stats'!B:B,'Base stats'!U:U)="No","No",
MROUND(_xlfn.XLOOKUP(B403,'Base stats'!B:B,'Base stats'!BT:BT)/10000+0.01,0.01)
))</f>
        <v>No</v>
      </c>
      <c r="V403" s="4" t="str">
        <f>IF(S403="No","No",
MROUND(_xlfn.XLOOKUP(B403,'Base stats'!B:B,'Base stats'!BF:BF)^0.25
/((_xlfn.XLOOKUP(B403,'Base stats'!B:B,'Base stats'!BO:BO))*10)*_xlfn.XLOOKUP(_xlfn.XLOOKUP(B403,'Base stats'!B:B,'Base stats'!E:E),Groups!A:A,Groups!AE:AE)*150 + 0.5 + _xlfn.XLOOKUP(B403,'Base stats'!B:B,'Base stats'!BW:BW),
0.05))</f>
        <v>No</v>
      </c>
      <c r="W403" s="8">
        <f>MROUND(_xlfn.XLOOKUP(_xlfn.XLOOKUP(B403,'Base stats'!B:B,'Base stats'!E:E),Groups!A:A,Groups!BG:BG)*_xlfn.XLOOKUP(B403,'Base stats'!B:B,'Base stats'!C:C)^-0.165,0.05)</f>
        <v>0</v>
      </c>
      <c r="X403" s="1">
        <f>MROUND(_xlfn.XLOOKUP(_xlfn.XLOOKUP(B403,'Base stats'!B:B,'Base stats'!E:E),Groups!A:A,Groups!BH:BH)*_xlfn.XLOOKUP(B403,'Base stats'!B:B,'Base stats'!C:C)^0.165,0.05)</f>
        <v>0</v>
      </c>
      <c r="Y403" s="8">
        <f>MROUND(_xlfn.XLOOKUP(_xlfn.XLOOKUP(B403,'Base stats'!B:B,'Base stats'!E:E),Groups!A:A,Groups!BI:BI)*_xlfn.XLOOKUP(B403,'Base stats'!B:B,'Base stats'!C:C)^0.165,0.05)</f>
        <v>0</v>
      </c>
      <c r="Z403" s="18">
        <f>MROUND(_xlfn.XLOOKUP(B403,'Base stats'!B:B,'Base stats'!AQ:AQ)*_xlfn.XLOOKUP(_xlfn.XLOOKUP(B403,'Base stats'!B:B,'Base stats'!E:E),Groups!A:A,Groups!H:H)/1000,IF((_xlfn.XLOOKUP(B403,'Base stats'!B:B,'Base stats'!AQ:AQ)*_xlfn.XLOOKUP(_xlfn.XLOOKUP(B403,'Base stats'!B:B,'Base stats'!E:E),Groups!A:A,Groups!H:H)/1000)&gt;1,0.05,0.01))</f>
        <v>4</v>
      </c>
      <c r="AA403" s="18">
        <f>MROUND((1/2)*(_xlfn.XLOOKUP(_xlfn.XLOOKUP(B403,'Base stats'!B:B,'Base stats'!E:E),Groups!A:A,Groups!H:H)*_xlfn.XLOOKUP(_xlfn.XLOOKUP(B403,'Base stats'!B:B,'Base stats'!E:E),Groups!A:A,Groups!I:I))*_xlfn.XLOOKUP(B403,'Base stats'!B:B,'Base stats'!AQ:AQ)*0.01,0.05)</f>
        <v>7.0500000000000007</v>
      </c>
      <c r="AB403" s="18">
        <f>MROUND(250*(Animals!AO403+Animals!AP403),25)</f>
        <v>1750</v>
      </c>
      <c r="AC403" s="18" t="str">
        <f>_xlfn.XLOOKUP(_xlfn.XLOOKUP(B403,'Base stats'!B:B,'Base stats'!E:E),Groups!A:A,Groups!BJ:BJ)</f>
        <v>QuadrupedLow</v>
      </c>
    </row>
    <row r="404" spans="1:29" ht="16.5" thickTop="1" thickBot="1" x14ac:dyDescent="0.3">
      <c r="A404" s="16" t="str">
        <f>Animals!A404</f>
        <v>Palaeeudyptes</v>
      </c>
      <c r="B404" s="6" t="str">
        <f>Animals!B404</f>
        <v>Palaeeudyptes klekowskii</v>
      </c>
      <c r="C404" s="1" t="str">
        <f>Animals!C404</f>
        <v>&lt;li&gt;Palaeeudyptes&lt;/li&gt;</v>
      </c>
      <c r="D404" s="47">
        <f>MIN(MIN(6,_xlfn.XLOOKUP(A404,Animals!A:A,Animals!AO:AO))*20,MAX(MROUND(_xlfn.XLOOKUP(B404,'Base stats'!B:B,'Base stats'!BS:BS) * (_xlfn.XLOOKUP(B404,'Base stats'!B:B,'Base stats'!AO:AO)*5%)^0.9 / 21,0.1),0.05))</f>
        <v>3.5</v>
      </c>
      <c r="E404" s="11">
        <f>MROUND(_xlfn.XLOOKUP(B404,'Base stats'!B:B,'Base stats'!BG:BG) * 0.01 * 2 + 0.01, 0.05)</f>
        <v>2.95</v>
      </c>
      <c r="F404" s="7">
        <f>MROUND(_xlfn.XLOOKUP(B404,'Base stats'!B:B,'Base stats'!BD:BD)^0.25 / (_xlfn.XLOOKUP(B404,'Base stats'!B:B,'Base stats'!BK:BK) * 10) * 150 + 0.5 + _xlfn.XLOOKUP(B404,'Base stats'!B:B,'Base stats'!BW:BW), 0.05)</f>
        <v>2</v>
      </c>
      <c r="G404" s="3" t="str">
        <f>IF(Animals!S404="No","No",
IF(_xlfn.XLOOKUP(B404,'Base stats'!B:B,'Base stats'!U:U)="No",
MAX(MROUND(_xlfn.XLOOKUP(B404,'Base stats'!B:B,'Base stats'!BT:BT) * _xlfn.XLOOKUP(B404,'Base stats'!B:B,'Base stats'!BP:BP)^0.9 / 21 * _xlfn.XLOOKUP(B404,'Base stats'!B:B,'Base stats'!BX:BX),0.1),0.05),
MAX(MROUND(((MIN(10,_xlfn.XLOOKUP(B404,'Base stats'!B:B,'Base stats'!U:U)))^0.4*_xlfn.XLOOKUP(B404,'Base stats'!B:B,'Base stats'!BH:BH)^0.73)^0.6 * _xlfn.XLOOKUP(B404,'Base stats'!B:B,'Base stats'!BX:BX),0.1),0.05)
))</f>
        <v>No</v>
      </c>
      <c r="H404" s="11" t="str">
        <f>IF(G404="No","No",
MROUND(_xlfn.XLOOKUP(B404,'Base stats'!B:B,'Base stats'!BH:BH) * 0.01 * 2 + 0.05, 0.05)
)</f>
        <v>No</v>
      </c>
      <c r="I404" s="11" t="str">
        <f>IF(G404="No","No",IF(_xlfn.XLOOKUP(B404,'Base stats'!B:B,'Base stats'!U:U)="No","No",
MROUND(_xlfn.XLOOKUP(B404,'Base stats'!B:B,'Base stats'!BT:BT)/10000+0.01,0.01)
))</f>
        <v>No</v>
      </c>
      <c r="J404" s="4" t="str">
        <f>IF(G404="No","No",
MROUND(_xlfn.XLOOKUP(B404,'Base stats'!B:B,'Base stats'!BE:BE)^0.25
/((_xlfn.XLOOKUP(B404,'Base stats'!B:B,'Base stats'!BL:BL))*10)*_xlfn.XLOOKUP(_xlfn.XLOOKUP(B404,'Base stats'!B:B,'Base stats'!E:E),Groups!A:A,Groups!Q:Q)*150 + 0.5 + _xlfn.XLOOKUP(B404,'Base stats'!B:B,'Base stats'!BW:BW),
0.05))</f>
        <v>No</v>
      </c>
      <c r="K404" s="3" t="str">
        <f>IF(Animals!X404="No","No",
IF(_xlfn.XLOOKUP(_xlfn.XLOOKUP(B404,'Base stats'!B:B,'Base stats'!E:E),Groups!A:A,Groups!BD:BD)=1,
MAX(MROUND(_xlfn.XLOOKUP(B404,'Base stats'!B:B,'Base stats'!BU:BU) * _xlfn.XLOOKUP(B404,'Base stats'!B:B,'Base stats'!BQ:BQ)^0.9 / 21 *_xlfn.XLOOKUP(B404,'Base stats'!B:B,'Base stats'!BX:BX),0.1),0.05),
MAX(MROUND(((MIN(10,_xlfn.XLOOKUP(B404,'Base stats'!B:B,'Base stats'!W:W)))^0.4*_xlfn.XLOOKUP(B404,'Base stats'!B:B,'Base stats'!BI:BI)^0.73)^0.6 *_xlfn.XLOOKUP(B404,'Base stats'!B:B,'Base stats'!BX:BX),0.1),0.05)
))</f>
        <v>No</v>
      </c>
      <c r="L404" s="11" t="str">
        <f>IF(K404="No","No",
MROUND(_xlfn.XLOOKUP(B404,'Base stats'!B:B,'Base stats'!BI:BI) * 0.01 *2 + 0.05, 0.05)
)</f>
        <v>No</v>
      </c>
      <c r="M404" s="5" t="str">
        <f>IF(K404="No","No",IF(_xlfn.XLOOKUP(_xlfn.XLOOKUP(B404,'Base stats'!B:B,'Base stats'!E:E),Groups!A:A,Groups!BD:BD)=1,"No",
MROUND(_xlfn.XLOOKUP(B404,'Base stats'!B:B,'Base stats'!BU:BU)/10000+0.01,0.01)
))</f>
        <v>No</v>
      </c>
      <c r="N404" s="4" t="str">
        <f>IF(K404="No","No",
MROUND(
  _xlfn.XLOOKUP(B404,'Base stats'!B:B,'Base stats'!BC:BC)^0.25
  / (_xlfn.XLOOKUP(B404,'Base stats'!B:B,'Base stats'!BM:BM) * 10)
  * _xlfn.XLOOKUP(
      _xlfn.XLOOKUP(B404,'Base stats'!B:B,'Base stats'!E:E),
      Groups!A:A,
      Groups!V:V
    ) * 150
  + MIN(12, _xlfn.XLOOKUP(B404,'Base stats'!B:B,'Base stats'!W:W))^(1/IF(_xlfn.XLOOKUP(_xlfn.XLOOKUP(B404,'Base stats'!B:B,'Base stats'!E:E),Groups!A:A,Groups!U:U)=1,100,10)) + 0.5 + _xlfn.XLOOKUP(B404,'Base stats'!B:B,'Base stats'!BW:BW),
0.05))</f>
        <v>No</v>
      </c>
      <c r="O404" s="3">
        <f>IF(Animals!AD404="No","No",
MAX(MROUND((MIN(10,_xlfn.XLOOKUP(B404,'Base stats'!B:B,'Base stats'!V:V)*IF(_xlfn.XLOOKUP(_xlfn.XLOOKUP(B404,'Base stats'!B:B,'Base stats'!E:E),Groups!A:A,Groups!O:O)=0,1,0.33))^0.4*_xlfn.XLOOKUP(B404,'Base stats'!B:B,'Base stats'!BJ:BJ)^0.73)^0.6 *_xlfn.XLOOKUP(B404,'Base stats'!B:B,'Base stats'!BX:BX),0.1),0.05)
)</f>
        <v>5.9</v>
      </c>
      <c r="P404" s="11">
        <f>IF(O404="No","No",
MROUND(_xlfn.XLOOKUP(B404,'Base stats'!B:B,'Base stats'!BJ:BJ) * 0.01 * 2 + 0.05, 0.05)
)</f>
        <v>0.5</v>
      </c>
      <c r="Q404" s="5">
        <f>IF(O404="No","No",
MROUND(_xlfn.XLOOKUP(B404,'Base stats'!B:B,'Base stats'!BV:BV)/10000+0.01,0.01)
)</f>
        <v>0.03</v>
      </c>
      <c r="R404" s="4">
        <f>IF(O404="No","No",
MROUND(_xlfn.XLOOKUP(B404,'Base stats'!B:B,'Base stats'!BB:BB)^0.25
/((_xlfn.XLOOKUP(B404,'Base stats'!B:B,'Base stats'!BN:BN))*10)*_xlfn.XLOOKUP(_xlfn.XLOOKUP(B404,'Base stats'!B:B,'Base stats'!E:E),Groups!A:A,Groups!Z:Z)*150 + 0.5 + _xlfn.XLOOKUP(B404,'Base stats'!B:B,'Base stats'!BW:BW),
0.05))</f>
        <v>2.2000000000000002</v>
      </c>
      <c r="S404" s="3" t="str">
        <f>IF(Animals!AI404="No","No",
IF(_xlfn.XLOOKUP(B404,'Base stats'!B:B,'Base stats'!U:U)="No",
MAX(MROUND(_xlfn.XLOOKUP(B404,'Base stats'!B:B,'Base stats'!BT:BT) * _xlfn.XLOOKUP(B404,'Base stats'!B:B,'Base stats'!BP:BP)^0.9 / 21 * _xlfn.XLOOKUP(B404,'Base stats'!B:B,'Base stats'!BX:BX),0.1),0.05),
MAX(MROUND(((MIN(12,_xlfn.XLOOKUP(B404,'Base stats'!B:B,'Base stats'!U:U)))^0.4*_xlfn.XLOOKUP(B404,'Base stats'!B:B,'Base stats'!BH:BH)^0.73)^0.6 * _xlfn.XLOOKUP(B404,'Base stats'!B:B,'Base stats'!BX:BX),0.1),0.05)
))</f>
        <v>No</v>
      </c>
      <c r="T404" s="11" t="str">
        <f>IF(S404="No","No",
MROUND(_xlfn.XLOOKUP(B404,'Base stats'!B:B,'Base stats'!BH:BH) * 0.01 * 2 + 0.05, 0.05)
)</f>
        <v>No</v>
      </c>
      <c r="U404" s="5" t="str">
        <f>IF(S404="No","No",IF(_xlfn.XLOOKUP(B404,'Base stats'!B:B,'Base stats'!U:U)="No","No",
MROUND(_xlfn.XLOOKUP(B404,'Base stats'!B:B,'Base stats'!BT:BT)/10000+0.01,0.01)
))</f>
        <v>No</v>
      </c>
      <c r="V404" s="4" t="str">
        <f>IF(S404="No","No",
MROUND(_xlfn.XLOOKUP(B404,'Base stats'!B:B,'Base stats'!BF:BF)^0.25
/((_xlfn.XLOOKUP(B404,'Base stats'!B:B,'Base stats'!BO:BO))*10)*_xlfn.XLOOKUP(_xlfn.XLOOKUP(B404,'Base stats'!B:B,'Base stats'!E:E),Groups!A:A,Groups!AE:AE)*150 + 0.5 + _xlfn.XLOOKUP(B404,'Base stats'!B:B,'Base stats'!BW:BW),
0.05))</f>
        <v>No</v>
      </c>
      <c r="W404" s="8">
        <f>MROUND(_xlfn.XLOOKUP(_xlfn.XLOOKUP(B404,'Base stats'!B:B,'Base stats'!E:E),Groups!A:A,Groups!BG:BG)*_xlfn.XLOOKUP(B404,'Base stats'!B:B,'Base stats'!C:C)^-0.165,0.05)</f>
        <v>0.45</v>
      </c>
      <c r="X404" s="1">
        <f>MROUND(_xlfn.XLOOKUP(_xlfn.XLOOKUP(B404,'Base stats'!B:B,'Base stats'!E:E),Groups!A:A,Groups!BH:BH)*_xlfn.XLOOKUP(B404,'Base stats'!B:B,'Base stats'!C:C)^0.165,0.05)</f>
        <v>0</v>
      </c>
      <c r="Y404" s="8">
        <f>MROUND(_xlfn.XLOOKUP(_xlfn.XLOOKUP(B404,'Base stats'!B:B,'Base stats'!E:E),Groups!A:A,Groups!BI:BI)*_xlfn.XLOOKUP(B404,'Base stats'!B:B,'Base stats'!C:C)^0.165,0.05)</f>
        <v>0</v>
      </c>
      <c r="Z404" s="18">
        <f>MROUND(_xlfn.XLOOKUP(B404,'Base stats'!B:B,'Base stats'!AQ:AQ)*_xlfn.XLOOKUP(_xlfn.XLOOKUP(B404,'Base stats'!B:B,'Base stats'!E:E),Groups!A:A,Groups!H:H)/1000,IF((_xlfn.XLOOKUP(B404,'Base stats'!B:B,'Base stats'!AQ:AQ)*_xlfn.XLOOKUP(_xlfn.XLOOKUP(B404,'Base stats'!B:B,'Base stats'!E:E),Groups!A:A,Groups!H:H)/1000)&gt;1,0.05,0.01))</f>
        <v>0</v>
      </c>
      <c r="AA404" s="18">
        <f>MROUND((1/2)*(_xlfn.XLOOKUP(_xlfn.XLOOKUP(B404,'Base stats'!B:B,'Base stats'!E:E),Groups!A:A,Groups!H:H)*_xlfn.XLOOKUP(_xlfn.XLOOKUP(B404,'Base stats'!B:B,'Base stats'!E:E),Groups!A:A,Groups!I:I))*_xlfn.XLOOKUP(B404,'Base stats'!B:B,'Base stats'!AQ:AQ)*0.01,0.05)</f>
        <v>0</v>
      </c>
      <c r="AB404" s="18">
        <f>MROUND(250*(Animals!AO404+Animals!AP404),25)</f>
        <v>650</v>
      </c>
      <c r="AC404" s="18" t="str">
        <f>_xlfn.XLOOKUP(_xlfn.XLOOKUP(B404,'Base stats'!B:B,'Base stats'!E:E),Groups!A:A,Groups!BJ:BJ)</f>
        <v>Birdlike</v>
      </c>
    </row>
    <row r="405" spans="1:29" ht="16.5" thickTop="1" thickBot="1" x14ac:dyDescent="0.3">
      <c r="A405" s="16" t="str">
        <f>Animals!A405</f>
        <v>Josephoartigasia</v>
      </c>
      <c r="B405" s="6" t="str">
        <f>Animals!B405</f>
        <v>Josephoartigasia monesi</v>
      </c>
      <c r="C405" s="1" t="str">
        <f>Animals!C405</f>
        <v>&lt;li&gt;Josephoartigasia&lt;/li&gt;</v>
      </c>
      <c r="D405" s="47">
        <f>MIN(MIN(6,_xlfn.XLOOKUP(A405,Animals!A:A,Animals!AO:AO))*20,MAX(MROUND(_xlfn.XLOOKUP(B405,'Base stats'!B:B,'Base stats'!BS:BS) * (_xlfn.XLOOKUP(B405,'Base stats'!B:B,'Base stats'!AO:AO)*5%)^0.9 / 21,0.1),0.05))</f>
        <v>13.4</v>
      </c>
      <c r="E405" s="11">
        <f>MROUND(_xlfn.XLOOKUP(B405,'Base stats'!B:B,'Base stats'!BG:BG) * 0.01 * 2 + 0.01, 0.05)</f>
        <v>12.700000000000001</v>
      </c>
      <c r="F405" s="7">
        <f>MROUND(_xlfn.XLOOKUP(B405,'Base stats'!B:B,'Base stats'!BD:BD)^0.25 / (_xlfn.XLOOKUP(B405,'Base stats'!B:B,'Base stats'!BK:BK) * 10) * 150 + 0.5 + _xlfn.XLOOKUP(B405,'Base stats'!B:B,'Base stats'!BW:BW), 0.05)</f>
        <v>1.9000000000000001</v>
      </c>
      <c r="G405" s="3" t="str">
        <f>IF(Animals!S405="No","No",
IF(_xlfn.XLOOKUP(B405,'Base stats'!B:B,'Base stats'!U:U)="No",
MAX(MROUND(_xlfn.XLOOKUP(B405,'Base stats'!B:B,'Base stats'!BT:BT) * _xlfn.XLOOKUP(B405,'Base stats'!B:B,'Base stats'!BP:BP)^0.9 / 21 * _xlfn.XLOOKUP(B405,'Base stats'!B:B,'Base stats'!BX:BX),0.1),0.05),
MAX(MROUND(((MIN(10,_xlfn.XLOOKUP(B405,'Base stats'!B:B,'Base stats'!U:U)))^0.4*_xlfn.XLOOKUP(B405,'Base stats'!B:B,'Base stats'!BH:BH)^0.73)^0.6 * _xlfn.XLOOKUP(B405,'Base stats'!B:B,'Base stats'!BX:BX),0.1),0.05)
))</f>
        <v>No</v>
      </c>
      <c r="H405" s="11" t="str">
        <f>IF(G405="No","No",
MROUND(_xlfn.XLOOKUP(B405,'Base stats'!B:B,'Base stats'!BH:BH) * 0.01 * 2 + 0.05, 0.05)
)</f>
        <v>No</v>
      </c>
      <c r="I405" s="11" t="str">
        <f>IF(G405="No","No",IF(_xlfn.XLOOKUP(B405,'Base stats'!B:B,'Base stats'!U:U)="No","No",
MROUND(_xlfn.XLOOKUP(B405,'Base stats'!B:B,'Base stats'!BT:BT)/10000+0.01,0.01)
))</f>
        <v>No</v>
      </c>
      <c r="J405" s="4" t="str">
        <f>IF(G405="No","No",
MROUND(_xlfn.XLOOKUP(B405,'Base stats'!B:B,'Base stats'!BE:BE)^0.25
/((_xlfn.XLOOKUP(B405,'Base stats'!B:B,'Base stats'!BL:BL))*10)*_xlfn.XLOOKUP(_xlfn.XLOOKUP(B405,'Base stats'!B:B,'Base stats'!E:E),Groups!A:A,Groups!Q:Q)*150 + 0.5 + _xlfn.XLOOKUP(B405,'Base stats'!B:B,'Base stats'!BW:BW),
0.05))</f>
        <v>No</v>
      </c>
      <c r="K405" s="3" t="str">
        <f>IF(Animals!X405="No","No",
IF(_xlfn.XLOOKUP(_xlfn.XLOOKUP(B405,'Base stats'!B:B,'Base stats'!E:E),Groups!A:A,Groups!BD:BD)=1,
MAX(MROUND(_xlfn.XLOOKUP(B405,'Base stats'!B:B,'Base stats'!BU:BU) * _xlfn.XLOOKUP(B405,'Base stats'!B:B,'Base stats'!BQ:BQ)^0.9 / 21 *_xlfn.XLOOKUP(B405,'Base stats'!B:B,'Base stats'!BX:BX),0.1),0.05),
MAX(MROUND(((MIN(10,_xlfn.XLOOKUP(B405,'Base stats'!B:B,'Base stats'!W:W)))^0.4*_xlfn.XLOOKUP(B405,'Base stats'!B:B,'Base stats'!BI:BI)^0.73)^0.6 *_xlfn.XLOOKUP(B405,'Base stats'!B:B,'Base stats'!BX:BX),0.1),0.05)
))</f>
        <v>No</v>
      </c>
      <c r="L405" s="11" t="str">
        <f>IF(K405="No","No",
MROUND(_xlfn.XLOOKUP(B405,'Base stats'!B:B,'Base stats'!BI:BI) * 0.01 *2 + 0.05, 0.05)
)</f>
        <v>No</v>
      </c>
      <c r="M405" s="5" t="str">
        <f>IF(K405="No","No",IF(_xlfn.XLOOKUP(_xlfn.XLOOKUP(B405,'Base stats'!B:B,'Base stats'!E:E),Groups!A:A,Groups!BD:BD)=1,"No",
MROUND(_xlfn.XLOOKUP(B405,'Base stats'!B:B,'Base stats'!BU:BU)/10000+0.01,0.01)
))</f>
        <v>No</v>
      </c>
      <c r="N405" s="4" t="str">
        <f>IF(K405="No","No",
MROUND(
  _xlfn.XLOOKUP(B405,'Base stats'!B:B,'Base stats'!BC:BC)^0.25
  / (_xlfn.XLOOKUP(B405,'Base stats'!B:B,'Base stats'!BM:BM) * 10)
  * _xlfn.XLOOKUP(
      _xlfn.XLOOKUP(B405,'Base stats'!B:B,'Base stats'!E:E),
      Groups!A:A,
      Groups!V:V
    ) * 150
  + MIN(12, _xlfn.XLOOKUP(B405,'Base stats'!B:B,'Base stats'!W:W))^(1/IF(_xlfn.XLOOKUP(_xlfn.XLOOKUP(B405,'Base stats'!B:B,'Base stats'!E:E),Groups!A:A,Groups!U:U)=1,100,10)) + 0.5 + _xlfn.XLOOKUP(B405,'Base stats'!B:B,'Base stats'!BW:BW),
0.05))</f>
        <v>No</v>
      </c>
      <c r="O405" s="3">
        <f>IF(Animals!AD405="No","No",
MAX(MROUND((MIN(10,_xlfn.XLOOKUP(B405,'Base stats'!B:B,'Base stats'!V:V)*IF(_xlfn.XLOOKUP(_xlfn.XLOOKUP(B405,'Base stats'!B:B,'Base stats'!E:E),Groups!A:A,Groups!O:O)=0,1,0.33))^0.4*_xlfn.XLOOKUP(B405,'Base stats'!B:B,'Base stats'!BJ:BJ)^0.73)^0.6 *_xlfn.XLOOKUP(B405,'Base stats'!B:B,'Base stats'!BX:BX),0.1),0.05)
)</f>
        <v>17.400000000000002</v>
      </c>
      <c r="P405" s="11">
        <f>IF(O405="No","No",
MROUND(_xlfn.XLOOKUP(B405,'Base stats'!B:B,'Base stats'!BJ:BJ) * 0.01 * 2 + 0.05, 0.05)
)</f>
        <v>3.9000000000000004</v>
      </c>
      <c r="Q405" s="5">
        <f>IF(O405="No","No",
MROUND(_xlfn.XLOOKUP(B405,'Base stats'!B:B,'Base stats'!BV:BV)/10000+0.01,0.01)
)</f>
        <v>0.11</v>
      </c>
      <c r="R405" s="4">
        <f>IF(O405="No","No",
MROUND(_xlfn.XLOOKUP(B405,'Base stats'!B:B,'Base stats'!BB:BB)^0.25
/((_xlfn.XLOOKUP(B405,'Base stats'!B:B,'Base stats'!BN:BN))*10)*_xlfn.XLOOKUP(_xlfn.XLOOKUP(B405,'Base stats'!B:B,'Base stats'!E:E),Groups!A:A,Groups!Z:Z)*150 + 0.5 + _xlfn.XLOOKUP(B405,'Base stats'!B:B,'Base stats'!BW:BW),
0.05))</f>
        <v>2.4000000000000004</v>
      </c>
      <c r="S405" s="3" t="str">
        <f>IF(Animals!AI405="No","No",
IF(_xlfn.XLOOKUP(B405,'Base stats'!B:B,'Base stats'!U:U)="No",
MAX(MROUND(_xlfn.XLOOKUP(B405,'Base stats'!B:B,'Base stats'!BT:BT) * _xlfn.XLOOKUP(B405,'Base stats'!B:B,'Base stats'!BP:BP)^0.9 / 21 * _xlfn.XLOOKUP(B405,'Base stats'!B:B,'Base stats'!BX:BX),0.1),0.05),
MAX(MROUND(((MIN(12,_xlfn.XLOOKUP(B405,'Base stats'!B:B,'Base stats'!U:U)))^0.4*_xlfn.XLOOKUP(B405,'Base stats'!B:B,'Base stats'!BH:BH)^0.73)^0.6 * _xlfn.XLOOKUP(B405,'Base stats'!B:B,'Base stats'!BX:BX),0.1),0.05)
))</f>
        <v>No</v>
      </c>
      <c r="T405" s="11" t="str">
        <f>IF(S405="No","No",
MROUND(_xlfn.XLOOKUP(B405,'Base stats'!B:B,'Base stats'!BH:BH) * 0.01 * 2 + 0.05, 0.05)
)</f>
        <v>No</v>
      </c>
      <c r="U405" s="5" t="str">
        <f>IF(S405="No","No",IF(_xlfn.XLOOKUP(B405,'Base stats'!B:B,'Base stats'!U:U)="No","No",
MROUND(_xlfn.XLOOKUP(B405,'Base stats'!B:B,'Base stats'!BT:BT)/10000+0.01,0.01)
))</f>
        <v>No</v>
      </c>
      <c r="V405" s="4" t="str">
        <f>IF(S405="No","No",
MROUND(_xlfn.XLOOKUP(B405,'Base stats'!B:B,'Base stats'!BF:BF)^0.25
/((_xlfn.XLOOKUP(B405,'Base stats'!B:B,'Base stats'!BO:BO))*10)*_xlfn.XLOOKUP(_xlfn.XLOOKUP(B405,'Base stats'!B:B,'Base stats'!E:E),Groups!A:A,Groups!AE:AE)*150 + 0.5 + _xlfn.XLOOKUP(B405,'Base stats'!B:B,'Base stats'!BW:BW),
0.05))</f>
        <v>No</v>
      </c>
      <c r="W405" s="8">
        <f>MROUND(_xlfn.XLOOKUP(_xlfn.XLOOKUP(B405,'Base stats'!B:B,'Base stats'!E:E),Groups!A:A,Groups!BG:BG)*_xlfn.XLOOKUP(B405,'Base stats'!B:B,'Base stats'!C:C)^-0.165,0.05)</f>
        <v>0.25</v>
      </c>
      <c r="X405" s="1">
        <f>MROUND(_xlfn.XLOOKUP(_xlfn.XLOOKUP(B405,'Base stats'!B:B,'Base stats'!E:E),Groups!A:A,Groups!BH:BH)*_xlfn.XLOOKUP(B405,'Base stats'!B:B,'Base stats'!C:C)^0.165,0.05)</f>
        <v>0</v>
      </c>
      <c r="Y405" s="8">
        <f>MROUND(_xlfn.XLOOKUP(_xlfn.XLOOKUP(B405,'Base stats'!B:B,'Base stats'!E:E),Groups!A:A,Groups!BI:BI)*_xlfn.XLOOKUP(B405,'Base stats'!B:B,'Base stats'!C:C)^0.165,0.05)</f>
        <v>0</v>
      </c>
      <c r="Z405" s="18">
        <f>MROUND(_xlfn.XLOOKUP(B405,'Base stats'!B:B,'Base stats'!AQ:AQ)*_xlfn.XLOOKUP(_xlfn.XLOOKUP(B405,'Base stats'!B:B,'Base stats'!E:E),Groups!A:A,Groups!H:H)/1000,IF((_xlfn.XLOOKUP(B405,'Base stats'!B:B,'Base stats'!AQ:AQ)*_xlfn.XLOOKUP(_xlfn.XLOOKUP(B405,'Base stats'!B:B,'Base stats'!E:E),Groups!A:A,Groups!H:H)/1000)&gt;1,0.05,0.01))</f>
        <v>0.11</v>
      </c>
      <c r="AA405" s="18">
        <f>MROUND((1/2)*(_xlfn.XLOOKUP(_xlfn.XLOOKUP(B405,'Base stats'!B:B,'Base stats'!E:E),Groups!A:A,Groups!H:H)*_xlfn.XLOOKUP(_xlfn.XLOOKUP(B405,'Base stats'!B:B,'Base stats'!E:E),Groups!A:A,Groups!I:I))*_xlfn.XLOOKUP(B405,'Base stats'!B:B,'Base stats'!AQ:AQ)*0.01,0.05)</f>
        <v>0.5</v>
      </c>
      <c r="AB405" s="18">
        <f>MROUND(250*(Animals!AO405+Animals!AP405),25)</f>
        <v>1500</v>
      </c>
      <c r="AC405" s="18" t="str">
        <f>_xlfn.XLOOKUP(_xlfn.XLOOKUP(B405,'Base stats'!B:B,'Base stats'!E:E),Groups!A:A,Groups!BJ:BJ)</f>
        <v>Quadruped</v>
      </c>
    </row>
    <row r="406" spans="1:29" ht="16.5" thickTop="1" thickBot="1" x14ac:dyDescent="0.3">
      <c r="A406" s="16" t="str">
        <f>Animals!A406</f>
        <v>Gigantophis</v>
      </c>
      <c r="B406" s="6" t="str">
        <f>Animals!B406</f>
        <v>Gigantophis garstini</v>
      </c>
      <c r="C406" s="1" t="str">
        <f>Animals!C406</f>
        <v>&lt;li&gt;Gigantophis&lt;/li&gt;</v>
      </c>
      <c r="D406" s="47">
        <f>MIN(MIN(6,_xlfn.XLOOKUP(A406,Animals!A:A,Animals!AO:AO))*20,MAX(MROUND(_xlfn.XLOOKUP(B406,'Base stats'!B:B,'Base stats'!BS:BS) * (_xlfn.XLOOKUP(B406,'Base stats'!B:B,'Base stats'!AO:AO)*5%)^0.9 / 21,0.1),0.05))</f>
        <v>11.9</v>
      </c>
      <c r="E406" s="11">
        <f>MROUND(_xlfn.XLOOKUP(B406,'Base stats'!B:B,'Base stats'!BG:BG) * 0.01 * 2 + 0.01, 0.05)</f>
        <v>11.15</v>
      </c>
      <c r="F406" s="7">
        <f>MROUND(_xlfn.XLOOKUP(B406,'Base stats'!B:B,'Base stats'!BD:BD)^0.25 / (_xlfn.XLOOKUP(B406,'Base stats'!B:B,'Base stats'!BK:BK) * 10) * 150 + 0.5 + _xlfn.XLOOKUP(B406,'Base stats'!B:B,'Base stats'!BW:BW), 0.05)</f>
        <v>2.5</v>
      </c>
      <c r="G406" s="3" t="str">
        <f>IF(Animals!S406="No","No",
IF(_xlfn.XLOOKUP(B406,'Base stats'!B:B,'Base stats'!U:U)="No",
MAX(MROUND(_xlfn.XLOOKUP(B406,'Base stats'!B:B,'Base stats'!BT:BT) * _xlfn.XLOOKUP(B406,'Base stats'!B:B,'Base stats'!BP:BP)^0.9 / 21 * _xlfn.XLOOKUP(B406,'Base stats'!B:B,'Base stats'!BX:BX),0.1),0.05),
MAX(MROUND(((MIN(10,_xlfn.XLOOKUP(B406,'Base stats'!B:B,'Base stats'!U:U)))^0.4*_xlfn.XLOOKUP(B406,'Base stats'!B:B,'Base stats'!BH:BH)^0.73)^0.6 * _xlfn.XLOOKUP(B406,'Base stats'!B:B,'Base stats'!BX:BX),0.1),0.05)
))</f>
        <v>No</v>
      </c>
      <c r="H406" s="11" t="str">
        <f>IF(G406="No","No",
MROUND(_xlfn.XLOOKUP(B406,'Base stats'!B:B,'Base stats'!BH:BH) * 0.01 * 2 + 0.05, 0.05)
)</f>
        <v>No</v>
      </c>
      <c r="I406" s="11" t="str">
        <f>IF(G406="No","No",IF(_xlfn.XLOOKUP(B406,'Base stats'!B:B,'Base stats'!U:U)="No","No",
MROUND(_xlfn.XLOOKUP(B406,'Base stats'!B:B,'Base stats'!BT:BT)/10000+0.01,0.01)
))</f>
        <v>No</v>
      </c>
      <c r="J406" s="4" t="str">
        <f>IF(G406="No","No",
MROUND(_xlfn.XLOOKUP(B406,'Base stats'!B:B,'Base stats'!BE:BE)^0.25
/((_xlfn.XLOOKUP(B406,'Base stats'!B:B,'Base stats'!BL:BL))*10)*_xlfn.XLOOKUP(_xlfn.XLOOKUP(B406,'Base stats'!B:B,'Base stats'!E:E),Groups!A:A,Groups!Q:Q)*150 + 0.5 + _xlfn.XLOOKUP(B406,'Base stats'!B:B,'Base stats'!BW:BW),
0.05))</f>
        <v>No</v>
      </c>
      <c r="K406" s="3" t="str">
        <f>IF(Animals!X406="No","No",
IF(_xlfn.XLOOKUP(_xlfn.XLOOKUP(B406,'Base stats'!B:B,'Base stats'!E:E),Groups!A:A,Groups!BD:BD)=1,
MAX(MROUND(_xlfn.XLOOKUP(B406,'Base stats'!B:B,'Base stats'!BU:BU) * _xlfn.XLOOKUP(B406,'Base stats'!B:B,'Base stats'!BQ:BQ)^0.9 / 21 *_xlfn.XLOOKUP(B406,'Base stats'!B:B,'Base stats'!BX:BX),0.1),0.05),
MAX(MROUND(((MIN(10,_xlfn.XLOOKUP(B406,'Base stats'!B:B,'Base stats'!W:W)))^0.4*_xlfn.XLOOKUP(B406,'Base stats'!B:B,'Base stats'!BI:BI)^0.73)^0.6 *_xlfn.XLOOKUP(B406,'Base stats'!B:B,'Base stats'!BX:BX),0.1),0.05)
))</f>
        <v>No</v>
      </c>
      <c r="L406" s="11" t="str">
        <f>IF(K406="No","No",
MROUND(_xlfn.XLOOKUP(B406,'Base stats'!B:B,'Base stats'!BI:BI) * 0.01 *2 + 0.05, 0.05)
)</f>
        <v>No</v>
      </c>
      <c r="M406" s="5" t="str">
        <f>IF(K406="No","No",IF(_xlfn.XLOOKUP(_xlfn.XLOOKUP(B406,'Base stats'!B:B,'Base stats'!E:E),Groups!A:A,Groups!BD:BD)=1,"No",
MROUND(_xlfn.XLOOKUP(B406,'Base stats'!B:B,'Base stats'!BU:BU)/10000+0.01,0.01)
))</f>
        <v>No</v>
      </c>
      <c r="N406" s="4" t="str">
        <f>IF(K406="No","No",
MROUND(
  _xlfn.XLOOKUP(B406,'Base stats'!B:B,'Base stats'!BC:BC)^0.25
  / (_xlfn.XLOOKUP(B406,'Base stats'!B:B,'Base stats'!BM:BM) * 10)
  * _xlfn.XLOOKUP(
      _xlfn.XLOOKUP(B406,'Base stats'!B:B,'Base stats'!E:E),
      Groups!A:A,
      Groups!V:V
    ) * 150
  + MIN(12, _xlfn.XLOOKUP(B406,'Base stats'!B:B,'Base stats'!W:W))^(1/IF(_xlfn.XLOOKUP(_xlfn.XLOOKUP(B406,'Base stats'!B:B,'Base stats'!E:E),Groups!A:A,Groups!U:U)=1,100,10)) + 0.5 + _xlfn.XLOOKUP(B406,'Base stats'!B:B,'Base stats'!BW:BW),
0.05))</f>
        <v>No</v>
      </c>
      <c r="O406" s="3">
        <f>IF(Animals!AD406="No","No",
MAX(MROUND((MIN(10,_xlfn.XLOOKUP(B406,'Base stats'!B:B,'Base stats'!V:V)*IF(_xlfn.XLOOKUP(_xlfn.XLOOKUP(B406,'Base stats'!B:B,'Base stats'!E:E),Groups!A:A,Groups!O:O)=0,1,0.33))^0.4*_xlfn.XLOOKUP(B406,'Base stats'!B:B,'Base stats'!BJ:BJ)^0.73)^0.6 *_xlfn.XLOOKUP(B406,'Base stats'!B:B,'Base stats'!BX:BX),0.1),0.05)
)</f>
        <v>15.200000000000001</v>
      </c>
      <c r="P406" s="11">
        <f>IF(O406="No","No",
MROUND(_xlfn.XLOOKUP(B406,'Base stats'!B:B,'Base stats'!BJ:BJ) * 0.01 * 2 + 0.05, 0.05)
)</f>
        <v>4.7</v>
      </c>
      <c r="Q406" s="5">
        <f>IF(O406="No","No",
MROUND(_xlfn.XLOOKUP(B406,'Base stats'!B:B,'Base stats'!BV:BV)/10000+0.01,0.01)
)</f>
        <v>0.14000000000000001</v>
      </c>
      <c r="R406" s="4">
        <f>IF(O406="No","No",
MROUND(_xlfn.XLOOKUP(B406,'Base stats'!B:B,'Base stats'!BB:BB)^0.25
/((_xlfn.XLOOKUP(B406,'Base stats'!B:B,'Base stats'!BN:BN))*10)*_xlfn.XLOOKUP(_xlfn.XLOOKUP(B406,'Base stats'!B:B,'Base stats'!E:E),Groups!A:A,Groups!Z:Z)*150 + 0.5 + _xlfn.XLOOKUP(B406,'Base stats'!B:B,'Base stats'!BW:BW),
0.05))</f>
        <v>2.2000000000000002</v>
      </c>
      <c r="S406" s="3" t="str">
        <f>IF(Animals!AI406="No","No",
IF(_xlfn.XLOOKUP(B406,'Base stats'!B:B,'Base stats'!U:U)="No",
MAX(MROUND(_xlfn.XLOOKUP(B406,'Base stats'!B:B,'Base stats'!BT:BT) * _xlfn.XLOOKUP(B406,'Base stats'!B:B,'Base stats'!BP:BP)^0.9 / 21 * _xlfn.XLOOKUP(B406,'Base stats'!B:B,'Base stats'!BX:BX),0.1),0.05),
MAX(MROUND(((MIN(12,_xlfn.XLOOKUP(B406,'Base stats'!B:B,'Base stats'!U:U)))^0.4*_xlfn.XLOOKUP(B406,'Base stats'!B:B,'Base stats'!BH:BH)^0.73)^0.6 * _xlfn.XLOOKUP(B406,'Base stats'!B:B,'Base stats'!BX:BX),0.1),0.05)
))</f>
        <v>No</v>
      </c>
      <c r="T406" s="11" t="str">
        <f>IF(S406="No","No",
MROUND(_xlfn.XLOOKUP(B406,'Base stats'!B:B,'Base stats'!BH:BH) * 0.01 * 2 + 0.05, 0.05)
)</f>
        <v>No</v>
      </c>
      <c r="U406" s="5" t="str">
        <f>IF(S406="No","No",IF(_xlfn.XLOOKUP(B406,'Base stats'!B:B,'Base stats'!U:U)="No","No",
MROUND(_xlfn.XLOOKUP(B406,'Base stats'!B:B,'Base stats'!BT:BT)/10000+0.01,0.01)
))</f>
        <v>No</v>
      </c>
      <c r="V406" s="4" t="str">
        <f>IF(S406="No","No",
MROUND(_xlfn.XLOOKUP(B406,'Base stats'!B:B,'Base stats'!BF:BF)^0.25
/((_xlfn.XLOOKUP(B406,'Base stats'!B:B,'Base stats'!BO:BO))*10)*_xlfn.XLOOKUP(_xlfn.XLOOKUP(B406,'Base stats'!B:B,'Base stats'!E:E),Groups!A:A,Groups!AE:AE)*150 + 0.5 + _xlfn.XLOOKUP(B406,'Base stats'!B:B,'Base stats'!BW:BW),
0.05))</f>
        <v>No</v>
      </c>
      <c r="W406" s="8">
        <f>MROUND(_xlfn.XLOOKUP(_xlfn.XLOOKUP(B406,'Base stats'!B:B,'Base stats'!E:E),Groups!A:A,Groups!BG:BG)*_xlfn.XLOOKUP(B406,'Base stats'!B:B,'Base stats'!C:C)^-0.165,0.05)</f>
        <v>0.2</v>
      </c>
      <c r="X406" s="1">
        <f>MROUND(_xlfn.XLOOKUP(_xlfn.XLOOKUP(B406,'Base stats'!B:B,'Base stats'!E:E),Groups!A:A,Groups!BH:BH)*_xlfn.XLOOKUP(B406,'Base stats'!B:B,'Base stats'!C:C)^0.165,0.05)</f>
        <v>0.30000000000000004</v>
      </c>
      <c r="Y406" s="8">
        <f>MROUND(_xlfn.XLOOKUP(_xlfn.XLOOKUP(B406,'Base stats'!B:B,'Base stats'!E:E),Groups!A:A,Groups!BI:BI)*_xlfn.XLOOKUP(B406,'Base stats'!B:B,'Base stats'!C:C)^0.165,0.05)</f>
        <v>0</v>
      </c>
      <c r="Z406" s="18">
        <f>MROUND(_xlfn.XLOOKUP(B406,'Base stats'!B:B,'Base stats'!AQ:AQ)*_xlfn.XLOOKUP(_xlfn.XLOOKUP(B406,'Base stats'!B:B,'Base stats'!E:E),Groups!A:A,Groups!H:H)/1000,IF((_xlfn.XLOOKUP(B406,'Base stats'!B:B,'Base stats'!AQ:AQ)*_xlfn.XLOOKUP(_xlfn.XLOOKUP(B406,'Base stats'!B:B,'Base stats'!E:E),Groups!A:A,Groups!H:H)/1000)&gt;1,0.05,0.01))</f>
        <v>0.12</v>
      </c>
      <c r="AA406" s="18">
        <f>MROUND((1/2)*(_xlfn.XLOOKUP(_xlfn.XLOOKUP(B406,'Base stats'!B:B,'Base stats'!E:E),Groups!A:A,Groups!H:H)*_xlfn.XLOOKUP(_xlfn.XLOOKUP(B406,'Base stats'!B:B,'Base stats'!E:E),Groups!A:A,Groups!I:I))*_xlfn.XLOOKUP(B406,'Base stats'!B:B,'Base stats'!AQ:AQ)*0.01,0.05)</f>
        <v>0.2</v>
      </c>
      <c r="AB406" s="18">
        <f>MROUND(250*(Animals!AO406+Animals!AP406),25)</f>
        <v>1375</v>
      </c>
      <c r="AC406" s="18" t="str">
        <f>_xlfn.XLOOKUP(_xlfn.XLOOKUP(B406,'Base stats'!B:B,'Base stats'!E:E),Groups!A:A,Groups!BJ:BJ)</f>
        <v>Serpentine</v>
      </c>
    </row>
    <row r="407" spans="1:29" ht="16.5" thickTop="1" thickBot="1" x14ac:dyDescent="0.3">
      <c r="A407" s="16" t="str">
        <f>Animals!A407</f>
        <v>Meganeura</v>
      </c>
      <c r="B407" s="6" t="str">
        <f>Animals!B407</f>
        <v>Meganeura monyi</v>
      </c>
      <c r="C407" s="1" t="str">
        <f>Animals!C407</f>
        <v>&lt;li&gt;Meganeura&lt;/li&gt;</v>
      </c>
      <c r="D407" s="47">
        <f>MIN(MIN(6,_xlfn.XLOOKUP(A407,Animals!A:A,Animals!AO:AO))*20,MAX(MROUND(_xlfn.XLOOKUP(B407,'Base stats'!B:B,'Base stats'!BS:BS) * (_xlfn.XLOOKUP(B407,'Base stats'!B:B,'Base stats'!AO:AO)*5%)^0.9 / 21,0.1),0.05))</f>
        <v>0.05</v>
      </c>
      <c r="E407" s="11">
        <f>MROUND(_xlfn.XLOOKUP(B407,'Base stats'!B:B,'Base stats'!BG:BG) * 0.01 * 2 + 0.01, 0.05)</f>
        <v>0</v>
      </c>
      <c r="F407" s="7">
        <f>MROUND(_xlfn.XLOOKUP(B407,'Base stats'!B:B,'Base stats'!BD:BD)^0.25 / (_xlfn.XLOOKUP(B407,'Base stats'!B:B,'Base stats'!BK:BK) * 10) * 150 + 0.5 + _xlfn.XLOOKUP(B407,'Base stats'!B:B,'Base stats'!BW:BW), 0.05)</f>
        <v>1.25</v>
      </c>
      <c r="G407" s="3" t="str">
        <f>IF(Animals!S407="No","No",
IF(_xlfn.XLOOKUP(B407,'Base stats'!B:B,'Base stats'!U:U)="No",
MAX(MROUND(_xlfn.XLOOKUP(B407,'Base stats'!B:B,'Base stats'!BT:BT) * _xlfn.XLOOKUP(B407,'Base stats'!B:B,'Base stats'!BP:BP)^0.9 / 21 * _xlfn.XLOOKUP(B407,'Base stats'!B:B,'Base stats'!BX:BX),0.1),0.05),
MAX(MROUND(((MIN(10,_xlfn.XLOOKUP(B407,'Base stats'!B:B,'Base stats'!U:U)))^0.4*_xlfn.XLOOKUP(B407,'Base stats'!B:B,'Base stats'!BH:BH)^0.73)^0.6 * _xlfn.XLOOKUP(B407,'Base stats'!B:B,'Base stats'!BX:BX),0.1),0.05)
))</f>
        <v>No</v>
      </c>
      <c r="H407" s="11" t="str">
        <f>IF(G407="No","No",
MROUND(_xlfn.XLOOKUP(B407,'Base stats'!B:B,'Base stats'!BH:BH) * 0.01 * 2 + 0.05, 0.05)
)</f>
        <v>No</v>
      </c>
      <c r="I407" s="11" t="str">
        <f>IF(G407="No","No",IF(_xlfn.XLOOKUP(B407,'Base stats'!B:B,'Base stats'!U:U)="No","No",
MROUND(_xlfn.XLOOKUP(B407,'Base stats'!B:B,'Base stats'!BT:BT)/10000+0.01,0.01)
))</f>
        <v>No</v>
      </c>
      <c r="J407" s="4" t="str">
        <f>IF(G407="No","No",
MROUND(_xlfn.XLOOKUP(B407,'Base stats'!B:B,'Base stats'!BE:BE)^0.25
/((_xlfn.XLOOKUP(B407,'Base stats'!B:B,'Base stats'!BL:BL))*10)*_xlfn.XLOOKUP(_xlfn.XLOOKUP(B407,'Base stats'!B:B,'Base stats'!E:E),Groups!A:A,Groups!Q:Q)*150 + 0.5 + _xlfn.XLOOKUP(B407,'Base stats'!B:B,'Base stats'!BW:BW),
0.05))</f>
        <v>No</v>
      </c>
      <c r="K407" s="3" t="str">
        <f>IF(Animals!X407="No","No",
IF(_xlfn.XLOOKUP(_xlfn.XLOOKUP(B407,'Base stats'!B:B,'Base stats'!E:E),Groups!A:A,Groups!BD:BD)=1,
MAX(MROUND(_xlfn.XLOOKUP(B407,'Base stats'!B:B,'Base stats'!BU:BU) * _xlfn.XLOOKUP(B407,'Base stats'!B:B,'Base stats'!BQ:BQ)^0.9 / 21 *_xlfn.XLOOKUP(B407,'Base stats'!B:B,'Base stats'!BX:BX),0.1),0.05),
MAX(MROUND(((MIN(10,_xlfn.XLOOKUP(B407,'Base stats'!B:B,'Base stats'!W:W)))^0.4*_xlfn.XLOOKUP(B407,'Base stats'!B:B,'Base stats'!BI:BI)^0.73)^0.6 *_xlfn.XLOOKUP(B407,'Base stats'!B:B,'Base stats'!BX:BX),0.1),0.05)
))</f>
        <v>No</v>
      </c>
      <c r="L407" s="11" t="str">
        <f>IF(K407="No","No",
MROUND(_xlfn.XLOOKUP(B407,'Base stats'!B:B,'Base stats'!BI:BI) * 0.01 *2 + 0.05, 0.05)
)</f>
        <v>No</v>
      </c>
      <c r="M407" s="5" t="str">
        <f>IF(K407="No","No",IF(_xlfn.XLOOKUP(_xlfn.XLOOKUP(B407,'Base stats'!B:B,'Base stats'!E:E),Groups!A:A,Groups!BD:BD)=1,"No",
MROUND(_xlfn.XLOOKUP(B407,'Base stats'!B:B,'Base stats'!BU:BU)/10000+0.01,0.01)
))</f>
        <v>No</v>
      </c>
      <c r="N407" s="4" t="str">
        <f>IF(K407="No","No",
MROUND(
  _xlfn.XLOOKUP(B407,'Base stats'!B:B,'Base stats'!BC:BC)^0.25
  / (_xlfn.XLOOKUP(B407,'Base stats'!B:B,'Base stats'!BM:BM) * 10)
  * _xlfn.XLOOKUP(
      _xlfn.XLOOKUP(B407,'Base stats'!B:B,'Base stats'!E:E),
      Groups!A:A,
      Groups!V:V
    ) * 150
  + MIN(12, _xlfn.XLOOKUP(B407,'Base stats'!B:B,'Base stats'!W:W))^(1/IF(_xlfn.XLOOKUP(_xlfn.XLOOKUP(B407,'Base stats'!B:B,'Base stats'!E:E),Groups!A:A,Groups!U:U)=1,100,10)) + 0.5 + _xlfn.XLOOKUP(B407,'Base stats'!B:B,'Base stats'!BW:BW),
0.05))</f>
        <v>No</v>
      </c>
      <c r="O407" s="3">
        <f>IF(Animals!AD407="No","No",
MAX(MROUND((MIN(10,_xlfn.XLOOKUP(B407,'Base stats'!B:B,'Base stats'!V:V)*IF(_xlfn.XLOOKUP(_xlfn.XLOOKUP(B407,'Base stats'!B:B,'Base stats'!E:E),Groups!A:A,Groups!O:O)=0,1,0.33))^0.4*_xlfn.XLOOKUP(B407,'Base stats'!B:B,'Base stats'!BJ:BJ)^0.73)^0.6 *_xlfn.XLOOKUP(B407,'Base stats'!B:B,'Base stats'!BX:BX),0.1),0.05)
)</f>
        <v>1.3</v>
      </c>
      <c r="P407" s="11">
        <f>IF(O407="No","No",
MROUND(_xlfn.XLOOKUP(B407,'Base stats'!B:B,'Base stats'!BJ:BJ) * 0.01 * 2 + 0.05, 0.05)
)</f>
        <v>0.1</v>
      </c>
      <c r="Q407" s="5">
        <f>IF(O407="No","No",
MROUND(_xlfn.XLOOKUP(B407,'Base stats'!B:B,'Base stats'!BV:BV)/10000+0.01,0.01)
)</f>
        <v>0.05</v>
      </c>
      <c r="R407" s="4">
        <f>IF(O407="No","No",
MROUND(_xlfn.XLOOKUP(B407,'Base stats'!B:B,'Base stats'!BB:BB)^0.25
/((_xlfn.XLOOKUP(B407,'Base stats'!B:B,'Base stats'!BN:BN))*10)*_xlfn.XLOOKUP(_xlfn.XLOOKUP(B407,'Base stats'!B:B,'Base stats'!E:E),Groups!A:A,Groups!Z:Z)*150 + 0.5 + _xlfn.XLOOKUP(B407,'Base stats'!B:B,'Base stats'!BW:BW),
0.05))</f>
        <v>0.9</v>
      </c>
      <c r="S407" s="3">
        <f>IF(Animals!AI407="No","No",
IF(_xlfn.XLOOKUP(B407,'Base stats'!B:B,'Base stats'!U:U)="No",
MAX(MROUND(_xlfn.XLOOKUP(B407,'Base stats'!B:B,'Base stats'!BT:BT) * _xlfn.XLOOKUP(B407,'Base stats'!B:B,'Base stats'!BP:BP)^0.9 / 21 * _xlfn.XLOOKUP(B407,'Base stats'!B:B,'Base stats'!BX:BX),0.1),0.05),
MAX(MROUND(((MIN(12,_xlfn.XLOOKUP(B407,'Base stats'!B:B,'Base stats'!U:U)))^0.4*_xlfn.XLOOKUP(B407,'Base stats'!B:B,'Base stats'!BH:BH)^0.73)^0.6 * _xlfn.XLOOKUP(B407,'Base stats'!B:B,'Base stats'!BX:BX),0.1),0.05)
))</f>
        <v>1.2000000000000002</v>
      </c>
      <c r="T407" s="11">
        <f>IF(S407="No","No",
MROUND(_xlfn.XLOOKUP(B407,'Base stats'!B:B,'Base stats'!BH:BH) * 0.01 * 2 + 0.05, 0.05)
)</f>
        <v>0.1</v>
      </c>
      <c r="U407" s="5">
        <f>IF(S407="No","No",IF(_xlfn.XLOOKUP(B407,'Base stats'!B:B,'Base stats'!U:U)="No","No",
MROUND(_xlfn.XLOOKUP(B407,'Base stats'!B:B,'Base stats'!BT:BT)/10000+0.01,0.01)
))</f>
        <v>0.33</v>
      </c>
      <c r="V407" s="4">
        <f>IF(S407="No","No",
MROUND(_xlfn.XLOOKUP(B407,'Base stats'!B:B,'Base stats'!BF:BF)^0.25
/((_xlfn.XLOOKUP(B407,'Base stats'!B:B,'Base stats'!BO:BO))*10)*_xlfn.XLOOKUP(_xlfn.XLOOKUP(B407,'Base stats'!B:B,'Base stats'!E:E),Groups!A:A,Groups!AE:AE)*150 + 0.5 + _xlfn.XLOOKUP(B407,'Base stats'!B:B,'Base stats'!BW:BW),
0.05))</f>
        <v>1.35</v>
      </c>
      <c r="W407" s="8">
        <f>MROUND(_xlfn.XLOOKUP(_xlfn.XLOOKUP(B407,'Base stats'!B:B,'Base stats'!E:E),Groups!A:A,Groups!BG:BG)*_xlfn.XLOOKUP(B407,'Base stats'!B:B,'Base stats'!C:C)^-0.165,0.05)</f>
        <v>0.70000000000000007</v>
      </c>
      <c r="X407" s="1">
        <f>MROUND(_xlfn.XLOOKUP(_xlfn.XLOOKUP(B407,'Base stats'!B:B,'Base stats'!E:E),Groups!A:A,Groups!BH:BH)*_xlfn.XLOOKUP(B407,'Base stats'!B:B,'Base stats'!C:C)^0.165,0.05)</f>
        <v>0.1</v>
      </c>
      <c r="Y407" s="8">
        <f>MROUND(_xlfn.XLOOKUP(_xlfn.XLOOKUP(B407,'Base stats'!B:B,'Base stats'!E:E),Groups!A:A,Groups!BI:BI)*_xlfn.XLOOKUP(B407,'Base stats'!B:B,'Base stats'!C:C)^0.165,0.05)</f>
        <v>0</v>
      </c>
      <c r="Z407" s="18">
        <f>MROUND(_xlfn.XLOOKUP(B407,'Base stats'!B:B,'Base stats'!AQ:AQ)*_xlfn.XLOOKUP(_xlfn.XLOOKUP(B407,'Base stats'!B:B,'Base stats'!E:E),Groups!A:A,Groups!H:H)/1000,IF((_xlfn.XLOOKUP(B407,'Base stats'!B:B,'Base stats'!AQ:AQ)*_xlfn.XLOOKUP(_xlfn.XLOOKUP(B407,'Base stats'!B:B,'Base stats'!E:E),Groups!A:A,Groups!H:H)/1000)&gt;1,0.05,0.01))</f>
        <v>0.3</v>
      </c>
      <c r="AA407" s="18">
        <f>MROUND((1/2)*(_xlfn.XLOOKUP(_xlfn.XLOOKUP(B407,'Base stats'!B:B,'Base stats'!E:E),Groups!A:A,Groups!H:H)*_xlfn.XLOOKUP(_xlfn.XLOOKUP(B407,'Base stats'!B:B,'Base stats'!E:E),Groups!A:A,Groups!I:I))*_xlfn.XLOOKUP(B407,'Base stats'!B:B,'Base stats'!AQ:AQ)*0.01,0.05)</f>
        <v>0.2</v>
      </c>
      <c r="AB407" s="18">
        <f>MROUND(250*(Animals!AO407+Animals!AP407),25)</f>
        <v>50</v>
      </c>
      <c r="AC407" s="18" t="str">
        <f>_xlfn.XLOOKUP(_xlfn.XLOOKUP(B407,'Base stats'!B:B,'Base stats'!E:E),Groups!A:A,Groups!BJ:BJ)</f>
        <v>Birdlike</v>
      </c>
    </row>
    <row r="408" spans="1:29" ht="16.5" thickTop="1" thickBot="1" x14ac:dyDescent="0.3">
      <c r="A408" s="16" t="str">
        <f>Animals!A408</f>
        <v>Zygolophodon</v>
      </c>
      <c r="B408" s="6" t="str">
        <f>Animals!B408</f>
        <v>Mastodon turicensis</v>
      </c>
      <c r="C408" s="1" t="str">
        <f>Animals!C408</f>
        <v>&lt;li&gt;Zygolophodon&lt;/li&gt;</v>
      </c>
      <c r="D408" s="47">
        <f>MIN(MIN(6,_xlfn.XLOOKUP(A408,Animals!A:A,Animals!AO:AO))*20,MAX(MROUND(_xlfn.XLOOKUP(B408,'Base stats'!B:B,'Base stats'!BS:BS) * (_xlfn.XLOOKUP(B408,'Base stats'!B:B,'Base stats'!AO:AO)*5%)^0.9 / 21,0.1),0.05))</f>
        <v>48.400000000000006</v>
      </c>
      <c r="E408" s="11">
        <f>MROUND(_xlfn.XLOOKUP(B408,'Base stats'!B:B,'Base stats'!BG:BG) * 0.01 * 2 + 0.01, 0.05)</f>
        <v>53.400000000000006</v>
      </c>
      <c r="F408" s="7">
        <f>MROUND(_xlfn.XLOOKUP(B408,'Base stats'!B:B,'Base stats'!BD:BD)^0.25 / (_xlfn.XLOOKUP(B408,'Base stats'!B:B,'Base stats'!BK:BK) * 10) * 150 + 0.5 + _xlfn.XLOOKUP(B408,'Base stats'!B:B,'Base stats'!BW:BW), 0.05)</f>
        <v>3.1500000000000004</v>
      </c>
      <c r="G408" s="3">
        <f>IF(Animals!S408="No","No",
IF(_xlfn.XLOOKUP(B408,'Base stats'!B:B,'Base stats'!U:U)="No",
MAX(MROUND(_xlfn.XLOOKUP(B408,'Base stats'!B:B,'Base stats'!BT:BT) * _xlfn.XLOOKUP(B408,'Base stats'!B:B,'Base stats'!BP:BP)^0.9 / 21 * _xlfn.XLOOKUP(B408,'Base stats'!B:B,'Base stats'!BX:BX),0.1),0.05),
MAX(MROUND(((MIN(10,_xlfn.XLOOKUP(B408,'Base stats'!B:B,'Base stats'!U:U)))^0.4*_xlfn.XLOOKUP(B408,'Base stats'!B:B,'Base stats'!BH:BH)^0.73)^0.6 * _xlfn.XLOOKUP(B408,'Base stats'!B:B,'Base stats'!BX:BX),0.1),0.05)
))</f>
        <v>55.900000000000006</v>
      </c>
      <c r="H408" s="11">
        <f>IF(G408="No","No",
MROUND(_xlfn.XLOOKUP(B408,'Base stats'!B:B,'Base stats'!BH:BH) * 0.01 * 2 + 0.05, 0.05)
)</f>
        <v>46.400000000000006</v>
      </c>
      <c r="I408" s="11" t="str">
        <f>IF(G408="No","No",IF(_xlfn.XLOOKUP(B408,'Base stats'!B:B,'Base stats'!U:U)="No","No",
MROUND(_xlfn.XLOOKUP(B408,'Base stats'!B:B,'Base stats'!BT:BT)/10000+0.01,0.01)
))</f>
        <v>No</v>
      </c>
      <c r="J408" s="4">
        <f>IF(G408="No","No",
MROUND(_xlfn.XLOOKUP(B408,'Base stats'!B:B,'Base stats'!BE:BE)^0.25
/((_xlfn.XLOOKUP(B408,'Base stats'!B:B,'Base stats'!BL:BL))*10)*_xlfn.XLOOKUP(_xlfn.XLOOKUP(B408,'Base stats'!B:B,'Base stats'!E:E),Groups!A:A,Groups!Q:Q)*150 + 0.5 + _xlfn.XLOOKUP(B408,'Base stats'!B:B,'Base stats'!BW:BW),
0.05))</f>
        <v>3.5500000000000003</v>
      </c>
      <c r="K408" s="3">
        <f>IF(Animals!X408="No","No",
IF(_xlfn.XLOOKUP(_xlfn.XLOOKUP(B408,'Base stats'!B:B,'Base stats'!E:E),Groups!A:A,Groups!BD:BD)=1,
MAX(MROUND(_xlfn.XLOOKUP(B408,'Base stats'!B:B,'Base stats'!BU:BU) * _xlfn.XLOOKUP(B408,'Base stats'!B:B,'Base stats'!BQ:BQ)^0.9 / 21 *_xlfn.XLOOKUP(B408,'Base stats'!B:B,'Base stats'!BX:BX),0.1),0.05),
MAX(MROUND(((MIN(10,_xlfn.XLOOKUP(B408,'Base stats'!B:B,'Base stats'!W:W)))^0.4*_xlfn.XLOOKUP(B408,'Base stats'!B:B,'Base stats'!BI:BI)^0.73)^0.6 *_xlfn.XLOOKUP(B408,'Base stats'!B:B,'Base stats'!BX:BX),0.1),0.05)
))</f>
        <v>56</v>
      </c>
      <c r="L408" s="11">
        <f>IF(K408="No","No",
MROUND(_xlfn.XLOOKUP(B408,'Base stats'!B:B,'Base stats'!BI:BI) * 0.01 *2 + 0.05, 0.05)
)</f>
        <v>55.650000000000006</v>
      </c>
      <c r="M408" s="5">
        <f>IF(K408="No","No",IF(_xlfn.XLOOKUP(_xlfn.XLOOKUP(B408,'Base stats'!B:B,'Base stats'!E:E),Groups!A:A,Groups!BD:BD)=1,"No",
MROUND(_xlfn.XLOOKUP(B408,'Base stats'!B:B,'Base stats'!BU:BU)/10000+0.01,0.01)
))</f>
        <v>2.36</v>
      </c>
      <c r="N408" s="4">
        <f>IF(K408="No","No",
MROUND(
  _xlfn.XLOOKUP(B408,'Base stats'!B:B,'Base stats'!BC:BC)^0.25
  / (_xlfn.XLOOKUP(B408,'Base stats'!B:B,'Base stats'!BM:BM) * 10)
  * _xlfn.XLOOKUP(
      _xlfn.XLOOKUP(B408,'Base stats'!B:B,'Base stats'!E:E),
      Groups!A:A,
      Groups!V:V
    ) * 150
  + MIN(12, _xlfn.XLOOKUP(B408,'Base stats'!B:B,'Base stats'!W:W))^(1/IF(_xlfn.XLOOKUP(_xlfn.XLOOKUP(B408,'Base stats'!B:B,'Base stats'!E:E),Groups!A:A,Groups!U:U)=1,100,10)) + 0.5 + _xlfn.XLOOKUP(B408,'Base stats'!B:B,'Base stats'!BW:BW),
0.05))</f>
        <v>3.95</v>
      </c>
      <c r="O408" s="3" t="str">
        <f>IF(Animals!AD408="No","No",
MAX(MROUND((MIN(10,_xlfn.XLOOKUP(B408,'Base stats'!B:B,'Base stats'!V:V)*IF(_xlfn.XLOOKUP(_xlfn.XLOOKUP(B408,'Base stats'!B:B,'Base stats'!E:E),Groups!A:A,Groups!O:O)=0,1,0.33))^0.4*_xlfn.XLOOKUP(B408,'Base stats'!B:B,'Base stats'!BJ:BJ)^0.73)^0.6 *_xlfn.XLOOKUP(B408,'Base stats'!B:B,'Base stats'!BX:BX),0.1),0.05)
)</f>
        <v>No</v>
      </c>
      <c r="P408" s="11" t="str">
        <f>IF(O408="No","No",
MROUND(_xlfn.XLOOKUP(B408,'Base stats'!B:B,'Base stats'!BJ:BJ) * 0.01 * 2 + 0.05, 0.05)
)</f>
        <v>No</v>
      </c>
      <c r="Q408" s="5" t="str">
        <f>IF(O408="No","No",
MROUND(_xlfn.XLOOKUP(B408,'Base stats'!B:B,'Base stats'!BV:BV)/10000+0.01,0.01)
)</f>
        <v>No</v>
      </c>
      <c r="R408" s="4" t="str">
        <f>IF(O408="No","No",
MROUND(_xlfn.XLOOKUP(B408,'Base stats'!B:B,'Base stats'!BB:BB)^0.25
/((_xlfn.XLOOKUP(B408,'Base stats'!B:B,'Base stats'!BN:BN))*10)*_xlfn.XLOOKUP(_xlfn.XLOOKUP(B408,'Base stats'!B:B,'Base stats'!E:E),Groups!A:A,Groups!Z:Z)*150 + 0.5 + _xlfn.XLOOKUP(B408,'Base stats'!B:B,'Base stats'!BW:BW),
0.05))</f>
        <v>No</v>
      </c>
      <c r="S408" s="3" t="str">
        <f>IF(Animals!AI408="No","No",
IF(_xlfn.XLOOKUP(B408,'Base stats'!B:B,'Base stats'!U:U)="No",
MAX(MROUND(_xlfn.XLOOKUP(B408,'Base stats'!B:B,'Base stats'!BT:BT) * _xlfn.XLOOKUP(B408,'Base stats'!B:B,'Base stats'!BP:BP)^0.9 / 21 * _xlfn.XLOOKUP(B408,'Base stats'!B:B,'Base stats'!BX:BX),0.1),0.05),
MAX(MROUND(((MIN(12,_xlfn.XLOOKUP(B408,'Base stats'!B:B,'Base stats'!U:U)))^0.4*_xlfn.XLOOKUP(B408,'Base stats'!B:B,'Base stats'!BH:BH)^0.73)^0.6 * _xlfn.XLOOKUP(B408,'Base stats'!B:B,'Base stats'!BX:BX),0.1),0.05)
))</f>
        <v>No</v>
      </c>
      <c r="T408" s="11" t="str">
        <f>IF(S408="No","No",
MROUND(_xlfn.XLOOKUP(B408,'Base stats'!B:B,'Base stats'!BH:BH) * 0.01 * 2 + 0.05, 0.05)
)</f>
        <v>No</v>
      </c>
      <c r="U408" s="5" t="str">
        <f>IF(S408="No","No",IF(_xlfn.XLOOKUP(B408,'Base stats'!B:B,'Base stats'!U:U)="No","No",
MROUND(_xlfn.XLOOKUP(B408,'Base stats'!B:B,'Base stats'!BT:BT)/10000+0.01,0.01)
))</f>
        <v>No</v>
      </c>
      <c r="V408" s="4" t="str">
        <f>IF(S408="No","No",
MROUND(_xlfn.XLOOKUP(B408,'Base stats'!B:B,'Base stats'!BF:BF)^0.25
/((_xlfn.XLOOKUP(B408,'Base stats'!B:B,'Base stats'!BO:BO))*10)*_xlfn.XLOOKUP(_xlfn.XLOOKUP(B408,'Base stats'!B:B,'Base stats'!E:E),Groups!A:A,Groups!AE:AE)*150 + 0.5 + _xlfn.XLOOKUP(B408,'Base stats'!B:B,'Base stats'!BW:BW),
0.05))</f>
        <v>No</v>
      </c>
      <c r="W408" s="8">
        <f>MROUND(_xlfn.XLOOKUP(_xlfn.XLOOKUP(B408,'Base stats'!B:B,'Base stats'!E:E),Groups!A:A,Groups!BG:BG)*_xlfn.XLOOKUP(B408,'Base stats'!B:B,'Base stats'!C:C)^-0.165,0.05)</f>
        <v>0.05</v>
      </c>
      <c r="X408" s="1">
        <f>MROUND(_xlfn.XLOOKUP(_xlfn.XLOOKUP(B408,'Base stats'!B:B,'Base stats'!E:E),Groups!A:A,Groups!BH:BH)*_xlfn.XLOOKUP(B408,'Base stats'!B:B,'Base stats'!C:C)^0.165,0.05)</f>
        <v>0.4</v>
      </c>
      <c r="Y408" s="8">
        <f>MROUND(_xlfn.XLOOKUP(_xlfn.XLOOKUP(B408,'Base stats'!B:B,'Base stats'!E:E),Groups!A:A,Groups!BI:BI)*_xlfn.XLOOKUP(B408,'Base stats'!B:B,'Base stats'!C:C)^0.165,0.05)</f>
        <v>0.2</v>
      </c>
      <c r="Z408" s="18">
        <f>MROUND(_xlfn.XLOOKUP(B408,'Base stats'!B:B,'Base stats'!AQ:AQ)*_xlfn.XLOOKUP(_xlfn.XLOOKUP(B408,'Base stats'!B:B,'Base stats'!E:E),Groups!A:A,Groups!H:H)/1000,IF((_xlfn.XLOOKUP(B408,'Base stats'!B:B,'Base stats'!AQ:AQ)*_xlfn.XLOOKUP(_xlfn.XLOOKUP(B408,'Base stats'!B:B,'Base stats'!E:E),Groups!A:A,Groups!H:H)/1000)&gt;1,0.05,0.01))</f>
        <v>0.28000000000000003</v>
      </c>
      <c r="AA408" s="18">
        <f>MROUND((1/2)*(_xlfn.XLOOKUP(_xlfn.XLOOKUP(B408,'Base stats'!B:B,'Base stats'!E:E),Groups!A:A,Groups!H:H)*_xlfn.XLOOKUP(_xlfn.XLOOKUP(B408,'Base stats'!B:B,'Base stats'!E:E),Groups!A:A,Groups!I:I))*_xlfn.XLOOKUP(B408,'Base stats'!B:B,'Base stats'!AQ:AQ)*0.01,0.05)</f>
        <v>1.2000000000000002</v>
      </c>
      <c r="AB408" s="18">
        <f>MROUND(250*(Animals!AO408+Animals!AP408),25)</f>
        <v>2750</v>
      </c>
      <c r="AC408" s="18" t="str">
        <f>_xlfn.XLOOKUP(_xlfn.XLOOKUP(B408,'Base stats'!B:B,'Base stats'!E:E),Groups!A:A,Groups!BJ:BJ)</f>
        <v>Quadruped</v>
      </c>
    </row>
    <row r="409" spans="1:29" ht="16.5" thickTop="1" thickBot="1" x14ac:dyDescent="0.3">
      <c r="A409" s="16" t="str">
        <f>Animals!A409</f>
        <v>Platybelodon</v>
      </c>
      <c r="B409" s="6" t="str">
        <f>Animals!B409</f>
        <v>Platybelodon danovi</v>
      </c>
      <c r="C409" s="1" t="str">
        <f>Animals!C409</f>
        <v>&lt;li&gt;Platybelodon&lt;/li&gt;</v>
      </c>
      <c r="D409" s="47">
        <f>MIN(MIN(6,_xlfn.XLOOKUP(A409,Animals!A:A,Animals!AO:AO))*20,MAX(MROUND(_xlfn.XLOOKUP(B409,'Base stats'!B:B,'Base stats'!BS:BS) * (_xlfn.XLOOKUP(B409,'Base stats'!B:B,'Base stats'!AO:AO)*5%)^0.9 / 21,0.1),0.05))</f>
        <v>19.900000000000002</v>
      </c>
      <c r="E409" s="11">
        <f>MROUND(_xlfn.XLOOKUP(B409,'Base stats'!B:B,'Base stats'!BG:BG) * 0.01 * 2 + 0.01, 0.05)</f>
        <v>20.6</v>
      </c>
      <c r="F409" s="7">
        <f>MROUND(_xlfn.XLOOKUP(B409,'Base stats'!B:B,'Base stats'!BD:BD)^0.25 / (_xlfn.XLOOKUP(B409,'Base stats'!B:B,'Base stats'!BK:BK) * 10) * 150 + 0.5 + _xlfn.XLOOKUP(B409,'Base stats'!B:B,'Base stats'!BW:BW), 0.05)</f>
        <v>2.85</v>
      </c>
      <c r="G409" s="3">
        <f>IF(Animals!S409="No","No",
IF(_xlfn.XLOOKUP(B409,'Base stats'!B:B,'Base stats'!U:U)="No",
MAX(MROUND(_xlfn.XLOOKUP(B409,'Base stats'!B:B,'Base stats'!BT:BT) * _xlfn.XLOOKUP(B409,'Base stats'!B:B,'Base stats'!BP:BP)^0.9 / 21 * _xlfn.XLOOKUP(B409,'Base stats'!B:B,'Base stats'!BX:BX),0.1),0.05),
MAX(MROUND(((MIN(10,_xlfn.XLOOKUP(B409,'Base stats'!B:B,'Base stats'!U:U)))^0.4*_xlfn.XLOOKUP(B409,'Base stats'!B:B,'Base stats'!BH:BH)^0.73)^0.6 * _xlfn.XLOOKUP(B409,'Base stats'!B:B,'Base stats'!BX:BX),0.1),0.05)
))</f>
        <v>25.200000000000003</v>
      </c>
      <c r="H409" s="11">
        <f>IF(G409="No","No",
MROUND(_xlfn.XLOOKUP(B409,'Base stats'!B:B,'Base stats'!BH:BH) * 0.01 * 2 + 0.05, 0.05)
)</f>
        <v>19</v>
      </c>
      <c r="I409" s="11" t="str">
        <f>IF(G409="No","No",IF(_xlfn.XLOOKUP(B409,'Base stats'!B:B,'Base stats'!U:U)="No","No",
MROUND(_xlfn.XLOOKUP(B409,'Base stats'!B:B,'Base stats'!BT:BT)/10000+0.01,0.01)
))</f>
        <v>No</v>
      </c>
      <c r="J409" s="4">
        <f>IF(G409="No","No",
MROUND(_xlfn.XLOOKUP(B409,'Base stats'!B:B,'Base stats'!BE:BE)^0.25
/((_xlfn.XLOOKUP(B409,'Base stats'!B:B,'Base stats'!BL:BL))*10)*_xlfn.XLOOKUP(_xlfn.XLOOKUP(B409,'Base stats'!B:B,'Base stats'!E:E),Groups!A:A,Groups!Q:Q)*150 + 0.5 + _xlfn.XLOOKUP(B409,'Base stats'!B:B,'Base stats'!BW:BW),
0.05))</f>
        <v>3.2</v>
      </c>
      <c r="K409" s="3">
        <f>IF(Animals!X409="No","No",
IF(_xlfn.XLOOKUP(_xlfn.XLOOKUP(B409,'Base stats'!B:B,'Base stats'!E:E),Groups!A:A,Groups!BD:BD)=1,
MAX(MROUND(_xlfn.XLOOKUP(B409,'Base stats'!B:B,'Base stats'!BU:BU) * _xlfn.XLOOKUP(B409,'Base stats'!B:B,'Base stats'!BQ:BQ)^0.9 / 21 *_xlfn.XLOOKUP(B409,'Base stats'!B:B,'Base stats'!BX:BX),0.1),0.05),
MAX(MROUND(((MIN(10,_xlfn.XLOOKUP(B409,'Base stats'!B:B,'Base stats'!W:W)))^0.4*_xlfn.XLOOKUP(B409,'Base stats'!B:B,'Base stats'!BI:BI)^0.73)^0.6 *_xlfn.XLOOKUP(B409,'Base stats'!B:B,'Base stats'!BX:BX),0.1),0.05)
))</f>
        <v>37.9</v>
      </c>
      <c r="L409" s="11">
        <f>IF(K409="No","No",
MROUND(_xlfn.XLOOKUP(B409,'Base stats'!B:B,'Base stats'!BI:BI) * 0.01 *2 + 0.05, 0.05)
)</f>
        <v>22.75</v>
      </c>
      <c r="M409" s="5">
        <f>IF(K409="No","No",IF(_xlfn.XLOOKUP(_xlfn.XLOOKUP(B409,'Base stats'!B:B,'Base stats'!E:E),Groups!A:A,Groups!BD:BD)=1,"No",
MROUND(_xlfn.XLOOKUP(B409,'Base stats'!B:B,'Base stats'!BU:BU)/10000+0.01,0.01)
))</f>
        <v>1.06</v>
      </c>
      <c r="N409" s="4">
        <f>IF(K409="No","No",
MROUND(
  _xlfn.XLOOKUP(B409,'Base stats'!B:B,'Base stats'!BC:BC)^0.25
  / (_xlfn.XLOOKUP(B409,'Base stats'!B:B,'Base stats'!BM:BM) * 10)
  * _xlfn.XLOOKUP(
      _xlfn.XLOOKUP(B409,'Base stats'!B:B,'Base stats'!E:E),
      Groups!A:A,
      Groups!V:V
    ) * 150
  + MIN(12, _xlfn.XLOOKUP(B409,'Base stats'!B:B,'Base stats'!W:W))^(1/IF(_xlfn.XLOOKUP(_xlfn.XLOOKUP(B409,'Base stats'!B:B,'Base stats'!E:E),Groups!A:A,Groups!U:U)=1,100,10)) + 0.5 + _xlfn.XLOOKUP(B409,'Base stats'!B:B,'Base stats'!BW:BW),
0.05))</f>
        <v>4</v>
      </c>
      <c r="O409" s="3" t="str">
        <f>IF(Animals!AD409="No","No",
MAX(MROUND((MIN(10,_xlfn.XLOOKUP(B409,'Base stats'!B:B,'Base stats'!V:V)*IF(_xlfn.XLOOKUP(_xlfn.XLOOKUP(B409,'Base stats'!B:B,'Base stats'!E:E),Groups!A:A,Groups!O:O)=0,1,0.33))^0.4*_xlfn.XLOOKUP(B409,'Base stats'!B:B,'Base stats'!BJ:BJ)^0.73)^0.6 *_xlfn.XLOOKUP(B409,'Base stats'!B:B,'Base stats'!BX:BX),0.1),0.05)
)</f>
        <v>No</v>
      </c>
      <c r="P409" s="11" t="str">
        <f>IF(O409="No","No",
MROUND(_xlfn.XLOOKUP(B409,'Base stats'!B:B,'Base stats'!BJ:BJ) * 0.01 * 2 + 0.05, 0.05)
)</f>
        <v>No</v>
      </c>
      <c r="Q409" s="5" t="str">
        <f>IF(O409="No","No",
MROUND(_xlfn.XLOOKUP(B409,'Base stats'!B:B,'Base stats'!BV:BV)/10000+0.01,0.01)
)</f>
        <v>No</v>
      </c>
      <c r="R409" s="4" t="str">
        <f>IF(O409="No","No",
MROUND(_xlfn.XLOOKUP(B409,'Base stats'!B:B,'Base stats'!BB:BB)^0.25
/((_xlfn.XLOOKUP(B409,'Base stats'!B:B,'Base stats'!BN:BN))*10)*_xlfn.XLOOKUP(_xlfn.XLOOKUP(B409,'Base stats'!B:B,'Base stats'!E:E),Groups!A:A,Groups!Z:Z)*150 + 0.5 + _xlfn.XLOOKUP(B409,'Base stats'!B:B,'Base stats'!BW:BW),
0.05))</f>
        <v>No</v>
      </c>
      <c r="S409" s="3" t="str">
        <f>IF(Animals!AI409="No","No",
IF(_xlfn.XLOOKUP(B409,'Base stats'!B:B,'Base stats'!U:U)="No",
MAX(MROUND(_xlfn.XLOOKUP(B409,'Base stats'!B:B,'Base stats'!BT:BT) * _xlfn.XLOOKUP(B409,'Base stats'!B:B,'Base stats'!BP:BP)^0.9 / 21 * _xlfn.XLOOKUP(B409,'Base stats'!B:B,'Base stats'!BX:BX),0.1),0.05),
MAX(MROUND(((MIN(12,_xlfn.XLOOKUP(B409,'Base stats'!B:B,'Base stats'!U:U)))^0.4*_xlfn.XLOOKUP(B409,'Base stats'!B:B,'Base stats'!BH:BH)^0.73)^0.6 * _xlfn.XLOOKUP(B409,'Base stats'!B:B,'Base stats'!BX:BX),0.1),0.05)
))</f>
        <v>No</v>
      </c>
      <c r="T409" s="11" t="str">
        <f>IF(S409="No","No",
MROUND(_xlfn.XLOOKUP(B409,'Base stats'!B:B,'Base stats'!BH:BH) * 0.01 * 2 + 0.05, 0.05)
)</f>
        <v>No</v>
      </c>
      <c r="U409" s="5" t="str">
        <f>IF(S409="No","No",IF(_xlfn.XLOOKUP(B409,'Base stats'!B:B,'Base stats'!U:U)="No","No",
MROUND(_xlfn.XLOOKUP(B409,'Base stats'!B:B,'Base stats'!BT:BT)/10000+0.01,0.01)
))</f>
        <v>No</v>
      </c>
      <c r="V409" s="4" t="str">
        <f>IF(S409="No","No",
MROUND(_xlfn.XLOOKUP(B409,'Base stats'!B:B,'Base stats'!BF:BF)^0.25
/((_xlfn.XLOOKUP(B409,'Base stats'!B:B,'Base stats'!BO:BO))*10)*_xlfn.XLOOKUP(_xlfn.XLOOKUP(B409,'Base stats'!B:B,'Base stats'!E:E),Groups!A:A,Groups!AE:AE)*150 + 0.5 + _xlfn.XLOOKUP(B409,'Base stats'!B:B,'Base stats'!BW:BW),
0.05))</f>
        <v>No</v>
      </c>
      <c r="W409" s="8">
        <f>MROUND(_xlfn.XLOOKUP(_xlfn.XLOOKUP(B409,'Base stats'!B:B,'Base stats'!E:E),Groups!A:A,Groups!BG:BG)*_xlfn.XLOOKUP(B409,'Base stats'!B:B,'Base stats'!C:C)^-0.165,0.05)</f>
        <v>0.05</v>
      </c>
      <c r="X409" s="1">
        <f>MROUND(_xlfn.XLOOKUP(_xlfn.XLOOKUP(B409,'Base stats'!B:B,'Base stats'!E:E),Groups!A:A,Groups!BH:BH)*_xlfn.XLOOKUP(B409,'Base stats'!B:B,'Base stats'!C:C)^0.165,0.05)</f>
        <v>0.35000000000000003</v>
      </c>
      <c r="Y409" s="8">
        <f>MROUND(_xlfn.XLOOKUP(_xlfn.XLOOKUP(B409,'Base stats'!B:B,'Base stats'!E:E),Groups!A:A,Groups!BI:BI)*_xlfn.XLOOKUP(B409,'Base stats'!B:B,'Base stats'!C:C)^0.165,0.05)</f>
        <v>0.2</v>
      </c>
      <c r="Z409" s="18">
        <f>MROUND(_xlfn.XLOOKUP(B409,'Base stats'!B:B,'Base stats'!AQ:AQ)*_xlfn.XLOOKUP(_xlfn.XLOOKUP(B409,'Base stats'!B:B,'Base stats'!E:E),Groups!A:A,Groups!H:H)/1000,IF((_xlfn.XLOOKUP(B409,'Base stats'!B:B,'Base stats'!AQ:AQ)*_xlfn.XLOOKUP(_xlfn.XLOOKUP(B409,'Base stats'!B:B,'Base stats'!E:E),Groups!A:A,Groups!H:H)/1000)&gt;1,0.05,0.01))</f>
        <v>0.19</v>
      </c>
      <c r="AA409" s="18">
        <f>MROUND((1/2)*(_xlfn.XLOOKUP(_xlfn.XLOOKUP(B409,'Base stats'!B:B,'Base stats'!E:E),Groups!A:A,Groups!H:H)*_xlfn.XLOOKUP(_xlfn.XLOOKUP(B409,'Base stats'!B:B,'Base stats'!E:E),Groups!A:A,Groups!I:I))*_xlfn.XLOOKUP(B409,'Base stats'!B:B,'Base stats'!AQ:AQ)*0.01,0.05)</f>
        <v>0.85000000000000009</v>
      </c>
      <c r="AB409" s="18">
        <f>MROUND(250*(Animals!AO409+Animals!AP409),25)</f>
        <v>1875</v>
      </c>
      <c r="AC409" s="18" t="str">
        <f>_xlfn.XLOOKUP(_xlfn.XLOOKUP(B409,'Base stats'!B:B,'Base stats'!E:E),Groups!A:A,Groups!BJ:BJ)</f>
        <v>Quadruped</v>
      </c>
    </row>
    <row r="410" spans="1:29" ht="16.5" thickTop="1" thickBot="1" x14ac:dyDescent="0.3">
      <c r="A410" s="16" t="str">
        <f>Animals!A410</f>
        <v>Purussaurus</v>
      </c>
      <c r="B410" s="6" t="str">
        <f>Animals!B410</f>
        <v>Purussaurus brasilensis</v>
      </c>
      <c r="C410" s="1" t="str">
        <f>Animals!C410</f>
        <v>&lt;li&gt;Purussaurus&lt;/li&gt;</v>
      </c>
      <c r="D410" s="47">
        <f>MIN(MIN(6,_xlfn.XLOOKUP(A410,Animals!A:A,Animals!AO:AO))*20,MAX(MROUND(_xlfn.XLOOKUP(B410,'Base stats'!B:B,'Base stats'!BS:BS) * (_xlfn.XLOOKUP(B410,'Base stats'!B:B,'Base stats'!AO:AO)*5%)^0.9 / 21,0.1),0.05))</f>
        <v>45.6</v>
      </c>
      <c r="E410" s="11">
        <f>MROUND(_xlfn.XLOOKUP(B410,'Base stats'!B:B,'Base stats'!BG:BG) * 0.01 * 2 + 0.01, 0.05)</f>
        <v>50.2</v>
      </c>
      <c r="F410" s="7">
        <f>MROUND(_xlfn.XLOOKUP(B410,'Base stats'!B:B,'Base stats'!BD:BD)^0.25 / (_xlfn.XLOOKUP(B410,'Base stats'!B:B,'Base stats'!BK:BK) * 10) * 150 + 0.5 + _xlfn.XLOOKUP(B410,'Base stats'!B:B,'Base stats'!BW:BW), 0.05)</f>
        <v>4.95</v>
      </c>
      <c r="G410" s="3" t="str">
        <f>IF(Animals!S410="No","No",
IF(_xlfn.XLOOKUP(B410,'Base stats'!B:B,'Base stats'!U:U)="No",
MAX(MROUND(_xlfn.XLOOKUP(B410,'Base stats'!B:B,'Base stats'!BT:BT) * _xlfn.XLOOKUP(B410,'Base stats'!B:B,'Base stats'!BP:BP)^0.9 / 21 * _xlfn.XLOOKUP(B410,'Base stats'!B:B,'Base stats'!BX:BX),0.1),0.05),
MAX(MROUND(((MIN(10,_xlfn.XLOOKUP(B410,'Base stats'!B:B,'Base stats'!U:U)))^0.4*_xlfn.XLOOKUP(B410,'Base stats'!B:B,'Base stats'!BH:BH)^0.73)^0.6 * _xlfn.XLOOKUP(B410,'Base stats'!B:B,'Base stats'!BX:BX),0.1),0.05)
))</f>
        <v>No</v>
      </c>
      <c r="H410" s="11" t="str">
        <f>IF(G410="No","No",
MROUND(_xlfn.XLOOKUP(B410,'Base stats'!B:B,'Base stats'!BH:BH) * 0.01 * 2 + 0.05, 0.05)
)</f>
        <v>No</v>
      </c>
      <c r="I410" s="11" t="str">
        <f>IF(G410="No","No",IF(_xlfn.XLOOKUP(B410,'Base stats'!B:B,'Base stats'!U:U)="No","No",
MROUND(_xlfn.XLOOKUP(B410,'Base stats'!B:B,'Base stats'!BT:BT)/10000+0.01,0.01)
))</f>
        <v>No</v>
      </c>
      <c r="J410" s="4" t="str">
        <f>IF(G410="No","No",
MROUND(_xlfn.XLOOKUP(B410,'Base stats'!B:B,'Base stats'!BE:BE)^0.25
/((_xlfn.XLOOKUP(B410,'Base stats'!B:B,'Base stats'!BL:BL))*10)*_xlfn.XLOOKUP(_xlfn.XLOOKUP(B410,'Base stats'!B:B,'Base stats'!E:E),Groups!A:A,Groups!Q:Q)*150 + 0.5 + _xlfn.XLOOKUP(B410,'Base stats'!B:B,'Base stats'!BW:BW),
0.05))</f>
        <v>No</v>
      </c>
      <c r="K410" s="3" t="str">
        <f>IF(Animals!X410="No","No",
IF(_xlfn.XLOOKUP(_xlfn.XLOOKUP(B410,'Base stats'!B:B,'Base stats'!E:E),Groups!A:A,Groups!BD:BD)=1,
MAX(MROUND(_xlfn.XLOOKUP(B410,'Base stats'!B:B,'Base stats'!BU:BU) * _xlfn.XLOOKUP(B410,'Base stats'!B:B,'Base stats'!BQ:BQ)^0.9 / 21 *_xlfn.XLOOKUP(B410,'Base stats'!B:B,'Base stats'!BX:BX),0.1),0.05),
MAX(MROUND(((MIN(10,_xlfn.XLOOKUP(B410,'Base stats'!B:B,'Base stats'!W:W)))^0.4*_xlfn.XLOOKUP(B410,'Base stats'!B:B,'Base stats'!BI:BI)^0.73)^0.6 *_xlfn.XLOOKUP(B410,'Base stats'!B:B,'Base stats'!BX:BX),0.1),0.05)
))</f>
        <v>No</v>
      </c>
      <c r="L410" s="11" t="str">
        <f>IF(K410="No","No",
MROUND(_xlfn.XLOOKUP(B410,'Base stats'!B:B,'Base stats'!BI:BI) * 0.01 *2 + 0.05, 0.05)
)</f>
        <v>No</v>
      </c>
      <c r="M410" s="5" t="str">
        <f>IF(K410="No","No",IF(_xlfn.XLOOKUP(_xlfn.XLOOKUP(B410,'Base stats'!B:B,'Base stats'!E:E),Groups!A:A,Groups!BD:BD)=1,"No",
MROUND(_xlfn.XLOOKUP(B410,'Base stats'!B:B,'Base stats'!BU:BU)/10000+0.01,0.01)
))</f>
        <v>No</v>
      </c>
      <c r="N410" s="4" t="str">
        <f>IF(K410="No","No",
MROUND(
  _xlfn.XLOOKUP(B410,'Base stats'!B:B,'Base stats'!BC:BC)^0.25
  / (_xlfn.XLOOKUP(B410,'Base stats'!B:B,'Base stats'!BM:BM) * 10)
  * _xlfn.XLOOKUP(
      _xlfn.XLOOKUP(B410,'Base stats'!B:B,'Base stats'!E:E),
      Groups!A:A,
      Groups!V:V
    ) * 150
  + MIN(12, _xlfn.XLOOKUP(B410,'Base stats'!B:B,'Base stats'!W:W))^(1/IF(_xlfn.XLOOKUP(_xlfn.XLOOKUP(B410,'Base stats'!B:B,'Base stats'!E:E),Groups!A:A,Groups!U:U)=1,100,10)) + 0.5 + _xlfn.XLOOKUP(B410,'Base stats'!B:B,'Base stats'!BW:BW),
0.05))</f>
        <v>No</v>
      </c>
      <c r="O410" s="3">
        <f>IF(Animals!AD410="No","No",
MAX(MROUND((MIN(10,_xlfn.XLOOKUP(B410,'Base stats'!B:B,'Base stats'!V:V)*IF(_xlfn.XLOOKUP(_xlfn.XLOOKUP(B410,'Base stats'!B:B,'Base stats'!E:E),Groups!A:A,Groups!O:O)=0,1,0.33))^0.4*_xlfn.XLOOKUP(B410,'Base stats'!B:B,'Base stats'!BJ:BJ)^0.73)^0.6 *_xlfn.XLOOKUP(B410,'Base stats'!B:B,'Base stats'!BX:BX),0.1),0.05)
)</f>
        <v>104.80000000000001</v>
      </c>
      <c r="P410" s="11">
        <f>IF(O410="No","No",
MROUND(_xlfn.XLOOKUP(B410,'Base stats'!B:B,'Base stats'!BJ:BJ) * 0.01 * 2 + 0.05, 0.05)
)</f>
        <v>232.45000000000002</v>
      </c>
      <c r="Q410" s="5">
        <f>IF(O410="No","No",
MROUND(_xlfn.XLOOKUP(B410,'Base stats'!B:B,'Base stats'!BV:BV)/10000+0.01,0.01)
)</f>
        <v>0.34</v>
      </c>
      <c r="R410" s="4">
        <f>IF(O410="No","No",
MROUND(_xlfn.XLOOKUP(B410,'Base stats'!B:B,'Base stats'!BB:BB)^0.25
/((_xlfn.XLOOKUP(B410,'Base stats'!B:B,'Base stats'!BN:BN))*10)*_xlfn.XLOOKUP(_xlfn.XLOOKUP(B410,'Base stats'!B:B,'Base stats'!E:E),Groups!A:A,Groups!Z:Z)*150 + 0.5 + _xlfn.XLOOKUP(B410,'Base stats'!B:B,'Base stats'!BW:BW),
0.05))</f>
        <v>3.2</v>
      </c>
      <c r="S410" s="3" t="str">
        <f>IF(Animals!AI410="No","No",
IF(_xlfn.XLOOKUP(B410,'Base stats'!B:B,'Base stats'!U:U)="No",
MAX(MROUND(_xlfn.XLOOKUP(B410,'Base stats'!B:B,'Base stats'!BT:BT) * _xlfn.XLOOKUP(B410,'Base stats'!B:B,'Base stats'!BP:BP)^0.9 / 21 * _xlfn.XLOOKUP(B410,'Base stats'!B:B,'Base stats'!BX:BX),0.1),0.05),
MAX(MROUND(((MIN(12,_xlfn.XLOOKUP(B410,'Base stats'!B:B,'Base stats'!U:U)))^0.4*_xlfn.XLOOKUP(B410,'Base stats'!B:B,'Base stats'!BH:BH)^0.73)^0.6 * _xlfn.XLOOKUP(B410,'Base stats'!B:B,'Base stats'!BX:BX),0.1),0.05)
))</f>
        <v>No</v>
      </c>
      <c r="T410" s="11" t="str">
        <f>IF(S410="No","No",
MROUND(_xlfn.XLOOKUP(B410,'Base stats'!B:B,'Base stats'!BH:BH) * 0.01 * 2 + 0.05, 0.05)
)</f>
        <v>No</v>
      </c>
      <c r="U410" s="5" t="str">
        <f>IF(S410="No","No",IF(_xlfn.XLOOKUP(B410,'Base stats'!B:B,'Base stats'!U:U)="No","No",
MROUND(_xlfn.XLOOKUP(B410,'Base stats'!B:B,'Base stats'!BT:BT)/10000+0.01,0.01)
))</f>
        <v>No</v>
      </c>
      <c r="V410" s="4" t="str">
        <f>IF(S410="No","No",
MROUND(_xlfn.XLOOKUP(B410,'Base stats'!B:B,'Base stats'!BF:BF)^0.25
/((_xlfn.XLOOKUP(B410,'Base stats'!B:B,'Base stats'!BO:BO))*10)*_xlfn.XLOOKUP(_xlfn.XLOOKUP(B410,'Base stats'!B:B,'Base stats'!E:E),Groups!A:A,Groups!AE:AE)*150 + 0.5 + _xlfn.XLOOKUP(B410,'Base stats'!B:B,'Base stats'!BW:BW),
0.05))</f>
        <v>No</v>
      </c>
      <c r="W410" s="8">
        <f>MROUND(_xlfn.XLOOKUP(_xlfn.XLOOKUP(B410,'Base stats'!B:B,'Base stats'!E:E),Groups!A:A,Groups!BG:BG)*_xlfn.XLOOKUP(B410,'Base stats'!B:B,'Base stats'!C:C)^-0.165,0.05)</f>
        <v>0.05</v>
      </c>
      <c r="X410" s="1">
        <f>MROUND(_xlfn.XLOOKUP(_xlfn.XLOOKUP(B410,'Base stats'!B:B,'Base stats'!E:E),Groups!A:A,Groups!BH:BH)*_xlfn.XLOOKUP(B410,'Base stats'!B:B,'Base stats'!C:C)^0.165,0.05)</f>
        <v>0.4</v>
      </c>
      <c r="Y410" s="8">
        <f>MROUND(_xlfn.XLOOKUP(_xlfn.XLOOKUP(B410,'Base stats'!B:B,'Base stats'!E:E),Groups!A:A,Groups!BI:BI)*_xlfn.XLOOKUP(B410,'Base stats'!B:B,'Base stats'!C:C)^0.165,0.05)</f>
        <v>0.1</v>
      </c>
      <c r="Z410" s="18">
        <f>MROUND(_xlfn.XLOOKUP(B410,'Base stats'!B:B,'Base stats'!AQ:AQ)*_xlfn.XLOOKUP(_xlfn.XLOOKUP(B410,'Base stats'!B:B,'Base stats'!E:E),Groups!A:A,Groups!H:H)/1000,IF((_xlfn.XLOOKUP(B410,'Base stats'!B:B,'Base stats'!AQ:AQ)*_xlfn.XLOOKUP(_xlfn.XLOOKUP(B410,'Base stats'!B:B,'Base stats'!E:E),Groups!A:A,Groups!H:H)/1000)&gt;1,0.05,0.01))</f>
        <v>1.1000000000000001</v>
      </c>
      <c r="AA410" s="18">
        <f>MROUND((1/2)*(_xlfn.XLOOKUP(_xlfn.XLOOKUP(B410,'Base stats'!B:B,'Base stats'!E:E),Groups!A:A,Groups!H:H)*_xlfn.XLOOKUP(_xlfn.XLOOKUP(B410,'Base stats'!B:B,'Base stats'!E:E),Groups!A:A,Groups!I:I))*_xlfn.XLOOKUP(B410,'Base stats'!B:B,'Base stats'!AQ:AQ)*0.01,0.05)</f>
        <v>1.25</v>
      </c>
      <c r="AB410" s="18">
        <f>MROUND(250*(Animals!AO410+Animals!AP410),25)</f>
        <v>3025</v>
      </c>
      <c r="AC410" s="18" t="str">
        <f>_xlfn.XLOOKUP(_xlfn.XLOOKUP(B410,'Base stats'!B:B,'Base stats'!E:E),Groups!A:A,Groups!BJ:BJ)</f>
        <v>QuadrupedLow</v>
      </c>
    </row>
    <row r="411" spans="1:29" ht="16.5" thickTop="1" thickBot="1" x14ac:dyDescent="0.3">
      <c r="A411" s="16" t="str">
        <f>Animals!A411</f>
        <v>Uintatherium</v>
      </c>
      <c r="B411" s="6" t="str">
        <f>Animals!B411</f>
        <v>Uintatherium anceps</v>
      </c>
      <c r="C411" s="1" t="str">
        <f>Animals!C411</f>
        <v>&lt;li&gt;Uintatherium&lt;/li&gt;</v>
      </c>
      <c r="D411" s="47">
        <f>MIN(MIN(6,_xlfn.XLOOKUP(A411,Animals!A:A,Animals!AO:AO))*20,MAX(MROUND(_xlfn.XLOOKUP(B411,'Base stats'!B:B,'Base stats'!BS:BS) * (_xlfn.XLOOKUP(B411,'Base stats'!B:B,'Base stats'!AO:AO)*5%)^0.9 / 21,0.1),0.05))</f>
        <v>28.3</v>
      </c>
      <c r="E411" s="11">
        <f>MROUND(_xlfn.XLOOKUP(B411,'Base stats'!B:B,'Base stats'!BG:BG) * 0.01 * 2 + 0.01, 0.05)</f>
        <v>28.450000000000003</v>
      </c>
      <c r="F411" s="7">
        <f>MROUND(_xlfn.XLOOKUP(B411,'Base stats'!B:B,'Base stats'!BD:BD)^0.25 / (_xlfn.XLOOKUP(B411,'Base stats'!B:B,'Base stats'!BK:BK) * 10) * 150 + 0.5 + _xlfn.XLOOKUP(B411,'Base stats'!B:B,'Base stats'!BW:BW), 0.05)</f>
        <v>2.0500000000000003</v>
      </c>
      <c r="G411" s="3">
        <f>IF(Animals!S411="No","No",
IF(_xlfn.XLOOKUP(B411,'Base stats'!B:B,'Base stats'!U:U)="No",
MAX(MROUND(_xlfn.XLOOKUP(B411,'Base stats'!B:B,'Base stats'!BT:BT) * _xlfn.XLOOKUP(B411,'Base stats'!B:B,'Base stats'!BP:BP)^0.9 / 21 * _xlfn.XLOOKUP(B411,'Base stats'!B:B,'Base stats'!BX:BX),0.1),0.05),
MAX(MROUND(((MIN(10,_xlfn.XLOOKUP(B411,'Base stats'!B:B,'Base stats'!U:U)))^0.4*_xlfn.XLOOKUP(B411,'Base stats'!B:B,'Base stats'!BH:BH)^0.73)^0.6 * _xlfn.XLOOKUP(B411,'Base stats'!B:B,'Base stats'!BX:BX),0.1),0.05)
))</f>
        <v>42.800000000000004</v>
      </c>
      <c r="H411" s="11">
        <f>IF(G411="No","No",
MROUND(_xlfn.XLOOKUP(B411,'Base stats'!B:B,'Base stats'!BH:BH) * 0.01 * 2 + 0.05, 0.05)
)</f>
        <v>30.950000000000003</v>
      </c>
      <c r="I411" s="11" t="str">
        <f>IF(G411="No","No",IF(_xlfn.XLOOKUP(B411,'Base stats'!B:B,'Base stats'!U:U)="No","No",
MROUND(_xlfn.XLOOKUP(B411,'Base stats'!B:B,'Base stats'!BT:BT)/10000+0.01,0.01)
))</f>
        <v>No</v>
      </c>
      <c r="J411" s="4">
        <f>IF(G411="No","No",
MROUND(_xlfn.XLOOKUP(B411,'Base stats'!B:B,'Base stats'!BE:BE)^0.25
/((_xlfn.XLOOKUP(B411,'Base stats'!B:B,'Base stats'!BL:BL))*10)*_xlfn.XLOOKUP(_xlfn.XLOOKUP(B411,'Base stats'!B:B,'Base stats'!E:E),Groups!A:A,Groups!Q:Q)*150 + 0.5 + _xlfn.XLOOKUP(B411,'Base stats'!B:B,'Base stats'!BW:BW),
0.05))</f>
        <v>2.75</v>
      </c>
      <c r="K411" s="3" t="str">
        <f>IF(Animals!X411="No","No",
IF(_xlfn.XLOOKUP(_xlfn.XLOOKUP(B411,'Base stats'!B:B,'Base stats'!E:E),Groups!A:A,Groups!BD:BD)=1,
MAX(MROUND(_xlfn.XLOOKUP(B411,'Base stats'!B:B,'Base stats'!BU:BU) * _xlfn.XLOOKUP(B411,'Base stats'!B:B,'Base stats'!BQ:BQ)^0.9 / 21 *_xlfn.XLOOKUP(B411,'Base stats'!B:B,'Base stats'!BX:BX),0.1),0.05),
MAX(MROUND(((MIN(10,_xlfn.XLOOKUP(B411,'Base stats'!B:B,'Base stats'!W:W)))^0.4*_xlfn.XLOOKUP(B411,'Base stats'!B:B,'Base stats'!BI:BI)^0.73)^0.6 *_xlfn.XLOOKUP(B411,'Base stats'!B:B,'Base stats'!BX:BX),0.1),0.05)
))</f>
        <v>No</v>
      </c>
      <c r="L411" s="11" t="str">
        <f>IF(K411="No","No",
MROUND(_xlfn.XLOOKUP(B411,'Base stats'!B:B,'Base stats'!BI:BI) * 0.01 *2 + 0.05, 0.05)
)</f>
        <v>No</v>
      </c>
      <c r="M411" s="5" t="str">
        <f>IF(K411="No","No",IF(_xlfn.XLOOKUP(_xlfn.XLOOKUP(B411,'Base stats'!B:B,'Base stats'!E:E),Groups!A:A,Groups!BD:BD)=1,"No",
MROUND(_xlfn.XLOOKUP(B411,'Base stats'!B:B,'Base stats'!BU:BU)/10000+0.01,0.01)
))</f>
        <v>No</v>
      </c>
      <c r="N411" s="4" t="str">
        <f>IF(K411="No","No",
MROUND(
  _xlfn.XLOOKUP(B411,'Base stats'!B:B,'Base stats'!BC:BC)^0.25
  / (_xlfn.XLOOKUP(B411,'Base stats'!B:B,'Base stats'!BM:BM) * 10)
  * _xlfn.XLOOKUP(
      _xlfn.XLOOKUP(B411,'Base stats'!B:B,'Base stats'!E:E),
      Groups!A:A,
      Groups!V:V
    ) * 150
  + MIN(12, _xlfn.XLOOKUP(B411,'Base stats'!B:B,'Base stats'!W:W))^(1/IF(_xlfn.XLOOKUP(_xlfn.XLOOKUP(B411,'Base stats'!B:B,'Base stats'!E:E),Groups!A:A,Groups!U:U)=1,100,10)) + 0.5 + _xlfn.XLOOKUP(B411,'Base stats'!B:B,'Base stats'!BW:BW),
0.05))</f>
        <v>No</v>
      </c>
      <c r="O411" s="3">
        <f>IF(Animals!AD411="No","No",
MAX(MROUND((MIN(10,_xlfn.XLOOKUP(B411,'Base stats'!B:B,'Base stats'!V:V)*IF(_xlfn.XLOOKUP(_xlfn.XLOOKUP(B411,'Base stats'!B:B,'Base stats'!E:E),Groups!A:A,Groups!O:O)=0,1,0.33))^0.4*_xlfn.XLOOKUP(B411,'Base stats'!B:B,'Base stats'!BJ:BJ)^0.73)^0.6 *_xlfn.XLOOKUP(B411,'Base stats'!B:B,'Base stats'!BX:BX),0.1),0.05)
)</f>
        <v>32.9</v>
      </c>
      <c r="P411" s="11">
        <f>IF(O411="No","No",
MROUND(_xlfn.XLOOKUP(B411,'Base stats'!B:B,'Base stats'!BJ:BJ) * 0.01 * 2 + 0.05, 0.05)
)</f>
        <v>16.55</v>
      </c>
      <c r="Q411" s="5">
        <f>IF(O411="No","No",
MROUND(_xlfn.XLOOKUP(B411,'Base stats'!B:B,'Base stats'!BV:BV)/10000+0.01,0.01)
)</f>
        <v>0.1</v>
      </c>
      <c r="R411" s="4">
        <f>IF(O411="No","No",
MROUND(_xlfn.XLOOKUP(B411,'Base stats'!B:B,'Base stats'!BB:BB)^0.25
/((_xlfn.XLOOKUP(B411,'Base stats'!B:B,'Base stats'!BN:BN))*10)*_xlfn.XLOOKUP(_xlfn.XLOOKUP(B411,'Base stats'!B:B,'Base stats'!E:E),Groups!A:A,Groups!Z:Z)*150 + 0.5 + _xlfn.XLOOKUP(B411,'Base stats'!B:B,'Base stats'!BW:BW),
0.05))</f>
        <v>3.0500000000000003</v>
      </c>
      <c r="S411" s="3" t="str">
        <f>IF(Animals!AI411="No","No",
IF(_xlfn.XLOOKUP(B411,'Base stats'!B:B,'Base stats'!U:U)="No",
MAX(MROUND(_xlfn.XLOOKUP(B411,'Base stats'!B:B,'Base stats'!BT:BT) * _xlfn.XLOOKUP(B411,'Base stats'!B:B,'Base stats'!BP:BP)^0.9 / 21 * _xlfn.XLOOKUP(B411,'Base stats'!B:B,'Base stats'!BX:BX),0.1),0.05),
MAX(MROUND(((MIN(12,_xlfn.XLOOKUP(B411,'Base stats'!B:B,'Base stats'!U:U)))^0.4*_xlfn.XLOOKUP(B411,'Base stats'!B:B,'Base stats'!BH:BH)^0.73)^0.6 * _xlfn.XLOOKUP(B411,'Base stats'!B:B,'Base stats'!BX:BX),0.1),0.05)
))</f>
        <v>No</v>
      </c>
      <c r="T411" s="11" t="str">
        <f>IF(S411="No","No",
MROUND(_xlfn.XLOOKUP(B411,'Base stats'!B:B,'Base stats'!BH:BH) * 0.01 * 2 + 0.05, 0.05)
)</f>
        <v>No</v>
      </c>
      <c r="U411" s="5" t="str">
        <f>IF(S411="No","No",IF(_xlfn.XLOOKUP(B411,'Base stats'!B:B,'Base stats'!U:U)="No","No",
MROUND(_xlfn.XLOOKUP(B411,'Base stats'!B:B,'Base stats'!BT:BT)/10000+0.01,0.01)
))</f>
        <v>No</v>
      </c>
      <c r="V411" s="4" t="str">
        <f>IF(S411="No","No",
MROUND(_xlfn.XLOOKUP(B411,'Base stats'!B:B,'Base stats'!BF:BF)^0.25
/((_xlfn.XLOOKUP(B411,'Base stats'!B:B,'Base stats'!BO:BO))*10)*_xlfn.XLOOKUP(_xlfn.XLOOKUP(B411,'Base stats'!B:B,'Base stats'!E:E),Groups!A:A,Groups!AE:AE)*150 + 0.5 + _xlfn.XLOOKUP(B411,'Base stats'!B:B,'Base stats'!BW:BW),
0.05))</f>
        <v>No</v>
      </c>
      <c r="W411" s="8">
        <f>MROUND(_xlfn.XLOOKUP(_xlfn.XLOOKUP(B411,'Base stats'!B:B,'Base stats'!E:E),Groups!A:A,Groups!BG:BG)*_xlfn.XLOOKUP(B411,'Base stats'!B:B,'Base stats'!C:C)^-0.165,0.05)</f>
        <v>0.2</v>
      </c>
      <c r="X411" s="1">
        <f>MROUND(_xlfn.XLOOKUP(_xlfn.XLOOKUP(B411,'Base stats'!B:B,'Base stats'!E:E),Groups!A:A,Groups!BH:BH)*_xlfn.XLOOKUP(B411,'Base stats'!B:B,'Base stats'!C:C)^0.165,0.05)</f>
        <v>0</v>
      </c>
      <c r="Y411" s="8">
        <f>MROUND(_xlfn.XLOOKUP(_xlfn.XLOOKUP(B411,'Base stats'!B:B,'Base stats'!E:E),Groups!A:A,Groups!BI:BI)*_xlfn.XLOOKUP(B411,'Base stats'!B:B,'Base stats'!C:C)^0.165,0.05)</f>
        <v>0</v>
      </c>
      <c r="Z411" s="18">
        <f>MROUND(_xlfn.XLOOKUP(B411,'Base stats'!B:B,'Base stats'!AQ:AQ)*_xlfn.XLOOKUP(_xlfn.XLOOKUP(B411,'Base stats'!B:B,'Base stats'!E:E),Groups!A:A,Groups!H:H)/1000,IF((_xlfn.XLOOKUP(B411,'Base stats'!B:B,'Base stats'!AQ:AQ)*_xlfn.XLOOKUP(_xlfn.XLOOKUP(B411,'Base stats'!B:B,'Base stats'!E:E),Groups!A:A,Groups!H:H)/1000)&gt;1,0.05,0.01))</f>
        <v>0.14000000000000001</v>
      </c>
      <c r="AA411" s="18">
        <f>MROUND((1/2)*(_xlfn.XLOOKUP(_xlfn.XLOOKUP(B411,'Base stats'!B:B,'Base stats'!E:E),Groups!A:A,Groups!H:H)*_xlfn.XLOOKUP(_xlfn.XLOOKUP(B411,'Base stats'!B:B,'Base stats'!E:E),Groups!A:A,Groups!I:I))*_xlfn.XLOOKUP(B411,'Base stats'!B:B,'Base stats'!AQ:AQ)*0.01,0.05)</f>
        <v>0.60000000000000009</v>
      </c>
      <c r="AB411" s="18">
        <f>MROUND(250*(Animals!AO411+Animals!AP411),25)</f>
        <v>1875</v>
      </c>
      <c r="AC411" s="18" t="str">
        <f>_xlfn.XLOOKUP(_xlfn.XLOOKUP(B411,'Base stats'!B:B,'Base stats'!E:E),Groups!A:A,Groups!BJ:BJ)</f>
        <v>Quadruped</v>
      </c>
    </row>
    <row r="412" spans="1:29" ht="16.5" thickTop="1" thickBot="1" x14ac:dyDescent="0.3">
      <c r="A412" s="16" t="str">
        <f>Animals!A412</f>
        <v>Pulmonoscorpius</v>
      </c>
      <c r="B412" s="6" t="str">
        <f>Animals!B412</f>
        <v>Pulmonoscorpius kirktonensis</v>
      </c>
      <c r="C412" s="1" t="str">
        <f>Animals!C412</f>
        <v>&lt;li&gt;Pulmonoscorpius&lt;/li&gt;</v>
      </c>
      <c r="D412" s="47">
        <f>MIN(MIN(6,_xlfn.XLOOKUP(A412,Animals!A:A,Animals!AO:AO))*20,MAX(MROUND(_xlfn.XLOOKUP(B412,'Base stats'!B:B,'Base stats'!BS:BS) * (_xlfn.XLOOKUP(B412,'Base stats'!B:B,'Base stats'!AO:AO)*5%)^0.9 / 21,0.1),0.05))</f>
        <v>0.1</v>
      </c>
      <c r="E412" s="11">
        <f>MROUND(_xlfn.XLOOKUP(B412,'Base stats'!B:B,'Base stats'!BG:BG) * 0.01 * 2 + 0.01, 0.05)</f>
        <v>0.05</v>
      </c>
      <c r="F412" s="7">
        <f>MROUND(_xlfn.XLOOKUP(B412,'Base stats'!B:B,'Base stats'!BD:BD)^0.25 / (_xlfn.XLOOKUP(B412,'Base stats'!B:B,'Base stats'!BK:BK) * 10) * 150 + 0.5 + _xlfn.XLOOKUP(B412,'Base stats'!B:B,'Base stats'!BW:BW), 0.05)</f>
        <v>1.7000000000000002</v>
      </c>
      <c r="G412" s="3" t="str">
        <f>IF(Animals!S412="No","No",
IF(_xlfn.XLOOKUP(B412,'Base stats'!B:B,'Base stats'!U:U)="No",
MAX(MROUND(_xlfn.XLOOKUP(B412,'Base stats'!B:B,'Base stats'!BT:BT) * _xlfn.XLOOKUP(B412,'Base stats'!B:B,'Base stats'!BP:BP)^0.9 / 21 * _xlfn.XLOOKUP(B412,'Base stats'!B:B,'Base stats'!BX:BX),0.1),0.05),
MAX(MROUND(((MIN(10,_xlfn.XLOOKUP(B412,'Base stats'!B:B,'Base stats'!U:U)))^0.4*_xlfn.XLOOKUP(B412,'Base stats'!B:B,'Base stats'!BH:BH)^0.73)^0.6 * _xlfn.XLOOKUP(B412,'Base stats'!B:B,'Base stats'!BX:BX),0.1),0.05)
))</f>
        <v>No</v>
      </c>
      <c r="H412" s="11" t="str">
        <f>IF(G412="No","No",
MROUND(_xlfn.XLOOKUP(B412,'Base stats'!B:B,'Base stats'!BH:BH) * 0.01 * 2 + 0.05, 0.05)
)</f>
        <v>No</v>
      </c>
      <c r="I412" s="11" t="str">
        <f>IF(G412="No","No",IF(_xlfn.XLOOKUP(B412,'Base stats'!B:B,'Base stats'!U:U)="No","No",
MROUND(_xlfn.XLOOKUP(B412,'Base stats'!B:B,'Base stats'!BT:BT)/10000+0.01,0.01)
))</f>
        <v>No</v>
      </c>
      <c r="J412" s="4" t="str">
        <f>IF(G412="No","No",
MROUND(_xlfn.XLOOKUP(B412,'Base stats'!B:B,'Base stats'!BE:BE)^0.25
/((_xlfn.XLOOKUP(B412,'Base stats'!B:B,'Base stats'!BL:BL))*10)*_xlfn.XLOOKUP(_xlfn.XLOOKUP(B412,'Base stats'!B:B,'Base stats'!E:E),Groups!A:A,Groups!Q:Q)*150 + 0.5 + _xlfn.XLOOKUP(B412,'Base stats'!B:B,'Base stats'!BW:BW),
0.05))</f>
        <v>No</v>
      </c>
      <c r="K412" s="3">
        <f>IF(Animals!X412="No","No",
IF(_xlfn.XLOOKUP(_xlfn.XLOOKUP(B412,'Base stats'!B:B,'Base stats'!E:E),Groups!A:A,Groups!BD:BD)=1,
MAX(MROUND(_xlfn.XLOOKUP(B412,'Base stats'!B:B,'Base stats'!BU:BU) * _xlfn.XLOOKUP(B412,'Base stats'!B:B,'Base stats'!BQ:BQ)^0.9 / 21 *_xlfn.XLOOKUP(B412,'Base stats'!B:B,'Base stats'!BX:BX),0.1),0.05),
MAX(MROUND(((MIN(10,_xlfn.XLOOKUP(B412,'Base stats'!B:B,'Base stats'!W:W)))^0.4*_xlfn.XLOOKUP(B412,'Base stats'!B:B,'Base stats'!BI:BI)^0.73)^0.6 *_xlfn.XLOOKUP(B412,'Base stats'!B:B,'Base stats'!BX:BX),0.1),0.05)
))</f>
        <v>4.8000000000000007</v>
      </c>
      <c r="L412" s="11">
        <f>IF(K412="No","No",
MROUND(_xlfn.XLOOKUP(B412,'Base stats'!B:B,'Base stats'!BI:BI) * 0.01 *2 + 0.05, 0.05)
)</f>
        <v>0.65</v>
      </c>
      <c r="M412" s="5">
        <f>IF(K412="No","No",IF(_xlfn.XLOOKUP(_xlfn.XLOOKUP(B412,'Base stats'!B:B,'Base stats'!E:E),Groups!A:A,Groups!BD:BD)=1,"No",
MROUND(_xlfn.XLOOKUP(B412,'Base stats'!B:B,'Base stats'!BU:BU)/10000+0.01,0.01)
))</f>
        <v>0.69000000000000006</v>
      </c>
      <c r="N412" s="4">
        <f>IF(K412="No","No",
MROUND(
  _xlfn.XLOOKUP(B412,'Base stats'!B:B,'Base stats'!BC:BC)^0.25
  / (_xlfn.XLOOKUP(B412,'Base stats'!B:B,'Base stats'!BM:BM) * 10)
  * _xlfn.XLOOKUP(
      _xlfn.XLOOKUP(B412,'Base stats'!B:B,'Base stats'!E:E),
      Groups!A:A,
      Groups!V:V
    ) * 150
  + MIN(12, _xlfn.XLOOKUP(B412,'Base stats'!B:B,'Base stats'!W:W))^(1/IF(_xlfn.XLOOKUP(_xlfn.XLOOKUP(B412,'Base stats'!B:B,'Base stats'!E:E),Groups!A:A,Groups!U:U)=1,100,10)) + 0.5 + _xlfn.XLOOKUP(B412,'Base stats'!B:B,'Base stats'!BW:BW),
0.05))</f>
        <v>3</v>
      </c>
      <c r="O412" s="3">
        <f>IF(Animals!AD412="No","No",
MAX(MROUND((MIN(10,_xlfn.XLOOKUP(B412,'Base stats'!B:B,'Base stats'!V:V)*IF(_xlfn.XLOOKUP(_xlfn.XLOOKUP(B412,'Base stats'!B:B,'Base stats'!E:E),Groups!A:A,Groups!O:O)=0,1,0.33))^0.4*_xlfn.XLOOKUP(B412,'Base stats'!B:B,'Base stats'!BJ:BJ)^0.73)^0.6 *_xlfn.XLOOKUP(B412,'Base stats'!B:B,'Base stats'!BX:BX),0.1),0.05)
)</f>
        <v>3.8000000000000003</v>
      </c>
      <c r="P412" s="11">
        <f>IF(O412="No","No",
MROUND(_xlfn.XLOOKUP(B412,'Base stats'!B:B,'Base stats'!BJ:BJ) * 0.01 * 2 + 0.05, 0.05)
)</f>
        <v>0.65</v>
      </c>
      <c r="Q412" s="5">
        <f>IF(O412="No","No",
MROUND(_xlfn.XLOOKUP(B412,'Base stats'!B:B,'Base stats'!BV:BV)/10000+0.01,0.01)
)</f>
        <v>0.14000000000000001</v>
      </c>
      <c r="R412" s="4">
        <f>IF(O412="No","No",
MROUND(_xlfn.XLOOKUP(B412,'Base stats'!B:B,'Base stats'!BB:BB)^0.25
/((_xlfn.XLOOKUP(B412,'Base stats'!B:B,'Base stats'!BN:BN))*10)*_xlfn.XLOOKUP(_xlfn.XLOOKUP(B412,'Base stats'!B:B,'Base stats'!E:E),Groups!A:A,Groups!Z:Z)*150 + 0.5 + _xlfn.XLOOKUP(B412,'Base stats'!B:B,'Base stats'!BW:BW),
0.05))</f>
        <v>1.35</v>
      </c>
      <c r="S412" s="3">
        <f>IF(Animals!AI412="No","No",
IF(_xlfn.XLOOKUP(B412,'Base stats'!B:B,'Base stats'!U:U)="No",
MAX(MROUND(_xlfn.XLOOKUP(B412,'Base stats'!B:B,'Base stats'!BT:BT) * _xlfn.XLOOKUP(B412,'Base stats'!B:B,'Base stats'!BP:BP)^0.9 / 21 * _xlfn.XLOOKUP(B412,'Base stats'!B:B,'Base stats'!BX:BX),0.1),0.05),
MAX(MROUND(((MIN(12,_xlfn.XLOOKUP(B412,'Base stats'!B:B,'Base stats'!U:U)))^0.4*_xlfn.XLOOKUP(B412,'Base stats'!B:B,'Base stats'!BH:BH)^0.73)^0.6 * _xlfn.XLOOKUP(B412,'Base stats'!B:B,'Base stats'!BX:BX),0.1),0.05)
))</f>
        <v>4.4000000000000004</v>
      </c>
      <c r="T412" s="11">
        <f>IF(S412="No","No",
MROUND(_xlfn.XLOOKUP(B412,'Base stats'!B:B,'Base stats'!BH:BH) * 0.01 * 2 + 0.05, 0.05)
)</f>
        <v>0.55000000000000004</v>
      </c>
      <c r="U412" s="5">
        <f>IF(S412="No","No",IF(_xlfn.XLOOKUP(B412,'Base stats'!B:B,'Base stats'!U:U)="No","No",
MROUND(_xlfn.XLOOKUP(B412,'Base stats'!B:B,'Base stats'!BT:BT)/10000+0.01,0.01)
))</f>
        <v>1.06</v>
      </c>
      <c r="V412" s="4">
        <f>IF(S412="No","No",
MROUND(_xlfn.XLOOKUP(B412,'Base stats'!B:B,'Base stats'!BF:BF)^0.25
/((_xlfn.XLOOKUP(B412,'Base stats'!B:B,'Base stats'!BO:BO))*10)*_xlfn.XLOOKUP(_xlfn.XLOOKUP(B412,'Base stats'!B:B,'Base stats'!E:E),Groups!A:A,Groups!AE:AE)*150 + 0.5 + _xlfn.XLOOKUP(B412,'Base stats'!B:B,'Base stats'!BW:BW),
0.05))</f>
        <v>1.85</v>
      </c>
      <c r="W412" s="8">
        <f>MROUND(_xlfn.XLOOKUP(_xlfn.XLOOKUP(B412,'Base stats'!B:B,'Base stats'!E:E),Groups!A:A,Groups!BG:BG)*_xlfn.XLOOKUP(B412,'Base stats'!B:B,'Base stats'!C:C)^-0.165,0.05)</f>
        <v>0.2</v>
      </c>
      <c r="X412" s="1">
        <f>MROUND(_xlfn.XLOOKUP(_xlfn.XLOOKUP(B412,'Base stats'!B:B,'Base stats'!E:E),Groups!A:A,Groups!BH:BH)*_xlfn.XLOOKUP(B412,'Base stats'!B:B,'Base stats'!C:C)^0.165,0.05)</f>
        <v>0.1</v>
      </c>
      <c r="Y412" s="8">
        <f>MROUND(_xlfn.XLOOKUP(_xlfn.XLOOKUP(B412,'Base stats'!B:B,'Base stats'!E:E),Groups!A:A,Groups!BI:BI)*_xlfn.XLOOKUP(B412,'Base stats'!B:B,'Base stats'!C:C)^0.165,0.05)</f>
        <v>0.05</v>
      </c>
      <c r="Z412" s="18">
        <f>MROUND(_xlfn.XLOOKUP(B412,'Base stats'!B:B,'Base stats'!AQ:AQ)*_xlfn.XLOOKUP(_xlfn.XLOOKUP(B412,'Base stats'!B:B,'Base stats'!E:E),Groups!A:A,Groups!H:H)/1000,IF((_xlfn.XLOOKUP(B412,'Base stats'!B:B,'Base stats'!AQ:AQ)*_xlfn.XLOOKUP(_xlfn.XLOOKUP(B412,'Base stats'!B:B,'Base stats'!E:E),Groups!A:A,Groups!H:H)/1000)&gt;1,0.05,0.01))</f>
        <v>0.34</v>
      </c>
      <c r="AA412" s="18">
        <f>MROUND((1/2)*(_xlfn.XLOOKUP(_xlfn.XLOOKUP(B412,'Base stats'!B:B,'Base stats'!E:E),Groups!A:A,Groups!H:H)*_xlfn.XLOOKUP(_xlfn.XLOOKUP(B412,'Base stats'!B:B,'Base stats'!E:E),Groups!A:A,Groups!I:I))*_xlfn.XLOOKUP(B412,'Base stats'!B:B,'Base stats'!AQ:AQ)*0.01,0.05)</f>
        <v>0.05</v>
      </c>
      <c r="AB412" s="18">
        <f>MROUND(250*(Animals!AO412+Animals!AP412),25)</f>
        <v>125</v>
      </c>
      <c r="AC412" s="18" t="str">
        <f>_xlfn.XLOOKUP(_xlfn.XLOOKUP(B412,'Base stats'!B:B,'Base stats'!E:E),Groups!A:A,Groups!BJ:BJ)</f>
        <v>QuadrupedLow</v>
      </c>
    </row>
    <row r="413" spans="1:29" ht="16.5" thickTop="1" thickBot="1" x14ac:dyDescent="0.3">
      <c r="A413" s="16" t="str">
        <f>Animals!A413</f>
        <v>Dinopithecus</v>
      </c>
      <c r="B413" s="6" t="str">
        <f>Animals!B413</f>
        <v>Dinopithecus ingens</v>
      </c>
      <c r="C413" s="1" t="str">
        <f>Animals!C413</f>
        <v>&lt;li&gt;Dinopithecus&lt;/li&gt;</v>
      </c>
      <c r="D413" s="47">
        <f>MIN(MIN(6,_xlfn.XLOOKUP(A413,Animals!A:A,Animals!AO:AO))*20,MAX(MROUND(_xlfn.XLOOKUP(B413,'Base stats'!B:B,'Base stats'!BS:BS) * (_xlfn.XLOOKUP(B413,'Base stats'!B:B,'Base stats'!AO:AO)*5%)^0.9 / 21,0.1),0.05))</f>
        <v>1.6</v>
      </c>
      <c r="E413" s="11">
        <f>MROUND(_xlfn.XLOOKUP(B413,'Base stats'!B:B,'Base stats'!BG:BG) * 0.01 * 2 + 0.01, 0.05)</f>
        <v>1.3</v>
      </c>
      <c r="F413" s="7">
        <f>MROUND(_xlfn.XLOOKUP(B413,'Base stats'!B:B,'Base stats'!BD:BD)^0.25 / (_xlfn.XLOOKUP(B413,'Base stats'!B:B,'Base stats'!BK:BK) * 10) * 150 + 0.5 + _xlfn.XLOOKUP(B413,'Base stats'!B:B,'Base stats'!BW:BW), 0.05)</f>
        <v>1.55</v>
      </c>
      <c r="G413" s="3" t="str">
        <f>IF(Animals!S413="No","No",
IF(_xlfn.XLOOKUP(B413,'Base stats'!B:B,'Base stats'!U:U)="No",
MAX(MROUND(_xlfn.XLOOKUP(B413,'Base stats'!B:B,'Base stats'!BT:BT) * _xlfn.XLOOKUP(B413,'Base stats'!B:B,'Base stats'!BP:BP)^0.9 / 21 * _xlfn.XLOOKUP(B413,'Base stats'!B:B,'Base stats'!BX:BX),0.1),0.05),
MAX(MROUND(((MIN(10,_xlfn.XLOOKUP(B413,'Base stats'!B:B,'Base stats'!U:U)))^0.4*_xlfn.XLOOKUP(B413,'Base stats'!B:B,'Base stats'!BH:BH)^0.73)^0.6 * _xlfn.XLOOKUP(B413,'Base stats'!B:B,'Base stats'!BX:BX),0.1),0.05)
))</f>
        <v>No</v>
      </c>
      <c r="H413" s="11" t="str">
        <f>IF(G413="No","No",
MROUND(_xlfn.XLOOKUP(B413,'Base stats'!B:B,'Base stats'!BH:BH) * 0.01 * 2 + 0.05, 0.05)
)</f>
        <v>No</v>
      </c>
      <c r="I413" s="11" t="str">
        <f>IF(G413="No","No",IF(_xlfn.XLOOKUP(B413,'Base stats'!B:B,'Base stats'!U:U)="No","No",
MROUND(_xlfn.XLOOKUP(B413,'Base stats'!B:B,'Base stats'!BT:BT)/10000+0.01,0.01)
))</f>
        <v>No</v>
      </c>
      <c r="J413" s="4" t="str">
        <f>IF(G413="No","No",
MROUND(_xlfn.XLOOKUP(B413,'Base stats'!B:B,'Base stats'!BE:BE)^0.25
/((_xlfn.XLOOKUP(B413,'Base stats'!B:B,'Base stats'!BL:BL))*10)*_xlfn.XLOOKUP(_xlfn.XLOOKUP(B413,'Base stats'!B:B,'Base stats'!E:E),Groups!A:A,Groups!Q:Q)*150 + 0.5 + _xlfn.XLOOKUP(B413,'Base stats'!B:B,'Base stats'!BW:BW),
0.05))</f>
        <v>No</v>
      </c>
      <c r="K413" s="3" t="str">
        <f>IF(Animals!X413="No","No",
IF(_xlfn.XLOOKUP(_xlfn.XLOOKUP(B413,'Base stats'!B:B,'Base stats'!E:E),Groups!A:A,Groups!BD:BD)=1,
MAX(MROUND(_xlfn.XLOOKUP(B413,'Base stats'!B:B,'Base stats'!BU:BU) * _xlfn.XLOOKUP(B413,'Base stats'!B:B,'Base stats'!BQ:BQ)^0.9 / 21 *_xlfn.XLOOKUP(B413,'Base stats'!B:B,'Base stats'!BX:BX),0.1),0.05),
MAX(MROUND(((MIN(10,_xlfn.XLOOKUP(B413,'Base stats'!B:B,'Base stats'!W:W)))^0.4*_xlfn.XLOOKUP(B413,'Base stats'!B:B,'Base stats'!BI:BI)^0.73)^0.6 *_xlfn.XLOOKUP(B413,'Base stats'!B:B,'Base stats'!BX:BX),0.1),0.05)
))</f>
        <v>No</v>
      </c>
      <c r="L413" s="11" t="str">
        <f>IF(K413="No","No",
MROUND(_xlfn.XLOOKUP(B413,'Base stats'!B:B,'Base stats'!BI:BI) * 0.01 *2 + 0.05, 0.05)
)</f>
        <v>No</v>
      </c>
      <c r="M413" s="5" t="str">
        <f>IF(K413="No","No",IF(_xlfn.XLOOKUP(_xlfn.XLOOKUP(B413,'Base stats'!B:B,'Base stats'!E:E),Groups!A:A,Groups!BD:BD)=1,"No",
MROUND(_xlfn.XLOOKUP(B413,'Base stats'!B:B,'Base stats'!BU:BU)/10000+0.01,0.01)
))</f>
        <v>No</v>
      </c>
      <c r="N413" s="4" t="str">
        <f>IF(K413="No","No",
MROUND(
  _xlfn.XLOOKUP(B413,'Base stats'!B:B,'Base stats'!BC:BC)^0.25
  / (_xlfn.XLOOKUP(B413,'Base stats'!B:B,'Base stats'!BM:BM) * 10)
  * _xlfn.XLOOKUP(
      _xlfn.XLOOKUP(B413,'Base stats'!B:B,'Base stats'!E:E),
      Groups!A:A,
      Groups!V:V
    ) * 150
  + MIN(12, _xlfn.XLOOKUP(B413,'Base stats'!B:B,'Base stats'!W:W))^(1/IF(_xlfn.XLOOKUP(_xlfn.XLOOKUP(B413,'Base stats'!B:B,'Base stats'!E:E),Groups!A:A,Groups!U:U)=1,100,10)) + 0.5 + _xlfn.XLOOKUP(B413,'Base stats'!B:B,'Base stats'!BW:BW),
0.05))</f>
        <v>No</v>
      </c>
      <c r="O413" s="3">
        <f>IF(Animals!AD413="No","No",
MAX(MROUND((MIN(10,_xlfn.XLOOKUP(B413,'Base stats'!B:B,'Base stats'!V:V)*IF(_xlfn.XLOOKUP(_xlfn.XLOOKUP(B413,'Base stats'!B:B,'Base stats'!E:E),Groups!A:A,Groups!O:O)=0,1,0.33))^0.4*_xlfn.XLOOKUP(B413,'Base stats'!B:B,'Base stats'!BJ:BJ)^0.73)^0.6 *_xlfn.XLOOKUP(B413,'Base stats'!B:B,'Base stats'!BX:BX),0.1),0.05)
)</f>
        <v>7</v>
      </c>
      <c r="P413" s="11">
        <f>IF(O413="No","No",
MROUND(_xlfn.XLOOKUP(B413,'Base stats'!B:B,'Base stats'!BJ:BJ) * 0.01 * 2 + 0.05, 0.05)
)</f>
        <v>0.95000000000000007</v>
      </c>
      <c r="Q413" s="5">
        <f>IF(O413="No","No",
MROUND(_xlfn.XLOOKUP(B413,'Base stats'!B:B,'Base stats'!BV:BV)/10000+0.01,0.01)
)</f>
        <v>7.0000000000000007E-2</v>
      </c>
      <c r="R413" s="4">
        <f>IF(O413="No","No",
MROUND(_xlfn.XLOOKUP(B413,'Base stats'!B:B,'Base stats'!BB:BB)^0.25
/((_xlfn.XLOOKUP(B413,'Base stats'!B:B,'Base stats'!BN:BN))*10)*_xlfn.XLOOKUP(_xlfn.XLOOKUP(B413,'Base stats'!B:B,'Base stats'!E:E),Groups!A:A,Groups!Z:Z)*150 + 0.5 + _xlfn.XLOOKUP(B413,'Base stats'!B:B,'Base stats'!BW:BW),
0.05))</f>
        <v>1.9500000000000002</v>
      </c>
      <c r="S413" s="3">
        <f>IF(Animals!AI413="No","No",
IF(_xlfn.XLOOKUP(B413,'Base stats'!B:B,'Base stats'!U:U)="No",
MAX(MROUND(_xlfn.XLOOKUP(B413,'Base stats'!B:B,'Base stats'!BT:BT) * _xlfn.XLOOKUP(B413,'Base stats'!B:B,'Base stats'!BP:BP)^0.9 / 21 * _xlfn.XLOOKUP(B413,'Base stats'!B:B,'Base stats'!BX:BX),0.1),0.05),
MAX(MROUND(((MIN(12,_xlfn.XLOOKUP(B413,'Base stats'!B:B,'Base stats'!U:U)))^0.4*_xlfn.XLOOKUP(B413,'Base stats'!B:B,'Base stats'!BH:BH)^0.73)^0.6 * _xlfn.XLOOKUP(B413,'Base stats'!B:B,'Base stats'!BX:BX),0.1),0.05)
))</f>
        <v>3.8000000000000003</v>
      </c>
      <c r="T413" s="11">
        <f>IF(S413="No","No",
MROUND(_xlfn.XLOOKUP(B413,'Base stats'!B:B,'Base stats'!BH:BH) * 0.01 * 2 + 0.05, 0.05)
)</f>
        <v>1.75</v>
      </c>
      <c r="U413" s="5" t="str">
        <f>IF(S413="No","No",IF(_xlfn.XLOOKUP(B413,'Base stats'!B:B,'Base stats'!U:U)="No","No",
MROUND(_xlfn.XLOOKUP(B413,'Base stats'!B:B,'Base stats'!BT:BT)/10000+0.01,0.01)
))</f>
        <v>No</v>
      </c>
      <c r="V413" s="4">
        <f>IF(S413="No","No",
MROUND(_xlfn.XLOOKUP(B413,'Base stats'!B:B,'Base stats'!BF:BF)^0.25
/((_xlfn.XLOOKUP(B413,'Base stats'!B:B,'Base stats'!BO:BO))*10)*_xlfn.XLOOKUP(_xlfn.XLOOKUP(B413,'Base stats'!B:B,'Base stats'!E:E),Groups!A:A,Groups!AE:AE)*150 + 0.5 + _xlfn.XLOOKUP(B413,'Base stats'!B:B,'Base stats'!BW:BW),
0.05))</f>
        <v>1.35</v>
      </c>
      <c r="W413" s="8">
        <f>MROUND(_xlfn.XLOOKUP(_xlfn.XLOOKUP(B413,'Base stats'!B:B,'Base stats'!E:E),Groups!A:A,Groups!BG:BG)*_xlfn.XLOOKUP(B413,'Base stats'!B:B,'Base stats'!C:C)^-0.165,0.05)</f>
        <v>0.55000000000000004</v>
      </c>
      <c r="X413" s="1">
        <f>MROUND(_xlfn.XLOOKUP(_xlfn.XLOOKUP(B413,'Base stats'!B:B,'Base stats'!E:E),Groups!A:A,Groups!BH:BH)*_xlfn.XLOOKUP(B413,'Base stats'!B:B,'Base stats'!C:C)^0.165,0.05)</f>
        <v>0.2</v>
      </c>
      <c r="Y413" s="8">
        <f>MROUND(_xlfn.XLOOKUP(_xlfn.XLOOKUP(B413,'Base stats'!B:B,'Base stats'!E:E),Groups!A:A,Groups!BI:BI)*_xlfn.XLOOKUP(B413,'Base stats'!B:B,'Base stats'!C:C)^0.165,0.05)</f>
        <v>0.1</v>
      </c>
      <c r="Z413" s="18">
        <f>MROUND(_xlfn.XLOOKUP(B413,'Base stats'!B:B,'Base stats'!AQ:AQ)*_xlfn.XLOOKUP(_xlfn.XLOOKUP(B413,'Base stats'!B:B,'Base stats'!E:E),Groups!A:A,Groups!H:H)/1000,IF((_xlfn.XLOOKUP(B413,'Base stats'!B:B,'Base stats'!AQ:AQ)*_xlfn.XLOOKUP(_xlfn.XLOOKUP(B413,'Base stats'!B:B,'Base stats'!E:E),Groups!A:A,Groups!H:H)/1000)&gt;1,0.05,0.01))</f>
        <v>0.05</v>
      </c>
      <c r="AA413" s="18">
        <f>MROUND((1/2)*(_xlfn.XLOOKUP(_xlfn.XLOOKUP(B413,'Base stats'!B:B,'Base stats'!E:E),Groups!A:A,Groups!H:H)*_xlfn.XLOOKUP(_xlfn.XLOOKUP(B413,'Base stats'!B:B,'Base stats'!E:E),Groups!A:A,Groups!I:I))*_xlfn.XLOOKUP(B413,'Base stats'!B:B,'Base stats'!AQ:AQ)*0.01,0.05)</f>
        <v>0.25</v>
      </c>
      <c r="AB413" s="18">
        <f>MROUND(250*(Animals!AO413+Animals!AP413),25)</f>
        <v>425</v>
      </c>
      <c r="AC413" s="18" t="str">
        <f>_xlfn.XLOOKUP(_xlfn.XLOOKUP(B413,'Base stats'!B:B,'Base stats'!E:E),Groups!A:A,Groups!BJ:BJ)</f>
        <v>Quadruped</v>
      </c>
    </row>
    <row r="414" spans="1:29" ht="16.5" thickTop="1" thickBot="1" x14ac:dyDescent="0.3">
      <c r="A414" s="16" t="str">
        <f>Animals!A414</f>
        <v>Castoroides</v>
      </c>
      <c r="B414" s="6" t="str">
        <f>Animals!B414</f>
        <v>Castoroides ohioensis</v>
      </c>
      <c r="C414" s="1" t="str">
        <f>Animals!C414</f>
        <v>&lt;li&gt;Castoroides&lt;/li&gt;</v>
      </c>
      <c r="D414" s="47">
        <f>MIN(MIN(6,_xlfn.XLOOKUP(A414,Animals!A:A,Animals!AO:AO))*20,MAX(MROUND(_xlfn.XLOOKUP(B414,'Base stats'!B:B,'Base stats'!BS:BS) * (_xlfn.XLOOKUP(B414,'Base stats'!B:B,'Base stats'!AO:AO)*5%)^0.9 / 21,0.1),0.05))</f>
        <v>2.4000000000000004</v>
      </c>
      <c r="E414" s="11">
        <f>MROUND(_xlfn.XLOOKUP(B414,'Base stats'!B:B,'Base stats'!BG:BG) * 0.01 * 2 + 0.01, 0.05)</f>
        <v>2.0500000000000003</v>
      </c>
      <c r="F414" s="7">
        <f>MROUND(_xlfn.XLOOKUP(B414,'Base stats'!B:B,'Base stats'!BD:BD)^0.25 / (_xlfn.XLOOKUP(B414,'Base stats'!B:B,'Base stats'!BK:BK) * 10) * 150 + 0.5 + _xlfn.XLOOKUP(B414,'Base stats'!B:B,'Base stats'!BW:BW), 0.05)</f>
        <v>1.6</v>
      </c>
      <c r="G414" s="3" t="str">
        <f>IF(Animals!S414="No","No",
IF(_xlfn.XLOOKUP(B414,'Base stats'!B:B,'Base stats'!U:U)="No",
MAX(MROUND(_xlfn.XLOOKUP(B414,'Base stats'!B:B,'Base stats'!BT:BT) * _xlfn.XLOOKUP(B414,'Base stats'!B:B,'Base stats'!BP:BP)^0.9 / 21 * _xlfn.XLOOKUP(B414,'Base stats'!B:B,'Base stats'!BX:BX),0.1),0.05),
MAX(MROUND(((MIN(10,_xlfn.XLOOKUP(B414,'Base stats'!B:B,'Base stats'!U:U)))^0.4*_xlfn.XLOOKUP(B414,'Base stats'!B:B,'Base stats'!BH:BH)^0.73)^0.6 * _xlfn.XLOOKUP(B414,'Base stats'!B:B,'Base stats'!BX:BX),0.1),0.05)
))</f>
        <v>No</v>
      </c>
      <c r="H414" s="11" t="str">
        <f>IF(G414="No","No",
MROUND(_xlfn.XLOOKUP(B414,'Base stats'!B:B,'Base stats'!BH:BH) * 0.01 * 2 + 0.05, 0.05)
)</f>
        <v>No</v>
      </c>
      <c r="I414" s="11" t="str">
        <f>IF(G414="No","No",IF(_xlfn.XLOOKUP(B414,'Base stats'!B:B,'Base stats'!U:U)="No","No",
MROUND(_xlfn.XLOOKUP(B414,'Base stats'!B:B,'Base stats'!BT:BT)/10000+0.01,0.01)
))</f>
        <v>No</v>
      </c>
      <c r="J414" s="4" t="str">
        <f>IF(G414="No","No",
MROUND(_xlfn.XLOOKUP(B414,'Base stats'!B:B,'Base stats'!BE:BE)^0.25
/((_xlfn.XLOOKUP(B414,'Base stats'!B:B,'Base stats'!BL:BL))*10)*_xlfn.XLOOKUP(_xlfn.XLOOKUP(B414,'Base stats'!B:B,'Base stats'!E:E),Groups!A:A,Groups!Q:Q)*150 + 0.5 + _xlfn.XLOOKUP(B414,'Base stats'!B:B,'Base stats'!BW:BW),
0.05))</f>
        <v>No</v>
      </c>
      <c r="K414" s="3" t="str">
        <f>IF(Animals!X414="No","No",
IF(_xlfn.XLOOKUP(_xlfn.XLOOKUP(B414,'Base stats'!B:B,'Base stats'!E:E),Groups!A:A,Groups!BD:BD)=1,
MAX(MROUND(_xlfn.XLOOKUP(B414,'Base stats'!B:B,'Base stats'!BU:BU) * _xlfn.XLOOKUP(B414,'Base stats'!B:B,'Base stats'!BQ:BQ)^0.9 / 21 *_xlfn.XLOOKUP(B414,'Base stats'!B:B,'Base stats'!BX:BX),0.1),0.05),
MAX(MROUND(((MIN(10,_xlfn.XLOOKUP(B414,'Base stats'!B:B,'Base stats'!W:W)))^0.4*_xlfn.XLOOKUP(B414,'Base stats'!B:B,'Base stats'!BI:BI)^0.73)^0.6 *_xlfn.XLOOKUP(B414,'Base stats'!B:B,'Base stats'!BX:BX),0.1),0.05)
))</f>
        <v>No</v>
      </c>
      <c r="L414" s="11" t="str">
        <f>IF(K414="No","No",
MROUND(_xlfn.XLOOKUP(B414,'Base stats'!B:B,'Base stats'!BI:BI) * 0.01 *2 + 0.05, 0.05)
)</f>
        <v>No</v>
      </c>
      <c r="M414" s="5" t="str">
        <f>IF(K414="No","No",IF(_xlfn.XLOOKUP(_xlfn.XLOOKUP(B414,'Base stats'!B:B,'Base stats'!E:E),Groups!A:A,Groups!BD:BD)=1,"No",
MROUND(_xlfn.XLOOKUP(B414,'Base stats'!B:B,'Base stats'!BU:BU)/10000+0.01,0.01)
))</f>
        <v>No</v>
      </c>
      <c r="N414" s="4" t="str">
        <f>IF(K414="No","No",
MROUND(
  _xlfn.XLOOKUP(B414,'Base stats'!B:B,'Base stats'!BC:BC)^0.25
  / (_xlfn.XLOOKUP(B414,'Base stats'!B:B,'Base stats'!BM:BM) * 10)
  * _xlfn.XLOOKUP(
      _xlfn.XLOOKUP(B414,'Base stats'!B:B,'Base stats'!E:E),
      Groups!A:A,
      Groups!V:V
    ) * 150
  + MIN(12, _xlfn.XLOOKUP(B414,'Base stats'!B:B,'Base stats'!W:W))^(1/IF(_xlfn.XLOOKUP(_xlfn.XLOOKUP(B414,'Base stats'!B:B,'Base stats'!E:E),Groups!A:A,Groups!U:U)=1,100,10)) + 0.5 + _xlfn.XLOOKUP(B414,'Base stats'!B:B,'Base stats'!BW:BW),
0.05))</f>
        <v>No</v>
      </c>
      <c r="O414" s="3">
        <f>IF(Animals!AD414="No","No",
MAX(MROUND((MIN(10,_xlfn.XLOOKUP(B414,'Base stats'!B:B,'Base stats'!V:V)*IF(_xlfn.XLOOKUP(_xlfn.XLOOKUP(B414,'Base stats'!B:B,'Base stats'!E:E),Groups!A:A,Groups!O:O)=0,1,0.33))^0.4*_xlfn.XLOOKUP(B414,'Base stats'!B:B,'Base stats'!BJ:BJ)^0.73)^0.6 *_xlfn.XLOOKUP(B414,'Base stats'!B:B,'Base stats'!BX:BX),0.1),0.05)
)</f>
        <v>8.6</v>
      </c>
      <c r="P414" s="11">
        <f>IF(O414="No","No",
MROUND(_xlfn.XLOOKUP(B414,'Base stats'!B:B,'Base stats'!BJ:BJ) * 0.01 * 2 + 0.05, 0.05)
)</f>
        <v>1.2000000000000002</v>
      </c>
      <c r="Q414" s="5">
        <f>IF(O414="No","No",
MROUND(_xlfn.XLOOKUP(B414,'Base stats'!B:B,'Base stats'!BV:BV)/10000+0.01,0.01)
)</f>
        <v>0.08</v>
      </c>
      <c r="R414" s="4">
        <f>IF(O414="No","No",
MROUND(_xlfn.XLOOKUP(B414,'Base stats'!B:B,'Base stats'!BB:BB)^0.25
/((_xlfn.XLOOKUP(B414,'Base stats'!B:B,'Base stats'!BN:BN))*10)*_xlfn.XLOOKUP(_xlfn.XLOOKUP(B414,'Base stats'!B:B,'Base stats'!E:E),Groups!A:A,Groups!Z:Z)*150 + 0.5 + _xlfn.XLOOKUP(B414,'Base stats'!B:B,'Base stats'!BW:BW),
0.05))</f>
        <v>2.15</v>
      </c>
      <c r="S414" s="3" t="str">
        <f>IF(Animals!AI414="No","No",
IF(_xlfn.XLOOKUP(B414,'Base stats'!B:B,'Base stats'!U:U)="No",
MAX(MROUND(_xlfn.XLOOKUP(B414,'Base stats'!B:B,'Base stats'!BT:BT) * _xlfn.XLOOKUP(B414,'Base stats'!B:B,'Base stats'!BP:BP)^0.9 / 21 * _xlfn.XLOOKUP(B414,'Base stats'!B:B,'Base stats'!BX:BX),0.1),0.05),
MAX(MROUND(((MIN(12,_xlfn.XLOOKUP(B414,'Base stats'!B:B,'Base stats'!U:U)))^0.4*_xlfn.XLOOKUP(B414,'Base stats'!B:B,'Base stats'!BH:BH)^0.73)^0.6 * _xlfn.XLOOKUP(B414,'Base stats'!B:B,'Base stats'!BX:BX),0.1),0.05)
))</f>
        <v>No</v>
      </c>
      <c r="T414" s="11" t="str">
        <f>IF(S414="No","No",
MROUND(_xlfn.XLOOKUP(B414,'Base stats'!B:B,'Base stats'!BH:BH) * 0.01 * 2 + 0.05, 0.05)
)</f>
        <v>No</v>
      </c>
      <c r="U414" s="5" t="str">
        <f>IF(S414="No","No",IF(_xlfn.XLOOKUP(B414,'Base stats'!B:B,'Base stats'!U:U)="No","No",
MROUND(_xlfn.XLOOKUP(B414,'Base stats'!B:B,'Base stats'!BT:BT)/10000+0.01,0.01)
))</f>
        <v>No</v>
      </c>
      <c r="V414" s="4" t="str">
        <f>IF(S414="No","No",
MROUND(_xlfn.XLOOKUP(B414,'Base stats'!B:B,'Base stats'!BF:BF)^0.25
/((_xlfn.XLOOKUP(B414,'Base stats'!B:B,'Base stats'!BO:BO))*10)*_xlfn.XLOOKUP(_xlfn.XLOOKUP(B414,'Base stats'!B:B,'Base stats'!E:E),Groups!A:A,Groups!AE:AE)*150 + 0.5 + _xlfn.XLOOKUP(B414,'Base stats'!B:B,'Base stats'!BW:BW),
0.05))</f>
        <v>No</v>
      </c>
      <c r="W414" s="8">
        <f>MROUND(_xlfn.XLOOKUP(_xlfn.XLOOKUP(B414,'Base stats'!B:B,'Base stats'!E:E),Groups!A:A,Groups!BG:BG)*_xlfn.XLOOKUP(B414,'Base stats'!B:B,'Base stats'!C:C)^-0.165,0.05)</f>
        <v>0.35000000000000003</v>
      </c>
      <c r="X414" s="1">
        <f>MROUND(_xlfn.XLOOKUP(_xlfn.XLOOKUP(B414,'Base stats'!B:B,'Base stats'!E:E),Groups!A:A,Groups!BH:BH)*_xlfn.XLOOKUP(B414,'Base stats'!B:B,'Base stats'!C:C)^0.165,0.05)</f>
        <v>0</v>
      </c>
      <c r="Y414" s="8">
        <f>MROUND(_xlfn.XLOOKUP(_xlfn.XLOOKUP(B414,'Base stats'!B:B,'Base stats'!E:E),Groups!A:A,Groups!BI:BI)*_xlfn.XLOOKUP(B414,'Base stats'!B:B,'Base stats'!C:C)^0.165,0.05)</f>
        <v>0</v>
      </c>
      <c r="Z414" s="18">
        <f>MROUND(_xlfn.XLOOKUP(B414,'Base stats'!B:B,'Base stats'!AQ:AQ)*_xlfn.XLOOKUP(_xlfn.XLOOKUP(B414,'Base stats'!B:B,'Base stats'!E:E),Groups!A:A,Groups!H:H)/1000,IF((_xlfn.XLOOKUP(B414,'Base stats'!B:B,'Base stats'!AQ:AQ)*_xlfn.XLOOKUP(_xlfn.XLOOKUP(B414,'Base stats'!B:B,'Base stats'!E:E),Groups!A:A,Groups!H:H)/1000)&gt;1,0.05,0.01))</f>
        <v>0.06</v>
      </c>
      <c r="AA414" s="18">
        <f>MROUND((1/2)*(_xlfn.XLOOKUP(_xlfn.XLOOKUP(B414,'Base stats'!B:B,'Base stats'!E:E),Groups!A:A,Groups!H:H)*_xlfn.XLOOKUP(_xlfn.XLOOKUP(B414,'Base stats'!B:B,'Base stats'!E:E),Groups!A:A,Groups!I:I))*_xlfn.XLOOKUP(B414,'Base stats'!B:B,'Base stats'!AQ:AQ)*0.01,0.05)</f>
        <v>0.25</v>
      </c>
      <c r="AB414" s="18">
        <f>MROUND(250*(Animals!AO414+Animals!AP414),25)</f>
        <v>525</v>
      </c>
      <c r="AC414" s="18" t="str">
        <f>_xlfn.XLOOKUP(_xlfn.XLOOKUP(B414,'Base stats'!B:B,'Base stats'!E:E),Groups!A:A,Groups!BJ:BJ)</f>
        <v>QuadrupedLow</v>
      </c>
    </row>
    <row r="415" spans="1:29" ht="16.5" thickTop="1" thickBot="1" x14ac:dyDescent="0.3">
      <c r="A415" s="16" t="str">
        <f>Animals!A415</f>
        <v>Enhydriodon</v>
      </c>
      <c r="B415" s="6" t="str">
        <f>Animals!B415</f>
        <v xml:space="preserve">Enhydriodon dikikae </v>
      </c>
      <c r="C415" s="1" t="str">
        <f>Animals!C415</f>
        <v>&lt;li&gt;Enhydriodon&lt;/li&gt;</v>
      </c>
      <c r="D415" s="47">
        <f>MIN(MIN(6,_xlfn.XLOOKUP(A415,Animals!A:A,Animals!AO:AO))*20,MAX(MROUND(_xlfn.XLOOKUP(B415,'Base stats'!B:B,'Base stats'!BS:BS) * (_xlfn.XLOOKUP(B415,'Base stats'!B:B,'Base stats'!AO:AO)*5%)^0.9 / 21,0.1),0.05))</f>
        <v>3.1</v>
      </c>
      <c r="E415" s="11">
        <f>MROUND(_xlfn.XLOOKUP(B415,'Base stats'!B:B,'Base stats'!BG:BG) * 0.01 * 2 + 0.01, 0.05)</f>
        <v>2.6</v>
      </c>
      <c r="F415" s="7">
        <f>MROUND(_xlfn.XLOOKUP(B415,'Base stats'!B:B,'Base stats'!BD:BD)^0.25 / (_xlfn.XLOOKUP(B415,'Base stats'!B:B,'Base stats'!BK:BK) * 10) * 150 + 0.5 + _xlfn.XLOOKUP(B415,'Base stats'!B:B,'Base stats'!BW:BW), 0.05)</f>
        <v>2.1</v>
      </c>
      <c r="G415" s="3" t="str">
        <f>IF(Animals!S415="No","No",
IF(_xlfn.XLOOKUP(B415,'Base stats'!B:B,'Base stats'!U:U)="No",
MAX(MROUND(_xlfn.XLOOKUP(B415,'Base stats'!B:B,'Base stats'!BT:BT) * _xlfn.XLOOKUP(B415,'Base stats'!B:B,'Base stats'!BP:BP)^0.9 / 21 * _xlfn.XLOOKUP(B415,'Base stats'!B:B,'Base stats'!BX:BX),0.1),0.05),
MAX(MROUND(((MIN(10,_xlfn.XLOOKUP(B415,'Base stats'!B:B,'Base stats'!U:U)))^0.4*_xlfn.XLOOKUP(B415,'Base stats'!B:B,'Base stats'!BH:BH)^0.73)^0.6 * _xlfn.XLOOKUP(B415,'Base stats'!B:B,'Base stats'!BX:BX),0.1),0.05)
))</f>
        <v>No</v>
      </c>
      <c r="H415" s="11" t="str">
        <f>IF(G415="No","No",
MROUND(_xlfn.XLOOKUP(B415,'Base stats'!B:B,'Base stats'!BH:BH) * 0.01 * 2 + 0.05, 0.05)
)</f>
        <v>No</v>
      </c>
      <c r="I415" s="11" t="str">
        <f>IF(G415="No","No",IF(_xlfn.XLOOKUP(B415,'Base stats'!B:B,'Base stats'!U:U)="No","No",
MROUND(_xlfn.XLOOKUP(B415,'Base stats'!B:B,'Base stats'!BT:BT)/10000+0.01,0.01)
))</f>
        <v>No</v>
      </c>
      <c r="J415" s="4" t="str">
        <f>IF(G415="No","No",
MROUND(_xlfn.XLOOKUP(B415,'Base stats'!B:B,'Base stats'!BE:BE)^0.25
/((_xlfn.XLOOKUP(B415,'Base stats'!B:B,'Base stats'!BL:BL))*10)*_xlfn.XLOOKUP(_xlfn.XLOOKUP(B415,'Base stats'!B:B,'Base stats'!E:E),Groups!A:A,Groups!Q:Q)*150 + 0.5 + _xlfn.XLOOKUP(B415,'Base stats'!B:B,'Base stats'!BW:BW),
0.05))</f>
        <v>No</v>
      </c>
      <c r="K415" s="3" t="str">
        <f>IF(Animals!X415="No","No",
IF(_xlfn.XLOOKUP(_xlfn.XLOOKUP(B415,'Base stats'!B:B,'Base stats'!E:E),Groups!A:A,Groups!BD:BD)=1,
MAX(MROUND(_xlfn.XLOOKUP(B415,'Base stats'!B:B,'Base stats'!BU:BU) * _xlfn.XLOOKUP(B415,'Base stats'!B:B,'Base stats'!BQ:BQ)^0.9 / 21 *_xlfn.XLOOKUP(B415,'Base stats'!B:B,'Base stats'!BX:BX),0.1),0.05),
MAX(MROUND(((MIN(10,_xlfn.XLOOKUP(B415,'Base stats'!B:B,'Base stats'!W:W)))^0.4*_xlfn.XLOOKUP(B415,'Base stats'!B:B,'Base stats'!BI:BI)^0.73)^0.6 *_xlfn.XLOOKUP(B415,'Base stats'!B:B,'Base stats'!BX:BX),0.1),0.05)
))</f>
        <v>No</v>
      </c>
      <c r="L415" s="11" t="str">
        <f>IF(K415="No","No",
MROUND(_xlfn.XLOOKUP(B415,'Base stats'!B:B,'Base stats'!BI:BI) * 0.01 *2 + 0.05, 0.05)
)</f>
        <v>No</v>
      </c>
      <c r="M415" s="5" t="str">
        <f>IF(K415="No","No",IF(_xlfn.XLOOKUP(_xlfn.XLOOKUP(B415,'Base stats'!B:B,'Base stats'!E:E),Groups!A:A,Groups!BD:BD)=1,"No",
MROUND(_xlfn.XLOOKUP(B415,'Base stats'!B:B,'Base stats'!BU:BU)/10000+0.01,0.01)
))</f>
        <v>No</v>
      </c>
      <c r="N415" s="4" t="str">
        <f>IF(K415="No","No",
MROUND(
  _xlfn.XLOOKUP(B415,'Base stats'!B:B,'Base stats'!BC:BC)^0.25
  / (_xlfn.XLOOKUP(B415,'Base stats'!B:B,'Base stats'!BM:BM) * 10)
  * _xlfn.XLOOKUP(
      _xlfn.XLOOKUP(B415,'Base stats'!B:B,'Base stats'!E:E),
      Groups!A:A,
      Groups!V:V
    ) * 150
  + MIN(12, _xlfn.XLOOKUP(B415,'Base stats'!B:B,'Base stats'!W:W))^(1/IF(_xlfn.XLOOKUP(_xlfn.XLOOKUP(B415,'Base stats'!B:B,'Base stats'!E:E),Groups!A:A,Groups!U:U)=1,100,10)) + 0.5 + _xlfn.XLOOKUP(B415,'Base stats'!B:B,'Base stats'!BW:BW),
0.05))</f>
        <v>No</v>
      </c>
      <c r="O415" s="3">
        <f>IF(Animals!AD415="No","No",
MAX(MROUND((MIN(10,_xlfn.XLOOKUP(B415,'Base stats'!B:B,'Base stats'!V:V)*IF(_xlfn.XLOOKUP(_xlfn.XLOOKUP(B415,'Base stats'!B:B,'Base stats'!E:E),Groups!A:A,Groups!O:O)=0,1,0.33))^0.4*_xlfn.XLOOKUP(B415,'Base stats'!B:B,'Base stats'!BJ:BJ)^0.73)^0.6 *_xlfn.XLOOKUP(B415,'Base stats'!B:B,'Base stats'!BX:BX),0.1),0.05)
)</f>
        <v>12.8</v>
      </c>
      <c r="P415" s="11">
        <f>IF(O415="No","No",
MROUND(_xlfn.XLOOKUP(B415,'Base stats'!B:B,'Base stats'!BJ:BJ) * 0.01 * 2 + 0.05, 0.05)
)</f>
        <v>3.1</v>
      </c>
      <c r="Q415" s="5">
        <f>IF(O415="No","No",
MROUND(_xlfn.XLOOKUP(B415,'Base stats'!B:B,'Base stats'!BV:BV)/10000+0.01,0.01)
)</f>
        <v>0.17</v>
      </c>
      <c r="R415" s="4">
        <f>IF(O415="No","No",
MROUND(_xlfn.XLOOKUP(B415,'Base stats'!B:B,'Base stats'!BB:BB)^0.25
/((_xlfn.XLOOKUP(B415,'Base stats'!B:B,'Base stats'!BN:BN))*10)*_xlfn.XLOOKUP(_xlfn.XLOOKUP(B415,'Base stats'!B:B,'Base stats'!E:E),Groups!A:A,Groups!Z:Z)*150 + 0.5 + _xlfn.XLOOKUP(B415,'Base stats'!B:B,'Base stats'!BW:BW),
0.05))</f>
        <v>2.0500000000000003</v>
      </c>
      <c r="S415" s="3">
        <f>IF(Animals!AI415="No","No",
IF(_xlfn.XLOOKUP(B415,'Base stats'!B:B,'Base stats'!U:U)="No",
MAX(MROUND(_xlfn.XLOOKUP(B415,'Base stats'!B:B,'Base stats'!BT:BT) * _xlfn.XLOOKUP(B415,'Base stats'!B:B,'Base stats'!BP:BP)^0.9 / 21 * _xlfn.XLOOKUP(B415,'Base stats'!B:B,'Base stats'!BX:BX),0.1),0.05),
MAX(MROUND(((MIN(12,_xlfn.XLOOKUP(B415,'Base stats'!B:B,'Base stats'!U:U)))^0.4*_xlfn.XLOOKUP(B415,'Base stats'!B:B,'Base stats'!BH:BH)^0.73)^0.6 * _xlfn.XLOOKUP(B415,'Base stats'!B:B,'Base stats'!BX:BX),0.1),0.05)
))</f>
        <v>11</v>
      </c>
      <c r="T415" s="11">
        <f>IF(S415="No","No",
MROUND(_xlfn.XLOOKUP(B415,'Base stats'!B:B,'Base stats'!BH:BH) * 0.01 * 2 + 0.05, 0.05)
)</f>
        <v>3.3000000000000003</v>
      </c>
      <c r="U415" s="5">
        <f>IF(S415="No","No",IF(_xlfn.XLOOKUP(B415,'Base stats'!B:B,'Base stats'!U:U)="No","No",
MROUND(_xlfn.XLOOKUP(B415,'Base stats'!B:B,'Base stats'!BT:BT)/10000+0.01,0.01)
))</f>
        <v>0.18</v>
      </c>
      <c r="V415" s="4">
        <f>IF(S415="No","No",
MROUND(_xlfn.XLOOKUP(B415,'Base stats'!B:B,'Base stats'!BF:BF)^0.25
/((_xlfn.XLOOKUP(B415,'Base stats'!B:B,'Base stats'!BO:BO))*10)*_xlfn.XLOOKUP(_xlfn.XLOOKUP(B415,'Base stats'!B:B,'Base stats'!E:E),Groups!A:A,Groups!AE:AE)*150 + 0.5 + _xlfn.XLOOKUP(B415,'Base stats'!B:B,'Base stats'!BW:BW),
0.05))</f>
        <v>1.4500000000000002</v>
      </c>
      <c r="W415" s="8">
        <f>MROUND(_xlfn.XLOOKUP(_xlfn.XLOOKUP(B415,'Base stats'!B:B,'Base stats'!E:E),Groups!A:A,Groups!BG:BG)*_xlfn.XLOOKUP(B415,'Base stats'!B:B,'Base stats'!C:C)^-0.165,0.05)</f>
        <v>0.5</v>
      </c>
      <c r="X415" s="1">
        <f>MROUND(_xlfn.XLOOKUP(_xlfn.XLOOKUP(B415,'Base stats'!B:B,'Base stats'!E:E),Groups!A:A,Groups!BH:BH)*_xlfn.XLOOKUP(B415,'Base stats'!B:B,'Base stats'!C:C)^0.165,0.05)</f>
        <v>0.45</v>
      </c>
      <c r="Y415" s="8">
        <f>MROUND(_xlfn.XLOOKUP(_xlfn.XLOOKUP(B415,'Base stats'!B:B,'Base stats'!E:E),Groups!A:A,Groups!BI:BI)*_xlfn.XLOOKUP(B415,'Base stats'!B:B,'Base stats'!C:C)^0.165,0.05)</f>
        <v>0.05</v>
      </c>
      <c r="Z415" s="18">
        <f>MROUND(_xlfn.XLOOKUP(B415,'Base stats'!B:B,'Base stats'!AQ:AQ)*_xlfn.XLOOKUP(_xlfn.XLOOKUP(B415,'Base stats'!B:B,'Base stats'!E:E),Groups!A:A,Groups!H:H)/1000,IF((_xlfn.XLOOKUP(B415,'Base stats'!B:B,'Base stats'!AQ:AQ)*_xlfn.XLOOKUP(_xlfn.XLOOKUP(B415,'Base stats'!B:B,'Base stats'!E:E),Groups!A:A,Groups!H:H)/1000)&gt;1,0.05,0.01))</f>
        <v>0.1</v>
      </c>
      <c r="AA415" s="18">
        <f>MROUND((1/2)*(_xlfn.XLOOKUP(_xlfn.XLOOKUP(B415,'Base stats'!B:B,'Base stats'!E:E),Groups!A:A,Groups!H:H)*_xlfn.XLOOKUP(_xlfn.XLOOKUP(B415,'Base stats'!B:B,'Base stats'!E:E),Groups!A:A,Groups!I:I))*_xlfn.XLOOKUP(B415,'Base stats'!B:B,'Base stats'!AQ:AQ)*0.01,0.05)</f>
        <v>0.45</v>
      </c>
      <c r="AB415" s="18">
        <f>MROUND(250*(Animals!AO415+Animals!AP415),25)</f>
        <v>700</v>
      </c>
      <c r="AC415" s="18" t="str">
        <f>_xlfn.XLOOKUP(_xlfn.XLOOKUP(B415,'Base stats'!B:B,'Base stats'!E:E),Groups!A:A,Groups!BJ:BJ)</f>
        <v>QuadrupedLow</v>
      </c>
    </row>
    <row r="416" spans="1:29" ht="15.75" thickTop="1" x14ac:dyDescent="0.25"/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2347-2FED-4D39-AA34-448162B76419}">
  <dimension ref="B1:U119"/>
  <sheetViews>
    <sheetView topLeftCell="H61" zoomScale="85" zoomScaleNormal="85" workbookViewId="0">
      <selection activeCell="L88" sqref="L88"/>
    </sheetView>
  </sheetViews>
  <sheetFormatPr defaultRowHeight="15" x14ac:dyDescent="0.25"/>
  <cols>
    <col min="2" max="4" width="32.85546875" bestFit="1" customWidth="1"/>
    <col min="5" max="7" width="29.85546875" bestFit="1" customWidth="1"/>
    <col min="8" max="8" width="29.85546875" style="16" bestFit="1" customWidth="1"/>
    <col min="9" max="9" width="29.85546875" bestFit="1" customWidth="1"/>
    <col min="10" max="12" width="31.42578125" bestFit="1" customWidth="1"/>
    <col min="13" max="14" width="30.7109375" bestFit="1" customWidth="1"/>
    <col min="15" max="18" width="40.7109375" bestFit="1" customWidth="1"/>
    <col min="19" max="19" width="20" bestFit="1" customWidth="1"/>
    <col min="20" max="20" width="17.5703125" bestFit="1" customWidth="1"/>
    <col min="21" max="21" width="6.7109375" bestFit="1" customWidth="1"/>
  </cols>
  <sheetData>
    <row r="1" spans="2:21" x14ac:dyDescent="0.25">
      <c r="B1" t="s">
        <v>852</v>
      </c>
      <c r="C1" t="s">
        <v>851</v>
      </c>
      <c r="D1" s="16" t="s">
        <v>668</v>
      </c>
      <c r="E1" t="s">
        <v>865</v>
      </c>
      <c r="F1" t="s">
        <v>853</v>
      </c>
      <c r="G1" t="s">
        <v>854</v>
      </c>
      <c r="H1" s="16" t="s">
        <v>855</v>
      </c>
      <c r="I1" t="s">
        <v>856</v>
      </c>
      <c r="J1" t="s">
        <v>857</v>
      </c>
      <c r="K1" t="s">
        <v>862</v>
      </c>
      <c r="L1" t="s">
        <v>864</v>
      </c>
      <c r="M1" t="s">
        <v>858</v>
      </c>
      <c r="N1" t="s">
        <v>859</v>
      </c>
      <c r="O1" t="s">
        <v>860</v>
      </c>
      <c r="P1" t="s">
        <v>861</v>
      </c>
      <c r="Q1" t="s">
        <v>863</v>
      </c>
      <c r="R1" t="s">
        <v>866</v>
      </c>
      <c r="S1" t="s">
        <v>1100</v>
      </c>
      <c r="T1" t="s">
        <v>1101</v>
      </c>
      <c r="U1" t="s">
        <v>1102</v>
      </c>
    </row>
    <row r="2" spans="2:21" x14ac:dyDescent="0.25">
      <c r="B2" s="16" t="str">
        <f>Animals!$C$24</f>
        <v>&lt;li&gt;Snowhare&lt;/li&gt;</v>
      </c>
      <c r="C2" s="16" t="str">
        <f>Animals!$C$24</f>
        <v>&lt;li&gt;Snowhare&lt;/li&gt;</v>
      </c>
      <c r="D2" t="str">
        <f>Animals!$C$63</f>
        <v>&lt;li&gt;Sparrow&lt;/li&gt;</v>
      </c>
      <c r="E2" t="str">
        <f>Animals!$C$63</f>
        <v>&lt;li&gt;Sparrow&lt;/li&gt;</v>
      </c>
      <c r="F2" s="16" t="str">
        <f>Animals!$C$63</f>
        <v>&lt;li&gt;Sparrow&lt;/li&gt;</v>
      </c>
      <c r="G2" t="str">
        <f>Animals!$C$63</f>
        <v>&lt;li&gt;Sparrow&lt;/li&gt;</v>
      </c>
      <c r="H2" s="16" t="str">
        <f>Animals!$C$63</f>
        <v>&lt;li&gt;Sparrow&lt;/li&gt;</v>
      </c>
      <c r="I2" t="str">
        <f>Animals!$C$63</f>
        <v>&lt;li&gt;Sparrow&lt;/li&gt;</v>
      </c>
      <c r="J2" t="str">
        <f>Animals!$C$63</f>
        <v>&lt;li&gt;Sparrow&lt;/li&gt;</v>
      </c>
      <c r="K2" t="str">
        <f>Animals!$C$63</f>
        <v>&lt;li&gt;Sparrow&lt;/li&gt;</v>
      </c>
      <c r="L2" t="str">
        <f>Animals!$C$63</f>
        <v>&lt;li&gt;Sparrow&lt;/li&gt;</v>
      </c>
      <c r="M2" t="str">
        <f>Animals!$C$63</f>
        <v>&lt;li&gt;Sparrow&lt;/li&gt;</v>
      </c>
      <c r="N2" t="str">
        <f>Animals!$C$73</f>
        <v>&lt;li&gt;Vulture&lt;/li&gt;</v>
      </c>
      <c r="O2" t="str">
        <f>Animals!$C$63</f>
        <v>&lt;li&gt;Sparrow&lt;/li&gt;</v>
      </c>
      <c r="P2" t="str">
        <f>Animals!$C$63</f>
        <v>&lt;li&gt;Sparrow&lt;/li&gt;</v>
      </c>
      <c r="Q2" t="str">
        <f>Animals!$C$63</f>
        <v>&lt;li&gt;Sparrow&lt;/li&gt;</v>
      </c>
      <c r="R2" t="str">
        <f>Animals!$C$63</f>
        <v>&lt;li&gt;Sparrow&lt;/li&gt;</v>
      </c>
      <c r="S2" t="str">
        <f>Animals!$C$50</f>
        <v>&lt;li&gt;Ibex&lt;/li&gt;</v>
      </c>
    </row>
    <row r="3" spans="2:21" x14ac:dyDescent="0.25">
      <c r="B3" s="16" t="str">
        <f>Animals!$C$59</f>
        <v xml:space="preserve">&lt;li&gt;Fox_Arctic&lt;/li&gt; </v>
      </c>
      <c r="C3" s="16" t="str">
        <f>Animals!$C$59</f>
        <v xml:space="preserve">&lt;li&gt;Fox_Arctic&lt;/li&gt; </v>
      </c>
      <c r="D3" t="str">
        <f>Animals!$C$65</f>
        <v>&lt;li&gt;Crow&lt;/li&gt;</v>
      </c>
      <c r="E3" t="str">
        <f>Animals!$C$64</f>
        <v>&lt;li&gt;Bluebird&lt;/li&gt;</v>
      </c>
      <c r="F3" t="str">
        <f>Animals!$C$64</f>
        <v>&lt;li&gt;Bluebird&lt;/li&gt;</v>
      </c>
      <c r="G3" t="str">
        <f>Animals!$C$64</f>
        <v>&lt;li&gt;Bluebird&lt;/li&gt;</v>
      </c>
      <c r="H3" s="16" t="str">
        <f>Animals!$C$64</f>
        <v>&lt;li&gt;Bluebird&lt;/li&gt;</v>
      </c>
      <c r="I3" t="str">
        <f>Animals!$C$64</f>
        <v>&lt;li&gt;Bluebird&lt;/li&gt;</v>
      </c>
      <c r="J3" t="str">
        <f>Animals!$C$67</f>
        <v>&lt;li&gt;Quail&lt;/li&gt;</v>
      </c>
      <c r="K3" t="str">
        <f>Animals!$C$67</f>
        <v>&lt;li&gt;Quail&lt;/li&gt;</v>
      </c>
      <c r="L3" t="str">
        <f>Animals!$C$67</f>
        <v>&lt;li&gt;Quail&lt;/li&gt;</v>
      </c>
      <c r="M3" t="str">
        <f>Animals!$C$35</f>
        <v>&lt;li&gt;Rat&lt;/li&gt;</v>
      </c>
      <c r="N3" t="str">
        <f>Animals!$C$81</f>
        <v>&lt;li&gt;Armadillo&lt;/li&gt;</v>
      </c>
      <c r="O3" t="str">
        <f>Animals!$C$35</f>
        <v>&lt;li&gt;Rat&lt;/li&gt;</v>
      </c>
      <c r="P3" t="str">
        <f>Animals!$C$35</f>
        <v>&lt;li&gt;Rat&lt;/li&gt;</v>
      </c>
      <c r="Q3" t="str">
        <f>Animals!$C$35</f>
        <v>&lt;li&gt;Rat&lt;/li&gt;</v>
      </c>
      <c r="R3" t="str">
        <f>Animals!$C$35</f>
        <v>&lt;li&gt;Rat&lt;/li&gt;</v>
      </c>
      <c r="S3" t="str">
        <f>Animals!$C$45</f>
        <v>&lt;li&gt;Yak&lt;/li&gt;</v>
      </c>
    </row>
    <row r="4" spans="2:21" x14ac:dyDescent="0.25">
      <c r="B4" s="16" t="str">
        <f>Animals!$C$2</f>
        <v>&lt;li&gt;Bear_Polar&lt;/li&gt;</v>
      </c>
      <c r="C4" s="16" t="str">
        <f>Animals!$C$2</f>
        <v>&lt;li&gt;Bear_Polar&lt;/li&gt;</v>
      </c>
      <c r="D4" s="16" t="str">
        <f>Animals!$C$24</f>
        <v>&lt;li&gt;Snowhare&lt;/li&gt;</v>
      </c>
      <c r="E4" t="str">
        <f>Animals!$C$36</f>
        <v>&lt;li&gt;Squirrel&lt;/li&gt;</v>
      </c>
      <c r="F4" s="16" t="str">
        <f>Animals!$C$35</f>
        <v>&lt;li&gt;Rat&lt;/li&gt;</v>
      </c>
      <c r="G4" t="str">
        <f>Animals!$C$35</f>
        <v>&lt;li&gt;Rat&lt;/li&gt;</v>
      </c>
      <c r="H4" s="16" t="str">
        <f>Animals!$C$67</f>
        <v>&lt;li&gt;Quail&lt;/li&gt;</v>
      </c>
      <c r="I4" t="str">
        <f>Animals!$C$67</f>
        <v>&lt;li&gt;Quail&lt;/li&gt;</v>
      </c>
      <c r="J4" t="str">
        <f>Animals!$C$35</f>
        <v>&lt;li&gt;Rat&lt;/li&gt;</v>
      </c>
      <c r="K4" t="str">
        <f>Animals!$C$35</f>
        <v>&lt;li&gt;Rat&lt;/li&gt;</v>
      </c>
      <c r="L4" t="str">
        <f>Animals!$C$35</f>
        <v>&lt;li&gt;Rat&lt;/li&gt;</v>
      </c>
      <c r="M4" t="str">
        <f>Animals!$C$65</f>
        <v>&lt;li&gt;Crow&lt;/li&gt;</v>
      </c>
      <c r="N4" t="str">
        <f>Animals!$C$41</f>
        <v>&lt;li&gt;Boomrat&lt;/li&gt;</v>
      </c>
      <c r="O4" s="16" t="str">
        <f>Animals!$C$37</f>
        <v>&lt;li&gt;GuineaPig&lt;/li&gt;</v>
      </c>
      <c r="P4" t="str">
        <f>Animals!$C$37</f>
        <v>&lt;li&gt;GuineaPig&lt;/li&gt;</v>
      </c>
      <c r="Q4" t="str">
        <f>Animals!$C$37</f>
        <v>&lt;li&gt;GuineaPig&lt;/li&gt;</v>
      </c>
      <c r="R4" t="str">
        <f>Animals!$C$65</f>
        <v>&lt;li&gt;Crow&lt;/li&gt;</v>
      </c>
      <c r="S4" t="str">
        <f>Animals!$C$125</f>
        <v>&lt;li&gt;AEXP_Camel&lt;/li&gt;</v>
      </c>
    </row>
    <row r="5" spans="2:21" x14ac:dyDescent="0.25">
      <c r="B5" t="str">
        <f>Animals!$C$86</f>
        <v>&lt;li&gt;SeaLion&lt;/li&gt;</v>
      </c>
      <c r="C5" s="16" t="str">
        <f>Animals!$C$86</f>
        <v>&lt;li&gt;SeaLion&lt;/li&gt;</v>
      </c>
      <c r="D5" s="16" t="str">
        <f>Animals!$C$49</f>
        <v>&lt;li&gt;Caribou&lt;/li&gt;</v>
      </c>
      <c r="E5" t="str">
        <f>Animals!$C$65</f>
        <v>&lt;li&gt;Crow&lt;/li&gt;</v>
      </c>
      <c r="F5" t="str">
        <f>Animals!$C$36</f>
        <v>&lt;li&gt;Squirrel&lt;/li&gt;</v>
      </c>
      <c r="G5" t="str">
        <f>Animals!$C$36</f>
        <v>&lt;li&gt;Squirrel&lt;/li&gt;</v>
      </c>
      <c r="H5" s="16" t="str">
        <f>Animals!$C$35</f>
        <v>&lt;li&gt;Rat&lt;/li&gt;</v>
      </c>
      <c r="I5" t="str">
        <f>Animals!$C$35</f>
        <v>&lt;li&gt;Rat&lt;/li&gt;</v>
      </c>
      <c r="J5" t="str">
        <f>Animals!$C$65</f>
        <v>&lt;li&gt;Crow&lt;/li&gt;</v>
      </c>
      <c r="K5" t="str">
        <f>Animals!$C$93</f>
        <v>&lt;li&gt;PrairieDog&lt;/li&gt;</v>
      </c>
      <c r="L5" t="str">
        <f>Animals!$C$37</f>
        <v>&lt;li&gt;GuineaPig&lt;/li&gt;</v>
      </c>
      <c r="M5" t="str">
        <f>Animals!$C$73</f>
        <v>&lt;li&gt;Vulture&lt;/li&gt;</v>
      </c>
      <c r="N5" t="str">
        <f>Animals!$C$115</f>
        <v>&lt;li&gt;AEXP_Boombat&lt;/li&gt;</v>
      </c>
      <c r="O5" t="str">
        <f>Animals!$C$38</f>
        <v>&lt;li&gt;Chinchilla&lt;/li&gt;</v>
      </c>
      <c r="P5" t="str">
        <f>Animals!$C$38</f>
        <v>&lt;li&gt;Chinchilla&lt;/li&gt;</v>
      </c>
      <c r="Q5" t="str">
        <f>Animals!$C$38</f>
        <v>&lt;li&gt;Chinchilla&lt;/li&gt;</v>
      </c>
      <c r="R5" t="str">
        <f>Animals!$C$4</f>
        <v>&lt;li&gt;Raccoon&lt;/li&gt;</v>
      </c>
      <c r="S5" t="str">
        <f>Animals!$C$61</f>
        <v>&lt;li&gt;WasteRat&lt;/li&gt;</v>
      </c>
    </row>
    <row r="6" spans="2:21" x14ac:dyDescent="0.25">
      <c r="B6" s="16" t="str">
        <f>Animals!$C$87</f>
        <v>&lt;li&gt;Seal&lt;/li&gt;</v>
      </c>
      <c r="C6" s="16" t="str">
        <f>Animals!$C$87</f>
        <v>&lt;li&gt;Seal&lt;/li&gt;</v>
      </c>
      <c r="D6" s="16" t="str">
        <f>Animals!$C$97</f>
        <v>&lt;li&gt;Muskox&lt;/li&gt;</v>
      </c>
      <c r="E6" t="str">
        <f>Animals!$C$23</f>
        <v>&lt;li&gt;Hare&lt;/li&gt;</v>
      </c>
      <c r="F6" s="16" t="str">
        <f>Animals!$C$65</f>
        <v>&lt;li&gt;Crow&lt;/li&gt;</v>
      </c>
      <c r="G6" t="str">
        <f>Animals!$C$65</f>
        <v>&lt;li&gt;Crow&lt;/li&gt;</v>
      </c>
      <c r="H6" s="16" t="str">
        <f>Animals!$C$36</f>
        <v>&lt;li&gt;Squirrel&lt;/li&gt;</v>
      </c>
      <c r="I6" t="str">
        <f>Animals!$C$36</f>
        <v>&lt;li&gt;Squirrel&lt;/li&gt;</v>
      </c>
      <c r="J6" t="str">
        <f>Animals!$C$37</f>
        <v>&lt;li&gt;GuineaPig&lt;/li&gt;</v>
      </c>
      <c r="K6" t="str">
        <f>Animals!$C$37</f>
        <v>&lt;li&gt;GuineaPig&lt;/li&gt;</v>
      </c>
      <c r="L6" t="str">
        <f>Animals!$C$65</f>
        <v>&lt;li&gt;Crow&lt;/li&gt;</v>
      </c>
      <c r="M6" t="str">
        <f>Animals!$C$81</f>
        <v>&lt;li&gt;Armadillo&lt;/li&gt;</v>
      </c>
      <c r="N6" t="str">
        <f>Animals!$C$122</f>
        <v>&lt;li&gt;AEXP_DesertTortoise&lt;/li&gt;</v>
      </c>
      <c r="O6" s="16" t="str">
        <f>Animals!$C$65</f>
        <v>&lt;li&gt;Crow&lt;/li&gt;</v>
      </c>
      <c r="P6" t="str">
        <f>Animals!$C$65</f>
        <v>&lt;li&gt;Crow&lt;/li&gt;</v>
      </c>
      <c r="Q6" t="str">
        <f>Animals!$C$65</f>
        <v>&lt;li&gt;Crow&lt;/li&gt;</v>
      </c>
      <c r="R6" t="str">
        <f>Animals!$C$41</f>
        <v>&lt;li&gt;Boomrat&lt;/li&gt;</v>
      </c>
    </row>
    <row r="7" spans="2:21" x14ac:dyDescent="0.25">
      <c r="B7" s="16" t="str">
        <f>Animals!$C$88</f>
        <v>&lt;li&gt;Walrus&lt;/li&gt;</v>
      </c>
      <c r="C7" s="16" t="str">
        <f>Animals!$C$88</f>
        <v>&lt;li&gt;Walrus&lt;/li&gt;</v>
      </c>
      <c r="D7" s="16" t="str">
        <f>Animals!$C$44</f>
        <v>&lt;li&gt;Muffalo&lt;/li&gt;</v>
      </c>
      <c r="E7" t="str">
        <f>Animals!$C$4</f>
        <v>&lt;li&gt;Raccoon&lt;/li&gt;</v>
      </c>
      <c r="F7" t="str">
        <f>Animals!$C$23</f>
        <v>&lt;li&gt;Hare&lt;/li&gt;</v>
      </c>
      <c r="G7" t="str">
        <f>Animals!$C$23</f>
        <v>&lt;li&gt;Hare&lt;/li&gt;</v>
      </c>
      <c r="H7" s="16" t="str">
        <f>Animals!$C$131</f>
        <v>&lt;li&gt;AEXP_Hedgehog&lt;/li&gt;</v>
      </c>
      <c r="I7" t="str">
        <f>Animals!$C$131</f>
        <v>&lt;li&gt;AEXP_Hedgehog&lt;/li&gt;</v>
      </c>
      <c r="J7" t="str">
        <f>Animals!$C$73</f>
        <v>&lt;li&gt;Vulture&lt;/li&gt;</v>
      </c>
      <c r="K7" t="str">
        <f>Animals!$C$65</f>
        <v>&lt;li&gt;Crow&lt;/li&gt;</v>
      </c>
      <c r="L7" t="str">
        <f>Animals!$C$73</f>
        <v>&lt;li&gt;Vulture&lt;/li&gt;</v>
      </c>
      <c r="M7" t="str">
        <f>Animals!$C$41</f>
        <v>&lt;li&gt;Boomrat&lt;/li&gt;</v>
      </c>
      <c r="N7" t="str">
        <f>Animals!$C$54</f>
        <v>&lt;li&gt;Gazelle&lt;/li&gt;</v>
      </c>
      <c r="O7" s="16" t="str">
        <f>Animals!$C$66</f>
        <v>&lt;li&gt;Macaw&lt;/li&gt;</v>
      </c>
      <c r="P7" t="str">
        <f>Animals!$C$66</f>
        <v>&lt;li&gt;Macaw&lt;/li&gt;</v>
      </c>
      <c r="Q7" t="str">
        <f>Animals!$C$133</f>
        <v>&lt;li&gt;AEXP_Lemur&lt;/li&gt;</v>
      </c>
      <c r="R7" t="str">
        <f>Animals!$C$29</f>
        <v>&lt;li&gt;WildBoar&lt;/li&gt;</v>
      </c>
    </row>
    <row r="8" spans="2:21" x14ac:dyDescent="0.25">
      <c r="B8" t="str">
        <f>Animals!$C$71</f>
        <v>&lt;li&gt;Penguin&lt;/li&gt;</v>
      </c>
      <c r="C8" s="16" t="str">
        <f>Animals!$C$71</f>
        <v>&lt;li&gt;Penguin&lt;/li&gt;</v>
      </c>
      <c r="D8" s="16" t="str">
        <f>Animals!$C$96</f>
        <v>&lt;li&gt;Moose&lt;/li&gt;</v>
      </c>
      <c r="E8" t="str">
        <f>Animals!$C$94</f>
        <v>&lt;li&gt;Porcupine&lt;/li&gt;</v>
      </c>
      <c r="F8" t="str">
        <f>Animals!$C$4</f>
        <v>&lt;li&gt;Raccoon&lt;/li&gt;</v>
      </c>
      <c r="G8" t="str">
        <f>Animals!$C$4</f>
        <v>&lt;li&gt;Raccoon&lt;/li&gt;</v>
      </c>
      <c r="H8" s="16" t="str">
        <f>Animals!$C$65</f>
        <v>&lt;li&gt;Crow&lt;/li&gt;</v>
      </c>
      <c r="I8" t="str">
        <f>Animals!$C$65</f>
        <v>&lt;li&gt;Crow&lt;/li&gt;</v>
      </c>
      <c r="J8" t="str">
        <f>Animals!$C$81</f>
        <v>&lt;li&gt;Armadillo&lt;/li&gt;</v>
      </c>
      <c r="K8" t="str">
        <f>Animals!$C$73</f>
        <v>&lt;li&gt;Vulture&lt;/li&gt;</v>
      </c>
      <c r="L8" t="str">
        <f>Animals!$C$81</f>
        <v>&lt;li&gt;Armadillo&lt;/li&gt;</v>
      </c>
      <c r="M8" t="str">
        <f>Animals!$C$115</f>
        <v>&lt;li&gt;AEXP_Boombat&lt;/li&gt;</v>
      </c>
      <c r="N8" t="str">
        <f>Animals!$C$116</f>
        <v>&lt;li&gt;AEXP_Kangaroo&lt;/li&gt;</v>
      </c>
      <c r="O8" s="16" t="str">
        <f>Animals!$C$133</f>
        <v>&lt;li&gt;AEXP_Lemur&lt;/li&gt;</v>
      </c>
      <c r="P8" t="str">
        <f>Animals!$C$133</f>
        <v>&lt;li&gt;AEXP_Lemur&lt;/li&gt;</v>
      </c>
      <c r="Q8" t="str">
        <f>Animals!$C$31</f>
        <v>&lt;li&gt;Monkey&lt;/li&gt;</v>
      </c>
      <c r="R8" t="str">
        <f>Animals!$C$30</f>
        <v>&lt;li&gt;Pig&lt;/li&gt;</v>
      </c>
    </row>
    <row r="9" spans="2:21" x14ac:dyDescent="0.25">
      <c r="B9" t="str">
        <f>Animals!$C$178</f>
        <v>&lt;li&gt;AEXP_RockhopperPenguin&lt;/li&gt;</v>
      </c>
      <c r="C9" t="str">
        <f>Animals!$C$178</f>
        <v>&lt;li&gt;AEXP_RockhopperPenguin&lt;/li&gt;</v>
      </c>
      <c r="D9" s="16" t="str">
        <f>Animals!$C$59</f>
        <v xml:space="preserve">&lt;li&gt;Fox_Arctic&lt;/li&gt; </v>
      </c>
      <c r="E9" t="str">
        <f>Animals!$C$84</f>
        <v>&lt;li&gt;Badger&lt;/li&gt;</v>
      </c>
      <c r="F9" t="str">
        <f>Animals!$C$94</f>
        <v>&lt;li&gt;Porcupine&lt;/li&gt;</v>
      </c>
      <c r="G9" t="str">
        <f>Animals!$C$94</f>
        <v>&lt;li&gt;Porcupine&lt;/li&gt;</v>
      </c>
      <c r="H9" s="16" t="str">
        <f>Animals!$C$23</f>
        <v>&lt;li&gt;Hare&lt;/li&gt;</v>
      </c>
      <c r="I9" t="str">
        <f>Animals!$C$23</f>
        <v>&lt;li&gt;Hare&lt;/li&gt;</v>
      </c>
      <c r="J9" t="str">
        <f>Animals!$C$41</f>
        <v>&lt;li&gt;Boomrat&lt;/li&gt;</v>
      </c>
      <c r="K9" t="str">
        <f>Animals!$C$81</f>
        <v>&lt;li&gt;Armadillo&lt;/li&gt;</v>
      </c>
      <c r="L9" t="str">
        <f>Animals!$C$117</f>
        <v>&lt;li&gt;AEXP_Koala&lt;/li&gt;</v>
      </c>
      <c r="M9" t="str">
        <f>Animals!$C$54</f>
        <v>&lt;li&gt;Gazelle&lt;/li&gt;</v>
      </c>
      <c r="N9" t="str">
        <f>Animals!$C$5</f>
        <v>&lt;li&gt;Ostrich&lt;/li&gt;</v>
      </c>
      <c r="O9" t="str">
        <f>Animals!$C$31</f>
        <v>&lt;li&gt;Monkey&lt;/li&gt;</v>
      </c>
      <c r="P9" t="str">
        <f>Animals!$C$31</f>
        <v>&lt;li&gt;Monkey&lt;/li&gt;</v>
      </c>
      <c r="Q9" t="str">
        <f>Animals!$C$117</f>
        <v>&lt;li&gt;AEXP_Koala&lt;/li&gt;</v>
      </c>
      <c r="R9" t="str">
        <f>Animals!$C$47</f>
        <v>&lt;li&gt;Boomalope&lt;/li&gt;</v>
      </c>
    </row>
    <row r="10" spans="2:21" x14ac:dyDescent="0.25">
      <c r="B10" t="str">
        <f>Animals!$C$200</f>
        <v>&lt;li&gt;VAEWaste_Megatardi&lt;/li&gt;</v>
      </c>
      <c r="C10" t="str">
        <f>Animals!$C$200</f>
        <v>&lt;li&gt;VAEWaste_Megatardi&lt;/li&gt;</v>
      </c>
      <c r="D10" t="str">
        <f>Animals!$C$119</f>
        <v>&lt;li&gt;AEXP_ArcticCoyote&lt;/li&gt;</v>
      </c>
      <c r="E10" t="str">
        <f>Animals!$C$53</f>
        <v>&lt;li&gt;Deer&lt;/li&gt;</v>
      </c>
      <c r="F10" t="str">
        <f>Animals!$C$84</f>
        <v>&lt;li&gt;Badger&lt;/li&gt;</v>
      </c>
      <c r="G10" t="str">
        <f>Animals!$C$84</f>
        <v>&lt;li&gt;Badger&lt;/li&gt;</v>
      </c>
      <c r="H10" s="16" t="str">
        <f>Animals!$C$117</f>
        <v>&lt;li&gt;AEXP_Koala&lt;/li&gt;</v>
      </c>
      <c r="I10" t="str">
        <f>Animals!$C$117</f>
        <v>&lt;li&gt;AEXP_Koala&lt;/li&gt;</v>
      </c>
      <c r="J10" s="16" t="str">
        <f>Animals!$C$115</f>
        <v>&lt;li&gt;AEXP_Boombat&lt;/li&gt;</v>
      </c>
      <c r="K10" t="str">
        <f>Animals!$C$41</f>
        <v>&lt;li&gt;Boomrat&lt;/li&gt;</v>
      </c>
      <c r="L10" t="str">
        <f>Animals!$C$41</f>
        <v>&lt;li&gt;Boomrat&lt;/li&gt;</v>
      </c>
      <c r="M10" t="str">
        <f>Animals!$C$122</f>
        <v>&lt;li&gt;AEXP_DesertTortoise&lt;/li&gt;</v>
      </c>
      <c r="N10" t="str">
        <f>Animals!$C$22</f>
        <v>&lt;li&gt;Donkey&lt;/li&gt;</v>
      </c>
      <c r="O10" t="str">
        <f>Animals!$C$81</f>
        <v>&lt;li&gt;Armadillo&lt;/li&gt;</v>
      </c>
      <c r="P10" t="str">
        <f>Animals!$C$81</f>
        <v>&lt;li&gt;Armadillo&lt;/li&gt;</v>
      </c>
      <c r="Q10" t="str">
        <f>Animals!$C$81</f>
        <v>&lt;li&gt;Armadillo&lt;/li&gt;</v>
      </c>
      <c r="R10" s="16" t="str">
        <f>Animals!$C$22</f>
        <v>&lt;li&gt;Donkey&lt;/li&gt;</v>
      </c>
    </row>
    <row r="11" spans="2:21" x14ac:dyDescent="0.25">
      <c r="B11" s="16" t="str">
        <f>Animals!$C$223</f>
        <v>&lt;li&gt;AA_ArcticLion&lt;/li&gt;</v>
      </c>
      <c r="C11" s="16" t="str">
        <f>Animals!$C$223</f>
        <v>&lt;li&gt;AA_ArcticLion&lt;/li&gt;</v>
      </c>
      <c r="D11" s="16" t="str">
        <f>Animals!$C$82</f>
        <v>&lt;li&gt;Wolverine&lt;/li&gt;</v>
      </c>
      <c r="E11" t="str">
        <f>Animals!$C$49</f>
        <v>&lt;li&gt;Caribou&lt;/li&gt;</v>
      </c>
      <c r="F11" t="str">
        <f>Animals!$C$53</f>
        <v>&lt;li&gt;Deer&lt;/li&gt;</v>
      </c>
      <c r="G11" t="str">
        <f>Animals!$C$53</f>
        <v>&lt;li&gt;Deer&lt;/li&gt;</v>
      </c>
      <c r="H11" s="16" t="str">
        <f>Animals!$C$4</f>
        <v>&lt;li&gt;Raccoon&lt;/li&gt;</v>
      </c>
      <c r="I11" t="str">
        <f>Animals!$C$4</f>
        <v>&lt;li&gt;Raccoon&lt;/li&gt;</v>
      </c>
      <c r="J11" t="str">
        <f>Animals!$C$54</f>
        <v>&lt;li&gt;Gazelle&lt;/li&gt;</v>
      </c>
      <c r="K11" t="str">
        <f>Animals!$C$115</f>
        <v>&lt;li&gt;AEXP_Boombat&lt;/li&gt;</v>
      </c>
      <c r="L11" t="str">
        <f>Animals!$C$115</f>
        <v>&lt;li&gt;AEXP_Boombat&lt;/li&gt;</v>
      </c>
      <c r="M11" t="str">
        <f>Animals!$C$7</f>
        <v>&lt;li&gt;Emu&lt;/li&gt;</v>
      </c>
      <c r="N11" t="str">
        <f>Animals!$C$12</f>
        <v>&lt;li&gt;Dromedary&lt;/li&gt;</v>
      </c>
      <c r="O11" t="str">
        <f>Animals!$C$41</f>
        <v>&lt;li&gt;Boomrat&lt;/li&gt;</v>
      </c>
      <c r="P11" t="str">
        <f>Animals!$C$41</f>
        <v>&lt;li&gt;Boomrat&lt;/li&gt;</v>
      </c>
      <c r="Q11" t="str">
        <f>Animals!$C$41</f>
        <v>&lt;li&gt;Boomrat&lt;/li&gt;</v>
      </c>
      <c r="R11" t="str">
        <f>Animals!$C$21</f>
        <v>&lt;li&gt;Horse&lt;/li&gt;</v>
      </c>
    </row>
    <row r="12" spans="2:21" x14ac:dyDescent="0.25">
      <c r="B12" s="16" t="str">
        <f>Animals!$C$230</f>
        <v>&lt;li&gt;AA_FrostboundBehemoth&lt;/li&gt;</v>
      </c>
      <c r="C12" s="16" t="str">
        <f>Animals!$C$230</f>
        <v>&lt;li&gt;AA_FrostboundBehemoth&lt;/li&gt;</v>
      </c>
      <c r="D12" s="16" t="str">
        <f>Animals!$C$19</f>
        <v>&lt;li&gt;Lynx&lt;/li&gt;</v>
      </c>
      <c r="E12" t="str">
        <f>Animals!$C$46</f>
        <v>&lt;li&gt;Elk&lt;/li&gt;</v>
      </c>
      <c r="F12" s="16" t="str">
        <f>Animals!$C$29</f>
        <v>&lt;li&gt;WildBoar&lt;/li&gt;</v>
      </c>
      <c r="G12" t="str">
        <f>Animals!$C$29</f>
        <v>&lt;li&gt;WildBoar&lt;/li&gt;</v>
      </c>
      <c r="H12" s="16" t="str">
        <f>Animals!$C$128</f>
        <v>&lt;li&gt;AEXP_RedPanda&lt;/li&gt;</v>
      </c>
      <c r="I12" t="str">
        <f>Animals!$C$128</f>
        <v>&lt;li&gt;AEXP_RedPanda&lt;/li&gt;</v>
      </c>
      <c r="J12" s="16" t="str">
        <f>Animals!$C$122</f>
        <v>&lt;li&gt;AEXP_DesertTortoise&lt;/li&gt;</v>
      </c>
      <c r="K12" t="str">
        <f>Animals!$C$54</f>
        <v>&lt;li&gt;Gazelle&lt;/li&gt;</v>
      </c>
      <c r="L12" t="str">
        <f>Animals!$C$54</f>
        <v>&lt;li&gt;Gazelle&lt;/li&gt;</v>
      </c>
      <c r="M12" t="str">
        <f>Animals!$C$116</f>
        <v>&lt;li&gt;AEXP_Kangaroo&lt;/li&gt;</v>
      </c>
      <c r="N12" t="str">
        <f>Animals!$C$124</f>
        <v>&lt;li&gt;AEXP_GilaMonster&lt;/li&gt;</v>
      </c>
      <c r="O12" s="16" t="str">
        <f>Animals!$C$72</f>
        <v>&lt;li&gt;Peacock&lt;/li&gt;</v>
      </c>
      <c r="P12" t="str">
        <f>Animals!$C$72</f>
        <v>&lt;li&gt;Peacock&lt;/li&gt;</v>
      </c>
      <c r="Q12" t="str">
        <f>Animals!$C$72</f>
        <v>&lt;li&gt;Peacock&lt;/li&gt;</v>
      </c>
      <c r="R12" t="str">
        <f>Animals!$C$12</f>
        <v>&lt;li&gt;Dromedary&lt;/li&gt;</v>
      </c>
    </row>
    <row r="13" spans="2:21" x14ac:dyDescent="0.25">
      <c r="B13" s="16" t="str">
        <f>Animals!$C$234</f>
        <v>&lt;li&gt;AA_Blizzarisk&lt;/li&gt;</v>
      </c>
      <c r="C13" s="16" t="str">
        <f>Animals!$C$234</f>
        <v>&lt;li&gt;AA_Blizzarisk&lt;/li&gt;</v>
      </c>
      <c r="D13" s="16" t="str">
        <f>Animals!$C$57</f>
        <v xml:space="preserve">&lt;li&gt;Wolf_Arctic&lt;/li&gt; </v>
      </c>
      <c r="E13" t="str">
        <f>Animals!$C$97</f>
        <v>&lt;li&gt;Muskox&lt;/li&gt;</v>
      </c>
      <c r="F13" t="str">
        <f>Animals!$C$46</f>
        <v>&lt;li&gt;Elk&lt;/li&gt;</v>
      </c>
      <c r="G13" t="str">
        <f>Animals!$C$46</f>
        <v>&lt;li&gt;Elk&lt;/li&gt;</v>
      </c>
      <c r="H13" s="16" t="str">
        <f>Animals!$C$8</f>
        <v>&lt;li&gt;Turkey&lt;/li&gt;</v>
      </c>
      <c r="I13" t="str">
        <f>Animals!$C$8</f>
        <v>&lt;li&gt;Turkey&lt;/li&gt;</v>
      </c>
      <c r="J13" s="16" t="str">
        <f>Animals!$C$7</f>
        <v>&lt;li&gt;Emu&lt;/li&gt;</v>
      </c>
      <c r="K13" t="str">
        <f>Animals!$C$122</f>
        <v>&lt;li&gt;AEXP_DesertTortoise&lt;/li&gt;</v>
      </c>
      <c r="L13" t="str">
        <f>Animals!$C$122</f>
        <v>&lt;li&gt;AEXP_DesertTortoise&lt;/li&gt;</v>
      </c>
      <c r="M13" t="str">
        <f>Animals!$C$5</f>
        <v>&lt;li&gt;Ostrich&lt;/li&gt;</v>
      </c>
      <c r="N13" t="str">
        <f>Animals!$C$126</f>
        <v>&lt;li&gt;AEXP_Rattlesnake&lt;/li&gt;</v>
      </c>
      <c r="O13" t="str">
        <f>Animals!$C$32</f>
        <v>&lt;li&gt;Iguana&lt;/li&gt;</v>
      </c>
      <c r="P13" t="str">
        <f>Animals!$C$32</f>
        <v>&lt;li&gt;Iguana&lt;/li&gt;</v>
      </c>
      <c r="Q13" t="str">
        <f>Animals!$C$34</f>
        <v>&lt;li&gt;Tortoise&lt;/li&gt;</v>
      </c>
      <c r="R13" t="str">
        <f>Animals!$C$20</f>
        <v>&lt;li&gt;Cat&lt;/li&gt;</v>
      </c>
    </row>
    <row r="14" spans="2:21" x14ac:dyDescent="0.25">
      <c r="B14" s="16" t="str">
        <f>Animals!$C$243</f>
        <v>&lt;li&gt;AA_ChameleonYak&lt;/li&gt;</v>
      </c>
      <c r="C14" s="16" t="str">
        <f>Animals!$C$243</f>
        <v>&lt;li&gt;AA_ChameleonYak&lt;/li&gt;</v>
      </c>
      <c r="D14" s="16" t="str">
        <f>Animals!$C$2</f>
        <v>&lt;li&gt;Bear_Polar&lt;/li&gt;</v>
      </c>
      <c r="E14" t="str">
        <f>Animals!$C$44</f>
        <v>&lt;li&gt;Muffalo&lt;/li&gt;</v>
      </c>
      <c r="F14" t="str">
        <f>Animals!$C$44</f>
        <v>&lt;li&gt;Muffalo&lt;/li&gt;</v>
      </c>
      <c r="G14" t="str">
        <f>Animals!$C$44</f>
        <v>&lt;li&gt;Muffalo&lt;/li&gt;</v>
      </c>
      <c r="H14" s="16" t="str">
        <f>Animals!$C$94</f>
        <v>&lt;li&gt;Porcupine&lt;/li&gt;</v>
      </c>
      <c r="I14" t="str">
        <f>Animals!$C$94</f>
        <v>&lt;li&gt;Porcupine&lt;/li&gt;</v>
      </c>
      <c r="J14" s="16" t="str">
        <f>Animals!$C$116</f>
        <v>&lt;li&gt;AEXP_Kangaroo&lt;/li&gt;</v>
      </c>
      <c r="K14" t="str">
        <f>Animals!$C$7</f>
        <v>&lt;li&gt;Emu&lt;/li&gt;</v>
      </c>
      <c r="L14" t="str">
        <f>Animals!$C$7</f>
        <v>&lt;li&gt;Emu&lt;/li&gt;</v>
      </c>
      <c r="M14" t="str">
        <f>Animals!$C$47</f>
        <v>&lt;li&gt;Boomalope&lt;/li&gt;</v>
      </c>
      <c r="N14" t="str">
        <f>Animals!$C$60</f>
        <v xml:space="preserve">&lt;li&gt;Fox_Fennec&lt;/li&gt; </v>
      </c>
      <c r="O14" s="16" t="str">
        <f>Animals!$C$34</f>
        <v>&lt;li&gt;Tortoise&lt;/li&gt;</v>
      </c>
      <c r="P14" s="16" t="str">
        <f>Animals!$C$34</f>
        <v>&lt;li&gt;Tortoise&lt;/li&gt;</v>
      </c>
      <c r="Q14" t="str">
        <f>Animals!$C$134</f>
        <v>&lt;li&gt;AEXP_Mandrill&lt;/li&gt;</v>
      </c>
      <c r="R14" t="str">
        <f>Animals!$C$99</f>
        <v>&lt;li&gt;BogHound&lt;/li&gt;</v>
      </c>
    </row>
    <row r="15" spans="2:21" x14ac:dyDescent="0.25">
      <c r="B15" s="16" t="str">
        <f>Animals!$C$250</f>
        <v>&lt;li&gt;AA_Darkbeast&lt;/li&gt;</v>
      </c>
      <c r="C15" s="16" t="str">
        <f>Animals!$C$250</f>
        <v>&lt;li&gt;AA_Darkbeast&lt;/li&gt;</v>
      </c>
      <c r="D15" s="16" t="str">
        <f>Animals!$C$86</f>
        <v>&lt;li&gt;SeaLion&lt;/li&gt;</v>
      </c>
      <c r="E15" t="str">
        <f>Animals!$C$96</f>
        <v>&lt;li&gt;Moose&lt;/li&gt;</v>
      </c>
      <c r="F15" s="16" t="str">
        <f>Animals!$C$96</f>
        <v>&lt;li&gt;Moose&lt;/li&gt;</v>
      </c>
      <c r="G15" t="str">
        <f>Animals!$C$96</f>
        <v>&lt;li&gt;Moose&lt;/li&gt;</v>
      </c>
      <c r="H15" s="16" t="str">
        <f>Animals!$C$84</f>
        <v>&lt;li&gt;Badger&lt;/li&gt;</v>
      </c>
      <c r="I15" t="str">
        <f>Animals!$C$84</f>
        <v>&lt;li&gt;Badger&lt;/li&gt;</v>
      </c>
      <c r="J15" t="str">
        <f>Animals!$C$5</f>
        <v>&lt;li&gt;Ostrich&lt;/li&gt;</v>
      </c>
      <c r="K15" t="str">
        <f>Animals!$C$116</f>
        <v>&lt;li&gt;AEXP_Kangaroo&lt;/li&gt;</v>
      </c>
      <c r="L15" t="str">
        <f>Animals!$C$116</f>
        <v>&lt;li&gt;AEXP_Kangaroo&lt;/li&gt;</v>
      </c>
      <c r="M15" t="str">
        <f>Animals!$C$22</f>
        <v>&lt;li&gt;Donkey&lt;/li&gt;</v>
      </c>
      <c r="N15" t="str">
        <f>Animals!$C$101</f>
        <v>&lt;li&gt;StoneCrab&lt;/li&gt;</v>
      </c>
      <c r="O15" s="16" t="str">
        <f>Animals!$C$134</f>
        <v>&lt;li&gt;AEXP_Mandrill&lt;/li&gt;</v>
      </c>
      <c r="P15" t="str">
        <f>Animals!$C$134</f>
        <v>&lt;li&gt;AEXP_Mandrill&lt;/li&gt;</v>
      </c>
      <c r="Q15" t="str">
        <f>Animals!$C$6</f>
        <v>&lt;li&gt;Cassowary&lt;/li&gt;</v>
      </c>
      <c r="R15" t="str">
        <f>Animals!$C$55</f>
        <v>&lt;li&gt;Warg&lt;/li&gt;</v>
      </c>
    </row>
    <row r="16" spans="2:21" x14ac:dyDescent="0.25">
      <c r="B16" s="16" t="str">
        <f>Animals!$C$340</f>
        <v>&lt;li&gt;AA_Thunderbeast&lt;/li&gt;</v>
      </c>
      <c r="C16" s="16" t="str">
        <f>Animals!$C$340</f>
        <v>&lt;li&gt;AA_Thunderbeast&lt;/li&gt;</v>
      </c>
      <c r="D16" s="16" t="str">
        <f>Animals!$C$87</f>
        <v>&lt;li&gt;Seal&lt;/li&gt;</v>
      </c>
      <c r="E16" t="str">
        <f>Animals!$C$42</f>
        <v>&lt;li&gt;Bison&lt;/li&gt;</v>
      </c>
      <c r="F16" t="str">
        <f>Animals!$C$42</f>
        <v>&lt;li&gt;Bison&lt;/li&gt;</v>
      </c>
      <c r="G16" t="str">
        <f>Animals!$C$42</f>
        <v>&lt;li&gt;Bison&lt;/li&gt;</v>
      </c>
      <c r="H16" s="16" t="str">
        <f>Animals!$C$41</f>
        <v>&lt;li&gt;Boomrat&lt;/li&gt;</v>
      </c>
      <c r="I16" t="str">
        <f>Animals!$C$41</f>
        <v>&lt;li&gt;Boomrat&lt;/li&gt;</v>
      </c>
      <c r="J16" t="str">
        <f>Animals!$C$47</f>
        <v>&lt;li&gt;Boomalope&lt;/li&gt;</v>
      </c>
      <c r="K16" t="str">
        <f>Animals!$C$5</f>
        <v>&lt;li&gt;Ostrich&lt;/li&gt;</v>
      </c>
      <c r="L16" t="str">
        <f>Animals!$C$5</f>
        <v>&lt;li&gt;Ostrich&lt;/li&gt;</v>
      </c>
      <c r="M16" t="str">
        <f>Animals!$C$112</f>
        <v>&lt;li&gt;AEXP_Wildebeest&lt;/li&gt;</v>
      </c>
      <c r="N16" s="16" t="str">
        <f>Animals!$C$102</f>
        <v>&lt;li&gt;HermitCrab&lt;/li&gt;</v>
      </c>
      <c r="O16" s="16" t="str">
        <f>Animals!$C$6</f>
        <v>&lt;li&gt;Cassowary&lt;/li&gt;</v>
      </c>
      <c r="P16" t="str">
        <f>Animals!$C$6</f>
        <v>&lt;li&gt;Cassowary&lt;/li&gt;</v>
      </c>
      <c r="Q16" t="str">
        <f>Animals!$C$39</f>
        <v>&lt;li&gt;Capybara&lt;/li&gt;</v>
      </c>
      <c r="R16" t="str">
        <f>Animals!$C$101</f>
        <v>&lt;li&gt;StoneCrab&lt;/li&gt;</v>
      </c>
    </row>
    <row r="17" spans="2:18" x14ac:dyDescent="0.25">
      <c r="B17" s="16" t="str">
        <f>Animals!$C$345</f>
        <v>&lt;li&gt;AA_WindBeast&lt;/li&gt;</v>
      </c>
      <c r="C17" s="16" t="str">
        <f>Animals!$C$345</f>
        <v>&lt;li&gt;AA_WindBeast&lt;/li&gt;</v>
      </c>
      <c r="D17" s="16" t="str">
        <f>Animals!$C$88</f>
        <v>&lt;li&gt;Walrus&lt;/li&gt;</v>
      </c>
      <c r="E17" t="str">
        <f>Animals!$C$28</f>
        <v>&lt;li&gt;Megasloth&lt;/li&gt;</v>
      </c>
      <c r="F17" t="str">
        <f>Animals!$C$28</f>
        <v>&lt;li&gt;Megasloth&lt;/li&gt;</v>
      </c>
      <c r="G17" t="str">
        <f>Animals!$C$28</f>
        <v>&lt;li&gt;Megasloth&lt;/li&gt;</v>
      </c>
      <c r="H17" s="16" t="str">
        <f>Animals!$C$53</f>
        <v>&lt;li&gt;Deer&lt;/li&gt;</v>
      </c>
      <c r="I17" t="str">
        <f>Animals!$C$53</f>
        <v>&lt;li&gt;Deer&lt;/li&gt;</v>
      </c>
      <c r="J17" t="str">
        <f>Animals!$C$22</f>
        <v>&lt;li&gt;Donkey&lt;/li&gt;</v>
      </c>
      <c r="K17" t="str">
        <f>Animals!$C$47</f>
        <v>&lt;li&gt;Boomalope&lt;/li&gt;</v>
      </c>
      <c r="L17" t="str">
        <f>Animals!$C$47</f>
        <v>&lt;li&gt;Boomalope&lt;/li&gt;</v>
      </c>
      <c r="M17" t="str">
        <f>Animals!$C$111</f>
        <v>&lt;li&gt;AEXP_Zebra&lt;/li&gt;</v>
      </c>
      <c r="N17" t="str">
        <f>Animals!$C$61</f>
        <v>&lt;li&gt;WasteRat&lt;/li&gt;</v>
      </c>
      <c r="O17" t="str">
        <f>Animals!$C$39</f>
        <v>&lt;li&gt;Capybara&lt;/li&gt;</v>
      </c>
      <c r="P17" t="str">
        <f>Animals!$C$39</f>
        <v>&lt;li&gt;Capybara&lt;/li&gt;</v>
      </c>
      <c r="Q17" t="str">
        <f>Animals!$C$95</f>
        <v>&lt;li&gt;Megavole&lt;/li&gt;</v>
      </c>
      <c r="R17" t="str">
        <f>Animals!$C$61</f>
        <v>&lt;li&gt;WasteRat&lt;/li&gt;</v>
      </c>
    </row>
    <row r="18" spans="2:18" x14ac:dyDescent="0.25">
      <c r="B18" s="16" t="str">
        <f>Animals!$C$273</f>
        <v>&lt;li&gt;AA_FrostAve&lt;/li&gt;</v>
      </c>
      <c r="C18" s="16" t="str">
        <f>Animals!$C$273</f>
        <v>&lt;li&gt;AA_FrostAve&lt;/li&gt;</v>
      </c>
      <c r="D18" t="str">
        <f>Animals!$C$71</f>
        <v>&lt;li&gt;Penguin&lt;/li&gt;</v>
      </c>
      <c r="E18" t="str">
        <f>Animals!$C$79</f>
        <v>&lt;li&gt;Mastodon&lt;/li&gt;</v>
      </c>
      <c r="F18" t="str">
        <f>Animals!$C$83</f>
        <v>&lt;li&gt;Mink&lt;/li&gt;</v>
      </c>
      <c r="G18" t="str">
        <f>Animals!$C$83</f>
        <v>&lt;li&gt;Mink&lt;/li&gt;</v>
      </c>
      <c r="H18" s="16" t="str">
        <f>Animals!$C$29</f>
        <v>&lt;li&gt;WildBoar&lt;/li&gt;</v>
      </c>
      <c r="I18" t="str">
        <f>Animals!$C$29</f>
        <v>&lt;li&gt;WildBoar&lt;/li&gt;</v>
      </c>
      <c r="J18" s="16" t="str">
        <f>Animals!$C$112</f>
        <v>&lt;li&gt;AEXP_Wildebeest&lt;/li&gt;</v>
      </c>
      <c r="K18" t="str">
        <f>Animals!$C$22</f>
        <v>&lt;li&gt;Donkey&lt;/li&gt;</v>
      </c>
      <c r="L18" t="str">
        <f>Animals!$C$22</f>
        <v>&lt;li&gt;Donkey&lt;/li&gt;</v>
      </c>
      <c r="M18" t="str">
        <f>Animals!$C$12</f>
        <v>&lt;li&gt;Dromedary&lt;/li&gt;</v>
      </c>
      <c r="N18" t="str">
        <f>Animals!$C$48</f>
        <v>&lt;li&gt;Toxalope&lt;/li&gt;</v>
      </c>
      <c r="O18" t="str">
        <f>Animals!$C$29</f>
        <v>&lt;li&gt;WildBoar&lt;/li&gt;</v>
      </c>
      <c r="P18" t="str">
        <f>Animals!$C$29</f>
        <v>&lt;li&gt;WildBoar&lt;/li&gt;</v>
      </c>
      <c r="Q18" t="str">
        <f>Animals!$C$29</f>
        <v>&lt;li&gt;WildBoar&lt;/li&gt;</v>
      </c>
      <c r="R18" t="str">
        <f>Animals!$C$48</f>
        <v>&lt;li&gt;Toxalope&lt;/li&gt;</v>
      </c>
    </row>
    <row r="19" spans="2:18" x14ac:dyDescent="0.25">
      <c r="B19" s="16" t="str">
        <f>Animals!$C$274</f>
        <v>&lt;li&gt;AA_FrostLynx&lt;/li&gt;</v>
      </c>
      <c r="C19" s="16" t="str">
        <f>Animals!$C$274</f>
        <v>&lt;li&gt;AA_FrostLynx&lt;/li&gt;</v>
      </c>
      <c r="D19" t="str">
        <f>Animals!$C$178</f>
        <v>&lt;li&gt;AEXP_RockhopperPenguin&lt;/li&gt;</v>
      </c>
      <c r="E19" s="16" t="str">
        <f>Animals!$C$83</f>
        <v>&lt;li&gt;Mink&lt;/li&gt;</v>
      </c>
      <c r="F19" t="str">
        <f>Animals!$C$58</f>
        <v>&lt;li&gt;Fox_Red&lt;/li&gt;</v>
      </c>
      <c r="G19" t="str">
        <f>Animals!$C$58</f>
        <v>&lt;li&gt;Fox_Red&lt;/li&gt;</v>
      </c>
      <c r="H19" s="16" t="str">
        <f>Animals!$C$47</f>
        <v>&lt;li&gt;Boomalope&lt;/li&gt;</v>
      </c>
      <c r="I19" t="str">
        <f>Animals!$C$47</f>
        <v>&lt;li&gt;Boomalope&lt;/li&gt;</v>
      </c>
      <c r="J19" s="16" t="str">
        <f>Animals!$C$111</f>
        <v>&lt;li&gt;AEXP_Zebra&lt;/li&gt;</v>
      </c>
      <c r="K19" t="str">
        <f>Animals!$C$112</f>
        <v>&lt;li&gt;AEXP_Wildebeest&lt;/li&gt;</v>
      </c>
      <c r="L19" t="str">
        <f>Animals!$C$112</f>
        <v>&lt;li&gt;AEXP_Wildebeest&lt;/li&gt;</v>
      </c>
      <c r="M19" t="str">
        <f>Animals!$C$124</f>
        <v>&lt;li&gt;AEXP_GilaMonster&lt;/li&gt;</v>
      </c>
      <c r="N19" t="str">
        <f>Animals!$C$200</f>
        <v>&lt;li&gt;VAEWaste_Megatardi&lt;/li&gt;</v>
      </c>
      <c r="O19" t="str">
        <f>Animals!$C$89</f>
        <v>&lt;li&gt;Gorilla&lt;/li&gt;</v>
      </c>
      <c r="P19" t="str">
        <f>Animals!$C$89</f>
        <v>&lt;li&gt;Gorilla&lt;/li&gt;</v>
      </c>
      <c r="Q19" t="str">
        <f>Animals!$C$89</f>
        <v>&lt;li&gt;Gorilla&lt;/li&gt;</v>
      </c>
      <c r="R19" t="str">
        <f>Animals!$C$199</f>
        <v>&lt;li&gt;VAEWaste_Hydra&lt;/li&gt;</v>
      </c>
    </row>
    <row r="20" spans="2:18" x14ac:dyDescent="0.25">
      <c r="B20" s="16" t="str">
        <f>Animals!$C$275</f>
        <v>&lt;li&gt;AA_Frostling&lt;/li&gt;</v>
      </c>
      <c r="C20" s="16" t="str">
        <f>Animals!$C$275</f>
        <v>&lt;li&gt;AA_Frostling&lt;/li&gt;</v>
      </c>
      <c r="D20" t="str">
        <f>Animals!$C$200</f>
        <v>&lt;li&gt;VAEWaste_Megatardi&lt;/li&gt;</v>
      </c>
      <c r="E20" t="str">
        <f>Animals!$C$58</f>
        <v>&lt;li&gt;Fox_Red&lt;/li&gt;</v>
      </c>
      <c r="F20" s="16" t="str">
        <f>Animals!$C$109</f>
        <v>&lt;li&gt;AEXP_Coyote&lt;/li&gt;</v>
      </c>
      <c r="G20" t="str">
        <f>Animals!$C$109</f>
        <v>&lt;li&gt;AEXP_Coyote&lt;/li&gt;</v>
      </c>
      <c r="H20" s="16" t="str">
        <f>Animals!$C$46</f>
        <v>&lt;li&gt;Elk&lt;/li&gt;</v>
      </c>
      <c r="I20" t="str">
        <f>Animals!$C$46</f>
        <v>&lt;li&gt;Elk&lt;/li&gt;</v>
      </c>
      <c r="J20" t="str">
        <f>Animals!$C$21</f>
        <v>&lt;li&gt;Horse&lt;/li&gt;</v>
      </c>
      <c r="K20" t="str">
        <f>Animals!$C$111</f>
        <v>&lt;li&gt;AEXP_Zebra&lt;/li&gt;</v>
      </c>
      <c r="L20" t="str">
        <f>Animals!$C$111</f>
        <v>&lt;li&gt;AEXP_Zebra&lt;/li&gt;</v>
      </c>
      <c r="M20" t="str">
        <f>Animals!$C$126</f>
        <v>&lt;li&gt;AEXP_Rattlesnake&lt;/li&gt;</v>
      </c>
      <c r="N20" t="str">
        <f>Animals!$C$199</f>
        <v>&lt;li&gt;VAEWaste_Hydra&lt;/li&gt;</v>
      </c>
      <c r="O20" t="str">
        <f>Animals!$C$47</f>
        <v>&lt;li&gt;Boomalope&lt;/li&gt;</v>
      </c>
      <c r="P20" t="str">
        <f>Animals!$C$47</f>
        <v>&lt;li&gt;Boomalope&lt;/li&gt;</v>
      </c>
      <c r="Q20" t="str">
        <f>Animals!$C$47</f>
        <v>&lt;li&gt;Boomalope&lt;/li&gt;</v>
      </c>
      <c r="R20" s="16" t="str">
        <f>Animals!$C$200</f>
        <v>&lt;li&gt;VAEWaste_Megatardi&lt;/li&gt;</v>
      </c>
    </row>
    <row r="21" spans="2:18" x14ac:dyDescent="0.25">
      <c r="B21" s="16" t="str">
        <f>Animals!$C$276</f>
        <v>&lt;li&gt;AA_Frostmite&lt;/li&gt;</v>
      </c>
      <c r="C21" s="16" t="str">
        <f>Animals!$C$276</f>
        <v>&lt;li&gt;AA_Frostmite&lt;/li&gt;</v>
      </c>
      <c r="D21" t="str">
        <f>Animals!$C$202</f>
        <v>&lt;li&gt;VAEWaste_Toxafox&lt;/li&gt;</v>
      </c>
      <c r="E21" t="str">
        <f>Animals!$C$109</f>
        <v>&lt;li&gt;AEXP_Coyote&lt;/li&gt;</v>
      </c>
      <c r="F21" t="str">
        <f>Animals!$C$82</f>
        <v>&lt;li&gt;Wolverine&lt;/li&gt;</v>
      </c>
      <c r="G21" t="str">
        <f>Animals!$C$82</f>
        <v>&lt;li&gt;Wolverine&lt;/li&gt;</v>
      </c>
      <c r="H21" s="16" t="str">
        <f>Animals!$C$44</f>
        <v>&lt;li&gt;Muffalo&lt;/li&gt;</v>
      </c>
      <c r="I21" t="str">
        <f>Animals!$C$44</f>
        <v>&lt;li&gt;Muffalo&lt;/li&gt;</v>
      </c>
      <c r="J21" t="str">
        <f>Animals!$C$12</f>
        <v>&lt;li&gt;Dromedary&lt;/li&gt;</v>
      </c>
      <c r="K21" t="str">
        <f>Animals!$C$21</f>
        <v>&lt;li&gt;Horse&lt;/li&gt;</v>
      </c>
      <c r="L21" t="str">
        <f>Animals!$C$12</f>
        <v>&lt;li&gt;Dromedary&lt;/li&gt;</v>
      </c>
      <c r="M21" t="str">
        <f>Animals!$C$60</f>
        <v xml:space="preserve">&lt;li&gt;Fox_Fennec&lt;/li&gt; </v>
      </c>
      <c r="N21" t="str">
        <f>Animals!$C$206</f>
        <v>&lt;li&gt;VAEWaste_Toxscorpion&lt;/li&gt;</v>
      </c>
      <c r="O21" s="16" t="str">
        <f>Animals!$C$135</f>
        <v>&lt;li&gt;AEXP_Tapir&lt;/li&gt;</v>
      </c>
      <c r="P21" t="str">
        <f>Animals!$C$135</f>
        <v>&lt;li&gt;AEXP_Tapir&lt;/li&gt;</v>
      </c>
      <c r="Q21" t="str">
        <f>Animals!$C$135</f>
        <v>&lt;li&gt;AEXP_Tapir&lt;/li&gt;</v>
      </c>
      <c r="R21" s="16" t="str">
        <f>Animals!$C$201</f>
        <v>&lt;li&gt;VAEWaste_Pestigator&lt;/li&gt;</v>
      </c>
    </row>
    <row r="22" spans="2:18" x14ac:dyDescent="0.25">
      <c r="B22" s="16" t="str">
        <f>Animals!$C$280</f>
        <v>&lt;li&gt;AA_Genix&lt;/li&gt;</v>
      </c>
      <c r="C22" s="16" t="str">
        <f>Animals!$C$280</f>
        <v>&lt;li&gt;AA_Genix&lt;/li&gt;</v>
      </c>
      <c r="D22" s="16" t="str">
        <f>Animals!$C$203</f>
        <v>&lt;li&gt;VAEWaste_Toxbear&lt;/li&gt;</v>
      </c>
      <c r="E22" t="str">
        <f>Animals!$C$82</f>
        <v>&lt;li&gt;Wolverine&lt;/li&gt;</v>
      </c>
      <c r="F22" t="str">
        <f>Animals!$C$19</f>
        <v>&lt;li&gt;Lynx&lt;/li&gt;</v>
      </c>
      <c r="G22" t="str">
        <f>Animals!$C$19</f>
        <v>&lt;li&gt;Lynx&lt;/li&gt;</v>
      </c>
      <c r="H22" s="16" t="str">
        <f>Animals!$C$21</f>
        <v>&lt;li&gt;Horse&lt;/li&gt;</v>
      </c>
      <c r="I22" t="str">
        <f>Animals!$C$21</f>
        <v>&lt;li&gt;Horse&lt;/li&gt;</v>
      </c>
      <c r="J22" s="16" t="str">
        <f>Animals!$C$110</f>
        <v>&lt;li&gt;AEXP_Giraffe&lt;/li&gt;</v>
      </c>
      <c r="K22" t="str">
        <f>Animals!$C$42</f>
        <v>&lt;li&gt;Bison&lt;/li&gt;</v>
      </c>
      <c r="L22" t="str">
        <f>Animals!$C$124</f>
        <v>&lt;li&gt;AEXP_GilaMonster&lt;/li&gt;</v>
      </c>
      <c r="M22" t="str">
        <f>Animals!$C$109</f>
        <v>&lt;li&gt;AEXP_Coyote&lt;/li&gt;</v>
      </c>
      <c r="N22" s="16" t="str">
        <f>Animals!$C$227</f>
        <v>&lt;li&gt;AA_Barbslinger&lt;/li&gt;</v>
      </c>
      <c r="O22" s="16" t="str">
        <f>Animals!$C$137</f>
        <v>&lt;li&gt;AEXP_IndianElephant&lt;/li&gt;</v>
      </c>
      <c r="P22" t="str">
        <f>Animals!$C$137</f>
        <v>&lt;li&gt;AEXP_IndianElephant&lt;/li&gt;</v>
      </c>
      <c r="Q22" t="str">
        <f>Animals!$C$137</f>
        <v>&lt;li&gt;AEXP_IndianElephant&lt;/li&gt;</v>
      </c>
      <c r="R22" s="16" t="str">
        <f>Animals!$C$202</f>
        <v>&lt;li&gt;VAEWaste_Toxafox&lt;/li&gt;</v>
      </c>
    </row>
    <row r="23" spans="2:18" x14ac:dyDescent="0.25">
      <c r="B23" s="16" t="str">
        <f>Animals!$C$314</f>
        <v>&lt;li&gt;AA_Radyak&lt;/li&gt;</v>
      </c>
      <c r="C23" s="16" t="str">
        <f>Animals!$C$314</f>
        <v>&lt;li&gt;AA_Radyak&lt;/li&gt;</v>
      </c>
      <c r="D23" s="16" t="str">
        <f>Animals!$C$222</f>
        <v>&lt;li&gt;AA_AnimusVox&lt;/li&gt;</v>
      </c>
      <c r="E23" t="str">
        <f>Animals!$C$19</f>
        <v>&lt;li&gt;Lynx&lt;/li&gt;</v>
      </c>
      <c r="F23" t="str">
        <f>Animals!$C$56</f>
        <v>&lt;li&gt;Wolf_Timber&lt;/li&gt;</v>
      </c>
      <c r="G23" t="str">
        <f>Animals!$C$56</f>
        <v>&lt;li&gt;Wolf_Timber&lt;/li&gt;</v>
      </c>
      <c r="H23" s="16" t="str">
        <f>Animals!$C$96</f>
        <v>&lt;li&gt;Moose&lt;/li&gt;</v>
      </c>
      <c r="I23" t="str">
        <f>Animals!$C$96</f>
        <v>&lt;li&gt;Moose&lt;/li&gt;</v>
      </c>
      <c r="J23" t="str">
        <f>Animals!$C$25</f>
        <v>&lt;li&gt;Rhinoceros&lt;/li&gt;</v>
      </c>
      <c r="K23" t="str">
        <f>Animals!$C$110</f>
        <v>&lt;li&gt;AEXP_Giraffe&lt;/li&gt;</v>
      </c>
      <c r="L23" t="str">
        <f>Animals!$C$126</f>
        <v>&lt;li&gt;AEXP_Rattlesnake&lt;/li&gt;</v>
      </c>
      <c r="M23" t="str">
        <f>Animals!$C$114</f>
        <v>&lt;li&gt;AEXP_Cheetah&lt;/li&gt;</v>
      </c>
      <c r="N23" s="16" t="str">
        <f>Animals!$C$238</f>
        <v>&lt;li&gt;AA_BoulderMit&lt;/li&gt;</v>
      </c>
      <c r="O23" t="str">
        <f>Animals!$C$33</f>
        <v>&lt;li&gt;Cobra&lt;/li&gt;</v>
      </c>
      <c r="P23" t="str">
        <f>Animals!$C$33</f>
        <v>&lt;li&gt;Cobra&lt;/li&gt;</v>
      </c>
      <c r="Q23" t="str">
        <f>Animals!$C$33</f>
        <v>&lt;li&gt;Cobra&lt;/li&gt;</v>
      </c>
      <c r="R23" s="16" t="str">
        <f>Animals!$C$203</f>
        <v>&lt;li&gt;VAEWaste_Toxbear&lt;/li&gt;</v>
      </c>
    </row>
    <row r="24" spans="2:18" x14ac:dyDescent="0.25">
      <c r="D24" s="16" t="str">
        <f>Animals!$C$223</f>
        <v>&lt;li&gt;AA_ArcticLion&lt;/li&gt;</v>
      </c>
      <c r="E24" t="str">
        <f>Animals!$C$56</f>
        <v>&lt;li&gt;Wolf_Timber&lt;/li&gt;</v>
      </c>
      <c r="F24" t="str">
        <f>Animals!$C$17</f>
        <v>&lt;li&gt;Cougar&lt;/li&gt;</v>
      </c>
      <c r="G24" t="str">
        <f>Animals!$C$17</f>
        <v>&lt;li&gt;Cougar&lt;/li&gt;</v>
      </c>
      <c r="H24" s="16" t="str">
        <f>Animals!$C$42</f>
        <v>&lt;li&gt;Bison&lt;/li&gt;</v>
      </c>
      <c r="I24" t="str">
        <f>Animals!$C$42</f>
        <v>&lt;li&gt;Bison&lt;/li&gt;</v>
      </c>
      <c r="J24" s="16" t="str">
        <f>Animals!$C$26</f>
        <v>&lt;li&gt;Elephant&lt;/li&gt;</v>
      </c>
      <c r="K24" t="str">
        <f>Animals!$C$25</f>
        <v>&lt;li&gt;Rhinoceros&lt;/li&gt;</v>
      </c>
      <c r="L24" t="str">
        <f>Animals!$C$60</f>
        <v xml:space="preserve">&lt;li&gt;Fox_Fennec&lt;/li&gt; </v>
      </c>
      <c r="M24" t="str">
        <f>Animals!$C$17</f>
        <v>&lt;li&gt;Cougar&lt;/li&gt;</v>
      </c>
      <c r="N24" s="16" t="str">
        <f>Animals!$C$242</f>
        <v>&lt;li&gt;AA_Cactipine&lt;/li&gt;</v>
      </c>
      <c r="O24" t="str">
        <f>Animals!$C$18</f>
        <v>&lt;li&gt;Panther&lt;/li&gt;</v>
      </c>
      <c r="P24" t="str">
        <f>Animals!$C$18</f>
        <v>&lt;li&gt;Panther&lt;/li&gt;</v>
      </c>
      <c r="Q24" t="str">
        <f>Animals!$C$18</f>
        <v>&lt;li&gt;Panther&lt;/li&gt;</v>
      </c>
      <c r="R24" s="16" t="str">
        <f>Animals!$C$204</f>
        <v>&lt;li&gt;VAEWaste_Toxiguana&lt;/li&gt;</v>
      </c>
    </row>
    <row r="25" spans="2:18" x14ac:dyDescent="0.25">
      <c r="D25" s="16" t="str">
        <f>Animals!$C$230</f>
        <v>&lt;li&gt;AA_FrostboundBehemoth&lt;/li&gt;</v>
      </c>
      <c r="E25" t="str">
        <f>Animals!$C$100</f>
        <v>&lt;li&gt;Wolf_Great&lt;/li&gt;</v>
      </c>
      <c r="F25" s="16" t="str">
        <f>Animals!$C$120</f>
        <v>&lt;li&gt;AEXP_BlackBear&lt;/li&gt;</v>
      </c>
      <c r="G25" t="str">
        <f>Animals!$C$120</f>
        <v>&lt;li&gt;AEXP_BlackBear&lt;/li&gt;</v>
      </c>
      <c r="H25" s="16" t="str">
        <f>Animals!$C$28</f>
        <v>&lt;li&gt;Megasloth&lt;/li&gt;</v>
      </c>
      <c r="I25" t="str">
        <f>Animals!$C$28</f>
        <v>&lt;li&gt;Megasloth&lt;/li&gt;</v>
      </c>
      <c r="J25" s="16" t="str">
        <f>Animals!$C$124</f>
        <v>&lt;li&gt;AEXP_GilaMonster&lt;/li&gt;</v>
      </c>
      <c r="K25" t="str">
        <f>Animals!$C$28</f>
        <v>&lt;li&gt;Megasloth&lt;/li&gt;</v>
      </c>
      <c r="L25" t="str">
        <f>Animals!$C$109</f>
        <v>&lt;li&gt;AEXP_Coyote&lt;/li&gt;</v>
      </c>
      <c r="M25" t="str">
        <f>Animals!$C$121</f>
        <v>&lt;li&gt;AEXP_Hyena&lt;/li&gt;</v>
      </c>
      <c r="N25" s="16" t="str">
        <f>Animals!$C$243</f>
        <v>&lt;li&gt;AA_ChameleonYak&lt;/li&gt;</v>
      </c>
      <c r="O25" s="16" t="str">
        <f>Animals!$C$132</f>
        <v>&lt;li&gt;AEXP_Jaguar&lt;/li&gt;</v>
      </c>
      <c r="P25" t="str">
        <f>Animals!$C$132</f>
        <v>&lt;li&gt;AEXP_Jaguar&lt;/li&gt;</v>
      </c>
      <c r="Q25" t="str">
        <f>Animals!$C$132</f>
        <v>&lt;li&gt;AEXP_Jaguar&lt;/li&gt;</v>
      </c>
      <c r="R25" s="16" t="str">
        <f>Animals!$C$205</f>
        <v>&lt;li&gt;VAEWaste_Toxlion&lt;/li&gt;</v>
      </c>
    </row>
    <row r="26" spans="2:18" x14ac:dyDescent="0.25">
      <c r="D26" s="16" t="str">
        <f>Animals!$C$234</f>
        <v>&lt;li&gt;AA_Blizzarisk&lt;/li&gt;</v>
      </c>
      <c r="E26" t="str">
        <f>Animals!$C$17</f>
        <v>&lt;li&gt;Cougar&lt;/li&gt;</v>
      </c>
      <c r="F26" s="16" t="str">
        <f>Animals!$C$3</f>
        <v>&lt;li&gt;Bear_Grizzly&lt;/li&gt;</v>
      </c>
      <c r="G26" t="str">
        <f>Animals!$C$3</f>
        <v>&lt;li&gt;Bear_Grizzly&lt;/li&gt;</v>
      </c>
      <c r="H26" s="16" t="str">
        <f>Animals!$C$62</f>
        <v>&lt;li&gt;Panda&lt;/li&gt;</v>
      </c>
      <c r="I26" t="str">
        <f>Animals!$C$62</f>
        <v>&lt;li&gt;Panda&lt;/li&gt;</v>
      </c>
      <c r="J26" s="16" t="str">
        <f>Animals!$C$126</f>
        <v>&lt;li&gt;AEXP_Rattlesnake&lt;/li&gt;</v>
      </c>
      <c r="K26" t="str">
        <f>Animals!$C$26</f>
        <v>&lt;li&gt;Elephant&lt;/li&gt;</v>
      </c>
      <c r="L26" t="str">
        <f>Animals!$C$114</f>
        <v>&lt;li&gt;AEXP_Cheetah&lt;/li&gt;</v>
      </c>
      <c r="M26" t="str">
        <f>Animals!$C$123</f>
        <v>&lt;li&gt;AEXP_Lion&lt;/li&gt;</v>
      </c>
      <c r="N26" s="16" t="str">
        <f>Animals!$C$249</f>
        <v>&lt;li&gt;AA_CrystalMit&lt;/li&gt;</v>
      </c>
      <c r="O26" s="16" t="str">
        <f>Animals!$C$74</f>
        <v>&lt;li&gt;Tiger&lt;/li&gt;</v>
      </c>
      <c r="P26" t="str">
        <f>Animals!$C$74</f>
        <v>&lt;li&gt;Tiger&lt;/li&gt;</v>
      </c>
      <c r="Q26" t="str">
        <f>Animals!$C$74</f>
        <v>&lt;li&gt;Tiger&lt;/li&gt;</v>
      </c>
      <c r="R26" s="16" t="str">
        <f>Animals!$C$206</f>
        <v>&lt;li&gt;VAEWaste_Toxscorpion&lt;/li&gt;</v>
      </c>
    </row>
    <row r="27" spans="2:18" x14ac:dyDescent="0.25">
      <c r="D27" s="16" t="str">
        <f>Animals!$C$238</f>
        <v>&lt;li&gt;AA_BoulderMit&lt;/li&gt;</v>
      </c>
      <c r="E27" t="str">
        <f>Animals!$C$120</f>
        <v>&lt;li&gt;AEXP_BlackBear&lt;/li&gt;</v>
      </c>
      <c r="F27" s="16" t="str">
        <f>Animals!$C$86</f>
        <v>&lt;li&gt;SeaLion&lt;/li&gt;</v>
      </c>
      <c r="G27" t="str">
        <f>Animals!$C$86</f>
        <v>&lt;li&gt;SeaLion&lt;/li&gt;</v>
      </c>
      <c r="H27" s="16" t="str">
        <f>Animals!$C$83</f>
        <v>&lt;li&gt;Mink&lt;/li&gt;</v>
      </c>
      <c r="I27" t="str">
        <f>Animals!$C$83</f>
        <v>&lt;li&gt;Mink&lt;/li&gt;</v>
      </c>
      <c r="J27" s="16" t="str">
        <f>Animals!$C$60</f>
        <v xml:space="preserve">&lt;li&gt;Fox_Fennec&lt;/li&gt; </v>
      </c>
      <c r="K27" t="str">
        <f>Animals!$C$109</f>
        <v>&lt;li&gt;AEXP_Coyote&lt;/li&gt;</v>
      </c>
      <c r="L27" t="str">
        <f>Animals!$C$90</f>
        <v>&lt;li&gt;MonitorLizard&lt;/li&gt;</v>
      </c>
      <c r="M27" t="str">
        <f>Animals!$C$92</f>
        <v>&lt;li&gt;SeaTurtle&lt;/li&gt;</v>
      </c>
      <c r="N27" s="16" t="str">
        <f>Animals!$C$250</f>
        <v>&lt;li&gt;AA_Darkbeast&lt;/li&gt;</v>
      </c>
      <c r="O27" t="str">
        <f>Animals!$C$92</f>
        <v>&lt;li&gt;SeaTurtle&lt;/li&gt;</v>
      </c>
      <c r="P27" t="str">
        <f>Animals!$C$92</f>
        <v>&lt;li&gt;SeaTurtle&lt;/li&gt;</v>
      </c>
      <c r="Q27" t="str">
        <f>Animals!$C$92</f>
        <v>&lt;li&gt;SeaTurtle&lt;/li&gt;</v>
      </c>
      <c r="R27" s="16" t="str">
        <f>Animals!$C$207</f>
        <v>&lt;li&gt;VAEWaste_Wasteboar&lt;/li&gt;</v>
      </c>
    </row>
    <row r="28" spans="2:18" x14ac:dyDescent="0.25">
      <c r="D28" s="16" t="str">
        <f>Animals!$C$243</f>
        <v>&lt;li&gt;AA_ChameleonYak&lt;/li&gt;</v>
      </c>
      <c r="E28" t="str">
        <f>Animals!$C$75</f>
        <v>&lt;li&gt;Cat_Scimitar&lt;/li&gt;</v>
      </c>
      <c r="F28" t="str">
        <f>Animals!$C$87</f>
        <v>&lt;li&gt;Seal&lt;/li&gt;</v>
      </c>
      <c r="G28" s="16" t="str">
        <f>Animals!$C$87</f>
        <v>&lt;li&gt;Seal&lt;/li&gt;</v>
      </c>
      <c r="H28" s="16" t="str">
        <f>Animals!$C$58</f>
        <v>&lt;li&gt;Fox_Red&lt;/li&gt;</v>
      </c>
      <c r="I28" t="str">
        <f>Animals!$C$58</f>
        <v>&lt;li&gt;Fox_Red&lt;/li&gt;</v>
      </c>
      <c r="J28" t="str">
        <f>Animals!$C$109</f>
        <v>&lt;li&gt;AEXP_Coyote&lt;/li&gt;</v>
      </c>
      <c r="K28" t="str">
        <f>Animals!$C$114</f>
        <v>&lt;li&gt;AEXP_Cheetah&lt;/li&gt;</v>
      </c>
      <c r="L28" s="16" t="str">
        <f>Animals!$C$17</f>
        <v>&lt;li&gt;Cougar&lt;/li&gt;</v>
      </c>
      <c r="M28" t="str">
        <f>Animals!$C$101</f>
        <v>&lt;li&gt;StoneCrab&lt;/li&gt;</v>
      </c>
      <c r="N28" s="16" t="str">
        <f>Animals!$C$340</f>
        <v>&lt;li&gt;AA_Thunderbeast&lt;/li&gt;</v>
      </c>
      <c r="O28" t="str">
        <f>Animals!$C$101</f>
        <v>&lt;li&gt;StoneCrab&lt;/li&gt;</v>
      </c>
      <c r="P28" s="16" t="str">
        <f>Animals!$C$101</f>
        <v>&lt;li&gt;StoneCrab&lt;/li&gt;</v>
      </c>
      <c r="Q28" s="16" t="str">
        <f>Animals!$C$101</f>
        <v>&lt;li&gt;StoneCrab&lt;/li&gt;</v>
      </c>
      <c r="R28" s="16" t="str">
        <f>Animals!$C$208</f>
        <v>&lt;li&gt;VAEWaste_Wastedeer&lt;/li&gt;</v>
      </c>
    </row>
    <row r="29" spans="2:18" x14ac:dyDescent="0.25">
      <c r="D29" s="16" t="str">
        <f>Animals!$C$249</f>
        <v>&lt;li&gt;AA_CrystalMit&lt;/li&gt;</v>
      </c>
      <c r="E29" t="str">
        <f>Animals!$C$3</f>
        <v>&lt;li&gt;Bear_Grizzly&lt;/li&gt;</v>
      </c>
      <c r="F29" t="str">
        <f>Animals!$C$61</f>
        <v>&lt;li&gt;WasteRat&lt;/li&gt;</v>
      </c>
      <c r="G29" s="16" t="str">
        <f>Animals!$C$10</f>
        <v>&lt;li&gt;Duck&lt;/li&gt;</v>
      </c>
      <c r="H29" s="16" t="str">
        <f>Animals!$C$109</f>
        <v>&lt;li&gt;AEXP_Coyote&lt;/li&gt;</v>
      </c>
      <c r="I29" t="str">
        <f>Animals!$C$109</f>
        <v>&lt;li&gt;AEXP_Coyote&lt;/li&gt;</v>
      </c>
      <c r="J29" s="16" t="str">
        <f>Animals!$C$114</f>
        <v>&lt;li&gt;AEXP_Cheetah&lt;/li&gt;</v>
      </c>
      <c r="K29" t="str">
        <f>Animals!$C$90</f>
        <v>&lt;li&gt;MonitorLizard&lt;/li&gt;</v>
      </c>
      <c r="L29" t="str">
        <f>Animals!$C$123</f>
        <v>&lt;li&gt;AEXP_Lion&lt;/li&gt;</v>
      </c>
      <c r="M29" s="16" t="str">
        <f>Animals!$C$102</f>
        <v>&lt;li&gt;HermitCrab&lt;/li&gt;</v>
      </c>
      <c r="N29" s="16" t="str">
        <f>Animals!$C$345</f>
        <v>&lt;li&gt;AA_WindBeast&lt;/li&gt;</v>
      </c>
      <c r="O29" s="16" t="str">
        <f>Animals!$C$102</f>
        <v>&lt;li&gt;HermitCrab&lt;/li&gt;</v>
      </c>
      <c r="P29" s="16" t="str">
        <f>Animals!$C$102</f>
        <v>&lt;li&gt;HermitCrab&lt;/li&gt;</v>
      </c>
      <c r="Q29" t="str">
        <f>Animals!$C$102</f>
        <v>&lt;li&gt;HermitCrab&lt;/li&gt;</v>
      </c>
      <c r="R29" s="16" t="str">
        <f>Animals!$C$209</f>
        <v>&lt;li&gt;VAEWaste_Wasteffalo&lt;/li&gt;</v>
      </c>
    </row>
    <row r="30" spans="2:18" x14ac:dyDescent="0.25">
      <c r="D30" s="16" t="str">
        <f>Animals!$C$250</f>
        <v>&lt;li&gt;AA_Darkbeast&lt;/li&gt;</v>
      </c>
      <c r="E30" t="str">
        <f>Animals!$C$86</f>
        <v>&lt;li&gt;SeaLion&lt;/li&gt;</v>
      </c>
      <c r="F30" s="16" t="str">
        <f>Animals!$C$48</f>
        <v>&lt;li&gt;Toxalope&lt;/li&gt;</v>
      </c>
      <c r="G30" s="16" t="str">
        <f>Animals!$C$68</f>
        <v>&lt;li&gt;Swan&lt;/li&gt;</v>
      </c>
      <c r="H30" s="16" t="str">
        <f>Animals!$C$19</f>
        <v>&lt;li&gt;Lynx&lt;/li&gt;</v>
      </c>
      <c r="I30" t="str">
        <f>Animals!$C$19</f>
        <v>&lt;li&gt;Lynx&lt;/li&gt;</v>
      </c>
      <c r="J30" t="str">
        <f>Animals!$C$90</f>
        <v>&lt;li&gt;MonitorLizard&lt;/li&gt;</v>
      </c>
      <c r="K30" t="str">
        <f>Animals!$C$121</f>
        <v>&lt;li&gt;AEXP_Hyena&lt;/li&gt;</v>
      </c>
      <c r="L30" t="str">
        <f>Animals!$C$92</f>
        <v>&lt;li&gt;SeaTurtle&lt;/li&gt;</v>
      </c>
      <c r="M30" t="str">
        <f>Animals!$C$61</f>
        <v>&lt;li&gt;WasteRat&lt;/li&gt;</v>
      </c>
      <c r="N30" s="16" t="str">
        <f>Animals!$C$253</f>
        <v>&lt;li&gt;AA_DesertAve&lt;/li&gt;</v>
      </c>
      <c r="O30" s="16" t="str">
        <f>Animals!$C$113</f>
        <v>&lt;li&gt;AEXP_Crocodile&lt;/li&gt;</v>
      </c>
      <c r="P30" s="16" t="str">
        <f>Animals!$C$113</f>
        <v>&lt;li&gt;AEXP_Crocodile&lt;/li&gt;</v>
      </c>
      <c r="Q30" t="str">
        <f>Animals!$C$113</f>
        <v>&lt;li&gt;AEXP_Crocodile&lt;/li&gt;</v>
      </c>
      <c r="R30" s="16" t="str">
        <f>Animals!$C$210</f>
        <v>&lt;li&gt;AA_AcanthamoebaGiganteaSmall&lt;/li&gt;</v>
      </c>
    </row>
    <row r="31" spans="2:18" x14ac:dyDescent="0.25">
      <c r="D31" s="16" t="str">
        <f>Animals!$C$340</f>
        <v>&lt;li&gt;AA_Thunderbeast&lt;/li&gt;</v>
      </c>
      <c r="E31" s="16" t="str">
        <f>Animals!$C$87</f>
        <v>&lt;li&gt;Seal&lt;/li&gt;</v>
      </c>
      <c r="F31" t="str">
        <f>Animals!$C$200</f>
        <v>&lt;li&gt;VAEWaste_Megatardi&lt;/li&gt;</v>
      </c>
      <c r="G31" s="16" t="str">
        <f>Animals!$C$69</f>
        <v>&lt;li&gt;Heron&lt;/li&gt;</v>
      </c>
      <c r="H31" s="16" t="str">
        <f>Animals!$C$56</f>
        <v>&lt;li&gt;Wolf_Timber&lt;/li&gt;</v>
      </c>
      <c r="I31" t="str">
        <f>Animals!$C$56</f>
        <v>&lt;li&gt;Wolf_Timber&lt;/li&gt;</v>
      </c>
      <c r="J31" s="16" t="str">
        <f>Animals!$C$121</f>
        <v>&lt;li&gt;AEXP_Hyena&lt;/li&gt;</v>
      </c>
      <c r="K31" t="str">
        <f>Animals!$C$123</f>
        <v>&lt;li&gt;AEXP_Lion&lt;/li&gt;</v>
      </c>
      <c r="L31" t="str">
        <f>Animals!$C$101</f>
        <v>&lt;li&gt;StoneCrab&lt;/li&gt;</v>
      </c>
      <c r="M31" s="16" t="str">
        <f>Animals!$C$48</f>
        <v>&lt;li&gt;Toxalope&lt;/li&gt;</v>
      </c>
      <c r="N31" s="16" t="str">
        <f>Animals!$C$257</f>
        <v>&lt;li&gt;AA_Dunealisk&lt;/li&gt;</v>
      </c>
      <c r="O31" t="str">
        <f>Animals!$C$61</f>
        <v>&lt;li&gt;WasteRat&lt;/li&gt;</v>
      </c>
      <c r="P31" s="16" t="str">
        <f>Animals!$C$76</f>
        <v>&lt;li&gt;Bullfrog&lt;/li&gt;</v>
      </c>
      <c r="Q31" t="str">
        <f>Animals!$C$76</f>
        <v>&lt;li&gt;Bullfrog&lt;/li&gt;</v>
      </c>
      <c r="R31" s="16" t="str">
        <f>Animals!$C$213</f>
        <v>&lt;li&gt;AA_Aerofleet&lt;/li&gt;</v>
      </c>
    </row>
    <row r="32" spans="2:18" s="16" customFormat="1" x14ac:dyDescent="0.25">
      <c r="D32" s="16" t="str">
        <f>Animals!$C$345</f>
        <v>&lt;li&gt;AA_WindBeast&lt;/li&gt;</v>
      </c>
      <c r="E32" s="16" t="str">
        <f>Animals!$C$200</f>
        <v>&lt;li&gt;VAEWaste_Megatardi&lt;/li&gt;</v>
      </c>
      <c r="F32" t="str">
        <f>Animals!$C$202</f>
        <v>&lt;li&gt;VAEWaste_Toxafox&lt;/li&gt;</v>
      </c>
      <c r="G32" t="str">
        <f>Animals!$C$85</f>
        <v>&lt;li&gt;Otter&lt;/li&gt;</v>
      </c>
      <c r="H32" s="16" t="str">
        <f>Animals!$C$17</f>
        <v>&lt;li&gt;Cougar&lt;/li&gt;</v>
      </c>
      <c r="I32" t="str">
        <f>Animals!$C$17</f>
        <v>&lt;li&gt;Cougar&lt;/li&gt;</v>
      </c>
      <c r="J32" t="str">
        <f>Animals!$C$17</f>
        <v>&lt;li&gt;Cougar&lt;/li&gt;</v>
      </c>
      <c r="K32" t="str">
        <f>Animals!$C$92</f>
        <v>&lt;li&gt;SeaTurtle&lt;/li&gt;</v>
      </c>
      <c r="L32" t="str">
        <f>Animals!$C$102</f>
        <v>&lt;li&gt;HermitCrab&lt;/li&gt;</v>
      </c>
      <c r="M32" t="str">
        <f>Animals!$C$181</f>
        <v>&lt;li&gt;AEXP_AfricanWildDog&lt;/li&gt;</v>
      </c>
      <c r="N32" s="16" t="str">
        <f>Animals!$C$283</f>
        <v>&lt;li&gt;AA_GreatDevourer&lt;/li&gt;</v>
      </c>
      <c r="O32" t="str">
        <f>Animals!$C$48</f>
        <v>&lt;li&gt;Toxalope&lt;/li&gt;</v>
      </c>
      <c r="P32" s="16" t="str">
        <f>Animals!$C$69</f>
        <v>&lt;li&gt;Heron&lt;/li&gt;</v>
      </c>
      <c r="Q32" t="str">
        <f>Animals!$C$69</f>
        <v>&lt;li&gt;Heron&lt;/li&gt;</v>
      </c>
      <c r="R32" s="16" t="str">
        <f>Animals!$C$218</f>
        <v>&lt;li&gt;AA_AngelMoth&lt;/li&gt;</v>
      </c>
    </row>
    <row r="33" spans="4:18" x14ac:dyDescent="0.25">
      <c r="D33" s="16" t="str">
        <f>Animals!$C$273</f>
        <v>&lt;li&gt;AA_FrostAve&lt;/li&gt;</v>
      </c>
      <c r="E33" s="16" t="str">
        <f>Animals!$C$202</f>
        <v>&lt;li&gt;VAEWaste_Toxafox&lt;/li&gt;</v>
      </c>
      <c r="F33" t="str">
        <f>Animals!$C$203</f>
        <v>&lt;li&gt;VAEWaste_Toxbear&lt;/li&gt;</v>
      </c>
      <c r="G33" t="str">
        <f>Animals!$C$130</f>
        <v>&lt;li&gt;AEXP_Beaver&lt;/li&gt;</v>
      </c>
      <c r="H33" s="16" t="str">
        <f>Animals!$C$120</f>
        <v>&lt;li&gt;AEXP_BlackBear&lt;/li&gt;</v>
      </c>
      <c r="I33" s="16" t="str">
        <f>Animals!$C$120</f>
        <v>&lt;li&gt;AEXP_BlackBear&lt;/li&gt;</v>
      </c>
      <c r="J33" s="16" t="str">
        <f>Animals!$C$123</f>
        <v>&lt;li&gt;AEXP_Lion&lt;/li&gt;</v>
      </c>
      <c r="K33" t="str">
        <f>Animals!$C$101</f>
        <v>&lt;li&gt;StoneCrab&lt;/li&gt;</v>
      </c>
      <c r="L33" s="16" t="str">
        <f>Animals!$C$113</f>
        <v>&lt;li&gt;AEXP_Crocodile&lt;/li&gt;</v>
      </c>
      <c r="M33" t="str">
        <f>Animals!$C$200</f>
        <v>&lt;li&gt;VAEWaste_Megatardi&lt;/li&gt;</v>
      </c>
      <c r="N33" s="16" t="str">
        <f>Animals!$C$293</f>
        <v>&lt;li&gt;AA_Mantrap&lt;/li&gt;</v>
      </c>
      <c r="O33" t="str">
        <f>Animals!$C$175</f>
        <v>&lt;li&gt;AEXP_Bonobo&lt;/li&gt;</v>
      </c>
      <c r="P33" s="16" t="str">
        <f>Animals!$C$70</f>
        <v>&lt;li&gt;Flamingo&lt;/li&gt;</v>
      </c>
      <c r="Q33" t="str">
        <f>Animals!$C$77</f>
        <v>&lt;li&gt;ColossusToad&lt;/li&gt;</v>
      </c>
      <c r="R33" s="16" t="str">
        <f>Animals!$C$219</f>
        <v>&lt;li&gt;AA_AngelMothLarva&lt;/li&gt;</v>
      </c>
    </row>
    <row r="34" spans="4:18" x14ac:dyDescent="0.25">
      <c r="D34" s="16" t="str">
        <f>Animals!$C$274</f>
        <v>&lt;li&gt;AA_FrostLynx&lt;/li&gt;</v>
      </c>
      <c r="E34" s="16" t="str">
        <f>Animals!$C$203</f>
        <v>&lt;li&gt;VAEWaste_Toxbear&lt;/li&gt;</v>
      </c>
      <c r="F34" s="16" t="str">
        <f>Animals!$C$207</f>
        <v>&lt;li&gt;VAEWaste_Wasteboar&lt;/li&gt;</v>
      </c>
      <c r="G34" t="str">
        <f>Animals!$C$129</f>
        <v>&lt;li&gt;AEXP_WildGoose&lt;/li&gt;</v>
      </c>
      <c r="H34" s="16" t="str">
        <f>Animals!$C$55</f>
        <v>&lt;li&gt;Warg&lt;/li&gt;</v>
      </c>
      <c r="I34" t="str">
        <f>Animals!$C$55</f>
        <v>&lt;li&gt;Warg&lt;/li&gt;</v>
      </c>
      <c r="J34" s="16" t="str">
        <f>Animals!$C$92</f>
        <v>&lt;li&gt;SeaTurtle&lt;/li&gt;</v>
      </c>
      <c r="K34" s="16" t="str">
        <f>Animals!$C$102</f>
        <v>&lt;li&gt;HermitCrab&lt;/li&gt;</v>
      </c>
      <c r="L34" t="str">
        <f>Animals!$C$61</f>
        <v>&lt;li&gt;WasteRat&lt;/li&gt;</v>
      </c>
      <c r="M34" t="str">
        <f>Animals!$C$199</f>
        <v>&lt;li&gt;VAEWaste_Hydra&lt;/li&gt;</v>
      </c>
      <c r="N34" s="16" t="str">
        <f>Animals!$C$301</f>
        <v>&lt;li&gt;AA_Needlepost&lt;/li&gt;</v>
      </c>
      <c r="O34" t="str">
        <f>Animals!$C$163</f>
        <v>&lt;li&gt;VAERoy_Orangutan&lt;/li&gt;</v>
      </c>
      <c r="P34" s="16" t="str">
        <f>Animals!$C$77</f>
        <v>&lt;li&gt;ColossusToad&lt;/li&gt;</v>
      </c>
      <c r="Q34" t="str">
        <f>Animals!$C$78</f>
        <v>&lt;li&gt;Hippo&lt;/li&gt;</v>
      </c>
      <c r="R34" s="16" t="str">
        <f>Animals!$C$228</f>
        <v>&lt;li&gt;AA_BedBug&lt;/li&gt;</v>
      </c>
    </row>
    <row r="35" spans="4:18" x14ac:dyDescent="0.25">
      <c r="D35" s="16" t="str">
        <f>Animals!$C$275</f>
        <v>&lt;li&gt;AA_Frostling&lt;/li&gt;</v>
      </c>
      <c r="E35" t="str">
        <f>Animals!$C$208</f>
        <v>&lt;li&gt;VAEWaste_Wastedeer&lt;/li&gt;</v>
      </c>
      <c r="F35" s="16" t="str">
        <f>Animals!$C$208</f>
        <v>&lt;li&gt;VAEWaste_Wastedeer&lt;/li&gt;</v>
      </c>
      <c r="G35" t="str">
        <f>Animals!$C$61</f>
        <v>&lt;li&gt;WasteRat&lt;/li&gt;</v>
      </c>
      <c r="H35" s="16" t="str">
        <f>Animals!$C$3</f>
        <v>&lt;li&gt;Bear_Grizzly&lt;/li&gt;</v>
      </c>
      <c r="I35" t="str">
        <f>Animals!$C$3</f>
        <v>&lt;li&gt;Bear_Grizzly&lt;/li&gt;</v>
      </c>
      <c r="J35" s="16" t="str">
        <f>Animals!$C$101</f>
        <v>&lt;li&gt;StoneCrab&lt;/li&gt;</v>
      </c>
      <c r="K35" s="16" t="str">
        <f>Animals!$C$113</f>
        <v>&lt;li&gt;AEXP_Crocodile&lt;/li&gt;</v>
      </c>
      <c r="L35" t="str">
        <f>Animals!$C$48</f>
        <v>&lt;li&gt;Toxalope&lt;/li&gt;</v>
      </c>
      <c r="M35" t="str">
        <f>Animals!$C$205</f>
        <v>&lt;li&gt;VAEWaste_Toxlion&lt;/li&gt;</v>
      </c>
      <c r="N35" s="16" t="str">
        <f>Animals!$C$302</f>
        <v>&lt;li&gt;AA_Needleroll&lt;/li&gt;</v>
      </c>
      <c r="O35" s="16" t="str">
        <f>Animals!$C$200</f>
        <v>&lt;li&gt;VAEWaste_Megatardi&lt;/li&gt;</v>
      </c>
      <c r="P35" t="str">
        <f>Animals!$C$78</f>
        <v>&lt;li&gt;Hippo&lt;/li&gt;</v>
      </c>
      <c r="Q35" t="str">
        <f>Animals!$C$136</f>
        <v>&lt;li&gt;AEXP_Anaconda&lt;/li&gt;</v>
      </c>
      <c r="R35" s="16" t="str">
        <f>Animals!$C$243</f>
        <v>&lt;li&gt;AA_ChameleonYak&lt;/li&gt;</v>
      </c>
    </row>
    <row r="36" spans="4:18" x14ac:dyDescent="0.25">
      <c r="D36" s="16" t="str">
        <f>Animals!$C$276</f>
        <v>&lt;li&gt;AA_Frostmite&lt;/li&gt;</v>
      </c>
      <c r="E36" t="str">
        <f>Animals!$C$209</f>
        <v>&lt;li&gt;VAEWaste_Wasteffalo&lt;/li&gt;</v>
      </c>
      <c r="F36" s="16" t="str">
        <f>Animals!$C$209</f>
        <v>&lt;li&gt;VAEWaste_Wasteffalo&lt;/li&gt;</v>
      </c>
      <c r="G36" t="str">
        <f>Animals!$C$48</f>
        <v>&lt;li&gt;Toxalope&lt;/li&gt;</v>
      </c>
      <c r="H36" s="16" t="str">
        <f>Animals!$C$86</f>
        <v>&lt;li&gt;SeaLion&lt;/li&gt;</v>
      </c>
      <c r="I36" t="str">
        <f>Animals!$C$86</f>
        <v>&lt;li&gt;SeaLion&lt;/li&gt;</v>
      </c>
      <c r="J36" s="16" t="str">
        <f>Animals!$C$102</f>
        <v>&lt;li&gt;HermitCrab&lt;/li&gt;</v>
      </c>
      <c r="K36" t="str">
        <f>Animals!$C$61</f>
        <v>&lt;li&gt;WasteRat&lt;/li&gt;</v>
      </c>
      <c r="L36" t="str">
        <f>Animals!$C$177</f>
        <v>&lt;li&gt;AEXP_Quagga&lt;/li&gt;</v>
      </c>
      <c r="M36" s="16" t="str">
        <f>Animals!$C$206</f>
        <v>&lt;li&gt;VAEWaste_Toxscorpion&lt;/li&gt;</v>
      </c>
      <c r="N36" s="16" t="str">
        <f>Animals!$C$310</f>
        <v>&lt;li&gt;AA_PebbleMit&lt;/li&gt;</v>
      </c>
      <c r="O36" s="16" t="str">
        <f>Animals!$C$199</f>
        <v>&lt;li&gt;VAEWaste_Hydra&lt;/li&gt;</v>
      </c>
      <c r="P36" t="str">
        <f>Animals!$C$136</f>
        <v>&lt;li&gt;AEXP_Anaconda&lt;/li&gt;</v>
      </c>
      <c r="Q36" t="str">
        <f>Animals!$C$91</f>
        <v>&lt;li&gt;Alligator&lt;/li&gt;</v>
      </c>
      <c r="R36" s="16" t="str">
        <f>Animals!$C$250</f>
        <v>&lt;li&gt;AA_Darkbeast&lt;/li&gt;</v>
      </c>
    </row>
    <row r="37" spans="4:18" x14ac:dyDescent="0.25">
      <c r="D37" s="16" t="str">
        <f>Animals!$C$280</f>
        <v>&lt;li&gt;AA_Genix&lt;/li&gt;</v>
      </c>
      <c r="E37" s="16" t="str">
        <f>Animals!$C$222</f>
        <v>&lt;li&gt;AA_AnimusVox&lt;/li&gt;</v>
      </c>
      <c r="F37" s="16" t="str">
        <f>Animals!$C$220</f>
        <v>&lt;li&gt;AA_AnimaColossus&lt;/li&gt;</v>
      </c>
      <c r="G37" t="str">
        <f>Animals!$C$200</f>
        <v>&lt;li&gt;VAEWaste_Megatardi&lt;/li&gt;</v>
      </c>
      <c r="H37" s="16" t="str">
        <f>Animals!$C$87</f>
        <v>&lt;li&gt;Seal&lt;/li&gt;</v>
      </c>
      <c r="I37" s="16" t="str">
        <f>Animals!$C$87</f>
        <v>&lt;li&gt;Seal&lt;/li&gt;</v>
      </c>
      <c r="J37" t="str">
        <f>Animals!$C$113</f>
        <v>&lt;li&gt;AEXP_Crocodile&lt;/li&gt;</v>
      </c>
      <c r="K37" s="16" t="str">
        <f>Animals!$C$48</f>
        <v>&lt;li&gt;Toxalope&lt;/li&gt;</v>
      </c>
      <c r="L37" t="str">
        <f>Animals!$C$181</f>
        <v>&lt;li&gt;AEXP_AfricanWildDog&lt;/li&gt;</v>
      </c>
      <c r="M37" s="16" t="str">
        <f>Animals!$C$213</f>
        <v>&lt;li&gt;AA_Aerofleet&lt;/li&gt;</v>
      </c>
      <c r="N37" s="16" t="str">
        <f>Animals!$C$314</f>
        <v>&lt;li&gt;AA_Radyak&lt;/li&gt;</v>
      </c>
      <c r="O37" s="16" t="str">
        <f>Animals!$C$204</f>
        <v>&lt;li&gt;VAEWaste_Toxiguana&lt;/li&gt;</v>
      </c>
      <c r="P37" t="str">
        <f>Animals!$C$91</f>
        <v>&lt;li&gt;Alligator&lt;/li&gt;</v>
      </c>
      <c r="Q37" t="str">
        <f>Animals!$C$61</f>
        <v>&lt;li&gt;WasteRat&lt;/li&gt;</v>
      </c>
      <c r="R37" s="16" t="str">
        <f>Animals!$C$340</f>
        <v>&lt;li&gt;AA_Thunderbeast&lt;/li&gt;</v>
      </c>
    </row>
    <row r="38" spans="4:18" s="16" customFormat="1" x14ac:dyDescent="0.25">
      <c r="D38" s="16" t="str">
        <f>Animals!$C$314</f>
        <v>&lt;li&gt;AA_Radyak&lt;/li&gt;</v>
      </c>
      <c r="E38" s="16" t="str">
        <f>Animals!$C$223</f>
        <v>&lt;li&gt;AA_ArcticLion&lt;/li&gt;</v>
      </c>
      <c r="F38" s="16" t="str">
        <f>Animals!$C$222</f>
        <v>&lt;li&gt;AA_AnimusVox&lt;/li&gt;</v>
      </c>
      <c r="G38" s="16" t="str">
        <f>Animals!$C$202</f>
        <v>&lt;li&gt;VAEWaste_Toxafox&lt;/li&gt;</v>
      </c>
      <c r="H38" s="16" t="str">
        <f>Animals!$C$101</f>
        <v>&lt;li&gt;StoneCrab&lt;/li&gt;</v>
      </c>
      <c r="I38" t="str">
        <f>Animals!$C$101</f>
        <v>&lt;li&gt;StoneCrab&lt;/li&gt;</v>
      </c>
      <c r="J38" s="16" t="str">
        <f>Animals!$C$61</f>
        <v>&lt;li&gt;WasteRat&lt;/li&gt;</v>
      </c>
      <c r="K38" s="16" t="str">
        <f>Animals!$C$177</f>
        <v>&lt;li&gt;AEXP_Quagga&lt;/li&gt;</v>
      </c>
      <c r="L38" s="16" t="str">
        <f>Animals!$C$182</f>
        <v>&lt;li&gt;AEXP_Pangolin&lt;/li&gt;</v>
      </c>
      <c r="M38" s="16" t="str">
        <f>Animals!$C$218</f>
        <v>&lt;li&gt;AA_AngelMoth&lt;/li&gt;</v>
      </c>
      <c r="N38" s="16" t="str">
        <f>Animals!$C$324</f>
        <v>&lt;li&gt;AA_SandLion&lt;/li&gt;</v>
      </c>
      <c r="O38" t="str">
        <f>Animals!$C$206</f>
        <v>&lt;li&gt;VAEWaste_Toxscorpion&lt;/li&gt;</v>
      </c>
      <c r="P38" t="str">
        <f>Animals!$C$61</f>
        <v>&lt;li&gt;WasteRat&lt;/li&gt;</v>
      </c>
      <c r="Q38" s="16" t="str">
        <f>Animals!$C$48</f>
        <v>&lt;li&gt;Toxalope&lt;/li&gt;</v>
      </c>
      <c r="R38" s="16" t="str">
        <f>Animals!$C$345</f>
        <v>&lt;li&gt;AA_WindBeast&lt;/li&gt;</v>
      </c>
    </row>
    <row r="39" spans="4:18" s="16" customFormat="1" x14ac:dyDescent="0.25">
      <c r="D39" s="16" t="str">
        <f>Animals!$C$347</f>
        <v>&lt;li&gt;Yutyrannus&lt;/li&gt;</v>
      </c>
      <c r="E39" s="16" t="str">
        <f>Animals!$C$230</f>
        <v>&lt;li&gt;AA_FrostboundBehemoth&lt;/li&gt;</v>
      </c>
      <c r="F39" s="16" t="str">
        <f>Animals!$C$223</f>
        <v>&lt;li&gt;AA_ArcticLion&lt;/li&gt;</v>
      </c>
      <c r="G39" s="16" t="str">
        <f>Animals!$C$203</f>
        <v>&lt;li&gt;VAEWaste_Toxbear&lt;/li&gt;</v>
      </c>
      <c r="H39" s="16" t="str">
        <f>Animals!$C$61</f>
        <v>&lt;li&gt;WasteRat&lt;/li&gt;</v>
      </c>
      <c r="I39" t="str">
        <f>Animals!$C$76</f>
        <v>&lt;li&gt;Bullfrog&lt;/li&gt;</v>
      </c>
      <c r="J39" t="str">
        <f>Animals!$C$48</f>
        <v>&lt;li&gt;Toxalope&lt;/li&gt;</v>
      </c>
      <c r="K39" t="str">
        <f>Animals!$C$174</f>
        <v>&lt;li&gt;AEXP_BlackRhino&lt;/li&gt;</v>
      </c>
      <c r="L39" t="str">
        <f>Animals!$C$180</f>
        <v>&lt;li&gt;AEXP_Thylacine&lt;/li&gt;</v>
      </c>
      <c r="M39" s="16" t="str">
        <f>Animals!$C$219</f>
        <v>&lt;li&gt;AA_AngelMothLarva&lt;/li&gt;</v>
      </c>
      <c r="N39" s="16" t="str">
        <f>Animals!$C$325</f>
        <v>&lt;li&gt;AA_SandProwler&lt;/li&gt;</v>
      </c>
      <c r="O39" t="str">
        <f>Animals!$C$207</f>
        <v>&lt;li&gt;VAEWaste_Wasteboar&lt;/li&gt;</v>
      </c>
      <c r="P39" t="str">
        <f>Animals!$C$48</f>
        <v>&lt;li&gt;Toxalope&lt;/li&gt;</v>
      </c>
      <c r="Q39" s="16" t="str">
        <f>Animals!$C$175</f>
        <v>&lt;li&gt;AEXP_Bonobo&lt;/li&gt;</v>
      </c>
      <c r="R39" s="16" t="str">
        <f>Animals!$C$255</f>
        <v>&lt;li&gt;AA_Drainer&lt;/li&gt;</v>
      </c>
    </row>
    <row r="40" spans="4:18" x14ac:dyDescent="0.25">
      <c r="E40" s="16" t="str">
        <f>Animals!$C$234</f>
        <v>&lt;li&gt;AA_Blizzarisk&lt;/li&gt;</v>
      </c>
      <c r="F40" s="16" t="str">
        <f>Animals!$C$230</f>
        <v>&lt;li&gt;AA_FrostboundBehemoth&lt;/li&gt;</v>
      </c>
      <c r="G40" t="str">
        <f>Animals!$C$207</f>
        <v>&lt;li&gt;VAEWaste_Wasteboar&lt;/li&gt;</v>
      </c>
      <c r="H40" s="16" t="str">
        <f>Animals!$C$48</f>
        <v>&lt;li&gt;Toxalope&lt;/li&gt;</v>
      </c>
      <c r="I40" t="str">
        <f>Animals!$C$118</f>
        <v>&lt;li&gt;AEXP_Platypus&lt;/li&gt;</v>
      </c>
      <c r="J40" t="str">
        <f>Animals!$C$177</f>
        <v>&lt;li&gt;AEXP_Quagga&lt;/li&gt;</v>
      </c>
      <c r="K40" t="str">
        <f>Animals!$C$181</f>
        <v>&lt;li&gt;AEXP_AfricanWildDog&lt;/li&gt;</v>
      </c>
      <c r="L40" t="str">
        <f>Animals!$C$173</f>
        <v>&lt;li&gt;AEXP_BlackFootedFerret&lt;/li&gt;</v>
      </c>
      <c r="M40" s="16" t="str">
        <f>Animals!$C$225</f>
        <v>&lt;li&gt;AA_LarvalAtispec&lt;/li&gt;</v>
      </c>
      <c r="N40" s="16" t="str">
        <f>Animals!$C$326</f>
        <v>&lt;li&gt;AA_SandSquid&lt;/li&gt;</v>
      </c>
      <c r="O40" s="16" t="str">
        <f>Animals!$C$210</f>
        <v>&lt;li&gt;AA_AcanthamoebaGiganteaSmall&lt;/li&gt;</v>
      </c>
      <c r="P40" t="str">
        <f>Animals!$C$175</f>
        <v>&lt;li&gt;AEXP_Bonobo&lt;/li&gt;</v>
      </c>
      <c r="Q40" t="str">
        <f>Animals!$C$200</f>
        <v>&lt;li&gt;VAEWaste_Megatardi&lt;/li&gt;</v>
      </c>
      <c r="R40" s="16" t="str">
        <f>Animals!$C$256</f>
        <v>&lt;li&gt;AA_DrainerLarva&lt;/li&gt;</v>
      </c>
    </row>
    <row r="41" spans="4:18" x14ac:dyDescent="0.25">
      <c r="E41" s="16" t="str">
        <f>Animals!$C$238</f>
        <v>&lt;li&gt;AA_BoulderMit&lt;/li&gt;</v>
      </c>
      <c r="F41" s="16" t="str">
        <f>Animals!$C$234</f>
        <v>&lt;li&gt;AA_Blizzarisk&lt;/li&gt;</v>
      </c>
      <c r="G41" t="str">
        <f>Animals!$C$208</f>
        <v>&lt;li&gt;VAEWaste_Wastedeer&lt;/li&gt;</v>
      </c>
      <c r="H41" s="16" t="str">
        <f>Animals!$C$176</f>
        <v>&lt;li&gt;AEXP_Moa&lt;/li&gt;</v>
      </c>
      <c r="I41" s="16" t="str">
        <f>Animals!$C$10</f>
        <v>&lt;li&gt;Duck&lt;/li&gt;</v>
      </c>
      <c r="J41" t="str">
        <f>Animals!$C$174</f>
        <v>&lt;li&gt;AEXP_BlackRhino&lt;/li&gt;</v>
      </c>
      <c r="K41" s="16" t="str">
        <f>Animals!$C$182</f>
        <v>&lt;li&gt;AEXP_Pangolin&lt;/li&gt;</v>
      </c>
      <c r="L41" t="str">
        <f>Animals!$C$200</f>
        <v>&lt;li&gt;VAEWaste_Megatardi&lt;/li&gt;</v>
      </c>
      <c r="M41" s="16" t="str">
        <f>Animals!$C$227</f>
        <v>&lt;li&gt;AA_Barbslinger&lt;/li&gt;</v>
      </c>
      <c r="N41" s="16" t="str">
        <f>Animals!$C$334</f>
        <v>&lt;li&gt;AA_Swarmling&lt;/li&gt;</v>
      </c>
      <c r="O41" s="16" t="str">
        <f>Animals!$C$213</f>
        <v>&lt;li&gt;AA_Aerofleet&lt;/li&gt;</v>
      </c>
      <c r="P41" t="str">
        <f>Animals!$C$200</f>
        <v>&lt;li&gt;VAEWaste_Megatardi&lt;/li&gt;</v>
      </c>
      <c r="Q41" t="str">
        <f>Animals!$C$199</f>
        <v>&lt;li&gt;VAEWaste_Hydra&lt;/li&gt;</v>
      </c>
      <c r="R41" s="16" t="str">
        <f>Animals!$C$261</f>
        <v>&lt;li&gt;AA_EmpressButterfly&lt;/li&gt;</v>
      </c>
    </row>
    <row r="42" spans="4:18" x14ac:dyDescent="0.25">
      <c r="E42" s="16" t="str">
        <f>Animals!$C$243</f>
        <v>&lt;li&gt;AA_ChameleonYak&lt;/li&gt;</v>
      </c>
      <c r="F42" s="16" t="str">
        <f>Animals!$C$238</f>
        <v>&lt;li&gt;AA_BoulderMit&lt;/li&gt;</v>
      </c>
      <c r="G42" t="str">
        <f>Animals!$C$209</f>
        <v>&lt;li&gt;VAEWaste_Wasteffalo&lt;/li&gt;</v>
      </c>
      <c r="H42" s="16" t="str">
        <f>Animals!$C$179</f>
        <v>&lt;li&gt;AEXP_TasmanianDevil&lt;/li&gt;</v>
      </c>
      <c r="I42" t="str">
        <f>Animals!$C$68</f>
        <v>&lt;li&gt;Swan&lt;/li&gt;</v>
      </c>
      <c r="J42" t="str">
        <f>Animals!$C$181</f>
        <v>&lt;li&gt;AEXP_AfricanWildDog&lt;/li&gt;</v>
      </c>
      <c r="K42" t="str">
        <f>Animals!$C$180</f>
        <v>&lt;li&gt;AEXP_Thylacine&lt;/li&gt;</v>
      </c>
      <c r="L42" t="str">
        <f>Animals!$C$199</f>
        <v>&lt;li&gt;VAEWaste_Hydra&lt;/li&gt;</v>
      </c>
      <c r="M42" s="16" t="str">
        <f>Animals!$C$228</f>
        <v>&lt;li&gt;AA_BedBug&lt;/li&gt;</v>
      </c>
      <c r="N42" s="16" t="str">
        <f>Animals!$C$335</f>
        <v>&lt;li&gt;AA_TarGuzzler&lt;/li&gt;</v>
      </c>
      <c r="O42" s="16" t="str">
        <f>Animals!$C$218</f>
        <v>&lt;li&gt;AA_AngelMoth&lt;/li&gt;</v>
      </c>
      <c r="P42" t="str">
        <f>Animals!$C$199</f>
        <v>&lt;li&gt;VAEWaste_Hydra&lt;/li&gt;</v>
      </c>
      <c r="Q42" t="str">
        <f>Animals!$C$201</f>
        <v>&lt;li&gt;VAEWaste_Pestigator&lt;/li&gt;</v>
      </c>
      <c r="R42" s="16" t="str">
        <f>Animals!$C$262</f>
        <v>&lt;li&gt;AA_EmpressButterflyLarva&lt;/li&gt;</v>
      </c>
    </row>
    <row r="43" spans="4:18" x14ac:dyDescent="0.25">
      <c r="E43" s="16" t="str">
        <f>Animals!$C$249</f>
        <v>&lt;li&gt;AA_CrystalMit&lt;/li&gt;</v>
      </c>
      <c r="F43" s="16" t="str">
        <f>Animals!$C$243</f>
        <v>&lt;li&gt;AA_ChameleonYak&lt;/li&gt;</v>
      </c>
      <c r="G43" s="16" t="str">
        <f>Animals!$C$220</f>
        <v>&lt;li&gt;AA_AnimaColossus&lt;/li&gt;</v>
      </c>
      <c r="H43" s="16" t="str">
        <f>Animals!$C$180</f>
        <v>&lt;li&gt;AEXP_Thylacine&lt;/li&gt;</v>
      </c>
      <c r="I43" t="str">
        <f>Animals!$C$69</f>
        <v>&lt;li&gt;Heron&lt;/li&gt;</v>
      </c>
      <c r="J43" s="16" t="str">
        <f>Animals!$C$182</f>
        <v>&lt;li&gt;AEXP_Pangolin&lt;/li&gt;</v>
      </c>
      <c r="K43" t="str">
        <f>Animals!$C$173</f>
        <v>&lt;li&gt;AEXP_BlackFootedFerret&lt;/li&gt;</v>
      </c>
      <c r="L43" t="str">
        <f>Animals!$C$205</f>
        <v>&lt;li&gt;VAEWaste_Toxlion&lt;/li&gt;</v>
      </c>
      <c r="M43" s="16" t="str">
        <f>Animals!$C$236</f>
        <v>&lt;li&gt;AA_BloodShrimp&lt;/li&gt;</v>
      </c>
      <c r="N43" s="16" t="str">
        <f>Animals!$C$337</f>
        <v>&lt;li&gt;AA_Terramorph&lt;/li&gt;</v>
      </c>
      <c r="O43" s="16" t="str">
        <f>Animals!$C$219</f>
        <v>&lt;li&gt;AA_AngelMothLarva&lt;/li&gt;</v>
      </c>
      <c r="P43" t="str">
        <f>Animals!$C$201</f>
        <v>&lt;li&gt;VAEWaste_Pestigator&lt;/li&gt;</v>
      </c>
      <c r="Q43" t="str">
        <f>Animals!$C$206</f>
        <v>&lt;li&gt;VAEWaste_Toxscorpion&lt;/li&gt;</v>
      </c>
      <c r="R43" s="16" t="str">
        <f>Animals!$C$269</f>
        <v>&lt;li&gt;AA_FissionMouse&lt;/li&gt;</v>
      </c>
    </row>
    <row r="44" spans="4:18" x14ac:dyDescent="0.25">
      <c r="E44" s="16" t="str">
        <f>Animals!$C$250</f>
        <v>&lt;li&gt;AA_Darkbeast&lt;/li&gt;</v>
      </c>
      <c r="F44" s="16" t="str">
        <f>Animals!$C$249</f>
        <v>&lt;li&gt;AA_CrystalMit&lt;/li&gt;</v>
      </c>
      <c r="G44" s="16" t="str">
        <f>Animals!$C$222</f>
        <v>&lt;li&gt;AA_AnimusVox&lt;/li&gt;</v>
      </c>
      <c r="H44" s="16" t="str">
        <f>Animals!$C$200</f>
        <v>&lt;li&gt;VAEWaste_Megatardi&lt;/li&gt;</v>
      </c>
      <c r="I44" t="str">
        <f>Animals!$C$130</f>
        <v>&lt;li&gt;AEXP_Beaver&lt;/li&gt;</v>
      </c>
      <c r="J44" t="str">
        <f>Animals!$C$180</f>
        <v>&lt;li&gt;AEXP_Thylacine&lt;/li&gt;</v>
      </c>
      <c r="K44" t="str">
        <f>Animals!$C$200</f>
        <v>&lt;li&gt;VAEWaste_Megatardi&lt;/li&gt;</v>
      </c>
      <c r="L44" t="str">
        <f>Animals!$C$206</f>
        <v>&lt;li&gt;VAEWaste_Toxscorpion&lt;/li&gt;</v>
      </c>
      <c r="M44" s="16" t="str">
        <f>Animals!$C$238</f>
        <v>&lt;li&gt;AA_BoulderMit&lt;/li&gt;</v>
      </c>
      <c r="O44" s="16" t="str">
        <f>Animals!$C$220</f>
        <v>&lt;li&gt;AA_AnimaColossus&lt;/li&gt;</v>
      </c>
      <c r="P44" t="str">
        <f>Animals!$C$204</f>
        <v>&lt;li&gt;VAEWaste_Toxiguana&lt;/li&gt;</v>
      </c>
      <c r="Q44" t="str">
        <f>Animals!$C$207</f>
        <v>&lt;li&gt;VAEWaste_Wasteboar&lt;/li&gt;</v>
      </c>
      <c r="R44" s="16" t="str">
        <f>Animals!$C$287</f>
        <v>&lt;li&gt;AA_Helixien&lt;/li&gt;</v>
      </c>
    </row>
    <row r="45" spans="4:18" x14ac:dyDescent="0.25">
      <c r="E45" s="16" t="str">
        <f>Animals!$C$340</f>
        <v>&lt;li&gt;AA_Thunderbeast&lt;/li&gt;</v>
      </c>
      <c r="F45" s="16" t="str">
        <f>Animals!$C$250</f>
        <v>&lt;li&gt;AA_Darkbeast&lt;/li&gt;</v>
      </c>
      <c r="G45" s="16" t="str">
        <f>Animals!$C$223</f>
        <v>&lt;li&gt;AA_ArcticLion&lt;/li&gt;</v>
      </c>
      <c r="H45" s="16" t="str">
        <f>Animals!$C$202</f>
        <v>&lt;li&gt;VAEWaste_Toxafox&lt;/li&gt;</v>
      </c>
      <c r="I45" t="str">
        <f>Animals!$C$85</f>
        <v>&lt;li&gt;Otter&lt;/li&gt;</v>
      </c>
      <c r="J45" t="str">
        <f>Animals!$C$173</f>
        <v>&lt;li&gt;AEXP_BlackFootedFerret&lt;/li&gt;</v>
      </c>
      <c r="K45" t="str">
        <f>Animals!$C$199</f>
        <v>&lt;li&gt;VAEWaste_Hydra&lt;/li&gt;</v>
      </c>
      <c r="L45" s="16" t="str">
        <f>Animals!$C$213</f>
        <v>&lt;li&gt;AA_Aerofleet&lt;/li&gt;</v>
      </c>
      <c r="M45" s="16" t="str">
        <f>Animals!$C$239</f>
        <v>&lt;li&gt;AA_Bumbledrone&lt;/li&gt;</v>
      </c>
      <c r="O45" s="16" t="str">
        <f>Animals!$C$228</f>
        <v>&lt;li&gt;AA_BedBug&lt;/li&gt;</v>
      </c>
      <c r="P45" t="str">
        <f>Animals!$C$206</f>
        <v>&lt;li&gt;VAEWaste_Toxscorpion&lt;/li&gt;</v>
      </c>
      <c r="Q45" t="str">
        <f>Animals!$C$210</f>
        <v>&lt;li&gt;AA_AcanthamoebaGiganteaSmall&lt;/li&gt;</v>
      </c>
      <c r="R45" s="16" t="str">
        <f>Animals!$C$314</f>
        <v>&lt;li&gt;AA_Radyak&lt;/li&gt;</v>
      </c>
    </row>
    <row r="46" spans="4:18" x14ac:dyDescent="0.25">
      <c r="E46" s="16" t="str">
        <f>Animals!$C$345</f>
        <v>&lt;li&gt;AA_WindBeast&lt;/li&gt;</v>
      </c>
      <c r="F46" s="16" t="str">
        <f>Animals!$C$340</f>
        <v>&lt;li&gt;AA_Thunderbeast&lt;/li&gt;</v>
      </c>
      <c r="G46" s="16" t="str">
        <f>Animals!$C$230</f>
        <v>&lt;li&gt;AA_FrostboundBehemoth&lt;/li&gt;</v>
      </c>
      <c r="H46" s="16" t="str">
        <f>Animals!$C$203</f>
        <v>&lt;li&gt;VAEWaste_Toxbear&lt;/li&gt;</v>
      </c>
      <c r="I46" t="str">
        <f>Animals!$C$129</f>
        <v>&lt;li&gt;AEXP_WildGoose&lt;/li&gt;</v>
      </c>
      <c r="J46" t="str">
        <f>Animals!$C$200</f>
        <v>&lt;li&gt;VAEWaste_Megatardi&lt;/li&gt;</v>
      </c>
      <c r="K46" t="str">
        <f>Animals!$C$205</f>
        <v>&lt;li&gt;VAEWaste_Toxlion&lt;/li&gt;</v>
      </c>
      <c r="L46" s="16" t="str">
        <f>Animals!$C$218</f>
        <v>&lt;li&gt;AA_AngelMoth&lt;/li&gt;</v>
      </c>
      <c r="M46" s="16" t="str">
        <f>Animals!$C$240</f>
        <v>&lt;li&gt;AA_BumbledroneHierophant&lt;/li&gt;</v>
      </c>
      <c r="O46" s="16" t="str">
        <f>Animals!$C$236</f>
        <v>&lt;li&gt;AA_BloodShrimp&lt;/li&gt;</v>
      </c>
      <c r="P46" t="str">
        <f>Animals!$C$207</f>
        <v>&lt;li&gt;VAEWaste_Wasteboar&lt;/li&gt;</v>
      </c>
      <c r="Q46" s="16" t="str">
        <f>Animals!$C$213</f>
        <v>&lt;li&gt;AA_Aerofleet&lt;/li&gt;</v>
      </c>
      <c r="R46" s="16" t="str">
        <f>Animals!$C$334</f>
        <v>&lt;li&gt;AA_Swarmling&lt;/li&gt;</v>
      </c>
    </row>
    <row r="47" spans="4:18" x14ac:dyDescent="0.25">
      <c r="E47" s="16" t="str">
        <f>Animals!$C$273</f>
        <v>&lt;li&gt;AA_FrostAve&lt;/li&gt;</v>
      </c>
      <c r="F47" s="16" t="str">
        <f>Animals!$C$345</f>
        <v>&lt;li&gt;AA_WindBeast&lt;/li&gt;</v>
      </c>
      <c r="G47" s="16" t="str">
        <f>Animals!$C$234</f>
        <v>&lt;li&gt;AA_Blizzarisk&lt;/li&gt;</v>
      </c>
      <c r="H47" s="16" t="str">
        <f>Animals!$C$207</f>
        <v>&lt;li&gt;VAEWaste_Wasteboar&lt;/li&gt;</v>
      </c>
      <c r="I47" t="str">
        <f>Animals!$C$91</f>
        <v>&lt;li&gt;Alligator&lt;/li&gt;</v>
      </c>
      <c r="J47" t="str">
        <f>Animals!$C$199</f>
        <v>&lt;li&gt;VAEWaste_Hydra&lt;/li&gt;</v>
      </c>
      <c r="K47" t="str">
        <f>Animals!$C$206</f>
        <v>&lt;li&gt;VAEWaste_Toxscorpion&lt;/li&gt;</v>
      </c>
      <c r="L47" s="16" t="str">
        <f>Animals!$C$219</f>
        <v>&lt;li&gt;AA_AngelMothLarva&lt;/li&gt;</v>
      </c>
      <c r="M47" s="16" t="str">
        <f>Animals!$C$242</f>
        <v>&lt;li&gt;AA_Cactipine&lt;/li&gt;</v>
      </c>
      <c r="O47" s="16" t="str">
        <f>Animals!$C$238</f>
        <v>&lt;li&gt;AA_BoulderMit&lt;/li&gt;</v>
      </c>
      <c r="P47" s="16" t="str">
        <f>Animals!$C$210</f>
        <v>&lt;li&gt;AA_AcanthamoebaGiganteaSmall&lt;/li&gt;</v>
      </c>
      <c r="Q47" s="16" t="str">
        <f>Animals!$C$216</f>
        <v>&lt;li&gt;AA_Agaripawn&lt;/li&gt;</v>
      </c>
      <c r="R47" s="16" t="str">
        <f>Animals!$C$335</f>
        <v>&lt;li&gt;AA_TarGuzzler&lt;/li&gt;</v>
      </c>
    </row>
    <row r="48" spans="4:18" x14ac:dyDescent="0.25">
      <c r="E48" s="16" t="str">
        <f>Animals!$C$274</f>
        <v>&lt;li&gt;AA_FrostLynx&lt;/li&gt;</v>
      </c>
      <c r="F48" s="16" t="str">
        <f>Animals!$C$269</f>
        <v>&lt;li&gt;AA_FissionMouse&lt;/li&gt;</v>
      </c>
      <c r="G48" s="16" t="str">
        <f>Animals!$C$238</f>
        <v>&lt;li&gt;AA_BoulderMit&lt;/li&gt;</v>
      </c>
      <c r="H48" s="16" t="str">
        <f>Animals!$C$208</f>
        <v>&lt;li&gt;VAEWaste_Wastedeer&lt;/li&gt;</v>
      </c>
      <c r="I48" t="str">
        <f>Animals!$C$61</f>
        <v>&lt;li&gt;WasteRat&lt;/li&gt;</v>
      </c>
      <c r="J48" s="16" t="str">
        <f>Animals!$C$205</f>
        <v>&lt;li&gt;VAEWaste_Toxlion&lt;/li&gt;</v>
      </c>
      <c r="K48" s="16" t="str">
        <f>Animals!$C$213</f>
        <v>&lt;li&gt;AA_Aerofleet&lt;/li&gt;</v>
      </c>
      <c r="L48" s="16" t="str">
        <f>Animals!$C$225</f>
        <v>&lt;li&gt;AA_LarvalAtispec&lt;/li&gt;</v>
      </c>
      <c r="M48" s="16" t="str">
        <f>Animals!$C$243</f>
        <v>&lt;li&gt;AA_ChameleonYak&lt;/li&gt;</v>
      </c>
      <c r="O48" s="16" t="str">
        <f>Animals!$C$239</f>
        <v>&lt;li&gt;AA_Bumbledrone&lt;/li&gt;</v>
      </c>
      <c r="P48" t="str">
        <f>Animals!$C$213</f>
        <v>&lt;li&gt;AA_Aerofleet&lt;/li&gt;</v>
      </c>
      <c r="Q48" t="str">
        <f>Animals!$C$217</f>
        <v>&lt;li&gt;AA_Agaripod&lt;/li&gt;</v>
      </c>
      <c r="R48" s="16" t="str">
        <f>Animals!$C$336</f>
        <v>&lt;li&gt;AA_TeratogenicOriginator&lt;/li&gt;</v>
      </c>
    </row>
    <row r="49" spans="5:18" x14ac:dyDescent="0.25">
      <c r="E49" s="16" t="str">
        <f>Animals!$C$275</f>
        <v>&lt;li&gt;AA_Frostling&lt;/li&gt;</v>
      </c>
      <c r="F49" s="16" t="str">
        <f>Animals!$C$273</f>
        <v>&lt;li&gt;AA_FrostAve&lt;/li&gt;</v>
      </c>
      <c r="G49" s="16" t="str">
        <f>Animals!$C$243</f>
        <v>&lt;li&gt;AA_ChameleonYak&lt;/li&gt;</v>
      </c>
      <c r="H49" s="16" t="str">
        <f>Animals!$C$209</f>
        <v>&lt;li&gt;VAEWaste_Wasteffalo&lt;/li&gt;</v>
      </c>
      <c r="I49" t="str">
        <f>Animals!$C$48</f>
        <v>&lt;li&gt;Toxalope&lt;/li&gt;</v>
      </c>
      <c r="J49" t="str">
        <f>Animals!$C$206</f>
        <v>&lt;li&gt;VAEWaste_Toxscorpion&lt;/li&gt;</v>
      </c>
      <c r="K49" s="16" t="str">
        <f>Animals!$C$218</f>
        <v>&lt;li&gt;AA_AngelMoth&lt;/li&gt;</v>
      </c>
      <c r="L49" s="16" t="str">
        <f>Animals!$C$228</f>
        <v>&lt;li&gt;AA_BedBug&lt;/li&gt;</v>
      </c>
      <c r="M49" s="16" t="str">
        <f>Animals!$C$248</f>
        <v>&lt;li&gt;AA_CrystallineCaracal&lt;/li&gt;</v>
      </c>
      <c r="O49" s="16" t="str">
        <f>Animals!$C$240</f>
        <v>&lt;li&gt;AA_BumbledroneHierophant&lt;/li&gt;</v>
      </c>
      <c r="P49" s="16" t="str">
        <f>Animals!$C$218</f>
        <v>&lt;li&gt;AA_AngelMoth&lt;/li&gt;</v>
      </c>
      <c r="Q49" s="16" t="str">
        <f>Animals!$C$218</f>
        <v>&lt;li&gt;AA_AngelMoth&lt;/li&gt;</v>
      </c>
      <c r="R49" s="16" t="str">
        <f>Animals!$C$337</f>
        <v>&lt;li&gt;AA_Terramorph&lt;/li&gt;</v>
      </c>
    </row>
    <row r="50" spans="5:18" x14ac:dyDescent="0.25">
      <c r="E50" s="16" t="str">
        <f>Animals!$C$276</f>
        <v>&lt;li&gt;AA_Frostmite&lt;/li&gt;</v>
      </c>
      <c r="F50" s="16" t="str">
        <f>Animals!$C$274</f>
        <v>&lt;li&gt;AA_FrostLynx&lt;/li&gt;</v>
      </c>
      <c r="G50" s="16" t="str">
        <f>Animals!$C$249</f>
        <v>&lt;li&gt;AA_CrystalMit&lt;/li&gt;</v>
      </c>
      <c r="H50" s="16" t="str">
        <f>Animals!$C$213</f>
        <v>&lt;li&gt;AA_Aerofleet&lt;/li&gt;</v>
      </c>
      <c r="I50" t="str">
        <f>Animals!$C$176</f>
        <v>&lt;li&gt;AEXP_Moa&lt;/li&gt;</v>
      </c>
      <c r="J50" s="16" t="str">
        <f>Animals!$C$213</f>
        <v>&lt;li&gt;AA_Aerofleet&lt;/li&gt;</v>
      </c>
      <c r="K50" s="16" t="str">
        <f>Animals!$C$219</f>
        <v>&lt;li&gt;AA_AngelMothLarva&lt;/li&gt;</v>
      </c>
      <c r="L50" s="16" t="str">
        <f>Animals!$C$236</f>
        <v>&lt;li&gt;AA_BloodShrimp&lt;/li&gt;</v>
      </c>
      <c r="M50" s="16" t="str">
        <f>Animals!$C$249</f>
        <v>&lt;li&gt;AA_CrystalMit&lt;/li&gt;</v>
      </c>
      <c r="O50" s="16" t="str">
        <f>Animals!$C$243</f>
        <v>&lt;li&gt;AA_ChameleonYak&lt;/li&gt;</v>
      </c>
      <c r="P50" s="16" t="str">
        <f>Animals!$C$219</f>
        <v>&lt;li&gt;AA_AngelMothLarva&lt;/li&gt;</v>
      </c>
      <c r="Q50" s="16" t="str">
        <f>Animals!$C$219</f>
        <v>&lt;li&gt;AA_AngelMothLarva&lt;/li&gt;</v>
      </c>
    </row>
    <row r="51" spans="5:18" x14ac:dyDescent="0.25">
      <c r="E51" s="16" t="str">
        <f>Animals!$C$280</f>
        <v>&lt;li&gt;AA_Genix&lt;/li&gt;</v>
      </c>
      <c r="F51" s="16" t="str">
        <f>Animals!$C$275</f>
        <v>&lt;li&gt;AA_Frostling&lt;/li&gt;</v>
      </c>
      <c r="G51" s="16" t="str">
        <f>Animals!$C$250</f>
        <v>&lt;li&gt;AA_Darkbeast&lt;/li&gt;</v>
      </c>
      <c r="H51" s="16" t="str">
        <f>Animals!$C$218</f>
        <v>&lt;li&gt;AA_AngelMoth&lt;/li&gt;</v>
      </c>
      <c r="I51" t="str">
        <f>Animals!$C$179</f>
        <v>&lt;li&gt;AEXP_TasmanianDevil&lt;/li&gt;</v>
      </c>
      <c r="J51" s="16" t="str">
        <f>Animals!$C$218</f>
        <v>&lt;li&gt;AA_AngelMoth&lt;/li&gt;</v>
      </c>
      <c r="K51" s="16" t="str">
        <f>Animals!$C$225</f>
        <v>&lt;li&gt;AA_LarvalAtispec&lt;/li&gt;</v>
      </c>
      <c r="L51" s="16" t="str">
        <f>Animals!$C$238</f>
        <v>&lt;li&gt;AA_BoulderMit&lt;/li&gt;</v>
      </c>
      <c r="M51" s="16" t="str">
        <f>Animals!$C$250</f>
        <v>&lt;li&gt;AA_Darkbeast&lt;/li&gt;</v>
      </c>
      <c r="O51" s="16" t="str">
        <f>Animals!$C$247</f>
        <v>&lt;li&gt;AA_CrescendoAnole&lt;/li&gt;</v>
      </c>
      <c r="P51" s="16" t="str">
        <f>Animals!$C$220</f>
        <v>&lt;li&gt;AA_AnimaColossus&lt;/li&gt;</v>
      </c>
      <c r="Q51" s="16" t="str">
        <f>Animals!$C$220</f>
        <v>&lt;li&gt;AA_AnimaColossus&lt;/li&gt;</v>
      </c>
    </row>
    <row r="52" spans="5:18" x14ac:dyDescent="0.25">
      <c r="E52" s="16" t="str">
        <f>Animals!$C$310</f>
        <v>&lt;li&gt;AA_PebbleMit&lt;/li&gt;</v>
      </c>
      <c r="F52" s="16" t="str">
        <f>Animals!$C$276</f>
        <v>&lt;li&gt;AA_Frostmite&lt;/li&gt;</v>
      </c>
      <c r="G52" s="16" t="str">
        <f>Animals!$C$340</f>
        <v>&lt;li&gt;AA_Thunderbeast&lt;/li&gt;</v>
      </c>
      <c r="H52" s="16" t="str">
        <f>Animals!$C$219</f>
        <v>&lt;li&gt;AA_AngelMothLarva&lt;/li&gt;</v>
      </c>
      <c r="I52" t="str">
        <f>Animals!$C$180</f>
        <v>&lt;li&gt;AEXP_Thylacine&lt;/li&gt;</v>
      </c>
      <c r="J52" s="16" t="str">
        <f>Animals!$C$219</f>
        <v>&lt;li&gt;AA_AngelMothLarva&lt;/li&gt;</v>
      </c>
      <c r="K52" s="16" t="str">
        <f>Animals!$C$228</f>
        <v>&lt;li&gt;AA_BedBug&lt;/li&gt;</v>
      </c>
      <c r="L52" s="16" t="str">
        <f>Animals!$C$239</f>
        <v>&lt;li&gt;AA_Bumbledrone&lt;/li&gt;</v>
      </c>
      <c r="M52" s="16" t="str">
        <f>Animals!$C$340</f>
        <v>&lt;li&gt;AA_Thunderbeast&lt;/li&gt;</v>
      </c>
      <c r="O52" s="16" t="str">
        <f>Animals!$C$249</f>
        <v>&lt;li&gt;AA_CrystalMit&lt;/li&gt;</v>
      </c>
      <c r="P52" s="16" t="str">
        <f>Animals!$C$228</f>
        <v>&lt;li&gt;AA_BedBug&lt;/li&gt;</v>
      </c>
      <c r="Q52" s="16" t="str">
        <f>Animals!$C$228</f>
        <v>&lt;li&gt;AA_BedBug&lt;/li&gt;</v>
      </c>
    </row>
    <row r="53" spans="5:18" x14ac:dyDescent="0.25">
      <c r="E53" s="16" t="str">
        <f>Animals!$C$314</f>
        <v>&lt;li&gt;AA_Radyak&lt;/li&gt;</v>
      </c>
      <c r="F53" s="16" t="str">
        <f>Animals!$C$280</f>
        <v>&lt;li&gt;AA_Genix&lt;/li&gt;</v>
      </c>
      <c r="G53" s="16" t="str">
        <f>Animals!$C$345</f>
        <v>&lt;li&gt;AA_WindBeast&lt;/li&gt;</v>
      </c>
      <c r="H53" s="16" t="str">
        <f>Animals!$C$220</f>
        <v>&lt;li&gt;AA_AnimaColossus&lt;/li&gt;</v>
      </c>
      <c r="I53" t="str">
        <f>Animals!$C$200</f>
        <v>&lt;li&gt;VAEWaste_Megatardi&lt;/li&gt;</v>
      </c>
      <c r="J53" s="16" t="str">
        <f>Animals!$C$225</f>
        <v>&lt;li&gt;AA_LarvalAtispec&lt;/li&gt;</v>
      </c>
      <c r="K53" s="16" t="str">
        <f>Animals!$C$236</f>
        <v>&lt;li&gt;AA_BloodShrimp&lt;/li&gt;</v>
      </c>
      <c r="L53" s="16" t="str">
        <f>Animals!$C$240</f>
        <v>&lt;li&gt;AA_BumbledroneHierophant&lt;/li&gt;</v>
      </c>
      <c r="M53" s="16" t="str">
        <f>Animals!$C$345</f>
        <v>&lt;li&gt;AA_WindBeast&lt;/li&gt;</v>
      </c>
      <c r="O53" s="16" t="str">
        <f>Animals!$C$250</f>
        <v>&lt;li&gt;AA_Darkbeast&lt;/li&gt;</v>
      </c>
      <c r="P53" s="16" t="str">
        <f>Animals!$C$236</f>
        <v>&lt;li&gt;AA_BloodShrimp&lt;/li&gt;</v>
      </c>
      <c r="Q53" s="16" t="str">
        <f>Animals!$C$236</f>
        <v>&lt;li&gt;AA_BloodShrimp&lt;/li&gt;</v>
      </c>
    </row>
    <row r="54" spans="5:18" x14ac:dyDescent="0.25">
      <c r="E54" s="16" t="str">
        <f>Animals!$C$347</f>
        <v>&lt;li&gt;Yutyrannus&lt;/li&gt;</v>
      </c>
      <c r="F54" s="16" t="str">
        <f>Animals!$C$309</f>
        <v>&lt;li&gt;AA_OvergrownColossus&lt;/li&gt;</v>
      </c>
      <c r="G54" s="16" t="str">
        <f>Animals!$C$269</f>
        <v>&lt;li&gt;AA_FissionMouse&lt;/li&gt;</v>
      </c>
      <c r="H54" s="16" t="str">
        <f>Animals!$C$222</f>
        <v>&lt;li&gt;AA_AnimusVox&lt;/li&gt;</v>
      </c>
      <c r="I54" t="str">
        <f>Animals!$C$201</f>
        <v>&lt;li&gt;VAEWaste_Pestigator&lt;/li&gt;</v>
      </c>
      <c r="J54" s="16" t="str">
        <f>Animals!$C$228</f>
        <v>&lt;li&gt;AA_BedBug&lt;/li&gt;</v>
      </c>
      <c r="K54" s="16" t="str">
        <f>Animals!$C$238</f>
        <v>&lt;li&gt;AA_BoulderMit&lt;/li&gt;</v>
      </c>
      <c r="L54" s="16" t="str">
        <f>Animals!$C$242</f>
        <v>&lt;li&gt;AA_Cactipine&lt;/li&gt;</v>
      </c>
      <c r="M54" s="16" t="str">
        <f>Animals!$C$253</f>
        <v>&lt;li&gt;AA_DesertAve&lt;/li&gt;</v>
      </c>
      <c r="O54" s="16" t="str">
        <f>Animals!$C$340</f>
        <v>&lt;li&gt;AA_Thunderbeast&lt;/li&gt;</v>
      </c>
      <c r="P54" s="16" t="str">
        <f>Animals!$C$238</f>
        <v>&lt;li&gt;AA_BoulderMit&lt;/li&gt;</v>
      </c>
      <c r="Q54" s="16" t="str">
        <f>Animals!$C$238</f>
        <v>&lt;li&gt;AA_BoulderMit&lt;/li&gt;</v>
      </c>
    </row>
    <row r="55" spans="5:18" x14ac:dyDescent="0.25">
      <c r="F55" s="16" t="str">
        <f>Animals!$C$310</f>
        <v>&lt;li&gt;AA_PebbleMit&lt;/li&gt;</v>
      </c>
      <c r="G55" s="16" t="str">
        <f>Animals!$C$273</f>
        <v>&lt;li&gt;AA_FrostAve&lt;/li&gt;</v>
      </c>
      <c r="H55" s="16" t="str">
        <f>Animals!$C$228</f>
        <v>&lt;li&gt;AA_BedBug&lt;/li&gt;</v>
      </c>
      <c r="I55" t="str">
        <f>Animals!$C$202</f>
        <v>&lt;li&gt;VAEWaste_Toxafox&lt;/li&gt;</v>
      </c>
      <c r="J55" s="16" t="str">
        <f>Animals!$C$236</f>
        <v>&lt;li&gt;AA_BloodShrimp&lt;/li&gt;</v>
      </c>
      <c r="K55" s="16" t="str">
        <f>Animals!$C$239</f>
        <v>&lt;li&gt;AA_Bumbledrone&lt;/li&gt;</v>
      </c>
      <c r="L55" s="16" t="str">
        <f>Animals!$C$243</f>
        <v>&lt;li&gt;AA_ChameleonYak&lt;/li&gt;</v>
      </c>
      <c r="M55" s="16" t="str">
        <f>Animals!$C$255</f>
        <v>&lt;li&gt;AA_Drainer&lt;/li&gt;</v>
      </c>
      <c r="O55" s="16" t="str">
        <f>Animals!$C$345</f>
        <v>&lt;li&gt;AA_WindBeast&lt;/li&gt;</v>
      </c>
      <c r="P55" s="16" t="str">
        <f>Animals!$C$239</f>
        <v>&lt;li&gt;AA_Bumbledrone&lt;/li&gt;</v>
      </c>
      <c r="Q55" s="16" t="str">
        <f>Animals!$C$239</f>
        <v>&lt;li&gt;AA_Bumbledrone&lt;/li&gt;</v>
      </c>
    </row>
    <row r="56" spans="5:18" x14ac:dyDescent="0.25">
      <c r="F56" s="16" t="str">
        <f>Animals!$C$314</f>
        <v>&lt;li&gt;AA_Radyak&lt;/li&gt;</v>
      </c>
      <c r="G56" s="16" t="str">
        <f>Animals!$C$274</f>
        <v>&lt;li&gt;AA_FrostLynx&lt;/li&gt;</v>
      </c>
      <c r="H56" s="16" t="str">
        <f>Animals!$C$238</f>
        <v>&lt;li&gt;AA_BoulderMit&lt;/li&gt;</v>
      </c>
      <c r="I56" t="str">
        <f>Animals!$C$203</f>
        <v>&lt;li&gt;VAEWaste_Toxbear&lt;/li&gt;</v>
      </c>
      <c r="J56" s="16" t="str">
        <f>Animals!$C$238</f>
        <v>&lt;li&gt;AA_BoulderMit&lt;/li&gt;</v>
      </c>
      <c r="K56" s="16" t="str">
        <f>Animals!$C$240</f>
        <v>&lt;li&gt;AA_BumbledroneHierophant&lt;/li&gt;</v>
      </c>
      <c r="L56" s="16" t="str">
        <f>Animals!$C$244</f>
        <v>&lt;li&gt;AA_ChemfuelMyrmidon&lt;/li&gt;</v>
      </c>
      <c r="M56" s="16" t="str">
        <f>Animals!$C$256</f>
        <v>&lt;li&gt;AA_DrainerLarva&lt;/li&gt;</v>
      </c>
      <c r="O56" s="16" t="str">
        <f>Animals!$C$252</f>
        <v>&lt;li&gt;AA_DecayDrake&lt;/li&gt;</v>
      </c>
      <c r="P56" s="16" t="str">
        <f>Animals!$C$240</f>
        <v>&lt;li&gt;AA_BumbledroneHierophant&lt;/li&gt;</v>
      </c>
      <c r="Q56" s="16" t="str">
        <f>Animals!$C$240</f>
        <v>&lt;li&gt;AA_BumbledroneHierophant&lt;/li&gt;</v>
      </c>
    </row>
    <row r="57" spans="5:18" x14ac:dyDescent="0.25">
      <c r="F57" s="16" t="str">
        <f>Animals!$C$347</f>
        <v>&lt;li&gt;Yutyrannus&lt;/li&gt;</v>
      </c>
      <c r="G57" s="16" t="str">
        <f>Animals!$C$275</f>
        <v>&lt;li&gt;AA_Frostling&lt;/li&gt;</v>
      </c>
      <c r="H57" s="16" t="str">
        <f>Animals!$C$239</f>
        <v>&lt;li&gt;AA_Bumbledrone&lt;/li&gt;</v>
      </c>
      <c r="I57" t="str">
        <f>Animals!$C$207</f>
        <v>&lt;li&gt;VAEWaste_Wasteboar&lt;/li&gt;</v>
      </c>
      <c r="J57" s="16" t="str">
        <f>Animals!$C$239</f>
        <v>&lt;li&gt;AA_Bumbledrone&lt;/li&gt;</v>
      </c>
      <c r="K57" s="16" t="str">
        <f>Animals!$C$242</f>
        <v>&lt;li&gt;AA_Cactipine&lt;/li&gt;</v>
      </c>
      <c r="L57" s="16" t="str">
        <f>Animals!$C$245</f>
        <v>&lt;li&gt;AA_Cinderlisk&lt;/li&gt;</v>
      </c>
      <c r="M57" s="16" t="str">
        <f>Animals!$C$257</f>
        <v>&lt;li&gt;AA_Dunealisk&lt;/li&gt;</v>
      </c>
      <c r="O57" s="16" t="str">
        <f>Animals!$C$255</f>
        <v>&lt;li&gt;AA_Drainer&lt;/li&gt;</v>
      </c>
      <c r="P57" s="16" t="str">
        <f>Animals!$C$243</f>
        <v>&lt;li&gt;AA_ChameleonYak&lt;/li&gt;</v>
      </c>
      <c r="Q57" s="16" t="str">
        <f>Animals!$C$243</f>
        <v>&lt;li&gt;AA_ChameleonYak&lt;/li&gt;</v>
      </c>
    </row>
    <row r="58" spans="5:18" x14ac:dyDescent="0.25">
      <c r="G58" s="16" t="str">
        <f>Animals!$C$276</f>
        <v>&lt;li&gt;AA_Frostmite&lt;/li&gt;</v>
      </c>
      <c r="H58" s="16" t="str">
        <f>Animals!$C$240</f>
        <v>&lt;li&gt;AA_BumbledroneHierophant&lt;/li&gt;</v>
      </c>
      <c r="I58" t="str">
        <f>Animals!$C$208</f>
        <v>&lt;li&gt;VAEWaste_Wastedeer&lt;/li&gt;</v>
      </c>
      <c r="J58" s="16" t="str">
        <f>Animals!$C$240</f>
        <v>&lt;li&gt;AA_BumbledroneHierophant&lt;/li&gt;</v>
      </c>
      <c r="K58" s="16" t="str">
        <f>Animals!$C$243</f>
        <v>&lt;li&gt;AA_ChameleonYak&lt;/li&gt;</v>
      </c>
      <c r="L58" s="16" t="str">
        <f>Animals!$C$248</f>
        <v>&lt;li&gt;AA_CrystallineCaracal&lt;/li&gt;</v>
      </c>
      <c r="M58" s="16" t="str">
        <f>Animals!$C$261</f>
        <v>&lt;li&gt;AA_EmpressButterfly&lt;/li&gt;</v>
      </c>
      <c r="O58" s="16" t="str">
        <f>Animals!$C$256</f>
        <v>&lt;li&gt;AA_DrainerLarva&lt;/li&gt;</v>
      </c>
      <c r="P58" s="16" t="str">
        <f>Animals!$C$247</f>
        <v>&lt;li&gt;AA_CrescendoAnole&lt;/li&gt;</v>
      </c>
      <c r="Q58" s="16" t="str">
        <f>Animals!$C$246</f>
        <v>&lt;li&gt;AA_CrepuscularBeetle&lt;/li&gt;</v>
      </c>
    </row>
    <row r="59" spans="5:18" x14ac:dyDescent="0.25">
      <c r="G59" s="16" t="str">
        <f>Animals!$C$280</f>
        <v>&lt;li&gt;AA_Genix&lt;/li&gt;</v>
      </c>
      <c r="H59" s="16" t="str">
        <f>Animals!$C$243</f>
        <v>&lt;li&gt;AA_ChameleonYak&lt;/li&gt;</v>
      </c>
      <c r="I59" t="str">
        <f>Animals!$C$209</f>
        <v>&lt;li&gt;VAEWaste_Wasteffalo&lt;/li&gt;</v>
      </c>
      <c r="J59" s="16" t="str">
        <f>Animals!$C$242</f>
        <v>&lt;li&gt;AA_Cactipine&lt;/li&gt;</v>
      </c>
      <c r="K59" s="16" t="str">
        <f>Animals!$C$248</f>
        <v>&lt;li&gt;AA_CrystallineCaracal&lt;/li&gt;</v>
      </c>
      <c r="L59" s="16" t="str">
        <f>Animals!$C$249</f>
        <v>&lt;li&gt;AA_CrystalMit&lt;/li&gt;</v>
      </c>
      <c r="M59" s="16" t="str">
        <f>Animals!$C$262</f>
        <v>&lt;li&gt;AA_EmpressButterflyLarva&lt;/li&gt;</v>
      </c>
      <c r="O59" s="16" t="str">
        <f>Animals!$C$261</f>
        <v>&lt;li&gt;AA_EmpressButterfly&lt;/li&gt;</v>
      </c>
      <c r="P59" s="16" t="str">
        <f>Animals!$C$249</f>
        <v>&lt;li&gt;AA_CrystalMit&lt;/li&gt;</v>
      </c>
      <c r="Q59" s="16" t="str">
        <f>Animals!$C$249</f>
        <v>&lt;li&gt;AA_CrystalMit&lt;/li&gt;</v>
      </c>
    </row>
    <row r="60" spans="5:18" x14ac:dyDescent="0.25">
      <c r="G60" s="16" t="str">
        <f>Animals!$C$309</f>
        <v>&lt;li&gt;AA_OvergrownColossus&lt;/li&gt;</v>
      </c>
      <c r="H60" s="16" t="str">
        <f>Animals!$C$249</f>
        <v>&lt;li&gt;AA_CrystalMit&lt;/li&gt;</v>
      </c>
      <c r="I60" s="16" t="str">
        <f>Animals!$C$213</f>
        <v>&lt;li&gt;AA_Aerofleet&lt;/li&gt;</v>
      </c>
      <c r="J60" s="16" t="str">
        <f>Animals!$C$243</f>
        <v>&lt;li&gt;AA_ChameleonYak&lt;/li&gt;</v>
      </c>
      <c r="K60" s="16" t="str">
        <f>Animals!$C$249</f>
        <v>&lt;li&gt;AA_CrystalMit&lt;/li&gt;</v>
      </c>
      <c r="L60" s="16" t="str">
        <f>Animals!$C$250</f>
        <v>&lt;li&gt;AA_Darkbeast&lt;/li&gt;</v>
      </c>
      <c r="M60" s="16" t="str">
        <f>Animals!$C$264</f>
        <v>&lt;li&gt;AA_Erin&lt;/li&gt;</v>
      </c>
      <c r="O60" s="16" t="str">
        <f>Animals!$C$262</f>
        <v>&lt;li&gt;AA_EmpressButterflyLarva&lt;/li&gt;</v>
      </c>
      <c r="P60" s="16" t="str">
        <f>Animals!$C$250</f>
        <v>&lt;li&gt;AA_Darkbeast&lt;/li&gt;</v>
      </c>
      <c r="Q60" s="16" t="str">
        <f>Animals!$C$250</f>
        <v>&lt;li&gt;AA_Darkbeast&lt;/li&gt;</v>
      </c>
    </row>
    <row r="61" spans="5:18" x14ac:dyDescent="0.25">
      <c r="G61" s="16" t="str">
        <f>Animals!$C$310</f>
        <v>&lt;li&gt;AA_PebbleMit&lt;/li&gt;</v>
      </c>
      <c r="H61" s="16" t="str">
        <f>Animals!$C$250</f>
        <v>&lt;li&gt;AA_Darkbeast&lt;/li&gt;</v>
      </c>
      <c r="I61" s="16" t="str">
        <f>Animals!$C$218</f>
        <v>&lt;li&gt;AA_AngelMoth&lt;/li&gt;</v>
      </c>
      <c r="J61" s="16" t="str">
        <f>Animals!$C$248</f>
        <v>&lt;li&gt;AA_CrystallineCaracal&lt;/li&gt;</v>
      </c>
      <c r="K61" s="16" t="str">
        <f>Animals!$C$250</f>
        <v>&lt;li&gt;AA_Darkbeast&lt;/li&gt;</v>
      </c>
      <c r="L61" s="16" t="str">
        <f>Animals!$C$340</f>
        <v>&lt;li&gt;AA_Thunderbeast&lt;/li&gt;</v>
      </c>
      <c r="M61" s="16" t="str">
        <f>Animals!$C$269</f>
        <v>&lt;li&gt;AA_FissionMouse&lt;/li&gt;</v>
      </c>
      <c r="O61" s="16" t="str">
        <f>Animals!$C$266</f>
        <v>&lt;li&gt;AA_Feralisk&lt;/li&gt;</v>
      </c>
      <c r="P61" s="16" t="str">
        <f>Animals!$C$340</f>
        <v>&lt;li&gt;AA_Thunderbeast&lt;/li&gt;</v>
      </c>
      <c r="Q61" s="16" t="str">
        <f>Animals!$C$340</f>
        <v>&lt;li&gt;AA_Thunderbeast&lt;/li&gt;</v>
      </c>
    </row>
    <row r="62" spans="5:18" x14ac:dyDescent="0.25">
      <c r="G62" s="16" t="str">
        <f>Animals!$C$314</f>
        <v>&lt;li&gt;AA_Radyak&lt;/li&gt;</v>
      </c>
      <c r="H62" s="16" t="str">
        <f>Animals!$C$340</f>
        <v>&lt;li&gt;AA_Thunderbeast&lt;/li&gt;</v>
      </c>
      <c r="I62" s="16" t="str">
        <f>Animals!$C$219</f>
        <v>&lt;li&gt;AA_AngelMothLarva&lt;/li&gt;</v>
      </c>
      <c r="J62" s="16" t="str">
        <f>Animals!$C$249</f>
        <v>&lt;li&gt;AA_CrystalMit&lt;/li&gt;</v>
      </c>
      <c r="K62" s="16" t="str">
        <f>Animals!$C$340</f>
        <v>&lt;li&gt;AA_Thunderbeast&lt;/li&gt;</v>
      </c>
      <c r="L62" s="16" t="str">
        <f>Animals!$C$345</f>
        <v>&lt;li&gt;AA_WindBeast&lt;/li&gt;</v>
      </c>
      <c r="M62" s="16" t="str">
        <f>Animals!$C$283</f>
        <v>&lt;li&gt;AA_GreatDevourer&lt;/li&gt;</v>
      </c>
      <c r="O62" s="16" t="str">
        <f>Animals!$C$269</f>
        <v>&lt;li&gt;AA_FissionMouse&lt;/li&gt;</v>
      </c>
      <c r="P62" s="16" t="str">
        <f>Animals!$C$345</f>
        <v>&lt;li&gt;AA_WindBeast&lt;/li&gt;</v>
      </c>
      <c r="Q62" s="16" t="str">
        <f>Animals!$C$345</f>
        <v>&lt;li&gt;AA_WindBeast&lt;/li&gt;</v>
      </c>
    </row>
    <row r="63" spans="5:18" x14ac:dyDescent="0.25">
      <c r="G63" s="16" t="str">
        <f>Animals!$C$347</f>
        <v>&lt;li&gt;Yutyrannus&lt;/li&gt;</v>
      </c>
      <c r="H63" s="16" t="str">
        <f>Animals!$C$345</f>
        <v>&lt;li&gt;AA_WindBeast&lt;/li&gt;</v>
      </c>
      <c r="I63" s="16" t="str">
        <f>Animals!$C$220</f>
        <v>&lt;li&gt;AA_AnimaColossus&lt;/li&gt;</v>
      </c>
      <c r="J63" s="16" t="str">
        <f>Animals!$C$250</f>
        <v>&lt;li&gt;AA_Darkbeast&lt;/li&gt;</v>
      </c>
      <c r="K63" s="16" t="str">
        <f>Animals!$C$345</f>
        <v>&lt;li&gt;AA_WindBeast&lt;/li&gt;</v>
      </c>
      <c r="L63" s="16" t="str">
        <f>Animals!$C$253</f>
        <v>&lt;li&gt;AA_DesertAve&lt;/li&gt;</v>
      </c>
      <c r="M63" s="16" t="str">
        <f>Animals!$C$293</f>
        <v>&lt;li&gt;AA_Mantrap&lt;/li&gt;</v>
      </c>
      <c r="O63" s="16" t="str">
        <f>Animals!$C$287</f>
        <v>&lt;li&gt;AA_Helixien&lt;/li&gt;</v>
      </c>
      <c r="P63" s="16" t="str">
        <f>Animals!$C$252</f>
        <v>&lt;li&gt;AA_DecayDrake&lt;/li&gt;</v>
      </c>
      <c r="Q63" s="16" t="str">
        <f>Animals!$C$251</f>
        <v>&lt;li&gt;AA_DarkVandal&lt;/li&gt;</v>
      </c>
    </row>
    <row r="64" spans="5:18" x14ac:dyDescent="0.25">
      <c r="H64" s="16" t="str">
        <f>Animals!$C$255</f>
        <v>&lt;li&gt;AA_Drainer&lt;/li&gt;</v>
      </c>
      <c r="I64" s="16" t="str">
        <f>Animals!$C$222</f>
        <v>&lt;li&gt;AA_AnimusVox&lt;/li&gt;</v>
      </c>
      <c r="J64" s="16" t="str">
        <f>Animals!$C$340</f>
        <v>&lt;li&gt;AA_Thunderbeast&lt;/li&gt;</v>
      </c>
      <c r="K64" s="16" t="str">
        <f>Animals!$C$255</f>
        <v>&lt;li&gt;AA_Drainer&lt;/li&gt;</v>
      </c>
      <c r="L64" s="16" t="str">
        <f>Animals!$C$255</f>
        <v>&lt;li&gt;AA_Drainer&lt;/li&gt;</v>
      </c>
      <c r="M64" s="16" t="str">
        <f>Animals!$C$301</f>
        <v>&lt;li&gt;AA_Needlepost&lt;/li&gt;</v>
      </c>
      <c r="O64" s="16" t="str">
        <f>Animals!$C$289</f>
        <v>&lt;li&gt;AA_Junglelisk&lt;/li&gt;</v>
      </c>
      <c r="P64" s="16" t="str">
        <f>Animals!$C$255</f>
        <v>&lt;li&gt;AA_Drainer&lt;/li&gt;</v>
      </c>
      <c r="Q64" s="16" t="str">
        <f>Animals!$C$252</f>
        <v>&lt;li&gt;AA_DecayDrake&lt;/li&gt;</v>
      </c>
    </row>
    <row r="65" spans="8:17" x14ac:dyDescent="0.25">
      <c r="H65" s="16" t="str">
        <f>Animals!$C$256</f>
        <v>&lt;li&gt;AA_DrainerLarva&lt;/li&gt;</v>
      </c>
      <c r="I65" s="16" t="str">
        <f>Animals!$C$228</f>
        <v>&lt;li&gt;AA_BedBug&lt;/li&gt;</v>
      </c>
      <c r="J65" s="16" t="str">
        <f>Animals!$C$345</f>
        <v>&lt;li&gt;AA_WindBeast&lt;/li&gt;</v>
      </c>
      <c r="K65" s="16" t="str">
        <f>Animals!$C$256</f>
        <v>&lt;li&gt;AA_DrainerLarva&lt;/li&gt;</v>
      </c>
      <c r="L65" s="16" t="str">
        <f>Animals!$C$256</f>
        <v>&lt;li&gt;AA_DrainerLarva&lt;/li&gt;</v>
      </c>
      <c r="M65" s="16" t="str">
        <f>Animals!$C$302</f>
        <v>&lt;li&gt;AA_Needleroll&lt;/li&gt;</v>
      </c>
      <c r="O65" s="16" t="str">
        <f>Animals!$C$290</f>
        <v>&lt;li&gt;AA_Lockjaw&lt;/li&gt;</v>
      </c>
      <c r="P65" s="16" t="str">
        <f>Animals!$C$256</f>
        <v>&lt;li&gt;AA_DrainerLarva&lt;/li&gt;</v>
      </c>
      <c r="Q65" s="16" t="str">
        <f>Animals!$C$255</f>
        <v>&lt;li&gt;AA_Drainer&lt;/li&gt;</v>
      </c>
    </row>
    <row r="66" spans="8:17" x14ac:dyDescent="0.25">
      <c r="H66" s="16" t="str">
        <f>Animals!$C$261</f>
        <v>&lt;li&gt;AA_EmpressButterfly&lt;/li&gt;</v>
      </c>
      <c r="I66" s="16" t="str">
        <f>Animals!$C$238</f>
        <v>&lt;li&gt;AA_BoulderMit&lt;/li&gt;</v>
      </c>
      <c r="J66" s="16" t="str">
        <f>Animals!$C$253</f>
        <v>&lt;li&gt;AA_DesertAve&lt;/li&gt;</v>
      </c>
      <c r="K66" s="16" t="str">
        <f>Animals!$C$257</f>
        <v>&lt;li&gt;AA_Dunealisk&lt;/li&gt;</v>
      </c>
      <c r="L66" s="16" t="str">
        <f>Animals!$C$261</f>
        <v>&lt;li&gt;AA_EmpressButterfly&lt;/li&gt;</v>
      </c>
      <c r="M66" s="16" t="str">
        <f>Animals!$C$310</f>
        <v>&lt;li&gt;AA_PebbleMit&lt;/li&gt;</v>
      </c>
      <c r="O66" s="16" t="str">
        <f>Animals!$C$309</f>
        <v>&lt;li&gt;AA_OvergrownColossus&lt;/li&gt;</v>
      </c>
      <c r="P66" s="16" t="str">
        <f>Animals!$C$261</f>
        <v>&lt;li&gt;AA_EmpressButterfly&lt;/li&gt;</v>
      </c>
      <c r="Q66" s="16" t="str">
        <f>Animals!$C$256</f>
        <v>&lt;li&gt;AA_DrainerLarva&lt;/li&gt;</v>
      </c>
    </row>
    <row r="67" spans="8:17" x14ac:dyDescent="0.25">
      <c r="H67" s="16" t="str">
        <f>Animals!$C$262</f>
        <v>&lt;li&gt;AA_EmpressButterflyLarva&lt;/li&gt;</v>
      </c>
      <c r="I67" s="16" t="str">
        <f>Animals!$C$239</f>
        <v>&lt;li&gt;AA_Bumbledrone&lt;/li&gt;</v>
      </c>
      <c r="J67" s="16" t="str">
        <f>Animals!$C$255</f>
        <v>&lt;li&gt;AA_Drainer&lt;/li&gt;</v>
      </c>
      <c r="K67" s="16" t="str">
        <f>Animals!$C$261</f>
        <v>&lt;li&gt;AA_EmpressButterfly&lt;/li&gt;</v>
      </c>
      <c r="L67" s="16" t="str">
        <f>Animals!$C$262</f>
        <v>&lt;li&gt;AA_EmpressButterflyLarva&lt;/li&gt;</v>
      </c>
      <c r="M67" s="16" t="str">
        <f>Animals!$C$314</f>
        <v>&lt;li&gt;AA_Radyak&lt;/li&gt;</v>
      </c>
      <c r="O67" s="16" t="str">
        <f>Animals!$C$310</f>
        <v>&lt;li&gt;AA_PebbleMit&lt;/li&gt;</v>
      </c>
      <c r="P67" s="16" t="str">
        <f>Animals!$C$262</f>
        <v>&lt;li&gt;AA_EmpressButterflyLarva&lt;/li&gt;</v>
      </c>
      <c r="Q67" s="16" t="str">
        <f>Animals!$C$259</f>
        <v>&lt;li&gt;AA_DuskProwler&lt;/li&gt;</v>
      </c>
    </row>
    <row r="68" spans="8:17" x14ac:dyDescent="0.25">
      <c r="H68" s="16" t="str">
        <f>Animals!$C$266</f>
        <v>&lt;li&gt;AA_Feralisk&lt;/li&gt;</v>
      </c>
      <c r="I68" s="16" t="str">
        <f>Animals!$C$240</f>
        <v>&lt;li&gt;AA_BumbledroneHierophant&lt;/li&gt;</v>
      </c>
      <c r="J68" s="16" t="str">
        <f>Animals!$C$256</f>
        <v>&lt;li&gt;AA_DrainerLarva&lt;/li&gt;</v>
      </c>
      <c r="K68" s="16" t="str">
        <f>Animals!$C$262</f>
        <v>&lt;li&gt;AA_EmpressButterflyLarva&lt;/li&gt;</v>
      </c>
      <c r="L68" s="16" t="str">
        <f>Animals!$C$264</f>
        <v>&lt;li&gt;AA_Erin&lt;/li&gt;</v>
      </c>
      <c r="M68" s="16" t="str">
        <f>Animals!$C$315</f>
        <v>&lt;li&gt;AA_RaptorShrimp&lt;/li&gt;</v>
      </c>
      <c r="O68" s="16" t="str">
        <f>Animals!$C$313</f>
        <v>&lt;li&gt;AA_Plasmorph&lt;/li&gt;</v>
      </c>
      <c r="P68" s="16" t="str">
        <f>Animals!$C$266</f>
        <v>&lt;li&gt;AA_Feralisk&lt;/li&gt;</v>
      </c>
      <c r="Q68" s="16" t="str">
        <f>Animals!$C$260</f>
        <v>&lt;li&gt;AA_DuskRat&lt;/li&gt;</v>
      </c>
    </row>
    <row r="69" spans="8:17" x14ac:dyDescent="0.25">
      <c r="H69" s="16" t="str">
        <f>Animals!$C$269</f>
        <v>&lt;li&gt;AA_FissionMouse&lt;/li&gt;</v>
      </c>
      <c r="I69" s="16" t="str">
        <f>Animals!$C$243</f>
        <v>&lt;li&gt;AA_ChameleonYak&lt;/li&gt;</v>
      </c>
      <c r="J69" s="16" t="str">
        <f>Animals!$C$257</f>
        <v>&lt;li&gt;AA_Dunealisk&lt;/li&gt;</v>
      </c>
      <c r="K69" s="16" t="str">
        <f>Animals!$C$264</f>
        <v>&lt;li&gt;AA_Erin&lt;/li&gt;</v>
      </c>
      <c r="L69" s="16" t="str">
        <f>Animals!$C$269</f>
        <v>&lt;li&gt;AA_FissionMouse&lt;/li&gt;</v>
      </c>
      <c r="M69" s="16" t="str">
        <f>Animals!$C$318</f>
        <v>&lt;li&gt;AA_Razorjack&lt;/li&gt;</v>
      </c>
      <c r="O69" s="16" t="str">
        <f>Animals!$C$314</f>
        <v>&lt;li&gt;AA_Radyak&lt;/li&gt;</v>
      </c>
      <c r="P69" s="16" t="str">
        <f>Animals!$C$269</f>
        <v>&lt;li&gt;AA_FissionMouse&lt;/li&gt;</v>
      </c>
      <c r="Q69" s="16" t="str">
        <f>Animals!$C$261</f>
        <v>&lt;li&gt;AA_EmpressButterfly&lt;/li&gt;</v>
      </c>
    </row>
    <row r="70" spans="8:17" x14ac:dyDescent="0.25">
      <c r="H70" s="16" t="str">
        <f>Animals!$C$280</f>
        <v>&lt;li&gt;AA_Genix&lt;/li&gt;</v>
      </c>
      <c r="I70" s="16" t="str">
        <f>Animals!$C$249</f>
        <v>&lt;li&gt;AA_CrystalMit&lt;/li&gt;</v>
      </c>
      <c r="J70" s="16" t="str">
        <f>Animals!$C$261</f>
        <v>&lt;li&gt;AA_EmpressButterfly&lt;/li&gt;</v>
      </c>
      <c r="K70" s="16" t="str">
        <f>Animals!$C$269</f>
        <v>&lt;li&gt;AA_FissionMouse&lt;/li&gt;</v>
      </c>
      <c r="L70" s="16" t="str">
        <f>Animals!$C$282</f>
        <v>&lt;li&gt;AA_Gigantelope&lt;/li&gt;</v>
      </c>
      <c r="M70" s="16" t="str">
        <f>Animals!$C$322</f>
        <v>&lt;li&gt;AA_RoughPlatedMonitor&lt;/li&gt;</v>
      </c>
      <c r="O70" s="16" t="str">
        <f>Animals!$C$315</f>
        <v>&lt;li&gt;AA_RaptorShrimp&lt;/li&gt;</v>
      </c>
      <c r="P70" s="16" t="str">
        <f>Animals!$C$272</f>
        <v>&lt;li&gt;AA_FlamingoPhoenix&lt;/li&gt;</v>
      </c>
      <c r="Q70" s="16" t="str">
        <f>Animals!$C$262</f>
        <v>&lt;li&gt;AA_EmpressButterflyLarva&lt;/li&gt;</v>
      </c>
    </row>
    <row r="71" spans="8:17" x14ac:dyDescent="0.25">
      <c r="H71" s="16" t="str">
        <f>Animals!$C$281</f>
        <v>&lt;li&gt;AA_GiantCrownedSilkie&lt;/li&gt;</v>
      </c>
      <c r="I71" s="16" t="str">
        <f>Animals!$C$250</f>
        <v>&lt;li&gt;AA_Darkbeast&lt;/li&gt;</v>
      </c>
      <c r="J71" s="16" t="str">
        <f>Animals!$C$264</f>
        <v>&lt;li&gt;AA_Erin&lt;/li&gt;</v>
      </c>
      <c r="K71" s="16" t="str">
        <f>Animals!$C$281</f>
        <v>&lt;li&gt;AA_GiantCrownedSilkie&lt;/li&gt;</v>
      </c>
      <c r="L71" s="16" t="str">
        <f>Animals!$C$283</f>
        <v>&lt;li&gt;AA_GreatDevourer&lt;/li&gt;</v>
      </c>
      <c r="M71" s="16" t="str">
        <f>Animals!$C$324</f>
        <v>&lt;li&gt;AA_SandLion&lt;/li&gt;</v>
      </c>
      <c r="O71" s="16" t="str">
        <f>Animals!$C$317</f>
        <v>&lt;li&gt;AA_RayHound&lt;/li&gt;</v>
      </c>
      <c r="P71" s="16" t="str">
        <f>Animals!$C$287</f>
        <v>&lt;li&gt;AA_Helixien&lt;/li&gt;</v>
      </c>
      <c r="Q71" s="16" t="str">
        <f>Animals!$C$269</f>
        <v>&lt;li&gt;AA_FissionMouse&lt;/li&gt;</v>
      </c>
    </row>
    <row r="72" spans="8:17" x14ac:dyDescent="0.25">
      <c r="H72" s="16" t="str">
        <f>Animals!$C$295</f>
        <v>&lt;li&gt;AA_MeadowAve&lt;/li&gt;</v>
      </c>
      <c r="I72" s="16" t="str">
        <f>Animals!$C$340</f>
        <v>&lt;li&gt;AA_Thunderbeast&lt;/li&gt;</v>
      </c>
      <c r="J72" s="16" t="str">
        <f>Animals!$C$269</f>
        <v>&lt;li&gt;AA_FissionMouse&lt;/li&gt;</v>
      </c>
      <c r="K72" s="16" t="str">
        <f>Animals!$C$282</f>
        <v>&lt;li&gt;AA_Gigantelope&lt;/li&gt;</v>
      </c>
      <c r="L72" s="16" t="str">
        <f>Animals!$C$293</f>
        <v>&lt;li&gt;AA_Mantrap&lt;/li&gt;</v>
      </c>
      <c r="M72" s="16" t="str">
        <f>Animals!$C$325</f>
        <v>&lt;li&gt;AA_SandProwler&lt;/li&gt;</v>
      </c>
      <c r="O72" s="16" t="str">
        <f>Animals!$C$334</f>
        <v>&lt;li&gt;AA_Swarmling&lt;/li&gt;</v>
      </c>
      <c r="P72" s="16" t="str">
        <f>Animals!$C$289</f>
        <v>&lt;li&gt;AA_Junglelisk&lt;/li&gt;</v>
      </c>
      <c r="Q72" s="16" t="str">
        <f>Animals!$C$286</f>
        <v>&lt;li&gt;AA_Groundrunner&lt;/li&gt;</v>
      </c>
    </row>
    <row r="73" spans="8:17" x14ac:dyDescent="0.25">
      <c r="H73" s="16" t="str">
        <f>Animals!$C$309</f>
        <v>&lt;li&gt;AA_OvergrownColossus&lt;/li&gt;</v>
      </c>
      <c r="I73" s="16" t="str">
        <f>Animals!$C$345</f>
        <v>&lt;li&gt;AA_WindBeast&lt;/li&gt;</v>
      </c>
      <c r="J73" s="16" t="str">
        <f>Animals!$C$281</f>
        <v>&lt;li&gt;AA_GiantCrownedSilkie&lt;/li&gt;</v>
      </c>
      <c r="K73" s="16" t="str">
        <f>Animals!$C$293</f>
        <v>&lt;li&gt;AA_Mantrap&lt;/li&gt;</v>
      </c>
      <c r="L73" s="16" t="str">
        <f>Animals!$C$297</f>
        <v>&lt;li&gt;AA_Metallovore&lt;/li&gt;</v>
      </c>
      <c r="M73" s="16" t="str">
        <f>Animals!$C$326</f>
        <v>&lt;li&gt;AA_SandSquid&lt;/li&gt;</v>
      </c>
      <c r="O73" s="16" t="str">
        <f>Animals!$C$335</f>
        <v>&lt;li&gt;AA_TarGuzzler&lt;/li&gt;</v>
      </c>
      <c r="P73" s="16" t="str">
        <f>Animals!$C$290</f>
        <v>&lt;li&gt;AA_Lockjaw&lt;/li&gt;</v>
      </c>
      <c r="Q73" s="16" t="str">
        <f>Animals!$C$287</f>
        <v>&lt;li&gt;AA_Helixien&lt;/li&gt;</v>
      </c>
    </row>
    <row r="74" spans="8:17" x14ac:dyDescent="0.25">
      <c r="H74" s="16" t="str">
        <f>Animals!$C$310</f>
        <v>&lt;li&gt;AA_PebbleMit&lt;/li&gt;</v>
      </c>
      <c r="I74" s="16" t="str">
        <f>Animals!$C$255</f>
        <v>&lt;li&gt;AA_Drainer&lt;/li&gt;</v>
      </c>
      <c r="J74" s="16" t="str">
        <f>Animals!$C$282</f>
        <v>&lt;li&gt;AA_Gigantelope&lt;/li&gt;</v>
      </c>
      <c r="K74" s="16" t="str">
        <f>Animals!$C$295</f>
        <v>&lt;li&gt;AA_MeadowAve&lt;/li&gt;</v>
      </c>
      <c r="L74" s="16" t="str">
        <f>Animals!$C$301</f>
        <v>&lt;li&gt;AA_Needlepost&lt;/li&gt;</v>
      </c>
      <c r="M74" s="16" t="str">
        <f>Animals!$C$334</f>
        <v>&lt;li&gt;AA_Swarmling&lt;/li&gt;</v>
      </c>
      <c r="O74" s="16" t="str">
        <f>Animals!$C$336</f>
        <v>&lt;li&gt;AA_TeratogenicOriginator&lt;/li&gt;</v>
      </c>
      <c r="P74" s="16" t="str">
        <f>Animals!$C$309</f>
        <v>&lt;li&gt;AA_OvergrownColossus&lt;/li&gt;</v>
      </c>
      <c r="Q74" s="16" t="str">
        <f>Animals!$C$289</f>
        <v>&lt;li&gt;AA_Junglelisk&lt;/li&gt;</v>
      </c>
    </row>
    <row r="75" spans="8:17" x14ac:dyDescent="0.25">
      <c r="H75" s="16" t="str">
        <f>Animals!$C$314</f>
        <v>&lt;li&gt;AA_Radyak&lt;/li&gt;</v>
      </c>
      <c r="I75" s="16" t="str">
        <f>Animals!$C$256</f>
        <v>&lt;li&gt;AA_DrainerLarva&lt;/li&gt;</v>
      </c>
      <c r="J75" s="16" t="str">
        <f>Animals!$C$283</f>
        <v>&lt;li&gt;AA_GreatDevourer&lt;/li&gt;</v>
      </c>
      <c r="K75" s="16" t="str">
        <f>Animals!$C$301</f>
        <v>&lt;li&gt;AA_Needlepost&lt;/li&gt;</v>
      </c>
      <c r="L75" s="16" t="str">
        <f>Animals!$C$302</f>
        <v>&lt;li&gt;AA_Needleroll&lt;/li&gt;</v>
      </c>
      <c r="M75" s="16" t="str">
        <f>Animals!$C$335</f>
        <v>&lt;li&gt;AA_TarGuzzler&lt;/li&gt;</v>
      </c>
      <c r="O75" s="16" t="str">
        <f>Animals!$C$337</f>
        <v>&lt;li&gt;AA_Terramorph&lt;/li&gt;</v>
      </c>
      <c r="P75" s="16" t="str">
        <f>Animals!$C$310</f>
        <v>&lt;li&gt;AA_PebbleMit&lt;/li&gt;</v>
      </c>
      <c r="Q75" s="16" t="str">
        <f>Animals!$C$290</f>
        <v>&lt;li&gt;AA_Lockjaw&lt;/li&gt;</v>
      </c>
    </row>
    <row r="76" spans="8:17" x14ac:dyDescent="0.25">
      <c r="H76" s="16" t="str">
        <f>Animals!$C$334</f>
        <v>&lt;li&gt;AA_Swarmling&lt;/li&gt;</v>
      </c>
      <c r="I76" s="16" t="str">
        <f>Animals!$C$261</f>
        <v>&lt;li&gt;AA_EmpressButterfly&lt;/li&gt;</v>
      </c>
      <c r="J76" s="16" t="str">
        <f>Animals!$C$293</f>
        <v>&lt;li&gt;AA_Mantrap&lt;/li&gt;</v>
      </c>
      <c r="K76" s="16" t="str">
        <f>Animals!$C$302</f>
        <v>&lt;li&gt;AA_Needleroll&lt;/li&gt;</v>
      </c>
      <c r="L76" s="16" t="str">
        <f>Animals!$C$310</f>
        <v>&lt;li&gt;AA_PebbleMit&lt;/li&gt;</v>
      </c>
      <c r="M76" s="16" t="str">
        <f>Animals!$C$337</f>
        <v>&lt;li&gt;AA_Terramorph&lt;/li&gt;</v>
      </c>
      <c r="O76" s="16" t="str">
        <f>Animals!$C$343</f>
        <v>&lt;li&gt;AA_Wildpawn&lt;/li&gt;</v>
      </c>
      <c r="P76" s="16" t="str">
        <f>Animals!$C$313</f>
        <v>&lt;li&gt;AA_Plasmorph&lt;/li&gt;</v>
      </c>
      <c r="Q76" s="16" t="str">
        <f>Animals!$C$299</f>
        <v>&lt;li&gt;AA_Murkling&lt;/li&gt;</v>
      </c>
    </row>
    <row r="77" spans="8:17" x14ac:dyDescent="0.25">
      <c r="H77" s="16" t="str">
        <f>Animals!$C$335</f>
        <v>&lt;li&gt;AA_TarGuzzler&lt;/li&gt;</v>
      </c>
      <c r="I77" s="16" t="str">
        <f>Animals!$C$262</f>
        <v>&lt;li&gt;AA_EmpressButterflyLarva&lt;/li&gt;</v>
      </c>
      <c r="J77" s="16" t="str">
        <f>Animals!$C$301</f>
        <v>&lt;li&gt;AA_Needlepost&lt;/li&gt;</v>
      </c>
      <c r="K77" s="16" t="str">
        <f>Animals!$C$310</f>
        <v>&lt;li&gt;AA_PebbleMit&lt;/li&gt;</v>
      </c>
      <c r="L77" s="16" t="str">
        <f>Animals!$C$314</f>
        <v>&lt;li&gt;AA_Radyak&lt;/li&gt;</v>
      </c>
      <c r="M77" s="16" t="s">
        <v>2035</v>
      </c>
      <c r="O77" s="16" t="str">
        <f>Animals!$C$344</f>
        <v>&lt;li&gt;AA_Wildpod&lt;/li&gt;</v>
      </c>
      <c r="P77" s="16" t="str">
        <f>Animals!$C$314</f>
        <v>&lt;li&gt;AA_Radyak&lt;/li&gt;</v>
      </c>
      <c r="Q77" s="16" t="str">
        <f>Animals!$C$300</f>
        <v>&lt;li&gt;AA_MycoidColossus&lt;/li&gt;</v>
      </c>
    </row>
    <row r="78" spans="8:17" x14ac:dyDescent="0.25">
      <c r="H78" s="16" t="str">
        <f>Animals!$C$337</f>
        <v>&lt;li&gt;AA_Terramorph&lt;/li&gt;</v>
      </c>
      <c r="I78" s="16" t="str">
        <f>Animals!$C$266</f>
        <v>&lt;li&gt;AA_Feralisk&lt;/li&gt;</v>
      </c>
      <c r="J78" s="16" t="str">
        <f>Animals!$C$302</f>
        <v>&lt;li&gt;AA_Needleroll&lt;/li&gt;</v>
      </c>
      <c r="K78" s="16" t="str">
        <f>Animals!$C$314</f>
        <v>&lt;li&gt;AA_Radyak&lt;/li&gt;</v>
      </c>
      <c r="L78" s="16" t="str">
        <f>Animals!$C$315</f>
        <v>&lt;li&gt;AA_RaptorShrimp&lt;/li&gt;</v>
      </c>
      <c r="M78" s="16" t="s">
        <v>2048</v>
      </c>
      <c r="O78" s="16" t="str">
        <f>Animals!$C$348</f>
        <v>&lt;li&gt;Carnotaurus&lt;/li&gt;</v>
      </c>
      <c r="P78" s="16" t="str">
        <f>Animals!$C$315</f>
        <v>&lt;li&gt;AA_RaptorShrimp&lt;/li&gt;</v>
      </c>
      <c r="Q78" s="16" t="str">
        <f>Animals!$C$304</f>
        <v>&lt;li&gt;AA_NightMule&lt;/li&gt;</v>
      </c>
    </row>
    <row r="79" spans="8:17" x14ac:dyDescent="0.25">
      <c r="H79" s="16" t="str">
        <f>Animals!$C$343</f>
        <v>&lt;li&gt;AA_Wildpawn&lt;/li&gt;</v>
      </c>
      <c r="I79" s="16" t="str">
        <f>Animals!$C$269</f>
        <v>&lt;li&gt;AA_FissionMouse&lt;/li&gt;</v>
      </c>
      <c r="J79" s="16" t="str">
        <f>Animals!$C$310</f>
        <v>&lt;li&gt;AA_PebbleMit&lt;/li&gt;</v>
      </c>
      <c r="K79" s="16" t="str">
        <f>Animals!$C$315</f>
        <v>&lt;li&gt;AA_RaptorShrimp&lt;/li&gt;</v>
      </c>
      <c r="L79" s="16" t="str">
        <f>Animals!$C$318</f>
        <v>&lt;li&gt;AA_Razorjack&lt;/li&gt;</v>
      </c>
      <c r="M79" s="16"/>
      <c r="O79" s="16" t="str">
        <f>Animals!$C$350</f>
        <v>&lt;li&gt;Spinosaurus&lt;/li&gt;</v>
      </c>
      <c r="P79" s="16" t="str">
        <f>Animals!$C$317</f>
        <v>&lt;li&gt;AA_RayHound&lt;/li&gt;</v>
      </c>
      <c r="Q79" s="16" t="str">
        <f>Animals!$C$305</f>
        <v>&lt;li&gt;AA_NightRam&lt;/li&gt;</v>
      </c>
    </row>
    <row r="80" spans="8:17" x14ac:dyDescent="0.25">
      <c r="H80" s="16" t="str">
        <f>Animals!$C$346</f>
        <v>&lt;li&gt;TyrannosaurusRex&lt;/li&gt;</v>
      </c>
      <c r="I80" s="16" t="str">
        <f>Animals!$C$280</f>
        <v>&lt;li&gt;AA_Genix&lt;/li&gt;</v>
      </c>
      <c r="J80" s="16" t="str">
        <f>Animals!$C$314</f>
        <v>&lt;li&gt;AA_Radyak&lt;/li&gt;</v>
      </c>
      <c r="K80" s="16" t="str">
        <f>Animals!$C$318</f>
        <v>&lt;li&gt;AA_Razorjack&lt;/li&gt;</v>
      </c>
      <c r="L80" s="16" t="str">
        <f>Animals!$C$322</f>
        <v>&lt;li&gt;AA_RoughPlatedMonitor&lt;/li&gt;</v>
      </c>
      <c r="M80" s="16"/>
      <c r="O80" s="16" t="str">
        <f>Animals!$C$351</f>
        <v>&lt;li&gt;Baryonyx&lt;/li&gt;</v>
      </c>
      <c r="P80" s="16" t="str">
        <f>Animals!$C$334</f>
        <v>&lt;li&gt;AA_Swarmling&lt;/li&gt;</v>
      </c>
      <c r="Q80" s="16" t="str">
        <f>Animals!$C$306</f>
        <v>&lt;li&gt;AA_Nightling&lt;/li&gt;</v>
      </c>
    </row>
    <row r="81" spans="8:17" x14ac:dyDescent="0.25">
      <c r="H81" s="16" t="str">
        <f>Animals!$C$352</f>
        <v>&lt;li&gt;Ankylosaurus&lt;/li&gt;</v>
      </c>
      <c r="I81" s="16" t="str">
        <f>Animals!$C$281</f>
        <v>&lt;li&gt;AA_GiantCrownedSilkie&lt;/li&gt;</v>
      </c>
      <c r="J81" s="16" t="str">
        <f>Animals!$C$315</f>
        <v>&lt;li&gt;AA_RaptorShrimp&lt;/li&gt;</v>
      </c>
      <c r="K81" s="16" t="str">
        <f>Animals!$C$322</f>
        <v>&lt;li&gt;AA_RoughPlatedMonitor&lt;/li&gt;</v>
      </c>
      <c r="L81" s="16" t="str">
        <f>Animals!$C$324</f>
        <v>&lt;li&gt;AA_SandLion&lt;/li&gt;</v>
      </c>
      <c r="O81" s="16" t="str">
        <f>Animals!$C$360</f>
        <v>&lt;li&gt;Dilophosaurus&lt;/li&gt;</v>
      </c>
      <c r="P81" s="16" t="str">
        <f>Animals!$C$335</f>
        <v>&lt;li&gt;AA_TarGuzzler&lt;/li&gt;</v>
      </c>
      <c r="Q81" s="16" t="str">
        <f>Animals!$C$309</f>
        <v>&lt;li&gt;AA_OvergrownColossus&lt;/li&gt;</v>
      </c>
    </row>
    <row r="82" spans="8:17" x14ac:dyDescent="0.25">
      <c r="H82" s="16" t="str">
        <f>Animals!$C$353</f>
        <v>&lt;li&gt;Minmi&lt;/li&gt;</v>
      </c>
      <c r="I82" s="16" t="str">
        <f>Animals!$C$295</f>
        <v>&lt;li&gt;AA_MeadowAve&lt;/li&gt;</v>
      </c>
      <c r="J82" s="16" t="str">
        <f>Animals!$C$318</f>
        <v>&lt;li&gt;AA_Razorjack&lt;/li&gt;</v>
      </c>
      <c r="K82" s="16" t="str">
        <f>Animals!$C$334</f>
        <v>&lt;li&gt;AA_Swarmling&lt;/li&gt;</v>
      </c>
      <c r="L82" s="16" t="str">
        <f>Animals!$C$325</f>
        <v>&lt;li&gt;AA_SandProwler&lt;/li&gt;</v>
      </c>
      <c r="O82" s="16" t="str">
        <f>Animals!$C$362</f>
        <v>&lt;li&gt;Compsognathus&lt;/li&gt;</v>
      </c>
      <c r="P82" s="16" t="str">
        <f>Animals!$C$336</f>
        <v>&lt;li&gt;AA_TeratogenicOriginator&lt;/li&gt;</v>
      </c>
      <c r="Q82" s="16" t="str">
        <f>Animals!$C$310</f>
        <v>&lt;li&gt;AA_PebbleMit&lt;/li&gt;</v>
      </c>
    </row>
    <row r="83" spans="8:17" x14ac:dyDescent="0.25">
      <c r="H83" s="16" t="str">
        <f>Animals!$C$359</f>
        <v>&lt;li&gt;Dakotaraptor&lt;/li&gt;</v>
      </c>
      <c r="I83" s="16" t="str">
        <f>Animals!$C$309</f>
        <v>&lt;li&gt;AA_OvergrownColossus&lt;/li&gt;</v>
      </c>
      <c r="J83" s="16" t="str">
        <f>Animals!$C$322</f>
        <v>&lt;li&gt;AA_RoughPlatedMonitor&lt;/li&gt;</v>
      </c>
      <c r="K83" s="16" t="str">
        <f>Animals!$C$335</f>
        <v>&lt;li&gt;AA_TarGuzzler&lt;/li&gt;</v>
      </c>
      <c r="L83" s="16" t="str">
        <f>Animals!$C$326</f>
        <v>&lt;li&gt;AA_SandSquid&lt;/li&gt;</v>
      </c>
      <c r="O83" s="16" t="str">
        <f>Animals!$C$365</f>
        <v>&lt;li&gt;Iguanodon&lt;/li&gt;</v>
      </c>
      <c r="P83" s="16" t="str">
        <f>Animals!$C$337</f>
        <v>&lt;li&gt;AA_Terramorph&lt;/li&gt;</v>
      </c>
      <c r="Q83" s="16" t="str">
        <f>Animals!$C$313</f>
        <v>&lt;li&gt;AA_Plasmorph&lt;/li&gt;</v>
      </c>
    </row>
    <row r="84" spans="8:17" x14ac:dyDescent="0.25">
      <c r="H84" s="16" t="str">
        <f>Animals!$C$363</f>
        <v>&lt;li&gt;Gallimimus&lt;/li&gt;</v>
      </c>
      <c r="I84" s="16" t="str">
        <f>Animals!$C$310</f>
        <v>&lt;li&gt;AA_PebbleMit&lt;/li&gt;</v>
      </c>
      <c r="J84" s="16" t="str">
        <f>Animals!$C$324</f>
        <v>&lt;li&gt;AA_SandLion&lt;/li&gt;</v>
      </c>
      <c r="K84" s="16" t="str">
        <f>Animals!$C$337</f>
        <v>&lt;li&gt;AA_Terramorph&lt;/li&gt;</v>
      </c>
      <c r="L84" s="16" t="str">
        <f>Animals!$C$334</f>
        <v>&lt;li&gt;AA_Swarmling&lt;/li&gt;</v>
      </c>
      <c r="O84" s="16" t="str">
        <f>Animals!$C$369</f>
        <v>&lt;li&gt;Therizinosaurus&lt;/li&gt;</v>
      </c>
      <c r="P84" s="16" t="str">
        <f>Animals!$C$343</f>
        <v>&lt;li&gt;AA_Wildpawn&lt;/li&gt;</v>
      </c>
      <c r="Q84" s="16" t="str">
        <f>Animals!$C$314</f>
        <v>&lt;li&gt;AA_Radyak&lt;/li&gt;</v>
      </c>
    </row>
    <row r="85" spans="8:17" x14ac:dyDescent="0.25">
      <c r="H85" s="16" t="str">
        <f>Animals!$C$367</f>
        <v>&lt;li&gt;Corythosaurus&lt;/li&gt;</v>
      </c>
      <c r="I85" s="16" t="str">
        <f>Animals!$C$314</f>
        <v>&lt;li&gt;AA_Radyak&lt;/li&gt;</v>
      </c>
      <c r="J85" s="16" t="str">
        <f>Animals!$C$325</f>
        <v>&lt;li&gt;AA_SandProwler&lt;/li&gt;</v>
      </c>
      <c r="K85" s="16" t="str">
        <f>Animals!$C$349</f>
        <v>&lt;li&gt;Allosaurus&lt;/li&gt;</v>
      </c>
      <c r="L85" s="16" t="str">
        <f>Animals!$C$335</f>
        <v>&lt;li&gt;AA_TarGuzzler&lt;/li&gt;</v>
      </c>
      <c r="O85" s="16" t="str">
        <f>Animals!$C$368</f>
        <v>&lt;li&gt;Deinocheirus&lt;/li&gt;</v>
      </c>
      <c r="P85" s="16" t="str">
        <f>Animals!$C$344</f>
        <v>&lt;li&gt;AA_Wildpod&lt;/li&gt;</v>
      </c>
      <c r="Q85" s="16" t="str">
        <f>Animals!$C$315</f>
        <v>&lt;li&gt;AA_RaptorShrimp&lt;/li&gt;</v>
      </c>
    </row>
    <row r="86" spans="8:17" x14ac:dyDescent="0.25">
      <c r="H86" s="16" t="str">
        <f>Animals!$C$370</f>
        <v>&lt;li&gt;Pachycephalosaurus&lt;/li&gt;</v>
      </c>
      <c r="I86" s="16" t="str">
        <f>Animals!$C$334</f>
        <v>&lt;li&gt;AA_Swarmling&lt;/li&gt;</v>
      </c>
      <c r="J86" s="16" t="str">
        <f>Animals!$C$326</f>
        <v>&lt;li&gt;AA_SandSquid&lt;/li&gt;</v>
      </c>
      <c r="K86" s="16" t="str">
        <f>Animals!$C$348</f>
        <v>&lt;li&gt;Carnotaurus&lt;/li&gt;</v>
      </c>
      <c r="L86" s="16" t="str">
        <f>Animals!$C$337</f>
        <v>&lt;li&gt;AA_Terramorph&lt;/li&gt;</v>
      </c>
      <c r="O86" s="16" t="str">
        <f>Animals!$C$366</f>
        <v>&lt;li&gt;Parasaur&lt;/li&gt;</v>
      </c>
      <c r="P86" s="16" t="str">
        <f>Animals!$C$348</f>
        <v>&lt;li&gt;Carnotaurus&lt;/li&gt;</v>
      </c>
      <c r="Q86" s="16" t="str">
        <f>Animals!$C$327</f>
        <v>&lt;li&gt;AA_ShadowCharger&lt;/li&gt;</v>
      </c>
    </row>
    <row r="87" spans="8:17" x14ac:dyDescent="0.25">
      <c r="H87" s="16" t="str">
        <f>Animals!$C$371</f>
        <v>&lt;li&gt;Stygimoloch&lt;/li&gt;</v>
      </c>
      <c r="I87" s="16" t="str">
        <f>Animals!$C$335</f>
        <v>&lt;li&gt;AA_TarGuzzler&lt;/li&gt;</v>
      </c>
      <c r="J87" s="16" t="str">
        <f>Animals!$C$334</f>
        <v>&lt;li&gt;AA_Swarmling&lt;/li&gt;</v>
      </c>
      <c r="K87" s="16" t="str">
        <f>Animals!$C$354</f>
        <v>&lt;li&gt;Brachiosaurus&lt;/li&gt;</v>
      </c>
      <c r="L87" s="16" t="str">
        <f>Animals!$C$349</f>
        <v>&lt;li&gt;Allosaurus&lt;/li&gt;</v>
      </c>
      <c r="O87" s="16" t="str">
        <f>Animals!$C$372</f>
        <v>&lt;li&gt;Dryosaurus&lt;/li&gt;</v>
      </c>
      <c r="P87" s="16" t="str">
        <f>Animals!$C$350</f>
        <v>&lt;li&gt;Spinosaurus&lt;/li&gt;</v>
      </c>
      <c r="Q87" s="16" t="str">
        <f>Animals!$C$334</f>
        <v>&lt;li&gt;AA_Swarmling&lt;/li&gt;</v>
      </c>
    </row>
    <row r="88" spans="8:17" x14ac:dyDescent="0.25">
      <c r="H88" s="16" t="str">
        <f>Animals!$C$375</f>
        <v>&lt;li&gt;Triceratops&lt;/li&gt;</v>
      </c>
      <c r="I88" s="16" t="str">
        <f>Animals!$C$337</f>
        <v>&lt;li&gt;AA_Terramorph&lt;/li&gt;</v>
      </c>
      <c r="J88" s="16" t="str">
        <f>Animals!$C$335</f>
        <v>&lt;li&gt;AA_TarGuzzler&lt;/li&gt;</v>
      </c>
      <c r="K88" s="16" t="str">
        <f>Animals!$C$355</f>
        <v>&lt;li&gt;Brontosaurus&lt;/li&gt;</v>
      </c>
      <c r="L88" s="16" t="str">
        <f>Animals!$C$348</f>
        <v>&lt;li&gt;Carnotaurus&lt;/li&gt;</v>
      </c>
      <c r="O88" s="16" t="str">
        <f>Animals!$C$357</f>
        <v>&lt;li&gt;Magyarosaurus&lt;/li&gt;</v>
      </c>
      <c r="P88" s="16" t="str">
        <f>Animals!$C$351</f>
        <v>&lt;li&gt;Baryonyx&lt;/li&gt;</v>
      </c>
      <c r="Q88" s="16" t="str">
        <f>Animals!$C$335</f>
        <v>&lt;li&gt;AA_TarGuzzler&lt;/li&gt;</v>
      </c>
    </row>
    <row r="89" spans="8:17" x14ac:dyDescent="0.25">
      <c r="H89" s="16" t="str">
        <f>Animals!$C$376</f>
        <v>&lt;li&gt;Quetzalcoatlus&lt;/li&gt;</v>
      </c>
      <c r="I89" s="16" t="str">
        <f>Animals!$C$343</f>
        <v>&lt;li&gt;AA_Wildpawn&lt;/li&gt;</v>
      </c>
      <c r="J89" s="16" t="str">
        <f>Animals!$C$337</f>
        <v>&lt;li&gt;AA_Terramorph&lt;/li&gt;</v>
      </c>
      <c r="K89" s="16" t="str">
        <f>Animals!$C$356</f>
        <v>&lt;li&gt;Diplodocus&lt;/li&gt;</v>
      </c>
      <c r="L89" s="16" t="str">
        <f>Animals!$C$354</f>
        <v>&lt;li&gt;Brachiosaurus&lt;/li&gt;</v>
      </c>
      <c r="O89" s="16" t="str">
        <f>Animals!$C$376</f>
        <v>&lt;li&gt;Quetzalcoatlus&lt;/li&gt;</v>
      </c>
      <c r="P89" s="16" t="str">
        <f>Animals!$C$360</f>
        <v>&lt;li&gt;Dilophosaurus&lt;/li&gt;</v>
      </c>
      <c r="Q89" s="16" t="str">
        <f>Animals!$C$336</f>
        <v>&lt;li&gt;AA_TeratogenicOriginator&lt;/li&gt;</v>
      </c>
    </row>
    <row r="90" spans="8:17" x14ac:dyDescent="0.25">
      <c r="H90" s="16" t="str">
        <f>Animals!$C$377</f>
        <v>&lt;li&gt;Pteranodon&lt;/li&gt;</v>
      </c>
      <c r="I90" s="16" t="str">
        <f>Animals!$C$346</f>
        <v>&lt;li&gt;TyrannosaurusRex&lt;/li&gt;</v>
      </c>
      <c r="J90" s="16" t="str">
        <f>Animals!$C$349</f>
        <v>&lt;li&gt;Allosaurus&lt;/li&gt;</v>
      </c>
      <c r="K90" s="16" t="str">
        <f>Animals!$C$358</f>
        <v>&lt;li&gt;Utahraptor&lt;/li&gt;</v>
      </c>
      <c r="L90" s="16" t="str">
        <f>Animals!$C$355</f>
        <v>&lt;li&gt;Brontosaurus&lt;/li&gt;</v>
      </c>
      <c r="O90" s="16" t="str">
        <f>Animals!$C$377</f>
        <v>&lt;li&gt;Pteranodon&lt;/li&gt;</v>
      </c>
      <c r="P90" s="16" t="str">
        <f>Animals!$C$362</f>
        <v>&lt;li&gt;Compsognathus&lt;/li&gt;</v>
      </c>
      <c r="Q90" s="16" t="str">
        <f>Animals!$C$337</f>
        <v>&lt;li&gt;AA_Terramorph&lt;/li&gt;</v>
      </c>
    </row>
    <row r="91" spans="8:17" x14ac:dyDescent="0.25">
      <c r="I91" s="16" t="str">
        <f>Animals!$C$352</f>
        <v>&lt;li&gt;Ankylosaurus&lt;/li&gt;</v>
      </c>
      <c r="J91" s="16" t="str">
        <f>Animals!$C$348</f>
        <v>&lt;li&gt;Carnotaurus&lt;/li&gt;</v>
      </c>
      <c r="K91" s="16" t="str">
        <f>Animals!$C$361</f>
        <v>&lt;li&gt;Velociraptor&lt;/li&gt;</v>
      </c>
      <c r="L91" s="16" t="str">
        <f>Animals!$C$356</f>
        <v>&lt;li&gt;Diplodocus&lt;/li&gt;</v>
      </c>
      <c r="O91" s="16"/>
      <c r="P91" s="16" t="str">
        <f>Animals!$C$365</f>
        <v>&lt;li&gt;Iguanodon&lt;/li&gt;</v>
      </c>
      <c r="Q91" s="16" t="str">
        <f>Animals!$C$341</f>
        <v>&lt;li&gt;AA_Thunderox&lt;/li&gt;</v>
      </c>
    </row>
    <row r="92" spans="8:17" x14ac:dyDescent="0.25">
      <c r="I92" s="16" t="str">
        <f>Animals!$C$353</f>
        <v>&lt;li&gt;Minmi&lt;/li&gt;</v>
      </c>
      <c r="J92" s="16" t="str">
        <f>Animals!$C$354</f>
        <v>&lt;li&gt;Brachiosaurus&lt;/li&gt;</v>
      </c>
      <c r="K92" s="16" t="str">
        <f>Animals!$C$364</f>
        <v>&lt;li&gt;Gigantoraptor&lt;/li&gt;</v>
      </c>
      <c r="L92" s="16" t="str">
        <f>Animals!$C$358</f>
        <v>&lt;li&gt;Utahraptor&lt;/li&gt;</v>
      </c>
      <c r="O92" s="16"/>
      <c r="P92" s="16" t="str">
        <f>Animals!$C$369</f>
        <v>&lt;li&gt;Therizinosaurus&lt;/li&gt;</v>
      </c>
      <c r="Q92" s="16" t="str">
        <f>Animals!$C$343</f>
        <v>&lt;li&gt;AA_Wildpawn&lt;/li&gt;</v>
      </c>
    </row>
    <row r="93" spans="8:17" x14ac:dyDescent="0.25">
      <c r="I93" s="16" t="str">
        <f>Animals!$C$359</f>
        <v>&lt;li&gt;Dakotaraptor&lt;/li&gt;</v>
      </c>
      <c r="J93" s="16" t="str">
        <f>Animals!$C$355</f>
        <v>&lt;li&gt;Brontosaurus&lt;/li&gt;</v>
      </c>
      <c r="K93" s="16" t="str">
        <f>Animals!$C$372</f>
        <v>&lt;li&gt;Dryosaurus&lt;/li&gt;</v>
      </c>
      <c r="L93" s="16" t="str">
        <f>Animals!$C$361</f>
        <v>&lt;li&gt;Velociraptor&lt;/li&gt;</v>
      </c>
      <c r="O93" s="16"/>
      <c r="P93" s="16" t="str">
        <f>Animals!$C$368</f>
        <v>&lt;li&gt;Deinocheirus&lt;/li&gt;</v>
      </c>
      <c r="Q93" s="16" t="str">
        <f>Animals!$C$344</f>
        <v>&lt;li&gt;AA_Wildpod&lt;/li&gt;</v>
      </c>
    </row>
    <row r="94" spans="8:17" x14ac:dyDescent="0.25">
      <c r="I94" s="16" t="str">
        <f>Animals!$C$363</f>
        <v>&lt;li&gt;Gallimimus&lt;/li&gt;</v>
      </c>
      <c r="J94" s="16" t="str">
        <f>Animals!$C$356</f>
        <v>&lt;li&gt;Diplodocus&lt;/li&gt;</v>
      </c>
      <c r="K94" s="16" t="str">
        <f>Animals!$C$373</f>
        <v>&lt;li&gt;Stegosaurus&lt;/li&gt;</v>
      </c>
      <c r="L94" s="16" t="str">
        <f>Animals!$C$364</f>
        <v>&lt;li&gt;Gigantoraptor&lt;/li&gt;</v>
      </c>
      <c r="O94" s="16"/>
      <c r="P94" s="16" t="str">
        <f>Animals!$C$366</f>
        <v>&lt;li&gt;Parasaur&lt;/li&gt;</v>
      </c>
      <c r="Q94" s="16" t="str">
        <f>Animals!$C$229</f>
        <v>&lt;li&gt;AA_Behemoth&lt;/li&gt;</v>
      </c>
    </row>
    <row r="95" spans="8:17" x14ac:dyDescent="0.25">
      <c r="I95" s="16" t="str">
        <f>Animals!$C$367</f>
        <v>&lt;li&gt;Corythosaurus&lt;/li&gt;</v>
      </c>
      <c r="J95" s="16" t="str">
        <f>Animals!$C$358</f>
        <v>&lt;li&gt;Utahraptor&lt;/li&gt;</v>
      </c>
      <c r="K95" s="16" t="str">
        <f>Animals!$C$374</f>
        <v>&lt;li&gt;Protoceratops&lt;/li&gt;</v>
      </c>
      <c r="L95" s="16" t="str">
        <f>Animals!$C$372</f>
        <v>&lt;li&gt;Dryosaurus&lt;/li&gt;</v>
      </c>
      <c r="O95" s="16"/>
      <c r="P95" s="16" t="str">
        <f>Animals!$C$372</f>
        <v>&lt;li&gt;Dryosaurus&lt;/li&gt;</v>
      </c>
      <c r="Q95" s="16" t="str">
        <f>Animals!$C$348</f>
        <v>&lt;li&gt;Carnotaurus&lt;/li&gt;</v>
      </c>
    </row>
    <row r="96" spans="8:17" x14ac:dyDescent="0.25">
      <c r="I96" s="16" t="str">
        <f>Animals!$C$370</f>
        <v>&lt;li&gt;Pachycephalosaurus&lt;/li&gt;</v>
      </c>
      <c r="J96" s="16" t="str">
        <f>Animals!$C$361</f>
        <v>&lt;li&gt;Velociraptor&lt;/li&gt;</v>
      </c>
      <c r="K96" s="16" t="str">
        <f>Animals!$C$376</f>
        <v>&lt;li&gt;Quetzalcoatlus&lt;/li&gt;</v>
      </c>
      <c r="L96" s="16" t="str">
        <f>Animals!$C$373</f>
        <v>&lt;li&gt;Stegosaurus&lt;/li&gt;</v>
      </c>
      <c r="O96" s="16"/>
      <c r="P96" s="16" t="str">
        <f>Animals!$C$357</f>
        <v>&lt;li&gt;Magyarosaurus&lt;/li&gt;</v>
      </c>
      <c r="Q96" s="16" t="str">
        <f>Animals!$C$350</f>
        <v>&lt;li&gt;Spinosaurus&lt;/li&gt;</v>
      </c>
    </row>
    <row r="97" spans="9:17" x14ac:dyDescent="0.25">
      <c r="I97" s="16" t="str">
        <f>Animals!$C$371</f>
        <v>&lt;li&gt;Stygimoloch&lt;/li&gt;</v>
      </c>
      <c r="J97" s="16" t="str">
        <f>Animals!$C$364</f>
        <v>&lt;li&gt;Gigantoraptor&lt;/li&gt;</v>
      </c>
      <c r="K97" s="16" t="str">
        <f>Animals!$C$377</f>
        <v>&lt;li&gt;Pteranodon&lt;/li&gt;</v>
      </c>
      <c r="L97" s="16" t="str">
        <f>Animals!$C$374</f>
        <v>&lt;li&gt;Protoceratops&lt;/li&gt;</v>
      </c>
      <c r="O97" s="16"/>
      <c r="P97" s="16" t="str">
        <f>Animals!$C$376</f>
        <v>&lt;li&gt;Quetzalcoatlus&lt;/li&gt;</v>
      </c>
      <c r="Q97" s="16" t="str">
        <f>Animals!$C$351</f>
        <v>&lt;li&gt;Baryonyx&lt;/li&gt;</v>
      </c>
    </row>
    <row r="98" spans="9:17" x14ac:dyDescent="0.25">
      <c r="I98" s="16" t="str">
        <f>Animals!$C$375</f>
        <v>&lt;li&gt;Triceratops&lt;/li&gt;</v>
      </c>
      <c r="J98" s="16" t="str">
        <f>Animals!$C$372</f>
        <v>&lt;li&gt;Dryosaurus&lt;/li&gt;</v>
      </c>
      <c r="L98" s="16" t="str">
        <f>Animals!$C$376</f>
        <v>&lt;li&gt;Quetzalcoatlus&lt;/li&gt;</v>
      </c>
      <c r="O98" s="16"/>
      <c r="P98" s="16" t="str">
        <f>Animals!$C$377</f>
        <v>&lt;li&gt;Pteranodon&lt;/li&gt;</v>
      </c>
      <c r="Q98" s="16" t="str">
        <f>Animals!$C$360</f>
        <v>&lt;li&gt;Dilophosaurus&lt;/li&gt;</v>
      </c>
    </row>
    <row r="99" spans="9:17" x14ac:dyDescent="0.25">
      <c r="I99" s="16" t="str">
        <f>Animals!$C$376</f>
        <v>&lt;li&gt;Quetzalcoatlus&lt;/li&gt;</v>
      </c>
      <c r="J99" s="16" t="str">
        <f>Animals!$C$373</f>
        <v>&lt;li&gt;Stegosaurus&lt;/li&gt;</v>
      </c>
      <c r="L99" s="16" t="str">
        <f>Animals!$C$377</f>
        <v>&lt;li&gt;Pteranodon&lt;/li&gt;</v>
      </c>
      <c r="O99" s="16"/>
      <c r="Q99" s="16" t="str">
        <f>Animals!$C$362</f>
        <v>&lt;li&gt;Compsognathus&lt;/li&gt;</v>
      </c>
    </row>
    <row r="100" spans="9:17" x14ac:dyDescent="0.25">
      <c r="I100" s="16" t="str">
        <f>Animals!$C$377</f>
        <v>&lt;li&gt;Pteranodon&lt;/li&gt;</v>
      </c>
      <c r="J100" s="16" t="str">
        <f>Animals!$C$374</f>
        <v>&lt;li&gt;Protoceratops&lt;/li&gt;</v>
      </c>
      <c r="O100" s="16"/>
      <c r="Q100" s="16" t="str">
        <f>Animals!$C$365</f>
        <v>&lt;li&gt;Iguanodon&lt;/li&gt;</v>
      </c>
    </row>
    <row r="101" spans="9:17" x14ac:dyDescent="0.25">
      <c r="J101" s="16" t="str">
        <f>Animals!$C$376</f>
        <v>&lt;li&gt;Quetzalcoatlus&lt;/li&gt;</v>
      </c>
      <c r="O101" s="16"/>
      <c r="Q101" s="16" t="str">
        <f>Animals!$C$369</f>
        <v>&lt;li&gt;Therizinosaurus&lt;/li&gt;</v>
      </c>
    </row>
    <row r="102" spans="9:17" x14ac:dyDescent="0.25">
      <c r="J102" s="16" t="str">
        <f>Animals!$C$377</f>
        <v>&lt;li&gt;Pteranodon&lt;/li&gt;</v>
      </c>
      <c r="O102" s="16"/>
      <c r="Q102" s="16" t="str">
        <f>Animals!$C$368</f>
        <v>&lt;li&gt;Deinocheirus&lt;/li&gt;</v>
      </c>
    </row>
    <row r="103" spans="9:17" x14ac:dyDescent="0.25">
      <c r="J103" s="16"/>
      <c r="O103" s="16"/>
      <c r="Q103" s="16" t="str">
        <f>Animals!$C$366</f>
        <v>&lt;li&gt;Parasaur&lt;/li&gt;</v>
      </c>
    </row>
    <row r="104" spans="9:17" x14ac:dyDescent="0.25">
      <c r="J104" s="16"/>
      <c r="O104" s="16"/>
      <c r="Q104" s="16" t="str">
        <f>Animals!$C$372</f>
        <v>&lt;li&gt;Dryosaurus&lt;/li&gt;</v>
      </c>
    </row>
    <row r="105" spans="9:17" x14ac:dyDescent="0.25">
      <c r="J105" s="16"/>
      <c r="O105" s="16"/>
      <c r="Q105" s="16" t="str">
        <f>Animals!$C$357</f>
        <v>&lt;li&gt;Magyarosaurus&lt;/li&gt;</v>
      </c>
    </row>
    <row r="106" spans="9:17" x14ac:dyDescent="0.25">
      <c r="J106" s="16"/>
      <c r="O106" s="16"/>
      <c r="Q106" s="16" t="str">
        <f>Animals!$C$376</f>
        <v>&lt;li&gt;Quetzalcoatlus&lt;/li&gt;</v>
      </c>
    </row>
    <row r="107" spans="9:17" x14ac:dyDescent="0.25">
      <c r="J107" s="16"/>
      <c r="O107" s="16"/>
      <c r="Q107" s="16" t="str">
        <f>Animals!$C$377</f>
        <v>&lt;li&gt;Pteranodon&lt;/li&gt;</v>
      </c>
    </row>
    <row r="108" spans="9:17" x14ac:dyDescent="0.25">
      <c r="J108" s="16"/>
    </row>
    <row r="109" spans="9:17" x14ac:dyDescent="0.25">
      <c r="J109" s="16"/>
    </row>
    <row r="110" spans="9:17" x14ac:dyDescent="0.25">
      <c r="J110" s="16"/>
    </row>
    <row r="111" spans="9:17" x14ac:dyDescent="0.25">
      <c r="J111" s="16"/>
    </row>
    <row r="112" spans="9:17" x14ac:dyDescent="0.25">
      <c r="J112" s="16"/>
    </row>
    <row r="113" spans="10:10" x14ac:dyDescent="0.25">
      <c r="J113" s="16"/>
    </row>
    <row r="114" spans="10:10" x14ac:dyDescent="0.25">
      <c r="J114" s="16"/>
    </row>
    <row r="115" spans="10:10" x14ac:dyDescent="0.25">
      <c r="J115" s="16"/>
    </row>
    <row r="116" spans="10:10" x14ac:dyDescent="0.25">
      <c r="J116" s="16"/>
    </row>
    <row r="117" spans="10:10" x14ac:dyDescent="0.25">
      <c r="J117" s="16"/>
    </row>
    <row r="118" spans="10:10" x14ac:dyDescent="0.25">
      <c r="J118" s="16"/>
    </row>
    <row r="119" spans="10:10" x14ac:dyDescent="0.25">
      <c r="J119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32AA8-348F-477F-B0C4-82A6D3122A12}">
  <dimension ref="A1:U40"/>
  <sheetViews>
    <sheetView topLeftCell="A22" workbookViewId="0">
      <selection activeCell="L34" sqref="L34"/>
    </sheetView>
  </sheetViews>
  <sheetFormatPr defaultRowHeight="15" x14ac:dyDescent="0.25"/>
  <cols>
    <col min="1" max="1" width="19.140625" bestFit="1" customWidth="1"/>
    <col min="2" max="2" width="25.42578125" bestFit="1" customWidth="1"/>
    <col min="3" max="3" width="19" bestFit="1" customWidth="1"/>
    <col min="4" max="4" width="18.28515625" bestFit="1" customWidth="1"/>
    <col min="5" max="5" width="15" bestFit="1" customWidth="1"/>
    <col min="6" max="6" width="27.42578125" bestFit="1" customWidth="1"/>
    <col min="7" max="7" width="28.7109375" bestFit="1" customWidth="1"/>
    <col min="8" max="8" width="9.5703125" bestFit="1" customWidth="1"/>
    <col min="9" max="9" width="10.42578125" bestFit="1" customWidth="1"/>
    <col min="11" max="11" width="10.85546875" bestFit="1" customWidth="1"/>
    <col min="12" max="12" width="32.140625" bestFit="1" customWidth="1"/>
    <col min="13" max="13" width="12.28515625" bestFit="1" customWidth="1"/>
    <col min="14" max="14" width="9.85546875" bestFit="1" customWidth="1"/>
    <col min="16" max="16" width="10.85546875" style="16" bestFit="1" customWidth="1"/>
    <col min="17" max="17" width="32.140625" bestFit="1" customWidth="1"/>
    <col min="18" max="18" width="16.140625" bestFit="1" customWidth="1"/>
    <col min="19" max="19" width="13.28515625" bestFit="1" customWidth="1"/>
    <col min="20" max="21" width="21.42578125" bestFit="1" customWidth="1"/>
  </cols>
  <sheetData>
    <row r="1" spans="1:21" x14ac:dyDescent="0.25">
      <c r="A1" s="21" t="s">
        <v>300</v>
      </c>
      <c r="B1" s="21" t="s">
        <v>232</v>
      </c>
      <c r="C1" s="21" t="s">
        <v>416</v>
      </c>
      <c r="D1" s="21" t="s">
        <v>413</v>
      </c>
      <c r="E1" s="21" t="s">
        <v>414</v>
      </c>
      <c r="F1" s="21" t="s">
        <v>415</v>
      </c>
      <c r="G1" s="21" t="s">
        <v>299</v>
      </c>
      <c r="H1" s="21" t="s">
        <v>297</v>
      </c>
      <c r="I1" s="21" t="s">
        <v>298</v>
      </c>
      <c r="K1" s="21" t="s">
        <v>300</v>
      </c>
      <c r="L1" s="21" t="s">
        <v>409</v>
      </c>
      <c r="M1" s="21" t="s">
        <v>411</v>
      </c>
      <c r="N1" s="21" t="s">
        <v>412</v>
      </c>
      <c r="P1" s="21" t="s">
        <v>300</v>
      </c>
      <c r="Q1" s="21" t="s">
        <v>409</v>
      </c>
      <c r="R1" s="21" t="s">
        <v>608</v>
      </c>
      <c r="S1" s="21" t="s">
        <v>617</v>
      </c>
      <c r="T1" s="21" t="s">
        <v>619</v>
      </c>
      <c r="U1" s="21" t="s">
        <v>618</v>
      </c>
    </row>
    <row r="2" spans="1:21" x14ac:dyDescent="0.25">
      <c r="A2" t="str">
        <f>Animals!A5</f>
        <v>Ostrich</v>
      </c>
      <c r="B2" s="6" t="str">
        <f>_xlfn.XLOOKUP(A2,Animals!A:A,Animals!B:B)</f>
        <v>Struthio camelus</v>
      </c>
      <c r="C2" s="16">
        <f t="shared" ref="C2" si="0">MROUND(G2/(365/60),1)</f>
        <v>8</v>
      </c>
      <c r="D2" s="17">
        <f t="shared" ref="D2" si="1">MAX(1,(1/(H2/365))*(60/365)*I2)</f>
        <v>15.6</v>
      </c>
      <c r="E2" s="5" t="str">
        <f t="shared" ref="E2" si="2">IF(I2=1,1,MROUND(I2*0.7,IF(I2&gt;10,5,1))&amp;"~"&amp;MROUND(I2*1.3,IF(I2&gt;10,5,1)))</f>
        <v>10~15</v>
      </c>
      <c r="F2" t="str">
        <f>_xlfn.XLOOKUP(A:A,Animals!A:A,Animals!C:C)</f>
        <v>&lt;li&gt;Ostrich&lt;/li&gt;</v>
      </c>
      <c r="G2">
        <f>AVERAGE(39,53)</f>
        <v>46</v>
      </c>
      <c r="H2" s="16">
        <f>AVERAGE(40,60)</f>
        <v>50</v>
      </c>
      <c r="I2">
        <v>13</v>
      </c>
      <c r="K2" t="s">
        <v>139</v>
      </c>
      <c r="L2">
        <f>_xlfn.XLOOKUP(K2,Meat!A:A,Meat!G:G)</f>
        <v>1.8400000000000003</v>
      </c>
      <c r="M2" s="19">
        <v>0.55000000000000004</v>
      </c>
      <c r="N2">
        <f t="shared" ref="N2:N8" si="3">MROUND(L2/0.05*M2,2)</f>
        <v>20</v>
      </c>
      <c r="P2" s="16" t="s">
        <v>98</v>
      </c>
      <c r="Q2">
        <f>_xlfn.XLOOKUP(P2,Meat!A:A,Meat!G:G)</f>
        <v>0.96000000000000019</v>
      </c>
      <c r="R2" t="s">
        <v>609</v>
      </c>
      <c r="S2" s="19">
        <v>0.25</v>
      </c>
      <c r="T2" s="17">
        <f>MROUND(Q2/0.05*S2,0.5)</f>
        <v>5</v>
      </c>
      <c r="U2">
        <f>T2*10</f>
        <v>50</v>
      </c>
    </row>
    <row r="3" spans="1:21" x14ac:dyDescent="0.25">
      <c r="A3" s="16" t="str">
        <f>Animals!A6</f>
        <v>Cassowary</v>
      </c>
      <c r="B3" s="6" t="str">
        <f>_xlfn.XLOOKUP(A3,Animals!A:A,Animals!B:B)</f>
        <v>Casuarius casuarius</v>
      </c>
      <c r="C3" s="16">
        <f t="shared" ref="C3:C33" si="4">MROUND(G3/(365/60),1)</f>
        <v>8</v>
      </c>
      <c r="D3" s="17">
        <f t="shared" ref="D3:D33" si="5">MAX(1,(1/(H3/365))*(60/365)*I3)</f>
        <v>59.999999999999993</v>
      </c>
      <c r="E3" s="5" t="str">
        <f t="shared" ref="E3:E33" si="6">IF(I3=1,1,MROUND(I3*0.7,IF(I3&gt;10,5,1))&amp;"~"&amp;MROUND(I3*1.3,IF(I3&gt;10,5,1)))</f>
        <v>4~7</v>
      </c>
      <c r="F3" s="16" t="str">
        <f>_xlfn.XLOOKUP(A:A,Animals!A:A,Animals!C:C)</f>
        <v>&lt;li&gt;Cassowary&lt;/li&gt;</v>
      </c>
      <c r="G3">
        <f>AVERAGE(47,54)</f>
        <v>50.5</v>
      </c>
      <c r="H3" s="16">
        <f>AVERAGE(4,7)</f>
        <v>5.5</v>
      </c>
      <c r="I3">
        <v>5.5</v>
      </c>
      <c r="K3" t="s">
        <v>157</v>
      </c>
      <c r="L3" s="16">
        <f>_xlfn.XLOOKUP(K3,Meat!A:A,Meat!G:G)</f>
        <v>0.88000000000000012</v>
      </c>
      <c r="M3" s="19">
        <v>0.6</v>
      </c>
      <c r="N3" s="16">
        <f t="shared" si="3"/>
        <v>10</v>
      </c>
      <c r="P3" s="16" t="s">
        <v>159</v>
      </c>
      <c r="Q3" s="16">
        <f>_xlfn.XLOOKUP(P3,Meat!A:A,Meat!G:G)</f>
        <v>0.88000000000000012</v>
      </c>
      <c r="R3" s="16" t="s">
        <v>610</v>
      </c>
      <c r="S3" s="19">
        <v>0.25</v>
      </c>
      <c r="T3" s="17">
        <f t="shared" ref="T3:T10" si="7">MROUND(Q3/0.05*S3,0.5)</f>
        <v>4.5</v>
      </c>
      <c r="U3" s="16">
        <f t="shared" ref="U3:U10" si="8">T3*10</f>
        <v>45</v>
      </c>
    </row>
    <row r="4" spans="1:21" x14ac:dyDescent="0.25">
      <c r="A4" s="16" t="str">
        <f>Animals!A7</f>
        <v>Emu</v>
      </c>
      <c r="B4" s="6" t="str">
        <f>_xlfn.XLOOKUP(A4,Animals!A:A,Animals!B:B)</f>
        <v>Dromaius novaehollandiae</v>
      </c>
      <c r="C4" s="16">
        <f t="shared" si="4"/>
        <v>9</v>
      </c>
      <c r="D4" s="17">
        <f t="shared" si="5"/>
        <v>13.2</v>
      </c>
      <c r="E4" s="5" t="str">
        <f t="shared" si="6"/>
        <v>10~15</v>
      </c>
      <c r="F4" s="16" t="str">
        <f>_xlfn.XLOOKUP(A:A,Animals!A:A,Animals!C:C)</f>
        <v>&lt;li&gt;Emu&lt;/li&gt;</v>
      </c>
      <c r="G4" s="16">
        <v>52</v>
      </c>
      <c r="H4" s="16">
        <v>50</v>
      </c>
      <c r="I4" s="16">
        <v>11</v>
      </c>
      <c r="K4" t="s">
        <v>145</v>
      </c>
      <c r="L4" s="16">
        <f>_xlfn.XLOOKUP(K4,Meat!A:A,Meat!G:G)</f>
        <v>1.8400000000000003</v>
      </c>
      <c r="M4" s="19">
        <v>0.3</v>
      </c>
      <c r="N4" s="16">
        <f t="shared" si="3"/>
        <v>12</v>
      </c>
      <c r="P4" s="16" t="s">
        <v>164</v>
      </c>
      <c r="Q4" s="16">
        <f>_xlfn.XLOOKUP(P4,Meat!A:A,Meat!G:G)</f>
        <v>4.16</v>
      </c>
      <c r="R4" s="16" t="s">
        <v>611</v>
      </c>
      <c r="S4" s="19">
        <v>0.15</v>
      </c>
      <c r="T4" s="17">
        <f t="shared" si="7"/>
        <v>12.5</v>
      </c>
      <c r="U4" s="16">
        <f t="shared" si="8"/>
        <v>125</v>
      </c>
    </row>
    <row r="5" spans="1:21" x14ac:dyDescent="0.25">
      <c r="A5" s="16" t="str">
        <f>Animals!A8</f>
        <v>Turkey</v>
      </c>
      <c r="B5" s="6" t="str">
        <f>_xlfn.XLOOKUP(A5,Animals!A:A,Animals!B:B)</f>
        <v>Meleagris gallopavo (wild)</v>
      </c>
      <c r="C5" s="16">
        <f t="shared" si="4"/>
        <v>5</v>
      </c>
      <c r="D5" s="17">
        <f t="shared" si="5"/>
        <v>59.999999999999993</v>
      </c>
      <c r="E5" s="5" t="str">
        <f t="shared" si="6"/>
        <v>10~15</v>
      </c>
      <c r="F5" s="16" t="str">
        <f>_xlfn.XLOOKUP(A:A,Animals!A:A,Animals!C:C)</f>
        <v>&lt;li&gt;Turkey&lt;/li&gt;</v>
      </c>
      <c r="G5">
        <v>28</v>
      </c>
      <c r="H5">
        <v>11</v>
      </c>
      <c r="I5">
        <v>11</v>
      </c>
      <c r="K5" t="s">
        <v>90</v>
      </c>
      <c r="L5" s="16">
        <f>_xlfn.XLOOKUP(K5,Meat!A:A,Meat!G:G)</f>
        <v>1.7600000000000002</v>
      </c>
      <c r="M5" s="19">
        <v>0.3</v>
      </c>
      <c r="N5" s="16">
        <f t="shared" si="3"/>
        <v>10</v>
      </c>
      <c r="P5" s="16" t="s">
        <v>137</v>
      </c>
      <c r="Q5" s="16">
        <f>_xlfn.XLOOKUP(P5,Meat!A:A,Meat!G:G)</f>
        <v>1.8400000000000003</v>
      </c>
      <c r="R5" s="16" t="s">
        <v>612</v>
      </c>
      <c r="S5" s="19">
        <v>0.25</v>
      </c>
      <c r="T5" s="17">
        <f t="shared" si="7"/>
        <v>9</v>
      </c>
      <c r="U5" s="16">
        <f t="shared" si="8"/>
        <v>90</v>
      </c>
    </row>
    <row r="6" spans="1:21" x14ac:dyDescent="0.25">
      <c r="A6" s="16" t="str">
        <f>Animals!A9</f>
        <v>Goose</v>
      </c>
      <c r="B6" s="6" t="str">
        <f>_xlfn.XLOOKUP(A6,Animals!A:A,Animals!B:B)</f>
        <v>Anser anser (Adler)</v>
      </c>
      <c r="C6" s="16">
        <f t="shared" si="4"/>
        <v>5</v>
      </c>
      <c r="D6" s="17">
        <f t="shared" si="5"/>
        <v>2.1818181818181817</v>
      </c>
      <c r="E6" s="5">
        <f t="shared" si="6"/>
        <v>1</v>
      </c>
      <c r="F6" s="16" t="str">
        <f>_xlfn.XLOOKUP(A:A,Animals!A:A,Animals!C:C)</f>
        <v>&lt;li&gt;Goose&lt;/li&gt;</v>
      </c>
      <c r="G6" s="16">
        <v>30</v>
      </c>
      <c r="H6">
        <f>AVERAGE(25,30)</f>
        <v>27.5</v>
      </c>
      <c r="I6" s="16">
        <v>1</v>
      </c>
      <c r="K6" s="16" t="s">
        <v>88</v>
      </c>
      <c r="L6" s="16">
        <f>_xlfn.XLOOKUP(K6,Meat!A:A,Meat!G:G)</f>
        <v>1.7600000000000002</v>
      </c>
      <c r="M6" s="19">
        <v>0.3</v>
      </c>
      <c r="N6" s="16">
        <f t="shared" si="3"/>
        <v>10</v>
      </c>
      <c r="P6" s="16" t="s">
        <v>143</v>
      </c>
      <c r="Q6" s="16">
        <f>_xlfn.XLOOKUP(P6,Meat!A:A,Meat!G:G)</f>
        <v>1.6800000000000002</v>
      </c>
      <c r="R6" s="16" t="s">
        <v>613</v>
      </c>
      <c r="S6" s="19">
        <v>0.25</v>
      </c>
      <c r="T6" s="17">
        <f t="shared" si="7"/>
        <v>8.5</v>
      </c>
      <c r="U6" s="16">
        <f t="shared" si="8"/>
        <v>85</v>
      </c>
    </row>
    <row r="7" spans="1:21" x14ac:dyDescent="0.25">
      <c r="A7" s="16" t="str">
        <f>Animals!A10</f>
        <v>Duck</v>
      </c>
      <c r="B7" s="6" t="str">
        <f>_xlfn.XLOOKUP(A7,Animals!A:A,Animals!B:B)</f>
        <v>Anas platyrhynchos (wild)</v>
      </c>
      <c r="C7" s="16">
        <f t="shared" si="4"/>
        <v>4</v>
      </c>
      <c r="D7" s="17">
        <f t="shared" si="5"/>
        <v>60</v>
      </c>
      <c r="E7" s="5" t="str">
        <f t="shared" si="6"/>
        <v>6~12</v>
      </c>
      <c r="F7" s="16" t="str">
        <f>_xlfn.XLOOKUP(A:A,Animals!A:A,Animals!C:C)</f>
        <v>&lt;li&gt;Duck&lt;/li&gt;</v>
      </c>
      <c r="G7">
        <v>26</v>
      </c>
      <c r="H7">
        <v>9</v>
      </c>
      <c r="I7">
        <v>9</v>
      </c>
      <c r="K7" t="s">
        <v>153</v>
      </c>
      <c r="L7" s="16">
        <f>_xlfn.XLOOKUP(K7,Meat!A:A,Meat!G:G)</f>
        <v>1.04</v>
      </c>
      <c r="M7" s="19">
        <v>0.3</v>
      </c>
      <c r="N7" s="16">
        <f t="shared" si="3"/>
        <v>6</v>
      </c>
      <c r="P7" s="16" t="s">
        <v>204</v>
      </c>
      <c r="Q7" s="16">
        <f>_xlfn.XLOOKUP(P7,Meat!A:A,Meat!G:G)</f>
        <v>1.5200000000000002</v>
      </c>
      <c r="R7" s="16" t="s">
        <v>614</v>
      </c>
      <c r="S7" s="19">
        <v>0.25</v>
      </c>
      <c r="T7" s="17">
        <f t="shared" si="7"/>
        <v>7.5</v>
      </c>
      <c r="U7" s="16">
        <f t="shared" si="8"/>
        <v>75</v>
      </c>
    </row>
    <row r="8" spans="1:21" x14ac:dyDescent="0.25">
      <c r="A8" s="16" t="str">
        <f>Animals!A11</f>
        <v>Chicken</v>
      </c>
      <c r="B8" s="6" t="str">
        <f>_xlfn.XLOOKUP(A8,Animals!A:A,Animals!B:B)</f>
        <v>Gallus gallus</v>
      </c>
      <c r="C8" s="16">
        <f t="shared" si="4"/>
        <v>3</v>
      </c>
      <c r="D8" s="17">
        <f t="shared" si="5"/>
        <v>1</v>
      </c>
      <c r="E8" s="5">
        <f t="shared" si="6"/>
        <v>1</v>
      </c>
      <c r="F8" s="16" t="str">
        <f>_xlfn.XLOOKUP(A:A,Animals!A:A,Animals!C:C)</f>
        <v>&lt;li&gt;Chicken&lt;/li&gt;</v>
      </c>
      <c r="G8">
        <v>21</v>
      </c>
      <c r="H8">
        <v>220</v>
      </c>
      <c r="I8">
        <v>1</v>
      </c>
      <c r="K8" t="s">
        <v>149</v>
      </c>
      <c r="L8" s="16">
        <f>_xlfn.XLOOKUP(K8,Meat!A:A,Meat!G:G)</f>
        <v>1.3600000000000003</v>
      </c>
      <c r="M8" s="19">
        <v>0.3</v>
      </c>
      <c r="N8" s="16">
        <f t="shared" si="3"/>
        <v>8</v>
      </c>
      <c r="P8" s="16" t="s">
        <v>277</v>
      </c>
      <c r="Q8" s="16">
        <f>_xlfn.XLOOKUP(P8,Meat!A:A,Meat!G:G)</f>
        <v>4.5600000000000005</v>
      </c>
      <c r="R8" s="16" t="s">
        <v>615</v>
      </c>
      <c r="S8" s="19">
        <v>0.15</v>
      </c>
      <c r="T8" s="17">
        <f t="shared" si="7"/>
        <v>13.5</v>
      </c>
      <c r="U8" s="16">
        <f t="shared" si="8"/>
        <v>135</v>
      </c>
    </row>
    <row r="9" spans="1:21" x14ac:dyDescent="0.25">
      <c r="A9" s="16" t="str">
        <f>Animals!A32</f>
        <v>Iguana</v>
      </c>
      <c r="B9" s="6" t="str">
        <f>_xlfn.XLOOKUP(A9,Animals!A:A,Animals!B:B)</f>
        <v>Iguana iguana</v>
      </c>
      <c r="C9" s="16">
        <f t="shared" si="4"/>
        <v>15</v>
      </c>
      <c r="D9" s="17">
        <f t="shared" si="5"/>
        <v>60</v>
      </c>
      <c r="E9" s="5" t="str">
        <f t="shared" si="6"/>
        <v>30~60</v>
      </c>
      <c r="F9" s="16" t="str">
        <f>_xlfn.XLOOKUP(A:A,Animals!A:A,Animals!C:C)</f>
        <v>&lt;li&gt;Iguana&lt;/li&gt;</v>
      </c>
      <c r="G9">
        <v>92.1</v>
      </c>
      <c r="H9">
        <f>I9</f>
        <v>45</v>
      </c>
      <c r="I9">
        <f>AVERAGE(14,76)</f>
        <v>45</v>
      </c>
      <c r="K9" t="s">
        <v>86</v>
      </c>
      <c r="L9" s="16">
        <f>_xlfn.XLOOKUP(K9,Meat!A:A,Meat!G:G)</f>
        <v>1.8400000000000003</v>
      </c>
      <c r="M9" s="19">
        <v>0.3</v>
      </c>
      <c r="N9" s="16">
        <f t="shared" ref="N9" si="9">MROUND(L9/0.05*M9,2)</f>
        <v>12</v>
      </c>
      <c r="O9" s="16"/>
      <c r="P9" s="16" t="s">
        <v>86</v>
      </c>
      <c r="Q9" s="16">
        <f>_xlfn.XLOOKUP(P9,Meat!A:A,Meat!G:G)</f>
        <v>1.8400000000000003</v>
      </c>
      <c r="R9" s="16" t="s">
        <v>616</v>
      </c>
      <c r="S9" s="19">
        <v>0.25</v>
      </c>
      <c r="T9" s="17">
        <f t="shared" si="7"/>
        <v>9</v>
      </c>
      <c r="U9" s="16">
        <f t="shared" si="8"/>
        <v>90</v>
      </c>
    </row>
    <row r="10" spans="1:21" x14ac:dyDescent="0.25">
      <c r="A10" s="16" t="str">
        <f>Animals!A33</f>
        <v>Cobra</v>
      </c>
      <c r="B10" s="6" t="str">
        <f>_xlfn.XLOOKUP(A10,Animals!A:A,Animals!B:B)</f>
        <v>Ophiophagus hannah</v>
      </c>
      <c r="C10" s="16">
        <f t="shared" si="4"/>
        <v>14</v>
      </c>
      <c r="D10" s="17">
        <f t="shared" si="5"/>
        <v>60</v>
      </c>
      <c r="E10" s="5" t="str">
        <f t="shared" si="6"/>
        <v>20~35</v>
      </c>
      <c r="F10" s="16" t="str">
        <f>_xlfn.XLOOKUP(A:A,Animals!A:A,Animals!C:C)</f>
        <v>&lt;li&gt;Cobra&lt;/li&gt;</v>
      </c>
      <c r="G10" s="16">
        <f>AVERAGE(70,100)</f>
        <v>85</v>
      </c>
      <c r="H10">
        <f>I10</f>
        <v>28.5</v>
      </c>
      <c r="I10" s="16">
        <f>AVERAGE(7,50)</f>
        <v>28.5</v>
      </c>
      <c r="P10" s="16" t="s">
        <v>88</v>
      </c>
      <c r="Q10" s="16">
        <f>_xlfn.XLOOKUP(P10,Meat!A:A,Meat!G:G)</f>
        <v>1.7600000000000002</v>
      </c>
      <c r="R10" s="16" t="s">
        <v>616</v>
      </c>
      <c r="S10" s="19">
        <v>0.25</v>
      </c>
      <c r="T10" s="17">
        <f t="shared" si="7"/>
        <v>9</v>
      </c>
      <c r="U10" s="16">
        <f t="shared" si="8"/>
        <v>90</v>
      </c>
    </row>
    <row r="11" spans="1:21" x14ac:dyDescent="0.25">
      <c r="A11" s="16" t="str">
        <f>Animals!A34</f>
        <v>Tortoise</v>
      </c>
      <c r="B11" s="6" t="str">
        <f>_xlfn.XLOOKUP(A11,Animals!A:A,Animals!B:B)</f>
        <v>Manouria emys</v>
      </c>
      <c r="C11" s="16">
        <f t="shared" si="4"/>
        <v>12</v>
      </c>
      <c r="D11" s="17">
        <f t="shared" si="5"/>
        <v>60</v>
      </c>
      <c r="E11" s="5" t="str">
        <f t="shared" si="6"/>
        <v>35~70</v>
      </c>
      <c r="F11" s="16" t="str">
        <f>_xlfn.XLOOKUP(A:A,Animals!A:A,Animals!C:C)</f>
        <v>&lt;li&gt;Tortoise&lt;/li&gt;</v>
      </c>
      <c r="G11">
        <f>AVERAGE(63,84)</f>
        <v>73.5</v>
      </c>
      <c r="H11" s="16">
        <f>I11</f>
        <v>53</v>
      </c>
      <c r="I11">
        <v>53</v>
      </c>
    </row>
    <row r="12" spans="1:21" x14ac:dyDescent="0.25">
      <c r="A12" s="16" t="str">
        <f>Animals!A63</f>
        <v>Sparrow</v>
      </c>
      <c r="B12" s="6" t="str">
        <f>_xlfn.XLOOKUP(A12,Animals!A:A,Animals!B:B)</f>
        <v>Passer domesticus</v>
      </c>
      <c r="C12" s="16">
        <f t="shared" si="4"/>
        <v>2</v>
      </c>
      <c r="D12" s="17">
        <f t="shared" si="5"/>
        <v>15</v>
      </c>
      <c r="E12" s="5" t="str">
        <f t="shared" si="6"/>
        <v>4~7</v>
      </c>
      <c r="F12" s="16" t="str">
        <f>_xlfn.XLOOKUP(A:A,Animals!A:A,Animals!C:C)</f>
        <v>&lt;li&gt;Sparrow&lt;/li&gt;</v>
      </c>
      <c r="G12">
        <v>11</v>
      </c>
      <c r="H12">
        <v>20</v>
      </c>
      <c r="I12" s="16">
        <v>5</v>
      </c>
    </row>
    <row r="13" spans="1:21" x14ac:dyDescent="0.25">
      <c r="A13" s="16" t="str">
        <f>Animals!A64</f>
        <v>Bluebird</v>
      </c>
      <c r="B13" s="6" t="str">
        <f>_xlfn.XLOOKUP(A13,Animals!A:A,Animals!B:B)</f>
        <v>Sialia sialis</v>
      </c>
      <c r="C13" s="16">
        <f t="shared" si="4"/>
        <v>2</v>
      </c>
      <c r="D13" s="17">
        <f t="shared" si="5"/>
        <v>30</v>
      </c>
      <c r="E13" s="5" t="str">
        <f t="shared" si="6"/>
        <v>3~5</v>
      </c>
      <c r="F13" s="16" t="str">
        <f>_xlfn.XLOOKUP(A:A,Animals!A:A,Animals!C:C)</f>
        <v>&lt;li&gt;Bluebird&lt;/li&gt;</v>
      </c>
      <c r="G13" s="16">
        <v>14</v>
      </c>
      <c r="H13" s="16">
        <v>8</v>
      </c>
      <c r="I13" s="16">
        <v>4</v>
      </c>
    </row>
    <row r="14" spans="1:21" x14ac:dyDescent="0.25">
      <c r="A14" s="16" t="str">
        <f>Animals!A65</f>
        <v>Crow</v>
      </c>
      <c r="B14" s="6" t="str">
        <f>_xlfn.XLOOKUP(A14,Animals!A:A,Animals!B:B)</f>
        <v>Corvus corone</v>
      </c>
      <c r="C14" s="16">
        <f t="shared" si="4"/>
        <v>4</v>
      </c>
      <c r="D14" s="17">
        <f t="shared" si="5"/>
        <v>60</v>
      </c>
      <c r="E14" s="5" t="str">
        <f t="shared" si="6"/>
        <v>3~6</v>
      </c>
      <c r="F14" s="16" t="str">
        <f>_xlfn.XLOOKUP(A:A,Animals!A:A,Animals!C:C)</f>
        <v>&lt;li&gt;Crow&lt;/li&gt;</v>
      </c>
      <c r="G14">
        <v>22</v>
      </c>
      <c r="H14">
        <f>I14</f>
        <v>4.5999999999999996</v>
      </c>
      <c r="I14">
        <v>4.5999999999999996</v>
      </c>
    </row>
    <row r="15" spans="1:21" x14ac:dyDescent="0.25">
      <c r="A15" s="16" t="str">
        <f>Animals!A66</f>
        <v>Macaw</v>
      </c>
      <c r="B15" s="6" t="str">
        <f>_xlfn.XLOOKUP(A15,Animals!A:A,Animals!B:B)</f>
        <v>Ara macao</v>
      </c>
      <c r="C15" s="16">
        <f t="shared" si="4"/>
        <v>5</v>
      </c>
      <c r="D15" s="17">
        <f t="shared" si="5"/>
        <v>60</v>
      </c>
      <c r="E15" s="5" t="str">
        <f t="shared" si="6"/>
        <v>1~3</v>
      </c>
      <c r="F15" s="16" t="str">
        <f>_xlfn.XLOOKUP(A:A,Animals!A:A,Animals!C:C)</f>
        <v>&lt;li&gt;Macaw&lt;/li&gt;</v>
      </c>
      <c r="G15">
        <v>28</v>
      </c>
      <c r="H15">
        <f>I15</f>
        <v>2</v>
      </c>
      <c r="I15">
        <v>2</v>
      </c>
    </row>
    <row r="16" spans="1:21" x14ac:dyDescent="0.25">
      <c r="A16" s="16" t="str">
        <f>Animals!A67</f>
        <v>Quail</v>
      </c>
      <c r="B16" s="6" t="str">
        <f>_xlfn.XLOOKUP(A16,Animals!A:A,Animals!B:B)</f>
        <v>Coturnix coturnix</v>
      </c>
      <c r="C16" s="16">
        <f t="shared" si="4"/>
        <v>3</v>
      </c>
      <c r="D16" s="17">
        <f t="shared" si="5"/>
        <v>20</v>
      </c>
      <c r="E16" s="5" t="str">
        <f t="shared" si="6"/>
        <v>7~13</v>
      </c>
      <c r="F16" s="16" t="str">
        <f>_xlfn.XLOOKUP(A:A,Animals!A:A,Animals!C:C)</f>
        <v>&lt;li&gt;Quail&lt;/li&gt;</v>
      </c>
      <c r="G16">
        <v>18</v>
      </c>
      <c r="H16">
        <v>30</v>
      </c>
      <c r="I16">
        <v>10</v>
      </c>
    </row>
    <row r="17" spans="1:9" x14ac:dyDescent="0.25">
      <c r="A17" s="16" t="str">
        <f>Animals!A68</f>
        <v>Swan</v>
      </c>
      <c r="B17" s="6" t="str">
        <f>_xlfn.XLOOKUP(A17,Animals!A:A,Animals!B:B)</f>
        <v>Cygnus olor</v>
      </c>
      <c r="C17" s="16">
        <f t="shared" si="4"/>
        <v>6</v>
      </c>
      <c r="D17" s="17">
        <f t="shared" si="5"/>
        <v>59.999999999999993</v>
      </c>
      <c r="E17" s="5" t="str">
        <f t="shared" si="6"/>
        <v>4~7</v>
      </c>
      <c r="F17" s="16" t="str">
        <f>_xlfn.XLOOKUP(A:A,Animals!A:A,Animals!C:C)</f>
        <v>&lt;li&gt;Swan&lt;/li&gt;</v>
      </c>
      <c r="G17" s="16">
        <v>36</v>
      </c>
      <c r="H17">
        <v>5.3</v>
      </c>
      <c r="I17">
        <v>5.3</v>
      </c>
    </row>
    <row r="18" spans="1:9" x14ac:dyDescent="0.25">
      <c r="A18" s="16" t="str">
        <f>Animals!A69</f>
        <v>Heron</v>
      </c>
      <c r="B18" s="6" t="str">
        <f>_xlfn.XLOOKUP(A18,Animals!A:A,Animals!B:B)</f>
        <v>Ardea cinerea</v>
      </c>
      <c r="C18" s="16">
        <f t="shared" si="4"/>
        <v>4</v>
      </c>
      <c r="D18" s="17">
        <f t="shared" si="5"/>
        <v>59.999999999999993</v>
      </c>
      <c r="E18" s="5" t="str">
        <f t="shared" si="6"/>
        <v>3~6</v>
      </c>
      <c r="F18" s="16" t="str">
        <f>_xlfn.XLOOKUP(A:A,Animals!A:A,Animals!C:C)</f>
        <v>&lt;li&gt;Heron&lt;/li&gt;</v>
      </c>
      <c r="G18" s="16">
        <f>AVERAGE(25,28)</f>
        <v>26.5</v>
      </c>
      <c r="H18" s="16">
        <v>4.33</v>
      </c>
      <c r="I18">
        <v>4.33</v>
      </c>
    </row>
    <row r="19" spans="1:9" x14ac:dyDescent="0.25">
      <c r="A19" s="16" t="str">
        <f>Animals!A70</f>
        <v>Flamingo</v>
      </c>
      <c r="B19" s="6" t="str">
        <f>_xlfn.XLOOKUP(A19,Animals!A:A,Animals!B:B)</f>
        <v>Phoenicopterus roseus</v>
      </c>
      <c r="C19" s="16">
        <f t="shared" si="4"/>
        <v>5</v>
      </c>
      <c r="D19" s="17">
        <f t="shared" si="5"/>
        <v>60</v>
      </c>
      <c r="E19" s="5">
        <f t="shared" si="6"/>
        <v>1</v>
      </c>
      <c r="F19" s="16" t="str">
        <f>_xlfn.XLOOKUP(A:A,Animals!A:A,Animals!C:C)</f>
        <v>&lt;li&gt;Flamingo&lt;/li&gt;</v>
      </c>
      <c r="G19" s="16">
        <f>AVERAGE(27,31)</f>
        <v>29</v>
      </c>
      <c r="H19" s="16">
        <v>1</v>
      </c>
      <c r="I19">
        <v>1</v>
      </c>
    </row>
    <row r="20" spans="1:9" x14ac:dyDescent="0.25">
      <c r="A20" s="16" t="str">
        <f>Animals!A71</f>
        <v>Penguin</v>
      </c>
      <c r="B20" s="6" t="str">
        <f>_xlfn.XLOOKUP(A20,Animals!A:A,Animals!B:B)</f>
        <v>Aptenodytes forsteri</v>
      </c>
      <c r="C20" s="16">
        <f t="shared" si="4"/>
        <v>11</v>
      </c>
      <c r="D20" s="17">
        <f t="shared" si="5"/>
        <v>60</v>
      </c>
      <c r="E20" s="5">
        <f t="shared" si="6"/>
        <v>1</v>
      </c>
      <c r="F20" s="16" t="str">
        <f>_xlfn.XLOOKUP(A:A,Animals!A:A,Animals!C:C)</f>
        <v>&lt;li&gt;Penguin&lt;/li&gt;</v>
      </c>
      <c r="G20" s="16">
        <v>64</v>
      </c>
      <c r="H20">
        <v>1</v>
      </c>
      <c r="I20">
        <v>1</v>
      </c>
    </row>
    <row r="21" spans="1:9" x14ac:dyDescent="0.25">
      <c r="A21" s="16" t="str">
        <f>Animals!A72</f>
        <v>Peacock</v>
      </c>
      <c r="B21" s="6" t="str">
        <f>_xlfn.XLOOKUP(A21,Animals!A:A,Animals!B:B)</f>
        <v>Pavo cristatus</v>
      </c>
      <c r="C21" s="16">
        <f t="shared" si="4"/>
        <v>5</v>
      </c>
      <c r="D21" s="17">
        <f t="shared" si="5"/>
        <v>13.100436681222707</v>
      </c>
      <c r="E21" s="5" t="str">
        <f t="shared" si="6"/>
        <v>4~7</v>
      </c>
      <c r="F21" s="16" t="str">
        <f>_xlfn.XLOOKUP(A:A,Animals!A:A,Animals!C:C)</f>
        <v>&lt;li&gt;Peacock&lt;/li&gt;</v>
      </c>
      <c r="G21">
        <v>29</v>
      </c>
      <c r="H21">
        <v>22.9</v>
      </c>
      <c r="I21">
        <v>5</v>
      </c>
    </row>
    <row r="22" spans="1:9" x14ac:dyDescent="0.25">
      <c r="A22" s="16" t="str">
        <f>Animals!A73</f>
        <v>Vulture</v>
      </c>
      <c r="B22" s="6" t="str">
        <f>_xlfn.XLOOKUP(A22,Animals!A:A,Animals!B:B)</f>
        <v>Gyps africanus</v>
      </c>
      <c r="C22" s="16">
        <f t="shared" si="4"/>
        <v>9</v>
      </c>
      <c r="D22" s="17">
        <f t="shared" si="5"/>
        <v>60</v>
      </c>
      <c r="E22" s="5">
        <f t="shared" si="6"/>
        <v>1</v>
      </c>
      <c r="F22" s="16" t="str">
        <f>_xlfn.XLOOKUP(A:A,Animals!A:A,Animals!C:C)</f>
        <v>&lt;li&gt;Vulture&lt;/li&gt;</v>
      </c>
      <c r="G22">
        <v>56</v>
      </c>
      <c r="H22">
        <v>1</v>
      </c>
      <c r="I22">
        <v>1</v>
      </c>
    </row>
    <row r="23" spans="1:9" x14ac:dyDescent="0.25">
      <c r="A23" s="16" t="str">
        <f>Animals!A90</f>
        <v>MonitorLizard</v>
      </c>
      <c r="B23" s="6" t="str">
        <f>_xlfn.XLOOKUP(A23,Animals!A:A,Animals!B:B)</f>
        <v>Varanus komodoensis</v>
      </c>
      <c r="C23" s="16">
        <f t="shared" si="4"/>
        <v>8</v>
      </c>
      <c r="D23" s="17">
        <f t="shared" si="5"/>
        <v>59.999999999999993</v>
      </c>
      <c r="E23" s="5" t="str">
        <f t="shared" si="6"/>
        <v>15~30</v>
      </c>
      <c r="F23" s="16" t="str">
        <f>_xlfn.XLOOKUP(A:A,Animals!A:A,Animals!C:C)</f>
        <v>&lt;li&gt;MonitorLizard&lt;/li&gt;</v>
      </c>
      <c r="G23">
        <v>49</v>
      </c>
      <c r="H23" s="16">
        <v>22</v>
      </c>
      <c r="I23">
        <v>22</v>
      </c>
    </row>
    <row r="24" spans="1:9" x14ac:dyDescent="0.25">
      <c r="A24" s="16" t="str">
        <f>Animals!A91</f>
        <v>Alligator</v>
      </c>
      <c r="B24" s="6" t="str">
        <f>_xlfn.XLOOKUP(A24,Animals!A:A,Animals!B:B)</f>
        <v>Alligator mississippiensis</v>
      </c>
      <c r="C24" s="16">
        <f t="shared" si="4"/>
        <v>11</v>
      </c>
      <c r="D24" s="17">
        <f t="shared" si="5"/>
        <v>59.999999999999993</v>
      </c>
      <c r="E24" s="5" t="str">
        <f t="shared" si="6"/>
        <v>30~50</v>
      </c>
      <c r="F24" s="16" t="str">
        <f>_xlfn.XLOOKUP(A:A,Animals!A:A,Animals!C:C)</f>
        <v>&lt;li&gt;Alligator&lt;/li&gt;</v>
      </c>
      <c r="G24">
        <v>66</v>
      </c>
      <c r="H24" s="16">
        <f>I24</f>
        <v>39.5</v>
      </c>
      <c r="I24">
        <v>39.5</v>
      </c>
    </row>
    <row r="25" spans="1:9" x14ac:dyDescent="0.25">
      <c r="A25" s="16" t="str">
        <f>Animals!A92</f>
        <v>SeaTurtle</v>
      </c>
      <c r="B25" s="6" t="str">
        <f>_xlfn.XLOOKUP(A25,Animals!A:A,Animals!B:B)</f>
        <v>Chelonia mydas</v>
      </c>
      <c r="C25" s="16">
        <f t="shared" si="4"/>
        <v>10</v>
      </c>
      <c r="D25" s="17">
        <f t="shared" si="5"/>
        <v>60</v>
      </c>
      <c r="E25" s="5" t="str">
        <f t="shared" si="6"/>
        <v>105~195</v>
      </c>
      <c r="F25" s="16" t="str">
        <f>_xlfn.XLOOKUP(A:A,Animals!A:A,Animals!C:C)</f>
        <v>&lt;li&gt;SeaTurtle&lt;/li&gt;</v>
      </c>
      <c r="G25">
        <v>59</v>
      </c>
      <c r="H25">
        <v>150</v>
      </c>
      <c r="I25">
        <v>150</v>
      </c>
    </row>
    <row r="26" spans="1:9" x14ac:dyDescent="0.25">
      <c r="A26" s="16" t="str">
        <f>Animals!A76</f>
        <v>Bullfrog</v>
      </c>
      <c r="B26" s="6" t="str">
        <f>_xlfn.XLOOKUP(A26,Animals!A:A,Animals!B:B)</f>
        <v>Lithobates catesbeianus</v>
      </c>
      <c r="C26" s="16">
        <f t="shared" si="4"/>
        <v>8</v>
      </c>
      <c r="D26" s="17">
        <f t="shared" si="5"/>
        <v>60</v>
      </c>
      <c r="E26" s="5" t="str">
        <f t="shared" si="6"/>
        <v>35~65</v>
      </c>
      <c r="F26" s="16" t="str">
        <f>_xlfn.XLOOKUP(A:A,Animals!A:A,Animals!C:C)</f>
        <v>&lt;li&gt;Bullfrog&lt;/li&gt;</v>
      </c>
      <c r="G26">
        <v>50</v>
      </c>
      <c r="H26" s="16">
        <v>50</v>
      </c>
      <c r="I26" s="16">
        <v>50</v>
      </c>
    </row>
    <row r="27" spans="1:9" x14ac:dyDescent="0.25">
      <c r="A27" t="s">
        <v>210</v>
      </c>
      <c r="B27" s="6" t="str">
        <f>_xlfn.XLOOKUP(A27,Animals!A:A,Animals!B:B)</f>
        <v>Macrobufo giganteus</v>
      </c>
      <c r="C27" s="16">
        <f t="shared" si="4"/>
        <v>16</v>
      </c>
      <c r="D27" s="17">
        <f t="shared" si="5"/>
        <v>60</v>
      </c>
      <c r="E27" s="5" t="str">
        <f t="shared" si="6"/>
        <v>70~130</v>
      </c>
      <c r="F27" s="16" t="str">
        <f>_xlfn.XLOOKUP(A:A,Animals!A:A,Animals!C:C)</f>
        <v>&lt;li&gt;ColossusToad&lt;/li&gt;</v>
      </c>
      <c r="G27" s="16">
        <v>100</v>
      </c>
      <c r="H27" s="16">
        <v>100</v>
      </c>
      <c r="I27" s="16">
        <v>100</v>
      </c>
    </row>
    <row r="28" spans="1:9" x14ac:dyDescent="0.25">
      <c r="A28" s="16" t="s">
        <v>283</v>
      </c>
      <c r="B28" s="6" t="str">
        <f>_xlfn.XLOOKUP(A28,Animals!A:A,Animals!B:B)</f>
        <v>Megaachatina magnus</v>
      </c>
      <c r="C28" s="16">
        <f t="shared" si="4"/>
        <v>16</v>
      </c>
      <c r="D28" s="17">
        <f t="shared" si="5"/>
        <v>60</v>
      </c>
      <c r="E28" s="5" t="str">
        <f t="shared" si="6"/>
        <v>70~130</v>
      </c>
      <c r="F28" s="16" t="str">
        <f>_xlfn.XLOOKUP(A:A,Animals!A:A,Animals!C:C)</f>
        <v>&lt;li&gt;LavaSnail&lt;/li&gt;</v>
      </c>
      <c r="G28">
        <v>100</v>
      </c>
      <c r="H28">
        <v>100</v>
      </c>
      <c r="I28">
        <v>100</v>
      </c>
    </row>
    <row r="29" spans="1:9" x14ac:dyDescent="0.25">
      <c r="A29" t="s">
        <v>458</v>
      </c>
      <c r="B29" s="6" t="str">
        <f>_xlfn.XLOOKUP(A29,Animals!A:A,Animals!B:B)</f>
        <v>Crocodylus porosus</v>
      </c>
      <c r="C29" s="16">
        <f t="shared" si="4"/>
        <v>17</v>
      </c>
      <c r="D29" s="17">
        <f t="shared" si="5"/>
        <v>60</v>
      </c>
      <c r="E29" s="5" t="str">
        <f t="shared" si="6"/>
        <v>35~65</v>
      </c>
      <c r="F29" s="16" t="str">
        <f>_xlfn.XLOOKUP(A:A,Animals!A:A,Animals!C:C)</f>
        <v>&lt;li&gt;AEXP_Crocodile&lt;/li&gt;</v>
      </c>
      <c r="G29">
        <v>101</v>
      </c>
      <c r="H29">
        <v>50</v>
      </c>
      <c r="I29" s="16">
        <v>50</v>
      </c>
    </row>
    <row r="30" spans="1:9" x14ac:dyDescent="0.25">
      <c r="A30" t="s">
        <v>465</v>
      </c>
      <c r="B30" s="6" t="str">
        <f>_xlfn.XLOOKUP(A30,Animals!A:A,Animals!B:B)</f>
        <v>Ornithorhynchus anatinus</v>
      </c>
      <c r="C30" s="16">
        <f t="shared" si="4"/>
        <v>3</v>
      </c>
      <c r="D30" s="17">
        <f t="shared" si="5"/>
        <v>60</v>
      </c>
      <c r="E30" s="5" t="str">
        <f t="shared" si="6"/>
        <v>1~3</v>
      </c>
      <c r="F30" s="16" t="str">
        <f>_xlfn.XLOOKUP(A:A,Animals!A:A,Animals!C:C)</f>
        <v>&lt;li&gt;AEXP_Platypus&lt;/li&gt;</v>
      </c>
      <c r="G30">
        <v>17</v>
      </c>
      <c r="H30">
        <v>2</v>
      </c>
      <c r="I30">
        <v>2</v>
      </c>
    </row>
    <row r="31" spans="1:9" x14ac:dyDescent="0.25">
      <c r="A31" t="s">
        <v>469</v>
      </c>
      <c r="B31" s="6" t="str">
        <f>_xlfn.XLOOKUP(A31,Animals!A:A,Animals!B:B)</f>
        <v>Centrochelys sulcata</v>
      </c>
      <c r="C31" s="16">
        <f t="shared" si="4"/>
        <v>16</v>
      </c>
      <c r="D31" s="17">
        <f t="shared" si="5"/>
        <v>20</v>
      </c>
      <c r="E31" s="5" t="str">
        <f t="shared" si="6"/>
        <v>15~25</v>
      </c>
      <c r="F31" s="16" t="str">
        <f>_xlfn.XLOOKUP(A:A,Animals!A:A,Animals!C:C)</f>
        <v>&lt;li&gt;AEXP_DesertTortoise&lt;/li&gt;</v>
      </c>
      <c r="G31">
        <v>100</v>
      </c>
      <c r="H31">
        <f>18*3</f>
        <v>54</v>
      </c>
      <c r="I31">
        <v>18</v>
      </c>
    </row>
    <row r="32" spans="1:9" x14ac:dyDescent="0.25">
      <c r="A32" t="s">
        <v>471</v>
      </c>
      <c r="B32" s="6" t="str">
        <f>_xlfn.XLOOKUP(A32,Animals!A:A,Animals!B:B)</f>
        <v>Heloderma horridum</v>
      </c>
      <c r="C32" s="16">
        <f t="shared" si="4"/>
        <v>30</v>
      </c>
      <c r="D32" s="17">
        <f t="shared" si="5"/>
        <v>60.000000000000014</v>
      </c>
      <c r="E32" s="5" t="str">
        <f t="shared" si="6"/>
        <v>10~15</v>
      </c>
      <c r="F32" s="16" t="str">
        <f>_xlfn.XLOOKUP(A:A,Animals!A:A,Animals!C:C)</f>
        <v>&lt;li&gt;AEXP_GilaMonster&lt;/li&gt;</v>
      </c>
      <c r="G32">
        <f>AVERAGE(180,185)</f>
        <v>182.5</v>
      </c>
      <c r="H32">
        <f>AVERAGE(2,22)</f>
        <v>12</v>
      </c>
      <c r="I32" s="16">
        <f>AVERAGE(2,22)</f>
        <v>12</v>
      </c>
    </row>
    <row r="33" spans="1:9" x14ac:dyDescent="0.25">
      <c r="A33" t="s">
        <v>638</v>
      </c>
      <c r="B33" s="6" t="str">
        <f>_xlfn.XLOOKUP(A33,Animals!A:A,Animals!B:B)</f>
        <v>Branta canadensis</v>
      </c>
      <c r="C33" s="16">
        <f t="shared" si="4"/>
        <v>4</v>
      </c>
      <c r="D33" s="17">
        <f t="shared" si="5"/>
        <v>60</v>
      </c>
      <c r="E33" s="5" t="str">
        <f t="shared" si="6"/>
        <v>4~7</v>
      </c>
      <c r="F33" s="16" t="str">
        <f>_xlfn.XLOOKUP(A:A,Animals!A:A,Animals!C:C)</f>
        <v>&lt;li&gt;AEXP_WildGoose&lt;/li&gt;</v>
      </c>
      <c r="G33">
        <v>26</v>
      </c>
      <c r="H33">
        <v>5</v>
      </c>
      <c r="I33">
        <v>5</v>
      </c>
    </row>
    <row r="34" spans="1:9" x14ac:dyDescent="0.25">
      <c r="A34" t="s">
        <v>1117</v>
      </c>
      <c r="B34" s="6" t="str">
        <f>_xlfn.XLOOKUP(A34,Animals!A:A,Animals!B:B)</f>
        <v>Phasianus colchicus</v>
      </c>
      <c r="C34" s="16">
        <f t="shared" ref="C34" si="10">MROUND(G34/(365/60),1)</f>
        <v>4</v>
      </c>
      <c r="D34" s="17">
        <f t="shared" ref="D34" si="11">MAX(1,(1/(H34/365))*(60/365)*I34)</f>
        <v>59.999999999999993</v>
      </c>
      <c r="E34" s="5" t="str">
        <f t="shared" ref="E34" si="12">IF(I34=1,1,MROUND(I34*0.7,IF(I34&gt;10,5,1))&amp;"~"&amp;MROUND(I34*1.3,IF(I34&gt;10,5,1)))</f>
        <v>10~15</v>
      </c>
      <c r="F34" s="16" t="str">
        <f>_xlfn.XLOOKUP(A:A,Animals!A:A,Animals!C:C)</f>
        <v>&lt;li&gt;VAERoy_Pheasant&lt;/li&gt;</v>
      </c>
      <c r="G34">
        <v>24</v>
      </c>
      <c r="H34">
        <v>11</v>
      </c>
      <c r="I34">
        <v>11</v>
      </c>
    </row>
    <row r="35" spans="1:9" x14ac:dyDescent="0.25">
      <c r="A35" t="s">
        <v>1138</v>
      </c>
      <c r="B35" s="6" t="str">
        <f>_xlfn.XLOOKUP(A35,Animals!A:A,Animals!B:B)</f>
        <v>Gallus giganteus</v>
      </c>
      <c r="C35" s="16">
        <f t="shared" ref="C35" si="13">MROUND(G35/(365/60),1)</f>
        <v>8</v>
      </c>
      <c r="D35" s="17">
        <f t="shared" ref="D35" si="14">MAX(1,(1/(H35/365))*(60/365)*I35)</f>
        <v>1</v>
      </c>
      <c r="E35" s="5">
        <f t="shared" ref="E35" si="15">IF(I35=1,1,MROUND(I35*0.7,IF(I35&gt;10,5,1))&amp;"~"&amp;MROUND(I35*1.3,IF(I35&gt;10,5,1)))</f>
        <v>1</v>
      </c>
      <c r="F35" s="16" t="str">
        <f>_xlfn.XLOOKUP(A:A,Animals!A:A,Animals!C:C)</f>
        <v>&lt;li&gt;VAERoy_Megachicken&lt;/li&gt;</v>
      </c>
      <c r="G35" s="16">
        <v>50</v>
      </c>
      <c r="H35" s="16">
        <v>60</v>
      </c>
      <c r="I35" s="16">
        <v>1</v>
      </c>
    </row>
    <row r="36" spans="1:9" x14ac:dyDescent="0.25">
      <c r="A36" t="s">
        <v>1139</v>
      </c>
      <c r="B36" s="6" t="str">
        <f>_xlfn.XLOOKUP(A36,Animals!A:A,Animals!B:B)</f>
        <v>Grus japonensis</v>
      </c>
      <c r="C36" s="16">
        <f t="shared" ref="C36" si="16">MROUND(G36/(365/60),1)</f>
        <v>5</v>
      </c>
      <c r="D36" s="17">
        <f t="shared" ref="D36" si="17">MAX(1,(1/(H36/365))*(60/365)*I36)</f>
        <v>60</v>
      </c>
      <c r="E36" s="5" t="str">
        <f t="shared" ref="E36" si="18">IF(I36=1,1,MROUND(I36*0.7,IF(I36&gt;10,5,1))&amp;"~"&amp;MROUND(I36*1.3,IF(I36&gt;10,5,1)))</f>
        <v>1~3</v>
      </c>
      <c r="F36" s="16" t="str">
        <f>_xlfn.XLOOKUP(A:A,Animals!A:A,Animals!C:C)</f>
        <v>&lt;li&gt;VAERoy_Crane&lt;/li&gt;</v>
      </c>
      <c r="G36">
        <v>31</v>
      </c>
      <c r="H36">
        <v>2</v>
      </c>
      <c r="I36">
        <v>2</v>
      </c>
    </row>
    <row r="37" spans="1:9" x14ac:dyDescent="0.25">
      <c r="A37" t="s">
        <v>1201</v>
      </c>
      <c r="B37" s="6" t="str">
        <f>_xlfn.XLOOKUP(A37,Animals!A:A,Animals!B:B)</f>
        <v>Dinornis novaezealandiae</v>
      </c>
      <c r="C37" s="16">
        <f t="shared" ref="C37:C40" si="19">MROUND(G37/(365/60),1)</f>
        <v>8</v>
      </c>
      <c r="D37" s="17">
        <f t="shared" ref="D37:D40" si="20">MAX(1,(1/(H37/365))*(60/365)*I37)</f>
        <v>3</v>
      </c>
      <c r="E37" s="5" t="str">
        <f t="shared" ref="E37:E40" si="21">IF(I37=1,1,MROUND(I37*0.7,IF(I37&gt;10,5,1))&amp;"~"&amp;MROUND(I37*1.3,IF(I37&gt;10,5,1)))</f>
        <v>1~2</v>
      </c>
      <c r="F37" s="16" t="str">
        <f>_xlfn.XLOOKUP(A:A,Animals!A:A,Animals!C:C)</f>
        <v>&lt;li&gt;AEXP_Moa&lt;/li&gt;</v>
      </c>
      <c r="G37" s="16">
        <v>50</v>
      </c>
      <c r="H37" s="16">
        <v>30</v>
      </c>
      <c r="I37" s="16">
        <v>1.5</v>
      </c>
    </row>
    <row r="38" spans="1:9" x14ac:dyDescent="0.25">
      <c r="A38" t="s">
        <v>1203</v>
      </c>
      <c r="B38" s="6" t="str">
        <f>_xlfn.XLOOKUP(A38,Animals!A:A,Animals!B:B)</f>
        <v>Eudyptes chrysocome</v>
      </c>
      <c r="C38" s="16">
        <f t="shared" si="19"/>
        <v>5</v>
      </c>
      <c r="D38" s="17">
        <f t="shared" si="20"/>
        <v>60</v>
      </c>
      <c r="E38" s="5" t="str">
        <f t="shared" si="21"/>
        <v>1~3</v>
      </c>
      <c r="F38" s="16" t="str">
        <f>_xlfn.XLOOKUP(A:A,Animals!A:A,Animals!C:C)</f>
        <v>&lt;li&gt;AEXP_RockhopperPenguin&lt;/li&gt;</v>
      </c>
      <c r="G38">
        <v>33</v>
      </c>
      <c r="H38">
        <v>2</v>
      </c>
      <c r="I38">
        <v>2</v>
      </c>
    </row>
    <row r="39" spans="1:9" x14ac:dyDescent="0.25">
      <c r="A39" s="16" t="str">
        <f>Animals!A204</f>
        <v>Toxiguana</v>
      </c>
      <c r="B39" s="6" t="str">
        <f>_xlfn.XLOOKUP(A39,Animals!A:A,Animals!B:B)</f>
        <v>Iguana toxifera</v>
      </c>
      <c r="C39" s="16">
        <f t="shared" si="19"/>
        <v>15</v>
      </c>
      <c r="D39" s="17">
        <f t="shared" si="20"/>
        <v>60</v>
      </c>
      <c r="E39" s="5" t="str">
        <f t="shared" si="21"/>
        <v>30~60</v>
      </c>
      <c r="F39" s="16" t="str">
        <f>_xlfn.XLOOKUP(A:A,Animals!A:A,Animals!C:C)</f>
        <v>&lt;li&gt;VAEWaste_Toxiguana&lt;/li&gt;</v>
      </c>
      <c r="G39" s="16">
        <v>92.1</v>
      </c>
      <c r="H39" s="16">
        <f>I39</f>
        <v>45</v>
      </c>
      <c r="I39" s="16">
        <f>AVERAGE(14,76)</f>
        <v>45</v>
      </c>
    </row>
    <row r="40" spans="1:9" x14ac:dyDescent="0.25">
      <c r="A40" s="16" t="str">
        <f>Animals!A199</f>
        <v>VasteHydra</v>
      </c>
      <c r="B40" s="6" t="str">
        <f>_xlfn.XLOOKUP(A40,Animals!A:A,Animals!B:B)</f>
        <v>Hydra toxifera</v>
      </c>
      <c r="C40" s="16">
        <f t="shared" si="19"/>
        <v>14</v>
      </c>
      <c r="D40" s="17">
        <f t="shared" si="20"/>
        <v>60</v>
      </c>
      <c r="E40" s="5" t="str">
        <f t="shared" si="21"/>
        <v>20~35</v>
      </c>
      <c r="F40" s="16" t="str">
        <f>_xlfn.XLOOKUP(A:A,Animals!A:A,Animals!C:C)</f>
        <v>&lt;li&gt;VAEWaste_Hydra&lt;/li&gt;</v>
      </c>
      <c r="G40" s="16">
        <f>AVERAGE(70,100)</f>
        <v>85</v>
      </c>
      <c r="H40" s="16">
        <f>I40</f>
        <v>28.5</v>
      </c>
      <c r="I40" s="16">
        <f>AVERAGE(7,50)</f>
        <v>28.5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1765-80FB-48EB-8E8C-1399BFEE186D}">
  <dimension ref="A1:J118"/>
  <sheetViews>
    <sheetView workbookViewId="0">
      <selection activeCell="A62" sqref="A62:XFD63"/>
    </sheetView>
  </sheetViews>
  <sheetFormatPr defaultRowHeight="15" x14ac:dyDescent="0.25"/>
  <cols>
    <col min="1" max="1" width="17" style="16" bestFit="1" customWidth="1"/>
    <col min="2" max="2" width="13.5703125" style="16" bestFit="1" customWidth="1"/>
    <col min="3" max="3" width="12" style="16" bestFit="1" customWidth="1"/>
    <col min="4" max="4" width="15.28515625" style="16" bestFit="1" customWidth="1"/>
    <col min="5" max="5" width="16.42578125" style="16" bestFit="1" customWidth="1"/>
    <col min="6" max="6" width="15.140625" style="16" bestFit="1" customWidth="1"/>
    <col min="7" max="7" width="36.7109375" style="16" bestFit="1" customWidth="1"/>
    <col min="8" max="8" width="28.140625" style="16" bestFit="1" customWidth="1"/>
    <col min="9" max="9" width="27.5703125" style="16" bestFit="1" customWidth="1"/>
    <col min="10" max="10" width="22.140625" bestFit="1" customWidth="1"/>
  </cols>
  <sheetData>
    <row r="1" spans="1:10" x14ac:dyDescent="0.25">
      <c r="A1" s="21" t="s">
        <v>300</v>
      </c>
      <c r="B1" s="21" t="s">
        <v>403</v>
      </c>
      <c r="C1" s="21" t="s">
        <v>404</v>
      </c>
      <c r="D1" s="21" t="s">
        <v>405</v>
      </c>
      <c r="E1" s="21" t="s">
        <v>406</v>
      </c>
      <c r="F1" s="21" t="s">
        <v>407</v>
      </c>
      <c r="G1" s="21" t="s">
        <v>409</v>
      </c>
      <c r="H1" s="21" t="s">
        <v>408</v>
      </c>
      <c r="I1" s="21" t="s">
        <v>410</v>
      </c>
      <c r="J1" s="22" t="s">
        <v>428</v>
      </c>
    </row>
    <row r="2" spans="1:10" x14ac:dyDescent="0.25">
      <c r="A2" s="16" t="str">
        <f>Animals!A2</f>
        <v>Polar bear</v>
      </c>
      <c r="B2" s="16">
        <f>_xlfn.XLOOKUP(A2,Animals!A:A,Animals!AO:AO)</f>
        <v>2.25</v>
      </c>
      <c r="C2" s="16">
        <f>_xlfn.XLOOKUP(A2,Animals!A:A,Animals!AQ:AQ)</f>
        <v>0.95000000000000007</v>
      </c>
      <c r="D2" s="16">
        <f>_xlfn.XLOOKUP(A2,Animals!A:A,Animals!AT:AT)</f>
        <v>0.8</v>
      </c>
      <c r="E2" s="16">
        <f>IFERROR(D2*60,"Unknown")</f>
        <v>48</v>
      </c>
      <c r="F2" s="16">
        <f>140*B2</f>
        <v>315</v>
      </c>
      <c r="G2" s="16">
        <f>1.6*C2</f>
        <v>1.5200000000000002</v>
      </c>
      <c r="H2" s="16">
        <f>IFERROR(G2*E2,"Unknown")</f>
        <v>72.960000000000008</v>
      </c>
      <c r="I2" s="10">
        <f>IFERROR(F2/H2,0)</f>
        <v>4.317434210526315</v>
      </c>
      <c r="J2" s="10">
        <f>I2*0.05</f>
        <v>0.21587171052631576</v>
      </c>
    </row>
    <row r="3" spans="1:10" x14ac:dyDescent="0.25">
      <c r="A3" s="16" t="str">
        <f>Animals!A3</f>
        <v>Grizzly</v>
      </c>
      <c r="B3" s="16">
        <f>_xlfn.XLOOKUP(A3,Animals!A:A,Animals!AO:AO)</f>
        <v>2</v>
      </c>
      <c r="C3" s="16">
        <f>_xlfn.XLOOKUP(A3,Animals!A:A,Animals!AQ:AQ)</f>
        <v>0.9</v>
      </c>
      <c r="D3" s="16">
        <f>_xlfn.XLOOKUP(A3,Animals!A:A,Animals!AT:AT)</f>
        <v>0.60000000000000009</v>
      </c>
      <c r="E3" s="16">
        <f t="shared" ref="E3:E63" si="0">IFERROR(D3*60,"Unknown")</f>
        <v>36.000000000000007</v>
      </c>
      <c r="F3" s="16">
        <f t="shared" ref="F3:F63" si="1">140*B3</f>
        <v>280</v>
      </c>
      <c r="G3" s="16">
        <f t="shared" ref="G3:G63" si="2">1.6*C3</f>
        <v>1.4400000000000002</v>
      </c>
      <c r="H3" s="16">
        <f t="shared" ref="H3:H63" si="3">IFERROR(G3*E3,"Unknown")</f>
        <v>51.840000000000018</v>
      </c>
      <c r="I3" s="10">
        <f t="shared" ref="I3:I63" si="4">IFERROR(F3/H3,0)</f>
        <v>5.4012345679012324</v>
      </c>
      <c r="J3" s="10">
        <f t="shared" ref="J3:J63" si="5">I3*0.05</f>
        <v>0.27006172839506165</v>
      </c>
    </row>
    <row r="4" spans="1:10" x14ac:dyDescent="0.25">
      <c r="A4" s="16" t="str">
        <f>Animals!A4</f>
        <v>Raccoon</v>
      </c>
      <c r="B4" s="16">
        <f>_xlfn.XLOOKUP(A4,Animals!A:A,Animals!AO:AO)</f>
        <v>0.35000000000000003</v>
      </c>
      <c r="C4" s="16">
        <f>_xlfn.XLOOKUP(A4,Animals!A:A,Animals!AQ:AQ)</f>
        <v>0.30000000000000004</v>
      </c>
      <c r="D4" s="16">
        <f>_xlfn.XLOOKUP(A4,Animals!A:A,Animals!AT:AT)</f>
        <v>0.3</v>
      </c>
      <c r="E4" s="16">
        <f t="shared" si="0"/>
        <v>18</v>
      </c>
      <c r="F4" s="16">
        <f t="shared" si="1"/>
        <v>49.000000000000007</v>
      </c>
      <c r="G4" s="16">
        <f t="shared" si="2"/>
        <v>0.48000000000000009</v>
      </c>
      <c r="H4" s="16">
        <f t="shared" si="3"/>
        <v>8.6400000000000023</v>
      </c>
      <c r="I4" s="10">
        <f t="shared" si="4"/>
        <v>5.6712962962962958</v>
      </c>
      <c r="J4" s="10">
        <f t="shared" si="5"/>
        <v>0.28356481481481483</v>
      </c>
    </row>
    <row r="5" spans="1:10" x14ac:dyDescent="0.25">
      <c r="A5" s="16" t="str">
        <f>Animals!A5</f>
        <v>Ostrich</v>
      </c>
      <c r="B5" s="16">
        <f>_xlfn.XLOOKUP(A5,Animals!A:A,Animals!AO:AO)</f>
        <v>1.3</v>
      </c>
      <c r="C5" s="16">
        <f>_xlfn.XLOOKUP(A5,Animals!A:A,Animals!AQ:AQ)</f>
        <v>0.8</v>
      </c>
      <c r="D5" s="16">
        <f>_xlfn.XLOOKUP(A5,Animals!A:A,Animals!AT:AT)</f>
        <v>0.4</v>
      </c>
      <c r="E5" s="16">
        <f t="shared" si="0"/>
        <v>24</v>
      </c>
      <c r="F5" s="16">
        <f t="shared" si="1"/>
        <v>182</v>
      </c>
      <c r="G5" s="16">
        <f t="shared" si="2"/>
        <v>1.2800000000000002</v>
      </c>
      <c r="H5" s="16">
        <f t="shared" si="3"/>
        <v>30.720000000000006</v>
      </c>
      <c r="I5" s="10">
        <f t="shared" si="4"/>
        <v>5.9244791666666652</v>
      </c>
      <c r="J5" s="10">
        <f t="shared" si="5"/>
        <v>0.29622395833333326</v>
      </c>
    </row>
    <row r="6" spans="1:10" x14ac:dyDescent="0.25">
      <c r="A6" s="16" t="str">
        <f>Animals!A6</f>
        <v>Cassowary</v>
      </c>
      <c r="B6" s="16">
        <f>_xlfn.XLOOKUP(A6,Animals!A:A,Animals!AO:AO)</f>
        <v>0.8</v>
      </c>
      <c r="C6" s="16">
        <f>_xlfn.XLOOKUP(A6,Animals!A:A,Animals!AQ:AQ)</f>
        <v>0.60000000000000009</v>
      </c>
      <c r="D6" s="16">
        <f>_xlfn.XLOOKUP(A6,Animals!A:A,Animals!AT:AT)</f>
        <v>0.60000000000000009</v>
      </c>
      <c r="E6" s="16">
        <f t="shared" si="0"/>
        <v>36.000000000000007</v>
      </c>
      <c r="F6" s="16">
        <f t="shared" si="1"/>
        <v>112</v>
      </c>
      <c r="G6" s="16">
        <f t="shared" si="2"/>
        <v>0.96000000000000019</v>
      </c>
      <c r="H6" s="16">
        <f t="shared" si="3"/>
        <v>34.560000000000016</v>
      </c>
      <c r="I6" s="10">
        <f t="shared" si="4"/>
        <v>3.2407407407407391</v>
      </c>
      <c r="J6" s="10">
        <f t="shared" si="5"/>
        <v>0.16203703703703698</v>
      </c>
    </row>
    <row r="7" spans="1:10" x14ac:dyDescent="0.25">
      <c r="A7" s="16" t="str">
        <f>Animals!A7</f>
        <v>Emu</v>
      </c>
      <c r="B7" s="16">
        <f>_xlfn.XLOOKUP(A7,Animals!A:A,Animals!AO:AO)</f>
        <v>0.75</v>
      </c>
      <c r="C7" s="16">
        <f>_xlfn.XLOOKUP(A7,Animals!A:A,Animals!AQ:AQ)</f>
        <v>0.55000000000000004</v>
      </c>
      <c r="D7" s="16">
        <f>_xlfn.XLOOKUP(A7,Animals!A:A,Animals!AT:AT)</f>
        <v>0.4</v>
      </c>
      <c r="E7" s="16">
        <f t="shared" si="0"/>
        <v>24</v>
      </c>
      <c r="F7" s="16">
        <f t="shared" si="1"/>
        <v>105</v>
      </c>
      <c r="G7" s="16">
        <f t="shared" si="2"/>
        <v>0.88000000000000012</v>
      </c>
      <c r="H7" s="16">
        <f t="shared" si="3"/>
        <v>21.120000000000005</v>
      </c>
      <c r="I7" s="10">
        <f t="shared" si="4"/>
        <v>4.9715909090909083</v>
      </c>
      <c r="J7" s="10">
        <f t="shared" si="5"/>
        <v>0.24857954545454541</v>
      </c>
    </row>
    <row r="8" spans="1:10" x14ac:dyDescent="0.25">
      <c r="A8" s="16" t="str">
        <f>Animals!A8</f>
        <v>Turkey</v>
      </c>
      <c r="B8" s="16">
        <f>_xlfn.XLOOKUP(A8,Animals!A:A,Animals!AO:AO)</f>
        <v>0.35000000000000003</v>
      </c>
      <c r="C8" s="16">
        <f>_xlfn.XLOOKUP(A8,Animals!A:A,Animals!AQ:AQ)</f>
        <v>0.4</v>
      </c>
      <c r="D8" s="16">
        <f>_xlfn.XLOOKUP(A8,Animals!A:A,Animals!AT:AT)</f>
        <v>0.3</v>
      </c>
      <c r="E8" s="16">
        <f t="shared" si="0"/>
        <v>18</v>
      </c>
      <c r="F8" s="16">
        <f t="shared" si="1"/>
        <v>49.000000000000007</v>
      </c>
      <c r="G8" s="16">
        <f t="shared" si="2"/>
        <v>0.64000000000000012</v>
      </c>
      <c r="H8" s="16">
        <f t="shared" si="3"/>
        <v>11.520000000000003</v>
      </c>
      <c r="I8" s="10">
        <f t="shared" si="4"/>
        <v>4.2534722222222214</v>
      </c>
      <c r="J8" s="10">
        <f t="shared" si="5"/>
        <v>0.21267361111111108</v>
      </c>
    </row>
    <row r="9" spans="1:10" x14ac:dyDescent="0.25">
      <c r="A9" s="16" t="str">
        <f>Animals!A9</f>
        <v>Goose</v>
      </c>
      <c r="B9" s="16">
        <f>_xlfn.XLOOKUP(A9,Animals!A:A,Animals!AO:AO)</f>
        <v>0.35000000000000003</v>
      </c>
      <c r="C9" s="16">
        <f>_xlfn.XLOOKUP(A9,Animals!A:A,Animals!AQ:AQ)</f>
        <v>0.4</v>
      </c>
      <c r="D9" s="16">
        <f>_xlfn.XLOOKUP(A9,Animals!A:A,Animals!AT:AT)</f>
        <v>0.3</v>
      </c>
      <c r="E9" s="16">
        <f t="shared" si="0"/>
        <v>18</v>
      </c>
      <c r="F9" s="16">
        <f t="shared" si="1"/>
        <v>49.000000000000007</v>
      </c>
      <c r="G9" s="16">
        <f t="shared" si="2"/>
        <v>0.64000000000000012</v>
      </c>
      <c r="H9" s="16">
        <f t="shared" si="3"/>
        <v>11.520000000000003</v>
      </c>
      <c r="I9" s="10">
        <f t="shared" si="4"/>
        <v>4.2534722222222214</v>
      </c>
      <c r="J9" s="10">
        <f t="shared" si="5"/>
        <v>0.21267361111111108</v>
      </c>
    </row>
    <row r="10" spans="1:10" x14ac:dyDescent="0.25">
      <c r="A10" s="16" t="str">
        <f>Animals!A10</f>
        <v>Duck</v>
      </c>
      <c r="B10" s="16">
        <f>_xlfn.XLOOKUP(A10,Animals!A:A,Animals!AO:AO)</f>
        <v>0.15000000000000002</v>
      </c>
      <c r="C10" s="16">
        <f>_xlfn.XLOOKUP(A10,Animals!A:A,Animals!AQ:AQ)</f>
        <v>0.30000000000000004</v>
      </c>
      <c r="D10" s="16">
        <f>_xlfn.XLOOKUP(A10,Animals!A:A,Animals!AT:AT)</f>
        <v>0.3</v>
      </c>
      <c r="E10" s="16">
        <f t="shared" si="0"/>
        <v>18</v>
      </c>
      <c r="F10" s="16">
        <f t="shared" si="1"/>
        <v>21.000000000000004</v>
      </c>
      <c r="G10" s="16">
        <f t="shared" si="2"/>
        <v>0.48000000000000009</v>
      </c>
      <c r="H10" s="16">
        <f t="shared" si="3"/>
        <v>8.6400000000000023</v>
      </c>
      <c r="I10" s="10">
        <f t="shared" si="4"/>
        <v>2.4305555555555554</v>
      </c>
      <c r="J10" s="10">
        <f t="shared" si="5"/>
        <v>0.12152777777777778</v>
      </c>
    </row>
    <row r="11" spans="1:10" x14ac:dyDescent="0.25">
      <c r="A11" s="16" t="str">
        <f>Animals!A11</f>
        <v>Chicken</v>
      </c>
      <c r="B11" s="16">
        <f>_xlfn.XLOOKUP(A11,Animals!A:A,Animals!AO:AO)</f>
        <v>0.2</v>
      </c>
      <c r="C11" s="16">
        <f>_xlfn.XLOOKUP(A11,Animals!A:A,Animals!AQ:AQ)</f>
        <v>0.30000000000000004</v>
      </c>
      <c r="D11" s="16">
        <f>_xlfn.XLOOKUP(A11,Animals!A:A,Animals!AT:AT)</f>
        <v>0.2</v>
      </c>
      <c r="E11" s="16">
        <f t="shared" si="0"/>
        <v>12</v>
      </c>
      <c r="F11" s="16">
        <f t="shared" si="1"/>
        <v>28</v>
      </c>
      <c r="G11" s="16">
        <f t="shared" si="2"/>
        <v>0.48000000000000009</v>
      </c>
      <c r="H11" s="16">
        <f t="shared" si="3"/>
        <v>5.7600000000000016</v>
      </c>
      <c r="I11" s="10">
        <f t="shared" si="4"/>
        <v>4.8611111111111098</v>
      </c>
      <c r="J11" s="10">
        <f t="shared" si="5"/>
        <v>0.2430555555555555</v>
      </c>
    </row>
    <row r="12" spans="1:10" x14ac:dyDescent="0.25">
      <c r="A12" s="16" t="str">
        <f>Animals!A12</f>
        <v>Dromedary</v>
      </c>
      <c r="B12" s="16">
        <f>_xlfn.XLOOKUP(A12,Animals!A:A,Animals!AO:AO)</f>
        <v>2.75</v>
      </c>
      <c r="C12" s="16">
        <f>_xlfn.XLOOKUP(A12,Animals!A:A,Animals!AQ:AQ)</f>
        <v>1.1000000000000001</v>
      </c>
      <c r="D12" s="16">
        <f>_xlfn.XLOOKUP(A12,Animals!A:A,Animals!AT:AT)</f>
        <v>0.4</v>
      </c>
      <c r="E12" s="16">
        <f t="shared" si="0"/>
        <v>24</v>
      </c>
      <c r="F12" s="16">
        <f t="shared" si="1"/>
        <v>385</v>
      </c>
      <c r="G12" s="16">
        <f t="shared" si="2"/>
        <v>1.7600000000000002</v>
      </c>
      <c r="H12" s="16">
        <f t="shared" si="3"/>
        <v>42.240000000000009</v>
      </c>
      <c r="I12" s="10">
        <f t="shared" si="4"/>
        <v>9.1145833333333321</v>
      </c>
      <c r="J12" s="10">
        <f t="shared" si="5"/>
        <v>0.45572916666666663</v>
      </c>
    </row>
    <row r="13" spans="1:10" x14ac:dyDescent="0.25">
      <c r="A13" s="16" t="str">
        <f>Animals!A13</f>
        <v>Alpaca</v>
      </c>
      <c r="B13" s="16">
        <f>_xlfn.XLOOKUP(A13,Animals!A:A,Animals!AO:AO)</f>
        <v>1.05</v>
      </c>
      <c r="C13" s="16">
        <f>_xlfn.XLOOKUP(A13,Animals!A:A,Animals!AQ:AQ)</f>
        <v>0.60000000000000009</v>
      </c>
      <c r="D13" s="16">
        <f>_xlfn.XLOOKUP(A13,Animals!A:A,Animals!AT:AT)</f>
        <v>0.3</v>
      </c>
      <c r="E13" s="16">
        <f t="shared" si="0"/>
        <v>18</v>
      </c>
      <c r="F13" s="16">
        <f t="shared" si="1"/>
        <v>147</v>
      </c>
      <c r="G13" s="16">
        <f t="shared" si="2"/>
        <v>0.96000000000000019</v>
      </c>
      <c r="H13" s="16">
        <f t="shared" si="3"/>
        <v>17.280000000000005</v>
      </c>
      <c r="I13" s="10">
        <f t="shared" si="4"/>
        <v>8.5069444444444429</v>
      </c>
      <c r="J13" s="10">
        <f t="shared" si="5"/>
        <v>0.42534722222222215</v>
      </c>
    </row>
    <row r="14" spans="1:10" x14ac:dyDescent="0.25">
      <c r="A14" s="16" t="str">
        <f>Animals!A14</f>
        <v>Yorkshire terrier</v>
      </c>
      <c r="B14" s="16">
        <f>_xlfn.XLOOKUP(A14,Animals!A:A,Animals!AO:AO)</f>
        <v>0.2</v>
      </c>
      <c r="C14" s="16">
        <f>_xlfn.XLOOKUP(A14,Animals!A:A,Animals!AQ:AQ)</f>
        <v>0.25</v>
      </c>
      <c r="D14" s="16">
        <f>_xlfn.XLOOKUP(A14,Animals!A:A,Animals!AT:AT)</f>
        <v>0.3</v>
      </c>
      <c r="E14" s="16">
        <f t="shared" si="0"/>
        <v>18</v>
      </c>
      <c r="F14" s="16">
        <f t="shared" si="1"/>
        <v>28</v>
      </c>
      <c r="G14" s="16">
        <f t="shared" si="2"/>
        <v>0.4</v>
      </c>
      <c r="H14" s="16">
        <f t="shared" si="3"/>
        <v>7.2</v>
      </c>
      <c r="I14" s="10">
        <f t="shared" si="4"/>
        <v>3.8888888888888888</v>
      </c>
      <c r="J14" s="10">
        <f t="shared" si="5"/>
        <v>0.19444444444444445</v>
      </c>
    </row>
    <row r="15" spans="1:10" x14ac:dyDescent="0.25">
      <c r="A15" s="16" t="str">
        <f>Animals!A15</f>
        <v>Labrador</v>
      </c>
      <c r="B15" s="16">
        <f>_xlfn.XLOOKUP(A15,Animals!A:A,Animals!AO:AO)</f>
        <v>0.70000000000000007</v>
      </c>
      <c r="C15" s="16">
        <f>_xlfn.XLOOKUP(A15,Animals!A:A,Animals!AQ:AQ)</f>
        <v>0.45</v>
      </c>
      <c r="D15" s="16">
        <f>_xlfn.XLOOKUP(A15,Animals!A:A,Animals!AT:AT)</f>
        <v>0.3</v>
      </c>
      <c r="E15" s="16">
        <f t="shared" si="0"/>
        <v>18</v>
      </c>
      <c r="F15" s="16">
        <f t="shared" si="1"/>
        <v>98.000000000000014</v>
      </c>
      <c r="G15" s="16">
        <f t="shared" si="2"/>
        <v>0.72000000000000008</v>
      </c>
      <c r="H15" s="16">
        <f t="shared" si="3"/>
        <v>12.96</v>
      </c>
      <c r="I15" s="10">
        <f t="shared" si="4"/>
        <v>7.5617283950617287</v>
      </c>
      <c r="J15" s="10">
        <f t="shared" si="5"/>
        <v>0.37808641975308643</v>
      </c>
    </row>
    <row r="16" spans="1:10" x14ac:dyDescent="0.25">
      <c r="A16" s="16" t="str">
        <f>Animals!A16</f>
        <v>Husky</v>
      </c>
      <c r="B16" s="16">
        <f>_xlfn.XLOOKUP(A16,Animals!A:A,Animals!AO:AO)</f>
        <v>0.75</v>
      </c>
      <c r="C16" s="16">
        <f>_xlfn.XLOOKUP(A16,Animals!A:A,Animals!AQ:AQ)</f>
        <v>0.5</v>
      </c>
      <c r="D16" s="16">
        <f>_xlfn.XLOOKUP(A16,Animals!A:A,Animals!AT:AT)</f>
        <v>0.3</v>
      </c>
      <c r="E16" s="16">
        <f t="shared" si="0"/>
        <v>18</v>
      </c>
      <c r="F16" s="16">
        <f t="shared" si="1"/>
        <v>105</v>
      </c>
      <c r="G16" s="16">
        <f t="shared" si="2"/>
        <v>0.8</v>
      </c>
      <c r="H16" s="16">
        <f t="shared" si="3"/>
        <v>14.4</v>
      </c>
      <c r="I16" s="10">
        <f t="shared" si="4"/>
        <v>7.2916666666666661</v>
      </c>
      <c r="J16" s="10">
        <f t="shared" si="5"/>
        <v>0.36458333333333331</v>
      </c>
    </row>
    <row r="17" spans="1:10" x14ac:dyDescent="0.25">
      <c r="A17" s="16" t="str">
        <f>Animals!A17</f>
        <v>Cougar</v>
      </c>
      <c r="B17" s="16">
        <f>_xlfn.XLOOKUP(A17,Animals!A:A,Animals!AO:AO)</f>
        <v>0.95000000000000007</v>
      </c>
      <c r="C17" s="16">
        <f>_xlfn.XLOOKUP(A17,Animals!A:A,Animals!AQ:AQ)</f>
        <v>0.55000000000000004</v>
      </c>
      <c r="D17" s="16">
        <f>_xlfn.XLOOKUP(A17,Animals!A:A,Animals!AT:AT)</f>
        <v>0.4</v>
      </c>
      <c r="E17" s="16">
        <f t="shared" si="0"/>
        <v>24</v>
      </c>
      <c r="F17" s="16">
        <f t="shared" si="1"/>
        <v>133</v>
      </c>
      <c r="G17" s="16">
        <f t="shared" si="2"/>
        <v>0.88000000000000012</v>
      </c>
      <c r="H17" s="16">
        <f t="shared" si="3"/>
        <v>21.120000000000005</v>
      </c>
      <c r="I17" s="10">
        <f t="shared" si="4"/>
        <v>6.2973484848484835</v>
      </c>
      <c r="J17" s="10">
        <f t="shared" si="5"/>
        <v>0.3148674242424242</v>
      </c>
    </row>
    <row r="18" spans="1:10" x14ac:dyDescent="0.25">
      <c r="A18" s="16" t="str">
        <f>Animals!A18</f>
        <v>Leopard</v>
      </c>
      <c r="B18" s="16">
        <f>_xlfn.XLOOKUP(A18,Animals!A:A,Animals!AO:AO)</f>
        <v>0.9</v>
      </c>
      <c r="C18" s="16">
        <f>_xlfn.XLOOKUP(A18,Animals!A:A,Animals!AQ:AQ)</f>
        <v>0.55000000000000004</v>
      </c>
      <c r="D18" s="16">
        <f>_xlfn.XLOOKUP(A18,Animals!A:A,Animals!AT:AT)</f>
        <v>0.4</v>
      </c>
      <c r="E18" s="16">
        <f t="shared" si="0"/>
        <v>24</v>
      </c>
      <c r="F18" s="16">
        <f t="shared" si="1"/>
        <v>126</v>
      </c>
      <c r="G18" s="16">
        <f t="shared" si="2"/>
        <v>0.88000000000000012</v>
      </c>
      <c r="H18" s="16">
        <f t="shared" si="3"/>
        <v>21.120000000000005</v>
      </c>
      <c r="I18" s="10">
        <f t="shared" si="4"/>
        <v>5.9659090909090899</v>
      </c>
      <c r="J18" s="10">
        <f t="shared" si="5"/>
        <v>0.29829545454545453</v>
      </c>
    </row>
    <row r="19" spans="1:10" x14ac:dyDescent="0.25">
      <c r="A19" s="16" t="str">
        <f>Animals!A19</f>
        <v>Lynx</v>
      </c>
      <c r="B19" s="16">
        <f>_xlfn.XLOOKUP(A19,Animals!A:A,Animals!AO:AO)</f>
        <v>0.60000000000000009</v>
      </c>
      <c r="C19" s="16">
        <f>_xlfn.XLOOKUP(A19,Animals!A:A,Animals!AQ:AQ)</f>
        <v>0.4</v>
      </c>
      <c r="D19" s="16">
        <f>_xlfn.XLOOKUP(A19,Animals!A:A,Animals!AT:AT)</f>
        <v>0.3</v>
      </c>
      <c r="E19" s="16">
        <f t="shared" si="0"/>
        <v>18</v>
      </c>
      <c r="F19" s="16">
        <f t="shared" si="1"/>
        <v>84.000000000000014</v>
      </c>
      <c r="G19" s="16">
        <f t="shared" si="2"/>
        <v>0.64000000000000012</v>
      </c>
      <c r="H19" s="16">
        <f t="shared" si="3"/>
        <v>11.520000000000003</v>
      </c>
      <c r="I19" s="10">
        <f t="shared" si="4"/>
        <v>7.2916666666666661</v>
      </c>
      <c r="J19" s="10">
        <f t="shared" si="5"/>
        <v>0.36458333333333331</v>
      </c>
    </row>
    <row r="20" spans="1:10" x14ac:dyDescent="0.25">
      <c r="A20" s="16" t="str">
        <f>Animals!A20</f>
        <v>Cat</v>
      </c>
      <c r="B20" s="16">
        <f>_xlfn.XLOOKUP(A20,Animals!A:A,Animals!AO:AO)</f>
        <v>0.30000000000000004</v>
      </c>
      <c r="C20" s="16">
        <f>_xlfn.XLOOKUP(A20,Animals!A:A,Animals!AQ:AQ)</f>
        <v>0.30000000000000004</v>
      </c>
      <c r="D20" s="16">
        <f>_xlfn.XLOOKUP(A20,Animals!A:A,Animals!AT:AT)</f>
        <v>0.3</v>
      </c>
      <c r="E20" s="16">
        <f t="shared" si="0"/>
        <v>18</v>
      </c>
      <c r="F20" s="16">
        <f t="shared" si="1"/>
        <v>42.000000000000007</v>
      </c>
      <c r="G20" s="16">
        <f t="shared" si="2"/>
        <v>0.48000000000000009</v>
      </c>
      <c r="H20" s="16">
        <f t="shared" si="3"/>
        <v>8.6400000000000023</v>
      </c>
      <c r="I20" s="10">
        <f t="shared" si="4"/>
        <v>4.8611111111111107</v>
      </c>
      <c r="J20" s="10">
        <f t="shared" si="5"/>
        <v>0.24305555555555555</v>
      </c>
    </row>
    <row r="21" spans="1:10" x14ac:dyDescent="0.25">
      <c r="A21" s="16" t="str">
        <f>Animals!A21</f>
        <v>Horse</v>
      </c>
      <c r="B21" s="16">
        <f>_xlfn.XLOOKUP(A21,Animals!A:A,Animals!AO:AO)</f>
        <v>2.75</v>
      </c>
      <c r="C21" s="16">
        <f>_xlfn.XLOOKUP(A21,Animals!A:A,Animals!AQ:AQ)</f>
        <v>1.1000000000000001</v>
      </c>
      <c r="D21" s="16">
        <f>_xlfn.XLOOKUP(A21,Animals!A:A,Animals!AT:AT)</f>
        <v>0.4</v>
      </c>
      <c r="E21" s="16">
        <f t="shared" si="0"/>
        <v>24</v>
      </c>
      <c r="F21" s="16">
        <f t="shared" si="1"/>
        <v>385</v>
      </c>
      <c r="G21" s="16">
        <f t="shared" si="2"/>
        <v>1.7600000000000002</v>
      </c>
      <c r="H21" s="16">
        <f t="shared" si="3"/>
        <v>42.240000000000009</v>
      </c>
      <c r="I21" s="10">
        <f t="shared" si="4"/>
        <v>9.1145833333333321</v>
      </c>
      <c r="J21" s="10">
        <f t="shared" si="5"/>
        <v>0.45572916666666663</v>
      </c>
    </row>
    <row r="22" spans="1:10" x14ac:dyDescent="0.25">
      <c r="A22" s="16" t="str">
        <f>Animals!A22</f>
        <v>Donkey</v>
      </c>
      <c r="B22" s="16">
        <f>_xlfn.XLOOKUP(A22,Animals!A:A,Animals!AO:AO)</f>
        <v>1.6</v>
      </c>
      <c r="C22" s="16">
        <f>_xlfn.XLOOKUP(A22,Animals!A:A,Animals!AQ:AQ)</f>
        <v>0.75</v>
      </c>
      <c r="D22" s="16">
        <f>_xlfn.XLOOKUP(A22,Animals!A:A,Animals!AT:AT)</f>
        <v>0.4</v>
      </c>
      <c r="E22" s="16">
        <f t="shared" si="0"/>
        <v>24</v>
      </c>
      <c r="F22" s="16">
        <f t="shared" si="1"/>
        <v>224</v>
      </c>
      <c r="G22" s="16">
        <f t="shared" si="2"/>
        <v>1.2000000000000002</v>
      </c>
      <c r="H22" s="16">
        <f t="shared" si="3"/>
        <v>28.800000000000004</v>
      </c>
      <c r="I22" s="10">
        <f t="shared" si="4"/>
        <v>7.7777777777777768</v>
      </c>
      <c r="J22" s="10">
        <f t="shared" si="5"/>
        <v>0.38888888888888884</v>
      </c>
    </row>
    <row r="23" spans="1:10" x14ac:dyDescent="0.25">
      <c r="A23" s="16" t="str">
        <f>Animals!A23</f>
        <v>Hare</v>
      </c>
      <c r="B23" s="16">
        <f>_xlfn.XLOOKUP(A23,Animals!A:A,Animals!AO:AO)</f>
        <v>0.30000000000000004</v>
      </c>
      <c r="C23" s="16">
        <f>_xlfn.XLOOKUP(A23,Animals!A:A,Animals!AQ:AQ)</f>
        <v>0.30000000000000004</v>
      </c>
      <c r="D23" s="16">
        <f>_xlfn.XLOOKUP(A23,Animals!A:A,Animals!AT:AT)</f>
        <v>0.3</v>
      </c>
      <c r="E23" s="16">
        <f t="shared" si="0"/>
        <v>18</v>
      </c>
      <c r="F23" s="16">
        <f t="shared" si="1"/>
        <v>42.000000000000007</v>
      </c>
      <c r="G23" s="16">
        <f t="shared" si="2"/>
        <v>0.48000000000000009</v>
      </c>
      <c r="H23" s="16">
        <f t="shared" si="3"/>
        <v>8.6400000000000023</v>
      </c>
      <c r="I23" s="10">
        <f t="shared" si="4"/>
        <v>4.8611111111111107</v>
      </c>
      <c r="J23" s="10">
        <f t="shared" si="5"/>
        <v>0.24305555555555555</v>
      </c>
    </row>
    <row r="24" spans="1:10" x14ac:dyDescent="0.25">
      <c r="A24" s="16" t="str">
        <f>Animals!A24</f>
        <v>Hare</v>
      </c>
      <c r="B24" s="16">
        <f>_xlfn.XLOOKUP(A24,Animals!A:A,Animals!AO:AO)</f>
        <v>0.30000000000000004</v>
      </c>
      <c r="C24" s="16">
        <f>_xlfn.XLOOKUP(A24,Animals!A:A,Animals!AQ:AQ)</f>
        <v>0.30000000000000004</v>
      </c>
      <c r="D24" s="16">
        <f>_xlfn.XLOOKUP(A24,Animals!A:A,Animals!AT:AT)</f>
        <v>0.3</v>
      </c>
      <c r="E24" s="16">
        <f t="shared" si="0"/>
        <v>18</v>
      </c>
      <c r="F24" s="16">
        <f t="shared" si="1"/>
        <v>42.000000000000007</v>
      </c>
      <c r="G24" s="16">
        <f t="shared" si="2"/>
        <v>0.48000000000000009</v>
      </c>
      <c r="H24" s="16">
        <f t="shared" si="3"/>
        <v>8.6400000000000023</v>
      </c>
      <c r="I24" s="10">
        <f t="shared" si="4"/>
        <v>4.8611111111111107</v>
      </c>
      <c r="J24" s="10">
        <f t="shared" si="5"/>
        <v>0.24305555555555555</v>
      </c>
    </row>
    <row r="25" spans="1:10" x14ac:dyDescent="0.25">
      <c r="A25" s="16" t="str">
        <f>Animals!A25</f>
        <v>Rhinoceros</v>
      </c>
      <c r="B25" s="16">
        <f>_xlfn.XLOOKUP(A25,Animals!A:A,Animals!AO:AO)</f>
        <v>3.75</v>
      </c>
      <c r="C25" s="16">
        <f>_xlfn.XLOOKUP(A25,Animals!A:A,Animals!AQ:AQ)</f>
        <v>2.2000000000000002</v>
      </c>
      <c r="D25" s="16">
        <f>_xlfn.XLOOKUP(A25,Animals!A:A,Animals!AT:AT)</f>
        <v>0.8</v>
      </c>
      <c r="E25" s="16">
        <f t="shared" si="0"/>
        <v>48</v>
      </c>
      <c r="F25" s="16">
        <f t="shared" si="1"/>
        <v>525</v>
      </c>
      <c r="G25" s="16">
        <f t="shared" si="2"/>
        <v>3.5200000000000005</v>
      </c>
      <c r="H25" s="16">
        <f t="shared" si="3"/>
        <v>168.96000000000004</v>
      </c>
      <c r="I25" s="10">
        <f t="shared" si="4"/>
        <v>3.1072443181818175</v>
      </c>
      <c r="J25" s="10">
        <f t="shared" si="5"/>
        <v>0.15536221590909088</v>
      </c>
    </row>
    <row r="26" spans="1:10" x14ac:dyDescent="0.25">
      <c r="A26" s="16" t="str">
        <f>Animals!A26</f>
        <v>Elephant</v>
      </c>
      <c r="B26" s="16">
        <f>_xlfn.XLOOKUP(A26,Animals!A:A,Animals!AO:AO)</f>
        <v>5</v>
      </c>
      <c r="C26" s="16">
        <f>_xlfn.XLOOKUP(A26,Animals!A:A,Animals!AQ:AQ)</f>
        <v>2.7</v>
      </c>
      <c r="D26" s="16">
        <f>_xlfn.XLOOKUP(A26,Animals!A:A,Animals!AT:AT)</f>
        <v>1.8</v>
      </c>
      <c r="E26" s="16">
        <f t="shared" si="0"/>
        <v>108</v>
      </c>
      <c r="F26" s="16">
        <f t="shared" si="1"/>
        <v>700</v>
      </c>
      <c r="G26" s="16">
        <f t="shared" si="2"/>
        <v>4.32</v>
      </c>
      <c r="H26" s="16">
        <f t="shared" si="3"/>
        <v>466.56000000000006</v>
      </c>
      <c r="I26" s="10">
        <f t="shared" si="4"/>
        <v>1.5003429355281206</v>
      </c>
      <c r="J26" s="10">
        <f t="shared" si="5"/>
        <v>7.501714677640603E-2</v>
      </c>
    </row>
    <row r="27" spans="1:10" x14ac:dyDescent="0.25">
      <c r="A27" s="16" t="str">
        <f>Animals!A27</f>
        <v>Thrumbo</v>
      </c>
      <c r="B27" s="16">
        <f>_xlfn.XLOOKUP(A27,Animals!A:A,Animals!AO:AO)</f>
        <v>5.5</v>
      </c>
      <c r="C27" s="16">
        <f>_xlfn.XLOOKUP(A27,Animals!A:A,Animals!AQ:AQ)</f>
        <v>2.85</v>
      </c>
      <c r="D27" s="16">
        <f>_xlfn.XLOOKUP(A27,Animals!A:A,Animals!AT:AT)</f>
        <v>2</v>
      </c>
      <c r="E27" s="16">
        <f t="shared" si="0"/>
        <v>120</v>
      </c>
      <c r="F27" s="16">
        <f t="shared" si="1"/>
        <v>770</v>
      </c>
      <c r="G27" s="16">
        <f t="shared" si="2"/>
        <v>4.5600000000000005</v>
      </c>
      <c r="H27" s="16">
        <f t="shared" si="3"/>
        <v>547.20000000000005</v>
      </c>
      <c r="I27" s="10">
        <f t="shared" si="4"/>
        <v>1.4071637426900583</v>
      </c>
      <c r="J27" s="10">
        <f t="shared" si="5"/>
        <v>7.0358187134502911E-2</v>
      </c>
    </row>
    <row r="28" spans="1:10" x14ac:dyDescent="0.25">
      <c r="A28" s="16" t="str">
        <f>Animals!A28</f>
        <v>Megasloth</v>
      </c>
      <c r="B28" s="16">
        <f>_xlfn.XLOOKUP(A28,Animals!A:A,Animals!AO:AO)</f>
        <v>4.75</v>
      </c>
      <c r="C28" s="16">
        <f>_xlfn.XLOOKUP(A28,Animals!A:A,Animals!AQ:AQ)</f>
        <v>2.6</v>
      </c>
      <c r="D28" s="16">
        <f>_xlfn.XLOOKUP(A28,Animals!A:A,Animals!AT:AT)</f>
        <v>1.6</v>
      </c>
      <c r="E28" s="16">
        <f t="shared" si="0"/>
        <v>96</v>
      </c>
      <c r="F28" s="16">
        <f t="shared" si="1"/>
        <v>665</v>
      </c>
      <c r="G28" s="16">
        <f t="shared" si="2"/>
        <v>4.16</v>
      </c>
      <c r="H28" s="16">
        <f t="shared" si="3"/>
        <v>399.36</v>
      </c>
      <c r="I28" s="10">
        <f t="shared" si="4"/>
        <v>1.6651642628205128</v>
      </c>
      <c r="J28" s="10">
        <f t="shared" si="5"/>
        <v>8.3258213141025647E-2</v>
      </c>
    </row>
    <row r="29" spans="1:10" x14ac:dyDescent="0.25">
      <c r="A29" s="16" t="str">
        <f>Animals!A29</f>
        <v>Boar</v>
      </c>
      <c r="B29" s="16">
        <f>_xlfn.XLOOKUP(A29,Animals!A:A,Animals!AO:AO)</f>
        <v>1.5</v>
      </c>
      <c r="C29" s="16">
        <f>_xlfn.XLOOKUP(A29,Animals!A:A,Animals!AQ:AQ)</f>
        <v>0.75</v>
      </c>
      <c r="D29" s="16">
        <f>_xlfn.XLOOKUP(A29,Animals!A:A,Animals!AT:AT)</f>
        <v>0.3</v>
      </c>
      <c r="E29" s="16">
        <f t="shared" si="0"/>
        <v>18</v>
      </c>
      <c r="F29" s="16">
        <f t="shared" si="1"/>
        <v>210</v>
      </c>
      <c r="G29" s="16">
        <f t="shared" si="2"/>
        <v>1.2000000000000002</v>
      </c>
      <c r="H29" s="16">
        <f t="shared" si="3"/>
        <v>21.6</v>
      </c>
      <c r="I29" s="10">
        <f t="shared" si="4"/>
        <v>9.7222222222222214</v>
      </c>
      <c r="J29" s="10">
        <f t="shared" si="5"/>
        <v>0.4861111111111111</v>
      </c>
    </row>
    <row r="30" spans="1:10" x14ac:dyDescent="0.25">
      <c r="A30" s="16" t="str">
        <f>Animals!A30</f>
        <v>Pig</v>
      </c>
      <c r="B30" s="16">
        <f>_xlfn.XLOOKUP(A30,Animals!A:A,Animals!AO:AO)</f>
        <v>2.25</v>
      </c>
      <c r="C30" s="16">
        <f>_xlfn.XLOOKUP(A30,Animals!A:A,Animals!AQ:AQ)</f>
        <v>0.95000000000000007</v>
      </c>
      <c r="D30" s="16">
        <f>_xlfn.XLOOKUP(A30,Animals!A:A,Animals!AT:AT)</f>
        <v>0.3</v>
      </c>
      <c r="E30" s="16">
        <f t="shared" si="0"/>
        <v>18</v>
      </c>
      <c r="F30" s="16">
        <f t="shared" si="1"/>
        <v>315</v>
      </c>
      <c r="G30" s="16">
        <f t="shared" si="2"/>
        <v>1.5200000000000002</v>
      </c>
      <c r="H30" s="16">
        <f t="shared" si="3"/>
        <v>27.360000000000003</v>
      </c>
      <c r="I30" s="10">
        <f t="shared" si="4"/>
        <v>11.513157894736841</v>
      </c>
      <c r="J30" s="10">
        <f t="shared" si="5"/>
        <v>0.57565789473684204</v>
      </c>
    </row>
    <row r="31" spans="1:10" x14ac:dyDescent="0.25">
      <c r="A31" s="16" t="str">
        <f>Animals!A31</f>
        <v>Monkey</v>
      </c>
      <c r="B31" s="16">
        <f>_xlfn.XLOOKUP(A31,Animals!A:A,Animals!AO:AO)</f>
        <v>0.35000000000000003</v>
      </c>
      <c r="C31" s="16">
        <f>_xlfn.XLOOKUP(A31,Animals!A:A,Animals!AQ:AQ)</f>
        <v>0.30000000000000004</v>
      </c>
      <c r="D31" s="16">
        <f>_xlfn.XLOOKUP(A31,Animals!A:A,Animals!AT:AT)</f>
        <v>0.60000000000000009</v>
      </c>
      <c r="E31" s="16">
        <f t="shared" si="0"/>
        <v>36.000000000000007</v>
      </c>
      <c r="F31" s="16">
        <f t="shared" si="1"/>
        <v>49.000000000000007</v>
      </c>
      <c r="G31" s="16">
        <f t="shared" si="2"/>
        <v>0.48000000000000009</v>
      </c>
      <c r="H31" s="16">
        <f t="shared" si="3"/>
        <v>17.280000000000008</v>
      </c>
      <c r="I31" s="10">
        <f t="shared" si="4"/>
        <v>2.835648148148147</v>
      </c>
      <c r="J31" s="10">
        <f t="shared" si="5"/>
        <v>0.14178240740740736</v>
      </c>
    </row>
    <row r="32" spans="1:10" x14ac:dyDescent="0.25">
      <c r="A32" s="16" t="str">
        <f>Animals!A32</f>
        <v>Iguana</v>
      </c>
      <c r="B32" s="16">
        <f>_xlfn.XLOOKUP(A32,Animals!A:A,Animals!AO:AO)</f>
        <v>0.2</v>
      </c>
      <c r="C32" s="16">
        <f>_xlfn.XLOOKUP(A32,Animals!A:A,Animals!AQ:AQ)</f>
        <v>0.05</v>
      </c>
      <c r="D32" s="16">
        <f>_xlfn.XLOOKUP(A32,Animals!A:A,Animals!AT:AT)</f>
        <v>0.8</v>
      </c>
      <c r="E32" s="16">
        <f t="shared" si="0"/>
        <v>48</v>
      </c>
      <c r="F32" s="16">
        <f t="shared" si="1"/>
        <v>28</v>
      </c>
      <c r="G32" s="16">
        <f t="shared" si="2"/>
        <v>8.0000000000000016E-2</v>
      </c>
      <c r="H32" s="16">
        <f t="shared" si="3"/>
        <v>3.8400000000000007</v>
      </c>
      <c r="I32" s="10">
        <f t="shared" si="4"/>
        <v>7.2916666666666652</v>
      </c>
      <c r="J32" s="10">
        <f t="shared" si="5"/>
        <v>0.36458333333333326</v>
      </c>
    </row>
    <row r="33" spans="1:10" x14ac:dyDescent="0.25">
      <c r="A33" s="16" t="str">
        <f>Animals!A33</f>
        <v>Cobra</v>
      </c>
      <c r="B33" s="16">
        <f>_xlfn.XLOOKUP(A33,Animals!A:A,Animals!AO:AO)</f>
        <v>0.4</v>
      </c>
      <c r="C33" s="16">
        <f>_xlfn.XLOOKUP(A33,Animals!A:A,Animals!AQ:AQ)</f>
        <v>0.05</v>
      </c>
      <c r="D33" s="16">
        <f>_xlfn.XLOOKUP(A33,Animals!A:A,Animals!AT:AT)</f>
        <v>0.8</v>
      </c>
      <c r="E33" s="16">
        <f t="shared" si="0"/>
        <v>48</v>
      </c>
      <c r="F33" s="16">
        <f t="shared" si="1"/>
        <v>56</v>
      </c>
      <c r="G33" s="16">
        <f t="shared" si="2"/>
        <v>8.0000000000000016E-2</v>
      </c>
      <c r="H33" s="16">
        <f t="shared" si="3"/>
        <v>3.8400000000000007</v>
      </c>
      <c r="I33" s="10">
        <f t="shared" si="4"/>
        <v>14.58333333333333</v>
      </c>
      <c r="J33" s="10">
        <f t="shared" si="5"/>
        <v>0.72916666666666652</v>
      </c>
    </row>
    <row r="34" spans="1:10" x14ac:dyDescent="0.25">
      <c r="A34" s="16" t="str">
        <f>Animals!A34</f>
        <v>Tortoise</v>
      </c>
      <c r="B34" s="16">
        <f>_xlfn.XLOOKUP(A34,Animals!A:A,Animals!AO:AO)</f>
        <v>0.65</v>
      </c>
      <c r="C34" s="16">
        <f>_xlfn.XLOOKUP(A34,Animals!A:A,Animals!AQ:AQ)</f>
        <v>0.1</v>
      </c>
      <c r="D34" s="16">
        <f>_xlfn.XLOOKUP(A34,Animals!A:A,Animals!AT:AT)</f>
        <v>2.4000000000000004</v>
      </c>
      <c r="E34" s="16">
        <f t="shared" si="0"/>
        <v>144.00000000000003</v>
      </c>
      <c r="F34" s="16">
        <f t="shared" si="1"/>
        <v>91</v>
      </c>
      <c r="G34" s="16">
        <f t="shared" si="2"/>
        <v>0.16000000000000003</v>
      </c>
      <c r="H34" s="16">
        <f t="shared" si="3"/>
        <v>23.04000000000001</v>
      </c>
      <c r="I34" s="10">
        <f t="shared" si="4"/>
        <v>3.9496527777777759</v>
      </c>
      <c r="J34" s="10">
        <f t="shared" si="5"/>
        <v>0.19748263888888881</v>
      </c>
    </row>
    <row r="35" spans="1:10" x14ac:dyDescent="0.25">
      <c r="A35" s="16" t="str">
        <f>Animals!A35</f>
        <v>Rat</v>
      </c>
      <c r="B35" s="16">
        <f>_xlfn.XLOOKUP(A35,Animals!A:A,Animals!AO:AO)</f>
        <v>0.1</v>
      </c>
      <c r="C35" s="16">
        <f>_xlfn.XLOOKUP(A35,Animals!A:A,Animals!AQ:AQ)</f>
        <v>0.2</v>
      </c>
      <c r="D35" s="16">
        <f>_xlfn.XLOOKUP(A35,Animals!A:A,Animals!AT:AT)</f>
        <v>0.2</v>
      </c>
      <c r="E35" s="16">
        <f t="shared" si="0"/>
        <v>12</v>
      </c>
      <c r="F35" s="16">
        <f t="shared" si="1"/>
        <v>14</v>
      </c>
      <c r="G35" s="16">
        <f t="shared" si="2"/>
        <v>0.32000000000000006</v>
      </c>
      <c r="H35" s="16">
        <f t="shared" si="3"/>
        <v>3.8400000000000007</v>
      </c>
      <c r="I35" s="10">
        <f t="shared" si="4"/>
        <v>3.6458333333333326</v>
      </c>
      <c r="J35" s="10">
        <f t="shared" si="5"/>
        <v>0.18229166666666663</v>
      </c>
    </row>
    <row r="36" spans="1:10" x14ac:dyDescent="0.25">
      <c r="A36" s="16" t="str">
        <f>Animals!A36</f>
        <v>Squirrel</v>
      </c>
      <c r="B36" s="16">
        <f>_xlfn.XLOOKUP(A36,Animals!A:A,Animals!AO:AO)</f>
        <v>0.15000000000000002</v>
      </c>
      <c r="C36" s="16">
        <f>_xlfn.XLOOKUP(A36,Animals!A:A,Animals!AQ:AQ)</f>
        <v>0.25</v>
      </c>
      <c r="D36" s="16">
        <f>_xlfn.XLOOKUP(A36,Animals!A:A,Animals!AT:AT)</f>
        <v>0.3</v>
      </c>
      <c r="E36" s="16">
        <f t="shared" si="0"/>
        <v>18</v>
      </c>
      <c r="F36" s="16">
        <f t="shared" si="1"/>
        <v>21.000000000000004</v>
      </c>
      <c r="G36" s="16">
        <f t="shared" si="2"/>
        <v>0.4</v>
      </c>
      <c r="H36" s="16">
        <f t="shared" si="3"/>
        <v>7.2</v>
      </c>
      <c r="I36" s="10">
        <f t="shared" si="4"/>
        <v>2.916666666666667</v>
      </c>
      <c r="J36" s="10">
        <f t="shared" si="5"/>
        <v>0.14583333333333334</v>
      </c>
    </row>
    <row r="37" spans="1:10" x14ac:dyDescent="0.25">
      <c r="A37" s="16" t="str">
        <f>Animals!A37</f>
        <v>Guinea pig</v>
      </c>
      <c r="B37" s="16">
        <f>_xlfn.XLOOKUP(A37,Animals!A:A,Animals!AO:AO)</f>
        <v>0.15000000000000002</v>
      </c>
      <c r="C37" s="16">
        <f>_xlfn.XLOOKUP(A37,Animals!A:A,Animals!AQ:AQ)</f>
        <v>0.25</v>
      </c>
      <c r="D37" s="16">
        <f>_xlfn.XLOOKUP(A37,Animals!A:A,Animals!AT:AT)</f>
        <v>0.2</v>
      </c>
      <c r="E37" s="16">
        <f t="shared" si="0"/>
        <v>12</v>
      </c>
      <c r="F37" s="16">
        <f t="shared" si="1"/>
        <v>21.000000000000004</v>
      </c>
      <c r="G37" s="16">
        <f t="shared" si="2"/>
        <v>0.4</v>
      </c>
      <c r="H37" s="16">
        <f t="shared" si="3"/>
        <v>4.8000000000000007</v>
      </c>
      <c r="I37" s="10">
        <f t="shared" si="4"/>
        <v>4.375</v>
      </c>
      <c r="J37" s="10">
        <f t="shared" si="5"/>
        <v>0.21875</v>
      </c>
    </row>
    <row r="38" spans="1:10" x14ac:dyDescent="0.25">
      <c r="A38" s="16" t="str">
        <f>Animals!A38</f>
        <v>Chinchilla</v>
      </c>
      <c r="B38" s="16">
        <f>_xlfn.XLOOKUP(A38,Animals!A:A,Animals!AO:AO)</f>
        <v>0.15000000000000002</v>
      </c>
      <c r="C38" s="16">
        <f>_xlfn.XLOOKUP(A38,Animals!A:A,Animals!AQ:AQ)</f>
        <v>0.25</v>
      </c>
      <c r="D38" s="16">
        <f>_xlfn.XLOOKUP(A38,Animals!A:A,Animals!AT:AT)</f>
        <v>0.3</v>
      </c>
      <c r="E38" s="16">
        <f t="shared" si="0"/>
        <v>18</v>
      </c>
      <c r="F38" s="16">
        <f t="shared" si="1"/>
        <v>21.000000000000004</v>
      </c>
      <c r="G38" s="16">
        <f t="shared" si="2"/>
        <v>0.4</v>
      </c>
      <c r="H38" s="16">
        <f t="shared" si="3"/>
        <v>7.2</v>
      </c>
      <c r="I38" s="10">
        <f t="shared" si="4"/>
        <v>2.916666666666667</v>
      </c>
      <c r="J38" s="10">
        <f t="shared" si="5"/>
        <v>0.14583333333333334</v>
      </c>
    </row>
    <row r="39" spans="1:10" x14ac:dyDescent="0.25">
      <c r="A39" s="16" t="str">
        <f>Animals!A39</f>
        <v>Capybara</v>
      </c>
      <c r="B39" s="16">
        <f>_xlfn.XLOOKUP(A39,Animals!A:A,Animals!AO:AO)</f>
        <v>0.9</v>
      </c>
      <c r="C39" s="16">
        <f>_xlfn.XLOOKUP(A39,Animals!A:A,Animals!AQ:AQ)</f>
        <v>0.55000000000000004</v>
      </c>
      <c r="D39" s="16">
        <f>_xlfn.XLOOKUP(A39,Animals!A:A,Animals!AT:AT)</f>
        <v>0.3</v>
      </c>
      <c r="E39" s="16">
        <f t="shared" si="0"/>
        <v>18</v>
      </c>
      <c r="F39" s="16">
        <f t="shared" si="1"/>
        <v>126</v>
      </c>
      <c r="G39" s="16">
        <f t="shared" si="2"/>
        <v>0.88000000000000012</v>
      </c>
      <c r="H39" s="16">
        <f t="shared" si="3"/>
        <v>15.840000000000002</v>
      </c>
      <c r="I39" s="10">
        <f t="shared" si="4"/>
        <v>7.9545454545454541</v>
      </c>
      <c r="J39" s="10">
        <f t="shared" si="5"/>
        <v>0.39772727272727271</v>
      </c>
    </row>
    <row r="40" spans="1:10" x14ac:dyDescent="0.25">
      <c r="A40" s="16" t="str">
        <f>Animals!A40</f>
        <v>Alphabeaver</v>
      </c>
      <c r="B40" s="16">
        <f>_xlfn.XLOOKUP(A40,Animals!A:A,Animals!AO:AO)</f>
        <v>0.75</v>
      </c>
      <c r="C40" s="16">
        <f>_xlfn.XLOOKUP(A40,Animals!A:A,Animals!AQ:AQ)</f>
        <v>0.5</v>
      </c>
      <c r="D40" s="16">
        <f>_xlfn.XLOOKUP(A40,Animals!A:A,Animals!AT:AT)</f>
        <v>0.3</v>
      </c>
      <c r="E40" s="16">
        <f t="shared" si="0"/>
        <v>18</v>
      </c>
      <c r="F40" s="16">
        <f t="shared" si="1"/>
        <v>105</v>
      </c>
      <c r="G40" s="16">
        <f t="shared" si="2"/>
        <v>0.8</v>
      </c>
      <c r="H40" s="16">
        <f t="shared" si="3"/>
        <v>14.4</v>
      </c>
      <c r="I40" s="10">
        <f t="shared" si="4"/>
        <v>7.2916666666666661</v>
      </c>
      <c r="J40" s="10">
        <f t="shared" si="5"/>
        <v>0.36458333333333331</v>
      </c>
    </row>
    <row r="41" spans="1:10" x14ac:dyDescent="0.25">
      <c r="A41" s="16" t="str">
        <f>Animals!A41</f>
        <v>Boomrat</v>
      </c>
      <c r="B41" s="16">
        <f>_xlfn.XLOOKUP(A41,Animals!A:A,Animals!AO:AO)</f>
        <v>0.4</v>
      </c>
      <c r="C41" s="16">
        <f>_xlfn.XLOOKUP(A41,Animals!A:A,Animals!AQ:AQ)</f>
        <v>0.35000000000000003</v>
      </c>
      <c r="D41" s="16">
        <f>_xlfn.XLOOKUP(A41,Animals!A:A,Animals!AT:AT)</f>
        <v>0.3</v>
      </c>
      <c r="E41" s="16">
        <f t="shared" si="0"/>
        <v>18</v>
      </c>
      <c r="F41" s="16">
        <f t="shared" si="1"/>
        <v>56</v>
      </c>
      <c r="G41" s="16">
        <f t="shared" si="2"/>
        <v>0.56000000000000005</v>
      </c>
      <c r="H41" s="16">
        <f t="shared" si="3"/>
        <v>10.080000000000002</v>
      </c>
      <c r="I41" s="10">
        <f t="shared" si="4"/>
        <v>5.5555555555555545</v>
      </c>
      <c r="J41" s="10">
        <f t="shared" si="5"/>
        <v>0.27777777777777773</v>
      </c>
    </row>
    <row r="42" spans="1:10" x14ac:dyDescent="0.25">
      <c r="A42" s="16" t="str">
        <f>Animals!A42</f>
        <v>Bison</v>
      </c>
      <c r="B42" s="16">
        <f>_xlfn.XLOOKUP(A42,Animals!A:A,Animals!AO:AO)</f>
        <v>3</v>
      </c>
      <c r="C42" s="16">
        <f>_xlfn.XLOOKUP(A42,Animals!A:A,Animals!AQ:AQ)</f>
        <v>1.1500000000000001</v>
      </c>
      <c r="D42" s="16">
        <f>_xlfn.XLOOKUP(A42,Animals!A:A,Animals!AT:AT)</f>
        <v>0.4</v>
      </c>
      <c r="E42" s="16">
        <f t="shared" si="0"/>
        <v>24</v>
      </c>
      <c r="F42" s="16">
        <f t="shared" si="1"/>
        <v>420</v>
      </c>
      <c r="G42" s="16">
        <f t="shared" si="2"/>
        <v>1.8400000000000003</v>
      </c>
      <c r="H42" s="16">
        <f t="shared" si="3"/>
        <v>44.160000000000011</v>
      </c>
      <c r="I42" s="10">
        <f t="shared" si="4"/>
        <v>9.5108695652173889</v>
      </c>
      <c r="J42" s="10">
        <f t="shared" si="5"/>
        <v>0.47554347826086946</v>
      </c>
    </row>
    <row r="43" spans="1:10" x14ac:dyDescent="0.25">
      <c r="A43" s="16" t="str">
        <f>Animals!A43</f>
        <v>Cow</v>
      </c>
      <c r="B43" s="16">
        <f>_xlfn.XLOOKUP(A43,Animals!A:A,Animals!AO:AO)</f>
        <v>3</v>
      </c>
      <c r="C43" s="16">
        <f>_xlfn.XLOOKUP(A43,Animals!A:A,Animals!AQ:AQ)</f>
        <v>1.1500000000000001</v>
      </c>
      <c r="D43" s="16">
        <f>_xlfn.XLOOKUP(A43,Animals!A:A,Animals!AT:AT)</f>
        <v>0.3</v>
      </c>
      <c r="E43" s="16">
        <f t="shared" si="0"/>
        <v>18</v>
      </c>
      <c r="F43" s="16">
        <f t="shared" si="1"/>
        <v>420</v>
      </c>
      <c r="G43" s="16">
        <f t="shared" si="2"/>
        <v>1.8400000000000003</v>
      </c>
      <c r="H43" s="16">
        <f t="shared" si="3"/>
        <v>33.120000000000005</v>
      </c>
      <c r="I43" s="10">
        <f t="shared" si="4"/>
        <v>12.681159420289854</v>
      </c>
      <c r="J43" s="10">
        <f t="shared" si="5"/>
        <v>0.63405797101449268</v>
      </c>
    </row>
    <row r="44" spans="1:10" x14ac:dyDescent="0.25">
      <c r="A44" s="16" t="str">
        <f>Animals!A44</f>
        <v>Muffalo</v>
      </c>
      <c r="B44" s="16">
        <f>_xlfn.XLOOKUP(A44,Animals!A:A,Animals!AO:AO)</f>
        <v>2.5</v>
      </c>
      <c r="C44" s="16">
        <f>_xlfn.XLOOKUP(A44,Animals!A:A,Animals!AQ:AQ)</f>
        <v>1.05</v>
      </c>
      <c r="D44" s="16">
        <f>_xlfn.XLOOKUP(A44,Animals!A:A,Animals!AT:AT)</f>
        <v>0.4</v>
      </c>
      <c r="E44" s="16">
        <f t="shared" si="0"/>
        <v>24</v>
      </c>
      <c r="F44" s="16">
        <f t="shared" si="1"/>
        <v>350</v>
      </c>
      <c r="G44" s="16">
        <f t="shared" si="2"/>
        <v>1.6800000000000002</v>
      </c>
      <c r="H44" s="16">
        <f t="shared" si="3"/>
        <v>40.320000000000007</v>
      </c>
      <c r="I44" s="10">
        <f t="shared" si="4"/>
        <v>8.6805555555555536</v>
      </c>
      <c r="J44" s="10">
        <f t="shared" si="5"/>
        <v>0.43402777777777768</v>
      </c>
    </row>
    <row r="45" spans="1:10" x14ac:dyDescent="0.25">
      <c r="A45" s="16" t="str">
        <f>Animals!A45</f>
        <v>Yak</v>
      </c>
      <c r="B45" s="16">
        <f>_xlfn.XLOOKUP(A45,Animals!A:A,Animals!AO:AO)</f>
        <v>3</v>
      </c>
      <c r="C45" s="16">
        <f>_xlfn.XLOOKUP(A45,Animals!A:A,Animals!AQ:AQ)</f>
        <v>1.1500000000000001</v>
      </c>
      <c r="D45" s="16">
        <f>_xlfn.XLOOKUP(A45,Animals!A:A,Animals!AT:AT)</f>
        <v>0.4</v>
      </c>
      <c r="E45" s="16">
        <f t="shared" si="0"/>
        <v>24</v>
      </c>
      <c r="F45" s="16">
        <f t="shared" si="1"/>
        <v>420</v>
      </c>
      <c r="G45" s="16">
        <f t="shared" si="2"/>
        <v>1.8400000000000003</v>
      </c>
      <c r="H45" s="16">
        <f t="shared" si="3"/>
        <v>44.160000000000011</v>
      </c>
      <c r="I45" s="10">
        <f t="shared" si="4"/>
        <v>9.5108695652173889</v>
      </c>
      <c r="J45" s="10">
        <f t="shared" si="5"/>
        <v>0.47554347826086946</v>
      </c>
    </row>
    <row r="46" spans="1:10" x14ac:dyDescent="0.25">
      <c r="A46" s="16" t="str">
        <f>Animals!A46</f>
        <v>Elk</v>
      </c>
      <c r="B46" s="16">
        <f>_xlfn.XLOOKUP(A46,Animals!A:A,Animals!AO:AO)</f>
        <v>1.8</v>
      </c>
      <c r="C46" s="16">
        <f>_xlfn.XLOOKUP(A46,Animals!A:A,Animals!AQ:AQ)</f>
        <v>0.85000000000000009</v>
      </c>
      <c r="D46" s="16">
        <f>_xlfn.XLOOKUP(A46,Animals!A:A,Animals!AT:AT)</f>
        <v>0.4</v>
      </c>
      <c r="E46" s="16">
        <f t="shared" si="0"/>
        <v>24</v>
      </c>
      <c r="F46" s="16">
        <f t="shared" si="1"/>
        <v>252</v>
      </c>
      <c r="G46" s="16">
        <f t="shared" si="2"/>
        <v>1.3600000000000003</v>
      </c>
      <c r="H46" s="16">
        <f t="shared" si="3"/>
        <v>32.640000000000008</v>
      </c>
      <c r="I46" s="10">
        <f t="shared" si="4"/>
        <v>7.720588235294116</v>
      </c>
      <c r="J46" s="10">
        <f t="shared" si="5"/>
        <v>0.38602941176470584</v>
      </c>
    </row>
    <row r="47" spans="1:10" x14ac:dyDescent="0.25">
      <c r="A47" s="16" t="str">
        <f>Animals!A47</f>
        <v>Boomalope</v>
      </c>
      <c r="B47" s="16">
        <f>_xlfn.XLOOKUP(A47,Animals!A:A,Animals!AO:AO)</f>
        <v>1.5</v>
      </c>
      <c r="C47" s="16">
        <f>_xlfn.XLOOKUP(A47,Animals!A:A,Animals!AQ:AQ)</f>
        <v>0.75</v>
      </c>
      <c r="D47" s="16">
        <f>_xlfn.XLOOKUP(A47,Animals!A:A,Animals!AT:AT)</f>
        <v>0.4</v>
      </c>
      <c r="E47" s="16">
        <f t="shared" si="0"/>
        <v>24</v>
      </c>
      <c r="F47" s="16">
        <f t="shared" si="1"/>
        <v>210</v>
      </c>
      <c r="G47" s="16">
        <f t="shared" si="2"/>
        <v>1.2000000000000002</v>
      </c>
      <c r="H47" s="16">
        <f t="shared" si="3"/>
        <v>28.800000000000004</v>
      </c>
      <c r="I47" s="10">
        <f t="shared" si="4"/>
        <v>7.2916666666666652</v>
      </c>
      <c r="J47" s="10">
        <f t="shared" si="5"/>
        <v>0.36458333333333326</v>
      </c>
    </row>
    <row r="48" spans="1:10" x14ac:dyDescent="0.25">
      <c r="A48" s="16" t="str">
        <f>Animals!A48</f>
        <v>Toxalope</v>
      </c>
      <c r="B48" s="16">
        <f>_xlfn.XLOOKUP(A48,Animals!A:A,Animals!AO:AO)</f>
        <v>1.5</v>
      </c>
      <c r="C48" s="16">
        <f>_xlfn.XLOOKUP(A48,Animals!A:A,Animals!AQ:AQ)</f>
        <v>0.75</v>
      </c>
      <c r="D48" s="16">
        <f>_xlfn.XLOOKUP(A48,Animals!A:A,Animals!AT:AT)</f>
        <v>0.4</v>
      </c>
      <c r="E48" s="16">
        <f t="shared" si="0"/>
        <v>24</v>
      </c>
      <c r="F48" s="16">
        <f t="shared" si="1"/>
        <v>210</v>
      </c>
      <c r="G48" s="16">
        <f t="shared" si="2"/>
        <v>1.2000000000000002</v>
      </c>
      <c r="H48" s="16">
        <f t="shared" si="3"/>
        <v>28.800000000000004</v>
      </c>
      <c r="I48" s="10">
        <f t="shared" si="4"/>
        <v>7.2916666666666652</v>
      </c>
      <c r="J48" s="10">
        <f t="shared" si="5"/>
        <v>0.36458333333333326</v>
      </c>
    </row>
    <row r="49" spans="1:10" x14ac:dyDescent="0.25">
      <c r="A49" s="16" t="str">
        <f>Animals!A49</f>
        <v>Caribou</v>
      </c>
      <c r="B49" s="16">
        <f>_xlfn.XLOOKUP(A49,Animals!A:A,Animals!AO:AO)</f>
        <v>1.3</v>
      </c>
      <c r="C49" s="16">
        <f>_xlfn.XLOOKUP(A49,Animals!A:A,Animals!AQ:AQ)</f>
        <v>0.65</v>
      </c>
      <c r="D49" s="16">
        <f>_xlfn.XLOOKUP(A49,Animals!A:A,Animals!AT:AT)</f>
        <v>0.3</v>
      </c>
      <c r="E49" s="16">
        <f t="shared" si="0"/>
        <v>18</v>
      </c>
      <c r="F49" s="16">
        <f t="shared" si="1"/>
        <v>182</v>
      </c>
      <c r="G49" s="16">
        <f t="shared" si="2"/>
        <v>1.04</v>
      </c>
      <c r="H49" s="16">
        <f t="shared" si="3"/>
        <v>18.72</v>
      </c>
      <c r="I49" s="10">
        <f t="shared" si="4"/>
        <v>9.7222222222222232</v>
      </c>
      <c r="J49" s="10">
        <f t="shared" si="5"/>
        <v>0.48611111111111116</v>
      </c>
    </row>
    <row r="50" spans="1:10" x14ac:dyDescent="0.25">
      <c r="A50" s="16" t="str">
        <f>Animals!A50</f>
        <v>Ibex</v>
      </c>
      <c r="B50" s="16">
        <f>_xlfn.XLOOKUP(A50,Animals!A:A,Animals!AO:AO)</f>
        <v>1.1000000000000001</v>
      </c>
      <c r="C50" s="16">
        <f>_xlfn.XLOOKUP(A50,Animals!A:A,Animals!AQ:AQ)</f>
        <v>0.60000000000000009</v>
      </c>
      <c r="D50" s="16">
        <f>_xlfn.XLOOKUP(A50,Animals!A:A,Animals!AT:AT)</f>
        <v>0.4</v>
      </c>
      <c r="E50" s="16">
        <f t="shared" si="0"/>
        <v>24</v>
      </c>
      <c r="F50" s="16">
        <f t="shared" si="1"/>
        <v>154</v>
      </c>
      <c r="G50" s="16">
        <f t="shared" si="2"/>
        <v>0.96000000000000019</v>
      </c>
      <c r="H50" s="16">
        <f t="shared" si="3"/>
        <v>23.040000000000006</v>
      </c>
      <c r="I50" s="10">
        <f t="shared" si="4"/>
        <v>6.6840277777777759</v>
      </c>
      <c r="J50" s="10">
        <f t="shared" si="5"/>
        <v>0.33420138888888884</v>
      </c>
    </row>
    <row r="51" spans="1:10" x14ac:dyDescent="0.25">
      <c r="A51" s="16" t="str">
        <f>Animals!A51</f>
        <v>Goat</v>
      </c>
      <c r="B51" s="16">
        <f>_xlfn.XLOOKUP(A51,Animals!A:A,Animals!AO:AO)</f>
        <v>0.95000000000000007</v>
      </c>
      <c r="C51" s="16">
        <f>_xlfn.XLOOKUP(A51,Animals!A:A,Animals!AQ:AQ)</f>
        <v>0.55000000000000004</v>
      </c>
      <c r="D51" s="16">
        <f>_xlfn.XLOOKUP(A51,Animals!A:A,Animals!AT:AT)</f>
        <v>0.3</v>
      </c>
      <c r="E51" s="16">
        <f t="shared" si="0"/>
        <v>18</v>
      </c>
      <c r="F51" s="16">
        <f t="shared" si="1"/>
        <v>133</v>
      </c>
      <c r="G51" s="16">
        <f t="shared" si="2"/>
        <v>0.88000000000000012</v>
      </c>
      <c r="H51" s="16">
        <f t="shared" si="3"/>
        <v>15.840000000000002</v>
      </c>
      <c r="I51" s="10">
        <f t="shared" si="4"/>
        <v>8.3964646464646453</v>
      </c>
      <c r="J51" s="10">
        <f t="shared" si="5"/>
        <v>0.41982323232323226</v>
      </c>
    </row>
    <row r="52" spans="1:10" x14ac:dyDescent="0.25">
      <c r="A52" s="16" t="str">
        <f>Animals!A52</f>
        <v>Sheep</v>
      </c>
      <c r="B52" s="16">
        <f>_xlfn.XLOOKUP(A52,Animals!A:A,Animals!AO:AO)</f>
        <v>0.95000000000000007</v>
      </c>
      <c r="C52" s="16">
        <f>_xlfn.XLOOKUP(A52,Animals!A:A,Animals!AQ:AQ)</f>
        <v>0.55000000000000004</v>
      </c>
      <c r="D52" s="16">
        <f>_xlfn.XLOOKUP(A52,Animals!A:A,Animals!AT:AT)</f>
        <v>0.3</v>
      </c>
      <c r="E52" s="16">
        <f t="shared" si="0"/>
        <v>18</v>
      </c>
      <c r="F52" s="16">
        <f t="shared" si="1"/>
        <v>133</v>
      </c>
      <c r="G52" s="16">
        <f t="shared" si="2"/>
        <v>0.88000000000000012</v>
      </c>
      <c r="H52" s="16">
        <f t="shared" si="3"/>
        <v>15.840000000000002</v>
      </c>
      <c r="I52" s="10">
        <f t="shared" si="4"/>
        <v>8.3964646464646453</v>
      </c>
      <c r="J52" s="10">
        <f t="shared" si="5"/>
        <v>0.41982323232323226</v>
      </c>
    </row>
    <row r="53" spans="1:10" x14ac:dyDescent="0.25">
      <c r="A53" s="16" t="str">
        <f>Animals!A53</f>
        <v>Deer</v>
      </c>
      <c r="B53" s="16">
        <f>_xlfn.XLOOKUP(A53,Animals!A:A,Animals!AO:AO)</f>
        <v>0.9</v>
      </c>
      <c r="C53" s="16">
        <f>_xlfn.XLOOKUP(A53,Animals!A:A,Animals!AQ:AQ)</f>
        <v>0.55000000000000004</v>
      </c>
      <c r="D53" s="16">
        <f>_xlfn.XLOOKUP(A53,Animals!A:A,Animals!AT:AT)</f>
        <v>0.3</v>
      </c>
      <c r="E53" s="16">
        <f t="shared" si="0"/>
        <v>18</v>
      </c>
      <c r="F53" s="16">
        <f t="shared" si="1"/>
        <v>126</v>
      </c>
      <c r="G53" s="16">
        <f t="shared" si="2"/>
        <v>0.88000000000000012</v>
      </c>
      <c r="H53" s="16">
        <f t="shared" si="3"/>
        <v>15.840000000000002</v>
      </c>
      <c r="I53" s="10">
        <f t="shared" si="4"/>
        <v>7.9545454545454541</v>
      </c>
      <c r="J53" s="10">
        <f t="shared" si="5"/>
        <v>0.39772727272727271</v>
      </c>
    </row>
    <row r="54" spans="1:10" x14ac:dyDescent="0.25">
      <c r="A54" s="16" t="str">
        <f>Animals!A54</f>
        <v>Gazelle</v>
      </c>
      <c r="B54" s="16">
        <f>_xlfn.XLOOKUP(A54,Animals!A:A,Animals!AO:AO)</f>
        <v>0.60000000000000009</v>
      </c>
      <c r="C54" s="16">
        <f>_xlfn.XLOOKUP(A54,Animals!A:A,Animals!AQ:AQ)</f>
        <v>0.4</v>
      </c>
      <c r="D54" s="16">
        <f>_xlfn.XLOOKUP(A54,Animals!A:A,Animals!AT:AT)</f>
        <v>0.3</v>
      </c>
      <c r="E54" s="16">
        <f t="shared" si="0"/>
        <v>18</v>
      </c>
      <c r="F54" s="16">
        <f t="shared" si="1"/>
        <v>84.000000000000014</v>
      </c>
      <c r="G54" s="16">
        <f t="shared" si="2"/>
        <v>0.64000000000000012</v>
      </c>
      <c r="H54" s="16">
        <f t="shared" si="3"/>
        <v>11.520000000000003</v>
      </c>
      <c r="I54" s="10">
        <f t="shared" si="4"/>
        <v>7.2916666666666661</v>
      </c>
      <c r="J54" s="10">
        <f t="shared" si="5"/>
        <v>0.36458333333333331</v>
      </c>
    </row>
    <row r="55" spans="1:10" x14ac:dyDescent="0.25">
      <c r="A55" s="16" t="str">
        <f>Animals!A55</f>
        <v>Warg</v>
      </c>
      <c r="B55" s="16">
        <f>_xlfn.XLOOKUP(A55,Animals!A:A,Animals!AO:AO)</f>
        <v>1.7000000000000002</v>
      </c>
      <c r="C55" s="16">
        <f>_xlfn.XLOOKUP(A55,Animals!A:A,Animals!AQ:AQ)</f>
        <v>0.8</v>
      </c>
      <c r="D55" s="16">
        <f>_xlfn.XLOOKUP(A55,Animals!A:A,Animals!AT:AT)</f>
        <v>0.4</v>
      </c>
      <c r="E55" s="16">
        <f t="shared" si="0"/>
        <v>24</v>
      </c>
      <c r="F55" s="16">
        <f t="shared" si="1"/>
        <v>238.00000000000003</v>
      </c>
      <c r="G55" s="16">
        <f t="shared" si="2"/>
        <v>1.2800000000000002</v>
      </c>
      <c r="H55" s="16">
        <f t="shared" si="3"/>
        <v>30.720000000000006</v>
      </c>
      <c r="I55" s="10">
        <f t="shared" si="4"/>
        <v>7.747395833333333</v>
      </c>
      <c r="J55" s="10">
        <f t="shared" si="5"/>
        <v>0.38736979166666669</v>
      </c>
    </row>
    <row r="56" spans="1:10" x14ac:dyDescent="0.25">
      <c r="A56" s="16" t="str">
        <f>Animals!A56</f>
        <v>Wolf</v>
      </c>
      <c r="B56" s="16">
        <f>_xlfn.XLOOKUP(A56,Animals!A:A,Animals!AO:AO)</f>
        <v>0.8</v>
      </c>
      <c r="C56" s="16">
        <f>_xlfn.XLOOKUP(A56,Animals!A:A,Animals!AQ:AQ)</f>
        <v>0.5</v>
      </c>
      <c r="D56" s="16">
        <f>_xlfn.XLOOKUP(A56,Animals!A:A,Animals!AT:AT)</f>
        <v>0.4</v>
      </c>
      <c r="E56" s="16">
        <f t="shared" si="0"/>
        <v>24</v>
      </c>
      <c r="F56" s="16">
        <f t="shared" si="1"/>
        <v>112</v>
      </c>
      <c r="G56" s="16">
        <f t="shared" si="2"/>
        <v>0.8</v>
      </c>
      <c r="H56" s="16">
        <f t="shared" si="3"/>
        <v>19.200000000000003</v>
      </c>
      <c r="I56" s="10">
        <f t="shared" si="4"/>
        <v>5.8333333333333321</v>
      </c>
      <c r="J56" s="10">
        <f t="shared" si="5"/>
        <v>0.29166666666666663</v>
      </c>
    </row>
    <row r="57" spans="1:10" x14ac:dyDescent="0.25">
      <c r="A57" s="16" t="str">
        <f>Animals!A57</f>
        <v>Arctic Wolf</v>
      </c>
      <c r="B57" s="16">
        <f>_xlfn.XLOOKUP(A57,Animals!A:A,Animals!AO:AO)</f>
        <v>0.8</v>
      </c>
      <c r="C57" s="16">
        <f>_xlfn.XLOOKUP(A57,Animals!A:A,Animals!AQ:AQ)</f>
        <v>0.5</v>
      </c>
      <c r="D57" s="16">
        <f>_xlfn.XLOOKUP(A57,Animals!A:A,Animals!AT:AT)</f>
        <v>0.4</v>
      </c>
      <c r="E57" s="16">
        <f t="shared" si="0"/>
        <v>24</v>
      </c>
      <c r="F57" s="16">
        <f t="shared" si="1"/>
        <v>112</v>
      </c>
      <c r="G57" s="16">
        <f t="shared" si="2"/>
        <v>0.8</v>
      </c>
      <c r="H57" s="16">
        <f t="shared" si="3"/>
        <v>19.200000000000003</v>
      </c>
      <c r="I57" s="10">
        <f t="shared" si="4"/>
        <v>5.8333333333333321</v>
      </c>
      <c r="J57" s="10">
        <f t="shared" si="5"/>
        <v>0.29166666666666663</v>
      </c>
    </row>
    <row r="58" spans="1:10" x14ac:dyDescent="0.25">
      <c r="A58" s="16" t="str">
        <f>Animals!A58</f>
        <v>Red fox</v>
      </c>
      <c r="B58" s="16">
        <f>_xlfn.XLOOKUP(A58,Animals!A:A,Animals!AO:AO)</f>
        <v>0.4</v>
      </c>
      <c r="C58" s="16">
        <f>_xlfn.XLOOKUP(A58,Animals!A:A,Animals!AQ:AQ)</f>
        <v>0.35000000000000003</v>
      </c>
      <c r="D58" s="16">
        <f>_xlfn.XLOOKUP(A58,Animals!A:A,Animals!AT:AT)</f>
        <v>0.3</v>
      </c>
      <c r="E58" s="16">
        <f t="shared" si="0"/>
        <v>18</v>
      </c>
      <c r="F58" s="16">
        <f t="shared" si="1"/>
        <v>56</v>
      </c>
      <c r="G58" s="16">
        <f t="shared" si="2"/>
        <v>0.56000000000000005</v>
      </c>
      <c r="H58" s="16">
        <f t="shared" si="3"/>
        <v>10.080000000000002</v>
      </c>
      <c r="I58" s="10">
        <f t="shared" si="4"/>
        <v>5.5555555555555545</v>
      </c>
      <c r="J58" s="10">
        <f t="shared" si="5"/>
        <v>0.27777777777777773</v>
      </c>
    </row>
    <row r="59" spans="1:10" x14ac:dyDescent="0.25">
      <c r="A59" s="16" t="str">
        <f>Animals!A59</f>
        <v>Arctic fox</v>
      </c>
      <c r="B59" s="16">
        <f>_xlfn.XLOOKUP(A59,Animals!A:A,Animals!AO:AO)</f>
        <v>0.30000000000000004</v>
      </c>
      <c r="C59" s="16">
        <f>_xlfn.XLOOKUP(A59,Animals!A:A,Animals!AQ:AQ)</f>
        <v>0.30000000000000004</v>
      </c>
      <c r="D59" s="16">
        <f>_xlfn.XLOOKUP(A59,Animals!A:A,Animals!AT:AT)</f>
        <v>0.3</v>
      </c>
      <c r="E59" s="16">
        <f t="shared" si="0"/>
        <v>18</v>
      </c>
      <c r="F59" s="16">
        <f t="shared" si="1"/>
        <v>42.000000000000007</v>
      </c>
      <c r="G59" s="16">
        <f t="shared" si="2"/>
        <v>0.48000000000000009</v>
      </c>
      <c r="H59" s="16">
        <f t="shared" si="3"/>
        <v>8.6400000000000023</v>
      </c>
      <c r="I59" s="10">
        <f t="shared" si="4"/>
        <v>4.8611111111111107</v>
      </c>
      <c r="J59" s="10">
        <f t="shared" si="5"/>
        <v>0.24305555555555555</v>
      </c>
    </row>
    <row r="60" spans="1:10" x14ac:dyDescent="0.25">
      <c r="A60" s="16" t="str">
        <f>Animals!A60</f>
        <v>Fennec fox</v>
      </c>
      <c r="B60" s="16">
        <f>_xlfn.XLOOKUP(A60,Animals!A:A,Animals!AO:AO)</f>
        <v>0.2</v>
      </c>
      <c r="C60" s="16">
        <f>_xlfn.XLOOKUP(A60,Animals!A:A,Animals!AQ:AQ)</f>
        <v>0.25</v>
      </c>
      <c r="D60" s="16">
        <f>_xlfn.XLOOKUP(A60,Animals!A:A,Animals!AT:AT)</f>
        <v>0.3</v>
      </c>
      <c r="E60" s="16">
        <f t="shared" si="0"/>
        <v>18</v>
      </c>
      <c r="F60" s="16">
        <f t="shared" si="1"/>
        <v>28</v>
      </c>
      <c r="G60" s="16">
        <f t="shared" si="2"/>
        <v>0.4</v>
      </c>
      <c r="H60" s="16">
        <f t="shared" si="3"/>
        <v>7.2</v>
      </c>
      <c r="I60" s="10">
        <f t="shared" si="4"/>
        <v>3.8888888888888888</v>
      </c>
      <c r="J60" s="10">
        <f t="shared" si="5"/>
        <v>0.19444444444444445</v>
      </c>
    </row>
    <row r="61" spans="1:10" x14ac:dyDescent="0.25">
      <c r="A61" s="16" t="str">
        <f>Animals!A61</f>
        <v>Waste rat</v>
      </c>
      <c r="B61" s="16">
        <f>_xlfn.XLOOKUP(A61,Animals!A:A,Animals!AO:AO)</f>
        <v>0.4</v>
      </c>
      <c r="C61" s="16">
        <f>_xlfn.XLOOKUP(A61,Animals!A:A,Animals!AQ:AQ)</f>
        <v>0.35000000000000003</v>
      </c>
      <c r="D61" s="16">
        <f>_xlfn.XLOOKUP(A61,Animals!A:A,Animals!AT:AT)</f>
        <v>0.3</v>
      </c>
      <c r="E61" s="16">
        <f t="shared" si="0"/>
        <v>18</v>
      </c>
      <c r="F61" s="16">
        <f t="shared" si="1"/>
        <v>56</v>
      </c>
      <c r="G61" s="16">
        <f t="shared" si="2"/>
        <v>0.56000000000000005</v>
      </c>
      <c r="H61" s="16">
        <f t="shared" si="3"/>
        <v>10.080000000000002</v>
      </c>
      <c r="I61" s="10">
        <f t="shared" si="4"/>
        <v>5.5555555555555545</v>
      </c>
      <c r="J61" s="10">
        <f t="shared" si="5"/>
        <v>0.27777777777777773</v>
      </c>
    </row>
    <row r="62" spans="1:10" x14ac:dyDescent="0.25">
      <c r="A62" s="16" t="str">
        <f>Animals!A62</f>
        <v>Panda</v>
      </c>
      <c r="B62" s="16">
        <f>_xlfn.XLOOKUP(A62,Animals!A:A,Animals!AO:AO)</f>
        <v>1.3</v>
      </c>
      <c r="C62" s="16">
        <f>_xlfn.XLOOKUP(A62,Animals!A:A,Animals!AQ:AQ)</f>
        <v>0.65</v>
      </c>
      <c r="D62" s="16">
        <f>_xlfn.XLOOKUP(A62,Animals!A:A,Animals!AT:AT)</f>
        <v>1</v>
      </c>
      <c r="E62" s="16">
        <f t="shared" si="0"/>
        <v>60</v>
      </c>
      <c r="F62" s="16">
        <f t="shared" si="1"/>
        <v>182</v>
      </c>
      <c r="G62" s="16">
        <f t="shared" si="2"/>
        <v>1.04</v>
      </c>
      <c r="H62" s="16">
        <f t="shared" si="3"/>
        <v>62.400000000000006</v>
      </c>
      <c r="I62" s="10">
        <f t="shared" si="4"/>
        <v>2.9166666666666665</v>
      </c>
      <c r="J62" s="10">
        <f t="shared" si="5"/>
        <v>0.14583333333333334</v>
      </c>
    </row>
    <row r="63" spans="1:10" x14ac:dyDescent="0.25">
      <c r="A63" s="16" t="str">
        <f>Animals!A63</f>
        <v>Sparrow</v>
      </c>
      <c r="B63" s="16">
        <f>_xlfn.XLOOKUP(A63,Animals!A:A,Animals!AO:AO)</f>
        <v>0.05</v>
      </c>
      <c r="C63" s="16">
        <f>_xlfn.XLOOKUP(A63,Animals!A:A,Animals!AQ:AQ)</f>
        <v>0.25</v>
      </c>
      <c r="D63" s="16">
        <f>_xlfn.XLOOKUP(A63,Animals!A:A,Animals!AT:AT)</f>
        <v>0.2</v>
      </c>
      <c r="E63" s="16">
        <f t="shared" si="0"/>
        <v>12</v>
      </c>
      <c r="F63" s="16">
        <f t="shared" si="1"/>
        <v>7</v>
      </c>
      <c r="G63" s="16">
        <f t="shared" si="2"/>
        <v>0.4</v>
      </c>
      <c r="H63" s="16">
        <f t="shared" si="3"/>
        <v>4.8000000000000007</v>
      </c>
      <c r="I63" s="10">
        <f t="shared" si="4"/>
        <v>1.458333333333333</v>
      </c>
      <c r="J63" s="10">
        <f t="shared" si="5"/>
        <v>7.2916666666666657E-2</v>
      </c>
    </row>
    <row r="64" spans="1:10" x14ac:dyDescent="0.25">
      <c r="A64" s="16" t="str">
        <f>Animals!A64</f>
        <v>Bluebird</v>
      </c>
      <c r="B64" s="16">
        <f>_xlfn.XLOOKUP(A64,Animals!A:A,Animals!AO:AO)</f>
        <v>0.05</v>
      </c>
      <c r="C64" s="16">
        <f>_xlfn.XLOOKUP(A64,Animals!A:A,Animals!AQ:AQ)</f>
        <v>0.25</v>
      </c>
      <c r="D64" s="16">
        <f>_xlfn.XLOOKUP(A64,Animals!A:A,Animals!AT:AT)</f>
        <v>0.3</v>
      </c>
      <c r="E64" s="16">
        <f t="shared" ref="E64:E118" si="6">IFERROR(D64*60,"Unknown")</f>
        <v>18</v>
      </c>
      <c r="F64" s="16">
        <f t="shared" ref="F64:F118" si="7">140*B64</f>
        <v>7</v>
      </c>
      <c r="G64" s="16">
        <f t="shared" ref="G64:G118" si="8">1.6*C64</f>
        <v>0.4</v>
      </c>
      <c r="H64" s="16">
        <f t="shared" ref="H64:H118" si="9">IFERROR(G64*E64,"Unknown")</f>
        <v>7.2</v>
      </c>
      <c r="I64" s="10">
        <f t="shared" ref="I64:I118" si="10">IFERROR(F64/H64,0)</f>
        <v>0.97222222222222221</v>
      </c>
      <c r="J64" s="10">
        <f t="shared" ref="J64:J118" si="11">I64*0.05</f>
        <v>4.8611111111111112E-2</v>
      </c>
    </row>
    <row r="65" spans="1:10" x14ac:dyDescent="0.25">
      <c r="A65" s="16" t="str">
        <f>Animals!A65</f>
        <v>Crow</v>
      </c>
      <c r="B65" s="16">
        <f>_xlfn.XLOOKUP(A65,Animals!A:A,Animals!AO:AO)</f>
        <v>0.1</v>
      </c>
      <c r="C65" s="16">
        <f>_xlfn.XLOOKUP(A65,Animals!A:A,Animals!AQ:AQ)</f>
        <v>0.25</v>
      </c>
      <c r="D65" s="16">
        <f>_xlfn.XLOOKUP(A65,Animals!A:A,Animals!AT:AT)</f>
        <v>0.4</v>
      </c>
      <c r="E65" s="16">
        <f t="shared" si="6"/>
        <v>24</v>
      </c>
      <c r="F65" s="16">
        <f t="shared" si="7"/>
        <v>14</v>
      </c>
      <c r="G65" s="16">
        <f t="shared" si="8"/>
        <v>0.4</v>
      </c>
      <c r="H65" s="16">
        <f t="shared" si="9"/>
        <v>9.6000000000000014</v>
      </c>
      <c r="I65" s="10">
        <f t="shared" si="10"/>
        <v>1.458333333333333</v>
      </c>
      <c r="J65" s="10">
        <f t="shared" si="11"/>
        <v>7.2916666666666657E-2</v>
      </c>
    </row>
    <row r="66" spans="1:10" x14ac:dyDescent="0.25">
      <c r="A66" s="16" t="str">
        <f>Animals!A66</f>
        <v>Macaw</v>
      </c>
      <c r="B66" s="16">
        <f>_xlfn.XLOOKUP(A66,Animals!A:A,Animals!AO:AO)</f>
        <v>0.15000000000000002</v>
      </c>
      <c r="C66" s="16">
        <f>_xlfn.XLOOKUP(A66,Animals!A:A,Animals!AQ:AQ)</f>
        <v>0.30000000000000004</v>
      </c>
      <c r="D66" s="16">
        <f>_xlfn.XLOOKUP(A66,Animals!A:A,Animals!AT:AT)</f>
        <v>0.4</v>
      </c>
      <c r="E66" s="16">
        <f t="shared" si="6"/>
        <v>24</v>
      </c>
      <c r="F66" s="16">
        <f t="shared" si="7"/>
        <v>21.000000000000004</v>
      </c>
      <c r="G66" s="16">
        <f t="shared" si="8"/>
        <v>0.48000000000000009</v>
      </c>
      <c r="H66" s="16">
        <f t="shared" si="9"/>
        <v>11.520000000000003</v>
      </c>
      <c r="I66" s="10">
        <f t="shared" si="10"/>
        <v>1.8229166666666665</v>
      </c>
      <c r="J66" s="10">
        <f t="shared" si="11"/>
        <v>9.1145833333333329E-2</v>
      </c>
    </row>
    <row r="67" spans="1:10" x14ac:dyDescent="0.25">
      <c r="A67" s="16" t="str">
        <f>Animals!A67</f>
        <v>Quail</v>
      </c>
      <c r="B67" s="16">
        <f>_xlfn.XLOOKUP(A67,Animals!A:A,Animals!AO:AO)</f>
        <v>0.1</v>
      </c>
      <c r="C67" s="16">
        <f>_xlfn.XLOOKUP(A67,Animals!A:A,Animals!AQ:AQ)</f>
        <v>0.25</v>
      </c>
      <c r="D67" s="16">
        <f>_xlfn.XLOOKUP(A67,Animals!A:A,Animals!AT:AT)</f>
        <v>0.3</v>
      </c>
      <c r="E67" s="16">
        <f t="shared" si="6"/>
        <v>18</v>
      </c>
      <c r="F67" s="16">
        <f t="shared" si="7"/>
        <v>14</v>
      </c>
      <c r="G67" s="16">
        <f t="shared" si="8"/>
        <v>0.4</v>
      </c>
      <c r="H67" s="16">
        <f t="shared" si="9"/>
        <v>7.2</v>
      </c>
      <c r="I67" s="10">
        <f t="shared" si="10"/>
        <v>1.9444444444444444</v>
      </c>
      <c r="J67" s="10">
        <f t="shared" si="11"/>
        <v>9.7222222222222224E-2</v>
      </c>
    </row>
    <row r="68" spans="1:10" x14ac:dyDescent="0.25">
      <c r="A68" s="16" t="str">
        <f>Animals!A68</f>
        <v>Swan</v>
      </c>
      <c r="B68" s="16">
        <f>_xlfn.XLOOKUP(A68,Animals!A:A,Animals!AO:AO)</f>
        <v>0.4</v>
      </c>
      <c r="C68" s="16">
        <f>_xlfn.XLOOKUP(A68,Animals!A:A,Animals!AQ:AQ)</f>
        <v>0.4</v>
      </c>
      <c r="D68" s="16">
        <f>_xlfn.XLOOKUP(A68,Animals!A:A,Animals!AT:AT)</f>
        <v>0.4</v>
      </c>
      <c r="E68" s="16">
        <f t="shared" si="6"/>
        <v>24</v>
      </c>
      <c r="F68" s="16">
        <f t="shared" si="7"/>
        <v>56</v>
      </c>
      <c r="G68" s="16">
        <f t="shared" si="8"/>
        <v>0.64000000000000012</v>
      </c>
      <c r="H68" s="16">
        <f t="shared" si="9"/>
        <v>15.360000000000003</v>
      </c>
      <c r="I68" s="10">
        <f t="shared" si="10"/>
        <v>3.6458333333333326</v>
      </c>
      <c r="J68" s="10">
        <f t="shared" si="11"/>
        <v>0.18229166666666663</v>
      </c>
    </row>
    <row r="69" spans="1:10" x14ac:dyDescent="0.25">
      <c r="A69" s="16" t="str">
        <f>Animals!A69</f>
        <v>Heron</v>
      </c>
      <c r="B69" s="16">
        <f>_xlfn.XLOOKUP(A69,Animals!A:A,Animals!AO:AO)</f>
        <v>0.2</v>
      </c>
      <c r="C69" s="16">
        <f>_xlfn.XLOOKUP(A69,Animals!A:A,Animals!AQ:AQ)</f>
        <v>0.30000000000000004</v>
      </c>
      <c r="D69" s="16">
        <f>_xlfn.XLOOKUP(A69,Animals!A:A,Animals!AT:AT)</f>
        <v>0.4</v>
      </c>
      <c r="E69" s="16">
        <f t="shared" si="6"/>
        <v>24</v>
      </c>
      <c r="F69" s="16">
        <f t="shared" si="7"/>
        <v>28</v>
      </c>
      <c r="G69" s="16">
        <f t="shared" si="8"/>
        <v>0.48000000000000009</v>
      </c>
      <c r="H69" s="16">
        <f t="shared" si="9"/>
        <v>11.520000000000003</v>
      </c>
      <c r="I69" s="10">
        <f t="shared" si="10"/>
        <v>2.4305555555555549</v>
      </c>
      <c r="J69" s="10">
        <f t="shared" si="11"/>
        <v>0.12152777777777775</v>
      </c>
    </row>
    <row r="70" spans="1:10" x14ac:dyDescent="0.25">
      <c r="A70" s="16" t="str">
        <f>Animals!A70</f>
        <v>Flamingo</v>
      </c>
      <c r="B70" s="16">
        <f>_xlfn.XLOOKUP(A70,Animals!A:A,Animals!AO:AO)</f>
        <v>0.25</v>
      </c>
      <c r="C70" s="16">
        <f>_xlfn.XLOOKUP(A70,Animals!A:A,Animals!AQ:AQ)</f>
        <v>0.35000000000000003</v>
      </c>
      <c r="D70" s="16">
        <f>_xlfn.XLOOKUP(A70,Animals!A:A,Animals!AT:AT)</f>
        <v>0.8</v>
      </c>
      <c r="E70" s="16">
        <f t="shared" si="6"/>
        <v>48</v>
      </c>
      <c r="F70" s="16">
        <f t="shared" si="7"/>
        <v>35</v>
      </c>
      <c r="G70" s="16">
        <f t="shared" si="8"/>
        <v>0.56000000000000005</v>
      </c>
      <c r="H70" s="16">
        <f t="shared" si="9"/>
        <v>26.880000000000003</v>
      </c>
      <c r="I70" s="10">
        <f t="shared" si="10"/>
        <v>1.3020833333333333</v>
      </c>
      <c r="J70" s="10">
        <f t="shared" si="11"/>
        <v>6.5104166666666671E-2</v>
      </c>
    </row>
    <row r="71" spans="1:10" x14ac:dyDescent="0.25">
      <c r="A71" s="16" t="str">
        <f>Animals!A71</f>
        <v>Penguin</v>
      </c>
      <c r="B71" s="16">
        <f>_xlfn.XLOOKUP(A71,Animals!A:A,Animals!AO:AO)</f>
        <v>0.70000000000000007</v>
      </c>
      <c r="C71" s="16">
        <f>_xlfn.XLOOKUP(A71,Animals!A:A,Animals!AQ:AQ)</f>
        <v>0.55000000000000004</v>
      </c>
      <c r="D71" s="16">
        <f>_xlfn.XLOOKUP(A71,Animals!A:A,Animals!AT:AT)</f>
        <v>0.8</v>
      </c>
      <c r="E71" s="16">
        <f t="shared" si="6"/>
        <v>48</v>
      </c>
      <c r="F71" s="16">
        <f t="shared" si="7"/>
        <v>98.000000000000014</v>
      </c>
      <c r="G71" s="16">
        <f t="shared" si="8"/>
        <v>0.88000000000000012</v>
      </c>
      <c r="H71" s="16">
        <f t="shared" si="9"/>
        <v>42.240000000000009</v>
      </c>
      <c r="I71" s="10">
        <f t="shared" si="10"/>
        <v>2.3200757575757573</v>
      </c>
      <c r="J71" s="10">
        <f t="shared" si="11"/>
        <v>0.11600378787878787</v>
      </c>
    </row>
    <row r="72" spans="1:10" x14ac:dyDescent="0.25">
      <c r="A72" s="16" t="str">
        <f>Animals!A72</f>
        <v>Peacock</v>
      </c>
      <c r="B72" s="16">
        <f>_xlfn.XLOOKUP(A72,Animals!A:A,Animals!AO:AO)</f>
        <v>0.30000000000000004</v>
      </c>
      <c r="C72" s="16">
        <f>_xlfn.XLOOKUP(A72,Animals!A:A,Animals!AQ:AQ)</f>
        <v>0.35000000000000003</v>
      </c>
      <c r="D72" s="16">
        <f>_xlfn.XLOOKUP(A72,Animals!A:A,Animals!AT:AT)</f>
        <v>0.4</v>
      </c>
      <c r="E72" s="16">
        <f t="shared" si="6"/>
        <v>24</v>
      </c>
      <c r="F72" s="16">
        <f t="shared" si="7"/>
        <v>42.000000000000007</v>
      </c>
      <c r="G72" s="16">
        <f t="shared" si="8"/>
        <v>0.56000000000000005</v>
      </c>
      <c r="H72" s="16">
        <f t="shared" si="9"/>
        <v>13.440000000000001</v>
      </c>
      <c r="I72" s="10">
        <f t="shared" si="10"/>
        <v>3.1250000000000004</v>
      </c>
      <c r="J72" s="10">
        <f t="shared" si="11"/>
        <v>0.15625000000000003</v>
      </c>
    </row>
    <row r="73" spans="1:10" x14ac:dyDescent="0.25">
      <c r="A73" s="16" t="str">
        <f>Animals!A73</f>
        <v>Vulture</v>
      </c>
      <c r="B73" s="16">
        <f>_xlfn.XLOOKUP(A73,Animals!A:A,Animals!AO:AO)</f>
        <v>0.30000000000000004</v>
      </c>
      <c r="C73" s="16">
        <f>_xlfn.XLOOKUP(A73,Animals!A:A,Animals!AQ:AQ)</f>
        <v>0.35000000000000003</v>
      </c>
      <c r="D73" s="16">
        <f>_xlfn.XLOOKUP(A73,Animals!A:A,Animals!AT:AT)</f>
        <v>1</v>
      </c>
      <c r="E73" s="16">
        <f t="shared" si="6"/>
        <v>60</v>
      </c>
      <c r="F73" s="16">
        <f t="shared" si="7"/>
        <v>42.000000000000007</v>
      </c>
      <c r="G73" s="16">
        <f t="shared" si="8"/>
        <v>0.56000000000000005</v>
      </c>
      <c r="H73" s="16">
        <f t="shared" si="9"/>
        <v>33.6</v>
      </c>
      <c r="I73" s="10">
        <f t="shared" si="10"/>
        <v>1.2500000000000002</v>
      </c>
      <c r="J73" s="10">
        <f t="shared" si="11"/>
        <v>6.2500000000000014E-2</v>
      </c>
    </row>
    <row r="74" spans="1:10" x14ac:dyDescent="0.25">
      <c r="A74" s="16" t="str">
        <f>Animals!A74</f>
        <v>Tiger</v>
      </c>
      <c r="B74" s="16">
        <f>_xlfn.XLOOKUP(A74,Animals!A:A,Animals!AO:AO)</f>
        <v>1.7000000000000002</v>
      </c>
      <c r="C74" s="16">
        <f>_xlfn.XLOOKUP(A74,Animals!A:A,Animals!AQ:AQ)</f>
        <v>0.8</v>
      </c>
      <c r="D74" s="16">
        <f>_xlfn.XLOOKUP(A74,Animals!A:A,Animals!AT:AT)</f>
        <v>0.60000000000000009</v>
      </c>
      <c r="E74" s="16">
        <f t="shared" si="6"/>
        <v>36.000000000000007</v>
      </c>
      <c r="F74" s="16">
        <f t="shared" si="7"/>
        <v>238.00000000000003</v>
      </c>
      <c r="G74" s="16">
        <f t="shared" si="8"/>
        <v>1.2800000000000002</v>
      </c>
      <c r="H74" s="16">
        <f t="shared" si="9"/>
        <v>46.08000000000002</v>
      </c>
      <c r="I74" s="10">
        <f t="shared" si="10"/>
        <v>5.1649305555555536</v>
      </c>
      <c r="J74" s="10">
        <f t="shared" si="11"/>
        <v>0.25824652777777768</v>
      </c>
    </row>
    <row r="75" spans="1:10" x14ac:dyDescent="0.25">
      <c r="A75" s="16" t="str">
        <f>Animals!A75</f>
        <v>Cat_Scimitar</v>
      </c>
      <c r="B75" s="16">
        <f>_xlfn.XLOOKUP(A75,Animals!A:A,Animals!AO:AO)</f>
        <v>1.9000000000000001</v>
      </c>
      <c r="C75" s="16">
        <f>_xlfn.XLOOKUP(A75,Animals!A:A,Animals!AQ:AQ)</f>
        <v>0.85000000000000009</v>
      </c>
      <c r="D75" s="16">
        <f>_xlfn.XLOOKUP(A75,Animals!A:A,Animals!AT:AT)</f>
        <v>0.60000000000000009</v>
      </c>
      <c r="E75" s="16">
        <f t="shared" si="6"/>
        <v>36.000000000000007</v>
      </c>
      <c r="F75" s="16">
        <f t="shared" si="7"/>
        <v>266</v>
      </c>
      <c r="G75" s="16">
        <f t="shared" si="8"/>
        <v>1.3600000000000003</v>
      </c>
      <c r="H75" s="16">
        <f t="shared" si="9"/>
        <v>48.960000000000022</v>
      </c>
      <c r="I75" s="10">
        <f t="shared" si="10"/>
        <v>5.43300653594771</v>
      </c>
      <c r="J75" s="10">
        <f t="shared" si="11"/>
        <v>0.27165032679738549</v>
      </c>
    </row>
    <row r="76" spans="1:10" x14ac:dyDescent="0.25">
      <c r="A76" s="16" t="str">
        <f>Animals!A76</f>
        <v>Bullfrog</v>
      </c>
      <c r="B76" s="16">
        <f>_xlfn.XLOOKUP(A76,Animals!A:A,Animals!AO:AO)</f>
        <v>0.1</v>
      </c>
      <c r="C76" s="16">
        <f>_xlfn.XLOOKUP(A76,Animals!A:A,Animals!AQ:AQ)</f>
        <v>0.05</v>
      </c>
      <c r="D76" s="16">
        <f>_xlfn.XLOOKUP(A76,Animals!A:A,Animals!AT:AT)</f>
        <v>0.60000000000000009</v>
      </c>
      <c r="E76" s="16">
        <f t="shared" si="6"/>
        <v>36.000000000000007</v>
      </c>
      <c r="F76" s="16">
        <f t="shared" si="7"/>
        <v>14</v>
      </c>
      <c r="G76" s="16">
        <f t="shared" si="8"/>
        <v>8.0000000000000016E-2</v>
      </c>
      <c r="H76" s="16">
        <f t="shared" si="9"/>
        <v>2.8800000000000012</v>
      </c>
      <c r="I76" s="10">
        <f t="shared" si="10"/>
        <v>4.8611111111111089</v>
      </c>
      <c r="J76" s="10">
        <f t="shared" si="11"/>
        <v>0.24305555555555547</v>
      </c>
    </row>
    <row r="77" spans="1:10" x14ac:dyDescent="0.25">
      <c r="A77" s="16" t="str">
        <f>Animals!A77</f>
        <v>ColossusToad</v>
      </c>
      <c r="B77" s="16">
        <f>_xlfn.XLOOKUP(A77,Animals!A:A,Animals!AO:AO)</f>
        <v>0.9</v>
      </c>
      <c r="C77" s="16">
        <f>_xlfn.XLOOKUP(A77,Animals!A:A,Animals!AQ:AQ)</f>
        <v>0.15000000000000002</v>
      </c>
      <c r="D77" s="16">
        <f>_xlfn.XLOOKUP(A77,Animals!A:A,Animals!AT:AT)</f>
        <v>0.8</v>
      </c>
      <c r="E77" s="16">
        <f t="shared" si="6"/>
        <v>48</v>
      </c>
      <c r="F77" s="16">
        <f t="shared" si="7"/>
        <v>126</v>
      </c>
      <c r="G77" s="16">
        <f t="shared" si="8"/>
        <v>0.24000000000000005</v>
      </c>
      <c r="H77" s="16">
        <f t="shared" si="9"/>
        <v>11.520000000000003</v>
      </c>
      <c r="I77" s="10">
        <f t="shared" si="10"/>
        <v>10.937499999999996</v>
      </c>
      <c r="J77" s="10">
        <f t="shared" si="11"/>
        <v>0.54687499999999989</v>
      </c>
    </row>
    <row r="78" spans="1:10" x14ac:dyDescent="0.25">
      <c r="A78" s="16" t="str">
        <f>Animals!A78</f>
        <v>Hippo</v>
      </c>
      <c r="B78" s="16">
        <f>_xlfn.XLOOKUP(A78,Animals!A:A,Animals!AO:AO)</f>
        <v>3.75</v>
      </c>
      <c r="C78" s="16">
        <f>_xlfn.XLOOKUP(A78,Animals!A:A,Animals!AQ:AQ)</f>
        <v>2.2000000000000002</v>
      </c>
      <c r="D78" s="16">
        <f>_xlfn.XLOOKUP(A78,Animals!A:A,Animals!AT:AT)</f>
        <v>0.60000000000000009</v>
      </c>
      <c r="E78" s="16">
        <f t="shared" si="6"/>
        <v>36.000000000000007</v>
      </c>
      <c r="F78" s="16">
        <f t="shared" si="7"/>
        <v>525</v>
      </c>
      <c r="G78" s="16">
        <f t="shared" si="8"/>
        <v>3.5200000000000005</v>
      </c>
      <c r="H78" s="16">
        <f t="shared" si="9"/>
        <v>126.72000000000004</v>
      </c>
      <c r="I78" s="10">
        <f t="shared" si="10"/>
        <v>4.142992424242423</v>
      </c>
      <c r="J78" s="10">
        <f t="shared" si="11"/>
        <v>0.20714962121212116</v>
      </c>
    </row>
    <row r="79" spans="1:10" x14ac:dyDescent="0.25">
      <c r="A79" s="16" t="str">
        <f>Animals!A79</f>
        <v>Mastodon</v>
      </c>
      <c r="B79" s="16">
        <f>_xlfn.XLOOKUP(A79,Animals!A:A,Animals!AO:AO)</f>
        <v>5.5</v>
      </c>
      <c r="C79" s="16">
        <f>_xlfn.XLOOKUP(A79,Animals!A:A,Animals!AQ:AQ)</f>
        <v>2.85</v>
      </c>
      <c r="D79" s="16">
        <f>_xlfn.XLOOKUP(A79,Animals!A:A,Animals!AT:AT)</f>
        <v>1.8</v>
      </c>
      <c r="E79" s="16">
        <f t="shared" si="6"/>
        <v>108</v>
      </c>
      <c r="F79" s="16">
        <f t="shared" si="7"/>
        <v>770</v>
      </c>
      <c r="G79" s="16">
        <f t="shared" si="8"/>
        <v>4.5600000000000005</v>
      </c>
      <c r="H79" s="16">
        <f t="shared" si="9"/>
        <v>492.48000000000008</v>
      </c>
      <c r="I79" s="10">
        <f t="shared" si="10"/>
        <v>1.5635152696556203</v>
      </c>
      <c r="J79" s="10">
        <f t="shared" si="11"/>
        <v>7.8175763482781019E-2</v>
      </c>
    </row>
    <row r="80" spans="1:10" x14ac:dyDescent="0.25">
      <c r="A80" s="16" t="str">
        <f>Animals!A80</f>
        <v>AlphaThrumbo</v>
      </c>
      <c r="B80" s="16">
        <f>_xlfn.XLOOKUP(A80,Animals!A:A,Animals!AO:AO)</f>
        <v>6</v>
      </c>
      <c r="C80" s="16">
        <f>_xlfn.XLOOKUP(A80,Animals!A:A,Animals!AQ:AQ)</f>
        <v>3.0500000000000003</v>
      </c>
      <c r="D80" s="16">
        <f>_xlfn.XLOOKUP(A80,Animals!A:A,Animals!AT:AT)</f>
        <v>2</v>
      </c>
      <c r="E80" s="16">
        <f t="shared" si="6"/>
        <v>120</v>
      </c>
      <c r="F80" s="16">
        <f t="shared" si="7"/>
        <v>840</v>
      </c>
      <c r="G80" s="16">
        <f t="shared" si="8"/>
        <v>4.8800000000000008</v>
      </c>
      <c r="H80" s="16">
        <f t="shared" si="9"/>
        <v>585.60000000000014</v>
      </c>
      <c r="I80" s="10">
        <f t="shared" si="10"/>
        <v>1.4344262295081964</v>
      </c>
      <c r="J80" s="10">
        <f t="shared" si="11"/>
        <v>7.1721311475409819E-2</v>
      </c>
    </row>
    <row r="81" spans="1:10" x14ac:dyDescent="0.25">
      <c r="A81" s="16" t="str">
        <f>Animals!A81</f>
        <v>Armadillo</v>
      </c>
      <c r="B81" s="16">
        <f>_xlfn.XLOOKUP(A81,Animals!A:A,Animals!AO:AO)</f>
        <v>0.30000000000000004</v>
      </c>
      <c r="C81" s="16">
        <f>_xlfn.XLOOKUP(A81,Animals!A:A,Animals!AQ:AQ)</f>
        <v>0.30000000000000004</v>
      </c>
      <c r="D81" s="16">
        <f>_xlfn.XLOOKUP(A81,Animals!A:A,Animals!AT:AT)</f>
        <v>0.3</v>
      </c>
      <c r="E81" s="16">
        <f t="shared" si="6"/>
        <v>18</v>
      </c>
      <c r="F81" s="16">
        <f t="shared" si="7"/>
        <v>42.000000000000007</v>
      </c>
      <c r="G81" s="16">
        <f t="shared" si="8"/>
        <v>0.48000000000000009</v>
      </c>
      <c r="H81" s="16">
        <f t="shared" si="9"/>
        <v>8.6400000000000023</v>
      </c>
      <c r="I81" s="10">
        <f t="shared" si="10"/>
        <v>4.8611111111111107</v>
      </c>
      <c r="J81" s="10">
        <f t="shared" si="11"/>
        <v>0.24305555555555555</v>
      </c>
    </row>
    <row r="82" spans="1:10" x14ac:dyDescent="0.25">
      <c r="A82" s="16" t="str">
        <f>Animals!A82</f>
        <v>Wolverine</v>
      </c>
      <c r="B82" s="16">
        <f>_xlfn.XLOOKUP(A82,Animals!A:A,Animals!AO:AO)</f>
        <v>0.55000000000000004</v>
      </c>
      <c r="C82" s="16">
        <f>_xlfn.XLOOKUP(A82,Animals!A:A,Animals!AQ:AQ)</f>
        <v>0.4</v>
      </c>
      <c r="D82" s="16">
        <f>_xlfn.XLOOKUP(A82,Animals!A:A,Animals!AT:AT)</f>
        <v>0.4</v>
      </c>
      <c r="E82" s="16">
        <f t="shared" si="6"/>
        <v>24</v>
      </c>
      <c r="F82" s="16">
        <f t="shared" si="7"/>
        <v>77</v>
      </c>
      <c r="G82" s="16">
        <f t="shared" si="8"/>
        <v>0.64000000000000012</v>
      </c>
      <c r="H82" s="16">
        <f t="shared" si="9"/>
        <v>15.360000000000003</v>
      </c>
      <c r="I82" s="10">
        <f t="shared" si="10"/>
        <v>5.0130208333333321</v>
      </c>
      <c r="J82" s="10">
        <f t="shared" si="11"/>
        <v>0.25065104166666663</v>
      </c>
    </row>
    <row r="83" spans="1:10" x14ac:dyDescent="0.25">
      <c r="A83" s="16" t="str">
        <f>Animals!A83</f>
        <v>Mink</v>
      </c>
      <c r="B83" s="16">
        <f>_xlfn.XLOOKUP(A83,Animals!A:A,Animals!AO:AO)</f>
        <v>0.15000000000000002</v>
      </c>
      <c r="C83" s="16">
        <f>_xlfn.XLOOKUP(A83,Animals!A:A,Animals!AQ:AQ)</f>
        <v>0.25</v>
      </c>
      <c r="D83" s="16">
        <f>_xlfn.XLOOKUP(A83,Animals!A:A,Animals!AT:AT)</f>
        <v>0.3</v>
      </c>
      <c r="E83" s="16">
        <f t="shared" si="6"/>
        <v>18</v>
      </c>
      <c r="F83" s="16">
        <f t="shared" si="7"/>
        <v>21.000000000000004</v>
      </c>
      <c r="G83" s="16">
        <f t="shared" si="8"/>
        <v>0.4</v>
      </c>
      <c r="H83" s="16">
        <f t="shared" si="9"/>
        <v>7.2</v>
      </c>
      <c r="I83" s="10">
        <f t="shared" si="10"/>
        <v>2.916666666666667</v>
      </c>
      <c r="J83" s="10">
        <f t="shared" si="11"/>
        <v>0.14583333333333334</v>
      </c>
    </row>
    <row r="84" spans="1:10" x14ac:dyDescent="0.25">
      <c r="A84" s="16" t="str">
        <f>Animals!A84</f>
        <v>Badger</v>
      </c>
      <c r="B84" s="16">
        <f>_xlfn.XLOOKUP(A84,Animals!A:A,Animals!AO:AO)</f>
        <v>0.45</v>
      </c>
      <c r="C84" s="16">
        <f>_xlfn.XLOOKUP(A84,Animals!A:A,Animals!AQ:AQ)</f>
        <v>0.35000000000000003</v>
      </c>
      <c r="D84" s="16">
        <f>_xlfn.XLOOKUP(A84,Animals!A:A,Animals!AT:AT)</f>
        <v>0.3</v>
      </c>
      <c r="E84" s="16">
        <f t="shared" si="6"/>
        <v>18</v>
      </c>
      <c r="F84" s="16">
        <f t="shared" si="7"/>
        <v>63</v>
      </c>
      <c r="G84" s="16">
        <f t="shared" si="8"/>
        <v>0.56000000000000005</v>
      </c>
      <c r="H84" s="16">
        <f t="shared" si="9"/>
        <v>10.080000000000002</v>
      </c>
      <c r="I84" s="10">
        <f t="shared" si="10"/>
        <v>6.2499999999999991</v>
      </c>
      <c r="J84" s="10">
        <f t="shared" si="11"/>
        <v>0.3125</v>
      </c>
    </row>
    <row r="85" spans="1:10" x14ac:dyDescent="0.25">
      <c r="A85" s="16" t="str">
        <f>Animals!A85</f>
        <v>Otter</v>
      </c>
      <c r="B85" s="16">
        <f>_xlfn.XLOOKUP(A85,Animals!A:A,Animals!AO:AO)</f>
        <v>0.45</v>
      </c>
      <c r="C85" s="16">
        <f>_xlfn.XLOOKUP(A85,Animals!A:A,Animals!AQ:AQ)</f>
        <v>0.35000000000000003</v>
      </c>
      <c r="D85" s="16">
        <f>_xlfn.XLOOKUP(A85,Animals!A:A,Animals!AT:AT)</f>
        <v>0.3</v>
      </c>
      <c r="E85" s="16">
        <f t="shared" si="6"/>
        <v>18</v>
      </c>
      <c r="F85" s="16">
        <f t="shared" si="7"/>
        <v>63</v>
      </c>
      <c r="G85" s="16">
        <f t="shared" si="8"/>
        <v>0.56000000000000005</v>
      </c>
      <c r="H85" s="16">
        <f t="shared" si="9"/>
        <v>10.080000000000002</v>
      </c>
      <c r="I85" s="10">
        <f t="shared" si="10"/>
        <v>6.2499999999999991</v>
      </c>
      <c r="J85" s="10">
        <f t="shared" si="11"/>
        <v>0.3125</v>
      </c>
    </row>
    <row r="86" spans="1:10" x14ac:dyDescent="0.25">
      <c r="A86" s="16" t="str">
        <f>Animals!A86</f>
        <v>SeaLion</v>
      </c>
      <c r="B86" s="16">
        <f>_xlfn.XLOOKUP(A86,Animals!A:A,Animals!AO:AO)</f>
        <v>1.7000000000000002</v>
      </c>
      <c r="C86" s="16">
        <f>_xlfn.XLOOKUP(A86,Animals!A:A,Animals!AQ:AQ)</f>
        <v>0.8</v>
      </c>
      <c r="D86" s="16">
        <f>_xlfn.XLOOKUP(A86,Animals!A:A,Animals!AT:AT)</f>
        <v>0.4</v>
      </c>
      <c r="E86" s="16">
        <f t="shared" si="6"/>
        <v>24</v>
      </c>
      <c r="F86" s="16">
        <f t="shared" si="7"/>
        <v>238.00000000000003</v>
      </c>
      <c r="G86" s="16">
        <f t="shared" si="8"/>
        <v>1.2800000000000002</v>
      </c>
      <c r="H86" s="16">
        <f t="shared" si="9"/>
        <v>30.720000000000006</v>
      </c>
      <c r="I86" s="10">
        <f t="shared" si="10"/>
        <v>7.747395833333333</v>
      </c>
      <c r="J86" s="10">
        <f t="shared" si="11"/>
        <v>0.38736979166666669</v>
      </c>
    </row>
    <row r="87" spans="1:10" x14ac:dyDescent="0.25">
      <c r="A87" s="16" t="str">
        <f>Animals!A87</f>
        <v>Seal</v>
      </c>
      <c r="B87" s="16">
        <f>_xlfn.XLOOKUP(A87,Animals!A:A,Animals!AO:AO)</f>
        <v>1.3</v>
      </c>
      <c r="C87" s="16">
        <f>_xlfn.XLOOKUP(A87,Animals!A:A,Animals!AQ:AQ)</f>
        <v>0.65</v>
      </c>
      <c r="D87" s="16">
        <f>_xlfn.XLOOKUP(A87,Animals!A:A,Animals!AT:AT)</f>
        <v>0.4</v>
      </c>
      <c r="E87" s="16">
        <f t="shared" si="6"/>
        <v>24</v>
      </c>
      <c r="F87" s="16">
        <f t="shared" si="7"/>
        <v>182</v>
      </c>
      <c r="G87" s="16">
        <f t="shared" si="8"/>
        <v>1.04</v>
      </c>
      <c r="H87" s="16">
        <f t="shared" si="9"/>
        <v>24.96</v>
      </c>
      <c r="I87" s="10">
        <f t="shared" si="10"/>
        <v>7.2916666666666661</v>
      </c>
      <c r="J87" s="10">
        <f t="shared" si="11"/>
        <v>0.36458333333333331</v>
      </c>
    </row>
    <row r="88" spans="1:10" x14ac:dyDescent="0.25">
      <c r="A88" s="16" t="str">
        <f>Animals!A88</f>
        <v>Walrus</v>
      </c>
      <c r="B88" s="16">
        <f>_xlfn.XLOOKUP(A88,Animals!A:A,Animals!AO:AO)</f>
        <v>3.5</v>
      </c>
      <c r="C88" s="16">
        <f>_xlfn.XLOOKUP(A88,Animals!A:A,Animals!AQ:AQ)</f>
        <v>1.75</v>
      </c>
      <c r="D88" s="16">
        <f>_xlfn.XLOOKUP(A88,Animals!A:A,Animals!AT:AT)</f>
        <v>0.8</v>
      </c>
      <c r="E88" s="16">
        <f t="shared" si="6"/>
        <v>48</v>
      </c>
      <c r="F88" s="16">
        <f t="shared" si="7"/>
        <v>490</v>
      </c>
      <c r="G88" s="16">
        <f t="shared" si="8"/>
        <v>2.8000000000000003</v>
      </c>
      <c r="H88" s="16">
        <f t="shared" si="9"/>
        <v>134.4</v>
      </c>
      <c r="I88" s="10">
        <f t="shared" si="10"/>
        <v>3.645833333333333</v>
      </c>
      <c r="J88" s="10">
        <f t="shared" si="11"/>
        <v>0.18229166666666666</v>
      </c>
    </row>
    <row r="89" spans="1:10" x14ac:dyDescent="0.25">
      <c r="A89" s="16" t="str">
        <f>Animals!A89</f>
        <v>Gorilla</v>
      </c>
      <c r="B89" s="16">
        <f>_xlfn.XLOOKUP(A89,Animals!A:A,Animals!AO:AO)</f>
        <v>1.5</v>
      </c>
      <c r="C89" s="16">
        <f>_xlfn.XLOOKUP(A89,Animals!A:A,Animals!AQ:AQ)</f>
        <v>0.75</v>
      </c>
      <c r="D89" s="16">
        <f>_xlfn.XLOOKUP(A89,Animals!A:A,Animals!AT:AT)</f>
        <v>1.2000000000000002</v>
      </c>
      <c r="E89" s="16">
        <f t="shared" si="6"/>
        <v>72.000000000000014</v>
      </c>
      <c r="F89" s="16">
        <f t="shared" si="7"/>
        <v>210</v>
      </c>
      <c r="G89" s="16">
        <f t="shared" si="8"/>
        <v>1.2000000000000002</v>
      </c>
      <c r="H89" s="16">
        <f t="shared" si="9"/>
        <v>86.400000000000034</v>
      </c>
      <c r="I89" s="10">
        <f t="shared" si="10"/>
        <v>2.4305555555555545</v>
      </c>
      <c r="J89" s="10">
        <f t="shared" si="11"/>
        <v>0.12152777777777773</v>
      </c>
    </row>
    <row r="90" spans="1:10" x14ac:dyDescent="0.25">
      <c r="A90" s="16" t="str">
        <f>Animals!A90</f>
        <v>MonitorLizard</v>
      </c>
      <c r="B90" s="16">
        <f>_xlfn.XLOOKUP(A90,Animals!A:A,Animals!AO:AO)</f>
        <v>1.1500000000000001</v>
      </c>
      <c r="C90" s="16">
        <f>_xlfn.XLOOKUP(A90,Animals!A:A,Animals!AQ:AQ)</f>
        <v>0.15000000000000002</v>
      </c>
      <c r="D90" s="16">
        <f>_xlfn.XLOOKUP(A90,Animals!A:A,Animals!AT:AT)</f>
        <v>0.8</v>
      </c>
      <c r="E90" s="16">
        <f t="shared" si="6"/>
        <v>48</v>
      </c>
      <c r="F90" s="16">
        <f t="shared" si="7"/>
        <v>161.00000000000003</v>
      </c>
      <c r="G90" s="16">
        <f t="shared" si="8"/>
        <v>0.24000000000000005</v>
      </c>
      <c r="H90" s="16">
        <f t="shared" si="9"/>
        <v>11.520000000000003</v>
      </c>
      <c r="I90" s="10">
        <f t="shared" si="10"/>
        <v>13.975694444444443</v>
      </c>
      <c r="J90" s="10">
        <f t="shared" si="11"/>
        <v>0.69878472222222221</v>
      </c>
    </row>
    <row r="91" spans="1:10" x14ac:dyDescent="0.25">
      <c r="A91" s="16" t="str">
        <f>Animals!A91</f>
        <v>Alligator</v>
      </c>
      <c r="B91" s="16">
        <f>_xlfn.XLOOKUP(A91,Animals!A:A,Animals!AO:AO)</f>
        <v>1.6</v>
      </c>
      <c r="C91" s="16">
        <f>_xlfn.XLOOKUP(A91,Animals!A:A,Animals!AQ:AQ)</f>
        <v>0.2</v>
      </c>
      <c r="D91" s="16">
        <f>_xlfn.XLOOKUP(A91,Animals!A:A,Animals!AT:AT)</f>
        <v>2</v>
      </c>
      <c r="E91" s="16">
        <f t="shared" si="6"/>
        <v>120</v>
      </c>
      <c r="F91" s="16">
        <f t="shared" si="7"/>
        <v>224</v>
      </c>
      <c r="G91" s="16">
        <f t="shared" si="8"/>
        <v>0.32000000000000006</v>
      </c>
      <c r="H91" s="16">
        <f t="shared" si="9"/>
        <v>38.400000000000006</v>
      </c>
      <c r="I91" s="10">
        <f t="shared" si="10"/>
        <v>5.8333333333333321</v>
      </c>
      <c r="J91" s="10">
        <f t="shared" si="11"/>
        <v>0.29166666666666663</v>
      </c>
    </row>
    <row r="92" spans="1:10" x14ac:dyDescent="0.25">
      <c r="A92" s="16" t="str">
        <f>Animals!A92</f>
        <v>SeaTurtle</v>
      </c>
      <c r="B92" s="16">
        <f>_xlfn.XLOOKUP(A92,Animals!A:A,Animals!AO:AO)</f>
        <v>1.7000000000000002</v>
      </c>
      <c r="C92" s="16">
        <f>_xlfn.XLOOKUP(A92,Animals!A:A,Animals!AQ:AQ)</f>
        <v>0.2</v>
      </c>
      <c r="D92" s="16">
        <f>_xlfn.XLOOKUP(A92,Animals!A:A,Animals!AT:AT)</f>
        <v>1.6</v>
      </c>
      <c r="E92" s="16">
        <f t="shared" si="6"/>
        <v>96</v>
      </c>
      <c r="F92" s="16">
        <f t="shared" si="7"/>
        <v>238.00000000000003</v>
      </c>
      <c r="G92" s="16">
        <f t="shared" si="8"/>
        <v>0.32000000000000006</v>
      </c>
      <c r="H92" s="16">
        <f t="shared" si="9"/>
        <v>30.720000000000006</v>
      </c>
      <c r="I92" s="10">
        <f t="shared" si="10"/>
        <v>7.747395833333333</v>
      </c>
      <c r="J92" s="10">
        <f t="shared" si="11"/>
        <v>0.38736979166666669</v>
      </c>
    </row>
    <row r="93" spans="1:10" x14ac:dyDescent="0.25">
      <c r="A93" s="16" t="str">
        <f>Animals!A93</f>
        <v>PrairieDog</v>
      </c>
      <c r="B93" s="16">
        <f>_xlfn.XLOOKUP(A93,Animals!A:A,Animals!AO:AO)</f>
        <v>0.15000000000000002</v>
      </c>
      <c r="C93" s="16">
        <f>_xlfn.XLOOKUP(A93,Animals!A:A,Animals!AQ:AQ)</f>
        <v>0.25</v>
      </c>
      <c r="D93" s="16">
        <f>_xlfn.XLOOKUP(A93,Animals!A:A,Animals!AT:AT)</f>
        <v>0.4</v>
      </c>
      <c r="E93" s="16">
        <f t="shared" si="6"/>
        <v>24</v>
      </c>
      <c r="F93" s="16">
        <f t="shared" si="7"/>
        <v>21.000000000000004</v>
      </c>
      <c r="G93" s="16">
        <f t="shared" si="8"/>
        <v>0.4</v>
      </c>
      <c r="H93" s="16">
        <f t="shared" si="9"/>
        <v>9.6000000000000014</v>
      </c>
      <c r="I93" s="10">
        <f t="shared" si="10"/>
        <v>2.1875</v>
      </c>
      <c r="J93" s="10">
        <f t="shared" si="11"/>
        <v>0.109375</v>
      </c>
    </row>
    <row r="94" spans="1:10" x14ac:dyDescent="0.25">
      <c r="A94" s="16" t="str">
        <f>Animals!A94</f>
        <v>Porcupine</v>
      </c>
      <c r="B94" s="16">
        <f>_xlfn.XLOOKUP(A94,Animals!A:A,Animals!AO:AO)</f>
        <v>0.5</v>
      </c>
      <c r="C94" s="16">
        <f>_xlfn.XLOOKUP(A94,Animals!A:A,Animals!AQ:AQ)</f>
        <v>0.4</v>
      </c>
      <c r="D94" s="16">
        <f>_xlfn.XLOOKUP(A94,Animals!A:A,Animals!AT:AT)</f>
        <v>0.4</v>
      </c>
      <c r="E94" s="16">
        <f t="shared" si="6"/>
        <v>24</v>
      </c>
      <c r="F94" s="16">
        <f t="shared" si="7"/>
        <v>70</v>
      </c>
      <c r="G94" s="16">
        <f t="shared" si="8"/>
        <v>0.64000000000000012</v>
      </c>
      <c r="H94" s="16">
        <f t="shared" si="9"/>
        <v>15.360000000000003</v>
      </c>
      <c r="I94" s="10">
        <f t="shared" si="10"/>
        <v>4.5572916666666661</v>
      </c>
      <c r="J94" s="10">
        <f t="shared" si="11"/>
        <v>0.22786458333333331</v>
      </c>
    </row>
    <row r="95" spans="1:10" x14ac:dyDescent="0.25">
      <c r="A95" s="16" t="str">
        <f>Animals!A95</f>
        <v>Megavole</v>
      </c>
      <c r="B95" s="16">
        <f>_xlfn.XLOOKUP(A95,Animals!A:A,Animals!AO:AO)</f>
        <v>0.95000000000000007</v>
      </c>
      <c r="C95" s="16">
        <f>_xlfn.XLOOKUP(A95,Animals!A:A,Animals!AQ:AQ)</f>
        <v>0.55000000000000004</v>
      </c>
      <c r="D95" s="16">
        <f>_xlfn.XLOOKUP(A95,Animals!A:A,Animals!AT:AT)</f>
        <v>0.4</v>
      </c>
      <c r="E95" s="16">
        <f t="shared" si="6"/>
        <v>24</v>
      </c>
      <c r="F95" s="16">
        <f t="shared" si="7"/>
        <v>133</v>
      </c>
      <c r="G95" s="16">
        <f t="shared" si="8"/>
        <v>0.88000000000000012</v>
      </c>
      <c r="H95" s="16">
        <f t="shared" si="9"/>
        <v>21.120000000000005</v>
      </c>
      <c r="I95" s="10">
        <f t="shared" si="10"/>
        <v>6.2973484848484835</v>
      </c>
      <c r="J95" s="10">
        <f t="shared" si="11"/>
        <v>0.3148674242424242</v>
      </c>
    </row>
    <row r="96" spans="1:10" x14ac:dyDescent="0.25">
      <c r="A96" s="16" t="str">
        <f>Animals!A96</f>
        <v>Moose</v>
      </c>
      <c r="B96" s="16">
        <f>_xlfn.XLOOKUP(A96,Animals!A:A,Animals!AO:AO)</f>
        <v>2.75</v>
      </c>
      <c r="C96" s="16">
        <f>_xlfn.XLOOKUP(A96,Animals!A:A,Animals!AQ:AQ)</f>
        <v>1.1000000000000001</v>
      </c>
      <c r="D96" s="16">
        <f>_xlfn.XLOOKUP(A96,Animals!A:A,Animals!AT:AT)</f>
        <v>0.4</v>
      </c>
      <c r="E96" s="16">
        <f t="shared" si="6"/>
        <v>24</v>
      </c>
      <c r="F96" s="16">
        <f t="shared" si="7"/>
        <v>385</v>
      </c>
      <c r="G96" s="16">
        <f t="shared" si="8"/>
        <v>1.7600000000000002</v>
      </c>
      <c r="H96" s="16">
        <f t="shared" si="9"/>
        <v>42.240000000000009</v>
      </c>
      <c r="I96" s="10">
        <f t="shared" si="10"/>
        <v>9.1145833333333321</v>
      </c>
      <c r="J96" s="10">
        <f t="shared" si="11"/>
        <v>0.45572916666666663</v>
      </c>
    </row>
    <row r="97" spans="1:10" x14ac:dyDescent="0.25">
      <c r="A97" s="16" t="str">
        <f>Animals!A97</f>
        <v>Muskox</v>
      </c>
      <c r="B97" s="16">
        <f>_xlfn.XLOOKUP(A97,Animals!A:A,Animals!AO:AO)</f>
        <v>2.25</v>
      </c>
      <c r="C97" s="16">
        <f>_xlfn.XLOOKUP(A97,Animals!A:A,Animals!AQ:AQ)</f>
        <v>0.95000000000000007</v>
      </c>
      <c r="D97" s="16">
        <f>_xlfn.XLOOKUP(A97,Animals!A:A,Animals!AT:AT)</f>
        <v>0.4</v>
      </c>
      <c r="E97" s="16">
        <f t="shared" si="6"/>
        <v>24</v>
      </c>
      <c r="F97" s="16">
        <f t="shared" si="7"/>
        <v>315</v>
      </c>
      <c r="G97" s="16">
        <f t="shared" si="8"/>
        <v>1.5200000000000002</v>
      </c>
      <c r="H97" s="16">
        <f t="shared" si="9"/>
        <v>36.480000000000004</v>
      </c>
      <c r="I97" s="10">
        <f t="shared" si="10"/>
        <v>8.6348684210526301</v>
      </c>
      <c r="J97" s="10">
        <f t="shared" si="11"/>
        <v>0.43174342105263153</v>
      </c>
    </row>
    <row r="98" spans="1:10" x14ac:dyDescent="0.25">
      <c r="A98" s="16" t="str">
        <f>Animals!A98</f>
        <v>LavaSnail</v>
      </c>
      <c r="B98" s="16">
        <f>_xlfn.XLOOKUP(A98,Animals!A:A,Animals!AO:AO)</f>
        <v>0.85000000000000009</v>
      </c>
      <c r="C98" s="16">
        <f>_xlfn.XLOOKUP(A98,Animals!A:A,Animals!AQ:AQ)</f>
        <v>0.1</v>
      </c>
      <c r="D98" s="16">
        <f>_xlfn.XLOOKUP(A98,Animals!A:A,Animals!AT:AT)</f>
        <v>0.8</v>
      </c>
      <c r="E98" s="16">
        <f t="shared" si="6"/>
        <v>48</v>
      </c>
      <c r="F98" s="16">
        <f t="shared" si="7"/>
        <v>119.00000000000001</v>
      </c>
      <c r="G98" s="16">
        <f t="shared" si="8"/>
        <v>0.16000000000000003</v>
      </c>
      <c r="H98" s="16">
        <f t="shared" si="9"/>
        <v>7.6800000000000015</v>
      </c>
      <c r="I98" s="10">
        <f t="shared" si="10"/>
        <v>15.494791666666666</v>
      </c>
      <c r="J98" s="10">
        <f t="shared" si="11"/>
        <v>0.77473958333333337</v>
      </c>
    </row>
    <row r="99" spans="1:10" x14ac:dyDescent="0.25">
      <c r="A99" s="16" t="str">
        <f>Animals!A99</f>
        <v>BogHound</v>
      </c>
      <c r="B99" s="16">
        <f>_xlfn.XLOOKUP(A99,Animals!A:A,Animals!AO:AO)</f>
        <v>0.8</v>
      </c>
      <c r="C99" s="16">
        <f>_xlfn.XLOOKUP(A99,Animals!A:A,Animals!AQ:AQ)</f>
        <v>0.5</v>
      </c>
      <c r="D99" s="16">
        <f>_xlfn.XLOOKUP(A99,Animals!A:A,Animals!AT:AT)</f>
        <v>0.3</v>
      </c>
      <c r="E99" s="16">
        <f t="shared" si="6"/>
        <v>18</v>
      </c>
      <c r="F99" s="16">
        <f t="shared" si="7"/>
        <v>112</v>
      </c>
      <c r="G99" s="16">
        <f t="shared" si="8"/>
        <v>0.8</v>
      </c>
      <c r="H99" s="16">
        <f t="shared" si="9"/>
        <v>14.4</v>
      </c>
      <c r="I99" s="10">
        <f t="shared" si="10"/>
        <v>7.7777777777777777</v>
      </c>
      <c r="J99" s="10">
        <f t="shared" si="11"/>
        <v>0.3888888888888889</v>
      </c>
    </row>
    <row r="100" spans="1:10" x14ac:dyDescent="0.25">
      <c r="A100" s="16" t="str">
        <f>Animals!A100</f>
        <v>Wolf_Great</v>
      </c>
      <c r="B100" s="16">
        <f>_xlfn.XLOOKUP(A100,Animals!A:A,Animals!AO:AO)</f>
        <v>1</v>
      </c>
      <c r="C100" s="16">
        <f>_xlfn.XLOOKUP(A100,Animals!A:A,Animals!AQ:AQ)</f>
        <v>0.55000000000000004</v>
      </c>
      <c r="D100" s="16">
        <f>_xlfn.XLOOKUP(A100,Animals!A:A,Animals!AT:AT)</f>
        <v>0.4</v>
      </c>
      <c r="E100" s="16">
        <f t="shared" si="6"/>
        <v>24</v>
      </c>
      <c r="F100" s="16">
        <f t="shared" si="7"/>
        <v>140</v>
      </c>
      <c r="G100" s="16">
        <f t="shared" si="8"/>
        <v>0.88000000000000012</v>
      </c>
      <c r="H100" s="16">
        <f t="shared" si="9"/>
        <v>21.120000000000005</v>
      </c>
      <c r="I100" s="10">
        <f t="shared" si="10"/>
        <v>6.6287878787878771</v>
      </c>
      <c r="J100" s="10">
        <f t="shared" si="11"/>
        <v>0.33143939393939387</v>
      </c>
    </row>
    <row r="101" spans="1:10" x14ac:dyDescent="0.25">
      <c r="A101" s="16" t="str">
        <f>Animals!A109</f>
        <v>Coyote</v>
      </c>
      <c r="B101" s="16">
        <f>_xlfn.XLOOKUP(A101,Animals!A:A,Animals!AO:AO)</f>
        <v>0.5</v>
      </c>
      <c r="C101" s="16">
        <f>_xlfn.XLOOKUP(A101,Animals!A:A,Animals!AQ:AQ)</f>
        <v>0.4</v>
      </c>
      <c r="D101" s="16">
        <f>_xlfn.XLOOKUP(A101,Animals!A:A,Animals!AT:AT)</f>
        <v>0.3</v>
      </c>
      <c r="E101" s="16">
        <f t="shared" si="6"/>
        <v>18</v>
      </c>
      <c r="F101" s="16">
        <f t="shared" si="7"/>
        <v>70</v>
      </c>
      <c r="G101" s="16">
        <f t="shared" si="8"/>
        <v>0.64000000000000012</v>
      </c>
      <c r="H101" s="16">
        <f t="shared" si="9"/>
        <v>11.520000000000003</v>
      </c>
      <c r="I101" s="10">
        <f t="shared" si="10"/>
        <v>6.0763888888888875</v>
      </c>
      <c r="J101" s="10">
        <f t="shared" si="11"/>
        <v>0.30381944444444442</v>
      </c>
    </row>
    <row r="102" spans="1:10" x14ac:dyDescent="0.25">
      <c r="A102" s="16" t="str">
        <f>Animals!A110</f>
        <v>Giraffe</v>
      </c>
      <c r="B102" s="16">
        <f>_xlfn.XLOOKUP(A102,Animals!A:A,Animals!AO:AO)</f>
        <v>3.5</v>
      </c>
      <c r="C102" s="16">
        <f>_xlfn.XLOOKUP(A102,Animals!A:A,Animals!AQ:AQ)</f>
        <v>1.75</v>
      </c>
      <c r="D102" s="16">
        <f>_xlfn.XLOOKUP(A102,Animals!A:A,Animals!AT:AT)</f>
        <v>0.60000000000000009</v>
      </c>
      <c r="E102" s="16">
        <f t="shared" si="6"/>
        <v>36.000000000000007</v>
      </c>
      <c r="F102" s="16">
        <f t="shared" si="7"/>
        <v>490</v>
      </c>
      <c r="G102" s="16">
        <f t="shared" si="8"/>
        <v>2.8000000000000003</v>
      </c>
      <c r="H102" s="16">
        <f t="shared" si="9"/>
        <v>100.80000000000003</v>
      </c>
      <c r="I102" s="10">
        <f t="shared" si="10"/>
        <v>4.8611111111111098</v>
      </c>
      <c r="J102" s="10">
        <f t="shared" si="11"/>
        <v>0.2430555555555555</v>
      </c>
    </row>
    <row r="103" spans="1:10" x14ac:dyDescent="0.25">
      <c r="A103" s="16" t="str">
        <f>Animals!A111</f>
        <v>Zebra</v>
      </c>
      <c r="B103" s="16">
        <f>_xlfn.XLOOKUP(A103,Animals!A:A,Animals!AO:AO)</f>
        <v>2.25</v>
      </c>
      <c r="C103" s="16">
        <f>_xlfn.XLOOKUP(A103,Animals!A:A,Animals!AQ:AQ)</f>
        <v>0.95000000000000007</v>
      </c>
      <c r="D103" s="16">
        <f>_xlfn.XLOOKUP(A103,Animals!A:A,Animals!AT:AT)</f>
        <v>0.4</v>
      </c>
      <c r="E103" s="16">
        <f t="shared" si="6"/>
        <v>24</v>
      </c>
      <c r="F103" s="16">
        <f t="shared" si="7"/>
        <v>315</v>
      </c>
      <c r="G103" s="16">
        <f t="shared" si="8"/>
        <v>1.5200000000000002</v>
      </c>
      <c r="H103" s="16">
        <f t="shared" si="9"/>
        <v>36.480000000000004</v>
      </c>
      <c r="I103" s="10">
        <f t="shared" si="10"/>
        <v>8.6348684210526301</v>
      </c>
      <c r="J103" s="10">
        <f t="shared" si="11"/>
        <v>0.43174342105263153</v>
      </c>
    </row>
    <row r="104" spans="1:10" x14ac:dyDescent="0.25">
      <c r="A104" s="16" t="str">
        <f>Animals!A112</f>
        <v>Wildebeest</v>
      </c>
      <c r="B104" s="16">
        <f>_xlfn.XLOOKUP(A104,Animals!A:A,Animals!AO:AO)</f>
        <v>2</v>
      </c>
      <c r="C104" s="16">
        <f>_xlfn.XLOOKUP(A104,Animals!A:A,Animals!AQ:AQ)</f>
        <v>0.9</v>
      </c>
      <c r="D104" s="16">
        <f>_xlfn.XLOOKUP(A104,Animals!A:A,Animals!AT:AT)</f>
        <v>0.3</v>
      </c>
      <c r="E104" s="16">
        <f t="shared" si="6"/>
        <v>18</v>
      </c>
      <c r="F104" s="16">
        <f t="shared" si="7"/>
        <v>280</v>
      </c>
      <c r="G104" s="16">
        <f t="shared" si="8"/>
        <v>1.4400000000000002</v>
      </c>
      <c r="H104" s="16">
        <f t="shared" si="9"/>
        <v>25.92</v>
      </c>
      <c r="I104" s="10">
        <f t="shared" si="10"/>
        <v>10.802469135802468</v>
      </c>
      <c r="J104" s="10">
        <f t="shared" si="11"/>
        <v>0.54012345679012341</v>
      </c>
    </row>
    <row r="105" spans="1:10" x14ac:dyDescent="0.25">
      <c r="A105" s="16" t="str">
        <f>Animals!A113</f>
        <v>Crocodile</v>
      </c>
      <c r="B105" s="16">
        <f>_xlfn.XLOOKUP(A105,Animals!A:A,Animals!AO:AO)</f>
        <v>2.75</v>
      </c>
      <c r="C105" s="16">
        <f>_xlfn.XLOOKUP(A105,Animals!A:A,Animals!AQ:AQ)</f>
        <v>0.30000000000000004</v>
      </c>
      <c r="D105" s="16">
        <f>_xlfn.XLOOKUP(A105,Animals!A:A,Animals!AT:AT)</f>
        <v>1.6</v>
      </c>
      <c r="E105" s="16">
        <f t="shared" si="6"/>
        <v>96</v>
      </c>
      <c r="F105" s="16">
        <f t="shared" si="7"/>
        <v>385</v>
      </c>
      <c r="G105" s="16">
        <f t="shared" si="8"/>
        <v>0.48000000000000009</v>
      </c>
      <c r="H105" s="16">
        <f t="shared" si="9"/>
        <v>46.080000000000013</v>
      </c>
      <c r="I105" s="10">
        <f t="shared" si="10"/>
        <v>8.3550347222222197</v>
      </c>
      <c r="J105" s="10">
        <f t="shared" si="11"/>
        <v>0.41775173611111099</v>
      </c>
    </row>
    <row r="106" spans="1:10" x14ac:dyDescent="0.25">
      <c r="A106" s="16" t="str">
        <f>Animals!A114</f>
        <v>Cheetah</v>
      </c>
      <c r="B106" s="16">
        <f>_xlfn.XLOOKUP(A106,Animals!A:A,Animals!AO:AO)</f>
        <v>0.9</v>
      </c>
      <c r="C106" s="16">
        <f>_xlfn.XLOOKUP(A106,Animals!A:A,Animals!AQ:AQ)</f>
        <v>0.55000000000000004</v>
      </c>
      <c r="D106" s="16">
        <f>_xlfn.XLOOKUP(A106,Animals!A:A,Animals!AT:AT)</f>
        <v>0.3</v>
      </c>
      <c r="E106" s="16">
        <f t="shared" si="6"/>
        <v>18</v>
      </c>
      <c r="F106" s="16">
        <f t="shared" si="7"/>
        <v>126</v>
      </c>
      <c r="G106" s="16">
        <f t="shared" si="8"/>
        <v>0.88000000000000012</v>
      </c>
      <c r="H106" s="16">
        <f t="shared" si="9"/>
        <v>15.840000000000002</v>
      </c>
      <c r="I106" s="10">
        <f t="shared" si="10"/>
        <v>7.9545454545454541</v>
      </c>
      <c r="J106" s="10">
        <f t="shared" si="11"/>
        <v>0.39772727272727271</v>
      </c>
    </row>
    <row r="107" spans="1:10" x14ac:dyDescent="0.25">
      <c r="A107" s="16" t="str">
        <f>Animals!A115</f>
        <v>Boombat</v>
      </c>
      <c r="B107" s="16">
        <f>_xlfn.XLOOKUP(A107,Animals!A:A,Animals!AO:AO)</f>
        <v>0.65</v>
      </c>
      <c r="C107" s="16">
        <f>_xlfn.XLOOKUP(A107,Animals!A:A,Animals!AQ:AQ)</f>
        <v>0.45</v>
      </c>
      <c r="D107" s="16">
        <f>_xlfn.XLOOKUP(A107,Animals!A:A,Animals!AT:AT)</f>
        <v>0.4</v>
      </c>
      <c r="E107" s="16">
        <f t="shared" si="6"/>
        <v>24</v>
      </c>
      <c r="F107" s="16">
        <f t="shared" si="7"/>
        <v>91</v>
      </c>
      <c r="G107" s="16">
        <f t="shared" si="8"/>
        <v>0.72000000000000008</v>
      </c>
      <c r="H107" s="16">
        <f t="shared" si="9"/>
        <v>17.28</v>
      </c>
      <c r="I107" s="10">
        <f t="shared" si="10"/>
        <v>5.2662037037037033</v>
      </c>
      <c r="J107" s="10">
        <f t="shared" si="11"/>
        <v>0.26331018518518517</v>
      </c>
    </row>
    <row r="108" spans="1:10" x14ac:dyDescent="0.25">
      <c r="A108" s="16" t="str">
        <f>Animals!A116</f>
        <v>Kangaroo</v>
      </c>
      <c r="B108" s="16">
        <f>_xlfn.XLOOKUP(A108,Animals!A:A,Animals!AO:AO)</f>
        <v>0.9</v>
      </c>
      <c r="C108" s="16">
        <f>_xlfn.XLOOKUP(A108,Animals!A:A,Animals!AQ:AQ)</f>
        <v>0.55000000000000004</v>
      </c>
      <c r="D108" s="16">
        <f>_xlfn.XLOOKUP(A108,Animals!A:A,Animals!AT:AT)</f>
        <v>0.3</v>
      </c>
      <c r="E108" s="16">
        <f t="shared" si="6"/>
        <v>18</v>
      </c>
      <c r="F108" s="16">
        <f t="shared" si="7"/>
        <v>126</v>
      </c>
      <c r="G108" s="16">
        <f t="shared" si="8"/>
        <v>0.88000000000000012</v>
      </c>
      <c r="H108" s="16">
        <f t="shared" si="9"/>
        <v>15.840000000000002</v>
      </c>
      <c r="I108" s="10">
        <f t="shared" si="10"/>
        <v>7.9545454545454541</v>
      </c>
      <c r="J108" s="10">
        <f t="shared" si="11"/>
        <v>0.39772727272727271</v>
      </c>
    </row>
    <row r="109" spans="1:10" x14ac:dyDescent="0.25">
      <c r="A109" s="16" t="str">
        <f>Animals!A117</f>
        <v>Koala</v>
      </c>
      <c r="B109" s="16">
        <f>_xlfn.XLOOKUP(A109,Animals!A:A,Animals!AO:AO)</f>
        <v>0.4</v>
      </c>
      <c r="C109" s="16">
        <f>_xlfn.XLOOKUP(A109,Animals!A:A,Animals!AQ:AQ)</f>
        <v>0.35000000000000003</v>
      </c>
      <c r="D109" s="16">
        <f>_xlfn.XLOOKUP(A109,Animals!A:A,Animals!AT:AT)</f>
        <v>0.3</v>
      </c>
      <c r="E109" s="16">
        <f t="shared" si="6"/>
        <v>18</v>
      </c>
      <c r="F109" s="16">
        <f t="shared" si="7"/>
        <v>56</v>
      </c>
      <c r="G109" s="16">
        <f t="shared" si="8"/>
        <v>0.56000000000000005</v>
      </c>
      <c r="H109" s="16">
        <f t="shared" si="9"/>
        <v>10.080000000000002</v>
      </c>
      <c r="I109" s="10">
        <f t="shared" si="10"/>
        <v>5.5555555555555545</v>
      </c>
      <c r="J109" s="10">
        <f t="shared" si="11"/>
        <v>0.27777777777777773</v>
      </c>
    </row>
    <row r="110" spans="1:10" x14ac:dyDescent="0.25">
      <c r="A110" s="16" t="str">
        <f>Animals!A118</f>
        <v>Platypus</v>
      </c>
      <c r="B110" s="16">
        <f>_xlfn.XLOOKUP(A110,Animals!A:A,Animals!AO:AO)</f>
        <v>0.15000000000000002</v>
      </c>
      <c r="C110" s="16">
        <f>_xlfn.XLOOKUP(A110,Animals!A:A,Animals!AQ:AQ)</f>
        <v>0.25</v>
      </c>
      <c r="D110" s="16">
        <f>_xlfn.XLOOKUP(A110,Animals!A:A,Animals!AT:AT)</f>
        <v>0.3</v>
      </c>
      <c r="E110" s="16">
        <f t="shared" si="6"/>
        <v>18</v>
      </c>
      <c r="F110" s="16">
        <f t="shared" si="7"/>
        <v>21.000000000000004</v>
      </c>
      <c r="G110" s="16">
        <f t="shared" si="8"/>
        <v>0.4</v>
      </c>
      <c r="H110" s="16">
        <f t="shared" si="9"/>
        <v>7.2</v>
      </c>
      <c r="I110" s="10">
        <f t="shared" si="10"/>
        <v>2.916666666666667</v>
      </c>
      <c r="J110" s="10">
        <f t="shared" si="11"/>
        <v>0.14583333333333334</v>
      </c>
    </row>
    <row r="111" spans="1:10" x14ac:dyDescent="0.25">
      <c r="A111" s="16" t="str">
        <f>Animals!A119</f>
        <v>Arctic Coyote</v>
      </c>
      <c r="B111" s="16">
        <f>_xlfn.XLOOKUP(A111,Animals!A:A,Animals!AO:AO)</f>
        <v>0.5</v>
      </c>
      <c r="C111" s="16">
        <f>_xlfn.XLOOKUP(A111,Animals!A:A,Animals!AQ:AQ)</f>
        <v>0.4</v>
      </c>
      <c r="D111" s="16">
        <f>_xlfn.XLOOKUP(A111,Animals!A:A,Animals!AT:AT)</f>
        <v>0.3</v>
      </c>
      <c r="E111" s="16">
        <f t="shared" si="6"/>
        <v>18</v>
      </c>
      <c r="F111" s="16">
        <f t="shared" si="7"/>
        <v>70</v>
      </c>
      <c r="G111" s="16">
        <f t="shared" si="8"/>
        <v>0.64000000000000012</v>
      </c>
      <c r="H111" s="16">
        <f t="shared" si="9"/>
        <v>11.520000000000003</v>
      </c>
      <c r="I111" s="10">
        <f t="shared" si="10"/>
        <v>6.0763888888888875</v>
      </c>
      <c r="J111" s="10">
        <f t="shared" si="11"/>
        <v>0.30381944444444442</v>
      </c>
    </row>
    <row r="112" spans="1:10" x14ac:dyDescent="0.25">
      <c r="A112" s="16" t="str">
        <f>Animals!A120</f>
        <v>Black bear</v>
      </c>
      <c r="B112" s="16">
        <f>_xlfn.XLOOKUP(A112,Animals!A:A,Animals!AO:AO)</f>
        <v>1.6</v>
      </c>
      <c r="C112" s="16">
        <f>_xlfn.XLOOKUP(A112,Animals!A:A,Animals!AQ:AQ)</f>
        <v>0.75</v>
      </c>
      <c r="D112" s="16">
        <f>_xlfn.XLOOKUP(A112,Animals!A:A,Animals!AT:AT)</f>
        <v>0.60000000000000009</v>
      </c>
      <c r="E112" s="16">
        <f t="shared" si="6"/>
        <v>36.000000000000007</v>
      </c>
      <c r="F112" s="16">
        <f t="shared" si="7"/>
        <v>224</v>
      </c>
      <c r="G112" s="16">
        <f t="shared" si="8"/>
        <v>1.2000000000000002</v>
      </c>
      <c r="H112" s="16">
        <f t="shared" si="9"/>
        <v>43.200000000000017</v>
      </c>
      <c r="I112" s="10">
        <f t="shared" si="10"/>
        <v>5.1851851851851833</v>
      </c>
      <c r="J112" s="10">
        <f t="shared" si="11"/>
        <v>0.25925925925925919</v>
      </c>
    </row>
    <row r="113" spans="1:10" x14ac:dyDescent="0.25">
      <c r="A113" s="16" t="str">
        <f>Animals!A121</f>
        <v>Spotted Hyena</v>
      </c>
      <c r="B113" s="16">
        <f>_xlfn.XLOOKUP(A113,Animals!A:A,Animals!AO:AO)</f>
        <v>0.95000000000000007</v>
      </c>
      <c r="C113" s="16">
        <f>_xlfn.XLOOKUP(A113,Animals!A:A,Animals!AQ:AQ)</f>
        <v>0.55000000000000004</v>
      </c>
      <c r="D113" s="16">
        <f>_xlfn.XLOOKUP(A113,Animals!A:A,Animals!AT:AT)</f>
        <v>0.4</v>
      </c>
      <c r="E113" s="16">
        <f t="shared" si="6"/>
        <v>24</v>
      </c>
      <c r="F113" s="16">
        <f t="shared" si="7"/>
        <v>133</v>
      </c>
      <c r="G113" s="16">
        <f t="shared" si="8"/>
        <v>0.88000000000000012</v>
      </c>
      <c r="H113" s="16">
        <f t="shared" si="9"/>
        <v>21.120000000000005</v>
      </c>
      <c r="I113" s="10">
        <f t="shared" si="10"/>
        <v>6.2973484848484835</v>
      </c>
      <c r="J113" s="10">
        <f t="shared" si="11"/>
        <v>0.3148674242424242</v>
      </c>
    </row>
    <row r="114" spans="1:10" x14ac:dyDescent="0.25">
      <c r="A114" s="16" t="str">
        <f>Animals!A122</f>
        <v>Desert Tortoise</v>
      </c>
      <c r="B114" s="16">
        <f>_xlfn.XLOOKUP(A114,Animals!A:A,Animals!AO:AO)</f>
        <v>0.8</v>
      </c>
      <c r="C114" s="16">
        <f>_xlfn.XLOOKUP(A114,Animals!A:A,Animals!AQ:AQ)</f>
        <v>0.1</v>
      </c>
      <c r="D114" s="16">
        <f>_xlfn.XLOOKUP(A114,Animals!A:A,Animals!AT:AT)</f>
        <v>2.4000000000000004</v>
      </c>
      <c r="E114" s="16">
        <f t="shared" si="6"/>
        <v>144.00000000000003</v>
      </c>
      <c r="F114" s="16">
        <f t="shared" si="7"/>
        <v>112</v>
      </c>
      <c r="G114" s="16">
        <f t="shared" si="8"/>
        <v>0.16000000000000003</v>
      </c>
      <c r="H114" s="16">
        <f t="shared" si="9"/>
        <v>23.04000000000001</v>
      </c>
      <c r="I114" s="10">
        <f t="shared" si="10"/>
        <v>4.8611111111111089</v>
      </c>
      <c r="J114" s="10">
        <f t="shared" si="11"/>
        <v>0.24305555555555547</v>
      </c>
    </row>
    <row r="115" spans="1:10" x14ac:dyDescent="0.25">
      <c r="A115" s="16" t="str">
        <f>Animals!A123</f>
        <v>Lion</v>
      </c>
      <c r="B115" s="16">
        <f>_xlfn.XLOOKUP(A115,Animals!A:A,Animals!AO:AO)</f>
        <v>1.7000000000000002</v>
      </c>
      <c r="C115" s="16">
        <f>_xlfn.XLOOKUP(A115,Animals!A:A,Animals!AQ:AQ)</f>
        <v>0.8</v>
      </c>
      <c r="D115" s="16">
        <f>_xlfn.XLOOKUP(A115,Animals!A:A,Animals!AT:AT)</f>
        <v>0.4</v>
      </c>
      <c r="E115" s="16">
        <f t="shared" si="6"/>
        <v>24</v>
      </c>
      <c r="F115" s="16">
        <f t="shared" si="7"/>
        <v>238.00000000000003</v>
      </c>
      <c r="G115" s="16">
        <f t="shared" si="8"/>
        <v>1.2800000000000002</v>
      </c>
      <c r="H115" s="16">
        <f t="shared" si="9"/>
        <v>30.720000000000006</v>
      </c>
      <c r="I115" s="10">
        <f t="shared" si="10"/>
        <v>7.747395833333333</v>
      </c>
      <c r="J115" s="10">
        <f t="shared" si="11"/>
        <v>0.38736979166666669</v>
      </c>
    </row>
    <row r="116" spans="1:10" x14ac:dyDescent="0.25">
      <c r="A116" s="16" t="str">
        <f>Animals!A124</f>
        <v>Gila Monster</v>
      </c>
      <c r="B116" s="16">
        <f>_xlfn.XLOOKUP(A116,Animals!A:A,Animals!AO:AO)</f>
        <v>0.15000000000000002</v>
      </c>
      <c r="C116" s="16">
        <f>_xlfn.XLOOKUP(A116,Animals!A:A,Animals!AQ:AQ)</f>
        <v>0.05</v>
      </c>
      <c r="D116" s="16">
        <f>_xlfn.XLOOKUP(A116,Animals!A:A,Animals!AT:AT)</f>
        <v>0.4</v>
      </c>
      <c r="E116" s="16">
        <f t="shared" si="6"/>
        <v>24</v>
      </c>
      <c r="F116" s="16">
        <f t="shared" si="7"/>
        <v>21.000000000000004</v>
      </c>
      <c r="G116" s="16">
        <f t="shared" si="8"/>
        <v>8.0000000000000016E-2</v>
      </c>
      <c r="H116" s="16">
        <f t="shared" si="9"/>
        <v>1.9200000000000004</v>
      </c>
      <c r="I116" s="10">
        <f t="shared" si="10"/>
        <v>10.9375</v>
      </c>
      <c r="J116" s="10">
        <f t="shared" si="11"/>
        <v>0.546875</v>
      </c>
    </row>
    <row r="117" spans="1:10" x14ac:dyDescent="0.25">
      <c r="A117" s="16" t="str">
        <f>Animals!A125</f>
        <v>Camel</v>
      </c>
      <c r="B117" s="16">
        <f>_xlfn.XLOOKUP(A117,Animals!A:A,Animals!AO:AO)</f>
        <v>3</v>
      </c>
      <c r="C117" s="16">
        <f>_xlfn.XLOOKUP(A117,Animals!A:A,Animals!AQ:AQ)</f>
        <v>1.1500000000000001</v>
      </c>
      <c r="D117" s="16">
        <f>_xlfn.XLOOKUP(A117,Animals!A:A,Animals!AT:AT)</f>
        <v>0.60000000000000009</v>
      </c>
      <c r="E117" s="16">
        <f t="shared" si="6"/>
        <v>36.000000000000007</v>
      </c>
      <c r="F117" s="16">
        <f t="shared" si="7"/>
        <v>420</v>
      </c>
      <c r="G117" s="16">
        <f t="shared" si="8"/>
        <v>1.8400000000000003</v>
      </c>
      <c r="H117" s="16">
        <f t="shared" si="9"/>
        <v>66.240000000000023</v>
      </c>
      <c r="I117" s="10">
        <f t="shared" si="10"/>
        <v>6.3405797101449251</v>
      </c>
      <c r="J117" s="10">
        <f t="shared" si="11"/>
        <v>0.31702898550724629</v>
      </c>
    </row>
    <row r="118" spans="1:10" x14ac:dyDescent="0.25">
      <c r="A118" s="16" t="str">
        <f>Animals!A126</f>
        <v>Rattlesnake</v>
      </c>
      <c r="B118" s="16">
        <f>_xlfn.XLOOKUP(A118,Animals!A:A,Animals!AO:AO)</f>
        <v>0.35000000000000003</v>
      </c>
      <c r="C118" s="16">
        <f>_xlfn.XLOOKUP(A118,Animals!A:A,Animals!AQ:AQ)</f>
        <v>0.05</v>
      </c>
      <c r="D118" s="16">
        <f>_xlfn.XLOOKUP(A118,Animals!A:A,Animals!AT:AT)</f>
        <v>0.4</v>
      </c>
      <c r="E118" s="16">
        <f t="shared" si="6"/>
        <v>24</v>
      </c>
      <c r="F118" s="16">
        <f t="shared" si="7"/>
        <v>49.000000000000007</v>
      </c>
      <c r="G118" s="16">
        <f t="shared" si="8"/>
        <v>8.0000000000000016E-2</v>
      </c>
      <c r="H118" s="16">
        <f t="shared" si="9"/>
        <v>1.9200000000000004</v>
      </c>
      <c r="I118" s="10">
        <f t="shared" si="10"/>
        <v>25.520833333333332</v>
      </c>
      <c r="J118" s="10">
        <f t="shared" si="11"/>
        <v>1.2760416666666667</v>
      </c>
    </row>
  </sheetData>
  <autoFilter ref="A1:I1" xr:uid="{4B001765-80FB-48EB-8E8C-1399BFEE186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67CE-51DD-4B08-BDA3-F0BD7E36C1E2}">
  <dimension ref="A1:G52"/>
  <sheetViews>
    <sheetView topLeftCell="A28" workbookViewId="0">
      <selection activeCell="D52" sqref="D52"/>
    </sheetView>
  </sheetViews>
  <sheetFormatPr defaultRowHeight="15" x14ac:dyDescent="0.25"/>
  <cols>
    <col min="1" max="1" width="22.85546875" bestFit="1" customWidth="1"/>
    <col min="2" max="2" width="12.5703125" bestFit="1" customWidth="1"/>
    <col min="3" max="3" width="7.140625" bestFit="1" customWidth="1"/>
    <col min="4" max="4" width="24" bestFit="1" customWidth="1"/>
    <col min="5" max="5" width="23.7109375" bestFit="1" customWidth="1"/>
    <col min="6" max="6" width="26.42578125" bestFit="1" customWidth="1"/>
    <col min="7" max="7" width="26.5703125" bestFit="1" customWidth="1"/>
  </cols>
  <sheetData>
    <row r="1" spans="1:7" x14ac:dyDescent="0.25">
      <c r="A1" s="21" t="s">
        <v>300</v>
      </c>
      <c r="B1" s="21" t="s">
        <v>366</v>
      </c>
      <c r="C1" s="21" t="s">
        <v>367</v>
      </c>
      <c r="D1" s="21" t="s">
        <v>368</v>
      </c>
      <c r="E1" s="21" t="s">
        <v>369</v>
      </c>
      <c r="F1" s="21" t="s">
        <v>370</v>
      </c>
      <c r="G1" s="21" t="s">
        <v>371</v>
      </c>
    </row>
    <row r="2" spans="1:7" x14ac:dyDescent="0.25">
      <c r="A2" s="16" t="s">
        <v>372</v>
      </c>
      <c r="B2" s="16">
        <v>20</v>
      </c>
      <c r="C2" s="16">
        <v>8</v>
      </c>
      <c r="D2" s="16">
        <v>2.12</v>
      </c>
      <c r="E2" s="16">
        <v>0.4</v>
      </c>
      <c r="F2" s="16">
        <v>36</v>
      </c>
      <c r="G2" s="16">
        <v>24</v>
      </c>
    </row>
    <row r="3" spans="1:7" x14ac:dyDescent="0.25">
      <c r="A3" s="16" t="s">
        <v>373</v>
      </c>
      <c r="B3" s="16">
        <v>3.2</v>
      </c>
      <c r="C3" s="16">
        <v>2</v>
      </c>
      <c r="D3" s="16">
        <v>1.24</v>
      </c>
      <c r="E3" s="16">
        <v>0.24</v>
      </c>
      <c r="F3" s="16">
        <v>16</v>
      </c>
      <c r="G3" s="16">
        <v>18</v>
      </c>
    </row>
    <row r="4" spans="1:7" x14ac:dyDescent="0.25">
      <c r="A4" s="16" t="s">
        <v>374</v>
      </c>
      <c r="B4" s="16">
        <v>4</v>
      </c>
      <c r="C4" s="16">
        <v>1.9</v>
      </c>
      <c r="D4" s="16">
        <v>1.1200000000000001</v>
      </c>
      <c r="E4" s="16">
        <v>0.24</v>
      </c>
      <c r="F4" s="16">
        <v>24</v>
      </c>
      <c r="G4" s="16">
        <v>20</v>
      </c>
    </row>
    <row r="5" spans="1:7" x14ac:dyDescent="0.25">
      <c r="A5" s="16" t="s">
        <v>375</v>
      </c>
      <c r="B5" s="16">
        <v>1.8</v>
      </c>
      <c r="C5" s="20">
        <v>1</v>
      </c>
      <c r="D5" s="16">
        <v>0.67</v>
      </c>
      <c r="E5" s="16">
        <v>0.14000000000000001</v>
      </c>
      <c r="F5" s="16">
        <v>10</v>
      </c>
      <c r="G5" s="16">
        <v>10</v>
      </c>
    </row>
    <row r="6" spans="1:7" x14ac:dyDescent="0.25">
      <c r="A6" s="16" t="s">
        <v>376</v>
      </c>
      <c r="B6" s="16">
        <v>2.2999999999999998</v>
      </c>
      <c r="C6" s="16">
        <v>1.3</v>
      </c>
      <c r="D6" s="16">
        <v>0.81</v>
      </c>
      <c r="E6" s="16">
        <v>0.24</v>
      </c>
      <c r="F6" s="16">
        <v>20</v>
      </c>
      <c r="G6" s="16">
        <v>16</v>
      </c>
    </row>
    <row r="7" spans="1:7" x14ac:dyDescent="0.25">
      <c r="A7" s="16" t="s">
        <v>377</v>
      </c>
      <c r="B7" s="16">
        <v>2.2999999999999998</v>
      </c>
      <c r="C7" s="16">
        <v>1.3</v>
      </c>
      <c r="D7" s="16">
        <v>0.81</v>
      </c>
      <c r="E7" s="16">
        <v>0.24</v>
      </c>
      <c r="F7" s="16">
        <v>16</v>
      </c>
      <c r="G7" s="16">
        <v>24</v>
      </c>
    </row>
    <row r="8" spans="1:7" x14ac:dyDescent="0.25">
      <c r="A8" s="16" t="s">
        <v>378</v>
      </c>
      <c r="B8" s="16">
        <v>6.5</v>
      </c>
      <c r="C8" s="16">
        <v>3.6</v>
      </c>
      <c r="D8" s="16">
        <v>0.67</v>
      </c>
      <c r="E8" s="16">
        <v>0.14000000000000001</v>
      </c>
      <c r="F8" s="16">
        <v>30</v>
      </c>
      <c r="G8" s="16">
        <v>16</v>
      </c>
    </row>
    <row r="9" spans="1:7" x14ac:dyDescent="0.25">
      <c r="A9" s="16" t="s">
        <v>379</v>
      </c>
      <c r="B9" s="16">
        <v>2</v>
      </c>
      <c r="C9" s="16">
        <v>1</v>
      </c>
      <c r="D9" s="16">
        <v>0.81</v>
      </c>
      <c r="E9" s="16">
        <v>0.24</v>
      </c>
      <c r="F9" s="16">
        <v>14</v>
      </c>
      <c r="G9" s="16">
        <v>16</v>
      </c>
    </row>
    <row r="10" spans="1:7" x14ac:dyDescent="0.25">
      <c r="A10" s="16" t="s">
        <v>380</v>
      </c>
      <c r="B10" s="16">
        <v>3</v>
      </c>
      <c r="C10" s="16">
        <v>1.6</v>
      </c>
      <c r="D10" s="16">
        <v>1.1200000000000001</v>
      </c>
      <c r="E10" s="16">
        <v>0.24</v>
      </c>
      <c r="F10" s="16">
        <v>14</v>
      </c>
      <c r="G10" s="16">
        <v>12</v>
      </c>
    </row>
    <row r="11" spans="1:7" x14ac:dyDescent="0.25">
      <c r="A11" s="16" t="s">
        <v>381</v>
      </c>
      <c r="B11" s="16">
        <v>4.5999999999999996</v>
      </c>
      <c r="C11" s="16">
        <v>2.7</v>
      </c>
      <c r="D11" s="16">
        <v>0.81</v>
      </c>
      <c r="E11" s="16">
        <v>0.21</v>
      </c>
      <c r="F11" s="16">
        <v>20</v>
      </c>
      <c r="G11" s="16">
        <v>16</v>
      </c>
    </row>
    <row r="12" spans="1:7" x14ac:dyDescent="0.25">
      <c r="A12" s="16" t="s">
        <v>382</v>
      </c>
      <c r="B12" s="16">
        <v>3.3</v>
      </c>
      <c r="C12" s="16">
        <v>1.85</v>
      </c>
      <c r="D12" s="16">
        <v>1.24</v>
      </c>
      <c r="E12" s="16">
        <v>0.24</v>
      </c>
      <c r="F12" s="16">
        <v>30</v>
      </c>
      <c r="G12" s="16">
        <v>14</v>
      </c>
    </row>
    <row r="13" spans="1:7" x14ac:dyDescent="0.25">
      <c r="A13" s="16" t="s">
        <v>383</v>
      </c>
      <c r="B13" s="16">
        <v>3.7</v>
      </c>
      <c r="C13" s="16">
        <v>2</v>
      </c>
      <c r="D13" s="16">
        <v>1.1200000000000001</v>
      </c>
      <c r="E13" s="16">
        <v>0.24</v>
      </c>
      <c r="F13" s="16">
        <v>14</v>
      </c>
      <c r="G13" s="16">
        <v>16</v>
      </c>
    </row>
    <row r="14" spans="1:7" x14ac:dyDescent="0.25">
      <c r="A14" s="16" t="s">
        <v>384</v>
      </c>
      <c r="B14" s="16">
        <v>2</v>
      </c>
      <c r="C14" s="16">
        <v>1</v>
      </c>
      <c r="D14" s="16">
        <v>0.64</v>
      </c>
      <c r="E14" s="16">
        <v>0.24</v>
      </c>
      <c r="F14" s="16">
        <v>12</v>
      </c>
      <c r="G14" s="16">
        <v>12</v>
      </c>
    </row>
    <row r="15" spans="1:7" x14ac:dyDescent="0.25">
      <c r="A15" s="16" t="s">
        <v>385</v>
      </c>
      <c r="B15" s="16">
        <v>1.9</v>
      </c>
      <c r="C15" s="16">
        <v>1</v>
      </c>
      <c r="D15" s="16">
        <v>0.54</v>
      </c>
      <c r="E15" s="16">
        <v>0.14000000000000001</v>
      </c>
      <c r="F15" s="16">
        <v>12</v>
      </c>
      <c r="G15" s="16">
        <v>12</v>
      </c>
    </row>
    <row r="16" spans="1:7" x14ac:dyDescent="0.25">
      <c r="A16" s="16" t="s">
        <v>386</v>
      </c>
      <c r="B16" s="16">
        <v>4.4000000000000004</v>
      </c>
      <c r="C16" s="16">
        <v>2.5</v>
      </c>
      <c r="D16" s="16">
        <v>0.81</v>
      </c>
      <c r="E16" s="16">
        <v>0.27</v>
      </c>
      <c r="F16" s="16">
        <v>12</v>
      </c>
      <c r="G16" s="16">
        <v>12</v>
      </c>
    </row>
    <row r="17" spans="1:7" x14ac:dyDescent="0.25">
      <c r="A17" s="16" t="s">
        <v>387</v>
      </c>
      <c r="B17" s="16">
        <v>3</v>
      </c>
      <c r="C17" s="16">
        <v>1.3</v>
      </c>
      <c r="D17" s="16">
        <v>1.1200000000000001</v>
      </c>
      <c r="E17" s="16">
        <v>0.24</v>
      </c>
      <c r="F17" s="16">
        <v>30</v>
      </c>
      <c r="G17" s="16">
        <v>12</v>
      </c>
    </row>
    <row r="18" spans="1:7" x14ac:dyDescent="0.25">
      <c r="A18" s="16" t="s">
        <v>388</v>
      </c>
      <c r="B18" s="16">
        <v>5.2</v>
      </c>
      <c r="C18" s="16">
        <v>3</v>
      </c>
      <c r="D18" s="16">
        <v>0.67</v>
      </c>
      <c r="E18" s="16">
        <v>0.14000000000000001</v>
      </c>
      <c r="F18" s="16">
        <v>32</v>
      </c>
      <c r="G18" s="16">
        <v>12</v>
      </c>
    </row>
    <row r="19" spans="1:7" x14ac:dyDescent="0.25">
      <c r="A19" s="16" t="s">
        <v>389</v>
      </c>
      <c r="B19" s="16">
        <v>4.2</v>
      </c>
      <c r="C19" s="16">
        <v>2.2999999999999998</v>
      </c>
      <c r="D19" s="16">
        <v>1.02</v>
      </c>
      <c r="E19" s="16">
        <v>0.24</v>
      </c>
      <c r="F19" s="16">
        <v>16</v>
      </c>
      <c r="G19" s="16">
        <v>24</v>
      </c>
    </row>
    <row r="20" spans="1:7" x14ac:dyDescent="0.25">
      <c r="A20" s="16" t="s">
        <v>390</v>
      </c>
      <c r="B20" s="16">
        <v>1.5</v>
      </c>
      <c r="C20" s="16">
        <v>1</v>
      </c>
      <c r="D20" s="16">
        <v>0.45</v>
      </c>
      <c r="E20" s="16">
        <v>0.19</v>
      </c>
      <c r="F20" s="16">
        <v>9</v>
      </c>
      <c r="G20" s="16">
        <v>9</v>
      </c>
    </row>
    <row r="21" spans="1:7" x14ac:dyDescent="0.25">
      <c r="A21" s="16" t="s">
        <v>391</v>
      </c>
      <c r="B21" s="16">
        <v>1.9</v>
      </c>
      <c r="C21" s="16">
        <v>1</v>
      </c>
      <c r="D21" s="16">
        <v>0.64</v>
      </c>
      <c r="E21" s="16">
        <v>0.24</v>
      </c>
      <c r="F21" s="16">
        <v>12</v>
      </c>
      <c r="G21" s="16">
        <v>12</v>
      </c>
    </row>
    <row r="22" spans="1:7" x14ac:dyDescent="0.25">
      <c r="A22" s="16" t="s">
        <v>392</v>
      </c>
      <c r="B22" s="16">
        <v>2.1</v>
      </c>
      <c r="C22" s="16">
        <v>1</v>
      </c>
      <c r="D22" s="16">
        <v>0.81</v>
      </c>
      <c r="E22" s="16">
        <v>0.24</v>
      </c>
      <c r="F22" s="16">
        <v>16</v>
      </c>
      <c r="G22" s="16">
        <v>16</v>
      </c>
    </row>
    <row r="23" spans="1:7" x14ac:dyDescent="0.25">
      <c r="A23" s="16" t="s">
        <v>393</v>
      </c>
      <c r="B23" s="16">
        <v>4.2</v>
      </c>
      <c r="C23" s="16">
        <v>2.4</v>
      </c>
      <c r="D23" s="16">
        <v>1.29</v>
      </c>
      <c r="E23" s="16">
        <v>0.24</v>
      </c>
      <c r="F23" s="16">
        <v>14</v>
      </c>
      <c r="G23" s="16">
        <v>14</v>
      </c>
    </row>
    <row r="24" spans="1:7" x14ac:dyDescent="0.25">
      <c r="A24" s="16" t="s">
        <v>394</v>
      </c>
      <c r="B24" s="16">
        <v>4</v>
      </c>
      <c r="C24" s="16">
        <v>2</v>
      </c>
      <c r="D24" s="16">
        <v>0.81</v>
      </c>
      <c r="E24" s="16">
        <v>0.24</v>
      </c>
      <c r="F24" s="16">
        <v>36</v>
      </c>
      <c r="G24" s="16">
        <v>20</v>
      </c>
    </row>
    <row r="25" spans="1:7" x14ac:dyDescent="0.25">
      <c r="A25" s="16" t="s">
        <v>365</v>
      </c>
      <c r="B25" s="16">
        <v>3.6</v>
      </c>
      <c r="C25" s="16">
        <v>2.2000000000000002</v>
      </c>
      <c r="D25" s="16">
        <v>6.7000000000000004E-2</v>
      </c>
      <c r="E25" s="16">
        <v>1.4E-2</v>
      </c>
      <c r="F25" s="16">
        <v>20</v>
      </c>
      <c r="G25" s="16">
        <v>3</v>
      </c>
    </row>
    <row r="26" spans="1:7" x14ac:dyDescent="0.25">
      <c r="A26" s="16" t="s">
        <v>395</v>
      </c>
      <c r="B26" s="16">
        <v>14</v>
      </c>
      <c r="C26" s="16">
        <v>8</v>
      </c>
      <c r="D26" s="16">
        <v>2.08</v>
      </c>
      <c r="E26" s="16">
        <v>0.36</v>
      </c>
      <c r="F26" s="16">
        <v>34</v>
      </c>
      <c r="G26" s="16">
        <v>22</v>
      </c>
    </row>
    <row r="27" spans="1:7" x14ac:dyDescent="0.25">
      <c r="A27" s="16" t="s">
        <v>396</v>
      </c>
      <c r="B27" s="16">
        <v>3</v>
      </c>
      <c r="C27" s="16">
        <v>1.7</v>
      </c>
      <c r="D27" s="16">
        <v>1.02</v>
      </c>
      <c r="E27" s="16">
        <v>0.24</v>
      </c>
      <c r="F27" s="16">
        <v>24</v>
      </c>
      <c r="G27" s="16">
        <v>16</v>
      </c>
    </row>
    <row r="28" spans="1:7" x14ac:dyDescent="0.25">
      <c r="A28" t="s">
        <v>45</v>
      </c>
    </row>
    <row r="29" spans="1:7" x14ac:dyDescent="0.25">
      <c r="A29" s="16" t="s">
        <v>455</v>
      </c>
      <c r="B29" s="16">
        <v>21</v>
      </c>
      <c r="C29" s="16">
        <v>7</v>
      </c>
      <c r="D29" s="16">
        <v>2.12</v>
      </c>
      <c r="E29" s="16">
        <v>0.48</v>
      </c>
      <c r="F29" s="16">
        <v>28</v>
      </c>
      <c r="G29" s="16">
        <v>28</v>
      </c>
    </row>
    <row r="30" spans="1:7" x14ac:dyDescent="0.25">
      <c r="A30" t="s">
        <v>1761</v>
      </c>
      <c r="B30">
        <v>25</v>
      </c>
      <c r="C30">
        <v>5</v>
      </c>
      <c r="D30">
        <v>2.12</v>
      </c>
      <c r="E30">
        <v>0.54</v>
      </c>
      <c r="F30">
        <v>28</v>
      </c>
      <c r="G30" s="16">
        <v>28</v>
      </c>
    </row>
    <row r="31" spans="1:7" x14ac:dyDescent="0.25">
      <c r="A31" t="s">
        <v>1787</v>
      </c>
      <c r="B31">
        <v>1.7</v>
      </c>
      <c r="C31">
        <v>0.7</v>
      </c>
      <c r="D31">
        <v>0.7</v>
      </c>
      <c r="E31">
        <v>0.15</v>
      </c>
      <c r="F31">
        <v>14</v>
      </c>
      <c r="G31">
        <v>14</v>
      </c>
    </row>
    <row r="32" spans="1:7" x14ac:dyDescent="0.25">
      <c r="A32" t="s">
        <v>1742</v>
      </c>
    </row>
    <row r="33" spans="1:1" x14ac:dyDescent="0.25">
      <c r="A33" t="s">
        <v>1712</v>
      </c>
    </row>
    <row r="34" spans="1:1" x14ac:dyDescent="0.25">
      <c r="A34" t="s">
        <v>1743</v>
      </c>
    </row>
    <row r="35" spans="1:1" x14ac:dyDescent="0.25">
      <c r="A35" t="s">
        <v>1752</v>
      </c>
    </row>
    <row r="36" spans="1:1" x14ac:dyDescent="0.25">
      <c r="A36" t="s">
        <v>1880</v>
      </c>
    </row>
    <row r="37" spans="1:1" x14ac:dyDescent="0.25">
      <c r="A37" t="s">
        <v>1770</v>
      </c>
    </row>
    <row r="38" spans="1:1" x14ac:dyDescent="0.25">
      <c r="A38" t="s">
        <v>1777</v>
      </c>
    </row>
    <row r="39" spans="1:1" x14ac:dyDescent="0.25">
      <c r="A39" t="s">
        <v>1778</v>
      </c>
    </row>
    <row r="40" spans="1:1" x14ac:dyDescent="0.25">
      <c r="A40" t="s">
        <v>1800</v>
      </c>
    </row>
    <row r="41" spans="1:1" x14ac:dyDescent="0.25">
      <c r="A41" t="s">
        <v>1896</v>
      </c>
    </row>
    <row r="42" spans="1:1" x14ac:dyDescent="0.25">
      <c r="A42" t="s">
        <v>1902</v>
      </c>
    </row>
    <row r="43" spans="1:1" x14ac:dyDescent="0.25">
      <c r="A43" t="s">
        <v>1909</v>
      </c>
    </row>
    <row r="44" spans="1:1" x14ac:dyDescent="0.25">
      <c r="A44" t="s">
        <v>1913</v>
      </c>
    </row>
    <row r="45" spans="1:1" x14ac:dyDescent="0.25">
      <c r="A45" t="s">
        <v>1919</v>
      </c>
    </row>
    <row r="46" spans="1:1" x14ac:dyDescent="0.25">
      <c r="A46" t="s">
        <v>1930</v>
      </c>
    </row>
    <row r="47" spans="1:1" x14ac:dyDescent="0.25">
      <c r="A47" t="s">
        <v>1939</v>
      </c>
    </row>
    <row r="48" spans="1:1" x14ac:dyDescent="0.25">
      <c r="A48" t="s">
        <v>1949</v>
      </c>
    </row>
    <row r="49" spans="1:1" x14ac:dyDescent="0.25">
      <c r="A49" t="s">
        <v>1965</v>
      </c>
    </row>
    <row r="50" spans="1:1" x14ac:dyDescent="0.25">
      <c r="A50" t="s">
        <v>1970</v>
      </c>
    </row>
    <row r="51" spans="1:1" x14ac:dyDescent="0.25">
      <c r="A51" t="s">
        <v>2012</v>
      </c>
    </row>
    <row r="52" spans="1:1" x14ac:dyDescent="0.25">
      <c r="A52" t="s">
        <v>2013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2170-00EE-40E9-8170-3A1AFAA65210}">
  <dimension ref="A1:X7"/>
  <sheetViews>
    <sheetView workbookViewId="0">
      <selection activeCell="F12" sqref="F12"/>
    </sheetView>
  </sheetViews>
  <sheetFormatPr defaultColWidth="19.7109375" defaultRowHeight="15" x14ac:dyDescent="0.25"/>
  <cols>
    <col min="1" max="1" width="38.28515625" bestFit="1" customWidth="1"/>
    <col min="2" max="2" width="14.5703125" bestFit="1" customWidth="1"/>
    <col min="3" max="3" width="18.140625" bestFit="1" customWidth="1"/>
    <col min="4" max="5" width="16.85546875" bestFit="1" customWidth="1"/>
    <col min="6" max="6" width="14.42578125" bestFit="1" customWidth="1"/>
    <col min="7" max="7" width="19.5703125" bestFit="1" customWidth="1"/>
    <col min="8" max="8" width="12" bestFit="1" customWidth="1"/>
    <col min="9" max="9" width="25" bestFit="1" customWidth="1"/>
    <col min="10" max="10" width="23.28515625" bestFit="1" customWidth="1"/>
    <col min="11" max="11" width="28.7109375" bestFit="1" customWidth="1"/>
    <col min="12" max="12" width="18.42578125" bestFit="1" customWidth="1"/>
    <col min="13" max="13" width="18.140625" bestFit="1" customWidth="1"/>
    <col min="14" max="14" width="27.28515625" bestFit="1" customWidth="1"/>
    <col min="15" max="15" width="27" bestFit="1" customWidth="1"/>
    <col min="19" max="19" width="9.28515625" bestFit="1" customWidth="1"/>
    <col min="20" max="20" width="23.42578125" bestFit="1" customWidth="1"/>
    <col min="21" max="21" width="18.5703125" bestFit="1" customWidth="1"/>
    <col min="22" max="22" width="17.7109375" bestFit="1" customWidth="1"/>
    <col min="23" max="23" width="8.140625" bestFit="1" customWidth="1"/>
    <col min="24" max="24" width="8.5703125" bestFit="1" customWidth="1"/>
  </cols>
  <sheetData>
    <row r="1" spans="1:24" x14ac:dyDescent="0.25">
      <c r="A1" t="s">
        <v>437</v>
      </c>
      <c r="B1" s="16" t="s">
        <v>432</v>
      </c>
      <c r="C1" t="s">
        <v>429</v>
      </c>
      <c r="D1" t="s">
        <v>430</v>
      </c>
      <c r="E1" t="s">
        <v>431</v>
      </c>
      <c r="F1" t="s">
        <v>433</v>
      </c>
      <c r="G1" t="s">
        <v>434</v>
      </c>
      <c r="H1" t="s">
        <v>435</v>
      </c>
      <c r="I1" t="s">
        <v>444</v>
      </c>
      <c r="J1" s="16" t="s">
        <v>440</v>
      </c>
      <c r="K1" s="16" t="s">
        <v>443</v>
      </c>
      <c r="L1" t="s">
        <v>438</v>
      </c>
      <c r="M1" s="16" t="s">
        <v>439</v>
      </c>
      <c r="N1" s="16" t="s">
        <v>441</v>
      </c>
      <c r="O1" s="16" t="s">
        <v>442</v>
      </c>
      <c r="P1" s="16" t="s">
        <v>291</v>
      </c>
      <c r="Q1" s="16" t="s">
        <v>292</v>
      </c>
      <c r="R1" s="16" t="s">
        <v>293</v>
      </c>
      <c r="S1" t="s">
        <v>258</v>
      </c>
      <c r="T1" s="16" t="s">
        <v>241</v>
      </c>
      <c r="U1" s="16" t="s">
        <v>243</v>
      </c>
      <c r="V1" s="16" t="s">
        <v>445</v>
      </c>
      <c r="W1" s="16" t="s">
        <v>266</v>
      </c>
      <c r="X1" s="16" t="s">
        <v>267</v>
      </c>
    </row>
    <row r="2" spans="1:24" x14ac:dyDescent="0.25">
      <c r="A2" s="16" t="s">
        <v>446</v>
      </c>
      <c r="B2" s="16">
        <f>IF(S2&lt;0.4,0.1,IF(S2&lt;1,0.15,IF(S2&lt;3,0.2,IF(S2&lt;5,0.25,IF(S2&lt;7,0.3,IF(S2&lt;10,0.35,IF(S2&lt;15,0.4,IF(S2&lt;20,0.45,IF(S2&lt;25,0.5,IF(S2&lt;30,0.55,IF(S2&lt;35,0.6,IF(S2&lt;40,0.65,IF(S2&lt;45,0.7,IF(S2&lt;50,0.75,IF(S2&lt;55,0.8,IF(S2&lt;60,0.85,IF(S2&lt;65,0.9,IF(S2&lt;71,1,IF(S2&lt;75,1.05,IF(S2&lt;0.8,1.1,IF(S2&lt;95,1.15,IF(S2&lt;100,1.2,IF(S2&lt;121,1.25,IF(S2&lt;151,1.5,IF(S2&lt;201,1.75,IF(S2&lt;251,2,IF(S2&lt;301,2.25,IF(S2&lt;351,2.5,IF(S2&lt;401,2.75,IF(S2&lt;601,3,IF(S2&lt;801,3.25,IF(S2&lt;1001,3.5,IF(S2&lt;2001,3.75,IF(S2&lt;4001,4,IF(S2&lt;5001,5,6)))))))))))))))))))))))))))))))))))/1</f>
        <v>1</v>
      </c>
      <c r="C2">
        <f>B2</f>
        <v>1</v>
      </c>
      <c r="D2">
        <f>B2</f>
        <v>1</v>
      </c>
      <c r="E2" s="16">
        <f>MAX(0.01,MROUND((4.82*(B2*100*1000)^0.734)/(4.82*(1*100*1000)^0.734)/IF(B2&lt;3.5,2,IF(B2=3.5,1.5,1.25)*(1+0.132282374779864/(B2^0.994035016789033+0.00905238001496948))),0.05))/MAX(0.01,MROUND((4.82*(B$2*100*1000)^0.734)/(4.82*(1*100*1000)^0.734)/IF(B$2&lt;3.5,2,IF(B$2=3.5,1.5,1.25)*(1+0.132282374779864/(B$2^0.994035016789033+0.00905238001496948))),0.05))</f>
        <v>1</v>
      </c>
      <c r="F2" s="16" t="s">
        <v>45</v>
      </c>
      <c r="G2" s="16">
        <f>MROUND(((LOG10(EXP(0.8447*LN(S2)+3.996))*(B2^0.5)+((EXP(0.8447*LN(S2)+3.996))/1000)^(2/3)+0.5))/((LOG10(EXP(0.8447*LN(S$2)+3.996))*(B$2^0.5)+((EXP(0.8447*LN(S$2)+3.996))/1000)^(2/3)+0.5)),0.05)</f>
        <v>1</v>
      </c>
      <c r="H2">
        <f>MROUND((11*S2^0.15)/(11*$S$2^0.15),0.05)</f>
        <v>1</v>
      </c>
      <c r="I2">
        <f>MROUND((S2^0.165)/(S$2^0.165),0.05)</f>
        <v>1</v>
      </c>
      <c r="J2">
        <f>MROUND(((V2 * T2*5%)^0.9 / 21+0.5)/(($V$2 * $T$2*5%)^0.9 / 21+0.5),0.05)</f>
        <v>1</v>
      </c>
      <c r="K2">
        <f>MROUND(((X2/5)^0.25/((15-W2)*10)*150)/(($X$2/5)^0.25/((15-$W$2)*10)*150),0.05)</f>
        <v>1</v>
      </c>
      <c r="L2" s="16">
        <f>MROUND(((0.106*S2^0.94)*10000/(1.1*((0.111*S2^0.65)*10000)))/((0.106*S$2^0.94)*10000/(1.1*((0.111*S$2^0.65)*10000))),0.05)</f>
        <v>1</v>
      </c>
      <c r="M2">
        <f>MROUND(((0.106*S2^0.94)*10000/(1.1*((0.111*S2^0.65)*10000)))/((0.106*S$2^0.94)*10000/(1.1*((0.111*S$2^0.65)*10000))),0.05)</f>
        <v>1</v>
      </c>
      <c r="N2" s="10">
        <f>MROUND((((1/2*(S2*(3.0691*S2^-0.659))*(2.4477*S2^0.1778)^2)/(0.0315*S2+2.1825))/10000)/(((1/2*(S$2*(3.0691*S$2^-0.659))*(2.4477*S$2^0.1778)^2)/(0.0315*S$2+2.1825))/10000),0.05)</f>
        <v>1</v>
      </c>
      <c r="O2" s="10">
        <f>MROUND((((1/2*(S2*(3.0691*S2^-0.659))*(2.4477*S2^0.1778)^2))*0.01)/(((1/2*(S$2*(3.0691*S$2^-0.659))*(2.4477*S$2^0.1778)^2))*0.01),0.05)</f>
        <v>1</v>
      </c>
      <c r="P2" s="10">
        <f>MROUND((1*S2^-0.165)/(1*$S$2^-0.165),0.05)</f>
        <v>1</v>
      </c>
      <c r="Q2" s="10">
        <f>MROUND((S2^0.165)/($S$2^0.165),0.05)</f>
        <v>1</v>
      </c>
      <c r="R2" s="10">
        <f>MROUND((1*S2^0.165)/(1*$S$2^0.165),0.05)</f>
        <v>1</v>
      </c>
      <c r="S2">
        <v>70</v>
      </c>
      <c r="T2" s="10">
        <f>(0.111*S2^0.65)*10000</f>
        <v>17564.536938929268</v>
      </c>
      <c r="U2" s="10">
        <f>(1/2*X2*W2^2)</f>
        <v>171.70400000000001</v>
      </c>
      <c r="V2" s="10">
        <f>U2/(T2*5%)</f>
        <v>0.19551212832652912</v>
      </c>
      <c r="W2" s="17">
        <f>ROUNDDOWN(2.45*S2^0.18,1)</f>
        <v>5.2</v>
      </c>
      <c r="X2" s="17">
        <f>ROUNDDOWN(S2*(3*S2^-0.66),1)</f>
        <v>12.7</v>
      </c>
    </row>
    <row r="3" spans="1:24" x14ac:dyDescent="0.25">
      <c r="A3" t="s">
        <v>447</v>
      </c>
      <c r="B3" s="16">
        <f>IF(S3&lt;0.4,0.1,IF(S3&lt;1,0.15,IF(S3&lt;3,0.2,IF(S3&lt;5,0.25,IF(S3&lt;7,0.3,IF(S3&lt;10,0.35,IF(S3&lt;15,0.4,IF(S3&lt;20,0.45,IF(S3&lt;25,0.5,IF(S3&lt;30,0.55,IF(S3&lt;35,0.6,IF(S3&lt;40,0.65,IF(S3&lt;45,0.7,IF(S3&lt;50,0.75,IF(S3&lt;55,0.8,IF(S3&lt;60,0.85,IF(S3&lt;65,0.9,IF(S3&lt;71,1,IF(S3&lt;75,1.05,IF(S3&lt;0.8,1.1,IF(S3&lt;95,1.15,IF(S3&lt;100,1.2,IF(S3&lt;121,1.25,IF(S3&lt;151,1.5,IF(S3&lt;201,1.75,IF(S3&lt;251,2,IF(S3&lt;301,2.25,IF(S3&lt;351,2.5,IF(S3&lt;401,2.75,IF(S3&lt;601,3,IF(S3&lt;801,3.25,IF(S3&lt;1001,3.5,IF(S3&lt;2001,3.75,IF(S3&lt;4001,4,IF(S3&lt;5001,5,6)))))))))))))))))))))))))))))))))))/1</f>
        <v>0.5</v>
      </c>
      <c r="C3" s="16">
        <f t="shared" ref="C3:C5" si="0">B3</f>
        <v>0.5</v>
      </c>
      <c r="D3" s="16">
        <f t="shared" ref="D3:D5" si="1">B3</f>
        <v>0.5</v>
      </c>
      <c r="E3" s="16">
        <f t="shared" ref="E3:E5" si="2">MAX(0.01,MROUND((4.82*(B3*100*1000)^0.734)/(4.82*(1*100*1000)^0.734)/IF(B3&lt;3.5,2,IF(B3=3.5,1.5,1.25)*(1+0.132282374779864/(B3^0.994035016789033+0.00905238001496948))),0.05))/MAX(0.01,MROUND((4.82*(B$2*100*1000)^0.734)/(4.82*(1*100*1000)^0.734)/IF(B$2&lt;3.5,2,IF(B$2=3.5,1.5,1.25)*(1+0.132282374779864/(B$2^0.994035016789033+0.00905238001496948))),0.05))</f>
        <v>0.60000000000000009</v>
      </c>
      <c r="F3" s="16" t="s">
        <v>45</v>
      </c>
      <c r="G3" s="16">
        <f>MROUND(((LOG10(EXP(0.8447*LN(S3)+3.996))*(B3^0.5)+((EXP(0.8447*LN(S3)+3.996))/1000)^(2/3)+0.5))/((LOG10(EXP(0.8447*LN(S$2)+3.996))*(B$2^0.5)+((EXP(0.8447*LN(S$2)+3.996))/1000)^(2/3)+0.5)),0.05)</f>
        <v>0.60000000000000009</v>
      </c>
      <c r="H3" s="16">
        <f>MROUND((11*S3^0.15)/(11*$S$2^0.15),0.05)</f>
        <v>0.85000000000000009</v>
      </c>
      <c r="I3" s="16">
        <f>MROUND((S3^0.165)/(S$2^0.165),0.05)</f>
        <v>0.8</v>
      </c>
      <c r="J3" s="16">
        <f>MROUND(((V3 * T3*5%)^0.9 / 21+0.5)/(($V$2 * $T$2*5%)^0.9 / 21+0.5),0.05)</f>
        <v>0.5</v>
      </c>
      <c r="K3" s="16">
        <f>MROUND(((X3/5)^0.25/((15-W3)*10)*150)/(($X$2/5)^0.25/((15-$W$2)*10)*150),0.05)</f>
        <v>0.8</v>
      </c>
      <c r="L3" s="16">
        <f>MROUND(((0.106*S3^0.94)*10000/(1.1*((0.111*S3^0.65)*10000)))/((0.106*S$2^0.94)*10000/(1.1*((0.111*S$2^0.65)*10000))),0.05)</f>
        <v>0.70000000000000007</v>
      </c>
      <c r="M3" s="16">
        <f>MROUND(((0.106*S3^0.94)*10000/(1.1*((0.111*S3^0.65)*10000)))/((0.106*S$2^0.94)*10000/(1.1*((0.111*S$2^0.65)*10000))),0.05)</f>
        <v>0.70000000000000007</v>
      </c>
      <c r="N3" s="10">
        <f>MROUND((((1/2*(S3*(3.0691*S3^-0.659))*(2.4477*S3^0.1778)^2)/(0.0315*S3+2.1825))/10000)/(((1/2*(S$2*(3.0691*S$2^-0.659))*(2.4477*S$2^0.1778)^2)/(0.0315*S$2+2.1825))/10000),0.05)</f>
        <v>0.65</v>
      </c>
      <c r="O3" s="10">
        <f>MROUND((((1/2*(S3*(3.0691*S3^-0.659))*(2.4477*S3^0.1778)^2))*0.01)/(((1/2*(S$2*(3.0691*S$2^-0.659))*(2.4477*S$2^0.1778)^2))*0.01),0.05)</f>
        <v>0.4</v>
      </c>
      <c r="P3" s="10">
        <f t="shared" ref="P3:P5" si="3">MROUND((1*S3^-0.165)/(1*$S$2^-0.165),0.05)</f>
        <v>1.25</v>
      </c>
      <c r="Q3" s="10">
        <f t="shared" ref="Q3:Q5" si="4">MROUND((S3^0.165)/($S$2^0.165),0.05)</f>
        <v>0.8</v>
      </c>
      <c r="R3" s="10">
        <f t="shared" ref="R3:R5" si="5">MROUND((1*S3^0.165)/(1*$S$2^0.165),0.05)</f>
        <v>0.8</v>
      </c>
      <c r="S3">
        <v>20</v>
      </c>
      <c r="T3" s="10">
        <f>(0.111*S3^0.65)*10000</f>
        <v>7780.2307188855666</v>
      </c>
      <c r="U3" s="10">
        <f>(1/2*X3*W3^2)</f>
        <v>73.206000000000003</v>
      </c>
      <c r="V3" s="10">
        <f t="shared" ref="V3:V5" si="6">U3/(T3*5%)</f>
        <v>0.18818465067443646</v>
      </c>
      <c r="W3" s="17">
        <f t="shared" ref="W3:W5" si="7">ROUNDDOWN(2.45*S3^0.18,1)</f>
        <v>4.2</v>
      </c>
      <c r="X3" s="17">
        <f t="shared" ref="X3:X5" si="8">ROUNDDOWN(S3*(3*S3^-0.66),1)</f>
        <v>8.3000000000000007</v>
      </c>
    </row>
    <row r="4" spans="1:24" x14ac:dyDescent="0.25">
      <c r="A4" t="s">
        <v>448</v>
      </c>
      <c r="B4" s="16">
        <f>IF(S4&lt;0.4,0.1,IF(S4&lt;1,0.15,IF(S4&lt;3,0.2,IF(S4&lt;5,0.25,IF(S4&lt;7,0.3,IF(S4&lt;10,0.35,IF(S4&lt;15,0.4,IF(S4&lt;20,0.45,IF(S4&lt;25,0.5,IF(S4&lt;30,0.55,IF(S4&lt;35,0.6,IF(S4&lt;40,0.65,IF(S4&lt;45,0.7,IF(S4&lt;50,0.75,IF(S4&lt;55,0.8,IF(S4&lt;60,0.85,IF(S4&lt;65,0.9,IF(S4&lt;71,1,IF(S4&lt;75,1.05,IF(S4&lt;0.8,1.1,IF(S4&lt;95,1.15,IF(S4&lt;100,1.2,IF(S4&lt;121,1.25,IF(S4&lt;151,1.5,IF(S4&lt;201,1.75,IF(S4&lt;251,2,IF(S4&lt;301,2.25,IF(S4&lt;351,2.5,IF(S4&lt;401,2.75,IF(S4&lt;601,3,IF(S4&lt;801,3.25,IF(S4&lt;1001,3.5,IF(S4&lt;2001,3.75,IF(S4&lt;4001,4,IF(S4&lt;5001,5,6)))))))))))))))))))))))))))))))))))/1</f>
        <v>0.2</v>
      </c>
      <c r="C4" s="16">
        <f t="shared" si="0"/>
        <v>0.2</v>
      </c>
      <c r="D4" s="16">
        <f t="shared" si="1"/>
        <v>0.2</v>
      </c>
      <c r="E4" s="16">
        <f t="shared" si="2"/>
        <v>0.30000000000000004</v>
      </c>
      <c r="F4" s="16" t="s">
        <v>45</v>
      </c>
      <c r="G4" s="16">
        <f>MROUND(((LOG10(EXP(0.8447*LN(S4)+3.996))*(B4^0.5)+((EXP(0.8447*LN(S4)+3.996))/1000)^(2/3)+0.5))/((LOG10(EXP(0.8447*LN(S$2)+3.996))*(B$2^0.5)+((EXP(0.8447*LN(S$2)+3.996))/1000)^(2/3)+0.5)),0.05)</f>
        <v>0.30000000000000004</v>
      </c>
      <c r="H4" s="16">
        <f>MROUND((11*S4^0.15)/(11*$S$2^0.15),0.05)</f>
        <v>0.60000000000000009</v>
      </c>
      <c r="I4" s="16">
        <f>MROUND((S4^0.165)/(S$2^0.165),0.05)</f>
        <v>0.55000000000000004</v>
      </c>
      <c r="J4" s="16">
        <f>MROUND(((V4 * T4*5%)^0.9 / 21+0.5)/(($V$2 * $T$2*5%)^0.9 / 21+0.5),0.05)</f>
        <v>0.2</v>
      </c>
      <c r="K4" s="16">
        <f>MROUND(((X4/5)^0.25/((15-W4)*10)*150)/(($X$2/5)^0.25/((15-$W$2)*10)*150),0.05)</f>
        <v>0.60000000000000009</v>
      </c>
      <c r="L4" s="16">
        <f>MROUND(((0.106*S4^0.94)*10000/(1.1*((0.111*S4^0.65)*10000)))/((0.106*S$2^0.94)*10000/(1.1*((0.111*S$2^0.65)*10000))),0.05)</f>
        <v>0.35000000000000003</v>
      </c>
      <c r="M4" s="16">
        <f>MROUND(((0.106*S4^0.94)*10000/(1.1*((0.111*S4^0.65)*10000)))/((0.106*S$2^0.94)*10000/(1.1*((0.111*S$2^0.65)*10000))),0.05)</f>
        <v>0.35000000000000003</v>
      </c>
      <c r="N4" s="10">
        <f>MROUND((((1/2*(S4*(3.0691*S4^-0.659))*(2.4477*S4^0.1778)^2)/(0.0315*S4+2.1825))/10000)/(((1/2*(S$2*(3.0691*S$2^-0.659))*(2.4477*S$2^0.1778)^2)/(0.0315*S$2+2.1825))/10000),0.05)</f>
        <v>0.15000000000000002</v>
      </c>
      <c r="O4" s="10">
        <f>MROUND((((1/2*(S4*(3.0691*S4^-0.659))*(2.4477*S4^0.1778)^2))*0.01)/(((1/2*(S$2*(3.0691*S$2^-0.659))*(2.4477*S$2^0.1778)^2))*0.01),0.05)</f>
        <v>0.1</v>
      </c>
      <c r="P4" s="10">
        <f t="shared" si="3"/>
        <v>1.8</v>
      </c>
      <c r="Q4" s="10">
        <f t="shared" si="4"/>
        <v>0.55000000000000004</v>
      </c>
      <c r="R4" s="10">
        <f t="shared" si="5"/>
        <v>0.55000000000000004</v>
      </c>
      <c r="S4">
        <v>2</v>
      </c>
      <c r="T4" s="10">
        <f>(0.111*S4^0.65)*10000</f>
        <v>1741.7766973307866</v>
      </c>
      <c r="U4" s="10">
        <f>(1/2*X4*W4^2)</f>
        <v>13.486500000000003</v>
      </c>
      <c r="V4" s="10">
        <f t="shared" si="6"/>
        <v>0.15485911621929035</v>
      </c>
      <c r="W4" s="17">
        <f t="shared" si="7"/>
        <v>2.7</v>
      </c>
      <c r="X4" s="17">
        <f t="shared" si="8"/>
        <v>3.7</v>
      </c>
    </row>
    <row r="5" spans="1:24" x14ac:dyDescent="0.25">
      <c r="A5" t="s">
        <v>436</v>
      </c>
      <c r="B5" s="16">
        <f>IF(S5&lt;0.4,0.1,IF(S5&lt;1,0.15,IF(S5&lt;3,0.2,IF(S5&lt;5,0.25,IF(S5&lt;7,0.3,IF(S5&lt;10,0.35,IF(S5&lt;15,0.4,IF(S5&lt;20,0.45,IF(S5&lt;25,0.5,IF(S5&lt;30,0.55,IF(S5&lt;35,0.6,IF(S5&lt;40,0.65,IF(S5&lt;45,0.7,IF(S5&lt;50,0.75,IF(S5&lt;55,0.8,IF(S5&lt;60,0.85,IF(S5&lt;65,0.9,IF(S5&lt;71,1,IF(S5&lt;75,1.05,IF(S5&lt;0.8,1.1,IF(S5&lt;95,1.15,IF(S5&lt;100,1.2,IF(S5&lt;121,1.25,IF(S5&lt;151,1.5,IF(S5&lt;201,1.75,IF(S5&lt;251,2,IF(S5&lt;301,2.25,IF(S5&lt;351,2.5,IF(S5&lt;401,2.75,IF(S5&lt;601,3,IF(S5&lt;801,3.25,IF(S5&lt;1001,3.5,IF(S5&lt;2001,3.75,IF(S5&lt;4001,4,IF(S5&lt;5001,5,6)))))))))))))))))))))))))))))))))))/1</f>
        <v>0.15</v>
      </c>
      <c r="C5" s="16">
        <f t="shared" si="0"/>
        <v>0.15</v>
      </c>
      <c r="D5" s="16">
        <f t="shared" si="1"/>
        <v>0.15</v>
      </c>
      <c r="E5" s="16">
        <f t="shared" si="2"/>
        <v>0.2</v>
      </c>
      <c r="F5" s="16" t="s">
        <v>45</v>
      </c>
      <c r="G5" s="16">
        <f>MROUND(((LOG10(EXP(0.8447*LN(S5)+3.996))*(B5^0.5)+((EXP(0.8447*LN(S5)+3.996))/1000)^(2/3)+0.5))/((LOG10(EXP(0.8447*LN(S$2)+3.996))*(B$2^0.5)+((EXP(0.8447*LN(S$2)+3.996))/1000)^(2/3)+0.5)),0.05)</f>
        <v>0.2</v>
      </c>
      <c r="H5" s="16">
        <f>MROUND((11*S5^0.15)/(11*$S$2^0.15),0.05)</f>
        <v>0.45</v>
      </c>
      <c r="I5" s="16">
        <f>MROUND((S5^0.165)/(S$2^0.165),0.05)</f>
        <v>0.45</v>
      </c>
      <c r="J5" s="16">
        <f>MROUND(((V5 * T5*5%)^0.9 / 21+0.5)/(($V$2 * $T$2*5%)^0.9 / 21+0.5),0.05)</f>
        <v>0.1</v>
      </c>
      <c r="K5" s="16">
        <f>MROUND(((X5/5)^0.25/((15-W5)*10)*150)/(($X$2/5)^0.25/((15-$W$2)*10)*150),0.05)</f>
        <v>0.5</v>
      </c>
      <c r="L5" s="16">
        <f>MROUND(((0.106*S5^0.94)*10000/(1.1*((0.111*S5^0.65)*10000)))/((0.106*S$2^0.94)*10000/(1.1*((0.111*S$2^0.65)*10000))),0.05)</f>
        <v>0.2</v>
      </c>
      <c r="M5" s="16">
        <f>MROUND(((0.106*S5^0.94)*10000/(1.1*((0.111*S5^0.65)*10000)))/((0.106*S$2^0.94)*10000/(1.1*((0.111*S$2^0.65)*10000))),0.05)</f>
        <v>0.2</v>
      </c>
      <c r="N5" s="10">
        <f>MROUND((((1/2*(S5*(3.0691*S5^-0.659))*(2.4477*S5^0.1778)^2)/(0.0315*S5+2.1825))/10000)/(((1/2*(S$2*(3.0691*S$2^-0.659))*(2.4477*S$2^0.1778)^2)/(0.0315*S$2+2.1825))/10000),0.05)</f>
        <v>0.05</v>
      </c>
      <c r="O5" s="10">
        <f>MROUND((((1/2*(S5*(3.0691*S5^-0.659))*(2.4477*S5^0.1778)^2))*0.01)/(((1/2*(S$2*(3.0691*S$2^-0.659))*(2.4477*S$2^0.1778)^2))*0.01),0.05)</f>
        <v>0.05</v>
      </c>
      <c r="P5" s="10">
        <f t="shared" si="3"/>
        <v>2.35</v>
      </c>
      <c r="Q5" s="10">
        <f t="shared" si="4"/>
        <v>0.45</v>
      </c>
      <c r="R5" s="10">
        <f t="shared" si="5"/>
        <v>0.45</v>
      </c>
      <c r="S5">
        <v>0.4</v>
      </c>
      <c r="T5" s="10">
        <f>(0.111*S5^0.65)*10000</f>
        <v>611.87396305839911</v>
      </c>
      <c r="U5" s="10">
        <f>(1/2*X5*W5^2)</f>
        <v>4.2</v>
      </c>
      <c r="V5" s="10">
        <f t="shared" si="6"/>
        <v>0.13728317443045504</v>
      </c>
      <c r="W5" s="17">
        <f t="shared" si="7"/>
        <v>2</v>
      </c>
      <c r="X5" s="17">
        <f t="shared" si="8"/>
        <v>2.1</v>
      </c>
    </row>
    <row r="6" spans="1:24" x14ac:dyDescent="0.25">
      <c r="C6" s="16"/>
      <c r="D6" s="16"/>
      <c r="E6" s="16"/>
      <c r="F6" s="16"/>
      <c r="G6" s="16"/>
      <c r="H6" s="16"/>
      <c r="J6" s="16"/>
      <c r="L6" s="16"/>
      <c r="Q6" s="10"/>
      <c r="S6" s="16"/>
    </row>
    <row r="7" spans="1:24" x14ac:dyDescent="0.25">
      <c r="Q7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7281-1BD3-432F-98BE-BCD5F7E1E3E0}">
  <dimension ref="A1:R35"/>
  <sheetViews>
    <sheetView workbookViewId="0">
      <selection activeCell="I3" sqref="I3"/>
    </sheetView>
  </sheetViews>
  <sheetFormatPr defaultColWidth="8.28515625" defaultRowHeight="15" x14ac:dyDescent="0.25"/>
  <cols>
    <col min="1" max="1" width="24.140625" bestFit="1" customWidth="1"/>
    <col min="2" max="2" width="9.85546875" bestFit="1" customWidth="1"/>
    <col min="3" max="3" width="4.5703125" bestFit="1" customWidth="1"/>
    <col min="4" max="4" width="5.28515625" bestFit="1" customWidth="1"/>
    <col min="5" max="5" width="9.5703125" bestFit="1" customWidth="1"/>
    <col min="6" max="6" width="8.5703125" bestFit="1" customWidth="1"/>
    <col min="7" max="7" width="8.140625" bestFit="1" customWidth="1"/>
    <col min="8" max="8" width="14" bestFit="1" customWidth="1"/>
    <col min="9" max="9" width="13.5703125" bestFit="1" customWidth="1"/>
    <col min="10" max="10" width="12.42578125" bestFit="1" customWidth="1"/>
    <col min="11" max="11" width="17" bestFit="1" customWidth="1"/>
    <col min="12" max="12" width="9.42578125" bestFit="1" customWidth="1"/>
    <col min="13" max="13" width="18.5703125" bestFit="1" customWidth="1"/>
    <col min="14" max="14" width="13.85546875" bestFit="1" customWidth="1"/>
    <col min="15" max="15" width="10.7109375" bestFit="1" customWidth="1"/>
    <col min="16" max="16" width="11.5703125" bestFit="1" customWidth="1"/>
    <col min="17" max="17" width="11.42578125" bestFit="1" customWidth="1"/>
    <col min="18" max="18" width="16.5703125" bestFit="1" customWidth="1"/>
  </cols>
  <sheetData>
    <row r="1" spans="1:18" ht="15.75" thickBot="1" x14ac:dyDescent="0.3">
      <c r="A1" s="50" t="s">
        <v>322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8" ht="16.5" thickTop="1" thickBot="1" x14ac:dyDescent="0.3">
      <c r="A2" t="s">
        <v>318</v>
      </c>
      <c r="B2" t="s">
        <v>320</v>
      </c>
      <c r="C2" t="s">
        <v>319</v>
      </c>
      <c r="D2" t="s">
        <v>314</v>
      </c>
      <c r="E2" t="s">
        <v>248</v>
      </c>
      <c r="F2" t="s">
        <v>321</v>
      </c>
      <c r="G2" s="3" t="s">
        <v>312</v>
      </c>
      <c r="H2" s="4" t="s">
        <v>313</v>
      </c>
      <c r="I2" s="16" t="s">
        <v>328</v>
      </c>
      <c r="J2" s="16" t="s">
        <v>330</v>
      </c>
      <c r="K2" t="s">
        <v>327</v>
      </c>
      <c r="L2" t="s">
        <v>326</v>
      </c>
      <c r="M2" t="s">
        <v>325</v>
      </c>
      <c r="N2" t="s">
        <v>329</v>
      </c>
      <c r="O2" s="3" t="s">
        <v>324</v>
      </c>
      <c r="P2" s="1" t="s">
        <v>334</v>
      </c>
      <c r="Q2" s="1" t="s">
        <v>332</v>
      </c>
      <c r="R2" s="4" t="s">
        <v>331</v>
      </c>
    </row>
    <row r="3" spans="1:18" ht="16.5" thickTop="1" thickBot="1" x14ac:dyDescent="0.3">
      <c r="A3" t="s">
        <v>335</v>
      </c>
      <c r="B3">
        <v>2.99</v>
      </c>
      <c r="C3">
        <f t="shared" ref="C3:C20" si="0">IF(B3&lt;0.4,0.1,IF(B3&lt;1,0.15,IF(B3&lt;3,0.2,IF(B3&lt;5,0.25,IF(B3&lt;7,0.3,IF(B3&lt;10,0.35,IF(B3&lt;15,0.4,IF(B3&lt;20,0.45,IF(B3&lt;25,0.5,IF(B3&lt;30,0.55,IF(B3&lt;35,0.6,IF(B3&lt;40,0.65,IF(B3&lt;45,0.7,IF(B3&lt;50,0.75,IF(B3&lt;55,0.8,IF(B3&lt;60,0.85,IF(B3&lt;65,0.9,IF(B3&lt;71,1,IF(B3&lt;75,1.05,IF(B3&lt;0.8,1.1,IF(B3&lt;95,1.15,IF(B3&lt;100,1.2,IF(B3&lt;121,1.25,IF(B3&lt;151,1.5,IF(B3&lt;201,1.75,IF(B3&lt;251,2,IF(B3&lt;301,2.25,IF(B3&lt;351,2.5,IF(B3&lt;401,2.75,IF(B3&lt;601,3,IF(B3&lt;801,3.25,IF(B3&lt;1001,3.5,IF(B3&lt;2001,3.75,IF(B3&lt;4001,4,IF(B3&lt;5001,5,6)))))))))))))))))))))))))))))))))))</f>
        <v>0.2</v>
      </c>
      <c r="D3" t="s">
        <v>315</v>
      </c>
      <c r="E3" s="10">
        <f>EXP(0.8447*LN(B3)+3.996)+IF(D3="Jaw",EXP(0.7444*LN(B3)+6.5696),EXP(0.7927*LN(B3)+4.28))</f>
        <v>309.28940773484766</v>
      </c>
      <c r="F3">
        <f>MROUND((EXP(0.3582*LN(B3)-0.2221)),0.5)</f>
        <v>1</v>
      </c>
      <c r="G3" s="3">
        <f>MROUND(LOG10(E3)*(C3^0.5)+((E3)/1000)^(2/3)+0.5+F3,0.5)</f>
        <v>3</v>
      </c>
      <c r="H3" s="4">
        <f>MROUND(IF(D3="Jaw",0.6,0.5)*B3^0.165,0.05)</f>
        <v>0.60000000000000009</v>
      </c>
      <c r="I3" s="11">
        <f>2.4477*B3^0.1778</f>
        <v>2.9739422108728699</v>
      </c>
      <c r="J3" s="11">
        <f>B3*(3.0691*B3^-0.659)</f>
        <v>4.4587683987293101</v>
      </c>
      <c r="K3" s="5">
        <f>MROUND(EXP(0.3582*LN(B3)-0.2221)*IF(D3="Jaw",1,2),1)</f>
        <v>2</v>
      </c>
      <c r="L3" s="11">
        <f>(1/2*J3*I3^2)+EXP(1.076*LN(E3)-4.5397)</f>
        <v>24.823242041160913</v>
      </c>
      <c r="M3" s="11">
        <f>IF(D3="Arm",AVERAGE(EXP(-0.57+0.99*LN(B3)),EXP(0.32+0.67*LN(B3))),(0.7354*B3^0.4078)/1000)</f>
        <v>2.2705639538482956</v>
      </c>
      <c r="N3" s="11">
        <f>L3/M3</f>
        <v>10.932632837356953</v>
      </c>
      <c r="O3" s="5">
        <f>IF(D3="Arm",ROUNDUP((N3 * M3)^0.9 / 21+0.5, 1),ROUNDUP((K3^0.4*L3^0.73)^0.6+0.5,1))</f>
        <v>1.4000000000000001</v>
      </c>
      <c r="P3" s="5">
        <f>MAX(ROUNDUP(L3*0.01,2),0.001)</f>
        <v>0.25</v>
      </c>
      <c r="Q3" s="5" t="str">
        <f>IF(D3="Arm","No",ROUNDUP(N3/10000,2))</f>
        <v>No</v>
      </c>
      <c r="R3" s="5">
        <f>MROUND((J3/5)^0.25/((IF(D3="Jaw",20,23)-I3)*10)*150,0.05)</f>
        <v>0.75</v>
      </c>
    </row>
    <row r="4" spans="1:18" ht="16.5" thickTop="1" thickBot="1" x14ac:dyDescent="0.3">
      <c r="A4" s="16" t="s">
        <v>336</v>
      </c>
      <c r="B4" s="16">
        <v>24.99</v>
      </c>
      <c r="C4" s="16">
        <f t="shared" si="0"/>
        <v>0.5</v>
      </c>
      <c r="D4" s="16" t="s">
        <v>315</v>
      </c>
      <c r="E4" s="10">
        <f t="shared" ref="E4:E20" si="1">EXP(0.8447*LN(B4)+3.996)+IF(D4="Jaw",EXP(0.7444*LN(B4)+6.5696),EXP(0.7927*LN(B4)+4.28))</f>
        <v>1750.7733776771004</v>
      </c>
      <c r="F4" s="16">
        <f t="shared" ref="F4:F20" si="2">MROUND((EXP(0.3582*LN(B4)-0.2221)),0.5)</f>
        <v>2.5</v>
      </c>
      <c r="G4" s="3">
        <f t="shared" ref="G4:G20" si="3">MROUND(LOG10(E4)*(C4^0.5)+((E4)/1000)^(2/3)+0.5+F4,0.5)</f>
        <v>6.5</v>
      </c>
      <c r="H4" s="4">
        <f t="shared" ref="H4:H20" si="4">MROUND(IF(D4="Jaw",0.6,0.5)*B4^0.165,0.05)</f>
        <v>0.85000000000000009</v>
      </c>
      <c r="I4" s="11">
        <f t="shared" ref="I4:I20" si="5">2.4477*B4^0.1778</f>
        <v>4.3379149029385751</v>
      </c>
      <c r="J4" s="11">
        <f t="shared" ref="J4:J20" si="6">B4*(3.0691*B4^-0.659)</f>
        <v>9.1970666240683077</v>
      </c>
      <c r="K4" s="5">
        <f t="shared" ref="K4:K20" si="7">MROUND(EXP(0.3582*LN(B4)-0.2221)*IF(D4="Jaw",1,2),1)</f>
        <v>5</v>
      </c>
      <c r="L4" s="11">
        <f t="shared" ref="L4:L20" si="8">(1/2*J4*I4^2)+EXP(1.076*LN(E4)-4.5397)</f>
        <v>119.50518940142183</v>
      </c>
      <c r="M4" s="11">
        <f t="shared" ref="M4:M20" si="9">IF(D4="Arm",AVERAGE(EXP(-0.57+0.99*LN(B4)),EXP(0.32+0.67*LN(B4))),(0.7354*B4^0.4078)/1000)</f>
        <v>12.791486140024139</v>
      </c>
      <c r="N4" s="11">
        <f t="shared" ref="N4:N20" si="10">L4/M4</f>
        <v>9.3425570800169986</v>
      </c>
      <c r="O4" s="5">
        <f t="shared" ref="O4:O20" si="11">IF(D4="Arm",ROUNDUP((N4 * M4)^0.9 / 21+0.5, 1),ROUNDUP((K4^0.4*L4^0.73)^0.6+0.5,1))</f>
        <v>4.0999999999999996</v>
      </c>
      <c r="P4" s="5">
        <f t="shared" ref="P4:P20" si="12">MAX(ROUNDUP(L4*0.01,2),0.001)</f>
        <v>1.2</v>
      </c>
      <c r="Q4" s="5" t="str">
        <f t="shared" ref="Q4:Q19" si="13">IF(D4="Arm","No",ROUNDUP(N4/10000,2))</f>
        <v>No</v>
      </c>
      <c r="R4" s="5">
        <f t="shared" ref="R4:R20" si="14">MROUND((J4/5)^0.25/((IF(D4="Jaw",20,23)-I4)*10)*150,0.05)</f>
        <v>0.95000000000000007</v>
      </c>
    </row>
    <row r="5" spans="1:18" ht="16.5" thickTop="1" thickBot="1" x14ac:dyDescent="0.3">
      <c r="A5" s="16" t="s">
        <v>337</v>
      </c>
      <c r="B5">
        <v>70.989999999999995</v>
      </c>
      <c r="C5" s="16">
        <f t="shared" si="0"/>
        <v>1</v>
      </c>
      <c r="D5" s="16" t="s">
        <v>315</v>
      </c>
      <c r="E5" s="10">
        <f t="shared" si="1"/>
        <v>4110.8031742133526</v>
      </c>
      <c r="F5" s="16">
        <f t="shared" si="2"/>
        <v>3.5</v>
      </c>
      <c r="G5" s="3">
        <f t="shared" si="3"/>
        <v>10</v>
      </c>
      <c r="H5" s="4">
        <f t="shared" si="4"/>
        <v>1</v>
      </c>
      <c r="I5" s="11">
        <f t="shared" si="5"/>
        <v>5.2227717431078098</v>
      </c>
      <c r="J5" s="11">
        <f t="shared" si="6"/>
        <v>13.130137566554833</v>
      </c>
      <c r="K5" s="5">
        <f t="shared" si="7"/>
        <v>7</v>
      </c>
      <c r="L5" s="11">
        <f t="shared" si="8"/>
        <v>261.68494862736685</v>
      </c>
      <c r="M5" s="11">
        <f t="shared" si="9"/>
        <v>31.209867160537627</v>
      </c>
      <c r="N5" s="11">
        <f t="shared" si="10"/>
        <v>8.3846863968151233</v>
      </c>
      <c r="O5" s="5">
        <f t="shared" si="11"/>
        <v>7.6999999999999993</v>
      </c>
      <c r="P5" s="5">
        <f t="shared" si="12"/>
        <v>2.6199999999999997</v>
      </c>
      <c r="Q5" s="5" t="str">
        <f t="shared" si="13"/>
        <v>No</v>
      </c>
      <c r="R5" s="5">
        <f t="shared" si="14"/>
        <v>1.05</v>
      </c>
    </row>
    <row r="6" spans="1:18" ht="16.5" thickTop="1" thickBot="1" x14ac:dyDescent="0.3">
      <c r="A6" s="16" t="s">
        <v>338</v>
      </c>
      <c r="B6">
        <v>250.99</v>
      </c>
      <c r="C6" s="16">
        <f t="shared" si="0"/>
        <v>2</v>
      </c>
      <c r="D6" s="16" t="s">
        <v>315</v>
      </c>
      <c r="E6" s="10">
        <f t="shared" si="1"/>
        <v>11554.199728043341</v>
      </c>
      <c r="F6" s="16">
        <f t="shared" si="2"/>
        <v>6</v>
      </c>
      <c r="G6" s="3">
        <f t="shared" si="3"/>
        <v>17.5</v>
      </c>
      <c r="H6" s="4">
        <f t="shared" si="4"/>
        <v>1.25</v>
      </c>
      <c r="I6" s="11">
        <f t="shared" si="5"/>
        <v>6.537581245291749</v>
      </c>
      <c r="J6" s="11">
        <f t="shared" si="6"/>
        <v>20.197326119552194</v>
      </c>
      <c r="K6" s="5">
        <f t="shared" si="7"/>
        <v>12</v>
      </c>
      <c r="L6" s="11">
        <f t="shared" si="8"/>
        <v>682.77131748394186</v>
      </c>
      <c r="M6" s="11">
        <f t="shared" si="9"/>
        <v>95.062621465803645</v>
      </c>
      <c r="N6" s="11">
        <f t="shared" si="10"/>
        <v>7.1823320981059986</v>
      </c>
      <c r="O6" s="5">
        <f t="shared" si="11"/>
        <v>17.5</v>
      </c>
      <c r="P6" s="5">
        <f t="shared" si="12"/>
        <v>6.83</v>
      </c>
      <c r="Q6" s="5" t="str">
        <f t="shared" si="13"/>
        <v>No</v>
      </c>
      <c r="R6" s="5">
        <f t="shared" si="14"/>
        <v>1.3</v>
      </c>
    </row>
    <row r="7" spans="1:18" ht="16.5" thickTop="1" thickBot="1" x14ac:dyDescent="0.3">
      <c r="A7" s="16" t="s">
        <v>339</v>
      </c>
      <c r="B7">
        <v>1000.99</v>
      </c>
      <c r="C7" s="16">
        <f t="shared" si="0"/>
        <v>3.5</v>
      </c>
      <c r="D7" s="16" t="s">
        <v>315</v>
      </c>
      <c r="E7" s="10">
        <f t="shared" si="1"/>
        <v>35883.909900497274</v>
      </c>
      <c r="F7" s="16">
        <f t="shared" si="2"/>
        <v>9.5</v>
      </c>
      <c r="G7" s="3">
        <f t="shared" si="3"/>
        <v>29.5</v>
      </c>
      <c r="H7" s="4">
        <f t="shared" si="4"/>
        <v>1.55</v>
      </c>
      <c r="I7" s="11">
        <f t="shared" si="5"/>
        <v>8.3605451278412701</v>
      </c>
      <c r="J7" s="11">
        <f t="shared" si="6"/>
        <v>32.371109151422097</v>
      </c>
      <c r="K7" s="5">
        <f t="shared" si="7"/>
        <v>19</v>
      </c>
      <c r="L7" s="11">
        <f t="shared" si="8"/>
        <v>1981.5188837028318</v>
      </c>
      <c r="M7" s="11">
        <f t="shared" si="9"/>
        <v>334.6551489759421</v>
      </c>
      <c r="N7" s="11">
        <f t="shared" si="10"/>
        <v>5.921076934768096</v>
      </c>
      <c r="O7" s="5">
        <f t="shared" si="11"/>
        <v>44.7</v>
      </c>
      <c r="P7" s="5">
        <f t="shared" si="12"/>
        <v>19.82</v>
      </c>
      <c r="Q7" s="5" t="str">
        <f t="shared" si="13"/>
        <v>No</v>
      </c>
      <c r="R7" s="5">
        <f t="shared" si="14"/>
        <v>1.6500000000000001</v>
      </c>
    </row>
    <row r="8" spans="1:18" ht="16.5" thickTop="1" thickBot="1" x14ac:dyDescent="0.3">
      <c r="A8" s="16" t="s">
        <v>340</v>
      </c>
      <c r="B8">
        <v>5000.99</v>
      </c>
      <c r="C8" s="16">
        <f t="shared" si="0"/>
        <v>5</v>
      </c>
      <c r="D8" s="16" t="s">
        <v>315</v>
      </c>
      <c r="E8" s="10">
        <f t="shared" si="1"/>
        <v>134253.93748103816</v>
      </c>
      <c r="F8" s="16">
        <f t="shared" si="2"/>
        <v>17</v>
      </c>
      <c r="G8" s="3">
        <f t="shared" si="3"/>
        <v>55</v>
      </c>
      <c r="H8" s="4">
        <f t="shared" si="4"/>
        <v>2.0500000000000003</v>
      </c>
      <c r="I8" s="11">
        <f t="shared" si="5"/>
        <v>11.128851367393436</v>
      </c>
      <c r="J8" s="11">
        <f t="shared" si="6"/>
        <v>56.025937245182128</v>
      </c>
      <c r="K8" s="5">
        <f t="shared" si="7"/>
        <v>34</v>
      </c>
      <c r="L8" s="11">
        <f t="shared" si="8"/>
        <v>6985.7184482250977</v>
      </c>
      <c r="M8" s="11">
        <f t="shared" si="9"/>
        <v>1505.7992015730554</v>
      </c>
      <c r="N8" s="11">
        <f t="shared" si="10"/>
        <v>4.6392098235457713</v>
      </c>
      <c r="O8" s="5">
        <f t="shared" si="11"/>
        <v>137.79999999999998</v>
      </c>
      <c r="P8" s="5">
        <f t="shared" si="12"/>
        <v>69.86</v>
      </c>
      <c r="Q8" s="5" t="str">
        <f t="shared" si="13"/>
        <v>No</v>
      </c>
      <c r="R8" s="5">
        <f t="shared" si="14"/>
        <v>2.3000000000000003</v>
      </c>
    </row>
    <row r="9" spans="1:18" ht="16.5" thickTop="1" thickBot="1" x14ac:dyDescent="0.3">
      <c r="A9" s="16" t="s">
        <v>341</v>
      </c>
      <c r="B9" s="16">
        <v>2.99</v>
      </c>
      <c r="C9" s="16">
        <f t="shared" si="0"/>
        <v>0.2</v>
      </c>
      <c r="D9" t="s">
        <v>316</v>
      </c>
      <c r="E9" s="10">
        <f t="shared" si="1"/>
        <v>309.28940773484766</v>
      </c>
      <c r="F9" s="16">
        <f t="shared" si="2"/>
        <v>1</v>
      </c>
      <c r="G9" s="3">
        <f t="shared" si="3"/>
        <v>3</v>
      </c>
      <c r="H9" s="4">
        <f t="shared" si="4"/>
        <v>0.60000000000000009</v>
      </c>
      <c r="I9" s="11">
        <f>2.4477*B9^0.1778</f>
        <v>2.9739422108728699</v>
      </c>
      <c r="J9" s="11">
        <f t="shared" si="6"/>
        <v>4.4587683987293101</v>
      </c>
      <c r="K9" s="5">
        <f t="shared" si="7"/>
        <v>2</v>
      </c>
      <c r="L9" s="11">
        <f t="shared" si="8"/>
        <v>24.823242041160913</v>
      </c>
      <c r="M9" s="11">
        <f t="shared" si="9"/>
        <v>1.1494824266320282E-3</v>
      </c>
      <c r="N9" s="11">
        <f t="shared" si="10"/>
        <v>21595.147055786456</v>
      </c>
      <c r="O9" s="5">
        <f t="shared" si="11"/>
        <v>5.3999999999999995</v>
      </c>
      <c r="P9" s="5">
        <f t="shared" si="12"/>
        <v>0.25</v>
      </c>
      <c r="Q9" s="5">
        <f t="shared" si="13"/>
        <v>2.1599999999999997</v>
      </c>
      <c r="R9" s="5">
        <f t="shared" si="14"/>
        <v>0.75</v>
      </c>
    </row>
    <row r="10" spans="1:18" ht="16.5" thickTop="1" thickBot="1" x14ac:dyDescent="0.3">
      <c r="A10" s="16" t="s">
        <v>342</v>
      </c>
      <c r="B10" s="16">
        <v>24.99</v>
      </c>
      <c r="C10" s="16">
        <f t="shared" si="0"/>
        <v>0.5</v>
      </c>
      <c r="D10" s="16" t="s">
        <v>316</v>
      </c>
      <c r="E10" s="10">
        <f t="shared" si="1"/>
        <v>1750.7733776771004</v>
      </c>
      <c r="F10" s="16">
        <f t="shared" si="2"/>
        <v>2.5</v>
      </c>
      <c r="G10" s="3">
        <f t="shared" si="3"/>
        <v>6.5</v>
      </c>
      <c r="H10" s="4">
        <f t="shared" si="4"/>
        <v>0.85000000000000009</v>
      </c>
      <c r="I10" s="11">
        <f t="shared" si="5"/>
        <v>4.3379149029385751</v>
      </c>
      <c r="J10" s="11">
        <f t="shared" si="6"/>
        <v>9.1970666240683077</v>
      </c>
      <c r="K10" s="5">
        <f t="shared" si="7"/>
        <v>5</v>
      </c>
      <c r="L10" s="11">
        <f t="shared" si="8"/>
        <v>119.50518940142183</v>
      </c>
      <c r="M10" s="11">
        <f t="shared" si="9"/>
        <v>2.7323271955107848E-3</v>
      </c>
      <c r="N10" s="11">
        <f t="shared" si="10"/>
        <v>43737.510499390017</v>
      </c>
      <c r="O10" s="5">
        <f t="shared" si="11"/>
        <v>12.5</v>
      </c>
      <c r="P10" s="5">
        <f t="shared" si="12"/>
        <v>1.2</v>
      </c>
      <c r="Q10" s="5">
        <f t="shared" si="13"/>
        <v>4.38</v>
      </c>
      <c r="R10" s="5">
        <f t="shared" si="14"/>
        <v>0.95000000000000007</v>
      </c>
    </row>
    <row r="11" spans="1:18" ht="16.5" thickTop="1" thickBot="1" x14ac:dyDescent="0.3">
      <c r="A11" s="16" t="s">
        <v>343</v>
      </c>
      <c r="B11" s="16">
        <v>70.989999999999995</v>
      </c>
      <c r="C11" s="16">
        <f t="shared" si="0"/>
        <v>1</v>
      </c>
      <c r="D11" s="16" t="s">
        <v>316</v>
      </c>
      <c r="E11" s="10">
        <f t="shared" si="1"/>
        <v>4110.8031742133526</v>
      </c>
      <c r="F11" s="16">
        <f t="shared" si="2"/>
        <v>3.5</v>
      </c>
      <c r="G11" s="3">
        <f t="shared" si="3"/>
        <v>10</v>
      </c>
      <c r="H11" s="4">
        <f t="shared" si="4"/>
        <v>1</v>
      </c>
      <c r="I11" s="11">
        <f t="shared" si="5"/>
        <v>5.2227717431078098</v>
      </c>
      <c r="J11" s="11">
        <f t="shared" si="6"/>
        <v>13.130137566554833</v>
      </c>
      <c r="K11" s="5">
        <f t="shared" si="7"/>
        <v>7</v>
      </c>
      <c r="L11" s="11">
        <f t="shared" si="8"/>
        <v>261.68494862736685</v>
      </c>
      <c r="M11" s="11">
        <f t="shared" si="9"/>
        <v>4.1825566699075214E-3</v>
      </c>
      <c r="N11" s="11">
        <f t="shared" si="10"/>
        <v>62565.786737601535</v>
      </c>
      <c r="O11" s="5">
        <f t="shared" si="11"/>
        <v>18.8</v>
      </c>
      <c r="P11" s="5">
        <f t="shared" si="12"/>
        <v>2.6199999999999997</v>
      </c>
      <c r="Q11" s="5">
        <f t="shared" si="13"/>
        <v>6.26</v>
      </c>
      <c r="R11" s="5">
        <f t="shared" si="14"/>
        <v>1.05</v>
      </c>
    </row>
    <row r="12" spans="1:18" ht="16.5" thickTop="1" thickBot="1" x14ac:dyDescent="0.3">
      <c r="A12" s="16" t="s">
        <v>344</v>
      </c>
      <c r="B12" s="16">
        <v>250.99</v>
      </c>
      <c r="C12" s="16">
        <f t="shared" si="0"/>
        <v>2</v>
      </c>
      <c r="D12" s="16" t="s">
        <v>316</v>
      </c>
      <c r="E12" s="10">
        <f t="shared" si="1"/>
        <v>11554.199728043341</v>
      </c>
      <c r="F12" s="16">
        <f t="shared" si="2"/>
        <v>6</v>
      </c>
      <c r="G12" s="3">
        <f t="shared" si="3"/>
        <v>17.5</v>
      </c>
      <c r="H12" s="4">
        <f t="shared" si="4"/>
        <v>1.25</v>
      </c>
      <c r="I12" s="11">
        <f t="shared" si="5"/>
        <v>6.537581245291749</v>
      </c>
      <c r="J12" s="11">
        <f t="shared" si="6"/>
        <v>20.197326119552194</v>
      </c>
      <c r="K12" s="5">
        <f t="shared" si="7"/>
        <v>12</v>
      </c>
      <c r="L12" s="11">
        <f t="shared" si="8"/>
        <v>682.77131748394186</v>
      </c>
      <c r="M12" s="11">
        <f t="shared" si="9"/>
        <v>7.0000882150602394E-3</v>
      </c>
      <c r="N12" s="11">
        <f t="shared" si="10"/>
        <v>97537.530457830988</v>
      </c>
      <c r="O12" s="5">
        <f t="shared" si="11"/>
        <v>32.200000000000003</v>
      </c>
      <c r="P12" s="5">
        <f t="shared" si="12"/>
        <v>6.83</v>
      </c>
      <c r="Q12" s="5">
        <f t="shared" si="13"/>
        <v>9.76</v>
      </c>
      <c r="R12" s="5">
        <f t="shared" si="14"/>
        <v>1.3</v>
      </c>
    </row>
    <row r="13" spans="1:18" ht="16.5" thickTop="1" thickBot="1" x14ac:dyDescent="0.3">
      <c r="A13" s="16" t="s">
        <v>345</v>
      </c>
      <c r="B13" s="16">
        <v>1000.99</v>
      </c>
      <c r="C13" s="16">
        <f t="shared" si="0"/>
        <v>3.5</v>
      </c>
      <c r="D13" s="16" t="s">
        <v>316</v>
      </c>
      <c r="E13" s="10">
        <f t="shared" si="1"/>
        <v>35883.909900497274</v>
      </c>
      <c r="F13" s="16">
        <f t="shared" si="2"/>
        <v>9.5</v>
      </c>
      <c r="G13" s="3">
        <f t="shared" si="3"/>
        <v>29.5</v>
      </c>
      <c r="H13" s="4">
        <f t="shared" si="4"/>
        <v>1.55</v>
      </c>
      <c r="I13" s="11">
        <f t="shared" si="5"/>
        <v>8.3605451278412701</v>
      </c>
      <c r="J13" s="11">
        <f t="shared" si="6"/>
        <v>32.371109151422097</v>
      </c>
      <c r="K13" s="5">
        <f t="shared" si="7"/>
        <v>19</v>
      </c>
      <c r="L13" s="11">
        <f t="shared" si="8"/>
        <v>1981.5188837028318</v>
      </c>
      <c r="M13" s="11">
        <f t="shared" si="9"/>
        <v>1.2305488900901895E-2</v>
      </c>
      <c r="N13" s="11">
        <f t="shared" si="10"/>
        <v>161027.23749217327</v>
      </c>
      <c r="O13" s="5">
        <f t="shared" si="11"/>
        <v>56.9</v>
      </c>
      <c r="P13" s="5">
        <f t="shared" si="12"/>
        <v>19.82</v>
      </c>
      <c r="Q13" s="5">
        <f t="shared" si="13"/>
        <v>16.110000000000003</v>
      </c>
      <c r="R13" s="5">
        <f t="shared" si="14"/>
        <v>1.6500000000000001</v>
      </c>
    </row>
    <row r="14" spans="1:18" ht="16.5" thickTop="1" thickBot="1" x14ac:dyDescent="0.3">
      <c r="A14" s="16" t="s">
        <v>346</v>
      </c>
      <c r="B14" s="16">
        <v>5000.99</v>
      </c>
      <c r="C14" s="16">
        <f t="shared" si="0"/>
        <v>5</v>
      </c>
      <c r="D14" s="16" t="s">
        <v>316</v>
      </c>
      <c r="E14" s="10">
        <f t="shared" si="1"/>
        <v>134253.93748103816</v>
      </c>
      <c r="F14" s="16">
        <f t="shared" si="2"/>
        <v>17</v>
      </c>
      <c r="G14" s="3">
        <f t="shared" si="3"/>
        <v>55</v>
      </c>
      <c r="H14" s="4">
        <f t="shared" si="4"/>
        <v>2.0500000000000003</v>
      </c>
      <c r="I14" s="11">
        <f t="shared" si="5"/>
        <v>11.128851367393436</v>
      </c>
      <c r="J14" s="11">
        <f t="shared" si="6"/>
        <v>56.025937245182128</v>
      </c>
      <c r="K14" s="5">
        <f t="shared" si="7"/>
        <v>34</v>
      </c>
      <c r="L14" s="11">
        <f t="shared" si="8"/>
        <v>6985.7184482250977</v>
      </c>
      <c r="M14" s="11">
        <f t="shared" si="9"/>
        <v>2.3713663707417103E-2</v>
      </c>
      <c r="N14" s="11">
        <f t="shared" si="10"/>
        <v>294586.21554290329</v>
      </c>
      <c r="O14" s="5">
        <f t="shared" si="11"/>
        <v>113.1</v>
      </c>
      <c r="P14" s="5">
        <f t="shared" si="12"/>
        <v>69.86</v>
      </c>
      <c r="Q14" s="5">
        <f t="shared" si="13"/>
        <v>29.46</v>
      </c>
      <c r="R14" s="5">
        <f t="shared" si="14"/>
        <v>2.3000000000000003</v>
      </c>
    </row>
    <row r="15" spans="1:18" ht="16.5" thickTop="1" thickBot="1" x14ac:dyDescent="0.3">
      <c r="A15" s="16" t="s">
        <v>347</v>
      </c>
      <c r="B15" s="16">
        <v>2.99</v>
      </c>
      <c r="C15" s="16">
        <f t="shared" si="0"/>
        <v>0.2</v>
      </c>
      <c r="D15" t="s">
        <v>317</v>
      </c>
      <c r="E15" s="10">
        <f t="shared" si="1"/>
        <v>1748.6653218427746</v>
      </c>
      <c r="F15" s="16">
        <f t="shared" si="2"/>
        <v>1</v>
      </c>
      <c r="G15" s="3">
        <f t="shared" si="3"/>
        <v>4.5</v>
      </c>
      <c r="H15" s="4">
        <f t="shared" si="4"/>
        <v>0.70000000000000007</v>
      </c>
      <c r="I15" s="11">
        <f t="shared" si="5"/>
        <v>2.9739422108728699</v>
      </c>
      <c r="J15" s="11">
        <f t="shared" si="6"/>
        <v>4.4587683987293101</v>
      </c>
      <c r="K15" s="5">
        <f t="shared" si="7"/>
        <v>1</v>
      </c>
      <c r="L15" s="11">
        <f t="shared" si="8"/>
        <v>52.646960922215328</v>
      </c>
      <c r="M15" s="11">
        <f t="shared" si="9"/>
        <v>1.1494824266320282E-3</v>
      </c>
      <c r="N15" s="11">
        <f t="shared" si="10"/>
        <v>45800.579201954737</v>
      </c>
      <c r="O15" s="5">
        <f t="shared" si="11"/>
        <v>6.1999999999999993</v>
      </c>
      <c r="P15" s="5">
        <f t="shared" si="12"/>
        <v>0.53</v>
      </c>
      <c r="Q15" s="5">
        <f t="shared" si="13"/>
        <v>4.59</v>
      </c>
      <c r="R15" s="5">
        <f t="shared" si="14"/>
        <v>0.85000000000000009</v>
      </c>
    </row>
    <row r="16" spans="1:18" ht="16.5" thickTop="1" thickBot="1" x14ac:dyDescent="0.3">
      <c r="A16" s="16" t="s">
        <v>348</v>
      </c>
      <c r="B16" s="16">
        <v>24.99</v>
      </c>
      <c r="C16" s="16">
        <f t="shared" si="0"/>
        <v>0.5</v>
      </c>
      <c r="D16" s="16" t="s">
        <v>317</v>
      </c>
      <c r="E16" s="10">
        <f t="shared" si="1"/>
        <v>8652.1653772390491</v>
      </c>
      <c r="F16" s="16">
        <f t="shared" si="2"/>
        <v>2.5</v>
      </c>
      <c r="G16" s="3">
        <f t="shared" si="3"/>
        <v>10</v>
      </c>
      <c r="H16" s="4">
        <f t="shared" si="4"/>
        <v>1</v>
      </c>
      <c r="I16" s="11">
        <f t="shared" si="5"/>
        <v>4.3379149029385751</v>
      </c>
      <c r="J16" s="11">
        <f t="shared" si="6"/>
        <v>9.1970666240683077</v>
      </c>
      <c r="K16" s="5">
        <f t="shared" si="7"/>
        <v>3</v>
      </c>
      <c r="L16" s="11">
        <f t="shared" si="8"/>
        <v>270.51674955007877</v>
      </c>
      <c r="M16" s="11">
        <f t="shared" si="9"/>
        <v>2.7323271955107848E-3</v>
      </c>
      <c r="N16" s="11">
        <f t="shared" si="10"/>
        <v>99005.986543097024</v>
      </c>
      <c r="O16" s="5">
        <f t="shared" si="11"/>
        <v>15.7</v>
      </c>
      <c r="P16" s="5">
        <f t="shared" si="12"/>
        <v>2.71</v>
      </c>
      <c r="Q16" s="5">
        <f t="shared" si="13"/>
        <v>9.91</v>
      </c>
      <c r="R16" s="5">
        <f t="shared" si="14"/>
        <v>1.1000000000000001</v>
      </c>
    </row>
    <row r="17" spans="1:18" ht="16.5" thickTop="1" thickBot="1" x14ac:dyDescent="0.3">
      <c r="A17" s="16" t="s">
        <v>349</v>
      </c>
      <c r="B17" s="16">
        <v>70.989999999999995</v>
      </c>
      <c r="C17" s="16">
        <f t="shared" si="0"/>
        <v>1</v>
      </c>
      <c r="D17" s="16" t="s">
        <v>317</v>
      </c>
      <c r="E17" s="10">
        <f t="shared" si="1"/>
        <v>19019.683089976454</v>
      </c>
      <c r="F17" s="16">
        <f t="shared" si="2"/>
        <v>3.5</v>
      </c>
      <c r="G17" s="3">
        <f t="shared" si="3"/>
        <v>15.5</v>
      </c>
      <c r="H17" s="4">
        <f t="shared" si="4"/>
        <v>1.2000000000000002</v>
      </c>
      <c r="I17" s="11">
        <f t="shared" si="5"/>
        <v>5.2227717431078098</v>
      </c>
      <c r="J17" s="11">
        <f t="shared" si="6"/>
        <v>13.130137566554833</v>
      </c>
      <c r="K17" s="5">
        <f t="shared" si="7"/>
        <v>4</v>
      </c>
      <c r="L17" s="11">
        <f t="shared" si="8"/>
        <v>608.47173718414092</v>
      </c>
      <c r="M17" s="11">
        <f t="shared" si="9"/>
        <v>4.1825566699075214E-3</v>
      </c>
      <c r="N17" s="11">
        <f t="shared" si="10"/>
        <v>145478.42030735582</v>
      </c>
      <c r="O17" s="5">
        <f t="shared" si="11"/>
        <v>23.700000000000003</v>
      </c>
      <c r="P17" s="5">
        <f t="shared" si="12"/>
        <v>6.09</v>
      </c>
      <c r="Q17" s="5">
        <f t="shared" si="13"/>
        <v>14.549999999999999</v>
      </c>
      <c r="R17" s="5">
        <f t="shared" si="14"/>
        <v>1.3</v>
      </c>
    </row>
    <row r="18" spans="1:18" ht="16.5" thickTop="1" thickBot="1" x14ac:dyDescent="0.3">
      <c r="A18" s="16" t="s">
        <v>350</v>
      </c>
      <c r="B18" s="16">
        <v>250.99</v>
      </c>
      <c r="C18" s="16">
        <f t="shared" si="0"/>
        <v>2</v>
      </c>
      <c r="D18" s="16" t="s">
        <v>317</v>
      </c>
      <c r="E18" s="10">
        <f t="shared" si="1"/>
        <v>49382.555829334146</v>
      </c>
      <c r="F18" s="16">
        <f t="shared" si="2"/>
        <v>6</v>
      </c>
      <c r="G18" s="3">
        <f t="shared" si="3"/>
        <v>26.5</v>
      </c>
      <c r="H18" s="4">
        <f t="shared" si="4"/>
        <v>1.5</v>
      </c>
      <c r="I18" s="11">
        <f t="shared" si="5"/>
        <v>6.537581245291749</v>
      </c>
      <c r="J18" s="11">
        <f t="shared" si="6"/>
        <v>20.197326119552194</v>
      </c>
      <c r="K18" s="5">
        <f t="shared" si="7"/>
        <v>6</v>
      </c>
      <c r="L18" s="11">
        <f t="shared" si="8"/>
        <v>1630.3385932507751</v>
      </c>
      <c r="M18" s="11">
        <f t="shared" si="9"/>
        <v>7.0000882150602394E-3</v>
      </c>
      <c r="N18" s="11">
        <f t="shared" si="10"/>
        <v>232902.57824797215</v>
      </c>
      <c r="O18" s="5">
        <f t="shared" si="11"/>
        <v>39.800000000000004</v>
      </c>
      <c r="P18" s="5">
        <f t="shared" si="12"/>
        <v>16.310000000000002</v>
      </c>
      <c r="Q18" s="5">
        <f t="shared" si="13"/>
        <v>23.3</v>
      </c>
      <c r="R18" s="5">
        <f t="shared" si="14"/>
        <v>1.6</v>
      </c>
    </row>
    <row r="19" spans="1:18" ht="16.5" thickTop="1" thickBot="1" x14ac:dyDescent="0.3">
      <c r="A19" s="16" t="s">
        <v>351</v>
      </c>
      <c r="B19" s="16">
        <v>1000.99</v>
      </c>
      <c r="C19" s="16">
        <f t="shared" si="0"/>
        <v>3.5</v>
      </c>
      <c r="D19" s="16" t="s">
        <v>317</v>
      </c>
      <c r="E19" s="10">
        <f t="shared" si="1"/>
        <v>140701.35661001847</v>
      </c>
      <c r="F19" s="16">
        <f t="shared" si="2"/>
        <v>9.5</v>
      </c>
      <c r="G19" s="3">
        <f t="shared" si="3"/>
        <v>46.5</v>
      </c>
      <c r="H19" s="4">
        <f t="shared" si="4"/>
        <v>1.9000000000000001</v>
      </c>
      <c r="I19" s="11">
        <f t="shared" si="5"/>
        <v>8.3605451278412701</v>
      </c>
      <c r="J19" s="11">
        <f t="shared" si="6"/>
        <v>32.371109151422097</v>
      </c>
      <c r="K19" s="5">
        <f t="shared" si="7"/>
        <v>10</v>
      </c>
      <c r="L19" s="11">
        <f t="shared" si="8"/>
        <v>4829.6508046696345</v>
      </c>
      <c r="M19" s="11">
        <f t="shared" si="9"/>
        <v>1.2305488900901895E-2</v>
      </c>
      <c r="N19" s="11">
        <f t="shared" si="10"/>
        <v>392479.39220973651</v>
      </c>
      <c r="O19" s="5">
        <f t="shared" si="11"/>
        <v>71.899999999999991</v>
      </c>
      <c r="P19" s="5">
        <f t="shared" si="12"/>
        <v>48.3</v>
      </c>
      <c r="Q19" s="5">
        <f t="shared" si="13"/>
        <v>39.25</v>
      </c>
      <c r="R19" s="5">
        <f t="shared" si="14"/>
        <v>2.0500000000000003</v>
      </c>
    </row>
    <row r="20" spans="1:18" ht="16.5" thickTop="1" thickBot="1" x14ac:dyDescent="0.3">
      <c r="A20" s="16" t="s">
        <v>352</v>
      </c>
      <c r="B20" s="16">
        <v>5000.99</v>
      </c>
      <c r="C20" s="16">
        <f t="shared" si="0"/>
        <v>5</v>
      </c>
      <c r="D20" s="16" t="s">
        <v>317</v>
      </c>
      <c r="E20" s="10">
        <f t="shared" si="1"/>
        <v>476762.71526622033</v>
      </c>
      <c r="F20" s="16">
        <f t="shared" si="2"/>
        <v>17</v>
      </c>
      <c r="G20" s="3">
        <f t="shared" si="3"/>
        <v>91</v>
      </c>
      <c r="H20" s="4">
        <f t="shared" si="4"/>
        <v>2.4500000000000002</v>
      </c>
      <c r="I20" s="11">
        <f t="shared" si="5"/>
        <v>11.128851367393436</v>
      </c>
      <c r="J20" s="11">
        <f t="shared" si="6"/>
        <v>56.025937245182128</v>
      </c>
      <c r="K20" s="5">
        <f t="shared" si="7"/>
        <v>17</v>
      </c>
      <c r="L20" s="11">
        <f t="shared" si="8"/>
        <v>17218.933787983096</v>
      </c>
      <c r="M20" s="11">
        <f t="shared" si="9"/>
        <v>2.3713663707417103E-2</v>
      </c>
      <c r="N20" s="11">
        <f t="shared" si="10"/>
        <v>726118.66308104049</v>
      </c>
      <c r="O20" s="5">
        <f t="shared" si="11"/>
        <v>142</v>
      </c>
      <c r="P20" s="5">
        <f t="shared" si="12"/>
        <v>172.19</v>
      </c>
      <c r="Q20" s="5">
        <f>IF(D20="Arm","No",ROUNDUP(N20/10000,2))</f>
        <v>72.62</v>
      </c>
      <c r="R20" s="5">
        <f t="shared" si="14"/>
        <v>3.1</v>
      </c>
    </row>
    <row r="21" spans="1:18" ht="16.5" thickTop="1" thickBot="1" x14ac:dyDescent="0.3">
      <c r="A21" s="50" t="s">
        <v>323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</row>
    <row r="22" spans="1:18" ht="16.5" thickTop="1" thickBot="1" x14ac:dyDescent="0.3">
      <c r="A22" s="16" t="s">
        <v>318</v>
      </c>
      <c r="B22" s="16" t="s">
        <v>320</v>
      </c>
      <c r="C22" s="16" t="s">
        <v>319</v>
      </c>
      <c r="D22" s="16" t="s">
        <v>314</v>
      </c>
      <c r="E22" s="16" t="s">
        <v>248</v>
      </c>
      <c r="F22" s="16" t="s">
        <v>321</v>
      </c>
      <c r="G22" s="3" t="s">
        <v>312</v>
      </c>
      <c r="H22" s="4" t="s">
        <v>313</v>
      </c>
      <c r="I22" s="16" t="s">
        <v>328</v>
      </c>
      <c r="J22" s="16" t="s">
        <v>330</v>
      </c>
      <c r="K22" s="16" t="s">
        <v>327</v>
      </c>
      <c r="L22" s="16" t="s">
        <v>326</v>
      </c>
      <c r="M22" s="16" t="s">
        <v>325</v>
      </c>
      <c r="N22" s="16" t="s">
        <v>329</v>
      </c>
      <c r="O22" s="3" t="s">
        <v>324</v>
      </c>
      <c r="P22" s="1" t="s">
        <v>333</v>
      </c>
      <c r="Q22" s="1" t="s">
        <v>332</v>
      </c>
      <c r="R22" s="4" t="s">
        <v>331</v>
      </c>
    </row>
    <row r="23" spans="1:18" ht="16.5" thickTop="1" thickBot="1" x14ac:dyDescent="0.3">
      <c r="A23" s="16" t="s">
        <v>353</v>
      </c>
      <c r="B23" s="16">
        <v>2.99</v>
      </c>
      <c r="C23" s="16">
        <f t="shared" ref="C23:C34" si="15">IF(B23&lt;0.4,0.1,IF(B23&lt;1,0.15,IF(B23&lt;3,0.2,IF(B23&lt;5,0.25,IF(B23&lt;7,0.3,IF(B23&lt;10,0.35,IF(B23&lt;15,0.4,IF(B23&lt;20,0.45,IF(B23&lt;25,0.5,IF(B23&lt;30,0.55,IF(B23&lt;35,0.6,IF(B23&lt;40,0.65,IF(B23&lt;45,0.7,IF(B23&lt;50,0.75,IF(B23&lt;55,0.8,IF(B23&lt;60,0.85,IF(B23&lt;65,0.9,IF(B23&lt;71,1,IF(B23&lt;75,1.05,IF(B23&lt;0.8,1.1,IF(B23&lt;95,1.15,IF(B23&lt;100,1.2,IF(B23&lt;121,1.25,IF(B23&lt;151,1.5,IF(B23&lt;201,1.75,IF(B23&lt;251,2,IF(B23&lt;301,2.25,IF(B23&lt;351,2.5,IF(B23&lt;401,2.75,IF(B23&lt;601,3,IF(B23&lt;801,3.25,IF(B23&lt;1001,3.5,IF(B23&lt;2001,3.75,IF(B23&lt;4001,4,IF(B23&lt;5001,5,6)))))))))))))))))))))))))))))))))))</f>
        <v>0.2</v>
      </c>
      <c r="D23" s="16" t="s">
        <v>315</v>
      </c>
      <c r="E23" s="10">
        <f>EXP(0.8447*LN(B23)+3.996)+IF(D23="Jaw",EXP(0.7444*LN(B23)+6.5696),EXP(0.7927*LN(B23)+4.28))*1.2</f>
        <v>343.71448543715951</v>
      </c>
      <c r="F23" s="16">
        <f>MROUND((EXP(0.3582*LN(B23)-0.2221)),0.5)</f>
        <v>1</v>
      </c>
      <c r="G23" s="3">
        <f>MROUND(LOG10(E23)*(C23^0.5)+((E23)/1000)^(2/3)+0.5+F23,0.5)</f>
        <v>3</v>
      </c>
      <c r="H23" s="4">
        <f>MROUND(IF(D23="Jaw",0.6,0.5)*B23^0.165,0.05)</f>
        <v>0.60000000000000009</v>
      </c>
      <c r="I23" s="11">
        <f>2.4477*B23^0.1778</f>
        <v>2.9739422108728699</v>
      </c>
      <c r="J23" s="11">
        <f>B23*(3.0691*B23^-0.659)</f>
        <v>4.4587683987293101</v>
      </c>
      <c r="K23" s="5">
        <f>MROUND(EXP(0.3582*LN(B23)-0.2221)*IF(D23="Jaw",1,2),1)</f>
        <v>2</v>
      </c>
      <c r="L23" s="11">
        <f>(1/2*J23*I23^2)+EXP(1.076*LN(E23)-4.5397)</f>
        <v>25.437232640837149</v>
      </c>
      <c r="M23" s="11">
        <f>IF(D23="Arm",AVERAGE(EXP(-0.57+0.99*LN(B23)),EXP(0.32+0.67*LN(B23))),(0.7354*B23^0.4078)/1000)</f>
        <v>2.2705639538482956</v>
      </c>
      <c r="N23" s="11">
        <f>L23/M23</f>
        <v>11.203046096862639</v>
      </c>
      <c r="O23" s="5">
        <f>IF(D23="Arm",ROUNDUP((N23 * M23)^0.9 / 21+0.5, 1),ROUNDUP((K23^0.4*L23^0.73)^0.6+0.5,1))</f>
        <v>1.4000000000000001</v>
      </c>
      <c r="P23" s="5">
        <f>MAX(ROUNDUP(L23*0.01,2),0.001)</f>
        <v>0.26</v>
      </c>
      <c r="Q23" s="5" t="str">
        <f>IF(D23="Arm","No",ROUNDUP(N23/10000,2))</f>
        <v>No</v>
      </c>
      <c r="R23" s="5">
        <f>MROUND((J23/5)^0.25/((IF(D23="Jaw",20,23)-I23)*10)*150,0.05)</f>
        <v>0.75</v>
      </c>
    </row>
    <row r="24" spans="1:18" ht="16.5" thickTop="1" thickBot="1" x14ac:dyDescent="0.3">
      <c r="A24" s="16" t="s">
        <v>354</v>
      </c>
      <c r="B24" s="16">
        <v>24.99</v>
      </c>
      <c r="C24" s="16">
        <f t="shared" si="15"/>
        <v>0.5</v>
      </c>
      <c r="D24" s="16" t="s">
        <v>315</v>
      </c>
      <c r="E24" s="10">
        <f t="shared" ref="E24:E34" si="16">EXP(0.8447*LN(B24)+3.996)+IF(D24="Jaw",EXP(0.7444*LN(B24)+6.5696),EXP(0.7927*LN(B24)+4.28))*1.2</f>
        <v>1936.0496009905607</v>
      </c>
      <c r="F24" s="16">
        <f t="shared" ref="F24:F34" si="17">MROUND((EXP(0.3582*LN(B24)-0.2221)),0.5)</f>
        <v>2.5</v>
      </c>
      <c r="G24" s="3">
        <f t="shared" ref="G24:G34" si="18">MROUND(LOG10(E24)*(C24^0.5)+((E24)/1000)^(2/3)+0.5+F24,0.5)</f>
        <v>7</v>
      </c>
      <c r="H24" s="4">
        <f t="shared" ref="H24:H34" si="19">MROUND(IF(D24="Jaw",0.6,0.5)*B24^0.165,0.05)</f>
        <v>0.85000000000000009</v>
      </c>
      <c r="I24" s="11">
        <f t="shared" ref="I24:I34" si="20">2.4477*B24^0.1778</f>
        <v>4.3379149029385751</v>
      </c>
      <c r="J24" s="11">
        <f t="shared" ref="J24:J34" si="21">B24*(3.0691*B24^-0.659)</f>
        <v>9.1970666240683077</v>
      </c>
      <c r="K24" s="5">
        <f t="shared" ref="K24:K34" si="22">MROUND(EXP(0.3582*LN(B24)-0.2221)*IF(D24="Jaw",1,2),1)</f>
        <v>5</v>
      </c>
      <c r="L24" s="11">
        <f t="shared" ref="L24:L34" si="23">(1/2*J24*I24^2)+EXP(1.076*LN(E24)-4.5397)</f>
        <v>123.27430753287729</v>
      </c>
      <c r="M24" s="11">
        <f t="shared" ref="M24:M34" si="24">IF(D24="Arm",AVERAGE(EXP(-0.57+0.99*LN(B24)),EXP(0.32+0.67*LN(B24))),(0.7354*B24^0.4078)/1000)</f>
        <v>12.791486140024139</v>
      </c>
      <c r="N24" s="11">
        <f t="shared" ref="N24:N34" si="25">L24/M24</f>
        <v>9.6372154246531245</v>
      </c>
      <c r="O24" s="5">
        <f t="shared" ref="O24:O34" si="26">IF(D24="Arm",ROUNDUP((N24 * M24)^0.9 / 21+0.5, 1),ROUNDUP((K24^0.4*L24^0.73)^0.6+0.5,1))</f>
        <v>4.1999999999999993</v>
      </c>
      <c r="P24" s="5">
        <f t="shared" ref="P24:P34" si="27">MAX(ROUNDUP(L24*0.01,2),0.001)</f>
        <v>1.24</v>
      </c>
      <c r="Q24" s="5" t="str">
        <f t="shared" ref="Q24:Q34" si="28">IF(D24="Arm","No",ROUNDUP(N24/10000,2))</f>
        <v>No</v>
      </c>
      <c r="R24" s="5">
        <f t="shared" ref="R24:R34" si="29">MROUND((J24/5)^0.25/((IF(D24="Jaw",20,23)-I24)*10)*150,0.05)</f>
        <v>0.95000000000000007</v>
      </c>
    </row>
    <row r="25" spans="1:18" ht="16.5" thickTop="1" thickBot="1" x14ac:dyDescent="0.3">
      <c r="A25" s="16" t="s">
        <v>355</v>
      </c>
      <c r="B25" s="16">
        <v>70.989999999999995</v>
      </c>
      <c r="C25" s="16">
        <f t="shared" si="15"/>
        <v>1</v>
      </c>
      <c r="D25" s="16" t="s">
        <v>315</v>
      </c>
      <c r="E25" s="10">
        <f t="shared" si="16"/>
        <v>4534.6943537885663</v>
      </c>
      <c r="F25" s="16">
        <f t="shared" si="17"/>
        <v>3.5</v>
      </c>
      <c r="G25" s="3">
        <f t="shared" si="18"/>
        <v>10.5</v>
      </c>
      <c r="H25" s="4">
        <f t="shared" si="19"/>
        <v>1</v>
      </c>
      <c r="I25" s="11">
        <f t="shared" si="20"/>
        <v>5.2227717431078098</v>
      </c>
      <c r="J25" s="11">
        <f t="shared" si="21"/>
        <v>13.130137566554833</v>
      </c>
      <c r="K25" s="5">
        <f t="shared" si="22"/>
        <v>7</v>
      </c>
      <c r="L25" s="11">
        <f t="shared" si="23"/>
        <v>270.88532350575446</v>
      </c>
      <c r="M25" s="11">
        <f t="shared" si="24"/>
        <v>31.209867160537627</v>
      </c>
      <c r="N25" s="11">
        <f t="shared" si="25"/>
        <v>8.679476977981734</v>
      </c>
      <c r="O25" s="5">
        <f t="shared" si="26"/>
        <v>7.8999999999999995</v>
      </c>
      <c r="P25" s="5">
        <f t="shared" si="27"/>
        <v>2.71</v>
      </c>
      <c r="Q25" s="5" t="str">
        <f t="shared" si="28"/>
        <v>No</v>
      </c>
      <c r="R25" s="5">
        <f t="shared" si="29"/>
        <v>1.05</v>
      </c>
    </row>
    <row r="26" spans="1:18" ht="16.5" thickTop="1" thickBot="1" x14ac:dyDescent="0.3">
      <c r="A26" s="16" t="s">
        <v>356</v>
      </c>
      <c r="B26" s="16">
        <v>250.99</v>
      </c>
      <c r="C26" s="16">
        <f t="shared" si="15"/>
        <v>2</v>
      </c>
      <c r="D26" s="16" t="s">
        <v>315</v>
      </c>
      <c r="E26" s="10">
        <f t="shared" si="16"/>
        <v>12707.700849821962</v>
      </c>
      <c r="F26" s="16">
        <f t="shared" si="17"/>
        <v>6</v>
      </c>
      <c r="G26" s="3">
        <f t="shared" si="18"/>
        <v>17.5</v>
      </c>
      <c r="H26" s="4">
        <f t="shared" si="19"/>
        <v>1.25</v>
      </c>
      <c r="I26" s="11">
        <f t="shared" si="20"/>
        <v>6.537581245291749</v>
      </c>
      <c r="J26" s="11">
        <f t="shared" si="21"/>
        <v>20.197326119552194</v>
      </c>
      <c r="K26" s="5">
        <f t="shared" si="22"/>
        <v>12</v>
      </c>
      <c r="L26" s="11">
        <f t="shared" si="23"/>
        <v>709.85003816666949</v>
      </c>
      <c r="M26" s="11">
        <f t="shared" si="24"/>
        <v>95.062621465803645</v>
      </c>
      <c r="N26" s="11">
        <f t="shared" si="25"/>
        <v>7.467183496743985</v>
      </c>
      <c r="O26" s="5">
        <f t="shared" si="26"/>
        <v>18.100000000000001</v>
      </c>
      <c r="P26" s="5">
        <f t="shared" si="27"/>
        <v>7.1</v>
      </c>
      <c r="Q26" s="5" t="str">
        <f t="shared" si="28"/>
        <v>No</v>
      </c>
      <c r="R26" s="5">
        <f t="shared" si="29"/>
        <v>1.3</v>
      </c>
    </row>
    <row r="27" spans="1:18" ht="16.5" thickTop="1" thickBot="1" x14ac:dyDescent="0.3">
      <c r="A27" s="16" t="s">
        <v>357</v>
      </c>
      <c r="B27" s="16">
        <v>1000.99</v>
      </c>
      <c r="C27" s="16">
        <f t="shared" si="15"/>
        <v>3.5</v>
      </c>
      <c r="D27" s="16" t="s">
        <v>315</v>
      </c>
      <c r="E27" s="10">
        <f t="shared" si="16"/>
        <v>39337.342880729288</v>
      </c>
      <c r="F27" s="16">
        <f t="shared" si="17"/>
        <v>9.5</v>
      </c>
      <c r="G27" s="3">
        <f t="shared" si="18"/>
        <v>30</v>
      </c>
      <c r="H27" s="4">
        <f t="shared" si="19"/>
        <v>1.55</v>
      </c>
      <c r="I27" s="11">
        <f t="shared" si="20"/>
        <v>8.3605451278412701</v>
      </c>
      <c r="J27" s="11">
        <f t="shared" si="21"/>
        <v>32.371109151422097</v>
      </c>
      <c r="K27" s="5">
        <f t="shared" si="22"/>
        <v>19</v>
      </c>
      <c r="L27" s="11">
        <f t="shared" si="23"/>
        <v>2069.8694885224704</v>
      </c>
      <c r="M27" s="11">
        <f t="shared" si="24"/>
        <v>334.6551489759421</v>
      </c>
      <c r="N27" s="11">
        <f t="shared" si="25"/>
        <v>6.1850818517400743</v>
      </c>
      <c r="O27" s="5">
        <f t="shared" si="26"/>
        <v>46.5</v>
      </c>
      <c r="P27" s="5">
        <f t="shared" si="27"/>
        <v>20.700000000000003</v>
      </c>
      <c r="Q27" s="5" t="str">
        <f t="shared" si="28"/>
        <v>No</v>
      </c>
      <c r="R27" s="5">
        <f t="shared" si="29"/>
        <v>1.6500000000000001</v>
      </c>
    </row>
    <row r="28" spans="1:18" ht="16.5" thickTop="1" thickBot="1" x14ac:dyDescent="0.3">
      <c r="A28" s="16" t="s">
        <v>358</v>
      </c>
      <c r="B28" s="16">
        <v>5000.99</v>
      </c>
      <c r="C28" s="16">
        <f t="shared" si="15"/>
        <v>5</v>
      </c>
      <c r="D28" s="16" t="s">
        <v>315</v>
      </c>
      <c r="E28" s="10">
        <f t="shared" si="16"/>
        <v>146614.89342128736</v>
      </c>
      <c r="F28" s="16">
        <f t="shared" si="17"/>
        <v>17</v>
      </c>
      <c r="G28" s="3">
        <f t="shared" si="18"/>
        <v>57</v>
      </c>
      <c r="H28" s="4">
        <f t="shared" si="19"/>
        <v>2.0500000000000003</v>
      </c>
      <c r="I28" s="11">
        <f t="shared" si="20"/>
        <v>11.128851367393436</v>
      </c>
      <c r="J28" s="11">
        <f t="shared" si="21"/>
        <v>56.025937245182128</v>
      </c>
      <c r="K28" s="5">
        <f t="shared" si="22"/>
        <v>34</v>
      </c>
      <c r="L28" s="11">
        <f t="shared" si="23"/>
        <v>7335.2575852218906</v>
      </c>
      <c r="M28" s="11">
        <f t="shared" si="24"/>
        <v>1505.7992015730554</v>
      </c>
      <c r="N28" s="11">
        <f t="shared" si="25"/>
        <v>4.8713384743191561</v>
      </c>
      <c r="O28" s="5">
        <f t="shared" si="26"/>
        <v>144</v>
      </c>
      <c r="P28" s="5">
        <f t="shared" si="27"/>
        <v>73.36</v>
      </c>
      <c r="Q28" s="5" t="str">
        <f t="shared" si="28"/>
        <v>No</v>
      </c>
      <c r="R28" s="5">
        <f t="shared" si="29"/>
        <v>2.3000000000000003</v>
      </c>
    </row>
    <row r="29" spans="1:18" ht="16.5" thickTop="1" thickBot="1" x14ac:dyDescent="0.3">
      <c r="A29" s="16" t="s">
        <v>359</v>
      </c>
      <c r="B29" s="16">
        <v>2.99</v>
      </c>
      <c r="C29" s="16">
        <f t="shared" si="15"/>
        <v>0.2</v>
      </c>
      <c r="D29" s="16" t="s">
        <v>316</v>
      </c>
      <c r="E29" s="10">
        <f t="shared" si="16"/>
        <v>343.71448543715951</v>
      </c>
      <c r="F29" s="16">
        <f t="shared" si="17"/>
        <v>1</v>
      </c>
      <c r="G29" s="3">
        <f t="shared" si="18"/>
        <v>3</v>
      </c>
      <c r="H29" s="4">
        <f t="shared" si="19"/>
        <v>0.60000000000000009</v>
      </c>
      <c r="I29" s="11">
        <f t="shared" si="20"/>
        <v>2.9739422108728699</v>
      </c>
      <c r="J29" s="11">
        <f t="shared" si="21"/>
        <v>4.4587683987293101</v>
      </c>
      <c r="K29" s="5">
        <f t="shared" si="22"/>
        <v>2</v>
      </c>
      <c r="L29" s="11">
        <f t="shared" si="23"/>
        <v>25.437232640837149</v>
      </c>
      <c r="M29" s="11">
        <f t="shared" si="24"/>
        <v>1.1494824266320282E-3</v>
      </c>
      <c r="N29" s="11">
        <f t="shared" si="25"/>
        <v>22129.292324518592</v>
      </c>
      <c r="O29" s="5">
        <f t="shared" si="26"/>
        <v>5.3999999999999995</v>
      </c>
      <c r="P29" s="5">
        <f t="shared" si="27"/>
        <v>0.26</v>
      </c>
      <c r="Q29" s="5">
        <f t="shared" si="28"/>
        <v>2.2199999999999998</v>
      </c>
      <c r="R29" s="5">
        <f t="shared" si="29"/>
        <v>0.75</v>
      </c>
    </row>
    <row r="30" spans="1:18" ht="16.5" thickTop="1" thickBot="1" x14ac:dyDescent="0.3">
      <c r="A30" s="16" t="s">
        <v>360</v>
      </c>
      <c r="B30" s="16">
        <v>24.99</v>
      </c>
      <c r="C30" s="16">
        <f t="shared" si="15"/>
        <v>0.5</v>
      </c>
      <c r="D30" s="16" t="s">
        <v>316</v>
      </c>
      <c r="E30" s="10">
        <f t="shared" si="16"/>
        <v>1936.0496009905607</v>
      </c>
      <c r="F30" s="16">
        <f t="shared" si="17"/>
        <v>2.5</v>
      </c>
      <c r="G30" s="3">
        <f t="shared" si="18"/>
        <v>7</v>
      </c>
      <c r="H30" s="4">
        <f t="shared" si="19"/>
        <v>0.85000000000000009</v>
      </c>
      <c r="I30" s="11">
        <f t="shared" si="20"/>
        <v>4.3379149029385751</v>
      </c>
      <c r="J30" s="11">
        <f t="shared" si="21"/>
        <v>9.1970666240683077</v>
      </c>
      <c r="K30" s="5">
        <f t="shared" si="22"/>
        <v>5</v>
      </c>
      <c r="L30" s="11">
        <f t="shared" si="23"/>
        <v>123.27430753287729</v>
      </c>
      <c r="M30" s="11">
        <f t="shared" si="24"/>
        <v>2.7323271955107848E-3</v>
      </c>
      <c r="N30" s="11">
        <f t="shared" si="25"/>
        <v>45116.963932949555</v>
      </c>
      <c r="O30" s="5">
        <f t="shared" si="26"/>
        <v>12.7</v>
      </c>
      <c r="P30" s="5">
        <f t="shared" si="27"/>
        <v>1.24</v>
      </c>
      <c r="Q30" s="5">
        <f t="shared" si="28"/>
        <v>4.5199999999999996</v>
      </c>
      <c r="R30" s="5">
        <f t="shared" si="29"/>
        <v>0.95000000000000007</v>
      </c>
    </row>
    <row r="31" spans="1:18" ht="16.5" thickTop="1" thickBot="1" x14ac:dyDescent="0.3">
      <c r="A31" s="16" t="s">
        <v>361</v>
      </c>
      <c r="B31" s="16">
        <v>70.989999999999995</v>
      </c>
      <c r="C31" s="16">
        <f t="shared" si="15"/>
        <v>1</v>
      </c>
      <c r="D31" s="16" t="s">
        <v>316</v>
      </c>
      <c r="E31" s="10">
        <f t="shared" si="16"/>
        <v>4534.6943537885663</v>
      </c>
      <c r="F31" s="16">
        <f t="shared" si="17"/>
        <v>3.5</v>
      </c>
      <c r="G31" s="3">
        <f t="shared" si="18"/>
        <v>10.5</v>
      </c>
      <c r="H31" s="4">
        <f t="shared" si="19"/>
        <v>1</v>
      </c>
      <c r="I31" s="11">
        <f t="shared" si="20"/>
        <v>5.2227717431078098</v>
      </c>
      <c r="J31" s="11">
        <f t="shared" si="21"/>
        <v>13.130137566554833</v>
      </c>
      <c r="K31" s="5">
        <f t="shared" si="22"/>
        <v>7</v>
      </c>
      <c r="L31" s="11">
        <f t="shared" si="23"/>
        <v>270.88532350575446</v>
      </c>
      <c r="M31" s="11">
        <f t="shared" si="24"/>
        <v>4.1825566699075214E-3</v>
      </c>
      <c r="N31" s="11">
        <f t="shared" si="25"/>
        <v>64765.487926250593</v>
      </c>
      <c r="O31" s="5">
        <f t="shared" si="26"/>
        <v>19.100000000000001</v>
      </c>
      <c r="P31" s="5">
        <f t="shared" si="27"/>
        <v>2.71</v>
      </c>
      <c r="Q31" s="5">
        <f t="shared" si="28"/>
        <v>6.4799999999999995</v>
      </c>
      <c r="R31" s="5">
        <f t="shared" si="29"/>
        <v>1.05</v>
      </c>
    </row>
    <row r="32" spans="1:18" ht="16.5" thickTop="1" thickBot="1" x14ac:dyDescent="0.3">
      <c r="A32" s="16" t="s">
        <v>362</v>
      </c>
      <c r="B32" s="16">
        <v>250.99</v>
      </c>
      <c r="C32" s="16">
        <f t="shared" si="15"/>
        <v>2</v>
      </c>
      <c r="D32" s="16" t="s">
        <v>316</v>
      </c>
      <c r="E32" s="10">
        <f t="shared" si="16"/>
        <v>12707.700849821962</v>
      </c>
      <c r="F32" s="16">
        <f t="shared" si="17"/>
        <v>6</v>
      </c>
      <c r="G32" s="3">
        <f t="shared" si="18"/>
        <v>17.5</v>
      </c>
      <c r="H32" s="4">
        <f t="shared" si="19"/>
        <v>1.25</v>
      </c>
      <c r="I32" s="11">
        <f t="shared" si="20"/>
        <v>6.537581245291749</v>
      </c>
      <c r="J32" s="11">
        <f t="shared" si="21"/>
        <v>20.197326119552194</v>
      </c>
      <c r="K32" s="5">
        <f t="shared" si="22"/>
        <v>12</v>
      </c>
      <c r="L32" s="11">
        <f t="shared" si="23"/>
        <v>709.85003816666949</v>
      </c>
      <c r="M32" s="11">
        <f t="shared" si="24"/>
        <v>7.0000882150602394E-3</v>
      </c>
      <c r="N32" s="11">
        <f t="shared" si="25"/>
        <v>101405.8703773865</v>
      </c>
      <c r="O32" s="5">
        <f t="shared" si="26"/>
        <v>32.700000000000003</v>
      </c>
      <c r="P32" s="5">
        <f t="shared" si="27"/>
        <v>7.1</v>
      </c>
      <c r="Q32" s="5">
        <f t="shared" si="28"/>
        <v>10.15</v>
      </c>
      <c r="R32" s="5">
        <f t="shared" si="29"/>
        <v>1.3</v>
      </c>
    </row>
    <row r="33" spans="1:18" ht="16.5" thickTop="1" thickBot="1" x14ac:dyDescent="0.3">
      <c r="A33" s="16" t="s">
        <v>363</v>
      </c>
      <c r="B33" s="16">
        <v>1000.99</v>
      </c>
      <c r="C33" s="16">
        <f t="shared" si="15"/>
        <v>3.5</v>
      </c>
      <c r="D33" s="16" t="s">
        <v>316</v>
      </c>
      <c r="E33" s="10">
        <f t="shared" si="16"/>
        <v>39337.342880729288</v>
      </c>
      <c r="F33" s="16">
        <f t="shared" si="17"/>
        <v>9.5</v>
      </c>
      <c r="G33" s="3">
        <f t="shared" si="18"/>
        <v>30</v>
      </c>
      <c r="H33" s="4">
        <f t="shared" si="19"/>
        <v>1.55</v>
      </c>
      <c r="I33" s="11">
        <f t="shared" si="20"/>
        <v>8.3605451278412701</v>
      </c>
      <c r="J33" s="11">
        <f t="shared" si="21"/>
        <v>32.371109151422097</v>
      </c>
      <c r="K33" s="5">
        <f t="shared" si="22"/>
        <v>19</v>
      </c>
      <c r="L33" s="11">
        <f t="shared" si="23"/>
        <v>2069.8694885224704</v>
      </c>
      <c r="M33" s="11">
        <f t="shared" si="24"/>
        <v>1.2305488900901895E-2</v>
      </c>
      <c r="N33" s="11">
        <f t="shared" si="25"/>
        <v>168207.00950538955</v>
      </c>
      <c r="O33" s="5">
        <f t="shared" si="26"/>
        <v>58</v>
      </c>
      <c r="P33" s="5">
        <f t="shared" si="27"/>
        <v>20.700000000000003</v>
      </c>
      <c r="Q33" s="5">
        <f t="shared" si="28"/>
        <v>16.830000000000002</v>
      </c>
      <c r="R33" s="5">
        <f t="shared" si="29"/>
        <v>1.6500000000000001</v>
      </c>
    </row>
    <row r="34" spans="1:18" ht="16.5" thickTop="1" thickBot="1" x14ac:dyDescent="0.3">
      <c r="A34" s="16" t="s">
        <v>364</v>
      </c>
      <c r="B34" s="16">
        <v>5000.99</v>
      </c>
      <c r="C34" s="16">
        <f t="shared" si="15"/>
        <v>5</v>
      </c>
      <c r="D34" s="16" t="s">
        <v>316</v>
      </c>
      <c r="E34" s="10">
        <f t="shared" si="16"/>
        <v>146614.89342128736</v>
      </c>
      <c r="F34" s="16">
        <f t="shared" si="17"/>
        <v>17</v>
      </c>
      <c r="G34" s="3">
        <f t="shared" si="18"/>
        <v>57</v>
      </c>
      <c r="H34" s="4">
        <f t="shared" si="19"/>
        <v>2.0500000000000003</v>
      </c>
      <c r="I34" s="11">
        <f t="shared" si="20"/>
        <v>11.128851367393436</v>
      </c>
      <c r="J34" s="11">
        <f t="shared" si="21"/>
        <v>56.025937245182128</v>
      </c>
      <c r="K34" s="5">
        <f t="shared" si="22"/>
        <v>34</v>
      </c>
      <c r="L34" s="11">
        <f t="shared" si="23"/>
        <v>7335.2575852218906</v>
      </c>
      <c r="M34" s="11">
        <f t="shared" si="24"/>
        <v>2.3713663707417103E-2</v>
      </c>
      <c r="N34" s="11">
        <f t="shared" si="25"/>
        <v>309326.20432361052</v>
      </c>
      <c r="O34" s="5">
        <f t="shared" si="26"/>
        <v>115.5</v>
      </c>
      <c r="P34" s="5">
        <f t="shared" si="27"/>
        <v>73.36</v>
      </c>
      <c r="Q34" s="5">
        <f t="shared" si="28"/>
        <v>30.94</v>
      </c>
      <c r="R34" s="5">
        <f t="shared" si="29"/>
        <v>2.3000000000000003</v>
      </c>
    </row>
    <row r="35" spans="1:18" ht="15.75" thickTop="1" x14ac:dyDescent="0.25"/>
  </sheetData>
  <mergeCells count="2">
    <mergeCell ref="A1:R1"/>
    <mergeCell ref="A21:R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Groups</vt:lpstr>
      <vt:lpstr>Base stats</vt:lpstr>
      <vt:lpstr>Animals</vt:lpstr>
      <vt:lpstr>Animals CE</vt:lpstr>
      <vt:lpstr>Biomes</vt:lpstr>
      <vt:lpstr>EggMilk</vt:lpstr>
      <vt:lpstr>Meat</vt:lpstr>
      <vt:lpstr>Leathers</vt:lpstr>
      <vt:lpstr>LifeStages</vt:lpstr>
      <vt:lpstr>Bionics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2025-06-19T07:53:23Z</dcterms:created>
  <dcterms:modified xsi:type="dcterms:W3CDTF">2026-07-02T19:26:08Z</dcterms:modified>
</cp:coreProperties>
</file>